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9.xml" ContentType="application/vnd.openxmlformats-officedocument.spreadsheetml.tab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Proyectos\DataPulse\data\input\"/>
    </mc:Choice>
  </mc:AlternateContent>
  <xr:revisionPtr revIDLastSave="0" documentId="13_ncr:1_{26DEAAF5-084F-464C-AC61-8D07350307BA}" xr6:coauthVersionLast="47" xr6:coauthVersionMax="47" xr10:uidLastSave="{00000000-0000-0000-0000-000000000000}"/>
  <bookViews>
    <workbookView xWindow="-108" yWindow="-108" windowWidth="23256" windowHeight="12456" tabRatio="609" firstSheet="13" activeTab="18" xr2:uid="{ED16D5EB-AB4C-4C4F-B04F-AA3397850077}"/>
  </bookViews>
  <sheets>
    <sheet name="Reporte_Bancos" sheetId="15" state="hidden" r:id="rId1"/>
    <sheet name="Clientes_Proveedores" sheetId="2" state="hidden" r:id="rId2"/>
    <sheet name="B_Bcp_Soles" sheetId="24" r:id="rId3"/>
    <sheet name="B_Bcp_Dolares" sheetId="3" r:id="rId4"/>
    <sheet name="B_Interbank_Soles" sheetId="5" r:id="rId5"/>
    <sheet name="B_Bbva_Soles" sheetId="6" r:id="rId6"/>
    <sheet name="B_Banco_Nacion" sheetId="7" r:id="rId7"/>
    <sheet name="C_Arequipa_Soles" sheetId="8" r:id="rId8"/>
    <sheet name="C_Finanzas_Soles" sheetId="9" r:id="rId9"/>
    <sheet name="Caja_Operativa" sheetId="23" r:id="rId10"/>
    <sheet name="Luis Rivera" sheetId="10" r:id="rId11"/>
    <sheet name="Walter Asillo" sheetId="12" r:id="rId12"/>
    <sheet name="Juber Monteza" sheetId="13" r:id="rId13"/>
    <sheet name="Willian León" sheetId="17" r:id="rId14"/>
    <sheet name="Juan Tarifa" sheetId="18" r:id="rId15"/>
    <sheet name="Brayan Hanco" sheetId="20" r:id="rId16"/>
    <sheet name="Jorge Queque" sheetId="21" r:id="rId17"/>
    <sheet name="Nelson Quispe" sheetId="19" r:id="rId18"/>
    <sheet name="Ronald Guizado" sheetId="22" r:id="rId19"/>
  </sheets>
  <externalReferences>
    <externalReference r:id="rId20"/>
    <externalReference r:id="rId21"/>
  </externalReferences>
  <definedNames>
    <definedName name="Cargo_Pago" localSheetId="0">#REF!</definedName>
    <definedName name="DatosExternos_1" localSheetId="1" hidden="1">'Clientes_Proveedores'!$A$1:$F$1004</definedName>
    <definedName name="Documentos" localSheetId="6">Tipo_Documento[Tipo de Documento]</definedName>
    <definedName name="Documentos" localSheetId="5">Tipo_Documento[Tipo de Documento]</definedName>
    <definedName name="Documentos" localSheetId="3">Tipo_Documento[Tipo de Documento]</definedName>
    <definedName name="Documentos" localSheetId="4">Tipo_Documento[Tipo de Documento]</definedName>
    <definedName name="Documentos" localSheetId="15">Tipo_Documento[Tipo de Documento]</definedName>
    <definedName name="Documentos" localSheetId="7">Tipo_Documento[Tipo de Documento]</definedName>
    <definedName name="Documentos" localSheetId="8">Tipo_Documento[Tipo de Documento]</definedName>
    <definedName name="Documentos" localSheetId="9">Tipo_Documento[Tipo de Documento]</definedName>
    <definedName name="Documentos" localSheetId="16">Tipo_Documento[Tipo de Documento]</definedName>
    <definedName name="Documentos" localSheetId="14">Tipo_Documento[Tipo de Documento]</definedName>
    <definedName name="Documentos" localSheetId="12">Tipo_Documento[Tipo de Documento]</definedName>
    <definedName name="Documentos" localSheetId="10">Tipo_Documento[Tipo de Documento]</definedName>
    <definedName name="Documentos" localSheetId="17">Tipo_Documento[Tipo de Documento]</definedName>
    <definedName name="Documentos" localSheetId="18">Tipo_Documento[Tipo de Documento]</definedName>
    <definedName name="Documentos" localSheetId="11">Tipo_Documento[Tipo de Documento]</definedName>
    <definedName name="Documentos" localSheetId="13">Tipo_Documento[Tipo de Documento]</definedName>
    <definedName name="Documentos">Tipo_Documento[Tipo de Documento]</definedName>
    <definedName name="ID.Ingreso" localSheetId="0">#REF!</definedName>
    <definedName name="Operaciones_Finanzas" localSheetId="15">Caja_Finanzas[item]</definedName>
    <definedName name="Operaciones_Finanzas" localSheetId="9">Caja_Finanzas[item]</definedName>
    <definedName name="Operaciones_Finanzas" localSheetId="16">Caja_Finanzas[item]</definedName>
    <definedName name="Operaciones_Finanzas" localSheetId="14">Caja_Finanzas[item]</definedName>
    <definedName name="Operaciones_Finanzas" localSheetId="17">Caja_Finanzas[item]</definedName>
    <definedName name="Operaciones_Finanzas" localSheetId="18">Caja_Finanzas[item]</definedName>
    <definedName name="Operaciones_Finanzas" localSheetId="13">Caja_Finanzas[item]</definedName>
    <definedName name="Operaciones_Finanzas">Caja_Finanzas[item]</definedName>
    <definedName name="_xlnm.Print_Area" localSheetId="6">Banco_Nacion[]</definedName>
    <definedName name="_xlnm.Print_Area" localSheetId="5">Bbva_Soles[]</definedName>
    <definedName name="_xlnm.Print_Area" localSheetId="3">BCP_Dolares[]</definedName>
    <definedName name="_xlnm.Print_Area" localSheetId="2">BCP_Soles[]</definedName>
    <definedName name="_xlnm.Print_Area" localSheetId="4">Interbank_Soles[]</definedName>
    <definedName name="_xlnm.Print_Area" localSheetId="15">C_Ope_006[]</definedName>
    <definedName name="_xlnm.Print_Area" localSheetId="7">Caja_Arequipa[]</definedName>
    <definedName name="_xlnm.Print_Area" localSheetId="8">Caja_Finanzas[]</definedName>
    <definedName name="_xlnm.Print_Area" localSheetId="9">Caja_Operativa[]</definedName>
    <definedName name="_xlnm.Print_Area" localSheetId="16">C_Ope_007[]</definedName>
    <definedName name="_xlnm.Print_Area" localSheetId="14">C_Ope_005[]</definedName>
    <definedName name="_xlnm.Print_Area" localSheetId="12">C_Ope_003[]</definedName>
    <definedName name="_xlnm.Print_Area" localSheetId="10">C_Ope_001[]</definedName>
    <definedName name="_xlnm.Print_Area" localSheetId="17">C_Ope_008[]</definedName>
    <definedName name="_xlnm.Print_Area" localSheetId="0">Reporte_Bancos!$B$9:$R$91</definedName>
    <definedName name="_xlnm.Print_Area" localSheetId="18">C_Ope_009[]</definedName>
    <definedName name="_xlnm.Print_Area" localSheetId="11">C_Ope_002[]</definedName>
    <definedName name="_xlnm.Print_Area" localSheetId="13">C_Ope_004[]</definedName>
    <definedName name="_xlnm.Print_Titles" localSheetId="6">B_Banco_Nacion!$1:$1</definedName>
    <definedName name="_xlnm.Print_Titles" localSheetId="5">B_Bbva_Soles!$1:$1</definedName>
    <definedName name="_xlnm.Print_Titles" localSheetId="3">B_Bcp_Dolares!$1:$1</definedName>
    <definedName name="_xlnm.Print_Titles" localSheetId="2">B_Bcp_Soles!$1:$1</definedName>
    <definedName name="_xlnm.Print_Titles" localSheetId="4">B_Interbank_Soles!$2:$4</definedName>
    <definedName name="_xlnm.Print_Titles" localSheetId="15">'Brayan Hanco'!$1:$1</definedName>
    <definedName name="_xlnm.Print_Titles" localSheetId="7">C_Arequipa_Soles!$1:$1</definedName>
    <definedName name="_xlnm.Print_Titles" localSheetId="8">C_Finanzas_Soles!$1:$1</definedName>
    <definedName name="_xlnm.Print_Titles" localSheetId="9">'Caja_Operativa'!$1:$1</definedName>
    <definedName name="_xlnm.Print_Titles" localSheetId="16">'Jorge Queque'!$1:$1</definedName>
    <definedName name="_xlnm.Print_Titles" localSheetId="14">'Juan Tarifa'!$1:$1</definedName>
    <definedName name="_xlnm.Print_Titles" localSheetId="12">'Juber Monteza'!$1:$1</definedName>
    <definedName name="_xlnm.Print_Titles" localSheetId="10">'Luis Rivera'!$1:$1</definedName>
    <definedName name="_xlnm.Print_Titles" localSheetId="17">'Nelson Quispe'!$1:$1</definedName>
    <definedName name="_xlnm.Print_Titles" localSheetId="0">Reporte_Bancos!$2:$8</definedName>
    <definedName name="_xlnm.Print_Titles" localSheetId="18">'Ronald Guizado'!$1:$1</definedName>
    <definedName name="_xlnm.Print_Titles" localSheetId="11">'Walter Asillo'!$1:$1</definedName>
    <definedName name="_xlnm.Print_Titles" localSheetId="13">'Willian León'!$1:$1</definedName>
    <definedName name="Proveedores_Clientes" localSheetId="6">Clientes_Proveedores[Razon Social]</definedName>
    <definedName name="Proveedores_Clientes" localSheetId="5">Clientes_Proveedores[Razon Social]</definedName>
    <definedName name="Proveedores_Clientes" localSheetId="3">Clientes_Proveedores[Razon Social]</definedName>
    <definedName name="Proveedores_Clientes" localSheetId="4">Clientes_Proveedores[Razon Social]</definedName>
    <definedName name="Proveedores_Clientes" localSheetId="15">Clientes_Proveedores[Razon Social]</definedName>
    <definedName name="Proveedores_Clientes" localSheetId="7">Clientes_Proveedores[Razon Social]</definedName>
    <definedName name="Proveedores_Clientes" localSheetId="8">Clientes_Proveedores[Razon Social]</definedName>
    <definedName name="Proveedores_Clientes" localSheetId="9">Clientes_Proveedores[Razon Social]</definedName>
    <definedName name="Proveedores_Clientes" localSheetId="16">Clientes_Proveedores[Razon Social]</definedName>
    <definedName name="Proveedores_Clientes" localSheetId="14">Clientes_Proveedores[Razon Social]</definedName>
    <definedName name="Proveedores_Clientes" localSheetId="12">Clientes_Proveedores[Razon Social]</definedName>
    <definedName name="Proveedores_Clientes" localSheetId="10">Clientes_Proveedores[Razon Social]</definedName>
    <definedName name="Proveedores_Clientes" localSheetId="17">Clientes_Proveedores[Razon Social]</definedName>
    <definedName name="Proveedores_Clientes" localSheetId="18">Clientes_Proveedores[Razon Social]</definedName>
    <definedName name="Proveedores_Clientes" localSheetId="11">Clientes_Proveedores[Razon Social]</definedName>
    <definedName name="Proveedores_Clientes" localSheetId="13">Clientes_Proveedores[Razon Social]</definedName>
    <definedName name="Proveedores_Clientes">Clientes_Proveedores[Razon Social]</definedName>
    <definedName name="Registro_Boletas_Venta_Detallado" localSheetId="0">#REF!</definedName>
    <definedName name="Registro_Facturas_Venta_Detallado" localSheetId="0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8" l="1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 s="1"/>
  <c r="A18" i="8" s="1"/>
  <c r="A19" i="8"/>
  <c r="A20" i="8"/>
  <c r="A21" i="8"/>
  <c r="A22" i="8"/>
  <c r="A23" i="8"/>
  <c r="A24" i="8"/>
  <c r="A25" i="8"/>
  <c r="A26" i="8"/>
  <c r="A27" i="8"/>
  <c r="A28" i="8"/>
  <c r="A986" i="9" l="1"/>
  <c r="M986" i="9" s="1"/>
  <c r="B986" i="9"/>
  <c r="N986" i="9"/>
  <c r="Q986" i="9"/>
  <c r="R986" i="9"/>
  <c r="AB986" i="9"/>
  <c r="A1111" i="8"/>
  <c r="M1111" i="8" s="1"/>
  <c r="B1111" i="8"/>
  <c r="N1111" i="8"/>
  <c r="Q1111" i="8"/>
  <c r="R1111" i="8"/>
  <c r="W1111" i="8"/>
  <c r="AB1111" i="8"/>
  <c r="B985" i="9"/>
  <c r="N985" i="9"/>
  <c r="Q985" i="9"/>
  <c r="R985" i="9"/>
  <c r="AB985" i="9"/>
  <c r="B4634" i="24" l="1"/>
  <c r="M4634" i="24"/>
  <c r="P4634" i="24"/>
  <c r="Q4634" i="24"/>
  <c r="V4634" i="24"/>
  <c r="AA4634" i="24"/>
  <c r="A4622" i="24"/>
  <c r="B4621" i="24"/>
  <c r="M4621" i="24"/>
  <c r="P4621" i="24"/>
  <c r="Q4621" i="24"/>
  <c r="V4621" i="24"/>
  <c r="AA4621" i="24"/>
  <c r="N4647" i="24"/>
  <c r="B4620" i="24"/>
  <c r="M4620" i="24"/>
  <c r="P4620" i="24"/>
  <c r="Q4620" i="24"/>
  <c r="V4620" i="24"/>
  <c r="AA4620" i="24"/>
  <c r="B984" i="9" l="1"/>
  <c r="N984" i="9"/>
  <c r="Q984" i="9"/>
  <c r="R984" i="9"/>
  <c r="AB984" i="9"/>
  <c r="Z2" i="19"/>
  <c r="Z4" i="19"/>
  <c r="Z9" i="19"/>
  <c r="Z15" i="19"/>
  <c r="Z17" i="19"/>
  <c r="Z18" i="19"/>
  <c r="Z30" i="19"/>
  <c r="Z36" i="19"/>
  <c r="Z41" i="19"/>
  <c r="Z45" i="19"/>
  <c r="Z50" i="19"/>
  <c r="Z56" i="19"/>
  <c r="Z57" i="19"/>
  <c r="Z64" i="19"/>
  <c r="Z78" i="19"/>
  <c r="Z81" i="19"/>
  <c r="Z84" i="19"/>
  <c r="Z86" i="19"/>
  <c r="Z100" i="19"/>
  <c r="Z103" i="19"/>
  <c r="Z116" i="19"/>
  <c r="Z131" i="19"/>
  <c r="B4619" i="24"/>
  <c r="M4619" i="24"/>
  <c r="P4619" i="24"/>
  <c r="Q4619" i="24"/>
  <c r="V4619" i="24"/>
  <c r="AA4619" i="24"/>
  <c r="B4633" i="24" l="1"/>
  <c r="M4633" i="24"/>
  <c r="P4633" i="24"/>
  <c r="Q4633" i="24"/>
  <c r="V4633" i="24"/>
  <c r="AA4633" i="24"/>
  <c r="B983" i="9"/>
  <c r="N983" i="9"/>
  <c r="Q983" i="9"/>
  <c r="R983" i="9"/>
  <c r="AB983" i="9"/>
  <c r="B982" i="9"/>
  <c r="N982" i="9"/>
  <c r="Q982" i="9"/>
  <c r="R982" i="9"/>
  <c r="AB982" i="9"/>
  <c r="A184" i="5" l="1"/>
  <c r="A185" i="5"/>
  <c r="A183" i="5"/>
  <c r="B183" i="5"/>
  <c r="M183" i="5"/>
  <c r="P183" i="5"/>
  <c r="Q183" i="5"/>
  <c r="AA183" i="5"/>
  <c r="B184" i="5"/>
  <c r="M184" i="5"/>
  <c r="P184" i="5"/>
  <c r="Q184" i="5"/>
  <c r="AA184" i="5"/>
  <c r="A142" i="5"/>
  <c r="A141" i="5"/>
  <c r="B141" i="5"/>
  <c r="M141" i="5"/>
  <c r="P141" i="5"/>
  <c r="Q141" i="5"/>
  <c r="AA141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B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137" i="5"/>
  <c r="A138" i="5"/>
  <c r="A139" i="5"/>
  <c r="A140" i="5"/>
  <c r="A143" i="5"/>
  <c r="A144" i="5"/>
  <c r="A145" i="5"/>
  <c r="A146" i="5"/>
  <c r="A147" i="5"/>
  <c r="A148" i="5"/>
  <c r="A149" i="5"/>
  <c r="A150" i="5"/>
  <c r="A151" i="5"/>
  <c r="A152" i="5"/>
  <c r="A153" i="5"/>
  <c r="A154" i="5"/>
  <c r="A155" i="5"/>
  <c r="A156" i="5"/>
  <c r="A157" i="5"/>
  <c r="A158" i="5"/>
  <c r="A159" i="5"/>
  <c r="A160" i="5"/>
  <c r="A161" i="5"/>
  <c r="A162" i="5"/>
  <c r="A163" i="5"/>
  <c r="A164" i="5"/>
  <c r="A165" i="5"/>
  <c r="A166" i="5"/>
  <c r="A167" i="5"/>
  <c r="A168" i="5"/>
  <c r="A169" i="5"/>
  <c r="A170" i="5"/>
  <c r="A171" i="5"/>
  <c r="A172" i="5"/>
  <c r="A173" i="5"/>
  <c r="A174" i="5"/>
  <c r="A175" i="5"/>
  <c r="A176" i="5"/>
  <c r="A177" i="5"/>
  <c r="A178" i="5"/>
  <c r="A179" i="5"/>
  <c r="A180" i="5"/>
  <c r="A181" i="5"/>
  <c r="A182" i="5"/>
  <c r="A186" i="5"/>
  <c r="A187" i="5"/>
  <c r="A188" i="5"/>
  <c r="A189" i="5"/>
  <c r="A190" i="5"/>
  <c r="A191" i="5"/>
  <c r="A192" i="5"/>
  <c r="A193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P63" i="5"/>
  <c r="P64" i="5"/>
  <c r="P65" i="5"/>
  <c r="P66" i="5"/>
  <c r="P67" i="5"/>
  <c r="P68" i="5"/>
  <c r="P69" i="5"/>
  <c r="P70" i="5"/>
  <c r="P71" i="5"/>
  <c r="P72" i="5"/>
  <c r="P73" i="5"/>
  <c r="P74" i="5"/>
  <c r="P75" i="5"/>
  <c r="P76" i="5"/>
  <c r="P77" i="5"/>
  <c r="P78" i="5"/>
  <c r="P79" i="5"/>
  <c r="P80" i="5"/>
  <c r="P81" i="5"/>
  <c r="P82" i="5"/>
  <c r="P83" i="5"/>
  <c r="P84" i="5"/>
  <c r="P85" i="5"/>
  <c r="P86" i="5"/>
  <c r="P87" i="5"/>
  <c r="P88" i="5"/>
  <c r="P89" i="5"/>
  <c r="P90" i="5"/>
  <c r="P91" i="5"/>
  <c r="P92" i="5"/>
  <c r="P93" i="5"/>
  <c r="P94" i="5"/>
  <c r="P95" i="5"/>
  <c r="P96" i="5"/>
  <c r="P97" i="5"/>
  <c r="P98" i="5"/>
  <c r="P99" i="5"/>
  <c r="P100" i="5"/>
  <c r="P101" i="5"/>
  <c r="P102" i="5"/>
  <c r="P103" i="5"/>
  <c r="Q104" i="5"/>
  <c r="P105" i="5"/>
  <c r="P106" i="5"/>
  <c r="P107" i="5"/>
  <c r="P108" i="5"/>
  <c r="P109" i="5"/>
  <c r="P110" i="5"/>
  <c r="P111" i="5"/>
  <c r="P112" i="5"/>
  <c r="P113" i="5"/>
  <c r="P114" i="5"/>
  <c r="P115" i="5"/>
  <c r="P116" i="5"/>
  <c r="P117" i="5"/>
  <c r="P118" i="5"/>
  <c r="P119" i="5"/>
  <c r="P120" i="5"/>
  <c r="P121" i="5"/>
  <c r="P122" i="5"/>
  <c r="P123" i="5"/>
  <c r="P124" i="5"/>
  <c r="P125" i="5"/>
  <c r="P126" i="5"/>
  <c r="P127" i="5"/>
  <c r="P128" i="5"/>
  <c r="P129" i="5"/>
  <c r="P130" i="5"/>
  <c r="P131" i="5"/>
  <c r="P132" i="5"/>
  <c r="P133" i="5"/>
  <c r="P134" i="5"/>
  <c r="P135" i="5"/>
  <c r="P136" i="5"/>
  <c r="P137" i="5"/>
  <c r="P138" i="5"/>
  <c r="P139" i="5"/>
  <c r="P140" i="5"/>
  <c r="P142" i="5"/>
  <c r="P143" i="5"/>
  <c r="P144" i="5"/>
  <c r="P145" i="5"/>
  <c r="P146" i="5"/>
  <c r="P147" i="5"/>
  <c r="P148" i="5"/>
  <c r="P149" i="5"/>
  <c r="P150" i="5"/>
  <c r="P151" i="5"/>
  <c r="P152" i="5"/>
  <c r="P153" i="5"/>
  <c r="P154" i="5"/>
  <c r="P155" i="5"/>
  <c r="P156" i="5"/>
  <c r="P157" i="5"/>
  <c r="P158" i="5"/>
  <c r="P159" i="5"/>
  <c r="P160" i="5"/>
  <c r="P161" i="5"/>
  <c r="P162" i="5"/>
  <c r="P163" i="5"/>
  <c r="P164" i="5"/>
  <c r="P165" i="5"/>
  <c r="P166" i="5"/>
  <c r="P167" i="5"/>
  <c r="P168" i="5"/>
  <c r="P169" i="5"/>
  <c r="P170" i="5"/>
  <c r="P171" i="5"/>
  <c r="P172" i="5"/>
  <c r="P173" i="5"/>
  <c r="P174" i="5"/>
  <c r="P175" i="5"/>
  <c r="P176" i="5"/>
  <c r="P177" i="5"/>
  <c r="P178" i="5"/>
  <c r="P179" i="5"/>
  <c r="P180" i="5"/>
  <c r="P181" i="5"/>
  <c r="P182" i="5"/>
  <c r="P185" i="5"/>
  <c r="P186" i="5"/>
  <c r="P187" i="5"/>
  <c r="P188" i="5"/>
  <c r="P189" i="5"/>
  <c r="P190" i="5"/>
  <c r="P191" i="5"/>
  <c r="P192" i="5"/>
  <c r="P193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Q46" i="5"/>
  <c r="Q47" i="5"/>
  <c r="Q48" i="5"/>
  <c r="Q49" i="5"/>
  <c r="Q50" i="5"/>
  <c r="Q51" i="5"/>
  <c r="Q52" i="5"/>
  <c r="Q53" i="5"/>
  <c r="Q54" i="5"/>
  <c r="Q55" i="5"/>
  <c r="Q56" i="5"/>
  <c r="Q57" i="5"/>
  <c r="Q58" i="5"/>
  <c r="Q59" i="5"/>
  <c r="Q60" i="5"/>
  <c r="Q61" i="5"/>
  <c r="Q62" i="5"/>
  <c r="Q63" i="5"/>
  <c r="Q64" i="5"/>
  <c r="Q65" i="5"/>
  <c r="Q66" i="5"/>
  <c r="Q67" i="5"/>
  <c r="Q68" i="5"/>
  <c r="Q69" i="5"/>
  <c r="Q70" i="5"/>
  <c r="Q71" i="5"/>
  <c r="Q72" i="5"/>
  <c r="Q73" i="5"/>
  <c r="Q74" i="5"/>
  <c r="Q75" i="5"/>
  <c r="Q76" i="5"/>
  <c r="Q77" i="5"/>
  <c r="Q78" i="5"/>
  <c r="Q79" i="5"/>
  <c r="Q80" i="5"/>
  <c r="Q81" i="5"/>
  <c r="Q82" i="5"/>
  <c r="Q83" i="5"/>
  <c r="Q84" i="5"/>
  <c r="Q85" i="5"/>
  <c r="Q86" i="5"/>
  <c r="Q87" i="5"/>
  <c r="Q88" i="5"/>
  <c r="Q89" i="5"/>
  <c r="Q90" i="5"/>
  <c r="Q91" i="5"/>
  <c r="Q92" i="5"/>
  <c r="Q93" i="5"/>
  <c r="Q94" i="5"/>
  <c r="Q95" i="5"/>
  <c r="Q96" i="5"/>
  <c r="Q97" i="5"/>
  <c r="Q98" i="5"/>
  <c r="Q99" i="5"/>
  <c r="Q100" i="5"/>
  <c r="Q101" i="5"/>
  <c r="Q102" i="5"/>
  <c r="Q103" i="5"/>
  <c r="Q105" i="5"/>
  <c r="Q106" i="5"/>
  <c r="Q107" i="5"/>
  <c r="Q108" i="5"/>
  <c r="Q109" i="5"/>
  <c r="Q110" i="5"/>
  <c r="Q111" i="5"/>
  <c r="Q112" i="5"/>
  <c r="Q113" i="5"/>
  <c r="Q114" i="5"/>
  <c r="Q115" i="5"/>
  <c r="Q116" i="5"/>
  <c r="Q117" i="5"/>
  <c r="Q118" i="5"/>
  <c r="Q119" i="5"/>
  <c r="Q120" i="5"/>
  <c r="Q121" i="5"/>
  <c r="Q122" i="5"/>
  <c r="Q123" i="5"/>
  <c r="Q124" i="5"/>
  <c r="Q125" i="5"/>
  <c r="Q126" i="5"/>
  <c r="Q127" i="5"/>
  <c r="Q128" i="5"/>
  <c r="Q129" i="5"/>
  <c r="Q130" i="5"/>
  <c r="Q131" i="5"/>
  <c r="Q132" i="5"/>
  <c r="Q133" i="5"/>
  <c r="Q134" i="5"/>
  <c r="Q135" i="5"/>
  <c r="Q136" i="5"/>
  <c r="Q137" i="5"/>
  <c r="Q138" i="5"/>
  <c r="Q139" i="5"/>
  <c r="Q140" i="5"/>
  <c r="Q142" i="5"/>
  <c r="Q143" i="5"/>
  <c r="Q144" i="5"/>
  <c r="Q145" i="5"/>
  <c r="Q146" i="5"/>
  <c r="Q147" i="5"/>
  <c r="Q148" i="5"/>
  <c r="Q149" i="5"/>
  <c r="Q150" i="5"/>
  <c r="Q151" i="5"/>
  <c r="Q152" i="5"/>
  <c r="Q153" i="5"/>
  <c r="Q154" i="5"/>
  <c r="Q155" i="5"/>
  <c r="Q156" i="5"/>
  <c r="Q157" i="5"/>
  <c r="Q158" i="5"/>
  <c r="Q159" i="5"/>
  <c r="Q160" i="5"/>
  <c r="Q161" i="5"/>
  <c r="Q162" i="5"/>
  <c r="Q163" i="5"/>
  <c r="Q164" i="5"/>
  <c r="Q165" i="5"/>
  <c r="Q166" i="5"/>
  <c r="Q167" i="5"/>
  <c r="Q168" i="5"/>
  <c r="Q169" i="5"/>
  <c r="Q170" i="5"/>
  <c r="Q171" i="5"/>
  <c r="Q172" i="5"/>
  <c r="Q173" i="5"/>
  <c r="Q174" i="5"/>
  <c r="Q175" i="5"/>
  <c r="Q176" i="5"/>
  <c r="Q177" i="5"/>
  <c r="Q178" i="5"/>
  <c r="Q179" i="5"/>
  <c r="Q180" i="5"/>
  <c r="Q181" i="5"/>
  <c r="Q182" i="5"/>
  <c r="Q185" i="5"/>
  <c r="Q186" i="5"/>
  <c r="Q187" i="5"/>
  <c r="Q188" i="5"/>
  <c r="Q189" i="5"/>
  <c r="Q190" i="5"/>
  <c r="Q191" i="5"/>
  <c r="Q192" i="5"/>
  <c r="Q193" i="5"/>
  <c r="AA104" i="5"/>
  <c r="B4632" i="24" l="1"/>
  <c r="M4632" i="24"/>
  <c r="P4632" i="24"/>
  <c r="Q4632" i="24"/>
  <c r="V4632" i="24"/>
  <c r="AA4632" i="24"/>
  <c r="AA4631" i="24"/>
  <c r="V4631" i="24"/>
  <c r="Q4631" i="24"/>
  <c r="P4631" i="24"/>
  <c r="M4631" i="24"/>
  <c r="B4631" i="24"/>
  <c r="AA4630" i="24"/>
  <c r="V4630" i="24"/>
  <c r="Q4630" i="24"/>
  <c r="P4630" i="24"/>
  <c r="M4630" i="24"/>
  <c r="B4630" i="24"/>
  <c r="AA4629" i="24"/>
  <c r="V4629" i="24"/>
  <c r="Q4629" i="24"/>
  <c r="P4629" i="24"/>
  <c r="M4629" i="24"/>
  <c r="B4629" i="24"/>
  <c r="A4616" i="24" l="1"/>
  <c r="AA4612" i="24"/>
  <c r="V4612" i="24"/>
  <c r="Q4612" i="24"/>
  <c r="P4612" i="24"/>
  <c r="M4612" i="24"/>
  <c r="B4612" i="24"/>
  <c r="AA4613" i="24"/>
  <c r="V4613" i="24"/>
  <c r="Q4613" i="24"/>
  <c r="P4613" i="24"/>
  <c r="M4613" i="24"/>
  <c r="B4613" i="24"/>
  <c r="AA4614" i="24"/>
  <c r="V4614" i="24"/>
  <c r="Q4614" i="24"/>
  <c r="P4614" i="24"/>
  <c r="M4614" i="24"/>
  <c r="B4614" i="24"/>
  <c r="AA4615" i="24"/>
  <c r="V4615" i="24"/>
  <c r="Q4615" i="24"/>
  <c r="P4615" i="24"/>
  <c r="M4615" i="24"/>
  <c r="B4615" i="24"/>
  <c r="AA30" i="5"/>
  <c r="M30" i="5"/>
  <c r="B30" i="5"/>
  <c r="AA31" i="5"/>
  <c r="M31" i="5"/>
  <c r="B31" i="5"/>
  <c r="AA50" i="5"/>
  <c r="M50" i="5"/>
  <c r="B50" i="5"/>
  <c r="AA51" i="5"/>
  <c r="M51" i="5"/>
  <c r="B51" i="5"/>
  <c r="AA109" i="5"/>
  <c r="M109" i="5"/>
  <c r="B109" i="5"/>
  <c r="AA110" i="5"/>
  <c r="M110" i="5"/>
  <c r="B110" i="5"/>
  <c r="Q242" i="21"/>
  <c r="A2" i="21"/>
  <c r="A3" i="21"/>
  <c r="A4" i="21"/>
  <c r="A5" i="21"/>
  <c r="A6" i="21"/>
  <c r="A7" i="21"/>
  <c r="A8" i="21"/>
  <c r="A9" i="21"/>
  <c r="A10" i="21"/>
  <c r="A11" i="21"/>
  <c r="A12" i="21"/>
  <c r="A13" i="21"/>
  <c r="A14" i="21"/>
  <c r="A15" i="21"/>
  <c r="A16" i="21"/>
  <c r="A17" i="21"/>
  <c r="A18" i="21"/>
  <c r="A19" i="21"/>
  <c r="A20" i="21"/>
  <c r="A21" i="21"/>
  <c r="A22" i="21"/>
  <c r="A23" i="21"/>
  <c r="A24" i="21"/>
  <c r="A25" i="21"/>
  <c r="A26" i="21"/>
  <c r="A27" i="21"/>
  <c r="A28" i="21"/>
  <c r="A29" i="21"/>
  <c r="A30" i="21"/>
  <c r="A31" i="21"/>
  <c r="A32" i="21"/>
  <c r="A33" i="21"/>
  <c r="A34" i="21"/>
  <c r="A35" i="21"/>
  <c r="A36" i="21"/>
  <c r="A37" i="21"/>
  <c r="A38" i="21"/>
  <c r="A39" i="21"/>
  <c r="A40" i="21"/>
  <c r="A41" i="21"/>
  <c r="A42" i="21"/>
  <c r="A43" i="21"/>
  <c r="A44" i="21"/>
  <c r="A45" i="21"/>
  <c r="A46" i="21"/>
  <c r="A47" i="21"/>
  <c r="A48" i="21"/>
  <c r="A49" i="21"/>
  <c r="A50" i="21"/>
  <c r="A51" i="21"/>
  <c r="A52" i="21"/>
  <c r="A53" i="21"/>
  <c r="A54" i="21"/>
  <c r="A55" i="21"/>
  <c r="A56" i="21"/>
  <c r="A57" i="21"/>
  <c r="A58" i="21"/>
  <c r="A59" i="21"/>
  <c r="A60" i="21"/>
  <c r="A61" i="21"/>
  <c r="A62" i="21"/>
  <c r="A63" i="21"/>
  <c r="A64" i="21"/>
  <c r="A65" i="21"/>
  <c r="A66" i="21"/>
  <c r="A67" i="21"/>
  <c r="A68" i="21"/>
  <c r="A69" i="21"/>
  <c r="A70" i="21"/>
  <c r="A71" i="21"/>
  <c r="A72" i="21"/>
  <c r="A73" i="21"/>
  <c r="A74" i="21"/>
  <c r="A75" i="21"/>
  <c r="A76" i="21"/>
  <c r="A77" i="21"/>
  <c r="A78" i="21"/>
  <c r="A79" i="21"/>
  <c r="A80" i="21"/>
  <c r="A81" i="21"/>
  <c r="A82" i="21"/>
  <c r="A83" i="21"/>
  <c r="A84" i="21"/>
  <c r="A85" i="21"/>
  <c r="A86" i="21"/>
  <c r="A87" i="21"/>
  <c r="A88" i="21"/>
  <c r="A89" i="21"/>
  <c r="A90" i="21"/>
  <c r="A91" i="21"/>
  <c r="A92" i="21"/>
  <c r="A93" i="21"/>
  <c r="A94" i="21"/>
  <c r="A95" i="21"/>
  <c r="A96" i="21"/>
  <c r="A97" i="21"/>
  <c r="A98" i="21"/>
  <c r="A99" i="21"/>
  <c r="A100" i="21"/>
  <c r="A101" i="21"/>
  <c r="A102" i="21"/>
  <c r="A103" i="21"/>
  <c r="A104" i="21"/>
  <c r="A105" i="21"/>
  <c r="A106" i="21"/>
  <c r="A107" i="21"/>
  <c r="A108" i="21"/>
  <c r="A109" i="21"/>
  <c r="A110" i="21"/>
  <c r="A111" i="21"/>
  <c r="A112" i="21"/>
  <c r="A113" i="21"/>
  <c r="A114" i="21"/>
  <c r="A115" i="21"/>
  <c r="A116" i="21"/>
  <c r="A117" i="21"/>
  <c r="A118" i="21"/>
  <c r="A119" i="21"/>
  <c r="A120" i="21"/>
  <c r="A121" i="21"/>
  <c r="A122" i="21"/>
  <c r="A123" i="21"/>
  <c r="A124" i="21"/>
  <c r="A125" i="21"/>
  <c r="A126" i="21"/>
  <c r="A127" i="21"/>
  <c r="A128" i="21"/>
  <c r="A129" i="21"/>
  <c r="A130" i="21"/>
  <c r="A131" i="21"/>
  <c r="A132" i="21"/>
  <c r="A133" i="21"/>
  <c r="A134" i="21"/>
  <c r="A135" i="21"/>
  <c r="A136" i="21"/>
  <c r="A137" i="21"/>
  <c r="A138" i="21"/>
  <c r="A139" i="21"/>
  <c r="A140" i="21"/>
  <c r="A141" i="21"/>
  <c r="A142" i="21"/>
  <c r="A143" i="21"/>
  <c r="A144" i="21"/>
  <c r="A145" i="21"/>
  <c r="A146" i="21"/>
  <c r="A147" i="21"/>
  <c r="A148" i="21"/>
  <c r="A149" i="21"/>
  <c r="A150" i="21"/>
  <c r="A151" i="21"/>
  <c r="A152" i="21"/>
  <c r="A153" i="21"/>
  <c r="A154" i="21"/>
  <c r="A155" i="21"/>
  <c r="A156" i="21"/>
  <c r="A157" i="21"/>
  <c r="A158" i="21"/>
  <c r="A159" i="21"/>
  <c r="A160" i="21"/>
  <c r="A161" i="21"/>
  <c r="A162" i="21"/>
  <c r="A163" i="21"/>
  <c r="A164" i="21"/>
  <c r="A165" i="21"/>
  <c r="A166" i="21"/>
  <c r="A167" i="21"/>
  <c r="A168" i="21"/>
  <c r="A169" i="21"/>
  <c r="A170" i="21"/>
  <c r="A171" i="21"/>
  <c r="A172" i="21"/>
  <c r="A173" i="21"/>
  <c r="A174" i="21"/>
  <c r="A175" i="21"/>
  <c r="A176" i="21"/>
  <c r="A177" i="21"/>
  <c r="A178" i="21"/>
  <c r="A179" i="21"/>
  <c r="A180" i="21"/>
  <c r="A181" i="21"/>
  <c r="A182" i="21"/>
  <c r="A183" i="21"/>
  <c r="A184" i="21"/>
  <c r="A185" i="21"/>
  <c r="A186" i="21"/>
  <c r="A187" i="21"/>
  <c r="A188" i="21"/>
  <c r="A189" i="21"/>
  <c r="A190" i="21"/>
  <c r="A191" i="21"/>
  <c r="A192" i="21"/>
  <c r="A193" i="21"/>
  <c r="A194" i="21"/>
  <c r="A195" i="21"/>
  <c r="A196" i="21"/>
  <c r="A197" i="21"/>
  <c r="A198" i="21"/>
  <c r="A199" i="21"/>
  <c r="A200" i="21"/>
  <c r="A201" i="21"/>
  <c r="A202" i="21"/>
  <c r="A203" i="21"/>
  <c r="A204" i="21"/>
  <c r="A205" i="21"/>
  <c r="A206" i="21"/>
  <c r="A207" i="21"/>
  <c r="A208" i="21"/>
  <c r="A209" i="21"/>
  <c r="A210" i="21"/>
  <c r="A211" i="21"/>
  <c r="A212" i="21"/>
  <c r="A213" i="21"/>
  <c r="A214" i="21"/>
  <c r="A215" i="21"/>
  <c r="A216" i="21"/>
  <c r="A217" i="21"/>
  <c r="A218" i="21"/>
  <c r="A219" i="21"/>
  <c r="A220" i="21"/>
  <c r="A221" i="21"/>
  <c r="A222" i="21"/>
  <c r="A223" i="21"/>
  <c r="A224" i="21"/>
  <c r="A225" i="21"/>
  <c r="A226" i="21"/>
  <c r="A227" i="21"/>
  <c r="A228" i="21"/>
  <c r="A229" i="21"/>
  <c r="A230" i="21"/>
  <c r="A231" i="21"/>
  <c r="A232" i="21"/>
  <c r="A233" i="21"/>
  <c r="A234" i="21"/>
  <c r="A235" i="21"/>
  <c r="A236" i="21"/>
  <c r="A237" i="21"/>
  <c r="A238" i="21"/>
  <c r="A239" i="21"/>
  <c r="A240" i="21"/>
  <c r="A241" i="21"/>
  <c r="A242" i="21"/>
  <c r="A243" i="21"/>
  <c r="A244" i="21"/>
  <c r="A245" i="21"/>
  <c r="A246" i="21"/>
  <c r="A247" i="21"/>
  <c r="A248" i="21"/>
  <c r="A249" i="21"/>
  <c r="A250" i="21"/>
  <c r="A251" i="21"/>
  <c r="A252" i="21"/>
  <c r="A253" i="21"/>
  <c r="A254" i="21"/>
  <c r="A255" i="21"/>
  <c r="A256" i="21"/>
  <c r="A257" i="21"/>
  <c r="A258" i="21"/>
  <c r="A259" i="21"/>
  <c r="A260" i="21"/>
  <c r="A261" i="21"/>
  <c r="A262" i="21"/>
  <c r="A263" i="21"/>
  <c r="A264" i="21"/>
  <c r="A265" i="21"/>
  <c r="A266" i="21"/>
  <c r="A267" i="21"/>
  <c r="A268" i="21"/>
  <c r="A269" i="21"/>
  <c r="A270" i="21"/>
  <c r="A271" i="21"/>
  <c r="A272" i="21"/>
  <c r="B245" i="21"/>
  <c r="M245" i="21"/>
  <c r="P245" i="21"/>
  <c r="Q245" i="21"/>
  <c r="X245" i="21"/>
  <c r="AA245" i="21"/>
  <c r="B256" i="21"/>
  <c r="M256" i="21"/>
  <c r="P256" i="21"/>
  <c r="Q256" i="21"/>
  <c r="X256" i="21"/>
  <c r="AA256" i="21"/>
  <c r="B248" i="21"/>
  <c r="B249" i="21"/>
  <c r="B250" i="21"/>
  <c r="B251" i="21"/>
  <c r="B252" i="21"/>
  <c r="B253" i="21"/>
  <c r="B254" i="21"/>
  <c r="B255" i="21"/>
  <c r="B257" i="21"/>
  <c r="B258" i="21"/>
  <c r="B259" i="21"/>
  <c r="B260" i="21"/>
  <c r="B261" i="21"/>
  <c r="B262" i="21"/>
  <c r="B263" i="21"/>
  <c r="B264" i="21"/>
  <c r="B265" i="21"/>
  <c r="B266" i="21"/>
  <c r="B267" i="21"/>
  <c r="B268" i="21"/>
  <c r="B269" i="21"/>
  <c r="B270" i="21"/>
  <c r="B271" i="21"/>
  <c r="B272" i="21"/>
  <c r="M248" i="21"/>
  <c r="M249" i="21"/>
  <c r="M250" i="21"/>
  <c r="M251" i="21"/>
  <c r="M252" i="21"/>
  <c r="M253" i="21"/>
  <c r="M254" i="21"/>
  <c r="M255" i="21"/>
  <c r="M257" i="21"/>
  <c r="M258" i="21"/>
  <c r="M259" i="21"/>
  <c r="M260" i="21"/>
  <c r="M261" i="21"/>
  <c r="M262" i="21"/>
  <c r="M263" i="21"/>
  <c r="M264" i="21"/>
  <c r="M265" i="21"/>
  <c r="M266" i="21"/>
  <c r="M267" i="21"/>
  <c r="M268" i="21"/>
  <c r="M269" i="21"/>
  <c r="M270" i="21"/>
  <c r="M271" i="21"/>
  <c r="M272" i="21"/>
  <c r="P248" i="21"/>
  <c r="P249" i="21"/>
  <c r="P250" i="21"/>
  <c r="P251" i="21"/>
  <c r="P252" i="21"/>
  <c r="P253" i="21"/>
  <c r="P254" i="21"/>
  <c r="P255" i="21"/>
  <c r="P257" i="21"/>
  <c r="P258" i="21"/>
  <c r="P259" i="21"/>
  <c r="P260" i="21"/>
  <c r="P261" i="21"/>
  <c r="P262" i="21"/>
  <c r="P263" i="21"/>
  <c r="P264" i="21"/>
  <c r="P265" i="21"/>
  <c r="P266" i="21"/>
  <c r="P267" i="21"/>
  <c r="P268" i="21"/>
  <c r="P269" i="21"/>
  <c r="P270" i="21"/>
  <c r="P271" i="21"/>
  <c r="P272" i="21"/>
  <c r="Q248" i="21"/>
  <c r="Q249" i="21"/>
  <c r="Q250" i="21"/>
  <c r="Q251" i="21"/>
  <c r="Q252" i="21"/>
  <c r="Q253" i="21"/>
  <c r="Q254" i="21"/>
  <c r="Q255" i="21"/>
  <c r="Q257" i="21"/>
  <c r="Q258" i="21"/>
  <c r="Q259" i="21"/>
  <c r="Q260" i="21"/>
  <c r="Q261" i="21"/>
  <c r="Q262" i="21"/>
  <c r="Q263" i="21"/>
  <c r="Q264" i="21"/>
  <c r="Q265" i="21"/>
  <c r="Q266" i="21"/>
  <c r="Q267" i="21"/>
  <c r="Q268" i="21"/>
  <c r="Q269" i="21"/>
  <c r="Q270" i="21"/>
  <c r="Q271" i="21"/>
  <c r="Q272" i="21"/>
  <c r="X248" i="21"/>
  <c r="X249" i="21"/>
  <c r="X250" i="21"/>
  <c r="X251" i="21"/>
  <c r="X252" i="21"/>
  <c r="X253" i="21"/>
  <c r="X254" i="21"/>
  <c r="X255" i="21"/>
  <c r="X257" i="21"/>
  <c r="X258" i="21"/>
  <c r="X259" i="21"/>
  <c r="X260" i="21"/>
  <c r="X261" i="21"/>
  <c r="X262" i="21"/>
  <c r="X263" i="21"/>
  <c r="X264" i="21"/>
  <c r="X265" i="21"/>
  <c r="X266" i="21"/>
  <c r="X267" i="21"/>
  <c r="X268" i="21"/>
  <c r="X269" i="21"/>
  <c r="X270" i="21"/>
  <c r="X271" i="21"/>
  <c r="X272" i="21"/>
  <c r="AA248" i="21"/>
  <c r="AA249" i="21"/>
  <c r="AA250" i="21"/>
  <c r="AA251" i="21"/>
  <c r="AA252" i="21"/>
  <c r="AA253" i="21"/>
  <c r="AA254" i="21"/>
  <c r="AA255" i="21"/>
  <c r="AA257" i="21"/>
  <c r="AA258" i="21"/>
  <c r="AA259" i="21"/>
  <c r="AA260" i="21"/>
  <c r="AA261" i="21"/>
  <c r="AA262" i="21"/>
  <c r="AA263" i="21"/>
  <c r="AA264" i="21"/>
  <c r="AA265" i="21"/>
  <c r="AA266" i="21"/>
  <c r="AA267" i="21"/>
  <c r="AA268" i="21"/>
  <c r="AA269" i="21"/>
  <c r="AA270" i="21"/>
  <c r="AA271" i="21"/>
  <c r="AA272" i="21"/>
  <c r="AA4628" i="24"/>
  <c r="V4628" i="24"/>
  <c r="Q4628" i="24"/>
  <c r="P4628" i="24"/>
  <c r="M4628" i="24"/>
  <c r="B4628" i="24"/>
  <c r="AA4627" i="24"/>
  <c r="V4627" i="24"/>
  <c r="Q4627" i="24"/>
  <c r="P4627" i="24"/>
  <c r="M4627" i="24"/>
  <c r="B4627" i="24"/>
  <c r="AA4626" i="24"/>
  <c r="V4626" i="24"/>
  <c r="Q4626" i="24"/>
  <c r="P4626" i="24"/>
  <c r="M4626" i="24"/>
  <c r="B4626" i="24"/>
  <c r="AA4625" i="24"/>
  <c r="V4625" i="24"/>
  <c r="Q4625" i="24"/>
  <c r="P4625" i="24"/>
  <c r="M4625" i="24"/>
  <c r="B4625" i="24"/>
  <c r="AA4624" i="24"/>
  <c r="V4624" i="24"/>
  <c r="Q4624" i="24"/>
  <c r="P4624" i="24"/>
  <c r="M4624" i="24"/>
  <c r="B4624" i="24"/>
  <c r="A4624" i="24"/>
  <c r="A4625" i="24" s="1"/>
  <c r="A4626" i="24" s="1"/>
  <c r="A4627" i="24" s="1"/>
  <c r="A4628" i="24" s="1"/>
  <c r="A4629" i="24" s="1"/>
  <c r="A4630" i="24" s="1"/>
  <c r="A4631" i="24" s="1"/>
  <c r="A4632" i="24" s="1"/>
  <c r="A4633" i="24" s="1"/>
  <c r="A4634" i="24" s="1"/>
  <c r="A4623" i="24"/>
  <c r="B4623" i="24"/>
  <c r="M4623" i="24"/>
  <c r="P4623" i="24"/>
  <c r="Q4623" i="24"/>
  <c r="V4623" i="24"/>
  <c r="AA4623" i="24"/>
  <c r="B4622" i="24"/>
  <c r="P4622" i="24"/>
  <c r="Q4622" i="24"/>
  <c r="V4622" i="24"/>
  <c r="AA4622" i="24"/>
  <c r="M4622" i="24"/>
  <c r="A4607" i="24"/>
  <c r="B4604" i="24" l="1"/>
  <c r="M4604" i="24"/>
  <c r="P4604" i="24"/>
  <c r="Q4604" i="24"/>
  <c r="V4604" i="24"/>
  <c r="AA4604" i="24"/>
  <c r="B4605" i="24"/>
  <c r="M4605" i="24"/>
  <c r="P4605" i="24"/>
  <c r="Q4605" i="24"/>
  <c r="V4605" i="24"/>
  <c r="AA4605" i="24"/>
  <c r="B4606" i="24"/>
  <c r="M4606" i="24"/>
  <c r="P4606" i="24"/>
  <c r="Q4606" i="24"/>
  <c r="V4606" i="24"/>
  <c r="AA4606" i="24"/>
  <c r="B4618" i="24"/>
  <c r="M4618" i="24"/>
  <c r="P4618" i="24"/>
  <c r="Q4618" i="24"/>
  <c r="V4618" i="24"/>
  <c r="AA4618" i="24"/>
  <c r="B4617" i="24"/>
  <c r="M4617" i="24"/>
  <c r="P4617" i="24"/>
  <c r="Q4617" i="24"/>
  <c r="V4617" i="24"/>
  <c r="AA4617" i="24"/>
  <c r="B4616" i="24"/>
  <c r="M4616" i="24"/>
  <c r="P4616" i="24"/>
  <c r="Q4616" i="24"/>
  <c r="V4616" i="24"/>
  <c r="AA4616" i="24"/>
  <c r="A4603" i="24"/>
  <c r="A4608" i="24"/>
  <c r="A4609" i="24"/>
  <c r="A981" i="9"/>
  <c r="B981" i="9"/>
  <c r="N981" i="9"/>
  <c r="Q981" i="9"/>
  <c r="R981" i="9"/>
  <c r="AB981" i="9"/>
  <c r="B1110" i="8"/>
  <c r="N1110" i="8"/>
  <c r="Q1110" i="8"/>
  <c r="R1110" i="8"/>
  <c r="W1110" i="8"/>
  <c r="AB1110" i="8"/>
  <c r="B1109" i="8"/>
  <c r="N1109" i="8"/>
  <c r="Q1109" i="8"/>
  <c r="R1109" i="8"/>
  <c r="W1109" i="8"/>
  <c r="AB1109" i="8"/>
  <c r="B1108" i="8"/>
  <c r="N1108" i="8"/>
  <c r="Q1108" i="8"/>
  <c r="R1108" i="8"/>
  <c r="W1108" i="8"/>
  <c r="AB1108" i="8"/>
  <c r="B4602" i="24"/>
  <c r="M4602" i="24"/>
  <c r="P4602" i="24"/>
  <c r="Q4602" i="24"/>
  <c r="V4602" i="24"/>
  <c r="AA4602" i="24"/>
  <c r="B4603" i="24"/>
  <c r="M4603" i="24"/>
  <c r="P4603" i="24"/>
  <c r="Q4603" i="24"/>
  <c r="V4603" i="24"/>
  <c r="AA4603" i="24"/>
  <c r="B4607" i="24"/>
  <c r="M4607" i="24"/>
  <c r="P4607" i="24"/>
  <c r="Q4607" i="24"/>
  <c r="V4607" i="24"/>
  <c r="AA4607" i="24"/>
  <c r="B4608" i="24"/>
  <c r="M4608" i="24"/>
  <c r="P4608" i="24"/>
  <c r="Q4608" i="24"/>
  <c r="V4608" i="24"/>
  <c r="AA4608" i="24"/>
  <c r="M981" i="9" l="1"/>
  <c r="A982" i="9"/>
  <c r="A4604" i="24"/>
  <c r="A4605" i="24" s="1"/>
  <c r="A4606" i="24" s="1"/>
  <c r="M982" i="9" l="1"/>
  <c r="A983" i="9"/>
  <c r="A2" i="18"/>
  <c r="A3" i="18"/>
  <c r="A4" i="18"/>
  <c r="A5" i="18"/>
  <c r="A6" i="18"/>
  <c r="A7" i="18"/>
  <c r="A8" i="18"/>
  <c r="A9" i="18"/>
  <c r="A10" i="18"/>
  <c r="A11" i="18"/>
  <c r="A12" i="18"/>
  <c r="A13" i="18"/>
  <c r="A14" i="18"/>
  <c r="A15" i="18"/>
  <c r="A16" i="18"/>
  <c r="A17" i="18"/>
  <c r="A18" i="18"/>
  <c r="A19" i="18"/>
  <c r="A20" i="18"/>
  <c r="A21" i="18"/>
  <c r="A22" i="18"/>
  <c r="A23" i="18"/>
  <c r="A24" i="18"/>
  <c r="A25" i="18"/>
  <c r="A26" i="18"/>
  <c r="A27" i="18"/>
  <c r="A28" i="18"/>
  <c r="A29" i="18"/>
  <c r="A30" i="18"/>
  <c r="A31" i="18"/>
  <c r="A32" i="18"/>
  <c r="A33" i="18"/>
  <c r="A34" i="18"/>
  <c r="A35" i="18"/>
  <c r="A36" i="18"/>
  <c r="A37" i="18"/>
  <c r="A38" i="18"/>
  <c r="A39" i="18"/>
  <c r="A40" i="18"/>
  <c r="A41" i="18"/>
  <c r="A42" i="18"/>
  <c r="A43" i="18"/>
  <c r="A44" i="18"/>
  <c r="A45" i="18"/>
  <c r="A46" i="18"/>
  <c r="A47" i="18"/>
  <c r="A48" i="18"/>
  <c r="A49" i="18"/>
  <c r="A50" i="18"/>
  <c r="A51" i="18"/>
  <c r="A52" i="18"/>
  <c r="A53" i="18"/>
  <c r="A54" i="18"/>
  <c r="A55" i="18"/>
  <c r="A56" i="18"/>
  <c r="A57" i="18"/>
  <c r="A58" i="18"/>
  <c r="A59" i="18"/>
  <c r="A60" i="18"/>
  <c r="A61" i="18"/>
  <c r="A62" i="18"/>
  <c r="A63" i="18"/>
  <c r="A64" i="18"/>
  <c r="A65" i="18"/>
  <c r="A66" i="18"/>
  <c r="A67" i="18"/>
  <c r="A68" i="18"/>
  <c r="A69" i="18"/>
  <c r="A70" i="18"/>
  <c r="A71" i="18"/>
  <c r="A72" i="18"/>
  <c r="A73" i="18"/>
  <c r="A74" i="18"/>
  <c r="A75" i="18"/>
  <c r="A76" i="18"/>
  <c r="A77" i="18"/>
  <c r="A78" i="18"/>
  <c r="A79" i="18"/>
  <c r="A80" i="18"/>
  <c r="A81" i="18"/>
  <c r="A82" i="18"/>
  <c r="A83" i="18"/>
  <c r="A84" i="18"/>
  <c r="A85" i="18"/>
  <c r="A86" i="18"/>
  <c r="A87" i="18"/>
  <c r="A88" i="18"/>
  <c r="A89" i="18"/>
  <c r="A90" i="18"/>
  <c r="A91" i="18"/>
  <c r="A92" i="18"/>
  <c r="A93" i="18"/>
  <c r="A94" i="18"/>
  <c r="A95" i="18"/>
  <c r="A96" i="18"/>
  <c r="A97" i="18"/>
  <c r="A98" i="18"/>
  <c r="A99" i="18"/>
  <c r="A100" i="18"/>
  <c r="A101" i="18"/>
  <c r="A102" i="18"/>
  <c r="A103" i="18"/>
  <c r="A104" i="18"/>
  <c r="A105" i="18"/>
  <c r="A106" i="18"/>
  <c r="A107" i="18"/>
  <c r="A108" i="18"/>
  <c r="A109" i="18"/>
  <c r="A110" i="18"/>
  <c r="A111" i="18"/>
  <c r="A112" i="18"/>
  <c r="A113" i="18"/>
  <c r="A114" i="18"/>
  <c r="A115" i="18"/>
  <c r="A116" i="18"/>
  <c r="A117" i="18"/>
  <c r="A118" i="18"/>
  <c r="A119" i="18"/>
  <c r="A120" i="18"/>
  <c r="A121" i="18"/>
  <c r="A122" i="18"/>
  <c r="A123" i="18"/>
  <c r="A124" i="18"/>
  <c r="A125" i="18"/>
  <c r="A126" i="18"/>
  <c r="A127" i="18"/>
  <c r="A128" i="18"/>
  <c r="A129" i="18"/>
  <c r="A130" i="18"/>
  <c r="A131" i="18"/>
  <c r="A132" i="18"/>
  <c r="A133" i="18"/>
  <c r="A134" i="18"/>
  <c r="A135" i="18"/>
  <c r="A136" i="18"/>
  <c r="A137" i="18"/>
  <c r="A138" i="18"/>
  <c r="A139" i="18"/>
  <c r="A140" i="18"/>
  <c r="A141" i="18"/>
  <c r="A142" i="18"/>
  <c r="A143" i="18"/>
  <c r="A144" i="18"/>
  <c r="A145" i="18"/>
  <c r="A146" i="18"/>
  <c r="A147" i="18"/>
  <c r="A148" i="18"/>
  <c r="A149" i="18"/>
  <c r="A150" i="18"/>
  <c r="A151" i="18"/>
  <c r="A152" i="18"/>
  <c r="A153" i="18"/>
  <c r="A154" i="18"/>
  <c r="A155" i="18"/>
  <c r="A156" i="18"/>
  <c r="A157" i="18"/>
  <c r="A158" i="18"/>
  <c r="A159" i="18"/>
  <c r="A160" i="18"/>
  <c r="A161" i="18"/>
  <c r="A162" i="18"/>
  <c r="A163" i="18"/>
  <c r="A164" i="18"/>
  <c r="A165" i="18"/>
  <c r="A166" i="18"/>
  <c r="A167" i="18"/>
  <c r="A168" i="18"/>
  <c r="A169" i="18"/>
  <c r="A170" i="18"/>
  <c r="A171" i="18"/>
  <c r="A172" i="18"/>
  <c r="A173" i="18"/>
  <c r="A174" i="18"/>
  <c r="A175" i="18"/>
  <c r="A176" i="18"/>
  <c r="A177" i="18"/>
  <c r="A178" i="18"/>
  <c r="A179" i="18"/>
  <c r="A180" i="18"/>
  <c r="A181" i="18"/>
  <c r="A182" i="18"/>
  <c r="A183" i="18"/>
  <c r="A184" i="18"/>
  <c r="A185" i="18"/>
  <c r="A186" i="18"/>
  <c r="A187" i="18"/>
  <c r="A188" i="18"/>
  <c r="A189" i="18"/>
  <c r="A190" i="18"/>
  <c r="A191" i="18"/>
  <c r="A192" i="18"/>
  <c r="A193" i="18"/>
  <c r="A194" i="18"/>
  <c r="A195" i="18"/>
  <c r="A196" i="18"/>
  <c r="A197" i="18"/>
  <c r="A198" i="18"/>
  <c r="A199" i="18"/>
  <c r="A200" i="18"/>
  <c r="A201" i="18"/>
  <c r="A202" i="18"/>
  <c r="A203" i="18"/>
  <c r="A204" i="18"/>
  <c r="A205" i="18"/>
  <c r="A206" i="18"/>
  <c r="A207" i="18"/>
  <c r="A208" i="18"/>
  <c r="A209" i="18"/>
  <c r="A210" i="18"/>
  <c r="A211" i="18"/>
  <c r="A212" i="18"/>
  <c r="A213" i="18"/>
  <c r="A214" i="18"/>
  <c r="A215" i="18"/>
  <c r="A216" i="18"/>
  <c r="A217" i="18"/>
  <c r="A218" i="18"/>
  <c r="A219" i="18"/>
  <c r="A220" i="18"/>
  <c r="A221" i="18"/>
  <c r="A222" i="18"/>
  <c r="A223" i="18"/>
  <c r="A224" i="18"/>
  <c r="A225" i="18"/>
  <c r="A226" i="18"/>
  <c r="A227" i="18"/>
  <c r="A228" i="18"/>
  <c r="A229" i="18"/>
  <c r="A230" i="18"/>
  <c r="A231" i="18"/>
  <c r="A232" i="18"/>
  <c r="A233" i="18"/>
  <c r="A234" i="18"/>
  <c r="A235" i="18"/>
  <c r="A236" i="18"/>
  <c r="A237" i="18"/>
  <c r="A238" i="18"/>
  <c r="A239" i="18"/>
  <c r="A240" i="18"/>
  <c r="A241" i="18"/>
  <c r="A242" i="18"/>
  <c r="A243" i="18"/>
  <c r="A244" i="18"/>
  <c r="A245" i="18"/>
  <c r="A246" i="18"/>
  <c r="A247" i="18"/>
  <c r="A248" i="18"/>
  <c r="A249" i="18"/>
  <c r="A250" i="18"/>
  <c r="A251" i="18"/>
  <c r="A252" i="18"/>
  <c r="A253" i="18"/>
  <c r="A254" i="18"/>
  <c r="A255" i="18"/>
  <c r="A256" i="18"/>
  <c r="A257" i="18"/>
  <c r="A258" i="18"/>
  <c r="A259" i="18"/>
  <c r="A260" i="18"/>
  <c r="A261" i="18"/>
  <c r="A262" i="18"/>
  <c r="A263" i="18"/>
  <c r="A264" i="18"/>
  <c r="A265" i="18"/>
  <c r="A266" i="18"/>
  <c r="A267" i="18"/>
  <c r="A268" i="18"/>
  <c r="A269" i="18"/>
  <c r="A270" i="18"/>
  <c r="A271" i="18"/>
  <c r="A272" i="18"/>
  <c r="A273" i="18"/>
  <c r="A274" i="18"/>
  <c r="A275" i="18"/>
  <c r="A276" i="18"/>
  <c r="A277" i="18"/>
  <c r="A278" i="18"/>
  <c r="A279" i="18"/>
  <c r="A280" i="18"/>
  <c r="A281" i="18"/>
  <c r="A282" i="18"/>
  <c r="A283" i="18"/>
  <c r="A284" i="18"/>
  <c r="A285" i="18"/>
  <c r="A286" i="18"/>
  <c r="A287" i="18"/>
  <c r="A288" i="18"/>
  <c r="A289" i="18"/>
  <c r="A290" i="18"/>
  <c r="A291" i="18"/>
  <c r="A292" i="18"/>
  <c r="A293" i="18"/>
  <c r="A294" i="18"/>
  <c r="A295" i="18"/>
  <c r="A296" i="18"/>
  <c r="A297" i="18"/>
  <c r="A298" i="18"/>
  <c r="A299" i="18"/>
  <c r="A300" i="18"/>
  <c r="A301" i="18"/>
  <c r="A302" i="18"/>
  <c r="A303" i="18"/>
  <c r="A304" i="18"/>
  <c r="A305" i="18"/>
  <c r="A306" i="18"/>
  <c r="A307" i="18"/>
  <c r="A308" i="18"/>
  <c r="A309" i="18"/>
  <c r="A310" i="18"/>
  <c r="A311" i="18"/>
  <c r="A312" i="18"/>
  <c r="A313" i="18"/>
  <c r="A314" i="18"/>
  <c r="A315" i="18"/>
  <c r="A316" i="18"/>
  <c r="A317" i="18"/>
  <c r="A318" i="18"/>
  <c r="A319" i="18"/>
  <c r="A320" i="18"/>
  <c r="A321" i="18"/>
  <c r="A322" i="18"/>
  <c r="A323" i="18"/>
  <c r="A324" i="18"/>
  <c r="A325" i="18"/>
  <c r="A326" i="18"/>
  <c r="A327" i="18"/>
  <c r="A328" i="18"/>
  <c r="A329" i="18"/>
  <c r="A330" i="18"/>
  <c r="A331" i="18"/>
  <c r="A332" i="18"/>
  <c r="A333" i="18"/>
  <c r="A334" i="18"/>
  <c r="A335" i="18"/>
  <c r="A336" i="18"/>
  <c r="A337" i="18"/>
  <c r="A338" i="18"/>
  <c r="A339" i="18"/>
  <c r="A340" i="18"/>
  <c r="A341" i="18"/>
  <c r="A342" i="18"/>
  <c r="A343" i="18"/>
  <c r="A344" i="18"/>
  <c r="A345" i="18"/>
  <c r="A346" i="18"/>
  <c r="A347" i="18"/>
  <c r="A348" i="18"/>
  <c r="A349" i="18"/>
  <c r="A350" i="18"/>
  <c r="A351" i="18"/>
  <c r="A352" i="18"/>
  <c r="A353" i="18"/>
  <c r="A354" i="18"/>
  <c r="A355" i="18"/>
  <c r="A356" i="18"/>
  <c r="A357" i="18"/>
  <c r="A358" i="18"/>
  <c r="A359" i="18"/>
  <c r="A360" i="18"/>
  <c r="A361" i="18"/>
  <c r="A362" i="18"/>
  <c r="A363" i="18"/>
  <c r="A364" i="18"/>
  <c r="A365" i="18"/>
  <c r="A366" i="18"/>
  <c r="A367" i="18"/>
  <c r="A368" i="18"/>
  <c r="A369" i="18"/>
  <c r="A370" i="18"/>
  <c r="A371" i="18"/>
  <c r="A372" i="18"/>
  <c r="A373" i="18"/>
  <c r="A374" i="18"/>
  <c r="A375" i="18"/>
  <c r="A376" i="18"/>
  <c r="A377" i="18"/>
  <c r="A378" i="18"/>
  <c r="A379" i="18"/>
  <c r="A380" i="18"/>
  <c r="A381" i="18"/>
  <c r="A382" i="18"/>
  <c r="A383" i="18"/>
  <c r="A384" i="18"/>
  <c r="A385" i="18"/>
  <c r="A386" i="18"/>
  <c r="A387" i="18"/>
  <c r="A388" i="18"/>
  <c r="A389" i="18"/>
  <c r="A390" i="18"/>
  <c r="A391" i="18"/>
  <c r="A392" i="18"/>
  <c r="A393" i="18"/>
  <c r="A394" i="18"/>
  <c r="A395" i="18"/>
  <c r="A396" i="18"/>
  <c r="A397" i="18"/>
  <c r="A398" i="18"/>
  <c r="A399" i="18"/>
  <c r="A400" i="18"/>
  <c r="A401" i="18"/>
  <c r="A402" i="18"/>
  <c r="A403" i="18"/>
  <c r="A404" i="18"/>
  <c r="A405" i="18"/>
  <c r="A406" i="18"/>
  <c r="A407" i="18"/>
  <c r="A408" i="18"/>
  <c r="A409" i="18"/>
  <c r="A410" i="18"/>
  <c r="A411" i="18"/>
  <c r="A412" i="18"/>
  <c r="A413" i="18"/>
  <c r="A414" i="18"/>
  <c r="A415" i="18"/>
  <c r="A416" i="18"/>
  <c r="A417" i="18"/>
  <c r="A418" i="18"/>
  <c r="A419" i="18"/>
  <c r="A420" i="18"/>
  <c r="A421" i="18"/>
  <c r="A422" i="18"/>
  <c r="A423" i="18"/>
  <c r="A424" i="18"/>
  <c r="A425" i="18"/>
  <c r="A426" i="18"/>
  <c r="A427" i="18"/>
  <c r="A428" i="18"/>
  <c r="A429" i="18"/>
  <c r="A430" i="18"/>
  <c r="A431" i="18"/>
  <c r="A432" i="18"/>
  <c r="A433" i="18"/>
  <c r="A434" i="18"/>
  <c r="A435" i="18"/>
  <c r="A436" i="18"/>
  <c r="A437" i="18"/>
  <c r="A438" i="18"/>
  <c r="A439" i="18"/>
  <c r="A440" i="18"/>
  <c r="A441" i="18"/>
  <c r="A442" i="18"/>
  <c r="A443" i="18"/>
  <c r="A444" i="18"/>
  <c r="A445" i="18"/>
  <c r="A446" i="18"/>
  <c r="A447" i="18"/>
  <c r="A448" i="18"/>
  <c r="A449" i="18"/>
  <c r="A450" i="18"/>
  <c r="A451" i="18"/>
  <c r="A452" i="18"/>
  <c r="A453" i="18"/>
  <c r="A454" i="18"/>
  <c r="A455" i="18"/>
  <c r="A456" i="18"/>
  <c r="A457" i="18"/>
  <c r="A458" i="18"/>
  <c r="A459" i="18"/>
  <c r="A460" i="18"/>
  <c r="A461" i="18"/>
  <c r="A462" i="18"/>
  <c r="A463" i="18"/>
  <c r="A464" i="18"/>
  <c r="A465" i="18"/>
  <c r="A466" i="18"/>
  <c r="A467" i="18"/>
  <c r="A468" i="18"/>
  <c r="A469" i="18"/>
  <c r="A470" i="18"/>
  <c r="A471" i="18"/>
  <c r="A472" i="18"/>
  <c r="A473" i="18"/>
  <c r="A474" i="18"/>
  <c r="A475" i="18"/>
  <c r="A476" i="18"/>
  <c r="A477" i="18"/>
  <c r="A478" i="18"/>
  <c r="A479" i="18"/>
  <c r="A480" i="18"/>
  <c r="A481" i="18"/>
  <c r="A482" i="18"/>
  <c r="A483" i="18"/>
  <c r="A484" i="18"/>
  <c r="A485" i="18"/>
  <c r="A486" i="18"/>
  <c r="A487" i="18"/>
  <c r="A488" i="18"/>
  <c r="A489" i="18"/>
  <c r="A490" i="18"/>
  <c r="A491" i="18"/>
  <c r="A492" i="18"/>
  <c r="A493" i="18"/>
  <c r="A494" i="18"/>
  <c r="A495" i="18"/>
  <c r="A496" i="18"/>
  <c r="A497" i="18"/>
  <c r="A498" i="18"/>
  <c r="A499" i="18"/>
  <c r="A500" i="18"/>
  <c r="A501" i="18"/>
  <c r="A502" i="18"/>
  <c r="A503" i="18"/>
  <c r="A504" i="18"/>
  <c r="A505" i="18"/>
  <c r="A506" i="18"/>
  <c r="A507" i="18"/>
  <c r="A508" i="18"/>
  <c r="A509" i="18"/>
  <c r="A510" i="18"/>
  <c r="A511" i="18"/>
  <c r="A512" i="18"/>
  <c r="A513" i="18"/>
  <c r="A514" i="18"/>
  <c r="A515" i="18"/>
  <c r="A516" i="18"/>
  <c r="A517" i="18"/>
  <c r="A518" i="18"/>
  <c r="A519" i="18"/>
  <c r="A520" i="18"/>
  <c r="A521" i="18"/>
  <c r="A522" i="18"/>
  <c r="A523" i="18"/>
  <c r="A524" i="18"/>
  <c r="A525" i="18"/>
  <c r="A526" i="18"/>
  <c r="A527" i="18"/>
  <c r="A528" i="18"/>
  <c r="A529" i="18"/>
  <c r="A530" i="18"/>
  <c r="A531" i="18"/>
  <c r="AA512" i="18"/>
  <c r="X512" i="18"/>
  <c r="Q512" i="18"/>
  <c r="P512" i="18"/>
  <c r="M512" i="18"/>
  <c r="B512" i="18"/>
  <c r="M502" i="18"/>
  <c r="AA502" i="18"/>
  <c r="X502" i="18"/>
  <c r="Q502" i="18"/>
  <c r="P502" i="18"/>
  <c r="B502" i="18"/>
  <c r="B495" i="18"/>
  <c r="B496" i="18"/>
  <c r="B497" i="18"/>
  <c r="B498" i="18"/>
  <c r="B499" i="18"/>
  <c r="B500" i="18"/>
  <c r="B501" i="18"/>
  <c r="B503" i="18"/>
  <c r="B504" i="18"/>
  <c r="B505" i="18"/>
  <c r="B506" i="18"/>
  <c r="B507" i="18"/>
  <c r="B508" i="18"/>
  <c r="B509" i="18"/>
  <c r="B510" i="18"/>
  <c r="B511" i="18"/>
  <c r="B513" i="18"/>
  <c r="B514" i="18"/>
  <c r="B515" i="18"/>
  <c r="B516" i="18"/>
  <c r="B517" i="18"/>
  <c r="B518" i="18"/>
  <c r="B519" i="18"/>
  <c r="B520" i="18"/>
  <c r="B521" i="18"/>
  <c r="B522" i="18"/>
  <c r="B523" i="18"/>
  <c r="B524" i="18"/>
  <c r="B525" i="18"/>
  <c r="B526" i="18"/>
  <c r="B527" i="18"/>
  <c r="B528" i="18"/>
  <c r="B529" i="18"/>
  <c r="B530" i="18"/>
  <c r="B531" i="18"/>
  <c r="M495" i="18"/>
  <c r="M496" i="18"/>
  <c r="M497" i="18"/>
  <c r="M498" i="18"/>
  <c r="M499" i="18"/>
  <c r="M500" i="18"/>
  <c r="M501" i="18"/>
  <c r="M503" i="18"/>
  <c r="M504" i="18"/>
  <c r="M505" i="18"/>
  <c r="M506" i="18"/>
  <c r="M507" i="18"/>
  <c r="M508" i="18"/>
  <c r="M509" i="18"/>
  <c r="M510" i="18"/>
  <c r="M511" i="18"/>
  <c r="M513" i="18"/>
  <c r="M514" i="18"/>
  <c r="M515" i="18"/>
  <c r="M516" i="18"/>
  <c r="M517" i="18"/>
  <c r="M518" i="18"/>
  <c r="M519" i="18"/>
  <c r="M520" i="18"/>
  <c r="M521" i="18"/>
  <c r="M522" i="18"/>
  <c r="M523" i="18"/>
  <c r="M524" i="18"/>
  <c r="M525" i="18"/>
  <c r="M526" i="18"/>
  <c r="M527" i="18"/>
  <c r="M528" i="18"/>
  <c r="M529" i="18"/>
  <c r="M530" i="18"/>
  <c r="M531" i="18"/>
  <c r="P495" i="18"/>
  <c r="P496" i="18"/>
  <c r="P497" i="18"/>
  <c r="P498" i="18"/>
  <c r="P499" i="18"/>
  <c r="P500" i="18"/>
  <c r="P501" i="18"/>
  <c r="P503" i="18"/>
  <c r="P504" i="18"/>
  <c r="P505" i="18"/>
  <c r="P506" i="18"/>
  <c r="P507" i="18"/>
  <c r="P508" i="18"/>
  <c r="P509" i="18"/>
  <c r="P510" i="18"/>
  <c r="P511" i="18"/>
  <c r="P513" i="18"/>
  <c r="P514" i="18"/>
  <c r="P515" i="18"/>
  <c r="P516" i="18"/>
  <c r="P517" i="18"/>
  <c r="P518" i="18"/>
  <c r="P519" i="18"/>
  <c r="P520" i="18"/>
  <c r="P521" i="18"/>
  <c r="P522" i="18"/>
  <c r="P523" i="18"/>
  <c r="P524" i="18"/>
  <c r="P525" i="18"/>
  <c r="P526" i="18"/>
  <c r="P527" i="18"/>
  <c r="P528" i="18"/>
  <c r="P529" i="18"/>
  <c r="P530" i="18"/>
  <c r="P531" i="18"/>
  <c r="Q495" i="18"/>
  <c r="Q496" i="18"/>
  <c r="Q497" i="18"/>
  <c r="Q498" i="18"/>
  <c r="Q499" i="18"/>
  <c r="Q500" i="18"/>
  <c r="Q501" i="18"/>
  <c r="Q503" i="18"/>
  <c r="Q504" i="18"/>
  <c r="Q505" i="18"/>
  <c r="Q506" i="18"/>
  <c r="Q507" i="18"/>
  <c r="Q508" i="18"/>
  <c r="Q509" i="18"/>
  <c r="Q510" i="18"/>
  <c r="Q511" i="18"/>
  <c r="Q513" i="18"/>
  <c r="Q514" i="18"/>
  <c r="Q515" i="18"/>
  <c r="Q516" i="18"/>
  <c r="Q517" i="18"/>
  <c r="Q518" i="18"/>
  <c r="Q519" i="18"/>
  <c r="Q520" i="18"/>
  <c r="Q521" i="18"/>
  <c r="Q522" i="18"/>
  <c r="Q523" i="18"/>
  <c r="Q524" i="18"/>
  <c r="Q525" i="18"/>
  <c r="Q526" i="18"/>
  <c r="Q527" i="18"/>
  <c r="Q528" i="18"/>
  <c r="Q529" i="18"/>
  <c r="Q530" i="18"/>
  <c r="Q531" i="18"/>
  <c r="X495" i="18"/>
  <c r="X496" i="18"/>
  <c r="X497" i="18"/>
  <c r="X498" i="18"/>
  <c r="X499" i="18"/>
  <c r="X500" i="18"/>
  <c r="X501" i="18"/>
  <c r="X503" i="18"/>
  <c r="X504" i="18"/>
  <c r="X505" i="18"/>
  <c r="X506" i="18"/>
  <c r="X507" i="18"/>
  <c r="X508" i="18"/>
  <c r="X509" i="18"/>
  <c r="X510" i="18"/>
  <c r="X511" i="18"/>
  <c r="X513" i="18"/>
  <c r="X514" i="18"/>
  <c r="X515" i="18"/>
  <c r="X516" i="18"/>
  <c r="X517" i="18"/>
  <c r="X518" i="18"/>
  <c r="X519" i="18"/>
  <c r="X520" i="18"/>
  <c r="X521" i="18"/>
  <c r="X522" i="18"/>
  <c r="X523" i="18"/>
  <c r="X524" i="18"/>
  <c r="X525" i="18"/>
  <c r="X526" i="18"/>
  <c r="X527" i="18"/>
  <c r="X528" i="18"/>
  <c r="X529" i="18"/>
  <c r="X530" i="18"/>
  <c r="X531" i="18"/>
  <c r="AA495" i="18"/>
  <c r="AA496" i="18"/>
  <c r="AA497" i="18"/>
  <c r="AA498" i="18"/>
  <c r="AA499" i="18"/>
  <c r="AA500" i="18"/>
  <c r="AA501" i="18"/>
  <c r="AA503" i="18"/>
  <c r="AA504" i="18"/>
  <c r="AA505" i="18"/>
  <c r="AA506" i="18"/>
  <c r="AA507" i="18"/>
  <c r="AA508" i="18"/>
  <c r="AA509" i="18"/>
  <c r="AA510" i="18"/>
  <c r="AA511" i="18"/>
  <c r="AA513" i="18"/>
  <c r="AA514" i="18"/>
  <c r="AA515" i="18"/>
  <c r="AA516" i="18"/>
  <c r="AA517" i="18"/>
  <c r="AA518" i="18"/>
  <c r="AA519" i="18"/>
  <c r="AA520" i="18"/>
  <c r="AA521" i="18"/>
  <c r="AA522" i="18"/>
  <c r="AA523" i="18"/>
  <c r="AA524" i="18"/>
  <c r="AA525" i="18"/>
  <c r="AA526" i="18"/>
  <c r="AA527" i="18"/>
  <c r="AA528" i="18"/>
  <c r="AA529" i="18"/>
  <c r="AA530" i="18"/>
  <c r="AA531" i="18"/>
  <c r="AA4611" i="24"/>
  <c r="V4611" i="24"/>
  <c r="Q4611" i="24"/>
  <c r="P4611" i="24"/>
  <c r="M4611" i="24"/>
  <c r="B4611" i="24"/>
  <c r="M983" i="9" l="1"/>
  <c r="A984" i="9"/>
  <c r="AA4601" i="24"/>
  <c r="V4601" i="24"/>
  <c r="Q4601" i="24"/>
  <c r="P4601" i="24"/>
  <c r="M4601" i="24"/>
  <c r="B4601" i="24"/>
  <c r="AB1107" i="8"/>
  <c r="W1107" i="8"/>
  <c r="R1107" i="8"/>
  <c r="Q1107" i="8"/>
  <c r="N1107" i="8"/>
  <c r="B1107" i="8"/>
  <c r="AB1106" i="8"/>
  <c r="W1106" i="8"/>
  <c r="R1106" i="8"/>
  <c r="Q1106" i="8"/>
  <c r="N1106" i="8"/>
  <c r="B1106" i="8"/>
  <c r="AB1105" i="8"/>
  <c r="W1105" i="8"/>
  <c r="R1105" i="8"/>
  <c r="Q1105" i="8"/>
  <c r="N1105" i="8"/>
  <c r="B1105" i="8"/>
  <c r="A1105" i="8"/>
  <c r="M1105" i="8" s="1"/>
  <c r="M1106" i="8" s="1"/>
  <c r="M1107" i="8" s="1"/>
  <c r="M1108" i="8" s="1"/>
  <c r="M1109" i="8" s="1"/>
  <c r="M1110" i="8" s="1"/>
  <c r="M984" i="9" l="1"/>
  <c r="A985" i="9"/>
  <c r="M985" i="9" s="1"/>
  <c r="A1106" i="8"/>
  <c r="A1107" i="8" s="1"/>
  <c r="A1108" i="8" s="1"/>
  <c r="A1109" i="8" s="1"/>
  <c r="A1110" i="8" s="1"/>
  <c r="A980" i="9" l="1"/>
  <c r="M980" i="9" s="1"/>
  <c r="B980" i="9"/>
  <c r="N980" i="9"/>
  <c r="Q980" i="9"/>
  <c r="R980" i="9"/>
  <c r="AB980" i="9"/>
  <c r="A979" i="9"/>
  <c r="M979" i="9" s="1"/>
  <c r="B979" i="9"/>
  <c r="N979" i="9"/>
  <c r="Q979" i="9"/>
  <c r="R979" i="9"/>
  <c r="AB979" i="9"/>
  <c r="A1104" i="8"/>
  <c r="M1104" i="8" s="1"/>
  <c r="B1104" i="8"/>
  <c r="N1104" i="8"/>
  <c r="Q1104" i="8"/>
  <c r="R1104" i="8"/>
  <c r="W1104" i="8"/>
  <c r="AB1104" i="8"/>
  <c r="A1103" i="8"/>
  <c r="M1103" i="8" s="1"/>
  <c r="B1103" i="8"/>
  <c r="N1103" i="8"/>
  <c r="Q1103" i="8"/>
  <c r="R1103" i="8"/>
  <c r="W1103" i="8"/>
  <c r="AB1103" i="8"/>
  <c r="B1102" i="8"/>
  <c r="N1102" i="8"/>
  <c r="Q1102" i="8"/>
  <c r="R1102" i="8"/>
  <c r="W1102" i="8"/>
  <c r="AB1102" i="8"/>
  <c r="B1101" i="8"/>
  <c r="N1101" i="8"/>
  <c r="Q1101" i="8"/>
  <c r="R1101" i="8"/>
  <c r="W1101" i="8"/>
  <c r="AB1101" i="8"/>
  <c r="A1100" i="8"/>
  <c r="M1100" i="8" s="1"/>
  <c r="M1101" i="8" s="1"/>
  <c r="M1102" i="8" s="1"/>
  <c r="B1100" i="8"/>
  <c r="N1100" i="8"/>
  <c r="Q1100" i="8"/>
  <c r="R1100" i="8"/>
  <c r="W1100" i="8"/>
  <c r="AB1100" i="8"/>
  <c r="A4594" i="24"/>
  <c r="B4592" i="24"/>
  <c r="M4592" i="24"/>
  <c r="P4592" i="24"/>
  <c r="Q4592" i="24"/>
  <c r="V4592" i="24"/>
  <c r="AA4592" i="24"/>
  <c r="B4593" i="24"/>
  <c r="M4593" i="24"/>
  <c r="P4593" i="24"/>
  <c r="Q4593" i="24"/>
  <c r="V4593" i="24"/>
  <c r="AA4593" i="24"/>
  <c r="A1099" i="8"/>
  <c r="M1099" i="8" s="1"/>
  <c r="B1099" i="8"/>
  <c r="N1099" i="8"/>
  <c r="Q1099" i="8"/>
  <c r="R1099" i="8"/>
  <c r="W1099" i="8"/>
  <c r="AB1099" i="8"/>
  <c r="A4610" i="24"/>
  <c r="A4611" i="24" s="1"/>
  <c r="B4610" i="24"/>
  <c r="M4610" i="24"/>
  <c r="P4610" i="24"/>
  <c r="Q4610" i="24"/>
  <c r="V4610" i="24"/>
  <c r="AA4610" i="24"/>
  <c r="B4609" i="24"/>
  <c r="M4609" i="24"/>
  <c r="P4609" i="24"/>
  <c r="Q4609" i="24"/>
  <c r="V4609" i="24"/>
  <c r="AA4609" i="24"/>
  <c r="B978" i="9"/>
  <c r="N978" i="9"/>
  <c r="Q978" i="9"/>
  <c r="R978" i="9"/>
  <c r="AB978" i="9"/>
  <c r="B977" i="9"/>
  <c r="N977" i="9"/>
  <c r="Q977" i="9"/>
  <c r="R977" i="9"/>
  <c r="AB977" i="9"/>
  <c r="A976" i="9"/>
  <c r="M976" i="9" s="1"/>
  <c r="B976" i="9"/>
  <c r="N976" i="9"/>
  <c r="Q976" i="9"/>
  <c r="R976" i="9"/>
  <c r="AB976" i="9"/>
  <c r="A4612" i="24" l="1"/>
  <c r="A4613" i="24" s="1"/>
  <c r="A4614" i="24" s="1"/>
  <c r="A4615" i="24" s="1"/>
  <c r="A4617" i="24"/>
  <c r="A4618" i="24" s="1"/>
  <c r="A1101" i="8"/>
  <c r="A1102" i="8" s="1"/>
  <c r="A977" i="9"/>
  <c r="A4619" i="24" l="1"/>
  <c r="A4620" i="24" s="1"/>
  <c r="A4621" i="24" s="1"/>
  <c r="M977" i="9"/>
  <c r="A978" i="9"/>
  <c r="M978" i="9" s="1"/>
  <c r="A4600" i="24" l="1"/>
  <c r="B4600" i="24"/>
  <c r="M4600" i="24"/>
  <c r="P4600" i="24"/>
  <c r="Q4600" i="24"/>
  <c r="V4600" i="24"/>
  <c r="AA4600" i="24"/>
  <c r="A4599" i="24"/>
  <c r="A4590" i="24"/>
  <c r="A4591" i="24"/>
  <c r="B4589" i="24"/>
  <c r="M4589" i="24"/>
  <c r="P4589" i="24"/>
  <c r="Q4589" i="24"/>
  <c r="V4589" i="24"/>
  <c r="AA4589" i="24"/>
  <c r="B4590" i="24"/>
  <c r="M4590" i="24"/>
  <c r="P4590" i="24"/>
  <c r="Q4590" i="24"/>
  <c r="V4590" i="24"/>
  <c r="AA4590" i="24"/>
  <c r="B975" i="9"/>
  <c r="N975" i="9"/>
  <c r="Q975" i="9"/>
  <c r="R975" i="9"/>
  <c r="AB975" i="9"/>
  <c r="B4599" i="24"/>
  <c r="M4599" i="24"/>
  <c r="P4599" i="24"/>
  <c r="Q4599" i="24"/>
  <c r="V4599" i="24"/>
  <c r="AA4599" i="24"/>
  <c r="A4601" i="24" l="1"/>
  <c r="A4602" i="24" s="1"/>
  <c r="A4592" i="24"/>
  <c r="A4593" i="24" s="1"/>
  <c r="A2" i="13"/>
  <c r="A3" i="13"/>
  <c r="A4" i="13"/>
  <c r="A5" i="13"/>
  <c r="A6" i="13"/>
  <c r="A7" i="13"/>
  <c r="A8" i="13"/>
  <c r="A9" i="13"/>
  <c r="A10" i="13"/>
  <c r="A11" i="13"/>
  <c r="A12" i="13"/>
  <c r="A13" i="13"/>
  <c r="A14" i="13"/>
  <c r="A15" i="13"/>
  <c r="A16" i="13"/>
  <c r="A17" i="13"/>
  <c r="A18" i="13"/>
  <c r="A19" i="13"/>
  <c r="A20" i="13"/>
  <c r="A21" i="13"/>
  <c r="A22" i="13"/>
  <c r="A23" i="13"/>
  <c r="A24" i="13"/>
  <c r="A25" i="13"/>
  <c r="A26" i="13"/>
  <c r="A27" i="13"/>
  <c r="A28" i="13"/>
  <c r="A29" i="13"/>
  <c r="A30" i="13"/>
  <c r="A31" i="13"/>
  <c r="A32" i="13"/>
  <c r="A33" i="13"/>
  <c r="A34" i="13"/>
  <c r="A35" i="13"/>
  <c r="A36" i="13"/>
  <c r="A37" i="13"/>
  <c r="A38" i="13"/>
  <c r="A39" i="13"/>
  <c r="A40" i="13"/>
  <c r="A41" i="13"/>
  <c r="A42" i="13"/>
  <c r="A43" i="13"/>
  <c r="A44" i="13"/>
  <c r="A45" i="13"/>
  <c r="A46" i="13"/>
  <c r="A47" i="13"/>
  <c r="A48" i="13"/>
  <c r="A49" i="13"/>
  <c r="A50" i="13"/>
  <c r="A51" i="13"/>
  <c r="A52" i="13"/>
  <c r="A53" i="13"/>
  <c r="A54" i="13"/>
  <c r="A55" i="13"/>
  <c r="A56" i="13"/>
  <c r="A57" i="13"/>
  <c r="A58" i="13"/>
  <c r="A59" i="13"/>
  <c r="A60" i="13"/>
  <c r="A61" i="13"/>
  <c r="A62" i="13"/>
  <c r="A63" i="13"/>
  <c r="A64" i="13"/>
  <c r="A65" i="13"/>
  <c r="A66" i="13"/>
  <c r="A67" i="13"/>
  <c r="A68" i="13"/>
  <c r="A69" i="13"/>
  <c r="A70" i="13"/>
  <c r="A71" i="13"/>
  <c r="A72" i="13"/>
  <c r="A73" i="13"/>
  <c r="A74" i="13"/>
  <c r="A75" i="13"/>
  <c r="A76" i="13"/>
  <c r="A77" i="13"/>
  <c r="A78" i="13"/>
  <c r="A79" i="13"/>
  <c r="A80" i="13"/>
  <c r="A81" i="13"/>
  <c r="A82" i="13"/>
  <c r="A83" i="13"/>
  <c r="A84" i="13"/>
  <c r="A85" i="13"/>
  <c r="A86" i="13"/>
  <c r="A87" i="13"/>
  <c r="A88" i="13"/>
  <c r="A89" i="13"/>
  <c r="A90" i="13"/>
  <c r="A91" i="13"/>
  <c r="A92" i="13"/>
  <c r="A93" i="13"/>
  <c r="A94" i="13"/>
  <c r="A95" i="13"/>
  <c r="A96" i="13"/>
  <c r="A97" i="13"/>
  <c r="A98" i="13"/>
  <c r="A99" i="13"/>
  <c r="A100" i="13"/>
  <c r="A101" i="13"/>
  <c r="A102" i="13"/>
  <c r="A103" i="13"/>
  <c r="A104" i="13"/>
  <c r="A105" i="13"/>
  <c r="A106" i="13"/>
  <c r="A107" i="13"/>
  <c r="A108" i="13"/>
  <c r="A109" i="13"/>
  <c r="A110" i="13"/>
  <c r="A111" i="13"/>
  <c r="A112" i="13"/>
  <c r="A113" i="13"/>
  <c r="A114" i="13"/>
  <c r="A115" i="13"/>
  <c r="A116" i="13"/>
  <c r="A117" i="13"/>
  <c r="A118" i="13"/>
  <c r="A119" i="13"/>
  <c r="A120" i="13"/>
  <c r="A121" i="13"/>
  <c r="A122" i="13"/>
  <c r="A123" i="13"/>
  <c r="A124" i="13"/>
  <c r="A125" i="13"/>
  <c r="A126" i="13"/>
  <c r="A127" i="13"/>
  <c r="A128" i="13"/>
  <c r="A129" i="13"/>
  <c r="A130" i="13"/>
  <c r="A131" i="13"/>
  <c r="A132" i="13"/>
  <c r="A133" i="13"/>
  <c r="A134" i="13"/>
  <c r="A135" i="13"/>
  <c r="A136" i="13"/>
  <c r="A137" i="13"/>
  <c r="A138" i="13"/>
  <c r="A139" i="13"/>
  <c r="A140" i="13"/>
  <c r="A141" i="13"/>
  <c r="A142" i="13"/>
  <c r="A143" i="13"/>
  <c r="A144" i="13"/>
  <c r="A145" i="13"/>
  <c r="A146" i="13"/>
  <c r="A147" i="13"/>
  <c r="A148" i="13"/>
  <c r="A149" i="13"/>
  <c r="A150" i="13"/>
  <c r="A151" i="13"/>
  <c r="A152" i="13"/>
  <c r="A153" i="13"/>
  <c r="A154" i="13"/>
  <c r="A155" i="13"/>
  <c r="A156" i="13"/>
  <c r="A157" i="13"/>
  <c r="A158" i="13"/>
  <c r="A159" i="13"/>
  <c r="A160" i="13"/>
  <c r="A161" i="13"/>
  <c r="A162" i="13"/>
  <c r="A163" i="13"/>
  <c r="A164" i="13"/>
  <c r="A165" i="13"/>
  <c r="A166" i="13"/>
  <c r="A167" i="13"/>
  <c r="A168" i="13"/>
  <c r="A169" i="13"/>
  <c r="A170" i="13"/>
  <c r="A171" i="13"/>
  <c r="A172" i="13"/>
  <c r="A173" i="13"/>
  <c r="A174" i="13"/>
  <c r="A175" i="13"/>
  <c r="A176" i="13"/>
  <c r="A177" i="13"/>
  <c r="A178" i="13"/>
  <c r="A179" i="13"/>
  <c r="A180" i="13"/>
  <c r="A181" i="13"/>
  <c r="A182" i="13"/>
  <c r="A183" i="13"/>
  <c r="A184" i="13"/>
  <c r="A185" i="13"/>
  <c r="A186" i="13"/>
  <c r="A187" i="13"/>
  <c r="A188" i="13"/>
  <c r="A189" i="13"/>
  <c r="A190" i="13"/>
  <c r="A191" i="13"/>
  <c r="A192" i="13"/>
  <c r="A193" i="13"/>
  <c r="A194" i="13"/>
  <c r="A195" i="13"/>
  <c r="A196" i="13"/>
  <c r="A197" i="13"/>
  <c r="A198" i="13"/>
  <c r="A199" i="13"/>
  <c r="A200" i="13"/>
  <c r="A201" i="13"/>
  <c r="A202" i="13"/>
  <c r="A203" i="13"/>
  <c r="A204" i="13"/>
  <c r="A205" i="13"/>
  <c r="A206" i="13"/>
  <c r="A207" i="13"/>
  <c r="A208" i="13"/>
  <c r="A209" i="13"/>
  <c r="A210" i="13"/>
  <c r="A211" i="13"/>
  <c r="A212" i="13"/>
  <c r="A213" i="13"/>
  <c r="A214" i="13"/>
  <c r="A215" i="13"/>
  <c r="A216" i="13"/>
  <c r="A217" i="13"/>
  <c r="A218" i="13"/>
  <c r="A219" i="13"/>
  <c r="A220" i="13"/>
  <c r="A221" i="13"/>
  <c r="A222" i="13"/>
  <c r="A223" i="13"/>
  <c r="A224" i="13"/>
  <c r="A225" i="13"/>
  <c r="A226" i="13"/>
  <c r="A227" i="13"/>
  <c r="A228" i="13"/>
  <c r="A229" i="13"/>
  <c r="A230" i="13"/>
  <c r="A231" i="13"/>
  <c r="A232" i="13"/>
  <c r="A233" i="13"/>
  <c r="A234" i="13"/>
  <c r="A235" i="13"/>
  <c r="A236" i="13"/>
  <c r="A237" i="13"/>
  <c r="A238" i="13"/>
  <c r="A239" i="13"/>
  <c r="A240" i="13"/>
  <c r="A241" i="13"/>
  <c r="A242" i="13"/>
  <c r="A243" i="13"/>
  <c r="A244" i="13"/>
  <c r="A245" i="13"/>
  <c r="A246" i="13"/>
  <c r="A247" i="13"/>
  <c r="A248" i="13"/>
  <c r="A249" i="13"/>
  <c r="A250" i="13"/>
  <c r="A251" i="13"/>
  <c r="A252" i="13"/>
  <c r="A253" i="13"/>
  <c r="A254" i="13"/>
  <c r="A255" i="13"/>
  <c r="A256" i="13"/>
  <c r="A257" i="13"/>
  <c r="A258" i="13"/>
  <c r="A259" i="13"/>
  <c r="A260" i="13"/>
  <c r="A261" i="13"/>
  <c r="A262" i="13"/>
  <c r="A263" i="13"/>
  <c r="A264" i="13"/>
  <c r="A265" i="13"/>
  <c r="A266" i="13"/>
  <c r="A267" i="13"/>
  <c r="A268" i="13"/>
  <c r="A269" i="13"/>
  <c r="A270" i="13"/>
  <c r="A271" i="13"/>
  <c r="A272" i="13"/>
  <c r="A273" i="13"/>
  <c r="A274" i="13"/>
  <c r="A275" i="13"/>
  <c r="A276" i="13"/>
  <c r="A277" i="13"/>
  <c r="A278" i="13"/>
  <c r="A279" i="13"/>
  <c r="A280" i="13"/>
  <c r="A281" i="13"/>
  <c r="A282" i="13"/>
  <c r="A283" i="13"/>
  <c r="A284" i="13"/>
  <c r="A285" i="13"/>
  <c r="A286" i="13"/>
  <c r="A287" i="13"/>
  <c r="A288" i="13"/>
  <c r="A289" i="13"/>
  <c r="A290" i="13"/>
  <c r="A291" i="13"/>
  <c r="A292" i="13"/>
  <c r="A293" i="13"/>
  <c r="A294" i="13"/>
  <c r="A295" i="13"/>
  <c r="A296" i="13"/>
  <c r="A297" i="13"/>
  <c r="A298" i="13"/>
  <c r="A299" i="13"/>
  <c r="A300" i="13"/>
  <c r="A301" i="13"/>
  <c r="A302" i="13"/>
  <c r="A303" i="13"/>
  <c r="A304" i="13"/>
  <c r="A305" i="13"/>
  <c r="A306" i="13"/>
  <c r="A307" i="13"/>
  <c r="A308" i="13"/>
  <c r="A309" i="13"/>
  <c r="A310" i="13"/>
  <c r="A311" i="13"/>
  <c r="A312" i="13"/>
  <c r="A313" i="13"/>
  <c r="A314" i="13"/>
  <c r="A315" i="13"/>
  <c r="A316" i="13"/>
  <c r="A317" i="13"/>
  <c r="A318" i="13"/>
  <c r="A319" i="13"/>
  <c r="A320" i="13"/>
  <c r="A321" i="13"/>
  <c r="A322" i="13"/>
  <c r="A323" i="13"/>
  <c r="A324" i="13"/>
  <c r="A325" i="13"/>
  <c r="A326" i="13"/>
  <c r="A327" i="13"/>
  <c r="A328" i="13"/>
  <c r="A329" i="13"/>
  <c r="A330" i="13"/>
  <c r="A331" i="13"/>
  <c r="A332" i="13"/>
  <c r="A333" i="13"/>
  <c r="A334" i="13"/>
  <c r="A335" i="13"/>
  <c r="A336" i="13"/>
  <c r="A337" i="13"/>
  <c r="A338" i="13"/>
  <c r="A339" i="13"/>
  <c r="A340" i="13"/>
  <c r="A341" i="13"/>
  <c r="A342" i="13"/>
  <c r="A343" i="13"/>
  <c r="A344" i="13"/>
  <c r="A345" i="13"/>
  <c r="A346" i="13"/>
  <c r="A347" i="13"/>
  <c r="A348" i="13"/>
  <c r="A349" i="13"/>
  <c r="A350" i="13"/>
  <c r="A351" i="13"/>
  <c r="A352" i="13"/>
  <c r="A353" i="13"/>
  <c r="A354" i="13"/>
  <c r="A355" i="13"/>
  <c r="A356" i="13"/>
  <c r="A357" i="13"/>
  <c r="A358" i="13"/>
  <c r="A359" i="13"/>
  <c r="A360" i="13"/>
  <c r="A361" i="13"/>
  <c r="A362" i="13"/>
  <c r="A363" i="13"/>
  <c r="A364" i="13"/>
  <c r="A365" i="13"/>
  <c r="A366" i="13"/>
  <c r="A367" i="13"/>
  <c r="A368" i="13"/>
  <c r="A369" i="13"/>
  <c r="A370" i="13"/>
  <c r="A371" i="13"/>
  <c r="A372" i="13"/>
  <c r="A373" i="13"/>
  <c r="A374" i="13"/>
  <c r="A375" i="13"/>
  <c r="A376" i="13"/>
  <c r="A377" i="13"/>
  <c r="A378" i="13"/>
  <c r="A379" i="13"/>
  <c r="A380" i="13"/>
  <c r="A381" i="13"/>
  <c r="A382" i="13"/>
  <c r="A383" i="13"/>
  <c r="A384" i="13"/>
  <c r="A385" i="13"/>
  <c r="A386" i="13"/>
  <c r="A387" i="13"/>
  <c r="A388" i="13"/>
  <c r="AA383" i="13"/>
  <c r="X383" i="13"/>
  <c r="Q383" i="13"/>
  <c r="P383" i="13"/>
  <c r="M383" i="13"/>
  <c r="B383" i="13"/>
  <c r="AA375" i="13"/>
  <c r="X375" i="13"/>
  <c r="Q375" i="13"/>
  <c r="P375" i="13"/>
  <c r="M375" i="13"/>
  <c r="B375" i="13"/>
  <c r="AA358" i="13"/>
  <c r="X358" i="13"/>
  <c r="Q358" i="13"/>
  <c r="P358" i="13"/>
  <c r="M358" i="13"/>
  <c r="B358" i="13"/>
  <c r="AA323" i="13"/>
  <c r="X323" i="13"/>
  <c r="Q323" i="13"/>
  <c r="P323" i="13"/>
  <c r="M323" i="13"/>
  <c r="B323" i="13"/>
  <c r="B324" i="13" l="1"/>
  <c r="B325" i="13"/>
  <c r="B326" i="13"/>
  <c r="B327" i="13"/>
  <c r="B328" i="13"/>
  <c r="B329" i="13"/>
  <c r="B330" i="13"/>
  <c r="B331" i="13"/>
  <c r="B332" i="13"/>
  <c r="B333" i="13"/>
  <c r="B334" i="13"/>
  <c r="B335" i="13"/>
  <c r="B336" i="13"/>
  <c r="B337" i="13"/>
  <c r="B338" i="13"/>
  <c r="B339" i="13"/>
  <c r="B340" i="13"/>
  <c r="B341" i="13"/>
  <c r="B342" i="13"/>
  <c r="B343" i="13"/>
  <c r="B344" i="13"/>
  <c r="B345" i="13"/>
  <c r="B346" i="13"/>
  <c r="B347" i="13"/>
  <c r="B348" i="13"/>
  <c r="B349" i="13"/>
  <c r="B350" i="13"/>
  <c r="B351" i="13"/>
  <c r="B352" i="13"/>
  <c r="B353" i="13"/>
  <c r="B354" i="13"/>
  <c r="B355" i="13"/>
  <c r="B356" i="13"/>
  <c r="B357" i="13"/>
  <c r="B359" i="13"/>
  <c r="B360" i="13"/>
  <c r="B361" i="13"/>
  <c r="B362" i="13"/>
  <c r="B363" i="13"/>
  <c r="B364" i="13"/>
  <c r="B365" i="13"/>
  <c r="B366" i="13"/>
  <c r="B367" i="13"/>
  <c r="B368" i="13"/>
  <c r="B369" i="13"/>
  <c r="B370" i="13"/>
  <c r="B371" i="13"/>
  <c r="B372" i="13"/>
  <c r="B373" i="13"/>
  <c r="B374" i="13"/>
  <c r="B376" i="13"/>
  <c r="B377" i="13"/>
  <c r="B378" i="13"/>
  <c r="B379" i="13"/>
  <c r="B380" i="13"/>
  <c r="B381" i="13"/>
  <c r="B382" i="13"/>
  <c r="B384" i="13"/>
  <c r="B385" i="13"/>
  <c r="B386" i="13"/>
  <c r="B387" i="13"/>
  <c r="B388" i="13"/>
  <c r="M324" i="13"/>
  <c r="M325" i="13"/>
  <c r="M326" i="13"/>
  <c r="M327" i="13"/>
  <c r="M328" i="13"/>
  <c r="M329" i="13"/>
  <c r="M330" i="13"/>
  <c r="M331" i="13"/>
  <c r="M332" i="13"/>
  <c r="M333" i="13"/>
  <c r="M334" i="13"/>
  <c r="M335" i="13"/>
  <c r="M336" i="13"/>
  <c r="M337" i="13"/>
  <c r="M338" i="13"/>
  <c r="M339" i="13"/>
  <c r="M340" i="13"/>
  <c r="M341" i="13"/>
  <c r="M342" i="13"/>
  <c r="M343" i="13"/>
  <c r="M344" i="13"/>
  <c r="M345" i="13"/>
  <c r="M346" i="13"/>
  <c r="M347" i="13"/>
  <c r="M348" i="13"/>
  <c r="M349" i="13"/>
  <c r="M350" i="13"/>
  <c r="M351" i="13"/>
  <c r="M352" i="13"/>
  <c r="M353" i="13"/>
  <c r="M354" i="13"/>
  <c r="M355" i="13"/>
  <c r="M356" i="13"/>
  <c r="M357" i="13"/>
  <c r="M359" i="13"/>
  <c r="M360" i="13"/>
  <c r="M361" i="13"/>
  <c r="M362" i="13"/>
  <c r="M363" i="13"/>
  <c r="M364" i="13"/>
  <c r="M365" i="13"/>
  <c r="M366" i="13"/>
  <c r="M367" i="13"/>
  <c r="M368" i="13"/>
  <c r="M369" i="13"/>
  <c r="M370" i="13"/>
  <c r="M371" i="13"/>
  <c r="M372" i="13"/>
  <c r="M373" i="13"/>
  <c r="M374" i="13"/>
  <c r="M376" i="13"/>
  <c r="M377" i="13"/>
  <c r="M378" i="13"/>
  <c r="M379" i="13"/>
  <c r="M380" i="13"/>
  <c r="M381" i="13"/>
  <c r="M382" i="13"/>
  <c r="M384" i="13"/>
  <c r="M385" i="13"/>
  <c r="M386" i="13"/>
  <c r="M387" i="13"/>
  <c r="M388" i="13"/>
  <c r="P324" i="13"/>
  <c r="P325" i="13"/>
  <c r="P326" i="13"/>
  <c r="P327" i="13"/>
  <c r="P328" i="13"/>
  <c r="P329" i="13"/>
  <c r="P330" i="13"/>
  <c r="P331" i="13"/>
  <c r="P332" i="13"/>
  <c r="P333" i="13"/>
  <c r="P334" i="13"/>
  <c r="P335" i="13"/>
  <c r="P336" i="13"/>
  <c r="P337" i="13"/>
  <c r="P338" i="13"/>
  <c r="P339" i="13"/>
  <c r="P340" i="13"/>
  <c r="P341" i="13"/>
  <c r="P342" i="13"/>
  <c r="P343" i="13"/>
  <c r="P344" i="13"/>
  <c r="P345" i="13"/>
  <c r="P346" i="13"/>
  <c r="P347" i="13"/>
  <c r="P348" i="13"/>
  <c r="P349" i="13"/>
  <c r="P350" i="13"/>
  <c r="P351" i="13"/>
  <c r="P352" i="13"/>
  <c r="P353" i="13"/>
  <c r="P354" i="13"/>
  <c r="P355" i="13"/>
  <c r="P356" i="13"/>
  <c r="P357" i="13"/>
  <c r="P359" i="13"/>
  <c r="P360" i="13"/>
  <c r="P361" i="13"/>
  <c r="P362" i="13"/>
  <c r="P363" i="13"/>
  <c r="P364" i="13"/>
  <c r="P365" i="13"/>
  <c r="P366" i="13"/>
  <c r="P367" i="13"/>
  <c r="P368" i="13"/>
  <c r="P369" i="13"/>
  <c r="P370" i="13"/>
  <c r="P371" i="13"/>
  <c r="P372" i="13"/>
  <c r="P373" i="13"/>
  <c r="P374" i="13"/>
  <c r="P376" i="13"/>
  <c r="P377" i="13"/>
  <c r="P378" i="13"/>
  <c r="P379" i="13"/>
  <c r="P380" i="13"/>
  <c r="P381" i="13"/>
  <c r="P382" i="13"/>
  <c r="P384" i="13"/>
  <c r="P385" i="13"/>
  <c r="P386" i="13"/>
  <c r="P387" i="13"/>
  <c r="P388" i="13"/>
  <c r="Q324" i="13"/>
  <c r="Q325" i="13"/>
  <c r="Q326" i="13"/>
  <c r="Q327" i="13"/>
  <c r="Q328" i="13"/>
  <c r="Q329" i="13"/>
  <c r="Q330" i="13"/>
  <c r="Q331" i="13"/>
  <c r="Q332" i="13"/>
  <c r="Q333" i="13"/>
  <c r="Q334" i="13"/>
  <c r="Q335" i="13"/>
  <c r="Q336" i="13"/>
  <c r="Q337" i="13"/>
  <c r="Q338" i="13"/>
  <c r="Q339" i="13"/>
  <c r="Q340" i="13"/>
  <c r="Q341" i="13"/>
  <c r="Q342" i="13"/>
  <c r="Q343" i="13"/>
  <c r="Q344" i="13"/>
  <c r="Q345" i="13"/>
  <c r="Q346" i="13"/>
  <c r="Q347" i="13"/>
  <c r="Q348" i="13"/>
  <c r="Q349" i="13"/>
  <c r="Q350" i="13"/>
  <c r="Q351" i="13"/>
  <c r="Q352" i="13"/>
  <c r="Q353" i="13"/>
  <c r="Q354" i="13"/>
  <c r="Q355" i="13"/>
  <c r="Q356" i="13"/>
  <c r="Q357" i="13"/>
  <c r="Q359" i="13"/>
  <c r="Q360" i="13"/>
  <c r="Q361" i="13"/>
  <c r="Q362" i="13"/>
  <c r="Q363" i="13"/>
  <c r="Q364" i="13"/>
  <c r="Q365" i="13"/>
  <c r="Q366" i="13"/>
  <c r="Q367" i="13"/>
  <c r="Q368" i="13"/>
  <c r="Q369" i="13"/>
  <c r="Q370" i="13"/>
  <c r="Q371" i="13"/>
  <c r="Q372" i="13"/>
  <c r="Q373" i="13"/>
  <c r="Q374" i="13"/>
  <c r="Q376" i="13"/>
  <c r="Q377" i="13"/>
  <c r="Q378" i="13"/>
  <c r="Q379" i="13"/>
  <c r="Q380" i="13"/>
  <c r="Q381" i="13"/>
  <c r="Q382" i="13"/>
  <c r="Q384" i="13"/>
  <c r="Q385" i="13"/>
  <c r="Q386" i="13"/>
  <c r="Q387" i="13"/>
  <c r="Q388" i="13"/>
  <c r="X324" i="13"/>
  <c r="X325" i="13"/>
  <c r="X326" i="13"/>
  <c r="X327" i="13"/>
  <c r="X328" i="13"/>
  <c r="X329" i="13"/>
  <c r="X330" i="13"/>
  <c r="X331" i="13"/>
  <c r="X332" i="13"/>
  <c r="X333" i="13"/>
  <c r="X334" i="13"/>
  <c r="X335" i="13"/>
  <c r="X336" i="13"/>
  <c r="X337" i="13"/>
  <c r="X338" i="13"/>
  <c r="X339" i="13"/>
  <c r="X340" i="13"/>
  <c r="X341" i="13"/>
  <c r="X342" i="13"/>
  <c r="X343" i="13"/>
  <c r="X344" i="13"/>
  <c r="X345" i="13"/>
  <c r="X346" i="13"/>
  <c r="X347" i="13"/>
  <c r="X348" i="13"/>
  <c r="X349" i="13"/>
  <c r="X350" i="13"/>
  <c r="X351" i="13"/>
  <c r="X352" i="13"/>
  <c r="X353" i="13"/>
  <c r="X354" i="13"/>
  <c r="X355" i="13"/>
  <c r="X356" i="13"/>
  <c r="X357" i="13"/>
  <c r="X359" i="13"/>
  <c r="X360" i="13"/>
  <c r="X361" i="13"/>
  <c r="X362" i="13"/>
  <c r="X363" i="13"/>
  <c r="X364" i="13"/>
  <c r="X365" i="13"/>
  <c r="X366" i="13"/>
  <c r="X367" i="13"/>
  <c r="X368" i="13"/>
  <c r="X369" i="13"/>
  <c r="X370" i="13"/>
  <c r="X371" i="13"/>
  <c r="X372" i="13"/>
  <c r="X373" i="13"/>
  <c r="X374" i="13"/>
  <c r="X376" i="13"/>
  <c r="X377" i="13"/>
  <c r="X378" i="13"/>
  <c r="X379" i="13"/>
  <c r="X380" i="13"/>
  <c r="X381" i="13"/>
  <c r="X382" i="13"/>
  <c r="X384" i="13"/>
  <c r="X385" i="13"/>
  <c r="X386" i="13"/>
  <c r="X387" i="13"/>
  <c r="X388" i="13"/>
  <c r="AA324" i="13"/>
  <c r="AA325" i="13"/>
  <c r="AA326" i="13"/>
  <c r="AA327" i="13"/>
  <c r="AA328" i="13"/>
  <c r="AA329" i="13"/>
  <c r="AA330" i="13"/>
  <c r="AA331" i="13"/>
  <c r="AA332" i="13"/>
  <c r="AA333" i="13"/>
  <c r="AA334" i="13"/>
  <c r="AA335" i="13"/>
  <c r="AA336" i="13"/>
  <c r="AA337" i="13"/>
  <c r="AA338" i="13"/>
  <c r="AA339" i="13"/>
  <c r="AA340" i="13"/>
  <c r="AA341" i="13"/>
  <c r="AA342" i="13"/>
  <c r="AA343" i="13"/>
  <c r="AA344" i="13"/>
  <c r="AA345" i="13"/>
  <c r="AA346" i="13"/>
  <c r="AA347" i="13"/>
  <c r="AA348" i="13"/>
  <c r="AA349" i="13"/>
  <c r="AA350" i="13"/>
  <c r="AA351" i="13"/>
  <c r="AA352" i="13"/>
  <c r="AA353" i="13"/>
  <c r="AA354" i="13"/>
  <c r="AA355" i="13"/>
  <c r="AA356" i="13"/>
  <c r="AA357" i="13"/>
  <c r="AA359" i="13"/>
  <c r="AA360" i="13"/>
  <c r="AA361" i="13"/>
  <c r="AA362" i="13"/>
  <c r="AA363" i="13"/>
  <c r="AA364" i="13"/>
  <c r="AA365" i="13"/>
  <c r="AA366" i="13"/>
  <c r="AA367" i="13"/>
  <c r="AA368" i="13"/>
  <c r="AA369" i="13"/>
  <c r="AA370" i="13"/>
  <c r="AA371" i="13"/>
  <c r="AA372" i="13"/>
  <c r="AA373" i="13"/>
  <c r="AA374" i="13"/>
  <c r="AA376" i="13"/>
  <c r="AA377" i="13"/>
  <c r="AA378" i="13"/>
  <c r="AA379" i="13"/>
  <c r="AA380" i="13"/>
  <c r="AA381" i="13"/>
  <c r="AA382" i="13"/>
  <c r="AA384" i="13"/>
  <c r="AA385" i="13"/>
  <c r="AA386" i="13"/>
  <c r="AA387" i="13"/>
  <c r="AA388" i="13"/>
  <c r="AA489" i="23"/>
  <c r="Q489" i="23"/>
  <c r="P489" i="23"/>
  <c r="M489" i="23"/>
  <c r="B489" i="23"/>
  <c r="A489" i="23"/>
  <c r="B57" i="5" l="1"/>
  <c r="A104" i="5"/>
  <c r="P104" i="5"/>
  <c r="AA57" i="5"/>
  <c r="B38" i="5"/>
  <c r="AA38" i="5"/>
  <c r="AA488" i="23" l="1"/>
  <c r="Q488" i="23"/>
  <c r="P488" i="23"/>
  <c r="M488" i="23"/>
  <c r="B488" i="23"/>
  <c r="A488" i="23"/>
  <c r="A2" i="12"/>
  <c r="A3" i="12"/>
  <c r="A4" i="12"/>
  <c r="A5" i="12"/>
  <c r="A6" i="12"/>
  <c r="A7" i="12"/>
  <c r="A8" i="12"/>
  <c r="A9" i="12"/>
  <c r="A10" i="12"/>
  <c r="A11" i="12"/>
  <c r="A12" i="12"/>
  <c r="A13" i="12"/>
  <c r="A14" i="12"/>
  <c r="A15" i="12"/>
  <c r="A16" i="12"/>
  <c r="A17" i="12"/>
  <c r="A18" i="12"/>
  <c r="A19" i="12"/>
  <c r="A20" i="12"/>
  <c r="A21" i="12"/>
  <c r="A22" i="12"/>
  <c r="A23" i="12"/>
  <c r="A24" i="12"/>
  <c r="A25" i="12"/>
  <c r="A26" i="12"/>
  <c r="A27" i="12"/>
  <c r="A28" i="12"/>
  <c r="A29" i="12"/>
  <c r="A30" i="12"/>
  <c r="A31" i="12"/>
  <c r="A32" i="12"/>
  <c r="A33" i="12"/>
  <c r="A34" i="12"/>
  <c r="A35" i="12"/>
  <c r="A36" i="12"/>
  <c r="A37" i="12"/>
  <c r="A38" i="12"/>
  <c r="A39" i="12"/>
  <c r="A40" i="12"/>
  <c r="A41" i="12"/>
  <c r="A42" i="12"/>
  <c r="A43" i="12"/>
  <c r="A44" i="12"/>
  <c r="A45" i="12"/>
  <c r="A46" i="12"/>
  <c r="A47" i="12"/>
  <c r="A48" i="12"/>
  <c r="A49" i="12"/>
  <c r="A50" i="12"/>
  <c r="A51" i="12"/>
  <c r="A52" i="12"/>
  <c r="A53" i="12"/>
  <c r="A54" i="12"/>
  <c r="A55" i="12"/>
  <c r="A56" i="12"/>
  <c r="A57" i="12"/>
  <c r="A58" i="12"/>
  <c r="A59" i="12"/>
  <c r="A60" i="12"/>
  <c r="A61" i="12"/>
  <c r="A62" i="12"/>
  <c r="A63" i="12"/>
  <c r="A64" i="12"/>
  <c r="A65" i="12"/>
  <c r="A66" i="12"/>
  <c r="A67" i="12"/>
  <c r="A68" i="12"/>
  <c r="A69" i="12"/>
  <c r="A70" i="12"/>
  <c r="A71" i="12"/>
  <c r="A72" i="12"/>
  <c r="A73" i="12"/>
  <c r="A74" i="12"/>
  <c r="A75" i="12"/>
  <c r="A76" i="12"/>
  <c r="A77" i="12"/>
  <c r="A78" i="12"/>
  <c r="A79" i="12"/>
  <c r="A80" i="12"/>
  <c r="A81" i="12"/>
  <c r="A82" i="12"/>
  <c r="A83" i="12"/>
  <c r="A84" i="12"/>
  <c r="A85" i="12"/>
  <c r="A86" i="12"/>
  <c r="A87" i="12"/>
  <c r="A88" i="12"/>
  <c r="A89" i="12"/>
  <c r="A90" i="12"/>
  <c r="A91" i="12"/>
  <c r="A92" i="12"/>
  <c r="A93" i="12"/>
  <c r="A94" i="12"/>
  <c r="A95" i="12"/>
  <c r="A96" i="12"/>
  <c r="A97" i="12"/>
  <c r="A98" i="12"/>
  <c r="A99" i="12"/>
  <c r="A100" i="12"/>
  <c r="A101" i="12"/>
  <c r="A102" i="12"/>
  <c r="A103" i="12"/>
  <c r="A104" i="12"/>
  <c r="A105" i="12"/>
  <c r="A106" i="12"/>
  <c r="A107" i="12"/>
  <c r="A108" i="12"/>
  <c r="A109" i="12"/>
  <c r="A110" i="12"/>
  <c r="A111" i="12"/>
  <c r="A112" i="12"/>
  <c r="A113" i="12"/>
  <c r="A114" i="12"/>
  <c r="A115" i="12"/>
  <c r="A116" i="12"/>
  <c r="A117" i="12"/>
  <c r="A118" i="12"/>
  <c r="A119" i="12"/>
  <c r="A120" i="12"/>
  <c r="A121" i="12"/>
  <c r="A122" i="12"/>
  <c r="A123" i="12"/>
  <c r="A124" i="12"/>
  <c r="A125" i="12"/>
  <c r="A126" i="12"/>
  <c r="A127" i="12"/>
  <c r="A128" i="12"/>
  <c r="A129" i="12"/>
  <c r="A130" i="12"/>
  <c r="A131" i="12"/>
  <c r="A132" i="12"/>
  <c r="A133" i="12"/>
  <c r="A134" i="12"/>
  <c r="A135" i="12"/>
  <c r="A136" i="12"/>
  <c r="A137" i="12"/>
  <c r="A138" i="12"/>
  <c r="A139" i="12"/>
  <c r="A140" i="12"/>
  <c r="A141" i="12"/>
  <c r="A142" i="12"/>
  <c r="A143" i="12"/>
  <c r="A144" i="12"/>
  <c r="A145" i="12"/>
  <c r="A146" i="12"/>
  <c r="A147" i="12"/>
  <c r="A148" i="12"/>
  <c r="A149" i="12"/>
  <c r="A150" i="12"/>
  <c r="A151" i="12"/>
  <c r="A152" i="12"/>
  <c r="A153" i="12"/>
  <c r="A154" i="12"/>
  <c r="A155" i="12"/>
  <c r="A156" i="12"/>
  <c r="A157" i="12"/>
  <c r="A158" i="12"/>
  <c r="A159" i="12"/>
  <c r="A160" i="12"/>
  <c r="A161" i="12"/>
  <c r="A162" i="12"/>
  <c r="A163" i="12"/>
  <c r="A164" i="12"/>
  <c r="A165" i="12"/>
  <c r="A166" i="12"/>
  <c r="A167" i="12"/>
  <c r="A168" i="12"/>
  <c r="A169" i="12"/>
  <c r="A170" i="12"/>
  <c r="A171" i="12"/>
  <c r="A172" i="12"/>
  <c r="A173" i="12"/>
  <c r="A174" i="12"/>
  <c r="A175" i="12"/>
  <c r="A176" i="12"/>
  <c r="A177" i="12"/>
  <c r="A178" i="12"/>
  <c r="A179" i="12"/>
  <c r="A180" i="12"/>
  <c r="A181" i="12"/>
  <c r="A182" i="12"/>
  <c r="A183" i="12"/>
  <c r="A184" i="12"/>
  <c r="A185" i="12"/>
  <c r="A186" i="12"/>
  <c r="A187" i="12"/>
  <c r="A188" i="12"/>
  <c r="A189" i="12"/>
  <c r="A190" i="12"/>
  <c r="A191" i="12"/>
  <c r="A192" i="12"/>
  <c r="A193" i="12"/>
  <c r="A194" i="12"/>
  <c r="A195" i="12"/>
  <c r="A196" i="12"/>
  <c r="A197" i="12"/>
  <c r="A198" i="12"/>
  <c r="A199" i="12"/>
  <c r="A200" i="12"/>
  <c r="A201" i="12"/>
  <c r="A202" i="12"/>
  <c r="A203" i="12"/>
  <c r="A204" i="12"/>
  <c r="A205" i="12"/>
  <c r="A206" i="12"/>
  <c r="A207" i="12"/>
  <c r="A208" i="12"/>
  <c r="A209" i="12"/>
  <c r="A210" i="12"/>
  <c r="A211" i="12"/>
  <c r="A212" i="12"/>
  <c r="A213" i="12"/>
  <c r="A214" i="12"/>
  <c r="A215" i="12"/>
  <c r="A216" i="12"/>
  <c r="A217" i="12"/>
  <c r="A218" i="12"/>
  <c r="A219" i="12"/>
  <c r="A220" i="12"/>
  <c r="A221" i="12"/>
  <c r="A222" i="12"/>
  <c r="A223" i="12"/>
  <c r="A224" i="12"/>
  <c r="A225" i="12"/>
  <c r="A226" i="12"/>
  <c r="A227" i="12"/>
  <c r="A228" i="12"/>
  <c r="A229" i="12"/>
  <c r="A230" i="12"/>
  <c r="A231" i="12"/>
  <c r="A232" i="12"/>
  <c r="A233" i="12"/>
  <c r="A234" i="12"/>
  <c r="A235" i="12"/>
  <c r="A236" i="12"/>
  <c r="A237" i="12"/>
  <c r="A238" i="12"/>
  <c r="A239" i="12"/>
  <c r="A240" i="12"/>
  <c r="A241" i="12"/>
  <c r="A242" i="12"/>
  <c r="A243" i="12"/>
  <c r="A244" i="12"/>
  <c r="A245" i="12"/>
  <c r="A246" i="12"/>
  <c r="A247" i="12"/>
  <c r="A248" i="12"/>
  <c r="A249" i="12"/>
  <c r="A250" i="12"/>
  <c r="A251" i="12"/>
  <c r="A252" i="12"/>
  <c r="A253" i="12"/>
  <c r="A254" i="12"/>
  <c r="A255" i="12"/>
  <c r="A256" i="12"/>
  <c r="A257" i="12"/>
  <c r="A258" i="12"/>
  <c r="A259" i="12"/>
  <c r="A260" i="12"/>
  <c r="A261" i="12"/>
  <c r="A262" i="12"/>
  <c r="A263" i="12"/>
  <c r="A264" i="12"/>
  <c r="A265" i="12"/>
  <c r="A266" i="12"/>
  <c r="A267" i="12"/>
  <c r="A268" i="12"/>
  <c r="A269" i="12"/>
  <c r="A270" i="12"/>
  <c r="A271" i="12"/>
  <c r="A272" i="12"/>
  <c r="A273" i="12"/>
  <c r="A274" i="12"/>
  <c r="A275" i="12"/>
  <c r="A276" i="12"/>
  <c r="A277" i="12"/>
  <c r="A278" i="12"/>
  <c r="A279" i="12"/>
  <c r="A280" i="12"/>
  <c r="A281" i="12"/>
  <c r="A282" i="12"/>
  <c r="A283" i="12"/>
  <c r="A284" i="12"/>
  <c r="A285" i="12"/>
  <c r="A286" i="12"/>
  <c r="A287" i="12"/>
  <c r="A288" i="12"/>
  <c r="A289" i="12"/>
  <c r="A290" i="12"/>
  <c r="A291" i="12"/>
  <c r="A292" i="12"/>
  <c r="A293" i="12"/>
  <c r="A294" i="12"/>
  <c r="A295" i="12"/>
  <c r="A296" i="12"/>
  <c r="A297" i="12"/>
  <c r="A298" i="12"/>
  <c r="A299" i="12"/>
  <c r="A300" i="12"/>
  <c r="A301" i="12"/>
  <c r="A302" i="12"/>
  <c r="A303" i="12"/>
  <c r="A304" i="12"/>
  <c r="A305" i="12"/>
  <c r="A306" i="12"/>
  <c r="A307" i="12"/>
  <c r="A308" i="12"/>
  <c r="A309" i="12"/>
  <c r="A310" i="12"/>
  <c r="A311" i="12"/>
  <c r="A312" i="12"/>
  <c r="A313" i="12"/>
  <c r="A314" i="12"/>
  <c r="A315" i="12"/>
  <c r="A316" i="12"/>
  <c r="A317" i="12"/>
  <c r="A318" i="12"/>
  <c r="A319" i="12"/>
  <c r="A320" i="12"/>
  <c r="A321" i="12"/>
  <c r="A322" i="12"/>
  <c r="A323" i="12"/>
  <c r="A324" i="12"/>
  <c r="A325" i="12"/>
  <c r="A326" i="12"/>
  <c r="A327" i="12"/>
  <c r="A328" i="12"/>
  <c r="A329" i="12"/>
  <c r="A330" i="12"/>
  <c r="A331" i="12"/>
  <c r="A332" i="12"/>
  <c r="A333" i="12"/>
  <c r="A334" i="12"/>
  <c r="A335" i="12"/>
  <c r="A336" i="12"/>
  <c r="A337" i="12"/>
  <c r="A338" i="12"/>
  <c r="A339" i="12"/>
  <c r="A340" i="12"/>
  <c r="A341" i="12"/>
  <c r="A342" i="12"/>
  <c r="A343" i="12"/>
  <c r="A344" i="12"/>
  <c r="A345" i="12"/>
  <c r="A346" i="12"/>
  <c r="A347" i="12"/>
  <c r="A348" i="12"/>
  <c r="A349" i="12"/>
  <c r="A350" i="12"/>
  <c r="A351" i="12"/>
  <c r="A352" i="12"/>
  <c r="A353" i="12"/>
  <c r="A354" i="12"/>
  <c r="A355" i="12"/>
  <c r="A356" i="12"/>
  <c r="A357" i="12"/>
  <c r="A358" i="12"/>
  <c r="A359" i="12"/>
  <c r="A360" i="12"/>
  <c r="A361" i="12"/>
  <c r="A362" i="12"/>
  <c r="A363" i="12"/>
  <c r="A364" i="12"/>
  <c r="A365" i="12"/>
  <c r="A366" i="12"/>
  <c r="A367" i="12"/>
  <c r="A368" i="12"/>
  <c r="A369" i="12"/>
  <c r="A370" i="12"/>
  <c r="A371" i="12"/>
  <c r="A372" i="12"/>
  <c r="A373" i="12"/>
  <c r="A374" i="12"/>
  <c r="A375" i="12"/>
  <c r="A376" i="12"/>
  <c r="A377" i="12"/>
  <c r="A378" i="12"/>
  <c r="A379" i="12"/>
  <c r="A380" i="12"/>
  <c r="A381" i="12"/>
  <c r="A382" i="12"/>
  <c r="A383" i="12"/>
  <c r="A384" i="12"/>
  <c r="A385" i="12"/>
  <c r="A386" i="12"/>
  <c r="A387" i="12"/>
  <c r="A388" i="12"/>
  <c r="A389" i="12"/>
  <c r="A390" i="12"/>
  <c r="A391" i="12"/>
  <c r="A392" i="12"/>
  <c r="A393" i="12"/>
  <c r="A394" i="12"/>
  <c r="A395" i="12"/>
  <c r="A396" i="12"/>
  <c r="A397" i="12"/>
  <c r="A398" i="12"/>
  <c r="A399" i="12"/>
  <c r="A400" i="12"/>
  <c r="A401" i="12"/>
  <c r="A402" i="12"/>
  <c r="A403" i="12"/>
  <c r="A404" i="12"/>
  <c r="A405" i="12"/>
  <c r="A406" i="12"/>
  <c r="A407" i="12"/>
  <c r="A408" i="12"/>
  <c r="B363" i="12"/>
  <c r="M363" i="12"/>
  <c r="P363" i="12"/>
  <c r="Q363" i="12"/>
  <c r="X363" i="12"/>
  <c r="AA363" i="12"/>
  <c r="AA4598" i="24"/>
  <c r="V4598" i="24"/>
  <c r="Q4598" i="24"/>
  <c r="P4598" i="24"/>
  <c r="M4598" i="24"/>
  <c r="B4598" i="24"/>
  <c r="AA4597" i="24" l="1"/>
  <c r="V4597" i="24"/>
  <c r="Q4597" i="24"/>
  <c r="P4597" i="24"/>
  <c r="M4597" i="24"/>
  <c r="B4597" i="24"/>
  <c r="B398" i="12"/>
  <c r="M398" i="12"/>
  <c r="P398" i="12"/>
  <c r="Q398" i="12"/>
  <c r="X398" i="12"/>
  <c r="AA398" i="12"/>
  <c r="B399" i="12" l="1"/>
  <c r="B400" i="12"/>
  <c r="B401" i="12"/>
  <c r="B402" i="12"/>
  <c r="B403" i="12"/>
  <c r="B404" i="12"/>
  <c r="B405" i="12"/>
  <c r="B406" i="12"/>
  <c r="B407" i="12"/>
  <c r="B408" i="12"/>
  <c r="M399" i="12"/>
  <c r="M400" i="12"/>
  <c r="M401" i="12"/>
  <c r="M402" i="12"/>
  <c r="M403" i="12"/>
  <c r="M404" i="12"/>
  <c r="M405" i="12"/>
  <c r="M406" i="12"/>
  <c r="M407" i="12"/>
  <c r="M408" i="12"/>
  <c r="P399" i="12"/>
  <c r="P400" i="12"/>
  <c r="P401" i="12"/>
  <c r="P402" i="12"/>
  <c r="P403" i="12"/>
  <c r="P404" i="12"/>
  <c r="P405" i="12"/>
  <c r="P406" i="12"/>
  <c r="P407" i="12"/>
  <c r="P408" i="12"/>
  <c r="Q399" i="12"/>
  <c r="Q400" i="12"/>
  <c r="Q401" i="12"/>
  <c r="Q402" i="12"/>
  <c r="Q403" i="12"/>
  <c r="Q404" i="12"/>
  <c r="Q405" i="12"/>
  <c r="Q406" i="12"/>
  <c r="Q407" i="12"/>
  <c r="Q408" i="12"/>
  <c r="X399" i="12"/>
  <c r="X400" i="12"/>
  <c r="X401" i="12"/>
  <c r="X402" i="12"/>
  <c r="X403" i="12"/>
  <c r="X404" i="12"/>
  <c r="X405" i="12"/>
  <c r="X406" i="12"/>
  <c r="X407" i="12"/>
  <c r="X408" i="12"/>
  <c r="AA399" i="12"/>
  <c r="AA400" i="12"/>
  <c r="AA401" i="12"/>
  <c r="AA402" i="12"/>
  <c r="AA403" i="12"/>
  <c r="AA404" i="12"/>
  <c r="AA405" i="12"/>
  <c r="AA406" i="12"/>
  <c r="AA407" i="12"/>
  <c r="AA408" i="12"/>
  <c r="AA4596" i="24" l="1"/>
  <c r="V4596" i="24"/>
  <c r="Q4596" i="24"/>
  <c r="P4596" i="24"/>
  <c r="B4596" i="24"/>
  <c r="A4596" i="24"/>
  <c r="A4597" i="24" s="1"/>
  <c r="A4598" i="24" s="1"/>
  <c r="M4596" i="24"/>
  <c r="AA4595" i="24"/>
  <c r="V4595" i="24"/>
  <c r="Q4595" i="24"/>
  <c r="P4595" i="24"/>
  <c r="M4595" i="24"/>
  <c r="B4595" i="24"/>
  <c r="A4595" i="24"/>
  <c r="P4588" i="24"/>
  <c r="AA4588" i="24"/>
  <c r="V4588" i="24"/>
  <c r="Q4588" i="24"/>
  <c r="M4588" i="24"/>
  <c r="B4588" i="24"/>
  <c r="A2" i="10"/>
  <c r="A3" i="10"/>
  <c r="A4" i="10"/>
  <c r="A5" i="10"/>
  <c r="A6" i="10"/>
  <c r="A7" i="10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A58" i="10"/>
  <c r="A59" i="10"/>
  <c r="A60" i="10"/>
  <c r="A61" i="10"/>
  <c r="A62" i="10"/>
  <c r="A63" i="10"/>
  <c r="A64" i="10"/>
  <c r="A65" i="10"/>
  <c r="A66" i="10"/>
  <c r="A67" i="10"/>
  <c r="A68" i="10"/>
  <c r="A69" i="10"/>
  <c r="A70" i="10"/>
  <c r="A71" i="10"/>
  <c r="A72" i="10"/>
  <c r="A73" i="10"/>
  <c r="A74" i="10"/>
  <c r="A75" i="10"/>
  <c r="A76" i="10"/>
  <c r="A77" i="10"/>
  <c r="A78" i="10"/>
  <c r="A79" i="10"/>
  <c r="A80" i="10"/>
  <c r="A81" i="10"/>
  <c r="A82" i="10"/>
  <c r="A83" i="10"/>
  <c r="A84" i="10"/>
  <c r="A85" i="10"/>
  <c r="A86" i="10"/>
  <c r="A87" i="10"/>
  <c r="A88" i="10"/>
  <c r="A89" i="10"/>
  <c r="A90" i="10"/>
  <c r="A91" i="10"/>
  <c r="A92" i="10"/>
  <c r="A93" i="10"/>
  <c r="A94" i="10"/>
  <c r="A95" i="10"/>
  <c r="A96" i="10"/>
  <c r="A97" i="10"/>
  <c r="A98" i="10"/>
  <c r="A99" i="10"/>
  <c r="A100" i="10"/>
  <c r="A101" i="10"/>
  <c r="A102" i="10"/>
  <c r="A103" i="10"/>
  <c r="A104" i="10"/>
  <c r="A105" i="10"/>
  <c r="A106" i="10"/>
  <c r="A107" i="10"/>
  <c r="A108" i="10"/>
  <c r="A109" i="10"/>
  <c r="A110" i="10"/>
  <c r="A111" i="10"/>
  <c r="A112" i="10"/>
  <c r="A113" i="10"/>
  <c r="A114" i="10"/>
  <c r="A115" i="10"/>
  <c r="A116" i="10"/>
  <c r="A117" i="10"/>
  <c r="A118" i="10"/>
  <c r="A119" i="10"/>
  <c r="A120" i="10"/>
  <c r="A121" i="10"/>
  <c r="A122" i="10"/>
  <c r="A123" i="10"/>
  <c r="A124" i="10"/>
  <c r="A125" i="10"/>
  <c r="A126" i="10"/>
  <c r="A127" i="10"/>
  <c r="A128" i="10"/>
  <c r="A129" i="10"/>
  <c r="A130" i="10"/>
  <c r="A131" i="10"/>
  <c r="A132" i="10"/>
  <c r="A133" i="10"/>
  <c r="A134" i="10"/>
  <c r="A135" i="10"/>
  <c r="A136" i="10"/>
  <c r="A137" i="10"/>
  <c r="A138" i="10"/>
  <c r="A139" i="10"/>
  <c r="A140" i="10"/>
  <c r="A141" i="10"/>
  <c r="A142" i="10"/>
  <c r="A143" i="10"/>
  <c r="A144" i="10"/>
  <c r="A145" i="10"/>
  <c r="A146" i="10"/>
  <c r="A147" i="10"/>
  <c r="A148" i="10"/>
  <c r="A149" i="10"/>
  <c r="A150" i="10"/>
  <c r="A151" i="10"/>
  <c r="A152" i="10"/>
  <c r="A153" i="10"/>
  <c r="A154" i="10"/>
  <c r="A155" i="10"/>
  <c r="A156" i="10"/>
  <c r="A157" i="10"/>
  <c r="A158" i="10"/>
  <c r="A159" i="10"/>
  <c r="A160" i="10"/>
  <c r="A161" i="10"/>
  <c r="A162" i="10"/>
  <c r="A163" i="10"/>
  <c r="A164" i="10"/>
  <c r="A165" i="10"/>
  <c r="A166" i="10"/>
  <c r="A167" i="10"/>
  <c r="A168" i="10"/>
  <c r="A169" i="10"/>
  <c r="A170" i="10"/>
  <c r="A171" i="10"/>
  <c r="A172" i="10"/>
  <c r="A173" i="10"/>
  <c r="A174" i="10"/>
  <c r="A175" i="10"/>
  <c r="A176" i="10"/>
  <c r="A177" i="10"/>
  <c r="A178" i="10"/>
  <c r="A179" i="10"/>
  <c r="A180" i="10"/>
  <c r="A181" i="10"/>
  <c r="A182" i="10"/>
  <c r="A183" i="10"/>
  <c r="A184" i="10"/>
  <c r="A185" i="10"/>
  <c r="A186" i="10"/>
  <c r="A187" i="10"/>
  <c r="A188" i="10"/>
  <c r="A189" i="10"/>
  <c r="A190" i="10"/>
  <c r="A191" i="10"/>
  <c r="A192" i="10"/>
  <c r="A193" i="10"/>
  <c r="A194" i="10"/>
  <c r="A195" i="10"/>
  <c r="A196" i="10"/>
  <c r="A197" i="10"/>
  <c r="A198" i="10"/>
  <c r="A199" i="10"/>
  <c r="A200" i="10"/>
  <c r="A201" i="10"/>
  <c r="A202" i="10"/>
  <c r="A203" i="10"/>
  <c r="A204" i="10"/>
  <c r="A205" i="10"/>
  <c r="A206" i="10"/>
  <c r="A207" i="10"/>
  <c r="A208" i="10"/>
  <c r="A209" i="10"/>
  <c r="A210" i="10"/>
  <c r="A211" i="10"/>
  <c r="A212" i="10"/>
  <c r="A213" i="10"/>
  <c r="A214" i="10"/>
  <c r="A215" i="10"/>
  <c r="A216" i="10"/>
  <c r="A217" i="10"/>
  <c r="A218" i="10"/>
  <c r="A219" i="10"/>
  <c r="A220" i="10"/>
  <c r="A221" i="10"/>
  <c r="A222" i="10"/>
  <c r="A223" i="10"/>
  <c r="A224" i="10"/>
  <c r="A225" i="10"/>
  <c r="A226" i="10"/>
  <c r="A227" i="10"/>
  <c r="A228" i="10"/>
  <c r="A229" i="10"/>
  <c r="A230" i="10"/>
  <c r="A231" i="10"/>
  <c r="A232" i="10"/>
  <c r="A233" i="10"/>
  <c r="A234" i="10"/>
  <c r="A235" i="10"/>
  <c r="A236" i="10"/>
  <c r="A237" i="10"/>
  <c r="A238" i="10"/>
  <c r="A239" i="10"/>
  <c r="A240" i="10"/>
  <c r="A241" i="10"/>
  <c r="A242" i="10"/>
  <c r="A243" i="10"/>
  <c r="A244" i="10"/>
  <c r="A245" i="10"/>
  <c r="A246" i="10"/>
  <c r="A247" i="10"/>
  <c r="A248" i="10"/>
  <c r="A249" i="10"/>
  <c r="A250" i="10"/>
  <c r="A251" i="10"/>
  <c r="A252" i="10"/>
  <c r="A253" i="10"/>
  <c r="A254" i="10"/>
  <c r="A255" i="10"/>
  <c r="A256" i="10"/>
  <c r="A257" i="10"/>
  <c r="A258" i="10"/>
  <c r="A259" i="10"/>
  <c r="A260" i="10"/>
  <c r="A261" i="10"/>
  <c r="A262" i="10"/>
  <c r="A263" i="10"/>
  <c r="A264" i="10"/>
  <c r="A265" i="10"/>
  <c r="A266" i="10"/>
  <c r="A267" i="10"/>
  <c r="A268" i="10"/>
  <c r="A269" i="10"/>
  <c r="A270" i="10"/>
  <c r="A271" i="10"/>
  <c r="A272" i="10"/>
  <c r="A273" i="10"/>
  <c r="A274" i="10"/>
  <c r="A275" i="10"/>
  <c r="A276" i="10"/>
  <c r="A277" i="10"/>
  <c r="A278" i="10"/>
  <c r="A279" i="10"/>
  <c r="A280" i="10"/>
  <c r="A281" i="10"/>
  <c r="A282" i="10"/>
  <c r="A283" i="10"/>
  <c r="A284" i="10"/>
  <c r="A285" i="10"/>
  <c r="A286" i="10"/>
  <c r="A287" i="10"/>
  <c r="A288" i="10"/>
  <c r="A289" i="10"/>
  <c r="A290" i="10"/>
  <c r="A291" i="10"/>
  <c r="A292" i="10"/>
  <c r="A293" i="10"/>
  <c r="A294" i="10"/>
  <c r="A295" i="10"/>
  <c r="A296" i="10"/>
  <c r="A297" i="10"/>
  <c r="A298" i="10"/>
  <c r="A299" i="10"/>
  <c r="A300" i="10"/>
  <c r="A301" i="10"/>
  <c r="A302" i="10"/>
  <c r="A303" i="10"/>
  <c r="A304" i="10"/>
  <c r="A305" i="10"/>
  <c r="A306" i="10"/>
  <c r="A307" i="10"/>
  <c r="A308" i="10"/>
  <c r="A309" i="10"/>
  <c r="A310" i="10"/>
  <c r="A311" i="10"/>
  <c r="A312" i="10"/>
  <c r="A313" i="10"/>
  <c r="A314" i="10"/>
  <c r="A315" i="10"/>
  <c r="A316" i="10"/>
  <c r="A317" i="10"/>
  <c r="A318" i="10"/>
  <c r="A319" i="10"/>
  <c r="A320" i="10"/>
  <c r="A321" i="10"/>
  <c r="A322" i="10"/>
  <c r="A323" i="10"/>
  <c r="A324" i="10"/>
  <c r="A325" i="10"/>
  <c r="A326" i="10"/>
  <c r="A327" i="10"/>
  <c r="A328" i="10"/>
  <c r="A329" i="10"/>
  <c r="A330" i="10"/>
  <c r="A331" i="10"/>
  <c r="A332" i="10"/>
  <c r="A333" i="10"/>
  <c r="A334" i="10"/>
  <c r="A335" i="10"/>
  <c r="A336" i="10"/>
  <c r="A337" i="10"/>
  <c r="A338" i="10"/>
  <c r="A339" i="10"/>
  <c r="A340" i="10"/>
  <c r="A341" i="10"/>
  <c r="A342" i="10"/>
  <c r="A343" i="10"/>
  <c r="A344" i="10"/>
  <c r="A345" i="10"/>
  <c r="A346" i="10"/>
  <c r="A347" i="10"/>
  <c r="A348" i="10"/>
  <c r="A349" i="10"/>
  <c r="A350" i="10"/>
  <c r="A351" i="10"/>
  <c r="A352" i="10"/>
  <c r="A353" i="10"/>
  <c r="A354" i="10"/>
  <c r="A355" i="10"/>
  <c r="A356" i="10"/>
  <c r="A357" i="10"/>
  <c r="A358" i="10"/>
  <c r="A359" i="10"/>
  <c r="A360" i="10"/>
  <c r="A361" i="10"/>
  <c r="A362" i="10"/>
  <c r="A363" i="10"/>
  <c r="A364" i="10"/>
  <c r="A365" i="10"/>
  <c r="A366" i="10"/>
  <c r="A367" i="10"/>
  <c r="A368" i="10"/>
  <c r="A369" i="10"/>
  <c r="A370" i="10"/>
  <c r="A371" i="10"/>
  <c r="A372" i="10"/>
  <c r="A373" i="10"/>
  <c r="A374" i="10"/>
  <c r="A375" i="10"/>
  <c r="A376" i="10"/>
  <c r="A377" i="10"/>
  <c r="A378" i="10"/>
  <c r="A379" i="10"/>
  <c r="A380" i="10"/>
  <c r="A381" i="10"/>
  <c r="A382" i="10"/>
  <c r="A383" i="10"/>
  <c r="A384" i="10"/>
  <c r="A385" i="10"/>
  <c r="A386" i="10"/>
  <c r="A387" i="10"/>
  <c r="A388" i="10"/>
  <c r="A389" i="10"/>
  <c r="A390" i="10"/>
  <c r="A391" i="10"/>
  <c r="A392" i="10"/>
  <c r="A393" i="10"/>
  <c r="A394" i="10"/>
  <c r="A395" i="10"/>
  <c r="A396" i="10"/>
  <c r="A397" i="10"/>
  <c r="A398" i="10"/>
  <c r="A399" i="10"/>
  <c r="A400" i="10"/>
  <c r="A401" i="10"/>
  <c r="A402" i="10"/>
  <c r="A403" i="10"/>
  <c r="A404" i="10"/>
  <c r="A405" i="10"/>
  <c r="A406" i="10"/>
  <c r="A407" i="10"/>
  <c r="A408" i="10"/>
  <c r="A409" i="10"/>
  <c r="A410" i="10"/>
  <c r="A411" i="10"/>
  <c r="A412" i="10"/>
  <c r="A413" i="10"/>
  <c r="A414" i="10"/>
  <c r="A415" i="10"/>
  <c r="A416" i="10"/>
  <c r="A417" i="10"/>
  <c r="A418" i="10"/>
  <c r="A419" i="10"/>
  <c r="A420" i="10"/>
  <c r="A421" i="10"/>
  <c r="A422" i="10"/>
  <c r="A423" i="10"/>
  <c r="A424" i="10"/>
  <c r="A425" i="10"/>
  <c r="A426" i="10"/>
  <c r="A427" i="10"/>
  <c r="A428" i="10"/>
  <c r="A429" i="10"/>
  <c r="A430" i="10"/>
  <c r="A431" i="10"/>
  <c r="A432" i="10"/>
  <c r="A433" i="10"/>
  <c r="A434" i="10"/>
  <c r="A435" i="10"/>
  <c r="A436" i="10"/>
  <c r="A437" i="10"/>
  <c r="A438" i="10"/>
  <c r="A439" i="10"/>
  <c r="A440" i="10"/>
  <c r="A441" i="10"/>
  <c r="A442" i="10"/>
  <c r="A443" i="10"/>
  <c r="A444" i="10"/>
  <c r="A445" i="10"/>
  <c r="A446" i="10"/>
  <c r="A447" i="10"/>
  <c r="A448" i="10"/>
  <c r="A449" i="10"/>
  <c r="A450" i="10"/>
  <c r="A451" i="10"/>
  <c r="A452" i="10"/>
  <c r="A453" i="10"/>
  <c r="A454" i="10"/>
  <c r="A455" i="10"/>
  <c r="A456" i="10"/>
  <c r="A457" i="10"/>
  <c r="A458" i="10"/>
  <c r="A459" i="10"/>
  <c r="A460" i="10"/>
  <c r="A461" i="10"/>
  <c r="A462" i="10"/>
  <c r="A463" i="10"/>
  <c r="A464" i="10"/>
  <c r="A465" i="10"/>
  <c r="A466" i="10"/>
  <c r="A467" i="10"/>
  <c r="A468" i="10"/>
  <c r="A469" i="10"/>
  <c r="A470" i="10"/>
  <c r="A471" i="10"/>
  <c r="A472" i="10"/>
  <c r="A473" i="10"/>
  <c r="A474" i="10"/>
  <c r="A475" i="10"/>
  <c r="A476" i="10"/>
  <c r="A477" i="10"/>
  <c r="A478" i="10"/>
  <c r="A479" i="10"/>
  <c r="A480" i="10"/>
  <c r="A481" i="10"/>
  <c r="A482" i="10"/>
  <c r="A483" i="10"/>
  <c r="A484" i="10"/>
  <c r="A485" i="10"/>
  <c r="A486" i="10"/>
  <c r="B481" i="10"/>
  <c r="M481" i="10"/>
  <c r="P481" i="10"/>
  <c r="Q481" i="10"/>
  <c r="X481" i="10"/>
  <c r="AA481" i="10"/>
  <c r="B486" i="10"/>
  <c r="M486" i="10"/>
  <c r="P486" i="10"/>
  <c r="Q486" i="10"/>
  <c r="X486" i="10"/>
  <c r="AA486" i="10"/>
  <c r="B485" i="10"/>
  <c r="M485" i="10"/>
  <c r="P485" i="10"/>
  <c r="Q485" i="10"/>
  <c r="X485" i="10"/>
  <c r="AA485" i="10"/>
  <c r="B484" i="10"/>
  <c r="M484" i="10"/>
  <c r="P484" i="10"/>
  <c r="Q484" i="10"/>
  <c r="X484" i="10"/>
  <c r="AA484" i="10"/>
  <c r="B483" i="10"/>
  <c r="M483" i="10"/>
  <c r="P483" i="10"/>
  <c r="Q483" i="10"/>
  <c r="X483" i="10"/>
  <c r="AA483" i="10"/>
  <c r="B4594" i="24"/>
  <c r="M4594" i="24"/>
  <c r="P4594" i="24"/>
  <c r="Q4594" i="24"/>
  <c r="V4594" i="24"/>
  <c r="AA4594" i="24"/>
  <c r="A974" i="9" l="1"/>
  <c r="B974" i="9"/>
  <c r="N974" i="9"/>
  <c r="Q974" i="9"/>
  <c r="R974" i="9"/>
  <c r="AB974" i="9"/>
  <c r="A4587" i="24"/>
  <c r="A4588" i="24" s="1"/>
  <c r="B4586" i="24"/>
  <c r="M4586" i="24"/>
  <c r="P4586" i="24"/>
  <c r="Q4586" i="24"/>
  <c r="V4586" i="24"/>
  <c r="AA4586" i="24"/>
  <c r="B4591" i="24"/>
  <c r="M4591" i="24"/>
  <c r="P4591" i="24"/>
  <c r="Q4591" i="24"/>
  <c r="V4591" i="24"/>
  <c r="AA4591" i="24"/>
  <c r="B4587" i="24"/>
  <c r="M4587" i="24"/>
  <c r="P4587" i="24"/>
  <c r="Q4587" i="24"/>
  <c r="V4587" i="24"/>
  <c r="AA4587" i="24"/>
  <c r="B193" i="5"/>
  <c r="M193" i="5"/>
  <c r="AA193" i="5"/>
  <c r="A4577" i="24"/>
  <c r="B4576" i="24"/>
  <c r="M4576" i="24"/>
  <c r="P4576" i="24"/>
  <c r="Q4576" i="24"/>
  <c r="V4576" i="24"/>
  <c r="AA4576" i="24"/>
  <c r="W1094" i="8"/>
  <c r="W1095" i="8"/>
  <c r="W1096" i="8"/>
  <c r="W1097" i="8"/>
  <c r="W1098" i="8"/>
  <c r="A1094" i="8"/>
  <c r="M1094" i="8" s="1"/>
  <c r="A1095" i="8"/>
  <c r="M1095" i="8" s="1"/>
  <c r="A1096" i="8"/>
  <c r="M1096" i="8" s="1"/>
  <c r="A1097" i="8"/>
  <c r="M1097" i="8" s="1"/>
  <c r="A1098" i="8"/>
  <c r="M1098" i="8" s="1"/>
  <c r="A973" i="9"/>
  <c r="M973" i="9" s="1"/>
  <c r="B973" i="9"/>
  <c r="N973" i="9"/>
  <c r="Q973" i="9"/>
  <c r="R973" i="9"/>
  <c r="AB973" i="9"/>
  <c r="A972" i="9"/>
  <c r="M972" i="9" s="1"/>
  <c r="B972" i="9"/>
  <c r="N972" i="9"/>
  <c r="Q972" i="9"/>
  <c r="R972" i="9"/>
  <c r="AB972" i="9"/>
  <c r="A4589" i="24" l="1"/>
  <c r="M974" i="9"/>
  <c r="A975" i="9"/>
  <c r="M975" i="9" s="1"/>
  <c r="AB1098" i="8"/>
  <c r="R1098" i="8"/>
  <c r="Q1098" i="8"/>
  <c r="N1098" i="8"/>
  <c r="B1098" i="8"/>
  <c r="AB1097" i="8"/>
  <c r="R1097" i="8"/>
  <c r="Q1097" i="8"/>
  <c r="N1097" i="8"/>
  <c r="B1097" i="8"/>
  <c r="AB1096" i="8"/>
  <c r="R1096" i="8"/>
  <c r="Q1096" i="8"/>
  <c r="N1096" i="8"/>
  <c r="B1096" i="8"/>
  <c r="AB1095" i="8"/>
  <c r="R1095" i="8"/>
  <c r="Q1095" i="8"/>
  <c r="N1095" i="8"/>
  <c r="B1095" i="8"/>
  <c r="AB1094" i="8"/>
  <c r="R1094" i="8"/>
  <c r="Q1094" i="8"/>
  <c r="N1094" i="8"/>
  <c r="B1094" i="8"/>
  <c r="B971" i="9"/>
  <c r="N971" i="9"/>
  <c r="Q971" i="9"/>
  <c r="R971" i="9"/>
  <c r="AB971" i="9"/>
  <c r="A487" i="23"/>
  <c r="B487" i="23"/>
  <c r="M487" i="23"/>
  <c r="P487" i="23"/>
  <c r="Q487" i="23"/>
  <c r="AA487" i="23"/>
  <c r="A486" i="23"/>
  <c r="B486" i="23"/>
  <c r="M486" i="23"/>
  <c r="P486" i="23"/>
  <c r="Q486" i="23"/>
  <c r="AA486" i="23"/>
  <c r="A485" i="23"/>
  <c r="B485" i="23"/>
  <c r="M485" i="23"/>
  <c r="P485" i="23"/>
  <c r="Q485" i="23"/>
  <c r="AA485" i="23"/>
  <c r="A1093" i="8"/>
  <c r="M1093" i="8" s="1"/>
  <c r="B1093" i="8"/>
  <c r="N1093" i="8"/>
  <c r="Q1093" i="8"/>
  <c r="R1093" i="8"/>
  <c r="W1093" i="8"/>
  <c r="AB1093" i="8"/>
  <c r="A4575" i="24" l="1"/>
  <c r="A4576" i="24" s="1"/>
  <c r="B4573" i="24"/>
  <c r="M4573" i="24"/>
  <c r="P4573" i="24"/>
  <c r="Q4573" i="24"/>
  <c r="V4573" i="24"/>
  <c r="AA4573" i="24"/>
  <c r="B4574" i="24"/>
  <c r="M4574" i="24"/>
  <c r="P4574" i="24"/>
  <c r="Q4574" i="24"/>
  <c r="V4574" i="24"/>
  <c r="AA4574" i="24"/>
  <c r="A4585" i="24"/>
  <c r="A4586" i="24" s="1"/>
  <c r="B4585" i="24"/>
  <c r="M4585" i="24"/>
  <c r="P4585" i="24"/>
  <c r="Q4585" i="24"/>
  <c r="V4585" i="24"/>
  <c r="AA4585" i="24"/>
  <c r="B4584" i="24"/>
  <c r="M4584" i="24"/>
  <c r="P4584" i="24"/>
  <c r="Q4584" i="24"/>
  <c r="V4584" i="24"/>
  <c r="AA4584" i="24"/>
  <c r="B4572" i="24" l="1"/>
  <c r="M4572" i="24"/>
  <c r="P4572" i="24"/>
  <c r="Q4572" i="24"/>
  <c r="V4572" i="24"/>
  <c r="AA4572" i="24"/>
  <c r="B4575" i="24"/>
  <c r="M4575" i="24"/>
  <c r="P4575" i="24"/>
  <c r="Q4575" i="24"/>
  <c r="V4575" i="24"/>
  <c r="AA4575" i="24"/>
  <c r="A4581" i="24"/>
  <c r="A4582" i="24"/>
  <c r="A4583" i="24"/>
  <c r="B4581" i="24"/>
  <c r="B4582" i="24"/>
  <c r="B4583" i="24"/>
  <c r="M4581" i="24"/>
  <c r="M4582" i="24"/>
  <c r="M4583" i="24"/>
  <c r="P4581" i="24"/>
  <c r="P4582" i="24"/>
  <c r="P4583" i="24"/>
  <c r="Q4581" i="24"/>
  <c r="Q4582" i="24"/>
  <c r="Q4583" i="24"/>
  <c r="V4581" i="24"/>
  <c r="V4582" i="24"/>
  <c r="V4583" i="24"/>
  <c r="AA4581" i="24"/>
  <c r="AA4582" i="24"/>
  <c r="AA4583" i="24"/>
  <c r="A4584" i="24" l="1"/>
  <c r="B4580" i="24"/>
  <c r="M4580" i="24"/>
  <c r="P4580" i="24"/>
  <c r="Q4580" i="24"/>
  <c r="V4580" i="24"/>
  <c r="AA4580" i="24"/>
  <c r="A4579" i="24" l="1"/>
  <c r="A4580" i="24" s="1"/>
  <c r="B4579" i="24"/>
  <c r="M4579" i="24"/>
  <c r="P4579" i="24"/>
  <c r="Q4579" i="24"/>
  <c r="V4579" i="24"/>
  <c r="AA4579" i="24"/>
  <c r="B4570" i="24" l="1"/>
  <c r="M4570" i="24"/>
  <c r="P4570" i="24"/>
  <c r="Q4570" i="24"/>
  <c r="V4570" i="24"/>
  <c r="AA4570" i="24"/>
  <c r="B4571" i="24"/>
  <c r="M4571" i="24"/>
  <c r="P4571" i="24"/>
  <c r="Q4571" i="24"/>
  <c r="V4571" i="24"/>
  <c r="AA4571" i="24"/>
  <c r="A4578" i="24"/>
  <c r="B4578" i="24"/>
  <c r="M4578" i="24"/>
  <c r="P4578" i="24"/>
  <c r="Q4578" i="24"/>
  <c r="V4578" i="24"/>
  <c r="AA4578" i="24"/>
  <c r="A2" i="22"/>
  <c r="A3" i="22"/>
  <c r="A4" i="22"/>
  <c r="A5" i="22"/>
  <c r="A6" i="22"/>
  <c r="A7" i="22"/>
  <c r="A8" i="22"/>
  <c r="A9" i="22"/>
  <c r="A10" i="22"/>
  <c r="A11" i="22"/>
  <c r="A12" i="22"/>
  <c r="A13" i="22"/>
  <c r="A14" i="22"/>
  <c r="A15" i="22"/>
  <c r="A16" i="22"/>
  <c r="A17" i="22"/>
  <c r="A18" i="22"/>
  <c r="A19" i="22"/>
  <c r="A20" i="22"/>
  <c r="A21" i="22"/>
  <c r="A22" i="22"/>
  <c r="A23" i="22"/>
  <c r="A24" i="22"/>
  <c r="A25" i="22"/>
  <c r="A26" i="22"/>
  <c r="A27" i="22"/>
  <c r="A28" i="22"/>
  <c r="A29" i="22"/>
  <c r="A30" i="22"/>
  <c r="A31" i="22"/>
  <c r="A32" i="22"/>
  <c r="A33" i="22"/>
  <c r="A34" i="22"/>
  <c r="A35" i="22"/>
  <c r="A36" i="22"/>
  <c r="A37" i="22"/>
  <c r="A38" i="22"/>
  <c r="A39" i="22"/>
  <c r="A40" i="22"/>
  <c r="A41" i="22"/>
  <c r="A42" i="22"/>
  <c r="A43" i="22"/>
  <c r="A44" i="22"/>
  <c r="A45" i="22"/>
  <c r="A46" i="22"/>
  <c r="A47" i="22"/>
  <c r="A48" i="22"/>
  <c r="A49" i="22"/>
  <c r="A50" i="22"/>
  <c r="A51" i="22"/>
  <c r="A52" i="22"/>
  <c r="A53" i="22"/>
  <c r="A54" i="22"/>
  <c r="A55" i="22"/>
  <c r="A56" i="22"/>
  <c r="A57" i="22"/>
  <c r="A58" i="22"/>
  <c r="A59" i="22"/>
  <c r="A60" i="22"/>
  <c r="A61" i="22"/>
  <c r="A62" i="22"/>
  <c r="A63" i="22"/>
  <c r="A64" i="22"/>
  <c r="A65" i="22"/>
  <c r="A66" i="22"/>
  <c r="A67" i="22"/>
  <c r="A68" i="22"/>
  <c r="A69" i="22"/>
  <c r="A70" i="22"/>
  <c r="A71" i="22"/>
  <c r="A72" i="22"/>
  <c r="A73" i="22"/>
  <c r="A74" i="22"/>
  <c r="A75" i="22"/>
  <c r="A76" i="22"/>
  <c r="A77" i="22"/>
  <c r="A78" i="22"/>
  <c r="A79" i="22"/>
  <c r="A80" i="22"/>
  <c r="A81" i="22"/>
  <c r="A82" i="22"/>
  <c r="A83" i="22"/>
  <c r="A84" i="22"/>
  <c r="A85" i="22"/>
  <c r="A86" i="22"/>
  <c r="A87" i="22"/>
  <c r="A88" i="22"/>
  <c r="A89" i="22"/>
  <c r="A90" i="22"/>
  <c r="A91" i="22"/>
  <c r="A92" i="22"/>
  <c r="A93" i="22"/>
  <c r="A94" i="22"/>
  <c r="A95" i="22"/>
  <c r="A96" i="22"/>
  <c r="A97" i="22"/>
  <c r="A98" i="22"/>
  <c r="A99" i="22"/>
  <c r="A100" i="22"/>
  <c r="A101" i="22"/>
  <c r="A102" i="22"/>
  <c r="A103" i="22"/>
  <c r="A104" i="22"/>
  <c r="A105" i="22"/>
  <c r="A106" i="22"/>
  <c r="A107" i="22"/>
  <c r="AA105" i="22"/>
  <c r="X105" i="22"/>
  <c r="Q105" i="22"/>
  <c r="P105" i="22"/>
  <c r="M105" i="22"/>
  <c r="B105" i="22"/>
  <c r="AA90" i="22"/>
  <c r="X90" i="22"/>
  <c r="Q90" i="22"/>
  <c r="P90" i="22"/>
  <c r="M90" i="22"/>
  <c r="B90" i="22"/>
  <c r="B4577" i="24"/>
  <c r="M4577" i="24"/>
  <c r="P4577" i="24"/>
  <c r="Q4577" i="24"/>
  <c r="V4577" i="24"/>
  <c r="AA4577" i="24"/>
  <c r="A4569" i="24"/>
  <c r="B4569" i="24"/>
  <c r="M4569" i="24"/>
  <c r="P4569" i="24"/>
  <c r="Q4569" i="24"/>
  <c r="V4569" i="24"/>
  <c r="AA4569" i="24"/>
  <c r="A4568" i="24"/>
  <c r="B4568" i="24"/>
  <c r="M4568" i="24"/>
  <c r="P4568" i="24"/>
  <c r="Q4568" i="24"/>
  <c r="V4568" i="24"/>
  <c r="AA4568" i="24"/>
  <c r="A4567" i="24"/>
  <c r="B4567" i="24"/>
  <c r="M4567" i="24"/>
  <c r="P4567" i="24"/>
  <c r="Q4567" i="24"/>
  <c r="V4567" i="24"/>
  <c r="AA4567" i="24"/>
  <c r="A4566" i="24"/>
  <c r="B4566" i="24"/>
  <c r="M4566" i="24"/>
  <c r="P4566" i="24"/>
  <c r="Q4566" i="24"/>
  <c r="V4566" i="24"/>
  <c r="AA4566" i="24"/>
  <c r="AA107" i="22"/>
  <c r="AA106" i="22"/>
  <c r="AA104" i="22"/>
  <c r="AA103" i="22"/>
  <c r="AA102" i="22"/>
  <c r="AA101" i="22"/>
  <c r="AA100" i="22"/>
  <c r="AA99" i="22"/>
  <c r="AA98" i="22"/>
  <c r="AA97" i="22"/>
  <c r="AA96" i="22"/>
  <c r="AA95" i="22"/>
  <c r="AA94" i="22"/>
  <c r="AA93" i="22"/>
  <c r="AA92" i="22"/>
  <c r="AA91" i="22"/>
  <c r="X107" i="22"/>
  <c r="X106" i="22"/>
  <c r="X104" i="22"/>
  <c r="X103" i="22"/>
  <c r="X102" i="22"/>
  <c r="X101" i="22"/>
  <c r="X100" i="22"/>
  <c r="X99" i="22"/>
  <c r="X98" i="22"/>
  <c r="X97" i="22"/>
  <c r="X96" i="22"/>
  <c r="X95" i="22"/>
  <c r="X94" i="22"/>
  <c r="X93" i="22"/>
  <c r="X92" i="22"/>
  <c r="X91" i="22"/>
  <c r="Q107" i="22"/>
  <c r="Q106" i="22"/>
  <c r="Q104" i="22"/>
  <c r="Q103" i="22"/>
  <c r="Q102" i="22"/>
  <c r="Q101" i="22"/>
  <c r="Q100" i="22"/>
  <c r="Q99" i="22"/>
  <c r="Q98" i="22"/>
  <c r="Q97" i="22"/>
  <c r="Q96" i="22"/>
  <c r="Q95" i="22"/>
  <c r="Q94" i="22"/>
  <c r="Q93" i="22"/>
  <c r="Q92" i="22"/>
  <c r="Q91" i="22"/>
  <c r="P107" i="22"/>
  <c r="P106" i="22"/>
  <c r="P104" i="22"/>
  <c r="P103" i="22"/>
  <c r="P102" i="22"/>
  <c r="P101" i="22"/>
  <c r="P100" i="22"/>
  <c r="P99" i="22"/>
  <c r="P98" i="22"/>
  <c r="P97" i="22"/>
  <c r="P96" i="22"/>
  <c r="P95" i="22"/>
  <c r="P94" i="22"/>
  <c r="P93" i="22"/>
  <c r="P92" i="22"/>
  <c r="P91" i="22"/>
  <c r="M107" i="22"/>
  <c r="M106" i="22"/>
  <c r="M104" i="22"/>
  <c r="M103" i="22"/>
  <c r="M102" i="22"/>
  <c r="M101" i="22"/>
  <c r="M100" i="22"/>
  <c r="M99" i="22"/>
  <c r="M98" i="22"/>
  <c r="M97" i="22"/>
  <c r="M96" i="22"/>
  <c r="M95" i="22"/>
  <c r="M94" i="22"/>
  <c r="M93" i="22"/>
  <c r="M92" i="22"/>
  <c r="M91" i="22"/>
  <c r="B107" i="22"/>
  <c r="B106" i="22"/>
  <c r="B104" i="22"/>
  <c r="B103" i="22"/>
  <c r="B102" i="22"/>
  <c r="B101" i="22"/>
  <c r="B100" i="22"/>
  <c r="B99" i="22"/>
  <c r="B98" i="22"/>
  <c r="B97" i="22"/>
  <c r="B96" i="22"/>
  <c r="B95" i="22"/>
  <c r="B94" i="22"/>
  <c r="B93" i="22"/>
  <c r="B92" i="22"/>
  <c r="B91" i="22"/>
  <c r="AA89" i="22"/>
  <c r="X89" i="22"/>
  <c r="Q89" i="22"/>
  <c r="P89" i="22"/>
  <c r="M89" i="22"/>
  <c r="B89" i="22"/>
  <c r="A4570" i="24" l="1"/>
  <c r="A4571" i="24" s="1"/>
  <c r="A4555" i="24"/>
  <c r="B4550" i="24"/>
  <c r="M4550" i="24"/>
  <c r="P4550" i="24"/>
  <c r="Q4550" i="24"/>
  <c r="V4550" i="24"/>
  <c r="AA4550" i="24"/>
  <c r="B4551" i="24"/>
  <c r="M4551" i="24"/>
  <c r="P4551" i="24"/>
  <c r="Q4551" i="24"/>
  <c r="V4551" i="24"/>
  <c r="AA4551" i="24"/>
  <c r="B4552" i="24"/>
  <c r="M4552" i="24"/>
  <c r="P4552" i="24"/>
  <c r="Q4552" i="24"/>
  <c r="V4552" i="24"/>
  <c r="AA4552" i="24"/>
  <c r="B4553" i="24"/>
  <c r="M4553" i="24"/>
  <c r="P4553" i="24"/>
  <c r="Q4553" i="24"/>
  <c r="V4553" i="24"/>
  <c r="AA4553" i="24"/>
  <c r="B4554" i="24"/>
  <c r="M4554" i="24"/>
  <c r="P4554" i="24"/>
  <c r="Q4554" i="24"/>
  <c r="V4554" i="24"/>
  <c r="AA4554" i="24"/>
  <c r="A4561" i="24"/>
  <c r="B4556" i="24"/>
  <c r="M4556" i="24"/>
  <c r="P4556" i="24"/>
  <c r="Q4556" i="24"/>
  <c r="V4556" i="24"/>
  <c r="AA4556" i="24"/>
  <c r="B4557" i="24"/>
  <c r="M4557" i="24"/>
  <c r="P4557" i="24"/>
  <c r="Q4557" i="24"/>
  <c r="V4557" i="24"/>
  <c r="AA4557" i="24"/>
  <c r="B4558" i="24"/>
  <c r="M4558" i="24"/>
  <c r="P4558" i="24"/>
  <c r="Q4558" i="24"/>
  <c r="V4558" i="24"/>
  <c r="AA4558" i="24"/>
  <c r="B4559" i="24"/>
  <c r="M4559" i="24"/>
  <c r="P4559" i="24"/>
  <c r="Q4559" i="24"/>
  <c r="V4559" i="24"/>
  <c r="AA4559" i="24"/>
  <c r="B4560" i="24"/>
  <c r="M4560" i="24"/>
  <c r="P4560" i="24"/>
  <c r="Q4560" i="24"/>
  <c r="V4560" i="24"/>
  <c r="AA4560" i="24"/>
  <c r="A4530" i="24"/>
  <c r="B4528" i="24"/>
  <c r="M4528" i="24"/>
  <c r="P4528" i="24"/>
  <c r="Q4528" i="24"/>
  <c r="V4528" i="24"/>
  <c r="AA4528" i="24"/>
  <c r="B4529" i="24"/>
  <c r="M4529" i="24"/>
  <c r="P4529" i="24"/>
  <c r="Q4529" i="24"/>
  <c r="V4529" i="24"/>
  <c r="AA4529" i="24"/>
  <c r="A4572" i="24" l="1"/>
  <c r="A4544" i="24"/>
  <c r="B4542" i="24"/>
  <c r="M4542" i="24"/>
  <c r="P4542" i="24"/>
  <c r="Q4542" i="24"/>
  <c r="V4542" i="24"/>
  <c r="AA4542" i="24"/>
  <c r="B4543" i="24"/>
  <c r="M4543" i="24"/>
  <c r="P4543" i="24"/>
  <c r="Q4543" i="24"/>
  <c r="V4543" i="24"/>
  <c r="AA4543" i="24"/>
  <c r="B1092" i="8"/>
  <c r="N1092" i="8"/>
  <c r="Q1092" i="8"/>
  <c r="R1092" i="8"/>
  <c r="W1092" i="8"/>
  <c r="AB1092" i="8"/>
  <c r="B1091" i="8"/>
  <c r="N1091" i="8"/>
  <c r="Q1091" i="8"/>
  <c r="R1091" i="8"/>
  <c r="W1091" i="8"/>
  <c r="AB1091" i="8"/>
  <c r="B4565" i="24"/>
  <c r="M4565" i="24"/>
  <c r="P4565" i="24"/>
  <c r="Q4565" i="24"/>
  <c r="V4565" i="24"/>
  <c r="AA4565" i="24"/>
  <c r="A4541" i="24"/>
  <c r="A4542" i="24" s="1"/>
  <c r="A4543" i="24" s="1"/>
  <c r="A4545" i="24"/>
  <c r="B4540" i="24"/>
  <c r="M4540" i="24"/>
  <c r="P4540" i="24"/>
  <c r="Q4540" i="24"/>
  <c r="V4540" i="24"/>
  <c r="AA4540" i="24"/>
  <c r="B4541" i="24"/>
  <c r="M4541" i="24"/>
  <c r="P4541" i="24"/>
  <c r="Q4541" i="24"/>
  <c r="V4541" i="24"/>
  <c r="AA4541" i="24"/>
  <c r="B4544" i="24"/>
  <c r="M4544" i="24"/>
  <c r="P4544" i="24"/>
  <c r="Q4544" i="24"/>
  <c r="V4544" i="24"/>
  <c r="AA4544" i="24"/>
  <c r="A970" i="9"/>
  <c r="B970" i="9"/>
  <c r="N970" i="9"/>
  <c r="Q970" i="9"/>
  <c r="R970" i="9"/>
  <c r="AB970" i="9"/>
  <c r="A1090" i="8"/>
  <c r="M1090" i="8" s="1"/>
  <c r="M1091" i="8" s="1"/>
  <c r="M1092" i="8" s="1"/>
  <c r="B1090" i="8"/>
  <c r="N1090" i="8"/>
  <c r="Q1090" i="8"/>
  <c r="R1090" i="8"/>
  <c r="W1090" i="8"/>
  <c r="AB1090" i="8"/>
  <c r="A1089" i="8"/>
  <c r="M1089" i="8" s="1"/>
  <c r="B1089" i="8"/>
  <c r="N1089" i="8"/>
  <c r="Q1089" i="8"/>
  <c r="R1089" i="8"/>
  <c r="W1089" i="8"/>
  <c r="AB1089" i="8"/>
  <c r="A969" i="9"/>
  <c r="M969" i="9" s="1"/>
  <c r="B969" i="9"/>
  <c r="N969" i="9"/>
  <c r="Q969" i="9"/>
  <c r="R969" i="9"/>
  <c r="AB969" i="9"/>
  <c r="A1088" i="8"/>
  <c r="M1088" i="8" s="1"/>
  <c r="B1088" i="8"/>
  <c r="N1088" i="8"/>
  <c r="Q1088" i="8"/>
  <c r="R1088" i="8"/>
  <c r="W1088" i="8"/>
  <c r="AB1088" i="8"/>
  <c r="A1087" i="8"/>
  <c r="M1087" i="8" s="1"/>
  <c r="B1087" i="8"/>
  <c r="N1087" i="8"/>
  <c r="Q1087" i="8"/>
  <c r="R1087" i="8"/>
  <c r="W1087" i="8"/>
  <c r="AB1087" i="8"/>
  <c r="B968" i="9"/>
  <c r="N968" i="9"/>
  <c r="Q968" i="9"/>
  <c r="R968" i="9"/>
  <c r="AB968" i="9"/>
  <c r="B4564" i="24"/>
  <c r="M4564" i="24"/>
  <c r="P4564" i="24"/>
  <c r="Q4564" i="24"/>
  <c r="V4564" i="24"/>
  <c r="AA4564" i="24"/>
  <c r="B4563" i="24"/>
  <c r="M4563" i="24"/>
  <c r="P4563" i="24"/>
  <c r="Q4563" i="24"/>
  <c r="V4563" i="24"/>
  <c r="AA4563" i="24"/>
  <c r="B4562" i="24"/>
  <c r="M4562" i="24"/>
  <c r="P4562" i="24"/>
  <c r="Q4562" i="24"/>
  <c r="V4562" i="24"/>
  <c r="AA4562" i="24"/>
  <c r="B4561" i="24"/>
  <c r="M4561" i="24"/>
  <c r="P4561" i="24"/>
  <c r="Q4561" i="24"/>
  <c r="V4561" i="24"/>
  <c r="AA4561" i="24"/>
  <c r="B4539" i="24"/>
  <c r="M4539" i="24"/>
  <c r="P4539" i="24"/>
  <c r="Q4539" i="24"/>
  <c r="V4539" i="24"/>
  <c r="AA4539" i="24"/>
  <c r="B4555" i="24"/>
  <c r="M4555" i="24"/>
  <c r="P4555" i="24"/>
  <c r="Q4555" i="24"/>
  <c r="V4555" i="24"/>
  <c r="AA4555" i="24"/>
  <c r="A4549" i="24"/>
  <c r="A4550" i="24" s="1"/>
  <c r="A4551" i="24" s="1"/>
  <c r="A4552" i="24" s="1"/>
  <c r="A4553" i="24" s="1"/>
  <c r="A4554" i="24" s="1"/>
  <c r="B4549" i="24"/>
  <c r="M4549" i="24"/>
  <c r="P4549" i="24"/>
  <c r="Q4549" i="24"/>
  <c r="V4549" i="24"/>
  <c r="AA4549" i="24"/>
  <c r="M970" i="9" l="1"/>
  <c r="A971" i="9"/>
  <c r="M971" i="9" s="1"/>
  <c r="A4573" i="24"/>
  <c r="A4574" i="24" s="1"/>
  <c r="A4556" i="24"/>
  <c r="A4557" i="24" s="1"/>
  <c r="A4558" i="24" s="1"/>
  <c r="A4559" i="24" s="1"/>
  <c r="A4560" i="24" s="1"/>
  <c r="A4562" i="24"/>
  <c r="A4563" i="24" s="1"/>
  <c r="A4564" i="24" s="1"/>
  <c r="A4565" i="24" s="1"/>
  <c r="A1091" i="8"/>
  <c r="A1092" i="8" s="1"/>
  <c r="AA2" i="7" l="1"/>
  <c r="AA3" i="7"/>
  <c r="AA4" i="7"/>
  <c r="AA5" i="7"/>
  <c r="AA6" i="7"/>
  <c r="AA7" i="7"/>
  <c r="AA8" i="7"/>
  <c r="AA9" i="7"/>
  <c r="AA10" i="7"/>
  <c r="AA11" i="7"/>
  <c r="AA12" i="7"/>
  <c r="AA13" i="7"/>
  <c r="AA14" i="7"/>
  <c r="AA15" i="7"/>
  <c r="AA16" i="7"/>
  <c r="AA17" i="7"/>
  <c r="AA18" i="7"/>
  <c r="AA19" i="7"/>
  <c r="AA20" i="7"/>
  <c r="AA21" i="7"/>
  <c r="AA22" i="7"/>
  <c r="AA23" i="7"/>
  <c r="AA24" i="7"/>
  <c r="AA25" i="7"/>
  <c r="AA26" i="7"/>
  <c r="AA27" i="7"/>
  <c r="AA28" i="7"/>
  <c r="AA29" i="7"/>
  <c r="AA30" i="7"/>
  <c r="AA31" i="7"/>
  <c r="AA32" i="7"/>
  <c r="AA33" i="7"/>
  <c r="AA34" i="7"/>
  <c r="AA35" i="7"/>
  <c r="AA36" i="7"/>
  <c r="AA37" i="7"/>
  <c r="AA38" i="7"/>
  <c r="AA39" i="7"/>
  <c r="AA40" i="7"/>
  <c r="AA41" i="7"/>
  <c r="AA42" i="7"/>
  <c r="AA43" i="7"/>
  <c r="AA44" i="7"/>
  <c r="AA45" i="7"/>
  <c r="AA46" i="7"/>
  <c r="AA47" i="7"/>
  <c r="AA48" i="7"/>
  <c r="AA49" i="7"/>
  <c r="AA50" i="7"/>
  <c r="AA51" i="7"/>
  <c r="AA52" i="7"/>
  <c r="AA53" i="7"/>
  <c r="AA54" i="7"/>
  <c r="AA55" i="7"/>
  <c r="AA56" i="7"/>
  <c r="AA57" i="7"/>
  <c r="AA58" i="7"/>
  <c r="AA59" i="7"/>
  <c r="AA60" i="7"/>
  <c r="AA61" i="7"/>
  <c r="AA62" i="7"/>
  <c r="AA63" i="7"/>
  <c r="AA64" i="7"/>
  <c r="AA65" i="7"/>
  <c r="AA66" i="7"/>
  <c r="AA67" i="7"/>
  <c r="AA68" i="7"/>
  <c r="AA69" i="7"/>
  <c r="AA70" i="7"/>
  <c r="AA71" i="7"/>
  <c r="AA72" i="7"/>
  <c r="AA73" i="7"/>
  <c r="AA74" i="7"/>
  <c r="AA75" i="7"/>
  <c r="AA76" i="7"/>
  <c r="AA77" i="7"/>
  <c r="AA78" i="7"/>
  <c r="AA79" i="7"/>
  <c r="AA80" i="7"/>
  <c r="AA81" i="7"/>
  <c r="AA82" i="7"/>
  <c r="AA83" i="7"/>
  <c r="AA84" i="7"/>
  <c r="AA85" i="7"/>
  <c r="AA86" i="7"/>
  <c r="AA87" i="7"/>
  <c r="AA88" i="7"/>
  <c r="AA89" i="7"/>
  <c r="AA90" i="7"/>
  <c r="AA91" i="7"/>
  <c r="AA92" i="7"/>
  <c r="AA93" i="7"/>
  <c r="AA94" i="7"/>
  <c r="AA95" i="7"/>
  <c r="AA96" i="7"/>
  <c r="AA97" i="7"/>
  <c r="AA98" i="7"/>
  <c r="AA99" i="7"/>
  <c r="AA100" i="7"/>
  <c r="AA101" i="7"/>
  <c r="AA102" i="7"/>
  <c r="AA103" i="7"/>
  <c r="AA104" i="7"/>
  <c r="AA105" i="7"/>
  <c r="AA106" i="7"/>
  <c r="AA107" i="7"/>
  <c r="AA108" i="7"/>
  <c r="AA109" i="7"/>
  <c r="AA110" i="7"/>
  <c r="AA111" i="7"/>
  <c r="AA112" i="7"/>
  <c r="AA113" i="7"/>
  <c r="AA114" i="7"/>
  <c r="AA115" i="7"/>
  <c r="AA116" i="7"/>
  <c r="AA117" i="7"/>
  <c r="AA118" i="7"/>
  <c r="AA119" i="7"/>
  <c r="AA120" i="7"/>
  <c r="AA121" i="7"/>
  <c r="AA122" i="7"/>
  <c r="AA123" i="7"/>
  <c r="AA124" i="7"/>
  <c r="AA125" i="7"/>
  <c r="AA126" i="7"/>
  <c r="AA127" i="7"/>
  <c r="AA128" i="7"/>
  <c r="AA129" i="7"/>
  <c r="AA130" i="7"/>
  <c r="AA131" i="7"/>
  <c r="AA132" i="7"/>
  <c r="AA133" i="7"/>
  <c r="AA134" i="7"/>
  <c r="AA135" i="7"/>
  <c r="AA136" i="7"/>
  <c r="AA137" i="7"/>
  <c r="AA138" i="7"/>
  <c r="AA139" i="7"/>
  <c r="AA140" i="7"/>
  <c r="AA141" i="7"/>
  <c r="AA142" i="7"/>
  <c r="AA143" i="7"/>
  <c r="AA144" i="7"/>
  <c r="AA145" i="7"/>
  <c r="AA146" i="7"/>
  <c r="AA147" i="7"/>
  <c r="AA148" i="7"/>
  <c r="AA149" i="7"/>
  <c r="AA150" i="7"/>
  <c r="AA151" i="7"/>
  <c r="AA152" i="7"/>
  <c r="AA153" i="7"/>
  <c r="AA154" i="7"/>
  <c r="AA155" i="7"/>
  <c r="AA156" i="7"/>
  <c r="AA157" i="7"/>
  <c r="AA158" i="7"/>
  <c r="AA159" i="7"/>
  <c r="AA160" i="7"/>
  <c r="AA161" i="7"/>
  <c r="AA162" i="7"/>
  <c r="AA163" i="7"/>
  <c r="AA164" i="7"/>
  <c r="AA165" i="7"/>
  <c r="AA166" i="7"/>
  <c r="AA167" i="7"/>
  <c r="AA168" i="7"/>
  <c r="AA169" i="7"/>
  <c r="AA170" i="7"/>
  <c r="AA171" i="7"/>
  <c r="AA172" i="7"/>
  <c r="AA173" i="7"/>
  <c r="AA174" i="7"/>
  <c r="AA175" i="7"/>
  <c r="AA176" i="7"/>
  <c r="AA177" i="7"/>
  <c r="AA178" i="7"/>
  <c r="AA179" i="7"/>
  <c r="AA180" i="7"/>
  <c r="AA181" i="7"/>
  <c r="AA182" i="7"/>
  <c r="AA183" i="7"/>
  <c r="AA184" i="7"/>
  <c r="AA185" i="7"/>
  <c r="AA186" i="7"/>
  <c r="AA187" i="7"/>
  <c r="AA188" i="7"/>
  <c r="AA189" i="7"/>
  <c r="AA190" i="7"/>
  <c r="AA191" i="7"/>
  <c r="AA192" i="7"/>
  <c r="AA193" i="7"/>
  <c r="AA194" i="7"/>
  <c r="AA195" i="7"/>
  <c r="AA196" i="7"/>
  <c r="AA197" i="7"/>
  <c r="AA198" i="7"/>
  <c r="AA199" i="7"/>
  <c r="AA200" i="7"/>
  <c r="AA201" i="7"/>
  <c r="AA202" i="7"/>
  <c r="AA203" i="7"/>
  <c r="AA204" i="7"/>
  <c r="AA205" i="7"/>
  <c r="AA206" i="7"/>
  <c r="AA207" i="7"/>
  <c r="AA208" i="7"/>
  <c r="AA209" i="7"/>
  <c r="AA210" i="7"/>
  <c r="AA211" i="7"/>
  <c r="AA212" i="7"/>
  <c r="AA213" i="7"/>
  <c r="AA214" i="7"/>
  <c r="AA215" i="7"/>
  <c r="AA216" i="7"/>
  <c r="AA217" i="7"/>
  <c r="AA218" i="7"/>
  <c r="AA219" i="7"/>
  <c r="AA220" i="7"/>
  <c r="AA221" i="7"/>
  <c r="AA222" i="7"/>
  <c r="AA223" i="7"/>
  <c r="AA224" i="7"/>
  <c r="AA225" i="7"/>
  <c r="AA226" i="7"/>
  <c r="AA227" i="7"/>
  <c r="AA228" i="7"/>
  <c r="AA229" i="7"/>
  <c r="AA230" i="7"/>
  <c r="AA231" i="7"/>
  <c r="AA232" i="7"/>
  <c r="AA233" i="7"/>
  <c r="AA234" i="7"/>
  <c r="AA235" i="7"/>
  <c r="AA236" i="7"/>
  <c r="AA237" i="7"/>
  <c r="AA238" i="7"/>
  <c r="AA239" i="7"/>
  <c r="AA240" i="7"/>
  <c r="AA241" i="7"/>
  <c r="AA242" i="7"/>
  <c r="AA243" i="7"/>
  <c r="AA244" i="7"/>
  <c r="AA245" i="7"/>
  <c r="AA246" i="7"/>
  <c r="AA247" i="7"/>
  <c r="AA248" i="7"/>
  <c r="AA249" i="7"/>
  <c r="AA250" i="7"/>
  <c r="AA251" i="7"/>
  <c r="AA252" i="7"/>
  <c r="AA253" i="7"/>
  <c r="AA254" i="7"/>
  <c r="AA255" i="7"/>
  <c r="AA256" i="7"/>
  <c r="AA257" i="7"/>
  <c r="AA258" i="7"/>
  <c r="AA259" i="7"/>
  <c r="AA260" i="7"/>
  <c r="AA261" i="7"/>
  <c r="AA262" i="7"/>
  <c r="AA263" i="7"/>
  <c r="AA264" i="7"/>
  <c r="AA265" i="7"/>
  <c r="AA266" i="7"/>
  <c r="AA267" i="7"/>
  <c r="AA268" i="7"/>
  <c r="AA269" i="7"/>
  <c r="AA270" i="7"/>
  <c r="AA271" i="7"/>
  <c r="AA272" i="7"/>
  <c r="AA273" i="7"/>
  <c r="AA274" i="7"/>
  <c r="AA275" i="7"/>
  <c r="AA276" i="7"/>
  <c r="AA277" i="7"/>
  <c r="AA278" i="7"/>
  <c r="AA279" i="7"/>
  <c r="AA280" i="7"/>
  <c r="AA281" i="7"/>
  <c r="AA282" i="7"/>
  <c r="AA283" i="7"/>
  <c r="AA284" i="7"/>
  <c r="AA285" i="7"/>
  <c r="AA286" i="7"/>
  <c r="AA287" i="7"/>
  <c r="AA288" i="7"/>
  <c r="AA289" i="7"/>
  <c r="AA290" i="7"/>
  <c r="AA291" i="7"/>
  <c r="AA292" i="7"/>
  <c r="AA293" i="7"/>
  <c r="AA294" i="7"/>
  <c r="AA295" i="7"/>
  <c r="AA296" i="7"/>
  <c r="AA297" i="7"/>
  <c r="AA298" i="7"/>
  <c r="AA299" i="7"/>
  <c r="AA300" i="7"/>
  <c r="AA301" i="7"/>
  <c r="AA302" i="7"/>
  <c r="AA303" i="7"/>
  <c r="AA304" i="7"/>
  <c r="AA305" i="7"/>
  <c r="AA306" i="7"/>
  <c r="AA307" i="7"/>
  <c r="AA308" i="7"/>
  <c r="AA309" i="7"/>
  <c r="AA310" i="7"/>
  <c r="AA311" i="7"/>
  <c r="AA312" i="7"/>
  <c r="AA313" i="7"/>
  <c r="AA314" i="7"/>
  <c r="AA315" i="7"/>
  <c r="AA316" i="7"/>
  <c r="AA317" i="7"/>
  <c r="AA318" i="7"/>
  <c r="AA319" i="7"/>
  <c r="AA320" i="7"/>
  <c r="AA321" i="7"/>
  <c r="AA322" i="7"/>
  <c r="AA323" i="7"/>
  <c r="AA324" i="7"/>
  <c r="AA325" i="7"/>
  <c r="AA326" i="7"/>
  <c r="AA327" i="7"/>
  <c r="AA328" i="7"/>
  <c r="AA329" i="7"/>
  <c r="AA330" i="7"/>
  <c r="AA331" i="7"/>
  <c r="AA332" i="7"/>
  <c r="AA333" i="7"/>
  <c r="AA334" i="7"/>
  <c r="AA335" i="7"/>
  <c r="AA336" i="7"/>
  <c r="AA337" i="7"/>
  <c r="AA338" i="7"/>
  <c r="AA339" i="7"/>
  <c r="AA340" i="7"/>
  <c r="AA341" i="7"/>
  <c r="AA342" i="7"/>
  <c r="AA343" i="7"/>
  <c r="AA344" i="7"/>
  <c r="AA345" i="7"/>
  <c r="AA346" i="7"/>
  <c r="AA347" i="7"/>
  <c r="AA348" i="7"/>
  <c r="AA349" i="7"/>
  <c r="AA350" i="7"/>
  <c r="AA351" i="7"/>
  <c r="AA352" i="7"/>
  <c r="AA353" i="7"/>
  <c r="AA354" i="7"/>
  <c r="AA355" i="7"/>
  <c r="AA356" i="7"/>
  <c r="AA357" i="7"/>
  <c r="AA358" i="7"/>
  <c r="AA359" i="7"/>
  <c r="AA360" i="7"/>
  <c r="AA361" i="7"/>
  <c r="AA362" i="7"/>
  <c r="AA363" i="7"/>
  <c r="AA364" i="7"/>
  <c r="AA365" i="7"/>
  <c r="AA366" i="7"/>
  <c r="AA367" i="7"/>
  <c r="AA368" i="7"/>
  <c r="AA369" i="7"/>
  <c r="AA370" i="7"/>
  <c r="AA371" i="7"/>
  <c r="AA372" i="7"/>
  <c r="AA373" i="7"/>
  <c r="AA374" i="7"/>
  <c r="AA375" i="7"/>
  <c r="AA376" i="7"/>
  <c r="AA377" i="7"/>
  <c r="AA378" i="7"/>
  <c r="AA379" i="7"/>
  <c r="AA380" i="7"/>
  <c r="AA381" i="7"/>
  <c r="AA382" i="7"/>
  <c r="AA383" i="7"/>
  <c r="AA384" i="7"/>
  <c r="AA385" i="7"/>
  <c r="AA386" i="7"/>
  <c r="AA387" i="7"/>
  <c r="AA388" i="7"/>
  <c r="AA389" i="7"/>
  <c r="AA390" i="7"/>
  <c r="AA391" i="7"/>
  <c r="AA392" i="7"/>
  <c r="AA393" i="7"/>
  <c r="AA394" i="7"/>
  <c r="AA395" i="7"/>
  <c r="AA396" i="7"/>
  <c r="AA397" i="7"/>
  <c r="AA398" i="7"/>
  <c r="AA399" i="7"/>
  <c r="AA400" i="7"/>
  <c r="AA401" i="7"/>
  <c r="AA402" i="7"/>
  <c r="AA403" i="7"/>
  <c r="AA404" i="7"/>
  <c r="AA405" i="7"/>
  <c r="AA406" i="7"/>
  <c r="AA407" i="7"/>
  <c r="AA408" i="7"/>
  <c r="AA409" i="7"/>
  <c r="AA410" i="7"/>
  <c r="AA411" i="7"/>
  <c r="AA412" i="7"/>
  <c r="AA413" i="7"/>
  <c r="AA414" i="7"/>
  <c r="AA415" i="7"/>
  <c r="AA416" i="7"/>
  <c r="AA417" i="7"/>
  <c r="AA418" i="7"/>
  <c r="AA419" i="7"/>
  <c r="AA420" i="7"/>
  <c r="AA421" i="7"/>
  <c r="AA422" i="7"/>
  <c r="AA423" i="7"/>
  <c r="AA424" i="7"/>
  <c r="AA425" i="7"/>
  <c r="AA426" i="7"/>
  <c r="AA427" i="7"/>
  <c r="AA428" i="7"/>
  <c r="AA429" i="7"/>
  <c r="AA430" i="7"/>
  <c r="AA431" i="7"/>
  <c r="AA432" i="7"/>
  <c r="AA433" i="7"/>
  <c r="AA434" i="7"/>
  <c r="AA435" i="7"/>
  <c r="AA436" i="7"/>
  <c r="AA437" i="7"/>
  <c r="AA438" i="7"/>
  <c r="AA439" i="7"/>
  <c r="AA440" i="7"/>
  <c r="AA441" i="7"/>
  <c r="AA442" i="7"/>
  <c r="AA443" i="7"/>
  <c r="AA444" i="7"/>
  <c r="AA445" i="7"/>
  <c r="AA446" i="7"/>
  <c r="AA447" i="7"/>
  <c r="AA448" i="7"/>
  <c r="AA449" i="7"/>
  <c r="AA450" i="7"/>
  <c r="AA451" i="7"/>
  <c r="AA452" i="7"/>
  <c r="AA453" i="7"/>
  <c r="AA454" i="7"/>
  <c r="AA455" i="7"/>
  <c r="AA456" i="7"/>
  <c r="AA457" i="7"/>
  <c r="AA458" i="7"/>
  <c r="AA459" i="7"/>
  <c r="AA460" i="7"/>
  <c r="AA461" i="7"/>
  <c r="AA462" i="7"/>
  <c r="AA463" i="7"/>
  <c r="AA464" i="7"/>
  <c r="AA465" i="7"/>
  <c r="AA466" i="7"/>
  <c r="AA467" i="7"/>
  <c r="AA468" i="7"/>
  <c r="AA469" i="7"/>
  <c r="AA470" i="7"/>
  <c r="AA471" i="7"/>
  <c r="AA472" i="7"/>
  <c r="AA473" i="7"/>
  <c r="AA474" i="7"/>
  <c r="AA475" i="7"/>
  <c r="AA476" i="7"/>
  <c r="AA477" i="7"/>
  <c r="AA478" i="7"/>
  <c r="AA479" i="7"/>
  <c r="AA480" i="7"/>
  <c r="AA481" i="7"/>
  <c r="AA482" i="7"/>
  <c r="AA483" i="7"/>
  <c r="AA484" i="7"/>
  <c r="AA485" i="7"/>
  <c r="AA486" i="7"/>
  <c r="AA487" i="7"/>
  <c r="AA488" i="7"/>
  <c r="AA489" i="7"/>
  <c r="AA490" i="7"/>
  <c r="AA491" i="7"/>
  <c r="AA492" i="7"/>
  <c r="AA493" i="7"/>
  <c r="AA494" i="7"/>
  <c r="AA495" i="7"/>
  <c r="AA496" i="7"/>
  <c r="AA497" i="7"/>
  <c r="AA498" i="7"/>
  <c r="AA499" i="7"/>
  <c r="AA500" i="7"/>
  <c r="AA501" i="7"/>
  <c r="AA502" i="7"/>
  <c r="AA503" i="7"/>
  <c r="AA504" i="7"/>
  <c r="AA505" i="7"/>
  <c r="AA506" i="7"/>
  <c r="AA507" i="7"/>
  <c r="AA508" i="7"/>
  <c r="AA509" i="7"/>
  <c r="AA510" i="7"/>
  <c r="AA511" i="7"/>
  <c r="AA512" i="7"/>
  <c r="AA513" i="7"/>
  <c r="AA514" i="7"/>
  <c r="AA515" i="7"/>
  <c r="AA516" i="7"/>
  <c r="AA517" i="7"/>
  <c r="AA518" i="7"/>
  <c r="AA519" i="7"/>
  <c r="AA520" i="7"/>
  <c r="AA521" i="7"/>
  <c r="AA522" i="7"/>
  <c r="AA523" i="7"/>
  <c r="AA524" i="7"/>
  <c r="AA525" i="7"/>
  <c r="AA526" i="7"/>
  <c r="AA527" i="7"/>
  <c r="AA528" i="7"/>
  <c r="AA529" i="7"/>
  <c r="AA530" i="7"/>
  <c r="AA531" i="7"/>
  <c r="AA532" i="7"/>
  <c r="AA533" i="7"/>
  <c r="AA534" i="7"/>
  <c r="AA535" i="7"/>
  <c r="AA536" i="7"/>
  <c r="AA537" i="7"/>
  <c r="AA538" i="7"/>
  <c r="AA539" i="7"/>
  <c r="AA540" i="7"/>
  <c r="AA541" i="7"/>
  <c r="AA542" i="7"/>
  <c r="AA543" i="7"/>
  <c r="AA544" i="7"/>
  <c r="AA545" i="7"/>
  <c r="AA546" i="7"/>
  <c r="AA547" i="7"/>
  <c r="AA548" i="7"/>
  <c r="AA549" i="7"/>
  <c r="AA550" i="7"/>
  <c r="AA551" i="7"/>
  <c r="AA552" i="7"/>
  <c r="AA553" i="7"/>
  <c r="AA554" i="7"/>
  <c r="AA555" i="7"/>
  <c r="AA556" i="7"/>
  <c r="AA557" i="7"/>
  <c r="AA558" i="7"/>
  <c r="AA559" i="7"/>
  <c r="AA560" i="7"/>
  <c r="AA561" i="7"/>
  <c r="AA562" i="7"/>
  <c r="AA563" i="7"/>
  <c r="AA564" i="7"/>
  <c r="AA565" i="7"/>
  <c r="AA566" i="7"/>
  <c r="AA567" i="7"/>
  <c r="AA568" i="7"/>
  <c r="AA569" i="7"/>
  <c r="AA570" i="7"/>
  <c r="AA571" i="7"/>
  <c r="AA572" i="7"/>
  <c r="AA573" i="7"/>
  <c r="AA574" i="7"/>
  <c r="AA575" i="7"/>
  <c r="AA576" i="7"/>
  <c r="AA577" i="7"/>
  <c r="AA578" i="7"/>
  <c r="AA579" i="7"/>
  <c r="AA580" i="7"/>
  <c r="AA581" i="7"/>
  <c r="AA582" i="7"/>
  <c r="AA583" i="7"/>
  <c r="AA584" i="7"/>
  <c r="AA585" i="7"/>
  <c r="AA586" i="7"/>
  <c r="AA587" i="7"/>
  <c r="AA588" i="7"/>
  <c r="AA589" i="7"/>
  <c r="AA590" i="7"/>
  <c r="AA591" i="7"/>
  <c r="AA592" i="7"/>
  <c r="AA593" i="7"/>
  <c r="AA594" i="7"/>
  <c r="AA595" i="7"/>
  <c r="AA596" i="7"/>
  <c r="AA597" i="7"/>
  <c r="AA598" i="7"/>
  <c r="AA599" i="7"/>
  <c r="AA600" i="7"/>
  <c r="AA601" i="7"/>
  <c r="AA602" i="7"/>
  <c r="AA603" i="7"/>
  <c r="AA604" i="7"/>
  <c r="AA605" i="7"/>
  <c r="AA606" i="7"/>
  <c r="AA607" i="7"/>
  <c r="AA608" i="7"/>
  <c r="AA609" i="7"/>
  <c r="AA610" i="7"/>
  <c r="AA611" i="7"/>
  <c r="AA612" i="7"/>
  <c r="AA613" i="7"/>
  <c r="AA614" i="7"/>
  <c r="AA615" i="7"/>
  <c r="AA616" i="7"/>
  <c r="AA617" i="7"/>
  <c r="AA618" i="7"/>
  <c r="AA619" i="7"/>
  <c r="AA620" i="7"/>
  <c r="AA621" i="7"/>
  <c r="AA622" i="7"/>
  <c r="AA623" i="7"/>
  <c r="AA624" i="7"/>
  <c r="AA625" i="7"/>
  <c r="AA626" i="7"/>
  <c r="AA627" i="7"/>
  <c r="AA628" i="7"/>
  <c r="AA629" i="7"/>
  <c r="AA630" i="7"/>
  <c r="AA631" i="7"/>
  <c r="AA632" i="7"/>
  <c r="AA633" i="7"/>
  <c r="AA634" i="7"/>
  <c r="AA635" i="7"/>
  <c r="AA636" i="7"/>
  <c r="AA637" i="7"/>
  <c r="AA638" i="7"/>
  <c r="AA639" i="7"/>
  <c r="AA640" i="7"/>
  <c r="AA641" i="7"/>
  <c r="AA642" i="7"/>
  <c r="AA643" i="7"/>
  <c r="AA644" i="7"/>
  <c r="AA645" i="7"/>
  <c r="AA646" i="7"/>
  <c r="AA647" i="7"/>
  <c r="AA648" i="7"/>
  <c r="AA649" i="7"/>
  <c r="AA650" i="7"/>
  <c r="AA651" i="7"/>
  <c r="AA652" i="7"/>
  <c r="AA653" i="7"/>
  <c r="AA654" i="7"/>
  <c r="AA655" i="7"/>
  <c r="AA656" i="7"/>
  <c r="AA657" i="7"/>
  <c r="AA658" i="7"/>
  <c r="AA659" i="7"/>
  <c r="AA660" i="7"/>
  <c r="AA661" i="7"/>
  <c r="AA662" i="7"/>
  <c r="AA663" i="7"/>
  <c r="AA664" i="7"/>
  <c r="AA665" i="7"/>
  <c r="AA666" i="7"/>
  <c r="AA667" i="7"/>
  <c r="AA668" i="7"/>
  <c r="AA669" i="7"/>
  <c r="AA670" i="7"/>
  <c r="AA671" i="7"/>
  <c r="AA672" i="7"/>
  <c r="AA673" i="7"/>
  <c r="AA674" i="7"/>
  <c r="AA675" i="7"/>
  <c r="AA676" i="7"/>
  <c r="AA677" i="7"/>
  <c r="AA678" i="7"/>
  <c r="AA679" i="7"/>
  <c r="AA680" i="7"/>
  <c r="AA681" i="7"/>
  <c r="AA682" i="7"/>
  <c r="AA683" i="7"/>
  <c r="AA684" i="7"/>
  <c r="AA685" i="7"/>
  <c r="AA686" i="7"/>
  <c r="AA687" i="7"/>
  <c r="AA688" i="7"/>
  <c r="AA689" i="7"/>
  <c r="AA690" i="7"/>
  <c r="AA691" i="7"/>
  <c r="AA692" i="7"/>
  <c r="AA693" i="7"/>
  <c r="AA694" i="7"/>
  <c r="AA695" i="7"/>
  <c r="AA696" i="7"/>
  <c r="AA697" i="7"/>
  <c r="AA698" i="7"/>
  <c r="AA699" i="7"/>
  <c r="AA700" i="7"/>
  <c r="AA701" i="7"/>
  <c r="AA702" i="7"/>
  <c r="AA703" i="7"/>
  <c r="AA704" i="7"/>
  <c r="AA705" i="7"/>
  <c r="AA706" i="7"/>
  <c r="AA707" i="7"/>
  <c r="AA708" i="7"/>
  <c r="AA709" i="7"/>
  <c r="AA710" i="7"/>
  <c r="AA711" i="7"/>
  <c r="AA712" i="7"/>
  <c r="AA713" i="7"/>
  <c r="AA714" i="7"/>
  <c r="AA715" i="7"/>
  <c r="AA716" i="7"/>
  <c r="AA717" i="7"/>
  <c r="AA718" i="7"/>
  <c r="AA719" i="7"/>
  <c r="AA720" i="7"/>
  <c r="AA721" i="7"/>
  <c r="AA722" i="7"/>
  <c r="AA723" i="7"/>
  <c r="AA724" i="7"/>
  <c r="AA725" i="7"/>
  <c r="AA726" i="7"/>
  <c r="AA727" i="7"/>
  <c r="AA728" i="7"/>
  <c r="AA729" i="7"/>
  <c r="AA730" i="7"/>
  <c r="AA731" i="7"/>
  <c r="AA732" i="7"/>
  <c r="AA733" i="7"/>
  <c r="AA734" i="7"/>
  <c r="AA735" i="7"/>
  <c r="AA736" i="7"/>
  <c r="AA737" i="7"/>
  <c r="AA738" i="7"/>
  <c r="AA739" i="7"/>
  <c r="AA740" i="7"/>
  <c r="AA741" i="7"/>
  <c r="AA742" i="7"/>
  <c r="AA743" i="7"/>
  <c r="AA744" i="7"/>
  <c r="AA745" i="7"/>
  <c r="AA746" i="7"/>
  <c r="AA747" i="7"/>
  <c r="AA748" i="7"/>
  <c r="AA749" i="7"/>
  <c r="AA750" i="7"/>
  <c r="AA751" i="7"/>
  <c r="AA752" i="7"/>
  <c r="AA753" i="7"/>
  <c r="AA754" i="7"/>
  <c r="AA755" i="7"/>
  <c r="AA756" i="7"/>
  <c r="AA757" i="7"/>
  <c r="AA758" i="7"/>
  <c r="AA759" i="7"/>
  <c r="AA760" i="7"/>
  <c r="AA761" i="7"/>
  <c r="AA762" i="7"/>
  <c r="AA763" i="7"/>
  <c r="AA764" i="7"/>
  <c r="AA765" i="7"/>
  <c r="AA766" i="7"/>
  <c r="AA767" i="7"/>
  <c r="AA768" i="7"/>
  <c r="AA769" i="7"/>
  <c r="AA770" i="7"/>
  <c r="AA771" i="7"/>
  <c r="AA772" i="7"/>
  <c r="AA773" i="7"/>
  <c r="AA774" i="7"/>
  <c r="AA775" i="7"/>
  <c r="AA776" i="7"/>
  <c r="AA777" i="7"/>
  <c r="AA778" i="7"/>
  <c r="AA779" i="7"/>
  <c r="AA780" i="7"/>
  <c r="AA781" i="7"/>
  <c r="AA782" i="7"/>
  <c r="AA783" i="7"/>
  <c r="AA784" i="7"/>
  <c r="AA785" i="7"/>
  <c r="AA786" i="7"/>
  <c r="AA787" i="7"/>
  <c r="AA788" i="7"/>
  <c r="AA789" i="7"/>
  <c r="AA790" i="7"/>
  <c r="AA791" i="7"/>
  <c r="AA792" i="7"/>
  <c r="AA793" i="7"/>
  <c r="AA794" i="7"/>
  <c r="AA795" i="7"/>
  <c r="AA796" i="7"/>
  <c r="AA797" i="7"/>
  <c r="AA798" i="7"/>
  <c r="AA799" i="7"/>
  <c r="AA800" i="7"/>
  <c r="AA801" i="7"/>
  <c r="AA802" i="7"/>
  <c r="AA803" i="7"/>
  <c r="AA804" i="7"/>
  <c r="AA805" i="7"/>
  <c r="AA806" i="7"/>
  <c r="AA807" i="7"/>
  <c r="AA808" i="7"/>
  <c r="AA809" i="7"/>
  <c r="AA810" i="7"/>
  <c r="AA811" i="7"/>
  <c r="AA812" i="7"/>
  <c r="AA813" i="7"/>
  <c r="AA814" i="7"/>
  <c r="AA815" i="7"/>
  <c r="W2" i="7"/>
  <c r="W3" i="7"/>
  <c r="W4" i="7"/>
  <c r="W5" i="7"/>
  <c r="W6" i="7"/>
  <c r="W7" i="7"/>
  <c r="W8" i="7"/>
  <c r="W9" i="7"/>
  <c r="W10" i="7"/>
  <c r="W11" i="7"/>
  <c r="W12" i="7"/>
  <c r="W13" i="7"/>
  <c r="W14" i="7"/>
  <c r="W15" i="7"/>
  <c r="W16" i="7"/>
  <c r="W17" i="7"/>
  <c r="W18" i="7"/>
  <c r="W19" i="7"/>
  <c r="W20" i="7"/>
  <c r="W21" i="7"/>
  <c r="W22" i="7"/>
  <c r="W23" i="7"/>
  <c r="W24" i="7"/>
  <c r="W25" i="7"/>
  <c r="W26" i="7"/>
  <c r="W27" i="7"/>
  <c r="W28" i="7"/>
  <c r="W29" i="7"/>
  <c r="W30" i="7"/>
  <c r="W31" i="7"/>
  <c r="W32" i="7"/>
  <c r="W33" i="7"/>
  <c r="W34" i="7"/>
  <c r="W35" i="7"/>
  <c r="W36" i="7"/>
  <c r="W37" i="7"/>
  <c r="W38" i="7"/>
  <c r="W39" i="7"/>
  <c r="W40" i="7"/>
  <c r="W41" i="7"/>
  <c r="W42" i="7"/>
  <c r="W43" i="7"/>
  <c r="W44" i="7"/>
  <c r="W45" i="7"/>
  <c r="W46" i="7"/>
  <c r="W47" i="7"/>
  <c r="W48" i="7"/>
  <c r="W49" i="7"/>
  <c r="W50" i="7"/>
  <c r="W51" i="7"/>
  <c r="W52" i="7"/>
  <c r="W53" i="7"/>
  <c r="W54" i="7"/>
  <c r="W55" i="7"/>
  <c r="W56" i="7"/>
  <c r="W57" i="7"/>
  <c r="W58" i="7"/>
  <c r="W59" i="7"/>
  <c r="W60" i="7"/>
  <c r="W61" i="7"/>
  <c r="W62" i="7"/>
  <c r="W63" i="7"/>
  <c r="W64" i="7"/>
  <c r="W65" i="7"/>
  <c r="W66" i="7"/>
  <c r="W67" i="7"/>
  <c r="W68" i="7"/>
  <c r="W69" i="7"/>
  <c r="W70" i="7"/>
  <c r="W71" i="7"/>
  <c r="W72" i="7"/>
  <c r="W73" i="7"/>
  <c r="W74" i="7"/>
  <c r="W75" i="7"/>
  <c r="W76" i="7"/>
  <c r="W77" i="7"/>
  <c r="W78" i="7"/>
  <c r="W79" i="7"/>
  <c r="W80" i="7"/>
  <c r="W81" i="7"/>
  <c r="W82" i="7"/>
  <c r="W83" i="7"/>
  <c r="W84" i="7"/>
  <c r="W85" i="7"/>
  <c r="W86" i="7"/>
  <c r="W87" i="7"/>
  <c r="W88" i="7"/>
  <c r="W89" i="7"/>
  <c r="W90" i="7"/>
  <c r="W91" i="7"/>
  <c r="W92" i="7"/>
  <c r="W93" i="7"/>
  <c r="W94" i="7"/>
  <c r="W95" i="7"/>
  <c r="W96" i="7"/>
  <c r="W97" i="7"/>
  <c r="W98" i="7"/>
  <c r="W99" i="7"/>
  <c r="W100" i="7"/>
  <c r="W101" i="7"/>
  <c r="W102" i="7"/>
  <c r="W103" i="7"/>
  <c r="W104" i="7"/>
  <c r="W105" i="7"/>
  <c r="W106" i="7"/>
  <c r="W107" i="7"/>
  <c r="W108" i="7"/>
  <c r="W109" i="7"/>
  <c r="W110" i="7"/>
  <c r="W111" i="7"/>
  <c r="W112" i="7"/>
  <c r="W113" i="7"/>
  <c r="W114" i="7"/>
  <c r="W115" i="7"/>
  <c r="W116" i="7"/>
  <c r="W117" i="7"/>
  <c r="W118" i="7"/>
  <c r="W119" i="7"/>
  <c r="W120" i="7"/>
  <c r="W121" i="7"/>
  <c r="W122" i="7"/>
  <c r="W123" i="7"/>
  <c r="W124" i="7"/>
  <c r="W125" i="7"/>
  <c r="W126" i="7"/>
  <c r="W127" i="7"/>
  <c r="W128" i="7"/>
  <c r="W129" i="7"/>
  <c r="W130" i="7"/>
  <c r="W131" i="7"/>
  <c r="W132" i="7"/>
  <c r="W133" i="7"/>
  <c r="W134" i="7"/>
  <c r="W135" i="7"/>
  <c r="W136" i="7"/>
  <c r="W137" i="7"/>
  <c r="W138" i="7"/>
  <c r="W139" i="7"/>
  <c r="W140" i="7"/>
  <c r="W141" i="7"/>
  <c r="W142" i="7"/>
  <c r="W143" i="7"/>
  <c r="W144" i="7"/>
  <c r="W145" i="7"/>
  <c r="W146" i="7"/>
  <c r="W147" i="7"/>
  <c r="W148" i="7"/>
  <c r="W149" i="7"/>
  <c r="W150" i="7"/>
  <c r="W151" i="7"/>
  <c r="W152" i="7"/>
  <c r="W153" i="7"/>
  <c r="W154" i="7"/>
  <c r="W155" i="7"/>
  <c r="W156" i="7"/>
  <c r="W157" i="7"/>
  <c r="W158" i="7"/>
  <c r="W159" i="7"/>
  <c r="W160" i="7"/>
  <c r="W161" i="7"/>
  <c r="W162" i="7"/>
  <c r="W163" i="7"/>
  <c r="W164" i="7"/>
  <c r="W165" i="7"/>
  <c r="W166" i="7"/>
  <c r="W167" i="7"/>
  <c r="W168" i="7"/>
  <c r="W169" i="7"/>
  <c r="W170" i="7"/>
  <c r="W171" i="7"/>
  <c r="W172" i="7"/>
  <c r="W173" i="7"/>
  <c r="W174" i="7"/>
  <c r="W175" i="7"/>
  <c r="W176" i="7"/>
  <c r="W177" i="7"/>
  <c r="W178" i="7"/>
  <c r="W179" i="7"/>
  <c r="W180" i="7"/>
  <c r="W181" i="7"/>
  <c r="W182" i="7"/>
  <c r="W183" i="7"/>
  <c r="W184" i="7"/>
  <c r="W185" i="7"/>
  <c r="W186" i="7"/>
  <c r="W187" i="7"/>
  <c r="W188" i="7"/>
  <c r="W189" i="7"/>
  <c r="W190" i="7"/>
  <c r="W191" i="7"/>
  <c r="W192" i="7"/>
  <c r="W193" i="7"/>
  <c r="W194" i="7"/>
  <c r="W195" i="7"/>
  <c r="W196" i="7"/>
  <c r="W197" i="7"/>
  <c r="W198" i="7"/>
  <c r="W199" i="7"/>
  <c r="W200" i="7"/>
  <c r="W201" i="7"/>
  <c r="W202" i="7"/>
  <c r="W203" i="7"/>
  <c r="W204" i="7"/>
  <c r="W205" i="7"/>
  <c r="W206" i="7"/>
  <c r="W207" i="7"/>
  <c r="W208" i="7"/>
  <c r="W209" i="7"/>
  <c r="W210" i="7"/>
  <c r="W211" i="7"/>
  <c r="W212" i="7"/>
  <c r="W213" i="7"/>
  <c r="W214" i="7"/>
  <c r="W215" i="7"/>
  <c r="W216" i="7"/>
  <c r="W217" i="7"/>
  <c r="W218" i="7"/>
  <c r="W219" i="7"/>
  <c r="W220" i="7"/>
  <c r="W221" i="7"/>
  <c r="W222" i="7"/>
  <c r="W223" i="7"/>
  <c r="W224" i="7"/>
  <c r="W225" i="7"/>
  <c r="W226" i="7"/>
  <c r="W227" i="7"/>
  <c r="W228" i="7"/>
  <c r="W229" i="7"/>
  <c r="W230" i="7"/>
  <c r="W231" i="7"/>
  <c r="W232" i="7"/>
  <c r="W233" i="7"/>
  <c r="W234" i="7"/>
  <c r="W235" i="7"/>
  <c r="W236" i="7"/>
  <c r="W237" i="7"/>
  <c r="W238" i="7"/>
  <c r="W239" i="7"/>
  <c r="W240" i="7"/>
  <c r="W241" i="7"/>
  <c r="W242" i="7"/>
  <c r="W243" i="7"/>
  <c r="W244" i="7"/>
  <c r="W245" i="7"/>
  <c r="W246" i="7"/>
  <c r="W247" i="7"/>
  <c r="W248" i="7"/>
  <c r="W249" i="7"/>
  <c r="W250" i="7"/>
  <c r="W251" i="7"/>
  <c r="W252" i="7"/>
  <c r="W253" i="7"/>
  <c r="W254" i="7"/>
  <c r="W255" i="7"/>
  <c r="W256" i="7"/>
  <c r="W257" i="7"/>
  <c r="W258" i="7"/>
  <c r="W259" i="7"/>
  <c r="W260" i="7"/>
  <c r="W261" i="7"/>
  <c r="W262" i="7"/>
  <c r="W263" i="7"/>
  <c r="W264" i="7"/>
  <c r="W265" i="7"/>
  <c r="W266" i="7"/>
  <c r="W267" i="7"/>
  <c r="W268" i="7"/>
  <c r="W269" i="7"/>
  <c r="W270" i="7"/>
  <c r="W271" i="7"/>
  <c r="W272" i="7"/>
  <c r="W273" i="7"/>
  <c r="W274" i="7"/>
  <c r="W275" i="7"/>
  <c r="W276" i="7"/>
  <c r="W277" i="7"/>
  <c r="W278" i="7"/>
  <c r="W279" i="7"/>
  <c r="W280" i="7"/>
  <c r="W281" i="7"/>
  <c r="W282" i="7"/>
  <c r="W283" i="7"/>
  <c r="W284" i="7"/>
  <c r="W285" i="7"/>
  <c r="W286" i="7"/>
  <c r="W287" i="7"/>
  <c r="W288" i="7"/>
  <c r="W289" i="7"/>
  <c r="W290" i="7"/>
  <c r="W291" i="7"/>
  <c r="W292" i="7"/>
  <c r="W293" i="7"/>
  <c r="W294" i="7"/>
  <c r="W295" i="7"/>
  <c r="W296" i="7"/>
  <c r="W297" i="7"/>
  <c r="W298" i="7"/>
  <c r="W299" i="7"/>
  <c r="W300" i="7"/>
  <c r="W301" i="7"/>
  <c r="W302" i="7"/>
  <c r="W303" i="7"/>
  <c r="W304" i="7"/>
  <c r="W305" i="7"/>
  <c r="W306" i="7"/>
  <c r="W307" i="7"/>
  <c r="W308" i="7"/>
  <c r="W309" i="7"/>
  <c r="W310" i="7"/>
  <c r="W311" i="7"/>
  <c r="W312" i="7"/>
  <c r="W313" i="7"/>
  <c r="W314" i="7"/>
  <c r="W315" i="7"/>
  <c r="W316" i="7"/>
  <c r="W317" i="7"/>
  <c r="W318" i="7"/>
  <c r="W319" i="7"/>
  <c r="W320" i="7"/>
  <c r="W321" i="7"/>
  <c r="W322" i="7"/>
  <c r="W323" i="7"/>
  <c r="W324" i="7"/>
  <c r="W325" i="7"/>
  <c r="W326" i="7"/>
  <c r="W327" i="7"/>
  <c r="W328" i="7"/>
  <c r="W329" i="7"/>
  <c r="W330" i="7"/>
  <c r="W331" i="7"/>
  <c r="W332" i="7"/>
  <c r="W333" i="7"/>
  <c r="W334" i="7"/>
  <c r="W335" i="7"/>
  <c r="W336" i="7"/>
  <c r="W337" i="7"/>
  <c r="W338" i="7"/>
  <c r="W339" i="7"/>
  <c r="W340" i="7"/>
  <c r="W341" i="7"/>
  <c r="W342" i="7"/>
  <c r="W343" i="7"/>
  <c r="W344" i="7"/>
  <c r="W345" i="7"/>
  <c r="W346" i="7"/>
  <c r="W347" i="7"/>
  <c r="W348" i="7"/>
  <c r="W349" i="7"/>
  <c r="W350" i="7"/>
  <c r="W351" i="7"/>
  <c r="W352" i="7"/>
  <c r="W353" i="7"/>
  <c r="W354" i="7"/>
  <c r="W355" i="7"/>
  <c r="W356" i="7"/>
  <c r="W357" i="7"/>
  <c r="W358" i="7"/>
  <c r="W359" i="7"/>
  <c r="W360" i="7"/>
  <c r="W361" i="7"/>
  <c r="W362" i="7"/>
  <c r="W363" i="7"/>
  <c r="W364" i="7"/>
  <c r="W365" i="7"/>
  <c r="W366" i="7"/>
  <c r="W367" i="7"/>
  <c r="W368" i="7"/>
  <c r="W369" i="7"/>
  <c r="W370" i="7"/>
  <c r="W371" i="7"/>
  <c r="W372" i="7"/>
  <c r="W373" i="7"/>
  <c r="W374" i="7"/>
  <c r="W375" i="7"/>
  <c r="W376" i="7"/>
  <c r="W377" i="7"/>
  <c r="W378" i="7"/>
  <c r="W379" i="7"/>
  <c r="W380" i="7"/>
  <c r="W381" i="7"/>
  <c r="W382" i="7"/>
  <c r="W383" i="7"/>
  <c r="W384" i="7"/>
  <c r="W385" i="7"/>
  <c r="W386" i="7"/>
  <c r="W387" i="7"/>
  <c r="W388" i="7"/>
  <c r="W389" i="7"/>
  <c r="W390" i="7"/>
  <c r="W391" i="7"/>
  <c r="W392" i="7"/>
  <c r="W393" i="7"/>
  <c r="W394" i="7"/>
  <c r="W395" i="7"/>
  <c r="W396" i="7"/>
  <c r="W397" i="7"/>
  <c r="W398" i="7"/>
  <c r="W399" i="7"/>
  <c r="W400" i="7"/>
  <c r="W401" i="7"/>
  <c r="W402" i="7"/>
  <c r="W403" i="7"/>
  <c r="W404" i="7"/>
  <c r="W405" i="7"/>
  <c r="W406" i="7"/>
  <c r="W407" i="7"/>
  <c r="W408" i="7"/>
  <c r="W409" i="7"/>
  <c r="W410" i="7"/>
  <c r="W411" i="7"/>
  <c r="W412" i="7"/>
  <c r="W413" i="7"/>
  <c r="W414" i="7"/>
  <c r="W415" i="7"/>
  <c r="W416" i="7"/>
  <c r="W417" i="7"/>
  <c r="W418" i="7"/>
  <c r="W419" i="7"/>
  <c r="W420" i="7"/>
  <c r="W421" i="7"/>
  <c r="W422" i="7"/>
  <c r="W423" i="7"/>
  <c r="W424" i="7"/>
  <c r="W425" i="7"/>
  <c r="W426" i="7"/>
  <c r="W427" i="7"/>
  <c r="W428" i="7"/>
  <c r="W429" i="7"/>
  <c r="W430" i="7"/>
  <c r="W431" i="7"/>
  <c r="W432" i="7"/>
  <c r="W433" i="7"/>
  <c r="W434" i="7"/>
  <c r="W435" i="7"/>
  <c r="W436" i="7"/>
  <c r="W437" i="7"/>
  <c r="W438" i="7"/>
  <c r="W439" i="7"/>
  <c r="W440" i="7"/>
  <c r="W441" i="7"/>
  <c r="W442" i="7"/>
  <c r="W443" i="7"/>
  <c r="W444" i="7"/>
  <c r="W445" i="7"/>
  <c r="W446" i="7"/>
  <c r="W447" i="7"/>
  <c r="W448" i="7"/>
  <c r="W449" i="7"/>
  <c r="W450" i="7"/>
  <c r="W451" i="7"/>
  <c r="W452" i="7"/>
  <c r="W453" i="7"/>
  <c r="W454" i="7"/>
  <c r="W455" i="7"/>
  <c r="W456" i="7"/>
  <c r="W457" i="7"/>
  <c r="W458" i="7"/>
  <c r="W459" i="7"/>
  <c r="W460" i="7"/>
  <c r="W461" i="7"/>
  <c r="W462" i="7"/>
  <c r="W463" i="7"/>
  <c r="W464" i="7"/>
  <c r="W465" i="7"/>
  <c r="W466" i="7"/>
  <c r="W467" i="7"/>
  <c r="W468" i="7"/>
  <c r="W469" i="7"/>
  <c r="W470" i="7"/>
  <c r="W471" i="7"/>
  <c r="W472" i="7"/>
  <c r="W473" i="7"/>
  <c r="W474" i="7"/>
  <c r="W475" i="7"/>
  <c r="W476" i="7"/>
  <c r="W477" i="7"/>
  <c r="W478" i="7"/>
  <c r="W479" i="7"/>
  <c r="W480" i="7"/>
  <c r="W481" i="7"/>
  <c r="W482" i="7"/>
  <c r="W483" i="7"/>
  <c r="W484" i="7"/>
  <c r="W485" i="7"/>
  <c r="W486" i="7"/>
  <c r="W487" i="7"/>
  <c r="W488" i="7"/>
  <c r="W489" i="7"/>
  <c r="W490" i="7"/>
  <c r="W491" i="7"/>
  <c r="W492" i="7"/>
  <c r="W493" i="7"/>
  <c r="W494" i="7"/>
  <c r="W495" i="7"/>
  <c r="W496" i="7"/>
  <c r="W497" i="7"/>
  <c r="W498" i="7"/>
  <c r="W499" i="7"/>
  <c r="W500" i="7"/>
  <c r="W501" i="7"/>
  <c r="W502" i="7"/>
  <c r="W503" i="7"/>
  <c r="W504" i="7"/>
  <c r="W505" i="7"/>
  <c r="W506" i="7"/>
  <c r="W507" i="7"/>
  <c r="W508" i="7"/>
  <c r="W509" i="7"/>
  <c r="W510" i="7"/>
  <c r="W511" i="7"/>
  <c r="W512" i="7"/>
  <c r="W513" i="7"/>
  <c r="W514" i="7"/>
  <c r="W515" i="7"/>
  <c r="W516" i="7"/>
  <c r="W517" i="7"/>
  <c r="W518" i="7"/>
  <c r="W519" i="7"/>
  <c r="W520" i="7"/>
  <c r="W521" i="7"/>
  <c r="W522" i="7"/>
  <c r="W523" i="7"/>
  <c r="W524" i="7"/>
  <c r="W525" i="7"/>
  <c r="W526" i="7"/>
  <c r="W527" i="7"/>
  <c r="W528" i="7"/>
  <c r="W529" i="7"/>
  <c r="W530" i="7"/>
  <c r="W531" i="7"/>
  <c r="W532" i="7"/>
  <c r="W533" i="7"/>
  <c r="W534" i="7"/>
  <c r="W535" i="7"/>
  <c r="W536" i="7"/>
  <c r="W537" i="7"/>
  <c r="W538" i="7"/>
  <c r="W539" i="7"/>
  <c r="W540" i="7"/>
  <c r="W541" i="7"/>
  <c r="W542" i="7"/>
  <c r="W543" i="7"/>
  <c r="W544" i="7"/>
  <c r="W545" i="7"/>
  <c r="W546" i="7"/>
  <c r="W547" i="7"/>
  <c r="W548" i="7"/>
  <c r="W549" i="7"/>
  <c r="W550" i="7"/>
  <c r="W551" i="7"/>
  <c r="W552" i="7"/>
  <c r="W553" i="7"/>
  <c r="W554" i="7"/>
  <c r="W555" i="7"/>
  <c r="W556" i="7"/>
  <c r="W557" i="7"/>
  <c r="W558" i="7"/>
  <c r="W559" i="7"/>
  <c r="W560" i="7"/>
  <c r="W561" i="7"/>
  <c r="W562" i="7"/>
  <c r="W563" i="7"/>
  <c r="W564" i="7"/>
  <c r="W565" i="7"/>
  <c r="W566" i="7"/>
  <c r="W567" i="7"/>
  <c r="W568" i="7"/>
  <c r="W569" i="7"/>
  <c r="W570" i="7"/>
  <c r="W571" i="7"/>
  <c r="W572" i="7"/>
  <c r="W573" i="7"/>
  <c r="W574" i="7"/>
  <c r="W575" i="7"/>
  <c r="W576" i="7"/>
  <c r="W577" i="7"/>
  <c r="W578" i="7"/>
  <c r="W579" i="7"/>
  <c r="W580" i="7"/>
  <c r="W581" i="7"/>
  <c r="W582" i="7"/>
  <c r="W583" i="7"/>
  <c r="W584" i="7"/>
  <c r="W585" i="7"/>
  <c r="W586" i="7"/>
  <c r="W587" i="7"/>
  <c r="W588" i="7"/>
  <c r="W589" i="7"/>
  <c r="W590" i="7"/>
  <c r="W591" i="7"/>
  <c r="W592" i="7"/>
  <c r="W593" i="7"/>
  <c r="W594" i="7"/>
  <c r="W595" i="7"/>
  <c r="W596" i="7"/>
  <c r="W597" i="7"/>
  <c r="W598" i="7"/>
  <c r="W599" i="7"/>
  <c r="W600" i="7"/>
  <c r="W601" i="7"/>
  <c r="W602" i="7"/>
  <c r="W603" i="7"/>
  <c r="W604" i="7"/>
  <c r="W605" i="7"/>
  <c r="W606" i="7"/>
  <c r="W607" i="7"/>
  <c r="W608" i="7"/>
  <c r="W609" i="7"/>
  <c r="W610" i="7"/>
  <c r="W611" i="7"/>
  <c r="W612" i="7"/>
  <c r="W613" i="7"/>
  <c r="W614" i="7"/>
  <c r="W615" i="7"/>
  <c r="W616" i="7"/>
  <c r="W617" i="7"/>
  <c r="W618" i="7"/>
  <c r="W619" i="7"/>
  <c r="W620" i="7"/>
  <c r="W621" i="7"/>
  <c r="W622" i="7"/>
  <c r="W623" i="7"/>
  <c r="W624" i="7"/>
  <c r="W625" i="7"/>
  <c r="W626" i="7"/>
  <c r="W627" i="7"/>
  <c r="W628" i="7"/>
  <c r="W629" i="7"/>
  <c r="W630" i="7"/>
  <c r="W631" i="7"/>
  <c r="W632" i="7"/>
  <c r="W633" i="7"/>
  <c r="W634" i="7"/>
  <c r="W635" i="7"/>
  <c r="W636" i="7"/>
  <c r="W637" i="7"/>
  <c r="W638" i="7"/>
  <c r="W639" i="7"/>
  <c r="W640" i="7"/>
  <c r="W641" i="7"/>
  <c r="W642" i="7"/>
  <c r="W643" i="7"/>
  <c r="W644" i="7"/>
  <c r="W645" i="7"/>
  <c r="W646" i="7"/>
  <c r="W647" i="7"/>
  <c r="W648" i="7"/>
  <c r="W649" i="7"/>
  <c r="W650" i="7"/>
  <c r="W651" i="7"/>
  <c r="W652" i="7"/>
  <c r="W653" i="7"/>
  <c r="W654" i="7"/>
  <c r="W655" i="7"/>
  <c r="W656" i="7"/>
  <c r="W657" i="7"/>
  <c r="W658" i="7"/>
  <c r="W659" i="7"/>
  <c r="W660" i="7"/>
  <c r="W661" i="7"/>
  <c r="W662" i="7"/>
  <c r="W663" i="7"/>
  <c r="W664" i="7"/>
  <c r="W665" i="7"/>
  <c r="W666" i="7"/>
  <c r="W667" i="7"/>
  <c r="W668" i="7"/>
  <c r="W669" i="7"/>
  <c r="W670" i="7"/>
  <c r="W671" i="7"/>
  <c r="W672" i="7"/>
  <c r="W673" i="7"/>
  <c r="W674" i="7"/>
  <c r="W675" i="7"/>
  <c r="W676" i="7"/>
  <c r="W677" i="7"/>
  <c r="W678" i="7"/>
  <c r="W679" i="7"/>
  <c r="W680" i="7"/>
  <c r="W681" i="7"/>
  <c r="W682" i="7"/>
  <c r="W683" i="7"/>
  <c r="W684" i="7"/>
  <c r="W685" i="7"/>
  <c r="W686" i="7"/>
  <c r="W687" i="7"/>
  <c r="W688" i="7"/>
  <c r="W689" i="7"/>
  <c r="W690" i="7"/>
  <c r="W691" i="7"/>
  <c r="W692" i="7"/>
  <c r="W693" i="7"/>
  <c r="W694" i="7"/>
  <c r="W695" i="7"/>
  <c r="W696" i="7"/>
  <c r="W697" i="7"/>
  <c r="W698" i="7"/>
  <c r="W699" i="7"/>
  <c r="W700" i="7"/>
  <c r="W701" i="7"/>
  <c r="W702" i="7"/>
  <c r="W703" i="7"/>
  <c r="W704" i="7"/>
  <c r="W705" i="7"/>
  <c r="W706" i="7"/>
  <c r="W707" i="7"/>
  <c r="W708" i="7"/>
  <c r="W709" i="7"/>
  <c r="W710" i="7"/>
  <c r="W711" i="7"/>
  <c r="W712" i="7"/>
  <c r="W713" i="7"/>
  <c r="W714" i="7"/>
  <c r="W715" i="7"/>
  <c r="W716" i="7"/>
  <c r="W717" i="7"/>
  <c r="W718" i="7"/>
  <c r="W719" i="7"/>
  <c r="W720" i="7"/>
  <c r="W721" i="7"/>
  <c r="W722" i="7"/>
  <c r="W723" i="7"/>
  <c r="W724" i="7"/>
  <c r="W725" i="7"/>
  <c r="W726" i="7"/>
  <c r="W727" i="7"/>
  <c r="W728" i="7"/>
  <c r="W729" i="7"/>
  <c r="W730" i="7"/>
  <c r="W731" i="7"/>
  <c r="W732" i="7"/>
  <c r="W733" i="7"/>
  <c r="W734" i="7"/>
  <c r="W735" i="7"/>
  <c r="W736" i="7"/>
  <c r="W737" i="7"/>
  <c r="W738" i="7"/>
  <c r="W739" i="7"/>
  <c r="W740" i="7"/>
  <c r="W741" i="7"/>
  <c r="W742" i="7"/>
  <c r="W743" i="7"/>
  <c r="W744" i="7"/>
  <c r="W745" i="7"/>
  <c r="W746" i="7"/>
  <c r="W747" i="7"/>
  <c r="W748" i="7"/>
  <c r="W749" i="7"/>
  <c r="W750" i="7"/>
  <c r="W751" i="7"/>
  <c r="W752" i="7"/>
  <c r="W753" i="7"/>
  <c r="W754" i="7"/>
  <c r="W755" i="7"/>
  <c r="W756" i="7"/>
  <c r="W757" i="7"/>
  <c r="W758" i="7"/>
  <c r="W759" i="7"/>
  <c r="W760" i="7"/>
  <c r="W761" i="7"/>
  <c r="W762" i="7"/>
  <c r="W763" i="7"/>
  <c r="W764" i="7"/>
  <c r="W765" i="7"/>
  <c r="W766" i="7"/>
  <c r="W767" i="7"/>
  <c r="W768" i="7"/>
  <c r="W769" i="7"/>
  <c r="W770" i="7"/>
  <c r="W771" i="7"/>
  <c r="W772" i="7"/>
  <c r="W773" i="7"/>
  <c r="W774" i="7"/>
  <c r="W775" i="7"/>
  <c r="W776" i="7"/>
  <c r="W777" i="7"/>
  <c r="W778" i="7"/>
  <c r="W779" i="7"/>
  <c r="W780" i="7"/>
  <c r="W781" i="7"/>
  <c r="W782" i="7"/>
  <c r="W783" i="7"/>
  <c r="W784" i="7"/>
  <c r="W785" i="7"/>
  <c r="W786" i="7"/>
  <c r="W787" i="7"/>
  <c r="W788" i="7"/>
  <c r="W789" i="7"/>
  <c r="W790" i="7"/>
  <c r="W791" i="7"/>
  <c r="W792" i="7"/>
  <c r="W793" i="7"/>
  <c r="W794" i="7"/>
  <c r="W795" i="7"/>
  <c r="W796" i="7"/>
  <c r="W797" i="7"/>
  <c r="W798" i="7"/>
  <c r="W799" i="7"/>
  <c r="W800" i="7"/>
  <c r="W801" i="7"/>
  <c r="W802" i="7"/>
  <c r="W803" i="7"/>
  <c r="W804" i="7"/>
  <c r="W805" i="7"/>
  <c r="W806" i="7"/>
  <c r="W807" i="7"/>
  <c r="W808" i="7"/>
  <c r="W809" i="7"/>
  <c r="W810" i="7"/>
  <c r="W811" i="7"/>
  <c r="W812" i="7"/>
  <c r="W813" i="7"/>
  <c r="W814" i="7"/>
  <c r="W815" i="7"/>
  <c r="V2" i="7"/>
  <c r="V3" i="7"/>
  <c r="V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V35" i="7"/>
  <c r="V36" i="7"/>
  <c r="V37" i="7"/>
  <c r="V38" i="7"/>
  <c r="V39" i="7"/>
  <c r="V40" i="7"/>
  <c r="V41" i="7"/>
  <c r="V42" i="7"/>
  <c r="V43" i="7"/>
  <c r="V44" i="7"/>
  <c r="V45" i="7"/>
  <c r="V46" i="7"/>
  <c r="V47" i="7"/>
  <c r="V48" i="7"/>
  <c r="V49" i="7"/>
  <c r="V50" i="7"/>
  <c r="V51" i="7"/>
  <c r="V52" i="7"/>
  <c r="V53" i="7"/>
  <c r="V54" i="7"/>
  <c r="V55" i="7"/>
  <c r="V56" i="7"/>
  <c r="V57" i="7"/>
  <c r="V58" i="7"/>
  <c r="V59" i="7"/>
  <c r="V60" i="7"/>
  <c r="V61" i="7"/>
  <c r="V62" i="7"/>
  <c r="V63" i="7"/>
  <c r="V64" i="7"/>
  <c r="V65" i="7"/>
  <c r="V66" i="7"/>
  <c r="V67" i="7"/>
  <c r="V68" i="7"/>
  <c r="V69" i="7"/>
  <c r="V70" i="7"/>
  <c r="V71" i="7"/>
  <c r="V72" i="7"/>
  <c r="V73" i="7"/>
  <c r="V74" i="7"/>
  <c r="V75" i="7"/>
  <c r="V76" i="7"/>
  <c r="V77" i="7"/>
  <c r="V78" i="7"/>
  <c r="V79" i="7"/>
  <c r="V80" i="7"/>
  <c r="V81" i="7"/>
  <c r="V82" i="7"/>
  <c r="V83" i="7"/>
  <c r="V84" i="7"/>
  <c r="V85" i="7"/>
  <c r="V86" i="7"/>
  <c r="V87" i="7"/>
  <c r="V88" i="7"/>
  <c r="V89" i="7"/>
  <c r="V90" i="7"/>
  <c r="V91" i="7"/>
  <c r="V92" i="7"/>
  <c r="V93" i="7"/>
  <c r="V94" i="7"/>
  <c r="V95" i="7"/>
  <c r="V96" i="7"/>
  <c r="V97" i="7"/>
  <c r="V98" i="7"/>
  <c r="V99" i="7"/>
  <c r="V100" i="7"/>
  <c r="V101" i="7"/>
  <c r="V102" i="7"/>
  <c r="V103" i="7"/>
  <c r="V104" i="7"/>
  <c r="V105" i="7"/>
  <c r="V106" i="7"/>
  <c r="V107" i="7"/>
  <c r="V108" i="7"/>
  <c r="V109" i="7"/>
  <c r="V110" i="7"/>
  <c r="V111" i="7"/>
  <c r="V112" i="7"/>
  <c r="V113" i="7"/>
  <c r="V114" i="7"/>
  <c r="V115" i="7"/>
  <c r="V116" i="7"/>
  <c r="V117" i="7"/>
  <c r="V118" i="7"/>
  <c r="V119" i="7"/>
  <c r="V120" i="7"/>
  <c r="V121" i="7"/>
  <c r="V122" i="7"/>
  <c r="V123" i="7"/>
  <c r="V124" i="7"/>
  <c r="V125" i="7"/>
  <c r="V126" i="7"/>
  <c r="V127" i="7"/>
  <c r="V128" i="7"/>
  <c r="V129" i="7"/>
  <c r="V130" i="7"/>
  <c r="V131" i="7"/>
  <c r="V132" i="7"/>
  <c r="V133" i="7"/>
  <c r="V134" i="7"/>
  <c r="V135" i="7"/>
  <c r="V136" i="7"/>
  <c r="V137" i="7"/>
  <c r="V138" i="7"/>
  <c r="V139" i="7"/>
  <c r="V140" i="7"/>
  <c r="V141" i="7"/>
  <c r="V142" i="7"/>
  <c r="V143" i="7"/>
  <c r="V144" i="7"/>
  <c r="V145" i="7"/>
  <c r="V146" i="7"/>
  <c r="V147" i="7"/>
  <c r="V148" i="7"/>
  <c r="V149" i="7"/>
  <c r="V150" i="7"/>
  <c r="V151" i="7"/>
  <c r="V152" i="7"/>
  <c r="V153" i="7"/>
  <c r="V154" i="7"/>
  <c r="V155" i="7"/>
  <c r="V156" i="7"/>
  <c r="V157" i="7"/>
  <c r="V158" i="7"/>
  <c r="V159" i="7"/>
  <c r="V160" i="7"/>
  <c r="V161" i="7"/>
  <c r="V162" i="7"/>
  <c r="V163" i="7"/>
  <c r="V164" i="7"/>
  <c r="V165" i="7"/>
  <c r="V166" i="7"/>
  <c r="V167" i="7"/>
  <c r="V168" i="7"/>
  <c r="V169" i="7"/>
  <c r="V170" i="7"/>
  <c r="V171" i="7"/>
  <c r="V172" i="7"/>
  <c r="V173" i="7"/>
  <c r="V174" i="7"/>
  <c r="V175" i="7"/>
  <c r="V176" i="7"/>
  <c r="V177" i="7"/>
  <c r="V178" i="7"/>
  <c r="V179" i="7"/>
  <c r="V180" i="7"/>
  <c r="V181" i="7"/>
  <c r="V182" i="7"/>
  <c r="V183" i="7"/>
  <c r="V184" i="7"/>
  <c r="V185" i="7"/>
  <c r="V186" i="7"/>
  <c r="V187" i="7"/>
  <c r="V188" i="7"/>
  <c r="V189" i="7"/>
  <c r="V190" i="7"/>
  <c r="V191" i="7"/>
  <c r="V192" i="7"/>
  <c r="V193" i="7"/>
  <c r="V194" i="7"/>
  <c r="V195" i="7"/>
  <c r="V196" i="7"/>
  <c r="V197" i="7"/>
  <c r="V198" i="7"/>
  <c r="V199" i="7"/>
  <c r="V200" i="7"/>
  <c r="V201" i="7"/>
  <c r="V202" i="7"/>
  <c r="V203" i="7"/>
  <c r="V204" i="7"/>
  <c r="V205" i="7"/>
  <c r="V206" i="7"/>
  <c r="V207" i="7"/>
  <c r="V208" i="7"/>
  <c r="V209" i="7"/>
  <c r="V210" i="7"/>
  <c r="V211" i="7"/>
  <c r="V212" i="7"/>
  <c r="V213" i="7"/>
  <c r="V214" i="7"/>
  <c r="V215" i="7"/>
  <c r="V216" i="7"/>
  <c r="V217" i="7"/>
  <c r="V218" i="7"/>
  <c r="V219" i="7"/>
  <c r="V220" i="7"/>
  <c r="V221" i="7"/>
  <c r="V222" i="7"/>
  <c r="V223" i="7"/>
  <c r="V224" i="7"/>
  <c r="V225" i="7"/>
  <c r="V226" i="7"/>
  <c r="V227" i="7"/>
  <c r="V228" i="7"/>
  <c r="V229" i="7"/>
  <c r="V230" i="7"/>
  <c r="V231" i="7"/>
  <c r="V232" i="7"/>
  <c r="V233" i="7"/>
  <c r="V234" i="7"/>
  <c r="V235" i="7"/>
  <c r="V236" i="7"/>
  <c r="V237" i="7"/>
  <c r="V238" i="7"/>
  <c r="V239" i="7"/>
  <c r="V240" i="7"/>
  <c r="V241" i="7"/>
  <c r="V242" i="7"/>
  <c r="V243" i="7"/>
  <c r="V244" i="7"/>
  <c r="V245" i="7"/>
  <c r="V246" i="7"/>
  <c r="V247" i="7"/>
  <c r="V248" i="7"/>
  <c r="V249" i="7"/>
  <c r="V250" i="7"/>
  <c r="V251" i="7"/>
  <c r="V252" i="7"/>
  <c r="V253" i="7"/>
  <c r="V254" i="7"/>
  <c r="V255" i="7"/>
  <c r="V256" i="7"/>
  <c r="V257" i="7"/>
  <c r="V258" i="7"/>
  <c r="V259" i="7"/>
  <c r="V260" i="7"/>
  <c r="V261" i="7"/>
  <c r="V262" i="7"/>
  <c r="V263" i="7"/>
  <c r="V264" i="7"/>
  <c r="V265" i="7"/>
  <c r="V266" i="7"/>
  <c r="V267" i="7"/>
  <c r="V268" i="7"/>
  <c r="V269" i="7"/>
  <c r="V270" i="7"/>
  <c r="V271" i="7"/>
  <c r="V272" i="7"/>
  <c r="V273" i="7"/>
  <c r="V274" i="7"/>
  <c r="V275" i="7"/>
  <c r="V276" i="7"/>
  <c r="V277" i="7"/>
  <c r="V278" i="7"/>
  <c r="V279" i="7"/>
  <c r="V280" i="7"/>
  <c r="V281" i="7"/>
  <c r="V282" i="7"/>
  <c r="V283" i="7"/>
  <c r="V284" i="7"/>
  <c r="V285" i="7"/>
  <c r="V286" i="7"/>
  <c r="V287" i="7"/>
  <c r="V288" i="7"/>
  <c r="V289" i="7"/>
  <c r="V290" i="7"/>
  <c r="V291" i="7"/>
  <c r="V292" i="7"/>
  <c r="V293" i="7"/>
  <c r="V294" i="7"/>
  <c r="V295" i="7"/>
  <c r="V296" i="7"/>
  <c r="V297" i="7"/>
  <c r="V298" i="7"/>
  <c r="V299" i="7"/>
  <c r="V300" i="7"/>
  <c r="V301" i="7"/>
  <c r="V302" i="7"/>
  <c r="V303" i="7"/>
  <c r="V304" i="7"/>
  <c r="V305" i="7"/>
  <c r="V306" i="7"/>
  <c r="V307" i="7"/>
  <c r="V308" i="7"/>
  <c r="V309" i="7"/>
  <c r="V310" i="7"/>
  <c r="V311" i="7"/>
  <c r="V312" i="7"/>
  <c r="V313" i="7"/>
  <c r="V314" i="7"/>
  <c r="V315" i="7"/>
  <c r="V316" i="7"/>
  <c r="V317" i="7"/>
  <c r="V318" i="7"/>
  <c r="V319" i="7"/>
  <c r="V320" i="7"/>
  <c r="V321" i="7"/>
  <c r="V322" i="7"/>
  <c r="V323" i="7"/>
  <c r="V324" i="7"/>
  <c r="V325" i="7"/>
  <c r="V326" i="7"/>
  <c r="V327" i="7"/>
  <c r="V328" i="7"/>
  <c r="V329" i="7"/>
  <c r="V330" i="7"/>
  <c r="V331" i="7"/>
  <c r="V332" i="7"/>
  <c r="V333" i="7"/>
  <c r="V334" i="7"/>
  <c r="V335" i="7"/>
  <c r="V336" i="7"/>
  <c r="V337" i="7"/>
  <c r="V338" i="7"/>
  <c r="V339" i="7"/>
  <c r="V340" i="7"/>
  <c r="V341" i="7"/>
  <c r="V342" i="7"/>
  <c r="V343" i="7"/>
  <c r="V344" i="7"/>
  <c r="V345" i="7"/>
  <c r="V346" i="7"/>
  <c r="V347" i="7"/>
  <c r="V348" i="7"/>
  <c r="V349" i="7"/>
  <c r="V350" i="7"/>
  <c r="V351" i="7"/>
  <c r="V352" i="7"/>
  <c r="V353" i="7"/>
  <c r="V354" i="7"/>
  <c r="V355" i="7"/>
  <c r="V356" i="7"/>
  <c r="V357" i="7"/>
  <c r="V358" i="7"/>
  <c r="V359" i="7"/>
  <c r="V360" i="7"/>
  <c r="V361" i="7"/>
  <c r="V362" i="7"/>
  <c r="V363" i="7"/>
  <c r="V364" i="7"/>
  <c r="V365" i="7"/>
  <c r="V366" i="7"/>
  <c r="V367" i="7"/>
  <c r="V368" i="7"/>
  <c r="V369" i="7"/>
  <c r="V370" i="7"/>
  <c r="V371" i="7"/>
  <c r="V372" i="7"/>
  <c r="V373" i="7"/>
  <c r="V374" i="7"/>
  <c r="V375" i="7"/>
  <c r="V376" i="7"/>
  <c r="V377" i="7"/>
  <c r="V378" i="7"/>
  <c r="V379" i="7"/>
  <c r="V380" i="7"/>
  <c r="V381" i="7"/>
  <c r="V382" i="7"/>
  <c r="V383" i="7"/>
  <c r="V384" i="7"/>
  <c r="V385" i="7"/>
  <c r="V386" i="7"/>
  <c r="V387" i="7"/>
  <c r="V388" i="7"/>
  <c r="V389" i="7"/>
  <c r="V390" i="7"/>
  <c r="V391" i="7"/>
  <c r="V392" i="7"/>
  <c r="V393" i="7"/>
  <c r="V394" i="7"/>
  <c r="V395" i="7"/>
  <c r="V396" i="7"/>
  <c r="V397" i="7"/>
  <c r="V398" i="7"/>
  <c r="V399" i="7"/>
  <c r="V400" i="7"/>
  <c r="V401" i="7"/>
  <c r="V402" i="7"/>
  <c r="V403" i="7"/>
  <c r="V404" i="7"/>
  <c r="V405" i="7"/>
  <c r="V406" i="7"/>
  <c r="V407" i="7"/>
  <c r="V408" i="7"/>
  <c r="V409" i="7"/>
  <c r="V410" i="7"/>
  <c r="V411" i="7"/>
  <c r="V412" i="7"/>
  <c r="V413" i="7"/>
  <c r="V414" i="7"/>
  <c r="V415" i="7"/>
  <c r="V416" i="7"/>
  <c r="V417" i="7"/>
  <c r="V418" i="7"/>
  <c r="V419" i="7"/>
  <c r="V420" i="7"/>
  <c r="V421" i="7"/>
  <c r="V422" i="7"/>
  <c r="V423" i="7"/>
  <c r="V424" i="7"/>
  <c r="V425" i="7"/>
  <c r="V426" i="7"/>
  <c r="V427" i="7"/>
  <c r="V428" i="7"/>
  <c r="V429" i="7"/>
  <c r="V430" i="7"/>
  <c r="V431" i="7"/>
  <c r="V432" i="7"/>
  <c r="V433" i="7"/>
  <c r="V434" i="7"/>
  <c r="V435" i="7"/>
  <c r="V436" i="7"/>
  <c r="V437" i="7"/>
  <c r="V438" i="7"/>
  <c r="V439" i="7"/>
  <c r="V440" i="7"/>
  <c r="V441" i="7"/>
  <c r="V442" i="7"/>
  <c r="V443" i="7"/>
  <c r="V444" i="7"/>
  <c r="V445" i="7"/>
  <c r="V446" i="7"/>
  <c r="V447" i="7"/>
  <c r="V448" i="7"/>
  <c r="V449" i="7"/>
  <c r="V450" i="7"/>
  <c r="V451" i="7"/>
  <c r="V452" i="7"/>
  <c r="V453" i="7"/>
  <c r="V454" i="7"/>
  <c r="V455" i="7"/>
  <c r="V456" i="7"/>
  <c r="V457" i="7"/>
  <c r="V458" i="7"/>
  <c r="V459" i="7"/>
  <c r="V460" i="7"/>
  <c r="V461" i="7"/>
  <c r="V462" i="7"/>
  <c r="V463" i="7"/>
  <c r="V464" i="7"/>
  <c r="V465" i="7"/>
  <c r="V466" i="7"/>
  <c r="V467" i="7"/>
  <c r="V468" i="7"/>
  <c r="V469" i="7"/>
  <c r="V470" i="7"/>
  <c r="V471" i="7"/>
  <c r="V472" i="7"/>
  <c r="V473" i="7"/>
  <c r="V474" i="7"/>
  <c r="V475" i="7"/>
  <c r="V476" i="7"/>
  <c r="V477" i="7"/>
  <c r="V478" i="7"/>
  <c r="V479" i="7"/>
  <c r="V480" i="7"/>
  <c r="V481" i="7"/>
  <c r="V482" i="7"/>
  <c r="V483" i="7"/>
  <c r="V484" i="7"/>
  <c r="V485" i="7"/>
  <c r="V486" i="7"/>
  <c r="V487" i="7"/>
  <c r="V488" i="7"/>
  <c r="V489" i="7"/>
  <c r="V490" i="7"/>
  <c r="V491" i="7"/>
  <c r="V492" i="7"/>
  <c r="V493" i="7"/>
  <c r="V494" i="7"/>
  <c r="V495" i="7"/>
  <c r="V496" i="7"/>
  <c r="V497" i="7"/>
  <c r="V498" i="7"/>
  <c r="V499" i="7"/>
  <c r="V500" i="7"/>
  <c r="V501" i="7"/>
  <c r="V502" i="7"/>
  <c r="V503" i="7"/>
  <c r="V504" i="7"/>
  <c r="V505" i="7"/>
  <c r="V506" i="7"/>
  <c r="V507" i="7"/>
  <c r="V508" i="7"/>
  <c r="V509" i="7"/>
  <c r="V510" i="7"/>
  <c r="V511" i="7"/>
  <c r="V512" i="7"/>
  <c r="V513" i="7"/>
  <c r="V514" i="7"/>
  <c r="V515" i="7"/>
  <c r="V516" i="7"/>
  <c r="V517" i="7"/>
  <c r="V518" i="7"/>
  <c r="V519" i="7"/>
  <c r="V520" i="7"/>
  <c r="V521" i="7"/>
  <c r="V522" i="7"/>
  <c r="V523" i="7"/>
  <c r="V524" i="7"/>
  <c r="V525" i="7"/>
  <c r="V526" i="7"/>
  <c r="V527" i="7"/>
  <c r="V528" i="7"/>
  <c r="V529" i="7"/>
  <c r="V530" i="7"/>
  <c r="V531" i="7"/>
  <c r="V532" i="7"/>
  <c r="V533" i="7"/>
  <c r="V534" i="7"/>
  <c r="V535" i="7"/>
  <c r="V536" i="7"/>
  <c r="V537" i="7"/>
  <c r="V538" i="7"/>
  <c r="V539" i="7"/>
  <c r="V540" i="7"/>
  <c r="V541" i="7"/>
  <c r="V542" i="7"/>
  <c r="V543" i="7"/>
  <c r="V544" i="7"/>
  <c r="V545" i="7"/>
  <c r="V546" i="7"/>
  <c r="V547" i="7"/>
  <c r="V548" i="7"/>
  <c r="V549" i="7"/>
  <c r="V550" i="7"/>
  <c r="V551" i="7"/>
  <c r="V552" i="7"/>
  <c r="V553" i="7"/>
  <c r="V554" i="7"/>
  <c r="V555" i="7"/>
  <c r="V556" i="7"/>
  <c r="V557" i="7"/>
  <c r="V558" i="7"/>
  <c r="V559" i="7"/>
  <c r="V560" i="7"/>
  <c r="V561" i="7"/>
  <c r="V562" i="7"/>
  <c r="V563" i="7"/>
  <c r="V564" i="7"/>
  <c r="V565" i="7"/>
  <c r="V566" i="7"/>
  <c r="V567" i="7"/>
  <c r="V568" i="7"/>
  <c r="V569" i="7"/>
  <c r="V570" i="7"/>
  <c r="V571" i="7"/>
  <c r="V572" i="7"/>
  <c r="V573" i="7"/>
  <c r="V574" i="7"/>
  <c r="V575" i="7"/>
  <c r="V576" i="7"/>
  <c r="V577" i="7"/>
  <c r="V578" i="7"/>
  <c r="V579" i="7"/>
  <c r="V580" i="7"/>
  <c r="V581" i="7"/>
  <c r="V582" i="7"/>
  <c r="V583" i="7"/>
  <c r="V584" i="7"/>
  <c r="V585" i="7"/>
  <c r="V586" i="7"/>
  <c r="V587" i="7"/>
  <c r="V588" i="7"/>
  <c r="V589" i="7"/>
  <c r="V590" i="7"/>
  <c r="V591" i="7"/>
  <c r="V592" i="7"/>
  <c r="V593" i="7"/>
  <c r="V594" i="7"/>
  <c r="V595" i="7"/>
  <c r="V596" i="7"/>
  <c r="V597" i="7"/>
  <c r="V598" i="7"/>
  <c r="V599" i="7"/>
  <c r="V600" i="7"/>
  <c r="V601" i="7"/>
  <c r="V602" i="7"/>
  <c r="V603" i="7"/>
  <c r="V604" i="7"/>
  <c r="V605" i="7"/>
  <c r="V606" i="7"/>
  <c r="V607" i="7"/>
  <c r="V608" i="7"/>
  <c r="V609" i="7"/>
  <c r="V610" i="7"/>
  <c r="V611" i="7"/>
  <c r="V612" i="7"/>
  <c r="V613" i="7"/>
  <c r="V614" i="7"/>
  <c r="V615" i="7"/>
  <c r="V616" i="7"/>
  <c r="V617" i="7"/>
  <c r="V618" i="7"/>
  <c r="V619" i="7"/>
  <c r="V620" i="7"/>
  <c r="V621" i="7"/>
  <c r="V622" i="7"/>
  <c r="V623" i="7"/>
  <c r="V624" i="7"/>
  <c r="V625" i="7"/>
  <c r="V626" i="7"/>
  <c r="V627" i="7"/>
  <c r="V628" i="7"/>
  <c r="V629" i="7"/>
  <c r="V630" i="7"/>
  <c r="V631" i="7"/>
  <c r="V632" i="7"/>
  <c r="V633" i="7"/>
  <c r="V634" i="7"/>
  <c r="V635" i="7"/>
  <c r="V636" i="7"/>
  <c r="V637" i="7"/>
  <c r="V638" i="7"/>
  <c r="V639" i="7"/>
  <c r="V640" i="7"/>
  <c r="V641" i="7"/>
  <c r="V642" i="7"/>
  <c r="V643" i="7"/>
  <c r="V644" i="7"/>
  <c r="V645" i="7"/>
  <c r="V646" i="7"/>
  <c r="V647" i="7"/>
  <c r="V648" i="7"/>
  <c r="V649" i="7"/>
  <c r="V650" i="7"/>
  <c r="V651" i="7"/>
  <c r="V652" i="7"/>
  <c r="V653" i="7"/>
  <c r="V654" i="7"/>
  <c r="V655" i="7"/>
  <c r="V656" i="7"/>
  <c r="V657" i="7"/>
  <c r="V658" i="7"/>
  <c r="V659" i="7"/>
  <c r="V660" i="7"/>
  <c r="V661" i="7"/>
  <c r="V662" i="7"/>
  <c r="V663" i="7"/>
  <c r="V664" i="7"/>
  <c r="V665" i="7"/>
  <c r="V666" i="7"/>
  <c r="V667" i="7"/>
  <c r="V668" i="7"/>
  <c r="V669" i="7"/>
  <c r="V670" i="7"/>
  <c r="V671" i="7"/>
  <c r="V672" i="7"/>
  <c r="V673" i="7"/>
  <c r="V674" i="7"/>
  <c r="V675" i="7"/>
  <c r="V676" i="7"/>
  <c r="V677" i="7"/>
  <c r="V678" i="7"/>
  <c r="V679" i="7"/>
  <c r="V680" i="7"/>
  <c r="V681" i="7"/>
  <c r="V682" i="7"/>
  <c r="V683" i="7"/>
  <c r="V684" i="7"/>
  <c r="V685" i="7"/>
  <c r="V686" i="7"/>
  <c r="V687" i="7"/>
  <c r="V688" i="7"/>
  <c r="V689" i="7"/>
  <c r="V690" i="7"/>
  <c r="V691" i="7"/>
  <c r="V692" i="7"/>
  <c r="V693" i="7"/>
  <c r="V694" i="7"/>
  <c r="V695" i="7"/>
  <c r="V696" i="7"/>
  <c r="V697" i="7"/>
  <c r="V698" i="7"/>
  <c r="V699" i="7"/>
  <c r="V700" i="7"/>
  <c r="V701" i="7"/>
  <c r="V702" i="7"/>
  <c r="V703" i="7"/>
  <c r="V704" i="7"/>
  <c r="V705" i="7"/>
  <c r="V706" i="7"/>
  <c r="V707" i="7"/>
  <c r="V708" i="7"/>
  <c r="V709" i="7"/>
  <c r="V710" i="7"/>
  <c r="V711" i="7"/>
  <c r="V712" i="7"/>
  <c r="V713" i="7"/>
  <c r="V714" i="7"/>
  <c r="V715" i="7"/>
  <c r="V716" i="7"/>
  <c r="V717" i="7"/>
  <c r="V718" i="7"/>
  <c r="V719" i="7"/>
  <c r="V720" i="7"/>
  <c r="V721" i="7"/>
  <c r="V722" i="7"/>
  <c r="V723" i="7"/>
  <c r="V724" i="7"/>
  <c r="V725" i="7"/>
  <c r="V726" i="7"/>
  <c r="V727" i="7"/>
  <c r="V728" i="7"/>
  <c r="V729" i="7"/>
  <c r="V730" i="7"/>
  <c r="V731" i="7"/>
  <c r="V732" i="7"/>
  <c r="V733" i="7"/>
  <c r="V734" i="7"/>
  <c r="V735" i="7"/>
  <c r="V736" i="7"/>
  <c r="V737" i="7"/>
  <c r="V738" i="7"/>
  <c r="V739" i="7"/>
  <c r="V740" i="7"/>
  <c r="V741" i="7"/>
  <c r="V742" i="7"/>
  <c r="V743" i="7"/>
  <c r="V744" i="7"/>
  <c r="V745" i="7"/>
  <c r="V746" i="7"/>
  <c r="V747" i="7"/>
  <c r="V748" i="7"/>
  <c r="V749" i="7"/>
  <c r="V750" i="7"/>
  <c r="V751" i="7"/>
  <c r="V752" i="7"/>
  <c r="V753" i="7"/>
  <c r="V754" i="7"/>
  <c r="V755" i="7"/>
  <c r="V756" i="7"/>
  <c r="V757" i="7"/>
  <c r="V758" i="7"/>
  <c r="V759" i="7"/>
  <c r="V760" i="7"/>
  <c r="V761" i="7"/>
  <c r="V762" i="7"/>
  <c r="V763" i="7"/>
  <c r="V764" i="7"/>
  <c r="V765" i="7"/>
  <c r="V766" i="7"/>
  <c r="V767" i="7"/>
  <c r="V768" i="7"/>
  <c r="V769" i="7"/>
  <c r="V770" i="7"/>
  <c r="V771" i="7"/>
  <c r="V772" i="7"/>
  <c r="V773" i="7"/>
  <c r="V774" i="7"/>
  <c r="V775" i="7"/>
  <c r="V776" i="7"/>
  <c r="V777" i="7"/>
  <c r="V778" i="7"/>
  <c r="V779" i="7"/>
  <c r="V780" i="7"/>
  <c r="V781" i="7"/>
  <c r="V782" i="7"/>
  <c r="V783" i="7"/>
  <c r="V784" i="7"/>
  <c r="V785" i="7"/>
  <c r="V786" i="7"/>
  <c r="V787" i="7"/>
  <c r="V788" i="7"/>
  <c r="V789" i="7"/>
  <c r="V790" i="7"/>
  <c r="V791" i="7"/>
  <c r="V792" i="7"/>
  <c r="V793" i="7"/>
  <c r="V794" i="7"/>
  <c r="V795" i="7"/>
  <c r="V796" i="7"/>
  <c r="V797" i="7"/>
  <c r="V798" i="7"/>
  <c r="V799" i="7"/>
  <c r="V800" i="7"/>
  <c r="V801" i="7"/>
  <c r="V802" i="7"/>
  <c r="V803" i="7"/>
  <c r="V804" i="7"/>
  <c r="V805" i="7"/>
  <c r="V806" i="7"/>
  <c r="V807" i="7"/>
  <c r="V808" i="7"/>
  <c r="V809" i="7"/>
  <c r="V810" i="7"/>
  <c r="V811" i="7"/>
  <c r="V812" i="7"/>
  <c r="V813" i="7"/>
  <c r="V814" i="7"/>
  <c r="V815" i="7"/>
  <c r="A806" i="7"/>
  <c r="A807" i="7"/>
  <c r="A808" i="7"/>
  <c r="A809" i="7"/>
  <c r="A810" i="7"/>
  <c r="A811" i="7"/>
  <c r="A812" i="7"/>
  <c r="A813" i="7"/>
  <c r="A814" i="7"/>
  <c r="A815" i="7"/>
  <c r="B806" i="7"/>
  <c r="B807" i="7"/>
  <c r="B808" i="7"/>
  <c r="B809" i="7"/>
  <c r="B810" i="7"/>
  <c r="B811" i="7"/>
  <c r="B812" i="7"/>
  <c r="B813" i="7"/>
  <c r="B814" i="7"/>
  <c r="B815" i="7"/>
  <c r="M806" i="7"/>
  <c r="M807" i="7"/>
  <c r="M808" i="7"/>
  <c r="M809" i="7"/>
  <c r="M810" i="7"/>
  <c r="M811" i="7"/>
  <c r="M812" i="7"/>
  <c r="M813" i="7"/>
  <c r="M814" i="7"/>
  <c r="M815" i="7"/>
  <c r="P806" i="7"/>
  <c r="P807" i="7"/>
  <c r="P808" i="7"/>
  <c r="P809" i="7"/>
  <c r="P810" i="7"/>
  <c r="P811" i="7"/>
  <c r="P812" i="7"/>
  <c r="X812" i="7" s="1"/>
  <c r="P813" i="7"/>
  <c r="P814" i="7"/>
  <c r="X814" i="7" s="1"/>
  <c r="P815" i="7"/>
  <c r="Q806" i="7"/>
  <c r="Q807" i="7"/>
  <c r="Q808" i="7"/>
  <c r="Q809" i="7"/>
  <c r="Q810" i="7"/>
  <c r="Q811" i="7"/>
  <c r="Q812" i="7"/>
  <c r="Q813" i="7"/>
  <c r="Q814" i="7"/>
  <c r="Q815" i="7"/>
  <c r="A805" i="7"/>
  <c r="B805" i="7"/>
  <c r="M805" i="7"/>
  <c r="P805" i="7"/>
  <c r="Q805" i="7"/>
  <c r="A2" i="7"/>
  <c r="A3" i="7"/>
  <c r="A4" i="7"/>
  <c r="A5" i="7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34" i="7"/>
  <c r="A35" i="7"/>
  <c r="A36" i="7"/>
  <c r="A37" i="7"/>
  <c r="A38" i="7"/>
  <c r="A39" i="7"/>
  <c r="A40" i="7"/>
  <c r="A41" i="7"/>
  <c r="A42" i="7"/>
  <c r="A43" i="7"/>
  <c r="A44" i="7"/>
  <c r="A45" i="7"/>
  <c r="A46" i="7"/>
  <c r="A47" i="7"/>
  <c r="A48" i="7"/>
  <c r="A49" i="7"/>
  <c r="A50" i="7"/>
  <c r="A51" i="7"/>
  <c r="A52" i="7"/>
  <c r="A53" i="7"/>
  <c r="A54" i="7"/>
  <c r="A55" i="7"/>
  <c r="A56" i="7"/>
  <c r="A57" i="7"/>
  <c r="A58" i="7"/>
  <c r="A59" i="7"/>
  <c r="A60" i="7"/>
  <c r="A61" i="7"/>
  <c r="A62" i="7"/>
  <c r="A63" i="7"/>
  <c r="A64" i="7"/>
  <c r="A65" i="7"/>
  <c r="A66" i="7"/>
  <c r="A67" i="7"/>
  <c r="A68" i="7"/>
  <c r="A69" i="7"/>
  <c r="A70" i="7"/>
  <c r="A71" i="7"/>
  <c r="A72" i="7"/>
  <c r="A73" i="7"/>
  <c r="A74" i="7"/>
  <c r="A75" i="7"/>
  <c r="A76" i="7"/>
  <c r="A77" i="7"/>
  <c r="A78" i="7"/>
  <c r="A79" i="7"/>
  <c r="A80" i="7"/>
  <c r="A81" i="7"/>
  <c r="A82" i="7"/>
  <c r="A83" i="7"/>
  <c r="A84" i="7"/>
  <c r="A85" i="7"/>
  <c r="A86" i="7"/>
  <c r="A87" i="7"/>
  <c r="A88" i="7"/>
  <c r="A89" i="7"/>
  <c r="A90" i="7"/>
  <c r="A91" i="7"/>
  <c r="A92" i="7"/>
  <c r="A93" i="7"/>
  <c r="A94" i="7"/>
  <c r="A95" i="7"/>
  <c r="A96" i="7"/>
  <c r="A97" i="7"/>
  <c r="A98" i="7"/>
  <c r="A99" i="7"/>
  <c r="A100" i="7"/>
  <c r="A101" i="7"/>
  <c r="A102" i="7"/>
  <c r="A103" i="7"/>
  <c r="A104" i="7"/>
  <c r="A105" i="7"/>
  <c r="A106" i="7"/>
  <c r="A107" i="7"/>
  <c r="A108" i="7"/>
  <c r="A109" i="7"/>
  <c r="A110" i="7"/>
  <c r="A111" i="7"/>
  <c r="A112" i="7"/>
  <c r="A113" i="7"/>
  <c r="A114" i="7"/>
  <c r="A115" i="7"/>
  <c r="A116" i="7"/>
  <c r="A117" i="7"/>
  <c r="A118" i="7"/>
  <c r="A119" i="7"/>
  <c r="A120" i="7"/>
  <c r="A121" i="7"/>
  <c r="A122" i="7"/>
  <c r="A123" i="7"/>
  <c r="A124" i="7"/>
  <c r="A125" i="7"/>
  <c r="A126" i="7"/>
  <c r="A127" i="7"/>
  <c r="A128" i="7"/>
  <c r="A129" i="7"/>
  <c r="A130" i="7"/>
  <c r="A131" i="7"/>
  <c r="A132" i="7"/>
  <c r="A133" i="7"/>
  <c r="A134" i="7"/>
  <c r="A135" i="7"/>
  <c r="A136" i="7"/>
  <c r="A137" i="7"/>
  <c r="A138" i="7"/>
  <c r="A139" i="7"/>
  <c r="A140" i="7"/>
  <c r="A141" i="7"/>
  <c r="A142" i="7"/>
  <c r="A143" i="7"/>
  <c r="A144" i="7"/>
  <c r="A145" i="7"/>
  <c r="A146" i="7"/>
  <c r="A147" i="7"/>
  <c r="A148" i="7"/>
  <c r="A149" i="7"/>
  <c r="A150" i="7"/>
  <c r="A151" i="7"/>
  <c r="A152" i="7"/>
  <c r="A153" i="7"/>
  <c r="A154" i="7"/>
  <c r="A155" i="7"/>
  <c r="A156" i="7"/>
  <c r="A157" i="7"/>
  <c r="A158" i="7"/>
  <c r="A159" i="7"/>
  <c r="A160" i="7"/>
  <c r="A161" i="7"/>
  <c r="A162" i="7"/>
  <c r="A163" i="7"/>
  <c r="A164" i="7"/>
  <c r="A165" i="7"/>
  <c r="A166" i="7"/>
  <c r="A167" i="7"/>
  <c r="A168" i="7"/>
  <c r="A169" i="7"/>
  <c r="A170" i="7"/>
  <c r="A171" i="7"/>
  <c r="A172" i="7"/>
  <c r="A173" i="7"/>
  <c r="A174" i="7"/>
  <c r="A175" i="7"/>
  <c r="A176" i="7"/>
  <c r="A177" i="7"/>
  <c r="A178" i="7"/>
  <c r="A179" i="7"/>
  <c r="A180" i="7"/>
  <c r="A181" i="7"/>
  <c r="A182" i="7"/>
  <c r="A183" i="7"/>
  <c r="A184" i="7"/>
  <c r="A185" i="7"/>
  <c r="A186" i="7"/>
  <c r="A187" i="7"/>
  <c r="A188" i="7"/>
  <c r="A189" i="7"/>
  <c r="A190" i="7"/>
  <c r="A191" i="7"/>
  <c r="A192" i="7"/>
  <c r="A193" i="7"/>
  <c r="A194" i="7"/>
  <c r="A195" i="7"/>
  <c r="A196" i="7"/>
  <c r="A197" i="7"/>
  <c r="A198" i="7"/>
  <c r="A199" i="7"/>
  <c r="A200" i="7"/>
  <c r="A201" i="7"/>
  <c r="A202" i="7"/>
  <c r="A203" i="7"/>
  <c r="A204" i="7"/>
  <c r="A205" i="7"/>
  <c r="A206" i="7"/>
  <c r="A207" i="7"/>
  <c r="A208" i="7"/>
  <c r="A209" i="7"/>
  <c r="A210" i="7"/>
  <c r="A211" i="7"/>
  <c r="A212" i="7"/>
  <c r="A213" i="7"/>
  <c r="A214" i="7"/>
  <c r="A215" i="7"/>
  <c r="A216" i="7"/>
  <c r="A217" i="7"/>
  <c r="A218" i="7"/>
  <c r="A219" i="7"/>
  <c r="A220" i="7"/>
  <c r="A221" i="7"/>
  <c r="A222" i="7"/>
  <c r="A223" i="7"/>
  <c r="A224" i="7"/>
  <c r="A225" i="7"/>
  <c r="A226" i="7"/>
  <c r="A227" i="7"/>
  <c r="A228" i="7"/>
  <c r="A229" i="7"/>
  <c r="A230" i="7"/>
  <c r="A231" i="7"/>
  <c r="A232" i="7"/>
  <c r="A233" i="7"/>
  <c r="A234" i="7"/>
  <c r="A235" i="7"/>
  <c r="A236" i="7"/>
  <c r="A237" i="7"/>
  <c r="A238" i="7"/>
  <c r="A239" i="7"/>
  <c r="A240" i="7"/>
  <c r="A241" i="7"/>
  <c r="A242" i="7"/>
  <c r="A243" i="7"/>
  <c r="A244" i="7"/>
  <c r="A245" i="7"/>
  <c r="A246" i="7"/>
  <c r="A247" i="7"/>
  <c r="A248" i="7"/>
  <c r="A249" i="7"/>
  <c r="A250" i="7"/>
  <c r="A251" i="7"/>
  <c r="A252" i="7"/>
  <c r="A253" i="7"/>
  <c r="A254" i="7"/>
  <c r="A255" i="7"/>
  <c r="A256" i="7"/>
  <c r="A257" i="7"/>
  <c r="A258" i="7"/>
  <c r="A259" i="7"/>
  <c r="A260" i="7"/>
  <c r="A261" i="7"/>
  <c r="A262" i="7"/>
  <c r="A263" i="7"/>
  <c r="A264" i="7"/>
  <c r="A265" i="7"/>
  <c r="A266" i="7"/>
  <c r="A267" i="7"/>
  <c r="A268" i="7"/>
  <c r="A269" i="7"/>
  <c r="A270" i="7"/>
  <c r="A271" i="7"/>
  <c r="A272" i="7"/>
  <c r="A273" i="7"/>
  <c r="A274" i="7"/>
  <c r="A275" i="7"/>
  <c r="A276" i="7"/>
  <c r="A277" i="7"/>
  <c r="A278" i="7"/>
  <c r="A279" i="7"/>
  <c r="A280" i="7"/>
  <c r="A281" i="7"/>
  <c r="A282" i="7"/>
  <c r="A283" i="7"/>
  <c r="A284" i="7"/>
  <c r="A285" i="7"/>
  <c r="A286" i="7"/>
  <c r="A287" i="7"/>
  <c r="A288" i="7"/>
  <c r="A289" i="7"/>
  <c r="A290" i="7"/>
  <c r="A291" i="7"/>
  <c r="A292" i="7"/>
  <c r="A293" i="7"/>
  <c r="A294" i="7"/>
  <c r="A295" i="7"/>
  <c r="A296" i="7"/>
  <c r="A297" i="7"/>
  <c r="A298" i="7"/>
  <c r="A299" i="7"/>
  <c r="A300" i="7"/>
  <c r="A301" i="7"/>
  <c r="A302" i="7"/>
  <c r="A303" i="7"/>
  <c r="A304" i="7"/>
  <c r="A305" i="7"/>
  <c r="A306" i="7"/>
  <c r="A307" i="7"/>
  <c r="A308" i="7"/>
  <c r="A309" i="7"/>
  <c r="A310" i="7"/>
  <c r="A311" i="7"/>
  <c r="A312" i="7"/>
  <c r="A313" i="7"/>
  <c r="A314" i="7"/>
  <c r="A315" i="7"/>
  <c r="A316" i="7"/>
  <c r="A317" i="7"/>
  <c r="A318" i="7"/>
  <c r="A319" i="7"/>
  <c r="A320" i="7"/>
  <c r="A321" i="7"/>
  <c r="A322" i="7"/>
  <c r="A323" i="7"/>
  <c r="A324" i="7"/>
  <c r="A325" i="7"/>
  <c r="A326" i="7"/>
  <c r="A327" i="7"/>
  <c r="A328" i="7"/>
  <c r="A329" i="7"/>
  <c r="A330" i="7"/>
  <c r="A331" i="7"/>
  <c r="A332" i="7"/>
  <c r="A333" i="7"/>
  <c r="A334" i="7"/>
  <c r="A335" i="7"/>
  <c r="A336" i="7"/>
  <c r="A337" i="7"/>
  <c r="A338" i="7"/>
  <c r="A339" i="7"/>
  <c r="A340" i="7"/>
  <c r="A341" i="7"/>
  <c r="A342" i="7"/>
  <c r="A343" i="7"/>
  <c r="A344" i="7"/>
  <c r="A345" i="7"/>
  <c r="A346" i="7"/>
  <c r="A347" i="7"/>
  <c r="A348" i="7"/>
  <c r="A349" i="7"/>
  <c r="A350" i="7"/>
  <c r="A351" i="7"/>
  <c r="A352" i="7"/>
  <c r="A353" i="7"/>
  <c r="A354" i="7"/>
  <c r="A355" i="7"/>
  <c r="A356" i="7"/>
  <c r="A357" i="7"/>
  <c r="A358" i="7"/>
  <c r="A359" i="7"/>
  <c r="A360" i="7"/>
  <c r="A361" i="7"/>
  <c r="A362" i="7"/>
  <c r="A363" i="7"/>
  <c r="A364" i="7"/>
  <c r="A365" i="7"/>
  <c r="A366" i="7"/>
  <c r="A367" i="7"/>
  <c r="A368" i="7"/>
  <c r="A369" i="7"/>
  <c r="A370" i="7"/>
  <c r="A371" i="7"/>
  <c r="A372" i="7"/>
  <c r="A373" i="7"/>
  <c r="A374" i="7"/>
  <c r="A375" i="7"/>
  <c r="A376" i="7"/>
  <c r="A377" i="7"/>
  <c r="A378" i="7"/>
  <c r="A379" i="7"/>
  <c r="A380" i="7"/>
  <c r="A381" i="7"/>
  <c r="A382" i="7"/>
  <c r="A383" i="7"/>
  <c r="A384" i="7"/>
  <c r="A385" i="7"/>
  <c r="A386" i="7"/>
  <c r="A387" i="7"/>
  <c r="A388" i="7"/>
  <c r="A389" i="7"/>
  <c r="A390" i="7"/>
  <c r="A391" i="7"/>
  <c r="A392" i="7"/>
  <c r="A393" i="7"/>
  <c r="A394" i="7"/>
  <c r="A395" i="7"/>
  <c r="A396" i="7"/>
  <c r="A397" i="7"/>
  <c r="A398" i="7"/>
  <c r="A399" i="7"/>
  <c r="A400" i="7"/>
  <c r="A401" i="7"/>
  <c r="A402" i="7"/>
  <c r="A403" i="7"/>
  <c r="A404" i="7"/>
  <c r="A405" i="7"/>
  <c r="A406" i="7"/>
  <c r="A407" i="7"/>
  <c r="A408" i="7"/>
  <c r="A409" i="7"/>
  <c r="A410" i="7"/>
  <c r="A411" i="7"/>
  <c r="A412" i="7"/>
  <c r="A413" i="7"/>
  <c r="A414" i="7"/>
  <c r="A415" i="7"/>
  <c r="A416" i="7"/>
  <c r="A417" i="7"/>
  <c r="A418" i="7"/>
  <c r="A419" i="7"/>
  <c r="A420" i="7"/>
  <c r="A421" i="7"/>
  <c r="A422" i="7"/>
  <c r="A423" i="7"/>
  <c r="A424" i="7"/>
  <c r="A425" i="7"/>
  <c r="A426" i="7"/>
  <c r="A427" i="7"/>
  <c r="A428" i="7"/>
  <c r="A429" i="7"/>
  <c r="A430" i="7"/>
  <c r="A431" i="7"/>
  <c r="A432" i="7"/>
  <c r="A433" i="7"/>
  <c r="A434" i="7"/>
  <c r="A435" i="7"/>
  <c r="A436" i="7"/>
  <c r="A437" i="7"/>
  <c r="A438" i="7"/>
  <c r="A439" i="7"/>
  <c r="A440" i="7"/>
  <c r="A441" i="7"/>
  <c r="A442" i="7"/>
  <c r="A443" i="7"/>
  <c r="A444" i="7"/>
  <c r="A445" i="7"/>
  <c r="A446" i="7"/>
  <c r="A447" i="7"/>
  <c r="A448" i="7"/>
  <c r="A449" i="7"/>
  <c r="A450" i="7"/>
  <c r="A451" i="7"/>
  <c r="A452" i="7"/>
  <c r="A453" i="7"/>
  <c r="A454" i="7"/>
  <c r="A455" i="7"/>
  <c r="A456" i="7"/>
  <c r="A457" i="7"/>
  <c r="A458" i="7"/>
  <c r="A459" i="7"/>
  <c r="A460" i="7"/>
  <c r="A461" i="7"/>
  <c r="A462" i="7"/>
  <c r="A463" i="7"/>
  <c r="A464" i="7"/>
  <c r="A465" i="7"/>
  <c r="A466" i="7"/>
  <c r="A467" i="7"/>
  <c r="A468" i="7"/>
  <c r="A469" i="7"/>
  <c r="A470" i="7"/>
  <c r="A471" i="7"/>
  <c r="A472" i="7"/>
  <c r="A473" i="7"/>
  <c r="A474" i="7"/>
  <c r="A475" i="7"/>
  <c r="A476" i="7"/>
  <c r="A477" i="7"/>
  <c r="A478" i="7"/>
  <c r="A479" i="7"/>
  <c r="A480" i="7"/>
  <c r="A481" i="7"/>
  <c r="A482" i="7"/>
  <c r="A483" i="7"/>
  <c r="A484" i="7"/>
  <c r="A485" i="7"/>
  <c r="A486" i="7"/>
  <c r="A487" i="7"/>
  <c r="A488" i="7"/>
  <c r="A489" i="7"/>
  <c r="A490" i="7"/>
  <c r="A491" i="7"/>
  <c r="A492" i="7"/>
  <c r="A493" i="7"/>
  <c r="A494" i="7"/>
  <c r="A495" i="7"/>
  <c r="A496" i="7"/>
  <c r="A497" i="7"/>
  <c r="A498" i="7"/>
  <c r="A499" i="7"/>
  <c r="A500" i="7"/>
  <c r="A501" i="7"/>
  <c r="A502" i="7"/>
  <c r="A503" i="7"/>
  <c r="A504" i="7"/>
  <c r="A505" i="7"/>
  <c r="A506" i="7"/>
  <c r="A507" i="7"/>
  <c r="A508" i="7"/>
  <c r="A509" i="7"/>
  <c r="A510" i="7"/>
  <c r="A511" i="7"/>
  <c r="A512" i="7"/>
  <c r="A513" i="7"/>
  <c r="A514" i="7"/>
  <c r="A515" i="7"/>
  <c r="A516" i="7"/>
  <c r="A517" i="7"/>
  <c r="A518" i="7"/>
  <c r="A519" i="7"/>
  <c r="A520" i="7"/>
  <c r="A521" i="7"/>
  <c r="A522" i="7"/>
  <c r="A523" i="7"/>
  <c r="A524" i="7"/>
  <c r="A525" i="7"/>
  <c r="A526" i="7"/>
  <c r="A527" i="7"/>
  <c r="A528" i="7"/>
  <c r="A529" i="7"/>
  <c r="A530" i="7"/>
  <c r="A531" i="7"/>
  <c r="A532" i="7"/>
  <c r="A533" i="7"/>
  <c r="A534" i="7"/>
  <c r="A535" i="7"/>
  <c r="A536" i="7"/>
  <c r="A537" i="7"/>
  <c r="A538" i="7"/>
  <c r="A539" i="7"/>
  <c r="A540" i="7"/>
  <c r="A541" i="7"/>
  <c r="A542" i="7"/>
  <c r="A543" i="7"/>
  <c r="A544" i="7"/>
  <c r="A545" i="7"/>
  <c r="A546" i="7"/>
  <c r="A547" i="7"/>
  <c r="A548" i="7"/>
  <c r="A549" i="7"/>
  <c r="A550" i="7"/>
  <c r="A551" i="7"/>
  <c r="A552" i="7"/>
  <c r="A553" i="7"/>
  <c r="A554" i="7"/>
  <c r="A555" i="7"/>
  <c r="A556" i="7"/>
  <c r="A557" i="7"/>
  <c r="A558" i="7"/>
  <c r="A559" i="7"/>
  <c r="A560" i="7"/>
  <c r="A561" i="7"/>
  <c r="A562" i="7"/>
  <c r="A563" i="7"/>
  <c r="A564" i="7"/>
  <c r="A565" i="7"/>
  <c r="A566" i="7"/>
  <c r="A567" i="7"/>
  <c r="A568" i="7"/>
  <c r="A569" i="7"/>
  <c r="A570" i="7"/>
  <c r="A571" i="7"/>
  <c r="A572" i="7"/>
  <c r="A573" i="7"/>
  <c r="A574" i="7"/>
  <c r="A575" i="7"/>
  <c r="A576" i="7"/>
  <c r="A577" i="7"/>
  <c r="A578" i="7"/>
  <c r="A579" i="7"/>
  <c r="A580" i="7"/>
  <c r="A581" i="7"/>
  <c r="A582" i="7"/>
  <c r="A583" i="7"/>
  <c r="A584" i="7"/>
  <c r="A585" i="7"/>
  <c r="A586" i="7"/>
  <c r="A587" i="7"/>
  <c r="A588" i="7"/>
  <c r="A589" i="7"/>
  <c r="A590" i="7"/>
  <c r="A591" i="7"/>
  <c r="A592" i="7"/>
  <c r="A593" i="7"/>
  <c r="A594" i="7"/>
  <c r="A595" i="7"/>
  <c r="A596" i="7"/>
  <c r="A597" i="7"/>
  <c r="A598" i="7"/>
  <c r="A599" i="7"/>
  <c r="A600" i="7"/>
  <c r="A601" i="7"/>
  <c r="A602" i="7"/>
  <c r="A603" i="7"/>
  <c r="A604" i="7"/>
  <c r="A605" i="7"/>
  <c r="A606" i="7"/>
  <c r="A607" i="7"/>
  <c r="A608" i="7"/>
  <c r="A609" i="7"/>
  <c r="A610" i="7"/>
  <c r="A611" i="7"/>
  <c r="A612" i="7"/>
  <c r="A613" i="7"/>
  <c r="A614" i="7"/>
  <c r="A615" i="7"/>
  <c r="A616" i="7"/>
  <c r="A617" i="7"/>
  <c r="A618" i="7"/>
  <c r="A619" i="7"/>
  <c r="A620" i="7"/>
  <c r="A621" i="7"/>
  <c r="A622" i="7"/>
  <c r="A623" i="7"/>
  <c r="A624" i="7"/>
  <c r="A625" i="7"/>
  <c r="A626" i="7"/>
  <c r="A627" i="7"/>
  <c r="A628" i="7"/>
  <c r="A629" i="7"/>
  <c r="A630" i="7"/>
  <c r="A631" i="7"/>
  <c r="A632" i="7"/>
  <c r="A633" i="7"/>
  <c r="A634" i="7"/>
  <c r="A635" i="7"/>
  <c r="A636" i="7"/>
  <c r="A637" i="7"/>
  <c r="A638" i="7"/>
  <c r="A639" i="7"/>
  <c r="A640" i="7"/>
  <c r="A641" i="7"/>
  <c r="A642" i="7"/>
  <c r="A643" i="7"/>
  <c r="A644" i="7"/>
  <c r="A645" i="7"/>
  <c r="A646" i="7"/>
  <c r="A647" i="7"/>
  <c r="A648" i="7"/>
  <c r="A649" i="7"/>
  <c r="A650" i="7"/>
  <c r="A651" i="7"/>
  <c r="A652" i="7"/>
  <c r="A653" i="7"/>
  <c r="A654" i="7"/>
  <c r="A655" i="7"/>
  <c r="A656" i="7"/>
  <c r="A657" i="7"/>
  <c r="A658" i="7"/>
  <c r="A659" i="7"/>
  <c r="A660" i="7"/>
  <c r="A661" i="7"/>
  <c r="A662" i="7"/>
  <c r="A663" i="7"/>
  <c r="A664" i="7"/>
  <c r="A665" i="7"/>
  <c r="A666" i="7"/>
  <c r="A667" i="7"/>
  <c r="A668" i="7"/>
  <c r="A669" i="7"/>
  <c r="A670" i="7"/>
  <c r="A671" i="7"/>
  <c r="A672" i="7"/>
  <c r="A673" i="7"/>
  <c r="A674" i="7"/>
  <c r="A675" i="7"/>
  <c r="A676" i="7"/>
  <c r="A677" i="7"/>
  <c r="A678" i="7"/>
  <c r="A679" i="7"/>
  <c r="A680" i="7"/>
  <c r="A681" i="7"/>
  <c r="A682" i="7"/>
  <c r="A683" i="7"/>
  <c r="A684" i="7"/>
  <c r="A685" i="7"/>
  <c r="A686" i="7"/>
  <c r="A687" i="7"/>
  <c r="A688" i="7"/>
  <c r="A689" i="7"/>
  <c r="A690" i="7"/>
  <c r="A691" i="7"/>
  <c r="A692" i="7"/>
  <c r="A693" i="7"/>
  <c r="A694" i="7"/>
  <c r="A695" i="7"/>
  <c r="A696" i="7"/>
  <c r="A697" i="7"/>
  <c r="A698" i="7"/>
  <c r="A699" i="7"/>
  <c r="A700" i="7"/>
  <c r="A701" i="7"/>
  <c r="A702" i="7"/>
  <c r="A703" i="7"/>
  <c r="A704" i="7"/>
  <c r="A705" i="7"/>
  <c r="A706" i="7"/>
  <c r="A707" i="7"/>
  <c r="A708" i="7"/>
  <c r="A709" i="7"/>
  <c r="A710" i="7"/>
  <c r="A711" i="7"/>
  <c r="A712" i="7"/>
  <c r="A713" i="7"/>
  <c r="A714" i="7"/>
  <c r="A715" i="7"/>
  <c r="A716" i="7"/>
  <c r="A717" i="7"/>
  <c r="A718" i="7"/>
  <c r="A719" i="7"/>
  <c r="A720" i="7"/>
  <c r="A721" i="7"/>
  <c r="A722" i="7"/>
  <c r="A723" i="7"/>
  <c r="A724" i="7"/>
  <c r="A725" i="7"/>
  <c r="A726" i="7"/>
  <c r="A727" i="7"/>
  <c r="A728" i="7"/>
  <c r="A729" i="7"/>
  <c r="A730" i="7"/>
  <c r="A731" i="7"/>
  <c r="A732" i="7"/>
  <c r="A733" i="7"/>
  <c r="A734" i="7"/>
  <c r="A735" i="7"/>
  <c r="A736" i="7"/>
  <c r="A737" i="7"/>
  <c r="A738" i="7"/>
  <c r="A739" i="7"/>
  <c r="A740" i="7"/>
  <c r="A741" i="7"/>
  <c r="A742" i="7"/>
  <c r="A743" i="7"/>
  <c r="A744" i="7"/>
  <c r="A745" i="7"/>
  <c r="A746" i="7"/>
  <c r="A747" i="7"/>
  <c r="A748" i="7"/>
  <c r="A749" i="7"/>
  <c r="A750" i="7"/>
  <c r="A751" i="7"/>
  <c r="A752" i="7"/>
  <c r="A753" i="7"/>
  <c r="A754" i="7"/>
  <c r="A755" i="7"/>
  <c r="A756" i="7"/>
  <c r="A757" i="7"/>
  <c r="A758" i="7"/>
  <c r="A759" i="7"/>
  <c r="A760" i="7"/>
  <c r="A761" i="7"/>
  <c r="A762" i="7"/>
  <c r="A763" i="7"/>
  <c r="A764" i="7"/>
  <c r="A765" i="7"/>
  <c r="A766" i="7"/>
  <c r="A767" i="7"/>
  <c r="A768" i="7"/>
  <c r="A769" i="7"/>
  <c r="A770" i="7"/>
  <c r="A771" i="7"/>
  <c r="A772" i="7"/>
  <c r="A773" i="7"/>
  <c r="A774" i="7"/>
  <c r="A775" i="7"/>
  <c r="A776" i="7"/>
  <c r="A777" i="7"/>
  <c r="A778" i="7"/>
  <c r="A779" i="7"/>
  <c r="A780" i="7"/>
  <c r="A781" i="7"/>
  <c r="A782" i="7"/>
  <c r="A783" i="7"/>
  <c r="A784" i="7"/>
  <c r="A785" i="7"/>
  <c r="A786" i="7"/>
  <c r="A787" i="7"/>
  <c r="A788" i="7"/>
  <c r="A789" i="7"/>
  <c r="A790" i="7"/>
  <c r="A791" i="7"/>
  <c r="A792" i="7"/>
  <c r="A793" i="7"/>
  <c r="A794" i="7"/>
  <c r="A795" i="7"/>
  <c r="A796" i="7"/>
  <c r="A797" i="7"/>
  <c r="A798" i="7"/>
  <c r="A799" i="7"/>
  <c r="A800" i="7"/>
  <c r="A801" i="7"/>
  <c r="A802" i="7"/>
  <c r="A803" i="7"/>
  <c r="A804" i="7"/>
  <c r="Q797" i="7"/>
  <c r="Q798" i="7"/>
  <c r="Q799" i="7"/>
  <c r="Q800" i="7"/>
  <c r="Q801" i="7"/>
  <c r="Q802" i="7"/>
  <c r="Q803" i="7"/>
  <c r="Q804" i="7"/>
  <c r="P797" i="7"/>
  <c r="P798" i="7"/>
  <c r="P799" i="7"/>
  <c r="P800" i="7"/>
  <c r="P801" i="7"/>
  <c r="P802" i="7"/>
  <c r="P803" i="7"/>
  <c r="P804" i="7"/>
  <c r="M797" i="7"/>
  <c r="M798" i="7"/>
  <c r="M799" i="7"/>
  <c r="M800" i="7"/>
  <c r="M801" i="7"/>
  <c r="M802" i="7"/>
  <c r="M803" i="7"/>
  <c r="M804" i="7"/>
  <c r="B797" i="7"/>
  <c r="B798" i="7"/>
  <c r="B799" i="7"/>
  <c r="B800" i="7"/>
  <c r="B801" i="7"/>
  <c r="B802" i="7"/>
  <c r="B803" i="7"/>
  <c r="B804" i="7"/>
  <c r="Q796" i="7"/>
  <c r="P796" i="7"/>
  <c r="M796" i="7"/>
  <c r="B796" i="7"/>
  <c r="Q795" i="7"/>
  <c r="P795" i="7"/>
  <c r="X795" i="7" s="1"/>
  <c r="M795" i="7"/>
  <c r="B795" i="7"/>
  <c r="B794" i="7"/>
  <c r="M794" i="7"/>
  <c r="P794" i="7"/>
  <c r="Q794" i="7"/>
  <c r="B793" i="7"/>
  <c r="M793" i="7"/>
  <c r="P793" i="7"/>
  <c r="Q793" i="7"/>
  <c r="B792" i="7"/>
  <c r="M792" i="7"/>
  <c r="P792" i="7"/>
  <c r="Q792" i="7"/>
  <c r="B791" i="7"/>
  <c r="M791" i="7"/>
  <c r="P791" i="7"/>
  <c r="Q791" i="7"/>
  <c r="B790" i="7"/>
  <c r="M790" i="7"/>
  <c r="P790" i="7"/>
  <c r="X790" i="7" s="1"/>
  <c r="Q790" i="7"/>
  <c r="B789" i="7"/>
  <c r="M789" i="7"/>
  <c r="P789" i="7"/>
  <c r="Q789" i="7"/>
  <c r="B788" i="7"/>
  <c r="M788" i="7"/>
  <c r="P788" i="7"/>
  <c r="Q788" i="7"/>
  <c r="X810" i="7" l="1"/>
  <c r="X813" i="7"/>
  <c r="X815" i="7"/>
  <c r="X811" i="7"/>
  <c r="X806" i="7"/>
  <c r="X794" i="7"/>
  <c r="X804" i="7"/>
  <c r="X792" i="7"/>
  <c r="X803" i="7"/>
  <c r="X791" i="7"/>
  <c r="X809" i="7"/>
  <c r="X805" i="7"/>
  <c r="X793" i="7"/>
  <c r="X802" i="7"/>
  <c r="X801" i="7"/>
  <c r="X789" i="7"/>
  <c r="X800" i="7"/>
  <c r="X788" i="7"/>
  <c r="X799" i="7"/>
  <c r="X798" i="7"/>
  <c r="X797" i="7"/>
  <c r="X808" i="7"/>
  <c r="X796" i="7"/>
  <c r="X807" i="7"/>
  <c r="A954" i="9"/>
  <c r="A966" i="9"/>
  <c r="B952" i="9"/>
  <c r="N952" i="9"/>
  <c r="Q952" i="9"/>
  <c r="R952" i="9"/>
  <c r="AB952" i="9"/>
  <c r="B953" i="9"/>
  <c r="N953" i="9"/>
  <c r="Q953" i="9"/>
  <c r="R953" i="9"/>
  <c r="AB953" i="9"/>
  <c r="B967" i="9"/>
  <c r="N967" i="9"/>
  <c r="Q967" i="9"/>
  <c r="R967" i="9"/>
  <c r="AB967" i="9"/>
  <c r="B966" i="9"/>
  <c r="N966" i="9"/>
  <c r="Q966" i="9"/>
  <c r="R966" i="9"/>
  <c r="AB966" i="9"/>
  <c r="A4536" i="24" l="1"/>
  <c r="A4537" i="24"/>
  <c r="A4538" i="24"/>
  <c r="A4539" i="24" s="1"/>
  <c r="B4535" i="24"/>
  <c r="M4535" i="24"/>
  <c r="P4535" i="24"/>
  <c r="Q4535" i="24"/>
  <c r="V4535" i="24"/>
  <c r="AA4535" i="24"/>
  <c r="B4536" i="24"/>
  <c r="M4536" i="24"/>
  <c r="P4536" i="24"/>
  <c r="Q4536" i="24"/>
  <c r="V4536" i="24"/>
  <c r="AA4536" i="24"/>
  <c r="B4537" i="24"/>
  <c r="M4537" i="24"/>
  <c r="P4537" i="24"/>
  <c r="Q4537" i="24"/>
  <c r="V4537" i="24"/>
  <c r="AA4537" i="24"/>
  <c r="B4538" i="24"/>
  <c r="M4538" i="24"/>
  <c r="P4538" i="24"/>
  <c r="Q4538" i="24"/>
  <c r="V4538" i="24"/>
  <c r="AA4538" i="24"/>
  <c r="B4548" i="24"/>
  <c r="M4548" i="24"/>
  <c r="P4548" i="24"/>
  <c r="Q4548" i="24"/>
  <c r="V4548" i="24"/>
  <c r="AA4548" i="24"/>
  <c r="B4547" i="24"/>
  <c r="M4547" i="24"/>
  <c r="P4547" i="24"/>
  <c r="Q4547" i="24"/>
  <c r="V4547" i="24"/>
  <c r="AA4547" i="24"/>
  <c r="B4534" i="24"/>
  <c r="M4534" i="24"/>
  <c r="P4534" i="24"/>
  <c r="Q4534" i="24"/>
  <c r="V4534" i="24"/>
  <c r="AA4534" i="24"/>
  <c r="B4546" i="24"/>
  <c r="M4546" i="24"/>
  <c r="P4546" i="24"/>
  <c r="Q4546" i="24"/>
  <c r="V4546" i="24"/>
  <c r="AA4546" i="24"/>
  <c r="A965" i="9"/>
  <c r="B965" i="9"/>
  <c r="N965" i="9"/>
  <c r="Q965" i="9"/>
  <c r="R965" i="9"/>
  <c r="AB965" i="9"/>
  <c r="A4540" i="24" l="1"/>
  <c r="M965" i="9"/>
  <c r="A4546" i="24"/>
  <c r="A4547" i="24" s="1"/>
  <c r="A4548" i="24" s="1"/>
  <c r="B4545" i="24"/>
  <c r="M4545" i="24"/>
  <c r="P4545" i="24"/>
  <c r="Q4545" i="24"/>
  <c r="V4545" i="24"/>
  <c r="AA4545" i="24"/>
  <c r="B4533" i="24" l="1"/>
  <c r="M4533" i="24"/>
  <c r="P4533" i="24"/>
  <c r="Q4533" i="24"/>
  <c r="V4533" i="24"/>
  <c r="AA4533" i="24"/>
  <c r="A4520" i="24"/>
  <c r="B4519" i="24"/>
  <c r="M4519" i="24"/>
  <c r="P4519" i="24"/>
  <c r="Q4519" i="24"/>
  <c r="V4519" i="24"/>
  <c r="AA4519" i="24"/>
  <c r="A427" i="3"/>
  <c r="A428" i="3"/>
  <c r="A435" i="3"/>
  <c r="B435" i="3"/>
  <c r="M435" i="3"/>
  <c r="P435" i="3"/>
  <c r="Q435" i="3"/>
  <c r="AA435" i="3"/>
  <c r="A4532" i="24"/>
  <c r="A4533" i="24" s="1"/>
  <c r="A4534" i="24" s="1"/>
  <c r="B4532" i="24"/>
  <c r="M4532" i="24"/>
  <c r="P4532" i="24"/>
  <c r="Q4532" i="24"/>
  <c r="V4532" i="24"/>
  <c r="AA4532" i="24"/>
  <c r="B4518" i="24"/>
  <c r="M4518" i="24"/>
  <c r="P4518" i="24"/>
  <c r="Q4518" i="24"/>
  <c r="V4518" i="24"/>
  <c r="AA4518" i="24"/>
  <c r="A4531" i="24"/>
  <c r="B4531" i="24"/>
  <c r="M4531" i="24"/>
  <c r="P4531" i="24"/>
  <c r="Q4531" i="24"/>
  <c r="V4531" i="24"/>
  <c r="AA4531" i="24"/>
  <c r="B4530" i="24"/>
  <c r="M4530" i="24"/>
  <c r="P4530" i="24"/>
  <c r="Q4530" i="24"/>
  <c r="V4530" i="24"/>
  <c r="AA4530" i="24"/>
  <c r="B4047" i="24"/>
  <c r="M4047" i="24"/>
  <c r="P4047" i="24"/>
  <c r="Q4047" i="24"/>
  <c r="V4047" i="24"/>
  <c r="AA4047" i="24"/>
  <c r="AB964" i="9"/>
  <c r="R964" i="9"/>
  <c r="Q964" i="9"/>
  <c r="N964" i="9"/>
  <c r="B964" i="9"/>
  <c r="AB963" i="9"/>
  <c r="R963" i="9"/>
  <c r="Q963" i="9"/>
  <c r="N963" i="9"/>
  <c r="B963" i="9"/>
  <c r="A963" i="9"/>
  <c r="M963" i="9" s="1"/>
  <c r="AB962" i="9"/>
  <c r="R962" i="9"/>
  <c r="Q962" i="9"/>
  <c r="N962" i="9"/>
  <c r="B962" i="9"/>
  <c r="A962" i="9"/>
  <c r="M962" i="9" s="1"/>
  <c r="AB961" i="9"/>
  <c r="R961" i="9"/>
  <c r="Q961" i="9"/>
  <c r="N961" i="9"/>
  <c r="B961" i="9"/>
  <c r="A961" i="9"/>
  <c r="M961" i="9" s="1"/>
  <c r="AA426" i="3"/>
  <c r="Q426" i="3"/>
  <c r="P426" i="3"/>
  <c r="M426" i="3"/>
  <c r="B426" i="3"/>
  <c r="A426" i="3"/>
  <c r="AA427" i="3"/>
  <c r="Q427" i="3"/>
  <c r="P427" i="3"/>
  <c r="M427" i="3"/>
  <c r="B427" i="3"/>
  <c r="AA484" i="23"/>
  <c r="Q484" i="23"/>
  <c r="P484" i="23"/>
  <c r="M484" i="23"/>
  <c r="B484" i="23"/>
  <c r="A484" i="23"/>
  <c r="AA483" i="23"/>
  <c r="Q483" i="23"/>
  <c r="P483" i="23"/>
  <c r="M483" i="23"/>
  <c r="B483" i="23"/>
  <c r="A483" i="23"/>
  <c r="A4507" i="24"/>
  <c r="AA4505" i="24"/>
  <c r="V4505" i="24"/>
  <c r="Q4505" i="24"/>
  <c r="P4505" i="24"/>
  <c r="M4505" i="24"/>
  <c r="B4505" i="24"/>
  <c r="AA4506" i="24"/>
  <c r="V4506" i="24"/>
  <c r="Q4506" i="24"/>
  <c r="P4506" i="24"/>
  <c r="M4506" i="24"/>
  <c r="B4506" i="24"/>
  <c r="A4514" i="24"/>
  <c r="AA4511" i="24"/>
  <c r="V4511" i="24"/>
  <c r="Q4511" i="24"/>
  <c r="P4511" i="24"/>
  <c r="M4511" i="24"/>
  <c r="B4511" i="24"/>
  <c r="AA4512" i="24"/>
  <c r="V4512" i="24"/>
  <c r="Q4512" i="24"/>
  <c r="P4512" i="24"/>
  <c r="M4512" i="24"/>
  <c r="B4512" i="24"/>
  <c r="AA4513" i="24"/>
  <c r="V4513" i="24"/>
  <c r="Q4513" i="24"/>
  <c r="P4513" i="24"/>
  <c r="M4513" i="24"/>
  <c r="B4513" i="24"/>
  <c r="M966" i="9" l="1"/>
  <c r="A967" i="9"/>
  <c r="A4535" i="24"/>
  <c r="A964" i="9"/>
  <c r="M964" i="9" s="1"/>
  <c r="M967" i="9" l="1"/>
  <c r="A968" i="9"/>
  <c r="M968" i="9" s="1"/>
  <c r="AA4527" i="24"/>
  <c r="V4527" i="24"/>
  <c r="Q4527" i="24"/>
  <c r="P4527" i="24"/>
  <c r="M4527" i="24"/>
  <c r="B4527" i="24"/>
  <c r="A4527" i="24"/>
  <c r="A4528" i="24" l="1"/>
  <c r="A4529" i="24" s="1"/>
  <c r="AA4526" i="24"/>
  <c r="V4526" i="24"/>
  <c r="Q4526" i="24"/>
  <c r="P4526" i="24"/>
  <c r="M4526" i="24"/>
  <c r="B4526" i="24"/>
  <c r="A4526" i="24"/>
  <c r="AA4525" i="24"/>
  <c r="V4525" i="24"/>
  <c r="Q4525" i="24"/>
  <c r="P4525" i="24"/>
  <c r="M4525" i="24"/>
  <c r="B4525" i="24"/>
  <c r="A4525" i="24"/>
  <c r="AA4524" i="24" l="1"/>
  <c r="V4524" i="24"/>
  <c r="Q4524" i="24"/>
  <c r="P4524" i="24"/>
  <c r="M4524" i="24"/>
  <c r="B4524" i="24"/>
  <c r="AA4523" i="24"/>
  <c r="V4523" i="24"/>
  <c r="Q4523" i="24"/>
  <c r="P4523" i="24"/>
  <c r="M4523" i="24"/>
  <c r="B4523" i="24"/>
  <c r="AA4522" i="24"/>
  <c r="V4522" i="24"/>
  <c r="Q4522" i="24"/>
  <c r="P4522" i="24"/>
  <c r="M4522" i="24"/>
  <c r="B4522" i="24"/>
  <c r="A4522" i="24"/>
  <c r="A4523" i="24" s="1"/>
  <c r="A4524" i="24" s="1"/>
  <c r="A4494" i="24"/>
  <c r="AA4491" i="24"/>
  <c r="V4491" i="24"/>
  <c r="Q4491" i="24"/>
  <c r="P4491" i="24"/>
  <c r="M4491" i="24"/>
  <c r="B4491" i="24"/>
  <c r="AA4492" i="24"/>
  <c r="V4492" i="24"/>
  <c r="Q4492" i="24"/>
  <c r="P4492" i="24"/>
  <c r="M4492" i="24"/>
  <c r="B4492" i="24"/>
  <c r="AA4493" i="24"/>
  <c r="V4493" i="24"/>
  <c r="Q4493" i="24"/>
  <c r="P4493" i="24"/>
  <c r="M4493" i="24"/>
  <c r="B4493" i="24"/>
  <c r="AA4521" i="24" l="1"/>
  <c r="V4521" i="24"/>
  <c r="Q4521" i="24"/>
  <c r="P4521" i="24"/>
  <c r="M4521" i="24"/>
  <c r="B4521" i="24"/>
  <c r="A4521" i="24"/>
  <c r="AA4520" i="24"/>
  <c r="V4520" i="24"/>
  <c r="Q4520" i="24"/>
  <c r="P4520" i="24"/>
  <c r="M4520" i="24"/>
  <c r="B4520" i="24"/>
  <c r="AA482" i="23" l="1"/>
  <c r="Q482" i="23"/>
  <c r="P482" i="23"/>
  <c r="M482" i="23"/>
  <c r="B482" i="23"/>
  <c r="A482" i="23"/>
  <c r="AB960" i="9"/>
  <c r="R960" i="9"/>
  <c r="Q960" i="9"/>
  <c r="N960" i="9"/>
  <c r="B960" i="9"/>
  <c r="A960" i="9"/>
  <c r="M960" i="9" s="1"/>
  <c r="AB959" i="9"/>
  <c r="R959" i="9"/>
  <c r="Q959" i="9"/>
  <c r="N959" i="9"/>
  <c r="B959" i="9"/>
  <c r="A959" i="9"/>
  <c r="M959" i="9" s="1"/>
  <c r="AB958" i="9"/>
  <c r="R958" i="9"/>
  <c r="Q958" i="9"/>
  <c r="N958" i="9"/>
  <c r="B958" i="9"/>
  <c r="AA4517" i="24" l="1"/>
  <c r="V4517" i="24"/>
  <c r="Q4517" i="24"/>
  <c r="P4517" i="24"/>
  <c r="M4517" i="24"/>
  <c r="B4517" i="24"/>
  <c r="A4517" i="24"/>
  <c r="A4518" i="24" s="1"/>
  <c r="A4519" i="24" s="1"/>
  <c r="AA4516" i="24"/>
  <c r="V4516" i="24"/>
  <c r="Q4516" i="24"/>
  <c r="P4516" i="24"/>
  <c r="M4516" i="24"/>
  <c r="B4516" i="24"/>
  <c r="AA4507" i="24"/>
  <c r="V4507" i="24"/>
  <c r="Q4507" i="24"/>
  <c r="P4507" i="24"/>
  <c r="M4507" i="24"/>
  <c r="B4507" i="24"/>
  <c r="AA4504" i="24"/>
  <c r="V4504" i="24"/>
  <c r="Q4504" i="24"/>
  <c r="P4504" i="24"/>
  <c r="M4504" i="24"/>
  <c r="B4504" i="24"/>
  <c r="A4504" i="24"/>
  <c r="A4503" i="24"/>
  <c r="B4502" i="24"/>
  <c r="M4502" i="24"/>
  <c r="P4502" i="24"/>
  <c r="Q4502" i="24"/>
  <c r="V4502" i="24"/>
  <c r="AA4502" i="24"/>
  <c r="B4503" i="24"/>
  <c r="M4503" i="24"/>
  <c r="P4503" i="24"/>
  <c r="Q4503" i="24"/>
  <c r="V4503" i="24"/>
  <c r="AA4503" i="24"/>
  <c r="B4515" i="24"/>
  <c r="M4515" i="24"/>
  <c r="P4515" i="24"/>
  <c r="Q4515" i="24"/>
  <c r="V4515" i="24"/>
  <c r="AA4515" i="24"/>
  <c r="A2" i="19"/>
  <c r="A3" i="19"/>
  <c r="A4" i="19"/>
  <c r="A5" i="19"/>
  <c r="A6" i="19"/>
  <c r="A7" i="19"/>
  <c r="A8" i="19"/>
  <c r="A9" i="19"/>
  <c r="A10" i="19"/>
  <c r="A11" i="19"/>
  <c r="A12" i="19"/>
  <c r="A13" i="19"/>
  <c r="A14" i="19"/>
  <c r="A15" i="19"/>
  <c r="A16" i="19"/>
  <c r="A17" i="19"/>
  <c r="A18" i="19"/>
  <c r="A19" i="19"/>
  <c r="A20" i="19"/>
  <c r="A21" i="19"/>
  <c r="A22" i="19"/>
  <c r="A23" i="19"/>
  <c r="A24" i="19"/>
  <c r="A25" i="19"/>
  <c r="A26" i="19"/>
  <c r="A27" i="19"/>
  <c r="A28" i="19"/>
  <c r="A29" i="19"/>
  <c r="A30" i="19"/>
  <c r="A31" i="19"/>
  <c r="A32" i="19"/>
  <c r="A33" i="19"/>
  <c r="A34" i="19"/>
  <c r="A35" i="19"/>
  <c r="A36" i="19"/>
  <c r="A37" i="19"/>
  <c r="A38" i="19"/>
  <c r="A39" i="19"/>
  <c r="A40" i="19"/>
  <c r="A41" i="19"/>
  <c r="A42" i="19"/>
  <c r="A43" i="19"/>
  <c r="A44" i="19"/>
  <c r="A45" i="19"/>
  <c r="A46" i="19"/>
  <c r="A47" i="19"/>
  <c r="A48" i="19"/>
  <c r="A49" i="19"/>
  <c r="A50" i="19"/>
  <c r="A51" i="19"/>
  <c r="A52" i="19"/>
  <c r="A53" i="19"/>
  <c r="A54" i="19"/>
  <c r="A55" i="19"/>
  <c r="A56" i="19"/>
  <c r="A57" i="19"/>
  <c r="A58" i="19"/>
  <c r="A59" i="19"/>
  <c r="A60" i="19"/>
  <c r="A61" i="19"/>
  <c r="A62" i="19"/>
  <c r="A63" i="19"/>
  <c r="A64" i="19"/>
  <c r="A65" i="19"/>
  <c r="A66" i="19"/>
  <c r="A67" i="19"/>
  <c r="A68" i="19"/>
  <c r="A69" i="19"/>
  <c r="A70" i="19"/>
  <c r="A71" i="19"/>
  <c r="A72" i="19"/>
  <c r="A73" i="19"/>
  <c r="A74" i="19"/>
  <c r="A75" i="19"/>
  <c r="A76" i="19"/>
  <c r="A77" i="19"/>
  <c r="A78" i="19"/>
  <c r="A79" i="19"/>
  <c r="A80" i="19"/>
  <c r="A81" i="19"/>
  <c r="A82" i="19"/>
  <c r="A83" i="19"/>
  <c r="A84" i="19"/>
  <c r="A85" i="19"/>
  <c r="A86" i="19"/>
  <c r="A87" i="19"/>
  <c r="A88" i="19"/>
  <c r="A89" i="19"/>
  <c r="A90" i="19"/>
  <c r="A91" i="19"/>
  <c r="A92" i="19"/>
  <c r="A93" i="19"/>
  <c r="A94" i="19"/>
  <c r="A95" i="19"/>
  <c r="A96" i="19"/>
  <c r="A97" i="19"/>
  <c r="A98" i="19"/>
  <c r="A99" i="19"/>
  <c r="A100" i="19"/>
  <c r="A101" i="19"/>
  <c r="A102" i="19"/>
  <c r="A103" i="19"/>
  <c r="A104" i="19"/>
  <c r="A105" i="19"/>
  <c r="A106" i="19"/>
  <c r="A107" i="19"/>
  <c r="A108" i="19"/>
  <c r="A109" i="19"/>
  <c r="A110" i="19"/>
  <c r="A111" i="19"/>
  <c r="A112" i="19"/>
  <c r="A113" i="19"/>
  <c r="A114" i="19"/>
  <c r="A115" i="19"/>
  <c r="A116" i="19"/>
  <c r="A117" i="19"/>
  <c r="A118" i="19"/>
  <c r="A119" i="19"/>
  <c r="A120" i="19"/>
  <c r="A121" i="19"/>
  <c r="A122" i="19"/>
  <c r="A123" i="19"/>
  <c r="A124" i="19"/>
  <c r="A125" i="19"/>
  <c r="A126" i="19"/>
  <c r="A127" i="19"/>
  <c r="A128" i="19"/>
  <c r="A129" i="19"/>
  <c r="A130" i="19"/>
  <c r="A131" i="19"/>
  <c r="A132" i="19"/>
  <c r="A133" i="19"/>
  <c r="A134" i="19"/>
  <c r="A135" i="19"/>
  <c r="A136" i="19"/>
  <c r="A137" i="19"/>
  <c r="A138" i="19"/>
  <c r="A139" i="19"/>
  <c r="A140" i="19"/>
  <c r="A141" i="19"/>
  <c r="A142" i="19"/>
  <c r="A143" i="19"/>
  <c r="A144" i="19"/>
  <c r="A145" i="19"/>
  <c r="A146" i="19"/>
  <c r="A147" i="19"/>
  <c r="A148" i="19"/>
  <c r="A149" i="19"/>
  <c r="A150" i="19"/>
  <c r="A151" i="19"/>
  <c r="A152" i="19"/>
  <c r="A153" i="19"/>
  <c r="A154" i="19"/>
  <c r="A155" i="19"/>
  <c r="AA131" i="19"/>
  <c r="X131" i="19"/>
  <c r="Q131" i="19"/>
  <c r="P131" i="19"/>
  <c r="M131" i="19"/>
  <c r="B131" i="19"/>
  <c r="AA155" i="19"/>
  <c r="AA154" i="19"/>
  <c r="AA153" i="19"/>
  <c r="AA152" i="19"/>
  <c r="AA151" i="19"/>
  <c r="AA150" i="19"/>
  <c r="AA149" i="19"/>
  <c r="AA148" i="19"/>
  <c r="AA147" i="19"/>
  <c r="AA146" i="19"/>
  <c r="AA145" i="19"/>
  <c r="AA144" i="19"/>
  <c r="AA143" i="19"/>
  <c r="AA142" i="19"/>
  <c r="AA141" i="19"/>
  <c r="AA140" i="19"/>
  <c r="AA139" i="19"/>
  <c r="AA138" i="19"/>
  <c r="AA137" i="19"/>
  <c r="AA136" i="19"/>
  <c r="AA135" i="19"/>
  <c r="AA134" i="19"/>
  <c r="AA133" i="19"/>
  <c r="AA132" i="19"/>
  <c r="AA130" i="19"/>
  <c r="X155" i="19"/>
  <c r="X154" i="19"/>
  <c r="X153" i="19"/>
  <c r="X152" i="19"/>
  <c r="X151" i="19"/>
  <c r="X150" i="19"/>
  <c r="X149" i="19"/>
  <c r="X148" i="19"/>
  <c r="X147" i="19"/>
  <c r="X146" i="19"/>
  <c r="X145" i="19"/>
  <c r="X144" i="19"/>
  <c r="X143" i="19"/>
  <c r="X142" i="19"/>
  <c r="X141" i="19"/>
  <c r="X140" i="19"/>
  <c r="X139" i="19"/>
  <c r="X138" i="19"/>
  <c r="X137" i="19"/>
  <c r="X136" i="19"/>
  <c r="X135" i="19"/>
  <c r="X134" i="19"/>
  <c r="X133" i="19"/>
  <c r="X132" i="19"/>
  <c r="X130" i="19"/>
  <c r="Q155" i="19"/>
  <c r="Q154" i="19"/>
  <c r="Q153" i="19"/>
  <c r="Q152" i="19"/>
  <c r="Q151" i="19"/>
  <c r="Q150" i="19"/>
  <c r="Q149" i="19"/>
  <c r="Q148" i="19"/>
  <c r="Q147" i="19"/>
  <c r="Q146" i="19"/>
  <c r="Q145" i="19"/>
  <c r="Q144" i="19"/>
  <c r="Q143" i="19"/>
  <c r="Q142" i="19"/>
  <c r="Q141" i="19"/>
  <c r="Q140" i="19"/>
  <c r="Q139" i="19"/>
  <c r="Q138" i="19"/>
  <c r="Q137" i="19"/>
  <c r="Q136" i="19"/>
  <c r="Q135" i="19"/>
  <c r="Q134" i="19"/>
  <c r="Q133" i="19"/>
  <c r="Q132" i="19"/>
  <c r="Q130" i="19"/>
  <c r="P155" i="19"/>
  <c r="P154" i="19"/>
  <c r="P153" i="19"/>
  <c r="P152" i="19"/>
  <c r="P151" i="19"/>
  <c r="P150" i="19"/>
  <c r="P149" i="19"/>
  <c r="P148" i="19"/>
  <c r="P147" i="19"/>
  <c r="P146" i="19"/>
  <c r="P145" i="19"/>
  <c r="P144" i="19"/>
  <c r="P143" i="19"/>
  <c r="P142" i="19"/>
  <c r="P141" i="19"/>
  <c r="P140" i="19"/>
  <c r="P139" i="19"/>
  <c r="P138" i="19"/>
  <c r="P137" i="19"/>
  <c r="P136" i="19"/>
  <c r="P135" i="19"/>
  <c r="P134" i="19"/>
  <c r="P133" i="19"/>
  <c r="P132" i="19"/>
  <c r="P130" i="19"/>
  <c r="M155" i="19"/>
  <c r="M154" i="19"/>
  <c r="M153" i="19"/>
  <c r="M152" i="19"/>
  <c r="M151" i="19"/>
  <c r="M150" i="19"/>
  <c r="M149" i="19"/>
  <c r="M148" i="19"/>
  <c r="M147" i="19"/>
  <c r="M146" i="19"/>
  <c r="M145" i="19"/>
  <c r="M144" i="19"/>
  <c r="M143" i="19"/>
  <c r="M142" i="19"/>
  <c r="M141" i="19"/>
  <c r="M140" i="19"/>
  <c r="M139" i="19"/>
  <c r="M138" i="19"/>
  <c r="M137" i="19"/>
  <c r="M136" i="19"/>
  <c r="M135" i="19"/>
  <c r="M134" i="19"/>
  <c r="M133" i="19"/>
  <c r="M132" i="19"/>
  <c r="M130" i="19"/>
  <c r="B155" i="19"/>
  <c r="B154" i="19"/>
  <c r="B153" i="19"/>
  <c r="B152" i="19"/>
  <c r="B151" i="19"/>
  <c r="B150" i="19"/>
  <c r="B149" i="19"/>
  <c r="B148" i="19"/>
  <c r="B147" i="19"/>
  <c r="B146" i="19"/>
  <c r="B145" i="19"/>
  <c r="B144" i="19"/>
  <c r="B143" i="19"/>
  <c r="B142" i="19"/>
  <c r="B141" i="19"/>
  <c r="B140" i="19"/>
  <c r="B139" i="19"/>
  <c r="B138" i="19"/>
  <c r="B137" i="19"/>
  <c r="B136" i="19"/>
  <c r="B135" i="19"/>
  <c r="B134" i="19"/>
  <c r="B133" i="19"/>
  <c r="B132" i="19"/>
  <c r="B130" i="19"/>
  <c r="AA4501" i="24"/>
  <c r="V4501" i="24"/>
  <c r="Q4501" i="24"/>
  <c r="P4501" i="24"/>
  <c r="M4501" i="24"/>
  <c r="B4501" i="24"/>
  <c r="A957" i="9"/>
  <c r="B956" i="9"/>
  <c r="N956" i="9"/>
  <c r="Q956" i="9"/>
  <c r="R956" i="9"/>
  <c r="AB956" i="9"/>
  <c r="B957" i="9"/>
  <c r="N957" i="9"/>
  <c r="Q957" i="9"/>
  <c r="R957" i="9"/>
  <c r="AB957" i="9"/>
  <c r="B955" i="9"/>
  <c r="N955" i="9"/>
  <c r="Q955" i="9"/>
  <c r="R955" i="9"/>
  <c r="AB955" i="9"/>
  <c r="B954" i="9"/>
  <c r="N954" i="9"/>
  <c r="Q954" i="9"/>
  <c r="R954" i="9"/>
  <c r="AB954" i="9"/>
  <c r="A4505" i="24" l="1"/>
  <c r="A4506" i="24" s="1"/>
  <c r="M957" i="9"/>
  <c r="A958" i="9"/>
  <c r="M958" i="9" s="1"/>
  <c r="A950" i="9"/>
  <c r="A951" i="9" s="1"/>
  <c r="B950" i="9"/>
  <c r="B951" i="9"/>
  <c r="N950" i="9"/>
  <c r="N951" i="9"/>
  <c r="Q950" i="9"/>
  <c r="Q951" i="9"/>
  <c r="R950" i="9"/>
  <c r="R951" i="9"/>
  <c r="AB950" i="9"/>
  <c r="AB951" i="9"/>
  <c r="A952" i="9" l="1"/>
  <c r="M951" i="9"/>
  <c r="M950" i="9"/>
  <c r="M952" i="9" l="1"/>
  <c r="A953" i="9"/>
  <c r="M953" i="9" s="1"/>
  <c r="M954" i="9"/>
  <c r="A955" i="9"/>
  <c r="M955" i="9" l="1"/>
  <c r="A956" i="9"/>
  <c r="M956" i="9" s="1"/>
  <c r="A4515" i="24" l="1"/>
  <c r="A4516" i="24" s="1"/>
  <c r="B4514" i="24"/>
  <c r="M4514" i="24"/>
  <c r="P4514" i="24"/>
  <c r="Q4514" i="24"/>
  <c r="V4514" i="24"/>
  <c r="AA4514" i="24"/>
  <c r="A4500" i="24"/>
  <c r="A4501" i="24" s="1"/>
  <c r="A4508" i="24"/>
  <c r="A4509" i="24" s="1"/>
  <c r="A4510" i="24" s="1"/>
  <c r="A4511" i="24" s="1"/>
  <c r="A4512" i="24" s="1"/>
  <c r="A4513" i="24" s="1"/>
  <c r="B4499" i="24"/>
  <c r="M4499" i="24"/>
  <c r="P4499" i="24"/>
  <c r="Q4499" i="24"/>
  <c r="V4499" i="24"/>
  <c r="AA4499" i="24"/>
  <c r="B4500" i="24"/>
  <c r="M4500" i="24"/>
  <c r="P4500" i="24"/>
  <c r="Q4500" i="24"/>
  <c r="V4500" i="24"/>
  <c r="AA4500" i="24"/>
  <c r="B4510" i="24"/>
  <c r="M4510" i="24"/>
  <c r="P4510" i="24"/>
  <c r="Q4510" i="24"/>
  <c r="V4510" i="24"/>
  <c r="AA4510" i="24"/>
  <c r="B4509" i="24"/>
  <c r="M4509" i="24"/>
  <c r="P4509" i="24"/>
  <c r="Q4509" i="24"/>
  <c r="V4509" i="24"/>
  <c r="AA4509" i="24"/>
  <c r="B4508" i="24"/>
  <c r="M4508" i="24"/>
  <c r="P4508" i="24"/>
  <c r="Q4508" i="24"/>
  <c r="V4508" i="24"/>
  <c r="AA4508" i="24"/>
  <c r="A1086" i="8"/>
  <c r="M1086" i="8" s="1"/>
  <c r="B1086" i="8"/>
  <c r="N1086" i="8"/>
  <c r="Q1086" i="8"/>
  <c r="R1086" i="8"/>
  <c r="W1086" i="8"/>
  <c r="AB1086" i="8"/>
  <c r="A4502" i="24" l="1"/>
  <c r="B4498" i="24"/>
  <c r="M4498" i="24"/>
  <c r="P4498" i="24"/>
  <c r="Q4498" i="24"/>
  <c r="V4498" i="24"/>
  <c r="AA4498" i="24"/>
  <c r="A4486" i="24"/>
  <c r="B4485" i="24"/>
  <c r="M4485" i="24"/>
  <c r="P4485" i="24"/>
  <c r="Q4485" i="24"/>
  <c r="V4485" i="24"/>
  <c r="AA4485" i="24"/>
  <c r="A1085" i="8"/>
  <c r="M1085" i="8" s="1"/>
  <c r="B1085" i="8"/>
  <c r="N1085" i="8"/>
  <c r="Q1085" i="8"/>
  <c r="R1085" i="8"/>
  <c r="W1085" i="8"/>
  <c r="AB1085" i="8"/>
  <c r="A1084" i="8"/>
  <c r="M1084" i="8" s="1"/>
  <c r="B1084" i="8"/>
  <c r="N1084" i="8"/>
  <c r="Q1084" i="8"/>
  <c r="R1084" i="8"/>
  <c r="W1084" i="8"/>
  <c r="AB1084" i="8"/>
  <c r="A1033" i="8"/>
  <c r="B4483" i="24"/>
  <c r="M4483" i="24"/>
  <c r="P4483" i="24"/>
  <c r="Q4483" i="24"/>
  <c r="V4483" i="24"/>
  <c r="AA4483" i="24"/>
  <c r="B4484" i="24"/>
  <c r="M4484" i="24"/>
  <c r="P4484" i="24"/>
  <c r="Q4484" i="24"/>
  <c r="V4484" i="24"/>
  <c r="AA4484" i="24"/>
  <c r="A4497" i="24"/>
  <c r="A4498" i="24" s="1"/>
  <c r="B4497" i="24"/>
  <c r="M4497" i="24"/>
  <c r="P4497" i="24"/>
  <c r="Q4497" i="24"/>
  <c r="V4497" i="24"/>
  <c r="AA4497" i="24"/>
  <c r="B949" i="9"/>
  <c r="N949" i="9"/>
  <c r="Q949" i="9"/>
  <c r="R949" i="9"/>
  <c r="AB949" i="9"/>
  <c r="A4499" i="24" l="1"/>
  <c r="B4496" i="24"/>
  <c r="M4496" i="24"/>
  <c r="P4496" i="24"/>
  <c r="Q4496" i="24"/>
  <c r="V4496" i="24"/>
  <c r="AA4496" i="24"/>
  <c r="B4495" i="24"/>
  <c r="M4495" i="24"/>
  <c r="P4495" i="24"/>
  <c r="Q4495" i="24"/>
  <c r="V4495" i="24"/>
  <c r="AA4495" i="24"/>
  <c r="B948" i="9"/>
  <c r="N948" i="9"/>
  <c r="Q948" i="9"/>
  <c r="R948" i="9"/>
  <c r="AB948" i="9"/>
  <c r="B947" i="9"/>
  <c r="N947" i="9"/>
  <c r="Q947" i="9"/>
  <c r="R947" i="9"/>
  <c r="AB947" i="9"/>
  <c r="B946" i="9"/>
  <c r="N946" i="9"/>
  <c r="Q946" i="9"/>
  <c r="R946" i="9"/>
  <c r="AB946" i="9"/>
  <c r="B4482" i="24"/>
  <c r="M4482" i="24"/>
  <c r="P4482" i="24"/>
  <c r="Q4482" i="24"/>
  <c r="V4482" i="24"/>
  <c r="AA4482" i="24"/>
  <c r="B4494" i="24"/>
  <c r="M4494" i="24"/>
  <c r="P4494" i="24"/>
  <c r="Q4494" i="24"/>
  <c r="V4494" i="24"/>
  <c r="AA4494" i="24"/>
  <c r="A1083" i="8"/>
  <c r="M1083" i="8" s="1"/>
  <c r="B1083" i="8"/>
  <c r="N1083" i="8"/>
  <c r="Q1083" i="8"/>
  <c r="R1083" i="8"/>
  <c r="W1083" i="8"/>
  <c r="AB1083" i="8"/>
  <c r="A1044" i="8"/>
  <c r="M1044" i="8" s="1"/>
  <c r="B1042" i="8"/>
  <c r="N1042" i="8"/>
  <c r="Q1042" i="8"/>
  <c r="R1042" i="8"/>
  <c r="W1042" i="8"/>
  <c r="AB1042" i="8"/>
  <c r="B1043" i="8"/>
  <c r="N1043" i="8"/>
  <c r="Q1043" i="8"/>
  <c r="R1043" i="8"/>
  <c r="W1043" i="8"/>
  <c r="AB1043" i="8"/>
  <c r="B1082" i="8"/>
  <c r="N1082" i="8"/>
  <c r="Q1082" i="8"/>
  <c r="R1082" i="8"/>
  <c r="W1082" i="8"/>
  <c r="AB1082" i="8"/>
  <c r="B1081" i="8"/>
  <c r="N1081" i="8"/>
  <c r="Q1081" i="8"/>
  <c r="R1081" i="8"/>
  <c r="W1081" i="8"/>
  <c r="AB1081" i="8"/>
  <c r="B1080" i="8"/>
  <c r="N1080" i="8"/>
  <c r="Q1080" i="8"/>
  <c r="R1080" i="8"/>
  <c r="W1080" i="8"/>
  <c r="AB1080" i="8"/>
  <c r="B1079" i="8"/>
  <c r="N1079" i="8"/>
  <c r="Q1079" i="8"/>
  <c r="R1079" i="8"/>
  <c r="W1079" i="8"/>
  <c r="AB1079" i="8"/>
  <c r="A1078" i="8"/>
  <c r="M1078" i="8" s="1"/>
  <c r="M1079" i="8" s="1"/>
  <c r="M1080" i="8" s="1"/>
  <c r="M1081" i="8" s="1"/>
  <c r="M1082" i="8" s="1"/>
  <c r="B1078" i="8"/>
  <c r="N1078" i="8"/>
  <c r="Q1078" i="8"/>
  <c r="R1078" i="8"/>
  <c r="W1078" i="8"/>
  <c r="AB1078" i="8"/>
  <c r="A1079" i="8" l="1"/>
  <c r="A1080" i="8" s="1"/>
  <c r="A1081" i="8" s="1"/>
  <c r="A1082" i="8" s="1"/>
  <c r="B4490" i="24" l="1"/>
  <c r="M4490" i="24"/>
  <c r="P4490" i="24"/>
  <c r="Q4490" i="24"/>
  <c r="V4490" i="24"/>
  <c r="AA4490" i="24"/>
  <c r="A945" i="9"/>
  <c r="B945" i="9"/>
  <c r="N945" i="9"/>
  <c r="Q945" i="9"/>
  <c r="R945" i="9"/>
  <c r="AB945" i="9"/>
  <c r="B1077" i="8"/>
  <c r="N1077" i="8"/>
  <c r="Q1077" i="8"/>
  <c r="R1077" i="8"/>
  <c r="W1077" i="8"/>
  <c r="AB1077" i="8"/>
  <c r="B1076" i="8"/>
  <c r="N1076" i="8"/>
  <c r="Q1076" i="8"/>
  <c r="R1076" i="8"/>
  <c r="W1076" i="8"/>
  <c r="AB1076" i="8"/>
  <c r="B1075" i="8"/>
  <c r="N1075" i="8"/>
  <c r="Q1075" i="8"/>
  <c r="R1075" i="8"/>
  <c r="W1075" i="8"/>
  <c r="AB1075" i="8"/>
  <c r="B1074" i="8"/>
  <c r="N1074" i="8"/>
  <c r="Q1074" i="8"/>
  <c r="R1074" i="8"/>
  <c r="W1074" i="8"/>
  <c r="AB1074" i="8"/>
  <c r="B1073" i="8"/>
  <c r="N1073" i="8"/>
  <c r="Q1073" i="8"/>
  <c r="R1073" i="8"/>
  <c r="W1073" i="8"/>
  <c r="AB1073" i="8"/>
  <c r="B1072" i="8"/>
  <c r="N1072" i="8"/>
  <c r="Q1072" i="8"/>
  <c r="R1072" i="8"/>
  <c r="W1072" i="8"/>
  <c r="AB1072" i="8"/>
  <c r="B1071" i="8"/>
  <c r="N1071" i="8"/>
  <c r="Q1071" i="8"/>
  <c r="R1071" i="8"/>
  <c r="W1071" i="8"/>
  <c r="AB1071" i="8"/>
  <c r="B1070" i="8"/>
  <c r="N1070" i="8"/>
  <c r="Q1070" i="8"/>
  <c r="R1070" i="8"/>
  <c r="W1070" i="8"/>
  <c r="AB1070" i="8"/>
  <c r="B1069" i="8"/>
  <c r="N1069" i="8"/>
  <c r="Q1069" i="8"/>
  <c r="R1069" i="8"/>
  <c r="W1069" i="8"/>
  <c r="AB1069" i="8"/>
  <c r="B1068" i="8"/>
  <c r="N1068" i="8"/>
  <c r="Q1068" i="8"/>
  <c r="R1068" i="8"/>
  <c r="W1068" i="8"/>
  <c r="AB1068" i="8"/>
  <c r="B1067" i="8"/>
  <c r="N1067" i="8"/>
  <c r="Q1067" i="8"/>
  <c r="R1067" i="8"/>
  <c r="W1067" i="8"/>
  <c r="AB1067" i="8"/>
  <c r="B1066" i="8"/>
  <c r="N1066" i="8"/>
  <c r="Q1066" i="8"/>
  <c r="R1066" i="8"/>
  <c r="W1066" i="8"/>
  <c r="AB1066" i="8"/>
  <c r="B1065" i="8"/>
  <c r="N1065" i="8"/>
  <c r="Q1065" i="8"/>
  <c r="R1065" i="8"/>
  <c r="W1065" i="8"/>
  <c r="AB1065" i="8"/>
  <c r="B1064" i="8"/>
  <c r="N1064" i="8"/>
  <c r="Q1064" i="8"/>
  <c r="R1064" i="8"/>
  <c r="W1064" i="8"/>
  <c r="AB1064" i="8"/>
  <c r="B1063" i="8"/>
  <c r="N1063" i="8"/>
  <c r="Q1063" i="8"/>
  <c r="R1063" i="8"/>
  <c r="W1063" i="8"/>
  <c r="AB1063" i="8"/>
  <c r="B1062" i="8"/>
  <c r="N1062" i="8"/>
  <c r="Q1062" i="8"/>
  <c r="R1062" i="8"/>
  <c r="W1062" i="8"/>
  <c r="AB1062" i="8"/>
  <c r="B1061" i="8"/>
  <c r="N1061" i="8"/>
  <c r="Q1061" i="8"/>
  <c r="R1061" i="8"/>
  <c r="W1061" i="8"/>
  <c r="AB1061" i="8"/>
  <c r="B1060" i="8"/>
  <c r="N1060" i="8"/>
  <c r="Q1060" i="8"/>
  <c r="R1060" i="8"/>
  <c r="W1060" i="8"/>
  <c r="AB1060" i="8"/>
  <c r="A1059" i="8"/>
  <c r="M1059" i="8" s="1"/>
  <c r="M1060" i="8" s="1"/>
  <c r="M1061" i="8" s="1"/>
  <c r="M1062" i="8" s="1"/>
  <c r="M1063" i="8" s="1"/>
  <c r="M1064" i="8" s="1"/>
  <c r="M1065" i="8" s="1"/>
  <c r="M1066" i="8" s="1"/>
  <c r="M1067" i="8" s="1"/>
  <c r="B1059" i="8"/>
  <c r="N1059" i="8"/>
  <c r="Q1059" i="8"/>
  <c r="R1059" i="8"/>
  <c r="W1059" i="8"/>
  <c r="AB1059" i="8"/>
  <c r="M945" i="9" l="1"/>
  <c r="A946" i="9"/>
  <c r="A1060" i="8"/>
  <c r="A1061" i="8" s="1"/>
  <c r="A1062" i="8" s="1"/>
  <c r="A1063" i="8" s="1"/>
  <c r="A1064" i="8" s="1"/>
  <c r="A1065" i="8" s="1"/>
  <c r="A1066" i="8" s="1"/>
  <c r="A1067" i="8" s="1"/>
  <c r="A1068" i="8" s="1"/>
  <c r="B4489" i="24"/>
  <c r="M4489" i="24"/>
  <c r="P4489" i="24"/>
  <c r="Q4489" i="24"/>
  <c r="V4489" i="24"/>
  <c r="AA4489" i="24"/>
  <c r="A4488" i="24"/>
  <c r="A4489" i="24" s="1"/>
  <c r="A4490" i="24" s="1"/>
  <c r="A4491" i="24" s="1"/>
  <c r="A4492" i="24" s="1"/>
  <c r="A4493" i="24" s="1"/>
  <c r="B4488" i="24"/>
  <c r="M4488" i="24"/>
  <c r="P4488" i="24"/>
  <c r="Q4488" i="24"/>
  <c r="V4488" i="24"/>
  <c r="AA4488" i="24"/>
  <c r="B4487" i="24"/>
  <c r="M4487" i="24"/>
  <c r="P4487" i="24"/>
  <c r="Q4487" i="24"/>
  <c r="V4487" i="24"/>
  <c r="AA4487" i="24"/>
  <c r="A4495" i="24" l="1"/>
  <c r="A4496" i="24" s="1"/>
  <c r="M946" i="9"/>
  <c r="A947" i="9"/>
  <c r="M1068" i="8"/>
  <c r="A1069" i="8"/>
  <c r="A4487" i="24"/>
  <c r="B4486" i="24"/>
  <c r="M4486" i="24"/>
  <c r="P4486" i="24"/>
  <c r="Q4486" i="24"/>
  <c r="V4486" i="24"/>
  <c r="AA4486" i="24"/>
  <c r="A4464" i="24"/>
  <c r="B4464" i="24"/>
  <c r="M4464" i="24"/>
  <c r="P4464" i="24"/>
  <c r="Q4464" i="24"/>
  <c r="V4464" i="24"/>
  <c r="AA4464" i="24"/>
  <c r="M947" i="9" l="1"/>
  <c r="A948" i="9"/>
  <c r="M1069" i="8"/>
  <c r="A1070" i="8"/>
  <c r="B188" i="5"/>
  <c r="M188" i="5"/>
  <c r="AA188" i="5"/>
  <c r="B189" i="5"/>
  <c r="M189" i="5"/>
  <c r="AA189" i="5"/>
  <c r="B190" i="5"/>
  <c r="M190" i="5"/>
  <c r="AA190" i="5"/>
  <c r="M948" i="9" l="1"/>
  <c r="A949" i="9"/>
  <c r="M949" i="9" s="1"/>
  <c r="M1070" i="8"/>
  <c r="M1071" i="8" s="1"/>
  <c r="M1072" i="8" s="1"/>
  <c r="M1073" i="8" s="1"/>
  <c r="M1074" i="8" s="1"/>
  <c r="M1075" i="8" s="1"/>
  <c r="M1076" i="8" s="1"/>
  <c r="M1077" i="8" s="1"/>
  <c r="A1071" i="8"/>
  <c r="A1072" i="8" s="1"/>
  <c r="A1073" i="8" s="1"/>
  <c r="A1074" i="8" s="1"/>
  <c r="A1075" i="8" s="1"/>
  <c r="A1076" i="8" s="1"/>
  <c r="A1077" i="8" s="1"/>
  <c r="A434" i="3"/>
  <c r="B434" i="3"/>
  <c r="M434" i="3"/>
  <c r="P434" i="3"/>
  <c r="Q434" i="3"/>
  <c r="AA434" i="3"/>
  <c r="A433" i="3"/>
  <c r="B433" i="3"/>
  <c r="M433" i="3"/>
  <c r="P433" i="3"/>
  <c r="Q433" i="3"/>
  <c r="AA433" i="3"/>
  <c r="A432" i="3"/>
  <c r="B432" i="3"/>
  <c r="M432" i="3"/>
  <c r="P432" i="3"/>
  <c r="Q432" i="3"/>
  <c r="AA432" i="3"/>
  <c r="A431" i="3"/>
  <c r="B431" i="3"/>
  <c r="M431" i="3"/>
  <c r="P431" i="3"/>
  <c r="Q431" i="3"/>
  <c r="AA431" i="3"/>
  <c r="A4472" i="24"/>
  <c r="B4471" i="24"/>
  <c r="M4471" i="24"/>
  <c r="P4471" i="24"/>
  <c r="Q4471" i="24"/>
  <c r="V4471" i="24"/>
  <c r="AA4471" i="24"/>
  <c r="B4480" i="24"/>
  <c r="B4481" i="24"/>
  <c r="M4480" i="24"/>
  <c r="M4481" i="24"/>
  <c r="P4480" i="24"/>
  <c r="P4481" i="24"/>
  <c r="Q4480" i="24"/>
  <c r="Q4481" i="24"/>
  <c r="V4480" i="24"/>
  <c r="V4481" i="24"/>
  <c r="AA4480" i="24"/>
  <c r="AA4481" i="24"/>
  <c r="A4479" i="24"/>
  <c r="A4480" i="24" s="1"/>
  <c r="A4481" i="24" s="1"/>
  <c r="A4482" i="24" s="1"/>
  <c r="B4479" i="24"/>
  <c r="M4479" i="24"/>
  <c r="P4479" i="24"/>
  <c r="Q4479" i="24"/>
  <c r="V4479" i="24"/>
  <c r="AA4479" i="24"/>
  <c r="A4478" i="24"/>
  <c r="B4478" i="24"/>
  <c r="M4478" i="24"/>
  <c r="P4478" i="24"/>
  <c r="Q4478" i="24"/>
  <c r="V4478" i="24"/>
  <c r="AA4478" i="24"/>
  <c r="A4477" i="24"/>
  <c r="B4477" i="24"/>
  <c r="M4477" i="24"/>
  <c r="P4477" i="24"/>
  <c r="Q4477" i="24"/>
  <c r="V4477" i="24"/>
  <c r="AA4477" i="24"/>
  <c r="A4476" i="24"/>
  <c r="B4476" i="24"/>
  <c r="M4476" i="24"/>
  <c r="P4476" i="24"/>
  <c r="Q4476" i="24"/>
  <c r="V4476" i="24"/>
  <c r="AA4476" i="24"/>
  <c r="B4470" i="24"/>
  <c r="M4470" i="24"/>
  <c r="P4470" i="24"/>
  <c r="Q4470" i="24"/>
  <c r="V4470" i="24"/>
  <c r="AA4470" i="24"/>
  <c r="B192" i="5"/>
  <c r="M192" i="5"/>
  <c r="AA192" i="5"/>
  <c r="A4475" i="24"/>
  <c r="B4475" i="24"/>
  <c r="M4475" i="24"/>
  <c r="P4475" i="24"/>
  <c r="Q4475" i="24"/>
  <c r="V4475" i="24"/>
  <c r="AA4475" i="24"/>
  <c r="A4468" i="24"/>
  <c r="A4469" i="24"/>
  <c r="A4470" i="24" s="1"/>
  <c r="A4471" i="24" s="1"/>
  <c r="B4467" i="24"/>
  <c r="M4467" i="24"/>
  <c r="P4467" i="24"/>
  <c r="Q4467" i="24"/>
  <c r="V4467" i="24"/>
  <c r="AA4467" i="24"/>
  <c r="B4468" i="24"/>
  <c r="M4468" i="24"/>
  <c r="P4468" i="24"/>
  <c r="Q4468" i="24"/>
  <c r="V4468" i="24"/>
  <c r="AA4468" i="24"/>
  <c r="A944" i="9"/>
  <c r="M944" i="9" s="1"/>
  <c r="B944" i="9"/>
  <c r="N944" i="9"/>
  <c r="Q944" i="9"/>
  <c r="R944" i="9"/>
  <c r="AB944" i="9"/>
  <c r="A4399" i="24"/>
  <c r="B4397" i="24"/>
  <c r="M4397" i="24"/>
  <c r="P4397" i="24"/>
  <c r="Q4397" i="24"/>
  <c r="V4397" i="24"/>
  <c r="AA4397" i="24"/>
  <c r="B4398" i="24"/>
  <c r="M4398" i="24"/>
  <c r="P4398" i="24"/>
  <c r="Q4398" i="24"/>
  <c r="V4398" i="24"/>
  <c r="AA4398" i="24"/>
  <c r="A4483" i="24" l="1"/>
  <c r="A4484" i="24" s="1"/>
  <c r="A4485" i="24" s="1"/>
  <c r="A1058" i="8"/>
  <c r="M1058" i="8" s="1"/>
  <c r="B1058" i="8"/>
  <c r="N1058" i="8"/>
  <c r="Q1058" i="8"/>
  <c r="R1058" i="8"/>
  <c r="W1058" i="8"/>
  <c r="AB1058" i="8"/>
  <c r="A943" i="9"/>
  <c r="M943" i="9" l="1"/>
  <c r="B1057" i="8"/>
  <c r="N1057" i="8"/>
  <c r="Q1057" i="8"/>
  <c r="R1057" i="8"/>
  <c r="W1057" i="8"/>
  <c r="AB1057" i="8"/>
  <c r="N1055" i="8"/>
  <c r="N1056" i="8"/>
  <c r="B1056" i="8"/>
  <c r="Q1056" i="8"/>
  <c r="R1056" i="8"/>
  <c r="W1056" i="8"/>
  <c r="AB1056" i="8"/>
  <c r="B1055" i="8"/>
  <c r="Q1055" i="8"/>
  <c r="R1055" i="8"/>
  <c r="W1055" i="8"/>
  <c r="AB1055" i="8"/>
  <c r="B1054" i="8"/>
  <c r="N1054" i="8"/>
  <c r="Q1054" i="8"/>
  <c r="R1054" i="8"/>
  <c r="W1054" i="8"/>
  <c r="AB1054" i="8"/>
  <c r="B943" i="9"/>
  <c r="N943" i="9"/>
  <c r="Q943" i="9"/>
  <c r="R943" i="9"/>
  <c r="AB943" i="9"/>
  <c r="A430" i="3"/>
  <c r="B430" i="3"/>
  <c r="M430" i="3"/>
  <c r="P430" i="3"/>
  <c r="Q430" i="3"/>
  <c r="AA430" i="3"/>
  <c r="A4462" i="24"/>
  <c r="B4460" i="24"/>
  <c r="M4460" i="24"/>
  <c r="P4460" i="24"/>
  <c r="Q4460" i="24"/>
  <c r="V4460" i="24"/>
  <c r="AA4460" i="24"/>
  <c r="B4461" i="24"/>
  <c r="M4461" i="24"/>
  <c r="P4461" i="24"/>
  <c r="Q4461" i="24"/>
  <c r="V4461" i="24"/>
  <c r="AA4461" i="24"/>
  <c r="A4463" i="24"/>
  <c r="A4465" i="24"/>
  <c r="A4466" i="24"/>
  <c r="B4459" i="24"/>
  <c r="M4459" i="24"/>
  <c r="P4459" i="24"/>
  <c r="Q4459" i="24"/>
  <c r="V4459" i="24"/>
  <c r="AA4459" i="24"/>
  <c r="B4462" i="24"/>
  <c r="M4462" i="24"/>
  <c r="P4462" i="24"/>
  <c r="Q4462" i="24"/>
  <c r="V4462" i="24"/>
  <c r="AA4462" i="24"/>
  <c r="B4463" i="24"/>
  <c r="M4463" i="24"/>
  <c r="P4463" i="24"/>
  <c r="Q4463" i="24"/>
  <c r="V4463" i="24"/>
  <c r="AA4463" i="24"/>
  <c r="B4465" i="24"/>
  <c r="M4465" i="24"/>
  <c r="P4465" i="24"/>
  <c r="Q4465" i="24"/>
  <c r="V4465" i="24"/>
  <c r="AA4465" i="24"/>
  <c r="B4466" i="24"/>
  <c r="M4466" i="24"/>
  <c r="P4466" i="24"/>
  <c r="Q4466" i="24"/>
  <c r="V4466" i="24"/>
  <c r="AA4466" i="24"/>
  <c r="B4469" i="24"/>
  <c r="M4469" i="24"/>
  <c r="P4469" i="24"/>
  <c r="Q4469" i="24"/>
  <c r="V4469" i="24"/>
  <c r="AA4469" i="24"/>
  <c r="B1030" i="8"/>
  <c r="N1030" i="8"/>
  <c r="Q1030" i="8"/>
  <c r="R1030" i="8"/>
  <c r="W1030" i="8"/>
  <c r="AB1030" i="8"/>
  <c r="B1031" i="8"/>
  <c r="N1031" i="8"/>
  <c r="Q1031" i="8"/>
  <c r="R1031" i="8"/>
  <c r="W1031" i="8"/>
  <c r="AB1031" i="8"/>
  <c r="B1032" i="8"/>
  <c r="N1032" i="8"/>
  <c r="Q1032" i="8"/>
  <c r="R1032" i="8"/>
  <c r="W1032" i="8"/>
  <c r="AB1032" i="8"/>
  <c r="A1053" i="8"/>
  <c r="M1053" i="8" s="1"/>
  <c r="B1053" i="8"/>
  <c r="N1053" i="8"/>
  <c r="Q1053" i="8"/>
  <c r="R1053" i="8"/>
  <c r="W1053" i="8"/>
  <c r="AB1053" i="8"/>
  <c r="A4467" i="24" l="1"/>
  <c r="A1054" i="8"/>
  <c r="A1055" i="8" s="1"/>
  <c r="A1056" i="8" s="1"/>
  <c r="A1057" i="8" s="1"/>
  <c r="M1054" i="8" l="1"/>
  <c r="M1055" i="8" s="1"/>
  <c r="M1056" i="8" s="1"/>
  <c r="M1057" i="8" s="1"/>
  <c r="A942" i="9" l="1"/>
  <c r="B942" i="9"/>
  <c r="N942" i="9"/>
  <c r="Q942" i="9"/>
  <c r="R942" i="9"/>
  <c r="AB942" i="9"/>
  <c r="B941" i="9"/>
  <c r="N941" i="9"/>
  <c r="Q941" i="9"/>
  <c r="R941" i="9"/>
  <c r="AB941" i="9"/>
  <c r="B940" i="9"/>
  <c r="N940" i="9"/>
  <c r="Q940" i="9"/>
  <c r="R940" i="9"/>
  <c r="AB940" i="9"/>
  <c r="A939" i="9"/>
  <c r="M939" i="9" s="1"/>
  <c r="B939" i="9"/>
  <c r="N939" i="9"/>
  <c r="Q939" i="9"/>
  <c r="R939" i="9"/>
  <c r="AB939" i="9"/>
  <c r="A938" i="9"/>
  <c r="M938" i="9" s="1"/>
  <c r="B938" i="9"/>
  <c r="N938" i="9"/>
  <c r="Q938" i="9"/>
  <c r="R938" i="9"/>
  <c r="AB938" i="9"/>
  <c r="A937" i="9"/>
  <c r="M937" i="9" s="1"/>
  <c r="B937" i="9"/>
  <c r="N937" i="9"/>
  <c r="Q937" i="9"/>
  <c r="R937" i="9"/>
  <c r="AB937" i="9"/>
  <c r="M942" i="9" l="1"/>
  <c r="A940" i="9"/>
  <c r="M940" i="9" l="1"/>
  <c r="A941" i="9"/>
  <c r="M941" i="9" l="1"/>
  <c r="A4457" i="24" l="1"/>
  <c r="B4451" i="24"/>
  <c r="M4451" i="24"/>
  <c r="P4451" i="24"/>
  <c r="Q4451" i="24"/>
  <c r="V4451" i="24"/>
  <c r="AA4451" i="24"/>
  <c r="B4452" i="24"/>
  <c r="M4452" i="24"/>
  <c r="P4452" i="24"/>
  <c r="Q4452" i="24"/>
  <c r="V4452" i="24"/>
  <c r="AA4452" i="24"/>
  <c r="B4453" i="24"/>
  <c r="M4453" i="24"/>
  <c r="P4453" i="24"/>
  <c r="Q4453" i="24"/>
  <c r="V4453" i="24"/>
  <c r="AA4453" i="24"/>
  <c r="B4454" i="24"/>
  <c r="M4454" i="24"/>
  <c r="P4454" i="24"/>
  <c r="Q4454" i="24"/>
  <c r="V4454" i="24"/>
  <c r="AA4454" i="24"/>
  <c r="B4455" i="24"/>
  <c r="M4455" i="24"/>
  <c r="P4455" i="24"/>
  <c r="Q4455" i="24"/>
  <c r="V4455" i="24"/>
  <c r="AA4455" i="24"/>
  <c r="B4456" i="24"/>
  <c r="M4456" i="24"/>
  <c r="P4456" i="24"/>
  <c r="Q4456" i="24"/>
  <c r="V4456" i="24"/>
  <c r="AA4456" i="24"/>
  <c r="A4473" i="24"/>
  <c r="A4458" i="24"/>
  <c r="A4459" i="24" s="1"/>
  <c r="B4450" i="24"/>
  <c r="M4450" i="24"/>
  <c r="P4450" i="24"/>
  <c r="Q4450" i="24"/>
  <c r="V4450" i="24"/>
  <c r="AA4450" i="24"/>
  <c r="B4457" i="24"/>
  <c r="M4457" i="24"/>
  <c r="P4457" i="24"/>
  <c r="Q4457" i="24"/>
  <c r="V4457" i="24"/>
  <c r="AA4457" i="24"/>
  <c r="B4458" i="24"/>
  <c r="M4458" i="24"/>
  <c r="P4458" i="24"/>
  <c r="Q4458" i="24"/>
  <c r="V4458" i="24"/>
  <c r="AA4458" i="24"/>
  <c r="A4474" i="24"/>
  <c r="B4474" i="24"/>
  <c r="P4474" i="24"/>
  <c r="Q4474" i="24"/>
  <c r="V4474" i="24"/>
  <c r="AA4474" i="24"/>
  <c r="A1052" i="8"/>
  <c r="M1052" i="8" s="1"/>
  <c r="B1052" i="8"/>
  <c r="N1052" i="8"/>
  <c r="Q1052" i="8"/>
  <c r="R1052" i="8"/>
  <c r="W1052" i="8"/>
  <c r="AB1052" i="8"/>
  <c r="A4460" i="24" l="1"/>
  <c r="A4461" i="24" s="1"/>
  <c r="B4473" i="24"/>
  <c r="M4473" i="24"/>
  <c r="P4473" i="24"/>
  <c r="Q4473" i="24"/>
  <c r="V4473" i="24"/>
  <c r="AA4473" i="24"/>
  <c r="A1051" i="8" l="1"/>
  <c r="M1051" i="8" s="1"/>
  <c r="B1051" i="8"/>
  <c r="N1051" i="8"/>
  <c r="Q1051" i="8"/>
  <c r="R1051" i="8"/>
  <c r="W1051" i="8"/>
  <c r="AB1051" i="8"/>
  <c r="A1050" i="8"/>
  <c r="M1050" i="8" s="1"/>
  <c r="B1050" i="8"/>
  <c r="N1050" i="8"/>
  <c r="Q1050" i="8"/>
  <c r="R1050" i="8"/>
  <c r="W1050" i="8"/>
  <c r="AB1050" i="8"/>
  <c r="A1049" i="8"/>
  <c r="M1049" i="8" s="1"/>
  <c r="B1049" i="8"/>
  <c r="N1049" i="8"/>
  <c r="Q1049" i="8"/>
  <c r="R1049" i="8"/>
  <c r="W1049" i="8"/>
  <c r="AB1049" i="8"/>
  <c r="A1048" i="8"/>
  <c r="M1048" i="8" s="1"/>
  <c r="B1048" i="8"/>
  <c r="N1048" i="8"/>
  <c r="Q1048" i="8"/>
  <c r="R1048" i="8"/>
  <c r="W1048" i="8"/>
  <c r="AB1048" i="8"/>
  <c r="B4472" i="24"/>
  <c r="M4472" i="24"/>
  <c r="P4472" i="24"/>
  <c r="Q4472" i="24"/>
  <c r="V4472" i="24"/>
  <c r="AA4472" i="24"/>
  <c r="B187" i="5" l="1"/>
  <c r="B191" i="5"/>
  <c r="M187" i="5"/>
  <c r="M191" i="5"/>
  <c r="AA187" i="5"/>
  <c r="AA191" i="5"/>
  <c r="B4449" i="24"/>
  <c r="M4449" i="24"/>
  <c r="P4449" i="24"/>
  <c r="Q4449" i="24"/>
  <c r="V4449" i="24"/>
  <c r="AA4449" i="24"/>
  <c r="B4448" i="24"/>
  <c r="M4448" i="24"/>
  <c r="P4448" i="24"/>
  <c r="Q4448" i="24"/>
  <c r="V4448" i="24"/>
  <c r="AA4448" i="24"/>
  <c r="A429" i="3"/>
  <c r="B429" i="3"/>
  <c r="M429" i="3"/>
  <c r="P429" i="3"/>
  <c r="Q429" i="3"/>
  <c r="AA429" i="3"/>
  <c r="A4445" i="24"/>
  <c r="B4444" i="24"/>
  <c r="M4444" i="24"/>
  <c r="P4444" i="24"/>
  <c r="Q4444" i="24"/>
  <c r="V4444" i="24"/>
  <c r="AA4444" i="24"/>
  <c r="B1047" i="8"/>
  <c r="N1047" i="8"/>
  <c r="Q1047" i="8"/>
  <c r="R1047" i="8"/>
  <c r="W1047" i="8"/>
  <c r="AB1047" i="8"/>
  <c r="B1046" i="8"/>
  <c r="N1046" i="8"/>
  <c r="Q1046" i="8"/>
  <c r="R1046" i="8"/>
  <c r="W1046" i="8"/>
  <c r="AB1046" i="8"/>
  <c r="B1045" i="8"/>
  <c r="N1045" i="8"/>
  <c r="Q1045" i="8"/>
  <c r="R1045" i="8"/>
  <c r="W1045" i="8"/>
  <c r="AB1045" i="8"/>
  <c r="M1045" i="8"/>
  <c r="M1046" i="8" s="1"/>
  <c r="M1047" i="8" s="1"/>
  <c r="B1044" i="8"/>
  <c r="N1044" i="8"/>
  <c r="Q1044" i="8"/>
  <c r="R1044" i="8"/>
  <c r="W1044" i="8"/>
  <c r="AB1044" i="8"/>
  <c r="A4447" i="24"/>
  <c r="A4448" i="24" s="1"/>
  <c r="A4449" i="24" s="1"/>
  <c r="B4447" i="24"/>
  <c r="M4447" i="24"/>
  <c r="P4447" i="24"/>
  <c r="Q4447" i="24"/>
  <c r="V4447" i="24"/>
  <c r="AA4447" i="24"/>
  <c r="A4446" i="24"/>
  <c r="B4446" i="24"/>
  <c r="M4446" i="24"/>
  <c r="P4446" i="24"/>
  <c r="Q4446" i="24"/>
  <c r="V4446" i="24"/>
  <c r="AA4446" i="24"/>
  <c r="A4450" i="24" l="1"/>
  <c r="A1045" i="8"/>
  <c r="A1046" i="8" s="1"/>
  <c r="A1047" i="8" s="1"/>
  <c r="W2" i="8"/>
  <c r="W3" i="8"/>
  <c r="W4" i="8"/>
  <c r="W5" i="8"/>
  <c r="W6" i="8"/>
  <c r="W7" i="8"/>
  <c r="W8" i="8"/>
  <c r="W9" i="8"/>
  <c r="W10" i="8"/>
  <c r="W11" i="8"/>
  <c r="W12" i="8"/>
  <c r="W13" i="8"/>
  <c r="W14" i="8"/>
  <c r="W15" i="8"/>
  <c r="W16" i="8"/>
  <c r="W17" i="8"/>
  <c r="W18" i="8"/>
  <c r="W19" i="8"/>
  <c r="W20" i="8"/>
  <c r="W21" i="8"/>
  <c r="W22" i="8"/>
  <c r="W23" i="8"/>
  <c r="W24" i="8"/>
  <c r="W25" i="8"/>
  <c r="W26" i="8"/>
  <c r="W27" i="8"/>
  <c r="W28" i="8"/>
  <c r="W29" i="8"/>
  <c r="W30" i="8"/>
  <c r="W31" i="8"/>
  <c r="W32" i="8"/>
  <c r="W33" i="8"/>
  <c r="W34" i="8"/>
  <c r="W35" i="8"/>
  <c r="W36" i="8"/>
  <c r="W37" i="8"/>
  <c r="W38" i="8"/>
  <c r="W39" i="8"/>
  <c r="W40" i="8"/>
  <c r="W41" i="8"/>
  <c r="W42" i="8"/>
  <c r="W43" i="8"/>
  <c r="W44" i="8"/>
  <c r="W45" i="8"/>
  <c r="W46" i="8"/>
  <c r="W47" i="8"/>
  <c r="W48" i="8"/>
  <c r="W49" i="8"/>
  <c r="W50" i="8"/>
  <c r="W51" i="8"/>
  <c r="W52" i="8"/>
  <c r="W53" i="8"/>
  <c r="W54" i="8"/>
  <c r="W55" i="8"/>
  <c r="W56" i="8"/>
  <c r="W57" i="8"/>
  <c r="W58" i="8"/>
  <c r="W59" i="8"/>
  <c r="W60" i="8"/>
  <c r="W61" i="8"/>
  <c r="W62" i="8"/>
  <c r="W63" i="8"/>
  <c r="W64" i="8"/>
  <c r="W65" i="8"/>
  <c r="W66" i="8"/>
  <c r="W67" i="8"/>
  <c r="W68" i="8"/>
  <c r="W69" i="8"/>
  <c r="W70" i="8"/>
  <c r="W71" i="8"/>
  <c r="W72" i="8"/>
  <c r="W73" i="8"/>
  <c r="W74" i="8"/>
  <c r="W75" i="8"/>
  <c r="W76" i="8"/>
  <c r="W77" i="8"/>
  <c r="W78" i="8"/>
  <c r="W79" i="8"/>
  <c r="W80" i="8"/>
  <c r="W81" i="8"/>
  <c r="W82" i="8"/>
  <c r="W83" i="8"/>
  <c r="W84" i="8"/>
  <c r="W85" i="8"/>
  <c r="W86" i="8"/>
  <c r="W87" i="8"/>
  <c r="W88" i="8"/>
  <c r="W89" i="8"/>
  <c r="W90" i="8"/>
  <c r="W91" i="8"/>
  <c r="W92" i="8"/>
  <c r="W93" i="8"/>
  <c r="W94" i="8"/>
  <c r="W95" i="8"/>
  <c r="W96" i="8"/>
  <c r="W97" i="8"/>
  <c r="W98" i="8"/>
  <c r="W99" i="8"/>
  <c r="W100" i="8"/>
  <c r="W101" i="8"/>
  <c r="W102" i="8"/>
  <c r="W103" i="8"/>
  <c r="W104" i="8"/>
  <c r="W105" i="8"/>
  <c r="W106" i="8"/>
  <c r="W107" i="8"/>
  <c r="W108" i="8"/>
  <c r="W109" i="8"/>
  <c r="W110" i="8"/>
  <c r="W111" i="8"/>
  <c r="W112" i="8"/>
  <c r="W113" i="8"/>
  <c r="W114" i="8"/>
  <c r="W115" i="8"/>
  <c r="W116" i="8"/>
  <c r="W117" i="8"/>
  <c r="W118" i="8"/>
  <c r="W119" i="8"/>
  <c r="W120" i="8"/>
  <c r="W121" i="8"/>
  <c r="W122" i="8"/>
  <c r="W123" i="8"/>
  <c r="W124" i="8"/>
  <c r="W125" i="8"/>
  <c r="W126" i="8"/>
  <c r="W127" i="8"/>
  <c r="W128" i="8"/>
  <c r="W129" i="8"/>
  <c r="W130" i="8"/>
  <c r="W131" i="8"/>
  <c r="W132" i="8"/>
  <c r="W133" i="8"/>
  <c r="W134" i="8"/>
  <c r="W135" i="8"/>
  <c r="W136" i="8"/>
  <c r="W137" i="8"/>
  <c r="W138" i="8"/>
  <c r="W139" i="8"/>
  <c r="W140" i="8"/>
  <c r="W141" i="8"/>
  <c r="W142" i="8"/>
  <c r="W143" i="8"/>
  <c r="W144" i="8"/>
  <c r="W145" i="8"/>
  <c r="W146" i="8"/>
  <c r="W147" i="8"/>
  <c r="W148" i="8"/>
  <c r="W149" i="8"/>
  <c r="W150" i="8"/>
  <c r="W151" i="8"/>
  <c r="W152" i="8"/>
  <c r="W153" i="8"/>
  <c r="W154" i="8"/>
  <c r="W155" i="8"/>
  <c r="W156" i="8"/>
  <c r="W157" i="8"/>
  <c r="W158" i="8"/>
  <c r="W159" i="8"/>
  <c r="W160" i="8"/>
  <c r="W161" i="8"/>
  <c r="W162" i="8"/>
  <c r="W163" i="8"/>
  <c r="W164" i="8"/>
  <c r="W165" i="8"/>
  <c r="W166" i="8"/>
  <c r="W167" i="8"/>
  <c r="W168" i="8"/>
  <c r="W169" i="8"/>
  <c r="W170" i="8"/>
  <c r="W171" i="8"/>
  <c r="W172" i="8"/>
  <c r="W173" i="8"/>
  <c r="W174" i="8"/>
  <c r="W175" i="8"/>
  <c r="W176" i="8"/>
  <c r="W177" i="8"/>
  <c r="W178" i="8"/>
  <c r="W179" i="8"/>
  <c r="W180" i="8"/>
  <c r="W181" i="8"/>
  <c r="W182" i="8"/>
  <c r="W183" i="8"/>
  <c r="W184" i="8"/>
  <c r="W185" i="8"/>
  <c r="W186" i="8"/>
  <c r="W187" i="8"/>
  <c r="W188" i="8"/>
  <c r="W189" i="8"/>
  <c r="W190" i="8"/>
  <c r="W191" i="8"/>
  <c r="W192" i="8"/>
  <c r="W193" i="8"/>
  <c r="W194" i="8"/>
  <c r="W195" i="8"/>
  <c r="W196" i="8"/>
  <c r="W197" i="8"/>
  <c r="W198" i="8"/>
  <c r="W199" i="8"/>
  <c r="W200" i="8"/>
  <c r="W201" i="8"/>
  <c r="W202" i="8"/>
  <c r="W203" i="8"/>
  <c r="W204" i="8"/>
  <c r="W205" i="8"/>
  <c r="W206" i="8"/>
  <c r="W207" i="8"/>
  <c r="W208" i="8"/>
  <c r="W209" i="8"/>
  <c r="W210" i="8"/>
  <c r="W211" i="8"/>
  <c r="W212" i="8"/>
  <c r="W213" i="8"/>
  <c r="W214" i="8"/>
  <c r="W215" i="8"/>
  <c r="W216" i="8"/>
  <c r="W217" i="8"/>
  <c r="W218" i="8"/>
  <c r="W219" i="8"/>
  <c r="W220" i="8"/>
  <c r="W221" i="8"/>
  <c r="W222" i="8"/>
  <c r="W223" i="8"/>
  <c r="W224" i="8"/>
  <c r="W225" i="8"/>
  <c r="W226" i="8"/>
  <c r="W227" i="8"/>
  <c r="W228" i="8"/>
  <c r="W229" i="8"/>
  <c r="W230" i="8"/>
  <c r="W231" i="8"/>
  <c r="W232" i="8"/>
  <c r="W233" i="8"/>
  <c r="W234" i="8"/>
  <c r="W235" i="8"/>
  <c r="W236" i="8"/>
  <c r="W237" i="8"/>
  <c r="W238" i="8"/>
  <c r="W239" i="8"/>
  <c r="W240" i="8"/>
  <c r="W241" i="8"/>
  <c r="W242" i="8"/>
  <c r="W243" i="8"/>
  <c r="W244" i="8"/>
  <c r="W245" i="8"/>
  <c r="W246" i="8"/>
  <c r="W247" i="8"/>
  <c r="W248" i="8"/>
  <c r="W249" i="8"/>
  <c r="W250" i="8"/>
  <c r="W251" i="8"/>
  <c r="W252" i="8"/>
  <c r="W253" i="8"/>
  <c r="W254" i="8"/>
  <c r="W255" i="8"/>
  <c r="W256" i="8"/>
  <c r="W257" i="8"/>
  <c r="W258" i="8"/>
  <c r="W259" i="8"/>
  <c r="W260" i="8"/>
  <c r="W261" i="8"/>
  <c r="W262" i="8"/>
  <c r="W263" i="8"/>
  <c r="W264" i="8"/>
  <c r="W265" i="8"/>
  <c r="W266" i="8"/>
  <c r="W267" i="8"/>
  <c r="W268" i="8"/>
  <c r="W269" i="8"/>
  <c r="W270" i="8"/>
  <c r="W271" i="8"/>
  <c r="W272" i="8"/>
  <c r="W273" i="8"/>
  <c r="W274" i="8"/>
  <c r="W275" i="8"/>
  <c r="W276" i="8"/>
  <c r="W277" i="8"/>
  <c r="W278" i="8"/>
  <c r="W279" i="8"/>
  <c r="W280" i="8"/>
  <c r="W281" i="8"/>
  <c r="W282" i="8"/>
  <c r="W283" i="8"/>
  <c r="W284" i="8"/>
  <c r="W285" i="8"/>
  <c r="W286" i="8"/>
  <c r="W287" i="8"/>
  <c r="W288" i="8"/>
  <c r="W289" i="8"/>
  <c r="W290" i="8"/>
  <c r="W291" i="8"/>
  <c r="W292" i="8"/>
  <c r="W293" i="8"/>
  <c r="W294" i="8"/>
  <c r="W295" i="8"/>
  <c r="W296" i="8"/>
  <c r="W297" i="8"/>
  <c r="W298" i="8"/>
  <c r="W299" i="8"/>
  <c r="W300" i="8"/>
  <c r="W301" i="8"/>
  <c r="W302" i="8"/>
  <c r="W303" i="8"/>
  <c r="W304" i="8"/>
  <c r="W305" i="8"/>
  <c r="W306" i="8"/>
  <c r="W307" i="8"/>
  <c r="W308" i="8"/>
  <c r="W309" i="8"/>
  <c r="W310" i="8"/>
  <c r="W311" i="8"/>
  <c r="W312" i="8"/>
  <c r="W313" i="8"/>
  <c r="W314" i="8"/>
  <c r="W315" i="8"/>
  <c r="W316" i="8"/>
  <c r="W317" i="8"/>
  <c r="W318" i="8"/>
  <c r="W319" i="8"/>
  <c r="W320" i="8"/>
  <c r="W321" i="8"/>
  <c r="W322" i="8"/>
  <c r="W323" i="8"/>
  <c r="W324" i="8"/>
  <c r="W325" i="8"/>
  <c r="W326" i="8"/>
  <c r="W327" i="8"/>
  <c r="W328" i="8"/>
  <c r="W329" i="8"/>
  <c r="W330" i="8"/>
  <c r="W331" i="8"/>
  <c r="W332" i="8"/>
  <c r="W333" i="8"/>
  <c r="W334" i="8"/>
  <c r="W335" i="8"/>
  <c r="W336" i="8"/>
  <c r="W337" i="8"/>
  <c r="W338" i="8"/>
  <c r="W339" i="8"/>
  <c r="W340" i="8"/>
  <c r="W341" i="8"/>
  <c r="W342" i="8"/>
  <c r="W343" i="8"/>
  <c r="W344" i="8"/>
  <c r="W345" i="8"/>
  <c r="W346" i="8"/>
  <c r="W347" i="8"/>
  <c r="W348" i="8"/>
  <c r="W349" i="8"/>
  <c r="W350" i="8"/>
  <c r="W351" i="8"/>
  <c r="W352" i="8"/>
  <c r="W353" i="8"/>
  <c r="W354" i="8"/>
  <c r="W355" i="8"/>
  <c r="W356" i="8"/>
  <c r="W357" i="8"/>
  <c r="W358" i="8"/>
  <c r="W359" i="8"/>
  <c r="W360" i="8"/>
  <c r="W361" i="8"/>
  <c r="W362" i="8"/>
  <c r="W363" i="8"/>
  <c r="W364" i="8"/>
  <c r="W365" i="8"/>
  <c r="W366" i="8"/>
  <c r="W367" i="8"/>
  <c r="W368" i="8"/>
  <c r="W369" i="8"/>
  <c r="W370" i="8"/>
  <c r="W371" i="8"/>
  <c r="W372" i="8"/>
  <c r="W373" i="8"/>
  <c r="W374" i="8"/>
  <c r="W375" i="8"/>
  <c r="W376" i="8"/>
  <c r="W377" i="8"/>
  <c r="W378" i="8"/>
  <c r="W379" i="8"/>
  <c r="W380" i="8"/>
  <c r="W381" i="8"/>
  <c r="W382" i="8"/>
  <c r="W383" i="8"/>
  <c r="W384" i="8"/>
  <c r="W385" i="8"/>
  <c r="W386" i="8"/>
  <c r="W387" i="8"/>
  <c r="W388" i="8"/>
  <c r="W389" i="8"/>
  <c r="W390" i="8"/>
  <c r="W391" i="8"/>
  <c r="W392" i="8"/>
  <c r="W393" i="8"/>
  <c r="W394" i="8"/>
  <c r="W395" i="8"/>
  <c r="W396" i="8"/>
  <c r="W397" i="8"/>
  <c r="W398" i="8"/>
  <c r="W399" i="8"/>
  <c r="W400" i="8"/>
  <c r="W401" i="8"/>
  <c r="W402" i="8"/>
  <c r="W403" i="8"/>
  <c r="W404" i="8"/>
  <c r="W405" i="8"/>
  <c r="W406" i="8"/>
  <c r="W407" i="8"/>
  <c r="W408" i="8"/>
  <c r="W409" i="8"/>
  <c r="W410" i="8"/>
  <c r="W411" i="8"/>
  <c r="W412" i="8"/>
  <c r="W413" i="8"/>
  <c r="W414" i="8"/>
  <c r="W415" i="8"/>
  <c r="W416" i="8"/>
  <c r="W417" i="8"/>
  <c r="W418" i="8"/>
  <c r="W419" i="8"/>
  <c r="W420" i="8"/>
  <c r="W421" i="8"/>
  <c r="W422" i="8"/>
  <c r="W423" i="8"/>
  <c r="W424" i="8"/>
  <c r="W425" i="8"/>
  <c r="W426" i="8"/>
  <c r="W427" i="8"/>
  <c r="W428" i="8"/>
  <c r="W429" i="8"/>
  <c r="W430" i="8"/>
  <c r="W431" i="8"/>
  <c r="W432" i="8"/>
  <c r="W433" i="8"/>
  <c r="W434" i="8"/>
  <c r="W435" i="8"/>
  <c r="W436" i="8"/>
  <c r="W437" i="8"/>
  <c r="W438" i="8"/>
  <c r="W439" i="8"/>
  <c r="W440" i="8"/>
  <c r="W441" i="8"/>
  <c r="W442" i="8"/>
  <c r="W443" i="8"/>
  <c r="W444" i="8"/>
  <c r="W445" i="8"/>
  <c r="W446" i="8"/>
  <c r="W447" i="8"/>
  <c r="W448" i="8"/>
  <c r="W449" i="8"/>
  <c r="W450" i="8"/>
  <c r="W451" i="8"/>
  <c r="W452" i="8"/>
  <c r="W453" i="8"/>
  <c r="W454" i="8"/>
  <c r="W455" i="8"/>
  <c r="W456" i="8"/>
  <c r="W457" i="8"/>
  <c r="W458" i="8"/>
  <c r="W459" i="8"/>
  <c r="W460" i="8"/>
  <c r="W461" i="8"/>
  <c r="W462" i="8"/>
  <c r="W463" i="8"/>
  <c r="W464" i="8"/>
  <c r="W465" i="8"/>
  <c r="W466" i="8"/>
  <c r="W467" i="8"/>
  <c r="W468" i="8"/>
  <c r="W469" i="8"/>
  <c r="W470" i="8"/>
  <c r="W471" i="8"/>
  <c r="W472" i="8"/>
  <c r="W473" i="8"/>
  <c r="W474" i="8"/>
  <c r="W475" i="8"/>
  <c r="W476" i="8"/>
  <c r="W477" i="8"/>
  <c r="W478" i="8"/>
  <c r="W479" i="8"/>
  <c r="W480" i="8"/>
  <c r="W481" i="8"/>
  <c r="W482" i="8"/>
  <c r="W483" i="8"/>
  <c r="W484" i="8"/>
  <c r="W485" i="8"/>
  <c r="W486" i="8"/>
  <c r="W487" i="8"/>
  <c r="W488" i="8"/>
  <c r="W489" i="8"/>
  <c r="W490" i="8"/>
  <c r="W491" i="8"/>
  <c r="W492" i="8"/>
  <c r="W493" i="8"/>
  <c r="W494" i="8"/>
  <c r="W495" i="8"/>
  <c r="W496" i="8"/>
  <c r="W497" i="8"/>
  <c r="W498" i="8"/>
  <c r="W499" i="8"/>
  <c r="W500" i="8"/>
  <c r="W501" i="8"/>
  <c r="W502" i="8"/>
  <c r="W503" i="8"/>
  <c r="W504" i="8"/>
  <c r="W505" i="8"/>
  <c r="W506" i="8"/>
  <c r="W507" i="8"/>
  <c r="W508" i="8"/>
  <c r="W509" i="8"/>
  <c r="W510" i="8"/>
  <c r="W511" i="8"/>
  <c r="W512" i="8"/>
  <c r="W513" i="8"/>
  <c r="W514" i="8"/>
  <c r="W515" i="8"/>
  <c r="W516" i="8"/>
  <c r="W517" i="8"/>
  <c r="W518" i="8"/>
  <c r="W519" i="8"/>
  <c r="W520" i="8"/>
  <c r="W521" i="8"/>
  <c r="W522" i="8"/>
  <c r="W523" i="8"/>
  <c r="W524" i="8"/>
  <c r="W525" i="8"/>
  <c r="W526" i="8"/>
  <c r="W527" i="8"/>
  <c r="W528" i="8"/>
  <c r="W529" i="8"/>
  <c r="W530" i="8"/>
  <c r="W531" i="8"/>
  <c r="W532" i="8"/>
  <c r="W533" i="8"/>
  <c r="W534" i="8"/>
  <c r="W535" i="8"/>
  <c r="W536" i="8"/>
  <c r="W537" i="8"/>
  <c r="W538" i="8"/>
  <c r="W539" i="8"/>
  <c r="W540" i="8"/>
  <c r="W541" i="8"/>
  <c r="W542" i="8"/>
  <c r="W543" i="8"/>
  <c r="W544" i="8"/>
  <c r="W545" i="8"/>
  <c r="W546" i="8"/>
  <c r="W547" i="8"/>
  <c r="W548" i="8"/>
  <c r="W549" i="8"/>
  <c r="W550" i="8"/>
  <c r="W551" i="8"/>
  <c r="W552" i="8"/>
  <c r="W553" i="8"/>
  <c r="W554" i="8"/>
  <c r="W555" i="8"/>
  <c r="W556" i="8"/>
  <c r="W557" i="8"/>
  <c r="W558" i="8"/>
  <c r="W559" i="8"/>
  <c r="W560" i="8"/>
  <c r="W561" i="8"/>
  <c r="W562" i="8"/>
  <c r="W563" i="8"/>
  <c r="W564" i="8"/>
  <c r="W565" i="8"/>
  <c r="W566" i="8"/>
  <c r="W567" i="8"/>
  <c r="W568" i="8"/>
  <c r="W569" i="8"/>
  <c r="W570" i="8"/>
  <c r="W571" i="8"/>
  <c r="W572" i="8"/>
  <c r="W573" i="8"/>
  <c r="W574" i="8"/>
  <c r="W575" i="8"/>
  <c r="W576" i="8"/>
  <c r="W577" i="8"/>
  <c r="W578" i="8"/>
  <c r="W579" i="8"/>
  <c r="W580" i="8"/>
  <c r="W581" i="8"/>
  <c r="W582" i="8"/>
  <c r="W583" i="8"/>
  <c r="W584" i="8"/>
  <c r="W585" i="8"/>
  <c r="W586" i="8"/>
  <c r="W587" i="8"/>
  <c r="W588" i="8"/>
  <c r="W589" i="8"/>
  <c r="W590" i="8"/>
  <c r="W591" i="8"/>
  <c r="W592" i="8"/>
  <c r="W593" i="8"/>
  <c r="W594" i="8"/>
  <c r="W595" i="8"/>
  <c r="W596" i="8"/>
  <c r="W597" i="8"/>
  <c r="W598" i="8"/>
  <c r="W599" i="8"/>
  <c r="W600" i="8"/>
  <c r="W601" i="8"/>
  <c r="W602" i="8"/>
  <c r="W603" i="8"/>
  <c r="W604" i="8"/>
  <c r="W605" i="8"/>
  <c r="W606" i="8"/>
  <c r="W607" i="8"/>
  <c r="W608" i="8"/>
  <c r="W609" i="8"/>
  <c r="W610" i="8"/>
  <c r="W611" i="8"/>
  <c r="W612" i="8"/>
  <c r="W613" i="8"/>
  <c r="W614" i="8"/>
  <c r="W615" i="8"/>
  <c r="W616" i="8"/>
  <c r="W617" i="8"/>
  <c r="W618" i="8"/>
  <c r="W619" i="8"/>
  <c r="W620" i="8"/>
  <c r="W621" i="8"/>
  <c r="W622" i="8"/>
  <c r="W623" i="8"/>
  <c r="W624" i="8"/>
  <c r="W625" i="8"/>
  <c r="W626" i="8"/>
  <c r="W627" i="8"/>
  <c r="W628" i="8"/>
  <c r="W629" i="8"/>
  <c r="W630" i="8"/>
  <c r="W631" i="8"/>
  <c r="W632" i="8"/>
  <c r="W633" i="8"/>
  <c r="W634" i="8"/>
  <c r="W635" i="8"/>
  <c r="W636" i="8"/>
  <c r="W637" i="8"/>
  <c r="W638" i="8"/>
  <c r="W639" i="8"/>
  <c r="W640" i="8"/>
  <c r="W641" i="8"/>
  <c r="W642" i="8"/>
  <c r="W643" i="8"/>
  <c r="W644" i="8"/>
  <c r="W645" i="8"/>
  <c r="W646" i="8"/>
  <c r="W647" i="8"/>
  <c r="W648" i="8"/>
  <c r="W649" i="8"/>
  <c r="W650" i="8"/>
  <c r="W651" i="8"/>
  <c r="W652" i="8"/>
  <c r="W653" i="8"/>
  <c r="W654" i="8"/>
  <c r="W655" i="8"/>
  <c r="W656" i="8"/>
  <c r="W657" i="8"/>
  <c r="W658" i="8"/>
  <c r="W659" i="8"/>
  <c r="W660" i="8"/>
  <c r="W661" i="8"/>
  <c r="W662" i="8"/>
  <c r="W663" i="8"/>
  <c r="W664" i="8"/>
  <c r="W665" i="8"/>
  <c r="W666" i="8"/>
  <c r="W667" i="8"/>
  <c r="W668" i="8"/>
  <c r="W669" i="8"/>
  <c r="W670" i="8"/>
  <c r="W671" i="8"/>
  <c r="W672" i="8"/>
  <c r="W673" i="8"/>
  <c r="W674" i="8"/>
  <c r="W675" i="8"/>
  <c r="W676" i="8"/>
  <c r="W677" i="8"/>
  <c r="W678" i="8"/>
  <c r="W679" i="8"/>
  <c r="W680" i="8"/>
  <c r="W681" i="8"/>
  <c r="W682" i="8"/>
  <c r="W683" i="8"/>
  <c r="W684" i="8"/>
  <c r="W685" i="8"/>
  <c r="W686" i="8"/>
  <c r="W687" i="8"/>
  <c r="W688" i="8"/>
  <c r="W689" i="8"/>
  <c r="W690" i="8"/>
  <c r="W691" i="8"/>
  <c r="W692" i="8"/>
  <c r="W693" i="8"/>
  <c r="W694" i="8"/>
  <c r="W695" i="8"/>
  <c r="W696" i="8"/>
  <c r="W697" i="8"/>
  <c r="W698" i="8"/>
  <c r="W699" i="8"/>
  <c r="W700" i="8"/>
  <c r="W701" i="8"/>
  <c r="W702" i="8"/>
  <c r="W703" i="8"/>
  <c r="W704" i="8"/>
  <c r="W705" i="8"/>
  <c r="W706" i="8"/>
  <c r="W707" i="8"/>
  <c r="W708" i="8"/>
  <c r="W709" i="8"/>
  <c r="W710" i="8"/>
  <c r="W711" i="8"/>
  <c r="W712" i="8"/>
  <c r="W713" i="8"/>
  <c r="W714" i="8"/>
  <c r="W715" i="8"/>
  <c r="W716" i="8"/>
  <c r="W717" i="8"/>
  <c r="W718" i="8"/>
  <c r="W719" i="8"/>
  <c r="W720" i="8"/>
  <c r="W721" i="8"/>
  <c r="W722" i="8"/>
  <c r="W723" i="8"/>
  <c r="W724" i="8"/>
  <c r="W725" i="8"/>
  <c r="W726" i="8"/>
  <c r="W727" i="8"/>
  <c r="W728" i="8"/>
  <c r="W729" i="8"/>
  <c r="W730" i="8"/>
  <c r="W731" i="8"/>
  <c r="W732" i="8"/>
  <c r="W733" i="8"/>
  <c r="W734" i="8"/>
  <c r="W735" i="8"/>
  <c r="W736" i="8"/>
  <c r="W737" i="8"/>
  <c r="W738" i="8"/>
  <c r="W739" i="8"/>
  <c r="W740" i="8"/>
  <c r="W741" i="8"/>
  <c r="W742" i="8"/>
  <c r="W743" i="8"/>
  <c r="W744" i="8"/>
  <c r="W745" i="8"/>
  <c r="W746" i="8"/>
  <c r="W747" i="8"/>
  <c r="W748" i="8"/>
  <c r="W749" i="8"/>
  <c r="W750" i="8"/>
  <c r="W751" i="8"/>
  <c r="W752" i="8"/>
  <c r="W753" i="8"/>
  <c r="W754" i="8"/>
  <c r="W755" i="8"/>
  <c r="W756" i="8"/>
  <c r="W757" i="8"/>
  <c r="W758" i="8"/>
  <c r="W759" i="8"/>
  <c r="W760" i="8"/>
  <c r="W761" i="8"/>
  <c r="W762" i="8"/>
  <c r="W763" i="8"/>
  <c r="W764" i="8"/>
  <c r="W765" i="8"/>
  <c r="W766" i="8"/>
  <c r="W767" i="8"/>
  <c r="W768" i="8"/>
  <c r="W769" i="8"/>
  <c r="W770" i="8"/>
  <c r="W771" i="8"/>
  <c r="W772" i="8"/>
  <c r="W773" i="8"/>
  <c r="W774" i="8"/>
  <c r="W775" i="8"/>
  <c r="W776" i="8"/>
  <c r="W777" i="8"/>
  <c r="W778" i="8"/>
  <c r="W779" i="8"/>
  <c r="W780" i="8"/>
  <c r="W781" i="8"/>
  <c r="W782" i="8"/>
  <c r="W783" i="8"/>
  <c r="W784" i="8"/>
  <c r="W785" i="8"/>
  <c r="W786" i="8"/>
  <c r="W787" i="8"/>
  <c r="W788" i="8"/>
  <c r="W789" i="8"/>
  <c r="W790" i="8"/>
  <c r="W791" i="8"/>
  <c r="W792" i="8"/>
  <c r="W793" i="8"/>
  <c r="W794" i="8"/>
  <c r="W795" i="8"/>
  <c r="W796" i="8"/>
  <c r="W797" i="8"/>
  <c r="W798" i="8"/>
  <c r="W799" i="8"/>
  <c r="W800" i="8"/>
  <c r="W801" i="8"/>
  <c r="W802" i="8"/>
  <c r="W803" i="8"/>
  <c r="W804" i="8"/>
  <c r="W805" i="8"/>
  <c r="W806" i="8"/>
  <c r="W807" i="8"/>
  <c r="W808" i="8"/>
  <c r="W809" i="8"/>
  <c r="W810" i="8"/>
  <c r="W811" i="8"/>
  <c r="W812" i="8"/>
  <c r="W813" i="8"/>
  <c r="W814" i="8"/>
  <c r="W815" i="8"/>
  <c r="W816" i="8"/>
  <c r="W817" i="8"/>
  <c r="W818" i="8"/>
  <c r="W819" i="8"/>
  <c r="W820" i="8"/>
  <c r="W821" i="8"/>
  <c r="W822" i="8"/>
  <c r="W823" i="8"/>
  <c r="W824" i="8"/>
  <c r="W825" i="8"/>
  <c r="W826" i="8"/>
  <c r="W827" i="8"/>
  <c r="W828" i="8"/>
  <c r="W829" i="8"/>
  <c r="W830" i="8"/>
  <c r="W831" i="8"/>
  <c r="W832" i="8"/>
  <c r="W833" i="8"/>
  <c r="W834" i="8"/>
  <c r="W835" i="8"/>
  <c r="W836" i="8"/>
  <c r="W837" i="8"/>
  <c r="W838" i="8"/>
  <c r="W839" i="8"/>
  <c r="W840" i="8"/>
  <c r="W841" i="8"/>
  <c r="W842" i="8"/>
  <c r="W843" i="8"/>
  <c r="W844" i="8"/>
  <c r="W845" i="8"/>
  <c r="W846" i="8"/>
  <c r="W847" i="8"/>
  <c r="W848" i="8"/>
  <c r="W849" i="8"/>
  <c r="W850" i="8"/>
  <c r="W851" i="8"/>
  <c r="W852" i="8"/>
  <c r="W853" i="8"/>
  <c r="W854" i="8"/>
  <c r="W855" i="8"/>
  <c r="W856" i="8"/>
  <c r="W857" i="8"/>
  <c r="W858" i="8"/>
  <c r="W859" i="8"/>
  <c r="W860" i="8"/>
  <c r="W861" i="8"/>
  <c r="W862" i="8"/>
  <c r="W863" i="8"/>
  <c r="W864" i="8"/>
  <c r="W865" i="8"/>
  <c r="W866" i="8"/>
  <c r="W867" i="8"/>
  <c r="W868" i="8"/>
  <c r="W869" i="8"/>
  <c r="W870" i="8"/>
  <c r="W871" i="8"/>
  <c r="W872" i="8"/>
  <c r="W873" i="8"/>
  <c r="W874" i="8"/>
  <c r="W875" i="8"/>
  <c r="W876" i="8"/>
  <c r="W877" i="8"/>
  <c r="W878" i="8"/>
  <c r="W879" i="8"/>
  <c r="W880" i="8"/>
  <c r="W881" i="8"/>
  <c r="W882" i="8"/>
  <c r="W883" i="8"/>
  <c r="W884" i="8"/>
  <c r="W885" i="8"/>
  <c r="W886" i="8"/>
  <c r="W887" i="8"/>
  <c r="W888" i="8"/>
  <c r="W889" i="8"/>
  <c r="W890" i="8"/>
  <c r="W891" i="8"/>
  <c r="W892" i="8"/>
  <c r="W893" i="8"/>
  <c r="W894" i="8"/>
  <c r="W895" i="8"/>
  <c r="W896" i="8"/>
  <c r="W897" i="8"/>
  <c r="W898" i="8"/>
  <c r="W899" i="8"/>
  <c r="W900" i="8"/>
  <c r="W901" i="8"/>
  <c r="W902" i="8"/>
  <c r="W903" i="8"/>
  <c r="W904" i="8"/>
  <c r="W905" i="8"/>
  <c r="W906" i="8"/>
  <c r="W907" i="8"/>
  <c r="W908" i="8"/>
  <c r="W909" i="8"/>
  <c r="W910" i="8"/>
  <c r="W911" i="8"/>
  <c r="W912" i="8"/>
  <c r="W913" i="8"/>
  <c r="W914" i="8"/>
  <c r="W915" i="8"/>
  <c r="W916" i="8"/>
  <c r="W917" i="8"/>
  <c r="W918" i="8"/>
  <c r="W919" i="8"/>
  <c r="W920" i="8"/>
  <c r="W921" i="8"/>
  <c r="W922" i="8"/>
  <c r="W923" i="8"/>
  <c r="W924" i="8"/>
  <c r="W925" i="8"/>
  <c r="W926" i="8"/>
  <c r="W927" i="8"/>
  <c r="W928" i="8"/>
  <c r="W929" i="8"/>
  <c r="W930" i="8"/>
  <c r="W931" i="8"/>
  <c r="W932" i="8"/>
  <c r="W933" i="8"/>
  <c r="W934" i="8"/>
  <c r="W935" i="8"/>
  <c r="W936" i="8"/>
  <c r="W937" i="8"/>
  <c r="W938" i="8"/>
  <c r="W939" i="8"/>
  <c r="W940" i="8"/>
  <c r="W941" i="8"/>
  <c r="W942" i="8"/>
  <c r="W943" i="8"/>
  <c r="W944" i="8"/>
  <c r="W945" i="8"/>
  <c r="W946" i="8"/>
  <c r="W947" i="8"/>
  <c r="W948" i="8"/>
  <c r="W949" i="8"/>
  <c r="W950" i="8"/>
  <c r="W951" i="8"/>
  <c r="W952" i="8"/>
  <c r="W953" i="8"/>
  <c r="W954" i="8"/>
  <c r="W955" i="8"/>
  <c r="W956" i="8"/>
  <c r="W957" i="8"/>
  <c r="W958" i="8"/>
  <c r="W959" i="8"/>
  <c r="W960" i="8"/>
  <c r="W961" i="8"/>
  <c r="W962" i="8"/>
  <c r="W963" i="8"/>
  <c r="W964" i="8"/>
  <c r="W965" i="8"/>
  <c r="W966" i="8"/>
  <c r="W967" i="8"/>
  <c r="W968" i="8"/>
  <c r="W969" i="8"/>
  <c r="W970" i="8"/>
  <c r="W971" i="8"/>
  <c r="W972" i="8"/>
  <c r="W973" i="8"/>
  <c r="W974" i="8"/>
  <c r="W975" i="8"/>
  <c r="W976" i="8"/>
  <c r="W977" i="8"/>
  <c r="W978" i="8"/>
  <c r="W979" i="8"/>
  <c r="W980" i="8"/>
  <c r="W981" i="8"/>
  <c r="W982" i="8"/>
  <c r="W983" i="8"/>
  <c r="W984" i="8"/>
  <c r="W985" i="8"/>
  <c r="W986" i="8"/>
  <c r="W987" i="8"/>
  <c r="W988" i="8"/>
  <c r="W989" i="8"/>
  <c r="W990" i="8"/>
  <c r="W991" i="8"/>
  <c r="W992" i="8"/>
  <c r="W993" i="8"/>
  <c r="W994" i="8"/>
  <c r="W995" i="8"/>
  <c r="W996" i="8"/>
  <c r="W997" i="8"/>
  <c r="W998" i="8"/>
  <c r="W999" i="8"/>
  <c r="W1000" i="8"/>
  <c r="W1001" i="8"/>
  <c r="W1002" i="8"/>
  <c r="W1003" i="8"/>
  <c r="W1004" i="8"/>
  <c r="W1005" i="8"/>
  <c r="W1006" i="8"/>
  <c r="W1007" i="8"/>
  <c r="W1008" i="8"/>
  <c r="W1009" i="8"/>
  <c r="W1010" i="8"/>
  <c r="W1011" i="8"/>
  <c r="W1012" i="8"/>
  <c r="W1013" i="8"/>
  <c r="W1014" i="8"/>
  <c r="W1015" i="8"/>
  <c r="W1016" i="8"/>
  <c r="W1017" i="8"/>
  <c r="W1018" i="8"/>
  <c r="W1019" i="8"/>
  <c r="W1020" i="8"/>
  <c r="W1021" i="8"/>
  <c r="W1022" i="8"/>
  <c r="W1023" i="8"/>
  <c r="W1024" i="8"/>
  <c r="W1025" i="8"/>
  <c r="W1026" i="8"/>
  <c r="W1027" i="8"/>
  <c r="W1028" i="8"/>
  <c r="W1029" i="8"/>
  <c r="W1033" i="8"/>
  <c r="W1034" i="8"/>
  <c r="W1035" i="8"/>
  <c r="W1036" i="8"/>
  <c r="W1037" i="8"/>
  <c r="W1038" i="8"/>
  <c r="W1039" i="8"/>
  <c r="W1040" i="8"/>
  <c r="W1041" i="8"/>
  <c r="A4451" i="24" l="1"/>
  <c r="A4452" i="24" s="1"/>
  <c r="A4453" i="24" s="1"/>
  <c r="A4454" i="24" s="1"/>
  <c r="A4455" i="24" s="1"/>
  <c r="A4456" i="24" s="1"/>
  <c r="A4439" i="24"/>
  <c r="B4437" i="24"/>
  <c r="M4437" i="24"/>
  <c r="P4437" i="24"/>
  <c r="Q4437" i="24"/>
  <c r="V4437" i="24"/>
  <c r="AA4437" i="24"/>
  <c r="B4438" i="24"/>
  <c r="M4438" i="24"/>
  <c r="P4438" i="24"/>
  <c r="Q4438" i="24"/>
  <c r="V4438" i="24"/>
  <c r="AA4438" i="24"/>
  <c r="B4445" i="24"/>
  <c r="M4445" i="24"/>
  <c r="P4445" i="24"/>
  <c r="Q4445" i="24"/>
  <c r="V4445" i="24"/>
  <c r="AA4445" i="24"/>
  <c r="A2" i="3" l="1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A216" i="3"/>
  <c r="A217" i="3"/>
  <c r="A218" i="3"/>
  <c r="A219" i="3"/>
  <c r="A220" i="3"/>
  <c r="A221" i="3"/>
  <c r="A222" i="3"/>
  <c r="A223" i="3"/>
  <c r="A224" i="3"/>
  <c r="A225" i="3"/>
  <c r="A226" i="3"/>
  <c r="A227" i="3"/>
  <c r="A228" i="3"/>
  <c r="A229" i="3"/>
  <c r="A230" i="3"/>
  <c r="A231" i="3"/>
  <c r="A232" i="3"/>
  <c r="A233" i="3"/>
  <c r="A234" i="3"/>
  <c r="A235" i="3"/>
  <c r="A236" i="3"/>
  <c r="A237" i="3"/>
  <c r="A238" i="3"/>
  <c r="A239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A255" i="3"/>
  <c r="A256" i="3"/>
  <c r="A257" i="3"/>
  <c r="A258" i="3"/>
  <c r="A259" i="3"/>
  <c r="A260" i="3"/>
  <c r="A261" i="3"/>
  <c r="A262" i="3"/>
  <c r="A263" i="3"/>
  <c r="A264" i="3"/>
  <c r="A265" i="3"/>
  <c r="A266" i="3"/>
  <c r="A267" i="3"/>
  <c r="A268" i="3"/>
  <c r="A269" i="3"/>
  <c r="A270" i="3"/>
  <c r="A271" i="3"/>
  <c r="A272" i="3"/>
  <c r="A273" i="3"/>
  <c r="A274" i="3"/>
  <c r="A275" i="3"/>
  <c r="A276" i="3"/>
  <c r="A277" i="3"/>
  <c r="A278" i="3"/>
  <c r="A279" i="3"/>
  <c r="A280" i="3"/>
  <c r="A281" i="3"/>
  <c r="A282" i="3"/>
  <c r="A283" i="3"/>
  <c r="A284" i="3"/>
  <c r="A285" i="3"/>
  <c r="A286" i="3"/>
  <c r="A287" i="3"/>
  <c r="A288" i="3"/>
  <c r="A289" i="3"/>
  <c r="A290" i="3"/>
  <c r="A291" i="3"/>
  <c r="A292" i="3"/>
  <c r="A293" i="3"/>
  <c r="A294" i="3"/>
  <c r="A295" i="3"/>
  <c r="A296" i="3"/>
  <c r="A297" i="3"/>
  <c r="A298" i="3"/>
  <c r="A299" i="3"/>
  <c r="A300" i="3"/>
  <c r="A301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A319" i="3"/>
  <c r="A320" i="3"/>
  <c r="A321" i="3"/>
  <c r="A322" i="3"/>
  <c r="A323" i="3"/>
  <c r="A324" i="3"/>
  <c r="A325" i="3"/>
  <c r="A326" i="3"/>
  <c r="A327" i="3"/>
  <c r="A328" i="3"/>
  <c r="A329" i="3"/>
  <c r="A330" i="3"/>
  <c r="A331" i="3"/>
  <c r="A332" i="3"/>
  <c r="A333" i="3"/>
  <c r="A334" i="3"/>
  <c r="A335" i="3"/>
  <c r="A336" i="3"/>
  <c r="A337" i="3"/>
  <c r="A338" i="3"/>
  <c r="A339" i="3"/>
  <c r="A340" i="3"/>
  <c r="A341" i="3"/>
  <c r="A342" i="3"/>
  <c r="A343" i="3"/>
  <c r="A344" i="3"/>
  <c r="A345" i="3"/>
  <c r="A346" i="3"/>
  <c r="A347" i="3"/>
  <c r="A348" i="3"/>
  <c r="A349" i="3"/>
  <c r="A350" i="3"/>
  <c r="A351" i="3"/>
  <c r="A352" i="3"/>
  <c r="A353" i="3"/>
  <c r="A354" i="3"/>
  <c r="A355" i="3"/>
  <c r="A356" i="3"/>
  <c r="A357" i="3"/>
  <c r="A358" i="3"/>
  <c r="A359" i="3"/>
  <c r="A360" i="3"/>
  <c r="A361" i="3"/>
  <c r="A362" i="3"/>
  <c r="A363" i="3"/>
  <c r="A364" i="3"/>
  <c r="A365" i="3"/>
  <c r="A366" i="3"/>
  <c r="A367" i="3"/>
  <c r="A368" i="3"/>
  <c r="A369" i="3"/>
  <c r="A370" i="3"/>
  <c r="A371" i="3"/>
  <c r="A372" i="3"/>
  <c r="A373" i="3"/>
  <c r="A374" i="3"/>
  <c r="A375" i="3"/>
  <c r="A376" i="3"/>
  <c r="A377" i="3"/>
  <c r="A378" i="3"/>
  <c r="A379" i="3"/>
  <c r="A380" i="3"/>
  <c r="A381" i="3"/>
  <c r="A382" i="3"/>
  <c r="A383" i="3"/>
  <c r="A384" i="3"/>
  <c r="A385" i="3"/>
  <c r="A386" i="3"/>
  <c r="A387" i="3"/>
  <c r="A388" i="3"/>
  <c r="A389" i="3"/>
  <c r="A390" i="3"/>
  <c r="A391" i="3"/>
  <c r="A392" i="3"/>
  <c r="A393" i="3"/>
  <c r="A394" i="3"/>
  <c r="A395" i="3"/>
  <c r="A396" i="3"/>
  <c r="A397" i="3"/>
  <c r="A398" i="3"/>
  <c r="A399" i="3"/>
  <c r="A400" i="3"/>
  <c r="A401" i="3"/>
  <c r="A402" i="3"/>
  <c r="A403" i="3"/>
  <c r="A404" i="3"/>
  <c r="A405" i="3"/>
  <c r="A406" i="3"/>
  <c r="A407" i="3"/>
  <c r="A408" i="3"/>
  <c r="A409" i="3"/>
  <c r="A410" i="3"/>
  <c r="A411" i="3"/>
  <c r="A412" i="3"/>
  <c r="A413" i="3"/>
  <c r="A414" i="3"/>
  <c r="A415" i="3"/>
  <c r="A416" i="3"/>
  <c r="A417" i="3"/>
  <c r="A418" i="3"/>
  <c r="A419" i="3"/>
  <c r="A420" i="3"/>
  <c r="A421" i="3"/>
  <c r="A422" i="3"/>
  <c r="A423" i="3"/>
  <c r="A424" i="3"/>
  <c r="A425" i="3"/>
  <c r="AA423" i="3"/>
  <c r="Q423" i="3"/>
  <c r="P423" i="3"/>
  <c r="M423" i="3"/>
  <c r="B423" i="3"/>
  <c r="AA424" i="3"/>
  <c r="Q424" i="3"/>
  <c r="P424" i="3"/>
  <c r="M424" i="3"/>
  <c r="B424" i="3"/>
  <c r="AA425" i="3"/>
  <c r="Q425" i="3"/>
  <c r="P425" i="3"/>
  <c r="M425" i="3"/>
  <c r="B425" i="3"/>
  <c r="AA428" i="3"/>
  <c r="Q428" i="3"/>
  <c r="P428" i="3"/>
  <c r="M428" i="3"/>
  <c r="B428" i="3"/>
  <c r="A1041" i="8" l="1"/>
  <c r="B1041" i="8"/>
  <c r="N1041" i="8"/>
  <c r="Q1041" i="8"/>
  <c r="R1041" i="8"/>
  <c r="AB1041" i="8"/>
  <c r="M1041" i="8" l="1"/>
  <c r="A1042" i="8"/>
  <c r="A1043" i="8" s="1"/>
  <c r="B4443" i="24"/>
  <c r="M4443" i="24"/>
  <c r="P4443" i="24"/>
  <c r="Q4443" i="24"/>
  <c r="V4443" i="24"/>
  <c r="AA4443" i="24"/>
  <c r="A4436" i="24"/>
  <c r="A4440" i="24"/>
  <c r="B4439" i="24"/>
  <c r="M4439" i="24"/>
  <c r="P4439" i="24"/>
  <c r="Q4439" i="24"/>
  <c r="V4439" i="24"/>
  <c r="AA4439" i="24"/>
  <c r="B4435" i="24"/>
  <c r="M4435" i="24"/>
  <c r="P4435" i="24"/>
  <c r="Q4435" i="24"/>
  <c r="V4435" i="24"/>
  <c r="AA4435" i="24"/>
  <c r="B4436" i="24"/>
  <c r="M4436" i="24"/>
  <c r="P4436" i="24"/>
  <c r="Q4436" i="24"/>
  <c r="V4436" i="24"/>
  <c r="AA4436" i="24"/>
  <c r="AB936" i="9"/>
  <c r="R936" i="9"/>
  <c r="Q936" i="9"/>
  <c r="N936" i="9"/>
  <c r="B936" i="9"/>
  <c r="A936" i="9"/>
  <c r="M936" i="9" s="1"/>
  <c r="AB935" i="9"/>
  <c r="R935" i="9"/>
  <c r="Q935" i="9"/>
  <c r="N935" i="9"/>
  <c r="B935" i="9"/>
  <c r="A935" i="9"/>
  <c r="M935" i="9" s="1"/>
  <c r="AB1035" i="8"/>
  <c r="AB1036" i="8"/>
  <c r="AB1037" i="8"/>
  <c r="AB1038" i="8"/>
  <c r="AB1039" i="8"/>
  <c r="AB1040" i="8"/>
  <c r="R1035" i="8"/>
  <c r="R1036" i="8"/>
  <c r="R1037" i="8"/>
  <c r="R1038" i="8"/>
  <c r="R1039" i="8"/>
  <c r="R1040" i="8"/>
  <c r="Q1035" i="8"/>
  <c r="Q1036" i="8"/>
  <c r="Q1037" i="8"/>
  <c r="Q1038" i="8"/>
  <c r="Q1039" i="8"/>
  <c r="Q1040" i="8"/>
  <c r="N1035" i="8"/>
  <c r="N1036" i="8"/>
  <c r="N1037" i="8"/>
  <c r="N1038" i="8"/>
  <c r="N1039" i="8"/>
  <c r="N1040" i="8"/>
  <c r="B1035" i="8"/>
  <c r="B1036" i="8"/>
  <c r="B1037" i="8"/>
  <c r="B1038" i="8"/>
  <c r="B1039" i="8"/>
  <c r="B1040" i="8"/>
  <c r="AB1034" i="8"/>
  <c r="R1034" i="8"/>
  <c r="Q1034" i="8"/>
  <c r="N1034" i="8"/>
  <c r="B1034" i="8"/>
  <c r="AB1033" i="8"/>
  <c r="R1033" i="8"/>
  <c r="Q1033" i="8"/>
  <c r="N1033" i="8"/>
  <c r="B1033" i="8"/>
  <c r="AA4442" i="24"/>
  <c r="V4442" i="24"/>
  <c r="Q4442" i="24"/>
  <c r="P4442" i="24"/>
  <c r="M4442" i="24"/>
  <c r="B4442" i="24"/>
  <c r="A4442" i="24"/>
  <c r="A4443" i="24" s="1"/>
  <c r="AA4434" i="24"/>
  <c r="V4434" i="24"/>
  <c r="Q4434" i="24"/>
  <c r="P4434" i="24"/>
  <c r="M4434" i="24"/>
  <c r="B4434" i="24"/>
  <c r="AA4441" i="24"/>
  <c r="V4441" i="24"/>
  <c r="Q4441" i="24"/>
  <c r="P4441" i="24"/>
  <c r="M4441" i="24"/>
  <c r="B4441" i="24"/>
  <c r="A4441" i="24"/>
  <c r="AA4440" i="24"/>
  <c r="V4440" i="24"/>
  <c r="Q4440" i="24"/>
  <c r="P4440" i="24"/>
  <c r="M4440" i="24"/>
  <c r="B4440" i="24"/>
  <c r="A4432" i="24"/>
  <c r="AA4425" i="24"/>
  <c r="V4425" i="24"/>
  <c r="Q4425" i="24"/>
  <c r="P4425" i="24"/>
  <c r="M4425" i="24"/>
  <c r="B4425" i="24"/>
  <c r="AA4426" i="24"/>
  <c r="V4426" i="24"/>
  <c r="Q4426" i="24"/>
  <c r="P4426" i="24"/>
  <c r="M4426" i="24"/>
  <c r="B4426" i="24"/>
  <c r="AA4427" i="24"/>
  <c r="V4427" i="24"/>
  <c r="Q4427" i="24"/>
  <c r="P4427" i="24"/>
  <c r="M4427" i="24"/>
  <c r="B4427" i="24"/>
  <c r="AA4428" i="24"/>
  <c r="V4428" i="24"/>
  <c r="Q4428" i="24"/>
  <c r="P4428" i="24"/>
  <c r="M4428" i="24"/>
  <c r="B4428" i="24"/>
  <c r="AA4429" i="24"/>
  <c r="V4429" i="24"/>
  <c r="Q4429" i="24"/>
  <c r="P4429" i="24"/>
  <c r="M4429" i="24"/>
  <c r="B4429" i="24"/>
  <c r="AA4430" i="24"/>
  <c r="V4430" i="24"/>
  <c r="Q4430" i="24"/>
  <c r="P4430" i="24"/>
  <c r="M4430" i="24"/>
  <c r="B4430" i="24"/>
  <c r="AA4431" i="24"/>
  <c r="V4431" i="24"/>
  <c r="Q4431" i="24"/>
  <c r="P4431" i="24"/>
  <c r="M4431" i="24"/>
  <c r="B4431" i="24"/>
  <c r="AB934" i="9"/>
  <c r="R934" i="9"/>
  <c r="Q934" i="9"/>
  <c r="N934" i="9"/>
  <c r="B934" i="9"/>
  <c r="A934" i="9"/>
  <c r="M934" i="9" s="1"/>
  <c r="AB933" i="9"/>
  <c r="R933" i="9"/>
  <c r="Q933" i="9"/>
  <c r="N933" i="9"/>
  <c r="B933" i="9"/>
  <c r="A933" i="9"/>
  <c r="M933" i="9" s="1"/>
  <c r="AB932" i="9"/>
  <c r="R932" i="9"/>
  <c r="Q932" i="9"/>
  <c r="N932" i="9"/>
  <c r="B932" i="9"/>
  <c r="A932" i="9"/>
  <c r="M932" i="9" s="1"/>
  <c r="M1042" i="8" l="1"/>
  <c r="M1043" i="8" s="1"/>
  <c r="M1033" i="8"/>
  <c r="M1034" i="8" s="1"/>
  <c r="M1035" i="8" s="1"/>
  <c r="M1036" i="8" s="1"/>
  <c r="M1037" i="8" s="1"/>
  <c r="M1038" i="8" s="1"/>
  <c r="M1039" i="8" s="1"/>
  <c r="M1040" i="8" s="1"/>
  <c r="A4444" i="24"/>
  <c r="A4437" i="24"/>
  <c r="A4438" i="24" s="1"/>
  <c r="A1034" i="8"/>
  <c r="A1035" i="8" l="1"/>
  <c r="A1036" i="8" s="1"/>
  <c r="A1037" i="8" s="1"/>
  <c r="A1038" i="8" s="1"/>
  <c r="A1039" i="8" s="1"/>
  <c r="A1040" i="8" s="1"/>
  <c r="AA4433" i="24"/>
  <c r="V4433" i="24"/>
  <c r="Q4433" i="24"/>
  <c r="P4433" i="24"/>
  <c r="M4433" i="24"/>
  <c r="B4433" i="24"/>
  <c r="AB931" i="9"/>
  <c r="R931" i="9"/>
  <c r="Q931" i="9"/>
  <c r="N931" i="9"/>
  <c r="B931" i="9"/>
  <c r="A931" i="9"/>
  <c r="M931" i="9" s="1"/>
  <c r="A4409" i="24" l="1"/>
  <c r="A4410" i="24"/>
  <c r="AA4408" i="24"/>
  <c r="V4408" i="24"/>
  <c r="Q4408" i="24"/>
  <c r="P4408" i="24"/>
  <c r="M4408" i="24"/>
  <c r="B4408" i="24"/>
  <c r="AA4409" i="24"/>
  <c r="V4409" i="24"/>
  <c r="Q4409" i="24"/>
  <c r="P4409" i="24"/>
  <c r="M4409" i="24"/>
  <c r="B4409" i="24"/>
  <c r="AA4432" i="24"/>
  <c r="V4432" i="24"/>
  <c r="Q4432" i="24"/>
  <c r="P4432" i="24"/>
  <c r="M4432" i="24"/>
  <c r="B4432" i="24"/>
  <c r="B482" i="10"/>
  <c r="M482" i="10"/>
  <c r="P482" i="10"/>
  <c r="Q482" i="10"/>
  <c r="X482" i="10"/>
  <c r="AA482" i="10"/>
  <c r="B464" i="10"/>
  <c r="M464" i="10"/>
  <c r="P464" i="10"/>
  <c r="Q464" i="10"/>
  <c r="X464" i="10"/>
  <c r="AA464" i="10"/>
  <c r="B454" i="10"/>
  <c r="M454" i="10"/>
  <c r="P454" i="10"/>
  <c r="Q454" i="10"/>
  <c r="X454" i="10"/>
  <c r="AA454" i="10"/>
  <c r="B455" i="10"/>
  <c r="M455" i="10"/>
  <c r="P455" i="10"/>
  <c r="Q455" i="10"/>
  <c r="X455" i="10"/>
  <c r="AA455" i="10"/>
  <c r="AA4424" i="24"/>
  <c r="V4424" i="24"/>
  <c r="Q4424" i="24"/>
  <c r="P4424" i="24"/>
  <c r="M4424" i="24"/>
  <c r="B4424" i="24"/>
  <c r="AB930" i="9"/>
  <c r="R930" i="9"/>
  <c r="Q930" i="9"/>
  <c r="N930" i="9"/>
  <c r="B930" i="9"/>
  <c r="AB929" i="9"/>
  <c r="R929" i="9"/>
  <c r="Q929" i="9"/>
  <c r="N929" i="9"/>
  <c r="B929" i="9"/>
  <c r="AB928" i="9"/>
  <c r="R928" i="9"/>
  <c r="Q928" i="9"/>
  <c r="N928" i="9"/>
  <c r="B928" i="9"/>
  <c r="A928" i="9"/>
  <c r="M928" i="9" s="1"/>
  <c r="AB927" i="9"/>
  <c r="R927" i="9"/>
  <c r="Q927" i="9"/>
  <c r="N927" i="9"/>
  <c r="B927" i="9"/>
  <c r="A927" i="9"/>
  <c r="M927" i="9" s="1"/>
  <c r="AB926" i="9"/>
  <c r="R926" i="9"/>
  <c r="Q926" i="9"/>
  <c r="N926" i="9"/>
  <c r="B926" i="9"/>
  <c r="A926" i="9"/>
  <c r="M926" i="9" s="1"/>
  <c r="AB925" i="9"/>
  <c r="R925" i="9"/>
  <c r="Q925" i="9"/>
  <c r="N925" i="9"/>
  <c r="B925" i="9"/>
  <c r="A925" i="9"/>
  <c r="M925" i="9" s="1"/>
  <c r="B456" i="10"/>
  <c r="B457" i="10"/>
  <c r="B458" i="10"/>
  <c r="B459" i="10"/>
  <c r="B460" i="10"/>
  <c r="B461" i="10"/>
  <c r="B462" i="10"/>
  <c r="B463" i="10"/>
  <c r="B465" i="10"/>
  <c r="B466" i="10"/>
  <c r="B467" i="10"/>
  <c r="B468" i="10"/>
  <c r="B469" i="10"/>
  <c r="B470" i="10"/>
  <c r="B471" i="10"/>
  <c r="B472" i="10"/>
  <c r="B473" i="10"/>
  <c r="B474" i="10"/>
  <c r="B475" i="10"/>
  <c r="B476" i="10"/>
  <c r="B477" i="10"/>
  <c r="B478" i="10"/>
  <c r="B479" i="10"/>
  <c r="B480" i="10"/>
  <c r="M456" i="10"/>
  <c r="M457" i="10"/>
  <c r="M458" i="10"/>
  <c r="M459" i="10"/>
  <c r="M460" i="10"/>
  <c r="M461" i="10"/>
  <c r="M462" i="10"/>
  <c r="M463" i="10"/>
  <c r="M465" i="10"/>
  <c r="M466" i="10"/>
  <c r="M467" i="10"/>
  <c r="M468" i="10"/>
  <c r="M469" i="10"/>
  <c r="M470" i="10"/>
  <c r="M471" i="10"/>
  <c r="M472" i="10"/>
  <c r="M473" i="10"/>
  <c r="M474" i="10"/>
  <c r="M475" i="10"/>
  <c r="M476" i="10"/>
  <c r="M477" i="10"/>
  <c r="M478" i="10"/>
  <c r="M479" i="10"/>
  <c r="M480" i="10"/>
  <c r="P456" i="10"/>
  <c r="P457" i="10"/>
  <c r="P458" i="10"/>
  <c r="P459" i="10"/>
  <c r="P460" i="10"/>
  <c r="P461" i="10"/>
  <c r="P462" i="10"/>
  <c r="P463" i="10"/>
  <c r="P465" i="10"/>
  <c r="P466" i="10"/>
  <c r="P467" i="10"/>
  <c r="P468" i="10"/>
  <c r="P469" i="10"/>
  <c r="P470" i="10"/>
  <c r="P471" i="10"/>
  <c r="P472" i="10"/>
  <c r="P473" i="10"/>
  <c r="P474" i="10"/>
  <c r="P475" i="10"/>
  <c r="P476" i="10"/>
  <c r="P477" i="10"/>
  <c r="P478" i="10"/>
  <c r="P479" i="10"/>
  <c r="P480" i="10"/>
  <c r="Q456" i="10"/>
  <c r="Q457" i="10"/>
  <c r="Q458" i="10"/>
  <c r="Q459" i="10"/>
  <c r="Q460" i="10"/>
  <c r="Q461" i="10"/>
  <c r="Q462" i="10"/>
  <c r="Q463" i="10"/>
  <c r="Q465" i="10"/>
  <c r="Q466" i="10"/>
  <c r="Q467" i="10"/>
  <c r="Q468" i="10"/>
  <c r="Q469" i="10"/>
  <c r="Q470" i="10"/>
  <c r="Q471" i="10"/>
  <c r="Q472" i="10"/>
  <c r="Q473" i="10"/>
  <c r="Q474" i="10"/>
  <c r="Q475" i="10"/>
  <c r="Q476" i="10"/>
  <c r="Q477" i="10"/>
  <c r="Q478" i="10"/>
  <c r="Q479" i="10"/>
  <c r="Q480" i="10"/>
  <c r="X456" i="10"/>
  <c r="X457" i="10"/>
  <c r="X458" i="10"/>
  <c r="X459" i="10"/>
  <c r="X460" i="10"/>
  <c r="X461" i="10"/>
  <c r="X462" i="10"/>
  <c r="X463" i="10"/>
  <c r="X465" i="10"/>
  <c r="X466" i="10"/>
  <c r="X467" i="10"/>
  <c r="X468" i="10"/>
  <c r="X469" i="10"/>
  <c r="X470" i="10"/>
  <c r="X471" i="10"/>
  <c r="X472" i="10"/>
  <c r="X473" i="10"/>
  <c r="X474" i="10"/>
  <c r="X475" i="10"/>
  <c r="X476" i="10"/>
  <c r="X477" i="10"/>
  <c r="X478" i="10"/>
  <c r="X479" i="10"/>
  <c r="X480" i="10"/>
  <c r="AA456" i="10"/>
  <c r="AA457" i="10"/>
  <c r="AA458" i="10"/>
  <c r="AA459" i="10"/>
  <c r="AA460" i="10"/>
  <c r="AA461" i="10"/>
  <c r="AA462" i="10"/>
  <c r="AA463" i="10"/>
  <c r="AA465" i="10"/>
  <c r="AA466" i="10"/>
  <c r="AA467" i="10"/>
  <c r="AA468" i="10"/>
  <c r="AA469" i="10"/>
  <c r="AA470" i="10"/>
  <c r="AA471" i="10"/>
  <c r="AA472" i="10"/>
  <c r="AA473" i="10"/>
  <c r="AA474" i="10"/>
  <c r="AA475" i="10"/>
  <c r="AA476" i="10"/>
  <c r="AA477" i="10"/>
  <c r="AA478" i="10"/>
  <c r="AA479" i="10"/>
  <c r="AA480" i="10"/>
  <c r="A929" i="9" l="1"/>
  <c r="M929" i="9" l="1"/>
  <c r="A930" i="9"/>
  <c r="M930" i="9" s="1"/>
  <c r="AB1029" i="8" l="1"/>
  <c r="R1029" i="8"/>
  <c r="Q1029" i="8"/>
  <c r="N1029" i="8"/>
  <c r="B1029" i="8"/>
  <c r="A1029" i="8"/>
  <c r="AB1028" i="8"/>
  <c r="R1028" i="8"/>
  <c r="Q1028" i="8"/>
  <c r="N1028" i="8"/>
  <c r="B1028" i="8"/>
  <c r="A1028" i="8"/>
  <c r="M1028" i="8" s="1"/>
  <c r="AB1027" i="8"/>
  <c r="R1027" i="8"/>
  <c r="Q1027" i="8"/>
  <c r="N1027" i="8"/>
  <c r="B1027" i="8"/>
  <c r="A1027" i="8"/>
  <c r="M1027" i="8" s="1"/>
  <c r="B390" i="12"/>
  <c r="M390" i="12"/>
  <c r="P390" i="12"/>
  <c r="Q390" i="12"/>
  <c r="X390" i="12"/>
  <c r="AA390" i="12"/>
  <c r="B379" i="12"/>
  <c r="M379" i="12"/>
  <c r="P379" i="12"/>
  <c r="Q379" i="12"/>
  <c r="X379" i="12"/>
  <c r="AA379" i="12"/>
  <c r="B365" i="12"/>
  <c r="M365" i="12"/>
  <c r="P365" i="12"/>
  <c r="Q365" i="12"/>
  <c r="X365" i="12"/>
  <c r="AA365" i="12"/>
  <c r="B369" i="12"/>
  <c r="B370" i="12"/>
  <c r="B371" i="12"/>
  <c r="B372" i="12"/>
  <c r="B373" i="12"/>
  <c r="B374" i="12"/>
  <c r="B375" i="12"/>
  <c r="B376" i="12"/>
  <c r="B377" i="12"/>
  <c r="B378" i="12"/>
  <c r="B380" i="12"/>
  <c r="B381" i="12"/>
  <c r="B382" i="12"/>
  <c r="B383" i="12"/>
  <c r="B384" i="12"/>
  <c r="B385" i="12"/>
  <c r="B386" i="12"/>
  <c r="B387" i="12"/>
  <c r="B388" i="12"/>
  <c r="B389" i="12"/>
  <c r="B391" i="12"/>
  <c r="B392" i="12"/>
  <c r="B393" i="12"/>
  <c r="B394" i="12"/>
  <c r="B395" i="12"/>
  <c r="B396" i="12"/>
  <c r="B397" i="12"/>
  <c r="M369" i="12"/>
  <c r="M370" i="12"/>
  <c r="M371" i="12"/>
  <c r="M372" i="12"/>
  <c r="M373" i="12"/>
  <c r="M374" i="12"/>
  <c r="M375" i="12"/>
  <c r="M376" i="12"/>
  <c r="M377" i="12"/>
  <c r="M378" i="12"/>
  <c r="M380" i="12"/>
  <c r="M381" i="12"/>
  <c r="M382" i="12"/>
  <c r="M383" i="12"/>
  <c r="M384" i="12"/>
  <c r="M385" i="12"/>
  <c r="M386" i="12"/>
  <c r="M387" i="12"/>
  <c r="M388" i="12"/>
  <c r="M389" i="12"/>
  <c r="M391" i="12"/>
  <c r="M392" i="12"/>
  <c r="M393" i="12"/>
  <c r="M394" i="12"/>
  <c r="M395" i="12"/>
  <c r="M396" i="12"/>
  <c r="M397" i="12"/>
  <c r="P369" i="12"/>
  <c r="P370" i="12"/>
  <c r="P371" i="12"/>
  <c r="P372" i="12"/>
  <c r="P373" i="12"/>
  <c r="P374" i="12"/>
  <c r="P375" i="12"/>
  <c r="P376" i="12"/>
  <c r="P377" i="12"/>
  <c r="P378" i="12"/>
  <c r="P380" i="12"/>
  <c r="P381" i="12"/>
  <c r="P382" i="12"/>
  <c r="P383" i="12"/>
  <c r="P384" i="12"/>
  <c r="P385" i="12"/>
  <c r="P386" i="12"/>
  <c r="P387" i="12"/>
  <c r="P388" i="12"/>
  <c r="P389" i="12"/>
  <c r="P391" i="12"/>
  <c r="P392" i="12"/>
  <c r="P393" i="12"/>
  <c r="P394" i="12"/>
  <c r="P395" i="12"/>
  <c r="P396" i="12"/>
  <c r="P397" i="12"/>
  <c r="Q369" i="12"/>
  <c r="Q370" i="12"/>
  <c r="Q371" i="12"/>
  <c r="Q372" i="12"/>
  <c r="Q373" i="12"/>
  <c r="Q374" i="12"/>
  <c r="Q375" i="12"/>
  <c r="Q376" i="12"/>
  <c r="Q377" i="12"/>
  <c r="Q378" i="12"/>
  <c r="Q380" i="12"/>
  <c r="Q381" i="12"/>
  <c r="Q382" i="12"/>
  <c r="Q383" i="12"/>
  <c r="Q384" i="12"/>
  <c r="Q385" i="12"/>
  <c r="Q386" i="12"/>
  <c r="Q387" i="12"/>
  <c r="Q388" i="12"/>
  <c r="Q389" i="12"/>
  <c r="Q391" i="12"/>
  <c r="Q392" i="12"/>
  <c r="Q393" i="12"/>
  <c r="Q394" i="12"/>
  <c r="Q395" i="12"/>
  <c r="Q396" i="12"/>
  <c r="Q397" i="12"/>
  <c r="X369" i="12"/>
  <c r="X370" i="12"/>
  <c r="X371" i="12"/>
  <c r="X372" i="12"/>
  <c r="X373" i="12"/>
  <c r="X374" i="12"/>
  <c r="X375" i="12"/>
  <c r="X376" i="12"/>
  <c r="X377" i="12"/>
  <c r="X378" i="12"/>
  <c r="X380" i="12"/>
  <c r="X381" i="12"/>
  <c r="X382" i="12"/>
  <c r="X383" i="12"/>
  <c r="X384" i="12"/>
  <c r="X385" i="12"/>
  <c r="X386" i="12"/>
  <c r="X387" i="12"/>
  <c r="X388" i="12"/>
  <c r="X389" i="12"/>
  <c r="X391" i="12"/>
  <c r="X392" i="12"/>
  <c r="X393" i="12"/>
  <c r="X394" i="12"/>
  <c r="X395" i="12"/>
  <c r="X396" i="12"/>
  <c r="X397" i="12"/>
  <c r="AA369" i="12"/>
  <c r="AA370" i="12"/>
  <c r="AA371" i="12"/>
  <c r="AA372" i="12"/>
  <c r="AA373" i="12"/>
  <c r="AA374" i="12"/>
  <c r="AA375" i="12"/>
  <c r="AA376" i="12"/>
  <c r="AA377" i="12"/>
  <c r="AA378" i="12"/>
  <c r="AA380" i="12"/>
  <c r="AA381" i="12"/>
  <c r="AA382" i="12"/>
  <c r="AA383" i="12"/>
  <c r="AA384" i="12"/>
  <c r="AA385" i="12"/>
  <c r="AA386" i="12"/>
  <c r="AA387" i="12"/>
  <c r="AA388" i="12"/>
  <c r="AA389" i="12"/>
  <c r="AA391" i="12"/>
  <c r="AA392" i="12"/>
  <c r="AA393" i="12"/>
  <c r="AA394" i="12"/>
  <c r="AA395" i="12"/>
  <c r="AA396" i="12"/>
  <c r="AA397" i="12"/>
  <c r="A4413" i="24"/>
  <c r="AA4411" i="24"/>
  <c r="V4411" i="24"/>
  <c r="Q4411" i="24"/>
  <c r="P4411" i="24"/>
  <c r="M4411" i="24"/>
  <c r="B4411" i="24"/>
  <c r="AA4412" i="24"/>
  <c r="V4412" i="24"/>
  <c r="Q4412" i="24"/>
  <c r="P4412" i="24"/>
  <c r="M4412" i="24"/>
  <c r="B4412" i="24"/>
  <c r="A1030" i="8" l="1"/>
  <c r="A1031" i="8" s="1"/>
  <c r="A1032" i="8" s="1"/>
  <c r="M1029" i="8"/>
  <c r="M1030" i="8" s="1"/>
  <c r="M1031" i="8" s="1"/>
  <c r="M1032" i="8" s="1"/>
  <c r="AA4423" i="24"/>
  <c r="V4423" i="24"/>
  <c r="Q4423" i="24"/>
  <c r="P4423" i="24"/>
  <c r="M4423" i="24"/>
  <c r="B4423" i="24"/>
  <c r="A4423" i="24"/>
  <c r="A4424" i="24" s="1"/>
  <c r="A4425" i="24" s="1"/>
  <c r="A4426" i="24" s="1"/>
  <c r="A4427" i="24" s="1"/>
  <c r="A4428" i="24" s="1"/>
  <c r="A4429" i="24" s="1"/>
  <c r="A4430" i="24" s="1"/>
  <c r="A4431" i="24" s="1"/>
  <c r="AA4422" i="24"/>
  <c r="V4422" i="24"/>
  <c r="Q4422" i="24"/>
  <c r="P4422" i="24"/>
  <c r="M4422" i="24"/>
  <c r="B4422" i="24"/>
  <c r="A4422" i="24"/>
  <c r="B368" i="12"/>
  <c r="M368" i="12"/>
  <c r="P368" i="12"/>
  <c r="Q368" i="12"/>
  <c r="X368" i="12"/>
  <c r="AA368" i="12"/>
  <c r="B367" i="12"/>
  <c r="M367" i="12"/>
  <c r="P367" i="12"/>
  <c r="Q367" i="12"/>
  <c r="X367" i="12"/>
  <c r="AA367" i="12"/>
  <c r="B4421" i="24"/>
  <c r="M4421" i="24"/>
  <c r="P4421" i="24"/>
  <c r="Q4421" i="24"/>
  <c r="V4421" i="24"/>
  <c r="AA4421" i="24"/>
  <c r="B4420" i="24"/>
  <c r="M4420" i="24"/>
  <c r="P4420" i="24"/>
  <c r="Q4420" i="24"/>
  <c r="V4420" i="24"/>
  <c r="AA4420" i="24"/>
  <c r="A4419" i="24"/>
  <c r="A4420" i="24" s="1"/>
  <c r="A4421" i="24" s="1"/>
  <c r="B186" i="5"/>
  <c r="M186" i="5"/>
  <c r="AA186" i="5"/>
  <c r="B4418" i="24"/>
  <c r="M4418" i="24"/>
  <c r="P4418" i="24"/>
  <c r="Q4418" i="24"/>
  <c r="V4418" i="24"/>
  <c r="AA4418" i="24"/>
  <c r="B4417" i="24"/>
  <c r="M4417" i="24"/>
  <c r="P4417" i="24"/>
  <c r="Q4417" i="24"/>
  <c r="V4417" i="24"/>
  <c r="AA4417" i="24"/>
  <c r="B4410" i="24"/>
  <c r="M4410" i="24"/>
  <c r="P4410" i="24"/>
  <c r="Q4410" i="24"/>
  <c r="V4410" i="24"/>
  <c r="AA4410" i="24"/>
  <c r="A4416" i="24"/>
  <c r="A4417" i="24" s="1"/>
  <c r="A4418" i="24" s="1"/>
  <c r="B4415" i="24"/>
  <c r="M4415" i="24"/>
  <c r="P4415" i="24"/>
  <c r="Q4415" i="24"/>
  <c r="V4415" i="24"/>
  <c r="AA4415" i="24"/>
  <c r="B4416" i="24"/>
  <c r="M4416" i="24"/>
  <c r="P4416" i="24"/>
  <c r="Q4416" i="24"/>
  <c r="V4416" i="24"/>
  <c r="AA4416" i="24"/>
  <c r="A4433" i="24" l="1"/>
  <c r="A1026" i="8"/>
  <c r="M1026" i="8" s="1"/>
  <c r="B1026" i="8"/>
  <c r="N1026" i="8"/>
  <c r="Q1026" i="8"/>
  <c r="R1026" i="8"/>
  <c r="AB1026" i="8"/>
  <c r="A4434" i="24" l="1"/>
  <c r="A4383" i="24"/>
  <c r="B4379" i="24"/>
  <c r="M4379" i="24"/>
  <c r="P4379" i="24"/>
  <c r="Q4379" i="24"/>
  <c r="V4379" i="24"/>
  <c r="AA4379" i="24"/>
  <c r="B4380" i="24"/>
  <c r="M4380" i="24"/>
  <c r="P4380" i="24"/>
  <c r="Q4380" i="24"/>
  <c r="V4380" i="24"/>
  <c r="AA4380" i="24"/>
  <c r="B4381" i="24"/>
  <c r="M4381" i="24"/>
  <c r="P4381" i="24"/>
  <c r="Q4381" i="24"/>
  <c r="V4381" i="24"/>
  <c r="AA4381" i="24"/>
  <c r="B4382" i="24"/>
  <c r="M4382" i="24"/>
  <c r="P4382" i="24"/>
  <c r="Q4382" i="24"/>
  <c r="V4382" i="24"/>
  <c r="AA4382" i="24"/>
  <c r="A4435" i="24" l="1"/>
  <c r="B4419" i="24"/>
  <c r="M4419" i="24"/>
  <c r="P4419" i="24"/>
  <c r="Q4419" i="24"/>
  <c r="V4419" i="24"/>
  <c r="AA4419" i="24"/>
  <c r="B4414" i="24"/>
  <c r="M4414" i="24"/>
  <c r="P4414" i="24"/>
  <c r="Q4414" i="24"/>
  <c r="V4414" i="24"/>
  <c r="AA4414" i="24"/>
  <c r="B4413" i="24"/>
  <c r="M4413" i="24"/>
  <c r="P4413" i="24"/>
  <c r="Q4413" i="24"/>
  <c r="V4413" i="24"/>
  <c r="AA4413" i="24"/>
  <c r="A481" i="23" l="1"/>
  <c r="B481" i="23"/>
  <c r="M481" i="23"/>
  <c r="P481" i="23"/>
  <c r="Q481" i="23"/>
  <c r="AA481" i="23"/>
  <c r="A480" i="23"/>
  <c r="B480" i="23"/>
  <c r="M480" i="23"/>
  <c r="P480" i="23"/>
  <c r="Q480" i="23"/>
  <c r="AA480" i="23"/>
  <c r="A479" i="23"/>
  <c r="B479" i="23"/>
  <c r="M479" i="23"/>
  <c r="P479" i="23"/>
  <c r="Q479" i="23"/>
  <c r="AA479" i="23"/>
  <c r="A4407" i="24" l="1"/>
  <c r="B4402" i="24"/>
  <c r="M4402" i="24"/>
  <c r="P4402" i="24"/>
  <c r="Q4402" i="24"/>
  <c r="V4402" i="24"/>
  <c r="AA4402" i="24"/>
  <c r="B4403" i="24"/>
  <c r="M4403" i="24"/>
  <c r="P4403" i="24"/>
  <c r="Q4403" i="24"/>
  <c r="V4403" i="24"/>
  <c r="AA4403" i="24"/>
  <c r="B4404" i="24"/>
  <c r="M4404" i="24"/>
  <c r="P4404" i="24"/>
  <c r="Q4404" i="24"/>
  <c r="V4404" i="24"/>
  <c r="AA4404" i="24"/>
  <c r="B4405" i="24"/>
  <c r="M4405" i="24"/>
  <c r="P4405" i="24"/>
  <c r="Q4405" i="24"/>
  <c r="V4405" i="24"/>
  <c r="AA4405" i="24"/>
  <c r="B4406" i="24"/>
  <c r="M4406" i="24"/>
  <c r="P4406" i="24"/>
  <c r="Q4406" i="24"/>
  <c r="V4406" i="24"/>
  <c r="AA4406" i="24"/>
  <c r="A1015" i="8"/>
  <c r="M1015" i="8" s="1"/>
  <c r="B1014" i="8"/>
  <c r="N1014" i="8"/>
  <c r="Q1014" i="8"/>
  <c r="R1014" i="8"/>
  <c r="AB1014" i="8"/>
  <c r="A4408" i="24" l="1"/>
  <c r="A4414" i="24"/>
  <c r="A4415" i="24" s="1"/>
  <c r="A4401" i="24"/>
  <c r="A4402" i="24" s="1"/>
  <c r="A4403" i="24" s="1"/>
  <c r="A4404" i="24" s="1"/>
  <c r="A4405" i="24" s="1"/>
  <c r="A4406" i="24" s="1"/>
  <c r="B4407" i="24"/>
  <c r="M4407" i="24"/>
  <c r="P4407" i="24"/>
  <c r="Q4407" i="24"/>
  <c r="V4407" i="24"/>
  <c r="AA4407" i="24"/>
  <c r="B4401" i="24"/>
  <c r="M4401" i="24"/>
  <c r="P4401" i="24"/>
  <c r="Q4401" i="24"/>
  <c r="V4401" i="24"/>
  <c r="AA4401" i="24"/>
  <c r="A4400" i="24"/>
  <c r="B4399" i="24"/>
  <c r="M4399" i="24"/>
  <c r="P4399" i="24"/>
  <c r="Q4399" i="24"/>
  <c r="V4399" i="24"/>
  <c r="AA4399" i="24"/>
  <c r="B4400" i="24"/>
  <c r="M4400" i="24"/>
  <c r="P4400" i="24"/>
  <c r="Q4400" i="24"/>
  <c r="V4400" i="24"/>
  <c r="AA4400" i="24"/>
  <c r="B4396" i="24"/>
  <c r="M4396" i="24"/>
  <c r="P4396" i="24"/>
  <c r="Q4396" i="24"/>
  <c r="V4396" i="24"/>
  <c r="AA4396" i="24"/>
  <c r="A4411" i="24" l="1"/>
  <c r="A4412" i="24" s="1"/>
  <c r="AB924" i="9"/>
  <c r="R924" i="9"/>
  <c r="Q924" i="9"/>
  <c r="N924" i="9"/>
  <c r="B924" i="9"/>
  <c r="A923" i="9"/>
  <c r="M923" i="9" s="1"/>
  <c r="B923" i="9"/>
  <c r="N923" i="9"/>
  <c r="Q923" i="9"/>
  <c r="R923" i="9"/>
  <c r="AB923" i="9"/>
  <c r="A922" i="9"/>
  <c r="M922" i="9" s="1"/>
  <c r="B922" i="9"/>
  <c r="N922" i="9"/>
  <c r="Q922" i="9"/>
  <c r="R922" i="9"/>
  <c r="AB922" i="9"/>
  <c r="A4385" i="24"/>
  <c r="B4384" i="24"/>
  <c r="M4384" i="24"/>
  <c r="P4384" i="24"/>
  <c r="Q4384" i="24"/>
  <c r="V4384" i="24"/>
  <c r="AA4384" i="24"/>
  <c r="A924" i="9" l="1"/>
  <c r="M924" i="9" s="1"/>
  <c r="A4375" i="24"/>
  <c r="B4362" i="24"/>
  <c r="M4362" i="24"/>
  <c r="P4362" i="24"/>
  <c r="Q4362" i="24"/>
  <c r="V4362" i="24"/>
  <c r="AA4362" i="24"/>
  <c r="B4363" i="24"/>
  <c r="M4363" i="24"/>
  <c r="P4363" i="24"/>
  <c r="Q4363" i="24"/>
  <c r="V4363" i="24"/>
  <c r="AA4363" i="24"/>
  <c r="B4364" i="24"/>
  <c r="M4364" i="24"/>
  <c r="P4364" i="24"/>
  <c r="Q4364" i="24"/>
  <c r="V4364" i="24"/>
  <c r="AA4364" i="24"/>
  <c r="B4365" i="24"/>
  <c r="M4365" i="24"/>
  <c r="P4365" i="24"/>
  <c r="Q4365" i="24"/>
  <c r="V4365" i="24"/>
  <c r="AA4365" i="24"/>
  <c r="B4366" i="24"/>
  <c r="M4366" i="24"/>
  <c r="P4366" i="24"/>
  <c r="Q4366" i="24"/>
  <c r="V4366" i="24"/>
  <c r="AA4366" i="24"/>
  <c r="B4367" i="24"/>
  <c r="M4367" i="24"/>
  <c r="P4367" i="24"/>
  <c r="Q4367" i="24"/>
  <c r="V4367" i="24"/>
  <c r="AA4367" i="24"/>
  <c r="B4368" i="24"/>
  <c r="M4368" i="24"/>
  <c r="P4368" i="24"/>
  <c r="Q4368" i="24"/>
  <c r="V4368" i="24"/>
  <c r="AA4368" i="24"/>
  <c r="B4369" i="24"/>
  <c r="M4369" i="24"/>
  <c r="P4369" i="24"/>
  <c r="Q4369" i="24"/>
  <c r="V4369" i="24"/>
  <c r="AA4369" i="24"/>
  <c r="B4370" i="24"/>
  <c r="M4370" i="24"/>
  <c r="P4370" i="24"/>
  <c r="Q4370" i="24"/>
  <c r="V4370" i="24"/>
  <c r="AA4370" i="24"/>
  <c r="B4371" i="24"/>
  <c r="M4371" i="24"/>
  <c r="P4371" i="24"/>
  <c r="Q4371" i="24"/>
  <c r="V4371" i="24"/>
  <c r="AA4371" i="24"/>
  <c r="B4372" i="24"/>
  <c r="M4372" i="24"/>
  <c r="P4372" i="24"/>
  <c r="Q4372" i="24"/>
  <c r="V4372" i="24"/>
  <c r="AA4372" i="24"/>
  <c r="B4373" i="24"/>
  <c r="M4373" i="24"/>
  <c r="P4373" i="24"/>
  <c r="Q4373" i="24"/>
  <c r="V4373" i="24"/>
  <c r="AA4373" i="24"/>
  <c r="B4374" i="24"/>
  <c r="M4374" i="24"/>
  <c r="P4374" i="24"/>
  <c r="Q4374" i="24"/>
  <c r="V4374" i="24"/>
  <c r="AA4374" i="24"/>
  <c r="A4378" i="24"/>
  <c r="A4384" i="24"/>
  <c r="B4377" i="24"/>
  <c r="M4377" i="24"/>
  <c r="P4377" i="24"/>
  <c r="Q4377" i="24"/>
  <c r="V4377" i="24"/>
  <c r="AA4377" i="24"/>
  <c r="B4378" i="24"/>
  <c r="M4378" i="24"/>
  <c r="P4378" i="24"/>
  <c r="Q4378" i="24"/>
  <c r="V4378" i="24"/>
  <c r="AA4378" i="24"/>
  <c r="B4383" i="24"/>
  <c r="M4383" i="24"/>
  <c r="P4383" i="24"/>
  <c r="Q4383" i="24"/>
  <c r="V4383" i="24"/>
  <c r="AA4383" i="24"/>
  <c r="A4387" i="24"/>
  <c r="B4387" i="24"/>
  <c r="B4388" i="24"/>
  <c r="B4389" i="24"/>
  <c r="B4390" i="24"/>
  <c r="B4391" i="24"/>
  <c r="B4392" i="24"/>
  <c r="B4393" i="24"/>
  <c r="B4394" i="24"/>
  <c r="B4395" i="24"/>
  <c r="M4387" i="24"/>
  <c r="M4388" i="24"/>
  <c r="M4389" i="24"/>
  <c r="M4390" i="24"/>
  <c r="M4391" i="24"/>
  <c r="M4392" i="24"/>
  <c r="M4393" i="24"/>
  <c r="M4394" i="24"/>
  <c r="M4395" i="24"/>
  <c r="P4387" i="24"/>
  <c r="P4388" i="24"/>
  <c r="P4389" i="24"/>
  <c r="P4390" i="24"/>
  <c r="P4391" i="24"/>
  <c r="P4392" i="24"/>
  <c r="P4393" i="24"/>
  <c r="P4394" i="24"/>
  <c r="P4395" i="24"/>
  <c r="Q4387" i="24"/>
  <c r="Q4388" i="24"/>
  <c r="Q4389" i="24"/>
  <c r="Q4390" i="24"/>
  <c r="Q4391" i="24"/>
  <c r="Q4392" i="24"/>
  <c r="Q4393" i="24"/>
  <c r="Q4394" i="24"/>
  <c r="Q4395" i="24"/>
  <c r="V4387" i="24"/>
  <c r="V4388" i="24"/>
  <c r="V4389" i="24"/>
  <c r="V4390" i="24"/>
  <c r="V4391" i="24"/>
  <c r="V4392" i="24"/>
  <c r="V4393" i="24"/>
  <c r="V4394" i="24"/>
  <c r="V4395" i="24"/>
  <c r="AA4387" i="24"/>
  <c r="AA4388" i="24"/>
  <c r="AA4389" i="24"/>
  <c r="AA4390" i="24"/>
  <c r="AA4391" i="24"/>
  <c r="AA4392" i="24"/>
  <c r="AA4393" i="24"/>
  <c r="AA4394" i="24"/>
  <c r="AA4395" i="24"/>
  <c r="A4386" i="24"/>
  <c r="B4386" i="24"/>
  <c r="M4386" i="24"/>
  <c r="P4386" i="24"/>
  <c r="Q4386" i="24"/>
  <c r="V4386" i="24"/>
  <c r="AA4386" i="24"/>
  <c r="B4385" i="24"/>
  <c r="M4385" i="24"/>
  <c r="P4385" i="24"/>
  <c r="Q4385" i="24"/>
  <c r="V4385" i="24"/>
  <c r="AA4385" i="24"/>
  <c r="A4379" i="24" l="1"/>
  <c r="A4380" i="24" s="1"/>
  <c r="A4381" i="24" s="1"/>
  <c r="A4382" i="24" s="1"/>
  <c r="A4388" i="24"/>
  <c r="A4389" i="24" s="1"/>
  <c r="A4390" i="24" s="1"/>
  <c r="A4391" i="24" s="1"/>
  <c r="A4392" i="24" s="1"/>
  <c r="A4393" i="24" s="1"/>
  <c r="A4394" i="24" s="1"/>
  <c r="A4395" i="24" s="1"/>
  <c r="A4396" i="24" l="1"/>
  <c r="A4397" i="24" l="1"/>
  <c r="A4398" i="24" s="1"/>
  <c r="B422" i="3"/>
  <c r="M422" i="3"/>
  <c r="P422" i="3"/>
  <c r="Q422" i="3"/>
  <c r="AA422" i="3"/>
  <c r="B419" i="3"/>
  <c r="B420" i="3"/>
  <c r="B421" i="3"/>
  <c r="M419" i="3"/>
  <c r="M420" i="3"/>
  <c r="M421" i="3"/>
  <c r="P419" i="3"/>
  <c r="P420" i="3"/>
  <c r="P421" i="3"/>
  <c r="Q419" i="3"/>
  <c r="Q420" i="3"/>
  <c r="Q421" i="3"/>
  <c r="AA419" i="3"/>
  <c r="AA420" i="3"/>
  <c r="AA421" i="3"/>
  <c r="B418" i="3"/>
  <c r="M418" i="3"/>
  <c r="P418" i="3"/>
  <c r="Q418" i="3"/>
  <c r="AA418" i="3"/>
  <c r="B417" i="3"/>
  <c r="M417" i="3"/>
  <c r="P417" i="3"/>
  <c r="Q417" i="3"/>
  <c r="AA417" i="3"/>
  <c r="A921" i="9"/>
  <c r="M921" i="9" s="1"/>
  <c r="B921" i="9"/>
  <c r="N921" i="9"/>
  <c r="Q921" i="9"/>
  <c r="R921" i="9"/>
  <c r="AB921" i="9"/>
  <c r="A920" i="9"/>
  <c r="M920" i="9" s="1"/>
  <c r="B920" i="9"/>
  <c r="N920" i="9"/>
  <c r="Q920" i="9"/>
  <c r="R920" i="9"/>
  <c r="AB920" i="9"/>
  <c r="B1025" i="8"/>
  <c r="N1025" i="8"/>
  <c r="Q1025" i="8"/>
  <c r="R1025" i="8"/>
  <c r="AB1025" i="8"/>
  <c r="B1024" i="8"/>
  <c r="N1024" i="8"/>
  <c r="Q1024" i="8"/>
  <c r="R1024" i="8"/>
  <c r="AB1024" i="8"/>
  <c r="B1023" i="8"/>
  <c r="N1023" i="8"/>
  <c r="Q1023" i="8"/>
  <c r="R1023" i="8"/>
  <c r="AB1023" i="8"/>
  <c r="B1022" i="8"/>
  <c r="N1022" i="8"/>
  <c r="Q1022" i="8"/>
  <c r="R1022" i="8"/>
  <c r="AB1022" i="8"/>
  <c r="B1021" i="8"/>
  <c r="N1021" i="8"/>
  <c r="Q1021" i="8"/>
  <c r="R1021" i="8"/>
  <c r="AB1021" i="8"/>
  <c r="B1020" i="8"/>
  <c r="N1020" i="8"/>
  <c r="Q1020" i="8"/>
  <c r="R1020" i="8"/>
  <c r="AB1020" i="8"/>
  <c r="B1019" i="8"/>
  <c r="N1019" i="8"/>
  <c r="Q1019" i="8"/>
  <c r="R1019" i="8"/>
  <c r="AB1019" i="8"/>
  <c r="B1018" i="8"/>
  <c r="N1018" i="8"/>
  <c r="Q1018" i="8"/>
  <c r="R1018" i="8"/>
  <c r="AB1018" i="8"/>
  <c r="B1017" i="8"/>
  <c r="N1017" i="8"/>
  <c r="Q1017" i="8"/>
  <c r="R1017" i="8"/>
  <c r="AB1017" i="8"/>
  <c r="B1016" i="8"/>
  <c r="N1016" i="8"/>
  <c r="Q1016" i="8"/>
  <c r="R1016" i="8"/>
  <c r="AB1016" i="8"/>
  <c r="M1016" i="8"/>
  <c r="M1017" i="8" s="1"/>
  <c r="M1018" i="8" s="1"/>
  <c r="M1019" i="8" s="1"/>
  <c r="M1020" i="8" s="1"/>
  <c r="M1021" i="8" s="1"/>
  <c r="M1022" i="8" s="1"/>
  <c r="M1023" i="8" s="1"/>
  <c r="M1024" i="8" s="1"/>
  <c r="B1015" i="8"/>
  <c r="N1015" i="8"/>
  <c r="Q1015" i="8"/>
  <c r="R1015" i="8"/>
  <c r="AB1015" i="8"/>
  <c r="A1016" i="8" l="1"/>
  <c r="A1017" i="8" s="1"/>
  <c r="A1018" i="8" s="1"/>
  <c r="A1019" i="8" s="1"/>
  <c r="A1020" i="8" s="1"/>
  <c r="A1021" i="8" s="1"/>
  <c r="A1022" i="8" s="1"/>
  <c r="A1023" i="8" s="1"/>
  <c r="A1024" i="8" s="1"/>
  <c r="A1025" i="8" s="1"/>
  <c r="M1025" i="8" s="1"/>
  <c r="A4359" i="24" l="1"/>
  <c r="A478" i="23" l="1"/>
  <c r="B478" i="23"/>
  <c r="M478" i="23"/>
  <c r="P478" i="23"/>
  <c r="Q478" i="23"/>
  <c r="AA478" i="23"/>
  <c r="B4358" i="24"/>
  <c r="M4358" i="24"/>
  <c r="P4358" i="24"/>
  <c r="Q4358" i="24"/>
  <c r="V4358" i="24"/>
  <c r="AA4358" i="24"/>
  <c r="B4376" i="24"/>
  <c r="M4376" i="24"/>
  <c r="P4376" i="24"/>
  <c r="Q4376" i="24"/>
  <c r="V4376" i="24"/>
  <c r="AA4376" i="24"/>
  <c r="A919" i="9"/>
  <c r="M919" i="9" s="1"/>
  <c r="B919" i="9"/>
  <c r="N919" i="9"/>
  <c r="Q919" i="9"/>
  <c r="R919" i="9"/>
  <c r="AB919" i="9"/>
  <c r="A918" i="9"/>
  <c r="M918" i="9" s="1"/>
  <c r="B918" i="9"/>
  <c r="N918" i="9"/>
  <c r="Q918" i="9"/>
  <c r="R918" i="9"/>
  <c r="AB918" i="9"/>
  <c r="A917" i="9"/>
  <c r="M917" i="9" s="1"/>
  <c r="B917" i="9"/>
  <c r="N917" i="9"/>
  <c r="Q917" i="9"/>
  <c r="R917" i="9"/>
  <c r="AB917" i="9"/>
  <c r="B414" i="3"/>
  <c r="M414" i="3"/>
  <c r="P414" i="3"/>
  <c r="Q414" i="3"/>
  <c r="AA414" i="3"/>
  <c r="B4375" i="24"/>
  <c r="M4375" i="24"/>
  <c r="P4375" i="24"/>
  <c r="Q4375" i="24"/>
  <c r="V4375" i="24"/>
  <c r="AA4375" i="24"/>
  <c r="B4357" i="24"/>
  <c r="M4357" i="24"/>
  <c r="P4357" i="24"/>
  <c r="Q4357" i="24"/>
  <c r="V4357" i="24"/>
  <c r="AA4357" i="24"/>
  <c r="B916" i="9"/>
  <c r="N916" i="9"/>
  <c r="Q916" i="9"/>
  <c r="R916" i="9"/>
  <c r="AB916" i="9"/>
  <c r="B777" i="7" l="1"/>
  <c r="B778" i="7"/>
  <c r="B779" i="7"/>
  <c r="B780" i="7"/>
  <c r="B781" i="7"/>
  <c r="B782" i="7"/>
  <c r="B783" i="7"/>
  <c r="B784" i="7"/>
  <c r="B785" i="7"/>
  <c r="B786" i="7"/>
  <c r="B787" i="7"/>
  <c r="M777" i="7"/>
  <c r="M778" i="7"/>
  <c r="M779" i="7"/>
  <c r="M780" i="7"/>
  <c r="M781" i="7"/>
  <c r="M782" i="7"/>
  <c r="M783" i="7"/>
  <c r="M784" i="7"/>
  <c r="M785" i="7"/>
  <c r="M786" i="7"/>
  <c r="M787" i="7"/>
  <c r="P777" i="7"/>
  <c r="X777" i="7" s="1"/>
  <c r="P778" i="7"/>
  <c r="X778" i="7" s="1"/>
  <c r="P779" i="7"/>
  <c r="X779" i="7" s="1"/>
  <c r="P780" i="7"/>
  <c r="X780" i="7" s="1"/>
  <c r="P781" i="7"/>
  <c r="X781" i="7" s="1"/>
  <c r="P782" i="7"/>
  <c r="X782" i="7" s="1"/>
  <c r="P783" i="7"/>
  <c r="X783" i="7" s="1"/>
  <c r="P784" i="7"/>
  <c r="X784" i="7" s="1"/>
  <c r="P785" i="7"/>
  <c r="X785" i="7" s="1"/>
  <c r="P786" i="7"/>
  <c r="X786" i="7" s="1"/>
  <c r="P787" i="7"/>
  <c r="X787" i="7" s="1"/>
  <c r="Q777" i="7"/>
  <c r="Q778" i="7"/>
  <c r="Q779" i="7"/>
  <c r="Q780" i="7"/>
  <c r="Q781" i="7"/>
  <c r="Q782" i="7"/>
  <c r="Q783" i="7"/>
  <c r="Q784" i="7"/>
  <c r="Q785" i="7"/>
  <c r="Q786" i="7"/>
  <c r="Q787" i="7"/>
  <c r="A1013" i="8" l="1"/>
  <c r="B1013" i="8"/>
  <c r="N1013" i="8"/>
  <c r="Q1013" i="8"/>
  <c r="R1013" i="8"/>
  <c r="AB1013" i="8"/>
  <c r="B4361" i="24"/>
  <c r="M4361" i="24"/>
  <c r="P4361" i="24"/>
  <c r="Q4361" i="24"/>
  <c r="V4361" i="24"/>
  <c r="AA4361" i="24"/>
  <c r="M1013" i="8" l="1"/>
  <c r="A1014" i="8"/>
  <c r="M1014" i="8" l="1"/>
  <c r="B416" i="3"/>
  <c r="M416" i="3"/>
  <c r="P416" i="3"/>
  <c r="Q416" i="3"/>
  <c r="AA416" i="3"/>
  <c r="B415" i="3"/>
  <c r="M415" i="3"/>
  <c r="P415" i="3"/>
  <c r="Q415" i="3"/>
  <c r="AA415" i="3"/>
  <c r="A4360" i="24"/>
  <c r="A4361" i="24" s="1"/>
  <c r="B4360" i="24"/>
  <c r="M4360" i="24"/>
  <c r="P4360" i="24"/>
  <c r="Q4360" i="24"/>
  <c r="V4360" i="24"/>
  <c r="AA4360" i="24"/>
  <c r="B4359" i="24"/>
  <c r="M4359" i="24"/>
  <c r="P4359" i="24"/>
  <c r="Q4359" i="24"/>
  <c r="V4359" i="24"/>
  <c r="AA4359" i="24"/>
  <c r="A4352" i="24"/>
  <c r="B4349" i="24"/>
  <c r="M4349" i="24"/>
  <c r="P4349" i="24"/>
  <c r="Q4349" i="24"/>
  <c r="V4349" i="24"/>
  <c r="AA4349" i="24"/>
  <c r="B4350" i="24"/>
  <c r="M4350" i="24"/>
  <c r="P4350" i="24"/>
  <c r="Q4350" i="24"/>
  <c r="V4350" i="24"/>
  <c r="AA4350" i="24"/>
  <c r="B4351" i="24"/>
  <c r="M4351" i="24"/>
  <c r="P4351" i="24"/>
  <c r="Q4351" i="24"/>
  <c r="V4351" i="24"/>
  <c r="AA4351" i="24"/>
  <c r="A4356" i="24"/>
  <c r="A4357" i="24" s="1"/>
  <c r="A4358" i="24" s="1"/>
  <c r="B4356" i="24"/>
  <c r="M4356" i="24"/>
  <c r="P4356" i="24"/>
  <c r="Q4356" i="24"/>
  <c r="V4356" i="24"/>
  <c r="AA4356" i="24"/>
  <c r="A4355" i="24"/>
  <c r="B4355" i="24"/>
  <c r="M4355" i="24"/>
  <c r="P4355" i="24"/>
  <c r="Q4355" i="24"/>
  <c r="V4355" i="24"/>
  <c r="AA4355" i="24"/>
  <c r="A4354" i="24"/>
  <c r="B4354" i="24"/>
  <c r="M4354" i="24"/>
  <c r="P4354" i="24"/>
  <c r="Q4354" i="24"/>
  <c r="V4354" i="24"/>
  <c r="AA4354" i="24"/>
  <c r="A4310" i="24"/>
  <c r="B4308" i="24"/>
  <c r="M4308" i="24"/>
  <c r="P4308" i="24"/>
  <c r="Q4308" i="24"/>
  <c r="V4308" i="24"/>
  <c r="AA4308" i="24"/>
  <c r="B4309" i="24"/>
  <c r="M4309" i="24"/>
  <c r="P4309" i="24"/>
  <c r="Q4309" i="24"/>
  <c r="V4309" i="24"/>
  <c r="AA4309" i="24"/>
  <c r="M4339" i="24"/>
  <c r="A477" i="23"/>
  <c r="B477" i="23"/>
  <c r="M477" i="23"/>
  <c r="P477" i="23"/>
  <c r="Q477" i="23"/>
  <c r="AA477" i="23"/>
  <c r="A476" i="23"/>
  <c r="B476" i="23"/>
  <c r="M476" i="23"/>
  <c r="P476" i="23"/>
  <c r="Q476" i="23"/>
  <c r="AA476" i="23"/>
  <c r="A475" i="23"/>
  <c r="B475" i="23"/>
  <c r="M475" i="23"/>
  <c r="P475" i="23"/>
  <c r="Q475" i="23"/>
  <c r="AA475" i="23"/>
  <c r="A474" i="23"/>
  <c r="B474" i="23"/>
  <c r="M474" i="23"/>
  <c r="P474" i="23"/>
  <c r="Q474" i="23"/>
  <c r="AA474" i="23"/>
  <c r="A4362" i="24" l="1"/>
  <c r="A4363" i="24" s="1"/>
  <c r="A4364" i="24" s="1"/>
  <c r="A4365" i="24" s="1"/>
  <c r="A4366" i="24" s="1"/>
  <c r="A4367" i="24" s="1"/>
  <c r="A4368" i="24" s="1"/>
  <c r="A4369" i="24" s="1"/>
  <c r="A4370" i="24" s="1"/>
  <c r="A4371" i="24" s="1"/>
  <c r="A4372" i="24" s="1"/>
  <c r="A4373" i="24" s="1"/>
  <c r="A4374" i="24" s="1"/>
  <c r="A4376" i="24"/>
  <c r="A4377" i="24"/>
  <c r="A915" i="9"/>
  <c r="B915" i="9"/>
  <c r="N915" i="9"/>
  <c r="Q915" i="9"/>
  <c r="R915" i="9"/>
  <c r="AB915" i="9"/>
  <c r="A914" i="9"/>
  <c r="M914" i="9" s="1"/>
  <c r="B914" i="9"/>
  <c r="N914" i="9"/>
  <c r="Q914" i="9"/>
  <c r="R914" i="9"/>
  <c r="AB914" i="9"/>
  <c r="M915" i="9" l="1"/>
  <c r="A916" i="9"/>
  <c r="M916" i="9" s="1"/>
  <c r="A913" i="9"/>
  <c r="M913" i="9" s="1"/>
  <c r="B913" i="9"/>
  <c r="N913" i="9"/>
  <c r="Q913" i="9"/>
  <c r="R913" i="9"/>
  <c r="AB913" i="9"/>
  <c r="A4353" i="24"/>
  <c r="B4353" i="24"/>
  <c r="M4353" i="24"/>
  <c r="P4353" i="24"/>
  <c r="Q4353" i="24"/>
  <c r="V4353" i="24"/>
  <c r="AA4353" i="24"/>
  <c r="A1012" i="8"/>
  <c r="M1012" i="8" s="1"/>
  <c r="B1012" i="8"/>
  <c r="N1012" i="8"/>
  <c r="Q1012" i="8"/>
  <c r="R1012" i="8"/>
  <c r="AB1012" i="8"/>
  <c r="B912" i="9"/>
  <c r="N912" i="9"/>
  <c r="Q912" i="9"/>
  <c r="R912" i="9"/>
  <c r="AB912" i="9"/>
  <c r="A4344" i="24"/>
  <c r="B4343" i="24"/>
  <c r="M4343" i="24"/>
  <c r="P4343" i="24"/>
  <c r="Q4343" i="24"/>
  <c r="V4343" i="24"/>
  <c r="AA4343" i="24"/>
  <c r="B4352" i="24"/>
  <c r="M4352" i="24"/>
  <c r="P4352" i="24"/>
  <c r="Q4352" i="24"/>
  <c r="V4352" i="24"/>
  <c r="AA4352" i="24"/>
  <c r="B4342" i="24"/>
  <c r="M4342" i="24"/>
  <c r="P4342" i="24"/>
  <c r="Q4342" i="24"/>
  <c r="V4342" i="24"/>
  <c r="AA4342" i="24"/>
  <c r="B4348" i="24"/>
  <c r="M4348" i="24"/>
  <c r="P4348" i="24"/>
  <c r="Q4348" i="24"/>
  <c r="V4348" i="24"/>
  <c r="AA4348" i="24"/>
  <c r="AB911" i="9"/>
  <c r="R911" i="9"/>
  <c r="Q911" i="9"/>
  <c r="N911" i="9"/>
  <c r="B911" i="9"/>
  <c r="AB1011" i="8" l="1"/>
  <c r="R1011" i="8"/>
  <c r="Q1011" i="8"/>
  <c r="N1011" i="8"/>
  <c r="B1011" i="8"/>
  <c r="A1011" i="8"/>
  <c r="M1011" i="8" s="1"/>
  <c r="AB1010" i="8"/>
  <c r="R1010" i="8"/>
  <c r="Q1010" i="8"/>
  <c r="N1010" i="8"/>
  <c r="B1010" i="8"/>
  <c r="A1010" i="8"/>
  <c r="M1010" i="8" s="1"/>
  <c r="AB910" i="9"/>
  <c r="R910" i="9"/>
  <c r="Q910" i="9"/>
  <c r="N910" i="9"/>
  <c r="B910" i="9"/>
  <c r="A910" i="9"/>
  <c r="AB1009" i="8"/>
  <c r="R1009" i="8"/>
  <c r="Q1009" i="8"/>
  <c r="N1009" i="8"/>
  <c r="B1009" i="8"/>
  <c r="AB1008" i="8"/>
  <c r="R1008" i="8"/>
  <c r="Q1008" i="8"/>
  <c r="N1008" i="8"/>
  <c r="B1008" i="8"/>
  <c r="AB1007" i="8"/>
  <c r="R1007" i="8"/>
  <c r="Q1007" i="8"/>
  <c r="N1007" i="8"/>
  <c r="B1007" i="8"/>
  <c r="A1007" i="8"/>
  <c r="M1007" i="8" s="1"/>
  <c r="M1008" i="8" s="1"/>
  <c r="M1009" i="8" s="1"/>
  <c r="AB909" i="9"/>
  <c r="R909" i="9"/>
  <c r="Q909" i="9"/>
  <c r="N909" i="9"/>
  <c r="B909" i="9"/>
  <c r="A909" i="9"/>
  <c r="M909" i="9" s="1"/>
  <c r="N905" i="9"/>
  <c r="N906" i="9"/>
  <c r="N907" i="9"/>
  <c r="N908" i="9"/>
  <c r="AA4347" i="24"/>
  <c r="V4347" i="24"/>
  <c r="Q4347" i="24"/>
  <c r="P4347" i="24"/>
  <c r="M4347" i="24"/>
  <c r="B4347" i="24"/>
  <c r="A4347" i="24"/>
  <c r="A4348" i="24" s="1"/>
  <c r="A4349" i="24" l="1"/>
  <c r="A4350" i="24" s="1"/>
  <c r="A4351" i="24" s="1"/>
  <c r="M910" i="9"/>
  <c r="A911" i="9"/>
  <c r="A1008" i="8"/>
  <c r="A1009" i="8" s="1"/>
  <c r="M911" i="9" l="1"/>
  <c r="A912" i="9"/>
  <c r="M912" i="9" s="1"/>
  <c r="A999" i="8"/>
  <c r="M999" i="8" s="1"/>
  <c r="AB998" i="8"/>
  <c r="R998" i="8"/>
  <c r="Q998" i="8"/>
  <c r="N998" i="8"/>
  <c r="B998" i="8"/>
  <c r="AB996" i="8"/>
  <c r="R996" i="8"/>
  <c r="Q996" i="8"/>
  <c r="N996" i="8"/>
  <c r="B996" i="8"/>
  <c r="AB997" i="8"/>
  <c r="R997" i="8"/>
  <c r="Q997" i="8"/>
  <c r="N997" i="8"/>
  <c r="B997" i="8"/>
  <c r="AB1006" i="8" l="1"/>
  <c r="R1006" i="8"/>
  <c r="Q1006" i="8"/>
  <c r="N1006" i="8"/>
  <c r="B1006" i="8"/>
  <c r="AB1005" i="8"/>
  <c r="R1005" i="8"/>
  <c r="Q1005" i="8"/>
  <c r="N1005" i="8"/>
  <c r="B1005" i="8"/>
  <c r="AB1004" i="8"/>
  <c r="R1004" i="8"/>
  <c r="Q1004" i="8"/>
  <c r="N1004" i="8"/>
  <c r="B1004" i="8"/>
  <c r="A1004" i="8"/>
  <c r="M1004" i="8" s="1"/>
  <c r="M1005" i="8" s="1"/>
  <c r="M1006" i="8" s="1"/>
  <c r="A1005" i="8" l="1"/>
  <c r="A1006" i="8" s="1"/>
  <c r="AB908" i="9"/>
  <c r="R908" i="9"/>
  <c r="Q908" i="9"/>
  <c r="B908" i="9"/>
  <c r="A908" i="9"/>
  <c r="M908" i="9" s="1"/>
  <c r="AB1003" i="8"/>
  <c r="R1003" i="8"/>
  <c r="Q1003" i="8"/>
  <c r="N1003" i="8"/>
  <c r="B1003" i="8"/>
  <c r="AB1002" i="8"/>
  <c r="R1002" i="8"/>
  <c r="Q1002" i="8"/>
  <c r="N1002" i="8"/>
  <c r="B1002" i="8"/>
  <c r="AB1001" i="8"/>
  <c r="R1001" i="8"/>
  <c r="Q1001" i="8"/>
  <c r="N1001" i="8"/>
  <c r="B1001" i="8"/>
  <c r="AB1000" i="8"/>
  <c r="R1000" i="8"/>
  <c r="Q1000" i="8"/>
  <c r="N1000" i="8"/>
  <c r="B1000" i="8"/>
  <c r="A1000" i="8"/>
  <c r="M1000" i="8" s="1"/>
  <c r="M1001" i="8" s="1"/>
  <c r="M1002" i="8" s="1"/>
  <c r="M1003" i="8" s="1"/>
  <c r="AB907" i="9"/>
  <c r="R907" i="9"/>
  <c r="Q907" i="9"/>
  <c r="B907" i="9"/>
  <c r="AB906" i="9"/>
  <c r="R906" i="9"/>
  <c r="Q906" i="9"/>
  <c r="B906" i="9"/>
  <c r="A1001" i="8" l="1"/>
  <c r="A1002" i="8" s="1"/>
  <c r="A1003" i="8" s="1"/>
  <c r="M4346" i="24" l="1"/>
  <c r="M4345" i="24"/>
  <c r="M4344" i="24"/>
  <c r="B4344" i="24"/>
  <c r="B4345" i="24"/>
  <c r="B4346" i="24"/>
  <c r="P4344" i="24"/>
  <c r="P4345" i="24"/>
  <c r="P4346" i="24"/>
  <c r="Q4344" i="24"/>
  <c r="Q4345" i="24"/>
  <c r="Q4346" i="24"/>
  <c r="V4344" i="24"/>
  <c r="V4345" i="24"/>
  <c r="V4346" i="24"/>
  <c r="AA4344" i="24"/>
  <c r="AA4345" i="24"/>
  <c r="AA4346" i="24"/>
  <c r="A4338" i="24" l="1"/>
  <c r="A4339" i="24"/>
  <c r="B4341" i="24"/>
  <c r="M4341" i="24"/>
  <c r="P4341" i="24"/>
  <c r="Q4341" i="24"/>
  <c r="V4341" i="24"/>
  <c r="AA4341" i="24"/>
  <c r="B4337" i="24"/>
  <c r="M4337" i="24"/>
  <c r="P4337" i="24"/>
  <c r="Q4337" i="24"/>
  <c r="V4337" i="24"/>
  <c r="AA4337" i="24"/>
  <c r="B4338" i="24"/>
  <c r="M4338" i="24"/>
  <c r="P4338" i="24"/>
  <c r="Q4338" i="24"/>
  <c r="V4338" i="24"/>
  <c r="AA4338" i="24"/>
  <c r="AB905" i="9" l="1"/>
  <c r="R905" i="9"/>
  <c r="Q905" i="9"/>
  <c r="B905" i="9"/>
  <c r="A905" i="9"/>
  <c r="M905" i="9" l="1"/>
  <c r="A906" i="9"/>
  <c r="AA4336" i="24"/>
  <c r="V4336" i="24"/>
  <c r="Q4336" i="24"/>
  <c r="P4336" i="24"/>
  <c r="M4336" i="24"/>
  <c r="B4336" i="24"/>
  <c r="M906" i="9" l="1"/>
  <c r="A907" i="9"/>
  <c r="M907" i="9" s="1"/>
  <c r="AA473" i="23"/>
  <c r="Q473" i="23"/>
  <c r="P473" i="23"/>
  <c r="M473" i="23"/>
  <c r="B473" i="23"/>
  <c r="A473" i="23"/>
  <c r="AA4335" i="24"/>
  <c r="V4335" i="24"/>
  <c r="Q4335" i="24"/>
  <c r="P4335" i="24"/>
  <c r="M4335" i="24"/>
  <c r="B4335" i="24"/>
  <c r="B4340" i="24" l="1"/>
  <c r="M4340" i="24"/>
  <c r="P4340" i="24"/>
  <c r="Q4340" i="24"/>
  <c r="V4340" i="24"/>
  <c r="AA4340" i="24"/>
  <c r="B4339" i="24" l="1"/>
  <c r="P4339" i="24"/>
  <c r="Q4339" i="24"/>
  <c r="V4339" i="24"/>
  <c r="AA4339" i="24"/>
  <c r="A976" i="8"/>
  <c r="M976" i="8" s="1"/>
  <c r="B975" i="8"/>
  <c r="N975" i="8"/>
  <c r="Q975" i="8"/>
  <c r="R975" i="8"/>
  <c r="AB975" i="8"/>
  <c r="B969" i="8"/>
  <c r="N969" i="8"/>
  <c r="Q969" i="8"/>
  <c r="R969" i="8"/>
  <c r="AB969" i="8"/>
  <c r="B970" i="8"/>
  <c r="N970" i="8"/>
  <c r="Q970" i="8"/>
  <c r="R970" i="8"/>
  <c r="AB970" i="8"/>
  <c r="B971" i="8"/>
  <c r="N971" i="8"/>
  <c r="Q971" i="8"/>
  <c r="R971" i="8"/>
  <c r="AB971" i="8"/>
  <c r="B972" i="8"/>
  <c r="N972" i="8"/>
  <c r="Q972" i="8"/>
  <c r="R972" i="8"/>
  <c r="AB972" i="8"/>
  <c r="B973" i="8"/>
  <c r="N973" i="8"/>
  <c r="Q973" i="8"/>
  <c r="R973" i="8"/>
  <c r="AB973" i="8"/>
  <c r="B974" i="8"/>
  <c r="N974" i="8"/>
  <c r="Q974" i="8"/>
  <c r="R974" i="8"/>
  <c r="AB974" i="8"/>
  <c r="B999" i="8" l="1"/>
  <c r="N999" i="8"/>
  <c r="Q999" i="8"/>
  <c r="R999" i="8"/>
  <c r="AB999" i="8"/>
  <c r="B4334" i="24" l="1"/>
  <c r="M4334" i="24"/>
  <c r="P4334" i="24"/>
  <c r="Q4334" i="24"/>
  <c r="V4334" i="24"/>
  <c r="AA4334" i="24"/>
  <c r="B4333" i="24"/>
  <c r="M4333" i="24"/>
  <c r="P4333" i="24"/>
  <c r="Q4333" i="24"/>
  <c r="V4333" i="24"/>
  <c r="AA4333" i="24"/>
  <c r="A4332" i="24"/>
  <c r="A4333" i="24" s="1"/>
  <c r="A4334" i="24" s="1"/>
  <c r="B4332" i="24"/>
  <c r="M4332" i="24"/>
  <c r="P4332" i="24"/>
  <c r="Q4332" i="24"/>
  <c r="V4332" i="24"/>
  <c r="AA4332" i="24"/>
  <c r="A4340" i="24" l="1"/>
  <c r="A4341" i="24" s="1"/>
  <c r="A4335" i="24"/>
  <c r="A4336" i="24" s="1"/>
  <c r="A472" i="23"/>
  <c r="B472" i="23"/>
  <c r="M472" i="23"/>
  <c r="P472" i="23"/>
  <c r="Q472" i="23"/>
  <c r="AA472" i="23"/>
  <c r="A995" i="8"/>
  <c r="B995" i="8"/>
  <c r="N995" i="8"/>
  <c r="Q995" i="8"/>
  <c r="R995" i="8"/>
  <c r="AB995" i="8"/>
  <c r="N899" i="9"/>
  <c r="A904" i="9"/>
  <c r="M904" i="9" s="1"/>
  <c r="B904" i="9"/>
  <c r="N904" i="9"/>
  <c r="Q904" i="9"/>
  <c r="R904" i="9"/>
  <c r="AB904" i="9"/>
  <c r="A903" i="9"/>
  <c r="M903" i="9" s="1"/>
  <c r="B903" i="9"/>
  <c r="N903" i="9"/>
  <c r="Q903" i="9"/>
  <c r="R903" i="9"/>
  <c r="AB903" i="9"/>
  <c r="A4345" i="24" l="1"/>
  <c r="A4346" i="24" s="1"/>
  <c r="A4342" i="24"/>
  <c r="A4343" i="24" s="1"/>
  <c r="M995" i="8"/>
  <c r="A996" i="8"/>
  <c r="A997" i="8" s="1"/>
  <c r="A998" i="8" s="1"/>
  <c r="A4337" i="24"/>
  <c r="A471" i="23"/>
  <c r="B471" i="23"/>
  <c r="M471" i="23"/>
  <c r="P471" i="23"/>
  <c r="Q471" i="23"/>
  <c r="AA471" i="23"/>
  <c r="A470" i="23"/>
  <c r="B470" i="23"/>
  <c r="M470" i="23"/>
  <c r="P470" i="23"/>
  <c r="Q470" i="23"/>
  <c r="AA470" i="23"/>
  <c r="A469" i="23"/>
  <c r="B469" i="23"/>
  <c r="M469" i="23"/>
  <c r="P469" i="23"/>
  <c r="Q469" i="23"/>
  <c r="AA469" i="23"/>
  <c r="A468" i="23"/>
  <c r="B468" i="23"/>
  <c r="M468" i="23"/>
  <c r="P468" i="23"/>
  <c r="Q468" i="23"/>
  <c r="AA468" i="23"/>
  <c r="M996" i="8" l="1"/>
  <c r="M997" i="8" s="1"/>
  <c r="M998" i="8" s="1"/>
  <c r="A994" i="8"/>
  <c r="M994" i="8" s="1"/>
  <c r="B994" i="8"/>
  <c r="N994" i="8"/>
  <c r="Q994" i="8"/>
  <c r="R994" i="8"/>
  <c r="AB994" i="8"/>
  <c r="A962" i="8"/>
  <c r="M962" i="8" s="1"/>
  <c r="B960" i="8"/>
  <c r="N960" i="8"/>
  <c r="Q960" i="8"/>
  <c r="R960" i="8"/>
  <c r="AB960" i="8"/>
  <c r="B961" i="8"/>
  <c r="N961" i="8"/>
  <c r="Q961" i="8"/>
  <c r="R961" i="8"/>
  <c r="AB961" i="8"/>
  <c r="B4331" i="24" l="1"/>
  <c r="M4331" i="24"/>
  <c r="P4331" i="24"/>
  <c r="Q4331" i="24"/>
  <c r="V4331" i="24"/>
  <c r="AA4331" i="24"/>
  <c r="A4307" i="24"/>
  <c r="M4330" i="24"/>
  <c r="A4330" i="24"/>
  <c r="A4331" i="24" s="1"/>
  <c r="B4330" i="24"/>
  <c r="P4330" i="24"/>
  <c r="Q4330" i="24"/>
  <c r="V4330" i="24"/>
  <c r="AA4330" i="24"/>
  <c r="B4306" i="24"/>
  <c r="M4306" i="24"/>
  <c r="P4306" i="24"/>
  <c r="Q4306" i="24"/>
  <c r="V4306" i="24"/>
  <c r="AA4306" i="24"/>
  <c r="B4329" i="24"/>
  <c r="M4329" i="24"/>
  <c r="P4329" i="24"/>
  <c r="Q4329" i="24"/>
  <c r="V4329" i="24"/>
  <c r="AA4329" i="24"/>
  <c r="A4328" i="24"/>
  <c r="A4329" i="24" s="1"/>
  <c r="AA4312" i="24"/>
  <c r="V4312" i="24"/>
  <c r="Q4312" i="24"/>
  <c r="P4312" i="24"/>
  <c r="M4312" i="24"/>
  <c r="B4312" i="24"/>
  <c r="AA4313" i="24"/>
  <c r="V4313" i="24"/>
  <c r="Q4313" i="24"/>
  <c r="P4313" i="24"/>
  <c r="M4313" i="24"/>
  <c r="B4313" i="24"/>
  <c r="AA4314" i="24"/>
  <c r="V4314" i="24"/>
  <c r="Q4314" i="24"/>
  <c r="P4314" i="24"/>
  <c r="M4314" i="24"/>
  <c r="B4314" i="24"/>
  <c r="AA4315" i="24"/>
  <c r="V4315" i="24"/>
  <c r="Q4315" i="24"/>
  <c r="P4315" i="24"/>
  <c r="M4315" i="24"/>
  <c r="B4315" i="24"/>
  <c r="AA4316" i="24"/>
  <c r="V4316" i="24"/>
  <c r="Q4316" i="24"/>
  <c r="P4316" i="24"/>
  <c r="M4316" i="24"/>
  <c r="B4316" i="24"/>
  <c r="AA4317" i="24"/>
  <c r="V4317" i="24"/>
  <c r="Q4317" i="24"/>
  <c r="P4317" i="24"/>
  <c r="M4317" i="24"/>
  <c r="B4317" i="24"/>
  <c r="AA4318" i="24"/>
  <c r="V4318" i="24"/>
  <c r="Q4318" i="24"/>
  <c r="P4318" i="24"/>
  <c r="M4318" i="24"/>
  <c r="B4318" i="24"/>
  <c r="AA4319" i="24"/>
  <c r="V4319" i="24"/>
  <c r="Q4319" i="24"/>
  <c r="P4319" i="24"/>
  <c r="M4319" i="24"/>
  <c r="B4319" i="24"/>
  <c r="AA4320" i="24"/>
  <c r="V4320" i="24"/>
  <c r="Q4320" i="24"/>
  <c r="P4320" i="24"/>
  <c r="M4320" i="24"/>
  <c r="B4320" i="24"/>
  <c r="AA4321" i="24"/>
  <c r="V4321" i="24"/>
  <c r="Q4321" i="24"/>
  <c r="P4321" i="24"/>
  <c r="M4321" i="24"/>
  <c r="B4321" i="24"/>
  <c r="AA4322" i="24"/>
  <c r="V4322" i="24"/>
  <c r="Q4322" i="24"/>
  <c r="P4322" i="24"/>
  <c r="M4322" i="24"/>
  <c r="B4322" i="24"/>
  <c r="AA4323" i="24"/>
  <c r="V4323" i="24"/>
  <c r="Q4323" i="24"/>
  <c r="P4323" i="24"/>
  <c r="M4323" i="24"/>
  <c r="B4323" i="24"/>
  <c r="AA4324" i="24"/>
  <c r="V4324" i="24"/>
  <c r="Q4324" i="24"/>
  <c r="P4324" i="24"/>
  <c r="M4324" i="24"/>
  <c r="B4324" i="24"/>
  <c r="AA4325" i="24"/>
  <c r="V4325" i="24"/>
  <c r="Q4325" i="24"/>
  <c r="P4325" i="24"/>
  <c r="M4325" i="24"/>
  <c r="B4325" i="24"/>
  <c r="AA4326" i="24"/>
  <c r="V4326" i="24"/>
  <c r="Q4326" i="24"/>
  <c r="P4326" i="24"/>
  <c r="M4326" i="24"/>
  <c r="B4326" i="24"/>
  <c r="AA4327" i="24"/>
  <c r="V4327" i="24"/>
  <c r="Q4327" i="24"/>
  <c r="P4327" i="24"/>
  <c r="M4327" i="24"/>
  <c r="B4327" i="24"/>
  <c r="AA4328" i="24"/>
  <c r="V4328" i="24"/>
  <c r="Q4328" i="24"/>
  <c r="P4328" i="24"/>
  <c r="M4328" i="24"/>
  <c r="B4328" i="24"/>
  <c r="A4308" i="24" l="1"/>
  <c r="A4309" i="24" s="1"/>
  <c r="AA4311" i="24"/>
  <c r="V4311" i="24"/>
  <c r="Q4311" i="24"/>
  <c r="P4311" i="24"/>
  <c r="M4311" i="24"/>
  <c r="B4311" i="24"/>
  <c r="AA4310" i="24"/>
  <c r="V4310" i="24"/>
  <c r="Q4310" i="24"/>
  <c r="P4310" i="24"/>
  <c r="M4310" i="24"/>
  <c r="B4310" i="24"/>
  <c r="A4311" i="24"/>
  <c r="A4312" i="24" l="1"/>
  <c r="A4313" i="24" s="1"/>
  <c r="A4314" i="24" s="1"/>
  <c r="A4315" i="24" s="1"/>
  <c r="A4316" i="24" s="1"/>
  <c r="A4317" i="24" s="1"/>
  <c r="A4318" i="24" s="1"/>
  <c r="A4319" i="24" s="1"/>
  <c r="A4320" i="24" s="1"/>
  <c r="A4321" i="24" s="1"/>
  <c r="A4322" i="24" s="1"/>
  <c r="A4323" i="24" s="1"/>
  <c r="A4324" i="24" s="1"/>
  <c r="A4325" i="24" s="1"/>
  <c r="A4326" i="24" s="1"/>
  <c r="A4327" i="24" s="1"/>
  <c r="A4277" i="24" l="1"/>
  <c r="AA4275" i="24"/>
  <c r="V4275" i="24"/>
  <c r="Q4275" i="24"/>
  <c r="P4275" i="24"/>
  <c r="M4275" i="24"/>
  <c r="B4275" i="24"/>
  <c r="AA4276" i="24"/>
  <c r="V4276" i="24"/>
  <c r="Q4276" i="24"/>
  <c r="P4276" i="24"/>
  <c r="M4276" i="24"/>
  <c r="B4276" i="24"/>
  <c r="A898" i="9"/>
  <c r="A897" i="9"/>
  <c r="M897" i="9" s="1"/>
  <c r="B897" i="9"/>
  <c r="N897" i="9"/>
  <c r="Q897" i="9"/>
  <c r="R897" i="9"/>
  <c r="AB897" i="9"/>
  <c r="A901" i="9"/>
  <c r="M901" i="9" s="1"/>
  <c r="A900" i="9"/>
  <c r="M900" i="9" s="1"/>
  <c r="B900" i="9"/>
  <c r="N900" i="9"/>
  <c r="Q900" i="9"/>
  <c r="R900" i="9"/>
  <c r="AB900" i="9"/>
  <c r="R885" i="9"/>
  <c r="Q885" i="9"/>
  <c r="A2" i="9"/>
  <c r="A3" i="9"/>
  <c r="M3" i="9" s="1"/>
  <c r="A4" i="9"/>
  <c r="M4" i="9" s="1"/>
  <c r="A5" i="9"/>
  <c r="M5" i="9" s="1"/>
  <c r="A6" i="9"/>
  <c r="M6" i="9" s="1"/>
  <c r="A7" i="9"/>
  <c r="M7" i="9" s="1"/>
  <c r="A8" i="9"/>
  <c r="M8" i="9" s="1"/>
  <c r="A9" i="9"/>
  <c r="M9" i="9" s="1"/>
  <c r="A10" i="9"/>
  <c r="M10" i="9" s="1"/>
  <c r="A11" i="9"/>
  <c r="M11" i="9" s="1"/>
  <c r="A12" i="9"/>
  <c r="M12" i="9" s="1"/>
  <c r="A13" i="9"/>
  <c r="M13" i="9" s="1"/>
  <c r="A14" i="9"/>
  <c r="M14" i="9" s="1"/>
  <c r="A15" i="9"/>
  <c r="M15" i="9" s="1"/>
  <c r="A16" i="9"/>
  <c r="M16" i="9" s="1"/>
  <c r="A17" i="9"/>
  <c r="M17" i="9" s="1"/>
  <c r="A18" i="9"/>
  <c r="M18" i="9" s="1"/>
  <c r="A19" i="9"/>
  <c r="M19" i="9" s="1"/>
  <c r="A20" i="9"/>
  <c r="M20" i="9" s="1"/>
  <c r="A21" i="9"/>
  <c r="M21" i="9" s="1"/>
  <c r="A22" i="9"/>
  <c r="M22" i="9" s="1"/>
  <c r="A23" i="9"/>
  <c r="M23" i="9" s="1"/>
  <c r="A24" i="9"/>
  <c r="M24" i="9" s="1"/>
  <c r="A25" i="9"/>
  <c r="M25" i="9" s="1"/>
  <c r="A26" i="9"/>
  <c r="M26" i="9" s="1"/>
  <c r="A27" i="9"/>
  <c r="M27" i="9" s="1"/>
  <c r="A28" i="9"/>
  <c r="M28" i="9" s="1"/>
  <c r="A29" i="9"/>
  <c r="M29" i="9" s="1"/>
  <c r="A30" i="9"/>
  <c r="M30" i="9" s="1"/>
  <c r="A31" i="9"/>
  <c r="M31" i="9" s="1"/>
  <c r="A32" i="9"/>
  <c r="M32" i="9" s="1"/>
  <c r="A33" i="9"/>
  <c r="M33" i="9" s="1"/>
  <c r="A34" i="9"/>
  <c r="M34" i="9" s="1"/>
  <c r="A35" i="9"/>
  <c r="M35" i="9" s="1"/>
  <c r="A36" i="9"/>
  <c r="M36" i="9" s="1"/>
  <c r="A37" i="9"/>
  <c r="M37" i="9" s="1"/>
  <c r="A38" i="9"/>
  <c r="M38" i="9" s="1"/>
  <c r="A39" i="9"/>
  <c r="M39" i="9" s="1"/>
  <c r="A40" i="9"/>
  <c r="M40" i="9" s="1"/>
  <c r="A41" i="9"/>
  <c r="M41" i="9" s="1"/>
  <c r="A42" i="9"/>
  <c r="M42" i="9" s="1"/>
  <c r="A43" i="9"/>
  <c r="M43" i="9" s="1"/>
  <c r="A44" i="9"/>
  <c r="M44" i="9" s="1"/>
  <c r="A45" i="9"/>
  <c r="M45" i="9" s="1"/>
  <c r="A46" i="9"/>
  <c r="A47" i="9"/>
  <c r="M47" i="9" s="1"/>
  <c r="A48" i="9"/>
  <c r="M48" i="9" s="1"/>
  <c r="A49" i="9"/>
  <c r="M49" i="9" s="1"/>
  <c r="A50" i="9"/>
  <c r="M50" i="9" s="1"/>
  <c r="A51" i="9"/>
  <c r="M51" i="9" s="1"/>
  <c r="A52" i="9"/>
  <c r="M52" i="9" s="1"/>
  <c r="A53" i="9"/>
  <c r="M53" i="9" s="1"/>
  <c r="A54" i="9"/>
  <c r="M54" i="9" s="1"/>
  <c r="A55" i="9"/>
  <c r="M55" i="9" s="1"/>
  <c r="A56" i="9"/>
  <c r="M56" i="9" s="1"/>
  <c r="A57" i="9"/>
  <c r="A58" i="9"/>
  <c r="M58" i="9" s="1"/>
  <c r="A59" i="9"/>
  <c r="M59" i="9" s="1"/>
  <c r="A60" i="9"/>
  <c r="M60" i="9" s="1"/>
  <c r="A61" i="9"/>
  <c r="M61" i="9" s="1"/>
  <c r="A62" i="9"/>
  <c r="M62" i="9" s="1"/>
  <c r="A63" i="9"/>
  <c r="M63" i="9" s="1"/>
  <c r="A64" i="9"/>
  <c r="M64" i="9" s="1"/>
  <c r="A65" i="9"/>
  <c r="M65" i="9" s="1"/>
  <c r="A66" i="9"/>
  <c r="M66" i="9" s="1"/>
  <c r="A67" i="9"/>
  <c r="M67" i="9" s="1"/>
  <c r="A68" i="9"/>
  <c r="A69" i="9" s="1"/>
  <c r="A70" i="9" s="1"/>
  <c r="A71" i="9" s="1"/>
  <c r="A72" i="9" s="1"/>
  <c r="A73" i="9" s="1"/>
  <c r="A74" i="9" s="1"/>
  <c r="A75" i="9" s="1"/>
  <c r="A76" i="9" s="1"/>
  <c r="A77" i="9" s="1"/>
  <c r="A78" i="9"/>
  <c r="M78" i="9" s="1"/>
  <c r="A79" i="9"/>
  <c r="M79" i="9" s="1"/>
  <c r="A80" i="9"/>
  <c r="M80" i="9" s="1"/>
  <c r="A81" i="9"/>
  <c r="M81" i="9" s="1"/>
  <c r="A82" i="9"/>
  <c r="M82" i="9" s="1"/>
  <c r="A83" i="9"/>
  <c r="M83" i="9" s="1"/>
  <c r="A84" i="9"/>
  <c r="M84" i="9" s="1"/>
  <c r="A85" i="9"/>
  <c r="M85" i="9" s="1"/>
  <c r="A86" i="9"/>
  <c r="M86" i="9" s="1"/>
  <c r="A87" i="9"/>
  <c r="M87" i="9" s="1"/>
  <c r="A88" i="9"/>
  <c r="M88" i="9" s="1"/>
  <c r="A89" i="9"/>
  <c r="M89" i="9" s="1"/>
  <c r="A90" i="9"/>
  <c r="M90" i="9" s="1"/>
  <c r="A91" i="9"/>
  <c r="M91" i="9" s="1"/>
  <c r="A92" i="9"/>
  <c r="M92" i="9" s="1"/>
  <c r="A93" i="9"/>
  <c r="M93" i="9" s="1"/>
  <c r="A94" i="9"/>
  <c r="M94" i="9" s="1"/>
  <c r="A95" i="9"/>
  <c r="M95" i="9" s="1"/>
  <c r="A96" i="9"/>
  <c r="M96" i="9" s="1"/>
  <c r="A97" i="9"/>
  <c r="M97" i="9" s="1"/>
  <c r="A98" i="9"/>
  <c r="M98" i="9" s="1"/>
  <c r="A99" i="9"/>
  <c r="M99" i="9" s="1"/>
  <c r="A100" i="9"/>
  <c r="M100" i="9" s="1"/>
  <c r="A101" i="9"/>
  <c r="M101" i="9" s="1"/>
  <c r="A102" i="9"/>
  <c r="M102" i="9" s="1"/>
  <c r="A103" i="9"/>
  <c r="M103" i="9" s="1"/>
  <c r="A104" i="9"/>
  <c r="M104" i="9" s="1"/>
  <c r="A105" i="9"/>
  <c r="M105" i="9" s="1"/>
  <c r="A106" i="9"/>
  <c r="M106" i="9" s="1"/>
  <c r="A107" i="9"/>
  <c r="M107" i="9" s="1"/>
  <c r="A108" i="9"/>
  <c r="M108" i="9" s="1"/>
  <c r="A109" i="9"/>
  <c r="M109" i="9" s="1"/>
  <c r="A110" i="9"/>
  <c r="M110" i="9" s="1"/>
  <c r="A111" i="9"/>
  <c r="M111" i="9" s="1"/>
  <c r="A112" i="9"/>
  <c r="M112" i="9" s="1"/>
  <c r="A113" i="9"/>
  <c r="M113" i="9" s="1"/>
  <c r="A114" i="9"/>
  <c r="M114" i="9" s="1"/>
  <c r="A115" i="9"/>
  <c r="A116" i="9"/>
  <c r="M116" i="9" s="1"/>
  <c r="A117" i="9"/>
  <c r="M117" i="9" s="1"/>
  <c r="A118" i="9"/>
  <c r="M118" i="9" s="1"/>
  <c r="A119" i="9"/>
  <c r="M119" i="9" s="1"/>
  <c r="A120" i="9"/>
  <c r="M120" i="9" s="1"/>
  <c r="A121" i="9"/>
  <c r="M121" i="9" s="1"/>
  <c r="A122" i="9"/>
  <c r="M122" i="9" s="1"/>
  <c r="A123" i="9"/>
  <c r="M123" i="9" s="1"/>
  <c r="A124" i="9"/>
  <c r="M124" i="9" s="1"/>
  <c r="A125" i="9"/>
  <c r="M125" i="9" s="1"/>
  <c r="A126" i="9"/>
  <c r="M126" i="9" s="1"/>
  <c r="A127" i="9"/>
  <c r="M127" i="9" s="1"/>
  <c r="A128" i="9"/>
  <c r="M128" i="9" s="1"/>
  <c r="A129" i="9"/>
  <c r="M129" i="9" s="1"/>
  <c r="A130" i="9"/>
  <c r="M130" i="9" s="1"/>
  <c r="A131" i="9"/>
  <c r="M131" i="9" s="1"/>
  <c r="A132" i="9"/>
  <c r="M132" i="9" s="1"/>
  <c r="A133" i="9"/>
  <c r="M133" i="9" s="1"/>
  <c r="A134" i="9"/>
  <c r="M134" i="9" s="1"/>
  <c r="A135" i="9"/>
  <c r="M135" i="9" s="1"/>
  <c r="A136" i="9"/>
  <c r="M136" i="9" s="1"/>
  <c r="A137" i="9"/>
  <c r="M137" i="9" s="1"/>
  <c r="A138" i="9"/>
  <c r="M138" i="9" s="1"/>
  <c r="A139" i="9"/>
  <c r="M139" i="9" s="1"/>
  <c r="A140" i="9"/>
  <c r="M140" i="9" s="1"/>
  <c r="A141" i="9"/>
  <c r="M141" i="9" s="1"/>
  <c r="A142" i="9"/>
  <c r="M142" i="9" s="1"/>
  <c r="A143" i="9"/>
  <c r="M143" i="9" s="1"/>
  <c r="A144" i="9"/>
  <c r="M144" i="9" s="1"/>
  <c r="A145" i="9"/>
  <c r="M145" i="9" s="1"/>
  <c r="A146" i="9"/>
  <c r="M146" i="9" s="1"/>
  <c r="A147" i="9"/>
  <c r="M147" i="9" s="1"/>
  <c r="A148" i="9"/>
  <c r="M148" i="9" s="1"/>
  <c r="A149" i="9"/>
  <c r="M149" i="9" s="1"/>
  <c r="A150" i="9"/>
  <c r="M150" i="9" s="1"/>
  <c r="A151" i="9"/>
  <c r="M151" i="9" s="1"/>
  <c r="A152" i="9"/>
  <c r="M152" i="9" s="1"/>
  <c r="A153" i="9"/>
  <c r="M153" i="9" s="1"/>
  <c r="A154" i="9"/>
  <c r="M154" i="9" s="1"/>
  <c r="A155" i="9"/>
  <c r="M155" i="9" s="1"/>
  <c r="A156" i="9"/>
  <c r="M156" i="9" s="1"/>
  <c r="A157" i="9"/>
  <c r="M157" i="9" s="1"/>
  <c r="A158" i="9"/>
  <c r="M158" i="9" s="1"/>
  <c r="A159" i="9"/>
  <c r="M159" i="9" s="1"/>
  <c r="A160" i="9"/>
  <c r="M160" i="9" s="1"/>
  <c r="A161" i="9"/>
  <c r="M161" i="9" s="1"/>
  <c r="A162" i="9"/>
  <c r="M162" i="9" s="1"/>
  <c r="A163" i="9"/>
  <c r="A164" i="9"/>
  <c r="M164" i="9" s="1"/>
  <c r="A165" i="9"/>
  <c r="M165" i="9" s="1"/>
  <c r="A166" i="9"/>
  <c r="M166" i="9" s="1"/>
  <c r="A167" i="9"/>
  <c r="M167" i="9" s="1"/>
  <c r="A168" i="9"/>
  <c r="M168" i="9" s="1"/>
  <c r="A169" i="9"/>
  <c r="M169" i="9" s="1"/>
  <c r="A170" i="9"/>
  <c r="M170" i="9" s="1"/>
  <c r="A171" i="9"/>
  <c r="M171" i="9" s="1"/>
  <c r="A172" i="9"/>
  <c r="M172" i="9" s="1"/>
  <c r="A173" i="9"/>
  <c r="M173" i="9" s="1"/>
  <c r="A174" i="9"/>
  <c r="M174" i="9" s="1"/>
  <c r="A175" i="9"/>
  <c r="A176" i="9"/>
  <c r="A177" i="9"/>
  <c r="M177" i="9" s="1"/>
  <c r="A178" i="9"/>
  <c r="M178" i="9" s="1"/>
  <c r="A179" i="9"/>
  <c r="M179" i="9" s="1"/>
  <c r="A180" i="9"/>
  <c r="M180" i="9" s="1"/>
  <c r="A181" i="9"/>
  <c r="M181" i="9" s="1"/>
  <c r="A182" i="9"/>
  <c r="M182" i="9" s="1"/>
  <c r="A183" i="9"/>
  <c r="M183" i="9" s="1"/>
  <c r="A184" i="9"/>
  <c r="M184" i="9" s="1"/>
  <c r="A185" i="9"/>
  <c r="M185" i="9" s="1"/>
  <c r="A186" i="9"/>
  <c r="M186" i="9" s="1"/>
  <c r="A187" i="9"/>
  <c r="M187" i="9" s="1"/>
  <c r="A188" i="9"/>
  <c r="M188" i="9" s="1"/>
  <c r="A189" i="9"/>
  <c r="M189" i="9" s="1"/>
  <c r="A190" i="9"/>
  <c r="M190" i="9" s="1"/>
  <c r="A191" i="9"/>
  <c r="M191" i="9" s="1"/>
  <c r="A192" i="9"/>
  <c r="M192" i="9" s="1"/>
  <c r="A193" i="9"/>
  <c r="M193" i="9" s="1"/>
  <c r="A194" i="9"/>
  <c r="M194" i="9" s="1"/>
  <c r="A195" i="9"/>
  <c r="M195" i="9" s="1"/>
  <c r="A196" i="9"/>
  <c r="M196" i="9" s="1"/>
  <c r="A197" i="9"/>
  <c r="M197" i="9" s="1"/>
  <c r="A198" i="9"/>
  <c r="M198" i="9" s="1"/>
  <c r="A199" i="9"/>
  <c r="M199" i="9" s="1"/>
  <c r="A200" i="9"/>
  <c r="M200" i="9" s="1"/>
  <c r="A201" i="9"/>
  <c r="M201" i="9" s="1"/>
  <c r="A202" i="9"/>
  <c r="M202" i="9" s="1"/>
  <c r="A203" i="9"/>
  <c r="M203" i="9" s="1"/>
  <c r="A204" i="9"/>
  <c r="M204" i="9" s="1"/>
  <c r="A205" i="9"/>
  <c r="M205" i="9" s="1"/>
  <c r="A206" i="9"/>
  <c r="M206" i="9" s="1"/>
  <c r="A207" i="9"/>
  <c r="M207" i="9" s="1"/>
  <c r="A208" i="9"/>
  <c r="M208" i="9" s="1"/>
  <c r="A209" i="9"/>
  <c r="M209" i="9" s="1"/>
  <c r="A210" i="9"/>
  <c r="M210" i="9" s="1"/>
  <c r="A211" i="9"/>
  <c r="M211" i="9" s="1"/>
  <c r="A212" i="9"/>
  <c r="M212" i="9" s="1"/>
  <c r="A213" i="9"/>
  <c r="M213" i="9" s="1"/>
  <c r="A214" i="9"/>
  <c r="M214" i="9" s="1"/>
  <c r="A215" i="9"/>
  <c r="M215" i="9" s="1"/>
  <c r="A216" i="9"/>
  <c r="M216" i="9" s="1"/>
  <c r="A217" i="9"/>
  <c r="M217" i="9" s="1"/>
  <c r="A218" i="9"/>
  <c r="M218" i="9" s="1"/>
  <c r="A219" i="9"/>
  <c r="M219" i="9" s="1"/>
  <c r="A220" i="9"/>
  <c r="M220" i="9" s="1"/>
  <c r="A221" i="9"/>
  <c r="M221" i="9" s="1"/>
  <c r="A222" i="9"/>
  <c r="M222" i="9" s="1"/>
  <c r="A223" i="9"/>
  <c r="M223" i="9" s="1"/>
  <c r="A224" i="9"/>
  <c r="M224" i="9" s="1"/>
  <c r="A225" i="9"/>
  <c r="M225" i="9" s="1"/>
  <c r="A226" i="9"/>
  <c r="M226" i="9" s="1"/>
  <c r="A227" i="9"/>
  <c r="M227" i="9" s="1"/>
  <c r="A228" i="9"/>
  <c r="M228" i="9" s="1"/>
  <c r="A229" i="9"/>
  <c r="M229" i="9" s="1"/>
  <c r="A230" i="9"/>
  <c r="M230" i="9" s="1"/>
  <c r="A231" i="9"/>
  <c r="M231" i="9" s="1"/>
  <c r="A232" i="9"/>
  <c r="M232" i="9" s="1"/>
  <c r="A233" i="9"/>
  <c r="M233" i="9" s="1"/>
  <c r="A234" i="9"/>
  <c r="M234" i="9" s="1"/>
  <c r="A235" i="9"/>
  <c r="M235" i="9" s="1"/>
  <c r="A236" i="9"/>
  <c r="M236" i="9" s="1"/>
  <c r="A237" i="9"/>
  <c r="M237" i="9" s="1"/>
  <c r="A238" i="9"/>
  <c r="M238" i="9" s="1"/>
  <c r="A239" i="9"/>
  <c r="M239" i="9" s="1"/>
  <c r="A240" i="9"/>
  <c r="M240" i="9" s="1"/>
  <c r="A241" i="9"/>
  <c r="M241" i="9" s="1"/>
  <c r="A242" i="9"/>
  <c r="M242" i="9" s="1"/>
  <c r="A243" i="9"/>
  <c r="M243" i="9" s="1"/>
  <c r="A244" i="9"/>
  <c r="M244" i="9" s="1"/>
  <c r="A245" i="9"/>
  <c r="M245" i="9" s="1"/>
  <c r="A246" i="9"/>
  <c r="M246" i="9" s="1"/>
  <c r="A247" i="9"/>
  <c r="M247" i="9" s="1"/>
  <c r="A248" i="9"/>
  <c r="M248" i="9" s="1"/>
  <c r="A249" i="9"/>
  <c r="M249" i="9" s="1"/>
  <c r="A250" i="9"/>
  <c r="M250" i="9" s="1"/>
  <c r="A251" i="9"/>
  <c r="M251" i="9" s="1"/>
  <c r="A252" i="9"/>
  <c r="M252" i="9" s="1"/>
  <c r="A253" i="9"/>
  <c r="M253" i="9" s="1"/>
  <c r="A254" i="9"/>
  <c r="M254" i="9" s="1"/>
  <c r="A255" i="9"/>
  <c r="M255" i="9" s="1"/>
  <c r="A256" i="9"/>
  <c r="M256" i="9" s="1"/>
  <c r="A257" i="9"/>
  <c r="M257" i="9" s="1"/>
  <c r="A258" i="9"/>
  <c r="M258" i="9" s="1"/>
  <c r="A259" i="9"/>
  <c r="M259" i="9" s="1"/>
  <c r="A260" i="9"/>
  <c r="M260" i="9" s="1"/>
  <c r="A261" i="9"/>
  <c r="M261" i="9" s="1"/>
  <c r="A262" i="9"/>
  <c r="M262" i="9" s="1"/>
  <c r="A263" i="9"/>
  <c r="M263" i="9" s="1"/>
  <c r="A264" i="9"/>
  <c r="M264" i="9" s="1"/>
  <c r="A265" i="9"/>
  <c r="M265" i="9" s="1"/>
  <c r="A266" i="9"/>
  <c r="M266" i="9" s="1"/>
  <c r="A267" i="9"/>
  <c r="M267" i="9" s="1"/>
  <c r="A268" i="9"/>
  <c r="M268" i="9" s="1"/>
  <c r="A269" i="9"/>
  <c r="M269" i="9" s="1"/>
  <c r="A270" i="9"/>
  <c r="M270" i="9" s="1"/>
  <c r="A271" i="9"/>
  <c r="M271" i="9" s="1"/>
  <c r="A272" i="9"/>
  <c r="M272" i="9" s="1"/>
  <c r="A273" i="9"/>
  <c r="M273" i="9" s="1"/>
  <c r="A274" i="9"/>
  <c r="M274" i="9" s="1"/>
  <c r="A275" i="9"/>
  <c r="M275" i="9" s="1"/>
  <c r="A276" i="9"/>
  <c r="M276" i="9" s="1"/>
  <c r="A277" i="9"/>
  <c r="M277" i="9" s="1"/>
  <c r="A278" i="9"/>
  <c r="M278" i="9" s="1"/>
  <c r="A279" i="9"/>
  <c r="M279" i="9" s="1"/>
  <c r="A280" i="9"/>
  <c r="M280" i="9" s="1"/>
  <c r="A281" i="9"/>
  <c r="M281" i="9" s="1"/>
  <c r="A282" i="9"/>
  <c r="M282" i="9" s="1"/>
  <c r="A283" i="9"/>
  <c r="M283" i="9" s="1"/>
  <c r="A284" i="9"/>
  <c r="M284" i="9" s="1"/>
  <c r="A285" i="9"/>
  <c r="M285" i="9" s="1"/>
  <c r="A286" i="9"/>
  <c r="M286" i="9" s="1"/>
  <c r="A287" i="9"/>
  <c r="M287" i="9" s="1"/>
  <c r="A288" i="9"/>
  <c r="M288" i="9" s="1"/>
  <c r="A289" i="9"/>
  <c r="M289" i="9" s="1"/>
  <c r="A290" i="9"/>
  <c r="M290" i="9" s="1"/>
  <c r="A291" i="9"/>
  <c r="M291" i="9" s="1"/>
  <c r="A292" i="9"/>
  <c r="M292" i="9" s="1"/>
  <c r="A293" i="9"/>
  <c r="M293" i="9" s="1"/>
  <c r="A294" i="9"/>
  <c r="M294" i="9" s="1"/>
  <c r="A295" i="9"/>
  <c r="M295" i="9" s="1"/>
  <c r="A296" i="9"/>
  <c r="A297" i="9"/>
  <c r="M297" i="9" s="1"/>
  <c r="A298" i="9"/>
  <c r="M298" i="9" s="1"/>
  <c r="A299" i="9"/>
  <c r="M299" i="9" s="1"/>
  <c r="A300" i="9"/>
  <c r="M300" i="9" s="1"/>
  <c r="A301" i="9"/>
  <c r="M301" i="9" s="1"/>
  <c r="A302" i="9"/>
  <c r="M302" i="9" s="1"/>
  <c r="A303" i="9"/>
  <c r="M303" i="9" s="1"/>
  <c r="A304" i="9"/>
  <c r="M304" i="9" s="1"/>
  <c r="A305" i="9"/>
  <c r="M305" i="9" s="1"/>
  <c r="A306" i="9"/>
  <c r="M306" i="9" s="1"/>
  <c r="A307" i="9"/>
  <c r="M307" i="9" s="1"/>
  <c r="A308" i="9"/>
  <c r="M308" i="9" s="1"/>
  <c r="A309" i="9"/>
  <c r="M309" i="9" s="1"/>
  <c r="A310" i="9"/>
  <c r="M310" i="9" s="1"/>
  <c r="A311" i="9"/>
  <c r="M311" i="9" s="1"/>
  <c r="A312" i="9"/>
  <c r="M312" i="9" s="1"/>
  <c r="A313" i="9"/>
  <c r="M313" i="9" s="1"/>
  <c r="A314" i="9"/>
  <c r="M314" i="9" s="1"/>
  <c r="A315" i="9"/>
  <c r="M315" i="9" s="1"/>
  <c r="A316" i="9"/>
  <c r="M316" i="9" s="1"/>
  <c r="A317" i="9"/>
  <c r="M317" i="9" s="1"/>
  <c r="A318" i="9"/>
  <c r="M318" i="9" s="1"/>
  <c r="A319" i="9"/>
  <c r="M319" i="9" s="1"/>
  <c r="A320" i="9"/>
  <c r="M320" i="9" s="1"/>
  <c r="A321" i="9"/>
  <c r="M321" i="9" s="1"/>
  <c r="A322" i="9"/>
  <c r="M322" i="9" s="1"/>
  <c r="A323" i="9"/>
  <c r="M323" i="9" s="1"/>
  <c r="A324" i="9"/>
  <c r="M324" i="9" s="1"/>
  <c r="A325" i="9"/>
  <c r="M325" i="9" s="1"/>
  <c r="A326" i="9"/>
  <c r="M326" i="9" s="1"/>
  <c r="A327" i="9"/>
  <c r="M327" i="9" s="1"/>
  <c r="A328" i="9"/>
  <c r="M328" i="9" s="1"/>
  <c r="A329" i="9"/>
  <c r="M329" i="9" s="1"/>
  <c r="A330" i="9"/>
  <c r="M330" i="9" s="1"/>
  <c r="A331" i="9"/>
  <c r="M331" i="9" s="1"/>
  <c r="A332" i="9"/>
  <c r="M332" i="9" s="1"/>
  <c r="A333" i="9"/>
  <c r="M333" i="9" s="1"/>
  <c r="A334" i="9"/>
  <c r="M334" i="9" s="1"/>
  <c r="A335" i="9"/>
  <c r="M335" i="9" s="1"/>
  <c r="A336" i="9"/>
  <c r="M336" i="9" s="1"/>
  <c r="A337" i="9"/>
  <c r="M337" i="9" s="1"/>
  <c r="A338" i="9"/>
  <c r="M338" i="9" s="1"/>
  <c r="A339" i="9"/>
  <c r="M339" i="9" s="1"/>
  <c r="A340" i="9"/>
  <c r="M340" i="9" s="1"/>
  <c r="A341" i="9"/>
  <c r="M341" i="9" s="1"/>
  <c r="A342" i="9"/>
  <c r="M342" i="9" s="1"/>
  <c r="A343" i="9"/>
  <c r="M343" i="9" s="1"/>
  <c r="A344" i="9"/>
  <c r="M344" i="9" s="1"/>
  <c r="A345" i="9"/>
  <c r="M345" i="9" s="1"/>
  <c r="A346" i="9"/>
  <c r="M346" i="9" s="1"/>
  <c r="A347" i="9"/>
  <c r="M347" i="9" s="1"/>
  <c r="A348" i="9"/>
  <c r="M348" i="9" s="1"/>
  <c r="A349" i="9"/>
  <c r="M349" i="9" s="1"/>
  <c r="A350" i="9"/>
  <c r="M350" i="9" s="1"/>
  <c r="A351" i="9"/>
  <c r="M351" i="9" s="1"/>
  <c r="A352" i="9"/>
  <c r="M352" i="9" s="1"/>
  <c r="A353" i="9"/>
  <c r="M353" i="9" s="1"/>
  <c r="A354" i="9"/>
  <c r="M354" i="9" s="1"/>
  <c r="A355" i="9"/>
  <c r="M355" i="9" s="1"/>
  <c r="A356" i="9"/>
  <c r="M356" i="9" s="1"/>
  <c r="A357" i="9"/>
  <c r="A358" i="9" s="1"/>
  <c r="A359" i="9" s="1"/>
  <c r="A360" i="9" s="1"/>
  <c r="A361" i="9"/>
  <c r="M361" i="9" s="1"/>
  <c r="A362" i="9"/>
  <c r="M362" i="9" s="1"/>
  <c r="A363" i="9"/>
  <c r="M363" i="9" s="1"/>
  <c r="A364" i="9"/>
  <c r="M364" i="9" s="1"/>
  <c r="A365" i="9"/>
  <c r="M365" i="9" s="1"/>
  <c r="A366" i="9"/>
  <c r="M366" i="9" s="1"/>
  <c r="A367" i="9"/>
  <c r="M367" i="9" s="1"/>
  <c r="A368" i="9"/>
  <c r="M368" i="9" s="1"/>
  <c r="A369" i="9"/>
  <c r="M369" i="9" s="1"/>
  <c r="A370" i="9"/>
  <c r="M370" i="9" s="1"/>
  <c r="A371" i="9"/>
  <c r="M371" i="9" s="1"/>
  <c r="A372" i="9"/>
  <c r="M372" i="9" s="1"/>
  <c r="A373" i="9"/>
  <c r="M373" i="9" s="1"/>
  <c r="A374" i="9"/>
  <c r="M374" i="9" s="1"/>
  <c r="A375" i="9"/>
  <c r="M375" i="9" s="1"/>
  <c r="A376" i="9"/>
  <c r="M376" i="9" s="1"/>
  <c r="A377" i="9"/>
  <c r="M377" i="9" s="1"/>
  <c r="A378" i="9"/>
  <c r="M378" i="9" s="1"/>
  <c r="A379" i="9"/>
  <c r="M379" i="9" s="1"/>
  <c r="A380" i="9"/>
  <c r="M380" i="9" s="1"/>
  <c r="A381" i="9"/>
  <c r="M381" i="9" s="1"/>
  <c r="A382" i="9"/>
  <c r="M382" i="9" s="1"/>
  <c r="A383" i="9"/>
  <c r="M383" i="9" s="1"/>
  <c r="A384" i="9"/>
  <c r="M384" i="9" s="1"/>
  <c r="A385" i="9"/>
  <c r="M385" i="9" s="1"/>
  <c r="A386" i="9"/>
  <c r="M386" i="9" s="1"/>
  <c r="A387" i="9"/>
  <c r="M387" i="9" s="1"/>
  <c r="A388" i="9"/>
  <c r="M388" i="9" s="1"/>
  <c r="A389" i="9"/>
  <c r="M389" i="9" s="1"/>
  <c r="A390" i="9"/>
  <c r="M390" i="9" s="1"/>
  <c r="A391" i="9"/>
  <c r="M391" i="9" s="1"/>
  <c r="A392" i="9"/>
  <c r="M392" i="9" s="1"/>
  <c r="A393" i="9"/>
  <c r="M393" i="9" s="1"/>
  <c r="A394" i="9"/>
  <c r="M394" i="9" s="1"/>
  <c r="A395" i="9"/>
  <c r="M395" i="9" s="1"/>
  <c r="A396" i="9"/>
  <c r="M396" i="9" s="1"/>
  <c r="A397" i="9"/>
  <c r="M397" i="9" s="1"/>
  <c r="A398" i="9"/>
  <c r="M398" i="9" s="1"/>
  <c r="A399" i="9"/>
  <c r="M399" i="9" s="1"/>
  <c r="A400" i="9"/>
  <c r="M400" i="9" s="1"/>
  <c r="A401" i="9"/>
  <c r="M401" i="9" s="1"/>
  <c r="A402" i="9"/>
  <c r="M402" i="9" s="1"/>
  <c r="A403" i="9"/>
  <c r="M403" i="9" s="1"/>
  <c r="A404" i="9"/>
  <c r="M404" i="9" s="1"/>
  <c r="A405" i="9"/>
  <c r="M405" i="9" s="1"/>
  <c r="A406" i="9"/>
  <c r="A407" i="9"/>
  <c r="M407" i="9" s="1"/>
  <c r="A408" i="9"/>
  <c r="M408" i="9" s="1"/>
  <c r="A409" i="9"/>
  <c r="M409" i="9" s="1"/>
  <c r="A410" i="9"/>
  <c r="M410" i="9" s="1"/>
  <c r="A411" i="9"/>
  <c r="M411" i="9" s="1"/>
  <c r="A412" i="9"/>
  <c r="M412" i="9" s="1"/>
  <c r="A413" i="9"/>
  <c r="M413" i="9" s="1"/>
  <c r="A414" i="9"/>
  <c r="M414" i="9" s="1"/>
  <c r="A415" i="9"/>
  <c r="M415" i="9" s="1"/>
  <c r="A416" i="9"/>
  <c r="M416" i="9" s="1"/>
  <c r="A417" i="9"/>
  <c r="M417" i="9" s="1"/>
  <c r="A418" i="9"/>
  <c r="M418" i="9" s="1"/>
  <c r="A419" i="9"/>
  <c r="M419" i="9" s="1"/>
  <c r="A420" i="9"/>
  <c r="M420" i="9" s="1"/>
  <c r="A421" i="9"/>
  <c r="M421" i="9" s="1"/>
  <c r="A422" i="9"/>
  <c r="M422" i="9" s="1"/>
  <c r="A423" i="9"/>
  <c r="M423" i="9" s="1"/>
  <c r="A424" i="9"/>
  <c r="A425" i="9" s="1"/>
  <c r="A426" i="9" s="1"/>
  <c r="A427" i="9" s="1"/>
  <c r="A428" i="9" s="1"/>
  <c r="A429" i="9" s="1"/>
  <c r="A430" i="9" s="1"/>
  <c r="A431" i="9" s="1"/>
  <c r="A432" i="9" s="1"/>
  <c r="A433" i="9" s="1"/>
  <c r="A434" i="9" s="1"/>
  <c r="A435" i="9" s="1"/>
  <c r="A436" i="9" s="1"/>
  <c r="A437" i="9" s="1"/>
  <c r="A438" i="9" s="1"/>
  <c r="A439" i="9" s="1"/>
  <c r="A440" i="9" s="1"/>
  <c r="A441" i="9" s="1"/>
  <c r="A442" i="9" s="1"/>
  <c r="A443" i="9" s="1"/>
  <c r="A444" i="9" s="1"/>
  <c r="A445" i="9"/>
  <c r="M445" i="9" s="1"/>
  <c r="A446" i="9"/>
  <c r="M446" i="9" s="1"/>
  <c r="A447" i="9"/>
  <c r="M447" i="9" s="1"/>
  <c r="A448" i="9"/>
  <c r="M448" i="9" s="1"/>
  <c r="A449" i="9"/>
  <c r="M449" i="9" s="1"/>
  <c r="A450" i="9"/>
  <c r="M450" i="9" s="1"/>
  <c r="A451" i="9"/>
  <c r="M451" i="9" s="1"/>
  <c r="A452" i="9"/>
  <c r="M452" i="9" s="1"/>
  <c r="A453" i="9"/>
  <c r="M453" i="9" s="1"/>
  <c r="A454" i="9"/>
  <c r="M454" i="9" s="1"/>
  <c r="A455" i="9"/>
  <c r="M455" i="9" s="1"/>
  <c r="A456" i="9"/>
  <c r="M456" i="9" s="1"/>
  <c r="A457" i="9"/>
  <c r="M457" i="9" s="1"/>
  <c r="A458" i="9"/>
  <c r="M458" i="9" s="1"/>
  <c r="A459" i="9"/>
  <c r="M459" i="9" s="1"/>
  <c r="A460" i="9"/>
  <c r="A461" i="9" s="1"/>
  <c r="A462" i="9" s="1"/>
  <c r="M462" i="9" s="1"/>
  <c r="A463" i="9"/>
  <c r="M463" i="9" s="1"/>
  <c r="A464" i="9"/>
  <c r="M464" i="9" s="1"/>
  <c r="A465" i="9"/>
  <c r="M465" i="9" s="1"/>
  <c r="A466" i="9"/>
  <c r="M466" i="9" s="1"/>
  <c r="A467" i="9"/>
  <c r="M467" i="9" s="1"/>
  <c r="A468" i="9"/>
  <c r="M468" i="9" s="1"/>
  <c r="A469" i="9"/>
  <c r="M469" i="9" s="1"/>
  <c r="A470" i="9"/>
  <c r="M470" i="9" s="1"/>
  <c r="A471" i="9"/>
  <c r="M471" i="9" s="1"/>
  <c r="A472" i="9"/>
  <c r="M472" i="9" s="1"/>
  <c r="A473" i="9"/>
  <c r="A474" i="9" s="1"/>
  <c r="A475" i="9" s="1"/>
  <c r="A476" i="9" s="1"/>
  <c r="A477" i="9" s="1"/>
  <c r="A478" i="9"/>
  <c r="M478" i="9" s="1"/>
  <c r="A479" i="9"/>
  <c r="M479" i="9" s="1"/>
  <c r="A480" i="9"/>
  <c r="M480" i="9" s="1"/>
  <c r="A481" i="9"/>
  <c r="M481" i="9" s="1"/>
  <c r="A482" i="9"/>
  <c r="M482" i="9" s="1"/>
  <c r="A483" i="9"/>
  <c r="M483" i="9" s="1"/>
  <c r="A484" i="9"/>
  <c r="M484" i="9" s="1"/>
  <c r="A485" i="9"/>
  <c r="M485" i="9" s="1"/>
  <c r="A486" i="9"/>
  <c r="M486" i="9" s="1"/>
  <c r="A487" i="9"/>
  <c r="M487" i="9" s="1"/>
  <c r="A488" i="9"/>
  <c r="M488" i="9" s="1"/>
  <c r="A489" i="9"/>
  <c r="M489" i="9" s="1"/>
  <c r="A490" i="9"/>
  <c r="M490" i="9" s="1"/>
  <c r="A491" i="9"/>
  <c r="M491" i="9" s="1"/>
  <c r="A492" i="9"/>
  <c r="M492" i="9" s="1"/>
  <c r="A493" i="9"/>
  <c r="M493" i="9" s="1"/>
  <c r="A494" i="9"/>
  <c r="M494" i="9" s="1"/>
  <c r="A495" i="9"/>
  <c r="M495" i="9" s="1"/>
  <c r="A496" i="9"/>
  <c r="M496" i="9" s="1"/>
  <c r="A497" i="9"/>
  <c r="M497" i="9" s="1"/>
  <c r="A498" i="9"/>
  <c r="M498" i="9" s="1"/>
  <c r="A499" i="9"/>
  <c r="M499" i="9" s="1"/>
  <c r="A500" i="9"/>
  <c r="M500" i="9" s="1"/>
  <c r="A501" i="9"/>
  <c r="M501" i="9" s="1"/>
  <c r="A502" i="9"/>
  <c r="M502" i="9" s="1"/>
  <c r="A503" i="9"/>
  <c r="M503" i="9" s="1"/>
  <c r="A504" i="9"/>
  <c r="A505" i="9"/>
  <c r="M505" i="9" s="1"/>
  <c r="A506" i="9"/>
  <c r="M506" i="9" s="1"/>
  <c r="A507" i="9"/>
  <c r="M507" i="9" s="1"/>
  <c r="A508" i="9"/>
  <c r="M508" i="9" s="1"/>
  <c r="A509" i="9"/>
  <c r="A510" i="9" s="1"/>
  <c r="A511" i="9" s="1"/>
  <c r="A512" i="9" s="1"/>
  <c r="A513" i="9" s="1"/>
  <c r="A514" i="9" s="1"/>
  <c r="A515" i="9" s="1"/>
  <c r="A516" i="9" s="1"/>
  <c r="A517" i="9" s="1"/>
  <c r="A518" i="9" s="1"/>
  <c r="A519" i="9" s="1"/>
  <c r="A520" i="9" s="1"/>
  <c r="A521" i="9" s="1"/>
  <c r="A522" i="9" s="1"/>
  <c r="A523" i="9" s="1"/>
  <c r="A524" i="9" s="1"/>
  <c r="A525" i="9" s="1"/>
  <c r="A526" i="9"/>
  <c r="M526" i="9" s="1"/>
  <c r="A527" i="9"/>
  <c r="M527" i="9" s="1"/>
  <c r="A528" i="9"/>
  <c r="M528" i="9" s="1"/>
  <c r="A529" i="9"/>
  <c r="M529" i="9" s="1"/>
  <c r="A530" i="9"/>
  <c r="M530" i="9" s="1"/>
  <c r="A531" i="9"/>
  <c r="M531" i="9" s="1"/>
  <c r="A532" i="9"/>
  <c r="M532" i="9" s="1"/>
  <c r="A533" i="9"/>
  <c r="M533" i="9" s="1"/>
  <c r="A534" i="9"/>
  <c r="M534" i="9" s="1"/>
  <c r="A535" i="9"/>
  <c r="M535" i="9" s="1"/>
  <c r="A536" i="9"/>
  <c r="M536" i="9" s="1"/>
  <c r="A537" i="9"/>
  <c r="M537" i="9" s="1"/>
  <c r="A538" i="9"/>
  <c r="M538" i="9" s="1"/>
  <c r="A539" i="9"/>
  <c r="M539" i="9" s="1"/>
  <c r="A540" i="9"/>
  <c r="M540" i="9" s="1"/>
  <c r="A541" i="9"/>
  <c r="M541" i="9" s="1"/>
  <c r="A542" i="9"/>
  <c r="M542" i="9" s="1"/>
  <c r="A543" i="9"/>
  <c r="M543" i="9" s="1"/>
  <c r="A544" i="9"/>
  <c r="M544" i="9" s="1"/>
  <c r="A545" i="9"/>
  <c r="M545" i="9" s="1"/>
  <c r="A546" i="9"/>
  <c r="M546" i="9" s="1"/>
  <c r="A547" i="9"/>
  <c r="M547" i="9" s="1"/>
  <c r="A548" i="9"/>
  <c r="M548" i="9" s="1"/>
  <c r="A549" i="9"/>
  <c r="M549" i="9" s="1"/>
  <c r="A550" i="9"/>
  <c r="M550" i="9" s="1"/>
  <c r="A551" i="9"/>
  <c r="M551" i="9" s="1"/>
  <c r="A552" i="9"/>
  <c r="M552" i="9" s="1"/>
  <c r="A553" i="9"/>
  <c r="M553" i="9" s="1"/>
  <c r="A554" i="9"/>
  <c r="M554" i="9" s="1"/>
  <c r="A555" i="9"/>
  <c r="M555" i="9" s="1"/>
  <c r="A556" i="9"/>
  <c r="M556" i="9" s="1"/>
  <c r="A557" i="9"/>
  <c r="M557" i="9" s="1"/>
  <c r="A558" i="9"/>
  <c r="M558" i="9" s="1"/>
  <c r="A559" i="9"/>
  <c r="M559" i="9" s="1"/>
  <c r="A560" i="9"/>
  <c r="M560" i="9" s="1"/>
  <c r="A561" i="9"/>
  <c r="M561" i="9" s="1"/>
  <c r="A562" i="9"/>
  <c r="M562" i="9" s="1"/>
  <c r="A563" i="9"/>
  <c r="M563" i="9" s="1"/>
  <c r="A564" i="9"/>
  <c r="M564" i="9" s="1"/>
  <c r="A565" i="9"/>
  <c r="M565" i="9" s="1"/>
  <c r="A566" i="9"/>
  <c r="M566" i="9" s="1"/>
  <c r="A567" i="9"/>
  <c r="M567" i="9" s="1"/>
  <c r="A568" i="9"/>
  <c r="M568" i="9" s="1"/>
  <c r="A569" i="9"/>
  <c r="M569" i="9" s="1"/>
  <c r="A570" i="9"/>
  <c r="M570" i="9" s="1"/>
  <c r="A571" i="9"/>
  <c r="M571" i="9" s="1"/>
  <c r="A572" i="9"/>
  <c r="M572" i="9" s="1"/>
  <c r="A573" i="9"/>
  <c r="M573" i="9" s="1"/>
  <c r="A574" i="9"/>
  <c r="M574" i="9" s="1"/>
  <c r="A575" i="9"/>
  <c r="M575" i="9" s="1"/>
  <c r="A576" i="9"/>
  <c r="M576" i="9" s="1"/>
  <c r="A577" i="9"/>
  <c r="M577" i="9" s="1"/>
  <c r="A578" i="9"/>
  <c r="M578" i="9" s="1"/>
  <c r="A579" i="9"/>
  <c r="M579" i="9" s="1"/>
  <c r="A580" i="9"/>
  <c r="M580" i="9" s="1"/>
  <c r="A581" i="9"/>
  <c r="M581" i="9" s="1"/>
  <c r="A582" i="9"/>
  <c r="M582" i="9" s="1"/>
  <c r="A583" i="9"/>
  <c r="M583" i="9" s="1"/>
  <c r="A584" i="9"/>
  <c r="M584" i="9" s="1"/>
  <c r="A585" i="9"/>
  <c r="M585" i="9" s="1"/>
  <c r="A586" i="9"/>
  <c r="M586" i="9" s="1"/>
  <c r="A587" i="9"/>
  <c r="M587" i="9" s="1"/>
  <c r="A588" i="9"/>
  <c r="M588" i="9" s="1"/>
  <c r="A589" i="9"/>
  <c r="M589" i="9" s="1"/>
  <c r="A590" i="9"/>
  <c r="M590" i="9" s="1"/>
  <c r="A591" i="9"/>
  <c r="M591" i="9" s="1"/>
  <c r="A592" i="9"/>
  <c r="M592" i="9" s="1"/>
  <c r="A593" i="9"/>
  <c r="M593" i="9" s="1"/>
  <c r="A594" i="9"/>
  <c r="M594" i="9" s="1"/>
  <c r="A595" i="9"/>
  <c r="M595" i="9" s="1"/>
  <c r="A596" i="9"/>
  <c r="M596" i="9" s="1"/>
  <c r="A597" i="9"/>
  <c r="M597" i="9" s="1"/>
  <c r="A598" i="9"/>
  <c r="M598" i="9" s="1"/>
  <c r="A599" i="9"/>
  <c r="M599" i="9" s="1"/>
  <c r="A600" i="9"/>
  <c r="M600" i="9" s="1"/>
  <c r="A601" i="9"/>
  <c r="M601" i="9" s="1"/>
  <c r="A602" i="9"/>
  <c r="M602" i="9" s="1"/>
  <c r="A603" i="9"/>
  <c r="M603" i="9" s="1"/>
  <c r="A604" i="9"/>
  <c r="M604" i="9" s="1"/>
  <c r="A605" i="9"/>
  <c r="M605" i="9" s="1"/>
  <c r="A606" i="9"/>
  <c r="M606" i="9" s="1"/>
  <c r="A607" i="9"/>
  <c r="M607" i="9" s="1"/>
  <c r="A608" i="9"/>
  <c r="M608" i="9" s="1"/>
  <c r="A609" i="9"/>
  <c r="M609" i="9" s="1"/>
  <c r="A610" i="9"/>
  <c r="M610" i="9" s="1"/>
  <c r="A611" i="9"/>
  <c r="M611" i="9" s="1"/>
  <c r="A612" i="9"/>
  <c r="M612" i="9" s="1"/>
  <c r="A613" i="9"/>
  <c r="M613" i="9" s="1"/>
  <c r="A614" i="9"/>
  <c r="M614" i="9" s="1"/>
  <c r="A615" i="9"/>
  <c r="M615" i="9" s="1"/>
  <c r="A616" i="9"/>
  <c r="M616" i="9" s="1"/>
  <c r="A617" i="9"/>
  <c r="M617" i="9" s="1"/>
  <c r="A618" i="9"/>
  <c r="M618" i="9" s="1"/>
  <c r="A619" i="9"/>
  <c r="M619" i="9" s="1"/>
  <c r="A620" i="9"/>
  <c r="M620" i="9" s="1"/>
  <c r="A621" i="9"/>
  <c r="M621" i="9" s="1"/>
  <c r="A622" i="9"/>
  <c r="M622" i="9" s="1"/>
  <c r="A623" i="9"/>
  <c r="M623" i="9" s="1"/>
  <c r="A624" i="9"/>
  <c r="M624" i="9" s="1"/>
  <c r="A625" i="9"/>
  <c r="M625" i="9" s="1"/>
  <c r="A626" i="9"/>
  <c r="M626" i="9" s="1"/>
  <c r="A627" i="9"/>
  <c r="M627" i="9" s="1"/>
  <c r="A628" i="9"/>
  <c r="M628" i="9" s="1"/>
  <c r="A629" i="9"/>
  <c r="M629" i="9" s="1"/>
  <c r="A630" i="9"/>
  <c r="M630" i="9" s="1"/>
  <c r="A631" i="9"/>
  <c r="M631" i="9" s="1"/>
  <c r="A632" i="9"/>
  <c r="M632" i="9" s="1"/>
  <c r="A633" i="9"/>
  <c r="M633" i="9" s="1"/>
  <c r="A634" i="9"/>
  <c r="M634" i="9" s="1"/>
  <c r="A635" i="9"/>
  <c r="M635" i="9" s="1"/>
  <c r="A636" i="9"/>
  <c r="M636" i="9" s="1"/>
  <c r="A637" i="9"/>
  <c r="M637" i="9" s="1"/>
  <c r="A638" i="9"/>
  <c r="M638" i="9" s="1"/>
  <c r="A639" i="9"/>
  <c r="M639" i="9" s="1"/>
  <c r="A640" i="9"/>
  <c r="M640" i="9" s="1"/>
  <c r="A641" i="9"/>
  <c r="M641" i="9" s="1"/>
  <c r="A642" i="9"/>
  <c r="M642" i="9" s="1"/>
  <c r="A643" i="9"/>
  <c r="M643" i="9" s="1"/>
  <c r="A644" i="9"/>
  <c r="M644" i="9" s="1"/>
  <c r="A645" i="9"/>
  <c r="M645" i="9" s="1"/>
  <c r="A646" i="9"/>
  <c r="M646" i="9" s="1"/>
  <c r="A647" i="9"/>
  <c r="M647" i="9" s="1"/>
  <c r="A648" i="9"/>
  <c r="M648" i="9" s="1"/>
  <c r="A649" i="9"/>
  <c r="M649" i="9" s="1"/>
  <c r="A650" i="9"/>
  <c r="M650" i="9" s="1"/>
  <c r="A651" i="9"/>
  <c r="M651" i="9" s="1"/>
  <c r="A652" i="9"/>
  <c r="M652" i="9" s="1"/>
  <c r="A653" i="9"/>
  <c r="M653" i="9" s="1"/>
  <c r="A654" i="9"/>
  <c r="M654" i="9" s="1"/>
  <c r="A655" i="9"/>
  <c r="M655" i="9" s="1"/>
  <c r="A656" i="9"/>
  <c r="M656" i="9" s="1"/>
  <c r="A657" i="9"/>
  <c r="M657" i="9" s="1"/>
  <c r="A658" i="9"/>
  <c r="M658" i="9" s="1"/>
  <c r="A659" i="9"/>
  <c r="M659" i="9" s="1"/>
  <c r="A660" i="9"/>
  <c r="M660" i="9" s="1"/>
  <c r="A661" i="9"/>
  <c r="M661" i="9" s="1"/>
  <c r="A662" i="9"/>
  <c r="M662" i="9" s="1"/>
  <c r="A663" i="9"/>
  <c r="M663" i="9" s="1"/>
  <c r="A664" i="9"/>
  <c r="M664" i="9" s="1"/>
  <c r="A665" i="9"/>
  <c r="M665" i="9" s="1"/>
  <c r="A666" i="9"/>
  <c r="M666" i="9" s="1"/>
  <c r="A667" i="9"/>
  <c r="M667" i="9" s="1"/>
  <c r="A668" i="9"/>
  <c r="M668" i="9" s="1"/>
  <c r="A669" i="9"/>
  <c r="M669" i="9" s="1"/>
  <c r="A670" i="9"/>
  <c r="M670" i="9" s="1"/>
  <c r="A671" i="9"/>
  <c r="M671" i="9" s="1"/>
  <c r="A672" i="9"/>
  <c r="M672" i="9" s="1"/>
  <c r="A673" i="9"/>
  <c r="M673" i="9" s="1"/>
  <c r="A674" i="9"/>
  <c r="M674" i="9" s="1"/>
  <c r="A675" i="9"/>
  <c r="M675" i="9" s="1"/>
  <c r="A676" i="9"/>
  <c r="M676" i="9" s="1"/>
  <c r="A677" i="9"/>
  <c r="M677" i="9" s="1"/>
  <c r="A678" i="9"/>
  <c r="M678" i="9" s="1"/>
  <c r="A679" i="9"/>
  <c r="M679" i="9" s="1"/>
  <c r="A680" i="9"/>
  <c r="M680" i="9" s="1"/>
  <c r="A681" i="9"/>
  <c r="M681" i="9" s="1"/>
  <c r="A682" i="9"/>
  <c r="A683" i="9" s="1"/>
  <c r="A684" i="9" s="1"/>
  <c r="A685" i="9" s="1"/>
  <c r="A686" i="9" s="1"/>
  <c r="A687" i="9" s="1"/>
  <c r="A688" i="9" s="1"/>
  <c r="A689" i="9" s="1"/>
  <c r="A690" i="9" s="1"/>
  <c r="A691" i="9" s="1"/>
  <c r="A692" i="9" s="1"/>
  <c r="A693" i="9" s="1"/>
  <c r="A694" i="9" s="1"/>
  <c r="A695" i="9"/>
  <c r="M695" i="9" s="1"/>
  <c r="A696" i="9"/>
  <c r="M696" i="9" s="1"/>
  <c r="A697" i="9"/>
  <c r="M697" i="9" s="1"/>
  <c r="A698" i="9"/>
  <c r="M698" i="9" s="1"/>
  <c r="A699" i="9"/>
  <c r="M699" i="9" s="1"/>
  <c r="A700" i="9"/>
  <c r="M700" i="9" s="1"/>
  <c r="A701" i="9"/>
  <c r="M701" i="9" s="1"/>
  <c r="A702" i="9"/>
  <c r="A703" i="9" s="1"/>
  <c r="A704" i="9" s="1"/>
  <c r="A705" i="9" s="1"/>
  <c r="A706" i="9" s="1"/>
  <c r="A707" i="9" s="1"/>
  <c r="A708" i="9" s="1"/>
  <c r="A709" i="9" s="1"/>
  <c r="A710" i="9" s="1"/>
  <c r="A711" i="9" s="1"/>
  <c r="A712" i="9" s="1"/>
  <c r="A713" i="9" s="1"/>
  <c r="A714" i="9" s="1"/>
  <c r="A715" i="9" s="1"/>
  <c r="A716" i="9" s="1"/>
  <c r="A717" i="9"/>
  <c r="M717" i="9" s="1"/>
  <c r="A718" i="9"/>
  <c r="M718" i="9" s="1"/>
  <c r="A719" i="9"/>
  <c r="M719" i="9" s="1"/>
  <c r="A720" i="9"/>
  <c r="M720" i="9" s="1"/>
  <c r="A721" i="9"/>
  <c r="M721" i="9" s="1"/>
  <c r="A722" i="9"/>
  <c r="M722" i="9" s="1"/>
  <c r="A723" i="9"/>
  <c r="M723" i="9" s="1"/>
  <c r="A724" i="9"/>
  <c r="M724" i="9" s="1"/>
  <c r="A725" i="9"/>
  <c r="M725" i="9" s="1"/>
  <c r="A726" i="9"/>
  <c r="M726" i="9" s="1"/>
  <c r="A727" i="9"/>
  <c r="M727" i="9" s="1"/>
  <c r="A728" i="9"/>
  <c r="M728" i="9" s="1"/>
  <c r="A729" i="9"/>
  <c r="M729" i="9" s="1"/>
  <c r="A730" i="9"/>
  <c r="M730" i="9" s="1"/>
  <c r="A731" i="9"/>
  <c r="M731" i="9" s="1"/>
  <c r="A732" i="9"/>
  <c r="M732" i="9" s="1"/>
  <c r="A733" i="9"/>
  <c r="M733" i="9" s="1"/>
  <c r="A734" i="9"/>
  <c r="M734" i="9" s="1"/>
  <c r="A735" i="9"/>
  <c r="M735" i="9" s="1"/>
  <c r="A736" i="9"/>
  <c r="M736" i="9" s="1"/>
  <c r="A737" i="9"/>
  <c r="M737" i="9" s="1"/>
  <c r="A738" i="9"/>
  <c r="M738" i="9" s="1"/>
  <c r="A739" i="9"/>
  <c r="M739" i="9" s="1"/>
  <c r="A740" i="9"/>
  <c r="M740" i="9" s="1"/>
  <c r="A741" i="9"/>
  <c r="M741" i="9" s="1"/>
  <c r="A742" i="9"/>
  <c r="M742" i="9" s="1"/>
  <c r="A743" i="9"/>
  <c r="M743" i="9" s="1"/>
  <c r="A744" i="9"/>
  <c r="M744" i="9" s="1"/>
  <c r="A745" i="9"/>
  <c r="M745" i="9" s="1"/>
  <c r="A746" i="9"/>
  <c r="M746" i="9" s="1"/>
  <c r="A747" i="9"/>
  <c r="M747" i="9" s="1"/>
  <c r="A748" i="9"/>
  <c r="M748" i="9" s="1"/>
  <c r="A749" i="9"/>
  <c r="M749" i="9" s="1"/>
  <c r="A750" i="9"/>
  <c r="M750" i="9" s="1"/>
  <c r="A751" i="9"/>
  <c r="M751" i="9" s="1"/>
  <c r="A752" i="9"/>
  <c r="M752" i="9" s="1"/>
  <c r="A753" i="9"/>
  <c r="M753" i="9" s="1"/>
  <c r="A754" i="9"/>
  <c r="M754" i="9" s="1"/>
  <c r="A755" i="9"/>
  <c r="M755" i="9" s="1"/>
  <c r="A756" i="9"/>
  <c r="M756" i="9" s="1"/>
  <c r="A757" i="9"/>
  <c r="M757" i="9" s="1"/>
  <c r="A758" i="9"/>
  <c r="M758" i="9" s="1"/>
  <c r="A759" i="9"/>
  <c r="M759" i="9" s="1"/>
  <c r="A760" i="9"/>
  <c r="M760" i="9" s="1"/>
  <c r="A761" i="9"/>
  <c r="M761" i="9" s="1"/>
  <c r="A762" i="9"/>
  <c r="M762" i="9" s="1"/>
  <c r="A763" i="9"/>
  <c r="M763" i="9" s="1"/>
  <c r="A764" i="9"/>
  <c r="M764" i="9" s="1"/>
  <c r="A765" i="9"/>
  <c r="M765" i="9" s="1"/>
  <c r="A766" i="9"/>
  <c r="M766" i="9" s="1"/>
  <c r="A767" i="9"/>
  <c r="M767" i="9" s="1"/>
  <c r="A768" i="9"/>
  <c r="M768" i="9" s="1"/>
  <c r="A769" i="9"/>
  <c r="M769" i="9" s="1"/>
  <c r="A770" i="9"/>
  <c r="M770" i="9" s="1"/>
  <c r="A771" i="9"/>
  <c r="M771" i="9" s="1"/>
  <c r="A772" i="9"/>
  <c r="M772" i="9" s="1"/>
  <c r="A773" i="9"/>
  <c r="M773" i="9" s="1"/>
  <c r="A774" i="9"/>
  <c r="M774" i="9" s="1"/>
  <c r="A775" i="9"/>
  <c r="M775" i="9" s="1"/>
  <c r="A776" i="9"/>
  <c r="M776" i="9" s="1"/>
  <c r="A777" i="9"/>
  <c r="A778" i="9" s="1"/>
  <c r="A779" i="9" s="1"/>
  <c r="A780" i="9" s="1"/>
  <c r="A781" i="9" s="1"/>
  <c r="A782" i="9" s="1"/>
  <c r="A783" i="9" s="1"/>
  <c r="A784" i="9" s="1"/>
  <c r="A785" i="9" s="1"/>
  <c r="A786" i="9" s="1"/>
  <c r="A787" i="9" s="1"/>
  <c r="A788" i="9"/>
  <c r="M788" i="9" s="1"/>
  <c r="A789" i="9"/>
  <c r="M789" i="9" s="1"/>
  <c r="A790" i="9"/>
  <c r="M790" i="9" s="1"/>
  <c r="A791" i="9"/>
  <c r="M791" i="9" s="1"/>
  <c r="A792" i="9"/>
  <c r="M792" i="9" s="1"/>
  <c r="A793" i="9"/>
  <c r="M793" i="9" s="1"/>
  <c r="A794" i="9"/>
  <c r="M794" i="9" s="1"/>
  <c r="A795" i="9"/>
  <c r="M795" i="9" s="1"/>
  <c r="A796" i="9"/>
  <c r="M796" i="9" s="1"/>
  <c r="A797" i="9"/>
  <c r="M797" i="9" s="1"/>
  <c r="A798" i="9"/>
  <c r="M798" i="9" s="1"/>
  <c r="A799" i="9"/>
  <c r="M799" i="9" s="1"/>
  <c r="A800" i="9"/>
  <c r="M800" i="9" s="1"/>
  <c r="A801" i="9"/>
  <c r="M801" i="9" s="1"/>
  <c r="A802" i="9"/>
  <c r="M802" i="9" s="1"/>
  <c r="A803" i="9"/>
  <c r="M803" i="9" s="1"/>
  <c r="A804" i="9"/>
  <c r="M804" i="9" s="1"/>
  <c r="A805" i="9"/>
  <c r="M805" i="9" s="1"/>
  <c r="A806" i="9"/>
  <c r="M806" i="9" s="1"/>
  <c r="A807" i="9"/>
  <c r="M807" i="9" s="1"/>
  <c r="A808" i="9"/>
  <c r="M808" i="9" s="1"/>
  <c r="A809" i="9"/>
  <c r="M809" i="9" s="1"/>
  <c r="A810" i="9"/>
  <c r="M810" i="9" s="1"/>
  <c r="A811" i="9"/>
  <c r="M811" i="9" s="1"/>
  <c r="A812" i="9"/>
  <c r="M812" i="9" s="1"/>
  <c r="A813" i="9"/>
  <c r="M813" i="9" s="1"/>
  <c r="A814" i="9"/>
  <c r="M814" i="9" s="1"/>
  <c r="A815" i="9"/>
  <c r="M815" i="9" s="1"/>
  <c r="A816" i="9"/>
  <c r="M816" i="9" s="1"/>
  <c r="A817" i="9"/>
  <c r="M817" i="9" s="1"/>
  <c r="A818" i="9"/>
  <c r="M818" i="9" s="1"/>
  <c r="A819" i="9"/>
  <c r="M819" i="9" s="1"/>
  <c r="A820" i="9"/>
  <c r="M820" i="9" s="1"/>
  <c r="A821" i="9"/>
  <c r="M821" i="9" s="1"/>
  <c r="A822" i="9"/>
  <c r="M822" i="9" s="1"/>
  <c r="A823" i="9"/>
  <c r="M823" i="9" s="1"/>
  <c r="A824" i="9"/>
  <c r="M824" i="9" s="1"/>
  <c r="A825" i="9"/>
  <c r="M825" i="9" s="1"/>
  <c r="A826" i="9"/>
  <c r="M826" i="9" s="1"/>
  <c r="A827" i="9"/>
  <c r="M827" i="9" s="1"/>
  <c r="A828" i="9"/>
  <c r="M828" i="9" s="1"/>
  <c r="A829" i="9"/>
  <c r="M829" i="9" s="1"/>
  <c r="A830" i="9"/>
  <c r="M830" i="9" s="1"/>
  <c r="A831" i="9"/>
  <c r="M831" i="9" s="1"/>
  <c r="A832" i="9"/>
  <c r="M832" i="9" s="1"/>
  <c r="A833" i="9"/>
  <c r="M833" i="9" s="1"/>
  <c r="A834" i="9"/>
  <c r="M834" i="9" s="1"/>
  <c r="A835" i="9"/>
  <c r="M835" i="9" s="1"/>
  <c r="A836" i="9"/>
  <c r="M836" i="9" s="1"/>
  <c r="A837" i="9"/>
  <c r="M837" i="9" s="1"/>
  <c r="A838" i="9"/>
  <c r="M838" i="9" s="1"/>
  <c r="A839" i="9"/>
  <c r="M839" i="9" s="1"/>
  <c r="A840" i="9"/>
  <c r="M840" i="9" s="1"/>
  <c r="A841" i="9"/>
  <c r="M841" i="9" s="1"/>
  <c r="A842" i="9"/>
  <c r="M842" i="9" s="1"/>
  <c r="A843" i="9"/>
  <c r="M843" i="9" s="1"/>
  <c r="A844" i="9"/>
  <c r="M844" i="9" s="1"/>
  <c r="A845" i="9"/>
  <c r="M845" i="9" s="1"/>
  <c r="A846" i="9"/>
  <c r="M846" i="9" s="1"/>
  <c r="A847" i="9"/>
  <c r="M847" i="9" s="1"/>
  <c r="A848" i="9"/>
  <c r="M848" i="9" s="1"/>
  <c r="A849" i="9"/>
  <c r="M849" i="9" s="1"/>
  <c r="A850" i="9"/>
  <c r="M850" i="9" s="1"/>
  <c r="A851" i="9"/>
  <c r="M851" i="9" s="1"/>
  <c r="A852" i="9"/>
  <c r="M852" i="9" s="1"/>
  <c r="A853" i="9"/>
  <c r="M853" i="9" s="1"/>
  <c r="A854" i="9"/>
  <c r="M854" i="9" s="1"/>
  <c r="A855" i="9"/>
  <c r="M855" i="9" s="1"/>
  <c r="A856" i="9"/>
  <c r="M856" i="9" s="1"/>
  <c r="A857" i="9"/>
  <c r="M857" i="9" s="1"/>
  <c r="A858" i="9"/>
  <c r="M858" i="9" s="1"/>
  <c r="A859" i="9"/>
  <c r="M859" i="9" s="1"/>
  <c r="A860" i="9"/>
  <c r="M860" i="9" s="1"/>
  <c r="A861" i="9"/>
  <c r="M861" i="9" s="1"/>
  <c r="A862" i="9"/>
  <c r="M862" i="9" s="1"/>
  <c r="A863" i="9"/>
  <c r="M863" i="9" s="1"/>
  <c r="A864" i="9"/>
  <c r="A865" i="9" s="1"/>
  <c r="A866" i="9" s="1"/>
  <c r="A867" i="9" s="1"/>
  <c r="A868" i="9"/>
  <c r="A869" i="9" s="1"/>
  <c r="A870" i="9" s="1"/>
  <c r="M870" i="9" s="1"/>
  <c r="A871" i="9"/>
  <c r="M871" i="9" s="1"/>
  <c r="A872" i="9"/>
  <c r="M872" i="9" s="1"/>
  <c r="A873" i="9"/>
  <c r="M873" i="9" s="1"/>
  <c r="A874" i="9"/>
  <c r="M874" i="9" s="1"/>
  <c r="A875" i="9"/>
  <c r="M875" i="9" s="1"/>
  <c r="A876" i="9"/>
  <c r="M876" i="9" s="1"/>
  <c r="A877" i="9"/>
  <c r="M877" i="9" s="1"/>
  <c r="A878" i="9"/>
  <c r="M878" i="9" s="1"/>
  <c r="A879" i="9"/>
  <c r="M879" i="9" s="1"/>
  <c r="A880" i="9"/>
  <c r="M880" i="9" s="1"/>
  <c r="A881" i="9"/>
  <c r="M881" i="9" s="1"/>
  <c r="A882" i="9"/>
  <c r="M882" i="9" s="1"/>
  <c r="A883" i="9"/>
  <c r="M883" i="9" s="1"/>
  <c r="A884" i="9"/>
  <c r="M884" i="9" s="1"/>
  <c r="A885" i="9"/>
  <c r="M885" i="9" s="1"/>
  <c r="A886" i="9"/>
  <c r="M886" i="9" s="1"/>
  <c r="A887" i="9"/>
  <c r="M887" i="9" s="1"/>
  <c r="A888" i="9"/>
  <c r="M888" i="9" s="1"/>
  <c r="A889" i="9"/>
  <c r="M889" i="9" s="1"/>
  <c r="A890" i="9"/>
  <c r="M890" i="9" s="1"/>
  <c r="A891" i="9"/>
  <c r="M891" i="9" s="1"/>
  <c r="A892" i="9"/>
  <c r="M892" i="9" s="1"/>
  <c r="A893" i="9"/>
  <c r="M893" i="9" s="1"/>
  <c r="A894" i="9"/>
  <c r="M894" i="9" s="1"/>
  <c r="A895" i="9"/>
  <c r="M895" i="9" s="1"/>
  <c r="A896" i="9"/>
  <c r="M896" i="9" s="1"/>
  <c r="M898" i="9"/>
  <c r="A899" i="9"/>
  <c r="M899" i="9" s="1"/>
  <c r="A902" i="9"/>
  <c r="M902" i="9" s="1"/>
  <c r="B869" i="9"/>
  <c r="N869" i="9"/>
  <c r="Q869" i="9"/>
  <c r="R869" i="9"/>
  <c r="AB869" i="9"/>
  <c r="B870" i="9"/>
  <c r="N870" i="9"/>
  <c r="Q870" i="9"/>
  <c r="R870" i="9"/>
  <c r="AB870" i="9"/>
  <c r="M163" i="9"/>
  <c r="M406" i="9"/>
  <c r="A2" i="24"/>
  <c r="A3" i="24"/>
  <c r="A4" i="24"/>
  <c r="A5" i="24"/>
  <c r="A6" i="24"/>
  <c r="A7" i="24"/>
  <c r="A8" i="24" s="1"/>
  <c r="A9" i="24" s="1"/>
  <c r="A10" i="24"/>
  <c r="A11" i="24"/>
  <c r="A12" i="24" s="1"/>
  <c r="A13" i="24" s="1"/>
  <c r="A14" i="24" s="1"/>
  <c r="A15" i="24" s="1"/>
  <c r="A16" i="24" s="1"/>
  <c r="A17" i="24" s="1"/>
  <c r="A18" i="24" s="1"/>
  <c r="A19" i="24" s="1"/>
  <c r="A20" i="24"/>
  <c r="A21" i="24"/>
  <c r="A22" i="24"/>
  <c r="A23" i="24" s="1"/>
  <c r="A24" i="24" s="1"/>
  <c r="A25" i="24" s="1"/>
  <c r="A26" i="24" s="1"/>
  <c r="A27" i="24" s="1"/>
  <c r="A28" i="24"/>
  <c r="A29" i="24"/>
  <c r="A30" i="24"/>
  <c r="A31" i="24"/>
  <c r="A32" i="24"/>
  <c r="A33" i="24"/>
  <c r="A34" i="24" s="1"/>
  <c r="A35" i="24" s="1"/>
  <c r="A36" i="24" s="1"/>
  <c r="A37" i="24" s="1"/>
  <c r="A38" i="24" s="1"/>
  <c r="A39" i="24" s="1"/>
  <c r="A40" i="24" s="1"/>
  <c r="A41" i="24" s="1"/>
  <c r="A42" i="24" s="1"/>
  <c r="A43" i="24" s="1"/>
  <c r="A44" i="24"/>
  <c r="A45" i="24" s="1"/>
  <c r="A46" i="24" s="1"/>
  <c r="A47" i="24" s="1"/>
  <c r="A48" i="24" s="1"/>
  <c r="A49" i="24" s="1"/>
  <c r="A50" i="24" s="1"/>
  <c r="A51" i="24" s="1"/>
  <c r="A52" i="24" s="1"/>
  <c r="A53" i="24" s="1"/>
  <c r="A54" i="24" s="1"/>
  <c r="A55" i="24" s="1"/>
  <c r="A56" i="24" s="1"/>
  <c r="A57" i="24" s="1"/>
  <c r="A58" i="24" s="1"/>
  <c r="A59" i="24" s="1"/>
  <c r="A60" i="24" s="1"/>
  <c r="A61" i="24" s="1"/>
  <c r="A62" i="24" s="1"/>
  <c r="A63" i="24"/>
  <c r="A64" i="24"/>
  <c r="A65" i="24"/>
  <c r="A66" i="24"/>
  <c r="A67" i="24"/>
  <c r="A68" i="24"/>
  <c r="A69" i="24"/>
  <c r="A70" i="24"/>
  <c r="A71" i="24"/>
  <c r="A72" i="24" s="1"/>
  <c r="A73" i="24" s="1"/>
  <c r="A74" i="24"/>
  <c r="A75" i="24"/>
  <c r="A76" i="24"/>
  <c r="A77" i="24"/>
  <c r="A78" i="24"/>
  <c r="A79" i="24"/>
  <c r="A80" i="24"/>
  <c r="A81" i="24"/>
  <c r="A82" i="24"/>
  <c r="A83" i="24" s="1"/>
  <c r="A84" i="24" s="1"/>
  <c r="A85" i="24" s="1"/>
  <c r="A86" i="24" s="1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 s="1"/>
  <c r="A102" i="24" s="1"/>
  <c r="A103" i="24" s="1"/>
  <c r="A104" i="24" s="1"/>
  <c r="A105" i="24"/>
  <c r="A106" i="24"/>
  <c r="A107" i="24"/>
  <c r="A108" i="24"/>
  <c r="A109" i="24"/>
  <c r="A110" i="24"/>
  <c r="A111" i="24" s="1"/>
  <c r="A112" i="24" s="1"/>
  <c r="A113" i="24" s="1"/>
  <c r="A114" i="24" s="1"/>
  <c r="A115" i="24" s="1"/>
  <c r="A116" i="24" s="1"/>
  <c r="A117" i="24"/>
  <c r="A118" i="24"/>
  <c r="A119" i="24"/>
  <c r="A120" i="24"/>
  <c r="A121" i="24"/>
  <c r="A122" i="24"/>
  <c r="A123" i="24"/>
  <c r="A124" i="24"/>
  <c r="A125" i="24" s="1"/>
  <c r="A126" i="24" s="1"/>
  <c r="A127" i="24" s="1"/>
  <c r="A128" i="24" s="1"/>
  <c r="A129" i="24" s="1"/>
  <c r="A130" i="24" s="1"/>
  <c r="A131" i="24" s="1"/>
  <c r="A132" i="24" s="1"/>
  <c r="A133" i="24" s="1"/>
  <c r="A134" i="24" s="1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 s="1"/>
  <c r="A157" i="24" s="1"/>
  <c r="A158" i="24" s="1"/>
  <c r="A159" i="24" s="1"/>
  <c r="A160" i="24" s="1"/>
  <c r="A161" i="24" s="1"/>
  <c r="A162" i="24" s="1"/>
  <c r="A163" i="24" s="1"/>
  <c r="A164" i="24" s="1"/>
  <c r="A165" i="24" s="1"/>
  <c r="A166" i="24" s="1"/>
  <c r="A167" i="24" s="1"/>
  <c r="A168" i="24" s="1"/>
  <c r="A169" i="24" s="1"/>
  <c r="A170" i="24"/>
  <c r="A171" i="24"/>
  <c r="A172" i="24"/>
  <c r="A173" i="24"/>
  <c r="A174" i="24"/>
  <c r="A175" i="24"/>
  <c r="A176" i="24"/>
  <c r="A177" i="24"/>
  <c r="A178" i="24"/>
  <c r="A179" i="24" s="1"/>
  <c r="A180" i="24" s="1"/>
  <c r="A181" i="24" s="1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 s="1"/>
  <c r="A208" i="24" s="1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 s="1"/>
  <c r="A222" i="24" s="1"/>
  <c r="A223" i="24" s="1"/>
  <c r="A224" i="24" s="1"/>
  <c r="A225" i="24" s="1"/>
  <c r="A226" i="24" s="1"/>
  <c r="A227" i="24" s="1"/>
  <c r="A228" i="24" s="1"/>
  <c r="A229" i="24" s="1"/>
  <c r="A230" i="24" s="1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 s="1"/>
  <c r="A257" i="24" s="1"/>
  <c r="A258" i="24" s="1"/>
  <c r="A259" i="24" s="1"/>
  <c r="A260" i="24" s="1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 s="1"/>
  <c r="A277" i="24" s="1"/>
  <c r="A278" i="24"/>
  <c r="A279" i="24"/>
  <c r="A280" i="24"/>
  <c r="A281" i="24"/>
  <c r="A282" i="24"/>
  <c r="A283" i="24"/>
  <c r="A284" i="24"/>
  <c r="A285" i="24" s="1"/>
  <c r="A286" i="24" s="1"/>
  <c r="A287" i="24"/>
  <c r="A288" i="24"/>
  <c r="A289" i="24"/>
  <c r="A290" i="24" s="1"/>
  <c r="A291" i="24" s="1"/>
  <c r="A292" i="24" s="1"/>
  <c r="A293" i="24"/>
  <c r="A294" i="24"/>
  <c r="A295" i="24"/>
  <c r="A296" i="24"/>
  <c r="A297" i="24" s="1"/>
  <c r="A298" i="24" s="1"/>
  <c r="A299" i="24" s="1"/>
  <c r="A300" i="24" s="1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 s="1"/>
  <c r="A316" i="24" s="1"/>
  <c r="A317" i="24" s="1"/>
  <c r="A318" i="24" s="1"/>
  <c r="A319" i="24" s="1"/>
  <c r="A320" i="24" s="1"/>
  <c r="A321" i="24" s="1"/>
  <c r="A322" i="24" s="1"/>
  <c r="A323" i="24"/>
  <c r="A324" i="24"/>
  <c r="A325" i="24"/>
  <c r="A326" i="24"/>
  <c r="A327" i="24"/>
  <c r="A328" i="24"/>
  <c r="A329" i="24"/>
  <c r="A330" i="24" s="1"/>
  <c r="A331" i="24"/>
  <c r="A332" i="24"/>
  <c r="A333" i="24"/>
  <c r="A334" i="24"/>
  <c r="A335" i="24"/>
  <c r="A336" i="24"/>
  <c r="A337" i="24"/>
  <c r="A338" i="24" s="1"/>
  <c r="A339" i="24" s="1"/>
  <c r="A340" i="24" s="1"/>
  <c r="A341" i="24" s="1"/>
  <c r="A342" i="24" s="1"/>
  <c r="A343" i="24" s="1"/>
  <c r="A344" i="24" s="1"/>
  <c r="A345" i="24" s="1"/>
  <c r="A346" i="24" s="1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 s="1"/>
  <c r="A362" i="24" s="1"/>
  <c r="A363" i="24"/>
  <c r="A364" i="24"/>
  <c r="A365" i="24" s="1"/>
  <c r="A366" i="24" s="1"/>
  <c r="A367" i="24" s="1"/>
  <c r="A368" i="24" s="1"/>
  <c r="A369" i="24" s="1"/>
  <c r="A370" i="24" s="1"/>
  <c r="A371" i="24" s="1"/>
  <c r="A372" i="24" s="1"/>
  <c r="A373" i="24" s="1"/>
  <c r="A374" i="24" s="1"/>
  <c r="A375" i="24" s="1"/>
  <c r="A376" i="24" s="1"/>
  <c r="A377" i="24" s="1"/>
  <c r="A378" i="24"/>
  <c r="A379" i="24" s="1"/>
  <c r="A380" i="24" s="1"/>
  <c r="A381" i="24"/>
  <c r="A382" i="24"/>
  <c r="A383" i="24"/>
  <c r="A384" i="24"/>
  <c r="A385" i="24"/>
  <c r="A386" i="24"/>
  <c r="A387" i="24"/>
  <c r="A388" i="24" s="1"/>
  <c r="A389" i="24" s="1"/>
  <c r="A390" i="24"/>
  <c r="A391" i="24"/>
  <c r="A392" i="24"/>
  <c r="A393" i="24" s="1"/>
  <c r="A394" i="24" s="1"/>
  <c r="A395" i="24"/>
  <c r="A396" i="24"/>
  <c r="A397" i="24"/>
  <c r="A398" i="24"/>
  <c r="A399" i="24"/>
  <c r="A400" i="24"/>
  <c r="A401" i="24"/>
  <c r="A402" i="24"/>
  <c r="A403" i="24"/>
  <c r="A404" i="24"/>
  <c r="A405" i="24"/>
  <c r="A406" i="24"/>
  <c r="A407" i="24"/>
  <c r="A408" i="24"/>
  <c r="A409" i="24"/>
  <c r="A410" i="24"/>
  <c r="A411" i="24" s="1"/>
  <c r="A412" i="24" s="1"/>
  <c r="A413" i="24" s="1"/>
  <c r="A414" i="24" s="1"/>
  <c r="A415" i="24" s="1"/>
  <c r="A416" i="24" s="1"/>
  <c r="A417" i="24" s="1"/>
  <c r="A418" i="24"/>
  <c r="A419" i="24"/>
  <c r="A420" i="24"/>
  <c r="A421" i="24"/>
  <c r="A422" i="24"/>
  <c r="A423" i="24"/>
  <c r="A424" i="24"/>
  <c r="A425" i="24"/>
  <c r="A426" i="24"/>
  <c r="A427" i="24"/>
  <c r="A428" i="24"/>
  <c r="A429" i="24"/>
  <c r="A430" i="24"/>
  <c r="A431" i="24"/>
  <c r="A432" i="24" s="1"/>
  <c r="A433" i="24" s="1"/>
  <c r="A434" i="24"/>
  <c r="A435" i="24"/>
  <c r="A436" i="24"/>
  <c r="A437" i="24"/>
  <c r="A438" i="24"/>
  <c r="A439" i="24"/>
  <c r="A440" i="24" s="1"/>
  <c r="A441" i="24" s="1"/>
  <c r="A442" i="24"/>
  <c r="A443" i="24"/>
  <c r="A444" i="24"/>
  <c r="A445" i="24"/>
  <c r="A446" i="24"/>
  <c r="A447" i="24"/>
  <c r="A448" i="24"/>
  <c r="A449" i="24"/>
  <c r="A450" i="24"/>
  <c r="A451" i="24"/>
  <c r="A452" i="24"/>
  <c r="A453" i="24"/>
  <c r="A454" i="24"/>
  <c r="A455" i="24"/>
  <c r="A456" i="24" s="1"/>
  <c r="A457" i="24" s="1"/>
  <c r="A458" i="24" s="1"/>
  <c r="A459" i="24" s="1"/>
  <c r="A460" i="24"/>
  <c r="A461" i="24"/>
  <c r="A462" i="24"/>
  <c r="A463" i="24"/>
  <c r="A464" i="24"/>
  <c r="A465" i="24"/>
  <c r="A466" i="24"/>
  <c r="A467" i="24"/>
  <c r="A468" i="24"/>
  <c r="A469" i="24"/>
  <c r="A470" i="24"/>
  <c r="A471" i="24"/>
  <c r="A472" i="24" s="1"/>
  <c r="A473" i="24" s="1"/>
  <c r="A474" i="24" s="1"/>
  <c r="A475" i="24"/>
  <c r="A476" i="24"/>
  <c r="A477" i="24"/>
  <c r="A478" i="24"/>
  <c r="A479" i="24"/>
  <c r="A480" i="24"/>
  <c r="A481" i="24"/>
  <c r="A482" i="24"/>
  <c r="A483" i="24"/>
  <c r="A484" i="24"/>
  <c r="A485" i="24"/>
  <c r="A486" i="24"/>
  <c r="A487" i="24"/>
  <c r="A488" i="24"/>
  <c r="A489" i="24"/>
  <c r="A490" i="24"/>
  <c r="A491" i="24"/>
  <c r="A492" i="24"/>
  <c r="A493" i="24"/>
  <c r="A494" i="24"/>
  <c r="A495" i="24"/>
  <c r="A496" i="24"/>
  <c r="A497" i="24"/>
  <c r="A498" i="24"/>
  <c r="A499" i="24"/>
  <c r="A500" i="24"/>
  <c r="A501" i="24"/>
  <c r="A502" i="24"/>
  <c r="A503" i="24"/>
  <c r="A504" i="24"/>
  <c r="A505" i="24"/>
  <c r="A506" i="24"/>
  <c r="A507" i="24"/>
  <c r="A508" i="24"/>
  <c r="A509" i="24"/>
  <c r="A510" i="24"/>
  <c r="A511" i="24"/>
  <c r="A512" i="24"/>
  <c r="A513" i="24"/>
  <c r="A514" i="24"/>
  <c r="A515" i="24"/>
  <c r="A516" i="24"/>
  <c r="A517" i="24"/>
  <c r="A518" i="24"/>
  <c r="A519" i="24"/>
  <c r="A520" i="24"/>
  <c r="A521" i="24"/>
  <c r="A522" i="24"/>
  <c r="A523" i="24"/>
  <c r="A524" i="24"/>
  <c r="A525" i="24"/>
  <c r="A526" i="24"/>
  <c r="A527" i="24"/>
  <c r="A528" i="24"/>
  <c r="A529" i="24"/>
  <c r="A530" i="24"/>
  <c r="A531" i="24"/>
  <c r="A532" i="24"/>
  <c r="A533" i="24"/>
  <c r="A534" i="24"/>
  <c r="A535" i="24"/>
  <c r="A536" i="24"/>
  <c r="A537" i="24"/>
  <c r="A538" i="24"/>
  <c r="A539" i="24"/>
  <c r="A540" i="24"/>
  <c r="A541" i="24"/>
  <c r="A542" i="24"/>
  <c r="A543" i="24"/>
  <c r="A544" i="24"/>
  <c r="A545" i="24"/>
  <c r="A546" i="24"/>
  <c r="A547" i="24"/>
  <c r="A548" i="24"/>
  <c r="A549" i="24"/>
  <c r="A550" i="24"/>
  <c r="A551" i="24"/>
  <c r="A552" i="24"/>
  <c r="A553" i="24"/>
  <c r="A554" i="24"/>
  <c r="A555" i="24"/>
  <c r="A556" i="24"/>
  <c r="A557" i="24"/>
  <c r="A558" i="24"/>
  <c r="A559" i="24"/>
  <c r="A560" i="24"/>
  <c r="A561" i="24"/>
  <c r="A562" i="24" s="1"/>
  <c r="A563" i="24" s="1"/>
  <c r="A564" i="24"/>
  <c r="A565" i="24"/>
  <c r="A566" i="24"/>
  <c r="A567" i="24"/>
  <c r="A568" i="24"/>
  <c r="A569" i="24"/>
  <c r="A570" i="24"/>
  <c r="A571" i="24"/>
  <c r="A572" i="24" s="1"/>
  <c r="A573" i="24" s="1"/>
  <c r="A574" i="24" s="1"/>
  <c r="A575" i="24" s="1"/>
  <c r="A576" i="24" s="1"/>
  <c r="A577" i="24" s="1"/>
  <c r="A578" i="24"/>
  <c r="A579" i="24"/>
  <c r="A580" i="24"/>
  <c r="A581" i="24"/>
  <c r="A582" i="24"/>
  <c r="A583" i="24"/>
  <c r="A584" i="24"/>
  <c r="A585" i="24"/>
  <c r="A586" i="24"/>
  <c r="A587" i="24"/>
  <c r="A588" i="24"/>
  <c r="A589" i="24"/>
  <c r="A590" i="24"/>
  <c r="A591" i="24"/>
  <c r="A592" i="24"/>
  <c r="A593" i="24"/>
  <c r="A594" i="24"/>
  <c r="A595" i="24"/>
  <c r="A596" i="24"/>
  <c r="A597" i="24"/>
  <c r="A598" i="24"/>
  <c r="A599" i="24"/>
  <c r="A600" i="24"/>
  <c r="A601" i="24"/>
  <c r="A602" i="24"/>
  <c r="A603" i="24"/>
  <c r="A604" i="24"/>
  <c r="A605" i="24"/>
  <c r="A606" i="24"/>
  <c r="A607" i="24"/>
  <c r="A608" i="24"/>
  <c r="A609" i="24"/>
  <c r="A610" i="24"/>
  <c r="A611" i="24"/>
  <c r="A612" i="24"/>
  <c r="A613" i="24"/>
  <c r="A614" i="24"/>
  <c r="A615" i="24"/>
  <c r="A616" i="24"/>
  <c r="A617" i="24"/>
  <c r="A618" i="24"/>
  <c r="A619" i="24"/>
  <c r="A620" i="24"/>
  <c r="A621" i="24"/>
  <c r="A622" i="24"/>
  <c r="A623" i="24"/>
  <c r="A624" i="24"/>
  <c r="A625" i="24"/>
  <c r="A626" i="24"/>
  <c r="A627" i="24"/>
  <c r="A628" i="24"/>
  <c r="A629" i="24" s="1"/>
  <c r="A630" i="24" s="1"/>
  <c r="A631" i="24"/>
  <c r="A632" i="24"/>
  <c r="A633" i="24"/>
  <c r="A634" i="24"/>
  <c r="A635" i="24"/>
  <c r="A636" i="24"/>
  <c r="A637" i="24"/>
  <c r="A638" i="24"/>
  <c r="A639" i="24"/>
  <c r="A640" i="24"/>
  <c r="A641" i="24"/>
  <c r="A642" i="24"/>
  <c r="A643" i="24"/>
  <c r="A644" i="24" s="1"/>
  <c r="A645" i="24" s="1"/>
  <c r="A646" i="24"/>
  <c r="A647" i="24" s="1"/>
  <c r="A648" i="24" s="1"/>
  <c r="A649" i="24" s="1"/>
  <c r="A650" i="24"/>
  <c r="A651" i="24"/>
  <c r="A652" i="24"/>
  <c r="A653" i="24"/>
  <c r="A654" i="24" s="1"/>
  <c r="A655" i="24" s="1"/>
  <c r="A656" i="24"/>
  <c r="A657" i="24"/>
  <c r="A658" i="24"/>
  <c r="A659" i="24"/>
  <c r="A660" i="24"/>
  <c r="A661" i="24"/>
  <c r="A662" i="24"/>
  <c r="A663" i="24"/>
  <c r="A664" i="24"/>
  <c r="A665" i="24"/>
  <c r="A666" i="24"/>
  <c r="A667" i="24"/>
  <c r="A668" i="24"/>
  <c r="A669" i="24"/>
  <c r="A670" i="24"/>
  <c r="A671" i="24"/>
  <c r="A672" i="24"/>
  <c r="A673" i="24"/>
  <c r="A674" i="24"/>
  <c r="A675" i="24"/>
  <c r="A676" i="24"/>
  <c r="A677" i="24"/>
  <c r="A678" i="24"/>
  <c r="A679" i="24"/>
  <c r="A680" i="24"/>
  <c r="A681" i="24"/>
  <c r="A682" i="24"/>
  <c r="A683" i="24"/>
  <c r="A684" i="24"/>
  <c r="A685" i="24"/>
  <c r="A686" i="24"/>
  <c r="A687" i="24"/>
  <c r="A688" i="24"/>
  <c r="A689" i="24"/>
  <c r="A690" i="24"/>
  <c r="A691" i="24"/>
  <c r="A692" i="24"/>
  <c r="A693" i="24"/>
  <c r="A694" i="24"/>
  <c r="A695" i="24"/>
  <c r="A696" i="24"/>
  <c r="A697" i="24"/>
  <c r="A698" i="24"/>
  <c r="A699" i="24"/>
  <c r="A700" i="24"/>
  <c r="A701" i="24"/>
  <c r="A702" i="24"/>
  <c r="A703" i="24"/>
  <c r="A704" i="24"/>
  <c r="A705" i="24"/>
  <c r="A706" i="24"/>
  <c r="A707" i="24"/>
  <c r="A708" i="24"/>
  <c r="A709" i="24"/>
  <c r="A710" i="24"/>
  <c r="A711" i="24"/>
  <c r="A712" i="24"/>
  <c r="A713" i="24"/>
  <c r="A714" i="24"/>
  <c r="A715" i="24"/>
  <c r="A716" i="24"/>
  <c r="A717" i="24"/>
  <c r="A718" i="24" s="1"/>
  <c r="A719" i="24" s="1"/>
  <c r="A720" i="24" s="1"/>
  <c r="A721" i="24" s="1"/>
  <c r="A722" i="24" s="1"/>
  <c r="A723" i="24" s="1"/>
  <c r="A724" i="24" s="1"/>
  <c r="A725" i="24" s="1"/>
  <c r="A726" i="24" s="1"/>
  <c r="A727" i="24" s="1"/>
  <c r="A728" i="24" s="1"/>
  <c r="A729" i="24" s="1"/>
  <c r="A730" i="24" s="1"/>
  <c r="A731" i="24" s="1"/>
  <c r="A732" i="24" s="1"/>
  <c r="A733" i="24" s="1"/>
  <c r="A734" i="24"/>
  <c r="A735" i="24"/>
  <c r="A736" i="24"/>
  <c r="A737" i="24"/>
  <c r="A738" i="24"/>
  <c r="A739" i="24"/>
  <c r="A740" i="24"/>
  <c r="A741" i="24"/>
  <c r="A742" i="24"/>
  <c r="A743" i="24"/>
  <c r="A744" i="24"/>
  <c r="A745" i="24" s="1"/>
  <c r="A746" i="24" s="1"/>
  <c r="A747" i="24" s="1"/>
  <c r="A748" i="24" s="1"/>
  <c r="A749" i="24" s="1"/>
  <c r="A750" i="24" s="1"/>
  <c r="A751" i="24" s="1"/>
  <c r="A752" i="24" s="1"/>
  <c r="A753" i="24"/>
  <c r="A754" i="24" s="1"/>
  <c r="A755" i="24" s="1"/>
  <c r="A756" i="24" s="1"/>
  <c r="A757" i="24"/>
  <c r="A758" i="24"/>
  <c r="A759" i="24"/>
  <c r="A760" i="24"/>
  <c r="A761" i="24"/>
  <c r="A762" i="24"/>
  <c r="A763" i="24"/>
  <c r="A764" i="24"/>
  <c r="A765" i="24"/>
  <c r="A766" i="24"/>
  <c r="A767" i="24"/>
  <c r="A768" i="24"/>
  <c r="A769" i="24"/>
  <c r="A770" i="24"/>
  <c r="A771" i="24"/>
  <c r="A772" i="24"/>
  <c r="A773" i="24" s="1"/>
  <c r="A774" i="24" s="1"/>
  <c r="A775" i="24" s="1"/>
  <c r="A776" i="24" s="1"/>
  <c r="A777" i="24"/>
  <c r="A778" i="24"/>
  <c r="A779" i="24"/>
  <c r="A780" i="24"/>
  <c r="A781" i="24"/>
  <c r="A782" i="24"/>
  <c r="A783" i="24"/>
  <c r="A784" i="24"/>
  <c r="A785" i="24"/>
  <c r="A786" i="24"/>
  <c r="A787" i="24"/>
  <c r="A788" i="24"/>
  <c r="A789" i="24"/>
  <c r="A790" i="24"/>
  <c r="A791" i="24"/>
  <c r="A792" i="24"/>
  <c r="A793" i="24"/>
  <c r="A794" i="24"/>
  <c r="A795" i="24"/>
  <c r="A796" i="24"/>
  <c r="A797" i="24"/>
  <c r="A798" i="24"/>
  <c r="A799" i="24"/>
  <c r="A800" i="24"/>
  <c r="A801" i="24"/>
  <c r="A802" i="24"/>
  <c r="A803" i="24"/>
  <c r="A804" i="24" s="1"/>
  <c r="A805" i="24" s="1"/>
  <c r="A806" i="24" s="1"/>
  <c r="A807" i="24" s="1"/>
  <c r="A808" i="24" s="1"/>
  <c r="A809" i="24" s="1"/>
  <c r="A810" i="24" s="1"/>
  <c r="A811" i="24"/>
  <c r="A812" i="24"/>
  <c r="A813" i="24"/>
  <c r="A814" i="24" s="1"/>
  <c r="A815" i="24" s="1"/>
  <c r="A816" i="24"/>
  <c r="A817" i="24"/>
  <c r="A818" i="24"/>
  <c r="A819" i="24"/>
  <c r="A820" i="24"/>
  <c r="A821" i="24"/>
  <c r="A822" i="24"/>
  <c r="A823" i="24"/>
  <c r="A824" i="24"/>
  <c r="A825" i="24"/>
  <c r="A826" i="24" s="1"/>
  <c r="A827" i="24" s="1"/>
  <c r="A828" i="24" s="1"/>
  <c r="A829" i="24"/>
  <c r="A830" i="24"/>
  <c r="A831" i="24"/>
  <c r="A832" i="24"/>
  <c r="A833" i="24"/>
  <c r="A834" i="24" s="1"/>
  <c r="A835" i="24" s="1"/>
  <c r="A836" i="24"/>
  <c r="A837" i="24"/>
  <c r="A838" i="24"/>
  <c r="A839" i="24"/>
  <c r="A840" i="24"/>
  <c r="A841" i="24"/>
  <c r="A842" i="24"/>
  <c r="A843" i="24"/>
  <c r="A844" i="24"/>
  <c r="A845" i="24"/>
  <c r="A846" i="24"/>
  <c r="A847" i="24"/>
  <c r="A848" i="24"/>
  <c r="A849" i="24"/>
  <c r="A850" i="24"/>
  <c r="A851" i="24"/>
  <c r="A852" i="24" s="1"/>
  <c r="A853" i="24" s="1"/>
  <c r="A854" i="24" s="1"/>
  <c r="A855" i="24"/>
  <c r="A856" i="24"/>
  <c r="A857" i="24"/>
  <c r="A858" i="24"/>
  <c r="A859" i="24"/>
  <c r="A860" i="24"/>
  <c r="A861" i="24"/>
  <c r="A862" i="24"/>
  <c r="A863" i="24"/>
  <c r="A864" i="24"/>
  <c r="A865" i="24"/>
  <c r="A866" i="24"/>
  <c r="A867" i="24"/>
  <c r="A868" i="24"/>
  <c r="A869" i="24"/>
  <c r="A870" i="24"/>
  <c r="A871" i="24"/>
  <c r="A872" i="24"/>
  <c r="A873" i="24"/>
  <c r="A874" i="24"/>
  <c r="A875" i="24"/>
  <c r="A876" i="24"/>
  <c r="A877" i="24"/>
  <c r="A878" i="24"/>
  <c r="A879" i="24"/>
  <c r="A880" i="24"/>
  <c r="A881" i="24" s="1"/>
  <c r="A882" i="24" s="1"/>
  <c r="A883" i="24" s="1"/>
  <c r="A884" i="24" s="1"/>
  <c r="A885" i="24" s="1"/>
  <c r="A886" i="24" s="1"/>
  <c r="A887" i="24" s="1"/>
  <c r="A888" i="24" s="1"/>
  <c r="A889" i="24" s="1"/>
  <c r="A890" i="24" s="1"/>
  <c r="A891" i="24" s="1"/>
  <c r="A892" i="24" s="1"/>
  <c r="A893" i="24" s="1"/>
  <c r="A894" i="24" s="1"/>
  <c r="A895" i="24" s="1"/>
  <c r="A896" i="24"/>
  <c r="A897" i="24"/>
  <c r="A898" i="24"/>
  <c r="A899" i="24"/>
  <c r="A900" i="24"/>
  <c r="A901" i="24"/>
  <c r="A902" i="24"/>
  <c r="A903" i="24"/>
  <c r="A904" i="24" s="1"/>
  <c r="A905" i="24" s="1"/>
  <c r="A906" i="24" s="1"/>
  <c r="A907" i="24" s="1"/>
  <c r="A908" i="24" s="1"/>
  <c r="A909" i="24"/>
  <c r="A910" i="24"/>
  <c r="A911" i="24"/>
  <c r="A912" i="24"/>
  <c r="A913" i="24"/>
  <c r="A914" i="24"/>
  <c r="A915" i="24"/>
  <c r="A916" i="24"/>
  <c r="A917" i="24"/>
  <c r="A918" i="24"/>
  <c r="A919" i="24"/>
  <c r="A920" i="24"/>
  <c r="A921" i="24"/>
  <c r="A922" i="24"/>
  <c r="A923" i="24"/>
  <c r="A924" i="24"/>
  <c r="A925" i="24"/>
  <c r="A926" i="24"/>
  <c r="A927" i="24"/>
  <c r="A928" i="24"/>
  <c r="A929" i="24"/>
  <c r="A930" i="24"/>
  <c r="A931" i="24"/>
  <c r="A932" i="24"/>
  <c r="A933" i="24"/>
  <c r="A934" i="24"/>
  <c r="A935" i="24"/>
  <c r="A936" i="24"/>
  <c r="A937" i="24"/>
  <c r="A938" i="24"/>
  <c r="A939" i="24"/>
  <c r="A940" i="24"/>
  <c r="A941" i="24"/>
  <c r="A942" i="24"/>
  <c r="A943" i="24"/>
  <c r="A944" i="24"/>
  <c r="A945" i="24"/>
  <c r="A946" i="24"/>
  <c r="A947" i="24"/>
  <c r="A948" i="24"/>
  <c r="A949" i="24"/>
  <c r="A950" i="24"/>
  <c r="A951" i="24" s="1"/>
  <c r="A952" i="24" s="1"/>
  <c r="A953" i="24"/>
  <c r="A954" i="24"/>
  <c r="A955" i="24"/>
  <c r="A956" i="24"/>
  <c r="A957" i="24"/>
  <c r="A958" i="24" s="1"/>
  <c r="A959" i="24" s="1"/>
  <c r="A960" i="24" s="1"/>
  <c r="A961" i="24"/>
  <c r="A962" i="24"/>
  <c r="A963" i="24"/>
  <c r="A964" i="24"/>
  <c r="A965" i="24"/>
  <c r="A966" i="24"/>
  <c r="A967" i="24"/>
  <c r="A968" i="24"/>
  <c r="A969" i="24"/>
  <c r="A970" i="24"/>
  <c r="A971" i="24"/>
  <c r="A972" i="24"/>
  <c r="A973" i="24"/>
  <c r="A974" i="24" s="1"/>
  <c r="A975" i="24" s="1"/>
  <c r="A976" i="24"/>
  <c r="A977" i="24" s="1"/>
  <c r="A978" i="24" s="1"/>
  <c r="A979" i="24" s="1"/>
  <c r="A980" i="24" s="1"/>
  <c r="A981" i="24"/>
  <c r="A982" i="24"/>
  <c r="A983" i="24"/>
  <c r="A984" i="24"/>
  <c r="A985" i="24"/>
  <c r="A986" i="24"/>
  <c r="A987" i="24"/>
  <c r="A988" i="24"/>
  <c r="A989" i="24"/>
  <c r="A990" i="24"/>
  <c r="A991" i="24"/>
  <c r="A992" i="24"/>
  <c r="A993" i="24"/>
  <c r="A994" i="24"/>
  <c r="A995" i="24"/>
  <c r="A996" i="24"/>
  <c r="A997" i="24"/>
  <c r="A998" i="24"/>
  <c r="A999" i="24"/>
  <c r="A1000" i="24"/>
  <c r="A1001" i="24"/>
  <c r="A1002" i="24"/>
  <c r="A1003" i="24"/>
  <c r="A1004" i="24"/>
  <c r="A1005" i="24"/>
  <c r="A1006" i="24"/>
  <c r="A1007" i="24"/>
  <c r="A1008" i="24"/>
  <c r="A1009" i="24"/>
  <c r="A1010" i="24"/>
  <c r="A1011" i="24"/>
  <c r="A1012" i="24"/>
  <c r="A1013" i="24"/>
  <c r="A1014" i="24"/>
  <c r="A1015" i="24"/>
  <c r="A1016" i="24"/>
  <c r="A1017" i="24"/>
  <c r="A1018" i="24"/>
  <c r="A1019" i="24"/>
  <c r="A1020" i="24"/>
  <c r="A1021" i="24"/>
  <c r="A1022" i="24"/>
  <c r="A1023" i="24"/>
  <c r="A1024" i="24"/>
  <c r="A1025" i="24"/>
  <c r="A1026" i="24"/>
  <c r="A1027" i="24"/>
  <c r="A1028" i="24"/>
  <c r="A1029" i="24"/>
  <c r="A1030" i="24"/>
  <c r="A1031" i="24"/>
  <c r="A1032" i="24"/>
  <c r="A1033" i="24"/>
  <c r="A1034" i="24"/>
  <c r="A1035" i="24"/>
  <c r="A1036" i="24"/>
  <c r="A1037" i="24"/>
  <c r="A1038" i="24"/>
  <c r="A1039" i="24"/>
  <c r="A1040" i="24"/>
  <c r="A1041" i="24"/>
  <c r="A1042" i="24"/>
  <c r="A1043" i="24"/>
  <c r="A1044" i="24"/>
  <c r="A1045" i="24"/>
  <c r="A1046" i="24"/>
  <c r="A1047" i="24"/>
  <c r="A1048" i="24"/>
  <c r="A1049" i="24"/>
  <c r="A1050" i="24"/>
  <c r="A1051" i="24"/>
  <c r="A1052" i="24"/>
  <c r="A1053" i="24"/>
  <c r="A1054" i="24"/>
  <c r="A1055" i="24"/>
  <c r="A1056" i="24"/>
  <c r="A1057" i="24" s="1"/>
  <c r="A1058" i="24" s="1"/>
  <c r="A1059" i="24" s="1"/>
  <c r="A1060" i="24" s="1"/>
  <c r="A1061" i="24" s="1"/>
  <c r="A1062" i="24" s="1"/>
  <c r="A1063" i="24" s="1"/>
  <c r="A1064" i="24"/>
  <c r="A1065" i="24"/>
  <c r="A1066" i="24"/>
  <c r="A1067" i="24"/>
  <c r="A1068" i="24"/>
  <c r="A1069" i="24"/>
  <c r="A1070" i="24"/>
  <c r="A1071" i="24"/>
  <c r="A1072" i="24"/>
  <c r="A1073" i="24"/>
  <c r="A1074" i="24"/>
  <c r="A1075" i="24"/>
  <c r="A1076" i="24"/>
  <c r="A1077" i="24"/>
  <c r="A1078" i="24"/>
  <c r="A1079" i="24"/>
  <c r="A1080" i="24"/>
  <c r="A1081" i="24"/>
  <c r="A1082" i="24"/>
  <c r="A1083" i="24"/>
  <c r="A1084" i="24"/>
  <c r="A1085" i="24"/>
  <c r="A1086" i="24"/>
  <c r="A1087" i="24"/>
  <c r="A1088" i="24"/>
  <c r="A1089" i="24"/>
  <c r="A1090" i="24"/>
  <c r="A1091" i="24"/>
  <c r="A1092" i="24"/>
  <c r="A1093" i="24"/>
  <c r="A1094" i="24"/>
  <c r="A1095" i="24"/>
  <c r="A1096" i="24"/>
  <c r="A1097" i="24"/>
  <c r="A1098" i="24"/>
  <c r="A1099" i="24"/>
  <c r="A1100" i="24"/>
  <c r="A1101" i="24"/>
  <c r="A1102" i="24"/>
  <c r="A1103" i="24"/>
  <c r="A1104" i="24"/>
  <c r="A1105" i="24" s="1"/>
  <c r="A1106" i="24" s="1"/>
  <c r="A1107" i="24" s="1"/>
  <c r="A1108" i="24"/>
  <c r="A1109" i="24"/>
  <c r="A1110" i="24"/>
  <c r="A1111" i="24"/>
  <c r="A1112" i="24"/>
  <c r="A1113" i="24"/>
  <c r="A1114" i="24"/>
  <c r="A1115" i="24"/>
  <c r="A1116" i="24"/>
  <c r="A1117" i="24"/>
  <c r="A1118" i="24"/>
  <c r="A1119" i="24" s="1"/>
  <c r="A1120" i="24" s="1"/>
  <c r="A1121" i="24" s="1"/>
  <c r="A1122" i="24"/>
  <c r="A1123" i="24"/>
  <c r="A1124" i="24"/>
  <c r="A1125" i="24"/>
  <c r="A1126" i="24"/>
  <c r="A1127" i="24"/>
  <c r="A1128" i="24"/>
  <c r="A1129" i="24"/>
  <c r="A1130" i="24"/>
  <c r="A1131" i="24"/>
  <c r="A1132" i="24"/>
  <c r="A1133" i="24"/>
  <c r="A1134" i="24"/>
  <c r="A1135" i="24"/>
  <c r="A1136" i="24"/>
  <c r="A1137" i="24"/>
  <c r="A1138" i="24"/>
  <c r="A1139" i="24"/>
  <c r="A1140" i="24"/>
  <c r="A1141" i="24"/>
  <c r="A1142" i="24"/>
  <c r="A1143" i="24"/>
  <c r="A1144" i="24" s="1"/>
  <c r="A1145" i="24" s="1"/>
  <c r="A1146" i="24"/>
  <c r="A1147" i="24"/>
  <c r="A1148" i="24"/>
  <c r="A1149" i="24"/>
  <c r="A1150" i="24"/>
  <c r="A1151" i="24"/>
  <c r="A1152" i="24"/>
  <c r="A1153" i="24"/>
  <c r="A1154" i="24"/>
  <c r="A1155" i="24"/>
  <c r="A1156" i="24"/>
  <c r="A1157" i="24"/>
  <c r="A1158" i="24"/>
  <c r="A1159" i="24" s="1"/>
  <c r="A1160" i="24" s="1"/>
  <c r="A1161" i="24"/>
  <c r="A1162" i="24" s="1"/>
  <c r="A1163" i="24" s="1"/>
  <c r="A1164" i="24" s="1"/>
  <c r="A1165" i="24" s="1"/>
  <c r="A1166" i="24" s="1"/>
  <c r="A1167" i="24" s="1"/>
  <c r="A1168" i="24" s="1"/>
  <c r="A1169" i="24" s="1"/>
  <c r="A1170" i="24" s="1"/>
  <c r="A1171" i="24" s="1"/>
  <c r="A1172" i="24"/>
  <c r="A1173" i="24"/>
  <c r="A1174" i="24"/>
  <c r="A1175" i="24"/>
  <c r="A1176" i="24" s="1"/>
  <c r="A1177" i="24" s="1"/>
  <c r="A1178" i="24"/>
  <c r="A1179" i="24"/>
  <c r="A1180" i="24"/>
  <c r="A1181" i="24"/>
  <c r="A1182" i="24"/>
  <c r="A1183" i="24"/>
  <c r="A1184" i="24"/>
  <c r="A1185" i="24"/>
  <c r="A1186" i="24"/>
  <c r="A1187" i="24"/>
  <c r="A1188" i="24" s="1"/>
  <c r="A1189" i="24" s="1"/>
  <c r="A1190" i="24"/>
  <c r="A1191" i="24"/>
  <c r="A1192" i="24"/>
  <c r="A1193" i="24"/>
  <c r="A1194" i="24"/>
  <c r="A1195" i="24"/>
  <c r="A1196" i="24"/>
  <c r="A1197" i="24"/>
  <c r="A1198" i="24" s="1"/>
  <c r="A1199" i="24" s="1"/>
  <c r="A1200" i="24"/>
  <c r="A1201" i="24"/>
  <c r="A1202" i="24"/>
  <c r="A1203" i="24"/>
  <c r="A1204" i="24"/>
  <c r="A1205" i="24"/>
  <c r="A1206" i="24"/>
  <c r="A1207" i="24"/>
  <c r="A1208" i="24"/>
  <c r="A1209" i="24"/>
  <c r="A1210" i="24"/>
  <c r="A1211" i="24"/>
  <c r="A1212" i="24"/>
  <c r="A1213" i="24"/>
  <c r="A1214" i="24"/>
  <c r="A1215" i="24"/>
  <c r="A1216" i="24"/>
  <c r="A1217" i="24"/>
  <c r="A1218" i="24"/>
  <c r="A1219" i="24"/>
  <c r="A1220" i="24" s="1"/>
  <c r="A1221" i="24" s="1"/>
  <c r="A1222" i="24" s="1"/>
  <c r="A1223" i="24" s="1"/>
  <c r="A1224" i="24" s="1"/>
  <c r="A1225" i="24" s="1"/>
  <c r="A1226" i="24" s="1"/>
  <c r="A1227" i="24" s="1"/>
  <c r="A1228" i="24" s="1"/>
  <c r="A1229" i="24" s="1"/>
  <c r="A1230" i="24" s="1"/>
  <c r="A1231" i="24" s="1"/>
  <c r="A1232" i="24" s="1"/>
  <c r="A1233" i="24" s="1"/>
  <c r="A1234" i="24"/>
  <c r="A1235" i="24"/>
  <c r="A1236" i="24"/>
  <c r="A1237" i="24"/>
  <c r="A1238" i="24"/>
  <c r="A1239" i="24"/>
  <c r="A1240" i="24"/>
  <c r="A1241" i="24"/>
  <c r="A1242" i="24"/>
  <c r="A1243" i="24"/>
  <c r="A1244" i="24"/>
  <c r="A1245" i="24"/>
  <c r="A1246" i="24"/>
  <c r="A1247" i="24"/>
  <c r="A1248" i="24"/>
  <c r="A1249" i="24"/>
  <c r="A1250" i="24"/>
  <c r="A1251" i="24"/>
  <c r="A1252" i="24"/>
  <c r="A1253" i="24"/>
  <c r="A1254" i="24"/>
  <c r="A1255" i="24"/>
  <c r="A1256" i="24"/>
  <c r="A1257" i="24" s="1"/>
  <c r="A1258" i="24" s="1"/>
  <c r="A1259" i="24" s="1"/>
  <c r="A1260" i="24" s="1"/>
  <c r="A1261" i="24" s="1"/>
  <c r="A1262" i="24" s="1"/>
  <c r="A1263" i="24" s="1"/>
  <c r="A1264" i="24" s="1"/>
  <c r="A1265" i="24"/>
  <c r="A1266" i="24"/>
  <c r="A1267" i="24"/>
  <c r="A1268" i="24"/>
  <c r="A1269" i="24"/>
  <c r="A1270" i="24"/>
  <c r="A1271" i="24"/>
  <c r="A1272" i="24"/>
  <c r="A1273" i="24"/>
  <c r="A1274" i="24"/>
  <c r="A1275" i="24"/>
  <c r="A1276" i="24"/>
  <c r="A1277" i="24"/>
  <c r="A1278" i="24"/>
  <c r="A1279" i="24"/>
  <c r="A1280" i="24"/>
  <c r="A1281" i="24"/>
  <c r="A1282" i="24"/>
  <c r="A1283" i="24"/>
  <c r="A1284" i="24"/>
  <c r="A1285" i="24"/>
  <c r="A1286" i="24"/>
  <c r="A1287" i="24"/>
  <c r="A1288" i="24"/>
  <c r="A1289" i="24" s="1"/>
  <c r="A1290" i="24" s="1"/>
  <c r="A1291" i="24" s="1"/>
  <c r="A1292" i="24" s="1"/>
  <c r="A1293" i="24" s="1"/>
  <c r="A1294" i="24" s="1"/>
  <c r="A1295" i="24" s="1"/>
  <c r="A1296" i="24" s="1"/>
  <c r="A1297" i="24" s="1"/>
  <c r="A1298" i="24" s="1"/>
  <c r="A1299" i="24" s="1"/>
  <c r="A1300" i="24" s="1"/>
  <c r="A1301" i="24"/>
  <c r="A1302" i="24"/>
  <c r="A1303" i="24"/>
  <c r="A1304" i="24"/>
  <c r="A1305" i="24"/>
  <c r="A1306" i="24"/>
  <c r="A1307" i="24"/>
  <c r="A1308" i="24"/>
  <c r="A1309" i="24"/>
  <c r="A1310" i="24"/>
  <c r="A1311" i="24"/>
  <c r="A1312" i="24"/>
  <c r="A1313" i="24"/>
  <c r="A1314" i="24"/>
  <c r="A1315" i="24"/>
  <c r="A1316" i="24"/>
  <c r="A1317" i="24"/>
  <c r="A1318" i="24"/>
  <c r="A1319" i="24"/>
  <c r="A1320" i="24"/>
  <c r="A1321" i="24"/>
  <c r="A1322" i="24"/>
  <c r="A1323" i="24"/>
  <c r="A1324" i="24"/>
  <c r="A1325" i="24" s="1"/>
  <c r="A1326" i="24" s="1"/>
  <c r="A1327" i="24" s="1"/>
  <c r="A1328" i="24" s="1"/>
  <c r="A1329" i="24"/>
  <c r="A1330" i="24"/>
  <c r="A1331" i="24"/>
  <c r="A1332" i="24"/>
  <c r="A1333" i="24"/>
  <c r="A1334" i="24"/>
  <c r="A1335" i="24"/>
  <c r="A1336" i="24"/>
  <c r="A1337" i="24"/>
  <c r="A1338" i="24"/>
  <c r="A1339" i="24"/>
  <c r="A1340" i="24"/>
  <c r="A1341" i="24"/>
  <c r="A1342" i="24"/>
  <c r="A1343" i="24"/>
  <c r="A1344" i="24"/>
  <c r="A1345" i="24"/>
  <c r="A1346" i="24"/>
  <c r="A1347" i="24"/>
  <c r="A1348" i="24"/>
  <c r="A1349" i="24"/>
  <c r="A1350" i="24"/>
  <c r="A1351" i="24"/>
  <c r="A1352" i="24"/>
  <c r="A1353" i="24"/>
  <c r="A1354" i="24"/>
  <c r="A1355" i="24"/>
  <c r="A1356" i="24"/>
  <c r="A1357" i="24" s="1"/>
  <c r="A1358" i="24" s="1"/>
  <c r="A1359" i="24"/>
  <c r="A1360" i="24"/>
  <c r="A1361" i="24"/>
  <c r="A1362" i="24"/>
  <c r="A1363" i="24"/>
  <c r="A1364" i="24"/>
  <c r="A1365" i="24"/>
  <c r="A1366" i="24"/>
  <c r="A1367" i="24"/>
  <c r="A1368" i="24"/>
  <c r="A1369" i="24"/>
  <c r="A1370" i="24"/>
  <c r="A1371" i="24"/>
  <c r="A1372" i="24"/>
  <c r="A1373" i="24"/>
  <c r="A1374" i="24"/>
  <c r="A1375" i="24"/>
  <c r="A1376" i="24"/>
  <c r="A1377" i="24"/>
  <c r="A1378" i="24"/>
  <c r="A1379" i="24"/>
  <c r="A1380" i="24"/>
  <c r="A1381" i="24"/>
  <c r="A1382" i="24"/>
  <c r="A1383" i="24"/>
  <c r="A1384" i="24"/>
  <c r="A1385" i="24"/>
  <c r="A1386" i="24"/>
  <c r="A1387" i="24"/>
  <c r="A1388" i="24"/>
  <c r="A1389" i="24"/>
  <c r="A1390" i="24"/>
  <c r="A1391" i="24"/>
  <c r="A1392" i="24"/>
  <c r="A1393" i="24"/>
  <c r="A1394" i="24"/>
  <c r="A1395" i="24"/>
  <c r="A1396" i="24"/>
  <c r="A1397" i="24"/>
  <c r="A1398" i="24"/>
  <c r="A1399" i="24"/>
  <c r="A1400" i="24"/>
  <c r="A1401" i="24"/>
  <c r="A1402" i="24"/>
  <c r="A1403" i="24"/>
  <c r="A1404" i="24" s="1"/>
  <c r="A1405" i="24" s="1"/>
  <c r="A1406" i="24" s="1"/>
  <c r="A1407" i="24" s="1"/>
  <c r="A1408" i="24" s="1"/>
  <c r="A1409" i="24"/>
  <c r="A1410" i="24"/>
  <c r="A1411" i="24"/>
  <c r="A1412" i="24"/>
  <c r="A1413" i="24"/>
  <c r="A1414" i="24"/>
  <c r="A1415" i="24"/>
  <c r="A1416" i="24"/>
  <c r="A1417" i="24"/>
  <c r="A1418" i="24" s="1"/>
  <c r="A1419" i="24" s="1"/>
  <c r="A1420" i="24" s="1"/>
  <c r="A1421" i="24"/>
  <c r="A1422" i="24"/>
  <c r="A1423" i="24"/>
  <c r="A1424" i="24"/>
  <c r="A1425" i="24"/>
  <c r="A1426" i="24"/>
  <c r="A1427" i="24"/>
  <c r="A1428" i="24"/>
  <c r="A1429" i="24"/>
  <c r="A1430" i="24"/>
  <c r="A1431" i="24"/>
  <c r="A1432" i="24"/>
  <c r="A1433" i="24"/>
  <c r="A1434" i="24"/>
  <c r="A1435" i="24"/>
  <c r="A1436" i="24"/>
  <c r="A1437" i="24"/>
  <c r="A1438" i="24"/>
  <c r="A1439" i="24"/>
  <c r="A1440" i="24"/>
  <c r="A1441" i="24" s="1"/>
  <c r="A1442" i="24" s="1"/>
  <c r="A1443" i="24"/>
  <c r="A1444" i="24"/>
  <c r="A1445" i="24"/>
  <c r="A1446" i="24"/>
  <c r="A1447" i="24"/>
  <c r="A1448" i="24"/>
  <c r="A1449" i="24"/>
  <c r="A1450" i="24"/>
  <c r="A1451" i="24"/>
  <c r="A1452" i="24"/>
  <c r="A1453" i="24"/>
  <c r="A1454" i="24"/>
  <c r="A1455" i="24"/>
  <c r="A1456" i="24"/>
  <c r="A1457" i="24"/>
  <c r="A1458" i="24"/>
  <c r="A1459" i="24"/>
  <c r="A1460" i="24"/>
  <c r="A1461" i="24"/>
  <c r="A1462" i="24"/>
  <c r="A1463" i="24"/>
  <c r="A1464" i="24"/>
  <c r="A1465" i="24"/>
  <c r="A1466" i="24"/>
  <c r="A1467" i="24"/>
  <c r="A1468" i="24"/>
  <c r="A1469" i="24"/>
  <c r="A1470" i="24"/>
  <c r="A1471" i="24" s="1"/>
  <c r="A1472" i="24" s="1"/>
  <c r="A1473" i="24" s="1"/>
  <c r="A1474" i="24" s="1"/>
  <c r="A1475" i="24" s="1"/>
  <c r="A1476" i="24" s="1"/>
  <c r="A1477" i="24" s="1"/>
  <c r="A1478" i="24" s="1"/>
  <c r="A1479" i="24" s="1"/>
  <c r="A1480" i="24" s="1"/>
  <c r="A1481" i="24" s="1"/>
  <c r="A1482" i="24" s="1"/>
  <c r="A1483" i="24" s="1"/>
  <c r="A1484" i="24" s="1"/>
  <c r="A1485" i="24" s="1"/>
  <c r="A1486" i="24"/>
  <c r="A1487" i="24"/>
  <c r="A1488" i="24"/>
  <c r="A1489" i="24"/>
  <c r="A1490" i="24"/>
  <c r="A1491" i="24"/>
  <c r="A1492" i="24"/>
  <c r="A1493" i="24"/>
  <c r="A1494" i="24"/>
  <c r="A1495" i="24"/>
  <c r="A1496" i="24"/>
  <c r="A1497" i="24"/>
  <c r="A1498" i="24"/>
  <c r="A1499" i="24"/>
  <c r="A1500" i="24"/>
  <c r="A1501" i="24"/>
  <c r="A1502" i="24"/>
  <c r="A1503" i="24"/>
  <c r="A1504" i="24"/>
  <c r="A1505" i="24"/>
  <c r="A1506" i="24"/>
  <c r="A1507" i="24"/>
  <c r="A1508" i="24"/>
  <c r="A1509" i="24"/>
  <c r="A1510" i="24"/>
  <c r="A1511" i="24"/>
  <c r="A1512" i="24"/>
  <c r="A1513" i="24"/>
  <c r="A1514" i="24"/>
  <c r="A1515" i="24"/>
  <c r="A1516" i="24"/>
  <c r="A1517" i="24"/>
  <c r="A1518" i="24"/>
  <c r="A1519" i="24"/>
  <c r="A1520" i="24"/>
  <c r="A1521" i="24"/>
  <c r="A1522" i="24"/>
  <c r="A1523" i="24"/>
  <c r="A1524" i="24"/>
  <c r="A1525" i="24"/>
  <c r="A1526" i="24"/>
  <c r="A1527" i="24"/>
  <c r="A1528" i="24" s="1"/>
  <c r="A1529" i="24" s="1"/>
  <c r="A1530" i="24" s="1"/>
  <c r="A1531" i="24" s="1"/>
  <c r="A1532" i="24" s="1"/>
  <c r="A1533" i="24" s="1"/>
  <c r="A1534" i="24" s="1"/>
  <c r="A1535" i="24" s="1"/>
  <c r="A1536" i="24" s="1"/>
  <c r="A1537" i="24" s="1"/>
  <c r="A1538" i="24" s="1"/>
  <c r="A1539" i="24" s="1"/>
  <c r="A1540" i="24" s="1"/>
  <c r="A1541" i="24" s="1"/>
  <c r="A1542" i="24"/>
  <c r="A1543" i="24"/>
  <c r="A1544" i="24"/>
  <c r="A1545" i="24"/>
  <c r="A1546" i="24"/>
  <c r="A1547" i="24"/>
  <c r="A1548" i="24"/>
  <c r="A1549" i="24"/>
  <c r="A1550" i="24"/>
  <c r="A1551" i="24"/>
  <c r="A1552" i="24"/>
  <c r="A1553" i="24"/>
  <c r="A1554" i="24" s="1"/>
  <c r="A1555" i="24" s="1"/>
  <c r="A1556" i="24"/>
  <c r="A1557" i="24" s="1"/>
  <c r="A1558" i="24" s="1"/>
  <c r="A1559" i="24"/>
  <c r="A1560" i="24"/>
  <c r="A1561" i="24"/>
  <c r="A1562" i="24" s="1"/>
  <c r="A1563" i="24" s="1"/>
  <c r="A1564" i="24"/>
  <c r="A1565" i="24"/>
  <c r="A1566" i="24"/>
  <c r="A1567" i="24"/>
  <c r="A1568" i="24"/>
  <c r="A1569" i="24"/>
  <c r="A1570" i="24"/>
  <c r="A1571" i="24"/>
  <c r="A1572" i="24"/>
  <c r="A1573" i="24"/>
  <c r="A1574" i="24"/>
  <c r="A1575" i="24"/>
  <c r="A1576" i="24"/>
  <c r="A1577" i="24"/>
  <c r="A1578" i="24"/>
  <c r="A1579" i="24"/>
  <c r="A1580" i="24"/>
  <c r="A1581" i="24"/>
  <c r="A1582" i="24"/>
  <c r="A1583" i="24" s="1"/>
  <c r="A1584" i="24" s="1"/>
  <c r="A1585" i="24" s="1"/>
  <c r="A1586" i="24" s="1"/>
  <c r="A1587" i="24" s="1"/>
  <c r="A1588" i="24" s="1"/>
  <c r="A1589" i="24" s="1"/>
  <c r="A1590" i="24" s="1"/>
  <c r="A1591" i="24" s="1"/>
  <c r="A1592" i="24" s="1"/>
  <c r="A1593" i="24" s="1"/>
  <c r="A1594" i="24" s="1"/>
  <c r="A1595" i="24"/>
  <c r="A1596" i="24" s="1"/>
  <c r="A1597" i="24" s="1"/>
  <c r="A1598" i="24" s="1"/>
  <c r="A1599" i="24"/>
  <c r="A1600" i="24"/>
  <c r="A1601" i="24"/>
  <c r="A1602" i="24"/>
  <c r="A1603" i="24"/>
  <c r="A1604" i="24"/>
  <c r="A1605" i="24"/>
  <c r="A1606" i="24"/>
  <c r="A1607" i="24"/>
  <c r="A1608" i="24"/>
  <c r="A1609" i="24"/>
  <c r="A1610" i="24"/>
  <c r="A1611" i="24"/>
  <c r="A1612" i="24"/>
  <c r="A1613" i="24"/>
  <c r="A1614" i="24"/>
  <c r="A1615" i="24"/>
  <c r="A1616" i="24"/>
  <c r="A1617" i="24"/>
  <c r="A1618" i="24"/>
  <c r="A1619" i="24" s="1"/>
  <c r="A1620" i="24" s="1"/>
  <c r="A1621" i="24"/>
  <c r="A1622" i="24"/>
  <c r="A1623" i="24"/>
  <c r="A1624" i="24"/>
  <c r="A1625" i="24"/>
  <c r="A1626" i="24"/>
  <c r="A1627" i="24"/>
  <c r="A1628" i="24"/>
  <c r="A1629" i="24"/>
  <c r="A1630" i="24"/>
  <c r="A1631" i="24"/>
  <c r="A1632" i="24"/>
  <c r="A1633" i="24"/>
  <c r="A1634" i="24"/>
  <c r="A1635" i="24"/>
  <c r="A1636" i="24"/>
  <c r="A1637" i="24"/>
  <c r="A1638" i="24"/>
  <c r="A1639" i="24"/>
  <c r="A1640" i="24"/>
  <c r="A1641" i="24" s="1"/>
  <c r="A1642" i="24" s="1"/>
  <c r="A1643" i="24" s="1"/>
  <c r="A1644" i="24" s="1"/>
  <c r="A1645" i="24" s="1"/>
  <c r="A1646" i="24" s="1"/>
  <c r="A1647" i="24" s="1"/>
  <c r="A1648" i="24" s="1"/>
  <c r="A1649" i="24" s="1"/>
  <c r="A1650" i="24" s="1"/>
  <c r="A1651" i="24" s="1"/>
  <c r="A1652" i="24" s="1"/>
  <c r="A1653" i="24"/>
  <c r="A1654" i="24"/>
  <c r="A1655" i="24"/>
  <c r="A1656" i="24"/>
  <c r="A1657" i="24"/>
  <c r="A1658" i="24"/>
  <c r="A1659" i="24"/>
  <c r="A1660" i="24"/>
  <c r="A1661" i="24"/>
  <c r="A1662" i="24"/>
  <c r="A1663" i="24"/>
  <c r="A1664" i="24"/>
  <c r="A1665" i="24" s="1"/>
  <c r="A1666" i="24" s="1"/>
  <c r="A1667" i="24"/>
  <c r="A1668" i="24" s="1"/>
  <c r="A1669" i="24" s="1"/>
  <c r="A1670" i="24"/>
  <c r="A1671" i="24"/>
  <c r="A1672" i="24" s="1"/>
  <c r="A1673" i="24" s="1"/>
  <c r="A1674" i="24" s="1"/>
  <c r="A1675" i="24" s="1"/>
  <c r="A1676" i="24" s="1"/>
  <c r="A1677" i="24" s="1"/>
  <c r="A1678" i="24" s="1"/>
  <c r="A1679" i="24"/>
  <c r="A1680" i="24"/>
  <c r="A1681" i="24"/>
  <c r="A1682" i="24"/>
  <c r="A1683" i="24"/>
  <c r="A1684" i="24"/>
  <c r="A1685" i="24"/>
  <c r="A1686" i="24"/>
  <c r="A1687" i="24"/>
  <c r="A1688" i="24"/>
  <c r="A1689" i="24"/>
  <c r="A1690" i="24"/>
  <c r="A1691" i="24"/>
  <c r="A1692" i="24"/>
  <c r="A1693" i="24"/>
  <c r="A1694" i="24"/>
  <c r="A1695" i="24"/>
  <c r="A1696" i="24"/>
  <c r="A1697" i="24" s="1"/>
  <c r="A1698" i="24" s="1"/>
  <c r="A1699" i="24" s="1"/>
  <c r="A1700" i="24"/>
  <c r="A1701" i="24"/>
  <c r="A1702" i="24"/>
  <c r="A1703" i="24"/>
  <c r="A1704" i="24"/>
  <c r="A1705" i="24"/>
  <c r="A1706" i="24"/>
  <c r="A1707" i="24"/>
  <c r="A1708" i="24"/>
  <c r="A1709" i="24"/>
  <c r="A1710" i="24"/>
  <c r="A1711" i="24"/>
  <c r="A1712" i="24"/>
  <c r="A1713" i="24"/>
  <c r="A1714" i="24"/>
  <c r="A1715" i="24"/>
  <c r="A1716" i="24"/>
  <c r="A1717" i="24"/>
  <c r="A1718" i="24"/>
  <c r="A1719" i="24"/>
  <c r="A1720" i="24"/>
  <c r="A1721" i="24"/>
  <c r="A1722" i="24"/>
  <c r="A1723" i="24"/>
  <c r="A1724" i="24"/>
  <c r="A1725" i="24" s="1"/>
  <c r="A1726" i="24" s="1"/>
  <c r="A1727" i="24" s="1"/>
  <c r="A1728" i="24"/>
  <c r="A1729" i="24" s="1"/>
  <c r="A1730" i="24" s="1"/>
  <c r="A1731" i="24" s="1"/>
  <c r="A1732" i="24" s="1"/>
  <c r="A1733" i="24" s="1"/>
  <c r="A1734" i="24" s="1"/>
  <c r="A1735" i="24" s="1"/>
  <c r="A1736" i="24" s="1"/>
  <c r="A1737" i="24" s="1"/>
  <c r="A1738" i="24" s="1"/>
  <c r="A1739" i="24" s="1"/>
  <c r="A1740" i="24" s="1"/>
  <c r="A1741" i="24"/>
  <c r="A1742" i="24"/>
  <c r="A1743" i="24"/>
  <c r="A1744" i="24"/>
  <c r="A1745" i="24"/>
  <c r="A1746" i="24"/>
  <c r="A1747" i="24"/>
  <c r="A1748" i="24"/>
  <c r="A1749" i="24"/>
  <c r="A1750" i="24"/>
  <c r="A1751" i="24"/>
  <c r="A1752" i="24"/>
  <c r="A1753" i="24"/>
  <c r="A1754" i="24"/>
  <c r="A1755" i="24"/>
  <c r="A1756" i="24"/>
  <c r="A1757" i="24"/>
  <c r="A1758" i="24"/>
  <c r="A1759" i="24"/>
  <c r="A1760" i="24"/>
  <c r="A1761" i="24"/>
  <c r="A1762" i="24"/>
  <c r="A1763" i="24"/>
  <c r="A1764" i="24"/>
  <c r="A1765" i="24"/>
  <c r="A1766" i="24"/>
  <c r="A1767" i="24"/>
  <c r="A1768" i="24"/>
  <c r="A1769" i="24"/>
  <c r="A1770" i="24"/>
  <c r="A1771" i="24"/>
  <c r="A1772" i="24"/>
  <c r="A1773" i="24"/>
  <c r="A1774" i="24"/>
  <c r="A1775" i="24"/>
  <c r="A1776" i="24"/>
  <c r="A1777" i="24"/>
  <c r="A1778" i="24"/>
  <c r="A1779" i="24"/>
  <c r="A1780" i="24"/>
  <c r="A1781" i="24"/>
  <c r="A1782" i="24"/>
  <c r="A1783" i="24"/>
  <c r="A1784" i="24" s="1"/>
  <c r="A1785" i="24" s="1"/>
  <c r="A1786" i="24" s="1"/>
  <c r="A1787" i="24" s="1"/>
  <c r="A1788" i="24" s="1"/>
  <c r="A1789" i="24" s="1"/>
  <c r="A1790" i="24" s="1"/>
  <c r="A1791" i="24" s="1"/>
  <c r="A1792" i="24" s="1"/>
  <c r="A1793" i="24"/>
  <c r="A1794" i="24"/>
  <c r="A1795" i="24"/>
  <c r="A1796" i="24"/>
  <c r="A1797" i="24"/>
  <c r="A1798" i="24"/>
  <c r="A1799" i="24"/>
  <c r="A1800" i="24"/>
  <c r="A1801" i="24"/>
  <c r="A1802" i="24"/>
  <c r="A1803" i="24"/>
  <c r="A1804" i="24"/>
  <c r="A1805" i="24"/>
  <c r="A1806" i="24"/>
  <c r="A1807" i="24"/>
  <c r="A1808" i="24"/>
  <c r="A1809" i="24"/>
  <c r="A1810" i="24"/>
  <c r="A1811" i="24"/>
  <c r="A1812" i="24"/>
  <c r="A1813" i="24"/>
  <c r="A1814" i="24"/>
  <c r="A1815" i="24"/>
  <c r="A1816" i="24"/>
  <c r="A1817" i="24"/>
  <c r="A1818" i="24"/>
  <c r="A1819" i="24"/>
  <c r="A1820" i="24"/>
  <c r="A1821" i="24"/>
  <c r="A1822" i="24"/>
  <c r="A1823" i="24"/>
  <c r="A1824" i="24"/>
  <c r="A1825" i="24" s="1"/>
  <c r="A1826" i="24" s="1"/>
  <c r="A1827" i="24" s="1"/>
  <c r="A1828" i="24" s="1"/>
  <c r="A1829" i="24" s="1"/>
  <c r="A1830" i="24"/>
  <c r="A1831" i="24"/>
  <c r="A1832" i="24"/>
  <c r="A1833" i="24"/>
  <c r="A1834" i="24"/>
  <c r="A1835" i="24"/>
  <c r="A1836" i="24"/>
  <c r="A1837" i="24"/>
  <c r="A1838" i="24" s="1"/>
  <c r="A1839" i="24" s="1"/>
  <c r="A1840" i="24"/>
  <c r="A1841" i="24"/>
  <c r="A1842" i="24"/>
  <c r="A1843" i="24" s="1"/>
  <c r="A1844" i="24" s="1"/>
  <c r="A1845" i="24" s="1"/>
  <c r="A1846" i="24" s="1"/>
  <c r="A1847" i="24"/>
  <c r="A1848" i="24"/>
  <c r="A1849" i="24"/>
  <c r="A1850" i="24"/>
  <c r="A1851" i="24"/>
  <c r="A1852" i="24" s="1"/>
  <c r="A1853" i="24" s="1"/>
  <c r="A1854" i="24"/>
  <c r="A1855" i="24"/>
  <c r="A1856" i="24"/>
  <c r="A1857" i="24"/>
  <c r="A1858" i="24"/>
  <c r="A1859" i="24"/>
  <c r="A1860" i="24"/>
  <c r="A1861" i="24"/>
  <c r="A1862" i="24"/>
  <c r="A1863" i="24"/>
  <c r="A1864" i="24"/>
  <c r="A1865" i="24"/>
  <c r="A1866" i="24"/>
  <c r="A1867" i="24"/>
  <c r="A1868" i="24"/>
  <c r="A1869" i="24"/>
  <c r="A1870" i="24"/>
  <c r="A1871" i="24"/>
  <c r="A1872" i="24"/>
  <c r="A1873" i="24"/>
  <c r="A1874" i="24"/>
  <c r="A1875" i="24"/>
  <c r="A1876" i="24" s="1"/>
  <c r="A1877" i="24" s="1"/>
  <c r="A1878" i="24" s="1"/>
  <c r="A1879" i="24"/>
  <c r="A1880" i="24"/>
  <c r="A1881" i="24" s="1"/>
  <c r="A1882" i="24" s="1"/>
  <c r="A1883" i="24" s="1"/>
  <c r="A1884" i="24" s="1"/>
  <c r="A1885" i="24" s="1"/>
  <c r="A1886" i="24" s="1"/>
  <c r="A1887" i="24" s="1"/>
  <c r="A1888" i="24" s="1"/>
  <c r="A1889" i="24" s="1"/>
  <c r="A1890" i="24" s="1"/>
  <c r="A1891" i="24" s="1"/>
  <c r="A1892" i="24"/>
  <c r="A1893" i="24"/>
  <c r="A1894" i="24"/>
  <c r="A1895" i="24"/>
  <c r="A1896" i="24"/>
  <c r="A1897" i="24"/>
  <c r="A1898" i="24"/>
  <c r="A1899" i="24"/>
  <c r="A1900" i="24"/>
  <c r="A1901" i="24"/>
  <c r="A1902" i="24"/>
  <c r="A1903" i="24"/>
  <c r="A1904" i="24"/>
  <c r="A1905" i="24"/>
  <c r="A1906" i="24"/>
  <c r="A1907" i="24"/>
  <c r="A1908" i="24"/>
  <c r="A1909" i="24"/>
  <c r="A1910" i="24" s="1"/>
  <c r="A1911" i="24" s="1"/>
  <c r="A1912" i="24"/>
  <c r="A1913" i="24"/>
  <c r="A1914" i="24"/>
  <c r="A1915" i="24"/>
  <c r="A1916" i="24"/>
  <c r="A1917" i="24"/>
  <c r="A1918" i="24"/>
  <c r="A1919" i="24"/>
  <c r="A1920" i="24"/>
  <c r="A1921" i="24"/>
  <c r="A1922" i="24"/>
  <c r="A1923" i="24"/>
  <c r="A1924" i="24"/>
  <c r="A1925" i="24"/>
  <c r="A1926" i="24"/>
  <c r="A1927" i="24"/>
  <c r="A1928" i="24"/>
  <c r="A1929" i="24" s="1"/>
  <c r="A1930" i="24" s="1"/>
  <c r="A1931" i="24"/>
  <c r="A1932" i="24"/>
  <c r="A1933" i="24"/>
  <c r="A1934" i="24" s="1"/>
  <c r="A1935" i="24" s="1"/>
  <c r="A1936" i="24" s="1"/>
  <c r="A1937" i="24" s="1"/>
  <c r="A1938" i="24" s="1"/>
  <c r="A1939" i="24" s="1"/>
  <c r="A1940" i="24" s="1"/>
  <c r="A1941" i="24"/>
  <c r="A1942" i="24"/>
  <c r="A1943" i="24"/>
  <c r="A1944" i="24"/>
  <c r="A1945" i="24"/>
  <c r="A1946" i="24"/>
  <c r="A1947" i="24"/>
  <c r="A1948" i="24" s="1"/>
  <c r="A1949" i="24" s="1"/>
  <c r="A1950" i="24"/>
  <c r="A1951" i="24"/>
  <c r="A1952" i="24"/>
  <c r="A1953" i="24"/>
  <c r="A1954" i="24"/>
  <c r="A1955" i="24"/>
  <c r="A1956" i="24" s="1"/>
  <c r="A1957" i="24" s="1"/>
  <c r="A1958" i="24" s="1"/>
  <c r="A1959" i="24" s="1"/>
  <c r="A1960" i="24" s="1"/>
  <c r="A1961" i="24"/>
  <c r="A1962" i="24"/>
  <c r="A1963" i="24"/>
  <c r="A1964" i="24"/>
  <c r="A1965" i="24"/>
  <c r="A1966" i="24"/>
  <c r="A1967" i="24"/>
  <c r="A1968" i="24"/>
  <c r="A1969" i="24"/>
  <c r="A1970" i="24"/>
  <c r="A1971" i="24"/>
  <c r="A1972" i="24"/>
  <c r="A1973" i="24"/>
  <c r="A1974" i="24"/>
  <c r="A1975" i="24"/>
  <c r="A1976" i="24"/>
  <c r="A1977" i="24"/>
  <c r="A1978" i="24"/>
  <c r="A1979" i="24"/>
  <c r="A1980" i="24"/>
  <c r="A1981" i="24"/>
  <c r="A1982" i="24"/>
  <c r="A1983" i="24"/>
  <c r="A1984" i="24"/>
  <c r="A1985" i="24"/>
  <c r="A1986" i="24"/>
  <c r="A1987" i="24"/>
  <c r="A1988" i="24"/>
  <c r="A1989" i="24"/>
  <c r="A1990" i="24"/>
  <c r="A1991" i="24" s="1"/>
  <c r="A1992" i="24" s="1"/>
  <c r="A1993" i="24" s="1"/>
  <c r="A1994" i="24" s="1"/>
  <c r="A1995" i="24" s="1"/>
  <c r="A1996" i="24" s="1"/>
  <c r="A1997" i="24" s="1"/>
  <c r="A1998" i="24" s="1"/>
  <c r="A1999" i="24" s="1"/>
  <c r="A2000" i="24"/>
  <c r="A2001" i="24"/>
  <c r="A2002" i="24"/>
  <c r="A2003" i="24"/>
  <c r="A2004" i="24"/>
  <c r="A2005" i="24" s="1"/>
  <c r="A2006" i="24" s="1"/>
  <c r="A2007" i="24"/>
  <c r="A2008" i="24" s="1"/>
  <c r="A2009" i="24" s="1"/>
  <c r="A2010" i="24"/>
  <c r="A2011" i="24"/>
  <c r="A2012" i="24"/>
  <c r="A2013" i="24"/>
  <c r="A2014" i="24"/>
  <c r="A2015" i="24"/>
  <c r="A2016" i="24"/>
  <c r="A2017" i="24"/>
  <c r="A2018" i="24"/>
  <c r="A2019" i="24"/>
  <c r="A2020" i="24"/>
  <c r="A2021" i="24"/>
  <c r="A2022" i="24"/>
  <c r="A2023" i="24"/>
  <c r="A2024" i="24"/>
  <c r="A2025" i="24"/>
  <c r="A2026" i="24"/>
  <c r="A2027" i="24" s="1"/>
  <c r="A2028" i="24" s="1"/>
  <c r="A2029" i="24" s="1"/>
  <c r="A2030" i="24"/>
  <c r="A2031" i="24"/>
  <c r="A2032" i="24"/>
  <c r="A2033" i="24"/>
  <c r="A2034" i="24"/>
  <c r="A2035" i="24"/>
  <c r="A2036" i="24"/>
  <c r="A2037" i="24"/>
  <c r="A2038" i="24"/>
  <c r="A2039" i="24" s="1"/>
  <c r="A2040" i="24" s="1"/>
  <c r="A2041" i="24" s="1"/>
  <c r="A2042" i="24" s="1"/>
  <c r="A2043" i="24" s="1"/>
  <c r="A2044" i="24"/>
  <c r="A2045" i="24"/>
  <c r="A2046" i="24"/>
  <c r="A2047" i="24" s="1"/>
  <c r="A2048" i="24" s="1"/>
  <c r="A2049" i="24" s="1"/>
  <c r="A2050" i="24"/>
  <c r="A2051" i="24"/>
  <c r="A2052" i="24"/>
  <c r="A2053" i="24"/>
  <c r="A2054" i="24"/>
  <c r="A2055" i="24"/>
  <c r="A2056" i="24"/>
  <c r="A2057" i="24"/>
  <c r="A2058" i="24"/>
  <c r="A2059" i="24"/>
  <c r="A2060" i="24"/>
  <c r="A2061" i="24"/>
  <c r="A2062" i="24"/>
  <c r="A2063" i="24"/>
  <c r="A2064" i="24"/>
  <c r="A2065" i="24"/>
  <c r="A2066" i="24"/>
  <c r="A2067" i="24"/>
  <c r="A2068" i="24"/>
  <c r="A2069" i="24"/>
  <c r="A2070" i="24"/>
  <c r="A2071" i="24"/>
  <c r="A2072" i="24"/>
  <c r="A2073" i="24"/>
  <c r="A2074" i="24"/>
  <c r="A2075" i="24"/>
  <c r="A2076" i="24"/>
  <c r="A2077" i="24"/>
  <c r="A2078" i="24"/>
  <c r="A2079" i="24"/>
  <c r="A2080" i="24"/>
  <c r="A2081" i="24"/>
  <c r="A2082" i="24"/>
  <c r="A2083" i="24"/>
  <c r="A2084" i="24"/>
  <c r="A2085" i="24"/>
  <c r="A2086" i="24"/>
  <c r="A2087" i="24"/>
  <c r="A2088" i="24" s="1"/>
  <c r="A2089" i="24" s="1"/>
  <c r="A2090" i="24" s="1"/>
  <c r="A2091" i="24"/>
  <c r="A2092" i="24"/>
  <c r="A2093" i="24"/>
  <c r="A2094" i="24"/>
  <c r="A2095" i="24"/>
  <c r="A2096" i="24"/>
  <c r="A2097" i="24"/>
  <c r="A2098" i="24"/>
  <c r="A2099" i="24"/>
  <c r="A2100" i="24"/>
  <c r="A2101" i="24"/>
  <c r="A2102" i="24"/>
  <c r="A2103" i="24"/>
  <c r="A2104" i="24"/>
  <c r="A2105" i="24"/>
  <c r="A2106" i="24"/>
  <c r="A2107" i="24"/>
  <c r="A2108" i="24"/>
  <c r="A2109" i="24"/>
  <c r="A2110" i="24"/>
  <c r="A2111" i="24"/>
  <c r="A2112" i="24"/>
  <c r="A2113" i="24"/>
  <c r="A2114" i="24"/>
  <c r="A2115" i="24"/>
  <c r="A2116" i="24"/>
  <c r="A2117" i="24"/>
  <c r="A2118" i="24"/>
  <c r="A2119" i="24"/>
  <c r="A2120" i="24"/>
  <c r="A2121" i="24"/>
  <c r="A2122" i="24"/>
  <c r="A2123" i="24"/>
  <c r="A2124" i="24"/>
  <c r="A2125" i="24"/>
  <c r="A2126" i="24" s="1"/>
  <c r="A2127" i="24" s="1"/>
  <c r="A2128" i="24" s="1"/>
  <c r="A2129" i="24"/>
  <c r="A2130" i="24" s="1"/>
  <c r="A2131" i="24" s="1"/>
  <c r="A2132" i="24" s="1"/>
  <c r="A2133" i="24" s="1"/>
  <c r="A2134" i="24" s="1"/>
  <c r="A2135" i="24" s="1"/>
  <c r="A2136" i="24" s="1"/>
  <c r="A2137" i="24" s="1"/>
  <c r="A2138" i="24" s="1"/>
  <c r="A2139" i="24" s="1"/>
  <c r="A2140" i="24" s="1"/>
  <c r="A2141" i="24" s="1"/>
  <c r="A2142" i="24" s="1"/>
  <c r="A2143" i="24" s="1"/>
  <c r="A2144" i="24"/>
  <c r="A2145" i="24"/>
  <c r="A2146" i="24"/>
  <c r="A2147" i="24"/>
  <c r="A2148" i="24"/>
  <c r="A2149" i="24"/>
  <c r="A2150" i="24"/>
  <c r="A2151" i="24"/>
  <c r="A2152" i="24"/>
  <c r="A2153" i="24"/>
  <c r="A2154" i="24"/>
  <c r="A2155" i="24"/>
  <c r="A2156" i="24" s="1"/>
  <c r="A2157" i="24" s="1"/>
  <c r="A2158" i="24" s="1"/>
  <c r="A2159" i="24"/>
  <c r="A2160" i="24"/>
  <c r="A2161" i="24"/>
  <c r="A2162" i="24"/>
  <c r="A2163" i="24" s="1"/>
  <c r="A2164" i="24" s="1"/>
  <c r="A2165" i="24"/>
  <c r="A2166" i="24"/>
  <c r="A2167" i="24"/>
  <c r="A2168" i="24"/>
  <c r="A2169" i="24"/>
  <c r="A2170" i="24"/>
  <c r="A2171" i="24"/>
  <c r="A2172" i="24"/>
  <c r="A2173" i="24"/>
  <c r="A2174" i="24"/>
  <c r="A2175" i="24"/>
  <c r="A2176" i="24" s="1"/>
  <c r="A2177" i="24" s="1"/>
  <c r="A2178" i="24"/>
  <c r="A2179" i="24"/>
  <c r="A2180" i="24"/>
  <c r="A2181" i="24"/>
  <c r="A2182" i="24"/>
  <c r="A2183" i="24" s="1"/>
  <c r="A2184" i="24" s="1"/>
  <c r="A2185" i="24"/>
  <c r="A2186" i="24"/>
  <c r="A2187" i="24"/>
  <c r="A2188" i="24"/>
  <c r="A2189" i="24"/>
  <c r="A2190" i="24"/>
  <c r="A2191" i="24"/>
  <c r="A2192" i="24"/>
  <c r="A2193" i="24"/>
  <c r="A2194" i="24" s="1"/>
  <c r="A2195" i="24" s="1"/>
  <c r="A2196" i="24" s="1"/>
  <c r="A2197" i="24" s="1"/>
  <c r="A2198" i="24"/>
  <c r="A2199" i="24"/>
  <c r="A2200" i="24"/>
  <c r="A2201" i="24"/>
  <c r="A2202" i="24"/>
  <c r="A2203" i="24"/>
  <c r="A2204" i="24"/>
  <c r="A2205" i="24"/>
  <c r="A2206" i="24"/>
  <c r="A2207" i="24"/>
  <c r="A2208" i="24"/>
  <c r="A2209" i="24"/>
  <c r="A2210" i="24"/>
  <c r="A2211" i="24" s="1"/>
  <c r="A2212" i="24" s="1"/>
  <c r="A2213" i="24"/>
  <c r="A2214" i="24" s="1"/>
  <c r="A2215" i="24" s="1"/>
  <c r="A2216" i="24" s="1"/>
  <c r="A2217" i="24" s="1"/>
  <c r="A2218" i="24" s="1"/>
  <c r="A2219" i="24" s="1"/>
  <c r="A2220" i="24"/>
  <c r="A2221" i="24"/>
  <c r="A2222" i="24"/>
  <c r="A2223" i="24"/>
  <c r="A2224" i="24"/>
  <c r="A2225" i="24"/>
  <c r="A2226" i="24"/>
  <c r="A2227" i="24"/>
  <c r="A2228" i="24"/>
  <c r="A2229" i="24" s="1"/>
  <c r="A2230" i="24" s="1"/>
  <c r="A2231" i="24" s="1"/>
  <c r="A2232" i="24" s="1"/>
  <c r="A2233" i="24"/>
  <c r="A2234" i="24"/>
  <c r="A2235" i="24"/>
  <c r="A2236" i="24"/>
  <c r="A2237" i="24"/>
  <c r="A2238" i="24"/>
  <c r="A2239" i="24"/>
  <c r="A2240" i="24"/>
  <c r="A2241" i="24"/>
  <c r="A2242" i="24"/>
  <c r="A2243" i="24"/>
  <c r="A2244" i="24"/>
  <c r="A2245" i="24"/>
  <c r="A2246" i="24"/>
  <c r="A2247" i="24"/>
  <c r="A2248" i="24"/>
  <c r="A2249" i="24"/>
  <c r="A2250" i="24"/>
  <c r="A2251" i="24"/>
  <c r="A2252" i="24"/>
  <c r="A2253" i="24"/>
  <c r="A2254" i="24"/>
  <c r="A2255" i="24"/>
  <c r="A2256" i="24" s="1"/>
  <c r="A2257" i="24" s="1"/>
  <c r="A2258" i="24"/>
  <c r="A2259" i="24"/>
  <c r="A2260" i="24" s="1"/>
  <c r="A2261" i="24" s="1"/>
  <c r="A2262" i="24"/>
  <c r="A2263" i="24"/>
  <c r="A2264" i="24" s="1"/>
  <c r="A2265" i="24" s="1"/>
  <c r="A2266" i="24" s="1"/>
  <c r="A2267" i="24" s="1"/>
  <c r="A2268" i="24" s="1"/>
  <c r="A2269" i="24" s="1"/>
  <c r="A2270" i="24" s="1"/>
  <c r="A2271" i="24" s="1"/>
  <c r="A2272" i="24" s="1"/>
  <c r="A2273" i="24"/>
  <c r="A2274" i="24"/>
  <c r="A2275" i="24"/>
  <c r="A2276" i="24"/>
  <c r="A2277" i="24"/>
  <c r="A2278" i="24"/>
  <c r="A2279" i="24"/>
  <c r="A2280" i="24" s="1"/>
  <c r="A2281" i="24" s="1"/>
  <c r="A2282" i="24"/>
  <c r="A2283" i="24"/>
  <c r="A2284" i="24"/>
  <c r="A2285" i="24"/>
  <c r="A2286" i="24"/>
  <c r="A2287" i="24"/>
  <c r="A2288" i="24"/>
  <c r="A2289" i="24"/>
  <c r="A2290" i="24"/>
  <c r="A2291" i="24" s="1"/>
  <c r="A2292" i="24" s="1"/>
  <c r="A2293" i="24" s="1"/>
  <c r="A2294" i="24" s="1"/>
  <c r="A2295" i="24" s="1"/>
  <c r="A2296" i="24"/>
  <c r="A2297" i="24"/>
  <c r="A2298" i="24"/>
  <c r="A2299" i="24" s="1"/>
  <c r="A2300" i="24" s="1"/>
  <c r="A2301" i="24" s="1"/>
  <c r="A2302" i="24" s="1"/>
  <c r="A2303" i="24"/>
  <c r="A2304" i="24" s="1"/>
  <c r="A2305" i="24" s="1"/>
  <c r="A2306" i="24" s="1"/>
  <c r="A2307" i="24"/>
  <c r="A2308" i="24"/>
  <c r="A2309" i="24"/>
  <c r="A2310" i="24"/>
  <c r="A2311" i="24"/>
  <c r="A2312" i="24"/>
  <c r="A2313" i="24"/>
  <c r="A2314" i="24"/>
  <c r="A2315" i="24"/>
  <c r="A2316" i="24"/>
  <c r="A2317" i="24"/>
  <c r="A2318" i="24" s="1"/>
  <c r="A2319" i="24" s="1"/>
  <c r="A2320" i="24" s="1"/>
  <c r="A2321" i="24" s="1"/>
  <c r="A2322" i="24" s="1"/>
  <c r="A2323" i="24" s="1"/>
  <c r="A2324" i="24"/>
  <c r="A2325" i="24"/>
  <c r="A2326" i="24"/>
  <c r="A2327" i="24" s="1"/>
  <c r="A2328" i="24" s="1"/>
  <c r="A2329" i="24"/>
  <c r="A2330" i="24"/>
  <c r="A2331" i="24" s="1"/>
  <c r="A2332" i="24" s="1"/>
  <c r="A2333" i="24" s="1"/>
  <c r="A2334" i="24"/>
  <c r="A2335" i="24"/>
  <c r="A2336" i="24"/>
  <c r="A2337" i="24"/>
  <c r="A2338" i="24"/>
  <c r="A2339" i="24"/>
  <c r="A2340" i="24"/>
  <c r="A2341" i="24"/>
  <c r="A2342" i="24"/>
  <c r="A2343" i="24"/>
  <c r="A2344" i="24"/>
  <c r="A2345" i="24"/>
  <c r="A2346" i="24"/>
  <c r="A2347" i="24"/>
  <c r="A2348" i="24"/>
  <c r="A2349" i="24"/>
  <c r="A2350" i="24"/>
  <c r="A2351" i="24"/>
  <c r="A2352" i="24"/>
  <c r="A2353" i="24"/>
  <c r="A2354" i="24"/>
  <c r="A2355" i="24"/>
  <c r="A2356" i="24"/>
  <c r="A2357" i="24"/>
  <c r="A2358" i="24"/>
  <c r="A2359" i="24" s="1"/>
  <c r="A2360" i="24" s="1"/>
  <c r="A2361" i="24"/>
  <c r="A2362" i="24" s="1"/>
  <c r="A2363" i="24" s="1"/>
  <c r="A2364" i="24" s="1"/>
  <c r="A2365" i="24" s="1"/>
  <c r="A2366" i="24"/>
  <c r="A2367" i="24" s="1"/>
  <c r="A2368" i="24" s="1"/>
  <c r="A2369" i="24" s="1"/>
  <c r="A2370" i="24" s="1"/>
  <c r="A2371" i="24" s="1"/>
  <c r="A2372" i="24" s="1"/>
  <c r="A2373" i="24" s="1"/>
  <c r="A2374" i="24" s="1"/>
  <c r="A2375" i="24" s="1"/>
  <c r="A2376" i="24" s="1"/>
  <c r="A2377" i="24" s="1"/>
  <c r="A2378" i="24" s="1"/>
  <c r="A2379" i="24" s="1"/>
  <c r="A2380" i="24" s="1"/>
  <c r="A2381" i="24" s="1"/>
  <c r="A2382" i="24" s="1"/>
  <c r="A2383" i="24" s="1"/>
  <c r="A2384" i="24" s="1"/>
  <c r="A2385" i="24" s="1"/>
  <c r="A2386" i="24" s="1"/>
  <c r="A2387" i="24" s="1"/>
  <c r="A2388" i="24" s="1"/>
  <c r="A2389" i="24" s="1"/>
  <c r="A2390" i="24" s="1"/>
  <c r="A2391" i="24" s="1"/>
  <c r="A2392" i="24" s="1"/>
  <c r="A2393" i="24" s="1"/>
  <c r="A2394" i="24" s="1"/>
  <c r="A2395" i="24"/>
  <c r="A2396" i="24"/>
  <c r="A2397" i="24"/>
  <c r="A2398" i="24" s="1"/>
  <c r="A2399" i="24" s="1"/>
  <c r="A2400" i="24"/>
  <c r="A2401" i="24"/>
  <c r="A2402" i="24"/>
  <c r="A2403" i="24"/>
  <c r="A2404" i="24"/>
  <c r="A2405" i="24"/>
  <c r="A2406" i="24" s="1"/>
  <c r="A2407" i="24" s="1"/>
  <c r="A2408" i="24" s="1"/>
  <c r="A2409" i="24" s="1"/>
  <c r="A2410" i="24" s="1"/>
  <c r="A2411" i="24" s="1"/>
  <c r="A2412" i="24" s="1"/>
  <c r="A2413" i="24" s="1"/>
  <c r="A2414" i="24" s="1"/>
  <c r="A2415" i="24" s="1"/>
  <c r="A2416" i="24"/>
  <c r="A2417" i="24"/>
  <c r="A2418" i="24"/>
  <c r="A2419" i="24"/>
  <c r="A2420" i="24"/>
  <c r="A2421" i="24"/>
  <c r="A2422" i="24"/>
  <c r="A2423" i="24" s="1"/>
  <c r="A2424" i="24" s="1"/>
  <c r="A2425" i="24" s="1"/>
  <c r="A2426" i="24"/>
  <c r="A2427" i="24"/>
  <c r="A2428" i="24"/>
  <c r="A2429" i="24"/>
  <c r="A2430" i="24"/>
  <c r="A2431" i="24"/>
  <c r="A2432" i="24"/>
  <c r="A2433" i="24"/>
  <c r="A2434" i="24"/>
  <c r="A2435" i="24"/>
  <c r="A2436" i="24"/>
  <c r="A2437" i="24"/>
  <c r="A2438" i="24"/>
  <c r="A2439" i="24"/>
  <c r="A2440" i="24" s="1"/>
  <c r="A2441" i="24" s="1"/>
  <c r="A2442" i="24" s="1"/>
  <c r="A2443" i="24"/>
  <c r="A2444" i="24" s="1"/>
  <c r="A2445" i="24" s="1"/>
  <c r="A2446" i="24" s="1"/>
  <c r="A2447" i="24" s="1"/>
  <c r="A2448" i="24" s="1"/>
  <c r="A2449" i="24" s="1"/>
  <c r="A2450" i="24" s="1"/>
  <c r="A2451" i="24" s="1"/>
  <c r="A2452" i="24" s="1"/>
  <c r="A2453" i="24" s="1"/>
  <c r="A2454" i="24" s="1"/>
  <c r="A2455" i="24" s="1"/>
  <c r="A2456" i="24" s="1"/>
  <c r="A2457" i="24"/>
  <c r="A2458" i="24"/>
  <c r="A2459" i="24"/>
  <c r="A2460" i="24"/>
  <c r="A2461" i="24"/>
  <c r="A2462" i="24" s="1"/>
  <c r="A2463" i="24" s="1"/>
  <c r="A2464" i="24"/>
  <c r="A2465" i="24"/>
  <c r="A2466" i="24"/>
  <c r="A2467" i="24"/>
  <c r="A2468" i="24"/>
  <c r="A2469" i="24"/>
  <c r="A2470" i="24"/>
  <c r="A2471" i="24"/>
  <c r="A2472" i="24"/>
  <c r="A2473" i="24"/>
  <c r="A2474" i="24"/>
  <c r="A2475" i="24"/>
  <c r="A2476" i="24"/>
  <c r="A2477" i="24"/>
  <c r="A2478" i="24"/>
  <c r="A2479" i="24"/>
  <c r="A2480" i="24"/>
  <c r="A2481" i="24"/>
  <c r="A2482" i="24" s="1"/>
  <c r="A2483" i="24" s="1"/>
  <c r="A2484" i="24" s="1"/>
  <c r="A2485" i="24"/>
  <c r="A2486" i="24"/>
  <c r="A2487" i="24"/>
  <c r="A2488" i="24"/>
  <c r="A2489" i="24"/>
  <c r="A2490" i="24"/>
  <c r="A2491" i="24"/>
  <c r="A2492" i="24"/>
  <c r="A2493" i="24"/>
  <c r="A2494" i="24"/>
  <c r="A2495" i="24"/>
  <c r="A2496" i="24"/>
  <c r="A2497" i="24"/>
  <c r="A2498" i="24"/>
  <c r="A2499" i="24"/>
  <c r="A2500" i="24"/>
  <c r="A2501" i="24"/>
  <c r="A2502" i="24"/>
  <c r="A2503" i="24"/>
  <c r="A2504" i="24"/>
  <c r="A2505" i="24"/>
  <c r="A2506" i="24"/>
  <c r="A2507" i="24"/>
  <c r="A2508" i="24"/>
  <c r="A2509" i="24"/>
  <c r="A2510" i="24"/>
  <c r="A2511" i="24"/>
  <c r="A2512" i="24"/>
  <c r="A2513" i="24"/>
  <c r="A2514" i="24"/>
  <c r="A2515" i="24"/>
  <c r="A2516" i="24"/>
  <c r="A2517" i="24"/>
  <c r="A2518" i="24"/>
  <c r="A2519" i="24"/>
  <c r="A2520" i="24"/>
  <c r="A2521" i="24"/>
  <c r="A2522" i="24"/>
  <c r="A2523" i="24"/>
  <c r="A2524" i="24"/>
  <c r="A2525" i="24"/>
  <c r="A2526" i="24"/>
  <c r="A2527" i="24"/>
  <c r="A2528" i="24"/>
  <c r="A2529" i="24"/>
  <c r="A2530" i="24"/>
  <c r="A2531" i="24"/>
  <c r="A2532" i="24"/>
  <c r="A2533" i="24"/>
  <c r="A2534" i="24"/>
  <c r="A2535" i="24"/>
  <c r="A2536" i="24"/>
  <c r="A2537" i="24"/>
  <c r="A2538" i="24"/>
  <c r="A2539" i="24"/>
  <c r="A2540" i="24"/>
  <c r="A2541" i="24"/>
  <c r="A2542" i="24"/>
  <c r="A2543" i="24"/>
  <c r="A2544" i="24"/>
  <c r="A2545" i="24"/>
  <c r="A2546" i="24"/>
  <c r="A2547" i="24"/>
  <c r="A2548" i="24"/>
  <c r="A2549" i="24"/>
  <c r="A2550" i="24"/>
  <c r="A2551" i="24" s="1"/>
  <c r="A2552" i="24" s="1"/>
  <c r="A2553" i="24" s="1"/>
  <c r="A2554" i="24"/>
  <c r="A2555" i="24"/>
  <c r="A2556" i="24"/>
  <c r="A2557" i="24"/>
  <c r="A2558" i="24"/>
  <c r="A2559" i="24"/>
  <c r="A2560" i="24"/>
  <c r="A2561" i="24"/>
  <c r="A2562" i="24"/>
  <c r="A2563" i="24"/>
  <c r="A2564" i="24"/>
  <c r="A2565" i="24"/>
  <c r="A2566" i="24" s="1"/>
  <c r="A2567" i="24" s="1"/>
  <c r="A2568" i="24" s="1"/>
  <c r="A2569" i="24"/>
  <c r="A2570" i="24"/>
  <c r="A2571" i="24"/>
  <c r="A2572" i="24"/>
  <c r="A2573" i="24"/>
  <c r="A2574" i="24" s="1"/>
  <c r="A2575" i="24" s="1"/>
  <c r="A2576" i="24"/>
  <c r="A2577" i="24"/>
  <c r="A2578" i="24"/>
  <c r="A2579" i="24"/>
  <c r="A2580" i="24"/>
  <c r="A2581" i="24" s="1"/>
  <c r="A2582" i="24" s="1"/>
  <c r="A2583" i="24" s="1"/>
  <c r="A2584" i="24" s="1"/>
  <c r="A2585" i="24" s="1"/>
  <c r="A2586" i="24" s="1"/>
  <c r="A2587" i="24" s="1"/>
  <c r="A2588" i="24" s="1"/>
  <c r="A2589" i="24" s="1"/>
  <c r="A2590" i="24"/>
  <c r="A2591" i="24"/>
  <c r="A2592" i="24"/>
  <c r="A2593" i="24"/>
  <c r="A2594" i="24"/>
  <c r="A2595" i="24"/>
  <c r="A2596" i="24"/>
  <c r="A2597" i="24" s="1"/>
  <c r="A2598" i="24" s="1"/>
  <c r="A2599" i="24" s="1"/>
  <c r="A2600" i="24" s="1"/>
  <c r="A2601" i="24" s="1"/>
  <c r="A2602" i="24" s="1"/>
  <c r="A2603" i="24"/>
  <c r="A2604" i="24"/>
  <c r="A2605" i="24" s="1"/>
  <c r="A2606" i="24" s="1"/>
  <c r="A2607" i="24"/>
  <c r="A2608" i="24"/>
  <c r="A2609" i="24"/>
  <c r="A2610" i="24"/>
  <c r="A2611" i="24"/>
  <c r="A2612" i="24"/>
  <c r="A2613" i="24"/>
  <c r="A2614" i="24"/>
  <c r="A2615" i="24"/>
  <c r="A2616" i="24"/>
  <c r="A2617" i="24"/>
  <c r="A2618" i="24"/>
  <c r="A2619" i="24"/>
  <c r="A2620" i="24"/>
  <c r="A2621" i="24"/>
  <c r="A2622" i="24"/>
  <c r="A2623" i="24"/>
  <c r="A2624" i="24" s="1"/>
  <c r="A2625" i="24" s="1"/>
  <c r="A2626" i="24" s="1"/>
  <c r="A2627" i="24" s="1"/>
  <c r="A2628" i="24" s="1"/>
  <c r="A2629" i="24" s="1"/>
  <c r="A2630" i="24" s="1"/>
  <c r="A2631" i="24" s="1"/>
  <c r="A2632" i="24" s="1"/>
  <c r="A2633" i="24" s="1"/>
  <c r="A2634" i="24"/>
  <c r="A2635" i="24"/>
  <c r="A2636" i="24"/>
  <c r="A2637" i="24"/>
  <c r="A2638" i="24"/>
  <c r="A2639" i="24"/>
  <c r="A2640" i="24"/>
  <c r="A2641" i="24"/>
  <c r="A2642" i="24"/>
  <c r="A2643" i="24" s="1"/>
  <c r="A2644" i="24" s="1"/>
  <c r="A2645" i="24"/>
  <c r="A2646" i="24"/>
  <c r="A2647" i="24"/>
  <c r="A2648" i="24"/>
  <c r="A2649" i="24"/>
  <c r="A2650" i="24"/>
  <c r="A2651" i="24"/>
  <c r="A2652" i="24"/>
  <c r="A2653" i="24"/>
  <c r="A2654" i="24"/>
  <c r="A2655" i="24"/>
  <c r="A2656" i="24"/>
  <c r="A2657" i="24" s="1"/>
  <c r="A2658" i="24" s="1"/>
  <c r="A2659" i="24" s="1"/>
  <c r="A2660" i="24" s="1"/>
  <c r="A2661" i="24" s="1"/>
  <c r="A2662" i="24" s="1"/>
  <c r="A2663" i="24"/>
  <c r="A2664" i="24"/>
  <c r="A2665" i="24"/>
  <c r="A2666" i="24"/>
  <c r="A2667" i="24" s="1"/>
  <c r="A2668" i="24" s="1"/>
  <c r="A2669" i="24" s="1"/>
  <c r="A2670" i="24" s="1"/>
  <c r="A2671" i="24" s="1"/>
  <c r="A2672" i="24" s="1"/>
  <c r="A2673" i="24" s="1"/>
  <c r="A2674" i="24" s="1"/>
  <c r="A2675" i="24" s="1"/>
  <c r="A2676" i="24" s="1"/>
  <c r="A2677" i="24" s="1"/>
  <c r="A2678" i="24" s="1"/>
  <c r="A2679" i="24" s="1"/>
  <c r="A2680" i="24" s="1"/>
  <c r="A2681" i="24" s="1"/>
  <c r="A2682" i="24"/>
  <c r="A2683" i="24"/>
  <c r="A2684" i="24"/>
  <c r="A2685" i="24"/>
  <c r="A2686" i="24"/>
  <c r="A2687" i="24"/>
  <c r="A2688" i="24" s="1"/>
  <c r="A2689" i="24" s="1"/>
  <c r="A2690" i="24" s="1"/>
  <c r="A2691" i="24"/>
  <c r="A2692" i="24"/>
  <c r="A2693" i="24"/>
  <c r="A2694" i="24"/>
  <c r="A2695" i="24"/>
  <c r="A2696" i="24"/>
  <c r="A2697" i="24" s="1"/>
  <c r="A2698" i="24" s="1"/>
  <c r="A2699" i="24"/>
  <c r="A2700" i="24"/>
  <c r="A2701" i="24" s="1"/>
  <c r="A2702" i="24" s="1"/>
  <c r="A2703" i="24" s="1"/>
  <c r="A2704" i="24" s="1"/>
  <c r="A2705" i="24" s="1"/>
  <c r="A2706" i="24" s="1"/>
  <c r="A2707" i="24" s="1"/>
  <c r="A2708" i="24" s="1"/>
  <c r="A2709" i="24" s="1"/>
  <c r="A2710" i="24" s="1"/>
  <c r="A2711" i="24" s="1"/>
  <c r="A2712" i="24" s="1"/>
  <c r="A2713" i="24" s="1"/>
  <c r="A2714" i="24" s="1"/>
  <c r="A2715" i="24" s="1"/>
  <c r="A2716" i="24" s="1"/>
  <c r="A2717" i="24" s="1"/>
  <c r="A2718" i="24" s="1"/>
  <c r="A2719" i="24" s="1"/>
  <c r="A2720" i="24" s="1"/>
  <c r="A2721" i="24" s="1"/>
  <c r="A2722" i="24" s="1"/>
  <c r="A2723" i="24" s="1"/>
  <c r="A2724" i="24" s="1"/>
  <c r="A2725" i="24" s="1"/>
  <c r="A2726" i="24" s="1"/>
  <c r="A2727" i="24" s="1"/>
  <c r="A2728" i="24" s="1"/>
  <c r="A2729" i="24" s="1"/>
  <c r="A2730" i="24" s="1"/>
  <c r="A2731" i="24" s="1"/>
  <c r="A2732" i="24" s="1"/>
  <c r="A2733" i="24" s="1"/>
  <c r="A2734" i="24" s="1"/>
  <c r="A2735" i="24" s="1"/>
  <c r="A2736" i="24" s="1"/>
  <c r="A2737" i="24" s="1"/>
  <c r="A2738" i="24" s="1"/>
  <c r="A2739" i="24" s="1"/>
  <c r="A2740" i="24" s="1"/>
  <c r="A2741" i="24" s="1"/>
  <c r="A2742" i="24" s="1"/>
  <c r="A2743" i="24" s="1"/>
  <c r="A2744" i="24" s="1"/>
  <c r="A2745" i="24" s="1"/>
  <c r="A2746" i="24" s="1"/>
  <c r="A2747" i="24" s="1"/>
  <c r="A2748" i="24" s="1"/>
  <c r="A2749" i="24"/>
  <c r="A2750" i="24" s="1"/>
  <c r="A2751" i="24" s="1"/>
  <c r="A2752" i="24"/>
  <c r="A2753" i="24"/>
  <c r="A2754" i="24"/>
  <c r="A2755" i="24"/>
  <c r="A2756" i="24"/>
  <c r="A2757" i="24"/>
  <c r="A2758" i="24" s="1"/>
  <c r="A2759" i="24" s="1"/>
  <c r="A2760" i="24"/>
  <c r="A2761" i="24"/>
  <c r="A2762" i="24"/>
  <c r="A2763" i="24"/>
  <c r="A2764" i="24"/>
  <c r="A2765" i="24"/>
  <c r="A2766" i="24"/>
  <c r="A2767" i="24"/>
  <c r="A2768" i="24" s="1"/>
  <c r="A2769" i="24" s="1"/>
  <c r="A2770" i="24"/>
  <c r="A2771" i="24"/>
  <c r="A2772" i="24"/>
  <c r="A2773" i="24"/>
  <c r="A2774" i="24"/>
  <c r="A2775" i="24"/>
  <c r="A2776" i="24"/>
  <c r="A2777" i="24" s="1"/>
  <c r="A2778" i="24" s="1"/>
  <c r="A2779" i="24" s="1"/>
  <c r="A2780" i="24" s="1"/>
  <c r="A2781" i="24"/>
  <c r="A2782" i="24"/>
  <c r="A2783" i="24"/>
  <c r="A2784" i="24"/>
  <c r="A2785" i="24"/>
  <c r="A2786" i="24"/>
  <c r="A2787" i="24"/>
  <c r="A2788" i="24"/>
  <c r="A2789" i="24"/>
  <c r="A2790" i="24"/>
  <c r="A2791" i="24"/>
  <c r="A2792" i="24"/>
  <c r="A2793" i="24"/>
  <c r="A2794" i="24"/>
  <c r="A2795" i="24" s="1"/>
  <c r="A2796" i="24" s="1"/>
  <c r="A2797" i="24" s="1"/>
  <c r="A2798" i="24" s="1"/>
  <c r="A2799" i="24" s="1"/>
  <c r="A2800" i="24" s="1"/>
  <c r="A2801" i="24" s="1"/>
  <c r="A2802" i="24"/>
  <c r="A2803" i="24"/>
  <c r="A2804" i="24"/>
  <c r="A2805" i="24" s="1"/>
  <c r="A2806" i="24" s="1"/>
  <c r="A2807" i="24" s="1"/>
  <c r="A2808" i="24" s="1"/>
  <c r="A2809" i="24" s="1"/>
  <c r="A2810" i="24" s="1"/>
  <c r="A2811" i="24" s="1"/>
  <c r="A2812" i="24" s="1"/>
  <c r="A2813" i="24" s="1"/>
  <c r="A2814" i="24" s="1"/>
  <c r="A2815" i="24" s="1"/>
  <c r="A2816" i="24" s="1"/>
  <c r="A2817" i="24" s="1"/>
  <c r="A2818" i="24" s="1"/>
  <c r="A2819" i="24" s="1"/>
  <c r="A2820" i="24" s="1"/>
  <c r="A2821" i="24" s="1"/>
  <c r="A2822" i="24" s="1"/>
  <c r="A2823" i="24" s="1"/>
  <c r="A2824" i="24" s="1"/>
  <c r="A2825" i="24" s="1"/>
  <c r="A2826" i="24" s="1"/>
  <c r="A2827" i="24" s="1"/>
  <c r="A2828" i="24"/>
  <c r="A2829" i="24"/>
  <c r="A2830" i="24"/>
  <c r="A2831" i="24"/>
  <c r="A2832" i="24"/>
  <c r="A2833" i="24"/>
  <c r="A2834" i="24"/>
  <c r="A2835" i="24"/>
  <c r="A2836" i="24" s="1"/>
  <c r="A2837" i="24" s="1"/>
  <c r="A2838" i="24"/>
  <c r="A2839" i="24"/>
  <c r="A2840" i="24"/>
  <c r="A2841" i="24"/>
  <c r="A2842" i="24"/>
  <c r="A2843" i="24"/>
  <c r="A2844" i="24"/>
  <c r="A2845" i="24"/>
  <c r="A2846" i="24"/>
  <c r="A2847" i="24"/>
  <c r="A2848" i="24"/>
  <c r="A2849" i="24"/>
  <c r="A2850" i="24"/>
  <c r="A2851" i="24"/>
  <c r="A2852" i="24"/>
  <c r="A2853" i="24"/>
  <c r="A2854" i="24"/>
  <c r="A2855" i="24"/>
  <c r="A2856" i="24"/>
  <c r="A2857" i="24" s="1"/>
  <c r="A2858" i="24" s="1"/>
  <c r="A2859" i="24"/>
  <c r="A2860" i="24"/>
  <c r="A2861" i="24"/>
  <c r="A2862" i="24" s="1"/>
  <c r="A2863" i="24" s="1"/>
  <c r="A2864" i="24" s="1"/>
  <c r="A2865" i="24" s="1"/>
  <c r="A2866" i="24" s="1"/>
  <c r="A2867" i="24" s="1"/>
  <c r="A2868" i="24" s="1"/>
  <c r="A2869" i="24" s="1"/>
  <c r="A2870" i="24" s="1"/>
  <c r="A2871" i="24" s="1"/>
  <c r="A2872" i="24" s="1"/>
  <c r="A2873" i="24" s="1"/>
  <c r="A2874" i="24" s="1"/>
  <c r="A2875" i="24" s="1"/>
  <c r="A2876" i="24" s="1"/>
  <c r="A2877" i="24"/>
  <c r="A2878" i="24"/>
  <c r="A2879" i="24" s="1"/>
  <c r="A2880" i="24" s="1"/>
  <c r="A2881" i="24" s="1"/>
  <c r="A2882" i="24" s="1"/>
  <c r="A2883" i="24"/>
  <c r="A2884" i="24"/>
  <c r="A2885" i="24"/>
  <c r="A2886" i="24"/>
  <c r="A2887" i="24"/>
  <c r="A2888" i="24"/>
  <c r="A2889" i="24"/>
  <c r="A2890" i="24"/>
  <c r="A2891" i="24"/>
  <c r="A2892" i="24"/>
  <c r="A2893" i="24"/>
  <c r="A2894" i="24"/>
  <c r="A2895" i="24"/>
  <c r="A2896" i="24"/>
  <c r="A2897" i="24"/>
  <c r="A2898" i="24"/>
  <c r="A2899" i="24"/>
  <c r="A2900" i="24"/>
  <c r="A2901" i="24"/>
  <c r="A2902" i="24" s="1"/>
  <c r="A2903" i="24" s="1"/>
  <c r="A2904" i="24"/>
  <c r="A2905" i="24"/>
  <c r="A2906" i="24"/>
  <c r="A2907" i="24" s="1"/>
  <c r="A2908" i="24" s="1"/>
  <c r="A2909" i="24" s="1"/>
  <c r="A2910" i="24" s="1"/>
  <c r="A2911" i="24" s="1"/>
  <c r="A2912" i="24" s="1"/>
  <c r="A2913" i="24" s="1"/>
  <c r="A2914" i="24" s="1"/>
  <c r="A2915" i="24"/>
  <c r="A2916" i="24"/>
  <c r="A2917" i="24"/>
  <c r="A2918" i="24"/>
  <c r="A2919" i="24" s="1"/>
  <c r="A2920" i="24" s="1"/>
  <c r="A2921" i="24" s="1"/>
  <c r="A2922" i="24" s="1"/>
  <c r="A2923" i="24" s="1"/>
  <c r="A2924" i="24" s="1"/>
  <c r="A2925" i="24" s="1"/>
  <c r="A2926" i="24" s="1"/>
  <c r="A2927" i="24" s="1"/>
  <c r="A2928" i="24" s="1"/>
  <c r="A2929" i="24" s="1"/>
  <c r="A2930" i="24" s="1"/>
  <c r="A2931" i="24" s="1"/>
  <c r="A2932" i="24" s="1"/>
  <c r="A2933" i="24" s="1"/>
  <c r="A2934" i="24"/>
  <c r="A2935" i="24"/>
  <c r="A2936" i="24"/>
  <c r="A2937" i="24"/>
  <c r="A2938" i="24"/>
  <c r="A2939" i="24"/>
  <c r="A2940" i="24"/>
  <c r="A2941" i="24"/>
  <c r="A2942" i="24"/>
  <c r="A2943" i="24"/>
  <c r="A2944" i="24"/>
  <c r="A2945" i="24"/>
  <c r="A2946" i="24" s="1"/>
  <c r="A2947" i="24" s="1"/>
  <c r="A2948" i="24" s="1"/>
  <c r="A2949" i="24" s="1"/>
  <c r="A2950" i="24" s="1"/>
  <c r="A2951" i="24" s="1"/>
  <c r="A2952" i="24"/>
  <c r="A2953" i="24"/>
  <c r="A2954" i="24" s="1"/>
  <c r="A2955" i="24" s="1"/>
  <c r="A2956" i="24" s="1"/>
  <c r="A2957" i="24" s="1"/>
  <c r="A2958" i="24"/>
  <c r="A2959" i="24"/>
  <c r="A2960" i="24"/>
  <c r="A2961" i="24"/>
  <c r="A2962" i="24"/>
  <c r="A2963" i="24"/>
  <c r="A2964" i="24"/>
  <c r="A2965" i="24"/>
  <c r="A2966" i="24"/>
  <c r="A2967" i="24"/>
  <c r="A2968" i="24" s="1"/>
  <c r="A2969" i="24" s="1"/>
  <c r="A2970" i="24" s="1"/>
  <c r="A2971" i="24" s="1"/>
  <c r="A2972" i="24" s="1"/>
  <c r="A2973" i="24" s="1"/>
  <c r="A2974" i="24"/>
  <c r="A2975" i="24" s="1"/>
  <c r="A2976" i="24" s="1"/>
  <c r="A2977" i="24" s="1"/>
  <c r="A2978" i="24" s="1"/>
  <c r="A2979" i="24" s="1"/>
  <c r="A2980" i="24" s="1"/>
  <c r="A2981" i="24" s="1"/>
  <c r="A2982" i="24" s="1"/>
  <c r="A2983" i="24" s="1"/>
  <c r="A2984" i="24" s="1"/>
  <c r="A2985" i="24" s="1"/>
  <c r="A2986" i="24" s="1"/>
  <c r="A2987" i="24" s="1"/>
  <c r="A2988" i="24" s="1"/>
  <c r="A2989" i="24" s="1"/>
  <c r="A2990" i="24" s="1"/>
  <c r="A2991" i="24" s="1"/>
  <c r="A2992" i="24" s="1"/>
  <c r="A2993" i="24" s="1"/>
  <c r="A2994" i="24" s="1"/>
  <c r="A2995" i="24" s="1"/>
  <c r="A2996" i="24" s="1"/>
  <c r="A2997" i="24" s="1"/>
  <c r="A2998" i="24" s="1"/>
  <c r="A2999" i="24" s="1"/>
  <c r="A3000" i="24" s="1"/>
  <c r="A3001" i="24" s="1"/>
  <c r="A3002" i="24" s="1"/>
  <c r="A3003" i="24" s="1"/>
  <c r="A3004" i="24" s="1"/>
  <c r="A3005" i="24" s="1"/>
  <c r="A3006" i="24" s="1"/>
  <c r="A3007" i="24" s="1"/>
  <c r="A3008" i="24" s="1"/>
  <c r="A3009" i="24" s="1"/>
  <c r="A3010" i="24" s="1"/>
  <c r="A3011" i="24" s="1"/>
  <c r="A3012" i="24" s="1"/>
  <c r="A3013" i="24" s="1"/>
  <c r="A3014" i="24" s="1"/>
  <c r="A3015" i="24" s="1"/>
  <c r="A3016" i="24" s="1"/>
  <c r="A3017" i="24" s="1"/>
  <c r="A3018" i="24" s="1"/>
  <c r="A3019" i="24" s="1"/>
  <c r="A3020" i="24" s="1"/>
  <c r="A3021" i="24" s="1"/>
  <c r="A3022" i="24" s="1"/>
  <c r="A3023" i="24" s="1"/>
  <c r="A3024" i="24" s="1"/>
  <c r="A3025" i="24" s="1"/>
  <c r="A3026" i="24" s="1"/>
  <c r="A3027" i="24" s="1"/>
  <c r="A3028" i="24"/>
  <c r="A3029" i="24"/>
  <c r="A3030" i="24"/>
  <c r="A3031" i="24"/>
  <c r="A3032" i="24"/>
  <c r="A3033" i="24"/>
  <c r="A3034" i="24"/>
  <c r="A3035" i="24"/>
  <c r="A3036" i="24"/>
  <c r="A3037" i="24"/>
  <c r="A3038" i="24"/>
  <c r="A3039" i="24" s="1"/>
  <c r="A3040" i="24" s="1"/>
  <c r="A3041" i="24"/>
  <c r="A3042" i="24"/>
  <c r="A3043" i="24"/>
  <c r="A3044" i="24"/>
  <c r="A3045" i="24" s="1"/>
  <c r="A3046" i="24" s="1"/>
  <c r="A3047" i="24"/>
  <c r="A3048" i="24" s="1"/>
  <c r="A3049" i="24" s="1"/>
  <c r="A3050" i="24" s="1"/>
  <c r="A3051" i="24" s="1"/>
  <c r="A3052" i="24" s="1"/>
  <c r="A3053" i="24"/>
  <c r="A3054" i="24"/>
  <c r="A3055" i="24" s="1"/>
  <c r="A3056" i="24" s="1"/>
  <c r="A3057" i="24" s="1"/>
  <c r="A3058" i="24" s="1"/>
  <c r="A3059" i="24" s="1"/>
  <c r="A3060" i="24" s="1"/>
  <c r="A3061" i="24" s="1"/>
  <c r="A3062" i="24" s="1"/>
  <c r="A3063" i="24" s="1"/>
  <c r="A3064" i="24" s="1"/>
  <c r="A3065" i="24" s="1"/>
  <c r="A3066" i="24" s="1"/>
  <c r="A3067" i="24" s="1"/>
  <c r="A3068" i="24" s="1"/>
  <c r="A3069" i="24" s="1"/>
  <c r="A3070" i="24" s="1"/>
  <c r="A3071" i="24" s="1"/>
  <c r="A3072" i="24" s="1"/>
  <c r="A3073" i="24" s="1"/>
  <c r="A3074" i="24" s="1"/>
  <c r="A3075" i="24" s="1"/>
  <c r="A3076" i="24"/>
  <c r="A3077" i="24"/>
  <c r="A3078" i="24"/>
  <c r="A3079" i="24"/>
  <c r="A3080" i="24"/>
  <c r="A3081" i="24"/>
  <c r="A3082" i="24" s="1"/>
  <c r="A3083" i="24" s="1"/>
  <c r="A3084" i="24"/>
  <c r="A3085" i="24"/>
  <c r="A3086" i="24"/>
  <c r="A3087" i="24"/>
  <c r="A3088" i="24"/>
  <c r="A3089" i="24"/>
  <c r="A3090" i="24" s="1"/>
  <c r="A3091" i="24" s="1"/>
  <c r="A3092" i="24"/>
  <c r="A3093" i="24"/>
  <c r="A3094" i="24"/>
  <c r="A3095" i="24" s="1"/>
  <c r="A3096" i="24" s="1"/>
  <c r="A3097" i="24"/>
  <c r="A3098" i="24"/>
  <c r="A3099" i="24"/>
  <c r="A3100" i="24"/>
  <c r="A3101" i="24"/>
  <c r="A3102" i="24"/>
  <c r="A3103" i="24"/>
  <c r="A3104" i="24"/>
  <c r="A3105" i="24"/>
  <c r="A3106" i="24"/>
  <c r="A3107" i="24"/>
  <c r="A3108" i="24"/>
  <c r="A3109" i="24"/>
  <c r="A3110" i="24"/>
  <c r="A3111" i="24"/>
  <c r="A3112" i="24"/>
  <c r="A3113" i="24"/>
  <c r="A3114" i="24" s="1"/>
  <c r="A3115" i="24" s="1"/>
  <c r="A3116" i="24" s="1"/>
  <c r="A3117" i="24" s="1"/>
  <c r="A3118" i="24"/>
  <c r="A3119" i="24" s="1"/>
  <c r="A3120" i="24" s="1"/>
  <c r="A3121" i="24" s="1"/>
  <c r="A3122" i="24" s="1"/>
  <c r="A3123" i="24" s="1"/>
  <c r="A3124" i="24" s="1"/>
  <c r="A3125" i="24" s="1"/>
  <c r="A3126" i="24" s="1"/>
  <c r="A3127" i="24" s="1"/>
  <c r="A3128" i="24" s="1"/>
  <c r="A3129" i="24"/>
  <c r="A3130" i="24"/>
  <c r="A3131" i="24"/>
  <c r="A3132" i="24" s="1"/>
  <c r="A3133" i="24" s="1"/>
  <c r="A3134" i="24" s="1"/>
  <c r="A3135" i="24" s="1"/>
  <c r="A3136" i="24" s="1"/>
  <c r="A3137" i="24" s="1"/>
  <c r="A3138" i="24"/>
  <c r="A3139" i="24"/>
  <c r="A3140" i="24"/>
  <c r="A3141" i="24"/>
  <c r="A3142" i="24"/>
  <c r="A3143" i="24"/>
  <c r="A3144" i="24"/>
  <c r="A3145" i="24"/>
  <c r="A3146" i="24"/>
  <c r="A3147" i="24" s="1"/>
  <c r="A3148" i="24" s="1"/>
  <c r="A3149" i="24" s="1"/>
  <c r="A3150" i="24" s="1"/>
  <c r="A3151" i="24"/>
  <c r="A3152" i="24" s="1"/>
  <c r="A3153" i="24" s="1"/>
  <c r="A3154" i="24" s="1"/>
  <c r="A3155" i="24" s="1"/>
  <c r="A3156" i="24" s="1"/>
  <c r="A3157" i="24" s="1"/>
  <c r="A3158" i="24"/>
  <c r="A3159" i="24" s="1"/>
  <c r="A3160" i="24" s="1"/>
  <c r="A3161" i="24"/>
  <c r="A3162" i="24"/>
  <c r="A3163" i="24"/>
  <c r="A3164" i="24"/>
  <c r="A3165" i="24"/>
  <c r="A3166" i="24"/>
  <c r="A3167" i="24"/>
  <c r="A3168" i="24"/>
  <c r="A3169" i="24"/>
  <c r="A3170" i="24"/>
  <c r="A3171" i="24"/>
  <c r="A3172" i="24"/>
  <c r="A3173" i="24"/>
  <c r="A3174" i="24"/>
  <c r="A3175" i="24"/>
  <c r="A3176" i="24"/>
  <c r="A3177" i="24" s="1"/>
  <c r="A3178" i="24" s="1"/>
  <c r="A3179" i="24" s="1"/>
  <c r="A3180" i="24" s="1"/>
  <c r="A3181" i="24" s="1"/>
  <c r="A3182" i="24"/>
  <c r="A3183" i="24"/>
  <c r="A3184" i="24"/>
  <c r="A3185" i="24" s="1"/>
  <c r="A3186" i="24" s="1"/>
  <c r="A3187" i="24" s="1"/>
  <c r="A3188" i="24" s="1"/>
  <c r="A3189" i="24"/>
  <c r="A3190" i="24"/>
  <c r="A3191" i="24"/>
  <c r="A3192" i="24"/>
  <c r="A3193" i="24"/>
  <c r="A3194" i="24" s="1"/>
  <c r="A3195" i="24" s="1"/>
  <c r="A3196" i="24" s="1"/>
  <c r="A3197" i="24" s="1"/>
  <c r="A3198" i="24" s="1"/>
  <c r="A3199" i="24" s="1"/>
  <c r="A3200" i="24" s="1"/>
  <c r="A3201" i="24" s="1"/>
  <c r="A3202" i="24"/>
  <c r="A3203" i="24"/>
  <c r="A3204" i="24"/>
  <c r="A3205" i="24"/>
  <c r="A3206" i="24"/>
  <c r="A3207" i="24"/>
  <c r="A3208" i="24" s="1"/>
  <c r="A3209" i="24" s="1"/>
  <c r="A3210" i="24" s="1"/>
  <c r="A3211" i="24" s="1"/>
  <c r="A3212" i="24" s="1"/>
  <c r="A3213" i="24" s="1"/>
  <c r="A3214" i="24"/>
  <c r="A3215" i="24"/>
  <c r="A3216" i="24"/>
  <c r="A3217" i="24"/>
  <c r="A3218" i="24"/>
  <c r="A3219" i="24" s="1"/>
  <c r="A3220" i="24" s="1"/>
  <c r="A3221" i="24"/>
  <c r="A3222" i="24"/>
  <c r="A3223" i="24"/>
  <c r="A3224" i="24" s="1"/>
  <c r="A3225" i="24" s="1"/>
  <c r="A3226" i="24" s="1"/>
  <c r="A3227" i="24" s="1"/>
  <c r="A3228" i="24"/>
  <c r="A3229" i="24" s="1"/>
  <c r="A3230" i="24" s="1"/>
  <c r="A3231" i="24" s="1"/>
  <c r="A3232" i="24" s="1"/>
  <c r="A3233" i="24"/>
  <c r="A3234" i="24" s="1"/>
  <c r="A3235" i="24" s="1"/>
  <c r="A3236" i="24" s="1"/>
  <c r="A3237" i="24" s="1"/>
  <c r="A3238" i="24" s="1"/>
  <c r="A3239" i="24"/>
  <c r="A3240" i="24" s="1"/>
  <c r="A3241" i="24" s="1"/>
  <c r="A3242" i="24" s="1"/>
  <c r="A3243" i="24" s="1"/>
  <c r="A3244" i="24" s="1"/>
  <c r="A3245" i="24" s="1"/>
  <c r="A3246" i="24" s="1"/>
  <c r="A3247" i="24" s="1"/>
  <c r="A3248" i="24" s="1"/>
  <c r="A3249" i="24" s="1"/>
  <c r="A3250" i="24"/>
  <c r="A3251" i="24" s="1"/>
  <c r="A3252" i="24" s="1"/>
  <c r="A3253" i="24" s="1"/>
  <c r="A3254" i="24" s="1"/>
  <c r="A3255" i="24" s="1"/>
  <c r="A3256" i="24" s="1"/>
  <c r="A3257" i="24" s="1"/>
  <c r="A3258" i="24" s="1"/>
  <c r="A3259" i="24" s="1"/>
  <c r="A3260" i="24" s="1"/>
  <c r="A3261" i="24" s="1"/>
  <c r="A3262" i="24" s="1"/>
  <c r="A3263" i="24" s="1"/>
  <c r="A3264" i="24" s="1"/>
  <c r="A3265" i="24" s="1"/>
  <c r="A3266" i="24" s="1"/>
  <c r="A3267" i="24" s="1"/>
  <c r="A3268" i="24" s="1"/>
  <c r="A3269" i="24" s="1"/>
  <c r="A3270" i="24" s="1"/>
  <c r="A3271" i="24" s="1"/>
  <c r="A3272" i="24" s="1"/>
  <c r="A3273" i="24" s="1"/>
  <c r="A3274" i="24" s="1"/>
  <c r="A3275" i="24" s="1"/>
  <c r="A3276" i="24" s="1"/>
  <c r="A3277" i="24" s="1"/>
  <c r="A3278" i="24" s="1"/>
  <c r="A3279" i="24" s="1"/>
  <c r="A3280" i="24" s="1"/>
  <c r="A3281" i="24"/>
  <c r="A3282" i="24"/>
  <c r="A3283" i="24" s="1"/>
  <c r="A3284" i="24" s="1"/>
  <c r="A3285" i="24" s="1"/>
  <c r="A3286" i="24" s="1"/>
  <c r="A3287" i="24" s="1"/>
  <c r="A3288" i="24" s="1"/>
  <c r="A3289" i="24" s="1"/>
  <c r="A3290" i="24" s="1"/>
  <c r="A3291" i="24" s="1"/>
  <c r="A3292" i="24" s="1"/>
  <c r="A3293" i="24" s="1"/>
  <c r="A3294" i="24" s="1"/>
  <c r="A3295" i="24" s="1"/>
  <c r="A3296" i="24" s="1"/>
  <c r="A3297" i="24" s="1"/>
  <c r="A3298" i="24" s="1"/>
  <c r="A3299" i="24"/>
  <c r="A3300" i="24" s="1"/>
  <c r="A3301" i="24" s="1"/>
  <c r="A3302" i="24" s="1"/>
  <c r="A3303" i="24" s="1"/>
  <c r="A3304" i="24" s="1"/>
  <c r="A3305" i="24" s="1"/>
  <c r="A3306" i="24" s="1"/>
  <c r="A3307" i="24"/>
  <c r="A3308" i="24"/>
  <c r="A3309" i="24"/>
  <c r="A3310" i="24"/>
  <c r="A3311" i="24"/>
  <c r="A3312" i="24"/>
  <c r="A3313" i="24"/>
  <c r="A3314" i="24"/>
  <c r="A3315" i="24"/>
  <c r="A3316" i="24"/>
  <c r="A3317" i="24"/>
  <c r="A3318" i="24"/>
  <c r="A3319" i="24"/>
  <c r="A3320" i="24"/>
  <c r="A3321" i="24"/>
  <c r="A3322" i="24"/>
  <c r="A3323" i="24"/>
  <c r="A3324" i="24"/>
  <c r="A3325" i="24"/>
  <c r="A3326" i="24"/>
  <c r="A3327" i="24"/>
  <c r="A3328" i="24"/>
  <c r="A3329" i="24"/>
  <c r="A3330" i="24"/>
  <c r="A3331" i="24" s="1"/>
  <c r="A3332" i="24" s="1"/>
  <c r="A3333" i="24"/>
  <c r="A3334" i="24" s="1"/>
  <c r="A3335" i="24" s="1"/>
  <c r="A3336" i="24"/>
  <c r="A3337" i="24"/>
  <c r="A3338" i="24"/>
  <c r="A3339" i="24"/>
  <c r="A3340" i="24"/>
  <c r="A3341" i="24"/>
  <c r="A3342" i="24"/>
  <c r="A3343" i="24"/>
  <c r="A3344" i="24"/>
  <c r="A3345" i="24"/>
  <c r="A3346" i="24"/>
  <c r="A3347" i="24"/>
  <c r="A3348" i="24"/>
  <c r="A3349" i="24" s="1"/>
  <c r="A3350" i="24" s="1"/>
  <c r="A3351" i="24"/>
  <c r="A3352" i="24"/>
  <c r="A3353" i="24" s="1"/>
  <c r="A3354" i="24" s="1"/>
  <c r="A3355" i="24"/>
  <c r="A3356" i="24"/>
  <c r="A3357" i="24"/>
  <c r="A3358" i="24"/>
  <c r="A3359" i="24"/>
  <c r="A3360" i="24"/>
  <c r="A3361" i="24"/>
  <c r="A3362" i="24" s="1"/>
  <c r="A3363" i="24" s="1"/>
  <c r="A3364" i="24"/>
  <c r="A3365" i="24"/>
  <c r="A3366" i="24"/>
  <c r="A3367" i="24"/>
  <c r="A3368" i="24"/>
  <c r="A3369" i="24" s="1"/>
  <c r="A3370" i="24" s="1"/>
  <c r="A3371" i="24"/>
  <c r="A3372" i="24"/>
  <c r="A3373" i="24"/>
  <c r="A3374" i="24"/>
  <c r="A3375" i="24"/>
  <c r="A3376" i="24"/>
  <c r="A3377" i="24" s="1"/>
  <c r="A3378" i="24" s="1"/>
  <c r="A3379" i="24"/>
  <c r="A3380" i="24"/>
  <c r="A3381" i="24"/>
  <c r="A3382" i="24"/>
  <c r="A3383" i="24"/>
  <c r="A3384" i="24" s="1"/>
  <c r="A3385" i="24" s="1"/>
  <c r="A3386" i="24"/>
  <c r="A3387" i="24"/>
  <c r="A3388" i="24"/>
  <c r="A3389" i="24"/>
  <c r="A3390" i="24"/>
  <c r="A3391" i="24"/>
  <c r="A3392" i="24"/>
  <c r="A3393" i="24"/>
  <c r="A3394" i="24"/>
  <c r="A3395" i="24"/>
  <c r="A3396" i="24" s="1"/>
  <c r="A3397" i="24" s="1"/>
  <c r="A3398" i="24" s="1"/>
  <c r="A3399" i="24" s="1"/>
  <c r="A3400" i="24" s="1"/>
  <c r="A3401" i="24"/>
  <c r="A3402" i="24"/>
  <c r="A3403" i="24" s="1"/>
  <c r="A3404" i="24" s="1"/>
  <c r="A3405" i="24" s="1"/>
  <c r="A3406" i="24" s="1"/>
  <c r="A3407" i="24" s="1"/>
  <c r="A3408" i="24"/>
  <c r="A3409" i="24" s="1"/>
  <c r="A3410" i="24" s="1"/>
  <c r="A3411" i="24" s="1"/>
  <c r="A3412" i="24" s="1"/>
  <c r="A3413" i="24" s="1"/>
  <c r="A3414" i="24" s="1"/>
  <c r="A3415" i="24" s="1"/>
  <c r="A3416" i="24" s="1"/>
  <c r="A3417" i="24"/>
  <c r="A3418" i="24"/>
  <c r="A3419" i="24"/>
  <c r="A3420" i="24"/>
  <c r="A3421" i="24"/>
  <c r="A3422" i="24" s="1"/>
  <c r="A3423" i="24" s="1"/>
  <c r="A3424" i="24"/>
  <c r="A3425" i="24"/>
  <c r="A3426" i="24"/>
  <c r="A3427" i="24"/>
  <c r="A3428" i="24"/>
  <c r="A3429" i="24"/>
  <c r="A3430" i="24" s="1"/>
  <c r="A3431" i="24" s="1"/>
  <c r="A3432" i="24"/>
  <c r="A3433" i="24"/>
  <c r="A3434" i="24" s="1"/>
  <c r="A3435" i="24" s="1"/>
  <c r="A3436" i="24"/>
  <c r="A3437" i="24"/>
  <c r="A3438" i="24"/>
  <c r="A3439" i="24"/>
  <c r="A3440" i="24"/>
  <c r="A3441" i="24"/>
  <c r="A3442" i="24"/>
  <c r="A3443" i="24"/>
  <c r="A3444" i="24" s="1"/>
  <c r="A3445" i="24" s="1"/>
  <c r="A3446" i="24"/>
  <c r="A3447" i="24" s="1"/>
  <c r="A3448" i="24" s="1"/>
  <c r="A3449" i="24" s="1"/>
  <c r="A3450" i="24" s="1"/>
  <c r="A3451" i="24" s="1"/>
  <c r="A3452" i="24" s="1"/>
  <c r="A3453" i="24" s="1"/>
  <c r="A3454" i="24" s="1"/>
  <c r="A3455" i="24" s="1"/>
  <c r="A3456" i="24" s="1"/>
  <c r="A3457" i="24" s="1"/>
  <c r="A3458" i="24"/>
  <c r="A3459" i="24"/>
  <c r="A3460" i="24"/>
  <c r="A3461" i="24" s="1"/>
  <c r="A3462" i="24" s="1"/>
  <c r="A3463" i="24" s="1"/>
  <c r="A3464" i="24"/>
  <c r="A3465" i="24"/>
  <c r="A3466" i="24"/>
  <c r="A3467" i="24"/>
  <c r="A3468" i="24" s="1"/>
  <c r="A3469" i="24" s="1"/>
  <c r="A3470" i="24"/>
  <c r="A3471" i="24"/>
  <c r="A3472" i="24"/>
  <c r="A3473" i="24" s="1"/>
  <c r="A3474" i="24" s="1"/>
  <c r="A3475" i="24" s="1"/>
  <c r="A3476" i="24" s="1"/>
  <c r="A3477" i="24" s="1"/>
  <c r="A3478" i="24" s="1"/>
  <c r="A3479" i="24" s="1"/>
  <c r="A3480" i="24" s="1"/>
  <c r="A3481" i="24" s="1"/>
  <c r="A3482" i="24" s="1"/>
  <c r="A3483" i="24" s="1"/>
  <c r="A3484" i="24" s="1"/>
  <c r="A3485" i="24"/>
  <c r="A3486" i="24"/>
  <c r="A3487" i="24"/>
  <c r="A3488" i="24" s="1"/>
  <c r="A3489" i="24" s="1"/>
  <c r="A3490" i="24"/>
  <c r="A3491" i="24"/>
  <c r="A3492" i="24"/>
  <c r="A3493" i="24"/>
  <c r="A3494" i="24" s="1"/>
  <c r="A3495" i="24" s="1"/>
  <c r="A3496" i="24"/>
  <c r="A3497" i="24"/>
  <c r="A3498" i="24"/>
  <c r="A3499" i="24"/>
  <c r="A3500" i="24"/>
  <c r="A3501" i="24"/>
  <c r="A3502" i="24"/>
  <c r="A3503" i="24"/>
  <c r="A3504" i="24"/>
  <c r="A3505" i="24"/>
  <c r="A3506" i="24"/>
  <c r="A3507" i="24"/>
  <c r="A3508" i="24"/>
  <c r="A3509" i="24"/>
  <c r="A3510" i="24" s="1"/>
  <c r="A3511" i="24" s="1"/>
  <c r="A3512" i="24"/>
  <c r="A3513" i="24" s="1"/>
  <c r="A3514" i="24" s="1"/>
  <c r="A3515" i="24"/>
  <c r="A3516" i="24"/>
  <c r="A3517" i="24"/>
  <c r="A3518" i="24"/>
  <c r="A3519" i="24"/>
  <c r="A3520" i="24"/>
  <c r="A3521" i="24"/>
  <c r="A3522" i="24"/>
  <c r="A3523" i="24"/>
  <c r="A3524" i="24"/>
  <c r="A3525" i="24"/>
  <c r="A3526" i="24"/>
  <c r="A3527" i="24"/>
  <c r="A3528" i="24"/>
  <c r="A3529" i="24"/>
  <c r="A3530" i="24"/>
  <c r="A3531" i="24"/>
  <c r="A3532" i="24"/>
  <c r="A3533" i="24"/>
  <c r="A3534" i="24"/>
  <c r="A3535" i="24"/>
  <c r="A3536" i="24"/>
  <c r="A3537" i="24"/>
  <c r="A3538" i="24"/>
  <c r="A3539" i="24"/>
  <c r="A3540" i="24" s="1"/>
  <c r="A3541" i="24" s="1"/>
  <c r="A3542" i="24"/>
  <c r="A3543" i="24"/>
  <c r="A3544" i="24"/>
  <c r="A3545" i="24" s="1"/>
  <c r="A3546" i="24" s="1"/>
  <c r="A3547" i="24"/>
  <c r="A3548" i="24"/>
  <c r="A3549" i="24"/>
  <c r="A3550" i="24"/>
  <c r="A3551" i="24"/>
  <c r="A3552" i="24"/>
  <c r="A3553" i="24" s="1"/>
  <c r="A3554" i="24" s="1"/>
  <c r="A3555" i="24"/>
  <c r="A3556" i="24"/>
  <c r="A3557" i="24"/>
  <c r="A3558" i="24"/>
  <c r="A3559" i="24" s="1"/>
  <c r="A3560" i="24" s="1"/>
  <c r="A3561" i="24" s="1"/>
  <c r="A3562" i="24"/>
  <c r="A3563" i="24"/>
  <c r="A3564" i="24"/>
  <c r="A3565" i="24"/>
  <c r="A3566" i="24"/>
  <c r="A3567" i="24" s="1"/>
  <c r="A3568" i="24" s="1"/>
  <c r="A3569" i="24" s="1"/>
  <c r="A3570" i="24" s="1"/>
  <c r="A3571" i="24" s="1"/>
  <c r="A3572" i="24" s="1"/>
  <c r="A3573" i="24" s="1"/>
  <c r="A3574" i="24" s="1"/>
  <c r="A3575" i="24" s="1"/>
  <c r="A3576" i="24" s="1"/>
  <c r="A3577" i="24" s="1"/>
  <c r="A3578" i="24" s="1"/>
  <c r="A3579" i="24" s="1"/>
  <c r="A3580" i="24" s="1"/>
  <c r="A3581" i="24" s="1"/>
  <c r="A3582" i="24"/>
  <c r="A3583" i="24"/>
  <c r="A3584" i="24"/>
  <c r="A3585" i="24"/>
  <c r="A3586" i="24"/>
  <c r="A3587" i="24"/>
  <c r="A3588" i="24"/>
  <c r="A3589" i="24"/>
  <c r="A3590" i="24"/>
  <c r="A3591" i="24"/>
  <c r="A3592" i="24"/>
  <c r="A3593" i="24"/>
  <c r="A3594" i="24"/>
  <c r="A3595" i="24"/>
  <c r="A3596" i="24"/>
  <c r="A3597" i="24"/>
  <c r="A3598" i="24"/>
  <c r="A3599" i="24"/>
  <c r="A3600" i="24"/>
  <c r="A3601" i="24"/>
  <c r="A3602" i="24" s="1"/>
  <c r="A3603" i="24" s="1"/>
  <c r="A3604" i="24"/>
  <c r="A3605" i="24" s="1"/>
  <c r="A3606" i="24" s="1"/>
  <c r="A3607" i="24"/>
  <c r="A3608" i="24"/>
  <c r="A3609" i="24"/>
  <c r="A3610" i="24"/>
  <c r="A3611" i="24" s="1"/>
  <c r="A3612" i="24" s="1"/>
  <c r="A3613" i="24" s="1"/>
  <c r="A3614" i="24"/>
  <c r="A3615" i="24"/>
  <c r="A3616" i="24"/>
  <c r="A3617" i="24"/>
  <c r="A3618" i="24"/>
  <c r="A3619" i="24"/>
  <c r="A3620" i="24"/>
  <c r="A3621" i="24" s="1"/>
  <c r="A3622" i="24" s="1"/>
  <c r="A3623" i="24"/>
  <c r="A3624" i="24"/>
  <c r="A3625" i="24"/>
  <c r="A3626" i="24"/>
  <c r="A3627" i="24"/>
  <c r="A3628" i="24"/>
  <c r="A3629" i="24"/>
  <c r="A3630" i="24"/>
  <c r="A3631" i="24"/>
  <c r="A3632" i="24"/>
  <c r="A3633" i="24"/>
  <c r="A3634" i="24" s="1"/>
  <c r="A3635" i="24" s="1"/>
  <c r="A3636" i="24" s="1"/>
  <c r="A3637" i="24"/>
  <c r="A3638" i="24"/>
  <c r="A3639" i="24" s="1"/>
  <c r="A3640" i="24" s="1"/>
  <c r="A3641" i="24"/>
  <c r="A3642" i="24" s="1"/>
  <c r="A3643" i="24" s="1"/>
  <c r="A3644" i="24" s="1"/>
  <c r="A3645" i="24" s="1"/>
  <c r="A3646" i="24" s="1"/>
  <c r="A3647" i="24" s="1"/>
  <c r="A3648" i="24" s="1"/>
  <c r="A3649" i="24" s="1"/>
  <c r="A3650" i="24" s="1"/>
  <c r="A3651" i="24"/>
  <c r="A3652" i="24" s="1"/>
  <c r="A3653" i="24" s="1"/>
  <c r="A3654" i="24"/>
  <c r="A3655" i="24"/>
  <c r="A3656" i="24"/>
  <c r="A3657" i="24"/>
  <c r="A3658" i="24"/>
  <c r="A3659" i="24"/>
  <c r="A3660" i="24"/>
  <c r="A3661" i="24"/>
  <c r="A3662" i="24"/>
  <c r="A3663" i="24"/>
  <c r="A3664" i="24" s="1"/>
  <c r="A3665" i="24" s="1"/>
  <c r="A3666" i="24"/>
  <c r="A3667" i="24"/>
  <c r="A3668" i="24"/>
  <c r="A3669" i="24"/>
  <c r="A3670" i="24"/>
  <c r="A3671" i="24"/>
  <c r="A3672" i="24"/>
  <c r="A3673" i="24"/>
  <c r="A3674" i="24" s="1"/>
  <c r="A3675" i="24" s="1"/>
  <c r="A3676" i="24"/>
  <c r="A3677" i="24"/>
  <c r="A3678" i="24"/>
  <c r="A3679" i="24"/>
  <c r="A3680" i="24" s="1"/>
  <c r="A3681" i="24" s="1"/>
  <c r="A3682" i="24" s="1"/>
  <c r="A3683" i="24" s="1"/>
  <c r="A3684" i="24"/>
  <c r="A3685" i="24"/>
  <c r="A3686" i="24"/>
  <c r="A3687" i="24"/>
  <c r="A3688" i="24"/>
  <c r="A3689" i="24"/>
  <c r="A3690" i="24"/>
  <c r="A3691" i="24"/>
  <c r="A3692" i="24"/>
  <c r="A3693" i="24"/>
  <c r="A3694" i="24"/>
  <c r="A3695" i="24"/>
  <c r="A3696" i="24"/>
  <c r="A3697" i="24"/>
  <c r="A3698" i="24" s="1"/>
  <c r="A3699" i="24" s="1"/>
  <c r="A3700" i="24" s="1"/>
  <c r="A3701" i="24" s="1"/>
  <c r="A3702" i="24" s="1"/>
  <c r="A3703" i="24" s="1"/>
  <c r="A3704" i="24" s="1"/>
  <c r="A3705" i="24" s="1"/>
  <c r="A3706" i="24"/>
  <c r="A3707" i="24"/>
  <c r="A3708" i="24"/>
  <c r="A3709" i="24"/>
  <c r="A3710" i="24"/>
  <c r="A3711" i="24"/>
  <c r="A3712" i="24"/>
  <c r="A3713" i="24"/>
  <c r="A3714" i="24"/>
  <c r="A3715" i="24"/>
  <c r="A3716" i="24"/>
  <c r="A3717" i="24"/>
  <c r="A3718" i="24"/>
  <c r="A3719" i="24"/>
  <c r="A3720" i="24"/>
  <c r="A3721" i="24"/>
  <c r="A3722" i="24"/>
  <c r="A3723" i="24" s="1"/>
  <c r="A3724" i="24" s="1"/>
  <c r="A3725" i="24"/>
  <c r="A3726" i="24"/>
  <c r="A3727" i="24"/>
  <c r="A3728" i="24"/>
  <c r="A3729" i="24"/>
  <c r="A3730" i="24"/>
  <c r="A3731" i="24" s="1"/>
  <c r="A3732" i="24" s="1"/>
  <c r="A3733" i="24" s="1"/>
  <c r="A3734" i="24" s="1"/>
  <c r="A3735" i="24" s="1"/>
  <c r="A3736" i="24"/>
  <c r="A3737" i="24"/>
  <c r="A3738" i="24"/>
  <c r="A3739" i="24"/>
  <c r="A3740" i="24"/>
  <c r="A3741" i="24"/>
  <c r="A3742" i="24"/>
  <c r="A3743" i="24" s="1"/>
  <c r="A3744" i="24" s="1"/>
  <c r="A3745" i="24" s="1"/>
  <c r="A3746" i="24"/>
  <c r="A3747" i="24"/>
  <c r="A3748" i="24" s="1"/>
  <c r="A3749" i="24" s="1"/>
  <c r="A3750" i="24" s="1"/>
  <c r="A3751" i="24" s="1"/>
  <c r="A3752" i="24" s="1"/>
  <c r="A3753" i="24"/>
  <c r="A3754" i="24"/>
  <c r="A3755" i="24"/>
  <c r="A3756" i="24"/>
  <c r="A3757" i="24"/>
  <c r="A3758" i="24"/>
  <c r="A3759" i="24"/>
  <c r="A3760" i="24"/>
  <c r="A3761" i="24"/>
  <c r="A3762" i="24"/>
  <c r="A3763" i="24" s="1"/>
  <c r="A3764" i="24" s="1"/>
  <c r="A3765" i="24"/>
  <c r="A3766" i="24" s="1"/>
  <c r="A3767" i="24" s="1"/>
  <c r="A3768" i="24"/>
  <c r="A3769" i="24"/>
  <c r="A3770" i="24"/>
  <c r="A3771" i="24"/>
  <c r="A3772" i="24"/>
  <c r="A3773" i="24" s="1"/>
  <c r="A3774" i="24" s="1"/>
  <c r="A3775" i="24" s="1"/>
  <c r="A3776" i="24" s="1"/>
  <c r="A3777" i="24" s="1"/>
  <c r="A3778" i="24" s="1"/>
  <c r="A3779" i="24"/>
  <c r="A3780" i="24"/>
  <c r="A3781" i="24"/>
  <c r="A3782" i="24"/>
  <c r="A3783" i="24"/>
  <c r="A3784" i="24"/>
  <c r="A3785" i="24"/>
  <c r="A3786" i="24"/>
  <c r="A3787" i="24"/>
  <c r="A3788" i="24"/>
  <c r="A3789" i="24"/>
  <c r="A3790" i="24"/>
  <c r="A3791" i="24"/>
  <c r="A3792" i="24"/>
  <c r="A3793" i="24"/>
  <c r="A3794" i="24"/>
  <c r="A3795" i="24"/>
  <c r="A3796" i="24"/>
  <c r="A3797" i="24"/>
  <c r="A3798" i="24" s="1"/>
  <c r="A3799" i="24" s="1"/>
  <c r="A3800" i="24"/>
  <c r="A3801" i="24"/>
  <c r="A3802" i="24"/>
  <c r="A3803" i="24"/>
  <c r="A3804" i="24"/>
  <c r="A3805" i="24"/>
  <c r="A3806" i="24"/>
  <c r="A3807" i="24"/>
  <c r="A3808" i="24" s="1"/>
  <c r="A3809" i="24" s="1"/>
  <c r="A3810" i="24" s="1"/>
  <c r="A3811" i="24"/>
  <c r="A3812" i="24"/>
  <c r="A3813" i="24"/>
  <c r="A3814" i="24"/>
  <c r="A3815" i="24"/>
  <c r="A3816" i="24"/>
  <c r="A3817" i="24" s="1"/>
  <c r="A3818" i="24" s="1"/>
  <c r="A3819" i="24"/>
  <c r="A3820" i="24"/>
  <c r="A3821" i="24"/>
  <c r="A3822" i="24"/>
  <c r="A3823" i="24" s="1"/>
  <c r="A3824" i="24" s="1"/>
  <c r="A3825" i="24" s="1"/>
  <c r="A3826" i="24" s="1"/>
  <c r="A3827" i="24" s="1"/>
  <c r="A3828" i="24" s="1"/>
  <c r="A3829" i="24" s="1"/>
  <c r="A3830" i="24" s="1"/>
  <c r="A3831" i="24" s="1"/>
  <c r="A3832" i="24" s="1"/>
  <c r="A3833" i="24" s="1"/>
  <c r="A3834" i="24"/>
  <c r="A3835" i="24"/>
  <c r="A3836" i="24"/>
  <c r="A3837" i="24"/>
  <c r="A3838" i="24"/>
  <c r="A3839" i="24"/>
  <c r="A3840" i="24"/>
  <c r="A3841" i="24"/>
  <c r="A3842" i="24"/>
  <c r="A3843" i="24"/>
  <c r="A3844" i="24"/>
  <c r="A3845" i="24"/>
  <c r="A3846" i="24"/>
  <c r="A3847" i="24"/>
  <c r="A3848" i="24"/>
  <c r="A3849" i="24"/>
  <c r="A3850" i="24" s="1"/>
  <c r="A3851" i="24" s="1"/>
  <c r="A3852" i="24"/>
  <c r="A3853" i="24"/>
  <c r="A3854" i="24"/>
  <c r="A3855" i="24"/>
  <c r="A3856" i="24"/>
  <c r="A3857" i="24"/>
  <c r="A3858" i="24"/>
  <c r="A3859" i="24"/>
  <c r="A3860" i="24" s="1"/>
  <c r="A3861" i="24" s="1"/>
  <c r="A3862" i="24" s="1"/>
  <c r="A3863" i="24" s="1"/>
  <c r="A3864" i="24"/>
  <c r="A3865" i="24"/>
  <c r="A3866" i="24"/>
  <c r="A3867" i="24"/>
  <c r="A3868" i="24"/>
  <c r="A3869" i="24"/>
  <c r="A3870" i="24"/>
  <c r="A3871" i="24"/>
  <c r="A3872" i="24"/>
  <c r="A3873" i="24"/>
  <c r="A3874" i="24"/>
  <c r="A3875" i="24"/>
  <c r="A3876" i="24"/>
  <c r="A3877" i="24"/>
  <c r="A3878" i="24"/>
  <c r="A3879" i="24"/>
  <c r="A3880" i="24"/>
  <c r="A3881" i="24"/>
  <c r="A3882" i="24"/>
  <c r="A3883" i="24"/>
  <c r="A3884" i="24" s="1"/>
  <c r="A3885" i="24" s="1"/>
  <c r="A3886" i="24"/>
  <c r="A3887" i="24"/>
  <c r="A3888" i="24"/>
  <c r="A3889" i="24" s="1"/>
  <c r="A3890" i="24" s="1"/>
  <c r="A3891" i="24" s="1"/>
  <c r="A3892" i="24" s="1"/>
  <c r="A3893" i="24" s="1"/>
  <c r="A3894" i="24" s="1"/>
  <c r="A3895" i="24" s="1"/>
  <c r="A3896" i="24" s="1"/>
  <c r="A3897" i="24" s="1"/>
  <c r="A3898" i="24" s="1"/>
  <c r="A3899" i="24" s="1"/>
  <c r="A3900" i="24"/>
  <c r="A3901" i="24"/>
  <c r="A3902" i="24"/>
  <c r="A3903" i="24"/>
  <c r="A3904" i="24"/>
  <c r="A3905" i="24" s="1"/>
  <c r="A3906" i="24" s="1"/>
  <c r="A3907" i="24"/>
  <c r="A3908" i="24"/>
  <c r="A3909" i="24"/>
  <c r="A3910" i="24" s="1"/>
  <c r="A3911" i="24" s="1"/>
  <c r="A3912" i="24" s="1"/>
  <c r="A3913" i="24" s="1"/>
  <c r="A3914" i="24"/>
  <c r="A3915" i="24"/>
  <c r="A3916" i="24" s="1"/>
  <c r="A3917" i="24" s="1"/>
  <c r="A3918" i="24"/>
  <c r="A3919" i="24"/>
  <c r="A3920" i="24"/>
  <c r="A3921" i="24" s="1"/>
  <c r="A3922" i="24" s="1"/>
  <c r="A3923" i="24"/>
  <c r="A3924" i="24"/>
  <c r="A3925" i="24"/>
  <c r="A3926" i="24"/>
  <c r="A3927" i="24" s="1"/>
  <c r="A3928" i="24" s="1"/>
  <c r="A3929" i="24" s="1"/>
  <c r="A3930" i="24" s="1"/>
  <c r="A3931" i="24" s="1"/>
  <c r="A3932" i="24" s="1"/>
  <c r="A3933" i="24" s="1"/>
  <c r="A3934" i="24" s="1"/>
  <c r="A3935" i="24"/>
  <c r="A3936" i="24"/>
  <c r="A3937" i="24"/>
  <c r="A3938" i="24"/>
  <c r="A3939" i="24"/>
  <c r="A3940" i="24"/>
  <c r="A3941" i="24"/>
  <c r="A3942" i="24"/>
  <c r="A3943" i="24"/>
  <c r="A3944" i="24"/>
  <c r="A3945" i="24"/>
  <c r="A3946" i="24"/>
  <c r="A3947" i="24"/>
  <c r="A3948" i="24"/>
  <c r="A3949" i="24"/>
  <c r="A3950" i="24"/>
  <c r="A3951" i="24" s="1"/>
  <c r="A3952" i="24" s="1"/>
  <c r="A3953" i="24" s="1"/>
  <c r="A3954" i="24"/>
  <c r="A3955" i="24"/>
  <c r="A3956" i="24"/>
  <c r="A3957" i="24" s="1"/>
  <c r="A3958" i="24" s="1"/>
  <c r="A3959" i="24"/>
  <c r="A3960" i="24"/>
  <c r="A3961" i="24"/>
  <c r="A3962" i="24"/>
  <c r="A3963" i="24"/>
  <c r="A3964" i="24"/>
  <c r="A3965" i="24"/>
  <c r="A3966" i="24"/>
  <c r="A3967" i="24" s="1"/>
  <c r="A3968" i="24" s="1"/>
  <c r="A3969" i="24"/>
  <c r="A3970" i="24" s="1"/>
  <c r="A3971" i="24" s="1"/>
  <c r="A3972" i="24"/>
  <c r="A3973" i="24" s="1"/>
  <c r="A3974" i="24" s="1"/>
  <c r="A3975" i="24"/>
  <c r="A3976" i="24" s="1"/>
  <c r="A3977" i="24" s="1"/>
  <c r="A3978" i="24"/>
  <c r="A3979" i="24" s="1"/>
  <c r="A3980" i="24" s="1"/>
  <c r="A3981" i="24" s="1"/>
  <c r="A3982" i="24" s="1"/>
  <c r="A3983" i="24" s="1"/>
  <c r="A3984" i="24" s="1"/>
  <c r="A3985" i="24" s="1"/>
  <c r="A3986" i="24" s="1"/>
  <c r="A3987" i="24" s="1"/>
  <c r="A3988" i="24" s="1"/>
  <c r="A3989" i="24" s="1"/>
  <c r="A3990" i="24" s="1"/>
  <c r="A3991" i="24" s="1"/>
  <c r="A3992" i="24" s="1"/>
  <c r="A3993" i="24"/>
  <c r="A3994" i="24"/>
  <c r="A3995" i="24"/>
  <c r="A3996" i="24"/>
  <c r="A3997" i="24"/>
  <c r="A3998" i="24"/>
  <c r="A3999" i="24"/>
  <c r="A4000" i="24"/>
  <c r="A4001" i="24" s="1"/>
  <c r="A4002" i="24" s="1"/>
  <c r="A4003" i="24"/>
  <c r="A4004" i="24"/>
  <c r="A4005" i="24"/>
  <c r="A4006" i="24"/>
  <c r="A4007" i="24"/>
  <c r="A4008" i="24"/>
  <c r="A4009" i="24"/>
  <c r="A4010" i="24"/>
  <c r="A4011" i="24" s="1"/>
  <c r="A4012" i="24" s="1"/>
  <c r="A4013" i="24" s="1"/>
  <c r="A4014" i="24"/>
  <c r="A4015" i="24"/>
  <c r="A4016" i="24"/>
  <c r="A4017" i="24"/>
  <c r="A4018" i="24"/>
  <c r="A4019" i="24"/>
  <c r="A4020" i="24"/>
  <c r="A4021" i="24"/>
  <c r="A4022" i="24"/>
  <c r="A4023" i="24"/>
  <c r="A4024" i="24"/>
  <c r="A4025" i="24"/>
  <c r="A4026" i="24"/>
  <c r="A4027" i="24"/>
  <c r="A4028" i="24"/>
  <c r="A4029" i="24"/>
  <c r="A4030" i="24"/>
  <c r="A4031" i="24"/>
  <c r="A4032" i="24"/>
  <c r="A4033" i="24"/>
  <c r="A4034" i="24"/>
  <c r="A4035" i="24"/>
  <c r="A4036" i="24"/>
  <c r="A4037" i="24" s="1"/>
  <c r="A4038" i="24" s="1"/>
  <c r="A4039" i="24" s="1"/>
  <c r="A4040" i="24"/>
  <c r="A4041" i="24"/>
  <c r="A4042" i="24"/>
  <c r="A4043" i="24"/>
  <c r="A4044" i="24"/>
  <c r="A4045" i="24"/>
  <c r="A4046" i="24" s="1"/>
  <c r="A4049" i="24"/>
  <c r="A4050" i="24"/>
  <c r="A4051" i="24"/>
  <c r="A4052" i="24"/>
  <c r="A4053" i="24"/>
  <c r="A4054" i="24"/>
  <c r="A4055" i="24"/>
  <c r="A4056" i="24"/>
  <c r="A4057" i="24"/>
  <c r="A4058" i="24"/>
  <c r="A4059" i="24"/>
  <c r="A4060" i="24"/>
  <c r="A4061" i="24"/>
  <c r="A4062" i="24"/>
  <c r="A4063" i="24"/>
  <c r="A4064" i="24"/>
  <c r="A4065" i="24"/>
  <c r="A4066" i="24"/>
  <c r="A4067" i="24"/>
  <c r="A4068" i="24"/>
  <c r="A4069" i="24"/>
  <c r="A4070" i="24"/>
  <c r="A4071" i="24" s="1"/>
  <c r="A4072" i="24" s="1"/>
  <c r="A4073" i="24" s="1"/>
  <c r="A4074" i="24" s="1"/>
  <c r="A4075" i="24"/>
  <c r="A4076" i="24"/>
  <c r="A4077" i="24"/>
  <c r="A4078" i="24"/>
  <c r="A4079" i="24"/>
  <c r="A4080" i="24"/>
  <c r="A4081" i="24"/>
  <c r="A4082" i="24" s="1"/>
  <c r="A4083" i="24" s="1"/>
  <c r="A4084" i="24"/>
  <c r="A4085" i="24"/>
  <c r="A4086" i="24"/>
  <c r="A4087" i="24"/>
  <c r="A4088" i="24"/>
  <c r="A4089" i="24"/>
  <c r="A4090" i="24"/>
  <c r="A4091" i="24"/>
  <c r="A4092" i="24"/>
  <c r="A4093" i="24"/>
  <c r="A4094" i="24"/>
  <c r="A4095" i="24"/>
  <c r="A4096" i="24"/>
  <c r="A4097" i="24"/>
  <c r="A4098" i="24"/>
  <c r="A4099" i="24"/>
  <c r="A4100" i="24"/>
  <c r="A4101" i="24"/>
  <c r="A4102" i="24"/>
  <c r="A4103" i="24"/>
  <c r="A4104" i="24"/>
  <c r="A4105" i="24"/>
  <c r="A4106" i="24"/>
  <c r="A4107" i="24" s="1"/>
  <c r="A4108" i="24" s="1"/>
  <c r="A4109" i="24"/>
  <c r="A4110" i="24"/>
  <c r="A4111" i="24"/>
  <c r="A4112" i="24"/>
  <c r="A4113" i="24"/>
  <c r="A4114" i="24"/>
  <c r="A4115" i="24"/>
  <c r="A4116" i="24"/>
  <c r="A4117" i="24" s="1"/>
  <c r="A4118" i="24" s="1"/>
  <c r="A4119" i="24"/>
  <c r="A4120" i="24" s="1"/>
  <c r="A4121" i="24" s="1"/>
  <c r="A4122" i="24"/>
  <c r="A4123" i="24"/>
  <c r="A4124" i="24"/>
  <c r="A4125" i="24" s="1"/>
  <c r="A4126" i="24" s="1"/>
  <c r="A4127" i="24"/>
  <c r="A4128" i="24"/>
  <c r="A4129" i="24"/>
  <c r="A4130" i="24"/>
  <c r="A4131" i="24"/>
  <c r="A4132" i="24"/>
  <c r="A4133" i="24"/>
  <c r="A4134" i="24"/>
  <c r="A4135" i="24" s="1"/>
  <c r="A4136" i="24" s="1"/>
  <c r="A4137" i="24"/>
  <c r="A4138" i="24"/>
  <c r="A4139" i="24" s="1"/>
  <c r="A4140" i="24" s="1"/>
  <c r="A4141" i="24"/>
  <c r="A4142" i="24"/>
  <c r="A4143" i="24"/>
  <c r="A4144" i="24"/>
  <c r="A4145" i="24"/>
  <c r="A4146" i="24"/>
  <c r="A4147" i="24"/>
  <c r="A4148" i="24"/>
  <c r="A4149" i="24"/>
  <c r="A4150" i="24" s="1"/>
  <c r="A4151" i="24" s="1"/>
  <c r="A4152" i="24"/>
  <c r="A4153" i="24"/>
  <c r="A4154" i="24"/>
  <c r="A4155" i="24"/>
  <c r="A4156" i="24"/>
  <c r="A4157" i="24"/>
  <c r="A4158" i="24" s="1"/>
  <c r="A4159" i="24" s="1"/>
  <c r="A4160" i="24"/>
  <c r="A4161" i="24"/>
  <c r="A4162" i="24"/>
  <c r="A4163" i="24"/>
  <c r="A4164" i="24"/>
  <c r="A4165" i="24"/>
  <c r="A4166" i="24"/>
  <c r="A4167" i="24"/>
  <c r="A4168" i="24"/>
  <c r="A4169" i="24"/>
  <c r="A4170" i="24"/>
  <c r="A4171" i="24"/>
  <c r="A4172" i="24"/>
  <c r="A4173" i="24"/>
  <c r="A4174" i="24"/>
  <c r="A4175" i="24"/>
  <c r="A4176" i="24"/>
  <c r="A4177" i="24"/>
  <c r="A4178" i="24"/>
  <c r="A4179" i="24" s="1"/>
  <c r="A4180" i="24" s="1"/>
  <c r="A4181" i="24" s="1"/>
  <c r="A4182" i="24" s="1"/>
  <c r="A4183" i="24" s="1"/>
  <c r="A4184" i="24"/>
  <c r="A4185" i="24" s="1"/>
  <c r="A4186" i="24" s="1"/>
  <c r="A4187" i="24" s="1"/>
  <c r="A4188" i="24"/>
  <c r="A4189" i="24"/>
  <c r="A4190" i="24" s="1"/>
  <c r="A4191" i="24" s="1"/>
  <c r="A4192" i="24"/>
  <c r="A4193" i="24"/>
  <c r="A4194" i="24"/>
  <c r="A4195" i="24"/>
  <c r="A4196" i="24"/>
  <c r="A4197" i="24"/>
  <c r="A4198" i="24"/>
  <c r="A4199" i="24"/>
  <c r="A4200" i="24" s="1"/>
  <c r="A4201" i="24" s="1"/>
  <c r="A4202" i="24"/>
  <c r="A4203" i="24"/>
  <c r="A4204" i="24"/>
  <c r="A4205" i="24"/>
  <c r="A4206" i="24" s="1"/>
  <c r="A4207" i="24" s="1"/>
  <c r="A4208" i="24" s="1"/>
  <c r="A4209" i="24" s="1"/>
  <c r="A4210" i="24" s="1"/>
  <c r="A4211" i="24" s="1"/>
  <c r="A4212" i="24" s="1"/>
  <c r="A4213" i="24" s="1"/>
  <c r="A4214" i="24"/>
  <c r="A4215" i="24"/>
  <c r="A4216" i="24"/>
  <c r="A4217" i="24"/>
  <c r="A4218" i="24"/>
  <c r="A4219" i="24"/>
  <c r="A4220" i="24" s="1"/>
  <c r="A4221" i="24" s="1"/>
  <c r="A4222" i="24" s="1"/>
  <c r="A4223" i="24" s="1"/>
  <c r="A4224" i="24"/>
  <c r="A4225" i="24"/>
  <c r="A4226" i="24"/>
  <c r="A4227" i="24"/>
  <c r="A4228" i="24"/>
  <c r="A4229" i="24" s="1"/>
  <c r="A4230" i="24" s="1"/>
  <c r="A4231" i="24" s="1"/>
  <c r="A4232" i="24" s="1"/>
  <c r="A4233" i="24" s="1"/>
  <c r="A4234" i="24"/>
  <c r="A4235" i="24"/>
  <c r="A4236" i="24"/>
  <c r="A4237" i="24"/>
  <c r="A4238" i="24"/>
  <c r="A4239" i="24"/>
  <c r="A4240" i="24"/>
  <c r="A4241" i="24"/>
  <c r="A4242" i="24"/>
  <c r="A4243" i="24"/>
  <c r="A4244" i="24"/>
  <c r="A4245" i="24"/>
  <c r="A4246" i="24"/>
  <c r="A4247" i="24"/>
  <c r="A4248" i="24"/>
  <c r="A4249" i="24"/>
  <c r="A4250" i="24" s="1"/>
  <c r="A4251" i="24" s="1"/>
  <c r="A4252" i="24" s="1"/>
  <c r="A4253" i="24" s="1"/>
  <c r="A4254" i="24" s="1"/>
  <c r="A4255" i="24" s="1"/>
  <c r="A4256" i="24" s="1"/>
  <c r="A4257" i="24" s="1"/>
  <c r="A4258" i="24" s="1"/>
  <c r="A4259" i="24" s="1"/>
  <c r="A4260" i="24" s="1"/>
  <c r="A4261" i="24" s="1"/>
  <c r="A4262" i="24"/>
  <c r="A4263" i="24"/>
  <c r="A4264" i="24"/>
  <c r="A4265" i="24"/>
  <c r="A4266" i="24"/>
  <c r="A4267" i="24"/>
  <c r="A4268" i="24"/>
  <c r="A4269" i="24"/>
  <c r="A4270" i="24"/>
  <c r="A4271" i="24"/>
  <c r="A4272" i="24" s="1"/>
  <c r="A4273" i="24" s="1"/>
  <c r="A4274" i="24" s="1"/>
  <c r="A4278" i="24"/>
  <c r="A4279" i="24"/>
  <c r="A4280" i="24"/>
  <c r="A4281" i="24" s="1"/>
  <c r="A4282" i="24" s="1"/>
  <c r="A4283" i="24" s="1"/>
  <c r="A4284" i="24" s="1"/>
  <c r="A4285" i="24" s="1"/>
  <c r="A4286" i="24" s="1"/>
  <c r="A4287" i="24"/>
  <c r="A4288" i="24"/>
  <c r="A4289" i="24"/>
  <c r="A4290" i="24"/>
  <c r="A4291" i="24"/>
  <c r="A4292" i="24"/>
  <c r="A4293" i="24"/>
  <c r="A4294" i="24"/>
  <c r="A4295" i="24"/>
  <c r="A4296" i="24"/>
  <c r="A4297" i="24"/>
  <c r="A4298" i="24"/>
  <c r="A4299" i="24"/>
  <c r="A4300" i="24"/>
  <c r="A4301" i="24"/>
  <c r="A4302" i="24"/>
  <c r="A4303" i="24"/>
  <c r="A4304" i="24"/>
  <c r="A4305" i="24"/>
  <c r="A4306" i="24" s="1"/>
  <c r="B865" i="9"/>
  <c r="N865" i="9"/>
  <c r="Q865" i="9"/>
  <c r="R865" i="9"/>
  <c r="AB865" i="9"/>
  <c r="B866" i="9"/>
  <c r="N866" i="9"/>
  <c r="Q866" i="9"/>
  <c r="R866" i="9"/>
  <c r="AB866" i="9"/>
  <c r="B867" i="9"/>
  <c r="N867" i="9"/>
  <c r="Q867" i="9"/>
  <c r="R867" i="9"/>
  <c r="AB867" i="9"/>
  <c r="M46" i="9"/>
  <c r="M176" i="9"/>
  <c r="M57" i="9"/>
  <c r="M115" i="9"/>
  <c r="M175" i="9"/>
  <c r="M296" i="9"/>
  <c r="M504" i="9"/>
  <c r="AB902" i="9"/>
  <c r="R902" i="9"/>
  <c r="Q902" i="9"/>
  <c r="N902" i="9"/>
  <c r="B902" i="9"/>
  <c r="A4047" i="24" l="1"/>
  <c r="A4048" i="24" s="1"/>
  <c r="M2" i="9"/>
  <c r="M424" i="9"/>
  <c r="A4275" i="24"/>
  <c r="A4276" i="24" s="1"/>
  <c r="M864" i="9"/>
  <c r="M473" i="9"/>
  <c r="M509" i="9"/>
  <c r="M68" i="9"/>
  <c r="M357" i="9"/>
  <c r="M682" i="9"/>
  <c r="M702" i="9"/>
  <c r="M460" i="9"/>
  <c r="M868" i="9"/>
  <c r="M475" i="9"/>
  <c r="M474" i="9"/>
  <c r="M777" i="9"/>
  <c r="M869" i="9"/>
  <c r="M683" i="9"/>
  <c r="M778" i="9"/>
  <c r="M703" i="9"/>
  <c r="M358" i="9"/>
  <c r="M69" i="9"/>
  <c r="M865" i="9"/>
  <c r="M510" i="9"/>
  <c r="M425" i="9"/>
  <c r="M461" i="9"/>
  <c r="M359" i="9" l="1"/>
  <c r="M360" i="9"/>
  <c r="M426" i="9"/>
  <c r="M704" i="9"/>
  <c r="M70" i="9"/>
  <c r="M511" i="9"/>
  <c r="M866" i="9"/>
  <c r="M867" i="9"/>
  <c r="M779" i="9"/>
  <c r="M476" i="9"/>
  <c r="M477" i="9"/>
  <c r="M684" i="9"/>
  <c r="M512" i="9" l="1"/>
  <c r="M685" i="9"/>
  <c r="M71" i="9"/>
  <c r="M705" i="9"/>
  <c r="M780" i="9"/>
  <c r="M427" i="9"/>
  <c r="M706" i="9" l="1"/>
  <c r="M72" i="9"/>
  <c r="M686" i="9"/>
  <c r="M781" i="9"/>
  <c r="M428" i="9"/>
  <c r="M513" i="9"/>
  <c r="M73" i="9" l="1"/>
  <c r="M429" i="9"/>
  <c r="M782" i="9"/>
  <c r="M687" i="9"/>
  <c r="M707" i="9"/>
  <c r="M514" i="9"/>
  <c r="M430" i="9" l="1"/>
  <c r="M515" i="9"/>
  <c r="M74" i="9"/>
  <c r="M708" i="9"/>
  <c r="M688" i="9"/>
  <c r="M783" i="9"/>
  <c r="M784" i="9" l="1"/>
  <c r="M431" i="9"/>
  <c r="M689" i="9"/>
  <c r="M709" i="9"/>
  <c r="M75" i="9"/>
  <c r="M516" i="9"/>
  <c r="M76" i="9" l="1"/>
  <c r="M77" i="9"/>
  <c r="M710" i="9"/>
  <c r="M690" i="9"/>
  <c r="M432" i="9"/>
  <c r="M517" i="9"/>
  <c r="M785" i="9"/>
  <c r="M433" i="9" l="1"/>
  <c r="M691" i="9"/>
  <c r="M711" i="9"/>
  <c r="M518" i="9"/>
  <c r="M787" i="9"/>
  <c r="M786" i="9"/>
  <c r="M712" i="9" l="1"/>
  <c r="M519" i="9"/>
  <c r="M692" i="9"/>
  <c r="M434" i="9"/>
  <c r="M520" i="9" l="1"/>
  <c r="M435" i="9"/>
  <c r="M694" i="9"/>
  <c r="M693" i="9"/>
  <c r="M713" i="9"/>
  <c r="M714" i="9" l="1"/>
  <c r="M436" i="9"/>
  <c r="M521" i="9"/>
  <c r="M522" i="9" l="1"/>
  <c r="M437" i="9"/>
  <c r="M715" i="9"/>
  <c r="M716" i="9"/>
  <c r="M438" i="9" l="1"/>
  <c r="M523" i="9"/>
  <c r="M524" i="9" l="1"/>
  <c r="M525" i="9"/>
  <c r="M439" i="9"/>
  <c r="M440" i="9" l="1"/>
  <c r="M441" i="9" l="1"/>
  <c r="M442" i="9" l="1"/>
  <c r="M444" i="9" l="1"/>
  <c r="M443" i="9"/>
  <c r="AB901" i="9" l="1"/>
  <c r="R901" i="9"/>
  <c r="Q901" i="9"/>
  <c r="N901" i="9"/>
  <c r="B901" i="9"/>
  <c r="AB899" i="9"/>
  <c r="R899" i="9"/>
  <c r="Q899" i="9"/>
  <c r="B899" i="9"/>
  <c r="M4272" i="24"/>
  <c r="AA4272" i="24"/>
  <c r="V4272" i="24"/>
  <c r="Q4272" i="24"/>
  <c r="P4272" i="24"/>
  <c r="B4272" i="24"/>
  <c r="AA4273" i="24"/>
  <c r="V4273" i="24"/>
  <c r="Q4273" i="24"/>
  <c r="P4273" i="24"/>
  <c r="M4273" i="24"/>
  <c r="B4273" i="24"/>
  <c r="AA4274" i="24"/>
  <c r="V4274" i="24"/>
  <c r="Q4274" i="24"/>
  <c r="P4274" i="24"/>
  <c r="M4274" i="24"/>
  <c r="B4274" i="24"/>
  <c r="B4307" i="24"/>
  <c r="M4307" i="24"/>
  <c r="P4307" i="24"/>
  <c r="Q4307" i="24"/>
  <c r="V4307" i="24"/>
  <c r="AA4307" i="24"/>
  <c r="B4305" i="24"/>
  <c r="M4305" i="24"/>
  <c r="P4305" i="24"/>
  <c r="Q4305" i="24"/>
  <c r="V4305" i="24"/>
  <c r="AA4305" i="24"/>
  <c r="B4290" i="24"/>
  <c r="M4290" i="24"/>
  <c r="P4290" i="24"/>
  <c r="Q4290" i="24"/>
  <c r="V4290" i="24"/>
  <c r="AA4290" i="24"/>
  <c r="B4291" i="24"/>
  <c r="M4291" i="24"/>
  <c r="P4291" i="24"/>
  <c r="Q4291" i="24"/>
  <c r="V4291" i="24"/>
  <c r="AA4291" i="24"/>
  <c r="B4289" i="24"/>
  <c r="M4289" i="24"/>
  <c r="P4289" i="24"/>
  <c r="Q4289" i="24"/>
  <c r="V4289" i="24"/>
  <c r="AA4289" i="24"/>
  <c r="B4304" i="24"/>
  <c r="M4304" i="24"/>
  <c r="P4304" i="24"/>
  <c r="Q4304" i="24"/>
  <c r="V4304" i="24"/>
  <c r="AA4304" i="24"/>
  <c r="A984" i="8" l="1"/>
  <c r="M984" i="8" s="1"/>
  <c r="A985" i="8"/>
  <c r="M985" i="8" s="1"/>
  <c r="A986" i="8"/>
  <c r="M986" i="8" s="1"/>
  <c r="A987" i="8"/>
  <c r="M987" i="8" s="1"/>
  <c r="A988" i="8"/>
  <c r="M988" i="8" s="1"/>
  <c r="A989" i="8"/>
  <c r="M989" i="8" s="1"/>
  <c r="A990" i="8"/>
  <c r="M990" i="8" s="1"/>
  <c r="A991" i="8"/>
  <c r="M991" i="8" s="1"/>
  <c r="A992" i="8"/>
  <c r="M992" i="8" s="1"/>
  <c r="A993" i="8"/>
  <c r="M993" i="8" s="1"/>
  <c r="B984" i="8"/>
  <c r="B985" i="8"/>
  <c r="B986" i="8"/>
  <c r="B987" i="8"/>
  <c r="B988" i="8"/>
  <c r="B989" i="8"/>
  <c r="B990" i="8"/>
  <c r="B991" i="8"/>
  <c r="B992" i="8"/>
  <c r="B993" i="8"/>
  <c r="N984" i="8"/>
  <c r="N985" i="8"/>
  <c r="N986" i="8"/>
  <c r="N987" i="8"/>
  <c r="N988" i="8"/>
  <c r="N989" i="8"/>
  <c r="N990" i="8"/>
  <c r="N991" i="8"/>
  <c r="N992" i="8"/>
  <c r="N993" i="8"/>
  <c r="Q984" i="8"/>
  <c r="Q985" i="8"/>
  <c r="Q986" i="8"/>
  <c r="Q987" i="8"/>
  <c r="Q988" i="8"/>
  <c r="Q989" i="8"/>
  <c r="Q990" i="8"/>
  <c r="Q991" i="8"/>
  <c r="Q992" i="8"/>
  <c r="Q993" i="8"/>
  <c r="R984" i="8"/>
  <c r="R985" i="8"/>
  <c r="R986" i="8"/>
  <c r="R987" i="8"/>
  <c r="R988" i="8"/>
  <c r="R989" i="8"/>
  <c r="R990" i="8"/>
  <c r="R991" i="8"/>
  <c r="R992" i="8"/>
  <c r="R993" i="8"/>
  <c r="AB984" i="8"/>
  <c r="AB985" i="8"/>
  <c r="AB986" i="8"/>
  <c r="AB987" i="8"/>
  <c r="AB988" i="8"/>
  <c r="AB989" i="8"/>
  <c r="AB990" i="8"/>
  <c r="AB991" i="8"/>
  <c r="AB992" i="8"/>
  <c r="AB993" i="8"/>
  <c r="A983" i="8"/>
  <c r="M983" i="8" s="1"/>
  <c r="B983" i="8"/>
  <c r="N983" i="8"/>
  <c r="Q983" i="8"/>
  <c r="R983" i="8"/>
  <c r="AB983" i="8"/>
  <c r="B4294" i="24"/>
  <c r="B4295" i="24"/>
  <c r="B4296" i="24"/>
  <c r="B4297" i="24"/>
  <c r="B4298" i="24"/>
  <c r="B4299" i="24"/>
  <c r="B4300" i="24"/>
  <c r="B4301" i="24"/>
  <c r="B4302" i="24"/>
  <c r="B4303" i="24"/>
  <c r="M4294" i="24"/>
  <c r="M4295" i="24"/>
  <c r="M4296" i="24"/>
  <c r="M4297" i="24"/>
  <c r="M4298" i="24"/>
  <c r="M4299" i="24"/>
  <c r="M4300" i="24"/>
  <c r="M4301" i="24"/>
  <c r="M4302" i="24"/>
  <c r="M4303" i="24"/>
  <c r="P4294" i="24"/>
  <c r="P4295" i="24"/>
  <c r="P4296" i="24"/>
  <c r="P4297" i="24"/>
  <c r="P4298" i="24"/>
  <c r="P4299" i="24"/>
  <c r="P4300" i="24"/>
  <c r="P4301" i="24"/>
  <c r="P4302" i="24"/>
  <c r="P4303" i="24"/>
  <c r="Q4294" i="24"/>
  <c r="Q4295" i="24"/>
  <c r="Q4296" i="24"/>
  <c r="Q4297" i="24"/>
  <c r="Q4298" i="24"/>
  <c r="Q4299" i="24"/>
  <c r="Q4300" i="24"/>
  <c r="Q4301" i="24"/>
  <c r="Q4302" i="24"/>
  <c r="Q4303" i="24"/>
  <c r="V4294" i="24"/>
  <c r="V4295" i="24"/>
  <c r="V4296" i="24"/>
  <c r="V4297" i="24"/>
  <c r="V4298" i="24"/>
  <c r="V4299" i="24"/>
  <c r="V4300" i="24"/>
  <c r="V4301" i="24"/>
  <c r="V4302" i="24"/>
  <c r="V4303" i="24"/>
  <c r="AA4294" i="24"/>
  <c r="AA4295" i="24"/>
  <c r="AA4296" i="24"/>
  <c r="AA4297" i="24"/>
  <c r="AA4298" i="24"/>
  <c r="AA4299" i="24"/>
  <c r="AA4300" i="24"/>
  <c r="AA4301" i="24"/>
  <c r="AA4302" i="24"/>
  <c r="AA4303" i="24"/>
  <c r="B4293" i="24"/>
  <c r="M4293" i="24"/>
  <c r="P4293" i="24"/>
  <c r="Q4293" i="24"/>
  <c r="V4293" i="24"/>
  <c r="AA4293" i="24"/>
  <c r="B4292" i="24" l="1"/>
  <c r="M4292" i="24"/>
  <c r="P4292" i="24"/>
  <c r="Q4292" i="24"/>
  <c r="V4292" i="24"/>
  <c r="AA4292" i="24"/>
  <c r="B4281" i="24"/>
  <c r="M4281" i="24"/>
  <c r="P4281" i="24"/>
  <c r="Q4281" i="24"/>
  <c r="V4281" i="24"/>
  <c r="AA4281" i="24"/>
  <c r="B4282" i="24"/>
  <c r="M4282" i="24"/>
  <c r="P4282" i="24"/>
  <c r="Q4282" i="24"/>
  <c r="V4282" i="24"/>
  <c r="AA4282" i="24"/>
  <c r="B4283" i="24"/>
  <c r="M4283" i="24"/>
  <c r="P4283" i="24"/>
  <c r="Q4283" i="24"/>
  <c r="V4283" i="24"/>
  <c r="AA4283" i="24"/>
  <c r="B4284" i="24"/>
  <c r="M4284" i="24"/>
  <c r="P4284" i="24"/>
  <c r="Q4284" i="24"/>
  <c r="V4284" i="24"/>
  <c r="AA4284" i="24"/>
  <c r="B4285" i="24"/>
  <c r="M4285" i="24"/>
  <c r="P4285" i="24"/>
  <c r="Q4285" i="24"/>
  <c r="V4285" i="24"/>
  <c r="AA4285" i="24"/>
  <c r="B4286" i="24"/>
  <c r="M4286" i="24"/>
  <c r="P4286" i="24"/>
  <c r="Q4286" i="24"/>
  <c r="V4286" i="24"/>
  <c r="AA4286" i="24"/>
  <c r="A982" i="8" l="1"/>
  <c r="M982" i="8" s="1"/>
  <c r="B982" i="8"/>
  <c r="N982" i="8"/>
  <c r="Q982" i="8"/>
  <c r="R982" i="8"/>
  <c r="AB982" i="8"/>
  <c r="B4288" i="24" l="1"/>
  <c r="M4288" i="24"/>
  <c r="P4288" i="24"/>
  <c r="Q4288" i="24"/>
  <c r="V4288" i="24"/>
  <c r="AA4288" i="24"/>
  <c r="B4269" i="24"/>
  <c r="M4269" i="24"/>
  <c r="P4269" i="24"/>
  <c r="Q4269" i="24"/>
  <c r="V4269" i="24"/>
  <c r="AA4269" i="24"/>
  <c r="AB898" i="9"/>
  <c r="R898" i="9"/>
  <c r="Q898" i="9"/>
  <c r="N898" i="9"/>
  <c r="B898" i="9"/>
  <c r="AA4287" i="24"/>
  <c r="V4287" i="24"/>
  <c r="Q4287" i="24"/>
  <c r="P4287" i="24"/>
  <c r="M4287" i="24"/>
  <c r="B4287" i="24"/>
  <c r="AA4280" i="24"/>
  <c r="V4280" i="24"/>
  <c r="Q4280" i="24"/>
  <c r="P4280" i="24"/>
  <c r="M4280" i="24"/>
  <c r="B4280" i="24"/>
  <c r="AA4279" i="24"/>
  <c r="V4279" i="24"/>
  <c r="Q4279" i="24"/>
  <c r="P4279" i="24"/>
  <c r="M4279" i="24"/>
  <c r="B4279" i="24"/>
  <c r="AA4278" i="24"/>
  <c r="V4278" i="24"/>
  <c r="Q4278" i="24"/>
  <c r="P4278" i="24"/>
  <c r="M4278" i="24"/>
  <c r="B4278" i="24"/>
  <c r="AA4277" i="24"/>
  <c r="V4277" i="24"/>
  <c r="Q4277" i="24"/>
  <c r="P4277" i="24"/>
  <c r="M4277" i="24"/>
  <c r="B4277" i="24"/>
  <c r="AA4271" i="24" l="1"/>
  <c r="V4271" i="24"/>
  <c r="Q4271" i="24"/>
  <c r="P4271" i="24"/>
  <c r="M4271" i="24"/>
  <c r="B4271" i="24"/>
  <c r="AA4270" i="24"/>
  <c r="V4270" i="24"/>
  <c r="Q4270" i="24"/>
  <c r="P4270" i="24"/>
  <c r="M4270" i="24"/>
  <c r="B4270" i="24"/>
  <c r="M2" i="8"/>
  <c r="M3" i="8"/>
  <c r="M4" i="8"/>
  <c r="M5" i="8"/>
  <c r="M6" i="8"/>
  <c r="M7" i="8"/>
  <c r="M8" i="8"/>
  <c r="M9" i="8"/>
  <c r="M10" i="8"/>
  <c r="M11" i="8"/>
  <c r="M12" i="8"/>
  <c r="M13" i="8"/>
  <c r="M14" i="8"/>
  <c r="M15" i="8"/>
  <c r="M19" i="8"/>
  <c r="M20" i="8"/>
  <c r="M21" i="8"/>
  <c r="M22" i="8"/>
  <c r="M23" i="8"/>
  <c r="M24" i="8"/>
  <c r="M25" i="8"/>
  <c r="M26" i="8"/>
  <c r="M27" i="8"/>
  <c r="M28" i="8"/>
  <c r="A29" i="8"/>
  <c r="M29" i="8" s="1"/>
  <c r="A30" i="8"/>
  <c r="M30" i="8" s="1"/>
  <c r="A31" i="8"/>
  <c r="M31" i="8" s="1"/>
  <c r="A32" i="8"/>
  <c r="M32" i="8" s="1"/>
  <c r="A33" i="8"/>
  <c r="M33" i="8" s="1"/>
  <c r="A34" i="8"/>
  <c r="M34" i="8" s="1"/>
  <c r="A35" i="8"/>
  <c r="M35" i="8" s="1"/>
  <c r="A36" i="8"/>
  <c r="M36" i="8" s="1"/>
  <c r="A37" i="8"/>
  <c r="M37" i="8" s="1"/>
  <c r="A38" i="8"/>
  <c r="M38" i="8" s="1"/>
  <c r="A39" i="8"/>
  <c r="M39" i="8" s="1"/>
  <c r="A40" i="8"/>
  <c r="M40" i="8" s="1"/>
  <c r="A41" i="8"/>
  <c r="M41" i="8" s="1"/>
  <c r="A42" i="8"/>
  <c r="M42" i="8" s="1"/>
  <c r="A43" i="8"/>
  <c r="M43" i="8" s="1"/>
  <c r="A44" i="8"/>
  <c r="M44" i="8" s="1"/>
  <c r="A45" i="8"/>
  <c r="M45" i="8" s="1"/>
  <c r="A46" i="8"/>
  <c r="M46" i="8" s="1"/>
  <c r="A47" i="8"/>
  <c r="M47" i="8" s="1"/>
  <c r="A48" i="8"/>
  <c r="M48" i="8" s="1"/>
  <c r="A49" i="8"/>
  <c r="M49" i="8" s="1"/>
  <c r="A50" i="8"/>
  <c r="M50" i="8" s="1"/>
  <c r="A51" i="8"/>
  <c r="M51" i="8" s="1"/>
  <c r="A52" i="8"/>
  <c r="M52" i="8" s="1"/>
  <c r="A53" i="8"/>
  <c r="M53" i="8" s="1"/>
  <c r="A54" i="8"/>
  <c r="M54" i="8" s="1"/>
  <c r="A55" i="8"/>
  <c r="M55" i="8" s="1"/>
  <c r="A56" i="8"/>
  <c r="M56" i="8" s="1"/>
  <c r="A57" i="8"/>
  <c r="M57" i="8" s="1"/>
  <c r="A58" i="8"/>
  <c r="M58" i="8" s="1"/>
  <c r="A59" i="8"/>
  <c r="M59" i="8" s="1"/>
  <c r="A60" i="8"/>
  <c r="M60" i="8" s="1"/>
  <c r="A61" i="8"/>
  <c r="M61" i="8" s="1"/>
  <c r="A62" i="8"/>
  <c r="M62" i="8" s="1"/>
  <c r="A63" i="8"/>
  <c r="M63" i="8" s="1"/>
  <c r="A64" i="8"/>
  <c r="A65" i="8" s="1"/>
  <c r="A66" i="8" s="1"/>
  <c r="A67" i="8" s="1"/>
  <c r="A68" i="8" s="1"/>
  <c r="A69" i="8"/>
  <c r="M69" i="8" s="1"/>
  <c r="A70" i="8"/>
  <c r="M70" i="8" s="1"/>
  <c r="A71" i="8"/>
  <c r="M71" i="8" s="1"/>
  <c r="A72" i="8"/>
  <c r="M72" i="8" s="1"/>
  <c r="A73" i="8"/>
  <c r="M73" i="8" s="1"/>
  <c r="A74" i="8"/>
  <c r="M74" i="8" s="1"/>
  <c r="A75" i="8"/>
  <c r="M75" i="8" s="1"/>
  <c r="A76" i="8"/>
  <c r="M76" i="8" s="1"/>
  <c r="A77" i="8"/>
  <c r="M77" i="8" s="1"/>
  <c r="A78" i="8"/>
  <c r="M78" i="8" s="1"/>
  <c r="A79" i="8"/>
  <c r="M79" i="8" s="1"/>
  <c r="A80" i="8"/>
  <c r="M80" i="8" s="1"/>
  <c r="A81" i="8"/>
  <c r="M81" i="8" s="1"/>
  <c r="A82" i="8"/>
  <c r="M82" i="8" s="1"/>
  <c r="A83" i="8"/>
  <c r="M83" i="8" s="1"/>
  <c r="A84" i="8"/>
  <c r="M84" i="8" s="1"/>
  <c r="A85" i="8"/>
  <c r="M85" i="8" s="1"/>
  <c r="A86" i="8"/>
  <c r="M86" i="8" s="1"/>
  <c r="A87" i="8"/>
  <c r="M87" i="8" s="1"/>
  <c r="A88" i="8"/>
  <c r="M88" i="8" s="1"/>
  <c r="A89" i="8"/>
  <c r="M89" i="8" s="1"/>
  <c r="A90" i="8"/>
  <c r="M90" i="8" s="1"/>
  <c r="A91" i="8"/>
  <c r="M91" i="8" s="1"/>
  <c r="A92" i="8"/>
  <c r="M92" i="8" s="1"/>
  <c r="A93" i="8"/>
  <c r="M93" i="8" s="1"/>
  <c r="A94" i="8"/>
  <c r="M94" i="8" s="1"/>
  <c r="A95" i="8"/>
  <c r="M95" i="8" s="1"/>
  <c r="A96" i="8"/>
  <c r="M96" i="8" s="1"/>
  <c r="A97" i="8"/>
  <c r="M97" i="8" s="1"/>
  <c r="A98" i="8"/>
  <c r="M98" i="8" s="1"/>
  <c r="A99" i="8"/>
  <c r="M99" i="8" s="1"/>
  <c r="A100" i="8"/>
  <c r="M100" i="8" s="1"/>
  <c r="A101" i="8"/>
  <c r="M101" i="8" s="1"/>
  <c r="A102" i="8"/>
  <c r="M102" i="8" s="1"/>
  <c r="A103" i="8"/>
  <c r="M103" i="8" s="1"/>
  <c r="A104" i="8"/>
  <c r="M104" i="8" s="1"/>
  <c r="A105" i="8"/>
  <c r="M105" i="8" s="1"/>
  <c r="A106" i="8"/>
  <c r="M106" i="8" s="1"/>
  <c r="A107" i="8"/>
  <c r="M107" i="8" s="1"/>
  <c r="A108" i="8"/>
  <c r="M108" i="8" s="1"/>
  <c r="A109" i="8"/>
  <c r="M109" i="8" s="1"/>
  <c r="A110" i="8"/>
  <c r="M110" i="8" s="1"/>
  <c r="A111" i="8"/>
  <c r="M111" i="8" s="1"/>
  <c r="A112" i="8"/>
  <c r="M112" i="8" s="1"/>
  <c r="A113" i="8"/>
  <c r="M113" i="8" s="1"/>
  <c r="A114" i="8"/>
  <c r="M114" i="8" s="1"/>
  <c r="A115" i="8"/>
  <c r="M115" i="8" s="1"/>
  <c r="A116" i="8"/>
  <c r="M116" i="8" s="1"/>
  <c r="A117" i="8"/>
  <c r="M117" i="8" s="1"/>
  <c r="A118" i="8"/>
  <c r="M118" i="8" s="1"/>
  <c r="A119" i="8"/>
  <c r="M119" i="8" s="1"/>
  <c r="A120" i="8"/>
  <c r="M120" i="8" s="1"/>
  <c r="A121" i="8"/>
  <c r="M121" i="8" s="1"/>
  <c r="A122" i="8"/>
  <c r="M122" i="8" s="1"/>
  <c r="A123" i="8"/>
  <c r="M123" i="8" s="1"/>
  <c r="A124" i="8"/>
  <c r="M124" i="8" s="1"/>
  <c r="A125" i="8"/>
  <c r="M125" i="8" s="1"/>
  <c r="A126" i="8"/>
  <c r="A127" i="8" s="1"/>
  <c r="A128" i="8" s="1"/>
  <c r="A129" i="8"/>
  <c r="M129" i="8" s="1"/>
  <c r="A130" i="8"/>
  <c r="M130" i="8" s="1"/>
  <c r="A131" i="8"/>
  <c r="M131" i="8" s="1"/>
  <c r="A132" i="8"/>
  <c r="M132" i="8" s="1"/>
  <c r="A133" i="8"/>
  <c r="M133" i="8" s="1"/>
  <c r="A134" i="8"/>
  <c r="M134" i="8" s="1"/>
  <c r="A135" i="8"/>
  <c r="M135" i="8" s="1"/>
  <c r="A136" i="8"/>
  <c r="M136" i="8" s="1"/>
  <c r="A137" i="8"/>
  <c r="M137" i="8" s="1"/>
  <c r="A138" i="8"/>
  <c r="M138" i="8" s="1"/>
  <c r="A139" i="8"/>
  <c r="M139" i="8" s="1"/>
  <c r="A140" i="8"/>
  <c r="M140" i="8" s="1"/>
  <c r="A141" i="8"/>
  <c r="M141" i="8" s="1"/>
  <c r="A142" i="8"/>
  <c r="M142" i="8" s="1"/>
  <c r="A143" i="8"/>
  <c r="M143" i="8" s="1"/>
  <c r="A144" i="8"/>
  <c r="M144" i="8" s="1"/>
  <c r="A145" i="8"/>
  <c r="M145" i="8" s="1"/>
  <c r="A146" i="8"/>
  <c r="M146" i="8" s="1"/>
  <c r="A147" i="8"/>
  <c r="M147" i="8" s="1"/>
  <c r="A148" i="8"/>
  <c r="M148" i="8" s="1"/>
  <c r="A149" i="8"/>
  <c r="M149" i="8" s="1"/>
  <c r="A150" i="8"/>
  <c r="M150" i="8" s="1"/>
  <c r="A151" i="8"/>
  <c r="M151" i="8" s="1"/>
  <c r="A152" i="8"/>
  <c r="M152" i="8" s="1"/>
  <c r="A153" i="8"/>
  <c r="M153" i="8" s="1"/>
  <c r="A154" i="8"/>
  <c r="M154" i="8" s="1"/>
  <c r="A155" i="8"/>
  <c r="M155" i="8" s="1"/>
  <c r="A156" i="8"/>
  <c r="M156" i="8" s="1"/>
  <c r="A157" i="8"/>
  <c r="M157" i="8" s="1"/>
  <c r="A158" i="8"/>
  <c r="M158" i="8" s="1"/>
  <c r="A159" i="8"/>
  <c r="M159" i="8" s="1"/>
  <c r="A160" i="8"/>
  <c r="M160" i="8" s="1"/>
  <c r="A161" i="8"/>
  <c r="M161" i="8" s="1"/>
  <c r="A162" i="8"/>
  <c r="M162" i="8" s="1"/>
  <c r="A163" i="8"/>
  <c r="M163" i="8" s="1"/>
  <c r="A164" i="8"/>
  <c r="M164" i="8" s="1"/>
  <c r="A165" i="8"/>
  <c r="M165" i="8" s="1"/>
  <c r="A166" i="8"/>
  <c r="M166" i="8" s="1"/>
  <c r="A167" i="8"/>
  <c r="M167" i="8" s="1"/>
  <c r="A168" i="8"/>
  <c r="M168" i="8" s="1"/>
  <c r="A169" i="8"/>
  <c r="M169" i="8" s="1"/>
  <c r="A170" i="8"/>
  <c r="M170" i="8" s="1"/>
  <c r="A171" i="8"/>
  <c r="M171" i="8" s="1"/>
  <c r="A172" i="8"/>
  <c r="M172" i="8" s="1"/>
  <c r="A173" i="8"/>
  <c r="M173" i="8" s="1"/>
  <c r="A174" i="8"/>
  <c r="M174" i="8" s="1"/>
  <c r="A175" i="8"/>
  <c r="M175" i="8" s="1"/>
  <c r="A176" i="8"/>
  <c r="M176" i="8" s="1"/>
  <c r="A177" i="8"/>
  <c r="M177" i="8" s="1"/>
  <c r="A178" i="8"/>
  <c r="M178" i="8" s="1"/>
  <c r="A179" i="8"/>
  <c r="M179" i="8" s="1"/>
  <c r="A180" i="8"/>
  <c r="M180" i="8" s="1"/>
  <c r="A181" i="8"/>
  <c r="M181" i="8" s="1"/>
  <c r="A182" i="8"/>
  <c r="M182" i="8" s="1"/>
  <c r="A183" i="8"/>
  <c r="M183" i="8" s="1"/>
  <c r="A184" i="8"/>
  <c r="M184" i="8" s="1"/>
  <c r="A185" i="8"/>
  <c r="M185" i="8" s="1"/>
  <c r="A186" i="8"/>
  <c r="M186" i="8" s="1"/>
  <c r="A187" i="8"/>
  <c r="M187" i="8" s="1"/>
  <c r="A188" i="8"/>
  <c r="M188" i="8" s="1"/>
  <c r="A189" i="8"/>
  <c r="M189" i="8" s="1"/>
  <c r="A190" i="8"/>
  <c r="M190" i="8" s="1"/>
  <c r="A191" i="8"/>
  <c r="M191" i="8" s="1"/>
  <c r="A192" i="8"/>
  <c r="M192" i="8" s="1"/>
  <c r="A193" i="8"/>
  <c r="M193" i="8" s="1"/>
  <c r="A194" i="8"/>
  <c r="M194" i="8" s="1"/>
  <c r="A195" i="8"/>
  <c r="M195" i="8" s="1"/>
  <c r="A196" i="8"/>
  <c r="M196" i="8" s="1"/>
  <c r="A197" i="8"/>
  <c r="M197" i="8" s="1"/>
  <c r="A198" i="8"/>
  <c r="M198" i="8" s="1"/>
  <c r="A199" i="8"/>
  <c r="M199" i="8" s="1"/>
  <c r="A200" i="8"/>
  <c r="M200" i="8" s="1"/>
  <c r="A201" i="8"/>
  <c r="M201" i="8" s="1"/>
  <c r="A202" i="8"/>
  <c r="M202" i="8" s="1"/>
  <c r="A203" i="8"/>
  <c r="M203" i="8" s="1"/>
  <c r="A204" i="8"/>
  <c r="M204" i="8" s="1"/>
  <c r="A205" i="8"/>
  <c r="M205" i="8" s="1"/>
  <c r="A206" i="8"/>
  <c r="M206" i="8" s="1"/>
  <c r="A207" i="8"/>
  <c r="M207" i="8" s="1"/>
  <c r="A208" i="8"/>
  <c r="M208" i="8" s="1"/>
  <c r="A209" i="8"/>
  <c r="M209" i="8" s="1"/>
  <c r="A210" i="8"/>
  <c r="M210" i="8" s="1"/>
  <c r="A211" i="8"/>
  <c r="M211" i="8" s="1"/>
  <c r="A212" i="8"/>
  <c r="A213" i="8" s="1"/>
  <c r="A214" i="8" s="1"/>
  <c r="A215" i="8"/>
  <c r="M215" i="8" s="1"/>
  <c r="A216" i="8"/>
  <c r="M216" i="8" s="1"/>
  <c r="A217" i="8"/>
  <c r="M217" i="8" s="1"/>
  <c r="A218" i="8"/>
  <c r="M218" i="8" s="1"/>
  <c r="A219" i="8"/>
  <c r="M219" i="8" s="1"/>
  <c r="A220" i="8"/>
  <c r="M220" i="8" s="1"/>
  <c r="A221" i="8"/>
  <c r="M221" i="8" s="1"/>
  <c r="A222" i="8"/>
  <c r="M222" i="8" s="1"/>
  <c r="A223" i="8"/>
  <c r="M223" i="8" s="1"/>
  <c r="A224" i="8"/>
  <c r="M224" i="8" s="1"/>
  <c r="A225" i="8"/>
  <c r="M225" i="8" s="1"/>
  <c r="A226" i="8"/>
  <c r="M226" i="8" s="1"/>
  <c r="A227" i="8"/>
  <c r="M227" i="8" s="1"/>
  <c r="A228" i="8"/>
  <c r="M228" i="8" s="1"/>
  <c r="A229" i="8"/>
  <c r="M229" i="8" s="1"/>
  <c r="A230" i="8"/>
  <c r="M230" i="8" s="1"/>
  <c r="A231" i="8"/>
  <c r="M231" i="8" s="1"/>
  <c r="A232" i="8"/>
  <c r="M232" i="8" s="1"/>
  <c r="A233" i="8"/>
  <c r="M233" i="8" s="1"/>
  <c r="A234" i="8"/>
  <c r="M234" i="8" s="1"/>
  <c r="A235" i="8"/>
  <c r="M235" i="8" s="1"/>
  <c r="A236" i="8"/>
  <c r="M236" i="8" s="1"/>
  <c r="A237" i="8"/>
  <c r="M237" i="8" s="1"/>
  <c r="A238" i="8"/>
  <c r="M238" i="8" s="1"/>
  <c r="A239" i="8"/>
  <c r="M239" i="8" s="1"/>
  <c r="M240" i="8" s="1"/>
  <c r="M241" i="8" s="1"/>
  <c r="A242" i="8"/>
  <c r="M242" i="8" s="1"/>
  <c r="A243" i="8"/>
  <c r="M243" i="8" s="1"/>
  <c r="A244" i="8"/>
  <c r="M244" i="8" s="1"/>
  <c r="A245" i="8"/>
  <c r="M245" i="8" s="1"/>
  <c r="A246" i="8"/>
  <c r="M246" i="8" s="1"/>
  <c r="A247" i="8"/>
  <c r="M247" i="8" s="1"/>
  <c r="A248" i="8"/>
  <c r="M248" i="8" s="1"/>
  <c r="A249" i="8"/>
  <c r="M249" i="8" s="1"/>
  <c r="A250" i="8"/>
  <c r="M250" i="8" s="1"/>
  <c r="A251" i="8"/>
  <c r="A254" i="8"/>
  <c r="M254" i="8" s="1"/>
  <c r="A255" i="8"/>
  <c r="M255" i="8" s="1"/>
  <c r="A256" i="8"/>
  <c r="M256" i="8" s="1"/>
  <c r="A257" i="8"/>
  <c r="M257" i="8" s="1"/>
  <c r="A258" i="8"/>
  <c r="M258" i="8" s="1"/>
  <c r="A259" i="8"/>
  <c r="M259" i="8" s="1"/>
  <c r="A260" i="8"/>
  <c r="M260" i="8" s="1"/>
  <c r="A261" i="8"/>
  <c r="M261" i="8" s="1"/>
  <c r="A262" i="8"/>
  <c r="M262" i="8" s="1"/>
  <c r="A263" i="8"/>
  <c r="M263" i="8" s="1"/>
  <c r="A264" i="8"/>
  <c r="M264" i="8" s="1"/>
  <c r="A265" i="8"/>
  <c r="M265" i="8" s="1"/>
  <c r="A266" i="8"/>
  <c r="M266" i="8" s="1"/>
  <c r="A267" i="8"/>
  <c r="M267" i="8" s="1"/>
  <c r="A268" i="8"/>
  <c r="M268" i="8" s="1"/>
  <c r="A269" i="8"/>
  <c r="M269" i="8" s="1"/>
  <c r="A270" i="8"/>
  <c r="M270" i="8" s="1"/>
  <c r="A271" i="8"/>
  <c r="M271" i="8" s="1"/>
  <c r="A272" i="8"/>
  <c r="M272" i="8" s="1"/>
  <c r="A273" i="8"/>
  <c r="M273" i="8" s="1"/>
  <c r="A274" i="8"/>
  <c r="M274" i="8" s="1"/>
  <c r="A275" i="8"/>
  <c r="M275" i="8" s="1"/>
  <c r="A276" i="8"/>
  <c r="M276" i="8" s="1"/>
  <c r="A277" i="8"/>
  <c r="M277" i="8" s="1"/>
  <c r="A278" i="8"/>
  <c r="M278" i="8" s="1"/>
  <c r="A279" i="8"/>
  <c r="M279" i="8" s="1"/>
  <c r="A280" i="8"/>
  <c r="M280" i="8" s="1"/>
  <c r="A281" i="8"/>
  <c r="M281" i="8" s="1"/>
  <c r="A282" i="8"/>
  <c r="M282" i="8" s="1"/>
  <c r="A283" i="8"/>
  <c r="M283" i="8" s="1"/>
  <c r="A284" i="8"/>
  <c r="M284" i="8" s="1"/>
  <c r="A285" i="8"/>
  <c r="M285" i="8" s="1"/>
  <c r="A286" i="8"/>
  <c r="M286" i="8" s="1"/>
  <c r="A287" i="8"/>
  <c r="M287" i="8" s="1"/>
  <c r="A288" i="8"/>
  <c r="A289" i="8" s="1"/>
  <c r="A290" i="8" s="1"/>
  <c r="A291" i="8"/>
  <c r="M291" i="8" s="1"/>
  <c r="A292" i="8"/>
  <c r="M292" i="8" s="1"/>
  <c r="A293" i="8"/>
  <c r="M293" i="8" s="1"/>
  <c r="A294" i="8"/>
  <c r="M294" i="8" s="1"/>
  <c r="A295" i="8"/>
  <c r="M295" i="8" s="1"/>
  <c r="A296" i="8"/>
  <c r="M296" i="8" s="1"/>
  <c r="A297" i="8"/>
  <c r="M297" i="8" s="1"/>
  <c r="A298" i="8"/>
  <c r="M298" i="8" s="1"/>
  <c r="A299" i="8"/>
  <c r="M299" i="8" s="1"/>
  <c r="A300" i="8"/>
  <c r="M300" i="8" s="1"/>
  <c r="A301" i="8"/>
  <c r="M301" i="8" s="1"/>
  <c r="A302" i="8"/>
  <c r="M302" i="8" s="1"/>
  <c r="A303" i="8"/>
  <c r="M303" i="8" s="1"/>
  <c r="A304" i="8"/>
  <c r="M304" i="8" s="1"/>
  <c r="A305" i="8"/>
  <c r="M305" i="8" s="1"/>
  <c r="A306" i="8"/>
  <c r="M306" i="8" s="1"/>
  <c r="A307" i="8"/>
  <c r="M307" i="8" s="1"/>
  <c r="A308" i="8"/>
  <c r="M308" i="8" s="1"/>
  <c r="A309" i="8"/>
  <c r="M309" i="8" s="1"/>
  <c r="A310" i="8"/>
  <c r="M310" i="8" s="1"/>
  <c r="A311" i="8"/>
  <c r="M311" i="8" s="1"/>
  <c r="A312" i="8"/>
  <c r="M312" i="8" s="1"/>
  <c r="A313" i="8"/>
  <c r="M313" i="8" s="1"/>
  <c r="A314" i="8"/>
  <c r="M314" i="8" s="1"/>
  <c r="A315" i="8"/>
  <c r="M315" i="8" s="1"/>
  <c r="A316" i="8"/>
  <c r="M316" i="8" s="1"/>
  <c r="A317" i="8"/>
  <c r="M317" i="8" s="1"/>
  <c r="A318" i="8"/>
  <c r="M318" i="8" s="1"/>
  <c r="A319" i="8"/>
  <c r="M319" i="8" s="1"/>
  <c r="A320" i="8"/>
  <c r="A321" i="8" s="1"/>
  <c r="A322" i="8" s="1"/>
  <c r="A323" i="8" s="1"/>
  <c r="A324" i="8"/>
  <c r="M324" i="8" s="1"/>
  <c r="A325" i="8"/>
  <c r="M325" i="8" s="1"/>
  <c r="A326" i="8"/>
  <c r="M326" i="8" s="1"/>
  <c r="A327" i="8"/>
  <c r="M327" i="8" s="1"/>
  <c r="A328" i="8"/>
  <c r="M328" i="8" s="1"/>
  <c r="A329" i="8"/>
  <c r="M329" i="8" s="1"/>
  <c r="M330" i="8" s="1"/>
  <c r="M331" i="8" s="1"/>
  <c r="M332" i="8" s="1"/>
  <c r="A333" i="8"/>
  <c r="M333" i="8" s="1"/>
  <c r="A334" i="8"/>
  <c r="M334" i="8" s="1"/>
  <c r="A335" i="8"/>
  <c r="M335" i="8" s="1"/>
  <c r="A336" i="8"/>
  <c r="M336" i="8" s="1"/>
  <c r="A337" i="8"/>
  <c r="M337" i="8" s="1"/>
  <c r="A338" i="8"/>
  <c r="M338" i="8" s="1"/>
  <c r="A339" i="8"/>
  <c r="M339" i="8" s="1"/>
  <c r="A340" i="8"/>
  <c r="M340" i="8" s="1"/>
  <c r="A341" i="8"/>
  <c r="M341" i="8" s="1"/>
  <c r="A342" i="8"/>
  <c r="A343" i="8" s="1"/>
  <c r="A344" i="8" s="1"/>
  <c r="A345" i="8"/>
  <c r="M345" i="8" s="1"/>
  <c r="A346" i="8"/>
  <c r="M346" i="8" s="1"/>
  <c r="A347" i="8"/>
  <c r="M347" i="8" s="1"/>
  <c r="A348" i="8"/>
  <c r="A349" i="8" s="1"/>
  <c r="A350" i="8" s="1"/>
  <c r="A351" i="8" s="1"/>
  <c r="A352" i="8"/>
  <c r="M352" i="8" s="1"/>
  <c r="A353" i="8"/>
  <c r="M353" i="8" s="1"/>
  <c r="A354" i="8"/>
  <c r="M354" i="8" s="1"/>
  <c r="A355" i="8"/>
  <c r="M355" i="8" s="1"/>
  <c r="A356" i="8"/>
  <c r="M356" i="8" s="1"/>
  <c r="A357" i="8"/>
  <c r="M357" i="8" s="1"/>
  <c r="A358" i="8"/>
  <c r="M358" i="8" s="1"/>
  <c r="A359" i="8"/>
  <c r="M359" i="8" s="1"/>
  <c r="A360" i="8"/>
  <c r="M360" i="8" s="1"/>
  <c r="A361" i="8"/>
  <c r="M361" i="8" s="1"/>
  <c r="A362" i="8"/>
  <c r="A363" i="8" s="1"/>
  <c r="A364" i="8" s="1"/>
  <c r="A365" i="8"/>
  <c r="M365" i="8" s="1"/>
  <c r="A366" i="8"/>
  <c r="M366" i="8" s="1"/>
  <c r="A367" i="8"/>
  <c r="M367" i="8" s="1"/>
  <c r="A368" i="8"/>
  <c r="M368" i="8" s="1"/>
  <c r="A369" i="8"/>
  <c r="M369" i="8" s="1"/>
  <c r="A370" i="8"/>
  <c r="M370" i="8" s="1"/>
  <c r="A371" i="8"/>
  <c r="M371" i="8" s="1"/>
  <c r="A372" i="8"/>
  <c r="M372" i="8" s="1"/>
  <c r="A373" i="8"/>
  <c r="A374" i="8" s="1"/>
  <c r="A375" i="8" s="1"/>
  <c r="A376" i="8"/>
  <c r="M376" i="8" s="1"/>
  <c r="A377" i="8"/>
  <c r="M377" i="8" s="1"/>
  <c r="A378" i="8"/>
  <c r="M378" i="8" s="1"/>
  <c r="A379" i="8"/>
  <c r="M379" i="8" s="1"/>
  <c r="A380" i="8"/>
  <c r="M380" i="8" s="1"/>
  <c r="A381" i="8"/>
  <c r="M381" i="8" s="1"/>
  <c r="A382" i="8"/>
  <c r="M382" i="8" s="1"/>
  <c r="A383" i="8"/>
  <c r="M383" i="8" s="1"/>
  <c r="A384" i="8"/>
  <c r="M384" i="8" s="1"/>
  <c r="A385" i="8"/>
  <c r="M385" i="8" s="1"/>
  <c r="A386" i="8"/>
  <c r="M386" i="8" s="1"/>
  <c r="A387" i="8"/>
  <c r="M387" i="8" s="1"/>
  <c r="A388" i="8"/>
  <c r="M388" i="8" s="1"/>
  <c r="A389" i="8"/>
  <c r="M389" i="8" s="1"/>
  <c r="A390" i="8"/>
  <c r="M390" i="8" s="1"/>
  <c r="A391" i="8"/>
  <c r="M391" i="8" s="1"/>
  <c r="A392" i="8"/>
  <c r="M392" i="8" s="1"/>
  <c r="A393" i="8"/>
  <c r="M393" i="8" s="1"/>
  <c r="A394" i="8"/>
  <c r="M394" i="8" s="1"/>
  <c r="A395" i="8"/>
  <c r="M395" i="8" s="1"/>
  <c r="A396" i="8"/>
  <c r="A397" i="8" s="1"/>
  <c r="A398" i="8" s="1"/>
  <c r="A399" i="8" s="1"/>
  <c r="A400" i="8" s="1"/>
  <c r="A401" i="8" s="1"/>
  <c r="A402" i="8" s="1"/>
  <c r="A403" i="8" s="1"/>
  <c r="A404" i="8"/>
  <c r="M404" i="8" s="1"/>
  <c r="A405" i="8"/>
  <c r="M405" i="8" s="1"/>
  <c r="A406" i="8"/>
  <c r="M406" i="8" s="1"/>
  <c r="A407" i="8"/>
  <c r="M407" i="8" s="1"/>
  <c r="A408" i="8"/>
  <c r="M408" i="8" s="1"/>
  <c r="A409" i="8"/>
  <c r="M409" i="8" s="1"/>
  <c r="A410" i="8"/>
  <c r="M410" i="8" s="1"/>
  <c r="A411" i="8"/>
  <c r="M411" i="8" s="1"/>
  <c r="A412" i="8"/>
  <c r="M412" i="8" s="1"/>
  <c r="A413" i="8"/>
  <c r="M413" i="8" s="1"/>
  <c r="A414" i="8"/>
  <c r="M414" i="8" s="1"/>
  <c r="A415" i="8"/>
  <c r="M415" i="8" s="1"/>
  <c r="A416" i="8"/>
  <c r="M416" i="8" s="1"/>
  <c r="A417" i="8"/>
  <c r="M417" i="8" s="1"/>
  <c r="M418" i="8" s="1"/>
  <c r="M419" i="8" s="1"/>
  <c r="A420" i="8"/>
  <c r="M420" i="8" s="1"/>
  <c r="A421" i="8"/>
  <c r="M421" i="8" s="1"/>
  <c r="A422" i="8"/>
  <c r="M422" i="8" s="1"/>
  <c r="A423" i="8"/>
  <c r="M423" i="8" s="1"/>
  <c r="A424" i="8"/>
  <c r="M424" i="8" s="1"/>
  <c r="A425" i="8"/>
  <c r="A429" i="8"/>
  <c r="A430" i="8" s="1"/>
  <c r="A431" i="8" s="1"/>
  <c r="A432" i="8"/>
  <c r="M432" i="8" s="1"/>
  <c r="A433" i="8"/>
  <c r="M433" i="8" s="1"/>
  <c r="A434" i="8"/>
  <c r="M434" i="8" s="1"/>
  <c r="A435" i="8"/>
  <c r="M435" i="8" s="1"/>
  <c r="A436" i="8"/>
  <c r="M436" i="8" s="1"/>
  <c r="A437" i="8"/>
  <c r="M437" i="8" s="1"/>
  <c r="A438" i="8"/>
  <c r="A439" i="8" s="1"/>
  <c r="A440" i="8" s="1"/>
  <c r="A441" i="8"/>
  <c r="A442" i="8" s="1"/>
  <c r="A443" i="8" s="1"/>
  <c r="A444" i="8"/>
  <c r="M444" i="8" s="1"/>
  <c r="A445" i="8"/>
  <c r="M445" i="8" s="1"/>
  <c r="A446" i="8"/>
  <c r="M446" i="8" s="1"/>
  <c r="A447" i="8"/>
  <c r="M447" i="8" s="1"/>
  <c r="A448" i="8"/>
  <c r="M448" i="8" s="1"/>
  <c r="A449" i="8"/>
  <c r="M449" i="8" s="1"/>
  <c r="A450" i="8"/>
  <c r="M450" i="8" s="1"/>
  <c r="A451" i="8"/>
  <c r="M451" i="8" s="1"/>
  <c r="A452" i="8"/>
  <c r="M452" i="8" s="1"/>
  <c r="A453" i="8"/>
  <c r="M453" i="8" s="1"/>
  <c r="A454" i="8"/>
  <c r="M454" i="8" s="1"/>
  <c r="A455" i="8"/>
  <c r="M455" i="8" s="1"/>
  <c r="A456" i="8"/>
  <c r="M456" i="8" s="1"/>
  <c r="A457" i="8"/>
  <c r="M457" i="8" s="1"/>
  <c r="A458" i="8"/>
  <c r="M458" i="8" s="1"/>
  <c r="A459" i="8"/>
  <c r="M459" i="8" s="1"/>
  <c r="A460" i="8"/>
  <c r="M460" i="8" s="1"/>
  <c r="A461" i="8"/>
  <c r="M461" i="8" s="1"/>
  <c r="A462" i="8"/>
  <c r="M462" i="8" s="1"/>
  <c r="A463" i="8"/>
  <c r="M463" i="8" s="1"/>
  <c r="A464" i="8"/>
  <c r="M464" i="8" s="1"/>
  <c r="A465" i="8"/>
  <c r="M465" i="8" s="1"/>
  <c r="A466" i="8"/>
  <c r="M466" i="8" s="1"/>
  <c r="A467" i="8"/>
  <c r="M467" i="8" s="1"/>
  <c r="A468" i="8"/>
  <c r="M468" i="8" s="1"/>
  <c r="A469" i="8"/>
  <c r="M469" i="8" s="1"/>
  <c r="A470" i="8"/>
  <c r="M470" i="8" s="1"/>
  <c r="A471" i="8"/>
  <c r="M471" i="8" s="1"/>
  <c r="A472" i="8"/>
  <c r="M472" i="8" s="1"/>
  <c r="A473" i="8"/>
  <c r="M473" i="8" s="1"/>
  <c r="A474" i="8"/>
  <c r="M474" i="8" s="1"/>
  <c r="A475" i="8"/>
  <c r="M475" i="8" s="1"/>
  <c r="A476" i="8"/>
  <c r="A477" i="8" s="1"/>
  <c r="A478" i="8" s="1"/>
  <c r="A479" i="8" s="1"/>
  <c r="A480" i="8" s="1"/>
  <c r="A481" i="8"/>
  <c r="M481" i="8" s="1"/>
  <c r="A482" i="8"/>
  <c r="M482" i="8" s="1"/>
  <c r="A483" i="8"/>
  <c r="M483" i="8" s="1"/>
  <c r="A484" i="8"/>
  <c r="M484" i="8" s="1"/>
  <c r="A485" i="8"/>
  <c r="M485" i="8" s="1"/>
  <c r="A486" i="8"/>
  <c r="M486" i="8" s="1"/>
  <c r="A487" i="8"/>
  <c r="M487" i="8" s="1"/>
  <c r="A488" i="8"/>
  <c r="M488" i="8" s="1"/>
  <c r="A489" i="8"/>
  <c r="M489" i="8" s="1"/>
  <c r="A490" i="8"/>
  <c r="M490" i="8" s="1"/>
  <c r="A491" i="8"/>
  <c r="M491" i="8" s="1"/>
  <c r="A492" i="8"/>
  <c r="M492" i="8" s="1"/>
  <c r="A493" i="8"/>
  <c r="M493" i="8" s="1"/>
  <c r="A494" i="8"/>
  <c r="M494" i="8" s="1"/>
  <c r="A495" i="8"/>
  <c r="M495" i="8" s="1"/>
  <c r="A496" i="8"/>
  <c r="M496" i="8" s="1"/>
  <c r="A497" i="8"/>
  <c r="M497" i="8" s="1"/>
  <c r="M498" i="8" s="1"/>
  <c r="M499" i="8" s="1"/>
  <c r="M500" i="8" s="1"/>
  <c r="M501" i="8" s="1"/>
  <c r="M502" i="8" s="1"/>
  <c r="A503" i="8"/>
  <c r="M503" i="8" s="1"/>
  <c r="M504" i="8" s="1"/>
  <c r="M505" i="8" s="1"/>
  <c r="A506" i="8"/>
  <c r="M506" i="8" s="1"/>
  <c r="A507" i="8"/>
  <c r="M507" i="8" s="1"/>
  <c r="A508" i="8"/>
  <c r="M508" i="8" s="1"/>
  <c r="A509" i="8"/>
  <c r="M509" i="8" s="1"/>
  <c r="A510" i="8"/>
  <c r="M510" i="8" s="1"/>
  <c r="A511" i="8"/>
  <c r="M511" i="8" s="1"/>
  <c r="A512" i="8"/>
  <c r="M512" i="8" s="1"/>
  <c r="A513" i="8"/>
  <c r="M513" i="8" s="1"/>
  <c r="A514" i="8"/>
  <c r="M514" i="8" s="1"/>
  <c r="A515" i="8"/>
  <c r="M515" i="8" s="1"/>
  <c r="A516" i="8"/>
  <c r="M516" i="8" s="1"/>
  <c r="A517" i="8"/>
  <c r="M517" i="8" s="1"/>
  <c r="A518" i="8"/>
  <c r="M518" i="8" s="1"/>
  <c r="A519" i="8"/>
  <c r="M519" i="8" s="1"/>
  <c r="A520" i="8"/>
  <c r="M520" i="8" s="1"/>
  <c r="A521" i="8"/>
  <c r="M521" i="8" s="1"/>
  <c r="A522" i="8"/>
  <c r="M522" i="8" s="1"/>
  <c r="A523" i="8"/>
  <c r="M523" i="8" s="1"/>
  <c r="A524" i="8"/>
  <c r="M524" i="8" s="1"/>
  <c r="A525" i="8"/>
  <c r="M525" i="8" s="1"/>
  <c r="A526" i="8"/>
  <c r="M526" i="8" s="1"/>
  <c r="A527" i="8"/>
  <c r="M527" i="8" s="1"/>
  <c r="A528" i="8"/>
  <c r="A529" i="8" s="1"/>
  <c r="A530" i="8" s="1"/>
  <c r="A531" i="8" s="1"/>
  <c r="A532" i="8" s="1"/>
  <c r="A533" i="8"/>
  <c r="M533" i="8" s="1"/>
  <c r="A534" i="8"/>
  <c r="A535" i="8" s="1"/>
  <c r="A536" i="8" s="1"/>
  <c r="A537" i="8"/>
  <c r="M537" i="8" s="1"/>
  <c r="A538" i="8"/>
  <c r="M538" i="8" s="1"/>
  <c r="A539" i="8"/>
  <c r="M539" i="8" s="1"/>
  <c r="A540" i="8"/>
  <c r="M540" i="8" s="1"/>
  <c r="A541" i="8"/>
  <c r="A542" i="8" s="1"/>
  <c r="A543" i="8" s="1"/>
  <c r="A544" i="8"/>
  <c r="A545" i="8" s="1"/>
  <c r="A546" i="8" s="1"/>
  <c r="A547" i="8" s="1"/>
  <c r="A548" i="8"/>
  <c r="M548" i="8" s="1"/>
  <c r="A549" i="8"/>
  <c r="A550" i="8" s="1"/>
  <c r="A551" i="8" s="1"/>
  <c r="A552" i="8"/>
  <c r="M552" i="8" s="1"/>
  <c r="A553" i="8"/>
  <c r="M553" i="8" s="1"/>
  <c r="A554" i="8"/>
  <c r="M554" i="8" s="1"/>
  <c r="A555" i="8"/>
  <c r="M555" i="8" s="1"/>
  <c r="A556" i="8"/>
  <c r="M556" i="8" s="1"/>
  <c r="A557" i="8"/>
  <c r="M557" i="8" s="1"/>
  <c r="A558" i="8"/>
  <c r="M558" i="8" s="1"/>
  <c r="A559" i="8"/>
  <c r="A560" i="8" s="1"/>
  <c r="A561" i="8" s="1"/>
  <c r="A562" i="8" s="1"/>
  <c r="A563" i="8"/>
  <c r="M563" i="8" s="1"/>
  <c r="A564" i="8"/>
  <c r="M564" i="8" s="1"/>
  <c r="A565" i="8"/>
  <c r="M565" i="8" s="1"/>
  <c r="A566" i="8"/>
  <c r="M566" i="8" s="1"/>
  <c r="A567" i="8"/>
  <c r="M567" i="8" s="1"/>
  <c r="A568" i="8"/>
  <c r="M568" i="8" s="1"/>
  <c r="A569" i="8"/>
  <c r="M569" i="8" s="1"/>
  <c r="A570" i="8"/>
  <c r="M570" i="8" s="1"/>
  <c r="A571" i="8"/>
  <c r="M571" i="8" s="1"/>
  <c r="A572" i="8"/>
  <c r="A573" i="8" s="1"/>
  <c r="A574" i="8" s="1"/>
  <c r="A575" i="8"/>
  <c r="M575" i="8" s="1"/>
  <c r="A576" i="8"/>
  <c r="A577" i="8" s="1"/>
  <c r="A578" i="8" s="1"/>
  <c r="A579" i="8"/>
  <c r="M579" i="8" s="1"/>
  <c r="A580" i="8"/>
  <c r="A581" i="8" s="1"/>
  <c r="A582" i="8" s="1"/>
  <c r="A583" i="8"/>
  <c r="A584" i="8" s="1"/>
  <c r="A585" i="8" s="1"/>
  <c r="A586" i="8"/>
  <c r="M586" i="8" s="1"/>
  <c r="A587" i="8"/>
  <c r="A588" i="8" s="1"/>
  <c r="A589" i="8" s="1"/>
  <c r="A590" i="8"/>
  <c r="M590" i="8" s="1"/>
  <c r="A591" i="8"/>
  <c r="A592" i="8" s="1"/>
  <c r="A593" i="8" s="1"/>
  <c r="A594" i="8"/>
  <c r="M594" i="8" s="1"/>
  <c r="A595" i="8"/>
  <c r="M595" i="8" s="1"/>
  <c r="A596" i="8"/>
  <c r="M596" i="8" s="1"/>
  <c r="A597" i="8"/>
  <c r="M597" i="8" s="1"/>
  <c r="A598" i="8"/>
  <c r="M598" i="8" s="1"/>
  <c r="A599" i="8"/>
  <c r="M599" i="8" s="1"/>
  <c r="A600" i="8"/>
  <c r="M600" i="8" s="1"/>
  <c r="A601" i="8"/>
  <c r="M601" i="8" s="1"/>
  <c r="A602" i="8"/>
  <c r="M602" i="8" s="1"/>
  <c r="A603" i="8"/>
  <c r="A604" i="8" s="1"/>
  <c r="A605" i="8" s="1"/>
  <c r="A606" i="8" s="1"/>
  <c r="A607" i="8" s="1"/>
  <c r="A608" i="8" s="1"/>
  <c r="A609" i="8"/>
  <c r="M609" i="8" s="1"/>
  <c r="A610" i="8"/>
  <c r="M610" i="8" s="1"/>
  <c r="A611" i="8"/>
  <c r="A612" i="8" s="1"/>
  <c r="A613" i="8" s="1"/>
  <c r="A614" i="8"/>
  <c r="A617" i="8"/>
  <c r="M617" i="8" s="1"/>
  <c r="A618" i="8"/>
  <c r="M618" i="8" s="1"/>
  <c r="A619" i="8"/>
  <c r="M619" i="8" s="1"/>
  <c r="A620" i="8"/>
  <c r="M620" i="8" s="1"/>
  <c r="A621" i="8"/>
  <c r="M621" i="8" s="1"/>
  <c r="A622" i="8"/>
  <c r="A623" i="8" s="1"/>
  <c r="A624" i="8" s="1"/>
  <c r="A625" i="8"/>
  <c r="M625" i="8" s="1"/>
  <c r="A626" i="8"/>
  <c r="M626" i="8" s="1"/>
  <c r="A627" i="8"/>
  <c r="M627" i="8" s="1"/>
  <c r="A628" i="8"/>
  <c r="M628" i="8" s="1"/>
  <c r="A629" i="8"/>
  <c r="M629" i="8" s="1"/>
  <c r="A630" i="8"/>
  <c r="M630" i="8" s="1"/>
  <c r="A631" i="8"/>
  <c r="A632" i="8" s="1"/>
  <c r="A633" i="8" s="1"/>
  <c r="A634" i="8"/>
  <c r="M634" i="8" s="1"/>
  <c r="A635" i="8"/>
  <c r="M635" i="8" s="1"/>
  <c r="A636" i="8"/>
  <c r="A637" i="8" s="1"/>
  <c r="A638" i="8" s="1"/>
  <c r="A639" i="8"/>
  <c r="A640" i="8" s="1"/>
  <c r="A641" i="8" s="1"/>
  <c r="A642" i="8"/>
  <c r="M642" i="8" s="1"/>
  <c r="A643" i="8"/>
  <c r="M643" i="8" s="1"/>
  <c r="A644" i="8"/>
  <c r="M644" i="8" s="1"/>
  <c r="A645" i="8"/>
  <c r="M645" i="8" s="1"/>
  <c r="A646" i="8"/>
  <c r="M646" i="8" s="1"/>
  <c r="A647" i="8"/>
  <c r="M647" i="8" s="1"/>
  <c r="A648" i="8"/>
  <c r="M648" i="8" s="1"/>
  <c r="A649" i="8"/>
  <c r="M649" i="8" s="1"/>
  <c r="A650" i="8"/>
  <c r="M650" i="8" s="1"/>
  <c r="A651" i="8"/>
  <c r="M651" i="8" s="1"/>
  <c r="A652" i="8"/>
  <c r="M652" i="8" s="1"/>
  <c r="A653" i="8"/>
  <c r="M653" i="8" s="1"/>
  <c r="A654" i="8"/>
  <c r="M654" i="8" s="1"/>
  <c r="A655" i="8"/>
  <c r="M655" i="8" s="1"/>
  <c r="A656" i="8"/>
  <c r="M656" i="8" s="1"/>
  <c r="A657" i="8"/>
  <c r="M657" i="8" s="1"/>
  <c r="A658" i="8"/>
  <c r="M658" i="8" s="1"/>
  <c r="A659" i="8"/>
  <c r="M659" i="8" s="1"/>
  <c r="A660" i="8"/>
  <c r="M660" i="8" s="1"/>
  <c r="A661" i="8"/>
  <c r="M661" i="8" s="1"/>
  <c r="A662" i="8"/>
  <c r="M662" i="8" s="1"/>
  <c r="A663" i="8"/>
  <c r="A664" i="8" s="1"/>
  <c r="A665" i="8" s="1"/>
  <c r="A666" i="8" s="1"/>
  <c r="A667" i="8"/>
  <c r="M667" i="8" s="1"/>
  <c r="A668" i="8"/>
  <c r="M668" i="8" s="1"/>
  <c r="A669" i="8"/>
  <c r="M669" i="8" s="1"/>
  <c r="A670" i="8"/>
  <c r="M670" i="8" s="1"/>
  <c r="A671" i="8"/>
  <c r="M671" i="8" s="1"/>
  <c r="A672" i="8"/>
  <c r="M672" i="8" s="1"/>
  <c r="A673" i="8"/>
  <c r="M673" i="8" s="1"/>
  <c r="A674" i="8"/>
  <c r="M674" i="8" s="1"/>
  <c r="A675" i="8"/>
  <c r="M675" i="8" s="1"/>
  <c r="A676" i="8"/>
  <c r="M676" i="8" s="1"/>
  <c r="A677" i="8"/>
  <c r="A683" i="8"/>
  <c r="A686" i="8"/>
  <c r="M686" i="8" s="1"/>
  <c r="A687" i="8"/>
  <c r="A688" i="8" s="1"/>
  <c r="A689" i="8" s="1"/>
  <c r="A690" i="8" s="1"/>
  <c r="A691" i="8" s="1"/>
  <c r="A692" i="8" s="1"/>
  <c r="A693" i="8" s="1"/>
  <c r="A694" i="8" s="1"/>
  <c r="A695" i="8"/>
  <c r="M695" i="8" s="1"/>
  <c r="A696" i="8"/>
  <c r="M696" i="8" s="1"/>
  <c r="A697" i="8"/>
  <c r="M697" i="8" s="1"/>
  <c r="A698" i="8"/>
  <c r="M698" i="8" s="1"/>
  <c r="A699" i="8"/>
  <c r="M699" i="8" s="1"/>
  <c r="A700" i="8"/>
  <c r="M700" i="8" s="1"/>
  <c r="A701" i="8"/>
  <c r="M701" i="8" s="1"/>
  <c r="A702" i="8"/>
  <c r="M702" i="8" s="1"/>
  <c r="A703" i="8"/>
  <c r="A704" i="8" s="1"/>
  <c r="A705" i="8" s="1"/>
  <c r="A706" i="8"/>
  <c r="M706" i="8" s="1"/>
  <c r="A707" i="8"/>
  <c r="M707" i="8" s="1"/>
  <c r="A708" i="8"/>
  <c r="A711" i="8"/>
  <c r="M711" i="8" s="1"/>
  <c r="A712" i="8"/>
  <c r="M712" i="8" s="1"/>
  <c r="A713" i="8"/>
  <c r="M713" i="8" s="1"/>
  <c r="A714" i="8"/>
  <c r="M714" i="8" s="1"/>
  <c r="A715" i="8"/>
  <c r="A719" i="8"/>
  <c r="M719" i="8" s="1"/>
  <c r="A720" i="8"/>
  <c r="A721" i="8" s="1"/>
  <c r="A722" i="8" s="1"/>
  <c r="A723" i="8"/>
  <c r="M723" i="8" s="1"/>
  <c r="A724" i="8"/>
  <c r="M724" i="8" s="1"/>
  <c r="A725" i="8"/>
  <c r="A728" i="8"/>
  <c r="A732" i="8"/>
  <c r="M732" i="8" s="1"/>
  <c r="A733" i="8"/>
  <c r="A743" i="8"/>
  <c r="A746" i="8"/>
  <c r="A753" i="8"/>
  <c r="A757" i="8"/>
  <c r="M757" i="8" s="1"/>
  <c r="A758" i="8"/>
  <c r="A761" i="8"/>
  <c r="A764" i="8"/>
  <c r="M764" i="8" s="1"/>
  <c r="A765" i="8"/>
  <c r="M765" i="8" s="1"/>
  <c r="A766" i="8"/>
  <c r="M766" i="8" s="1"/>
  <c r="A767" i="8"/>
  <c r="M767" i="8" s="1"/>
  <c r="A768" i="8"/>
  <c r="M768" i="8" s="1"/>
  <c r="A769" i="8"/>
  <c r="M769" i="8" s="1"/>
  <c r="A770" i="8"/>
  <c r="M770" i="8" s="1"/>
  <c r="A771" i="8"/>
  <c r="M771" i="8" s="1"/>
  <c r="A772" i="8"/>
  <c r="M772" i="8" s="1"/>
  <c r="A773" i="8"/>
  <c r="M773" i="8" s="1"/>
  <c r="A774" i="8"/>
  <c r="M774" i="8" s="1"/>
  <c r="A775" i="8"/>
  <c r="M775" i="8" s="1"/>
  <c r="A776" i="8"/>
  <c r="M776" i="8" s="1"/>
  <c r="A777" i="8"/>
  <c r="A780" i="8"/>
  <c r="M780" i="8" s="1"/>
  <c r="A781" i="8"/>
  <c r="M781" i="8" s="1"/>
  <c r="A782" i="8"/>
  <c r="M782" i="8" s="1"/>
  <c r="A783" i="8"/>
  <c r="M783" i="8" s="1"/>
  <c r="A784" i="8"/>
  <c r="M784" i="8" s="1"/>
  <c r="A785" i="8"/>
  <c r="M785" i="8" s="1"/>
  <c r="A786" i="8"/>
  <c r="M786" i="8" s="1"/>
  <c r="A787" i="8"/>
  <c r="M787" i="8" s="1"/>
  <c r="A788" i="8"/>
  <c r="A791" i="8"/>
  <c r="M791" i="8" s="1"/>
  <c r="A792" i="8"/>
  <c r="A795" i="8"/>
  <c r="M795" i="8" s="1"/>
  <c r="A796" i="8"/>
  <c r="M796" i="8" s="1"/>
  <c r="A797" i="8"/>
  <c r="A800" i="8"/>
  <c r="M800" i="8" s="1"/>
  <c r="A801" i="8"/>
  <c r="M801" i="8" s="1"/>
  <c r="A802" i="8"/>
  <c r="M802" i="8" s="1"/>
  <c r="A803" i="8"/>
  <c r="M803" i="8" s="1"/>
  <c r="A804" i="8"/>
  <c r="M804" i="8" s="1"/>
  <c r="A805" i="8"/>
  <c r="M805" i="8" s="1"/>
  <c r="A806" i="8"/>
  <c r="M806" i="8" s="1"/>
  <c r="A807" i="8"/>
  <c r="M807" i="8" s="1"/>
  <c r="A808" i="8"/>
  <c r="M808" i="8" s="1"/>
  <c r="A809" i="8"/>
  <c r="M809" i="8" s="1"/>
  <c r="A810" i="8"/>
  <c r="A813" i="8"/>
  <c r="M813" i="8" s="1"/>
  <c r="A814" i="8"/>
  <c r="M814" i="8" s="1"/>
  <c r="A815" i="8"/>
  <c r="M815" i="8" s="1"/>
  <c r="A816" i="8"/>
  <c r="M816" i="8" s="1"/>
  <c r="A817" i="8"/>
  <c r="M817" i="8" s="1"/>
  <c r="M818" i="8" s="1"/>
  <c r="M819" i="8" s="1"/>
  <c r="A820" i="8"/>
  <c r="A823" i="8"/>
  <c r="M823" i="8" s="1"/>
  <c r="A824" i="8"/>
  <c r="M824" i="8" s="1"/>
  <c r="A825" i="8"/>
  <c r="M825" i="8" s="1"/>
  <c r="A826" i="8"/>
  <c r="M826" i="8" s="1"/>
  <c r="A827" i="8"/>
  <c r="M827" i="8" s="1"/>
  <c r="A828" i="8"/>
  <c r="M828" i="8" s="1"/>
  <c r="A829" i="8"/>
  <c r="M829" i="8" s="1"/>
  <c r="A830" i="8"/>
  <c r="M830" i="8" s="1"/>
  <c r="A831" i="8"/>
  <c r="M831" i="8" s="1"/>
  <c r="A832" i="8"/>
  <c r="M832" i="8" s="1"/>
  <c r="A833" i="8"/>
  <c r="M833" i="8" s="1"/>
  <c r="A834" i="8"/>
  <c r="M834" i="8" s="1"/>
  <c r="A835" i="8"/>
  <c r="A838" i="8"/>
  <c r="M838" i="8" s="1"/>
  <c r="A839" i="8"/>
  <c r="A845" i="8"/>
  <c r="A848" i="8"/>
  <c r="M848" i="8" s="1"/>
  <c r="A849" i="8"/>
  <c r="A859" i="8"/>
  <c r="A862" i="8"/>
  <c r="M862" i="8" s="1"/>
  <c r="A863" i="8"/>
  <c r="M863" i="8" s="1"/>
  <c r="A864" i="8"/>
  <c r="A867" i="8"/>
  <c r="A868" i="8" s="1"/>
  <c r="A869" i="8" s="1"/>
  <c r="A870" i="8"/>
  <c r="M870" i="8" s="1"/>
  <c r="M871" i="8" s="1"/>
  <c r="M872" i="8" s="1"/>
  <c r="A873" i="8"/>
  <c r="A878" i="8"/>
  <c r="A881" i="8"/>
  <c r="M881" i="8" s="1"/>
  <c r="A882" i="8"/>
  <c r="M882" i="8" s="1"/>
  <c r="A883" i="8"/>
  <c r="M883" i="8" s="1"/>
  <c r="A884" i="8"/>
  <c r="M884" i="8" s="1"/>
  <c r="A885" i="8"/>
  <c r="M885" i="8" s="1"/>
  <c r="A886" i="8"/>
  <c r="A890" i="8"/>
  <c r="M890" i="8" s="1"/>
  <c r="A891" i="8"/>
  <c r="M891" i="8" s="1"/>
  <c r="A892" i="8"/>
  <c r="M892" i="8" s="1"/>
  <c r="A893" i="8"/>
  <c r="M893" i="8" s="1"/>
  <c r="A894" i="8"/>
  <c r="M894" i="8" s="1"/>
  <c r="A895" i="8"/>
  <c r="M895" i="8" s="1"/>
  <c r="A896" i="8"/>
  <c r="M896" i="8" s="1"/>
  <c r="A897" i="8"/>
  <c r="M897" i="8" s="1"/>
  <c r="A898" i="8"/>
  <c r="M898" i="8" s="1"/>
  <c r="A899" i="8"/>
  <c r="M899" i="8" s="1"/>
  <c r="A900" i="8"/>
  <c r="M900" i="8" s="1"/>
  <c r="A901" i="8"/>
  <c r="M901" i="8" s="1"/>
  <c r="A902" i="8"/>
  <c r="M902" i="8" s="1"/>
  <c r="A903" i="8"/>
  <c r="M903" i="8" s="1"/>
  <c r="A904" i="8"/>
  <c r="A907" i="8"/>
  <c r="M907" i="8" s="1"/>
  <c r="A908" i="8"/>
  <c r="A927" i="8"/>
  <c r="M927" i="8" s="1"/>
  <c r="A928" i="8"/>
  <c r="A931" i="8"/>
  <c r="M931" i="8" s="1"/>
  <c r="A932" i="8"/>
  <c r="M932" i="8" s="1"/>
  <c r="A933" i="8"/>
  <c r="M933" i="8" s="1"/>
  <c r="A934" i="8"/>
  <c r="M934" i="8" s="1"/>
  <c r="A935" i="8"/>
  <c r="M935" i="8" s="1"/>
  <c r="A936" i="8"/>
  <c r="A937" i="8" s="1"/>
  <c r="A938" i="8" s="1"/>
  <c r="A939" i="8" s="1"/>
  <c r="A940" i="8"/>
  <c r="A945" i="8"/>
  <c r="A951" i="8"/>
  <c r="A955" i="8"/>
  <c r="M955" i="8" s="1"/>
  <c r="M956" i="8" s="1"/>
  <c r="M957" i="8" s="1"/>
  <c r="M958" i="8" s="1"/>
  <c r="A959" i="8"/>
  <c r="A960" i="8" s="1"/>
  <c r="A961" i="8" s="1"/>
  <c r="A963" i="8"/>
  <c r="M963" i="8" s="1"/>
  <c r="A964" i="8"/>
  <c r="M964" i="8" s="1"/>
  <c r="A965" i="8"/>
  <c r="M965" i="8" s="1"/>
  <c r="A966" i="8"/>
  <c r="M966" i="8" s="1"/>
  <c r="A967" i="8"/>
  <c r="M967" i="8" s="1"/>
  <c r="A968" i="8"/>
  <c r="A969" i="8" s="1"/>
  <c r="A970" i="8" s="1"/>
  <c r="A971" i="8" s="1"/>
  <c r="A972" i="8" s="1"/>
  <c r="A973" i="8" s="1"/>
  <c r="A974" i="8" s="1"/>
  <c r="A975" i="8" s="1"/>
  <c r="M977" i="8"/>
  <c r="M978" i="8" s="1"/>
  <c r="A979" i="8"/>
  <c r="M979" i="8" s="1"/>
  <c r="A980" i="8"/>
  <c r="M980" i="8" s="1"/>
  <c r="A981" i="8"/>
  <c r="M981" i="8" s="1"/>
  <c r="B529" i="8"/>
  <c r="N529" i="8"/>
  <c r="Q529" i="8"/>
  <c r="R529" i="8"/>
  <c r="AB529" i="8"/>
  <c r="B530" i="8"/>
  <c r="N530" i="8"/>
  <c r="Q530" i="8"/>
  <c r="R530" i="8"/>
  <c r="AB530" i="8"/>
  <c r="B504" i="8"/>
  <c r="N504" i="8"/>
  <c r="Q504" i="8"/>
  <c r="R504" i="8"/>
  <c r="AB504" i="8"/>
  <c r="B505" i="8"/>
  <c r="N505" i="8"/>
  <c r="Q505" i="8"/>
  <c r="R505" i="8"/>
  <c r="AB505" i="8"/>
  <c r="B498" i="8"/>
  <c r="N498" i="8"/>
  <c r="Q498" i="8"/>
  <c r="R498" i="8"/>
  <c r="AB498" i="8"/>
  <c r="B499" i="8"/>
  <c r="N499" i="8"/>
  <c r="Q499" i="8"/>
  <c r="R499" i="8"/>
  <c r="AB499" i="8"/>
  <c r="B500" i="8"/>
  <c r="N500" i="8"/>
  <c r="Q500" i="8"/>
  <c r="R500" i="8"/>
  <c r="AB500" i="8"/>
  <c r="B501" i="8"/>
  <c r="N501" i="8"/>
  <c r="Q501" i="8"/>
  <c r="R501" i="8"/>
  <c r="AB501" i="8"/>
  <c r="B502" i="8"/>
  <c r="N502" i="8"/>
  <c r="Q502" i="8"/>
  <c r="R502" i="8"/>
  <c r="AB502" i="8"/>
  <c r="M968" i="8" l="1"/>
  <c r="M969" i="8" s="1"/>
  <c r="M970" i="8" s="1"/>
  <c r="M971" i="8" s="1"/>
  <c r="M972" i="8" s="1"/>
  <c r="M973" i="8" s="1"/>
  <c r="M974" i="8" s="1"/>
  <c r="M975" i="8" s="1"/>
  <c r="M959" i="8"/>
  <c r="A330" i="8"/>
  <c r="A331" i="8" s="1"/>
  <c r="A332" i="8" s="1"/>
  <c r="A871" i="8"/>
  <c r="A872" i="8" s="1"/>
  <c r="M631" i="8"/>
  <c r="M632" i="8" s="1"/>
  <c r="M633" i="8" s="1"/>
  <c r="M441" i="8"/>
  <c r="M442" i="8" s="1"/>
  <c r="M443" i="8" s="1"/>
  <c r="M429" i="8"/>
  <c r="M430" i="8" s="1"/>
  <c r="M431" i="8" s="1"/>
  <c r="A418" i="8"/>
  <c r="A419" i="8" s="1"/>
  <c r="A977" i="8"/>
  <c r="A978" i="8" s="1"/>
  <c r="A956" i="8"/>
  <c r="A957" i="8" s="1"/>
  <c r="A958" i="8" s="1"/>
  <c r="M663" i="8"/>
  <c r="M664" i="8" s="1"/>
  <c r="M665" i="8" s="1"/>
  <c r="M666" i="8" s="1"/>
  <c r="A840" i="8"/>
  <c r="A841" i="8" s="1"/>
  <c r="A842" i="8" s="1"/>
  <c r="A843" i="8" s="1"/>
  <c r="A844" i="8" s="1"/>
  <c r="M839" i="8"/>
  <c r="M840" i="8" s="1"/>
  <c r="M841" i="8" s="1"/>
  <c r="M842" i="8" s="1"/>
  <c r="M843" i="8" s="1"/>
  <c r="M844" i="8" s="1"/>
  <c r="A762" i="8"/>
  <c r="A763" i="8" s="1"/>
  <c r="M761" i="8"/>
  <c r="M762" i="8" s="1"/>
  <c r="M763" i="8" s="1"/>
  <c r="A887" i="8"/>
  <c r="A888" i="8" s="1"/>
  <c r="A889" i="8" s="1"/>
  <c r="M886" i="8"/>
  <c r="M887" i="8" s="1"/>
  <c r="M888" i="8" s="1"/>
  <c r="M889" i="8" s="1"/>
  <c r="A836" i="8"/>
  <c r="A837" i="8" s="1"/>
  <c r="M835" i="8"/>
  <c r="M836" i="8" s="1"/>
  <c r="M837" i="8" s="1"/>
  <c r="A811" i="8"/>
  <c r="A812" i="8" s="1"/>
  <c r="M810" i="8"/>
  <c r="M811" i="8" s="1"/>
  <c r="M812" i="8" s="1"/>
  <c r="A759" i="8"/>
  <c r="A760" i="8" s="1"/>
  <c r="M758" i="8"/>
  <c r="M759" i="8" s="1"/>
  <c r="M760" i="8" s="1"/>
  <c r="A905" i="8"/>
  <c r="A906" i="8" s="1"/>
  <c r="M904" i="8"/>
  <c r="M905" i="8" s="1"/>
  <c r="M906" i="8" s="1"/>
  <c r="A929" i="8"/>
  <c r="A930" i="8" s="1"/>
  <c r="M928" i="8"/>
  <c r="M929" i="8" s="1"/>
  <c r="M930" i="8" s="1"/>
  <c r="A865" i="8"/>
  <c r="A866" i="8" s="1"/>
  <c r="M864" i="8"/>
  <c r="M865" i="8" s="1"/>
  <c r="M866" i="8" s="1"/>
  <c r="A798" i="8"/>
  <c r="A799" i="8" s="1"/>
  <c r="M797" i="8"/>
  <c r="M798" i="8" s="1"/>
  <c r="M799" i="8" s="1"/>
  <c r="A879" i="8"/>
  <c r="A880" i="8" s="1"/>
  <c r="M878" i="8"/>
  <c r="M879" i="8" s="1"/>
  <c r="M880" i="8" s="1"/>
  <c r="A952" i="8"/>
  <c r="A953" i="8" s="1"/>
  <c r="A954" i="8" s="1"/>
  <c r="M951" i="8"/>
  <c r="M952" i="8" s="1"/>
  <c r="M953" i="8" s="1"/>
  <c r="M954" i="8" s="1"/>
  <c r="A754" i="8"/>
  <c r="A755" i="8" s="1"/>
  <c r="A756" i="8" s="1"/>
  <c r="M753" i="8"/>
  <c r="M754" i="8" s="1"/>
  <c r="M755" i="8" s="1"/>
  <c r="M756" i="8" s="1"/>
  <c r="A684" i="8"/>
  <c r="A685" i="8" s="1"/>
  <c r="M683" i="8"/>
  <c r="M684" i="8" s="1"/>
  <c r="M685" i="8" s="1"/>
  <c r="M867" i="8"/>
  <c r="M868" i="8" s="1"/>
  <c r="M869" i="8" s="1"/>
  <c r="A734" i="8"/>
  <c r="A735" i="8" s="1"/>
  <c r="A736" i="8" s="1"/>
  <c r="A737" i="8" s="1"/>
  <c r="A738" i="8" s="1"/>
  <c r="A739" i="8" s="1"/>
  <c r="A740" i="8" s="1"/>
  <c r="A741" i="8" s="1"/>
  <c r="A742" i="8" s="1"/>
  <c r="M733" i="8"/>
  <c r="M734" i="8" s="1"/>
  <c r="M735" i="8" s="1"/>
  <c r="M736" i="8" s="1"/>
  <c r="M737" i="8" s="1"/>
  <c r="M738" i="8" s="1"/>
  <c r="M739" i="8" s="1"/>
  <c r="M740" i="8" s="1"/>
  <c r="M741" i="8" s="1"/>
  <c r="M742" i="8" s="1"/>
  <c r="A946" i="8"/>
  <c r="A947" i="8" s="1"/>
  <c r="A948" i="8" s="1"/>
  <c r="A949" i="8" s="1"/>
  <c r="A950" i="8" s="1"/>
  <c r="M945" i="8"/>
  <c r="M946" i="8" s="1"/>
  <c r="M947" i="8" s="1"/>
  <c r="M948" i="8" s="1"/>
  <c r="M949" i="8" s="1"/>
  <c r="M950" i="8" s="1"/>
  <c r="A909" i="8"/>
  <c r="A910" i="8" s="1"/>
  <c r="A911" i="8" s="1"/>
  <c r="A912" i="8" s="1"/>
  <c r="A913" i="8" s="1"/>
  <c r="A914" i="8" s="1"/>
  <c r="A915" i="8" s="1"/>
  <c r="A916" i="8" s="1"/>
  <c r="A917" i="8" s="1"/>
  <c r="A918" i="8" s="1"/>
  <c r="A919" i="8" s="1"/>
  <c r="A920" i="8" s="1"/>
  <c r="A921" i="8" s="1"/>
  <c r="A922" i="8" s="1"/>
  <c r="A923" i="8" s="1"/>
  <c r="A924" i="8" s="1"/>
  <c r="A925" i="8" s="1"/>
  <c r="A926" i="8" s="1"/>
  <c r="M908" i="8"/>
  <c r="M909" i="8" s="1"/>
  <c r="M910" i="8" s="1"/>
  <c r="M911" i="8" s="1"/>
  <c r="M912" i="8" s="1"/>
  <c r="M913" i="8" s="1"/>
  <c r="M914" i="8" s="1"/>
  <c r="M915" i="8" s="1"/>
  <c r="M916" i="8" s="1"/>
  <c r="M917" i="8" s="1"/>
  <c r="M918" i="8" s="1"/>
  <c r="M919" i="8" s="1"/>
  <c r="M920" i="8" s="1"/>
  <c r="M921" i="8" s="1"/>
  <c r="M922" i="8" s="1"/>
  <c r="M923" i="8" s="1"/>
  <c r="M924" i="8" s="1"/>
  <c r="M925" i="8" s="1"/>
  <c r="M926" i="8" s="1"/>
  <c r="A821" i="8"/>
  <c r="A822" i="8" s="1"/>
  <c r="M820" i="8"/>
  <c r="M821" i="8" s="1"/>
  <c r="M822" i="8" s="1"/>
  <c r="A747" i="8"/>
  <c r="A748" i="8" s="1"/>
  <c r="A749" i="8" s="1"/>
  <c r="A750" i="8" s="1"/>
  <c r="A751" i="8" s="1"/>
  <c r="A752" i="8" s="1"/>
  <c r="M746" i="8"/>
  <c r="M747" i="8" s="1"/>
  <c r="M748" i="8" s="1"/>
  <c r="M749" i="8" s="1"/>
  <c r="M750" i="8" s="1"/>
  <c r="M751" i="8" s="1"/>
  <c r="M752" i="8" s="1"/>
  <c r="A716" i="8"/>
  <c r="A717" i="8" s="1"/>
  <c r="A718" i="8" s="1"/>
  <c r="M715" i="8"/>
  <c r="M716" i="8" s="1"/>
  <c r="M717" i="8" s="1"/>
  <c r="M718" i="8" s="1"/>
  <c r="A678" i="8"/>
  <c r="A679" i="8" s="1"/>
  <c r="A680" i="8" s="1"/>
  <c r="A681" i="8" s="1"/>
  <c r="A682" i="8" s="1"/>
  <c r="M677" i="8"/>
  <c r="M678" i="8" s="1"/>
  <c r="M679" i="8" s="1"/>
  <c r="M680" i="8" s="1"/>
  <c r="M681" i="8" s="1"/>
  <c r="M682" i="8" s="1"/>
  <c r="A615" i="8"/>
  <c r="A616" i="8" s="1"/>
  <c r="M614" i="8"/>
  <c r="M615" i="8" s="1"/>
  <c r="M616" i="8" s="1"/>
  <c r="A778" i="8"/>
  <c r="A779" i="8" s="1"/>
  <c r="M777" i="8"/>
  <c r="M778" i="8" s="1"/>
  <c r="M779" i="8" s="1"/>
  <c r="A941" i="8"/>
  <c r="A942" i="8" s="1"/>
  <c r="A943" i="8" s="1"/>
  <c r="A944" i="8" s="1"/>
  <c r="M940" i="8"/>
  <c r="M941" i="8" s="1"/>
  <c r="M942" i="8" s="1"/>
  <c r="M943" i="8" s="1"/>
  <c r="M944" i="8" s="1"/>
  <c r="A860" i="8"/>
  <c r="A861" i="8" s="1"/>
  <c r="M859" i="8"/>
  <c r="M860" i="8" s="1"/>
  <c r="M861" i="8" s="1"/>
  <c r="A818" i="8"/>
  <c r="A819" i="8" s="1"/>
  <c r="A793" i="8"/>
  <c r="A794" i="8" s="1"/>
  <c r="M792" i="8"/>
  <c r="M793" i="8" s="1"/>
  <c r="M794" i="8" s="1"/>
  <c r="A744" i="8"/>
  <c r="A745" i="8" s="1"/>
  <c r="M743" i="8"/>
  <c r="M744" i="8" s="1"/>
  <c r="M745" i="8" s="1"/>
  <c r="A850" i="8"/>
  <c r="A851" i="8" s="1"/>
  <c r="A852" i="8" s="1"/>
  <c r="A853" i="8" s="1"/>
  <c r="A854" i="8" s="1"/>
  <c r="A855" i="8" s="1"/>
  <c r="A856" i="8" s="1"/>
  <c r="A857" i="8" s="1"/>
  <c r="A858" i="8" s="1"/>
  <c r="M849" i="8"/>
  <c r="M850" i="8" s="1"/>
  <c r="M851" i="8" s="1"/>
  <c r="M852" i="8" s="1"/>
  <c r="M853" i="8" s="1"/>
  <c r="M854" i="8" s="1"/>
  <c r="M855" i="8" s="1"/>
  <c r="M856" i="8" s="1"/>
  <c r="M857" i="8" s="1"/>
  <c r="M858" i="8" s="1"/>
  <c r="A789" i="8"/>
  <c r="A790" i="8" s="1"/>
  <c r="M788" i="8"/>
  <c r="M789" i="8" s="1"/>
  <c r="M790" i="8" s="1"/>
  <c r="A252" i="8"/>
  <c r="A253" i="8" s="1"/>
  <c r="M251" i="8"/>
  <c r="M252" i="8" s="1"/>
  <c r="M253" i="8" s="1"/>
  <c r="A874" i="8"/>
  <c r="A875" i="8" s="1"/>
  <c r="A876" i="8" s="1"/>
  <c r="A877" i="8" s="1"/>
  <c r="M873" i="8"/>
  <c r="M874" i="8" s="1"/>
  <c r="M875" i="8" s="1"/>
  <c r="M876" i="8" s="1"/>
  <c r="M877" i="8" s="1"/>
  <c r="A846" i="8"/>
  <c r="A847" i="8" s="1"/>
  <c r="M845" i="8"/>
  <c r="M846" i="8" s="1"/>
  <c r="M847" i="8" s="1"/>
  <c r="A729" i="8"/>
  <c r="A730" i="8" s="1"/>
  <c r="A731" i="8" s="1"/>
  <c r="M728" i="8"/>
  <c r="M729" i="8" s="1"/>
  <c r="M730" i="8" s="1"/>
  <c r="M731" i="8" s="1"/>
  <c r="A426" i="8"/>
  <c r="A427" i="8" s="1"/>
  <c r="A428" i="8" s="1"/>
  <c r="M425" i="8"/>
  <c r="M426" i="8" s="1"/>
  <c r="M427" i="8" s="1"/>
  <c r="M428" i="8" s="1"/>
  <c r="A726" i="8"/>
  <c r="A727" i="8" s="1"/>
  <c r="M725" i="8"/>
  <c r="M726" i="8" s="1"/>
  <c r="M727" i="8" s="1"/>
  <c r="A709" i="8"/>
  <c r="A710" i="8" s="1"/>
  <c r="M708" i="8"/>
  <c r="M709" i="8" s="1"/>
  <c r="M710" i="8" s="1"/>
  <c r="M936" i="8"/>
  <c r="M937" i="8" s="1"/>
  <c r="M938" i="8" s="1"/>
  <c r="M939" i="8" s="1"/>
  <c r="A240" i="8"/>
  <c r="A241" i="8" s="1"/>
  <c r="M544" i="8"/>
  <c r="M545" i="8" s="1"/>
  <c r="M546" i="8" s="1"/>
  <c r="M547" i="8" s="1"/>
  <c r="M528" i="8"/>
  <c r="M529" i="8" s="1"/>
  <c r="M530" i="8" s="1"/>
  <c r="M531" i="8" s="1"/>
  <c r="M532" i="8" s="1"/>
  <c r="M438" i="8"/>
  <c r="M439" i="8" s="1"/>
  <c r="M440" i="8" s="1"/>
  <c r="M320" i="8"/>
  <c r="M321" i="8" s="1"/>
  <c r="M322" i="8" s="1"/>
  <c r="M323" i="8" s="1"/>
  <c r="M288" i="8"/>
  <c r="M289" i="8" s="1"/>
  <c r="M290" i="8" s="1"/>
  <c r="M64" i="8"/>
  <c r="M65" i="8" s="1"/>
  <c r="M66" i="8" s="1"/>
  <c r="M67" i="8" s="1"/>
  <c r="M68" i="8" s="1"/>
  <c r="M720" i="8"/>
  <c r="M721" i="8" s="1"/>
  <c r="M722" i="8" s="1"/>
  <c r="M587" i="8"/>
  <c r="M588" i="8" s="1"/>
  <c r="M589" i="8" s="1"/>
  <c r="M576" i="8"/>
  <c r="M577" i="8" s="1"/>
  <c r="M578" i="8" s="1"/>
  <c r="M541" i="8"/>
  <c r="M542" i="8" s="1"/>
  <c r="M543" i="8" s="1"/>
  <c r="M342" i="8"/>
  <c r="M343" i="8" s="1"/>
  <c r="M344" i="8" s="1"/>
  <c r="M212" i="8"/>
  <c r="M213" i="8" s="1"/>
  <c r="M214" i="8" s="1"/>
  <c r="M639" i="8"/>
  <c r="M640" i="8" s="1"/>
  <c r="M641" i="8" s="1"/>
  <c r="M572" i="8"/>
  <c r="M573" i="8" s="1"/>
  <c r="M574" i="8" s="1"/>
  <c r="A504" i="8"/>
  <c r="A505" i="8" s="1"/>
  <c r="M703" i="8"/>
  <c r="M704" i="8" s="1"/>
  <c r="M705" i="8" s="1"/>
  <c r="M687" i="8"/>
  <c r="M688" i="8" s="1"/>
  <c r="M689" i="8" s="1"/>
  <c r="M690" i="8" s="1"/>
  <c r="M691" i="8" s="1"/>
  <c r="M692" i="8" s="1"/>
  <c r="M693" i="8" s="1"/>
  <c r="M694" i="8" s="1"/>
  <c r="M611" i="8"/>
  <c r="M612" i="8" s="1"/>
  <c r="M613" i="8" s="1"/>
  <c r="M583" i="8"/>
  <c r="M584" i="8" s="1"/>
  <c r="M585" i="8" s="1"/>
  <c r="M559" i="8"/>
  <c r="M560" i="8" s="1"/>
  <c r="M561" i="8" s="1"/>
  <c r="M562" i="8" s="1"/>
  <c r="M549" i="8"/>
  <c r="M550" i="8" s="1"/>
  <c r="M551" i="8" s="1"/>
  <c r="A498" i="8"/>
  <c r="A499" i="8" s="1"/>
  <c r="A500" i="8" s="1"/>
  <c r="A501" i="8" s="1"/>
  <c r="A502" i="8" s="1"/>
  <c r="M636" i="8"/>
  <c r="M637" i="8" s="1"/>
  <c r="M638" i="8" s="1"/>
  <c r="M622" i="8"/>
  <c r="M623" i="8" s="1"/>
  <c r="M624" i="8" s="1"/>
  <c r="M476" i="8"/>
  <c r="M477" i="8" s="1"/>
  <c r="M478" i="8" s="1"/>
  <c r="M479" i="8" s="1"/>
  <c r="M480" i="8" s="1"/>
  <c r="M396" i="8"/>
  <c r="M397" i="8" s="1"/>
  <c r="M398" i="8" s="1"/>
  <c r="M399" i="8" s="1"/>
  <c r="M400" i="8" s="1"/>
  <c r="M401" i="8" s="1"/>
  <c r="M402" i="8" s="1"/>
  <c r="M403" i="8" s="1"/>
  <c r="M362" i="8"/>
  <c r="M363" i="8" s="1"/>
  <c r="M364" i="8" s="1"/>
  <c r="M580" i="8"/>
  <c r="M581" i="8" s="1"/>
  <c r="M582" i="8" s="1"/>
  <c r="M373" i="8"/>
  <c r="M374" i="8" s="1"/>
  <c r="M375" i="8" s="1"/>
  <c r="M348" i="8"/>
  <c r="M349" i="8" s="1"/>
  <c r="M350" i="8" s="1"/>
  <c r="M351" i="8" s="1"/>
  <c r="M603" i="8"/>
  <c r="M604" i="8" s="1"/>
  <c r="M605" i="8" s="1"/>
  <c r="M606" i="8" s="1"/>
  <c r="M607" i="8" s="1"/>
  <c r="M608" i="8" s="1"/>
  <c r="M591" i="8"/>
  <c r="M592" i="8" s="1"/>
  <c r="M593" i="8" s="1"/>
  <c r="M534" i="8"/>
  <c r="M535" i="8" s="1"/>
  <c r="M536" i="8" s="1"/>
  <c r="M126" i="8"/>
  <c r="M127" i="8" s="1"/>
  <c r="M128" i="8" s="1"/>
  <c r="M16" i="8"/>
  <c r="M17" i="8" s="1"/>
  <c r="M18" i="8" s="1"/>
  <c r="B477" i="8"/>
  <c r="N477" i="8"/>
  <c r="Q477" i="8"/>
  <c r="R477" i="8"/>
  <c r="AB477" i="8"/>
  <c r="B478" i="8"/>
  <c r="N478" i="8"/>
  <c r="Q478" i="8"/>
  <c r="R478" i="8"/>
  <c r="AB478" i="8"/>
  <c r="B479" i="8"/>
  <c r="N479" i="8"/>
  <c r="Q479" i="8"/>
  <c r="R479" i="8"/>
  <c r="AB479" i="8"/>
  <c r="B480" i="8"/>
  <c r="N480" i="8"/>
  <c r="Q480" i="8"/>
  <c r="R480" i="8"/>
  <c r="AB480" i="8"/>
  <c r="AB981" i="8"/>
  <c r="R981" i="8"/>
  <c r="Q981" i="8"/>
  <c r="N981" i="8"/>
  <c r="B981" i="8"/>
  <c r="M960" i="8" l="1"/>
  <c r="M961" i="8" s="1"/>
  <c r="B439" i="8"/>
  <c r="N439" i="8"/>
  <c r="Q439" i="8"/>
  <c r="R439" i="8"/>
  <c r="AB439" i="8"/>
  <c r="B440" i="8"/>
  <c r="N440" i="8"/>
  <c r="Q440" i="8"/>
  <c r="R440" i="8"/>
  <c r="AB440" i="8"/>
  <c r="AA4250" i="24"/>
  <c r="V4250" i="24"/>
  <c r="Q4250" i="24"/>
  <c r="P4250" i="24"/>
  <c r="M4250" i="24"/>
  <c r="B4250" i="24"/>
  <c r="AA4251" i="24"/>
  <c r="V4251" i="24"/>
  <c r="Q4251" i="24"/>
  <c r="P4251" i="24"/>
  <c r="M4251" i="24"/>
  <c r="B4251" i="24"/>
  <c r="AA4252" i="24"/>
  <c r="V4252" i="24"/>
  <c r="Q4252" i="24"/>
  <c r="P4252" i="24"/>
  <c r="M4252" i="24"/>
  <c r="B4252" i="24"/>
  <c r="AA4253" i="24"/>
  <c r="V4253" i="24"/>
  <c r="Q4253" i="24"/>
  <c r="P4253" i="24"/>
  <c r="M4253" i="24"/>
  <c r="B4253" i="24"/>
  <c r="AA4254" i="24"/>
  <c r="V4254" i="24"/>
  <c r="Q4254" i="24"/>
  <c r="P4254" i="24"/>
  <c r="M4254" i="24"/>
  <c r="B4254" i="24"/>
  <c r="AA4255" i="24"/>
  <c r="V4255" i="24"/>
  <c r="Q4255" i="24"/>
  <c r="P4255" i="24"/>
  <c r="M4255" i="24"/>
  <c r="B4255" i="24"/>
  <c r="AA4256" i="24"/>
  <c r="V4256" i="24"/>
  <c r="Q4256" i="24"/>
  <c r="P4256" i="24"/>
  <c r="M4256" i="24"/>
  <c r="B4256" i="24"/>
  <c r="AA4257" i="24"/>
  <c r="V4257" i="24"/>
  <c r="Q4257" i="24"/>
  <c r="P4257" i="24"/>
  <c r="M4257" i="24"/>
  <c r="B4257" i="24"/>
  <c r="AA4258" i="24"/>
  <c r="V4258" i="24"/>
  <c r="Q4258" i="24"/>
  <c r="P4258" i="24"/>
  <c r="M4258" i="24"/>
  <c r="B4258" i="24"/>
  <c r="AA4259" i="24"/>
  <c r="V4259" i="24"/>
  <c r="Q4259" i="24"/>
  <c r="P4259" i="24"/>
  <c r="M4259" i="24"/>
  <c r="B4259" i="24"/>
  <c r="AA4260" i="24"/>
  <c r="V4260" i="24"/>
  <c r="Q4260" i="24"/>
  <c r="P4260" i="24"/>
  <c r="M4260" i="24"/>
  <c r="B4260" i="24"/>
  <c r="AA4261" i="24"/>
  <c r="V4261" i="24"/>
  <c r="Q4261" i="24"/>
  <c r="P4261" i="24"/>
  <c r="M4261" i="24"/>
  <c r="B4261" i="24"/>
  <c r="B430" i="8" l="1"/>
  <c r="N430" i="8"/>
  <c r="Q430" i="8"/>
  <c r="R430" i="8"/>
  <c r="AB430" i="8"/>
  <c r="B431" i="8"/>
  <c r="N431" i="8"/>
  <c r="Q431" i="8"/>
  <c r="R431" i="8"/>
  <c r="AB431" i="8"/>
  <c r="B418" i="8" l="1"/>
  <c r="N418" i="8"/>
  <c r="Q418" i="8"/>
  <c r="R418" i="8"/>
  <c r="AB418" i="8"/>
  <c r="B419" i="8"/>
  <c r="N419" i="8"/>
  <c r="Q419" i="8"/>
  <c r="R419" i="8"/>
  <c r="AB419" i="8"/>
  <c r="B397" i="8" l="1"/>
  <c r="N397" i="8"/>
  <c r="Q397" i="8"/>
  <c r="R397" i="8"/>
  <c r="AB397" i="8"/>
  <c r="B398" i="8"/>
  <c r="N398" i="8"/>
  <c r="Q398" i="8"/>
  <c r="R398" i="8"/>
  <c r="AB398" i="8"/>
  <c r="B399" i="8"/>
  <c r="N399" i="8"/>
  <c r="Q399" i="8"/>
  <c r="R399" i="8"/>
  <c r="AB399" i="8"/>
  <c r="B400" i="8"/>
  <c r="N400" i="8"/>
  <c r="Q400" i="8"/>
  <c r="R400" i="8"/>
  <c r="AB400" i="8"/>
  <c r="B401" i="8"/>
  <c r="N401" i="8"/>
  <c r="Q401" i="8"/>
  <c r="R401" i="8"/>
  <c r="AB401" i="8"/>
  <c r="B402" i="8"/>
  <c r="N402" i="8"/>
  <c r="Q402" i="8"/>
  <c r="R402" i="8"/>
  <c r="AB402" i="8"/>
  <c r="B403" i="8"/>
  <c r="N403" i="8"/>
  <c r="Q403" i="8"/>
  <c r="R403" i="8"/>
  <c r="AB403" i="8"/>
  <c r="B374" i="8" l="1"/>
  <c r="N374" i="8"/>
  <c r="Q374" i="8"/>
  <c r="R374" i="8"/>
  <c r="AB374" i="8"/>
  <c r="B375" i="8"/>
  <c r="N375" i="8"/>
  <c r="Q375" i="8"/>
  <c r="R375" i="8"/>
  <c r="AB375" i="8"/>
  <c r="B363" i="8" l="1"/>
  <c r="N363" i="8"/>
  <c r="Q363" i="8"/>
  <c r="R363" i="8"/>
  <c r="AB363" i="8"/>
  <c r="B364" i="8"/>
  <c r="N364" i="8"/>
  <c r="Q364" i="8"/>
  <c r="R364" i="8"/>
  <c r="AB364" i="8"/>
  <c r="B349" i="8" l="1"/>
  <c r="N349" i="8"/>
  <c r="Q349" i="8"/>
  <c r="R349" i="8"/>
  <c r="AB349" i="8"/>
  <c r="B350" i="8"/>
  <c r="N350" i="8"/>
  <c r="Q350" i="8"/>
  <c r="R350" i="8"/>
  <c r="AB350" i="8"/>
  <c r="B351" i="8"/>
  <c r="N351" i="8"/>
  <c r="Q351" i="8"/>
  <c r="R351" i="8"/>
  <c r="AB351" i="8"/>
  <c r="B343" i="8" l="1"/>
  <c r="N343" i="8"/>
  <c r="Q343" i="8"/>
  <c r="R343" i="8"/>
  <c r="AB343" i="8"/>
  <c r="B344" i="8"/>
  <c r="N344" i="8"/>
  <c r="Q344" i="8"/>
  <c r="R344" i="8"/>
  <c r="AB344" i="8"/>
  <c r="B330" i="8"/>
  <c r="N330" i="8"/>
  <c r="Q330" i="8"/>
  <c r="R330" i="8"/>
  <c r="AB330" i="8"/>
  <c r="B331" i="8"/>
  <c r="N331" i="8"/>
  <c r="Q331" i="8"/>
  <c r="R331" i="8"/>
  <c r="AB331" i="8"/>
  <c r="B332" i="8"/>
  <c r="N332" i="8"/>
  <c r="Q332" i="8"/>
  <c r="R332" i="8"/>
  <c r="AB332" i="8"/>
  <c r="B321" i="8" l="1"/>
  <c r="N321" i="8"/>
  <c r="Q321" i="8"/>
  <c r="R321" i="8"/>
  <c r="AB321" i="8"/>
  <c r="B322" i="8"/>
  <c r="N322" i="8"/>
  <c r="Q322" i="8"/>
  <c r="R322" i="8"/>
  <c r="AB322" i="8"/>
  <c r="B323" i="8"/>
  <c r="N323" i="8"/>
  <c r="Q323" i="8"/>
  <c r="R323" i="8"/>
  <c r="AB323" i="8"/>
  <c r="B289" i="8" l="1"/>
  <c r="N289" i="8"/>
  <c r="Q289" i="8"/>
  <c r="R289" i="8"/>
  <c r="AB289" i="8"/>
  <c r="B290" i="8"/>
  <c r="N290" i="8"/>
  <c r="Q290" i="8"/>
  <c r="R290" i="8"/>
  <c r="AB290" i="8"/>
  <c r="AB980" i="8"/>
  <c r="R980" i="8"/>
  <c r="Q980" i="8"/>
  <c r="N980" i="8"/>
  <c r="B980" i="8"/>
  <c r="B252" i="8" l="1"/>
  <c r="N252" i="8"/>
  <c r="Q252" i="8"/>
  <c r="R252" i="8"/>
  <c r="AB252" i="8"/>
  <c r="B253" i="8"/>
  <c r="N253" i="8"/>
  <c r="Q253" i="8"/>
  <c r="R253" i="8"/>
  <c r="AB253" i="8"/>
  <c r="AB896" i="9"/>
  <c r="R896" i="9"/>
  <c r="Q896" i="9"/>
  <c r="N896" i="9"/>
  <c r="B896" i="9"/>
  <c r="B240" i="8"/>
  <c r="N240" i="8"/>
  <c r="Q240" i="8"/>
  <c r="R240" i="8"/>
  <c r="AB240" i="8"/>
  <c r="B241" i="8"/>
  <c r="N241" i="8"/>
  <c r="Q241" i="8"/>
  <c r="R241" i="8"/>
  <c r="AB241" i="8"/>
  <c r="B213" i="8" l="1"/>
  <c r="N213" i="8"/>
  <c r="Q213" i="8"/>
  <c r="R213" i="8"/>
  <c r="AB213" i="8"/>
  <c r="B214" i="8"/>
  <c r="N214" i="8"/>
  <c r="Q214" i="8"/>
  <c r="R214" i="8"/>
  <c r="AB214" i="8"/>
  <c r="AA4227" i="24" l="1"/>
  <c r="V4227" i="24"/>
  <c r="Q4227" i="24"/>
  <c r="P4227" i="24"/>
  <c r="M4227" i="24"/>
  <c r="B4227" i="24"/>
  <c r="B4266" i="24"/>
  <c r="M4266" i="24"/>
  <c r="P4266" i="24"/>
  <c r="Q4266" i="24"/>
  <c r="V4266" i="24"/>
  <c r="AA4266" i="24"/>
  <c r="B4268" i="24"/>
  <c r="M4268" i="24"/>
  <c r="P4268" i="24"/>
  <c r="Q4268" i="24"/>
  <c r="V4268" i="24"/>
  <c r="AA4268" i="24"/>
  <c r="B4267" i="24"/>
  <c r="M4267" i="24"/>
  <c r="P4267" i="24"/>
  <c r="Q4267" i="24"/>
  <c r="V4267" i="24"/>
  <c r="AA4267" i="24"/>
  <c r="B4235" i="24"/>
  <c r="M4235" i="24"/>
  <c r="P4235" i="24"/>
  <c r="Q4235" i="24"/>
  <c r="V4235" i="24"/>
  <c r="AA4235" i="24"/>
  <c r="B4265" i="24"/>
  <c r="M4265" i="24"/>
  <c r="P4265" i="24"/>
  <c r="Q4265" i="24"/>
  <c r="V4265" i="24"/>
  <c r="AA4265" i="24"/>
  <c r="B979" i="8" l="1"/>
  <c r="N979" i="8"/>
  <c r="Q979" i="8"/>
  <c r="R979" i="8"/>
  <c r="AB979" i="8"/>
  <c r="B412" i="3"/>
  <c r="M412" i="3"/>
  <c r="P412" i="3"/>
  <c r="Q412" i="3"/>
  <c r="AA412" i="3"/>
  <c r="B4234" i="24"/>
  <c r="M4234" i="24"/>
  <c r="P4234" i="24"/>
  <c r="Q4234" i="24"/>
  <c r="V4234" i="24"/>
  <c r="AA4234" i="24"/>
  <c r="B4264" i="24"/>
  <c r="M4264" i="24"/>
  <c r="P4264" i="24"/>
  <c r="Q4264" i="24"/>
  <c r="V4264" i="24"/>
  <c r="AA4264" i="24"/>
  <c r="B4263" i="24" l="1"/>
  <c r="M4263" i="24"/>
  <c r="P4263" i="24"/>
  <c r="Q4263" i="24"/>
  <c r="V4263" i="24"/>
  <c r="AA4263" i="24"/>
  <c r="B413" i="3" l="1"/>
  <c r="M413" i="3"/>
  <c r="P413" i="3"/>
  <c r="Q413" i="3"/>
  <c r="AA413" i="3"/>
  <c r="B895" i="9"/>
  <c r="N895" i="9"/>
  <c r="Q895" i="9"/>
  <c r="R895" i="9"/>
  <c r="AB895" i="9"/>
  <c r="B978" i="8"/>
  <c r="N978" i="8"/>
  <c r="Q978" i="8"/>
  <c r="R978" i="8"/>
  <c r="AB978" i="8"/>
  <c r="B977" i="8"/>
  <c r="N977" i="8"/>
  <c r="Q977" i="8"/>
  <c r="R977" i="8"/>
  <c r="AB977" i="8"/>
  <c r="B976" i="8"/>
  <c r="N976" i="8"/>
  <c r="Q976" i="8"/>
  <c r="R976" i="8"/>
  <c r="AB976" i="8"/>
  <c r="AB127" i="8"/>
  <c r="R127" i="8"/>
  <c r="Q127" i="8"/>
  <c r="N127" i="8"/>
  <c r="B127" i="8"/>
  <c r="AB128" i="8"/>
  <c r="R128" i="8"/>
  <c r="Q128" i="8"/>
  <c r="N128" i="8"/>
  <c r="B128" i="8"/>
  <c r="B4262" i="24"/>
  <c r="M4262" i="24"/>
  <c r="P4262" i="24"/>
  <c r="Q4262" i="24"/>
  <c r="V4262" i="24"/>
  <c r="AA4262" i="24"/>
  <c r="B894" i="9" l="1"/>
  <c r="N894" i="9"/>
  <c r="Q894" i="9"/>
  <c r="R894" i="9"/>
  <c r="AB894" i="9"/>
  <c r="B4229" i="24"/>
  <c r="M4229" i="24"/>
  <c r="P4229" i="24"/>
  <c r="Q4229" i="24"/>
  <c r="V4229" i="24"/>
  <c r="AA4229" i="24"/>
  <c r="B4230" i="24"/>
  <c r="M4230" i="24"/>
  <c r="P4230" i="24"/>
  <c r="Q4230" i="24"/>
  <c r="V4230" i="24"/>
  <c r="AA4230" i="24"/>
  <c r="B4231" i="24"/>
  <c r="M4231" i="24"/>
  <c r="P4231" i="24"/>
  <c r="Q4231" i="24"/>
  <c r="V4231" i="24"/>
  <c r="AA4231" i="24"/>
  <c r="B4232" i="24"/>
  <c r="M4232" i="24"/>
  <c r="P4232" i="24"/>
  <c r="Q4232" i="24"/>
  <c r="V4232" i="24"/>
  <c r="AA4232" i="24"/>
  <c r="B4233" i="24"/>
  <c r="M4233" i="24"/>
  <c r="P4233" i="24"/>
  <c r="Q4233" i="24"/>
  <c r="V4233" i="24"/>
  <c r="AA4233" i="24"/>
  <c r="B4228" i="24" l="1"/>
  <c r="M4228" i="24"/>
  <c r="P4228" i="24"/>
  <c r="Q4228" i="24"/>
  <c r="V4228" i="24"/>
  <c r="AA4228" i="24"/>
  <c r="B4249" i="24" l="1"/>
  <c r="M4249" i="24"/>
  <c r="P4249" i="24"/>
  <c r="Q4249" i="24"/>
  <c r="V4249" i="24"/>
  <c r="AA4249" i="24"/>
  <c r="B4248" i="24"/>
  <c r="M4248" i="24"/>
  <c r="P4248" i="24"/>
  <c r="Q4248" i="24"/>
  <c r="V4248" i="24"/>
  <c r="AA4248" i="24"/>
  <c r="B4247" i="24"/>
  <c r="M4247" i="24"/>
  <c r="P4247" i="24"/>
  <c r="Q4247" i="24"/>
  <c r="V4247" i="24"/>
  <c r="AA4247" i="24"/>
  <c r="B4246" i="24"/>
  <c r="M4246" i="24"/>
  <c r="P4246" i="24"/>
  <c r="Q4246" i="24"/>
  <c r="V4246" i="24"/>
  <c r="AA4246" i="24"/>
  <c r="B4245" i="24"/>
  <c r="M4245" i="24"/>
  <c r="P4245" i="24"/>
  <c r="Q4245" i="24"/>
  <c r="V4245" i="24"/>
  <c r="AA4245" i="24"/>
  <c r="B4244" i="24"/>
  <c r="M4244" i="24"/>
  <c r="P4244" i="24"/>
  <c r="Q4244" i="24"/>
  <c r="V4244" i="24"/>
  <c r="AA4244" i="24"/>
  <c r="B4243" i="24"/>
  <c r="M4243" i="24"/>
  <c r="P4243" i="24"/>
  <c r="Q4243" i="24"/>
  <c r="V4243" i="24"/>
  <c r="AA4243" i="24"/>
  <c r="B4173" i="24"/>
  <c r="M4173" i="24"/>
  <c r="B4167" i="24"/>
  <c r="M4167" i="24"/>
  <c r="B4044" i="24"/>
  <c r="M4044" i="24"/>
  <c r="B3973" i="24" l="1"/>
  <c r="M3973" i="24"/>
  <c r="P3973" i="24"/>
  <c r="Q3973" i="24"/>
  <c r="V3973" i="24"/>
  <c r="AA3973" i="24"/>
  <c r="B3974" i="24"/>
  <c r="M3974" i="24"/>
  <c r="P3974" i="24"/>
  <c r="Q3974" i="24"/>
  <c r="V3974" i="24"/>
  <c r="AA3974" i="24"/>
  <c r="B4226" i="24" l="1"/>
  <c r="M4226" i="24"/>
  <c r="P4226" i="24"/>
  <c r="Q4226" i="24"/>
  <c r="V4226" i="24"/>
  <c r="AA4226" i="24"/>
  <c r="B4225" i="24"/>
  <c r="M4225" i="24"/>
  <c r="P4225" i="24"/>
  <c r="Q4225" i="24"/>
  <c r="V4225" i="24"/>
  <c r="AA4225" i="24"/>
  <c r="B968" i="8"/>
  <c r="N968" i="8"/>
  <c r="Q968" i="8"/>
  <c r="R968" i="8"/>
  <c r="AB968" i="8"/>
  <c r="B4242" i="24"/>
  <c r="P4242" i="24"/>
  <c r="Q4242" i="24"/>
  <c r="V4242" i="24"/>
  <c r="AA4242" i="24"/>
  <c r="M4242" i="24"/>
  <c r="B4241" i="24"/>
  <c r="M4241" i="24"/>
  <c r="P4241" i="24"/>
  <c r="Q4241" i="24"/>
  <c r="V4241" i="24"/>
  <c r="AA4241" i="24"/>
  <c r="B4240" i="24"/>
  <c r="M4240" i="24"/>
  <c r="P4240" i="24"/>
  <c r="Q4240" i="24"/>
  <c r="V4240" i="24"/>
  <c r="AA4240" i="24"/>
  <c r="B4239" i="24"/>
  <c r="M4239" i="24"/>
  <c r="P4239" i="24"/>
  <c r="Q4239" i="24"/>
  <c r="V4239" i="24"/>
  <c r="AA4239" i="24"/>
  <c r="B4238" i="24"/>
  <c r="M4238" i="24"/>
  <c r="P4238" i="24"/>
  <c r="Q4238" i="24"/>
  <c r="V4238" i="24"/>
  <c r="AA4238" i="24"/>
  <c r="B4237" i="24"/>
  <c r="M4237" i="24"/>
  <c r="P4237" i="24"/>
  <c r="Q4237" i="24"/>
  <c r="V4237" i="24"/>
  <c r="AA4237" i="24"/>
  <c r="AB17" i="8"/>
  <c r="R17" i="8"/>
  <c r="Q17" i="8"/>
  <c r="N17" i="8"/>
  <c r="B17" i="8"/>
  <c r="AB18" i="8"/>
  <c r="R18" i="8"/>
  <c r="Q18" i="8"/>
  <c r="N18" i="8"/>
  <c r="B18" i="8"/>
  <c r="AB68" i="8"/>
  <c r="R68" i="8"/>
  <c r="Q68" i="8"/>
  <c r="N68" i="8"/>
  <c r="B68" i="8"/>
  <c r="AB65" i="8"/>
  <c r="R65" i="8"/>
  <c r="Q65" i="8"/>
  <c r="N65" i="8"/>
  <c r="B65" i="8"/>
  <c r="AB66" i="8"/>
  <c r="R66" i="8"/>
  <c r="Q66" i="8"/>
  <c r="N66" i="8"/>
  <c r="B66" i="8"/>
  <c r="AB67" i="8"/>
  <c r="R67" i="8"/>
  <c r="Q67" i="8"/>
  <c r="N67" i="8"/>
  <c r="B67" i="8"/>
  <c r="AB967" i="8"/>
  <c r="R967" i="8"/>
  <c r="Q967" i="8"/>
  <c r="N967" i="8"/>
  <c r="B967" i="8"/>
  <c r="AA411" i="3" l="1"/>
  <c r="Q411" i="3"/>
  <c r="P411" i="3"/>
  <c r="M411" i="3"/>
  <c r="B411" i="3"/>
  <c r="AA4236" i="24"/>
  <c r="V4236" i="24"/>
  <c r="Q4236" i="24"/>
  <c r="P4236" i="24"/>
  <c r="M4236" i="24"/>
  <c r="B4236" i="24"/>
  <c r="AA4220" i="24" l="1"/>
  <c r="V4220" i="24"/>
  <c r="Q4220" i="24"/>
  <c r="P4220" i="24"/>
  <c r="M4220" i="24"/>
  <c r="B4220" i="24"/>
  <c r="AA4221" i="24"/>
  <c r="V4221" i="24"/>
  <c r="Q4221" i="24"/>
  <c r="P4221" i="24"/>
  <c r="M4221" i="24"/>
  <c r="B4221" i="24"/>
  <c r="AA4222" i="24"/>
  <c r="V4222" i="24"/>
  <c r="Q4222" i="24"/>
  <c r="P4222" i="24"/>
  <c r="M4222" i="24"/>
  <c r="B4222" i="24"/>
  <c r="AA4223" i="24"/>
  <c r="V4223" i="24"/>
  <c r="Q4223" i="24"/>
  <c r="P4223" i="24"/>
  <c r="M4223" i="24"/>
  <c r="B4223" i="24"/>
  <c r="AA4224" i="24"/>
  <c r="V4224" i="24"/>
  <c r="Q4224" i="24"/>
  <c r="P4224" i="24"/>
  <c r="M4224" i="24"/>
  <c r="B4224" i="24"/>
  <c r="AA4219" i="24"/>
  <c r="V4219" i="24"/>
  <c r="Q4219" i="24"/>
  <c r="P4219" i="24"/>
  <c r="M4219" i="24"/>
  <c r="B4219" i="24"/>
  <c r="AA4218" i="24"/>
  <c r="V4218" i="24"/>
  <c r="Q4218" i="24"/>
  <c r="P4218" i="24"/>
  <c r="M4218" i="24"/>
  <c r="B4218" i="24"/>
  <c r="AA411" i="24"/>
  <c r="V411" i="24"/>
  <c r="Q411" i="24"/>
  <c r="P411" i="24"/>
  <c r="M411" i="24"/>
  <c r="B411" i="24"/>
  <c r="AA412" i="24"/>
  <c r="V412" i="24"/>
  <c r="Q412" i="24"/>
  <c r="P412" i="24"/>
  <c r="M412" i="24"/>
  <c r="B412" i="24"/>
  <c r="AA413" i="24"/>
  <c r="V413" i="24"/>
  <c r="Q413" i="24"/>
  <c r="P413" i="24"/>
  <c r="M413" i="24"/>
  <c r="B413" i="24"/>
  <c r="AA414" i="24"/>
  <c r="V414" i="24"/>
  <c r="Q414" i="24"/>
  <c r="P414" i="24"/>
  <c r="M414" i="24"/>
  <c r="B414" i="24"/>
  <c r="AA415" i="24"/>
  <c r="V415" i="24"/>
  <c r="Q415" i="24"/>
  <c r="P415" i="24"/>
  <c r="M415" i="24"/>
  <c r="B415" i="24"/>
  <c r="AA416" i="24"/>
  <c r="V416" i="24"/>
  <c r="Q416" i="24"/>
  <c r="P416" i="24"/>
  <c r="M416" i="24"/>
  <c r="B416" i="24"/>
  <c r="AA417" i="24"/>
  <c r="V417" i="24"/>
  <c r="Q417" i="24"/>
  <c r="P417" i="24"/>
  <c r="M417" i="24"/>
  <c r="B417" i="24"/>
  <c r="B4206" i="24" l="1"/>
  <c r="M4206" i="24"/>
  <c r="P4206" i="24"/>
  <c r="Q4206" i="24"/>
  <c r="V4206" i="24"/>
  <c r="AA4206" i="24"/>
  <c r="B4207" i="24"/>
  <c r="M4207" i="24"/>
  <c r="P4207" i="24"/>
  <c r="Q4207" i="24"/>
  <c r="V4207" i="24"/>
  <c r="AA4207" i="24"/>
  <c r="B4208" i="24"/>
  <c r="M4208" i="24"/>
  <c r="P4208" i="24"/>
  <c r="Q4208" i="24"/>
  <c r="V4208" i="24"/>
  <c r="AA4208" i="24"/>
  <c r="B4209" i="24"/>
  <c r="M4209" i="24"/>
  <c r="P4209" i="24"/>
  <c r="Q4209" i="24"/>
  <c r="V4209" i="24"/>
  <c r="AA4209" i="24"/>
  <c r="B4210" i="24"/>
  <c r="M4210" i="24"/>
  <c r="P4210" i="24"/>
  <c r="Q4210" i="24"/>
  <c r="V4210" i="24"/>
  <c r="AA4210" i="24"/>
  <c r="B4211" i="24"/>
  <c r="M4211" i="24"/>
  <c r="P4211" i="24"/>
  <c r="Q4211" i="24"/>
  <c r="V4211" i="24"/>
  <c r="AA4211" i="24"/>
  <c r="B4212" i="24"/>
  <c r="M4212" i="24"/>
  <c r="P4212" i="24"/>
  <c r="Q4212" i="24"/>
  <c r="V4212" i="24"/>
  <c r="AA4212" i="24"/>
  <c r="B4213" i="24"/>
  <c r="M4213" i="24"/>
  <c r="P4213" i="24"/>
  <c r="Q4213" i="24"/>
  <c r="V4213" i="24"/>
  <c r="AA4213" i="24"/>
  <c r="B4200" i="24" l="1"/>
  <c r="M4200" i="24"/>
  <c r="P4200" i="24"/>
  <c r="Q4200" i="24"/>
  <c r="V4200" i="24"/>
  <c r="AA4200" i="24"/>
  <c r="B4201" i="24"/>
  <c r="M4201" i="24"/>
  <c r="P4201" i="24"/>
  <c r="Q4201" i="24"/>
  <c r="V4201" i="24"/>
  <c r="AA4201" i="24"/>
  <c r="B4190" i="24"/>
  <c r="M4190" i="24"/>
  <c r="P4190" i="24"/>
  <c r="Q4190" i="24"/>
  <c r="V4190" i="24"/>
  <c r="AA4190" i="24"/>
  <c r="B4191" i="24"/>
  <c r="M4191" i="24"/>
  <c r="P4191" i="24"/>
  <c r="Q4191" i="24"/>
  <c r="V4191" i="24"/>
  <c r="AA4191" i="24"/>
  <c r="B4189" i="24" l="1"/>
  <c r="M4189" i="24"/>
  <c r="P4189" i="24"/>
  <c r="Q4189" i="24"/>
  <c r="V4189" i="24"/>
  <c r="AA4189" i="24"/>
  <c r="B4217" i="24"/>
  <c r="M4217" i="24"/>
  <c r="P4217" i="24"/>
  <c r="Q4217" i="24"/>
  <c r="V4217" i="24"/>
  <c r="AA4217" i="24"/>
  <c r="B4216" i="24"/>
  <c r="M4216" i="24"/>
  <c r="P4216" i="24"/>
  <c r="Q4216" i="24"/>
  <c r="V4216" i="24"/>
  <c r="AA4216" i="24"/>
  <c r="B4215" i="24"/>
  <c r="M4215" i="24"/>
  <c r="P4215" i="24"/>
  <c r="Q4215" i="24"/>
  <c r="V4215" i="24"/>
  <c r="AA4215" i="24"/>
  <c r="B4185" i="24"/>
  <c r="M4185" i="24"/>
  <c r="P4185" i="24"/>
  <c r="Q4185" i="24"/>
  <c r="V4185" i="24"/>
  <c r="AA4185" i="24"/>
  <c r="B4186" i="24"/>
  <c r="M4186" i="24"/>
  <c r="P4186" i="24"/>
  <c r="Q4186" i="24"/>
  <c r="V4186" i="24"/>
  <c r="AA4186" i="24"/>
  <c r="B4187" i="24"/>
  <c r="M4187" i="24"/>
  <c r="P4187" i="24"/>
  <c r="Q4187" i="24"/>
  <c r="V4187" i="24"/>
  <c r="AA4187" i="24"/>
  <c r="B4214" i="24"/>
  <c r="M4214" i="24"/>
  <c r="P4214" i="24"/>
  <c r="Q4214" i="24"/>
  <c r="V4214" i="24"/>
  <c r="AA4214" i="24"/>
  <c r="A467" i="23"/>
  <c r="B467" i="23"/>
  <c r="M467" i="23"/>
  <c r="P467" i="23"/>
  <c r="Q467" i="23"/>
  <c r="AA467" i="23"/>
  <c r="A466" i="23"/>
  <c r="B466" i="23"/>
  <c r="M466" i="23"/>
  <c r="P466" i="23"/>
  <c r="Q466" i="23"/>
  <c r="AA466" i="23"/>
  <c r="A465" i="23"/>
  <c r="B465" i="23"/>
  <c r="M465" i="23"/>
  <c r="P465" i="23"/>
  <c r="Q465" i="23"/>
  <c r="AA465" i="23"/>
  <c r="A464" i="23"/>
  <c r="B464" i="23"/>
  <c r="M464" i="23"/>
  <c r="P464" i="23"/>
  <c r="Q464" i="23"/>
  <c r="AA464" i="23"/>
  <c r="A463" i="23"/>
  <c r="B463" i="23"/>
  <c r="M463" i="23"/>
  <c r="P463" i="23"/>
  <c r="Q463" i="23"/>
  <c r="AA463" i="23"/>
  <c r="A462" i="23"/>
  <c r="B462" i="23"/>
  <c r="M462" i="23"/>
  <c r="P462" i="23"/>
  <c r="Q462" i="23"/>
  <c r="AA462" i="23"/>
  <c r="X83" i="22"/>
  <c r="X2" i="22"/>
  <c r="X3" i="22"/>
  <c r="X4" i="22"/>
  <c r="X5" i="22"/>
  <c r="X6" i="22"/>
  <c r="X7" i="22"/>
  <c r="X8" i="22"/>
  <c r="X9" i="22"/>
  <c r="X10" i="22"/>
  <c r="X11" i="22"/>
  <c r="X12" i="22"/>
  <c r="X13" i="22"/>
  <c r="X14" i="22"/>
  <c r="X15" i="22"/>
  <c r="X16" i="22"/>
  <c r="X17" i="22"/>
  <c r="X18" i="22"/>
  <c r="X19" i="22"/>
  <c r="X20" i="22"/>
  <c r="X21" i="22"/>
  <c r="X22" i="22"/>
  <c r="X23" i="22"/>
  <c r="X24" i="22"/>
  <c r="X25" i="22"/>
  <c r="X26" i="22"/>
  <c r="X27" i="22"/>
  <c r="X28" i="22"/>
  <c r="X29" i="22"/>
  <c r="X30" i="22"/>
  <c r="X31" i="22"/>
  <c r="X32" i="22"/>
  <c r="X33" i="22"/>
  <c r="X34" i="22"/>
  <c r="X35" i="22"/>
  <c r="X36" i="22"/>
  <c r="X37" i="22"/>
  <c r="X38" i="22"/>
  <c r="X39" i="22"/>
  <c r="X40" i="22"/>
  <c r="X41" i="22"/>
  <c r="X42" i="22"/>
  <c r="X43" i="22"/>
  <c r="X44" i="22"/>
  <c r="X45" i="22"/>
  <c r="X46" i="22"/>
  <c r="X47" i="22"/>
  <c r="X48" i="22"/>
  <c r="X49" i="22"/>
  <c r="X50" i="22"/>
  <c r="X51" i="22"/>
  <c r="X52" i="22"/>
  <c r="X53" i="22"/>
  <c r="X54" i="22"/>
  <c r="X55" i="22"/>
  <c r="X56" i="22"/>
  <c r="X57" i="22"/>
  <c r="X58" i="22"/>
  <c r="X59" i="22"/>
  <c r="X60" i="22"/>
  <c r="X61" i="22"/>
  <c r="X62" i="22"/>
  <c r="X63" i="22"/>
  <c r="X64" i="22"/>
  <c r="X65" i="22"/>
  <c r="X66" i="22"/>
  <c r="X67" i="22"/>
  <c r="X68" i="22"/>
  <c r="X69" i="22"/>
  <c r="X70" i="22"/>
  <c r="X71" i="22"/>
  <c r="X72" i="22"/>
  <c r="X73" i="22"/>
  <c r="X74" i="22"/>
  <c r="X75" i="22"/>
  <c r="X76" i="22"/>
  <c r="X77" i="22"/>
  <c r="X78" i="22"/>
  <c r="X79" i="22"/>
  <c r="X80" i="22"/>
  <c r="X81" i="22"/>
  <c r="X82" i="22"/>
  <c r="X84" i="22"/>
  <c r="X85" i="22"/>
  <c r="X86" i="22"/>
  <c r="X87" i="22"/>
  <c r="X88" i="22"/>
  <c r="B4205" i="24"/>
  <c r="M4205" i="24"/>
  <c r="P4205" i="24"/>
  <c r="Q4205" i="24"/>
  <c r="V4205" i="24"/>
  <c r="AA4205" i="24"/>
  <c r="AA77" i="22"/>
  <c r="Q77" i="22"/>
  <c r="P77" i="22"/>
  <c r="M77" i="22"/>
  <c r="B77" i="22"/>
  <c r="AA88" i="22" l="1"/>
  <c r="AA87" i="22"/>
  <c r="AA86" i="22"/>
  <c r="AA85" i="22"/>
  <c r="AA84" i="22"/>
  <c r="AA83" i="22"/>
  <c r="AA82" i="22"/>
  <c r="AA81" i="22"/>
  <c r="AA80" i="22"/>
  <c r="AA79" i="22"/>
  <c r="AA78" i="22"/>
  <c r="AA76" i="22"/>
  <c r="AA75" i="22"/>
  <c r="AA74" i="22"/>
  <c r="AA73" i="22"/>
  <c r="AA72" i="22"/>
  <c r="AA71" i="22"/>
  <c r="AA70" i="22"/>
  <c r="Q88" i="22"/>
  <c r="Q87" i="22"/>
  <c r="Q86" i="22"/>
  <c r="Q85" i="22"/>
  <c r="Q84" i="22"/>
  <c r="Q83" i="22"/>
  <c r="Q82" i="22"/>
  <c r="Q81" i="22"/>
  <c r="Q80" i="22"/>
  <c r="Q79" i="22"/>
  <c r="Q78" i="22"/>
  <c r="Q76" i="22"/>
  <c r="Q75" i="22"/>
  <c r="Q74" i="22"/>
  <c r="Q73" i="22"/>
  <c r="Q72" i="22"/>
  <c r="Q71" i="22"/>
  <c r="Q70" i="22"/>
  <c r="P88" i="22"/>
  <c r="P87" i="22"/>
  <c r="P86" i="22"/>
  <c r="P85" i="22"/>
  <c r="P84" i="22"/>
  <c r="P83" i="22"/>
  <c r="P82" i="22"/>
  <c r="P81" i="22"/>
  <c r="P80" i="22"/>
  <c r="P79" i="22"/>
  <c r="P78" i="22"/>
  <c r="P76" i="22"/>
  <c r="P75" i="22"/>
  <c r="P74" i="22"/>
  <c r="P73" i="22"/>
  <c r="P72" i="22"/>
  <c r="P71" i="22"/>
  <c r="P70" i="22"/>
  <c r="M88" i="22"/>
  <c r="M87" i="22"/>
  <c r="M86" i="22"/>
  <c r="M85" i="22"/>
  <c r="M84" i="22"/>
  <c r="M83" i="22"/>
  <c r="M82" i="22"/>
  <c r="M81" i="22"/>
  <c r="M80" i="22"/>
  <c r="M79" i="22"/>
  <c r="M78" i="22"/>
  <c r="M76" i="22"/>
  <c r="M75" i="22"/>
  <c r="M74" i="22"/>
  <c r="M73" i="22"/>
  <c r="M72" i="22"/>
  <c r="M71" i="22"/>
  <c r="M70" i="22"/>
  <c r="B88" i="22"/>
  <c r="B87" i="22"/>
  <c r="B86" i="22"/>
  <c r="B85" i="22"/>
  <c r="B84" i="22"/>
  <c r="B83" i="22"/>
  <c r="B82" i="22"/>
  <c r="B81" i="22"/>
  <c r="B80" i="22"/>
  <c r="B79" i="22"/>
  <c r="B78" i="22"/>
  <c r="B76" i="22"/>
  <c r="B75" i="22"/>
  <c r="B74" i="22"/>
  <c r="B73" i="22"/>
  <c r="B72" i="22"/>
  <c r="B71" i="22"/>
  <c r="B70" i="22"/>
  <c r="B4179" i="24"/>
  <c r="M4179" i="24"/>
  <c r="P4179" i="24"/>
  <c r="Q4179" i="24"/>
  <c r="V4179" i="24"/>
  <c r="AA4179" i="24"/>
  <c r="B4180" i="24"/>
  <c r="M4180" i="24"/>
  <c r="P4180" i="24"/>
  <c r="Q4180" i="24"/>
  <c r="V4180" i="24"/>
  <c r="AA4180" i="24"/>
  <c r="B4181" i="24"/>
  <c r="M4181" i="24"/>
  <c r="P4181" i="24"/>
  <c r="Q4181" i="24"/>
  <c r="V4181" i="24"/>
  <c r="AA4181" i="24"/>
  <c r="B4182" i="24"/>
  <c r="M4182" i="24"/>
  <c r="P4182" i="24"/>
  <c r="Q4182" i="24"/>
  <c r="V4182" i="24"/>
  <c r="AA4182" i="24"/>
  <c r="B4183" i="24"/>
  <c r="M4183" i="24"/>
  <c r="P4183" i="24"/>
  <c r="Q4183" i="24"/>
  <c r="V4183" i="24"/>
  <c r="AA4183" i="24"/>
  <c r="B4204" i="24"/>
  <c r="M4204" i="24"/>
  <c r="P4204" i="24"/>
  <c r="Q4204" i="24"/>
  <c r="V4204" i="24"/>
  <c r="AA4204" i="24"/>
  <c r="AA4203" i="24"/>
  <c r="V4203" i="24"/>
  <c r="Q4203" i="24"/>
  <c r="P4203" i="24"/>
  <c r="M4203" i="24"/>
  <c r="B4203" i="24"/>
  <c r="AA4202" i="24"/>
  <c r="V4202" i="24"/>
  <c r="Q4202" i="24"/>
  <c r="P4202" i="24"/>
  <c r="M4202" i="24"/>
  <c r="B4202" i="24"/>
  <c r="AA4199" i="24"/>
  <c r="V4199" i="24"/>
  <c r="Q4199" i="24"/>
  <c r="P4199" i="24"/>
  <c r="M4199" i="24"/>
  <c r="B4199" i="24"/>
  <c r="AA410" i="3"/>
  <c r="Q410" i="3"/>
  <c r="P410" i="3"/>
  <c r="M410" i="3"/>
  <c r="B410" i="3"/>
  <c r="AA4178" i="24"/>
  <c r="V4178" i="24"/>
  <c r="Q4178" i="24"/>
  <c r="P4178" i="24"/>
  <c r="M4178" i="24"/>
  <c r="B4178" i="24"/>
  <c r="AA4184" i="24"/>
  <c r="V4184" i="24"/>
  <c r="Q4184" i="24"/>
  <c r="P4184" i="24"/>
  <c r="M4184" i="24"/>
  <c r="B4184" i="24"/>
  <c r="B4197" i="24"/>
  <c r="B4198" i="24"/>
  <c r="P4197" i="24"/>
  <c r="P4198" i="24"/>
  <c r="Q4197" i="24"/>
  <c r="Q4198" i="24"/>
  <c r="V4197" i="24"/>
  <c r="V4198" i="24"/>
  <c r="AA4197" i="24"/>
  <c r="AA4198" i="24"/>
  <c r="M4198" i="24"/>
  <c r="M4197" i="24"/>
  <c r="B966" i="8"/>
  <c r="N966" i="8"/>
  <c r="Q966" i="8"/>
  <c r="R966" i="8"/>
  <c r="AB966" i="8"/>
  <c r="B965" i="8"/>
  <c r="N965" i="8"/>
  <c r="Q965" i="8"/>
  <c r="R965" i="8"/>
  <c r="AB965" i="8"/>
  <c r="B893" i="9"/>
  <c r="N893" i="9"/>
  <c r="Q893" i="9"/>
  <c r="R893" i="9"/>
  <c r="AB893" i="9"/>
  <c r="B892" i="9"/>
  <c r="N892" i="9"/>
  <c r="Q892" i="9"/>
  <c r="R892" i="9"/>
  <c r="AB892" i="9"/>
  <c r="B891" i="9"/>
  <c r="N891" i="9"/>
  <c r="Q891" i="9"/>
  <c r="R891" i="9"/>
  <c r="AB891" i="9"/>
  <c r="B964" i="8"/>
  <c r="N964" i="8"/>
  <c r="Q964" i="8"/>
  <c r="R964" i="8"/>
  <c r="AB964" i="8"/>
  <c r="B4194" i="24" l="1"/>
  <c r="B4195" i="24"/>
  <c r="B4196" i="24"/>
  <c r="M4194" i="24"/>
  <c r="M4195" i="24"/>
  <c r="M4196" i="24"/>
  <c r="P4194" i="24"/>
  <c r="P4195" i="24"/>
  <c r="P4196" i="24"/>
  <c r="Q4194" i="24"/>
  <c r="Q4195" i="24"/>
  <c r="Q4196" i="24"/>
  <c r="V4194" i="24"/>
  <c r="V4195" i="24"/>
  <c r="V4196" i="24"/>
  <c r="AA4194" i="24"/>
  <c r="AA4195" i="24"/>
  <c r="AA4196" i="24"/>
  <c r="B4193" i="24"/>
  <c r="M4193" i="24"/>
  <c r="P4193" i="24"/>
  <c r="Q4193" i="24"/>
  <c r="V4193" i="24"/>
  <c r="AA4193" i="24"/>
  <c r="B752" i="7"/>
  <c r="B753" i="7"/>
  <c r="B754" i="7"/>
  <c r="B755" i="7"/>
  <c r="B756" i="7"/>
  <c r="B757" i="7"/>
  <c r="B758" i="7"/>
  <c r="B759" i="7"/>
  <c r="B760" i="7"/>
  <c r="B761" i="7"/>
  <c r="B762" i="7"/>
  <c r="B763" i="7"/>
  <c r="B764" i="7"/>
  <c r="B765" i="7"/>
  <c r="B766" i="7"/>
  <c r="B767" i="7"/>
  <c r="B768" i="7"/>
  <c r="B769" i="7"/>
  <c r="B770" i="7"/>
  <c r="B771" i="7"/>
  <c r="B772" i="7"/>
  <c r="B773" i="7"/>
  <c r="B774" i="7"/>
  <c r="B775" i="7"/>
  <c r="B776" i="7"/>
  <c r="M752" i="7"/>
  <c r="M753" i="7"/>
  <c r="M754" i="7"/>
  <c r="M755" i="7"/>
  <c r="M756" i="7"/>
  <c r="M757" i="7"/>
  <c r="M758" i="7"/>
  <c r="M759" i="7"/>
  <c r="M760" i="7"/>
  <c r="M761" i="7"/>
  <c r="M762" i="7"/>
  <c r="M763" i="7"/>
  <c r="M764" i="7"/>
  <c r="M765" i="7"/>
  <c r="M766" i="7"/>
  <c r="M767" i="7"/>
  <c r="M768" i="7"/>
  <c r="M769" i="7"/>
  <c r="M770" i="7"/>
  <c r="M771" i="7"/>
  <c r="M772" i="7"/>
  <c r="M773" i="7"/>
  <c r="M774" i="7"/>
  <c r="M775" i="7"/>
  <c r="M776" i="7"/>
  <c r="P752" i="7"/>
  <c r="X752" i="7" s="1"/>
  <c r="P753" i="7"/>
  <c r="X753" i="7" s="1"/>
  <c r="P754" i="7"/>
  <c r="X754" i="7" s="1"/>
  <c r="P755" i="7"/>
  <c r="X755" i="7" s="1"/>
  <c r="P756" i="7"/>
  <c r="X756" i="7" s="1"/>
  <c r="P757" i="7"/>
  <c r="X757" i="7" s="1"/>
  <c r="P758" i="7"/>
  <c r="X758" i="7" s="1"/>
  <c r="P759" i="7"/>
  <c r="X759" i="7" s="1"/>
  <c r="P760" i="7"/>
  <c r="X760" i="7" s="1"/>
  <c r="P761" i="7"/>
  <c r="X761" i="7" s="1"/>
  <c r="P762" i="7"/>
  <c r="X762" i="7" s="1"/>
  <c r="P763" i="7"/>
  <c r="X763" i="7" s="1"/>
  <c r="P764" i="7"/>
  <c r="X764" i="7" s="1"/>
  <c r="P765" i="7"/>
  <c r="X765" i="7" s="1"/>
  <c r="P766" i="7"/>
  <c r="X766" i="7" s="1"/>
  <c r="P767" i="7"/>
  <c r="X767" i="7" s="1"/>
  <c r="P768" i="7"/>
  <c r="X768" i="7" s="1"/>
  <c r="P769" i="7"/>
  <c r="X769" i="7" s="1"/>
  <c r="P770" i="7"/>
  <c r="X770" i="7" s="1"/>
  <c r="P771" i="7"/>
  <c r="X771" i="7" s="1"/>
  <c r="P772" i="7"/>
  <c r="X772" i="7" s="1"/>
  <c r="P773" i="7"/>
  <c r="X773" i="7" s="1"/>
  <c r="P774" i="7"/>
  <c r="X774" i="7" s="1"/>
  <c r="P775" i="7"/>
  <c r="X775" i="7" s="1"/>
  <c r="P776" i="7"/>
  <c r="X776" i="7" s="1"/>
  <c r="Q752" i="7"/>
  <c r="Q753" i="7"/>
  <c r="Q754" i="7"/>
  <c r="Q755" i="7"/>
  <c r="Q756" i="7"/>
  <c r="Q757" i="7"/>
  <c r="Q758" i="7"/>
  <c r="Q759" i="7"/>
  <c r="Q760" i="7"/>
  <c r="Q761" i="7"/>
  <c r="Q762" i="7"/>
  <c r="Q763" i="7"/>
  <c r="Q764" i="7"/>
  <c r="Q765" i="7"/>
  <c r="Q766" i="7"/>
  <c r="Q767" i="7"/>
  <c r="Q768" i="7"/>
  <c r="Q769" i="7"/>
  <c r="Q770" i="7"/>
  <c r="Q771" i="7"/>
  <c r="Q772" i="7"/>
  <c r="Q773" i="7"/>
  <c r="Q774" i="7"/>
  <c r="Q775" i="7"/>
  <c r="Q776" i="7"/>
  <c r="B4188" i="24" l="1"/>
  <c r="M4188" i="24"/>
  <c r="P4188" i="24"/>
  <c r="Q4188" i="24"/>
  <c r="V4188" i="24"/>
  <c r="AA4188" i="24"/>
  <c r="B4192" i="24"/>
  <c r="M4192" i="24"/>
  <c r="P4192" i="24"/>
  <c r="Q4192" i="24"/>
  <c r="V4192" i="24"/>
  <c r="AA4192" i="24"/>
  <c r="AA2" i="24"/>
  <c r="AA3" i="24"/>
  <c r="AA4" i="24"/>
  <c r="AA5" i="24"/>
  <c r="AA6" i="24"/>
  <c r="AA7" i="24"/>
  <c r="AA8" i="24"/>
  <c r="AA9" i="24"/>
  <c r="AA10" i="24"/>
  <c r="AA11" i="24"/>
  <c r="AA12" i="24"/>
  <c r="AA13" i="24"/>
  <c r="AA14" i="24"/>
  <c r="AA15" i="24"/>
  <c r="AA16" i="24"/>
  <c r="AA17" i="24"/>
  <c r="AA18" i="24"/>
  <c r="AA19" i="24"/>
  <c r="AA20" i="24"/>
  <c r="AA21" i="24"/>
  <c r="AA22" i="24"/>
  <c r="AA23" i="24"/>
  <c r="AA24" i="24"/>
  <c r="AA25" i="24"/>
  <c r="AA26" i="24"/>
  <c r="AA27" i="24"/>
  <c r="AA28" i="24"/>
  <c r="AA29" i="24"/>
  <c r="AA30" i="24"/>
  <c r="AA31" i="24"/>
  <c r="AA32" i="24"/>
  <c r="AA33" i="24"/>
  <c r="AA34" i="24"/>
  <c r="AA35" i="24"/>
  <c r="AA36" i="24"/>
  <c r="AA37" i="24"/>
  <c r="AA38" i="24"/>
  <c r="AA39" i="24"/>
  <c r="AA40" i="24"/>
  <c r="AA41" i="24"/>
  <c r="AA42" i="24"/>
  <c r="AA43" i="24"/>
  <c r="AA44" i="24"/>
  <c r="AA45" i="24"/>
  <c r="AA46" i="24"/>
  <c r="AA47" i="24"/>
  <c r="AA48" i="24"/>
  <c r="AA49" i="24"/>
  <c r="AA50" i="24"/>
  <c r="AA51" i="24"/>
  <c r="AA52" i="24"/>
  <c r="AA53" i="24"/>
  <c r="AA54" i="24"/>
  <c r="AA55" i="24"/>
  <c r="AA56" i="24"/>
  <c r="AA57" i="24"/>
  <c r="AA58" i="24"/>
  <c r="AA59" i="24"/>
  <c r="AA60" i="24"/>
  <c r="AA61" i="24"/>
  <c r="AA62" i="24"/>
  <c r="AA63" i="24"/>
  <c r="AA64" i="24"/>
  <c r="AA65" i="24"/>
  <c r="AA66" i="24"/>
  <c r="AA67" i="24"/>
  <c r="AA68" i="24"/>
  <c r="AA69" i="24"/>
  <c r="AA70" i="24"/>
  <c r="AA71" i="24"/>
  <c r="AA72" i="24"/>
  <c r="AA73" i="24"/>
  <c r="AA74" i="24"/>
  <c r="AA75" i="24"/>
  <c r="AA76" i="24"/>
  <c r="AA77" i="24"/>
  <c r="AA78" i="24"/>
  <c r="AA79" i="24"/>
  <c r="AA80" i="24"/>
  <c r="AA81" i="24"/>
  <c r="AA82" i="24"/>
  <c r="AA83" i="24"/>
  <c r="AA84" i="24"/>
  <c r="AA85" i="24"/>
  <c r="AA86" i="24"/>
  <c r="AA87" i="24"/>
  <c r="AA88" i="24"/>
  <c r="AA89" i="24"/>
  <c r="AA90" i="24"/>
  <c r="AA91" i="24"/>
  <c r="AA92" i="24"/>
  <c r="AA93" i="24"/>
  <c r="AA94" i="24"/>
  <c r="AA95" i="24"/>
  <c r="AA96" i="24"/>
  <c r="AA97" i="24"/>
  <c r="AA98" i="24"/>
  <c r="AA99" i="24"/>
  <c r="AA100" i="24"/>
  <c r="AA101" i="24"/>
  <c r="AA102" i="24"/>
  <c r="AA103" i="24"/>
  <c r="AA104" i="24"/>
  <c r="AA105" i="24"/>
  <c r="AA106" i="24"/>
  <c r="AA107" i="24"/>
  <c r="AA108" i="24"/>
  <c r="AA109" i="24"/>
  <c r="AA110" i="24"/>
  <c r="AA111" i="24"/>
  <c r="AA112" i="24"/>
  <c r="AA113" i="24"/>
  <c r="AA114" i="24"/>
  <c r="AA115" i="24"/>
  <c r="AA116" i="24"/>
  <c r="AA117" i="24"/>
  <c r="AA118" i="24"/>
  <c r="AA119" i="24"/>
  <c r="AA120" i="24"/>
  <c r="AA121" i="24"/>
  <c r="AA122" i="24"/>
  <c r="AA123" i="24"/>
  <c r="AA124" i="24"/>
  <c r="AA125" i="24"/>
  <c r="AA126" i="24"/>
  <c r="AA127" i="24"/>
  <c r="AA128" i="24"/>
  <c r="AA129" i="24"/>
  <c r="AA130" i="24"/>
  <c r="AA131" i="24"/>
  <c r="AA132" i="24"/>
  <c r="AA133" i="24"/>
  <c r="AA134" i="24"/>
  <c r="AA135" i="24"/>
  <c r="AA136" i="24"/>
  <c r="AA137" i="24"/>
  <c r="AA138" i="24"/>
  <c r="AA139" i="24"/>
  <c r="AA140" i="24"/>
  <c r="AA141" i="24"/>
  <c r="AA142" i="24"/>
  <c r="AA143" i="24"/>
  <c r="AA144" i="24"/>
  <c r="AA145" i="24"/>
  <c r="AA146" i="24"/>
  <c r="AA147" i="24"/>
  <c r="AA148" i="24"/>
  <c r="AA149" i="24"/>
  <c r="AA150" i="24"/>
  <c r="AA151" i="24"/>
  <c r="AA152" i="24"/>
  <c r="AA153" i="24"/>
  <c r="AA154" i="24"/>
  <c r="AA155" i="24"/>
  <c r="AA156" i="24"/>
  <c r="AA157" i="24"/>
  <c r="AA158" i="24"/>
  <c r="AA159" i="24"/>
  <c r="AA160" i="24"/>
  <c r="AA161" i="24"/>
  <c r="AA162" i="24"/>
  <c r="AA163" i="24"/>
  <c r="AA164" i="24"/>
  <c r="AA165" i="24"/>
  <c r="AA166" i="24"/>
  <c r="AA167" i="24"/>
  <c r="AA168" i="24"/>
  <c r="AA169" i="24"/>
  <c r="AA170" i="24"/>
  <c r="AA171" i="24"/>
  <c r="AA172" i="24"/>
  <c r="AA173" i="24"/>
  <c r="AA174" i="24"/>
  <c r="AA175" i="24"/>
  <c r="AA176" i="24"/>
  <c r="AA177" i="24"/>
  <c r="AA178" i="24"/>
  <c r="AA179" i="24"/>
  <c r="AA180" i="24"/>
  <c r="AA181" i="24"/>
  <c r="AA182" i="24"/>
  <c r="AA183" i="24"/>
  <c r="AA184" i="24"/>
  <c r="AA185" i="24"/>
  <c r="AA186" i="24"/>
  <c r="AA187" i="24"/>
  <c r="AA188" i="24"/>
  <c r="AA189" i="24"/>
  <c r="AA190" i="24"/>
  <c r="AA191" i="24"/>
  <c r="AA192" i="24"/>
  <c r="AA193" i="24"/>
  <c r="AA194" i="24"/>
  <c r="AA195" i="24"/>
  <c r="AA196" i="24"/>
  <c r="AA197" i="24"/>
  <c r="AA198" i="24"/>
  <c r="AA199" i="24"/>
  <c r="AA200" i="24"/>
  <c r="AA201" i="24"/>
  <c r="AA202" i="24"/>
  <c r="AA203" i="24"/>
  <c r="AA204" i="24"/>
  <c r="AA205" i="24"/>
  <c r="AA206" i="24"/>
  <c r="AA207" i="24"/>
  <c r="AA208" i="24"/>
  <c r="AA209" i="24"/>
  <c r="AA210" i="24"/>
  <c r="AA211" i="24"/>
  <c r="AA212" i="24"/>
  <c r="AA213" i="24"/>
  <c r="AA214" i="24"/>
  <c r="AA215" i="24"/>
  <c r="AA216" i="24"/>
  <c r="AA217" i="24"/>
  <c r="AA218" i="24"/>
  <c r="AA219" i="24"/>
  <c r="AA220" i="24"/>
  <c r="AA221" i="24"/>
  <c r="AA222" i="24"/>
  <c r="AA223" i="24"/>
  <c r="AA224" i="24"/>
  <c r="AA225" i="24"/>
  <c r="AA226" i="24"/>
  <c r="AA227" i="24"/>
  <c r="AA228" i="24"/>
  <c r="AA229" i="24"/>
  <c r="AA230" i="24"/>
  <c r="AA231" i="24"/>
  <c r="AA232" i="24"/>
  <c r="AA233" i="24"/>
  <c r="AA234" i="24"/>
  <c r="AA235" i="24"/>
  <c r="AA236" i="24"/>
  <c r="AA237" i="24"/>
  <c r="AA238" i="24"/>
  <c r="AA239" i="24"/>
  <c r="AA240" i="24"/>
  <c r="AA241" i="24"/>
  <c r="AA242" i="24"/>
  <c r="AA243" i="24"/>
  <c r="AA244" i="24"/>
  <c r="AA245" i="24"/>
  <c r="AA246" i="24"/>
  <c r="AA247" i="24"/>
  <c r="AA248" i="24"/>
  <c r="AA249" i="24"/>
  <c r="AA250" i="24"/>
  <c r="AA251" i="24"/>
  <c r="AA252" i="24"/>
  <c r="AA253" i="24"/>
  <c r="AA254" i="24"/>
  <c r="AA255" i="24"/>
  <c r="AA256" i="24"/>
  <c r="AA257" i="24"/>
  <c r="AA258" i="24"/>
  <c r="AA259" i="24"/>
  <c r="AA260" i="24"/>
  <c r="AA261" i="24"/>
  <c r="AA262" i="24"/>
  <c r="AA263" i="24"/>
  <c r="AA264" i="24"/>
  <c r="AA265" i="24"/>
  <c r="AA266" i="24"/>
  <c r="AA267" i="24"/>
  <c r="AA268" i="24"/>
  <c r="AA269" i="24"/>
  <c r="AA270" i="24"/>
  <c r="AA271" i="24"/>
  <c r="AA272" i="24"/>
  <c r="AA273" i="24"/>
  <c r="AA274" i="24"/>
  <c r="AA275" i="24"/>
  <c r="AA276" i="24"/>
  <c r="AA277" i="24"/>
  <c r="AA278" i="24"/>
  <c r="AA279" i="24"/>
  <c r="AA280" i="24"/>
  <c r="AA281" i="24"/>
  <c r="AA282" i="24"/>
  <c r="AA283" i="24"/>
  <c r="AA284" i="24"/>
  <c r="AA285" i="24"/>
  <c r="AA286" i="24"/>
  <c r="AA287" i="24"/>
  <c r="AA288" i="24"/>
  <c r="AA289" i="24"/>
  <c r="AA290" i="24"/>
  <c r="AA291" i="24"/>
  <c r="AA292" i="24"/>
  <c r="AA293" i="24"/>
  <c r="AA294" i="24"/>
  <c r="AA295" i="24"/>
  <c r="AA296" i="24"/>
  <c r="AA297" i="24"/>
  <c r="AA298" i="24"/>
  <c r="AA299" i="24"/>
  <c r="AA300" i="24"/>
  <c r="AA301" i="24"/>
  <c r="AA302" i="24"/>
  <c r="AA303" i="24"/>
  <c r="AA304" i="24"/>
  <c r="AA305" i="24"/>
  <c r="AA306" i="24"/>
  <c r="AA307" i="24"/>
  <c r="AA308" i="24"/>
  <c r="AA309" i="24"/>
  <c r="AA310" i="24"/>
  <c r="AA311" i="24"/>
  <c r="AA312" i="24"/>
  <c r="AA313" i="24"/>
  <c r="AA314" i="24"/>
  <c r="AA315" i="24"/>
  <c r="AA316" i="24"/>
  <c r="AA317" i="24"/>
  <c r="AA318" i="24"/>
  <c r="AA319" i="24"/>
  <c r="AA320" i="24"/>
  <c r="AA321" i="24"/>
  <c r="AA322" i="24"/>
  <c r="AA323" i="24"/>
  <c r="AA324" i="24"/>
  <c r="AA325" i="24"/>
  <c r="AA326" i="24"/>
  <c r="AA327" i="24"/>
  <c r="AA328" i="24"/>
  <c r="AA329" i="24"/>
  <c r="AA330" i="24"/>
  <c r="AA331" i="24"/>
  <c r="AA332" i="24"/>
  <c r="AA333" i="24"/>
  <c r="AA334" i="24"/>
  <c r="AA335" i="24"/>
  <c r="AA336" i="24"/>
  <c r="AA337" i="24"/>
  <c r="AA338" i="24"/>
  <c r="AA339" i="24"/>
  <c r="AA340" i="24"/>
  <c r="AA341" i="24"/>
  <c r="AA342" i="24"/>
  <c r="AA343" i="24"/>
  <c r="AA344" i="24"/>
  <c r="AA345" i="24"/>
  <c r="AA346" i="24"/>
  <c r="AA347" i="24"/>
  <c r="AA348" i="24"/>
  <c r="AA349" i="24"/>
  <c r="AA350" i="24"/>
  <c r="AA351" i="24"/>
  <c r="AA352" i="24"/>
  <c r="AA353" i="24"/>
  <c r="AA354" i="24"/>
  <c r="AA355" i="24"/>
  <c r="AA356" i="24"/>
  <c r="AA357" i="24"/>
  <c r="AA358" i="24"/>
  <c r="AA359" i="24"/>
  <c r="AA360" i="24"/>
  <c r="AA361" i="24"/>
  <c r="AA362" i="24"/>
  <c r="AA363" i="24"/>
  <c r="AA364" i="24"/>
  <c r="AA365" i="24"/>
  <c r="AA366" i="24"/>
  <c r="AA367" i="24"/>
  <c r="AA368" i="24"/>
  <c r="AA369" i="24"/>
  <c r="AA370" i="24"/>
  <c r="AA371" i="24"/>
  <c r="AA372" i="24"/>
  <c r="AA373" i="24"/>
  <c r="AA374" i="24"/>
  <c r="AA375" i="24"/>
  <c r="AA376" i="24"/>
  <c r="AA377" i="24"/>
  <c r="AA378" i="24"/>
  <c r="AA379" i="24"/>
  <c r="AA380" i="24"/>
  <c r="AA381" i="24"/>
  <c r="AA382" i="24"/>
  <c r="AA383" i="24"/>
  <c r="AA384" i="24"/>
  <c r="AA385" i="24"/>
  <c r="AA386" i="24"/>
  <c r="AA387" i="24"/>
  <c r="AA388" i="24"/>
  <c r="AA389" i="24"/>
  <c r="AA390" i="24"/>
  <c r="AA391" i="24"/>
  <c r="AA392" i="24"/>
  <c r="AA393" i="24"/>
  <c r="AA394" i="24"/>
  <c r="AA395" i="24"/>
  <c r="AA396" i="24"/>
  <c r="AA397" i="24"/>
  <c r="AA398" i="24"/>
  <c r="AA399" i="24"/>
  <c r="AA400" i="24"/>
  <c r="AA401" i="24"/>
  <c r="AA402" i="24"/>
  <c r="AA403" i="24"/>
  <c r="AA404" i="24"/>
  <c r="AA405" i="24"/>
  <c r="AA406" i="24"/>
  <c r="AA407" i="24"/>
  <c r="AA408" i="24"/>
  <c r="AA409" i="24"/>
  <c r="AA410" i="24"/>
  <c r="AA418" i="24"/>
  <c r="AA419" i="24"/>
  <c r="AA420" i="24"/>
  <c r="AA421" i="24"/>
  <c r="AA422" i="24"/>
  <c r="AA423" i="24"/>
  <c r="AA424" i="24"/>
  <c r="AA425" i="24"/>
  <c r="AA426" i="24"/>
  <c r="AA427" i="24"/>
  <c r="AA428" i="24"/>
  <c r="AA429" i="24"/>
  <c r="AA430" i="24"/>
  <c r="AA431" i="24"/>
  <c r="AA432" i="24"/>
  <c r="AA433" i="24"/>
  <c r="AA434" i="24"/>
  <c r="AA435" i="24"/>
  <c r="AA436" i="24"/>
  <c r="AA437" i="24"/>
  <c r="AA438" i="24"/>
  <c r="AA439" i="24"/>
  <c r="AA440" i="24"/>
  <c r="AA441" i="24"/>
  <c r="AA442" i="24"/>
  <c r="AA443" i="24"/>
  <c r="AA444" i="24"/>
  <c r="AA445" i="24"/>
  <c r="AA446" i="24"/>
  <c r="AA447" i="24"/>
  <c r="AA448" i="24"/>
  <c r="AA449" i="24"/>
  <c r="AA450" i="24"/>
  <c r="AA451" i="24"/>
  <c r="AA452" i="24"/>
  <c r="AA453" i="24"/>
  <c r="AA454" i="24"/>
  <c r="AA455" i="24"/>
  <c r="AA456" i="24"/>
  <c r="AA457" i="24"/>
  <c r="AA458" i="24"/>
  <c r="AA459" i="24"/>
  <c r="AA460" i="24"/>
  <c r="AA461" i="24"/>
  <c r="AA462" i="24"/>
  <c r="AA463" i="24"/>
  <c r="AA464" i="24"/>
  <c r="AA465" i="24"/>
  <c r="AA466" i="24"/>
  <c r="AA467" i="24"/>
  <c r="AA468" i="24"/>
  <c r="AA469" i="24"/>
  <c r="AA470" i="24"/>
  <c r="AA471" i="24"/>
  <c r="AA472" i="24"/>
  <c r="AA473" i="24"/>
  <c r="AA474" i="24"/>
  <c r="AA475" i="24"/>
  <c r="AA476" i="24"/>
  <c r="AA477" i="24"/>
  <c r="AA478" i="24"/>
  <c r="AA479" i="24"/>
  <c r="AA480" i="24"/>
  <c r="AA481" i="24"/>
  <c r="AA482" i="24"/>
  <c r="AA483" i="24"/>
  <c r="AA484" i="24"/>
  <c r="AA485" i="24"/>
  <c r="AA486" i="24"/>
  <c r="AA487" i="24"/>
  <c r="AA488" i="24"/>
  <c r="AA489" i="24"/>
  <c r="AA490" i="24"/>
  <c r="AA491" i="24"/>
  <c r="AA492" i="24"/>
  <c r="AA493" i="24"/>
  <c r="AA494" i="24"/>
  <c r="AA495" i="24"/>
  <c r="AA496" i="24"/>
  <c r="AA497" i="24"/>
  <c r="AA498" i="24"/>
  <c r="AA499" i="24"/>
  <c r="AA500" i="24"/>
  <c r="AA501" i="24"/>
  <c r="AA502" i="24"/>
  <c r="AA503" i="24"/>
  <c r="AA504" i="24"/>
  <c r="AA505" i="24"/>
  <c r="AA506" i="24"/>
  <c r="AA507" i="24"/>
  <c r="AA508" i="24"/>
  <c r="AA509" i="24"/>
  <c r="AA510" i="24"/>
  <c r="AA511" i="24"/>
  <c r="AA512" i="24"/>
  <c r="AA513" i="24"/>
  <c r="AA514" i="24"/>
  <c r="AA515" i="24"/>
  <c r="AA516" i="24"/>
  <c r="AA517" i="24"/>
  <c r="AA518" i="24"/>
  <c r="AA519" i="24"/>
  <c r="AA520" i="24"/>
  <c r="AA521" i="24"/>
  <c r="AA522" i="24"/>
  <c r="AA523" i="24"/>
  <c r="AA524" i="24"/>
  <c r="AA525" i="24"/>
  <c r="AA526" i="24"/>
  <c r="AA527" i="24"/>
  <c r="AA528" i="24"/>
  <c r="AA529" i="24"/>
  <c r="AA530" i="24"/>
  <c r="AA531" i="24"/>
  <c r="AA532" i="24"/>
  <c r="AA533" i="24"/>
  <c r="AA534" i="24"/>
  <c r="AA535" i="24"/>
  <c r="AA536" i="24"/>
  <c r="AA537" i="24"/>
  <c r="AA538" i="24"/>
  <c r="AA539" i="24"/>
  <c r="AA540" i="24"/>
  <c r="AA541" i="24"/>
  <c r="AA542" i="24"/>
  <c r="AA543" i="24"/>
  <c r="AA544" i="24"/>
  <c r="AA545" i="24"/>
  <c r="AA546" i="24"/>
  <c r="AA547" i="24"/>
  <c r="AA548" i="24"/>
  <c r="AA549" i="24"/>
  <c r="AA550" i="24"/>
  <c r="AA551" i="24"/>
  <c r="AA552" i="24"/>
  <c r="AA553" i="24"/>
  <c r="AA554" i="24"/>
  <c r="AA555" i="24"/>
  <c r="AA556" i="24"/>
  <c r="AA557" i="24"/>
  <c r="AA558" i="24"/>
  <c r="AA559" i="24"/>
  <c r="AA560" i="24"/>
  <c r="AA561" i="24"/>
  <c r="AA562" i="24"/>
  <c r="AA563" i="24"/>
  <c r="AA564" i="24"/>
  <c r="AA565" i="24"/>
  <c r="AA566" i="24"/>
  <c r="AA567" i="24"/>
  <c r="AA568" i="24"/>
  <c r="AA569" i="24"/>
  <c r="AA570" i="24"/>
  <c r="AA571" i="24"/>
  <c r="AA572" i="24"/>
  <c r="AA573" i="24"/>
  <c r="AA574" i="24"/>
  <c r="AA575" i="24"/>
  <c r="AA576" i="24"/>
  <c r="AA577" i="24"/>
  <c r="AA578" i="24"/>
  <c r="AA579" i="24"/>
  <c r="AA580" i="24"/>
  <c r="AA581" i="24"/>
  <c r="AA582" i="24"/>
  <c r="AA583" i="24"/>
  <c r="AA584" i="24"/>
  <c r="AA585" i="24"/>
  <c r="AA586" i="24"/>
  <c r="AA587" i="24"/>
  <c r="AA588" i="24"/>
  <c r="AA589" i="24"/>
  <c r="AA590" i="24"/>
  <c r="AA591" i="24"/>
  <c r="AA592" i="24"/>
  <c r="AA593" i="24"/>
  <c r="AA594" i="24"/>
  <c r="AA595" i="24"/>
  <c r="AA596" i="24"/>
  <c r="AA597" i="24"/>
  <c r="AA598" i="24"/>
  <c r="AA599" i="24"/>
  <c r="AA600" i="24"/>
  <c r="AA601" i="24"/>
  <c r="AA602" i="24"/>
  <c r="AA603" i="24"/>
  <c r="AA604" i="24"/>
  <c r="AA605" i="24"/>
  <c r="AA606" i="24"/>
  <c r="AA607" i="24"/>
  <c r="AA608" i="24"/>
  <c r="AA609" i="24"/>
  <c r="AA610" i="24"/>
  <c r="AA611" i="24"/>
  <c r="AA612" i="24"/>
  <c r="AA613" i="24"/>
  <c r="AA614" i="24"/>
  <c r="AA615" i="24"/>
  <c r="AA616" i="24"/>
  <c r="AA617" i="24"/>
  <c r="AA618" i="24"/>
  <c r="AA619" i="24"/>
  <c r="AA620" i="24"/>
  <c r="AA621" i="24"/>
  <c r="AA622" i="24"/>
  <c r="AA623" i="24"/>
  <c r="AA624" i="24"/>
  <c r="AA625" i="24"/>
  <c r="AA626" i="24"/>
  <c r="AA627" i="24"/>
  <c r="AA628" i="24"/>
  <c r="AA629" i="24"/>
  <c r="AA630" i="24"/>
  <c r="AA631" i="24"/>
  <c r="AA632" i="24"/>
  <c r="AA633" i="24"/>
  <c r="AA634" i="24"/>
  <c r="AA635" i="24"/>
  <c r="AA636" i="24"/>
  <c r="AA637" i="24"/>
  <c r="AA638" i="24"/>
  <c r="AA639" i="24"/>
  <c r="AA640" i="24"/>
  <c r="AA641" i="24"/>
  <c r="AA642" i="24"/>
  <c r="AA643" i="24"/>
  <c r="AA644" i="24"/>
  <c r="AA645" i="24"/>
  <c r="AA646" i="24"/>
  <c r="AA647" i="24"/>
  <c r="AA648" i="24"/>
  <c r="AA649" i="24"/>
  <c r="AA650" i="24"/>
  <c r="AA651" i="24"/>
  <c r="AA652" i="24"/>
  <c r="AA653" i="24"/>
  <c r="AA654" i="24"/>
  <c r="AA655" i="24"/>
  <c r="AA656" i="24"/>
  <c r="AA657" i="24"/>
  <c r="AA658" i="24"/>
  <c r="AA659" i="24"/>
  <c r="AA660" i="24"/>
  <c r="AA661" i="24"/>
  <c r="AA662" i="24"/>
  <c r="AA663" i="24"/>
  <c r="AA664" i="24"/>
  <c r="AA665" i="24"/>
  <c r="AA666" i="24"/>
  <c r="AA667" i="24"/>
  <c r="AA668" i="24"/>
  <c r="AA669" i="24"/>
  <c r="AA670" i="24"/>
  <c r="AA671" i="24"/>
  <c r="AA672" i="24"/>
  <c r="AA673" i="24"/>
  <c r="AA674" i="24"/>
  <c r="AA675" i="24"/>
  <c r="AA676" i="24"/>
  <c r="AA677" i="24"/>
  <c r="AA678" i="24"/>
  <c r="AA679" i="24"/>
  <c r="AA680" i="24"/>
  <c r="AA681" i="24"/>
  <c r="AA682" i="24"/>
  <c r="AA683" i="24"/>
  <c r="AA684" i="24"/>
  <c r="AA685" i="24"/>
  <c r="AA686" i="24"/>
  <c r="AA687" i="24"/>
  <c r="AA688" i="24"/>
  <c r="AA689" i="24"/>
  <c r="AA690" i="24"/>
  <c r="AA691" i="24"/>
  <c r="AA692" i="24"/>
  <c r="AA693" i="24"/>
  <c r="AA694" i="24"/>
  <c r="AA695" i="24"/>
  <c r="AA696" i="24"/>
  <c r="AA697" i="24"/>
  <c r="AA698" i="24"/>
  <c r="AA699" i="24"/>
  <c r="AA700" i="24"/>
  <c r="AA701" i="24"/>
  <c r="AA702" i="24"/>
  <c r="AA703" i="24"/>
  <c r="AA704" i="24"/>
  <c r="AA705" i="24"/>
  <c r="AA706" i="24"/>
  <c r="AA707" i="24"/>
  <c r="AA708" i="24"/>
  <c r="AA709" i="24"/>
  <c r="AA710" i="24"/>
  <c r="AA711" i="24"/>
  <c r="AA712" i="24"/>
  <c r="AA713" i="24"/>
  <c r="AA714" i="24"/>
  <c r="AA715" i="24"/>
  <c r="AA716" i="24"/>
  <c r="AA717" i="24"/>
  <c r="AA718" i="24"/>
  <c r="AA719" i="24"/>
  <c r="AA720" i="24"/>
  <c r="AA721" i="24"/>
  <c r="AA722" i="24"/>
  <c r="AA723" i="24"/>
  <c r="AA724" i="24"/>
  <c r="AA725" i="24"/>
  <c r="AA726" i="24"/>
  <c r="AA727" i="24"/>
  <c r="AA728" i="24"/>
  <c r="AA729" i="24"/>
  <c r="AA730" i="24"/>
  <c r="AA731" i="24"/>
  <c r="AA732" i="24"/>
  <c r="AA733" i="24"/>
  <c r="AA734" i="24"/>
  <c r="AA735" i="24"/>
  <c r="AA736" i="24"/>
  <c r="AA737" i="24"/>
  <c r="AA738" i="24"/>
  <c r="AA739" i="24"/>
  <c r="AA740" i="24"/>
  <c r="AA741" i="24"/>
  <c r="AA742" i="24"/>
  <c r="AA743" i="24"/>
  <c r="AA744" i="24"/>
  <c r="AA745" i="24"/>
  <c r="AA746" i="24"/>
  <c r="AA747" i="24"/>
  <c r="AA748" i="24"/>
  <c r="AA749" i="24"/>
  <c r="AA750" i="24"/>
  <c r="AA751" i="24"/>
  <c r="AA752" i="24"/>
  <c r="AA753" i="24"/>
  <c r="AA754" i="24"/>
  <c r="AA755" i="24"/>
  <c r="AA756" i="24"/>
  <c r="AA757" i="24"/>
  <c r="AA758" i="24"/>
  <c r="AA759" i="24"/>
  <c r="AA760" i="24"/>
  <c r="AA761" i="24"/>
  <c r="AA762" i="24"/>
  <c r="AA763" i="24"/>
  <c r="AA764" i="24"/>
  <c r="AA765" i="24"/>
  <c r="AA766" i="24"/>
  <c r="AA767" i="24"/>
  <c r="AA768" i="24"/>
  <c r="AA769" i="24"/>
  <c r="AA770" i="24"/>
  <c r="AA771" i="24"/>
  <c r="AA772" i="24"/>
  <c r="AA773" i="24"/>
  <c r="AA774" i="24"/>
  <c r="AA775" i="24"/>
  <c r="AA776" i="24"/>
  <c r="AA777" i="24"/>
  <c r="AA778" i="24"/>
  <c r="AA779" i="24"/>
  <c r="AA780" i="24"/>
  <c r="AA781" i="24"/>
  <c r="AA782" i="24"/>
  <c r="AA783" i="24"/>
  <c r="AA784" i="24"/>
  <c r="AA785" i="24"/>
  <c r="AA786" i="24"/>
  <c r="AA787" i="24"/>
  <c r="AA788" i="24"/>
  <c r="AA789" i="24"/>
  <c r="AA790" i="24"/>
  <c r="AA791" i="24"/>
  <c r="AA792" i="24"/>
  <c r="AA793" i="24"/>
  <c r="AA794" i="24"/>
  <c r="AA795" i="24"/>
  <c r="AA796" i="24"/>
  <c r="AA797" i="24"/>
  <c r="AA798" i="24"/>
  <c r="AA799" i="24"/>
  <c r="AA800" i="24"/>
  <c r="AA801" i="24"/>
  <c r="AA802" i="24"/>
  <c r="AA803" i="24"/>
  <c r="AA804" i="24"/>
  <c r="AA805" i="24"/>
  <c r="AA806" i="24"/>
  <c r="AA807" i="24"/>
  <c r="AA808" i="24"/>
  <c r="AA809" i="24"/>
  <c r="AA810" i="24"/>
  <c r="AA811" i="24"/>
  <c r="AA812" i="24"/>
  <c r="AA813" i="24"/>
  <c r="AA814" i="24"/>
  <c r="AA815" i="24"/>
  <c r="AA816" i="24"/>
  <c r="AA817" i="24"/>
  <c r="AA818" i="24"/>
  <c r="AA819" i="24"/>
  <c r="AA820" i="24"/>
  <c r="AA821" i="24"/>
  <c r="AA822" i="24"/>
  <c r="AA823" i="24"/>
  <c r="AA824" i="24"/>
  <c r="AA825" i="24"/>
  <c r="AA826" i="24"/>
  <c r="AA827" i="24"/>
  <c r="AA828" i="24"/>
  <c r="AA829" i="24"/>
  <c r="AA830" i="24"/>
  <c r="AA831" i="24"/>
  <c r="AA832" i="24"/>
  <c r="AA833" i="24"/>
  <c r="AA834" i="24"/>
  <c r="AA835" i="24"/>
  <c r="AA836" i="24"/>
  <c r="AA837" i="24"/>
  <c r="AA838" i="24"/>
  <c r="AA839" i="24"/>
  <c r="AA840" i="24"/>
  <c r="AA841" i="24"/>
  <c r="AA842" i="24"/>
  <c r="AA843" i="24"/>
  <c r="AA844" i="24"/>
  <c r="AA845" i="24"/>
  <c r="AA846" i="24"/>
  <c r="AA847" i="24"/>
  <c r="AA848" i="24"/>
  <c r="AA849" i="24"/>
  <c r="AA850" i="24"/>
  <c r="AA851" i="24"/>
  <c r="AA852" i="24"/>
  <c r="AA853" i="24"/>
  <c r="AA854" i="24"/>
  <c r="AA855" i="24"/>
  <c r="AA856" i="24"/>
  <c r="AA857" i="24"/>
  <c r="AA858" i="24"/>
  <c r="AA859" i="24"/>
  <c r="AA860" i="24"/>
  <c r="AA861" i="24"/>
  <c r="AA862" i="24"/>
  <c r="AA863" i="24"/>
  <c r="AA864" i="24"/>
  <c r="AA865" i="24"/>
  <c r="AA866" i="24"/>
  <c r="AA867" i="24"/>
  <c r="AA868" i="24"/>
  <c r="AA869" i="24"/>
  <c r="AA870" i="24"/>
  <c r="AA871" i="24"/>
  <c r="AA872" i="24"/>
  <c r="AA873" i="24"/>
  <c r="AA874" i="24"/>
  <c r="AA875" i="24"/>
  <c r="AA876" i="24"/>
  <c r="AA877" i="24"/>
  <c r="AA878" i="24"/>
  <c r="AA879" i="24"/>
  <c r="AA880" i="24"/>
  <c r="AA881" i="24"/>
  <c r="AA882" i="24"/>
  <c r="AA883" i="24"/>
  <c r="AA884" i="24"/>
  <c r="AA885" i="24"/>
  <c r="AA886" i="24"/>
  <c r="AA887" i="24"/>
  <c r="AA888" i="24"/>
  <c r="AA889" i="24"/>
  <c r="AA890" i="24"/>
  <c r="AA891" i="24"/>
  <c r="AA892" i="24"/>
  <c r="AA893" i="24"/>
  <c r="AA894" i="24"/>
  <c r="AA895" i="24"/>
  <c r="AA896" i="24"/>
  <c r="AA897" i="24"/>
  <c r="AA898" i="24"/>
  <c r="AA899" i="24"/>
  <c r="AA900" i="24"/>
  <c r="AA901" i="24"/>
  <c r="AA902" i="24"/>
  <c r="AA903" i="24"/>
  <c r="AA904" i="24"/>
  <c r="AA905" i="24"/>
  <c r="AA906" i="24"/>
  <c r="AA907" i="24"/>
  <c r="AA908" i="24"/>
  <c r="AA909" i="24"/>
  <c r="AA910" i="24"/>
  <c r="AA911" i="24"/>
  <c r="AA912" i="24"/>
  <c r="AA913" i="24"/>
  <c r="AA914" i="24"/>
  <c r="AA915" i="24"/>
  <c r="AA916" i="24"/>
  <c r="AA917" i="24"/>
  <c r="AA918" i="24"/>
  <c r="AA919" i="24"/>
  <c r="AA920" i="24"/>
  <c r="AA921" i="24"/>
  <c r="AA922" i="24"/>
  <c r="AA923" i="24"/>
  <c r="AA924" i="24"/>
  <c r="AA925" i="24"/>
  <c r="AA926" i="24"/>
  <c r="AA927" i="24"/>
  <c r="AA928" i="24"/>
  <c r="AA929" i="24"/>
  <c r="AA930" i="24"/>
  <c r="AA931" i="24"/>
  <c r="AA932" i="24"/>
  <c r="AA933" i="24"/>
  <c r="AA934" i="24"/>
  <c r="AA935" i="24"/>
  <c r="AA936" i="24"/>
  <c r="AA937" i="24"/>
  <c r="AA938" i="24"/>
  <c r="AA939" i="24"/>
  <c r="AA940" i="24"/>
  <c r="AA941" i="24"/>
  <c r="AA942" i="24"/>
  <c r="AA943" i="24"/>
  <c r="AA944" i="24"/>
  <c r="AA945" i="24"/>
  <c r="AA946" i="24"/>
  <c r="AA947" i="24"/>
  <c r="AA948" i="24"/>
  <c r="AA949" i="24"/>
  <c r="AA950" i="24"/>
  <c r="AA951" i="24"/>
  <c r="AA952" i="24"/>
  <c r="AA953" i="24"/>
  <c r="AA954" i="24"/>
  <c r="AA955" i="24"/>
  <c r="AA956" i="24"/>
  <c r="AA957" i="24"/>
  <c r="AA958" i="24"/>
  <c r="AA959" i="24"/>
  <c r="AA960" i="24"/>
  <c r="AA961" i="24"/>
  <c r="AA962" i="24"/>
  <c r="AA963" i="24"/>
  <c r="AA964" i="24"/>
  <c r="AA965" i="24"/>
  <c r="AA966" i="24"/>
  <c r="AA967" i="24"/>
  <c r="AA968" i="24"/>
  <c r="AA969" i="24"/>
  <c r="AA970" i="24"/>
  <c r="AA971" i="24"/>
  <c r="AA972" i="24"/>
  <c r="AA973" i="24"/>
  <c r="AA974" i="24"/>
  <c r="AA975" i="24"/>
  <c r="AA976" i="24"/>
  <c r="AA977" i="24"/>
  <c r="AA978" i="24"/>
  <c r="AA979" i="24"/>
  <c r="AA980" i="24"/>
  <c r="AA981" i="24"/>
  <c r="AA982" i="24"/>
  <c r="AA983" i="24"/>
  <c r="AA984" i="24"/>
  <c r="AA985" i="24"/>
  <c r="AA986" i="24"/>
  <c r="AA987" i="24"/>
  <c r="AA988" i="24"/>
  <c r="AA989" i="24"/>
  <c r="AA990" i="24"/>
  <c r="AA991" i="24"/>
  <c r="AA992" i="24"/>
  <c r="AA993" i="24"/>
  <c r="AA994" i="24"/>
  <c r="AA995" i="24"/>
  <c r="AA996" i="24"/>
  <c r="AA997" i="24"/>
  <c r="AA998" i="24"/>
  <c r="AA999" i="24"/>
  <c r="AA1000" i="24"/>
  <c r="AA1001" i="24"/>
  <c r="AA1002" i="24"/>
  <c r="AA1003" i="24"/>
  <c r="AA1004" i="24"/>
  <c r="AA1005" i="24"/>
  <c r="AA1006" i="24"/>
  <c r="AA1007" i="24"/>
  <c r="AA1008" i="24"/>
  <c r="AA1009" i="24"/>
  <c r="AA1010" i="24"/>
  <c r="AA1011" i="24"/>
  <c r="AA1012" i="24"/>
  <c r="AA1013" i="24"/>
  <c r="AA1014" i="24"/>
  <c r="AA1015" i="24"/>
  <c r="AA1016" i="24"/>
  <c r="AA1017" i="24"/>
  <c r="AA1018" i="24"/>
  <c r="AA1019" i="24"/>
  <c r="AA1020" i="24"/>
  <c r="AA1021" i="24"/>
  <c r="AA1022" i="24"/>
  <c r="AA1023" i="24"/>
  <c r="AA1024" i="24"/>
  <c r="AA1025" i="24"/>
  <c r="AA1026" i="24"/>
  <c r="AA1027" i="24"/>
  <c r="AA1028" i="24"/>
  <c r="AA1029" i="24"/>
  <c r="AA1030" i="24"/>
  <c r="AA1031" i="24"/>
  <c r="AA1032" i="24"/>
  <c r="AA1033" i="24"/>
  <c r="AA1034" i="24"/>
  <c r="AA1035" i="24"/>
  <c r="AA1036" i="24"/>
  <c r="AA1037" i="24"/>
  <c r="AA1038" i="24"/>
  <c r="AA1039" i="24"/>
  <c r="AA1040" i="24"/>
  <c r="AA1041" i="24"/>
  <c r="AA1042" i="24"/>
  <c r="AA1043" i="24"/>
  <c r="AA1044" i="24"/>
  <c r="AA1045" i="24"/>
  <c r="AA1046" i="24"/>
  <c r="AA1047" i="24"/>
  <c r="AA1048" i="24"/>
  <c r="AA1049" i="24"/>
  <c r="AA1050" i="24"/>
  <c r="AA1051" i="24"/>
  <c r="AA1052" i="24"/>
  <c r="AA1053" i="24"/>
  <c r="AA1054" i="24"/>
  <c r="AA1055" i="24"/>
  <c r="AA1056" i="24"/>
  <c r="AA1057" i="24"/>
  <c r="AA1058" i="24"/>
  <c r="AA1059" i="24"/>
  <c r="AA1060" i="24"/>
  <c r="AA1061" i="24"/>
  <c r="AA1062" i="24"/>
  <c r="AA1063" i="24"/>
  <c r="AA1064" i="24"/>
  <c r="AA1065" i="24"/>
  <c r="AA1066" i="24"/>
  <c r="AA1067" i="24"/>
  <c r="AA1068" i="24"/>
  <c r="AA1069" i="24"/>
  <c r="AA1070" i="24"/>
  <c r="AA1071" i="24"/>
  <c r="AA1072" i="24"/>
  <c r="AA1073" i="24"/>
  <c r="AA1074" i="24"/>
  <c r="AA1075" i="24"/>
  <c r="AA1076" i="24"/>
  <c r="AA1077" i="24"/>
  <c r="AA1078" i="24"/>
  <c r="AA1079" i="24"/>
  <c r="AA1080" i="24"/>
  <c r="AA1081" i="24"/>
  <c r="AA1082" i="24"/>
  <c r="AA1083" i="24"/>
  <c r="AA1084" i="24"/>
  <c r="AA1085" i="24"/>
  <c r="AA1086" i="24"/>
  <c r="AA1087" i="24"/>
  <c r="AA1088" i="24"/>
  <c r="AA1089" i="24"/>
  <c r="AA1090" i="24"/>
  <c r="AA1091" i="24"/>
  <c r="AA1092" i="24"/>
  <c r="AA1093" i="24"/>
  <c r="AA1094" i="24"/>
  <c r="AA1095" i="24"/>
  <c r="AA1096" i="24"/>
  <c r="AA1097" i="24"/>
  <c r="AA1098" i="24"/>
  <c r="AA1099" i="24"/>
  <c r="AA1100" i="24"/>
  <c r="AA1101" i="24"/>
  <c r="AA1102" i="24"/>
  <c r="AA1103" i="24"/>
  <c r="AA1104" i="24"/>
  <c r="AA1105" i="24"/>
  <c r="AA1106" i="24"/>
  <c r="AA1107" i="24"/>
  <c r="AA1108" i="24"/>
  <c r="AA1109" i="24"/>
  <c r="AA1110" i="24"/>
  <c r="AA1111" i="24"/>
  <c r="AA1112" i="24"/>
  <c r="AA1113" i="24"/>
  <c r="AA1114" i="24"/>
  <c r="AA1115" i="24"/>
  <c r="AA1116" i="24"/>
  <c r="AA1117" i="24"/>
  <c r="AA1118" i="24"/>
  <c r="AA1119" i="24"/>
  <c r="AA1120" i="24"/>
  <c r="AA1121" i="24"/>
  <c r="AA1122" i="24"/>
  <c r="AA1123" i="24"/>
  <c r="AA1124" i="24"/>
  <c r="AA1125" i="24"/>
  <c r="AA1126" i="24"/>
  <c r="AA1127" i="24"/>
  <c r="AA1128" i="24"/>
  <c r="AA1129" i="24"/>
  <c r="AA1130" i="24"/>
  <c r="AA1131" i="24"/>
  <c r="AA1132" i="24"/>
  <c r="AA1133" i="24"/>
  <c r="AA1134" i="24"/>
  <c r="AA1135" i="24"/>
  <c r="AA1136" i="24"/>
  <c r="AA1137" i="24"/>
  <c r="AA1138" i="24"/>
  <c r="AA1139" i="24"/>
  <c r="AA1140" i="24"/>
  <c r="AA1141" i="24"/>
  <c r="AA1142" i="24"/>
  <c r="AA1143" i="24"/>
  <c r="AA1144" i="24"/>
  <c r="AA1145" i="24"/>
  <c r="AA1146" i="24"/>
  <c r="AA1147" i="24"/>
  <c r="AA1148" i="24"/>
  <c r="AA1149" i="24"/>
  <c r="AA1150" i="24"/>
  <c r="AA1151" i="24"/>
  <c r="AA1152" i="24"/>
  <c r="AA1153" i="24"/>
  <c r="AA1154" i="24"/>
  <c r="AA1155" i="24"/>
  <c r="AA1156" i="24"/>
  <c r="AA1157" i="24"/>
  <c r="AA1158" i="24"/>
  <c r="AA1159" i="24"/>
  <c r="AA1160" i="24"/>
  <c r="AA1161" i="24"/>
  <c r="AA1162" i="24"/>
  <c r="AA1163" i="24"/>
  <c r="AA1164" i="24"/>
  <c r="AA1165" i="24"/>
  <c r="AA1166" i="24"/>
  <c r="AA1167" i="24"/>
  <c r="AA1168" i="24"/>
  <c r="AA1169" i="24"/>
  <c r="AA1170" i="24"/>
  <c r="AA1171" i="24"/>
  <c r="AA1172" i="24"/>
  <c r="AA1173" i="24"/>
  <c r="AA1174" i="24"/>
  <c r="AA1175" i="24"/>
  <c r="AA1176" i="24"/>
  <c r="AA1177" i="24"/>
  <c r="AA1178" i="24"/>
  <c r="AA1179" i="24"/>
  <c r="AA1180" i="24"/>
  <c r="AA1181" i="24"/>
  <c r="AA1182" i="24"/>
  <c r="AA1183" i="24"/>
  <c r="AA1184" i="24"/>
  <c r="AA1185" i="24"/>
  <c r="AA1186" i="24"/>
  <c r="AA1187" i="24"/>
  <c r="AA1188" i="24"/>
  <c r="AA1189" i="24"/>
  <c r="AA1190" i="24"/>
  <c r="AA1191" i="24"/>
  <c r="AA1192" i="24"/>
  <c r="AA1193" i="24"/>
  <c r="AA1194" i="24"/>
  <c r="AA1195" i="24"/>
  <c r="AA1196" i="24"/>
  <c r="AA1197" i="24"/>
  <c r="AA1198" i="24"/>
  <c r="AA1199" i="24"/>
  <c r="AA1200" i="24"/>
  <c r="AA1201" i="24"/>
  <c r="AA1202" i="24"/>
  <c r="AA1203" i="24"/>
  <c r="AA1204" i="24"/>
  <c r="AA1205" i="24"/>
  <c r="AA1206" i="24"/>
  <c r="AA1207" i="24"/>
  <c r="AA1208" i="24"/>
  <c r="AA1209" i="24"/>
  <c r="AA1210" i="24"/>
  <c r="AA1211" i="24"/>
  <c r="AA1212" i="24"/>
  <c r="AA1213" i="24"/>
  <c r="AA1214" i="24"/>
  <c r="AA1215" i="24"/>
  <c r="AA1216" i="24"/>
  <c r="AA1217" i="24"/>
  <c r="AA1218" i="24"/>
  <c r="AA1219" i="24"/>
  <c r="AA1220" i="24"/>
  <c r="AA1221" i="24"/>
  <c r="AA1222" i="24"/>
  <c r="AA1223" i="24"/>
  <c r="AA1224" i="24"/>
  <c r="AA1225" i="24"/>
  <c r="AA1226" i="24"/>
  <c r="AA1227" i="24"/>
  <c r="AA1228" i="24"/>
  <c r="AA1229" i="24"/>
  <c r="AA1230" i="24"/>
  <c r="AA1231" i="24"/>
  <c r="AA1232" i="24"/>
  <c r="AA1233" i="24"/>
  <c r="AA1234" i="24"/>
  <c r="AA1235" i="24"/>
  <c r="AA1236" i="24"/>
  <c r="AA1237" i="24"/>
  <c r="AA1238" i="24"/>
  <c r="AA1239" i="24"/>
  <c r="AA1240" i="24"/>
  <c r="AA1241" i="24"/>
  <c r="AA1242" i="24"/>
  <c r="AA1243" i="24"/>
  <c r="AA1244" i="24"/>
  <c r="AA1245" i="24"/>
  <c r="AA1246" i="24"/>
  <c r="AA1247" i="24"/>
  <c r="AA1248" i="24"/>
  <c r="AA1249" i="24"/>
  <c r="AA1250" i="24"/>
  <c r="AA1251" i="24"/>
  <c r="AA1252" i="24"/>
  <c r="AA1253" i="24"/>
  <c r="AA1254" i="24"/>
  <c r="AA1255" i="24"/>
  <c r="AA1256" i="24"/>
  <c r="AA1257" i="24"/>
  <c r="AA1258" i="24"/>
  <c r="AA1259" i="24"/>
  <c r="AA1260" i="24"/>
  <c r="AA1261" i="24"/>
  <c r="AA1262" i="24"/>
  <c r="AA1263" i="24"/>
  <c r="AA1264" i="24"/>
  <c r="AA1265" i="24"/>
  <c r="AA1266" i="24"/>
  <c r="AA1267" i="24"/>
  <c r="AA1268" i="24"/>
  <c r="AA1269" i="24"/>
  <c r="AA1270" i="24"/>
  <c r="AA1271" i="24"/>
  <c r="AA1272" i="24"/>
  <c r="AA1273" i="24"/>
  <c r="AA1274" i="24"/>
  <c r="AA1275" i="24"/>
  <c r="AA1276" i="24"/>
  <c r="AA1277" i="24"/>
  <c r="AA1278" i="24"/>
  <c r="AA1279" i="24"/>
  <c r="AA1280" i="24"/>
  <c r="AA1281" i="24"/>
  <c r="AA1282" i="24"/>
  <c r="AA1283" i="24"/>
  <c r="AA1284" i="24"/>
  <c r="AA1285" i="24"/>
  <c r="AA1286" i="24"/>
  <c r="AA1287" i="24"/>
  <c r="AA1288" i="24"/>
  <c r="AA1289" i="24"/>
  <c r="AA1290" i="24"/>
  <c r="AA1291" i="24"/>
  <c r="AA1292" i="24"/>
  <c r="AA1293" i="24"/>
  <c r="AA1294" i="24"/>
  <c r="AA1295" i="24"/>
  <c r="AA1296" i="24"/>
  <c r="AA1297" i="24"/>
  <c r="AA1298" i="24"/>
  <c r="AA1299" i="24"/>
  <c r="AA1300" i="24"/>
  <c r="AA1301" i="24"/>
  <c r="AA1302" i="24"/>
  <c r="AA1303" i="24"/>
  <c r="AA1304" i="24"/>
  <c r="AA1305" i="24"/>
  <c r="AA1306" i="24"/>
  <c r="AA1307" i="24"/>
  <c r="AA1308" i="24"/>
  <c r="AA1309" i="24"/>
  <c r="AA1310" i="24"/>
  <c r="AA1311" i="24"/>
  <c r="AA1312" i="24"/>
  <c r="AA1313" i="24"/>
  <c r="AA1314" i="24"/>
  <c r="AA1315" i="24"/>
  <c r="AA1316" i="24"/>
  <c r="AA1317" i="24"/>
  <c r="AA1318" i="24"/>
  <c r="AA1319" i="24"/>
  <c r="AA1320" i="24"/>
  <c r="AA1321" i="24"/>
  <c r="AA1322" i="24"/>
  <c r="AA1323" i="24"/>
  <c r="AA1324" i="24"/>
  <c r="AA1325" i="24"/>
  <c r="AA1326" i="24"/>
  <c r="AA1327" i="24"/>
  <c r="AA1328" i="24"/>
  <c r="AA1329" i="24"/>
  <c r="AA1330" i="24"/>
  <c r="AA1331" i="24"/>
  <c r="AA1332" i="24"/>
  <c r="AA1333" i="24"/>
  <c r="AA1334" i="24"/>
  <c r="AA1335" i="24"/>
  <c r="AA1336" i="24"/>
  <c r="AA1337" i="24"/>
  <c r="AA1338" i="24"/>
  <c r="AA1339" i="24"/>
  <c r="AA1340" i="24"/>
  <c r="AA1341" i="24"/>
  <c r="AA1342" i="24"/>
  <c r="AA1343" i="24"/>
  <c r="AA1344" i="24"/>
  <c r="AA1345" i="24"/>
  <c r="AA1346" i="24"/>
  <c r="AA1347" i="24"/>
  <c r="AA1348" i="24"/>
  <c r="AA1349" i="24"/>
  <c r="AA1350" i="24"/>
  <c r="AA1351" i="24"/>
  <c r="AA1352" i="24"/>
  <c r="AA1353" i="24"/>
  <c r="AA1354" i="24"/>
  <c r="AA1355" i="24"/>
  <c r="AA1356" i="24"/>
  <c r="AA1357" i="24"/>
  <c r="AA1358" i="24"/>
  <c r="AA1359" i="24"/>
  <c r="AA1360" i="24"/>
  <c r="AA1361" i="24"/>
  <c r="AA1362" i="24"/>
  <c r="AA1363" i="24"/>
  <c r="AA1364" i="24"/>
  <c r="AA1365" i="24"/>
  <c r="AA1366" i="24"/>
  <c r="AA1367" i="24"/>
  <c r="AA1368" i="24"/>
  <c r="AA1369" i="24"/>
  <c r="AA1370" i="24"/>
  <c r="AA1371" i="24"/>
  <c r="AA1372" i="24"/>
  <c r="AA1373" i="24"/>
  <c r="AA1374" i="24"/>
  <c r="AA1375" i="24"/>
  <c r="AA1376" i="24"/>
  <c r="AA1377" i="24"/>
  <c r="AA1378" i="24"/>
  <c r="AA1379" i="24"/>
  <c r="AA1380" i="24"/>
  <c r="AA1381" i="24"/>
  <c r="AA1382" i="24"/>
  <c r="AA1383" i="24"/>
  <c r="AA1384" i="24"/>
  <c r="AA1385" i="24"/>
  <c r="AA1386" i="24"/>
  <c r="AA1387" i="24"/>
  <c r="AA1388" i="24"/>
  <c r="AA1389" i="24"/>
  <c r="AA1390" i="24"/>
  <c r="AA1391" i="24"/>
  <c r="AA1392" i="24"/>
  <c r="AA1393" i="24"/>
  <c r="AA1394" i="24"/>
  <c r="AA1395" i="24"/>
  <c r="AA1396" i="24"/>
  <c r="AA1397" i="24"/>
  <c r="AA1398" i="24"/>
  <c r="AA1399" i="24"/>
  <c r="AA1400" i="24"/>
  <c r="AA1401" i="24"/>
  <c r="AA1402" i="24"/>
  <c r="AA1403" i="24"/>
  <c r="AA1404" i="24"/>
  <c r="AA1405" i="24"/>
  <c r="AA1406" i="24"/>
  <c r="AA1407" i="24"/>
  <c r="AA1408" i="24"/>
  <c r="AA1409" i="24"/>
  <c r="AA1410" i="24"/>
  <c r="AA1411" i="24"/>
  <c r="AA1412" i="24"/>
  <c r="AA1413" i="24"/>
  <c r="AA1414" i="24"/>
  <c r="AA1415" i="24"/>
  <c r="AA1416" i="24"/>
  <c r="AA1417" i="24"/>
  <c r="AA1418" i="24"/>
  <c r="AA1419" i="24"/>
  <c r="AA1420" i="24"/>
  <c r="AA1421" i="24"/>
  <c r="AA1422" i="24"/>
  <c r="AA1423" i="24"/>
  <c r="AA1424" i="24"/>
  <c r="AA1425" i="24"/>
  <c r="AA1426" i="24"/>
  <c r="AA1427" i="24"/>
  <c r="AA1428" i="24"/>
  <c r="AA1429" i="24"/>
  <c r="AA1430" i="24"/>
  <c r="AA1431" i="24"/>
  <c r="AA1432" i="24"/>
  <c r="AA1433" i="24"/>
  <c r="AA1434" i="24"/>
  <c r="AA1435" i="24"/>
  <c r="AA1436" i="24"/>
  <c r="AA1437" i="24"/>
  <c r="AA1438" i="24"/>
  <c r="AA1439" i="24"/>
  <c r="AA1440" i="24"/>
  <c r="AA1441" i="24"/>
  <c r="AA1442" i="24"/>
  <c r="AA1443" i="24"/>
  <c r="AA1444" i="24"/>
  <c r="AA1445" i="24"/>
  <c r="AA1446" i="24"/>
  <c r="AA1447" i="24"/>
  <c r="AA1448" i="24"/>
  <c r="AA1449" i="24"/>
  <c r="AA1450" i="24"/>
  <c r="AA1451" i="24"/>
  <c r="AA1452" i="24"/>
  <c r="AA1453" i="24"/>
  <c r="AA1454" i="24"/>
  <c r="AA1455" i="24"/>
  <c r="AA1456" i="24"/>
  <c r="AA1457" i="24"/>
  <c r="AA1458" i="24"/>
  <c r="AA1459" i="24"/>
  <c r="AA1460" i="24"/>
  <c r="AA1461" i="24"/>
  <c r="AA1462" i="24"/>
  <c r="AA1463" i="24"/>
  <c r="AA1464" i="24"/>
  <c r="AA1465" i="24"/>
  <c r="AA1466" i="24"/>
  <c r="AA1467" i="24"/>
  <c r="AA1468" i="24"/>
  <c r="AA1469" i="24"/>
  <c r="AA1470" i="24"/>
  <c r="AA1471" i="24"/>
  <c r="AA1472" i="24"/>
  <c r="AA1473" i="24"/>
  <c r="AA1474" i="24"/>
  <c r="AA1475" i="24"/>
  <c r="AA1476" i="24"/>
  <c r="AA1477" i="24"/>
  <c r="AA1478" i="24"/>
  <c r="AA1479" i="24"/>
  <c r="AA1480" i="24"/>
  <c r="AA1481" i="24"/>
  <c r="AA1482" i="24"/>
  <c r="AA1483" i="24"/>
  <c r="AA1484" i="24"/>
  <c r="AA1485" i="24"/>
  <c r="AA1486" i="24"/>
  <c r="AA1487" i="24"/>
  <c r="AA1488" i="24"/>
  <c r="AA1489" i="24"/>
  <c r="AA1490" i="24"/>
  <c r="AA1491" i="24"/>
  <c r="AA1492" i="24"/>
  <c r="AA1493" i="24"/>
  <c r="AA1494" i="24"/>
  <c r="AA1495" i="24"/>
  <c r="AA1496" i="24"/>
  <c r="AA1497" i="24"/>
  <c r="AA1498" i="24"/>
  <c r="AA1499" i="24"/>
  <c r="AA1500" i="24"/>
  <c r="AA1501" i="24"/>
  <c r="AA1502" i="24"/>
  <c r="AA1503" i="24"/>
  <c r="AA1504" i="24"/>
  <c r="AA1505" i="24"/>
  <c r="AA1506" i="24"/>
  <c r="AA1507" i="24"/>
  <c r="AA1508" i="24"/>
  <c r="AA1509" i="24"/>
  <c r="AA1510" i="24"/>
  <c r="AA1511" i="24"/>
  <c r="AA1512" i="24"/>
  <c r="AA1513" i="24"/>
  <c r="AA1514" i="24"/>
  <c r="AA1515" i="24"/>
  <c r="AA1516" i="24"/>
  <c r="AA1517" i="24"/>
  <c r="AA1518" i="24"/>
  <c r="AA1519" i="24"/>
  <c r="AA1520" i="24"/>
  <c r="AA1521" i="24"/>
  <c r="AA1522" i="24"/>
  <c r="AA1523" i="24"/>
  <c r="AA1524" i="24"/>
  <c r="AA1525" i="24"/>
  <c r="AA1526" i="24"/>
  <c r="AA1527" i="24"/>
  <c r="AA1528" i="24"/>
  <c r="AA1529" i="24"/>
  <c r="AA1530" i="24"/>
  <c r="AA1531" i="24"/>
  <c r="AA1532" i="24"/>
  <c r="AA1533" i="24"/>
  <c r="AA1534" i="24"/>
  <c r="AA1535" i="24"/>
  <c r="AA1536" i="24"/>
  <c r="AA1537" i="24"/>
  <c r="AA1538" i="24"/>
  <c r="AA1539" i="24"/>
  <c r="AA1540" i="24"/>
  <c r="AA1541" i="24"/>
  <c r="AA1542" i="24"/>
  <c r="AA1543" i="24"/>
  <c r="AA1544" i="24"/>
  <c r="AA1545" i="24"/>
  <c r="AA1546" i="24"/>
  <c r="AA1547" i="24"/>
  <c r="AA1548" i="24"/>
  <c r="AA1549" i="24"/>
  <c r="AA1550" i="24"/>
  <c r="AA1551" i="24"/>
  <c r="AA1552" i="24"/>
  <c r="AA1553" i="24"/>
  <c r="AA1554" i="24"/>
  <c r="AA1555" i="24"/>
  <c r="AA1556" i="24"/>
  <c r="AA1557" i="24"/>
  <c r="AA1558" i="24"/>
  <c r="AA1559" i="24"/>
  <c r="AA1560" i="24"/>
  <c r="AA1561" i="24"/>
  <c r="AA1562" i="24"/>
  <c r="AA1563" i="24"/>
  <c r="AA1564" i="24"/>
  <c r="AA1565" i="24"/>
  <c r="AA1566" i="24"/>
  <c r="AA1567" i="24"/>
  <c r="AA1568" i="24"/>
  <c r="AA1569" i="24"/>
  <c r="AA1570" i="24"/>
  <c r="AA1571" i="24"/>
  <c r="AA1572" i="24"/>
  <c r="AA1573" i="24"/>
  <c r="AA1574" i="24"/>
  <c r="AA1575" i="24"/>
  <c r="AA1576" i="24"/>
  <c r="AA1577" i="24"/>
  <c r="AA1578" i="24"/>
  <c r="AA1579" i="24"/>
  <c r="AA1580" i="24"/>
  <c r="AA1581" i="24"/>
  <c r="AA1582" i="24"/>
  <c r="AA1583" i="24"/>
  <c r="AA1584" i="24"/>
  <c r="AA1585" i="24"/>
  <c r="AA1586" i="24"/>
  <c r="AA1587" i="24"/>
  <c r="AA1588" i="24"/>
  <c r="AA1589" i="24"/>
  <c r="AA1590" i="24"/>
  <c r="AA1591" i="24"/>
  <c r="AA1592" i="24"/>
  <c r="AA1593" i="24"/>
  <c r="AA1594" i="24"/>
  <c r="AA1595" i="24"/>
  <c r="AA1596" i="24"/>
  <c r="AA1597" i="24"/>
  <c r="AA1598" i="24"/>
  <c r="AA1599" i="24"/>
  <c r="AA1600" i="24"/>
  <c r="AA1601" i="24"/>
  <c r="AA1602" i="24"/>
  <c r="AA1603" i="24"/>
  <c r="AA1604" i="24"/>
  <c r="AA1605" i="24"/>
  <c r="AA1606" i="24"/>
  <c r="AA1607" i="24"/>
  <c r="AA1608" i="24"/>
  <c r="AA1609" i="24"/>
  <c r="AA1610" i="24"/>
  <c r="AA1611" i="24"/>
  <c r="AA1612" i="24"/>
  <c r="AA1613" i="24"/>
  <c r="AA1614" i="24"/>
  <c r="AA1615" i="24"/>
  <c r="AA1616" i="24"/>
  <c r="AA1617" i="24"/>
  <c r="AA1618" i="24"/>
  <c r="AA1619" i="24"/>
  <c r="AA1620" i="24"/>
  <c r="AA1621" i="24"/>
  <c r="AA1622" i="24"/>
  <c r="AA1623" i="24"/>
  <c r="AA1624" i="24"/>
  <c r="AA1625" i="24"/>
  <c r="AA1626" i="24"/>
  <c r="AA1627" i="24"/>
  <c r="AA1628" i="24"/>
  <c r="AA1629" i="24"/>
  <c r="AA1630" i="24"/>
  <c r="AA1631" i="24"/>
  <c r="AA1632" i="24"/>
  <c r="AA1633" i="24"/>
  <c r="AA1634" i="24"/>
  <c r="AA1635" i="24"/>
  <c r="AA1636" i="24"/>
  <c r="AA1637" i="24"/>
  <c r="AA1638" i="24"/>
  <c r="AA1639" i="24"/>
  <c r="AA1640" i="24"/>
  <c r="AA1641" i="24"/>
  <c r="AA1642" i="24"/>
  <c r="AA1643" i="24"/>
  <c r="AA1644" i="24"/>
  <c r="AA1645" i="24"/>
  <c r="AA1646" i="24"/>
  <c r="AA1647" i="24"/>
  <c r="AA1648" i="24"/>
  <c r="AA1649" i="24"/>
  <c r="AA1650" i="24"/>
  <c r="AA1651" i="24"/>
  <c r="AA1652" i="24"/>
  <c r="AA1653" i="24"/>
  <c r="AA1654" i="24"/>
  <c r="AA1655" i="24"/>
  <c r="AA1656" i="24"/>
  <c r="AA1657" i="24"/>
  <c r="AA1658" i="24"/>
  <c r="AA1659" i="24"/>
  <c r="AA1660" i="24"/>
  <c r="AA1661" i="24"/>
  <c r="AA1662" i="24"/>
  <c r="AA1663" i="24"/>
  <c r="AA1664" i="24"/>
  <c r="AA1665" i="24"/>
  <c r="AA1666" i="24"/>
  <c r="AA1667" i="24"/>
  <c r="AA1668" i="24"/>
  <c r="AA1669" i="24"/>
  <c r="AA1670" i="24"/>
  <c r="AA1671" i="24"/>
  <c r="AA1672" i="24"/>
  <c r="AA1673" i="24"/>
  <c r="AA1674" i="24"/>
  <c r="AA1675" i="24"/>
  <c r="AA1676" i="24"/>
  <c r="AA1677" i="24"/>
  <c r="AA1678" i="24"/>
  <c r="AA1679" i="24"/>
  <c r="AA1680" i="24"/>
  <c r="AA1681" i="24"/>
  <c r="AA1682" i="24"/>
  <c r="AA1683" i="24"/>
  <c r="AA1684" i="24"/>
  <c r="AA1685" i="24"/>
  <c r="AA1686" i="24"/>
  <c r="AA1687" i="24"/>
  <c r="AA1688" i="24"/>
  <c r="AA1689" i="24"/>
  <c r="AA1690" i="24"/>
  <c r="AA1691" i="24"/>
  <c r="AA1692" i="24"/>
  <c r="AA1693" i="24"/>
  <c r="AA1694" i="24"/>
  <c r="AA1695" i="24"/>
  <c r="AA1696" i="24"/>
  <c r="AA1697" i="24"/>
  <c r="AA1698" i="24"/>
  <c r="AA1699" i="24"/>
  <c r="AA1700" i="24"/>
  <c r="AA1701" i="24"/>
  <c r="AA1702" i="24"/>
  <c r="AA1703" i="24"/>
  <c r="AA1704" i="24"/>
  <c r="AA1705" i="24"/>
  <c r="AA1706" i="24"/>
  <c r="AA1707" i="24"/>
  <c r="AA1708" i="24"/>
  <c r="AA1709" i="24"/>
  <c r="AA1710" i="24"/>
  <c r="AA1711" i="24"/>
  <c r="AA1712" i="24"/>
  <c r="AA1713" i="24"/>
  <c r="AA1714" i="24"/>
  <c r="AA1715" i="24"/>
  <c r="AA1716" i="24"/>
  <c r="AA1717" i="24"/>
  <c r="AA1718" i="24"/>
  <c r="AA1719" i="24"/>
  <c r="AA1720" i="24"/>
  <c r="AA1721" i="24"/>
  <c r="AA1722" i="24"/>
  <c r="AA1723" i="24"/>
  <c r="AA1724" i="24"/>
  <c r="AA1725" i="24"/>
  <c r="AA1726" i="24"/>
  <c r="AA1727" i="24"/>
  <c r="AA1728" i="24"/>
  <c r="AA1729" i="24"/>
  <c r="AA1730" i="24"/>
  <c r="AA1731" i="24"/>
  <c r="AA1732" i="24"/>
  <c r="AA1733" i="24"/>
  <c r="AA1734" i="24"/>
  <c r="AA1735" i="24"/>
  <c r="AA1736" i="24"/>
  <c r="AA1737" i="24"/>
  <c r="AA1738" i="24"/>
  <c r="AA1739" i="24"/>
  <c r="AA1740" i="24"/>
  <c r="AA1741" i="24"/>
  <c r="AA1742" i="24"/>
  <c r="AA1743" i="24"/>
  <c r="AA1744" i="24"/>
  <c r="AA1745" i="24"/>
  <c r="AA1746" i="24"/>
  <c r="AA1747" i="24"/>
  <c r="AA1748" i="24"/>
  <c r="AA1749" i="24"/>
  <c r="AA1750" i="24"/>
  <c r="AA1751" i="24"/>
  <c r="AA1752" i="24"/>
  <c r="AA1753" i="24"/>
  <c r="AA1754" i="24"/>
  <c r="AA1755" i="24"/>
  <c r="AA1756" i="24"/>
  <c r="AA1757" i="24"/>
  <c r="AA1758" i="24"/>
  <c r="AA1759" i="24"/>
  <c r="AA1760" i="24"/>
  <c r="AA1761" i="24"/>
  <c r="AA1762" i="24"/>
  <c r="AA1763" i="24"/>
  <c r="AA1764" i="24"/>
  <c r="AA1765" i="24"/>
  <c r="AA1766" i="24"/>
  <c r="AA1767" i="24"/>
  <c r="AA1768" i="24"/>
  <c r="AA1769" i="24"/>
  <c r="AA1770" i="24"/>
  <c r="AA1771" i="24"/>
  <c r="AA1772" i="24"/>
  <c r="AA1773" i="24"/>
  <c r="AA1774" i="24"/>
  <c r="AA1775" i="24"/>
  <c r="AA1776" i="24"/>
  <c r="AA1777" i="24"/>
  <c r="AA1778" i="24"/>
  <c r="AA1779" i="24"/>
  <c r="AA1780" i="24"/>
  <c r="AA1781" i="24"/>
  <c r="AA1782" i="24"/>
  <c r="AA1783" i="24"/>
  <c r="AA1784" i="24"/>
  <c r="AA1785" i="24"/>
  <c r="AA1786" i="24"/>
  <c r="AA1787" i="24"/>
  <c r="AA1788" i="24"/>
  <c r="AA1789" i="24"/>
  <c r="AA1790" i="24"/>
  <c r="AA1791" i="24"/>
  <c r="AA1792" i="24"/>
  <c r="AA1793" i="24"/>
  <c r="AA1794" i="24"/>
  <c r="AA1795" i="24"/>
  <c r="AA1796" i="24"/>
  <c r="AA1797" i="24"/>
  <c r="AA1798" i="24"/>
  <c r="AA1799" i="24"/>
  <c r="AA1800" i="24"/>
  <c r="AA1801" i="24"/>
  <c r="AA1802" i="24"/>
  <c r="AA1803" i="24"/>
  <c r="AA1804" i="24"/>
  <c r="AA1805" i="24"/>
  <c r="AA1806" i="24"/>
  <c r="AA1807" i="24"/>
  <c r="AA1808" i="24"/>
  <c r="AA1809" i="24"/>
  <c r="AA1810" i="24"/>
  <c r="AA1811" i="24"/>
  <c r="AA1812" i="24"/>
  <c r="AA1813" i="24"/>
  <c r="AA1814" i="24"/>
  <c r="AA1815" i="24"/>
  <c r="AA1816" i="24"/>
  <c r="AA1817" i="24"/>
  <c r="AA1818" i="24"/>
  <c r="AA1819" i="24"/>
  <c r="AA1820" i="24"/>
  <c r="AA1821" i="24"/>
  <c r="AA1822" i="24"/>
  <c r="AA1823" i="24"/>
  <c r="AA1824" i="24"/>
  <c r="AA1825" i="24"/>
  <c r="AA1826" i="24"/>
  <c r="AA1827" i="24"/>
  <c r="AA1828" i="24"/>
  <c r="AA1829" i="24"/>
  <c r="AA1830" i="24"/>
  <c r="AA1831" i="24"/>
  <c r="AA1832" i="24"/>
  <c r="AA1833" i="24"/>
  <c r="AA1834" i="24"/>
  <c r="AA1835" i="24"/>
  <c r="AA1836" i="24"/>
  <c r="AA1837" i="24"/>
  <c r="AA1838" i="24"/>
  <c r="AA1839" i="24"/>
  <c r="AA1840" i="24"/>
  <c r="AA1841" i="24"/>
  <c r="AA1842" i="24"/>
  <c r="AA1843" i="24"/>
  <c r="AA1844" i="24"/>
  <c r="AA1845" i="24"/>
  <c r="AA1846" i="24"/>
  <c r="AA1847" i="24"/>
  <c r="AA1848" i="24"/>
  <c r="AA1849" i="24"/>
  <c r="AA1850" i="24"/>
  <c r="AA1851" i="24"/>
  <c r="AA1852" i="24"/>
  <c r="AA1853" i="24"/>
  <c r="AA1854" i="24"/>
  <c r="AA1855" i="24"/>
  <c r="AA1856" i="24"/>
  <c r="AA1857" i="24"/>
  <c r="AA1858" i="24"/>
  <c r="AA1859" i="24"/>
  <c r="AA1860" i="24"/>
  <c r="AA1861" i="24"/>
  <c r="AA1862" i="24"/>
  <c r="AA1863" i="24"/>
  <c r="AA1864" i="24"/>
  <c r="AA1865" i="24"/>
  <c r="AA1866" i="24"/>
  <c r="AA1867" i="24"/>
  <c r="AA1868" i="24"/>
  <c r="AA1869" i="24"/>
  <c r="AA1870" i="24"/>
  <c r="AA1871" i="24"/>
  <c r="AA1872" i="24"/>
  <c r="AA1873" i="24"/>
  <c r="AA1874" i="24"/>
  <c r="AA1875" i="24"/>
  <c r="AA1876" i="24"/>
  <c r="AA1877" i="24"/>
  <c r="AA1878" i="24"/>
  <c r="AA1879" i="24"/>
  <c r="AA1880" i="24"/>
  <c r="AA1881" i="24"/>
  <c r="AA1882" i="24"/>
  <c r="AA1883" i="24"/>
  <c r="AA1884" i="24"/>
  <c r="AA1885" i="24"/>
  <c r="AA1886" i="24"/>
  <c r="AA1887" i="24"/>
  <c r="AA1888" i="24"/>
  <c r="AA1889" i="24"/>
  <c r="AA1890" i="24"/>
  <c r="AA1891" i="24"/>
  <c r="AA1892" i="24"/>
  <c r="AA1893" i="24"/>
  <c r="AA1894" i="24"/>
  <c r="AA1895" i="24"/>
  <c r="AA1896" i="24"/>
  <c r="AA1897" i="24"/>
  <c r="AA1898" i="24"/>
  <c r="AA1899" i="24"/>
  <c r="AA1900" i="24"/>
  <c r="AA1901" i="24"/>
  <c r="AA1902" i="24"/>
  <c r="AA1903" i="24"/>
  <c r="AA1904" i="24"/>
  <c r="AA1905" i="24"/>
  <c r="AA1906" i="24"/>
  <c r="AA1907" i="24"/>
  <c r="AA1908" i="24"/>
  <c r="AA1909" i="24"/>
  <c r="AA1910" i="24"/>
  <c r="AA1911" i="24"/>
  <c r="AA1912" i="24"/>
  <c r="AA1913" i="24"/>
  <c r="AA1914" i="24"/>
  <c r="AA1915" i="24"/>
  <c r="AA1916" i="24"/>
  <c r="AA1917" i="24"/>
  <c r="AA1918" i="24"/>
  <c r="AA1919" i="24"/>
  <c r="AA1920" i="24"/>
  <c r="AA1921" i="24"/>
  <c r="AA1922" i="24"/>
  <c r="AA1923" i="24"/>
  <c r="AA1924" i="24"/>
  <c r="AA1925" i="24"/>
  <c r="AA1926" i="24"/>
  <c r="AA1927" i="24"/>
  <c r="AA1928" i="24"/>
  <c r="AA1929" i="24"/>
  <c r="AA1930" i="24"/>
  <c r="AA1931" i="24"/>
  <c r="AA1932" i="24"/>
  <c r="AA1933" i="24"/>
  <c r="AA1934" i="24"/>
  <c r="AA1935" i="24"/>
  <c r="AA1936" i="24"/>
  <c r="AA1937" i="24"/>
  <c r="AA1938" i="24"/>
  <c r="AA1939" i="24"/>
  <c r="AA1940" i="24"/>
  <c r="AA1941" i="24"/>
  <c r="AA1942" i="24"/>
  <c r="AA1943" i="24"/>
  <c r="AA1944" i="24"/>
  <c r="AA1945" i="24"/>
  <c r="AA1946" i="24"/>
  <c r="AA1947" i="24"/>
  <c r="AA1948" i="24"/>
  <c r="AA1949" i="24"/>
  <c r="AA1950" i="24"/>
  <c r="AA1951" i="24"/>
  <c r="AA1952" i="24"/>
  <c r="AA1953" i="24"/>
  <c r="AA1954" i="24"/>
  <c r="AA1955" i="24"/>
  <c r="AA1956" i="24"/>
  <c r="AA1957" i="24"/>
  <c r="AA1958" i="24"/>
  <c r="AA1959" i="24"/>
  <c r="AA1960" i="24"/>
  <c r="AA1961" i="24"/>
  <c r="AA1962" i="24"/>
  <c r="AA1963" i="24"/>
  <c r="AA1964" i="24"/>
  <c r="AA1965" i="24"/>
  <c r="AA1966" i="24"/>
  <c r="AA1967" i="24"/>
  <c r="AA1968" i="24"/>
  <c r="AA1969" i="24"/>
  <c r="AA1970" i="24"/>
  <c r="AA1971" i="24"/>
  <c r="AA1972" i="24"/>
  <c r="AA1973" i="24"/>
  <c r="AA1974" i="24"/>
  <c r="AA1975" i="24"/>
  <c r="AA1976" i="24"/>
  <c r="AA1977" i="24"/>
  <c r="AA1978" i="24"/>
  <c r="AA1979" i="24"/>
  <c r="AA1980" i="24"/>
  <c r="AA1981" i="24"/>
  <c r="AA1982" i="24"/>
  <c r="AA1983" i="24"/>
  <c r="AA1984" i="24"/>
  <c r="AA1985" i="24"/>
  <c r="AA1986" i="24"/>
  <c r="AA1987" i="24"/>
  <c r="AA1988" i="24"/>
  <c r="AA1989" i="24"/>
  <c r="AA1990" i="24"/>
  <c r="AA1991" i="24"/>
  <c r="AA1992" i="24"/>
  <c r="AA1993" i="24"/>
  <c r="AA1994" i="24"/>
  <c r="AA1995" i="24"/>
  <c r="AA1996" i="24"/>
  <c r="AA1997" i="24"/>
  <c r="AA1998" i="24"/>
  <c r="AA1999" i="24"/>
  <c r="AA2000" i="24"/>
  <c r="AA2001" i="24"/>
  <c r="AA2002" i="24"/>
  <c r="AA2003" i="24"/>
  <c r="AA2004" i="24"/>
  <c r="AA2005" i="24"/>
  <c r="AA2006" i="24"/>
  <c r="AA2007" i="24"/>
  <c r="AA2008" i="24"/>
  <c r="AA2009" i="24"/>
  <c r="AA2010" i="24"/>
  <c r="AA2011" i="24"/>
  <c r="AA2012" i="24"/>
  <c r="AA2013" i="24"/>
  <c r="AA2014" i="24"/>
  <c r="AA2015" i="24"/>
  <c r="AA2016" i="24"/>
  <c r="AA2017" i="24"/>
  <c r="AA2018" i="24"/>
  <c r="AA2019" i="24"/>
  <c r="AA2020" i="24"/>
  <c r="AA2021" i="24"/>
  <c r="AA2022" i="24"/>
  <c r="AA2023" i="24"/>
  <c r="AA2024" i="24"/>
  <c r="AA2025" i="24"/>
  <c r="AA2026" i="24"/>
  <c r="AA2027" i="24"/>
  <c r="AA2028" i="24"/>
  <c r="AA2029" i="24"/>
  <c r="AA2030" i="24"/>
  <c r="AA2031" i="24"/>
  <c r="AA2032" i="24"/>
  <c r="AA2033" i="24"/>
  <c r="AA2034" i="24"/>
  <c r="AA2035" i="24"/>
  <c r="AA2036" i="24"/>
  <c r="AA2037" i="24"/>
  <c r="AA2038" i="24"/>
  <c r="AA2039" i="24"/>
  <c r="AA2040" i="24"/>
  <c r="AA2041" i="24"/>
  <c r="AA2042" i="24"/>
  <c r="AA2043" i="24"/>
  <c r="AA2044" i="24"/>
  <c r="AA2045" i="24"/>
  <c r="AA2046" i="24"/>
  <c r="AA2047" i="24"/>
  <c r="AA2048" i="24"/>
  <c r="AA2049" i="24"/>
  <c r="AA2050" i="24"/>
  <c r="AA2051" i="24"/>
  <c r="AA2052" i="24"/>
  <c r="AA2053" i="24"/>
  <c r="AA2054" i="24"/>
  <c r="AA2055" i="24"/>
  <c r="AA2056" i="24"/>
  <c r="AA2057" i="24"/>
  <c r="AA2058" i="24"/>
  <c r="AA2059" i="24"/>
  <c r="AA2060" i="24"/>
  <c r="AA2061" i="24"/>
  <c r="AA2062" i="24"/>
  <c r="AA2063" i="24"/>
  <c r="AA2064" i="24"/>
  <c r="AA2065" i="24"/>
  <c r="AA2066" i="24"/>
  <c r="AA2067" i="24"/>
  <c r="AA2068" i="24"/>
  <c r="AA2069" i="24"/>
  <c r="AA2070" i="24"/>
  <c r="AA2071" i="24"/>
  <c r="AA2072" i="24"/>
  <c r="AA2073" i="24"/>
  <c r="AA2074" i="24"/>
  <c r="AA2075" i="24"/>
  <c r="AA2076" i="24"/>
  <c r="AA2077" i="24"/>
  <c r="AA2078" i="24"/>
  <c r="AA2079" i="24"/>
  <c r="AA2080" i="24"/>
  <c r="AA2081" i="24"/>
  <c r="AA2082" i="24"/>
  <c r="AA2083" i="24"/>
  <c r="AA2084" i="24"/>
  <c r="AA2085" i="24"/>
  <c r="AA2086" i="24"/>
  <c r="AA2087" i="24"/>
  <c r="AA2088" i="24"/>
  <c r="AA2089" i="24"/>
  <c r="AA2090" i="24"/>
  <c r="AA2091" i="24"/>
  <c r="AA2092" i="24"/>
  <c r="AA2093" i="24"/>
  <c r="AA2094" i="24"/>
  <c r="AA2095" i="24"/>
  <c r="AA2096" i="24"/>
  <c r="AA2097" i="24"/>
  <c r="AA2098" i="24"/>
  <c r="AA2099" i="24"/>
  <c r="AA2100" i="24"/>
  <c r="AA2101" i="24"/>
  <c r="AA2102" i="24"/>
  <c r="AA2103" i="24"/>
  <c r="AA2104" i="24"/>
  <c r="AA2105" i="24"/>
  <c r="AA2106" i="24"/>
  <c r="AA2107" i="24"/>
  <c r="AA2108" i="24"/>
  <c r="AA2109" i="24"/>
  <c r="AA2110" i="24"/>
  <c r="AA2111" i="24"/>
  <c r="AA2112" i="24"/>
  <c r="AA2113" i="24"/>
  <c r="AA2114" i="24"/>
  <c r="AA2115" i="24"/>
  <c r="AA2116" i="24"/>
  <c r="AA2117" i="24"/>
  <c r="AA2118" i="24"/>
  <c r="AA2119" i="24"/>
  <c r="AA2120" i="24"/>
  <c r="AA2121" i="24"/>
  <c r="AA2122" i="24"/>
  <c r="AA2123" i="24"/>
  <c r="AA2124" i="24"/>
  <c r="AA2125" i="24"/>
  <c r="AA2126" i="24"/>
  <c r="AA2127" i="24"/>
  <c r="AA2128" i="24"/>
  <c r="AA2129" i="24"/>
  <c r="AA2130" i="24"/>
  <c r="AA2131" i="24"/>
  <c r="AA2132" i="24"/>
  <c r="AA2133" i="24"/>
  <c r="AA2134" i="24"/>
  <c r="AA2135" i="24"/>
  <c r="AA2136" i="24"/>
  <c r="AA2137" i="24"/>
  <c r="AA2138" i="24"/>
  <c r="AA2139" i="24"/>
  <c r="AA2140" i="24"/>
  <c r="AA2141" i="24"/>
  <c r="AA2142" i="24"/>
  <c r="AA2143" i="24"/>
  <c r="AA2144" i="24"/>
  <c r="AA2145" i="24"/>
  <c r="AA2146" i="24"/>
  <c r="AA2147" i="24"/>
  <c r="AA2148" i="24"/>
  <c r="AA2149" i="24"/>
  <c r="AA2150" i="24"/>
  <c r="AA2151" i="24"/>
  <c r="AA2152" i="24"/>
  <c r="AA2153" i="24"/>
  <c r="AA2154" i="24"/>
  <c r="AA2155" i="24"/>
  <c r="AA2156" i="24"/>
  <c r="AA2157" i="24"/>
  <c r="AA2158" i="24"/>
  <c r="AA2159" i="24"/>
  <c r="AA2160" i="24"/>
  <c r="AA2161" i="24"/>
  <c r="AA2162" i="24"/>
  <c r="AA2163" i="24"/>
  <c r="AA2164" i="24"/>
  <c r="AA2165" i="24"/>
  <c r="AA2166" i="24"/>
  <c r="AA2167" i="24"/>
  <c r="AA2168" i="24"/>
  <c r="AA2169" i="24"/>
  <c r="AA2170" i="24"/>
  <c r="AA2171" i="24"/>
  <c r="AA2172" i="24"/>
  <c r="AA2173" i="24"/>
  <c r="AA2174" i="24"/>
  <c r="AA2175" i="24"/>
  <c r="AA2176" i="24"/>
  <c r="AA2177" i="24"/>
  <c r="AA2178" i="24"/>
  <c r="AA2179" i="24"/>
  <c r="AA2180" i="24"/>
  <c r="AA2181" i="24"/>
  <c r="AA2182" i="24"/>
  <c r="AA2183" i="24"/>
  <c r="AA2184" i="24"/>
  <c r="AA2185" i="24"/>
  <c r="AA2186" i="24"/>
  <c r="AA2187" i="24"/>
  <c r="AA2188" i="24"/>
  <c r="AA2189" i="24"/>
  <c r="AA2190" i="24"/>
  <c r="AA2191" i="24"/>
  <c r="AA2192" i="24"/>
  <c r="AA2193" i="24"/>
  <c r="AA2194" i="24"/>
  <c r="AA2195" i="24"/>
  <c r="AA2196" i="24"/>
  <c r="AA2197" i="24"/>
  <c r="AA2198" i="24"/>
  <c r="AA2199" i="24"/>
  <c r="AA2200" i="24"/>
  <c r="AA2201" i="24"/>
  <c r="AA2202" i="24"/>
  <c r="AA2203" i="24"/>
  <c r="AA2204" i="24"/>
  <c r="AA2205" i="24"/>
  <c r="AA2206" i="24"/>
  <c r="AA2207" i="24"/>
  <c r="AA2208" i="24"/>
  <c r="AA2209" i="24"/>
  <c r="AA2210" i="24"/>
  <c r="AA2211" i="24"/>
  <c r="AA2212" i="24"/>
  <c r="AA2213" i="24"/>
  <c r="AA2214" i="24"/>
  <c r="AA2215" i="24"/>
  <c r="AA2216" i="24"/>
  <c r="AA2217" i="24"/>
  <c r="AA2218" i="24"/>
  <c r="AA2219" i="24"/>
  <c r="AA2220" i="24"/>
  <c r="AA2221" i="24"/>
  <c r="AA2222" i="24"/>
  <c r="AA2223" i="24"/>
  <c r="AA2224" i="24"/>
  <c r="AA2225" i="24"/>
  <c r="AA2226" i="24"/>
  <c r="AA2227" i="24"/>
  <c r="AA2228" i="24"/>
  <c r="AA2229" i="24"/>
  <c r="AA2230" i="24"/>
  <c r="AA2231" i="24"/>
  <c r="AA2232" i="24"/>
  <c r="AA2233" i="24"/>
  <c r="AA2234" i="24"/>
  <c r="AA2235" i="24"/>
  <c r="AA2236" i="24"/>
  <c r="AA2237" i="24"/>
  <c r="AA2238" i="24"/>
  <c r="AA2239" i="24"/>
  <c r="AA2240" i="24"/>
  <c r="AA2241" i="24"/>
  <c r="AA2242" i="24"/>
  <c r="AA2243" i="24"/>
  <c r="AA2244" i="24"/>
  <c r="AA2245" i="24"/>
  <c r="AA2246" i="24"/>
  <c r="AA2247" i="24"/>
  <c r="AA2248" i="24"/>
  <c r="AA2249" i="24"/>
  <c r="AA2250" i="24"/>
  <c r="AA2251" i="24"/>
  <c r="AA2252" i="24"/>
  <c r="AA2253" i="24"/>
  <c r="AA2254" i="24"/>
  <c r="AA2255" i="24"/>
  <c r="AA2256" i="24"/>
  <c r="AA2257" i="24"/>
  <c r="AA2258" i="24"/>
  <c r="AA2259" i="24"/>
  <c r="AA2260" i="24"/>
  <c r="AA2261" i="24"/>
  <c r="AA2262" i="24"/>
  <c r="AA2263" i="24"/>
  <c r="AA2264" i="24"/>
  <c r="AA2265" i="24"/>
  <c r="AA2266" i="24"/>
  <c r="AA2267" i="24"/>
  <c r="AA2268" i="24"/>
  <c r="AA2269" i="24"/>
  <c r="AA2270" i="24"/>
  <c r="AA2271" i="24"/>
  <c r="AA2272" i="24"/>
  <c r="AA2273" i="24"/>
  <c r="AA2274" i="24"/>
  <c r="AA2275" i="24"/>
  <c r="AA2276" i="24"/>
  <c r="AA2277" i="24"/>
  <c r="AA2278" i="24"/>
  <c r="AA2279" i="24"/>
  <c r="AA2280" i="24"/>
  <c r="AA2281" i="24"/>
  <c r="AA2282" i="24"/>
  <c r="AA2283" i="24"/>
  <c r="AA2284" i="24"/>
  <c r="AA2285" i="24"/>
  <c r="AA2286" i="24"/>
  <c r="AA2287" i="24"/>
  <c r="AA2288" i="24"/>
  <c r="AA2289" i="24"/>
  <c r="AA2290" i="24"/>
  <c r="AA2291" i="24"/>
  <c r="AA2292" i="24"/>
  <c r="AA2293" i="24"/>
  <c r="AA2294" i="24"/>
  <c r="AA2295" i="24"/>
  <c r="AA2296" i="24"/>
  <c r="AA2297" i="24"/>
  <c r="AA2298" i="24"/>
  <c r="AA2299" i="24"/>
  <c r="AA2300" i="24"/>
  <c r="AA2301" i="24"/>
  <c r="AA2302" i="24"/>
  <c r="AA2303" i="24"/>
  <c r="AA2304" i="24"/>
  <c r="AA2305" i="24"/>
  <c r="AA2306" i="24"/>
  <c r="AA2307" i="24"/>
  <c r="AA2308" i="24"/>
  <c r="AA2309" i="24"/>
  <c r="AA2310" i="24"/>
  <c r="AA2311" i="24"/>
  <c r="AA2312" i="24"/>
  <c r="AA2313" i="24"/>
  <c r="AA2314" i="24"/>
  <c r="AA2315" i="24"/>
  <c r="AA2316" i="24"/>
  <c r="AA2317" i="24"/>
  <c r="AA2318" i="24"/>
  <c r="AA2319" i="24"/>
  <c r="AA2320" i="24"/>
  <c r="AA2321" i="24"/>
  <c r="AA2322" i="24"/>
  <c r="AA2323" i="24"/>
  <c r="AA2324" i="24"/>
  <c r="AA2325" i="24"/>
  <c r="AA2326" i="24"/>
  <c r="AA2327" i="24"/>
  <c r="AA2328" i="24"/>
  <c r="AA2329" i="24"/>
  <c r="AA2330" i="24"/>
  <c r="AA2331" i="24"/>
  <c r="AA2332" i="24"/>
  <c r="AA2333" i="24"/>
  <c r="AA2334" i="24"/>
  <c r="AA2335" i="24"/>
  <c r="AA2336" i="24"/>
  <c r="AA2337" i="24"/>
  <c r="AA2338" i="24"/>
  <c r="AA2339" i="24"/>
  <c r="AA2340" i="24"/>
  <c r="AA2341" i="24"/>
  <c r="AA2342" i="24"/>
  <c r="AA2343" i="24"/>
  <c r="AA2344" i="24"/>
  <c r="AA2345" i="24"/>
  <c r="AA2346" i="24"/>
  <c r="AA2347" i="24"/>
  <c r="AA2348" i="24"/>
  <c r="AA2349" i="24"/>
  <c r="AA2350" i="24"/>
  <c r="AA2351" i="24"/>
  <c r="AA2352" i="24"/>
  <c r="AA2353" i="24"/>
  <c r="AA2354" i="24"/>
  <c r="AA2355" i="24"/>
  <c r="AA2356" i="24"/>
  <c r="AA2357" i="24"/>
  <c r="AA2358" i="24"/>
  <c r="AA2359" i="24"/>
  <c r="AA2360" i="24"/>
  <c r="AA2361" i="24"/>
  <c r="AA2362" i="24"/>
  <c r="AA2363" i="24"/>
  <c r="AA2364" i="24"/>
  <c r="AA2365" i="24"/>
  <c r="AA2366" i="24"/>
  <c r="AA2367" i="24"/>
  <c r="AA2368" i="24"/>
  <c r="AA2369" i="24"/>
  <c r="AA2370" i="24"/>
  <c r="AA2371" i="24"/>
  <c r="AA2372" i="24"/>
  <c r="AA2373" i="24"/>
  <c r="AA2374" i="24"/>
  <c r="AA2375" i="24"/>
  <c r="AA2376" i="24"/>
  <c r="AA2377" i="24"/>
  <c r="AA2378" i="24"/>
  <c r="AA2379" i="24"/>
  <c r="AA2380" i="24"/>
  <c r="AA2381" i="24"/>
  <c r="AA2382" i="24"/>
  <c r="AA2383" i="24"/>
  <c r="AA2384" i="24"/>
  <c r="AA2385" i="24"/>
  <c r="AA2386" i="24"/>
  <c r="AA2387" i="24"/>
  <c r="AA2388" i="24"/>
  <c r="AA2389" i="24"/>
  <c r="AA2390" i="24"/>
  <c r="AA2391" i="24"/>
  <c r="AA2392" i="24"/>
  <c r="AA2393" i="24"/>
  <c r="AA2394" i="24"/>
  <c r="AA2395" i="24"/>
  <c r="AA2396" i="24"/>
  <c r="AA2397" i="24"/>
  <c r="AA2398" i="24"/>
  <c r="AA2399" i="24"/>
  <c r="AA2400" i="24"/>
  <c r="AA2401" i="24"/>
  <c r="AA2402" i="24"/>
  <c r="AA2403" i="24"/>
  <c r="AA2404" i="24"/>
  <c r="AA2405" i="24"/>
  <c r="AA2406" i="24"/>
  <c r="AA2407" i="24"/>
  <c r="AA2408" i="24"/>
  <c r="AA2409" i="24"/>
  <c r="AA2410" i="24"/>
  <c r="AA2411" i="24"/>
  <c r="AA2412" i="24"/>
  <c r="AA2413" i="24"/>
  <c r="AA2414" i="24"/>
  <c r="AA2415" i="24"/>
  <c r="AA2416" i="24"/>
  <c r="AA2417" i="24"/>
  <c r="AA2418" i="24"/>
  <c r="AA2419" i="24"/>
  <c r="AA2420" i="24"/>
  <c r="AA2421" i="24"/>
  <c r="AA2422" i="24"/>
  <c r="AA2423" i="24"/>
  <c r="AA2424" i="24"/>
  <c r="AA2425" i="24"/>
  <c r="AA2426" i="24"/>
  <c r="AA2427" i="24"/>
  <c r="AA2428" i="24"/>
  <c r="AA2429" i="24"/>
  <c r="AA2430" i="24"/>
  <c r="AA2431" i="24"/>
  <c r="AA2432" i="24"/>
  <c r="AA2433" i="24"/>
  <c r="AA2434" i="24"/>
  <c r="AA2435" i="24"/>
  <c r="AA2436" i="24"/>
  <c r="AA2437" i="24"/>
  <c r="AA2438" i="24"/>
  <c r="AA2439" i="24"/>
  <c r="AA2440" i="24"/>
  <c r="AA2441" i="24"/>
  <c r="AA2442" i="24"/>
  <c r="AA2443" i="24"/>
  <c r="AA2444" i="24"/>
  <c r="AA2445" i="24"/>
  <c r="AA2446" i="24"/>
  <c r="AA2447" i="24"/>
  <c r="AA2448" i="24"/>
  <c r="AA2449" i="24"/>
  <c r="AA2450" i="24"/>
  <c r="AA2451" i="24"/>
  <c r="AA2452" i="24"/>
  <c r="AA2453" i="24"/>
  <c r="AA2454" i="24"/>
  <c r="AA2455" i="24"/>
  <c r="AA2456" i="24"/>
  <c r="AA2457" i="24"/>
  <c r="AA2458" i="24"/>
  <c r="AA2459" i="24"/>
  <c r="AA2460" i="24"/>
  <c r="AA2461" i="24"/>
  <c r="AA2462" i="24"/>
  <c r="AA2463" i="24"/>
  <c r="AA2464" i="24"/>
  <c r="AA2465" i="24"/>
  <c r="AA2466" i="24"/>
  <c r="AA2467" i="24"/>
  <c r="AA2468" i="24"/>
  <c r="AA2469" i="24"/>
  <c r="AA2470" i="24"/>
  <c r="AA2471" i="24"/>
  <c r="AA2472" i="24"/>
  <c r="AA2473" i="24"/>
  <c r="AA2474" i="24"/>
  <c r="AA2475" i="24"/>
  <c r="AA2476" i="24"/>
  <c r="AA2477" i="24"/>
  <c r="AA2478" i="24"/>
  <c r="AA2479" i="24"/>
  <c r="AA2480" i="24"/>
  <c r="AA2481" i="24"/>
  <c r="AA2482" i="24"/>
  <c r="AA2483" i="24"/>
  <c r="AA2484" i="24"/>
  <c r="AA2485" i="24"/>
  <c r="AA2486" i="24"/>
  <c r="AA2487" i="24"/>
  <c r="AA2488" i="24"/>
  <c r="AA2489" i="24"/>
  <c r="AA2490" i="24"/>
  <c r="AA2491" i="24"/>
  <c r="AA2492" i="24"/>
  <c r="AA2493" i="24"/>
  <c r="AA2494" i="24"/>
  <c r="AA2495" i="24"/>
  <c r="AA2496" i="24"/>
  <c r="AA2497" i="24"/>
  <c r="AA2498" i="24"/>
  <c r="AA2499" i="24"/>
  <c r="AA2500" i="24"/>
  <c r="AA2501" i="24"/>
  <c r="AA2502" i="24"/>
  <c r="AA2503" i="24"/>
  <c r="AA2504" i="24"/>
  <c r="AA2505" i="24"/>
  <c r="AA2506" i="24"/>
  <c r="AA2507" i="24"/>
  <c r="AA2508" i="24"/>
  <c r="AA2509" i="24"/>
  <c r="AA2510" i="24"/>
  <c r="AA2511" i="24"/>
  <c r="AA2512" i="24"/>
  <c r="AA2513" i="24"/>
  <c r="AA2514" i="24"/>
  <c r="AA2515" i="24"/>
  <c r="AA2516" i="24"/>
  <c r="AA2517" i="24"/>
  <c r="AA2518" i="24"/>
  <c r="AA2519" i="24"/>
  <c r="AA2520" i="24"/>
  <c r="AA2521" i="24"/>
  <c r="AA2522" i="24"/>
  <c r="AA2523" i="24"/>
  <c r="AA2524" i="24"/>
  <c r="AA2525" i="24"/>
  <c r="AA2526" i="24"/>
  <c r="AA2527" i="24"/>
  <c r="AA2528" i="24"/>
  <c r="AA2529" i="24"/>
  <c r="AA2530" i="24"/>
  <c r="AA2531" i="24"/>
  <c r="AA2532" i="24"/>
  <c r="AA2533" i="24"/>
  <c r="AA2534" i="24"/>
  <c r="AA2535" i="24"/>
  <c r="AA2536" i="24"/>
  <c r="AA2537" i="24"/>
  <c r="AA2538" i="24"/>
  <c r="AA2539" i="24"/>
  <c r="AA2540" i="24"/>
  <c r="AA2541" i="24"/>
  <c r="AA2542" i="24"/>
  <c r="AA2543" i="24"/>
  <c r="AA2544" i="24"/>
  <c r="AA2545" i="24"/>
  <c r="AA2546" i="24"/>
  <c r="AA2547" i="24"/>
  <c r="AA2548" i="24"/>
  <c r="AA2549" i="24"/>
  <c r="AA2550" i="24"/>
  <c r="AA2551" i="24"/>
  <c r="AA2552" i="24"/>
  <c r="AA2553" i="24"/>
  <c r="AA2554" i="24"/>
  <c r="AA2555" i="24"/>
  <c r="AA2556" i="24"/>
  <c r="AA2557" i="24"/>
  <c r="AA2558" i="24"/>
  <c r="AA2559" i="24"/>
  <c r="AA2560" i="24"/>
  <c r="AA2561" i="24"/>
  <c r="AA2562" i="24"/>
  <c r="AA2563" i="24"/>
  <c r="AA2564" i="24"/>
  <c r="AA2565" i="24"/>
  <c r="AA2566" i="24"/>
  <c r="AA2567" i="24"/>
  <c r="AA2568" i="24"/>
  <c r="AA2569" i="24"/>
  <c r="AA2570" i="24"/>
  <c r="AA2571" i="24"/>
  <c r="AA2572" i="24"/>
  <c r="AA2573" i="24"/>
  <c r="AA2574" i="24"/>
  <c r="AA2575" i="24"/>
  <c r="AA2576" i="24"/>
  <c r="AA2577" i="24"/>
  <c r="AA2578" i="24"/>
  <c r="AA2579" i="24"/>
  <c r="AA2580" i="24"/>
  <c r="AA2581" i="24"/>
  <c r="AA2582" i="24"/>
  <c r="AA2583" i="24"/>
  <c r="AA2584" i="24"/>
  <c r="AA2585" i="24"/>
  <c r="AA2586" i="24"/>
  <c r="AA2587" i="24"/>
  <c r="AA2588" i="24"/>
  <c r="AA2589" i="24"/>
  <c r="AA2590" i="24"/>
  <c r="AA2591" i="24"/>
  <c r="AA2592" i="24"/>
  <c r="AA2593" i="24"/>
  <c r="AA2594" i="24"/>
  <c r="AA2595" i="24"/>
  <c r="AA2596" i="24"/>
  <c r="AA2597" i="24"/>
  <c r="AA2598" i="24"/>
  <c r="AA2599" i="24"/>
  <c r="AA2600" i="24"/>
  <c r="AA2601" i="24"/>
  <c r="AA2602" i="24"/>
  <c r="AA2603" i="24"/>
  <c r="AA2604" i="24"/>
  <c r="AA2605" i="24"/>
  <c r="AA2606" i="24"/>
  <c r="AA2607" i="24"/>
  <c r="AA2608" i="24"/>
  <c r="AA2609" i="24"/>
  <c r="AA2610" i="24"/>
  <c r="AA2611" i="24"/>
  <c r="AA2612" i="24"/>
  <c r="AA2613" i="24"/>
  <c r="AA2614" i="24"/>
  <c r="AA2615" i="24"/>
  <c r="AA2616" i="24"/>
  <c r="AA2617" i="24"/>
  <c r="AA2618" i="24"/>
  <c r="AA2619" i="24"/>
  <c r="AA2620" i="24"/>
  <c r="AA2621" i="24"/>
  <c r="AA2622" i="24"/>
  <c r="AA2623" i="24"/>
  <c r="AA2624" i="24"/>
  <c r="AA2625" i="24"/>
  <c r="AA2626" i="24"/>
  <c r="AA2627" i="24"/>
  <c r="AA2628" i="24"/>
  <c r="AA2629" i="24"/>
  <c r="AA2630" i="24"/>
  <c r="AA2631" i="24"/>
  <c r="AA2632" i="24"/>
  <c r="AA2633" i="24"/>
  <c r="AA2634" i="24"/>
  <c r="AA2635" i="24"/>
  <c r="AA2636" i="24"/>
  <c r="AA2637" i="24"/>
  <c r="AA2638" i="24"/>
  <c r="AA2639" i="24"/>
  <c r="AA2640" i="24"/>
  <c r="AA2641" i="24"/>
  <c r="AA2642" i="24"/>
  <c r="AA2643" i="24"/>
  <c r="AA2644" i="24"/>
  <c r="AA2645" i="24"/>
  <c r="AA2646" i="24"/>
  <c r="AA2647" i="24"/>
  <c r="AA2648" i="24"/>
  <c r="AA2649" i="24"/>
  <c r="AA2650" i="24"/>
  <c r="AA2651" i="24"/>
  <c r="AA2652" i="24"/>
  <c r="AA2653" i="24"/>
  <c r="AA2654" i="24"/>
  <c r="AA2655" i="24"/>
  <c r="AA2656" i="24"/>
  <c r="AA2657" i="24"/>
  <c r="AA2658" i="24"/>
  <c r="AA2659" i="24"/>
  <c r="AA2660" i="24"/>
  <c r="AA2661" i="24"/>
  <c r="AA2662" i="24"/>
  <c r="AA2663" i="24"/>
  <c r="AA2664" i="24"/>
  <c r="AA2665" i="24"/>
  <c r="AA2666" i="24"/>
  <c r="AA2667" i="24"/>
  <c r="AA2668" i="24"/>
  <c r="AA2669" i="24"/>
  <c r="AA2670" i="24"/>
  <c r="AA2671" i="24"/>
  <c r="AA2672" i="24"/>
  <c r="AA2673" i="24"/>
  <c r="AA2674" i="24"/>
  <c r="AA2675" i="24"/>
  <c r="AA2676" i="24"/>
  <c r="AA2677" i="24"/>
  <c r="AA2678" i="24"/>
  <c r="AA2679" i="24"/>
  <c r="AA2680" i="24"/>
  <c r="AA2681" i="24"/>
  <c r="AA2682" i="24"/>
  <c r="AA2683" i="24"/>
  <c r="AA2684" i="24"/>
  <c r="AA2685" i="24"/>
  <c r="AA2686" i="24"/>
  <c r="AA2687" i="24"/>
  <c r="AA2688" i="24"/>
  <c r="AA2689" i="24"/>
  <c r="AA2690" i="24"/>
  <c r="AA2691" i="24"/>
  <c r="AA2692" i="24"/>
  <c r="AA2693" i="24"/>
  <c r="AA2694" i="24"/>
  <c r="AA2695" i="24"/>
  <c r="AA2696" i="24"/>
  <c r="AA2697" i="24"/>
  <c r="AA2698" i="24"/>
  <c r="AA2699" i="24"/>
  <c r="AA2700" i="24"/>
  <c r="AA2701" i="24"/>
  <c r="AA2702" i="24"/>
  <c r="AA2703" i="24"/>
  <c r="AA2704" i="24"/>
  <c r="AA2705" i="24"/>
  <c r="AA2706" i="24"/>
  <c r="AA2707" i="24"/>
  <c r="AA2708" i="24"/>
  <c r="AA2709" i="24"/>
  <c r="AA2710" i="24"/>
  <c r="AA2711" i="24"/>
  <c r="AA2712" i="24"/>
  <c r="AA2713" i="24"/>
  <c r="AA2714" i="24"/>
  <c r="AA2715" i="24"/>
  <c r="AA2716" i="24"/>
  <c r="AA2717" i="24"/>
  <c r="AA2718" i="24"/>
  <c r="AA2719" i="24"/>
  <c r="AA2720" i="24"/>
  <c r="AA2721" i="24"/>
  <c r="AA2722" i="24"/>
  <c r="AA2723" i="24"/>
  <c r="AA2724" i="24"/>
  <c r="AA2725" i="24"/>
  <c r="AA2726" i="24"/>
  <c r="AA2727" i="24"/>
  <c r="AA2728" i="24"/>
  <c r="AA2729" i="24"/>
  <c r="AA2730" i="24"/>
  <c r="AA2731" i="24"/>
  <c r="AA2732" i="24"/>
  <c r="AA2733" i="24"/>
  <c r="AA2734" i="24"/>
  <c r="AA2735" i="24"/>
  <c r="AA2736" i="24"/>
  <c r="AA2737" i="24"/>
  <c r="AA2738" i="24"/>
  <c r="AA2739" i="24"/>
  <c r="AA2740" i="24"/>
  <c r="AA2741" i="24"/>
  <c r="AA2742" i="24"/>
  <c r="AA2743" i="24"/>
  <c r="AA2744" i="24"/>
  <c r="AA2745" i="24"/>
  <c r="AA2746" i="24"/>
  <c r="AA2747" i="24"/>
  <c r="AA2748" i="24"/>
  <c r="AA2749" i="24"/>
  <c r="AA2750" i="24"/>
  <c r="AA2751" i="24"/>
  <c r="AA2752" i="24"/>
  <c r="AA2753" i="24"/>
  <c r="AA2754" i="24"/>
  <c r="AA2755" i="24"/>
  <c r="AA2756" i="24"/>
  <c r="AA2757" i="24"/>
  <c r="AA2758" i="24"/>
  <c r="AA2759" i="24"/>
  <c r="AA2760" i="24"/>
  <c r="AA2761" i="24"/>
  <c r="AA2762" i="24"/>
  <c r="AA2763" i="24"/>
  <c r="AA2764" i="24"/>
  <c r="AA2765" i="24"/>
  <c r="AA2766" i="24"/>
  <c r="AA2767" i="24"/>
  <c r="AA2768" i="24"/>
  <c r="AA2769" i="24"/>
  <c r="AA2770" i="24"/>
  <c r="AA2771" i="24"/>
  <c r="AA2772" i="24"/>
  <c r="AA2773" i="24"/>
  <c r="AA2774" i="24"/>
  <c r="AA2775" i="24"/>
  <c r="AA2776" i="24"/>
  <c r="AA2777" i="24"/>
  <c r="AA2778" i="24"/>
  <c r="AA2779" i="24"/>
  <c r="AA2780" i="24"/>
  <c r="AA2781" i="24"/>
  <c r="AA2782" i="24"/>
  <c r="AA2783" i="24"/>
  <c r="AA2784" i="24"/>
  <c r="AA2785" i="24"/>
  <c r="AA2786" i="24"/>
  <c r="AA2787" i="24"/>
  <c r="AA2788" i="24"/>
  <c r="AA2789" i="24"/>
  <c r="AA2790" i="24"/>
  <c r="AA2791" i="24"/>
  <c r="AA2792" i="24"/>
  <c r="AA2793" i="24"/>
  <c r="AA2794" i="24"/>
  <c r="AA2795" i="24"/>
  <c r="AA2796" i="24"/>
  <c r="AA2797" i="24"/>
  <c r="AA2798" i="24"/>
  <c r="AA2799" i="24"/>
  <c r="AA2800" i="24"/>
  <c r="AA2801" i="24"/>
  <c r="AA2802" i="24"/>
  <c r="AA2803" i="24"/>
  <c r="AA2804" i="24"/>
  <c r="AA2805" i="24"/>
  <c r="AA2806" i="24"/>
  <c r="AA2807" i="24"/>
  <c r="AA2808" i="24"/>
  <c r="AA2809" i="24"/>
  <c r="AA2810" i="24"/>
  <c r="AA2811" i="24"/>
  <c r="AA2812" i="24"/>
  <c r="AA2813" i="24"/>
  <c r="AA2814" i="24"/>
  <c r="AA2815" i="24"/>
  <c r="AA2816" i="24"/>
  <c r="AA2817" i="24"/>
  <c r="AA2818" i="24"/>
  <c r="AA2819" i="24"/>
  <c r="AA2820" i="24"/>
  <c r="AA2821" i="24"/>
  <c r="AA2822" i="24"/>
  <c r="AA2823" i="24"/>
  <c r="AA2824" i="24"/>
  <c r="AA2825" i="24"/>
  <c r="AA2826" i="24"/>
  <c r="AA2827" i="24"/>
  <c r="AA2828" i="24"/>
  <c r="AA2829" i="24"/>
  <c r="AA2830" i="24"/>
  <c r="AA2831" i="24"/>
  <c r="AA2832" i="24"/>
  <c r="AA2833" i="24"/>
  <c r="AA2834" i="24"/>
  <c r="AA2835" i="24"/>
  <c r="AA2836" i="24"/>
  <c r="AA2837" i="24"/>
  <c r="AA2838" i="24"/>
  <c r="AA2839" i="24"/>
  <c r="AA2840" i="24"/>
  <c r="AA2841" i="24"/>
  <c r="AA2842" i="24"/>
  <c r="AA2843" i="24"/>
  <c r="AA2844" i="24"/>
  <c r="AA2845" i="24"/>
  <c r="AA2846" i="24"/>
  <c r="AA2847" i="24"/>
  <c r="AA2848" i="24"/>
  <c r="AA2849" i="24"/>
  <c r="AA2850" i="24"/>
  <c r="AA2851" i="24"/>
  <c r="AA2852" i="24"/>
  <c r="AA2853" i="24"/>
  <c r="AA2854" i="24"/>
  <c r="AA2855" i="24"/>
  <c r="AA2856" i="24"/>
  <c r="AA2857" i="24"/>
  <c r="AA2858" i="24"/>
  <c r="AA2859" i="24"/>
  <c r="AA2860" i="24"/>
  <c r="AA2861" i="24"/>
  <c r="AA2862" i="24"/>
  <c r="AA2863" i="24"/>
  <c r="AA2864" i="24"/>
  <c r="AA2865" i="24"/>
  <c r="AA2866" i="24"/>
  <c r="AA2867" i="24"/>
  <c r="AA2868" i="24"/>
  <c r="AA2869" i="24"/>
  <c r="AA2870" i="24"/>
  <c r="AA2871" i="24"/>
  <c r="AA2872" i="24"/>
  <c r="AA2873" i="24"/>
  <c r="AA2874" i="24"/>
  <c r="AA2875" i="24"/>
  <c r="AA2876" i="24"/>
  <c r="AA2877" i="24"/>
  <c r="AA2878" i="24"/>
  <c r="AA2879" i="24"/>
  <c r="AA2880" i="24"/>
  <c r="AA2881" i="24"/>
  <c r="AA2882" i="24"/>
  <c r="AA2883" i="24"/>
  <c r="AA2884" i="24"/>
  <c r="AA2885" i="24"/>
  <c r="AA2886" i="24"/>
  <c r="AA2887" i="24"/>
  <c r="AA2888" i="24"/>
  <c r="AA2889" i="24"/>
  <c r="AA2890" i="24"/>
  <c r="AA2891" i="24"/>
  <c r="AA2892" i="24"/>
  <c r="AA2893" i="24"/>
  <c r="AA2894" i="24"/>
  <c r="AA2895" i="24"/>
  <c r="AA2896" i="24"/>
  <c r="AA2897" i="24"/>
  <c r="AA2898" i="24"/>
  <c r="AA2899" i="24"/>
  <c r="AA2900" i="24"/>
  <c r="AA2901" i="24"/>
  <c r="AA2902" i="24"/>
  <c r="AA2903" i="24"/>
  <c r="AA2904" i="24"/>
  <c r="AA2905" i="24"/>
  <c r="AA2906" i="24"/>
  <c r="AA2907" i="24"/>
  <c r="AA2908" i="24"/>
  <c r="AA2909" i="24"/>
  <c r="AA2910" i="24"/>
  <c r="AA2911" i="24"/>
  <c r="AA2912" i="24"/>
  <c r="AA2913" i="24"/>
  <c r="AA2914" i="24"/>
  <c r="AA2915" i="24"/>
  <c r="AA2916" i="24"/>
  <c r="AA2917" i="24"/>
  <c r="AA2918" i="24"/>
  <c r="AA2919" i="24"/>
  <c r="AA2920" i="24"/>
  <c r="AA2921" i="24"/>
  <c r="AA2922" i="24"/>
  <c r="AA2923" i="24"/>
  <c r="AA2924" i="24"/>
  <c r="AA2925" i="24"/>
  <c r="AA2926" i="24"/>
  <c r="AA2927" i="24"/>
  <c r="AA2928" i="24"/>
  <c r="AA2929" i="24"/>
  <c r="AA2930" i="24"/>
  <c r="AA2931" i="24"/>
  <c r="AA2932" i="24"/>
  <c r="AA2933" i="24"/>
  <c r="AA2934" i="24"/>
  <c r="AA2935" i="24"/>
  <c r="AA2936" i="24"/>
  <c r="AA2937" i="24"/>
  <c r="AA2938" i="24"/>
  <c r="AA2939" i="24"/>
  <c r="AA2940" i="24"/>
  <c r="AA2941" i="24"/>
  <c r="AA2942" i="24"/>
  <c r="AA2943" i="24"/>
  <c r="AA2944" i="24"/>
  <c r="AA2945" i="24"/>
  <c r="AA2946" i="24"/>
  <c r="AA2947" i="24"/>
  <c r="AA2948" i="24"/>
  <c r="AA2949" i="24"/>
  <c r="AA2950" i="24"/>
  <c r="AA2951" i="24"/>
  <c r="AA2952" i="24"/>
  <c r="AA2953" i="24"/>
  <c r="AA2954" i="24"/>
  <c r="AA2955" i="24"/>
  <c r="AA2956" i="24"/>
  <c r="AA2957" i="24"/>
  <c r="AA2958" i="24"/>
  <c r="AA2959" i="24"/>
  <c r="AA2960" i="24"/>
  <c r="AA2961" i="24"/>
  <c r="AA2962" i="24"/>
  <c r="AA2963" i="24"/>
  <c r="AA2964" i="24"/>
  <c r="AA2965" i="24"/>
  <c r="AA2966" i="24"/>
  <c r="AA2967" i="24"/>
  <c r="AA2968" i="24"/>
  <c r="AA2969" i="24"/>
  <c r="AA2970" i="24"/>
  <c r="AA2971" i="24"/>
  <c r="AA2972" i="24"/>
  <c r="AA2973" i="24"/>
  <c r="AA2974" i="24"/>
  <c r="AA2975" i="24"/>
  <c r="AA2976" i="24"/>
  <c r="AA2977" i="24"/>
  <c r="AA2978" i="24"/>
  <c r="AA2979" i="24"/>
  <c r="AA2980" i="24"/>
  <c r="AA2981" i="24"/>
  <c r="AA2982" i="24"/>
  <c r="AA2983" i="24"/>
  <c r="AA2984" i="24"/>
  <c r="AA2985" i="24"/>
  <c r="AA2986" i="24"/>
  <c r="AA2987" i="24"/>
  <c r="AA2988" i="24"/>
  <c r="AA2989" i="24"/>
  <c r="AA2990" i="24"/>
  <c r="AA2991" i="24"/>
  <c r="AA2992" i="24"/>
  <c r="AA2993" i="24"/>
  <c r="AA2994" i="24"/>
  <c r="AA2995" i="24"/>
  <c r="AA2996" i="24"/>
  <c r="AA2997" i="24"/>
  <c r="AA2998" i="24"/>
  <c r="AA2999" i="24"/>
  <c r="AA3000" i="24"/>
  <c r="AA3001" i="24"/>
  <c r="AA3002" i="24"/>
  <c r="AA3003" i="24"/>
  <c r="AA3004" i="24"/>
  <c r="AA3005" i="24"/>
  <c r="AA3006" i="24"/>
  <c r="AA3007" i="24"/>
  <c r="AA3008" i="24"/>
  <c r="AA3009" i="24"/>
  <c r="AA3010" i="24"/>
  <c r="AA3011" i="24"/>
  <c r="AA3012" i="24"/>
  <c r="AA3013" i="24"/>
  <c r="AA3014" i="24"/>
  <c r="AA3015" i="24"/>
  <c r="AA3016" i="24"/>
  <c r="AA3017" i="24"/>
  <c r="AA3018" i="24"/>
  <c r="AA3019" i="24"/>
  <c r="AA3020" i="24"/>
  <c r="AA3021" i="24"/>
  <c r="AA3022" i="24"/>
  <c r="AA3023" i="24"/>
  <c r="AA3024" i="24"/>
  <c r="AA3025" i="24"/>
  <c r="AA3026" i="24"/>
  <c r="AA3027" i="24"/>
  <c r="AA3028" i="24"/>
  <c r="AA3029" i="24"/>
  <c r="AA3030" i="24"/>
  <c r="AA3031" i="24"/>
  <c r="AA3032" i="24"/>
  <c r="AA3033" i="24"/>
  <c r="AA3034" i="24"/>
  <c r="AA3035" i="24"/>
  <c r="AA3036" i="24"/>
  <c r="AA3037" i="24"/>
  <c r="AA3038" i="24"/>
  <c r="AA3039" i="24"/>
  <c r="AA3040" i="24"/>
  <c r="AA3041" i="24"/>
  <c r="AA3042" i="24"/>
  <c r="AA3043" i="24"/>
  <c r="AA3044" i="24"/>
  <c r="AA3045" i="24"/>
  <c r="AA3046" i="24"/>
  <c r="AA3047" i="24"/>
  <c r="AA3048" i="24"/>
  <c r="AA3049" i="24"/>
  <c r="AA3050" i="24"/>
  <c r="AA3051" i="24"/>
  <c r="AA3052" i="24"/>
  <c r="AA3053" i="24"/>
  <c r="AA3054" i="24"/>
  <c r="AA3055" i="24"/>
  <c r="AA3056" i="24"/>
  <c r="AA3057" i="24"/>
  <c r="AA3058" i="24"/>
  <c r="AA3059" i="24"/>
  <c r="AA3060" i="24"/>
  <c r="AA3061" i="24"/>
  <c r="AA3062" i="24"/>
  <c r="AA3063" i="24"/>
  <c r="AA3064" i="24"/>
  <c r="AA3065" i="24"/>
  <c r="AA3066" i="24"/>
  <c r="AA3067" i="24"/>
  <c r="AA3068" i="24"/>
  <c r="AA3069" i="24"/>
  <c r="AA3070" i="24"/>
  <c r="AA3071" i="24"/>
  <c r="AA3072" i="24"/>
  <c r="AA3073" i="24"/>
  <c r="AA3074" i="24"/>
  <c r="AA3075" i="24"/>
  <c r="AA3076" i="24"/>
  <c r="AA3077" i="24"/>
  <c r="AA3078" i="24"/>
  <c r="AA3079" i="24"/>
  <c r="AA3080" i="24"/>
  <c r="AA3081" i="24"/>
  <c r="AA3082" i="24"/>
  <c r="AA3083" i="24"/>
  <c r="AA3084" i="24"/>
  <c r="AA3085" i="24"/>
  <c r="AA3086" i="24"/>
  <c r="AA3087" i="24"/>
  <c r="AA3088" i="24"/>
  <c r="AA3089" i="24"/>
  <c r="AA3090" i="24"/>
  <c r="AA3091" i="24"/>
  <c r="AA3092" i="24"/>
  <c r="AA3093" i="24"/>
  <c r="AA3094" i="24"/>
  <c r="AA3095" i="24"/>
  <c r="AA3096" i="24"/>
  <c r="AA3097" i="24"/>
  <c r="AA3098" i="24"/>
  <c r="AA3099" i="24"/>
  <c r="AA3100" i="24"/>
  <c r="AA3101" i="24"/>
  <c r="AA3102" i="24"/>
  <c r="AA3103" i="24"/>
  <c r="AA3104" i="24"/>
  <c r="AA3105" i="24"/>
  <c r="AA3106" i="24"/>
  <c r="AA3107" i="24"/>
  <c r="AA3108" i="24"/>
  <c r="AA3109" i="24"/>
  <c r="AA3110" i="24"/>
  <c r="AA3111" i="24"/>
  <c r="AA3112" i="24"/>
  <c r="AA3113" i="24"/>
  <c r="AA3114" i="24"/>
  <c r="AA3115" i="24"/>
  <c r="AA3116" i="24"/>
  <c r="AA3117" i="24"/>
  <c r="AA3118" i="24"/>
  <c r="AA3119" i="24"/>
  <c r="AA3120" i="24"/>
  <c r="AA3121" i="24"/>
  <c r="AA3122" i="24"/>
  <c r="AA3123" i="24"/>
  <c r="AA3124" i="24"/>
  <c r="AA3125" i="24"/>
  <c r="AA3126" i="24"/>
  <c r="AA3127" i="24"/>
  <c r="AA3128" i="24"/>
  <c r="AA3129" i="24"/>
  <c r="AA3130" i="24"/>
  <c r="AA3131" i="24"/>
  <c r="AA3132" i="24"/>
  <c r="AA3133" i="24"/>
  <c r="AA3134" i="24"/>
  <c r="AA3135" i="24"/>
  <c r="AA3136" i="24"/>
  <c r="AA3137" i="24"/>
  <c r="AA3138" i="24"/>
  <c r="AA3139" i="24"/>
  <c r="AA3140" i="24"/>
  <c r="AA3141" i="24"/>
  <c r="AA3142" i="24"/>
  <c r="AA3143" i="24"/>
  <c r="AA3144" i="24"/>
  <c r="AA3145" i="24"/>
  <c r="AA3146" i="24"/>
  <c r="AA3147" i="24"/>
  <c r="AA3148" i="24"/>
  <c r="AA3149" i="24"/>
  <c r="AA3150" i="24"/>
  <c r="AA3151" i="24"/>
  <c r="AA3152" i="24"/>
  <c r="AA3153" i="24"/>
  <c r="AA3154" i="24"/>
  <c r="AA3155" i="24"/>
  <c r="AA3156" i="24"/>
  <c r="AA3157" i="24"/>
  <c r="AA3158" i="24"/>
  <c r="AA3159" i="24"/>
  <c r="AA3160" i="24"/>
  <c r="AA3161" i="24"/>
  <c r="AA3162" i="24"/>
  <c r="AA3163" i="24"/>
  <c r="AA3164" i="24"/>
  <c r="AA3165" i="24"/>
  <c r="AA3166" i="24"/>
  <c r="AA3167" i="24"/>
  <c r="AA3168" i="24"/>
  <c r="AA3169" i="24"/>
  <c r="AA3170" i="24"/>
  <c r="AA3171" i="24"/>
  <c r="AA3172" i="24"/>
  <c r="AA3173" i="24"/>
  <c r="AA3174" i="24"/>
  <c r="AA3175" i="24"/>
  <c r="AA3176" i="24"/>
  <c r="AA3177" i="24"/>
  <c r="AA3178" i="24"/>
  <c r="AA3179" i="24"/>
  <c r="AA3180" i="24"/>
  <c r="AA3181" i="24"/>
  <c r="AA3182" i="24"/>
  <c r="AA3183" i="24"/>
  <c r="AA3184" i="24"/>
  <c r="AA3185" i="24"/>
  <c r="AA3186" i="24"/>
  <c r="AA3187" i="24"/>
  <c r="AA3188" i="24"/>
  <c r="AA3189" i="24"/>
  <c r="AA3190" i="24"/>
  <c r="AA3191" i="24"/>
  <c r="AA3192" i="24"/>
  <c r="AA3193" i="24"/>
  <c r="AA3194" i="24"/>
  <c r="AA3195" i="24"/>
  <c r="AA3196" i="24"/>
  <c r="AA3197" i="24"/>
  <c r="AA3198" i="24"/>
  <c r="AA3199" i="24"/>
  <c r="AA3200" i="24"/>
  <c r="AA3201" i="24"/>
  <c r="AA3202" i="24"/>
  <c r="AA3203" i="24"/>
  <c r="AA3204" i="24"/>
  <c r="AA3205" i="24"/>
  <c r="AA3206" i="24"/>
  <c r="AA3207" i="24"/>
  <c r="AA3208" i="24"/>
  <c r="AA3209" i="24"/>
  <c r="AA3210" i="24"/>
  <c r="AA3211" i="24"/>
  <c r="AA3212" i="24"/>
  <c r="AA3213" i="24"/>
  <c r="AA3214" i="24"/>
  <c r="AA3215" i="24"/>
  <c r="AA3216" i="24"/>
  <c r="AA3217" i="24"/>
  <c r="AA3218" i="24"/>
  <c r="AA3219" i="24"/>
  <c r="AA3220" i="24"/>
  <c r="AA3221" i="24"/>
  <c r="AA3222" i="24"/>
  <c r="AA3223" i="24"/>
  <c r="AA3224" i="24"/>
  <c r="AA3225" i="24"/>
  <c r="AA3226" i="24"/>
  <c r="AA3227" i="24"/>
  <c r="AA3228" i="24"/>
  <c r="AA3229" i="24"/>
  <c r="AA3230" i="24"/>
  <c r="AA3231" i="24"/>
  <c r="AA3232" i="24"/>
  <c r="AA3233" i="24"/>
  <c r="AA3234" i="24"/>
  <c r="AA3235" i="24"/>
  <c r="AA3236" i="24"/>
  <c r="AA3237" i="24"/>
  <c r="AA3238" i="24"/>
  <c r="AA3239" i="24"/>
  <c r="AA3240" i="24"/>
  <c r="AA3241" i="24"/>
  <c r="AA3242" i="24"/>
  <c r="AA3243" i="24"/>
  <c r="AA3244" i="24"/>
  <c r="AA3245" i="24"/>
  <c r="AA3246" i="24"/>
  <c r="AA3247" i="24"/>
  <c r="AA3248" i="24"/>
  <c r="AA3249" i="24"/>
  <c r="AA3250" i="24"/>
  <c r="AA3251" i="24"/>
  <c r="AA3252" i="24"/>
  <c r="AA3253" i="24"/>
  <c r="AA3254" i="24"/>
  <c r="AA3255" i="24"/>
  <c r="AA3256" i="24"/>
  <c r="AA3257" i="24"/>
  <c r="AA3258" i="24"/>
  <c r="AA3259" i="24"/>
  <c r="AA3260" i="24"/>
  <c r="AA3261" i="24"/>
  <c r="AA3262" i="24"/>
  <c r="AA3263" i="24"/>
  <c r="AA3264" i="24"/>
  <c r="AA3265" i="24"/>
  <c r="AA3266" i="24"/>
  <c r="AA3267" i="24"/>
  <c r="AA3268" i="24"/>
  <c r="AA3269" i="24"/>
  <c r="AA3270" i="24"/>
  <c r="AA3271" i="24"/>
  <c r="AA3272" i="24"/>
  <c r="AA3273" i="24"/>
  <c r="AA3274" i="24"/>
  <c r="AA3275" i="24"/>
  <c r="AA3276" i="24"/>
  <c r="AA3277" i="24"/>
  <c r="AA3278" i="24"/>
  <c r="AA3279" i="24"/>
  <c r="AA3280" i="24"/>
  <c r="AA3281" i="24"/>
  <c r="AA3282" i="24"/>
  <c r="AA3283" i="24"/>
  <c r="AA3284" i="24"/>
  <c r="AA3285" i="24"/>
  <c r="AA3286" i="24"/>
  <c r="AA3287" i="24"/>
  <c r="AA3288" i="24"/>
  <c r="AA3289" i="24"/>
  <c r="AA3290" i="24"/>
  <c r="AA3291" i="24"/>
  <c r="AA3292" i="24"/>
  <c r="AA3293" i="24"/>
  <c r="AA3294" i="24"/>
  <c r="AA3295" i="24"/>
  <c r="AA3296" i="24"/>
  <c r="AA3297" i="24"/>
  <c r="AA3298" i="24"/>
  <c r="AA3299" i="24"/>
  <c r="AA3300" i="24"/>
  <c r="AA3301" i="24"/>
  <c r="AA3302" i="24"/>
  <c r="AA3303" i="24"/>
  <c r="AA3304" i="24"/>
  <c r="AA3305" i="24"/>
  <c r="AA3306" i="24"/>
  <c r="AA3307" i="24"/>
  <c r="AA3308" i="24"/>
  <c r="AA3309" i="24"/>
  <c r="AA3310" i="24"/>
  <c r="AA3311" i="24"/>
  <c r="AA3312" i="24"/>
  <c r="AA3313" i="24"/>
  <c r="AA3314" i="24"/>
  <c r="AA3315" i="24"/>
  <c r="AA3316" i="24"/>
  <c r="AA3317" i="24"/>
  <c r="AA3318" i="24"/>
  <c r="AA3319" i="24"/>
  <c r="AA3320" i="24"/>
  <c r="AA3321" i="24"/>
  <c r="AA3322" i="24"/>
  <c r="AA3323" i="24"/>
  <c r="AA3324" i="24"/>
  <c r="AA3325" i="24"/>
  <c r="AA3326" i="24"/>
  <c r="AA3327" i="24"/>
  <c r="AA3328" i="24"/>
  <c r="AA3329" i="24"/>
  <c r="AA3330" i="24"/>
  <c r="AA3331" i="24"/>
  <c r="AA3332" i="24"/>
  <c r="AA3333" i="24"/>
  <c r="AA3334" i="24"/>
  <c r="AA3335" i="24"/>
  <c r="AA3336" i="24"/>
  <c r="AA3337" i="24"/>
  <c r="AA3338" i="24"/>
  <c r="AA3339" i="24"/>
  <c r="AA3340" i="24"/>
  <c r="AA3341" i="24"/>
  <c r="AA3342" i="24"/>
  <c r="AA3343" i="24"/>
  <c r="AA3344" i="24"/>
  <c r="AA3345" i="24"/>
  <c r="AA3346" i="24"/>
  <c r="AA3347" i="24"/>
  <c r="AA3348" i="24"/>
  <c r="AA3349" i="24"/>
  <c r="AA3350" i="24"/>
  <c r="AA3351" i="24"/>
  <c r="AA3352" i="24"/>
  <c r="AA3353" i="24"/>
  <c r="AA3354" i="24"/>
  <c r="AA3355" i="24"/>
  <c r="AA3356" i="24"/>
  <c r="AA3357" i="24"/>
  <c r="AA3358" i="24"/>
  <c r="AA3359" i="24"/>
  <c r="AA3360" i="24"/>
  <c r="AA3361" i="24"/>
  <c r="AA3362" i="24"/>
  <c r="AA3363" i="24"/>
  <c r="AA3364" i="24"/>
  <c r="AA3365" i="24"/>
  <c r="AA3366" i="24"/>
  <c r="AA3367" i="24"/>
  <c r="AA3368" i="24"/>
  <c r="AA3369" i="24"/>
  <c r="AA3370" i="24"/>
  <c r="AA3371" i="24"/>
  <c r="AA3372" i="24"/>
  <c r="AA3373" i="24"/>
  <c r="AA3374" i="24"/>
  <c r="AA3375" i="24"/>
  <c r="AA3376" i="24"/>
  <c r="AA3377" i="24"/>
  <c r="AA3378" i="24"/>
  <c r="AA3379" i="24"/>
  <c r="AA3380" i="24"/>
  <c r="AA3381" i="24"/>
  <c r="AA3382" i="24"/>
  <c r="AA3383" i="24"/>
  <c r="AA3384" i="24"/>
  <c r="AA3385" i="24"/>
  <c r="AA3386" i="24"/>
  <c r="AA3387" i="24"/>
  <c r="AA3388" i="24"/>
  <c r="AA3389" i="24"/>
  <c r="AA3390" i="24"/>
  <c r="AA3391" i="24"/>
  <c r="AA3392" i="24"/>
  <c r="AA3393" i="24"/>
  <c r="AA3394" i="24"/>
  <c r="AA3395" i="24"/>
  <c r="AA3396" i="24"/>
  <c r="AA3397" i="24"/>
  <c r="AA3398" i="24"/>
  <c r="AA3399" i="24"/>
  <c r="AA3400" i="24"/>
  <c r="AA3401" i="24"/>
  <c r="AA3402" i="24"/>
  <c r="AA3403" i="24"/>
  <c r="AA3404" i="24"/>
  <c r="AA3405" i="24"/>
  <c r="AA3406" i="24"/>
  <c r="AA3407" i="24"/>
  <c r="AA3408" i="24"/>
  <c r="AA3409" i="24"/>
  <c r="AA3410" i="24"/>
  <c r="AA3411" i="24"/>
  <c r="AA3412" i="24"/>
  <c r="AA3413" i="24"/>
  <c r="AA3414" i="24"/>
  <c r="AA3415" i="24"/>
  <c r="AA3416" i="24"/>
  <c r="AA3417" i="24"/>
  <c r="AA3418" i="24"/>
  <c r="AA3419" i="24"/>
  <c r="AA3420" i="24"/>
  <c r="AA3421" i="24"/>
  <c r="AA3422" i="24"/>
  <c r="AA3423" i="24"/>
  <c r="AA3424" i="24"/>
  <c r="AA3425" i="24"/>
  <c r="AA3426" i="24"/>
  <c r="AA3427" i="24"/>
  <c r="AA3428" i="24"/>
  <c r="AA3429" i="24"/>
  <c r="AA3430" i="24"/>
  <c r="AA3431" i="24"/>
  <c r="AA3432" i="24"/>
  <c r="AA3433" i="24"/>
  <c r="AA3434" i="24"/>
  <c r="AA3435" i="24"/>
  <c r="AA3436" i="24"/>
  <c r="AA3437" i="24"/>
  <c r="AA3438" i="24"/>
  <c r="AA3439" i="24"/>
  <c r="AA3440" i="24"/>
  <c r="AA3441" i="24"/>
  <c r="AA3442" i="24"/>
  <c r="AA3443" i="24"/>
  <c r="AA3444" i="24"/>
  <c r="AA3445" i="24"/>
  <c r="AA3446" i="24"/>
  <c r="AA3447" i="24"/>
  <c r="AA3448" i="24"/>
  <c r="AA3449" i="24"/>
  <c r="AA3450" i="24"/>
  <c r="AA3451" i="24"/>
  <c r="AA3452" i="24"/>
  <c r="AA3453" i="24"/>
  <c r="AA3454" i="24"/>
  <c r="AA3455" i="24"/>
  <c r="AA3456" i="24"/>
  <c r="AA3457" i="24"/>
  <c r="AA3458" i="24"/>
  <c r="AA3459" i="24"/>
  <c r="AA3460" i="24"/>
  <c r="AA3461" i="24"/>
  <c r="AA3462" i="24"/>
  <c r="AA3463" i="24"/>
  <c r="AA3464" i="24"/>
  <c r="AA3465" i="24"/>
  <c r="AA3466" i="24"/>
  <c r="AA3467" i="24"/>
  <c r="AA3468" i="24"/>
  <c r="AA3469" i="24"/>
  <c r="AA3470" i="24"/>
  <c r="AA3471" i="24"/>
  <c r="AA3472" i="24"/>
  <c r="AA3473" i="24"/>
  <c r="AA3474" i="24"/>
  <c r="AA3475" i="24"/>
  <c r="AA3476" i="24"/>
  <c r="AA3477" i="24"/>
  <c r="AA3478" i="24"/>
  <c r="AA3479" i="24"/>
  <c r="AA3480" i="24"/>
  <c r="AA3481" i="24"/>
  <c r="AA3482" i="24"/>
  <c r="AA3483" i="24"/>
  <c r="AA3484" i="24"/>
  <c r="AA3485" i="24"/>
  <c r="AA3486" i="24"/>
  <c r="AA3487" i="24"/>
  <c r="AA3488" i="24"/>
  <c r="AA3489" i="24"/>
  <c r="AA3490" i="24"/>
  <c r="AA3491" i="24"/>
  <c r="AA3492" i="24"/>
  <c r="AA3493" i="24"/>
  <c r="AA3494" i="24"/>
  <c r="AA3495" i="24"/>
  <c r="AA3496" i="24"/>
  <c r="AA3497" i="24"/>
  <c r="AA3498" i="24"/>
  <c r="AA3499" i="24"/>
  <c r="AA3500" i="24"/>
  <c r="AA3501" i="24"/>
  <c r="AA3502" i="24"/>
  <c r="AA3503" i="24"/>
  <c r="AA3504" i="24"/>
  <c r="AA3505" i="24"/>
  <c r="AA3506" i="24"/>
  <c r="AA3507" i="24"/>
  <c r="AA3508" i="24"/>
  <c r="AA3509" i="24"/>
  <c r="AA3510" i="24"/>
  <c r="AA3511" i="24"/>
  <c r="AA3512" i="24"/>
  <c r="AA3513" i="24"/>
  <c r="AA3514" i="24"/>
  <c r="AA3515" i="24"/>
  <c r="AA3516" i="24"/>
  <c r="AA3517" i="24"/>
  <c r="AA3518" i="24"/>
  <c r="AA3519" i="24"/>
  <c r="AA3520" i="24"/>
  <c r="AA3521" i="24"/>
  <c r="AA3522" i="24"/>
  <c r="AA3523" i="24"/>
  <c r="AA3524" i="24"/>
  <c r="AA3525" i="24"/>
  <c r="AA3526" i="24"/>
  <c r="AA3527" i="24"/>
  <c r="AA3528" i="24"/>
  <c r="AA3529" i="24"/>
  <c r="AA3530" i="24"/>
  <c r="AA3531" i="24"/>
  <c r="AA3532" i="24"/>
  <c r="AA3533" i="24"/>
  <c r="AA3534" i="24"/>
  <c r="AA3535" i="24"/>
  <c r="AA3536" i="24"/>
  <c r="AA3537" i="24"/>
  <c r="AA3538" i="24"/>
  <c r="AA3539" i="24"/>
  <c r="AA3540" i="24"/>
  <c r="AA3541" i="24"/>
  <c r="AA3542" i="24"/>
  <c r="AA3543" i="24"/>
  <c r="AA3544" i="24"/>
  <c r="AA3545" i="24"/>
  <c r="AA3546" i="24"/>
  <c r="AA3547" i="24"/>
  <c r="AA3548" i="24"/>
  <c r="AA3549" i="24"/>
  <c r="AA3550" i="24"/>
  <c r="AA3551" i="24"/>
  <c r="AA3552" i="24"/>
  <c r="AA3553" i="24"/>
  <c r="AA3554" i="24"/>
  <c r="AA3555" i="24"/>
  <c r="AA3556" i="24"/>
  <c r="AA3557" i="24"/>
  <c r="AA3558" i="24"/>
  <c r="AA3559" i="24"/>
  <c r="AA3560" i="24"/>
  <c r="AA3561" i="24"/>
  <c r="AA3562" i="24"/>
  <c r="AA3563" i="24"/>
  <c r="AA3564" i="24"/>
  <c r="AA3565" i="24"/>
  <c r="AA3566" i="24"/>
  <c r="AA3567" i="24"/>
  <c r="AA3568" i="24"/>
  <c r="AA3569" i="24"/>
  <c r="AA3570" i="24"/>
  <c r="AA3571" i="24"/>
  <c r="AA3572" i="24"/>
  <c r="AA3573" i="24"/>
  <c r="AA3574" i="24"/>
  <c r="AA3575" i="24"/>
  <c r="AA3576" i="24"/>
  <c r="AA3577" i="24"/>
  <c r="AA3578" i="24"/>
  <c r="AA3579" i="24"/>
  <c r="AA3580" i="24"/>
  <c r="AA3581" i="24"/>
  <c r="AA3582" i="24"/>
  <c r="AA3583" i="24"/>
  <c r="AA3584" i="24"/>
  <c r="AA3585" i="24"/>
  <c r="AA3586" i="24"/>
  <c r="AA3587" i="24"/>
  <c r="AA3588" i="24"/>
  <c r="AA3589" i="24"/>
  <c r="AA3590" i="24"/>
  <c r="AA3591" i="24"/>
  <c r="AA3592" i="24"/>
  <c r="AA3593" i="24"/>
  <c r="AA3594" i="24"/>
  <c r="AA3595" i="24"/>
  <c r="AA3596" i="24"/>
  <c r="AA3597" i="24"/>
  <c r="AA3598" i="24"/>
  <c r="AA3599" i="24"/>
  <c r="AA3600" i="24"/>
  <c r="AA3601" i="24"/>
  <c r="AA3602" i="24"/>
  <c r="AA3603" i="24"/>
  <c r="AA3604" i="24"/>
  <c r="AA3605" i="24"/>
  <c r="AA3606" i="24"/>
  <c r="AA3607" i="24"/>
  <c r="AA3608" i="24"/>
  <c r="AA3609" i="24"/>
  <c r="AA3610" i="24"/>
  <c r="AA3611" i="24"/>
  <c r="AA3612" i="24"/>
  <c r="AA3613" i="24"/>
  <c r="AA3614" i="24"/>
  <c r="AA3615" i="24"/>
  <c r="AA3616" i="24"/>
  <c r="AA3617" i="24"/>
  <c r="AA3618" i="24"/>
  <c r="AA3619" i="24"/>
  <c r="AA3620" i="24"/>
  <c r="AA3621" i="24"/>
  <c r="AA3622" i="24"/>
  <c r="AA3623" i="24"/>
  <c r="AA3624" i="24"/>
  <c r="AA3625" i="24"/>
  <c r="AA3626" i="24"/>
  <c r="AA3627" i="24"/>
  <c r="AA3628" i="24"/>
  <c r="AA3629" i="24"/>
  <c r="AA3630" i="24"/>
  <c r="AA3631" i="24"/>
  <c r="AA3632" i="24"/>
  <c r="AA3633" i="24"/>
  <c r="AA3634" i="24"/>
  <c r="AA3635" i="24"/>
  <c r="AA3636" i="24"/>
  <c r="AA3637" i="24"/>
  <c r="AA3638" i="24"/>
  <c r="AA3639" i="24"/>
  <c r="AA3640" i="24"/>
  <c r="AA3641" i="24"/>
  <c r="AA3642" i="24"/>
  <c r="AA3643" i="24"/>
  <c r="AA3644" i="24"/>
  <c r="AA3645" i="24"/>
  <c r="AA3646" i="24"/>
  <c r="AA3647" i="24"/>
  <c r="AA3648" i="24"/>
  <c r="AA3649" i="24"/>
  <c r="AA3650" i="24"/>
  <c r="AA3651" i="24"/>
  <c r="AA3652" i="24"/>
  <c r="AA3653" i="24"/>
  <c r="AA3654" i="24"/>
  <c r="AA3655" i="24"/>
  <c r="AA3656" i="24"/>
  <c r="AA3657" i="24"/>
  <c r="AA3658" i="24"/>
  <c r="AA3659" i="24"/>
  <c r="AA3660" i="24"/>
  <c r="AA3661" i="24"/>
  <c r="AA3662" i="24"/>
  <c r="AA3663" i="24"/>
  <c r="AA3664" i="24"/>
  <c r="AA3665" i="24"/>
  <c r="AA3666" i="24"/>
  <c r="AA3667" i="24"/>
  <c r="AA3668" i="24"/>
  <c r="AA3669" i="24"/>
  <c r="AA3670" i="24"/>
  <c r="AA3671" i="24"/>
  <c r="AA3672" i="24"/>
  <c r="AA3673" i="24"/>
  <c r="AA3674" i="24"/>
  <c r="AA3675" i="24"/>
  <c r="AA3676" i="24"/>
  <c r="AA3677" i="24"/>
  <c r="AA3678" i="24"/>
  <c r="AA3679" i="24"/>
  <c r="AA3680" i="24"/>
  <c r="AA3681" i="24"/>
  <c r="AA3682" i="24"/>
  <c r="AA3683" i="24"/>
  <c r="AA3684" i="24"/>
  <c r="AA3685" i="24"/>
  <c r="AA3686" i="24"/>
  <c r="AA3687" i="24"/>
  <c r="AA3688" i="24"/>
  <c r="AA3689" i="24"/>
  <c r="AA3690" i="24"/>
  <c r="AA3691" i="24"/>
  <c r="AA3692" i="24"/>
  <c r="AA3693" i="24"/>
  <c r="AA3694" i="24"/>
  <c r="AA3695" i="24"/>
  <c r="AA3696" i="24"/>
  <c r="AA3697" i="24"/>
  <c r="AA3698" i="24"/>
  <c r="AA3699" i="24"/>
  <c r="AA3700" i="24"/>
  <c r="AA3701" i="24"/>
  <c r="AA3702" i="24"/>
  <c r="AA3703" i="24"/>
  <c r="AA3704" i="24"/>
  <c r="AA3705" i="24"/>
  <c r="AA3706" i="24"/>
  <c r="AA3707" i="24"/>
  <c r="AA3708" i="24"/>
  <c r="AA3709" i="24"/>
  <c r="AA3710" i="24"/>
  <c r="AA3711" i="24"/>
  <c r="AA3712" i="24"/>
  <c r="AA3713" i="24"/>
  <c r="AA3714" i="24"/>
  <c r="AA3715" i="24"/>
  <c r="AA3716" i="24"/>
  <c r="AA3717" i="24"/>
  <c r="AA3718" i="24"/>
  <c r="AA3719" i="24"/>
  <c r="AA3720" i="24"/>
  <c r="AA3721" i="24"/>
  <c r="AA3722" i="24"/>
  <c r="AA3723" i="24"/>
  <c r="AA3724" i="24"/>
  <c r="AA3725" i="24"/>
  <c r="AA3726" i="24"/>
  <c r="AA3727" i="24"/>
  <c r="AA3728" i="24"/>
  <c r="AA3729" i="24"/>
  <c r="AA3730" i="24"/>
  <c r="AA3731" i="24"/>
  <c r="AA3732" i="24"/>
  <c r="AA3733" i="24"/>
  <c r="AA3734" i="24"/>
  <c r="AA3735" i="24"/>
  <c r="AA3736" i="24"/>
  <c r="AA3737" i="24"/>
  <c r="AA3738" i="24"/>
  <c r="AA3739" i="24"/>
  <c r="AA3740" i="24"/>
  <c r="AA3741" i="24"/>
  <c r="AA3742" i="24"/>
  <c r="AA3743" i="24"/>
  <c r="AA3744" i="24"/>
  <c r="AA3745" i="24"/>
  <c r="AA3746" i="24"/>
  <c r="AA3747" i="24"/>
  <c r="AA3748" i="24"/>
  <c r="AA3749" i="24"/>
  <c r="AA3750" i="24"/>
  <c r="AA3751" i="24"/>
  <c r="AA3752" i="24"/>
  <c r="AA3753" i="24"/>
  <c r="AA3754" i="24"/>
  <c r="AA3755" i="24"/>
  <c r="AA3756" i="24"/>
  <c r="AA3757" i="24"/>
  <c r="AA3758" i="24"/>
  <c r="AA3759" i="24"/>
  <c r="AA3760" i="24"/>
  <c r="AA3761" i="24"/>
  <c r="AA3762" i="24"/>
  <c r="AA3763" i="24"/>
  <c r="AA3764" i="24"/>
  <c r="AA3765" i="24"/>
  <c r="AA3766" i="24"/>
  <c r="AA3767" i="24"/>
  <c r="AA3768" i="24"/>
  <c r="AA3769" i="24"/>
  <c r="AA3770" i="24"/>
  <c r="AA3771" i="24"/>
  <c r="AA3772" i="24"/>
  <c r="AA3773" i="24"/>
  <c r="AA3774" i="24"/>
  <c r="AA3775" i="24"/>
  <c r="AA3776" i="24"/>
  <c r="AA3777" i="24"/>
  <c r="AA3778" i="24"/>
  <c r="AA3779" i="24"/>
  <c r="AA3780" i="24"/>
  <c r="AA3781" i="24"/>
  <c r="AA3782" i="24"/>
  <c r="AA3783" i="24"/>
  <c r="AA3784" i="24"/>
  <c r="AA3785" i="24"/>
  <c r="AA3786" i="24"/>
  <c r="AA3787" i="24"/>
  <c r="AA3788" i="24"/>
  <c r="AA3789" i="24"/>
  <c r="AA3790" i="24"/>
  <c r="AA3791" i="24"/>
  <c r="AA3792" i="24"/>
  <c r="AA3793" i="24"/>
  <c r="AA3794" i="24"/>
  <c r="AA3795" i="24"/>
  <c r="AA3796" i="24"/>
  <c r="AA3797" i="24"/>
  <c r="AA3798" i="24"/>
  <c r="AA3799" i="24"/>
  <c r="AA3800" i="24"/>
  <c r="AA3801" i="24"/>
  <c r="AA3802" i="24"/>
  <c r="AA3803" i="24"/>
  <c r="AA3804" i="24"/>
  <c r="AA3805" i="24"/>
  <c r="AA3806" i="24"/>
  <c r="AA3807" i="24"/>
  <c r="AA3808" i="24"/>
  <c r="AA3809" i="24"/>
  <c r="AA3810" i="24"/>
  <c r="AA3811" i="24"/>
  <c r="AA3812" i="24"/>
  <c r="AA3813" i="24"/>
  <c r="AA3814" i="24"/>
  <c r="AA3815" i="24"/>
  <c r="AA3816" i="24"/>
  <c r="AA3817" i="24"/>
  <c r="AA3818" i="24"/>
  <c r="AA3819" i="24"/>
  <c r="AA3820" i="24"/>
  <c r="AA3821" i="24"/>
  <c r="AA3822" i="24"/>
  <c r="AA3823" i="24"/>
  <c r="AA3824" i="24"/>
  <c r="AA3825" i="24"/>
  <c r="AA3826" i="24"/>
  <c r="AA3827" i="24"/>
  <c r="AA3828" i="24"/>
  <c r="AA3829" i="24"/>
  <c r="AA3830" i="24"/>
  <c r="AA3831" i="24"/>
  <c r="AA3832" i="24"/>
  <c r="AA3833" i="24"/>
  <c r="AA3834" i="24"/>
  <c r="AA3835" i="24"/>
  <c r="AA3836" i="24"/>
  <c r="AA3837" i="24"/>
  <c r="AA3838" i="24"/>
  <c r="AA3839" i="24"/>
  <c r="AA3840" i="24"/>
  <c r="AA3841" i="24"/>
  <c r="AA3842" i="24"/>
  <c r="AA3843" i="24"/>
  <c r="AA3844" i="24"/>
  <c r="AA3845" i="24"/>
  <c r="AA3846" i="24"/>
  <c r="AA3847" i="24"/>
  <c r="AA3848" i="24"/>
  <c r="AA3849" i="24"/>
  <c r="AA3850" i="24"/>
  <c r="AA3851" i="24"/>
  <c r="AA3852" i="24"/>
  <c r="AA3853" i="24"/>
  <c r="AA3854" i="24"/>
  <c r="AA3855" i="24"/>
  <c r="AA3856" i="24"/>
  <c r="AA3857" i="24"/>
  <c r="AA3858" i="24"/>
  <c r="AA3859" i="24"/>
  <c r="AA3860" i="24"/>
  <c r="AA3861" i="24"/>
  <c r="AA3862" i="24"/>
  <c r="AA3863" i="24"/>
  <c r="AA3864" i="24"/>
  <c r="AA3865" i="24"/>
  <c r="AA3866" i="24"/>
  <c r="AA3867" i="24"/>
  <c r="AA3868" i="24"/>
  <c r="AA3869" i="24"/>
  <c r="AA3870" i="24"/>
  <c r="AA3871" i="24"/>
  <c r="AA3872" i="24"/>
  <c r="AA3873" i="24"/>
  <c r="AA3874" i="24"/>
  <c r="AA3875" i="24"/>
  <c r="AA3876" i="24"/>
  <c r="AA3877" i="24"/>
  <c r="AA3878" i="24"/>
  <c r="AA3879" i="24"/>
  <c r="AA3880" i="24"/>
  <c r="AA3881" i="24"/>
  <c r="AA3882" i="24"/>
  <c r="AA3883" i="24"/>
  <c r="AA3884" i="24"/>
  <c r="AA3885" i="24"/>
  <c r="AA3886" i="24"/>
  <c r="AA3887" i="24"/>
  <c r="AA3888" i="24"/>
  <c r="AA3889" i="24"/>
  <c r="AA3890" i="24"/>
  <c r="AA3891" i="24"/>
  <c r="AA3892" i="24"/>
  <c r="AA3893" i="24"/>
  <c r="AA3894" i="24"/>
  <c r="AA3895" i="24"/>
  <c r="AA3896" i="24"/>
  <c r="AA3897" i="24"/>
  <c r="AA3898" i="24"/>
  <c r="AA3899" i="24"/>
  <c r="AA3900" i="24"/>
  <c r="AA3901" i="24"/>
  <c r="AA3902" i="24"/>
  <c r="AA3903" i="24"/>
  <c r="AA3904" i="24"/>
  <c r="AA3905" i="24"/>
  <c r="AA3906" i="24"/>
  <c r="AA3907" i="24"/>
  <c r="AA3908" i="24"/>
  <c r="AA3909" i="24"/>
  <c r="AA3910" i="24"/>
  <c r="AA3911" i="24"/>
  <c r="AA3912" i="24"/>
  <c r="AA3913" i="24"/>
  <c r="AA3914" i="24"/>
  <c r="AA3915" i="24"/>
  <c r="AA3916" i="24"/>
  <c r="AA3917" i="24"/>
  <c r="AA3918" i="24"/>
  <c r="AA3919" i="24"/>
  <c r="AA3920" i="24"/>
  <c r="AA3921" i="24"/>
  <c r="AA3922" i="24"/>
  <c r="AA3923" i="24"/>
  <c r="AA3924" i="24"/>
  <c r="AA3925" i="24"/>
  <c r="AA3926" i="24"/>
  <c r="AA3927" i="24"/>
  <c r="AA3928" i="24"/>
  <c r="AA3929" i="24"/>
  <c r="AA3930" i="24"/>
  <c r="AA3931" i="24"/>
  <c r="AA3932" i="24"/>
  <c r="AA3933" i="24"/>
  <c r="AA3934" i="24"/>
  <c r="AA3935" i="24"/>
  <c r="AA3936" i="24"/>
  <c r="AA3937" i="24"/>
  <c r="AA3938" i="24"/>
  <c r="AA3939" i="24"/>
  <c r="AA3940" i="24"/>
  <c r="AA3941" i="24"/>
  <c r="AA3942" i="24"/>
  <c r="AA3943" i="24"/>
  <c r="AA3944" i="24"/>
  <c r="AA3945" i="24"/>
  <c r="AA3946" i="24"/>
  <c r="AA3947" i="24"/>
  <c r="AA3948" i="24"/>
  <c r="AA3949" i="24"/>
  <c r="AA3950" i="24"/>
  <c r="AA3951" i="24"/>
  <c r="AA3952" i="24"/>
  <c r="AA3953" i="24"/>
  <c r="AA3954" i="24"/>
  <c r="AA3955" i="24"/>
  <c r="AA3956" i="24"/>
  <c r="AA3957" i="24"/>
  <c r="AA3958" i="24"/>
  <c r="AA3959" i="24"/>
  <c r="AA3960" i="24"/>
  <c r="AA3961" i="24"/>
  <c r="AA3962" i="24"/>
  <c r="AA3963" i="24"/>
  <c r="AA3964" i="24"/>
  <c r="AA3965" i="24"/>
  <c r="AA3966" i="24"/>
  <c r="AA3967" i="24"/>
  <c r="AA3968" i="24"/>
  <c r="AA3969" i="24"/>
  <c r="AA3970" i="24"/>
  <c r="AA3971" i="24"/>
  <c r="AA3972" i="24"/>
  <c r="AA3975" i="24"/>
  <c r="AA3976" i="24"/>
  <c r="AA3977" i="24"/>
  <c r="AA3978" i="24"/>
  <c r="AA3979" i="24"/>
  <c r="AA3980" i="24"/>
  <c r="AA3981" i="24"/>
  <c r="AA3982" i="24"/>
  <c r="AA3983" i="24"/>
  <c r="AA3984" i="24"/>
  <c r="AA3985" i="24"/>
  <c r="AA3986" i="24"/>
  <c r="AA3987" i="24"/>
  <c r="AA3988" i="24"/>
  <c r="AA3989" i="24"/>
  <c r="AA3990" i="24"/>
  <c r="AA3991" i="24"/>
  <c r="AA3992" i="24"/>
  <c r="AA3993" i="24"/>
  <c r="AA3994" i="24"/>
  <c r="AA3995" i="24"/>
  <c r="AA3996" i="24"/>
  <c r="AA3997" i="24"/>
  <c r="AA3998" i="24"/>
  <c r="AA3999" i="24"/>
  <c r="AA4000" i="24"/>
  <c r="AA4001" i="24"/>
  <c r="AA4002" i="24"/>
  <c r="AA4003" i="24"/>
  <c r="AA4004" i="24"/>
  <c r="AA4005" i="24"/>
  <c r="AA4006" i="24"/>
  <c r="AA4007" i="24"/>
  <c r="AA4008" i="24"/>
  <c r="AA4009" i="24"/>
  <c r="AA4010" i="24"/>
  <c r="AA4011" i="24"/>
  <c r="AA4012" i="24"/>
  <c r="AA4013" i="24"/>
  <c r="AA4014" i="24"/>
  <c r="AA4015" i="24"/>
  <c r="AA4016" i="24"/>
  <c r="AA4017" i="24"/>
  <c r="AA4018" i="24"/>
  <c r="AA4019" i="24"/>
  <c r="AA4020" i="24"/>
  <c r="AA4021" i="24"/>
  <c r="AA4022" i="24"/>
  <c r="AA4023" i="24"/>
  <c r="AA4024" i="24"/>
  <c r="AA4025" i="24"/>
  <c r="AA4026" i="24"/>
  <c r="AA4027" i="24"/>
  <c r="AA4028" i="24"/>
  <c r="AA4029" i="24"/>
  <c r="AA4030" i="24"/>
  <c r="AA4031" i="24"/>
  <c r="AA4032" i="24"/>
  <c r="AA4033" i="24"/>
  <c r="AA4034" i="24"/>
  <c r="AA4035" i="24"/>
  <c r="AA4036" i="24"/>
  <c r="AA4037" i="24"/>
  <c r="AA4038" i="24"/>
  <c r="AA4039" i="24"/>
  <c r="AA4040" i="24"/>
  <c r="AA4041" i="24"/>
  <c r="AA4042" i="24"/>
  <c r="AA4043" i="24"/>
  <c r="AA4044" i="24"/>
  <c r="AA4045" i="24"/>
  <c r="AA4046" i="24"/>
  <c r="AA4048" i="24"/>
  <c r="AA4049" i="24"/>
  <c r="AA4050" i="24"/>
  <c r="AA4051" i="24"/>
  <c r="AA4052" i="24"/>
  <c r="AA4053" i="24"/>
  <c r="AA4054" i="24"/>
  <c r="AA4055" i="24"/>
  <c r="AA4056" i="24"/>
  <c r="AA4057" i="24"/>
  <c r="AA4058" i="24"/>
  <c r="AA4059" i="24"/>
  <c r="AA4060" i="24"/>
  <c r="AA4061" i="24"/>
  <c r="AA4062" i="24"/>
  <c r="AA4063" i="24"/>
  <c r="AA4064" i="24"/>
  <c r="AA4065" i="24"/>
  <c r="AA4066" i="24"/>
  <c r="AA4067" i="24"/>
  <c r="AA4068" i="24"/>
  <c r="AA4069" i="24"/>
  <c r="AA4070" i="24"/>
  <c r="AA4071" i="24"/>
  <c r="AA4072" i="24"/>
  <c r="AA4073" i="24"/>
  <c r="AA4074" i="24"/>
  <c r="AA4075" i="24"/>
  <c r="AA4076" i="24"/>
  <c r="AA4077" i="24"/>
  <c r="AA4078" i="24"/>
  <c r="AA4079" i="24"/>
  <c r="AA4080" i="24"/>
  <c r="AA4081" i="24"/>
  <c r="AA4082" i="24"/>
  <c r="AA4083" i="24"/>
  <c r="AA4084" i="24"/>
  <c r="AA4085" i="24"/>
  <c r="AA4086" i="24"/>
  <c r="AA4087" i="24"/>
  <c r="AA4088" i="24"/>
  <c r="AA4089" i="24"/>
  <c r="AA4090" i="24"/>
  <c r="AA4091" i="24"/>
  <c r="AA4092" i="24"/>
  <c r="AA4093" i="24"/>
  <c r="AA4094" i="24"/>
  <c r="AA4095" i="24"/>
  <c r="AA4096" i="24"/>
  <c r="AA4097" i="24"/>
  <c r="AA4098" i="24"/>
  <c r="AA4099" i="24"/>
  <c r="AA4100" i="24"/>
  <c r="AA4101" i="24"/>
  <c r="AA4102" i="24"/>
  <c r="AA4103" i="24"/>
  <c r="AA4104" i="24"/>
  <c r="AA4105" i="24"/>
  <c r="AA4106" i="24"/>
  <c r="AA4107" i="24"/>
  <c r="AA4108" i="24"/>
  <c r="AA4109" i="24"/>
  <c r="AA4110" i="24"/>
  <c r="AA4111" i="24"/>
  <c r="AA4112" i="24"/>
  <c r="AA4113" i="24"/>
  <c r="AA4114" i="24"/>
  <c r="AA4115" i="24"/>
  <c r="AA4116" i="24"/>
  <c r="AA4117" i="24"/>
  <c r="AA4118" i="24"/>
  <c r="AA4119" i="24"/>
  <c r="AA4120" i="24"/>
  <c r="AA4121" i="24"/>
  <c r="AA4122" i="24"/>
  <c r="AA4123" i="24"/>
  <c r="AA4124" i="24"/>
  <c r="AA4125" i="24"/>
  <c r="AA4126" i="24"/>
  <c r="AA4127" i="24"/>
  <c r="AA4128" i="24"/>
  <c r="AA4129" i="24"/>
  <c r="AA4130" i="24"/>
  <c r="AA4131" i="24"/>
  <c r="AA4132" i="24"/>
  <c r="AA4133" i="24"/>
  <c r="AA4134" i="24"/>
  <c r="AA4135" i="24"/>
  <c r="AA4136" i="24"/>
  <c r="AA4137" i="24"/>
  <c r="AA4138" i="24"/>
  <c r="AA4139" i="24"/>
  <c r="AA4140" i="24"/>
  <c r="AA4141" i="24"/>
  <c r="AA4142" i="24"/>
  <c r="AA4143" i="24"/>
  <c r="AA4144" i="24"/>
  <c r="AA4145" i="24"/>
  <c r="AA4146" i="24"/>
  <c r="AA4147" i="24"/>
  <c r="AA4148" i="24"/>
  <c r="AA4149" i="24"/>
  <c r="AA4150" i="24"/>
  <c r="AA4151" i="24"/>
  <c r="AA4152" i="24"/>
  <c r="AA4153" i="24"/>
  <c r="AA4154" i="24"/>
  <c r="AA4155" i="24"/>
  <c r="AA4156" i="24"/>
  <c r="AA4157" i="24"/>
  <c r="AA4158" i="24"/>
  <c r="AA4159" i="24"/>
  <c r="AA4160" i="24"/>
  <c r="AA4161" i="24"/>
  <c r="AA4162" i="24"/>
  <c r="AA4163" i="24"/>
  <c r="AA4164" i="24"/>
  <c r="AA4165" i="24"/>
  <c r="AA4166" i="24"/>
  <c r="AA4167" i="24"/>
  <c r="AA4168" i="24"/>
  <c r="AA4169" i="24"/>
  <c r="AA4170" i="24"/>
  <c r="AA4171" i="24"/>
  <c r="AA4172" i="24"/>
  <c r="AA4173" i="24"/>
  <c r="AA4174" i="24"/>
  <c r="AA4175" i="24"/>
  <c r="AA4176" i="24"/>
  <c r="AA4177" i="24"/>
  <c r="B4177" i="24" l="1"/>
  <c r="M4177" i="24"/>
  <c r="P4177" i="24"/>
  <c r="Q4177" i="24"/>
  <c r="V4177" i="24"/>
  <c r="B4176" i="24" l="1"/>
  <c r="M4176" i="24"/>
  <c r="P4176" i="24"/>
  <c r="Q4176" i="24"/>
  <c r="V4176" i="24"/>
  <c r="AA33" i="5"/>
  <c r="AA34" i="5"/>
  <c r="AA35" i="5"/>
  <c r="M33" i="5"/>
  <c r="M34" i="5"/>
  <c r="M35" i="5"/>
  <c r="B33" i="5"/>
  <c r="B34" i="5"/>
  <c r="B35" i="5"/>
  <c r="B963" i="8" l="1"/>
  <c r="N963" i="8"/>
  <c r="Q963" i="8"/>
  <c r="R963" i="8"/>
  <c r="AB963" i="8"/>
  <c r="P8" i="24" l="1"/>
  <c r="B4170" i="24"/>
  <c r="M4170" i="24"/>
  <c r="P4170" i="24"/>
  <c r="Q4170" i="24"/>
  <c r="V4170" i="24"/>
  <c r="B4171" i="24"/>
  <c r="M4171" i="24"/>
  <c r="P4171" i="24"/>
  <c r="Q4171" i="24"/>
  <c r="V4171" i="24"/>
  <c r="B4175" i="24"/>
  <c r="M4175" i="24"/>
  <c r="P4175" i="24"/>
  <c r="Q4175" i="24"/>
  <c r="V4175" i="24"/>
  <c r="B8" i="24"/>
  <c r="M8" i="24"/>
  <c r="Q8" i="24"/>
  <c r="V8" i="24"/>
  <c r="B9" i="24"/>
  <c r="M9" i="24"/>
  <c r="P9" i="24"/>
  <c r="Q9" i="24"/>
  <c r="V9" i="24"/>
  <c r="B4172" i="24"/>
  <c r="M4172" i="24"/>
  <c r="P4172" i="24"/>
  <c r="Q4172" i="24"/>
  <c r="V4172" i="24"/>
  <c r="B4150" i="24" l="1"/>
  <c r="M4150" i="24"/>
  <c r="P4150" i="24"/>
  <c r="Q4150" i="24"/>
  <c r="V4150" i="24"/>
  <c r="B4151" i="24"/>
  <c r="M4151" i="24"/>
  <c r="P4151" i="24"/>
  <c r="Q4151" i="24"/>
  <c r="V4151" i="24"/>
  <c r="B962" i="8"/>
  <c r="N962" i="8"/>
  <c r="Q962" i="8"/>
  <c r="R962" i="8"/>
  <c r="AB962" i="8"/>
  <c r="M4174" i="24" l="1"/>
  <c r="B4174" i="24"/>
  <c r="P4174" i="24"/>
  <c r="Q4174" i="24"/>
  <c r="V4174" i="24"/>
  <c r="P4173" i="24"/>
  <c r="Q4173" i="24"/>
  <c r="V4173" i="24"/>
  <c r="V4169" i="24"/>
  <c r="Q4169" i="24"/>
  <c r="P4169" i="24"/>
  <c r="M4169" i="24"/>
  <c r="B4169" i="24"/>
  <c r="V4163" i="24"/>
  <c r="Q4163" i="24"/>
  <c r="P4163" i="24"/>
  <c r="M4163" i="24"/>
  <c r="B4163" i="24"/>
  <c r="V4164" i="24"/>
  <c r="Q4164" i="24"/>
  <c r="P4164" i="24"/>
  <c r="M4164" i="24"/>
  <c r="B4164" i="24"/>
  <c r="V4165" i="24"/>
  <c r="Q4165" i="24"/>
  <c r="P4165" i="24"/>
  <c r="M4165" i="24"/>
  <c r="B4165" i="24"/>
  <c r="AA185" i="5"/>
  <c r="B185" i="5"/>
  <c r="V4168" i="24"/>
  <c r="Q4168" i="24"/>
  <c r="P4168" i="24"/>
  <c r="M4168" i="24"/>
  <c r="B4168" i="24"/>
  <c r="AB890" i="9"/>
  <c r="R890" i="9"/>
  <c r="Q890" i="9"/>
  <c r="N890" i="9"/>
  <c r="B890" i="9"/>
  <c r="AB959" i="8" l="1"/>
  <c r="R959" i="8"/>
  <c r="Q959" i="8"/>
  <c r="N959" i="8"/>
  <c r="B959" i="8"/>
  <c r="AA404" i="3"/>
  <c r="Q404" i="3"/>
  <c r="P404" i="3"/>
  <c r="M404" i="3"/>
  <c r="B404" i="3"/>
  <c r="AA405" i="3"/>
  <c r="Q405" i="3"/>
  <c r="P405" i="3"/>
  <c r="M405" i="3"/>
  <c r="B405" i="3"/>
  <c r="AA406" i="3"/>
  <c r="Q406" i="3"/>
  <c r="P406" i="3"/>
  <c r="M406" i="3"/>
  <c r="B406" i="3"/>
  <c r="AA407" i="3"/>
  <c r="Q407" i="3"/>
  <c r="P407" i="3"/>
  <c r="M407" i="3"/>
  <c r="B407" i="3"/>
  <c r="AA408" i="3"/>
  <c r="Q408" i="3"/>
  <c r="P408" i="3"/>
  <c r="M408" i="3"/>
  <c r="B408" i="3"/>
  <c r="AA409" i="3"/>
  <c r="Q409" i="3"/>
  <c r="P409" i="3"/>
  <c r="M409" i="3"/>
  <c r="B409" i="3"/>
  <c r="AB889" i="9"/>
  <c r="R889" i="9"/>
  <c r="Q889" i="9"/>
  <c r="N889" i="9"/>
  <c r="B889" i="9"/>
  <c r="V4125" i="24" l="1"/>
  <c r="Q4125" i="24"/>
  <c r="P4125" i="24"/>
  <c r="M4125" i="24"/>
  <c r="B4125" i="24"/>
  <c r="V4126" i="24"/>
  <c r="Q4126" i="24"/>
  <c r="P4126" i="24"/>
  <c r="M4126" i="24"/>
  <c r="B4126" i="24"/>
  <c r="V4135" i="24"/>
  <c r="Q4135" i="24"/>
  <c r="P4135" i="24"/>
  <c r="M4135" i="24"/>
  <c r="B4135" i="24"/>
  <c r="V4136" i="24"/>
  <c r="Q4136" i="24"/>
  <c r="P4136" i="24"/>
  <c r="M4136" i="24"/>
  <c r="B4136" i="24"/>
  <c r="V4118" i="24"/>
  <c r="Q4118" i="24"/>
  <c r="P4118" i="24"/>
  <c r="M4118" i="24"/>
  <c r="B4118" i="24"/>
  <c r="V4117" i="24"/>
  <c r="Q4117" i="24"/>
  <c r="P4117" i="24"/>
  <c r="M4117" i="24"/>
  <c r="B4117" i="24"/>
  <c r="V4139" i="24"/>
  <c r="Q4139" i="24"/>
  <c r="P4139" i="24"/>
  <c r="M4139" i="24"/>
  <c r="B4139" i="24"/>
  <c r="V4140" i="24"/>
  <c r="Q4140" i="24"/>
  <c r="P4140" i="24"/>
  <c r="M4140" i="24"/>
  <c r="B4140" i="24"/>
  <c r="V4158" i="24"/>
  <c r="Q4158" i="24"/>
  <c r="P4158" i="24"/>
  <c r="M4158" i="24"/>
  <c r="B4158" i="24"/>
  <c r="V4159" i="24"/>
  <c r="Q4159" i="24"/>
  <c r="P4159" i="24"/>
  <c r="M4159" i="24"/>
  <c r="B4159" i="24"/>
  <c r="P4167" i="24" l="1"/>
  <c r="Q4167" i="24"/>
  <c r="V4167" i="24"/>
  <c r="B4166" i="24" l="1"/>
  <c r="M4166" i="24"/>
  <c r="P4166" i="24"/>
  <c r="Q4166" i="24"/>
  <c r="V4166" i="24"/>
  <c r="B888" i="9" l="1"/>
  <c r="N888" i="9"/>
  <c r="Q888" i="9"/>
  <c r="R888" i="9"/>
  <c r="AB888" i="9"/>
  <c r="B4162" i="24" l="1"/>
  <c r="M4162" i="24"/>
  <c r="P4162" i="24"/>
  <c r="Q4162" i="24"/>
  <c r="V4162" i="24"/>
  <c r="B4148" i="24"/>
  <c r="M4148" i="24"/>
  <c r="P4148" i="24"/>
  <c r="Q4148" i="24"/>
  <c r="V4148" i="24"/>
  <c r="A2" i="20"/>
  <c r="A3" i="20"/>
  <c r="A4" i="20"/>
  <c r="A5" i="20"/>
  <c r="A6" i="20"/>
  <c r="A7" i="20"/>
  <c r="A8" i="20"/>
  <c r="A9" i="20"/>
  <c r="A10" i="20"/>
  <c r="A11" i="20"/>
  <c r="A12" i="20"/>
  <c r="A13" i="20"/>
  <c r="A14" i="20"/>
  <c r="A15" i="20"/>
  <c r="A16" i="20"/>
  <c r="A17" i="20"/>
  <c r="A18" i="20"/>
  <c r="A19" i="20"/>
  <c r="A20" i="20"/>
  <c r="A21" i="20"/>
  <c r="A22" i="20"/>
  <c r="A23" i="20"/>
  <c r="A24" i="20"/>
  <c r="A25" i="20"/>
  <c r="A26" i="20"/>
  <c r="A27" i="20"/>
  <c r="A28" i="20"/>
  <c r="A29" i="20"/>
  <c r="A30" i="20"/>
  <c r="A31" i="20"/>
  <c r="A32" i="20"/>
  <c r="A33" i="20"/>
  <c r="A34" i="20"/>
  <c r="A35" i="20"/>
  <c r="A36" i="20"/>
  <c r="A37" i="20"/>
  <c r="A38" i="20"/>
  <c r="A39" i="20"/>
  <c r="A40" i="20"/>
  <c r="A41" i="20"/>
  <c r="A42" i="20"/>
  <c r="A43" i="20"/>
  <c r="A44" i="20"/>
  <c r="A45" i="20"/>
  <c r="A46" i="20"/>
  <c r="A47" i="20"/>
  <c r="A48" i="20"/>
  <c r="A49" i="20"/>
  <c r="A50" i="20"/>
  <c r="A51" i="20"/>
  <c r="A52" i="20"/>
  <c r="A53" i="20"/>
  <c r="A54" i="20"/>
  <c r="A55" i="20"/>
  <c r="A56" i="20"/>
  <c r="A57" i="20"/>
  <c r="A58" i="20"/>
  <c r="A59" i="20"/>
  <c r="A60" i="20"/>
  <c r="A61" i="20"/>
  <c r="A62" i="20"/>
  <c r="A63" i="20"/>
  <c r="A64" i="20"/>
  <c r="A65" i="20"/>
  <c r="A66" i="20"/>
  <c r="A67" i="20"/>
  <c r="A68" i="20"/>
  <c r="A69" i="20"/>
  <c r="A70" i="20"/>
  <c r="A71" i="20"/>
  <c r="A72" i="20"/>
  <c r="A73" i="20"/>
  <c r="A74" i="20"/>
  <c r="A75" i="20"/>
  <c r="A76" i="20"/>
  <c r="A77" i="20"/>
  <c r="A78" i="20"/>
  <c r="A79" i="20"/>
  <c r="A80" i="20"/>
  <c r="A81" i="20"/>
  <c r="A82" i="20"/>
  <c r="A83" i="20"/>
  <c r="A84" i="20"/>
  <c r="A85" i="20"/>
  <c r="A86" i="20"/>
  <c r="A87" i="20"/>
  <c r="A88" i="20"/>
  <c r="A89" i="20"/>
  <c r="A90" i="20"/>
  <c r="A91" i="20"/>
  <c r="A92" i="20"/>
  <c r="A93" i="20"/>
  <c r="A94" i="20"/>
  <c r="A95" i="20"/>
  <c r="A96" i="20"/>
  <c r="A97" i="20"/>
  <c r="A98" i="20"/>
  <c r="A99" i="20"/>
  <c r="A100" i="20"/>
  <c r="A101" i="20"/>
  <c r="A102" i="20"/>
  <c r="A103" i="20"/>
  <c r="A104" i="20"/>
  <c r="A105" i="20"/>
  <c r="A106" i="20"/>
  <c r="A107" i="20"/>
  <c r="A108" i="20"/>
  <c r="A109" i="20"/>
  <c r="A110" i="20"/>
  <c r="A111" i="20"/>
  <c r="A112" i="20"/>
  <c r="A113" i="20"/>
  <c r="A114" i="20"/>
  <c r="A115" i="20"/>
  <c r="A116" i="20"/>
  <c r="A117" i="20"/>
  <c r="A118" i="20"/>
  <c r="A119" i="20"/>
  <c r="A120" i="20"/>
  <c r="A121" i="20"/>
  <c r="A122" i="20"/>
  <c r="A123" i="20"/>
  <c r="A124" i="20"/>
  <c r="A125" i="20"/>
  <c r="A126" i="20"/>
  <c r="A127" i="20"/>
  <c r="A128" i="20"/>
  <c r="A129" i="20"/>
  <c r="A130" i="20"/>
  <c r="A131" i="20"/>
  <c r="A132" i="20"/>
  <c r="A133" i="20"/>
  <c r="A134" i="20"/>
  <c r="A135" i="20"/>
  <c r="A136" i="20"/>
  <c r="A137" i="20"/>
  <c r="A138" i="20"/>
  <c r="A139" i="20"/>
  <c r="A140" i="20"/>
  <c r="A141" i="20"/>
  <c r="A142" i="20"/>
  <c r="A143" i="20"/>
  <c r="A144" i="20"/>
  <c r="A145" i="20"/>
  <c r="A146" i="20"/>
  <c r="A147" i="20"/>
  <c r="A148" i="20"/>
  <c r="A149" i="20"/>
  <c r="A150" i="20"/>
  <c r="A151" i="20"/>
  <c r="A152" i="20"/>
  <c r="A153" i="20"/>
  <c r="A154" i="20"/>
  <c r="A155" i="20"/>
  <c r="A156" i="20"/>
  <c r="A157" i="20"/>
  <c r="A158" i="20"/>
  <c r="A159" i="20"/>
  <c r="A160" i="20"/>
  <c r="A161" i="20"/>
  <c r="A162" i="20"/>
  <c r="A163" i="20"/>
  <c r="A164" i="20"/>
  <c r="A165" i="20"/>
  <c r="A166" i="20"/>
  <c r="A167" i="20"/>
  <c r="A168" i="20"/>
  <c r="A169" i="20"/>
  <c r="A170" i="20"/>
  <c r="A171" i="20"/>
  <c r="A172" i="20"/>
  <c r="A173" i="20"/>
  <c r="A174" i="20"/>
  <c r="A175" i="20"/>
  <c r="A176" i="20"/>
  <c r="A177" i="20"/>
  <c r="A178" i="20"/>
  <c r="A179" i="20"/>
  <c r="A180" i="20"/>
  <c r="A181" i="20"/>
  <c r="A182" i="20"/>
  <c r="A183" i="20"/>
  <c r="A184" i="20"/>
  <c r="A185" i="20"/>
  <c r="A186" i="20"/>
  <c r="A187" i="20"/>
  <c r="A188" i="20"/>
  <c r="A189" i="20"/>
  <c r="A190" i="20"/>
  <c r="A191" i="20"/>
  <c r="A192" i="20"/>
  <c r="A193" i="20"/>
  <c r="A194" i="20"/>
  <c r="A195" i="20"/>
  <c r="A196" i="20"/>
  <c r="A197" i="20"/>
  <c r="A198" i="20"/>
  <c r="A199" i="20"/>
  <c r="A200" i="20"/>
  <c r="A201" i="20"/>
  <c r="A202" i="20"/>
  <c r="A203" i="20"/>
  <c r="A204" i="20"/>
  <c r="A205" i="20"/>
  <c r="A206" i="20"/>
  <c r="A207" i="20"/>
  <c r="A208" i="20"/>
  <c r="A209" i="20"/>
  <c r="A210" i="20"/>
  <c r="A211" i="20"/>
  <c r="A212" i="20"/>
  <c r="A213" i="20"/>
  <c r="A214" i="20"/>
  <c r="A215" i="20"/>
  <c r="A216" i="20"/>
  <c r="A217" i="20"/>
  <c r="A218" i="20"/>
  <c r="A219" i="20"/>
  <c r="A220" i="20"/>
  <c r="A221" i="20"/>
  <c r="A222" i="20"/>
  <c r="A223" i="20"/>
  <c r="A224" i="20"/>
  <c r="A225" i="20"/>
  <c r="A226" i="20"/>
  <c r="A227" i="20"/>
  <c r="A228" i="20"/>
  <c r="A229" i="20"/>
  <c r="A230" i="20"/>
  <c r="A231" i="20"/>
  <c r="A232" i="20"/>
  <c r="A233" i="20"/>
  <c r="A234" i="20"/>
  <c r="A235" i="20"/>
  <c r="A236" i="20"/>
  <c r="A237" i="20"/>
  <c r="A238" i="20"/>
  <c r="A239" i="20"/>
  <c r="A240" i="20"/>
  <c r="A241" i="20"/>
  <c r="A242" i="20"/>
  <c r="A243" i="20"/>
  <c r="A244" i="20"/>
  <c r="A245" i="20"/>
  <c r="A246" i="20"/>
  <c r="A247" i="20"/>
  <c r="A248" i="20"/>
  <c r="A249" i="20"/>
  <c r="A250" i="20"/>
  <c r="A251" i="20"/>
  <c r="A252" i="20"/>
  <c r="A253" i="20"/>
  <c r="A254" i="20"/>
  <c r="A255" i="20"/>
  <c r="A256" i="20"/>
  <c r="A257" i="20"/>
  <c r="A258" i="20"/>
  <c r="A259" i="20"/>
  <c r="A260" i="20"/>
  <c r="A261" i="20"/>
  <c r="A262" i="20"/>
  <c r="A263" i="20"/>
  <c r="A264" i="20"/>
  <c r="A265" i="20"/>
  <c r="A266" i="20"/>
  <c r="A267" i="20"/>
  <c r="A268" i="20"/>
  <c r="A269" i="20"/>
  <c r="A270" i="20"/>
  <c r="A271" i="20"/>
  <c r="A272" i="20"/>
  <c r="A273" i="20"/>
  <c r="A274" i="20"/>
  <c r="A275" i="20"/>
  <c r="A276" i="20"/>
  <c r="A277" i="20"/>
  <c r="A278" i="20"/>
  <c r="A279" i="20"/>
  <c r="A280" i="20"/>
  <c r="A281" i="20"/>
  <c r="A282" i="20"/>
  <c r="A283" i="20"/>
  <c r="A284" i="20"/>
  <c r="A285" i="20"/>
  <c r="A286" i="20"/>
  <c r="A287" i="20"/>
  <c r="A288" i="20"/>
  <c r="A289" i="20"/>
  <c r="A290" i="20"/>
  <c r="A291" i="20"/>
  <c r="A292" i="20"/>
  <c r="A293" i="20"/>
  <c r="A294" i="20"/>
  <c r="A295" i="20"/>
  <c r="A296" i="20"/>
  <c r="A297" i="20"/>
  <c r="A298" i="20"/>
  <c r="A299" i="20"/>
  <c r="A300" i="20"/>
  <c r="AA294" i="20"/>
  <c r="Z294" i="20"/>
  <c r="X294" i="20"/>
  <c r="Q294" i="20"/>
  <c r="P294" i="20"/>
  <c r="M294" i="20"/>
  <c r="B294" i="20"/>
  <c r="B291" i="20"/>
  <c r="B292" i="20"/>
  <c r="B293" i="20"/>
  <c r="B295" i="20"/>
  <c r="B296" i="20"/>
  <c r="B297" i="20"/>
  <c r="B298" i="20"/>
  <c r="B299" i="20"/>
  <c r="B300" i="20"/>
  <c r="M291" i="20"/>
  <c r="M292" i="20"/>
  <c r="M293" i="20"/>
  <c r="M295" i="20"/>
  <c r="M296" i="20"/>
  <c r="M297" i="20"/>
  <c r="M298" i="20"/>
  <c r="M299" i="20"/>
  <c r="M300" i="20"/>
  <c r="P291" i="20"/>
  <c r="P292" i="20"/>
  <c r="P293" i="20"/>
  <c r="P295" i="20"/>
  <c r="P296" i="20"/>
  <c r="P297" i="20"/>
  <c r="P298" i="20"/>
  <c r="P299" i="20"/>
  <c r="P300" i="20"/>
  <c r="Q291" i="20"/>
  <c r="Q292" i="20"/>
  <c r="Q293" i="20"/>
  <c r="Q295" i="20"/>
  <c r="Q296" i="20"/>
  <c r="Q297" i="20"/>
  <c r="Q298" i="20"/>
  <c r="Q299" i="20"/>
  <c r="Q300" i="20"/>
  <c r="X291" i="20"/>
  <c r="X292" i="20"/>
  <c r="X293" i="20"/>
  <c r="X295" i="20"/>
  <c r="X296" i="20"/>
  <c r="X297" i="20"/>
  <c r="X298" i="20"/>
  <c r="X299" i="20"/>
  <c r="X300" i="20"/>
  <c r="AA291" i="20"/>
  <c r="AA292" i="20"/>
  <c r="AA293" i="20"/>
  <c r="AA295" i="20"/>
  <c r="AA296" i="20"/>
  <c r="AA297" i="20"/>
  <c r="AA298" i="20"/>
  <c r="AA299" i="20"/>
  <c r="AA300" i="20"/>
  <c r="Z2" i="20"/>
  <c r="Z11" i="20"/>
  <c r="Z19" i="20"/>
  <c r="Z29" i="20"/>
  <c r="Z30" i="20"/>
  <c r="Z31" i="20"/>
  <c r="Z55" i="20"/>
  <c r="Z70" i="20"/>
  <c r="Z73" i="20"/>
  <c r="Z81" i="20"/>
  <c r="Z85" i="20"/>
  <c r="Z93" i="20"/>
  <c r="Z94" i="20"/>
  <c r="Z110" i="20"/>
  <c r="Z136" i="20"/>
  <c r="Z146" i="20"/>
  <c r="Z150" i="20"/>
  <c r="Z158" i="20"/>
  <c r="Z168" i="20"/>
  <c r="Z178" i="20"/>
  <c r="Z179" i="20"/>
  <c r="Z231" i="20"/>
  <c r="Z233" i="20"/>
  <c r="Z246" i="20"/>
  <c r="Z260" i="20"/>
  <c r="Z261" i="20"/>
  <c r="Z282" i="20"/>
  <c r="V4161" i="24"/>
  <c r="Q4161" i="24"/>
  <c r="P4161" i="24"/>
  <c r="M4161" i="24"/>
  <c r="B4161" i="24"/>
  <c r="AB887" i="9" l="1"/>
  <c r="R887" i="9"/>
  <c r="Q887" i="9"/>
  <c r="N887" i="9"/>
  <c r="B887" i="9"/>
  <c r="V4146" i="24"/>
  <c r="Q4146" i="24"/>
  <c r="P4146" i="24"/>
  <c r="M4146" i="24"/>
  <c r="B4146" i="24"/>
  <c r="V4147" i="24"/>
  <c r="Q4147" i="24"/>
  <c r="P4147" i="24"/>
  <c r="M4147" i="24"/>
  <c r="B4147" i="24"/>
  <c r="B282" i="20"/>
  <c r="M282" i="20"/>
  <c r="P282" i="20"/>
  <c r="Q282" i="20"/>
  <c r="X282" i="20"/>
  <c r="AA282" i="20"/>
  <c r="B260" i="20"/>
  <c r="M260" i="20"/>
  <c r="P260" i="20"/>
  <c r="Q260" i="20"/>
  <c r="X260" i="20"/>
  <c r="AA260" i="20"/>
  <c r="B261" i="20"/>
  <c r="M261" i="20"/>
  <c r="P261" i="20"/>
  <c r="Q261" i="20"/>
  <c r="X261" i="20"/>
  <c r="AA261" i="20"/>
  <c r="AB958" i="8"/>
  <c r="R958" i="8"/>
  <c r="Q958" i="8"/>
  <c r="N958" i="8"/>
  <c r="B958" i="8"/>
  <c r="AB957" i="8"/>
  <c r="R957" i="8"/>
  <c r="Q957" i="8"/>
  <c r="N957" i="8"/>
  <c r="B957" i="8"/>
  <c r="AB956" i="8"/>
  <c r="R956" i="8"/>
  <c r="Q956" i="8"/>
  <c r="N956" i="8"/>
  <c r="B956" i="8"/>
  <c r="B247" i="20" l="1"/>
  <c r="B248" i="20"/>
  <c r="B249" i="20"/>
  <c r="B250" i="20"/>
  <c r="B251" i="20"/>
  <c r="B252" i="20"/>
  <c r="B253" i="20"/>
  <c r="B254" i="20"/>
  <c r="B255" i="20"/>
  <c r="B256" i="20"/>
  <c r="B257" i="20"/>
  <c r="B258" i="20"/>
  <c r="B259" i="20"/>
  <c r="B262" i="20"/>
  <c r="B263" i="20"/>
  <c r="B264" i="20"/>
  <c r="B265" i="20"/>
  <c r="B266" i="20"/>
  <c r="B267" i="20"/>
  <c r="B268" i="20"/>
  <c r="B269" i="20"/>
  <c r="B270" i="20"/>
  <c r="B271" i="20"/>
  <c r="B272" i="20"/>
  <c r="B273" i="20"/>
  <c r="B274" i="20"/>
  <c r="B275" i="20"/>
  <c r="B276" i="20"/>
  <c r="B277" i="20"/>
  <c r="B278" i="20"/>
  <c r="B279" i="20"/>
  <c r="B280" i="20"/>
  <c r="B281" i="20"/>
  <c r="B283" i="20"/>
  <c r="B284" i="20"/>
  <c r="B285" i="20"/>
  <c r="B286" i="20"/>
  <c r="B287" i="20"/>
  <c r="B288" i="20"/>
  <c r="B289" i="20"/>
  <c r="B290" i="20"/>
  <c r="M247" i="20"/>
  <c r="M248" i="20"/>
  <c r="M249" i="20"/>
  <c r="M250" i="20"/>
  <c r="M251" i="20"/>
  <c r="M252" i="20"/>
  <c r="M253" i="20"/>
  <c r="M254" i="20"/>
  <c r="M255" i="20"/>
  <c r="M256" i="20"/>
  <c r="M257" i="20"/>
  <c r="M258" i="20"/>
  <c r="M259" i="20"/>
  <c r="M262" i="20"/>
  <c r="M263" i="20"/>
  <c r="M264" i="20"/>
  <c r="M265" i="20"/>
  <c r="M266" i="20"/>
  <c r="M267" i="20"/>
  <c r="M268" i="20"/>
  <c r="M269" i="20"/>
  <c r="M270" i="20"/>
  <c r="M271" i="20"/>
  <c r="M272" i="20"/>
  <c r="M273" i="20"/>
  <c r="M274" i="20"/>
  <c r="M275" i="20"/>
  <c r="M276" i="20"/>
  <c r="M277" i="20"/>
  <c r="M278" i="20"/>
  <c r="M279" i="20"/>
  <c r="M280" i="20"/>
  <c r="M281" i="20"/>
  <c r="M283" i="20"/>
  <c r="M284" i="20"/>
  <c r="M285" i="20"/>
  <c r="M286" i="20"/>
  <c r="M287" i="20"/>
  <c r="M288" i="20"/>
  <c r="M289" i="20"/>
  <c r="M290" i="20"/>
  <c r="P247" i="20"/>
  <c r="P248" i="20"/>
  <c r="P249" i="20"/>
  <c r="P250" i="20"/>
  <c r="P251" i="20"/>
  <c r="P252" i="20"/>
  <c r="P253" i="20"/>
  <c r="P254" i="20"/>
  <c r="P255" i="20"/>
  <c r="P256" i="20"/>
  <c r="P257" i="20"/>
  <c r="P258" i="20"/>
  <c r="P259" i="20"/>
  <c r="P262" i="20"/>
  <c r="P263" i="20"/>
  <c r="P264" i="20"/>
  <c r="P265" i="20"/>
  <c r="P266" i="20"/>
  <c r="P267" i="20"/>
  <c r="P268" i="20"/>
  <c r="P269" i="20"/>
  <c r="P270" i="20"/>
  <c r="P271" i="20"/>
  <c r="P272" i="20"/>
  <c r="P273" i="20"/>
  <c r="P274" i="20"/>
  <c r="P275" i="20"/>
  <c r="P276" i="20"/>
  <c r="P277" i="20"/>
  <c r="P278" i="20"/>
  <c r="P279" i="20"/>
  <c r="P280" i="20"/>
  <c r="P281" i="20"/>
  <c r="P283" i="20"/>
  <c r="P284" i="20"/>
  <c r="P285" i="20"/>
  <c r="P286" i="20"/>
  <c r="P287" i="20"/>
  <c r="P288" i="20"/>
  <c r="P289" i="20"/>
  <c r="P290" i="20"/>
  <c r="Q247" i="20"/>
  <c r="Q248" i="20"/>
  <c r="Q249" i="20"/>
  <c r="Q250" i="20"/>
  <c r="Q251" i="20"/>
  <c r="Q252" i="20"/>
  <c r="Q253" i="20"/>
  <c r="Q254" i="20"/>
  <c r="Q255" i="20"/>
  <c r="Q256" i="20"/>
  <c r="Q257" i="20"/>
  <c r="Q258" i="20"/>
  <c r="Q259" i="20"/>
  <c r="Q262" i="20"/>
  <c r="Q263" i="20"/>
  <c r="Q264" i="20"/>
  <c r="Q265" i="20"/>
  <c r="Q266" i="20"/>
  <c r="Q267" i="20"/>
  <c r="Q268" i="20"/>
  <c r="Q269" i="20"/>
  <c r="Q270" i="20"/>
  <c r="Q271" i="20"/>
  <c r="Q272" i="20"/>
  <c r="Q273" i="20"/>
  <c r="Q274" i="20"/>
  <c r="Q275" i="20"/>
  <c r="Q276" i="20"/>
  <c r="Q277" i="20"/>
  <c r="Q278" i="20"/>
  <c r="Q279" i="20"/>
  <c r="Q280" i="20"/>
  <c r="Q281" i="20"/>
  <c r="Q283" i="20"/>
  <c r="Q284" i="20"/>
  <c r="Q285" i="20"/>
  <c r="Q286" i="20"/>
  <c r="Q287" i="20"/>
  <c r="Q288" i="20"/>
  <c r="Q289" i="20"/>
  <c r="Q290" i="20"/>
  <c r="X247" i="20"/>
  <c r="X248" i="20"/>
  <c r="X249" i="20"/>
  <c r="X250" i="20"/>
  <c r="X251" i="20"/>
  <c r="X252" i="20"/>
  <c r="X253" i="20"/>
  <c r="X254" i="20"/>
  <c r="X255" i="20"/>
  <c r="X256" i="20"/>
  <c r="X257" i="20"/>
  <c r="X258" i="20"/>
  <c r="X259" i="20"/>
  <c r="X262" i="20"/>
  <c r="X263" i="20"/>
  <c r="X264" i="20"/>
  <c r="X265" i="20"/>
  <c r="X266" i="20"/>
  <c r="X267" i="20"/>
  <c r="X268" i="20"/>
  <c r="X269" i="20"/>
  <c r="X270" i="20"/>
  <c r="X271" i="20"/>
  <c r="X272" i="20"/>
  <c r="X273" i="20"/>
  <c r="X274" i="20"/>
  <c r="X275" i="20"/>
  <c r="X276" i="20"/>
  <c r="X277" i="20"/>
  <c r="X278" i="20"/>
  <c r="X279" i="20"/>
  <c r="X280" i="20"/>
  <c r="X281" i="20"/>
  <c r="X283" i="20"/>
  <c r="X284" i="20"/>
  <c r="X285" i="20"/>
  <c r="X286" i="20"/>
  <c r="X287" i="20"/>
  <c r="X288" i="20"/>
  <c r="X289" i="20"/>
  <c r="X290" i="20"/>
  <c r="AA247" i="20"/>
  <c r="AA248" i="20"/>
  <c r="AA249" i="20"/>
  <c r="AA250" i="20"/>
  <c r="AA251" i="20"/>
  <c r="AA252" i="20"/>
  <c r="AA253" i="20"/>
  <c r="AA254" i="20"/>
  <c r="AA255" i="20"/>
  <c r="AA256" i="20"/>
  <c r="AA257" i="20"/>
  <c r="AA258" i="20"/>
  <c r="AA259" i="20"/>
  <c r="AA262" i="20"/>
  <c r="AA263" i="20"/>
  <c r="AA264" i="20"/>
  <c r="AA265" i="20"/>
  <c r="AA266" i="20"/>
  <c r="AA267" i="20"/>
  <c r="AA268" i="20"/>
  <c r="AA269" i="20"/>
  <c r="AA270" i="20"/>
  <c r="AA271" i="20"/>
  <c r="AA272" i="20"/>
  <c r="AA273" i="20"/>
  <c r="AA274" i="20"/>
  <c r="AA275" i="20"/>
  <c r="AA276" i="20"/>
  <c r="AA277" i="20"/>
  <c r="AA278" i="20"/>
  <c r="AA279" i="20"/>
  <c r="AA280" i="20"/>
  <c r="AA281" i="20"/>
  <c r="AA283" i="20"/>
  <c r="AA284" i="20"/>
  <c r="AA285" i="20"/>
  <c r="AA286" i="20"/>
  <c r="AA287" i="20"/>
  <c r="AA288" i="20"/>
  <c r="AA289" i="20"/>
  <c r="AA290" i="20"/>
  <c r="B4144" i="24"/>
  <c r="M4144" i="24"/>
  <c r="P4144" i="24"/>
  <c r="Q4144" i="24"/>
  <c r="V4144" i="24"/>
  <c r="B4145" i="24"/>
  <c r="M4145" i="24"/>
  <c r="P4145" i="24"/>
  <c r="Q4145" i="24"/>
  <c r="V4145" i="24"/>
  <c r="B4160" i="24"/>
  <c r="M4160" i="24"/>
  <c r="P4160" i="24"/>
  <c r="Q4160" i="24"/>
  <c r="V4160" i="24"/>
  <c r="B4157" i="24"/>
  <c r="P4157" i="24"/>
  <c r="Q4157" i="24"/>
  <c r="V4157" i="24"/>
  <c r="M4157" i="24"/>
  <c r="B4156" i="24"/>
  <c r="M4156" i="24"/>
  <c r="P4156" i="24"/>
  <c r="Q4156" i="24"/>
  <c r="V4156" i="24"/>
  <c r="B886" i="9"/>
  <c r="N886" i="9"/>
  <c r="Q886" i="9"/>
  <c r="R886" i="9"/>
  <c r="AB886" i="9"/>
  <c r="B955" i="8"/>
  <c r="N955" i="8"/>
  <c r="Q955" i="8"/>
  <c r="R955" i="8"/>
  <c r="AB955" i="8"/>
  <c r="B954" i="8"/>
  <c r="N954" i="8"/>
  <c r="Q954" i="8"/>
  <c r="R954" i="8"/>
  <c r="AB954" i="8"/>
  <c r="B885" i="9"/>
  <c r="N885" i="9"/>
  <c r="AB885" i="9"/>
  <c r="B953" i="8"/>
  <c r="N953" i="8"/>
  <c r="Q953" i="8"/>
  <c r="R953" i="8"/>
  <c r="AB953" i="8"/>
  <c r="B952" i="8"/>
  <c r="N952" i="8"/>
  <c r="Q952" i="8"/>
  <c r="R952" i="8"/>
  <c r="AB952" i="8"/>
  <c r="B951" i="8"/>
  <c r="N951" i="8"/>
  <c r="Q951" i="8"/>
  <c r="R951" i="8"/>
  <c r="AB951" i="8"/>
  <c r="B884" i="9"/>
  <c r="N884" i="9"/>
  <c r="Q884" i="9"/>
  <c r="R884" i="9"/>
  <c r="AB884" i="9"/>
  <c r="B485" i="18" l="1"/>
  <c r="M485" i="18"/>
  <c r="P485" i="18"/>
  <c r="Q485" i="18"/>
  <c r="X485" i="18"/>
  <c r="AA485" i="18"/>
  <c r="M471" i="18"/>
  <c r="B471" i="18"/>
  <c r="P471" i="18"/>
  <c r="Q471" i="18"/>
  <c r="X471" i="18"/>
  <c r="AA471" i="18"/>
  <c r="B469" i="18"/>
  <c r="M469" i="18"/>
  <c r="P469" i="18"/>
  <c r="Q469" i="18"/>
  <c r="X469" i="18"/>
  <c r="AA469" i="18"/>
  <c r="B470" i="18" l="1"/>
  <c r="B472" i="18"/>
  <c r="B473" i="18"/>
  <c r="B474" i="18"/>
  <c r="B475" i="18"/>
  <c r="B476" i="18"/>
  <c r="B477" i="18"/>
  <c r="B478" i="18"/>
  <c r="B479" i="18"/>
  <c r="B480" i="18"/>
  <c r="B481" i="18"/>
  <c r="B482" i="18"/>
  <c r="B483" i="18"/>
  <c r="B484" i="18"/>
  <c r="B486" i="18"/>
  <c r="B487" i="18"/>
  <c r="B488" i="18"/>
  <c r="B489" i="18"/>
  <c r="B490" i="18"/>
  <c r="B491" i="18"/>
  <c r="B492" i="18"/>
  <c r="B493" i="18"/>
  <c r="B494" i="18"/>
  <c r="M470" i="18"/>
  <c r="M472" i="18"/>
  <c r="M473" i="18"/>
  <c r="M474" i="18"/>
  <c r="M475" i="18"/>
  <c r="M476" i="18"/>
  <c r="M477" i="18"/>
  <c r="M478" i="18"/>
  <c r="M479" i="18"/>
  <c r="M480" i="18"/>
  <c r="M481" i="18"/>
  <c r="M482" i="18"/>
  <c r="M483" i="18"/>
  <c r="M484" i="18"/>
  <c r="M486" i="18"/>
  <c r="M487" i="18"/>
  <c r="M488" i="18"/>
  <c r="M489" i="18"/>
  <c r="M490" i="18"/>
  <c r="M491" i="18"/>
  <c r="M492" i="18"/>
  <c r="M493" i="18"/>
  <c r="M494" i="18"/>
  <c r="P470" i="18"/>
  <c r="P472" i="18"/>
  <c r="P473" i="18"/>
  <c r="P474" i="18"/>
  <c r="P475" i="18"/>
  <c r="P476" i="18"/>
  <c r="P477" i="18"/>
  <c r="P478" i="18"/>
  <c r="P479" i="18"/>
  <c r="P480" i="18"/>
  <c r="P481" i="18"/>
  <c r="P482" i="18"/>
  <c r="P483" i="18"/>
  <c r="P484" i="18"/>
  <c r="P486" i="18"/>
  <c r="P487" i="18"/>
  <c r="P488" i="18"/>
  <c r="P489" i="18"/>
  <c r="P490" i="18"/>
  <c r="P491" i="18"/>
  <c r="P492" i="18"/>
  <c r="P493" i="18"/>
  <c r="P494" i="18"/>
  <c r="Q470" i="18"/>
  <c r="Q472" i="18"/>
  <c r="Q473" i="18"/>
  <c r="Q474" i="18"/>
  <c r="Q475" i="18"/>
  <c r="Q476" i="18"/>
  <c r="Q477" i="18"/>
  <c r="Q478" i="18"/>
  <c r="Q479" i="18"/>
  <c r="Q480" i="18"/>
  <c r="Q481" i="18"/>
  <c r="Q482" i="18"/>
  <c r="Q483" i="18"/>
  <c r="Q484" i="18"/>
  <c r="Q486" i="18"/>
  <c r="Q487" i="18"/>
  <c r="Q488" i="18"/>
  <c r="Q489" i="18"/>
  <c r="Q490" i="18"/>
  <c r="Q491" i="18"/>
  <c r="Q492" i="18"/>
  <c r="Q493" i="18"/>
  <c r="Q494" i="18"/>
  <c r="X470" i="18"/>
  <c r="X472" i="18"/>
  <c r="X473" i="18"/>
  <c r="X474" i="18"/>
  <c r="X475" i="18"/>
  <c r="X476" i="18"/>
  <c r="X477" i="18"/>
  <c r="X478" i="18"/>
  <c r="X479" i="18"/>
  <c r="X480" i="18"/>
  <c r="X481" i="18"/>
  <c r="X482" i="18"/>
  <c r="X483" i="18"/>
  <c r="X484" i="18"/>
  <c r="X486" i="18"/>
  <c r="X487" i="18"/>
  <c r="X488" i="18"/>
  <c r="X489" i="18"/>
  <c r="X490" i="18"/>
  <c r="X491" i="18"/>
  <c r="X492" i="18"/>
  <c r="X493" i="18"/>
  <c r="X494" i="18"/>
  <c r="AA470" i="18"/>
  <c r="AA472" i="18"/>
  <c r="AA473" i="18"/>
  <c r="AA474" i="18"/>
  <c r="AA475" i="18"/>
  <c r="AA476" i="18"/>
  <c r="AA477" i="18"/>
  <c r="AA478" i="18"/>
  <c r="AA479" i="18"/>
  <c r="AA480" i="18"/>
  <c r="AA481" i="18"/>
  <c r="AA482" i="18"/>
  <c r="AA483" i="18"/>
  <c r="AA484" i="18"/>
  <c r="AA486" i="18"/>
  <c r="AA487" i="18"/>
  <c r="AA488" i="18"/>
  <c r="AA489" i="18"/>
  <c r="AA490" i="18"/>
  <c r="AA491" i="18"/>
  <c r="AA492" i="18"/>
  <c r="AA493" i="18"/>
  <c r="AA494" i="18"/>
  <c r="B316" i="13" l="1"/>
  <c r="B317" i="13"/>
  <c r="B318" i="13"/>
  <c r="B319" i="13"/>
  <c r="B320" i="13"/>
  <c r="B321" i="13"/>
  <c r="B322" i="13"/>
  <c r="M316" i="13"/>
  <c r="M317" i="13"/>
  <c r="M318" i="13"/>
  <c r="M319" i="13"/>
  <c r="M320" i="13"/>
  <c r="M321" i="13"/>
  <c r="M322" i="13"/>
  <c r="P316" i="13"/>
  <c r="P317" i="13"/>
  <c r="P318" i="13"/>
  <c r="P319" i="13"/>
  <c r="P320" i="13"/>
  <c r="P321" i="13"/>
  <c r="P322" i="13"/>
  <c r="Q316" i="13"/>
  <c r="Q317" i="13"/>
  <c r="Q318" i="13"/>
  <c r="Q319" i="13"/>
  <c r="Q320" i="13"/>
  <c r="Q321" i="13"/>
  <c r="Q322" i="13"/>
  <c r="X316" i="13"/>
  <c r="X317" i="13"/>
  <c r="X318" i="13"/>
  <c r="X319" i="13"/>
  <c r="X320" i="13"/>
  <c r="X321" i="13"/>
  <c r="X322" i="13"/>
  <c r="AA316" i="13"/>
  <c r="AA317" i="13"/>
  <c r="AA318" i="13"/>
  <c r="AA319" i="13"/>
  <c r="AA320" i="13"/>
  <c r="AA321" i="13"/>
  <c r="AA322" i="13"/>
  <c r="B315" i="13"/>
  <c r="M315" i="13"/>
  <c r="P315" i="13"/>
  <c r="Q315" i="13"/>
  <c r="X315" i="13"/>
  <c r="AA315" i="13"/>
  <c r="AA403" i="3"/>
  <c r="Q403" i="3"/>
  <c r="P403" i="3"/>
  <c r="M403" i="3"/>
  <c r="B403" i="3"/>
  <c r="AA402" i="3"/>
  <c r="Q402" i="3"/>
  <c r="P402" i="3"/>
  <c r="M402" i="3"/>
  <c r="B402" i="3"/>
  <c r="V4149" i="24"/>
  <c r="Q4149" i="24"/>
  <c r="P4149" i="24"/>
  <c r="M4149" i="24"/>
  <c r="B4149" i="24"/>
  <c r="V4152" i="24"/>
  <c r="Q4152" i="24"/>
  <c r="P4152" i="24"/>
  <c r="M4152" i="24"/>
  <c r="B4152" i="24"/>
  <c r="V4153" i="24"/>
  <c r="Q4153" i="24"/>
  <c r="P4153" i="24"/>
  <c r="M4153" i="24"/>
  <c r="B4153" i="24"/>
  <c r="V4154" i="24"/>
  <c r="Q4154" i="24"/>
  <c r="P4154" i="24"/>
  <c r="M4154" i="24"/>
  <c r="B4154" i="24"/>
  <c r="V4142" i="24" l="1"/>
  <c r="Q4142" i="24"/>
  <c r="P4142" i="24"/>
  <c r="M4142" i="24"/>
  <c r="B4142" i="24"/>
  <c r="V4143" i="24"/>
  <c r="Q4143" i="24"/>
  <c r="P4143" i="24"/>
  <c r="M4143" i="24"/>
  <c r="B4143" i="24"/>
  <c r="AB950" i="8" l="1"/>
  <c r="R950" i="8"/>
  <c r="Q950" i="8"/>
  <c r="N950" i="8"/>
  <c r="B950" i="8"/>
  <c r="AB949" i="8"/>
  <c r="R949" i="8"/>
  <c r="Q949" i="8"/>
  <c r="N949" i="8"/>
  <c r="B949" i="8"/>
  <c r="AB948" i="8"/>
  <c r="R948" i="8"/>
  <c r="Q948" i="8"/>
  <c r="N948" i="8"/>
  <c r="B948" i="8"/>
  <c r="AB947" i="8"/>
  <c r="R947" i="8"/>
  <c r="Q947" i="8"/>
  <c r="N947" i="8"/>
  <c r="B947" i="8"/>
  <c r="AB946" i="8"/>
  <c r="R946" i="8"/>
  <c r="Q946" i="8"/>
  <c r="N946" i="8"/>
  <c r="B946" i="8"/>
  <c r="AB945" i="8"/>
  <c r="R945" i="8"/>
  <c r="Q945" i="8"/>
  <c r="N945" i="8"/>
  <c r="B945" i="8"/>
  <c r="V4155" i="24"/>
  <c r="Q4155" i="24"/>
  <c r="P4155" i="24"/>
  <c r="M4155" i="24"/>
  <c r="B4155" i="24"/>
  <c r="B883" i="9" l="1"/>
  <c r="N883" i="9"/>
  <c r="Q883" i="9"/>
  <c r="R883" i="9"/>
  <c r="AB883" i="9"/>
  <c r="M4474" i="24"/>
  <c r="B882" i="9"/>
  <c r="N882" i="9"/>
  <c r="Q882" i="9"/>
  <c r="R882" i="9"/>
  <c r="AB882" i="9"/>
  <c r="B944" i="8" l="1"/>
  <c r="N944" i="8"/>
  <c r="Q944" i="8"/>
  <c r="R944" i="8"/>
  <c r="AB944" i="8"/>
  <c r="B943" i="8"/>
  <c r="N943" i="8"/>
  <c r="Q943" i="8"/>
  <c r="R943" i="8"/>
  <c r="AB943" i="8"/>
  <c r="B942" i="8"/>
  <c r="N942" i="8"/>
  <c r="Q942" i="8"/>
  <c r="R942" i="8"/>
  <c r="AB942" i="8"/>
  <c r="B941" i="8"/>
  <c r="N941" i="8"/>
  <c r="Q941" i="8"/>
  <c r="R941" i="8"/>
  <c r="AB941" i="8"/>
  <c r="B940" i="8"/>
  <c r="N940" i="8"/>
  <c r="Q940" i="8"/>
  <c r="R940" i="8"/>
  <c r="AB940" i="8"/>
  <c r="B905" i="8"/>
  <c r="N905" i="8"/>
  <c r="Q905" i="8"/>
  <c r="R905" i="8"/>
  <c r="AB905" i="8"/>
  <c r="B906" i="8"/>
  <c r="N906" i="8"/>
  <c r="Q906" i="8"/>
  <c r="R906" i="8"/>
  <c r="AB906" i="8"/>
  <c r="B733" i="7"/>
  <c r="B734" i="7"/>
  <c r="B735" i="7"/>
  <c r="B736" i="7"/>
  <c r="B737" i="7"/>
  <c r="B738" i="7"/>
  <c r="B739" i="7"/>
  <c r="B740" i="7"/>
  <c r="B741" i="7"/>
  <c r="B742" i="7"/>
  <c r="B743" i="7"/>
  <c r="B744" i="7"/>
  <c r="B745" i="7"/>
  <c r="B746" i="7"/>
  <c r="B747" i="7"/>
  <c r="B748" i="7"/>
  <c r="B749" i="7"/>
  <c r="B750" i="7"/>
  <c r="B751" i="7"/>
  <c r="M733" i="7"/>
  <c r="M734" i="7"/>
  <c r="M735" i="7"/>
  <c r="M736" i="7"/>
  <c r="M737" i="7"/>
  <c r="M738" i="7"/>
  <c r="M739" i="7"/>
  <c r="M740" i="7"/>
  <c r="M741" i="7"/>
  <c r="M742" i="7"/>
  <c r="M743" i="7"/>
  <c r="M744" i="7"/>
  <c r="M745" i="7"/>
  <c r="M746" i="7"/>
  <c r="M747" i="7"/>
  <c r="M748" i="7"/>
  <c r="M749" i="7"/>
  <c r="M750" i="7"/>
  <c r="M751" i="7"/>
  <c r="P733" i="7"/>
  <c r="X733" i="7" s="1"/>
  <c r="P734" i="7"/>
  <c r="X734" i="7" s="1"/>
  <c r="P735" i="7"/>
  <c r="X735" i="7" s="1"/>
  <c r="P736" i="7"/>
  <c r="X736" i="7" s="1"/>
  <c r="P737" i="7"/>
  <c r="X737" i="7" s="1"/>
  <c r="P738" i="7"/>
  <c r="X738" i="7" s="1"/>
  <c r="P739" i="7"/>
  <c r="X739" i="7" s="1"/>
  <c r="P740" i="7"/>
  <c r="X740" i="7" s="1"/>
  <c r="P741" i="7"/>
  <c r="X741" i="7" s="1"/>
  <c r="P742" i="7"/>
  <c r="X742" i="7" s="1"/>
  <c r="P743" i="7"/>
  <c r="X743" i="7" s="1"/>
  <c r="P744" i="7"/>
  <c r="X744" i="7" s="1"/>
  <c r="P745" i="7"/>
  <c r="X745" i="7" s="1"/>
  <c r="P746" i="7"/>
  <c r="X746" i="7" s="1"/>
  <c r="P747" i="7"/>
  <c r="X747" i="7" s="1"/>
  <c r="P748" i="7"/>
  <c r="X748" i="7" s="1"/>
  <c r="P749" i="7"/>
  <c r="X749" i="7" s="1"/>
  <c r="P750" i="7"/>
  <c r="X750" i="7" s="1"/>
  <c r="P751" i="7"/>
  <c r="X751" i="7" s="1"/>
  <c r="Q733" i="7"/>
  <c r="Q734" i="7"/>
  <c r="Q735" i="7"/>
  <c r="Q736" i="7"/>
  <c r="Q737" i="7"/>
  <c r="Q738" i="7"/>
  <c r="Q739" i="7"/>
  <c r="Q740" i="7"/>
  <c r="Q741" i="7"/>
  <c r="Q742" i="7"/>
  <c r="Q743" i="7"/>
  <c r="Q744" i="7"/>
  <c r="Q745" i="7"/>
  <c r="Q746" i="7"/>
  <c r="Q747" i="7"/>
  <c r="Q748" i="7"/>
  <c r="Q749" i="7"/>
  <c r="Q750" i="7"/>
  <c r="Q751" i="7"/>
  <c r="B4133" i="24" l="1"/>
  <c r="M4133" i="24"/>
  <c r="P4133" i="24"/>
  <c r="Q4133" i="24"/>
  <c r="V4133" i="24"/>
  <c r="B353" i="12"/>
  <c r="M353" i="12"/>
  <c r="P353" i="12"/>
  <c r="Q353" i="12"/>
  <c r="X353" i="12"/>
  <c r="AA353" i="12"/>
  <c r="B342" i="12"/>
  <c r="M342" i="12"/>
  <c r="P342" i="12"/>
  <c r="Q342" i="12"/>
  <c r="X342" i="12"/>
  <c r="AA342" i="12"/>
  <c r="B343" i="12"/>
  <c r="B344" i="12"/>
  <c r="B345" i="12"/>
  <c r="B346" i="12"/>
  <c r="B347" i="12"/>
  <c r="B348" i="12"/>
  <c r="B349" i="12"/>
  <c r="B350" i="12"/>
  <c r="B351" i="12"/>
  <c r="B352" i="12"/>
  <c r="B354" i="12"/>
  <c r="B355" i="12"/>
  <c r="B356" i="12"/>
  <c r="B357" i="12"/>
  <c r="B358" i="12"/>
  <c r="B359" i="12"/>
  <c r="B360" i="12"/>
  <c r="B361" i="12"/>
  <c r="B362" i="12"/>
  <c r="B364" i="12"/>
  <c r="B366" i="12"/>
  <c r="M343" i="12"/>
  <c r="M344" i="12"/>
  <c r="M345" i="12"/>
  <c r="M346" i="12"/>
  <c r="M347" i="12"/>
  <c r="M348" i="12"/>
  <c r="M349" i="12"/>
  <c r="M350" i="12"/>
  <c r="M351" i="12"/>
  <c r="M352" i="12"/>
  <c r="M354" i="12"/>
  <c r="M355" i="12"/>
  <c r="M356" i="12"/>
  <c r="M357" i="12"/>
  <c r="M358" i="12"/>
  <c r="M359" i="12"/>
  <c r="M360" i="12"/>
  <c r="M361" i="12"/>
  <c r="M362" i="12"/>
  <c r="M364" i="12"/>
  <c r="M366" i="12"/>
  <c r="P343" i="12"/>
  <c r="P344" i="12"/>
  <c r="P345" i="12"/>
  <c r="P346" i="12"/>
  <c r="P347" i="12"/>
  <c r="P348" i="12"/>
  <c r="P349" i="12"/>
  <c r="P350" i="12"/>
  <c r="P351" i="12"/>
  <c r="P352" i="12"/>
  <c r="P354" i="12"/>
  <c r="P355" i="12"/>
  <c r="P356" i="12"/>
  <c r="P357" i="12"/>
  <c r="P358" i="12"/>
  <c r="P359" i="12"/>
  <c r="P360" i="12"/>
  <c r="P361" i="12"/>
  <c r="P362" i="12"/>
  <c r="P364" i="12"/>
  <c r="P366" i="12"/>
  <c r="Q343" i="12"/>
  <c r="Q344" i="12"/>
  <c r="Q345" i="12"/>
  <c r="Q346" i="12"/>
  <c r="Q347" i="12"/>
  <c r="Q348" i="12"/>
  <c r="Q349" i="12"/>
  <c r="Q350" i="12"/>
  <c r="Q351" i="12"/>
  <c r="Q352" i="12"/>
  <c r="Q354" i="12"/>
  <c r="Q355" i="12"/>
  <c r="Q356" i="12"/>
  <c r="Q357" i="12"/>
  <c r="Q358" i="12"/>
  <c r="Q359" i="12"/>
  <c r="Q360" i="12"/>
  <c r="Q361" i="12"/>
  <c r="Q362" i="12"/>
  <c r="Q364" i="12"/>
  <c r="Q366" i="12"/>
  <c r="X343" i="12"/>
  <c r="X344" i="12"/>
  <c r="X345" i="12"/>
  <c r="X346" i="12"/>
  <c r="X347" i="12"/>
  <c r="X348" i="12"/>
  <c r="X349" i="12"/>
  <c r="X350" i="12"/>
  <c r="X351" i="12"/>
  <c r="X352" i="12"/>
  <c r="X354" i="12"/>
  <c r="X355" i="12"/>
  <c r="X356" i="12"/>
  <c r="X357" i="12"/>
  <c r="X358" i="12"/>
  <c r="X359" i="12"/>
  <c r="X360" i="12"/>
  <c r="X361" i="12"/>
  <c r="X362" i="12"/>
  <c r="X364" i="12"/>
  <c r="X366" i="12"/>
  <c r="AA343" i="12"/>
  <c r="AA344" i="12"/>
  <c r="AA345" i="12"/>
  <c r="AA346" i="12"/>
  <c r="AA347" i="12"/>
  <c r="AA348" i="12"/>
  <c r="AA349" i="12"/>
  <c r="AA350" i="12"/>
  <c r="AA351" i="12"/>
  <c r="AA352" i="12"/>
  <c r="AA354" i="12"/>
  <c r="AA355" i="12"/>
  <c r="AA356" i="12"/>
  <c r="AA357" i="12"/>
  <c r="AA358" i="12"/>
  <c r="AA359" i="12"/>
  <c r="AA360" i="12"/>
  <c r="AA361" i="12"/>
  <c r="AA362" i="12"/>
  <c r="AA364" i="12"/>
  <c r="AA366" i="12"/>
  <c r="A448" i="23"/>
  <c r="B4071" i="24"/>
  <c r="M4071" i="24"/>
  <c r="P4071" i="24"/>
  <c r="Q4071" i="24"/>
  <c r="V4071" i="24"/>
  <c r="B4072" i="24"/>
  <c r="M4072" i="24"/>
  <c r="P4072" i="24"/>
  <c r="Q4072" i="24"/>
  <c r="V4072" i="24"/>
  <c r="B4073" i="24"/>
  <c r="M4073" i="24"/>
  <c r="P4073" i="24"/>
  <c r="Q4073" i="24"/>
  <c r="V4073" i="24"/>
  <c r="B4074" i="24"/>
  <c r="M4074" i="24"/>
  <c r="P4074" i="24"/>
  <c r="Q4074" i="24"/>
  <c r="V4074" i="24"/>
  <c r="B4107" i="24"/>
  <c r="M4107" i="24"/>
  <c r="P4107" i="24"/>
  <c r="Q4107" i="24"/>
  <c r="V4107" i="24"/>
  <c r="B4108" i="24"/>
  <c r="M4108" i="24"/>
  <c r="P4108" i="24"/>
  <c r="Q4108" i="24"/>
  <c r="V4108" i="24"/>
  <c r="B4001" i="24"/>
  <c r="M4001" i="24"/>
  <c r="P4001" i="24"/>
  <c r="Q4001" i="24"/>
  <c r="V4001" i="24"/>
  <c r="B4002" i="24"/>
  <c r="M4002" i="24"/>
  <c r="P4002" i="24"/>
  <c r="Q4002" i="24"/>
  <c r="V4002" i="24"/>
  <c r="A454" i="23"/>
  <c r="A453" i="23"/>
  <c r="B453" i="23"/>
  <c r="M453" i="23"/>
  <c r="P453" i="23"/>
  <c r="Q453" i="23"/>
  <c r="AA453" i="23"/>
  <c r="A458" i="23"/>
  <c r="A459" i="23"/>
  <c r="A460" i="23"/>
  <c r="A461" i="23"/>
  <c r="B458" i="23"/>
  <c r="B459" i="23"/>
  <c r="B460" i="23"/>
  <c r="B461" i="23"/>
  <c r="M458" i="23"/>
  <c r="M459" i="23"/>
  <c r="M460" i="23"/>
  <c r="M461" i="23"/>
  <c r="P458" i="23"/>
  <c r="P459" i="23"/>
  <c r="P460" i="23"/>
  <c r="P461" i="23"/>
  <c r="Q458" i="23"/>
  <c r="Q459" i="23"/>
  <c r="Q460" i="23"/>
  <c r="Q461" i="23"/>
  <c r="AA458" i="23"/>
  <c r="AA459" i="23"/>
  <c r="AA460" i="23"/>
  <c r="AA461" i="23"/>
  <c r="A457" i="23"/>
  <c r="B457" i="23"/>
  <c r="M457" i="23"/>
  <c r="P457" i="23"/>
  <c r="Q457" i="23"/>
  <c r="AA457" i="23"/>
  <c r="A456" i="23"/>
  <c r="B456" i="23"/>
  <c r="M456" i="23"/>
  <c r="P456" i="23"/>
  <c r="Q456" i="23"/>
  <c r="AA456" i="23"/>
  <c r="A455" i="23"/>
  <c r="B455" i="23"/>
  <c r="M455" i="23"/>
  <c r="P455" i="23"/>
  <c r="Q455" i="23"/>
  <c r="AA455" i="23"/>
  <c r="B454" i="23"/>
  <c r="M454" i="23"/>
  <c r="P454" i="23"/>
  <c r="Q454" i="23"/>
  <c r="AA454" i="23"/>
  <c r="B939" i="8"/>
  <c r="N939" i="8"/>
  <c r="Q939" i="8"/>
  <c r="R939" i="8"/>
  <c r="AB939" i="8"/>
  <c r="B938" i="8"/>
  <c r="N938" i="8"/>
  <c r="Q938" i="8"/>
  <c r="R938" i="8"/>
  <c r="AB938" i="8"/>
  <c r="B937" i="8"/>
  <c r="N937" i="8"/>
  <c r="Q937" i="8"/>
  <c r="R937" i="8"/>
  <c r="AB937" i="8"/>
  <c r="B936" i="8"/>
  <c r="N936" i="8"/>
  <c r="Q936" i="8"/>
  <c r="R936" i="8"/>
  <c r="AB936" i="8"/>
  <c r="B4120" i="24" l="1"/>
  <c r="M4120" i="24"/>
  <c r="P4120" i="24"/>
  <c r="Q4120" i="24"/>
  <c r="V4120" i="24"/>
  <c r="B4121" i="24"/>
  <c r="M4121" i="24"/>
  <c r="P4121" i="24"/>
  <c r="Q4121" i="24"/>
  <c r="V4121" i="24"/>
  <c r="B4141" i="24" l="1"/>
  <c r="M4141" i="24"/>
  <c r="P4141" i="24"/>
  <c r="Q4141" i="24"/>
  <c r="V4141" i="24"/>
  <c r="B935" i="8" l="1"/>
  <c r="N935" i="8"/>
  <c r="Q935" i="8"/>
  <c r="R935" i="8"/>
  <c r="AB935" i="8"/>
  <c r="B934" i="8"/>
  <c r="N934" i="8"/>
  <c r="Q934" i="8"/>
  <c r="R934" i="8"/>
  <c r="AB934" i="8"/>
  <c r="B933" i="8"/>
  <c r="N933" i="8"/>
  <c r="Q933" i="8"/>
  <c r="R933" i="8"/>
  <c r="AB933" i="8"/>
  <c r="B932" i="8"/>
  <c r="N932" i="8"/>
  <c r="Q932" i="8"/>
  <c r="R932" i="8"/>
  <c r="AB932" i="8"/>
  <c r="B881" i="9"/>
  <c r="N881" i="9"/>
  <c r="Q881" i="9"/>
  <c r="R881" i="9"/>
  <c r="AB881" i="9"/>
  <c r="B880" i="9"/>
  <c r="N880" i="9"/>
  <c r="Q880" i="9"/>
  <c r="R880" i="9"/>
  <c r="AB880" i="9"/>
  <c r="B4138" i="24" l="1"/>
  <c r="M4138" i="24"/>
  <c r="P4138" i="24"/>
  <c r="Q4138" i="24"/>
  <c r="V4138" i="24"/>
  <c r="B4137" i="24"/>
  <c r="M4137" i="24"/>
  <c r="P4137" i="24"/>
  <c r="Q4137" i="24"/>
  <c r="V4137" i="24"/>
  <c r="B4134" i="24" l="1"/>
  <c r="M4134" i="24"/>
  <c r="P4134" i="24"/>
  <c r="Q4134" i="24"/>
  <c r="V4134" i="24"/>
  <c r="B399" i="3" l="1"/>
  <c r="M399" i="3"/>
  <c r="P399" i="3"/>
  <c r="Q399" i="3"/>
  <c r="AA399" i="3"/>
  <c r="B4114" i="24"/>
  <c r="M4114" i="24"/>
  <c r="P4114" i="24"/>
  <c r="Q4114" i="24"/>
  <c r="V4114" i="24"/>
  <c r="B4115" i="24"/>
  <c r="M4115" i="24"/>
  <c r="P4115" i="24"/>
  <c r="Q4115" i="24"/>
  <c r="V4115" i="24"/>
  <c r="B4131" i="24"/>
  <c r="M4131" i="24"/>
  <c r="P4131" i="24"/>
  <c r="Q4131" i="24"/>
  <c r="V4131" i="24"/>
  <c r="B4132" i="24"/>
  <c r="M4132" i="24"/>
  <c r="P4132" i="24"/>
  <c r="Q4132" i="24"/>
  <c r="V4132" i="24"/>
  <c r="B931" i="8"/>
  <c r="N931" i="8"/>
  <c r="Q931" i="8"/>
  <c r="R931" i="8"/>
  <c r="AB931" i="8"/>
  <c r="B879" i="9"/>
  <c r="N879" i="9"/>
  <c r="Q879" i="9"/>
  <c r="R879" i="9"/>
  <c r="AB879" i="9"/>
  <c r="B930" i="8"/>
  <c r="N930" i="8"/>
  <c r="Q930" i="8"/>
  <c r="R930" i="8"/>
  <c r="AB930" i="8"/>
  <c r="B928" i="8"/>
  <c r="B929" i="8"/>
  <c r="N928" i="8"/>
  <c r="N929" i="8"/>
  <c r="Q928" i="8"/>
  <c r="Q929" i="8"/>
  <c r="R928" i="8"/>
  <c r="R929" i="8"/>
  <c r="AB928" i="8"/>
  <c r="AB929" i="8"/>
  <c r="B4130" i="24"/>
  <c r="M4130" i="24"/>
  <c r="P4130" i="24"/>
  <c r="Q4130" i="24"/>
  <c r="V4130" i="24"/>
  <c r="B4129" i="24"/>
  <c r="M4129" i="24"/>
  <c r="P4129" i="24"/>
  <c r="Q4129" i="24"/>
  <c r="V4129" i="24"/>
  <c r="B4128" i="24"/>
  <c r="M4128" i="24"/>
  <c r="P4128" i="24"/>
  <c r="Q4128" i="24"/>
  <c r="V4128" i="24"/>
  <c r="B4127" i="24"/>
  <c r="M4127" i="24"/>
  <c r="P4127" i="24"/>
  <c r="Q4127" i="24"/>
  <c r="V4127" i="24"/>
  <c r="B4124" i="24"/>
  <c r="M4124" i="24"/>
  <c r="P4124" i="24"/>
  <c r="Q4124" i="24"/>
  <c r="V4124" i="24"/>
  <c r="B4113" i="24"/>
  <c r="M4113" i="24"/>
  <c r="P4113" i="24"/>
  <c r="Q4113" i="24"/>
  <c r="V4113" i="24"/>
  <c r="M4123" i="24"/>
  <c r="B878" i="9"/>
  <c r="N878" i="9"/>
  <c r="Q878" i="9"/>
  <c r="R878" i="9"/>
  <c r="AB878" i="9"/>
  <c r="B877" i="9"/>
  <c r="N877" i="9"/>
  <c r="Q877" i="9"/>
  <c r="R877" i="9"/>
  <c r="AB877" i="9"/>
  <c r="B876" i="9"/>
  <c r="N876" i="9"/>
  <c r="Q876" i="9"/>
  <c r="R876" i="9"/>
  <c r="AB876" i="9"/>
  <c r="B4112" i="24" l="1"/>
  <c r="M4112" i="24"/>
  <c r="P4112" i="24"/>
  <c r="Q4112" i="24"/>
  <c r="V4112" i="24"/>
  <c r="B401" i="3"/>
  <c r="M401" i="3"/>
  <c r="P401" i="3"/>
  <c r="Q401" i="3"/>
  <c r="AA401" i="3"/>
  <c r="B400" i="3"/>
  <c r="M400" i="3"/>
  <c r="P400" i="3"/>
  <c r="Q400" i="3"/>
  <c r="AA400" i="3"/>
  <c r="B398" i="3" l="1"/>
  <c r="M398" i="3"/>
  <c r="P398" i="3"/>
  <c r="Q398" i="3"/>
  <c r="AA398" i="3"/>
  <c r="B397" i="3"/>
  <c r="M397" i="3"/>
  <c r="P397" i="3"/>
  <c r="Q397" i="3"/>
  <c r="AA397" i="3"/>
  <c r="V4100" i="24" l="1"/>
  <c r="Q4100" i="24"/>
  <c r="P4100" i="24"/>
  <c r="M4100" i="24"/>
  <c r="B4100" i="24"/>
  <c r="V4101" i="24"/>
  <c r="Q4101" i="24"/>
  <c r="P4101" i="24"/>
  <c r="M4101" i="24"/>
  <c r="B4101" i="24"/>
  <c r="V4123" i="24"/>
  <c r="Q4123" i="24"/>
  <c r="P4123" i="24"/>
  <c r="B4123" i="24"/>
  <c r="V4122" i="24"/>
  <c r="Q4122" i="24"/>
  <c r="P4122" i="24"/>
  <c r="M4122" i="24"/>
  <c r="B4122" i="24"/>
  <c r="V4116" i="24" l="1"/>
  <c r="V4119" i="24"/>
  <c r="Q4116" i="24"/>
  <c r="Q4119" i="24"/>
  <c r="P4116" i="24"/>
  <c r="P4119" i="24"/>
  <c r="M4116" i="24"/>
  <c r="M4119" i="24"/>
  <c r="B4116" i="24"/>
  <c r="B4119" i="24"/>
  <c r="AB927" i="8" l="1"/>
  <c r="R927" i="8"/>
  <c r="Q927" i="8"/>
  <c r="N927" i="8"/>
  <c r="B927" i="8"/>
  <c r="AB875" i="9"/>
  <c r="R875" i="9"/>
  <c r="Q875" i="9"/>
  <c r="N875" i="9"/>
  <c r="B875" i="9"/>
  <c r="AB926" i="8"/>
  <c r="R926" i="8"/>
  <c r="Q926" i="8"/>
  <c r="N926" i="8"/>
  <c r="B926" i="8"/>
  <c r="AB925" i="8"/>
  <c r="R925" i="8"/>
  <c r="Q925" i="8"/>
  <c r="N925" i="8"/>
  <c r="B925" i="8"/>
  <c r="AB924" i="8"/>
  <c r="R924" i="8"/>
  <c r="Q924" i="8"/>
  <c r="N924" i="8"/>
  <c r="B924" i="8"/>
  <c r="AB923" i="8"/>
  <c r="R923" i="8"/>
  <c r="Q923" i="8"/>
  <c r="N923" i="8"/>
  <c r="B923" i="8"/>
  <c r="AB922" i="8"/>
  <c r="R922" i="8"/>
  <c r="Q922" i="8"/>
  <c r="N922" i="8"/>
  <c r="B922" i="8"/>
  <c r="AB921" i="8"/>
  <c r="R921" i="8"/>
  <c r="Q921" i="8"/>
  <c r="N921" i="8"/>
  <c r="B921" i="8"/>
  <c r="AB920" i="8"/>
  <c r="R920" i="8"/>
  <c r="Q920" i="8"/>
  <c r="N920" i="8"/>
  <c r="B920" i="8"/>
  <c r="AB919" i="8"/>
  <c r="R919" i="8"/>
  <c r="Q919" i="8"/>
  <c r="N919" i="8"/>
  <c r="B919" i="8"/>
  <c r="AB918" i="8"/>
  <c r="R918" i="8"/>
  <c r="Q918" i="8"/>
  <c r="N918" i="8"/>
  <c r="B918" i="8"/>
  <c r="AB917" i="8"/>
  <c r="R917" i="8"/>
  <c r="Q917" i="8"/>
  <c r="N917" i="8"/>
  <c r="B917" i="8"/>
  <c r="AB916" i="8"/>
  <c r="R916" i="8"/>
  <c r="Q916" i="8"/>
  <c r="N916" i="8"/>
  <c r="B916" i="8"/>
  <c r="AB915" i="8"/>
  <c r="R915" i="8"/>
  <c r="Q915" i="8"/>
  <c r="N915" i="8"/>
  <c r="B915" i="8"/>
  <c r="AB914" i="8"/>
  <c r="R914" i="8"/>
  <c r="Q914" i="8"/>
  <c r="N914" i="8"/>
  <c r="B914" i="8"/>
  <c r="AB913" i="8"/>
  <c r="R913" i="8"/>
  <c r="Q913" i="8"/>
  <c r="N913" i="8"/>
  <c r="B913" i="8"/>
  <c r="AB912" i="8"/>
  <c r="R912" i="8"/>
  <c r="Q912" i="8"/>
  <c r="N912" i="8"/>
  <c r="B912" i="8"/>
  <c r="AB911" i="8"/>
  <c r="R911" i="8"/>
  <c r="Q911" i="8"/>
  <c r="N911" i="8"/>
  <c r="B911" i="8"/>
  <c r="AB910" i="8"/>
  <c r="R910" i="8"/>
  <c r="Q910" i="8"/>
  <c r="N910" i="8"/>
  <c r="B910" i="8"/>
  <c r="AB909" i="8"/>
  <c r="R909" i="8"/>
  <c r="Q909" i="8"/>
  <c r="N909" i="8"/>
  <c r="B909" i="8"/>
  <c r="AB908" i="8"/>
  <c r="R908" i="8"/>
  <c r="Q908" i="8"/>
  <c r="N908" i="8"/>
  <c r="B908" i="8"/>
  <c r="V4099" i="24"/>
  <c r="Q4099" i="24"/>
  <c r="P4099" i="24"/>
  <c r="M4099" i="24"/>
  <c r="B4099" i="24"/>
  <c r="B4102" i="24"/>
  <c r="M4102" i="24"/>
  <c r="P4102" i="24"/>
  <c r="Q4102" i="24"/>
  <c r="V4102" i="24"/>
  <c r="AB874" i="9"/>
  <c r="R874" i="9"/>
  <c r="Q874" i="9"/>
  <c r="N874" i="9"/>
  <c r="B874" i="9"/>
  <c r="AB873" i="9"/>
  <c r="R873" i="9"/>
  <c r="Q873" i="9"/>
  <c r="N873" i="9"/>
  <c r="B873" i="9"/>
  <c r="AB872" i="9"/>
  <c r="R872" i="9"/>
  <c r="Q872" i="9"/>
  <c r="N872" i="9"/>
  <c r="B872" i="9"/>
  <c r="V4111" i="24" l="1"/>
  <c r="Q4111" i="24"/>
  <c r="P4111" i="24"/>
  <c r="M4111" i="24"/>
  <c r="B4111" i="24"/>
  <c r="B4110" i="24" l="1"/>
  <c r="M4110" i="24"/>
  <c r="P4110" i="24"/>
  <c r="Q4110" i="24"/>
  <c r="V4110" i="24"/>
  <c r="B4098" i="24" l="1"/>
  <c r="M4098" i="24"/>
  <c r="P4098" i="24"/>
  <c r="Q4098" i="24"/>
  <c r="V4098" i="24"/>
  <c r="B907" i="8"/>
  <c r="N907" i="8"/>
  <c r="Q907" i="8"/>
  <c r="R907" i="8"/>
  <c r="AB907" i="8"/>
  <c r="A50" i="6"/>
  <c r="A47" i="6"/>
  <c r="A51" i="6"/>
  <c r="B51" i="6"/>
  <c r="M51" i="6"/>
  <c r="P51" i="6"/>
  <c r="Q51" i="6"/>
  <c r="AA51" i="6"/>
  <c r="A49" i="6"/>
  <c r="B49" i="6"/>
  <c r="M49" i="6"/>
  <c r="P49" i="6"/>
  <c r="Q49" i="6"/>
  <c r="AA49" i="6"/>
  <c r="A46" i="6"/>
  <c r="B46" i="6"/>
  <c r="M46" i="6"/>
  <c r="P46" i="6"/>
  <c r="Q46" i="6"/>
  <c r="AA46" i="6"/>
  <c r="A48" i="6"/>
  <c r="A45" i="6"/>
  <c r="B45" i="6"/>
  <c r="M45" i="6"/>
  <c r="P45" i="6"/>
  <c r="Q45" i="6"/>
  <c r="AA45" i="6"/>
  <c r="B47" i="6"/>
  <c r="M47" i="6"/>
  <c r="P47" i="6"/>
  <c r="Q47" i="6"/>
  <c r="AA47" i="6"/>
  <c r="B48" i="6"/>
  <c r="M48" i="6"/>
  <c r="P48" i="6"/>
  <c r="Q48" i="6"/>
  <c r="AA48" i="6"/>
  <c r="B50" i="6"/>
  <c r="M50" i="6"/>
  <c r="P50" i="6"/>
  <c r="Q50" i="6"/>
  <c r="AA50" i="6"/>
  <c r="B4037" i="24"/>
  <c r="M4037" i="24"/>
  <c r="P4037" i="24"/>
  <c r="Q4037" i="24"/>
  <c r="V4037" i="24"/>
  <c r="B4038" i="24"/>
  <c r="M4038" i="24"/>
  <c r="P4038" i="24"/>
  <c r="Q4038" i="24"/>
  <c r="V4038" i="24"/>
  <c r="B4039" i="24"/>
  <c r="M4039" i="24"/>
  <c r="P4039" i="24"/>
  <c r="Q4039" i="24"/>
  <c r="V4039" i="24"/>
  <c r="B4109" i="24" l="1"/>
  <c r="M4109" i="24"/>
  <c r="P4109" i="24"/>
  <c r="Q4109" i="24"/>
  <c r="V4109" i="24"/>
  <c r="B4106" i="24"/>
  <c r="M4106" i="24"/>
  <c r="P4106" i="24"/>
  <c r="Q4106" i="24"/>
  <c r="V4106" i="24"/>
  <c r="B4105" i="24"/>
  <c r="M4105" i="24"/>
  <c r="P4105" i="24"/>
  <c r="Q4105" i="24"/>
  <c r="V4105" i="24"/>
  <c r="B4104" i="24"/>
  <c r="M4104" i="24"/>
  <c r="P4104" i="24"/>
  <c r="Q4104" i="24"/>
  <c r="V4104" i="24"/>
  <c r="B904" i="8" l="1"/>
  <c r="N904" i="8"/>
  <c r="Q904" i="8"/>
  <c r="R904" i="8"/>
  <c r="AB904" i="8"/>
  <c r="B4103" i="24"/>
  <c r="M4103" i="24"/>
  <c r="P4103" i="24"/>
  <c r="Q4103" i="24"/>
  <c r="V4103" i="24"/>
  <c r="B4093" i="24" l="1"/>
  <c r="M4093" i="24"/>
  <c r="P4093" i="24"/>
  <c r="Q4093" i="24"/>
  <c r="V4093" i="24"/>
  <c r="B4097" i="24"/>
  <c r="M4097" i="24"/>
  <c r="P4097" i="24"/>
  <c r="Q4097" i="24"/>
  <c r="V4097" i="24"/>
  <c r="B4096" i="24"/>
  <c r="M4096" i="24"/>
  <c r="P4096" i="24"/>
  <c r="Q4096" i="24"/>
  <c r="V4096" i="24"/>
  <c r="B4095" i="24"/>
  <c r="M4095" i="24"/>
  <c r="P4095" i="24"/>
  <c r="Q4095" i="24"/>
  <c r="V4095" i="24"/>
  <c r="B4094" i="24"/>
  <c r="M4094" i="24"/>
  <c r="P4094" i="24"/>
  <c r="Q4094" i="24"/>
  <c r="V4094" i="24"/>
  <c r="B440" i="10"/>
  <c r="M440" i="10"/>
  <c r="P440" i="10"/>
  <c r="Q440" i="10"/>
  <c r="X440" i="10"/>
  <c r="AA440" i="10"/>
  <c r="B441" i="10"/>
  <c r="B442" i="10"/>
  <c r="B443" i="10"/>
  <c r="B444" i="10"/>
  <c r="B445" i="10"/>
  <c r="B446" i="10"/>
  <c r="B447" i="10"/>
  <c r="B448" i="10"/>
  <c r="B449" i="10"/>
  <c r="B450" i="10"/>
  <c r="B451" i="10"/>
  <c r="B452" i="10"/>
  <c r="B453" i="10"/>
  <c r="M441" i="10"/>
  <c r="M442" i="10"/>
  <c r="M443" i="10"/>
  <c r="M444" i="10"/>
  <c r="M445" i="10"/>
  <c r="M446" i="10"/>
  <c r="M447" i="10"/>
  <c r="M448" i="10"/>
  <c r="M449" i="10"/>
  <c r="M450" i="10"/>
  <c r="M451" i="10"/>
  <c r="M452" i="10"/>
  <c r="M453" i="10"/>
  <c r="P441" i="10"/>
  <c r="P442" i="10"/>
  <c r="P443" i="10"/>
  <c r="P444" i="10"/>
  <c r="P445" i="10"/>
  <c r="P446" i="10"/>
  <c r="P447" i="10"/>
  <c r="P448" i="10"/>
  <c r="P449" i="10"/>
  <c r="P450" i="10"/>
  <c r="P451" i="10"/>
  <c r="P452" i="10"/>
  <c r="P453" i="10"/>
  <c r="Q441" i="10"/>
  <c r="Q442" i="10"/>
  <c r="Q443" i="10"/>
  <c r="Q444" i="10"/>
  <c r="Q445" i="10"/>
  <c r="Q446" i="10"/>
  <c r="Q447" i="10"/>
  <c r="Q448" i="10"/>
  <c r="Q449" i="10"/>
  <c r="Q450" i="10"/>
  <c r="Q451" i="10"/>
  <c r="Q452" i="10"/>
  <c r="Q453" i="10"/>
  <c r="X441" i="10"/>
  <c r="X442" i="10"/>
  <c r="X443" i="10"/>
  <c r="X444" i="10"/>
  <c r="X445" i="10"/>
  <c r="X446" i="10"/>
  <c r="X447" i="10"/>
  <c r="X448" i="10"/>
  <c r="X449" i="10"/>
  <c r="X450" i="10"/>
  <c r="X451" i="10"/>
  <c r="X452" i="10"/>
  <c r="X453" i="10"/>
  <c r="AA441" i="10"/>
  <c r="AA442" i="10"/>
  <c r="AA443" i="10"/>
  <c r="AA444" i="10"/>
  <c r="AA445" i="10"/>
  <c r="AA446" i="10"/>
  <c r="AA447" i="10"/>
  <c r="AA448" i="10"/>
  <c r="AA449" i="10"/>
  <c r="AA450" i="10"/>
  <c r="AA451" i="10"/>
  <c r="AA452" i="10"/>
  <c r="AA453" i="10"/>
  <c r="B4092" i="24" l="1"/>
  <c r="M4092" i="24"/>
  <c r="P4092" i="24"/>
  <c r="Q4092" i="24"/>
  <c r="V4092" i="24"/>
  <c r="B4091" i="24"/>
  <c r="M4091" i="24"/>
  <c r="P4091" i="24"/>
  <c r="Q4091" i="24"/>
  <c r="V4091" i="24"/>
  <c r="B903" i="8"/>
  <c r="N903" i="8"/>
  <c r="Q903" i="8"/>
  <c r="R903" i="8"/>
  <c r="AB903" i="8"/>
  <c r="B4090" i="24" l="1"/>
  <c r="M4090" i="24"/>
  <c r="P4090" i="24"/>
  <c r="Q4090" i="24"/>
  <c r="V4090" i="24"/>
  <c r="B871" i="9"/>
  <c r="N871" i="9"/>
  <c r="Q871" i="9"/>
  <c r="R871" i="9"/>
  <c r="AB871" i="9"/>
  <c r="B868" i="9"/>
  <c r="N868" i="9"/>
  <c r="Q868" i="9"/>
  <c r="R868" i="9"/>
  <c r="AB868" i="9"/>
  <c r="B864" i="9"/>
  <c r="N864" i="9"/>
  <c r="Q864" i="9"/>
  <c r="R864" i="9"/>
  <c r="AB864" i="9"/>
  <c r="B902" i="8"/>
  <c r="N902" i="8"/>
  <c r="Q902" i="8"/>
  <c r="R902" i="8"/>
  <c r="AB902" i="8"/>
  <c r="B4089" i="24"/>
  <c r="M4089" i="24"/>
  <c r="P4089" i="24"/>
  <c r="Q4089" i="24"/>
  <c r="V4089" i="24"/>
  <c r="B863" i="9"/>
  <c r="N863" i="9"/>
  <c r="Q863" i="9"/>
  <c r="R863" i="9"/>
  <c r="AB863" i="9"/>
  <c r="B901" i="8"/>
  <c r="N901" i="8"/>
  <c r="Q901" i="8"/>
  <c r="R901" i="8"/>
  <c r="AB901" i="8"/>
  <c r="B900" i="8"/>
  <c r="N900" i="8"/>
  <c r="Q900" i="8"/>
  <c r="R900" i="8"/>
  <c r="AB900" i="8"/>
  <c r="B899" i="8"/>
  <c r="N899" i="8"/>
  <c r="Q899" i="8"/>
  <c r="R899" i="8"/>
  <c r="AB899" i="8"/>
  <c r="B898" i="8"/>
  <c r="N898" i="8"/>
  <c r="Q898" i="8"/>
  <c r="R898" i="8"/>
  <c r="AB898" i="8"/>
  <c r="B897" i="8"/>
  <c r="N897" i="8"/>
  <c r="Q897" i="8"/>
  <c r="R897" i="8"/>
  <c r="AB897" i="8"/>
  <c r="B896" i="8"/>
  <c r="N896" i="8"/>
  <c r="Q896" i="8"/>
  <c r="R896" i="8"/>
  <c r="AB896" i="8"/>
  <c r="B895" i="8"/>
  <c r="N895" i="8"/>
  <c r="Q895" i="8"/>
  <c r="R895" i="8"/>
  <c r="AB895" i="8"/>
  <c r="B894" i="8"/>
  <c r="N894" i="8"/>
  <c r="Q894" i="8"/>
  <c r="R894" i="8"/>
  <c r="AB894" i="8"/>
  <c r="B893" i="8"/>
  <c r="N893" i="8"/>
  <c r="Q893" i="8"/>
  <c r="R893" i="8"/>
  <c r="AB893" i="8"/>
  <c r="B892" i="8"/>
  <c r="N892" i="8"/>
  <c r="Q892" i="8"/>
  <c r="R892" i="8"/>
  <c r="AB892" i="8"/>
  <c r="B891" i="8"/>
  <c r="N891" i="8"/>
  <c r="Q891" i="8"/>
  <c r="R891" i="8"/>
  <c r="AB891" i="8"/>
  <c r="B890" i="8"/>
  <c r="N890" i="8"/>
  <c r="Q890" i="8"/>
  <c r="R890" i="8"/>
  <c r="AB890" i="8"/>
  <c r="B4082" i="24"/>
  <c r="M4082" i="24"/>
  <c r="P4082" i="24"/>
  <c r="Q4082" i="24"/>
  <c r="V4082" i="24"/>
  <c r="B4083" i="24"/>
  <c r="M4083" i="24"/>
  <c r="P4083" i="24"/>
  <c r="Q4083" i="24"/>
  <c r="V4083" i="24"/>
  <c r="B4088" i="24"/>
  <c r="M4088" i="24"/>
  <c r="P4088" i="24"/>
  <c r="Q4088" i="24"/>
  <c r="V4088" i="24"/>
  <c r="B4080" i="24"/>
  <c r="M4080" i="24"/>
  <c r="P4080" i="24"/>
  <c r="Q4080" i="24"/>
  <c r="V4080" i="24"/>
  <c r="B4081" i="24"/>
  <c r="M4081" i="24"/>
  <c r="P4081" i="24"/>
  <c r="Q4081" i="24"/>
  <c r="V4081" i="24"/>
  <c r="B862" i="9"/>
  <c r="N862" i="9"/>
  <c r="Q862" i="9"/>
  <c r="R862" i="9"/>
  <c r="AB862" i="9"/>
  <c r="B861" i="9"/>
  <c r="N861" i="9"/>
  <c r="Q861" i="9"/>
  <c r="R861" i="9"/>
  <c r="AB861" i="9"/>
  <c r="B860" i="9"/>
  <c r="N860" i="9"/>
  <c r="Q860" i="9"/>
  <c r="R860" i="9"/>
  <c r="AB860" i="9"/>
  <c r="B4079" i="24" l="1"/>
  <c r="M4079" i="24"/>
  <c r="P4079" i="24"/>
  <c r="Q4079" i="24"/>
  <c r="V4079" i="24"/>
  <c r="B4084" i="24"/>
  <c r="M4084" i="24"/>
  <c r="P4084" i="24"/>
  <c r="Q4084" i="24"/>
  <c r="V4084" i="24"/>
  <c r="B889" i="8" l="1"/>
  <c r="N889" i="8"/>
  <c r="Q889" i="8"/>
  <c r="R889" i="8"/>
  <c r="AB889" i="8"/>
  <c r="B859" i="9"/>
  <c r="N859" i="9"/>
  <c r="Q859" i="9"/>
  <c r="R859" i="9"/>
  <c r="AB859" i="9"/>
  <c r="B888" i="8"/>
  <c r="N888" i="8"/>
  <c r="Q888" i="8"/>
  <c r="R888" i="8"/>
  <c r="AB888" i="8"/>
  <c r="B887" i="8"/>
  <c r="N887" i="8"/>
  <c r="Q887" i="8"/>
  <c r="R887" i="8"/>
  <c r="AB887" i="8"/>
  <c r="B886" i="8"/>
  <c r="N886" i="8"/>
  <c r="Q886" i="8"/>
  <c r="R886" i="8"/>
  <c r="AB886" i="8"/>
  <c r="B885" i="8"/>
  <c r="N885" i="8"/>
  <c r="Q885" i="8"/>
  <c r="R885" i="8"/>
  <c r="AB885" i="8"/>
  <c r="B4087" i="24" l="1"/>
  <c r="M4087" i="24"/>
  <c r="P4087" i="24"/>
  <c r="Q4087" i="24"/>
  <c r="V4087" i="24"/>
  <c r="B4077" i="24" l="1"/>
  <c r="M4077" i="24"/>
  <c r="P4077" i="24"/>
  <c r="Q4077" i="24"/>
  <c r="V4077" i="24"/>
  <c r="B4078" i="24"/>
  <c r="M4078" i="24"/>
  <c r="P4078" i="24"/>
  <c r="Q4078" i="24"/>
  <c r="V4078" i="24"/>
  <c r="B2" i="24"/>
  <c r="M2" i="24"/>
  <c r="P2" i="24"/>
  <c r="R2" i="24" s="1"/>
  <c r="Q2" i="24"/>
  <c r="V2" i="24"/>
  <c r="B3" i="24"/>
  <c r="M3" i="24"/>
  <c r="P3" i="24"/>
  <c r="Q3" i="24"/>
  <c r="V3" i="24"/>
  <c r="B4" i="24"/>
  <c r="M4" i="24"/>
  <c r="P4" i="24"/>
  <c r="Q4" i="24"/>
  <c r="V4" i="24"/>
  <c r="B5" i="24"/>
  <c r="M5" i="24"/>
  <c r="P5" i="24"/>
  <c r="Q5" i="24"/>
  <c r="V5" i="24"/>
  <c r="B6" i="24"/>
  <c r="M6" i="24"/>
  <c r="P6" i="24"/>
  <c r="Q6" i="24"/>
  <c r="V6" i="24"/>
  <c r="B7" i="24"/>
  <c r="M7" i="24"/>
  <c r="P7" i="24"/>
  <c r="Q7" i="24"/>
  <c r="V7" i="24"/>
  <c r="B10" i="24"/>
  <c r="M10" i="24"/>
  <c r="P10" i="24"/>
  <c r="Q10" i="24"/>
  <c r="V10" i="24"/>
  <c r="B11" i="24"/>
  <c r="M11" i="24"/>
  <c r="P11" i="24"/>
  <c r="Q11" i="24"/>
  <c r="V11" i="24"/>
  <c r="B12" i="24"/>
  <c r="M12" i="24"/>
  <c r="P12" i="24"/>
  <c r="Q12" i="24"/>
  <c r="V12" i="24"/>
  <c r="B13" i="24"/>
  <c r="M13" i="24"/>
  <c r="P13" i="24"/>
  <c r="Q13" i="24"/>
  <c r="V13" i="24"/>
  <c r="B14" i="24"/>
  <c r="M14" i="24"/>
  <c r="P14" i="24"/>
  <c r="Q14" i="24"/>
  <c r="V14" i="24"/>
  <c r="B15" i="24"/>
  <c r="M15" i="24"/>
  <c r="P15" i="24"/>
  <c r="Q15" i="24"/>
  <c r="V15" i="24"/>
  <c r="B16" i="24"/>
  <c r="M16" i="24"/>
  <c r="P16" i="24"/>
  <c r="Q16" i="24"/>
  <c r="V16" i="24"/>
  <c r="B17" i="24"/>
  <c r="M17" i="24"/>
  <c r="P17" i="24"/>
  <c r="Q17" i="24"/>
  <c r="V17" i="24"/>
  <c r="B18" i="24"/>
  <c r="M18" i="24"/>
  <c r="P18" i="24"/>
  <c r="Q18" i="24"/>
  <c r="V18" i="24"/>
  <c r="B19" i="24"/>
  <c r="M19" i="24"/>
  <c r="P19" i="24"/>
  <c r="Q19" i="24"/>
  <c r="V19" i="24"/>
  <c r="B20" i="24"/>
  <c r="M20" i="24"/>
  <c r="P20" i="24"/>
  <c r="Q20" i="24"/>
  <c r="V20" i="24"/>
  <c r="B21" i="24"/>
  <c r="M21" i="24"/>
  <c r="P21" i="24"/>
  <c r="Q21" i="24"/>
  <c r="V21" i="24"/>
  <c r="B22" i="24"/>
  <c r="M22" i="24"/>
  <c r="P22" i="24"/>
  <c r="Q22" i="24"/>
  <c r="V22" i="24"/>
  <c r="B23" i="24"/>
  <c r="M23" i="24"/>
  <c r="P23" i="24"/>
  <c r="Q23" i="24"/>
  <c r="V23" i="24"/>
  <c r="B24" i="24"/>
  <c r="M24" i="24"/>
  <c r="P24" i="24"/>
  <c r="Q24" i="24"/>
  <c r="V24" i="24"/>
  <c r="B25" i="24"/>
  <c r="M25" i="24"/>
  <c r="P25" i="24"/>
  <c r="Q25" i="24"/>
  <c r="V25" i="24"/>
  <c r="B26" i="24"/>
  <c r="M26" i="24"/>
  <c r="P26" i="24"/>
  <c r="Q26" i="24"/>
  <c r="V26" i="24"/>
  <c r="B27" i="24"/>
  <c r="M27" i="24"/>
  <c r="P27" i="24"/>
  <c r="Q27" i="24"/>
  <c r="V27" i="24"/>
  <c r="B28" i="24"/>
  <c r="M28" i="24"/>
  <c r="P28" i="24"/>
  <c r="Q28" i="24"/>
  <c r="V28" i="24"/>
  <c r="B29" i="24"/>
  <c r="M29" i="24"/>
  <c r="P29" i="24"/>
  <c r="Q29" i="24"/>
  <c r="V29" i="24"/>
  <c r="B30" i="24"/>
  <c r="M30" i="24"/>
  <c r="P30" i="24"/>
  <c r="Q30" i="24"/>
  <c r="V30" i="24"/>
  <c r="B31" i="24"/>
  <c r="M31" i="24"/>
  <c r="P31" i="24"/>
  <c r="Q31" i="24"/>
  <c r="V31" i="24"/>
  <c r="B32" i="24"/>
  <c r="M32" i="24"/>
  <c r="P32" i="24"/>
  <c r="Q32" i="24"/>
  <c r="V32" i="24"/>
  <c r="B33" i="24"/>
  <c r="M33" i="24"/>
  <c r="P33" i="24"/>
  <c r="Q33" i="24"/>
  <c r="V33" i="24"/>
  <c r="B34" i="24"/>
  <c r="M34" i="24"/>
  <c r="P34" i="24"/>
  <c r="Q34" i="24"/>
  <c r="V34" i="24"/>
  <c r="B35" i="24"/>
  <c r="M35" i="24"/>
  <c r="P35" i="24"/>
  <c r="Q35" i="24"/>
  <c r="V35" i="24"/>
  <c r="B36" i="24"/>
  <c r="M36" i="24"/>
  <c r="P36" i="24"/>
  <c r="Q36" i="24"/>
  <c r="V36" i="24"/>
  <c r="B37" i="24"/>
  <c r="M37" i="24"/>
  <c r="P37" i="24"/>
  <c r="Q37" i="24"/>
  <c r="V37" i="24"/>
  <c r="B38" i="24"/>
  <c r="M38" i="24"/>
  <c r="P38" i="24"/>
  <c r="Q38" i="24"/>
  <c r="V38" i="24"/>
  <c r="B39" i="24"/>
  <c r="M39" i="24"/>
  <c r="P39" i="24"/>
  <c r="Q39" i="24"/>
  <c r="V39" i="24"/>
  <c r="B40" i="24"/>
  <c r="M40" i="24"/>
  <c r="P40" i="24"/>
  <c r="Q40" i="24"/>
  <c r="V40" i="24"/>
  <c r="B41" i="24"/>
  <c r="M41" i="24"/>
  <c r="P41" i="24"/>
  <c r="Q41" i="24"/>
  <c r="V41" i="24"/>
  <c r="B42" i="24"/>
  <c r="M42" i="24"/>
  <c r="P42" i="24"/>
  <c r="Q42" i="24"/>
  <c r="V42" i="24"/>
  <c r="B43" i="24"/>
  <c r="M43" i="24"/>
  <c r="P43" i="24"/>
  <c r="Q43" i="24"/>
  <c r="V43" i="24"/>
  <c r="B44" i="24"/>
  <c r="M44" i="24"/>
  <c r="P44" i="24"/>
  <c r="Q44" i="24"/>
  <c r="V44" i="24"/>
  <c r="B45" i="24"/>
  <c r="M45" i="24"/>
  <c r="P45" i="24"/>
  <c r="Q45" i="24"/>
  <c r="V45" i="24"/>
  <c r="B46" i="24"/>
  <c r="M46" i="24"/>
  <c r="P46" i="24"/>
  <c r="Q46" i="24"/>
  <c r="V46" i="24"/>
  <c r="B47" i="24"/>
  <c r="M47" i="24"/>
  <c r="P47" i="24"/>
  <c r="Q47" i="24"/>
  <c r="V47" i="24"/>
  <c r="B48" i="24"/>
  <c r="M48" i="24"/>
  <c r="P48" i="24"/>
  <c r="Q48" i="24"/>
  <c r="V48" i="24"/>
  <c r="B49" i="24"/>
  <c r="M49" i="24"/>
  <c r="P49" i="24"/>
  <c r="Q49" i="24"/>
  <c r="V49" i="24"/>
  <c r="B50" i="24"/>
  <c r="M50" i="24"/>
  <c r="P50" i="24"/>
  <c r="Q50" i="24"/>
  <c r="V50" i="24"/>
  <c r="B51" i="24"/>
  <c r="M51" i="24"/>
  <c r="P51" i="24"/>
  <c r="Q51" i="24"/>
  <c r="V51" i="24"/>
  <c r="B52" i="24"/>
  <c r="M52" i="24"/>
  <c r="P52" i="24"/>
  <c r="Q52" i="24"/>
  <c r="V52" i="24"/>
  <c r="B53" i="24"/>
  <c r="M53" i="24"/>
  <c r="P53" i="24"/>
  <c r="Q53" i="24"/>
  <c r="V53" i="24"/>
  <c r="B54" i="24"/>
  <c r="M54" i="24"/>
  <c r="P54" i="24"/>
  <c r="Q54" i="24"/>
  <c r="V54" i="24"/>
  <c r="B55" i="24"/>
  <c r="M55" i="24"/>
  <c r="P55" i="24"/>
  <c r="Q55" i="24"/>
  <c r="V55" i="24"/>
  <c r="B56" i="24"/>
  <c r="M56" i="24"/>
  <c r="P56" i="24"/>
  <c r="Q56" i="24"/>
  <c r="V56" i="24"/>
  <c r="B57" i="24"/>
  <c r="M57" i="24"/>
  <c r="P57" i="24"/>
  <c r="Q57" i="24"/>
  <c r="V57" i="24"/>
  <c r="B58" i="24"/>
  <c r="M58" i="24"/>
  <c r="P58" i="24"/>
  <c r="Q58" i="24"/>
  <c r="V58" i="24"/>
  <c r="B59" i="24"/>
  <c r="M59" i="24"/>
  <c r="P59" i="24"/>
  <c r="Q59" i="24"/>
  <c r="V59" i="24"/>
  <c r="B60" i="24"/>
  <c r="M60" i="24"/>
  <c r="P60" i="24"/>
  <c r="Q60" i="24"/>
  <c r="V60" i="24"/>
  <c r="B61" i="24"/>
  <c r="M61" i="24"/>
  <c r="P61" i="24"/>
  <c r="Q61" i="24"/>
  <c r="V61" i="24"/>
  <c r="B62" i="24"/>
  <c r="M62" i="24"/>
  <c r="P62" i="24"/>
  <c r="Q62" i="24"/>
  <c r="V62" i="24"/>
  <c r="B63" i="24"/>
  <c r="M63" i="24"/>
  <c r="P63" i="24"/>
  <c r="Q63" i="24"/>
  <c r="V63" i="24"/>
  <c r="B64" i="24"/>
  <c r="M64" i="24"/>
  <c r="P64" i="24"/>
  <c r="Q64" i="24"/>
  <c r="V64" i="24"/>
  <c r="B65" i="24"/>
  <c r="M65" i="24"/>
  <c r="P65" i="24"/>
  <c r="Q65" i="24"/>
  <c r="V65" i="24"/>
  <c r="B66" i="24"/>
  <c r="M66" i="24"/>
  <c r="P66" i="24"/>
  <c r="Q66" i="24"/>
  <c r="V66" i="24"/>
  <c r="B67" i="24"/>
  <c r="M67" i="24"/>
  <c r="P67" i="24"/>
  <c r="Q67" i="24"/>
  <c r="V67" i="24"/>
  <c r="B68" i="24"/>
  <c r="M68" i="24"/>
  <c r="P68" i="24"/>
  <c r="Q68" i="24"/>
  <c r="V68" i="24"/>
  <c r="B69" i="24"/>
  <c r="M69" i="24"/>
  <c r="P69" i="24"/>
  <c r="Q69" i="24"/>
  <c r="V69" i="24"/>
  <c r="B70" i="24"/>
  <c r="M70" i="24"/>
  <c r="P70" i="24"/>
  <c r="Q70" i="24"/>
  <c r="V70" i="24"/>
  <c r="B71" i="24"/>
  <c r="M71" i="24"/>
  <c r="P71" i="24"/>
  <c r="Q71" i="24"/>
  <c r="V71" i="24"/>
  <c r="B72" i="24"/>
  <c r="M72" i="24"/>
  <c r="P72" i="24"/>
  <c r="Q72" i="24"/>
  <c r="V72" i="24"/>
  <c r="B73" i="24"/>
  <c r="M73" i="24"/>
  <c r="P73" i="24"/>
  <c r="Q73" i="24"/>
  <c r="V73" i="24"/>
  <c r="B74" i="24"/>
  <c r="M74" i="24"/>
  <c r="P74" i="24"/>
  <c r="Q74" i="24"/>
  <c r="V74" i="24"/>
  <c r="B75" i="24"/>
  <c r="M75" i="24"/>
  <c r="P75" i="24"/>
  <c r="Q75" i="24"/>
  <c r="V75" i="24"/>
  <c r="B76" i="24"/>
  <c r="M76" i="24"/>
  <c r="P76" i="24"/>
  <c r="Q76" i="24"/>
  <c r="V76" i="24"/>
  <c r="B77" i="24"/>
  <c r="M77" i="24"/>
  <c r="P77" i="24"/>
  <c r="Q77" i="24"/>
  <c r="V77" i="24"/>
  <c r="B78" i="24"/>
  <c r="M78" i="24"/>
  <c r="P78" i="24"/>
  <c r="Q78" i="24"/>
  <c r="V78" i="24"/>
  <c r="B79" i="24"/>
  <c r="M79" i="24"/>
  <c r="P79" i="24"/>
  <c r="Q79" i="24"/>
  <c r="V79" i="24"/>
  <c r="B80" i="24"/>
  <c r="M80" i="24"/>
  <c r="P80" i="24"/>
  <c r="Q80" i="24"/>
  <c r="V80" i="24"/>
  <c r="B81" i="24"/>
  <c r="M81" i="24"/>
  <c r="P81" i="24"/>
  <c r="Q81" i="24"/>
  <c r="V81" i="24"/>
  <c r="B82" i="24"/>
  <c r="M82" i="24"/>
  <c r="P82" i="24"/>
  <c r="Q82" i="24"/>
  <c r="V82" i="24"/>
  <c r="B83" i="24"/>
  <c r="M83" i="24"/>
  <c r="P83" i="24"/>
  <c r="Q83" i="24"/>
  <c r="V83" i="24"/>
  <c r="B84" i="24"/>
  <c r="M84" i="24"/>
  <c r="P84" i="24"/>
  <c r="Q84" i="24"/>
  <c r="V84" i="24"/>
  <c r="B85" i="24"/>
  <c r="M85" i="24"/>
  <c r="P85" i="24"/>
  <c r="Q85" i="24"/>
  <c r="V85" i="24"/>
  <c r="B86" i="24"/>
  <c r="M86" i="24"/>
  <c r="P86" i="24"/>
  <c r="Q86" i="24"/>
  <c r="V86" i="24"/>
  <c r="B87" i="24"/>
  <c r="M87" i="24"/>
  <c r="P87" i="24"/>
  <c r="Q87" i="24"/>
  <c r="V87" i="24"/>
  <c r="B88" i="24"/>
  <c r="M88" i="24"/>
  <c r="P88" i="24"/>
  <c r="Q88" i="24"/>
  <c r="V88" i="24"/>
  <c r="B89" i="24"/>
  <c r="M89" i="24"/>
  <c r="P89" i="24"/>
  <c r="Q89" i="24"/>
  <c r="V89" i="24"/>
  <c r="B90" i="24"/>
  <c r="M90" i="24"/>
  <c r="P90" i="24"/>
  <c r="Q90" i="24"/>
  <c r="V90" i="24"/>
  <c r="B91" i="24"/>
  <c r="M91" i="24"/>
  <c r="P91" i="24"/>
  <c r="Q91" i="24"/>
  <c r="V91" i="24"/>
  <c r="B92" i="24"/>
  <c r="M92" i="24"/>
  <c r="P92" i="24"/>
  <c r="Q92" i="24"/>
  <c r="V92" i="24"/>
  <c r="B93" i="24"/>
  <c r="M93" i="24"/>
  <c r="P93" i="24"/>
  <c r="Q93" i="24"/>
  <c r="V93" i="24"/>
  <c r="B94" i="24"/>
  <c r="M94" i="24"/>
  <c r="P94" i="24"/>
  <c r="Q94" i="24"/>
  <c r="V94" i="24"/>
  <c r="B95" i="24"/>
  <c r="M95" i="24"/>
  <c r="P95" i="24"/>
  <c r="Q95" i="24"/>
  <c r="V95" i="24"/>
  <c r="B96" i="24"/>
  <c r="M96" i="24"/>
  <c r="P96" i="24"/>
  <c r="Q96" i="24"/>
  <c r="V96" i="24"/>
  <c r="B97" i="24"/>
  <c r="M97" i="24"/>
  <c r="P97" i="24"/>
  <c r="Q97" i="24"/>
  <c r="V97" i="24"/>
  <c r="B98" i="24"/>
  <c r="M98" i="24"/>
  <c r="P98" i="24"/>
  <c r="Q98" i="24"/>
  <c r="V98" i="24"/>
  <c r="B99" i="24"/>
  <c r="M99" i="24"/>
  <c r="P99" i="24"/>
  <c r="Q99" i="24"/>
  <c r="V99" i="24"/>
  <c r="B100" i="24"/>
  <c r="M100" i="24"/>
  <c r="P100" i="24"/>
  <c r="Q100" i="24"/>
  <c r="V100" i="24"/>
  <c r="B101" i="24"/>
  <c r="M101" i="24"/>
  <c r="P101" i="24"/>
  <c r="Q101" i="24"/>
  <c r="V101" i="24"/>
  <c r="B102" i="24"/>
  <c r="M102" i="24"/>
  <c r="P102" i="24"/>
  <c r="Q102" i="24"/>
  <c r="V102" i="24"/>
  <c r="B103" i="24"/>
  <c r="M103" i="24"/>
  <c r="P103" i="24"/>
  <c r="Q103" i="24"/>
  <c r="V103" i="24"/>
  <c r="B104" i="24"/>
  <c r="M104" i="24"/>
  <c r="P104" i="24"/>
  <c r="Q104" i="24"/>
  <c r="V104" i="24"/>
  <c r="B105" i="24"/>
  <c r="M105" i="24"/>
  <c r="P105" i="24"/>
  <c r="Q105" i="24"/>
  <c r="V105" i="24"/>
  <c r="B106" i="24"/>
  <c r="M106" i="24"/>
  <c r="P106" i="24"/>
  <c r="Q106" i="24"/>
  <c r="V106" i="24"/>
  <c r="B107" i="24"/>
  <c r="M107" i="24"/>
  <c r="P107" i="24"/>
  <c r="Q107" i="24"/>
  <c r="V107" i="24"/>
  <c r="B108" i="24"/>
  <c r="M108" i="24"/>
  <c r="P108" i="24"/>
  <c r="Q108" i="24"/>
  <c r="V108" i="24"/>
  <c r="B109" i="24"/>
  <c r="M109" i="24"/>
  <c r="P109" i="24"/>
  <c r="Q109" i="24"/>
  <c r="V109" i="24"/>
  <c r="B110" i="24"/>
  <c r="M110" i="24"/>
  <c r="P110" i="24"/>
  <c r="Q110" i="24"/>
  <c r="V110" i="24"/>
  <c r="B111" i="24"/>
  <c r="M111" i="24"/>
  <c r="P111" i="24"/>
  <c r="Q111" i="24"/>
  <c r="V111" i="24"/>
  <c r="B112" i="24"/>
  <c r="M112" i="24"/>
  <c r="P112" i="24"/>
  <c r="Q112" i="24"/>
  <c r="V112" i="24"/>
  <c r="B113" i="24"/>
  <c r="M113" i="24"/>
  <c r="P113" i="24"/>
  <c r="Q113" i="24"/>
  <c r="V113" i="24"/>
  <c r="B114" i="24"/>
  <c r="M114" i="24"/>
  <c r="P114" i="24"/>
  <c r="Q114" i="24"/>
  <c r="V114" i="24"/>
  <c r="B115" i="24"/>
  <c r="M115" i="24"/>
  <c r="P115" i="24"/>
  <c r="Q115" i="24"/>
  <c r="V115" i="24"/>
  <c r="B116" i="24"/>
  <c r="M116" i="24"/>
  <c r="P116" i="24"/>
  <c r="Q116" i="24"/>
  <c r="V116" i="24"/>
  <c r="B117" i="24"/>
  <c r="M117" i="24"/>
  <c r="P117" i="24"/>
  <c r="Q117" i="24"/>
  <c r="V117" i="24"/>
  <c r="B118" i="24"/>
  <c r="M118" i="24"/>
  <c r="P118" i="24"/>
  <c r="Q118" i="24"/>
  <c r="V118" i="24"/>
  <c r="B119" i="24"/>
  <c r="M119" i="24"/>
  <c r="P119" i="24"/>
  <c r="Q119" i="24"/>
  <c r="V119" i="24"/>
  <c r="B120" i="24"/>
  <c r="M120" i="24"/>
  <c r="P120" i="24"/>
  <c r="Q120" i="24"/>
  <c r="V120" i="24"/>
  <c r="B121" i="24"/>
  <c r="M121" i="24"/>
  <c r="P121" i="24"/>
  <c r="Q121" i="24"/>
  <c r="V121" i="24"/>
  <c r="B122" i="24"/>
  <c r="M122" i="24"/>
  <c r="P122" i="24"/>
  <c r="Q122" i="24"/>
  <c r="V122" i="24"/>
  <c r="B123" i="24"/>
  <c r="M123" i="24"/>
  <c r="P123" i="24"/>
  <c r="Q123" i="24"/>
  <c r="V123" i="24"/>
  <c r="B124" i="24"/>
  <c r="M124" i="24"/>
  <c r="P124" i="24"/>
  <c r="Q124" i="24"/>
  <c r="V124" i="24"/>
  <c r="B125" i="24"/>
  <c r="M125" i="24"/>
  <c r="P125" i="24"/>
  <c r="Q125" i="24"/>
  <c r="V125" i="24"/>
  <c r="B126" i="24"/>
  <c r="M126" i="24"/>
  <c r="P126" i="24"/>
  <c r="Q126" i="24"/>
  <c r="V126" i="24"/>
  <c r="B127" i="24"/>
  <c r="M127" i="24"/>
  <c r="P127" i="24"/>
  <c r="Q127" i="24"/>
  <c r="V127" i="24"/>
  <c r="B128" i="24"/>
  <c r="M128" i="24"/>
  <c r="P128" i="24"/>
  <c r="Q128" i="24"/>
  <c r="V128" i="24"/>
  <c r="B129" i="24"/>
  <c r="M129" i="24"/>
  <c r="P129" i="24"/>
  <c r="Q129" i="24"/>
  <c r="V129" i="24"/>
  <c r="B130" i="24"/>
  <c r="M130" i="24"/>
  <c r="P130" i="24"/>
  <c r="Q130" i="24"/>
  <c r="V130" i="24"/>
  <c r="B131" i="24"/>
  <c r="M131" i="24"/>
  <c r="P131" i="24"/>
  <c r="Q131" i="24"/>
  <c r="V131" i="24"/>
  <c r="B132" i="24"/>
  <c r="M132" i="24"/>
  <c r="P132" i="24"/>
  <c r="Q132" i="24"/>
  <c r="V132" i="24"/>
  <c r="B133" i="24"/>
  <c r="M133" i="24"/>
  <c r="P133" i="24"/>
  <c r="Q133" i="24"/>
  <c r="V133" i="24"/>
  <c r="B134" i="24"/>
  <c r="M134" i="24"/>
  <c r="P134" i="24"/>
  <c r="Q134" i="24"/>
  <c r="V134" i="24"/>
  <c r="B135" i="24"/>
  <c r="M135" i="24"/>
  <c r="P135" i="24"/>
  <c r="Q135" i="24"/>
  <c r="V135" i="24"/>
  <c r="B136" i="24"/>
  <c r="M136" i="24"/>
  <c r="P136" i="24"/>
  <c r="Q136" i="24"/>
  <c r="V136" i="24"/>
  <c r="B137" i="24"/>
  <c r="M137" i="24"/>
  <c r="P137" i="24"/>
  <c r="Q137" i="24"/>
  <c r="V137" i="24"/>
  <c r="B138" i="24"/>
  <c r="M138" i="24"/>
  <c r="P138" i="24"/>
  <c r="Q138" i="24"/>
  <c r="V138" i="24"/>
  <c r="B139" i="24"/>
  <c r="M139" i="24"/>
  <c r="P139" i="24"/>
  <c r="Q139" i="24"/>
  <c r="V139" i="24"/>
  <c r="B140" i="24"/>
  <c r="M140" i="24"/>
  <c r="P140" i="24"/>
  <c r="Q140" i="24"/>
  <c r="V140" i="24"/>
  <c r="B141" i="24"/>
  <c r="M141" i="24"/>
  <c r="P141" i="24"/>
  <c r="Q141" i="24"/>
  <c r="V141" i="24"/>
  <c r="B142" i="24"/>
  <c r="M142" i="24"/>
  <c r="P142" i="24"/>
  <c r="Q142" i="24"/>
  <c r="V142" i="24"/>
  <c r="B143" i="24"/>
  <c r="M143" i="24"/>
  <c r="P143" i="24"/>
  <c r="Q143" i="24"/>
  <c r="V143" i="24"/>
  <c r="B144" i="24"/>
  <c r="M144" i="24"/>
  <c r="P144" i="24"/>
  <c r="Q144" i="24"/>
  <c r="V144" i="24"/>
  <c r="B145" i="24"/>
  <c r="M145" i="24"/>
  <c r="P145" i="24"/>
  <c r="Q145" i="24"/>
  <c r="V145" i="24"/>
  <c r="B146" i="24"/>
  <c r="M146" i="24"/>
  <c r="P146" i="24"/>
  <c r="Q146" i="24"/>
  <c r="V146" i="24"/>
  <c r="B147" i="24"/>
  <c r="M147" i="24"/>
  <c r="P147" i="24"/>
  <c r="Q147" i="24"/>
  <c r="V147" i="24"/>
  <c r="B148" i="24"/>
  <c r="M148" i="24"/>
  <c r="P148" i="24"/>
  <c r="Q148" i="24"/>
  <c r="V148" i="24"/>
  <c r="B149" i="24"/>
  <c r="M149" i="24"/>
  <c r="P149" i="24"/>
  <c r="Q149" i="24"/>
  <c r="V149" i="24"/>
  <c r="B150" i="24"/>
  <c r="M150" i="24"/>
  <c r="P150" i="24"/>
  <c r="Q150" i="24"/>
  <c r="V150" i="24"/>
  <c r="B151" i="24"/>
  <c r="M151" i="24"/>
  <c r="P151" i="24"/>
  <c r="Q151" i="24"/>
  <c r="V151" i="24"/>
  <c r="B152" i="24"/>
  <c r="M152" i="24"/>
  <c r="P152" i="24"/>
  <c r="Q152" i="24"/>
  <c r="V152" i="24"/>
  <c r="B153" i="24"/>
  <c r="M153" i="24"/>
  <c r="P153" i="24"/>
  <c r="Q153" i="24"/>
  <c r="V153" i="24"/>
  <c r="B154" i="24"/>
  <c r="M154" i="24"/>
  <c r="P154" i="24"/>
  <c r="Q154" i="24"/>
  <c r="V154" i="24"/>
  <c r="B155" i="24"/>
  <c r="M155" i="24"/>
  <c r="P155" i="24"/>
  <c r="Q155" i="24"/>
  <c r="V155" i="24"/>
  <c r="B156" i="24"/>
  <c r="M156" i="24"/>
  <c r="P156" i="24"/>
  <c r="Q156" i="24"/>
  <c r="V156" i="24"/>
  <c r="B157" i="24"/>
  <c r="M157" i="24"/>
  <c r="P157" i="24"/>
  <c r="Q157" i="24"/>
  <c r="V157" i="24"/>
  <c r="B158" i="24"/>
  <c r="M158" i="24"/>
  <c r="P158" i="24"/>
  <c r="Q158" i="24"/>
  <c r="V158" i="24"/>
  <c r="B159" i="24"/>
  <c r="M159" i="24"/>
  <c r="P159" i="24"/>
  <c r="Q159" i="24"/>
  <c r="V159" i="24"/>
  <c r="B160" i="24"/>
  <c r="M160" i="24"/>
  <c r="P160" i="24"/>
  <c r="Q160" i="24"/>
  <c r="V160" i="24"/>
  <c r="B161" i="24"/>
  <c r="M161" i="24"/>
  <c r="P161" i="24"/>
  <c r="Q161" i="24"/>
  <c r="V161" i="24"/>
  <c r="B162" i="24"/>
  <c r="M162" i="24"/>
  <c r="P162" i="24"/>
  <c r="Q162" i="24"/>
  <c r="V162" i="24"/>
  <c r="B163" i="24"/>
  <c r="M163" i="24"/>
  <c r="P163" i="24"/>
  <c r="Q163" i="24"/>
  <c r="V163" i="24"/>
  <c r="B164" i="24"/>
  <c r="M164" i="24"/>
  <c r="P164" i="24"/>
  <c r="Q164" i="24"/>
  <c r="V164" i="24"/>
  <c r="B165" i="24"/>
  <c r="M165" i="24"/>
  <c r="P165" i="24"/>
  <c r="Q165" i="24"/>
  <c r="V165" i="24"/>
  <c r="B166" i="24"/>
  <c r="M166" i="24"/>
  <c r="P166" i="24"/>
  <c r="Q166" i="24"/>
  <c r="V166" i="24"/>
  <c r="B167" i="24"/>
  <c r="M167" i="24"/>
  <c r="P167" i="24"/>
  <c r="Q167" i="24"/>
  <c r="V167" i="24"/>
  <c r="B168" i="24"/>
  <c r="M168" i="24"/>
  <c r="P168" i="24"/>
  <c r="Q168" i="24"/>
  <c r="V168" i="24"/>
  <c r="B169" i="24"/>
  <c r="M169" i="24"/>
  <c r="P169" i="24"/>
  <c r="Q169" i="24"/>
  <c r="V169" i="24"/>
  <c r="B170" i="24"/>
  <c r="M170" i="24"/>
  <c r="P170" i="24"/>
  <c r="Q170" i="24"/>
  <c r="V170" i="24"/>
  <c r="B171" i="24"/>
  <c r="M171" i="24"/>
  <c r="P171" i="24"/>
  <c r="Q171" i="24"/>
  <c r="V171" i="24"/>
  <c r="B172" i="24"/>
  <c r="M172" i="24"/>
  <c r="P172" i="24"/>
  <c r="Q172" i="24"/>
  <c r="V172" i="24"/>
  <c r="B173" i="24"/>
  <c r="M173" i="24"/>
  <c r="P173" i="24"/>
  <c r="Q173" i="24"/>
  <c r="V173" i="24"/>
  <c r="B174" i="24"/>
  <c r="M174" i="24"/>
  <c r="P174" i="24"/>
  <c r="Q174" i="24"/>
  <c r="V174" i="24"/>
  <c r="B175" i="24"/>
  <c r="M175" i="24"/>
  <c r="P175" i="24"/>
  <c r="Q175" i="24"/>
  <c r="V175" i="24"/>
  <c r="B176" i="24"/>
  <c r="M176" i="24"/>
  <c r="P176" i="24"/>
  <c r="Q176" i="24"/>
  <c r="V176" i="24"/>
  <c r="B177" i="24"/>
  <c r="M177" i="24"/>
  <c r="P177" i="24"/>
  <c r="Q177" i="24"/>
  <c r="V177" i="24"/>
  <c r="B178" i="24"/>
  <c r="M178" i="24"/>
  <c r="P178" i="24"/>
  <c r="Q178" i="24"/>
  <c r="V178" i="24"/>
  <c r="B179" i="24"/>
  <c r="M179" i="24"/>
  <c r="P179" i="24"/>
  <c r="Q179" i="24"/>
  <c r="V179" i="24"/>
  <c r="B180" i="24"/>
  <c r="M180" i="24"/>
  <c r="P180" i="24"/>
  <c r="Q180" i="24"/>
  <c r="V180" i="24"/>
  <c r="B181" i="24"/>
  <c r="M181" i="24"/>
  <c r="P181" i="24"/>
  <c r="Q181" i="24"/>
  <c r="V181" i="24"/>
  <c r="B182" i="24"/>
  <c r="M182" i="24"/>
  <c r="P182" i="24"/>
  <c r="Q182" i="24"/>
  <c r="V182" i="24"/>
  <c r="B183" i="24"/>
  <c r="M183" i="24"/>
  <c r="P183" i="24"/>
  <c r="Q183" i="24"/>
  <c r="V183" i="24"/>
  <c r="B184" i="24"/>
  <c r="M184" i="24"/>
  <c r="P184" i="24"/>
  <c r="Q184" i="24"/>
  <c r="V184" i="24"/>
  <c r="B185" i="24"/>
  <c r="M185" i="24"/>
  <c r="P185" i="24"/>
  <c r="Q185" i="24"/>
  <c r="V185" i="24"/>
  <c r="B186" i="24"/>
  <c r="M186" i="24"/>
  <c r="P186" i="24"/>
  <c r="Q186" i="24"/>
  <c r="V186" i="24"/>
  <c r="B187" i="24"/>
  <c r="M187" i="24"/>
  <c r="P187" i="24"/>
  <c r="Q187" i="24"/>
  <c r="V187" i="24"/>
  <c r="B188" i="24"/>
  <c r="M188" i="24"/>
  <c r="P188" i="24"/>
  <c r="Q188" i="24"/>
  <c r="V188" i="24"/>
  <c r="B189" i="24"/>
  <c r="M189" i="24"/>
  <c r="P189" i="24"/>
  <c r="Q189" i="24"/>
  <c r="V189" i="24"/>
  <c r="B190" i="24"/>
  <c r="M190" i="24"/>
  <c r="P190" i="24"/>
  <c r="Q190" i="24"/>
  <c r="V190" i="24"/>
  <c r="B191" i="24"/>
  <c r="M191" i="24"/>
  <c r="P191" i="24"/>
  <c r="Q191" i="24"/>
  <c r="V191" i="24"/>
  <c r="B192" i="24"/>
  <c r="M192" i="24"/>
  <c r="P192" i="24"/>
  <c r="Q192" i="24"/>
  <c r="V192" i="24"/>
  <c r="B193" i="24"/>
  <c r="M193" i="24"/>
  <c r="P193" i="24"/>
  <c r="Q193" i="24"/>
  <c r="V193" i="24"/>
  <c r="B194" i="24"/>
  <c r="M194" i="24"/>
  <c r="P194" i="24"/>
  <c r="Q194" i="24"/>
  <c r="V194" i="24"/>
  <c r="B195" i="24"/>
  <c r="M195" i="24"/>
  <c r="P195" i="24"/>
  <c r="Q195" i="24"/>
  <c r="V195" i="24"/>
  <c r="B196" i="24"/>
  <c r="M196" i="24"/>
  <c r="P196" i="24"/>
  <c r="Q196" i="24"/>
  <c r="V196" i="24"/>
  <c r="B197" i="24"/>
  <c r="M197" i="24"/>
  <c r="P197" i="24"/>
  <c r="Q197" i="24"/>
  <c r="V197" i="24"/>
  <c r="B198" i="24"/>
  <c r="M198" i="24"/>
  <c r="P198" i="24"/>
  <c r="Q198" i="24"/>
  <c r="V198" i="24"/>
  <c r="B199" i="24"/>
  <c r="M199" i="24"/>
  <c r="P199" i="24"/>
  <c r="Q199" i="24"/>
  <c r="V199" i="24"/>
  <c r="B200" i="24"/>
  <c r="M200" i="24"/>
  <c r="P200" i="24"/>
  <c r="Q200" i="24"/>
  <c r="V200" i="24"/>
  <c r="B201" i="24"/>
  <c r="M201" i="24"/>
  <c r="P201" i="24"/>
  <c r="Q201" i="24"/>
  <c r="V201" i="24"/>
  <c r="B202" i="24"/>
  <c r="M202" i="24"/>
  <c r="P202" i="24"/>
  <c r="Q202" i="24"/>
  <c r="V202" i="24"/>
  <c r="B203" i="24"/>
  <c r="M203" i="24"/>
  <c r="P203" i="24"/>
  <c r="Q203" i="24"/>
  <c r="V203" i="24"/>
  <c r="B204" i="24"/>
  <c r="M204" i="24"/>
  <c r="P204" i="24"/>
  <c r="Q204" i="24"/>
  <c r="V204" i="24"/>
  <c r="B205" i="24"/>
  <c r="M205" i="24"/>
  <c r="P205" i="24"/>
  <c r="Q205" i="24"/>
  <c r="V205" i="24"/>
  <c r="B206" i="24"/>
  <c r="M206" i="24"/>
  <c r="P206" i="24"/>
  <c r="Q206" i="24"/>
  <c r="V206" i="24"/>
  <c r="B207" i="24"/>
  <c r="M207" i="24"/>
  <c r="P207" i="24"/>
  <c r="Q207" i="24"/>
  <c r="V207" i="24"/>
  <c r="B208" i="24"/>
  <c r="M208" i="24"/>
  <c r="P208" i="24"/>
  <c r="Q208" i="24"/>
  <c r="V208" i="24"/>
  <c r="B209" i="24"/>
  <c r="M209" i="24"/>
  <c r="P209" i="24"/>
  <c r="Q209" i="24"/>
  <c r="V209" i="24"/>
  <c r="B210" i="24"/>
  <c r="M210" i="24"/>
  <c r="P210" i="24"/>
  <c r="Q210" i="24"/>
  <c r="V210" i="24"/>
  <c r="B211" i="24"/>
  <c r="M211" i="24"/>
  <c r="P211" i="24"/>
  <c r="Q211" i="24"/>
  <c r="V211" i="24"/>
  <c r="B212" i="24"/>
  <c r="M212" i="24"/>
  <c r="P212" i="24"/>
  <c r="Q212" i="24"/>
  <c r="V212" i="24"/>
  <c r="B213" i="24"/>
  <c r="M213" i="24"/>
  <c r="P213" i="24"/>
  <c r="Q213" i="24"/>
  <c r="V213" i="24"/>
  <c r="B214" i="24"/>
  <c r="M214" i="24"/>
  <c r="P214" i="24"/>
  <c r="Q214" i="24"/>
  <c r="V214" i="24"/>
  <c r="B215" i="24"/>
  <c r="M215" i="24"/>
  <c r="P215" i="24"/>
  <c r="Q215" i="24"/>
  <c r="V215" i="24"/>
  <c r="B216" i="24"/>
  <c r="M216" i="24"/>
  <c r="P216" i="24"/>
  <c r="Q216" i="24"/>
  <c r="V216" i="24"/>
  <c r="B217" i="24"/>
  <c r="M217" i="24"/>
  <c r="P217" i="24"/>
  <c r="Q217" i="24"/>
  <c r="V217" i="24"/>
  <c r="B218" i="24"/>
  <c r="M218" i="24"/>
  <c r="P218" i="24"/>
  <c r="Q218" i="24"/>
  <c r="V218" i="24"/>
  <c r="B219" i="24"/>
  <c r="M219" i="24"/>
  <c r="P219" i="24"/>
  <c r="Q219" i="24"/>
  <c r="V219" i="24"/>
  <c r="B220" i="24"/>
  <c r="M220" i="24"/>
  <c r="P220" i="24"/>
  <c r="Q220" i="24"/>
  <c r="V220" i="24"/>
  <c r="B221" i="24"/>
  <c r="M221" i="24"/>
  <c r="P221" i="24"/>
  <c r="Q221" i="24"/>
  <c r="V221" i="24"/>
  <c r="B222" i="24"/>
  <c r="M222" i="24"/>
  <c r="P222" i="24"/>
  <c r="Q222" i="24"/>
  <c r="V222" i="24"/>
  <c r="B223" i="24"/>
  <c r="M223" i="24"/>
  <c r="P223" i="24"/>
  <c r="Q223" i="24"/>
  <c r="V223" i="24"/>
  <c r="B224" i="24"/>
  <c r="M224" i="24"/>
  <c r="P224" i="24"/>
  <c r="Q224" i="24"/>
  <c r="V224" i="24"/>
  <c r="B225" i="24"/>
  <c r="M225" i="24"/>
  <c r="P225" i="24"/>
  <c r="Q225" i="24"/>
  <c r="V225" i="24"/>
  <c r="B226" i="24"/>
  <c r="M226" i="24"/>
  <c r="P226" i="24"/>
  <c r="Q226" i="24"/>
  <c r="V226" i="24"/>
  <c r="B227" i="24"/>
  <c r="M227" i="24"/>
  <c r="P227" i="24"/>
  <c r="Q227" i="24"/>
  <c r="V227" i="24"/>
  <c r="B228" i="24"/>
  <c r="M228" i="24"/>
  <c r="P228" i="24"/>
  <c r="Q228" i="24"/>
  <c r="V228" i="24"/>
  <c r="B229" i="24"/>
  <c r="M229" i="24"/>
  <c r="P229" i="24"/>
  <c r="Q229" i="24"/>
  <c r="V229" i="24"/>
  <c r="B230" i="24"/>
  <c r="M230" i="24"/>
  <c r="P230" i="24"/>
  <c r="Q230" i="24"/>
  <c r="V230" i="24"/>
  <c r="B231" i="24"/>
  <c r="M231" i="24"/>
  <c r="P231" i="24"/>
  <c r="Q231" i="24"/>
  <c r="V231" i="24"/>
  <c r="B232" i="24"/>
  <c r="M232" i="24"/>
  <c r="P232" i="24"/>
  <c r="Q232" i="24"/>
  <c r="V232" i="24"/>
  <c r="B233" i="24"/>
  <c r="M233" i="24"/>
  <c r="P233" i="24"/>
  <c r="Q233" i="24"/>
  <c r="V233" i="24"/>
  <c r="B234" i="24"/>
  <c r="M234" i="24"/>
  <c r="P234" i="24"/>
  <c r="Q234" i="24"/>
  <c r="V234" i="24"/>
  <c r="B235" i="24"/>
  <c r="M235" i="24"/>
  <c r="P235" i="24"/>
  <c r="Q235" i="24"/>
  <c r="V235" i="24"/>
  <c r="B236" i="24"/>
  <c r="M236" i="24"/>
  <c r="P236" i="24"/>
  <c r="Q236" i="24"/>
  <c r="V236" i="24"/>
  <c r="B237" i="24"/>
  <c r="M237" i="24"/>
  <c r="P237" i="24"/>
  <c r="Q237" i="24"/>
  <c r="V237" i="24"/>
  <c r="B238" i="24"/>
  <c r="M238" i="24"/>
  <c r="P238" i="24"/>
  <c r="Q238" i="24"/>
  <c r="V238" i="24"/>
  <c r="B239" i="24"/>
  <c r="M239" i="24"/>
  <c r="P239" i="24"/>
  <c r="Q239" i="24"/>
  <c r="V239" i="24"/>
  <c r="B240" i="24"/>
  <c r="M240" i="24"/>
  <c r="P240" i="24"/>
  <c r="Q240" i="24"/>
  <c r="V240" i="24"/>
  <c r="B241" i="24"/>
  <c r="M241" i="24"/>
  <c r="P241" i="24"/>
  <c r="Q241" i="24"/>
  <c r="V241" i="24"/>
  <c r="B242" i="24"/>
  <c r="M242" i="24"/>
  <c r="P242" i="24"/>
  <c r="Q242" i="24"/>
  <c r="V242" i="24"/>
  <c r="B243" i="24"/>
  <c r="M243" i="24"/>
  <c r="P243" i="24"/>
  <c r="Q243" i="24"/>
  <c r="V243" i="24"/>
  <c r="B244" i="24"/>
  <c r="M244" i="24"/>
  <c r="P244" i="24"/>
  <c r="Q244" i="24"/>
  <c r="V244" i="24"/>
  <c r="B245" i="24"/>
  <c r="M245" i="24"/>
  <c r="P245" i="24"/>
  <c r="Q245" i="24"/>
  <c r="V245" i="24"/>
  <c r="B246" i="24"/>
  <c r="M246" i="24"/>
  <c r="P246" i="24"/>
  <c r="Q246" i="24"/>
  <c r="V246" i="24"/>
  <c r="B247" i="24"/>
  <c r="M247" i="24"/>
  <c r="P247" i="24"/>
  <c r="Q247" i="24"/>
  <c r="V247" i="24"/>
  <c r="B248" i="24"/>
  <c r="M248" i="24"/>
  <c r="P248" i="24"/>
  <c r="Q248" i="24"/>
  <c r="V248" i="24"/>
  <c r="B249" i="24"/>
  <c r="M249" i="24"/>
  <c r="P249" i="24"/>
  <c r="Q249" i="24"/>
  <c r="V249" i="24"/>
  <c r="B250" i="24"/>
  <c r="M250" i="24"/>
  <c r="P250" i="24"/>
  <c r="Q250" i="24"/>
  <c r="V250" i="24"/>
  <c r="B251" i="24"/>
  <c r="M251" i="24"/>
  <c r="P251" i="24"/>
  <c r="Q251" i="24"/>
  <c r="V251" i="24"/>
  <c r="B252" i="24"/>
  <c r="M252" i="24"/>
  <c r="P252" i="24"/>
  <c r="Q252" i="24"/>
  <c r="V252" i="24"/>
  <c r="B253" i="24"/>
  <c r="M253" i="24"/>
  <c r="P253" i="24"/>
  <c r="Q253" i="24"/>
  <c r="V253" i="24"/>
  <c r="B254" i="24"/>
  <c r="M254" i="24"/>
  <c r="P254" i="24"/>
  <c r="Q254" i="24"/>
  <c r="V254" i="24"/>
  <c r="B255" i="24"/>
  <c r="M255" i="24"/>
  <c r="P255" i="24"/>
  <c r="Q255" i="24"/>
  <c r="V255" i="24"/>
  <c r="B256" i="24"/>
  <c r="M256" i="24"/>
  <c r="P256" i="24"/>
  <c r="Q256" i="24"/>
  <c r="V256" i="24"/>
  <c r="B257" i="24"/>
  <c r="M257" i="24"/>
  <c r="P257" i="24"/>
  <c r="Q257" i="24"/>
  <c r="V257" i="24"/>
  <c r="B258" i="24"/>
  <c r="M258" i="24"/>
  <c r="P258" i="24"/>
  <c r="Q258" i="24"/>
  <c r="V258" i="24"/>
  <c r="B259" i="24"/>
  <c r="M259" i="24"/>
  <c r="P259" i="24"/>
  <c r="Q259" i="24"/>
  <c r="V259" i="24"/>
  <c r="B260" i="24"/>
  <c r="M260" i="24"/>
  <c r="P260" i="24"/>
  <c r="Q260" i="24"/>
  <c r="V260" i="24"/>
  <c r="B261" i="24"/>
  <c r="M261" i="24"/>
  <c r="P261" i="24"/>
  <c r="Q261" i="24"/>
  <c r="V261" i="24"/>
  <c r="B262" i="24"/>
  <c r="M262" i="24"/>
  <c r="P262" i="24"/>
  <c r="Q262" i="24"/>
  <c r="V262" i="24"/>
  <c r="B263" i="24"/>
  <c r="M263" i="24"/>
  <c r="P263" i="24"/>
  <c r="Q263" i="24"/>
  <c r="V263" i="24"/>
  <c r="B264" i="24"/>
  <c r="M264" i="24"/>
  <c r="P264" i="24"/>
  <c r="Q264" i="24"/>
  <c r="V264" i="24"/>
  <c r="B265" i="24"/>
  <c r="M265" i="24"/>
  <c r="P265" i="24"/>
  <c r="Q265" i="24"/>
  <c r="V265" i="24"/>
  <c r="B266" i="24"/>
  <c r="M266" i="24"/>
  <c r="P266" i="24"/>
  <c r="Q266" i="24"/>
  <c r="V266" i="24"/>
  <c r="B267" i="24"/>
  <c r="M267" i="24"/>
  <c r="P267" i="24"/>
  <c r="Q267" i="24"/>
  <c r="V267" i="24"/>
  <c r="B268" i="24"/>
  <c r="M268" i="24"/>
  <c r="P268" i="24"/>
  <c r="Q268" i="24"/>
  <c r="V268" i="24"/>
  <c r="B269" i="24"/>
  <c r="M269" i="24"/>
  <c r="P269" i="24"/>
  <c r="Q269" i="24"/>
  <c r="V269" i="24"/>
  <c r="B270" i="24"/>
  <c r="M270" i="24"/>
  <c r="P270" i="24"/>
  <c r="Q270" i="24"/>
  <c r="V270" i="24"/>
  <c r="B271" i="24"/>
  <c r="M271" i="24"/>
  <c r="P271" i="24"/>
  <c r="Q271" i="24"/>
  <c r="V271" i="24"/>
  <c r="B272" i="24"/>
  <c r="M272" i="24"/>
  <c r="P272" i="24"/>
  <c r="Q272" i="24"/>
  <c r="V272" i="24"/>
  <c r="B273" i="24"/>
  <c r="M273" i="24"/>
  <c r="P273" i="24"/>
  <c r="Q273" i="24"/>
  <c r="V273" i="24"/>
  <c r="B274" i="24"/>
  <c r="M274" i="24"/>
  <c r="P274" i="24"/>
  <c r="Q274" i="24"/>
  <c r="V274" i="24"/>
  <c r="B275" i="24"/>
  <c r="M275" i="24"/>
  <c r="P275" i="24"/>
  <c r="Q275" i="24"/>
  <c r="V275" i="24"/>
  <c r="B276" i="24"/>
  <c r="M276" i="24"/>
  <c r="P276" i="24"/>
  <c r="Q276" i="24"/>
  <c r="V276" i="24"/>
  <c r="B277" i="24"/>
  <c r="M277" i="24"/>
  <c r="P277" i="24"/>
  <c r="Q277" i="24"/>
  <c r="V277" i="24"/>
  <c r="B278" i="24"/>
  <c r="M278" i="24"/>
  <c r="P278" i="24"/>
  <c r="Q278" i="24"/>
  <c r="V278" i="24"/>
  <c r="B279" i="24"/>
  <c r="M279" i="24"/>
  <c r="P279" i="24"/>
  <c r="Q279" i="24"/>
  <c r="V279" i="24"/>
  <c r="B280" i="24"/>
  <c r="M280" i="24"/>
  <c r="P280" i="24"/>
  <c r="Q280" i="24"/>
  <c r="V280" i="24"/>
  <c r="B281" i="24"/>
  <c r="M281" i="24"/>
  <c r="P281" i="24"/>
  <c r="Q281" i="24"/>
  <c r="V281" i="24"/>
  <c r="B282" i="24"/>
  <c r="M282" i="24"/>
  <c r="P282" i="24"/>
  <c r="Q282" i="24"/>
  <c r="V282" i="24"/>
  <c r="B283" i="24"/>
  <c r="M283" i="24"/>
  <c r="P283" i="24"/>
  <c r="Q283" i="24"/>
  <c r="V283" i="24"/>
  <c r="B284" i="24"/>
  <c r="M284" i="24"/>
  <c r="P284" i="24"/>
  <c r="Q284" i="24"/>
  <c r="V284" i="24"/>
  <c r="B285" i="24"/>
  <c r="M285" i="24"/>
  <c r="P285" i="24"/>
  <c r="Q285" i="24"/>
  <c r="V285" i="24"/>
  <c r="B286" i="24"/>
  <c r="M286" i="24"/>
  <c r="P286" i="24"/>
  <c r="Q286" i="24"/>
  <c r="V286" i="24"/>
  <c r="B287" i="24"/>
  <c r="M287" i="24"/>
  <c r="P287" i="24"/>
  <c r="Q287" i="24"/>
  <c r="V287" i="24"/>
  <c r="B288" i="24"/>
  <c r="M288" i="24"/>
  <c r="P288" i="24"/>
  <c r="Q288" i="24"/>
  <c r="V288" i="24"/>
  <c r="B289" i="24"/>
  <c r="M289" i="24"/>
  <c r="P289" i="24"/>
  <c r="Q289" i="24"/>
  <c r="V289" i="24"/>
  <c r="B290" i="24"/>
  <c r="M290" i="24"/>
  <c r="P290" i="24"/>
  <c r="Q290" i="24"/>
  <c r="V290" i="24"/>
  <c r="B291" i="24"/>
  <c r="M291" i="24"/>
  <c r="P291" i="24"/>
  <c r="Q291" i="24"/>
  <c r="V291" i="24"/>
  <c r="B292" i="24"/>
  <c r="M292" i="24"/>
  <c r="P292" i="24"/>
  <c r="Q292" i="24"/>
  <c r="V292" i="24"/>
  <c r="B293" i="24"/>
  <c r="M293" i="24"/>
  <c r="P293" i="24"/>
  <c r="Q293" i="24"/>
  <c r="V293" i="24"/>
  <c r="B294" i="24"/>
  <c r="M294" i="24"/>
  <c r="P294" i="24"/>
  <c r="Q294" i="24"/>
  <c r="V294" i="24"/>
  <c r="B295" i="24"/>
  <c r="M295" i="24"/>
  <c r="P295" i="24"/>
  <c r="Q295" i="24"/>
  <c r="V295" i="24"/>
  <c r="B296" i="24"/>
  <c r="M296" i="24"/>
  <c r="P296" i="24"/>
  <c r="Q296" i="24"/>
  <c r="V296" i="24"/>
  <c r="B297" i="24"/>
  <c r="M297" i="24"/>
  <c r="P297" i="24"/>
  <c r="Q297" i="24"/>
  <c r="V297" i="24"/>
  <c r="B298" i="24"/>
  <c r="M298" i="24"/>
  <c r="P298" i="24"/>
  <c r="Q298" i="24"/>
  <c r="V298" i="24"/>
  <c r="B299" i="24"/>
  <c r="M299" i="24"/>
  <c r="P299" i="24"/>
  <c r="Q299" i="24"/>
  <c r="V299" i="24"/>
  <c r="B300" i="24"/>
  <c r="M300" i="24"/>
  <c r="P300" i="24"/>
  <c r="Q300" i="24"/>
  <c r="V300" i="24"/>
  <c r="B301" i="24"/>
  <c r="M301" i="24"/>
  <c r="P301" i="24"/>
  <c r="Q301" i="24"/>
  <c r="V301" i="24"/>
  <c r="B302" i="24"/>
  <c r="M302" i="24"/>
  <c r="P302" i="24"/>
  <c r="Q302" i="24"/>
  <c r="V302" i="24"/>
  <c r="B303" i="24"/>
  <c r="M303" i="24"/>
  <c r="P303" i="24"/>
  <c r="Q303" i="24"/>
  <c r="V303" i="24"/>
  <c r="B304" i="24"/>
  <c r="M304" i="24"/>
  <c r="P304" i="24"/>
  <c r="Q304" i="24"/>
  <c r="V304" i="24"/>
  <c r="B305" i="24"/>
  <c r="M305" i="24"/>
  <c r="P305" i="24"/>
  <c r="Q305" i="24"/>
  <c r="V305" i="24"/>
  <c r="B306" i="24"/>
  <c r="M306" i="24"/>
  <c r="P306" i="24"/>
  <c r="Q306" i="24"/>
  <c r="V306" i="24"/>
  <c r="B307" i="24"/>
  <c r="M307" i="24"/>
  <c r="P307" i="24"/>
  <c r="Q307" i="24"/>
  <c r="V307" i="24"/>
  <c r="B308" i="24"/>
  <c r="M308" i="24"/>
  <c r="P308" i="24"/>
  <c r="Q308" i="24"/>
  <c r="V308" i="24"/>
  <c r="B309" i="24"/>
  <c r="M309" i="24"/>
  <c r="P309" i="24"/>
  <c r="Q309" i="24"/>
  <c r="V309" i="24"/>
  <c r="B310" i="24"/>
  <c r="M310" i="24"/>
  <c r="P310" i="24"/>
  <c r="Q310" i="24"/>
  <c r="V310" i="24"/>
  <c r="B311" i="24"/>
  <c r="M311" i="24"/>
  <c r="P311" i="24"/>
  <c r="Q311" i="24"/>
  <c r="V311" i="24"/>
  <c r="B312" i="24"/>
  <c r="M312" i="24"/>
  <c r="P312" i="24"/>
  <c r="Q312" i="24"/>
  <c r="V312" i="24"/>
  <c r="B313" i="24"/>
  <c r="M313" i="24"/>
  <c r="P313" i="24"/>
  <c r="Q313" i="24"/>
  <c r="V313" i="24"/>
  <c r="B314" i="24"/>
  <c r="M314" i="24"/>
  <c r="P314" i="24"/>
  <c r="Q314" i="24"/>
  <c r="V314" i="24"/>
  <c r="B315" i="24"/>
  <c r="M315" i="24"/>
  <c r="P315" i="24"/>
  <c r="Q315" i="24"/>
  <c r="V315" i="24"/>
  <c r="B316" i="24"/>
  <c r="M316" i="24"/>
  <c r="P316" i="24"/>
  <c r="Q316" i="24"/>
  <c r="V316" i="24"/>
  <c r="B317" i="24"/>
  <c r="M317" i="24"/>
  <c r="P317" i="24"/>
  <c r="Q317" i="24"/>
  <c r="V317" i="24"/>
  <c r="B318" i="24"/>
  <c r="M318" i="24"/>
  <c r="P318" i="24"/>
  <c r="Q318" i="24"/>
  <c r="V318" i="24"/>
  <c r="B319" i="24"/>
  <c r="M319" i="24"/>
  <c r="P319" i="24"/>
  <c r="Q319" i="24"/>
  <c r="V319" i="24"/>
  <c r="B320" i="24"/>
  <c r="M320" i="24"/>
  <c r="P320" i="24"/>
  <c r="Q320" i="24"/>
  <c r="V320" i="24"/>
  <c r="B321" i="24"/>
  <c r="M321" i="24"/>
  <c r="P321" i="24"/>
  <c r="Q321" i="24"/>
  <c r="V321" i="24"/>
  <c r="B322" i="24"/>
  <c r="M322" i="24"/>
  <c r="P322" i="24"/>
  <c r="Q322" i="24"/>
  <c r="V322" i="24"/>
  <c r="B323" i="24"/>
  <c r="M323" i="24"/>
  <c r="P323" i="24"/>
  <c r="Q323" i="24"/>
  <c r="V323" i="24"/>
  <c r="B324" i="24"/>
  <c r="M324" i="24"/>
  <c r="P324" i="24"/>
  <c r="Q324" i="24"/>
  <c r="V324" i="24"/>
  <c r="B325" i="24"/>
  <c r="M325" i="24"/>
  <c r="P325" i="24"/>
  <c r="Q325" i="24"/>
  <c r="V325" i="24"/>
  <c r="B326" i="24"/>
  <c r="M326" i="24"/>
  <c r="P326" i="24"/>
  <c r="Q326" i="24"/>
  <c r="V326" i="24"/>
  <c r="B327" i="24"/>
  <c r="M327" i="24"/>
  <c r="P327" i="24"/>
  <c r="Q327" i="24"/>
  <c r="V327" i="24"/>
  <c r="B328" i="24"/>
  <c r="M328" i="24"/>
  <c r="P328" i="24"/>
  <c r="Q328" i="24"/>
  <c r="V328" i="24"/>
  <c r="B329" i="24"/>
  <c r="M329" i="24"/>
  <c r="P329" i="24"/>
  <c r="Q329" i="24"/>
  <c r="V329" i="24"/>
  <c r="B330" i="24"/>
  <c r="M330" i="24"/>
  <c r="P330" i="24"/>
  <c r="Q330" i="24"/>
  <c r="V330" i="24"/>
  <c r="B331" i="24"/>
  <c r="M331" i="24"/>
  <c r="P331" i="24"/>
  <c r="Q331" i="24"/>
  <c r="V331" i="24"/>
  <c r="B332" i="24"/>
  <c r="M332" i="24"/>
  <c r="P332" i="24"/>
  <c r="Q332" i="24"/>
  <c r="V332" i="24"/>
  <c r="B333" i="24"/>
  <c r="M333" i="24"/>
  <c r="P333" i="24"/>
  <c r="Q333" i="24"/>
  <c r="V333" i="24"/>
  <c r="B334" i="24"/>
  <c r="M334" i="24"/>
  <c r="P334" i="24"/>
  <c r="Q334" i="24"/>
  <c r="V334" i="24"/>
  <c r="B335" i="24"/>
  <c r="M335" i="24"/>
  <c r="P335" i="24"/>
  <c r="Q335" i="24"/>
  <c r="V335" i="24"/>
  <c r="B336" i="24"/>
  <c r="M336" i="24"/>
  <c r="P336" i="24"/>
  <c r="Q336" i="24"/>
  <c r="V336" i="24"/>
  <c r="B337" i="24"/>
  <c r="M337" i="24"/>
  <c r="P337" i="24"/>
  <c r="Q337" i="24"/>
  <c r="V337" i="24"/>
  <c r="B338" i="24"/>
  <c r="M338" i="24"/>
  <c r="P338" i="24"/>
  <c r="Q338" i="24"/>
  <c r="V338" i="24"/>
  <c r="B339" i="24"/>
  <c r="M339" i="24"/>
  <c r="P339" i="24"/>
  <c r="Q339" i="24"/>
  <c r="V339" i="24"/>
  <c r="B340" i="24"/>
  <c r="M340" i="24"/>
  <c r="P340" i="24"/>
  <c r="Q340" i="24"/>
  <c r="V340" i="24"/>
  <c r="B341" i="24"/>
  <c r="M341" i="24"/>
  <c r="P341" i="24"/>
  <c r="Q341" i="24"/>
  <c r="V341" i="24"/>
  <c r="B342" i="24"/>
  <c r="M342" i="24"/>
  <c r="P342" i="24"/>
  <c r="Q342" i="24"/>
  <c r="V342" i="24"/>
  <c r="B343" i="24"/>
  <c r="M343" i="24"/>
  <c r="P343" i="24"/>
  <c r="Q343" i="24"/>
  <c r="V343" i="24"/>
  <c r="B344" i="24"/>
  <c r="M344" i="24"/>
  <c r="P344" i="24"/>
  <c r="Q344" i="24"/>
  <c r="V344" i="24"/>
  <c r="B345" i="24"/>
  <c r="M345" i="24"/>
  <c r="P345" i="24"/>
  <c r="Q345" i="24"/>
  <c r="V345" i="24"/>
  <c r="B346" i="24"/>
  <c r="M346" i="24"/>
  <c r="P346" i="24"/>
  <c r="Q346" i="24"/>
  <c r="V346" i="24"/>
  <c r="B347" i="24"/>
  <c r="M347" i="24"/>
  <c r="P347" i="24"/>
  <c r="Q347" i="24"/>
  <c r="V347" i="24"/>
  <c r="B348" i="24"/>
  <c r="M348" i="24"/>
  <c r="P348" i="24"/>
  <c r="Q348" i="24"/>
  <c r="V348" i="24"/>
  <c r="B349" i="24"/>
  <c r="M349" i="24"/>
  <c r="P349" i="24"/>
  <c r="Q349" i="24"/>
  <c r="V349" i="24"/>
  <c r="B350" i="24"/>
  <c r="M350" i="24"/>
  <c r="P350" i="24"/>
  <c r="Q350" i="24"/>
  <c r="V350" i="24"/>
  <c r="B351" i="24"/>
  <c r="M351" i="24"/>
  <c r="P351" i="24"/>
  <c r="Q351" i="24"/>
  <c r="V351" i="24"/>
  <c r="B352" i="24"/>
  <c r="M352" i="24"/>
  <c r="P352" i="24"/>
  <c r="Q352" i="24"/>
  <c r="V352" i="24"/>
  <c r="B353" i="24"/>
  <c r="M353" i="24"/>
  <c r="P353" i="24"/>
  <c r="Q353" i="24"/>
  <c r="V353" i="24"/>
  <c r="B354" i="24"/>
  <c r="M354" i="24"/>
  <c r="P354" i="24"/>
  <c r="Q354" i="24"/>
  <c r="V354" i="24"/>
  <c r="B355" i="24"/>
  <c r="M355" i="24"/>
  <c r="P355" i="24"/>
  <c r="Q355" i="24"/>
  <c r="V355" i="24"/>
  <c r="B356" i="24"/>
  <c r="M356" i="24"/>
  <c r="P356" i="24"/>
  <c r="Q356" i="24"/>
  <c r="V356" i="24"/>
  <c r="B357" i="24"/>
  <c r="M357" i="24"/>
  <c r="P357" i="24"/>
  <c r="Q357" i="24"/>
  <c r="V357" i="24"/>
  <c r="B358" i="24"/>
  <c r="M358" i="24"/>
  <c r="P358" i="24"/>
  <c r="Q358" i="24"/>
  <c r="V358" i="24"/>
  <c r="B359" i="24"/>
  <c r="M359" i="24"/>
  <c r="P359" i="24"/>
  <c r="Q359" i="24"/>
  <c r="V359" i="24"/>
  <c r="B360" i="24"/>
  <c r="M360" i="24"/>
  <c r="P360" i="24"/>
  <c r="Q360" i="24"/>
  <c r="V360" i="24"/>
  <c r="B361" i="24"/>
  <c r="M361" i="24"/>
  <c r="P361" i="24"/>
  <c r="Q361" i="24"/>
  <c r="V361" i="24"/>
  <c r="B362" i="24"/>
  <c r="M362" i="24"/>
  <c r="P362" i="24"/>
  <c r="Q362" i="24"/>
  <c r="V362" i="24"/>
  <c r="B363" i="24"/>
  <c r="M363" i="24"/>
  <c r="P363" i="24"/>
  <c r="Q363" i="24"/>
  <c r="V363" i="24"/>
  <c r="B364" i="24"/>
  <c r="M364" i="24"/>
  <c r="P364" i="24"/>
  <c r="Q364" i="24"/>
  <c r="V364" i="24"/>
  <c r="B365" i="24"/>
  <c r="M365" i="24"/>
  <c r="P365" i="24"/>
  <c r="Q365" i="24"/>
  <c r="V365" i="24"/>
  <c r="B366" i="24"/>
  <c r="M366" i="24"/>
  <c r="P366" i="24"/>
  <c r="Q366" i="24"/>
  <c r="V366" i="24"/>
  <c r="B367" i="24"/>
  <c r="M367" i="24"/>
  <c r="P367" i="24"/>
  <c r="Q367" i="24"/>
  <c r="V367" i="24"/>
  <c r="B368" i="24"/>
  <c r="M368" i="24"/>
  <c r="P368" i="24"/>
  <c r="Q368" i="24"/>
  <c r="V368" i="24"/>
  <c r="B369" i="24"/>
  <c r="M369" i="24"/>
  <c r="P369" i="24"/>
  <c r="Q369" i="24"/>
  <c r="V369" i="24"/>
  <c r="B370" i="24"/>
  <c r="M370" i="24"/>
  <c r="P370" i="24"/>
  <c r="Q370" i="24"/>
  <c r="V370" i="24"/>
  <c r="B371" i="24"/>
  <c r="M371" i="24"/>
  <c r="P371" i="24"/>
  <c r="Q371" i="24"/>
  <c r="V371" i="24"/>
  <c r="B372" i="24"/>
  <c r="M372" i="24"/>
  <c r="P372" i="24"/>
  <c r="Q372" i="24"/>
  <c r="V372" i="24"/>
  <c r="B373" i="24"/>
  <c r="M373" i="24"/>
  <c r="P373" i="24"/>
  <c r="Q373" i="24"/>
  <c r="V373" i="24"/>
  <c r="B374" i="24"/>
  <c r="M374" i="24"/>
  <c r="P374" i="24"/>
  <c r="Q374" i="24"/>
  <c r="V374" i="24"/>
  <c r="B375" i="24"/>
  <c r="M375" i="24"/>
  <c r="P375" i="24"/>
  <c r="Q375" i="24"/>
  <c r="V375" i="24"/>
  <c r="B376" i="24"/>
  <c r="M376" i="24"/>
  <c r="P376" i="24"/>
  <c r="Q376" i="24"/>
  <c r="V376" i="24"/>
  <c r="B377" i="24"/>
  <c r="M377" i="24"/>
  <c r="P377" i="24"/>
  <c r="Q377" i="24"/>
  <c r="V377" i="24"/>
  <c r="B378" i="24"/>
  <c r="M378" i="24"/>
  <c r="P378" i="24"/>
  <c r="Q378" i="24"/>
  <c r="V378" i="24"/>
  <c r="B379" i="24"/>
  <c r="M379" i="24"/>
  <c r="P379" i="24"/>
  <c r="Q379" i="24"/>
  <c r="V379" i="24"/>
  <c r="B380" i="24"/>
  <c r="M380" i="24"/>
  <c r="P380" i="24"/>
  <c r="Q380" i="24"/>
  <c r="V380" i="24"/>
  <c r="B381" i="24"/>
  <c r="M381" i="24"/>
  <c r="P381" i="24"/>
  <c r="Q381" i="24"/>
  <c r="V381" i="24"/>
  <c r="B382" i="24"/>
  <c r="M382" i="24"/>
  <c r="P382" i="24"/>
  <c r="Q382" i="24"/>
  <c r="V382" i="24"/>
  <c r="B383" i="24"/>
  <c r="M383" i="24"/>
  <c r="P383" i="24"/>
  <c r="Q383" i="24"/>
  <c r="V383" i="24"/>
  <c r="B384" i="24"/>
  <c r="M384" i="24"/>
  <c r="P384" i="24"/>
  <c r="Q384" i="24"/>
  <c r="V384" i="24"/>
  <c r="B385" i="24"/>
  <c r="M385" i="24"/>
  <c r="P385" i="24"/>
  <c r="Q385" i="24"/>
  <c r="V385" i="24"/>
  <c r="B386" i="24"/>
  <c r="M386" i="24"/>
  <c r="P386" i="24"/>
  <c r="Q386" i="24"/>
  <c r="V386" i="24"/>
  <c r="B387" i="24"/>
  <c r="M387" i="24"/>
  <c r="P387" i="24"/>
  <c r="Q387" i="24"/>
  <c r="V387" i="24"/>
  <c r="B388" i="24"/>
  <c r="M388" i="24"/>
  <c r="P388" i="24"/>
  <c r="Q388" i="24"/>
  <c r="V388" i="24"/>
  <c r="B389" i="24"/>
  <c r="M389" i="24"/>
  <c r="P389" i="24"/>
  <c r="Q389" i="24"/>
  <c r="V389" i="24"/>
  <c r="B390" i="24"/>
  <c r="M390" i="24"/>
  <c r="P390" i="24"/>
  <c r="Q390" i="24"/>
  <c r="V390" i="24"/>
  <c r="B391" i="24"/>
  <c r="M391" i="24"/>
  <c r="P391" i="24"/>
  <c r="Q391" i="24"/>
  <c r="V391" i="24"/>
  <c r="B392" i="24"/>
  <c r="M392" i="24"/>
  <c r="P392" i="24"/>
  <c r="Q392" i="24"/>
  <c r="V392" i="24"/>
  <c r="B393" i="24"/>
  <c r="M393" i="24"/>
  <c r="P393" i="24"/>
  <c r="Q393" i="24"/>
  <c r="V393" i="24"/>
  <c r="B394" i="24"/>
  <c r="M394" i="24"/>
  <c r="P394" i="24"/>
  <c r="Q394" i="24"/>
  <c r="V394" i="24"/>
  <c r="B395" i="24"/>
  <c r="M395" i="24"/>
  <c r="P395" i="24"/>
  <c r="Q395" i="24"/>
  <c r="V395" i="24"/>
  <c r="B396" i="24"/>
  <c r="M396" i="24"/>
  <c r="P396" i="24"/>
  <c r="Q396" i="24"/>
  <c r="V396" i="24"/>
  <c r="B397" i="24"/>
  <c r="M397" i="24"/>
  <c r="P397" i="24"/>
  <c r="Q397" i="24"/>
  <c r="V397" i="24"/>
  <c r="B398" i="24"/>
  <c r="M398" i="24"/>
  <c r="P398" i="24"/>
  <c r="Q398" i="24"/>
  <c r="V398" i="24"/>
  <c r="B399" i="24"/>
  <c r="M399" i="24"/>
  <c r="P399" i="24"/>
  <c r="Q399" i="24"/>
  <c r="V399" i="24"/>
  <c r="B400" i="24"/>
  <c r="M400" i="24"/>
  <c r="P400" i="24"/>
  <c r="Q400" i="24"/>
  <c r="V400" i="24"/>
  <c r="B401" i="24"/>
  <c r="M401" i="24"/>
  <c r="P401" i="24"/>
  <c r="Q401" i="24"/>
  <c r="V401" i="24"/>
  <c r="B402" i="24"/>
  <c r="M402" i="24"/>
  <c r="P402" i="24"/>
  <c r="Q402" i="24"/>
  <c r="V402" i="24"/>
  <c r="B403" i="24"/>
  <c r="M403" i="24"/>
  <c r="P403" i="24"/>
  <c r="Q403" i="24"/>
  <c r="V403" i="24"/>
  <c r="B404" i="24"/>
  <c r="M404" i="24"/>
  <c r="P404" i="24"/>
  <c r="Q404" i="24"/>
  <c r="V404" i="24"/>
  <c r="B405" i="24"/>
  <c r="M405" i="24"/>
  <c r="P405" i="24"/>
  <c r="Q405" i="24"/>
  <c r="V405" i="24"/>
  <c r="B406" i="24"/>
  <c r="M406" i="24"/>
  <c r="P406" i="24"/>
  <c r="Q406" i="24"/>
  <c r="V406" i="24"/>
  <c r="B407" i="24"/>
  <c r="M407" i="24"/>
  <c r="P407" i="24"/>
  <c r="Q407" i="24"/>
  <c r="V407" i="24"/>
  <c r="B408" i="24"/>
  <c r="M408" i="24"/>
  <c r="P408" i="24"/>
  <c r="Q408" i="24"/>
  <c r="V408" i="24"/>
  <c r="B409" i="24"/>
  <c r="M409" i="24"/>
  <c r="P409" i="24"/>
  <c r="Q409" i="24"/>
  <c r="V409" i="24"/>
  <c r="B410" i="24"/>
  <c r="M410" i="24"/>
  <c r="P410" i="24"/>
  <c r="Q410" i="24"/>
  <c r="V410" i="24"/>
  <c r="B418" i="24"/>
  <c r="M418" i="24"/>
  <c r="P418" i="24"/>
  <c r="Q418" i="24"/>
  <c r="V418" i="24"/>
  <c r="B419" i="24"/>
  <c r="M419" i="24"/>
  <c r="P419" i="24"/>
  <c r="Q419" i="24"/>
  <c r="V419" i="24"/>
  <c r="B420" i="24"/>
  <c r="M420" i="24"/>
  <c r="P420" i="24"/>
  <c r="Q420" i="24"/>
  <c r="V420" i="24"/>
  <c r="B421" i="24"/>
  <c r="M421" i="24"/>
  <c r="P421" i="24"/>
  <c r="Q421" i="24"/>
  <c r="V421" i="24"/>
  <c r="B422" i="24"/>
  <c r="M422" i="24"/>
  <c r="P422" i="24"/>
  <c r="Q422" i="24"/>
  <c r="V422" i="24"/>
  <c r="B423" i="24"/>
  <c r="M423" i="24"/>
  <c r="P423" i="24"/>
  <c r="Q423" i="24"/>
  <c r="V423" i="24"/>
  <c r="B424" i="24"/>
  <c r="M424" i="24"/>
  <c r="P424" i="24"/>
  <c r="Q424" i="24"/>
  <c r="V424" i="24"/>
  <c r="B425" i="24"/>
  <c r="M425" i="24"/>
  <c r="P425" i="24"/>
  <c r="Q425" i="24"/>
  <c r="V425" i="24"/>
  <c r="B426" i="24"/>
  <c r="M426" i="24"/>
  <c r="P426" i="24"/>
  <c r="Q426" i="24"/>
  <c r="V426" i="24"/>
  <c r="B427" i="24"/>
  <c r="M427" i="24"/>
  <c r="P427" i="24"/>
  <c r="Q427" i="24"/>
  <c r="V427" i="24"/>
  <c r="B428" i="24"/>
  <c r="M428" i="24"/>
  <c r="P428" i="24"/>
  <c r="Q428" i="24"/>
  <c r="V428" i="24"/>
  <c r="B429" i="24"/>
  <c r="M429" i="24"/>
  <c r="P429" i="24"/>
  <c r="Q429" i="24"/>
  <c r="V429" i="24"/>
  <c r="B430" i="24"/>
  <c r="M430" i="24"/>
  <c r="P430" i="24"/>
  <c r="Q430" i="24"/>
  <c r="V430" i="24"/>
  <c r="B431" i="24"/>
  <c r="M431" i="24"/>
  <c r="P431" i="24"/>
  <c r="Q431" i="24"/>
  <c r="V431" i="24"/>
  <c r="B432" i="24"/>
  <c r="M432" i="24"/>
  <c r="P432" i="24"/>
  <c r="Q432" i="24"/>
  <c r="V432" i="24"/>
  <c r="B433" i="24"/>
  <c r="M433" i="24"/>
  <c r="P433" i="24"/>
  <c r="Q433" i="24"/>
  <c r="V433" i="24"/>
  <c r="B434" i="24"/>
  <c r="M434" i="24"/>
  <c r="P434" i="24"/>
  <c r="Q434" i="24"/>
  <c r="V434" i="24"/>
  <c r="B435" i="24"/>
  <c r="M435" i="24"/>
  <c r="P435" i="24"/>
  <c r="Q435" i="24"/>
  <c r="V435" i="24"/>
  <c r="B436" i="24"/>
  <c r="M436" i="24"/>
  <c r="P436" i="24"/>
  <c r="Q436" i="24"/>
  <c r="V436" i="24"/>
  <c r="B437" i="24"/>
  <c r="M437" i="24"/>
  <c r="P437" i="24"/>
  <c r="Q437" i="24"/>
  <c r="V437" i="24"/>
  <c r="B438" i="24"/>
  <c r="M438" i="24"/>
  <c r="P438" i="24"/>
  <c r="Q438" i="24"/>
  <c r="V438" i="24"/>
  <c r="B439" i="24"/>
  <c r="M439" i="24"/>
  <c r="P439" i="24"/>
  <c r="Q439" i="24"/>
  <c r="V439" i="24"/>
  <c r="B440" i="24"/>
  <c r="M440" i="24"/>
  <c r="P440" i="24"/>
  <c r="Q440" i="24"/>
  <c r="V440" i="24"/>
  <c r="B441" i="24"/>
  <c r="M441" i="24"/>
  <c r="P441" i="24"/>
  <c r="Q441" i="24"/>
  <c r="V441" i="24"/>
  <c r="B442" i="24"/>
  <c r="M442" i="24"/>
  <c r="P442" i="24"/>
  <c r="Q442" i="24"/>
  <c r="V442" i="24"/>
  <c r="B443" i="24"/>
  <c r="M443" i="24"/>
  <c r="P443" i="24"/>
  <c r="Q443" i="24"/>
  <c r="V443" i="24"/>
  <c r="B444" i="24"/>
  <c r="M444" i="24"/>
  <c r="P444" i="24"/>
  <c r="Q444" i="24"/>
  <c r="V444" i="24"/>
  <c r="B445" i="24"/>
  <c r="M445" i="24"/>
  <c r="P445" i="24"/>
  <c r="Q445" i="24"/>
  <c r="V445" i="24"/>
  <c r="B446" i="24"/>
  <c r="M446" i="24"/>
  <c r="P446" i="24"/>
  <c r="Q446" i="24"/>
  <c r="V446" i="24"/>
  <c r="B447" i="24"/>
  <c r="M447" i="24"/>
  <c r="P447" i="24"/>
  <c r="Q447" i="24"/>
  <c r="V447" i="24"/>
  <c r="B448" i="24"/>
  <c r="M448" i="24"/>
  <c r="P448" i="24"/>
  <c r="Q448" i="24"/>
  <c r="V448" i="24"/>
  <c r="B449" i="24"/>
  <c r="M449" i="24"/>
  <c r="P449" i="24"/>
  <c r="Q449" i="24"/>
  <c r="V449" i="24"/>
  <c r="B450" i="24"/>
  <c r="M450" i="24"/>
  <c r="P450" i="24"/>
  <c r="Q450" i="24"/>
  <c r="V450" i="24"/>
  <c r="B451" i="24"/>
  <c r="M451" i="24"/>
  <c r="P451" i="24"/>
  <c r="Q451" i="24"/>
  <c r="V451" i="24"/>
  <c r="B452" i="24"/>
  <c r="M452" i="24"/>
  <c r="P452" i="24"/>
  <c r="Q452" i="24"/>
  <c r="V452" i="24"/>
  <c r="B453" i="24"/>
  <c r="M453" i="24"/>
  <c r="P453" i="24"/>
  <c r="Q453" i="24"/>
  <c r="V453" i="24"/>
  <c r="B454" i="24"/>
  <c r="M454" i="24"/>
  <c r="P454" i="24"/>
  <c r="Q454" i="24"/>
  <c r="V454" i="24"/>
  <c r="B455" i="24"/>
  <c r="M455" i="24"/>
  <c r="P455" i="24"/>
  <c r="Q455" i="24"/>
  <c r="V455" i="24"/>
  <c r="B456" i="24"/>
  <c r="M456" i="24"/>
  <c r="P456" i="24"/>
  <c r="Q456" i="24"/>
  <c r="V456" i="24"/>
  <c r="B457" i="24"/>
  <c r="M457" i="24"/>
  <c r="P457" i="24"/>
  <c r="Q457" i="24"/>
  <c r="V457" i="24"/>
  <c r="B458" i="24"/>
  <c r="M458" i="24"/>
  <c r="P458" i="24"/>
  <c r="Q458" i="24"/>
  <c r="V458" i="24"/>
  <c r="B459" i="24"/>
  <c r="M459" i="24"/>
  <c r="P459" i="24"/>
  <c r="Q459" i="24"/>
  <c r="V459" i="24"/>
  <c r="B460" i="24"/>
  <c r="M460" i="24"/>
  <c r="P460" i="24"/>
  <c r="Q460" i="24"/>
  <c r="V460" i="24"/>
  <c r="B461" i="24"/>
  <c r="M461" i="24"/>
  <c r="P461" i="24"/>
  <c r="Q461" i="24"/>
  <c r="V461" i="24"/>
  <c r="B462" i="24"/>
  <c r="M462" i="24"/>
  <c r="P462" i="24"/>
  <c r="Q462" i="24"/>
  <c r="V462" i="24"/>
  <c r="B463" i="24"/>
  <c r="M463" i="24"/>
  <c r="P463" i="24"/>
  <c r="Q463" i="24"/>
  <c r="V463" i="24"/>
  <c r="B464" i="24"/>
  <c r="M464" i="24"/>
  <c r="P464" i="24"/>
  <c r="Q464" i="24"/>
  <c r="V464" i="24"/>
  <c r="B465" i="24"/>
  <c r="M465" i="24"/>
  <c r="P465" i="24"/>
  <c r="Q465" i="24"/>
  <c r="V465" i="24"/>
  <c r="B466" i="24"/>
  <c r="M466" i="24"/>
  <c r="P466" i="24"/>
  <c r="Q466" i="24"/>
  <c r="V466" i="24"/>
  <c r="B467" i="24"/>
  <c r="M467" i="24"/>
  <c r="P467" i="24"/>
  <c r="Q467" i="24"/>
  <c r="V467" i="24"/>
  <c r="B468" i="24"/>
  <c r="M468" i="24"/>
  <c r="P468" i="24"/>
  <c r="Q468" i="24"/>
  <c r="V468" i="24"/>
  <c r="B469" i="24"/>
  <c r="M469" i="24"/>
  <c r="P469" i="24"/>
  <c r="Q469" i="24"/>
  <c r="V469" i="24"/>
  <c r="B470" i="24"/>
  <c r="M470" i="24"/>
  <c r="P470" i="24"/>
  <c r="Q470" i="24"/>
  <c r="V470" i="24"/>
  <c r="B471" i="24"/>
  <c r="M471" i="24"/>
  <c r="P471" i="24"/>
  <c r="Q471" i="24"/>
  <c r="V471" i="24"/>
  <c r="B472" i="24"/>
  <c r="M472" i="24"/>
  <c r="P472" i="24"/>
  <c r="Q472" i="24"/>
  <c r="V472" i="24"/>
  <c r="B473" i="24"/>
  <c r="M473" i="24"/>
  <c r="P473" i="24"/>
  <c r="Q473" i="24"/>
  <c r="V473" i="24"/>
  <c r="B474" i="24"/>
  <c r="M474" i="24"/>
  <c r="P474" i="24"/>
  <c r="Q474" i="24"/>
  <c r="V474" i="24"/>
  <c r="B475" i="24"/>
  <c r="M475" i="24"/>
  <c r="P475" i="24"/>
  <c r="Q475" i="24"/>
  <c r="V475" i="24"/>
  <c r="B476" i="24"/>
  <c r="M476" i="24"/>
  <c r="P476" i="24"/>
  <c r="Q476" i="24"/>
  <c r="V476" i="24"/>
  <c r="B477" i="24"/>
  <c r="M477" i="24"/>
  <c r="P477" i="24"/>
  <c r="Q477" i="24"/>
  <c r="V477" i="24"/>
  <c r="B478" i="24"/>
  <c r="M478" i="24"/>
  <c r="P478" i="24"/>
  <c r="Q478" i="24"/>
  <c r="V478" i="24"/>
  <c r="B479" i="24"/>
  <c r="M479" i="24"/>
  <c r="P479" i="24"/>
  <c r="Q479" i="24"/>
  <c r="V479" i="24"/>
  <c r="B480" i="24"/>
  <c r="M480" i="24"/>
  <c r="P480" i="24"/>
  <c r="Q480" i="24"/>
  <c r="V480" i="24"/>
  <c r="B481" i="24"/>
  <c r="M481" i="24"/>
  <c r="P481" i="24"/>
  <c r="Q481" i="24"/>
  <c r="V481" i="24"/>
  <c r="B482" i="24"/>
  <c r="M482" i="24"/>
  <c r="P482" i="24"/>
  <c r="Q482" i="24"/>
  <c r="V482" i="24"/>
  <c r="B483" i="24"/>
  <c r="M483" i="24"/>
  <c r="P483" i="24"/>
  <c r="Q483" i="24"/>
  <c r="V483" i="24"/>
  <c r="B484" i="24"/>
  <c r="M484" i="24"/>
  <c r="P484" i="24"/>
  <c r="Q484" i="24"/>
  <c r="V484" i="24"/>
  <c r="B485" i="24"/>
  <c r="M485" i="24"/>
  <c r="P485" i="24"/>
  <c r="Q485" i="24"/>
  <c r="V485" i="24"/>
  <c r="B486" i="24"/>
  <c r="M486" i="24"/>
  <c r="P486" i="24"/>
  <c r="Q486" i="24"/>
  <c r="V486" i="24"/>
  <c r="B487" i="24"/>
  <c r="M487" i="24"/>
  <c r="P487" i="24"/>
  <c r="Q487" i="24"/>
  <c r="V487" i="24"/>
  <c r="B488" i="24"/>
  <c r="M488" i="24"/>
  <c r="P488" i="24"/>
  <c r="Q488" i="24"/>
  <c r="V488" i="24"/>
  <c r="B489" i="24"/>
  <c r="M489" i="24"/>
  <c r="P489" i="24"/>
  <c r="Q489" i="24"/>
  <c r="V489" i="24"/>
  <c r="B490" i="24"/>
  <c r="M490" i="24"/>
  <c r="P490" i="24"/>
  <c r="Q490" i="24"/>
  <c r="V490" i="24"/>
  <c r="B491" i="24"/>
  <c r="M491" i="24"/>
  <c r="P491" i="24"/>
  <c r="Q491" i="24"/>
  <c r="V491" i="24"/>
  <c r="B492" i="24"/>
  <c r="M492" i="24"/>
  <c r="P492" i="24"/>
  <c r="Q492" i="24"/>
  <c r="V492" i="24"/>
  <c r="B493" i="24"/>
  <c r="M493" i="24"/>
  <c r="P493" i="24"/>
  <c r="Q493" i="24"/>
  <c r="V493" i="24"/>
  <c r="B494" i="24"/>
  <c r="M494" i="24"/>
  <c r="P494" i="24"/>
  <c r="Q494" i="24"/>
  <c r="V494" i="24"/>
  <c r="B495" i="24"/>
  <c r="M495" i="24"/>
  <c r="P495" i="24"/>
  <c r="Q495" i="24"/>
  <c r="V495" i="24"/>
  <c r="B496" i="24"/>
  <c r="M496" i="24"/>
  <c r="P496" i="24"/>
  <c r="Q496" i="24"/>
  <c r="V496" i="24"/>
  <c r="B497" i="24"/>
  <c r="M497" i="24"/>
  <c r="P497" i="24"/>
  <c r="Q497" i="24"/>
  <c r="V497" i="24"/>
  <c r="B498" i="24"/>
  <c r="M498" i="24"/>
  <c r="P498" i="24"/>
  <c r="Q498" i="24"/>
  <c r="V498" i="24"/>
  <c r="B499" i="24"/>
  <c r="M499" i="24"/>
  <c r="P499" i="24"/>
  <c r="Q499" i="24"/>
  <c r="V499" i="24"/>
  <c r="B500" i="24"/>
  <c r="M500" i="24"/>
  <c r="P500" i="24"/>
  <c r="Q500" i="24"/>
  <c r="V500" i="24"/>
  <c r="B501" i="24"/>
  <c r="M501" i="24"/>
  <c r="P501" i="24"/>
  <c r="Q501" i="24"/>
  <c r="V501" i="24"/>
  <c r="B502" i="24"/>
  <c r="M502" i="24"/>
  <c r="P502" i="24"/>
  <c r="Q502" i="24"/>
  <c r="V502" i="24"/>
  <c r="B503" i="24"/>
  <c r="M503" i="24"/>
  <c r="P503" i="24"/>
  <c r="Q503" i="24"/>
  <c r="V503" i="24"/>
  <c r="B504" i="24"/>
  <c r="M504" i="24"/>
  <c r="P504" i="24"/>
  <c r="Q504" i="24"/>
  <c r="V504" i="24"/>
  <c r="B505" i="24"/>
  <c r="M505" i="24"/>
  <c r="P505" i="24"/>
  <c r="Q505" i="24"/>
  <c r="V505" i="24"/>
  <c r="B506" i="24"/>
  <c r="M506" i="24"/>
  <c r="P506" i="24"/>
  <c r="Q506" i="24"/>
  <c r="V506" i="24"/>
  <c r="B507" i="24"/>
  <c r="M507" i="24"/>
  <c r="P507" i="24"/>
  <c r="Q507" i="24"/>
  <c r="V507" i="24"/>
  <c r="B508" i="24"/>
  <c r="M508" i="24"/>
  <c r="P508" i="24"/>
  <c r="Q508" i="24"/>
  <c r="V508" i="24"/>
  <c r="B509" i="24"/>
  <c r="M509" i="24"/>
  <c r="P509" i="24"/>
  <c r="Q509" i="24"/>
  <c r="V509" i="24"/>
  <c r="B510" i="24"/>
  <c r="M510" i="24"/>
  <c r="P510" i="24"/>
  <c r="Q510" i="24"/>
  <c r="V510" i="24"/>
  <c r="B511" i="24"/>
  <c r="M511" i="24"/>
  <c r="P511" i="24"/>
  <c r="Q511" i="24"/>
  <c r="V511" i="24"/>
  <c r="B512" i="24"/>
  <c r="M512" i="24"/>
  <c r="P512" i="24"/>
  <c r="Q512" i="24"/>
  <c r="V512" i="24"/>
  <c r="B513" i="24"/>
  <c r="M513" i="24"/>
  <c r="P513" i="24"/>
  <c r="Q513" i="24"/>
  <c r="V513" i="24"/>
  <c r="B514" i="24"/>
  <c r="M514" i="24"/>
  <c r="P514" i="24"/>
  <c r="Q514" i="24"/>
  <c r="V514" i="24"/>
  <c r="B515" i="24"/>
  <c r="M515" i="24"/>
  <c r="P515" i="24"/>
  <c r="Q515" i="24"/>
  <c r="V515" i="24"/>
  <c r="B516" i="24"/>
  <c r="M516" i="24"/>
  <c r="P516" i="24"/>
  <c r="Q516" i="24"/>
  <c r="V516" i="24"/>
  <c r="B517" i="24"/>
  <c r="M517" i="24"/>
  <c r="P517" i="24"/>
  <c r="Q517" i="24"/>
  <c r="V517" i="24"/>
  <c r="B518" i="24"/>
  <c r="M518" i="24"/>
  <c r="P518" i="24"/>
  <c r="Q518" i="24"/>
  <c r="V518" i="24"/>
  <c r="B519" i="24"/>
  <c r="M519" i="24"/>
  <c r="P519" i="24"/>
  <c r="Q519" i="24"/>
  <c r="V519" i="24"/>
  <c r="B520" i="24"/>
  <c r="M520" i="24"/>
  <c r="P520" i="24"/>
  <c r="Q520" i="24"/>
  <c r="V520" i="24"/>
  <c r="B521" i="24"/>
  <c r="M521" i="24"/>
  <c r="P521" i="24"/>
  <c r="Q521" i="24"/>
  <c r="V521" i="24"/>
  <c r="B522" i="24"/>
  <c r="M522" i="24"/>
  <c r="P522" i="24"/>
  <c r="Q522" i="24"/>
  <c r="V522" i="24"/>
  <c r="B523" i="24"/>
  <c r="M523" i="24"/>
  <c r="P523" i="24"/>
  <c r="Q523" i="24"/>
  <c r="V523" i="24"/>
  <c r="B524" i="24"/>
  <c r="M524" i="24"/>
  <c r="P524" i="24"/>
  <c r="Q524" i="24"/>
  <c r="V524" i="24"/>
  <c r="B525" i="24"/>
  <c r="M525" i="24"/>
  <c r="P525" i="24"/>
  <c r="Q525" i="24"/>
  <c r="V525" i="24"/>
  <c r="B526" i="24"/>
  <c r="M526" i="24"/>
  <c r="P526" i="24"/>
  <c r="Q526" i="24"/>
  <c r="V526" i="24"/>
  <c r="B527" i="24"/>
  <c r="M527" i="24"/>
  <c r="P527" i="24"/>
  <c r="Q527" i="24"/>
  <c r="V527" i="24"/>
  <c r="B528" i="24"/>
  <c r="M528" i="24"/>
  <c r="P528" i="24"/>
  <c r="Q528" i="24"/>
  <c r="V528" i="24"/>
  <c r="B529" i="24"/>
  <c r="M529" i="24"/>
  <c r="P529" i="24"/>
  <c r="Q529" i="24"/>
  <c r="V529" i="24"/>
  <c r="B530" i="24"/>
  <c r="M530" i="24"/>
  <c r="P530" i="24"/>
  <c r="Q530" i="24"/>
  <c r="V530" i="24"/>
  <c r="B531" i="24"/>
  <c r="M531" i="24"/>
  <c r="P531" i="24"/>
  <c r="Q531" i="24"/>
  <c r="V531" i="24"/>
  <c r="B532" i="24"/>
  <c r="M532" i="24"/>
  <c r="P532" i="24"/>
  <c r="Q532" i="24"/>
  <c r="V532" i="24"/>
  <c r="B533" i="24"/>
  <c r="M533" i="24"/>
  <c r="P533" i="24"/>
  <c r="Q533" i="24"/>
  <c r="V533" i="24"/>
  <c r="B534" i="24"/>
  <c r="M534" i="24"/>
  <c r="P534" i="24"/>
  <c r="Q534" i="24"/>
  <c r="V534" i="24"/>
  <c r="B535" i="24"/>
  <c r="M535" i="24"/>
  <c r="P535" i="24"/>
  <c r="Q535" i="24"/>
  <c r="V535" i="24"/>
  <c r="B536" i="24"/>
  <c r="M536" i="24"/>
  <c r="P536" i="24"/>
  <c r="Q536" i="24"/>
  <c r="V536" i="24"/>
  <c r="B537" i="24"/>
  <c r="M537" i="24"/>
  <c r="P537" i="24"/>
  <c r="Q537" i="24"/>
  <c r="V537" i="24"/>
  <c r="B538" i="24"/>
  <c r="M538" i="24"/>
  <c r="P538" i="24"/>
  <c r="Q538" i="24"/>
  <c r="V538" i="24"/>
  <c r="B539" i="24"/>
  <c r="M539" i="24"/>
  <c r="P539" i="24"/>
  <c r="Q539" i="24"/>
  <c r="V539" i="24"/>
  <c r="B540" i="24"/>
  <c r="M540" i="24"/>
  <c r="P540" i="24"/>
  <c r="Q540" i="24"/>
  <c r="V540" i="24"/>
  <c r="B541" i="24"/>
  <c r="M541" i="24"/>
  <c r="P541" i="24"/>
  <c r="Q541" i="24"/>
  <c r="V541" i="24"/>
  <c r="B542" i="24"/>
  <c r="M542" i="24"/>
  <c r="P542" i="24"/>
  <c r="Q542" i="24"/>
  <c r="V542" i="24"/>
  <c r="B543" i="24"/>
  <c r="M543" i="24"/>
  <c r="P543" i="24"/>
  <c r="Q543" i="24"/>
  <c r="V543" i="24"/>
  <c r="B544" i="24"/>
  <c r="M544" i="24"/>
  <c r="P544" i="24"/>
  <c r="Q544" i="24"/>
  <c r="V544" i="24"/>
  <c r="B545" i="24"/>
  <c r="M545" i="24"/>
  <c r="P545" i="24"/>
  <c r="Q545" i="24"/>
  <c r="V545" i="24"/>
  <c r="B546" i="24"/>
  <c r="M546" i="24"/>
  <c r="P546" i="24"/>
  <c r="Q546" i="24"/>
  <c r="V546" i="24"/>
  <c r="B547" i="24"/>
  <c r="M547" i="24"/>
  <c r="P547" i="24"/>
  <c r="Q547" i="24"/>
  <c r="V547" i="24"/>
  <c r="B548" i="24"/>
  <c r="M548" i="24"/>
  <c r="P548" i="24"/>
  <c r="Q548" i="24"/>
  <c r="V548" i="24"/>
  <c r="B549" i="24"/>
  <c r="M549" i="24"/>
  <c r="P549" i="24"/>
  <c r="Q549" i="24"/>
  <c r="V549" i="24"/>
  <c r="B550" i="24"/>
  <c r="M550" i="24"/>
  <c r="P550" i="24"/>
  <c r="Q550" i="24"/>
  <c r="V550" i="24"/>
  <c r="B551" i="24"/>
  <c r="M551" i="24"/>
  <c r="P551" i="24"/>
  <c r="Q551" i="24"/>
  <c r="V551" i="24"/>
  <c r="B552" i="24"/>
  <c r="M552" i="24"/>
  <c r="P552" i="24"/>
  <c r="Q552" i="24"/>
  <c r="V552" i="24"/>
  <c r="B553" i="24"/>
  <c r="M553" i="24"/>
  <c r="P553" i="24"/>
  <c r="Q553" i="24"/>
  <c r="V553" i="24"/>
  <c r="B554" i="24"/>
  <c r="M554" i="24"/>
  <c r="P554" i="24"/>
  <c r="Q554" i="24"/>
  <c r="V554" i="24"/>
  <c r="B555" i="24"/>
  <c r="M555" i="24"/>
  <c r="P555" i="24"/>
  <c r="Q555" i="24"/>
  <c r="V555" i="24"/>
  <c r="B556" i="24"/>
  <c r="M556" i="24"/>
  <c r="P556" i="24"/>
  <c r="Q556" i="24"/>
  <c r="V556" i="24"/>
  <c r="B557" i="24"/>
  <c r="M557" i="24"/>
  <c r="P557" i="24"/>
  <c r="Q557" i="24"/>
  <c r="V557" i="24"/>
  <c r="B558" i="24"/>
  <c r="M558" i="24"/>
  <c r="P558" i="24"/>
  <c r="Q558" i="24"/>
  <c r="V558" i="24"/>
  <c r="B559" i="24"/>
  <c r="M559" i="24"/>
  <c r="P559" i="24"/>
  <c r="Q559" i="24"/>
  <c r="V559" i="24"/>
  <c r="B560" i="24"/>
  <c r="M560" i="24"/>
  <c r="P560" i="24"/>
  <c r="Q560" i="24"/>
  <c r="V560" i="24"/>
  <c r="B561" i="24"/>
  <c r="M561" i="24"/>
  <c r="P561" i="24"/>
  <c r="Q561" i="24"/>
  <c r="V561" i="24"/>
  <c r="B562" i="24"/>
  <c r="M562" i="24"/>
  <c r="P562" i="24"/>
  <c r="Q562" i="24"/>
  <c r="V562" i="24"/>
  <c r="B563" i="24"/>
  <c r="M563" i="24"/>
  <c r="P563" i="24"/>
  <c r="Q563" i="24"/>
  <c r="V563" i="24"/>
  <c r="B564" i="24"/>
  <c r="M564" i="24"/>
  <c r="P564" i="24"/>
  <c r="Q564" i="24"/>
  <c r="V564" i="24"/>
  <c r="B565" i="24"/>
  <c r="M565" i="24"/>
  <c r="P565" i="24"/>
  <c r="Q565" i="24"/>
  <c r="V565" i="24"/>
  <c r="B566" i="24"/>
  <c r="M566" i="24"/>
  <c r="P566" i="24"/>
  <c r="Q566" i="24"/>
  <c r="V566" i="24"/>
  <c r="B567" i="24"/>
  <c r="M567" i="24"/>
  <c r="P567" i="24"/>
  <c r="Q567" i="24"/>
  <c r="V567" i="24"/>
  <c r="B568" i="24"/>
  <c r="M568" i="24"/>
  <c r="P568" i="24"/>
  <c r="Q568" i="24"/>
  <c r="V568" i="24"/>
  <c r="B569" i="24"/>
  <c r="M569" i="24"/>
  <c r="P569" i="24"/>
  <c r="Q569" i="24"/>
  <c r="V569" i="24"/>
  <c r="B570" i="24"/>
  <c r="M570" i="24"/>
  <c r="P570" i="24"/>
  <c r="Q570" i="24"/>
  <c r="V570" i="24"/>
  <c r="B571" i="24"/>
  <c r="M571" i="24"/>
  <c r="P571" i="24"/>
  <c r="Q571" i="24"/>
  <c r="V571" i="24"/>
  <c r="B572" i="24"/>
  <c r="M572" i="24"/>
  <c r="P572" i="24"/>
  <c r="Q572" i="24"/>
  <c r="V572" i="24"/>
  <c r="B573" i="24"/>
  <c r="M573" i="24"/>
  <c r="P573" i="24"/>
  <c r="Q573" i="24"/>
  <c r="V573" i="24"/>
  <c r="B574" i="24"/>
  <c r="M574" i="24"/>
  <c r="P574" i="24"/>
  <c r="Q574" i="24"/>
  <c r="V574" i="24"/>
  <c r="B575" i="24"/>
  <c r="M575" i="24"/>
  <c r="P575" i="24"/>
  <c r="Q575" i="24"/>
  <c r="V575" i="24"/>
  <c r="B576" i="24"/>
  <c r="M576" i="24"/>
  <c r="P576" i="24"/>
  <c r="Q576" i="24"/>
  <c r="V576" i="24"/>
  <c r="B577" i="24"/>
  <c r="M577" i="24"/>
  <c r="P577" i="24"/>
  <c r="Q577" i="24"/>
  <c r="V577" i="24"/>
  <c r="B578" i="24"/>
  <c r="M578" i="24"/>
  <c r="P578" i="24"/>
  <c r="Q578" i="24"/>
  <c r="V578" i="24"/>
  <c r="B579" i="24"/>
  <c r="M579" i="24"/>
  <c r="P579" i="24"/>
  <c r="Q579" i="24"/>
  <c r="V579" i="24"/>
  <c r="B580" i="24"/>
  <c r="M580" i="24"/>
  <c r="P580" i="24"/>
  <c r="Q580" i="24"/>
  <c r="V580" i="24"/>
  <c r="B581" i="24"/>
  <c r="M581" i="24"/>
  <c r="P581" i="24"/>
  <c r="Q581" i="24"/>
  <c r="V581" i="24"/>
  <c r="B582" i="24"/>
  <c r="M582" i="24"/>
  <c r="P582" i="24"/>
  <c r="Q582" i="24"/>
  <c r="V582" i="24"/>
  <c r="B583" i="24"/>
  <c r="M583" i="24"/>
  <c r="P583" i="24"/>
  <c r="Q583" i="24"/>
  <c r="V583" i="24"/>
  <c r="B584" i="24"/>
  <c r="M584" i="24"/>
  <c r="P584" i="24"/>
  <c r="Q584" i="24"/>
  <c r="V584" i="24"/>
  <c r="B585" i="24"/>
  <c r="M585" i="24"/>
  <c r="P585" i="24"/>
  <c r="Q585" i="24"/>
  <c r="V585" i="24"/>
  <c r="B586" i="24"/>
  <c r="M586" i="24"/>
  <c r="P586" i="24"/>
  <c r="Q586" i="24"/>
  <c r="V586" i="24"/>
  <c r="B587" i="24"/>
  <c r="M587" i="24"/>
  <c r="P587" i="24"/>
  <c r="Q587" i="24"/>
  <c r="V587" i="24"/>
  <c r="B588" i="24"/>
  <c r="M588" i="24"/>
  <c r="P588" i="24"/>
  <c r="Q588" i="24"/>
  <c r="V588" i="24"/>
  <c r="B589" i="24"/>
  <c r="M589" i="24"/>
  <c r="P589" i="24"/>
  <c r="Q589" i="24"/>
  <c r="V589" i="24"/>
  <c r="B590" i="24"/>
  <c r="M590" i="24"/>
  <c r="P590" i="24"/>
  <c r="Q590" i="24"/>
  <c r="V590" i="24"/>
  <c r="B591" i="24"/>
  <c r="M591" i="24"/>
  <c r="P591" i="24"/>
  <c r="Q591" i="24"/>
  <c r="V591" i="24"/>
  <c r="B592" i="24"/>
  <c r="M592" i="24"/>
  <c r="P592" i="24"/>
  <c r="Q592" i="24"/>
  <c r="V592" i="24"/>
  <c r="B593" i="24"/>
  <c r="M593" i="24"/>
  <c r="P593" i="24"/>
  <c r="Q593" i="24"/>
  <c r="V593" i="24"/>
  <c r="B594" i="24"/>
  <c r="M594" i="24"/>
  <c r="P594" i="24"/>
  <c r="Q594" i="24"/>
  <c r="V594" i="24"/>
  <c r="B595" i="24"/>
  <c r="M595" i="24"/>
  <c r="P595" i="24"/>
  <c r="Q595" i="24"/>
  <c r="V595" i="24"/>
  <c r="B596" i="24"/>
  <c r="M596" i="24"/>
  <c r="P596" i="24"/>
  <c r="Q596" i="24"/>
  <c r="V596" i="24"/>
  <c r="B597" i="24"/>
  <c r="M597" i="24"/>
  <c r="P597" i="24"/>
  <c r="Q597" i="24"/>
  <c r="V597" i="24"/>
  <c r="B598" i="24"/>
  <c r="M598" i="24"/>
  <c r="P598" i="24"/>
  <c r="Q598" i="24"/>
  <c r="V598" i="24"/>
  <c r="B599" i="24"/>
  <c r="M599" i="24"/>
  <c r="P599" i="24"/>
  <c r="Q599" i="24"/>
  <c r="V599" i="24"/>
  <c r="B600" i="24"/>
  <c r="M600" i="24"/>
  <c r="P600" i="24"/>
  <c r="Q600" i="24"/>
  <c r="V600" i="24"/>
  <c r="B601" i="24"/>
  <c r="M601" i="24"/>
  <c r="P601" i="24"/>
  <c r="Q601" i="24"/>
  <c r="V601" i="24"/>
  <c r="B602" i="24"/>
  <c r="M602" i="24"/>
  <c r="P602" i="24"/>
  <c r="Q602" i="24"/>
  <c r="V602" i="24"/>
  <c r="B603" i="24"/>
  <c r="M603" i="24"/>
  <c r="P603" i="24"/>
  <c r="Q603" i="24"/>
  <c r="V603" i="24"/>
  <c r="B604" i="24"/>
  <c r="M604" i="24"/>
  <c r="P604" i="24"/>
  <c r="Q604" i="24"/>
  <c r="V604" i="24"/>
  <c r="B605" i="24"/>
  <c r="M605" i="24"/>
  <c r="P605" i="24"/>
  <c r="Q605" i="24"/>
  <c r="V605" i="24"/>
  <c r="B606" i="24"/>
  <c r="M606" i="24"/>
  <c r="P606" i="24"/>
  <c r="Q606" i="24"/>
  <c r="V606" i="24"/>
  <c r="B607" i="24"/>
  <c r="M607" i="24"/>
  <c r="P607" i="24"/>
  <c r="Q607" i="24"/>
  <c r="V607" i="24"/>
  <c r="B608" i="24"/>
  <c r="M608" i="24"/>
  <c r="P608" i="24"/>
  <c r="Q608" i="24"/>
  <c r="V608" i="24"/>
  <c r="B609" i="24"/>
  <c r="M609" i="24"/>
  <c r="P609" i="24"/>
  <c r="Q609" i="24"/>
  <c r="V609" i="24"/>
  <c r="B610" i="24"/>
  <c r="M610" i="24"/>
  <c r="P610" i="24"/>
  <c r="Q610" i="24"/>
  <c r="V610" i="24"/>
  <c r="B611" i="24"/>
  <c r="M611" i="24"/>
  <c r="P611" i="24"/>
  <c r="Q611" i="24"/>
  <c r="V611" i="24"/>
  <c r="B612" i="24"/>
  <c r="M612" i="24"/>
  <c r="P612" i="24"/>
  <c r="Q612" i="24"/>
  <c r="V612" i="24"/>
  <c r="B613" i="24"/>
  <c r="M613" i="24"/>
  <c r="P613" i="24"/>
  <c r="Q613" i="24"/>
  <c r="V613" i="24"/>
  <c r="B614" i="24"/>
  <c r="M614" i="24"/>
  <c r="P614" i="24"/>
  <c r="Q614" i="24"/>
  <c r="V614" i="24"/>
  <c r="B615" i="24"/>
  <c r="M615" i="24"/>
  <c r="P615" i="24"/>
  <c r="Q615" i="24"/>
  <c r="V615" i="24"/>
  <c r="B616" i="24"/>
  <c r="M616" i="24"/>
  <c r="P616" i="24"/>
  <c r="Q616" i="24"/>
  <c r="V616" i="24"/>
  <c r="B617" i="24"/>
  <c r="M617" i="24"/>
  <c r="P617" i="24"/>
  <c r="Q617" i="24"/>
  <c r="V617" i="24"/>
  <c r="B618" i="24"/>
  <c r="M618" i="24"/>
  <c r="P618" i="24"/>
  <c r="Q618" i="24"/>
  <c r="V618" i="24"/>
  <c r="B619" i="24"/>
  <c r="M619" i="24"/>
  <c r="P619" i="24"/>
  <c r="Q619" i="24"/>
  <c r="V619" i="24"/>
  <c r="B620" i="24"/>
  <c r="M620" i="24"/>
  <c r="P620" i="24"/>
  <c r="Q620" i="24"/>
  <c r="V620" i="24"/>
  <c r="B621" i="24"/>
  <c r="M621" i="24"/>
  <c r="P621" i="24"/>
  <c r="Q621" i="24"/>
  <c r="V621" i="24"/>
  <c r="B622" i="24"/>
  <c r="M622" i="24"/>
  <c r="P622" i="24"/>
  <c r="Q622" i="24"/>
  <c r="V622" i="24"/>
  <c r="B623" i="24"/>
  <c r="M623" i="24"/>
  <c r="P623" i="24"/>
  <c r="Q623" i="24"/>
  <c r="V623" i="24"/>
  <c r="B624" i="24"/>
  <c r="M624" i="24"/>
  <c r="P624" i="24"/>
  <c r="Q624" i="24"/>
  <c r="V624" i="24"/>
  <c r="B625" i="24"/>
  <c r="M625" i="24"/>
  <c r="P625" i="24"/>
  <c r="Q625" i="24"/>
  <c r="V625" i="24"/>
  <c r="B626" i="24"/>
  <c r="M626" i="24"/>
  <c r="P626" i="24"/>
  <c r="Q626" i="24"/>
  <c r="V626" i="24"/>
  <c r="B627" i="24"/>
  <c r="M627" i="24"/>
  <c r="P627" i="24"/>
  <c r="Q627" i="24"/>
  <c r="V627" i="24"/>
  <c r="B628" i="24"/>
  <c r="M628" i="24"/>
  <c r="P628" i="24"/>
  <c r="Q628" i="24"/>
  <c r="V628" i="24"/>
  <c r="B629" i="24"/>
  <c r="M629" i="24"/>
  <c r="P629" i="24"/>
  <c r="Q629" i="24"/>
  <c r="V629" i="24"/>
  <c r="B630" i="24"/>
  <c r="M630" i="24"/>
  <c r="P630" i="24"/>
  <c r="Q630" i="24"/>
  <c r="V630" i="24"/>
  <c r="B631" i="24"/>
  <c r="M631" i="24"/>
  <c r="P631" i="24"/>
  <c r="Q631" i="24"/>
  <c r="V631" i="24"/>
  <c r="B632" i="24"/>
  <c r="M632" i="24"/>
  <c r="P632" i="24"/>
  <c r="Q632" i="24"/>
  <c r="V632" i="24"/>
  <c r="B633" i="24"/>
  <c r="M633" i="24"/>
  <c r="P633" i="24"/>
  <c r="Q633" i="24"/>
  <c r="V633" i="24"/>
  <c r="B634" i="24"/>
  <c r="M634" i="24"/>
  <c r="P634" i="24"/>
  <c r="Q634" i="24"/>
  <c r="V634" i="24"/>
  <c r="B635" i="24"/>
  <c r="M635" i="24"/>
  <c r="P635" i="24"/>
  <c r="Q635" i="24"/>
  <c r="V635" i="24"/>
  <c r="B636" i="24"/>
  <c r="M636" i="24"/>
  <c r="P636" i="24"/>
  <c r="Q636" i="24"/>
  <c r="V636" i="24"/>
  <c r="B637" i="24"/>
  <c r="M637" i="24"/>
  <c r="P637" i="24"/>
  <c r="Q637" i="24"/>
  <c r="V637" i="24"/>
  <c r="B638" i="24"/>
  <c r="M638" i="24"/>
  <c r="P638" i="24"/>
  <c r="Q638" i="24"/>
  <c r="V638" i="24"/>
  <c r="B639" i="24"/>
  <c r="M639" i="24"/>
  <c r="P639" i="24"/>
  <c r="Q639" i="24"/>
  <c r="V639" i="24"/>
  <c r="B640" i="24"/>
  <c r="M640" i="24"/>
  <c r="P640" i="24"/>
  <c r="Q640" i="24"/>
  <c r="V640" i="24"/>
  <c r="B641" i="24"/>
  <c r="M641" i="24"/>
  <c r="P641" i="24"/>
  <c r="Q641" i="24"/>
  <c r="V641" i="24"/>
  <c r="B642" i="24"/>
  <c r="M642" i="24"/>
  <c r="P642" i="24"/>
  <c r="Q642" i="24"/>
  <c r="V642" i="24"/>
  <c r="B643" i="24"/>
  <c r="M643" i="24"/>
  <c r="P643" i="24"/>
  <c r="Q643" i="24"/>
  <c r="V643" i="24"/>
  <c r="B644" i="24"/>
  <c r="M644" i="24"/>
  <c r="P644" i="24"/>
  <c r="Q644" i="24"/>
  <c r="V644" i="24"/>
  <c r="B645" i="24"/>
  <c r="M645" i="24"/>
  <c r="P645" i="24"/>
  <c r="Q645" i="24"/>
  <c r="V645" i="24"/>
  <c r="B646" i="24"/>
  <c r="M646" i="24"/>
  <c r="P646" i="24"/>
  <c r="Q646" i="24"/>
  <c r="V646" i="24"/>
  <c r="B647" i="24"/>
  <c r="M647" i="24"/>
  <c r="P647" i="24"/>
  <c r="Q647" i="24"/>
  <c r="V647" i="24"/>
  <c r="B648" i="24"/>
  <c r="M648" i="24"/>
  <c r="P648" i="24"/>
  <c r="Q648" i="24"/>
  <c r="V648" i="24"/>
  <c r="B649" i="24"/>
  <c r="M649" i="24"/>
  <c r="P649" i="24"/>
  <c r="Q649" i="24"/>
  <c r="V649" i="24"/>
  <c r="B650" i="24"/>
  <c r="M650" i="24"/>
  <c r="P650" i="24"/>
  <c r="Q650" i="24"/>
  <c r="V650" i="24"/>
  <c r="B651" i="24"/>
  <c r="M651" i="24"/>
  <c r="P651" i="24"/>
  <c r="Q651" i="24"/>
  <c r="V651" i="24"/>
  <c r="B652" i="24"/>
  <c r="M652" i="24"/>
  <c r="P652" i="24"/>
  <c r="Q652" i="24"/>
  <c r="V652" i="24"/>
  <c r="B653" i="24"/>
  <c r="M653" i="24"/>
  <c r="P653" i="24"/>
  <c r="Q653" i="24"/>
  <c r="V653" i="24"/>
  <c r="B654" i="24"/>
  <c r="M654" i="24"/>
  <c r="P654" i="24"/>
  <c r="Q654" i="24"/>
  <c r="V654" i="24"/>
  <c r="B655" i="24"/>
  <c r="M655" i="24"/>
  <c r="P655" i="24"/>
  <c r="Q655" i="24"/>
  <c r="V655" i="24"/>
  <c r="B656" i="24"/>
  <c r="M656" i="24"/>
  <c r="P656" i="24"/>
  <c r="Q656" i="24"/>
  <c r="V656" i="24"/>
  <c r="B657" i="24"/>
  <c r="M657" i="24"/>
  <c r="P657" i="24"/>
  <c r="Q657" i="24"/>
  <c r="V657" i="24"/>
  <c r="B658" i="24"/>
  <c r="M658" i="24"/>
  <c r="P658" i="24"/>
  <c r="Q658" i="24"/>
  <c r="V658" i="24"/>
  <c r="B659" i="24"/>
  <c r="M659" i="24"/>
  <c r="P659" i="24"/>
  <c r="Q659" i="24"/>
  <c r="V659" i="24"/>
  <c r="B660" i="24"/>
  <c r="M660" i="24"/>
  <c r="P660" i="24"/>
  <c r="Q660" i="24"/>
  <c r="V660" i="24"/>
  <c r="B661" i="24"/>
  <c r="M661" i="24"/>
  <c r="P661" i="24"/>
  <c r="Q661" i="24"/>
  <c r="V661" i="24"/>
  <c r="B662" i="24"/>
  <c r="M662" i="24"/>
  <c r="P662" i="24"/>
  <c r="Q662" i="24"/>
  <c r="V662" i="24"/>
  <c r="B663" i="24"/>
  <c r="M663" i="24"/>
  <c r="P663" i="24"/>
  <c r="Q663" i="24"/>
  <c r="V663" i="24"/>
  <c r="B664" i="24"/>
  <c r="M664" i="24"/>
  <c r="P664" i="24"/>
  <c r="Q664" i="24"/>
  <c r="V664" i="24"/>
  <c r="B665" i="24"/>
  <c r="M665" i="24"/>
  <c r="P665" i="24"/>
  <c r="Q665" i="24"/>
  <c r="V665" i="24"/>
  <c r="B666" i="24"/>
  <c r="M666" i="24"/>
  <c r="P666" i="24"/>
  <c r="Q666" i="24"/>
  <c r="V666" i="24"/>
  <c r="B667" i="24"/>
  <c r="M667" i="24"/>
  <c r="P667" i="24"/>
  <c r="Q667" i="24"/>
  <c r="V667" i="24"/>
  <c r="B668" i="24"/>
  <c r="M668" i="24"/>
  <c r="P668" i="24"/>
  <c r="Q668" i="24"/>
  <c r="V668" i="24"/>
  <c r="B669" i="24"/>
  <c r="M669" i="24"/>
  <c r="P669" i="24"/>
  <c r="Q669" i="24"/>
  <c r="V669" i="24"/>
  <c r="B670" i="24"/>
  <c r="M670" i="24"/>
  <c r="P670" i="24"/>
  <c r="Q670" i="24"/>
  <c r="V670" i="24"/>
  <c r="B671" i="24"/>
  <c r="M671" i="24"/>
  <c r="P671" i="24"/>
  <c r="Q671" i="24"/>
  <c r="V671" i="24"/>
  <c r="B672" i="24"/>
  <c r="M672" i="24"/>
  <c r="P672" i="24"/>
  <c r="Q672" i="24"/>
  <c r="V672" i="24"/>
  <c r="B673" i="24"/>
  <c r="M673" i="24"/>
  <c r="P673" i="24"/>
  <c r="Q673" i="24"/>
  <c r="V673" i="24"/>
  <c r="B674" i="24"/>
  <c r="M674" i="24"/>
  <c r="P674" i="24"/>
  <c r="Q674" i="24"/>
  <c r="V674" i="24"/>
  <c r="B675" i="24"/>
  <c r="M675" i="24"/>
  <c r="P675" i="24"/>
  <c r="Q675" i="24"/>
  <c r="V675" i="24"/>
  <c r="B676" i="24"/>
  <c r="M676" i="24"/>
  <c r="P676" i="24"/>
  <c r="Q676" i="24"/>
  <c r="V676" i="24"/>
  <c r="B677" i="24"/>
  <c r="M677" i="24"/>
  <c r="P677" i="24"/>
  <c r="Q677" i="24"/>
  <c r="V677" i="24"/>
  <c r="B678" i="24"/>
  <c r="M678" i="24"/>
  <c r="P678" i="24"/>
  <c r="Q678" i="24"/>
  <c r="V678" i="24"/>
  <c r="B679" i="24"/>
  <c r="M679" i="24"/>
  <c r="P679" i="24"/>
  <c r="Q679" i="24"/>
  <c r="V679" i="24"/>
  <c r="B680" i="24"/>
  <c r="M680" i="24"/>
  <c r="P680" i="24"/>
  <c r="Q680" i="24"/>
  <c r="V680" i="24"/>
  <c r="B681" i="24"/>
  <c r="M681" i="24"/>
  <c r="P681" i="24"/>
  <c r="Q681" i="24"/>
  <c r="V681" i="24"/>
  <c r="B682" i="24"/>
  <c r="M682" i="24"/>
  <c r="P682" i="24"/>
  <c r="Q682" i="24"/>
  <c r="V682" i="24"/>
  <c r="B683" i="24"/>
  <c r="M683" i="24"/>
  <c r="P683" i="24"/>
  <c r="Q683" i="24"/>
  <c r="V683" i="24"/>
  <c r="B684" i="24"/>
  <c r="M684" i="24"/>
  <c r="P684" i="24"/>
  <c r="Q684" i="24"/>
  <c r="V684" i="24"/>
  <c r="B685" i="24"/>
  <c r="M685" i="24"/>
  <c r="P685" i="24"/>
  <c r="Q685" i="24"/>
  <c r="V685" i="24"/>
  <c r="B686" i="24"/>
  <c r="M686" i="24"/>
  <c r="P686" i="24"/>
  <c r="Q686" i="24"/>
  <c r="V686" i="24"/>
  <c r="B687" i="24"/>
  <c r="M687" i="24"/>
  <c r="P687" i="24"/>
  <c r="Q687" i="24"/>
  <c r="V687" i="24"/>
  <c r="B688" i="24"/>
  <c r="M688" i="24"/>
  <c r="P688" i="24"/>
  <c r="Q688" i="24"/>
  <c r="V688" i="24"/>
  <c r="B689" i="24"/>
  <c r="M689" i="24"/>
  <c r="P689" i="24"/>
  <c r="Q689" i="24"/>
  <c r="V689" i="24"/>
  <c r="B690" i="24"/>
  <c r="M690" i="24"/>
  <c r="P690" i="24"/>
  <c r="Q690" i="24"/>
  <c r="V690" i="24"/>
  <c r="B691" i="24"/>
  <c r="M691" i="24"/>
  <c r="P691" i="24"/>
  <c r="Q691" i="24"/>
  <c r="V691" i="24"/>
  <c r="B692" i="24"/>
  <c r="M692" i="24"/>
  <c r="P692" i="24"/>
  <c r="Q692" i="24"/>
  <c r="V692" i="24"/>
  <c r="B693" i="24"/>
  <c r="M693" i="24"/>
  <c r="P693" i="24"/>
  <c r="Q693" i="24"/>
  <c r="V693" i="24"/>
  <c r="B694" i="24"/>
  <c r="M694" i="24"/>
  <c r="P694" i="24"/>
  <c r="Q694" i="24"/>
  <c r="V694" i="24"/>
  <c r="B695" i="24"/>
  <c r="M695" i="24"/>
  <c r="P695" i="24"/>
  <c r="Q695" i="24"/>
  <c r="V695" i="24"/>
  <c r="B696" i="24"/>
  <c r="M696" i="24"/>
  <c r="P696" i="24"/>
  <c r="Q696" i="24"/>
  <c r="V696" i="24"/>
  <c r="B697" i="24"/>
  <c r="M697" i="24"/>
  <c r="P697" i="24"/>
  <c r="Q697" i="24"/>
  <c r="V697" i="24"/>
  <c r="B698" i="24"/>
  <c r="M698" i="24"/>
  <c r="P698" i="24"/>
  <c r="Q698" i="24"/>
  <c r="V698" i="24"/>
  <c r="B699" i="24"/>
  <c r="M699" i="24"/>
  <c r="P699" i="24"/>
  <c r="Q699" i="24"/>
  <c r="V699" i="24"/>
  <c r="B700" i="24"/>
  <c r="M700" i="24"/>
  <c r="P700" i="24"/>
  <c r="Q700" i="24"/>
  <c r="V700" i="24"/>
  <c r="B701" i="24"/>
  <c r="M701" i="24"/>
  <c r="P701" i="24"/>
  <c r="Q701" i="24"/>
  <c r="V701" i="24"/>
  <c r="B702" i="24"/>
  <c r="M702" i="24"/>
  <c r="P702" i="24"/>
  <c r="Q702" i="24"/>
  <c r="V702" i="24"/>
  <c r="B703" i="24"/>
  <c r="M703" i="24"/>
  <c r="P703" i="24"/>
  <c r="Q703" i="24"/>
  <c r="V703" i="24"/>
  <c r="B704" i="24"/>
  <c r="M704" i="24"/>
  <c r="P704" i="24"/>
  <c r="Q704" i="24"/>
  <c r="V704" i="24"/>
  <c r="B705" i="24"/>
  <c r="M705" i="24"/>
  <c r="P705" i="24"/>
  <c r="Q705" i="24"/>
  <c r="V705" i="24"/>
  <c r="B706" i="24"/>
  <c r="M706" i="24"/>
  <c r="P706" i="24"/>
  <c r="Q706" i="24"/>
  <c r="V706" i="24"/>
  <c r="B707" i="24"/>
  <c r="M707" i="24"/>
  <c r="P707" i="24"/>
  <c r="Q707" i="24"/>
  <c r="V707" i="24"/>
  <c r="B708" i="24"/>
  <c r="M708" i="24"/>
  <c r="P708" i="24"/>
  <c r="Q708" i="24"/>
  <c r="V708" i="24"/>
  <c r="B709" i="24"/>
  <c r="M709" i="24"/>
  <c r="P709" i="24"/>
  <c r="Q709" i="24"/>
  <c r="V709" i="24"/>
  <c r="B710" i="24"/>
  <c r="M710" i="24"/>
  <c r="P710" i="24"/>
  <c r="Q710" i="24"/>
  <c r="V710" i="24"/>
  <c r="B711" i="24"/>
  <c r="M711" i="24"/>
  <c r="P711" i="24"/>
  <c r="Q711" i="24"/>
  <c r="V711" i="24"/>
  <c r="B712" i="24"/>
  <c r="M712" i="24"/>
  <c r="P712" i="24"/>
  <c r="Q712" i="24"/>
  <c r="V712" i="24"/>
  <c r="B713" i="24"/>
  <c r="M713" i="24"/>
  <c r="P713" i="24"/>
  <c r="Q713" i="24"/>
  <c r="V713" i="24"/>
  <c r="B714" i="24"/>
  <c r="M714" i="24"/>
  <c r="P714" i="24"/>
  <c r="Q714" i="24"/>
  <c r="V714" i="24"/>
  <c r="B715" i="24"/>
  <c r="M715" i="24"/>
  <c r="P715" i="24"/>
  <c r="Q715" i="24"/>
  <c r="V715" i="24"/>
  <c r="B716" i="24"/>
  <c r="M716" i="24"/>
  <c r="P716" i="24"/>
  <c r="Q716" i="24"/>
  <c r="V716" i="24"/>
  <c r="B717" i="24"/>
  <c r="M717" i="24"/>
  <c r="P717" i="24"/>
  <c r="Q717" i="24"/>
  <c r="V717" i="24"/>
  <c r="B718" i="24"/>
  <c r="M718" i="24"/>
  <c r="P718" i="24"/>
  <c r="Q718" i="24"/>
  <c r="V718" i="24"/>
  <c r="B719" i="24"/>
  <c r="M719" i="24"/>
  <c r="P719" i="24"/>
  <c r="Q719" i="24"/>
  <c r="V719" i="24"/>
  <c r="B720" i="24"/>
  <c r="M720" i="24"/>
  <c r="P720" i="24"/>
  <c r="Q720" i="24"/>
  <c r="V720" i="24"/>
  <c r="B721" i="24"/>
  <c r="M721" i="24"/>
  <c r="P721" i="24"/>
  <c r="Q721" i="24"/>
  <c r="V721" i="24"/>
  <c r="B722" i="24"/>
  <c r="M722" i="24"/>
  <c r="P722" i="24"/>
  <c r="Q722" i="24"/>
  <c r="V722" i="24"/>
  <c r="B723" i="24"/>
  <c r="M723" i="24"/>
  <c r="P723" i="24"/>
  <c r="Q723" i="24"/>
  <c r="V723" i="24"/>
  <c r="B724" i="24"/>
  <c r="M724" i="24"/>
  <c r="P724" i="24"/>
  <c r="Q724" i="24"/>
  <c r="V724" i="24"/>
  <c r="B725" i="24"/>
  <c r="M725" i="24"/>
  <c r="P725" i="24"/>
  <c r="Q725" i="24"/>
  <c r="V725" i="24"/>
  <c r="B726" i="24"/>
  <c r="M726" i="24"/>
  <c r="P726" i="24"/>
  <c r="Q726" i="24"/>
  <c r="V726" i="24"/>
  <c r="B727" i="24"/>
  <c r="M727" i="24"/>
  <c r="P727" i="24"/>
  <c r="Q727" i="24"/>
  <c r="V727" i="24"/>
  <c r="B728" i="24"/>
  <c r="M728" i="24"/>
  <c r="P728" i="24"/>
  <c r="Q728" i="24"/>
  <c r="V728" i="24"/>
  <c r="B729" i="24"/>
  <c r="M729" i="24"/>
  <c r="P729" i="24"/>
  <c r="Q729" i="24"/>
  <c r="V729" i="24"/>
  <c r="B730" i="24"/>
  <c r="M730" i="24"/>
  <c r="P730" i="24"/>
  <c r="Q730" i="24"/>
  <c r="V730" i="24"/>
  <c r="B731" i="24"/>
  <c r="M731" i="24"/>
  <c r="P731" i="24"/>
  <c r="Q731" i="24"/>
  <c r="V731" i="24"/>
  <c r="B732" i="24"/>
  <c r="M732" i="24"/>
  <c r="P732" i="24"/>
  <c r="Q732" i="24"/>
  <c r="V732" i="24"/>
  <c r="B733" i="24"/>
  <c r="M733" i="24"/>
  <c r="P733" i="24"/>
  <c r="Q733" i="24"/>
  <c r="V733" i="24"/>
  <c r="B734" i="24"/>
  <c r="M734" i="24"/>
  <c r="P734" i="24"/>
  <c r="Q734" i="24"/>
  <c r="V734" i="24"/>
  <c r="B735" i="24"/>
  <c r="M735" i="24"/>
  <c r="P735" i="24"/>
  <c r="Q735" i="24"/>
  <c r="V735" i="24"/>
  <c r="B736" i="24"/>
  <c r="M736" i="24"/>
  <c r="P736" i="24"/>
  <c r="Q736" i="24"/>
  <c r="V736" i="24"/>
  <c r="B737" i="24"/>
  <c r="M737" i="24"/>
  <c r="P737" i="24"/>
  <c r="Q737" i="24"/>
  <c r="V737" i="24"/>
  <c r="B738" i="24"/>
  <c r="M738" i="24"/>
  <c r="P738" i="24"/>
  <c r="Q738" i="24"/>
  <c r="V738" i="24"/>
  <c r="B739" i="24"/>
  <c r="M739" i="24"/>
  <c r="P739" i="24"/>
  <c r="Q739" i="24"/>
  <c r="V739" i="24"/>
  <c r="B740" i="24"/>
  <c r="M740" i="24"/>
  <c r="P740" i="24"/>
  <c r="Q740" i="24"/>
  <c r="V740" i="24"/>
  <c r="B741" i="24"/>
  <c r="M741" i="24"/>
  <c r="P741" i="24"/>
  <c r="Q741" i="24"/>
  <c r="V741" i="24"/>
  <c r="B742" i="24"/>
  <c r="M742" i="24"/>
  <c r="P742" i="24"/>
  <c r="Q742" i="24"/>
  <c r="V742" i="24"/>
  <c r="B743" i="24"/>
  <c r="M743" i="24"/>
  <c r="P743" i="24"/>
  <c r="Q743" i="24"/>
  <c r="V743" i="24"/>
  <c r="B744" i="24"/>
  <c r="M744" i="24"/>
  <c r="P744" i="24"/>
  <c r="Q744" i="24"/>
  <c r="V744" i="24"/>
  <c r="B745" i="24"/>
  <c r="M745" i="24"/>
  <c r="P745" i="24"/>
  <c r="Q745" i="24"/>
  <c r="V745" i="24"/>
  <c r="B746" i="24"/>
  <c r="M746" i="24"/>
  <c r="P746" i="24"/>
  <c r="Q746" i="24"/>
  <c r="V746" i="24"/>
  <c r="B747" i="24"/>
  <c r="M747" i="24"/>
  <c r="P747" i="24"/>
  <c r="Q747" i="24"/>
  <c r="V747" i="24"/>
  <c r="B748" i="24"/>
  <c r="M748" i="24"/>
  <c r="P748" i="24"/>
  <c r="Q748" i="24"/>
  <c r="V748" i="24"/>
  <c r="B749" i="24"/>
  <c r="M749" i="24"/>
  <c r="P749" i="24"/>
  <c r="Q749" i="24"/>
  <c r="V749" i="24"/>
  <c r="B750" i="24"/>
  <c r="M750" i="24"/>
  <c r="P750" i="24"/>
  <c r="Q750" i="24"/>
  <c r="V750" i="24"/>
  <c r="B751" i="24"/>
  <c r="M751" i="24"/>
  <c r="P751" i="24"/>
  <c r="Q751" i="24"/>
  <c r="V751" i="24"/>
  <c r="B752" i="24"/>
  <c r="M752" i="24"/>
  <c r="P752" i="24"/>
  <c r="Q752" i="24"/>
  <c r="V752" i="24"/>
  <c r="B753" i="24"/>
  <c r="M753" i="24"/>
  <c r="P753" i="24"/>
  <c r="Q753" i="24"/>
  <c r="V753" i="24"/>
  <c r="B754" i="24"/>
  <c r="M754" i="24"/>
  <c r="P754" i="24"/>
  <c r="Q754" i="24"/>
  <c r="V754" i="24"/>
  <c r="B755" i="24"/>
  <c r="M755" i="24"/>
  <c r="P755" i="24"/>
  <c r="Q755" i="24"/>
  <c r="V755" i="24"/>
  <c r="B756" i="24"/>
  <c r="M756" i="24"/>
  <c r="P756" i="24"/>
  <c r="Q756" i="24"/>
  <c r="V756" i="24"/>
  <c r="B757" i="24"/>
  <c r="M757" i="24"/>
  <c r="P757" i="24"/>
  <c r="Q757" i="24"/>
  <c r="V757" i="24"/>
  <c r="B758" i="24"/>
  <c r="M758" i="24"/>
  <c r="P758" i="24"/>
  <c r="Q758" i="24"/>
  <c r="V758" i="24"/>
  <c r="B759" i="24"/>
  <c r="M759" i="24"/>
  <c r="P759" i="24"/>
  <c r="Q759" i="24"/>
  <c r="V759" i="24"/>
  <c r="B760" i="24"/>
  <c r="M760" i="24"/>
  <c r="P760" i="24"/>
  <c r="Q760" i="24"/>
  <c r="V760" i="24"/>
  <c r="B761" i="24"/>
  <c r="M761" i="24"/>
  <c r="P761" i="24"/>
  <c r="Q761" i="24"/>
  <c r="V761" i="24"/>
  <c r="B762" i="24"/>
  <c r="M762" i="24"/>
  <c r="P762" i="24"/>
  <c r="Q762" i="24"/>
  <c r="V762" i="24"/>
  <c r="B763" i="24"/>
  <c r="M763" i="24"/>
  <c r="P763" i="24"/>
  <c r="Q763" i="24"/>
  <c r="V763" i="24"/>
  <c r="B764" i="24"/>
  <c r="M764" i="24"/>
  <c r="P764" i="24"/>
  <c r="Q764" i="24"/>
  <c r="V764" i="24"/>
  <c r="B765" i="24"/>
  <c r="M765" i="24"/>
  <c r="P765" i="24"/>
  <c r="Q765" i="24"/>
  <c r="V765" i="24"/>
  <c r="B766" i="24"/>
  <c r="M766" i="24"/>
  <c r="P766" i="24"/>
  <c r="Q766" i="24"/>
  <c r="V766" i="24"/>
  <c r="B767" i="24"/>
  <c r="M767" i="24"/>
  <c r="P767" i="24"/>
  <c r="Q767" i="24"/>
  <c r="V767" i="24"/>
  <c r="B768" i="24"/>
  <c r="M768" i="24"/>
  <c r="P768" i="24"/>
  <c r="Q768" i="24"/>
  <c r="V768" i="24"/>
  <c r="B769" i="24"/>
  <c r="M769" i="24"/>
  <c r="P769" i="24"/>
  <c r="Q769" i="24"/>
  <c r="V769" i="24"/>
  <c r="B770" i="24"/>
  <c r="M770" i="24"/>
  <c r="P770" i="24"/>
  <c r="Q770" i="24"/>
  <c r="V770" i="24"/>
  <c r="B771" i="24"/>
  <c r="M771" i="24"/>
  <c r="P771" i="24"/>
  <c r="Q771" i="24"/>
  <c r="V771" i="24"/>
  <c r="B772" i="24"/>
  <c r="M772" i="24"/>
  <c r="P772" i="24"/>
  <c r="Q772" i="24"/>
  <c r="V772" i="24"/>
  <c r="B773" i="24"/>
  <c r="M773" i="24"/>
  <c r="P773" i="24"/>
  <c r="Q773" i="24"/>
  <c r="V773" i="24"/>
  <c r="B774" i="24"/>
  <c r="M774" i="24"/>
  <c r="P774" i="24"/>
  <c r="Q774" i="24"/>
  <c r="V774" i="24"/>
  <c r="B775" i="24"/>
  <c r="M775" i="24"/>
  <c r="P775" i="24"/>
  <c r="Q775" i="24"/>
  <c r="V775" i="24"/>
  <c r="B776" i="24"/>
  <c r="M776" i="24"/>
  <c r="P776" i="24"/>
  <c r="Q776" i="24"/>
  <c r="V776" i="24"/>
  <c r="B777" i="24"/>
  <c r="M777" i="24"/>
  <c r="P777" i="24"/>
  <c r="Q777" i="24"/>
  <c r="V777" i="24"/>
  <c r="B778" i="24"/>
  <c r="M778" i="24"/>
  <c r="P778" i="24"/>
  <c r="Q778" i="24"/>
  <c r="V778" i="24"/>
  <c r="B779" i="24"/>
  <c r="M779" i="24"/>
  <c r="P779" i="24"/>
  <c r="Q779" i="24"/>
  <c r="V779" i="24"/>
  <c r="B780" i="24"/>
  <c r="M780" i="24"/>
  <c r="P780" i="24"/>
  <c r="Q780" i="24"/>
  <c r="V780" i="24"/>
  <c r="B781" i="24"/>
  <c r="M781" i="24"/>
  <c r="P781" i="24"/>
  <c r="Q781" i="24"/>
  <c r="V781" i="24"/>
  <c r="B782" i="24"/>
  <c r="M782" i="24"/>
  <c r="P782" i="24"/>
  <c r="Q782" i="24"/>
  <c r="V782" i="24"/>
  <c r="B783" i="24"/>
  <c r="M783" i="24"/>
  <c r="P783" i="24"/>
  <c r="Q783" i="24"/>
  <c r="V783" i="24"/>
  <c r="B784" i="24"/>
  <c r="M784" i="24"/>
  <c r="P784" i="24"/>
  <c r="Q784" i="24"/>
  <c r="V784" i="24"/>
  <c r="B785" i="24"/>
  <c r="M785" i="24"/>
  <c r="P785" i="24"/>
  <c r="Q785" i="24"/>
  <c r="V785" i="24"/>
  <c r="B786" i="24"/>
  <c r="M786" i="24"/>
  <c r="P786" i="24"/>
  <c r="Q786" i="24"/>
  <c r="V786" i="24"/>
  <c r="B787" i="24"/>
  <c r="M787" i="24"/>
  <c r="P787" i="24"/>
  <c r="Q787" i="24"/>
  <c r="V787" i="24"/>
  <c r="B788" i="24"/>
  <c r="M788" i="24"/>
  <c r="P788" i="24"/>
  <c r="Q788" i="24"/>
  <c r="V788" i="24"/>
  <c r="B789" i="24"/>
  <c r="M789" i="24"/>
  <c r="P789" i="24"/>
  <c r="Q789" i="24"/>
  <c r="V789" i="24"/>
  <c r="B790" i="24"/>
  <c r="M790" i="24"/>
  <c r="P790" i="24"/>
  <c r="Q790" i="24"/>
  <c r="V790" i="24"/>
  <c r="B791" i="24"/>
  <c r="M791" i="24"/>
  <c r="P791" i="24"/>
  <c r="Q791" i="24"/>
  <c r="V791" i="24"/>
  <c r="B792" i="24"/>
  <c r="M792" i="24"/>
  <c r="P792" i="24"/>
  <c r="Q792" i="24"/>
  <c r="V792" i="24"/>
  <c r="B793" i="24"/>
  <c r="M793" i="24"/>
  <c r="P793" i="24"/>
  <c r="Q793" i="24"/>
  <c r="V793" i="24"/>
  <c r="B794" i="24"/>
  <c r="M794" i="24"/>
  <c r="P794" i="24"/>
  <c r="Q794" i="24"/>
  <c r="V794" i="24"/>
  <c r="B795" i="24"/>
  <c r="M795" i="24"/>
  <c r="P795" i="24"/>
  <c r="Q795" i="24"/>
  <c r="V795" i="24"/>
  <c r="B796" i="24"/>
  <c r="M796" i="24"/>
  <c r="P796" i="24"/>
  <c r="Q796" i="24"/>
  <c r="V796" i="24"/>
  <c r="B797" i="24"/>
  <c r="M797" i="24"/>
  <c r="P797" i="24"/>
  <c r="Q797" i="24"/>
  <c r="V797" i="24"/>
  <c r="B798" i="24"/>
  <c r="M798" i="24"/>
  <c r="P798" i="24"/>
  <c r="Q798" i="24"/>
  <c r="V798" i="24"/>
  <c r="B799" i="24"/>
  <c r="M799" i="24"/>
  <c r="P799" i="24"/>
  <c r="Q799" i="24"/>
  <c r="V799" i="24"/>
  <c r="B800" i="24"/>
  <c r="M800" i="24"/>
  <c r="P800" i="24"/>
  <c r="Q800" i="24"/>
  <c r="V800" i="24"/>
  <c r="B801" i="24"/>
  <c r="M801" i="24"/>
  <c r="P801" i="24"/>
  <c r="Q801" i="24"/>
  <c r="V801" i="24"/>
  <c r="B802" i="24"/>
  <c r="M802" i="24"/>
  <c r="P802" i="24"/>
  <c r="Q802" i="24"/>
  <c r="V802" i="24"/>
  <c r="B803" i="24"/>
  <c r="M803" i="24"/>
  <c r="P803" i="24"/>
  <c r="Q803" i="24"/>
  <c r="V803" i="24"/>
  <c r="B804" i="24"/>
  <c r="M804" i="24"/>
  <c r="P804" i="24"/>
  <c r="Q804" i="24"/>
  <c r="V804" i="24"/>
  <c r="B805" i="24"/>
  <c r="M805" i="24"/>
  <c r="P805" i="24"/>
  <c r="Q805" i="24"/>
  <c r="V805" i="24"/>
  <c r="B806" i="24"/>
  <c r="M806" i="24"/>
  <c r="P806" i="24"/>
  <c r="Q806" i="24"/>
  <c r="V806" i="24"/>
  <c r="B807" i="24"/>
  <c r="M807" i="24"/>
  <c r="P807" i="24"/>
  <c r="Q807" i="24"/>
  <c r="V807" i="24"/>
  <c r="B808" i="24"/>
  <c r="M808" i="24"/>
  <c r="P808" i="24"/>
  <c r="Q808" i="24"/>
  <c r="V808" i="24"/>
  <c r="B809" i="24"/>
  <c r="M809" i="24"/>
  <c r="P809" i="24"/>
  <c r="Q809" i="24"/>
  <c r="V809" i="24"/>
  <c r="B810" i="24"/>
  <c r="M810" i="24"/>
  <c r="P810" i="24"/>
  <c r="Q810" i="24"/>
  <c r="V810" i="24"/>
  <c r="B811" i="24"/>
  <c r="M811" i="24"/>
  <c r="P811" i="24"/>
  <c r="Q811" i="24"/>
  <c r="V811" i="24"/>
  <c r="B812" i="24"/>
  <c r="M812" i="24"/>
  <c r="P812" i="24"/>
  <c r="Q812" i="24"/>
  <c r="V812" i="24"/>
  <c r="B813" i="24"/>
  <c r="M813" i="24"/>
  <c r="P813" i="24"/>
  <c r="Q813" i="24"/>
  <c r="V813" i="24"/>
  <c r="B814" i="24"/>
  <c r="M814" i="24"/>
  <c r="P814" i="24"/>
  <c r="Q814" i="24"/>
  <c r="V814" i="24"/>
  <c r="B815" i="24"/>
  <c r="M815" i="24"/>
  <c r="P815" i="24"/>
  <c r="Q815" i="24"/>
  <c r="V815" i="24"/>
  <c r="B816" i="24"/>
  <c r="M816" i="24"/>
  <c r="P816" i="24"/>
  <c r="Q816" i="24"/>
  <c r="V816" i="24"/>
  <c r="B817" i="24"/>
  <c r="M817" i="24"/>
  <c r="P817" i="24"/>
  <c r="Q817" i="24"/>
  <c r="V817" i="24"/>
  <c r="B818" i="24"/>
  <c r="M818" i="24"/>
  <c r="P818" i="24"/>
  <c r="Q818" i="24"/>
  <c r="V818" i="24"/>
  <c r="B819" i="24"/>
  <c r="M819" i="24"/>
  <c r="P819" i="24"/>
  <c r="Q819" i="24"/>
  <c r="V819" i="24"/>
  <c r="B820" i="24"/>
  <c r="M820" i="24"/>
  <c r="P820" i="24"/>
  <c r="Q820" i="24"/>
  <c r="V820" i="24"/>
  <c r="B821" i="24"/>
  <c r="M821" i="24"/>
  <c r="P821" i="24"/>
  <c r="Q821" i="24"/>
  <c r="V821" i="24"/>
  <c r="B822" i="24"/>
  <c r="M822" i="24"/>
  <c r="P822" i="24"/>
  <c r="Q822" i="24"/>
  <c r="V822" i="24"/>
  <c r="B823" i="24"/>
  <c r="M823" i="24"/>
  <c r="P823" i="24"/>
  <c r="Q823" i="24"/>
  <c r="V823" i="24"/>
  <c r="B824" i="24"/>
  <c r="M824" i="24"/>
  <c r="P824" i="24"/>
  <c r="Q824" i="24"/>
  <c r="V824" i="24"/>
  <c r="B825" i="24"/>
  <c r="M825" i="24"/>
  <c r="P825" i="24"/>
  <c r="Q825" i="24"/>
  <c r="V825" i="24"/>
  <c r="B826" i="24"/>
  <c r="M826" i="24"/>
  <c r="P826" i="24"/>
  <c r="Q826" i="24"/>
  <c r="V826" i="24"/>
  <c r="B827" i="24"/>
  <c r="M827" i="24"/>
  <c r="P827" i="24"/>
  <c r="Q827" i="24"/>
  <c r="V827" i="24"/>
  <c r="B828" i="24"/>
  <c r="M828" i="24"/>
  <c r="P828" i="24"/>
  <c r="Q828" i="24"/>
  <c r="V828" i="24"/>
  <c r="B829" i="24"/>
  <c r="M829" i="24"/>
  <c r="P829" i="24"/>
  <c r="Q829" i="24"/>
  <c r="V829" i="24"/>
  <c r="B830" i="24"/>
  <c r="M830" i="24"/>
  <c r="P830" i="24"/>
  <c r="Q830" i="24"/>
  <c r="V830" i="24"/>
  <c r="B831" i="24"/>
  <c r="M831" i="24"/>
  <c r="P831" i="24"/>
  <c r="Q831" i="24"/>
  <c r="V831" i="24"/>
  <c r="B832" i="24"/>
  <c r="M832" i="24"/>
  <c r="P832" i="24"/>
  <c r="Q832" i="24"/>
  <c r="V832" i="24"/>
  <c r="B833" i="24"/>
  <c r="M833" i="24"/>
  <c r="P833" i="24"/>
  <c r="Q833" i="24"/>
  <c r="V833" i="24"/>
  <c r="B834" i="24"/>
  <c r="M834" i="24"/>
  <c r="P834" i="24"/>
  <c r="Q834" i="24"/>
  <c r="V834" i="24"/>
  <c r="B835" i="24"/>
  <c r="M835" i="24"/>
  <c r="P835" i="24"/>
  <c r="Q835" i="24"/>
  <c r="V835" i="24"/>
  <c r="B836" i="24"/>
  <c r="M836" i="24"/>
  <c r="P836" i="24"/>
  <c r="Q836" i="24"/>
  <c r="V836" i="24"/>
  <c r="B837" i="24"/>
  <c r="M837" i="24"/>
  <c r="P837" i="24"/>
  <c r="Q837" i="24"/>
  <c r="V837" i="24"/>
  <c r="B838" i="24"/>
  <c r="M838" i="24"/>
  <c r="P838" i="24"/>
  <c r="Q838" i="24"/>
  <c r="V838" i="24"/>
  <c r="B839" i="24"/>
  <c r="M839" i="24"/>
  <c r="P839" i="24"/>
  <c r="Q839" i="24"/>
  <c r="V839" i="24"/>
  <c r="B840" i="24"/>
  <c r="M840" i="24"/>
  <c r="P840" i="24"/>
  <c r="Q840" i="24"/>
  <c r="V840" i="24"/>
  <c r="B841" i="24"/>
  <c r="M841" i="24"/>
  <c r="P841" i="24"/>
  <c r="Q841" i="24"/>
  <c r="V841" i="24"/>
  <c r="B842" i="24"/>
  <c r="M842" i="24"/>
  <c r="P842" i="24"/>
  <c r="Q842" i="24"/>
  <c r="V842" i="24"/>
  <c r="B843" i="24"/>
  <c r="M843" i="24"/>
  <c r="P843" i="24"/>
  <c r="Q843" i="24"/>
  <c r="V843" i="24"/>
  <c r="B844" i="24"/>
  <c r="M844" i="24"/>
  <c r="P844" i="24"/>
  <c r="Q844" i="24"/>
  <c r="V844" i="24"/>
  <c r="B845" i="24"/>
  <c r="M845" i="24"/>
  <c r="P845" i="24"/>
  <c r="Q845" i="24"/>
  <c r="V845" i="24"/>
  <c r="B846" i="24"/>
  <c r="M846" i="24"/>
  <c r="P846" i="24"/>
  <c r="Q846" i="24"/>
  <c r="V846" i="24"/>
  <c r="B847" i="24"/>
  <c r="M847" i="24"/>
  <c r="P847" i="24"/>
  <c r="Q847" i="24"/>
  <c r="V847" i="24"/>
  <c r="B848" i="24"/>
  <c r="M848" i="24"/>
  <c r="P848" i="24"/>
  <c r="Q848" i="24"/>
  <c r="V848" i="24"/>
  <c r="B849" i="24"/>
  <c r="M849" i="24"/>
  <c r="P849" i="24"/>
  <c r="Q849" i="24"/>
  <c r="V849" i="24"/>
  <c r="B850" i="24"/>
  <c r="M850" i="24"/>
  <c r="P850" i="24"/>
  <c r="Q850" i="24"/>
  <c r="V850" i="24"/>
  <c r="B851" i="24"/>
  <c r="M851" i="24"/>
  <c r="P851" i="24"/>
  <c r="Q851" i="24"/>
  <c r="V851" i="24"/>
  <c r="B852" i="24"/>
  <c r="M852" i="24"/>
  <c r="P852" i="24"/>
  <c r="Q852" i="24"/>
  <c r="V852" i="24"/>
  <c r="B853" i="24"/>
  <c r="M853" i="24"/>
  <c r="P853" i="24"/>
  <c r="Q853" i="24"/>
  <c r="V853" i="24"/>
  <c r="B854" i="24"/>
  <c r="M854" i="24"/>
  <c r="P854" i="24"/>
  <c r="Q854" i="24"/>
  <c r="V854" i="24"/>
  <c r="B855" i="24"/>
  <c r="M855" i="24"/>
  <c r="P855" i="24"/>
  <c r="Q855" i="24"/>
  <c r="V855" i="24"/>
  <c r="B856" i="24"/>
  <c r="M856" i="24"/>
  <c r="P856" i="24"/>
  <c r="Q856" i="24"/>
  <c r="V856" i="24"/>
  <c r="B857" i="24"/>
  <c r="M857" i="24"/>
  <c r="P857" i="24"/>
  <c r="Q857" i="24"/>
  <c r="V857" i="24"/>
  <c r="B858" i="24"/>
  <c r="M858" i="24"/>
  <c r="P858" i="24"/>
  <c r="Q858" i="24"/>
  <c r="V858" i="24"/>
  <c r="B859" i="24"/>
  <c r="M859" i="24"/>
  <c r="P859" i="24"/>
  <c r="Q859" i="24"/>
  <c r="V859" i="24"/>
  <c r="B860" i="24"/>
  <c r="M860" i="24"/>
  <c r="P860" i="24"/>
  <c r="Q860" i="24"/>
  <c r="V860" i="24"/>
  <c r="B861" i="24"/>
  <c r="M861" i="24"/>
  <c r="P861" i="24"/>
  <c r="Q861" i="24"/>
  <c r="V861" i="24"/>
  <c r="B862" i="24"/>
  <c r="M862" i="24"/>
  <c r="P862" i="24"/>
  <c r="Q862" i="24"/>
  <c r="V862" i="24"/>
  <c r="B863" i="24"/>
  <c r="M863" i="24"/>
  <c r="P863" i="24"/>
  <c r="Q863" i="24"/>
  <c r="V863" i="24"/>
  <c r="B864" i="24"/>
  <c r="M864" i="24"/>
  <c r="P864" i="24"/>
  <c r="Q864" i="24"/>
  <c r="V864" i="24"/>
  <c r="B865" i="24"/>
  <c r="M865" i="24"/>
  <c r="P865" i="24"/>
  <c r="Q865" i="24"/>
  <c r="V865" i="24"/>
  <c r="B866" i="24"/>
  <c r="M866" i="24"/>
  <c r="P866" i="24"/>
  <c r="Q866" i="24"/>
  <c r="V866" i="24"/>
  <c r="B867" i="24"/>
  <c r="M867" i="24"/>
  <c r="P867" i="24"/>
  <c r="Q867" i="24"/>
  <c r="V867" i="24"/>
  <c r="B868" i="24"/>
  <c r="M868" i="24"/>
  <c r="P868" i="24"/>
  <c r="Q868" i="24"/>
  <c r="V868" i="24"/>
  <c r="B869" i="24"/>
  <c r="M869" i="24"/>
  <c r="P869" i="24"/>
  <c r="Q869" i="24"/>
  <c r="V869" i="24"/>
  <c r="B870" i="24"/>
  <c r="M870" i="24"/>
  <c r="P870" i="24"/>
  <c r="Q870" i="24"/>
  <c r="V870" i="24"/>
  <c r="B871" i="24"/>
  <c r="M871" i="24"/>
  <c r="P871" i="24"/>
  <c r="Q871" i="24"/>
  <c r="V871" i="24"/>
  <c r="B872" i="24"/>
  <c r="M872" i="24"/>
  <c r="P872" i="24"/>
  <c r="Q872" i="24"/>
  <c r="V872" i="24"/>
  <c r="B873" i="24"/>
  <c r="M873" i="24"/>
  <c r="P873" i="24"/>
  <c r="Q873" i="24"/>
  <c r="V873" i="24"/>
  <c r="B874" i="24"/>
  <c r="M874" i="24"/>
  <c r="P874" i="24"/>
  <c r="Q874" i="24"/>
  <c r="V874" i="24"/>
  <c r="B875" i="24"/>
  <c r="M875" i="24"/>
  <c r="P875" i="24"/>
  <c r="Q875" i="24"/>
  <c r="V875" i="24"/>
  <c r="B876" i="24"/>
  <c r="M876" i="24"/>
  <c r="P876" i="24"/>
  <c r="Q876" i="24"/>
  <c r="V876" i="24"/>
  <c r="B877" i="24"/>
  <c r="M877" i="24"/>
  <c r="P877" i="24"/>
  <c r="Q877" i="24"/>
  <c r="V877" i="24"/>
  <c r="B878" i="24"/>
  <c r="M878" i="24"/>
  <c r="P878" i="24"/>
  <c r="Q878" i="24"/>
  <c r="V878" i="24"/>
  <c r="B879" i="24"/>
  <c r="M879" i="24"/>
  <c r="P879" i="24"/>
  <c r="Q879" i="24"/>
  <c r="V879" i="24"/>
  <c r="B880" i="24"/>
  <c r="M880" i="24"/>
  <c r="P880" i="24"/>
  <c r="Q880" i="24"/>
  <c r="V880" i="24"/>
  <c r="B881" i="24"/>
  <c r="M881" i="24"/>
  <c r="P881" i="24"/>
  <c r="Q881" i="24"/>
  <c r="V881" i="24"/>
  <c r="B882" i="24"/>
  <c r="M882" i="24"/>
  <c r="P882" i="24"/>
  <c r="Q882" i="24"/>
  <c r="V882" i="24"/>
  <c r="B883" i="24"/>
  <c r="M883" i="24"/>
  <c r="P883" i="24"/>
  <c r="Q883" i="24"/>
  <c r="V883" i="24"/>
  <c r="B884" i="24"/>
  <c r="M884" i="24"/>
  <c r="P884" i="24"/>
  <c r="Q884" i="24"/>
  <c r="V884" i="24"/>
  <c r="B885" i="24"/>
  <c r="M885" i="24"/>
  <c r="P885" i="24"/>
  <c r="Q885" i="24"/>
  <c r="V885" i="24"/>
  <c r="B886" i="24"/>
  <c r="M886" i="24"/>
  <c r="P886" i="24"/>
  <c r="Q886" i="24"/>
  <c r="V886" i="24"/>
  <c r="B887" i="24"/>
  <c r="M887" i="24"/>
  <c r="P887" i="24"/>
  <c r="Q887" i="24"/>
  <c r="V887" i="24"/>
  <c r="B888" i="24"/>
  <c r="M888" i="24"/>
  <c r="P888" i="24"/>
  <c r="Q888" i="24"/>
  <c r="V888" i="24"/>
  <c r="B889" i="24"/>
  <c r="M889" i="24"/>
  <c r="P889" i="24"/>
  <c r="Q889" i="24"/>
  <c r="V889" i="24"/>
  <c r="B890" i="24"/>
  <c r="M890" i="24"/>
  <c r="P890" i="24"/>
  <c r="Q890" i="24"/>
  <c r="V890" i="24"/>
  <c r="B891" i="24"/>
  <c r="M891" i="24"/>
  <c r="P891" i="24"/>
  <c r="Q891" i="24"/>
  <c r="V891" i="24"/>
  <c r="B892" i="24"/>
  <c r="M892" i="24"/>
  <c r="P892" i="24"/>
  <c r="Q892" i="24"/>
  <c r="V892" i="24"/>
  <c r="B893" i="24"/>
  <c r="M893" i="24"/>
  <c r="P893" i="24"/>
  <c r="Q893" i="24"/>
  <c r="V893" i="24"/>
  <c r="B894" i="24"/>
  <c r="M894" i="24"/>
  <c r="P894" i="24"/>
  <c r="Q894" i="24"/>
  <c r="V894" i="24"/>
  <c r="B895" i="24"/>
  <c r="M895" i="24"/>
  <c r="P895" i="24"/>
  <c r="Q895" i="24"/>
  <c r="V895" i="24"/>
  <c r="B896" i="24"/>
  <c r="M896" i="24"/>
  <c r="P896" i="24"/>
  <c r="Q896" i="24"/>
  <c r="V896" i="24"/>
  <c r="B897" i="24"/>
  <c r="M897" i="24"/>
  <c r="P897" i="24"/>
  <c r="Q897" i="24"/>
  <c r="V897" i="24"/>
  <c r="B898" i="24"/>
  <c r="M898" i="24"/>
  <c r="P898" i="24"/>
  <c r="Q898" i="24"/>
  <c r="V898" i="24"/>
  <c r="B899" i="24"/>
  <c r="M899" i="24"/>
  <c r="P899" i="24"/>
  <c r="Q899" i="24"/>
  <c r="V899" i="24"/>
  <c r="B900" i="24"/>
  <c r="M900" i="24"/>
  <c r="P900" i="24"/>
  <c r="Q900" i="24"/>
  <c r="V900" i="24"/>
  <c r="B901" i="24"/>
  <c r="M901" i="24"/>
  <c r="P901" i="24"/>
  <c r="Q901" i="24"/>
  <c r="V901" i="24"/>
  <c r="B902" i="24"/>
  <c r="M902" i="24"/>
  <c r="P902" i="24"/>
  <c r="Q902" i="24"/>
  <c r="V902" i="24"/>
  <c r="B903" i="24"/>
  <c r="M903" i="24"/>
  <c r="P903" i="24"/>
  <c r="Q903" i="24"/>
  <c r="V903" i="24"/>
  <c r="B904" i="24"/>
  <c r="M904" i="24"/>
  <c r="P904" i="24"/>
  <c r="Q904" i="24"/>
  <c r="V904" i="24"/>
  <c r="B905" i="24"/>
  <c r="M905" i="24"/>
  <c r="P905" i="24"/>
  <c r="Q905" i="24"/>
  <c r="V905" i="24"/>
  <c r="B906" i="24"/>
  <c r="M906" i="24"/>
  <c r="P906" i="24"/>
  <c r="Q906" i="24"/>
  <c r="V906" i="24"/>
  <c r="B907" i="24"/>
  <c r="M907" i="24"/>
  <c r="P907" i="24"/>
  <c r="Q907" i="24"/>
  <c r="V907" i="24"/>
  <c r="B908" i="24"/>
  <c r="M908" i="24"/>
  <c r="P908" i="24"/>
  <c r="Q908" i="24"/>
  <c r="V908" i="24"/>
  <c r="B909" i="24"/>
  <c r="M909" i="24"/>
  <c r="P909" i="24"/>
  <c r="Q909" i="24"/>
  <c r="V909" i="24"/>
  <c r="B910" i="24"/>
  <c r="M910" i="24"/>
  <c r="P910" i="24"/>
  <c r="Q910" i="24"/>
  <c r="V910" i="24"/>
  <c r="B911" i="24"/>
  <c r="M911" i="24"/>
  <c r="P911" i="24"/>
  <c r="Q911" i="24"/>
  <c r="V911" i="24"/>
  <c r="B912" i="24"/>
  <c r="M912" i="24"/>
  <c r="P912" i="24"/>
  <c r="Q912" i="24"/>
  <c r="V912" i="24"/>
  <c r="B913" i="24"/>
  <c r="M913" i="24"/>
  <c r="P913" i="24"/>
  <c r="Q913" i="24"/>
  <c r="V913" i="24"/>
  <c r="B914" i="24"/>
  <c r="M914" i="24"/>
  <c r="P914" i="24"/>
  <c r="Q914" i="24"/>
  <c r="V914" i="24"/>
  <c r="B915" i="24"/>
  <c r="M915" i="24"/>
  <c r="P915" i="24"/>
  <c r="Q915" i="24"/>
  <c r="V915" i="24"/>
  <c r="B916" i="24"/>
  <c r="M916" i="24"/>
  <c r="P916" i="24"/>
  <c r="Q916" i="24"/>
  <c r="V916" i="24"/>
  <c r="B917" i="24"/>
  <c r="M917" i="24"/>
  <c r="P917" i="24"/>
  <c r="Q917" i="24"/>
  <c r="V917" i="24"/>
  <c r="B918" i="24"/>
  <c r="M918" i="24"/>
  <c r="P918" i="24"/>
  <c r="Q918" i="24"/>
  <c r="V918" i="24"/>
  <c r="B919" i="24"/>
  <c r="M919" i="24"/>
  <c r="P919" i="24"/>
  <c r="Q919" i="24"/>
  <c r="V919" i="24"/>
  <c r="B920" i="24"/>
  <c r="M920" i="24"/>
  <c r="P920" i="24"/>
  <c r="Q920" i="24"/>
  <c r="V920" i="24"/>
  <c r="B921" i="24"/>
  <c r="M921" i="24"/>
  <c r="P921" i="24"/>
  <c r="Q921" i="24"/>
  <c r="V921" i="24"/>
  <c r="B922" i="24"/>
  <c r="M922" i="24"/>
  <c r="P922" i="24"/>
  <c r="Q922" i="24"/>
  <c r="V922" i="24"/>
  <c r="B923" i="24"/>
  <c r="M923" i="24"/>
  <c r="P923" i="24"/>
  <c r="Q923" i="24"/>
  <c r="V923" i="24"/>
  <c r="B924" i="24"/>
  <c r="M924" i="24"/>
  <c r="P924" i="24"/>
  <c r="Q924" i="24"/>
  <c r="V924" i="24"/>
  <c r="B925" i="24"/>
  <c r="M925" i="24"/>
  <c r="P925" i="24"/>
  <c r="Q925" i="24"/>
  <c r="V925" i="24"/>
  <c r="B926" i="24"/>
  <c r="M926" i="24"/>
  <c r="P926" i="24"/>
  <c r="Q926" i="24"/>
  <c r="V926" i="24"/>
  <c r="B927" i="24"/>
  <c r="M927" i="24"/>
  <c r="P927" i="24"/>
  <c r="Q927" i="24"/>
  <c r="V927" i="24"/>
  <c r="B928" i="24"/>
  <c r="M928" i="24"/>
  <c r="P928" i="24"/>
  <c r="Q928" i="24"/>
  <c r="V928" i="24"/>
  <c r="B929" i="24"/>
  <c r="M929" i="24"/>
  <c r="P929" i="24"/>
  <c r="Q929" i="24"/>
  <c r="V929" i="24"/>
  <c r="B930" i="24"/>
  <c r="M930" i="24"/>
  <c r="P930" i="24"/>
  <c r="Q930" i="24"/>
  <c r="V930" i="24"/>
  <c r="B931" i="24"/>
  <c r="M931" i="24"/>
  <c r="P931" i="24"/>
  <c r="Q931" i="24"/>
  <c r="V931" i="24"/>
  <c r="B932" i="24"/>
  <c r="M932" i="24"/>
  <c r="P932" i="24"/>
  <c r="Q932" i="24"/>
  <c r="V932" i="24"/>
  <c r="B933" i="24"/>
  <c r="M933" i="24"/>
  <c r="P933" i="24"/>
  <c r="Q933" i="24"/>
  <c r="V933" i="24"/>
  <c r="B934" i="24"/>
  <c r="M934" i="24"/>
  <c r="P934" i="24"/>
  <c r="Q934" i="24"/>
  <c r="V934" i="24"/>
  <c r="B935" i="24"/>
  <c r="M935" i="24"/>
  <c r="P935" i="24"/>
  <c r="Q935" i="24"/>
  <c r="V935" i="24"/>
  <c r="B936" i="24"/>
  <c r="M936" i="24"/>
  <c r="P936" i="24"/>
  <c r="Q936" i="24"/>
  <c r="V936" i="24"/>
  <c r="B937" i="24"/>
  <c r="M937" i="24"/>
  <c r="P937" i="24"/>
  <c r="Q937" i="24"/>
  <c r="V937" i="24"/>
  <c r="B938" i="24"/>
  <c r="M938" i="24"/>
  <c r="P938" i="24"/>
  <c r="Q938" i="24"/>
  <c r="V938" i="24"/>
  <c r="B939" i="24"/>
  <c r="M939" i="24"/>
  <c r="P939" i="24"/>
  <c r="Q939" i="24"/>
  <c r="V939" i="24"/>
  <c r="B940" i="24"/>
  <c r="M940" i="24"/>
  <c r="P940" i="24"/>
  <c r="Q940" i="24"/>
  <c r="V940" i="24"/>
  <c r="B941" i="24"/>
  <c r="M941" i="24"/>
  <c r="P941" i="24"/>
  <c r="Q941" i="24"/>
  <c r="V941" i="24"/>
  <c r="B942" i="24"/>
  <c r="M942" i="24"/>
  <c r="P942" i="24"/>
  <c r="Q942" i="24"/>
  <c r="V942" i="24"/>
  <c r="B943" i="24"/>
  <c r="M943" i="24"/>
  <c r="P943" i="24"/>
  <c r="Q943" i="24"/>
  <c r="V943" i="24"/>
  <c r="B944" i="24"/>
  <c r="M944" i="24"/>
  <c r="P944" i="24"/>
  <c r="Q944" i="24"/>
  <c r="V944" i="24"/>
  <c r="B945" i="24"/>
  <c r="M945" i="24"/>
  <c r="P945" i="24"/>
  <c r="Q945" i="24"/>
  <c r="V945" i="24"/>
  <c r="B946" i="24"/>
  <c r="M946" i="24"/>
  <c r="P946" i="24"/>
  <c r="Q946" i="24"/>
  <c r="V946" i="24"/>
  <c r="B947" i="24"/>
  <c r="M947" i="24"/>
  <c r="P947" i="24"/>
  <c r="Q947" i="24"/>
  <c r="V947" i="24"/>
  <c r="B948" i="24"/>
  <c r="M948" i="24"/>
  <c r="P948" i="24"/>
  <c r="Q948" i="24"/>
  <c r="V948" i="24"/>
  <c r="B949" i="24"/>
  <c r="M949" i="24"/>
  <c r="P949" i="24"/>
  <c r="Q949" i="24"/>
  <c r="V949" i="24"/>
  <c r="B950" i="24"/>
  <c r="M950" i="24"/>
  <c r="P950" i="24"/>
  <c r="Q950" i="24"/>
  <c r="V950" i="24"/>
  <c r="B951" i="24"/>
  <c r="M951" i="24"/>
  <c r="P951" i="24"/>
  <c r="Q951" i="24"/>
  <c r="V951" i="24"/>
  <c r="B952" i="24"/>
  <c r="M952" i="24"/>
  <c r="P952" i="24"/>
  <c r="Q952" i="24"/>
  <c r="V952" i="24"/>
  <c r="B953" i="24"/>
  <c r="M953" i="24"/>
  <c r="P953" i="24"/>
  <c r="Q953" i="24"/>
  <c r="V953" i="24"/>
  <c r="B954" i="24"/>
  <c r="M954" i="24"/>
  <c r="P954" i="24"/>
  <c r="Q954" i="24"/>
  <c r="V954" i="24"/>
  <c r="B955" i="24"/>
  <c r="M955" i="24"/>
  <c r="P955" i="24"/>
  <c r="Q955" i="24"/>
  <c r="V955" i="24"/>
  <c r="B956" i="24"/>
  <c r="M956" i="24"/>
  <c r="P956" i="24"/>
  <c r="Q956" i="24"/>
  <c r="V956" i="24"/>
  <c r="B957" i="24"/>
  <c r="M957" i="24"/>
  <c r="P957" i="24"/>
  <c r="Q957" i="24"/>
  <c r="V957" i="24"/>
  <c r="B958" i="24"/>
  <c r="M958" i="24"/>
  <c r="P958" i="24"/>
  <c r="Q958" i="24"/>
  <c r="V958" i="24"/>
  <c r="B959" i="24"/>
  <c r="M959" i="24"/>
  <c r="P959" i="24"/>
  <c r="Q959" i="24"/>
  <c r="V959" i="24"/>
  <c r="B960" i="24"/>
  <c r="M960" i="24"/>
  <c r="P960" i="24"/>
  <c r="Q960" i="24"/>
  <c r="V960" i="24"/>
  <c r="B961" i="24"/>
  <c r="M961" i="24"/>
  <c r="P961" i="24"/>
  <c r="Q961" i="24"/>
  <c r="V961" i="24"/>
  <c r="B962" i="24"/>
  <c r="M962" i="24"/>
  <c r="P962" i="24"/>
  <c r="Q962" i="24"/>
  <c r="V962" i="24"/>
  <c r="B963" i="24"/>
  <c r="M963" i="24"/>
  <c r="P963" i="24"/>
  <c r="Q963" i="24"/>
  <c r="V963" i="24"/>
  <c r="B964" i="24"/>
  <c r="M964" i="24"/>
  <c r="P964" i="24"/>
  <c r="Q964" i="24"/>
  <c r="V964" i="24"/>
  <c r="B965" i="24"/>
  <c r="M965" i="24"/>
  <c r="P965" i="24"/>
  <c r="Q965" i="24"/>
  <c r="V965" i="24"/>
  <c r="B966" i="24"/>
  <c r="M966" i="24"/>
  <c r="P966" i="24"/>
  <c r="Q966" i="24"/>
  <c r="V966" i="24"/>
  <c r="B967" i="24"/>
  <c r="M967" i="24"/>
  <c r="P967" i="24"/>
  <c r="Q967" i="24"/>
  <c r="V967" i="24"/>
  <c r="B968" i="24"/>
  <c r="M968" i="24"/>
  <c r="P968" i="24"/>
  <c r="Q968" i="24"/>
  <c r="V968" i="24"/>
  <c r="B969" i="24"/>
  <c r="M969" i="24"/>
  <c r="P969" i="24"/>
  <c r="Q969" i="24"/>
  <c r="V969" i="24"/>
  <c r="B970" i="24"/>
  <c r="M970" i="24"/>
  <c r="P970" i="24"/>
  <c r="Q970" i="24"/>
  <c r="V970" i="24"/>
  <c r="B971" i="24"/>
  <c r="M971" i="24"/>
  <c r="P971" i="24"/>
  <c r="Q971" i="24"/>
  <c r="V971" i="24"/>
  <c r="B972" i="24"/>
  <c r="M972" i="24"/>
  <c r="P972" i="24"/>
  <c r="Q972" i="24"/>
  <c r="V972" i="24"/>
  <c r="B973" i="24"/>
  <c r="M973" i="24"/>
  <c r="P973" i="24"/>
  <c r="Q973" i="24"/>
  <c r="V973" i="24"/>
  <c r="B974" i="24"/>
  <c r="M974" i="24"/>
  <c r="P974" i="24"/>
  <c r="Q974" i="24"/>
  <c r="V974" i="24"/>
  <c r="B975" i="24"/>
  <c r="M975" i="24"/>
  <c r="P975" i="24"/>
  <c r="Q975" i="24"/>
  <c r="V975" i="24"/>
  <c r="B976" i="24"/>
  <c r="M976" i="24"/>
  <c r="P976" i="24"/>
  <c r="Q976" i="24"/>
  <c r="V976" i="24"/>
  <c r="B977" i="24"/>
  <c r="M977" i="24"/>
  <c r="P977" i="24"/>
  <c r="Q977" i="24"/>
  <c r="V977" i="24"/>
  <c r="B978" i="24"/>
  <c r="M978" i="24"/>
  <c r="P978" i="24"/>
  <c r="Q978" i="24"/>
  <c r="V978" i="24"/>
  <c r="B979" i="24"/>
  <c r="M979" i="24"/>
  <c r="P979" i="24"/>
  <c r="Q979" i="24"/>
  <c r="V979" i="24"/>
  <c r="B980" i="24"/>
  <c r="M980" i="24"/>
  <c r="P980" i="24"/>
  <c r="Q980" i="24"/>
  <c r="V980" i="24"/>
  <c r="B981" i="24"/>
  <c r="M981" i="24"/>
  <c r="P981" i="24"/>
  <c r="Q981" i="24"/>
  <c r="V981" i="24"/>
  <c r="B982" i="24"/>
  <c r="M982" i="24"/>
  <c r="P982" i="24"/>
  <c r="Q982" i="24"/>
  <c r="V982" i="24"/>
  <c r="B983" i="24"/>
  <c r="M983" i="24"/>
  <c r="P983" i="24"/>
  <c r="Q983" i="24"/>
  <c r="V983" i="24"/>
  <c r="B984" i="24"/>
  <c r="M984" i="24"/>
  <c r="P984" i="24"/>
  <c r="Q984" i="24"/>
  <c r="V984" i="24"/>
  <c r="B985" i="24"/>
  <c r="M985" i="24"/>
  <c r="P985" i="24"/>
  <c r="Q985" i="24"/>
  <c r="V985" i="24"/>
  <c r="B986" i="24"/>
  <c r="M986" i="24"/>
  <c r="P986" i="24"/>
  <c r="Q986" i="24"/>
  <c r="V986" i="24"/>
  <c r="B987" i="24"/>
  <c r="M987" i="24"/>
  <c r="P987" i="24"/>
  <c r="Q987" i="24"/>
  <c r="V987" i="24"/>
  <c r="B988" i="24"/>
  <c r="M988" i="24"/>
  <c r="P988" i="24"/>
  <c r="Q988" i="24"/>
  <c r="V988" i="24"/>
  <c r="B989" i="24"/>
  <c r="M989" i="24"/>
  <c r="P989" i="24"/>
  <c r="Q989" i="24"/>
  <c r="V989" i="24"/>
  <c r="B990" i="24"/>
  <c r="M990" i="24"/>
  <c r="P990" i="24"/>
  <c r="Q990" i="24"/>
  <c r="V990" i="24"/>
  <c r="B991" i="24"/>
  <c r="M991" i="24"/>
  <c r="P991" i="24"/>
  <c r="Q991" i="24"/>
  <c r="V991" i="24"/>
  <c r="B992" i="24"/>
  <c r="M992" i="24"/>
  <c r="P992" i="24"/>
  <c r="Q992" i="24"/>
  <c r="V992" i="24"/>
  <c r="B993" i="24"/>
  <c r="M993" i="24"/>
  <c r="P993" i="24"/>
  <c r="Q993" i="24"/>
  <c r="V993" i="24"/>
  <c r="B994" i="24"/>
  <c r="M994" i="24"/>
  <c r="P994" i="24"/>
  <c r="Q994" i="24"/>
  <c r="V994" i="24"/>
  <c r="B995" i="24"/>
  <c r="M995" i="24"/>
  <c r="P995" i="24"/>
  <c r="Q995" i="24"/>
  <c r="V995" i="24"/>
  <c r="B996" i="24"/>
  <c r="M996" i="24"/>
  <c r="P996" i="24"/>
  <c r="Q996" i="24"/>
  <c r="V996" i="24"/>
  <c r="B997" i="24"/>
  <c r="M997" i="24"/>
  <c r="P997" i="24"/>
  <c r="Q997" i="24"/>
  <c r="V997" i="24"/>
  <c r="B998" i="24"/>
  <c r="M998" i="24"/>
  <c r="P998" i="24"/>
  <c r="Q998" i="24"/>
  <c r="V998" i="24"/>
  <c r="B999" i="24"/>
  <c r="M999" i="24"/>
  <c r="P999" i="24"/>
  <c r="Q999" i="24"/>
  <c r="V999" i="24"/>
  <c r="B1000" i="24"/>
  <c r="M1000" i="24"/>
  <c r="P1000" i="24"/>
  <c r="Q1000" i="24"/>
  <c r="V1000" i="24"/>
  <c r="B1001" i="24"/>
  <c r="M1001" i="24"/>
  <c r="P1001" i="24"/>
  <c r="Q1001" i="24"/>
  <c r="V1001" i="24"/>
  <c r="B1002" i="24"/>
  <c r="M1002" i="24"/>
  <c r="P1002" i="24"/>
  <c r="Q1002" i="24"/>
  <c r="V1002" i="24"/>
  <c r="B1003" i="24"/>
  <c r="M1003" i="24"/>
  <c r="P1003" i="24"/>
  <c r="Q1003" i="24"/>
  <c r="V1003" i="24"/>
  <c r="B1004" i="24"/>
  <c r="M1004" i="24"/>
  <c r="P1004" i="24"/>
  <c r="Q1004" i="24"/>
  <c r="V1004" i="24"/>
  <c r="B1005" i="24"/>
  <c r="M1005" i="24"/>
  <c r="P1005" i="24"/>
  <c r="Q1005" i="24"/>
  <c r="V1005" i="24"/>
  <c r="B1006" i="24"/>
  <c r="M1006" i="24"/>
  <c r="P1006" i="24"/>
  <c r="Q1006" i="24"/>
  <c r="V1006" i="24"/>
  <c r="B1007" i="24"/>
  <c r="M1007" i="24"/>
  <c r="P1007" i="24"/>
  <c r="Q1007" i="24"/>
  <c r="V1007" i="24"/>
  <c r="B1008" i="24"/>
  <c r="M1008" i="24"/>
  <c r="P1008" i="24"/>
  <c r="Q1008" i="24"/>
  <c r="V1008" i="24"/>
  <c r="B1009" i="24"/>
  <c r="M1009" i="24"/>
  <c r="P1009" i="24"/>
  <c r="Q1009" i="24"/>
  <c r="V1009" i="24"/>
  <c r="B1010" i="24"/>
  <c r="M1010" i="24"/>
  <c r="P1010" i="24"/>
  <c r="Q1010" i="24"/>
  <c r="V1010" i="24"/>
  <c r="B1011" i="24"/>
  <c r="M1011" i="24"/>
  <c r="P1011" i="24"/>
  <c r="Q1011" i="24"/>
  <c r="V1011" i="24"/>
  <c r="B1012" i="24"/>
  <c r="M1012" i="24"/>
  <c r="P1012" i="24"/>
  <c r="Q1012" i="24"/>
  <c r="V1012" i="24"/>
  <c r="B1013" i="24"/>
  <c r="M1013" i="24"/>
  <c r="P1013" i="24"/>
  <c r="Q1013" i="24"/>
  <c r="V1013" i="24"/>
  <c r="B1014" i="24"/>
  <c r="M1014" i="24"/>
  <c r="P1014" i="24"/>
  <c r="Q1014" i="24"/>
  <c r="V1014" i="24"/>
  <c r="B1015" i="24"/>
  <c r="M1015" i="24"/>
  <c r="P1015" i="24"/>
  <c r="Q1015" i="24"/>
  <c r="V1015" i="24"/>
  <c r="B1016" i="24"/>
  <c r="M1016" i="24"/>
  <c r="P1016" i="24"/>
  <c r="Q1016" i="24"/>
  <c r="V1016" i="24"/>
  <c r="B1017" i="24"/>
  <c r="M1017" i="24"/>
  <c r="P1017" i="24"/>
  <c r="Q1017" i="24"/>
  <c r="V1017" i="24"/>
  <c r="B1018" i="24"/>
  <c r="M1018" i="24"/>
  <c r="P1018" i="24"/>
  <c r="Q1018" i="24"/>
  <c r="V1018" i="24"/>
  <c r="B1019" i="24"/>
  <c r="M1019" i="24"/>
  <c r="P1019" i="24"/>
  <c r="Q1019" i="24"/>
  <c r="V1019" i="24"/>
  <c r="B1020" i="24"/>
  <c r="M1020" i="24"/>
  <c r="P1020" i="24"/>
  <c r="Q1020" i="24"/>
  <c r="V1020" i="24"/>
  <c r="B1021" i="24"/>
  <c r="M1021" i="24"/>
  <c r="P1021" i="24"/>
  <c r="Q1021" i="24"/>
  <c r="V1021" i="24"/>
  <c r="B1022" i="24"/>
  <c r="M1022" i="24"/>
  <c r="P1022" i="24"/>
  <c r="Q1022" i="24"/>
  <c r="V1022" i="24"/>
  <c r="B1023" i="24"/>
  <c r="M1023" i="24"/>
  <c r="P1023" i="24"/>
  <c r="Q1023" i="24"/>
  <c r="V1023" i="24"/>
  <c r="B1024" i="24"/>
  <c r="M1024" i="24"/>
  <c r="P1024" i="24"/>
  <c r="Q1024" i="24"/>
  <c r="V1024" i="24"/>
  <c r="B1025" i="24"/>
  <c r="M1025" i="24"/>
  <c r="P1025" i="24"/>
  <c r="Q1025" i="24"/>
  <c r="V1025" i="24"/>
  <c r="B1026" i="24"/>
  <c r="M1026" i="24"/>
  <c r="P1026" i="24"/>
  <c r="Q1026" i="24"/>
  <c r="V1026" i="24"/>
  <c r="B1027" i="24"/>
  <c r="M1027" i="24"/>
  <c r="P1027" i="24"/>
  <c r="Q1027" i="24"/>
  <c r="V1027" i="24"/>
  <c r="B1028" i="24"/>
  <c r="M1028" i="24"/>
  <c r="P1028" i="24"/>
  <c r="Q1028" i="24"/>
  <c r="V1028" i="24"/>
  <c r="B1029" i="24"/>
  <c r="M1029" i="24"/>
  <c r="P1029" i="24"/>
  <c r="Q1029" i="24"/>
  <c r="V1029" i="24"/>
  <c r="B1030" i="24"/>
  <c r="M1030" i="24"/>
  <c r="P1030" i="24"/>
  <c r="Q1030" i="24"/>
  <c r="V1030" i="24"/>
  <c r="B1031" i="24"/>
  <c r="M1031" i="24"/>
  <c r="P1031" i="24"/>
  <c r="Q1031" i="24"/>
  <c r="V1031" i="24"/>
  <c r="B1032" i="24"/>
  <c r="M1032" i="24"/>
  <c r="P1032" i="24"/>
  <c r="Q1032" i="24"/>
  <c r="V1032" i="24"/>
  <c r="B1033" i="24"/>
  <c r="M1033" i="24"/>
  <c r="P1033" i="24"/>
  <c r="Q1033" i="24"/>
  <c r="V1033" i="24"/>
  <c r="B1034" i="24"/>
  <c r="M1034" i="24"/>
  <c r="P1034" i="24"/>
  <c r="Q1034" i="24"/>
  <c r="V1034" i="24"/>
  <c r="B1035" i="24"/>
  <c r="M1035" i="24"/>
  <c r="P1035" i="24"/>
  <c r="Q1035" i="24"/>
  <c r="V1035" i="24"/>
  <c r="B1036" i="24"/>
  <c r="M1036" i="24"/>
  <c r="P1036" i="24"/>
  <c r="Q1036" i="24"/>
  <c r="V1036" i="24"/>
  <c r="B1037" i="24"/>
  <c r="M1037" i="24"/>
  <c r="P1037" i="24"/>
  <c r="Q1037" i="24"/>
  <c r="V1037" i="24"/>
  <c r="B1038" i="24"/>
  <c r="M1038" i="24"/>
  <c r="P1038" i="24"/>
  <c r="Q1038" i="24"/>
  <c r="V1038" i="24"/>
  <c r="B1039" i="24"/>
  <c r="M1039" i="24"/>
  <c r="P1039" i="24"/>
  <c r="Q1039" i="24"/>
  <c r="V1039" i="24"/>
  <c r="B1040" i="24"/>
  <c r="M1040" i="24"/>
  <c r="P1040" i="24"/>
  <c r="Q1040" i="24"/>
  <c r="V1040" i="24"/>
  <c r="B1041" i="24"/>
  <c r="M1041" i="24"/>
  <c r="P1041" i="24"/>
  <c r="Q1041" i="24"/>
  <c r="V1041" i="24"/>
  <c r="B1042" i="24"/>
  <c r="M1042" i="24"/>
  <c r="P1042" i="24"/>
  <c r="Q1042" i="24"/>
  <c r="V1042" i="24"/>
  <c r="B1043" i="24"/>
  <c r="M1043" i="24"/>
  <c r="P1043" i="24"/>
  <c r="Q1043" i="24"/>
  <c r="V1043" i="24"/>
  <c r="B1044" i="24"/>
  <c r="M1044" i="24"/>
  <c r="P1044" i="24"/>
  <c r="Q1044" i="24"/>
  <c r="V1044" i="24"/>
  <c r="B1045" i="24"/>
  <c r="M1045" i="24"/>
  <c r="P1045" i="24"/>
  <c r="Q1045" i="24"/>
  <c r="V1045" i="24"/>
  <c r="B1046" i="24"/>
  <c r="M1046" i="24"/>
  <c r="P1046" i="24"/>
  <c r="Q1046" i="24"/>
  <c r="V1046" i="24"/>
  <c r="B1047" i="24"/>
  <c r="M1047" i="24"/>
  <c r="P1047" i="24"/>
  <c r="Q1047" i="24"/>
  <c r="V1047" i="24"/>
  <c r="B1048" i="24"/>
  <c r="M1048" i="24"/>
  <c r="P1048" i="24"/>
  <c r="Q1048" i="24"/>
  <c r="V1048" i="24"/>
  <c r="B1049" i="24"/>
  <c r="M1049" i="24"/>
  <c r="P1049" i="24"/>
  <c r="Q1049" i="24"/>
  <c r="V1049" i="24"/>
  <c r="B1050" i="24"/>
  <c r="M1050" i="24"/>
  <c r="P1050" i="24"/>
  <c r="Q1050" i="24"/>
  <c r="V1050" i="24"/>
  <c r="B1051" i="24"/>
  <c r="M1051" i="24"/>
  <c r="P1051" i="24"/>
  <c r="Q1051" i="24"/>
  <c r="V1051" i="24"/>
  <c r="B1052" i="24"/>
  <c r="M1052" i="24"/>
  <c r="P1052" i="24"/>
  <c r="Q1052" i="24"/>
  <c r="V1052" i="24"/>
  <c r="B1053" i="24"/>
  <c r="M1053" i="24"/>
  <c r="P1053" i="24"/>
  <c r="Q1053" i="24"/>
  <c r="V1053" i="24"/>
  <c r="B1054" i="24"/>
  <c r="M1054" i="24"/>
  <c r="P1054" i="24"/>
  <c r="Q1054" i="24"/>
  <c r="V1054" i="24"/>
  <c r="B1055" i="24"/>
  <c r="M1055" i="24"/>
  <c r="P1055" i="24"/>
  <c r="Q1055" i="24"/>
  <c r="V1055" i="24"/>
  <c r="B1056" i="24"/>
  <c r="M1056" i="24"/>
  <c r="P1056" i="24"/>
  <c r="Q1056" i="24"/>
  <c r="V1056" i="24"/>
  <c r="B1057" i="24"/>
  <c r="M1057" i="24"/>
  <c r="P1057" i="24"/>
  <c r="Q1057" i="24"/>
  <c r="V1057" i="24"/>
  <c r="B1058" i="24"/>
  <c r="M1058" i="24"/>
  <c r="P1058" i="24"/>
  <c r="Q1058" i="24"/>
  <c r="V1058" i="24"/>
  <c r="B1059" i="24"/>
  <c r="M1059" i="24"/>
  <c r="P1059" i="24"/>
  <c r="Q1059" i="24"/>
  <c r="V1059" i="24"/>
  <c r="B1060" i="24"/>
  <c r="M1060" i="24"/>
  <c r="P1060" i="24"/>
  <c r="Q1060" i="24"/>
  <c r="V1060" i="24"/>
  <c r="B1061" i="24"/>
  <c r="M1061" i="24"/>
  <c r="P1061" i="24"/>
  <c r="Q1061" i="24"/>
  <c r="V1061" i="24"/>
  <c r="B1062" i="24"/>
  <c r="M1062" i="24"/>
  <c r="P1062" i="24"/>
  <c r="Q1062" i="24"/>
  <c r="V1062" i="24"/>
  <c r="B1063" i="24"/>
  <c r="M1063" i="24"/>
  <c r="P1063" i="24"/>
  <c r="Q1063" i="24"/>
  <c r="V1063" i="24"/>
  <c r="B1064" i="24"/>
  <c r="M1064" i="24"/>
  <c r="P1064" i="24"/>
  <c r="Q1064" i="24"/>
  <c r="V1064" i="24"/>
  <c r="B1065" i="24"/>
  <c r="M1065" i="24"/>
  <c r="P1065" i="24"/>
  <c r="Q1065" i="24"/>
  <c r="V1065" i="24"/>
  <c r="B1066" i="24"/>
  <c r="M1066" i="24"/>
  <c r="P1066" i="24"/>
  <c r="Q1066" i="24"/>
  <c r="V1066" i="24"/>
  <c r="B1067" i="24"/>
  <c r="M1067" i="24"/>
  <c r="P1067" i="24"/>
  <c r="Q1067" i="24"/>
  <c r="V1067" i="24"/>
  <c r="B1068" i="24"/>
  <c r="M1068" i="24"/>
  <c r="P1068" i="24"/>
  <c r="Q1068" i="24"/>
  <c r="V1068" i="24"/>
  <c r="B1069" i="24"/>
  <c r="M1069" i="24"/>
  <c r="P1069" i="24"/>
  <c r="Q1069" i="24"/>
  <c r="V1069" i="24"/>
  <c r="B1070" i="24"/>
  <c r="M1070" i="24"/>
  <c r="P1070" i="24"/>
  <c r="Q1070" i="24"/>
  <c r="V1070" i="24"/>
  <c r="B1071" i="24"/>
  <c r="M1071" i="24"/>
  <c r="P1071" i="24"/>
  <c r="Q1071" i="24"/>
  <c r="V1071" i="24"/>
  <c r="B1072" i="24"/>
  <c r="M1072" i="24"/>
  <c r="P1072" i="24"/>
  <c r="Q1072" i="24"/>
  <c r="V1072" i="24"/>
  <c r="B1073" i="24"/>
  <c r="M1073" i="24"/>
  <c r="P1073" i="24"/>
  <c r="Q1073" i="24"/>
  <c r="V1073" i="24"/>
  <c r="B1074" i="24"/>
  <c r="M1074" i="24"/>
  <c r="P1074" i="24"/>
  <c r="Q1074" i="24"/>
  <c r="V1074" i="24"/>
  <c r="B1075" i="24"/>
  <c r="M1075" i="24"/>
  <c r="P1075" i="24"/>
  <c r="Q1075" i="24"/>
  <c r="V1075" i="24"/>
  <c r="B1076" i="24"/>
  <c r="M1076" i="24"/>
  <c r="P1076" i="24"/>
  <c r="Q1076" i="24"/>
  <c r="V1076" i="24"/>
  <c r="B1077" i="24"/>
  <c r="M1077" i="24"/>
  <c r="P1077" i="24"/>
  <c r="Q1077" i="24"/>
  <c r="V1077" i="24"/>
  <c r="B1078" i="24"/>
  <c r="M1078" i="24"/>
  <c r="P1078" i="24"/>
  <c r="Q1078" i="24"/>
  <c r="V1078" i="24"/>
  <c r="B1079" i="24"/>
  <c r="M1079" i="24"/>
  <c r="P1079" i="24"/>
  <c r="Q1079" i="24"/>
  <c r="V1079" i="24"/>
  <c r="B1080" i="24"/>
  <c r="M1080" i="24"/>
  <c r="P1080" i="24"/>
  <c r="Q1080" i="24"/>
  <c r="V1080" i="24"/>
  <c r="B1081" i="24"/>
  <c r="M1081" i="24"/>
  <c r="P1081" i="24"/>
  <c r="Q1081" i="24"/>
  <c r="V1081" i="24"/>
  <c r="B1082" i="24"/>
  <c r="M1082" i="24"/>
  <c r="P1082" i="24"/>
  <c r="Q1082" i="24"/>
  <c r="V1082" i="24"/>
  <c r="B1083" i="24"/>
  <c r="M1083" i="24"/>
  <c r="P1083" i="24"/>
  <c r="Q1083" i="24"/>
  <c r="V1083" i="24"/>
  <c r="B1084" i="24"/>
  <c r="M1084" i="24"/>
  <c r="P1084" i="24"/>
  <c r="Q1084" i="24"/>
  <c r="V1084" i="24"/>
  <c r="B1085" i="24"/>
  <c r="M1085" i="24"/>
  <c r="P1085" i="24"/>
  <c r="Q1085" i="24"/>
  <c r="V1085" i="24"/>
  <c r="B1086" i="24"/>
  <c r="M1086" i="24"/>
  <c r="P1086" i="24"/>
  <c r="Q1086" i="24"/>
  <c r="V1086" i="24"/>
  <c r="B1087" i="24"/>
  <c r="M1087" i="24"/>
  <c r="P1087" i="24"/>
  <c r="Q1087" i="24"/>
  <c r="V1087" i="24"/>
  <c r="B1088" i="24"/>
  <c r="M1088" i="24"/>
  <c r="P1088" i="24"/>
  <c r="Q1088" i="24"/>
  <c r="V1088" i="24"/>
  <c r="B1089" i="24"/>
  <c r="M1089" i="24"/>
  <c r="P1089" i="24"/>
  <c r="Q1089" i="24"/>
  <c r="V1089" i="24"/>
  <c r="B1090" i="24"/>
  <c r="M1090" i="24"/>
  <c r="P1090" i="24"/>
  <c r="Q1090" i="24"/>
  <c r="V1090" i="24"/>
  <c r="B1091" i="24"/>
  <c r="M1091" i="24"/>
  <c r="P1091" i="24"/>
  <c r="Q1091" i="24"/>
  <c r="V1091" i="24"/>
  <c r="B1092" i="24"/>
  <c r="M1092" i="24"/>
  <c r="P1092" i="24"/>
  <c r="Q1092" i="24"/>
  <c r="V1092" i="24"/>
  <c r="B1093" i="24"/>
  <c r="M1093" i="24"/>
  <c r="P1093" i="24"/>
  <c r="Q1093" i="24"/>
  <c r="V1093" i="24"/>
  <c r="B1094" i="24"/>
  <c r="M1094" i="24"/>
  <c r="P1094" i="24"/>
  <c r="Q1094" i="24"/>
  <c r="V1094" i="24"/>
  <c r="B1095" i="24"/>
  <c r="M1095" i="24"/>
  <c r="P1095" i="24"/>
  <c r="Q1095" i="24"/>
  <c r="V1095" i="24"/>
  <c r="B1096" i="24"/>
  <c r="M1096" i="24"/>
  <c r="P1096" i="24"/>
  <c r="Q1096" i="24"/>
  <c r="V1096" i="24"/>
  <c r="B1097" i="24"/>
  <c r="M1097" i="24"/>
  <c r="P1097" i="24"/>
  <c r="Q1097" i="24"/>
  <c r="V1097" i="24"/>
  <c r="B1098" i="24"/>
  <c r="M1098" i="24"/>
  <c r="P1098" i="24"/>
  <c r="Q1098" i="24"/>
  <c r="V1098" i="24"/>
  <c r="B1099" i="24"/>
  <c r="M1099" i="24"/>
  <c r="P1099" i="24"/>
  <c r="Q1099" i="24"/>
  <c r="V1099" i="24"/>
  <c r="B1100" i="24"/>
  <c r="M1100" i="24"/>
  <c r="P1100" i="24"/>
  <c r="Q1100" i="24"/>
  <c r="V1100" i="24"/>
  <c r="B1101" i="24"/>
  <c r="M1101" i="24"/>
  <c r="P1101" i="24"/>
  <c r="Q1101" i="24"/>
  <c r="V1101" i="24"/>
  <c r="B1102" i="24"/>
  <c r="M1102" i="24"/>
  <c r="P1102" i="24"/>
  <c r="Q1102" i="24"/>
  <c r="V1102" i="24"/>
  <c r="B1103" i="24"/>
  <c r="M1103" i="24"/>
  <c r="P1103" i="24"/>
  <c r="Q1103" i="24"/>
  <c r="V1103" i="24"/>
  <c r="B1104" i="24"/>
  <c r="M1104" i="24"/>
  <c r="P1104" i="24"/>
  <c r="Q1104" i="24"/>
  <c r="V1104" i="24"/>
  <c r="B1105" i="24"/>
  <c r="M1105" i="24"/>
  <c r="P1105" i="24"/>
  <c r="Q1105" i="24"/>
  <c r="V1105" i="24"/>
  <c r="B1106" i="24"/>
  <c r="M1106" i="24"/>
  <c r="P1106" i="24"/>
  <c r="Q1106" i="24"/>
  <c r="V1106" i="24"/>
  <c r="B1107" i="24"/>
  <c r="M1107" i="24"/>
  <c r="P1107" i="24"/>
  <c r="Q1107" i="24"/>
  <c r="V1107" i="24"/>
  <c r="B1108" i="24"/>
  <c r="M1108" i="24"/>
  <c r="P1108" i="24"/>
  <c r="Q1108" i="24"/>
  <c r="V1108" i="24"/>
  <c r="B1109" i="24"/>
  <c r="M1109" i="24"/>
  <c r="P1109" i="24"/>
  <c r="Q1109" i="24"/>
  <c r="V1109" i="24"/>
  <c r="B1110" i="24"/>
  <c r="M1110" i="24"/>
  <c r="P1110" i="24"/>
  <c r="Q1110" i="24"/>
  <c r="V1110" i="24"/>
  <c r="B1111" i="24"/>
  <c r="M1111" i="24"/>
  <c r="P1111" i="24"/>
  <c r="Q1111" i="24"/>
  <c r="V1111" i="24"/>
  <c r="B1112" i="24"/>
  <c r="M1112" i="24"/>
  <c r="P1112" i="24"/>
  <c r="Q1112" i="24"/>
  <c r="V1112" i="24"/>
  <c r="B1113" i="24"/>
  <c r="M1113" i="24"/>
  <c r="P1113" i="24"/>
  <c r="Q1113" i="24"/>
  <c r="V1113" i="24"/>
  <c r="B1114" i="24"/>
  <c r="M1114" i="24"/>
  <c r="P1114" i="24"/>
  <c r="Q1114" i="24"/>
  <c r="V1114" i="24"/>
  <c r="B1115" i="24"/>
  <c r="M1115" i="24"/>
  <c r="P1115" i="24"/>
  <c r="Q1115" i="24"/>
  <c r="V1115" i="24"/>
  <c r="B1116" i="24"/>
  <c r="M1116" i="24"/>
  <c r="P1116" i="24"/>
  <c r="Q1116" i="24"/>
  <c r="V1116" i="24"/>
  <c r="B1117" i="24"/>
  <c r="M1117" i="24"/>
  <c r="P1117" i="24"/>
  <c r="Q1117" i="24"/>
  <c r="V1117" i="24"/>
  <c r="B1118" i="24"/>
  <c r="M1118" i="24"/>
  <c r="P1118" i="24"/>
  <c r="Q1118" i="24"/>
  <c r="V1118" i="24"/>
  <c r="B1119" i="24"/>
  <c r="M1119" i="24"/>
  <c r="P1119" i="24"/>
  <c r="Q1119" i="24"/>
  <c r="V1119" i="24"/>
  <c r="B1120" i="24"/>
  <c r="M1120" i="24"/>
  <c r="P1120" i="24"/>
  <c r="Q1120" i="24"/>
  <c r="V1120" i="24"/>
  <c r="B1121" i="24"/>
  <c r="M1121" i="24"/>
  <c r="P1121" i="24"/>
  <c r="Q1121" i="24"/>
  <c r="V1121" i="24"/>
  <c r="B1122" i="24"/>
  <c r="M1122" i="24"/>
  <c r="P1122" i="24"/>
  <c r="Q1122" i="24"/>
  <c r="V1122" i="24"/>
  <c r="B1123" i="24"/>
  <c r="M1123" i="24"/>
  <c r="P1123" i="24"/>
  <c r="Q1123" i="24"/>
  <c r="V1123" i="24"/>
  <c r="B1124" i="24"/>
  <c r="M1124" i="24"/>
  <c r="P1124" i="24"/>
  <c r="Q1124" i="24"/>
  <c r="V1124" i="24"/>
  <c r="B1125" i="24"/>
  <c r="M1125" i="24"/>
  <c r="P1125" i="24"/>
  <c r="Q1125" i="24"/>
  <c r="V1125" i="24"/>
  <c r="B1126" i="24"/>
  <c r="M1126" i="24"/>
  <c r="P1126" i="24"/>
  <c r="Q1126" i="24"/>
  <c r="V1126" i="24"/>
  <c r="B1127" i="24"/>
  <c r="M1127" i="24"/>
  <c r="P1127" i="24"/>
  <c r="Q1127" i="24"/>
  <c r="V1127" i="24"/>
  <c r="B1128" i="24"/>
  <c r="M1128" i="24"/>
  <c r="P1128" i="24"/>
  <c r="Q1128" i="24"/>
  <c r="V1128" i="24"/>
  <c r="B1129" i="24"/>
  <c r="M1129" i="24"/>
  <c r="P1129" i="24"/>
  <c r="Q1129" i="24"/>
  <c r="V1129" i="24"/>
  <c r="B1130" i="24"/>
  <c r="M1130" i="24"/>
  <c r="P1130" i="24"/>
  <c r="Q1130" i="24"/>
  <c r="V1130" i="24"/>
  <c r="B1131" i="24"/>
  <c r="M1131" i="24"/>
  <c r="P1131" i="24"/>
  <c r="Q1131" i="24"/>
  <c r="V1131" i="24"/>
  <c r="B1132" i="24"/>
  <c r="M1132" i="24"/>
  <c r="P1132" i="24"/>
  <c r="Q1132" i="24"/>
  <c r="V1132" i="24"/>
  <c r="B1133" i="24"/>
  <c r="M1133" i="24"/>
  <c r="P1133" i="24"/>
  <c r="Q1133" i="24"/>
  <c r="V1133" i="24"/>
  <c r="B1134" i="24"/>
  <c r="M1134" i="24"/>
  <c r="P1134" i="24"/>
  <c r="Q1134" i="24"/>
  <c r="V1134" i="24"/>
  <c r="B1135" i="24"/>
  <c r="M1135" i="24"/>
  <c r="P1135" i="24"/>
  <c r="Q1135" i="24"/>
  <c r="V1135" i="24"/>
  <c r="B1136" i="24"/>
  <c r="M1136" i="24"/>
  <c r="P1136" i="24"/>
  <c r="Q1136" i="24"/>
  <c r="V1136" i="24"/>
  <c r="B1137" i="24"/>
  <c r="M1137" i="24"/>
  <c r="P1137" i="24"/>
  <c r="Q1137" i="24"/>
  <c r="V1137" i="24"/>
  <c r="B1138" i="24"/>
  <c r="M1138" i="24"/>
  <c r="P1138" i="24"/>
  <c r="Q1138" i="24"/>
  <c r="V1138" i="24"/>
  <c r="B1139" i="24"/>
  <c r="M1139" i="24"/>
  <c r="P1139" i="24"/>
  <c r="Q1139" i="24"/>
  <c r="V1139" i="24"/>
  <c r="B1140" i="24"/>
  <c r="M1140" i="24"/>
  <c r="P1140" i="24"/>
  <c r="Q1140" i="24"/>
  <c r="V1140" i="24"/>
  <c r="B1141" i="24"/>
  <c r="M1141" i="24"/>
  <c r="P1141" i="24"/>
  <c r="Q1141" i="24"/>
  <c r="V1141" i="24"/>
  <c r="B1142" i="24"/>
  <c r="M1142" i="24"/>
  <c r="P1142" i="24"/>
  <c r="Q1142" i="24"/>
  <c r="V1142" i="24"/>
  <c r="B1143" i="24"/>
  <c r="M1143" i="24"/>
  <c r="P1143" i="24"/>
  <c r="Q1143" i="24"/>
  <c r="V1143" i="24"/>
  <c r="B1144" i="24"/>
  <c r="M1144" i="24"/>
  <c r="P1144" i="24"/>
  <c r="Q1144" i="24"/>
  <c r="V1144" i="24"/>
  <c r="B1145" i="24"/>
  <c r="M1145" i="24"/>
  <c r="P1145" i="24"/>
  <c r="Q1145" i="24"/>
  <c r="V1145" i="24"/>
  <c r="B1146" i="24"/>
  <c r="M1146" i="24"/>
  <c r="P1146" i="24"/>
  <c r="Q1146" i="24"/>
  <c r="V1146" i="24"/>
  <c r="B1147" i="24"/>
  <c r="M1147" i="24"/>
  <c r="P1147" i="24"/>
  <c r="Q1147" i="24"/>
  <c r="V1147" i="24"/>
  <c r="B1148" i="24"/>
  <c r="M1148" i="24"/>
  <c r="P1148" i="24"/>
  <c r="Q1148" i="24"/>
  <c r="V1148" i="24"/>
  <c r="B1149" i="24"/>
  <c r="M1149" i="24"/>
  <c r="P1149" i="24"/>
  <c r="Q1149" i="24"/>
  <c r="V1149" i="24"/>
  <c r="B1150" i="24"/>
  <c r="M1150" i="24"/>
  <c r="P1150" i="24"/>
  <c r="Q1150" i="24"/>
  <c r="V1150" i="24"/>
  <c r="B1151" i="24"/>
  <c r="M1151" i="24"/>
  <c r="P1151" i="24"/>
  <c r="Q1151" i="24"/>
  <c r="V1151" i="24"/>
  <c r="B1152" i="24"/>
  <c r="M1152" i="24"/>
  <c r="P1152" i="24"/>
  <c r="Q1152" i="24"/>
  <c r="V1152" i="24"/>
  <c r="B1153" i="24"/>
  <c r="M1153" i="24"/>
  <c r="P1153" i="24"/>
  <c r="Q1153" i="24"/>
  <c r="V1153" i="24"/>
  <c r="B1154" i="24"/>
  <c r="M1154" i="24"/>
  <c r="P1154" i="24"/>
  <c r="Q1154" i="24"/>
  <c r="V1154" i="24"/>
  <c r="B1155" i="24"/>
  <c r="M1155" i="24"/>
  <c r="P1155" i="24"/>
  <c r="Q1155" i="24"/>
  <c r="V1155" i="24"/>
  <c r="B1156" i="24"/>
  <c r="M1156" i="24"/>
  <c r="P1156" i="24"/>
  <c r="Q1156" i="24"/>
  <c r="V1156" i="24"/>
  <c r="B1157" i="24"/>
  <c r="M1157" i="24"/>
  <c r="P1157" i="24"/>
  <c r="Q1157" i="24"/>
  <c r="V1157" i="24"/>
  <c r="B1158" i="24"/>
  <c r="M1158" i="24"/>
  <c r="P1158" i="24"/>
  <c r="Q1158" i="24"/>
  <c r="V1158" i="24"/>
  <c r="B1159" i="24"/>
  <c r="M1159" i="24"/>
  <c r="P1159" i="24"/>
  <c r="Q1159" i="24"/>
  <c r="V1159" i="24"/>
  <c r="B1160" i="24"/>
  <c r="M1160" i="24"/>
  <c r="P1160" i="24"/>
  <c r="Q1160" i="24"/>
  <c r="V1160" i="24"/>
  <c r="B1161" i="24"/>
  <c r="M1161" i="24"/>
  <c r="P1161" i="24"/>
  <c r="Q1161" i="24"/>
  <c r="V1161" i="24"/>
  <c r="B1162" i="24"/>
  <c r="M1162" i="24"/>
  <c r="P1162" i="24"/>
  <c r="Q1162" i="24"/>
  <c r="V1162" i="24"/>
  <c r="B1163" i="24"/>
  <c r="M1163" i="24"/>
  <c r="P1163" i="24"/>
  <c r="Q1163" i="24"/>
  <c r="V1163" i="24"/>
  <c r="B1164" i="24"/>
  <c r="M1164" i="24"/>
  <c r="P1164" i="24"/>
  <c r="Q1164" i="24"/>
  <c r="V1164" i="24"/>
  <c r="B1165" i="24"/>
  <c r="M1165" i="24"/>
  <c r="P1165" i="24"/>
  <c r="Q1165" i="24"/>
  <c r="V1165" i="24"/>
  <c r="B1166" i="24"/>
  <c r="M1166" i="24"/>
  <c r="P1166" i="24"/>
  <c r="Q1166" i="24"/>
  <c r="V1166" i="24"/>
  <c r="B1167" i="24"/>
  <c r="M1167" i="24"/>
  <c r="P1167" i="24"/>
  <c r="Q1167" i="24"/>
  <c r="V1167" i="24"/>
  <c r="B1168" i="24"/>
  <c r="M1168" i="24"/>
  <c r="P1168" i="24"/>
  <c r="Q1168" i="24"/>
  <c r="V1168" i="24"/>
  <c r="B1169" i="24"/>
  <c r="M1169" i="24"/>
  <c r="P1169" i="24"/>
  <c r="Q1169" i="24"/>
  <c r="V1169" i="24"/>
  <c r="B1170" i="24"/>
  <c r="M1170" i="24"/>
  <c r="P1170" i="24"/>
  <c r="Q1170" i="24"/>
  <c r="V1170" i="24"/>
  <c r="B1171" i="24"/>
  <c r="M1171" i="24"/>
  <c r="P1171" i="24"/>
  <c r="Q1171" i="24"/>
  <c r="V1171" i="24"/>
  <c r="B1172" i="24"/>
  <c r="M1172" i="24"/>
  <c r="P1172" i="24"/>
  <c r="Q1172" i="24"/>
  <c r="V1172" i="24"/>
  <c r="B1173" i="24"/>
  <c r="M1173" i="24"/>
  <c r="P1173" i="24"/>
  <c r="Q1173" i="24"/>
  <c r="V1173" i="24"/>
  <c r="B1174" i="24"/>
  <c r="M1174" i="24"/>
  <c r="P1174" i="24"/>
  <c r="Q1174" i="24"/>
  <c r="V1174" i="24"/>
  <c r="B1175" i="24"/>
  <c r="M1175" i="24"/>
  <c r="P1175" i="24"/>
  <c r="Q1175" i="24"/>
  <c r="V1175" i="24"/>
  <c r="B1176" i="24"/>
  <c r="M1176" i="24"/>
  <c r="P1176" i="24"/>
  <c r="Q1176" i="24"/>
  <c r="V1176" i="24"/>
  <c r="B1177" i="24"/>
  <c r="M1177" i="24"/>
  <c r="P1177" i="24"/>
  <c r="Q1177" i="24"/>
  <c r="V1177" i="24"/>
  <c r="B1178" i="24"/>
  <c r="M1178" i="24"/>
  <c r="P1178" i="24"/>
  <c r="Q1178" i="24"/>
  <c r="V1178" i="24"/>
  <c r="B1179" i="24"/>
  <c r="M1179" i="24"/>
  <c r="P1179" i="24"/>
  <c r="Q1179" i="24"/>
  <c r="V1179" i="24"/>
  <c r="B1180" i="24"/>
  <c r="M1180" i="24"/>
  <c r="P1180" i="24"/>
  <c r="Q1180" i="24"/>
  <c r="V1180" i="24"/>
  <c r="B1181" i="24"/>
  <c r="M1181" i="24"/>
  <c r="P1181" i="24"/>
  <c r="Q1181" i="24"/>
  <c r="V1181" i="24"/>
  <c r="B1182" i="24"/>
  <c r="M1182" i="24"/>
  <c r="P1182" i="24"/>
  <c r="Q1182" i="24"/>
  <c r="V1182" i="24"/>
  <c r="B1183" i="24"/>
  <c r="M1183" i="24"/>
  <c r="P1183" i="24"/>
  <c r="Q1183" i="24"/>
  <c r="V1183" i="24"/>
  <c r="B1184" i="24"/>
  <c r="M1184" i="24"/>
  <c r="P1184" i="24"/>
  <c r="Q1184" i="24"/>
  <c r="V1184" i="24"/>
  <c r="B1185" i="24"/>
  <c r="M1185" i="24"/>
  <c r="P1185" i="24"/>
  <c r="Q1185" i="24"/>
  <c r="V1185" i="24"/>
  <c r="B1186" i="24"/>
  <c r="M1186" i="24"/>
  <c r="P1186" i="24"/>
  <c r="Q1186" i="24"/>
  <c r="V1186" i="24"/>
  <c r="B1187" i="24"/>
  <c r="M1187" i="24"/>
  <c r="P1187" i="24"/>
  <c r="Q1187" i="24"/>
  <c r="V1187" i="24"/>
  <c r="B1188" i="24"/>
  <c r="M1188" i="24"/>
  <c r="P1188" i="24"/>
  <c r="Q1188" i="24"/>
  <c r="V1188" i="24"/>
  <c r="B1189" i="24"/>
  <c r="M1189" i="24"/>
  <c r="P1189" i="24"/>
  <c r="Q1189" i="24"/>
  <c r="V1189" i="24"/>
  <c r="B1190" i="24"/>
  <c r="M1190" i="24"/>
  <c r="P1190" i="24"/>
  <c r="Q1190" i="24"/>
  <c r="V1190" i="24"/>
  <c r="B1191" i="24"/>
  <c r="M1191" i="24"/>
  <c r="P1191" i="24"/>
  <c r="Q1191" i="24"/>
  <c r="V1191" i="24"/>
  <c r="B1192" i="24"/>
  <c r="M1192" i="24"/>
  <c r="P1192" i="24"/>
  <c r="Q1192" i="24"/>
  <c r="V1192" i="24"/>
  <c r="B1193" i="24"/>
  <c r="M1193" i="24"/>
  <c r="P1193" i="24"/>
  <c r="Q1193" i="24"/>
  <c r="V1193" i="24"/>
  <c r="B1194" i="24"/>
  <c r="M1194" i="24"/>
  <c r="P1194" i="24"/>
  <c r="Q1194" i="24"/>
  <c r="V1194" i="24"/>
  <c r="B1195" i="24"/>
  <c r="M1195" i="24"/>
  <c r="P1195" i="24"/>
  <c r="Q1195" i="24"/>
  <c r="V1195" i="24"/>
  <c r="B1196" i="24"/>
  <c r="M1196" i="24"/>
  <c r="P1196" i="24"/>
  <c r="Q1196" i="24"/>
  <c r="V1196" i="24"/>
  <c r="B1197" i="24"/>
  <c r="M1197" i="24"/>
  <c r="P1197" i="24"/>
  <c r="Q1197" i="24"/>
  <c r="V1197" i="24"/>
  <c r="B1198" i="24"/>
  <c r="M1198" i="24"/>
  <c r="P1198" i="24"/>
  <c r="Q1198" i="24"/>
  <c r="V1198" i="24"/>
  <c r="B1199" i="24"/>
  <c r="M1199" i="24"/>
  <c r="P1199" i="24"/>
  <c r="Q1199" i="24"/>
  <c r="V1199" i="24"/>
  <c r="B1200" i="24"/>
  <c r="M1200" i="24"/>
  <c r="P1200" i="24"/>
  <c r="Q1200" i="24"/>
  <c r="V1200" i="24"/>
  <c r="B1201" i="24"/>
  <c r="M1201" i="24"/>
  <c r="P1201" i="24"/>
  <c r="Q1201" i="24"/>
  <c r="V1201" i="24"/>
  <c r="B1202" i="24"/>
  <c r="M1202" i="24"/>
  <c r="P1202" i="24"/>
  <c r="Q1202" i="24"/>
  <c r="V1202" i="24"/>
  <c r="B1203" i="24"/>
  <c r="M1203" i="24"/>
  <c r="P1203" i="24"/>
  <c r="Q1203" i="24"/>
  <c r="V1203" i="24"/>
  <c r="B1204" i="24"/>
  <c r="M1204" i="24"/>
  <c r="P1204" i="24"/>
  <c r="Q1204" i="24"/>
  <c r="V1204" i="24"/>
  <c r="B1205" i="24"/>
  <c r="M1205" i="24"/>
  <c r="P1205" i="24"/>
  <c r="Q1205" i="24"/>
  <c r="V1205" i="24"/>
  <c r="B1206" i="24"/>
  <c r="M1206" i="24"/>
  <c r="P1206" i="24"/>
  <c r="Q1206" i="24"/>
  <c r="V1206" i="24"/>
  <c r="B1207" i="24"/>
  <c r="M1207" i="24"/>
  <c r="P1207" i="24"/>
  <c r="Q1207" i="24"/>
  <c r="V1207" i="24"/>
  <c r="B1208" i="24"/>
  <c r="M1208" i="24"/>
  <c r="P1208" i="24"/>
  <c r="Q1208" i="24"/>
  <c r="V1208" i="24"/>
  <c r="B1209" i="24"/>
  <c r="M1209" i="24"/>
  <c r="P1209" i="24"/>
  <c r="Q1209" i="24"/>
  <c r="V1209" i="24"/>
  <c r="B1210" i="24"/>
  <c r="M1210" i="24"/>
  <c r="P1210" i="24"/>
  <c r="Q1210" i="24"/>
  <c r="V1210" i="24"/>
  <c r="B1211" i="24"/>
  <c r="M1211" i="24"/>
  <c r="P1211" i="24"/>
  <c r="Q1211" i="24"/>
  <c r="V1211" i="24"/>
  <c r="B1212" i="24"/>
  <c r="M1212" i="24"/>
  <c r="P1212" i="24"/>
  <c r="Q1212" i="24"/>
  <c r="V1212" i="24"/>
  <c r="B1213" i="24"/>
  <c r="M1213" i="24"/>
  <c r="P1213" i="24"/>
  <c r="Q1213" i="24"/>
  <c r="V1213" i="24"/>
  <c r="B1214" i="24"/>
  <c r="M1214" i="24"/>
  <c r="P1214" i="24"/>
  <c r="Q1214" i="24"/>
  <c r="V1214" i="24"/>
  <c r="B1215" i="24"/>
  <c r="M1215" i="24"/>
  <c r="P1215" i="24"/>
  <c r="Q1215" i="24"/>
  <c r="V1215" i="24"/>
  <c r="B1216" i="24"/>
  <c r="M1216" i="24"/>
  <c r="P1216" i="24"/>
  <c r="Q1216" i="24"/>
  <c r="V1216" i="24"/>
  <c r="B1217" i="24"/>
  <c r="M1217" i="24"/>
  <c r="P1217" i="24"/>
  <c r="Q1217" i="24"/>
  <c r="V1217" i="24"/>
  <c r="B1218" i="24"/>
  <c r="M1218" i="24"/>
  <c r="P1218" i="24"/>
  <c r="Q1218" i="24"/>
  <c r="V1218" i="24"/>
  <c r="B1219" i="24"/>
  <c r="M1219" i="24"/>
  <c r="P1219" i="24"/>
  <c r="Q1219" i="24"/>
  <c r="V1219" i="24"/>
  <c r="B1220" i="24"/>
  <c r="M1220" i="24"/>
  <c r="P1220" i="24"/>
  <c r="Q1220" i="24"/>
  <c r="V1220" i="24"/>
  <c r="B1221" i="24"/>
  <c r="M1221" i="24"/>
  <c r="P1221" i="24"/>
  <c r="Q1221" i="24"/>
  <c r="V1221" i="24"/>
  <c r="B1222" i="24"/>
  <c r="M1222" i="24"/>
  <c r="P1222" i="24"/>
  <c r="Q1222" i="24"/>
  <c r="V1222" i="24"/>
  <c r="B1223" i="24"/>
  <c r="M1223" i="24"/>
  <c r="P1223" i="24"/>
  <c r="Q1223" i="24"/>
  <c r="V1223" i="24"/>
  <c r="B1224" i="24"/>
  <c r="M1224" i="24"/>
  <c r="P1224" i="24"/>
  <c r="Q1224" i="24"/>
  <c r="V1224" i="24"/>
  <c r="B1225" i="24"/>
  <c r="M1225" i="24"/>
  <c r="P1225" i="24"/>
  <c r="Q1225" i="24"/>
  <c r="V1225" i="24"/>
  <c r="B1226" i="24"/>
  <c r="M1226" i="24"/>
  <c r="P1226" i="24"/>
  <c r="Q1226" i="24"/>
  <c r="V1226" i="24"/>
  <c r="B1227" i="24"/>
  <c r="M1227" i="24"/>
  <c r="P1227" i="24"/>
  <c r="Q1227" i="24"/>
  <c r="V1227" i="24"/>
  <c r="B1228" i="24"/>
  <c r="M1228" i="24"/>
  <c r="P1228" i="24"/>
  <c r="Q1228" i="24"/>
  <c r="V1228" i="24"/>
  <c r="B1229" i="24"/>
  <c r="M1229" i="24"/>
  <c r="P1229" i="24"/>
  <c r="Q1229" i="24"/>
  <c r="V1229" i="24"/>
  <c r="B1230" i="24"/>
  <c r="M1230" i="24"/>
  <c r="P1230" i="24"/>
  <c r="Q1230" i="24"/>
  <c r="V1230" i="24"/>
  <c r="B1231" i="24"/>
  <c r="M1231" i="24"/>
  <c r="P1231" i="24"/>
  <c r="Q1231" i="24"/>
  <c r="V1231" i="24"/>
  <c r="B1232" i="24"/>
  <c r="M1232" i="24"/>
  <c r="P1232" i="24"/>
  <c r="Q1232" i="24"/>
  <c r="V1232" i="24"/>
  <c r="B1233" i="24"/>
  <c r="M1233" i="24"/>
  <c r="P1233" i="24"/>
  <c r="Q1233" i="24"/>
  <c r="V1233" i="24"/>
  <c r="B1234" i="24"/>
  <c r="M1234" i="24"/>
  <c r="P1234" i="24"/>
  <c r="Q1234" i="24"/>
  <c r="V1234" i="24"/>
  <c r="B1235" i="24"/>
  <c r="M1235" i="24"/>
  <c r="P1235" i="24"/>
  <c r="Q1235" i="24"/>
  <c r="V1235" i="24"/>
  <c r="B1236" i="24"/>
  <c r="M1236" i="24"/>
  <c r="P1236" i="24"/>
  <c r="Q1236" i="24"/>
  <c r="V1236" i="24"/>
  <c r="B1237" i="24"/>
  <c r="M1237" i="24"/>
  <c r="P1237" i="24"/>
  <c r="Q1237" i="24"/>
  <c r="V1237" i="24"/>
  <c r="B1238" i="24"/>
  <c r="M1238" i="24"/>
  <c r="P1238" i="24"/>
  <c r="Q1238" i="24"/>
  <c r="V1238" i="24"/>
  <c r="B1239" i="24"/>
  <c r="M1239" i="24"/>
  <c r="P1239" i="24"/>
  <c r="Q1239" i="24"/>
  <c r="V1239" i="24"/>
  <c r="B1240" i="24"/>
  <c r="M1240" i="24"/>
  <c r="P1240" i="24"/>
  <c r="Q1240" i="24"/>
  <c r="V1240" i="24"/>
  <c r="B1241" i="24"/>
  <c r="M1241" i="24"/>
  <c r="P1241" i="24"/>
  <c r="Q1241" i="24"/>
  <c r="V1241" i="24"/>
  <c r="B1242" i="24"/>
  <c r="M1242" i="24"/>
  <c r="P1242" i="24"/>
  <c r="Q1242" i="24"/>
  <c r="V1242" i="24"/>
  <c r="B1243" i="24"/>
  <c r="M1243" i="24"/>
  <c r="P1243" i="24"/>
  <c r="Q1243" i="24"/>
  <c r="V1243" i="24"/>
  <c r="B1244" i="24"/>
  <c r="M1244" i="24"/>
  <c r="P1244" i="24"/>
  <c r="Q1244" i="24"/>
  <c r="V1244" i="24"/>
  <c r="B1245" i="24"/>
  <c r="M1245" i="24"/>
  <c r="P1245" i="24"/>
  <c r="Q1245" i="24"/>
  <c r="V1245" i="24"/>
  <c r="B1246" i="24"/>
  <c r="M1246" i="24"/>
  <c r="P1246" i="24"/>
  <c r="Q1246" i="24"/>
  <c r="V1246" i="24"/>
  <c r="B1247" i="24"/>
  <c r="M1247" i="24"/>
  <c r="P1247" i="24"/>
  <c r="Q1247" i="24"/>
  <c r="V1247" i="24"/>
  <c r="B1248" i="24"/>
  <c r="M1248" i="24"/>
  <c r="P1248" i="24"/>
  <c r="Q1248" i="24"/>
  <c r="V1248" i="24"/>
  <c r="B1249" i="24"/>
  <c r="M1249" i="24"/>
  <c r="P1249" i="24"/>
  <c r="Q1249" i="24"/>
  <c r="V1249" i="24"/>
  <c r="B1250" i="24"/>
  <c r="M1250" i="24"/>
  <c r="P1250" i="24"/>
  <c r="Q1250" i="24"/>
  <c r="V1250" i="24"/>
  <c r="B1251" i="24"/>
  <c r="M1251" i="24"/>
  <c r="P1251" i="24"/>
  <c r="Q1251" i="24"/>
  <c r="V1251" i="24"/>
  <c r="B1252" i="24"/>
  <c r="M1252" i="24"/>
  <c r="P1252" i="24"/>
  <c r="Q1252" i="24"/>
  <c r="V1252" i="24"/>
  <c r="B1253" i="24"/>
  <c r="M1253" i="24"/>
  <c r="P1253" i="24"/>
  <c r="Q1253" i="24"/>
  <c r="V1253" i="24"/>
  <c r="B1254" i="24"/>
  <c r="M1254" i="24"/>
  <c r="P1254" i="24"/>
  <c r="Q1254" i="24"/>
  <c r="V1254" i="24"/>
  <c r="B1255" i="24"/>
  <c r="M1255" i="24"/>
  <c r="P1255" i="24"/>
  <c r="Q1255" i="24"/>
  <c r="V1255" i="24"/>
  <c r="B1256" i="24"/>
  <c r="M1256" i="24"/>
  <c r="P1256" i="24"/>
  <c r="Q1256" i="24"/>
  <c r="V1256" i="24"/>
  <c r="B1257" i="24"/>
  <c r="M1257" i="24"/>
  <c r="P1257" i="24"/>
  <c r="Q1257" i="24"/>
  <c r="V1257" i="24"/>
  <c r="B1258" i="24"/>
  <c r="M1258" i="24"/>
  <c r="P1258" i="24"/>
  <c r="Q1258" i="24"/>
  <c r="V1258" i="24"/>
  <c r="B1259" i="24"/>
  <c r="M1259" i="24"/>
  <c r="P1259" i="24"/>
  <c r="Q1259" i="24"/>
  <c r="V1259" i="24"/>
  <c r="B1260" i="24"/>
  <c r="M1260" i="24"/>
  <c r="P1260" i="24"/>
  <c r="Q1260" i="24"/>
  <c r="V1260" i="24"/>
  <c r="B1261" i="24"/>
  <c r="M1261" i="24"/>
  <c r="P1261" i="24"/>
  <c r="Q1261" i="24"/>
  <c r="V1261" i="24"/>
  <c r="B1262" i="24"/>
  <c r="M1262" i="24"/>
  <c r="P1262" i="24"/>
  <c r="Q1262" i="24"/>
  <c r="V1262" i="24"/>
  <c r="B1263" i="24"/>
  <c r="M1263" i="24"/>
  <c r="P1263" i="24"/>
  <c r="Q1263" i="24"/>
  <c r="V1263" i="24"/>
  <c r="B1264" i="24"/>
  <c r="M1264" i="24"/>
  <c r="P1264" i="24"/>
  <c r="Q1264" i="24"/>
  <c r="V1264" i="24"/>
  <c r="B1265" i="24"/>
  <c r="M1265" i="24"/>
  <c r="P1265" i="24"/>
  <c r="Q1265" i="24"/>
  <c r="V1265" i="24"/>
  <c r="B1266" i="24"/>
  <c r="M1266" i="24"/>
  <c r="P1266" i="24"/>
  <c r="Q1266" i="24"/>
  <c r="V1266" i="24"/>
  <c r="B1267" i="24"/>
  <c r="M1267" i="24"/>
  <c r="P1267" i="24"/>
  <c r="Q1267" i="24"/>
  <c r="V1267" i="24"/>
  <c r="B1268" i="24"/>
  <c r="M1268" i="24"/>
  <c r="P1268" i="24"/>
  <c r="Q1268" i="24"/>
  <c r="V1268" i="24"/>
  <c r="B1269" i="24"/>
  <c r="M1269" i="24"/>
  <c r="P1269" i="24"/>
  <c r="Q1269" i="24"/>
  <c r="V1269" i="24"/>
  <c r="B1270" i="24"/>
  <c r="M1270" i="24"/>
  <c r="P1270" i="24"/>
  <c r="Q1270" i="24"/>
  <c r="V1270" i="24"/>
  <c r="B1271" i="24"/>
  <c r="M1271" i="24"/>
  <c r="P1271" i="24"/>
  <c r="Q1271" i="24"/>
  <c r="V1271" i="24"/>
  <c r="B1272" i="24"/>
  <c r="M1272" i="24"/>
  <c r="P1272" i="24"/>
  <c r="Q1272" i="24"/>
  <c r="V1272" i="24"/>
  <c r="B1273" i="24"/>
  <c r="M1273" i="24"/>
  <c r="P1273" i="24"/>
  <c r="Q1273" i="24"/>
  <c r="V1273" i="24"/>
  <c r="B1274" i="24"/>
  <c r="M1274" i="24"/>
  <c r="P1274" i="24"/>
  <c r="Q1274" i="24"/>
  <c r="V1274" i="24"/>
  <c r="B1275" i="24"/>
  <c r="M1275" i="24"/>
  <c r="P1275" i="24"/>
  <c r="Q1275" i="24"/>
  <c r="V1275" i="24"/>
  <c r="B1276" i="24"/>
  <c r="M1276" i="24"/>
  <c r="P1276" i="24"/>
  <c r="Q1276" i="24"/>
  <c r="V1276" i="24"/>
  <c r="B1277" i="24"/>
  <c r="M1277" i="24"/>
  <c r="P1277" i="24"/>
  <c r="Q1277" i="24"/>
  <c r="V1277" i="24"/>
  <c r="B1278" i="24"/>
  <c r="M1278" i="24"/>
  <c r="P1278" i="24"/>
  <c r="Q1278" i="24"/>
  <c r="V1278" i="24"/>
  <c r="B1279" i="24"/>
  <c r="M1279" i="24"/>
  <c r="P1279" i="24"/>
  <c r="Q1279" i="24"/>
  <c r="V1279" i="24"/>
  <c r="B1280" i="24"/>
  <c r="M1280" i="24"/>
  <c r="P1280" i="24"/>
  <c r="Q1280" i="24"/>
  <c r="V1280" i="24"/>
  <c r="B1281" i="24"/>
  <c r="M1281" i="24"/>
  <c r="P1281" i="24"/>
  <c r="Q1281" i="24"/>
  <c r="V1281" i="24"/>
  <c r="B1282" i="24"/>
  <c r="M1282" i="24"/>
  <c r="P1282" i="24"/>
  <c r="Q1282" i="24"/>
  <c r="V1282" i="24"/>
  <c r="B1283" i="24"/>
  <c r="M1283" i="24"/>
  <c r="P1283" i="24"/>
  <c r="Q1283" i="24"/>
  <c r="V1283" i="24"/>
  <c r="B1284" i="24"/>
  <c r="M1284" i="24"/>
  <c r="P1284" i="24"/>
  <c r="Q1284" i="24"/>
  <c r="V1284" i="24"/>
  <c r="B1285" i="24"/>
  <c r="M1285" i="24"/>
  <c r="P1285" i="24"/>
  <c r="Q1285" i="24"/>
  <c r="V1285" i="24"/>
  <c r="B1286" i="24"/>
  <c r="M1286" i="24"/>
  <c r="P1286" i="24"/>
  <c r="Q1286" i="24"/>
  <c r="V1286" i="24"/>
  <c r="B1287" i="24"/>
  <c r="M1287" i="24"/>
  <c r="P1287" i="24"/>
  <c r="Q1287" i="24"/>
  <c r="V1287" i="24"/>
  <c r="B1288" i="24"/>
  <c r="M1288" i="24"/>
  <c r="P1288" i="24"/>
  <c r="Q1288" i="24"/>
  <c r="V1288" i="24"/>
  <c r="B1289" i="24"/>
  <c r="M1289" i="24"/>
  <c r="P1289" i="24"/>
  <c r="Q1289" i="24"/>
  <c r="V1289" i="24"/>
  <c r="B1290" i="24"/>
  <c r="M1290" i="24"/>
  <c r="P1290" i="24"/>
  <c r="Q1290" i="24"/>
  <c r="V1290" i="24"/>
  <c r="B1291" i="24"/>
  <c r="M1291" i="24"/>
  <c r="P1291" i="24"/>
  <c r="Q1291" i="24"/>
  <c r="V1291" i="24"/>
  <c r="B1292" i="24"/>
  <c r="M1292" i="24"/>
  <c r="P1292" i="24"/>
  <c r="Q1292" i="24"/>
  <c r="V1292" i="24"/>
  <c r="B1293" i="24"/>
  <c r="M1293" i="24"/>
  <c r="P1293" i="24"/>
  <c r="Q1293" i="24"/>
  <c r="V1293" i="24"/>
  <c r="B1294" i="24"/>
  <c r="M1294" i="24"/>
  <c r="P1294" i="24"/>
  <c r="Q1294" i="24"/>
  <c r="V1294" i="24"/>
  <c r="B1295" i="24"/>
  <c r="M1295" i="24"/>
  <c r="P1295" i="24"/>
  <c r="Q1295" i="24"/>
  <c r="V1295" i="24"/>
  <c r="B1296" i="24"/>
  <c r="M1296" i="24"/>
  <c r="P1296" i="24"/>
  <c r="Q1296" i="24"/>
  <c r="V1296" i="24"/>
  <c r="B1297" i="24"/>
  <c r="M1297" i="24"/>
  <c r="P1297" i="24"/>
  <c r="Q1297" i="24"/>
  <c r="V1297" i="24"/>
  <c r="B1298" i="24"/>
  <c r="M1298" i="24"/>
  <c r="P1298" i="24"/>
  <c r="Q1298" i="24"/>
  <c r="V1298" i="24"/>
  <c r="B1299" i="24"/>
  <c r="M1299" i="24"/>
  <c r="P1299" i="24"/>
  <c r="Q1299" i="24"/>
  <c r="V1299" i="24"/>
  <c r="B1300" i="24"/>
  <c r="M1300" i="24"/>
  <c r="P1300" i="24"/>
  <c r="Q1300" i="24"/>
  <c r="V1300" i="24"/>
  <c r="B1301" i="24"/>
  <c r="M1301" i="24"/>
  <c r="P1301" i="24"/>
  <c r="Q1301" i="24"/>
  <c r="V1301" i="24"/>
  <c r="B1302" i="24"/>
  <c r="M1302" i="24"/>
  <c r="P1302" i="24"/>
  <c r="Q1302" i="24"/>
  <c r="V1302" i="24"/>
  <c r="B1303" i="24"/>
  <c r="M1303" i="24"/>
  <c r="P1303" i="24"/>
  <c r="Q1303" i="24"/>
  <c r="V1303" i="24"/>
  <c r="B1304" i="24"/>
  <c r="M1304" i="24"/>
  <c r="P1304" i="24"/>
  <c r="Q1304" i="24"/>
  <c r="V1304" i="24"/>
  <c r="B1305" i="24"/>
  <c r="M1305" i="24"/>
  <c r="P1305" i="24"/>
  <c r="Q1305" i="24"/>
  <c r="V1305" i="24"/>
  <c r="B1306" i="24"/>
  <c r="M1306" i="24"/>
  <c r="P1306" i="24"/>
  <c r="Q1306" i="24"/>
  <c r="V1306" i="24"/>
  <c r="B1307" i="24"/>
  <c r="M1307" i="24"/>
  <c r="P1307" i="24"/>
  <c r="Q1307" i="24"/>
  <c r="V1307" i="24"/>
  <c r="B1308" i="24"/>
  <c r="M1308" i="24"/>
  <c r="P1308" i="24"/>
  <c r="Q1308" i="24"/>
  <c r="V1308" i="24"/>
  <c r="B1309" i="24"/>
  <c r="M1309" i="24"/>
  <c r="P1309" i="24"/>
  <c r="Q1309" i="24"/>
  <c r="V1309" i="24"/>
  <c r="B1310" i="24"/>
  <c r="M1310" i="24"/>
  <c r="P1310" i="24"/>
  <c r="Q1310" i="24"/>
  <c r="V1310" i="24"/>
  <c r="B1311" i="24"/>
  <c r="M1311" i="24"/>
  <c r="P1311" i="24"/>
  <c r="Q1311" i="24"/>
  <c r="V1311" i="24"/>
  <c r="B1312" i="24"/>
  <c r="M1312" i="24"/>
  <c r="P1312" i="24"/>
  <c r="Q1312" i="24"/>
  <c r="V1312" i="24"/>
  <c r="B1313" i="24"/>
  <c r="M1313" i="24"/>
  <c r="P1313" i="24"/>
  <c r="Q1313" i="24"/>
  <c r="V1313" i="24"/>
  <c r="B1314" i="24"/>
  <c r="M1314" i="24"/>
  <c r="P1314" i="24"/>
  <c r="Q1314" i="24"/>
  <c r="V1314" i="24"/>
  <c r="B1315" i="24"/>
  <c r="M1315" i="24"/>
  <c r="P1315" i="24"/>
  <c r="Q1315" i="24"/>
  <c r="V1315" i="24"/>
  <c r="B1316" i="24"/>
  <c r="M1316" i="24"/>
  <c r="P1316" i="24"/>
  <c r="Q1316" i="24"/>
  <c r="V1316" i="24"/>
  <c r="B1317" i="24"/>
  <c r="M1317" i="24"/>
  <c r="P1317" i="24"/>
  <c r="Q1317" i="24"/>
  <c r="V1317" i="24"/>
  <c r="B1318" i="24"/>
  <c r="M1318" i="24"/>
  <c r="P1318" i="24"/>
  <c r="Q1318" i="24"/>
  <c r="V1318" i="24"/>
  <c r="B1319" i="24"/>
  <c r="M1319" i="24"/>
  <c r="P1319" i="24"/>
  <c r="Q1319" i="24"/>
  <c r="V1319" i="24"/>
  <c r="B1320" i="24"/>
  <c r="M1320" i="24"/>
  <c r="P1320" i="24"/>
  <c r="Q1320" i="24"/>
  <c r="V1320" i="24"/>
  <c r="B1321" i="24"/>
  <c r="M1321" i="24"/>
  <c r="P1321" i="24"/>
  <c r="Q1321" i="24"/>
  <c r="V1321" i="24"/>
  <c r="B1322" i="24"/>
  <c r="M1322" i="24"/>
  <c r="P1322" i="24"/>
  <c r="Q1322" i="24"/>
  <c r="V1322" i="24"/>
  <c r="B1323" i="24"/>
  <c r="M1323" i="24"/>
  <c r="P1323" i="24"/>
  <c r="Q1323" i="24"/>
  <c r="V1323" i="24"/>
  <c r="B1324" i="24"/>
  <c r="M1324" i="24"/>
  <c r="P1324" i="24"/>
  <c r="Q1324" i="24"/>
  <c r="V1324" i="24"/>
  <c r="B1325" i="24"/>
  <c r="M1325" i="24"/>
  <c r="P1325" i="24"/>
  <c r="Q1325" i="24"/>
  <c r="V1325" i="24"/>
  <c r="B1326" i="24"/>
  <c r="M1326" i="24"/>
  <c r="P1326" i="24"/>
  <c r="Q1326" i="24"/>
  <c r="V1326" i="24"/>
  <c r="B1327" i="24"/>
  <c r="M1327" i="24"/>
  <c r="P1327" i="24"/>
  <c r="Q1327" i="24"/>
  <c r="V1327" i="24"/>
  <c r="B1328" i="24"/>
  <c r="M1328" i="24"/>
  <c r="P1328" i="24"/>
  <c r="Q1328" i="24"/>
  <c r="V1328" i="24"/>
  <c r="B1329" i="24"/>
  <c r="M1329" i="24"/>
  <c r="P1329" i="24"/>
  <c r="Q1329" i="24"/>
  <c r="V1329" i="24"/>
  <c r="B1330" i="24"/>
  <c r="M1330" i="24"/>
  <c r="P1330" i="24"/>
  <c r="Q1330" i="24"/>
  <c r="V1330" i="24"/>
  <c r="B1331" i="24"/>
  <c r="M1331" i="24"/>
  <c r="P1331" i="24"/>
  <c r="Q1331" i="24"/>
  <c r="V1331" i="24"/>
  <c r="B1332" i="24"/>
  <c r="M1332" i="24"/>
  <c r="P1332" i="24"/>
  <c r="Q1332" i="24"/>
  <c r="V1332" i="24"/>
  <c r="B1333" i="24"/>
  <c r="M1333" i="24"/>
  <c r="P1333" i="24"/>
  <c r="Q1333" i="24"/>
  <c r="V1333" i="24"/>
  <c r="B1334" i="24"/>
  <c r="M1334" i="24"/>
  <c r="P1334" i="24"/>
  <c r="Q1334" i="24"/>
  <c r="V1334" i="24"/>
  <c r="B1335" i="24"/>
  <c r="M1335" i="24"/>
  <c r="P1335" i="24"/>
  <c r="Q1335" i="24"/>
  <c r="V1335" i="24"/>
  <c r="B1336" i="24"/>
  <c r="M1336" i="24"/>
  <c r="P1336" i="24"/>
  <c r="Q1336" i="24"/>
  <c r="V1336" i="24"/>
  <c r="B1337" i="24"/>
  <c r="M1337" i="24"/>
  <c r="P1337" i="24"/>
  <c r="Q1337" i="24"/>
  <c r="V1337" i="24"/>
  <c r="B1338" i="24"/>
  <c r="M1338" i="24"/>
  <c r="P1338" i="24"/>
  <c r="Q1338" i="24"/>
  <c r="V1338" i="24"/>
  <c r="B1339" i="24"/>
  <c r="M1339" i="24"/>
  <c r="P1339" i="24"/>
  <c r="Q1339" i="24"/>
  <c r="V1339" i="24"/>
  <c r="B1340" i="24"/>
  <c r="M1340" i="24"/>
  <c r="P1340" i="24"/>
  <c r="Q1340" i="24"/>
  <c r="V1340" i="24"/>
  <c r="B1341" i="24"/>
  <c r="M1341" i="24"/>
  <c r="P1341" i="24"/>
  <c r="Q1341" i="24"/>
  <c r="V1341" i="24"/>
  <c r="B1342" i="24"/>
  <c r="M1342" i="24"/>
  <c r="P1342" i="24"/>
  <c r="Q1342" i="24"/>
  <c r="V1342" i="24"/>
  <c r="B1343" i="24"/>
  <c r="M1343" i="24"/>
  <c r="P1343" i="24"/>
  <c r="Q1343" i="24"/>
  <c r="V1343" i="24"/>
  <c r="B1344" i="24"/>
  <c r="M1344" i="24"/>
  <c r="P1344" i="24"/>
  <c r="Q1344" i="24"/>
  <c r="V1344" i="24"/>
  <c r="B1345" i="24"/>
  <c r="M1345" i="24"/>
  <c r="P1345" i="24"/>
  <c r="Q1345" i="24"/>
  <c r="V1345" i="24"/>
  <c r="B1346" i="24"/>
  <c r="M1346" i="24"/>
  <c r="P1346" i="24"/>
  <c r="Q1346" i="24"/>
  <c r="V1346" i="24"/>
  <c r="B1347" i="24"/>
  <c r="M1347" i="24"/>
  <c r="P1347" i="24"/>
  <c r="Q1347" i="24"/>
  <c r="V1347" i="24"/>
  <c r="B1348" i="24"/>
  <c r="M1348" i="24"/>
  <c r="P1348" i="24"/>
  <c r="Q1348" i="24"/>
  <c r="V1348" i="24"/>
  <c r="B1349" i="24"/>
  <c r="M1349" i="24"/>
  <c r="P1349" i="24"/>
  <c r="Q1349" i="24"/>
  <c r="V1349" i="24"/>
  <c r="B1350" i="24"/>
  <c r="M1350" i="24"/>
  <c r="P1350" i="24"/>
  <c r="Q1350" i="24"/>
  <c r="V1350" i="24"/>
  <c r="B1351" i="24"/>
  <c r="M1351" i="24"/>
  <c r="P1351" i="24"/>
  <c r="Q1351" i="24"/>
  <c r="V1351" i="24"/>
  <c r="B1352" i="24"/>
  <c r="M1352" i="24"/>
  <c r="P1352" i="24"/>
  <c r="Q1352" i="24"/>
  <c r="V1352" i="24"/>
  <c r="B1353" i="24"/>
  <c r="M1353" i="24"/>
  <c r="P1353" i="24"/>
  <c r="Q1353" i="24"/>
  <c r="V1353" i="24"/>
  <c r="B1354" i="24"/>
  <c r="M1354" i="24"/>
  <c r="P1354" i="24"/>
  <c r="Q1354" i="24"/>
  <c r="V1354" i="24"/>
  <c r="B1355" i="24"/>
  <c r="M1355" i="24"/>
  <c r="P1355" i="24"/>
  <c r="Q1355" i="24"/>
  <c r="V1355" i="24"/>
  <c r="B1356" i="24"/>
  <c r="M1356" i="24"/>
  <c r="P1356" i="24"/>
  <c r="Q1356" i="24"/>
  <c r="V1356" i="24"/>
  <c r="B1357" i="24"/>
  <c r="M1357" i="24"/>
  <c r="P1357" i="24"/>
  <c r="Q1357" i="24"/>
  <c r="V1357" i="24"/>
  <c r="B1358" i="24"/>
  <c r="M1358" i="24"/>
  <c r="P1358" i="24"/>
  <c r="Q1358" i="24"/>
  <c r="V1358" i="24"/>
  <c r="B1359" i="24"/>
  <c r="M1359" i="24"/>
  <c r="P1359" i="24"/>
  <c r="Q1359" i="24"/>
  <c r="V1359" i="24"/>
  <c r="B1360" i="24"/>
  <c r="M1360" i="24"/>
  <c r="P1360" i="24"/>
  <c r="Q1360" i="24"/>
  <c r="V1360" i="24"/>
  <c r="B1361" i="24"/>
  <c r="M1361" i="24"/>
  <c r="P1361" i="24"/>
  <c r="Q1361" i="24"/>
  <c r="V1361" i="24"/>
  <c r="B1362" i="24"/>
  <c r="M1362" i="24"/>
  <c r="P1362" i="24"/>
  <c r="Q1362" i="24"/>
  <c r="V1362" i="24"/>
  <c r="B1363" i="24"/>
  <c r="M1363" i="24"/>
  <c r="P1363" i="24"/>
  <c r="Q1363" i="24"/>
  <c r="V1363" i="24"/>
  <c r="B1364" i="24"/>
  <c r="M1364" i="24"/>
  <c r="P1364" i="24"/>
  <c r="Q1364" i="24"/>
  <c r="V1364" i="24"/>
  <c r="B1365" i="24"/>
  <c r="M1365" i="24"/>
  <c r="P1365" i="24"/>
  <c r="Q1365" i="24"/>
  <c r="V1365" i="24"/>
  <c r="B1366" i="24"/>
  <c r="M1366" i="24"/>
  <c r="P1366" i="24"/>
  <c r="Q1366" i="24"/>
  <c r="V1366" i="24"/>
  <c r="B1367" i="24"/>
  <c r="M1367" i="24"/>
  <c r="P1367" i="24"/>
  <c r="Q1367" i="24"/>
  <c r="V1367" i="24"/>
  <c r="B1368" i="24"/>
  <c r="M1368" i="24"/>
  <c r="P1368" i="24"/>
  <c r="Q1368" i="24"/>
  <c r="V1368" i="24"/>
  <c r="B1369" i="24"/>
  <c r="M1369" i="24"/>
  <c r="P1369" i="24"/>
  <c r="Q1369" i="24"/>
  <c r="V1369" i="24"/>
  <c r="B1370" i="24"/>
  <c r="M1370" i="24"/>
  <c r="P1370" i="24"/>
  <c r="Q1370" i="24"/>
  <c r="V1370" i="24"/>
  <c r="B1371" i="24"/>
  <c r="M1371" i="24"/>
  <c r="P1371" i="24"/>
  <c r="Q1371" i="24"/>
  <c r="V1371" i="24"/>
  <c r="B1372" i="24"/>
  <c r="M1372" i="24"/>
  <c r="P1372" i="24"/>
  <c r="Q1372" i="24"/>
  <c r="V1372" i="24"/>
  <c r="B1373" i="24"/>
  <c r="M1373" i="24"/>
  <c r="P1373" i="24"/>
  <c r="Q1373" i="24"/>
  <c r="V1373" i="24"/>
  <c r="B1374" i="24"/>
  <c r="M1374" i="24"/>
  <c r="P1374" i="24"/>
  <c r="Q1374" i="24"/>
  <c r="V1374" i="24"/>
  <c r="B1375" i="24"/>
  <c r="M1375" i="24"/>
  <c r="P1375" i="24"/>
  <c r="Q1375" i="24"/>
  <c r="V1375" i="24"/>
  <c r="B1376" i="24"/>
  <c r="M1376" i="24"/>
  <c r="P1376" i="24"/>
  <c r="Q1376" i="24"/>
  <c r="V1376" i="24"/>
  <c r="B1377" i="24"/>
  <c r="M1377" i="24"/>
  <c r="P1377" i="24"/>
  <c r="Q1377" i="24"/>
  <c r="V1377" i="24"/>
  <c r="B1378" i="24"/>
  <c r="M1378" i="24"/>
  <c r="P1378" i="24"/>
  <c r="Q1378" i="24"/>
  <c r="V1378" i="24"/>
  <c r="B1379" i="24"/>
  <c r="M1379" i="24"/>
  <c r="P1379" i="24"/>
  <c r="Q1379" i="24"/>
  <c r="V1379" i="24"/>
  <c r="B1380" i="24"/>
  <c r="M1380" i="24"/>
  <c r="P1380" i="24"/>
  <c r="Q1380" i="24"/>
  <c r="V1380" i="24"/>
  <c r="B1381" i="24"/>
  <c r="M1381" i="24"/>
  <c r="P1381" i="24"/>
  <c r="Q1381" i="24"/>
  <c r="V1381" i="24"/>
  <c r="B1382" i="24"/>
  <c r="M1382" i="24"/>
  <c r="P1382" i="24"/>
  <c r="Q1382" i="24"/>
  <c r="V1382" i="24"/>
  <c r="B1383" i="24"/>
  <c r="M1383" i="24"/>
  <c r="P1383" i="24"/>
  <c r="Q1383" i="24"/>
  <c r="V1383" i="24"/>
  <c r="B1384" i="24"/>
  <c r="M1384" i="24"/>
  <c r="P1384" i="24"/>
  <c r="Q1384" i="24"/>
  <c r="V1384" i="24"/>
  <c r="B1385" i="24"/>
  <c r="M1385" i="24"/>
  <c r="P1385" i="24"/>
  <c r="Q1385" i="24"/>
  <c r="V1385" i="24"/>
  <c r="B1386" i="24"/>
  <c r="M1386" i="24"/>
  <c r="P1386" i="24"/>
  <c r="Q1386" i="24"/>
  <c r="V1386" i="24"/>
  <c r="B1387" i="24"/>
  <c r="M1387" i="24"/>
  <c r="P1387" i="24"/>
  <c r="Q1387" i="24"/>
  <c r="V1387" i="24"/>
  <c r="B1388" i="24"/>
  <c r="M1388" i="24"/>
  <c r="P1388" i="24"/>
  <c r="Q1388" i="24"/>
  <c r="V1388" i="24"/>
  <c r="B1389" i="24"/>
  <c r="M1389" i="24"/>
  <c r="P1389" i="24"/>
  <c r="Q1389" i="24"/>
  <c r="V1389" i="24"/>
  <c r="B1390" i="24"/>
  <c r="M1390" i="24"/>
  <c r="P1390" i="24"/>
  <c r="Q1390" i="24"/>
  <c r="V1390" i="24"/>
  <c r="B1391" i="24"/>
  <c r="M1391" i="24"/>
  <c r="P1391" i="24"/>
  <c r="Q1391" i="24"/>
  <c r="V1391" i="24"/>
  <c r="B1392" i="24"/>
  <c r="M1392" i="24"/>
  <c r="P1392" i="24"/>
  <c r="Q1392" i="24"/>
  <c r="V1392" i="24"/>
  <c r="B1393" i="24"/>
  <c r="M1393" i="24"/>
  <c r="P1393" i="24"/>
  <c r="Q1393" i="24"/>
  <c r="V1393" i="24"/>
  <c r="B1394" i="24"/>
  <c r="M1394" i="24"/>
  <c r="P1394" i="24"/>
  <c r="Q1394" i="24"/>
  <c r="V1394" i="24"/>
  <c r="B1395" i="24"/>
  <c r="M1395" i="24"/>
  <c r="P1395" i="24"/>
  <c r="Q1395" i="24"/>
  <c r="V1395" i="24"/>
  <c r="B1396" i="24"/>
  <c r="M1396" i="24"/>
  <c r="P1396" i="24"/>
  <c r="Q1396" i="24"/>
  <c r="V1396" i="24"/>
  <c r="B1397" i="24"/>
  <c r="M1397" i="24"/>
  <c r="P1397" i="24"/>
  <c r="Q1397" i="24"/>
  <c r="V1397" i="24"/>
  <c r="B1398" i="24"/>
  <c r="M1398" i="24"/>
  <c r="P1398" i="24"/>
  <c r="Q1398" i="24"/>
  <c r="V1398" i="24"/>
  <c r="B1399" i="24"/>
  <c r="M1399" i="24"/>
  <c r="P1399" i="24"/>
  <c r="Q1399" i="24"/>
  <c r="V1399" i="24"/>
  <c r="B1400" i="24"/>
  <c r="M1400" i="24"/>
  <c r="P1400" i="24"/>
  <c r="Q1400" i="24"/>
  <c r="V1400" i="24"/>
  <c r="B1401" i="24"/>
  <c r="M1401" i="24"/>
  <c r="P1401" i="24"/>
  <c r="Q1401" i="24"/>
  <c r="V1401" i="24"/>
  <c r="B1402" i="24"/>
  <c r="M1402" i="24"/>
  <c r="P1402" i="24"/>
  <c r="Q1402" i="24"/>
  <c r="V1402" i="24"/>
  <c r="B1403" i="24"/>
  <c r="M1403" i="24"/>
  <c r="P1403" i="24"/>
  <c r="Q1403" i="24"/>
  <c r="V1403" i="24"/>
  <c r="B1404" i="24"/>
  <c r="M1404" i="24"/>
  <c r="P1404" i="24"/>
  <c r="Q1404" i="24"/>
  <c r="V1404" i="24"/>
  <c r="B1405" i="24"/>
  <c r="M1405" i="24"/>
  <c r="P1405" i="24"/>
  <c r="Q1405" i="24"/>
  <c r="V1405" i="24"/>
  <c r="B1406" i="24"/>
  <c r="M1406" i="24"/>
  <c r="P1406" i="24"/>
  <c r="Q1406" i="24"/>
  <c r="V1406" i="24"/>
  <c r="B1407" i="24"/>
  <c r="M1407" i="24"/>
  <c r="P1407" i="24"/>
  <c r="Q1407" i="24"/>
  <c r="V1407" i="24"/>
  <c r="B1408" i="24"/>
  <c r="M1408" i="24"/>
  <c r="P1408" i="24"/>
  <c r="Q1408" i="24"/>
  <c r="V1408" i="24"/>
  <c r="B1409" i="24"/>
  <c r="M1409" i="24"/>
  <c r="P1409" i="24"/>
  <c r="Q1409" i="24"/>
  <c r="V1409" i="24"/>
  <c r="B1410" i="24"/>
  <c r="M1410" i="24"/>
  <c r="P1410" i="24"/>
  <c r="Q1410" i="24"/>
  <c r="V1410" i="24"/>
  <c r="B1411" i="24"/>
  <c r="M1411" i="24"/>
  <c r="P1411" i="24"/>
  <c r="Q1411" i="24"/>
  <c r="V1411" i="24"/>
  <c r="B1412" i="24"/>
  <c r="M1412" i="24"/>
  <c r="P1412" i="24"/>
  <c r="Q1412" i="24"/>
  <c r="V1412" i="24"/>
  <c r="B1413" i="24"/>
  <c r="M1413" i="24"/>
  <c r="P1413" i="24"/>
  <c r="Q1413" i="24"/>
  <c r="V1413" i="24"/>
  <c r="B1414" i="24"/>
  <c r="M1414" i="24"/>
  <c r="P1414" i="24"/>
  <c r="Q1414" i="24"/>
  <c r="V1414" i="24"/>
  <c r="B1415" i="24"/>
  <c r="M1415" i="24"/>
  <c r="P1415" i="24"/>
  <c r="Q1415" i="24"/>
  <c r="V1415" i="24"/>
  <c r="B1416" i="24"/>
  <c r="M1416" i="24"/>
  <c r="P1416" i="24"/>
  <c r="Q1416" i="24"/>
  <c r="V1416" i="24"/>
  <c r="B1417" i="24"/>
  <c r="M1417" i="24"/>
  <c r="P1417" i="24"/>
  <c r="Q1417" i="24"/>
  <c r="V1417" i="24"/>
  <c r="B1418" i="24"/>
  <c r="M1418" i="24"/>
  <c r="P1418" i="24"/>
  <c r="Q1418" i="24"/>
  <c r="V1418" i="24"/>
  <c r="B1419" i="24"/>
  <c r="M1419" i="24"/>
  <c r="P1419" i="24"/>
  <c r="Q1419" i="24"/>
  <c r="V1419" i="24"/>
  <c r="B1420" i="24"/>
  <c r="M1420" i="24"/>
  <c r="P1420" i="24"/>
  <c r="Q1420" i="24"/>
  <c r="V1420" i="24"/>
  <c r="B1421" i="24"/>
  <c r="M1421" i="24"/>
  <c r="P1421" i="24"/>
  <c r="Q1421" i="24"/>
  <c r="V1421" i="24"/>
  <c r="B1422" i="24"/>
  <c r="M1422" i="24"/>
  <c r="P1422" i="24"/>
  <c r="Q1422" i="24"/>
  <c r="V1422" i="24"/>
  <c r="B1423" i="24"/>
  <c r="M1423" i="24"/>
  <c r="P1423" i="24"/>
  <c r="Q1423" i="24"/>
  <c r="V1423" i="24"/>
  <c r="B1424" i="24"/>
  <c r="M1424" i="24"/>
  <c r="P1424" i="24"/>
  <c r="Q1424" i="24"/>
  <c r="V1424" i="24"/>
  <c r="B1425" i="24"/>
  <c r="M1425" i="24"/>
  <c r="P1425" i="24"/>
  <c r="Q1425" i="24"/>
  <c r="V1425" i="24"/>
  <c r="B1426" i="24"/>
  <c r="M1426" i="24"/>
  <c r="P1426" i="24"/>
  <c r="Q1426" i="24"/>
  <c r="V1426" i="24"/>
  <c r="B1427" i="24"/>
  <c r="M1427" i="24"/>
  <c r="P1427" i="24"/>
  <c r="Q1427" i="24"/>
  <c r="V1427" i="24"/>
  <c r="B1428" i="24"/>
  <c r="M1428" i="24"/>
  <c r="P1428" i="24"/>
  <c r="Q1428" i="24"/>
  <c r="V1428" i="24"/>
  <c r="B1429" i="24"/>
  <c r="M1429" i="24"/>
  <c r="P1429" i="24"/>
  <c r="Q1429" i="24"/>
  <c r="V1429" i="24"/>
  <c r="B1430" i="24"/>
  <c r="M1430" i="24"/>
  <c r="P1430" i="24"/>
  <c r="Q1430" i="24"/>
  <c r="V1430" i="24"/>
  <c r="B1431" i="24"/>
  <c r="M1431" i="24"/>
  <c r="P1431" i="24"/>
  <c r="Q1431" i="24"/>
  <c r="V1431" i="24"/>
  <c r="B1432" i="24"/>
  <c r="M1432" i="24"/>
  <c r="P1432" i="24"/>
  <c r="Q1432" i="24"/>
  <c r="V1432" i="24"/>
  <c r="B1433" i="24"/>
  <c r="M1433" i="24"/>
  <c r="P1433" i="24"/>
  <c r="Q1433" i="24"/>
  <c r="V1433" i="24"/>
  <c r="B1434" i="24"/>
  <c r="M1434" i="24"/>
  <c r="P1434" i="24"/>
  <c r="Q1434" i="24"/>
  <c r="V1434" i="24"/>
  <c r="B1435" i="24"/>
  <c r="M1435" i="24"/>
  <c r="P1435" i="24"/>
  <c r="Q1435" i="24"/>
  <c r="V1435" i="24"/>
  <c r="B1436" i="24"/>
  <c r="M1436" i="24"/>
  <c r="P1436" i="24"/>
  <c r="Q1436" i="24"/>
  <c r="V1436" i="24"/>
  <c r="B1437" i="24"/>
  <c r="M1437" i="24"/>
  <c r="P1437" i="24"/>
  <c r="Q1437" i="24"/>
  <c r="V1437" i="24"/>
  <c r="B1438" i="24"/>
  <c r="M1438" i="24"/>
  <c r="P1438" i="24"/>
  <c r="Q1438" i="24"/>
  <c r="V1438" i="24"/>
  <c r="B1439" i="24"/>
  <c r="M1439" i="24"/>
  <c r="P1439" i="24"/>
  <c r="Q1439" i="24"/>
  <c r="V1439" i="24"/>
  <c r="B1440" i="24"/>
  <c r="M1440" i="24"/>
  <c r="P1440" i="24"/>
  <c r="Q1440" i="24"/>
  <c r="V1440" i="24"/>
  <c r="B1441" i="24"/>
  <c r="M1441" i="24"/>
  <c r="P1441" i="24"/>
  <c r="Q1441" i="24"/>
  <c r="V1441" i="24"/>
  <c r="B1442" i="24"/>
  <c r="M1442" i="24"/>
  <c r="P1442" i="24"/>
  <c r="Q1442" i="24"/>
  <c r="V1442" i="24"/>
  <c r="B1443" i="24"/>
  <c r="M1443" i="24"/>
  <c r="P1443" i="24"/>
  <c r="Q1443" i="24"/>
  <c r="V1443" i="24"/>
  <c r="B1444" i="24"/>
  <c r="M1444" i="24"/>
  <c r="P1444" i="24"/>
  <c r="Q1444" i="24"/>
  <c r="V1444" i="24"/>
  <c r="B1445" i="24"/>
  <c r="M1445" i="24"/>
  <c r="P1445" i="24"/>
  <c r="Q1445" i="24"/>
  <c r="V1445" i="24"/>
  <c r="B1446" i="24"/>
  <c r="M1446" i="24"/>
  <c r="P1446" i="24"/>
  <c r="Q1446" i="24"/>
  <c r="V1446" i="24"/>
  <c r="B1447" i="24"/>
  <c r="M1447" i="24"/>
  <c r="P1447" i="24"/>
  <c r="Q1447" i="24"/>
  <c r="V1447" i="24"/>
  <c r="B1448" i="24"/>
  <c r="M1448" i="24"/>
  <c r="P1448" i="24"/>
  <c r="Q1448" i="24"/>
  <c r="V1448" i="24"/>
  <c r="B1449" i="24"/>
  <c r="M1449" i="24"/>
  <c r="P1449" i="24"/>
  <c r="Q1449" i="24"/>
  <c r="V1449" i="24"/>
  <c r="B1450" i="24"/>
  <c r="M1450" i="24"/>
  <c r="P1450" i="24"/>
  <c r="Q1450" i="24"/>
  <c r="V1450" i="24"/>
  <c r="B1451" i="24"/>
  <c r="M1451" i="24"/>
  <c r="P1451" i="24"/>
  <c r="Q1451" i="24"/>
  <c r="V1451" i="24"/>
  <c r="B1452" i="24"/>
  <c r="M1452" i="24"/>
  <c r="P1452" i="24"/>
  <c r="Q1452" i="24"/>
  <c r="V1452" i="24"/>
  <c r="B1453" i="24"/>
  <c r="M1453" i="24"/>
  <c r="P1453" i="24"/>
  <c r="Q1453" i="24"/>
  <c r="V1453" i="24"/>
  <c r="B1454" i="24"/>
  <c r="M1454" i="24"/>
  <c r="P1454" i="24"/>
  <c r="Q1454" i="24"/>
  <c r="V1454" i="24"/>
  <c r="B1455" i="24"/>
  <c r="M1455" i="24"/>
  <c r="P1455" i="24"/>
  <c r="Q1455" i="24"/>
  <c r="V1455" i="24"/>
  <c r="B1456" i="24"/>
  <c r="M1456" i="24"/>
  <c r="P1456" i="24"/>
  <c r="Q1456" i="24"/>
  <c r="V1456" i="24"/>
  <c r="B1457" i="24"/>
  <c r="M1457" i="24"/>
  <c r="P1457" i="24"/>
  <c r="Q1457" i="24"/>
  <c r="V1457" i="24"/>
  <c r="B1458" i="24"/>
  <c r="M1458" i="24"/>
  <c r="P1458" i="24"/>
  <c r="Q1458" i="24"/>
  <c r="V1458" i="24"/>
  <c r="B1459" i="24"/>
  <c r="M1459" i="24"/>
  <c r="P1459" i="24"/>
  <c r="Q1459" i="24"/>
  <c r="V1459" i="24"/>
  <c r="B1460" i="24"/>
  <c r="M1460" i="24"/>
  <c r="P1460" i="24"/>
  <c r="Q1460" i="24"/>
  <c r="V1460" i="24"/>
  <c r="B1461" i="24"/>
  <c r="M1461" i="24"/>
  <c r="P1461" i="24"/>
  <c r="Q1461" i="24"/>
  <c r="V1461" i="24"/>
  <c r="B1462" i="24"/>
  <c r="M1462" i="24"/>
  <c r="P1462" i="24"/>
  <c r="Q1462" i="24"/>
  <c r="V1462" i="24"/>
  <c r="B1463" i="24"/>
  <c r="M1463" i="24"/>
  <c r="P1463" i="24"/>
  <c r="Q1463" i="24"/>
  <c r="V1463" i="24"/>
  <c r="B1464" i="24"/>
  <c r="M1464" i="24"/>
  <c r="P1464" i="24"/>
  <c r="Q1464" i="24"/>
  <c r="V1464" i="24"/>
  <c r="B1465" i="24"/>
  <c r="M1465" i="24"/>
  <c r="P1465" i="24"/>
  <c r="Q1465" i="24"/>
  <c r="V1465" i="24"/>
  <c r="B1466" i="24"/>
  <c r="M1466" i="24"/>
  <c r="P1466" i="24"/>
  <c r="Q1466" i="24"/>
  <c r="V1466" i="24"/>
  <c r="B1467" i="24"/>
  <c r="M1467" i="24"/>
  <c r="P1467" i="24"/>
  <c r="Q1467" i="24"/>
  <c r="V1467" i="24"/>
  <c r="B1468" i="24"/>
  <c r="M1468" i="24"/>
  <c r="P1468" i="24"/>
  <c r="Q1468" i="24"/>
  <c r="V1468" i="24"/>
  <c r="B1469" i="24"/>
  <c r="M1469" i="24"/>
  <c r="P1469" i="24"/>
  <c r="Q1469" i="24"/>
  <c r="V1469" i="24"/>
  <c r="B1470" i="24"/>
  <c r="M1470" i="24"/>
  <c r="P1470" i="24"/>
  <c r="Q1470" i="24"/>
  <c r="V1470" i="24"/>
  <c r="B1471" i="24"/>
  <c r="M1471" i="24"/>
  <c r="P1471" i="24"/>
  <c r="Q1471" i="24"/>
  <c r="V1471" i="24"/>
  <c r="B1472" i="24"/>
  <c r="M1472" i="24"/>
  <c r="P1472" i="24"/>
  <c r="Q1472" i="24"/>
  <c r="V1472" i="24"/>
  <c r="B1473" i="24"/>
  <c r="M1473" i="24"/>
  <c r="P1473" i="24"/>
  <c r="Q1473" i="24"/>
  <c r="V1473" i="24"/>
  <c r="B1474" i="24"/>
  <c r="M1474" i="24"/>
  <c r="P1474" i="24"/>
  <c r="Q1474" i="24"/>
  <c r="V1474" i="24"/>
  <c r="B1475" i="24"/>
  <c r="M1475" i="24"/>
  <c r="P1475" i="24"/>
  <c r="Q1475" i="24"/>
  <c r="V1475" i="24"/>
  <c r="B1476" i="24"/>
  <c r="M1476" i="24"/>
  <c r="P1476" i="24"/>
  <c r="Q1476" i="24"/>
  <c r="V1476" i="24"/>
  <c r="B1477" i="24"/>
  <c r="M1477" i="24"/>
  <c r="P1477" i="24"/>
  <c r="Q1477" i="24"/>
  <c r="V1477" i="24"/>
  <c r="B1478" i="24"/>
  <c r="M1478" i="24"/>
  <c r="P1478" i="24"/>
  <c r="Q1478" i="24"/>
  <c r="V1478" i="24"/>
  <c r="B1479" i="24"/>
  <c r="M1479" i="24"/>
  <c r="P1479" i="24"/>
  <c r="Q1479" i="24"/>
  <c r="V1479" i="24"/>
  <c r="B1480" i="24"/>
  <c r="M1480" i="24"/>
  <c r="P1480" i="24"/>
  <c r="Q1480" i="24"/>
  <c r="V1480" i="24"/>
  <c r="B1481" i="24"/>
  <c r="M1481" i="24"/>
  <c r="P1481" i="24"/>
  <c r="Q1481" i="24"/>
  <c r="V1481" i="24"/>
  <c r="B1482" i="24"/>
  <c r="M1482" i="24"/>
  <c r="P1482" i="24"/>
  <c r="Q1482" i="24"/>
  <c r="V1482" i="24"/>
  <c r="B1483" i="24"/>
  <c r="M1483" i="24"/>
  <c r="P1483" i="24"/>
  <c r="Q1483" i="24"/>
  <c r="V1483" i="24"/>
  <c r="B1484" i="24"/>
  <c r="M1484" i="24"/>
  <c r="P1484" i="24"/>
  <c r="Q1484" i="24"/>
  <c r="V1484" i="24"/>
  <c r="B1485" i="24"/>
  <c r="M1485" i="24"/>
  <c r="P1485" i="24"/>
  <c r="Q1485" i="24"/>
  <c r="V1485" i="24"/>
  <c r="B1486" i="24"/>
  <c r="M1486" i="24"/>
  <c r="P1486" i="24"/>
  <c r="Q1486" i="24"/>
  <c r="V1486" i="24"/>
  <c r="B1487" i="24"/>
  <c r="M1487" i="24"/>
  <c r="P1487" i="24"/>
  <c r="Q1487" i="24"/>
  <c r="V1487" i="24"/>
  <c r="B1488" i="24"/>
  <c r="M1488" i="24"/>
  <c r="P1488" i="24"/>
  <c r="Q1488" i="24"/>
  <c r="V1488" i="24"/>
  <c r="B1489" i="24"/>
  <c r="M1489" i="24"/>
  <c r="P1489" i="24"/>
  <c r="Q1489" i="24"/>
  <c r="V1489" i="24"/>
  <c r="B1490" i="24"/>
  <c r="M1490" i="24"/>
  <c r="P1490" i="24"/>
  <c r="Q1490" i="24"/>
  <c r="V1490" i="24"/>
  <c r="B1491" i="24"/>
  <c r="M1491" i="24"/>
  <c r="P1491" i="24"/>
  <c r="Q1491" i="24"/>
  <c r="V1491" i="24"/>
  <c r="B1492" i="24"/>
  <c r="M1492" i="24"/>
  <c r="P1492" i="24"/>
  <c r="Q1492" i="24"/>
  <c r="V1492" i="24"/>
  <c r="B1493" i="24"/>
  <c r="M1493" i="24"/>
  <c r="P1493" i="24"/>
  <c r="Q1493" i="24"/>
  <c r="V1493" i="24"/>
  <c r="B1494" i="24"/>
  <c r="M1494" i="24"/>
  <c r="P1494" i="24"/>
  <c r="Q1494" i="24"/>
  <c r="V1494" i="24"/>
  <c r="B1495" i="24"/>
  <c r="M1495" i="24"/>
  <c r="P1495" i="24"/>
  <c r="Q1495" i="24"/>
  <c r="V1495" i="24"/>
  <c r="B1496" i="24"/>
  <c r="M1496" i="24"/>
  <c r="P1496" i="24"/>
  <c r="Q1496" i="24"/>
  <c r="V1496" i="24"/>
  <c r="B1497" i="24"/>
  <c r="M1497" i="24"/>
  <c r="P1497" i="24"/>
  <c r="Q1497" i="24"/>
  <c r="V1497" i="24"/>
  <c r="B1498" i="24"/>
  <c r="M1498" i="24"/>
  <c r="P1498" i="24"/>
  <c r="Q1498" i="24"/>
  <c r="V1498" i="24"/>
  <c r="B1499" i="24"/>
  <c r="M1499" i="24"/>
  <c r="P1499" i="24"/>
  <c r="Q1499" i="24"/>
  <c r="V1499" i="24"/>
  <c r="B1500" i="24"/>
  <c r="M1500" i="24"/>
  <c r="P1500" i="24"/>
  <c r="Q1500" i="24"/>
  <c r="V1500" i="24"/>
  <c r="B1501" i="24"/>
  <c r="M1501" i="24"/>
  <c r="P1501" i="24"/>
  <c r="Q1501" i="24"/>
  <c r="V1501" i="24"/>
  <c r="B1502" i="24"/>
  <c r="M1502" i="24"/>
  <c r="P1502" i="24"/>
  <c r="Q1502" i="24"/>
  <c r="V1502" i="24"/>
  <c r="B1503" i="24"/>
  <c r="M1503" i="24"/>
  <c r="P1503" i="24"/>
  <c r="Q1503" i="24"/>
  <c r="V1503" i="24"/>
  <c r="B1504" i="24"/>
  <c r="M1504" i="24"/>
  <c r="P1504" i="24"/>
  <c r="Q1504" i="24"/>
  <c r="V1504" i="24"/>
  <c r="B1505" i="24"/>
  <c r="M1505" i="24"/>
  <c r="P1505" i="24"/>
  <c r="Q1505" i="24"/>
  <c r="V1505" i="24"/>
  <c r="B1506" i="24"/>
  <c r="M1506" i="24"/>
  <c r="P1506" i="24"/>
  <c r="Q1506" i="24"/>
  <c r="V1506" i="24"/>
  <c r="B1507" i="24"/>
  <c r="M1507" i="24"/>
  <c r="P1507" i="24"/>
  <c r="Q1507" i="24"/>
  <c r="V1507" i="24"/>
  <c r="B1508" i="24"/>
  <c r="M1508" i="24"/>
  <c r="P1508" i="24"/>
  <c r="Q1508" i="24"/>
  <c r="V1508" i="24"/>
  <c r="B1509" i="24"/>
  <c r="M1509" i="24"/>
  <c r="P1509" i="24"/>
  <c r="Q1509" i="24"/>
  <c r="V1509" i="24"/>
  <c r="B1510" i="24"/>
  <c r="M1510" i="24"/>
  <c r="P1510" i="24"/>
  <c r="Q1510" i="24"/>
  <c r="V1510" i="24"/>
  <c r="B1511" i="24"/>
  <c r="M1511" i="24"/>
  <c r="P1511" i="24"/>
  <c r="Q1511" i="24"/>
  <c r="V1511" i="24"/>
  <c r="B1512" i="24"/>
  <c r="M1512" i="24"/>
  <c r="P1512" i="24"/>
  <c r="Q1512" i="24"/>
  <c r="V1512" i="24"/>
  <c r="B1513" i="24"/>
  <c r="M1513" i="24"/>
  <c r="P1513" i="24"/>
  <c r="Q1513" i="24"/>
  <c r="V1513" i="24"/>
  <c r="B1514" i="24"/>
  <c r="M1514" i="24"/>
  <c r="P1514" i="24"/>
  <c r="Q1514" i="24"/>
  <c r="V1514" i="24"/>
  <c r="B1515" i="24"/>
  <c r="M1515" i="24"/>
  <c r="P1515" i="24"/>
  <c r="Q1515" i="24"/>
  <c r="V1515" i="24"/>
  <c r="B1516" i="24"/>
  <c r="M1516" i="24"/>
  <c r="P1516" i="24"/>
  <c r="Q1516" i="24"/>
  <c r="V1516" i="24"/>
  <c r="B1517" i="24"/>
  <c r="M1517" i="24"/>
  <c r="P1517" i="24"/>
  <c r="Q1517" i="24"/>
  <c r="V1517" i="24"/>
  <c r="B1518" i="24"/>
  <c r="M1518" i="24"/>
  <c r="P1518" i="24"/>
  <c r="Q1518" i="24"/>
  <c r="V1518" i="24"/>
  <c r="B1519" i="24"/>
  <c r="M1519" i="24"/>
  <c r="P1519" i="24"/>
  <c r="Q1519" i="24"/>
  <c r="V1519" i="24"/>
  <c r="B1520" i="24"/>
  <c r="M1520" i="24"/>
  <c r="P1520" i="24"/>
  <c r="Q1520" i="24"/>
  <c r="V1520" i="24"/>
  <c r="B1521" i="24"/>
  <c r="M1521" i="24"/>
  <c r="P1521" i="24"/>
  <c r="Q1521" i="24"/>
  <c r="V1521" i="24"/>
  <c r="B1522" i="24"/>
  <c r="M1522" i="24"/>
  <c r="P1522" i="24"/>
  <c r="Q1522" i="24"/>
  <c r="V1522" i="24"/>
  <c r="B1523" i="24"/>
  <c r="M1523" i="24"/>
  <c r="P1523" i="24"/>
  <c r="Q1523" i="24"/>
  <c r="V1523" i="24"/>
  <c r="B1524" i="24"/>
  <c r="M1524" i="24"/>
  <c r="P1524" i="24"/>
  <c r="Q1524" i="24"/>
  <c r="V1524" i="24"/>
  <c r="B1525" i="24"/>
  <c r="M1525" i="24"/>
  <c r="P1525" i="24"/>
  <c r="Q1525" i="24"/>
  <c r="V1525" i="24"/>
  <c r="B1526" i="24"/>
  <c r="M1526" i="24"/>
  <c r="P1526" i="24"/>
  <c r="Q1526" i="24"/>
  <c r="V1526" i="24"/>
  <c r="B1527" i="24"/>
  <c r="M1527" i="24"/>
  <c r="P1527" i="24"/>
  <c r="Q1527" i="24"/>
  <c r="V1527" i="24"/>
  <c r="B1528" i="24"/>
  <c r="M1528" i="24"/>
  <c r="P1528" i="24"/>
  <c r="Q1528" i="24"/>
  <c r="V1528" i="24"/>
  <c r="B1529" i="24"/>
  <c r="M1529" i="24"/>
  <c r="P1529" i="24"/>
  <c r="Q1529" i="24"/>
  <c r="V1529" i="24"/>
  <c r="B1530" i="24"/>
  <c r="M1530" i="24"/>
  <c r="P1530" i="24"/>
  <c r="Q1530" i="24"/>
  <c r="V1530" i="24"/>
  <c r="B1531" i="24"/>
  <c r="M1531" i="24"/>
  <c r="P1531" i="24"/>
  <c r="Q1531" i="24"/>
  <c r="V1531" i="24"/>
  <c r="B1532" i="24"/>
  <c r="M1532" i="24"/>
  <c r="P1532" i="24"/>
  <c r="Q1532" i="24"/>
  <c r="V1532" i="24"/>
  <c r="B1533" i="24"/>
  <c r="M1533" i="24"/>
  <c r="P1533" i="24"/>
  <c r="Q1533" i="24"/>
  <c r="V1533" i="24"/>
  <c r="B1534" i="24"/>
  <c r="M1534" i="24"/>
  <c r="P1534" i="24"/>
  <c r="Q1534" i="24"/>
  <c r="V1534" i="24"/>
  <c r="B1535" i="24"/>
  <c r="M1535" i="24"/>
  <c r="P1535" i="24"/>
  <c r="Q1535" i="24"/>
  <c r="V1535" i="24"/>
  <c r="B1536" i="24"/>
  <c r="M1536" i="24"/>
  <c r="P1536" i="24"/>
  <c r="Q1536" i="24"/>
  <c r="V1536" i="24"/>
  <c r="B1537" i="24"/>
  <c r="M1537" i="24"/>
  <c r="P1537" i="24"/>
  <c r="Q1537" i="24"/>
  <c r="V1537" i="24"/>
  <c r="B1538" i="24"/>
  <c r="M1538" i="24"/>
  <c r="P1538" i="24"/>
  <c r="Q1538" i="24"/>
  <c r="V1538" i="24"/>
  <c r="B1539" i="24"/>
  <c r="M1539" i="24"/>
  <c r="P1539" i="24"/>
  <c r="Q1539" i="24"/>
  <c r="V1539" i="24"/>
  <c r="B1540" i="24"/>
  <c r="M1540" i="24"/>
  <c r="P1540" i="24"/>
  <c r="Q1540" i="24"/>
  <c r="V1540" i="24"/>
  <c r="B1541" i="24"/>
  <c r="M1541" i="24"/>
  <c r="P1541" i="24"/>
  <c r="Q1541" i="24"/>
  <c r="V1541" i="24"/>
  <c r="B1542" i="24"/>
  <c r="M1542" i="24"/>
  <c r="P1542" i="24"/>
  <c r="Q1542" i="24"/>
  <c r="V1542" i="24"/>
  <c r="B1543" i="24"/>
  <c r="M1543" i="24"/>
  <c r="P1543" i="24"/>
  <c r="Q1543" i="24"/>
  <c r="V1543" i="24"/>
  <c r="B1544" i="24"/>
  <c r="M1544" i="24"/>
  <c r="P1544" i="24"/>
  <c r="Q1544" i="24"/>
  <c r="V1544" i="24"/>
  <c r="B1545" i="24"/>
  <c r="M1545" i="24"/>
  <c r="P1545" i="24"/>
  <c r="Q1545" i="24"/>
  <c r="V1545" i="24"/>
  <c r="B1546" i="24"/>
  <c r="M1546" i="24"/>
  <c r="P1546" i="24"/>
  <c r="Q1546" i="24"/>
  <c r="V1546" i="24"/>
  <c r="B1547" i="24"/>
  <c r="M1547" i="24"/>
  <c r="P1547" i="24"/>
  <c r="Q1547" i="24"/>
  <c r="V1547" i="24"/>
  <c r="B1548" i="24"/>
  <c r="M1548" i="24"/>
  <c r="P1548" i="24"/>
  <c r="Q1548" i="24"/>
  <c r="V1548" i="24"/>
  <c r="B1549" i="24"/>
  <c r="M1549" i="24"/>
  <c r="P1549" i="24"/>
  <c r="Q1549" i="24"/>
  <c r="V1549" i="24"/>
  <c r="B1550" i="24"/>
  <c r="M1550" i="24"/>
  <c r="P1550" i="24"/>
  <c r="Q1550" i="24"/>
  <c r="V1550" i="24"/>
  <c r="B1551" i="24"/>
  <c r="M1551" i="24"/>
  <c r="P1551" i="24"/>
  <c r="Q1551" i="24"/>
  <c r="V1551" i="24"/>
  <c r="B1552" i="24"/>
  <c r="M1552" i="24"/>
  <c r="P1552" i="24"/>
  <c r="Q1552" i="24"/>
  <c r="V1552" i="24"/>
  <c r="B1553" i="24"/>
  <c r="M1553" i="24"/>
  <c r="P1553" i="24"/>
  <c r="Q1553" i="24"/>
  <c r="V1553" i="24"/>
  <c r="B1554" i="24"/>
  <c r="M1554" i="24"/>
  <c r="P1554" i="24"/>
  <c r="Q1554" i="24"/>
  <c r="V1554" i="24"/>
  <c r="B1555" i="24"/>
  <c r="M1555" i="24"/>
  <c r="P1555" i="24"/>
  <c r="Q1555" i="24"/>
  <c r="V1555" i="24"/>
  <c r="B1556" i="24"/>
  <c r="M1556" i="24"/>
  <c r="P1556" i="24"/>
  <c r="Q1556" i="24"/>
  <c r="V1556" i="24"/>
  <c r="B1557" i="24"/>
  <c r="M1557" i="24"/>
  <c r="P1557" i="24"/>
  <c r="Q1557" i="24"/>
  <c r="V1557" i="24"/>
  <c r="B1558" i="24"/>
  <c r="M1558" i="24"/>
  <c r="P1558" i="24"/>
  <c r="Q1558" i="24"/>
  <c r="V1558" i="24"/>
  <c r="B1559" i="24"/>
  <c r="M1559" i="24"/>
  <c r="P1559" i="24"/>
  <c r="Q1559" i="24"/>
  <c r="V1559" i="24"/>
  <c r="B1560" i="24"/>
  <c r="M1560" i="24"/>
  <c r="P1560" i="24"/>
  <c r="Q1560" i="24"/>
  <c r="V1560" i="24"/>
  <c r="B1561" i="24"/>
  <c r="M1561" i="24"/>
  <c r="P1561" i="24"/>
  <c r="Q1561" i="24"/>
  <c r="V1561" i="24"/>
  <c r="B1562" i="24"/>
  <c r="M1562" i="24"/>
  <c r="P1562" i="24"/>
  <c r="Q1562" i="24"/>
  <c r="V1562" i="24"/>
  <c r="B1563" i="24"/>
  <c r="M1563" i="24"/>
  <c r="P1563" i="24"/>
  <c r="Q1563" i="24"/>
  <c r="V1563" i="24"/>
  <c r="B1564" i="24"/>
  <c r="M1564" i="24"/>
  <c r="P1564" i="24"/>
  <c r="Q1564" i="24"/>
  <c r="V1564" i="24"/>
  <c r="B1565" i="24"/>
  <c r="M1565" i="24"/>
  <c r="P1565" i="24"/>
  <c r="Q1565" i="24"/>
  <c r="V1565" i="24"/>
  <c r="B1566" i="24"/>
  <c r="M1566" i="24"/>
  <c r="P1566" i="24"/>
  <c r="Q1566" i="24"/>
  <c r="V1566" i="24"/>
  <c r="B1567" i="24"/>
  <c r="M1567" i="24"/>
  <c r="P1567" i="24"/>
  <c r="Q1567" i="24"/>
  <c r="V1567" i="24"/>
  <c r="B1568" i="24"/>
  <c r="M1568" i="24"/>
  <c r="P1568" i="24"/>
  <c r="Q1568" i="24"/>
  <c r="V1568" i="24"/>
  <c r="B1569" i="24"/>
  <c r="M1569" i="24"/>
  <c r="P1569" i="24"/>
  <c r="Q1569" i="24"/>
  <c r="V1569" i="24"/>
  <c r="B1570" i="24"/>
  <c r="M1570" i="24"/>
  <c r="P1570" i="24"/>
  <c r="Q1570" i="24"/>
  <c r="V1570" i="24"/>
  <c r="B1571" i="24"/>
  <c r="M1571" i="24"/>
  <c r="P1571" i="24"/>
  <c r="Q1571" i="24"/>
  <c r="V1571" i="24"/>
  <c r="B1572" i="24"/>
  <c r="M1572" i="24"/>
  <c r="P1572" i="24"/>
  <c r="Q1572" i="24"/>
  <c r="V1572" i="24"/>
  <c r="B1573" i="24"/>
  <c r="M1573" i="24"/>
  <c r="P1573" i="24"/>
  <c r="Q1573" i="24"/>
  <c r="V1573" i="24"/>
  <c r="B1574" i="24"/>
  <c r="M1574" i="24"/>
  <c r="P1574" i="24"/>
  <c r="Q1574" i="24"/>
  <c r="V1574" i="24"/>
  <c r="B1575" i="24"/>
  <c r="M1575" i="24"/>
  <c r="P1575" i="24"/>
  <c r="Q1575" i="24"/>
  <c r="V1575" i="24"/>
  <c r="B1576" i="24"/>
  <c r="M1576" i="24"/>
  <c r="P1576" i="24"/>
  <c r="Q1576" i="24"/>
  <c r="V1576" i="24"/>
  <c r="B1577" i="24"/>
  <c r="M1577" i="24"/>
  <c r="P1577" i="24"/>
  <c r="Q1577" i="24"/>
  <c r="V1577" i="24"/>
  <c r="B1578" i="24"/>
  <c r="M1578" i="24"/>
  <c r="P1578" i="24"/>
  <c r="Q1578" i="24"/>
  <c r="V1578" i="24"/>
  <c r="B1579" i="24"/>
  <c r="M1579" i="24"/>
  <c r="P1579" i="24"/>
  <c r="Q1579" i="24"/>
  <c r="V1579" i="24"/>
  <c r="B1580" i="24"/>
  <c r="M1580" i="24"/>
  <c r="P1580" i="24"/>
  <c r="Q1580" i="24"/>
  <c r="V1580" i="24"/>
  <c r="B1581" i="24"/>
  <c r="M1581" i="24"/>
  <c r="P1581" i="24"/>
  <c r="Q1581" i="24"/>
  <c r="V1581" i="24"/>
  <c r="B1582" i="24"/>
  <c r="M1582" i="24"/>
  <c r="P1582" i="24"/>
  <c r="Q1582" i="24"/>
  <c r="V1582" i="24"/>
  <c r="B1583" i="24"/>
  <c r="M1583" i="24"/>
  <c r="P1583" i="24"/>
  <c r="Q1583" i="24"/>
  <c r="V1583" i="24"/>
  <c r="B1584" i="24"/>
  <c r="M1584" i="24"/>
  <c r="P1584" i="24"/>
  <c r="Q1584" i="24"/>
  <c r="V1584" i="24"/>
  <c r="B1585" i="24"/>
  <c r="M1585" i="24"/>
  <c r="P1585" i="24"/>
  <c r="Q1585" i="24"/>
  <c r="V1585" i="24"/>
  <c r="B1586" i="24"/>
  <c r="M1586" i="24"/>
  <c r="P1586" i="24"/>
  <c r="Q1586" i="24"/>
  <c r="V1586" i="24"/>
  <c r="B1587" i="24"/>
  <c r="M1587" i="24"/>
  <c r="P1587" i="24"/>
  <c r="Q1587" i="24"/>
  <c r="V1587" i="24"/>
  <c r="B1588" i="24"/>
  <c r="M1588" i="24"/>
  <c r="P1588" i="24"/>
  <c r="Q1588" i="24"/>
  <c r="V1588" i="24"/>
  <c r="B1589" i="24"/>
  <c r="M1589" i="24"/>
  <c r="P1589" i="24"/>
  <c r="Q1589" i="24"/>
  <c r="V1589" i="24"/>
  <c r="B1590" i="24"/>
  <c r="M1590" i="24"/>
  <c r="P1590" i="24"/>
  <c r="Q1590" i="24"/>
  <c r="V1590" i="24"/>
  <c r="B1591" i="24"/>
  <c r="M1591" i="24"/>
  <c r="P1591" i="24"/>
  <c r="Q1591" i="24"/>
  <c r="V1591" i="24"/>
  <c r="B1592" i="24"/>
  <c r="M1592" i="24"/>
  <c r="P1592" i="24"/>
  <c r="Q1592" i="24"/>
  <c r="V1592" i="24"/>
  <c r="B1593" i="24"/>
  <c r="M1593" i="24"/>
  <c r="P1593" i="24"/>
  <c r="Q1593" i="24"/>
  <c r="V1593" i="24"/>
  <c r="B1594" i="24"/>
  <c r="M1594" i="24"/>
  <c r="P1594" i="24"/>
  <c r="Q1594" i="24"/>
  <c r="V1594" i="24"/>
  <c r="B1595" i="24"/>
  <c r="M1595" i="24"/>
  <c r="P1595" i="24"/>
  <c r="Q1595" i="24"/>
  <c r="V1595" i="24"/>
  <c r="B1596" i="24"/>
  <c r="M1596" i="24"/>
  <c r="P1596" i="24"/>
  <c r="Q1596" i="24"/>
  <c r="V1596" i="24"/>
  <c r="B1597" i="24"/>
  <c r="M1597" i="24"/>
  <c r="P1597" i="24"/>
  <c r="Q1597" i="24"/>
  <c r="V1597" i="24"/>
  <c r="B1598" i="24"/>
  <c r="M1598" i="24"/>
  <c r="P1598" i="24"/>
  <c r="Q1598" i="24"/>
  <c r="V1598" i="24"/>
  <c r="B1599" i="24"/>
  <c r="M1599" i="24"/>
  <c r="P1599" i="24"/>
  <c r="Q1599" i="24"/>
  <c r="V1599" i="24"/>
  <c r="B1600" i="24"/>
  <c r="M1600" i="24"/>
  <c r="P1600" i="24"/>
  <c r="Q1600" i="24"/>
  <c r="V1600" i="24"/>
  <c r="B1601" i="24"/>
  <c r="M1601" i="24"/>
  <c r="P1601" i="24"/>
  <c r="Q1601" i="24"/>
  <c r="V1601" i="24"/>
  <c r="B1602" i="24"/>
  <c r="M1602" i="24"/>
  <c r="P1602" i="24"/>
  <c r="Q1602" i="24"/>
  <c r="V1602" i="24"/>
  <c r="B1603" i="24"/>
  <c r="M1603" i="24"/>
  <c r="P1603" i="24"/>
  <c r="Q1603" i="24"/>
  <c r="V1603" i="24"/>
  <c r="B1604" i="24"/>
  <c r="M1604" i="24"/>
  <c r="P1604" i="24"/>
  <c r="Q1604" i="24"/>
  <c r="V1604" i="24"/>
  <c r="B1605" i="24"/>
  <c r="M1605" i="24"/>
  <c r="P1605" i="24"/>
  <c r="Q1605" i="24"/>
  <c r="V1605" i="24"/>
  <c r="B1606" i="24"/>
  <c r="M1606" i="24"/>
  <c r="P1606" i="24"/>
  <c r="Q1606" i="24"/>
  <c r="V1606" i="24"/>
  <c r="B1607" i="24"/>
  <c r="M1607" i="24"/>
  <c r="P1607" i="24"/>
  <c r="Q1607" i="24"/>
  <c r="V1607" i="24"/>
  <c r="B1608" i="24"/>
  <c r="M1608" i="24"/>
  <c r="P1608" i="24"/>
  <c r="Q1608" i="24"/>
  <c r="V1608" i="24"/>
  <c r="B1609" i="24"/>
  <c r="M1609" i="24"/>
  <c r="P1609" i="24"/>
  <c r="Q1609" i="24"/>
  <c r="V1609" i="24"/>
  <c r="B1610" i="24"/>
  <c r="M1610" i="24"/>
  <c r="P1610" i="24"/>
  <c r="Q1610" i="24"/>
  <c r="V1610" i="24"/>
  <c r="B1611" i="24"/>
  <c r="M1611" i="24"/>
  <c r="P1611" i="24"/>
  <c r="Q1611" i="24"/>
  <c r="V1611" i="24"/>
  <c r="B1612" i="24"/>
  <c r="M1612" i="24"/>
  <c r="P1612" i="24"/>
  <c r="Q1612" i="24"/>
  <c r="V1612" i="24"/>
  <c r="B1613" i="24"/>
  <c r="M1613" i="24"/>
  <c r="P1613" i="24"/>
  <c r="Q1613" i="24"/>
  <c r="V1613" i="24"/>
  <c r="B1614" i="24"/>
  <c r="M1614" i="24"/>
  <c r="P1614" i="24"/>
  <c r="Q1614" i="24"/>
  <c r="V1614" i="24"/>
  <c r="B1615" i="24"/>
  <c r="M1615" i="24"/>
  <c r="P1615" i="24"/>
  <c r="Q1615" i="24"/>
  <c r="V1615" i="24"/>
  <c r="B1616" i="24"/>
  <c r="M1616" i="24"/>
  <c r="P1616" i="24"/>
  <c r="Q1616" i="24"/>
  <c r="V1616" i="24"/>
  <c r="B1617" i="24"/>
  <c r="M1617" i="24"/>
  <c r="P1617" i="24"/>
  <c r="Q1617" i="24"/>
  <c r="V1617" i="24"/>
  <c r="B1618" i="24"/>
  <c r="M1618" i="24"/>
  <c r="P1618" i="24"/>
  <c r="Q1618" i="24"/>
  <c r="V1618" i="24"/>
  <c r="B1619" i="24"/>
  <c r="M1619" i="24"/>
  <c r="P1619" i="24"/>
  <c r="Q1619" i="24"/>
  <c r="V1619" i="24"/>
  <c r="B1620" i="24"/>
  <c r="M1620" i="24"/>
  <c r="P1620" i="24"/>
  <c r="Q1620" i="24"/>
  <c r="V1620" i="24"/>
  <c r="B1621" i="24"/>
  <c r="M1621" i="24"/>
  <c r="P1621" i="24"/>
  <c r="Q1621" i="24"/>
  <c r="V1621" i="24"/>
  <c r="B1622" i="24"/>
  <c r="M1622" i="24"/>
  <c r="P1622" i="24"/>
  <c r="Q1622" i="24"/>
  <c r="V1622" i="24"/>
  <c r="B1623" i="24"/>
  <c r="M1623" i="24"/>
  <c r="P1623" i="24"/>
  <c r="Q1623" i="24"/>
  <c r="V1623" i="24"/>
  <c r="B1624" i="24"/>
  <c r="M1624" i="24"/>
  <c r="P1624" i="24"/>
  <c r="Q1624" i="24"/>
  <c r="V1624" i="24"/>
  <c r="B1625" i="24"/>
  <c r="M1625" i="24"/>
  <c r="P1625" i="24"/>
  <c r="Q1625" i="24"/>
  <c r="V1625" i="24"/>
  <c r="B1626" i="24"/>
  <c r="M1626" i="24"/>
  <c r="P1626" i="24"/>
  <c r="Q1626" i="24"/>
  <c r="V1626" i="24"/>
  <c r="B1627" i="24"/>
  <c r="M1627" i="24"/>
  <c r="P1627" i="24"/>
  <c r="Q1627" i="24"/>
  <c r="V1627" i="24"/>
  <c r="B1628" i="24"/>
  <c r="M1628" i="24"/>
  <c r="P1628" i="24"/>
  <c r="Q1628" i="24"/>
  <c r="V1628" i="24"/>
  <c r="B1629" i="24"/>
  <c r="M1629" i="24"/>
  <c r="P1629" i="24"/>
  <c r="Q1629" i="24"/>
  <c r="V1629" i="24"/>
  <c r="B1630" i="24"/>
  <c r="M1630" i="24"/>
  <c r="P1630" i="24"/>
  <c r="Q1630" i="24"/>
  <c r="V1630" i="24"/>
  <c r="B1631" i="24"/>
  <c r="M1631" i="24"/>
  <c r="P1631" i="24"/>
  <c r="Q1631" i="24"/>
  <c r="V1631" i="24"/>
  <c r="B1632" i="24"/>
  <c r="M1632" i="24"/>
  <c r="P1632" i="24"/>
  <c r="Q1632" i="24"/>
  <c r="V1632" i="24"/>
  <c r="B1633" i="24"/>
  <c r="M1633" i="24"/>
  <c r="P1633" i="24"/>
  <c r="Q1633" i="24"/>
  <c r="V1633" i="24"/>
  <c r="B1634" i="24"/>
  <c r="M1634" i="24"/>
  <c r="P1634" i="24"/>
  <c r="Q1634" i="24"/>
  <c r="V1634" i="24"/>
  <c r="B1635" i="24"/>
  <c r="M1635" i="24"/>
  <c r="P1635" i="24"/>
  <c r="Q1635" i="24"/>
  <c r="V1635" i="24"/>
  <c r="B1636" i="24"/>
  <c r="M1636" i="24"/>
  <c r="P1636" i="24"/>
  <c r="Q1636" i="24"/>
  <c r="V1636" i="24"/>
  <c r="B1637" i="24"/>
  <c r="M1637" i="24"/>
  <c r="P1637" i="24"/>
  <c r="Q1637" i="24"/>
  <c r="V1637" i="24"/>
  <c r="B1638" i="24"/>
  <c r="M1638" i="24"/>
  <c r="P1638" i="24"/>
  <c r="Q1638" i="24"/>
  <c r="V1638" i="24"/>
  <c r="B1639" i="24"/>
  <c r="M1639" i="24"/>
  <c r="P1639" i="24"/>
  <c r="Q1639" i="24"/>
  <c r="V1639" i="24"/>
  <c r="B1640" i="24"/>
  <c r="M1640" i="24"/>
  <c r="P1640" i="24"/>
  <c r="Q1640" i="24"/>
  <c r="V1640" i="24"/>
  <c r="B1641" i="24"/>
  <c r="M1641" i="24"/>
  <c r="P1641" i="24"/>
  <c r="Q1641" i="24"/>
  <c r="V1641" i="24"/>
  <c r="B1642" i="24"/>
  <c r="M1642" i="24"/>
  <c r="P1642" i="24"/>
  <c r="Q1642" i="24"/>
  <c r="V1642" i="24"/>
  <c r="B1643" i="24"/>
  <c r="M1643" i="24"/>
  <c r="P1643" i="24"/>
  <c r="Q1643" i="24"/>
  <c r="V1643" i="24"/>
  <c r="B1644" i="24"/>
  <c r="M1644" i="24"/>
  <c r="P1644" i="24"/>
  <c r="Q1644" i="24"/>
  <c r="V1644" i="24"/>
  <c r="B1645" i="24"/>
  <c r="M1645" i="24"/>
  <c r="P1645" i="24"/>
  <c r="Q1645" i="24"/>
  <c r="V1645" i="24"/>
  <c r="B1646" i="24"/>
  <c r="M1646" i="24"/>
  <c r="P1646" i="24"/>
  <c r="Q1646" i="24"/>
  <c r="V1646" i="24"/>
  <c r="B1647" i="24"/>
  <c r="M1647" i="24"/>
  <c r="P1647" i="24"/>
  <c r="Q1647" i="24"/>
  <c r="V1647" i="24"/>
  <c r="B1648" i="24"/>
  <c r="M1648" i="24"/>
  <c r="P1648" i="24"/>
  <c r="Q1648" i="24"/>
  <c r="V1648" i="24"/>
  <c r="B1649" i="24"/>
  <c r="M1649" i="24"/>
  <c r="P1649" i="24"/>
  <c r="Q1649" i="24"/>
  <c r="V1649" i="24"/>
  <c r="B1650" i="24"/>
  <c r="M1650" i="24"/>
  <c r="P1650" i="24"/>
  <c r="Q1650" i="24"/>
  <c r="V1650" i="24"/>
  <c r="B1651" i="24"/>
  <c r="M1651" i="24"/>
  <c r="P1651" i="24"/>
  <c r="Q1651" i="24"/>
  <c r="V1651" i="24"/>
  <c r="B1652" i="24"/>
  <c r="M1652" i="24"/>
  <c r="P1652" i="24"/>
  <c r="Q1652" i="24"/>
  <c r="V1652" i="24"/>
  <c r="B1653" i="24"/>
  <c r="M1653" i="24"/>
  <c r="P1653" i="24"/>
  <c r="Q1653" i="24"/>
  <c r="V1653" i="24"/>
  <c r="B1654" i="24"/>
  <c r="M1654" i="24"/>
  <c r="P1654" i="24"/>
  <c r="Q1654" i="24"/>
  <c r="V1654" i="24"/>
  <c r="B1655" i="24"/>
  <c r="M1655" i="24"/>
  <c r="P1655" i="24"/>
  <c r="Q1655" i="24"/>
  <c r="V1655" i="24"/>
  <c r="B1656" i="24"/>
  <c r="M1656" i="24"/>
  <c r="P1656" i="24"/>
  <c r="Q1656" i="24"/>
  <c r="V1656" i="24"/>
  <c r="B1657" i="24"/>
  <c r="M1657" i="24"/>
  <c r="P1657" i="24"/>
  <c r="Q1657" i="24"/>
  <c r="V1657" i="24"/>
  <c r="B1658" i="24"/>
  <c r="M1658" i="24"/>
  <c r="P1658" i="24"/>
  <c r="Q1658" i="24"/>
  <c r="V1658" i="24"/>
  <c r="B1659" i="24"/>
  <c r="M1659" i="24"/>
  <c r="P1659" i="24"/>
  <c r="Q1659" i="24"/>
  <c r="V1659" i="24"/>
  <c r="B1660" i="24"/>
  <c r="M1660" i="24"/>
  <c r="P1660" i="24"/>
  <c r="Q1660" i="24"/>
  <c r="V1660" i="24"/>
  <c r="B1661" i="24"/>
  <c r="M1661" i="24"/>
  <c r="P1661" i="24"/>
  <c r="Q1661" i="24"/>
  <c r="V1661" i="24"/>
  <c r="B1662" i="24"/>
  <c r="M1662" i="24"/>
  <c r="P1662" i="24"/>
  <c r="Q1662" i="24"/>
  <c r="V1662" i="24"/>
  <c r="B1663" i="24"/>
  <c r="M1663" i="24"/>
  <c r="P1663" i="24"/>
  <c r="Q1663" i="24"/>
  <c r="V1663" i="24"/>
  <c r="B1664" i="24"/>
  <c r="M1664" i="24"/>
  <c r="P1664" i="24"/>
  <c r="Q1664" i="24"/>
  <c r="V1664" i="24"/>
  <c r="B1665" i="24"/>
  <c r="M1665" i="24"/>
  <c r="P1665" i="24"/>
  <c r="Q1665" i="24"/>
  <c r="V1665" i="24"/>
  <c r="B1666" i="24"/>
  <c r="M1666" i="24"/>
  <c r="P1666" i="24"/>
  <c r="Q1666" i="24"/>
  <c r="V1666" i="24"/>
  <c r="B1667" i="24"/>
  <c r="M1667" i="24"/>
  <c r="P1667" i="24"/>
  <c r="Q1667" i="24"/>
  <c r="V1667" i="24"/>
  <c r="B1668" i="24"/>
  <c r="M1668" i="24"/>
  <c r="P1668" i="24"/>
  <c r="Q1668" i="24"/>
  <c r="V1668" i="24"/>
  <c r="B1669" i="24"/>
  <c r="M1669" i="24"/>
  <c r="P1669" i="24"/>
  <c r="Q1669" i="24"/>
  <c r="V1669" i="24"/>
  <c r="B1670" i="24"/>
  <c r="M1670" i="24"/>
  <c r="P1670" i="24"/>
  <c r="Q1670" i="24"/>
  <c r="V1670" i="24"/>
  <c r="B1671" i="24"/>
  <c r="M1671" i="24"/>
  <c r="P1671" i="24"/>
  <c r="Q1671" i="24"/>
  <c r="V1671" i="24"/>
  <c r="B1672" i="24"/>
  <c r="M1672" i="24"/>
  <c r="P1672" i="24"/>
  <c r="Q1672" i="24"/>
  <c r="V1672" i="24"/>
  <c r="B1673" i="24"/>
  <c r="M1673" i="24"/>
  <c r="P1673" i="24"/>
  <c r="Q1673" i="24"/>
  <c r="V1673" i="24"/>
  <c r="B1674" i="24"/>
  <c r="M1674" i="24"/>
  <c r="P1674" i="24"/>
  <c r="Q1674" i="24"/>
  <c r="V1674" i="24"/>
  <c r="B1675" i="24"/>
  <c r="M1675" i="24"/>
  <c r="P1675" i="24"/>
  <c r="Q1675" i="24"/>
  <c r="V1675" i="24"/>
  <c r="B1676" i="24"/>
  <c r="M1676" i="24"/>
  <c r="P1676" i="24"/>
  <c r="Q1676" i="24"/>
  <c r="V1676" i="24"/>
  <c r="B1677" i="24"/>
  <c r="M1677" i="24"/>
  <c r="P1677" i="24"/>
  <c r="Q1677" i="24"/>
  <c r="V1677" i="24"/>
  <c r="B1678" i="24"/>
  <c r="M1678" i="24"/>
  <c r="P1678" i="24"/>
  <c r="Q1678" i="24"/>
  <c r="V1678" i="24"/>
  <c r="B1679" i="24"/>
  <c r="M1679" i="24"/>
  <c r="P1679" i="24"/>
  <c r="Q1679" i="24"/>
  <c r="V1679" i="24"/>
  <c r="B1680" i="24"/>
  <c r="M1680" i="24"/>
  <c r="P1680" i="24"/>
  <c r="Q1680" i="24"/>
  <c r="V1680" i="24"/>
  <c r="B1681" i="24"/>
  <c r="M1681" i="24"/>
  <c r="P1681" i="24"/>
  <c r="Q1681" i="24"/>
  <c r="V1681" i="24"/>
  <c r="B1682" i="24"/>
  <c r="M1682" i="24"/>
  <c r="P1682" i="24"/>
  <c r="Q1682" i="24"/>
  <c r="V1682" i="24"/>
  <c r="B1683" i="24"/>
  <c r="M1683" i="24"/>
  <c r="P1683" i="24"/>
  <c r="Q1683" i="24"/>
  <c r="V1683" i="24"/>
  <c r="B1684" i="24"/>
  <c r="M1684" i="24"/>
  <c r="P1684" i="24"/>
  <c r="Q1684" i="24"/>
  <c r="V1684" i="24"/>
  <c r="B1685" i="24"/>
  <c r="M1685" i="24"/>
  <c r="P1685" i="24"/>
  <c r="Q1685" i="24"/>
  <c r="V1685" i="24"/>
  <c r="B1686" i="24"/>
  <c r="M1686" i="24"/>
  <c r="P1686" i="24"/>
  <c r="Q1686" i="24"/>
  <c r="V1686" i="24"/>
  <c r="B1687" i="24"/>
  <c r="M1687" i="24"/>
  <c r="P1687" i="24"/>
  <c r="Q1687" i="24"/>
  <c r="V1687" i="24"/>
  <c r="B1688" i="24"/>
  <c r="M1688" i="24"/>
  <c r="P1688" i="24"/>
  <c r="Q1688" i="24"/>
  <c r="V1688" i="24"/>
  <c r="B1689" i="24"/>
  <c r="M1689" i="24"/>
  <c r="P1689" i="24"/>
  <c r="Q1689" i="24"/>
  <c r="V1689" i="24"/>
  <c r="B1690" i="24"/>
  <c r="M1690" i="24"/>
  <c r="P1690" i="24"/>
  <c r="Q1690" i="24"/>
  <c r="V1690" i="24"/>
  <c r="B1691" i="24"/>
  <c r="M1691" i="24"/>
  <c r="P1691" i="24"/>
  <c r="Q1691" i="24"/>
  <c r="V1691" i="24"/>
  <c r="B1692" i="24"/>
  <c r="M1692" i="24"/>
  <c r="P1692" i="24"/>
  <c r="Q1692" i="24"/>
  <c r="V1692" i="24"/>
  <c r="B1693" i="24"/>
  <c r="M1693" i="24"/>
  <c r="P1693" i="24"/>
  <c r="Q1693" i="24"/>
  <c r="V1693" i="24"/>
  <c r="B1694" i="24"/>
  <c r="M1694" i="24"/>
  <c r="P1694" i="24"/>
  <c r="Q1694" i="24"/>
  <c r="V1694" i="24"/>
  <c r="B1695" i="24"/>
  <c r="M1695" i="24"/>
  <c r="P1695" i="24"/>
  <c r="Q1695" i="24"/>
  <c r="V1695" i="24"/>
  <c r="B1696" i="24"/>
  <c r="M1696" i="24"/>
  <c r="P1696" i="24"/>
  <c r="Q1696" i="24"/>
  <c r="V1696" i="24"/>
  <c r="B1697" i="24"/>
  <c r="M1697" i="24"/>
  <c r="P1697" i="24"/>
  <c r="Q1697" i="24"/>
  <c r="V1697" i="24"/>
  <c r="B1698" i="24"/>
  <c r="M1698" i="24"/>
  <c r="P1698" i="24"/>
  <c r="Q1698" i="24"/>
  <c r="V1698" i="24"/>
  <c r="B1699" i="24"/>
  <c r="M1699" i="24"/>
  <c r="P1699" i="24"/>
  <c r="Q1699" i="24"/>
  <c r="V1699" i="24"/>
  <c r="B1700" i="24"/>
  <c r="M1700" i="24"/>
  <c r="P1700" i="24"/>
  <c r="Q1700" i="24"/>
  <c r="V1700" i="24"/>
  <c r="B1701" i="24"/>
  <c r="M1701" i="24"/>
  <c r="P1701" i="24"/>
  <c r="Q1701" i="24"/>
  <c r="V1701" i="24"/>
  <c r="B1702" i="24"/>
  <c r="M1702" i="24"/>
  <c r="P1702" i="24"/>
  <c r="Q1702" i="24"/>
  <c r="V1702" i="24"/>
  <c r="B1703" i="24"/>
  <c r="M1703" i="24"/>
  <c r="P1703" i="24"/>
  <c r="Q1703" i="24"/>
  <c r="V1703" i="24"/>
  <c r="B1704" i="24"/>
  <c r="M1704" i="24"/>
  <c r="P1704" i="24"/>
  <c r="Q1704" i="24"/>
  <c r="V1704" i="24"/>
  <c r="B1705" i="24"/>
  <c r="M1705" i="24"/>
  <c r="P1705" i="24"/>
  <c r="Q1705" i="24"/>
  <c r="V1705" i="24"/>
  <c r="B1706" i="24"/>
  <c r="M1706" i="24"/>
  <c r="P1706" i="24"/>
  <c r="Q1706" i="24"/>
  <c r="V1706" i="24"/>
  <c r="B1707" i="24"/>
  <c r="M1707" i="24"/>
  <c r="P1707" i="24"/>
  <c r="Q1707" i="24"/>
  <c r="V1707" i="24"/>
  <c r="B1708" i="24"/>
  <c r="M1708" i="24"/>
  <c r="P1708" i="24"/>
  <c r="Q1708" i="24"/>
  <c r="V1708" i="24"/>
  <c r="B1709" i="24"/>
  <c r="M1709" i="24"/>
  <c r="P1709" i="24"/>
  <c r="Q1709" i="24"/>
  <c r="V1709" i="24"/>
  <c r="B1710" i="24"/>
  <c r="M1710" i="24"/>
  <c r="P1710" i="24"/>
  <c r="Q1710" i="24"/>
  <c r="V1710" i="24"/>
  <c r="B1711" i="24"/>
  <c r="M1711" i="24"/>
  <c r="P1711" i="24"/>
  <c r="Q1711" i="24"/>
  <c r="V1711" i="24"/>
  <c r="B1712" i="24"/>
  <c r="M1712" i="24"/>
  <c r="P1712" i="24"/>
  <c r="Q1712" i="24"/>
  <c r="V1712" i="24"/>
  <c r="B1713" i="24"/>
  <c r="M1713" i="24"/>
  <c r="P1713" i="24"/>
  <c r="Q1713" i="24"/>
  <c r="V1713" i="24"/>
  <c r="B1714" i="24"/>
  <c r="M1714" i="24"/>
  <c r="P1714" i="24"/>
  <c r="Q1714" i="24"/>
  <c r="V1714" i="24"/>
  <c r="B1715" i="24"/>
  <c r="M1715" i="24"/>
  <c r="P1715" i="24"/>
  <c r="Q1715" i="24"/>
  <c r="V1715" i="24"/>
  <c r="B1716" i="24"/>
  <c r="M1716" i="24"/>
  <c r="P1716" i="24"/>
  <c r="Q1716" i="24"/>
  <c r="V1716" i="24"/>
  <c r="B1717" i="24"/>
  <c r="M1717" i="24"/>
  <c r="P1717" i="24"/>
  <c r="Q1717" i="24"/>
  <c r="V1717" i="24"/>
  <c r="B1718" i="24"/>
  <c r="M1718" i="24"/>
  <c r="P1718" i="24"/>
  <c r="Q1718" i="24"/>
  <c r="V1718" i="24"/>
  <c r="B1719" i="24"/>
  <c r="M1719" i="24"/>
  <c r="P1719" i="24"/>
  <c r="Q1719" i="24"/>
  <c r="V1719" i="24"/>
  <c r="B1720" i="24"/>
  <c r="M1720" i="24"/>
  <c r="P1720" i="24"/>
  <c r="Q1720" i="24"/>
  <c r="V1720" i="24"/>
  <c r="B1721" i="24"/>
  <c r="M1721" i="24"/>
  <c r="P1721" i="24"/>
  <c r="Q1721" i="24"/>
  <c r="V1721" i="24"/>
  <c r="B1722" i="24"/>
  <c r="M1722" i="24"/>
  <c r="P1722" i="24"/>
  <c r="Q1722" i="24"/>
  <c r="V1722" i="24"/>
  <c r="B1723" i="24"/>
  <c r="M1723" i="24"/>
  <c r="P1723" i="24"/>
  <c r="Q1723" i="24"/>
  <c r="V1723" i="24"/>
  <c r="B1724" i="24"/>
  <c r="M1724" i="24"/>
  <c r="P1724" i="24"/>
  <c r="Q1724" i="24"/>
  <c r="V1724" i="24"/>
  <c r="B1725" i="24"/>
  <c r="M1725" i="24"/>
  <c r="P1725" i="24"/>
  <c r="Q1725" i="24"/>
  <c r="V1725" i="24"/>
  <c r="B1726" i="24"/>
  <c r="M1726" i="24"/>
  <c r="P1726" i="24"/>
  <c r="Q1726" i="24"/>
  <c r="V1726" i="24"/>
  <c r="B1727" i="24"/>
  <c r="M1727" i="24"/>
  <c r="P1727" i="24"/>
  <c r="Q1727" i="24"/>
  <c r="V1727" i="24"/>
  <c r="B1728" i="24"/>
  <c r="M1728" i="24"/>
  <c r="P1728" i="24"/>
  <c r="Q1728" i="24"/>
  <c r="V1728" i="24"/>
  <c r="B1729" i="24"/>
  <c r="M1729" i="24"/>
  <c r="P1729" i="24"/>
  <c r="Q1729" i="24"/>
  <c r="V1729" i="24"/>
  <c r="B1730" i="24"/>
  <c r="M1730" i="24"/>
  <c r="P1730" i="24"/>
  <c r="Q1730" i="24"/>
  <c r="V1730" i="24"/>
  <c r="B1731" i="24"/>
  <c r="M1731" i="24"/>
  <c r="P1731" i="24"/>
  <c r="Q1731" i="24"/>
  <c r="V1731" i="24"/>
  <c r="B1732" i="24"/>
  <c r="M1732" i="24"/>
  <c r="P1732" i="24"/>
  <c r="Q1732" i="24"/>
  <c r="V1732" i="24"/>
  <c r="B1733" i="24"/>
  <c r="M1733" i="24"/>
  <c r="P1733" i="24"/>
  <c r="Q1733" i="24"/>
  <c r="V1733" i="24"/>
  <c r="B1734" i="24"/>
  <c r="M1734" i="24"/>
  <c r="P1734" i="24"/>
  <c r="Q1734" i="24"/>
  <c r="V1734" i="24"/>
  <c r="B1735" i="24"/>
  <c r="M1735" i="24"/>
  <c r="P1735" i="24"/>
  <c r="Q1735" i="24"/>
  <c r="V1735" i="24"/>
  <c r="B1736" i="24"/>
  <c r="M1736" i="24"/>
  <c r="P1736" i="24"/>
  <c r="Q1736" i="24"/>
  <c r="V1736" i="24"/>
  <c r="B1737" i="24"/>
  <c r="M1737" i="24"/>
  <c r="P1737" i="24"/>
  <c r="Q1737" i="24"/>
  <c r="V1737" i="24"/>
  <c r="B1738" i="24"/>
  <c r="M1738" i="24"/>
  <c r="P1738" i="24"/>
  <c r="Q1738" i="24"/>
  <c r="V1738" i="24"/>
  <c r="B1739" i="24"/>
  <c r="M1739" i="24"/>
  <c r="P1739" i="24"/>
  <c r="Q1739" i="24"/>
  <c r="V1739" i="24"/>
  <c r="B1740" i="24"/>
  <c r="M1740" i="24"/>
  <c r="P1740" i="24"/>
  <c r="Q1740" i="24"/>
  <c r="V1740" i="24"/>
  <c r="B1741" i="24"/>
  <c r="M1741" i="24"/>
  <c r="P1741" i="24"/>
  <c r="Q1741" i="24"/>
  <c r="V1741" i="24"/>
  <c r="B1742" i="24"/>
  <c r="M1742" i="24"/>
  <c r="P1742" i="24"/>
  <c r="Q1742" i="24"/>
  <c r="V1742" i="24"/>
  <c r="B1743" i="24"/>
  <c r="M1743" i="24"/>
  <c r="P1743" i="24"/>
  <c r="Q1743" i="24"/>
  <c r="V1743" i="24"/>
  <c r="B1744" i="24"/>
  <c r="M1744" i="24"/>
  <c r="P1744" i="24"/>
  <c r="Q1744" i="24"/>
  <c r="V1744" i="24"/>
  <c r="B1745" i="24"/>
  <c r="M1745" i="24"/>
  <c r="P1745" i="24"/>
  <c r="Q1745" i="24"/>
  <c r="V1745" i="24"/>
  <c r="B1746" i="24"/>
  <c r="M1746" i="24"/>
  <c r="P1746" i="24"/>
  <c r="Q1746" i="24"/>
  <c r="V1746" i="24"/>
  <c r="B1747" i="24"/>
  <c r="M1747" i="24"/>
  <c r="P1747" i="24"/>
  <c r="Q1747" i="24"/>
  <c r="V1747" i="24"/>
  <c r="B1748" i="24"/>
  <c r="M1748" i="24"/>
  <c r="P1748" i="24"/>
  <c r="Q1748" i="24"/>
  <c r="V1748" i="24"/>
  <c r="B1749" i="24"/>
  <c r="M1749" i="24"/>
  <c r="P1749" i="24"/>
  <c r="Q1749" i="24"/>
  <c r="V1749" i="24"/>
  <c r="B1750" i="24"/>
  <c r="M1750" i="24"/>
  <c r="P1750" i="24"/>
  <c r="Q1750" i="24"/>
  <c r="V1750" i="24"/>
  <c r="B1751" i="24"/>
  <c r="M1751" i="24"/>
  <c r="P1751" i="24"/>
  <c r="Q1751" i="24"/>
  <c r="V1751" i="24"/>
  <c r="B1752" i="24"/>
  <c r="M1752" i="24"/>
  <c r="P1752" i="24"/>
  <c r="Q1752" i="24"/>
  <c r="V1752" i="24"/>
  <c r="B1753" i="24"/>
  <c r="M1753" i="24"/>
  <c r="P1753" i="24"/>
  <c r="Q1753" i="24"/>
  <c r="V1753" i="24"/>
  <c r="B1754" i="24"/>
  <c r="M1754" i="24"/>
  <c r="P1754" i="24"/>
  <c r="Q1754" i="24"/>
  <c r="V1754" i="24"/>
  <c r="B1755" i="24"/>
  <c r="M1755" i="24"/>
  <c r="P1755" i="24"/>
  <c r="Q1755" i="24"/>
  <c r="V1755" i="24"/>
  <c r="B1756" i="24"/>
  <c r="M1756" i="24"/>
  <c r="P1756" i="24"/>
  <c r="Q1756" i="24"/>
  <c r="V1756" i="24"/>
  <c r="B1757" i="24"/>
  <c r="M1757" i="24"/>
  <c r="P1757" i="24"/>
  <c r="Q1757" i="24"/>
  <c r="V1757" i="24"/>
  <c r="B1758" i="24"/>
  <c r="M1758" i="24"/>
  <c r="P1758" i="24"/>
  <c r="Q1758" i="24"/>
  <c r="V1758" i="24"/>
  <c r="B1759" i="24"/>
  <c r="M1759" i="24"/>
  <c r="P1759" i="24"/>
  <c r="Q1759" i="24"/>
  <c r="V1759" i="24"/>
  <c r="B1760" i="24"/>
  <c r="M1760" i="24"/>
  <c r="P1760" i="24"/>
  <c r="Q1760" i="24"/>
  <c r="V1760" i="24"/>
  <c r="B1761" i="24"/>
  <c r="M1761" i="24"/>
  <c r="P1761" i="24"/>
  <c r="Q1761" i="24"/>
  <c r="V1761" i="24"/>
  <c r="B1762" i="24"/>
  <c r="M1762" i="24"/>
  <c r="P1762" i="24"/>
  <c r="Q1762" i="24"/>
  <c r="V1762" i="24"/>
  <c r="B1763" i="24"/>
  <c r="M1763" i="24"/>
  <c r="P1763" i="24"/>
  <c r="Q1763" i="24"/>
  <c r="V1763" i="24"/>
  <c r="B1764" i="24"/>
  <c r="M1764" i="24"/>
  <c r="P1764" i="24"/>
  <c r="Q1764" i="24"/>
  <c r="V1764" i="24"/>
  <c r="B1765" i="24"/>
  <c r="M1765" i="24"/>
  <c r="P1765" i="24"/>
  <c r="Q1765" i="24"/>
  <c r="V1765" i="24"/>
  <c r="B1766" i="24"/>
  <c r="M1766" i="24"/>
  <c r="P1766" i="24"/>
  <c r="Q1766" i="24"/>
  <c r="V1766" i="24"/>
  <c r="B1767" i="24"/>
  <c r="M1767" i="24"/>
  <c r="P1767" i="24"/>
  <c r="Q1767" i="24"/>
  <c r="V1767" i="24"/>
  <c r="B1768" i="24"/>
  <c r="M1768" i="24"/>
  <c r="P1768" i="24"/>
  <c r="Q1768" i="24"/>
  <c r="V1768" i="24"/>
  <c r="B1769" i="24"/>
  <c r="M1769" i="24"/>
  <c r="P1769" i="24"/>
  <c r="Q1769" i="24"/>
  <c r="V1769" i="24"/>
  <c r="B1770" i="24"/>
  <c r="M1770" i="24"/>
  <c r="P1770" i="24"/>
  <c r="Q1770" i="24"/>
  <c r="V1770" i="24"/>
  <c r="B1771" i="24"/>
  <c r="M1771" i="24"/>
  <c r="P1771" i="24"/>
  <c r="Q1771" i="24"/>
  <c r="V1771" i="24"/>
  <c r="B1772" i="24"/>
  <c r="M1772" i="24"/>
  <c r="P1772" i="24"/>
  <c r="Q1772" i="24"/>
  <c r="V1772" i="24"/>
  <c r="B1773" i="24"/>
  <c r="M1773" i="24"/>
  <c r="P1773" i="24"/>
  <c r="Q1773" i="24"/>
  <c r="V1773" i="24"/>
  <c r="B1774" i="24"/>
  <c r="M1774" i="24"/>
  <c r="P1774" i="24"/>
  <c r="Q1774" i="24"/>
  <c r="V1774" i="24"/>
  <c r="B1775" i="24"/>
  <c r="M1775" i="24"/>
  <c r="P1775" i="24"/>
  <c r="Q1775" i="24"/>
  <c r="V1775" i="24"/>
  <c r="B1776" i="24"/>
  <c r="M1776" i="24"/>
  <c r="P1776" i="24"/>
  <c r="Q1776" i="24"/>
  <c r="V1776" i="24"/>
  <c r="B1777" i="24"/>
  <c r="M1777" i="24"/>
  <c r="P1777" i="24"/>
  <c r="Q1777" i="24"/>
  <c r="V1777" i="24"/>
  <c r="B1778" i="24"/>
  <c r="M1778" i="24"/>
  <c r="P1778" i="24"/>
  <c r="Q1778" i="24"/>
  <c r="V1778" i="24"/>
  <c r="B1779" i="24"/>
  <c r="M1779" i="24"/>
  <c r="P1779" i="24"/>
  <c r="Q1779" i="24"/>
  <c r="V1779" i="24"/>
  <c r="B1780" i="24"/>
  <c r="M1780" i="24"/>
  <c r="P1780" i="24"/>
  <c r="Q1780" i="24"/>
  <c r="V1780" i="24"/>
  <c r="B1781" i="24"/>
  <c r="M1781" i="24"/>
  <c r="P1781" i="24"/>
  <c r="Q1781" i="24"/>
  <c r="V1781" i="24"/>
  <c r="B1782" i="24"/>
  <c r="M1782" i="24"/>
  <c r="P1782" i="24"/>
  <c r="Q1782" i="24"/>
  <c r="V1782" i="24"/>
  <c r="B1783" i="24"/>
  <c r="M1783" i="24"/>
  <c r="P1783" i="24"/>
  <c r="Q1783" i="24"/>
  <c r="V1783" i="24"/>
  <c r="B1784" i="24"/>
  <c r="M1784" i="24"/>
  <c r="P1784" i="24"/>
  <c r="Q1784" i="24"/>
  <c r="V1784" i="24"/>
  <c r="B1785" i="24"/>
  <c r="M1785" i="24"/>
  <c r="P1785" i="24"/>
  <c r="Q1785" i="24"/>
  <c r="V1785" i="24"/>
  <c r="B1786" i="24"/>
  <c r="M1786" i="24"/>
  <c r="P1786" i="24"/>
  <c r="Q1786" i="24"/>
  <c r="V1786" i="24"/>
  <c r="B1787" i="24"/>
  <c r="M1787" i="24"/>
  <c r="P1787" i="24"/>
  <c r="Q1787" i="24"/>
  <c r="V1787" i="24"/>
  <c r="B1788" i="24"/>
  <c r="M1788" i="24"/>
  <c r="P1788" i="24"/>
  <c r="Q1788" i="24"/>
  <c r="V1788" i="24"/>
  <c r="B1789" i="24"/>
  <c r="M1789" i="24"/>
  <c r="P1789" i="24"/>
  <c r="Q1789" i="24"/>
  <c r="V1789" i="24"/>
  <c r="B1790" i="24"/>
  <c r="M1790" i="24"/>
  <c r="P1790" i="24"/>
  <c r="Q1790" i="24"/>
  <c r="V1790" i="24"/>
  <c r="B1791" i="24"/>
  <c r="M1791" i="24"/>
  <c r="P1791" i="24"/>
  <c r="Q1791" i="24"/>
  <c r="V1791" i="24"/>
  <c r="B1792" i="24"/>
  <c r="M1792" i="24"/>
  <c r="P1792" i="24"/>
  <c r="Q1792" i="24"/>
  <c r="V1792" i="24"/>
  <c r="B1793" i="24"/>
  <c r="M1793" i="24"/>
  <c r="P1793" i="24"/>
  <c r="Q1793" i="24"/>
  <c r="V1793" i="24"/>
  <c r="B1794" i="24"/>
  <c r="M1794" i="24"/>
  <c r="P1794" i="24"/>
  <c r="Q1794" i="24"/>
  <c r="V1794" i="24"/>
  <c r="B1795" i="24"/>
  <c r="M1795" i="24"/>
  <c r="P1795" i="24"/>
  <c r="Q1795" i="24"/>
  <c r="V1795" i="24"/>
  <c r="B1796" i="24"/>
  <c r="M1796" i="24"/>
  <c r="P1796" i="24"/>
  <c r="Q1796" i="24"/>
  <c r="V1796" i="24"/>
  <c r="B1797" i="24"/>
  <c r="M1797" i="24"/>
  <c r="P1797" i="24"/>
  <c r="Q1797" i="24"/>
  <c r="V1797" i="24"/>
  <c r="B1798" i="24"/>
  <c r="M1798" i="24"/>
  <c r="P1798" i="24"/>
  <c r="Q1798" i="24"/>
  <c r="V1798" i="24"/>
  <c r="B1799" i="24"/>
  <c r="M1799" i="24"/>
  <c r="P1799" i="24"/>
  <c r="Q1799" i="24"/>
  <c r="V1799" i="24"/>
  <c r="B1800" i="24"/>
  <c r="M1800" i="24"/>
  <c r="P1800" i="24"/>
  <c r="Q1800" i="24"/>
  <c r="V1800" i="24"/>
  <c r="B1801" i="24"/>
  <c r="M1801" i="24"/>
  <c r="P1801" i="24"/>
  <c r="Q1801" i="24"/>
  <c r="V1801" i="24"/>
  <c r="B1802" i="24"/>
  <c r="M1802" i="24"/>
  <c r="P1802" i="24"/>
  <c r="Q1802" i="24"/>
  <c r="V1802" i="24"/>
  <c r="B1803" i="24"/>
  <c r="M1803" i="24"/>
  <c r="P1803" i="24"/>
  <c r="Q1803" i="24"/>
  <c r="V1803" i="24"/>
  <c r="B1804" i="24"/>
  <c r="M1804" i="24"/>
  <c r="P1804" i="24"/>
  <c r="Q1804" i="24"/>
  <c r="V1804" i="24"/>
  <c r="B1805" i="24"/>
  <c r="M1805" i="24"/>
  <c r="P1805" i="24"/>
  <c r="Q1805" i="24"/>
  <c r="V1805" i="24"/>
  <c r="B1806" i="24"/>
  <c r="M1806" i="24"/>
  <c r="P1806" i="24"/>
  <c r="Q1806" i="24"/>
  <c r="V1806" i="24"/>
  <c r="B1807" i="24"/>
  <c r="M1807" i="24"/>
  <c r="P1807" i="24"/>
  <c r="Q1807" i="24"/>
  <c r="V1807" i="24"/>
  <c r="B1808" i="24"/>
  <c r="M1808" i="24"/>
  <c r="P1808" i="24"/>
  <c r="Q1808" i="24"/>
  <c r="V1808" i="24"/>
  <c r="B1809" i="24"/>
  <c r="M1809" i="24"/>
  <c r="P1809" i="24"/>
  <c r="Q1809" i="24"/>
  <c r="V1809" i="24"/>
  <c r="B1810" i="24"/>
  <c r="M1810" i="24"/>
  <c r="P1810" i="24"/>
  <c r="Q1810" i="24"/>
  <c r="V1810" i="24"/>
  <c r="B1811" i="24"/>
  <c r="M1811" i="24"/>
  <c r="P1811" i="24"/>
  <c r="Q1811" i="24"/>
  <c r="V1811" i="24"/>
  <c r="B1812" i="24"/>
  <c r="M1812" i="24"/>
  <c r="P1812" i="24"/>
  <c r="Q1812" i="24"/>
  <c r="V1812" i="24"/>
  <c r="B1813" i="24"/>
  <c r="M1813" i="24"/>
  <c r="P1813" i="24"/>
  <c r="Q1813" i="24"/>
  <c r="V1813" i="24"/>
  <c r="B1814" i="24"/>
  <c r="M1814" i="24"/>
  <c r="P1814" i="24"/>
  <c r="Q1814" i="24"/>
  <c r="V1814" i="24"/>
  <c r="B1815" i="24"/>
  <c r="M1815" i="24"/>
  <c r="P1815" i="24"/>
  <c r="Q1815" i="24"/>
  <c r="V1815" i="24"/>
  <c r="B1816" i="24"/>
  <c r="M1816" i="24"/>
  <c r="P1816" i="24"/>
  <c r="Q1816" i="24"/>
  <c r="V1816" i="24"/>
  <c r="B1817" i="24"/>
  <c r="M1817" i="24"/>
  <c r="P1817" i="24"/>
  <c r="Q1817" i="24"/>
  <c r="V1817" i="24"/>
  <c r="B1818" i="24"/>
  <c r="M1818" i="24"/>
  <c r="P1818" i="24"/>
  <c r="Q1818" i="24"/>
  <c r="V1818" i="24"/>
  <c r="B1819" i="24"/>
  <c r="M1819" i="24"/>
  <c r="P1819" i="24"/>
  <c r="Q1819" i="24"/>
  <c r="V1819" i="24"/>
  <c r="B1820" i="24"/>
  <c r="M1820" i="24"/>
  <c r="P1820" i="24"/>
  <c r="Q1820" i="24"/>
  <c r="V1820" i="24"/>
  <c r="B1821" i="24"/>
  <c r="M1821" i="24"/>
  <c r="P1821" i="24"/>
  <c r="Q1821" i="24"/>
  <c r="V1821" i="24"/>
  <c r="B1822" i="24"/>
  <c r="M1822" i="24"/>
  <c r="P1822" i="24"/>
  <c r="Q1822" i="24"/>
  <c r="V1822" i="24"/>
  <c r="B1823" i="24"/>
  <c r="M1823" i="24"/>
  <c r="P1823" i="24"/>
  <c r="Q1823" i="24"/>
  <c r="V1823" i="24"/>
  <c r="B1824" i="24"/>
  <c r="M1824" i="24"/>
  <c r="P1824" i="24"/>
  <c r="Q1824" i="24"/>
  <c r="V1824" i="24"/>
  <c r="B1825" i="24"/>
  <c r="M1825" i="24"/>
  <c r="P1825" i="24"/>
  <c r="Q1825" i="24"/>
  <c r="V1825" i="24"/>
  <c r="B1826" i="24"/>
  <c r="M1826" i="24"/>
  <c r="P1826" i="24"/>
  <c r="Q1826" i="24"/>
  <c r="V1826" i="24"/>
  <c r="B1827" i="24"/>
  <c r="M1827" i="24"/>
  <c r="P1827" i="24"/>
  <c r="Q1827" i="24"/>
  <c r="V1827" i="24"/>
  <c r="B1828" i="24"/>
  <c r="M1828" i="24"/>
  <c r="P1828" i="24"/>
  <c r="Q1828" i="24"/>
  <c r="V1828" i="24"/>
  <c r="B1829" i="24"/>
  <c r="M1829" i="24"/>
  <c r="P1829" i="24"/>
  <c r="Q1829" i="24"/>
  <c r="V1829" i="24"/>
  <c r="B1830" i="24"/>
  <c r="M1830" i="24"/>
  <c r="P1830" i="24"/>
  <c r="Q1830" i="24"/>
  <c r="V1830" i="24"/>
  <c r="B1831" i="24"/>
  <c r="M1831" i="24"/>
  <c r="P1831" i="24"/>
  <c r="Q1831" i="24"/>
  <c r="V1831" i="24"/>
  <c r="B1832" i="24"/>
  <c r="M1832" i="24"/>
  <c r="P1832" i="24"/>
  <c r="Q1832" i="24"/>
  <c r="V1832" i="24"/>
  <c r="B1833" i="24"/>
  <c r="M1833" i="24"/>
  <c r="P1833" i="24"/>
  <c r="Q1833" i="24"/>
  <c r="V1833" i="24"/>
  <c r="B1834" i="24"/>
  <c r="M1834" i="24"/>
  <c r="P1834" i="24"/>
  <c r="Q1834" i="24"/>
  <c r="V1834" i="24"/>
  <c r="B1835" i="24"/>
  <c r="M1835" i="24"/>
  <c r="P1835" i="24"/>
  <c r="Q1835" i="24"/>
  <c r="V1835" i="24"/>
  <c r="B1836" i="24"/>
  <c r="M1836" i="24"/>
  <c r="P1836" i="24"/>
  <c r="Q1836" i="24"/>
  <c r="V1836" i="24"/>
  <c r="B1837" i="24"/>
  <c r="M1837" i="24"/>
  <c r="P1837" i="24"/>
  <c r="Q1837" i="24"/>
  <c r="V1837" i="24"/>
  <c r="B1838" i="24"/>
  <c r="M1838" i="24"/>
  <c r="P1838" i="24"/>
  <c r="Q1838" i="24"/>
  <c r="V1838" i="24"/>
  <c r="B1839" i="24"/>
  <c r="M1839" i="24"/>
  <c r="P1839" i="24"/>
  <c r="Q1839" i="24"/>
  <c r="V1839" i="24"/>
  <c r="B1840" i="24"/>
  <c r="M1840" i="24"/>
  <c r="P1840" i="24"/>
  <c r="Q1840" i="24"/>
  <c r="V1840" i="24"/>
  <c r="B1841" i="24"/>
  <c r="M1841" i="24"/>
  <c r="P1841" i="24"/>
  <c r="Q1841" i="24"/>
  <c r="V1841" i="24"/>
  <c r="B1842" i="24"/>
  <c r="M1842" i="24"/>
  <c r="P1842" i="24"/>
  <c r="Q1842" i="24"/>
  <c r="V1842" i="24"/>
  <c r="B1843" i="24"/>
  <c r="M1843" i="24"/>
  <c r="P1843" i="24"/>
  <c r="Q1843" i="24"/>
  <c r="V1843" i="24"/>
  <c r="B1844" i="24"/>
  <c r="M1844" i="24"/>
  <c r="P1844" i="24"/>
  <c r="Q1844" i="24"/>
  <c r="V1844" i="24"/>
  <c r="B1845" i="24"/>
  <c r="M1845" i="24"/>
  <c r="P1845" i="24"/>
  <c r="Q1845" i="24"/>
  <c r="V1845" i="24"/>
  <c r="B1846" i="24"/>
  <c r="M1846" i="24"/>
  <c r="P1846" i="24"/>
  <c r="Q1846" i="24"/>
  <c r="V1846" i="24"/>
  <c r="B1847" i="24"/>
  <c r="M1847" i="24"/>
  <c r="P1847" i="24"/>
  <c r="Q1847" i="24"/>
  <c r="V1847" i="24"/>
  <c r="B1848" i="24"/>
  <c r="M1848" i="24"/>
  <c r="P1848" i="24"/>
  <c r="Q1848" i="24"/>
  <c r="V1848" i="24"/>
  <c r="B1849" i="24"/>
  <c r="M1849" i="24"/>
  <c r="P1849" i="24"/>
  <c r="Q1849" i="24"/>
  <c r="V1849" i="24"/>
  <c r="B1850" i="24"/>
  <c r="M1850" i="24"/>
  <c r="P1850" i="24"/>
  <c r="Q1850" i="24"/>
  <c r="V1850" i="24"/>
  <c r="B1851" i="24"/>
  <c r="M1851" i="24"/>
  <c r="P1851" i="24"/>
  <c r="Q1851" i="24"/>
  <c r="V1851" i="24"/>
  <c r="B1852" i="24"/>
  <c r="M1852" i="24"/>
  <c r="P1852" i="24"/>
  <c r="Q1852" i="24"/>
  <c r="V1852" i="24"/>
  <c r="B1853" i="24"/>
  <c r="M1853" i="24"/>
  <c r="P1853" i="24"/>
  <c r="Q1853" i="24"/>
  <c r="V1853" i="24"/>
  <c r="B1854" i="24"/>
  <c r="M1854" i="24"/>
  <c r="P1854" i="24"/>
  <c r="Q1854" i="24"/>
  <c r="V1854" i="24"/>
  <c r="B1855" i="24"/>
  <c r="M1855" i="24"/>
  <c r="P1855" i="24"/>
  <c r="Q1855" i="24"/>
  <c r="V1855" i="24"/>
  <c r="B1856" i="24"/>
  <c r="M1856" i="24"/>
  <c r="P1856" i="24"/>
  <c r="Q1856" i="24"/>
  <c r="V1856" i="24"/>
  <c r="B1857" i="24"/>
  <c r="M1857" i="24"/>
  <c r="P1857" i="24"/>
  <c r="Q1857" i="24"/>
  <c r="V1857" i="24"/>
  <c r="B1858" i="24"/>
  <c r="M1858" i="24"/>
  <c r="P1858" i="24"/>
  <c r="Q1858" i="24"/>
  <c r="V1858" i="24"/>
  <c r="B1859" i="24"/>
  <c r="M1859" i="24"/>
  <c r="P1859" i="24"/>
  <c r="Q1859" i="24"/>
  <c r="V1859" i="24"/>
  <c r="B1860" i="24"/>
  <c r="M1860" i="24"/>
  <c r="P1860" i="24"/>
  <c r="Q1860" i="24"/>
  <c r="V1860" i="24"/>
  <c r="B1861" i="24"/>
  <c r="M1861" i="24"/>
  <c r="P1861" i="24"/>
  <c r="Q1861" i="24"/>
  <c r="V1861" i="24"/>
  <c r="B1862" i="24"/>
  <c r="M1862" i="24"/>
  <c r="P1862" i="24"/>
  <c r="Q1862" i="24"/>
  <c r="V1862" i="24"/>
  <c r="B1863" i="24"/>
  <c r="M1863" i="24"/>
  <c r="P1863" i="24"/>
  <c r="Q1863" i="24"/>
  <c r="V1863" i="24"/>
  <c r="B1864" i="24"/>
  <c r="M1864" i="24"/>
  <c r="P1864" i="24"/>
  <c r="Q1864" i="24"/>
  <c r="V1864" i="24"/>
  <c r="B1865" i="24"/>
  <c r="M1865" i="24"/>
  <c r="P1865" i="24"/>
  <c r="Q1865" i="24"/>
  <c r="V1865" i="24"/>
  <c r="B1866" i="24"/>
  <c r="M1866" i="24"/>
  <c r="P1866" i="24"/>
  <c r="Q1866" i="24"/>
  <c r="V1866" i="24"/>
  <c r="B1867" i="24"/>
  <c r="M1867" i="24"/>
  <c r="P1867" i="24"/>
  <c r="Q1867" i="24"/>
  <c r="V1867" i="24"/>
  <c r="B1868" i="24"/>
  <c r="M1868" i="24"/>
  <c r="P1868" i="24"/>
  <c r="Q1868" i="24"/>
  <c r="V1868" i="24"/>
  <c r="B1869" i="24"/>
  <c r="M1869" i="24"/>
  <c r="P1869" i="24"/>
  <c r="Q1869" i="24"/>
  <c r="V1869" i="24"/>
  <c r="B1870" i="24"/>
  <c r="M1870" i="24"/>
  <c r="P1870" i="24"/>
  <c r="Q1870" i="24"/>
  <c r="V1870" i="24"/>
  <c r="B1871" i="24"/>
  <c r="M1871" i="24"/>
  <c r="P1871" i="24"/>
  <c r="Q1871" i="24"/>
  <c r="V1871" i="24"/>
  <c r="B1872" i="24"/>
  <c r="M1872" i="24"/>
  <c r="P1872" i="24"/>
  <c r="Q1872" i="24"/>
  <c r="V1872" i="24"/>
  <c r="B1873" i="24"/>
  <c r="M1873" i="24"/>
  <c r="P1873" i="24"/>
  <c r="Q1873" i="24"/>
  <c r="V1873" i="24"/>
  <c r="B1874" i="24"/>
  <c r="M1874" i="24"/>
  <c r="P1874" i="24"/>
  <c r="Q1874" i="24"/>
  <c r="V1874" i="24"/>
  <c r="B1875" i="24"/>
  <c r="M1875" i="24"/>
  <c r="P1875" i="24"/>
  <c r="Q1875" i="24"/>
  <c r="V1875" i="24"/>
  <c r="B1876" i="24"/>
  <c r="M1876" i="24"/>
  <c r="P1876" i="24"/>
  <c r="Q1876" i="24"/>
  <c r="V1876" i="24"/>
  <c r="B1877" i="24"/>
  <c r="M1877" i="24"/>
  <c r="P1877" i="24"/>
  <c r="Q1877" i="24"/>
  <c r="V1877" i="24"/>
  <c r="B1878" i="24"/>
  <c r="M1878" i="24"/>
  <c r="P1878" i="24"/>
  <c r="Q1878" i="24"/>
  <c r="V1878" i="24"/>
  <c r="B1879" i="24"/>
  <c r="M1879" i="24"/>
  <c r="P1879" i="24"/>
  <c r="Q1879" i="24"/>
  <c r="V1879" i="24"/>
  <c r="B1880" i="24"/>
  <c r="M1880" i="24"/>
  <c r="P1880" i="24"/>
  <c r="Q1880" i="24"/>
  <c r="V1880" i="24"/>
  <c r="B1881" i="24"/>
  <c r="M1881" i="24"/>
  <c r="P1881" i="24"/>
  <c r="Q1881" i="24"/>
  <c r="V1881" i="24"/>
  <c r="B1882" i="24"/>
  <c r="M1882" i="24"/>
  <c r="P1882" i="24"/>
  <c r="Q1882" i="24"/>
  <c r="V1882" i="24"/>
  <c r="B1883" i="24"/>
  <c r="M1883" i="24"/>
  <c r="P1883" i="24"/>
  <c r="Q1883" i="24"/>
  <c r="V1883" i="24"/>
  <c r="B1884" i="24"/>
  <c r="M1884" i="24"/>
  <c r="P1884" i="24"/>
  <c r="Q1884" i="24"/>
  <c r="V1884" i="24"/>
  <c r="B1885" i="24"/>
  <c r="M1885" i="24"/>
  <c r="P1885" i="24"/>
  <c r="Q1885" i="24"/>
  <c r="V1885" i="24"/>
  <c r="B1886" i="24"/>
  <c r="M1886" i="24"/>
  <c r="P1886" i="24"/>
  <c r="Q1886" i="24"/>
  <c r="V1886" i="24"/>
  <c r="B1887" i="24"/>
  <c r="M1887" i="24"/>
  <c r="P1887" i="24"/>
  <c r="Q1887" i="24"/>
  <c r="V1887" i="24"/>
  <c r="B1888" i="24"/>
  <c r="M1888" i="24"/>
  <c r="P1888" i="24"/>
  <c r="Q1888" i="24"/>
  <c r="V1888" i="24"/>
  <c r="B1889" i="24"/>
  <c r="M1889" i="24"/>
  <c r="P1889" i="24"/>
  <c r="Q1889" i="24"/>
  <c r="V1889" i="24"/>
  <c r="B1890" i="24"/>
  <c r="M1890" i="24"/>
  <c r="P1890" i="24"/>
  <c r="Q1890" i="24"/>
  <c r="V1890" i="24"/>
  <c r="B1891" i="24"/>
  <c r="M1891" i="24"/>
  <c r="P1891" i="24"/>
  <c r="Q1891" i="24"/>
  <c r="V1891" i="24"/>
  <c r="B1892" i="24"/>
  <c r="M1892" i="24"/>
  <c r="P1892" i="24"/>
  <c r="Q1892" i="24"/>
  <c r="V1892" i="24"/>
  <c r="B1893" i="24"/>
  <c r="M1893" i="24"/>
  <c r="P1893" i="24"/>
  <c r="Q1893" i="24"/>
  <c r="V1893" i="24"/>
  <c r="B1894" i="24"/>
  <c r="M1894" i="24"/>
  <c r="P1894" i="24"/>
  <c r="Q1894" i="24"/>
  <c r="V1894" i="24"/>
  <c r="B1895" i="24"/>
  <c r="M1895" i="24"/>
  <c r="P1895" i="24"/>
  <c r="Q1895" i="24"/>
  <c r="V1895" i="24"/>
  <c r="B1896" i="24"/>
  <c r="M1896" i="24"/>
  <c r="P1896" i="24"/>
  <c r="Q1896" i="24"/>
  <c r="V1896" i="24"/>
  <c r="B1897" i="24"/>
  <c r="M1897" i="24"/>
  <c r="P1897" i="24"/>
  <c r="Q1897" i="24"/>
  <c r="V1897" i="24"/>
  <c r="B1898" i="24"/>
  <c r="M1898" i="24"/>
  <c r="P1898" i="24"/>
  <c r="Q1898" i="24"/>
  <c r="V1898" i="24"/>
  <c r="B1899" i="24"/>
  <c r="M1899" i="24"/>
  <c r="P1899" i="24"/>
  <c r="Q1899" i="24"/>
  <c r="V1899" i="24"/>
  <c r="B1900" i="24"/>
  <c r="M1900" i="24"/>
  <c r="P1900" i="24"/>
  <c r="Q1900" i="24"/>
  <c r="V1900" i="24"/>
  <c r="B1901" i="24"/>
  <c r="M1901" i="24"/>
  <c r="P1901" i="24"/>
  <c r="Q1901" i="24"/>
  <c r="V1901" i="24"/>
  <c r="B1902" i="24"/>
  <c r="M1902" i="24"/>
  <c r="P1902" i="24"/>
  <c r="Q1902" i="24"/>
  <c r="V1902" i="24"/>
  <c r="B1903" i="24"/>
  <c r="M1903" i="24"/>
  <c r="P1903" i="24"/>
  <c r="Q1903" i="24"/>
  <c r="V1903" i="24"/>
  <c r="B1904" i="24"/>
  <c r="M1904" i="24"/>
  <c r="P1904" i="24"/>
  <c r="Q1904" i="24"/>
  <c r="V1904" i="24"/>
  <c r="B1905" i="24"/>
  <c r="M1905" i="24"/>
  <c r="P1905" i="24"/>
  <c r="Q1905" i="24"/>
  <c r="V1905" i="24"/>
  <c r="B1906" i="24"/>
  <c r="M1906" i="24"/>
  <c r="P1906" i="24"/>
  <c r="Q1906" i="24"/>
  <c r="V1906" i="24"/>
  <c r="B1907" i="24"/>
  <c r="M1907" i="24"/>
  <c r="P1907" i="24"/>
  <c r="Q1907" i="24"/>
  <c r="V1907" i="24"/>
  <c r="B1908" i="24"/>
  <c r="M1908" i="24"/>
  <c r="P1908" i="24"/>
  <c r="Q1908" i="24"/>
  <c r="V1908" i="24"/>
  <c r="B1909" i="24"/>
  <c r="M1909" i="24"/>
  <c r="P1909" i="24"/>
  <c r="Q1909" i="24"/>
  <c r="V1909" i="24"/>
  <c r="B1910" i="24"/>
  <c r="M1910" i="24"/>
  <c r="P1910" i="24"/>
  <c r="Q1910" i="24"/>
  <c r="V1910" i="24"/>
  <c r="B1911" i="24"/>
  <c r="M1911" i="24"/>
  <c r="P1911" i="24"/>
  <c r="Q1911" i="24"/>
  <c r="V1911" i="24"/>
  <c r="B1912" i="24"/>
  <c r="M1912" i="24"/>
  <c r="P1912" i="24"/>
  <c r="Q1912" i="24"/>
  <c r="V1912" i="24"/>
  <c r="B1913" i="24"/>
  <c r="M1913" i="24"/>
  <c r="P1913" i="24"/>
  <c r="Q1913" i="24"/>
  <c r="V1913" i="24"/>
  <c r="B1914" i="24"/>
  <c r="M1914" i="24"/>
  <c r="P1914" i="24"/>
  <c r="Q1914" i="24"/>
  <c r="V1914" i="24"/>
  <c r="B1915" i="24"/>
  <c r="M1915" i="24"/>
  <c r="P1915" i="24"/>
  <c r="Q1915" i="24"/>
  <c r="V1915" i="24"/>
  <c r="B1916" i="24"/>
  <c r="M1916" i="24"/>
  <c r="P1916" i="24"/>
  <c r="Q1916" i="24"/>
  <c r="V1916" i="24"/>
  <c r="B1917" i="24"/>
  <c r="M1917" i="24"/>
  <c r="P1917" i="24"/>
  <c r="Q1917" i="24"/>
  <c r="V1917" i="24"/>
  <c r="B1918" i="24"/>
  <c r="M1918" i="24"/>
  <c r="P1918" i="24"/>
  <c r="Q1918" i="24"/>
  <c r="V1918" i="24"/>
  <c r="B1919" i="24"/>
  <c r="M1919" i="24"/>
  <c r="P1919" i="24"/>
  <c r="Q1919" i="24"/>
  <c r="V1919" i="24"/>
  <c r="B1920" i="24"/>
  <c r="M1920" i="24"/>
  <c r="P1920" i="24"/>
  <c r="Q1920" i="24"/>
  <c r="V1920" i="24"/>
  <c r="B1921" i="24"/>
  <c r="M1921" i="24"/>
  <c r="P1921" i="24"/>
  <c r="Q1921" i="24"/>
  <c r="V1921" i="24"/>
  <c r="B1922" i="24"/>
  <c r="M1922" i="24"/>
  <c r="P1922" i="24"/>
  <c r="Q1922" i="24"/>
  <c r="V1922" i="24"/>
  <c r="B1923" i="24"/>
  <c r="M1923" i="24"/>
  <c r="P1923" i="24"/>
  <c r="Q1923" i="24"/>
  <c r="V1923" i="24"/>
  <c r="B1924" i="24"/>
  <c r="M1924" i="24"/>
  <c r="P1924" i="24"/>
  <c r="Q1924" i="24"/>
  <c r="V1924" i="24"/>
  <c r="B1925" i="24"/>
  <c r="M1925" i="24"/>
  <c r="P1925" i="24"/>
  <c r="Q1925" i="24"/>
  <c r="V1925" i="24"/>
  <c r="B1926" i="24"/>
  <c r="M1926" i="24"/>
  <c r="P1926" i="24"/>
  <c r="Q1926" i="24"/>
  <c r="V1926" i="24"/>
  <c r="B1927" i="24"/>
  <c r="M1927" i="24"/>
  <c r="P1927" i="24"/>
  <c r="Q1927" i="24"/>
  <c r="V1927" i="24"/>
  <c r="B1928" i="24"/>
  <c r="M1928" i="24"/>
  <c r="P1928" i="24"/>
  <c r="Q1928" i="24"/>
  <c r="V1928" i="24"/>
  <c r="B1929" i="24"/>
  <c r="M1929" i="24"/>
  <c r="P1929" i="24"/>
  <c r="Q1929" i="24"/>
  <c r="V1929" i="24"/>
  <c r="B1930" i="24"/>
  <c r="M1930" i="24"/>
  <c r="P1930" i="24"/>
  <c r="Q1930" i="24"/>
  <c r="V1930" i="24"/>
  <c r="B1931" i="24"/>
  <c r="M1931" i="24"/>
  <c r="P1931" i="24"/>
  <c r="Q1931" i="24"/>
  <c r="V1931" i="24"/>
  <c r="B1932" i="24"/>
  <c r="M1932" i="24"/>
  <c r="P1932" i="24"/>
  <c r="Q1932" i="24"/>
  <c r="V1932" i="24"/>
  <c r="B1933" i="24"/>
  <c r="M1933" i="24"/>
  <c r="P1933" i="24"/>
  <c r="Q1933" i="24"/>
  <c r="V1933" i="24"/>
  <c r="B1934" i="24"/>
  <c r="M1934" i="24"/>
  <c r="P1934" i="24"/>
  <c r="Q1934" i="24"/>
  <c r="V1934" i="24"/>
  <c r="B1935" i="24"/>
  <c r="M1935" i="24"/>
  <c r="P1935" i="24"/>
  <c r="Q1935" i="24"/>
  <c r="V1935" i="24"/>
  <c r="B1936" i="24"/>
  <c r="M1936" i="24"/>
  <c r="P1936" i="24"/>
  <c r="Q1936" i="24"/>
  <c r="V1936" i="24"/>
  <c r="B1937" i="24"/>
  <c r="M1937" i="24"/>
  <c r="P1937" i="24"/>
  <c r="Q1937" i="24"/>
  <c r="V1937" i="24"/>
  <c r="B1938" i="24"/>
  <c r="M1938" i="24"/>
  <c r="P1938" i="24"/>
  <c r="Q1938" i="24"/>
  <c r="V1938" i="24"/>
  <c r="B1939" i="24"/>
  <c r="M1939" i="24"/>
  <c r="P1939" i="24"/>
  <c r="Q1939" i="24"/>
  <c r="V1939" i="24"/>
  <c r="B1940" i="24"/>
  <c r="M1940" i="24"/>
  <c r="P1940" i="24"/>
  <c r="Q1940" i="24"/>
  <c r="V1940" i="24"/>
  <c r="B1941" i="24"/>
  <c r="M1941" i="24"/>
  <c r="P1941" i="24"/>
  <c r="Q1941" i="24"/>
  <c r="V1941" i="24"/>
  <c r="B1942" i="24"/>
  <c r="M1942" i="24"/>
  <c r="P1942" i="24"/>
  <c r="Q1942" i="24"/>
  <c r="V1942" i="24"/>
  <c r="B1943" i="24"/>
  <c r="M1943" i="24"/>
  <c r="P1943" i="24"/>
  <c r="Q1943" i="24"/>
  <c r="V1943" i="24"/>
  <c r="B1944" i="24"/>
  <c r="M1944" i="24"/>
  <c r="P1944" i="24"/>
  <c r="Q1944" i="24"/>
  <c r="V1944" i="24"/>
  <c r="B1945" i="24"/>
  <c r="M1945" i="24"/>
  <c r="P1945" i="24"/>
  <c r="Q1945" i="24"/>
  <c r="V1945" i="24"/>
  <c r="B1946" i="24"/>
  <c r="M1946" i="24"/>
  <c r="P1946" i="24"/>
  <c r="Q1946" i="24"/>
  <c r="V1946" i="24"/>
  <c r="B1947" i="24"/>
  <c r="M1947" i="24"/>
  <c r="P1947" i="24"/>
  <c r="Q1947" i="24"/>
  <c r="V1947" i="24"/>
  <c r="B1948" i="24"/>
  <c r="M1948" i="24"/>
  <c r="P1948" i="24"/>
  <c r="Q1948" i="24"/>
  <c r="V1948" i="24"/>
  <c r="B1949" i="24"/>
  <c r="M1949" i="24"/>
  <c r="P1949" i="24"/>
  <c r="Q1949" i="24"/>
  <c r="V1949" i="24"/>
  <c r="B1950" i="24"/>
  <c r="M1950" i="24"/>
  <c r="P1950" i="24"/>
  <c r="Q1950" i="24"/>
  <c r="V1950" i="24"/>
  <c r="B1951" i="24"/>
  <c r="M1951" i="24"/>
  <c r="P1951" i="24"/>
  <c r="Q1951" i="24"/>
  <c r="V1951" i="24"/>
  <c r="B1952" i="24"/>
  <c r="M1952" i="24"/>
  <c r="P1952" i="24"/>
  <c r="Q1952" i="24"/>
  <c r="V1952" i="24"/>
  <c r="B1953" i="24"/>
  <c r="M1953" i="24"/>
  <c r="P1953" i="24"/>
  <c r="Q1953" i="24"/>
  <c r="V1953" i="24"/>
  <c r="B1954" i="24"/>
  <c r="M1954" i="24"/>
  <c r="P1954" i="24"/>
  <c r="Q1954" i="24"/>
  <c r="V1954" i="24"/>
  <c r="B1955" i="24"/>
  <c r="M1955" i="24"/>
  <c r="P1955" i="24"/>
  <c r="Q1955" i="24"/>
  <c r="V1955" i="24"/>
  <c r="B1956" i="24"/>
  <c r="M1956" i="24"/>
  <c r="P1956" i="24"/>
  <c r="Q1956" i="24"/>
  <c r="V1956" i="24"/>
  <c r="B1957" i="24"/>
  <c r="M1957" i="24"/>
  <c r="P1957" i="24"/>
  <c r="Q1957" i="24"/>
  <c r="V1957" i="24"/>
  <c r="B1958" i="24"/>
  <c r="M1958" i="24"/>
  <c r="P1958" i="24"/>
  <c r="Q1958" i="24"/>
  <c r="V1958" i="24"/>
  <c r="B1959" i="24"/>
  <c r="M1959" i="24"/>
  <c r="P1959" i="24"/>
  <c r="Q1959" i="24"/>
  <c r="V1959" i="24"/>
  <c r="B1960" i="24"/>
  <c r="M1960" i="24"/>
  <c r="P1960" i="24"/>
  <c r="Q1960" i="24"/>
  <c r="V1960" i="24"/>
  <c r="B1961" i="24"/>
  <c r="M1961" i="24"/>
  <c r="P1961" i="24"/>
  <c r="Q1961" i="24"/>
  <c r="V1961" i="24"/>
  <c r="B1962" i="24"/>
  <c r="M1962" i="24"/>
  <c r="P1962" i="24"/>
  <c r="Q1962" i="24"/>
  <c r="V1962" i="24"/>
  <c r="B1963" i="24"/>
  <c r="M1963" i="24"/>
  <c r="P1963" i="24"/>
  <c r="Q1963" i="24"/>
  <c r="V1963" i="24"/>
  <c r="B1964" i="24"/>
  <c r="M1964" i="24"/>
  <c r="P1964" i="24"/>
  <c r="Q1964" i="24"/>
  <c r="V1964" i="24"/>
  <c r="B1965" i="24"/>
  <c r="M1965" i="24"/>
  <c r="P1965" i="24"/>
  <c r="Q1965" i="24"/>
  <c r="V1965" i="24"/>
  <c r="B1966" i="24"/>
  <c r="M1966" i="24"/>
  <c r="P1966" i="24"/>
  <c r="Q1966" i="24"/>
  <c r="V1966" i="24"/>
  <c r="B1967" i="24"/>
  <c r="M1967" i="24"/>
  <c r="P1967" i="24"/>
  <c r="Q1967" i="24"/>
  <c r="V1967" i="24"/>
  <c r="B1968" i="24"/>
  <c r="M1968" i="24"/>
  <c r="P1968" i="24"/>
  <c r="Q1968" i="24"/>
  <c r="V1968" i="24"/>
  <c r="B1969" i="24"/>
  <c r="M1969" i="24"/>
  <c r="P1969" i="24"/>
  <c r="Q1969" i="24"/>
  <c r="V1969" i="24"/>
  <c r="B1970" i="24"/>
  <c r="M1970" i="24"/>
  <c r="P1970" i="24"/>
  <c r="Q1970" i="24"/>
  <c r="V1970" i="24"/>
  <c r="B1971" i="24"/>
  <c r="M1971" i="24"/>
  <c r="P1971" i="24"/>
  <c r="Q1971" i="24"/>
  <c r="V1971" i="24"/>
  <c r="B1972" i="24"/>
  <c r="M1972" i="24"/>
  <c r="P1972" i="24"/>
  <c r="Q1972" i="24"/>
  <c r="V1972" i="24"/>
  <c r="B1973" i="24"/>
  <c r="M1973" i="24"/>
  <c r="P1973" i="24"/>
  <c r="Q1973" i="24"/>
  <c r="V1973" i="24"/>
  <c r="B1974" i="24"/>
  <c r="M1974" i="24"/>
  <c r="P1974" i="24"/>
  <c r="Q1974" i="24"/>
  <c r="V1974" i="24"/>
  <c r="B1975" i="24"/>
  <c r="M1975" i="24"/>
  <c r="P1975" i="24"/>
  <c r="Q1975" i="24"/>
  <c r="V1975" i="24"/>
  <c r="B1976" i="24"/>
  <c r="M1976" i="24"/>
  <c r="P1976" i="24"/>
  <c r="Q1976" i="24"/>
  <c r="V1976" i="24"/>
  <c r="B1977" i="24"/>
  <c r="M1977" i="24"/>
  <c r="P1977" i="24"/>
  <c r="Q1977" i="24"/>
  <c r="V1977" i="24"/>
  <c r="B1978" i="24"/>
  <c r="M1978" i="24"/>
  <c r="P1978" i="24"/>
  <c r="Q1978" i="24"/>
  <c r="V1978" i="24"/>
  <c r="B1979" i="24"/>
  <c r="M1979" i="24"/>
  <c r="P1979" i="24"/>
  <c r="Q1979" i="24"/>
  <c r="V1979" i="24"/>
  <c r="B1980" i="24"/>
  <c r="M1980" i="24"/>
  <c r="P1980" i="24"/>
  <c r="Q1980" i="24"/>
  <c r="V1980" i="24"/>
  <c r="B1981" i="24"/>
  <c r="M1981" i="24"/>
  <c r="P1981" i="24"/>
  <c r="Q1981" i="24"/>
  <c r="V1981" i="24"/>
  <c r="B1982" i="24"/>
  <c r="M1982" i="24"/>
  <c r="P1982" i="24"/>
  <c r="Q1982" i="24"/>
  <c r="V1982" i="24"/>
  <c r="B1983" i="24"/>
  <c r="M1983" i="24"/>
  <c r="P1983" i="24"/>
  <c r="Q1983" i="24"/>
  <c r="V1983" i="24"/>
  <c r="B1984" i="24"/>
  <c r="M1984" i="24"/>
  <c r="P1984" i="24"/>
  <c r="Q1984" i="24"/>
  <c r="V1984" i="24"/>
  <c r="B1985" i="24"/>
  <c r="M1985" i="24"/>
  <c r="P1985" i="24"/>
  <c r="Q1985" i="24"/>
  <c r="V1985" i="24"/>
  <c r="B1986" i="24"/>
  <c r="M1986" i="24"/>
  <c r="P1986" i="24"/>
  <c r="Q1986" i="24"/>
  <c r="V1986" i="24"/>
  <c r="B1987" i="24"/>
  <c r="M1987" i="24"/>
  <c r="P1987" i="24"/>
  <c r="Q1987" i="24"/>
  <c r="V1987" i="24"/>
  <c r="B1988" i="24"/>
  <c r="M1988" i="24"/>
  <c r="P1988" i="24"/>
  <c r="Q1988" i="24"/>
  <c r="V1988" i="24"/>
  <c r="B1989" i="24"/>
  <c r="M1989" i="24"/>
  <c r="P1989" i="24"/>
  <c r="Q1989" i="24"/>
  <c r="V1989" i="24"/>
  <c r="B1990" i="24"/>
  <c r="M1990" i="24"/>
  <c r="P1990" i="24"/>
  <c r="Q1990" i="24"/>
  <c r="V1990" i="24"/>
  <c r="B1991" i="24"/>
  <c r="M1991" i="24"/>
  <c r="P1991" i="24"/>
  <c r="Q1991" i="24"/>
  <c r="V1991" i="24"/>
  <c r="B1992" i="24"/>
  <c r="M1992" i="24"/>
  <c r="P1992" i="24"/>
  <c r="Q1992" i="24"/>
  <c r="V1992" i="24"/>
  <c r="B1993" i="24"/>
  <c r="M1993" i="24"/>
  <c r="P1993" i="24"/>
  <c r="Q1993" i="24"/>
  <c r="V1993" i="24"/>
  <c r="B1994" i="24"/>
  <c r="M1994" i="24"/>
  <c r="P1994" i="24"/>
  <c r="Q1994" i="24"/>
  <c r="V1994" i="24"/>
  <c r="B1995" i="24"/>
  <c r="M1995" i="24"/>
  <c r="P1995" i="24"/>
  <c r="Q1995" i="24"/>
  <c r="V1995" i="24"/>
  <c r="B1996" i="24"/>
  <c r="M1996" i="24"/>
  <c r="P1996" i="24"/>
  <c r="Q1996" i="24"/>
  <c r="V1996" i="24"/>
  <c r="B1997" i="24"/>
  <c r="M1997" i="24"/>
  <c r="P1997" i="24"/>
  <c r="Q1997" i="24"/>
  <c r="V1997" i="24"/>
  <c r="B1998" i="24"/>
  <c r="M1998" i="24"/>
  <c r="P1998" i="24"/>
  <c r="Q1998" i="24"/>
  <c r="V1998" i="24"/>
  <c r="B1999" i="24"/>
  <c r="M1999" i="24"/>
  <c r="P1999" i="24"/>
  <c r="Q1999" i="24"/>
  <c r="V1999" i="24"/>
  <c r="B2000" i="24"/>
  <c r="M2000" i="24"/>
  <c r="P2000" i="24"/>
  <c r="Q2000" i="24"/>
  <c r="V2000" i="24"/>
  <c r="B2001" i="24"/>
  <c r="M2001" i="24"/>
  <c r="P2001" i="24"/>
  <c r="Q2001" i="24"/>
  <c r="V2001" i="24"/>
  <c r="B2002" i="24"/>
  <c r="M2002" i="24"/>
  <c r="P2002" i="24"/>
  <c r="Q2002" i="24"/>
  <c r="V2002" i="24"/>
  <c r="B2003" i="24"/>
  <c r="M2003" i="24"/>
  <c r="P2003" i="24"/>
  <c r="Q2003" i="24"/>
  <c r="V2003" i="24"/>
  <c r="B2004" i="24"/>
  <c r="M2004" i="24"/>
  <c r="P2004" i="24"/>
  <c r="Q2004" i="24"/>
  <c r="V2004" i="24"/>
  <c r="B2005" i="24"/>
  <c r="M2005" i="24"/>
  <c r="P2005" i="24"/>
  <c r="Q2005" i="24"/>
  <c r="V2005" i="24"/>
  <c r="B2006" i="24"/>
  <c r="M2006" i="24"/>
  <c r="P2006" i="24"/>
  <c r="Q2006" i="24"/>
  <c r="V2006" i="24"/>
  <c r="B2007" i="24"/>
  <c r="M2007" i="24"/>
  <c r="P2007" i="24"/>
  <c r="Q2007" i="24"/>
  <c r="V2007" i="24"/>
  <c r="B2008" i="24"/>
  <c r="M2008" i="24"/>
  <c r="P2008" i="24"/>
  <c r="Q2008" i="24"/>
  <c r="V2008" i="24"/>
  <c r="B2009" i="24"/>
  <c r="M2009" i="24"/>
  <c r="P2009" i="24"/>
  <c r="Q2009" i="24"/>
  <c r="V2009" i="24"/>
  <c r="B2010" i="24"/>
  <c r="M2010" i="24"/>
  <c r="P2010" i="24"/>
  <c r="Q2010" i="24"/>
  <c r="V2010" i="24"/>
  <c r="B2011" i="24"/>
  <c r="M2011" i="24"/>
  <c r="P2011" i="24"/>
  <c r="Q2011" i="24"/>
  <c r="V2011" i="24"/>
  <c r="B2012" i="24"/>
  <c r="M2012" i="24"/>
  <c r="P2012" i="24"/>
  <c r="Q2012" i="24"/>
  <c r="V2012" i="24"/>
  <c r="B2013" i="24"/>
  <c r="M2013" i="24"/>
  <c r="P2013" i="24"/>
  <c r="Q2013" i="24"/>
  <c r="V2013" i="24"/>
  <c r="B2014" i="24"/>
  <c r="M2014" i="24"/>
  <c r="P2014" i="24"/>
  <c r="Q2014" i="24"/>
  <c r="V2014" i="24"/>
  <c r="B2015" i="24"/>
  <c r="M2015" i="24"/>
  <c r="P2015" i="24"/>
  <c r="Q2015" i="24"/>
  <c r="V2015" i="24"/>
  <c r="B2016" i="24"/>
  <c r="M2016" i="24"/>
  <c r="P2016" i="24"/>
  <c r="Q2016" i="24"/>
  <c r="V2016" i="24"/>
  <c r="B2017" i="24"/>
  <c r="M2017" i="24"/>
  <c r="P2017" i="24"/>
  <c r="Q2017" i="24"/>
  <c r="V2017" i="24"/>
  <c r="B2018" i="24"/>
  <c r="M2018" i="24"/>
  <c r="P2018" i="24"/>
  <c r="Q2018" i="24"/>
  <c r="V2018" i="24"/>
  <c r="B2019" i="24"/>
  <c r="M2019" i="24"/>
  <c r="P2019" i="24"/>
  <c r="Q2019" i="24"/>
  <c r="V2019" i="24"/>
  <c r="B2020" i="24"/>
  <c r="M2020" i="24"/>
  <c r="P2020" i="24"/>
  <c r="Q2020" i="24"/>
  <c r="V2020" i="24"/>
  <c r="B2021" i="24"/>
  <c r="M2021" i="24"/>
  <c r="P2021" i="24"/>
  <c r="Q2021" i="24"/>
  <c r="V2021" i="24"/>
  <c r="B2022" i="24"/>
  <c r="M2022" i="24"/>
  <c r="P2022" i="24"/>
  <c r="Q2022" i="24"/>
  <c r="V2022" i="24"/>
  <c r="B2023" i="24"/>
  <c r="M2023" i="24"/>
  <c r="P2023" i="24"/>
  <c r="Q2023" i="24"/>
  <c r="V2023" i="24"/>
  <c r="B2024" i="24"/>
  <c r="M2024" i="24"/>
  <c r="P2024" i="24"/>
  <c r="Q2024" i="24"/>
  <c r="V2024" i="24"/>
  <c r="B2025" i="24"/>
  <c r="M2025" i="24"/>
  <c r="P2025" i="24"/>
  <c r="Q2025" i="24"/>
  <c r="V2025" i="24"/>
  <c r="B2026" i="24"/>
  <c r="M2026" i="24"/>
  <c r="P2026" i="24"/>
  <c r="Q2026" i="24"/>
  <c r="V2026" i="24"/>
  <c r="B2027" i="24"/>
  <c r="M2027" i="24"/>
  <c r="P2027" i="24"/>
  <c r="Q2027" i="24"/>
  <c r="V2027" i="24"/>
  <c r="B2028" i="24"/>
  <c r="M2028" i="24"/>
  <c r="P2028" i="24"/>
  <c r="Q2028" i="24"/>
  <c r="V2028" i="24"/>
  <c r="B2029" i="24"/>
  <c r="M2029" i="24"/>
  <c r="P2029" i="24"/>
  <c r="Q2029" i="24"/>
  <c r="V2029" i="24"/>
  <c r="B2030" i="24"/>
  <c r="M2030" i="24"/>
  <c r="P2030" i="24"/>
  <c r="Q2030" i="24"/>
  <c r="V2030" i="24"/>
  <c r="B2031" i="24"/>
  <c r="M2031" i="24"/>
  <c r="P2031" i="24"/>
  <c r="Q2031" i="24"/>
  <c r="V2031" i="24"/>
  <c r="B2032" i="24"/>
  <c r="M2032" i="24"/>
  <c r="P2032" i="24"/>
  <c r="Q2032" i="24"/>
  <c r="V2032" i="24"/>
  <c r="B2033" i="24"/>
  <c r="M2033" i="24"/>
  <c r="P2033" i="24"/>
  <c r="Q2033" i="24"/>
  <c r="V2033" i="24"/>
  <c r="B2034" i="24"/>
  <c r="M2034" i="24"/>
  <c r="P2034" i="24"/>
  <c r="Q2034" i="24"/>
  <c r="V2034" i="24"/>
  <c r="B2035" i="24"/>
  <c r="M2035" i="24"/>
  <c r="P2035" i="24"/>
  <c r="Q2035" i="24"/>
  <c r="V2035" i="24"/>
  <c r="B2036" i="24"/>
  <c r="M2036" i="24"/>
  <c r="P2036" i="24"/>
  <c r="Q2036" i="24"/>
  <c r="V2036" i="24"/>
  <c r="B2037" i="24"/>
  <c r="M2037" i="24"/>
  <c r="P2037" i="24"/>
  <c r="Q2037" i="24"/>
  <c r="V2037" i="24"/>
  <c r="B2038" i="24"/>
  <c r="M2038" i="24"/>
  <c r="P2038" i="24"/>
  <c r="Q2038" i="24"/>
  <c r="V2038" i="24"/>
  <c r="B2039" i="24"/>
  <c r="M2039" i="24"/>
  <c r="P2039" i="24"/>
  <c r="Q2039" i="24"/>
  <c r="V2039" i="24"/>
  <c r="B2040" i="24"/>
  <c r="M2040" i="24"/>
  <c r="P2040" i="24"/>
  <c r="Q2040" i="24"/>
  <c r="V2040" i="24"/>
  <c r="B2041" i="24"/>
  <c r="M2041" i="24"/>
  <c r="P2041" i="24"/>
  <c r="Q2041" i="24"/>
  <c r="V2041" i="24"/>
  <c r="B2042" i="24"/>
  <c r="M2042" i="24"/>
  <c r="P2042" i="24"/>
  <c r="Q2042" i="24"/>
  <c r="V2042" i="24"/>
  <c r="B2043" i="24"/>
  <c r="M2043" i="24"/>
  <c r="P2043" i="24"/>
  <c r="Q2043" i="24"/>
  <c r="V2043" i="24"/>
  <c r="B2044" i="24"/>
  <c r="M2044" i="24"/>
  <c r="P2044" i="24"/>
  <c r="Q2044" i="24"/>
  <c r="V2044" i="24"/>
  <c r="B2045" i="24"/>
  <c r="M2045" i="24"/>
  <c r="P2045" i="24"/>
  <c r="Q2045" i="24"/>
  <c r="V2045" i="24"/>
  <c r="B2046" i="24"/>
  <c r="M2046" i="24"/>
  <c r="P2046" i="24"/>
  <c r="Q2046" i="24"/>
  <c r="V2046" i="24"/>
  <c r="B2047" i="24"/>
  <c r="M2047" i="24"/>
  <c r="P2047" i="24"/>
  <c r="Q2047" i="24"/>
  <c r="V2047" i="24"/>
  <c r="B2048" i="24"/>
  <c r="M2048" i="24"/>
  <c r="P2048" i="24"/>
  <c r="Q2048" i="24"/>
  <c r="V2048" i="24"/>
  <c r="B2049" i="24"/>
  <c r="M2049" i="24"/>
  <c r="P2049" i="24"/>
  <c r="Q2049" i="24"/>
  <c r="V2049" i="24"/>
  <c r="B2050" i="24"/>
  <c r="M2050" i="24"/>
  <c r="P2050" i="24"/>
  <c r="Q2050" i="24"/>
  <c r="V2050" i="24"/>
  <c r="B2051" i="24"/>
  <c r="M2051" i="24"/>
  <c r="P2051" i="24"/>
  <c r="Q2051" i="24"/>
  <c r="V2051" i="24"/>
  <c r="B2052" i="24"/>
  <c r="M2052" i="24"/>
  <c r="P2052" i="24"/>
  <c r="Q2052" i="24"/>
  <c r="V2052" i="24"/>
  <c r="B2053" i="24"/>
  <c r="M2053" i="24"/>
  <c r="P2053" i="24"/>
  <c r="Q2053" i="24"/>
  <c r="V2053" i="24"/>
  <c r="B2054" i="24"/>
  <c r="M2054" i="24"/>
  <c r="P2054" i="24"/>
  <c r="Q2054" i="24"/>
  <c r="V2054" i="24"/>
  <c r="B2055" i="24"/>
  <c r="M2055" i="24"/>
  <c r="P2055" i="24"/>
  <c r="Q2055" i="24"/>
  <c r="V2055" i="24"/>
  <c r="B2056" i="24"/>
  <c r="M2056" i="24"/>
  <c r="P2056" i="24"/>
  <c r="Q2056" i="24"/>
  <c r="V2056" i="24"/>
  <c r="B2057" i="24"/>
  <c r="M2057" i="24"/>
  <c r="P2057" i="24"/>
  <c r="Q2057" i="24"/>
  <c r="V2057" i="24"/>
  <c r="B2058" i="24"/>
  <c r="M2058" i="24"/>
  <c r="P2058" i="24"/>
  <c r="Q2058" i="24"/>
  <c r="V2058" i="24"/>
  <c r="B2059" i="24"/>
  <c r="M2059" i="24"/>
  <c r="P2059" i="24"/>
  <c r="Q2059" i="24"/>
  <c r="V2059" i="24"/>
  <c r="B2060" i="24"/>
  <c r="M2060" i="24"/>
  <c r="P2060" i="24"/>
  <c r="Q2060" i="24"/>
  <c r="V2060" i="24"/>
  <c r="B2061" i="24"/>
  <c r="M2061" i="24"/>
  <c r="P2061" i="24"/>
  <c r="Q2061" i="24"/>
  <c r="V2061" i="24"/>
  <c r="B2062" i="24"/>
  <c r="M2062" i="24"/>
  <c r="P2062" i="24"/>
  <c r="Q2062" i="24"/>
  <c r="V2062" i="24"/>
  <c r="B2063" i="24"/>
  <c r="M2063" i="24"/>
  <c r="P2063" i="24"/>
  <c r="Q2063" i="24"/>
  <c r="V2063" i="24"/>
  <c r="B2064" i="24"/>
  <c r="M2064" i="24"/>
  <c r="P2064" i="24"/>
  <c r="Q2064" i="24"/>
  <c r="V2064" i="24"/>
  <c r="B2065" i="24"/>
  <c r="M2065" i="24"/>
  <c r="P2065" i="24"/>
  <c r="Q2065" i="24"/>
  <c r="V2065" i="24"/>
  <c r="B2066" i="24"/>
  <c r="M2066" i="24"/>
  <c r="P2066" i="24"/>
  <c r="Q2066" i="24"/>
  <c r="V2066" i="24"/>
  <c r="B2067" i="24"/>
  <c r="M2067" i="24"/>
  <c r="P2067" i="24"/>
  <c r="Q2067" i="24"/>
  <c r="V2067" i="24"/>
  <c r="B2068" i="24"/>
  <c r="M2068" i="24"/>
  <c r="P2068" i="24"/>
  <c r="Q2068" i="24"/>
  <c r="V2068" i="24"/>
  <c r="B2069" i="24"/>
  <c r="M2069" i="24"/>
  <c r="P2069" i="24"/>
  <c r="Q2069" i="24"/>
  <c r="V2069" i="24"/>
  <c r="B2070" i="24"/>
  <c r="M2070" i="24"/>
  <c r="P2070" i="24"/>
  <c r="Q2070" i="24"/>
  <c r="V2070" i="24"/>
  <c r="B2071" i="24"/>
  <c r="M2071" i="24"/>
  <c r="P2071" i="24"/>
  <c r="Q2071" i="24"/>
  <c r="V2071" i="24"/>
  <c r="B2072" i="24"/>
  <c r="M2072" i="24"/>
  <c r="P2072" i="24"/>
  <c r="Q2072" i="24"/>
  <c r="V2072" i="24"/>
  <c r="B2073" i="24"/>
  <c r="M2073" i="24"/>
  <c r="P2073" i="24"/>
  <c r="Q2073" i="24"/>
  <c r="V2073" i="24"/>
  <c r="B2074" i="24"/>
  <c r="M2074" i="24"/>
  <c r="P2074" i="24"/>
  <c r="Q2074" i="24"/>
  <c r="V2074" i="24"/>
  <c r="B2075" i="24"/>
  <c r="M2075" i="24"/>
  <c r="P2075" i="24"/>
  <c r="Q2075" i="24"/>
  <c r="V2075" i="24"/>
  <c r="B2076" i="24"/>
  <c r="M2076" i="24"/>
  <c r="P2076" i="24"/>
  <c r="Q2076" i="24"/>
  <c r="V2076" i="24"/>
  <c r="B2077" i="24"/>
  <c r="M2077" i="24"/>
  <c r="P2077" i="24"/>
  <c r="Q2077" i="24"/>
  <c r="V2077" i="24"/>
  <c r="B2078" i="24"/>
  <c r="M2078" i="24"/>
  <c r="P2078" i="24"/>
  <c r="Q2078" i="24"/>
  <c r="V2078" i="24"/>
  <c r="B2079" i="24"/>
  <c r="M2079" i="24"/>
  <c r="P2079" i="24"/>
  <c r="Q2079" i="24"/>
  <c r="V2079" i="24"/>
  <c r="B2080" i="24"/>
  <c r="M2080" i="24"/>
  <c r="P2080" i="24"/>
  <c r="Q2080" i="24"/>
  <c r="V2080" i="24"/>
  <c r="B2081" i="24"/>
  <c r="M2081" i="24"/>
  <c r="P2081" i="24"/>
  <c r="Q2081" i="24"/>
  <c r="V2081" i="24"/>
  <c r="B2082" i="24"/>
  <c r="M2082" i="24"/>
  <c r="P2082" i="24"/>
  <c r="Q2082" i="24"/>
  <c r="V2082" i="24"/>
  <c r="B2083" i="24"/>
  <c r="M2083" i="24"/>
  <c r="P2083" i="24"/>
  <c r="Q2083" i="24"/>
  <c r="V2083" i="24"/>
  <c r="B2084" i="24"/>
  <c r="M2084" i="24"/>
  <c r="P2084" i="24"/>
  <c r="Q2084" i="24"/>
  <c r="V2084" i="24"/>
  <c r="B2085" i="24"/>
  <c r="M2085" i="24"/>
  <c r="P2085" i="24"/>
  <c r="Q2085" i="24"/>
  <c r="V2085" i="24"/>
  <c r="B2086" i="24"/>
  <c r="M2086" i="24"/>
  <c r="P2086" i="24"/>
  <c r="Q2086" i="24"/>
  <c r="V2086" i="24"/>
  <c r="B2087" i="24"/>
  <c r="M2087" i="24"/>
  <c r="P2087" i="24"/>
  <c r="Q2087" i="24"/>
  <c r="V2087" i="24"/>
  <c r="B2088" i="24"/>
  <c r="M2088" i="24"/>
  <c r="P2088" i="24"/>
  <c r="Q2088" i="24"/>
  <c r="V2088" i="24"/>
  <c r="B2089" i="24"/>
  <c r="M2089" i="24"/>
  <c r="P2089" i="24"/>
  <c r="Q2089" i="24"/>
  <c r="V2089" i="24"/>
  <c r="B2090" i="24"/>
  <c r="M2090" i="24"/>
  <c r="P2090" i="24"/>
  <c r="Q2090" i="24"/>
  <c r="V2090" i="24"/>
  <c r="B2091" i="24"/>
  <c r="M2091" i="24"/>
  <c r="P2091" i="24"/>
  <c r="Q2091" i="24"/>
  <c r="V2091" i="24"/>
  <c r="B2092" i="24"/>
  <c r="M2092" i="24"/>
  <c r="P2092" i="24"/>
  <c r="Q2092" i="24"/>
  <c r="V2092" i="24"/>
  <c r="B2093" i="24"/>
  <c r="M2093" i="24"/>
  <c r="P2093" i="24"/>
  <c r="Q2093" i="24"/>
  <c r="V2093" i="24"/>
  <c r="B2094" i="24"/>
  <c r="M2094" i="24"/>
  <c r="P2094" i="24"/>
  <c r="Q2094" i="24"/>
  <c r="V2094" i="24"/>
  <c r="B2095" i="24"/>
  <c r="M2095" i="24"/>
  <c r="P2095" i="24"/>
  <c r="Q2095" i="24"/>
  <c r="V2095" i="24"/>
  <c r="B2096" i="24"/>
  <c r="M2096" i="24"/>
  <c r="P2096" i="24"/>
  <c r="Q2096" i="24"/>
  <c r="V2096" i="24"/>
  <c r="B2097" i="24"/>
  <c r="M2097" i="24"/>
  <c r="P2097" i="24"/>
  <c r="Q2097" i="24"/>
  <c r="V2097" i="24"/>
  <c r="B2098" i="24"/>
  <c r="M2098" i="24"/>
  <c r="P2098" i="24"/>
  <c r="Q2098" i="24"/>
  <c r="V2098" i="24"/>
  <c r="B2099" i="24"/>
  <c r="M2099" i="24"/>
  <c r="P2099" i="24"/>
  <c r="Q2099" i="24"/>
  <c r="V2099" i="24"/>
  <c r="B2100" i="24"/>
  <c r="M2100" i="24"/>
  <c r="P2100" i="24"/>
  <c r="Q2100" i="24"/>
  <c r="V2100" i="24"/>
  <c r="B2101" i="24"/>
  <c r="M2101" i="24"/>
  <c r="P2101" i="24"/>
  <c r="Q2101" i="24"/>
  <c r="V2101" i="24"/>
  <c r="B2102" i="24"/>
  <c r="M2102" i="24"/>
  <c r="P2102" i="24"/>
  <c r="Q2102" i="24"/>
  <c r="V2102" i="24"/>
  <c r="B2103" i="24"/>
  <c r="M2103" i="24"/>
  <c r="P2103" i="24"/>
  <c r="Q2103" i="24"/>
  <c r="V2103" i="24"/>
  <c r="B2104" i="24"/>
  <c r="M2104" i="24"/>
  <c r="P2104" i="24"/>
  <c r="Q2104" i="24"/>
  <c r="V2104" i="24"/>
  <c r="B2105" i="24"/>
  <c r="M2105" i="24"/>
  <c r="P2105" i="24"/>
  <c r="Q2105" i="24"/>
  <c r="V2105" i="24"/>
  <c r="B2106" i="24"/>
  <c r="M2106" i="24"/>
  <c r="P2106" i="24"/>
  <c r="Q2106" i="24"/>
  <c r="V2106" i="24"/>
  <c r="B2107" i="24"/>
  <c r="M2107" i="24"/>
  <c r="P2107" i="24"/>
  <c r="Q2107" i="24"/>
  <c r="V2107" i="24"/>
  <c r="B2108" i="24"/>
  <c r="M2108" i="24"/>
  <c r="P2108" i="24"/>
  <c r="Q2108" i="24"/>
  <c r="V2108" i="24"/>
  <c r="B2109" i="24"/>
  <c r="M2109" i="24"/>
  <c r="P2109" i="24"/>
  <c r="Q2109" i="24"/>
  <c r="V2109" i="24"/>
  <c r="B2110" i="24"/>
  <c r="M2110" i="24"/>
  <c r="P2110" i="24"/>
  <c r="Q2110" i="24"/>
  <c r="V2110" i="24"/>
  <c r="B2111" i="24"/>
  <c r="M2111" i="24"/>
  <c r="P2111" i="24"/>
  <c r="Q2111" i="24"/>
  <c r="V2111" i="24"/>
  <c r="B2112" i="24"/>
  <c r="M2112" i="24"/>
  <c r="P2112" i="24"/>
  <c r="Q2112" i="24"/>
  <c r="V2112" i="24"/>
  <c r="B2113" i="24"/>
  <c r="M2113" i="24"/>
  <c r="P2113" i="24"/>
  <c r="Q2113" i="24"/>
  <c r="V2113" i="24"/>
  <c r="B2114" i="24"/>
  <c r="M2114" i="24"/>
  <c r="P2114" i="24"/>
  <c r="Q2114" i="24"/>
  <c r="V2114" i="24"/>
  <c r="B2115" i="24"/>
  <c r="M2115" i="24"/>
  <c r="P2115" i="24"/>
  <c r="Q2115" i="24"/>
  <c r="V2115" i="24"/>
  <c r="B2116" i="24"/>
  <c r="M2116" i="24"/>
  <c r="P2116" i="24"/>
  <c r="Q2116" i="24"/>
  <c r="V2116" i="24"/>
  <c r="B2117" i="24"/>
  <c r="M2117" i="24"/>
  <c r="P2117" i="24"/>
  <c r="Q2117" i="24"/>
  <c r="V2117" i="24"/>
  <c r="B2118" i="24"/>
  <c r="M2118" i="24"/>
  <c r="P2118" i="24"/>
  <c r="Q2118" i="24"/>
  <c r="V2118" i="24"/>
  <c r="B2119" i="24"/>
  <c r="M2119" i="24"/>
  <c r="P2119" i="24"/>
  <c r="Q2119" i="24"/>
  <c r="V2119" i="24"/>
  <c r="B2120" i="24"/>
  <c r="M2120" i="24"/>
  <c r="P2120" i="24"/>
  <c r="Q2120" i="24"/>
  <c r="V2120" i="24"/>
  <c r="B2121" i="24"/>
  <c r="M2121" i="24"/>
  <c r="P2121" i="24"/>
  <c r="Q2121" i="24"/>
  <c r="V2121" i="24"/>
  <c r="B2122" i="24"/>
  <c r="M2122" i="24"/>
  <c r="P2122" i="24"/>
  <c r="Q2122" i="24"/>
  <c r="V2122" i="24"/>
  <c r="B2123" i="24"/>
  <c r="M2123" i="24"/>
  <c r="P2123" i="24"/>
  <c r="Q2123" i="24"/>
  <c r="V2123" i="24"/>
  <c r="B2124" i="24"/>
  <c r="M2124" i="24"/>
  <c r="P2124" i="24"/>
  <c r="Q2124" i="24"/>
  <c r="V2124" i="24"/>
  <c r="B2125" i="24"/>
  <c r="M2125" i="24"/>
  <c r="P2125" i="24"/>
  <c r="Q2125" i="24"/>
  <c r="V2125" i="24"/>
  <c r="B2126" i="24"/>
  <c r="M2126" i="24"/>
  <c r="P2126" i="24"/>
  <c r="Q2126" i="24"/>
  <c r="V2126" i="24"/>
  <c r="B2127" i="24"/>
  <c r="M2127" i="24"/>
  <c r="P2127" i="24"/>
  <c r="Q2127" i="24"/>
  <c r="V2127" i="24"/>
  <c r="B2128" i="24"/>
  <c r="M2128" i="24"/>
  <c r="P2128" i="24"/>
  <c r="Q2128" i="24"/>
  <c r="V2128" i="24"/>
  <c r="B2129" i="24"/>
  <c r="M2129" i="24"/>
  <c r="P2129" i="24"/>
  <c r="Q2129" i="24"/>
  <c r="V2129" i="24"/>
  <c r="B2130" i="24"/>
  <c r="M2130" i="24"/>
  <c r="P2130" i="24"/>
  <c r="Q2130" i="24"/>
  <c r="V2130" i="24"/>
  <c r="B2131" i="24"/>
  <c r="M2131" i="24"/>
  <c r="P2131" i="24"/>
  <c r="Q2131" i="24"/>
  <c r="V2131" i="24"/>
  <c r="B2132" i="24"/>
  <c r="M2132" i="24"/>
  <c r="P2132" i="24"/>
  <c r="Q2132" i="24"/>
  <c r="V2132" i="24"/>
  <c r="B2133" i="24"/>
  <c r="M2133" i="24"/>
  <c r="P2133" i="24"/>
  <c r="Q2133" i="24"/>
  <c r="V2133" i="24"/>
  <c r="B2134" i="24"/>
  <c r="M2134" i="24"/>
  <c r="P2134" i="24"/>
  <c r="Q2134" i="24"/>
  <c r="V2134" i="24"/>
  <c r="B2135" i="24"/>
  <c r="M2135" i="24"/>
  <c r="P2135" i="24"/>
  <c r="Q2135" i="24"/>
  <c r="V2135" i="24"/>
  <c r="B2136" i="24"/>
  <c r="M2136" i="24"/>
  <c r="P2136" i="24"/>
  <c r="Q2136" i="24"/>
  <c r="V2136" i="24"/>
  <c r="B2137" i="24"/>
  <c r="M2137" i="24"/>
  <c r="P2137" i="24"/>
  <c r="Q2137" i="24"/>
  <c r="V2137" i="24"/>
  <c r="B2138" i="24"/>
  <c r="M2138" i="24"/>
  <c r="P2138" i="24"/>
  <c r="Q2138" i="24"/>
  <c r="V2138" i="24"/>
  <c r="B2139" i="24"/>
  <c r="M2139" i="24"/>
  <c r="P2139" i="24"/>
  <c r="Q2139" i="24"/>
  <c r="V2139" i="24"/>
  <c r="B2140" i="24"/>
  <c r="M2140" i="24"/>
  <c r="P2140" i="24"/>
  <c r="Q2140" i="24"/>
  <c r="V2140" i="24"/>
  <c r="B2141" i="24"/>
  <c r="M2141" i="24"/>
  <c r="P2141" i="24"/>
  <c r="Q2141" i="24"/>
  <c r="V2141" i="24"/>
  <c r="B2142" i="24"/>
  <c r="M2142" i="24"/>
  <c r="P2142" i="24"/>
  <c r="Q2142" i="24"/>
  <c r="V2142" i="24"/>
  <c r="B2143" i="24"/>
  <c r="M2143" i="24"/>
  <c r="P2143" i="24"/>
  <c r="Q2143" i="24"/>
  <c r="V2143" i="24"/>
  <c r="B2144" i="24"/>
  <c r="M2144" i="24"/>
  <c r="P2144" i="24"/>
  <c r="Q2144" i="24"/>
  <c r="V2144" i="24"/>
  <c r="B2145" i="24"/>
  <c r="M2145" i="24"/>
  <c r="P2145" i="24"/>
  <c r="Q2145" i="24"/>
  <c r="V2145" i="24"/>
  <c r="B2146" i="24"/>
  <c r="M2146" i="24"/>
  <c r="P2146" i="24"/>
  <c r="Q2146" i="24"/>
  <c r="V2146" i="24"/>
  <c r="B2147" i="24"/>
  <c r="M2147" i="24"/>
  <c r="P2147" i="24"/>
  <c r="Q2147" i="24"/>
  <c r="V2147" i="24"/>
  <c r="B2148" i="24"/>
  <c r="M2148" i="24"/>
  <c r="P2148" i="24"/>
  <c r="Q2148" i="24"/>
  <c r="V2148" i="24"/>
  <c r="B2149" i="24"/>
  <c r="M2149" i="24"/>
  <c r="P2149" i="24"/>
  <c r="Q2149" i="24"/>
  <c r="V2149" i="24"/>
  <c r="B2150" i="24"/>
  <c r="M2150" i="24"/>
  <c r="P2150" i="24"/>
  <c r="Q2150" i="24"/>
  <c r="V2150" i="24"/>
  <c r="B2151" i="24"/>
  <c r="M2151" i="24"/>
  <c r="P2151" i="24"/>
  <c r="Q2151" i="24"/>
  <c r="V2151" i="24"/>
  <c r="B2152" i="24"/>
  <c r="M2152" i="24"/>
  <c r="P2152" i="24"/>
  <c r="Q2152" i="24"/>
  <c r="V2152" i="24"/>
  <c r="B2153" i="24"/>
  <c r="M2153" i="24"/>
  <c r="P2153" i="24"/>
  <c r="Q2153" i="24"/>
  <c r="V2153" i="24"/>
  <c r="B2154" i="24"/>
  <c r="M2154" i="24"/>
  <c r="P2154" i="24"/>
  <c r="Q2154" i="24"/>
  <c r="V2154" i="24"/>
  <c r="B2155" i="24"/>
  <c r="M2155" i="24"/>
  <c r="P2155" i="24"/>
  <c r="Q2155" i="24"/>
  <c r="V2155" i="24"/>
  <c r="B2156" i="24"/>
  <c r="M2156" i="24"/>
  <c r="P2156" i="24"/>
  <c r="Q2156" i="24"/>
  <c r="V2156" i="24"/>
  <c r="B2157" i="24"/>
  <c r="M2157" i="24"/>
  <c r="P2157" i="24"/>
  <c r="Q2157" i="24"/>
  <c r="V2157" i="24"/>
  <c r="B2158" i="24"/>
  <c r="M2158" i="24"/>
  <c r="P2158" i="24"/>
  <c r="Q2158" i="24"/>
  <c r="V2158" i="24"/>
  <c r="B2159" i="24"/>
  <c r="M2159" i="24"/>
  <c r="P2159" i="24"/>
  <c r="Q2159" i="24"/>
  <c r="V2159" i="24"/>
  <c r="B2160" i="24"/>
  <c r="M2160" i="24"/>
  <c r="P2160" i="24"/>
  <c r="Q2160" i="24"/>
  <c r="V2160" i="24"/>
  <c r="B2161" i="24"/>
  <c r="M2161" i="24"/>
  <c r="P2161" i="24"/>
  <c r="Q2161" i="24"/>
  <c r="V2161" i="24"/>
  <c r="B2162" i="24"/>
  <c r="M2162" i="24"/>
  <c r="P2162" i="24"/>
  <c r="Q2162" i="24"/>
  <c r="V2162" i="24"/>
  <c r="B2163" i="24"/>
  <c r="M2163" i="24"/>
  <c r="P2163" i="24"/>
  <c r="Q2163" i="24"/>
  <c r="V2163" i="24"/>
  <c r="B2164" i="24"/>
  <c r="M2164" i="24"/>
  <c r="P2164" i="24"/>
  <c r="Q2164" i="24"/>
  <c r="V2164" i="24"/>
  <c r="B2165" i="24"/>
  <c r="M2165" i="24"/>
  <c r="P2165" i="24"/>
  <c r="Q2165" i="24"/>
  <c r="V2165" i="24"/>
  <c r="B2166" i="24"/>
  <c r="M2166" i="24"/>
  <c r="P2166" i="24"/>
  <c r="Q2166" i="24"/>
  <c r="V2166" i="24"/>
  <c r="B2167" i="24"/>
  <c r="M2167" i="24"/>
  <c r="P2167" i="24"/>
  <c r="Q2167" i="24"/>
  <c r="V2167" i="24"/>
  <c r="B2168" i="24"/>
  <c r="M2168" i="24"/>
  <c r="P2168" i="24"/>
  <c r="Q2168" i="24"/>
  <c r="V2168" i="24"/>
  <c r="B2169" i="24"/>
  <c r="M2169" i="24"/>
  <c r="P2169" i="24"/>
  <c r="Q2169" i="24"/>
  <c r="V2169" i="24"/>
  <c r="B2170" i="24"/>
  <c r="M2170" i="24"/>
  <c r="P2170" i="24"/>
  <c r="Q2170" i="24"/>
  <c r="V2170" i="24"/>
  <c r="B2171" i="24"/>
  <c r="M2171" i="24"/>
  <c r="P2171" i="24"/>
  <c r="Q2171" i="24"/>
  <c r="V2171" i="24"/>
  <c r="B2172" i="24"/>
  <c r="M2172" i="24"/>
  <c r="P2172" i="24"/>
  <c r="Q2172" i="24"/>
  <c r="V2172" i="24"/>
  <c r="B2173" i="24"/>
  <c r="M2173" i="24"/>
  <c r="P2173" i="24"/>
  <c r="Q2173" i="24"/>
  <c r="V2173" i="24"/>
  <c r="B2174" i="24"/>
  <c r="M2174" i="24"/>
  <c r="P2174" i="24"/>
  <c r="Q2174" i="24"/>
  <c r="V2174" i="24"/>
  <c r="B2175" i="24"/>
  <c r="M2175" i="24"/>
  <c r="P2175" i="24"/>
  <c r="Q2175" i="24"/>
  <c r="V2175" i="24"/>
  <c r="B2176" i="24"/>
  <c r="M2176" i="24"/>
  <c r="P2176" i="24"/>
  <c r="Q2176" i="24"/>
  <c r="V2176" i="24"/>
  <c r="B2177" i="24"/>
  <c r="M2177" i="24"/>
  <c r="P2177" i="24"/>
  <c r="Q2177" i="24"/>
  <c r="V2177" i="24"/>
  <c r="B2178" i="24"/>
  <c r="M2178" i="24"/>
  <c r="P2178" i="24"/>
  <c r="Q2178" i="24"/>
  <c r="V2178" i="24"/>
  <c r="B2179" i="24"/>
  <c r="M2179" i="24"/>
  <c r="P2179" i="24"/>
  <c r="Q2179" i="24"/>
  <c r="V2179" i="24"/>
  <c r="B2180" i="24"/>
  <c r="M2180" i="24"/>
  <c r="P2180" i="24"/>
  <c r="Q2180" i="24"/>
  <c r="V2180" i="24"/>
  <c r="B2181" i="24"/>
  <c r="M2181" i="24"/>
  <c r="P2181" i="24"/>
  <c r="Q2181" i="24"/>
  <c r="V2181" i="24"/>
  <c r="B2182" i="24"/>
  <c r="M2182" i="24"/>
  <c r="P2182" i="24"/>
  <c r="Q2182" i="24"/>
  <c r="V2182" i="24"/>
  <c r="B2183" i="24"/>
  <c r="M2183" i="24"/>
  <c r="P2183" i="24"/>
  <c r="Q2183" i="24"/>
  <c r="V2183" i="24"/>
  <c r="B2184" i="24"/>
  <c r="M2184" i="24"/>
  <c r="P2184" i="24"/>
  <c r="Q2184" i="24"/>
  <c r="V2184" i="24"/>
  <c r="B2185" i="24"/>
  <c r="M2185" i="24"/>
  <c r="P2185" i="24"/>
  <c r="Q2185" i="24"/>
  <c r="V2185" i="24"/>
  <c r="B2186" i="24"/>
  <c r="M2186" i="24"/>
  <c r="P2186" i="24"/>
  <c r="Q2186" i="24"/>
  <c r="V2186" i="24"/>
  <c r="B2187" i="24"/>
  <c r="M2187" i="24"/>
  <c r="P2187" i="24"/>
  <c r="Q2187" i="24"/>
  <c r="V2187" i="24"/>
  <c r="B2188" i="24"/>
  <c r="M2188" i="24"/>
  <c r="P2188" i="24"/>
  <c r="Q2188" i="24"/>
  <c r="V2188" i="24"/>
  <c r="B2189" i="24"/>
  <c r="M2189" i="24"/>
  <c r="P2189" i="24"/>
  <c r="Q2189" i="24"/>
  <c r="V2189" i="24"/>
  <c r="B2190" i="24"/>
  <c r="M2190" i="24"/>
  <c r="P2190" i="24"/>
  <c r="Q2190" i="24"/>
  <c r="V2190" i="24"/>
  <c r="B2191" i="24"/>
  <c r="M2191" i="24"/>
  <c r="P2191" i="24"/>
  <c r="Q2191" i="24"/>
  <c r="V2191" i="24"/>
  <c r="B2192" i="24"/>
  <c r="M2192" i="24"/>
  <c r="P2192" i="24"/>
  <c r="Q2192" i="24"/>
  <c r="V2192" i="24"/>
  <c r="B2193" i="24"/>
  <c r="M2193" i="24"/>
  <c r="P2193" i="24"/>
  <c r="Q2193" i="24"/>
  <c r="V2193" i="24"/>
  <c r="B2194" i="24"/>
  <c r="M2194" i="24"/>
  <c r="P2194" i="24"/>
  <c r="Q2194" i="24"/>
  <c r="V2194" i="24"/>
  <c r="B2195" i="24"/>
  <c r="M2195" i="24"/>
  <c r="P2195" i="24"/>
  <c r="Q2195" i="24"/>
  <c r="V2195" i="24"/>
  <c r="B2196" i="24"/>
  <c r="M2196" i="24"/>
  <c r="P2196" i="24"/>
  <c r="Q2196" i="24"/>
  <c r="V2196" i="24"/>
  <c r="B2197" i="24"/>
  <c r="M2197" i="24"/>
  <c r="P2197" i="24"/>
  <c r="Q2197" i="24"/>
  <c r="V2197" i="24"/>
  <c r="B2198" i="24"/>
  <c r="M2198" i="24"/>
  <c r="P2198" i="24"/>
  <c r="Q2198" i="24"/>
  <c r="V2198" i="24"/>
  <c r="B2199" i="24"/>
  <c r="M2199" i="24"/>
  <c r="P2199" i="24"/>
  <c r="Q2199" i="24"/>
  <c r="V2199" i="24"/>
  <c r="B2200" i="24"/>
  <c r="M2200" i="24"/>
  <c r="P2200" i="24"/>
  <c r="Q2200" i="24"/>
  <c r="V2200" i="24"/>
  <c r="B2201" i="24"/>
  <c r="M2201" i="24"/>
  <c r="P2201" i="24"/>
  <c r="Q2201" i="24"/>
  <c r="V2201" i="24"/>
  <c r="B2202" i="24"/>
  <c r="M2202" i="24"/>
  <c r="P2202" i="24"/>
  <c r="Q2202" i="24"/>
  <c r="V2202" i="24"/>
  <c r="B2203" i="24"/>
  <c r="M2203" i="24"/>
  <c r="P2203" i="24"/>
  <c r="Q2203" i="24"/>
  <c r="V2203" i="24"/>
  <c r="B2204" i="24"/>
  <c r="M2204" i="24"/>
  <c r="P2204" i="24"/>
  <c r="Q2204" i="24"/>
  <c r="V2204" i="24"/>
  <c r="B2205" i="24"/>
  <c r="M2205" i="24"/>
  <c r="P2205" i="24"/>
  <c r="Q2205" i="24"/>
  <c r="V2205" i="24"/>
  <c r="B2206" i="24"/>
  <c r="M2206" i="24"/>
  <c r="P2206" i="24"/>
  <c r="Q2206" i="24"/>
  <c r="V2206" i="24"/>
  <c r="B2207" i="24"/>
  <c r="M2207" i="24"/>
  <c r="P2207" i="24"/>
  <c r="Q2207" i="24"/>
  <c r="V2207" i="24"/>
  <c r="B2208" i="24"/>
  <c r="M2208" i="24"/>
  <c r="P2208" i="24"/>
  <c r="Q2208" i="24"/>
  <c r="V2208" i="24"/>
  <c r="B2209" i="24"/>
  <c r="M2209" i="24"/>
  <c r="P2209" i="24"/>
  <c r="Q2209" i="24"/>
  <c r="V2209" i="24"/>
  <c r="B2210" i="24"/>
  <c r="M2210" i="24"/>
  <c r="P2210" i="24"/>
  <c r="Q2210" i="24"/>
  <c r="V2210" i="24"/>
  <c r="B2211" i="24"/>
  <c r="M2211" i="24"/>
  <c r="P2211" i="24"/>
  <c r="Q2211" i="24"/>
  <c r="V2211" i="24"/>
  <c r="B2212" i="24"/>
  <c r="M2212" i="24"/>
  <c r="P2212" i="24"/>
  <c r="Q2212" i="24"/>
  <c r="V2212" i="24"/>
  <c r="B2213" i="24"/>
  <c r="M2213" i="24"/>
  <c r="P2213" i="24"/>
  <c r="Q2213" i="24"/>
  <c r="V2213" i="24"/>
  <c r="B2214" i="24"/>
  <c r="M2214" i="24"/>
  <c r="P2214" i="24"/>
  <c r="Q2214" i="24"/>
  <c r="V2214" i="24"/>
  <c r="B2215" i="24"/>
  <c r="M2215" i="24"/>
  <c r="P2215" i="24"/>
  <c r="Q2215" i="24"/>
  <c r="V2215" i="24"/>
  <c r="B2216" i="24"/>
  <c r="M2216" i="24"/>
  <c r="P2216" i="24"/>
  <c r="Q2216" i="24"/>
  <c r="V2216" i="24"/>
  <c r="B2217" i="24"/>
  <c r="M2217" i="24"/>
  <c r="P2217" i="24"/>
  <c r="Q2217" i="24"/>
  <c r="V2217" i="24"/>
  <c r="B2218" i="24"/>
  <c r="M2218" i="24"/>
  <c r="P2218" i="24"/>
  <c r="Q2218" i="24"/>
  <c r="V2218" i="24"/>
  <c r="B2219" i="24"/>
  <c r="M2219" i="24"/>
  <c r="P2219" i="24"/>
  <c r="Q2219" i="24"/>
  <c r="V2219" i="24"/>
  <c r="B2220" i="24"/>
  <c r="M2220" i="24"/>
  <c r="P2220" i="24"/>
  <c r="Q2220" i="24"/>
  <c r="V2220" i="24"/>
  <c r="B2221" i="24"/>
  <c r="M2221" i="24"/>
  <c r="P2221" i="24"/>
  <c r="Q2221" i="24"/>
  <c r="V2221" i="24"/>
  <c r="B2222" i="24"/>
  <c r="M2222" i="24"/>
  <c r="P2222" i="24"/>
  <c r="Q2222" i="24"/>
  <c r="V2222" i="24"/>
  <c r="B2223" i="24"/>
  <c r="M2223" i="24"/>
  <c r="P2223" i="24"/>
  <c r="Q2223" i="24"/>
  <c r="V2223" i="24"/>
  <c r="B2224" i="24"/>
  <c r="M2224" i="24"/>
  <c r="P2224" i="24"/>
  <c r="Q2224" i="24"/>
  <c r="V2224" i="24"/>
  <c r="B2225" i="24"/>
  <c r="M2225" i="24"/>
  <c r="P2225" i="24"/>
  <c r="Q2225" i="24"/>
  <c r="V2225" i="24"/>
  <c r="B2226" i="24"/>
  <c r="M2226" i="24"/>
  <c r="P2226" i="24"/>
  <c r="Q2226" i="24"/>
  <c r="V2226" i="24"/>
  <c r="B2227" i="24"/>
  <c r="M2227" i="24"/>
  <c r="P2227" i="24"/>
  <c r="Q2227" i="24"/>
  <c r="V2227" i="24"/>
  <c r="B2228" i="24"/>
  <c r="M2228" i="24"/>
  <c r="P2228" i="24"/>
  <c r="Q2228" i="24"/>
  <c r="V2228" i="24"/>
  <c r="B2229" i="24"/>
  <c r="M2229" i="24"/>
  <c r="P2229" i="24"/>
  <c r="Q2229" i="24"/>
  <c r="V2229" i="24"/>
  <c r="B2230" i="24"/>
  <c r="M2230" i="24"/>
  <c r="P2230" i="24"/>
  <c r="Q2230" i="24"/>
  <c r="V2230" i="24"/>
  <c r="B2231" i="24"/>
  <c r="M2231" i="24"/>
  <c r="P2231" i="24"/>
  <c r="Q2231" i="24"/>
  <c r="V2231" i="24"/>
  <c r="B2232" i="24"/>
  <c r="M2232" i="24"/>
  <c r="P2232" i="24"/>
  <c r="Q2232" i="24"/>
  <c r="V2232" i="24"/>
  <c r="B2233" i="24"/>
  <c r="M2233" i="24"/>
  <c r="P2233" i="24"/>
  <c r="Q2233" i="24"/>
  <c r="V2233" i="24"/>
  <c r="B2234" i="24"/>
  <c r="M2234" i="24"/>
  <c r="P2234" i="24"/>
  <c r="Q2234" i="24"/>
  <c r="V2234" i="24"/>
  <c r="B2235" i="24"/>
  <c r="M2235" i="24"/>
  <c r="P2235" i="24"/>
  <c r="Q2235" i="24"/>
  <c r="V2235" i="24"/>
  <c r="B2236" i="24"/>
  <c r="M2236" i="24"/>
  <c r="P2236" i="24"/>
  <c r="Q2236" i="24"/>
  <c r="V2236" i="24"/>
  <c r="B2237" i="24"/>
  <c r="M2237" i="24"/>
  <c r="P2237" i="24"/>
  <c r="Q2237" i="24"/>
  <c r="V2237" i="24"/>
  <c r="B2238" i="24"/>
  <c r="M2238" i="24"/>
  <c r="P2238" i="24"/>
  <c r="Q2238" i="24"/>
  <c r="V2238" i="24"/>
  <c r="B2239" i="24"/>
  <c r="M2239" i="24"/>
  <c r="P2239" i="24"/>
  <c r="Q2239" i="24"/>
  <c r="V2239" i="24"/>
  <c r="B2240" i="24"/>
  <c r="M2240" i="24"/>
  <c r="P2240" i="24"/>
  <c r="Q2240" i="24"/>
  <c r="V2240" i="24"/>
  <c r="B2241" i="24"/>
  <c r="M2241" i="24"/>
  <c r="P2241" i="24"/>
  <c r="Q2241" i="24"/>
  <c r="V2241" i="24"/>
  <c r="B2242" i="24"/>
  <c r="M2242" i="24"/>
  <c r="P2242" i="24"/>
  <c r="Q2242" i="24"/>
  <c r="V2242" i="24"/>
  <c r="B2243" i="24"/>
  <c r="M2243" i="24"/>
  <c r="P2243" i="24"/>
  <c r="Q2243" i="24"/>
  <c r="V2243" i="24"/>
  <c r="B2244" i="24"/>
  <c r="M2244" i="24"/>
  <c r="P2244" i="24"/>
  <c r="Q2244" i="24"/>
  <c r="V2244" i="24"/>
  <c r="B2245" i="24"/>
  <c r="M2245" i="24"/>
  <c r="P2245" i="24"/>
  <c r="Q2245" i="24"/>
  <c r="V2245" i="24"/>
  <c r="B2246" i="24"/>
  <c r="M2246" i="24"/>
  <c r="P2246" i="24"/>
  <c r="Q2246" i="24"/>
  <c r="V2246" i="24"/>
  <c r="B2247" i="24"/>
  <c r="M2247" i="24"/>
  <c r="P2247" i="24"/>
  <c r="Q2247" i="24"/>
  <c r="V2247" i="24"/>
  <c r="B2248" i="24"/>
  <c r="M2248" i="24"/>
  <c r="P2248" i="24"/>
  <c r="Q2248" i="24"/>
  <c r="V2248" i="24"/>
  <c r="B2249" i="24"/>
  <c r="M2249" i="24"/>
  <c r="P2249" i="24"/>
  <c r="Q2249" i="24"/>
  <c r="V2249" i="24"/>
  <c r="B2250" i="24"/>
  <c r="M2250" i="24"/>
  <c r="P2250" i="24"/>
  <c r="Q2250" i="24"/>
  <c r="V2250" i="24"/>
  <c r="B2251" i="24"/>
  <c r="M2251" i="24"/>
  <c r="P2251" i="24"/>
  <c r="Q2251" i="24"/>
  <c r="V2251" i="24"/>
  <c r="B2252" i="24"/>
  <c r="M2252" i="24"/>
  <c r="P2252" i="24"/>
  <c r="Q2252" i="24"/>
  <c r="V2252" i="24"/>
  <c r="B2253" i="24"/>
  <c r="M2253" i="24"/>
  <c r="P2253" i="24"/>
  <c r="Q2253" i="24"/>
  <c r="V2253" i="24"/>
  <c r="B2254" i="24"/>
  <c r="M2254" i="24"/>
  <c r="P2254" i="24"/>
  <c r="Q2254" i="24"/>
  <c r="V2254" i="24"/>
  <c r="B2255" i="24"/>
  <c r="M2255" i="24"/>
  <c r="P2255" i="24"/>
  <c r="Q2255" i="24"/>
  <c r="V2255" i="24"/>
  <c r="B2256" i="24"/>
  <c r="M2256" i="24"/>
  <c r="P2256" i="24"/>
  <c r="Q2256" i="24"/>
  <c r="V2256" i="24"/>
  <c r="B2257" i="24"/>
  <c r="M2257" i="24"/>
  <c r="P2257" i="24"/>
  <c r="Q2257" i="24"/>
  <c r="V2257" i="24"/>
  <c r="B2258" i="24"/>
  <c r="M2258" i="24"/>
  <c r="P2258" i="24"/>
  <c r="Q2258" i="24"/>
  <c r="V2258" i="24"/>
  <c r="B2259" i="24"/>
  <c r="M2259" i="24"/>
  <c r="P2259" i="24"/>
  <c r="Q2259" i="24"/>
  <c r="V2259" i="24"/>
  <c r="B2260" i="24"/>
  <c r="M2260" i="24"/>
  <c r="P2260" i="24"/>
  <c r="Q2260" i="24"/>
  <c r="V2260" i="24"/>
  <c r="B2261" i="24"/>
  <c r="M2261" i="24"/>
  <c r="P2261" i="24"/>
  <c r="Q2261" i="24"/>
  <c r="V2261" i="24"/>
  <c r="B2262" i="24"/>
  <c r="M2262" i="24"/>
  <c r="P2262" i="24"/>
  <c r="Q2262" i="24"/>
  <c r="V2262" i="24"/>
  <c r="B2263" i="24"/>
  <c r="M2263" i="24"/>
  <c r="P2263" i="24"/>
  <c r="Q2263" i="24"/>
  <c r="V2263" i="24"/>
  <c r="B2264" i="24"/>
  <c r="M2264" i="24"/>
  <c r="P2264" i="24"/>
  <c r="Q2264" i="24"/>
  <c r="V2264" i="24"/>
  <c r="B2265" i="24"/>
  <c r="M2265" i="24"/>
  <c r="P2265" i="24"/>
  <c r="Q2265" i="24"/>
  <c r="V2265" i="24"/>
  <c r="B2266" i="24"/>
  <c r="M2266" i="24"/>
  <c r="P2266" i="24"/>
  <c r="Q2266" i="24"/>
  <c r="V2266" i="24"/>
  <c r="B2267" i="24"/>
  <c r="M2267" i="24"/>
  <c r="P2267" i="24"/>
  <c r="Q2267" i="24"/>
  <c r="V2267" i="24"/>
  <c r="B2268" i="24"/>
  <c r="M2268" i="24"/>
  <c r="P2268" i="24"/>
  <c r="Q2268" i="24"/>
  <c r="V2268" i="24"/>
  <c r="B2269" i="24"/>
  <c r="M2269" i="24"/>
  <c r="P2269" i="24"/>
  <c r="Q2269" i="24"/>
  <c r="V2269" i="24"/>
  <c r="B2270" i="24"/>
  <c r="M2270" i="24"/>
  <c r="P2270" i="24"/>
  <c r="Q2270" i="24"/>
  <c r="V2270" i="24"/>
  <c r="B2271" i="24"/>
  <c r="M2271" i="24"/>
  <c r="P2271" i="24"/>
  <c r="Q2271" i="24"/>
  <c r="V2271" i="24"/>
  <c r="B2272" i="24"/>
  <c r="M2272" i="24"/>
  <c r="P2272" i="24"/>
  <c r="Q2272" i="24"/>
  <c r="V2272" i="24"/>
  <c r="B2273" i="24"/>
  <c r="M2273" i="24"/>
  <c r="P2273" i="24"/>
  <c r="Q2273" i="24"/>
  <c r="V2273" i="24"/>
  <c r="B2274" i="24"/>
  <c r="M2274" i="24"/>
  <c r="P2274" i="24"/>
  <c r="Q2274" i="24"/>
  <c r="V2274" i="24"/>
  <c r="B2275" i="24"/>
  <c r="M2275" i="24"/>
  <c r="P2275" i="24"/>
  <c r="Q2275" i="24"/>
  <c r="V2275" i="24"/>
  <c r="B2276" i="24"/>
  <c r="M2276" i="24"/>
  <c r="P2276" i="24"/>
  <c r="Q2276" i="24"/>
  <c r="V2276" i="24"/>
  <c r="B2277" i="24"/>
  <c r="M2277" i="24"/>
  <c r="P2277" i="24"/>
  <c r="Q2277" i="24"/>
  <c r="V2277" i="24"/>
  <c r="B2278" i="24"/>
  <c r="M2278" i="24"/>
  <c r="P2278" i="24"/>
  <c r="Q2278" i="24"/>
  <c r="V2278" i="24"/>
  <c r="B2279" i="24"/>
  <c r="M2279" i="24"/>
  <c r="P2279" i="24"/>
  <c r="Q2279" i="24"/>
  <c r="V2279" i="24"/>
  <c r="B2280" i="24"/>
  <c r="M2280" i="24"/>
  <c r="P2280" i="24"/>
  <c r="Q2280" i="24"/>
  <c r="V2280" i="24"/>
  <c r="B2281" i="24"/>
  <c r="M2281" i="24"/>
  <c r="P2281" i="24"/>
  <c r="Q2281" i="24"/>
  <c r="V2281" i="24"/>
  <c r="B2282" i="24"/>
  <c r="M2282" i="24"/>
  <c r="P2282" i="24"/>
  <c r="Q2282" i="24"/>
  <c r="V2282" i="24"/>
  <c r="B2283" i="24"/>
  <c r="M2283" i="24"/>
  <c r="P2283" i="24"/>
  <c r="Q2283" i="24"/>
  <c r="V2283" i="24"/>
  <c r="B2284" i="24"/>
  <c r="M2284" i="24"/>
  <c r="P2284" i="24"/>
  <c r="Q2284" i="24"/>
  <c r="V2284" i="24"/>
  <c r="B2285" i="24"/>
  <c r="M2285" i="24"/>
  <c r="P2285" i="24"/>
  <c r="Q2285" i="24"/>
  <c r="V2285" i="24"/>
  <c r="B2286" i="24"/>
  <c r="M2286" i="24"/>
  <c r="P2286" i="24"/>
  <c r="Q2286" i="24"/>
  <c r="V2286" i="24"/>
  <c r="B2287" i="24"/>
  <c r="M2287" i="24"/>
  <c r="P2287" i="24"/>
  <c r="Q2287" i="24"/>
  <c r="V2287" i="24"/>
  <c r="B2288" i="24"/>
  <c r="M2288" i="24"/>
  <c r="P2288" i="24"/>
  <c r="Q2288" i="24"/>
  <c r="V2288" i="24"/>
  <c r="B2289" i="24"/>
  <c r="M2289" i="24"/>
  <c r="P2289" i="24"/>
  <c r="Q2289" i="24"/>
  <c r="V2289" i="24"/>
  <c r="B2290" i="24"/>
  <c r="M2290" i="24"/>
  <c r="P2290" i="24"/>
  <c r="Q2290" i="24"/>
  <c r="V2290" i="24"/>
  <c r="B2291" i="24"/>
  <c r="M2291" i="24"/>
  <c r="P2291" i="24"/>
  <c r="Q2291" i="24"/>
  <c r="V2291" i="24"/>
  <c r="B2292" i="24"/>
  <c r="M2292" i="24"/>
  <c r="P2292" i="24"/>
  <c r="Q2292" i="24"/>
  <c r="V2292" i="24"/>
  <c r="B2293" i="24"/>
  <c r="M2293" i="24"/>
  <c r="P2293" i="24"/>
  <c r="Q2293" i="24"/>
  <c r="V2293" i="24"/>
  <c r="B2294" i="24"/>
  <c r="M2294" i="24"/>
  <c r="P2294" i="24"/>
  <c r="Q2294" i="24"/>
  <c r="V2294" i="24"/>
  <c r="B2295" i="24"/>
  <c r="M2295" i="24"/>
  <c r="P2295" i="24"/>
  <c r="Q2295" i="24"/>
  <c r="V2295" i="24"/>
  <c r="B2296" i="24"/>
  <c r="M2296" i="24"/>
  <c r="P2296" i="24"/>
  <c r="Q2296" i="24"/>
  <c r="V2296" i="24"/>
  <c r="B2297" i="24"/>
  <c r="M2297" i="24"/>
  <c r="P2297" i="24"/>
  <c r="Q2297" i="24"/>
  <c r="V2297" i="24"/>
  <c r="B2298" i="24"/>
  <c r="M2298" i="24"/>
  <c r="P2298" i="24"/>
  <c r="Q2298" i="24"/>
  <c r="V2298" i="24"/>
  <c r="B2299" i="24"/>
  <c r="M2299" i="24"/>
  <c r="P2299" i="24"/>
  <c r="Q2299" i="24"/>
  <c r="V2299" i="24"/>
  <c r="B2300" i="24"/>
  <c r="M2300" i="24"/>
  <c r="P2300" i="24"/>
  <c r="Q2300" i="24"/>
  <c r="V2300" i="24"/>
  <c r="B2301" i="24"/>
  <c r="M2301" i="24"/>
  <c r="P2301" i="24"/>
  <c r="Q2301" i="24"/>
  <c r="V2301" i="24"/>
  <c r="B2302" i="24"/>
  <c r="M2302" i="24"/>
  <c r="P2302" i="24"/>
  <c r="Q2302" i="24"/>
  <c r="V2302" i="24"/>
  <c r="B2303" i="24"/>
  <c r="M2303" i="24"/>
  <c r="P2303" i="24"/>
  <c r="Q2303" i="24"/>
  <c r="V2303" i="24"/>
  <c r="B2304" i="24"/>
  <c r="M2304" i="24"/>
  <c r="P2304" i="24"/>
  <c r="Q2304" i="24"/>
  <c r="V2304" i="24"/>
  <c r="B2305" i="24"/>
  <c r="M2305" i="24"/>
  <c r="P2305" i="24"/>
  <c r="Q2305" i="24"/>
  <c r="V2305" i="24"/>
  <c r="B2306" i="24"/>
  <c r="M2306" i="24"/>
  <c r="P2306" i="24"/>
  <c r="Q2306" i="24"/>
  <c r="V2306" i="24"/>
  <c r="B2307" i="24"/>
  <c r="M2307" i="24"/>
  <c r="P2307" i="24"/>
  <c r="Q2307" i="24"/>
  <c r="V2307" i="24"/>
  <c r="B2308" i="24"/>
  <c r="M2308" i="24"/>
  <c r="P2308" i="24"/>
  <c r="Q2308" i="24"/>
  <c r="V2308" i="24"/>
  <c r="B2309" i="24"/>
  <c r="M2309" i="24"/>
  <c r="P2309" i="24"/>
  <c r="Q2309" i="24"/>
  <c r="V2309" i="24"/>
  <c r="B2310" i="24"/>
  <c r="M2310" i="24"/>
  <c r="P2310" i="24"/>
  <c r="Q2310" i="24"/>
  <c r="V2310" i="24"/>
  <c r="B2311" i="24"/>
  <c r="M2311" i="24"/>
  <c r="P2311" i="24"/>
  <c r="Q2311" i="24"/>
  <c r="V2311" i="24"/>
  <c r="B2312" i="24"/>
  <c r="M2312" i="24"/>
  <c r="P2312" i="24"/>
  <c r="Q2312" i="24"/>
  <c r="V2312" i="24"/>
  <c r="B2313" i="24"/>
  <c r="M2313" i="24"/>
  <c r="P2313" i="24"/>
  <c r="Q2313" i="24"/>
  <c r="V2313" i="24"/>
  <c r="B2314" i="24"/>
  <c r="M2314" i="24"/>
  <c r="P2314" i="24"/>
  <c r="Q2314" i="24"/>
  <c r="V2314" i="24"/>
  <c r="B2315" i="24"/>
  <c r="M2315" i="24"/>
  <c r="P2315" i="24"/>
  <c r="Q2315" i="24"/>
  <c r="V2315" i="24"/>
  <c r="B2316" i="24"/>
  <c r="M2316" i="24"/>
  <c r="P2316" i="24"/>
  <c r="Q2316" i="24"/>
  <c r="V2316" i="24"/>
  <c r="B2317" i="24"/>
  <c r="M2317" i="24"/>
  <c r="P2317" i="24"/>
  <c r="Q2317" i="24"/>
  <c r="V2317" i="24"/>
  <c r="B2318" i="24"/>
  <c r="M2318" i="24"/>
  <c r="P2318" i="24"/>
  <c r="Q2318" i="24"/>
  <c r="V2318" i="24"/>
  <c r="B2319" i="24"/>
  <c r="M2319" i="24"/>
  <c r="P2319" i="24"/>
  <c r="Q2319" i="24"/>
  <c r="V2319" i="24"/>
  <c r="B2320" i="24"/>
  <c r="M2320" i="24"/>
  <c r="P2320" i="24"/>
  <c r="Q2320" i="24"/>
  <c r="V2320" i="24"/>
  <c r="B2321" i="24"/>
  <c r="M2321" i="24"/>
  <c r="P2321" i="24"/>
  <c r="Q2321" i="24"/>
  <c r="V2321" i="24"/>
  <c r="B2322" i="24"/>
  <c r="M2322" i="24"/>
  <c r="P2322" i="24"/>
  <c r="Q2322" i="24"/>
  <c r="V2322" i="24"/>
  <c r="B2323" i="24"/>
  <c r="M2323" i="24"/>
  <c r="P2323" i="24"/>
  <c r="Q2323" i="24"/>
  <c r="V2323" i="24"/>
  <c r="B2324" i="24"/>
  <c r="M2324" i="24"/>
  <c r="P2324" i="24"/>
  <c r="Q2324" i="24"/>
  <c r="V2324" i="24"/>
  <c r="B2325" i="24"/>
  <c r="M2325" i="24"/>
  <c r="P2325" i="24"/>
  <c r="Q2325" i="24"/>
  <c r="V2325" i="24"/>
  <c r="B2326" i="24"/>
  <c r="M2326" i="24"/>
  <c r="P2326" i="24"/>
  <c r="Q2326" i="24"/>
  <c r="V2326" i="24"/>
  <c r="B2327" i="24"/>
  <c r="M2327" i="24"/>
  <c r="P2327" i="24"/>
  <c r="Q2327" i="24"/>
  <c r="V2327" i="24"/>
  <c r="B2328" i="24"/>
  <c r="M2328" i="24"/>
  <c r="P2328" i="24"/>
  <c r="Q2328" i="24"/>
  <c r="V2328" i="24"/>
  <c r="B2329" i="24"/>
  <c r="M2329" i="24"/>
  <c r="P2329" i="24"/>
  <c r="Q2329" i="24"/>
  <c r="V2329" i="24"/>
  <c r="B2330" i="24"/>
  <c r="M2330" i="24"/>
  <c r="P2330" i="24"/>
  <c r="Q2330" i="24"/>
  <c r="V2330" i="24"/>
  <c r="B2331" i="24"/>
  <c r="M2331" i="24"/>
  <c r="P2331" i="24"/>
  <c r="Q2331" i="24"/>
  <c r="V2331" i="24"/>
  <c r="B2332" i="24"/>
  <c r="M2332" i="24"/>
  <c r="P2332" i="24"/>
  <c r="Q2332" i="24"/>
  <c r="V2332" i="24"/>
  <c r="B2333" i="24"/>
  <c r="M2333" i="24"/>
  <c r="P2333" i="24"/>
  <c r="Q2333" i="24"/>
  <c r="V2333" i="24"/>
  <c r="B2334" i="24"/>
  <c r="M2334" i="24"/>
  <c r="P2334" i="24"/>
  <c r="Q2334" i="24"/>
  <c r="V2334" i="24"/>
  <c r="B2335" i="24"/>
  <c r="M2335" i="24"/>
  <c r="P2335" i="24"/>
  <c r="Q2335" i="24"/>
  <c r="V2335" i="24"/>
  <c r="B2336" i="24"/>
  <c r="M2336" i="24"/>
  <c r="P2336" i="24"/>
  <c r="Q2336" i="24"/>
  <c r="V2336" i="24"/>
  <c r="B2337" i="24"/>
  <c r="M2337" i="24"/>
  <c r="P2337" i="24"/>
  <c r="Q2337" i="24"/>
  <c r="V2337" i="24"/>
  <c r="B2338" i="24"/>
  <c r="M2338" i="24"/>
  <c r="P2338" i="24"/>
  <c r="Q2338" i="24"/>
  <c r="V2338" i="24"/>
  <c r="B2339" i="24"/>
  <c r="M2339" i="24"/>
  <c r="P2339" i="24"/>
  <c r="Q2339" i="24"/>
  <c r="V2339" i="24"/>
  <c r="B2340" i="24"/>
  <c r="M2340" i="24"/>
  <c r="P2340" i="24"/>
  <c r="Q2340" i="24"/>
  <c r="V2340" i="24"/>
  <c r="B2341" i="24"/>
  <c r="M2341" i="24"/>
  <c r="P2341" i="24"/>
  <c r="Q2341" i="24"/>
  <c r="V2341" i="24"/>
  <c r="B2342" i="24"/>
  <c r="M2342" i="24"/>
  <c r="P2342" i="24"/>
  <c r="Q2342" i="24"/>
  <c r="V2342" i="24"/>
  <c r="B2343" i="24"/>
  <c r="M2343" i="24"/>
  <c r="P2343" i="24"/>
  <c r="Q2343" i="24"/>
  <c r="V2343" i="24"/>
  <c r="B2344" i="24"/>
  <c r="M2344" i="24"/>
  <c r="P2344" i="24"/>
  <c r="Q2344" i="24"/>
  <c r="V2344" i="24"/>
  <c r="B2345" i="24"/>
  <c r="M2345" i="24"/>
  <c r="P2345" i="24"/>
  <c r="Q2345" i="24"/>
  <c r="V2345" i="24"/>
  <c r="B2346" i="24"/>
  <c r="M2346" i="24"/>
  <c r="P2346" i="24"/>
  <c r="Q2346" i="24"/>
  <c r="V2346" i="24"/>
  <c r="B2347" i="24"/>
  <c r="M2347" i="24"/>
  <c r="P2347" i="24"/>
  <c r="Q2347" i="24"/>
  <c r="V2347" i="24"/>
  <c r="B2348" i="24"/>
  <c r="M2348" i="24"/>
  <c r="P2348" i="24"/>
  <c r="Q2348" i="24"/>
  <c r="V2348" i="24"/>
  <c r="B2349" i="24"/>
  <c r="M2349" i="24"/>
  <c r="P2349" i="24"/>
  <c r="Q2349" i="24"/>
  <c r="V2349" i="24"/>
  <c r="B2350" i="24"/>
  <c r="M2350" i="24"/>
  <c r="P2350" i="24"/>
  <c r="Q2350" i="24"/>
  <c r="V2350" i="24"/>
  <c r="B2351" i="24"/>
  <c r="M2351" i="24"/>
  <c r="P2351" i="24"/>
  <c r="Q2351" i="24"/>
  <c r="V2351" i="24"/>
  <c r="B2352" i="24"/>
  <c r="M2352" i="24"/>
  <c r="P2352" i="24"/>
  <c r="Q2352" i="24"/>
  <c r="V2352" i="24"/>
  <c r="B2353" i="24"/>
  <c r="M2353" i="24"/>
  <c r="P2353" i="24"/>
  <c r="Q2353" i="24"/>
  <c r="V2353" i="24"/>
  <c r="B2354" i="24"/>
  <c r="M2354" i="24"/>
  <c r="P2354" i="24"/>
  <c r="Q2354" i="24"/>
  <c r="V2354" i="24"/>
  <c r="B2355" i="24"/>
  <c r="M2355" i="24"/>
  <c r="P2355" i="24"/>
  <c r="Q2355" i="24"/>
  <c r="V2355" i="24"/>
  <c r="B2356" i="24"/>
  <c r="M2356" i="24"/>
  <c r="P2356" i="24"/>
  <c r="Q2356" i="24"/>
  <c r="V2356" i="24"/>
  <c r="B2357" i="24"/>
  <c r="M2357" i="24"/>
  <c r="P2357" i="24"/>
  <c r="Q2357" i="24"/>
  <c r="V2357" i="24"/>
  <c r="B2358" i="24"/>
  <c r="M2358" i="24"/>
  <c r="P2358" i="24"/>
  <c r="Q2358" i="24"/>
  <c r="V2358" i="24"/>
  <c r="B2359" i="24"/>
  <c r="M2359" i="24"/>
  <c r="P2359" i="24"/>
  <c r="Q2359" i="24"/>
  <c r="V2359" i="24"/>
  <c r="B2360" i="24"/>
  <c r="M2360" i="24"/>
  <c r="P2360" i="24"/>
  <c r="Q2360" i="24"/>
  <c r="V2360" i="24"/>
  <c r="B2361" i="24"/>
  <c r="M2361" i="24"/>
  <c r="P2361" i="24"/>
  <c r="Q2361" i="24"/>
  <c r="V2361" i="24"/>
  <c r="B2362" i="24"/>
  <c r="M2362" i="24"/>
  <c r="P2362" i="24"/>
  <c r="Q2362" i="24"/>
  <c r="V2362" i="24"/>
  <c r="B2363" i="24"/>
  <c r="M2363" i="24"/>
  <c r="P2363" i="24"/>
  <c r="Q2363" i="24"/>
  <c r="V2363" i="24"/>
  <c r="B2364" i="24"/>
  <c r="M2364" i="24"/>
  <c r="P2364" i="24"/>
  <c r="Q2364" i="24"/>
  <c r="V2364" i="24"/>
  <c r="B2365" i="24"/>
  <c r="M2365" i="24"/>
  <c r="P2365" i="24"/>
  <c r="Q2365" i="24"/>
  <c r="V2365" i="24"/>
  <c r="B2366" i="24"/>
  <c r="M2366" i="24"/>
  <c r="P2366" i="24"/>
  <c r="Q2366" i="24"/>
  <c r="V2366" i="24"/>
  <c r="B2367" i="24"/>
  <c r="M2367" i="24"/>
  <c r="P2367" i="24"/>
  <c r="Q2367" i="24"/>
  <c r="V2367" i="24"/>
  <c r="B2368" i="24"/>
  <c r="M2368" i="24"/>
  <c r="P2368" i="24"/>
  <c r="Q2368" i="24"/>
  <c r="V2368" i="24"/>
  <c r="B2369" i="24"/>
  <c r="M2369" i="24"/>
  <c r="P2369" i="24"/>
  <c r="Q2369" i="24"/>
  <c r="V2369" i="24"/>
  <c r="B2370" i="24"/>
  <c r="M2370" i="24"/>
  <c r="P2370" i="24"/>
  <c r="Q2370" i="24"/>
  <c r="V2370" i="24"/>
  <c r="B2371" i="24"/>
  <c r="M2371" i="24"/>
  <c r="P2371" i="24"/>
  <c r="Q2371" i="24"/>
  <c r="V2371" i="24"/>
  <c r="B2372" i="24"/>
  <c r="M2372" i="24"/>
  <c r="P2372" i="24"/>
  <c r="Q2372" i="24"/>
  <c r="V2372" i="24"/>
  <c r="B2373" i="24"/>
  <c r="M2373" i="24"/>
  <c r="P2373" i="24"/>
  <c r="Q2373" i="24"/>
  <c r="V2373" i="24"/>
  <c r="B2374" i="24"/>
  <c r="M2374" i="24"/>
  <c r="P2374" i="24"/>
  <c r="Q2374" i="24"/>
  <c r="V2374" i="24"/>
  <c r="B2375" i="24"/>
  <c r="M2375" i="24"/>
  <c r="P2375" i="24"/>
  <c r="Q2375" i="24"/>
  <c r="V2375" i="24"/>
  <c r="B2376" i="24"/>
  <c r="M2376" i="24"/>
  <c r="P2376" i="24"/>
  <c r="Q2376" i="24"/>
  <c r="V2376" i="24"/>
  <c r="B2377" i="24"/>
  <c r="M2377" i="24"/>
  <c r="P2377" i="24"/>
  <c r="Q2377" i="24"/>
  <c r="V2377" i="24"/>
  <c r="B2378" i="24"/>
  <c r="M2378" i="24"/>
  <c r="P2378" i="24"/>
  <c r="Q2378" i="24"/>
  <c r="V2378" i="24"/>
  <c r="B2379" i="24"/>
  <c r="M2379" i="24"/>
  <c r="P2379" i="24"/>
  <c r="Q2379" i="24"/>
  <c r="V2379" i="24"/>
  <c r="B2380" i="24"/>
  <c r="M2380" i="24"/>
  <c r="P2380" i="24"/>
  <c r="Q2380" i="24"/>
  <c r="V2380" i="24"/>
  <c r="B2381" i="24"/>
  <c r="M2381" i="24"/>
  <c r="P2381" i="24"/>
  <c r="Q2381" i="24"/>
  <c r="V2381" i="24"/>
  <c r="B2382" i="24"/>
  <c r="M2382" i="24"/>
  <c r="P2382" i="24"/>
  <c r="Q2382" i="24"/>
  <c r="V2382" i="24"/>
  <c r="B2383" i="24"/>
  <c r="M2383" i="24"/>
  <c r="P2383" i="24"/>
  <c r="Q2383" i="24"/>
  <c r="V2383" i="24"/>
  <c r="B2384" i="24"/>
  <c r="M2384" i="24"/>
  <c r="P2384" i="24"/>
  <c r="Q2384" i="24"/>
  <c r="V2384" i="24"/>
  <c r="B2385" i="24"/>
  <c r="M2385" i="24"/>
  <c r="P2385" i="24"/>
  <c r="Q2385" i="24"/>
  <c r="V2385" i="24"/>
  <c r="B2386" i="24"/>
  <c r="M2386" i="24"/>
  <c r="P2386" i="24"/>
  <c r="Q2386" i="24"/>
  <c r="V2386" i="24"/>
  <c r="B2387" i="24"/>
  <c r="M2387" i="24"/>
  <c r="P2387" i="24"/>
  <c r="Q2387" i="24"/>
  <c r="V2387" i="24"/>
  <c r="B2388" i="24"/>
  <c r="M2388" i="24"/>
  <c r="P2388" i="24"/>
  <c r="Q2388" i="24"/>
  <c r="V2388" i="24"/>
  <c r="B2389" i="24"/>
  <c r="M2389" i="24"/>
  <c r="P2389" i="24"/>
  <c r="Q2389" i="24"/>
  <c r="V2389" i="24"/>
  <c r="B2390" i="24"/>
  <c r="M2390" i="24"/>
  <c r="P2390" i="24"/>
  <c r="Q2390" i="24"/>
  <c r="V2390" i="24"/>
  <c r="B2391" i="24"/>
  <c r="M2391" i="24"/>
  <c r="P2391" i="24"/>
  <c r="Q2391" i="24"/>
  <c r="V2391" i="24"/>
  <c r="B2392" i="24"/>
  <c r="M2392" i="24"/>
  <c r="P2392" i="24"/>
  <c r="Q2392" i="24"/>
  <c r="V2392" i="24"/>
  <c r="B2393" i="24"/>
  <c r="M2393" i="24"/>
  <c r="P2393" i="24"/>
  <c r="Q2393" i="24"/>
  <c r="V2393" i="24"/>
  <c r="B2394" i="24"/>
  <c r="M2394" i="24"/>
  <c r="P2394" i="24"/>
  <c r="Q2394" i="24"/>
  <c r="V2394" i="24"/>
  <c r="B2395" i="24"/>
  <c r="M2395" i="24"/>
  <c r="P2395" i="24"/>
  <c r="Q2395" i="24"/>
  <c r="V2395" i="24"/>
  <c r="B2396" i="24"/>
  <c r="M2396" i="24"/>
  <c r="P2396" i="24"/>
  <c r="Q2396" i="24"/>
  <c r="V2396" i="24"/>
  <c r="B2397" i="24"/>
  <c r="M2397" i="24"/>
  <c r="P2397" i="24"/>
  <c r="Q2397" i="24"/>
  <c r="V2397" i="24"/>
  <c r="B2398" i="24"/>
  <c r="M2398" i="24"/>
  <c r="P2398" i="24"/>
  <c r="Q2398" i="24"/>
  <c r="V2398" i="24"/>
  <c r="B2399" i="24"/>
  <c r="M2399" i="24"/>
  <c r="P2399" i="24"/>
  <c r="Q2399" i="24"/>
  <c r="V2399" i="24"/>
  <c r="B2400" i="24"/>
  <c r="M2400" i="24"/>
  <c r="P2400" i="24"/>
  <c r="Q2400" i="24"/>
  <c r="V2400" i="24"/>
  <c r="B2401" i="24"/>
  <c r="M2401" i="24"/>
  <c r="P2401" i="24"/>
  <c r="Q2401" i="24"/>
  <c r="V2401" i="24"/>
  <c r="B2402" i="24"/>
  <c r="M2402" i="24"/>
  <c r="P2402" i="24"/>
  <c r="Q2402" i="24"/>
  <c r="V2402" i="24"/>
  <c r="B2403" i="24"/>
  <c r="M2403" i="24"/>
  <c r="P2403" i="24"/>
  <c r="Q2403" i="24"/>
  <c r="V2403" i="24"/>
  <c r="B2404" i="24"/>
  <c r="M2404" i="24"/>
  <c r="P2404" i="24"/>
  <c r="Q2404" i="24"/>
  <c r="V2404" i="24"/>
  <c r="B2405" i="24"/>
  <c r="M2405" i="24"/>
  <c r="P2405" i="24"/>
  <c r="Q2405" i="24"/>
  <c r="V2405" i="24"/>
  <c r="B2406" i="24"/>
  <c r="M2406" i="24"/>
  <c r="P2406" i="24"/>
  <c r="Q2406" i="24"/>
  <c r="V2406" i="24"/>
  <c r="B2407" i="24"/>
  <c r="M2407" i="24"/>
  <c r="P2407" i="24"/>
  <c r="Q2407" i="24"/>
  <c r="V2407" i="24"/>
  <c r="B2408" i="24"/>
  <c r="M2408" i="24"/>
  <c r="P2408" i="24"/>
  <c r="Q2408" i="24"/>
  <c r="V2408" i="24"/>
  <c r="B2409" i="24"/>
  <c r="M2409" i="24"/>
  <c r="P2409" i="24"/>
  <c r="Q2409" i="24"/>
  <c r="V2409" i="24"/>
  <c r="B2410" i="24"/>
  <c r="M2410" i="24"/>
  <c r="P2410" i="24"/>
  <c r="Q2410" i="24"/>
  <c r="V2410" i="24"/>
  <c r="B2411" i="24"/>
  <c r="M2411" i="24"/>
  <c r="P2411" i="24"/>
  <c r="Q2411" i="24"/>
  <c r="V2411" i="24"/>
  <c r="B2412" i="24"/>
  <c r="M2412" i="24"/>
  <c r="P2412" i="24"/>
  <c r="Q2412" i="24"/>
  <c r="V2412" i="24"/>
  <c r="B2413" i="24"/>
  <c r="M2413" i="24"/>
  <c r="P2413" i="24"/>
  <c r="Q2413" i="24"/>
  <c r="V2413" i="24"/>
  <c r="B2414" i="24"/>
  <c r="M2414" i="24"/>
  <c r="P2414" i="24"/>
  <c r="Q2414" i="24"/>
  <c r="V2414" i="24"/>
  <c r="B2415" i="24"/>
  <c r="M2415" i="24"/>
  <c r="P2415" i="24"/>
  <c r="Q2415" i="24"/>
  <c r="V2415" i="24"/>
  <c r="B2416" i="24"/>
  <c r="M2416" i="24"/>
  <c r="P2416" i="24"/>
  <c r="Q2416" i="24"/>
  <c r="V2416" i="24"/>
  <c r="B2417" i="24"/>
  <c r="M2417" i="24"/>
  <c r="P2417" i="24"/>
  <c r="Q2417" i="24"/>
  <c r="V2417" i="24"/>
  <c r="B2418" i="24"/>
  <c r="M2418" i="24"/>
  <c r="P2418" i="24"/>
  <c r="Q2418" i="24"/>
  <c r="V2418" i="24"/>
  <c r="B2419" i="24"/>
  <c r="M2419" i="24"/>
  <c r="P2419" i="24"/>
  <c r="Q2419" i="24"/>
  <c r="V2419" i="24"/>
  <c r="B2420" i="24"/>
  <c r="M2420" i="24"/>
  <c r="P2420" i="24"/>
  <c r="Q2420" i="24"/>
  <c r="V2420" i="24"/>
  <c r="B2421" i="24"/>
  <c r="M2421" i="24"/>
  <c r="P2421" i="24"/>
  <c r="Q2421" i="24"/>
  <c r="V2421" i="24"/>
  <c r="B2422" i="24"/>
  <c r="M2422" i="24"/>
  <c r="P2422" i="24"/>
  <c r="Q2422" i="24"/>
  <c r="V2422" i="24"/>
  <c r="B2423" i="24"/>
  <c r="M2423" i="24"/>
  <c r="P2423" i="24"/>
  <c r="Q2423" i="24"/>
  <c r="V2423" i="24"/>
  <c r="B2424" i="24"/>
  <c r="M2424" i="24"/>
  <c r="P2424" i="24"/>
  <c r="Q2424" i="24"/>
  <c r="V2424" i="24"/>
  <c r="B2425" i="24"/>
  <c r="M2425" i="24"/>
  <c r="P2425" i="24"/>
  <c r="Q2425" i="24"/>
  <c r="V2425" i="24"/>
  <c r="B2426" i="24"/>
  <c r="M2426" i="24"/>
  <c r="P2426" i="24"/>
  <c r="Q2426" i="24"/>
  <c r="V2426" i="24"/>
  <c r="B2427" i="24"/>
  <c r="M2427" i="24"/>
  <c r="P2427" i="24"/>
  <c r="Q2427" i="24"/>
  <c r="V2427" i="24"/>
  <c r="B2428" i="24"/>
  <c r="M2428" i="24"/>
  <c r="P2428" i="24"/>
  <c r="Q2428" i="24"/>
  <c r="V2428" i="24"/>
  <c r="B2429" i="24"/>
  <c r="M2429" i="24"/>
  <c r="P2429" i="24"/>
  <c r="Q2429" i="24"/>
  <c r="V2429" i="24"/>
  <c r="B2430" i="24"/>
  <c r="M2430" i="24"/>
  <c r="P2430" i="24"/>
  <c r="Q2430" i="24"/>
  <c r="V2430" i="24"/>
  <c r="B2431" i="24"/>
  <c r="M2431" i="24"/>
  <c r="P2431" i="24"/>
  <c r="Q2431" i="24"/>
  <c r="V2431" i="24"/>
  <c r="B2432" i="24"/>
  <c r="M2432" i="24"/>
  <c r="P2432" i="24"/>
  <c r="Q2432" i="24"/>
  <c r="V2432" i="24"/>
  <c r="B2433" i="24"/>
  <c r="M2433" i="24"/>
  <c r="P2433" i="24"/>
  <c r="Q2433" i="24"/>
  <c r="V2433" i="24"/>
  <c r="B2434" i="24"/>
  <c r="M2434" i="24"/>
  <c r="P2434" i="24"/>
  <c r="Q2434" i="24"/>
  <c r="V2434" i="24"/>
  <c r="B2435" i="24"/>
  <c r="M2435" i="24"/>
  <c r="P2435" i="24"/>
  <c r="Q2435" i="24"/>
  <c r="V2435" i="24"/>
  <c r="B2436" i="24"/>
  <c r="M2436" i="24"/>
  <c r="P2436" i="24"/>
  <c r="Q2436" i="24"/>
  <c r="V2436" i="24"/>
  <c r="B2437" i="24"/>
  <c r="M2437" i="24"/>
  <c r="P2437" i="24"/>
  <c r="Q2437" i="24"/>
  <c r="V2437" i="24"/>
  <c r="B2438" i="24"/>
  <c r="M2438" i="24"/>
  <c r="P2438" i="24"/>
  <c r="Q2438" i="24"/>
  <c r="V2438" i="24"/>
  <c r="B2439" i="24"/>
  <c r="M2439" i="24"/>
  <c r="P2439" i="24"/>
  <c r="Q2439" i="24"/>
  <c r="V2439" i="24"/>
  <c r="B2440" i="24"/>
  <c r="M2440" i="24"/>
  <c r="P2440" i="24"/>
  <c r="Q2440" i="24"/>
  <c r="V2440" i="24"/>
  <c r="B2441" i="24"/>
  <c r="M2441" i="24"/>
  <c r="P2441" i="24"/>
  <c r="Q2441" i="24"/>
  <c r="V2441" i="24"/>
  <c r="B2442" i="24"/>
  <c r="M2442" i="24"/>
  <c r="P2442" i="24"/>
  <c r="Q2442" i="24"/>
  <c r="V2442" i="24"/>
  <c r="B2443" i="24"/>
  <c r="M2443" i="24"/>
  <c r="P2443" i="24"/>
  <c r="Q2443" i="24"/>
  <c r="V2443" i="24"/>
  <c r="B2444" i="24"/>
  <c r="M2444" i="24"/>
  <c r="P2444" i="24"/>
  <c r="Q2444" i="24"/>
  <c r="V2444" i="24"/>
  <c r="B2445" i="24"/>
  <c r="M2445" i="24"/>
  <c r="P2445" i="24"/>
  <c r="Q2445" i="24"/>
  <c r="V2445" i="24"/>
  <c r="B2446" i="24"/>
  <c r="M2446" i="24"/>
  <c r="P2446" i="24"/>
  <c r="Q2446" i="24"/>
  <c r="V2446" i="24"/>
  <c r="B2447" i="24"/>
  <c r="M2447" i="24"/>
  <c r="P2447" i="24"/>
  <c r="Q2447" i="24"/>
  <c r="V2447" i="24"/>
  <c r="B2448" i="24"/>
  <c r="M2448" i="24"/>
  <c r="P2448" i="24"/>
  <c r="Q2448" i="24"/>
  <c r="V2448" i="24"/>
  <c r="B2449" i="24"/>
  <c r="M2449" i="24"/>
  <c r="P2449" i="24"/>
  <c r="Q2449" i="24"/>
  <c r="V2449" i="24"/>
  <c r="B2450" i="24"/>
  <c r="M2450" i="24"/>
  <c r="P2450" i="24"/>
  <c r="Q2450" i="24"/>
  <c r="V2450" i="24"/>
  <c r="B2451" i="24"/>
  <c r="M2451" i="24"/>
  <c r="P2451" i="24"/>
  <c r="Q2451" i="24"/>
  <c r="V2451" i="24"/>
  <c r="B2452" i="24"/>
  <c r="M2452" i="24"/>
  <c r="P2452" i="24"/>
  <c r="Q2452" i="24"/>
  <c r="V2452" i="24"/>
  <c r="B2453" i="24"/>
  <c r="M2453" i="24"/>
  <c r="P2453" i="24"/>
  <c r="Q2453" i="24"/>
  <c r="V2453" i="24"/>
  <c r="B2454" i="24"/>
  <c r="M2454" i="24"/>
  <c r="P2454" i="24"/>
  <c r="Q2454" i="24"/>
  <c r="V2454" i="24"/>
  <c r="B2455" i="24"/>
  <c r="M2455" i="24"/>
  <c r="P2455" i="24"/>
  <c r="Q2455" i="24"/>
  <c r="V2455" i="24"/>
  <c r="B2456" i="24"/>
  <c r="M2456" i="24"/>
  <c r="P2456" i="24"/>
  <c r="Q2456" i="24"/>
  <c r="V2456" i="24"/>
  <c r="B2457" i="24"/>
  <c r="M2457" i="24"/>
  <c r="P2457" i="24"/>
  <c r="Q2457" i="24"/>
  <c r="V2457" i="24"/>
  <c r="B2458" i="24"/>
  <c r="M2458" i="24"/>
  <c r="P2458" i="24"/>
  <c r="Q2458" i="24"/>
  <c r="V2458" i="24"/>
  <c r="B2459" i="24"/>
  <c r="M2459" i="24"/>
  <c r="P2459" i="24"/>
  <c r="Q2459" i="24"/>
  <c r="V2459" i="24"/>
  <c r="B2460" i="24"/>
  <c r="M2460" i="24"/>
  <c r="P2460" i="24"/>
  <c r="Q2460" i="24"/>
  <c r="V2460" i="24"/>
  <c r="B2461" i="24"/>
  <c r="M2461" i="24"/>
  <c r="P2461" i="24"/>
  <c r="Q2461" i="24"/>
  <c r="V2461" i="24"/>
  <c r="B2462" i="24"/>
  <c r="M2462" i="24"/>
  <c r="P2462" i="24"/>
  <c r="Q2462" i="24"/>
  <c r="V2462" i="24"/>
  <c r="B2463" i="24"/>
  <c r="M2463" i="24"/>
  <c r="P2463" i="24"/>
  <c r="Q2463" i="24"/>
  <c r="V2463" i="24"/>
  <c r="B2464" i="24"/>
  <c r="M2464" i="24"/>
  <c r="P2464" i="24"/>
  <c r="Q2464" i="24"/>
  <c r="V2464" i="24"/>
  <c r="B2465" i="24"/>
  <c r="M2465" i="24"/>
  <c r="P2465" i="24"/>
  <c r="Q2465" i="24"/>
  <c r="V2465" i="24"/>
  <c r="B2466" i="24"/>
  <c r="M2466" i="24"/>
  <c r="P2466" i="24"/>
  <c r="Q2466" i="24"/>
  <c r="V2466" i="24"/>
  <c r="B2467" i="24"/>
  <c r="M2467" i="24"/>
  <c r="P2467" i="24"/>
  <c r="Q2467" i="24"/>
  <c r="V2467" i="24"/>
  <c r="B2468" i="24"/>
  <c r="M2468" i="24"/>
  <c r="P2468" i="24"/>
  <c r="Q2468" i="24"/>
  <c r="V2468" i="24"/>
  <c r="B2469" i="24"/>
  <c r="M2469" i="24"/>
  <c r="P2469" i="24"/>
  <c r="Q2469" i="24"/>
  <c r="V2469" i="24"/>
  <c r="B2470" i="24"/>
  <c r="M2470" i="24"/>
  <c r="P2470" i="24"/>
  <c r="Q2470" i="24"/>
  <c r="V2470" i="24"/>
  <c r="B2471" i="24"/>
  <c r="M2471" i="24"/>
  <c r="P2471" i="24"/>
  <c r="Q2471" i="24"/>
  <c r="V2471" i="24"/>
  <c r="B2472" i="24"/>
  <c r="M2472" i="24"/>
  <c r="P2472" i="24"/>
  <c r="Q2472" i="24"/>
  <c r="V2472" i="24"/>
  <c r="B2473" i="24"/>
  <c r="M2473" i="24"/>
  <c r="P2473" i="24"/>
  <c r="Q2473" i="24"/>
  <c r="V2473" i="24"/>
  <c r="B2474" i="24"/>
  <c r="M2474" i="24"/>
  <c r="P2474" i="24"/>
  <c r="Q2474" i="24"/>
  <c r="V2474" i="24"/>
  <c r="B2475" i="24"/>
  <c r="M2475" i="24"/>
  <c r="P2475" i="24"/>
  <c r="Q2475" i="24"/>
  <c r="V2475" i="24"/>
  <c r="B2476" i="24"/>
  <c r="M2476" i="24"/>
  <c r="P2476" i="24"/>
  <c r="Q2476" i="24"/>
  <c r="V2476" i="24"/>
  <c r="B2477" i="24"/>
  <c r="M2477" i="24"/>
  <c r="P2477" i="24"/>
  <c r="Q2477" i="24"/>
  <c r="V2477" i="24"/>
  <c r="B2478" i="24"/>
  <c r="M2478" i="24"/>
  <c r="P2478" i="24"/>
  <c r="Q2478" i="24"/>
  <c r="V2478" i="24"/>
  <c r="B2479" i="24"/>
  <c r="M2479" i="24"/>
  <c r="P2479" i="24"/>
  <c r="Q2479" i="24"/>
  <c r="V2479" i="24"/>
  <c r="B2480" i="24"/>
  <c r="M2480" i="24"/>
  <c r="P2480" i="24"/>
  <c r="Q2480" i="24"/>
  <c r="V2480" i="24"/>
  <c r="B2481" i="24"/>
  <c r="M2481" i="24"/>
  <c r="P2481" i="24"/>
  <c r="Q2481" i="24"/>
  <c r="V2481" i="24"/>
  <c r="B2482" i="24"/>
  <c r="M2482" i="24"/>
  <c r="P2482" i="24"/>
  <c r="Q2482" i="24"/>
  <c r="V2482" i="24"/>
  <c r="B2483" i="24"/>
  <c r="M2483" i="24"/>
  <c r="P2483" i="24"/>
  <c r="Q2483" i="24"/>
  <c r="V2483" i="24"/>
  <c r="B2484" i="24"/>
  <c r="M2484" i="24"/>
  <c r="P2484" i="24"/>
  <c r="Q2484" i="24"/>
  <c r="V2484" i="24"/>
  <c r="B2485" i="24"/>
  <c r="M2485" i="24"/>
  <c r="P2485" i="24"/>
  <c r="Q2485" i="24"/>
  <c r="V2485" i="24"/>
  <c r="B2486" i="24"/>
  <c r="M2486" i="24"/>
  <c r="P2486" i="24"/>
  <c r="Q2486" i="24"/>
  <c r="V2486" i="24"/>
  <c r="B2487" i="24"/>
  <c r="M2487" i="24"/>
  <c r="P2487" i="24"/>
  <c r="Q2487" i="24"/>
  <c r="V2487" i="24"/>
  <c r="B2488" i="24"/>
  <c r="M2488" i="24"/>
  <c r="P2488" i="24"/>
  <c r="Q2488" i="24"/>
  <c r="V2488" i="24"/>
  <c r="B2489" i="24"/>
  <c r="M2489" i="24"/>
  <c r="P2489" i="24"/>
  <c r="Q2489" i="24"/>
  <c r="V2489" i="24"/>
  <c r="B2490" i="24"/>
  <c r="M2490" i="24"/>
  <c r="P2490" i="24"/>
  <c r="Q2490" i="24"/>
  <c r="V2490" i="24"/>
  <c r="B2491" i="24"/>
  <c r="M2491" i="24"/>
  <c r="P2491" i="24"/>
  <c r="Q2491" i="24"/>
  <c r="V2491" i="24"/>
  <c r="B2492" i="24"/>
  <c r="M2492" i="24"/>
  <c r="P2492" i="24"/>
  <c r="Q2492" i="24"/>
  <c r="V2492" i="24"/>
  <c r="B2493" i="24"/>
  <c r="M2493" i="24"/>
  <c r="P2493" i="24"/>
  <c r="Q2493" i="24"/>
  <c r="V2493" i="24"/>
  <c r="B2494" i="24"/>
  <c r="M2494" i="24"/>
  <c r="P2494" i="24"/>
  <c r="Q2494" i="24"/>
  <c r="V2494" i="24"/>
  <c r="B2495" i="24"/>
  <c r="M2495" i="24"/>
  <c r="P2495" i="24"/>
  <c r="Q2495" i="24"/>
  <c r="V2495" i="24"/>
  <c r="B2496" i="24"/>
  <c r="M2496" i="24"/>
  <c r="P2496" i="24"/>
  <c r="Q2496" i="24"/>
  <c r="V2496" i="24"/>
  <c r="B2497" i="24"/>
  <c r="M2497" i="24"/>
  <c r="P2497" i="24"/>
  <c r="Q2497" i="24"/>
  <c r="V2497" i="24"/>
  <c r="B2498" i="24"/>
  <c r="M2498" i="24"/>
  <c r="P2498" i="24"/>
  <c r="Q2498" i="24"/>
  <c r="V2498" i="24"/>
  <c r="B2499" i="24"/>
  <c r="M2499" i="24"/>
  <c r="P2499" i="24"/>
  <c r="Q2499" i="24"/>
  <c r="V2499" i="24"/>
  <c r="B2500" i="24"/>
  <c r="M2500" i="24"/>
  <c r="P2500" i="24"/>
  <c r="Q2500" i="24"/>
  <c r="V2500" i="24"/>
  <c r="B2501" i="24"/>
  <c r="M2501" i="24"/>
  <c r="P2501" i="24"/>
  <c r="Q2501" i="24"/>
  <c r="V2501" i="24"/>
  <c r="B2502" i="24"/>
  <c r="M2502" i="24"/>
  <c r="P2502" i="24"/>
  <c r="Q2502" i="24"/>
  <c r="V2502" i="24"/>
  <c r="B2503" i="24"/>
  <c r="M2503" i="24"/>
  <c r="P2503" i="24"/>
  <c r="Q2503" i="24"/>
  <c r="V2503" i="24"/>
  <c r="B2504" i="24"/>
  <c r="M2504" i="24"/>
  <c r="P2504" i="24"/>
  <c r="Q2504" i="24"/>
  <c r="V2504" i="24"/>
  <c r="B2505" i="24"/>
  <c r="M2505" i="24"/>
  <c r="P2505" i="24"/>
  <c r="Q2505" i="24"/>
  <c r="V2505" i="24"/>
  <c r="B2506" i="24"/>
  <c r="M2506" i="24"/>
  <c r="P2506" i="24"/>
  <c r="Q2506" i="24"/>
  <c r="V2506" i="24"/>
  <c r="B2507" i="24"/>
  <c r="M2507" i="24"/>
  <c r="P2507" i="24"/>
  <c r="Q2507" i="24"/>
  <c r="V2507" i="24"/>
  <c r="B2508" i="24"/>
  <c r="M2508" i="24"/>
  <c r="P2508" i="24"/>
  <c r="Q2508" i="24"/>
  <c r="V2508" i="24"/>
  <c r="B2509" i="24"/>
  <c r="M2509" i="24"/>
  <c r="P2509" i="24"/>
  <c r="Q2509" i="24"/>
  <c r="V2509" i="24"/>
  <c r="B2510" i="24"/>
  <c r="M2510" i="24"/>
  <c r="P2510" i="24"/>
  <c r="Q2510" i="24"/>
  <c r="V2510" i="24"/>
  <c r="B2511" i="24"/>
  <c r="M2511" i="24"/>
  <c r="P2511" i="24"/>
  <c r="Q2511" i="24"/>
  <c r="V2511" i="24"/>
  <c r="B2512" i="24"/>
  <c r="M2512" i="24"/>
  <c r="P2512" i="24"/>
  <c r="Q2512" i="24"/>
  <c r="V2512" i="24"/>
  <c r="B2513" i="24"/>
  <c r="M2513" i="24"/>
  <c r="P2513" i="24"/>
  <c r="Q2513" i="24"/>
  <c r="V2513" i="24"/>
  <c r="B2514" i="24"/>
  <c r="M2514" i="24"/>
  <c r="P2514" i="24"/>
  <c r="Q2514" i="24"/>
  <c r="V2514" i="24"/>
  <c r="B2515" i="24"/>
  <c r="M2515" i="24"/>
  <c r="P2515" i="24"/>
  <c r="Q2515" i="24"/>
  <c r="V2515" i="24"/>
  <c r="B2516" i="24"/>
  <c r="M2516" i="24"/>
  <c r="P2516" i="24"/>
  <c r="Q2516" i="24"/>
  <c r="V2516" i="24"/>
  <c r="B2517" i="24"/>
  <c r="M2517" i="24"/>
  <c r="P2517" i="24"/>
  <c r="Q2517" i="24"/>
  <c r="V2517" i="24"/>
  <c r="B2518" i="24"/>
  <c r="M2518" i="24"/>
  <c r="P2518" i="24"/>
  <c r="Q2518" i="24"/>
  <c r="V2518" i="24"/>
  <c r="B2519" i="24"/>
  <c r="M2519" i="24"/>
  <c r="P2519" i="24"/>
  <c r="Q2519" i="24"/>
  <c r="V2519" i="24"/>
  <c r="B2520" i="24"/>
  <c r="M2520" i="24"/>
  <c r="P2520" i="24"/>
  <c r="Q2520" i="24"/>
  <c r="V2520" i="24"/>
  <c r="B2521" i="24"/>
  <c r="M2521" i="24"/>
  <c r="P2521" i="24"/>
  <c r="Q2521" i="24"/>
  <c r="V2521" i="24"/>
  <c r="B2522" i="24"/>
  <c r="M2522" i="24"/>
  <c r="P2522" i="24"/>
  <c r="Q2522" i="24"/>
  <c r="V2522" i="24"/>
  <c r="B2523" i="24"/>
  <c r="M2523" i="24"/>
  <c r="P2523" i="24"/>
  <c r="Q2523" i="24"/>
  <c r="V2523" i="24"/>
  <c r="B2524" i="24"/>
  <c r="M2524" i="24"/>
  <c r="P2524" i="24"/>
  <c r="Q2524" i="24"/>
  <c r="V2524" i="24"/>
  <c r="B2525" i="24"/>
  <c r="M2525" i="24"/>
  <c r="P2525" i="24"/>
  <c r="Q2525" i="24"/>
  <c r="V2525" i="24"/>
  <c r="B2526" i="24"/>
  <c r="M2526" i="24"/>
  <c r="P2526" i="24"/>
  <c r="Q2526" i="24"/>
  <c r="V2526" i="24"/>
  <c r="B2527" i="24"/>
  <c r="M2527" i="24"/>
  <c r="P2527" i="24"/>
  <c r="Q2527" i="24"/>
  <c r="V2527" i="24"/>
  <c r="B2528" i="24"/>
  <c r="M2528" i="24"/>
  <c r="P2528" i="24"/>
  <c r="Q2528" i="24"/>
  <c r="V2528" i="24"/>
  <c r="B2529" i="24"/>
  <c r="M2529" i="24"/>
  <c r="P2529" i="24"/>
  <c r="Q2529" i="24"/>
  <c r="V2529" i="24"/>
  <c r="B2530" i="24"/>
  <c r="M2530" i="24"/>
  <c r="P2530" i="24"/>
  <c r="Q2530" i="24"/>
  <c r="V2530" i="24"/>
  <c r="B2531" i="24"/>
  <c r="M2531" i="24"/>
  <c r="P2531" i="24"/>
  <c r="Q2531" i="24"/>
  <c r="V2531" i="24"/>
  <c r="B2532" i="24"/>
  <c r="M2532" i="24"/>
  <c r="P2532" i="24"/>
  <c r="Q2532" i="24"/>
  <c r="V2532" i="24"/>
  <c r="B2533" i="24"/>
  <c r="M2533" i="24"/>
  <c r="P2533" i="24"/>
  <c r="Q2533" i="24"/>
  <c r="V2533" i="24"/>
  <c r="B2534" i="24"/>
  <c r="M2534" i="24"/>
  <c r="P2534" i="24"/>
  <c r="Q2534" i="24"/>
  <c r="V2534" i="24"/>
  <c r="B2535" i="24"/>
  <c r="M2535" i="24"/>
  <c r="P2535" i="24"/>
  <c r="Q2535" i="24"/>
  <c r="V2535" i="24"/>
  <c r="B2536" i="24"/>
  <c r="M2536" i="24"/>
  <c r="P2536" i="24"/>
  <c r="Q2536" i="24"/>
  <c r="V2536" i="24"/>
  <c r="B2537" i="24"/>
  <c r="M2537" i="24"/>
  <c r="P2537" i="24"/>
  <c r="Q2537" i="24"/>
  <c r="V2537" i="24"/>
  <c r="B2538" i="24"/>
  <c r="M2538" i="24"/>
  <c r="P2538" i="24"/>
  <c r="Q2538" i="24"/>
  <c r="V2538" i="24"/>
  <c r="B2539" i="24"/>
  <c r="M2539" i="24"/>
  <c r="P2539" i="24"/>
  <c r="Q2539" i="24"/>
  <c r="V2539" i="24"/>
  <c r="B2540" i="24"/>
  <c r="M2540" i="24"/>
  <c r="P2540" i="24"/>
  <c r="Q2540" i="24"/>
  <c r="V2540" i="24"/>
  <c r="B2541" i="24"/>
  <c r="M2541" i="24"/>
  <c r="P2541" i="24"/>
  <c r="Q2541" i="24"/>
  <c r="V2541" i="24"/>
  <c r="B2542" i="24"/>
  <c r="M2542" i="24"/>
  <c r="P2542" i="24"/>
  <c r="Q2542" i="24"/>
  <c r="V2542" i="24"/>
  <c r="B2543" i="24"/>
  <c r="M2543" i="24"/>
  <c r="P2543" i="24"/>
  <c r="Q2543" i="24"/>
  <c r="V2543" i="24"/>
  <c r="B2544" i="24"/>
  <c r="M2544" i="24"/>
  <c r="P2544" i="24"/>
  <c r="Q2544" i="24"/>
  <c r="V2544" i="24"/>
  <c r="B2545" i="24"/>
  <c r="M2545" i="24"/>
  <c r="P2545" i="24"/>
  <c r="Q2545" i="24"/>
  <c r="V2545" i="24"/>
  <c r="B2546" i="24"/>
  <c r="M2546" i="24"/>
  <c r="P2546" i="24"/>
  <c r="Q2546" i="24"/>
  <c r="V2546" i="24"/>
  <c r="B2547" i="24"/>
  <c r="M2547" i="24"/>
  <c r="P2547" i="24"/>
  <c r="Q2547" i="24"/>
  <c r="V2547" i="24"/>
  <c r="B2548" i="24"/>
  <c r="M2548" i="24"/>
  <c r="P2548" i="24"/>
  <c r="Q2548" i="24"/>
  <c r="V2548" i="24"/>
  <c r="B2549" i="24"/>
  <c r="M2549" i="24"/>
  <c r="P2549" i="24"/>
  <c r="Q2549" i="24"/>
  <c r="V2549" i="24"/>
  <c r="B2550" i="24"/>
  <c r="M2550" i="24"/>
  <c r="P2550" i="24"/>
  <c r="Q2550" i="24"/>
  <c r="V2550" i="24"/>
  <c r="B2551" i="24"/>
  <c r="M2551" i="24"/>
  <c r="P2551" i="24"/>
  <c r="Q2551" i="24"/>
  <c r="V2551" i="24"/>
  <c r="B2552" i="24"/>
  <c r="M2552" i="24"/>
  <c r="P2552" i="24"/>
  <c r="Q2552" i="24"/>
  <c r="V2552" i="24"/>
  <c r="B2553" i="24"/>
  <c r="M2553" i="24"/>
  <c r="P2553" i="24"/>
  <c r="Q2553" i="24"/>
  <c r="V2553" i="24"/>
  <c r="B2554" i="24"/>
  <c r="M2554" i="24"/>
  <c r="P2554" i="24"/>
  <c r="Q2554" i="24"/>
  <c r="V2554" i="24"/>
  <c r="B2555" i="24"/>
  <c r="M2555" i="24"/>
  <c r="P2555" i="24"/>
  <c r="Q2555" i="24"/>
  <c r="V2555" i="24"/>
  <c r="B2556" i="24"/>
  <c r="M2556" i="24"/>
  <c r="P2556" i="24"/>
  <c r="Q2556" i="24"/>
  <c r="V2556" i="24"/>
  <c r="B2557" i="24"/>
  <c r="M2557" i="24"/>
  <c r="P2557" i="24"/>
  <c r="Q2557" i="24"/>
  <c r="V2557" i="24"/>
  <c r="B2558" i="24"/>
  <c r="M2558" i="24"/>
  <c r="P2558" i="24"/>
  <c r="Q2558" i="24"/>
  <c r="V2558" i="24"/>
  <c r="B2559" i="24"/>
  <c r="M2559" i="24"/>
  <c r="P2559" i="24"/>
  <c r="Q2559" i="24"/>
  <c r="V2559" i="24"/>
  <c r="B2560" i="24"/>
  <c r="M2560" i="24"/>
  <c r="P2560" i="24"/>
  <c r="Q2560" i="24"/>
  <c r="V2560" i="24"/>
  <c r="B2561" i="24"/>
  <c r="M2561" i="24"/>
  <c r="P2561" i="24"/>
  <c r="Q2561" i="24"/>
  <c r="V2561" i="24"/>
  <c r="B2562" i="24"/>
  <c r="M2562" i="24"/>
  <c r="P2562" i="24"/>
  <c r="Q2562" i="24"/>
  <c r="V2562" i="24"/>
  <c r="B2563" i="24"/>
  <c r="M2563" i="24"/>
  <c r="P2563" i="24"/>
  <c r="Q2563" i="24"/>
  <c r="V2563" i="24"/>
  <c r="B2564" i="24"/>
  <c r="M2564" i="24"/>
  <c r="P2564" i="24"/>
  <c r="Q2564" i="24"/>
  <c r="V2564" i="24"/>
  <c r="B2565" i="24"/>
  <c r="M2565" i="24"/>
  <c r="P2565" i="24"/>
  <c r="Q2565" i="24"/>
  <c r="V2565" i="24"/>
  <c r="B2566" i="24"/>
  <c r="M2566" i="24"/>
  <c r="P2566" i="24"/>
  <c r="Q2566" i="24"/>
  <c r="V2566" i="24"/>
  <c r="B2567" i="24"/>
  <c r="M2567" i="24"/>
  <c r="P2567" i="24"/>
  <c r="Q2567" i="24"/>
  <c r="V2567" i="24"/>
  <c r="B2568" i="24"/>
  <c r="M2568" i="24"/>
  <c r="P2568" i="24"/>
  <c r="Q2568" i="24"/>
  <c r="V2568" i="24"/>
  <c r="B2569" i="24"/>
  <c r="M2569" i="24"/>
  <c r="P2569" i="24"/>
  <c r="Q2569" i="24"/>
  <c r="V2569" i="24"/>
  <c r="B2570" i="24"/>
  <c r="M2570" i="24"/>
  <c r="P2570" i="24"/>
  <c r="Q2570" i="24"/>
  <c r="V2570" i="24"/>
  <c r="B2571" i="24"/>
  <c r="M2571" i="24"/>
  <c r="P2571" i="24"/>
  <c r="Q2571" i="24"/>
  <c r="V2571" i="24"/>
  <c r="B2572" i="24"/>
  <c r="M2572" i="24"/>
  <c r="P2572" i="24"/>
  <c r="Q2572" i="24"/>
  <c r="V2572" i="24"/>
  <c r="B2573" i="24"/>
  <c r="M2573" i="24"/>
  <c r="P2573" i="24"/>
  <c r="Q2573" i="24"/>
  <c r="V2573" i="24"/>
  <c r="B2574" i="24"/>
  <c r="M2574" i="24"/>
  <c r="P2574" i="24"/>
  <c r="Q2574" i="24"/>
  <c r="V2574" i="24"/>
  <c r="B2575" i="24"/>
  <c r="M2575" i="24"/>
  <c r="P2575" i="24"/>
  <c r="Q2575" i="24"/>
  <c r="V2575" i="24"/>
  <c r="B2576" i="24"/>
  <c r="M2576" i="24"/>
  <c r="P2576" i="24"/>
  <c r="Q2576" i="24"/>
  <c r="V2576" i="24"/>
  <c r="B2577" i="24"/>
  <c r="M2577" i="24"/>
  <c r="P2577" i="24"/>
  <c r="Q2577" i="24"/>
  <c r="V2577" i="24"/>
  <c r="B2578" i="24"/>
  <c r="M2578" i="24"/>
  <c r="P2578" i="24"/>
  <c r="Q2578" i="24"/>
  <c r="V2578" i="24"/>
  <c r="B2579" i="24"/>
  <c r="M2579" i="24"/>
  <c r="P2579" i="24"/>
  <c r="Q2579" i="24"/>
  <c r="V2579" i="24"/>
  <c r="B2580" i="24"/>
  <c r="M2580" i="24"/>
  <c r="P2580" i="24"/>
  <c r="Q2580" i="24"/>
  <c r="V2580" i="24"/>
  <c r="B2581" i="24"/>
  <c r="M2581" i="24"/>
  <c r="P2581" i="24"/>
  <c r="Q2581" i="24"/>
  <c r="V2581" i="24"/>
  <c r="B2582" i="24"/>
  <c r="M2582" i="24"/>
  <c r="P2582" i="24"/>
  <c r="Q2582" i="24"/>
  <c r="V2582" i="24"/>
  <c r="B2583" i="24"/>
  <c r="M2583" i="24"/>
  <c r="P2583" i="24"/>
  <c r="Q2583" i="24"/>
  <c r="V2583" i="24"/>
  <c r="B2584" i="24"/>
  <c r="M2584" i="24"/>
  <c r="P2584" i="24"/>
  <c r="Q2584" i="24"/>
  <c r="V2584" i="24"/>
  <c r="B2585" i="24"/>
  <c r="M2585" i="24"/>
  <c r="P2585" i="24"/>
  <c r="Q2585" i="24"/>
  <c r="V2585" i="24"/>
  <c r="B2586" i="24"/>
  <c r="M2586" i="24"/>
  <c r="P2586" i="24"/>
  <c r="Q2586" i="24"/>
  <c r="V2586" i="24"/>
  <c r="B2587" i="24"/>
  <c r="M2587" i="24"/>
  <c r="P2587" i="24"/>
  <c r="Q2587" i="24"/>
  <c r="V2587" i="24"/>
  <c r="B2588" i="24"/>
  <c r="M2588" i="24"/>
  <c r="P2588" i="24"/>
  <c r="Q2588" i="24"/>
  <c r="V2588" i="24"/>
  <c r="B2589" i="24"/>
  <c r="M2589" i="24"/>
  <c r="P2589" i="24"/>
  <c r="Q2589" i="24"/>
  <c r="V2589" i="24"/>
  <c r="B2590" i="24"/>
  <c r="M2590" i="24"/>
  <c r="P2590" i="24"/>
  <c r="Q2590" i="24"/>
  <c r="V2590" i="24"/>
  <c r="B2591" i="24"/>
  <c r="M2591" i="24"/>
  <c r="P2591" i="24"/>
  <c r="Q2591" i="24"/>
  <c r="V2591" i="24"/>
  <c r="B2592" i="24"/>
  <c r="M2592" i="24"/>
  <c r="P2592" i="24"/>
  <c r="Q2592" i="24"/>
  <c r="V2592" i="24"/>
  <c r="B2593" i="24"/>
  <c r="M2593" i="24"/>
  <c r="P2593" i="24"/>
  <c r="Q2593" i="24"/>
  <c r="V2593" i="24"/>
  <c r="B2594" i="24"/>
  <c r="M2594" i="24"/>
  <c r="P2594" i="24"/>
  <c r="Q2594" i="24"/>
  <c r="V2594" i="24"/>
  <c r="B2595" i="24"/>
  <c r="M2595" i="24"/>
  <c r="P2595" i="24"/>
  <c r="Q2595" i="24"/>
  <c r="V2595" i="24"/>
  <c r="B2596" i="24"/>
  <c r="M2596" i="24"/>
  <c r="P2596" i="24"/>
  <c r="Q2596" i="24"/>
  <c r="V2596" i="24"/>
  <c r="B2597" i="24"/>
  <c r="M2597" i="24"/>
  <c r="P2597" i="24"/>
  <c r="Q2597" i="24"/>
  <c r="V2597" i="24"/>
  <c r="B2598" i="24"/>
  <c r="M2598" i="24"/>
  <c r="P2598" i="24"/>
  <c r="Q2598" i="24"/>
  <c r="V2598" i="24"/>
  <c r="B2599" i="24"/>
  <c r="M2599" i="24"/>
  <c r="P2599" i="24"/>
  <c r="Q2599" i="24"/>
  <c r="V2599" i="24"/>
  <c r="B2600" i="24"/>
  <c r="M2600" i="24"/>
  <c r="P2600" i="24"/>
  <c r="Q2600" i="24"/>
  <c r="V2600" i="24"/>
  <c r="B2601" i="24"/>
  <c r="M2601" i="24"/>
  <c r="P2601" i="24"/>
  <c r="Q2601" i="24"/>
  <c r="V2601" i="24"/>
  <c r="B2602" i="24"/>
  <c r="M2602" i="24"/>
  <c r="P2602" i="24"/>
  <c r="Q2602" i="24"/>
  <c r="V2602" i="24"/>
  <c r="B2603" i="24"/>
  <c r="M2603" i="24"/>
  <c r="P2603" i="24"/>
  <c r="Q2603" i="24"/>
  <c r="V2603" i="24"/>
  <c r="B2604" i="24"/>
  <c r="M2604" i="24"/>
  <c r="P2604" i="24"/>
  <c r="Q2604" i="24"/>
  <c r="V2604" i="24"/>
  <c r="B2605" i="24"/>
  <c r="M2605" i="24"/>
  <c r="P2605" i="24"/>
  <c r="Q2605" i="24"/>
  <c r="V2605" i="24"/>
  <c r="B2606" i="24"/>
  <c r="M2606" i="24"/>
  <c r="P2606" i="24"/>
  <c r="Q2606" i="24"/>
  <c r="V2606" i="24"/>
  <c r="B2607" i="24"/>
  <c r="M2607" i="24"/>
  <c r="P2607" i="24"/>
  <c r="Q2607" i="24"/>
  <c r="V2607" i="24"/>
  <c r="B2608" i="24"/>
  <c r="M2608" i="24"/>
  <c r="P2608" i="24"/>
  <c r="Q2608" i="24"/>
  <c r="V2608" i="24"/>
  <c r="B2609" i="24"/>
  <c r="M2609" i="24"/>
  <c r="P2609" i="24"/>
  <c r="Q2609" i="24"/>
  <c r="V2609" i="24"/>
  <c r="B2610" i="24"/>
  <c r="M2610" i="24"/>
  <c r="P2610" i="24"/>
  <c r="Q2610" i="24"/>
  <c r="V2610" i="24"/>
  <c r="B2611" i="24"/>
  <c r="M2611" i="24"/>
  <c r="P2611" i="24"/>
  <c r="Q2611" i="24"/>
  <c r="V2611" i="24"/>
  <c r="B2612" i="24"/>
  <c r="M2612" i="24"/>
  <c r="P2612" i="24"/>
  <c r="Q2612" i="24"/>
  <c r="V2612" i="24"/>
  <c r="B2613" i="24"/>
  <c r="M2613" i="24"/>
  <c r="P2613" i="24"/>
  <c r="Q2613" i="24"/>
  <c r="V2613" i="24"/>
  <c r="B2614" i="24"/>
  <c r="M2614" i="24"/>
  <c r="P2614" i="24"/>
  <c r="Q2614" i="24"/>
  <c r="V2614" i="24"/>
  <c r="B2615" i="24"/>
  <c r="M2615" i="24"/>
  <c r="P2615" i="24"/>
  <c r="Q2615" i="24"/>
  <c r="V2615" i="24"/>
  <c r="B2616" i="24"/>
  <c r="M2616" i="24"/>
  <c r="P2616" i="24"/>
  <c r="Q2616" i="24"/>
  <c r="V2616" i="24"/>
  <c r="B2617" i="24"/>
  <c r="M2617" i="24"/>
  <c r="P2617" i="24"/>
  <c r="Q2617" i="24"/>
  <c r="V2617" i="24"/>
  <c r="B2618" i="24"/>
  <c r="M2618" i="24"/>
  <c r="P2618" i="24"/>
  <c r="Q2618" i="24"/>
  <c r="V2618" i="24"/>
  <c r="B2619" i="24"/>
  <c r="M2619" i="24"/>
  <c r="P2619" i="24"/>
  <c r="Q2619" i="24"/>
  <c r="V2619" i="24"/>
  <c r="B2620" i="24"/>
  <c r="M2620" i="24"/>
  <c r="P2620" i="24"/>
  <c r="Q2620" i="24"/>
  <c r="V2620" i="24"/>
  <c r="B2621" i="24"/>
  <c r="M2621" i="24"/>
  <c r="P2621" i="24"/>
  <c r="Q2621" i="24"/>
  <c r="V2621" i="24"/>
  <c r="B2622" i="24"/>
  <c r="M2622" i="24"/>
  <c r="P2622" i="24"/>
  <c r="Q2622" i="24"/>
  <c r="V2622" i="24"/>
  <c r="B2623" i="24"/>
  <c r="M2623" i="24"/>
  <c r="P2623" i="24"/>
  <c r="Q2623" i="24"/>
  <c r="V2623" i="24"/>
  <c r="B2624" i="24"/>
  <c r="M2624" i="24"/>
  <c r="P2624" i="24"/>
  <c r="Q2624" i="24"/>
  <c r="V2624" i="24"/>
  <c r="B2625" i="24"/>
  <c r="M2625" i="24"/>
  <c r="P2625" i="24"/>
  <c r="Q2625" i="24"/>
  <c r="V2625" i="24"/>
  <c r="B2626" i="24"/>
  <c r="M2626" i="24"/>
  <c r="P2626" i="24"/>
  <c r="Q2626" i="24"/>
  <c r="V2626" i="24"/>
  <c r="B2627" i="24"/>
  <c r="M2627" i="24"/>
  <c r="P2627" i="24"/>
  <c r="Q2627" i="24"/>
  <c r="V2627" i="24"/>
  <c r="B2628" i="24"/>
  <c r="M2628" i="24"/>
  <c r="P2628" i="24"/>
  <c r="Q2628" i="24"/>
  <c r="V2628" i="24"/>
  <c r="B2629" i="24"/>
  <c r="M2629" i="24"/>
  <c r="P2629" i="24"/>
  <c r="Q2629" i="24"/>
  <c r="V2629" i="24"/>
  <c r="B2630" i="24"/>
  <c r="M2630" i="24"/>
  <c r="P2630" i="24"/>
  <c r="Q2630" i="24"/>
  <c r="V2630" i="24"/>
  <c r="B2631" i="24"/>
  <c r="M2631" i="24"/>
  <c r="P2631" i="24"/>
  <c r="Q2631" i="24"/>
  <c r="V2631" i="24"/>
  <c r="B2632" i="24"/>
  <c r="M2632" i="24"/>
  <c r="P2632" i="24"/>
  <c r="Q2632" i="24"/>
  <c r="V2632" i="24"/>
  <c r="B2633" i="24"/>
  <c r="M2633" i="24"/>
  <c r="P2633" i="24"/>
  <c r="Q2633" i="24"/>
  <c r="V2633" i="24"/>
  <c r="B2634" i="24"/>
  <c r="M2634" i="24"/>
  <c r="P2634" i="24"/>
  <c r="Q2634" i="24"/>
  <c r="V2634" i="24"/>
  <c r="B2635" i="24"/>
  <c r="M2635" i="24"/>
  <c r="P2635" i="24"/>
  <c r="Q2635" i="24"/>
  <c r="V2635" i="24"/>
  <c r="B2636" i="24"/>
  <c r="M2636" i="24"/>
  <c r="P2636" i="24"/>
  <c r="Q2636" i="24"/>
  <c r="V2636" i="24"/>
  <c r="B2637" i="24"/>
  <c r="M2637" i="24"/>
  <c r="P2637" i="24"/>
  <c r="Q2637" i="24"/>
  <c r="V2637" i="24"/>
  <c r="B2638" i="24"/>
  <c r="M2638" i="24"/>
  <c r="P2638" i="24"/>
  <c r="Q2638" i="24"/>
  <c r="V2638" i="24"/>
  <c r="B2639" i="24"/>
  <c r="M2639" i="24"/>
  <c r="P2639" i="24"/>
  <c r="Q2639" i="24"/>
  <c r="V2639" i="24"/>
  <c r="B2640" i="24"/>
  <c r="M2640" i="24"/>
  <c r="P2640" i="24"/>
  <c r="Q2640" i="24"/>
  <c r="V2640" i="24"/>
  <c r="B2641" i="24"/>
  <c r="M2641" i="24"/>
  <c r="P2641" i="24"/>
  <c r="Q2641" i="24"/>
  <c r="V2641" i="24"/>
  <c r="B2642" i="24"/>
  <c r="M2642" i="24"/>
  <c r="P2642" i="24"/>
  <c r="Q2642" i="24"/>
  <c r="V2642" i="24"/>
  <c r="B2643" i="24"/>
  <c r="M2643" i="24"/>
  <c r="P2643" i="24"/>
  <c r="Q2643" i="24"/>
  <c r="V2643" i="24"/>
  <c r="B2644" i="24"/>
  <c r="M2644" i="24"/>
  <c r="P2644" i="24"/>
  <c r="Q2644" i="24"/>
  <c r="V2644" i="24"/>
  <c r="B2645" i="24"/>
  <c r="M2645" i="24"/>
  <c r="P2645" i="24"/>
  <c r="Q2645" i="24"/>
  <c r="V2645" i="24"/>
  <c r="B2646" i="24"/>
  <c r="M2646" i="24"/>
  <c r="P2646" i="24"/>
  <c r="Q2646" i="24"/>
  <c r="V2646" i="24"/>
  <c r="B2647" i="24"/>
  <c r="M2647" i="24"/>
  <c r="P2647" i="24"/>
  <c r="Q2647" i="24"/>
  <c r="V2647" i="24"/>
  <c r="B2648" i="24"/>
  <c r="M2648" i="24"/>
  <c r="P2648" i="24"/>
  <c r="Q2648" i="24"/>
  <c r="V2648" i="24"/>
  <c r="B2649" i="24"/>
  <c r="M2649" i="24"/>
  <c r="P2649" i="24"/>
  <c r="Q2649" i="24"/>
  <c r="V2649" i="24"/>
  <c r="B2650" i="24"/>
  <c r="M2650" i="24"/>
  <c r="P2650" i="24"/>
  <c r="Q2650" i="24"/>
  <c r="V2650" i="24"/>
  <c r="B2651" i="24"/>
  <c r="M2651" i="24"/>
  <c r="P2651" i="24"/>
  <c r="Q2651" i="24"/>
  <c r="V2651" i="24"/>
  <c r="B2652" i="24"/>
  <c r="M2652" i="24"/>
  <c r="P2652" i="24"/>
  <c r="Q2652" i="24"/>
  <c r="V2652" i="24"/>
  <c r="B2653" i="24"/>
  <c r="M2653" i="24"/>
  <c r="P2653" i="24"/>
  <c r="Q2653" i="24"/>
  <c r="V2653" i="24"/>
  <c r="B2654" i="24"/>
  <c r="M2654" i="24"/>
  <c r="P2654" i="24"/>
  <c r="Q2654" i="24"/>
  <c r="V2654" i="24"/>
  <c r="B2655" i="24"/>
  <c r="M2655" i="24"/>
  <c r="P2655" i="24"/>
  <c r="Q2655" i="24"/>
  <c r="V2655" i="24"/>
  <c r="B2656" i="24"/>
  <c r="M2656" i="24"/>
  <c r="P2656" i="24"/>
  <c r="Q2656" i="24"/>
  <c r="V2656" i="24"/>
  <c r="B2657" i="24"/>
  <c r="M2657" i="24"/>
  <c r="P2657" i="24"/>
  <c r="Q2657" i="24"/>
  <c r="V2657" i="24"/>
  <c r="B2658" i="24"/>
  <c r="M2658" i="24"/>
  <c r="P2658" i="24"/>
  <c r="Q2658" i="24"/>
  <c r="V2658" i="24"/>
  <c r="B2659" i="24"/>
  <c r="M2659" i="24"/>
  <c r="P2659" i="24"/>
  <c r="Q2659" i="24"/>
  <c r="V2659" i="24"/>
  <c r="B2660" i="24"/>
  <c r="M2660" i="24"/>
  <c r="P2660" i="24"/>
  <c r="Q2660" i="24"/>
  <c r="V2660" i="24"/>
  <c r="B2661" i="24"/>
  <c r="M2661" i="24"/>
  <c r="P2661" i="24"/>
  <c r="Q2661" i="24"/>
  <c r="V2661" i="24"/>
  <c r="B2662" i="24"/>
  <c r="M2662" i="24"/>
  <c r="P2662" i="24"/>
  <c r="Q2662" i="24"/>
  <c r="V2662" i="24"/>
  <c r="B2663" i="24"/>
  <c r="M2663" i="24"/>
  <c r="P2663" i="24"/>
  <c r="Q2663" i="24"/>
  <c r="V2663" i="24"/>
  <c r="B2664" i="24"/>
  <c r="M2664" i="24"/>
  <c r="P2664" i="24"/>
  <c r="Q2664" i="24"/>
  <c r="V2664" i="24"/>
  <c r="B2665" i="24"/>
  <c r="M2665" i="24"/>
  <c r="P2665" i="24"/>
  <c r="Q2665" i="24"/>
  <c r="V2665" i="24"/>
  <c r="B2666" i="24"/>
  <c r="M2666" i="24"/>
  <c r="P2666" i="24"/>
  <c r="Q2666" i="24"/>
  <c r="V2666" i="24"/>
  <c r="B2667" i="24"/>
  <c r="M2667" i="24"/>
  <c r="P2667" i="24"/>
  <c r="Q2667" i="24"/>
  <c r="V2667" i="24"/>
  <c r="B2668" i="24"/>
  <c r="M2668" i="24"/>
  <c r="P2668" i="24"/>
  <c r="Q2668" i="24"/>
  <c r="V2668" i="24"/>
  <c r="B2669" i="24"/>
  <c r="M2669" i="24"/>
  <c r="P2669" i="24"/>
  <c r="Q2669" i="24"/>
  <c r="V2669" i="24"/>
  <c r="B2670" i="24"/>
  <c r="M2670" i="24"/>
  <c r="P2670" i="24"/>
  <c r="Q2670" i="24"/>
  <c r="V2670" i="24"/>
  <c r="B2671" i="24"/>
  <c r="M2671" i="24"/>
  <c r="P2671" i="24"/>
  <c r="Q2671" i="24"/>
  <c r="V2671" i="24"/>
  <c r="B2672" i="24"/>
  <c r="M2672" i="24"/>
  <c r="P2672" i="24"/>
  <c r="Q2672" i="24"/>
  <c r="V2672" i="24"/>
  <c r="B2673" i="24"/>
  <c r="M2673" i="24"/>
  <c r="P2673" i="24"/>
  <c r="Q2673" i="24"/>
  <c r="V2673" i="24"/>
  <c r="B2674" i="24"/>
  <c r="M2674" i="24"/>
  <c r="P2674" i="24"/>
  <c r="Q2674" i="24"/>
  <c r="V2674" i="24"/>
  <c r="B2675" i="24"/>
  <c r="M2675" i="24"/>
  <c r="P2675" i="24"/>
  <c r="Q2675" i="24"/>
  <c r="V2675" i="24"/>
  <c r="B2676" i="24"/>
  <c r="M2676" i="24"/>
  <c r="P2676" i="24"/>
  <c r="Q2676" i="24"/>
  <c r="V2676" i="24"/>
  <c r="B2677" i="24"/>
  <c r="M2677" i="24"/>
  <c r="P2677" i="24"/>
  <c r="Q2677" i="24"/>
  <c r="V2677" i="24"/>
  <c r="B2678" i="24"/>
  <c r="M2678" i="24"/>
  <c r="P2678" i="24"/>
  <c r="Q2678" i="24"/>
  <c r="V2678" i="24"/>
  <c r="B2679" i="24"/>
  <c r="M2679" i="24"/>
  <c r="P2679" i="24"/>
  <c r="Q2679" i="24"/>
  <c r="V2679" i="24"/>
  <c r="B2680" i="24"/>
  <c r="M2680" i="24"/>
  <c r="P2680" i="24"/>
  <c r="Q2680" i="24"/>
  <c r="V2680" i="24"/>
  <c r="B2681" i="24"/>
  <c r="M2681" i="24"/>
  <c r="P2681" i="24"/>
  <c r="Q2681" i="24"/>
  <c r="V2681" i="24"/>
  <c r="B2682" i="24"/>
  <c r="M2682" i="24"/>
  <c r="P2682" i="24"/>
  <c r="Q2682" i="24"/>
  <c r="V2682" i="24"/>
  <c r="B2683" i="24"/>
  <c r="M2683" i="24"/>
  <c r="P2683" i="24"/>
  <c r="Q2683" i="24"/>
  <c r="V2683" i="24"/>
  <c r="B2684" i="24"/>
  <c r="M2684" i="24"/>
  <c r="P2684" i="24"/>
  <c r="Q2684" i="24"/>
  <c r="V2684" i="24"/>
  <c r="B2685" i="24"/>
  <c r="M2685" i="24"/>
  <c r="P2685" i="24"/>
  <c r="Q2685" i="24"/>
  <c r="V2685" i="24"/>
  <c r="B2686" i="24"/>
  <c r="M2686" i="24"/>
  <c r="P2686" i="24"/>
  <c r="Q2686" i="24"/>
  <c r="V2686" i="24"/>
  <c r="B2687" i="24"/>
  <c r="M2687" i="24"/>
  <c r="P2687" i="24"/>
  <c r="Q2687" i="24"/>
  <c r="V2687" i="24"/>
  <c r="B2688" i="24"/>
  <c r="M2688" i="24"/>
  <c r="P2688" i="24"/>
  <c r="Q2688" i="24"/>
  <c r="V2688" i="24"/>
  <c r="B2689" i="24"/>
  <c r="M2689" i="24"/>
  <c r="P2689" i="24"/>
  <c r="Q2689" i="24"/>
  <c r="V2689" i="24"/>
  <c r="B2690" i="24"/>
  <c r="M2690" i="24"/>
  <c r="P2690" i="24"/>
  <c r="Q2690" i="24"/>
  <c r="V2690" i="24"/>
  <c r="B2691" i="24"/>
  <c r="M2691" i="24"/>
  <c r="P2691" i="24"/>
  <c r="Q2691" i="24"/>
  <c r="V2691" i="24"/>
  <c r="B2692" i="24"/>
  <c r="M2692" i="24"/>
  <c r="P2692" i="24"/>
  <c r="Q2692" i="24"/>
  <c r="V2692" i="24"/>
  <c r="B2693" i="24"/>
  <c r="M2693" i="24"/>
  <c r="P2693" i="24"/>
  <c r="Q2693" i="24"/>
  <c r="V2693" i="24"/>
  <c r="B2694" i="24"/>
  <c r="M2694" i="24"/>
  <c r="P2694" i="24"/>
  <c r="Q2694" i="24"/>
  <c r="V2694" i="24"/>
  <c r="B2695" i="24"/>
  <c r="M2695" i="24"/>
  <c r="P2695" i="24"/>
  <c r="Q2695" i="24"/>
  <c r="V2695" i="24"/>
  <c r="B2696" i="24"/>
  <c r="M2696" i="24"/>
  <c r="P2696" i="24"/>
  <c r="Q2696" i="24"/>
  <c r="V2696" i="24"/>
  <c r="B2697" i="24"/>
  <c r="M2697" i="24"/>
  <c r="P2697" i="24"/>
  <c r="Q2697" i="24"/>
  <c r="V2697" i="24"/>
  <c r="B2698" i="24"/>
  <c r="M2698" i="24"/>
  <c r="P2698" i="24"/>
  <c r="Q2698" i="24"/>
  <c r="V2698" i="24"/>
  <c r="B2699" i="24"/>
  <c r="M2699" i="24"/>
  <c r="P2699" i="24"/>
  <c r="Q2699" i="24"/>
  <c r="V2699" i="24"/>
  <c r="B2700" i="24"/>
  <c r="M2700" i="24"/>
  <c r="P2700" i="24"/>
  <c r="Q2700" i="24"/>
  <c r="V2700" i="24"/>
  <c r="B2701" i="24"/>
  <c r="M2701" i="24"/>
  <c r="P2701" i="24"/>
  <c r="Q2701" i="24"/>
  <c r="V2701" i="24"/>
  <c r="B2702" i="24"/>
  <c r="M2702" i="24"/>
  <c r="P2702" i="24"/>
  <c r="Q2702" i="24"/>
  <c r="V2702" i="24"/>
  <c r="B2703" i="24"/>
  <c r="M2703" i="24"/>
  <c r="P2703" i="24"/>
  <c r="Q2703" i="24"/>
  <c r="V2703" i="24"/>
  <c r="B2704" i="24"/>
  <c r="M2704" i="24"/>
  <c r="P2704" i="24"/>
  <c r="Q2704" i="24"/>
  <c r="V2704" i="24"/>
  <c r="B2705" i="24"/>
  <c r="M2705" i="24"/>
  <c r="P2705" i="24"/>
  <c r="Q2705" i="24"/>
  <c r="V2705" i="24"/>
  <c r="B2706" i="24"/>
  <c r="M2706" i="24"/>
  <c r="P2706" i="24"/>
  <c r="Q2706" i="24"/>
  <c r="V2706" i="24"/>
  <c r="B2707" i="24"/>
  <c r="M2707" i="24"/>
  <c r="P2707" i="24"/>
  <c r="Q2707" i="24"/>
  <c r="V2707" i="24"/>
  <c r="B2708" i="24"/>
  <c r="M2708" i="24"/>
  <c r="P2708" i="24"/>
  <c r="Q2708" i="24"/>
  <c r="V2708" i="24"/>
  <c r="B2709" i="24"/>
  <c r="M2709" i="24"/>
  <c r="P2709" i="24"/>
  <c r="Q2709" i="24"/>
  <c r="V2709" i="24"/>
  <c r="B2710" i="24"/>
  <c r="M2710" i="24"/>
  <c r="P2710" i="24"/>
  <c r="Q2710" i="24"/>
  <c r="V2710" i="24"/>
  <c r="B2711" i="24"/>
  <c r="M2711" i="24"/>
  <c r="P2711" i="24"/>
  <c r="Q2711" i="24"/>
  <c r="V2711" i="24"/>
  <c r="B2712" i="24"/>
  <c r="M2712" i="24"/>
  <c r="P2712" i="24"/>
  <c r="Q2712" i="24"/>
  <c r="V2712" i="24"/>
  <c r="B2713" i="24"/>
  <c r="M2713" i="24"/>
  <c r="P2713" i="24"/>
  <c r="Q2713" i="24"/>
  <c r="V2713" i="24"/>
  <c r="B2714" i="24"/>
  <c r="M2714" i="24"/>
  <c r="P2714" i="24"/>
  <c r="Q2714" i="24"/>
  <c r="V2714" i="24"/>
  <c r="B2715" i="24"/>
  <c r="M2715" i="24"/>
  <c r="P2715" i="24"/>
  <c r="Q2715" i="24"/>
  <c r="V2715" i="24"/>
  <c r="B2716" i="24"/>
  <c r="M2716" i="24"/>
  <c r="P2716" i="24"/>
  <c r="Q2716" i="24"/>
  <c r="V2716" i="24"/>
  <c r="B2717" i="24"/>
  <c r="M2717" i="24"/>
  <c r="P2717" i="24"/>
  <c r="Q2717" i="24"/>
  <c r="V2717" i="24"/>
  <c r="B2718" i="24"/>
  <c r="M2718" i="24"/>
  <c r="P2718" i="24"/>
  <c r="Q2718" i="24"/>
  <c r="V2718" i="24"/>
  <c r="B2719" i="24"/>
  <c r="M2719" i="24"/>
  <c r="P2719" i="24"/>
  <c r="Q2719" i="24"/>
  <c r="V2719" i="24"/>
  <c r="B2720" i="24"/>
  <c r="M2720" i="24"/>
  <c r="P2720" i="24"/>
  <c r="Q2720" i="24"/>
  <c r="V2720" i="24"/>
  <c r="B2721" i="24"/>
  <c r="M2721" i="24"/>
  <c r="P2721" i="24"/>
  <c r="Q2721" i="24"/>
  <c r="V2721" i="24"/>
  <c r="B2722" i="24"/>
  <c r="M2722" i="24"/>
  <c r="P2722" i="24"/>
  <c r="Q2722" i="24"/>
  <c r="V2722" i="24"/>
  <c r="B2723" i="24"/>
  <c r="M2723" i="24"/>
  <c r="P2723" i="24"/>
  <c r="Q2723" i="24"/>
  <c r="V2723" i="24"/>
  <c r="B2724" i="24"/>
  <c r="M2724" i="24"/>
  <c r="P2724" i="24"/>
  <c r="Q2724" i="24"/>
  <c r="V2724" i="24"/>
  <c r="B2725" i="24"/>
  <c r="M2725" i="24"/>
  <c r="P2725" i="24"/>
  <c r="Q2725" i="24"/>
  <c r="V2725" i="24"/>
  <c r="B2726" i="24"/>
  <c r="M2726" i="24"/>
  <c r="P2726" i="24"/>
  <c r="Q2726" i="24"/>
  <c r="V2726" i="24"/>
  <c r="B2727" i="24"/>
  <c r="M2727" i="24"/>
  <c r="P2727" i="24"/>
  <c r="Q2727" i="24"/>
  <c r="V2727" i="24"/>
  <c r="B2728" i="24"/>
  <c r="M2728" i="24"/>
  <c r="P2728" i="24"/>
  <c r="Q2728" i="24"/>
  <c r="V2728" i="24"/>
  <c r="B2729" i="24"/>
  <c r="M2729" i="24"/>
  <c r="P2729" i="24"/>
  <c r="Q2729" i="24"/>
  <c r="V2729" i="24"/>
  <c r="B2730" i="24"/>
  <c r="M2730" i="24"/>
  <c r="P2730" i="24"/>
  <c r="Q2730" i="24"/>
  <c r="V2730" i="24"/>
  <c r="B2731" i="24"/>
  <c r="M2731" i="24"/>
  <c r="P2731" i="24"/>
  <c r="Q2731" i="24"/>
  <c r="V2731" i="24"/>
  <c r="B2732" i="24"/>
  <c r="M2732" i="24"/>
  <c r="P2732" i="24"/>
  <c r="Q2732" i="24"/>
  <c r="V2732" i="24"/>
  <c r="B2733" i="24"/>
  <c r="M2733" i="24"/>
  <c r="P2733" i="24"/>
  <c r="Q2733" i="24"/>
  <c r="V2733" i="24"/>
  <c r="B2734" i="24"/>
  <c r="M2734" i="24"/>
  <c r="P2734" i="24"/>
  <c r="Q2734" i="24"/>
  <c r="V2734" i="24"/>
  <c r="B2735" i="24"/>
  <c r="M2735" i="24"/>
  <c r="P2735" i="24"/>
  <c r="Q2735" i="24"/>
  <c r="V2735" i="24"/>
  <c r="B2736" i="24"/>
  <c r="M2736" i="24"/>
  <c r="P2736" i="24"/>
  <c r="Q2736" i="24"/>
  <c r="V2736" i="24"/>
  <c r="B2737" i="24"/>
  <c r="M2737" i="24"/>
  <c r="P2737" i="24"/>
  <c r="Q2737" i="24"/>
  <c r="V2737" i="24"/>
  <c r="B2738" i="24"/>
  <c r="M2738" i="24"/>
  <c r="P2738" i="24"/>
  <c r="Q2738" i="24"/>
  <c r="V2738" i="24"/>
  <c r="B2739" i="24"/>
  <c r="M2739" i="24"/>
  <c r="P2739" i="24"/>
  <c r="Q2739" i="24"/>
  <c r="V2739" i="24"/>
  <c r="B2740" i="24"/>
  <c r="M2740" i="24"/>
  <c r="P2740" i="24"/>
  <c r="Q2740" i="24"/>
  <c r="V2740" i="24"/>
  <c r="B2741" i="24"/>
  <c r="M2741" i="24"/>
  <c r="P2741" i="24"/>
  <c r="Q2741" i="24"/>
  <c r="V2741" i="24"/>
  <c r="B2742" i="24"/>
  <c r="M2742" i="24"/>
  <c r="P2742" i="24"/>
  <c r="Q2742" i="24"/>
  <c r="V2742" i="24"/>
  <c r="B2743" i="24"/>
  <c r="M2743" i="24"/>
  <c r="P2743" i="24"/>
  <c r="Q2743" i="24"/>
  <c r="V2743" i="24"/>
  <c r="B2744" i="24"/>
  <c r="M2744" i="24"/>
  <c r="P2744" i="24"/>
  <c r="Q2744" i="24"/>
  <c r="V2744" i="24"/>
  <c r="B2745" i="24"/>
  <c r="M2745" i="24"/>
  <c r="P2745" i="24"/>
  <c r="Q2745" i="24"/>
  <c r="V2745" i="24"/>
  <c r="B2746" i="24"/>
  <c r="M2746" i="24"/>
  <c r="P2746" i="24"/>
  <c r="Q2746" i="24"/>
  <c r="V2746" i="24"/>
  <c r="B2747" i="24"/>
  <c r="M2747" i="24"/>
  <c r="P2747" i="24"/>
  <c r="Q2747" i="24"/>
  <c r="V2747" i="24"/>
  <c r="B2748" i="24"/>
  <c r="M2748" i="24"/>
  <c r="P2748" i="24"/>
  <c r="Q2748" i="24"/>
  <c r="V2748" i="24"/>
  <c r="B2749" i="24"/>
  <c r="M2749" i="24"/>
  <c r="P2749" i="24"/>
  <c r="Q2749" i="24"/>
  <c r="V2749" i="24"/>
  <c r="B2750" i="24"/>
  <c r="M2750" i="24"/>
  <c r="P2750" i="24"/>
  <c r="Q2750" i="24"/>
  <c r="V2750" i="24"/>
  <c r="B2751" i="24"/>
  <c r="M2751" i="24"/>
  <c r="P2751" i="24"/>
  <c r="Q2751" i="24"/>
  <c r="V2751" i="24"/>
  <c r="B2752" i="24"/>
  <c r="M2752" i="24"/>
  <c r="P2752" i="24"/>
  <c r="Q2752" i="24"/>
  <c r="V2752" i="24"/>
  <c r="B2753" i="24"/>
  <c r="M2753" i="24"/>
  <c r="P2753" i="24"/>
  <c r="Q2753" i="24"/>
  <c r="V2753" i="24"/>
  <c r="B2754" i="24"/>
  <c r="M2754" i="24"/>
  <c r="P2754" i="24"/>
  <c r="Q2754" i="24"/>
  <c r="V2754" i="24"/>
  <c r="B2755" i="24"/>
  <c r="M2755" i="24"/>
  <c r="P2755" i="24"/>
  <c r="Q2755" i="24"/>
  <c r="V2755" i="24"/>
  <c r="B2756" i="24"/>
  <c r="M2756" i="24"/>
  <c r="P2756" i="24"/>
  <c r="Q2756" i="24"/>
  <c r="V2756" i="24"/>
  <c r="B2757" i="24"/>
  <c r="M2757" i="24"/>
  <c r="P2757" i="24"/>
  <c r="Q2757" i="24"/>
  <c r="V2757" i="24"/>
  <c r="B2758" i="24"/>
  <c r="M2758" i="24"/>
  <c r="P2758" i="24"/>
  <c r="Q2758" i="24"/>
  <c r="V2758" i="24"/>
  <c r="B2759" i="24"/>
  <c r="M2759" i="24"/>
  <c r="P2759" i="24"/>
  <c r="Q2759" i="24"/>
  <c r="V2759" i="24"/>
  <c r="B2760" i="24"/>
  <c r="M2760" i="24"/>
  <c r="P2760" i="24"/>
  <c r="Q2760" i="24"/>
  <c r="V2760" i="24"/>
  <c r="B2761" i="24"/>
  <c r="M2761" i="24"/>
  <c r="P2761" i="24"/>
  <c r="Q2761" i="24"/>
  <c r="V2761" i="24"/>
  <c r="B2762" i="24"/>
  <c r="M2762" i="24"/>
  <c r="P2762" i="24"/>
  <c r="Q2762" i="24"/>
  <c r="V2762" i="24"/>
  <c r="B2763" i="24"/>
  <c r="M2763" i="24"/>
  <c r="P2763" i="24"/>
  <c r="Q2763" i="24"/>
  <c r="V2763" i="24"/>
  <c r="B2764" i="24"/>
  <c r="M2764" i="24"/>
  <c r="P2764" i="24"/>
  <c r="Q2764" i="24"/>
  <c r="V2764" i="24"/>
  <c r="B2765" i="24"/>
  <c r="M2765" i="24"/>
  <c r="P2765" i="24"/>
  <c r="Q2765" i="24"/>
  <c r="V2765" i="24"/>
  <c r="B2766" i="24"/>
  <c r="M2766" i="24"/>
  <c r="P2766" i="24"/>
  <c r="Q2766" i="24"/>
  <c r="V2766" i="24"/>
  <c r="B2767" i="24"/>
  <c r="M2767" i="24"/>
  <c r="P2767" i="24"/>
  <c r="Q2767" i="24"/>
  <c r="V2767" i="24"/>
  <c r="B2768" i="24"/>
  <c r="M2768" i="24"/>
  <c r="P2768" i="24"/>
  <c r="Q2768" i="24"/>
  <c r="V2768" i="24"/>
  <c r="B2769" i="24"/>
  <c r="M2769" i="24"/>
  <c r="P2769" i="24"/>
  <c r="Q2769" i="24"/>
  <c r="V2769" i="24"/>
  <c r="B2770" i="24"/>
  <c r="M2770" i="24"/>
  <c r="P2770" i="24"/>
  <c r="Q2770" i="24"/>
  <c r="V2770" i="24"/>
  <c r="B2771" i="24"/>
  <c r="M2771" i="24"/>
  <c r="P2771" i="24"/>
  <c r="Q2771" i="24"/>
  <c r="V2771" i="24"/>
  <c r="B2772" i="24"/>
  <c r="M2772" i="24"/>
  <c r="P2772" i="24"/>
  <c r="Q2772" i="24"/>
  <c r="V2772" i="24"/>
  <c r="B2773" i="24"/>
  <c r="M2773" i="24"/>
  <c r="P2773" i="24"/>
  <c r="Q2773" i="24"/>
  <c r="V2773" i="24"/>
  <c r="B2774" i="24"/>
  <c r="M2774" i="24"/>
  <c r="P2774" i="24"/>
  <c r="Q2774" i="24"/>
  <c r="V2774" i="24"/>
  <c r="B2775" i="24"/>
  <c r="M2775" i="24"/>
  <c r="P2775" i="24"/>
  <c r="Q2775" i="24"/>
  <c r="V2775" i="24"/>
  <c r="B2776" i="24"/>
  <c r="M2776" i="24"/>
  <c r="P2776" i="24"/>
  <c r="Q2776" i="24"/>
  <c r="V2776" i="24"/>
  <c r="B2777" i="24"/>
  <c r="M2777" i="24"/>
  <c r="P2777" i="24"/>
  <c r="Q2777" i="24"/>
  <c r="V2777" i="24"/>
  <c r="B2778" i="24"/>
  <c r="M2778" i="24"/>
  <c r="P2778" i="24"/>
  <c r="Q2778" i="24"/>
  <c r="V2778" i="24"/>
  <c r="B2779" i="24"/>
  <c r="M2779" i="24"/>
  <c r="P2779" i="24"/>
  <c r="Q2779" i="24"/>
  <c r="V2779" i="24"/>
  <c r="B2780" i="24"/>
  <c r="M2780" i="24"/>
  <c r="P2780" i="24"/>
  <c r="Q2780" i="24"/>
  <c r="V2780" i="24"/>
  <c r="B2781" i="24"/>
  <c r="M2781" i="24"/>
  <c r="P2781" i="24"/>
  <c r="Q2781" i="24"/>
  <c r="V2781" i="24"/>
  <c r="B2782" i="24"/>
  <c r="M2782" i="24"/>
  <c r="P2782" i="24"/>
  <c r="Q2782" i="24"/>
  <c r="V2782" i="24"/>
  <c r="B2783" i="24"/>
  <c r="M2783" i="24"/>
  <c r="P2783" i="24"/>
  <c r="Q2783" i="24"/>
  <c r="V2783" i="24"/>
  <c r="B2784" i="24"/>
  <c r="M2784" i="24"/>
  <c r="P2784" i="24"/>
  <c r="Q2784" i="24"/>
  <c r="V2784" i="24"/>
  <c r="B2785" i="24"/>
  <c r="M2785" i="24"/>
  <c r="P2785" i="24"/>
  <c r="Q2785" i="24"/>
  <c r="V2785" i="24"/>
  <c r="B2786" i="24"/>
  <c r="M2786" i="24"/>
  <c r="P2786" i="24"/>
  <c r="Q2786" i="24"/>
  <c r="V2786" i="24"/>
  <c r="B2787" i="24"/>
  <c r="M2787" i="24"/>
  <c r="P2787" i="24"/>
  <c r="Q2787" i="24"/>
  <c r="V2787" i="24"/>
  <c r="B2788" i="24"/>
  <c r="M2788" i="24"/>
  <c r="P2788" i="24"/>
  <c r="Q2788" i="24"/>
  <c r="V2788" i="24"/>
  <c r="B2789" i="24"/>
  <c r="M2789" i="24"/>
  <c r="P2789" i="24"/>
  <c r="Q2789" i="24"/>
  <c r="V2789" i="24"/>
  <c r="B2790" i="24"/>
  <c r="M2790" i="24"/>
  <c r="P2790" i="24"/>
  <c r="Q2790" i="24"/>
  <c r="V2790" i="24"/>
  <c r="B2791" i="24"/>
  <c r="M2791" i="24"/>
  <c r="P2791" i="24"/>
  <c r="Q2791" i="24"/>
  <c r="V2791" i="24"/>
  <c r="B2792" i="24"/>
  <c r="M2792" i="24"/>
  <c r="P2792" i="24"/>
  <c r="Q2792" i="24"/>
  <c r="V2792" i="24"/>
  <c r="B2793" i="24"/>
  <c r="M2793" i="24"/>
  <c r="P2793" i="24"/>
  <c r="Q2793" i="24"/>
  <c r="V2793" i="24"/>
  <c r="B2794" i="24"/>
  <c r="M2794" i="24"/>
  <c r="P2794" i="24"/>
  <c r="Q2794" i="24"/>
  <c r="V2794" i="24"/>
  <c r="B2795" i="24"/>
  <c r="M2795" i="24"/>
  <c r="P2795" i="24"/>
  <c r="Q2795" i="24"/>
  <c r="V2795" i="24"/>
  <c r="B2796" i="24"/>
  <c r="M2796" i="24"/>
  <c r="P2796" i="24"/>
  <c r="Q2796" i="24"/>
  <c r="V2796" i="24"/>
  <c r="B2797" i="24"/>
  <c r="M2797" i="24"/>
  <c r="P2797" i="24"/>
  <c r="Q2797" i="24"/>
  <c r="V2797" i="24"/>
  <c r="B2798" i="24"/>
  <c r="M2798" i="24"/>
  <c r="P2798" i="24"/>
  <c r="Q2798" i="24"/>
  <c r="V2798" i="24"/>
  <c r="B2799" i="24"/>
  <c r="M2799" i="24"/>
  <c r="P2799" i="24"/>
  <c r="Q2799" i="24"/>
  <c r="V2799" i="24"/>
  <c r="B2800" i="24"/>
  <c r="M2800" i="24"/>
  <c r="P2800" i="24"/>
  <c r="Q2800" i="24"/>
  <c r="V2800" i="24"/>
  <c r="B2801" i="24"/>
  <c r="M2801" i="24"/>
  <c r="P2801" i="24"/>
  <c r="Q2801" i="24"/>
  <c r="V2801" i="24"/>
  <c r="B2802" i="24"/>
  <c r="M2802" i="24"/>
  <c r="P2802" i="24"/>
  <c r="Q2802" i="24"/>
  <c r="V2802" i="24"/>
  <c r="B2803" i="24"/>
  <c r="M2803" i="24"/>
  <c r="P2803" i="24"/>
  <c r="Q2803" i="24"/>
  <c r="V2803" i="24"/>
  <c r="B2804" i="24"/>
  <c r="M2804" i="24"/>
  <c r="P2804" i="24"/>
  <c r="Q2804" i="24"/>
  <c r="V2804" i="24"/>
  <c r="B2805" i="24"/>
  <c r="M2805" i="24"/>
  <c r="P2805" i="24"/>
  <c r="Q2805" i="24"/>
  <c r="V2805" i="24"/>
  <c r="B2806" i="24"/>
  <c r="M2806" i="24"/>
  <c r="P2806" i="24"/>
  <c r="Q2806" i="24"/>
  <c r="V2806" i="24"/>
  <c r="B2807" i="24"/>
  <c r="M2807" i="24"/>
  <c r="P2807" i="24"/>
  <c r="Q2807" i="24"/>
  <c r="V2807" i="24"/>
  <c r="B2808" i="24"/>
  <c r="M2808" i="24"/>
  <c r="P2808" i="24"/>
  <c r="Q2808" i="24"/>
  <c r="V2808" i="24"/>
  <c r="B2809" i="24"/>
  <c r="M2809" i="24"/>
  <c r="P2809" i="24"/>
  <c r="Q2809" i="24"/>
  <c r="V2809" i="24"/>
  <c r="B2810" i="24"/>
  <c r="M2810" i="24"/>
  <c r="P2810" i="24"/>
  <c r="Q2810" i="24"/>
  <c r="V2810" i="24"/>
  <c r="B2811" i="24"/>
  <c r="M2811" i="24"/>
  <c r="P2811" i="24"/>
  <c r="Q2811" i="24"/>
  <c r="V2811" i="24"/>
  <c r="B2812" i="24"/>
  <c r="M2812" i="24"/>
  <c r="P2812" i="24"/>
  <c r="Q2812" i="24"/>
  <c r="V2812" i="24"/>
  <c r="B2813" i="24"/>
  <c r="M2813" i="24"/>
  <c r="P2813" i="24"/>
  <c r="Q2813" i="24"/>
  <c r="V2813" i="24"/>
  <c r="B2814" i="24"/>
  <c r="M2814" i="24"/>
  <c r="P2814" i="24"/>
  <c r="Q2814" i="24"/>
  <c r="V2814" i="24"/>
  <c r="B2815" i="24"/>
  <c r="M2815" i="24"/>
  <c r="P2815" i="24"/>
  <c r="Q2815" i="24"/>
  <c r="V2815" i="24"/>
  <c r="B2816" i="24"/>
  <c r="M2816" i="24"/>
  <c r="P2816" i="24"/>
  <c r="Q2816" i="24"/>
  <c r="V2816" i="24"/>
  <c r="B2817" i="24"/>
  <c r="M2817" i="24"/>
  <c r="P2817" i="24"/>
  <c r="Q2817" i="24"/>
  <c r="V2817" i="24"/>
  <c r="B2818" i="24"/>
  <c r="M2818" i="24"/>
  <c r="P2818" i="24"/>
  <c r="Q2818" i="24"/>
  <c r="V2818" i="24"/>
  <c r="B2819" i="24"/>
  <c r="M2819" i="24"/>
  <c r="P2819" i="24"/>
  <c r="Q2819" i="24"/>
  <c r="V2819" i="24"/>
  <c r="B2820" i="24"/>
  <c r="M2820" i="24"/>
  <c r="P2820" i="24"/>
  <c r="Q2820" i="24"/>
  <c r="V2820" i="24"/>
  <c r="B2821" i="24"/>
  <c r="M2821" i="24"/>
  <c r="P2821" i="24"/>
  <c r="Q2821" i="24"/>
  <c r="V2821" i="24"/>
  <c r="B2822" i="24"/>
  <c r="M2822" i="24"/>
  <c r="P2822" i="24"/>
  <c r="Q2822" i="24"/>
  <c r="V2822" i="24"/>
  <c r="B2823" i="24"/>
  <c r="M2823" i="24"/>
  <c r="P2823" i="24"/>
  <c r="Q2823" i="24"/>
  <c r="V2823" i="24"/>
  <c r="B2824" i="24"/>
  <c r="M2824" i="24"/>
  <c r="P2824" i="24"/>
  <c r="Q2824" i="24"/>
  <c r="V2824" i="24"/>
  <c r="B2825" i="24"/>
  <c r="M2825" i="24"/>
  <c r="P2825" i="24"/>
  <c r="Q2825" i="24"/>
  <c r="V2825" i="24"/>
  <c r="B2826" i="24"/>
  <c r="M2826" i="24"/>
  <c r="P2826" i="24"/>
  <c r="Q2826" i="24"/>
  <c r="V2826" i="24"/>
  <c r="B2827" i="24"/>
  <c r="M2827" i="24"/>
  <c r="P2827" i="24"/>
  <c r="Q2827" i="24"/>
  <c r="V2827" i="24"/>
  <c r="B2828" i="24"/>
  <c r="M2828" i="24"/>
  <c r="P2828" i="24"/>
  <c r="Q2828" i="24"/>
  <c r="V2828" i="24"/>
  <c r="B2829" i="24"/>
  <c r="M2829" i="24"/>
  <c r="P2829" i="24"/>
  <c r="Q2829" i="24"/>
  <c r="V2829" i="24"/>
  <c r="B2830" i="24"/>
  <c r="M2830" i="24"/>
  <c r="P2830" i="24"/>
  <c r="Q2830" i="24"/>
  <c r="V2830" i="24"/>
  <c r="B2831" i="24"/>
  <c r="M2831" i="24"/>
  <c r="P2831" i="24"/>
  <c r="Q2831" i="24"/>
  <c r="V2831" i="24"/>
  <c r="B2832" i="24"/>
  <c r="M2832" i="24"/>
  <c r="P2832" i="24"/>
  <c r="Q2832" i="24"/>
  <c r="V2832" i="24"/>
  <c r="B2833" i="24"/>
  <c r="M2833" i="24"/>
  <c r="P2833" i="24"/>
  <c r="Q2833" i="24"/>
  <c r="V2833" i="24"/>
  <c r="B2834" i="24"/>
  <c r="M2834" i="24"/>
  <c r="P2834" i="24"/>
  <c r="Q2834" i="24"/>
  <c r="V2834" i="24"/>
  <c r="B2835" i="24"/>
  <c r="M2835" i="24"/>
  <c r="P2835" i="24"/>
  <c r="Q2835" i="24"/>
  <c r="V2835" i="24"/>
  <c r="B2836" i="24"/>
  <c r="M2836" i="24"/>
  <c r="P2836" i="24"/>
  <c r="Q2836" i="24"/>
  <c r="V2836" i="24"/>
  <c r="B2837" i="24"/>
  <c r="M2837" i="24"/>
  <c r="P2837" i="24"/>
  <c r="Q2837" i="24"/>
  <c r="V2837" i="24"/>
  <c r="B2838" i="24"/>
  <c r="M2838" i="24"/>
  <c r="P2838" i="24"/>
  <c r="Q2838" i="24"/>
  <c r="V2838" i="24"/>
  <c r="B2839" i="24"/>
  <c r="M2839" i="24"/>
  <c r="P2839" i="24"/>
  <c r="Q2839" i="24"/>
  <c r="V2839" i="24"/>
  <c r="B2840" i="24"/>
  <c r="M2840" i="24"/>
  <c r="P2840" i="24"/>
  <c r="Q2840" i="24"/>
  <c r="V2840" i="24"/>
  <c r="B2841" i="24"/>
  <c r="M2841" i="24"/>
  <c r="P2841" i="24"/>
  <c r="Q2841" i="24"/>
  <c r="V2841" i="24"/>
  <c r="B2842" i="24"/>
  <c r="M2842" i="24"/>
  <c r="P2842" i="24"/>
  <c r="Q2842" i="24"/>
  <c r="V2842" i="24"/>
  <c r="B2843" i="24"/>
  <c r="M2843" i="24"/>
  <c r="P2843" i="24"/>
  <c r="Q2843" i="24"/>
  <c r="V2843" i="24"/>
  <c r="B2844" i="24"/>
  <c r="M2844" i="24"/>
  <c r="P2844" i="24"/>
  <c r="Q2844" i="24"/>
  <c r="V2844" i="24"/>
  <c r="B2845" i="24"/>
  <c r="M2845" i="24"/>
  <c r="P2845" i="24"/>
  <c r="Q2845" i="24"/>
  <c r="V2845" i="24"/>
  <c r="B2846" i="24"/>
  <c r="M2846" i="24"/>
  <c r="P2846" i="24"/>
  <c r="Q2846" i="24"/>
  <c r="V2846" i="24"/>
  <c r="B2847" i="24"/>
  <c r="M2847" i="24"/>
  <c r="P2847" i="24"/>
  <c r="Q2847" i="24"/>
  <c r="V2847" i="24"/>
  <c r="B2848" i="24"/>
  <c r="M2848" i="24"/>
  <c r="P2848" i="24"/>
  <c r="Q2848" i="24"/>
  <c r="V2848" i="24"/>
  <c r="B2849" i="24"/>
  <c r="M2849" i="24"/>
  <c r="P2849" i="24"/>
  <c r="Q2849" i="24"/>
  <c r="V2849" i="24"/>
  <c r="B2850" i="24"/>
  <c r="M2850" i="24"/>
  <c r="P2850" i="24"/>
  <c r="Q2850" i="24"/>
  <c r="V2850" i="24"/>
  <c r="B2851" i="24"/>
  <c r="M2851" i="24"/>
  <c r="P2851" i="24"/>
  <c r="Q2851" i="24"/>
  <c r="V2851" i="24"/>
  <c r="B2852" i="24"/>
  <c r="M2852" i="24"/>
  <c r="P2852" i="24"/>
  <c r="Q2852" i="24"/>
  <c r="V2852" i="24"/>
  <c r="B2853" i="24"/>
  <c r="M2853" i="24"/>
  <c r="P2853" i="24"/>
  <c r="Q2853" i="24"/>
  <c r="V2853" i="24"/>
  <c r="B2854" i="24"/>
  <c r="M2854" i="24"/>
  <c r="P2854" i="24"/>
  <c r="Q2854" i="24"/>
  <c r="V2854" i="24"/>
  <c r="B2855" i="24"/>
  <c r="M2855" i="24"/>
  <c r="P2855" i="24"/>
  <c r="Q2855" i="24"/>
  <c r="V2855" i="24"/>
  <c r="B2856" i="24"/>
  <c r="M2856" i="24"/>
  <c r="P2856" i="24"/>
  <c r="Q2856" i="24"/>
  <c r="V2856" i="24"/>
  <c r="B2857" i="24"/>
  <c r="M2857" i="24"/>
  <c r="N2857" i="24"/>
  <c r="P2857" i="24"/>
  <c r="Q2857" i="24"/>
  <c r="V2857" i="24"/>
  <c r="B2858" i="24"/>
  <c r="M2858" i="24"/>
  <c r="P2858" i="24"/>
  <c r="Q2858" i="24"/>
  <c r="V2858" i="24"/>
  <c r="B2859" i="24"/>
  <c r="M2859" i="24"/>
  <c r="P2859" i="24"/>
  <c r="Q2859" i="24"/>
  <c r="V2859" i="24"/>
  <c r="B2860" i="24"/>
  <c r="M2860" i="24"/>
  <c r="P2860" i="24"/>
  <c r="Q2860" i="24"/>
  <c r="V2860" i="24"/>
  <c r="B2861" i="24"/>
  <c r="M2861" i="24"/>
  <c r="P2861" i="24"/>
  <c r="Q2861" i="24"/>
  <c r="V2861" i="24"/>
  <c r="B2862" i="24"/>
  <c r="M2862" i="24"/>
  <c r="P2862" i="24"/>
  <c r="Q2862" i="24"/>
  <c r="V2862" i="24"/>
  <c r="B2863" i="24"/>
  <c r="M2863" i="24"/>
  <c r="P2863" i="24"/>
  <c r="Q2863" i="24"/>
  <c r="V2863" i="24"/>
  <c r="B2864" i="24"/>
  <c r="M2864" i="24"/>
  <c r="P2864" i="24"/>
  <c r="Q2864" i="24"/>
  <c r="V2864" i="24"/>
  <c r="B2865" i="24"/>
  <c r="M2865" i="24"/>
  <c r="P2865" i="24"/>
  <c r="Q2865" i="24"/>
  <c r="V2865" i="24"/>
  <c r="B2866" i="24"/>
  <c r="M2866" i="24"/>
  <c r="P2866" i="24"/>
  <c r="Q2866" i="24"/>
  <c r="V2866" i="24"/>
  <c r="B2867" i="24"/>
  <c r="M2867" i="24"/>
  <c r="P2867" i="24"/>
  <c r="Q2867" i="24"/>
  <c r="V2867" i="24"/>
  <c r="B2868" i="24"/>
  <c r="M2868" i="24"/>
  <c r="P2868" i="24"/>
  <c r="Q2868" i="24"/>
  <c r="V2868" i="24"/>
  <c r="B2869" i="24"/>
  <c r="M2869" i="24"/>
  <c r="P2869" i="24"/>
  <c r="Q2869" i="24"/>
  <c r="V2869" i="24"/>
  <c r="B2870" i="24"/>
  <c r="M2870" i="24"/>
  <c r="P2870" i="24"/>
  <c r="Q2870" i="24"/>
  <c r="V2870" i="24"/>
  <c r="B2871" i="24"/>
  <c r="M2871" i="24"/>
  <c r="P2871" i="24"/>
  <c r="Q2871" i="24"/>
  <c r="V2871" i="24"/>
  <c r="B2872" i="24"/>
  <c r="M2872" i="24"/>
  <c r="P2872" i="24"/>
  <c r="Q2872" i="24"/>
  <c r="V2872" i="24"/>
  <c r="B2873" i="24"/>
  <c r="M2873" i="24"/>
  <c r="P2873" i="24"/>
  <c r="Q2873" i="24"/>
  <c r="V2873" i="24"/>
  <c r="B2874" i="24"/>
  <c r="M2874" i="24"/>
  <c r="P2874" i="24"/>
  <c r="Q2874" i="24"/>
  <c r="V2874" i="24"/>
  <c r="B2875" i="24"/>
  <c r="M2875" i="24"/>
  <c r="P2875" i="24"/>
  <c r="Q2875" i="24"/>
  <c r="V2875" i="24"/>
  <c r="B2876" i="24"/>
  <c r="M2876" i="24"/>
  <c r="P2876" i="24"/>
  <c r="Q2876" i="24"/>
  <c r="V2876" i="24"/>
  <c r="B2877" i="24"/>
  <c r="M2877" i="24"/>
  <c r="P2877" i="24"/>
  <c r="Q2877" i="24"/>
  <c r="V2877" i="24"/>
  <c r="B2878" i="24"/>
  <c r="M2878" i="24"/>
  <c r="P2878" i="24"/>
  <c r="Q2878" i="24"/>
  <c r="V2878" i="24"/>
  <c r="B2879" i="24"/>
  <c r="M2879" i="24"/>
  <c r="P2879" i="24"/>
  <c r="Q2879" i="24"/>
  <c r="V2879" i="24"/>
  <c r="B2880" i="24"/>
  <c r="M2880" i="24"/>
  <c r="P2880" i="24"/>
  <c r="Q2880" i="24"/>
  <c r="V2880" i="24"/>
  <c r="B2881" i="24"/>
  <c r="M2881" i="24"/>
  <c r="P2881" i="24"/>
  <c r="Q2881" i="24"/>
  <c r="V2881" i="24"/>
  <c r="B2882" i="24"/>
  <c r="M2882" i="24"/>
  <c r="P2882" i="24"/>
  <c r="Q2882" i="24"/>
  <c r="V2882" i="24"/>
  <c r="B2883" i="24"/>
  <c r="M2883" i="24"/>
  <c r="P2883" i="24"/>
  <c r="Q2883" i="24"/>
  <c r="V2883" i="24"/>
  <c r="B2884" i="24"/>
  <c r="M2884" i="24"/>
  <c r="P2884" i="24"/>
  <c r="Q2884" i="24"/>
  <c r="V2884" i="24"/>
  <c r="B2885" i="24"/>
  <c r="M2885" i="24"/>
  <c r="P2885" i="24"/>
  <c r="Q2885" i="24"/>
  <c r="V2885" i="24"/>
  <c r="B2886" i="24"/>
  <c r="M2886" i="24"/>
  <c r="P2886" i="24"/>
  <c r="Q2886" i="24"/>
  <c r="V2886" i="24"/>
  <c r="B2887" i="24"/>
  <c r="M2887" i="24"/>
  <c r="P2887" i="24"/>
  <c r="Q2887" i="24"/>
  <c r="V2887" i="24"/>
  <c r="B2888" i="24"/>
  <c r="M2888" i="24"/>
  <c r="P2888" i="24"/>
  <c r="Q2888" i="24"/>
  <c r="V2888" i="24"/>
  <c r="B2889" i="24"/>
  <c r="M2889" i="24"/>
  <c r="P2889" i="24"/>
  <c r="Q2889" i="24"/>
  <c r="V2889" i="24"/>
  <c r="B2890" i="24"/>
  <c r="M2890" i="24"/>
  <c r="P2890" i="24"/>
  <c r="Q2890" i="24"/>
  <c r="V2890" i="24"/>
  <c r="B2891" i="24"/>
  <c r="M2891" i="24"/>
  <c r="P2891" i="24"/>
  <c r="Q2891" i="24"/>
  <c r="V2891" i="24"/>
  <c r="B2892" i="24"/>
  <c r="M2892" i="24"/>
  <c r="P2892" i="24"/>
  <c r="Q2892" i="24"/>
  <c r="V2892" i="24"/>
  <c r="B2893" i="24"/>
  <c r="M2893" i="24"/>
  <c r="P2893" i="24"/>
  <c r="Q2893" i="24"/>
  <c r="V2893" i="24"/>
  <c r="B2894" i="24"/>
  <c r="M2894" i="24"/>
  <c r="P2894" i="24"/>
  <c r="Q2894" i="24"/>
  <c r="V2894" i="24"/>
  <c r="B2895" i="24"/>
  <c r="M2895" i="24"/>
  <c r="P2895" i="24"/>
  <c r="Q2895" i="24"/>
  <c r="V2895" i="24"/>
  <c r="B2896" i="24"/>
  <c r="M2896" i="24"/>
  <c r="P2896" i="24"/>
  <c r="Q2896" i="24"/>
  <c r="V2896" i="24"/>
  <c r="B2897" i="24"/>
  <c r="M2897" i="24"/>
  <c r="P2897" i="24"/>
  <c r="Q2897" i="24"/>
  <c r="V2897" i="24"/>
  <c r="B2898" i="24"/>
  <c r="M2898" i="24"/>
  <c r="P2898" i="24"/>
  <c r="Q2898" i="24"/>
  <c r="V2898" i="24"/>
  <c r="B2899" i="24"/>
  <c r="M2899" i="24"/>
  <c r="P2899" i="24"/>
  <c r="Q2899" i="24"/>
  <c r="V2899" i="24"/>
  <c r="B2900" i="24"/>
  <c r="M2900" i="24"/>
  <c r="P2900" i="24"/>
  <c r="Q2900" i="24"/>
  <c r="V2900" i="24"/>
  <c r="B2901" i="24"/>
  <c r="M2901" i="24"/>
  <c r="P2901" i="24"/>
  <c r="Q2901" i="24"/>
  <c r="V2901" i="24"/>
  <c r="B2902" i="24"/>
  <c r="M2902" i="24"/>
  <c r="P2902" i="24"/>
  <c r="Q2902" i="24"/>
  <c r="V2902" i="24"/>
  <c r="B2903" i="24"/>
  <c r="M2903" i="24"/>
  <c r="P2903" i="24"/>
  <c r="Q2903" i="24"/>
  <c r="V2903" i="24"/>
  <c r="B2904" i="24"/>
  <c r="M2904" i="24"/>
  <c r="P2904" i="24"/>
  <c r="Q2904" i="24"/>
  <c r="V2904" i="24"/>
  <c r="B2905" i="24"/>
  <c r="M2905" i="24"/>
  <c r="P2905" i="24"/>
  <c r="Q2905" i="24"/>
  <c r="V2905" i="24"/>
  <c r="B2906" i="24"/>
  <c r="M2906" i="24"/>
  <c r="P2906" i="24"/>
  <c r="Q2906" i="24"/>
  <c r="V2906" i="24"/>
  <c r="B2907" i="24"/>
  <c r="M2907" i="24"/>
  <c r="P2907" i="24"/>
  <c r="Q2907" i="24"/>
  <c r="V2907" i="24"/>
  <c r="B2908" i="24"/>
  <c r="M2908" i="24"/>
  <c r="P2908" i="24"/>
  <c r="Q2908" i="24"/>
  <c r="V2908" i="24"/>
  <c r="B2909" i="24"/>
  <c r="M2909" i="24"/>
  <c r="P2909" i="24"/>
  <c r="Q2909" i="24"/>
  <c r="V2909" i="24"/>
  <c r="B2910" i="24"/>
  <c r="M2910" i="24"/>
  <c r="P2910" i="24"/>
  <c r="Q2910" i="24"/>
  <c r="V2910" i="24"/>
  <c r="B2911" i="24"/>
  <c r="M2911" i="24"/>
  <c r="P2911" i="24"/>
  <c r="Q2911" i="24"/>
  <c r="V2911" i="24"/>
  <c r="B2912" i="24"/>
  <c r="M2912" i="24"/>
  <c r="P2912" i="24"/>
  <c r="Q2912" i="24"/>
  <c r="V2912" i="24"/>
  <c r="B2913" i="24"/>
  <c r="M2913" i="24"/>
  <c r="P2913" i="24"/>
  <c r="Q2913" i="24"/>
  <c r="V2913" i="24"/>
  <c r="B2914" i="24"/>
  <c r="M2914" i="24"/>
  <c r="P2914" i="24"/>
  <c r="Q2914" i="24"/>
  <c r="V2914" i="24"/>
  <c r="B2915" i="24"/>
  <c r="M2915" i="24"/>
  <c r="P2915" i="24"/>
  <c r="Q2915" i="24"/>
  <c r="V2915" i="24"/>
  <c r="B2916" i="24"/>
  <c r="M2916" i="24"/>
  <c r="P2916" i="24"/>
  <c r="Q2916" i="24"/>
  <c r="V2916" i="24"/>
  <c r="B2917" i="24"/>
  <c r="M2917" i="24"/>
  <c r="P2917" i="24"/>
  <c r="Q2917" i="24"/>
  <c r="V2917" i="24"/>
  <c r="B2918" i="24"/>
  <c r="M2918" i="24"/>
  <c r="P2918" i="24"/>
  <c r="Q2918" i="24"/>
  <c r="V2918" i="24"/>
  <c r="B2919" i="24"/>
  <c r="M2919" i="24"/>
  <c r="P2919" i="24"/>
  <c r="Q2919" i="24"/>
  <c r="V2919" i="24"/>
  <c r="B2920" i="24"/>
  <c r="M2920" i="24"/>
  <c r="P2920" i="24"/>
  <c r="Q2920" i="24"/>
  <c r="V2920" i="24"/>
  <c r="B2921" i="24"/>
  <c r="M2921" i="24"/>
  <c r="P2921" i="24"/>
  <c r="Q2921" i="24"/>
  <c r="V2921" i="24"/>
  <c r="B2922" i="24"/>
  <c r="M2922" i="24"/>
  <c r="P2922" i="24"/>
  <c r="Q2922" i="24"/>
  <c r="V2922" i="24"/>
  <c r="B2923" i="24"/>
  <c r="M2923" i="24"/>
  <c r="P2923" i="24"/>
  <c r="Q2923" i="24"/>
  <c r="V2923" i="24"/>
  <c r="B2924" i="24"/>
  <c r="M2924" i="24"/>
  <c r="P2924" i="24"/>
  <c r="Q2924" i="24"/>
  <c r="V2924" i="24"/>
  <c r="B2925" i="24"/>
  <c r="M2925" i="24"/>
  <c r="P2925" i="24"/>
  <c r="Q2925" i="24"/>
  <c r="V2925" i="24"/>
  <c r="B2926" i="24"/>
  <c r="M2926" i="24"/>
  <c r="P2926" i="24"/>
  <c r="Q2926" i="24"/>
  <c r="V2926" i="24"/>
  <c r="B2927" i="24"/>
  <c r="M2927" i="24"/>
  <c r="P2927" i="24"/>
  <c r="Q2927" i="24"/>
  <c r="V2927" i="24"/>
  <c r="B2928" i="24"/>
  <c r="M2928" i="24"/>
  <c r="P2928" i="24"/>
  <c r="Q2928" i="24"/>
  <c r="V2928" i="24"/>
  <c r="B2929" i="24"/>
  <c r="M2929" i="24"/>
  <c r="P2929" i="24"/>
  <c r="Q2929" i="24"/>
  <c r="V2929" i="24"/>
  <c r="B2930" i="24"/>
  <c r="M2930" i="24"/>
  <c r="P2930" i="24"/>
  <c r="Q2930" i="24"/>
  <c r="V2930" i="24"/>
  <c r="B2931" i="24"/>
  <c r="M2931" i="24"/>
  <c r="P2931" i="24"/>
  <c r="Q2931" i="24"/>
  <c r="V2931" i="24"/>
  <c r="B2932" i="24"/>
  <c r="M2932" i="24"/>
  <c r="P2932" i="24"/>
  <c r="Q2932" i="24"/>
  <c r="V2932" i="24"/>
  <c r="B2933" i="24"/>
  <c r="M2933" i="24"/>
  <c r="P2933" i="24"/>
  <c r="Q2933" i="24"/>
  <c r="V2933" i="24"/>
  <c r="B2934" i="24"/>
  <c r="M2934" i="24"/>
  <c r="P2934" i="24"/>
  <c r="Q2934" i="24"/>
  <c r="V2934" i="24"/>
  <c r="B2935" i="24"/>
  <c r="M2935" i="24"/>
  <c r="P2935" i="24"/>
  <c r="Q2935" i="24"/>
  <c r="V2935" i="24"/>
  <c r="B2936" i="24"/>
  <c r="M2936" i="24"/>
  <c r="P2936" i="24"/>
  <c r="Q2936" i="24"/>
  <c r="V2936" i="24"/>
  <c r="B2937" i="24"/>
  <c r="M2937" i="24"/>
  <c r="P2937" i="24"/>
  <c r="Q2937" i="24"/>
  <c r="V2937" i="24"/>
  <c r="B2938" i="24"/>
  <c r="M2938" i="24"/>
  <c r="P2938" i="24"/>
  <c r="Q2938" i="24"/>
  <c r="V2938" i="24"/>
  <c r="B2939" i="24"/>
  <c r="M2939" i="24"/>
  <c r="P2939" i="24"/>
  <c r="Q2939" i="24"/>
  <c r="V2939" i="24"/>
  <c r="B2940" i="24"/>
  <c r="M2940" i="24"/>
  <c r="P2940" i="24"/>
  <c r="Q2940" i="24"/>
  <c r="V2940" i="24"/>
  <c r="B2941" i="24"/>
  <c r="M2941" i="24"/>
  <c r="P2941" i="24"/>
  <c r="Q2941" i="24"/>
  <c r="V2941" i="24"/>
  <c r="B2942" i="24"/>
  <c r="M2942" i="24"/>
  <c r="P2942" i="24"/>
  <c r="Q2942" i="24"/>
  <c r="V2942" i="24"/>
  <c r="B2943" i="24"/>
  <c r="M2943" i="24"/>
  <c r="P2943" i="24"/>
  <c r="Q2943" i="24"/>
  <c r="V2943" i="24"/>
  <c r="B2944" i="24"/>
  <c r="M2944" i="24"/>
  <c r="P2944" i="24"/>
  <c r="Q2944" i="24"/>
  <c r="V2944" i="24"/>
  <c r="B2945" i="24"/>
  <c r="M2945" i="24"/>
  <c r="P2945" i="24"/>
  <c r="Q2945" i="24"/>
  <c r="V2945" i="24"/>
  <c r="B2946" i="24"/>
  <c r="M2946" i="24"/>
  <c r="P2946" i="24"/>
  <c r="Q2946" i="24"/>
  <c r="V2946" i="24"/>
  <c r="B2947" i="24"/>
  <c r="M2947" i="24"/>
  <c r="P2947" i="24"/>
  <c r="Q2947" i="24"/>
  <c r="V2947" i="24"/>
  <c r="B2948" i="24"/>
  <c r="M2948" i="24"/>
  <c r="P2948" i="24"/>
  <c r="Q2948" i="24"/>
  <c r="V2948" i="24"/>
  <c r="B2949" i="24"/>
  <c r="M2949" i="24"/>
  <c r="P2949" i="24"/>
  <c r="Q2949" i="24"/>
  <c r="V2949" i="24"/>
  <c r="B2950" i="24"/>
  <c r="M2950" i="24"/>
  <c r="P2950" i="24"/>
  <c r="Q2950" i="24"/>
  <c r="V2950" i="24"/>
  <c r="B2951" i="24"/>
  <c r="M2951" i="24"/>
  <c r="P2951" i="24"/>
  <c r="Q2951" i="24"/>
  <c r="V2951" i="24"/>
  <c r="B2952" i="24"/>
  <c r="M2952" i="24"/>
  <c r="P2952" i="24"/>
  <c r="Q2952" i="24"/>
  <c r="V2952" i="24"/>
  <c r="B2953" i="24"/>
  <c r="M2953" i="24"/>
  <c r="P2953" i="24"/>
  <c r="Q2953" i="24"/>
  <c r="V2953" i="24"/>
  <c r="B2954" i="24"/>
  <c r="M2954" i="24"/>
  <c r="P2954" i="24"/>
  <c r="Q2954" i="24"/>
  <c r="V2954" i="24"/>
  <c r="B2955" i="24"/>
  <c r="M2955" i="24"/>
  <c r="P2955" i="24"/>
  <c r="Q2955" i="24"/>
  <c r="V2955" i="24"/>
  <c r="B2956" i="24"/>
  <c r="M2956" i="24"/>
  <c r="P2956" i="24"/>
  <c r="Q2956" i="24"/>
  <c r="V2956" i="24"/>
  <c r="B2957" i="24"/>
  <c r="M2957" i="24"/>
  <c r="P2957" i="24"/>
  <c r="Q2957" i="24"/>
  <c r="V2957" i="24"/>
  <c r="B2958" i="24"/>
  <c r="M2958" i="24"/>
  <c r="P2958" i="24"/>
  <c r="Q2958" i="24"/>
  <c r="V2958" i="24"/>
  <c r="B2959" i="24"/>
  <c r="M2959" i="24"/>
  <c r="P2959" i="24"/>
  <c r="Q2959" i="24"/>
  <c r="V2959" i="24"/>
  <c r="B2960" i="24"/>
  <c r="M2960" i="24"/>
  <c r="P2960" i="24"/>
  <c r="Q2960" i="24"/>
  <c r="V2960" i="24"/>
  <c r="B2961" i="24"/>
  <c r="M2961" i="24"/>
  <c r="P2961" i="24"/>
  <c r="Q2961" i="24"/>
  <c r="V2961" i="24"/>
  <c r="B2962" i="24"/>
  <c r="M2962" i="24"/>
  <c r="P2962" i="24"/>
  <c r="Q2962" i="24"/>
  <c r="V2962" i="24"/>
  <c r="B2963" i="24"/>
  <c r="M2963" i="24"/>
  <c r="P2963" i="24"/>
  <c r="Q2963" i="24"/>
  <c r="V2963" i="24"/>
  <c r="B2964" i="24"/>
  <c r="M2964" i="24"/>
  <c r="P2964" i="24"/>
  <c r="Q2964" i="24"/>
  <c r="V2964" i="24"/>
  <c r="B2965" i="24"/>
  <c r="M2965" i="24"/>
  <c r="P2965" i="24"/>
  <c r="Q2965" i="24"/>
  <c r="V2965" i="24"/>
  <c r="B2966" i="24"/>
  <c r="M2966" i="24"/>
  <c r="P2966" i="24"/>
  <c r="Q2966" i="24"/>
  <c r="V2966" i="24"/>
  <c r="B2967" i="24"/>
  <c r="M2967" i="24"/>
  <c r="P2967" i="24"/>
  <c r="Q2967" i="24"/>
  <c r="V2967" i="24"/>
  <c r="B2968" i="24"/>
  <c r="M2968" i="24"/>
  <c r="P2968" i="24"/>
  <c r="Q2968" i="24"/>
  <c r="V2968" i="24"/>
  <c r="B2969" i="24"/>
  <c r="M2969" i="24"/>
  <c r="P2969" i="24"/>
  <c r="Q2969" i="24"/>
  <c r="V2969" i="24"/>
  <c r="B2970" i="24"/>
  <c r="M2970" i="24"/>
  <c r="P2970" i="24"/>
  <c r="Q2970" i="24"/>
  <c r="V2970" i="24"/>
  <c r="B2971" i="24"/>
  <c r="M2971" i="24"/>
  <c r="P2971" i="24"/>
  <c r="Q2971" i="24"/>
  <c r="V2971" i="24"/>
  <c r="B2972" i="24"/>
  <c r="M2972" i="24"/>
  <c r="P2972" i="24"/>
  <c r="Q2972" i="24"/>
  <c r="V2972" i="24"/>
  <c r="B2973" i="24"/>
  <c r="M2973" i="24"/>
  <c r="P2973" i="24"/>
  <c r="Q2973" i="24"/>
  <c r="V2973" i="24"/>
  <c r="B2974" i="24"/>
  <c r="M2974" i="24"/>
  <c r="P2974" i="24"/>
  <c r="Q2974" i="24"/>
  <c r="V2974" i="24"/>
  <c r="B2975" i="24"/>
  <c r="M2975" i="24"/>
  <c r="P2975" i="24"/>
  <c r="Q2975" i="24"/>
  <c r="V2975" i="24"/>
  <c r="B2976" i="24"/>
  <c r="M2976" i="24"/>
  <c r="P2976" i="24"/>
  <c r="Q2976" i="24"/>
  <c r="V2976" i="24"/>
  <c r="B2977" i="24"/>
  <c r="M2977" i="24"/>
  <c r="P2977" i="24"/>
  <c r="Q2977" i="24"/>
  <c r="V2977" i="24"/>
  <c r="B2978" i="24"/>
  <c r="M2978" i="24"/>
  <c r="P2978" i="24"/>
  <c r="Q2978" i="24"/>
  <c r="V2978" i="24"/>
  <c r="B2979" i="24"/>
  <c r="M2979" i="24"/>
  <c r="P2979" i="24"/>
  <c r="Q2979" i="24"/>
  <c r="V2979" i="24"/>
  <c r="B2980" i="24"/>
  <c r="M2980" i="24"/>
  <c r="P2980" i="24"/>
  <c r="Q2980" i="24"/>
  <c r="V2980" i="24"/>
  <c r="B2981" i="24"/>
  <c r="M2981" i="24"/>
  <c r="P2981" i="24"/>
  <c r="Q2981" i="24"/>
  <c r="V2981" i="24"/>
  <c r="B2982" i="24"/>
  <c r="M2982" i="24"/>
  <c r="P2982" i="24"/>
  <c r="Q2982" i="24"/>
  <c r="V2982" i="24"/>
  <c r="B2983" i="24"/>
  <c r="M2983" i="24"/>
  <c r="P2983" i="24"/>
  <c r="Q2983" i="24"/>
  <c r="V2983" i="24"/>
  <c r="B2984" i="24"/>
  <c r="M2984" i="24"/>
  <c r="P2984" i="24"/>
  <c r="Q2984" i="24"/>
  <c r="V2984" i="24"/>
  <c r="B2985" i="24"/>
  <c r="M2985" i="24"/>
  <c r="P2985" i="24"/>
  <c r="Q2985" i="24"/>
  <c r="V2985" i="24"/>
  <c r="B2986" i="24"/>
  <c r="M2986" i="24"/>
  <c r="P2986" i="24"/>
  <c r="Q2986" i="24"/>
  <c r="V2986" i="24"/>
  <c r="B2987" i="24"/>
  <c r="M2987" i="24"/>
  <c r="P2987" i="24"/>
  <c r="Q2987" i="24"/>
  <c r="V2987" i="24"/>
  <c r="B2988" i="24"/>
  <c r="M2988" i="24"/>
  <c r="P2988" i="24"/>
  <c r="Q2988" i="24"/>
  <c r="V2988" i="24"/>
  <c r="B2989" i="24"/>
  <c r="M2989" i="24"/>
  <c r="P2989" i="24"/>
  <c r="Q2989" i="24"/>
  <c r="V2989" i="24"/>
  <c r="B2990" i="24"/>
  <c r="M2990" i="24"/>
  <c r="P2990" i="24"/>
  <c r="Q2990" i="24"/>
  <c r="V2990" i="24"/>
  <c r="B2991" i="24"/>
  <c r="M2991" i="24"/>
  <c r="P2991" i="24"/>
  <c r="Q2991" i="24"/>
  <c r="V2991" i="24"/>
  <c r="B2992" i="24"/>
  <c r="M2992" i="24"/>
  <c r="P2992" i="24"/>
  <c r="Q2992" i="24"/>
  <c r="V2992" i="24"/>
  <c r="B2993" i="24"/>
  <c r="M2993" i="24"/>
  <c r="P2993" i="24"/>
  <c r="Q2993" i="24"/>
  <c r="V2993" i="24"/>
  <c r="B2994" i="24"/>
  <c r="M2994" i="24"/>
  <c r="P2994" i="24"/>
  <c r="Q2994" i="24"/>
  <c r="V2994" i="24"/>
  <c r="B2995" i="24"/>
  <c r="M2995" i="24"/>
  <c r="P2995" i="24"/>
  <c r="Q2995" i="24"/>
  <c r="V2995" i="24"/>
  <c r="B2996" i="24"/>
  <c r="M2996" i="24"/>
  <c r="P2996" i="24"/>
  <c r="Q2996" i="24"/>
  <c r="V2996" i="24"/>
  <c r="B2997" i="24"/>
  <c r="M2997" i="24"/>
  <c r="P2997" i="24"/>
  <c r="Q2997" i="24"/>
  <c r="V2997" i="24"/>
  <c r="B2998" i="24"/>
  <c r="M2998" i="24"/>
  <c r="P2998" i="24"/>
  <c r="Q2998" i="24"/>
  <c r="V2998" i="24"/>
  <c r="B2999" i="24"/>
  <c r="M2999" i="24"/>
  <c r="P2999" i="24"/>
  <c r="Q2999" i="24"/>
  <c r="V2999" i="24"/>
  <c r="B3000" i="24"/>
  <c r="M3000" i="24"/>
  <c r="P3000" i="24"/>
  <c r="Q3000" i="24"/>
  <c r="V3000" i="24"/>
  <c r="B3001" i="24"/>
  <c r="M3001" i="24"/>
  <c r="P3001" i="24"/>
  <c r="Q3001" i="24"/>
  <c r="V3001" i="24"/>
  <c r="B3002" i="24"/>
  <c r="M3002" i="24"/>
  <c r="P3002" i="24"/>
  <c r="Q3002" i="24"/>
  <c r="V3002" i="24"/>
  <c r="B3003" i="24"/>
  <c r="M3003" i="24"/>
  <c r="P3003" i="24"/>
  <c r="Q3003" i="24"/>
  <c r="V3003" i="24"/>
  <c r="B3004" i="24"/>
  <c r="M3004" i="24"/>
  <c r="P3004" i="24"/>
  <c r="Q3004" i="24"/>
  <c r="V3004" i="24"/>
  <c r="B3005" i="24"/>
  <c r="M3005" i="24"/>
  <c r="P3005" i="24"/>
  <c r="Q3005" i="24"/>
  <c r="V3005" i="24"/>
  <c r="B3006" i="24"/>
  <c r="M3006" i="24"/>
  <c r="P3006" i="24"/>
  <c r="Q3006" i="24"/>
  <c r="V3006" i="24"/>
  <c r="B3007" i="24"/>
  <c r="M3007" i="24"/>
  <c r="P3007" i="24"/>
  <c r="Q3007" i="24"/>
  <c r="V3007" i="24"/>
  <c r="B3008" i="24"/>
  <c r="M3008" i="24"/>
  <c r="P3008" i="24"/>
  <c r="Q3008" i="24"/>
  <c r="V3008" i="24"/>
  <c r="B3009" i="24"/>
  <c r="M3009" i="24"/>
  <c r="P3009" i="24"/>
  <c r="Q3009" i="24"/>
  <c r="V3009" i="24"/>
  <c r="B3010" i="24"/>
  <c r="M3010" i="24"/>
  <c r="P3010" i="24"/>
  <c r="Q3010" i="24"/>
  <c r="V3010" i="24"/>
  <c r="B3011" i="24"/>
  <c r="M3011" i="24"/>
  <c r="P3011" i="24"/>
  <c r="Q3011" i="24"/>
  <c r="V3011" i="24"/>
  <c r="B3012" i="24"/>
  <c r="M3012" i="24"/>
  <c r="P3012" i="24"/>
  <c r="Q3012" i="24"/>
  <c r="V3012" i="24"/>
  <c r="B3013" i="24"/>
  <c r="M3013" i="24"/>
  <c r="P3013" i="24"/>
  <c r="Q3013" i="24"/>
  <c r="V3013" i="24"/>
  <c r="B3014" i="24"/>
  <c r="M3014" i="24"/>
  <c r="P3014" i="24"/>
  <c r="Q3014" i="24"/>
  <c r="V3014" i="24"/>
  <c r="B3015" i="24"/>
  <c r="M3015" i="24"/>
  <c r="P3015" i="24"/>
  <c r="Q3015" i="24"/>
  <c r="V3015" i="24"/>
  <c r="B3016" i="24"/>
  <c r="M3016" i="24"/>
  <c r="P3016" i="24"/>
  <c r="Q3016" i="24"/>
  <c r="V3016" i="24"/>
  <c r="B3017" i="24"/>
  <c r="M3017" i="24"/>
  <c r="P3017" i="24"/>
  <c r="Q3017" i="24"/>
  <c r="V3017" i="24"/>
  <c r="B3018" i="24"/>
  <c r="M3018" i="24"/>
  <c r="P3018" i="24"/>
  <c r="Q3018" i="24"/>
  <c r="V3018" i="24"/>
  <c r="B3019" i="24"/>
  <c r="M3019" i="24"/>
  <c r="P3019" i="24"/>
  <c r="Q3019" i="24"/>
  <c r="V3019" i="24"/>
  <c r="B3020" i="24"/>
  <c r="M3020" i="24"/>
  <c r="P3020" i="24"/>
  <c r="Q3020" i="24"/>
  <c r="V3020" i="24"/>
  <c r="B3021" i="24"/>
  <c r="M3021" i="24"/>
  <c r="P3021" i="24"/>
  <c r="Q3021" i="24"/>
  <c r="V3021" i="24"/>
  <c r="B3022" i="24"/>
  <c r="M3022" i="24"/>
  <c r="P3022" i="24"/>
  <c r="Q3022" i="24"/>
  <c r="V3022" i="24"/>
  <c r="B3023" i="24"/>
  <c r="M3023" i="24"/>
  <c r="P3023" i="24"/>
  <c r="Q3023" i="24"/>
  <c r="V3023" i="24"/>
  <c r="B3024" i="24"/>
  <c r="M3024" i="24"/>
  <c r="P3024" i="24"/>
  <c r="Q3024" i="24"/>
  <c r="V3024" i="24"/>
  <c r="B3025" i="24"/>
  <c r="M3025" i="24"/>
  <c r="P3025" i="24"/>
  <c r="Q3025" i="24"/>
  <c r="V3025" i="24"/>
  <c r="B3026" i="24"/>
  <c r="M3026" i="24"/>
  <c r="P3026" i="24"/>
  <c r="Q3026" i="24"/>
  <c r="V3026" i="24"/>
  <c r="B3027" i="24"/>
  <c r="M3027" i="24"/>
  <c r="P3027" i="24"/>
  <c r="Q3027" i="24"/>
  <c r="V3027" i="24"/>
  <c r="B3028" i="24"/>
  <c r="M3028" i="24"/>
  <c r="P3028" i="24"/>
  <c r="Q3028" i="24"/>
  <c r="V3028" i="24"/>
  <c r="B3029" i="24"/>
  <c r="M3029" i="24"/>
  <c r="P3029" i="24"/>
  <c r="Q3029" i="24"/>
  <c r="V3029" i="24"/>
  <c r="B3030" i="24"/>
  <c r="M3030" i="24"/>
  <c r="P3030" i="24"/>
  <c r="Q3030" i="24"/>
  <c r="V3030" i="24"/>
  <c r="B3031" i="24"/>
  <c r="M3031" i="24"/>
  <c r="P3031" i="24"/>
  <c r="Q3031" i="24"/>
  <c r="V3031" i="24"/>
  <c r="B3032" i="24"/>
  <c r="M3032" i="24"/>
  <c r="P3032" i="24"/>
  <c r="Q3032" i="24"/>
  <c r="V3032" i="24"/>
  <c r="B3033" i="24"/>
  <c r="M3033" i="24"/>
  <c r="P3033" i="24"/>
  <c r="Q3033" i="24"/>
  <c r="V3033" i="24"/>
  <c r="B3034" i="24"/>
  <c r="M3034" i="24"/>
  <c r="P3034" i="24"/>
  <c r="Q3034" i="24"/>
  <c r="V3034" i="24"/>
  <c r="B3035" i="24"/>
  <c r="M3035" i="24"/>
  <c r="P3035" i="24"/>
  <c r="Q3035" i="24"/>
  <c r="V3035" i="24"/>
  <c r="B3036" i="24"/>
  <c r="M3036" i="24"/>
  <c r="P3036" i="24"/>
  <c r="Q3036" i="24"/>
  <c r="V3036" i="24"/>
  <c r="B3037" i="24"/>
  <c r="M3037" i="24"/>
  <c r="P3037" i="24"/>
  <c r="Q3037" i="24"/>
  <c r="V3037" i="24"/>
  <c r="B3038" i="24"/>
  <c r="M3038" i="24"/>
  <c r="P3038" i="24"/>
  <c r="Q3038" i="24"/>
  <c r="V3038" i="24"/>
  <c r="B3039" i="24"/>
  <c r="M3039" i="24"/>
  <c r="P3039" i="24"/>
  <c r="Q3039" i="24"/>
  <c r="V3039" i="24"/>
  <c r="B3040" i="24"/>
  <c r="M3040" i="24"/>
  <c r="P3040" i="24"/>
  <c r="Q3040" i="24"/>
  <c r="V3040" i="24"/>
  <c r="B3041" i="24"/>
  <c r="M3041" i="24"/>
  <c r="P3041" i="24"/>
  <c r="Q3041" i="24"/>
  <c r="V3041" i="24"/>
  <c r="B3042" i="24"/>
  <c r="M3042" i="24"/>
  <c r="P3042" i="24"/>
  <c r="Q3042" i="24"/>
  <c r="V3042" i="24"/>
  <c r="B3043" i="24"/>
  <c r="M3043" i="24"/>
  <c r="P3043" i="24"/>
  <c r="Q3043" i="24"/>
  <c r="V3043" i="24"/>
  <c r="B3044" i="24"/>
  <c r="M3044" i="24"/>
  <c r="P3044" i="24"/>
  <c r="Q3044" i="24"/>
  <c r="V3044" i="24"/>
  <c r="B3045" i="24"/>
  <c r="M3045" i="24"/>
  <c r="P3045" i="24"/>
  <c r="Q3045" i="24"/>
  <c r="V3045" i="24"/>
  <c r="B3046" i="24"/>
  <c r="M3046" i="24"/>
  <c r="P3046" i="24"/>
  <c r="Q3046" i="24"/>
  <c r="V3046" i="24"/>
  <c r="B3047" i="24"/>
  <c r="M3047" i="24"/>
  <c r="P3047" i="24"/>
  <c r="Q3047" i="24"/>
  <c r="V3047" i="24"/>
  <c r="B3048" i="24"/>
  <c r="M3048" i="24"/>
  <c r="P3048" i="24"/>
  <c r="Q3048" i="24"/>
  <c r="V3048" i="24"/>
  <c r="B3049" i="24"/>
  <c r="M3049" i="24"/>
  <c r="P3049" i="24"/>
  <c r="Q3049" i="24"/>
  <c r="V3049" i="24"/>
  <c r="B3050" i="24"/>
  <c r="M3050" i="24"/>
  <c r="P3050" i="24"/>
  <c r="Q3050" i="24"/>
  <c r="V3050" i="24"/>
  <c r="B3051" i="24"/>
  <c r="M3051" i="24"/>
  <c r="P3051" i="24"/>
  <c r="Q3051" i="24"/>
  <c r="V3051" i="24"/>
  <c r="B3052" i="24"/>
  <c r="M3052" i="24"/>
  <c r="P3052" i="24"/>
  <c r="Q3052" i="24"/>
  <c r="V3052" i="24"/>
  <c r="B3053" i="24"/>
  <c r="M3053" i="24"/>
  <c r="P3053" i="24"/>
  <c r="Q3053" i="24"/>
  <c r="V3053" i="24"/>
  <c r="B3054" i="24"/>
  <c r="M3054" i="24"/>
  <c r="P3054" i="24"/>
  <c r="Q3054" i="24"/>
  <c r="V3054" i="24"/>
  <c r="B3055" i="24"/>
  <c r="M3055" i="24"/>
  <c r="P3055" i="24"/>
  <c r="Q3055" i="24"/>
  <c r="V3055" i="24"/>
  <c r="B3056" i="24"/>
  <c r="M3056" i="24"/>
  <c r="P3056" i="24"/>
  <c r="Q3056" i="24"/>
  <c r="V3056" i="24"/>
  <c r="B3057" i="24"/>
  <c r="M3057" i="24"/>
  <c r="P3057" i="24"/>
  <c r="Q3057" i="24"/>
  <c r="V3057" i="24"/>
  <c r="B3058" i="24"/>
  <c r="M3058" i="24"/>
  <c r="P3058" i="24"/>
  <c r="Q3058" i="24"/>
  <c r="V3058" i="24"/>
  <c r="B3059" i="24"/>
  <c r="M3059" i="24"/>
  <c r="P3059" i="24"/>
  <c r="Q3059" i="24"/>
  <c r="V3059" i="24"/>
  <c r="B3060" i="24"/>
  <c r="M3060" i="24"/>
  <c r="P3060" i="24"/>
  <c r="Q3060" i="24"/>
  <c r="V3060" i="24"/>
  <c r="B3061" i="24"/>
  <c r="M3061" i="24"/>
  <c r="P3061" i="24"/>
  <c r="Q3061" i="24"/>
  <c r="V3061" i="24"/>
  <c r="B3062" i="24"/>
  <c r="M3062" i="24"/>
  <c r="P3062" i="24"/>
  <c r="Q3062" i="24"/>
  <c r="V3062" i="24"/>
  <c r="B3063" i="24"/>
  <c r="M3063" i="24"/>
  <c r="P3063" i="24"/>
  <c r="Q3063" i="24"/>
  <c r="V3063" i="24"/>
  <c r="B3064" i="24"/>
  <c r="M3064" i="24"/>
  <c r="P3064" i="24"/>
  <c r="Q3064" i="24"/>
  <c r="V3064" i="24"/>
  <c r="B3065" i="24"/>
  <c r="M3065" i="24"/>
  <c r="P3065" i="24"/>
  <c r="Q3065" i="24"/>
  <c r="V3065" i="24"/>
  <c r="B3066" i="24"/>
  <c r="M3066" i="24"/>
  <c r="P3066" i="24"/>
  <c r="Q3066" i="24"/>
  <c r="V3066" i="24"/>
  <c r="B3067" i="24"/>
  <c r="M3067" i="24"/>
  <c r="P3067" i="24"/>
  <c r="Q3067" i="24"/>
  <c r="V3067" i="24"/>
  <c r="B3068" i="24"/>
  <c r="M3068" i="24"/>
  <c r="P3068" i="24"/>
  <c r="Q3068" i="24"/>
  <c r="V3068" i="24"/>
  <c r="B3069" i="24"/>
  <c r="M3069" i="24"/>
  <c r="P3069" i="24"/>
  <c r="Q3069" i="24"/>
  <c r="V3069" i="24"/>
  <c r="B3070" i="24"/>
  <c r="M3070" i="24"/>
  <c r="P3070" i="24"/>
  <c r="Q3070" i="24"/>
  <c r="V3070" i="24"/>
  <c r="B3071" i="24"/>
  <c r="M3071" i="24"/>
  <c r="P3071" i="24"/>
  <c r="Q3071" i="24"/>
  <c r="V3071" i="24"/>
  <c r="B3072" i="24"/>
  <c r="M3072" i="24"/>
  <c r="P3072" i="24"/>
  <c r="Q3072" i="24"/>
  <c r="V3072" i="24"/>
  <c r="B3073" i="24"/>
  <c r="M3073" i="24"/>
  <c r="P3073" i="24"/>
  <c r="Q3073" i="24"/>
  <c r="V3073" i="24"/>
  <c r="B3074" i="24"/>
  <c r="M3074" i="24"/>
  <c r="P3074" i="24"/>
  <c r="Q3074" i="24"/>
  <c r="V3074" i="24"/>
  <c r="B3075" i="24"/>
  <c r="M3075" i="24"/>
  <c r="P3075" i="24"/>
  <c r="Q3075" i="24"/>
  <c r="V3075" i="24"/>
  <c r="B3076" i="24"/>
  <c r="M3076" i="24"/>
  <c r="P3076" i="24"/>
  <c r="Q3076" i="24"/>
  <c r="V3076" i="24"/>
  <c r="B3077" i="24"/>
  <c r="M3077" i="24"/>
  <c r="P3077" i="24"/>
  <c r="Q3077" i="24"/>
  <c r="V3077" i="24"/>
  <c r="B3078" i="24"/>
  <c r="M3078" i="24"/>
  <c r="P3078" i="24"/>
  <c r="Q3078" i="24"/>
  <c r="V3078" i="24"/>
  <c r="B3079" i="24"/>
  <c r="M3079" i="24"/>
  <c r="P3079" i="24"/>
  <c r="Q3079" i="24"/>
  <c r="V3079" i="24"/>
  <c r="B3080" i="24"/>
  <c r="M3080" i="24"/>
  <c r="P3080" i="24"/>
  <c r="Q3080" i="24"/>
  <c r="V3080" i="24"/>
  <c r="B3081" i="24"/>
  <c r="M3081" i="24"/>
  <c r="P3081" i="24"/>
  <c r="Q3081" i="24"/>
  <c r="V3081" i="24"/>
  <c r="B3082" i="24"/>
  <c r="M3082" i="24"/>
  <c r="P3082" i="24"/>
  <c r="Q3082" i="24"/>
  <c r="V3082" i="24"/>
  <c r="B3083" i="24"/>
  <c r="M3083" i="24"/>
  <c r="P3083" i="24"/>
  <c r="Q3083" i="24"/>
  <c r="V3083" i="24"/>
  <c r="B3084" i="24"/>
  <c r="M3084" i="24"/>
  <c r="P3084" i="24"/>
  <c r="Q3084" i="24"/>
  <c r="V3084" i="24"/>
  <c r="B3085" i="24"/>
  <c r="M3085" i="24"/>
  <c r="P3085" i="24"/>
  <c r="Q3085" i="24"/>
  <c r="V3085" i="24"/>
  <c r="B3086" i="24"/>
  <c r="M3086" i="24"/>
  <c r="P3086" i="24"/>
  <c r="Q3086" i="24"/>
  <c r="V3086" i="24"/>
  <c r="B3087" i="24"/>
  <c r="M3087" i="24"/>
  <c r="P3087" i="24"/>
  <c r="Q3087" i="24"/>
  <c r="V3087" i="24"/>
  <c r="B3088" i="24"/>
  <c r="M3088" i="24"/>
  <c r="P3088" i="24"/>
  <c r="Q3088" i="24"/>
  <c r="V3088" i="24"/>
  <c r="B3089" i="24"/>
  <c r="M3089" i="24"/>
  <c r="P3089" i="24"/>
  <c r="Q3089" i="24"/>
  <c r="V3089" i="24"/>
  <c r="B3090" i="24"/>
  <c r="M3090" i="24"/>
  <c r="P3090" i="24"/>
  <c r="Q3090" i="24"/>
  <c r="V3090" i="24"/>
  <c r="B3091" i="24"/>
  <c r="M3091" i="24"/>
  <c r="P3091" i="24"/>
  <c r="Q3091" i="24"/>
  <c r="V3091" i="24"/>
  <c r="B3092" i="24"/>
  <c r="M3092" i="24"/>
  <c r="P3092" i="24"/>
  <c r="Q3092" i="24"/>
  <c r="V3092" i="24"/>
  <c r="B3093" i="24"/>
  <c r="M3093" i="24"/>
  <c r="P3093" i="24"/>
  <c r="Q3093" i="24"/>
  <c r="V3093" i="24"/>
  <c r="B3094" i="24"/>
  <c r="M3094" i="24"/>
  <c r="P3094" i="24"/>
  <c r="Q3094" i="24"/>
  <c r="V3094" i="24"/>
  <c r="B3095" i="24"/>
  <c r="M3095" i="24"/>
  <c r="P3095" i="24"/>
  <c r="Q3095" i="24"/>
  <c r="V3095" i="24"/>
  <c r="B3096" i="24"/>
  <c r="M3096" i="24"/>
  <c r="P3096" i="24"/>
  <c r="Q3096" i="24"/>
  <c r="V3096" i="24"/>
  <c r="B3097" i="24"/>
  <c r="M3097" i="24"/>
  <c r="P3097" i="24"/>
  <c r="Q3097" i="24"/>
  <c r="V3097" i="24"/>
  <c r="B3098" i="24"/>
  <c r="M3098" i="24"/>
  <c r="P3098" i="24"/>
  <c r="Q3098" i="24"/>
  <c r="V3098" i="24"/>
  <c r="B3099" i="24"/>
  <c r="M3099" i="24"/>
  <c r="P3099" i="24"/>
  <c r="Q3099" i="24"/>
  <c r="V3099" i="24"/>
  <c r="B3100" i="24"/>
  <c r="M3100" i="24"/>
  <c r="P3100" i="24"/>
  <c r="Q3100" i="24"/>
  <c r="V3100" i="24"/>
  <c r="B3101" i="24"/>
  <c r="M3101" i="24"/>
  <c r="P3101" i="24"/>
  <c r="Q3101" i="24"/>
  <c r="V3101" i="24"/>
  <c r="B3102" i="24"/>
  <c r="M3102" i="24"/>
  <c r="P3102" i="24"/>
  <c r="Q3102" i="24"/>
  <c r="V3102" i="24"/>
  <c r="B3103" i="24"/>
  <c r="M3103" i="24"/>
  <c r="P3103" i="24"/>
  <c r="Q3103" i="24"/>
  <c r="V3103" i="24"/>
  <c r="B3104" i="24"/>
  <c r="M3104" i="24"/>
  <c r="P3104" i="24"/>
  <c r="Q3104" i="24"/>
  <c r="V3104" i="24"/>
  <c r="B3105" i="24"/>
  <c r="M3105" i="24"/>
  <c r="P3105" i="24"/>
  <c r="Q3105" i="24"/>
  <c r="V3105" i="24"/>
  <c r="B3106" i="24"/>
  <c r="M3106" i="24"/>
  <c r="P3106" i="24"/>
  <c r="Q3106" i="24"/>
  <c r="V3106" i="24"/>
  <c r="B3107" i="24"/>
  <c r="M3107" i="24"/>
  <c r="P3107" i="24"/>
  <c r="Q3107" i="24"/>
  <c r="V3107" i="24"/>
  <c r="B3108" i="24"/>
  <c r="M3108" i="24"/>
  <c r="P3108" i="24"/>
  <c r="Q3108" i="24"/>
  <c r="V3108" i="24"/>
  <c r="B3109" i="24"/>
  <c r="M3109" i="24"/>
  <c r="P3109" i="24"/>
  <c r="Q3109" i="24"/>
  <c r="V3109" i="24"/>
  <c r="B3110" i="24"/>
  <c r="M3110" i="24"/>
  <c r="P3110" i="24"/>
  <c r="Q3110" i="24"/>
  <c r="V3110" i="24"/>
  <c r="B3111" i="24"/>
  <c r="M3111" i="24"/>
  <c r="P3111" i="24"/>
  <c r="Q3111" i="24"/>
  <c r="V3111" i="24"/>
  <c r="B3112" i="24"/>
  <c r="M3112" i="24"/>
  <c r="P3112" i="24"/>
  <c r="Q3112" i="24"/>
  <c r="V3112" i="24"/>
  <c r="B3113" i="24"/>
  <c r="M3113" i="24"/>
  <c r="P3113" i="24"/>
  <c r="Q3113" i="24"/>
  <c r="V3113" i="24"/>
  <c r="B3114" i="24"/>
  <c r="M3114" i="24"/>
  <c r="P3114" i="24"/>
  <c r="Q3114" i="24"/>
  <c r="V3114" i="24"/>
  <c r="B3115" i="24"/>
  <c r="M3115" i="24"/>
  <c r="P3115" i="24"/>
  <c r="Q3115" i="24"/>
  <c r="V3115" i="24"/>
  <c r="B3116" i="24"/>
  <c r="M3116" i="24"/>
  <c r="P3116" i="24"/>
  <c r="Q3116" i="24"/>
  <c r="V3116" i="24"/>
  <c r="B3117" i="24"/>
  <c r="M3117" i="24"/>
  <c r="P3117" i="24"/>
  <c r="Q3117" i="24"/>
  <c r="V3117" i="24"/>
  <c r="B3118" i="24"/>
  <c r="M3118" i="24"/>
  <c r="P3118" i="24"/>
  <c r="Q3118" i="24"/>
  <c r="V3118" i="24"/>
  <c r="B3119" i="24"/>
  <c r="M3119" i="24"/>
  <c r="P3119" i="24"/>
  <c r="Q3119" i="24"/>
  <c r="V3119" i="24"/>
  <c r="B3120" i="24"/>
  <c r="M3120" i="24"/>
  <c r="P3120" i="24"/>
  <c r="Q3120" i="24"/>
  <c r="V3120" i="24"/>
  <c r="B3121" i="24"/>
  <c r="M3121" i="24"/>
  <c r="P3121" i="24"/>
  <c r="Q3121" i="24"/>
  <c r="V3121" i="24"/>
  <c r="B3122" i="24"/>
  <c r="M3122" i="24"/>
  <c r="P3122" i="24"/>
  <c r="Q3122" i="24"/>
  <c r="V3122" i="24"/>
  <c r="B3123" i="24"/>
  <c r="M3123" i="24"/>
  <c r="P3123" i="24"/>
  <c r="Q3123" i="24"/>
  <c r="V3123" i="24"/>
  <c r="B3124" i="24"/>
  <c r="M3124" i="24"/>
  <c r="P3124" i="24"/>
  <c r="Q3124" i="24"/>
  <c r="V3124" i="24"/>
  <c r="B3125" i="24"/>
  <c r="M3125" i="24"/>
  <c r="P3125" i="24"/>
  <c r="Q3125" i="24"/>
  <c r="V3125" i="24"/>
  <c r="B3126" i="24"/>
  <c r="M3126" i="24"/>
  <c r="P3126" i="24"/>
  <c r="Q3126" i="24"/>
  <c r="V3126" i="24"/>
  <c r="B3127" i="24"/>
  <c r="M3127" i="24"/>
  <c r="P3127" i="24"/>
  <c r="Q3127" i="24"/>
  <c r="V3127" i="24"/>
  <c r="B3128" i="24"/>
  <c r="M3128" i="24"/>
  <c r="P3128" i="24"/>
  <c r="Q3128" i="24"/>
  <c r="V3128" i="24"/>
  <c r="B3129" i="24"/>
  <c r="M3129" i="24"/>
  <c r="P3129" i="24"/>
  <c r="Q3129" i="24"/>
  <c r="V3129" i="24"/>
  <c r="B3130" i="24"/>
  <c r="M3130" i="24"/>
  <c r="P3130" i="24"/>
  <c r="Q3130" i="24"/>
  <c r="V3130" i="24"/>
  <c r="B3131" i="24"/>
  <c r="M3131" i="24"/>
  <c r="P3131" i="24"/>
  <c r="Q3131" i="24"/>
  <c r="V3131" i="24"/>
  <c r="B3132" i="24"/>
  <c r="M3132" i="24"/>
  <c r="P3132" i="24"/>
  <c r="Q3132" i="24"/>
  <c r="V3132" i="24"/>
  <c r="B3133" i="24"/>
  <c r="M3133" i="24"/>
  <c r="P3133" i="24"/>
  <c r="Q3133" i="24"/>
  <c r="V3133" i="24"/>
  <c r="B3134" i="24"/>
  <c r="M3134" i="24"/>
  <c r="P3134" i="24"/>
  <c r="Q3134" i="24"/>
  <c r="V3134" i="24"/>
  <c r="B3135" i="24"/>
  <c r="M3135" i="24"/>
  <c r="P3135" i="24"/>
  <c r="Q3135" i="24"/>
  <c r="V3135" i="24"/>
  <c r="B3136" i="24"/>
  <c r="M3136" i="24"/>
  <c r="P3136" i="24"/>
  <c r="Q3136" i="24"/>
  <c r="V3136" i="24"/>
  <c r="B3137" i="24"/>
  <c r="M3137" i="24"/>
  <c r="P3137" i="24"/>
  <c r="Q3137" i="24"/>
  <c r="V3137" i="24"/>
  <c r="B3138" i="24"/>
  <c r="M3138" i="24"/>
  <c r="P3138" i="24"/>
  <c r="Q3138" i="24"/>
  <c r="V3138" i="24"/>
  <c r="B3139" i="24"/>
  <c r="M3139" i="24"/>
  <c r="P3139" i="24"/>
  <c r="Q3139" i="24"/>
  <c r="V3139" i="24"/>
  <c r="B3140" i="24"/>
  <c r="M3140" i="24"/>
  <c r="P3140" i="24"/>
  <c r="Q3140" i="24"/>
  <c r="V3140" i="24"/>
  <c r="B3141" i="24"/>
  <c r="M3141" i="24"/>
  <c r="P3141" i="24"/>
  <c r="Q3141" i="24"/>
  <c r="V3141" i="24"/>
  <c r="B3142" i="24"/>
  <c r="M3142" i="24"/>
  <c r="P3142" i="24"/>
  <c r="Q3142" i="24"/>
  <c r="V3142" i="24"/>
  <c r="B3143" i="24"/>
  <c r="M3143" i="24"/>
  <c r="P3143" i="24"/>
  <c r="Q3143" i="24"/>
  <c r="V3143" i="24"/>
  <c r="B3144" i="24"/>
  <c r="M3144" i="24"/>
  <c r="P3144" i="24"/>
  <c r="Q3144" i="24"/>
  <c r="V3144" i="24"/>
  <c r="B3145" i="24"/>
  <c r="M3145" i="24"/>
  <c r="P3145" i="24"/>
  <c r="Q3145" i="24"/>
  <c r="V3145" i="24"/>
  <c r="B3146" i="24"/>
  <c r="M3146" i="24"/>
  <c r="P3146" i="24"/>
  <c r="Q3146" i="24"/>
  <c r="V3146" i="24"/>
  <c r="B3147" i="24"/>
  <c r="M3147" i="24"/>
  <c r="P3147" i="24"/>
  <c r="Q3147" i="24"/>
  <c r="V3147" i="24"/>
  <c r="B3148" i="24"/>
  <c r="M3148" i="24"/>
  <c r="P3148" i="24"/>
  <c r="Q3148" i="24"/>
  <c r="V3148" i="24"/>
  <c r="B3149" i="24"/>
  <c r="M3149" i="24"/>
  <c r="P3149" i="24"/>
  <c r="Q3149" i="24"/>
  <c r="V3149" i="24"/>
  <c r="B3150" i="24"/>
  <c r="M3150" i="24"/>
  <c r="P3150" i="24"/>
  <c r="Q3150" i="24"/>
  <c r="V3150" i="24"/>
  <c r="B3151" i="24"/>
  <c r="M3151" i="24"/>
  <c r="P3151" i="24"/>
  <c r="Q3151" i="24"/>
  <c r="V3151" i="24"/>
  <c r="B3152" i="24"/>
  <c r="M3152" i="24"/>
  <c r="P3152" i="24"/>
  <c r="Q3152" i="24"/>
  <c r="V3152" i="24"/>
  <c r="B3153" i="24"/>
  <c r="M3153" i="24"/>
  <c r="P3153" i="24"/>
  <c r="Q3153" i="24"/>
  <c r="V3153" i="24"/>
  <c r="B3154" i="24"/>
  <c r="M3154" i="24"/>
  <c r="P3154" i="24"/>
  <c r="Q3154" i="24"/>
  <c r="V3154" i="24"/>
  <c r="B3155" i="24"/>
  <c r="M3155" i="24"/>
  <c r="P3155" i="24"/>
  <c r="Q3155" i="24"/>
  <c r="V3155" i="24"/>
  <c r="B3156" i="24"/>
  <c r="M3156" i="24"/>
  <c r="P3156" i="24"/>
  <c r="Q3156" i="24"/>
  <c r="V3156" i="24"/>
  <c r="B3157" i="24"/>
  <c r="M3157" i="24"/>
  <c r="P3157" i="24"/>
  <c r="Q3157" i="24"/>
  <c r="V3157" i="24"/>
  <c r="B3158" i="24"/>
  <c r="M3158" i="24"/>
  <c r="P3158" i="24"/>
  <c r="Q3158" i="24"/>
  <c r="V3158" i="24"/>
  <c r="B3159" i="24"/>
  <c r="M3159" i="24"/>
  <c r="P3159" i="24"/>
  <c r="Q3159" i="24"/>
  <c r="V3159" i="24"/>
  <c r="B3160" i="24"/>
  <c r="M3160" i="24"/>
  <c r="P3160" i="24"/>
  <c r="Q3160" i="24"/>
  <c r="V3160" i="24"/>
  <c r="B3161" i="24"/>
  <c r="M3161" i="24"/>
  <c r="P3161" i="24"/>
  <c r="Q3161" i="24"/>
  <c r="V3161" i="24"/>
  <c r="B3162" i="24"/>
  <c r="M3162" i="24"/>
  <c r="P3162" i="24"/>
  <c r="Q3162" i="24"/>
  <c r="V3162" i="24"/>
  <c r="B3163" i="24"/>
  <c r="M3163" i="24"/>
  <c r="P3163" i="24"/>
  <c r="Q3163" i="24"/>
  <c r="V3163" i="24"/>
  <c r="B3164" i="24"/>
  <c r="M3164" i="24"/>
  <c r="P3164" i="24"/>
  <c r="Q3164" i="24"/>
  <c r="V3164" i="24"/>
  <c r="B3165" i="24"/>
  <c r="M3165" i="24"/>
  <c r="P3165" i="24"/>
  <c r="Q3165" i="24"/>
  <c r="V3165" i="24"/>
  <c r="B3166" i="24"/>
  <c r="M3166" i="24"/>
  <c r="P3166" i="24"/>
  <c r="Q3166" i="24"/>
  <c r="V3166" i="24"/>
  <c r="B3167" i="24"/>
  <c r="M3167" i="24"/>
  <c r="P3167" i="24"/>
  <c r="Q3167" i="24"/>
  <c r="V3167" i="24"/>
  <c r="B3168" i="24"/>
  <c r="M3168" i="24"/>
  <c r="P3168" i="24"/>
  <c r="Q3168" i="24"/>
  <c r="V3168" i="24"/>
  <c r="B3169" i="24"/>
  <c r="M3169" i="24"/>
  <c r="P3169" i="24"/>
  <c r="Q3169" i="24"/>
  <c r="V3169" i="24"/>
  <c r="B3170" i="24"/>
  <c r="M3170" i="24"/>
  <c r="P3170" i="24"/>
  <c r="Q3170" i="24"/>
  <c r="V3170" i="24"/>
  <c r="B3171" i="24"/>
  <c r="M3171" i="24"/>
  <c r="P3171" i="24"/>
  <c r="Q3171" i="24"/>
  <c r="V3171" i="24"/>
  <c r="B3172" i="24"/>
  <c r="M3172" i="24"/>
  <c r="P3172" i="24"/>
  <c r="Q3172" i="24"/>
  <c r="V3172" i="24"/>
  <c r="B3173" i="24"/>
  <c r="M3173" i="24"/>
  <c r="P3173" i="24"/>
  <c r="Q3173" i="24"/>
  <c r="V3173" i="24"/>
  <c r="B3174" i="24"/>
  <c r="M3174" i="24"/>
  <c r="P3174" i="24"/>
  <c r="Q3174" i="24"/>
  <c r="V3174" i="24"/>
  <c r="B3175" i="24"/>
  <c r="M3175" i="24"/>
  <c r="P3175" i="24"/>
  <c r="Q3175" i="24"/>
  <c r="V3175" i="24"/>
  <c r="B3176" i="24"/>
  <c r="M3176" i="24"/>
  <c r="P3176" i="24"/>
  <c r="Q3176" i="24"/>
  <c r="V3176" i="24"/>
  <c r="B3177" i="24"/>
  <c r="M3177" i="24"/>
  <c r="P3177" i="24"/>
  <c r="Q3177" i="24"/>
  <c r="V3177" i="24"/>
  <c r="B3178" i="24"/>
  <c r="M3178" i="24"/>
  <c r="P3178" i="24"/>
  <c r="Q3178" i="24"/>
  <c r="V3178" i="24"/>
  <c r="B3179" i="24"/>
  <c r="M3179" i="24"/>
  <c r="P3179" i="24"/>
  <c r="Q3179" i="24"/>
  <c r="V3179" i="24"/>
  <c r="B3180" i="24"/>
  <c r="M3180" i="24"/>
  <c r="P3180" i="24"/>
  <c r="Q3180" i="24"/>
  <c r="V3180" i="24"/>
  <c r="B3181" i="24"/>
  <c r="M3181" i="24"/>
  <c r="P3181" i="24"/>
  <c r="Q3181" i="24"/>
  <c r="V3181" i="24"/>
  <c r="B3182" i="24"/>
  <c r="M3182" i="24"/>
  <c r="P3182" i="24"/>
  <c r="Q3182" i="24"/>
  <c r="V3182" i="24"/>
  <c r="B3183" i="24"/>
  <c r="M3183" i="24"/>
  <c r="P3183" i="24"/>
  <c r="Q3183" i="24"/>
  <c r="V3183" i="24"/>
  <c r="B3184" i="24"/>
  <c r="M3184" i="24"/>
  <c r="P3184" i="24"/>
  <c r="Q3184" i="24"/>
  <c r="V3184" i="24"/>
  <c r="B3185" i="24"/>
  <c r="M3185" i="24"/>
  <c r="P3185" i="24"/>
  <c r="Q3185" i="24"/>
  <c r="V3185" i="24"/>
  <c r="B3186" i="24"/>
  <c r="M3186" i="24"/>
  <c r="P3186" i="24"/>
  <c r="Q3186" i="24"/>
  <c r="V3186" i="24"/>
  <c r="B3187" i="24"/>
  <c r="M3187" i="24"/>
  <c r="P3187" i="24"/>
  <c r="Q3187" i="24"/>
  <c r="V3187" i="24"/>
  <c r="B3188" i="24"/>
  <c r="M3188" i="24"/>
  <c r="P3188" i="24"/>
  <c r="Q3188" i="24"/>
  <c r="V3188" i="24"/>
  <c r="B3189" i="24"/>
  <c r="M3189" i="24"/>
  <c r="P3189" i="24"/>
  <c r="Q3189" i="24"/>
  <c r="V3189" i="24"/>
  <c r="B3190" i="24"/>
  <c r="M3190" i="24"/>
  <c r="P3190" i="24"/>
  <c r="Q3190" i="24"/>
  <c r="V3190" i="24"/>
  <c r="B3191" i="24"/>
  <c r="M3191" i="24"/>
  <c r="P3191" i="24"/>
  <c r="Q3191" i="24"/>
  <c r="V3191" i="24"/>
  <c r="B3192" i="24"/>
  <c r="M3192" i="24"/>
  <c r="P3192" i="24"/>
  <c r="Q3192" i="24"/>
  <c r="V3192" i="24"/>
  <c r="B3193" i="24"/>
  <c r="M3193" i="24"/>
  <c r="P3193" i="24"/>
  <c r="Q3193" i="24"/>
  <c r="V3193" i="24"/>
  <c r="B3194" i="24"/>
  <c r="M3194" i="24"/>
  <c r="P3194" i="24"/>
  <c r="Q3194" i="24"/>
  <c r="V3194" i="24"/>
  <c r="B3195" i="24"/>
  <c r="M3195" i="24"/>
  <c r="P3195" i="24"/>
  <c r="Q3195" i="24"/>
  <c r="V3195" i="24"/>
  <c r="B3196" i="24"/>
  <c r="M3196" i="24"/>
  <c r="P3196" i="24"/>
  <c r="Q3196" i="24"/>
  <c r="V3196" i="24"/>
  <c r="B3197" i="24"/>
  <c r="M3197" i="24"/>
  <c r="P3197" i="24"/>
  <c r="Q3197" i="24"/>
  <c r="V3197" i="24"/>
  <c r="B3198" i="24"/>
  <c r="M3198" i="24"/>
  <c r="P3198" i="24"/>
  <c r="Q3198" i="24"/>
  <c r="V3198" i="24"/>
  <c r="B3199" i="24"/>
  <c r="M3199" i="24"/>
  <c r="P3199" i="24"/>
  <c r="Q3199" i="24"/>
  <c r="V3199" i="24"/>
  <c r="B3200" i="24"/>
  <c r="M3200" i="24"/>
  <c r="P3200" i="24"/>
  <c r="Q3200" i="24"/>
  <c r="V3200" i="24"/>
  <c r="B3201" i="24"/>
  <c r="M3201" i="24"/>
  <c r="P3201" i="24"/>
  <c r="Q3201" i="24"/>
  <c r="V3201" i="24"/>
  <c r="B3202" i="24"/>
  <c r="M3202" i="24"/>
  <c r="P3202" i="24"/>
  <c r="Q3202" i="24"/>
  <c r="V3202" i="24"/>
  <c r="B3203" i="24"/>
  <c r="M3203" i="24"/>
  <c r="P3203" i="24"/>
  <c r="Q3203" i="24"/>
  <c r="V3203" i="24"/>
  <c r="B3204" i="24"/>
  <c r="M3204" i="24"/>
  <c r="P3204" i="24"/>
  <c r="Q3204" i="24"/>
  <c r="V3204" i="24"/>
  <c r="B3205" i="24"/>
  <c r="M3205" i="24"/>
  <c r="P3205" i="24"/>
  <c r="Q3205" i="24"/>
  <c r="V3205" i="24"/>
  <c r="B3206" i="24"/>
  <c r="M3206" i="24"/>
  <c r="P3206" i="24"/>
  <c r="Q3206" i="24"/>
  <c r="V3206" i="24"/>
  <c r="B3207" i="24"/>
  <c r="M3207" i="24"/>
  <c r="P3207" i="24"/>
  <c r="Q3207" i="24"/>
  <c r="V3207" i="24"/>
  <c r="B3208" i="24"/>
  <c r="M3208" i="24"/>
  <c r="P3208" i="24"/>
  <c r="Q3208" i="24"/>
  <c r="V3208" i="24"/>
  <c r="B3209" i="24"/>
  <c r="M3209" i="24"/>
  <c r="P3209" i="24"/>
  <c r="Q3209" i="24"/>
  <c r="V3209" i="24"/>
  <c r="B3210" i="24"/>
  <c r="M3210" i="24"/>
  <c r="P3210" i="24"/>
  <c r="Q3210" i="24"/>
  <c r="V3210" i="24"/>
  <c r="B3211" i="24"/>
  <c r="M3211" i="24"/>
  <c r="P3211" i="24"/>
  <c r="Q3211" i="24"/>
  <c r="V3211" i="24"/>
  <c r="B3212" i="24"/>
  <c r="M3212" i="24"/>
  <c r="P3212" i="24"/>
  <c r="Q3212" i="24"/>
  <c r="V3212" i="24"/>
  <c r="B3213" i="24"/>
  <c r="M3213" i="24"/>
  <c r="P3213" i="24"/>
  <c r="Q3213" i="24"/>
  <c r="V3213" i="24"/>
  <c r="B3214" i="24"/>
  <c r="M3214" i="24"/>
  <c r="P3214" i="24"/>
  <c r="Q3214" i="24"/>
  <c r="V3214" i="24"/>
  <c r="B3215" i="24"/>
  <c r="M3215" i="24"/>
  <c r="P3215" i="24"/>
  <c r="Q3215" i="24"/>
  <c r="V3215" i="24"/>
  <c r="B3216" i="24"/>
  <c r="M3216" i="24"/>
  <c r="P3216" i="24"/>
  <c r="Q3216" i="24"/>
  <c r="V3216" i="24"/>
  <c r="B3217" i="24"/>
  <c r="M3217" i="24"/>
  <c r="P3217" i="24"/>
  <c r="Q3217" i="24"/>
  <c r="V3217" i="24"/>
  <c r="B3218" i="24"/>
  <c r="M3218" i="24"/>
  <c r="P3218" i="24"/>
  <c r="Q3218" i="24"/>
  <c r="V3218" i="24"/>
  <c r="B3219" i="24"/>
  <c r="M3219" i="24"/>
  <c r="P3219" i="24"/>
  <c r="Q3219" i="24"/>
  <c r="V3219" i="24"/>
  <c r="B3220" i="24"/>
  <c r="M3220" i="24"/>
  <c r="P3220" i="24"/>
  <c r="Q3220" i="24"/>
  <c r="V3220" i="24"/>
  <c r="B3221" i="24"/>
  <c r="M3221" i="24"/>
  <c r="P3221" i="24"/>
  <c r="Q3221" i="24"/>
  <c r="V3221" i="24"/>
  <c r="B3222" i="24"/>
  <c r="M3222" i="24"/>
  <c r="P3222" i="24"/>
  <c r="Q3222" i="24"/>
  <c r="V3222" i="24"/>
  <c r="B3223" i="24"/>
  <c r="M3223" i="24"/>
  <c r="P3223" i="24"/>
  <c r="Q3223" i="24"/>
  <c r="V3223" i="24"/>
  <c r="B3224" i="24"/>
  <c r="M3224" i="24"/>
  <c r="P3224" i="24"/>
  <c r="Q3224" i="24"/>
  <c r="V3224" i="24"/>
  <c r="B3225" i="24"/>
  <c r="M3225" i="24"/>
  <c r="P3225" i="24"/>
  <c r="Q3225" i="24"/>
  <c r="V3225" i="24"/>
  <c r="B3226" i="24"/>
  <c r="M3226" i="24"/>
  <c r="P3226" i="24"/>
  <c r="Q3226" i="24"/>
  <c r="V3226" i="24"/>
  <c r="B3227" i="24"/>
  <c r="M3227" i="24"/>
  <c r="P3227" i="24"/>
  <c r="Q3227" i="24"/>
  <c r="V3227" i="24"/>
  <c r="B3228" i="24"/>
  <c r="M3228" i="24"/>
  <c r="P3228" i="24"/>
  <c r="Q3228" i="24"/>
  <c r="V3228" i="24"/>
  <c r="B3229" i="24"/>
  <c r="M3229" i="24"/>
  <c r="P3229" i="24"/>
  <c r="Q3229" i="24"/>
  <c r="V3229" i="24"/>
  <c r="B3230" i="24"/>
  <c r="M3230" i="24"/>
  <c r="P3230" i="24"/>
  <c r="Q3230" i="24"/>
  <c r="V3230" i="24"/>
  <c r="B3231" i="24"/>
  <c r="M3231" i="24"/>
  <c r="P3231" i="24"/>
  <c r="Q3231" i="24"/>
  <c r="V3231" i="24"/>
  <c r="B3232" i="24"/>
  <c r="M3232" i="24"/>
  <c r="P3232" i="24"/>
  <c r="Q3232" i="24"/>
  <c r="V3232" i="24"/>
  <c r="B3233" i="24"/>
  <c r="M3233" i="24"/>
  <c r="P3233" i="24"/>
  <c r="Q3233" i="24"/>
  <c r="V3233" i="24"/>
  <c r="B3234" i="24"/>
  <c r="M3234" i="24"/>
  <c r="P3234" i="24"/>
  <c r="Q3234" i="24"/>
  <c r="V3234" i="24"/>
  <c r="B3235" i="24"/>
  <c r="M3235" i="24"/>
  <c r="P3235" i="24"/>
  <c r="Q3235" i="24"/>
  <c r="V3235" i="24"/>
  <c r="B3236" i="24"/>
  <c r="M3236" i="24"/>
  <c r="P3236" i="24"/>
  <c r="Q3236" i="24"/>
  <c r="V3236" i="24"/>
  <c r="B3237" i="24"/>
  <c r="M3237" i="24"/>
  <c r="P3237" i="24"/>
  <c r="Q3237" i="24"/>
  <c r="V3237" i="24"/>
  <c r="B3238" i="24"/>
  <c r="M3238" i="24"/>
  <c r="P3238" i="24"/>
  <c r="Q3238" i="24"/>
  <c r="V3238" i="24"/>
  <c r="B3239" i="24"/>
  <c r="M3239" i="24"/>
  <c r="P3239" i="24"/>
  <c r="Q3239" i="24"/>
  <c r="V3239" i="24"/>
  <c r="B3240" i="24"/>
  <c r="M3240" i="24"/>
  <c r="P3240" i="24"/>
  <c r="Q3240" i="24"/>
  <c r="V3240" i="24"/>
  <c r="B3241" i="24"/>
  <c r="M3241" i="24"/>
  <c r="P3241" i="24"/>
  <c r="Q3241" i="24"/>
  <c r="V3241" i="24"/>
  <c r="B3242" i="24"/>
  <c r="M3242" i="24"/>
  <c r="P3242" i="24"/>
  <c r="Q3242" i="24"/>
  <c r="V3242" i="24"/>
  <c r="B3243" i="24"/>
  <c r="M3243" i="24"/>
  <c r="P3243" i="24"/>
  <c r="Q3243" i="24"/>
  <c r="V3243" i="24"/>
  <c r="B3244" i="24"/>
  <c r="M3244" i="24"/>
  <c r="P3244" i="24"/>
  <c r="Q3244" i="24"/>
  <c r="V3244" i="24"/>
  <c r="B3245" i="24"/>
  <c r="M3245" i="24"/>
  <c r="P3245" i="24"/>
  <c r="Q3245" i="24"/>
  <c r="V3245" i="24"/>
  <c r="B3246" i="24"/>
  <c r="M3246" i="24"/>
  <c r="P3246" i="24"/>
  <c r="Q3246" i="24"/>
  <c r="V3246" i="24"/>
  <c r="B3247" i="24"/>
  <c r="M3247" i="24"/>
  <c r="P3247" i="24"/>
  <c r="Q3247" i="24"/>
  <c r="V3247" i="24"/>
  <c r="B3248" i="24"/>
  <c r="M3248" i="24"/>
  <c r="P3248" i="24"/>
  <c r="Q3248" i="24"/>
  <c r="V3248" i="24"/>
  <c r="B3249" i="24"/>
  <c r="M3249" i="24"/>
  <c r="P3249" i="24"/>
  <c r="Q3249" i="24"/>
  <c r="V3249" i="24"/>
  <c r="B3250" i="24"/>
  <c r="M3250" i="24"/>
  <c r="P3250" i="24"/>
  <c r="Q3250" i="24"/>
  <c r="V3250" i="24"/>
  <c r="B3251" i="24"/>
  <c r="M3251" i="24"/>
  <c r="P3251" i="24"/>
  <c r="Q3251" i="24"/>
  <c r="V3251" i="24"/>
  <c r="B3252" i="24"/>
  <c r="M3252" i="24"/>
  <c r="P3252" i="24"/>
  <c r="Q3252" i="24"/>
  <c r="V3252" i="24"/>
  <c r="B3253" i="24"/>
  <c r="M3253" i="24"/>
  <c r="P3253" i="24"/>
  <c r="Q3253" i="24"/>
  <c r="V3253" i="24"/>
  <c r="B3254" i="24"/>
  <c r="M3254" i="24"/>
  <c r="P3254" i="24"/>
  <c r="Q3254" i="24"/>
  <c r="V3254" i="24"/>
  <c r="B3255" i="24"/>
  <c r="M3255" i="24"/>
  <c r="P3255" i="24"/>
  <c r="Q3255" i="24"/>
  <c r="V3255" i="24"/>
  <c r="B3256" i="24"/>
  <c r="M3256" i="24"/>
  <c r="P3256" i="24"/>
  <c r="Q3256" i="24"/>
  <c r="V3256" i="24"/>
  <c r="B3257" i="24"/>
  <c r="M3257" i="24"/>
  <c r="P3257" i="24"/>
  <c r="Q3257" i="24"/>
  <c r="V3257" i="24"/>
  <c r="B3258" i="24"/>
  <c r="M3258" i="24"/>
  <c r="P3258" i="24"/>
  <c r="Q3258" i="24"/>
  <c r="V3258" i="24"/>
  <c r="B3259" i="24"/>
  <c r="M3259" i="24"/>
  <c r="P3259" i="24"/>
  <c r="Q3259" i="24"/>
  <c r="V3259" i="24"/>
  <c r="B3260" i="24"/>
  <c r="M3260" i="24"/>
  <c r="P3260" i="24"/>
  <c r="Q3260" i="24"/>
  <c r="V3260" i="24"/>
  <c r="B3261" i="24"/>
  <c r="M3261" i="24"/>
  <c r="P3261" i="24"/>
  <c r="Q3261" i="24"/>
  <c r="V3261" i="24"/>
  <c r="B3262" i="24"/>
  <c r="M3262" i="24"/>
  <c r="P3262" i="24"/>
  <c r="Q3262" i="24"/>
  <c r="V3262" i="24"/>
  <c r="B3263" i="24"/>
  <c r="M3263" i="24"/>
  <c r="P3263" i="24"/>
  <c r="Q3263" i="24"/>
  <c r="V3263" i="24"/>
  <c r="B3264" i="24"/>
  <c r="M3264" i="24"/>
  <c r="P3264" i="24"/>
  <c r="Q3264" i="24"/>
  <c r="V3264" i="24"/>
  <c r="B3265" i="24"/>
  <c r="M3265" i="24"/>
  <c r="P3265" i="24"/>
  <c r="Q3265" i="24"/>
  <c r="V3265" i="24"/>
  <c r="B3266" i="24"/>
  <c r="M3266" i="24"/>
  <c r="P3266" i="24"/>
  <c r="Q3266" i="24"/>
  <c r="V3266" i="24"/>
  <c r="B3267" i="24"/>
  <c r="M3267" i="24"/>
  <c r="P3267" i="24"/>
  <c r="Q3267" i="24"/>
  <c r="V3267" i="24"/>
  <c r="B3268" i="24"/>
  <c r="M3268" i="24"/>
  <c r="P3268" i="24"/>
  <c r="Q3268" i="24"/>
  <c r="V3268" i="24"/>
  <c r="B3269" i="24"/>
  <c r="M3269" i="24"/>
  <c r="P3269" i="24"/>
  <c r="Q3269" i="24"/>
  <c r="V3269" i="24"/>
  <c r="B3270" i="24"/>
  <c r="M3270" i="24"/>
  <c r="P3270" i="24"/>
  <c r="Q3270" i="24"/>
  <c r="V3270" i="24"/>
  <c r="B3271" i="24"/>
  <c r="M3271" i="24"/>
  <c r="P3271" i="24"/>
  <c r="Q3271" i="24"/>
  <c r="V3271" i="24"/>
  <c r="B3272" i="24"/>
  <c r="M3272" i="24"/>
  <c r="P3272" i="24"/>
  <c r="Q3272" i="24"/>
  <c r="V3272" i="24"/>
  <c r="B3273" i="24"/>
  <c r="M3273" i="24"/>
  <c r="P3273" i="24"/>
  <c r="Q3273" i="24"/>
  <c r="V3273" i="24"/>
  <c r="B3274" i="24"/>
  <c r="M3274" i="24"/>
  <c r="P3274" i="24"/>
  <c r="Q3274" i="24"/>
  <c r="V3274" i="24"/>
  <c r="B3275" i="24"/>
  <c r="M3275" i="24"/>
  <c r="P3275" i="24"/>
  <c r="Q3275" i="24"/>
  <c r="V3275" i="24"/>
  <c r="B3276" i="24"/>
  <c r="M3276" i="24"/>
  <c r="P3276" i="24"/>
  <c r="Q3276" i="24"/>
  <c r="V3276" i="24"/>
  <c r="B3277" i="24"/>
  <c r="M3277" i="24"/>
  <c r="P3277" i="24"/>
  <c r="Q3277" i="24"/>
  <c r="V3277" i="24"/>
  <c r="B3278" i="24"/>
  <c r="M3278" i="24"/>
  <c r="P3278" i="24"/>
  <c r="Q3278" i="24"/>
  <c r="V3278" i="24"/>
  <c r="B3279" i="24"/>
  <c r="M3279" i="24"/>
  <c r="P3279" i="24"/>
  <c r="Q3279" i="24"/>
  <c r="V3279" i="24"/>
  <c r="B3280" i="24"/>
  <c r="M3280" i="24"/>
  <c r="P3280" i="24"/>
  <c r="Q3280" i="24"/>
  <c r="V3280" i="24"/>
  <c r="B3281" i="24"/>
  <c r="M3281" i="24"/>
  <c r="P3281" i="24"/>
  <c r="Q3281" i="24"/>
  <c r="V3281" i="24"/>
  <c r="B3282" i="24"/>
  <c r="M3282" i="24"/>
  <c r="P3282" i="24"/>
  <c r="Q3282" i="24"/>
  <c r="V3282" i="24"/>
  <c r="B3283" i="24"/>
  <c r="M3283" i="24"/>
  <c r="P3283" i="24"/>
  <c r="Q3283" i="24"/>
  <c r="V3283" i="24"/>
  <c r="B3284" i="24"/>
  <c r="M3284" i="24"/>
  <c r="P3284" i="24"/>
  <c r="Q3284" i="24"/>
  <c r="V3284" i="24"/>
  <c r="B3285" i="24"/>
  <c r="M3285" i="24"/>
  <c r="P3285" i="24"/>
  <c r="Q3285" i="24"/>
  <c r="V3285" i="24"/>
  <c r="B3286" i="24"/>
  <c r="M3286" i="24"/>
  <c r="P3286" i="24"/>
  <c r="Q3286" i="24"/>
  <c r="V3286" i="24"/>
  <c r="B3287" i="24"/>
  <c r="M3287" i="24"/>
  <c r="P3287" i="24"/>
  <c r="Q3287" i="24"/>
  <c r="V3287" i="24"/>
  <c r="B3288" i="24"/>
  <c r="M3288" i="24"/>
  <c r="P3288" i="24"/>
  <c r="Q3288" i="24"/>
  <c r="V3288" i="24"/>
  <c r="B3289" i="24"/>
  <c r="M3289" i="24"/>
  <c r="P3289" i="24"/>
  <c r="Q3289" i="24"/>
  <c r="V3289" i="24"/>
  <c r="B3290" i="24"/>
  <c r="M3290" i="24"/>
  <c r="P3290" i="24"/>
  <c r="Q3290" i="24"/>
  <c r="V3290" i="24"/>
  <c r="B3291" i="24"/>
  <c r="M3291" i="24"/>
  <c r="P3291" i="24"/>
  <c r="Q3291" i="24"/>
  <c r="V3291" i="24"/>
  <c r="B3292" i="24"/>
  <c r="M3292" i="24"/>
  <c r="P3292" i="24"/>
  <c r="Q3292" i="24"/>
  <c r="V3292" i="24"/>
  <c r="B3293" i="24"/>
  <c r="M3293" i="24"/>
  <c r="P3293" i="24"/>
  <c r="Q3293" i="24"/>
  <c r="V3293" i="24"/>
  <c r="B3294" i="24"/>
  <c r="M3294" i="24"/>
  <c r="P3294" i="24"/>
  <c r="Q3294" i="24"/>
  <c r="V3294" i="24"/>
  <c r="B3295" i="24"/>
  <c r="M3295" i="24"/>
  <c r="P3295" i="24"/>
  <c r="Q3295" i="24"/>
  <c r="V3295" i="24"/>
  <c r="B3296" i="24"/>
  <c r="M3296" i="24"/>
  <c r="P3296" i="24"/>
  <c r="Q3296" i="24"/>
  <c r="V3296" i="24"/>
  <c r="B3297" i="24"/>
  <c r="M3297" i="24"/>
  <c r="P3297" i="24"/>
  <c r="Q3297" i="24"/>
  <c r="V3297" i="24"/>
  <c r="B3298" i="24"/>
  <c r="M3298" i="24"/>
  <c r="P3298" i="24"/>
  <c r="Q3298" i="24"/>
  <c r="V3298" i="24"/>
  <c r="B3299" i="24"/>
  <c r="M3299" i="24"/>
  <c r="P3299" i="24"/>
  <c r="Q3299" i="24"/>
  <c r="V3299" i="24"/>
  <c r="B3300" i="24"/>
  <c r="M3300" i="24"/>
  <c r="P3300" i="24"/>
  <c r="Q3300" i="24"/>
  <c r="V3300" i="24"/>
  <c r="B3301" i="24"/>
  <c r="M3301" i="24"/>
  <c r="P3301" i="24"/>
  <c r="Q3301" i="24"/>
  <c r="V3301" i="24"/>
  <c r="B3302" i="24"/>
  <c r="M3302" i="24"/>
  <c r="P3302" i="24"/>
  <c r="Q3302" i="24"/>
  <c r="V3302" i="24"/>
  <c r="B3303" i="24"/>
  <c r="M3303" i="24"/>
  <c r="P3303" i="24"/>
  <c r="Q3303" i="24"/>
  <c r="V3303" i="24"/>
  <c r="B3304" i="24"/>
  <c r="M3304" i="24"/>
  <c r="P3304" i="24"/>
  <c r="Q3304" i="24"/>
  <c r="V3304" i="24"/>
  <c r="B3305" i="24"/>
  <c r="M3305" i="24"/>
  <c r="P3305" i="24"/>
  <c r="Q3305" i="24"/>
  <c r="V3305" i="24"/>
  <c r="B3306" i="24"/>
  <c r="M3306" i="24"/>
  <c r="P3306" i="24"/>
  <c r="Q3306" i="24"/>
  <c r="V3306" i="24"/>
  <c r="B3307" i="24"/>
  <c r="M3307" i="24"/>
  <c r="P3307" i="24"/>
  <c r="Q3307" i="24"/>
  <c r="V3307" i="24"/>
  <c r="B3308" i="24"/>
  <c r="M3308" i="24"/>
  <c r="P3308" i="24"/>
  <c r="Q3308" i="24"/>
  <c r="V3308" i="24"/>
  <c r="B3309" i="24"/>
  <c r="M3309" i="24"/>
  <c r="P3309" i="24"/>
  <c r="Q3309" i="24"/>
  <c r="V3309" i="24"/>
  <c r="B3310" i="24"/>
  <c r="M3310" i="24"/>
  <c r="P3310" i="24"/>
  <c r="Q3310" i="24"/>
  <c r="V3310" i="24"/>
  <c r="B3311" i="24"/>
  <c r="M3311" i="24"/>
  <c r="P3311" i="24"/>
  <c r="Q3311" i="24"/>
  <c r="V3311" i="24"/>
  <c r="B3312" i="24"/>
  <c r="M3312" i="24"/>
  <c r="P3312" i="24"/>
  <c r="Q3312" i="24"/>
  <c r="V3312" i="24"/>
  <c r="B3313" i="24"/>
  <c r="M3313" i="24"/>
  <c r="P3313" i="24"/>
  <c r="Q3313" i="24"/>
  <c r="V3313" i="24"/>
  <c r="B3314" i="24"/>
  <c r="M3314" i="24"/>
  <c r="P3314" i="24"/>
  <c r="Q3314" i="24"/>
  <c r="V3314" i="24"/>
  <c r="B3315" i="24"/>
  <c r="M3315" i="24"/>
  <c r="P3315" i="24"/>
  <c r="Q3315" i="24"/>
  <c r="V3315" i="24"/>
  <c r="B3316" i="24"/>
  <c r="M3316" i="24"/>
  <c r="P3316" i="24"/>
  <c r="Q3316" i="24"/>
  <c r="V3316" i="24"/>
  <c r="B3317" i="24"/>
  <c r="M3317" i="24"/>
  <c r="P3317" i="24"/>
  <c r="Q3317" i="24"/>
  <c r="V3317" i="24"/>
  <c r="B3318" i="24"/>
  <c r="M3318" i="24"/>
  <c r="P3318" i="24"/>
  <c r="Q3318" i="24"/>
  <c r="V3318" i="24"/>
  <c r="B3319" i="24"/>
  <c r="M3319" i="24"/>
  <c r="P3319" i="24"/>
  <c r="Q3319" i="24"/>
  <c r="V3319" i="24"/>
  <c r="B3320" i="24"/>
  <c r="M3320" i="24"/>
  <c r="P3320" i="24"/>
  <c r="Q3320" i="24"/>
  <c r="V3320" i="24"/>
  <c r="B3321" i="24"/>
  <c r="M3321" i="24"/>
  <c r="P3321" i="24"/>
  <c r="Q3321" i="24"/>
  <c r="V3321" i="24"/>
  <c r="B3322" i="24"/>
  <c r="M3322" i="24"/>
  <c r="P3322" i="24"/>
  <c r="Q3322" i="24"/>
  <c r="V3322" i="24"/>
  <c r="B3323" i="24"/>
  <c r="M3323" i="24"/>
  <c r="P3323" i="24"/>
  <c r="Q3323" i="24"/>
  <c r="V3323" i="24"/>
  <c r="B3324" i="24"/>
  <c r="M3324" i="24"/>
  <c r="P3324" i="24"/>
  <c r="Q3324" i="24"/>
  <c r="V3324" i="24"/>
  <c r="B3325" i="24"/>
  <c r="M3325" i="24"/>
  <c r="P3325" i="24"/>
  <c r="Q3325" i="24"/>
  <c r="V3325" i="24"/>
  <c r="B3326" i="24"/>
  <c r="M3326" i="24"/>
  <c r="P3326" i="24"/>
  <c r="Q3326" i="24"/>
  <c r="V3326" i="24"/>
  <c r="B3327" i="24"/>
  <c r="M3327" i="24"/>
  <c r="P3327" i="24"/>
  <c r="Q3327" i="24"/>
  <c r="V3327" i="24"/>
  <c r="B3328" i="24"/>
  <c r="M3328" i="24"/>
  <c r="P3328" i="24"/>
  <c r="Q3328" i="24"/>
  <c r="V3328" i="24"/>
  <c r="B3329" i="24"/>
  <c r="M3329" i="24"/>
  <c r="P3329" i="24"/>
  <c r="Q3329" i="24"/>
  <c r="V3329" i="24"/>
  <c r="B3330" i="24"/>
  <c r="M3330" i="24"/>
  <c r="P3330" i="24"/>
  <c r="Q3330" i="24"/>
  <c r="V3330" i="24"/>
  <c r="B3331" i="24"/>
  <c r="M3331" i="24"/>
  <c r="P3331" i="24"/>
  <c r="Q3331" i="24"/>
  <c r="V3331" i="24"/>
  <c r="B3332" i="24"/>
  <c r="M3332" i="24"/>
  <c r="P3332" i="24"/>
  <c r="Q3332" i="24"/>
  <c r="V3332" i="24"/>
  <c r="B3333" i="24"/>
  <c r="M3333" i="24"/>
  <c r="P3333" i="24"/>
  <c r="Q3333" i="24"/>
  <c r="V3333" i="24"/>
  <c r="B3334" i="24"/>
  <c r="M3334" i="24"/>
  <c r="P3334" i="24"/>
  <c r="Q3334" i="24"/>
  <c r="V3334" i="24"/>
  <c r="B3335" i="24"/>
  <c r="M3335" i="24"/>
  <c r="P3335" i="24"/>
  <c r="Q3335" i="24"/>
  <c r="V3335" i="24"/>
  <c r="B3336" i="24"/>
  <c r="M3336" i="24"/>
  <c r="P3336" i="24"/>
  <c r="Q3336" i="24"/>
  <c r="V3336" i="24"/>
  <c r="B3337" i="24"/>
  <c r="M3337" i="24"/>
  <c r="P3337" i="24"/>
  <c r="Q3337" i="24"/>
  <c r="V3337" i="24"/>
  <c r="B3338" i="24"/>
  <c r="M3338" i="24"/>
  <c r="P3338" i="24"/>
  <c r="Q3338" i="24"/>
  <c r="V3338" i="24"/>
  <c r="B3339" i="24"/>
  <c r="M3339" i="24"/>
  <c r="P3339" i="24"/>
  <c r="Q3339" i="24"/>
  <c r="V3339" i="24"/>
  <c r="B3340" i="24"/>
  <c r="M3340" i="24"/>
  <c r="P3340" i="24"/>
  <c r="Q3340" i="24"/>
  <c r="V3340" i="24"/>
  <c r="B3341" i="24"/>
  <c r="M3341" i="24"/>
  <c r="P3341" i="24"/>
  <c r="Q3341" i="24"/>
  <c r="V3341" i="24"/>
  <c r="B3342" i="24"/>
  <c r="M3342" i="24"/>
  <c r="P3342" i="24"/>
  <c r="Q3342" i="24"/>
  <c r="V3342" i="24"/>
  <c r="B3343" i="24"/>
  <c r="M3343" i="24"/>
  <c r="P3343" i="24"/>
  <c r="Q3343" i="24"/>
  <c r="V3343" i="24"/>
  <c r="B3344" i="24"/>
  <c r="M3344" i="24"/>
  <c r="P3344" i="24"/>
  <c r="Q3344" i="24"/>
  <c r="V3344" i="24"/>
  <c r="B3345" i="24"/>
  <c r="M3345" i="24"/>
  <c r="P3345" i="24"/>
  <c r="Q3345" i="24"/>
  <c r="V3345" i="24"/>
  <c r="B3346" i="24"/>
  <c r="M3346" i="24"/>
  <c r="P3346" i="24"/>
  <c r="Q3346" i="24"/>
  <c r="V3346" i="24"/>
  <c r="B3347" i="24"/>
  <c r="M3347" i="24"/>
  <c r="P3347" i="24"/>
  <c r="Q3347" i="24"/>
  <c r="V3347" i="24"/>
  <c r="B3348" i="24"/>
  <c r="M3348" i="24"/>
  <c r="P3348" i="24"/>
  <c r="Q3348" i="24"/>
  <c r="V3348" i="24"/>
  <c r="B3349" i="24"/>
  <c r="M3349" i="24"/>
  <c r="P3349" i="24"/>
  <c r="Q3349" i="24"/>
  <c r="V3349" i="24"/>
  <c r="B3350" i="24"/>
  <c r="M3350" i="24"/>
  <c r="P3350" i="24"/>
  <c r="Q3350" i="24"/>
  <c r="V3350" i="24"/>
  <c r="B3351" i="24"/>
  <c r="M3351" i="24"/>
  <c r="P3351" i="24"/>
  <c r="Q3351" i="24"/>
  <c r="V3351" i="24"/>
  <c r="B3352" i="24"/>
  <c r="M3352" i="24"/>
  <c r="P3352" i="24"/>
  <c r="Q3352" i="24"/>
  <c r="V3352" i="24"/>
  <c r="B3353" i="24"/>
  <c r="M3353" i="24"/>
  <c r="P3353" i="24"/>
  <c r="Q3353" i="24"/>
  <c r="V3353" i="24"/>
  <c r="B3354" i="24"/>
  <c r="M3354" i="24"/>
  <c r="P3354" i="24"/>
  <c r="Q3354" i="24"/>
  <c r="V3354" i="24"/>
  <c r="B3355" i="24"/>
  <c r="M3355" i="24"/>
  <c r="P3355" i="24"/>
  <c r="Q3355" i="24"/>
  <c r="V3355" i="24"/>
  <c r="B3356" i="24"/>
  <c r="M3356" i="24"/>
  <c r="P3356" i="24"/>
  <c r="Q3356" i="24"/>
  <c r="V3356" i="24"/>
  <c r="B3357" i="24"/>
  <c r="M3357" i="24"/>
  <c r="P3357" i="24"/>
  <c r="Q3357" i="24"/>
  <c r="V3357" i="24"/>
  <c r="B3358" i="24"/>
  <c r="M3358" i="24"/>
  <c r="P3358" i="24"/>
  <c r="Q3358" i="24"/>
  <c r="V3358" i="24"/>
  <c r="B3359" i="24"/>
  <c r="M3359" i="24"/>
  <c r="P3359" i="24"/>
  <c r="Q3359" i="24"/>
  <c r="V3359" i="24"/>
  <c r="B3360" i="24"/>
  <c r="M3360" i="24"/>
  <c r="P3360" i="24"/>
  <c r="Q3360" i="24"/>
  <c r="V3360" i="24"/>
  <c r="B3361" i="24"/>
  <c r="M3361" i="24"/>
  <c r="P3361" i="24"/>
  <c r="Q3361" i="24"/>
  <c r="V3361" i="24"/>
  <c r="B3362" i="24"/>
  <c r="M3362" i="24"/>
  <c r="P3362" i="24"/>
  <c r="Q3362" i="24"/>
  <c r="V3362" i="24"/>
  <c r="B3363" i="24"/>
  <c r="M3363" i="24"/>
  <c r="P3363" i="24"/>
  <c r="Q3363" i="24"/>
  <c r="V3363" i="24"/>
  <c r="B3364" i="24"/>
  <c r="M3364" i="24"/>
  <c r="P3364" i="24"/>
  <c r="Q3364" i="24"/>
  <c r="V3364" i="24"/>
  <c r="B3365" i="24"/>
  <c r="M3365" i="24"/>
  <c r="P3365" i="24"/>
  <c r="Q3365" i="24"/>
  <c r="V3365" i="24"/>
  <c r="B3366" i="24"/>
  <c r="M3366" i="24"/>
  <c r="P3366" i="24"/>
  <c r="Q3366" i="24"/>
  <c r="V3366" i="24"/>
  <c r="B3367" i="24"/>
  <c r="M3367" i="24"/>
  <c r="P3367" i="24"/>
  <c r="Q3367" i="24"/>
  <c r="V3367" i="24"/>
  <c r="B3368" i="24"/>
  <c r="M3368" i="24"/>
  <c r="P3368" i="24"/>
  <c r="Q3368" i="24"/>
  <c r="V3368" i="24"/>
  <c r="B3369" i="24"/>
  <c r="M3369" i="24"/>
  <c r="P3369" i="24"/>
  <c r="Q3369" i="24"/>
  <c r="V3369" i="24"/>
  <c r="B3370" i="24"/>
  <c r="M3370" i="24"/>
  <c r="P3370" i="24"/>
  <c r="Q3370" i="24"/>
  <c r="V3370" i="24"/>
  <c r="B3371" i="24"/>
  <c r="M3371" i="24"/>
  <c r="P3371" i="24"/>
  <c r="Q3371" i="24"/>
  <c r="V3371" i="24"/>
  <c r="B3372" i="24"/>
  <c r="M3372" i="24"/>
  <c r="P3372" i="24"/>
  <c r="Q3372" i="24"/>
  <c r="V3372" i="24"/>
  <c r="B3373" i="24"/>
  <c r="M3373" i="24"/>
  <c r="P3373" i="24"/>
  <c r="Q3373" i="24"/>
  <c r="V3373" i="24"/>
  <c r="B3374" i="24"/>
  <c r="M3374" i="24"/>
  <c r="P3374" i="24"/>
  <c r="Q3374" i="24"/>
  <c r="V3374" i="24"/>
  <c r="B3375" i="24"/>
  <c r="M3375" i="24"/>
  <c r="P3375" i="24"/>
  <c r="Q3375" i="24"/>
  <c r="V3375" i="24"/>
  <c r="B3376" i="24"/>
  <c r="M3376" i="24"/>
  <c r="P3376" i="24"/>
  <c r="Q3376" i="24"/>
  <c r="V3376" i="24"/>
  <c r="B3377" i="24"/>
  <c r="M3377" i="24"/>
  <c r="P3377" i="24"/>
  <c r="Q3377" i="24"/>
  <c r="V3377" i="24"/>
  <c r="B3378" i="24"/>
  <c r="M3378" i="24"/>
  <c r="P3378" i="24"/>
  <c r="Q3378" i="24"/>
  <c r="V3378" i="24"/>
  <c r="B3379" i="24"/>
  <c r="M3379" i="24"/>
  <c r="P3379" i="24"/>
  <c r="Q3379" i="24"/>
  <c r="V3379" i="24"/>
  <c r="B3380" i="24"/>
  <c r="M3380" i="24"/>
  <c r="P3380" i="24"/>
  <c r="Q3380" i="24"/>
  <c r="V3380" i="24"/>
  <c r="B3381" i="24"/>
  <c r="M3381" i="24"/>
  <c r="P3381" i="24"/>
  <c r="Q3381" i="24"/>
  <c r="V3381" i="24"/>
  <c r="B3382" i="24"/>
  <c r="M3382" i="24"/>
  <c r="P3382" i="24"/>
  <c r="Q3382" i="24"/>
  <c r="V3382" i="24"/>
  <c r="B3383" i="24"/>
  <c r="M3383" i="24"/>
  <c r="P3383" i="24"/>
  <c r="Q3383" i="24"/>
  <c r="V3383" i="24"/>
  <c r="B3384" i="24"/>
  <c r="M3384" i="24"/>
  <c r="P3384" i="24"/>
  <c r="Q3384" i="24"/>
  <c r="V3384" i="24"/>
  <c r="B3385" i="24"/>
  <c r="M3385" i="24"/>
  <c r="P3385" i="24"/>
  <c r="Q3385" i="24"/>
  <c r="V3385" i="24"/>
  <c r="B3386" i="24"/>
  <c r="M3386" i="24"/>
  <c r="P3386" i="24"/>
  <c r="Q3386" i="24"/>
  <c r="V3386" i="24"/>
  <c r="B3387" i="24"/>
  <c r="M3387" i="24"/>
  <c r="P3387" i="24"/>
  <c r="Q3387" i="24"/>
  <c r="V3387" i="24"/>
  <c r="B3388" i="24"/>
  <c r="M3388" i="24"/>
  <c r="P3388" i="24"/>
  <c r="Q3388" i="24"/>
  <c r="V3388" i="24"/>
  <c r="B3389" i="24"/>
  <c r="M3389" i="24"/>
  <c r="P3389" i="24"/>
  <c r="Q3389" i="24"/>
  <c r="V3389" i="24"/>
  <c r="B3390" i="24"/>
  <c r="M3390" i="24"/>
  <c r="P3390" i="24"/>
  <c r="Q3390" i="24"/>
  <c r="V3390" i="24"/>
  <c r="B3391" i="24"/>
  <c r="M3391" i="24"/>
  <c r="P3391" i="24"/>
  <c r="Q3391" i="24"/>
  <c r="V3391" i="24"/>
  <c r="B3392" i="24"/>
  <c r="M3392" i="24"/>
  <c r="P3392" i="24"/>
  <c r="Q3392" i="24"/>
  <c r="V3392" i="24"/>
  <c r="B3393" i="24"/>
  <c r="M3393" i="24"/>
  <c r="P3393" i="24"/>
  <c r="Q3393" i="24"/>
  <c r="V3393" i="24"/>
  <c r="B3394" i="24"/>
  <c r="M3394" i="24"/>
  <c r="P3394" i="24"/>
  <c r="Q3394" i="24"/>
  <c r="V3394" i="24"/>
  <c r="B3395" i="24"/>
  <c r="M3395" i="24"/>
  <c r="P3395" i="24"/>
  <c r="Q3395" i="24"/>
  <c r="V3395" i="24"/>
  <c r="B3396" i="24"/>
  <c r="M3396" i="24"/>
  <c r="P3396" i="24"/>
  <c r="Q3396" i="24"/>
  <c r="V3396" i="24"/>
  <c r="B3397" i="24"/>
  <c r="M3397" i="24"/>
  <c r="P3397" i="24"/>
  <c r="Q3397" i="24"/>
  <c r="V3397" i="24"/>
  <c r="B3398" i="24"/>
  <c r="M3398" i="24"/>
  <c r="P3398" i="24"/>
  <c r="Q3398" i="24"/>
  <c r="V3398" i="24"/>
  <c r="B3399" i="24"/>
  <c r="M3399" i="24"/>
  <c r="P3399" i="24"/>
  <c r="Q3399" i="24"/>
  <c r="V3399" i="24"/>
  <c r="B3400" i="24"/>
  <c r="M3400" i="24"/>
  <c r="P3400" i="24"/>
  <c r="Q3400" i="24"/>
  <c r="V3400" i="24"/>
  <c r="B3401" i="24"/>
  <c r="M3401" i="24"/>
  <c r="P3401" i="24"/>
  <c r="Q3401" i="24"/>
  <c r="V3401" i="24"/>
  <c r="B3402" i="24"/>
  <c r="M3402" i="24"/>
  <c r="P3402" i="24"/>
  <c r="Q3402" i="24"/>
  <c r="V3402" i="24"/>
  <c r="B3403" i="24"/>
  <c r="M3403" i="24"/>
  <c r="P3403" i="24"/>
  <c r="Q3403" i="24"/>
  <c r="V3403" i="24"/>
  <c r="B3404" i="24"/>
  <c r="M3404" i="24"/>
  <c r="P3404" i="24"/>
  <c r="Q3404" i="24"/>
  <c r="V3404" i="24"/>
  <c r="B3405" i="24"/>
  <c r="M3405" i="24"/>
  <c r="P3405" i="24"/>
  <c r="Q3405" i="24"/>
  <c r="V3405" i="24"/>
  <c r="B3406" i="24"/>
  <c r="M3406" i="24"/>
  <c r="P3406" i="24"/>
  <c r="Q3406" i="24"/>
  <c r="V3406" i="24"/>
  <c r="B3407" i="24"/>
  <c r="M3407" i="24"/>
  <c r="P3407" i="24"/>
  <c r="Q3407" i="24"/>
  <c r="V3407" i="24"/>
  <c r="B3408" i="24"/>
  <c r="M3408" i="24"/>
  <c r="P3408" i="24"/>
  <c r="Q3408" i="24"/>
  <c r="V3408" i="24"/>
  <c r="B3409" i="24"/>
  <c r="M3409" i="24"/>
  <c r="P3409" i="24"/>
  <c r="Q3409" i="24"/>
  <c r="V3409" i="24"/>
  <c r="B3410" i="24"/>
  <c r="M3410" i="24"/>
  <c r="P3410" i="24"/>
  <c r="Q3410" i="24"/>
  <c r="V3410" i="24"/>
  <c r="B3411" i="24"/>
  <c r="M3411" i="24"/>
  <c r="P3411" i="24"/>
  <c r="Q3411" i="24"/>
  <c r="V3411" i="24"/>
  <c r="B3412" i="24"/>
  <c r="M3412" i="24"/>
  <c r="P3412" i="24"/>
  <c r="Q3412" i="24"/>
  <c r="V3412" i="24"/>
  <c r="B3413" i="24"/>
  <c r="M3413" i="24"/>
  <c r="P3413" i="24"/>
  <c r="Q3413" i="24"/>
  <c r="V3413" i="24"/>
  <c r="B3414" i="24"/>
  <c r="M3414" i="24"/>
  <c r="P3414" i="24"/>
  <c r="Q3414" i="24"/>
  <c r="V3414" i="24"/>
  <c r="B3415" i="24"/>
  <c r="M3415" i="24"/>
  <c r="P3415" i="24"/>
  <c r="Q3415" i="24"/>
  <c r="V3415" i="24"/>
  <c r="B3416" i="24"/>
  <c r="M3416" i="24"/>
  <c r="P3416" i="24"/>
  <c r="Q3416" i="24"/>
  <c r="V3416" i="24"/>
  <c r="B3417" i="24"/>
  <c r="M3417" i="24"/>
  <c r="P3417" i="24"/>
  <c r="Q3417" i="24"/>
  <c r="V3417" i="24"/>
  <c r="B3418" i="24"/>
  <c r="M3418" i="24"/>
  <c r="P3418" i="24"/>
  <c r="Q3418" i="24"/>
  <c r="V3418" i="24"/>
  <c r="B3419" i="24"/>
  <c r="M3419" i="24"/>
  <c r="P3419" i="24"/>
  <c r="Q3419" i="24"/>
  <c r="V3419" i="24"/>
  <c r="B3420" i="24"/>
  <c r="M3420" i="24"/>
  <c r="P3420" i="24"/>
  <c r="Q3420" i="24"/>
  <c r="V3420" i="24"/>
  <c r="B3421" i="24"/>
  <c r="M3421" i="24"/>
  <c r="P3421" i="24"/>
  <c r="Q3421" i="24"/>
  <c r="V3421" i="24"/>
  <c r="B3422" i="24"/>
  <c r="M3422" i="24"/>
  <c r="P3422" i="24"/>
  <c r="Q3422" i="24"/>
  <c r="V3422" i="24"/>
  <c r="B3423" i="24"/>
  <c r="M3423" i="24"/>
  <c r="P3423" i="24"/>
  <c r="Q3423" i="24"/>
  <c r="V3423" i="24"/>
  <c r="B3424" i="24"/>
  <c r="M3424" i="24"/>
  <c r="P3424" i="24"/>
  <c r="Q3424" i="24"/>
  <c r="V3424" i="24"/>
  <c r="B3425" i="24"/>
  <c r="M3425" i="24"/>
  <c r="P3425" i="24"/>
  <c r="Q3425" i="24"/>
  <c r="V3425" i="24"/>
  <c r="B3426" i="24"/>
  <c r="M3426" i="24"/>
  <c r="P3426" i="24"/>
  <c r="Q3426" i="24"/>
  <c r="V3426" i="24"/>
  <c r="B3427" i="24"/>
  <c r="M3427" i="24"/>
  <c r="P3427" i="24"/>
  <c r="Q3427" i="24"/>
  <c r="V3427" i="24"/>
  <c r="B3428" i="24"/>
  <c r="M3428" i="24"/>
  <c r="P3428" i="24"/>
  <c r="Q3428" i="24"/>
  <c r="V3428" i="24"/>
  <c r="B3429" i="24"/>
  <c r="M3429" i="24"/>
  <c r="P3429" i="24"/>
  <c r="Q3429" i="24"/>
  <c r="V3429" i="24"/>
  <c r="B3430" i="24"/>
  <c r="M3430" i="24"/>
  <c r="P3430" i="24"/>
  <c r="Q3430" i="24"/>
  <c r="V3430" i="24"/>
  <c r="B3431" i="24"/>
  <c r="M3431" i="24"/>
  <c r="P3431" i="24"/>
  <c r="Q3431" i="24"/>
  <c r="V3431" i="24"/>
  <c r="B3432" i="24"/>
  <c r="M3432" i="24"/>
  <c r="P3432" i="24"/>
  <c r="Q3432" i="24"/>
  <c r="V3432" i="24"/>
  <c r="B3433" i="24"/>
  <c r="M3433" i="24"/>
  <c r="P3433" i="24"/>
  <c r="Q3433" i="24"/>
  <c r="V3433" i="24"/>
  <c r="B3434" i="24"/>
  <c r="M3434" i="24"/>
  <c r="P3434" i="24"/>
  <c r="Q3434" i="24"/>
  <c r="V3434" i="24"/>
  <c r="B3435" i="24"/>
  <c r="M3435" i="24"/>
  <c r="P3435" i="24"/>
  <c r="Q3435" i="24"/>
  <c r="V3435" i="24"/>
  <c r="B3436" i="24"/>
  <c r="M3436" i="24"/>
  <c r="P3436" i="24"/>
  <c r="Q3436" i="24"/>
  <c r="V3436" i="24"/>
  <c r="B3437" i="24"/>
  <c r="M3437" i="24"/>
  <c r="P3437" i="24"/>
  <c r="Q3437" i="24"/>
  <c r="V3437" i="24"/>
  <c r="B3438" i="24"/>
  <c r="M3438" i="24"/>
  <c r="P3438" i="24"/>
  <c r="Q3438" i="24"/>
  <c r="V3438" i="24"/>
  <c r="B3439" i="24"/>
  <c r="M3439" i="24"/>
  <c r="P3439" i="24"/>
  <c r="Q3439" i="24"/>
  <c r="V3439" i="24"/>
  <c r="B3440" i="24"/>
  <c r="M3440" i="24"/>
  <c r="P3440" i="24"/>
  <c r="Q3440" i="24"/>
  <c r="V3440" i="24"/>
  <c r="B3441" i="24"/>
  <c r="M3441" i="24"/>
  <c r="P3441" i="24"/>
  <c r="Q3441" i="24"/>
  <c r="V3441" i="24"/>
  <c r="B3442" i="24"/>
  <c r="M3442" i="24"/>
  <c r="P3442" i="24"/>
  <c r="Q3442" i="24"/>
  <c r="V3442" i="24"/>
  <c r="B3443" i="24"/>
  <c r="M3443" i="24"/>
  <c r="P3443" i="24"/>
  <c r="Q3443" i="24"/>
  <c r="V3443" i="24"/>
  <c r="B3444" i="24"/>
  <c r="M3444" i="24"/>
  <c r="P3444" i="24"/>
  <c r="Q3444" i="24"/>
  <c r="V3444" i="24"/>
  <c r="B3445" i="24"/>
  <c r="M3445" i="24"/>
  <c r="P3445" i="24"/>
  <c r="Q3445" i="24"/>
  <c r="V3445" i="24"/>
  <c r="B3446" i="24"/>
  <c r="M3446" i="24"/>
  <c r="P3446" i="24"/>
  <c r="Q3446" i="24"/>
  <c r="V3446" i="24"/>
  <c r="B3447" i="24"/>
  <c r="M3447" i="24"/>
  <c r="P3447" i="24"/>
  <c r="Q3447" i="24"/>
  <c r="V3447" i="24"/>
  <c r="B3448" i="24"/>
  <c r="M3448" i="24"/>
  <c r="P3448" i="24"/>
  <c r="Q3448" i="24"/>
  <c r="V3448" i="24"/>
  <c r="B3449" i="24"/>
  <c r="M3449" i="24"/>
  <c r="P3449" i="24"/>
  <c r="Q3449" i="24"/>
  <c r="V3449" i="24"/>
  <c r="B3450" i="24"/>
  <c r="M3450" i="24"/>
  <c r="P3450" i="24"/>
  <c r="Q3450" i="24"/>
  <c r="V3450" i="24"/>
  <c r="B3451" i="24"/>
  <c r="M3451" i="24"/>
  <c r="P3451" i="24"/>
  <c r="Q3451" i="24"/>
  <c r="V3451" i="24"/>
  <c r="B3452" i="24"/>
  <c r="M3452" i="24"/>
  <c r="P3452" i="24"/>
  <c r="Q3452" i="24"/>
  <c r="V3452" i="24"/>
  <c r="B3453" i="24"/>
  <c r="M3453" i="24"/>
  <c r="P3453" i="24"/>
  <c r="Q3453" i="24"/>
  <c r="V3453" i="24"/>
  <c r="B3454" i="24"/>
  <c r="M3454" i="24"/>
  <c r="P3454" i="24"/>
  <c r="Q3454" i="24"/>
  <c r="V3454" i="24"/>
  <c r="B3455" i="24"/>
  <c r="M3455" i="24"/>
  <c r="P3455" i="24"/>
  <c r="Q3455" i="24"/>
  <c r="V3455" i="24"/>
  <c r="B3456" i="24"/>
  <c r="M3456" i="24"/>
  <c r="P3456" i="24"/>
  <c r="Q3456" i="24"/>
  <c r="V3456" i="24"/>
  <c r="B3457" i="24"/>
  <c r="M3457" i="24"/>
  <c r="P3457" i="24"/>
  <c r="Q3457" i="24"/>
  <c r="V3457" i="24"/>
  <c r="B3458" i="24"/>
  <c r="M3458" i="24"/>
  <c r="P3458" i="24"/>
  <c r="Q3458" i="24"/>
  <c r="V3458" i="24"/>
  <c r="B3459" i="24"/>
  <c r="M3459" i="24"/>
  <c r="P3459" i="24"/>
  <c r="Q3459" i="24"/>
  <c r="V3459" i="24"/>
  <c r="B3460" i="24"/>
  <c r="M3460" i="24"/>
  <c r="P3460" i="24"/>
  <c r="Q3460" i="24"/>
  <c r="V3460" i="24"/>
  <c r="B3461" i="24"/>
  <c r="M3461" i="24"/>
  <c r="P3461" i="24"/>
  <c r="Q3461" i="24"/>
  <c r="V3461" i="24"/>
  <c r="B3462" i="24"/>
  <c r="M3462" i="24"/>
  <c r="P3462" i="24"/>
  <c r="Q3462" i="24"/>
  <c r="V3462" i="24"/>
  <c r="B3463" i="24"/>
  <c r="M3463" i="24"/>
  <c r="P3463" i="24"/>
  <c r="Q3463" i="24"/>
  <c r="V3463" i="24"/>
  <c r="B3464" i="24"/>
  <c r="M3464" i="24"/>
  <c r="P3464" i="24"/>
  <c r="Q3464" i="24"/>
  <c r="V3464" i="24"/>
  <c r="B3465" i="24"/>
  <c r="M3465" i="24"/>
  <c r="P3465" i="24"/>
  <c r="Q3465" i="24"/>
  <c r="V3465" i="24"/>
  <c r="B3466" i="24"/>
  <c r="M3466" i="24"/>
  <c r="P3466" i="24"/>
  <c r="Q3466" i="24"/>
  <c r="V3466" i="24"/>
  <c r="B3467" i="24"/>
  <c r="M3467" i="24"/>
  <c r="P3467" i="24"/>
  <c r="Q3467" i="24"/>
  <c r="V3467" i="24"/>
  <c r="B3468" i="24"/>
  <c r="M3468" i="24"/>
  <c r="P3468" i="24"/>
  <c r="Q3468" i="24"/>
  <c r="V3468" i="24"/>
  <c r="B3469" i="24"/>
  <c r="M3469" i="24"/>
  <c r="P3469" i="24"/>
  <c r="Q3469" i="24"/>
  <c r="V3469" i="24"/>
  <c r="B3470" i="24"/>
  <c r="M3470" i="24"/>
  <c r="P3470" i="24"/>
  <c r="Q3470" i="24"/>
  <c r="V3470" i="24"/>
  <c r="B3471" i="24"/>
  <c r="M3471" i="24"/>
  <c r="P3471" i="24"/>
  <c r="Q3471" i="24"/>
  <c r="V3471" i="24"/>
  <c r="B3472" i="24"/>
  <c r="M3472" i="24"/>
  <c r="P3472" i="24"/>
  <c r="Q3472" i="24"/>
  <c r="V3472" i="24"/>
  <c r="B3473" i="24"/>
  <c r="M3473" i="24"/>
  <c r="P3473" i="24"/>
  <c r="Q3473" i="24"/>
  <c r="V3473" i="24"/>
  <c r="B3474" i="24"/>
  <c r="M3474" i="24"/>
  <c r="P3474" i="24"/>
  <c r="Q3474" i="24"/>
  <c r="V3474" i="24"/>
  <c r="B3475" i="24"/>
  <c r="M3475" i="24"/>
  <c r="P3475" i="24"/>
  <c r="Q3475" i="24"/>
  <c r="V3475" i="24"/>
  <c r="B3476" i="24"/>
  <c r="M3476" i="24"/>
  <c r="P3476" i="24"/>
  <c r="Q3476" i="24"/>
  <c r="V3476" i="24"/>
  <c r="B3477" i="24"/>
  <c r="M3477" i="24"/>
  <c r="P3477" i="24"/>
  <c r="Q3477" i="24"/>
  <c r="V3477" i="24"/>
  <c r="B3478" i="24"/>
  <c r="M3478" i="24"/>
  <c r="P3478" i="24"/>
  <c r="Q3478" i="24"/>
  <c r="V3478" i="24"/>
  <c r="B3479" i="24"/>
  <c r="M3479" i="24"/>
  <c r="P3479" i="24"/>
  <c r="Q3479" i="24"/>
  <c r="V3479" i="24"/>
  <c r="B3480" i="24"/>
  <c r="M3480" i="24"/>
  <c r="P3480" i="24"/>
  <c r="Q3480" i="24"/>
  <c r="V3480" i="24"/>
  <c r="B3481" i="24"/>
  <c r="M3481" i="24"/>
  <c r="P3481" i="24"/>
  <c r="Q3481" i="24"/>
  <c r="V3481" i="24"/>
  <c r="B3482" i="24"/>
  <c r="M3482" i="24"/>
  <c r="P3482" i="24"/>
  <c r="Q3482" i="24"/>
  <c r="V3482" i="24"/>
  <c r="B3483" i="24"/>
  <c r="M3483" i="24"/>
  <c r="P3483" i="24"/>
  <c r="Q3483" i="24"/>
  <c r="V3483" i="24"/>
  <c r="B3484" i="24"/>
  <c r="M3484" i="24"/>
  <c r="P3484" i="24"/>
  <c r="Q3484" i="24"/>
  <c r="V3484" i="24"/>
  <c r="B3485" i="24"/>
  <c r="M3485" i="24"/>
  <c r="P3485" i="24"/>
  <c r="Q3485" i="24"/>
  <c r="V3485" i="24"/>
  <c r="B3486" i="24"/>
  <c r="M3486" i="24"/>
  <c r="P3486" i="24"/>
  <c r="Q3486" i="24"/>
  <c r="V3486" i="24"/>
  <c r="B3487" i="24"/>
  <c r="M3487" i="24"/>
  <c r="P3487" i="24"/>
  <c r="Q3487" i="24"/>
  <c r="V3487" i="24"/>
  <c r="B3488" i="24"/>
  <c r="M3488" i="24"/>
  <c r="P3488" i="24"/>
  <c r="Q3488" i="24"/>
  <c r="V3488" i="24"/>
  <c r="B3489" i="24"/>
  <c r="M3489" i="24"/>
  <c r="P3489" i="24"/>
  <c r="Q3489" i="24"/>
  <c r="V3489" i="24"/>
  <c r="B3490" i="24"/>
  <c r="M3490" i="24"/>
  <c r="P3490" i="24"/>
  <c r="Q3490" i="24"/>
  <c r="V3490" i="24"/>
  <c r="B3491" i="24"/>
  <c r="M3491" i="24"/>
  <c r="P3491" i="24"/>
  <c r="Q3491" i="24"/>
  <c r="V3491" i="24"/>
  <c r="B3492" i="24"/>
  <c r="M3492" i="24"/>
  <c r="P3492" i="24"/>
  <c r="Q3492" i="24"/>
  <c r="V3492" i="24"/>
  <c r="B3493" i="24"/>
  <c r="M3493" i="24"/>
  <c r="P3493" i="24"/>
  <c r="Q3493" i="24"/>
  <c r="V3493" i="24"/>
  <c r="B3494" i="24"/>
  <c r="M3494" i="24"/>
  <c r="P3494" i="24"/>
  <c r="Q3494" i="24"/>
  <c r="V3494" i="24"/>
  <c r="B3495" i="24"/>
  <c r="M3495" i="24"/>
  <c r="P3495" i="24"/>
  <c r="Q3495" i="24"/>
  <c r="V3495" i="24"/>
  <c r="B3496" i="24"/>
  <c r="M3496" i="24"/>
  <c r="P3496" i="24"/>
  <c r="Q3496" i="24"/>
  <c r="V3496" i="24"/>
  <c r="B3497" i="24"/>
  <c r="M3497" i="24"/>
  <c r="P3497" i="24"/>
  <c r="Q3497" i="24"/>
  <c r="V3497" i="24"/>
  <c r="B3498" i="24"/>
  <c r="M3498" i="24"/>
  <c r="P3498" i="24"/>
  <c r="Q3498" i="24"/>
  <c r="V3498" i="24"/>
  <c r="B3499" i="24"/>
  <c r="M3499" i="24"/>
  <c r="P3499" i="24"/>
  <c r="Q3499" i="24"/>
  <c r="V3499" i="24"/>
  <c r="B3500" i="24"/>
  <c r="M3500" i="24"/>
  <c r="P3500" i="24"/>
  <c r="Q3500" i="24"/>
  <c r="V3500" i="24"/>
  <c r="B3501" i="24"/>
  <c r="M3501" i="24"/>
  <c r="P3501" i="24"/>
  <c r="Q3501" i="24"/>
  <c r="V3501" i="24"/>
  <c r="B3502" i="24"/>
  <c r="M3502" i="24"/>
  <c r="P3502" i="24"/>
  <c r="Q3502" i="24"/>
  <c r="V3502" i="24"/>
  <c r="B3503" i="24"/>
  <c r="M3503" i="24"/>
  <c r="P3503" i="24"/>
  <c r="Q3503" i="24"/>
  <c r="V3503" i="24"/>
  <c r="B3504" i="24"/>
  <c r="M3504" i="24"/>
  <c r="P3504" i="24"/>
  <c r="Q3504" i="24"/>
  <c r="V3504" i="24"/>
  <c r="B3505" i="24"/>
  <c r="M3505" i="24"/>
  <c r="P3505" i="24"/>
  <c r="Q3505" i="24"/>
  <c r="V3505" i="24"/>
  <c r="B3506" i="24"/>
  <c r="M3506" i="24"/>
  <c r="P3506" i="24"/>
  <c r="Q3506" i="24"/>
  <c r="V3506" i="24"/>
  <c r="B3507" i="24"/>
  <c r="M3507" i="24"/>
  <c r="P3507" i="24"/>
  <c r="Q3507" i="24"/>
  <c r="V3507" i="24"/>
  <c r="B3508" i="24"/>
  <c r="M3508" i="24"/>
  <c r="P3508" i="24"/>
  <c r="Q3508" i="24"/>
  <c r="V3508" i="24"/>
  <c r="B3509" i="24"/>
  <c r="M3509" i="24"/>
  <c r="P3509" i="24"/>
  <c r="Q3509" i="24"/>
  <c r="V3509" i="24"/>
  <c r="B3510" i="24"/>
  <c r="M3510" i="24"/>
  <c r="P3510" i="24"/>
  <c r="Q3510" i="24"/>
  <c r="V3510" i="24"/>
  <c r="B3511" i="24"/>
  <c r="M3511" i="24"/>
  <c r="P3511" i="24"/>
  <c r="Q3511" i="24"/>
  <c r="V3511" i="24"/>
  <c r="B3512" i="24"/>
  <c r="M3512" i="24"/>
  <c r="P3512" i="24"/>
  <c r="Q3512" i="24"/>
  <c r="V3512" i="24"/>
  <c r="B3513" i="24"/>
  <c r="M3513" i="24"/>
  <c r="P3513" i="24"/>
  <c r="Q3513" i="24"/>
  <c r="V3513" i="24"/>
  <c r="B3514" i="24"/>
  <c r="M3514" i="24"/>
  <c r="P3514" i="24"/>
  <c r="Q3514" i="24"/>
  <c r="V3514" i="24"/>
  <c r="B3515" i="24"/>
  <c r="M3515" i="24"/>
  <c r="P3515" i="24"/>
  <c r="Q3515" i="24"/>
  <c r="V3515" i="24"/>
  <c r="B3516" i="24"/>
  <c r="M3516" i="24"/>
  <c r="P3516" i="24"/>
  <c r="Q3516" i="24"/>
  <c r="V3516" i="24"/>
  <c r="B3517" i="24"/>
  <c r="M3517" i="24"/>
  <c r="P3517" i="24"/>
  <c r="Q3517" i="24"/>
  <c r="V3517" i="24"/>
  <c r="B3518" i="24"/>
  <c r="M3518" i="24"/>
  <c r="P3518" i="24"/>
  <c r="Q3518" i="24"/>
  <c r="V3518" i="24"/>
  <c r="B3519" i="24"/>
  <c r="M3519" i="24"/>
  <c r="P3519" i="24"/>
  <c r="Q3519" i="24"/>
  <c r="V3519" i="24"/>
  <c r="B3520" i="24"/>
  <c r="M3520" i="24"/>
  <c r="P3520" i="24"/>
  <c r="Q3520" i="24"/>
  <c r="V3520" i="24"/>
  <c r="B3521" i="24"/>
  <c r="M3521" i="24"/>
  <c r="P3521" i="24"/>
  <c r="Q3521" i="24"/>
  <c r="V3521" i="24"/>
  <c r="B3522" i="24"/>
  <c r="M3522" i="24"/>
  <c r="P3522" i="24"/>
  <c r="Q3522" i="24"/>
  <c r="V3522" i="24"/>
  <c r="B3523" i="24"/>
  <c r="M3523" i="24"/>
  <c r="P3523" i="24"/>
  <c r="Q3523" i="24"/>
  <c r="V3523" i="24"/>
  <c r="B3524" i="24"/>
  <c r="M3524" i="24"/>
  <c r="P3524" i="24"/>
  <c r="Q3524" i="24"/>
  <c r="V3524" i="24"/>
  <c r="B3525" i="24"/>
  <c r="M3525" i="24"/>
  <c r="P3525" i="24"/>
  <c r="Q3525" i="24"/>
  <c r="V3525" i="24"/>
  <c r="B3526" i="24"/>
  <c r="M3526" i="24"/>
  <c r="P3526" i="24"/>
  <c r="Q3526" i="24"/>
  <c r="V3526" i="24"/>
  <c r="B3527" i="24"/>
  <c r="M3527" i="24"/>
  <c r="P3527" i="24"/>
  <c r="Q3527" i="24"/>
  <c r="V3527" i="24"/>
  <c r="B3528" i="24"/>
  <c r="M3528" i="24"/>
  <c r="P3528" i="24"/>
  <c r="Q3528" i="24"/>
  <c r="V3528" i="24"/>
  <c r="B3529" i="24"/>
  <c r="M3529" i="24"/>
  <c r="P3529" i="24"/>
  <c r="Q3529" i="24"/>
  <c r="V3529" i="24"/>
  <c r="B3530" i="24"/>
  <c r="M3530" i="24"/>
  <c r="P3530" i="24"/>
  <c r="Q3530" i="24"/>
  <c r="V3530" i="24"/>
  <c r="B3531" i="24"/>
  <c r="M3531" i="24"/>
  <c r="P3531" i="24"/>
  <c r="Q3531" i="24"/>
  <c r="V3531" i="24"/>
  <c r="B3532" i="24"/>
  <c r="M3532" i="24"/>
  <c r="P3532" i="24"/>
  <c r="Q3532" i="24"/>
  <c r="V3532" i="24"/>
  <c r="B3533" i="24"/>
  <c r="M3533" i="24"/>
  <c r="P3533" i="24"/>
  <c r="Q3533" i="24"/>
  <c r="V3533" i="24"/>
  <c r="B3534" i="24"/>
  <c r="M3534" i="24"/>
  <c r="P3534" i="24"/>
  <c r="Q3534" i="24"/>
  <c r="V3534" i="24"/>
  <c r="B3535" i="24"/>
  <c r="M3535" i="24"/>
  <c r="P3535" i="24"/>
  <c r="Q3535" i="24"/>
  <c r="V3535" i="24"/>
  <c r="B3536" i="24"/>
  <c r="M3536" i="24"/>
  <c r="P3536" i="24"/>
  <c r="Q3536" i="24"/>
  <c r="V3536" i="24"/>
  <c r="B3537" i="24"/>
  <c r="M3537" i="24"/>
  <c r="P3537" i="24"/>
  <c r="Q3537" i="24"/>
  <c r="V3537" i="24"/>
  <c r="B3538" i="24"/>
  <c r="M3538" i="24"/>
  <c r="P3538" i="24"/>
  <c r="Q3538" i="24"/>
  <c r="V3538" i="24"/>
  <c r="B3539" i="24"/>
  <c r="M3539" i="24"/>
  <c r="P3539" i="24"/>
  <c r="Q3539" i="24"/>
  <c r="V3539" i="24"/>
  <c r="B3540" i="24"/>
  <c r="M3540" i="24"/>
  <c r="P3540" i="24"/>
  <c r="Q3540" i="24"/>
  <c r="V3540" i="24"/>
  <c r="B3541" i="24"/>
  <c r="M3541" i="24"/>
  <c r="P3541" i="24"/>
  <c r="Q3541" i="24"/>
  <c r="V3541" i="24"/>
  <c r="B3542" i="24"/>
  <c r="M3542" i="24"/>
  <c r="P3542" i="24"/>
  <c r="Q3542" i="24"/>
  <c r="V3542" i="24"/>
  <c r="B3543" i="24"/>
  <c r="M3543" i="24"/>
  <c r="P3543" i="24"/>
  <c r="Q3543" i="24"/>
  <c r="V3543" i="24"/>
  <c r="B3544" i="24"/>
  <c r="M3544" i="24"/>
  <c r="P3544" i="24"/>
  <c r="Q3544" i="24"/>
  <c r="V3544" i="24"/>
  <c r="B3545" i="24"/>
  <c r="M3545" i="24"/>
  <c r="P3545" i="24"/>
  <c r="Q3545" i="24"/>
  <c r="V3545" i="24"/>
  <c r="B3546" i="24"/>
  <c r="M3546" i="24"/>
  <c r="P3546" i="24"/>
  <c r="Q3546" i="24"/>
  <c r="V3546" i="24"/>
  <c r="B3547" i="24"/>
  <c r="M3547" i="24"/>
  <c r="P3547" i="24"/>
  <c r="Q3547" i="24"/>
  <c r="V3547" i="24"/>
  <c r="B3548" i="24"/>
  <c r="M3548" i="24"/>
  <c r="P3548" i="24"/>
  <c r="Q3548" i="24"/>
  <c r="V3548" i="24"/>
  <c r="B3549" i="24"/>
  <c r="M3549" i="24"/>
  <c r="P3549" i="24"/>
  <c r="Q3549" i="24"/>
  <c r="V3549" i="24"/>
  <c r="B3550" i="24"/>
  <c r="M3550" i="24"/>
  <c r="P3550" i="24"/>
  <c r="Q3550" i="24"/>
  <c r="V3550" i="24"/>
  <c r="B3551" i="24"/>
  <c r="M3551" i="24"/>
  <c r="P3551" i="24"/>
  <c r="Q3551" i="24"/>
  <c r="V3551" i="24"/>
  <c r="B3552" i="24"/>
  <c r="M3552" i="24"/>
  <c r="P3552" i="24"/>
  <c r="Q3552" i="24"/>
  <c r="V3552" i="24"/>
  <c r="B3553" i="24"/>
  <c r="M3553" i="24"/>
  <c r="P3553" i="24"/>
  <c r="Q3553" i="24"/>
  <c r="V3553" i="24"/>
  <c r="B3554" i="24"/>
  <c r="M3554" i="24"/>
  <c r="P3554" i="24"/>
  <c r="Q3554" i="24"/>
  <c r="V3554" i="24"/>
  <c r="B3555" i="24"/>
  <c r="M3555" i="24"/>
  <c r="P3555" i="24"/>
  <c r="Q3555" i="24"/>
  <c r="V3555" i="24"/>
  <c r="B3556" i="24"/>
  <c r="M3556" i="24"/>
  <c r="P3556" i="24"/>
  <c r="Q3556" i="24"/>
  <c r="V3556" i="24"/>
  <c r="B3557" i="24"/>
  <c r="M3557" i="24"/>
  <c r="P3557" i="24"/>
  <c r="Q3557" i="24"/>
  <c r="V3557" i="24"/>
  <c r="B3558" i="24"/>
  <c r="M3558" i="24"/>
  <c r="P3558" i="24"/>
  <c r="Q3558" i="24"/>
  <c r="V3558" i="24"/>
  <c r="B3559" i="24"/>
  <c r="M3559" i="24"/>
  <c r="P3559" i="24"/>
  <c r="Q3559" i="24"/>
  <c r="V3559" i="24"/>
  <c r="B3560" i="24"/>
  <c r="M3560" i="24"/>
  <c r="P3560" i="24"/>
  <c r="Q3560" i="24"/>
  <c r="V3560" i="24"/>
  <c r="B3561" i="24"/>
  <c r="M3561" i="24"/>
  <c r="P3561" i="24"/>
  <c r="Q3561" i="24"/>
  <c r="V3561" i="24"/>
  <c r="B3562" i="24"/>
  <c r="M3562" i="24"/>
  <c r="P3562" i="24"/>
  <c r="Q3562" i="24"/>
  <c r="V3562" i="24"/>
  <c r="B3563" i="24"/>
  <c r="M3563" i="24"/>
  <c r="P3563" i="24"/>
  <c r="Q3563" i="24"/>
  <c r="V3563" i="24"/>
  <c r="B3564" i="24"/>
  <c r="M3564" i="24"/>
  <c r="P3564" i="24"/>
  <c r="Q3564" i="24"/>
  <c r="V3564" i="24"/>
  <c r="B3565" i="24"/>
  <c r="M3565" i="24"/>
  <c r="P3565" i="24"/>
  <c r="Q3565" i="24"/>
  <c r="V3565" i="24"/>
  <c r="B3566" i="24"/>
  <c r="M3566" i="24"/>
  <c r="P3566" i="24"/>
  <c r="Q3566" i="24"/>
  <c r="V3566" i="24"/>
  <c r="B3567" i="24"/>
  <c r="M3567" i="24"/>
  <c r="P3567" i="24"/>
  <c r="Q3567" i="24"/>
  <c r="V3567" i="24"/>
  <c r="B3568" i="24"/>
  <c r="M3568" i="24"/>
  <c r="P3568" i="24"/>
  <c r="Q3568" i="24"/>
  <c r="V3568" i="24"/>
  <c r="B3569" i="24"/>
  <c r="M3569" i="24"/>
  <c r="P3569" i="24"/>
  <c r="Q3569" i="24"/>
  <c r="V3569" i="24"/>
  <c r="B3570" i="24"/>
  <c r="M3570" i="24"/>
  <c r="P3570" i="24"/>
  <c r="Q3570" i="24"/>
  <c r="V3570" i="24"/>
  <c r="B3571" i="24"/>
  <c r="M3571" i="24"/>
  <c r="P3571" i="24"/>
  <c r="Q3571" i="24"/>
  <c r="V3571" i="24"/>
  <c r="B3572" i="24"/>
  <c r="M3572" i="24"/>
  <c r="P3572" i="24"/>
  <c r="Q3572" i="24"/>
  <c r="V3572" i="24"/>
  <c r="B3573" i="24"/>
  <c r="M3573" i="24"/>
  <c r="P3573" i="24"/>
  <c r="Q3573" i="24"/>
  <c r="V3573" i="24"/>
  <c r="B3574" i="24"/>
  <c r="M3574" i="24"/>
  <c r="P3574" i="24"/>
  <c r="Q3574" i="24"/>
  <c r="V3574" i="24"/>
  <c r="B3575" i="24"/>
  <c r="M3575" i="24"/>
  <c r="P3575" i="24"/>
  <c r="Q3575" i="24"/>
  <c r="V3575" i="24"/>
  <c r="B3576" i="24"/>
  <c r="M3576" i="24"/>
  <c r="P3576" i="24"/>
  <c r="Q3576" i="24"/>
  <c r="V3576" i="24"/>
  <c r="B3577" i="24"/>
  <c r="M3577" i="24"/>
  <c r="P3577" i="24"/>
  <c r="Q3577" i="24"/>
  <c r="V3577" i="24"/>
  <c r="B3578" i="24"/>
  <c r="M3578" i="24"/>
  <c r="P3578" i="24"/>
  <c r="Q3578" i="24"/>
  <c r="V3578" i="24"/>
  <c r="B3579" i="24"/>
  <c r="M3579" i="24"/>
  <c r="P3579" i="24"/>
  <c r="Q3579" i="24"/>
  <c r="V3579" i="24"/>
  <c r="B3580" i="24"/>
  <c r="M3580" i="24"/>
  <c r="P3580" i="24"/>
  <c r="Q3580" i="24"/>
  <c r="V3580" i="24"/>
  <c r="B3581" i="24"/>
  <c r="M3581" i="24"/>
  <c r="P3581" i="24"/>
  <c r="Q3581" i="24"/>
  <c r="V3581" i="24"/>
  <c r="B3582" i="24"/>
  <c r="M3582" i="24"/>
  <c r="P3582" i="24"/>
  <c r="Q3582" i="24"/>
  <c r="V3582" i="24"/>
  <c r="B3583" i="24"/>
  <c r="M3583" i="24"/>
  <c r="P3583" i="24"/>
  <c r="Q3583" i="24"/>
  <c r="V3583" i="24"/>
  <c r="B3584" i="24"/>
  <c r="M3584" i="24"/>
  <c r="P3584" i="24"/>
  <c r="Q3584" i="24"/>
  <c r="V3584" i="24"/>
  <c r="B3585" i="24"/>
  <c r="M3585" i="24"/>
  <c r="P3585" i="24"/>
  <c r="Q3585" i="24"/>
  <c r="V3585" i="24"/>
  <c r="B3586" i="24"/>
  <c r="M3586" i="24"/>
  <c r="P3586" i="24"/>
  <c r="Q3586" i="24"/>
  <c r="V3586" i="24"/>
  <c r="B3587" i="24"/>
  <c r="M3587" i="24"/>
  <c r="P3587" i="24"/>
  <c r="Q3587" i="24"/>
  <c r="V3587" i="24"/>
  <c r="B3588" i="24"/>
  <c r="M3588" i="24"/>
  <c r="P3588" i="24"/>
  <c r="Q3588" i="24"/>
  <c r="V3588" i="24"/>
  <c r="B3589" i="24"/>
  <c r="M3589" i="24"/>
  <c r="P3589" i="24"/>
  <c r="Q3589" i="24"/>
  <c r="V3589" i="24"/>
  <c r="B3590" i="24"/>
  <c r="M3590" i="24"/>
  <c r="P3590" i="24"/>
  <c r="Q3590" i="24"/>
  <c r="V3590" i="24"/>
  <c r="B3591" i="24"/>
  <c r="M3591" i="24"/>
  <c r="P3591" i="24"/>
  <c r="Q3591" i="24"/>
  <c r="V3591" i="24"/>
  <c r="B3592" i="24"/>
  <c r="M3592" i="24"/>
  <c r="P3592" i="24"/>
  <c r="Q3592" i="24"/>
  <c r="V3592" i="24"/>
  <c r="B3593" i="24"/>
  <c r="M3593" i="24"/>
  <c r="P3593" i="24"/>
  <c r="Q3593" i="24"/>
  <c r="V3593" i="24"/>
  <c r="B3594" i="24"/>
  <c r="M3594" i="24"/>
  <c r="P3594" i="24"/>
  <c r="Q3594" i="24"/>
  <c r="V3594" i="24"/>
  <c r="B3595" i="24"/>
  <c r="M3595" i="24"/>
  <c r="P3595" i="24"/>
  <c r="Q3595" i="24"/>
  <c r="V3595" i="24"/>
  <c r="B3596" i="24"/>
  <c r="M3596" i="24"/>
  <c r="P3596" i="24"/>
  <c r="Q3596" i="24"/>
  <c r="V3596" i="24"/>
  <c r="B3597" i="24"/>
  <c r="M3597" i="24"/>
  <c r="P3597" i="24"/>
  <c r="Q3597" i="24"/>
  <c r="V3597" i="24"/>
  <c r="B3598" i="24"/>
  <c r="M3598" i="24"/>
  <c r="P3598" i="24"/>
  <c r="Q3598" i="24"/>
  <c r="V3598" i="24"/>
  <c r="B3599" i="24"/>
  <c r="M3599" i="24"/>
  <c r="P3599" i="24"/>
  <c r="Q3599" i="24"/>
  <c r="V3599" i="24"/>
  <c r="B3600" i="24"/>
  <c r="M3600" i="24"/>
  <c r="P3600" i="24"/>
  <c r="Q3600" i="24"/>
  <c r="V3600" i="24"/>
  <c r="B3601" i="24"/>
  <c r="M3601" i="24"/>
  <c r="P3601" i="24"/>
  <c r="Q3601" i="24"/>
  <c r="V3601" i="24"/>
  <c r="B3602" i="24"/>
  <c r="M3602" i="24"/>
  <c r="P3602" i="24"/>
  <c r="Q3602" i="24"/>
  <c r="V3602" i="24"/>
  <c r="B3603" i="24"/>
  <c r="M3603" i="24"/>
  <c r="P3603" i="24"/>
  <c r="Q3603" i="24"/>
  <c r="V3603" i="24"/>
  <c r="B3604" i="24"/>
  <c r="M3604" i="24"/>
  <c r="P3604" i="24"/>
  <c r="Q3604" i="24"/>
  <c r="V3604" i="24"/>
  <c r="B3605" i="24"/>
  <c r="M3605" i="24"/>
  <c r="P3605" i="24"/>
  <c r="Q3605" i="24"/>
  <c r="V3605" i="24"/>
  <c r="B3606" i="24"/>
  <c r="M3606" i="24"/>
  <c r="P3606" i="24"/>
  <c r="Q3606" i="24"/>
  <c r="V3606" i="24"/>
  <c r="B3607" i="24"/>
  <c r="M3607" i="24"/>
  <c r="P3607" i="24"/>
  <c r="Q3607" i="24"/>
  <c r="V3607" i="24"/>
  <c r="B3608" i="24"/>
  <c r="M3608" i="24"/>
  <c r="P3608" i="24"/>
  <c r="Q3608" i="24"/>
  <c r="V3608" i="24"/>
  <c r="B3609" i="24"/>
  <c r="M3609" i="24"/>
  <c r="P3609" i="24"/>
  <c r="Q3609" i="24"/>
  <c r="V3609" i="24"/>
  <c r="B3610" i="24"/>
  <c r="M3610" i="24"/>
  <c r="P3610" i="24"/>
  <c r="Q3610" i="24"/>
  <c r="V3610" i="24"/>
  <c r="B3611" i="24"/>
  <c r="M3611" i="24"/>
  <c r="P3611" i="24"/>
  <c r="Q3611" i="24"/>
  <c r="V3611" i="24"/>
  <c r="B3612" i="24"/>
  <c r="M3612" i="24"/>
  <c r="P3612" i="24"/>
  <c r="Q3612" i="24"/>
  <c r="V3612" i="24"/>
  <c r="B3613" i="24"/>
  <c r="M3613" i="24"/>
  <c r="P3613" i="24"/>
  <c r="Q3613" i="24"/>
  <c r="V3613" i="24"/>
  <c r="B3614" i="24"/>
  <c r="M3614" i="24"/>
  <c r="P3614" i="24"/>
  <c r="Q3614" i="24"/>
  <c r="V3614" i="24"/>
  <c r="B3615" i="24"/>
  <c r="M3615" i="24"/>
  <c r="P3615" i="24"/>
  <c r="Q3615" i="24"/>
  <c r="V3615" i="24"/>
  <c r="B3616" i="24"/>
  <c r="M3616" i="24"/>
  <c r="P3616" i="24"/>
  <c r="Q3616" i="24"/>
  <c r="V3616" i="24"/>
  <c r="B3617" i="24"/>
  <c r="M3617" i="24"/>
  <c r="P3617" i="24"/>
  <c r="Q3617" i="24"/>
  <c r="V3617" i="24"/>
  <c r="B3618" i="24"/>
  <c r="M3618" i="24"/>
  <c r="P3618" i="24"/>
  <c r="Q3618" i="24"/>
  <c r="V3618" i="24"/>
  <c r="B3619" i="24"/>
  <c r="M3619" i="24"/>
  <c r="P3619" i="24"/>
  <c r="Q3619" i="24"/>
  <c r="V3619" i="24"/>
  <c r="B3620" i="24"/>
  <c r="M3620" i="24"/>
  <c r="P3620" i="24"/>
  <c r="Q3620" i="24"/>
  <c r="V3620" i="24"/>
  <c r="B3621" i="24"/>
  <c r="M3621" i="24"/>
  <c r="P3621" i="24"/>
  <c r="Q3621" i="24"/>
  <c r="V3621" i="24"/>
  <c r="B3622" i="24"/>
  <c r="M3622" i="24"/>
  <c r="P3622" i="24"/>
  <c r="Q3622" i="24"/>
  <c r="V3622" i="24"/>
  <c r="B3623" i="24"/>
  <c r="M3623" i="24"/>
  <c r="P3623" i="24"/>
  <c r="Q3623" i="24"/>
  <c r="V3623" i="24"/>
  <c r="B3624" i="24"/>
  <c r="M3624" i="24"/>
  <c r="P3624" i="24"/>
  <c r="Q3624" i="24"/>
  <c r="V3624" i="24"/>
  <c r="B3625" i="24"/>
  <c r="M3625" i="24"/>
  <c r="P3625" i="24"/>
  <c r="Q3625" i="24"/>
  <c r="V3625" i="24"/>
  <c r="B3626" i="24"/>
  <c r="M3626" i="24"/>
  <c r="P3626" i="24"/>
  <c r="Q3626" i="24"/>
  <c r="V3626" i="24"/>
  <c r="B3627" i="24"/>
  <c r="M3627" i="24"/>
  <c r="P3627" i="24"/>
  <c r="Q3627" i="24"/>
  <c r="V3627" i="24"/>
  <c r="B3628" i="24"/>
  <c r="M3628" i="24"/>
  <c r="P3628" i="24"/>
  <c r="Q3628" i="24"/>
  <c r="V3628" i="24"/>
  <c r="B3629" i="24"/>
  <c r="M3629" i="24"/>
  <c r="P3629" i="24"/>
  <c r="Q3629" i="24"/>
  <c r="V3629" i="24"/>
  <c r="B3630" i="24"/>
  <c r="M3630" i="24"/>
  <c r="P3630" i="24"/>
  <c r="Q3630" i="24"/>
  <c r="V3630" i="24"/>
  <c r="B3631" i="24"/>
  <c r="M3631" i="24"/>
  <c r="P3631" i="24"/>
  <c r="Q3631" i="24"/>
  <c r="V3631" i="24"/>
  <c r="B3632" i="24"/>
  <c r="M3632" i="24"/>
  <c r="P3632" i="24"/>
  <c r="Q3632" i="24"/>
  <c r="V3632" i="24"/>
  <c r="B3633" i="24"/>
  <c r="M3633" i="24"/>
  <c r="P3633" i="24"/>
  <c r="Q3633" i="24"/>
  <c r="V3633" i="24"/>
  <c r="B3634" i="24"/>
  <c r="M3634" i="24"/>
  <c r="P3634" i="24"/>
  <c r="Q3634" i="24"/>
  <c r="V3634" i="24"/>
  <c r="B3635" i="24"/>
  <c r="M3635" i="24"/>
  <c r="P3635" i="24"/>
  <c r="Q3635" i="24"/>
  <c r="V3635" i="24"/>
  <c r="B3636" i="24"/>
  <c r="M3636" i="24"/>
  <c r="P3636" i="24"/>
  <c r="Q3636" i="24"/>
  <c r="V3636" i="24"/>
  <c r="B3637" i="24"/>
  <c r="M3637" i="24"/>
  <c r="P3637" i="24"/>
  <c r="Q3637" i="24"/>
  <c r="V3637" i="24"/>
  <c r="B3638" i="24"/>
  <c r="M3638" i="24"/>
  <c r="P3638" i="24"/>
  <c r="Q3638" i="24"/>
  <c r="V3638" i="24"/>
  <c r="B3639" i="24"/>
  <c r="M3639" i="24"/>
  <c r="P3639" i="24"/>
  <c r="Q3639" i="24"/>
  <c r="V3639" i="24"/>
  <c r="B3640" i="24"/>
  <c r="M3640" i="24"/>
  <c r="P3640" i="24"/>
  <c r="Q3640" i="24"/>
  <c r="V3640" i="24"/>
  <c r="B3641" i="24"/>
  <c r="M3641" i="24"/>
  <c r="P3641" i="24"/>
  <c r="Q3641" i="24"/>
  <c r="V3641" i="24"/>
  <c r="B3642" i="24"/>
  <c r="M3642" i="24"/>
  <c r="P3642" i="24"/>
  <c r="Q3642" i="24"/>
  <c r="V3642" i="24"/>
  <c r="B3643" i="24"/>
  <c r="M3643" i="24"/>
  <c r="P3643" i="24"/>
  <c r="Q3643" i="24"/>
  <c r="V3643" i="24"/>
  <c r="B3644" i="24"/>
  <c r="M3644" i="24"/>
  <c r="P3644" i="24"/>
  <c r="Q3644" i="24"/>
  <c r="V3644" i="24"/>
  <c r="B3645" i="24"/>
  <c r="M3645" i="24"/>
  <c r="P3645" i="24"/>
  <c r="Q3645" i="24"/>
  <c r="V3645" i="24"/>
  <c r="B3646" i="24"/>
  <c r="M3646" i="24"/>
  <c r="P3646" i="24"/>
  <c r="Q3646" i="24"/>
  <c r="V3646" i="24"/>
  <c r="B3647" i="24"/>
  <c r="M3647" i="24"/>
  <c r="P3647" i="24"/>
  <c r="Q3647" i="24"/>
  <c r="V3647" i="24"/>
  <c r="B3648" i="24"/>
  <c r="M3648" i="24"/>
  <c r="P3648" i="24"/>
  <c r="Q3648" i="24"/>
  <c r="V3648" i="24"/>
  <c r="B3649" i="24"/>
  <c r="M3649" i="24"/>
  <c r="P3649" i="24"/>
  <c r="Q3649" i="24"/>
  <c r="V3649" i="24"/>
  <c r="B3650" i="24"/>
  <c r="M3650" i="24"/>
  <c r="P3650" i="24"/>
  <c r="Q3650" i="24"/>
  <c r="V3650" i="24"/>
  <c r="B3651" i="24"/>
  <c r="M3651" i="24"/>
  <c r="P3651" i="24"/>
  <c r="Q3651" i="24"/>
  <c r="V3651" i="24"/>
  <c r="B3652" i="24"/>
  <c r="M3652" i="24"/>
  <c r="P3652" i="24"/>
  <c r="Q3652" i="24"/>
  <c r="V3652" i="24"/>
  <c r="B3653" i="24"/>
  <c r="M3653" i="24"/>
  <c r="P3653" i="24"/>
  <c r="Q3653" i="24"/>
  <c r="V3653" i="24"/>
  <c r="B3654" i="24"/>
  <c r="M3654" i="24"/>
  <c r="P3654" i="24"/>
  <c r="Q3654" i="24"/>
  <c r="V3654" i="24"/>
  <c r="B3655" i="24"/>
  <c r="M3655" i="24"/>
  <c r="P3655" i="24"/>
  <c r="Q3655" i="24"/>
  <c r="V3655" i="24"/>
  <c r="B3656" i="24"/>
  <c r="M3656" i="24"/>
  <c r="P3656" i="24"/>
  <c r="Q3656" i="24"/>
  <c r="V3656" i="24"/>
  <c r="B3657" i="24"/>
  <c r="M3657" i="24"/>
  <c r="P3657" i="24"/>
  <c r="Q3657" i="24"/>
  <c r="V3657" i="24"/>
  <c r="B3658" i="24"/>
  <c r="M3658" i="24"/>
  <c r="P3658" i="24"/>
  <c r="Q3658" i="24"/>
  <c r="V3658" i="24"/>
  <c r="B3659" i="24"/>
  <c r="M3659" i="24"/>
  <c r="P3659" i="24"/>
  <c r="Q3659" i="24"/>
  <c r="V3659" i="24"/>
  <c r="B3660" i="24"/>
  <c r="M3660" i="24"/>
  <c r="P3660" i="24"/>
  <c r="Q3660" i="24"/>
  <c r="V3660" i="24"/>
  <c r="B3661" i="24"/>
  <c r="M3661" i="24"/>
  <c r="P3661" i="24"/>
  <c r="Q3661" i="24"/>
  <c r="V3661" i="24"/>
  <c r="B3662" i="24"/>
  <c r="M3662" i="24"/>
  <c r="P3662" i="24"/>
  <c r="Q3662" i="24"/>
  <c r="V3662" i="24"/>
  <c r="B3663" i="24"/>
  <c r="M3663" i="24"/>
  <c r="P3663" i="24"/>
  <c r="Q3663" i="24"/>
  <c r="V3663" i="24"/>
  <c r="B3664" i="24"/>
  <c r="M3664" i="24"/>
  <c r="P3664" i="24"/>
  <c r="Q3664" i="24"/>
  <c r="V3664" i="24"/>
  <c r="B3665" i="24"/>
  <c r="M3665" i="24"/>
  <c r="P3665" i="24"/>
  <c r="Q3665" i="24"/>
  <c r="V3665" i="24"/>
  <c r="B3666" i="24"/>
  <c r="M3666" i="24"/>
  <c r="P3666" i="24"/>
  <c r="Q3666" i="24"/>
  <c r="V3666" i="24"/>
  <c r="B3667" i="24"/>
  <c r="M3667" i="24"/>
  <c r="P3667" i="24"/>
  <c r="Q3667" i="24"/>
  <c r="V3667" i="24"/>
  <c r="B3668" i="24"/>
  <c r="M3668" i="24"/>
  <c r="P3668" i="24"/>
  <c r="Q3668" i="24"/>
  <c r="V3668" i="24"/>
  <c r="B3669" i="24"/>
  <c r="M3669" i="24"/>
  <c r="P3669" i="24"/>
  <c r="Q3669" i="24"/>
  <c r="V3669" i="24"/>
  <c r="B3670" i="24"/>
  <c r="M3670" i="24"/>
  <c r="P3670" i="24"/>
  <c r="Q3670" i="24"/>
  <c r="V3670" i="24"/>
  <c r="B3671" i="24"/>
  <c r="M3671" i="24"/>
  <c r="P3671" i="24"/>
  <c r="Q3671" i="24"/>
  <c r="V3671" i="24"/>
  <c r="B3672" i="24"/>
  <c r="M3672" i="24"/>
  <c r="P3672" i="24"/>
  <c r="Q3672" i="24"/>
  <c r="V3672" i="24"/>
  <c r="B3673" i="24"/>
  <c r="M3673" i="24"/>
  <c r="P3673" i="24"/>
  <c r="Q3673" i="24"/>
  <c r="V3673" i="24"/>
  <c r="B3674" i="24"/>
  <c r="M3674" i="24"/>
  <c r="P3674" i="24"/>
  <c r="Q3674" i="24"/>
  <c r="V3674" i="24"/>
  <c r="B3675" i="24"/>
  <c r="M3675" i="24"/>
  <c r="P3675" i="24"/>
  <c r="Q3675" i="24"/>
  <c r="V3675" i="24"/>
  <c r="B3676" i="24"/>
  <c r="M3676" i="24"/>
  <c r="P3676" i="24"/>
  <c r="Q3676" i="24"/>
  <c r="V3676" i="24"/>
  <c r="B3677" i="24"/>
  <c r="M3677" i="24"/>
  <c r="P3677" i="24"/>
  <c r="Q3677" i="24"/>
  <c r="V3677" i="24"/>
  <c r="B3678" i="24"/>
  <c r="M3678" i="24"/>
  <c r="P3678" i="24"/>
  <c r="Q3678" i="24"/>
  <c r="V3678" i="24"/>
  <c r="B3679" i="24"/>
  <c r="M3679" i="24"/>
  <c r="P3679" i="24"/>
  <c r="Q3679" i="24"/>
  <c r="V3679" i="24"/>
  <c r="B3680" i="24"/>
  <c r="M3680" i="24"/>
  <c r="P3680" i="24"/>
  <c r="Q3680" i="24"/>
  <c r="V3680" i="24"/>
  <c r="B3681" i="24"/>
  <c r="M3681" i="24"/>
  <c r="P3681" i="24"/>
  <c r="Q3681" i="24"/>
  <c r="V3681" i="24"/>
  <c r="B3682" i="24"/>
  <c r="M3682" i="24"/>
  <c r="P3682" i="24"/>
  <c r="Q3682" i="24"/>
  <c r="V3682" i="24"/>
  <c r="B3683" i="24"/>
  <c r="M3683" i="24"/>
  <c r="P3683" i="24"/>
  <c r="Q3683" i="24"/>
  <c r="V3683" i="24"/>
  <c r="B3684" i="24"/>
  <c r="M3684" i="24"/>
  <c r="P3684" i="24"/>
  <c r="Q3684" i="24"/>
  <c r="V3684" i="24"/>
  <c r="B3685" i="24"/>
  <c r="M3685" i="24"/>
  <c r="P3685" i="24"/>
  <c r="Q3685" i="24"/>
  <c r="V3685" i="24"/>
  <c r="B3686" i="24"/>
  <c r="M3686" i="24"/>
  <c r="P3686" i="24"/>
  <c r="Q3686" i="24"/>
  <c r="V3686" i="24"/>
  <c r="B3687" i="24"/>
  <c r="M3687" i="24"/>
  <c r="P3687" i="24"/>
  <c r="Q3687" i="24"/>
  <c r="V3687" i="24"/>
  <c r="B3688" i="24"/>
  <c r="M3688" i="24"/>
  <c r="P3688" i="24"/>
  <c r="Q3688" i="24"/>
  <c r="V3688" i="24"/>
  <c r="B3689" i="24"/>
  <c r="M3689" i="24"/>
  <c r="P3689" i="24"/>
  <c r="Q3689" i="24"/>
  <c r="V3689" i="24"/>
  <c r="B3690" i="24"/>
  <c r="M3690" i="24"/>
  <c r="P3690" i="24"/>
  <c r="Q3690" i="24"/>
  <c r="V3690" i="24"/>
  <c r="B3691" i="24"/>
  <c r="M3691" i="24"/>
  <c r="P3691" i="24"/>
  <c r="Q3691" i="24"/>
  <c r="V3691" i="24"/>
  <c r="B3692" i="24"/>
  <c r="M3692" i="24"/>
  <c r="P3692" i="24"/>
  <c r="Q3692" i="24"/>
  <c r="V3692" i="24"/>
  <c r="B3693" i="24"/>
  <c r="M3693" i="24"/>
  <c r="P3693" i="24"/>
  <c r="Q3693" i="24"/>
  <c r="V3693" i="24"/>
  <c r="B3694" i="24"/>
  <c r="M3694" i="24"/>
  <c r="P3694" i="24"/>
  <c r="Q3694" i="24"/>
  <c r="V3694" i="24"/>
  <c r="B3695" i="24"/>
  <c r="M3695" i="24"/>
  <c r="P3695" i="24"/>
  <c r="Q3695" i="24"/>
  <c r="V3695" i="24"/>
  <c r="B3696" i="24"/>
  <c r="M3696" i="24"/>
  <c r="P3696" i="24"/>
  <c r="Q3696" i="24"/>
  <c r="V3696" i="24"/>
  <c r="B3697" i="24"/>
  <c r="M3697" i="24"/>
  <c r="P3697" i="24"/>
  <c r="Q3697" i="24"/>
  <c r="V3697" i="24"/>
  <c r="B3698" i="24"/>
  <c r="M3698" i="24"/>
  <c r="P3698" i="24"/>
  <c r="Q3698" i="24"/>
  <c r="V3698" i="24"/>
  <c r="B3699" i="24"/>
  <c r="M3699" i="24"/>
  <c r="P3699" i="24"/>
  <c r="Q3699" i="24"/>
  <c r="V3699" i="24"/>
  <c r="B3700" i="24"/>
  <c r="M3700" i="24"/>
  <c r="P3700" i="24"/>
  <c r="Q3700" i="24"/>
  <c r="V3700" i="24"/>
  <c r="B3701" i="24"/>
  <c r="M3701" i="24"/>
  <c r="P3701" i="24"/>
  <c r="Q3701" i="24"/>
  <c r="V3701" i="24"/>
  <c r="B3702" i="24"/>
  <c r="M3702" i="24"/>
  <c r="P3702" i="24"/>
  <c r="Q3702" i="24"/>
  <c r="V3702" i="24"/>
  <c r="B3703" i="24"/>
  <c r="M3703" i="24"/>
  <c r="P3703" i="24"/>
  <c r="Q3703" i="24"/>
  <c r="V3703" i="24"/>
  <c r="B3704" i="24"/>
  <c r="M3704" i="24"/>
  <c r="P3704" i="24"/>
  <c r="Q3704" i="24"/>
  <c r="V3704" i="24"/>
  <c r="B3705" i="24"/>
  <c r="M3705" i="24"/>
  <c r="P3705" i="24"/>
  <c r="Q3705" i="24"/>
  <c r="V3705" i="24"/>
  <c r="B3706" i="24"/>
  <c r="M3706" i="24"/>
  <c r="P3706" i="24"/>
  <c r="Q3706" i="24"/>
  <c r="V3706" i="24"/>
  <c r="B3707" i="24"/>
  <c r="M3707" i="24"/>
  <c r="P3707" i="24"/>
  <c r="Q3707" i="24"/>
  <c r="V3707" i="24"/>
  <c r="B3708" i="24"/>
  <c r="M3708" i="24"/>
  <c r="P3708" i="24"/>
  <c r="Q3708" i="24"/>
  <c r="V3708" i="24"/>
  <c r="B3709" i="24"/>
  <c r="M3709" i="24"/>
  <c r="P3709" i="24"/>
  <c r="Q3709" i="24"/>
  <c r="V3709" i="24"/>
  <c r="B3710" i="24"/>
  <c r="M3710" i="24"/>
  <c r="P3710" i="24"/>
  <c r="Q3710" i="24"/>
  <c r="V3710" i="24"/>
  <c r="B3711" i="24"/>
  <c r="M3711" i="24"/>
  <c r="P3711" i="24"/>
  <c r="Q3711" i="24"/>
  <c r="V3711" i="24"/>
  <c r="B3712" i="24"/>
  <c r="M3712" i="24"/>
  <c r="P3712" i="24"/>
  <c r="Q3712" i="24"/>
  <c r="V3712" i="24"/>
  <c r="B3713" i="24"/>
  <c r="M3713" i="24"/>
  <c r="P3713" i="24"/>
  <c r="Q3713" i="24"/>
  <c r="V3713" i="24"/>
  <c r="B3714" i="24"/>
  <c r="M3714" i="24"/>
  <c r="P3714" i="24"/>
  <c r="Q3714" i="24"/>
  <c r="V3714" i="24"/>
  <c r="B3715" i="24"/>
  <c r="M3715" i="24"/>
  <c r="P3715" i="24"/>
  <c r="Q3715" i="24"/>
  <c r="V3715" i="24"/>
  <c r="B3716" i="24"/>
  <c r="M3716" i="24"/>
  <c r="P3716" i="24"/>
  <c r="Q3716" i="24"/>
  <c r="V3716" i="24"/>
  <c r="B3717" i="24"/>
  <c r="M3717" i="24"/>
  <c r="P3717" i="24"/>
  <c r="Q3717" i="24"/>
  <c r="V3717" i="24"/>
  <c r="B3718" i="24"/>
  <c r="M3718" i="24"/>
  <c r="P3718" i="24"/>
  <c r="Q3718" i="24"/>
  <c r="V3718" i="24"/>
  <c r="B3719" i="24"/>
  <c r="M3719" i="24"/>
  <c r="P3719" i="24"/>
  <c r="Q3719" i="24"/>
  <c r="V3719" i="24"/>
  <c r="B3720" i="24"/>
  <c r="M3720" i="24"/>
  <c r="P3720" i="24"/>
  <c r="Q3720" i="24"/>
  <c r="V3720" i="24"/>
  <c r="B3721" i="24"/>
  <c r="M3721" i="24"/>
  <c r="P3721" i="24"/>
  <c r="Q3721" i="24"/>
  <c r="V3721" i="24"/>
  <c r="B3722" i="24"/>
  <c r="M3722" i="24"/>
  <c r="P3722" i="24"/>
  <c r="Q3722" i="24"/>
  <c r="V3722" i="24"/>
  <c r="B3723" i="24"/>
  <c r="M3723" i="24"/>
  <c r="P3723" i="24"/>
  <c r="Q3723" i="24"/>
  <c r="V3723" i="24"/>
  <c r="B3724" i="24"/>
  <c r="M3724" i="24"/>
  <c r="P3724" i="24"/>
  <c r="Q3724" i="24"/>
  <c r="V3724" i="24"/>
  <c r="B3725" i="24"/>
  <c r="M3725" i="24"/>
  <c r="P3725" i="24"/>
  <c r="Q3725" i="24"/>
  <c r="V3725" i="24"/>
  <c r="B3726" i="24"/>
  <c r="M3726" i="24"/>
  <c r="P3726" i="24"/>
  <c r="Q3726" i="24"/>
  <c r="V3726" i="24"/>
  <c r="B3727" i="24"/>
  <c r="M3727" i="24"/>
  <c r="P3727" i="24"/>
  <c r="Q3727" i="24"/>
  <c r="V3727" i="24"/>
  <c r="B3728" i="24"/>
  <c r="M3728" i="24"/>
  <c r="P3728" i="24"/>
  <c r="Q3728" i="24"/>
  <c r="V3728" i="24"/>
  <c r="B3729" i="24"/>
  <c r="M3729" i="24"/>
  <c r="P3729" i="24"/>
  <c r="Q3729" i="24"/>
  <c r="V3729" i="24"/>
  <c r="B3730" i="24"/>
  <c r="M3730" i="24"/>
  <c r="P3730" i="24"/>
  <c r="Q3730" i="24"/>
  <c r="V3730" i="24"/>
  <c r="B3731" i="24"/>
  <c r="M3731" i="24"/>
  <c r="P3731" i="24"/>
  <c r="Q3731" i="24"/>
  <c r="V3731" i="24"/>
  <c r="B3732" i="24"/>
  <c r="M3732" i="24"/>
  <c r="P3732" i="24"/>
  <c r="Q3732" i="24"/>
  <c r="V3732" i="24"/>
  <c r="B3733" i="24"/>
  <c r="M3733" i="24"/>
  <c r="P3733" i="24"/>
  <c r="Q3733" i="24"/>
  <c r="V3733" i="24"/>
  <c r="B3734" i="24"/>
  <c r="M3734" i="24"/>
  <c r="P3734" i="24"/>
  <c r="Q3734" i="24"/>
  <c r="V3734" i="24"/>
  <c r="B3735" i="24"/>
  <c r="M3735" i="24"/>
  <c r="P3735" i="24"/>
  <c r="Q3735" i="24"/>
  <c r="V3735" i="24"/>
  <c r="B3736" i="24"/>
  <c r="M3736" i="24"/>
  <c r="P3736" i="24"/>
  <c r="Q3736" i="24"/>
  <c r="V3736" i="24"/>
  <c r="B3737" i="24"/>
  <c r="M3737" i="24"/>
  <c r="P3737" i="24"/>
  <c r="Q3737" i="24"/>
  <c r="V3737" i="24"/>
  <c r="B3738" i="24"/>
  <c r="M3738" i="24"/>
  <c r="P3738" i="24"/>
  <c r="Q3738" i="24"/>
  <c r="V3738" i="24"/>
  <c r="B3739" i="24"/>
  <c r="M3739" i="24"/>
  <c r="P3739" i="24"/>
  <c r="Q3739" i="24"/>
  <c r="V3739" i="24"/>
  <c r="B3740" i="24"/>
  <c r="M3740" i="24"/>
  <c r="P3740" i="24"/>
  <c r="Q3740" i="24"/>
  <c r="V3740" i="24"/>
  <c r="B3741" i="24"/>
  <c r="M3741" i="24"/>
  <c r="P3741" i="24"/>
  <c r="Q3741" i="24"/>
  <c r="V3741" i="24"/>
  <c r="B3742" i="24"/>
  <c r="M3742" i="24"/>
  <c r="P3742" i="24"/>
  <c r="Q3742" i="24"/>
  <c r="V3742" i="24"/>
  <c r="B3743" i="24"/>
  <c r="M3743" i="24"/>
  <c r="P3743" i="24"/>
  <c r="Q3743" i="24"/>
  <c r="V3743" i="24"/>
  <c r="B3744" i="24"/>
  <c r="M3744" i="24"/>
  <c r="P3744" i="24"/>
  <c r="Q3744" i="24"/>
  <c r="V3744" i="24"/>
  <c r="B3745" i="24"/>
  <c r="M3745" i="24"/>
  <c r="P3745" i="24"/>
  <c r="Q3745" i="24"/>
  <c r="V3745" i="24"/>
  <c r="B3746" i="24"/>
  <c r="M3746" i="24"/>
  <c r="P3746" i="24"/>
  <c r="Q3746" i="24"/>
  <c r="V3746" i="24"/>
  <c r="B3747" i="24"/>
  <c r="M3747" i="24"/>
  <c r="P3747" i="24"/>
  <c r="Q3747" i="24"/>
  <c r="V3747" i="24"/>
  <c r="B3748" i="24"/>
  <c r="M3748" i="24"/>
  <c r="P3748" i="24"/>
  <c r="Q3748" i="24"/>
  <c r="V3748" i="24"/>
  <c r="B3749" i="24"/>
  <c r="M3749" i="24"/>
  <c r="P3749" i="24"/>
  <c r="Q3749" i="24"/>
  <c r="V3749" i="24"/>
  <c r="B3750" i="24"/>
  <c r="M3750" i="24"/>
  <c r="P3750" i="24"/>
  <c r="Q3750" i="24"/>
  <c r="V3750" i="24"/>
  <c r="B3751" i="24"/>
  <c r="M3751" i="24"/>
  <c r="P3751" i="24"/>
  <c r="Q3751" i="24"/>
  <c r="V3751" i="24"/>
  <c r="B3752" i="24"/>
  <c r="M3752" i="24"/>
  <c r="P3752" i="24"/>
  <c r="Q3752" i="24"/>
  <c r="V3752" i="24"/>
  <c r="B3753" i="24"/>
  <c r="M3753" i="24"/>
  <c r="P3753" i="24"/>
  <c r="Q3753" i="24"/>
  <c r="V3753" i="24"/>
  <c r="B3754" i="24"/>
  <c r="M3754" i="24"/>
  <c r="P3754" i="24"/>
  <c r="Q3754" i="24"/>
  <c r="V3754" i="24"/>
  <c r="B3755" i="24"/>
  <c r="M3755" i="24"/>
  <c r="P3755" i="24"/>
  <c r="Q3755" i="24"/>
  <c r="V3755" i="24"/>
  <c r="B3756" i="24"/>
  <c r="M3756" i="24"/>
  <c r="P3756" i="24"/>
  <c r="Q3756" i="24"/>
  <c r="V3756" i="24"/>
  <c r="B3757" i="24"/>
  <c r="M3757" i="24"/>
  <c r="P3757" i="24"/>
  <c r="Q3757" i="24"/>
  <c r="V3757" i="24"/>
  <c r="B3758" i="24"/>
  <c r="M3758" i="24"/>
  <c r="P3758" i="24"/>
  <c r="Q3758" i="24"/>
  <c r="V3758" i="24"/>
  <c r="B3759" i="24"/>
  <c r="M3759" i="24"/>
  <c r="P3759" i="24"/>
  <c r="Q3759" i="24"/>
  <c r="V3759" i="24"/>
  <c r="B3760" i="24"/>
  <c r="M3760" i="24"/>
  <c r="P3760" i="24"/>
  <c r="Q3760" i="24"/>
  <c r="V3760" i="24"/>
  <c r="B3761" i="24"/>
  <c r="M3761" i="24"/>
  <c r="P3761" i="24"/>
  <c r="Q3761" i="24"/>
  <c r="V3761" i="24"/>
  <c r="B3762" i="24"/>
  <c r="M3762" i="24"/>
  <c r="P3762" i="24"/>
  <c r="Q3762" i="24"/>
  <c r="V3762" i="24"/>
  <c r="B3763" i="24"/>
  <c r="M3763" i="24"/>
  <c r="P3763" i="24"/>
  <c r="Q3763" i="24"/>
  <c r="V3763" i="24"/>
  <c r="B3764" i="24"/>
  <c r="M3764" i="24"/>
  <c r="P3764" i="24"/>
  <c r="Q3764" i="24"/>
  <c r="V3764" i="24"/>
  <c r="B3765" i="24"/>
  <c r="M3765" i="24"/>
  <c r="P3765" i="24"/>
  <c r="Q3765" i="24"/>
  <c r="V3765" i="24"/>
  <c r="B3766" i="24"/>
  <c r="M3766" i="24"/>
  <c r="P3766" i="24"/>
  <c r="Q3766" i="24"/>
  <c r="V3766" i="24"/>
  <c r="B3767" i="24"/>
  <c r="M3767" i="24"/>
  <c r="P3767" i="24"/>
  <c r="Q3767" i="24"/>
  <c r="V3767" i="24"/>
  <c r="B3768" i="24"/>
  <c r="M3768" i="24"/>
  <c r="P3768" i="24"/>
  <c r="Q3768" i="24"/>
  <c r="V3768" i="24"/>
  <c r="B3769" i="24"/>
  <c r="M3769" i="24"/>
  <c r="P3769" i="24"/>
  <c r="Q3769" i="24"/>
  <c r="V3769" i="24"/>
  <c r="B3770" i="24"/>
  <c r="M3770" i="24"/>
  <c r="P3770" i="24"/>
  <c r="Q3770" i="24"/>
  <c r="V3770" i="24"/>
  <c r="B3771" i="24"/>
  <c r="M3771" i="24"/>
  <c r="P3771" i="24"/>
  <c r="Q3771" i="24"/>
  <c r="V3771" i="24"/>
  <c r="B3772" i="24"/>
  <c r="M3772" i="24"/>
  <c r="P3772" i="24"/>
  <c r="Q3772" i="24"/>
  <c r="V3772" i="24"/>
  <c r="B3773" i="24"/>
  <c r="M3773" i="24"/>
  <c r="P3773" i="24"/>
  <c r="Q3773" i="24"/>
  <c r="V3773" i="24"/>
  <c r="B3774" i="24"/>
  <c r="M3774" i="24"/>
  <c r="P3774" i="24"/>
  <c r="Q3774" i="24"/>
  <c r="V3774" i="24"/>
  <c r="B3775" i="24"/>
  <c r="M3775" i="24"/>
  <c r="P3775" i="24"/>
  <c r="Q3775" i="24"/>
  <c r="V3775" i="24"/>
  <c r="B3776" i="24"/>
  <c r="M3776" i="24"/>
  <c r="P3776" i="24"/>
  <c r="Q3776" i="24"/>
  <c r="V3776" i="24"/>
  <c r="B3777" i="24"/>
  <c r="M3777" i="24"/>
  <c r="P3777" i="24"/>
  <c r="Q3777" i="24"/>
  <c r="V3777" i="24"/>
  <c r="B3778" i="24"/>
  <c r="M3778" i="24"/>
  <c r="P3778" i="24"/>
  <c r="Q3778" i="24"/>
  <c r="V3778" i="24"/>
  <c r="B3779" i="24"/>
  <c r="M3779" i="24"/>
  <c r="P3779" i="24"/>
  <c r="Q3779" i="24"/>
  <c r="V3779" i="24"/>
  <c r="B3780" i="24"/>
  <c r="M3780" i="24"/>
  <c r="P3780" i="24"/>
  <c r="Q3780" i="24"/>
  <c r="V3780" i="24"/>
  <c r="B3781" i="24"/>
  <c r="M3781" i="24"/>
  <c r="P3781" i="24"/>
  <c r="Q3781" i="24"/>
  <c r="V3781" i="24"/>
  <c r="B3782" i="24"/>
  <c r="M3782" i="24"/>
  <c r="P3782" i="24"/>
  <c r="Q3782" i="24"/>
  <c r="V3782" i="24"/>
  <c r="B3783" i="24"/>
  <c r="M3783" i="24"/>
  <c r="P3783" i="24"/>
  <c r="Q3783" i="24"/>
  <c r="V3783" i="24"/>
  <c r="B3784" i="24"/>
  <c r="M3784" i="24"/>
  <c r="P3784" i="24"/>
  <c r="Q3784" i="24"/>
  <c r="V3784" i="24"/>
  <c r="B3785" i="24"/>
  <c r="M3785" i="24"/>
  <c r="P3785" i="24"/>
  <c r="Q3785" i="24"/>
  <c r="V3785" i="24"/>
  <c r="B3786" i="24"/>
  <c r="M3786" i="24"/>
  <c r="P3786" i="24"/>
  <c r="Q3786" i="24"/>
  <c r="V3786" i="24"/>
  <c r="B3787" i="24"/>
  <c r="M3787" i="24"/>
  <c r="P3787" i="24"/>
  <c r="Q3787" i="24"/>
  <c r="V3787" i="24"/>
  <c r="B3788" i="24"/>
  <c r="M3788" i="24"/>
  <c r="P3788" i="24"/>
  <c r="Q3788" i="24"/>
  <c r="V3788" i="24"/>
  <c r="B3789" i="24"/>
  <c r="M3789" i="24"/>
  <c r="P3789" i="24"/>
  <c r="Q3789" i="24"/>
  <c r="V3789" i="24"/>
  <c r="B3790" i="24"/>
  <c r="M3790" i="24"/>
  <c r="P3790" i="24"/>
  <c r="Q3790" i="24"/>
  <c r="V3790" i="24"/>
  <c r="B3791" i="24"/>
  <c r="M3791" i="24"/>
  <c r="P3791" i="24"/>
  <c r="Q3791" i="24"/>
  <c r="V3791" i="24"/>
  <c r="B3792" i="24"/>
  <c r="M3792" i="24"/>
  <c r="P3792" i="24"/>
  <c r="Q3792" i="24"/>
  <c r="V3792" i="24"/>
  <c r="B3793" i="24"/>
  <c r="M3793" i="24"/>
  <c r="P3793" i="24"/>
  <c r="Q3793" i="24"/>
  <c r="V3793" i="24"/>
  <c r="B3794" i="24"/>
  <c r="M3794" i="24"/>
  <c r="P3794" i="24"/>
  <c r="Q3794" i="24"/>
  <c r="V3794" i="24"/>
  <c r="B3795" i="24"/>
  <c r="M3795" i="24"/>
  <c r="P3795" i="24"/>
  <c r="Q3795" i="24"/>
  <c r="V3795" i="24"/>
  <c r="B3796" i="24"/>
  <c r="M3796" i="24"/>
  <c r="P3796" i="24"/>
  <c r="Q3796" i="24"/>
  <c r="V3796" i="24"/>
  <c r="B3797" i="24"/>
  <c r="M3797" i="24"/>
  <c r="P3797" i="24"/>
  <c r="Q3797" i="24"/>
  <c r="V3797" i="24"/>
  <c r="B3798" i="24"/>
  <c r="M3798" i="24"/>
  <c r="P3798" i="24"/>
  <c r="Q3798" i="24"/>
  <c r="V3798" i="24"/>
  <c r="B3799" i="24"/>
  <c r="M3799" i="24"/>
  <c r="P3799" i="24"/>
  <c r="Q3799" i="24"/>
  <c r="V3799" i="24"/>
  <c r="B3800" i="24"/>
  <c r="M3800" i="24"/>
  <c r="P3800" i="24"/>
  <c r="Q3800" i="24"/>
  <c r="V3800" i="24"/>
  <c r="B3801" i="24"/>
  <c r="M3801" i="24"/>
  <c r="P3801" i="24"/>
  <c r="Q3801" i="24"/>
  <c r="V3801" i="24"/>
  <c r="B3802" i="24"/>
  <c r="M3802" i="24"/>
  <c r="P3802" i="24"/>
  <c r="Q3802" i="24"/>
  <c r="V3802" i="24"/>
  <c r="B3803" i="24"/>
  <c r="M3803" i="24"/>
  <c r="P3803" i="24"/>
  <c r="Q3803" i="24"/>
  <c r="V3803" i="24"/>
  <c r="B3804" i="24"/>
  <c r="M3804" i="24"/>
  <c r="P3804" i="24"/>
  <c r="Q3804" i="24"/>
  <c r="V3804" i="24"/>
  <c r="B3805" i="24"/>
  <c r="M3805" i="24"/>
  <c r="P3805" i="24"/>
  <c r="Q3805" i="24"/>
  <c r="V3805" i="24"/>
  <c r="B3806" i="24"/>
  <c r="M3806" i="24"/>
  <c r="P3806" i="24"/>
  <c r="Q3806" i="24"/>
  <c r="V3806" i="24"/>
  <c r="B3807" i="24"/>
  <c r="M3807" i="24"/>
  <c r="P3807" i="24"/>
  <c r="Q3807" i="24"/>
  <c r="V3807" i="24"/>
  <c r="B3808" i="24"/>
  <c r="M3808" i="24"/>
  <c r="P3808" i="24"/>
  <c r="Q3808" i="24"/>
  <c r="V3808" i="24"/>
  <c r="B3809" i="24"/>
  <c r="M3809" i="24"/>
  <c r="P3809" i="24"/>
  <c r="Q3809" i="24"/>
  <c r="V3809" i="24"/>
  <c r="B3810" i="24"/>
  <c r="M3810" i="24"/>
  <c r="P3810" i="24"/>
  <c r="Q3810" i="24"/>
  <c r="V3810" i="24"/>
  <c r="B3811" i="24"/>
  <c r="M3811" i="24"/>
  <c r="P3811" i="24"/>
  <c r="Q3811" i="24"/>
  <c r="V3811" i="24"/>
  <c r="B3812" i="24"/>
  <c r="M3812" i="24"/>
  <c r="P3812" i="24"/>
  <c r="Q3812" i="24"/>
  <c r="V3812" i="24"/>
  <c r="B3813" i="24"/>
  <c r="M3813" i="24"/>
  <c r="P3813" i="24"/>
  <c r="Q3813" i="24"/>
  <c r="V3813" i="24"/>
  <c r="B3814" i="24"/>
  <c r="M3814" i="24"/>
  <c r="P3814" i="24"/>
  <c r="Q3814" i="24"/>
  <c r="V3814" i="24"/>
  <c r="B3815" i="24"/>
  <c r="M3815" i="24"/>
  <c r="P3815" i="24"/>
  <c r="Q3815" i="24"/>
  <c r="V3815" i="24"/>
  <c r="B3816" i="24"/>
  <c r="M3816" i="24"/>
  <c r="P3816" i="24"/>
  <c r="Q3816" i="24"/>
  <c r="V3816" i="24"/>
  <c r="B3817" i="24"/>
  <c r="M3817" i="24"/>
  <c r="P3817" i="24"/>
  <c r="Q3817" i="24"/>
  <c r="V3817" i="24"/>
  <c r="B3818" i="24"/>
  <c r="M3818" i="24"/>
  <c r="P3818" i="24"/>
  <c r="Q3818" i="24"/>
  <c r="V3818" i="24"/>
  <c r="B3819" i="24"/>
  <c r="M3819" i="24"/>
  <c r="P3819" i="24"/>
  <c r="Q3819" i="24"/>
  <c r="V3819" i="24"/>
  <c r="B3820" i="24"/>
  <c r="M3820" i="24"/>
  <c r="P3820" i="24"/>
  <c r="Q3820" i="24"/>
  <c r="V3820" i="24"/>
  <c r="B3821" i="24"/>
  <c r="M3821" i="24"/>
  <c r="P3821" i="24"/>
  <c r="Q3821" i="24"/>
  <c r="V3821" i="24"/>
  <c r="B3822" i="24"/>
  <c r="M3822" i="24"/>
  <c r="P3822" i="24"/>
  <c r="Q3822" i="24"/>
  <c r="V3822" i="24"/>
  <c r="B3823" i="24"/>
  <c r="M3823" i="24"/>
  <c r="P3823" i="24"/>
  <c r="Q3823" i="24"/>
  <c r="V3823" i="24"/>
  <c r="B3824" i="24"/>
  <c r="M3824" i="24"/>
  <c r="P3824" i="24"/>
  <c r="Q3824" i="24"/>
  <c r="V3824" i="24"/>
  <c r="B3825" i="24"/>
  <c r="M3825" i="24"/>
  <c r="P3825" i="24"/>
  <c r="Q3825" i="24"/>
  <c r="V3825" i="24"/>
  <c r="B3826" i="24"/>
  <c r="M3826" i="24"/>
  <c r="P3826" i="24"/>
  <c r="Q3826" i="24"/>
  <c r="V3826" i="24"/>
  <c r="B3827" i="24"/>
  <c r="M3827" i="24"/>
  <c r="P3827" i="24"/>
  <c r="Q3827" i="24"/>
  <c r="V3827" i="24"/>
  <c r="B3828" i="24"/>
  <c r="M3828" i="24"/>
  <c r="P3828" i="24"/>
  <c r="Q3828" i="24"/>
  <c r="V3828" i="24"/>
  <c r="B3829" i="24"/>
  <c r="M3829" i="24"/>
  <c r="P3829" i="24"/>
  <c r="Q3829" i="24"/>
  <c r="V3829" i="24"/>
  <c r="B3830" i="24"/>
  <c r="M3830" i="24"/>
  <c r="P3830" i="24"/>
  <c r="Q3830" i="24"/>
  <c r="V3830" i="24"/>
  <c r="B3831" i="24"/>
  <c r="M3831" i="24"/>
  <c r="P3831" i="24"/>
  <c r="Q3831" i="24"/>
  <c r="V3831" i="24"/>
  <c r="B3832" i="24"/>
  <c r="M3832" i="24"/>
  <c r="P3832" i="24"/>
  <c r="Q3832" i="24"/>
  <c r="V3832" i="24"/>
  <c r="B3833" i="24"/>
  <c r="M3833" i="24"/>
  <c r="P3833" i="24"/>
  <c r="Q3833" i="24"/>
  <c r="V3833" i="24"/>
  <c r="B3834" i="24"/>
  <c r="M3834" i="24"/>
  <c r="P3834" i="24"/>
  <c r="Q3834" i="24"/>
  <c r="V3834" i="24"/>
  <c r="B3835" i="24"/>
  <c r="M3835" i="24"/>
  <c r="P3835" i="24"/>
  <c r="Q3835" i="24"/>
  <c r="V3835" i="24"/>
  <c r="B3836" i="24"/>
  <c r="M3836" i="24"/>
  <c r="P3836" i="24"/>
  <c r="Q3836" i="24"/>
  <c r="V3836" i="24"/>
  <c r="B3837" i="24"/>
  <c r="M3837" i="24"/>
  <c r="P3837" i="24"/>
  <c r="Q3837" i="24"/>
  <c r="V3837" i="24"/>
  <c r="B3838" i="24"/>
  <c r="M3838" i="24"/>
  <c r="P3838" i="24"/>
  <c r="Q3838" i="24"/>
  <c r="V3838" i="24"/>
  <c r="B3839" i="24"/>
  <c r="M3839" i="24"/>
  <c r="P3839" i="24"/>
  <c r="Q3839" i="24"/>
  <c r="V3839" i="24"/>
  <c r="B3840" i="24"/>
  <c r="M3840" i="24"/>
  <c r="P3840" i="24"/>
  <c r="Q3840" i="24"/>
  <c r="V3840" i="24"/>
  <c r="B3841" i="24"/>
  <c r="M3841" i="24"/>
  <c r="P3841" i="24"/>
  <c r="Q3841" i="24"/>
  <c r="V3841" i="24"/>
  <c r="B3842" i="24"/>
  <c r="M3842" i="24"/>
  <c r="P3842" i="24"/>
  <c r="Q3842" i="24"/>
  <c r="V3842" i="24"/>
  <c r="B3843" i="24"/>
  <c r="M3843" i="24"/>
  <c r="P3843" i="24"/>
  <c r="Q3843" i="24"/>
  <c r="V3843" i="24"/>
  <c r="B3844" i="24"/>
  <c r="M3844" i="24"/>
  <c r="P3844" i="24"/>
  <c r="Q3844" i="24"/>
  <c r="V3844" i="24"/>
  <c r="B3845" i="24"/>
  <c r="M3845" i="24"/>
  <c r="P3845" i="24"/>
  <c r="Q3845" i="24"/>
  <c r="V3845" i="24"/>
  <c r="B3846" i="24"/>
  <c r="M3846" i="24"/>
  <c r="P3846" i="24"/>
  <c r="Q3846" i="24"/>
  <c r="V3846" i="24"/>
  <c r="B3847" i="24"/>
  <c r="M3847" i="24"/>
  <c r="P3847" i="24"/>
  <c r="Q3847" i="24"/>
  <c r="V3847" i="24"/>
  <c r="B3848" i="24"/>
  <c r="M3848" i="24"/>
  <c r="P3848" i="24"/>
  <c r="Q3848" i="24"/>
  <c r="V3848" i="24"/>
  <c r="B3849" i="24"/>
  <c r="M3849" i="24"/>
  <c r="P3849" i="24"/>
  <c r="Q3849" i="24"/>
  <c r="V3849" i="24"/>
  <c r="B3850" i="24"/>
  <c r="M3850" i="24"/>
  <c r="P3850" i="24"/>
  <c r="Q3850" i="24"/>
  <c r="V3850" i="24"/>
  <c r="B3851" i="24"/>
  <c r="M3851" i="24"/>
  <c r="P3851" i="24"/>
  <c r="Q3851" i="24"/>
  <c r="V3851" i="24"/>
  <c r="B3852" i="24"/>
  <c r="M3852" i="24"/>
  <c r="P3852" i="24"/>
  <c r="Q3852" i="24"/>
  <c r="V3852" i="24"/>
  <c r="B3853" i="24"/>
  <c r="M3853" i="24"/>
  <c r="P3853" i="24"/>
  <c r="Q3853" i="24"/>
  <c r="V3853" i="24"/>
  <c r="B3854" i="24"/>
  <c r="M3854" i="24"/>
  <c r="P3854" i="24"/>
  <c r="Q3854" i="24"/>
  <c r="V3854" i="24"/>
  <c r="B3855" i="24"/>
  <c r="M3855" i="24"/>
  <c r="P3855" i="24"/>
  <c r="Q3855" i="24"/>
  <c r="V3855" i="24"/>
  <c r="B3856" i="24"/>
  <c r="M3856" i="24"/>
  <c r="P3856" i="24"/>
  <c r="Q3856" i="24"/>
  <c r="V3856" i="24"/>
  <c r="B3857" i="24"/>
  <c r="M3857" i="24"/>
  <c r="P3857" i="24"/>
  <c r="Q3857" i="24"/>
  <c r="V3857" i="24"/>
  <c r="B3858" i="24"/>
  <c r="M3858" i="24"/>
  <c r="P3858" i="24"/>
  <c r="Q3858" i="24"/>
  <c r="V3858" i="24"/>
  <c r="B3859" i="24"/>
  <c r="M3859" i="24"/>
  <c r="P3859" i="24"/>
  <c r="Q3859" i="24"/>
  <c r="V3859" i="24"/>
  <c r="B3860" i="24"/>
  <c r="M3860" i="24"/>
  <c r="P3860" i="24"/>
  <c r="Q3860" i="24"/>
  <c r="V3860" i="24"/>
  <c r="B3861" i="24"/>
  <c r="M3861" i="24"/>
  <c r="P3861" i="24"/>
  <c r="Q3861" i="24"/>
  <c r="V3861" i="24"/>
  <c r="B3862" i="24"/>
  <c r="M3862" i="24"/>
  <c r="P3862" i="24"/>
  <c r="Q3862" i="24"/>
  <c r="V3862" i="24"/>
  <c r="B3863" i="24"/>
  <c r="M3863" i="24"/>
  <c r="P3863" i="24"/>
  <c r="Q3863" i="24"/>
  <c r="V3863" i="24"/>
  <c r="B3864" i="24"/>
  <c r="M3864" i="24"/>
  <c r="P3864" i="24"/>
  <c r="Q3864" i="24"/>
  <c r="V3864" i="24"/>
  <c r="B3865" i="24"/>
  <c r="M3865" i="24"/>
  <c r="P3865" i="24"/>
  <c r="Q3865" i="24"/>
  <c r="V3865" i="24"/>
  <c r="B3866" i="24"/>
  <c r="M3866" i="24"/>
  <c r="P3866" i="24"/>
  <c r="Q3866" i="24"/>
  <c r="V3866" i="24"/>
  <c r="B3867" i="24"/>
  <c r="M3867" i="24"/>
  <c r="P3867" i="24"/>
  <c r="Q3867" i="24"/>
  <c r="V3867" i="24"/>
  <c r="B3868" i="24"/>
  <c r="M3868" i="24"/>
  <c r="P3868" i="24"/>
  <c r="Q3868" i="24"/>
  <c r="V3868" i="24"/>
  <c r="B3869" i="24"/>
  <c r="M3869" i="24"/>
  <c r="P3869" i="24"/>
  <c r="Q3869" i="24"/>
  <c r="V3869" i="24"/>
  <c r="B3870" i="24"/>
  <c r="M3870" i="24"/>
  <c r="P3870" i="24"/>
  <c r="Q3870" i="24"/>
  <c r="V3870" i="24"/>
  <c r="B3871" i="24"/>
  <c r="M3871" i="24"/>
  <c r="P3871" i="24"/>
  <c r="Q3871" i="24"/>
  <c r="V3871" i="24"/>
  <c r="B3872" i="24"/>
  <c r="M3872" i="24"/>
  <c r="P3872" i="24"/>
  <c r="Q3872" i="24"/>
  <c r="V3872" i="24"/>
  <c r="B3873" i="24"/>
  <c r="M3873" i="24"/>
  <c r="P3873" i="24"/>
  <c r="Q3873" i="24"/>
  <c r="V3873" i="24"/>
  <c r="B3874" i="24"/>
  <c r="M3874" i="24"/>
  <c r="P3874" i="24"/>
  <c r="Q3874" i="24"/>
  <c r="V3874" i="24"/>
  <c r="B3875" i="24"/>
  <c r="M3875" i="24"/>
  <c r="P3875" i="24"/>
  <c r="Q3875" i="24"/>
  <c r="V3875" i="24"/>
  <c r="B3876" i="24"/>
  <c r="M3876" i="24"/>
  <c r="P3876" i="24"/>
  <c r="Q3876" i="24"/>
  <c r="V3876" i="24"/>
  <c r="B3877" i="24"/>
  <c r="M3877" i="24"/>
  <c r="P3877" i="24"/>
  <c r="Q3877" i="24"/>
  <c r="V3877" i="24"/>
  <c r="B3878" i="24"/>
  <c r="M3878" i="24"/>
  <c r="P3878" i="24"/>
  <c r="Q3878" i="24"/>
  <c r="V3878" i="24"/>
  <c r="B3879" i="24"/>
  <c r="M3879" i="24"/>
  <c r="P3879" i="24"/>
  <c r="Q3879" i="24"/>
  <c r="V3879" i="24"/>
  <c r="B3880" i="24"/>
  <c r="M3880" i="24"/>
  <c r="P3880" i="24"/>
  <c r="Q3880" i="24"/>
  <c r="V3880" i="24"/>
  <c r="B3881" i="24"/>
  <c r="M3881" i="24"/>
  <c r="P3881" i="24"/>
  <c r="Q3881" i="24"/>
  <c r="V3881" i="24"/>
  <c r="B3882" i="24"/>
  <c r="M3882" i="24"/>
  <c r="P3882" i="24"/>
  <c r="Q3882" i="24"/>
  <c r="V3882" i="24"/>
  <c r="B3883" i="24"/>
  <c r="M3883" i="24"/>
  <c r="P3883" i="24"/>
  <c r="Q3883" i="24"/>
  <c r="V3883" i="24"/>
  <c r="B3884" i="24"/>
  <c r="M3884" i="24"/>
  <c r="P3884" i="24"/>
  <c r="Q3884" i="24"/>
  <c r="V3884" i="24"/>
  <c r="B3885" i="24"/>
  <c r="M3885" i="24"/>
  <c r="P3885" i="24"/>
  <c r="Q3885" i="24"/>
  <c r="V3885" i="24"/>
  <c r="B3886" i="24"/>
  <c r="M3886" i="24"/>
  <c r="P3886" i="24"/>
  <c r="Q3886" i="24"/>
  <c r="V3886" i="24"/>
  <c r="B3887" i="24"/>
  <c r="M3887" i="24"/>
  <c r="P3887" i="24"/>
  <c r="Q3887" i="24"/>
  <c r="V3887" i="24"/>
  <c r="B3888" i="24"/>
  <c r="M3888" i="24"/>
  <c r="P3888" i="24"/>
  <c r="Q3888" i="24"/>
  <c r="V3888" i="24"/>
  <c r="B3889" i="24"/>
  <c r="M3889" i="24"/>
  <c r="P3889" i="24"/>
  <c r="Q3889" i="24"/>
  <c r="V3889" i="24"/>
  <c r="B3890" i="24"/>
  <c r="M3890" i="24"/>
  <c r="P3890" i="24"/>
  <c r="Q3890" i="24"/>
  <c r="V3890" i="24"/>
  <c r="B3891" i="24"/>
  <c r="M3891" i="24"/>
  <c r="P3891" i="24"/>
  <c r="Q3891" i="24"/>
  <c r="V3891" i="24"/>
  <c r="B3892" i="24"/>
  <c r="M3892" i="24"/>
  <c r="P3892" i="24"/>
  <c r="Q3892" i="24"/>
  <c r="V3892" i="24"/>
  <c r="B3893" i="24"/>
  <c r="M3893" i="24"/>
  <c r="P3893" i="24"/>
  <c r="Q3893" i="24"/>
  <c r="V3893" i="24"/>
  <c r="B3894" i="24"/>
  <c r="M3894" i="24"/>
  <c r="P3894" i="24"/>
  <c r="Q3894" i="24"/>
  <c r="V3894" i="24"/>
  <c r="B3895" i="24"/>
  <c r="M3895" i="24"/>
  <c r="P3895" i="24"/>
  <c r="Q3895" i="24"/>
  <c r="V3895" i="24"/>
  <c r="B3896" i="24"/>
  <c r="M3896" i="24"/>
  <c r="P3896" i="24"/>
  <c r="Q3896" i="24"/>
  <c r="V3896" i="24"/>
  <c r="B3897" i="24"/>
  <c r="M3897" i="24"/>
  <c r="P3897" i="24"/>
  <c r="Q3897" i="24"/>
  <c r="V3897" i="24"/>
  <c r="B3898" i="24"/>
  <c r="M3898" i="24"/>
  <c r="P3898" i="24"/>
  <c r="Q3898" i="24"/>
  <c r="V3898" i="24"/>
  <c r="B3899" i="24"/>
  <c r="M3899" i="24"/>
  <c r="P3899" i="24"/>
  <c r="Q3899" i="24"/>
  <c r="V3899" i="24"/>
  <c r="B3900" i="24"/>
  <c r="M3900" i="24"/>
  <c r="P3900" i="24"/>
  <c r="Q3900" i="24"/>
  <c r="V3900" i="24"/>
  <c r="B3901" i="24"/>
  <c r="M3901" i="24"/>
  <c r="P3901" i="24"/>
  <c r="Q3901" i="24"/>
  <c r="V3901" i="24"/>
  <c r="B3902" i="24"/>
  <c r="M3902" i="24"/>
  <c r="P3902" i="24"/>
  <c r="Q3902" i="24"/>
  <c r="V3902" i="24"/>
  <c r="B3903" i="24"/>
  <c r="M3903" i="24"/>
  <c r="P3903" i="24"/>
  <c r="Q3903" i="24"/>
  <c r="V3903" i="24"/>
  <c r="B3904" i="24"/>
  <c r="M3904" i="24"/>
  <c r="P3904" i="24"/>
  <c r="Q3904" i="24"/>
  <c r="V3904" i="24"/>
  <c r="B3905" i="24"/>
  <c r="M3905" i="24"/>
  <c r="P3905" i="24"/>
  <c r="Q3905" i="24"/>
  <c r="V3905" i="24"/>
  <c r="B3906" i="24"/>
  <c r="M3906" i="24"/>
  <c r="P3906" i="24"/>
  <c r="Q3906" i="24"/>
  <c r="V3906" i="24"/>
  <c r="B3907" i="24"/>
  <c r="M3907" i="24"/>
  <c r="P3907" i="24"/>
  <c r="Q3907" i="24"/>
  <c r="V3907" i="24"/>
  <c r="B3908" i="24"/>
  <c r="M3908" i="24"/>
  <c r="P3908" i="24"/>
  <c r="Q3908" i="24"/>
  <c r="V3908" i="24"/>
  <c r="B3909" i="24"/>
  <c r="M3909" i="24"/>
  <c r="P3909" i="24"/>
  <c r="Q3909" i="24"/>
  <c r="V3909" i="24"/>
  <c r="B3910" i="24"/>
  <c r="M3910" i="24"/>
  <c r="P3910" i="24"/>
  <c r="Q3910" i="24"/>
  <c r="V3910" i="24"/>
  <c r="B3911" i="24"/>
  <c r="M3911" i="24"/>
  <c r="P3911" i="24"/>
  <c r="Q3911" i="24"/>
  <c r="V3911" i="24"/>
  <c r="B3912" i="24"/>
  <c r="M3912" i="24"/>
  <c r="P3912" i="24"/>
  <c r="Q3912" i="24"/>
  <c r="V3912" i="24"/>
  <c r="B3913" i="24"/>
  <c r="M3913" i="24"/>
  <c r="P3913" i="24"/>
  <c r="Q3913" i="24"/>
  <c r="V3913" i="24"/>
  <c r="B3914" i="24"/>
  <c r="M3914" i="24"/>
  <c r="P3914" i="24"/>
  <c r="Q3914" i="24"/>
  <c r="V3914" i="24"/>
  <c r="B3915" i="24"/>
  <c r="M3915" i="24"/>
  <c r="P3915" i="24"/>
  <c r="Q3915" i="24"/>
  <c r="V3915" i="24"/>
  <c r="B3916" i="24"/>
  <c r="M3916" i="24"/>
  <c r="P3916" i="24"/>
  <c r="Q3916" i="24"/>
  <c r="V3916" i="24"/>
  <c r="B3917" i="24"/>
  <c r="M3917" i="24"/>
  <c r="P3917" i="24"/>
  <c r="Q3917" i="24"/>
  <c r="V3917" i="24"/>
  <c r="B3918" i="24"/>
  <c r="M3918" i="24"/>
  <c r="P3918" i="24"/>
  <c r="Q3918" i="24"/>
  <c r="V3918" i="24"/>
  <c r="B3919" i="24"/>
  <c r="M3919" i="24"/>
  <c r="P3919" i="24"/>
  <c r="Q3919" i="24"/>
  <c r="V3919" i="24"/>
  <c r="B3920" i="24"/>
  <c r="M3920" i="24"/>
  <c r="P3920" i="24"/>
  <c r="Q3920" i="24"/>
  <c r="V3920" i="24"/>
  <c r="B3921" i="24"/>
  <c r="M3921" i="24"/>
  <c r="P3921" i="24"/>
  <c r="Q3921" i="24"/>
  <c r="V3921" i="24"/>
  <c r="B3922" i="24"/>
  <c r="M3922" i="24"/>
  <c r="P3922" i="24"/>
  <c r="Q3922" i="24"/>
  <c r="V3922" i="24"/>
  <c r="B3923" i="24"/>
  <c r="M3923" i="24"/>
  <c r="P3923" i="24"/>
  <c r="Q3923" i="24"/>
  <c r="V3923" i="24"/>
  <c r="B3924" i="24"/>
  <c r="M3924" i="24"/>
  <c r="P3924" i="24"/>
  <c r="Q3924" i="24"/>
  <c r="V3924" i="24"/>
  <c r="B3925" i="24"/>
  <c r="M3925" i="24"/>
  <c r="P3925" i="24"/>
  <c r="Q3925" i="24"/>
  <c r="V3925" i="24"/>
  <c r="B3926" i="24"/>
  <c r="M3926" i="24"/>
  <c r="P3926" i="24"/>
  <c r="Q3926" i="24"/>
  <c r="V3926" i="24"/>
  <c r="B3927" i="24"/>
  <c r="M3927" i="24"/>
  <c r="P3927" i="24"/>
  <c r="Q3927" i="24"/>
  <c r="V3927" i="24"/>
  <c r="B3928" i="24"/>
  <c r="M3928" i="24"/>
  <c r="P3928" i="24"/>
  <c r="Q3928" i="24"/>
  <c r="V3928" i="24"/>
  <c r="B3929" i="24"/>
  <c r="M3929" i="24"/>
  <c r="P3929" i="24"/>
  <c r="Q3929" i="24"/>
  <c r="V3929" i="24"/>
  <c r="B3930" i="24"/>
  <c r="M3930" i="24"/>
  <c r="P3930" i="24"/>
  <c r="Q3930" i="24"/>
  <c r="V3930" i="24"/>
  <c r="B3931" i="24"/>
  <c r="M3931" i="24"/>
  <c r="P3931" i="24"/>
  <c r="Q3931" i="24"/>
  <c r="V3931" i="24"/>
  <c r="B3932" i="24"/>
  <c r="M3932" i="24"/>
  <c r="P3932" i="24"/>
  <c r="Q3932" i="24"/>
  <c r="V3932" i="24"/>
  <c r="B3933" i="24"/>
  <c r="M3933" i="24"/>
  <c r="P3933" i="24"/>
  <c r="Q3933" i="24"/>
  <c r="V3933" i="24"/>
  <c r="B3934" i="24"/>
  <c r="M3934" i="24"/>
  <c r="P3934" i="24"/>
  <c r="Q3934" i="24"/>
  <c r="V3934" i="24"/>
  <c r="B3935" i="24"/>
  <c r="M3935" i="24"/>
  <c r="P3935" i="24"/>
  <c r="Q3935" i="24"/>
  <c r="V3935" i="24"/>
  <c r="B3936" i="24"/>
  <c r="M3936" i="24"/>
  <c r="P3936" i="24"/>
  <c r="Q3936" i="24"/>
  <c r="V3936" i="24"/>
  <c r="B3937" i="24"/>
  <c r="M3937" i="24"/>
  <c r="P3937" i="24"/>
  <c r="Q3937" i="24"/>
  <c r="V3937" i="24"/>
  <c r="B3938" i="24"/>
  <c r="M3938" i="24"/>
  <c r="P3938" i="24"/>
  <c r="Q3938" i="24"/>
  <c r="V3938" i="24"/>
  <c r="B3939" i="24"/>
  <c r="M3939" i="24"/>
  <c r="P3939" i="24"/>
  <c r="Q3939" i="24"/>
  <c r="V3939" i="24"/>
  <c r="B3940" i="24"/>
  <c r="M3940" i="24"/>
  <c r="P3940" i="24"/>
  <c r="Q3940" i="24"/>
  <c r="V3940" i="24"/>
  <c r="B3941" i="24"/>
  <c r="M3941" i="24"/>
  <c r="P3941" i="24"/>
  <c r="Q3941" i="24"/>
  <c r="V3941" i="24"/>
  <c r="B3942" i="24"/>
  <c r="M3942" i="24"/>
  <c r="P3942" i="24"/>
  <c r="Q3942" i="24"/>
  <c r="V3942" i="24"/>
  <c r="B3943" i="24"/>
  <c r="M3943" i="24"/>
  <c r="P3943" i="24"/>
  <c r="Q3943" i="24"/>
  <c r="V3943" i="24"/>
  <c r="B3944" i="24"/>
  <c r="M3944" i="24"/>
  <c r="P3944" i="24"/>
  <c r="Q3944" i="24"/>
  <c r="V3944" i="24"/>
  <c r="B3945" i="24"/>
  <c r="M3945" i="24"/>
  <c r="P3945" i="24"/>
  <c r="Q3945" i="24"/>
  <c r="V3945" i="24"/>
  <c r="B3946" i="24"/>
  <c r="M3946" i="24"/>
  <c r="P3946" i="24"/>
  <c r="Q3946" i="24"/>
  <c r="V3946" i="24"/>
  <c r="B3947" i="24"/>
  <c r="M3947" i="24"/>
  <c r="P3947" i="24"/>
  <c r="Q3947" i="24"/>
  <c r="V3947" i="24"/>
  <c r="B3948" i="24"/>
  <c r="M3948" i="24"/>
  <c r="P3948" i="24"/>
  <c r="Q3948" i="24"/>
  <c r="V3948" i="24"/>
  <c r="B3949" i="24"/>
  <c r="M3949" i="24"/>
  <c r="P3949" i="24"/>
  <c r="Q3949" i="24"/>
  <c r="V3949" i="24"/>
  <c r="B3950" i="24"/>
  <c r="M3950" i="24"/>
  <c r="P3950" i="24"/>
  <c r="Q3950" i="24"/>
  <c r="V3950" i="24"/>
  <c r="B3951" i="24"/>
  <c r="M3951" i="24"/>
  <c r="P3951" i="24"/>
  <c r="Q3951" i="24"/>
  <c r="V3951" i="24"/>
  <c r="B3952" i="24"/>
  <c r="M3952" i="24"/>
  <c r="P3952" i="24"/>
  <c r="Q3952" i="24"/>
  <c r="V3952" i="24"/>
  <c r="B3953" i="24"/>
  <c r="M3953" i="24"/>
  <c r="P3953" i="24"/>
  <c r="Q3953" i="24"/>
  <c r="V3953" i="24"/>
  <c r="B3954" i="24"/>
  <c r="M3954" i="24"/>
  <c r="P3954" i="24"/>
  <c r="Q3954" i="24"/>
  <c r="V3954" i="24"/>
  <c r="B3955" i="24"/>
  <c r="M3955" i="24"/>
  <c r="P3955" i="24"/>
  <c r="Q3955" i="24"/>
  <c r="V3955" i="24"/>
  <c r="B3956" i="24"/>
  <c r="M3956" i="24"/>
  <c r="P3956" i="24"/>
  <c r="Q3956" i="24"/>
  <c r="V3956" i="24"/>
  <c r="B3957" i="24"/>
  <c r="M3957" i="24"/>
  <c r="P3957" i="24"/>
  <c r="Q3957" i="24"/>
  <c r="V3957" i="24"/>
  <c r="B3958" i="24"/>
  <c r="M3958" i="24"/>
  <c r="P3958" i="24"/>
  <c r="Q3958" i="24"/>
  <c r="V3958" i="24"/>
  <c r="B3959" i="24"/>
  <c r="M3959" i="24"/>
  <c r="P3959" i="24"/>
  <c r="Q3959" i="24"/>
  <c r="V3959" i="24"/>
  <c r="B3960" i="24"/>
  <c r="M3960" i="24"/>
  <c r="P3960" i="24"/>
  <c r="Q3960" i="24"/>
  <c r="V3960" i="24"/>
  <c r="B3961" i="24"/>
  <c r="M3961" i="24"/>
  <c r="P3961" i="24"/>
  <c r="Q3961" i="24"/>
  <c r="V3961" i="24"/>
  <c r="B3962" i="24"/>
  <c r="M3962" i="24"/>
  <c r="P3962" i="24"/>
  <c r="Q3962" i="24"/>
  <c r="V3962" i="24"/>
  <c r="B3963" i="24"/>
  <c r="M3963" i="24"/>
  <c r="P3963" i="24"/>
  <c r="Q3963" i="24"/>
  <c r="V3963" i="24"/>
  <c r="B3964" i="24"/>
  <c r="M3964" i="24"/>
  <c r="P3964" i="24"/>
  <c r="Q3964" i="24"/>
  <c r="V3964" i="24"/>
  <c r="B3965" i="24"/>
  <c r="M3965" i="24"/>
  <c r="P3965" i="24"/>
  <c r="Q3965" i="24"/>
  <c r="V3965" i="24"/>
  <c r="B3966" i="24"/>
  <c r="M3966" i="24"/>
  <c r="P3966" i="24"/>
  <c r="Q3966" i="24"/>
  <c r="V3966" i="24"/>
  <c r="B3967" i="24"/>
  <c r="M3967" i="24"/>
  <c r="P3967" i="24"/>
  <c r="Q3967" i="24"/>
  <c r="V3967" i="24"/>
  <c r="B3968" i="24"/>
  <c r="M3968" i="24"/>
  <c r="P3968" i="24"/>
  <c r="Q3968" i="24"/>
  <c r="V3968" i="24"/>
  <c r="B3969" i="24"/>
  <c r="M3969" i="24"/>
  <c r="P3969" i="24"/>
  <c r="Q3969" i="24"/>
  <c r="V3969" i="24"/>
  <c r="B3970" i="24"/>
  <c r="M3970" i="24"/>
  <c r="P3970" i="24"/>
  <c r="Q3970" i="24"/>
  <c r="V3970" i="24"/>
  <c r="B3971" i="24"/>
  <c r="M3971" i="24"/>
  <c r="P3971" i="24"/>
  <c r="Q3971" i="24"/>
  <c r="V3971" i="24"/>
  <c r="B3972" i="24"/>
  <c r="M3972" i="24"/>
  <c r="P3972" i="24"/>
  <c r="Q3972" i="24"/>
  <c r="V3972" i="24"/>
  <c r="B3975" i="24"/>
  <c r="M3975" i="24"/>
  <c r="P3975" i="24"/>
  <c r="Q3975" i="24"/>
  <c r="V3975" i="24"/>
  <c r="B3976" i="24"/>
  <c r="M3976" i="24"/>
  <c r="P3976" i="24"/>
  <c r="Q3976" i="24"/>
  <c r="V3976" i="24"/>
  <c r="B3977" i="24"/>
  <c r="M3977" i="24"/>
  <c r="P3977" i="24"/>
  <c r="Q3977" i="24"/>
  <c r="V3977" i="24"/>
  <c r="B3978" i="24"/>
  <c r="M3978" i="24"/>
  <c r="P3978" i="24"/>
  <c r="Q3978" i="24"/>
  <c r="V3978" i="24"/>
  <c r="B3979" i="24"/>
  <c r="M3979" i="24"/>
  <c r="P3979" i="24"/>
  <c r="Q3979" i="24"/>
  <c r="V3979" i="24"/>
  <c r="B3980" i="24"/>
  <c r="M3980" i="24"/>
  <c r="P3980" i="24"/>
  <c r="Q3980" i="24"/>
  <c r="V3980" i="24"/>
  <c r="B3981" i="24"/>
  <c r="M3981" i="24"/>
  <c r="P3981" i="24"/>
  <c r="Q3981" i="24"/>
  <c r="V3981" i="24"/>
  <c r="B3982" i="24"/>
  <c r="M3982" i="24"/>
  <c r="P3982" i="24"/>
  <c r="Q3982" i="24"/>
  <c r="V3982" i="24"/>
  <c r="B3983" i="24"/>
  <c r="M3983" i="24"/>
  <c r="P3983" i="24"/>
  <c r="Q3983" i="24"/>
  <c r="V3983" i="24"/>
  <c r="B3984" i="24"/>
  <c r="M3984" i="24"/>
  <c r="P3984" i="24"/>
  <c r="Q3984" i="24"/>
  <c r="V3984" i="24"/>
  <c r="B3985" i="24"/>
  <c r="M3985" i="24"/>
  <c r="P3985" i="24"/>
  <c r="Q3985" i="24"/>
  <c r="V3985" i="24"/>
  <c r="B3986" i="24"/>
  <c r="M3986" i="24"/>
  <c r="P3986" i="24"/>
  <c r="Q3986" i="24"/>
  <c r="V3986" i="24"/>
  <c r="B3987" i="24"/>
  <c r="M3987" i="24"/>
  <c r="P3987" i="24"/>
  <c r="Q3987" i="24"/>
  <c r="V3987" i="24"/>
  <c r="B3988" i="24"/>
  <c r="M3988" i="24"/>
  <c r="P3988" i="24"/>
  <c r="Q3988" i="24"/>
  <c r="V3988" i="24"/>
  <c r="B3989" i="24"/>
  <c r="M3989" i="24"/>
  <c r="P3989" i="24"/>
  <c r="Q3989" i="24"/>
  <c r="V3989" i="24"/>
  <c r="B3990" i="24"/>
  <c r="M3990" i="24"/>
  <c r="P3990" i="24"/>
  <c r="Q3990" i="24"/>
  <c r="V3990" i="24"/>
  <c r="B3991" i="24"/>
  <c r="M3991" i="24"/>
  <c r="P3991" i="24"/>
  <c r="Q3991" i="24"/>
  <c r="V3991" i="24"/>
  <c r="B3992" i="24"/>
  <c r="M3992" i="24"/>
  <c r="P3992" i="24"/>
  <c r="Q3992" i="24"/>
  <c r="V3992" i="24"/>
  <c r="B3993" i="24"/>
  <c r="M3993" i="24"/>
  <c r="P3993" i="24"/>
  <c r="Q3993" i="24"/>
  <c r="V3993" i="24"/>
  <c r="B3994" i="24"/>
  <c r="M3994" i="24"/>
  <c r="P3994" i="24"/>
  <c r="Q3994" i="24"/>
  <c r="V3994" i="24"/>
  <c r="B3995" i="24"/>
  <c r="M3995" i="24"/>
  <c r="P3995" i="24"/>
  <c r="Q3995" i="24"/>
  <c r="V3995" i="24"/>
  <c r="B3996" i="24"/>
  <c r="M3996" i="24"/>
  <c r="P3996" i="24"/>
  <c r="Q3996" i="24"/>
  <c r="V3996" i="24"/>
  <c r="B3997" i="24"/>
  <c r="M3997" i="24"/>
  <c r="P3997" i="24"/>
  <c r="Q3997" i="24"/>
  <c r="V3997" i="24"/>
  <c r="B3998" i="24"/>
  <c r="M3998" i="24"/>
  <c r="P3998" i="24"/>
  <c r="Q3998" i="24"/>
  <c r="V3998" i="24"/>
  <c r="B3999" i="24"/>
  <c r="M3999" i="24"/>
  <c r="P3999" i="24"/>
  <c r="Q3999" i="24"/>
  <c r="V3999" i="24"/>
  <c r="B4000" i="24"/>
  <c r="M4000" i="24"/>
  <c r="P4000" i="24"/>
  <c r="Q4000" i="24"/>
  <c r="V4000" i="24"/>
  <c r="B4003" i="24"/>
  <c r="M4003" i="24"/>
  <c r="P4003" i="24"/>
  <c r="Q4003" i="24"/>
  <c r="V4003" i="24"/>
  <c r="B4004" i="24"/>
  <c r="M4004" i="24"/>
  <c r="P4004" i="24"/>
  <c r="Q4004" i="24"/>
  <c r="V4004" i="24"/>
  <c r="B4005" i="24"/>
  <c r="M4005" i="24"/>
  <c r="P4005" i="24"/>
  <c r="Q4005" i="24"/>
  <c r="V4005" i="24"/>
  <c r="B4006" i="24"/>
  <c r="M4006" i="24"/>
  <c r="P4006" i="24"/>
  <c r="Q4006" i="24"/>
  <c r="V4006" i="24"/>
  <c r="B4007" i="24"/>
  <c r="M4007" i="24"/>
  <c r="P4007" i="24"/>
  <c r="Q4007" i="24"/>
  <c r="V4007" i="24"/>
  <c r="B4008" i="24"/>
  <c r="M4008" i="24"/>
  <c r="P4008" i="24"/>
  <c r="Q4008" i="24"/>
  <c r="V4008" i="24"/>
  <c r="B4009" i="24"/>
  <c r="M4009" i="24"/>
  <c r="P4009" i="24"/>
  <c r="Q4009" i="24"/>
  <c r="V4009" i="24"/>
  <c r="B4010" i="24"/>
  <c r="M4010" i="24"/>
  <c r="P4010" i="24"/>
  <c r="Q4010" i="24"/>
  <c r="V4010" i="24"/>
  <c r="B4011" i="24"/>
  <c r="M4011" i="24"/>
  <c r="P4011" i="24"/>
  <c r="Q4011" i="24"/>
  <c r="V4011" i="24"/>
  <c r="B4012" i="24"/>
  <c r="M4012" i="24"/>
  <c r="P4012" i="24"/>
  <c r="Q4012" i="24"/>
  <c r="V4012" i="24"/>
  <c r="B4013" i="24"/>
  <c r="M4013" i="24"/>
  <c r="P4013" i="24"/>
  <c r="Q4013" i="24"/>
  <c r="V4013" i="24"/>
  <c r="B4014" i="24"/>
  <c r="M4014" i="24"/>
  <c r="P4014" i="24"/>
  <c r="Q4014" i="24"/>
  <c r="V4014" i="24"/>
  <c r="B4015" i="24"/>
  <c r="M4015" i="24"/>
  <c r="P4015" i="24"/>
  <c r="Q4015" i="24"/>
  <c r="V4015" i="24"/>
  <c r="B4016" i="24"/>
  <c r="M4016" i="24"/>
  <c r="P4016" i="24"/>
  <c r="Q4016" i="24"/>
  <c r="V4016" i="24"/>
  <c r="B4017" i="24"/>
  <c r="M4017" i="24"/>
  <c r="P4017" i="24"/>
  <c r="Q4017" i="24"/>
  <c r="V4017" i="24"/>
  <c r="B4018" i="24"/>
  <c r="M4018" i="24"/>
  <c r="P4018" i="24"/>
  <c r="Q4018" i="24"/>
  <c r="V4018" i="24"/>
  <c r="B4019" i="24"/>
  <c r="M4019" i="24"/>
  <c r="P4019" i="24"/>
  <c r="Q4019" i="24"/>
  <c r="V4019" i="24"/>
  <c r="B4020" i="24"/>
  <c r="M4020" i="24"/>
  <c r="P4020" i="24"/>
  <c r="Q4020" i="24"/>
  <c r="V4020" i="24"/>
  <c r="B4021" i="24"/>
  <c r="M4021" i="24"/>
  <c r="P4021" i="24"/>
  <c r="Q4021" i="24"/>
  <c r="V4021" i="24"/>
  <c r="B4022" i="24"/>
  <c r="M4022" i="24"/>
  <c r="P4022" i="24"/>
  <c r="Q4022" i="24"/>
  <c r="V4022" i="24"/>
  <c r="B4023" i="24"/>
  <c r="M4023" i="24"/>
  <c r="P4023" i="24"/>
  <c r="Q4023" i="24"/>
  <c r="V4023" i="24"/>
  <c r="B4024" i="24"/>
  <c r="M4024" i="24"/>
  <c r="P4024" i="24"/>
  <c r="Q4024" i="24"/>
  <c r="V4024" i="24"/>
  <c r="B4025" i="24"/>
  <c r="M4025" i="24"/>
  <c r="P4025" i="24"/>
  <c r="Q4025" i="24"/>
  <c r="V4025" i="24"/>
  <c r="B4026" i="24"/>
  <c r="M4026" i="24"/>
  <c r="P4026" i="24"/>
  <c r="Q4026" i="24"/>
  <c r="V4026" i="24"/>
  <c r="B4027" i="24"/>
  <c r="M4027" i="24"/>
  <c r="P4027" i="24"/>
  <c r="Q4027" i="24"/>
  <c r="V4027" i="24"/>
  <c r="B4028" i="24"/>
  <c r="M4028" i="24"/>
  <c r="P4028" i="24"/>
  <c r="Q4028" i="24"/>
  <c r="V4028" i="24"/>
  <c r="B4029" i="24"/>
  <c r="M4029" i="24"/>
  <c r="P4029" i="24"/>
  <c r="Q4029" i="24"/>
  <c r="V4029" i="24"/>
  <c r="B4030" i="24"/>
  <c r="M4030" i="24"/>
  <c r="P4030" i="24"/>
  <c r="Q4030" i="24"/>
  <c r="V4030" i="24"/>
  <c r="B4031" i="24"/>
  <c r="M4031" i="24"/>
  <c r="P4031" i="24"/>
  <c r="Q4031" i="24"/>
  <c r="V4031" i="24"/>
  <c r="B4032" i="24"/>
  <c r="M4032" i="24"/>
  <c r="P4032" i="24"/>
  <c r="Q4032" i="24"/>
  <c r="V4032" i="24"/>
  <c r="B4033" i="24"/>
  <c r="M4033" i="24"/>
  <c r="P4033" i="24"/>
  <c r="Q4033" i="24"/>
  <c r="V4033" i="24"/>
  <c r="B4034" i="24"/>
  <c r="M4034" i="24"/>
  <c r="P4034" i="24"/>
  <c r="Q4034" i="24"/>
  <c r="V4034" i="24"/>
  <c r="B4035" i="24"/>
  <c r="M4035" i="24"/>
  <c r="P4035" i="24"/>
  <c r="Q4035" i="24"/>
  <c r="V4035" i="24"/>
  <c r="B4036" i="24"/>
  <c r="M4036" i="24"/>
  <c r="P4036" i="24"/>
  <c r="Q4036" i="24"/>
  <c r="V4036" i="24"/>
  <c r="B4040" i="24"/>
  <c r="M4040" i="24"/>
  <c r="P4040" i="24"/>
  <c r="Q4040" i="24"/>
  <c r="V4040" i="24"/>
  <c r="B4041" i="24"/>
  <c r="M4041" i="24"/>
  <c r="P4041" i="24"/>
  <c r="Q4041" i="24"/>
  <c r="V4041" i="24"/>
  <c r="B4042" i="24"/>
  <c r="M4042" i="24"/>
  <c r="P4042" i="24"/>
  <c r="Q4042" i="24"/>
  <c r="V4042" i="24"/>
  <c r="B4043" i="24"/>
  <c r="M4043" i="24"/>
  <c r="P4043" i="24"/>
  <c r="Q4043" i="24"/>
  <c r="V4043" i="24"/>
  <c r="P4044" i="24"/>
  <c r="Q4044" i="24"/>
  <c r="V4044" i="24"/>
  <c r="B4045" i="24"/>
  <c r="M4045" i="24"/>
  <c r="P4045" i="24"/>
  <c r="Q4045" i="24"/>
  <c r="V4045" i="24"/>
  <c r="B4046" i="24"/>
  <c r="M4046" i="24"/>
  <c r="P4046" i="24"/>
  <c r="Q4046" i="24"/>
  <c r="V4046" i="24"/>
  <c r="B4048" i="24"/>
  <c r="M4048" i="24"/>
  <c r="P4048" i="24"/>
  <c r="Q4048" i="24"/>
  <c r="V4048" i="24"/>
  <c r="B4049" i="24"/>
  <c r="M4049" i="24"/>
  <c r="P4049" i="24"/>
  <c r="Q4049" i="24"/>
  <c r="V4049" i="24"/>
  <c r="B4050" i="24"/>
  <c r="M4050" i="24"/>
  <c r="P4050" i="24"/>
  <c r="Q4050" i="24"/>
  <c r="V4050" i="24"/>
  <c r="B4051" i="24"/>
  <c r="M4051" i="24"/>
  <c r="P4051" i="24"/>
  <c r="Q4051" i="24"/>
  <c r="V4051" i="24"/>
  <c r="B4052" i="24"/>
  <c r="M4052" i="24"/>
  <c r="P4052" i="24"/>
  <c r="Q4052" i="24"/>
  <c r="V4052" i="24"/>
  <c r="B4053" i="24"/>
  <c r="M4053" i="24"/>
  <c r="P4053" i="24"/>
  <c r="Q4053" i="24"/>
  <c r="V4053" i="24"/>
  <c r="B4054" i="24"/>
  <c r="M4054" i="24"/>
  <c r="P4054" i="24"/>
  <c r="Q4054" i="24"/>
  <c r="V4054" i="24"/>
  <c r="B4055" i="24"/>
  <c r="M4055" i="24"/>
  <c r="P4055" i="24"/>
  <c r="Q4055" i="24"/>
  <c r="V4055" i="24"/>
  <c r="B4056" i="24"/>
  <c r="M4056" i="24"/>
  <c r="P4056" i="24"/>
  <c r="Q4056" i="24"/>
  <c r="V4056" i="24"/>
  <c r="B4057" i="24"/>
  <c r="M4057" i="24"/>
  <c r="P4057" i="24"/>
  <c r="Q4057" i="24"/>
  <c r="V4057" i="24"/>
  <c r="B4058" i="24"/>
  <c r="M4058" i="24"/>
  <c r="P4058" i="24"/>
  <c r="Q4058" i="24"/>
  <c r="V4058" i="24"/>
  <c r="B4059" i="24"/>
  <c r="M4059" i="24"/>
  <c r="P4059" i="24"/>
  <c r="Q4059" i="24"/>
  <c r="V4059" i="24"/>
  <c r="B4060" i="24"/>
  <c r="M4060" i="24"/>
  <c r="P4060" i="24"/>
  <c r="Q4060" i="24"/>
  <c r="V4060" i="24"/>
  <c r="B4061" i="24"/>
  <c r="M4061" i="24"/>
  <c r="P4061" i="24"/>
  <c r="Q4061" i="24"/>
  <c r="V4061" i="24"/>
  <c r="B4062" i="24"/>
  <c r="M4062" i="24"/>
  <c r="P4062" i="24"/>
  <c r="Q4062" i="24"/>
  <c r="V4062" i="24"/>
  <c r="B4063" i="24"/>
  <c r="M4063" i="24"/>
  <c r="P4063" i="24"/>
  <c r="Q4063" i="24"/>
  <c r="V4063" i="24"/>
  <c r="B4064" i="24"/>
  <c r="M4064" i="24"/>
  <c r="P4064" i="24"/>
  <c r="Q4064" i="24"/>
  <c r="V4064" i="24"/>
  <c r="B4065" i="24"/>
  <c r="M4065" i="24"/>
  <c r="P4065" i="24"/>
  <c r="Q4065" i="24"/>
  <c r="V4065" i="24"/>
  <c r="B4066" i="24"/>
  <c r="M4066" i="24"/>
  <c r="P4066" i="24"/>
  <c r="Q4066" i="24"/>
  <c r="V4066" i="24"/>
  <c r="B4067" i="24"/>
  <c r="M4067" i="24"/>
  <c r="P4067" i="24"/>
  <c r="Q4067" i="24"/>
  <c r="V4067" i="24"/>
  <c r="B4068" i="24"/>
  <c r="M4068" i="24"/>
  <c r="P4068" i="24"/>
  <c r="Q4068" i="24"/>
  <c r="V4068" i="24"/>
  <c r="B4069" i="24"/>
  <c r="M4069" i="24"/>
  <c r="P4069" i="24"/>
  <c r="Q4069" i="24"/>
  <c r="V4069" i="24"/>
  <c r="B4070" i="24"/>
  <c r="M4070" i="24"/>
  <c r="P4070" i="24"/>
  <c r="Q4070" i="24"/>
  <c r="V4070" i="24"/>
  <c r="B4075" i="24"/>
  <c r="M4075" i="24"/>
  <c r="P4075" i="24"/>
  <c r="Q4075" i="24"/>
  <c r="V4075" i="24"/>
  <c r="B4076" i="24"/>
  <c r="M4076" i="24"/>
  <c r="P4076" i="24"/>
  <c r="Q4076" i="24"/>
  <c r="V4076" i="24"/>
  <c r="B4085" i="24"/>
  <c r="M4085" i="24"/>
  <c r="P4085" i="24"/>
  <c r="Q4085" i="24"/>
  <c r="V4085" i="24"/>
  <c r="B4086" i="24"/>
  <c r="M4086" i="24"/>
  <c r="P4086" i="24"/>
  <c r="Q4086" i="24"/>
  <c r="V4086" i="24"/>
  <c r="E11" i="15" l="1"/>
  <c r="R3" i="24"/>
  <c r="AD2974" i="24"/>
  <c r="R4" i="24" l="1"/>
  <c r="R5" i="24" s="1"/>
  <c r="R6" i="24" s="1"/>
  <c r="R7" i="24" s="1"/>
  <c r="R8" i="24" s="1"/>
  <c r="R9" i="24" s="1"/>
  <c r="R10" i="24" s="1"/>
  <c r="R11" i="24" s="1"/>
  <c r="R12" i="24" s="1"/>
  <c r="R13" i="24" s="1"/>
  <c r="R14" i="24" s="1"/>
  <c r="R15" i="24" s="1"/>
  <c r="R16" i="24" s="1"/>
  <c r="R17" i="24" s="1"/>
  <c r="R18" i="24" s="1"/>
  <c r="R19" i="24" s="1"/>
  <c r="R20" i="24" s="1"/>
  <c r="R21" i="24" s="1"/>
  <c r="R22" i="24" s="1"/>
  <c r="R23" i="24" s="1"/>
  <c r="R24" i="24" s="1"/>
  <c r="R25" i="24" s="1"/>
  <c r="R26" i="24" s="1"/>
  <c r="R27" i="24" s="1"/>
  <c r="R28" i="24" s="1"/>
  <c r="R29" i="24" s="1"/>
  <c r="R30" i="24" s="1"/>
  <c r="R31" i="24" s="1"/>
  <c r="R32" i="24" s="1"/>
  <c r="R33" i="24" s="1"/>
  <c r="R34" i="24" s="1"/>
  <c r="R35" i="24" s="1"/>
  <c r="R36" i="24" s="1"/>
  <c r="R37" i="24" s="1"/>
  <c r="R38" i="24" s="1"/>
  <c r="R39" i="24" s="1"/>
  <c r="R40" i="24" s="1"/>
  <c r="R41" i="24" s="1"/>
  <c r="R42" i="24" s="1"/>
  <c r="R43" i="24" s="1"/>
  <c r="R44" i="24" s="1"/>
  <c r="R45" i="24" s="1"/>
  <c r="R46" i="24" s="1"/>
  <c r="R47" i="24" s="1"/>
  <c r="R48" i="24" s="1"/>
  <c r="R49" i="24" s="1"/>
  <c r="R50" i="24" s="1"/>
  <c r="R51" i="24" s="1"/>
  <c r="R52" i="24" s="1"/>
  <c r="R53" i="24" s="1"/>
  <c r="R54" i="24" s="1"/>
  <c r="R55" i="24" s="1"/>
  <c r="R56" i="24" s="1"/>
  <c r="R57" i="24" s="1"/>
  <c r="R58" i="24" s="1"/>
  <c r="R59" i="24" s="1"/>
  <c r="R60" i="24" s="1"/>
  <c r="R61" i="24" s="1"/>
  <c r="R62" i="24" s="1"/>
  <c r="R63" i="24" s="1"/>
  <c r="R64" i="24" s="1"/>
  <c r="R65" i="24" s="1"/>
  <c r="R66" i="24" s="1"/>
  <c r="R67" i="24" s="1"/>
  <c r="R68" i="24" s="1"/>
  <c r="R69" i="24" s="1"/>
  <c r="R70" i="24" s="1"/>
  <c r="R71" i="24" s="1"/>
  <c r="R72" i="24" s="1"/>
  <c r="R73" i="24" s="1"/>
  <c r="R74" i="24" s="1"/>
  <c r="R75" i="24" s="1"/>
  <c r="R76" i="24" s="1"/>
  <c r="R77" i="24" s="1"/>
  <c r="R78" i="24" s="1"/>
  <c r="R79" i="24" s="1"/>
  <c r="R80" i="24" s="1"/>
  <c r="R81" i="24" s="1"/>
  <c r="R82" i="24" s="1"/>
  <c r="R83" i="24" s="1"/>
  <c r="R84" i="24" s="1"/>
  <c r="R85" i="24" s="1"/>
  <c r="R86" i="24" s="1"/>
  <c r="R87" i="24" s="1"/>
  <c r="R88" i="24" s="1"/>
  <c r="R89" i="24" s="1"/>
  <c r="R90" i="24" s="1"/>
  <c r="R91" i="24" s="1"/>
  <c r="R92" i="24" s="1"/>
  <c r="R93" i="24" s="1"/>
  <c r="R94" i="24" s="1"/>
  <c r="R95" i="24" s="1"/>
  <c r="R96" i="24" s="1"/>
  <c r="R97" i="24" s="1"/>
  <c r="R98" i="24" s="1"/>
  <c r="R99" i="24" s="1"/>
  <c r="R100" i="24" s="1"/>
  <c r="R101" i="24" s="1"/>
  <c r="R102" i="24" s="1"/>
  <c r="R103" i="24" s="1"/>
  <c r="R104" i="24" s="1"/>
  <c r="R105" i="24" s="1"/>
  <c r="R106" i="24" s="1"/>
  <c r="R107" i="24" s="1"/>
  <c r="R108" i="24" s="1"/>
  <c r="R109" i="24" s="1"/>
  <c r="R110" i="24" s="1"/>
  <c r="R111" i="24" s="1"/>
  <c r="R112" i="24" s="1"/>
  <c r="R113" i="24" s="1"/>
  <c r="R114" i="24" s="1"/>
  <c r="R115" i="24" s="1"/>
  <c r="R116" i="24" s="1"/>
  <c r="R117" i="24" s="1"/>
  <c r="R118" i="24" s="1"/>
  <c r="R119" i="24" s="1"/>
  <c r="R120" i="24" s="1"/>
  <c r="R121" i="24" s="1"/>
  <c r="R122" i="24" s="1"/>
  <c r="R123" i="24" s="1"/>
  <c r="R124" i="24" s="1"/>
  <c r="R125" i="24" s="1"/>
  <c r="R126" i="24" s="1"/>
  <c r="R127" i="24" s="1"/>
  <c r="R128" i="24" s="1"/>
  <c r="R129" i="24" s="1"/>
  <c r="R130" i="24" s="1"/>
  <c r="R131" i="24" s="1"/>
  <c r="R132" i="24" s="1"/>
  <c r="R133" i="24" s="1"/>
  <c r="R134" i="24" s="1"/>
  <c r="R135" i="24" s="1"/>
  <c r="R136" i="24" s="1"/>
  <c r="R137" i="24" s="1"/>
  <c r="R138" i="24" s="1"/>
  <c r="R139" i="24" s="1"/>
  <c r="R140" i="24" s="1"/>
  <c r="R141" i="24" s="1"/>
  <c r="R142" i="24" s="1"/>
  <c r="R143" i="24" s="1"/>
  <c r="R144" i="24" s="1"/>
  <c r="R145" i="24" s="1"/>
  <c r="R146" i="24" s="1"/>
  <c r="R147" i="24" s="1"/>
  <c r="R148" i="24" s="1"/>
  <c r="R149" i="24" s="1"/>
  <c r="R150" i="24" s="1"/>
  <c r="R151" i="24" s="1"/>
  <c r="R152" i="24" s="1"/>
  <c r="R153" i="24" s="1"/>
  <c r="R154" i="24" s="1"/>
  <c r="R155" i="24" s="1"/>
  <c r="R156" i="24" s="1"/>
  <c r="R157" i="24" s="1"/>
  <c r="R158" i="24" s="1"/>
  <c r="R159" i="24" s="1"/>
  <c r="R160" i="24" s="1"/>
  <c r="R161" i="24" s="1"/>
  <c r="R162" i="24" s="1"/>
  <c r="R163" i="24" s="1"/>
  <c r="R164" i="24" s="1"/>
  <c r="R165" i="24" s="1"/>
  <c r="R166" i="24" s="1"/>
  <c r="R167" i="24" s="1"/>
  <c r="R168" i="24" s="1"/>
  <c r="R169" i="24" s="1"/>
  <c r="R170" i="24" s="1"/>
  <c r="R171" i="24" s="1"/>
  <c r="R172" i="24" s="1"/>
  <c r="R173" i="24" s="1"/>
  <c r="R174" i="24" s="1"/>
  <c r="R175" i="24" s="1"/>
  <c r="R176" i="24" s="1"/>
  <c r="R177" i="24" s="1"/>
  <c r="R178" i="24" s="1"/>
  <c r="R179" i="24" s="1"/>
  <c r="R180" i="24" s="1"/>
  <c r="R181" i="24" s="1"/>
  <c r="R182" i="24" s="1"/>
  <c r="R183" i="24" s="1"/>
  <c r="R184" i="24" s="1"/>
  <c r="R185" i="24" s="1"/>
  <c r="R186" i="24" s="1"/>
  <c r="R187" i="24" s="1"/>
  <c r="R188" i="24" s="1"/>
  <c r="R189" i="24" s="1"/>
  <c r="R190" i="24" s="1"/>
  <c r="R191" i="24" s="1"/>
  <c r="R192" i="24" s="1"/>
  <c r="R193" i="24" s="1"/>
  <c r="R194" i="24" s="1"/>
  <c r="R195" i="24" s="1"/>
  <c r="R196" i="24" s="1"/>
  <c r="R197" i="24" s="1"/>
  <c r="R198" i="24" s="1"/>
  <c r="R199" i="24" s="1"/>
  <c r="R200" i="24" s="1"/>
  <c r="R201" i="24" s="1"/>
  <c r="R202" i="24" s="1"/>
  <c r="R203" i="24" s="1"/>
  <c r="R204" i="24" s="1"/>
  <c r="R205" i="24" s="1"/>
  <c r="R206" i="24" s="1"/>
  <c r="R207" i="24" s="1"/>
  <c r="R208" i="24" s="1"/>
  <c r="R209" i="24" s="1"/>
  <c r="R210" i="24" s="1"/>
  <c r="R211" i="24" s="1"/>
  <c r="R212" i="24" s="1"/>
  <c r="R213" i="24" s="1"/>
  <c r="R214" i="24" s="1"/>
  <c r="R215" i="24" s="1"/>
  <c r="R216" i="24" s="1"/>
  <c r="R217" i="24" s="1"/>
  <c r="R218" i="24" s="1"/>
  <c r="R219" i="24" s="1"/>
  <c r="R220" i="24" s="1"/>
  <c r="R221" i="24" s="1"/>
  <c r="R222" i="24" s="1"/>
  <c r="R223" i="24" s="1"/>
  <c r="R224" i="24" s="1"/>
  <c r="R225" i="24" s="1"/>
  <c r="R226" i="24" s="1"/>
  <c r="R227" i="24" s="1"/>
  <c r="R228" i="24" s="1"/>
  <c r="R229" i="24" s="1"/>
  <c r="R230" i="24" s="1"/>
  <c r="R231" i="24" s="1"/>
  <c r="R232" i="24" s="1"/>
  <c r="R233" i="24" s="1"/>
  <c r="R234" i="24" s="1"/>
  <c r="R235" i="24" s="1"/>
  <c r="R236" i="24" s="1"/>
  <c r="R237" i="24" s="1"/>
  <c r="R238" i="24" s="1"/>
  <c r="R239" i="24" s="1"/>
  <c r="R240" i="24" s="1"/>
  <c r="R241" i="24" s="1"/>
  <c r="R242" i="24" s="1"/>
  <c r="R243" i="24" s="1"/>
  <c r="R244" i="24" s="1"/>
  <c r="R245" i="24" s="1"/>
  <c r="R246" i="24" s="1"/>
  <c r="R247" i="24" s="1"/>
  <c r="R248" i="24" s="1"/>
  <c r="R249" i="24" s="1"/>
  <c r="R250" i="24" s="1"/>
  <c r="R251" i="24" s="1"/>
  <c r="R252" i="24" s="1"/>
  <c r="R253" i="24" s="1"/>
  <c r="R254" i="24" s="1"/>
  <c r="R255" i="24" s="1"/>
  <c r="R256" i="24" s="1"/>
  <c r="R257" i="24" s="1"/>
  <c r="R258" i="24" s="1"/>
  <c r="R259" i="24" s="1"/>
  <c r="R260" i="24" s="1"/>
  <c r="R261" i="24" s="1"/>
  <c r="R262" i="24" s="1"/>
  <c r="R263" i="24" s="1"/>
  <c r="R264" i="24" s="1"/>
  <c r="R265" i="24" s="1"/>
  <c r="R266" i="24" s="1"/>
  <c r="R267" i="24" s="1"/>
  <c r="R268" i="24" s="1"/>
  <c r="R269" i="24" s="1"/>
  <c r="R270" i="24" s="1"/>
  <c r="R271" i="24" s="1"/>
  <c r="R272" i="24" s="1"/>
  <c r="R273" i="24" s="1"/>
  <c r="R274" i="24" s="1"/>
  <c r="R275" i="24" s="1"/>
  <c r="R276" i="24" s="1"/>
  <c r="R277" i="24" s="1"/>
  <c r="R278" i="24" s="1"/>
  <c r="R279" i="24" s="1"/>
  <c r="R280" i="24" s="1"/>
  <c r="R281" i="24" s="1"/>
  <c r="R282" i="24" s="1"/>
  <c r="R283" i="24" s="1"/>
  <c r="R284" i="24" s="1"/>
  <c r="R285" i="24" s="1"/>
  <c r="R286" i="24" s="1"/>
  <c r="R287" i="24" s="1"/>
  <c r="R288" i="24" s="1"/>
  <c r="R289" i="24" s="1"/>
  <c r="R290" i="24" s="1"/>
  <c r="R291" i="24" s="1"/>
  <c r="R292" i="24" s="1"/>
  <c r="R293" i="24" s="1"/>
  <c r="R294" i="24" s="1"/>
  <c r="R295" i="24" s="1"/>
  <c r="R296" i="24" s="1"/>
  <c r="R297" i="24" s="1"/>
  <c r="R298" i="24" s="1"/>
  <c r="R299" i="24" s="1"/>
  <c r="R300" i="24" s="1"/>
  <c r="R301" i="24" s="1"/>
  <c r="R302" i="24" s="1"/>
  <c r="R303" i="24" s="1"/>
  <c r="R304" i="24" s="1"/>
  <c r="R305" i="24" s="1"/>
  <c r="R306" i="24" s="1"/>
  <c r="R307" i="24" s="1"/>
  <c r="R308" i="24" s="1"/>
  <c r="R309" i="24" s="1"/>
  <c r="R310" i="24" s="1"/>
  <c r="R311" i="24" s="1"/>
  <c r="R312" i="24" s="1"/>
  <c r="R313" i="24" s="1"/>
  <c r="R314" i="24" s="1"/>
  <c r="R315" i="24" s="1"/>
  <c r="R316" i="24" s="1"/>
  <c r="R317" i="24" s="1"/>
  <c r="R318" i="24" s="1"/>
  <c r="R319" i="24" s="1"/>
  <c r="R320" i="24" s="1"/>
  <c r="R321" i="24" s="1"/>
  <c r="R322" i="24" s="1"/>
  <c r="R323" i="24" s="1"/>
  <c r="R324" i="24" s="1"/>
  <c r="R325" i="24" s="1"/>
  <c r="R326" i="24" s="1"/>
  <c r="R327" i="24" s="1"/>
  <c r="R328" i="24" s="1"/>
  <c r="R329" i="24" s="1"/>
  <c r="R330" i="24" s="1"/>
  <c r="R331" i="24" s="1"/>
  <c r="R332" i="24" s="1"/>
  <c r="R333" i="24" s="1"/>
  <c r="R334" i="24" s="1"/>
  <c r="R335" i="24" s="1"/>
  <c r="R336" i="24" s="1"/>
  <c r="R337" i="24" s="1"/>
  <c r="R338" i="24" s="1"/>
  <c r="R339" i="24" s="1"/>
  <c r="R340" i="24" s="1"/>
  <c r="R341" i="24" s="1"/>
  <c r="R342" i="24" s="1"/>
  <c r="R343" i="24" s="1"/>
  <c r="R344" i="24" s="1"/>
  <c r="R345" i="24" s="1"/>
  <c r="R346" i="24" s="1"/>
  <c r="R347" i="24" s="1"/>
  <c r="R348" i="24" s="1"/>
  <c r="R349" i="24" s="1"/>
  <c r="R350" i="24" s="1"/>
  <c r="R351" i="24" s="1"/>
  <c r="R352" i="24" s="1"/>
  <c r="R353" i="24" s="1"/>
  <c r="R354" i="24" s="1"/>
  <c r="R355" i="24" s="1"/>
  <c r="R356" i="24" s="1"/>
  <c r="R357" i="24" s="1"/>
  <c r="R358" i="24" s="1"/>
  <c r="R359" i="24" s="1"/>
  <c r="R360" i="24" s="1"/>
  <c r="R361" i="24" s="1"/>
  <c r="R362" i="24" s="1"/>
  <c r="R363" i="24" s="1"/>
  <c r="R364" i="24" s="1"/>
  <c r="R365" i="24" s="1"/>
  <c r="R366" i="24" s="1"/>
  <c r="R367" i="24" s="1"/>
  <c r="R368" i="24" s="1"/>
  <c r="R369" i="24" s="1"/>
  <c r="R370" i="24" s="1"/>
  <c r="R371" i="24" s="1"/>
  <c r="R372" i="24" s="1"/>
  <c r="R373" i="24" s="1"/>
  <c r="R374" i="24" s="1"/>
  <c r="R375" i="24" s="1"/>
  <c r="R376" i="24" s="1"/>
  <c r="R377" i="24" s="1"/>
  <c r="R378" i="24" s="1"/>
  <c r="R379" i="24" s="1"/>
  <c r="R380" i="24" s="1"/>
  <c r="R381" i="24" s="1"/>
  <c r="R382" i="24" s="1"/>
  <c r="R383" i="24" s="1"/>
  <c r="R384" i="24" s="1"/>
  <c r="R385" i="24" s="1"/>
  <c r="R386" i="24" s="1"/>
  <c r="R387" i="24" s="1"/>
  <c r="R388" i="24" s="1"/>
  <c r="R389" i="24" s="1"/>
  <c r="R390" i="24" s="1"/>
  <c r="R391" i="24" s="1"/>
  <c r="R392" i="24" s="1"/>
  <c r="R393" i="24" s="1"/>
  <c r="R394" i="24" s="1"/>
  <c r="R395" i="24" s="1"/>
  <c r="R396" i="24" s="1"/>
  <c r="R397" i="24" s="1"/>
  <c r="R398" i="24" s="1"/>
  <c r="R399" i="24" s="1"/>
  <c r="R400" i="24" s="1"/>
  <c r="R401" i="24" s="1"/>
  <c r="R402" i="24" s="1"/>
  <c r="R403" i="24" s="1"/>
  <c r="R404" i="24" s="1"/>
  <c r="R405" i="24" s="1"/>
  <c r="R406" i="24" s="1"/>
  <c r="R407" i="24" s="1"/>
  <c r="R408" i="24" s="1"/>
  <c r="R409" i="24" s="1"/>
  <c r="R410" i="24" s="1"/>
  <c r="R411" i="24" s="1"/>
  <c r="R412" i="24" s="1"/>
  <c r="R413" i="24" s="1"/>
  <c r="R414" i="24" s="1"/>
  <c r="R415" i="24" s="1"/>
  <c r="R416" i="24" s="1"/>
  <c r="R417" i="24" s="1"/>
  <c r="R418" i="24" s="1"/>
  <c r="R419" i="24" s="1"/>
  <c r="R420" i="24" s="1"/>
  <c r="R421" i="24" s="1"/>
  <c r="R422" i="24" s="1"/>
  <c r="R423" i="24" s="1"/>
  <c r="R424" i="24" s="1"/>
  <c r="R425" i="24" s="1"/>
  <c r="R426" i="24" s="1"/>
  <c r="R427" i="24" s="1"/>
  <c r="R428" i="24" s="1"/>
  <c r="R429" i="24" s="1"/>
  <c r="R430" i="24" s="1"/>
  <c r="R431" i="24" s="1"/>
  <c r="R432" i="24" s="1"/>
  <c r="R433" i="24" s="1"/>
  <c r="R434" i="24" s="1"/>
  <c r="R435" i="24" s="1"/>
  <c r="R436" i="24" s="1"/>
  <c r="R437" i="24" s="1"/>
  <c r="R438" i="24" s="1"/>
  <c r="R439" i="24" s="1"/>
  <c r="R440" i="24" s="1"/>
  <c r="R441" i="24" s="1"/>
  <c r="R442" i="24" s="1"/>
  <c r="R443" i="24" s="1"/>
  <c r="R444" i="24" s="1"/>
  <c r="R445" i="24" s="1"/>
  <c r="R446" i="24" s="1"/>
  <c r="R447" i="24" s="1"/>
  <c r="R448" i="24" s="1"/>
  <c r="R449" i="24" s="1"/>
  <c r="R450" i="24" s="1"/>
  <c r="R451" i="24" s="1"/>
  <c r="R452" i="24" s="1"/>
  <c r="R453" i="24" s="1"/>
  <c r="R454" i="24" s="1"/>
  <c r="R455" i="24" s="1"/>
  <c r="R456" i="24" s="1"/>
  <c r="R457" i="24" s="1"/>
  <c r="R458" i="24" s="1"/>
  <c r="R459" i="24" s="1"/>
  <c r="R460" i="24" s="1"/>
  <c r="R461" i="24" s="1"/>
  <c r="R462" i="24" s="1"/>
  <c r="R463" i="24" s="1"/>
  <c r="R464" i="24" s="1"/>
  <c r="R465" i="24" s="1"/>
  <c r="R466" i="24" s="1"/>
  <c r="R467" i="24" s="1"/>
  <c r="R468" i="24" s="1"/>
  <c r="R469" i="24" s="1"/>
  <c r="R470" i="24" s="1"/>
  <c r="R471" i="24" s="1"/>
  <c r="R472" i="24" s="1"/>
  <c r="R473" i="24" s="1"/>
  <c r="R474" i="24" s="1"/>
  <c r="R475" i="24" s="1"/>
  <c r="R476" i="24" s="1"/>
  <c r="R477" i="24" s="1"/>
  <c r="R478" i="24" s="1"/>
  <c r="R479" i="24" s="1"/>
  <c r="R480" i="24" s="1"/>
  <c r="R481" i="24" s="1"/>
  <c r="R482" i="24" s="1"/>
  <c r="R483" i="24" s="1"/>
  <c r="R484" i="24" s="1"/>
  <c r="R485" i="24" s="1"/>
  <c r="R486" i="24" s="1"/>
  <c r="R487" i="24" s="1"/>
  <c r="R488" i="24" s="1"/>
  <c r="R489" i="24" s="1"/>
  <c r="R490" i="24" s="1"/>
  <c r="R491" i="24" s="1"/>
  <c r="R492" i="24" s="1"/>
  <c r="R493" i="24" s="1"/>
  <c r="R494" i="24" s="1"/>
  <c r="R495" i="24" s="1"/>
  <c r="R496" i="24" s="1"/>
  <c r="R497" i="24" s="1"/>
  <c r="R498" i="24" s="1"/>
  <c r="R499" i="24" s="1"/>
  <c r="R500" i="24" s="1"/>
  <c r="R501" i="24" s="1"/>
  <c r="R502" i="24" s="1"/>
  <c r="R503" i="24" s="1"/>
  <c r="R504" i="24" s="1"/>
  <c r="R505" i="24" s="1"/>
  <c r="R506" i="24" s="1"/>
  <c r="R507" i="24" s="1"/>
  <c r="R508" i="24" s="1"/>
  <c r="R509" i="24" s="1"/>
  <c r="R510" i="24" s="1"/>
  <c r="R511" i="24" s="1"/>
  <c r="R512" i="24" s="1"/>
  <c r="R513" i="24" s="1"/>
  <c r="R514" i="24" s="1"/>
  <c r="R515" i="24" s="1"/>
  <c r="R516" i="24" s="1"/>
  <c r="R517" i="24" s="1"/>
  <c r="R518" i="24" s="1"/>
  <c r="R519" i="24" s="1"/>
  <c r="R520" i="24" s="1"/>
  <c r="R521" i="24" s="1"/>
  <c r="R522" i="24" s="1"/>
  <c r="R523" i="24" s="1"/>
  <c r="R524" i="24" s="1"/>
  <c r="R525" i="24" s="1"/>
  <c r="R526" i="24" s="1"/>
  <c r="R527" i="24" s="1"/>
  <c r="R528" i="24" s="1"/>
  <c r="R529" i="24" s="1"/>
  <c r="R530" i="24" s="1"/>
  <c r="R531" i="24" s="1"/>
  <c r="R532" i="24" s="1"/>
  <c r="R533" i="24" s="1"/>
  <c r="R534" i="24" s="1"/>
  <c r="R535" i="24" s="1"/>
  <c r="R536" i="24" s="1"/>
  <c r="R537" i="24" s="1"/>
  <c r="R538" i="24" s="1"/>
  <c r="R539" i="24" s="1"/>
  <c r="R540" i="24" s="1"/>
  <c r="R541" i="24" s="1"/>
  <c r="R542" i="24" s="1"/>
  <c r="R543" i="24" s="1"/>
  <c r="R544" i="24" s="1"/>
  <c r="R545" i="24" s="1"/>
  <c r="R546" i="24" s="1"/>
  <c r="R547" i="24" s="1"/>
  <c r="R548" i="24" s="1"/>
  <c r="R549" i="24" s="1"/>
  <c r="R550" i="24" s="1"/>
  <c r="R551" i="24" s="1"/>
  <c r="R552" i="24" s="1"/>
  <c r="R553" i="24" s="1"/>
  <c r="R554" i="24" s="1"/>
  <c r="R555" i="24" s="1"/>
  <c r="R556" i="24" s="1"/>
  <c r="R557" i="24" s="1"/>
  <c r="R558" i="24" s="1"/>
  <c r="R559" i="24" s="1"/>
  <c r="R560" i="24" s="1"/>
  <c r="R561" i="24" s="1"/>
  <c r="R562" i="24" s="1"/>
  <c r="R563" i="24" s="1"/>
  <c r="R564" i="24" s="1"/>
  <c r="R565" i="24" s="1"/>
  <c r="R566" i="24" s="1"/>
  <c r="R567" i="24" s="1"/>
  <c r="R568" i="24" s="1"/>
  <c r="R569" i="24" s="1"/>
  <c r="R570" i="24" s="1"/>
  <c r="R571" i="24" s="1"/>
  <c r="R572" i="24" s="1"/>
  <c r="R573" i="24" s="1"/>
  <c r="R574" i="24" s="1"/>
  <c r="R575" i="24" s="1"/>
  <c r="R576" i="24" s="1"/>
  <c r="R577" i="24" s="1"/>
  <c r="R578" i="24" s="1"/>
  <c r="R579" i="24" s="1"/>
  <c r="R580" i="24" s="1"/>
  <c r="R581" i="24" s="1"/>
  <c r="R582" i="24" s="1"/>
  <c r="R583" i="24" s="1"/>
  <c r="R584" i="24" s="1"/>
  <c r="R585" i="24" s="1"/>
  <c r="R586" i="24" s="1"/>
  <c r="R587" i="24" s="1"/>
  <c r="R588" i="24" s="1"/>
  <c r="R589" i="24" s="1"/>
  <c r="R590" i="24" s="1"/>
  <c r="R591" i="24" s="1"/>
  <c r="R592" i="24" s="1"/>
  <c r="R593" i="24" s="1"/>
  <c r="R594" i="24" s="1"/>
  <c r="R595" i="24" s="1"/>
  <c r="R596" i="24" s="1"/>
  <c r="R597" i="24" s="1"/>
  <c r="R598" i="24" s="1"/>
  <c r="R599" i="24" s="1"/>
  <c r="R600" i="24" s="1"/>
  <c r="R601" i="24" s="1"/>
  <c r="R602" i="24" s="1"/>
  <c r="R603" i="24" s="1"/>
  <c r="R604" i="24" s="1"/>
  <c r="R605" i="24" s="1"/>
  <c r="R606" i="24" s="1"/>
  <c r="R607" i="24" s="1"/>
  <c r="R608" i="24" s="1"/>
  <c r="R609" i="24" s="1"/>
  <c r="R610" i="24" s="1"/>
  <c r="R611" i="24" s="1"/>
  <c r="R612" i="24" s="1"/>
  <c r="R613" i="24" s="1"/>
  <c r="R614" i="24" s="1"/>
  <c r="R615" i="24" s="1"/>
  <c r="R616" i="24" s="1"/>
  <c r="R617" i="24" s="1"/>
  <c r="R618" i="24" s="1"/>
  <c r="R619" i="24" s="1"/>
  <c r="R620" i="24" s="1"/>
  <c r="R621" i="24" s="1"/>
  <c r="R622" i="24" s="1"/>
  <c r="R623" i="24" s="1"/>
  <c r="R624" i="24" s="1"/>
  <c r="R625" i="24" s="1"/>
  <c r="R626" i="24" s="1"/>
  <c r="R627" i="24" s="1"/>
  <c r="R628" i="24" s="1"/>
  <c r="R629" i="24" s="1"/>
  <c r="R630" i="24" s="1"/>
  <c r="R631" i="24" s="1"/>
  <c r="R632" i="24" s="1"/>
  <c r="R633" i="24" s="1"/>
  <c r="R634" i="24" s="1"/>
  <c r="R635" i="24" s="1"/>
  <c r="R636" i="24" s="1"/>
  <c r="R637" i="24" s="1"/>
  <c r="R638" i="24" s="1"/>
  <c r="R639" i="24" s="1"/>
  <c r="R640" i="24" s="1"/>
  <c r="R641" i="24" s="1"/>
  <c r="R642" i="24" s="1"/>
  <c r="R643" i="24" s="1"/>
  <c r="R644" i="24" s="1"/>
  <c r="R645" i="24" s="1"/>
  <c r="R646" i="24" s="1"/>
  <c r="R647" i="24" s="1"/>
  <c r="R648" i="24" s="1"/>
  <c r="R649" i="24" s="1"/>
  <c r="R650" i="24" s="1"/>
  <c r="R651" i="24" s="1"/>
  <c r="R652" i="24" s="1"/>
  <c r="R653" i="24" s="1"/>
  <c r="R654" i="24" s="1"/>
  <c r="R655" i="24" s="1"/>
  <c r="R656" i="24" s="1"/>
  <c r="R657" i="24" s="1"/>
  <c r="R658" i="24" s="1"/>
  <c r="R659" i="24" s="1"/>
  <c r="R660" i="24" s="1"/>
  <c r="R661" i="24" s="1"/>
  <c r="R662" i="24" s="1"/>
  <c r="R663" i="24" s="1"/>
  <c r="R664" i="24" s="1"/>
  <c r="R665" i="24" s="1"/>
  <c r="R666" i="24" s="1"/>
  <c r="R667" i="24" s="1"/>
  <c r="R668" i="24" s="1"/>
  <c r="R669" i="24" s="1"/>
  <c r="R670" i="24" s="1"/>
  <c r="R671" i="24" s="1"/>
  <c r="R672" i="24" s="1"/>
  <c r="R673" i="24" s="1"/>
  <c r="R674" i="24" s="1"/>
  <c r="R675" i="24" s="1"/>
  <c r="R676" i="24" s="1"/>
  <c r="R677" i="24" s="1"/>
  <c r="R678" i="24" s="1"/>
  <c r="R679" i="24" s="1"/>
  <c r="R680" i="24" s="1"/>
  <c r="R681" i="24" s="1"/>
  <c r="R682" i="24" s="1"/>
  <c r="R683" i="24" s="1"/>
  <c r="R684" i="24" s="1"/>
  <c r="R685" i="24" s="1"/>
  <c r="R686" i="24" s="1"/>
  <c r="R687" i="24" s="1"/>
  <c r="R688" i="24" s="1"/>
  <c r="R689" i="24" s="1"/>
  <c r="R690" i="24" s="1"/>
  <c r="R691" i="24" s="1"/>
  <c r="R692" i="24" s="1"/>
  <c r="R693" i="24" s="1"/>
  <c r="R694" i="24" s="1"/>
  <c r="R695" i="24" s="1"/>
  <c r="R696" i="24" s="1"/>
  <c r="R697" i="24" s="1"/>
  <c r="R698" i="24" s="1"/>
  <c r="R699" i="24" s="1"/>
  <c r="R700" i="24" s="1"/>
  <c r="R701" i="24" s="1"/>
  <c r="R702" i="24" s="1"/>
  <c r="R703" i="24" s="1"/>
  <c r="R704" i="24" s="1"/>
  <c r="R705" i="24" s="1"/>
  <c r="R706" i="24" s="1"/>
  <c r="R707" i="24" s="1"/>
  <c r="R708" i="24" s="1"/>
  <c r="R709" i="24" s="1"/>
  <c r="R710" i="24" s="1"/>
  <c r="R711" i="24" s="1"/>
  <c r="R712" i="24" s="1"/>
  <c r="R713" i="24" s="1"/>
  <c r="R714" i="24" s="1"/>
  <c r="R715" i="24" s="1"/>
  <c r="R716" i="24" s="1"/>
  <c r="R717" i="24" s="1"/>
  <c r="R718" i="24" s="1"/>
  <c r="R719" i="24" s="1"/>
  <c r="R720" i="24" s="1"/>
  <c r="R721" i="24" s="1"/>
  <c r="R722" i="24" s="1"/>
  <c r="R723" i="24" s="1"/>
  <c r="R724" i="24" s="1"/>
  <c r="R725" i="24" s="1"/>
  <c r="R726" i="24" s="1"/>
  <c r="R727" i="24" s="1"/>
  <c r="R728" i="24" s="1"/>
  <c r="R729" i="24" s="1"/>
  <c r="R730" i="24" s="1"/>
  <c r="R731" i="24" s="1"/>
  <c r="R732" i="24" s="1"/>
  <c r="R733" i="24" s="1"/>
  <c r="R734" i="24" s="1"/>
  <c r="R735" i="24" s="1"/>
  <c r="R736" i="24" s="1"/>
  <c r="R737" i="24" s="1"/>
  <c r="R738" i="24" s="1"/>
  <c r="R739" i="24" s="1"/>
  <c r="R740" i="24" s="1"/>
  <c r="R741" i="24" s="1"/>
  <c r="R742" i="24" s="1"/>
  <c r="R743" i="24" s="1"/>
  <c r="R744" i="24" s="1"/>
  <c r="R745" i="24" s="1"/>
  <c r="R746" i="24" s="1"/>
  <c r="R747" i="24" s="1"/>
  <c r="R748" i="24" s="1"/>
  <c r="R749" i="24" s="1"/>
  <c r="R750" i="24" s="1"/>
  <c r="R751" i="24" s="1"/>
  <c r="R752" i="24" s="1"/>
  <c r="R753" i="24" s="1"/>
  <c r="R754" i="24" s="1"/>
  <c r="R755" i="24" s="1"/>
  <c r="R756" i="24" s="1"/>
  <c r="R757" i="24" s="1"/>
  <c r="R758" i="24" s="1"/>
  <c r="R759" i="24" s="1"/>
  <c r="R760" i="24" s="1"/>
  <c r="R761" i="24" s="1"/>
  <c r="R762" i="24" s="1"/>
  <c r="R763" i="24" s="1"/>
  <c r="R764" i="24" s="1"/>
  <c r="R765" i="24" s="1"/>
  <c r="R766" i="24" s="1"/>
  <c r="R767" i="24" s="1"/>
  <c r="R768" i="24" s="1"/>
  <c r="R769" i="24" s="1"/>
  <c r="R770" i="24" s="1"/>
  <c r="R771" i="24" s="1"/>
  <c r="R772" i="24" s="1"/>
  <c r="R773" i="24" s="1"/>
  <c r="R774" i="24" s="1"/>
  <c r="R775" i="24" s="1"/>
  <c r="R776" i="24" s="1"/>
  <c r="R777" i="24" s="1"/>
  <c r="R778" i="24" s="1"/>
  <c r="R779" i="24" s="1"/>
  <c r="R780" i="24" s="1"/>
  <c r="R781" i="24" s="1"/>
  <c r="R782" i="24" s="1"/>
  <c r="R783" i="24" s="1"/>
  <c r="R784" i="24" s="1"/>
  <c r="R785" i="24" s="1"/>
  <c r="R786" i="24" s="1"/>
  <c r="R787" i="24" s="1"/>
  <c r="R788" i="24" s="1"/>
  <c r="R789" i="24" s="1"/>
  <c r="R790" i="24" s="1"/>
  <c r="R791" i="24" s="1"/>
  <c r="R792" i="24" s="1"/>
  <c r="R793" i="24" s="1"/>
  <c r="R794" i="24" s="1"/>
  <c r="R795" i="24" s="1"/>
  <c r="R796" i="24" s="1"/>
  <c r="R797" i="24" s="1"/>
  <c r="R798" i="24" s="1"/>
  <c r="R799" i="24" s="1"/>
  <c r="R800" i="24" s="1"/>
  <c r="R801" i="24" s="1"/>
  <c r="R802" i="24" s="1"/>
  <c r="R803" i="24" s="1"/>
  <c r="R804" i="24" s="1"/>
  <c r="R805" i="24" s="1"/>
  <c r="R806" i="24" s="1"/>
  <c r="R807" i="24" s="1"/>
  <c r="R808" i="24" s="1"/>
  <c r="R809" i="24" s="1"/>
  <c r="R810" i="24" s="1"/>
  <c r="R811" i="24" s="1"/>
  <c r="R812" i="24" s="1"/>
  <c r="R813" i="24" s="1"/>
  <c r="R814" i="24" s="1"/>
  <c r="R815" i="24" s="1"/>
  <c r="R816" i="24" s="1"/>
  <c r="R817" i="24" s="1"/>
  <c r="R818" i="24" s="1"/>
  <c r="R819" i="24" s="1"/>
  <c r="R820" i="24" s="1"/>
  <c r="R821" i="24" s="1"/>
  <c r="R822" i="24" s="1"/>
  <c r="R823" i="24" s="1"/>
  <c r="R824" i="24" s="1"/>
  <c r="R825" i="24" s="1"/>
  <c r="R826" i="24" s="1"/>
  <c r="R827" i="24" s="1"/>
  <c r="R828" i="24" s="1"/>
  <c r="R829" i="24" s="1"/>
  <c r="R830" i="24" s="1"/>
  <c r="R831" i="24" s="1"/>
  <c r="R832" i="24" s="1"/>
  <c r="R833" i="24" s="1"/>
  <c r="R834" i="24" s="1"/>
  <c r="R835" i="24" s="1"/>
  <c r="R836" i="24" s="1"/>
  <c r="R837" i="24" s="1"/>
  <c r="R838" i="24" s="1"/>
  <c r="R839" i="24" s="1"/>
  <c r="R840" i="24" s="1"/>
  <c r="R841" i="24" s="1"/>
  <c r="R842" i="24" s="1"/>
  <c r="R843" i="24" s="1"/>
  <c r="R844" i="24" s="1"/>
  <c r="R845" i="24" s="1"/>
  <c r="R846" i="24" s="1"/>
  <c r="R847" i="24" s="1"/>
  <c r="R848" i="24" s="1"/>
  <c r="R849" i="24" s="1"/>
  <c r="R850" i="24" s="1"/>
  <c r="R851" i="24" s="1"/>
  <c r="R852" i="24" s="1"/>
  <c r="R853" i="24" s="1"/>
  <c r="R854" i="24" s="1"/>
  <c r="R855" i="24" s="1"/>
  <c r="R856" i="24" s="1"/>
  <c r="R857" i="24" s="1"/>
  <c r="R858" i="24" s="1"/>
  <c r="R859" i="24" s="1"/>
  <c r="R860" i="24" s="1"/>
  <c r="R861" i="24" s="1"/>
  <c r="R862" i="24" s="1"/>
  <c r="R863" i="24" s="1"/>
  <c r="R864" i="24" s="1"/>
  <c r="R865" i="24" s="1"/>
  <c r="R866" i="24" s="1"/>
  <c r="R867" i="24" s="1"/>
  <c r="R868" i="24" s="1"/>
  <c r="R869" i="24" s="1"/>
  <c r="R870" i="24" s="1"/>
  <c r="R871" i="24" s="1"/>
  <c r="R872" i="24" s="1"/>
  <c r="R873" i="24" s="1"/>
  <c r="R874" i="24" s="1"/>
  <c r="R875" i="24" s="1"/>
  <c r="R876" i="24" s="1"/>
  <c r="R877" i="24" s="1"/>
  <c r="R878" i="24" s="1"/>
  <c r="R879" i="24" s="1"/>
  <c r="R880" i="24" s="1"/>
  <c r="R881" i="24" s="1"/>
  <c r="R882" i="24" s="1"/>
  <c r="R883" i="24" s="1"/>
  <c r="R884" i="24" s="1"/>
  <c r="R885" i="24" s="1"/>
  <c r="R886" i="24" s="1"/>
  <c r="R887" i="24" s="1"/>
  <c r="R888" i="24" s="1"/>
  <c r="R889" i="24" s="1"/>
  <c r="R890" i="24" s="1"/>
  <c r="R891" i="24" s="1"/>
  <c r="R892" i="24" s="1"/>
  <c r="R893" i="24" s="1"/>
  <c r="R894" i="24" s="1"/>
  <c r="R895" i="24" s="1"/>
  <c r="R896" i="24" s="1"/>
  <c r="R897" i="24" s="1"/>
  <c r="R898" i="24" s="1"/>
  <c r="R899" i="24" s="1"/>
  <c r="R900" i="24" s="1"/>
  <c r="R901" i="24" s="1"/>
  <c r="R902" i="24" s="1"/>
  <c r="R903" i="24" s="1"/>
  <c r="R904" i="24" s="1"/>
  <c r="R905" i="24" s="1"/>
  <c r="R906" i="24" s="1"/>
  <c r="R907" i="24" s="1"/>
  <c r="R908" i="24" s="1"/>
  <c r="R909" i="24" s="1"/>
  <c r="R910" i="24" s="1"/>
  <c r="R911" i="24" s="1"/>
  <c r="R912" i="24" s="1"/>
  <c r="R913" i="24" s="1"/>
  <c r="R914" i="24" s="1"/>
  <c r="R915" i="24" s="1"/>
  <c r="R916" i="24" s="1"/>
  <c r="R917" i="24" s="1"/>
  <c r="R918" i="24" s="1"/>
  <c r="R919" i="24" s="1"/>
  <c r="R920" i="24" s="1"/>
  <c r="R921" i="24" s="1"/>
  <c r="R922" i="24" s="1"/>
  <c r="R923" i="24" s="1"/>
  <c r="R924" i="24" s="1"/>
  <c r="R925" i="24" s="1"/>
  <c r="R926" i="24" s="1"/>
  <c r="R927" i="24" s="1"/>
  <c r="R928" i="24" s="1"/>
  <c r="R929" i="24" s="1"/>
  <c r="R930" i="24" s="1"/>
  <c r="R931" i="24" s="1"/>
  <c r="R932" i="24" s="1"/>
  <c r="R933" i="24" s="1"/>
  <c r="R934" i="24" s="1"/>
  <c r="R935" i="24" s="1"/>
  <c r="R936" i="24" s="1"/>
  <c r="R937" i="24" s="1"/>
  <c r="R938" i="24" s="1"/>
  <c r="R939" i="24" s="1"/>
  <c r="R940" i="24" s="1"/>
  <c r="R941" i="24" s="1"/>
  <c r="R942" i="24" s="1"/>
  <c r="R943" i="24" s="1"/>
  <c r="R944" i="24" s="1"/>
  <c r="R945" i="24" s="1"/>
  <c r="R946" i="24" s="1"/>
  <c r="R947" i="24" s="1"/>
  <c r="R948" i="24" s="1"/>
  <c r="R949" i="24" s="1"/>
  <c r="R950" i="24" s="1"/>
  <c r="R951" i="24" s="1"/>
  <c r="R952" i="24" s="1"/>
  <c r="R953" i="24" s="1"/>
  <c r="R954" i="24" s="1"/>
  <c r="R955" i="24" s="1"/>
  <c r="R956" i="24" s="1"/>
  <c r="R957" i="24" s="1"/>
  <c r="R958" i="24" s="1"/>
  <c r="R959" i="24" s="1"/>
  <c r="R960" i="24" s="1"/>
  <c r="R961" i="24" s="1"/>
  <c r="R962" i="24" s="1"/>
  <c r="R963" i="24" s="1"/>
  <c r="R964" i="24" s="1"/>
  <c r="R965" i="24" s="1"/>
  <c r="R966" i="24" s="1"/>
  <c r="R967" i="24" s="1"/>
  <c r="R968" i="24" s="1"/>
  <c r="R969" i="24" s="1"/>
  <c r="R970" i="24" s="1"/>
  <c r="R971" i="24" s="1"/>
  <c r="R972" i="24" s="1"/>
  <c r="R973" i="24" s="1"/>
  <c r="R974" i="24" s="1"/>
  <c r="R975" i="24" s="1"/>
  <c r="R976" i="24" s="1"/>
  <c r="R977" i="24" s="1"/>
  <c r="R978" i="24" s="1"/>
  <c r="R979" i="24" s="1"/>
  <c r="R980" i="24" s="1"/>
  <c r="R981" i="24" s="1"/>
  <c r="R982" i="24" s="1"/>
  <c r="R983" i="24" s="1"/>
  <c r="R984" i="24" s="1"/>
  <c r="R985" i="24" s="1"/>
  <c r="R986" i="24" s="1"/>
  <c r="R987" i="24" s="1"/>
  <c r="R988" i="24" s="1"/>
  <c r="R989" i="24" s="1"/>
  <c r="R990" i="24" s="1"/>
  <c r="R991" i="24" s="1"/>
  <c r="R992" i="24" s="1"/>
  <c r="R993" i="24" s="1"/>
  <c r="R994" i="24" s="1"/>
  <c r="R995" i="24" s="1"/>
  <c r="R996" i="24" s="1"/>
  <c r="R997" i="24" s="1"/>
  <c r="R998" i="24" s="1"/>
  <c r="R999" i="24" s="1"/>
  <c r="R1000" i="24" s="1"/>
  <c r="R1001" i="24" s="1"/>
  <c r="R1002" i="24" s="1"/>
  <c r="R1003" i="24" s="1"/>
  <c r="R1004" i="24" s="1"/>
  <c r="R1005" i="24" s="1"/>
  <c r="R1006" i="24" s="1"/>
  <c r="R1007" i="24" s="1"/>
  <c r="R1008" i="24" s="1"/>
  <c r="R1009" i="24" s="1"/>
  <c r="R1010" i="24" s="1"/>
  <c r="R1011" i="24" s="1"/>
  <c r="R1012" i="24" s="1"/>
  <c r="R1013" i="24" s="1"/>
  <c r="R1014" i="24" s="1"/>
  <c r="R1015" i="24" s="1"/>
  <c r="R1016" i="24" s="1"/>
  <c r="R1017" i="24" s="1"/>
  <c r="R1018" i="24" s="1"/>
  <c r="R1019" i="24" s="1"/>
  <c r="R1020" i="24" s="1"/>
  <c r="R1021" i="24" s="1"/>
  <c r="R1022" i="24" s="1"/>
  <c r="R1023" i="24" s="1"/>
  <c r="R1024" i="24" s="1"/>
  <c r="R1025" i="24" s="1"/>
  <c r="R1026" i="24" s="1"/>
  <c r="R1027" i="24" s="1"/>
  <c r="R1028" i="24" s="1"/>
  <c r="R1029" i="24" s="1"/>
  <c r="R1030" i="24" s="1"/>
  <c r="R1031" i="24" s="1"/>
  <c r="R1032" i="24" s="1"/>
  <c r="R1033" i="24" s="1"/>
  <c r="R1034" i="24" s="1"/>
  <c r="R1035" i="24" s="1"/>
  <c r="R1036" i="24" s="1"/>
  <c r="R1037" i="24" s="1"/>
  <c r="R1038" i="24" s="1"/>
  <c r="R1039" i="24" s="1"/>
  <c r="R1040" i="24" s="1"/>
  <c r="R1041" i="24" s="1"/>
  <c r="R1042" i="24" s="1"/>
  <c r="R1043" i="24" s="1"/>
  <c r="R1044" i="24" s="1"/>
  <c r="R1045" i="24" s="1"/>
  <c r="R1046" i="24" s="1"/>
  <c r="R1047" i="24" s="1"/>
  <c r="R1048" i="24" s="1"/>
  <c r="R1049" i="24" s="1"/>
  <c r="R1050" i="24" s="1"/>
  <c r="R1051" i="24" s="1"/>
  <c r="R1052" i="24" s="1"/>
  <c r="R1053" i="24" s="1"/>
  <c r="R1054" i="24" s="1"/>
  <c r="R1055" i="24" s="1"/>
  <c r="R1056" i="24" s="1"/>
  <c r="R1057" i="24" s="1"/>
  <c r="R1058" i="24" s="1"/>
  <c r="R1059" i="24" s="1"/>
  <c r="R1060" i="24" s="1"/>
  <c r="R1061" i="24" s="1"/>
  <c r="R1062" i="24" s="1"/>
  <c r="R1063" i="24" s="1"/>
  <c r="R1064" i="24" s="1"/>
  <c r="R1065" i="24" s="1"/>
  <c r="R1066" i="24" s="1"/>
  <c r="R1067" i="24" s="1"/>
  <c r="R1068" i="24" s="1"/>
  <c r="R1069" i="24" s="1"/>
  <c r="R1070" i="24" s="1"/>
  <c r="R1071" i="24" s="1"/>
  <c r="R1072" i="24" s="1"/>
  <c r="R1073" i="24" s="1"/>
  <c r="R1074" i="24" s="1"/>
  <c r="R1075" i="24" s="1"/>
  <c r="R1076" i="24" s="1"/>
  <c r="R1077" i="24" s="1"/>
  <c r="R1078" i="24" s="1"/>
  <c r="R1079" i="24" s="1"/>
  <c r="R1080" i="24" s="1"/>
  <c r="R1081" i="24" s="1"/>
  <c r="R1082" i="24" s="1"/>
  <c r="R1083" i="24" s="1"/>
  <c r="R1084" i="24" s="1"/>
  <c r="R1085" i="24" s="1"/>
  <c r="R1086" i="24" s="1"/>
  <c r="R1087" i="24" s="1"/>
  <c r="R1088" i="24" s="1"/>
  <c r="R1089" i="24" s="1"/>
  <c r="R1090" i="24" s="1"/>
  <c r="R1091" i="24" s="1"/>
  <c r="R1092" i="24" s="1"/>
  <c r="R1093" i="24" s="1"/>
  <c r="R1094" i="24" s="1"/>
  <c r="R1095" i="24" s="1"/>
  <c r="R1096" i="24" s="1"/>
  <c r="R1097" i="24" s="1"/>
  <c r="R1098" i="24" s="1"/>
  <c r="R1099" i="24" s="1"/>
  <c r="R1100" i="24" s="1"/>
  <c r="R1101" i="24" s="1"/>
  <c r="R1102" i="24" s="1"/>
  <c r="R1103" i="24" s="1"/>
  <c r="R1104" i="24" s="1"/>
  <c r="R1105" i="24" s="1"/>
  <c r="R1106" i="24" s="1"/>
  <c r="R1107" i="24" s="1"/>
  <c r="R1108" i="24" s="1"/>
  <c r="R1109" i="24" s="1"/>
  <c r="R1110" i="24" s="1"/>
  <c r="R1111" i="24" s="1"/>
  <c r="R1112" i="24" s="1"/>
  <c r="R1113" i="24" s="1"/>
  <c r="R1114" i="24" s="1"/>
  <c r="R1115" i="24" s="1"/>
  <c r="R1116" i="24" s="1"/>
  <c r="R1117" i="24" s="1"/>
  <c r="R1118" i="24" s="1"/>
  <c r="R1119" i="24" s="1"/>
  <c r="R1120" i="24" s="1"/>
  <c r="R1121" i="24" s="1"/>
  <c r="R1122" i="24" s="1"/>
  <c r="R1123" i="24" s="1"/>
  <c r="R1124" i="24" s="1"/>
  <c r="R1125" i="24" s="1"/>
  <c r="R1126" i="24" s="1"/>
  <c r="R1127" i="24" s="1"/>
  <c r="R1128" i="24" s="1"/>
  <c r="R1129" i="24" s="1"/>
  <c r="R1130" i="24" s="1"/>
  <c r="R1131" i="24" s="1"/>
  <c r="R1132" i="24" s="1"/>
  <c r="R1133" i="24" s="1"/>
  <c r="R1134" i="24" s="1"/>
  <c r="R1135" i="24" s="1"/>
  <c r="R1136" i="24" s="1"/>
  <c r="R1137" i="24" s="1"/>
  <c r="R1138" i="24" s="1"/>
  <c r="R1139" i="24" s="1"/>
  <c r="R1140" i="24" s="1"/>
  <c r="R1141" i="24" s="1"/>
  <c r="R1142" i="24" s="1"/>
  <c r="R1143" i="24" s="1"/>
  <c r="R1144" i="24" s="1"/>
  <c r="R1145" i="24" s="1"/>
  <c r="R1146" i="24" s="1"/>
  <c r="R1147" i="24" s="1"/>
  <c r="R1148" i="24" s="1"/>
  <c r="R1149" i="24" s="1"/>
  <c r="R1150" i="24" s="1"/>
  <c r="R1151" i="24" s="1"/>
  <c r="R1152" i="24" s="1"/>
  <c r="R1153" i="24" s="1"/>
  <c r="R1154" i="24" s="1"/>
  <c r="R1155" i="24" s="1"/>
  <c r="R1156" i="24" s="1"/>
  <c r="R1157" i="24" s="1"/>
  <c r="R1158" i="24" s="1"/>
  <c r="R1159" i="24" s="1"/>
  <c r="R1160" i="24" s="1"/>
  <c r="R1161" i="24" s="1"/>
  <c r="R1162" i="24" s="1"/>
  <c r="R1163" i="24" s="1"/>
  <c r="R1164" i="24" s="1"/>
  <c r="R1165" i="24" s="1"/>
  <c r="R1166" i="24" s="1"/>
  <c r="R1167" i="24" s="1"/>
  <c r="R1168" i="24" s="1"/>
  <c r="R1169" i="24" s="1"/>
  <c r="R1170" i="24" s="1"/>
  <c r="R1171" i="24" s="1"/>
  <c r="R1172" i="24" s="1"/>
  <c r="R1173" i="24" s="1"/>
  <c r="R1174" i="24" s="1"/>
  <c r="R1175" i="24" s="1"/>
  <c r="R1176" i="24" s="1"/>
  <c r="R1177" i="24" s="1"/>
  <c r="R1178" i="24" s="1"/>
  <c r="R1179" i="24" s="1"/>
  <c r="R1180" i="24" s="1"/>
  <c r="R1181" i="24" s="1"/>
  <c r="R1182" i="24" s="1"/>
  <c r="R1183" i="24" s="1"/>
  <c r="R1184" i="24" s="1"/>
  <c r="R1185" i="24" s="1"/>
  <c r="R1186" i="24" s="1"/>
  <c r="R1187" i="24" s="1"/>
  <c r="R1188" i="24" s="1"/>
  <c r="R1189" i="24" s="1"/>
  <c r="R1190" i="24" s="1"/>
  <c r="R1191" i="24" s="1"/>
  <c r="R1192" i="24" s="1"/>
  <c r="R1193" i="24" s="1"/>
  <c r="R1194" i="24" s="1"/>
  <c r="R1195" i="24" s="1"/>
  <c r="R1196" i="24" s="1"/>
  <c r="R1197" i="24" s="1"/>
  <c r="R1198" i="24" s="1"/>
  <c r="R1199" i="24" s="1"/>
  <c r="R1200" i="24" s="1"/>
  <c r="R1201" i="24" s="1"/>
  <c r="R1202" i="24" s="1"/>
  <c r="R1203" i="24" s="1"/>
  <c r="R1204" i="24" s="1"/>
  <c r="R1205" i="24" s="1"/>
  <c r="R1206" i="24" s="1"/>
  <c r="R1207" i="24" s="1"/>
  <c r="R1208" i="24" s="1"/>
  <c r="R1209" i="24" s="1"/>
  <c r="R1210" i="24" s="1"/>
  <c r="R1211" i="24" s="1"/>
  <c r="R1212" i="24" s="1"/>
  <c r="R1213" i="24" s="1"/>
  <c r="R1214" i="24" s="1"/>
  <c r="R1215" i="24" s="1"/>
  <c r="R1216" i="24" s="1"/>
  <c r="R1217" i="24" s="1"/>
  <c r="R1218" i="24" s="1"/>
  <c r="R1219" i="24" s="1"/>
  <c r="R1220" i="24" s="1"/>
  <c r="R1221" i="24" s="1"/>
  <c r="R1222" i="24" s="1"/>
  <c r="R1223" i="24" s="1"/>
  <c r="R1224" i="24" s="1"/>
  <c r="R1225" i="24" s="1"/>
  <c r="R1226" i="24" s="1"/>
  <c r="R1227" i="24" s="1"/>
  <c r="R1228" i="24" s="1"/>
  <c r="R1229" i="24" s="1"/>
  <c r="R1230" i="24" s="1"/>
  <c r="R1231" i="24" s="1"/>
  <c r="R1232" i="24" s="1"/>
  <c r="R1233" i="24" s="1"/>
  <c r="R1234" i="24" s="1"/>
  <c r="R1235" i="24" s="1"/>
  <c r="R1236" i="24" s="1"/>
  <c r="R1237" i="24" s="1"/>
  <c r="R1238" i="24" s="1"/>
  <c r="R1239" i="24" s="1"/>
  <c r="R1240" i="24" s="1"/>
  <c r="R1241" i="24" s="1"/>
  <c r="R1242" i="24" s="1"/>
  <c r="R1243" i="24" s="1"/>
  <c r="R1244" i="24" s="1"/>
  <c r="R1245" i="24" s="1"/>
  <c r="R1246" i="24" s="1"/>
  <c r="R1247" i="24" s="1"/>
  <c r="R1248" i="24" s="1"/>
  <c r="R1249" i="24" s="1"/>
  <c r="R1250" i="24" s="1"/>
  <c r="R1251" i="24" s="1"/>
  <c r="R1252" i="24" s="1"/>
  <c r="R1253" i="24" s="1"/>
  <c r="R1254" i="24" s="1"/>
  <c r="R1255" i="24" s="1"/>
  <c r="R1256" i="24" s="1"/>
  <c r="R1257" i="24" s="1"/>
  <c r="R1258" i="24" s="1"/>
  <c r="R1259" i="24" s="1"/>
  <c r="R1260" i="24" s="1"/>
  <c r="R1261" i="24" s="1"/>
  <c r="R1262" i="24" s="1"/>
  <c r="R1263" i="24" s="1"/>
  <c r="R1264" i="24" s="1"/>
  <c r="R1265" i="24" s="1"/>
  <c r="R1266" i="24" s="1"/>
  <c r="R1267" i="24" s="1"/>
  <c r="R1268" i="24" s="1"/>
  <c r="R1269" i="24" s="1"/>
  <c r="R1270" i="24" s="1"/>
  <c r="R1271" i="24" s="1"/>
  <c r="R1272" i="24" s="1"/>
  <c r="R1273" i="24" s="1"/>
  <c r="R1274" i="24" s="1"/>
  <c r="R1275" i="24" s="1"/>
  <c r="R1276" i="24" s="1"/>
  <c r="R1277" i="24" s="1"/>
  <c r="R1278" i="24" s="1"/>
  <c r="R1279" i="24" s="1"/>
  <c r="R1280" i="24" s="1"/>
  <c r="R1281" i="24" s="1"/>
  <c r="R1282" i="24" s="1"/>
  <c r="R1283" i="24" s="1"/>
  <c r="R1284" i="24" s="1"/>
  <c r="R1285" i="24" s="1"/>
  <c r="R1286" i="24" s="1"/>
  <c r="R1287" i="24" s="1"/>
  <c r="R1288" i="24" s="1"/>
  <c r="R1289" i="24" s="1"/>
  <c r="R1290" i="24" s="1"/>
  <c r="R1291" i="24" s="1"/>
  <c r="R1292" i="24" s="1"/>
  <c r="R1293" i="24" s="1"/>
  <c r="R1294" i="24" s="1"/>
  <c r="R1295" i="24" s="1"/>
  <c r="R1296" i="24" s="1"/>
  <c r="R1297" i="24" s="1"/>
  <c r="R1298" i="24" s="1"/>
  <c r="R1299" i="24" s="1"/>
  <c r="R1300" i="24" s="1"/>
  <c r="R1301" i="24" s="1"/>
  <c r="R1302" i="24" s="1"/>
  <c r="R1303" i="24" s="1"/>
  <c r="R1304" i="24" s="1"/>
  <c r="R1305" i="24" s="1"/>
  <c r="R1306" i="24" s="1"/>
  <c r="R1307" i="24" s="1"/>
  <c r="R1308" i="24" s="1"/>
  <c r="R1309" i="24" s="1"/>
  <c r="R1310" i="24" s="1"/>
  <c r="R1311" i="24" s="1"/>
  <c r="R1312" i="24" s="1"/>
  <c r="R1313" i="24" s="1"/>
  <c r="R1314" i="24" s="1"/>
  <c r="R1315" i="24" s="1"/>
  <c r="R1316" i="24" s="1"/>
  <c r="R1317" i="24" s="1"/>
  <c r="R1318" i="24" s="1"/>
  <c r="R1319" i="24" s="1"/>
  <c r="R1320" i="24" s="1"/>
  <c r="R1321" i="24" s="1"/>
  <c r="R1322" i="24" s="1"/>
  <c r="R1323" i="24" s="1"/>
  <c r="R1324" i="24" s="1"/>
  <c r="R1325" i="24" s="1"/>
  <c r="R1326" i="24" s="1"/>
  <c r="R1327" i="24" s="1"/>
  <c r="R1328" i="24" s="1"/>
  <c r="R1329" i="24" s="1"/>
  <c r="R1330" i="24" s="1"/>
  <c r="R1331" i="24" s="1"/>
  <c r="R1332" i="24" s="1"/>
  <c r="R1333" i="24" s="1"/>
  <c r="R1334" i="24" s="1"/>
  <c r="R1335" i="24" s="1"/>
  <c r="R1336" i="24" s="1"/>
  <c r="R1337" i="24" s="1"/>
  <c r="R1338" i="24" s="1"/>
  <c r="R1339" i="24" s="1"/>
  <c r="R1340" i="24" s="1"/>
  <c r="R1341" i="24" s="1"/>
  <c r="R1342" i="24" s="1"/>
  <c r="R1343" i="24" s="1"/>
  <c r="R1344" i="24" s="1"/>
  <c r="R1345" i="24" s="1"/>
  <c r="R1346" i="24" s="1"/>
  <c r="R1347" i="24" s="1"/>
  <c r="R1348" i="24" s="1"/>
  <c r="R1349" i="24" s="1"/>
  <c r="R1350" i="24" s="1"/>
  <c r="R1351" i="24" s="1"/>
  <c r="R1352" i="24" s="1"/>
  <c r="R1353" i="24" s="1"/>
  <c r="R1354" i="24" s="1"/>
  <c r="R1355" i="24" s="1"/>
  <c r="R1356" i="24" s="1"/>
  <c r="R1357" i="24" s="1"/>
  <c r="R1358" i="24" s="1"/>
  <c r="R1359" i="24" s="1"/>
  <c r="R1360" i="24" s="1"/>
  <c r="R1361" i="24" s="1"/>
  <c r="R1362" i="24" s="1"/>
  <c r="R1363" i="24" s="1"/>
  <c r="R1364" i="24" s="1"/>
  <c r="R1365" i="24" s="1"/>
  <c r="R1366" i="24" s="1"/>
  <c r="R1367" i="24" s="1"/>
  <c r="R1368" i="24" s="1"/>
  <c r="R1369" i="24" s="1"/>
  <c r="R1370" i="24" s="1"/>
  <c r="R1371" i="24" s="1"/>
  <c r="R1372" i="24" s="1"/>
  <c r="R1373" i="24" s="1"/>
  <c r="R1374" i="24" s="1"/>
  <c r="R1375" i="24" s="1"/>
  <c r="R1376" i="24" s="1"/>
  <c r="R1377" i="24" s="1"/>
  <c r="R1378" i="24" s="1"/>
  <c r="R1379" i="24" s="1"/>
  <c r="R1380" i="24" s="1"/>
  <c r="R1381" i="24" s="1"/>
  <c r="R1382" i="24" s="1"/>
  <c r="R1383" i="24" s="1"/>
  <c r="R1384" i="24" s="1"/>
  <c r="R1385" i="24" s="1"/>
  <c r="R1386" i="24" s="1"/>
  <c r="R1387" i="24" s="1"/>
  <c r="R1388" i="24" s="1"/>
  <c r="R1389" i="24" s="1"/>
  <c r="R1390" i="24" s="1"/>
  <c r="R1391" i="24" s="1"/>
  <c r="R1392" i="24" s="1"/>
  <c r="R1393" i="24" s="1"/>
  <c r="R1394" i="24" s="1"/>
  <c r="R1395" i="24" s="1"/>
  <c r="R1396" i="24" s="1"/>
  <c r="R1397" i="24" s="1"/>
  <c r="R1398" i="24" s="1"/>
  <c r="R1399" i="24" s="1"/>
  <c r="R1400" i="24" s="1"/>
  <c r="R1401" i="24" s="1"/>
  <c r="R1402" i="24" s="1"/>
  <c r="R1403" i="24" s="1"/>
  <c r="R1404" i="24" s="1"/>
  <c r="R1405" i="24" s="1"/>
  <c r="R1406" i="24" s="1"/>
  <c r="R1407" i="24" s="1"/>
  <c r="R1408" i="24" s="1"/>
  <c r="R1409" i="24" s="1"/>
  <c r="R1410" i="24" s="1"/>
  <c r="R1411" i="24" s="1"/>
  <c r="R1412" i="24" s="1"/>
  <c r="R1413" i="24" s="1"/>
  <c r="R1414" i="24" s="1"/>
  <c r="R1415" i="24" s="1"/>
  <c r="R1416" i="24" s="1"/>
  <c r="R1417" i="24" s="1"/>
  <c r="R1418" i="24" s="1"/>
  <c r="R1419" i="24" s="1"/>
  <c r="R1420" i="24" s="1"/>
  <c r="R1421" i="24" s="1"/>
  <c r="R1422" i="24" s="1"/>
  <c r="R1423" i="24" s="1"/>
  <c r="R1424" i="24" s="1"/>
  <c r="R1425" i="24" s="1"/>
  <c r="R1426" i="24" s="1"/>
  <c r="R1427" i="24" s="1"/>
  <c r="R1428" i="24" s="1"/>
  <c r="R1429" i="24" s="1"/>
  <c r="R1430" i="24" s="1"/>
  <c r="R1431" i="24" s="1"/>
  <c r="R1432" i="24" s="1"/>
  <c r="R1433" i="24" s="1"/>
  <c r="R1434" i="24" s="1"/>
  <c r="R1435" i="24" s="1"/>
  <c r="R1436" i="24" s="1"/>
  <c r="R1437" i="24" s="1"/>
  <c r="R1438" i="24" s="1"/>
  <c r="R1439" i="24" s="1"/>
  <c r="R1440" i="24" s="1"/>
  <c r="R1441" i="24" s="1"/>
  <c r="R1442" i="24" s="1"/>
  <c r="R1443" i="24" s="1"/>
  <c r="R1444" i="24" s="1"/>
  <c r="R1445" i="24" s="1"/>
  <c r="R1446" i="24" s="1"/>
  <c r="R1447" i="24" s="1"/>
  <c r="R1448" i="24" s="1"/>
  <c r="R1449" i="24" s="1"/>
  <c r="R1450" i="24" s="1"/>
  <c r="R1451" i="24" s="1"/>
  <c r="R1452" i="24" s="1"/>
  <c r="R1453" i="24" s="1"/>
  <c r="R1454" i="24" s="1"/>
  <c r="R1455" i="24" s="1"/>
  <c r="R1456" i="24" s="1"/>
  <c r="R1457" i="24" s="1"/>
  <c r="R1458" i="24" s="1"/>
  <c r="R1459" i="24" s="1"/>
  <c r="R1460" i="24" s="1"/>
  <c r="R1461" i="24" s="1"/>
  <c r="R1462" i="24" s="1"/>
  <c r="R1463" i="24" s="1"/>
  <c r="R1464" i="24" s="1"/>
  <c r="R1465" i="24" s="1"/>
  <c r="R1466" i="24" s="1"/>
  <c r="R1467" i="24" s="1"/>
  <c r="R1468" i="24" s="1"/>
  <c r="R1469" i="24" s="1"/>
  <c r="R1470" i="24" s="1"/>
  <c r="R1471" i="24" s="1"/>
  <c r="R1472" i="24" s="1"/>
  <c r="R1473" i="24" s="1"/>
  <c r="R1474" i="24" s="1"/>
  <c r="R1475" i="24" s="1"/>
  <c r="R1476" i="24" s="1"/>
  <c r="R1477" i="24" s="1"/>
  <c r="R1478" i="24" s="1"/>
  <c r="R1479" i="24" s="1"/>
  <c r="R1480" i="24" s="1"/>
  <c r="R1481" i="24" s="1"/>
  <c r="R1482" i="24" s="1"/>
  <c r="R1483" i="24" s="1"/>
  <c r="R1484" i="24" s="1"/>
  <c r="R1485" i="24" s="1"/>
  <c r="R1486" i="24" s="1"/>
  <c r="R1487" i="24" s="1"/>
  <c r="R1488" i="24" s="1"/>
  <c r="R1489" i="24" s="1"/>
  <c r="R1490" i="24" s="1"/>
  <c r="R1491" i="24" s="1"/>
  <c r="R1492" i="24" s="1"/>
  <c r="R1493" i="24" s="1"/>
  <c r="R1494" i="24" s="1"/>
  <c r="R1495" i="24" s="1"/>
  <c r="R1496" i="24" s="1"/>
  <c r="R1497" i="24" s="1"/>
  <c r="R1498" i="24" s="1"/>
  <c r="R1499" i="24" s="1"/>
  <c r="R1500" i="24" s="1"/>
  <c r="R1501" i="24" s="1"/>
  <c r="R1502" i="24" s="1"/>
  <c r="R1503" i="24" s="1"/>
  <c r="R1504" i="24" s="1"/>
  <c r="R1505" i="24" s="1"/>
  <c r="R1506" i="24" s="1"/>
  <c r="R1507" i="24" s="1"/>
  <c r="R1508" i="24" s="1"/>
  <c r="R1509" i="24" s="1"/>
  <c r="R1510" i="24" s="1"/>
  <c r="R1511" i="24" s="1"/>
  <c r="R1512" i="24" s="1"/>
  <c r="R1513" i="24" s="1"/>
  <c r="R1514" i="24" s="1"/>
  <c r="R1515" i="24" s="1"/>
  <c r="R1516" i="24" s="1"/>
  <c r="R1517" i="24" s="1"/>
  <c r="R1518" i="24" s="1"/>
  <c r="R1519" i="24" s="1"/>
  <c r="R1520" i="24" s="1"/>
  <c r="R1521" i="24" s="1"/>
  <c r="R1522" i="24" s="1"/>
  <c r="R1523" i="24" s="1"/>
  <c r="R1524" i="24" s="1"/>
  <c r="R1525" i="24" s="1"/>
  <c r="R1526" i="24" s="1"/>
  <c r="R1527" i="24" s="1"/>
  <c r="R1528" i="24" s="1"/>
  <c r="R1529" i="24" s="1"/>
  <c r="R1530" i="24" s="1"/>
  <c r="R1531" i="24" s="1"/>
  <c r="R1532" i="24" s="1"/>
  <c r="R1533" i="24" s="1"/>
  <c r="R1534" i="24" s="1"/>
  <c r="R1535" i="24" s="1"/>
  <c r="R1536" i="24" s="1"/>
  <c r="R1537" i="24" s="1"/>
  <c r="R1538" i="24" s="1"/>
  <c r="R1539" i="24" s="1"/>
  <c r="R1540" i="24" s="1"/>
  <c r="R1541" i="24" s="1"/>
  <c r="R1542" i="24" s="1"/>
  <c r="R1543" i="24" s="1"/>
  <c r="R1544" i="24" s="1"/>
  <c r="R1545" i="24" s="1"/>
  <c r="R1546" i="24" s="1"/>
  <c r="R1547" i="24" s="1"/>
  <c r="R1548" i="24" s="1"/>
  <c r="R1549" i="24" s="1"/>
  <c r="R1550" i="24" s="1"/>
  <c r="R1551" i="24" s="1"/>
  <c r="R1552" i="24" s="1"/>
  <c r="R1553" i="24" s="1"/>
  <c r="R1554" i="24" s="1"/>
  <c r="R1555" i="24" s="1"/>
  <c r="R1556" i="24" s="1"/>
  <c r="R1557" i="24" s="1"/>
  <c r="R1558" i="24" s="1"/>
  <c r="R1559" i="24" s="1"/>
  <c r="R1560" i="24" s="1"/>
  <c r="R1561" i="24" s="1"/>
  <c r="R1562" i="24" s="1"/>
  <c r="R1563" i="24" s="1"/>
  <c r="R1564" i="24" s="1"/>
  <c r="R1565" i="24" s="1"/>
  <c r="R1566" i="24" s="1"/>
  <c r="R1567" i="24" s="1"/>
  <c r="R1568" i="24" s="1"/>
  <c r="R1569" i="24" s="1"/>
  <c r="R1570" i="24" s="1"/>
  <c r="R1571" i="24" s="1"/>
  <c r="R1572" i="24" s="1"/>
  <c r="R1573" i="24" s="1"/>
  <c r="R1574" i="24" s="1"/>
  <c r="R1575" i="24" s="1"/>
  <c r="R1576" i="24" s="1"/>
  <c r="R1577" i="24" s="1"/>
  <c r="R1578" i="24" s="1"/>
  <c r="R1579" i="24" s="1"/>
  <c r="R1580" i="24" s="1"/>
  <c r="R1581" i="24" s="1"/>
  <c r="R1582" i="24" s="1"/>
  <c r="R1583" i="24" s="1"/>
  <c r="R1584" i="24" s="1"/>
  <c r="R1585" i="24" s="1"/>
  <c r="R1586" i="24" s="1"/>
  <c r="R1587" i="24" s="1"/>
  <c r="R1588" i="24" s="1"/>
  <c r="R1589" i="24" s="1"/>
  <c r="R1590" i="24" s="1"/>
  <c r="R1591" i="24" s="1"/>
  <c r="R1592" i="24" s="1"/>
  <c r="R1593" i="24" s="1"/>
  <c r="R1594" i="24" s="1"/>
  <c r="R1595" i="24" s="1"/>
  <c r="R1596" i="24" s="1"/>
  <c r="R1597" i="24" s="1"/>
  <c r="R1598" i="24" s="1"/>
  <c r="R1599" i="24" s="1"/>
  <c r="R1600" i="24" s="1"/>
  <c r="R1601" i="24" s="1"/>
  <c r="R1602" i="24" s="1"/>
  <c r="R1603" i="24" s="1"/>
  <c r="R1604" i="24" s="1"/>
  <c r="R1605" i="24" s="1"/>
  <c r="R1606" i="24" s="1"/>
  <c r="R1607" i="24" s="1"/>
  <c r="R1608" i="24" s="1"/>
  <c r="R1609" i="24" s="1"/>
  <c r="R1610" i="24" s="1"/>
  <c r="R1611" i="24" s="1"/>
  <c r="R1612" i="24" s="1"/>
  <c r="R1613" i="24" s="1"/>
  <c r="R1614" i="24" s="1"/>
  <c r="R1615" i="24" s="1"/>
  <c r="R1616" i="24" s="1"/>
  <c r="R1617" i="24" s="1"/>
  <c r="R1618" i="24" s="1"/>
  <c r="R1619" i="24" s="1"/>
  <c r="R1620" i="24" s="1"/>
  <c r="R1621" i="24" s="1"/>
  <c r="R1622" i="24" s="1"/>
  <c r="R1623" i="24" s="1"/>
  <c r="R1624" i="24" s="1"/>
  <c r="R1625" i="24" s="1"/>
  <c r="R1626" i="24" s="1"/>
  <c r="R1627" i="24" s="1"/>
  <c r="R1628" i="24" s="1"/>
  <c r="R1629" i="24" s="1"/>
  <c r="R1630" i="24" s="1"/>
  <c r="R1631" i="24" s="1"/>
  <c r="R1632" i="24" s="1"/>
  <c r="R1633" i="24" s="1"/>
  <c r="R1634" i="24" s="1"/>
  <c r="R1635" i="24" s="1"/>
  <c r="R1636" i="24" s="1"/>
  <c r="R1637" i="24" s="1"/>
  <c r="R1638" i="24" s="1"/>
  <c r="R1639" i="24" s="1"/>
  <c r="R1640" i="24" s="1"/>
  <c r="R1641" i="24" s="1"/>
  <c r="R1642" i="24" s="1"/>
  <c r="R1643" i="24" s="1"/>
  <c r="R1644" i="24" s="1"/>
  <c r="R1645" i="24" s="1"/>
  <c r="R1646" i="24" s="1"/>
  <c r="R1647" i="24" s="1"/>
  <c r="R1648" i="24" s="1"/>
  <c r="R1649" i="24" s="1"/>
  <c r="R1650" i="24" s="1"/>
  <c r="R1651" i="24" s="1"/>
  <c r="R1652" i="24" s="1"/>
  <c r="R1653" i="24" s="1"/>
  <c r="R1654" i="24" s="1"/>
  <c r="R1655" i="24" s="1"/>
  <c r="R1656" i="24" s="1"/>
  <c r="R1657" i="24" s="1"/>
  <c r="R1658" i="24" s="1"/>
  <c r="R1659" i="24" s="1"/>
  <c r="R1660" i="24" s="1"/>
  <c r="R1661" i="24" s="1"/>
  <c r="R1662" i="24" s="1"/>
  <c r="R1663" i="24" s="1"/>
  <c r="R1664" i="24" s="1"/>
  <c r="R1665" i="24" s="1"/>
  <c r="R1666" i="24" s="1"/>
  <c r="R1667" i="24" s="1"/>
  <c r="R1668" i="24" s="1"/>
  <c r="R1669" i="24" s="1"/>
  <c r="R1670" i="24" s="1"/>
  <c r="R1671" i="24" s="1"/>
  <c r="R1672" i="24" s="1"/>
  <c r="R1673" i="24" s="1"/>
  <c r="R1674" i="24" s="1"/>
  <c r="R1675" i="24" s="1"/>
  <c r="R1676" i="24" s="1"/>
  <c r="R1677" i="24" s="1"/>
  <c r="R1678" i="24" s="1"/>
  <c r="R1679" i="24" s="1"/>
  <c r="R1680" i="24" s="1"/>
  <c r="R1681" i="24" s="1"/>
  <c r="R1682" i="24" s="1"/>
  <c r="R1683" i="24" s="1"/>
  <c r="R1684" i="24" s="1"/>
  <c r="R1685" i="24" s="1"/>
  <c r="R1686" i="24" s="1"/>
  <c r="R1687" i="24" s="1"/>
  <c r="R1688" i="24" s="1"/>
  <c r="R1689" i="24" s="1"/>
  <c r="R1690" i="24" s="1"/>
  <c r="R1691" i="24" s="1"/>
  <c r="R1692" i="24" s="1"/>
  <c r="R1693" i="24" s="1"/>
  <c r="R1694" i="24" s="1"/>
  <c r="R1695" i="24" s="1"/>
  <c r="R1696" i="24" s="1"/>
  <c r="R1697" i="24" s="1"/>
  <c r="R1698" i="24" s="1"/>
  <c r="R1699" i="24" s="1"/>
  <c r="R1700" i="24" s="1"/>
  <c r="R1701" i="24" s="1"/>
  <c r="R1702" i="24" s="1"/>
  <c r="R1703" i="24" s="1"/>
  <c r="R1704" i="24" s="1"/>
  <c r="R1705" i="24" s="1"/>
  <c r="R1706" i="24" s="1"/>
  <c r="R1707" i="24" s="1"/>
  <c r="R1708" i="24" s="1"/>
  <c r="R1709" i="24" s="1"/>
  <c r="R1710" i="24" s="1"/>
  <c r="R1711" i="24" s="1"/>
  <c r="R1712" i="24" s="1"/>
  <c r="R1713" i="24" s="1"/>
  <c r="R1714" i="24" s="1"/>
  <c r="R1715" i="24" s="1"/>
  <c r="R1716" i="24" s="1"/>
  <c r="R1717" i="24" s="1"/>
  <c r="R1718" i="24" s="1"/>
  <c r="R1719" i="24" s="1"/>
  <c r="R1720" i="24" s="1"/>
  <c r="R1721" i="24" s="1"/>
  <c r="R1722" i="24" s="1"/>
  <c r="R1723" i="24" s="1"/>
  <c r="R1724" i="24" s="1"/>
  <c r="R1725" i="24" s="1"/>
  <c r="R1726" i="24" s="1"/>
  <c r="R1727" i="24" s="1"/>
  <c r="R1728" i="24" s="1"/>
  <c r="R1729" i="24" s="1"/>
  <c r="R1730" i="24" s="1"/>
  <c r="R1731" i="24" s="1"/>
  <c r="R1732" i="24" s="1"/>
  <c r="R1733" i="24" s="1"/>
  <c r="R1734" i="24" s="1"/>
  <c r="R1735" i="24" s="1"/>
  <c r="R1736" i="24" s="1"/>
  <c r="R1737" i="24" s="1"/>
  <c r="R1738" i="24" s="1"/>
  <c r="R1739" i="24" s="1"/>
  <c r="R1740" i="24" s="1"/>
  <c r="R1741" i="24" s="1"/>
  <c r="R1742" i="24" s="1"/>
  <c r="R1743" i="24" s="1"/>
  <c r="R1744" i="24" s="1"/>
  <c r="R1745" i="24" s="1"/>
  <c r="R1746" i="24" s="1"/>
  <c r="R1747" i="24" s="1"/>
  <c r="R1748" i="24" s="1"/>
  <c r="R1749" i="24" s="1"/>
  <c r="R1750" i="24" s="1"/>
  <c r="R1751" i="24" s="1"/>
  <c r="R1752" i="24" s="1"/>
  <c r="R1753" i="24" s="1"/>
  <c r="R1754" i="24" s="1"/>
  <c r="R1755" i="24" s="1"/>
  <c r="R1756" i="24" s="1"/>
  <c r="R1757" i="24" s="1"/>
  <c r="R1758" i="24" s="1"/>
  <c r="R1759" i="24" s="1"/>
  <c r="R1760" i="24" s="1"/>
  <c r="R1761" i="24" s="1"/>
  <c r="R1762" i="24" s="1"/>
  <c r="R1763" i="24" s="1"/>
  <c r="R1764" i="24" s="1"/>
  <c r="R1765" i="24" s="1"/>
  <c r="R1766" i="24" s="1"/>
  <c r="R1767" i="24" s="1"/>
  <c r="R1768" i="24" s="1"/>
  <c r="R1769" i="24" s="1"/>
  <c r="R1770" i="24" s="1"/>
  <c r="R1771" i="24" s="1"/>
  <c r="R1772" i="24" s="1"/>
  <c r="R1773" i="24" s="1"/>
  <c r="R1774" i="24" s="1"/>
  <c r="R1775" i="24" s="1"/>
  <c r="R1776" i="24" s="1"/>
  <c r="R1777" i="24" s="1"/>
  <c r="R1778" i="24" s="1"/>
  <c r="R1779" i="24" s="1"/>
  <c r="R1780" i="24" s="1"/>
  <c r="R1781" i="24" s="1"/>
  <c r="R1782" i="24" s="1"/>
  <c r="R1783" i="24" s="1"/>
  <c r="R1784" i="24" s="1"/>
  <c r="R1785" i="24" s="1"/>
  <c r="R1786" i="24" s="1"/>
  <c r="R1787" i="24" s="1"/>
  <c r="R1788" i="24" s="1"/>
  <c r="R1789" i="24" s="1"/>
  <c r="R1790" i="24" s="1"/>
  <c r="R1791" i="24" s="1"/>
  <c r="R1792" i="24" s="1"/>
  <c r="R1793" i="24" s="1"/>
  <c r="R1794" i="24" s="1"/>
  <c r="R1795" i="24" s="1"/>
  <c r="R1796" i="24" s="1"/>
  <c r="R1797" i="24" s="1"/>
  <c r="R1798" i="24" s="1"/>
  <c r="R1799" i="24" s="1"/>
  <c r="R1800" i="24" s="1"/>
  <c r="R1801" i="24" s="1"/>
  <c r="R1802" i="24" s="1"/>
  <c r="R1803" i="24" s="1"/>
  <c r="R1804" i="24" s="1"/>
  <c r="R1805" i="24" s="1"/>
  <c r="R1806" i="24" s="1"/>
  <c r="R1807" i="24" s="1"/>
  <c r="R1808" i="24" s="1"/>
  <c r="R1809" i="24" s="1"/>
  <c r="R1810" i="24" s="1"/>
  <c r="R1811" i="24" s="1"/>
  <c r="R1812" i="24" s="1"/>
  <c r="R1813" i="24" s="1"/>
  <c r="R1814" i="24" s="1"/>
  <c r="R1815" i="24" s="1"/>
  <c r="R1816" i="24" s="1"/>
  <c r="R1817" i="24" s="1"/>
  <c r="R1818" i="24" s="1"/>
  <c r="R1819" i="24" s="1"/>
  <c r="R1820" i="24" s="1"/>
  <c r="R1821" i="24" s="1"/>
  <c r="R1822" i="24" s="1"/>
  <c r="R1823" i="24" s="1"/>
  <c r="R1824" i="24" s="1"/>
  <c r="R1825" i="24" s="1"/>
  <c r="R1826" i="24" s="1"/>
  <c r="R1827" i="24" s="1"/>
  <c r="R1828" i="24" s="1"/>
  <c r="R1829" i="24" s="1"/>
  <c r="R1830" i="24" s="1"/>
  <c r="R1831" i="24" s="1"/>
  <c r="R1832" i="24" s="1"/>
  <c r="R1833" i="24" s="1"/>
  <c r="R1834" i="24" s="1"/>
  <c r="R1835" i="24" s="1"/>
  <c r="R1836" i="24" s="1"/>
  <c r="R1837" i="24" s="1"/>
  <c r="R1838" i="24" s="1"/>
  <c r="R1839" i="24" s="1"/>
  <c r="R1840" i="24" s="1"/>
  <c r="R1841" i="24" s="1"/>
  <c r="R1842" i="24" s="1"/>
  <c r="R1843" i="24" s="1"/>
  <c r="R1844" i="24" s="1"/>
  <c r="R1845" i="24" s="1"/>
  <c r="R1846" i="24" s="1"/>
  <c r="R1847" i="24" s="1"/>
  <c r="R1848" i="24" s="1"/>
  <c r="R1849" i="24" s="1"/>
  <c r="R1850" i="24" s="1"/>
  <c r="R1851" i="24" s="1"/>
  <c r="R1852" i="24" s="1"/>
  <c r="R1853" i="24" s="1"/>
  <c r="R1854" i="24" s="1"/>
  <c r="R1855" i="24" s="1"/>
  <c r="R1856" i="24" s="1"/>
  <c r="R1857" i="24" s="1"/>
  <c r="R1858" i="24" s="1"/>
  <c r="R1859" i="24" s="1"/>
  <c r="R1860" i="24" s="1"/>
  <c r="R1861" i="24" s="1"/>
  <c r="R1862" i="24" s="1"/>
  <c r="R1863" i="24" s="1"/>
  <c r="R1864" i="24" s="1"/>
  <c r="R1865" i="24" s="1"/>
  <c r="R1866" i="24" s="1"/>
  <c r="R1867" i="24" s="1"/>
  <c r="R1868" i="24" s="1"/>
  <c r="R1869" i="24" s="1"/>
  <c r="R1870" i="24" s="1"/>
  <c r="R1871" i="24" s="1"/>
  <c r="R1872" i="24" s="1"/>
  <c r="R1873" i="24" s="1"/>
  <c r="R1874" i="24" s="1"/>
  <c r="R1875" i="24" s="1"/>
  <c r="R1876" i="24" s="1"/>
  <c r="R1877" i="24" s="1"/>
  <c r="R1878" i="24" s="1"/>
  <c r="R1879" i="24" s="1"/>
  <c r="R1880" i="24" s="1"/>
  <c r="R1881" i="24" s="1"/>
  <c r="R1882" i="24" s="1"/>
  <c r="R1883" i="24" s="1"/>
  <c r="R1884" i="24" s="1"/>
  <c r="R1885" i="24" s="1"/>
  <c r="R1886" i="24" s="1"/>
  <c r="R1887" i="24" s="1"/>
  <c r="R1888" i="24" s="1"/>
  <c r="R1889" i="24" s="1"/>
  <c r="R1890" i="24" s="1"/>
  <c r="R1891" i="24" s="1"/>
  <c r="R1892" i="24" s="1"/>
  <c r="R1893" i="24" s="1"/>
  <c r="R1894" i="24" s="1"/>
  <c r="R1895" i="24" s="1"/>
  <c r="R1896" i="24" s="1"/>
  <c r="R1897" i="24" s="1"/>
  <c r="R1898" i="24" s="1"/>
  <c r="R1899" i="24" s="1"/>
  <c r="R1900" i="24" s="1"/>
  <c r="R1901" i="24" s="1"/>
  <c r="R1902" i="24" s="1"/>
  <c r="R1903" i="24" s="1"/>
  <c r="R1904" i="24" s="1"/>
  <c r="R1905" i="24" s="1"/>
  <c r="R1906" i="24" s="1"/>
  <c r="R1907" i="24" s="1"/>
  <c r="R1908" i="24" s="1"/>
  <c r="R1909" i="24" s="1"/>
  <c r="R1910" i="24" s="1"/>
  <c r="R1911" i="24" s="1"/>
  <c r="R1912" i="24" s="1"/>
  <c r="R1913" i="24" s="1"/>
  <c r="R1914" i="24" s="1"/>
  <c r="R1915" i="24" s="1"/>
  <c r="R1916" i="24" s="1"/>
  <c r="R1917" i="24" s="1"/>
  <c r="R1918" i="24" s="1"/>
  <c r="R1919" i="24" s="1"/>
  <c r="R1920" i="24" s="1"/>
  <c r="R1921" i="24" s="1"/>
  <c r="R1922" i="24" s="1"/>
  <c r="R1923" i="24" s="1"/>
  <c r="R1924" i="24" s="1"/>
  <c r="R1925" i="24" s="1"/>
  <c r="R1926" i="24" s="1"/>
  <c r="R1927" i="24" s="1"/>
  <c r="R1928" i="24" s="1"/>
  <c r="R1929" i="24" s="1"/>
  <c r="R1930" i="24" s="1"/>
  <c r="R1931" i="24" s="1"/>
  <c r="R1932" i="24" s="1"/>
  <c r="R1933" i="24" s="1"/>
  <c r="R1934" i="24" s="1"/>
  <c r="R1935" i="24" s="1"/>
  <c r="R1936" i="24" s="1"/>
  <c r="R1937" i="24" s="1"/>
  <c r="R1938" i="24" s="1"/>
  <c r="R1939" i="24" s="1"/>
  <c r="R1940" i="24" s="1"/>
  <c r="R1941" i="24" s="1"/>
  <c r="R1942" i="24" s="1"/>
  <c r="R1943" i="24" s="1"/>
  <c r="R1944" i="24" s="1"/>
  <c r="R1945" i="24" s="1"/>
  <c r="R1946" i="24" s="1"/>
  <c r="R1947" i="24" s="1"/>
  <c r="R1948" i="24" s="1"/>
  <c r="R1949" i="24" s="1"/>
  <c r="R1950" i="24" s="1"/>
  <c r="R1951" i="24" s="1"/>
  <c r="R1952" i="24" s="1"/>
  <c r="R1953" i="24" s="1"/>
  <c r="R1954" i="24" s="1"/>
  <c r="R1955" i="24" s="1"/>
  <c r="R1956" i="24" s="1"/>
  <c r="R1957" i="24" s="1"/>
  <c r="R1958" i="24" s="1"/>
  <c r="R1959" i="24" s="1"/>
  <c r="R1960" i="24" s="1"/>
  <c r="R1961" i="24" s="1"/>
  <c r="R1962" i="24" s="1"/>
  <c r="R1963" i="24" s="1"/>
  <c r="R1964" i="24" s="1"/>
  <c r="R1965" i="24" s="1"/>
  <c r="R1966" i="24" s="1"/>
  <c r="R1967" i="24" s="1"/>
  <c r="R1968" i="24" s="1"/>
  <c r="R1969" i="24" s="1"/>
  <c r="R1970" i="24" s="1"/>
  <c r="R1971" i="24" s="1"/>
  <c r="R1972" i="24" s="1"/>
  <c r="R1973" i="24" s="1"/>
  <c r="R1974" i="24" s="1"/>
  <c r="R1975" i="24" s="1"/>
  <c r="R1976" i="24" s="1"/>
  <c r="R1977" i="24" s="1"/>
  <c r="R1978" i="24" s="1"/>
  <c r="R1979" i="24" s="1"/>
  <c r="R1980" i="24" s="1"/>
  <c r="R1981" i="24" s="1"/>
  <c r="R1982" i="24" s="1"/>
  <c r="R1983" i="24" s="1"/>
  <c r="R1984" i="24" s="1"/>
  <c r="R1985" i="24" s="1"/>
  <c r="R1986" i="24" s="1"/>
  <c r="R1987" i="24" s="1"/>
  <c r="R1988" i="24" s="1"/>
  <c r="R1989" i="24" s="1"/>
  <c r="R1990" i="24" s="1"/>
  <c r="R1991" i="24" s="1"/>
  <c r="R1992" i="24" s="1"/>
  <c r="R1993" i="24" s="1"/>
  <c r="R1994" i="24" s="1"/>
  <c r="R1995" i="24" s="1"/>
  <c r="R1996" i="24" s="1"/>
  <c r="R1997" i="24" s="1"/>
  <c r="R1998" i="24" s="1"/>
  <c r="R1999" i="24" s="1"/>
  <c r="R2000" i="24" s="1"/>
  <c r="R2001" i="24" s="1"/>
  <c r="R2002" i="24" s="1"/>
  <c r="R2003" i="24" s="1"/>
  <c r="R2004" i="24" s="1"/>
  <c r="R2005" i="24" s="1"/>
  <c r="R2006" i="24" s="1"/>
  <c r="R2007" i="24" s="1"/>
  <c r="R2008" i="24" s="1"/>
  <c r="R2009" i="24" s="1"/>
  <c r="R2010" i="24" s="1"/>
  <c r="R2011" i="24" s="1"/>
  <c r="R2012" i="24" s="1"/>
  <c r="R2013" i="24" s="1"/>
  <c r="R2014" i="24" s="1"/>
  <c r="R2015" i="24" s="1"/>
  <c r="R2016" i="24" s="1"/>
  <c r="R2017" i="24" s="1"/>
  <c r="R2018" i="24" s="1"/>
  <c r="R2019" i="24" s="1"/>
  <c r="R2020" i="24" s="1"/>
  <c r="R2021" i="24" s="1"/>
  <c r="R2022" i="24" s="1"/>
  <c r="R2023" i="24" s="1"/>
  <c r="R2024" i="24" s="1"/>
  <c r="R2025" i="24" s="1"/>
  <c r="R2026" i="24" s="1"/>
  <c r="R2027" i="24" s="1"/>
  <c r="R2028" i="24" s="1"/>
  <c r="R2029" i="24" s="1"/>
  <c r="R2030" i="24" s="1"/>
  <c r="R2031" i="24" s="1"/>
  <c r="R2032" i="24" s="1"/>
  <c r="R2033" i="24" s="1"/>
  <c r="R2034" i="24" s="1"/>
  <c r="R2035" i="24" s="1"/>
  <c r="R2036" i="24" s="1"/>
  <c r="R2037" i="24" s="1"/>
  <c r="R2038" i="24" s="1"/>
  <c r="R2039" i="24" s="1"/>
  <c r="R2040" i="24" s="1"/>
  <c r="R2041" i="24" s="1"/>
  <c r="R2042" i="24" s="1"/>
  <c r="R2043" i="24" s="1"/>
  <c r="R2044" i="24" s="1"/>
  <c r="R2045" i="24" s="1"/>
  <c r="R2046" i="24" s="1"/>
  <c r="R2047" i="24" s="1"/>
  <c r="R2048" i="24" s="1"/>
  <c r="R2049" i="24" s="1"/>
  <c r="R2050" i="24" s="1"/>
  <c r="R2051" i="24" s="1"/>
  <c r="R2052" i="24" s="1"/>
  <c r="R2053" i="24" s="1"/>
  <c r="R2054" i="24" s="1"/>
  <c r="R2055" i="24" s="1"/>
  <c r="R2056" i="24" s="1"/>
  <c r="R2057" i="24" s="1"/>
  <c r="R2058" i="24" s="1"/>
  <c r="R2059" i="24" s="1"/>
  <c r="R2060" i="24" s="1"/>
  <c r="R2061" i="24" s="1"/>
  <c r="R2062" i="24" s="1"/>
  <c r="R2063" i="24" s="1"/>
  <c r="R2064" i="24" s="1"/>
  <c r="R2065" i="24" s="1"/>
  <c r="R2066" i="24" s="1"/>
  <c r="R2067" i="24" s="1"/>
  <c r="R2068" i="24" s="1"/>
  <c r="R2069" i="24" s="1"/>
  <c r="R2070" i="24" s="1"/>
  <c r="R2071" i="24" s="1"/>
  <c r="R2072" i="24" s="1"/>
  <c r="R2073" i="24" s="1"/>
  <c r="R2074" i="24" s="1"/>
  <c r="R2075" i="24" s="1"/>
  <c r="R2076" i="24" s="1"/>
  <c r="R2077" i="24" s="1"/>
  <c r="R2078" i="24" s="1"/>
  <c r="R2079" i="24" s="1"/>
  <c r="R2080" i="24" s="1"/>
  <c r="R2081" i="24" s="1"/>
  <c r="R2082" i="24" s="1"/>
  <c r="R2083" i="24" s="1"/>
  <c r="R2084" i="24" s="1"/>
  <c r="R2085" i="24" s="1"/>
  <c r="R2086" i="24" s="1"/>
  <c r="R2087" i="24" s="1"/>
  <c r="R2088" i="24" s="1"/>
  <c r="R2089" i="24" s="1"/>
  <c r="R2090" i="24" s="1"/>
  <c r="R2091" i="24" s="1"/>
  <c r="R2092" i="24" s="1"/>
  <c r="R2093" i="24" s="1"/>
  <c r="R2094" i="24" s="1"/>
  <c r="R2095" i="24" s="1"/>
  <c r="R2096" i="24" s="1"/>
  <c r="R2097" i="24" s="1"/>
  <c r="R2098" i="24" s="1"/>
  <c r="R2099" i="24" s="1"/>
  <c r="R2100" i="24" s="1"/>
  <c r="R2101" i="24" s="1"/>
  <c r="R2102" i="24" s="1"/>
  <c r="R2103" i="24" s="1"/>
  <c r="R2104" i="24" s="1"/>
  <c r="R2105" i="24" s="1"/>
  <c r="R2106" i="24" s="1"/>
  <c r="R2107" i="24" s="1"/>
  <c r="R2108" i="24" s="1"/>
  <c r="R2109" i="24" s="1"/>
  <c r="R2110" i="24" s="1"/>
  <c r="R2111" i="24" s="1"/>
  <c r="R2112" i="24" s="1"/>
  <c r="R2113" i="24" s="1"/>
  <c r="R2114" i="24" s="1"/>
  <c r="R2115" i="24" s="1"/>
  <c r="R2116" i="24" s="1"/>
  <c r="R2117" i="24" s="1"/>
  <c r="R2118" i="24" s="1"/>
  <c r="R2119" i="24" s="1"/>
  <c r="R2120" i="24" s="1"/>
  <c r="R2121" i="24" s="1"/>
  <c r="R2122" i="24" s="1"/>
  <c r="R2123" i="24" s="1"/>
  <c r="R2124" i="24" s="1"/>
  <c r="R2125" i="24" s="1"/>
  <c r="R2126" i="24" s="1"/>
  <c r="R2127" i="24" s="1"/>
  <c r="R2128" i="24" s="1"/>
  <c r="R2129" i="24" s="1"/>
  <c r="R2130" i="24" s="1"/>
  <c r="R2131" i="24" s="1"/>
  <c r="R2132" i="24" s="1"/>
  <c r="R2133" i="24" s="1"/>
  <c r="R2134" i="24" s="1"/>
  <c r="R2135" i="24" s="1"/>
  <c r="R2136" i="24" s="1"/>
  <c r="R2137" i="24" s="1"/>
  <c r="R2138" i="24" s="1"/>
  <c r="R2139" i="24" s="1"/>
  <c r="R2140" i="24" s="1"/>
  <c r="R2141" i="24" s="1"/>
  <c r="R2142" i="24" s="1"/>
  <c r="R2143" i="24" s="1"/>
  <c r="R2144" i="24" s="1"/>
  <c r="R2145" i="24" s="1"/>
  <c r="R2146" i="24" s="1"/>
  <c r="R2147" i="24" s="1"/>
  <c r="R2148" i="24" s="1"/>
  <c r="R2149" i="24" s="1"/>
  <c r="R2150" i="24" s="1"/>
  <c r="R2151" i="24" s="1"/>
  <c r="R2152" i="24" s="1"/>
  <c r="R2153" i="24" s="1"/>
  <c r="R2154" i="24" s="1"/>
  <c r="R2155" i="24" s="1"/>
  <c r="R2156" i="24" s="1"/>
  <c r="R2157" i="24" s="1"/>
  <c r="R2158" i="24" s="1"/>
  <c r="R2159" i="24" s="1"/>
  <c r="R2160" i="24" s="1"/>
  <c r="R2161" i="24" s="1"/>
  <c r="R2162" i="24" s="1"/>
  <c r="R2163" i="24" s="1"/>
  <c r="R2164" i="24" s="1"/>
  <c r="R2165" i="24" s="1"/>
  <c r="R2166" i="24" s="1"/>
  <c r="R2167" i="24" s="1"/>
  <c r="R2168" i="24" s="1"/>
  <c r="R2169" i="24" s="1"/>
  <c r="R2170" i="24" s="1"/>
  <c r="R2171" i="24" s="1"/>
  <c r="R2172" i="24" s="1"/>
  <c r="R2173" i="24" s="1"/>
  <c r="R2174" i="24" s="1"/>
  <c r="R2175" i="24" s="1"/>
  <c r="R2176" i="24" s="1"/>
  <c r="R2177" i="24" s="1"/>
  <c r="R2178" i="24" s="1"/>
  <c r="R2179" i="24" s="1"/>
  <c r="R2180" i="24" s="1"/>
  <c r="R2181" i="24" s="1"/>
  <c r="R2182" i="24" s="1"/>
  <c r="R2183" i="24" s="1"/>
  <c r="R2184" i="24" s="1"/>
  <c r="R2185" i="24" s="1"/>
  <c r="R2186" i="24" s="1"/>
  <c r="R2187" i="24" s="1"/>
  <c r="R2188" i="24" s="1"/>
  <c r="R2189" i="24" s="1"/>
  <c r="R2190" i="24" s="1"/>
  <c r="R2191" i="24" s="1"/>
  <c r="R2192" i="24" s="1"/>
  <c r="R2193" i="24" s="1"/>
  <c r="R2194" i="24" s="1"/>
  <c r="R2195" i="24" s="1"/>
  <c r="R2196" i="24" s="1"/>
  <c r="R2197" i="24" s="1"/>
  <c r="R2198" i="24" s="1"/>
  <c r="R2199" i="24" s="1"/>
  <c r="R2200" i="24" s="1"/>
  <c r="R2201" i="24" s="1"/>
  <c r="R2202" i="24" s="1"/>
  <c r="R2203" i="24" s="1"/>
  <c r="R2204" i="24" s="1"/>
  <c r="R2205" i="24" s="1"/>
  <c r="R2206" i="24" s="1"/>
  <c r="R2207" i="24" s="1"/>
  <c r="R2208" i="24" s="1"/>
  <c r="R2209" i="24" s="1"/>
  <c r="R2210" i="24" s="1"/>
  <c r="R2211" i="24" s="1"/>
  <c r="R2212" i="24" s="1"/>
  <c r="R2213" i="24" s="1"/>
  <c r="R2214" i="24" s="1"/>
  <c r="R2215" i="24" s="1"/>
  <c r="R2216" i="24" s="1"/>
  <c r="R2217" i="24" s="1"/>
  <c r="R2218" i="24" s="1"/>
  <c r="R2219" i="24" s="1"/>
  <c r="R2220" i="24" s="1"/>
  <c r="R2221" i="24" s="1"/>
  <c r="R2222" i="24" s="1"/>
  <c r="R2223" i="24" s="1"/>
  <c r="R2224" i="24" s="1"/>
  <c r="R2225" i="24" s="1"/>
  <c r="R2226" i="24" s="1"/>
  <c r="R2227" i="24" s="1"/>
  <c r="R2228" i="24" s="1"/>
  <c r="R2229" i="24" s="1"/>
  <c r="R2230" i="24" s="1"/>
  <c r="R2231" i="24" s="1"/>
  <c r="R2232" i="24" s="1"/>
  <c r="R2233" i="24" s="1"/>
  <c r="R2234" i="24" s="1"/>
  <c r="R2235" i="24" s="1"/>
  <c r="R2236" i="24" s="1"/>
  <c r="R2237" i="24" s="1"/>
  <c r="R2238" i="24" s="1"/>
  <c r="R2239" i="24" s="1"/>
  <c r="R2240" i="24" s="1"/>
  <c r="R2241" i="24" s="1"/>
  <c r="R2242" i="24" s="1"/>
  <c r="R2243" i="24" s="1"/>
  <c r="R2244" i="24" s="1"/>
  <c r="R2245" i="24" s="1"/>
  <c r="R2246" i="24" s="1"/>
  <c r="R2247" i="24" s="1"/>
  <c r="R2248" i="24" s="1"/>
  <c r="R2249" i="24" s="1"/>
  <c r="R2250" i="24" s="1"/>
  <c r="R2251" i="24" s="1"/>
  <c r="R2252" i="24" s="1"/>
  <c r="R2253" i="24" s="1"/>
  <c r="R2254" i="24" s="1"/>
  <c r="R2255" i="24" s="1"/>
  <c r="R2256" i="24" s="1"/>
  <c r="R2257" i="24" s="1"/>
  <c r="R2258" i="24" s="1"/>
  <c r="R2259" i="24" s="1"/>
  <c r="R2260" i="24" s="1"/>
  <c r="R2261" i="24" s="1"/>
  <c r="R2262" i="24" s="1"/>
  <c r="R2263" i="24" s="1"/>
  <c r="R2264" i="24" s="1"/>
  <c r="R2265" i="24" s="1"/>
  <c r="R2266" i="24" s="1"/>
  <c r="R2267" i="24" s="1"/>
  <c r="R2268" i="24" s="1"/>
  <c r="R2269" i="24" s="1"/>
  <c r="R2270" i="24" s="1"/>
  <c r="R2271" i="24" s="1"/>
  <c r="R2272" i="24" s="1"/>
  <c r="R2273" i="24" s="1"/>
  <c r="R2274" i="24" s="1"/>
  <c r="R2275" i="24" s="1"/>
  <c r="R2276" i="24" s="1"/>
  <c r="R2277" i="24" s="1"/>
  <c r="R2278" i="24" s="1"/>
  <c r="R2279" i="24" s="1"/>
  <c r="R2280" i="24" s="1"/>
  <c r="R2281" i="24" s="1"/>
  <c r="R2282" i="24" s="1"/>
  <c r="R2283" i="24" s="1"/>
  <c r="R2284" i="24" s="1"/>
  <c r="R2285" i="24" s="1"/>
  <c r="R2286" i="24" s="1"/>
  <c r="R2287" i="24" s="1"/>
  <c r="R2288" i="24" s="1"/>
  <c r="R2289" i="24" s="1"/>
  <c r="R2290" i="24" s="1"/>
  <c r="R2291" i="24" s="1"/>
  <c r="R2292" i="24" s="1"/>
  <c r="R2293" i="24" s="1"/>
  <c r="R2294" i="24" s="1"/>
  <c r="R2295" i="24" s="1"/>
  <c r="R2296" i="24" s="1"/>
  <c r="R2297" i="24" s="1"/>
  <c r="R2298" i="24" s="1"/>
  <c r="R2299" i="24" s="1"/>
  <c r="R2300" i="24" s="1"/>
  <c r="R2301" i="24" s="1"/>
  <c r="R2302" i="24" s="1"/>
  <c r="R2303" i="24" s="1"/>
  <c r="R2304" i="24" s="1"/>
  <c r="R2305" i="24" s="1"/>
  <c r="R2306" i="24" s="1"/>
  <c r="R2307" i="24" s="1"/>
  <c r="R2308" i="24" s="1"/>
  <c r="R2309" i="24" s="1"/>
  <c r="R2310" i="24" s="1"/>
  <c r="R2311" i="24" s="1"/>
  <c r="R2312" i="24" s="1"/>
  <c r="R2313" i="24" s="1"/>
  <c r="R2314" i="24" s="1"/>
  <c r="R2315" i="24" s="1"/>
  <c r="R2316" i="24" s="1"/>
  <c r="R2317" i="24" s="1"/>
  <c r="R2318" i="24" s="1"/>
  <c r="R2319" i="24" s="1"/>
  <c r="R2320" i="24" s="1"/>
  <c r="R2321" i="24" s="1"/>
  <c r="R2322" i="24" s="1"/>
  <c r="R2323" i="24" s="1"/>
  <c r="R2324" i="24" s="1"/>
  <c r="R2325" i="24" s="1"/>
  <c r="R2326" i="24" s="1"/>
  <c r="R2327" i="24" s="1"/>
  <c r="R2328" i="24" s="1"/>
  <c r="R2329" i="24" s="1"/>
  <c r="R2330" i="24" s="1"/>
  <c r="R2331" i="24" s="1"/>
  <c r="R2332" i="24" s="1"/>
  <c r="R2333" i="24" s="1"/>
  <c r="R2334" i="24" s="1"/>
  <c r="R2335" i="24" s="1"/>
  <c r="R2336" i="24" s="1"/>
  <c r="R2337" i="24" s="1"/>
  <c r="R2338" i="24" s="1"/>
  <c r="R2339" i="24" s="1"/>
  <c r="R2340" i="24" s="1"/>
  <c r="R2341" i="24" s="1"/>
  <c r="R2342" i="24" s="1"/>
  <c r="R2343" i="24" s="1"/>
  <c r="R2344" i="24" s="1"/>
  <c r="R2345" i="24" s="1"/>
  <c r="R2346" i="24" s="1"/>
  <c r="R2347" i="24" s="1"/>
  <c r="R2348" i="24" s="1"/>
  <c r="R2349" i="24" s="1"/>
  <c r="R2350" i="24" s="1"/>
  <c r="R2351" i="24" s="1"/>
  <c r="R2352" i="24" s="1"/>
  <c r="R2353" i="24" s="1"/>
  <c r="R2354" i="24" s="1"/>
  <c r="R2355" i="24" s="1"/>
  <c r="R2356" i="24" s="1"/>
  <c r="R2357" i="24" s="1"/>
  <c r="R2358" i="24" s="1"/>
  <c r="R2359" i="24" s="1"/>
  <c r="R2360" i="24" s="1"/>
  <c r="R2361" i="24" s="1"/>
  <c r="R2362" i="24" s="1"/>
  <c r="R2363" i="24" s="1"/>
  <c r="R2364" i="24" s="1"/>
  <c r="R2365" i="24" s="1"/>
  <c r="R2366" i="24" s="1"/>
  <c r="R2367" i="24" s="1"/>
  <c r="R2368" i="24" s="1"/>
  <c r="R2369" i="24" s="1"/>
  <c r="R2370" i="24" s="1"/>
  <c r="R2371" i="24" s="1"/>
  <c r="R2372" i="24" s="1"/>
  <c r="R2373" i="24" s="1"/>
  <c r="R2374" i="24" s="1"/>
  <c r="R2375" i="24" s="1"/>
  <c r="R2376" i="24" s="1"/>
  <c r="R2377" i="24" s="1"/>
  <c r="R2378" i="24" s="1"/>
  <c r="R2379" i="24" s="1"/>
  <c r="R2380" i="24" s="1"/>
  <c r="R2381" i="24" s="1"/>
  <c r="R2382" i="24" s="1"/>
  <c r="R2383" i="24" s="1"/>
  <c r="R2384" i="24" s="1"/>
  <c r="R2385" i="24" s="1"/>
  <c r="R2386" i="24" s="1"/>
  <c r="R2387" i="24" s="1"/>
  <c r="R2388" i="24" s="1"/>
  <c r="R2389" i="24" s="1"/>
  <c r="R2390" i="24" s="1"/>
  <c r="R2391" i="24" s="1"/>
  <c r="R2392" i="24" s="1"/>
  <c r="R2393" i="24" s="1"/>
  <c r="R2394" i="24" s="1"/>
  <c r="R2395" i="24" s="1"/>
  <c r="R2396" i="24" s="1"/>
  <c r="R2397" i="24" s="1"/>
  <c r="R2398" i="24" s="1"/>
  <c r="R2399" i="24" s="1"/>
  <c r="R2400" i="24" s="1"/>
  <c r="R2401" i="24" s="1"/>
  <c r="R2402" i="24" s="1"/>
  <c r="R2403" i="24" s="1"/>
  <c r="R2404" i="24" s="1"/>
  <c r="R2405" i="24" s="1"/>
  <c r="R2406" i="24" s="1"/>
  <c r="R2407" i="24" s="1"/>
  <c r="R2408" i="24" s="1"/>
  <c r="R2409" i="24" s="1"/>
  <c r="R2410" i="24" s="1"/>
  <c r="R2411" i="24" s="1"/>
  <c r="R2412" i="24" s="1"/>
  <c r="R2413" i="24" s="1"/>
  <c r="R2414" i="24" s="1"/>
  <c r="R2415" i="24" s="1"/>
  <c r="R2416" i="24" s="1"/>
  <c r="R2417" i="24" s="1"/>
  <c r="R2418" i="24" s="1"/>
  <c r="R2419" i="24" s="1"/>
  <c r="R2420" i="24" s="1"/>
  <c r="R2421" i="24" s="1"/>
  <c r="R2422" i="24" s="1"/>
  <c r="R2423" i="24" s="1"/>
  <c r="R2424" i="24" s="1"/>
  <c r="R2425" i="24" s="1"/>
  <c r="R2426" i="24" s="1"/>
  <c r="R2427" i="24" s="1"/>
  <c r="R2428" i="24" s="1"/>
  <c r="R2429" i="24" s="1"/>
  <c r="R2430" i="24" s="1"/>
  <c r="R2431" i="24" s="1"/>
  <c r="R2432" i="24" s="1"/>
  <c r="R2433" i="24" s="1"/>
  <c r="R2434" i="24" s="1"/>
  <c r="R2435" i="24" s="1"/>
  <c r="R2436" i="24" s="1"/>
  <c r="R2437" i="24" s="1"/>
  <c r="R2438" i="24" s="1"/>
  <c r="R2439" i="24" s="1"/>
  <c r="R2440" i="24" s="1"/>
  <c r="R2441" i="24" s="1"/>
  <c r="R2442" i="24" s="1"/>
  <c r="R2443" i="24" s="1"/>
  <c r="R2444" i="24" s="1"/>
  <c r="R2445" i="24" s="1"/>
  <c r="R2446" i="24" s="1"/>
  <c r="R2447" i="24" s="1"/>
  <c r="R2448" i="24" s="1"/>
  <c r="R2449" i="24" s="1"/>
  <c r="R2450" i="24" s="1"/>
  <c r="R2451" i="24" s="1"/>
  <c r="R2452" i="24" s="1"/>
  <c r="R2453" i="24" s="1"/>
  <c r="R2454" i="24" s="1"/>
  <c r="R2455" i="24" s="1"/>
  <c r="R2456" i="24" s="1"/>
  <c r="R2457" i="24" s="1"/>
  <c r="R2458" i="24" s="1"/>
  <c r="R2459" i="24" s="1"/>
  <c r="R2460" i="24" s="1"/>
  <c r="R2461" i="24" s="1"/>
  <c r="R2462" i="24" s="1"/>
  <c r="R2463" i="24" s="1"/>
  <c r="R2464" i="24" s="1"/>
  <c r="R2465" i="24" s="1"/>
  <c r="R2466" i="24" s="1"/>
  <c r="R2467" i="24" s="1"/>
  <c r="R2468" i="24" s="1"/>
  <c r="R2469" i="24" s="1"/>
  <c r="R2470" i="24" s="1"/>
  <c r="R2471" i="24" s="1"/>
  <c r="R2472" i="24" s="1"/>
  <c r="R2473" i="24" s="1"/>
  <c r="R2474" i="24" s="1"/>
  <c r="R2475" i="24" s="1"/>
  <c r="R2476" i="24" s="1"/>
  <c r="R2477" i="24" s="1"/>
  <c r="R2478" i="24" s="1"/>
  <c r="R2479" i="24" s="1"/>
  <c r="R2480" i="24" s="1"/>
  <c r="R2481" i="24" s="1"/>
  <c r="R2482" i="24" s="1"/>
  <c r="R2483" i="24" s="1"/>
  <c r="R2484" i="24" s="1"/>
  <c r="R2485" i="24" s="1"/>
  <c r="R2486" i="24" s="1"/>
  <c r="R2487" i="24" s="1"/>
  <c r="R2488" i="24" s="1"/>
  <c r="R2489" i="24" s="1"/>
  <c r="R2490" i="24" s="1"/>
  <c r="R2491" i="24" s="1"/>
  <c r="R2492" i="24" s="1"/>
  <c r="R2493" i="24" s="1"/>
  <c r="R2494" i="24" s="1"/>
  <c r="R2495" i="24" s="1"/>
  <c r="R2496" i="24" s="1"/>
  <c r="R2497" i="24" s="1"/>
  <c r="R2498" i="24" s="1"/>
  <c r="R2499" i="24" s="1"/>
  <c r="R2500" i="24" s="1"/>
  <c r="R2501" i="24" s="1"/>
  <c r="R2502" i="24" s="1"/>
  <c r="R2503" i="24" s="1"/>
  <c r="R2504" i="24" s="1"/>
  <c r="R2505" i="24" s="1"/>
  <c r="R2506" i="24" s="1"/>
  <c r="R2507" i="24" s="1"/>
  <c r="R2508" i="24" s="1"/>
  <c r="R2509" i="24" s="1"/>
  <c r="R2510" i="24" s="1"/>
  <c r="R2511" i="24" s="1"/>
  <c r="R2512" i="24" s="1"/>
  <c r="R2513" i="24" s="1"/>
  <c r="R2514" i="24" s="1"/>
  <c r="R2515" i="24" s="1"/>
  <c r="R2516" i="24" s="1"/>
  <c r="R2517" i="24" s="1"/>
  <c r="R2518" i="24" s="1"/>
  <c r="R2519" i="24" s="1"/>
  <c r="R2520" i="24" s="1"/>
  <c r="R2521" i="24" s="1"/>
  <c r="R2522" i="24" s="1"/>
  <c r="R2523" i="24" s="1"/>
  <c r="R2524" i="24" s="1"/>
  <c r="R2525" i="24" s="1"/>
  <c r="R2526" i="24" s="1"/>
  <c r="R2527" i="24" s="1"/>
  <c r="R2528" i="24" s="1"/>
  <c r="R2529" i="24" s="1"/>
  <c r="R2530" i="24" s="1"/>
  <c r="R2531" i="24" s="1"/>
  <c r="R2532" i="24" s="1"/>
  <c r="R2533" i="24" s="1"/>
  <c r="R2534" i="24" s="1"/>
  <c r="R2535" i="24" s="1"/>
  <c r="R2536" i="24" s="1"/>
  <c r="R2537" i="24" s="1"/>
  <c r="R2538" i="24" s="1"/>
  <c r="R2539" i="24" s="1"/>
  <c r="R2540" i="24" s="1"/>
  <c r="R2541" i="24" s="1"/>
  <c r="R2542" i="24" s="1"/>
  <c r="R2543" i="24" s="1"/>
  <c r="R2544" i="24" s="1"/>
  <c r="R2545" i="24" s="1"/>
  <c r="R2546" i="24" s="1"/>
  <c r="R2547" i="24" s="1"/>
  <c r="R2548" i="24" s="1"/>
  <c r="R2549" i="24" s="1"/>
  <c r="R2550" i="24" s="1"/>
  <c r="R2551" i="24" s="1"/>
  <c r="R2552" i="24" s="1"/>
  <c r="R2553" i="24" s="1"/>
  <c r="R2554" i="24" s="1"/>
  <c r="R2555" i="24" s="1"/>
  <c r="R2556" i="24" s="1"/>
  <c r="R2557" i="24" s="1"/>
  <c r="R2558" i="24" s="1"/>
  <c r="R2559" i="24" s="1"/>
  <c r="R2560" i="24" s="1"/>
  <c r="R2561" i="24" s="1"/>
  <c r="R2562" i="24" s="1"/>
  <c r="R2563" i="24" s="1"/>
  <c r="R2564" i="24" s="1"/>
  <c r="R2565" i="24" s="1"/>
  <c r="R2566" i="24" s="1"/>
  <c r="R2567" i="24" s="1"/>
  <c r="R2568" i="24" s="1"/>
  <c r="R2569" i="24" s="1"/>
  <c r="R2570" i="24" s="1"/>
  <c r="R2571" i="24" s="1"/>
  <c r="R2572" i="24" s="1"/>
  <c r="R2573" i="24" s="1"/>
  <c r="R2574" i="24" s="1"/>
  <c r="R2575" i="24" s="1"/>
  <c r="R2576" i="24" s="1"/>
  <c r="R2577" i="24" s="1"/>
  <c r="R2578" i="24" s="1"/>
  <c r="R2579" i="24" s="1"/>
  <c r="R2580" i="24" s="1"/>
  <c r="R2581" i="24" s="1"/>
  <c r="R2582" i="24" s="1"/>
  <c r="R2583" i="24" s="1"/>
  <c r="R2584" i="24" s="1"/>
  <c r="R2585" i="24" s="1"/>
  <c r="R2586" i="24" s="1"/>
  <c r="R2587" i="24" s="1"/>
  <c r="R2588" i="24" s="1"/>
  <c r="R2589" i="24" s="1"/>
  <c r="R2590" i="24" s="1"/>
  <c r="R2591" i="24" s="1"/>
  <c r="R2592" i="24" s="1"/>
  <c r="R2593" i="24" s="1"/>
  <c r="R2594" i="24" s="1"/>
  <c r="R2595" i="24" s="1"/>
  <c r="R2596" i="24" s="1"/>
  <c r="R2597" i="24" s="1"/>
  <c r="R2598" i="24" s="1"/>
  <c r="R2599" i="24" s="1"/>
  <c r="R2600" i="24" s="1"/>
  <c r="R2601" i="24" s="1"/>
  <c r="R2602" i="24" s="1"/>
  <c r="R2603" i="24" s="1"/>
  <c r="R2604" i="24" s="1"/>
  <c r="R2605" i="24" s="1"/>
  <c r="R2606" i="24" s="1"/>
  <c r="R2607" i="24" s="1"/>
  <c r="R2608" i="24" s="1"/>
  <c r="R2609" i="24" s="1"/>
  <c r="R2610" i="24" s="1"/>
  <c r="R2611" i="24" s="1"/>
  <c r="R2612" i="24" s="1"/>
  <c r="R2613" i="24" s="1"/>
  <c r="R2614" i="24" s="1"/>
  <c r="R2615" i="24" s="1"/>
  <c r="R2616" i="24" s="1"/>
  <c r="R2617" i="24" s="1"/>
  <c r="R2618" i="24" s="1"/>
  <c r="R2619" i="24" s="1"/>
  <c r="R2620" i="24" s="1"/>
  <c r="R2621" i="24" s="1"/>
  <c r="R2622" i="24" s="1"/>
  <c r="R2623" i="24" s="1"/>
  <c r="R2624" i="24" s="1"/>
  <c r="R2625" i="24" s="1"/>
  <c r="R2626" i="24" s="1"/>
  <c r="R2627" i="24" s="1"/>
  <c r="R2628" i="24" s="1"/>
  <c r="R2629" i="24" s="1"/>
  <c r="R2630" i="24" s="1"/>
  <c r="R2631" i="24" s="1"/>
  <c r="R2632" i="24" s="1"/>
  <c r="R2633" i="24" s="1"/>
  <c r="R2634" i="24" s="1"/>
  <c r="R2635" i="24" s="1"/>
  <c r="R2636" i="24" s="1"/>
  <c r="R2637" i="24" s="1"/>
  <c r="R2638" i="24" s="1"/>
  <c r="R2639" i="24" s="1"/>
  <c r="R2640" i="24" s="1"/>
  <c r="R2641" i="24" s="1"/>
  <c r="R2642" i="24" s="1"/>
  <c r="R2643" i="24" s="1"/>
  <c r="R2644" i="24" s="1"/>
  <c r="R2645" i="24" s="1"/>
  <c r="R2646" i="24" s="1"/>
  <c r="R2647" i="24" s="1"/>
  <c r="R2648" i="24" s="1"/>
  <c r="R2649" i="24" s="1"/>
  <c r="R2650" i="24" s="1"/>
  <c r="R2651" i="24" s="1"/>
  <c r="R2652" i="24" s="1"/>
  <c r="R2653" i="24" s="1"/>
  <c r="R2654" i="24" s="1"/>
  <c r="R2655" i="24" s="1"/>
  <c r="R2656" i="24" s="1"/>
  <c r="R2657" i="24" s="1"/>
  <c r="R2658" i="24" s="1"/>
  <c r="R2659" i="24" s="1"/>
  <c r="R2660" i="24" s="1"/>
  <c r="R2661" i="24" s="1"/>
  <c r="R2662" i="24" s="1"/>
  <c r="R2663" i="24" s="1"/>
  <c r="R2664" i="24" s="1"/>
  <c r="R2665" i="24" s="1"/>
  <c r="R2666" i="24" s="1"/>
  <c r="R2667" i="24" s="1"/>
  <c r="R2668" i="24" s="1"/>
  <c r="R2669" i="24" s="1"/>
  <c r="R2670" i="24" s="1"/>
  <c r="R2671" i="24" s="1"/>
  <c r="R2672" i="24" s="1"/>
  <c r="R2673" i="24" s="1"/>
  <c r="R2674" i="24" s="1"/>
  <c r="R2675" i="24" s="1"/>
  <c r="R2676" i="24" s="1"/>
  <c r="R2677" i="24" s="1"/>
  <c r="R2678" i="24" s="1"/>
  <c r="R2679" i="24" s="1"/>
  <c r="R2680" i="24" s="1"/>
  <c r="R2681" i="24" s="1"/>
  <c r="R2682" i="24" s="1"/>
  <c r="R2683" i="24" s="1"/>
  <c r="R2684" i="24" s="1"/>
  <c r="R2685" i="24" s="1"/>
  <c r="R2686" i="24" s="1"/>
  <c r="R2687" i="24" s="1"/>
  <c r="R2688" i="24" s="1"/>
  <c r="R2689" i="24" s="1"/>
  <c r="R2690" i="24" s="1"/>
  <c r="R2691" i="24" s="1"/>
  <c r="R2692" i="24" s="1"/>
  <c r="R2693" i="24" s="1"/>
  <c r="R2694" i="24" s="1"/>
  <c r="R2695" i="24" s="1"/>
  <c r="R2696" i="24" s="1"/>
  <c r="R2697" i="24" s="1"/>
  <c r="R2698" i="24" s="1"/>
  <c r="R2699" i="24" s="1"/>
  <c r="R2700" i="24" s="1"/>
  <c r="R2701" i="24" s="1"/>
  <c r="R2702" i="24" s="1"/>
  <c r="R2703" i="24" s="1"/>
  <c r="R2704" i="24" s="1"/>
  <c r="R2705" i="24" s="1"/>
  <c r="R2706" i="24" s="1"/>
  <c r="R2707" i="24" s="1"/>
  <c r="R2708" i="24" s="1"/>
  <c r="R2709" i="24" s="1"/>
  <c r="R2710" i="24" s="1"/>
  <c r="R2711" i="24" s="1"/>
  <c r="R2712" i="24" s="1"/>
  <c r="R2713" i="24" s="1"/>
  <c r="R2714" i="24" s="1"/>
  <c r="R2715" i="24" s="1"/>
  <c r="R2716" i="24" s="1"/>
  <c r="R2717" i="24" s="1"/>
  <c r="R2718" i="24" s="1"/>
  <c r="R2719" i="24" s="1"/>
  <c r="R2720" i="24" s="1"/>
  <c r="R2721" i="24" s="1"/>
  <c r="R2722" i="24" s="1"/>
  <c r="R2723" i="24" s="1"/>
  <c r="R2724" i="24" s="1"/>
  <c r="R2725" i="24" s="1"/>
  <c r="R2726" i="24" s="1"/>
  <c r="R2727" i="24" s="1"/>
  <c r="R2728" i="24" s="1"/>
  <c r="R2729" i="24" s="1"/>
  <c r="R2730" i="24" s="1"/>
  <c r="R2731" i="24" s="1"/>
  <c r="R2732" i="24" s="1"/>
  <c r="R2733" i="24" s="1"/>
  <c r="R2734" i="24" s="1"/>
  <c r="R2735" i="24" s="1"/>
  <c r="R2736" i="24" s="1"/>
  <c r="R2737" i="24" s="1"/>
  <c r="R2738" i="24" s="1"/>
  <c r="R2739" i="24" s="1"/>
  <c r="R2740" i="24" s="1"/>
  <c r="R2741" i="24" s="1"/>
  <c r="R2742" i="24" s="1"/>
  <c r="R2743" i="24" s="1"/>
  <c r="R2744" i="24" s="1"/>
  <c r="R2745" i="24" s="1"/>
  <c r="R2746" i="24" s="1"/>
  <c r="R2747" i="24" s="1"/>
  <c r="R2748" i="24" s="1"/>
  <c r="R2749" i="24" s="1"/>
  <c r="R2750" i="24" s="1"/>
  <c r="R2751" i="24" s="1"/>
  <c r="R2752" i="24" s="1"/>
  <c r="R2753" i="24" s="1"/>
  <c r="R2754" i="24" s="1"/>
  <c r="R2755" i="24" s="1"/>
  <c r="R2756" i="24" s="1"/>
  <c r="R2757" i="24" s="1"/>
  <c r="R2758" i="24" s="1"/>
  <c r="R2759" i="24" s="1"/>
  <c r="R2760" i="24" s="1"/>
  <c r="R2761" i="24" s="1"/>
  <c r="R2762" i="24" s="1"/>
  <c r="R2763" i="24" s="1"/>
  <c r="R2764" i="24" s="1"/>
  <c r="R2765" i="24" s="1"/>
  <c r="R2766" i="24" s="1"/>
  <c r="R2767" i="24" s="1"/>
  <c r="R2768" i="24" s="1"/>
  <c r="R2769" i="24" s="1"/>
  <c r="R2770" i="24" s="1"/>
  <c r="R2771" i="24" s="1"/>
  <c r="R2772" i="24" s="1"/>
  <c r="R2773" i="24" s="1"/>
  <c r="R2774" i="24" s="1"/>
  <c r="R2775" i="24" s="1"/>
  <c r="R2776" i="24" s="1"/>
  <c r="R2777" i="24" s="1"/>
  <c r="R2778" i="24" s="1"/>
  <c r="R2779" i="24" s="1"/>
  <c r="R2780" i="24" s="1"/>
  <c r="R2781" i="24" s="1"/>
  <c r="R2782" i="24" s="1"/>
  <c r="R2783" i="24" s="1"/>
  <c r="R2784" i="24" s="1"/>
  <c r="R2785" i="24" s="1"/>
  <c r="R2786" i="24" s="1"/>
  <c r="R2787" i="24" s="1"/>
  <c r="R2788" i="24" s="1"/>
  <c r="R2789" i="24" s="1"/>
  <c r="R2790" i="24" s="1"/>
  <c r="R2791" i="24" s="1"/>
  <c r="R2792" i="24" s="1"/>
  <c r="R2793" i="24" s="1"/>
  <c r="R2794" i="24" s="1"/>
  <c r="R2795" i="24" s="1"/>
  <c r="R2796" i="24" s="1"/>
  <c r="R2797" i="24" s="1"/>
  <c r="R2798" i="24" s="1"/>
  <c r="R2799" i="24" s="1"/>
  <c r="R2800" i="24" s="1"/>
  <c r="R2801" i="24" s="1"/>
  <c r="R2802" i="24" s="1"/>
  <c r="R2803" i="24" s="1"/>
  <c r="R2804" i="24" s="1"/>
  <c r="R2805" i="24" s="1"/>
  <c r="R2806" i="24" s="1"/>
  <c r="R2807" i="24" s="1"/>
  <c r="R2808" i="24" s="1"/>
  <c r="R2809" i="24" s="1"/>
  <c r="R2810" i="24" s="1"/>
  <c r="R2811" i="24" s="1"/>
  <c r="R2812" i="24" s="1"/>
  <c r="R2813" i="24" s="1"/>
  <c r="R2814" i="24" s="1"/>
  <c r="R2815" i="24" s="1"/>
  <c r="R2816" i="24" s="1"/>
  <c r="R2817" i="24" s="1"/>
  <c r="R2818" i="24" s="1"/>
  <c r="R2819" i="24" s="1"/>
  <c r="R2820" i="24" s="1"/>
  <c r="R2821" i="24" s="1"/>
  <c r="R2822" i="24" s="1"/>
  <c r="R2823" i="24" s="1"/>
  <c r="R2824" i="24" s="1"/>
  <c r="R2825" i="24" s="1"/>
  <c r="R2826" i="24" s="1"/>
  <c r="R2827" i="24" s="1"/>
  <c r="R2828" i="24" s="1"/>
  <c r="R2829" i="24" s="1"/>
  <c r="R2830" i="24" s="1"/>
  <c r="R2831" i="24" s="1"/>
  <c r="R2832" i="24" s="1"/>
  <c r="R2833" i="24" s="1"/>
  <c r="R2834" i="24" s="1"/>
  <c r="R2835" i="24" s="1"/>
  <c r="R2836" i="24" s="1"/>
  <c r="R2837" i="24" s="1"/>
  <c r="R2838" i="24" s="1"/>
  <c r="R2839" i="24" s="1"/>
  <c r="R2840" i="24" s="1"/>
  <c r="R2841" i="24" s="1"/>
  <c r="R2842" i="24" s="1"/>
  <c r="R2843" i="24" s="1"/>
  <c r="R2844" i="24" s="1"/>
  <c r="R2845" i="24" s="1"/>
  <c r="R2846" i="24" s="1"/>
  <c r="R2847" i="24" s="1"/>
  <c r="R2848" i="24" s="1"/>
  <c r="R2849" i="24" s="1"/>
  <c r="R2850" i="24" s="1"/>
  <c r="R2851" i="24" s="1"/>
  <c r="R2852" i="24" s="1"/>
  <c r="R2853" i="24" s="1"/>
  <c r="R2854" i="24" s="1"/>
  <c r="R2855" i="24" s="1"/>
  <c r="R2856" i="24" s="1"/>
  <c r="R2857" i="24" s="1"/>
  <c r="R2858" i="24" s="1"/>
  <c r="R2859" i="24" s="1"/>
  <c r="R2860" i="24" s="1"/>
  <c r="R2861" i="24" s="1"/>
  <c r="R2862" i="24" s="1"/>
  <c r="R2863" i="24" s="1"/>
  <c r="R2864" i="24" s="1"/>
  <c r="R2865" i="24" s="1"/>
  <c r="R2866" i="24" s="1"/>
  <c r="R2867" i="24" s="1"/>
  <c r="R2868" i="24" s="1"/>
  <c r="R2869" i="24" s="1"/>
  <c r="R2870" i="24" s="1"/>
  <c r="R2871" i="24" s="1"/>
  <c r="R2872" i="24" s="1"/>
  <c r="R2873" i="24" s="1"/>
  <c r="R2874" i="24" s="1"/>
  <c r="R2875" i="24" s="1"/>
  <c r="R2876" i="24" s="1"/>
  <c r="R2877" i="24" s="1"/>
  <c r="R2878" i="24" s="1"/>
  <c r="R2879" i="24" s="1"/>
  <c r="R2880" i="24" s="1"/>
  <c r="R2881" i="24" s="1"/>
  <c r="R2882" i="24" s="1"/>
  <c r="R2883" i="24" s="1"/>
  <c r="R2884" i="24" s="1"/>
  <c r="R2885" i="24" s="1"/>
  <c r="R2886" i="24" s="1"/>
  <c r="R2887" i="24" s="1"/>
  <c r="R2888" i="24" s="1"/>
  <c r="R2889" i="24" s="1"/>
  <c r="R2890" i="24" s="1"/>
  <c r="R2891" i="24" s="1"/>
  <c r="R2892" i="24" s="1"/>
  <c r="R2893" i="24" s="1"/>
  <c r="R2894" i="24" s="1"/>
  <c r="R2895" i="24" s="1"/>
  <c r="R2896" i="24" s="1"/>
  <c r="R2897" i="24" s="1"/>
  <c r="R2898" i="24" s="1"/>
  <c r="R2899" i="24" s="1"/>
  <c r="R2900" i="24" s="1"/>
  <c r="R2901" i="24" s="1"/>
  <c r="R2902" i="24" s="1"/>
  <c r="R2903" i="24" s="1"/>
  <c r="R2904" i="24" s="1"/>
  <c r="R2905" i="24" s="1"/>
  <c r="R2906" i="24" s="1"/>
  <c r="R2907" i="24" s="1"/>
  <c r="R2908" i="24" s="1"/>
  <c r="R2909" i="24" s="1"/>
  <c r="R2910" i="24" s="1"/>
  <c r="R2911" i="24" s="1"/>
  <c r="R2912" i="24" s="1"/>
  <c r="R2913" i="24" s="1"/>
  <c r="R2914" i="24" s="1"/>
  <c r="R2915" i="24" s="1"/>
  <c r="R2916" i="24" s="1"/>
  <c r="R2917" i="24" s="1"/>
  <c r="R2918" i="24" s="1"/>
  <c r="R2919" i="24" s="1"/>
  <c r="R2920" i="24" s="1"/>
  <c r="R2921" i="24" s="1"/>
  <c r="R2922" i="24" s="1"/>
  <c r="R2923" i="24" s="1"/>
  <c r="R2924" i="24" s="1"/>
  <c r="R2925" i="24" s="1"/>
  <c r="R2926" i="24" s="1"/>
  <c r="R2927" i="24" s="1"/>
  <c r="R2928" i="24" s="1"/>
  <c r="R2929" i="24" s="1"/>
  <c r="R2930" i="24" s="1"/>
  <c r="R2931" i="24" s="1"/>
  <c r="R2932" i="24" s="1"/>
  <c r="R2933" i="24" s="1"/>
  <c r="R2934" i="24" s="1"/>
  <c r="R2935" i="24" s="1"/>
  <c r="R2936" i="24" s="1"/>
  <c r="R2937" i="24" s="1"/>
  <c r="R2938" i="24" s="1"/>
  <c r="R2939" i="24" s="1"/>
  <c r="R2940" i="24" s="1"/>
  <c r="R2941" i="24" s="1"/>
  <c r="R2942" i="24" s="1"/>
  <c r="R2943" i="24" s="1"/>
  <c r="R2944" i="24" s="1"/>
  <c r="R2945" i="24" s="1"/>
  <c r="R2946" i="24" s="1"/>
  <c r="R2947" i="24" s="1"/>
  <c r="R2948" i="24" s="1"/>
  <c r="R2949" i="24" s="1"/>
  <c r="R2950" i="24" s="1"/>
  <c r="R2951" i="24" s="1"/>
  <c r="R2952" i="24" s="1"/>
  <c r="R2953" i="24" s="1"/>
  <c r="R2954" i="24" s="1"/>
  <c r="R2955" i="24" s="1"/>
  <c r="R2956" i="24" s="1"/>
  <c r="R2957" i="24" s="1"/>
  <c r="R2958" i="24" s="1"/>
  <c r="R2959" i="24" s="1"/>
  <c r="R2960" i="24" s="1"/>
  <c r="R2961" i="24" s="1"/>
  <c r="R2962" i="24" s="1"/>
  <c r="R2963" i="24" s="1"/>
  <c r="R2964" i="24" s="1"/>
  <c r="R2965" i="24" s="1"/>
  <c r="R2966" i="24" s="1"/>
  <c r="R2967" i="24" s="1"/>
  <c r="R2968" i="24" s="1"/>
  <c r="R2969" i="24" s="1"/>
  <c r="R2970" i="24" s="1"/>
  <c r="R2971" i="24" s="1"/>
  <c r="R2972" i="24" s="1"/>
  <c r="R2973" i="24" s="1"/>
  <c r="R2974" i="24" s="1"/>
  <c r="R2975" i="24" s="1"/>
  <c r="R2976" i="24" s="1"/>
  <c r="R2977" i="24" s="1"/>
  <c r="R2978" i="24" s="1"/>
  <c r="R2979" i="24" s="1"/>
  <c r="R2980" i="24" s="1"/>
  <c r="R2981" i="24" s="1"/>
  <c r="R2982" i="24" s="1"/>
  <c r="R2983" i="24" s="1"/>
  <c r="R2984" i="24" s="1"/>
  <c r="R2985" i="24" s="1"/>
  <c r="R2986" i="24" s="1"/>
  <c r="R2987" i="24" s="1"/>
  <c r="R2988" i="24" s="1"/>
  <c r="R2989" i="24" s="1"/>
  <c r="R2990" i="24" s="1"/>
  <c r="R2991" i="24" s="1"/>
  <c r="R2992" i="24" s="1"/>
  <c r="R2993" i="24" s="1"/>
  <c r="R2994" i="24" s="1"/>
  <c r="R2995" i="24" s="1"/>
  <c r="R2996" i="24" s="1"/>
  <c r="R2997" i="24" s="1"/>
  <c r="R2998" i="24" s="1"/>
  <c r="R2999" i="24" s="1"/>
  <c r="R3000" i="24" s="1"/>
  <c r="R3001" i="24" s="1"/>
  <c r="R3002" i="24" s="1"/>
  <c r="R3003" i="24" s="1"/>
  <c r="R3004" i="24" s="1"/>
  <c r="R3005" i="24" s="1"/>
  <c r="R3006" i="24" s="1"/>
  <c r="R3007" i="24" s="1"/>
  <c r="R3008" i="24" s="1"/>
  <c r="R3009" i="24" s="1"/>
  <c r="R3010" i="24" s="1"/>
  <c r="R3011" i="24" s="1"/>
  <c r="R3012" i="24" s="1"/>
  <c r="R3013" i="24" s="1"/>
  <c r="R3014" i="24" s="1"/>
  <c r="R3015" i="24" s="1"/>
  <c r="R3016" i="24" s="1"/>
  <c r="R3017" i="24" s="1"/>
  <c r="R3018" i="24" s="1"/>
  <c r="R3019" i="24" s="1"/>
  <c r="R3020" i="24" s="1"/>
  <c r="R3021" i="24" s="1"/>
  <c r="R3022" i="24" s="1"/>
  <c r="R3023" i="24" s="1"/>
  <c r="R3024" i="24" s="1"/>
  <c r="R3025" i="24" s="1"/>
  <c r="R3026" i="24" s="1"/>
  <c r="R3027" i="24" s="1"/>
  <c r="R3028" i="24" s="1"/>
  <c r="R3029" i="24" s="1"/>
  <c r="R3030" i="24" s="1"/>
  <c r="R3031" i="24" s="1"/>
  <c r="R3032" i="24" s="1"/>
  <c r="R3033" i="24" s="1"/>
  <c r="R3034" i="24" s="1"/>
  <c r="R3035" i="24" s="1"/>
  <c r="R3036" i="24" s="1"/>
  <c r="R3037" i="24" s="1"/>
  <c r="R3038" i="24" s="1"/>
  <c r="R3039" i="24" s="1"/>
  <c r="R3040" i="24" s="1"/>
  <c r="R3041" i="24" s="1"/>
  <c r="R3042" i="24" s="1"/>
  <c r="R3043" i="24" s="1"/>
  <c r="R3044" i="24" s="1"/>
  <c r="R3045" i="24" s="1"/>
  <c r="R3046" i="24" s="1"/>
  <c r="R3047" i="24" s="1"/>
  <c r="R3048" i="24" s="1"/>
  <c r="R3049" i="24" s="1"/>
  <c r="R3050" i="24" s="1"/>
  <c r="R3051" i="24" s="1"/>
  <c r="R3052" i="24" s="1"/>
  <c r="R3053" i="24" s="1"/>
  <c r="R3054" i="24" s="1"/>
  <c r="R3055" i="24" s="1"/>
  <c r="R3056" i="24" s="1"/>
  <c r="R3057" i="24" s="1"/>
  <c r="R3058" i="24" s="1"/>
  <c r="R3059" i="24" s="1"/>
  <c r="R3060" i="24" s="1"/>
  <c r="R3061" i="24" s="1"/>
  <c r="R3062" i="24" s="1"/>
  <c r="R3063" i="24" s="1"/>
  <c r="R3064" i="24" s="1"/>
  <c r="R3065" i="24" s="1"/>
  <c r="R3066" i="24" s="1"/>
  <c r="R3067" i="24" s="1"/>
  <c r="R3068" i="24" s="1"/>
  <c r="R3069" i="24" s="1"/>
  <c r="R3070" i="24" s="1"/>
  <c r="R3071" i="24" s="1"/>
  <c r="R3072" i="24" s="1"/>
  <c r="R3073" i="24" s="1"/>
  <c r="R3074" i="24" s="1"/>
  <c r="R3075" i="24" s="1"/>
  <c r="R3076" i="24" s="1"/>
  <c r="R3077" i="24" s="1"/>
  <c r="R3078" i="24" s="1"/>
  <c r="R3079" i="24" s="1"/>
  <c r="R3080" i="24" s="1"/>
  <c r="R3081" i="24" s="1"/>
  <c r="R3082" i="24" s="1"/>
  <c r="R3083" i="24" s="1"/>
  <c r="R3084" i="24" s="1"/>
  <c r="R3085" i="24" s="1"/>
  <c r="R3086" i="24" s="1"/>
  <c r="R3087" i="24" s="1"/>
  <c r="R3088" i="24" s="1"/>
  <c r="R3089" i="24" s="1"/>
  <c r="R3090" i="24" s="1"/>
  <c r="R3091" i="24" s="1"/>
  <c r="R3092" i="24" s="1"/>
  <c r="R3093" i="24" s="1"/>
  <c r="R3094" i="24" s="1"/>
  <c r="R3095" i="24" s="1"/>
  <c r="R3096" i="24" s="1"/>
  <c r="R3097" i="24" s="1"/>
  <c r="R3098" i="24" s="1"/>
  <c r="R3099" i="24" s="1"/>
  <c r="R3100" i="24" s="1"/>
  <c r="R3101" i="24" s="1"/>
  <c r="R3102" i="24" s="1"/>
  <c r="R3103" i="24" s="1"/>
  <c r="R3104" i="24" s="1"/>
  <c r="R3105" i="24" s="1"/>
  <c r="R3106" i="24" s="1"/>
  <c r="R3107" i="24" s="1"/>
  <c r="R3108" i="24" s="1"/>
  <c r="R3109" i="24" s="1"/>
  <c r="R3110" i="24" s="1"/>
  <c r="R3111" i="24" s="1"/>
  <c r="R3112" i="24" s="1"/>
  <c r="R3113" i="24" s="1"/>
  <c r="R3114" i="24" s="1"/>
  <c r="R3115" i="24" s="1"/>
  <c r="R3116" i="24" s="1"/>
  <c r="R3117" i="24" s="1"/>
  <c r="R3118" i="24" s="1"/>
  <c r="R3119" i="24" s="1"/>
  <c r="R3120" i="24" s="1"/>
  <c r="R3121" i="24" s="1"/>
  <c r="R3122" i="24" s="1"/>
  <c r="R3123" i="24" s="1"/>
  <c r="R3124" i="24" s="1"/>
  <c r="R3125" i="24" s="1"/>
  <c r="R3126" i="24" s="1"/>
  <c r="R3127" i="24" s="1"/>
  <c r="R3128" i="24" s="1"/>
  <c r="R3129" i="24" s="1"/>
  <c r="R3130" i="24" s="1"/>
  <c r="R3131" i="24" s="1"/>
  <c r="R3132" i="24" s="1"/>
  <c r="R3133" i="24" s="1"/>
  <c r="R3134" i="24" s="1"/>
  <c r="R3135" i="24" s="1"/>
  <c r="R3136" i="24" s="1"/>
  <c r="R3137" i="24" s="1"/>
  <c r="R3138" i="24" s="1"/>
  <c r="R3139" i="24" s="1"/>
  <c r="R3140" i="24" s="1"/>
  <c r="R3141" i="24" s="1"/>
  <c r="R3142" i="24" s="1"/>
  <c r="R3143" i="24" s="1"/>
  <c r="R3144" i="24" s="1"/>
  <c r="R3145" i="24" s="1"/>
  <c r="R3146" i="24" s="1"/>
  <c r="R3147" i="24" s="1"/>
  <c r="R3148" i="24" s="1"/>
  <c r="R3149" i="24" s="1"/>
  <c r="R3150" i="24" s="1"/>
  <c r="R3151" i="24" s="1"/>
  <c r="R3152" i="24" s="1"/>
  <c r="R3153" i="24" s="1"/>
  <c r="R3154" i="24" s="1"/>
  <c r="R3155" i="24" s="1"/>
  <c r="R3156" i="24" s="1"/>
  <c r="R3157" i="24" s="1"/>
  <c r="R3158" i="24" s="1"/>
  <c r="R3159" i="24" s="1"/>
  <c r="R3160" i="24" s="1"/>
  <c r="R3161" i="24" s="1"/>
  <c r="R3162" i="24" s="1"/>
  <c r="R3163" i="24" s="1"/>
  <c r="R3164" i="24" s="1"/>
  <c r="R3165" i="24" s="1"/>
  <c r="R3166" i="24" s="1"/>
  <c r="R3167" i="24" s="1"/>
  <c r="R3168" i="24" s="1"/>
  <c r="R3169" i="24" s="1"/>
  <c r="R3170" i="24" s="1"/>
  <c r="R3171" i="24" s="1"/>
  <c r="R3172" i="24" s="1"/>
  <c r="R3173" i="24" s="1"/>
  <c r="R3174" i="24" s="1"/>
  <c r="R3175" i="24" s="1"/>
  <c r="R3176" i="24" s="1"/>
  <c r="R3177" i="24" s="1"/>
  <c r="R3178" i="24" s="1"/>
  <c r="R3179" i="24" s="1"/>
  <c r="R3180" i="24" s="1"/>
  <c r="R3181" i="24" s="1"/>
  <c r="R3182" i="24" s="1"/>
  <c r="R3183" i="24" s="1"/>
  <c r="R3184" i="24" s="1"/>
  <c r="R3185" i="24" s="1"/>
  <c r="R3186" i="24" s="1"/>
  <c r="R3187" i="24" s="1"/>
  <c r="R3188" i="24" s="1"/>
  <c r="R3189" i="24" s="1"/>
  <c r="R3190" i="24" s="1"/>
  <c r="R3191" i="24" s="1"/>
  <c r="R3192" i="24" s="1"/>
  <c r="R3193" i="24" s="1"/>
  <c r="R3194" i="24" s="1"/>
  <c r="R3195" i="24" s="1"/>
  <c r="R3196" i="24" s="1"/>
  <c r="R3197" i="24" s="1"/>
  <c r="R3198" i="24" s="1"/>
  <c r="R3199" i="24" s="1"/>
  <c r="R3200" i="24" s="1"/>
  <c r="R3201" i="24" s="1"/>
  <c r="R3202" i="24" s="1"/>
  <c r="R3203" i="24" s="1"/>
  <c r="R3204" i="24" s="1"/>
  <c r="R3205" i="24" s="1"/>
  <c r="R3206" i="24" s="1"/>
  <c r="R3207" i="24" s="1"/>
  <c r="R3208" i="24" s="1"/>
  <c r="R3209" i="24" s="1"/>
  <c r="R3210" i="24" s="1"/>
  <c r="R3211" i="24" s="1"/>
  <c r="R3212" i="24" s="1"/>
  <c r="R3213" i="24" s="1"/>
  <c r="R3214" i="24" s="1"/>
  <c r="R3215" i="24" s="1"/>
  <c r="R3216" i="24" s="1"/>
  <c r="R3217" i="24" s="1"/>
  <c r="R3218" i="24" s="1"/>
  <c r="R3219" i="24" s="1"/>
  <c r="R3220" i="24" s="1"/>
  <c r="R3221" i="24" s="1"/>
  <c r="R3222" i="24" s="1"/>
  <c r="R3223" i="24" s="1"/>
  <c r="R3224" i="24" s="1"/>
  <c r="R3225" i="24" s="1"/>
  <c r="R3226" i="24" s="1"/>
  <c r="R3227" i="24" s="1"/>
  <c r="R3228" i="24" s="1"/>
  <c r="R3229" i="24" s="1"/>
  <c r="R3230" i="24" s="1"/>
  <c r="R3231" i="24" s="1"/>
  <c r="R3232" i="24" s="1"/>
  <c r="R3233" i="24" s="1"/>
  <c r="R3234" i="24" s="1"/>
  <c r="R3235" i="24" s="1"/>
  <c r="R3236" i="24" s="1"/>
  <c r="R3237" i="24" s="1"/>
  <c r="R3238" i="24" s="1"/>
  <c r="R3239" i="24" s="1"/>
  <c r="R3240" i="24" s="1"/>
  <c r="R3241" i="24" s="1"/>
  <c r="R3242" i="24" s="1"/>
  <c r="R3243" i="24" s="1"/>
  <c r="R3244" i="24" s="1"/>
  <c r="R3245" i="24" s="1"/>
  <c r="R3246" i="24" s="1"/>
  <c r="R3247" i="24" s="1"/>
  <c r="R3248" i="24" s="1"/>
  <c r="R3249" i="24" s="1"/>
  <c r="R3250" i="24" s="1"/>
  <c r="R3251" i="24" s="1"/>
  <c r="R3252" i="24" s="1"/>
  <c r="R3253" i="24" s="1"/>
  <c r="R3254" i="24" s="1"/>
  <c r="R3255" i="24" s="1"/>
  <c r="R3256" i="24" s="1"/>
  <c r="R3257" i="24" s="1"/>
  <c r="R3258" i="24" s="1"/>
  <c r="R3259" i="24" s="1"/>
  <c r="R3260" i="24" s="1"/>
  <c r="R3261" i="24" s="1"/>
  <c r="R3262" i="24" s="1"/>
  <c r="R3263" i="24" s="1"/>
  <c r="R3264" i="24" s="1"/>
  <c r="R3265" i="24" s="1"/>
  <c r="R3266" i="24" s="1"/>
  <c r="R3267" i="24" s="1"/>
  <c r="R3268" i="24" s="1"/>
  <c r="R3269" i="24" s="1"/>
  <c r="R3270" i="24" s="1"/>
  <c r="R3271" i="24" s="1"/>
  <c r="R3272" i="24" s="1"/>
  <c r="R3273" i="24" s="1"/>
  <c r="R3274" i="24" s="1"/>
  <c r="R3275" i="24" s="1"/>
  <c r="R3276" i="24" s="1"/>
  <c r="R3277" i="24" s="1"/>
  <c r="R3278" i="24" s="1"/>
  <c r="R3279" i="24" s="1"/>
  <c r="R3280" i="24" s="1"/>
  <c r="R3281" i="24" s="1"/>
  <c r="R3282" i="24" s="1"/>
  <c r="R3283" i="24" s="1"/>
  <c r="R3284" i="24" s="1"/>
  <c r="R3285" i="24" s="1"/>
  <c r="R3286" i="24" s="1"/>
  <c r="R3287" i="24" s="1"/>
  <c r="R3288" i="24" s="1"/>
  <c r="R3289" i="24" s="1"/>
  <c r="R3290" i="24" s="1"/>
  <c r="R3291" i="24" s="1"/>
  <c r="R3292" i="24" s="1"/>
  <c r="R3293" i="24" s="1"/>
  <c r="R3294" i="24" s="1"/>
  <c r="R3295" i="24" s="1"/>
  <c r="R3296" i="24" s="1"/>
  <c r="R3297" i="24" s="1"/>
  <c r="R3298" i="24" s="1"/>
  <c r="R3299" i="24" s="1"/>
  <c r="R3300" i="24" s="1"/>
  <c r="R3301" i="24" s="1"/>
  <c r="R3302" i="24" s="1"/>
  <c r="R3303" i="24" s="1"/>
  <c r="R3304" i="24" s="1"/>
  <c r="R3305" i="24" s="1"/>
  <c r="R3306" i="24" s="1"/>
  <c r="R3307" i="24" s="1"/>
  <c r="R3308" i="24" s="1"/>
  <c r="R3309" i="24" s="1"/>
  <c r="R3310" i="24" s="1"/>
  <c r="R3311" i="24" s="1"/>
  <c r="R3312" i="24" s="1"/>
  <c r="R3313" i="24" s="1"/>
  <c r="R3314" i="24" s="1"/>
  <c r="R3315" i="24" s="1"/>
  <c r="R3316" i="24" s="1"/>
  <c r="R3317" i="24" s="1"/>
  <c r="R3318" i="24" s="1"/>
  <c r="R3319" i="24" s="1"/>
  <c r="R3320" i="24" s="1"/>
  <c r="R3321" i="24" s="1"/>
  <c r="R3322" i="24" s="1"/>
  <c r="R3323" i="24" s="1"/>
  <c r="R3324" i="24" s="1"/>
  <c r="R3325" i="24" s="1"/>
  <c r="R3326" i="24" s="1"/>
  <c r="R3327" i="24" s="1"/>
  <c r="R3328" i="24" s="1"/>
  <c r="R3329" i="24" s="1"/>
  <c r="R3330" i="24" s="1"/>
  <c r="R3331" i="24" s="1"/>
  <c r="R3332" i="24" s="1"/>
  <c r="R3333" i="24" s="1"/>
  <c r="R3334" i="24" s="1"/>
  <c r="R3335" i="24" s="1"/>
  <c r="R3336" i="24" s="1"/>
  <c r="R3337" i="24" s="1"/>
  <c r="R3338" i="24" s="1"/>
  <c r="R3339" i="24" s="1"/>
  <c r="R3340" i="24" s="1"/>
  <c r="R3341" i="24" s="1"/>
  <c r="R3342" i="24" s="1"/>
  <c r="R3343" i="24" s="1"/>
  <c r="R3344" i="24" s="1"/>
  <c r="R3345" i="24" s="1"/>
  <c r="R3346" i="24" s="1"/>
  <c r="R3347" i="24" s="1"/>
  <c r="R3348" i="24" s="1"/>
  <c r="R3349" i="24" s="1"/>
  <c r="R3350" i="24" s="1"/>
  <c r="R3351" i="24" s="1"/>
  <c r="R3352" i="24" s="1"/>
  <c r="R3353" i="24" s="1"/>
  <c r="R3354" i="24" s="1"/>
  <c r="R3355" i="24" s="1"/>
  <c r="R3356" i="24" s="1"/>
  <c r="R3357" i="24" s="1"/>
  <c r="R3358" i="24" s="1"/>
  <c r="R3359" i="24" s="1"/>
  <c r="R3360" i="24" s="1"/>
  <c r="R3361" i="24" s="1"/>
  <c r="R3362" i="24" s="1"/>
  <c r="R3363" i="24" s="1"/>
  <c r="R3364" i="24" s="1"/>
  <c r="R3365" i="24" s="1"/>
  <c r="R3366" i="24" s="1"/>
  <c r="R3367" i="24" s="1"/>
  <c r="R3368" i="24" s="1"/>
  <c r="R3369" i="24" s="1"/>
  <c r="R3370" i="24" s="1"/>
  <c r="R3371" i="24" s="1"/>
  <c r="R3372" i="24" s="1"/>
  <c r="R3373" i="24" s="1"/>
  <c r="R3374" i="24" s="1"/>
  <c r="R3375" i="24" s="1"/>
  <c r="R3376" i="24" s="1"/>
  <c r="R3377" i="24" s="1"/>
  <c r="R3378" i="24" s="1"/>
  <c r="R3379" i="24" s="1"/>
  <c r="R3380" i="24" s="1"/>
  <c r="R3381" i="24" s="1"/>
  <c r="R3382" i="24" s="1"/>
  <c r="R3383" i="24" s="1"/>
  <c r="R3384" i="24" s="1"/>
  <c r="R3385" i="24" s="1"/>
  <c r="R3386" i="24" s="1"/>
  <c r="R3387" i="24" s="1"/>
  <c r="R3388" i="24" s="1"/>
  <c r="R3389" i="24" s="1"/>
  <c r="R3390" i="24" s="1"/>
  <c r="R3391" i="24" s="1"/>
  <c r="R3392" i="24" s="1"/>
  <c r="R3393" i="24" s="1"/>
  <c r="R3394" i="24" s="1"/>
  <c r="R3395" i="24" s="1"/>
  <c r="R3396" i="24" s="1"/>
  <c r="R3397" i="24" s="1"/>
  <c r="R3398" i="24" s="1"/>
  <c r="R3399" i="24" s="1"/>
  <c r="R3400" i="24" s="1"/>
  <c r="R3401" i="24" s="1"/>
  <c r="R3402" i="24" s="1"/>
  <c r="R3403" i="24" s="1"/>
  <c r="R3404" i="24" s="1"/>
  <c r="R3405" i="24" s="1"/>
  <c r="R3406" i="24" s="1"/>
  <c r="R3407" i="24" s="1"/>
  <c r="R3408" i="24" s="1"/>
  <c r="R3409" i="24" s="1"/>
  <c r="R3410" i="24" s="1"/>
  <c r="R3411" i="24" s="1"/>
  <c r="R3412" i="24" s="1"/>
  <c r="R3413" i="24" s="1"/>
  <c r="R3414" i="24" s="1"/>
  <c r="R3415" i="24" s="1"/>
  <c r="R3416" i="24" s="1"/>
  <c r="R3417" i="24" s="1"/>
  <c r="R3418" i="24" s="1"/>
  <c r="R3419" i="24" s="1"/>
  <c r="R3420" i="24" s="1"/>
  <c r="R3421" i="24" s="1"/>
  <c r="R3422" i="24" s="1"/>
  <c r="R3423" i="24" s="1"/>
  <c r="R3424" i="24" s="1"/>
  <c r="R3425" i="24" s="1"/>
  <c r="R3426" i="24" s="1"/>
  <c r="R3427" i="24" s="1"/>
  <c r="R3428" i="24" s="1"/>
  <c r="R3429" i="24" s="1"/>
  <c r="R3430" i="24" s="1"/>
  <c r="R3431" i="24" s="1"/>
  <c r="R3432" i="24" s="1"/>
  <c r="R3433" i="24" s="1"/>
  <c r="R3434" i="24" s="1"/>
  <c r="R3435" i="24" s="1"/>
  <c r="R3436" i="24" s="1"/>
  <c r="R3437" i="24" s="1"/>
  <c r="R3438" i="24" s="1"/>
  <c r="R3439" i="24" s="1"/>
  <c r="R3440" i="24" s="1"/>
  <c r="R3441" i="24" s="1"/>
  <c r="R3442" i="24" s="1"/>
  <c r="R3443" i="24" s="1"/>
  <c r="R3444" i="24" s="1"/>
  <c r="R3445" i="24" s="1"/>
  <c r="R3446" i="24" s="1"/>
  <c r="R3447" i="24" s="1"/>
  <c r="R3448" i="24" s="1"/>
  <c r="R3449" i="24" s="1"/>
  <c r="R3450" i="24" s="1"/>
  <c r="R3451" i="24" s="1"/>
  <c r="R3452" i="24" s="1"/>
  <c r="R3453" i="24" s="1"/>
  <c r="R3454" i="24" s="1"/>
  <c r="R3455" i="24" s="1"/>
  <c r="R3456" i="24" s="1"/>
  <c r="R3457" i="24" s="1"/>
  <c r="R3458" i="24" s="1"/>
  <c r="R3459" i="24" s="1"/>
  <c r="R3460" i="24" s="1"/>
  <c r="R3461" i="24" s="1"/>
  <c r="R3462" i="24" s="1"/>
  <c r="R3463" i="24" s="1"/>
  <c r="R3464" i="24" s="1"/>
  <c r="R3465" i="24" s="1"/>
  <c r="R3466" i="24" s="1"/>
  <c r="R3467" i="24" s="1"/>
  <c r="R3468" i="24" s="1"/>
  <c r="R3469" i="24" s="1"/>
  <c r="R3470" i="24" s="1"/>
  <c r="R3471" i="24" s="1"/>
  <c r="R3472" i="24" s="1"/>
  <c r="R3473" i="24" s="1"/>
  <c r="R3474" i="24" s="1"/>
  <c r="R3475" i="24" s="1"/>
  <c r="R3476" i="24" s="1"/>
  <c r="R3477" i="24" s="1"/>
  <c r="R3478" i="24" s="1"/>
  <c r="R3479" i="24" s="1"/>
  <c r="R3480" i="24" s="1"/>
  <c r="R3481" i="24" s="1"/>
  <c r="R3482" i="24" s="1"/>
  <c r="R3483" i="24" s="1"/>
  <c r="R3484" i="24" s="1"/>
  <c r="R3485" i="24" s="1"/>
  <c r="R3486" i="24" s="1"/>
  <c r="R3487" i="24" s="1"/>
  <c r="R3488" i="24" s="1"/>
  <c r="R3489" i="24" s="1"/>
  <c r="R3490" i="24" s="1"/>
  <c r="R3491" i="24" s="1"/>
  <c r="R3492" i="24" s="1"/>
  <c r="R3493" i="24" s="1"/>
  <c r="R3494" i="24" s="1"/>
  <c r="R3495" i="24" s="1"/>
  <c r="R3496" i="24" s="1"/>
  <c r="R3497" i="24" s="1"/>
  <c r="R3498" i="24" s="1"/>
  <c r="R3499" i="24" s="1"/>
  <c r="R3500" i="24" s="1"/>
  <c r="R3501" i="24" s="1"/>
  <c r="R3502" i="24" s="1"/>
  <c r="R3503" i="24" s="1"/>
  <c r="R3504" i="24" s="1"/>
  <c r="R3505" i="24" s="1"/>
  <c r="R3506" i="24" s="1"/>
  <c r="R3507" i="24" s="1"/>
  <c r="R3508" i="24" s="1"/>
  <c r="R3509" i="24" s="1"/>
  <c r="R3510" i="24" s="1"/>
  <c r="R3511" i="24" s="1"/>
  <c r="R3512" i="24" s="1"/>
  <c r="R3513" i="24" s="1"/>
  <c r="R3514" i="24" s="1"/>
  <c r="R3515" i="24" s="1"/>
  <c r="R3516" i="24" s="1"/>
  <c r="R3517" i="24" s="1"/>
  <c r="R3518" i="24" s="1"/>
  <c r="R3519" i="24" s="1"/>
  <c r="R3520" i="24" s="1"/>
  <c r="R3521" i="24" s="1"/>
  <c r="R3522" i="24" s="1"/>
  <c r="R3523" i="24" s="1"/>
  <c r="R3524" i="24" s="1"/>
  <c r="R3525" i="24" s="1"/>
  <c r="R3526" i="24" s="1"/>
  <c r="R3527" i="24" s="1"/>
  <c r="R3528" i="24" s="1"/>
  <c r="R3529" i="24" s="1"/>
  <c r="R3530" i="24" s="1"/>
  <c r="R3531" i="24" s="1"/>
  <c r="R3532" i="24" s="1"/>
  <c r="R3533" i="24" s="1"/>
  <c r="R3534" i="24" s="1"/>
  <c r="R3535" i="24" s="1"/>
  <c r="R3536" i="24" s="1"/>
  <c r="R3537" i="24" s="1"/>
  <c r="R3538" i="24" s="1"/>
  <c r="R3539" i="24" s="1"/>
  <c r="R3540" i="24" s="1"/>
  <c r="R3541" i="24" s="1"/>
  <c r="R3542" i="24" s="1"/>
  <c r="R3543" i="24" s="1"/>
  <c r="R3544" i="24" s="1"/>
  <c r="R3545" i="24" s="1"/>
  <c r="R3546" i="24" s="1"/>
  <c r="R3547" i="24" s="1"/>
  <c r="R3548" i="24" s="1"/>
  <c r="R3549" i="24" s="1"/>
  <c r="R3550" i="24" s="1"/>
  <c r="R3551" i="24" s="1"/>
  <c r="R3552" i="24" s="1"/>
  <c r="R3553" i="24" s="1"/>
  <c r="R3554" i="24" s="1"/>
  <c r="R3555" i="24" s="1"/>
  <c r="R3556" i="24" s="1"/>
  <c r="R3557" i="24" s="1"/>
  <c r="R3558" i="24" s="1"/>
  <c r="R3559" i="24" s="1"/>
  <c r="R3560" i="24" s="1"/>
  <c r="R3561" i="24" s="1"/>
  <c r="R3562" i="24" s="1"/>
  <c r="R3563" i="24" s="1"/>
  <c r="R3564" i="24" s="1"/>
  <c r="R3565" i="24" s="1"/>
  <c r="R3566" i="24" s="1"/>
  <c r="R3567" i="24" s="1"/>
  <c r="R3568" i="24" s="1"/>
  <c r="R3569" i="24" s="1"/>
  <c r="R3570" i="24" s="1"/>
  <c r="R3571" i="24" s="1"/>
  <c r="R3572" i="24" s="1"/>
  <c r="R3573" i="24" s="1"/>
  <c r="R3574" i="24" s="1"/>
  <c r="R3575" i="24" s="1"/>
  <c r="R3576" i="24" s="1"/>
  <c r="R3577" i="24" s="1"/>
  <c r="R3578" i="24" s="1"/>
  <c r="R3579" i="24" s="1"/>
  <c r="R3580" i="24" s="1"/>
  <c r="R3581" i="24" s="1"/>
  <c r="R3582" i="24" s="1"/>
  <c r="R3583" i="24" s="1"/>
  <c r="R3584" i="24" s="1"/>
  <c r="R3585" i="24" s="1"/>
  <c r="R3586" i="24" s="1"/>
  <c r="R3587" i="24" s="1"/>
  <c r="R3588" i="24" s="1"/>
  <c r="R3589" i="24" s="1"/>
  <c r="R3590" i="24" s="1"/>
  <c r="R3591" i="24" s="1"/>
  <c r="R3592" i="24" s="1"/>
  <c r="R3593" i="24" s="1"/>
  <c r="R3594" i="24" s="1"/>
  <c r="R3595" i="24" s="1"/>
  <c r="R3596" i="24" s="1"/>
  <c r="R3597" i="24" s="1"/>
  <c r="R3598" i="24" s="1"/>
  <c r="R3599" i="24" s="1"/>
  <c r="R3600" i="24" s="1"/>
  <c r="R3601" i="24" s="1"/>
  <c r="R3602" i="24" s="1"/>
  <c r="R3603" i="24" s="1"/>
  <c r="R3604" i="24" s="1"/>
  <c r="R3605" i="24" s="1"/>
  <c r="R3606" i="24" s="1"/>
  <c r="R3607" i="24" s="1"/>
  <c r="R3608" i="24" s="1"/>
  <c r="R3609" i="24" s="1"/>
  <c r="R3610" i="24" s="1"/>
  <c r="R3611" i="24" s="1"/>
  <c r="R3612" i="24" s="1"/>
  <c r="R3613" i="24" s="1"/>
  <c r="R3614" i="24" s="1"/>
  <c r="R3615" i="24" s="1"/>
  <c r="R3616" i="24" s="1"/>
  <c r="R3617" i="24" s="1"/>
  <c r="R3618" i="24" s="1"/>
  <c r="R3619" i="24" s="1"/>
  <c r="R3620" i="24" s="1"/>
  <c r="R3621" i="24" s="1"/>
  <c r="R3622" i="24" s="1"/>
  <c r="R3623" i="24" s="1"/>
  <c r="R3624" i="24" s="1"/>
  <c r="R3625" i="24" s="1"/>
  <c r="R3626" i="24" s="1"/>
  <c r="R3627" i="24" s="1"/>
  <c r="R3628" i="24" s="1"/>
  <c r="R3629" i="24" s="1"/>
  <c r="R3630" i="24" s="1"/>
  <c r="R3631" i="24" s="1"/>
  <c r="R3632" i="24" s="1"/>
  <c r="R3633" i="24" s="1"/>
  <c r="R3634" i="24" s="1"/>
  <c r="R3635" i="24" s="1"/>
  <c r="R3636" i="24" s="1"/>
  <c r="R3637" i="24" s="1"/>
  <c r="R3638" i="24" s="1"/>
  <c r="R3639" i="24" s="1"/>
  <c r="R3640" i="24" s="1"/>
  <c r="R3641" i="24" s="1"/>
  <c r="R3642" i="24" s="1"/>
  <c r="R3643" i="24" s="1"/>
  <c r="R3644" i="24" s="1"/>
  <c r="R3645" i="24" s="1"/>
  <c r="R3646" i="24" s="1"/>
  <c r="R3647" i="24" s="1"/>
  <c r="R3648" i="24" s="1"/>
  <c r="R3649" i="24" s="1"/>
  <c r="R3650" i="24" s="1"/>
  <c r="R3651" i="24" s="1"/>
  <c r="R3652" i="24" s="1"/>
  <c r="R3653" i="24" s="1"/>
  <c r="R3654" i="24" s="1"/>
  <c r="R3655" i="24" s="1"/>
  <c r="R3656" i="24" s="1"/>
  <c r="R3657" i="24" s="1"/>
  <c r="R3658" i="24" s="1"/>
  <c r="R3659" i="24" s="1"/>
  <c r="R3660" i="24" s="1"/>
  <c r="R3661" i="24" s="1"/>
  <c r="R3662" i="24" s="1"/>
  <c r="R3663" i="24" s="1"/>
  <c r="R3664" i="24" s="1"/>
  <c r="R3665" i="24" s="1"/>
  <c r="R3666" i="24" s="1"/>
  <c r="R3667" i="24" s="1"/>
  <c r="R3668" i="24" s="1"/>
  <c r="R3669" i="24" s="1"/>
  <c r="R3670" i="24" s="1"/>
  <c r="R3671" i="24" s="1"/>
  <c r="R3672" i="24" s="1"/>
  <c r="R3673" i="24" s="1"/>
  <c r="R3674" i="24" s="1"/>
  <c r="R3675" i="24" s="1"/>
  <c r="R3676" i="24" s="1"/>
  <c r="R3677" i="24" s="1"/>
  <c r="R3678" i="24" s="1"/>
  <c r="R3679" i="24" s="1"/>
  <c r="R3680" i="24" s="1"/>
  <c r="R3681" i="24" s="1"/>
  <c r="R3682" i="24" s="1"/>
  <c r="R3683" i="24" s="1"/>
  <c r="R3684" i="24" s="1"/>
  <c r="R3685" i="24" s="1"/>
  <c r="R3686" i="24" s="1"/>
  <c r="R3687" i="24" s="1"/>
  <c r="R3688" i="24" s="1"/>
  <c r="R3689" i="24" s="1"/>
  <c r="R3690" i="24" s="1"/>
  <c r="R3691" i="24" s="1"/>
  <c r="R3692" i="24" s="1"/>
  <c r="R3693" i="24" s="1"/>
  <c r="R3694" i="24" s="1"/>
  <c r="R3695" i="24" s="1"/>
  <c r="R3696" i="24" s="1"/>
  <c r="R3697" i="24" s="1"/>
  <c r="R3698" i="24" s="1"/>
  <c r="R3699" i="24" s="1"/>
  <c r="R3700" i="24" s="1"/>
  <c r="R3701" i="24" s="1"/>
  <c r="R3702" i="24" s="1"/>
  <c r="R3703" i="24" s="1"/>
  <c r="R3704" i="24" s="1"/>
  <c r="R3705" i="24" s="1"/>
  <c r="R3706" i="24" s="1"/>
  <c r="R3707" i="24" s="1"/>
  <c r="R3708" i="24" s="1"/>
  <c r="R3709" i="24" s="1"/>
  <c r="R3710" i="24" s="1"/>
  <c r="R3711" i="24" s="1"/>
  <c r="R3712" i="24" s="1"/>
  <c r="R3713" i="24" s="1"/>
  <c r="R3714" i="24" s="1"/>
  <c r="R3715" i="24" s="1"/>
  <c r="R3716" i="24" s="1"/>
  <c r="R3717" i="24" s="1"/>
  <c r="R3718" i="24" s="1"/>
  <c r="R3719" i="24" s="1"/>
  <c r="R3720" i="24" s="1"/>
  <c r="R3721" i="24" s="1"/>
  <c r="R3722" i="24" s="1"/>
  <c r="R3723" i="24" s="1"/>
  <c r="R3724" i="24" s="1"/>
  <c r="R3725" i="24" s="1"/>
  <c r="R3726" i="24" s="1"/>
  <c r="R3727" i="24" s="1"/>
  <c r="R3728" i="24" s="1"/>
  <c r="R3729" i="24" s="1"/>
  <c r="R3730" i="24" s="1"/>
  <c r="R3731" i="24" s="1"/>
  <c r="R3732" i="24" s="1"/>
  <c r="R3733" i="24" s="1"/>
  <c r="R3734" i="24" s="1"/>
  <c r="R3735" i="24" s="1"/>
  <c r="R3736" i="24" s="1"/>
  <c r="R3737" i="24" s="1"/>
  <c r="R3738" i="24" s="1"/>
  <c r="R3739" i="24" s="1"/>
  <c r="R3740" i="24" s="1"/>
  <c r="R3741" i="24" s="1"/>
  <c r="R3742" i="24" s="1"/>
  <c r="R3743" i="24" s="1"/>
  <c r="R3744" i="24" s="1"/>
  <c r="R3745" i="24" s="1"/>
  <c r="R3746" i="24" s="1"/>
  <c r="R3747" i="24" s="1"/>
  <c r="R3748" i="24" s="1"/>
  <c r="R3749" i="24" s="1"/>
  <c r="R3750" i="24" s="1"/>
  <c r="R3751" i="24" s="1"/>
  <c r="R3752" i="24" s="1"/>
  <c r="R3753" i="24" s="1"/>
  <c r="R3754" i="24" s="1"/>
  <c r="R3755" i="24" s="1"/>
  <c r="R3756" i="24" s="1"/>
  <c r="R3757" i="24" s="1"/>
  <c r="R3758" i="24" s="1"/>
  <c r="R3759" i="24" s="1"/>
  <c r="R3760" i="24" s="1"/>
  <c r="R3761" i="24" s="1"/>
  <c r="R3762" i="24" s="1"/>
  <c r="R3763" i="24" s="1"/>
  <c r="R3764" i="24" s="1"/>
  <c r="R3765" i="24" s="1"/>
  <c r="R3766" i="24" s="1"/>
  <c r="R3767" i="24" s="1"/>
  <c r="R3768" i="24" s="1"/>
  <c r="R3769" i="24" s="1"/>
  <c r="R3770" i="24" s="1"/>
  <c r="R3771" i="24" s="1"/>
  <c r="R3772" i="24" s="1"/>
  <c r="R3773" i="24" s="1"/>
  <c r="R3774" i="24" s="1"/>
  <c r="R3775" i="24" s="1"/>
  <c r="R3776" i="24" s="1"/>
  <c r="R3777" i="24" s="1"/>
  <c r="R3778" i="24" s="1"/>
  <c r="R3779" i="24" s="1"/>
  <c r="R3780" i="24" s="1"/>
  <c r="R3781" i="24" s="1"/>
  <c r="R3782" i="24" s="1"/>
  <c r="R3783" i="24" s="1"/>
  <c r="R3784" i="24" s="1"/>
  <c r="R3785" i="24" s="1"/>
  <c r="R3786" i="24" s="1"/>
  <c r="R3787" i="24" s="1"/>
  <c r="R3788" i="24" s="1"/>
  <c r="R3789" i="24" s="1"/>
  <c r="R3790" i="24" s="1"/>
  <c r="R3791" i="24" s="1"/>
  <c r="R3792" i="24" s="1"/>
  <c r="R3793" i="24" s="1"/>
  <c r="R3794" i="24" s="1"/>
  <c r="R3795" i="24" s="1"/>
  <c r="R3796" i="24" s="1"/>
  <c r="R3797" i="24" s="1"/>
  <c r="R3798" i="24" s="1"/>
  <c r="R3799" i="24" s="1"/>
  <c r="R3800" i="24" s="1"/>
  <c r="R3801" i="24" s="1"/>
  <c r="R3802" i="24" s="1"/>
  <c r="R3803" i="24" s="1"/>
  <c r="R3804" i="24" s="1"/>
  <c r="R3805" i="24" s="1"/>
  <c r="R3806" i="24" s="1"/>
  <c r="R3807" i="24" s="1"/>
  <c r="R3808" i="24" s="1"/>
  <c r="R3809" i="24" s="1"/>
  <c r="R3810" i="24" s="1"/>
  <c r="R3811" i="24" s="1"/>
  <c r="R3812" i="24" s="1"/>
  <c r="R3813" i="24" s="1"/>
  <c r="R3814" i="24" s="1"/>
  <c r="R3815" i="24" s="1"/>
  <c r="R3816" i="24" s="1"/>
  <c r="R3817" i="24" s="1"/>
  <c r="R3818" i="24" s="1"/>
  <c r="R3819" i="24" s="1"/>
  <c r="R3820" i="24" s="1"/>
  <c r="R3821" i="24" s="1"/>
  <c r="R3822" i="24" s="1"/>
  <c r="R3823" i="24" s="1"/>
  <c r="R3824" i="24" s="1"/>
  <c r="R3825" i="24" s="1"/>
  <c r="R3826" i="24" s="1"/>
  <c r="R3827" i="24" s="1"/>
  <c r="R3828" i="24" s="1"/>
  <c r="R3829" i="24" s="1"/>
  <c r="R3830" i="24" s="1"/>
  <c r="R3831" i="24" s="1"/>
  <c r="R3832" i="24" s="1"/>
  <c r="R3833" i="24" s="1"/>
  <c r="R3834" i="24" s="1"/>
  <c r="R3835" i="24" s="1"/>
  <c r="R3836" i="24" s="1"/>
  <c r="R3837" i="24" s="1"/>
  <c r="R3838" i="24" s="1"/>
  <c r="R3839" i="24" s="1"/>
  <c r="R3840" i="24" s="1"/>
  <c r="R3841" i="24" s="1"/>
  <c r="R3842" i="24" s="1"/>
  <c r="R3843" i="24" s="1"/>
  <c r="R3844" i="24" s="1"/>
  <c r="R3845" i="24" s="1"/>
  <c r="R3846" i="24" s="1"/>
  <c r="R3847" i="24" s="1"/>
  <c r="R3848" i="24" s="1"/>
  <c r="R3849" i="24" s="1"/>
  <c r="R3850" i="24" s="1"/>
  <c r="R3851" i="24" s="1"/>
  <c r="R3852" i="24" s="1"/>
  <c r="R3853" i="24" s="1"/>
  <c r="R3854" i="24" s="1"/>
  <c r="R3855" i="24" s="1"/>
  <c r="R3856" i="24" s="1"/>
  <c r="R3857" i="24" s="1"/>
  <c r="R3858" i="24" s="1"/>
  <c r="R3859" i="24" s="1"/>
  <c r="R3860" i="24" s="1"/>
  <c r="R3861" i="24" s="1"/>
  <c r="R3862" i="24" s="1"/>
  <c r="R3863" i="24" s="1"/>
  <c r="R3864" i="24" s="1"/>
  <c r="R3865" i="24" s="1"/>
  <c r="R3866" i="24" s="1"/>
  <c r="R3867" i="24" s="1"/>
  <c r="R3868" i="24" s="1"/>
  <c r="R3869" i="24" s="1"/>
  <c r="R3870" i="24" s="1"/>
  <c r="R3871" i="24" s="1"/>
  <c r="R3872" i="24" s="1"/>
  <c r="R3873" i="24" s="1"/>
  <c r="R3874" i="24" s="1"/>
  <c r="R3875" i="24" s="1"/>
  <c r="R3876" i="24" s="1"/>
  <c r="R3877" i="24" s="1"/>
  <c r="R3878" i="24" s="1"/>
  <c r="R3879" i="24" s="1"/>
  <c r="R3880" i="24" s="1"/>
  <c r="R3881" i="24" s="1"/>
  <c r="R3882" i="24" s="1"/>
  <c r="R3883" i="24" s="1"/>
  <c r="R3884" i="24" s="1"/>
  <c r="R3885" i="24" s="1"/>
  <c r="R3886" i="24" s="1"/>
  <c r="R3887" i="24" s="1"/>
  <c r="R3888" i="24" s="1"/>
  <c r="R3889" i="24" s="1"/>
  <c r="R3890" i="24" s="1"/>
  <c r="R3891" i="24" s="1"/>
  <c r="R3892" i="24" s="1"/>
  <c r="R3893" i="24" s="1"/>
  <c r="R3894" i="24" s="1"/>
  <c r="R3895" i="24" s="1"/>
  <c r="R3896" i="24" s="1"/>
  <c r="R3897" i="24" s="1"/>
  <c r="R3898" i="24" s="1"/>
  <c r="R3899" i="24" s="1"/>
  <c r="R3900" i="24" s="1"/>
  <c r="R3901" i="24" s="1"/>
  <c r="R3902" i="24" s="1"/>
  <c r="R3903" i="24" s="1"/>
  <c r="R3904" i="24" s="1"/>
  <c r="R3905" i="24" s="1"/>
  <c r="R3906" i="24" s="1"/>
  <c r="R3907" i="24" s="1"/>
  <c r="R3908" i="24" s="1"/>
  <c r="R3909" i="24" s="1"/>
  <c r="R3910" i="24" s="1"/>
  <c r="R3911" i="24" s="1"/>
  <c r="R3912" i="24" s="1"/>
  <c r="R3913" i="24" s="1"/>
  <c r="R3914" i="24" s="1"/>
  <c r="R3915" i="24" s="1"/>
  <c r="R3916" i="24" s="1"/>
  <c r="R3917" i="24" s="1"/>
  <c r="R3918" i="24" s="1"/>
  <c r="R3919" i="24" s="1"/>
  <c r="R3920" i="24" s="1"/>
  <c r="R3921" i="24" s="1"/>
  <c r="R3922" i="24" s="1"/>
  <c r="R3923" i="24" s="1"/>
  <c r="R3924" i="24" s="1"/>
  <c r="R3925" i="24" s="1"/>
  <c r="R3926" i="24" s="1"/>
  <c r="R3927" i="24" s="1"/>
  <c r="R3928" i="24" s="1"/>
  <c r="R3929" i="24" s="1"/>
  <c r="R3930" i="24" s="1"/>
  <c r="R3931" i="24" s="1"/>
  <c r="R3932" i="24" s="1"/>
  <c r="R3933" i="24" s="1"/>
  <c r="R3934" i="24" s="1"/>
  <c r="R3935" i="24" s="1"/>
  <c r="R3936" i="24" s="1"/>
  <c r="R3937" i="24" s="1"/>
  <c r="R3938" i="24" s="1"/>
  <c r="R3939" i="24" s="1"/>
  <c r="R3940" i="24" s="1"/>
  <c r="R3941" i="24" s="1"/>
  <c r="R3942" i="24" s="1"/>
  <c r="R3943" i="24" s="1"/>
  <c r="R3944" i="24" s="1"/>
  <c r="R3945" i="24" s="1"/>
  <c r="R3946" i="24" s="1"/>
  <c r="R3947" i="24" s="1"/>
  <c r="R3948" i="24" s="1"/>
  <c r="R3949" i="24" s="1"/>
  <c r="R3950" i="24" s="1"/>
  <c r="R3951" i="24" s="1"/>
  <c r="R3952" i="24" s="1"/>
  <c r="R3953" i="24" s="1"/>
  <c r="R3954" i="24" s="1"/>
  <c r="R3955" i="24" s="1"/>
  <c r="R3956" i="24" s="1"/>
  <c r="R3957" i="24" s="1"/>
  <c r="R3958" i="24" s="1"/>
  <c r="R3959" i="24" s="1"/>
  <c r="R3960" i="24" s="1"/>
  <c r="R3961" i="24" s="1"/>
  <c r="R3962" i="24" s="1"/>
  <c r="R3963" i="24" s="1"/>
  <c r="R3964" i="24" s="1"/>
  <c r="R3965" i="24" s="1"/>
  <c r="R3966" i="24" s="1"/>
  <c r="R3967" i="24" s="1"/>
  <c r="R3968" i="24" s="1"/>
  <c r="R3969" i="24" s="1"/>
  <c r="R3970" i="24" s="1"/>
  <c r="R3971" i="24" s="1"/>
  <c r="R3972" i="24" s="1"/>
  <c r="R3973" i="24" s="1"/>
  <c r="R3974" i="24" s="1"/>
  <c r="R3975" i="24" s="1"/>
  <c r="B858" i="9"/>
  <c r="N858" i="9"/>
  <c r="Q858" i="9"/>
  <c r="R858" i="9"/>
  <c r="AB858" i="9"/>
  <c r="B857" i="9"/>
  <c r="N857" i="9"/>
  <c r="Q857" i="9"/>
  <c r="R857" i="9"/>
  <c r="AB857" i="9"/>
  <c r="R3976" i="24" l="1"/>
  <c r="R3977" i="24" s="1"/>
  <c r="R3978" i="24" s="1"/>
  <c r="R3979" i="24" s="1"/>
  <c r="R3980" i="24" s="1"/>
  <c r="R3981" i="24" s="1"/>
  <c r="R3982" i="24" s="1"/>
  <c r="R3983" i="24" s="1"/>
  <c r="R3984" i="24" s="1"/>
  <c r="R3985" i="24" s="1"/>
  <c r="R3986" i="24" s="1"/>
  <c r="R3987" i="24" s="1"/>
  <c r="R3988" i="24" s="1"/>
  <c r="R3989" i="24" s="1"/>
  <c r="R3990" i="24" s="1"/>
  <c r="R3991" i="24" s="1"/>
  <c r="R3992" i="24" s="1"/>
  <c r="R3993" i="24" s="1"/>
  <c r="R3994" i="24" s="1"/>
  <c r="R3995" i="24" s="1"/>
  <c r="R3996" i="24" s="1"/>
  <c r="R3997" i="24" s="1"/>
  <c r="R3998" i="24" s="1"/>
  <c r="R3999" i="24" s="1"/>
  <c r="R4000" i="24" s="1"/>
  <c r="R4001" i="24" s="1"/>
  <c r="R4002" i="24" s="1"/>
  <c r="R4003" i="24" s="1"/>
  <c r="R4004" i="24" s="1"/>
  <c r="R4005" i="24" s="1"/>
  <c r="R4006" i="24" s="1"/>
  <c r="R4007" i="24" s="1"/>
  <c r="R4008" i="24" s="1"/>
  <c r="R4009" i="24" s="1"/>
  <c r="R4010" i="24" s="1"/>
  <c r="R4011" i="24" s="1"/>
  <c r="R4012" i="24" s="1"/>
  <c r="R4013" i="24" s="1"/>
  <c r="R4014" i="24" s="1"/>
  <c r="R4015" i="24" s="1"/>
  <c r="R4016" i="24" s="1"/>
  <c r="R4017" i="24" s="1"/>
  <c r="R4018" i="24" s="1"/>
  <c r="R4019" i="24" s="1"/>
  <c r="R4020" i="24" s="1"/>
  <c r="R4021" i="24" s="1"/>
  <c r="R4022" i="24" s="1"/>
  <c r="R4023" i="24" s="1"/>
  <c r="R4024" i="24" s="1"/>
  <c r="R4025" i="24" s="1"/>
  <c r="R4026" i="24" s="1"/>
  <c r="R4027" i="24" s="1"/>
  <c r="R4028" i="24" s="1"/>
  <c r="R4029" i="24" s="1"/>
  <c r="R4030" i="24" s="1"/>
  <c r="R4031" i="24" s="1"/>
  <c r="R4032" i="24" s="1"/>
  <c r="R4033" i="24" s="1"/>
  <c r="R4034" i="24" s="1"/>
  <c r="R4035" i="24" s="1"/>
  <c r="R4036" i="24" s="1"/>
  <c r="R4037" i="24" s="1"/>
  <c r="R4038" i="24" s="1"/>
  <c r="R4039" i="24" s="1"/>
  <c r="R4040" i="24" s="1"/>
  <c r="R4041" i="24" s="1"/>
  <c r="R4042" i="24" s="1"/>
  <c r="R4043" i="24" s="1"/>
  <c r="R4044" i="24" s="1"/>
  <c r="R4045" i="24" s="1"/>
  <c r="R4046" i="24" s="1"/>
  <c r="B385" i="3"/>
  <c r="M385" i="3"/>
  <c r="P385" i="3"/>
  <c r="Q385" i="3"/>
  <c r="AA385" i="3"/>
  <c r="B386" i="3"/>
  <c r="M386" i="3"/>
  <c r="P386" i="3"/>
  <c r="Q386" i="3"/>
  <c r="AA386" i="3"/>
  <c r="B387" i="3"/>
  <c r="M387" i="3"/>
  <c r="P387" i="3"/>
  <c r="Q387" i="3"/>
  <c r="AA387" i="3"/>
  <c r="B388" i="3"/>
  <c r="M388" i="3"/>
  <c r="P388" i="3"/>
  <c r="Q388" i="3"/>
  <c r="AA388" i="3"/>
  <c r="B389" i="3"/>
  <c r="M389" i="3"/>
  <c r="P389" i="3"/>
  <c r="Q389" i="3"/>
  <c r="AA389" i="3"/>
  <c r="B390" i="3"/>
  <c r="M390" i="3"/>
  <c r="P390" i="3"/>
  <c r="Q390" i="3"/>
  <c r="AA390" i="3"/>
  <c r="B391" i="3"/>
  <c r="M391" i="3"/>
  <c r="P391" i="3"/>
  <c r="Q391" i="3"/>
  <c r="AA391" i="3"/>
  <c r="B732" i="7"/>
  <c r="M732" i="7"/>
  <c r="P732" i="7"/>
  <c r="X732" i="7" s="1"/>
  <c r="Q732" i="7"/>
  <c r="B731" i="7"/>
  <c r="M731" i="7"/>
  <c r="P731" i="7"/>
  <c r="X731" i="7" s="1"/>
  <c r="Q731" i="7"/>
  <c r="B730" i="7"/>
  <c r="M730" i="7"/>
  <c r="P730" i="7"/>
  <c r="X730" i="7" s="1"/>
  <c r="Q730" i="7"/>
  <c r="B729" i="7"/>
  <c r="M729" i="7"/>
  <c r="P729" i="7"/>
  <c r="X729" i="7" s="1"/>
  <c r="Q729" i="7"/>
  <c r="B728" i="7"/>
  <c r="M728" i="7"/>
  <c r="P728" i="7"/>
  <c r="X728" i="7" s="1"/>
  <c r="Q728" i="7"/>
  <c r="B727" i="7"/>
  <c r="M727" i="7"/>
  <c r="P727" i="7"/>
  <c r="X727" i="7" s="1"/>
  <c r="Q727" i="7"/>
  <c r="B726" i="7"/>
  <c r="M726" i="7"/>
  <c r="P726" i="7"/>
  <c r="X726" i="7" s="1"/>
  <c r="Q726" i="7"/>
  <c r="B725" i="7"/>
  <c r="M725" i="7"/>
  <c r="P725" i="7"/>
  <c r="X725" i="7" s="1"/>
  <c r="Q725" i="7"/>
  <c r="B724" i="7"/>
  <c r="M724" i="7"/>
  <c r="P724" i="7"/>
  <c r="X724" i="7" s="1"/>
  <c r="Q724" i="7"/>
  <c r="B723" i="7"/>
  <c r="M723" i="7"/>
  <c r="P723" i="7"/>
  <c r="X723" i="7" s="1"/>
  <c r="Q723" i="7"/>
  <c r="B722" i="7"/>
  <c r="M722" i="7"/>
  <c r="P722" i="7"/>
  <c r="X722" i="7" s="1"/>
  <c r="Q722" i="7"/>
  <c r="B721" i="7"/>
  <c r="M721" i="7"/>
  <c r="P721" i="7"/>
  <c r="X721" i="7" s="1"/>
  <c r="Q721" i="7"/>
  <c r="B720" i="7"/>
  <c r="M720" i="7"/>
  <c r="P720" i="7"/>
  <c r="X720" i="7" s="1"/>
  <c r="Q720" i="7"/>
  <c r="R4047" i="24" l="1"/>
  <c r="R4048" i="24" s="1"/>
  <c r="R4049" i="24" s="1"/>
  <c r="R4050" i="24" s="1"/>
  <c r="R4051" i="24" s="1"/>
  <c r="R4052" i="24" s="1"/>
  <c r="R4053" i="24" s="1"/>
  <c r="R4054" i="24" s="1"/>
  <c r="R4055" i="24" s="1"/>
  <c r="R4056" i="24" s="1"/>
  <c r="R4057" i="24" s="1"/>
  <c r="R4058" i="24" s="1"/>
  <c r="R4059" i="24" s="1"/>
  <c r="R4060" i="24" s="1"/>
  <c r="R4061" i="24" s="1"/>
  <c r="R4062" i="24" s="1"/>
  <c r="R4063" i="24" s="1"/>
  <c r="R4064" i="24" s="1"/>
  <c r="R4065" i="24" s="1"/>
  <c r="R4066" i="24" s="1"/>
  <c r="R4067" i="24" s="1"/>
  <c r="R4068" i="24" s="1"/>
  <c r="R4069" i="24" s="1"/>
  <c r="R4070" i="24" s="1"/>
  <c r="R4071" i="24" s="1"/>
  <c r="R4072" i="24" s="1"/>
  <c r="R4073" i="24" s="1"/>
  <c r="R4074" i="24" s="1"/>
  <c r="R4075" i="24" s="1"/>
  <c r="R4076" i="24" s="1"/>
  <c r="R4077" i="24" s="1"/>
  <c r="R4078" i="24" s="1"/>
  <c r="R4079" i="24" s="1"/>
  <c r="R4080" i="24" s="1"/>
  <c r="R4081" i="24" s="1"/>
  <c r="R4082" i="24" s="1"/>
  <c r="R4083" i="24" s="1"/>
  <c r="R4084" i="24" s="1"/>
  <c r="R4085" i="24" s="1"/>
  <c r="R4086" i="24" s="1"/>
  <c r="R4087" i="24" s="1"/>
  <c r="R4088" i="24" s="1"/>
  <c r="R4089" i="24" s="1"/>
  <c r="R4090" i="24" s="1"/>
  <c r="R4091" i="24" s="1"/>
  <c r="R4092" i="24" s="1"/>
  <c r="R4093" i="24" s="1"/>
  <c r="R4094" i="24" s="1"/>
  <c r="R4095" i="24" s="1"/>
  <c r="R4096" i="24" s="1"/>
  <c r="R4097" i="24" s="1"/>
  <c r="R4098" i="24" s="1"/>
  <c r="R4099" i="24" s="1"/>
  <c r="R4100" i="24" s="1"/>
  <c r="R4101" i="24" s="1"/>
  <c r="R4102" i="24" s="1"/>
  <c r="R4103" i="24" s="1"/>
  <c r="R4104" i="24" s="1"/>
  <c r="R4105" i="24" s="1"/>
  <c r="R4106" i="24" s="1"/>
  <c r="R4107" i="24" s="1"/>
  <c r="R4108" i="24" s="1"/>
  <c r="R4109" i="24" s="1"/>
  <c r="R4110" i="24" s="1"/>
  <c r="R4111" i="24" s="1"/>
  <c r="R4112" i="24" s="1"/>
  <c r="R4113" i="24" s="1"/>
  <c r="R4114" i="24" s="1"/>
  <c r="R4115" i="24" s="1"/>
  <c r="R4116" i="24" s="1"/>
  <c r="R4117" i="24" s="1"/>
  <c r="R4118" i="24" s="1"/>
  <c r="R4119" i="24" s="1"/>
  <c r="R4120" i="24" s="1"/>
  <c r="R4121" i="24" s="1"/>
  <c r="R4122" i="24" s="1"/>
  <c r="R4123" i="24" s="1"/>
  <c r="R4124" i="24" s="1"/>
  <c r="R4125" i="24" s="1"/>
  <c r="R4126" i="24" s="1"/>
  <c r="R4127" i="24" s="1"/>
  <c r="R4128" i="24" s="1"/>
  <c r="R4129" i="24" s="1"/>
  <c r="R4130" i="24" s="1"/>
  <c r="R4131" i="24" s="1"/>
  <c r="R4132" i="24" s="1"/>
  <c r="R4133" i="24" s="1"/>
  <c r="R4134" i="24" s="1"/>
  <c r="R4135" i="24" s="1"/>
  <c r="R4136" i="24" s="1"/>
  <c r="R4137" i="24" s="1"/>
  <c r="R4138" i="24" s="1"/>
  <c r="R4139" i="24" s="1"/>
  <c r="R4140" i="24" s="1"/>
  <c r="R4141" i="24" s="1"/>
  <c r="R4142" i="24" s="1"/>
  <c r="R4143" i="24" s="1"/>
  <c r="R4144" i="24" s="1"/>
  <c r="R4145" i="24" s="1"/>
  <c r="R4146" i="24" s="1"/>
  <c r="R4147" i="24" s="1"/>
  <c r="R4148" i="24" s="1"/>
  <c r="R4149" i="24" s="1"/>
  <c r="R4150" i="24" s="1"/>
  <c r="R4151" i="24" s="1"/>
  <c r="R4152" i="24" s="1"/>
  <c r="R4153" i="24" s="1"/>
  <c r="R4154" i="24" s="1"/>
  <c r="R4155" i="24" s="1"/>
  <c r="R4156" i="24" s="1"/>
  <c r="R4157" i="24" s="1"/>
  <c r="R4158" i="24" s="1"/>
  <c r="R4159" i="24" s="1"/>
  <c r="R4160" i="24" s="1"/>
  <c r="R4161" i="24" s="1"/>
  <c r="R4162" i="24" s="1"/>
  <c r="R4163" i="24" s="1"/>
  <c r="R4164" i="24" s="1"/>
  <c r="R4165" i="24" s="1"/>
  <c r="R4166" i="24" s="1"/>
  <c r="R4167" i="24" s="1"/>
  <c r="R4168" i="24" s="1"/>
  <c r="R4169" i="24" s="1"/>
  <c r="R4170" i="24" s="1"/>
  <c r="R4171" i="24" s="1"/>
  <c r="R4172" i="24" s="1"/>
  <c r="R4173" i="24" s="1"/>
  <c r="R4174" i="24" s="1"/>
  <c r="R4175" i="24" s="1"/>
  <c r="R4176" i="24" s="1"/>
  <c r="R4177" i="24" s="1"/>
  <c r="R4178" i="24" s="1"/>
  <c r="R4179" i="24" l="1"/>
  <c r="R4180" i="24" s="1"/>
  <c r="R4181" i="24" s="1"/>
  <c r="R4182" i="24" s="1"/>
  <c r="R4183" i="24" s="1"/>
  <c r="R4184" i="24" s="1"/>
  <c r="R4185" i="24" l="1"/>
  <c r="R4186" i="24" s="1"/>
  <c r="R4187" i="24" s="1"/>
  <c r="R4188" i="24" s="1"/>
  <c r="B856" i="9"/>
  <c r="N856" i="9"/>
  <c r="Q856" i="9"/>
  <c r="R856" i="9"/>
  <c r="AB856" i="9"/>
  <c r="R4189" i="24" l="1"/>
  <c r="R4190" i="24" s="1"/>
  <c r="R4191" i="24" s="1"/>
  <c r="R4192" i="24" s="1"/>
  <c r="B855" i="9"/>
  <c r="N855" i="9"/>
  <c r="Q855" i="9"/>
  <c r="R855" i="9"/>
  <c r="AB855" i="9"/>
  <c r="B854" i="9"/>
  <c r="N854" i="9"/>
  <c r="Q854" i="9"/>
  <c r="R854" i="9"/>
  <c r="AB854" i="9"/>
  <c r="R4193" i="24" l="1"/>
  <c r="R4194" i="24" s="1"/>
  <c r="R4195" i="24" s="1"/>
  <c r="R4196" i="24" s="1"/>
  <c r="R4197" i="24" s="1"/>
  <c r="R4198" i="24" s="1"/>
  <c r="R4199" i="24" s="1"/>
  <c r="B884" i="8"/>
  <c r="N884" i="8"/>
  <c r="Q884" i="8"/>
  <c r="R884" i="8"/>
  <c r="AB884" i="8"/>
  <c r="R4200" i="24" l="1"/>
  <c r="R4201" i="24" s="1"/>
  <c r="R4202" i="24" s="1"/>
  <c r="R4203" i="24" s="1"/>
  <c r="R4204" i="24" s="1"/>
  <c r="R4205" i="24" s="1"/>
  <c r="R4206" i="24" s="1"/>
  <c r="R4207" i="24" s="1"/>
  <c r="R4208" i="24" s="1"/>
  <c r="R4209" i="24" s="1"/>
  <c r="R4210" i="24" s="1"/>
  <c r="R4211" i="24" s="1"/>
  <c r="R4212" i="24" s="1"/>
  <c r="R4213" i="24" s="1"/>
  <c r="R4214" i="24" s="1"/>
  <c r="B883" i="8"/>
  <c r="N883" i="8"/>
  <c r="Q883" i="8"/>
  <c r="R883" i="8"/>
  <c r="AB883" i="8"/>
  <c r="R4215" i="24" l="1"/>
  <c r="R4216" i="24" s="1"/>
  <c r="R4217" i="24" s="1"/>
  <c r="R4218" i="24" s="1"/>
  <c r="R4219" i="24" s="1"/>
  <c r="R4220" i="24" s="1"/>
  <c r="R4221" i="24" s="1"/>
  <c r="R4222" i="24" s="1"/>
  <c r="R4223" i="24" s="1"/>
  <c r="R4224" i="24" s="1"/>
  <c r="B396" i="3"/>
  <c r="M396" i="3"/>
  <c r="P396" i="3"/>
  <c r="Q396" i="3"/>
  <c r="AA396" i="3"/>
  <c r="B395" i="3"/>
  <c r="M395" i="3"/>
  <c r="P395" i="3"/>
  <c r="Q395" i="3"/>
  <c r="AA395" i="3"/>
  <c r="B853" i="9"/>
  <c r="N853" i="9"/>
  <c r="Q853" i="9"/>
  <c r="R853" i="9"/>
  <c r="AB853" i="9"/>
  <c r="R4225" i="24" l="1"/>
  <c r="B394" i="3"/>
  <c r="M394" i="3"/>
  <c r="P394" i="3"/>
  <c r="Q394" i="3"/>
  <c r="AA394" i="3"/>
  <c r="B182" i="5"/>
  <c r="M182" i="5"/>
  <c r="AA182" i="5"/>
  <c r="B882" i="8"/>
  <c r="N882" i="8"/>
  <c r="Q882" i="8"/>
  <c r="R882" i="8"/>
  <c r="AB882" i="8"/>
  <c r="B881" i="8"/>
  <c r="N881" i="8"/>
  <c r="Q881" i="8"/>
  <c r="R881" i="8"/>
  <c r="AB881" i="8"/>
  <c r="AB778" i="9"/>
  <c r="AB779" i="9"/>
  <c r="AB780" i="9"/>
  <c r="AB781" i="9"/>
  <c r="AB782" i="9"/>
  <c r="AB783" i="9"/>
  <c r="AB784" i="9"/>
  <c r="AB785" i="9"/>
  <c r="AB786" i="9"/>
  <c r="AB787" i="9"/>
  <c r="R778" i="9"/>
  <c r="R779" i="9"/>
  <c r="R780" i="9"/>
  <c r="R781" i="9"/>
  <c r="R782" i="9"/>
  <c r="R783" i="9"/>
  <c r="R784" i="9"/>
  <c r="R785" i="9"/>
  <c r="R786" i="9"/>
  <c r="R787" i="9"/>
  <c r="Q778" i="9"/>
  <c r="Q779" i="9"/>
  <c r="Q780" i="9"/>
  <c r="Q781" i="9"/>
  <c r="Q782" i="9"/>
  <c r="Q783" i="9"/>
  <c r="Q784" i="9"/>
  <c r="Q785" i="9"/>
  <c r="Q786" i="9"/>
  <c r="Q787" i="9"/>
  <c r="N778" i="9"/>
  <c r="N779" i="9"/>
  <c r="N780" i="9"/>
  <c r="N781" i="9"/>
  <c r="N782" i="9"/>
  <c r="N783" i="9"/>
  <c r="N784" i="9"/>
  <c r="N785" i="9"/>
  <c r="N786" i="9"/>
  <c r="N787" i="9"/>
  <c r="B778" i="9"/>
  <c r="B779" i="9"/>
  <c r="B780" i="9"/>
  <c r="B781" i="9"/>
  <c r="B782" i="9"/>
  <c r="B783" i="9"/>
  <c r="B784" i="9"/>
  <c r="B785" i="9"/>
  <c r="B786" i="9"/>
  <c r="B787" i="9"/>
  <c r="B880" i="8"/>
  <c r="N880" i="8"/>
  <c r="Q880" i="8"/>
  <c r="R880" i="8"/>
  <c r="AB880" i="8"/>
  <c r="B879" i="8"/>
  <c r="N879" i="8"/>
  <c r="Q879" i="8"/>
  <c r="R879" i="8"/>
  <c r="AB879" i="8"/>
  <c r="B878" i="8"/>
  <c r="N878" i="8"/>
  <c r="Q878" i="8"/>
  <c r="R878" i="8"/>
  <c r="AB878" i="8"/>
  <c r="R4226" i="24" l="1"/>
  <c r="R4227" i="24" s="1"/>
  <c r="R4228" i="24" s="1"/>
  <c r="R4229" i="24" l="1"/>
  <c r="R4230" i="24" s="1"/>
  <c r="R4231" i="24" s="1"/>
  <c r="R4232" i="24" s="1"/>
  <c r="R4233" i="24" s="1"/>
  <c r="Q104" i="19"/>
  <c r="P104" i="19"/>
  <c r="R4234" i="24" l="1"/>
  <c r="B852" i="9"/>
  <c r="N852" i="9"/>
  <c r="Q852" i="9"/>
  <c r="R852" i="9"/>
  <c r="AB852" i="9"/>
  <c r="B851" i="9"/>
  <c r="N851" i="9"/>
  <c r="Q851" i="9"/>
  <c r="R851" i="9"/>
  <c r="AB851" i="9"/>
  <c r="B850" i="9"/>
  <c r="N850" i="9"/>
  <c r="Q850" i="9"/>
  <c r="R850" i="9"/>
  <c r="AB850" i="9"/>
  <c r="B117" i="19"/>
  <c r="B118" i="19"/>
  <c r="B119" i="19"/>
  <c r="B120" i="19"/>
  <c r="B121" i="19"/>
  <c r="B122" i="19"/>
  <c r="B123" i="19"/>
  <c r="B124" i="19"/>
  <c r="B125" i="19"/>
  <c r="B126" i="19"/>
  <c r="B127" i="19"/>
  <c r="B128" i="19"/>
  <c r="B129" i="19"/>
  <c r="M117" i="19"/>
  <c r="M118" i="19"/>
  <c r="M119" i="19"/>
  <c r="M120" i="19"/>
  <c r="M121" i="19"/>
  <c r="M122" i="19"/>
  <c r="M123" i="19"/>
  <c r="M124" i="19"/>
  <c r="M125" i="19"/>
  <c r="M126" i="19"/>
  <c r="M127" i="19"/>
  <c r="M128" i="19"/>
  <c r="M129" i="19"/>
  <c r="P117" i="19"/>
  <c r="P118" i="19"/>
  <c r="P119" i="19"/>
  <c r="P120" i="19"/>
  <c r="P121" i="19"/>
  <c r="P122" i="19"/>
  <c r="P123" i="19"/>
  <c r="P124" i="19"/>
  <c r="P125" i="19"/>
  <c r="P126" i="19"/>
  <c r="P127" i="19"/>
  <c r="P128" i="19"/>
  <c r="P129" i="19"/>
  <c r="Q117" i="19"/>
  <c r="Q118" i="19"/>
  <c r="Q119" i="19"/>
  <c r="Q120" i="19"/>
  <c r="Q121" i="19"/>
  <c r="Q122" i="19"/>
  <c r="Q123" i="19"/>
  <c r="Q124" i="19"/>
  <c r="Q125" i="19"/>
  <c r="Q126" i="19"/>
  <c r="Q127" i="19"/>
  <c r="Q128" i="19"/>
  <c r="Q129" i="19"/>
  <c r="X117" i="19"/>
  <c r="X118" i="19"/>
  <c r="X119" i="19"/>
  <c r="X120" i="19"/>
  <c r="X121" i="19"/>
  <c r="X122" i="19"/>
  <c r="X123" i="19"/>
  <c r="X124" i="19"/>
  <c r="X125" i="19"/>
  <c r="X126" i="19"/>
  <c r="X127" i="19"/>
  <c r="X128" i="19"/>
  <c r="X129" i="19"/>
  <c r="AA117" i="19"/>
  <c r="AA118" i="19"/>
  <c r="AA119" i="19"/>
  <c r="AA120" i="19"/>
  <c r="AA121" i="19"/>
  <c r="AA122" i="19"/>
  <c r="AA123" i="19"/>
  <c r="AA124" i="19"/>
  <c r="AA125" i="19"/>
  <c r="AA126" i="19"/>
  <c r="AA127" i="19"/>
  <c r="AA128" i="19"/>
  <c r="AA129" i="19"/>
  <c r="B116" i="19"/>
  <c r="M116" i="19"/>
  <c r="P116" i="19"/>
  <c r="Q116" i="19"/>
  <c r="X116" i="19"/>
  <c r="AA116" i="19"/>
  <c r="B393" i="3"/>
  <c r="M393" i="3"/>
  <c r="P393" i="3"/>
  <c r="Q393" i="3"/>
  <c r="AA393" i="3"/>
  <c r="B392" i="3"/>
  <c r="M392" i="3"/>
  <c r="P392" i="3"/>
  <c r="Q392" i="3"/>
  <c r="AA392" i="3"/>
  <c r="B849" i="9"/>
  <c r="N849" i="9"/>
  <c r="Q849" i="9"/>
  <c r="R849" i="9"/>
  <c r="AB849" i="9"/>
  <c r="R4235" i="24" l="1"/>
  <c r="R4236" i="24" s="1"/>
  <c r="R4237" i="24" s="1"/>
  <c r="R4238" i="24" s="1"/>
  <c r="R4239" i="24" s="1"/>
  <c r="R4240" i="24" s="1"/>
  <c r="R4241" i="24" s="1"/>
  <c r="R4242" i="24" s="1"/>
  <c r="R4243" i="24" s="1"/>
  <c r="R4244" i="24" s="1"/>
  <c r="R4245" i="24" s="1"/>
  <c r="R4246" i="24" s="1"/>
  <c r="R4247" i="24" s="1"/>
  <c r="R4248" i="24" s="1"/>
  <c r="R4249" i="24" s="1"/>
  <c r="B384" i="3"/>
  <c r="M384" i="3"/>
  <c r="P384" i="3"/>
  <c r="Q384" i="3"/>
  <c r="AA384" i="3"/>
  <c r="R4250" i="24" l="1"/>
  <c r="R4251" i="24" s="1"/>
  <c r="R4252" i="24" s="1"/>
  <c r="R4253" i="24" s="1"/>
  <c r="R4254" i="24" s="1"/>
  <c r="R4255" i="24" s="1"/>
  <c r="R4256" i="24" s="1"/>
  <c r="R4257" i="24" s="1"/>
  <c r="R4258" i="24" s="1"/>
  <c r="R4259" i="24" s="1"/>
  <c r="R4260" i="24" s="1"/>
  <c r="R4261" i="24" s="1"/>
  <c r="R4262" i="24" s="1"/>
  <c r="R4263" i="24" s="1"/>
  <c r="R4264" i="24" s="1"/>
  <c r="R4265" i="24" s="1"/>
  <c r="R4266" i="24" s="1"/>
  <c r="R4267" i="24" s="1"/>
  <c r="R4268" i="24" s="1"/>
  <c r="B163" i="5"/>
  <c r="M163" i="5"/>
  <c r="AA163" i="5"/>
  <c r="B164" i="5"/>
  <c r="M164" i="5"/>
  <c r="AA164" i="5"/>
  <c r="R4269" i="24" l="1"/>
  <c r="R4270" i="24" s="1"/>
  <c r="R4271" i="24" s="1"/>
  <c r="B848" i="9"/>
  <c r="N848" i="9"/>
  <c r="Q848" i="9"/>
  <c r="R848" i="9"/>
  <c r="AB848" i="9"/>
  <c r="B877" i="8"/>
  <c r="N877" i="8"/>
  <c r="Q877" i="8"/>
  <c r="R877" i="8"/>
  <c r="AB877" i="8"/>
  <c r="B876" i="8"/>
  <c r="N876" i="8"/>
  <c r="Q876" i="8"/>
  <c r="R876" i="8"/>
  <c r="AB876" i="8"/>
  <c r="B875" i="8"/>
  <c r="N875" i="8"/>
  <c r="Q875" i="8"/>
  <c r="R875" i="8"/>
  <c r="AB875" i="8"/>
  <c r="B874" i="8"/>
  <c r="N874" i="8"/>
  <c r="Q874" i="8"/>
  <c r="R874" i="8"/>
  <c r="AB874" i="8"/>
  <c r="B873" i="8"/>
  <c r="N873" i="8"/>
  <c r="Q873" i="8"/>
  <c r="R873" i="8"/>
  <c r="AB873" i="8"/>
  <c r="B383" i="3"/>
  <c r="M383" i="3"/>
  <c r="P383" i="3"/>
  <c r="Q383" i="3"/>
  <c r="AA383" i="3"/>
  <c r="B382" i="3"/>
  <c r="M382" i="3"/>
  <c r="P382" i="3"/>
  <c r="Q382" i="3"/>
  <c r="AA382" i="3"/>
  <c r="B872" i="8"/>
  <c r="N872" i="8"/>
  <c r="Q872" i="8"/>
  <c r="R872" i="8"/>
  <c r="AB872" i="8"/>
  <c r="B871" i="8"/>
  <c r="N871" i="8"/>
  <c r="Q871" i="8"/>
  <c r="R871" i="8"/>
  <c r="AB871" i="8"/>
  <c r="B870" i="8"/>
  <c r="N870" i="8"/>
  <c r="Q870" i="8"/>
  <c r="R870" i="8"/>
  <c r="AB870" i="8"/>
  <c r="R4272" i="24" l="1"/>
  <c r="R4273" i="24" s="1"/>
  <c r="R4274" i="24" s="1"/>
  <c r="R4275" i="24" s="1"/>
  <c r="R4276" i="24" s="1"/>
  <c r="R4277" i="24" s="1"/>
  <c r="B869" i="8"/>
  <c r="N869" i="8"/>
  <c r="Q869" i="8"/>
  <c r="R869" i="8"/>
  <c r="AB869" i="8"/>
  <c r="B868" i="8"/>
  <c r="N868" i="8"/>
  <c r="Q868" i="8"/>
  <c r="R868" i="8"/>
  <c r="AB868" i="8"/>
  <c r="B867" i="8"/>
  <c r="N867" i="8"/>
  <c r="Q867" i="8"/>
  <c r="R867" i="8"/>
  <c r="AB867" i="8"/>
  <c r="A2" i="17"/>
  <c r="A3" i="17"/>
  <c r="A4" i="17"/>
  <c r="A5" i="17"/>
  <c r="A6" i="17"/>
  <c r="A7" i="17"/>
  <c r="A8" i="17"/>
  <c r="A9" i="17"/>
  <c r="A10" i="17"/>
  <c r="A11" i="17"/>
  <c r="A12" i="17"/>
  <c r="A13" i="17"/>
  <c r="A14" i="17"/>
  <c r="A15" i="17"/>
  <c r="A16" i="17"/>
  <c r="A17" i="17"/>
  <c r="A18" i="17"/>
  <c r="A19" i="17"/>
  <c r="A20" i="17"/>
  <c r="A21" i="17"/>
  <c r="A22" i="17"/>
  <c r="A23" i="17"/>
  <c r="A24" i="17"/>
  <c r="A25" i="17"/>
  <c r="A26" i="17"/>
  <c r="A27" i="17"/>
  <c r="A28" i="17"/>
  <c r="A29" i="17"/>
  <c r="A30" i="17"/>
  <c r="A31" i="17"/>
  <c r="A32" i="17"/>
  <c r="A33" i="17"/>
  <c r="A34" i="17"/>
  <c r="A35" i="17"/>
  <c r="A36" i="17"/>
  <c r="A37" i="17"/>
  <c r="A38" i="17"/>
  <c r="A39" i="17"/>
  <c r="A40" i="17"/>
  <c r="A41" i="17"/>
  <c r="A42" i="17"/>
  <c r="A43" i="17"/>
  <c r="A44" i="17"/>
  <c r="A45" i="17"/>
  <c r="A46" i="17"/>
  <c r="A47" i="17"/>
  <c r="A48" i="17"/>
  <c r="A49" i="17"/>
  <c r="A50" i="17"/>
  <c r="A51" i="17"/>
  <c r="A52" i="17"/>
  <c r="A53" i="17"/>
  <c r="A54" i="17"/>
  <c r="A55" i="17"/>
  <c r="A56" i="17"/>
  <c r="A57" i="17"/>
  <c r="A58" i="17"/>
  <c r="A59" i="17"/>
  <c r="A60" i="17"/>
  <c r="A61" i="17"/>
  <c r="A62" i="17"/>
  <c r="A63" i="17"/>
  <c r="A64" i="17"/>
  <c r="A65" i="17"/>
  <c r="A66" i="17"/>
  <c r="A67" i="17"/>
  <c r="A68" i="17"/>
  <c r="A69" i="17"/>
  <c r="A70" i="17"/>
  <c r="A71" i="17"/>
  <c r="A72" i="17"/>
  <c r="A73" i="17"/>
  <c r="A74" i="17"/>
  <c r="A75" i="17"/>
  <c r="A76" i="17"/>
  <c r="A77" i="17"/>
  <c r="A78" i="17"/>
  <c r="A79" i="17"/>
  <c r="A80" i="17"/>
  <c r="A81" i="17"/>
  <c r="A82" i="17"/>
  <c r="A83" i="17"/>
  <c r="A84" i="17"/>
  <c r="A85" i="17"/>
  <c r="A86" i="17"/>
  <c r="A87" i="17"/>
  <c r="A88" i="17"/>
  <c r="A89" i="17"/>
  <c r="A90" i="17"/>
  <c r="A91" i="17"/>
  <c r="A92" i="17"/>
  <c r="A93" i="17"/>
  <c r="A94" i="17"/>
  <c r="A95" i="17"/>
  <c r="A96" i="17"/>
  <c r="A97" i="17"/>
  <c r="A98" i="17"/>
  <c r="A99" i="17"/>
  <c r="A100" i="17"/>
  <c r="A101" i="17"/>
  <c r="A102" i="17"/>
  <c r="A103" i="17"/>
  <c r="A104" i="17"/>
  <c r="A105" i="17"/>
  <c r="A106" i="17"/>
  <c r="A107" i="17"/>
  <c r="A108" i="17"/>
  <c r="A109" i="17"/>
  <c r="A110" i="17"/>
  <c r="A111" i="17"/>
  <c r="A112" i="17"/>
  <c r="A113" i="17"/>
  <c r="A114" i="17"/>
  <c r="A115" i="17"/>
  <c r="A116" i="17"/>
  <c r="A117" i="17"/>
  <c r="A118" i="17"/>
  <c r="A119" i="17"/>
  <c r="A120" i="17"/>
  <c r="A121" i="17"/>
  <c r="A122" i="17"/>
  <c r="A123" i="17"/>
  <c r="A124" i="17"/>
  <c r="A125" i="17"/>
  <c r="A126" i="17"/>
  <c r="A127" i="17"/>
  <c r="A128" i="17"/>
  <c r="A129" i="17"/>
  <c r="A130" i="17"/>
  <c r="A131" i="17"/>
  <c r="A132" i="17"/>
  <c r="A133" i="17"/>
  <c r="A134" i="17"/>
  <c r="A135" i="17"/>
  <c r="A136" i="17"/>
  <c r="A137" i="17"/>
  <c r="A138" i="17"/>
  <c r="A139" i="17"/>
  <c r="A140" i="17"/>
  <c r="A141" i="17"/>
  <c r="A142" i="17"/>
  <c r="A143" i="17"/>
  <c r="A144" i="17"/>
  <c r="A145" i="17"/>
  <c r="A146" i="17"/>
  <c r="A147" i="17"/>
  <c r="A148" i="17"/>
  <c r="A149" i="17"/>
  <c r="A150" i="17"/>
  <c r="A151" i="17"/>
  <c r="A152" i="17"/>
  <c r="A153" i="17"/>
  <c r="A154" i="17"/>
  <c r="A155" i="17"/>
  <c r="A156" i="17"/>
  <c r="A157" i="17"/>
  <c r="A158" i="17"/>
  <c r="A159" i="17"/>
  <c r="A160" i="17"/>
  <c r="A161" i="17"/>
  <c r="A162" i="17"/>
  <c r="A163" i="17"/>
  <c r="A164" i="17"/>
  <c r="A165" i="17"/>
  <c r="A166" i="17"/>
  <c r="A167" i="17"/>
  <c r="A168" i="17"/>
  <c r="A169" i="17"/>
  <c r="A170" i="17"/>
  <c r="A171" i="17"/>
  <c r="A172" i="17"/>
  <c r="A173" i="17"/>
  <c r="A174" i="17"/>
  <c r="A175" i="17"/>
  <c r="A176" i="17"/>
  <c r="A177" i="17"/>
  <c r="A178" i="17"/>
  <c r="A179" i="17"/>
  <c r="A180" i="17"/>
  <c r="A181" i="17"/>
  <c r="A182" i="17"/>
  <c r="A183" i="17"/>
  <c r="A184" i="17"/>
  <c r="A185" i="17"/>
  <c r="A186" i="17"/>
  <c r="A187" i="17"/>
  <c r="A188" i="17"/>
  <c r="A189" i="17"/>
  <c r="A190" i="17"/>
  <c r="A191" i="17"/>
  <c r="A192" i="17"/>
  <c r="A193" i="17"/>
  <c r="A194" i="17"/>
  <c r="A195" i="17"/>
  <c r="A196" i="17"/>
  <c r="A197" i="17"/>
  <c r="A198" i="17"/>
  <c r="A199" i="17"/>
  <c r="A200" i="17"/>
  <c r="A201" i="17"/>
  <c r="A202" i="17"/>
  <c r="A203" i="17"/>
  <c r="A204" i="17"/>
  <c r="A205" i="17"/>
  <c r="A206" i="17"/>
  <c r="A207" i="17"/>
  <c r="A208" i="17"/>
  <c r="A209" i="17"/>
  <c r="A210" i="17"/>
  <c r="A211" i="17"/>
  <c r="A212" i="17"/>
  <c r="A213" i="17"/>
  <c r="A214" i="17"/>
  <c r="A215" i="17"/>
  <c r="A216" i="17"/>
  <c r="A217" i="17"/>
  <c r="A218" i="17"/>
  <c r="A219" i="17"/>
  <c r="A220" i="17"/>
  <c r="A221" i="17"/>
  <c r="A222" i="17"/>
  <c r="A223" i="17"/>
  <c r="A224" i="17"/>
  <c r="A225" i="17"/>
  <c r="A226" i="17"/>
  <c r="A227" i="17"/>
  <c r="A228" i="17"/>
  <c r="A229" i="17"/>
  <c r="A230" i="17"/>
  <c r="A231" i="17"/>
  <c r="A232" i="17"/>
  <c r="A233" i="17"/>
  <c r="A234" i="17"/>
  <c r="A235" i="17"/>
  <c r="A236" i="17"/>
  <c r="A237" i="17"/>
  <c r="A238" i="17"/>
  <c r="A239" i="17"/>
  <c r="A240" i="17"/>
  <c r="A241" i="17"/>
  <c r="A242" i="17"/>
  <c r="A243" i="17"/>
  <c r="A244" i="17"/>
  <c r="A245" i="17"/>
  <c r="A246" i="17"/>
  <c r="A247" i="17"/>
  <c r="A248" i="17"/>
  <c r="A249" i="17"/>
  <c r="A250" i="17"/>
  <c r="A251" i="17"/>
  <c r="A252" i="17"/>
  <c r="A253" i="17"/>
  <c r="A254" i="17"/>
  <c r="B252" i="17"/>
  <c r="M252" i="17"/>
  <c r="P252" i="17"/>
  <c r="Q252" i="17"/>
  <c r="X252" i="17"/>
  <c r="AA252" i="17"/>
  <c r="B244" i="17"/>
  <c r="M244" i="17"/>
  <c r="P244" i="17"/>
  <c r="Q244" i="17"/>
  <c r="X244" i="17"/>
  <c r="AA244" i="17"/>
  <c r="B236" i="17"/>
  <c r="M236" i="17"/>
  <c r="P236" i="17"/>
  <c r="Q236" i="17"/>
  <c r="X236" i="17"/>
  <c r="AA236" i="17"/>
  <c r="B237" i="17"/>
  <c r="B238" i="17"/>
  <c r="B239" i="17"/>
  <c r="B240" i="17"/>
  <c r="B241" i="17"/>
  <c r="B242" i="17"/>
  <c r="B243" i="17"/>
  <c r="B245" i="17"/>
  <c r="B246" i="17"/>
  <c r="B247" i="17"/>
  <c r="B248" i="17"/>
  <c r="B249" i="17"/>
  <c r="B250" i="17"/>
  <c r="B251" i="17"/>
  <c r="B253" i="17"/>
  <c r="B254" i="17"/>
  <c r="M237" i="17"/>
  <c r="M238" i="17"/>
  <c r="M239" i="17"/>
  <c r="M240" i="17"/>
  <c r="M241" i="17"/>
  <c r="M242" i="17"/>
  <c r="M243" i="17"/>
  <c r="M245" i="17"/>
  <c r="M246" i="17"/>
  <c r="M247" i="17"/>
  <c r="M248" i="17"/>
  <c r="M249" i="17"/>
  <c r="M250" i="17"/>
  <c r="M251" i="17"/>
  <c r="M253" i="17"/>
  <c r="M254" i="17"/>
  <c r="P237" i="17"/>
  <c r="P238" i="17"/>
  <c r="P239" i="17"/>
  <c r="P240" i="17"/>
  <c r="P241" i="17"/>
  <c r="P242" i="17"/>
  <c r="P243" i="17"/>
  <c r="P245" i="17"/>
  <c r="P246" i="17"/>
  <c r="P247" i="17"/>
  <c r="P248" i="17"/>
  <c r="P249" i="17"/>
  <c r="P250" i="17"/>
  <c r="P251" i="17"/>
  <c r="P253" i="17"/>
  <c r="P254" i="17"/>
  <c r="Q237" i="17"/>
  <c r="Q238" i="17"/>
  <c r="Q239" i="17"/>
  <c r="Q240" i="17"/>
  <c r="Q241" i="17"/>
  <c r="Q242" i="17"/>
  <c r="Q243" i="17"/>
  <c r="Q245" i="17"/>
  <c r="Q246" i="17"/>
  <c r="Q247" i="17"/>
  <c r="Q248" i="17"/>
  <c r="Q249" i="17"/>
  <c r="Q250" i="17"/>
  <c r="Q251" i="17"/>
  <c r="Q253" i="17"/>
  <c r="Q254" i="17"/>
  <c r="X237" i="17"/>
  <c r="X238" i="17"/>
  <c r="X239" i="17"/>
  <c r="X240" i="17"/>
  <c r="X241" i="17"/>
  <c r="X242" i="17"/>
  <c r="X243" i="17"/>
  <c r="X245" i="17"/>
  <c r="X246" i="17"/>
  <c r="X247" i="17"/>
  <c r="X248" i="17"/>
  <c r="X249" i="17"/>
  <c r="X250" i="17"/>
  <c r="X251" i="17"/>
  <c r="X253" i="17"/>
  <c r="X254" i="17"/>
  <c r="AA237" i="17"/>
  <c r="AA238" i="17"/>
  <c r="AA239" i="17"/>
  <c r="AA240" i="17"/>
  <c r="AA241" i="17"/>
  <c r="AA242" i="17"/>
  <c r="AA243" i="17"/>
  <c r="AA245" i="17"/>
  <c r="AA246" i="17"/>
  <c r="AA247" i="17"/>
  <c r="AA248" i="17"/>
  <c r="AA249" i="17"/>
  <c r="AA250" i="17"/>
  <c r="AA251" i="17"/>
  <c r="AA253" i="17"/>
  <c r="AA254" i="17"/>
  <c r="B424" i="10"/>
  <c r="M424" i="10"/>
  <c r="P424" i="10"/>
  <c r="Q424" i="10"/>
  <c r="X424" i="10"/>
  <c r="AA424" i="10"/>
  <c r="B411" i="10"/>
  <c r="M411" i="10"/>
  <c r="P411" i="10"/>
  <c r="Q411" i="10"/>
  <c r="X411" i="10"/>
  <c r="AA411" i="10"/>
  <c r="B413" i="10"/>
  <c r="B414" i="10"/>
  <c r="B415" i="10"/>
  <c r="B416" i="10"/>
  <c r="B417" i="10"/>
  <c r="B418" i="10"/>
  <c r="B419" i="10"/>
  <c r="B420" i="10"/>
  <c r="B421" i="10"/>
  <c r="B422" i="10"/>
  <c r="B423" i="10"/>
  <c r="B425" i="10"/>
  <c r="B426" i="10"/>
  <c r="B427" i="10"/>
  <c r="B428" i="10"/>
  <c r="B429" i="10"/>
  <c r="B430" i="10"/>
  <c r="B431" i="10"/>
  <c r="B432" i="10"/>
  <c r="B433" i="10"/>
  <c r="B434" i="10"/>
  <c r="B435" i="10"/>
  <c r="B436" i="10"/>
  <c r="B437" i="10"/>
  <c r="B438" i="10"/>
  <c r="B439" i="10"/>
  <c r="M413" i="10"/>
  <c r="M414" i="10"/>
  <c r="M415" i="10"/>
  <c r="M416" i="10"/>
  <c r="M417" i="10"/>
  <c r="M418" i="10"/>
  <c r="M419" i="10"/>
  <c r="M420" i="10"/>
  <c r="M421" i="10"/>
  <c r="M422" i="10"/>
  <c r="M423" i="10"/>
  <c r="M425" i="10"/>
  <c r="M426" i="10"/>
  <c r="M427" i="10"/>
  <c r="M428" i="10"/>
  <c r="M429" i="10"/>
  <c r="M430" i="10"/>
  <c r="M431" i="10"/>
  <c r="M432" i="10"/>
  <c r="M433" i="10"/>
  <c r="M434" i="10"/>
  <c r="M435" i="10"/>
  <c r="M436" i="10"/>
  <c r="M437" i="10"/>
  <c r="M438" i="10"/>
  <c r="M439" i="10"/>
  <c r="P413" i="10"/>
  <c r="P414" i="10"/>
  <c r="P415" i="10"/>
  <c r="P416" i="10"/>
  <c r="P417" i="10"/>
  <c r="P418" i="10"/>
  <c r="P419" i="10"/>
  <c r="P420" i="10"/>
  <c r="P421" i="10"/>
  <c r="P422" i="10"/>
  <c r="P423" i="10"/>
  <c r="P425" i="10"/>
  <c r="P426" i="10"/>
  <c r="P427" i="10"/>
  <c r="P428" i="10"/>
  <c r="P429" i="10"/>
  <c r="P430" i="10"/>
  <c r="P431" i="10"/>
  <c r="P432" i="10"/>
  <c r="P433" i="10"/>
  <c r="P434" i="10"/>
  <c r="P435" i="10"/>
  <c r="P436" i="10"/>
  <c r="P437" i="10"/>
  <c r="P438" i="10"/>
  <c r="P439" i="10"/>
  <c r="Q413" i="10"/>
  <c r="Q414" i="10"/>
  <c r="Q415" i="10"/>
  <c r="Q416" i="10"/>
  <c r="Q417" i="10"/>
  <c r="Q418" i="10"/>
  <c r="Q419" i="10"/>
  <c r="Q420" i="10"/>
  <c r="Q421" i="10"/>
  <c r="Q422" i="10"/>
  <c r="Q423" i="10"/>
  <c r="Q425" i="10"/>
  <c r="Q426" i="10"/>
  <c r="Q427" i="10"/>
  <c r="Q428" i="10"/>
  <c r="Q429" i="10"/>
  <c r="Q430" i="10"/>
  <c r="Q431" i="10"/>
  <c r="Q432" i="10"/>
  <c r="Q433" i="10"/>
  <c r="Q434" i="10"/>
  <c r="Q435" i="10"/>
  <c r="Q436" i="10"/>
  <c r="Q437" i="10"/>
  <c r="Q438" i="10"/>
  <c r="Q439" i="10"/>
  <c r="X413" i="10"/>
  <c r="X414" i="10"/>
  <c r="X415" i="10"/>
  <c r="X416" i="10"/>
  <c r="X417" i="10"/>
  <c r="X418" i="10"/>
  <c r="X419" i="10"/>
  <c r="X420" i="10"/>
  <c r="X421" i="10"/>
  <c r="X422" i="10"/>
  <c r="X423" i="10"/>
  <c r="X425" i="10"/>
  <c r="X426" i="10"/>
  <c r="X427" i="10"/>
  <c r="X428" i="10"/>
  <c r="X429" i="10"/>
  <c r="X430" i="10"/>
  <c r="X431" i="10"/>
  <c r="X432" i="10"/>
  <c r="X433" i="10"/>
  <c r="X434" i="10"/>
  <c r="X435" i="10"/>
  <c r="X436" i="10"/>
  <c r="X437" i="10"/>
  <c r="X438" i="10"/>
  <c r="X439" i="10"/>
  <c r="AA413" i="10"/>
  <c r="AA414" i="10"/>
  <c r="AA415" i="10"/>
  <c r="AA416" i="10"/>
  <c r="AA417" i="10"/>
  <c r="AA418" i="10"/>
  <c r="AA419" i="10"/>
  <c r="AA420" i="10"/>
  <c r="AA421" i="10"/>
  <c r="AA422" i="10"/>
  <c r="AA423" i="10"/>
  <c r="AA425" i="10"/>
  <c r="AA426" i="10"/>
  <c r="AA427" i="10"/>
  <c r="AA428" i="10"/>
  <c r="AA429" i="10"/>
  <c r="AA430" i="10"/>
  <c r="AA431" i="10"/>
  <c r="AA432" i="10"/>
  <c r="AA433" i="10"/>
  <c r="AA434" i="10"/>
  <c r="AA435" i="10"/>
  <c r="AA436" i="10"/>
  <c r="AA437" i="10"/>
  <c r="AA438" i="10"/>
  <c r="AA439" i="10"/>
  <c r="B412" i="10"/>
  <c r="M412" i="10"/>
  <c r="P412" i="10"/>
  <c r="Q412" i="10"/>
  <c r="X412" i="10"/>
  <c r="AA412" i="10"/>
  <c r="B866" i="8"/>
  <c r="N866" i="8"/>
  <c r="Q866" i="8"/>
  <c r="R866" i="8"/>
  <c r="AB866" i="8"/>
  <c r="B865" i="8"/>
  <c r="N865" i="8"/>
  <c r="Q865" i="8"/>
  <c r="R865" i="8"/>
  <c r="AB865" i="8"/>
  <c r="B864" i="8"/>
  <c r="N864" i="8"/>
  <c r="Q864" i="8"/>
  <c r="R864" i="8"/>
  <c r="AB864" i="8"/>
  <c r="R4278" i="24" l="1"/>
  <c r="R4279" i="24" s="1"/>
  <c r="R4280" i="24" s="1"/>
  <c r="R4281" i="24" s="1"/>
  <c r="R4282" i="24" s="1"/>
  <c r="R4283" i="24" s="1"/>
  <c r="R4284" i="24" s="1"/>
  <c r="R4285" i="24" s="1"/>
  <c r="R4286" i="24" s="1"/>
  <c r="R4287" i="24" s="1"/>
  <c r="R4288" i="24" s="1"/>
  <c r="R4289" i="24" s="1"/>
  <c r="AA329" i="12"/>
  <c r="X329" i="12"/>
  <c r="Q329" i="12"/>
  <c r="P329" i="12"/>
  <c r="M329" i="12"/>
  <c r="B329" i="12"/>
  <c r="Q315" i="12"/>
  <c r="Q314" i="12"/>
  <c r="AA316" i="12"/>
  <c r="X316" i="12"/>
  <c r="Q316" i="12"/>
  <c r="P316" i="12"/>
  <c r="M316" i="12"/>
  <c r="B316" i="12"/>
  <c r="AA452" i="23"/>
  <c r="Q452" i="23"/>
  <c r="P452" i="23"/>
  <c r="M452" i="23"/>
  <c r="B452" i="23"/>
  <c r="A452" i="23"/>
  <c r="AA451" i="23"/>
  <c r="Q451" i="23"/>
  <c r="P451" i="23"/>
  <c r="M451" i="23"/>
  <c r="B451" i="23"/>
  <c r="A451" i="23"/>
  <c r="AA450" i="23"/>
  <c r="Q450" i="23"/>
  <c r="P450" i="23"/>
  <c r="M450" i="23"/>
  <c r="B450" i="23"/>
  <c r="A450" i="23"/>
  <c r="AA449" i="23"/>
  <c r="Q449" i="23"/>
  <c r="P449" i="23"/>
  <c r="M449" i="23"/>
  <c r="B449" i="23"/>
  <c r="A449" i="23"/>
  <c r="B381" i="3"/>
  <c r="M381" i="3"/>
  <c r="P381" i="3"/>
  <c r="Q381" i="3"/>
  <c r="AA381" i="3"/>
  <c r="B380" i="3"/>
  <c r="M380" i="3"/>
  <c r="P380" i="3"/>
  <c r="Q380" i="3"/>
  <c r="AA380" i="3"/>
  <c r="AA448" i="23"/>
  <c r="Q448" i="23"/>
  <c r="P448" i="23"/>
  <c r="M448" i="23"/>
  <c r="B448" i="23"/>
  <c r="AA447" i="23"/>
  <c r="Q447" i="23"/>
  <c r="P447" i="23"/>
  <c r="M447" i="23"/>
  <c r="B447" i="23"/>
  <c r="A447" i="23"/>
  <c r="AA446" i="23"/>
  <c r="Q446" i="23"/>
  <c r="P446" i="23"/>
  <c r="M446" i="23"/>
  <c r="B446" i="23"/>
  <c r="A446" i="23"/>
  <c r="AA445" i="23"/>
  <c r="Q445" i="23"/>
  <c r="P445" i="23"/>
  <c r="M445" i="23"/>
  <c r="B445" i="23"/>
  <c r="A445" i="23"/>
  <c r="AA444" i="23"/>
  <c r="Q444" i="23"/>
  <c r="P444" i="23"/>
  <c r="M444" i="23"/>
  <c r="B444" i="23"/>
  <c r="A444" i="23"/>
  <c r="AA443" i="23"/>
  <c r="Q443" i="23"/>
  <c r="P443" i="23"/>
  <c r="M443" i="23"/>
  <c r="B443" i="23"/>
  <c r="A443" i="23"/>
  <c r="AA442" i="23"/>
  <c r="Q442" i="23"/>
  <c r="P442" i="23"/>
  <c r="M442" i="23"/>
  <c r="B442" i="23"/>
  <c r="A442" i="23"/>
  <c r="AA441" i="23"/>
  <c r="Q441" i="23"/>
  <c r="P441" i="23"/>
  <c r="M441" i="23"/>
  <c r="B441" i="23"/>
  <c r="A441" i="23"/>
  <c r="AA440" i="23"/>
  <c r="Q440" i="23"/>
  <c r="P440" i="23"/>
  <c r="M440" i="23"/>
  <c r="B440" i="23"/>
  <c r="A440" i="23"/>
  <c r="B317" i="12"/>
  <c r="B318" i="12"/>
  <c r="B319" i="12"/>
  <c r="B320" i="12"/>
  <c r="B321" i="12"/>
  <c r="B322" i="12"/>
  <c r="B323" i="12"/>
  <c r="B324" i="12"/>
  <c r="B325" i="12"/>
  <c r="B326" i="12"/>
  <c r="B327" i="12"/>
  <c r="B328" i="12"/>
  <c r="B330" i="12"/>
  <c r="B331" i="12"/>
  <c r="B332" i="12"/>
  <c r="B333" i="12"/>
  <c r="B334" i="12"/>
  <c r="B335" i="12"/>
  <c r="B336" i="12"/>
  <c r="B337" i="12"/>
  <c r="B338" i="12"/>
  <c r="B339" i="12"/>
  <c r="B340" i="12"/>
  <c r="B341" i="12"/>
  <c r="M317" i="12"/>
  <c r="M318" i="12"/>
  <c r="M319" i="12"/>
  <c r="M320" i="12"/>
  <c r="M321" i="12"/>
  <c r="M322" i="12"/>
  <c r="M323" i="12"/>
  <c r="M324" i="12"/>
  <c r="M325" i="12"/>
  <c r="M326" i="12"/>
  <c r="M327" i="12"/>
  <c r="M328" i="12"/>
  <c r="M330" i="12"/>
  <c r="M331" i="12"/>
  <c r="M332" i="12"/>
  <c r="M333" i="12"/>
  <c r="M334" i="12"/>
  <c r="M335" i="12"/>
  <c r="M336" i="12"/>
  <c r="M337" i="12"/>
  <c r="M338" i="12"/>
  <c r="M339" i="12"/>
  <c r="M340" i="12"/>
  <c r="M341" i="12"/>
  <c r="P317" i="12"/>
  <c r="P318" i="12"/>
  <c r="P319" i="12"/>
  <c r="P320" i="12"/>
  <c r="P321" i="12"/>
  <c r="P322" i="12"/>
  <c r="P323" i="12"/>
  <c r="P324" i="12"/>
  <c r="P325" i="12"/>
  <c r="P326" i="12"/>
  <c r="P327" i="12"/>
  <c r="P328" i="12"/>
  <c r="P330" i="12"/>
  <c r="P331" i="12"/>
  <c r="P332" i="12"/>
  <c r="P333" i="12"/>
  <c r="P334" i="12"/>
  <c r="P335" i="12"/>
  <c r="P336" i="12"/>
  <c r="P337" i="12"/>
  <c r="P338" i="12"/>
  <c r="P339" i="12"/>
  <c r="P340" i="12"/>
  <c r="P341" i="12"/>
  <c r="Q317" i="12"/>
  <c r="Q318" i="12"/>
  <c r="Q319" i="12"/>
  <c r="Q320" i="12"/>
  <c r="Q321" i="12"/>
  <c r="Q322" i="12"/>
  <c r="Q323" i="12"/>
  <c r="Q324" i="12"/>
  <c r="Q325" i="12"/>
  <c r="Q326" i="12"/>
  <c r="Q327" i="12"/>
  <c r="Q328" i="12"/>
  <c r="Q330" i="12"/>
  <c r="Q331" i="12"/>
  <c r="Q332" i="12"/>
  <c r="Q333" i="12"/>
  <c r="Q334" i="12"/>
  <c r="Q335" i="12"/>
  <c r="Q336" i="12"/>
  <c r="Q337" i="12"/>
  <c r="Q338" i="12"/>
  <c r="Q339" i="12"/>
  <c r="Q340" i="12"/>
  <c r="Q341" i="12"/>
  <c r="X317" i="12"/>
  <c r="X318" i="12"/>
  <c r="X319" i="12"/>
  <c r="X320" i="12"/>
  <c r="X321" i="12"/>
  <c r="X322" i="12"/>
  <c r="X323" i="12"/>
  <c r="X324" i="12"/>
  <c r="X325" i="12"/>
  <c r="X326" i="12"/>
  <c r="X327" i="12"/>
  <c r="X328" i="12"/>
  <c r="X330" i="12"/>
  <c r="X331" i="12"/>
  <c r="X332" i="12"/>
  <c r="X333" i="12"/>
  <c r="X334" i="12"/>
  <c r="X335" i="12"/>
  <c r="X336" i="12"/>
  <c r="X337" i="12"/>
  <c r="X338" i="12"/>
  <c r="X339" i="12"/>
  <c r="X340" i="12"/>
  <c r="X341" i="12"/>
  <c r="AA317" i="12"/>
  <c r="AA318" i="12"/>
  <c r="AA319" i="12"/>
  <c r="AA320" i="12"/>
  <c r="AA321" i="12"/>
  <c r="AA322" i="12"/>
  <c r="AA323" i="12"/>
  <c r="AA324" i="12"/>
  <c r="AA325" i="12"/>
  <c r="AA326" i="12"/>
  <c r="AA327" i="12"/>
  <c r="AA328" i="12"/>
  <c r="AA330" i="12"/>
  <c r="AA331" i="12"/>
  <c r="AA332" i="12"/>
  <c r="AA333" i="12"/>
  <c r="AA334" i="12"/>
  <c r="AA335" i="12"/>
  <c r="AA336" i="12"/>
  <c r="AA337" i="12"/>
  <c r="AA338" i="12"/>
  <c r="AA339" i="12"/>
  <c r="AA340" i="12"/>
  <c r="AA341" i="12"/>
  <c r="R4290" i="24" l="1"/>
  <c r="R4291" i="24" s="1"/>
  <c r="R4292" i="24" s="1"/>
  <c r="R4293" i="24" s="1"/>
  <c r="R4294" i="24" s="1"/>
  <c r="R4295" i="24" s="1"/>
  <c r="R4296" i="24" s="1"/>
  <c r="R4297" i="24" s="1"/>
  <c r="R4298" i="24" s="1"/>
  <c r="R4299" i="24" s="1"/>
  <c r="R4300" i="24" s="1"/>
  <c r="R4301" i="24" s="1"/>
  <c r="R4302" i="24" s="1"/>
  <c r="R4303" i="24" s="1"/>
  <c r="R4304" i="24" s="1"/>
  <c r="R4305" i="24" s="1"/>
  <c r="B847" i="9"/>
  <c r="N847" i="9"/>
  <c r="Q847" i="9"/>
  <c r="R847" i="9"/>
  <c r="AB847" i="9"/>
  <c r="B846" i="9"/>
  <c r="N846" i="9"/>
  <c r="Q846" i="9"/>
  <c r="R846" i="9"/>
  <c r="AB846" i="9"/>
  <c r="R4306" i="24" l="1"/>
  <c r="R4307" i="24" s="1"/>
  <c r="B845" i="9"/>
  <c r="N845" i="9"/>
  <c r="Q845" i="9"/>
  <c r="R845" i="9"/>
  <c r="AB845" i="9"/>
  <c r="R4308" i="24" l="1"/>
  <c r="R4309" i="24" s="1"/>
  <c r="R4310" i="24" s="1"/>
  <c r="R4311" i="24" s="1"/>
  <c r="R4312" i="24" s="1"/>
  <c r="R4313" i="24" s="1"/>
  <c r="R4314" i="24" s="1"/>
  <c r="R4315" i="24" s="1"/>
  <c r="R4316" i="24" s="1"/>
  <c r="R4317" i="24" s="1"/>
  <c r="R4318" i="24" s="1"/>
  <c r="R4319" i="24" s="1"/>
  <c r="R4320" i="24" s="1"/>
  <c r="R4321" i="24" s="1"/>
  <c r="R4322" i="24" s="1"/>
  <c r="R4323" i="24" s="1"/>
  <c r="R4324" i="24" s="1"/>
  <c r="R4325" i="24" s="1"/>
  <c r="R4326" i="24" s="1"/>
  <c r="R4327" i="24" s="1"/>
  <c r="R4328" i="24" s="1"/>
  <c r="R4329" i="24" s="1"/>
  <c r="R4330" i="24" s="1"/>
  <c r="R4331" i="24" s="1"/>
  <c r="R4332" i="24" s="1"/>
  <c r="R4333" i="24" s="1"/>
  <c r="R4334" i="24" s="1"/>
  <c r="R4335" i="24" s="1"/>
  <c r="B178" i="5"/>
  <c r="M178" i="5"/>
  <c r="AA178" i="5"/>
  <c r="B179" i="5"/>
  <c r="M179" i="5"/>
  <c r="AA179" i="5"/>
  <c r="B180" i="5"/>
  <c r="M180" i="5"/>
  <c r="AA180" i="5"/>
  <c r="B181" i="5"/>
  <c r="M181" i="5"/>
  <c r="AA181" i="5"/>
  <c r="B177" i="5"/>
  <c r="M177" i="5"/>
  <c r="AA177" i="5"/>
  <c r="R4336" i="24" l="1"/>
  <c r="R4337" i="24" s="1"/>
  <c r="R4338" i="24" s="1"/>
  <c r="R4339" i="24" s="1"/>
  <c r="R4340" i="24" l="1"/>
  <c r="R4341" i="24" s="1"/>
  <c r="B372" i="3"/>
  <c r="M372" i="3"/>
  <c r="P372" i="3"/>
  <c r="Q372" i="3"/>
  <c r="AA372" i="3"/>
  <c r="B373" i="3"/>
  <c r="M373" i="3"/>
  <c r="P373" i="3"/>
  <c r="Q373" i="3"/>
  <c r="AA373" i="3"/>
  <c r="B374" i="3"/>
  <c r="M374" i="3"/>
  <c r="P374" i="3"/>
  <c r="Q374" i="3"/>
  <c r="AA374" i="3"/>
  <c r="B379" i="3"/>
  <c r="M379" i="3"/>
  <c r="P379" i="3"/>
  <c r="Q379" i="3"/>
  <c r="AA379" i="3"/>
  <c r="B378" i="3"/>
  <c r="M378" i="3"/>
  <c r="P378" i="3"/>
  <c r="Q378" i="3"/>
  <c r="AA378" i="3"/>
  <c r="B377" i="3"/>
  <c r="M377" i="3"/>
  <c r="P377" i="3"/>
  <c r="Q377" i="3"/>
  <c r="AA377" i="3"/>
  <c r="AA102" i="5"/>
  <c r="M102" i="5"/>
  <c r="B102" i="5"/>
  <c r="AA103" i="5"/>
  <c r="M103" i="5"/>
  <c r="B103" i="5"/>
  <c r="R4342" i="24" l="1"/>
  <c r="AA93" i="5"/>
  <c r="M93" i="5"/>
  <c r="B93" i="5"/>
  <c r="B92" i="5"/>
  <c r="M92" i="5"/>
  <c r="AA92" i="5"/>
  <c r="R4343" i="24" l="1"/>
  <c r="R4344" i="24" s="1"/>
  <c r="R4345" i="24" s="1"/>
  <c r="R4346" i="24" s="1"/>
  <c r="R4347" i="24" s="1"/>
  <c r="R4348" i="24" s="1"/>
  <c r="AB844" i="9"/>
  <c r="R844" i="9"/>
  <c r="Q844" i="9"/>
  <c r="N844" i="9"/>
  <c r="B844" i="9"/>
  <c r="AB843" i="9"/>
  <c r="R843" i="9"/>
  <c r="Q843" i="9"/>
  <c r="N843" i="9"/>
  <c r="B843" i="9"/>
  <c r="AB842" i="9"/>
  <c r="R842" i="9"/>
  <c r="Q842" i="9"/>
  <c r="N842" i="9"/>
  <c r="B842" i="9"/>
  <c r="R4349" i="24" l="1"/>
  <c r="R4350" i="24" s="1"/>
  <c r="R4351" i="24" s="1"/>
  <c r="R4352" i="24" s="1"/>
  <c r="R4353" i="24" s="1"/>
  <c r="R4354" i="24" s="1"/>
  <c r="R4355" i="24" s="1"/>
  <c r="R4356" i="24" s="1"/>
  <c r="AB863" i="8"/>
  <c r="R863" i="8"/>
  <c r="Q863" i="8"/>
  <c r="N863" i="8"/>
  <c r="B863" i="8"/>
  <c r="R4357" i="24" l="1"/>
  <c r="B841" i="9"/>
  <c r="N841" i="9"/>
  <c r="Q841" i="9"/>
  <c r="R841" i="9"/>
  <c r="AB841" i="9"/>
  <c r="B840" i="9"/>
  <c r="N840" i="9"/>
  <c r="Q840" i="9"/>
  <c r="R840" i="9"/>
  <c r="AB840" i="9"/>
  <c r="B839" i="9"/>
  <c r="N839" i="9"/>
  <c r="Q839" i="9"/>
  <c r="R839" i="9"/>
  <c r="AB839" i="9"/>
  <c r="R4358" i="24" l="1"/>
  <c r="R4359" i="24" s="1"/>
  <c r="R4360" i="24" s="1"/>
  <c r="R4361" i="24" s="1"/>
  <c r="B862" i="8"/>
  <c r="N862" i="8"/>
  <c r="Q862" i="8"/>
  <c r="R862" i="8"/>
  <c r="AB862" i="8"/>
  <c r="R4362" i="24" l="1"/>
  <c r="R4363" i="24" s="1"/>
  <c r="R4364" i="24" s="1"/>
  <c r="R4365" i="24" s="1"/>
  <c r="R4366" i="24" s="1"/>
  <c r="R4367" i="24" s="1"/>
  <c r="R4368" i="24" s="1"/>
  <c r="R4369" i="24" s="1"/>
  <c r="R4370" i="24" s="1"/>
  <c r="R4371" i="24" s="1"/>
  <c r="R4372" i="24" s="1"/>
  <c r="R4373" i="24" s="1"/>
  <c r="R4374" i="24" s="1"/>
  <c r="R4375" i="24" s="1"/>
  <c r="R4376" i="24" s="1"/>
  <c r="R4377" i="24" s="1"/>
  <c r="R4378" i="24" s="1"/>
  <c r="R4379" i="24" s="1"/>
  <c r="R4380" i="24" s="1"/>
  <c r="R4381" i="24" s="1"/>
  <c r="R4382" i="24" s="1"/>
  <c r="R4383" i="24" s="1"/>
  <c r="B861" i="8"/>
  <c r="N861" i="8"/>
  <c r="Q861" i="8"/>
  <c r="R861" i="8"/>
  <c r="AB861" i="8"/>
  <c r="B860" i="8"/>
  <c r="N860" i="8"/>
  <c r="Q860" i="8"/>
  <c r="R860" i="8"/>
  <c r="AB860" i="8"/>
  <c r="B859" i="8"/>
  <c r="N859" i="8"/>
  <c r="Q859" i="8"/>
  <c r="R859" i="8"/>
  <c r="AB859" i="8"/>
  <c r="R4384" i="24" l="1"/>
  <c r="R4385" i="24" s="1"/>
  <c r="R4386" i="24" s="1"/>
  <c r="R4387" i="24" s="1"/>
  <c r="R4388" i="24" s="1"/>
  <c r="R4389" i="24" s="1"/>
  <c r="R4390" i="24" s="1"/>
  <c r="R4391" i="24" s="1"/>
  <c r="R4392" i="24" s="1"/>
  <c r="R4393" i="24" s="1"/>
  <c r="R4394" i="24" s="1"/>
  <c r="R4395" i="24" s="1"/>
  <c r="B838" i="9"/>
  <c r="N838" i="9"/>
  <c r="Q838" i="9"/>
  <c r="R838" i="9"/>
  <c r="AB838" i="9"/>
  <c r="B837" i="9"/>
  <c r="N837" i="9"/>
  <c r="Q837" i="9"/>
  <c r="R837" i="9"/>
  <c r="AB837" i="9"/>
  <c r="B836" i="9"/>
  <c r="N836" i="9"/>
  <c r="Q836" i="9"/>
  <c r="R836" i="9"/>
  <c r="AB836" i="9"/>
  <c r="R4396" i="24" l="1"/>
  <c r="B835" i="9"/>
  <c r="N835" i="9"/>
  <c r="Q835" i="9"/>
  <c r="R835" i="9"/>
  <c r="AB835" i="9"/>
  <c r="R4397" i="24" l="1"/>
  <c r="R4398" i="24" s="1"/>
  <c r="R4399" i="24" s="1"/>
  <c r="R4400" i="24" s="1"/>
  <c r="R4401" i="24" s="1"/>
  <c r="B834" i="9"/>
  <c r="N834" i="9"/>
  <c r="Q834" i="9"/>
  <c r="R834" i="9"/>
  <c r="AB834" i="9"/>
  <c r="B759" i="8"/>
  <c r="N759" i="8"/>
  <c r="Q759" i="8"/>
  <c r="R759" i="8"/>
  <c r="AB759" i="8"/>
  <c r="B760" i="8"/>
  <c r="N760" i="8"/>
  <c r="Q760" i="8"/>
  <c r="R760" i="8"/>
  <c r="AB760" i="8"/>
  <c r="R4402" i="24" l="1"/>
  <c r="R4403" i="24" s="1"/>
  <c r="R4404" i="24" s="1"/>
  <c r="R4405" i="24" s="1"/>
  <c r="R4406" i="24" s="1"/>
  <c r="R4407" i="24" s="1"/>
  <c r="B833" i="9"/>
  <c r="N833" i="9"/>
  <c r="Q833" i="9"/>
  <c r="R833" i="9"/>
  <c r="AB833" i="9"/>
  <c r="B832" i="9"/>
  <c r="N832" i="9"/>
  <c r="Q832" i="9"/>
  <c r="R832" i="9"/>
  <c r="AB832" i="9"/>
  <c r="B858" i="8"/>
  <c r="N858" i="8"/>
  <c r="Q858" i="8"/>
  <c r="R858" i="8"/>
  <c r="AB858" i="8"/>
  <c r="B857" i="8"/>
  <c r="N857" i="8"/>
  <c r="Q857" i="8"/>
  <c r="R857" i="8"/>
  <c r="AB857" i="8"/>
  <c r="B856" i="8"/>
  <c r="N856" i="8"/>
  <c r="Q856" i="8"/>
  <c r="R856" i="8"/>
  <c r="AB856" i="8"/>
  <c r="B855" i="8"/>
  <c r="N855" i="8"/>
  <c r="Q855" i="8"/>
  <c r="R855" i="8"/>
  <c r="AB855" i="8"/>
  <c r="B854" i="8"/>
  <c r="N854" i="8"/>
  <c r="Q854" i="8"/>
  <c r="R854" i="8"/>
  <c r="AB854" i="8"/>
  <c r="B853" i="8"/>
  <c r="N853" i="8"/>
  <c r="Q853" i="8"/>
  <c r="R853" i="8"/>
  <c r="AB853" i="8"/>
  <c r="B852" i="8"/>
  <c r="N852" i="8"/>
  <c r="Q852" i="8"/>
  <c r="R852" i="8"/>
  <c r="AB852" i="8"/>
  <c r="B851" i="8"/>
  <c r="N851" i="8"/>
  <c r="Q851" i="8"/>
  <c r="R851" i="8"/>
  <c r="AB851" i="8"/>
  <c r="B850" i="8"/>
  <c r="N850" i="8"/>
  <c r="Q850" i="8"/>
  <c r="R850" i="8"/>
  <c r="AB850" i="8"/>
  <c r="B849" i="8"/>
  <c r="N849" i="8"/>
  <c r="Q849" i="8"/>
  <c r="R849" i="8"/>
  <c r="AB849" i="8"/>
  <c r="R4408" i="24" l="1"/>
  <c r="R4409" i="24" s="1"/>
  <c r="R4410" i="24" s="1"/>
  <c r="B831" i="9"/>
  <c r="N831" i="9"/>
  <c r="Q831" i="9"/>
  <c r="R831" i="9"/>
  <c r="AB831" i="9"/>
  <c r="B686" i="7"/>
  <c r="B687" i="7"/>
  <c r="B688" i="7"/>
  <c r="B689" i="7"/>
  <c r="B690" i="7"/>
  <c r="B691" i="7"/>
  <c r="B692" i="7"/>
  <c r="B693" i="7"/>
  <c r="B694" i="7"/>
  <c r="B695" i="7"/>
  <c r="B696" i="7"/>
  <c r="B697" i="7"/>
  <c r="B698" i="7"/>
  <c r="B699" i="7"/>
  <c r="B700" i="7"/>
  <c r="B701" i="7"/>
  <c r="B702" i="7"/>
  <c r="B703" i="7"/>
  <c r="B704" i="7"/>
  <c r="B705" i="7"/>
  <c r="B706" i="7"/>
  <c r="B707" i="7"/>
  <c r="B708" i="7"/>
  <c r="B709" i="7"/>
  <c r="B710" i="7"/>
  <c r="B711" i="7"/>
  <c r="B712" i="7"/>
  <c r="B713" i="7"/>
  <c r="B714" i="7"/>
  <c r="B715" i="7"/>
  <c r="B716" i="7"/>
  <c r="B717" i="7"/>
  <c r="B718" i="7"/>
  <c r="B719" i="7"/>
  <c r="M686" i="7"/>
  <c r="M687" i="7"/>
  <c r="M688" i="7"/>
  <c r="M689" i="7"/>
  <c r="M690" i="7"/>
  <c r="M691" i="7"/>
  <c r="M692" i="7"/>
  <c r="M693" i="7"/>
  <c r="M694" i="7"/>
  <c r="M695" i="7"/>
  <c r="M696" i="7"/>
  <c r="M697" i="7"/>
  <c r="M698" i="7"/>
  <c r="M699" i="7"/>
  <c r="M700" i="7"/>
  <c r="M701" i="7"/>
  <c r="M702" i="7"/>
  <c r="M703" i="7"/>
  <c r="M704" i="7"/>
  <c r="M705" i="7"/>
  <c r="M706" i="7"/>
  <c r="M707" i="7"/>
  <c r="M708" i="7"/>
  <c r="M709" i="7"/>
  <c r="M710" i="7"/>
  <c r="M711" i="7"/>
  <c r="M712" i="7"/>
  <c r="M713" i="7"/>
  <c r="M714" i="7"/>
  <c r="M715" i="7"/>
  <c r="M716" i="7"/>
  <c r="M717" i="7"/>
  <c r="M718" i="7"/>
  <c r="M719" i="7"/>
  <c r="P686" i="7"/>
  <c r="X686" i="7" s="1"/>
  <c r="P687" i="7"/>
  <c r="X687" i="7" s="1"/>
  <c r="P688" i="7"/>
  <c r="X688" i="7" s="1"/>
  <c r="P689" i="7"/>
  <c r="X689" i="7" s="1"/>
  <c r="P690" i="7"/>
  <c r="X690" i="7" s="1"/>
  <c r="P691" i="7"/>
  <c r="X691" i="7" s="1"/>
  <c r="P692" i="7"/>
  <c r="X692" i="7" s="1"/>
  <c r="P693" i="7"/>
  <c r="X693" i="7" s="1"/>
  <c r="P694" i="7"/>
  <c r="X694" i="7" s="1"/>
  <c r="P695" i="7"/>
  <c r="X695" i="7" s="1"/>
  <c r="P696" i="7"/>
  <c r="X696" i="7" s="1"/>
  <c r="P697" i="7"/>
  <c r="X697" i="7" s="1"/>
  <c r="P698" i="7"/>
  <c r="X698" i="7" s="1"/>
  <c r="P699" i="7"/>
  <c r="X699" i="7" s="1"/>
  <c r="P700" i="7"/>
  <c r="X700" i="7" s="1"/>
  <c r="P701" i="7"/>
  <c r="X701" i="7" s="1"/>
  <c r="P702" i="7"/>
  <c r="X702" i="7" s="1"/>
  <c r="P703" i="7"/>
  <c r="X703" i="7" s="1"/>
  <c r="P704" i="7"/>
  <c r="X704" i="7" s="1"/>
  <c r="P705" i="7"/>
  <c r="X705" i="7" s="1"/>
  <c r="P706" i="7"/>
  <c r="X706" i="7" s="1"/>
  <c r="P707" i="7"/>
  <c r="X707" i="7" s="1"/>
  <c r="P708" i="7"/>
  <c r="X708" i="7" s="1"/>
  <c r="P709" i="7"/>
  <c r="X709" i="7" s="1"/>
  <c r="P710" i="7"/>
  <c r="X710" i="7" s="1"/>
  <c r="P711" i="7"/>
  <c r="X711" i="7" s="1"/>
  <c r="P712" i="7"/>
  <c r="X712" i="7" s="1"/>
  <c r="P713" i="7"/>
  <c r="X713" i="7" s="1"/>
  <c r="P714" i="7"/>
  <c r="X714" i="7" s="1"/>
  <c r="P715" i="7"/>
  <c r="X715" i="7" s="1"/>
  <c r="P716" i="7"/>
  <c r="X716" i="7" s="1"/>
  <c r="P717" i="7"/>
  <c r="X717" i="7" s="1"/>
  <c r="P718" i="7"/>
  <c r="X718" i="7" s="1"/>
  <c r="P719" i="7"/>
  <c r="X719" i="7" s="1"/>
  <c r="Q686" i="7"/>
  <c r="Q687" i="7"/>
  <c r="Q688" i="7"/>
  <c r="Q689" i="7"/>
  <c r="Q690" i="7"/>
  <c r="Q691" i="7"/>
  <c r="Q692" i="7"/>
  <c r="Q693" i="7"/>
  <c r="Q694" i="7"/>
  <c r="Q695" i="7"/>
  <c r="Q696" i="7"/>
  <c r="Q697" i="7"/>
  <c r="Q698" i="7"/>
  <c r="Q699" i="7"/>
  <c r="Q700" i="7"/>
  <c r="Q701" i="7"/>
  <c r="Q702" i="7"/>
  <c r="Q703" i="7"/>
  <c r="Q704" i="7"/>
  <c r="Q705" i="7"/>
  <c r="Q706" i="7"/>
  <c r="Q707" i="7"/>
  <c r="Q708" i="7"/>
  <c r="Q709" i="7"/>
  <c r="Q710" i="7"/>
  <c r="Q711" i="7"/>
  <c r="Q712" i="7"/>
  <c r="Q713" i="7"/>
  <c r="Q714" i="7"/>
  <c r="Q715" i="7"/>
  <c r="Q716" i="7"/>
  <c r="Q717" i="7"/>
  <c r="Q718" i="7"/>
  <c r="Q719" i="7"/>
  <c r="R4411" i="24" l="1"/>
  <c r="R4412" i="24" s="1"/>
  <c r="R4413" i="24" s="1"/>
  <c r="R4414" i="24" s="1"/>
  <c r="R4415" i="24" s="1"/>
  <c r="R4416" i="24" s="1"/>
  <c r="R4417" i="24" s="1"/>
  <c r="R4418" i="24" l="1"/>
  <c r="R4419" i="24" s="1"/>
  <c r="R4420" i="24" s="1"/>
  <c r="R4421" i="24" s="1"/>
  <c r="R4422" i="24" s="1"/>
  <c r="R4423" i="24" s="1"/>
  <c r="R4424" i="24" s="1"/>
  <c r="R4425" i="24" s="1"/>
  <c r="R4426" i="24" s="1"/>
  <c r="R4427" i="24" s="1"/>
  <c r="R4428" i="24" s="1"/>
  <c r="R4429" i="24" s="1"/>
  <c r="R4430" i="24" s="1"/>
  <c r="R4431" i="24" s="1"/>
  <c r="R4432" i="24" s="1"/>
  <c r="B176" i="5"/>
  <c r="M176" i="5"/>
  <c r="AA176" i="5"/>
  <c r="B175" i="5"/>
  <c r="M175" i="5"/>
  <c r="AA175" i="5"/>
  <c r="B376" i="3"/>
  <c r="M376" i="3"/>
  <c r="P376" i="3"/>
  <c r="Q376" i="3"/>
  <c r="AA376" i="3"/>
  <c r="R4433" i="24" l="1"/>
  <c r="B830" i="9"/>
  <c r="N830" i="9"/>
  <c r="Q830" i="9"/>
  <c r="R830" i="9"/>
  <c r="AB830" i="9"/>
  <c r="B375" i="3"/>
  <c r="M375" i="3"/>
  <c r="P375" i="3"/>
  <c r="Q375" i="3"/>
  <c r="AA375" i="3"/>
  <c r="B370" i="3"/>
  <c r="M370" i="3"/>
  <c r="P370" i="3"/>
  <c r="Q370" i="3"/>
  <c r="AA370" i="3"/>
  <c r="B829" i="9"/>
  <c r="N829" i="9"/>
  <c r="Q829" i="9"/>
  <c r="R829" i="9"/>
  <c r="AB829" i="9"/>
  <c r="B371" i="3"/>
  <c r="M371" i="3"/>
  <c r="P371" i="3"/>
  <c r="Q371" i="3"/>
  <c r="AA371" i="3"/>
  <c r="R4434" i="24" l="1"/>
  <c r="R4435" i="24" s="1"/>
  <c r="R4436" i="24" s="1"/>
  <c r="B828" i="9"/>
  <c r="N828" i="9"/>
  <c r="Q828" i="9"/>
  <c r="R828" i="9"/>
  <c r="AB828" i="9"/>
  <c r="B827" i="9"/>
  <c r="N827" i="9"/>
  <c r="Q827" i="9"/>
  <c r="R827" i="9"/>
  <c r="AB827" i="9"/>
  <c r="R4437" i="24" l="1"/>
  <c r="R4438" i="24" s="1"/>
  <c r="R4439" i="24" s="1"/>
  <c r="R4440" i="24" s="1"/>
  <c r="R4441" i="24" s="1"/>
  <c r="R4442" i="24" s="1"/>
  <c r="R4443" i="24" s="1"/>
  <c r="B369" i="3"/>
  <c r="M369" i="3"/>
  <c r="P369" i="3"/>
  <c r="Q369" i="3"/>
  <c r="AA369" i="3"/>
  <c r="R4444" i="24" l="1"/>
  <c r="R4445" i="24" s="1"/>
  <c r="R4446" i="24" s="1"/>
  <c r="R4447" i="24" s="1"/>
  <c r="R4448" i="24" s="1"/>
  <c r="R4449" i="24" s="1"/>
  <c r="B367" i="3"/>
  <c r="M367" i="3"/>
  <c r="P367" i="3"/>
  <c r="Q367" i="3"/>
  <c r="AA367" i="3"/>
  <c r="B848" i="8"/>
  <c r="N848" i="8"/>
  <c r="Q848" i="8"/>
  <c r="R848" i="8"/>
  <c r="AB848" i="8"/>
  <c r="B762" i="8"/>
  <c r="N762" i="8"/>
  <c r="Q762" i="8"/>
  <c r="R762" i="8"/>
  <c r="AB762" i="8"/>
  <c r="B763" i="8"/>
  <c r="N763" i="8"/>
  <c r="Q763" i="8"/>
  <c r="R763" i="8"/>
  <c r="AB763" i="8"/>
  <c r="R4450" i="24" l="1"/>
  <c r="R4451" i="24" s="1"/>
  <c r="R4452" i="24" s="1"/>
  <c r="R4453" i="24" s="1"/>
  <c r="R4454" i="24" s="1"/>
  <c r="R4455" i="24" s="1"/>
  <c r="R4456" i="24" s="1"/>
  <c r="R4457" i="24" s="1"/>
  <c r="B368" i="3"/>
  <c r="M368" i="3"/>
  <c r="P368" i="3"/>
  <c r="Q368" i="3"/>
  <c r="AA368" i="3"/>
  <c r="R4458" i="24" l="1"/>
  <c r="B847" i="8"/>
  <c r="N847" i="8"/>
  <c r="Q847" i="8"/>
  <c r="R847" i="8"/>
  <c r="AB847" i="8"/>
  <c r="B846" i="8"/>
  <c r="N846" i="8"/>
  <c r="Q846" i="8"/>
  <c r="R846" i="8"/>
  <c r="AB846" i="8"/>
  <c r="B826" i="9"/>
  <c r="N826" i="9"/>
  <c r="Q826" i="9"/>
  <c r="R826" i="9"/>
  <c r="AB826" i="9"/>
  <c r="B845" i="8"/>
  <c r="N845" i="8"/>
  <c r="Q845" i="8"/>
  <c r="R845" i="8"/>
  <c r="AB845" i="8"/>
  <c r="AA439" i="23"/>
  <c r="Q439" i="23"/>
  <c r="P439" i="23"/>
  <c r="M439" i="23"/>
  <c r="B439" i="23"/>
  <c r="A439" i="23"/>
  <c r="B825" i="9"/>
  <c r="N825" i="9"/>
  <c r="Q825" i="9"/>
  <c r="R825" i="9"/>
  <c r="AB825" i="9"/>
  <c r="B824" i="9"/>
  <c r="N824" i="9"/>
  <c r="Q824" i="9"/>
  <c r="R824" i="9"/>
  <c r="AB824" i="9"/>
  <c r="B308" i="12"/>
  <c r="B309" i="12"/>
  <c r="B310" i="12"/>
  <c r="B311" i="12"/>
  <c r="B312" i="12"/>
  <c r="B313" i="12"/>
  <c r="B314" i="12"/>
  <c r="B315" i="12"/>
  <c r="M308" i="12"/>
  <c r="M309" i="12"/>
  <c r="M310" i="12"/>
  <c r="M311" i="12"/>
  <c r="M312" i="12"/>
  <c r="M313" i="12"/>
  <c r="M314" i="12"/>
  <c r="M315" i="12"/>
  <c r="P308" i="12"/>
  <c r="P309" i="12"/>
  <c r="P310" i="12"/>
  <c r="P311" i="12"/>
  <c r="P312" i="12"/>
  <c r="P313" i="12"/>
  <c r="P314" i="12"/>
  <c r="P315" i="12"/>
  <c r="Q308" i="12"/>
  <c r="Q309" i="12"/>
  <c r="Q310" i="12"/>
  <c r="Q311" i="12"/>
  <c r="Q312" i="12"/>
  <c r="Q313" i="12"/>
  <c r="X308" i="12"/>
  <c r="X309" i="12"/>
  <c r="X310" i="12"/>
  <c r="X311" i="12"/>
  <c r="X312" i="12"/>
  <c r="X313" i="12"/>
  <c r="X314" i="12"/>
  <c r="X315" i="12"/>
  <c r="AA308" i="12"/>
  <c r="AA309" i="12"/>
  <c r="AA310" i="12"/>
  <c r="AA311" i="12"/>
  <c r="AA312" i="12"/>
  <c r="AA313" i="12"/>
  <c r="AA314" i="12"/>
  <c r="AA315" i="12"/>
  <c r="AB823" i="9"/>
  <c r="R823" i="9"/>
  <c r="Q823" i="9"/>
  <c r="N823" i="9"/>
  <c r="B823" i="9"/>
  <c r="R4459" i="24" l="1"/>
  <c r="B844" i="8"/>
  <c r="N844" i="8"/>
  <c r="Q844" i="8"/>
  <c r="R844" i="8"/>
  <c r="AB844" i="8"/>
  <c r="B843" i="8"/>
  <c r="N843" i="8"/>
  <c r="Q843" i="8"/>
  <c r="R843" i="8"/>
  <c r="AB843" i="8"/>
  <c r="B842" i="8"/>
  <c r="N842" i="8"/>
  <c r="Q842" i="8"/>
  <c r="R842" i="8"/>
  <c r="AB842" i="8"/>
  <c r="B841" i="8"/>
  <c r="N841" i="8"/>
  <c r="Q841" i="8"/>
  <c r="R841" i="8"/>
  <c r="AB841" i="8"/>
  <c r="B840" i="8"/>
  <c r="N840" i="8"/>
  <c r="Q840" i="8"/>
  <c r="R840" i="8"/>
  <c r="AB840" i="8"/>
  <c r="B839" i="8"/>
  <c r="N839" i="8"/>
  <c r="Q839" i="8"/>
  <c r="R839" i="8"/>
  <c r="AB839" i="8"/>
  <c r="B838" i="8"/>
  <c r="N838" i="8"/>
  <c r="Q838" i="8"/>
  <c r="R838" i="8"/>
  <c r="AB838" i="8"/>
  <c r="B837" i="8"/>
  <c r="N837" i="8"/>
  <c r="Q837" i="8"/>
  <c r="R837" i="8"/>
  <c r="AB837" i="8"/>
  <c r="B836" i="8"/>
  <c r="N836" i="8"/>
  <c r="Q836" i="8"/>
  <c r="R836" i="8"/>
  <c r="AB836" i="8"/>
  <c r="B835" i="8"/>
  <c r="N835" i="8"/>
  <c r="Q835" i="8"/>
  <c r="R835" i="8"/>
  <c r="AB835" i="8"/>
  <c r="B825" i="8"/>
  <c r="B826" i="8"/>
  <c r="B827" i="8"/>
  <c r="B828" i="8"/>
  <c r="B829" i="8"/>
  <c r="B830" i="8"/>
  <c r="B831" i="8"/>
  <c r="B832" i="8"/>
  <c r="B833" i="8"/>
  <c r="B834" i="8"/>
  <c r="N825" i="8"/>
  <c r="N826" i="8"/>
  <c r="N827" i="8"/>
  <c r="N828" i="8"/>
  <c r="N829" i="8"/>
  <c r="N830" i="8"/>
  <c r="N831" i="8"/>
  <c r="N832" i="8"/>
  <c r="N833" i="8"/>
  <c r="N834" i="8"/>
  <c r="Q825" i="8"/>
  <c r="Q826" i="8"/>
  <c r="Q827" i="8"/>
  <c r="Q828" i="8"/>
  <c r="Q829" i="8"/>
  <c r="Q830" i="8"/>
  <c r="Q831" i="8"/>
  <c r="Q832" i="8"/>
  <c r="Q833" i="8"/>
  <c r="Q834" i="8"/>
  <c r="R825" i="8"/>
  <c r="R826" i="8"/>
  <c r="R827" i="8"/>
  <c r="R828" i="8"/>
  <c r="R829" i="8"/>
  <c r="R830" i="8"/>
  <c r="R831" i="8"/>
  <c r="R832" i="8"/>
  <c r="R833" i="8"/>
  <c r="R834" i="8"/>
  <c r="AB825" i="8"/>
  <c r="AB826" i="8"/>
  <c r="AB827" i="8"/>
  <c r="AB828" i="8"/>
  <c r="AB829" i="8"/>
  <c r="AB830" i="8"/>
  <c r="AB831" i="8"/>
  <c r="AB832" i="8"/>
  <c r="AB833" i="8"/>
  <c r="AB834" i="8"/>
  <c r="B824" i="8"/>
  <c r="N824" i="8"/>
  <c r="Q824" i="8"/>
  <c r="R824" i="8"/>
  <c r="AB824" i="8"/>
  <c r="R4460" i="24" l="1"/>
  <c r="R4461" i="24" s="1"/>
  <c r="R4462" i="24" s="1"/>
  <c r="R4463" i="24" s="1"/>
  <c r="X208" i="20"/>
  <c r="R4464" i="24" l="1"/>
  <c r="R4465" i="24" s="1"/>
  <c r="R4466" i="24" s="1"/>
  <c r="R4467" i="24" s="1"/>
  <c r="R4468" i="24" s="1"/>
  <c r="R4469" i="24" s="1"/>
  <c r="R4470" i="24" s="1"/>
  <c r="R4471" i="24" s="1"/>
  <c r="R4472" i="24" s="1"/>
  <c r="R4473" i="24" s="1"/>
  <c r="R4474" i="24" s="1"/>
  <c r="R4475" i="24" s="1"/>
  <c r="R4476" i="24" s="1"/>
  <c r="R4477" i="24" s="1"/>
  <c r="R4478" i="24" s="1"/>
  <c r="R4479" i="24" s="1"/>
  <c r="R4480" i="24" s="1"/>
  <c r="R4481" i="24" s="1"/>
  <c r="B822" i="9"/>
  <c r="N822" i="9"/>
  <c r="Q822" i="9"/>
  <c r="R822" i="9"/>
  <c r="AB822" i="9"/>
  <c r="R4482" i="24" l="1"/>
  <c r="B821" i="9"/>
  <c r="N821" i="9"/>
  <c r="Q821" i="9"/>
  <c r="R821" i="9"/>
  <c r="AB821" i="9"/>
  <c r="AA69" i="22"/>
  <c r="Q69" i="22"/>
  <c r="P69" i="22"/>
  <c r="M69" i="22"/>
  <c r="B69" i="22"/>
  <c r="R4483" i="24" l="1"/>
  <c r="R4484" i="24" s="1"/>
  <c r="B820" i="9"/>
  <c r="N820" i="9"/>
  <c r="Q820" i="9"/>
  <c r="R820" i="9"/>
  <c r="AB820" i="9"/>
  <c r="B819" i="9"/>
  <c r="N819" i="9"/>
  <c r="Q819" i="9"/>
  <c r="R819" i="9"/>
  <c r="AB819" i="9"/>
  <c r="R4485" i="24" l="1"/>
  <c r="R4486" i="24" s="1"/>
  <c r="R4487" i="24" s="1"/>
  <c r="R4488" i="24" s="1"/>
  <c r="R4489" i="24" s="1"/>
  <c r="R4490" i="24" s="1"/>
  <c r="R4491" i="24" s="1"/>
  <c r="R4492" i="24" s="1"/>
  <c r="R4493" i="24" s="1"/>
  <c r="R4494" i="24" s="1"/>
  <c r="B171" i="5"/>
  <c r="B172" i="5"/>
  <c r="B173" i="5"/>
  <c r="B174" i="5"/>
  <c r="M171" i="5"/>
  <c r="M172" i="5"/>
  <c r="M173" i="5"/>
  <c r="M174" i="5"/>
  <c r="AA171" i="5"/>
  <c r="AA172" i="5"/>
  <c r="AA173" i="5"/>
  <c r="AA174" i="5"/>
  <c r="R4495" i="24" l="1"/>
  <c r="R4496" i="24" s="1"/>
  <c r="R4497" i="24" s="1"/>
  <c r="R4498" i="24" s="1"/>
  <c r="R4499" i="24" s="1"/>
  <c r="R4500" i="24" s="1"/>
  <c r="B823" i="8"/>
  <c r="N823" i="8"/>
  <c r="Q823" i="8"/>
  <c r="R823" i="8"/>
  <c r="AB823" i="8"/>
  <c r="R4501" i="24" l="1"/>
  <c r="B822" i="8"/>
  <c r="N822" i="8"/>
  <c r="Q822" i="8"/>
  <c r="R822" i="8"/>
  <c r="AB822" i="8"/>
  <c r="B821" i="8"/>
  <c r="N821" i="8"/>
  <c r="Q821" i="8"/>
  <c r="R821" i="8"/>
  <c r="AB821" i="8"/>
  <c r="B820" i="8"/>
  <c r="N820" i="8"/>
  <c r="Q820" i="8"/>
  <c r="R820" i="8"/>
  <c r="AB820" i="8"/>
  <c r="B819" i="8"/>
  <c r="N819" i="8"/>
  <c r="Q819" i="8"/>
  <c r="R819" i="8"/>
  <c r="AB819" i="8"/>
  <c r="B818" i="8"/>
  <c r="N818" i="8"/>
  <c r="Q818" i="8"/>
  <c r="R818" i="8"/>
  <c r="AB818" i="8"/>
  <c r="B817" i="8"/>
  <c r="N817" i="8"/>
  <c r="Q817" i="8"/>
  <c r="R817" i="8"/>
  <c r="AB817" i="8"/>
  <c r="B818" i="9"/>
  <c r="N818" i="9"/>
  <c r="Q818" i="9"/>
  <c r="R818" i="9"/>
  <c r="AB818" i="9"/>
  <c r="R4502" i="24" l="1"/>
  <c r="R4503" i="24" s="1"/>
  <c r="B817" i="9"/>
  <c r="N817" i="9"/>
  <c r="Q817" i="9"/>
  <c r="R817" i="9"/>
  <c r="AB817" i="9"/>
  <c r="B816" i="9"/>
  <c r="N816" i="9"/>
  <c r="Q816" i="9"/>
  <c r="R816" i="9"/>
  <c r="AB816" i="9"/>
  <c r="R4504" i="24" l="1"/>
  <c r="R4505" i="24" s="1"/>
  <c r="R4506" i="24" s="1"/>
  <c r="R4507" i="24" s="1"/>
  <c r="R4508" i="24" l="1"/>
  <c r="R4509" i="24" s="1"/>
  <c r="R4510" i="24" s="1"/>
  <c r="R4511" i="24" s="1"/>
  <c r="R4512" i="24" s="1"/>
  <c r="R4513" i="24" s="1"/>
  <c r="R4514" i="24" s="1"/>
  <c r="R4515" i="24" s="1"/>
  <c r="R4516" i="24" s="1"/>
  <c r="R4517" i="24" s="1"/>
  <c r="AB815" i="9"/>
  <c r="R815" i="9"/>
  <c r="Q815" i="9"/>
  <c r="N815" i="9"/>
  <c r="B815" i="9"/>
  <c r="AB814" i="9"/>
  <c r="R814" i="9"/>
  <c r="Q814" i="9"/>
  <c r="N814" i="9"/>
  <c r="B814" i="9"/>
  <c r="AB813" i="9"/>
  <c r="R813" i="9"/>
  <c r="Q813" i="9"/>
  <c r="N813" i="9"/>
  <c r="B813" i="9"/>
  <c r="AB812" i="9"/>
  <c r="R812" i="9"/>
  <c r="Q812" i="9"/>
  <c r="N812" i="9"/>
  <c r="B812" i="9"/>
  <c r="AB811" i="9"/>
  <c r="R811" i="9"/>
  <c r="Q811" i="9"/>
  <c r="N811" i="9"/>
  <c r="B811" i="9"/>
  <c r="AB810" i="9"/>
  <c r="R810" i="9"/>
  <c r="Q810" i="9"/>
  <c r="N810" i="9"/>
  <c r="B810" i="9"/>
  <c r="AB809" i="9"/>
  <c r="R809" i="9"/>
  <c r="Q809" i="9"/>
  <c r="N809" i="9"/>
  <c r="B809" i="9"/>
  <c r="AB816" i="8"/>
  <c r="R816" i="8"/>
  <c r="Q816" i="8"/>
  <c r="N816" i="8"/>
  <c r="B816" i="8"/>
  <c r="AA2" i="10"/>
  <c r="AA3" i="10"/>
  <c r="AA4" i="10"/>
  <c r="AA5" i="10"/>
  <c r="AA6" i="10"/>
  <c r="AA7" i="10"/>
  <c r="AA8" i="10"/>
  <c r="AA9" i="10"/>
  <c r="AA10" i="10"/>
  <c r="AA11" i="10"/>
  <c r="AA12" i="10"/>
  <c r="AA13" i="10"/>
  <c r="AA14" i="10"/>
  <c r="AA15" i="10"/>
  <c r="AA16" i="10"/>
  <c r="AA17" i="10"/>
  <c r="AA18" i="10"/>
  <c r="AA19" i="10"/>
  <c r="AA20" i="10"/>
  <c r="AA21" i="10"/>
  <c r="AA22" i="10"/>
  <c r="AA23" i="10"/>
  <c r="AA24" i="10"/>
  <c r="AA25" i="10"/>
  <c r="AA26" i="10"/>
  <c r="AA27" i="10"/>
  <c r="AA28" i="10"/>
  <c r="AA29" i="10"/>
  <c r="AA30" i="10"/>
  <c r="AA31" i="10"/>
  <c r="AA32" i="10"/>
  <c r="AA33" i="10"/>
  <c r="AA34" i="10"/>
  <c r="AA35" i="10"/>
  <c r="AA36" i="10"/>
  <c r="AA37" i="10"/>
  <c r="AA38" i="10"/>
  <c r="AA39" i="10"/>
  <c r="AA40" i="10"/>
  <c r="AA41" i="10"/>
  <c r="AA42" i="10"/>
  <c r="AA43" i="10"/>
  <c r="AA44" i="10"/>
  <c r="AA45" i="10"/>
  <c r="AA46" i="10"/>
  <c r="AA47" i="10"/>
  <c r="AA48" i="10"/>
  <c r="AA49" i="10"/>
  <c r="AA50" i="10"/>
  <c r="AA51" i="10"/>
  <c r="AA52" i="10"/>
  <c r="AA53" i="10"/>
  <c r="AA54" i="10"/>
  <c r="AA55" i="10"/>
  <c r="AA56" i="10"/>
  <c r="AA57" i="10"/>
  <c r="AA58" i="10"/>
  <c r="AA59" i="10"/>
  <c r="AA60" i="10"/>
  <c r="AA61" i="10"/>
  <c r="AA62" i="10"/>
  <c r="AA63" i="10"/>
  <c r="AA64" i="10"/>
  <c r="AA65" i="10"/>
  <c r="AA66" i="10"/>
  <c r="AA67" i="10"/>
  <c r="AA68" i="10"/>
  <c r="AA69" i="10"/>
  <c r="AA70" i="10"/>
  <c r="AA71" i="10"/>
  <c r="AA72" i="10"/>
  <c r="AA73" i="10"/>
  <c r="AA74" i="10"/>
  <c r="AA75" i="10"/>
  <c r="AA76" i="10"/>
  <c r="AA77" i="10"/>
  <c r="AA78" i="10"/>
  <c r="AA79" i="10"/>
  <c r="AA80" i="10"/>
  <c r="AA81" i="10"/>
  <c r="AA82" i="10"/>
  <c r="AA83" i="10"/>
  <c r="AA84" i="10"/>
  <c r="AA85" i="10"/>
  <c r="AA86" i="10"/>
  <c r="AA87" i="10"/>
  <c r="AA88" i="10"/>
  <c r="AA89" i="10"/>
  <c r="AA90" i="10"/>
  <c r="AA91" i="10"/>
  <c r="AA92" i="10"/>
  <c r="AA93" i="10"/>
  <c r="AA94" i="10"/>
  <c r="AA95" i="10"/>
  <c r="AA96" i="10"/>
  <c r="AA97" i="10"/>
  <c r="AA98" i="10"/>
  <c r="AA99" i="10"/>
  <c r="AA100" i="10"/>
  <c r="AA101" i="10"/>
  <c r="AA102" i="10"/>
  <c r="AA103" i="10"/>
  <c r="AA104" i="10"/>
  <c r="AA105" i="10"/>
  <c r="AA106" i="10"/>
  <c r="AA107" i="10"/>
  <c r="AA108" i="10"/>
  <c r="AA109" i="10"/>
  <c r="AA110" i="10"/>
  <c r="AA111" i="10"/>
  <c r="AA112" i="10"/>
  <c r="AA113" i="10"/>
  <c r="AA114" i="10"/>
  <c r="AA115" i="10"/>
  <c r="AA116" i="10"/>
  <c r="AA117" i="10"/>
  <c r="AA118" i="10"/>
  <c r="AA119" i="10"/>
  <c r="AA120" i="10"/>
  <c r="AA121" i="10"/>
  <c r="AA122" i="10"/>
  <c r="AA123" i="10"/>
  <c r="AA124" i="10"/>
  <c r="AA125" i="10"/>
  <c r="AA126" i="10"/>
  <c r="AA127" i="10"/>
  <c r="AA128" i="10"/>
  <c r="AA129" i="10"/>
  <c r="AA130" i="10"/>
  <c r="AA131" i="10"/>
  <c r="AA132" i="10"/>
  <c r="AA133" i="10"/>
  <c r="AA134" i="10"/>
  <c r="AA135" i="10"/>
  <c r="AA136" i="10"/>
  <c r="AA137" i="10"/>
  <c r="AA138" i="10"/>
  <c r="AA139" i="10"/>
  <c r="AA140" i="10"/>
  <c r="AA141" i="10"/>
  <c r="AA142" i="10"/>
  <c r="AA143" i="10"/>
  <c r="AA144" i="10"/>
  <c r="AA145" i="10"/>
  <c r="AA146" i="10"/>
  <c r="AA147" i="10"/>
  <c r="AA148" i="10"/>
  <c r="AA149" i="10"/>
  <c r="AA150" i="10"/>
  <c r="AA151" i="10"/>
  <c r="AA152" i="10"/>
  <c r="AA153" i="10"/>
  <c r="AA154" i="10"/>
  <c r="AA155" i="10"/>
  <c r="AA156" i="10"/>
  <c r="AA157" i="10"/>
  <c r="AA158" i="10"/>
  <c r="AA159" i="10"/>
  <c r="AA160" i="10"/>
  <c r="AA161" i="10"/>
  <c r="AA162" i="10"/>
  <c r="AA163" i="10"/>
  <c r="AA164" i="10"/>
  <c r="AA165" i="10"/>
  <c r="AA166" i="10"/>
  <c r="AA167" i="10"/>
  <c r="AA168" i="10"/>
  <c r="AA169" i="10"/>
  <c r="AA170" i="10"/>
  <c r="AA171" i="10"/>
  <c r="AA172" i="10"/>
  <c r="AA173" i="10"/>
  <c r="AA174" i="10"/>
  <c r="AA175" i="10"/>
  <c r="AA176" i="10"/>
  <c r="AA177" i="10"/>
  <c r="AA178" i="10"/>
  <c r="AA179" i="10"/>
  <c r="AA180" i="10"/>
  <c r="AA181" i="10"/>
  <c r="AA182" i="10"/>
  <c r="AA183" i="10"/>
  <c r="AA184" i="10"/>
  <c r="AA185" i="10"/>
  <c r="AA186" i="10"/>
  <c r="AA187" i="10"/>
  <c r="AA188" i="10"/>
  <c r="AA189" i="10"/>
  <c r="AA190" i="10"/>
  <c r="AA191" i="10"/>
  <c r="AA192" i="10"/>
  <c r="AA193" i="10"/>
  <c r="AA194" i="10"/>
  <c r="AA195" i="10"/>
  <c r="AA196" i="10"/>
  <c r="AA197" i="10"/>
  <c r="AA198" i="10"/>
  <c r="AA199" i="10"/>
  <c r="AA200" i="10"/>
  <c r="AA201" i="10"/>
  <c r="AA202" i="10"/>
  <c r="AA203" i="10"/>
  <c r="AA204" i="10"/>
  <c r="AA205" i="10"/>
  <c r="AA206" i="10"/>
  <c r="AA207" i="10"/>
  <c r="AA208" i="10"/>
  <c r="AA209" i="10"/>
  <c r="AA210" i="10"/>
  <c r="AA211" i="10"/>
  <c r="AA212" i="10"/>
  <c r="AA213" i="10"/>
  <c r="AA214" i="10"/>
  <c r="AA215" i="10"/>
  <c r="AA216" i="10"/>
  <c r="AA217" i="10"/>
  <c r="AA218" i="10"/>
  <c r="AA219" i="10"/>
  <c r="AA220" i="10"/>
  <c r="AA221" i="10"/>
  <c r="AA222" i="10"/>
  <c r="AA223" i="10"/>
  <c r="AA224" i="10"/>
  <c r="AA225" i="10"/>
  <c r="AA226" i="10"/>
  <c r="AA227" i="10"/>
  <c r="AA228" i="10"/>
  <c r="AA229" i="10"/>
  <c r="AA230" i="10"/>
  <c r="AA231" i="10"/>
  <c r="AA232" i="10"/>
  <c r="AA233" i="10"/>
  <c r="AA234" i="10"/>
  <c r="AA235" i="10"/>
  <c r="AA236" i="10"/>
  <c r="AA237" i="10"/>
  <c r="AA238" i="10"/>
  <c r="AA239" i="10"/>
  <c r="AA240" i="10"/>
  <c r="AA241" i="10"/>
  <c r="AA242" i="10"/>
  <c r="AA243" i="10"/>
  <c r="AA244" i="10"/>
  <c r="AA245" i="10"/>
  <c r="AA246" i="10"/>
  <c r="AA247" i="10"/>
  <c r="AA248" i="10"/>
  <c r="AA249" i="10"/>
  <c r="AA250" i="10"/>
  <c r="AA251" i="10"/>
  <c r="AA252" i="10"/>
  <c r="AA253" i="10"/>
  <c r="AA254" i="10"/>
  <c r="AA255" i="10"/>
  <c r="AA256" i="10"/>
  <c r="AA257" i="10"/>
  <c r="AA258" i="10"/>
  <c r="AA259" i="10"/>
  <c r="AA260" i="10"/>
  <c r="AA261" i="10"/>
  <c r="AA262" i="10"/>
  <c r="AA263" i="10"/>
  <c r="AA264" i="10"/>
  <c r="AA265" i="10"/>
  <c r="AA266" i="10"/>
  <c r="AA267" i="10"/>
  <c r="AA268" i="10"/>
  <c r="AA269" i="10"/>
  <c r="AA270" i="10"/>
  <c r="AA271" i="10"/>
  <c r="AA272" i="10"/>
  <c r="AA273" i="10"/>
  <c r="AA274" i="10"/>
  <c r="AA275" i="10"/>
  <c r="AA276" i="10"/>
  <c r="AA277" i="10"/>
  <c r="AA278" i="10"/>
  <c r="AA279" i="10"/>
  <c r="AA280" i="10"/>
  <c r="AA281" i="10"/>
  <c r="AA282" i="10"/>
  <c r="AA283" i="10"/>
  <c r="AA284" i="10"/>
  <c r="AA285" i="10"/>
  <c r="AA286" i="10"/>
  <c r="AA287" i="10"/>
  <c r="AA288" i="10"/>
  <c r="AA289" i="10"/>
  <c r="AA290" i="10"/>
  <c r="AA291" i="10"/>
  <c r="AA292" i="10"/>
  <c r="AA293" i="10"/>
  <c r="AA294" i="10"/>
  <c r="AA295" i="10"/>
  <c r="AA296" i="10"/>
  <c r="AA297" i="10"/>
  <c r="AA298" i="10"/>
  <c r="AA299" i="10"/>
  <c r="AA300" i="10"/>
  <c r="AA301" i="10"/>
  <c r="AA302" i="10"/>
  <c r="AA303" i="10"/>
  <c r="AA304" i="10"/>
  <c r="AA305" i="10"/>
  <c r="AA306" i="10"/>
  <c r="AA307" i="10"/>
  <c r="AA308" i="10"/>
  <c r="AA309" i="10"/>
  <c r="AA310" i="10"/>
  <c r="AA311" i="10"/>
  <c r="AA312" i="10"/>
  <c r="AA313" i="10"/>
  <c r="AA314" i="10"/>
  <c r="AA315" i="10"/>
  <c r="AA316" i="10"/>
  <c r="AA317" i="10"/>
  <c r="AA318" i="10"/>
  <c r="AA319" i="10"/>
  <c r="AA320" i="10"/>
  <c r="AA321" i="10"/>
  <c r="AA322" i="10"/>
  <c r="AA323" i="10"/>
  <c r="AA324" i="10"/>
  <c r="AA325" i="10"/>
  <c r="AA326" i="10"/>
  <c r="AA327" i="10"/>
  <c r="AA328" i="10"/>
  <c r="AA329" i="10"/>
  <c r="AA330" i="10"/>
  <c r="AA331" i="10"/>
  <c r="AA332" i="10"/>
  <c r="AA333" i="10"/>
  <c r="AA334" i="10"/>
  <c r="AA335" i="10"/>
  <c r="AA336" i="10"/>
  <c r="AA337" i="10"/>
  <c r="AA338" i="10"/>
  <c r="AA339" i="10"/>
  <c r="AA340" i="10"/>
  <c r="AA341" i="10"/>
  <c r="AA342" i="10"/>
  <c r="AA343" i="10"/>
  <c r="AA344" i="10"/>
  <c r="AA345" i="10"/>
  <c r="AA346" i="10"/>
  <c r="AA347" i="10"/>
  <c r="AA348" i="10"/>
  <c r="AA349" i="10"/>
  <c r="AA350" i="10"/>
  <c r="AA351" i="10"/>
  <c r="AA352" i="10"/>
  <c r="AA353" i="10"/>
  <c r="AA354" i="10"/>
  <c r="AA355" i="10"/>
  <c r="AA356" i="10"/>
  <c r="AA357" i="10"/>
  <c r="AA358" i="10"/>
  <c r="AA359" i="10"/>
  <c r="AA360" i="10"/>
  <c r="AA361" i="10"/>
  <c r="AA362" i="10"/>
  <c r="AA363" i="10"/>
  <c r="AA364" i="10"/>
  <c r="AA365" i="10"/>
  <c r="AA366" i="10"/>
  <c r="AA367" i="10"/>
  <c r="AA368" i="10"/>
  <c r="AA369" i="10"/>
  <c r="AA370" i="10"/>
  <c r="AA371" i="10"/>
  <c r="AA372" i="10"/>
  <c r="AA373" i="10"/>
  <c r="AA374" i="10"/>
  <c r="AA375" i="10"/>
  <c r="AA376" i="10"/>
  <c r="AA377" i="10"/>
  <c r="AA378" i="10"/>
  <c r="AA379" i="10"/>
  <c r="AA380" i="10"/>
  <c r="AA381" i="10"/>
  <c r="AA382" i="10"/>
  <c r="AA383" i="10"/>
  <c r="AA384" i="10"/>
  <c r="AA385" i="10"/>
  <c r="AA386" i="10"/>
  <c r="AA387" i="10"/>
  <c r="AA388" i="10"/>
  <c r="AA389" i="10"/>
  <c r="AA390" i="10"/>
  <c r="AA391" i="10"/>
  <c r="AA392" i="10"/>
  <c r="AA393" i="10"/>
  <c r="AA394" i="10"/>
  <c r="AA395" i="10"/>
  <c r="AA396" i="10"/>
  <c r="AA397" i="10"/>
  <c r="AA398" i="10"/>
  <c r="AA399" i="10"/>
  <c r="AA400" i="10"/>
  <c r="AA401" i="10"/>
  <c r="AA402" i="10"/>
  <c r="AA403" i="10"/>
  <c r="AA404" i="10"/>
  <c r="AA405" i="10"/>
  <c r="AA406" i="10"/>
  <c r="AA407" i="10"/>
  <c r="AA408" i="10"/>
  <c r="AA409" i="10"/>
  <c r="AA410" i="10"/>
  <c r="X2" i="10"/>
  <c r="X3" i="10"/>
  <c r="X4" i="10"/>
  <c r="X5" i="10"/>
  <c r="X6" i="10"/>
  <c r="X7" i="10"/>
  <c r="X8" i="10"/>
  <c r="X9" i="10"/>
  <c r="X10" i="10"/>
  <c r="X11" i="10"/>
  <c r="X12" i="10"/>
  <c r="X13" i="10"/>
  <c r="X14" i="10"/>
  <c r="X15" i="10"/>
  <c r="X16" i="10"/>
  <c r="X17" i="10"/>
  <c r="X18" i="10"/>
  <c r="X19" i="10"/>
  <c r="X20" i="10"/>
  <c r="X21" i="10"/>
  <c r="X22" i="10"/>
  <c r="X23" i="10"/>
  <c r="X24" i="10"/>
  <c r="X25" i="10"/>
  <c r="X26" i="10"/>
  <c r="X27" i="10"/>
  <c r="X28" i="10"/>
  <c r="X29" i="10"/>
  <c r="X30" i="10"/>
  <c r="X31" i="10"/>
  <c r="X32" i="10"/>
  <c r="X33" i="10"/>
  <c r="X34" i="10"/>
  <c r="X35" i="10"/>
  <c r="X36" i="10"/>
  <c r="X37" i="10"/>
  <c r="X38" i="10"/>
  <c r="X39" i="10"/>
  <c r="X40" i="10"/>
  <c r="X41" i="10"/>
  <c r="X42" i="10"/>
  <c r="X43" i="10"/>
  <c r="X44" i="10"/>
  <c r="X45" i="10"/>
  <c r="X46" i="10"/>
  <c r="X47" i="10"/>
  <c r="X48" i="10"/>
  <c r="X49" i="10"/>
  <c r="X50" i="10"/>
  <c r="X51" i="10"/>
  <c r="X52" i="10"/>
  <c r="X53" i="10"/>
  <c r="X54" i="10"/>
  <c r="X55" i="10"/>
  <c r="X56" i="10"/>
  <c r="X57" i="10"/>
  <c r="X58" i="10"/>
  <c r="X59" i="10"/>
  <c r="X60" i="10"/>
  <c r="X61" i="10"/>
  <c r="X62" i="10"/>
  <c r="X63" i="10"/>
  <c r="X64" i="10"/>
  <c r="X65" i="10"/>
  <c r="X66" i="10"/>
  <c r="X67" i="10"/>
  <c r="X68" i="10"/>
  <c r="X69" i="10"/>
  <c r="X70" i="10"/>
  <c r="X71" i="10"/>
  <c r="X72" i="10"/>
  <c r="X73" i="10"/>
  <c r="X74" i="10"/>
  <c r="X75" i="10"/>
  <c r="X76" i="10"/>
  <c r="X77" i="10"/>
  <c r="X78" i="10"/>
  <c r="X79" i="10"/>
  <c r="X80" i="10"/>
  <c r="X81" i="10"/>
  <c r="X82" i="10"/>
  <c r="X83" i="10"/>
  <c r="X84" i="10"/>
  <c r="X85" i="10"/>
  <c r="X86" i="10"/>
  <c r="X87" i="10"/>
  <c r="X88" i="10"/>
  <c r="X89" i="10"/>
  <c r="X90" i="10"/>
  <c r="X91" i="10"/>
  <c r="X92" i="10"/>
  <c r="X93" i="10"/>
  <c r="X94" i="10"/>
  <c r="X95" i="10"/>
  <c r="X96" i="10"/>
  <c r="X97" i="10"/>
  <c r="X98" i="10"/>
  <c r="X99" i="10"/>
  <c r="X100" i="10"/>
  <c r="X101" i="10"/>
  <c r="X102" i="10"/>
  <c r="X103" i="10"/>
  <c r="X104" i="10"/>
  <c r="X105" i="10"/>
  <c r="X106" i="10"/>
  <c r="X107" i="10"/>
  <c r="X108" i="10"/>
  <c r="X109" i="10"/>
  <c r="X110" i="10"/>
  <c r="X111" i="10"/>
  <c r="X112" i="10"/>
  <c r="X113" i="10"/>
  <c r="X114" i="10"/>
  <c r="X115" i="10"/>
  <c r="X116" i="10"/>
  <c r="X117" i="10"/>
  <c r="X118" i="10"/>
  <c r="X119" i="10"/>
  <c r="X120" i="10"/>
  <c r="X121" i="10"/>
  <c r="X122" i="10"/>
  <c r="X123" i="10"/>
  <c r="X124" i="10"/>
  <c r="X125" i="10"/>
  <c r="X126" i="10"/>
  <c r="X127" i="10"/>
  <c r="X128" i="10"/>
  <c r="X129" i="10"/>
  <c r="X130" i="10"/>
  <c r="X131" i="10"/>
  <c r="X132" i="10"/>
  <c r="X133" i="10"/>
  <c r="X134" i="10"/>
  <c r="X135" i="10"/>
  <c r="X136" i="10"/>
  <c r="X137" i="10"/>
  <c r="X138" i="10"/>
  <c r="X139" i="10"/>
  <c r="X140" i="10"/>
  <c r="X141" i="10"/>
  <c r="X142" i="10"/>
  <c r="X143" i="10"/>
  <c r="X144" i="10"/>
  <c r="X145" i="10"/>
  <c r="X146" i="10"/>
  <c r="X147" i="10"/>
  <c r="X148" i="10"/>
  <c r="X149" i="10"/>
  <c r="X150" i="10"/>
  <c r="X151" i="10"/>
  <c r="X152" i="10"/>
  <c r="X153" i="10"/>
  <c r="X154" i="10"/>
  <c r="X155" i="10"/>
  <c r="X156" i="10"/>
  <c r="X157" i="10"/>
  <c r="X158" i="10"/>
  <c r="X159" i="10"/>
  <c r="X160" i="10"/>
  <c r="X161" i="10"/>
  <c r="X162" i="10"/>
  <c r="X163" i="10"/>
  <c r="X164" i="10"/>
  <c r="X165" i="10"/>
  <c r="X166" i="10"/>
  <c r="X167" i="10"/>
  <c r="X168" i="10"/>
  <c r="X169" i="10"/>
  <c r="X170" i="10"/>
  <c r="X171" i="10"/>
  <c r="X172" i="10"/>
  <c r="X173" i="10"/>
  <c r="X174" i="10"/>
  <c r="X175" i="10"/>
  <c r="X176" i="10"/>
  <c r="X177" i="10"/>
  <c r="X178" i="10"/>
  <c r="X179" i="10"/>
  <c r="X180" i="10"/>
  <c r="X181" i="10"/>
  <c r="X182" i="10"/>
  <c r="X183" i="10"/>
  <c r="X184" i="10"/>
  <c r="X185" i="10"/>
  <c r="X186" i="10"/>
  <c r="X187" i="10"/>
  <c r="X188" i="10"/>
  <c r="X189" i="10"/>
  <c r="X190" i="10"/>
  <c r="X191" i="10"/>
  <c r="X192" i="10"/>
  <c r="X193" i="10"/>
  <c r="X194" i="10"/>
  <c r="X195" i="10"/>
  <c r="X196" i="10"/>
  <c r="X197" i="10"/>
  <c r="X198" i="10"/>
  <c r="X199" i="10"/>
  <c r="X200" i="10"/>
  <c r="X201" i="10"/>
  <c r="X202" i="10"/>
  <c r="X203" i="10"/>
  <c r="X204" i="10"/>
  <c r="X205" i="10"/>
  <c r="X206" i="10"/>
  <c r="X207" i="10"/>
  <c r="X208" i="10"/>
  <c r="X209" i="10"/>
  <c r="X210" i="10"/>
  <c r="X211" i="10"/>
  <c r="X212" i="10"/>
  <c r="X213" i="10"/>
  <c r="X214" i="10"/>
  <c r="X215" i="10"/>
  <c r="X216" i="10"/>
  <c r="X217" i="10"/>
  <c r="X218" i="10"/>
  <c r="X219" i="10"/>
  <c r="X220" i="10"/>
  <c r="X221" i="10"/>
  <c r="X222" i="10"/>
  <c r="X223" i="10"/>
  <c r="X224" i="10"/>
  <c r="X225" i="10"/>
  <c r="X226" i="10"/>
  <c r="X227" i="10"/>
  <c r="X228" i="10"/>
  <c r="X229" i="10"/>
  <c r="X230" i="10"/>
  <c r="X231" i="10"/>
  <c r="X232" i="10"/>
  <c r="X233" i="10"/>
  <c r="X234" i="10"/>
  <c r="X235" i="10"/>
  <c r="X236" i="10"/>
  <c r="X237" i="10"/>
  <c r="X238" i="10"/>
  <c r="X239" i="10"/>
  <c r="X240" i="10"/>
  <c r="X241" i="10"/>
  <c r="X242" i="10"/>
  <c r="X243" i="10"/>
  <c r="X244" i="10"/>
  <c r="X245" i="10"/>
  <c r="X246" i="10"/>
  <c r="X247" i="10"/>
  <c r="X248" i="10"/>
  <c r="X249" i="10"/>
  <c r="X250" i="10"/>
  <c r="X251" i="10"/>
  <c r="X252" i="10"/>
  <c r="X253" i="10"/>
  <c r="X254" i="10"/>
  <c r="X255" i="10"/>
  <c r="X256" i="10"/>
  <c r="X257" i="10"/>
  <c r="X258" i="10"/>
  <c r="X259" i="10"/>
  <c r="X260" i="10"/>
  <c r="X261" i="10"/>
  <c r="X262" i="10"/>
  <c r="X263" i="10"/>
  <c r="X264" i="10"/>
  <c r="X265" i="10"/>
  <c r="X266" i="10"/>
  <c r="X267" i="10"/>
  <c r="X268" i="10"/>
  <c r="X269" i="10"/>
  <c r="X270" i="10"/>
  <c r="X271" i="10"/>
  <c r="X272" i="10"/>
  <c r="X273" i="10"/>
  <c r="X274" i="10"/>
  <c r="X275" i="10"/>
  <c r="X276" i="10"/>
  <c r="X277" i="10"/>
  <c r="X278" i="10"/>
  <c r="X279" i="10"/>
  <c r="X280" i="10"/>
  <c r="X281" i="10"/>
  <c r="X282" i="10"/>
  <c r="X283" i="10"/>
  <c r="X284" i="10"/>
  <c r="X285" i="10"/>
  <c r="X286" i="10"/>
  <c r="X287" i="10"/>
  <c r="X288" i="10"/>
  <c r="X289" i="10"/>
  <c r="X290" i="10"/>
  <c r="X291" i="10"/>
  <c r="X292" i="10"/>
  <c r="X293" i="10"/>
  <c r="X294" i="10"/>
  <c r="X295" i="10"/>
  <c r="X296" i="10"/>
  <c r="X297" i="10"/>
  <c r="X298" i="10"/>
  <c r="X299" i="10"/>
  <c r="X300" i="10"/>
  <c r="X301" i="10"/>
  <c r="X302" i="10"/>
  <c r="X303" i="10"/>
  <c r="X304" i="10"/>
  <c r="X305" i="10"/>
  <c r="X306" i="10"/>
  <c r="X307" i="10"/>
  <c r="X308" i="10"/>
  <c r="X309" i="10"/>
  <c r="X310" i="10"/>
  <c r="X311" i="10"/>
  <c r="X312" i="10"/>
  <c r="X313" i="10"/>
  <c r="X314" i="10"/>
  <c r="X315" i="10"/>
  <c r="X316" i="10"/>
  <c r="X317" i="10"/>
  <c r="X318" i="10"/>
  <c r="X319" i="10"/>
  <c r="X320" i="10"/>
  <c r="X321" i="10"/>
  <c r="X322" i="10"/>
  <c r="X323" i="10"/>
  <c r="X324" i="10"/>
  <c r="X325" i="10"/>
  <c r="X326" i="10"/>
  <c r="X327" i="10"/>
  <c r="X328" i="10"/>
  <c r="X329" i="10"/>
  <c r="X330" i="10"/>
  <c r="X331" i="10"/>
  <c r="X332" i="10"/>
  <c r="X333" i="10"/>
  <c r="X334" i="10"/>
  <c r="X335" i="10"/>
  <c r="X336" i="10"/>
  <c r="X337" i="10"/>
  <c r="X338" i="10"/>
  <c r="X339" i="10"/>
  <c r="X340" i="10"/>
  <c r="X341" i="10"/>
  <c r="X342" i="10"/>
  <c r="X343" i="10"/>
  <c r="X344" i="10"/>
  <c r="X345" i="10"/>
  <c r="X346" i="10"/>
  <c r="X347" i="10"/>
  <c r="X348" i="10"/>
  <c r="X349" i="10"/>
  <c r="X350" i="10"/>
  <c r="X351" i="10"/>
  <c r="X352" i="10"/>
  <c r="X353" i="10"/>
  <c r="X354" i="10"/>
  <c r="X355" i="10"/>
  <c r="X356" i="10"/>
  <c r="X357" i="10"/>
  <c r="X358" i="10"/>
  <c r="X359" i="10"/>
  <c r="X360" i="10"/>
  <c r="X361" i="10"/>
  <c r="X362" i="10"/>
  <c r="X363" i="10"/>
  <c r="X364" i="10"/>
  <c r="X365" i="10"/>
  <c r="X366" i="10"/>
  <c r="X367" i="10"/>
  <c r="X368" i="10"/>
  <c r="X369" i="10"/>
  <c r="X370" i="10"/>
  <c r="X371" i="10"/>
  <c r="X372" i="10"/>
  <c r="X373" i="10"/>
  <c r="X374" i="10"/>
  <c r="X375" i="10"/>
  <c r="X376" i="10"/>
  <c r="X377" i="10"/>
  <c r="X378" i="10"/>
  <c r="X379" i="10"/>
  <c r="X380" i="10"/>
  <c r="X381" i="10"/>
  <c r="X382" i="10"/>
  <c r="X383" i="10"/>
  <c r="X384" i="10"/>
  <c r="X385" i="10"/>
  <c r="X386" i="10"/>
  <c r="X387" i="10"/>
  <c r="X388" i="10"/>
  <c r="X389" i="10"/>
  <c r="X390" i="10"/>
  <c r="X391" i="10"/>
  <c r="X392" i="10"/>
  <c r="X393" i="10"/>
  <c r="X394" i="10"/>
  <c r="X395" i="10"/>
  <c r="X396" i="10"/>
  <c r="X397" i="10"/>
  <c r="X398" i="10"/>
  <c r="X399" i="10"/>
  <c r="X400" i="10"/>
  <c r="X401" i="10"/>
  <c r="X402" i="10"/>
  <c r="X403" i="10"/>
  <c r="X404" i="10"/>
  <c r="X405" i="10"/>
  <c r="X406" i="10"/>
  <c r="X407" i="10"/>
  <c r="X408" i="10"/>
  <c r="X409" i="10"/>
  <c r="X410" i="10"/>
  <c r="B99" i="10"/>
  <c r="M99" i="10"/>
  <c r="P99" i="10"/>
  <c r="Q99" i="10"/>
  <c r="B98" i="10"/>
  <c r="M98" i="10"/>
  <c r="P98" i="10"/>
  <c r="Q98" i="10"/>
  <c r="B104" i="10"/>
  <c r="M104" i="10"/>
  <c r="P104" i="10"/>
  <c r="Q104" i="10"/>
  <c r="B105" i="10"/>
  <c r="M105" i="10"/>
  <c r="P105" i="10"/>
  <c r="Q105" i="10"/>
  <c r="B106" i="10"/>
  <c r="M106" i="10"/>
  <c r="P106" i="10"/>
  <c r="Q106" i="10"/>
  <c r="B107" i="10"/>
  <c r="M107" i="10"/>
  <c r="P107" i="10"/>
  <c r="Q107" i="10"/>
  <c r="B108" i="10"/>
  <c r="M108" i="10"/>
  <c r="P108" i="10"/>
  <c r="Q108" i="10"/>
  <c r="B109" i="10"/>
  <c r="M109" i="10"/>
  <c r="P109" i="10"/>
  <c r="Q109" i="10"/>
  <c r="B110" i="10"/>
  <c r="M110" i="10"/>
  <c r="P110" i="10"/>
  <c r="Q110" i="10"/>
  <c r="B112" i="10"/>
  <c r="M112" i="10"/>
  <c r="P112" i="10"/>
  <c r="Q112" i="10"/>
  <c r="B113" i="10"/>
  <c r="M113" i="10"/>
  <c r="P113" i="10"/>
  <c r="Q113" i="10"/>
  <c r="B114" i="10"/>
  <c r="M114" i="10"/>
  <c r="P114" i="10"/>
  <c r="Q114" i="10"/>
  <c r="B115" i="10"/>
  <c r="M115" i="10"/>
  <c r="P115" i="10"/>
  <c r="Q115" i="10"/>
  <c r="B116" i="10"/>
  <c r="M116" i="10"/>
  <c r="P116" i="10"/>
  <c r="Q116" i="10"/>
  <c r="B118" i="10"/>
  <c r="M118" i="10"/>
  <c r="P118" i="10"/>
  <c r="Q118" i="10"/>
  <c r="B119" i="10"/>
  <c r="M119" i="10"/>
  <c r="P119" i="10"/>
  <c r="Q119" i="10"/>
  <c r="B120" i="10"/>
  <c r="M120" i="10"/>
  <c r="P120" i="10"/>
  <c r="Q120" i="10"/>
  <c r="B121" i="10"/>
  <c r="M121" i="10"/>
  <c r="P121" i="10"/>
  <c r="Q121" i="10"/>
  <c r="B122" i="10"/>
  <c r="M122" i="10"/>
  <c r="P122" i="10"/>
  <c r="Q122" i="10"/>
  <c r="B123" i="10"/>
  <c r="M123" i="10"/>
  <c r="P123" i="10"/>
  <c r="Q123" i="10"/>
  <c r="B124" i="10"/>
  <c r="M124" i="10"/>
  <c r="P124" i="10"/>
  <c r="Q124" i="10"/>
  <c r="B125" i="10"/>
  <c r="M125" i="10"/>
  <c r="P125" i="10"/>
  <c r="Q125" i="10"/>
  <c r="B126" i="10"/>
  <c r="M126" i="10"/>
  <c r="P126" i="10"/>
  <c r="Q126" i="10"/>
  <c r="B127" i="10"/>
  <c r="M127" i="10"/>
  <c r="P127" i="10"/>
  <c r="Q127" i="10"/>
  <c r="B128" i="10"/>
  <c r="M128" i="10"/>
  <c r="P128" i="10"/>
  <c r="Q128" i="10"/>
  <c r="AA170" i="5"/>
  <c r="M170" i="5"/>
  <c r="B170" i="5"/>
  <c r="A2" i="23"/>
  <c r="A3" i="23"/>
  <c r="A4" i="23"/>
  <c r="A5" i="23"/>
  <c r="A6" i="23"/>
  <c r="A7" i="23"/>
  <c r="A8" i="23"/>
  <c r="A9" i="23"/>
  <c r="A10" i="23"/>
  <c r="A11" i="23"/>
  <c r="A12" i="23"/>
  <c r="A13" i="23"/>
  <c r="A14" i="23"/>
  <c r="A15" i="23"/>
  <c r="A16" i="23"/>
  <c r="A17" i="23"/>
  <c r="A18" i="23"/>
  <c r="A19" i="23"/>
  <c r="A20" i="23"/>
  <c r="A21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44" i="23"/>
  <c r="A45" i="23"/>
  <c r="A46" i="23"/>
  <c r="A47" i="23"/>
  <c r="A48" i="23"/>
  <c r="A49" i="23"/>
  <c r="A50" i="23"/>
  <c r="A51" i="23"/>
  <c r="A52" i="23"/>
  <c r="A53" i="23"/>
  <c r="A54" i="23"/>
  <c r="A55" i="23"/>
  <c r="A56" i="23"/>
  <c r="A57" i="23"/>
  <c r="A58" i="23"/>
  <c r="A59" i="23"/>
  <c r="A60" i="23"/>
  <c r="A61" i="23"/>
  <c r="A62" i="23"/>
  <c r="A63" i="23"/>
  <c r="A64" i="23"/>
  <c r="A65" i="23"/>
  <c r="A66" i="23"/>
  <c r="A67" i="23"/>
  <c r="A68" i="23"/>
  <c r="A69" i="23"/>
  <c r="A70" i="23"/>
  <c r="A71" i="23"/>
  <c r="A72" i="23"/>
  <c r="A73" i="23"/>
  <c r="A74" i="23"/>
  <c r="A75" i="23"/>
  <c r="A76" i="23"/>
  <c r="A77" i="23"/>
  <c r="A78" i="23"/>
  <c r="A79" i="23"/>
  <c r="A80" i="23"/>
  <c r="A81" i="23"/>
  <c r="A82" i="23"/>
  <c r="A83" i="23"/>
  <c r="A84" i="23"/>
  <c r="A85" i="23"/>
  <c r="A86" i="23"/>
  <c r="A87" i="23"/>
  <c r="A88" i="23"/>
  <c r="A89" i="23"/>
  <c r="A90" i="23"/>
  <c r="A91" i="23"/>
  <c r="A92" i="23"/>
  <c r="A93" i="23"/>
  <c r="A94" i="23"/>
  <c r="A95" i="23"/>
  <c r="A96" i="23"/>
  <c r="A97" i="23"/>
  <c r="A98" i="23"/>
  <c r="A99" i="23"/>
  <c r="A100" i="23"/>
  <c r="A101" i="23"/>
  <c r="A102" i="23"/>
  <c r="A103" i="23"/>
  <c r="A104" i="23"/>
  <c r="A105" i="23"/>
  <c r="A106" i="23"/>
  <c r="A107" i="23"/>
  <c r="A108" i="23"/>
  <c r="A109" i="23"/>
  <c r="A110" i="23"/>
  <c r="A111" i="23"/>
  <c r="A112" i="23"/>
  <c r="A113" i="23"/>
  <c r="A114" i="23"/>
  <c r="A115" i="23"/>
  <c r="A116" i="23"/>
  <c r="A117" i="23"/>
  <c r="A118" i="23"/>
  <c r="A119" i="23"/>
  <c r="A120" i="23"/>
  <c r="A121" i="23"/>
  <c r="A122" i="23"/>
  <c r="A123" i="23"/>
  <c r="A124" i="23"/>
  <c r="A125" i="23"/>
  <c r="A126" i="23"/>
  <c r="A127" i="23"/>
  <c r="A128" i="23"/>
  <c r="A129" i="23"/>
  <c r="A130" i="23"/>
  <c r="A131" i="23"/>
  <c r="A132" i="23"/>
  <c r="A133" i="23"/>
  <c r="A134" i="23"/>
  <c r="A135" i="23"/>
  <c r="A136" i="23"/>
  <c r="A137" i="23"/>
  <c r="A138" i="23"/>
  <c r="A139" i="23"/>
  <c r="A140" i="23"/>
  <c r="A141" i="23"/>
  <c r="A142" i="23"/>
  <c r="A143" i="23"/>
  <c r="A144" i="23"/>
  <c r="A145" i="23"/>
  <c r="A146" i="23"/>
  <c r="A147" i="23"/>
  <c r="A148" i="23"/>
  <c r="A149" i="23"/>
  <c r="A150" i="23"/>
  <c r="A151" i="23"/>
  <c r="A152" i="23"/>
  <c r="A153" i="23"/>
  <c r="A154" i="23"/>
  <c r="A155" i="23"/>
  <c r="A156" i="23"/>
  <c r="A157" i="23"/>
  <c r="A158" i="23"/>
  <c r="A159" i="23"/>
  <c r="A160" i="23"/>
  <c r="A161" i="23"/>
  <c r="A162" i="23"/>
  <c r="A163" i="23"/>
  <c r="A164" i="23"/>
  <c r="A165" i="23"/>
  <c r="A166" i="23"/>
  <c r="A167" i="23"/>
  <c r="A168" i="23"/>
  <c r="A169" i="23"/>
  <c r="A170" i="23"/>
  <c r="A171" i="23"/>
  <c r="A172" i="23"/>
  <c r="A173" i="23"/>
  <c r="A174" i="23"/>
  <c r="A175" i="23"/>
  <c r="A176" i="23"/>
  <c r="A177" i="23"/>
  <c r="A178" i="23"/>
  <c r="A179" i="23"/>
  <c r="A180" i="23"/>
  <c r="A181" i="23"/>
  <c r="A182" i="23"/>
  <c r="A183" i="23"/>
  <c r="A184" i="23"/>
  <c r="A185" i="23"/>
  <c r="A186" i="23"/>
  <c r="A187" i="23"/>
  <c r="A188" i="23"/>
  <c r="A189" i="23"/>
  <c r="A190" i="23"/>
  <c r="A191" i="23"/>
  <c r="A192" i="23"/>
  <c r="A193" i="23"/>
  <c r="A194" i="23"/>
  <c r="A195" i="23"/>
  <c r="A196" i="23"/>
  <c r="A197" i="23"/>
  <c r="A198" i="23"/>
  <c r="A199" i="23"/>
  <c r="A200" i="23"/>
  <c r="A201" i="23"/>
  <c r="A202" i="23"/>
  <c r="A203" i="23"/>
  <c r="A204" i="23"/>
  <c r="A205" i="23"/>
  <c r="A206" i="23"/>
  <c r="A207" i="23"/>
  <c r="A208" i="23"/>
  <c r="A209" i="23"/>
  <c r="A210" i="23"/>
  <c r="A211" i="23"/>
  <c r="A212" i="23"/>
  <c r="A213" i="23"/>
  <c r="A214" i="23"/>
  <c r="A215" i="23"/>
  <c r="A216" i="23"/>
  <c r="A217" i="23"/>
  <c r="A218" i="23"/>
  <c r="A219" i="23"/>
  <c r="A220" i="23"/>
  <c r="A221" i="23"/>
  <c r="A222" i="23"/>
  <c r="A223" i="23"/>
  <c r="A224" i="23"/>
  <c r="A225" i="23"/>
  <c r="A226" i="23"/>
  <c r="A227" i="23"/>
  <c r="A228" i="23"/>
  <c r="A229" i="23"/>
  <c r="A230" i="23"/>
  <c r="A231" i="23"/>
  <c r="A232" i="23"/>
  <c r="A233" i="23"/>
  <c r="A234" i="23"/>
  <c r="A235" i="23"/>
  <c r="A236" i="23"/>
  <c r="A237" i="23"/>
  <c r="A238" i="23"/>
  <c r="A239" i="23"/>
  <c r="A240" i="23"/>
  <c r="A241" i="23"/>
  <c r="A242" i="23"/>
  <c r="A243" i="23"/>
  <c r="A244" i="23"/>
  <c r="A245" i="23"/>
  <c r="A246" i="23"/>
  <c r="A247" i="23"/>
  <c r="A248" i="23"/>
  <c r="A249" i="23"/>
  <c r="A250" i="23"/>
  <c r="A251" i="23"/>
  <c r="A252" i="23"/>
  <c r="A253" i="23"/>
  <c r="A254" i="23"/>
  <c r="A255" i="23"/>
  <c r="A256" i="23"/>
  <c r="A257" i="23"/>
  <c r="A258" i="23"/>
  <c r="A259" i="23"/>
  <c r="A260" i="23"/>
  <c r="A261" i="23"/>
  <c r="A262" i="23"/>
  <c r="A263" i="23"/>
  <c r="A264" i="23"/>
  <c r="A265" i="23"/>
  <c r="A266" i="23"/>
  <c r="A267" i="23"/>
  <c r="A268" i="23"/>
  <c r="A269" i="23"/>
  <c r="A270" i="23"/>
  <c r="A271" i="23"/>
  <c r="A272" i="23"/>
  <c r="A273" i="23"/>
  <c r="A274" i="23"/>
  <c r="A275" i="23"/>
  <c r="A276" i="23"/>
  <c r="A277" i="23"/>
  <c r="A278" i="23"/>
  <c r="A279" i="23"/>
  <c r="A280" i="23"/>
  <c r="A281" i="23"/>
  <c r="A282" i="23"/>
  <c r="A283" i="23"/>
  <c r="A284" i="23"/>
  <c r="A285" i="23"/>
  <c r="A286" i="23"/>
  <c r="A287" i="23"/>
  <c r="A288" i="23"/>
  <c r="A289" i="23"/>
  <c r="A290" i="23"/>
  <c r="A291" i="23"/>
  <c r="A292" i="23"/>
  <c r="A293" i="23"/>
  <c r="A294" i="23"/>
  <c r="A295" i="23"/>
  <c r="A296" i="23"/>
  <c r="A297" i="23"/>
  <c r="A298" i="23"/>
  <c r="A299" i="23"/>
  <c r="A300" i="23"/>
  <c r="A301" i="23"/>
  <c r="A302" i="23"/>
  <c r="A303" i="23"/>
  <c r="A304" i="23"/>
  <c r="A305" i="23"/>
  <c r="A306" i="23"/>
  <c r="A307" i="23"/>
  <c r="A308" i="23"/>
  <c r="A309" i="23"/>
  <c r="A310" i="23"/>
  <c r="A311" i="23"/>
  <c r="A312" i="23"/>
  <c r="A313" i="23"/>
  <c r="A314" i="23"/>
  <c r="A315" i="23"/>
  <c r="A316" i="23"/>
  <c r="A317" i="23"/>
  <c r="A318" i="23"/>
  <c r="A319" i="23"/>
  <c r="A320" i="23"/>
  <c r="A321" i="23"/>
  <c r="A322" i="23"/>
  <c r="A323" i="23"/>
  <c r="A324" i="23"/>
  <c r="A325" i="23"/>
  <c r="A326" i="23"/>
  <c r="A327" i="23"/>
  <c r="A328" i="23"/>
  <c r="A329" i="23"/>
  <c r="A330" i="23"/>
  <c r="A331" i="23"/>
  <c r="A332" i="23"/>
  <c r="A333" i="23"/>
  <c r="A334" i="23"/>
  <c r="A335" i="23"/>
  <c r="A336" i="23"/>
  <c r="A337" i="23"/>
  <c r="A338" i="23"/>
  <c r="A339" i="23"/>
  <c r="A340" i="23"/>
  <c r="A341" i="23"/>
  <c r="A342" i="23"/>
  <c r="A343" i="23"/>
  <c r="A344" i="23"/>
  <c r="A345" i="23"/>
  <c r="A346" i="23"/>
  <c r="A347" i="23"/>
  <c r="A348" i="23"/>
  <c r="A349" i="23"/>
  <c r="A350" i="23"/>
  <c r="A351" i="23"/>
  <c r="A352" i="23"/>
  <c r="A353" i="23"/>
  <c r="A354" i="23"/>
  <c r="A355" i="23"/>
  <c r="A356" i="23"/>
  <c r="A357" i="23"/>
  <c r="A358" i="23"/>
  <c r="A359" i="23"/>
  <c r="A360" i="23"/>
  <c r="A361" i="23"/>
  <c r="A362" i="23"/>
  <c r="A363" i="23"/>
  <c r="A364" i="23"/>
  <c r="A365" i="23"/>
  <c r="A366" i="23"/>
  <c r="A367" i="23"/>
  <c r="A368" i="23"/>
  <c r="A369" i="23"/>
  <c r="A370" i="23"/>
  <c r="A371" i="23"/>
  <c r="A372" i="23"/>
  <c r="A373" i="23"/>
  <c r="A374" i="23"/>
  <c r="A375" i="23"/>
  <c r="A376" i="23"/>
  <c r="A377" i="23"/>
  <c r="A378" i="23"/>
  <c r="A379" i="23"/>
  <c r="A380" i="23"/>
  <c r="A381" i="23"/>
  <c r="A382" i="23"/>
  <c r="A383" i="23"/>
  <c r="A384" i="23"/>
  <c r="A385" i="23"/>
  <c r="A386" i="23"/>
  <c r="A387" i="23"/>
  <c r="A388" i="23"/>
  <c r="A389" i="23"/>
  <c r="A390" i="23"/>
  <c r="A391" i="23"/>
  <c r="A392" i="23"/>
  <c r="A393" i="23"/>
  <c r="A394" i="23"/>
  <c r="A395" i="23"/>
  <c r="A396" i="23"/>
  <c r="A397" i="23"/>
  <c r="A398" i="23"/>
  <c r="A399" i="23"/>
  <c r="A400" i="23"/>
  <c r="A401" i="23"/>
  <c r="A402" i="23"/>
  <c r="A403" i="23"/>
  <c r="A404" i="23"/>
  <c r="A405" i="23"/>
  <c r="A406" i="23"/>
  <c r="A407" i="23"/>
  <c r="A408" i="23"/>
  <c r="A409" i="23"/>
  <c r="A410" i="23"/>
  <c r="A411" i="23"/>
  <c r="A412" i="23"/>
  <c r="A413" i="23"/>
  <c r="A414" i="23"/>
  <c r="A415" i="23"/>
  <c r="A416" i="23"/>
  <c r="A417" i="23"/>
  <c r="A418" i="23"/>
  <c r="A419" i="23"/>
  <c r="A420" i="23"/>
  <c r="A421" i="23"/>
  <c r="A422" i="23"/>
  <c r="A423" i="23"/>
  <c r="A424" i="23"/>
  <c r="A425" i="23"/>
  <c r="A426" i="23"/>
  <c r="A427" i="23"/>
  <c r="A428" i="23"/>
  <c r="A429" i="23"/>
  <c r="A430" i="23"/>
  <c r="A431" i="23"/>
  <c r="A432" i="23"/>
  <c r="A433" i="23"/>
  <c r="A434" i="23"/>
  <c r="A435" i="23"/>
  <c r="A436" i="23"/>
  <c r="A437" i="23"/>
  <c r="A438" i="23"/>
  <c r="B397" i="23"/>
  <c r="M397" i="23"/>
  <c r="P397" i="23"/>
  <c r="Q397" i="23"/>
  <c r="AA397" i="23"/>
  <c r="Q168" i="10"/>
  <c r="B407" i="10"/>
  <c r="B408" i="10"/>
  <c r="B409" i="10"/>
  <c r="M407" i="10"/>
  <c r="M408" i="10"/>
  <c r="M409" i="10"/>
  <c r="P407" i="10"/>
  <c r="P408" i="10"/>
  <c r="P409" i="10"/>
  <c r="Q407" i="10"/>
  <c r="Q408" i="10"/>
  <c r="Q409" i="10"/>
  <c r="B410" i="10"/>
  <c r="M410" i="10"/>
  <c r="P410" i="10"/>
  <c r="Q410" i="10"/>
  <c r="R4518" i="24" l="1"/>
  <c r="AA358" i="3"/>
  <c r="Q358" i="3"/>
  <c r="P358" i="3"/>
  <c r="M358" i="3"/>
  <c r="B358" i="3"/>
  <c r="AA359" i="3"/>
  <c r="Q359" i="3"/>
  <c r="P359" i="3"/>
  <c r="M359" i="3"/>
  <c r="B359" i="3"/>
  <c r="AA360" i="3"/>
  <c r="Q360" i="3"/>
  <c r="P360" i="3"/>
  <c r="M360" i="3"/>
  <c r="B360" i="3"/>
  <c r="AA361" i="3"/>
  <c r="Q361" i="3"/>
  <c r="P361" i="3"/>
  <c r="M361" i="3"/>
  <c r="B361" i="3"/>
  <c r="AA362" i="3"/>
  <c r="Q362" i="3"/>
  <c r="P362" i="3"/>
  <c r="M362" i="3"/>
  <c r="B362" i="3"/>
  <c r="AA363" i="3"/>
  <c r="Q363" i="3"/>
  <c r="P363" i="3"/>
  <c r="M363" i="3"/>
  <c r="B363" i="3"/>
  <c r="AA364" i="3"/>
  <c r="Q364" i="3"/>
  <c r="P364" i="3"/>
  <c r="M364" i="3"/>
  <c r="B364" i="3"/>
  <c r="AA365" i="3"/>
  <c r="Q365" i="3"/>
  <c r="P365" i="3"/>
  <c r="M365" i="3"/>
  <c r="B365" i="3"/>
  <c r="AA366" i="3"/>
  <c r="Q366" i="3"/>
  <c r="P366" i="3"/>
  <c r="M366" i="3"/>
  <c r="B366" i="3"/>
  <c r="AB815" i="8"/>
  <c r="R815" i="8"/>
  <c r="Q815" i="8"/>
  <c r="N815" i="8"/>
  <c r="B815" i="8"/>
  <c r="B314" i="13"/>
  <c r="M314" i="13"/>
  <c r="P314" i="13"/>
  <c r="Q314" i="13"/>
  <c r="X314" i="13"/>
  <c r="AA314" i="13"/>
  <c r="B455" i="18"/>
  <c r="B456" i="18"/>
  <c r="B457" i="18"/>
  <c r="B458" i="18"/>
  <c r="B459" i="18"/>
  <c r="B460" i="18"/>
  <c r="B461" i="18"/>
  <c r="B462" i="18"/>
  <c r="B463" i="18"/>
  <c r="B464" i="18"/>
  <c r="B465" i="18"/>
  <c r="B466" i="18"/>
  <c r="B467" i="18"/>
  <c r="B468" i="18"/>
  <c r="M455" i="18"/>
  <c r="M456" i="18"/>
  <c r="M457" i="18"/>
  <c r="M458" i="18"/>
  <c r="M459" i="18"/>
  <c r="M460" i="18"/>
  <c r="M461" i="18"/>
  <c r="M462" i="18"/>
  <c r="M463" i="18"/>
  <c r="M464" i="18"/>
  <c r="M465" i="18"/>
  <c r="M466" i="18"/>
  <c r="M467" i="18"/>
  <c r="M468" i="18"/>
  <c r="P455" i="18"/>
  <c r="P456" i="18"/>
  <c r="P457" i="18"/>
  <c r="P458" i="18"/>
  <c r="P459" i="18"/>
  <c r="P460" i="18"/>
  <c r="P461" i="18"/>
  <c r="P462" i="18"/>
  <c r="P463" i="18"/>
  <c r="P464" i="18"/>
  <c r="P465" i="18"/>
  <c r="P466" i="18"/>
  <c r="P467" i="18"/>
  <c r="P468" i="18"/>
  <c r="Q455" i="18"/>
  <c r="Q456" i="18"/>
  <c r="Q457" i="18"/>
  <c r="Q458" i="18"/>
  <c r="Q459" i="18"/>
  <c r="Q460" i="18"/>
  <c r="Q461" i="18"/>
  <c r="Q462" i="18"/>
  <c r="Q463" i="18"/>
  <c r="Q464" i="18"/>
  <c r="Q465" i="18"/>
  <c r="Q466" i="18"/>
  <c r="Q467" i="18"/>
  <c r="Q468" i="18"/>
  <c r="X455" i="18"/>
  <c r="X456" i="18"/>
  <c r="X457" i="18"/>
  <c r="X458" i="18"/>
  <c r="X459" i="18"/>
  <c r="X460" i="18"/>
  <c r="X461" i="18"/>
  <c r="X462" i="18"/>
  <c r="X463" i="18"/>
  <c r="X464" i="18"/>
  <c r="X465" i="18"/>
  <c r="X466" i="18"/>
  <c r="X467" i="18"/>
  <c r="X468" i="18"/>
  <c r="AA455" i="18"/>
  <c r="AA456" i="18"/>
  <c r="AA457" i="18"/>
  <c r="AA458" i="18"/>
  <c r="AA459" i="18"/>
  <c r="AA460" i="18"/>
  <c r="AA461" i="18"/>
  <c r="AA462" i="18"/>
  <c r="AA463" i="18"/>
  <c r="AA464" i="18"/>
  <c r="AA465" i="18"/>
  <c r="AA466" i="18"/>
  <c r="AA467" i="18"/>
  <c r="AA468" i="18"/>
  <c r="B307" i="12"/>
  <c r="M307" i="12"/>
  <c r="P307" i="12"/>
  <c r="Q307" i="12"/>
  <c r="X307" i="12"/>
  <c r="AA307" i="12"/>
  <c r="AA356" i="3"/>
  <c r="Q356" i="3"/>
  <c r="P356" i="3"/>
  <c r="M356" i="3"/>
  <c r="B356" i="3"/>
  <c r="R4519" i="24" l="1"/>
  <c r="R4520" i="24" s="1"/>
  <c r="R4521" i="24" s="1"/>
  <c r="R4522" i="24" s="1"/>
  <c r="R4523" i="24" s="1"/>
  <c r="R4524" i="24" s="1"/>
  <c r="R4525" i="24" s="1"/>
  <c r="R4526" i="24" s="1"/>
  <c r="R4527" i="24" s="1"/>
  <c r="AB808" i="9"/>
  <c r="R808" i="9"/>
  <c r="Q808" i="9"/>
  <c r="N808" i="9"/>
  <c r="B808" i="9"/>
  <c r="R4528" i="24" l="1"/>
  <c r="R4529" i="24" s="1"/>
  <c r="R4530" i="24" s="1"/>
  <c r="R4531" i="24" s="1"/>
  <c r="R4532" i="24" s="1"/>
  <c r="R4533" i="24" s="1"/>
  <c r="R4534" i="24" s="1"/>
  <c r="R4535" i="24" s="1"/>
  <c r="R4536" i="24" s="1"/>
  <c r="R4537" i="24" s="1"/>
  <c r="R4538" i="24" s="1"/>
  <c r="AB814" i="8"/>
  <c r="R814" i="8"/>
  <c r="Q814" i="8"/>
  <c r="N814" i="8"/>
  <c r="B814" i="8"/>
  <c r="R4539" i="24" l="1"/>
  <c r="AA357" i="3"/>
  <c r="Q357" i="3"/>
  <c r="P357" i="3"/>
  <c r="M357" i="3"/>
  <c r="B357" i="3"/>
  <c r="AB813" i="8"/>
  <c r="R813" i="8"/>
  <c r="Q813" i="8"/>
  <c r="N813" i="8"/>
  <c r="B813" i="8"/>
  <c r="AA355" i="3"/>
  <c r="Q355" i="3"/>
  <c r="P355" i="3"/>
  <c r="M355" i="3"/>
  <c r="B355" i="3"/>
  <c r="AA353" i="3"/>
  <c r="Q353" i="3"/>
  <c r="P353" i="3"/>
  <c r="M353" i="3"/>
  <c r="B353" i="3"/>
  <c r="AB807" i="9"/>
  <c r="R807" i="9"/>
  <c r="Q807" i="9"/>
  <c r="N807" i="9"/>
  <c r="B807" i="9"/>
  <c r="AB793" i="8"/>
  <c r="R793" i="8"/>
  <c r="Q793" i="8"/>
  <c r="N793" i="8"/>
  <c r="B793" i="8"/>
  <c r="AB794" i="8"/>
  <c r="R794" i="8"/>
  <c r="Q794" i="8"/>
  <c r="N794" i="8"/>
  <c r="B794" i="8"/>
  <c r="AB812" i="8"/>
  <c r="R812" i="8"/>
  <c r="Q812" i="8"/>
  <c r="N812" i="8"/>
  <c r="B812" i="8"/>
  <c r="AB811" i="8"/>
  <c r="R811" i="8"/>
  <c r="Q811" i="8"/>
  <c r="N811" i="8"/>
  <c r="B811" i="8"/>
  <c r="AB810" i="8"/>
  <c r="R810" i="8"/>
  <c r="Q810" i="8"/>
  <c r="N810" i="8"/>
  <c r="B810" i="8"/>
  <c r="AB806" i="9"/>
  <c r="R806" i="9"/>
  <c r="Q806" i="9"/>
  <c r="N806" i="9"/>
  <c r="B806" i="9"/>
  <c r="AB805" i="9"/>
  <c r="R805" i="9"/>
  <c r="Q805" i="9"/>
  <c r="N805" i="9"/>
  <c r="B805" i="9"/>
  <c r="AB804" i="9"/>
  <c r="R804" i="9"/>
  <c r="Q804" i="9"/>
  <c r="N804" i="9"/>
  <c r="B804" i="9"/>
  <c r="B803" i="9"/>
  <c r="N803" i="9"/>
  <c r="Q803" i="9"/>
  <c r="R803" i="9"/>
  <c r="AB803" i="9"/>
  <c r="B354" i="3"/>
  <c r="M354" i="3"/>
  <c r="P354" i="3"/>
  <c r="Q354" i="3"/>
  <c r="AA354" i="3"/>
  <c r="B809" i="8"/>
  <c r="N809" i="8"/>
  <c r="Q809" i="8"/>
  <c r="R809" i="8"/>
  <c r="AB809" i="8"/>
  <c r="R4540" i="24" l="1"/>
  <c r="R4541" i="24" s="1"/>
  <c r="B802" i="9"/>
  <c r="N802" i="9"/>
  <c r="Q802" i="9"/>
  <c r="R802" i="9"/>
  <c r="AB802" i="9"/>
  <c r="R4542" i="24" l="1"/>
  <c r="R4543" i="24" s="1"/>
  <c r="R4544" i="24" s="1"/>
  <c r="R4545" i="24" s="1"/>
  <c r="R4546" i="24" s="1"/>
  <c r="R4547" i="24" s="1"/>
  <c r="R4548" i="24" s="1"/>
  <c r="R4549" i="24" s="1"/>
  <c r="AA304" i="12"/>
  <c r="X304" i="12"/>
  <c r="Q304" i="12"/>
  <c r="P304" i="12"/>
  <c r="M304" i="12"/>
  <c r="B304" i="12"/>
  <c r="B285" i="12"/>
  <c r="B286" i="12"/>
  <c r="B287" i="12"/>
  <c r="B288" i="12"/>
  <c r="B289" i="12"/>
  <c r="B290" i="12"/>
  <c r="B291" i="12"/>
  <c r="B292" i="12"/>
  <c r="B293" i="12"/>
  <c r="B294" i="12"/>
  <c r="B295" i="12"/>
  <c r="B296" i="12"/>
  <c r="B297" i="12"/>
  <c r="B298" i="12"/>
  <c r="B299" i="12"/>
  <c r="B300" i="12"/>
  <c r="B301" i="12"/>
  <c r="B302" i="12"/>
  <c r="B303" i="12"/>
  <c r="B305" i="12"/>
  <c r="B306" i="12"/>
  <c r="M285" i="12"/>
  <c r="M286" i="12"/>
  <c r="M287" i="12"/>
  <c r="M288" i="12"/>
  <c r="M289" i="12"/>
  <c r="M290" i="12"/>
  <c r="M291" i="12"/>
  <c r="M292" i="12"/>
  <c r="M293" i="12"/>
  <c r="M294" i="12"/>
  <c r="M295" i="12"/>
  <c r="M296" i="12"/>
  <c r="M297" i="12"/>
  <c r="M298" i="12"/>
  <c r="M299" i="12"/>
  <c r="M300" i="12"/>
  <c r="M301" i="12"/>
  <c r="M302" i="12"/>
  <c r="M303" i="12"/>
  <c r="M305" i="12"/>
  <c r="M306" i="12"/>
  <c r="P285" i="12"/>
  <c r="P286" i="12"/>
  <c r="P287" i="12"/>
  <c r="P288" i="12"/>
  <c r="P289" i="12"/>
  <c r="P290" i="12"/>
  <c r="P291" i="12"/>
  <c r="P292" i="12"/>
  <c r="P293" i="12"/>
  <c r="P294" i="12"/>
  <c r="P295" i="12"/>
  <c r="P296" i="12"/>
  <c r="P297" i="12"/>
  <c r="P298" i="12"/>
  <c r="P299" i="12"/>
  <c r="P300" i="12"/>
  <c r="P301" i="12"/>
  <c r="P302" i="12"/>
  <c r="P303" i="12"/>
  <c r="P305" i="12"/>
  <c r="P306" i="12"/>
  <c r="Q285" i="12"/>
  <c r="Q286" i="12"/>
  <c r="Q287" i="12"/>
  <c r="Q288" i="12"/>
  <c r="Q289" i="12"/>
  <c r="Q290" i="12"/>
  <c r="Q291" i="12"/>
  <c r="Q292" i="12"/>
  <c r="Q293" i="12"/>
  <c r="Q294" i="12"/>
  <c r="Q295" i="12"/>
  <c r="Q296" i="12"/>
  <c r="Q297" i="12"/>
  <c r="Q298" i="12"/>
  <c r="Q299" i="12"/>
  <c r="Q300" i="12"/>
  <c r="Q301" i="12"/>
  <c r="Q302" i="12"/>
  <c r="Q303" i="12"/>
  <c r="Q305" i="12"/>
  <c r="Q306" i="12"/>
  <c r="X285" i="12"/>
  <c r="X286" i="12"/>
  <c r="X287" i="12"/>
  <c r="X288" i="12"/>
  <c r="X289" i="12"/>
  <c r="X290" i="12"/>
  <c r="X291" i="12"/>
  <c r="X292" i="12"/>
  <c r="X293" i="12"/>
  <c r="X294" i="12"/>
  <c r="X295" i="12"/>
  <c r="X296" i="12"/>
  <c r="X297" i="12"/>
  <c r="X298" i="12"/>
  <c r="X299" i="12"/>
  <c r="X300" i="12"/>
  <c r="X301" i="12"/>
  <c r="X302" i="12"/>
  <c r="X303" i="12"/>
  <c r="X305" i="12"/>
  <c r="X306" i="12"/>
  <c r="AA285" i="12"/>
  <c r="AA286" i="12"/>
  <c r="AA287" i="12"/>
  <c r="AA288" i="12"/>
  <c r="AA289" i="12"/>
  <c r="AA290" i="12"/>
  <c r="AA291" i="12"/>
  <c r="AA292" i="12"/>
  <c r="AA293" i="12"/>
  <c r="AA294" i="12"/>
  <c r="AA295" i="12"/>
  <c r="AA296" i="12"/>
  <c r="AA297" i="12"/>
  <c r="AA298" i="12"/>
  <c r="AA299" i="12"/>
  <c r="AA300" i="12"/>
  <c r="AA301" i="12"/>
  <c r="AA302" i="12"/>
  <c r="AA303" i="12"/>
  <c r="AA305" i="12"/>
  <c r="AA306" i="12"/>
  <c r="B284" i="12"/>
  <c r="M284" i="12"/>
  <c r="P284" i="12"/>
  <c r="Q284" i="12"/>
  <c r="X284" i="12"/>
  <c r="AA284" i="12"/>
  <c r="R4550" i="24" l="1"/>
  <c r="R4551" i="24" s="1"/>
  <c r="R4552" i="24" s="1"/>
  <c r="R4553" i="24" s="1"/>
  <c r="R4554" i="24" s="1"/>
  <c r="R4555" i="24" s="1"/>
  <c r="R4556" i="24" s="1"/>
  <c r="R4557" i="24" s="1"/>
  <c r="R4558" i="24" s="1"/>
  <c r="R4559" i="24" s="1"/>
  <c r="R4560" i="24" s="1"/>
  <c r="R4561" i="24" s="1"/>
  <c r="R4562" i="24" s="1"/>
  <c r="R4563" i="24" s="1"/>
  <c r="R4564" i="24" s="1"/>
  <c r="R4565" i="24" s="1"/>
  <c r="R4566" i="24" s="1"/>
  <c r="R4567" i="24" s="1"/>
  <c r="R4568" i="24" s="1"/>
  <c r="R4569" i="24" s="1"/>
  <c r="R4570" i="24" s="1"/>
  <c r="R4571" i="24" s="1"/>
  <c r="R4572" i="24" s="1"/>
  <c r="AB801" i="9"/>
  <c r="R801" i="9"/>
  <c r="Q801" i="9"/>
  <c r="N801" i="9"/>
  <c r="B801" i="9"/>
  <c r="AB800" i="9"/>
  <c r="R800" i="9"/>
  <c r="Q800" i="9"/>
  <c r="N800" i="9"/>
  <c r="B800" i="9"/>
  <c r="R4573" i="24" l="1"/>
  <c r="R4574" i="24" s="1"/>
  <c r="R4575" i="24" s="1"/>
  <c r="AB799" i="9"/>
  <c r="R799" i="9"/>
  <c r="Q799" i="9"/>
  <c r="N799" i="9"/>
  <c r="B799" i="9"/>
  <c r="B808" i="8"/>
  <c r="N808" i="8"/>
  <c r="Q808" i="8"/>
  <c r="R808" i="8"/>
  <c r="AB808" i="8"/>
  <c r="B807" i="8"/>
  <c r="N807" i="8"/>
  <c r="Q807" i="8"/>
  <c r="R807" i="8"/>
  <c r="AB807" i="8"/>
  <c r="B806" i="8"/>
  <c r="N806" i="8"/>
  <c r="Q806" i="8"/>
  <c r="R806" i="8"/>
  <c r="AB806" i="8"/>
  <c r="B805" i="8"/>
  <c r="N805" i="8"/>
  <c r="Q805" i="8"/>
  <c r="R805" i="8"/>
  <c r="AB805" i="8"/>
  <c r="B804" i="8"/>
  <c r="N804" i="8"/>
  <c r="Q804" i="8"/>
  <c r="R804" i="8"/>
  <c r="AB804" i="8"/>
  <c r="B803" i="8"/>
  <c r="N803" i="8"/>
  <c r="Q803" i="8"/>
  <c r="R803" i="8"/>
  <c r="AB803" i="8"/>
  <c r="B798" i="9"/>
  <c r="N798" i="9"/>
  <c r="Q798" i="9"/>
  <c r="R798" i="9"/>
  <c r="AB798" i="9"/>
  <c r="R4576" i="24" l="1"/>
  <c r="R4577" i="24" s="1"/>
  <c r="R4578" i="24" s="1"/>
  <c r="R4579" i="24" s="1"/>
  <c r="R4580" i="24" s="1"/>
  <c r="R4581" i="24" s="1"/>
  <c r="R4582" i="24" s="1"/>
  <c r="R4583" i="24" s="1"/>
  <c r="R4584" i="24" s="1"/>
  <c r="R4585" i="24" s="1"/>
  <c r="A43" i="6"/>
  <c r="R4586" i="24" l="1"/>
  <c r="R4587" i="24" s="1"/>
  <c r="AA42" i="6"/>
  <c r="Q42" i="6"/>
  <c r="P42" i="6"/>
  <c r="M42" i="6"/>
  <c r="B42" i="6"/>
  <c r="A42" i="6"/>
  <c r="AA44" i="6"/>
  <c r="Q44" i="6"/>
  <c r="P44" i="6"/>
  <c r="M44" i="6"/>
  <c r="B44" i="6"/>
  <c r="A44" i="6"/>
  <c r="R4588" i="24" l="1"/>
  <c r="AA166" i="5"/>
  <c r="M166" i="5"/>
  <c r="B166" i="5"/>
  <c r="AA167" i="5"/>
  <c r="M167" i="5"/>
  <c r="B167" i="5"/>
  <c r="AA168" i="5"/>
  <c r="M168" i="5"/>
  <c r="B168" i="5"/>
  <c r="AA169" i="5"/>
  <c r="M169" i="5"/>
  <c r="B169" i="5"/>
  <c r="AA165" i="5"/>
  <c r="M165" i="5"/>
  <c r="B165" i="5"/>
  <c r="AB802" i="8"/>
  <c r="R802" i="8"/>
  <c r="Q802" i="8"/>
  <c r="N802" i="8"/>
  <c r="B802" i="8"/>
  <c r="AB797" i="9"/>
  <c r="R797" i="9"/>
  <c r="Q797" i="9"/>
  <c r="N797" i="9"/>
  <c r="B797" i="9"/>
  <c r="R4589" i="24" l="1"/>
  <c r="R4590" i="24" s="1"/>
  <c r="R4591" i="24" s="1"/>
  <c r="R4592" i="24" s="1"/>
  <c r="R4593" i="24" s="1"/>
  <c r="R4594" i="24" s="1"/>
  <c r="B801" i="8"/>
  <c r="N801" i="8"/>
  <c r="Q801" i="8"/>
  <c r="R801" i="8"/>
  <c r="AB801" i="8"/>
  <c r="B800" i="8"/>
  <c r="N800" i="8"/>
  <c r="Q800" i="8"/>
  <c r="R800" i="8"/>
  <c r="AB800" i="8"/>
  <c r="B796" i="9"/>
  <c r="N796" i="9"/>
  <c r="Q796" i="9"/>
  <c r="R796" i="9"/>
  <c r="AB796" i="9"/>
  <c r="B795" i="9"/>
  <c r="N795" i="9"/>
  <c r="Q795" i="9"/>
  <c r="R795" i="9"/>
  <c r="AB795" i="9"/>
  <c r="B794" i="9"/>
  <c r="N794" i="9"/>
  <c r="Q794" i="9"/>
  <c r="R794" i="9"/>
  <c r="AB794" i="9"/>
  <c r="B793" i="9"/>
  <c r="N793" i="9"/>
  <c r="Q793" i="9"/>
  <c r="R793" i="9"/>
  <c r="AB793" i="9"/>
  <c r="B799" i="8"/>
  <c r="N799" i="8"/>
  <c r="Q799" i="8"/>
  <c r="R799" i="8"/>
  <c r="AB799" i="8"/>
  <c r="B798" i="8"/>
  <c r="N798" i="8"/>
  <c r="Q798" i="8"/>
  <c r="R798" i="8"/>
  <c r="AB798" i="8"/>
  <c r="B797" i="8"/>
  <c r="N797" i="8"/>
  <c r="Q797" i="8"/>
  <c r="R797" i="8"/>
  <c r="AB797" i="8"/>
  <c r="R4595" i="24" l="1"/>
  <c r="R4596" i="24" s="1"/>
  <c r="R4597" i="24" s="1"/>
  <c r="R4598" i="24" s="1"/>
  <c r="R4599" i="24" s="1"/>
  <c r="R4600" i="24" s="1"/>
  <c r="B789" i="8"/>
  <c r="N789" i="8"/>
  <c r="Q789" i="8"/>
  <c r="R789" i="8"/>
  <c r="AB789" i="8"/>
  <c r="B790" i="8"/>
  <c r="N790" i="8"/>
  <c r="Q790" i="8"/>
  <c r="R790" i="8"/>
  <c r="AB790" i="8"/>
  <c r="B796" i="8"/>
  <c r="N796" i="8"/>
  <c r="Q796" i="8"/>
  <c r="R796" i="8"/>
  <c r="AB796" i="8"/>
  <c r="R4601" i="24" l="1"/>
  <c r="R4602" i="24" s="1"/>
  <c r="R4603" i="24" s="1"/>
  <c r="AA246" i="20"/>
  <c r="X246" i="20"/>
  <c r="Q246" i="20"/>
  <c r="P246" i="20"/>
  <c r="M246" i="20"/>
  <c r="B246" i="20"/>
  <c r="AA233" i="20"/>
  <c r="X233" i="20"/>
  <c r="Q233" i="20"/>
  <c r="P233" i="20"/>
  <c r="M233" i="20"/>
  <c r="B233" i="20"/>
  <c r="AA235" i="20"/>
  <c r="AA236" i="20"/>
  <c r="AA237" i="20"/>
  <c r="AA238" i="20"/>
  <c r="AA239" i="20"/>
  <c r="AA240" i="20"/>
  <c r="AA241" i="20"/>
  <c r="AA242" i="20"/>
  <c r="AA243" i="20"/>
  <c r="AA244" i="20"/>
  <c r="AA245" i="20"/>
  <c r="X235" i="20"/>
  <c r="X236" i="20"/>
  <c r="X237" i="20"/>
  <c r="X238" i="20"/>
  <c r="X239" i="20"/>
  <c r="X240" i="20"/>
  <c r="X241" i="20"/>
  <c r="X242" i="20"/>
  <c r="X243" i="20"/>
  <c r="X244" i="20"/>
  <c r="X245" i="20"/>
  <c r="Q235" i="20"/>
  <c r="Q236" i="20"/>
  <c r="Q237" i="20"/>
  <c r="Q238" i="20"/>
  <c r="Q239" i="20"/>
  <c r="Q240" i="20"/>
  <c r="Q241" i="20"/>
  <c r="Q242" i="20"/>
  <c r="Q243" i="20"/>
  <c r="Q244" i="20"/>
  <c r="Q245" i="20"/>
  <c r="P235" i="20"/>
  <c r="P236" i="20"/>
  <c r="P237" i="20"/>
  <c r="P238" i="20"/>
  <c r="P239" i="20"/>
  <c r="P240" i="20"/>
  <c r="P241" i="20"/>
  <c r="P242" i="20"/>
  <c r="P243" i="20"/>
  <c r="P244" i="20"/>
  <c r="P245" i="20"/>
  <c r="M235" i="20"/>
  <c r="M236" i="20"/>
  <c r="M237" i="20"/>
  <c r="M238" i="20"/>
  <c r="M239" i="20"/>
  <c r="M240" i="20"/>
  <c r="M241" i="20"/>
  <c r="M242" i="20"/>
  <c r="M243" i="20"/>
  <c r="M244" i="20"/>
  <c r="M245" i="20"/>
  <c r="B235" i="20"/>
  <c r="B236" i="20"/>
  <c r="B237" i="20"/>
  <c r="B238" i="20"/>
  <c r="B239" i="20"/>
  <c r="B240" i="20"/>
  <c r="B241" i="20"/>
  <c r="B242" i="20"/>
  <c r="B243" i="20"/>
  <c r="B244" i="20"/>
  <c r="B245" i="20"/>
  <c r="AA234" i="20"/>
  <c r="X234" i="20"/>
  <c r="Q234" i="20"/>
  <c r="P234" i="20"/>
  <c r="M234" i="20"/>
  <c r="B234" i="20"/>
  <c r="R4604" i="24" l="1"/>
  <c r="R4605" i="24" s="1"/>
  <c r="R4606" i="24" s="1"/>
  <c r="R4607" i="24" s="1"/>
  <c r="R4608" i="24" s="1"/>
  <c r="R4609" i="24" s="1"/>
  <c r="R4610" i="24" s="1"/>
  <c r="R4611" i="24" s="1"/>
  <c r="AA438" i="23"/>
  <c r="Q438" i="23"/>
  <c r="P438" i="23"/>
  <c r="M438" i="23"/>
  <c r="B438" i="23"/>
  <c r="AA437" i="23"/>
  <c r="Q437" i="23"/>
  <c r="P437" i="23"/>
  <c r="M437" i="23"/>
  <c r="B437" i="23"/>
  <c r="AA436" i="23"/>
  <c r="Q436" i="23"/>
  <c r="P436" i="23"/>
  <c r="M436" i="23"/>
  <c r="B436" i="23"/>
  <c r="AA435" i="23"/>
  <c r="Q435" i="23"/>
  <c r="P435" i="23"/>
  <c r="M435" i="23"/>
  <c r="B435" i="23"/>
  <c r="AA434" i="23"/>
  <c r="Q434" i="23"/>
  <c r="P434" i="23"/>
  <c r="M434" i="23"/>
  <c r="B434" i="23"/>
  <c r="AA433" i="23"/>
  <c r="Q433" i="23"/>
  <c r="P433" i="23"/>
  <c r="M433" i="23"/>
  <c r="B433" i="23"/>
  <c r="AA432" i="23"/>
  <c r="Q432" i="23"/>
  <c r="P432" i="23"/>
  <c r="M432" i="23"/>
  <c r="B432" i="23"/>
  <c r="AA431" i="23"/>
  <c r="Q431" i="23"/>
  <c r="P431" i="23"/>
  <c r="M431" i="23"/>
  <c r="B431" i="23"/>
  <c r="AA430" i="23"/>
  <c r="Q430" i="23"/>
  <c r="P430" i="23"/>
  <c r="M430" i="23"/>
  <c r="B430" i="23"/>
  <c r="B429" i="23"/>
  <c r="M429" i="23"/>
  <c r="P429" i="23"/>
  <c r="Q429" i="23"/>
  <c r="AA429" i="23"/>
  <c r="B428" i="23"/>
  <c r="M428" i="23"/>
  <c r="P428" i="23"/>
  <c r="Q428" i="23"/>
  <c r="AA428" i="23"/>
  <c r="B427" i="23"/>
  <c r="M427" i="23"/>
  <c r="P427" i="23"/>
  <c r="Q427" i="23"/>
  <c r="AA427" i="23"/>
  <c r="B426" i="23"/>
  <c r="M426" i="23"/>
  <c r="P426" i="23"/>
  <c r="Q426" i="23"/>
  <c r="AA426" i="23"/>
  <c r="B425" i="23"/>
  <c r="M425" i="23"/>
  <c r="P425" i="23"/>
  <c r="Q425" i="23"/>
  <c r="AA425" i="23"/>
  <c r="B424" i="23"/>
  <c r="M424" i="23"/>
  <c r="P424" i="23"/>
  <c r="Q424" i="23"/>
  <c r="AA424" i="23"/>
  <c r="B308" i="13"/>
  <c r="M308" i="13"/>
  <c r="P308" i="13"/>
  <c r="Q308" i="13"/>
  <c r="X308" i="13"/>
  <c r="AA308" i="13"/>
  <c r="B280" i="13"/>
  <c r="M280" i="13"/>
  <c r="P280" i="13"/>
  <c r="Q280" i="13"/>
  <c r="X280" i="13"/>
  <c r="AA280" i="13"/>
  <c r="R4612" i="24" l="1"/>
  <c r="R4613" i="24" s="1"/>
  <c r="R4614" i="24" s="1"/>
  <c r="R4615" i="24" s="1"/>
  <c r="R4616" i="24" s="1"/>
  <c r="R4617" i="24" s="1"/>
  <c r="R4618" i="24" s="1"/>
  <c r="B281" i="13"/>
  <c r="B282" i="13"/>
  <c r="B283" i="13"/>
  <c r="B284" i="13"/>
  <c r="B285" i="13"/>
  <c r="B286" i="13"/>
  <c r="B287" i="13"/>
  <c r="B288" i="13"/>
  <c r="B289" i="13"/>
  <c r="B290" i="13"/>
  <c r="B291" i="13"/>
  <c r="B292" i="13"/>
  <c r="B293" i="13"/>
  <c r="B294" i="13"/>
  <c r="B295" i="13"/>
  <c r="B296" i="13"/>
  <c r="B297" i="13"/>
  <c r="B298" i="13"/>
  <c r="B299" i="13"/>
  <c r="B300" i="13"/>
  <c r="B301" i="13"/>
  <c r="B302" i="13"/>
  <c r="B303" i="13"/>
  <c r="B304" i="13"/>
  <c r="B305" i="13"/>
  <c r="B306" i="13"/>
  <c r="B307" i="13"/>
  <c r="B309" i="13"/>
  <c r="B310" i="13"/>
  <c r="B311" i="13"/>
  <c r="B312" i="13"/>
  <c r="B313" i="13"/>
  <c r="M281" i="13"/>
  <c r="M282" i="13"/>
  <c r="M283" i="13"/>
  <c r="M284" i="13"/>
  <c r="M285" i="13"/>
  <c r="M286" i="13"/>
  <c r="M287" i="13"/>
  <c r="M288" i="13"/>
  <c r="M289" i="13"/>
  <c r="M290" i="13"/>
  <c r="M291" i="13"/>
  <c r="M292" i="13"/>
  <c r="M293" i="13"/>
  <c r="M294" i="13"/>
  <c r="M295" i="13"/>
  <c r="M296" i="13"/>
  <c r="M297" i="13"/>
  <c r="M298" i="13"/>
  <c r="M299" i="13"/>
  <c r="M300" i="13"/>
  <c r="M301" i="13"/>
  <c r="M302" i="13"/>
  <c r="M303" i="13"/>
  <c r="M304" i="13"/>
  <c r="M305" i="13"/>
  <c r="M306" i="13"/>
  <c r="M307" i="13"/>
  <c r="M309" i="13"/>
  <c r="M310" i="13"/>
  <c r="M311" i="13"/>
  <c r="M312" i="13"/>
  <c r="M313" i="13"/>
  <c r="P281" i="13"/>
  <c r="P282" i="13"/>
  <c r="P283" i="13"/>
  <c r="P284" i="13"/>
  <c r="P285" i="13"/>
  <c r="P286" i="13"/>
  <c r="P287" i="13"/>
  <c r="P288" i="13"/>
  <c r="P289" i="13"/>
  <c r="P290" i="13"/>
  <c r="P291" i="13"/>
  <c r="P292" i="13"/>
  <c r="P293" i="13"/>
  <c r="P294" i="13"/>
  <c r="P295" i="13"/>
  <c r="P296" i="13"/>
  <c r="P297" i="13"/>
  <c r="P298" i="13"/>
  <c r="P299" i="13"/>
  <c r="P300" i="13"/>
  <c r="P301" i="13"/>
  <c r="P302" i="13"/>
  <c r="P303" i="13"/>
  <c r="P304" i="13"/>
  <c r="P305" i="13"/>
  <c r="P306" i="13"/>
  <c r="P307" i="13"/>
  <c r="P309" i="13"/>
  <c r="P310" i="13"/>
  <c r="P311" i="13"/>
  <c r="P312" i="13"/>
  <c r="P313" i="13"/>
  <c r="Q281" i="13"/>
  <c r="Q282" i="13"/>
  <c r="Q283" i="13"/>
  <c r="Q284" i="13"/>
  <c r="Q285" i="13"/>
  <c r="Q286" i="13"/>
  <c r="Q287" i="13"/>
  <c r="Q288" i="13"/>
  <c r="Q289" i="13"/>
  <c r="Q290" i="13"/>
  <c r="Q291" i="13"/>
  <c r="Q292" i="13"/>
  <c r="Q293" i="13"/>
  <c r="Q294" i="13"/>
  <c r="Q295" i="13"/>
  <c r="Q296" i="13"/>
  <c r="Q297" i="13"/>
  <c r="Q298" i="13"/>
  <c r="Q299" i="13"/>
  <c r="Q300" i="13"/>
  <c r="Q301" i="13"/>
  <c r="Q302" i="13"/>
  <c r="Q303" i="13"/>
  <c r="Q304" i="13"/>
  <c r="Q305" i="13"/>
  <c r="Q306" i="13"/>
  <c r="Q307" i="13"/>
  <c r="Q309" i="13"/>
  <c r="Q310" i="13"/>
  <c r="Q311" i="13"/>
  <c r="Q312" i="13"/>
  <c r="Q313" i="13"/>
  <c r="X281" i="13"/>
  <c r="X282" i="13"/>
  <c r="X283" i="13"/>
  <c r="X284" i="13"/>
  <c r="X285" i="13"/>
  <c r="X286" i="13"/>
  <c r="X287" i="13"/>
  <c r="X288" i="13"/>
  <c r="X289" i="13"/>
  <c r="X290" i="13"/>
  <c r="X291" i="13"/>
  <c r="X292" i="13"/>
  <c r="X293" i="13"/>
  <c r="X294" i="13"/>
  <c r="X295" i="13"/>
  <c r="X296" i="13"/>
  <c r="X297" i="13"/>
  <c r="X298" i="13"/>
  <c r="X299" i="13"/>
  <c r="X300" i="13"/>
  <c r="X301" i="13"/>
  <c r="X302" i="13"/>
  <c r="X303" i="13"/>
  <c r="X304" i="13"/>
  <c r="X305" i="13"/>
  <c r="X306" i="13"/>
  <c r="X307" i="13"/>
  <c r="X309" i="13"/>
  <c r="X310" i="13"/>
  <c r="X311" i="13"/>
  <c r="X312" i="13"/>
  <c r="X313" i="13"/>
  <c r="AA281" i="13"/>
  <c r="AA282" i="13"/>
  <c r="AA283" i="13"/>
  <c r="AA284" i="13"/>
  <c r="AA285" i="13"/>
  <c r="AA286" i="13"/>
  <c r="AA287" i="13"/>
  <c r="AA288" i="13"/>
  <c r="AA289" i="13"/>
  <c r="AA290" i="13"/>
  <c r="AA291" i="13"/>
  <c r="AA292" i="13"/>
  <c r="AA293" i="13"/>
  <c r="AA294" i="13"/>
  <c r="AA295" i="13"/>
  <c r="AA296" i="13"/>
  <c r="AA297" i="13"/>
  <c r="AA298" i="13"/>
  <c r="AA299" i="13"/>
  <c r="AA300" i="13"/>
  <c r="AA301" i="13"/>
  <c r="AA302" i="13"/>
  <c r="AA303" i="13"/>
  <c r="AA304" i="13"/>
  <c r="AA305" i="13"/>
  <c r="AA306" i="13"/>
  <c r="AA307" i="13"/>
  <c r="AA309" i="13"/>
  <c r="AA310" i="13"/>
  <c r="AA311" i="13"/>
  <c r="AA312" i="13"/>
  <c r="AA313" i="13"/>
  <c r="B792" i="9"/>
  <c r="N792" i="9"/>
  <c r="Q792" i="9"/>
  <c r="R792" i="9"/>
  <c r="AB792" i="9"/>
  <c r="R4619" i="24" l="1"/>
  <c r="AA272" i="13"/>
  <c r="X272" i="13"/>
  <c r="Q272" i="13"/>
  <c r="P272" i="13"/>
  <c r="M272" i="13"/>
  <c r="B272" i="13"/>
  <c r="AA273" i="13"/>
  <c r="X273" i="13"/>
  <c r="Q273" i="13"/>
  <c r="P273" i="13"/>
  <c r="M273" i="13"/>
  <c r="B273" i="13"/>
  <c r="B791" i="9"/>
  <c r="N791" i="9"/>
  <c r="Q791" i="9"/>
  <c r="R791" i="9"/>
  <c r="AB791" i="9"/>
  <c r="B790" i="9"/>
  <c r="N790" i="9"/>
  <c r="Q790" i="9"/>
  <c r="R790" i="9"/>
  <c r="AB790" i="9"/>
  <c r="R4620" i="24" l="1"/>
  <c r="B795" i="8"/>
  <c r="N795" i="8"/>
  <c r="Q795" i="8"/>
  <c r="R795" i="8"/>
  <c r="AB795" i="8"/>
  <c r="R4621" i="24" l="1"/>
  <c r="R4622" i="24" s="1"/>
  <c r="R4623" i="24" s="1"/>
  <c r="R4624" i="24" s="1"/>
  <c r="R4625" i="24" s="1"/>
  <c r="R4626" i="24" s="1"/>
  <c r="R4627" i="24" s="1"/>
  <c r="R4628" i="24" s="1"/>
  <c r="R4629" i="24" s="1"/>
  <c r="R4630" i="24" s="1"/>
  <c r="R4631" i="24" s="1"/>
  <c r="R4632" i="24" s="1"/>
  <c r="R4633" i="24" s="1"/>
  <c r="R4634" i="24" s="1"/>
  <c r="B789" i="9"/>
  <c r="N789" i="9"/>
  <c r="Q789" i="9"/>
  <c r="R789" i="9"/>
  <c r="AB789" i="9"/>
  <c r="B788" i="9" l="1"/>
  <c r="N788" i="9"/>
  <c r="Q788" i="9"/>
  <c r="R788" i="9"/>
  <c r="AB788" i="9"/>
  <c r="B792" i="8"/>
  <c r="N792" i="8"/>
  <c r="Q792" i="8"/>
  <c r="R792" i="8"/>
  <c r="AB792" i="8"/>
  <c r="AA351" i="3" l="1"/>
  <c r="Q351" i="3"/>
  <c r="P351" i="3"/>
  <c r="M351" i="3"/>
  <c r="B351" i="3"/>
  <c r="AB777" i="9" l="1"/>
  <c r="R777" i="9"/>
  <c r="Q777" i="9"/>
  <c r="N777" i="9"/>
  <c r="B777" i="9"/>
  <c r="AA352" i="3"/>
  <c r="Q352" i="3"/>
  <c r="P352" i="3"/>
  <c r="M352" i="3"/>
  <c r="B352" i="3"/>
  <c r="B656" i="7"/>
  <c r="B657" i="7"/>
  <c r="B658" i="7"/>
  <c r="B659" i="7"/>
  <c r="B660" i="7"/>
  <c r="B661" i="7"/>
  <c r="B662" i="7"/>
  <c r="B663" i="7"/>
  <c r="B664" i="7"/>
  <c r="B665" i="7"/>
  <c r="B666" i="7"/>
  <c r="B667" i="7"/>
  <c r="B668" i="7"/>
  <c r="B669" i="7"/>
  <c r="B670" i="7"/>
  <c r="B671" i="7"/>
  <c r="B672" i="7"/>
  <c r="B673" i="7"/>
  <c r="B674" i="7"/>
  <c r="B675" i="7"/>
  <c r="B676" i="7"/>
  <c r="B677" i="7"/>
  <c r="B678" i="7"/>
  <c r="B679" i="7"/>
  <c r="B680" i="7"/>
  <c r="B681" i="7"/>
  <c r="B682" i="7"/>
  <c r="B683" i="7"/>
  <c r="B684" i="7"/>
  <c r="B685" i="7"/>
  <c r="M656" i="7"/>
  <c r="M657" i="7"/>
  <c r="M658" i="7"/>
  <c r="M659" i="7"/>
  <c r="M660" i="7"/>
  <c r="M661" i="7"/>
  <c r="M662" i="7"/>
  <c r="M663" i="7"/>
  <c r="M664" i="7"/>
  <c r="M665" i="7"/>
  <c r="M666" i="7"/>
  <c r="M667" i="7"/>
  <c r="M668" i="7"/>
  <c r="M669" i="7"/>
  <c r="M670" i="7"/>
  <c r="M671" i="7"/>
  <c r="M672" i="7"/>
  <c r="M673" i="7"/>
  <c r="M674" i="7"/>
  <c r="M675" i="7"/>
  <c r="M676" i="7"/>
  <c r="M677" i="7"/>
  <c r="M678" i="7"/>
  <c r="M679" i="7"/>
  <c r="M680" i="7"/>
  <c r="M681" i="7"/>
  <c r="M682" i="7"/>
  <c r="M683" i="7"/>
  <c r="M684" i="7"/>
  <c r="M685" i="7"/>
  <c r="P656" i="7"/>
  <c r="X656" i="7" s="1"/>
  <c r="P657" i="7"/>
  <c r="X657" i="7" s="1"/>
  <c r="P658" i="7"/>
  <c r="X658" i="7" s="1"/>
  <c r="P659" i="7"/>
  <c r="X659" i="7" s="1"/>
  <c r="P660" i="7"/>
  <c r="X660" i="7" s="1"/>
  <c r="P661" i="7"/>
  <c r="X661" i="7" s="1"/>
  <c r="P662" i="7"/>
  <c r="X662" i="7" s="1"/>
  <c r="P663" i="7"/>
  <c r="X663" i="7" s="1"/>
  <c r="P664" i="7"/>
  <c r="X664" i="7" s="1"/>
  <c r="P665" i="7"/>
  <c r="X665" i="7" s="1"/>
  <c r="P666" i="7"/>
  <c r="X666" i="7" s="1"/>
  <c r="P667" i="7"/>
  <c r="X667" i="7" s="1"/>
  <c r="P668" i="7"/>
  <c r="X668" i="7" s="1"/>
  <c r="P669" i="7"/>
  <c r="X669" i="7" s="1"/>
  <c r="P670" i="7"/>
  <c r="X670" i="7" s="1"/>
  <c r="P671" i="7"/>
  <c r="X671" i="7" s="1"/>
  <c r="P672" i="7"/>
  <c r="X672" i="7" s="1"/>
  <c r="P673" i="7"/>
  <c r="X673" i="7" s="1"/>
  <c r="P674" i="7"/>
  <c r="X674" i="7" s="1"/>
  <c r="P675" i="7"/>
  <c r="X675" i="7" s="1"/>
  <c r="P676" i="7"/>
  <c r="X676" i="7" s="1"/>
  <c r="P677" i="7"/>
  <c r="X677" i="7" s="1"/>
  <c r="P678" i="7"/>
  <c r="X678" i="7" s="1"/>
  <c r="P679" i="7"/>
  <c r="X679" i="7" s="1"/>
  <c r="P680" i="7"/>
  <c r="X680" i="7" s="1"/>
  <c r="P681" i="7"/>
  <c r="X681" i="7" s="1"/>
  <c r="P682" i="7"/>
  <c r="X682" i="7" s="1"/>
  <c r="P683" i="7"/>
  <c r="X683" i="7" s="1"/>
  <c r="P684" i="7"/>
  <c r="X684" i="7" s="1"/>
  <c r="P685" i="7"/>
  <c r="X685" i="7" s="1"/>
  <c r="Q656" i="7"/>
  <c r="Q657" i="7"/>
  <c r="Q658" i="7"/>
  <c r="Q659" i="7"/>
  <c r="Q660" i="7"/>
  <c r="Q661" i="7"/>
  <c r="Q662" i="7"/>
  <c r="Q663" i="7"/>
  <c r="Q664" i="7"/>
  <c r="Q665" i="7"/>
  <c r="Q666" i="7"/>
  <c r="Q667" i="7"/>
  <c r="Q668" i="7"/>
  <c r="Q669" i="7"/>
  <c r="Q670" i="7"/>
  <c r="Q671" i="7"/>
  <c r="Q672" i="7"/>
  <c r="Q673" i="7"/>
  <c r="Q674" i="7"/>
  <c r="Q675" i="7"/>
  <c r="Q676" i="7"/>
  <c r="Q677" i="7"/>
  <c r="Q678" i="7"/>
  <c r="Q679" i="7"/>
  <c r="Q680" i="7"/>
  <c r="Q681" i="7"/>
  <c r="Q682" i="7"/>
  <c r="Q683" i="7"/>
  <c r="Q684" i="7"/>
  <c r="Q685" i="7"/>
  <c r="AB791" i="8" l="1"/>
  <c r="R791" i="8"/>
  <c r="Q791" i="8"/>
  <c r="N791" i="8"/>
  <c r="B791" i="8"/>
  <c r="AB776" i="9"/>
  <c r="R776" i="9"/>
  <c r="Q776" i="9"/>
  <c r="N776" i="9"/>
  <c r="B776" i="9"/>
  <c r="B228" i="17" l="1"/>
  <c r="M228" i="17"/>
  <c r="P228" i="17"/>
  <c r="Q228" i="17"/>
  <c r="X228" i="17"/>
  <c r="AA228" i="17"/>
  <c r="B227" i="17"/>
  <c r="B229" i="17"/>
  <c r="B230" i="17"/>
  <c r="B231" i="17"/>
  <c r="B232" i="17"/>
  <c r="B233" i="17"/>
  <c r="B234" i="17"/>
  <c r="B235" i="17"/>
  <c r="M227" i="17"/>
  <c r="M229" i="17"/>
  <c r="M230" i="17"/>
  <c r="M231" i="17"/>
  <c r="M232" i="17"/>
  <c r="M233" i="17"/>
  <c r="M234" i="17"/>
  <c r="M235" i="17"/>
  <c r="P227" i="17"/>
  <c r="P229" i="17"/>
  <c r="P230" i="17"/>
  <c r="P231" i="17"/>
  <c r="P232" i="17"/>
  <c r="P233" i="17"/>
  <c r="P234" i="17"/>
  <c r="P235" i="17"/>
  <c r="Q227" i="17"/>
  <c r="Q229" i="17"/>
  <c r="Q230" i="17"/>
  <c r="Q231" i="17"/>
  <c r="Q232" i="17"/>
  <c r="Q233" i="17"/>
  <c r="Q234" i="17"/>
  <c r="Q235" i="17"/>
  <c r="X227" i="17"/>
  <c r="X229" i="17"/>
  <c r="X230" i="17"/>
  <c r="X231" i="17"/>
  <c r="X232" i="17"/>
  <c r="X233" i="17"/>
  <c r="X234" i="17"/>
  <c r="X235" i="17"/>
  <c r="AA227" i="17"/>
  <c r="AA229" i="17"/>
  <c r="AA230" i="17"/>
  <c r="AA231" i="17"/>
  <c r="AA232" i="17"/>
  <c r="AA233" i="17"/>
  <c r="AA234" i="17"/>
  <c r="AA235" i="17"/>
  <c r="AA326" i="3"/>
  <c r="AA327" i="3"/>
  <c r="Q326" i="3"/>
  <c r="Q327" i="3"/>
  <c r="P326" i="3"/>
  <c r="P327" i="3"/>
  <c r="M326" i="3"/>
  <c r="M327" i="3"/>
  <c r="B326" i="3"/>
  <c r="B327" i="3"/>
  <c r="AA287" i="3"/>
  <c r="Q287" i="3"/>
  <c r="P287" i="3"/>
  <c r="M287" i="3"/>
  <c r="B287" i="3"/>
  <c r="AA288" i="3"/>
  <c r="Q288" i="3"/>
  <c r="P288" i="3"/>
  <c r="M288" i="3"/>
  <c r="B288" i="3"/>
  <c r="B775" i="9" l="1"/>
  <c r="N775" i="9"/>
  <c r="Q775" i="9"/>
  <c r="R775" i="9"/>
  <c r="AB775" i="9"/>
  <c r="B774" i="9"/>
  <c r="N774" i="9"/>
  <c r="Q774" i="9"/>
  <c r="R774" i="9"/>
  <c r="AB774" i="9"/>
  <c r="B773" i="9"/>
  <c r="N773" i="9"/>
  <c r="Q773" i="9"/>
  <c r="R773" i="9"/>
  <c r="AB773" i="9"/>
  <c r="B772" i="9"/>
  <c r="N772" i="9"/>
  <c r="Q772" i="9"/>
  <c r="R772" i="9"/>
  <c r="AB772" i="9"/>
  <c r="B788" i="8"/>
  <c r="N788" i="8"/>
  <c r="Q788" i="8"/>
  <c r="R788" i="8"/>
  <c r="AB788" i="8"/>
  <c r="B787" i="8" l="1"/>
  <c r="N787" i="8"/>
  <c r="Q787" i="8"/>
  <c r="R787" i="8"/>
  <c r="AB787" i="8"/>
  <c r="B786" i="8" l="1"/>
  <c r="N786" i="8"/>
  <c r="Q786" i="8"/>
  <c r="R786" i="8"/>
  <c r="AB786" i="8"/>
  <c r="Q654" i="7" l="1"/>
  <c r="P654" i="7"/>
  <c r="X654" i="7" s="1"/>
  <c r="M654" i="7"/>
  <c r="B654" i="7"/>
  <c r="J827" i="7"/>
  <c r="L827" i="7" s="1"/>
  <c r="J828" i="7"/>
  <c r="L828" i="7" s="1"/>
  <c r="J829" i="7"/>
  <c r="L829" i="7" s="1"/>
  <c r="I830" i="7"/>
  <c r="B771" i="9"/>
  <c r="N771" i="9"/>
  <c r="Q771" i="9"/>
  <c r="R771" i="9"/>
  <c r="AB771" i="9"/>
  <c r="AA5" i="3"/>
  <c r="Q5" i="3"/>
  <c r="P5" i="3"/>
  <c r="M5" i="3"/>
  <c r="B5" i="3"/>
  <c r="AA3" i="3"/>
  <c r="Q3" i="3"/>
  <c r="P3" i="3"/>
  <c r="M3" i="3"/>
  <c r="B3" i="3"/>
  <c r="AA347" i="3"/>
  <c r="Q347" i="3"/>
  <c r="P347" i="3"/>
  <c r="M347" i="3"/>
  <c r="B347" i="3"/>
  <c r="AA346" i="3"/>
  <c r="Q346" i="3"/>
  <c r="P346" i="3"/>
  <c r="M346" i="3"/>
  <c r="B346" i="3"/>
  <c r="AA348" i="3"/>
  <c r="Q348" i="3"/>
  <c r="P348" i="3"/>
  <c r="M348" i="3"/>
  <c r="B348" i="3"/>
  <c r="B115" i="19"/>
  <c r="M115" i="19"/>
  <c r="P115" i="19"/>
  <c r="Q115" i="19"/>
  <c r="X115" i="19"/>
  <c r="AA115" i="19"/>
  <c r="B267" i="12"/>
  <c r="B274" i="12"/>
  <c r="M274" i="12"/>
  <c r="P274" i="12"/>
  <c r="Q274" i="12"/>
  <c r="X274" i="12"/>
  <c r="AA274" i="12"/>
  <c r="B270" i="12"/>
  <c r="B271" i="12"/>
  <c r="B272" i="12"/>
  <c r="B273" i="12"/>
  <c r="B275" i="12"/>
  <c r="B276" i="12"/>
  <c r="B277" i="12"/>
  <c r="B278" i="12"/>
  <c r="B279" i="12"/>
  <c r="B280" i="12"/>
  <c r="B281" i="12"/>
  <c r="B282" i="12"/>
  <c r="B283" i="12"/>
  <c r="M270" i="12"/>
  <c r="M271" i="12"/>
  <c r="M272" i="12"/>
  <c r="M273" i="12"/>
  <c r="M275" i="12"/>
  <c r="M276" i="12"/>
  <c r="M277" i="12"/>
  <c r="M278" i="12"/>
  <c r="M279" i="12"/>
  <c r="M280" i="12"/>
  <c r="M281" i="12"/>
  <c r="M282" i="12"/>
  <c r="M283" i="12"/>
  <c r="P270" i="12"/>
  <c r="P271" i="12"/>
  <c r="P272" i="12"/>
  <c r="P273" i="12"/>
  <c r="P275" i="12"/>
  <c r="P276" i="12"/>
  <c r="P277" i="12"/>
  <c r="P278" i="12"/>
  <c r="P279" i="12"/>
  <c r="P280" i="12"/>
  <c r="P281" i="12"/>
  <c r="P282" i="12"/>
  <c r="P283" i="12"/>
  <c r="Q270" i="12"/>
  <c r="Q271" i="12"/>
  <c r="Q272" i="12"/>
  <c r="Q273" i="12"/>
  <c r="Q275" i="12"/>
  <c r="Q276" i="12"/>
  <c r="Q277" i="12"/>
  <c r="Q278" i="12"/>
  <c r="Q279" i="12"/>
  <c r="Q280" i="12"/>
  <c r="Q281" i="12"/>
  <c r="Q282" i="12"/>
  <c r="Q283" i="12"/>
  <c r="X270" i="12"/>
  <c r="X271" i="12"/>
  <c r="X272" i="12"/>
  <c r="X273" i="12"/>
  <c r="X275" i="12"/>
  <c r="X276" i="12"/>
  <c r="X277" i="12"/>
  <c r="X278" i="12"/>
  <c r="X279" i="12"/>
  <c r="X280" i="12"/>
  <c r="X281" i="12"/>
  <c r="X282" i="12"/>
  <c r="X283" i="12"/>
  <c r="AA270" i="12"/>
  <c r="AA271" i="12"/>
  <c r="AA272" i="12"/>
  <c r="AA273" i="12"/>
  <c r="AA275" i="12"/>
  <c r="AA276" i="12"/>
  <c r="AA277" i="12"/>
  <c r="AA278" i="12"/>
  <c r="AA279" i="12"/>
  <c r="AA280" i="12"/>
  <c r="AA281" i="12"/>
  <c r="AA282" i="12"/>
  <c r="AA283" i="12"/>
  <c r="B269" i="12"/>
  <c r="M269" i="12"/>
  <c r="P269" i="12"/>
  <c r="Q269" i="12"/>
  <c r="X269" i="12"/>
  <c r="AA269" i="12"/>
  <c r="B252" i="13"/>
  <c r="M252" i="13"/>
  <c r="P252" i="13"/>
  <c r="Q252" i="13"/>
  <c r="X252" i="13"/>
  <c r="AA252" i="13"/>
  <c r="J830" i="7" l="1"/>
  <c r="L830" i="7"/>
  <c r="B275" i="13"/>
  <c r="M275" i="13"/>
  <c r="P275" i="13"/>
  <c r="Q275" i="13"/>
  <c r="X275" i="13"/>
  <c r="AA275" i="13"/>
  <c r="B269" i="13"/>
  <c r="M269" i="13"/>
  <c r="P269" i="13"/>
  <c r="Q269" i="13"/>
  <c r="X269" i="13"/>
  <c r="AA269" i="13"/>
  <c r="B265" i="13"/>
  <c r="B266" i="13"/>
  <c r="B267" i="13"/>
  <c r="B268" i="13"/>
  <c r="B270" i="13"/>
  <c r="B271" i="13"/>
  <c r="B274" i="13"/>
  <c r="B276" i="13"/>
  <c r="B277" i="13"/>
  <c r="B278" i="13"/>
  <c r="B279" i="13"/>
  <c r="M265" i="13"/>
  <c r="M266" i="13"/>
  <c r="M267" i="13"/>
  <c r="M268" i="13"/>
  <c r="M270" i="13"/>
  <c r="M271" i="13"/>
  <c r="M274" i="13"/>
  <c r="M276" i="13"/>
  <c r="M277" i="13"/>
  <c r="M278" i="13"/>
  <c r="M279" i="13"/>
  <c r="P265" i="13"/>
  <c r="P266" i="13"/>
  <c r="P267" i="13"/>
  <c r="P268" i="13"/>
  <c r="P270" i="13"/>
  <c r="P271" i="13"/>
  <c r="P274" i="13"/>
  <c r="P276" i="13"/>
  <c r="P277" i="13"/>
  <c r="P278" i="13"/>
  <c r="P279" i="13"/>
  <c r="Q265" i="13"/>
  <c r="Q266" i="13"/>
  <c r="Q267" i="13"/>
  <c r="Q268" i="13"/>
  <c r="Q270" i="13"/>
  <c r="Q271" i="13"/>
  <c r="Q274" i="13"/>
  <c r="Q276" i="13"/>
  <c r="Q277" i="13"/>
  <c r="Q278" i="13"/>
  <c r="Q279" i="13"/>
  <c r="X265" i="13"/>
  <c r="X266" i="13"/>
  <c r="X267" i="13"/>
  <c r="X268" i="13"/>
  <c r="X270" i="13"/>
  <c r="X271" i="13"/>
  <c r="X274" i="13"/>
  <c r="X276" i="13"/>
  <c r="X277" i="13"/>
  <c r="X278" i="13"/>
  <c r="X279" i="13"/>
  <c r="AA265" i="13"/>
  <c r="AA266" i="13"/>
  <c r="AA267" i="13"/>
  <c r="AA268" i="13"/>
  <c r="AA270" i="13"/>
  <c r="AA271" i="13"/>
  <c r="AA274" i="13"/>
  <c r="AA276" i="13"/>
  <c r="AA277" i="13"/>
  <c r="AA278" i="13"/>
  <c r="AA279" i="13"/>
  <c r="AA350" i="3"/>
  <c r="Q350" i="3"/>
  <c r="P350" i="3"/>
  <c r="M350" i="3"/>
  <c r="B350" i="3"/>
  <c r="B444" i="18"/>
  <c r="M444" i="18"/>
  <c r="P444" i="18"/>
  <c r="Q444" i="18"/>
  <c r="X444" i="18"/>
  <c r="AA444" i="18"/>
  <c r="B442" i="18"/>
  <c r="B443" i="18"/>
  <c r="B445" i="18"/>
  <c r="B446" i="18"/>
  <c r="B447" i="18"/>
  <c r="B448" i="18"/>
  <c r="B449" i="18"/>
  <c r="B450" i="18"/>
  <c r="B451" i="18"/>
  <c r="B452" i="18"/>
  <c r="B453" i="18"/>
  <c r="B454" i="18"/>
  <c r="M442" i="18"/>
  <c r="M443" i="18"/>
  <c r="M445" i="18"/>
  <c r="M446" i="18"/>
  <c r="M447" i="18"/>
  <c r="M448" i="18"/>
  <c r="M449" i="18"/>
  <c r="M450" i="18"/>
  <c r="M451" i="18"/>
  <c r="M452" i="18"/>
  <c r="M453" i="18"/>
  <c r="M454" i="18"/>
  <c r="P442" i="18"/>
  <c r="P443" i="18"/>
  <c r="P445" i="18"/>
  <c r="P446" i="18"/>
  <c r="P447" i="18"/>
  <c r="P448" i="18"/>
  <c r="P449" i="18"/>
  <c r="P450" i="18"/>
  <c r="P451" i="18"/>
  <c r="P452" i="18"/>
  <c r="P453" i="18"/>
  <c r="P454" i="18"/>
  <c r="Q442" i="18"/>
  <c r="Q443" i="18"/>
  <c r="Q445" i="18"/>
  <c r="Q446" i="18"/>
  <c r="Q447" i="18"/>
  <c r="Q448" i="18"/>
  <c r="Q449" i="18"/>
  <c r="Q450" i="18"/>
  <c r="Q451" i="18"/>
  <c r="Q452" i="18"/>
  <c r="Q453" i="18"/>
  <c r="Q454" i="18"/>
  <c r="X442" i="18"/>
  <c r="X443" i="18"/>
  <c r="X445" i="18"/>
  <c r="X446" i="18"/>
  <c r="X447" i="18"/>
  <c r="X448" i="18"/>
  <c r="X449" i="18"/>
  <c r="X450" i="18"/>
  <c r="X451" i="18"/>
  <c r="X452" i="18"/>
  <c r="X453" i="18"/>
  <c r="X454" i="18"/>
  <c r="AA442" i="18"/>
  <c r="AA443" i="18"/>
  <c r="AA445" i="18"/>
  <c r="AA446" i="18"/>
  <c r="AA447" i="18"/>
  <c r="AA448" i="18"/>
  <c r="AA449" i="18"/>
  <c r="AA450" i="18"/>
  <c r="AA451" i="18"/>
  <c r="AA452" i="18"/>
  <c r="AA453" i="18"/>
  <c r="AA454" i="18"/>
  <c r="AB770" i="9"/>
  <c r="R770" i="9"/>
  <c r="Q770" i="9"/>
  <c r="N770" i="9"/>
  <c r="B770" i="9"/>
  <c r="AB785" i="8"/>
  <c r="R785" i="8"/>
  <c r="Q785" i="8"/>
  <c r="N785" i="8"/>
  <c r="B785" i="8"/>
  <c r="AB784" i="8"/>
  <c r="R784" i="8"/>
  <c r="Q784" i="8"/>
  <c r="N784" i="8"/>
  <c r="B784" i="8"/>
  <c r="AB769" i="9"/>
  <c r="R769" i="9"/>
  <c r="Q769" i="9"/>
  <c r="N769" i="9"/>
  <c r="B769" i="9"/>
  <c r="AB783" i="8"/>
  <c r="R783" i="8"/>
  <c r="Q783" i="8"/>
  <c r="N783" i="8"/>
  <c r="B783" i="8"/>
  <c r="AB768" i="9"/>
  <c r="R768" i="9"/>
  <c r="Q768" i="9"/>
  <c r="N768" i="9"/>
  <c r="B768" i="9"/>
  <c r="AA43" i="6"/>
  <c r="Q43" i="6"/>
  <c r="P43" i="6"/>
  <c r="M43" i="6"/>
  <c r="B43" i="6"/>
  <c r="B349" i="3" l="1"/>
  <c r="M349" i="3"/>
  <c r="P349" i="3"/>
  <c r="Q349" i="3"/>
  <c r="AA349" i="3"/>
  <c r="B782" i="8" l="1"/>
  <c r="N782" i="8"/>
  <c r="Q782" i="8"/>
  <c r="R782" i="8"/>
  <c r="AB782" i="8"/>
  <c r="B765" i="9" l="1"/>
  <c r="N765" i="9"/>
  <c r="Q765" i="9"/>
  <c r="R765" i="9"/>
  <c r="AB765" i="9"/>
  <c r="B781" i="8" l="1"/>
  <c r="N781" i="8"/>
  <c r="Q781" i="8"/>
  <c r="R781" i="8"/>
  <c r="AB781" i="8"/>
  <c r="Q619" i="7" l="1"/>
  <c r="Q620" i="7"/>
  <c r="Q621" i="7"/>
  <c r="Q622" i="7"/>
  <c r="Q623" i="7"/>
  <c r="Q624" i="7"/>
  <c r="Q625" i="7"/>
  <c r="Q626" i="7"/>
  <c r="Q627" i="7"/>
  <c r="Q628" i="7"/>
  <c r="Q629" i="7"/>
  <c r="Q630" i="7"/>
  <c r="Q631" i="7"/>
  <c r="Q632" i="7"/>
  <c r="Q633" i="7"/>
  <c r="Q634" i="7"/>
  <c r="Q635" i="7"/>
  <c r="Q636" i="7"/>
  <c r="Q637" i="7"/>
  <c r="Q638" i="7"/>
  <c r="Q639" i="7"/>
  <c r="Q640" i="7"/>
  <c r="Q641" i="7"/>
  <c r="P619" i="7"/>
  <c r="X619" i="7" s="1"/>
  <c r="P620" i="7"/>
  <c r="X620" i="7" s="1"/>
  <c r="P621" i="7"/>
  <c r="X621" i="7" s="1"/>
  <c r="P622" i="7"/>
  <c r="X622" i="7" s="1"/>
  <c r="P623" i="7"/>
  <c r="X623" i="7" s="1"/>
  <c r="P624" i="7"/>
  <c r="X624" i="7" s="1"/>
  <c r="P625" i="7"/>
  <c r="X625" i="7" s="1"/>
  <c r="P626" i="7"/>
  <c r="X626" i="7" s="1"/>
  <c r="P627" i="7"/>
  <c r="X627" i="7" s="1"/>
  <c r="P628" i="7"/>
  <c r="X628" i="7" s="1"/>
  <c r="P629" i="7"/>
  <c r="X629" i="7" s="1"/>
  <c r="P630" i="7"/>
  <c r="X630" i="7" s="1"/>
  <c r="P631" i="7"/>
  <c r="X631" i="7" s="1"/>
  <c r="P632" i="7"/>
  <c r="X632" i="7" s="1"/>
  <c r="P633" i="7"/>
  <c r="X633" i="7" s="1"/>
  <c r="P634" i="7"/>
  <c r="X634" i="7" s="1"/>
  <c r="P635" i="7"/>
  <c r="X635" i="7" s="1"/>
  <c r="P636" i="7"/>
  <c r="X636" i="7" s="1"/>
  <c r="P637" i="7"/>
  <c r="X637" i="7" s="1"/>
  <c r="P638" i="7"/>
  <c r="X638" i="7" s="1"/>
  <c r="P639" i="7"/>
  <c r="X639" i="7" s="1"/>
  <c r="P640" i="7"/>
  <c r="X640" i="7" s="1"/>
  <c r="P641" i="7"/>
  <c r="X641" i="7" s="1"/>
  <c r="M619" i="7"/>
  <c r="M620" i="7"/>
  <c r="M621" i="7"/>
  <c r="M622" i="7"/>
  <c r="M623" i="7"/>
  <c r="M624" i="7"/>
  <c r="M625" i="7"/>
  <c r="M626" i="7"/>
  <c r="M627" i="7"/>
  <c r="M628" i="7"/>
  <c r="M629" i="7"/>
  <c r="M630" i="7"/>
  <c r="M631" i="7"/>
  <c r="M632" i="7"/>
  <c r="M633" i="7"/>
  <c r="M634" i="7"/>
  <c r="M635" i="7"/>
  <c r="M636" i="7"/>
  <c r="M637" i="7"/>
  <c r="M638" i="7"/>
  <c r="M639" i="7"/>
  <c r="M640" i="7"/>
  <c r="M641" i="7"/>
  <c r="B619" i="7"/>
  <c r="B620" i="7"/>
  <c r="B621" i="7"/>
  <c r="B622" i="7"/>
  <c r="B623" i="7"/>
  <c r="B624" i="7"/>
  <c r="B625" i="7"/>
  <c r="B626" i="7"/>
  <c r="B627" i="7"/>
  <c r="B628" i="7"/>
  <c r="B629" i="7"/>
  <c r="B630" i="7"/>
  <c r="B631" i="7"/>
  <c r="B632" i="7"/>
  <c r="B633" i="7"/>
  <c r="B634" i="7"/>
  <c r="B635" i="7"/>
  <c r="B636" i="7"/>
  <c r="B637" i="7"/>
  <c r="B638" i="7"/>
  <c r="B639" i="7"/>
  <c r="B640" i="7"/>
  <c r="B641" i="7"/>
  <c r="Q642" i="7"/>
  <c r="Q643" i="7"/>
  <c r="Q644" i="7"/>
  <c r="Q645" i="7"/>
  <c r="Q646" i="7"/>
  <c r="Q647" i="7"/>
  <c r="Q648" i="7"/>
  <c r="Q649" i="7"/>
  <c r="Q650" i="7"/>
  <c r="Q651" i="7"/>
  <c r="Q652" i="7"/>
  <c r="Q653" i="7"/>
  <c r="P642" i="7"/>
  <c r="X642" i="7" s="1"/>
  <c r="P643" i="7"/>
  <c r="X643" i="7" s="1"/>
  <c r="P644" i="7"/>
  <c r="X644" i="7" s="1"/>
  <c r="P645" i="7"/>
  <c r="X645" i="7" s="1"/>
  <c r="P646" i="7"/>
  <c r="X646" i="7" s="1"/>
  <c r="P647" i="7"/>
  <c r="X647" i="7" s="1"/>
  <c r="P648" i="7"/>
  <c r="X648" i="7" s="1"/>
  <c r="P649" i="7"/>
  <c r="X649" i="7" s="1"/>
  <c r="P650" i="7"/>
  <c r="X650" i="7" s="1"/>
  <c r="P651" i="7"/>
  <c r="X651" i="7" s="1"/>
  <c r="P652" i="7"/>
  <c r="X652" i="7" s="1"/>
  <c r="P653" i="7"/>
  <c r="X653" i="7" s="1"/>
  <c r="M642" i="7"/>
  <c r="M643" i="7"/>
  <c r="M644" i="7"/>
  <c r="M645" i="7"/>
  <c r="M646" i="7"/>
  <c r="M647" i="7"/>
  <c r="M648" i="7"/>
  <c r="M649" i="7"/>
  <c r="M650" i="7"/>
  <c r="M651" i="7"/>
  <c r="M652" i="7"/>
  <c r="M653" i="7"/>
  <c r="B642" i="7"/>
  <c r="B643" i="7"/>
  <c r="B644" i="7"/>
  <c r="B645" i="7"/>
  <c r="B646" i="7"/>
  <c r="B647" i="7"/>
  <c r="B648" i="7"/>
  <c r="B649" i="7"/>
  <c r="B650" i="7"/>
  <c r="B651" i="7"/>
  <c r="B652" i="7"/>
  <c r="B653" i="7"/>
  <c r="Q611" i="7"/>
  <c r="Q612" i="7"/>
  <c r="Q613" i="7"/>
  <c r="Q614" i="7"/>
  <c r="Q615" i="7"/>
  <c r="Q616" i="7"/>
  <c r="Q617" i="7"/>
  <c r="Q618" i="7"/>
  <c r="P611" i="7"/>
  <c r="X611" i="7" s="1"/>
  <c r="P612" i="7"/>
  <c r="X612" i="7" s="1"/>
  <c r="P613" i="7"/>
  <c r="X613" i="7" s="1"/>
  <c r="P614" i="7"/>
  <c r="X614" i="7" s="1"/>
  <c r="P615" i="7"/>
  <c r="X615" i="7" s="1"/>
  <c r="P616" i="7"/>
  <c r="X616" i="7" s="1"/>
  <c r="P617" i="7"/>
  <c r="X617" i="7" s="1"/>
  <c r="P618" i="7"/>
  <c r="X618" i="7" s="1"/>
  <c r="M611" i="7"/>
  <c r="M612" i="7"/>
  <c r="M613" i="7"/>
  <c r="M614" i="7"/>
  <c r="M615" i="7"/>
  <c r="M616" i="7"/>
  <c r="M617" i="7"/>
  <c r="M618" i="7"/>
  <c r="B611" i="7"/>
  <c r="B612" i="7"/>
  <c r="B613" i="7"/>
  <c r="B614" i="7"/>
  <c r="B615" i="7"/>
  <c r="B616" i="7"/>
  <c r="B617" i="7"/>
  <c r="B618" i="7"/>
  <c r="Q589" i="7"/>
  <c r="Q590" i="7"/>
  <c r="Q591" i="7"/>
  <c r="Q592" i="7"/>
  <c r="Q593" i="7"/>
  <c r="Q594" i="7"/>
  <c r="Q595" i="7"/>
  <c r="Q596" i="7"/>
  <c r="Q597" i="7"/>
  <c r="Q598" i="7"/>
  <c r="Q599" i="7"/>
  <c r="Q600" i="7"/>
  <c r="Q601" i="7"/>
  <c r="Q602" i="7"/>
  <c r="Q603" i="7"/>
  <c r="Q604" i="7"/>
  <c r="Q605" i="7"/>
  <c r="Q606" i="7"/>
  <c r="Q607" i="7"/>
  <c r="Q608" i="7"/>
  <c r="Q609" i="7"/>
  <c r="Q610" i="7"/>
  <c r="P589" i="7"/>
  <c r="X589" i="7" s="1"/>
  <c r="P590" i="7"/>
  <c r="X590" i="7" s="1"/>
  <c r="P591" i="7"/>
  <c r="X591" i="7" s="1"/>
  <c r="P592" i="7"/>
  <c r="X592" i="7" s="1"/>
  <c r="P593" i="7"/>
  <c r="X593" i="7" s="1"/>
  <c r="P594" i="7"/>
  <c r="X594" i="7" s="1"/>
  <c r="P595" i="7"/>
  <c r="X595" i="7" s="1"/>
  <c r="P596" i="7"/>
  <c r="X596" i="7" s="1"/>
  <c r="P597" i="7"/>
  <c r="X597" i="7" s="1"/>
  <c r="P598" i="7"/>
  <c r="X598" i="7" s="1"/>
  <c r="P599" i="7"/>
  <c r="X599" i="7" s="1"/>
  <c r="P600" i="7"/>
  <c r="X600" i="7" s="1"/>
  <c r="P601" i="7"/>
  <c r="X601" i="7" s="1"/>
  <c r="P602" i="7"/>
  <c r="X602" i="7" s="1"/>
  <c r="P603" i="7"/>
  <c r="X603" i="7" s="1"/>
  <c r="P604" i="7"/>
  <c r="X604" i="7" s="1"/>
  <c r="P605" i="7"/>
  <c r="X605" i="7" s="1"/>
  <c r="P606" i="7"/>
  <c r="X606" i="7" s="1"/>
  <c r="P607" i="7"/>
  <c r="X607" i="7" s="1"/>
  <c r="P608" i="7"/>
  <c r="X608" i="7" s="1"/>
  <c r="P609" i="7"/>
  <c r="X609" i="7" s="1"/>
  <c r="P610" i="7"/>
  <c r="X610" i="7" s="1"/>
  <c r="M589" i="7"/>
  <c r="M590" i="7"/>
  <c r="M591" i="7"/>
  <c r="M592" i="7"/>
  <c r="M593" i="7"/>
  <c r="M594" i="7"/>
  <c r="M595" i="7"/>
  <c r="M596" i="7"/>
  <c r="M597" i="7"/>
  <c r="M598" i="7"/>
  <c r="M599" i="7"/>
  <c r="M600" i="7"/>
  <c r="M601" i="7"/>
  <c r="M602" i="7"/>
  <c r="M603" i="7"/>
  <c r="M604" i="7"/>
  <c r="M605" i="7"/>
  <c r="M606" i="7"/>
  <c r="M607" i="7"/>
  <c r="M608" i="7"/>
  <c r="M609" i="7"/>
  <c r="M610" i="7"/>
  <c r="B589" i="7"/>
  <c r="B590" i="7"/>
  <c r="B591" i="7"/>
  <c r="B592" i="7"/>
  <c r="B593" i="7"/>
  <c r="B594" i="7"/>
  <c r="B595" i="7"/>
  <c r="B596" i="7"/>
  <c r="B597" i="7"/>
  <c r="B598" i="7"/>
  <c r="B599" i="7"/>
  <c r="B600" i="7"/>
  <c r="B601" i="7"/>
  <c r="B602" i="7"/>
  <c r="B603" i="7"/>
  <c r="B604" i="7"/>
  <c r="B605" i="7"/>
  <c r="B606" i="7"/>
  <c r="B607" i="7"/>
  <c r="B608" i="7"/>
  <c r="B609" i="7"/>
  <c r="B610" i="7"/>
  <c r="B780" i="8" l="1"/>
  <c r="N780" i="8"/>
  <c r="Q780" i="8"/>
  <c r="R780" i="8"/>
  <c r="AB780" i="8"/>
  <c r="B779" i="8" l="1"/>
  <c r="N779" i="8"/>
  <c r="Q779" i="8"/>
  <c r="R779" i="8"/>
  <c r="AB779" i="8"/>
  <c r="B778" i="8"/>
  <c r="N778" i="8"/>
  <c r="Q778" i="8"/>
  <c r="R778" i="8"/>
  <c r="AB778" i="8"/>
  <c r="B777" i="8"/>
  <c r="N777" i="8"/>
  <c r="Q777" i="8"/>
  <c r="R777" i="8"/>
  <c r="AB777" i="8"/>
  <c r="AA344" i="3" l="1"/>
  <c r="Q344" i="3"/>
  <c r="P344" i="3"/>
  <c r="M344" i="3"/>
  <c r="B344" i="3"/>
  <c r="AA345" i="3"/>
  <c r="Q345" i="3"/>
  <c r="P345" i="3"/>
  <c r="M345" i="3"/>
  <c r="B345" i="3"/>
  <c r="AB766" i="9" l="1"/>
  <c r="R766" i="9"/>
  <c r="Q766" i="9"/>
  <c r="N766" i="9"/>
  <c r="B766" i="9"/>
  <c r="AB767" i="9"/>
  <c r="R767" i="9"/>
  <c r="Q767" i="9"/>
  <c r="N767" i="9"/>
  <c r="B767" i="9"/>
  <c r="A41" i="6"/>
  <c r="B41" i="6"/>
  <c r="M41" i="6"/>
  <c r="P41" i="6"/>
  <c r="Q41" i="6"/>
  <c r="AA41" i="6"/>
  <c r="B776" i="8"/>
  <c r="N776" i="8"/>
  <c r="Q776" i="8"/>
  <c r="R776" i="8"/>
  <c r="AB776" i="8"/>
  <c r="Q396" i="10" l="1"/>
  <c r="P396" i="10"/>
  <c r="M396" i="10"/>
  <c r="B396" i="10"/>
  <c r="B397" i="10"/>
  <c r="B398" i="10"/>
  <c r="B399" i="10"/>
  <c r="B400" i="10"/>
  <c r="B401" i="10"/>
  <c r="B402" i="10"/>
  <c r="B403" i="10"/>
  <c r="B404" i="10"/>
  <c r="B405" i="10"/>
  <c r="B406" i="10"/>
  <c r="M397" i="10"/>
  <c r="M398" i="10"/>
  <c r="M399" i="10"/>
  <c r="M400" i="10"/>
  <c r="M401" i="10"/>
  <c r="M402" i="10"/>
  <c r="M403" i="10"/>
  <c r="M404" i="10"/>
  <c r="M405" i="10"/>
  <c r="M406" i="10"/>
  <c r="P397" i="10"/>
  <c r="P398" i="10"/>
  <c r="P399" i="10"/>
  <c r="P400" i="10"/>
  <c r="P401" i="10"/>
  <c r="P402" i="10"/>
  <c r="P403" i="10"/>
  <c r="P404" i="10"/>
  <c r="P405" i="10"/>
  <c r="P406" i="10"/>
  <c r="Q397" i="10"/>
  <c r="Q398" i="10"/>
  <c r="Q399" i="10"/>
  <c r="Q400" i="10"/>
  <c r="Q401" i="10"/>
  <c r="Q402" i="10"/>
  <c r="Q403" i="10"/>
  <c r="Q404" i="10"/>
  <c r="Q405" i="10"/>
  <c r="Q406" i="10"/>
  <c r="AA423" i="23"/>
  <c r="Q423" i="23"/>
  <c r="P423" i="23"/>
  <c r="M423" i="23"/>
  <c r="B423" i="23"/>
  <c r="AA422" i="23"/>
  <c r="Q422" i="23"/>
  <c r="P422" i="23"/>
  <c r="M422" i="23"/>
  <c r="B422" i="23"/>
  <c r="AA421" i="23"/>
  <c r="Q421" i="23"/>
  <c r="P421" i="23"/>
  <c r="M421" i="23"/>
  <c r="B421" i="23"/>
  <c r="AA420" i="23"/>
  <c r="Q420" i="23"/>
  <c r="P420" i="23"/>
  <c r="M420" i="23"/>
  <c r="B420" i="23"/>
  <c r="AA419" i="23"/>
  <c r="Q419" i="23"/>
  <c r="P419" i="23"/>
  <c r="M419" i="23"/>
  <c r="B419" i="23"/>
  <c r="AA418" i="23"/>
  <c r="Q418" i="23"/>
  <c r="P418" i="23"/>
  <c r="M418" i="23"/>
  <c r="B418" i="23"/>
  <c r="B341" i="3" l="1"/>
  <c r="M341" i="3"/>
  <c r="P341" i="3"/>
  <c r="Q341" i="3"/>
  <c r="AA341" i="3"/>
  <c r="B342" i="3"/>
  <c r="M342" i="3"/>
  <c r="P342" i="3"/>
  <c r="Q342" i="3"/>
  <c r="AA342" i="3"/>
  <c r="B744" i="8"/>
  <c r="N744" i="8"/>
  <c r="Q744" i="8"/>
  <c r="R744" i="8"/>
  <c r="AB744" i="8"/>
  <c r="B745" i="8"/>
  <c r="N745" i="8"/>
  <c r="Q745" i="8"/>
  <c r="R745" i="8"/>
  <c r="AB745" i="8"/>
  <c r="B343" i="3"/>
  <c r="M343" i="3"/>
  <c r="P343" i="3"/>
  <c r="Q343" i="3"/>
  <c r="AA343" i="3"/>
  <c r="B340" i="3"/>
  <c r="M340" i="3"/>
  <c r="P340" i="3"/>
  <c r="Q340" i="3"/>
  <c r="AA340" i="3"/>
  <c r="B585" i="7" l="1"/>
  <c r="B586" i="7"/>
  <c r="B587" i="7"/>
  <c r="B588" i="7"/>
  <c r="B655" i="7"/>
  <c r="M585" i="7"/>
  <c r="M586" i="7"/>
  <c r="M587" i="7"/>
  <c r="M588" i="7"/>
  <c r="M655" i="7"/>
  <c r="P585" i="7"/>
  <c r="X585" i="7" s="1"/>
  <c r="P586" i="7"/>
  <c r="X586" i="7" s="1"/>
  <c r="P587" i="7"/>
  <c r="X587" i="7" s="1"/>
  <c r="P588" i="7"/>
  <c r="X588" i="7" s="1"/>
  <c r="P655" i="7"/>
  <c r="X655" i="7" s="1"/>
  <c r="Q585" i="7"/>
  <c r="Q586" i="7"/>
  <c r="Q587" i="7"/>
  <c r="Q588" i="7"/>
  <c r="Q655" i="7"/>
  <c r="B775" i="8" l="1"/>
  <c r="N775" i="8"/>
  <c r="Q775" i="8"/>
  <c r="R775" i="8"/>
  <c r="AB775" i="8"/>
  <c r="B774" i="8"/>
  <c r="N774" i="8"/>
  <c r="Q774" i="8"/>
  <c r="R774" i="8"/>
  <c r="AB774" i="8"/>
  <c r="B773" i="8"/>
  <c r="N773" i="8"/>
  <c r="Q773" i="8"/>
  <c r="R773" i="8"/>
  <c r="AB773" i="8"/>
  <c r="B772" i="8"/>
  <c r="N772" i="8"/>
  <c r="Q772" i="8"/>
  <c r="R772" i="8"/>
  <c r="AB772" i="8"/>
  <c r="B771" i="8"/>
  <c r="N771" i="8"/>
  <c r="Q771" i="8"/>
  <c r="R771" i="8"/>
  <c r="AB771" i="8"/>
  <c r="B770" i="8"/>
  <c r="N770" i="8"/>
  <c r="Q770" i="8"/>
  <c r="R770" i="8"/>
  <c r="AB770" i="8"/>
  <c r="B769" i="8"/>
  <c r="N769" i="8"/>
  <c r="Q769" i="8"/>
  <c r="R769" i="8"/>
  <c r="AB769" i="8"/>
  <c r="B768" i="8"/>
  <c r="N768" i="8"/>
  <c r="Q768" i="8"/>
  <c r="R768" i="8"/>
  <c r="AB768" i="8"/>
  <c r="B767" i="8"/>
  <c r="N767" i="8"/>
  <c r="Q767" i="8"/>
  <c r="R767" i="8"/>
  <c r="AB767" i="8"/>
  <c r="B766" i="8"/>
  <c r="N766" i="8"/>
  <c r="Q766" i="8"/>
  <c r="R766" i="8"/>
  <c r="AB766" i="8"/>
  <c r="B765" i="8"/>
  <c r="N765" i="8"/>
  <c r="Q765" i="8"/>
  <c r="R765" i="8"/>
  <c r="AB765" i="8"/>
  <c r="B764" i="8"/>
  <c r="N764" i="8"/>
  <c r="Q764" i="8"/>
  <c r="R764" i="8"/>
  <c r="AB764" i="8"/>
  <c r="B764" i="9"/>
  <c r="N764" i="9"/>
  <c r="Q764" i="9"/>
  <c r="R764" i="9"/>
  <c r="AB764" i="9"/>
  <c r="B761" i="8"/>
  <c r="N761" i="8"/>
  <c r="Q761" i="8"/>
  <c r="R761" i="8"/>
  <c r="AB761" i="8"/>
  <c r="B196" i="3" l="1"/>
  <c r="M196" i="3"/>
  <c r="P196" i="3"/>
  <c r="Q196" i="3"/>
  <c r="AA196" i="3"/>
  <c r="B197" i="3"/>
  <c r="M197" i="3"/>
  <c r="P197" i="3"/>
  <c r="Q197" i="3"/>
  <c r="AA197" i="3"/>
  <c r="B763" i="9"/>
  <c r="N763" i="9"/>
  <c r="Q763" i="9"/>
  <c r="R763" i="9"/>
  <c r="AB763" i="9"/>
  <c r="B762" i="9"/>
  <c r="N762" i="9"/>
  <c r="Q762" i="9"/>
  <c r="R762" i="9"/>
  <c r="AB762" i="9"/>
  <c r="B10" i="3"/>
  <c r="M10" i="3"/>
  <c r="P10" i="3"/>
  <c r="Q10" i="3"/>
  <c r="AA10" i="3"/>
  <c r="B11" i="3"/>
  <c r="M11" i="3"/>
  <c r="P11" i="3"/>
  <c r="Q11" i="3"/>
  <c r="AA11" i="3"/>
  <c r="AA441" i="18" l="1"/>
  <c r="X441" i="18"/>
  <c r="Q441" i="18"/>
  <c r="P441" i="18"/>
  <c r="M441" i="18"/>
  <c r="B441" i="18"/>
  <c r="B331" i="3"/>
  <c r="M331" i="3"/>
  <c r="P331" i="3"/>
  <c r="Q331" i="3"/>
  <c r="AA331" i="3"/>
  <c r="B332" i="3"/>
  <c r="M332" i="3"/>
  <c r="P332" i="3"/>
  <c r="Q332" i="3"/>
  <c r="AA332" i="3"/>
  <c r="B333" i="3"/>
  <c r="M333" i="3"/>
  <c r="P333" i="3"/>
  <c r="Q333" i="3"/>
  <c r="AA333" i="3"/>
  <c r="B334" i="3"/>
  <c r="M334" i="3"/>
  <c r="P334" i="3"/>
  <c r="Q334" i="3"/>
  <c r="AA334" i="3"/>
  <c r="B335" i="3"/>
  <c r="M335" i="3"/>
  <c r="P335" i="3"/>
  <c r="Q335" i="3"/>
  <c r="AA335" i="3"/>
  <c r="B336" i="3"/>
  <c r="M336" i="3"/>
  <c r="P336" i="3"/>
  <c r="Q336" i="3"/>
  <c r="AA336" i="3"/>
  <c r="B337" i="3"/>
  <c r="M337" i="3"/>
  <c r="P337" i="3"/>
  <c r="Q337" i="3"/>
  <c r="AA337" i="3"/>
  <c r="B420" i="18"/>
  <c r="M420" i="18"/>
  <c r="P420" i="18"/>
  <c r="Q420" i="18"/>
  <c r="X420" i="18"/>
  <c r="AA420" i="18"/>
  <c r="B415" i="18"/>
  <c r="M415" i="18"/>
  <c r="P415" i="18"/>
  <c r="Q415" i="18"/>
  <c r="X415" i="18"/>
  <c r="AA415" i="18"/>
  <c r="B418" i="18"/>
  <c r="B419" i="18"/>
  <c r="B421" i="18"/>
  <c r="B422" i="18"/>
  <c r="B423" i="18"/>
  <c r="B424" i="18"/>
  <c r="B425" i="18"/>
  <c r="B426" i="18"/>
  <c r="B427" i="18"/>
  <c r="B428" i="18"/>
  <c r="B429" i="18"/>
  <c r="B430" i="18"/>
  <c r="B431" i="18"/>
  <c r="B432" i="18"/>
  <c r="B433" i="18"/>
  <c r="B434" i="18"/>
  <c r="B435" i="18"/>
  <c r="B436" i="18"/>
  <c r="B437" i="18"/>
  <c r="B438" i="18"/>
  <c r="B439" i="18"/>
  <c r="B440" i="18"/>
  <c r="M418" i="18"/>
  <c r="M419" i="18"/>
  <c r="M421" i="18"/>
  <c r="M422" i="18"/>
  <c r="M423" i="18"/>
  <c r="M424" i="18"/>
  <c r="M425" i="18"/>
  <c r="M426" i="18"/>
  <c r="M427" i="18"/>
  <c r="M428" i="18"/>
  <c r="M429" i="18"/>
  <c r="M430" i="18"/>
  <c r="M431" i="18"/>
  <c r="M432" i="18"/>
  <c r="M433" i="18"/>
  <c r="M434" i="18"/>
  <c r="M435" i="18"/>
  <c r="M436" i="18"/>
  <c r="M437" i="18"/>
  <c r="M438" i="18"/>
  <c r="M439" i="18"/>
  <c r="M440" i="18"/>
  <c r="P418" i="18"/>
  <c r="P419" i="18"/>
  <c r="P421" i="18"/>
  <c r="P422" i="18"/>
  <c r="P423" i="18"/>
  <c r="P424" i="18"/>
  <c r="P425" i="18"/>
  <c r="P426" i="18"/>
  <c r="P427" i="18"/>
  <c r="P428" i="18"/>
  <c r="P429" i="18"/>
  <c r="P430" i="18"/>
  <c r="P431" i="18"/>
  <c r="P432" i="18"/>
  <c r="P433" i="18"/>
  <c r="P434" i="18"/>
  <c r="P435" i="18"/>
  <c r="P436" i="18"/>
  <c r="P437" i="18"/>
  <c r="P438" i="18"/>
  <c r="P439" i="18"/>
  <c r="P440" i="18"/>
  <c r="Q418" i="18"/>
  <c r="Q419" i="18"/>
  <c r="Q421" i="18"/>
  <c r="Q422" i="18"/>
  <c r="Q423" i="18"/>
  <c r="Q424" i="18"/>
  <c r="Q425" i="18"/>
  <c r="Q426" i="18"/>
  <c r="Q427" i="18"/>
  <c r="Q428" i="18"/>
  <c r="Q429" i="18"/>
  <c r="Q430" i="18"/>
  <c r="Q431" i="18"/>
  <c r="Q432" i="18"/>
  <c r="Q433" i="18"/>
  <c r="Q434" i="18"/>
  <c r="Q435" i="18"/>
  <c r="Q436" i="18"/>
  <c r="Q437" i="18"/>
  <c r="Q438" i="18"/>
  <c r="Q439" i="18"/>
  <c r="Q440" i="18"/>
  <c r="X418" i="18"/>
  <c r="X419" i="18"/>
  <c r="X421" i="18"/>
  <c r="X422" i="18"/>
  <c r="X423" i="18"/>
  <c r="X424" i="18"/>
  <c r="X425" i="18"/>
  <c r="X426" i="18"/>
  <c r="X427" i="18"/>
  <c r="X428" i="18"/>
  <c r="X429" i="18"/>
  <c r="X430" i="18"/>
  <c r="X431" i="18"/>
  <c r="X432" i="18"/>
  <c r="X433" i="18"/>
  <c r="X434" i="18"/>
  <c r="X435" i="18"/>
  <c r="X436" i="18"/>
  <c r="X437" i="18"/>
  <c r="X438" i="18"/>
  <c r="X439" i="18"/>
  <c r="X440" i="18"/>
  <c r="AA418" i="18"/>
  <c r="AA419" i="18"/>
  <c r="AA421" i="18"/>
  <c r="AA422" i="18"/>
  <c r="AA423" i="18"/>
  <c r="AA424" i="18"/>
  <c r="AA425" i="18"/>
  <c r="AA426" i="18"/>
  <c r="AA427" i="18"/>
  <c r="AA428" i="18"/>
  <c r="AA429" i="18"/>
  <c r="AA430" i="18"/>
  <c r="AA431" i="18"/>
  <c r="AA432" i="18"/>
  <c r="AA433" i="18"/>
  <c r="AA434" i="18"/>
  <c r="AA435" i="18"/>
  <c r="AA436" i="18"/>
  <c r="AA437" i="18"/>
  <c r="AA438" i="18"/>
  <c r="AA439" i="18"/>
  <c r="AA440" i="18"/>
  <c r="B384" i="18" l="1"/>
  <c r="M384" i="18"/>
  <c r="P384" i="18"/>
  <c r="Q384" i="18"/>
  <c r="X384" i="18"/>
  <c r="AA384" i="18"/>
  <c r="B339" i="3"/>
  <c r="M339" i="3"/>
  <c r="P339" i="3"/>
  <c r="Q339" i="3"/>
  <c r="AA339" i="3"/>
  <c r="B338" i="3"/>
  <c r="M338" i="3"/>
  <c r="P338" i="3"/>
  <c r="Q338" i="3"/>
  <c r="AA338" i="3"/>
  <c r="B329" i="3"/>
  <c r="M329" i="3"/>
  <c r="P329" i="3"/>
  <c r="Q329" i="3"/>
  <c r="AA329" i="3"/>
  <c r="B761" i="9"/>
  <c r="N761" i="9"/>
  <c r="Q761" i="9"/>
  <c r="R761" i="9"/>
  <c r="AB761" i="9"/>
  <c r="B758" i="8"/>
  <c r="N758" i="8"/>
  <c r="Q758" i="8"/>
  <c r="R758" i="8"/>
  <c r="AB758" i="8"/>
  <c r="B330" i="3" l="1"/>
  <c r="M330" i="3"/>
  <c r="P330" i="3"/>
  <c r="Q330" i="3"/>
  <c r="AA330" i="3"/>
  <c r="B757" i="8" l="1"/>
  <c r="N757" i="8"/>
  <c r="Q757" i="8"/>
  <c r="R757" i="8"/>
  <c r="AB757" i="8"/>
  <c r="B760" i="9" l="1"/>
  <c r="N760" i="9"/>
  <c r="Q760" i="9"/>
  <c r="R760" i="9"/>
  <c r="AB760" i="9"/>
  <c r="B706" i="8"/>
  <c r="N706" i="8"/>
  <c r="Q706" i="8"/>
  <c r="R706" i="8"/>
  <c r="AB706" i="8"/>
  <c r="AA64" i="22" l="1"/>
  <c r="Q64" i="22"/>
  <c r="P64" i="22"/>
  <c r="M64" i="22"/>
  <c r="B64" i="22"/>
  <c r="AA68" i="22"/>
  <c r="Q68" i="22"/>
  <c r="P68" i="22"/>
  <c r="M68" i="22"/>
  <c r="B68" i="22"/>
  <c r="AA67" i="22"/>
  <c r="AA66" i="22"/>
  <c r="Q67" i="22"/>
  <c r="Q66" i="22"/>
  <c r="P67" i="22"/>
  <c r="P66" i="22"/>
  <c r="M67" i="22"/>
  <c r="M66" i="22"/>
  <c r="B67" i="22"/>
  <c r="B66" i="22"/>
  <c r="B55" i="22"/>
  <c r="B56" i="22"/>
  <c r="B57" i="22"/>
  <c r="B58" i="22"/>
  <c r="B59" i="22"/>
  <c r="B60" i="22"/>
  <c r="B61" i="22"/>
  <c r="B62" i="22"/>
  <c r="B63" i="22"/>
  <c r="B65" i="22"/>
  <c r="M55" i="22"/>
  <c r="M56" i="22"/>
  <c r="M57" i="22"/>
  <c r="M58" i="22"/>
  <c r="M59" i="22"/>
  <c r="M60" i="22"/>
  <c r="M61" i="22"/>
  <c r="M62" i="22"/>
  <c r="M63" i="22"/>
  <c r="M65" i="22"/>
  <c r="P55" i="22"/>
  <c r="P56" i="22"/>
  <c r="P57" i="22"/>
  <c r="P58" i="22"/>
  <c r="P59" i="22"/>
  <c r="P60" i="22"/>
  <c r="P61" i="22"/>
  <c r="P62" i="22"/>
  <c r="P63" i="22"/>
  <c r="P65" i="22"/>
  <c r="Q55" i="22"/>
  <c r="Q56" i="22"/>
  <c r="Q57" i="22"/>
  <c r="Q58" i="22"/>
  <c r="Q59" i="22"/>
  <c r="Q60" i="22"/>
  <c r="Q61" i="22"/>
  <c r="Q62" i="22"/>
  <c r="Q63" i="22"/>
  <c r="Q65" i="22"/>
  <c r="AA55" i="22"/>
  <c r="AA56" i="22"/>
  <c r="AA57" i="22"/>
  <c r="AA58" i="22"/>
  <c r="AA59" i="22"/>
  <c r="AA60" i="22"/>
  <c r="AA61" i="22"/>
  <c r="AA62" i="22"/>
  <c r="AA63" i="22"/>
  <c r="AA65" i="22"/>
  <c r="B194" i="17"/>
  <c r="M194" i="17"/>
  <c r="P194" i="17"/>
  <c r="Q194" i="17"/>
  <c r="X194" i="17"/>
  <c r="AA194" i="17"/>
  <c r="AB716" i="8"/>
  <c r="R716" i="8"/>
  <c r="Q716" i="8"/>
  <c r="N716" i="8"/>
  <c r="B716" i="8"/>
  <c r="AB717" i="8"/>
  <c r="R717" i="8"/>
  <c r="Q717" i="8"/>
  <c r="N717" i="8"/>
  <c r="B717" i="8"/>
  <c r="AB718" i="8"/>
  <c r="R718" i="8"/>
  <c r="Q718" i="8"/>
  <c r="N718" i="8"/>
  <c r="B718" i="8"/>
  <c r="AB721" i="8"/>
  <c r="R721" i="8"/>
  <c r="Q721" i="8"/>
  <c r="N721" i="8"/>
  <c r="B721" i="8"/>
  <c r="AB722" i="8"/>
  <c r="R722" i="8"/>
  <c r="Q722" i="8"/>
  <c r="N722" i="8"/>
  <c r="B722" i="8"/>
  <c r="AB756" i="8"/>
  <c r="R756" i="8"/>
  <c r="Q756" i="8"/>
  <c r="N756" i="8"/>
  <c r="B756" i="8"/>
  <c r="AB755" i="8"/>
  <c r="R755" i="8"/>
  <c r="Q755" i="8"/>
  <c r="N755" i="8"/>
  <c r="B755" i="8"/>
  <c r="AB754" i="8"/>
  <c r="R754" i="8"/>
  <c r="Q754" i="8"/>
  <c r="N754" i="8"/>
  <c r="B754" i="8"/>
  <c r="AB753" i="8"/>
  <c r="R753" i="8"/>
  <c r="Q753" i="8"/>
  <c r="N753" i="8"/>
  <c r="B753" i="8"/>
  <c r="B759" i="9"/>
  <c r="N759" i="9"/>
  <c r="Q759" i="9"/>
  <c r="R759" i="9"/>
  <c r="AB759" i="9"/>
  <c r="AA223" i="17"/>
  <c r="X223" i="17"/>
  <c r="Q223" i="17"/>
  <c r="P223" i="17"/>
  <c r="M223" i="17"/>
  <c r="B223" i="17"/>
  <c r="AA226" i="17"/>
  <c r="AA225" i="17"/>
  <c r="AA224" i="17"/>
  <c r="AA222" i="17"/>
  <c r="AA221" i="17"/>
  <c r="X226" i="17"/>
  <c r="X225" i="17"/>
  <c r="X224" i="17"/>
  <c r="X222" i="17"/>
  <c r="X221" i="17"/>
  <c r="Q226" i="17"/>
  <c r="Q225" i="17"/>
  <c r="Q224" i="17"/>
  <c r="Q222" i="17"/>
  <c r="Q221" i="17"/>
  <c r="P226" i="17"/>
  <c r="P225" i="17"/>
  <c r="P224" i="17"/>
  <c r="P222" i="17"/>
  <c r="P221" i="17"/>
  <c r="M226" i="17"/>
  <c r="M225" i="17"/>
  <c r="M224" i="17"/>
  <c r="M222" i="17"/>
  <c r="M221" i="17"/>
  <c r="B226" i="17"/>
  <c r="B225" i="17"/>
  <c r="B224" i="17"/>
  <c r="B222" i="17"/>
  <c r="B221" i="17"/>
  <c r="B752" i="8"/>
  <c r="N752" i="8"/>
  <c r="Q752" i="8"/>
  <c r="R752" i="8"/>
  <c r="AB752" i="8"/>
  <c r="B751" i="8"/>
  <c r="N751" i="8"/>
  <c r="Q751" i="8"/>
  <c r="R751" i="8"/>
  <c r="AB751" i="8"/>
  <c r="B750" i="8"/>
  <c r="N750" i="8"/>
  <c r="Q750" i="8"/>
  <c r="R750" i="8"/>
  <c r="AB750" i="8"/>
  <c r="B749" i="8"/>
  <c r="N749" i="8"/>
  <c r="Q749" i="8"/>
  <c r="R749" i="8"/>
  <c r="AB749" i="8"/>
  <c r="B748" i="8"/>
  <c r="N748" i="8"/>
  <c r="Q748" i="8"/>
  <c r="R748" i="8"/>
  <c r="AB748" i="8"/>
  <c r="B747" i="8"/>
  <c r="N747" i="8"/>
  <c r="Q747" i="8"/>
  <c r="R747" i="8"/>
  <c r="AB747" i="8"/>
  <c r="B758" i="9"/>
  <c r="N758" i="9"/>
  <c r="Q758" i="9"/>
  <c r="R758" i="9"/>
  <c r="AB758" i="9"/>
  <c r="B746" i="8"/>
  <c r="N746" i="8"/>
  <c r="Q746" i="8"/>
  <c r="R746" i="8"/>
  <c r="AB746" i="8"/>
  <c r="B743" i="8" l="1"/>
  <c r="N743" i="8"/>
  <c r="Q743" i="8"/>
  <c r="R743" i="8"/>
  <c r="AB743" i="8"/>
  <c r="B205" i="17"/>
  <c r="M205" i="17"/>
  <c r="P205" i="17"/>
  <c r="Q205" i="17"/>
  <c r="X205" i="17"/>
  <c r="AA205" i="17"/>
  <c r="B206" i="17"/>
  <c r="M206" i="17"/>
  <c r="P206" i="17"/>
  <c r="Q206" i="17"/>
  <c r="X206" i="17"/>
  <c r="AA206" i="17"/>
  <c r="AB742" i="8"/>
  <c r="R742" i="8"/>
  <c r="Q742" i="8"/>
  <c r="N742" i="8"/>
  <c r="B742" i="8"/>
  <c r="AB741" i="8"/>
  <c r="R741" i="8"/>
  <c r="Q741" i="8"/>
  <c r="N741" i="8"/>
  <c r="B741" i="8"/>
  <c r="AB740" i="8"/>
  <c r="R740" i="8"/>
  <c r="Q740" i="8"/>
  <c r="N740" i="8"/>
  <c r="B740" i="8"/>
  <c r="AB739" i="8"/>
  <c r="R739" i="8"/>
  <c r="Q739" i="8"/>
  <c r="N739" i="8"/>
  <c r="B739" i="8"/>
  <c r="AB738" i="8"/>
  <c r="R738" i="8"/>
  <c r="Q738" i="8"/>
  <c r="N738" i="8"/>
  <c r="B738" i="8"/>
  <c r="AB737" i="8"/>
  <c r="R737" i="8"/>
  <c r="Q737" i="8"/>
  <c r="N737" i="8"/>
  <c r="B737" i="8"/>
  <c r="AB736" i="8"/>
  <c r="R736" i="8"/>
  <c r="Q736" i="8"/>
  <c r="N736" i="8"/>
  <c r="B736" i="8"/>
  <c r="AB735" i="8"/>
  <c r="R735" i="8"/>
  <c r="Q735" i="8"/>
  <c r="N735" i="8"/>
  <c r="B735" i="8"/>
  <c r="AB734" i="8"/>
  <c r="R734" i="8"/>
  <c r="Q734" i="8"/>
  <c r="N734" i="8"/>
  <c r="B734" i="8"/>
  <c r="AB733" i="8"/>
  <c r="R733" i="8"/>
  <c r="Q733" i="8"/>
  <c r="N733" i="8"/>
  <c r="B733" i="8"/>
  <c r="AA103" i="19" l="1"/>
  <c r="X103" i="19"/>
  <c r="Q103" i="19"/>
  <c r="P103" i="19"/>
  <c r="M103" i="19"/>
  <c r="B103" i="19"/>
  <c r="B104" i="19" l="1"/>
  <c r="B105" i="19"/>
  <c r="B106" i="19"/>
  <c r="B107" i="19"/>
  <c r="B108" i="19"/>
  <c r="B109" i="19"/>
  <c r="B110" i="19"/>
  <c r="B111" i="19"/>
  <c r="B112" i="19"/>
  <c r="B113" i="19"/>
  <c r="B114" i="19"/>
  <c r="M104" i="19"/>
  <c r="M105" i="19"/>
  <c r="M106" i="19"/>
  <c r="M107" i="19"/>
  <c r="M108" i="19"/>
  <c r="M109" i="19"/>
  <c r="M110" i="19"/>
  <c r="M111" i="19"/>
  <c r="M112" i="19"/>
  <c r="M113" i="19"/>
  <c r="M114" i="19"/>
  <c r="P105" i="19"/>
  <c r="P106" i="19"/>
  <c r="P107" i="19"/>
  <c r="P108" i="19"/>
  <c r="P109" i="19"/>
  <c r="P110" i="19"/>
  <c r="P111" i="19"/>
  <c r="P112" i="19"/>
  <c r="P113" i="19"/>
  <c r="P114" i="19"/>
  <c r="Q105" i="19"/>
  <c r="Q106" i="19"/>
  <c r="Q107" i="19"/>
  <c r="Q108" i="19"/>
  <c r="Q109" i="19"/>
  <c r="Q110" i="19"/>
  <c r="Q111" i="19"/>
  <c r="Q112" i="19"/>
  <c r="Q113" i="19"/>
  <c r="Q114" i="19"/>
  <c r="X104" i="19"/>
  <c r="X105" i="19"/>
  <c r="X106" i="19"/>
  <c r="X107" i="19"/>
  <c r="X108" i="19"/>
  <c r="X109" i="19"/>
  <c r="X110" i="19"/>
  <c r="X111" i="19"/>
  <c r="X112" i="19"/>
  <c r="X113" i="19"/>
  <c r="X114" i="19"/>
  <c r="AA104" i="19"/>
  <c r="AA105" i="19"/>
  <c r="AA106" i="19"/>
  <c r="AA107" i="19"/>
  <c r="AA108" i="19"/>
  <c r="AA109" i="19"/>
  <c r="AA110" i="19"/>
  <c r="AA111" i="19"/>
  <c r="AA112" i="19"/>
  <c r="AA113" i="19"/>
  <c r="AA114" i="19"/>
  <c r="B255" i="13" l="1"/>
  <c r="B256" i="13"/>
  <c r="B257" i="13"/>
  <c r="B258" i="13"/>
  <c r="B259" i="13"/>
  <c r="B260" i="13"/>
  <c r="B261" i="13"/>
  <c r="B262" i="13"/>
  <c r="B263" i="13"/>
  <c r="B264" i="13"/>
  <c r="M255" i="13"/>
  <c r="M256" i="13"/>
  <c r="M257" i="13"/>
  <c r="M258" i="13"/>
  <c r="M259" i="13"/>
  <c r="M260" i="13"/>
  <c r="M261" i="13"/>
  <c r="M262" i="13"/>
  <c r="M263" i="13"/>
  <c r="M264" i="13"/>
  <c r="P255" i="13"/>
  <c r="P256" i="13"/>
  <c r="P257" i="13"/>
  <c r="P258" i="13"/>
  <c r="P259" i="13"/>
  <c r="P260" i="13"/>
  <c r="P261" i="13"/>
  <c r="P262" i="13"/>
  <c r="P263" i="13"/>
  <c r="P264" i="13"/>
  <c r="Q255" i="13"/>
  <c r="Q256" i="13"/>
  <c r="Q257" i="13"/>
  <c r="Q258" i="13"/>
  <c r="Q259" i="13"/>
  <c r="Q260" i="13"/>
  <c r="Q261" i="13"/>
  <c r="Q262" i="13"/>
  <c r="Q263" i="13"/>
  <c r="Q264" i="13"/>
  <c r="X255" i="13"/>
  <c r="X256" i="13"/>
  <c r="X257" i="13"/>
  <c r="X258" i="13"/>
  <c r="X259" i="13"/>
  <c r="X260" i="13"/>
  <c r="X261" i="13"/>
  <c r="X262" i="13"/>
  <c r="X263" i="13"/>
  <c r="X264" i="13"/>
  <c r="AA255" i="13"/>
  <c r="AA256" i="13"/>
  <c r="AA257" i="13"/>
  <c r="AA258" i="13"/>
  <c r="AA259" i="13"/>
  <c r="AA260" i="13"/>
  <c r="AA261" i="13"/>
  <c r="AA262" i="13"/>
  <c r="AA263" i="13"/>
  <c r="AA264" i="13"/>
  <c r="B254" i="13"/>
  <c r="M254" i="13"/>
  <c r="P254" i="13"/>
  <c r="Q254" i="13"/>
  <c r="X254" i="13"/>
  <c r="AA254" i="13"/>
  <c r="AB757" i="9" l="1"/>
  <c r="R757" i="9"/>
  <c r="Q757" i="9"/>
  <c r="N757" i="9"/>
  <c r="B757" i="9"/>
  <c r="AB732" i="8" l="1"/>
  <c r="R732" i="8"/>
  <c r="Q732" i="8"/>
  <c r="N732" i="8"/>
  <c r="B732" i="8"/>
  <c r="B391" i="10" l="1"/>
  <c r="M391" i="10"/>
  <c r="P391" i="10"/>
  <c r="Q391" i="10"/>
  <c r="B389" i="10"/>
  <c r="B390" i="10"/>
  <c r="B392" i="10"/>
  <c r="B393" i="10"/>
  <c r="B394" i="10"/>
  <c r="B395" i="10"/>
  <c r="M389" i="10"/>
  <c r="M390" i="10"/>
  <c r="M392" i="10"/>
  <c r="M393" i="10"/>
  <c r="M394" i="10"/>
  <c r="M395" i="10"/>
  <c r="P389" i="10"/>
  <c r="P390" i="10"/>
  <c r="P392" i="10"/>
  <c r="P393" i="10"/>
  <c r="P394" i="10"/>
  <c r="P395" i="10"/>
  <c r="Q389" i="10"/>
  <c r="Q390" i="10"/>
  <c r="Q392" i="10"/>
  <c r="Q393" i="10"/>
  <c r="Q394" i="10"/>
  <c r="Q395" i="10"/>
  <c r="B417" i="23"/>
  <c r="M417" i="23"/>
  <c r="P417" i="23"/>
  <c r="Q417" i="23"/>
  <c r="AA417" i="23"/>
  <c r="B416" i="23"/>
  <c r="M416" i="23"/>
  <c r="P416" i="23"/>
  <c r="Q416" i="23"/>
  <c r="AA416" i="23"/>
  <c r="Q584" i="7" l="1"/>
  <c r="P584" i="7"/>
  <c r="X584" i="7" s="1"/>
  <c r="M584" i="7"/>
  <c r="B584" i="7"/>
  <c r="Q583" i="7"/>
  <c r="P583" i="7"/>
  <c r="X583" i="7" s="1"/>
  <c r="M583" i="7"/>
  <c r="B583" i="7"/>
  <c r="AB715" i="9" l="1"/>
  <c r="AB716" i="9"/>
  <c r="R715" i="9"/>
  <c r="R716" i="9"/>
  <c r="Q715" i="9"/>
  <c r="Q716" i="9"/>
  <c r="N715" i="9"/>
  <c r="N716" i="9"/>
  <c r="B715" i="9"/>
  <c r="B716" i="9"/>
  <c r="AB703" i="9"/>
  <c r="AB704" i="9"/>
  <c r="AB705" i="9"/>
  <c r="AB706" i="9"/>
  <c r="AB707" i="9"/>
  <c r="AB708" i="9"/>
  <c r="AB709" i="9"/>
  <c r="AB710" i="9"/>
  <c r="AB711" i="9"/>
  <c r="AB712" i="9"/>
  <c r="AB713" i="9"/>
  <c r="AB714" i="9"/>
  <c r="R703" i="9"/>
  <c r="R704" i="9"/>
  <c r="R705" i="9"/>
  <c r="R706" i="9"/>
  <c r="R707" i="9"/>
  <c r="R708" i="9"/>
  <c r="R709" i="9"/>
  <c r="R710" i="9"/>
  <c r="R711" i="9"/>
  <c r="R712" i="9"/>
  <c r="R713" i="9"/>
  <c r="R714" i="9"/>
  <c r="Q703" i="9"/>
  <c r="Q704" i="9"/>
  <c r="Q705" i="9"/>
  <c r="Q706" i="9"/>
  <c r="Q707" i="9"/>
  <c r="Q708" i="9"/>
  <c r="Q709" i="9"/>
  <c r="Q710" i="9"/>
  <c r="Q711" i="9"/>
  <c r="Q712" i="9"/>
  <c r="Q713" i="9"/>
  <c r="Q714" i="9"/>
  <c r="N703" i="9"/>
  <c r="N704" i="9"/>
  <c r="N705" i="9"/>
  <c r="N706" i="9"/>
  <c r="N707" i="9"/>
  <c r="N708" i="9"/>
  <c r="N709" i="9"/>
  <c r="N710" i="9"/>
  <c r="N711" i="9"/>
  <c r="N712" i="9"/>
  <c r="N713" i="9"/>
  <c r="N714" i="9"/>
  <c r="B703" i="9"/>
  <c r="B704" i="9"/>
  <c r="B705" i="9"/>
  <c r="B706" i="9"/>
  <c r="B707" i="9"/>
  <c r="B708" i="9"/>
  <c r="B709" i="9"/>
  <c r="B710" i="9"/>
  <c r="B711" i="9"/>
  <c r="B712" i="9"/>
  <c r="B713" i="9"/>
  <c r="B714" i="9"/>
  <c r="AA201" i="3" l="1"/>
  <c r="Q201" i="3"/>
  <c r="P201" i="3"/>
  <c r="M201" i="3"/>
  <c r="B201" i="3"/>
  <c r="AA202" i="3"/>
  <c r="Q202" i="3"/>
  <c r="P202" i="3"/>
  <c r="M202" i="3"/>
  <c r="B202" i="3"/>
  <c r="AA203" i="3"/>
  <c r="Q203" i="3"/>
  <c r="P203" i="3"/>
  <c r="M203" i="3"/>
  <c r="B203" i="3"/>
  <c r="AA204" i="3"/>
  <c r="Q204" i="3"/>
  <c r="P204" i="3"/>
  <c r="M204" i="3"/>
  <c r="B204" i="3"/>
  <c r="AA205" i="3"/>
  <c r="Q205" i="3"/>
  <c r="P205" i="3"/>
  <c r="M205" i="3"/>
  <c r="B205" i="3"/>
  <c r="AA206" i="3"/>
  <c r="Q206" i="3"/>
  <c r="P206" i="3"/>
  <c r="M206" i="3"/>
  <c r="B206" i="3"/>
  <c r="AA207" i="3"/>
  <c r="Q207" i="3"/>
  <c r="P207" i="3"/>
  <c r="M207" i="3"/>
  <c r="B207" i="3"/>
  <c r="AA171" i="3"/>
  <c r="Q171" i="3"/>
  <c r="P171" i="3"/>
  <c r="M171" i="3"/>
  <c r="B171" i="3"/>
  <c r="AA172" i="3"/>
  <c r="Q172" i="3"/>
  <c r="P172" i="3"/>
  <c r="M172" i="3"/>
  <c r="B172" i="3"/>
  <c r="Q723" i="8"/>
  <c r="AA162" i="5"/>
  <c r="M162" i="5"/>
  <c r="B162" i="5"/>
  <c r="AA161" i="5" l="1"/>
  <c r="M161" i="5"/>
  <c r="B161" i="5"/>
  <c r="AA160" i="5"/>
  <c r="M160" i="5"/>
  <c r="B160" i="5"/>
  <c r="AB756" i="9"/>
  <c r="R756" i="9"/>
  <c r="Q756" i="9"/>
  <c r="N756" i="9"/>
  <c r="B756" i="9"/>
  <c r="B731" i="8"/>
  <c r="N731" i="8"/>
  <c r="Q731" i="8"/>
  <c r="R731" i="8"/>
  <c r="AB731" i="8"/>
  <c r="B728" i="8"/>
  <c r="B729" i="8"/>
  <c r="B730" i="8"/>
  <c r="N728" i="8"/>
  <c r="N729" i="8"/>
  <c r="N730" i="8"/>
  <c r="Q728" i="8"/>
  <c r="Q729" i="8"/>
  <c r="Q730" i="8"/>
  <c r="R728" i="8"/>
  <c r="R729" i="8"/>
  <c r="R730" i="8"/>
  <c r="AB728" i="8"/>
  <c r="AB729" i="8"/>
  <c r="AB730" i="8"/>
  <c r="B683" i="9"/>
  <c r="B684" i="9"/>
  <c r="B685" i="9"/>
  <c r="B686" i="9"/>
  <c r="B687" i="9"/>
  <c r="B688" i="9"/>
  <c r="B689" i="9"/>
  <c r="B690" i="9"/>
  <c r="B691" i="9"/>
  <c r="B692" i="9"/>
  <c r="B693" i="9"/>
  <c r="B694" i="9"/>
  <c r="N683" i="9"/>
  <c r="N684" i="9"/>
  <c r="N685" i="9"/>
  <c r="N686" i="9"/>
  <c r="N687" i="9"/>
  <c r="N688" i="9"/>
  <c r="N689" i="9"/>
  <c r="N690" i="9"/>
  <c r="N691" i="9"/>
  <c r="N692" i="9"/>
  <c r="N693" i="9"/>
  <c r="N694" i="9"/>
  <c r="Q683" i="9"/>
  <c r="Q684" i="9"/>
  <c r="Q685" i="9"/>
  <c r="Q686" i="9"/>
  <c r="Q687" i="9"/>
  <c r="Q688" i="9"/>
  <c r="Q689" i="9"/>
  <c r="Q690" i="9"/>
  <c r="Q691" i="9"/>
  <c r="Q692" i="9"/>
  <c r="Q693" i="9"/>
  <c r="Q694" i="9"/>
  <c r="R683" i="9"/>
  <c r="R684" i="9"/>
  <c r="R685" i="9"/>
  <c r="R686" i="9"/>
  <c r="R687" i="9"/>
  <c r="R688" i="9"/>
  <c r="R689" i="9"/>
  <c r="R690" i="9"/>
  <c r="R691" i="9"/>
  <c r="R692" i="9"/>
  <c r="R693" i="9"/>
  <c r="R694" i="9"/>
  <c r="AB683" i="9"/>
  <c r="AB684" i="9"/>
  <c r="AB685" i="9"/>
  <c r="AB686" i="9"/>
  <c r="AB687" i="9"/>
  <c r="AB688" i="9"/>
  <c r="AB689" i="9"/>
  <c r="AB690" i="9"/>
  <c r="AB691" i="9"/>
  <c r="AB692" i="9"/>
  <c r="AB693" i="9"/>
  <c r="AB694" i="9"/>
  <c r="B754" i="9"/>
  <c r="B755" i="9"/>
  <c r="N754" i="9"/>
  <c r="N755" i="9"/>
  <c r="Q754" i="9"/>
  <c r="Q755" i="9"/>
  <c r="R754" i="9"/>
  <c r="R755" i="9"/>
  <c r="AB754" i="9"/>
  <c r="AB755" i="9"/>
  <c r="B750" i="9"/>
  <c r="B751" i="9"/>
  <c r="B752" i="9"/>
  <c r="B753" i="9"/>
  <c r="N750" i="9"/>
  <c r="N751" i="9"/>
  <c r="N752" i="9"/>
  <c r="N753" i="9"/>
  <c r="Q750" i="9"/>
  <c r="Q751" i="9"/>
  <c r="Q752" i="9"/>
  <c r="Q753" i="9"/>
  <c r="R750" i="9"/>
  <c r="R751" i="9"/>
  <c r="R752" i="9"/>
  <c r="R753" i="9"/>
  <c r="AB750" i="9"/>
  <c r="AB751" i="9"/>
  <c r="AB752" i="9"/>
  <c r="AB753" i="9"/>
  <c r="B727" i="8" l="1"/>
  <c r="N727" i="8"/>
  <c r="Q727" i="8"/>
  <c r="R727" i="8"/>
  <c r="AB727" i="8"/>
  <c r="B726" i="8"/>
  <c r="N726" i="8"/>
  <c r="Q726" i="8"/>
  <c r="R726" i="8"/>
  <c r="AB726" i="8"/>
  <c r="B725" i="8"/>
  <c r="N725" i="8"/>
  <c r="Q725" i="8"/>
  <c r="R725" i="8"/>
  <c r="AB725" i="8"/>
  <c r="B749" i="9"/>
  <c r="N749" i="9"/>
  <c r="Q749" i="9"/>
  <c r="R749" i="9"/>
  <c r="AB749" i="9"/>
  <c r="B748" i="9"/>
  <c r="N748" i="9"/>
  <c r="Q748" i="9"/>
  <c r="R748" i="9"/>
  <c r="AB748" i="9"/>
  <c r="B747" i="9"/>
  <c r="N747" i="9"/>
  <c r="Q747" i="9"/>
  <c r="R747" i="9"/>
  <c r="AB747" i="9"/>
  <c r="B746" i="9"/>
  <c r="N746" i="9"/>
  <c r="Q746" i="9"/>
  <c r="R746" i="9"/>
  <c r="AB746" i="9"/>
  <c r="B723" i="8" l="1"/>
  <c r="N723" i="8"/>
  <c r="R723" i="8"/>
  <c r="AB723" i="8"/>
  <c r="B362" i="10"/>
  <c r="B363" i="10"/>
  <c r="B364" i="10"/>
  <c r="B365" i="10"/>
  <c r="B366" i="10"/>
  <c r="B367" i="10"/>
  <c r="B368" i="10"/>
  <c r="B369" i="10"/>
  <c r="B370" i="10"/>
  <c r="B371" i="10"/>
  <c r="B372" i="10"/>
  <c r="B373" i="10"/>
  <c r="B374" i="10"/>
  <c r="B375" i="10"/>
  <c r="B376" i="10"/>
  <c r="B377" i="10"/>
  <c r="B378" i="10"/>
  <c r="B379" i="10"/>
  <c r="B380" i="10"/>
  <c r="B381" i="10"/>
  <c r="B382" i="10"/>
  <c r="B383" i="10"/>
  <c r="B384" i="10"/>
  <c r="B385" i="10"/>
  <c r="B386" i="10"/>
  <c r="B387" i="10"/>
  <c r="B388" i="10"/>
  <c r="M362" i="10"/>
  <c r="M363" i="10"/>
  <c r="M364" i="10"/>
  <c r="M365" i="10"/>
  <c r="M366" i="10"/>
  <c r="M367" i="10"/>
  <c r="M368" i="10"/>
  <c r="M369" i="10"/>
  <c r="M370" i="10"/>
  <c r="M371" i="10"/>
  <c r="M372" i="10"/>
  <c r="M373" i="10"/>
  <c r="M374" i="10"/>
  <c r="M375" i="10"/>
  <c r="M376" i="10"/>
  <c r="M377" i="10"/>
  <c r="M378" i="10"/>
  <c r="M379" i="10"/>
  <c r="M380" i="10"/>
  <c r="M381" i="10"/>
  <c r="M382" i="10"/>
  <c r="M383" i="10"/>
  <c r="M384" i="10"/>
  <c r="M385" i="10"/>
  <c r="M386" i="10"/>
  <c r="M387" i="10"/>
  <c r="M388" i="10"/>
  <c r="P362" i="10"/>
  <c r="P363" i="10"/>
  <c r="P364" i="10"/>
  <c r="P365" i="10"/>
  <c r="P366" i="10"/>
  <c r="P367" i="10"/>
  <c r="P368" i="10"/>
  <c r="P369" i="10"/>
  <c r="P370" i="10"/>
  <c r="P371" i="10"/>
  <c r="P372" i="10"/>
  <c r="P373" i="10"/>
  <c r="P374" i="10"/>
  <c r="P375" i="10"/>
  <c r="P376" i="10"/>
  <c r="P377" i="10"/>
  <c r="P378" i="10"/>
  <c r="P379" i="10"/>
  <c r="P380" i="10"/>
  <c r="P381" i="10"/>
  <c r="P382" i="10"/>
  <c r="P383" i="10"/>
  <c r="P384" i="10"/>
  <c r="P385" i="10"/>
  <c r="P386" i="10"/>
  <c r="P387" i="10"/>
  <c r="P388" i="10"/>
  <c r="Q362" i="10"/>
  <c r="Q363" i="10"/>
  <c r="Q364" i="10"/>
  <c r="Q365" i="10"/>
  <c r="Q366" i="10"/>
  <c r="Q367" i="10"/>
  <c r="Q368" i="10"/>
  <c r="Q369" i="10"/>
  <c r="Q370" i="10"/>
  <c r="Q371" i="10"/>
  <c r="Q372" i="10"/>
  <c r="Q373" i="10"/>
  <c r="Q374" i="10"/>
  <c r="Q375" i="10"/>
  <c r="Q376" i="10"/>
  <c r="Q377" i="10"/>
  <c r="Q378" i="10"/>
  <c r="Q379" i="10"/>
  <c r="Q380" i="10"/>
  <c r="Q381" i="10"/>
  <c r="Q382" i="10"/>
  <c r="Q383" i="10"/>
  <c r="Q384" i="10"/>
  <c r="Q385" i="10"/>
  <c r="Q386" i="10"/>
  <c r="Q387" i="10"/>
  <c r="Q388" i="10"/>
  <c r="B361" i="10"/>
  <c r="M361" i="10"/>
  <c r="P361" i="10"/>
  <c r="Q361" i="10"/>
  <c r="AB724" i="8" l="1"/>
  <c r="R724" i="8"/>
  <c r="Q724" i="8"/>
  <c r="N724" i="8"/>
  <c r="B724" i="8"/>
  <c r="AB720" i="8" l="1"/>
  <c r="R720" i="8"/>
  <c r="Q720" i="8"/>
  <c r="N720" i="8"/>
  <c r="B720" i="8"/>
  <c r="B745" i="9" l="1"/>
  <c r="N745" i="9"/>
  <c r="Q745" i="9"/>
  <c r="R745" i="9"/>
  <c r="AB745" i="9"/>
  <c r="B744" i="9"/>
  <c r="N744" i="9"/>
  <c r="Q744" i="9"/>
  <c r="R744" i="9"/>
  <c r="AB744" i="9"/>
  <c r="B743" i="9"/>
  <c r="N743" i="9"/>
  <c r="Q743" i="9"/>
  <c r="R743" i="9"/>
  <c r="AB743" i="9"/>
  <c r="B546" i="7" l="1"/>
  <c r="B547" i="7"/>
  <c r="B548" i="7"/>
  <c r="B549" i="7"/>
  <c r="B550" i="7"/>
  <c r="B551" i="7"/>
  <c r="B552" i="7"/>
  <c r="B553" i="7"/>
  <c r="B554" i="7"/>
  <c r="B555" i="7"/>
  <c r="B556" i="7"/>
  <c r="B557" i="7"/>
  <c r="B558" i="7"/>
  <c r="B559" i="7"/>
  <c r="B560" i="7"/>
  <c r="B561" i="7"/>
  <c r="B562" i="7"/>
  <c r="B563" i="7"/>
  <c r="B564" i="7"/>
  <c r="B565" i="7"/>
  <c r="B566" i="7"/>
  <c r="B567" i="7"/>
  <c r="B568" i="7"/>
  <c r="B569" i="7"/>
  <c r="B570" i="7"/>
  <c r="B571" i="7"/>
  <c r="B572" i="7"/>
  <c r="B573" i="7"/>
  <c r="B574" i="7"/>
  <c r="B575" i="7"/>
  <c r="B576" i="7"/>
  <c r="B577" i="7"/>
  <c r="B578" i="7"/>
  <c r="B579" i="7"/>
  <c r="B580" i="7"/>
  <c r="B581" i="7"/>
  <c r="B582" i="7"/>
  <c r="M546" i="7"/>
  <c r="M547" i="7"/>
  <c r="M548" i="7"/>
  <c r="M549" i="7"/>
  <c r="M550" i="7"/>
  <c r="M551" i="7"/>
  <c r="M552" i="7"/>
  <c r="M553" i="7"/>
  <c r="M554" i="7"/>
  <c r="M555" i="7"/>
  <c r="M556" i="7"/>
  <c r="M557" i="7"/>
  <c r="M558" i="7"/>
  <c r="M559" i="7"/>
  <c r="M560" i="7"/>
  <c r="M561" i="7"/>
  <c r="M562" i="7"/>
  <c r="M563" i="7"/>
  <c r="M564" i="7"/>
  <c r="M565" i="7"/>
  <c r="M566" i="7"/>
  <c r="M567" i="7"/>
  <c r="M568" i="7"/>
  <c r="M569" i="7"/>
  <c r="M570" i="7"/>
  <c r="M571" i="7"/>
  <c r="M572" i="7"/>
  <c r="M573" i="7"/>
  <c r="M574" i="7"/>
  <c r="M575" i="7"/>
  <c r="M576" i="7"/>
  <c r="M577" i="7"/>
  <c r="M578" i="7"/>
  <c r="M579" i="7"/>
  <c r="M580" i="7"/>
  <c r="M581" i="7"/>
  <c r="M582" i="7"/>
  <c r="P546" i="7"/>
  <c r="X546" i="7" s="1"/>
  <c r="P547" i="7"/>
  <c r="X547" i="7" s="1"/>
  <c r="P548" i="7"/>
  <c r="X548" i="7" s="1"/>
  <c r="P549" i="7"/>
  <c r="X549" i="7" s="1"/>
  <c r="P550" i="7"/>
  <c r="X550" i="7" s="1"/>
  <c r="P551" i="7"/>
  <c r="X551" i="7" s="1"/>
  <c r="P552" i="7"/>
  <c r="X552" i="7" s="1"/>
  <c r="P553" i="7"/>
  <c r="X553" i="7" s="1"/>
  <c r="P554" i="7"/>
  <c r="X554" i="7" s="1"/>
  <c r="P555" i="7"/>
  <c r="X555" i="7" s="1"/>
  <c r="P556" i="7"/>
  <c r="X556" i="7" s="1"/>
  <c r="P557" i="7"/>
  <c r="X557" i="7" s="1"/>
  <c r="P558" i="7"/>
  <c r="X558" i="7" s="1"/>
  <c r="P559" i="7"/>
  <c r="X559" i="7" s="1"/>
  <c r="P560" i="7"/>
  <c r="X560" i="7" s="1"/>
  <c r="P561" i="7"/>
  <c r="X561" i="7" s="1"/>
  <c r="P562" i="7"/>
  <c r="X562" i="7" s="1"/>
  <c r="P563" i="7"/>
  <c r="X563" i="7" s="1"/>
  <c r="P564" i="7"/>
  <c r="X564" i="7" s="1"/>
  <c r="P565" i="7"/>
  <c r="X565" i="7" s="1"/>
  <c r="P566" i="7"/>
  <c r="X566" i="7" s="1"/>
  <c r="P567" i="7"/>
  <c r="X567" i="7" s="1"/>
  <c r="P568" i="7"/>
  <c r="X568" i="7" s="1"/>
  <c r="P569" i="7"/>
  <c r="X569" i="7" s="1"/>
  <c r="P570" i="7"/>
  <c r="X570" i="7" s="1"/>
  <c r="P571" i="7"/>
  <c r="X571" i="7" s="1"/>
  <c r="P572" i="7"/>
  <c r="X572" i="7" s="1"/>
  <c r="P573" i="7"/>
  <c r="X573" i="7" s="1"/>
  <c r="P574" i="7"/>
  <c r="X574" i="7" s="1"/>
  <c r="P575" i="7"/>
  <c r="X575" i="7" s="1"/>
  <c r="P576" i="7"/>
  <c r="X576" i="7" s="1"/>
  <c r="P577" i="7"/>
  <c r="X577" i="7" s="1"/>
  <c r="P578" i="7"/>
  <c r="X578" i="7" s="1"/>
  <c r="P579" i="7"/>
  <c r="X579" i="7" s="1"/>
  <c r="P580" i="7"/>
  <c r="X580" i="7" s="1"/>
  <c r="P581" i="7"/>
  <c r="X581" i="7" s="1"/>
  <c r="P582" i="7"/>
  <c r="X582" i="7" s="1"/>
  <c r="Q546" i="7"/>
  <c r="Q547" i="7"/>
  <c r="Q548" i="7"/>
  <c r="Q549" i="7"/>
  <c r="Q550" i="7"/>
  <c r="Q551" i="7"/>
  <c r="Q552" i="7"/>
  <c r="Q553" i="7"/>
  <c r="Q554" i="7"/>
  <c r="Q555" i="7"/>
  <c r="Q556" i="7"/>
  <c r="Q557" i="7"/>
  <c r="Q558" i="7"/>
  <c r="Q559" i="7"/>
  <c r="Q560" i="7"/>
  <c r="Q561" i="7"/>
  <c r="Q562" i="7"/>
  <c r="Q563" i="7"/>
  <c r="Q564" i="7"/>
  <c r="Q565" i="7"/>
  <c r="Q566" i="7"/>
  <c r="Q567" i="7"/>
  <c r="Q568" i="7"/>
  <c r="Q569" i="7"/>
  <c r="Q570" i="7"/>
  <c r="Q571" i="7"/>
  <c r="Q572" i="7"/>
  <c r="Q573" i="7"/>
  <c r="Q574" i="7"/>
  <c r="Q575" i="7"/>
  <c r="Q576" i="7"/>
  <c r="Q577" i="7"/>
  <c r="Q578" i="7"/>
  <c r="Q579" i="7"/>
  <c r="Q580" i="7"/>
  <c r="Q581" i="7"/>
  <c r="Q582" i="7"/>
  <c r="AA415" i="23"/>
  <c r="Q415" i="23"/>
  <c r="P415" i="23"/>
  <c r="M415" i="23"/>
  <c r="B415" i="23"/>
  <c r="AA414" i="23"/>
  <c r="Q414" i="23"/>
  <c r="P414" i="23"/>
  <c r="M414" i="23"/>
  <c r="B414" i="23"/>
  <c r="AA413" i="23"/>
  <c r="Q413" i="23"/>
  <c r="P413" i="23"/>
  <c r="M413" i="23"/>
  <c r="B413" i="23"/>
  <c r="AA412" i="23"/>
  <c r="Q412" i="23"/>
  <c r="P412" i="23"/>
  <c r="M412" i="23"/>
  <c r="B412" i="23"/>
  <c r="AA411" i="23"/>
  <c r="Q411" i="23"/>
  <c r="P411" i="23"/>
  <c r="M411" i="23"/>
  <c r="B411" i="23"/>
  <c r="H11" i="15" l="1"/>
  <c r="L12" i="15"/>
  <c r="P11" i="15"/>
  <c r="J11" i="15"/>
  <c r="E10" i="15"/>
  <c r="G11" i="15"/>
  <c r="K12" i="15"/>
  <c r="O11" i="15"/>
  <c r="I11" i="15"/>
  <c r="P12" i="15"/>
  <c r="J12" i="15"/>
  <c r="N11" i="15"/>
  <c r="O12" i="15"/>
  <c r="I12" i="15"/>
  <c r="M11" i="15"/>
  <c r="F11" i="15"/>
  <c r="M12" i="15"/>
  <c r="G12" i="15"/>
  <c r="K11" i="15"/>
  <c r="F12" i="15"/>
  <c r="N12" i="15"/>
  <c r="H12" i="15"/>
  <c r="L11" i="15"/>
  <c r="E12" i="15"/>
  <c r="B742" i="9"/>
  <c r="N742" i="9"/>
  <c r="Q742" i="9"/>
  <c r="R742" i="9"/>
  <c r="AB742" i="9"/>
  <c r="P10" i="15" l="1"/>
  <c r="B741" i="9"/>
  <c r="N741" i="9"/>
  <c r="Q741" i="9"/>
  <c r="R741" i="9"/>
  <c r="AB741" i="9"/>
  <c r="B740" i="9"/>
  <c r="N740" i="9"/>
  <c r="Q740" i="9"/>
  <c r="R740" i="9"/>
  <c r="AB740" i="9"/>
  <c r="B739" i="9"/>
  <c r="N739" i="9"/>
  <c r="Q739" i="9"/>
  <c r="R739" i="9"/>
  <c r="AB739" i="9"/>
  <c r="B738" i="9"/>
  <c r="N738" i="9"/>
  <c r="Q738" i="9"/>
  <c r="R738" i="9"/>
  <c r="AB738" i="9"/>
  <c r="B719" i="8" l="1"/>
  <c r="N719" i="8"/>
  <c r="Q719" i="8"/>
  <c r="R719" i="8"/>
  <c r="AB719" i="8"/>
  <c r="AA40" i="6" l="1"/>
  <c r="Q40" i="6"/>
  <c r="P40" i="6"/>
  <c r="M40" i="6"/>
  <c r="B40" i="6"/>
  <c r="A40" i="6"/>
  <c r="AA314" i="3"/>
  <c r="Q314" i="3"/>
  <c r="P314" i="3"/>
  <c r="M314" i="3"/>
  <c r="B314" i="3"/>
  <c r="AA315" i="3"/>
  <c r="Q315" i="3"/>
  <c r="P315" i="3"/>
  <c r="M315" i="3"/>
  <c r="B315" i="3"/>
  <c r="AA316" i="3"/>
  <c r="Q316" i="3"/>
  <c r="P316" i="3"/>
  <c r="M316" i="3"/>
  <c r="B316" i="3"/>
  <c r="AA317" i="3"/>
  <c r="Q317" i="3"/>
  <c r="P317" i="3"/>
  <c r="M317" i="3"/>
  <c r="B317" i="3"/>
  <c r="AA318" i="3"/>
  <c r="Q318" i="3"/>
  <c r="P318" i="3"/>
  <c r="M318" i="3"/>
  <c r="B318" i="3"/>
  <c r="AA319" i="3"/>
  <c r="Q319" i="3"/>
  <c r="P319" i="3"/>
  <c r="M319" i="3"/>
  <c r="B319" i="3"/>
  <c r="AA320" i="3"/>
  <c r="Q320" i="3"/>
  <c r="P320" i="3"/>
  <c r="M320" i="3"/>
  <c r="B320" i="3"/>
  <c r="AA321" i="3"/>
  <c r="Q321" i="3"/>
  <c r="P321" i="3"/>
  <c r="M321" i="3"/>
  <c r="B321" i="3"/>
  <c r="AA322" i="3"/>
  <c r="Q322" i="3"/>
  <c r="P322" i="3"/>
  <c r="M322" i="3"/>
  <c r="B322" i="3"/>
  <c r="AA323" i="3"/>
  <c r="Q323" i="3"/>
  <c r="P323" i="3"/>
  <c r="M323" i="3"/>
  <c r="B323" i="3"/>
  <c r="B220" i="17"/>
  <c r="M220" i="17"/>
  <c r="P220" i="17"/>
  <c r="Q220" i="17"/>
  <c r="X220" i="17"/>
  <c r="AA220" i="17"/>
  <c r="B219" i="17"/>
  <c r="M219" i="17"/>
  <c r="P219" i="17"/>
  <c r="Q219" i="17"/>
  <c r="X219" i="17"/>
  <c r="AA219" i="17"/>
  <c r="B214" i="17"/>
  <c r="M214" i="17"/>
  <c r="P214" i="17"/>
  <c r="Q214" i="17"/>
  <c r="X214" i="17"/>
  <c r="AA214" i="17"/>
  <c r="B204" i="17"/>
  <c r="M204" i="17"/>
  <c r="P204" i="17"/>
  <c r="Q204" i="17"/>
  <c r="X204" i="17"/>
  <c r="AA204" i="17"/>
  <c r="B201" i="17" l="1"/>
  <c r="B202" i="17"/>
  <c r="B203" i="17"/>
  <c r="B207" i="17"/>
  <c r="B208" i="17"/>
  <c r="B209" i="17"/>
  <c r="B210" i="17"/>
  <c r="B211" i="17"/>
  <c r="B212" i="17"/>
  <c r="B213" i="17"/>
  <c r="B215" i="17"/>
  <c r="B216" i="17"/>
  <c r="B217" i="17"/>
  <c r="B218" i="17"/>
  <c r="M201" i="17"/>
  <c r="M202" i="17"/>
  <c r="M203" i="17"/>
  <c r="M207" i="17"/>
  <c r="M208" i="17"/>
  <c r="M209" i="17"/>
  <c r="M210" i="17"/>
  <c r="M211" i="17"/>
  <c r="M212" i="17"/>
  <c r="M213" i="17"/>
  <c r="M215" i="17"/>
  <c r="M216" i="17"/>
  <c r="M217" i="17"/>
  <c r="M218" i="17"/>
  <c r="P201" i="17"/>
  <c r="P202" i="17"/>
  <c r="P203" i="17"/>
  <c r="P207" i="17"/>
  <c r="P208" i="17"/>
  <c r="P209" i="17"/>
  <c r="P210" i="17"/>
  <c r="P211" i="17"/>
  <c r="P212" i="17"/>
  <c r="P213" i="17"/>
  <c r="P215" i="17"/>
  <c r="P216" i="17"/>
  <c r="P217" i="17"/>
  <c r="P218" i="17"/>
  <c r="Q201" i="17"/>
  <c r="Q202" i="17"/>
  <c r="Q203" i="17"/>
  <c r="Q207" i="17"/>
  <c r="Q208" i="17"/>
  <c r="Q209" i="17"/>
  <c r="Q210" i="17"/>
  <c r="Q211" i="17"/>
  <c r="Q212" i="17"/>
  <c r="Q213" i="17"/>
  <c r="Q215" i="17"/>
  <c r="Q216" i="17"/>
  <c r="Q217" i="17"/>
  <c r="Q218" i="17"/>
  <c r="X201" i="17"/>
  <c r="X202" i="17"/>
  <c r="X203" i="17"/>
  <c r="X207" i="17"/>
  <c r="X208" i="17"/>
  <c r="X209" i="17"/>
  <c r="X210" i="17"/>
  <c r="X211" i="17"/>
  <c r="X212" i="17"/>
  <c r="X213" i="17"/>
  <c r="X215" i="17"/>
  <c r="X216" i="17"/>
  <c r="X217" i="17"/>
  <c r="X218" i="17"/>
  <c r="AA201" i="17"/>
  <c r="AA202" i="17"/>
  <c r="AA203" i="17"/>
  <c r="AA207" i="17"/>
  <c r="AA208" i="17"/>
  <c r="AA209" i="17"/>
  <c r="AA210" i="17"/>
  <c r="AA211" i="17"/>
  <c r="AA212" i="17"/>
  <c r="AA213" i="17"/>
  <c r="AA215" i="17"/>
  <c r="AA216" i="17"/>
  <c r="AA217" i="17"/>
  <c r="AA218" i="17"/>
  <c r="B159" i="5"/>
  <c r="M159" i="5"/>
  <c r="AA159" i="5"/>
  <c r="B158" i="5"/>
  <c r="M158" i="5"/>
  <c r="AA158" i="5"/>
  <c r="B157" i="5"/>
  <c r="M157" i="5"/>
  <c r="AA157" i="5"/>
  <c r="B156" i="5"/>
  <c r="M156" i="5"/>
  <c r="AA156" i="5"/>
  <c r="B155" i="5"/>
  <c r="M155" i="5"/>
  <c r="AA155" i="5"/>
  <c r="B154" i="5"/>
  <c r="M154" i="5"/>
  <c r="AA154" i="5"/>
  <c r="B262" i="12" l="1"/>
  <c r="B263" i="12"/>
  <c r="B264" i="12"/>
  <c r="B265" i="12"/>
  <c r="B266" i="12"/>
  <c r="B268" i="12"/>
  <c r="M262" i="12"/>
  <c r="M263" i="12"/>
  <c r="M264" i="12"/>
  <c r="M265" i="12"/>
  <c r="M266" i="12"/>
  <c r="M267" i="12"/>
  <c r="M268" i="12"/>
  <c r="P262" i="12"/>
  <c r="P263" i="12"/>
  <c r="P264" i="12"/>
  <c r="P265" i="12"/>
  <c r="P266" i="12"/>
  <c r="P267" i="12"/>
  <c r="P268" i="12"/>
  <c r="Q262" i="12"/>
  <c r="Q263" i="12"/>
  <c r="Q264" i="12"/>
  <c r="Q265" i="12"/>
  <c r="Q266" i="12"/>
  <c r="Q267" i="12"/>
  <c r="Q268" i="12"/>
  <c r="X262" i="12"/>
  <c r="X263" i="12"/>
  <c r="X264" i="12"/>
  <c r="X265" i="12"/>
  <c r="X266" i="12"/>
  <c r="X267" i="12"/>
  <c r="X268" i="12"/>
  <c r="AA262" i="12"/>
  <c r="AA263" i="12"/>
  <c r="AA264" i="12"/>
  <c r="AA265" i="12"/>
  <c r="AA266" i="12"/>
  <c r="AA267" i="12"/>
  <c r="AA268" i="12"/>
  <c r="B258" i="12" l="1"/>
  <c r="M258" i="12"/>
  <c r="P258" i="12"/>
  <c r="Q258" i="12"/>
  <c r="X258" i="12"/>
  <c r="AA258" i="12"/>
  <c r="B259" i="12"/>
  <c r="M259" i="12"/>
  <c r="P259" i="12"/>
  <c r="Q259" i="12"/>
  <c r="X259" i="12"/>
  <c r="AA259" i="12"/>
  <c r="B260" i="12"/>
  <c r="M260" i="12"/>
  <c r="P260" i="12"/>
  <c r="Q260" i="12"/>
  <c r="X260" i="12"/>
  <c r="AA260" i="12"/>
  <c r="B261" i="12"/>
  <c r="M261" i="12"/>
  <c r="P261" i="12"/>
  <c r="Q261" i="12"/>
  <c r="X261" i="12"/>
  <c r="AA261" i="12"/>
  <c r="B737" i="9" l="1"/>
  <c r="N737" i="9"/>
  <c r="Q737" i="9"/>
  <c r="R737" i="9"/>
  <c r="AB737" i="9"/>
  <c r="B736" i="9"/>
  <c r="N736" i="9"/>
  <c r="Q736" i="9"/>
  <c r="R736" i="9"/>
  <c r="AB736" i="9"/>
  <c r="B735" i="9"/>
  <c r="N735" i="9"/>
  <c r="Q735" i="9"/>
  <c r="R735" i="9"/>
  <c r="AB735" i="9"/>
  <c r="B715" i="8" l="1"/>
  <c r="N715" i="8"/>
  <c r="Q715" i="8"/>
  <c r="R715" i="8"/>
  <c r="AB715" i="8"/>
  <c r="AA124" i="5"/>
  <c r="M124" i="5"/>
  <c r="B124" i="5"/>
  <c r="AA125" i="5"/>
  <c r="M125" i="5"/>
  <c r="B125" i="5"/>
  <c r="B714" i="8" l="1"/>
  <c r="N714" i="8"/>
  <c r="Q714" i="8"/>
  <c r="R714" i="8"/>
  <c r="AB714" i="8"/>
  <c r="AA328" i="3" l="1"/>
  <c r="Q328" i="3"/>
  <c r="P328" i="3"/>
  <c r="M328" i="3"/>
  <c r="B328" i="3"/>
  <c r="B410" i="23" l="1"/>
  <c r="M410" i="23"/>
  <c r="P410" i="23"/>
  <c r="Q410" i="23"/>
  <c r="AA410" i="23"/>
  <c r="B409" i="23"/>
  <c r="M409" i="23"/>
  <c r="P409" i="23"/>
  <c r="Q409" i="23"/>
  <c r="AA409" i="23"/>
  <c r="B408" i="23"/>
  <c r="M408" i="23"/>
  <c r="P408" i="23"/>
  <c r="Q408" i="23"/>
  <c r="AA408" i="23"/>
  <c r="B407" i="23"/>
  <c r="M407" i="23"/>
  <c r="P407" i="23"/>
  <c r="Q407" i="23"/>
  <c r="AA407" i="23"/>
  <c r="B406" i="23"/>
  <c r="M406" i="23"/>
  <c r="P406" i="23"/>
  <c r="Q406" i="23"/>
  <c r="AA406" i="23"/>
  <c r="B405" i="23"/>
  <c r="M405" i="23"/>
  <c r="P405" i="23"/>
  <c r="Q405" i="23"/>
  <c r="AA405" i="23"/>
  <c r="B324" i="3"/>
  <c r="M324" i="3"/>
  <c r="P324" i="3"/>
  <c r="Q324" i="3"/>
  <c r="AA324" i="3"/>
  <c r="B713" i="8"/>
  <c r="N713" i="8"/>
  <c r="Q713" i="8"/>
  <c r="R713" i="8"/>
  <c r="AB713" i="8"/>
  <c r="B325" i="3" l="1"/>
  <c r="M325" i="3"/>
  <c r="P325" i="3"/>
  <c r="Q325" i="3"/>
  <c r="AA325" i="3"/>
  <c r="B712" i="8" l="1"/>
  <c r="N712" i="8"/>
  <c r="Q712" i="8"/>
  <c r="R712" i="8"/>
  <c r="AB712" i="8"/>
  <c r="B409" i="18"/>
  <c r="B410" i="18"/>
  <c r="B411" i="18"/>
  <c r="B412" i="18"/>
  <c r="B413" i="18"/>
  <c r="B414" i="18"/>
  <c r="B416" i="18"/>
  <c r="B417" i="18"/>
  <c r="M409" i="18"/>
  <c r="M410" i="18"/>
  <c r="M411" i="18"/>
  <c r="M412" i="18"/>
  <c r="M413" i="18"/>
  <c r="M414" i="18"/>
  <c r="M416" i="18"/>
  <c r="M417" i="18"/>
  <c r="P409" i="18"/>
  <c r="P410" i="18"/>
  <c r="P411" i="18"/>
  <c r="P412" i="18"/>
  <c r="P413" i="18"/>
  <c r="P414" i="18"/>
  <c r="P416" i="18"/>
  <c r="P417" i="18"/>
  <c r="Q409" i="18"/>
  <c r="Q410" i="18"/>
  <c r="Q411" i="18"/>
  <c r="Q412" i="18"/>
  <c r="Q413" i="18"/>
  <c r="Q414" i="18"/>
  <c r="Q416" i="18"/>
  <c r="Q417" i="18"/>
  <c r="X409" i="18"/>
  <c r="X410" i="18"/>
  <c r="X411" i="18"/>
  <c r="X412" i="18"/>
  <c r="X413" i="18"/>
  <c r="X414" i="18"/>
  <c r="X416" i="18"/>
  <c r="X417" i="18"/>
  <c r="AA409" i="18"/>
  <c r="AA410" i="18"/>
  <c r="AA411" i="18"/>
  <c r="AA412" i="18"/>
  <c r="AA413" i="18"/>
  <c r="AA414" i="18"/>
  <c r="AA416" i="18"/>
  <c r="AA417" i="18"/>
  <c r="B711" i="8" l="1"/>
  <c r="N711" i="8"/>
  <c r="Q711" i="8"/>
  <c r="R711" i="8"/>
  <c r="AB711" i="8"/>
  <c r="B710" i="8" l="1"/>
  <c r="N710" i="8"/>
  <c r="Q710" i="8"/>
  <c r="R710" i="8"/>
  <c r="AB710" i="8"/>
  <c r="B709" i="8"/>
  <c r="N709" i="8"/>
  <c r="Q709" i="8"/>
  <c r="R709" i="8"/>
  <c r="AB709" i="8"/>
  <c r="B708" i="8"/>
  <c r="N708" i="8"/>
  <c r="Q708" i="8"/>
  <c r="R708" i="8"/>
  <c r="AB708" i="8"/>
  <c r="B707" i="8"/>
  <c r="N707" i="8"/>
  <c r="Q707" i="8"/>
  <c r="R707" i="8"/>
  <c r="AB707" i="8"/>
  <c r="B734" i="9"/>
  <c r="N734" i="9"/>
  <c r="Q734" i="9"/>
  <c r="R734" i="9"/>
  <c r="AB734" i="9"/>
  <c r="B733" i="9"/>
  <c r="N733" i="9"/>
  <c r="Q733" i="9"/>
  <c r="R733" i="9"/>
  <c r="AB733" i="9"/>
  <c r="B732" i="9"/>
  <c r="N732" i="9"/>
  <c r="Q732" i="9"/>
  <c r="R732" i="9"/>
  <c r="AB732" i="9"/>
  <c r="B731" i="9"/>
  <c r="N731" i="9"/>
  <c r="Q731" i="9"/>
  <c r="R731" i="9"/>
  <c r="AB731" i="9"/>
  <c r="B705" i="8"/>
  <c r="N705" i="8"/>
  <c r="Q705" i="8"/>
  <c r="R705" i="8"/>
  <c r="AB705" i="8"/>
  <c r="B703" i="8" l="1"/>
  <c r="B704" i="8"/>
  <c r="N703" i="8"/>
  <c r="N704" i="8"/>
  <c r="Q703" i="8"/>
  <c r="Q704" i="8"/>
  <c r="R703" i="8"/>
  <c r="R704" i="8"/>
  <c r="AB703" i="8"/>
  <c r="AB704" i="8"/>
  <c r="B702" i="8"/>
  <c r="N702" i="8"/>
  <c r="Q702" i="8"/>
  <c r="R702" i="8"/>
  <c r="AB702" i="8"/>
  <c r="B701" i="8" l="1"/>
  <c r="N701" i="8"/>
  <c r="Q701" i="8"/>
  <c r="R701" i="8"/>
  <c r="AB701" i="8"/>
  <c r="B700" i="8"/>
  <c r="N700" i="8"/>
  <c r="Q700" i="8"/>
  <c r="R700" i="8"/>
  <c r="AB700" i="8"/>
  <c r="B699" i="8"/>
  <c r="N699" i="8"/>
  <c r="Q699" i="8"/>
  <c r="R699" i="8"/>
  <c r="AB699" i="8"/>
  <c r="B698" i="8"/>
  <c r="N698" i="8"/>
  <c r="Q698" i="8"/>
  <c r="R698" i="8"/>
  <c r="AB698" i="8"/>
  <c r="B697" i="8"/>
  <c r="N697" i="8"/>
  <c r="Q697" i="8"/>
  <c r="R697" i="8"/>
  <c r="AB697" i="8"/>
  <c r="B696" i="8"/>
  <c r="N696" i="8"/>
  <c r="Q696" i="8"/>
  <c r="R696" i="8"/>
  <c r="AB696" i="8"/>
  <c r="B695" i="8"/>
  <c r="N695" i="8"/>
  <c r="Q695" i="8"/>
  <c r="R695" i="8"/>
  <c r="AB695" i="8"/>
  <c r="B313" i="3" l="1"/>
  <c r="M313" i="3"/>
  <c r="P313" i="3"/>
  <c r="Q313" i="3"/>
  <c r="AA313" i="3"/>
  <c r="B398" i="18" l="1"/>
  <c r="B399" i="18"/>
  <c r="B400" i="18"/>
  <c r="B401" i="18"/>
  <c r="B402" i="18"/>
  <c r="B403" i="18"/>
  <c r="B404" i="18"/>
  <c r="B405" i="18"/>
  <c r="B406" i="18"/>
  <c r="B407" i="18"/>
  <c r="B408" i="18"/>
  <c r="M398" i="18"/>
  <c r="M399" i="18"/>
  <c r="M400" i="18"/>
  <c r="M401" i="18"/>
  <c r="M402" i="18"/>
  <c r="M403" i="18"/>
  <c r="M404" i="18"/>
  <c r="M405" i="18"/>
  <c r="M406" i="18"/>
  <c r="M407" i="18"/>
  <c r="M408" i="18"/>
  <c r="P398" i="18"/>
  <c r="P399" i="18"/>
  <c r="P400" i="18"/>
  <c r="P401" i="18"/>
  <c r="P402" i="18"/>
  <c r="P403" i="18"/>
  <c r="P404" i="18"/>
  <c r="P405" i="18"/>
  <c r="P406" i="18"/>
  <c r="P407" i="18"/>
  <c r="P408" i="18"/>
  <c r="Q398" i="18"/>
  <c r="Q399" i="18"/>
  <c r="Q400" i="18"/>
  <c r="Q401" i="18"/>
  <c r="Q402" i="18"/>
  <c r="Q403" i="18"/>
  <c r="Q404" i="18"/>
  <c r="Q405" i="18"/>
  <c r="Q406" i="18"/>
  <c r="Q407" i="18"/>
  <c r="Q408" i="18"/>
  <c r="X398" i="18"/>
  <c r="X399" i="18"/>
  <c r="X400" i="18"/>
  <c r="X401" i="18"/>
  <c r="X402" i="18"/>
  <c r="X403" i="18"/>
  <c r="X404" i="18"/>
  <c r="X405" i="18"/>
  <c r="X406" i="18"/>
  <c r="X407" i="18"/>
  <c r="X408" i="18"/>
  <c r="AA398" i="18"/>
  <c r="AA399" i="18"/>
  <c r="AA400" i="18"/>
  <c r="AA401" i="18"/>
  <c r="AA402" i="18"/>
  <c r="AA403" i="18"/>
  <c r="AA404" i="18"/>
  <c r="AA405" i="18"/>
  <c r="AA406" i="18"/>
  <c r="AA407" i="18"/>
  <c r="AA408" i="18"/>
  <c r="B367" i="18"/>
  <c r="B368" i="18"/>
  <c r="B369" i="18"/>
  <c r="B370" i="18"/>
  <c r="B371" i="18"/>
  <c r="B372" i="18"/>
  <c r="B373" i="18"/>
  <c r="B374" i="18"/>
  <c r="B375" i="18"/>
  <c r="B376" i="18"/>
  <c r="B377" i="18"/>
  <c r="B378" i="18"/>
  <c r="B379" i="18"/>
  <c r="B380" i="18"/>
  <c r="B381" i="18"/>
  <c r="B382" i="18"/>
  <c r="B383" i="18"/>
  <c r="B385" i="18"/>
  <c r="B386" i="18"/>
  <c r="B387" i="18"/>
  <c r="B388" i="18"/>
  <c r="B389" i="18"/>
  <c r="B390" i="18"/>
  <c r="B391" i="18"/>
  <c r="B392" i="18"/>
  <c r="B393" i="18"/>
  <c r="B394" i="18"/>
  <c r="B395" i="18"/>
  <c r="B396" i="18"/>
  <c r="B397" i="18"/>
  <c r="M367" i="18"/>
  <c r="M368" i="18"/>
  <c r="M369" i="18"/>
  <c r="M370" i="18"/>
  <c r="M371" i="18"/>
  <c r="M372" i="18"/>
  <c r="M373" i="18"/>
  <c r="M374" i="18"/>
  <c r="M375" i="18"/>
  <c r="M376" i="18"/>
  <c r="M377" i="18"/>
  <c r="M378" i="18"/>
  <c r="M379" i="18"/>
  <c r="M380" i="18"/>
  <c r="M381" i="18"/>
  <c r="M382" i="18"/>
  <c r="M383" i="18"/>
  <c r="M385" i="18"/>
  <c r="M386" i="18"/>
  <c r="M387" i="18"/>
  <c r="M388" i="18"/>
  <c r="M389" i="18"/>
  <c r="M390" i="18"/>
  <c r="M391" i="18"/>
  <c r="M392" i="18"/>
  <c r="M393" i="18"/>
  <c r="M394" i="18"/>
  <c r="M395" i="18"/>
  <c r="M396" i="18"/>
  <c r="M397" i="18"/>
  <c r="P367" i="18"/>
  <c r="P368" i="18"/>
  <c r="P369" i="18"/>
  <c r="P370" i="18"/>
  <c r="P371" i="18"/>
  <c r="P372" i="18"/>
  <c r="P373" i="18"/>
  <c r="P374" i="18"/>
  <c r="P375" i="18"/>
  <c r="P376" i="18"/>
  <c r="P377" i="18"/>
  <c r="P378" i="18"/>
  <c r="P379" i="18"/>
  <c r="P380" i="18"/>
  <c r="P381" i="18"/>
  <c r="P382" i="18"/>
  <c r="P383" i="18"/>
  <c r="P385" i="18"/>
  <c r="P386" i="18"/>
  <c r="P387" i="18"/>
  <c r="P388" i="18"/>
  <c r="P389" i="18"/>
  <c r="P390" i="18"/>
  <c r="P391" i="18"/>
  <c r="P392" i="18"/>
  <c r="P393" i="18"/>
  <c r="P394" i="18"/>
  <c r="P395" i="18"/>
  <c r="P396" i="18"/>
  <c r="P397" i="18"/>
  <c r="Q367" i="18"/>
  <c r="Q368" i="18"/>
  <c r="Q369" i="18"/>
  <c r="Q370" i="18"/>
  <c r="Q371" i="18"/>
  <c r="Q372" i="18"/>
  <c r="Q373" i="18"/>
  <c r="Q374" i="18"/>
  <c r="Q375" i="18"/>
  <c r="Q376" i="18"/>
  <c r="Q377" i="18"/>
  <c r="Q378" i="18"/>
  <c r="Q379" i="18"/>
  <c r="Q380" i="18"/>
  <c r="Q381" i="18"/>
  <c r="Q382" i="18"/>
  <c r="Q383" i="18"/>
  <c r="Q385" i="18"/>
  <c r="Q386" i="18"/>
  <c r="Q387" i="18"/>
  <c r="Q388" i="18"/>
  <c r="Q389" i="18"/>
  <c r="Q390" i="18"/>
  <c r="Q391" i="18"/>
  <c r="Q392" i="18"/>
  <c r="Q393" i="18"/>
  <c r="Q394" i="18"/>
  <c r="Q395" i="18"/>
  <c r="Q396" i="18"/>
  <c r="Q397" i="18"/>
  <c r="X367" i="18"/>
  <c r="X368" i="18"/>
  <c r="X369" i="18"/>
  <c r="X370" i="18"/>
  <c r="X371" i="18"/>
  <c r="X372" i="18"/>
  <c r="X373" i="18"/>
  <c r="X374" i="18"/>
  <c r="X375" i="18"/>
  <c r="X376" i="18"/>
  <c r="X377" i="18"/>
  <c r="X378" i="18"/>
  <c r="X379" i="18"/>
  <c r="X380" i="18"/>
  <c r="X381" i="18"/>
  <c r="X382" i="18"/>
  <c r="X383" i="18"/>
  <c r="X385" i="18"/>
  <c r="X386" i="18"/>
  <c r="X387" i="18"/>
  <c r="X388" i="18"/>
  <c r="X389" i="18"/>
  <c r="X390" i="18"/>
  <c r="X391" i="18"/>
  <c r="X392" i="18"/>
  <c r="X393" i="18"/>
  <c r="X394" i="18"/>
  <c r="X395" i="18"/>
  <c r="X396" i="18"/>
  <c r="X397" i="18"/>
  <c r="AA367" i="18"/>
  <c r="AA368" i="18"/>
  <c r="AA369" i="18"/>
  <c r="AA370" i="18"/>
  <c r="AA371" i="18"/>
  <c r="AA372" i="18"/>
  <c r="AA373" i="18"/>
  <c r="AA374" i="18"/>
  <c r="AA375" i="18"/>
  <c r="AA376" i="18"/>
  <c r="AA377" i="18"/>
  <c r="AA378" i="18"/>
  <c r="AA379" i="18"/>
  <c r="AA380" i="18"/>
  <c r="AA381" i="18"/>
  <c r="AA382" i="18"/>
  <c r="AA383" i="18"/>
  <c r="AA385" i="18"/>
  <c r="AA386" i="18"/>
  <c r="AA387" i="18"/>
  <c r="AA388" i="18"/>
  <c r="AA389" i="18"/>
  <c r="AA390" i="18"/>
  <c r="AA391" i="18"/>
  <c r="AA392" i="18"/>
  <c r="AA393" i="18"/>
  <c r="AA394" i="18"/>
  <c r="AA395" i="18"/>
  <c r="AA396" i="18"/>
  <c r="AA397" i="18"/>
  <c r="B247" i="21"/>
  <c r="P247" i="21"/>
  <c r="Q247" i="21"/>
  <c r="X247" i="21"/>
  <c r="AA247" i="21"/>
  <c r="M247" i="21"/>
  <c r="B241" i="21"/>
  <c r="M241" i="21"/>
  <c r="P241" i="21"/>
  <c r="Q241" i="21"/>
  <c r="X241" i="21"/>
  <c r="AA241" i="21"/>
  <c r="B246" i="21"/>
  <c r="M246" i="21"/>
  <c r="P246" i="21"/>
  <c r="Q246" i="21"/>
  <c r="X246" i="21"/>
  <c r="AA246" i="21"/>
  <c r="B244" i="21"/>
  <c r="M244" i="21"/>
  <c r="P244" i="21"/>
  <c r="Q244" i="21"/>
  <c r="X244" i="21"/>
  <c r="AA244" i="21"/>
  <c r="B243" i="21"/>
  <c r="M243" i="21"/>
  <c r="P243" i="21"/>
  <c r="Q243" i="21"/>
  <c r="X243" i="21"/>
  <c r="AA243" i="21"/>
  <c r="B242" i="21"/>
  <c r="M242" i="21"/>
  <c r="P242" i="21"/>
  <c r="X242" i="21"/>
  <c r="AA242" i="21"/>
  <c r="AB676" i="8"/>
  <c r="R676" i="8"/>
  <c r="Q676" i="8"/>
  <c r="N676" i="8"/>
  <c r="B676" i="8"/>
  <c r="AB694" i="8"/>
  <c r="R694" i="8"/>
  <c r="Q694" i="8"/>
  <c r="N694" i="8"/>
  <c r="B694" i="8"/>
  <c r="AB693" i="8"/>
  <c r="R693" i="8"/>
  <c r="Q693" i="8"/>
  <c r="N693" i="8"/>
  <c r="B693" i="8"/>
  <c r="AB687" i="8"/>
  <c r="AB688" i="8"/>
  <c r="AB689" i="8"/>
  <c r="AB690" i="8"/>
  <c r="AB691" i="8"/>
  <c r="AB692" i="8"/>
  <c r="R687" i="8"/>
  <c r="R688" i="8"/>
  <c r="R689" i="8"/>
  <c r="R690" i="8"/>
  <c r="R691" i="8"/>
  <c r="R692" i="8"/>
  <c r="Q687" i="8"/>
  <c r="Q688" i="8"/>
  <c r="Q689" i="8"/>
  <c r="Q690" i="8"/>
  <c r="Q691" i="8"/>
  <c r="Q692" i="8"/>
  <c r="N687" i="8"/>
  <c r="N688" i="8"/>
  <c r="N689" i="8"/>
  <c r="N690" i="8"/>
  <c r="N691" i="8"/>
  <c r="N692" i="8"/>
  <c r="B687" i="8"/>
  <c r="B688" i="8"/>
  <c r="B689" i="8"/>
  <c r="B690" i="8"/>
  <c r="B691" i="8"/>
  <c r="B692" i="8"/>
  <c r="AB730" i="9"/>
  <c r="R730" i="9"/>
  <c r="Q730" i="9"/>
  <c r="N730" i="9"/>
  <c r="B730" i="9"/>
  <c r="AB729" i="9"/>
  <c r="R729" i="9"/>
  <c r="Q729" i="9"/>
  <c r="N729" i="9"/>
  <c r="B729" i="9"/>
  <c r="AB728" i="9"/>
  <c r="R728" i="9"/>
  <c r="Q728" i="9"/>
  <c r="N728" i="9"/>
  <c r="B728" i="9"/>
  <c r="AB727" i="9"/>
  <c r="R727" i="9"/>
  <c r="Q727" i="9"/>
  <c r="N727" i="9"/>
  <c r="B727" i="9"/>
  <c r="AB726" i="9"/>
  <c r="R726" i="9"/>
  <c r="Q726" i="9"/>
  <c r="N726" i="9"/>
  <c r="B726" i="9"/>
  <c r="AB725" i="9" l="1"/>
  <c r="R725" i="9"/>
  <c r="Q725" i="9"/>
  <c r="N725" i="9"/>
  <c r="B725" i="9"/>
  <c r="AB686" i="8" l="1"/>
  <c r="R686" i="8"/>
  <c r="Q686" i="8"/>
  <c r="N686" i="8"/>
  <c r="B686" i="8"/>
  <c r="AB724" i="9"/>
  <c r="R724" i="9"/>
  <c r="Q724" i="9"/>
  <c r="N724" i="9"/>
  <c r="B724" i="9"/>
  <c r="AB723" i="9"/>
  <c r="R723" i="9"/>
  <c r="Q723" i="9"/>
  <c r="N723" i="9"/>
  <c r="B723" i="9"/>
  <c r="AA312" i="3" l="1"/>
  <c r="Q312" i="3"/>
  <c r="P312" i="3"/>
  <c r="M312" i="3"/>
  <c r="B312" i="3"/>
  <c r="AB722" i="9" l="1"/>
  <c r="R722" i="9"/>
  <c r="Q722" i="9"/>
  <c r="N722" i="9"/>
  <c r="B722" i="9"/>
  <c r="AB685" i="8"/>
  <c r="R685" i="8"/>
  <c r="Q685" i="8"/>
  <c r="N685" i="8"/>
  <c r="B685" i="8"/>
  <c r="AB684" i="8"/>
  <c r="R684" i="8"/>
  <c r="Q684" i="8"/>
  <c r="N684" i="8"/>
  <c r="B684" i="8"/>
  <c r="AB683" i="8"/>
  <c r="R683" i="8"/>
  <c r="Q683" i="8"/>
  <c r="N683" i="8"/>
  <c r="B683" i="8"/>
  <c r="AB677" i="8" l="1"/>
  <c r="R677" i="8"/>
  <c r="Q677" i="8"/>
  <c r="N677" i="8"/>
  <c r="B677" i="8"/>
  <c r="B682" i="8"/>
  <c r="N682" i="8"/>
  <c r="Q682" i="8"/>
  <c r="R682" i="8"/>
  <c r="AB682" i="8"/>
  <c r="B681" i="8"/>
  <c r="N681" i="8"/>
  <c r="Q681" i="8"/>
  <c r="R681" i="8"/>
  <c r="AB681" i="8"/>
  <c r="B680" i="8"/>
  <c r="N680" i="8"/>
  <c r="Q680" i="8"/>
  <c r="R680" i="8"/>
  <c r="AB680" i="8"/>
  <c r="B679" i="8"/>
  <c r="N679" i="8"/>
  <c r="Q679" i="8"/>
  <c r="R679" i="8"/>
  <c r="AB679" i="8"/>
  <c r="B678" i="8"/>
  <c r="N678" i="8"/>
  <c r="Q678" i="8"/>
  <c r="R678" i="8"/>
  <c r="AB678" i="8"/>
  <c r="B721" i="9" l="1"/>
  <c r="N721" i="9"/>
  <c r="Q721" i="9"/>
  <c r="R721" i="9"/>
  <c r="AB721" i="9"/>
  <c r="B150" i="5" l="1"/>
  <c r="B151" i="5"/>
  <c r="B152" i="5"/>
  <c r="B153" i="5"/>
  <c r="M150" i="5"/>
  <c r="M151" i="5"/>
  <c r="M152" i="5"/>
  <c r="M153" i="5"/>
  <c r="AA150" i="5"/>
  <c r="AA151" i="5"/>
  <c r="AA152" i="5"/>
  <c r="AA153" i="5"/>
  <c r="B673" i="8" l="1"/>
  <c r="N673" i="8"/>
  <c r="Q673" i="8"/>
  <c r="R673" i="8"/>
  <c r="AB673" i="8"/>
  <c r="B311" i="3"/>
  <c r="M311" i="3"/>
  <c r="P311" i="3"/>
  <c r="Q311" i="3"/>
  <c r="AA311" i="3"/>
  <c r="B720" i="9"/>
  <c r="N720" i="9"/>
  <c r="Q720" i="9"/>
  <c r="R720" i="9"/>
  <c r="AB720" i="9"/>
  <c r="AA404" i="23"/>
  <c r="Q404" i="23"/>
  <c r="P404" i="23"/>
  <c r="M404" i="23"/>
  <c r="B404" i="23"/>
  <c r="B102" i="19" l="1"/>
  <c r="M102" i="19"/>
  <c r="P102" i="19"/>
  <c r="Q102" i="19"/>
  <c r="X102" i="19"/>
  <c r="AA102" i="19"/>
  <c r="B101" i="19"/>
  <c r="M101" i="19"/>
  <c r="P101" i="19"/>
  <c r="Q101" i="19"/>
  <c r="X101" i="19"/>
  <c r="AA101" i="19"/>
  <c r="B719" i="9" l="1"/>
  <c r="N719" i="9"/>
  <c r="Q719" i="9"/>
  <c r="R719" i="9"/>
  <c r="AB719" i="9"/>
  <c r="B718" i="9"/>
  <c r="N718" i="9"/>
  <c r="Q718" i="9"/>
  <c r="R718" i="9"/>
  <c r="AB718" i="9"/>
  <c r="AA247" i="13" l="1"/>
  <c r="X247" i="13"/>
  <c r="Q247" i="13"/>
  <c r="P247" i="13"/>
  <c r="M247" i="13"/>
  <c r="B247" i="13"/>
  <c r="B243" i="13" l="1"/>
  <c r="B244" i="13"/>
  <c r="B245" i="13"/>
  <c r="B246" i="13"/>
  <c r="B248" i="13"/>
  <c r="B249" i="13"/>
  <c r="B250" i="13"/>
  <c r="B251" i="13"/>
  <c r="B253" i="13"/>
  <c r="M243" i="13"/>
  <c r="M244" i="13"/>
  <c r="M245" i="13"/>
  <c r="M246" i="13"/>
  <c r="M248" i="13"/>
  <c r="M249" i="13"/>
  <c r="M250" i="13"/>
  <c r="M251" i="13"/>
  <c r="M253" i="13"/>
  <c r="P243" i="13"/>
  <c r="P244" i="13"/>
  <c r="P245" i="13"/>
  <c r="P246" i="13"/>
  <c r="P248" i="13"/>
  <c r="P249" i="13"/>
  <c r="P250" i="13"/>
  <c r="P251" i="13"/>
  <c r="P253" i="13"/>
  <c r="Q243" i="13"/>
  <c r="Q244" i="13"/>
  <c r="Q245" i="13"/>
  <c r="Q246" i="13"/>
  <c r="Q248" i="13"/>
  <c r="Q249" i="13"/>
  <c r="Q250" i="13"/>
  <c r="Q251" i="13"/>
  <c r="Q253" i="13"/>
  <c r="X243" i="13"/>
  <c r="X244" i="13"/>
  <c r="X245" i="13"/>
  <c r="X246" i="13"/>
  <c r="X248" i="13"/>
  <c r="X249" i="13"/>
  <c r="X250" i="13"/>
  <c r="X251" i="13"/>
  <c r="X253" i="13"/>
  <c r="AA243" i="13"/>
  <c r="AA244" i="13"/>
  <c r="AA245" i="13"/>
  <c r="AA246" i="13"/>
  <c r="AA248" i="13"/>
  <c r="AA249" i="13"/>
  <c r="AA250" i="13"/>
  <c r="AA251" i="13"/>
  <c r="AA253" i="13"/>
  <c r="AB675" i="8"/>
  <c r="R675" i="8"/>
  <c r="Q675" i="8"/>
  <c r="N675" i="8"/>
  <c r="B675" i="8"/>
  <c r="B340" i="10" l="1"/>
  <c r="B341" i="10"/>
  <c r="B342" i="10"/>
  <c r="B343" i="10"/>
  <c r="B344" i="10"/>
  <c r="B345" i="10"/>
  <c r="B346" i="10"/>
  <c r="B347" i="10"/>
  <c r="B348" i="10"/>
  <c r="B349" i="10"/>
  <c r="B350" i="10"/>
  <c r="B351" i="10"/>
  <c r="B352" i="10"/>
  <c r="B353" i="10"/>
  <c r="B354" i="10"/>
  <c r="B355" i="10"/>
  <c r="B356" i="10"/>
  <c r="B357" i="10"/>
  <c r="B358" i="10"/>
  <c r="B359" i="10"/>
  <c r="B360" i="10"/>
  <c r="M340" i="10"/>
  <c r="M341" i="10"/>
  <c r="M342" i="10"/>
  <c r="M343" i="10"/>
  <c r="M344" i="10"/>
  <c r="M345" i="10"/>
  <c r="M346" i="10"/>
  <c r="M347" i="10"/>
  <c r="M348" i="10"/>
  <c r="M349" i="10"/>
  <c r="M350" i="10"/>
  <c r="M351" i="10"/>
  <c r="M352" i="10"/>
  <c r="M353" i="10"/>
  <c r="M354" i="10"/>
  <c r="M355" i="10"/>
  <c r="M356" i="10"/>
  <c r="M357" i="10"/>
  <c r="M358" i="10"/>
  <c r="M359" i="10"/>
  <c r="M360" i="10"/>
  <c r="P340" i="10"/>
  <c r="P341" i="10"/>
  <c r="P342" i="10"/>
  <c r="P343" i="10"/>
  <c r="P344" i="10"/>
  <c r="P345" i="10"/>
  <c r="P346" i="10"/>
  <c r="P347" i="10"/>
  <c r="P348" i="10"/>
  <c r="P349" i="10"/>
  <c r="P350" i="10"/>
  <c r="P351" i="10"/>
  <c r="P352" i="10"/>
  <c r="P353" i="10"/>
  <c r="P354" i="10"/>
  <c r="P355" i="10"/>
  <c r="P356" i="10"/>
  <c r="P357" i="10"/>
  <c r="P358" i="10"/>
  <c r="P359" i="10"/>
  <c r="P360" i="10"/>
  <c r="Q340" i="10"/>
  <c r="Q341" i="10"/>
  <c r="Q342" i="10"/>
  <c r="Q343" i="10"/>
  <c r="Q344" i="10"/>
  <c r="Q345" i="10"/>
  <c r="Q346" i="10"/>
  <c r="Q347" i="10"/>
  <c r="Q348" i="10"/>
  <c r="Q349" i="10"/>
  <c r="Q350" i="10"/>
  <c r="Q351" i="10"/>
  <c r="Q352" i="10"/>
  <c r="Q353" i="10"/>
  <c r="Q354" i="10"/>
  <c r="Q355" i="10"/>
  <c r="Q356" i="10"/>
  <c r="Q357" i="10"/>
  <c r="Q358" i="10"/>
  <c r="Q359" i="10"/>
  <c r="Q360" i="10"/>
  <c r="B339" i="10"/>
  <c r="M339" i="10"/>
  <c r="P339" i="10"/>
  <c r="Q339" i="10"/>
  <c r="B403" i="23"/>
  <c r="M403" i="23"/>
  <c r="P403" i="23"/>
  <c r="Q403" i="23"/>
  <c r="AA403" i="23"/>
  <c r="AB674" i="8"/>
  <c r="R674" i="8"/>
  <c r="Q674" i="8"/>
  <c r="N674" i="8"/>
  <c r="B674" i="8"/>
  <c r="B717" i="9" l="1"/>
  <c r="N717" i="9"/>
  <c r="Q717" i="9"/>
  <c r="R717" i="9"/>
  <c r="AB717" i="9"/>
  <c r="B702" i="9"/>
  <c r="N702" i="9"/>
  <c r="Q702" i="9"/>
  <c r="R702" i="9"/>
  <c r="AB702" i="9"/>
  <c r="B701" i="9"/>
  <c r="N701" i="9"/>
  <c r="Q701" i="9"/>
  <c r="R701" i="9"/>
  <c r="AB701" i="9"/>
  <c r="B700" i="9"/>
  <c r="N700" i="9"/>
  <c r="Q700" i="9"/>
  <c r="R700" i="9"/>
  <c r="AB700" i="9"/>
  <c r="B699" i="9"/>
  <c r="N699" i="9"/>
  <c r="Q699" i="9"/>
  <c r="R699" i="9"/>
  <c r="AB699" i="9"/>
  <c r="AA232" i="20" l="1"/>
  <c r="X232" i="20"/>
  <c r="Q232" i="20"/>
  <c r="P232" i="20"/>
  <c r="M232" i="20"/>
  <c r="B232" i="20"/>
  <c r="B402" i="23"/>
  <c r="M402" i="23"/>
  <c r="P402" i="23"/>
  <c r="Q402" i="23"/>
  <c r="AA402" i="23"/>
  <c r="B698" i="9"/>
  <c r="N698" i="9"/>
  <c r="Q698" i="9"/>
  <c r="R698" i="9"/>
  <c r="AB698" i="9"/>
  <c r="B697" i="9"/>
  <c r="N697" i="9"/>
  <c r="Q697" i="9"/>
  <c r="R697" i="9"/>
  <c r="AB697" i="9"/>
  <c r="B696" i="9"/>
  <c r="N696" i="9"/>
  <c r="Q696" i="9"/>
  <c r="R696" i="9"/>
  <c r="AB696" i="9"/>
  <c r="B695" i="9"/>
  <c r="N695" i="9"/>
  <c r="Q695" i="9"/>
  <c r="R695" i="9"/>
  <c r="AB695" i="9"/>
  <c r="B149" i="5" l="1"/>
  <c r="M149" i="5"/>
  <c r="AA149" i="5"/>
  <c r="AA257" i="12" l="1"/>
  <c r="X257" i="12"/>
  <c r="Q257" i="12"/>
  <c r="P257" i="12"/>
  <c r="M257" i="12"/>
  <c r="B257" i="12"/>
  <c r="Q535" i="7"/>
  <c r="Q536" i="7"/>
  <c r="Q537" i="7"/>
  <c r="Q538" i="7"/>
  <c r="Q539" i="7"/>
  <c r="Q540" i="7"/>
  <c r="Q541" i="7"/>
  <c r="Q542" i="7"/>
  <c r="Q543" i="7"/>
  <c r="Q544" i="7"/>
  <c r="Q545" i="7"/>
  <c r="P535" i="7"/>
  <c r="X535" i="7" s="1"/>
  <c r="P536" i="7"/>
  <c r="X536" i="7" s="1"/>
  <c r="P537" i="7"/>
  <c r="X537" i="7" s="1"/>
  <c r="P538" i="7"/>
  <c r="X538" i="7" s="1"/>
  <c r="P539" i="7"/>
  <c r="X539" i="7" s="1"/>
  <c r="P540" i="7"/>
  <c r="X540" i="7" s="1"/>
  <c r="P541" i="7"/>
  <c r="X541" i="7" s="1"/>
  <c r="P542" i="7"/>
  <c r="X542" i="7" s="1"/>
  <c r="P543" i="7"/>
  <c r="X543" i="7" s="1"/>
  <c r="P544" i="7"/>
  <c r="X544" i="7" s="1"/>
  <c r="P545" i="7"/>
  <c r="X545" i="7" s="1"/>
  <c r="M535" i="7"/>
  <c r="M536" i="7"/>
  <c r="M537" i="7"/>
  <c r="M538" i="7"/>
  <c r="M539" i="7"/>
  <c r="M540" i="7"/>
  <c r="M541" i="7"/>
  <c r="M542" i="7"/>
  <c r="M543" i="7"/>
  <c r="M544" i="7"/>
  <c r="M545" i="7"/>
  <c r="B535" i="7"/>
  <c r="B536" i="7"/>
  <c r="B537" i="7"/>
  <c r="B538" i="7"/>
  <c r="B539" i="7"/>
  <c r="B540" i="7"/>
  <c r="B541" i="7"/>
  <c r="B542" i="7"/>
  <c r="B543" i="7"/>
  <c r="B544" i="7"/>
  <c r="B545" i="7"/>
  <c r="Q534" i="7"/>
  <c r="P534" i="7"/>
  <c r="X534" i="7" s="1"/>
  <c r="M534" i="7"/>
  <c r="B534" i="7"/>
  <c r="B679" i="9"/>
  <c r="B680" i="9"/>
  <c r="B681" i="9"/>
  <c r="B682" i="9"/>
  <c r="N679" i="9"/>
  <c r="N680" i="9"/>
  <c r="N681" i="9"/>
  <c r="N682" i="9"/>
  <c r="Q679" i="9"/>
  <c r="Q680" i="9"/>
  <c r="Q681" i="9"/>
  <c r="Q682" i="9"/>
  <c r="R679" i="9"/>
  <c r="R680" i="9"/>
  <c r="R681" i="9"/>
  <c r="R682" i="9"/>
  <c r="AB679" i="9"/>
  <c r="AB680" i="9"/>
  <c r="AB681" i="9"/>
  <c r="AB682" i="9"/>
  <c r="B672" i="8" l="1"/>
  <c r="N672" i="8"/>
  <c r="Q672" i="8"/>
  <c r="R672" i="8"/>
  <c r="AB672" i="8"/>
  <c r="B668" i="8"/>
  <c r="N668" i="8"/>
  <c r="Q668" i="8"/>
  <c r="R668" i="8"/>
  <c r="AB668" i="8"/>
  <c r="AA231" i="20"/>
  <c r="X231" i="20"/>
  <c r="Q231" i="20"/>
  <c r="P231" i="20"/>
  <c r="M231" i="20"/>
  <c r="B231" i="20"/>
  <c r="AA395" i="23" l="1"/>
  <c r="Q395" i="23"/>
  <c r="P395" i="23"/>
  <c r="M395" i="23"/>
  <c r="B395" i="23"/>
  <c r="AA401" i="23"/>
  <c r="Q401" i="23"/>
  <c r="P401" i="23"/>
  <c r="M401" i="23"/>
  <c r="B401" i="23"/>
  <c r="AA400" i="23"/>
  <c r="Q400" i="23"/>
  <c r="P400" i="23"/>
  <c r="M400" i="23"/>
  <c r="B400" i="23"/>
  <c r="AA399" i="23"/>
  <c r="Q399" i="23"/>
  <c r="P399" i="23"/>
  <c r="M399" i="23"/>
  <c r="B399" i="23"/>
  <c r="AA398" i="23"/>
  <c r="Q398" i="23"/>
  <c r="P398" i="23"/>
  <c r="M398" i="23"/>
  <c r="B398" i="23"/>
  <c r="AA396" i="23"/>
  <c r="Q396" i="23"/>
  <c r="P396" i="23"/>
  <c r="M396" i="23"/>
  <c r="B396" i="23"/>
  <c r="B671" i="8" l="1"/>
  <c r="N671" i="8"/>
  <c r="Q671" i="8"/>
  <c r="R671" i="8"/>
  <c r="AB671" i="8"/>
  <c r="B200" i="17" l="1"/>
  <c r="M200" i="17"/>
  <c r="P200" i="17"/>
  <c r="Q200" i="17"/>
  <c r="X200" i="17"/>
  <c r="AA200" i="17"/>
  <c r="B670" i="8"/>
  <c r="N670" i="8"/>
  <c r="Q670" i="8"/>
  <c r="R670" i="8"/>
  <c r="AB670" i="8"/>
  <c r="B240" i="21"/>
  <c r="M240" i="21"/>
  <c r="P240" i="21"/>
  <c r="Q240" i="21"/>
  <c r="X240" i="21"/>
  <c r="AA240" i="21"/>
  <c r="B148" i="5"/>
  <c r="M148" i="5"/>
  <c r="AA148" i="5"/>
  <c r="B147" i="5"/>
  <c r="M147" i="5"/>
  <c r="AA147" i="5"/>
  <c r="B146" i="5"/>
  <c r="M146" i="5"/>
  <c r="AA146" i="5"/>
  <c r="B145" i="5"/>
  <c r="M145" i="5"/>
  <c r="AA145" i="5"/>
  <c r="B144" i="5"/>
  <c r="M144" i="5"/>
  <c r="AA144" i="5"/>
  <c r="B143" i="5"/>
  <c r="M143" i="5"/>
  <c r="AA143" i="5"/>
  <c r="B142" i="5"/>
  <c r="M142" i="5"/>
  <c r="AA142" i="5"/>
  <c r="P2" i="18"/>
  <c r="R2" i="18" s="1"/>
  <c r="P3" i="18"/>
  <c r="P4" i="18"/>
  <c r="P5" i="18"/>
  <c r="P6" i="18"/>
  <c r="P7" i="18"/>
  <c r="P8" i="18"/>
  <c r="P9" i="18"/>
  <c r="P10" i="18"/>
  <c r="P11" i="18"/>
  <c r="P12" i="18"/>
  <c r="P13" i="18"/>
  <c r="P14" i="18"/>
  <c r="P15" i="18"/>
  <c r="P16" i="18"/>
  <c r="P17" i="18"/>
  <c r="P18" i="18"/>
  <c r="P19" i="18"/>
  <c r="P20" i="18"/>
  <c r="P21" i="18"/>
  <c r="P22" i="18"/>
  <c r="P23" i="18"/>
  <c r="P24" i="18"/>
  <c r="P25" i="18"/>
  <c r="P26" i="18"/>
  <c r="P27" i="18"/>
  <c r="P28" i="18"/>
  <c r="P29" i="18"/>
  <c r="P30" i="18"/>
  <c r="P31" i="18"/>
  <c r="P32" i="18"/>
  <c r="P33" i="18"/>
  <c r="P34" i="18"/>
  <c r="P35" i="18"/>
  <c r="P36" i="18"/>
  <c r="P37" i="18"/>
  <c r="P38" i="18"/>
  <c r="P39" i="18"/>
  <c r="P40" i="18"/>
  <c r="P41" i="18"/>
  <c r="P42" i="18"/>
  <c r="P43" i="18"/>
  <c r="P44" i="18"/>
  <c r="P45" i="18"/>
  <c r="P46" i="18"/>
  <c r="P47" i="18"/>
  <c r="P48" i="18"/>
  <c r="P49" i="18"/>
  <c r="P50" i="18"/>
  <c r="P51" i="18"/>
  <c r="P52" i="18"/>
  <c r="P53" i="18"/>
  <c r="P54" i="18"/>
  <c r="P55" i="18"/>
  <c r="P56" i="18"/>
  <c r="P57" i="18"/>
  <c r="P58" i="18"/>
  <c r="P59" i="18"/>
  <c r="P60" i="18"/>
  <c r="P61" i="18"/>
  <c r="P62" i="18"/>
  <c r="P63" i="18"/>
  <c r="P64" i="18"/>
  <c r="P65" i="18"/>
  <c r="P66" i="18"/>
  <c r="P67" i="18"/>
  <c r="P68" i="18"/>
  <c r="P69" i="18"/>
  <c r="P70" i="18"/>
  <c r="P71" i="18"/>
  <c r="P72" i="18"/>
  <c r="P73" i="18"/>
  <c r="P74" i="18"/>
  <c r="P75" i="18"/>
  <c r="P76" i="18"/>
  <c r="P77" i="18"/>
  <c r="P78" i="18"/>
  <c r="P79" i="18"/>
  <c r="P80" i="18"/>
  <c r="P81" i="18"/>
  <c r="P82" i="18"/>
  <c r="P83" i="18"/>
  <c r="P84" i="18"/>
  <c r="P85" i="18"/>
  <c r="P86" i="18"/>
  <c r="P87" i="18"/>
  <c r="P88" i="18"/>
  <c r="P89" i="18"/>
  <c r="P90" i="18"/>
  <c r="P91" i="18"/>
  <c r="P92" i="18"/>
  <c r="P93" i="18"/>
  <c r="P94" i="18"/>
  <c r="P95" i="18"/>
  <c r="P96" i="18"/>
  <c r="P97" i="18"/>
  <c r="P98" i="18"/>
  <c r="P99" i="18"/>
  <c r="P100" i="18"/>
  <c r="P101" i="18"/>
  <c r="P102" i="18"/>
  <c r="P103" i="18"/>
  <c r="P104" i="18"/>
  <c r="P105" i="18"/>
  <c r="P106" i="18"/>
  <c r="P107" i="18"/>
  <c r="P108" i="18"/>
  <c r="P109" i="18"/>
  <c r="P110" i="18"/>
  <c r="P111" i="18"/>
  <c r="P112" i="18"/>
  <c r="P113" i="18"/>
  <c r="P114" i="18"/>
  <c r="P115" i="18"/>
  <c r="P116" i="18"/>
  <c r="P117" i="18"/>
  <c r="P118" i="18"/>
  <c r="P119" i="18"/>
  <c r="P120" i="18"/>
  <c r="P121" i="18"/>
  <c r="P122" i="18"/>
  <c r="P123" i="18"/>
  <c r="P124" i="18"/>
  <c r="P125" i="18"/>
  <c r="P126" i="18"/>
  <c r="P127" i="18"/>
  <c r="P128" i="18"/>
  <c r="P129" i="18"/>
  <c r="P130" i="18"/>
  <c r="P131" i="18"/>
  <c r="P132" i="18"/>
  <c r="P133" i="18"/>
  <c r="P134" i="18"/>
  <c r="P135" i="18"/>
  <c r="P136" i="18"/>
  <c r="P137" i="18"/>
  <c r="P138" i="18"/>
  <c r="P139" i="18"/>
  <c r="P140" i="18"/>
  <c r="P141" i="18"/>
  <c r="P142" i="18"/>
  <c r="P143" i="18"/>
  <c r="P144" i="18"/>
  <c r="P145" i="18"/>
  <c r="P146" i="18"/>
  <c r="P147" i="18"/>
  <c r="P148" i="18"/>
  <c r="P149" i="18"/>
  <c r="P150" i="18"/>
  <c r="P151" i="18"/>
  <c r="P152" i="18"/>
  <c r="P153" i="18"/>
  <c r="P154" i="18"/>
  <c r="P155" i="18"/>
  <c r="P156" i="18"/>
  <c r="P157" i="18"/>
  <c r="P158" i="18"/>
  <c r="P159" i="18"/>
  <c r="P160" i="18"/>
  <c r="P161" i="18"/>
  <c r="P162" i="18"/>
  <c r="P163" i="18"/>
  <c r="P164" i="18"/>
  <c r="P165" i="18"/>
  <c r="P166" i="18"/>
  <c r="P167" i="18"/>
  <c r="P168" i="18"/>
  <c r="P169" i="18"/>
  <c r="P170" i="18"/>
  <c r="P171" i="18"/>
  <c r="P172" i="18"/>
  <c r="P173" i="18"/>
  <c r="P174" i="18"/>
  <c r="P175" i="18"/>
  <c r="P176" i="18"/>
  <c r="P177" i="18"/>
  <c r="P178" i="18"/>
  <c r="P179" i="18"/>
  <c r="P180" i="18"/>
  <c r="P181" i="18"/>
  <c r="P182" i="18"/>
  <c r="P183" i="18"/>
  <c r="P184" i="18"/>
  <c r="P185" i="18"/>
  <c r="P186" i="18"/>
  <c r="P187" i="18"/>
  <c r="P188" i="18"/>
  <c r="P189" i="18"/>
  <c r="P190" i="18"/>
  <c r="P191" i="18"/>
  <c r="P192" i="18"/>
  <c r="P193" i="18"/>
  <c r="P194" i="18"/>
  <c r="P195" i="18"/>
  <c r="P196" i="18"/>
  <c r="P197" i="18"/>
  <c r="P198" i="18"/>
  <c r="P199" i="18"/>
  <c r="P200" i="18"/>
  <c r="P201" i="18"/>
  <c r="P202" i="18"/>
  <c r="P203" i="18"/>
  <c r="P204" i="18"/>
  <c r="P205" i="18"/>
  <c r="P206" i="18"/>
  <c r="P207" i="18"/>
  <c r="P208" i="18"/>
  <c r="P209" i="18"/>
  <c r="P210" i="18"/>
  <c r="P211" i="18"/>
  <c r="P212" i="18"/>
  <c r="P213" i="18"/>
  <c r="P214" i="18"/>
  <c r="P215" i="18"/>
  <c r="P216" i="18"/>
  <c r="P217" i="18"/>
  <c r="P218" i="18"/>
  <c r="P219" i="18"/>
  <c r="P220" i="18"/>
  <c r="P221" i="18"/>
  <c r="P222" i="18"/>
  <c r="P223" i="18"/>
  <c r="P224" i="18"/>
  <c r="P225" i="18"/>
  <c r="P226" i="18"/>
  <c r="P227" i="18"/>
  <c r="P228" i="18"/>
  <c r="P229" i="18"/>
  <c r="P230" i="18"/>
  <c r="P231" i="18"/>
  <c r="P232" i="18"/>
  <c r="P233" i="18"/>
  <c r="P234" i="18"/>
  <c r="P235" i="18"/>
  <c r="P236" i="18"/>
  <c r="P237" i="18"/>
  <c r="P238" i="18"/>
  <c r="P239" i="18"/>
  <c r="P240" i="18"/>
  <c r="P241" i="18"/>
  <c r="P242" i="18"/>
  <c r="P243" i="18"/>
  <c r="P244" i="18"/>
  <c r="P245" i="18"/>
  <c r="P246" i="18"/>
  <c r="P247" i="18"/>
  <c r="P248" i="18"/>
  <c r="P249" i="18"/>
  <c r="P250" i="18"/>
  <c r="P251" i="18"/>
  <c r="P252" i="18"/>
  <c r="P253" i="18"/>
  <c r="P254" i="18"/>
  <c r="P255" i="18"/>
  <c r="P256" i="18"/>
  <c r="P257" i="18"/>
  <c r="P258" i="18"/>
  <c r="P259" i="18"/>
  <c r="P260" i="18"/>
  <c r="P261" i="18"/>
  <c r="P262" i="18"/>
  <c r="P263" i="18"/>
  <c r="P264" i="18"/>
  <c r="P265" i="18"/>
  <c r="P266" i="18"/>
  <c r="P267" i="18"/>
  <c r="P268" i="18"/>
  <c r="P269" i="18"/>
  <c r="P270" i="18"/>
  <c r="P271" i="18"/>
  <c r="P272" i="18"/>
  <c r="P273" i="18"/>
  <c r="P274" i="18"/>
  <c r="P275" i="18"/>
  <c r="P276" i="18"/>
  <c r="P277" i="18"/>
  <c r="P278" i="18"/>
  <c r="P279" i="18"/>
  <c r="P280" i="18"/>
  <c r="P281" i="18"/>
  <c r="P282" i="18"/>
  <c r="P283" i="18"/>
  <c r="P284" i="18"/>
  <c r="P285" i="18"/>
  <c r="P286" i="18"/>
  <c r="P287" i="18"/>
  <c r="P288" i="18"/>
  <c r="P289" i="18"/>
  <c r="P290" i="18"/>
  <c r="P291" i="18"/>
  <c r="P292" i="18"/>
  <c r="P293" i="18"/>
  <c r="P294" i="18"/>
  <c r="P295" i="18"/>
  <c r="P296" i="18"/>
  <c r="P297" i="18"/>
  <c r="P298" i="18"/>
  <c r="P299" i="18"/>
  <c r="P300" i="18"/>
  <c r="P301" i="18"/>
  <c r="P302" i="18"/>
  <c r="P303" i="18"/>
  <c r="P304" i="18"/>
  <c r="P305" i="18"/>
  <c r="P306" i="18"/>
  <c r="P307" i="18"/>
  <c r="P308" i="18"/>
  <c r="P309" i="18"/>
  <c r="P310" i="18"/>
  <c r="P311" i="18"/>
  <c r="P312" i="18"/>
  <c r="P313" i="18"/>
  <c r="P314" i="18"/>
  <c r="P315" i="18"/>
  <c r="P316" i="18"/>
  <c r="P317" i="18"/>
  <c r="P318" i="18"/>
  <c r="P319" i="18"/>
  <c r="P320" i="18"/>
  <c r="P321" i="18"/>
  <c r="P322" i="18"/>
  <c r="P323" i="18"/>
  <c r="P324" i="18"/>
  <c r="P325" i="18"/>
  <c r="P326" i="18"/>
  <c r="P327" i="18"/>
  <c r="P328" i="18"/>
  <c r="P329" i="18"/>
  <c r="P330" i="18"/>
  <c r="P331" i="18"/>
  <c r="P332" i="18"/>
  <c r="P333" i="18"/>
  <c r="P334" i="18"/>
  <c r="P335" i="18"/>
  <c r="P336" i="18"/>
  <c r="P337" i="18"/>
  <c r="P338" i="18"/>
  <c r="P339" i="18"/>
  <c r="P340" i="18"/>
  <c r="P341" i="18"/>
  <c r="P342" i="18"/>
  <c r="P343" i="18"/>
  <c r="P344" i="18"/>
  <c r="P345" i="18"/>
  <c r="P346" i="18"/>
  <c r="P347" i="18"/>
  <c r="P348" i="18"/>
  <c r="P349" i="18"/>
  <c r="P350" i="18"/>
  <c r="P351" i="18"/>
  <c r="P352" i="18"/>
  <c r="P353" i="18"/>
  <c r="P354" i="18"/>
  <c r="P355" i="18"/>
  <c r="P356" i="18"/>
  <c r="P357" i="18"/>
  <c r="P358" i="18"/>
  <c r="P359" i="18"/>
  <c r="P360" i="18"/>
  <c r="P361" i="18"/>
  <c r="P362" i="18"/>
  <c r="P363" i="18"/>
  <c r="P364" i="18"/>
  <c r="P365" i="18"/>
  <c r="P366" i="18"/>
  <c r="B180" i="20"/>
  <c r="B181" i="20"/>
  <c r="B182" i="20"/>
  <c r="B183" i="20"/>
  <c r="B184" i="20"/>
  <c r="B185" i="20"/>
  <c r="B186" i="20"/>
  <c r="B187" i="20"/>
  <c r="B188" i="20"/>
  <c r="B189" i="20"/>
  <c r="B190" i="20"/>
  <c r="B191" i="20"/>
  <c r="B192" i="20"/>
  <c r="B193" i="20"/>
  <c r="B194" i="20"/>
  <c r="B195" i="20"/>
  <c r="B196" i="20"/>
  <c r="B197" i="20"/>
  <c r="B198" i="20"/>
  <c r="B199" i="20"/>
  <c r="B200" i="20"/>
  <c r="B201" i="20"/>
  <c r="B202" i="20"/>
  <c r="B203" i="20"/>
  <c r="B204" i="20"/>
  <c r="B205" i="20"/>
  <c r="B206" i="20"/>
  <c r="B207" i="20"/>
  <c r="B208" i="20"/>
  <c r="B209" i="20"/>
  <c r="B210" i="20"/>
  <c r="B211" i="20"/>
  <c r="B212" i="20"/>
  <c r="B213" i="20"/>
  <c r="B214" i="20"/>
  <c r="B215" i="20"/>
  <c r="B216" i="20"/>
  <c r="B217" i="20"/>
  <c r="B218" i="20"/>
  <c r="B219" i="20"/>
  <c r="B220" i="20"/>
  <c r="B221" i="20"/>
  <c r="B222" i="20"/>
  <c r="B223" i="20"/>
  <c r="B224" i="20"/>
  <c r="B225" i="20"/>
  <c r="B226" i="20"/>
  <c r="B227" i="20"/>
  <c r="B228" i="20"/>
  <c r="B229" i="20"/>
  <c r="B230" i="20"/>
  <c r="M180" i="20"/>
  <c r="M181" i="20"/>
  <c r="M182" i="20"/>
  <c r="M183" i="20"/>
  <c r="M184" i="20"/>
  <c r="M185" i="20"/>
  <c r="M186" i="20"/>
  <c r="M187" i="20"/>
  <c r="M188" i="20"/>
  <c r="M189" i="20"/>
  <c r="M190" i="20"/>
  <c r="M191" i="20"/>
  <c r="M192" i="20"/>
  <c r="M193" i="20"/>
  <c r="M194" i="20"/>
  <c r="M195" i="20"/>
  <c r="M196" i="20"/>
  <c r="M197" i="20"/>
  <c r="M198" i="20"/>
  <c r="M199" i="20"/>
  <c r="M200" i="20"/>
  <c r="M201" i="20"/>
  <c r="M202" i="20"/>
  <c r="M203" i="20"/>
  <c r="M204" i="20"/>
  <c r="M205" i="20"/>
  <c r="M206" i="20"/>
  <c r="M207" i="20"/>
  <c r="M208" i="20"/>
  <c r="M209" i="20"/>
  <c r="M210" i="20"/>
  <c r="M211" i="20"/>
  <c r="M212" i="20"/>
  <c r="M213" i="20"/>
  <c r="M214" i="20"/>
  <c r="M215" i="20"/>
  <c r="M216" i="20"/>
  <c r="M217" i="20"/>
  <c r="M218" i="20"/>
  <c r="M219" i="20"/>
  <c r="M220" i="20"/>
  <c r="M221" i="20"/>
  <c r="M222" i="20"/>
  <c r="M223" i="20"/>
  <c r="M224" i="20"/>
  <c r="M225" i="20"/>
  <c r="M226" i="20"/>
  <c r="M227" i="20"/>
  <c r="M228" i="20"/>
  <c r="M229" i="20"/>
  <c r="M230" i="20"/>
  <c r="P180" i="20"/>
  <c r="P181" i="20"/>
  <c r="P182" i="20"/>
  <c r="P183" i="20"/>
  <c r="P184" i="20"/>
  <c r="P185" i="20"/>
  <c r="P186" i="20"/>
  <c r="P187" i="20"/>
  <c r="P188" i="20"/>
  <c r="P189" i="20"/>
  <c r="P190" i="20"/>
  <c r="P191" i="20"/>
  <c r="P192" i="20"/>
  <c r="P193" i="20"/>
  <c r="P194" i="20"/>
  <c r="P195" i="20"/>
  <c r="P196" i="20"/>
  <c r="P197" i="20"/>
  <c r="P198" i="20"/>
  <c r="P199" i="20"/>
  <c r="P200" i="20"/>
  <c r="P201" i="20"/>
  <c r="P202" i="20"/>
  <c r="P203" i="20"/>
  <c r="P204" i="20"/>
  <c r="P205" i="20"/>
  <c r="P206" i="20"/>
  <c r="P207" i="20"/>
  <c r="P208" i="20"/>
  <c r="P209" i="20"/>
  <c r="P210" i="20"/>
  <c r="P211" i="20"/>
  <c r="P212" i="20"/>
  <c r="P213" i="20"/>
  <c r="P214" i="20"/>
  <c r="P215" i="20"/>
  <c r="P216" i="20"/>
  <c r="P217" i="20"/>
  <c r="P218" i="20"/>
  <c r="P219" i="20"/>
  <c r="P220" i="20"/>
  <c r="P221" i="20"/>
  <c r="P222" i="20"/>
  <c r="P223" i="20"/>
  <c r="P224" i="20"/>
  <c r="P225" i="20"/>
  <c r="P226" i="20"/>
  <c r="P227" i="20"/>
  <c r="P228" i="20"/>
  <c r="P229" i="20"/>
  <c r="P230" i="20"/>
  <c r="Q180" i="20"/>
  <c r="Q181" i="20"/>
  <c r="Q182" i="20"/>
  <c r="Q183" i="20"/>
  <c r="Q184" i="20"/>
  <c r="Q185" i="20"/>
  <c r="Q186" i="20"/>
  <c r="Q187" i="20"/>
  <c r="Q188" i="20"/>
  <c r="Q189" i="20"/>
  <c r="Q190" i="20"/>
  <c r="Q191" i="20"/>
  <c r="Q192" i="20"/>
  <c r="Q193" i="20"/>
  <c r="Q194" i="20"/>
  <c r="Q195" i="20"/>
  <c r="Q196" i="20"/>
  <c r="Q197" i="20"/>
  <c r="Q198" i="20"/>
  <c r="Q199" i="20"/>
  <c r="Q200" i="20"/>
  <c r="Q201" i="20"/>
  <c r="Q202" i="20"/>
  <c r="Q203" i="20"/>
  <c r="Q204" i="20"/>
  <c r="Q205" i="20"/>
  <c r="Q206" i="20"/>
  <c r="Q207" i="20"/>
  <c r="Q208" i="20"/>
  <c r="Q209" i="20"/>
  <c r="Q210" i="20"/>
  <c r="Q211" i="20"/>
  <c r="Q212" i="20"/>
  <c r="Q213" i="20"/>
  <c r="Q214" i="20"/>
  <c r="Q215" i="20"/>
  <c r="Q216" i="20"/>
  <c r="Q217" i="20"/>
  <c r="Q218" i="20"/>
  <c r="Q219" i="20"/>
  <c r="Q220" i="20"/>
  <c r="Q221" i="20"/>
  <c r="Q222" i="20"/>
  <c r="Q223" i="20"/>
  <c r="Q224" i="20"/>
  <c r="Q225" i="20"/>
  <c r="Q226" i="20"/>
  <c r="Q227" i="20"/>
  <c r="Q228" i="20"/>
  <c r="Q229" i="20"/>
  <c r="Q230" i="20"/>
  <c r="X180" i="20"/>
  <c r="X181" i="20"/>
  <c r="X182" i="20"/>
  <c r="X183" i="20"/>
  <c r="X184" i="20"/>
  <c r="X185" i="20"/>
  <c r="X186" i="20"/>
  <c r="X187" i="20"/>
  <c r="X188" i="20"/>
  <c r="X189" i="20"/>
  <c r="X190" i="20"/>
  <c r="X191" i="20"/>
  <c r="X192" i="20"/>
  <c r="X193" i="20"/>
  <c r="X194" i="20"/>
  <c r="X195" i="20"/>
  <c r="X196" i="20"/>
  <c r="X197" i="20"/>
  <c r="X198" i="20"/>
  <c r="X199" i="20"/>
  <c r="X200" i="20"/>
  <c r="X201" i="20"/>
  <c r="X202" i="20"/>
  <c r="X203" i="20"/>
  <c r="X204" i="20"/>
  <c r="X205" i="20"/>
  <c r="X206" i="20"/>
  <c r="X207" i="20"/>
  <c r="X209" i="20"/>
  <c r="X210" i="20"/>
  <c r="X211" i="20"/>
  <c r="X212" i="20"/>
  <c r="X213" i="20"/>
  <c r="X214" i="20"/>
  <c r="X215" i="20"/>
  <c r="X216" i="20"/>
  <c r="X217" i="20"/>
  <c r="X218" i="20"/>
  <c r="X219" i="20"/>
  <c r="X220" i="20"/>
  <c r="X221" i="20"/>
  <c r="X222" i="20"/>
  <c r="X223" i="20"/>
  <c r="X224" i="20"/>
  <c r="X225" i="20"/>
  <c r="X226" i="20"/>
  <c r="X227" i="20"/>
  <c r="X228" i="20"/>
  <c r="X229" i="20"/>
  <c r="X230" i="20"/>
  <c r="AA180" i="20"/>
  <c r="AA181" i="20"/>
  <c r="AA182" i="20"/>
  <c r="AA183" i="20"/>
  <c r="AA184" i="20"/>
  <c r="AA185" i="20"/>
  <c r="AA186" i="20"/>
  <c r="AA187" i="20"/>
  <c r="AA188" i="20"/>
  <c r="AA189" i="20"/>
  <c r="AA190" i="20"/>
  <c r="AA191" i="20"/>
  <c r="AA192" i="20"/>
  <c r="AA193" i="20"/>
  <c r="AA194" i="20"/>
  <c r="AA195" i="20"/>
  <c r="AA196" i="20"/>
  <c r="AA197" i="20"/>
  <c r="AA198" i="20"/>
  <c r="AA199" i="20"/>
  <c r="AA200" i="20"/>
  <c r="AA201" i="20"/>
  <c r="AA202" i="20"/>
  <c r="AA203" i="20"/>
  <c r="AA204" i="20"/>
  <c r="AA205" i="20"/>
  <c r="AA206" i="20"/>
  <c r="AA207" i="20"/>
  <c r="AA208" i="20"/>
  <c r="AA209" i="20"/>
  <c r="AA210" i="20"/>
  <c r="AA211" i="20"/>
  <c r="AA212" i="20"/>
  <c r="AA213" i="20"/>
  <c r="AA214" i="20"/>
  <c r="AA215" i="20"/>
  <c r="AA216" i="20"/>
  <c r="AA217" i="20"/>
  <c r="AA218" i="20"/>
  <c r="AA219" i="20"/>
  <c r="AA220" i="20"/>
  <c r="AA221" i="20"/>
  <c r="AA222" i="20"/>
  <c r="AA223" i="20"/>
  <c r="AA224" i="20"/>
  <c r="AA225" i="20"/>
  <c r="AA226" i="20"/>
  <c r="AA227" i="20"/>
  <c r="AA228" i="20"/>
  <c r="AA229" i="20"/>
  <c r="AA230" i="20"/>
  <c r="B178" i="20"/>
  <c r="B179" i="20"/>
  <c r="M178" i="20"/>
  <c r="M179" i="20"/>
  <c r="P178" i="20"/>
  <c r="P179" i="20"/>
  <c r="Q178" i="20"/>
  <c r="Q179" i="20"/>
  <c r="X178" i="20"/>
  <c r="X179" i="20"/>
  <c r="AA178" i="20"/>
  <c r="AA179" i="20"/>
  <c r="B254" i="12"/>
  <c r="B255" i="12"/>
  <c r="B256" i="12"/>
  <c r="M254" i="12"/>
  <c r="M255" i="12"/>
  <c r="M256" i="12"/>
  <c r="P254" i="12"/>
  <c r="P255" i="12"/>
  <c r="P256" i="12"/>
  <c r="Q254" i="12"/>
  <c r="Q255" i="12"/>
  <c r="Q256" i="12"/>
  <c r="X254" i="12"/>
  <c r="X255" i="12"/>
  <c r="X256" i="12"/>
  <c r="AA254" i="12"/>
  <c r="AA255" i="12"/>
  <c r="AA256" i="12"/>
  <c r="B253" i="12"/>
  <c r="M253" i="12"/>
  <c r="P253" i="12"/>
  <c r="Q253" i="12"/>
  <c r="X253" i="12"/>
  <c r="AA253" i="12"/>
  <c r="B612" i="8" l="1"/>
  <c r="N612" i="8"/>
  <c r="Q612" i="8"/>
  <c r="R612" i="8"/>
  <c r="AB612" i="8"/>
  <c r="B669" i="8" l="1"/>
  <c r="N669" i="8"/>
  <c r="Q669" i="8"/>
  <c r="R669" i="8"/>
  <c r="AB669" i="8"/>
  <c r="B667" i="8" l="1"/>
  <c r="N667" i="8"/>
  <c r="Q667" i="8"/>
  <c r="R667" i="8"/>
  <c r="AB667" i="8"/>
  <c r="B678" i="9" l="1"/>
  <c r="N678" i="9"/>
  <c r="Q678" i="9"/>
  <c r="R678" i="9"/>
  <c r="AB678" i="9"/>
  <c r="B666" i="8" l="1"/>
  <c r="N666" i="8"/>
  <c r="Q666" i="8"/>
  <c r="R666" i="8"/>
  <c r="AB666" i="8"/>
  <c r="B665" i="8"/>
  <c r="N665" i="8"/>
  <c r="Q665" i="8"/>
  <c r="R665" i="8"/>
  <c r="AB665" i="8"/>
  <c r="B664" i="8"/>
  <c r="N664" i="8"/>
  <c r="Q664" i="8"/>
  <c r="R664" i="8"/>
  <c r="AB664" i="8"/>
  <c r="B663" i="8"/>
  <c r="N663" i="8"/>
  <c r="Q663" i="8"/>
  <c r="R663" i="8"/>
  <c r="AB663" i="8"/>
  <c r="B310" i="3" l="1"/>
  <c r="M310" i="3"/>
  <c r="P310" i="3"/>
  <c r="Q310" i="3"/>
  <c r="AA310" i="3"/>
  <c r="B642" i="8" l="1"/>
  <c r="N642" i="8"/>
  <c r="Q642" i="8"/>
  <c r="R642" i="8"/>
  <c r="AB642" i="8"/>
  <c r="B677" i="9"/>
  <c r="N677" i="9"/>
  <c r="Q677" i="9"/>
  <c r="R677" i="9"/>
  <c r="AB677" i="9"/>
  <c r="B662" i="8" l="1"/>
  <c r="N662" i="8"/>
  <c r="Q662" i="8"/>
  <c r="R662" i="8"/>
  <c r="AB662" i="8"/>
  <c r="B676" i="9" l="1"/>
  <c r="N676" i="9"/>
  <c r="Q676" i="9"/>
  <c r="R676" i="9"/>
  <c r="AB676" i="9"/>
  <c r="B623" i="8" l="1"/>
  <c r="N623" i="8"/>
  <c r="Q623" i="8"/>
  <c r="R623" i="8"/>
  <c r="AB623" i="8"/>
  <c r="B624" i="8"/>
  <c r="N624" i="8"/>
  <c r="Q624" i="8"/>
  <c r="R624" i="8"/>
  <c r="AB624" i="8"/>
  <c r="B297" i="3"/>
  <c r="M297" i="3"/>
  <c r="P297" i="3"/>
  <c r="Q297" i="3"/>
  <c r="AA297" i="3"/>
  <c r="B298" i="3"/>
  <c r="M298" i="3"/>
  <c r="P298" i="3"/>
  <c r="Q298" i="3"/>
  <c r="AA298" i="3"/>
  <c r="B299" i="3"/>
  <c r="M299" i="3"/>
  <c r="P299" i="3"/>
  <c r="Q299" i="3"/>
  <c r="AA299" i="3"/>
  <c r="B300" i="3"/>
  <c r="M300" i="3"/>
  <c r="P300" i="3"/>
  <c r="Q300" i="3"/>
  <c r="AA300" i="3"/>
  <c r="B293" i="3"/>
  <c r="M293" i="3"/>
  <c r="P293" i="3"/>
  <c r="Q293" i="3"/>
  <c r="AA293" i="3"/>
  <c r="B294" i="3"/>
  <c r="M294" i="3"/>
  <c r="P294" i="3"/>
  <c r="Q294" i="3"/>
  <c r="AA294" i="3"/>
  <c r="B295" i="3"/>
  <c r="M295" i="3"/>
  <c r="P295" i="3"/>
  <c r="Q295" i="3"/>
  <c r="AA295" i="3"/>
  <c r="B139" i="5"/>
  <c r="B140" i="5"/>
  <c r="M139" i="5"/>
  <c r="M140" i="5"/>
  <c r="AA139" i="5"/>
  <c r="AA140" i="5"/>
  <c r="B138" i="5"/>
  <c r="M138" i="5"/>
  <c r="AA138" i="5"/>
  <c r="B675" i="9"/>
  <c r="N675" i="9"/>
  <c r="Q675" i="9"/>
  <c r="R675" i="9"/>
  <c r="AB675" i="9"/>
  <c r="B661" i="8" l="1"/>
  <c r="N661" i="8"/>
  <c r="Q661" i="8"/>
  <c r="R661" i="8"/>
  <c r="AB661" i="8"/>
  <c r="B660" i="8"/>
  <c r="N660" i="8"/>
  <c r="Q660" i="8"/>
  <c r="R660" i="8"/>
  <c r="AB660" i="8"/>
  <c r="B659" i="8"/>
  <c r="N659" i="8"/>
  <c r="Q659" i="8"/>
  <c r="R659" i="8"/>
  <c r="AB659" i="8"/>
  <c r="B674" i="9"/>
  <c r="N674" i="9"/>
  <c r="Q674" i="9"/>
  <c r="R674" i="9"/>
  <c r="AB674" i="9"/>
  <c r="B495" i="7" l="1"/>
  <c r="B496" i="7"/>
  <c r="B497" i="7"/>
  <c r="B498" i="7"/>
  <c r="B499" i="7"/>
  <c r="B500" i="7"/>
  <c r="B501" i="7"/>
  <c r="B502" i="7"/>
  <c r="B503" i="7"/>
  <c r="B504" i="7"/>
  <c r="B505" i="7"/>
  <c r="B506" i="7"/>
  <c r="B507" i="7"/>
  <c r="B508" i="7"/>
  <c r="B509" i="7"/>
  <c r="B510" i="7"/>
  <c r="B511" i="7"/>
  <c r="B512" i="7"/>
  <c r="B513" i="7"/>
  <c r="B514" i="7"/>
  <c r="B515" i="7"/>
  <c r="B516" i="7"/>
  <c r="B517" i="7"/>
  <c r="B518" i="7"/>
  <c r="B519" i="7"/>
  <c r="B520" i="7"/>
  <c r="B521" i="7"/>
  <c r="B522" i="7"/>
  <c r="B523" i="7"/>
  <c r="B524" i="7"/>
  <c r="B525" i="7"/>
  <c r="B526" i="7"/>
  <c r="B527" i="7"/>
  <c r="B528" i="7"/>
  <c r="B529" i="7"/>
  <c r="B530" i="7"/>
  <c r="B531" i="7"/>
  <c r="B532" i="7"/>
  <c r="B533" i="7"/>
  <c r="M495" i="7"/>
  <c r="M496" i="7"/>
  <c r="M497" i="7"/>
  <c r="M498" i="7"/>
  <c r="M499" i="7"/>
  <c r="M500" i="7"/>
  <c r="M501" i="7"/>
  <c r="M502" i="7"/>
  <c r="M503" i="7"/>
  <c r="M504" i="7"/>
  <c r="M505" i="7"/>
  <c r="M506" i="7"/>
  <c r="M507" i="7"/>
  <c r="M508" i="7"/>
  <c r="M509" i="7"/>
  <c r="M510" i="7"/>
  <c r="M511" i="7"/>
  <c r="M512" i="7"/>
  <c r="M513" i="7"/>
  <c r="M514" i="7"/>
  <c r="M515" i="7"/>
  <c r="M516" i="7"/>
  <c r="M517" i="7"/>
  <c r="M518" i="7"/>
  <c r="M519" i="7"/>
  <c r="M520" i="7"/>
  <c r="M521" i="7"/>
  <c r="M522" i="7"/>
  <c r="M523" i="7"/>
  <c r="M524" i="7"/>
  <c r="M525" i="7"/>
  <c r="M526" i="7"/>
  <c r="M527" i="7"/>
  <c r="M528" i="7"/>
  <c r="M529" i="7"/>
  <c r="M530" i="7"/>
  <c r="M531" i="7"/>
  <c r="M532" i="7"/>
  <c r="M533" i="7"/>
  <c r="P495" i="7"/>
  <c r="X495" i="7" s="1"/>
  <c r="P496" i="7"/>
  <c r="X496" i="7" s="1"/>
  <c r="P497" i="7"/>
  <c r="X497" i="7" s="1"/>
  <c r="P498" i="7"/>
  <c r="X498" i="7" s="1"/>
  <c r="P499" i="7"/>
  <c r="X499" i="7" s="1"/>
  <c r="P500" i="7"/>
  <c r="X500" i="7" s="1"/>
  <c r="P501" i="7"/>
  <c r="X501" i="7" s="1"/>
  <c r="P502" i="7"/>
  <c r="X502" i="7" s="1"/>
  <c r="P503" i="7"/>
  <c r="X503" i="7" s="1"/>
  <c r="P504" i="7"/>
  <c r="X504" i="7" s="1"/>
  <c r="P505" i="7"/>
  <c r="X505" i="7" s="1"/>
  <c r="P506" i="7"/>
  <c r="X506" i="7" s="1"/>
  <c r="P507" i="7"/>
  <c r="X507" i="7" s="1"/>
  <c r="P508" i="7"/>
  <c r="X508" i="7" s="1"/>
  <c r="P509" i="7"/>
  <c r="X509" i="7" s="1"/>
  <c r="P510" i="7"/>
  <c r="X510" i="7" s="1"/>
  <c r="P511" i="7"/>
  <c r="X511" i="7" s="1"/>
  <c r="P512" i="7"/>
  <c r="X512" i="7" s="1"/>
  <c r="P513" i="7"/>
  <c r="X513" i="7" s="1"/>
  <c r="P514" i="7"/>
  <c r="X514" i="7" s="1"/>
  <c r="P515" i="7"/>
  <c r="X515" i="7" s="1"/>
  <c r="P516" i="7"/>
  <c r="X516" i="7" s="1"/>
  <c r="P517" i="7"/>
  <c r="X517" i="7" s="1"/>
  <c r="P518" i="7"/>
  <c r="X518" i="7" s="1"/>
  <c r="P519" i="7"/>
  <c r="X519" i="7" s="1"/>
  <c r="P520" i="7"/>
  <c r="X520" i="7" s="1"/>
  <c r="P521" i="7"/>
  <c r="X521" i="7" s="1"/>
  <c r="P522" i="7"/>
  <c r="X522" i="7" s="1"/>
  <c r="P523" i="7"/>
  <c r="X523" i="7" s="1"/>
  <c r="P524" i="7"/>
  <c r="X524" i="7" s="1"/>
  <c r="P525" i="7"/>
  <c r="X525" i="7" s="1"/>
  <c r="P526" i="7"/>
  <c r="X526" i="7" s="1"/>
  <c r="P527" i="7"/>
  <c r="X527" i="7" s="1"/>
  <c r="P528" i="7"/>
  <c r="X528" i="7" s="1"/>
  <c r="P529" i="7"/>
  <c r="X529" i="7" s="1"/>
  <c r="P530" i="7"/>
  <c r="X530" i="7" s="1"/>
  <c r="P531" i="7"/>
  <c r="X531" i="7" s="1"/>
  <c r="P532" i="7"/>
  <c r="X532" i="7" s="1"/>
  <c r="P533" i="7"/>
  <c r="X533" i="7" s="1"/>
  <c r="Q495" i="7"/>
  <c r="Q496" i="7"/>
  <c r="Q497" i="7"/>
  <c r="Q498" i="7"/>
  <c r="Q499" i="7"/>
  <c r="Q500" i="7"/>
  <c r="Q501" i="7"/>
  <c r="Q502" i="7"/>
  <c r="Q503" i="7"/>
  <c r="Q504" i="7"/>
  <c r="Q505" i="7"/>
  <c r="Q506" i="7"/>
  <c r="Q507" i="7"/>
  <c r="Q508" i="7"/>
  <c r="Q509" i="7"/>
  <c r="Q510" i="7"/>
  <c r="Q511" i="7"/>
  <c r="Q512" i="7"/>
  <c r="Q513" i="7"/>
  <c r="Q514" i="7"/>
  <c r="Q515" i="7"/>
  <c r="Q516" i="7"/>
  <c r="Q517" i="7"/>
  <c r="Q518" i="7"/>
  <c r="Q519" i="7"/>
  <c r="Q520" i="7"/>
  <c r="Q521" i="7"/>
  <c r="Q522" i="7"/>
  <c r="Q523" i="7"/>
  <c r="Q524" i="7"/>
  <c r="Q525" i="7"/>
  <c r="Q526" i="7"/>
  <c r="Q527" i="7"/>
  <c r="Q528" i="7"/>
  <c r="Q529" i="7"/>
  <c r="Q530" i="7"/>
  <c r="Q531" i="7"/>
  <c r="Q532" i="7"/>
  <c r="Q533" i="7"/>
  <c r="A39" i="6"/>
  <c r="B39" i="6"/>
  <c r="M39" i="6"/>
  <c r="P39" i="6"/>
  <c r="Q39" i="6"/>
  <c r="AA39" i="6"/>
  <c r="B307" i="3"/>
  <c r="B308" i="3"/>
  <c r="B309" i="3"/>
  <c r="M307" i="3"/>
  <c r="M308" i="3"/>
  <c r="M309" i="3"/>
  <c r="P307" i="3"/>
  <c r="P308" i="3"/>
  <c r="P309" i="3"/>
  <c r="Q307" i="3"/>
  <c r="Q308" i="3"/>
  <c r="Q309" i="3"/>
  <c r="AA307" i="3"/>
  <c r="AA308" i="3"/>
  <c r="AA309" i="3"/>
  <c r="B306" i="3"/>
  <c r="M306" i="3"/>
  <c r="P306" i="3"/>
  <c r="Q306" i="3"/>
  <c r="AA306" i="3"/>
  <c r="B673" i="9"/>
  <c r="N673" i="9"/>
  <c r="Q673" i="9"/>
  <c r="R673" i="9"/>
  <c r="AB673" i="9"/>
  <c r="B672" i="9"/>
  <c r="N672" i="9"/>
  <c r="Q672" i="9"/>
  <c r="R672" i="9"/>
  <c r="AB672" i="9"/>
  <c r="B134" i="5"/>
  <c r="M134" i="5"/>
  <c r="AA134" i="5"/>
  <c r="B135" i="5"/>
  <c r="M135" i="5"/>
  <c r="AA135" i="5"/>
  <c r="B136" i="5"/>
  <c r="M136" i="5"/>
  <c r="AA136" i="5"/>
  <c r="B133" i="5"/>
  <c r="B137" i="5"/>
  <c r="M133" i="5"/>
  <c r="M137" i="5"/>
  <c r="AA133" i="5"/>
  <c r="AA137" i="5"/>
  <c r="B303" i="3" l="1"/>
  <c r="M303" i="3"/>
  <c r="P303" i="3"/>
  <c r="Q303" i="3"/>
  <c r="AA303" i="3"/>
  <c r="B304" i="3"/>
  <c r="M304" i="3"/>
  <c r="P304" i="3"/>
  <c r="Q304" i="3"/>
  <c r="AA304" i="3"/>
  <c r="B658" i="8"/>
  <c r="N658" i="8"/>
  <c r="Q658" i="8"/>
  <c r="R658" i="8"/>
  <c r="AB658" i="8"/>
  <c r="B302" i="3"/>
  <c r="M302" i="3"/>
  <c r="P302" i="3"/>
  <c r="Q302" i="3"/>
  <c r="AA302" i="3"/>
  <c r="B671" i="9" l="1"/>
  <c r="N671" i="9"/>
  <c r="Q671" i="9"/>
  <c r="R671" i="9"/>
  <c r="AB671" i="9"/>
  <c r="R655" i="8" l="1"/>
  <c r="B657" i="8"/>
  <c r="N657" i="8"/>
  <c r="Q657" i="8"/>
  <c r="R657" i="8"/>
  <c r="AB657" i="8"/>
  <c r="B656" i="8"/>
  <c r="N656" i="8"/>
  <c r="Q656" i="8"/>
  <c r="R656" i="8"/>
  <c r="AB656" i="8"/>
  <c r="B655" i="8"/>
  <c r="N655" i="8"/>
  <c r="Q655" i="8"/>
  <c r="AB655" i="8"/>
  <c r="B654" i="8"/>
  <c r="N654" i="8"/>
  <c r="Q654" i="8"/>
  <c r="R654" i="8"/>
  <c r="AB654" i="8"/>
  <c r="B653" i="8"/>
  <c r="N653" i="8"/>
  <c r="Q653" i="8"/>
  <c r="R653" i="8"/>
  <c r="AB653" i="8"/>
  <c r="B652" i="8"/>
  <c r="N652" i="8"/>
  <c r="Q652" i="8"/>
  <c r="R652" i="8"/>
  <c r="AB652" i="8"/>
  <c r="B651" i="8"/>
  <c r="N651" i="8"/>
  <c r="Q651" i="8"/>
  <c r="R651" i="8"/>
  <c r="AB651" i="8"/>
  <c r="B650" i="8"/>
  <c r="N650" i="8"/>
  <c r="Q650" i="8"/>
  <c r="R650" i="8"/>
  <c r="AB650" i="8"/>
  <c r="B649" i="8"/>
  <c r="N649" i="8"/>
  <c r="Q649" i="8"/>
  <c r="R649" i="8"/>
  <c r="AB649" i="8"/>
  <c r="B648" i="8"/>
  <c r="N648" i="8"/>
  <c r="Q648" i="8"/>
  <c r="R648" i="8"/>
  <c r="AB648" i="8"/>
  <c r="B647" i="8"/>
  <c r="N647" i="8"/>
  <c r="Q647" i="8"/>
  <c r="R647" i="8"/>
  <c r="AB647" i="8"/>
  <c r="B646" i="8"/>
  <c r="N646" i="8"/>
  <c r="Q646" i="8"/>
  <c r="R646" i="8"/>
  <c r="AB646" i="8"/>
  <c r="B645" i="8"/>
  <c r="N645" i="8"/>
  <c r="Q645" i="8"/>
  <c r="R645" i="8"/>
  <c r="AB645" i="8"/>
  <c r="B644" i="8"/>
  <c r="N644" i="8"/>
  <c r="Q644" i="8"/>
  <c r="R644" i="8"/>
  <c r="AB644" i="8"/>
  <c r="B643" i="8"/>
  <c r="N643" i="8"/>
  <c r="Q643" i="8"/>
  <c r="R643" i="8"/>
  <c r="AB643" i="8"/>
  <c r="B305" i="3"/>
  <c r="M305" i="3"/>
  <c r="P305" i="3"/>
  <c r="Q305" i="3"/>
  <c r="AA305" i="3"/>
  <c r="B301" i="3" l="1"/>
  <c r="M301" i="3"/>
  <c r="P301" i="3"/>
  <c r="Q301" i="3"/>
  <c r="AA301" i="3"/>
  <c r="B290" i="3"/>
  <c r="M290" i="3"/>
  <c r="P290" i="3"/>
  <c r="Q290" i="3"/>
  <c r="AA290" i="3"/>
  <c r="B641" i="8"/>
  <c r="N641" i="8"/>
  <c r="Q641" i="8"/>
  <c r="R641" i="8"/>
  <c r="AB641" i="8"/>
  <c r="B640" i="8"/>
  <c r="N640" i="8"/>
  <c r="Q640" i="8"/>
  <c r="R640" i="8"/>
  <c r="AB640" i="8"/>
  <c r="B670" i="9"/>
  <c r="N670" i="9"/>
  <c r="Q670" i="9"/>
  <c r="R670" i="9"/>
  <c r="AB670" i="9"/>
  <c r="B366" i="18" l="1"/>
  <c r="M366" i="18"/>
  <c r="Q366" i="18"/>
  <c r="X366" i="18"/>
  <c r="AA366" i="18"/>
  <c r="B639" i="8" l="1"/>
  <c r="Q639" i="8"/>
  <c r="R639" i="8"/>
  <c r="AB639" i="8"/>
  <c r="B296" i="3"/>
  <c r="M296" i="3"/>
  <c r="P296" i="3"/>
  <c r="Q296" i="3"/>
  <c r="AA296" i="3"/>
  <c r="B292" i="3"/>
  <c r="M292" i="3"/>
  <c r="P292" i="3"/>
  <c r="Q292" i="3"/>
  <c r="AA292" i="3"/>
  <c r="B132" i="5" l="1"/>
  <c r="M132" i="5"/>
  <c r="AA132" i="5"/>
  <c r="B291" i="3"/>
  <c r="M291" i="3"/>
  <c r="P291" i="3"/>
  <c r="Q291" i="3"/>
  <c r="AA291" i="3"/>
  <c r="B638" i="8"/>
  <c r="N638" i="8"/>
  <c r="Q638" i="8"/>
  <c r="R638" i="8"/>
  <c r="AB638" i="8"/>
  <c r="B637" i="8"/>
  <c r="N637" i="8"/>
  <c r="Q637" i="8"/>
  <c r="R637" i="8"/>
  <c r="AB637" i="8"/>
  <c r="B636" i="8"/>
  <c r="N636" i="8"/>
  <c r="Q636" i="8"/>
  <c r="R636" i="8"/>
  <c r="AB636" i="8"/>
  <c r="B669" i="9"/>
  <c r="N669" i="9"/>
  <c r="Q669" i="9"/>
  <c r="R669" i="9"/>
  <c r="AB669" i="9"/>
  <c r="B668" i="9"/>
  <c r="N668" i="9"/>
  <c r="Q668" i="9"/>
  <c r="R668" i="9"/>
  <c r="AB668" i="9"/>
  <c r="AA394" i="23" l="1"/>
  <c r="Q394" i="23"/>
  <c r="P394" i="23"/>
  <c r="M394" i="23"/>
  <c r="B394" i="23"/>
  <c r="AA393" i="23"/>
  <c r="Q393" i="23"/>
  <c r="P393" i="23"/>
  <c r="M393" i="23"/>
  <c r="B393" i="23"/>
  <c r="AA392" i="23"/>
  <c r="Q392" i="23"/>
  <c r="P392" i="23"/>
  <c r="M392" i="23"/>
  <c r="B392" i="23"/>
  <c r="B667" i="9" l="1"/>
  <c r="N667" i="9"/>
  <c r="Q667" i="9"/>
  <c r="R667" i="9"/>
  <c r="AB667" i="9"/>
  <c r="X2" i="13" l="1"/>
  <c r="X3" i="13"/>
  <c r="X4" i="13"/>
  <c r="X5" i="13"/>
  <c r="X6" i="13"/>
  <c r="X7" i="13"/>
  <c r="X8" i="13"/>
  <c r="X9" i="13"/>
  <c r="X10" i="13"/>
  <c r="X11" i="13"/>
  <c r="X12" i="13"/>
  <c r="X13" i="13"/>
  <c r="X14" i="13"/>
  <c r="X15" i="13"/>
  <c r="X16" i="13"/>
  <c r="X17" i="13"/>
  <c r="X18" i="13"/>
  <c r="X19" i="13"/>
  <c r="X20" i="13"/>
  <c r="X21" i="13"/>
  <c r="X22" i="13"/>
  <c r="X23" i="13"/>
  <c r="X24" i="13"/>
  <c r="X25" i="13"/>
  <c r="X26" i="13"/>
  <c r="X27" i="13"/>
  <c r="X28" i="13"/>
  <c r="X29" i="13"/>
  <c r="X30" i="13"/>
  <c r="X31" i="13"/>
  <c r="X32" i="13"/>
  <c r="X33" i="13"/>
  <c r="X34" i="13"/>
  <c r="X35" i="13"/>
  <c r="X36" i="13"/>
  <c r="X37" i="13"/>
  <c r="X38" i="13"/>
  <c r="X39" i="13"/>
  <c r="X40" i="13"/>
  <c r="X41" i="13"/>
  <c r="X42" i="13"/>
  <c r="X43" i="13"/>
  <c r="X44" i="13"/>
  <c r="X45" i="13"/>
  <c r="X46" i="13"/>
  <c r="X47" i="13"/>
  <c r="X48" i="13"/>
  <c r="X49" i="13"/>
  <c r="X50" i="13"/>
  <c r="X51" i="13"/>
  <c r="X52" i="13"/>
  <c r="X53" i="13"/>
  <c r="X54" i="13"/>
  <c r="X55" i="13"/>
  <c r="X56" i="13"/>
  <c r="X57" i="13"/>
  <c r="X58" i="13"/>
  <c r="X59" i="13"/>
  <c r="X60" i="13"/>
  <c r="X61" i="13"/>
  <c r="X62" i="13"/>
  <c r="X63" i="13"/>
  <c r="X64" i="13"/>
  <c r="X65" i="13"/>
  <c r="X66" i="13"/>
  <c r="X67" i="13"/>
  <c r="X68" i="13"/>
  <c r="X69" i="13"/>
  <c r="X70" i="13"/>
  <c r="X71" i="13"/>
  <c r="X72" i="13"/>
  <c r="X73" i="13"/>
  <c r="X74" i="13"/>
  <c r="X75" i="13"/>
  <c r="X76" i="13"/>
  <c r="X77" i="13"/>
  <c r="X78" i="13"/>
  <c r="X79" i="13"/>
  <c r="X80" i="13"/>
  <c r="X81" i="13"/>
  <c r="X82" i="13"/>
  <c r="X83" i="13"/>
  <c r="X84" i="13"/>
  <c r="X85" i="13"/>
  <c r="X86" i="13"/>
  <c r="X87" i="13"/>
  <c r="X88" i="13"/>
  <c r="X89" i="13"/>
  <c r="X90" i="13"/>
  <c r="X91" i="13"/>
  <c r="X92" i="13"/>
  <c r="X93" i="13"/>
  <c r="X94" i="13"/>
  <c r="X95" i="13"/>
  <c r="X96" i="13"/>
  <c r="X97" i="13"/>
  <c r="X98" i="13"/>
  <c r="X99" i="13"/>
  <c r="X100" i="13"/>
  <c r="X101" i="13"/>
  <c r="X102" i="13"/>
  <c r="X103" i="13"/>
  <c r="X104" i="13"/>
  <c r="X105" i="13"/>
  <c r="X106" i="13"/>
  <c r="X107" i="13"/>
  <c r="X108" i="13"/>
  <c r="X109" i="13"/>
  <c r="X110" i="13"/>
  <c r="X111" i="13"/>
  <c r="X112" i="13"/>
  <c r="X113" i="13"/>
  <c r="X114" i="13"/>
  <c r="X115" i="13"/>
  <c r="X116" i="13"/>
  <c r="X117" i="13"/>
  <c r="X118" i="13"/>
  <c r="X119" i="13"/>
  <c r="X120" i="13"/>
  <c r="X121" i="13"/>
  <c r="X122" i="13"/>
  <c r="X123" i="13"/>
  <c r="X124" i="13"/>
  <c r="X125" i="13"/>
  <c r="X126" i="13"/>
  <c r="X127" i="13"/>
  <c r="X128" i="13"/>
  <c r="X129" i="13"/>
  <c r="X130" i="13"/>
  <c r="X131" i="13"/>
  <c r="X132" i="13"/>
  <c r="X133" i="13"/>
  <c r="X134" i="13"/>
  <c r="X135" i="13"/>
  <c r="X136" i="13"/>
  <c r="X137" i="13"/>
  <c r="X138" i="13"/>
  <c r="X139" i="13"/>
  <c r="X140" i="13"/>
  <c r="X141" i="13"/>
  <c r="X142" i="13"/>
  <c r="X143" i="13"/>
  <c r="X144" i="13"/>
  <c r="X145" i="13"/>
  <c r="X146" i="13"/>
  <c r="X147" i="13"/>
  <c r="X148" i="13"/>
  <c r="X149" i="13"/>
  <c r="X150" i="13"/>
  <c r="X151" i="13"/>
  <c r="X152" i="13"/>
  <c r="X153" i="13"/>
  <c r="X154" i="13"/>
  <c r="X155" i="13"/>
  <c r="X156" i="13"/>
  <c r="X157" i="13"/>
  <c r="X158" i="13"/>
  <c r="X159" i="13"/>
  <c r="X160" i="13"/>
  <c r="X161" i="13"/>
  <c r="X162" i="13"/>
  <c r="X163" i="13"/>
  <c r="X164" i="13"/>
  <c r="X165" i="13"/>
  <c r="X166" i="13"/>
  <c r="X167" i="13"/>
  <c r="X168" i="13"/>
  <c r="X169" i="13"/>
  <c r="X170" i="13"/>
  <c r="X171" i="13"/>
  <c r="X172" i="13"/>
  <c r="X173" i="13"/>
  <c r="X174" i="13"/>
  <c r="X175" i="13"/>
  <c r="X176" i="13"/>
  <c r="X177" i="13"/>
  <c r="X178" i="13"/>
  <c r="X179" i="13"/>
  <c r="X180" i="13"/>
  <c r="X181" i="13"/>
  <c r="X182" i="13"/>
  <c r="X183" i="13"/>
  <c r="X184" i="13"/>
  <c r="X185" i="13"/>
  <c r="X186" i="13"/>
  <c r="X187" i="13"/>
  <c r="X188" i="13"/>
  <c r="X189" i="13"/>
  <c r="X190" i="13"/>
  <c r="X191" i="13"/>
  <c r="X192" i="13"/>
  <c r="X193" i="13"/>
  <c r="X194" i="13"/>
  <c r="X195" i="13"/>
  <c r="X196" i="13"/>
  <c r="X197" i="13"/>
  <c r="X198" i="13"/>
  <c r="X199" i="13"/>
  <c r="X200" i="13"/>
  <c r="X201" i="13"/>
  <c r="X202" i="13"/>
  <c r="X203" i="13"/>
  <c r="X204" i="13"/>
  <c r="X205" i="13"/>
  <c r="X206" i="13"/>
  <c r="X207" i="13"/>
  <c r="X208" i="13"/>
  <c r="X209" i="13"/>
  <c r="X210" i="13"/>
  <c r="X211" i="13"/>
  <c r="X212" i="13"/>
  <c r="X213" i="13"/>
  <c r="X214" i="13"/>
  <c r="X215" i="13"/>
  <c r="X216" i="13"/>
  <c r="X217" i="13"/>
  <c r="X218" i="13"/>
  <c r="X219" i="13"/>
  <c r="X220" i="13"/>
  <c r="X221" i="13"/>
  <c r="X222" i="13"/>
  <c r="X223" i="13"/>
  <c r="X224" i="13"/>
  <c r="X225" i="13"/>
  <c r="X226" i="13"/>
  <c r="X227" i="13"/>
  <c r="X228" i="13"/>
  <c r="X229" i="13"/>
  <c r="X230" i="13"/>
  <c r="X231" i="13"/>
  <c r="X232" i="13"/>
  <c r="X233" i="13"/>
  <c r="X234" i="13"/>
  <c r="X235" i="13"/>
  <c r="X236" i="13"/>
  <c r="X237" i="13"/>
  <c r="X238" i="13"/>
  <c r="X239" i="13"/>
  <c r="X240" i="13"/>
  <c r="X241" i="13"/>
  <c r="X242" i="13"/>
  <c r="B234" i="13"/>
  <c r="B235" i="13"/>
  <c r="B236" i="13"/>
  <c r="B237" i="13"/>
  <c r="B238" i="13"/>
  <c r="B239" i="13"/>
  <c r="B240" i="13"/>
  <c r="B241" i="13"/>
  <c r="B242" i="13"/>
  <c r="M234" i="13"/>
  <c r="M235" i="13"/>
  <c r="M236" i="13"/>
  <c r="M237" i="13"/>
  <c r="M238" i="13"/>
  <c r="M239" i="13"/>
  <c r="M240" i="13"/>
  <c r="M241" i="13"/>
  <c r="M242" i="13"/>
  <c r="P234" i="13"/>
  <c r="P235" i="13"/>
  <c r="P236" i="13"/>
  <c r="P237" i="13"/>
  <c r="P238" i="13"/>
  <c r="P239" i="13"/>
  <c r="P240" i="13"/>
  <c r="P241" i="13"/>
  <c r="P242" i="13"/>
  <c r="Q234" i="13"/>
  <c r="Q235" i="13"/>
  <c r="Q236" i="13"/>
  <c r="Q237" i="13"/>
  <c r="Q238" i="13"/>
  <c r="Q239" i="13"/>
  <c r="Q240" i="13"/>
  <c r="Q241" i="13"/>
  <c r="Q242" i="13"/>
  <c r="AA234" i="13"/>
  <c r="AA235" i="13"/>
  <c r="AA236" i="13"/>
  <c r="AA237" i="13"/>
  <c r="AA238" i="13"/>
  <c r="AA239" i="13"/>
  <c r="AA240" i="13"/>
  <c r="AA241" i="13"/>
  <c r="AA242" i="13"/>
  <c r="B666" i="9"/>
  <c r="N666" i="9"/>
  <c r="Q666" i="9"/>
  <c r="R666" i="9"/>
  <c r="AB666" i="9"/>
  <c r="B665" i="9"/>
  <c r="N665" i="9"/>
  <c r="Q665" i="9"/>
  <c r="R665" i="9"/>
  <c r="AB665" i="9"/>
  <c r="B664" i="9"/>
  <c r="N664" i="9"/>
  <c r="Q664" i="9"/>
  <c r="R664" i="9"/>
  <c r="AB664" i="9"/>
  <c r="B663" i="9"/>
  <c r="N663" i="9"/>
  <c r="Q663" i="9"/>
  <c r="R663" i="9"/>
  <c r="AB663" i="9"/>
  <c r="Q34" i="6" l="1"/>
  <c r="P37" i="6"/>
  <c r="A38" i="6"/>
  <c r="B38" i="6"/>
  <c r="M38" i="6"/>
  <c r="P38" i="6"/>
  <c r="Q38" i="6"/>
  <c r="AA38" i="6"/>
  <c r="A37" i="6"/>
  <c r="B37" i="6"/>
  <c r="M37" i="6"/>
  <c r="Q37" i="6"/>
  <c r="AA37" i="6"/>
  <c r="A36" i="6"/>
  <c r="B36" i="6"/>
  <c r="M36" i="6"/>
  <c r="P36" i="6"/>
  <c r="Q36" i="6"/>
  <c r="AA36" i="6"/>
  <c r="AB635" i="8" l="1"/>
  <c r="R635" i="8"/>
  <c r="Q635" i="8"/>
  <c r="N635" i="8"/>
  <c r="B635" i="8"/>
  <c r="M2" i="17" l="1"/>
  <c r="M3" i="17"/>
  <c r="M4" i="17"/>
  <c r="M5" i="17"/>
  <c r="M6" i="17"/>
  <c r="M7" i="17"/>
  <c r="M8" i="17"/>
  <c r="M9" i="17"/>
  <c r="M10" i="17"/>
  <c r="M11" i="17"/>
  <c r="M12" i="17"/>
  <c r="M13" i="17"/>
  <c r="M14" i="17"/>
  <c r="M15" i="17"/>
  <c r="M16" i="17"/>
  <c r="M17" i="17"/>
  <c r="M18" i="17"/>
  <c r="M19" i="17"/>
  <c r="M20" i="17"/>
  <c r="M21" i="17"/>
  <c r="M22" i="17"/>
  <c r="M23" i="17"/>
  <c r="M24" i="17"/>
  <c r="M25" i="17"/>
  <c r="M26" i="17"/>
  <c r="M27" i="17"/>
  <c r="M28" i="17"/>
  <c r="M29" i="17"/>
  <c r="M30" i="17"/>
  <c r="M31" i="17"/>
  <c r="M32" i="17"/>
  <c r="M33" i="17"/>
  <c r="M34" i="17"/>
  <c r="M35" i="17"/>
  <c r="M36" i="17"/>
  <c r="M37" i="17"/>
  <c r="M38" i="17"/>
  <c r="M39" i="17"/>
  <c r="M40" i="17"/>
  <c r="M41" i="17"/>
  <c r="M42" i="17"/>
  <c r="M43" i="17"/>
  <c r="M44" i="17"/>
  <c r="M45" i="17"/>
  <c r="M46" i="17"/>
  <c r="M47" i="17"/>
  <c r="M48" i="17"/>
  <c r="M49" i="17"/>
  <c r="M50" i="17"/>
  <c r="M51" i="17"/>
  <c r="M52" i="17"/>
  <c r="M53" i="17"/>
  <c r="M54" i="17"/>
  <c r="M55" i="17"/>
  <c r="M56" i="17"/>
  <c r="M57" i="17"/>
  <c r="M58" i="17"/>
  <c r="M59" i="17"/>
  <c r="M60" i="17"/>
  <c r="M61" i="17"/>
  <c r="M62" i="17"/>
  <c r="M63" i="17"/>
  <c r="M64" i="17"/>
  <c r="M65" i="17"/>
  <c r="M66" i="17"/>
  <c r="M67" i="17"/>
  <c r="M68" i="17"/>
  <c r="M69" i="17"/>
  <c r="M70" i="17"/>
  <c r="M71" i="17"/>
  <c r="M72" i="17"/>
  <c r="M73" i="17"/>
  <c r="M74" i="17"/>
  <c r="M75" i="17"/>
  <c r="M76" i="17"/>
  <c r="M77" i="17"/>
  <c r="M78" i="17"/>
  <c r="M79" i="17"/>
  <c r="M80" i="17"/>
  <c r="M81" i="17"/>
  <c r="M82" i="17"/>
  <c r="M83" i="17"/>
  <c r="M84" i="17"/>
  <c r="M85" i="17"/>
  <c r="M86" i="17"/>
  <c r="M87" i="17"/>
  <c r="M88" i="17"/>
  <c r="M89" i="17"/>
  <c r="M90" i="17"/>
  <c r="M91" i="17"/>
  <c r="M92" i="17"/>
  <c r="M93" i="17"/>
  <c r="M94" i="17"/>
  <c r="M95" i="17"/>
  <c r="M96" i="17"/>
  <c r="M97" i="17"/>
  <c r="M98" i="17"/>
  <c r="M99" i="17"/>
  <c r="M100" i="17"/>
  <c r="M101" i="17"/>
  <c r="M102" i="17"/>
  <c r="M103" i="17"/>
  <c r="M104" i="17"/>
  <c r="M105" i="17"/>
  <c r="M106" i="17"/>
  <c r="M107" i="17"/>
  <c r="M108" i="17"/>
  <c r="M109" i="17"/>
  <c r="M110" i="17"/>
  <c r="M111" i="17"/>
  <c r="M112" i="17"/>
  <c r="M113" i="17"/>
  <c r="M114" i="17"/>
  <c r="M115" i="17"/>
  <c r="M116" i="17"/>
  <c r="M117" i="17"/>
  <c r="M118" i="17"/>
  <c r="M119" i="17"/>
  <c r="M120" i="17"/>
  <c r="M121" i="17"/>
  <c r="M122" i="17"/>
  <c r="M123" i="17"/>
  <c r="M124" i="17"/>
  <c r="M125" i="17"/>
  <c r="M126" i="17"/>
  <c r="M127" i="17"/>
  <c r="M128" i="17"/>
  <c r="M129" i="17"/>
  <c r="M130" i="17"/>
  <c r="M131" i="17"/>
  <c r="M132" i="17"/>
  <c r="M133" i="17"/>
  <c r="M134" i="17"/>
  <c r="M135" i="17"/>
  <c r="M136" i="17"/>
  <c r="M137" i="17"/>
  <c r="M138" i="17"/>
  <c r="M139" i="17"/>
  <c r="M140" i="17"/>
  <c r="M141" i="17"/>
  <c r="M142" i="17"/>
  <c r="M143" i="17"/>
  <c r="M144" i="17"/>
  <c r="M145" i="17"/>
  <c r="M146" i="17"/>
  <c r="M147" i="17"/>
  <c r="M148" i="17"/>
  <c r="M149" i="17"/>
  <c r="M150" i="17"/>
  <c r="M151" i="17"/>
  <c r="M152" i="17"/>
  <c r="M153" i="17"/>
  <c r="M154" i="17"/>
  <c r="M155" i="17"/>
  <c r="M156" i="17"/>
  <c r="M157" i="17"/>
  <c r="M158" i="17"/>
  <c r="M159" i="17"/>
  <c r="M160" i="17"/>
  <c r="M161" i="17"/>
  <c r="M162" i="17"/>
  <c r="M163" i="17"/>
  <c r="M164" i="17"/>
  <c r="M165" i="17"/>
  <c r="M166" i="17"/>
  <c r="M167" i="17"/>
  <c r="M168" i="17"/>
  <c r="M169" i="17"/>
  <c r="M170" i="17"/>
  <c r="M171" i="17"/>
  <c r="M172" i="17"/>
  <c r="M173" i="17"/>
  <c r="M174" i="17"/>
  <c r="M175" i="17"/>
  <c r="M176" i="17"/>
  <c r="M177" i="17"/>
  <c r="M178" i="17"/>
  <c r="M179" i="17"/>
  <c r="M180" i="17"/>
  <c r="M181" i="17"/>
  <c r="M182" i="17"/>
  <c r="M183" i="17"/>
  <c r="M184" i="17"/>
  <c r="M185" i="17"/>
  <c r="M186" i="17"/>
  <c r="M187" i="17"/>
  <c r="M188" i="17"/>
  <c r="M189" i="17"/>
  <c r="M190" i="17"/>
  <c r="M191" i="17"/>
  <c r="M192" i="17"/>
  <c r="M193" i="17"/>
  <c r="M195" i="17"/>
  <c r="M196" i="17"/>
  <c r="M197" i="17"/>
  <c r="M198" i="17"/>
  <c r="M199" i="17"/>
  <c r="B199" i="17"/>
  <c r="P199" i="17"/>
  <c r="Q199" i="17"/>
  <c r="X199" i="17"/>
  <c r="AA199" i="17"/>
  <c r="B198" i="17"/>
  <c r="P198" i="17"/>
  <c r="Q198" i="17"/>
  <c r="X198" i="17"/>
  <c r="AA198" i="17"/>
  <c r="B197" i="17"/>
  <c r="P197" i="17"/>
  <c r="Q197" i="17"/>
  <c r="X197" i="17"/>
  <c r="AA197" i="17"/>
  <c r="B196" i="17"/>
  <c r="P196" i="17"/>
  <c r="Q196" i="17"/>
  <c r="X196" i="17"/>
  <c r="AA196" i="17"/>
  <c r="AB634" i="8"/>
  <c r="R634" i="8"/>
  <c r="Q634" i="8"/>
  <c r="N634" i="8"/>
  <c r="B634" i="8"/>
  <c r="B662" i="9" l="1"/>
  <c r="N662" i="9"/>
  <c r="Q662" i="9"/>
  <c r="R662" i="9"/>
  <c r="AB662" i="9"/>
  <c r="B661" i="9"/>
  <c r="N661" i="9"/>
  <c r="Q661" i="9"/>
  <c r="R661" i="9"/>
  <c r="AB661" i="9"/>
  <c r="B660" i="9"/>
  <c r="N660" i="9"/>
  <c r="Q660" i="9"/>
  <c r="R660" i="9"/>
  <c r="AB660" i="9"/>
  <c r="B633" i="8" l="1"/>
  <c r="N633" i="8"/>
  <c r="Q633" i="8"/>
  <c r="R633" i="8"/>
  <c r="AB633" i="8"/>
  <c r="B632" i="8"/>
  <c r="N632" i="8"/>
  <c r="Q632" i="8"/>
  <c r="R632" i="8"/>
  <c r="AB632" i="8"/>
  <c r="B631" i="8"/>
  <c r="N631" i="8"/>
  <c r="Q631" i="8"/>
  <c r="R631" i="8"/>
  <c r="AB631" i="8"/>
  <c r="B659" i="9"/>
  <c r="N659" i="9"/>
  <c r="Q659" i="9"/>
  <c r="R659" i="9"/>
  <c r="AB659" i="9"/>
  <c r="B658" i="9"/>
  <c r="N658" i="9"/>
  <c r="Q658" i="9"/>
  <c r="R658" i="9"/>
  <c r="AB658" i="9"/>
  <c r="B657" i="9" l="1"/>
  <c r="N657" i="9"/>
  <c r="Q657" i="9"/>
  <c r="R657" i="9"/>
  <c r="AB657" i="9"/>
  <c r="X2" i="21" l="1"/>
  <c r="X3" i="21"/>
  <c r="X4" i="21"/>
  <c r="X5" i="21"/>
  <c r="X6" i="21"/>
  <c r="X7" i="21"/>
  <c r="X8" i="21"/>
  <c r="X9" i="21"/>
  <c r="X10" i="21"/>
  <c r="X11" i="21"/>
  <c r="X12" i="21"/>
  <c r="X13" i="21"/>
  <c r="X14" i="21"/>
  <c r="X15" i="21"/>
  <c r="X16" i="21"/>
  <c r="X17" i="21"/>
  <c r="X18" i="21"/>
  <c r="X19" i="21"/>
  <c r="X20" i="21"/>
  <c r="X21" i="21"/>
  <c r="X22" i="21"/>
  <c r="X23" i="21"/>
  <c r="X24" i="21"/>
  <c r="X25" i="21"/>
  <c r="X26" i="21"/>
  <c r="X27" i="21"/>
  <c r="X28" i="21"/>
  <c r="X29" i="21"/>
  <c r="X30" i="21"/>
  <c r="X31" i="21"/>
  <c r="X32" i="21"/>
  <c r="X33" i="21"/>
  <c r="X34" i="21"/>
  <c r="X35" i="21"/>
  <c r="X36" i="21"/>
  <c r="X37" i="21"/>
  <c r="X38" i="21"/>
  <c r="X39" i="21"/>
  <c r="X40" i="21"/>
  <c r="X41" i="21"/>
  <c r="X42" i="21"/>
  <c r="X43" i="21"/>
  <c r="X44" i="21"/>
  <c r="X45" i="21"/>
  <c r="X46" i="21"/>
  <c r="X47" i="21"/>
  <c r="X48" i="21"/>
  <c r="X49" i="21"/>
  <c r="X50" i="21"/>
  <c r="X51" i="21"/>
  <c r="X52" i="21"/>
  <c r="X53" i="21"/>
  <c r="X54" i="21"/>
  <c r="X55" i="21"/>
  <c r="X56" i="21"/>
  <c r="X57" i="21"/>
  <c r="X58" i="21"/>
  <c r="X59" i="21"/>
  <c r="X60" i="21"/>
  <c r="X61" i="21"/>
  <c r="X62" i="21"/>
  <c r="X63" i="21"/>
  <c r="X64" i="21"/>
  <c r="X65" i="21"/>
  <c r="X66" i="21"/>
  <c r="X67" i="21"/>
  <c r="X68" i="21"/>
  <c r="X69" i="21"/>
  <c r="X70" i="21"/>
  <c r="X71" i="21"/>
  <c r="X72" i="21"/>
  <c r="X73" i="21"/>
  <c r="X74" i="21"/>
  <c r="X75" i="21"/>
  <c r="X76" i="21"/>
  <c r="X77" i="21"/>
  <c r="X78" i="21"/>
  <c r="X79" i="21"/>
  <c r="X80" i="21"/>
  <c r="X81" i="21"/>
  <c r="X82" i="21"/>
  <c r="X83" i="21"/>
  <c r="X84" i="21"/>
  <c r="X85" i="21"/>
  <c r="X86" i="21"/>
  <c r="X87" i="21"/>
  <c r="X88" i="21"/>
  <c r="X89" i="21"/>
  <c r="X90" i="21"/>
  <c r="X91" i="21"/>
  <c r="X92" i="21"/>
  <c r="X93" i="21"/>
  <c r="X94" i="21"/>
  <c r="X95" i="21"/>
  <c r="X96" i="21"/>
  <c r="X97" i="21"/>
  <c r="X98" i="21"/>
  <c r="X99" i="21"/>
  <c r="X100" i="21"/>
  <c r="X101" i="21"/>
  <c r="X102" i="21"/>
  <c r="X103" i="21"/>
  <c r="X104" i="21"/>
  <c r="X105" i="21"/>
  <c r="X106" i="21"/>
  <c r="X107" i="21"/>
  <c r="X108" i="21"/>
  <c r="X109" i="21"/>
  <c r="X110" i="21"/>
  <c r="X111" i="21"/>
  <c r="X112" i="21"/>
  <c r="X113" i="21"/>
  <c r="X114" i="21"/>
  <c r="X115" i="21"/>
  <c r="X116" i="21"/>
  <c r="X117" i="21"/>
  <c r="X118" i="21"/>
  <c r="X119" i="21"/>
  <c r="X120" i="21"/>
  <c r="X121" i="21"/>
  <c r="X122" i="21"/>
  <c r="X123" i="21"/>
  <c r="X124" i="21"/>
  <c r="X125" i="21"/>
  <c r="X126" i="21"/>
  <c r="X127" i="21"/>
  <c r="X128" i="21"/>
  <c r="X129" i="21"/>
  <c r="X130" i="21"/>
  <c r="X131" i="21"/>
  <c r="X132" i="21"/>
  <c r="X133" i="21"/>
  <c r="X134" i="21"/>
  <c r="X135" i="21"/>
  <c r="X136" i="21"/>
  <c r="X137" i="21"/>
  <c r="X138" i="21"/>
  <c r="X139" i="21"/>
  <c r="X140" i="21"/>
  <c r="X141" i="21"/>
  <c r="X142" i="21"/>
  <c r="X143" i="21"/>
  <c r="X144" i="21"/>
  <c r="X145" i="21"/>
  <c r="X146" i="21"/>
  <c r="X147" i="21"/>
  <c r="X148" i="21"/>
  <c r="X149" i="21"/>
  <c r="X150" i="21"/>
  <c r="X151" i="21"/>
  <c r="X152" i="21"/>
  <c r="X153" i="21"/>
  <c r="X154" i="21"/>
  <c r="X155" i="21"/>
  <c r="X156" i="21"/>
  <c r="X157" i="21"/>
  <c r="X158" i="21"/>
  <c r="X159" i="21"/>
  <c r="X160" i="21"/>
  <c r="X161" i="21"/>
  <c r="X162" i="21"/>
  <c r="X163" i="21"/>
  <c r="X164" i="21"/>
  <c r="X165" i="21"/>
  <c r="X166" i="21"/>
  <c r="X167" i="21"/>
  <c r="X168" i="21"/>
  <c r="X169" i="21"/>
  <c r="X170" i="21"/>
  <c r="X171" i="21"/>
  <c r="X172" i="21"/>
  <c r="X173" i="21"/>
  <c r="X174" i="21"/>
  <c r="X175" i="21"/>
  <c r="X176" i="21"/>
  <c r="X177" i="21"/>
  <c r="X178" i="21"/>
  <c r="X179" i="21"/>
  <c r="X180" i="21"/>
  <c r="X181" i="21"/>
  <c r="X182" i="21"/>
  <c r="X183" i="21"/>
  <c r="X184" i="21"/>
  <c r="X185" i="21"/>
  <c r="X186" i="21"/>
  <c r="X187" i="21"/>
  <c r="X188" i="21"/>
  <c r="X189" i="21"/>
  <c r="X190" i="21"/>
  <c r="X191" i="21"/>
  <c r="X192" i="21"/>
  <c r="X193" i="21"/>
  <c r="X194" i="21"/>
  <c r="X195" i="21"/>
  <c r="X196" i="21"/>
  <c r="X197" i="21"/>
  <c r="X198" i="21"/>
  <c r="X199" i="21"/>
  <c r="X200" i="21"/>
  <c r="X201" i="21"/>
  <c r="X202" i="21"/>
  <c r="X203" i="21"/>
  <c r="X204" i="21"/>
  <c r="X205" i="21"/>
  <c r="X206" i="21"/>
  <c r="X207" i="21"/>
  <c r="X208" i="21"/>
  <c r="X209" i="21"/>
  <c r="X210" i="21"/>
  <c r="X211" i="21"/>
  <c r="X212" i="21"/>
  <c r="X213" i="21"/>
  <c r="X214" i="21"/>
  <c r="X215" i="21"/>
  <c r="X216" i="21"/>
  <c r="X217" i="21"/>
  <c r="X218" i="21"/>
  <c r="X219" i="21"/>
  <c r="X220" i="21"/>
  <c r="X221" i="21"/>
  <c r="X222" i="21"/>
  <c r="X223" i="21"/>
  <c r="X224" i="21"/>
  <c r="X225" i="21"/>
  <c r="X226" i="21"/>
  <c r="X227" i="21"/>
  <c r="X228" i="21"/>
  <c r="X229" i="21"/>
  <c r="X230" i="21"/>
  <c r="X231" i="21"/>
  <c r="X232" i="21"/>
  <c r="X233" i="21"/>
  <c r="X234" i="21"/>
  <c r="X235" i="21"/>
  <c r="X236" i="21"/>
  <c r="X237" i="21"/>
  <c r="X238" i="21"/>
  <c r="X239" i="21"/>
  <c r="B231" i="21" l="1"/>
  <c r="B232" i="21"/>
  <c r="B233" i="21"/>
  <c r="B234" i="21"/>
  <c r="B235" i="21"/>
  <c r="B236" i="21"/>
  <c r="B237" i="21"/>
  <c r="B238" i="21"/>
  <c r="B239" i="21"/>
  <c r="M231" i="21"/>
  <c r="M232" i="21"/>
  <c r="M233" i="21"/>
  <c r="M234" i="21"/>
  <c r="M235" i="21"/>
  <c r="M236" i="21"/>
  <c r="M237" i="21"/>
  <c r="M238" i="21"/>
  <c r="M239" i="21"/>
  <c r="P231" i="21"/>
  <c r="P232" i="21"/>
  <c r="P233" i="21"/>
  <c r="P234" i="21"/>
  <c r="P235" i="21"/>
  <c r="P236" i="21"/>
  <c r="P237" i="21"/>
  <c r="P238" i="21"/>
  <c r="P239" i="21"/>
  <c r="Q231" i="21"/>
  <c r="Q232" i="21"/>
  <c r="Q233" i="21"/>
  <c r="Q234" i="21"/>
  <c r="Q235" i="21"/>
  <c r="Q236" i="21"/>
  <c r="Q237" i="21"/>
  <c r="Q238" i="21"/>
  <c r="Q239" i="21"/>
  <c r="AA231" i="21"/>
  <c r="AA232" i="21"/>
  <c r="AA233" i="21"/>
  <c r="AA234" i="21"/>
  <c r="AA235" i="21"/>
  <c r="AA236" i="21"/>
  <c r="AA237" i="21"/>
  <c r="AA238" i="21"/>
  <c r="AA239" i="21"/>
  <c r="B387" i="23" l="1"/>
  <c r="M387" i="23"/>
  <c r="P387" i="23"/>
  <c r="Q387" i="23"/>
  <c r="AA387" i="23"/>
  <c r="B391" i="23"/>
  <c r="M391" i="23"/>
  <c r="P391" i="23"/>
  <c r="Q391" i="23"/>
  <c r="AA391" i="23"/>
  <c r="B390" i="23"/>
  <c r="M390" i="23"/>
  <c r="P390" i="23"/>
  <c r="Q390" i="23"/>
  <c r="AA390" i="23"/>
  <c r="B389" i="23"/>
  <c r="M389" i="23"/>
  <c r="P389" i="23"/>
  <c r="Q389" i="23"/>
  <c r="AA389" i="23"/>
  <c r="B388" i="23"/>
  <c r="M388" i="23"/>
  <c r="P388" i="23"/>
  <c r="Q388" i="23"/>
  <c r="AA388" i="23"/>
  <c r="B386" i="23"/>
  <c r="M386" i="23"/>
  <c r="P386" i="23"/>
  <c r="Q386" i="23"/>
  <c r="AA386" i="23"/>
  <c r="B385" i="23"/>
  <c r="M385" i="23"/>
  <c r="P385" i="23"/>
  <c r="Q385" i="23"/>
  <c r="AA385" i="23"/>
  <c r="B384" i="23"/>
  <c r="M384" i="23"/>
  <c r="P384" i="23"/>
  <c r="Q384" i="23"/>
  <c r="AA384" i="23"/>
  <c r="B383" i="23"/>
  <c r="M383" i="23"/>
  <c r="P383" i="23"/>
  <c r="Q383" i="23"/>
  <c r="AA383" i="23"/>
  <c r="B382" i="23"/>
  <c r="M382" i="23"/>
  <c r="P382" i="23"/>
  <c r="Q382" i="23"/>
  <c r="AA382" i="23"/>
  <c r="B380" i="23"/>
  <c r="M380" i="23"/>
  <c r="P380" i="23"/>
  <c r="Q380" i="23"/>
  <c r="AA380" i="23"/>
  <c r="B381" i="23"/>
  <c r="M381" i="23"/>
  <c r="P381" i="23"/>
  <c r="Q381" i="23"/>
  <c r="AA381" i="23"/>
  <c r="B379" i="23"/>
  <c r="M379" i="23"/>
  <c r="P379" i="23"/>
  <c r="Q379" i="23"/>
  <c r="AA379" i="23"/>
  <c r="B3" i="23"/>
  <c r="B4" i="23"/>
  <c r="B5" i="23"/>
  <c r="B6" i="23"/>
  <c r="B7" i="23"/>
  <c r="B8" i="23"/>
  <c r="B9" i="23"/>
  <c r="B10" i="23"/>
  <c r="B11" i="23"/>
  <c r="B12" i="23"/>
  <c r="B13" i="23"/>
  <c r="B14" i="23"/>
  <c r="B15" i="23"/>
  <c r="B16" i="23"/>
  <c r="B17" i="23"/>
  <c r="B18" i="23"/>
  <c r="B19" i="23"/>
  <c r="B20" i="23"/>
  <c r="B21" i="23"/>
  <c r="B22" i="23"/>
  <c r="B23" i="23"/>
  <c r="B24" i="23"/>
  <c r="B25" i="23"/>
  <c r="B26" i="23"/>
  <c r="B27" i="23"/>
  <c r="B28" i="23"/>
  <c r="B29" i="23"/>
  <c r="B30" i="23"/>
  <c r="B31" i="23"/>
  <c r="B32" i="23"/>
  <c r="B33" i="23"/>
  <c r="B34" i="23"/>
  <c r="B35" i="23"/>
  <c r="B36" i="23"/>
  <c r="B37" i="23"/>
  <c r="B38" i="23"/>
  <c r="B39" i="23"/>
  <c r="B40" i="23"/>
  <c r="B41" i="23"/>
  <c r="B42" i="23"/>
  <c r="B43" i="23"/>
  <c r="B44" i="23"/>
  <c r="B45" i="23"/>
  <c r="B46" i="23"/>
  <c r="B47" i="23"/>
  <c r="B48" i="23"/>
  <c r="B49" i="23"/>
  <c r="B50" i="23"/>
  <c r="B51" i="23"/>
  <c r="B52" i="23"/>
  <c r="B53" i="23"/>
  <c r="B54" i="23"/>
  <c r="B55" i="23"/>
  <c r="B56" i="23"/>
  <c r="B57" i="23"/>
  <c r="B58" i="23"/>
  <c r="B59" i="23"/>
  <c r="B60" i="23"/>
  <c r="B61" i="23"/>
  <c r="B62" i="23"/>
  <c r="B63" i="23"/>
  <c r="B64" i="23"/>
  <c r="B65" i="23"/>
  <c r="B66" i="23"/>
  <c r="B67" i="23"/>
  <c r="B68" i="23"/>
  <c r="B69" i="23"/>
  <c r="B70" i="23"/>
  <c r="B71" i="23"/>
  <c r="B72" i="23"/>
  <c r="B73" i="23"/>
  <c r="B74" i="23"/>
  <c r="B75" i="23"/>
  <c r="B76" i="23"/>
  <c r="B77" i="23"/>
  <c r="B78" i="23"/>
  <c r="B79" i="23"/>
  <c r="B80" i="23"/>
  <c r="B81" i="23"/>
  <c r="B82" i="23"/>
  <c r="B83" i="23"/>
  <c r="B84" i="23"/>
  <c r="B85" i="23"/>
  <c r="B86" i="23"/>
  <c r="B87" i="23"/>
  <c r="B88" i="23"/>
  <c r="B89" i="23"/>
  <c r="B90" i="23"/>
  <c r="B91" i="23"/>
  <c r="B92" i="23"/>
  <c r="B93" i="23"/>
  <c r="B94" i="23"/>
  <c r="B95" i="23"/>
  <c r="B96" i="23"/>
  <c r="B97" i="23"/>
  <c r="B98" i="23"/>
  <c r="B99" i="23"/>
  <c r="B100" i="23"/>
  <c r="B101" i="23"/>
  <c r="B102" i="23"/>
  <c r="B103" i="23"/>
  <c r="B104" i="23"/>
  <c r="B105" i="23"/>
  <c r="B106" i="23"/>
  <c r="B107" i="23"/>
  <c r="B108" i="23"/>
  <c r="B109" i="23"/>
  <c r="B110" i="23"/>
  <c r="B111" i="23"/>
  <c r="B112" i="23"/>
  <c r="B113" i="23"/>
  <c r="B114" i="23"/>
  <c r="B115" i="23"/>
  <c r="B116" i="23"/>
  <c r="B117" i="23"/>
  <c r="B118" i="23"/>
  <c r="B119" i="23"/>
  <c r="B120" i="23"/>
  <c r="B121" i="23"/>
  <c r="B122" i="23"/>
  <c r="B123" i="23"/>
  <c r="B124" i="23"/>
  <c r="B125" i="23"/>
  <c r="B126" i="23"/>
  <c r="B127" i="23"/>
  <c r="B128" i="23"/>
  <c r="B129" i="23"/>
  <c r="B130" i="23"/>
  <c r="B131" i="23"/>
  <c r="B132" i="23"/>
  <c r="B133" i="23"/>
  <c r="B134" i="23"/>
  <c r="B135" i="23"/>
  <c r="B136" i="23"/>
  <c r="B137" i="23"/>
  <c r="B138" i="23"/>
  <c r="B139" i="23"/>
  <c r="B140" i="23"/>
  <c r="B141" i="23"/>
  <c r="B142" i="23"/>
  <c r="B143" i="23"/>
  <c r="B144" i="23"/>
  <c r="B145" i="23"/>
  <c r="B146" i="23"/>
  <c r="B147" i="23"/>
  <c r="B148" i="23"/>
  <c r="B149" i="23"/>
  <c r="B150" i="23"/>
  <c r="B151" i="23"/>
  <c r="B152" i="23"/>
  <c r="B153" i="23"/>
  <c r="B154" i="23"/>
  <c r="B155" i="23"/>
  <c r="B156" i="23"/>
  <c r="B157" i="23"/>
  <c r="B158" i="23"/>
  <c r="B159" i="23"/>
  <c r="B160" i="23"/>
  <c r="B161" i="23"/>
  <c r="B162" i="23"/>
  <c r="B163" i="23"/>
  <c r="B164" i="23"/>
  <c r="B165" i="23"/>
  <c r="B166" i="23"/>
  <c r="B167" i="23"/>
  <c r="B168" i="23"/>
  <c r="B169" i="23"/>
  <c r="B170" i="23"/>
  <c r="B171" i="23"/>
  <c r="B172" i="23"/>
  <c r="B173" i="23"/>
  <c r="B174" i="23"/>
  <c r="B175" i="23"/>
  <c r="B176" i="23"/>
  <c r="B177" i="23"/>
  <c r="B178" i="23"/>
  <c r="B179" i="23"/>
  <c r="B180" i="23"/>
  <c r="B181" i="23"/>
  <c r="B182" i="23"/>
  <c r="B183" i="23"/>
  <c r="B184" i="23"/>
  <c r="B185" i="23"/>
  <c r="B186" i="23"/>
  <c r="B187" i="23"/>
  <c r="B188" i="23"/>
  <c r="B189" i="23"/>
  <c r="B190" i="23"/>
  <c r="B191" i="23"/>
  <c r="B192" i="23"/>
  <c r="B193" i="23"/>
  <c r="B194" i="23"/>
  <c r="B195" i="23"/>
  <c r="B196" i="23"/>
  <c r="B197" i="23"/>
  <c r="B198" i="23"/>
  <c r="B199" i="23"/>
  <c r="B200" i="23"/>
  <c r="B201" i="23"/>
  <c r="B202" i="23"/>
  <c r="B203" i="23"/>
  <c r="B204" i="23"/>
  <c r="B205" i="23"/>
  <c r="B206" i="23"/>
  <c r="B207" i="23"/>
  <c r="B208" i="23"/>
  <c r="B209" i="23"/>
  <c r="B210" i="23"/>
  <c r="B211" i="23"/>
  <c r="B212" i="23"/>
  <c r="B213" i="23"/>
  <c r="B214" i="23"/>
  <c r="B215" i="23"/>
  <c r="B216" i="23"/>
  <c r="B217" i="23"/>
  <c r="B218" i="23"/>
  <c r="B219" i="23"/>
  <c r="B220" i="23"/>
  <c r="B221" i="23"/>
  <c r="B222" i="23"/>
  <c r="B223" i="23"/>
  <c r="B224" i="23"/>
  <c r="B225" i="23"/>
  <c r="B226" i="23"/>
  <c r="B227" i="23"/>
  <c r="B228" i="23"/>
  <c r="B229" i="23"/>
  <c r="B230" i="23"/>
  <c r="B231" i="23"/>
  <c r="B232" i="23"/>
  <c r="B233" i="23"/>
  <c r="B234" i="23"/>
  <c r="B235" i="23"/>
  <c r="B236" i="23"/>
  <c r="B237" i="23"/>
  <c r="B238" i="23"/>
  <c r="B239" i="23"/>
  <c r="B240" i="23"/>
  <c r="B241" i="23"/>
  <c r="B242" i="23"/>
  <c r="B243" i="23"/>
  <c r="B244" i="23"/>
  <c r="B245" i="23"/>
  <c r="B246" i="23"/>
  <c r="B247" i="23"/>
  <c r="B248" i="23"/>
  <c r="B249" i="23"/>
  <c r="B250" i="23"/>
  <c r="B251" i="23"/>
  <c r="B252" i="23"/>
  <c r="B253" i="23"/>
  <c r="B254" i="23"/>
  <c r="B255" i="23"/>
  <c r="B256" i="23"/>
  <c r="B257" i="23"/>
  <c r="B258" i="23"/>
  <c r="B259" i="23"/>
  <c r="B260" i="23"/>
  <c r="B261" i="23"/>
  <c r="B262" i="23"/>
  <c r="B263" i="23"/>
  <c r="B264" i="23"/>
  <c r="B265" i="23"/>
  <c r="B266" i="23"/>
  <c r="B267" i="23"/>
  <c r="B268" i="23"/>
  <c r="B269" i="23"/>
  <c r="B270" i="23"/>
  <c r="B271" i="23"/>
  <c r="B272" i="23"/>
  <c r="B273" i="23"/>
  <c r="B274" i="23"/>
  <c r="B275" i="23"/>
  <c r="B276" i="23"/>
  <c r="B277" i="23"/>
  <c r="B278" i="23"/>
  <c r="B279" i="23"/>
  <c r="B280" i="23"/>
  <c r="B281" i="23"/>
  <c r="B282" i="23"/>
  <c r="B283" i="23"/>
  <c r="B284" i="23"/>
  <c r="B285" i="23"/>
  <c r="B286" i="23"/>
  <c r="B287" i="23"/>
  <c r="B288" i="23"/>
  <c r="B289" i="23"/>
  <c r="B290" i="23"/>
  <c r="B291" i="23"/>
  <c r="B292" i="23"/>
  <c r="B293" i="23"/>
  <c r="B294" i="23"/>
  <c r="B295" i="23"/>
  <c r="B296" i="23"/>
  <c r="B297" i="23"/>
  <c r="B298" i="23"/>
  <c r="B299" i="23"/>
  <c r="B300" i="23"/>
  <c r="B301" i="23"/>
  <c r="B302" i="23"/>
  <c r="B303" i="23"/>
  <c r="B304" i="23"/>
  <c r="B305" i="23"/>
  <c r="B306" i="23"/>
  <c r="B307" i="23"/>
  <c r="B308" i="23"/>
  <c r="B309" i="23"/>
  <c r="B310" i="23"/>
  <c r="B311" i="23"/>
  <c r="B312" i="23"/>
  <c r="B313" i="23"/>
  <c r="B314" i="23"/>
  <c r="B315" i="23"/>
  <c r="B316" i="23"/>
  <c r="B317" i="23"/>
  <c r="B318" i="23"/>
  <c r="B319" i="23"/>
  <c r="B320" i="23"/>
  <c r="B321" i="23"/>
  <c r="B322" i="23"/>
  <c r="B323" i="23"/>
  <c r="B324" i="23"/>
  <c r="B325" i="23"/>
  <c r="B326" i="23"/>
  <c r="B327" i="23"/>
  <c r="B328" i="23"/>
  <c r="B329" i="23"/>
  <c r="B330" i="23"/>
  <c r="B331" i="23"/>
  <c r="B332" i="23"/>
  <c r="B333" i="23"/>
  <c r="B334" i="23"/>
  <c r="B335" i="23"/>
  <c r="B336" i="23"/>
  <c r="B337" i="23"/>
  <c r="B338" i="23"/>
  <c r="B339" i="23"/>
  <c r="B340" i="23"/>
  <c r="B341" i="23"/>
  <c r="B342" i="23"/>
  <c r="B343" i="23"/>
  <c r="B344" i="23"/>
  <c r="B345" i="23"/>
  <c r="B346" i="23"/>
  <c r="B347" i="23"/>
  <c r="B348" i="23"/>
  <c r="B349" i="23"/>
  <c r="B350" i="23"/>
  <c r="B351" i="23"/>
  <c r="B352" i="23"/>
  <c r="B353" i="23"/>
  <c r="B354" i="23"/>
  <c r="B355" i="23"/>
  <c r="B356" i="23"/>
  <c r="B357" i="23"/>
  <c r="B358" i="23"/>
  <c r="B359" i="23"/>
  <c r="B360" i="23"/>
  <c r="B361" i="23"/>
  <c r="B362" i="23"/>
  <c r="B363" i="23"/>
  <c r="B364" i="23"/>
  <c r="B365" i="23"/>
  <c r="B366" i="23"/>
  <c r="B367" i="23"/>
  <c r="B368" i="23"/>
  <c r="B369" i="23"/>
  <c r="B370" i="23"/>
  <c r="B371" i="23"/>
  <c r="B372" i="23"/>
  <c r="B373" i="23"/>
  <c r="B374" i="23"/>
  <c r="B375" i="23"/>
  <c r="B376" i="23"/>
  <c r="B377" i="23"/>
  <c r="B378" i="23"/>
  <c r="M3" i="23"/>
  <c r="M4" i="23"/>
  <c r="M5" i="23"/>
  <c r="M6" i="23"/>
  <c r="M7" i="23"/>
  <c r="M8" i="23"/>
  <c r="M9" i="23"/>
  <c r="M10" i="23"/>
  <c r="M11" i="23"/>
  <c r="M12" i="23"/>
  <c r="M13" i="23"/>
  <c r="M14" i="23"/>
  <c r="M15" i="23"/>
  <c r="M16" i="23"/>
  <c r="M17" i="23"/>
  <c r="M18" i="23"/>
  <c r="M19" i="23"/>
  <c r="M20" i="23"/>
  <c r="M21" i="23"/>
  <c r="M22" i="23"/>
  <c r="M23" i="23"/>
  <c r="M24" i="23"/>
  <c r="M25" i="23"/>
  <c r="M26" i="23"/>
  <c r="M27" i="23"/>
  <c r="M28" i="23"/>
  <c r="M29" i="23"/>
  <c r="M30" i="23"/>
  <c r="M31" i="23"/>
  <c r="M32" i="23"/>
  <c r="M33" i="23"/>
  <c r="M34" i="23"/>
  <c r="M35" i="23"/>
  <c r="M36" i="23"/>
  <c r="M37" i="23"/>
  <c r="M38" i="23"/>
  <c r="M39" i="23"/>
  <c r="M40" i="23"/>
  <c r="M41" i="23"/>
  <c r="M42" i="23"/>
  <c r="M43" i="23"/>
  <c r="M44" i="23"/>
  <c r="M45" i="23"/>
  <c r="M46" i="23"/>
  <c r="M47" i="23"/>
  <c r="M48" i="23"/>
  <c r="M49" i="23"/>
  <c r="M50" i="23"/>
  <c r="M51" i="23"/>
  <c r="M52" i="23"/>
  <c r="M53" i="23"/>
  <c r="M54" i="23"/>
  <c r="M55" i="23"/>
  <c r="M56" i="23"/>
  <c r="M57" i="23"/>
  <c r="M58" i="23"/>
  <c r="M59" i="23"/>
  <c r="M60" i="23"/>
  <c r="M61" i="23"/>
  <c r="M62" i="23"/>
  <c r="M63" i="23"/>
  <c r="M64" i="23"/>
  <c r="M65" i="23"/>
  <c r="M66" i="23"/>
  <c r="M67" i="23"/>
  <c r="M68" i="23"/>
  <c r="M69" i="23"/>
  <c r="M70" i="23"/>
  <c r="M71" i="23"/>
  <c r="M72" i="23"/>
  <c r="M73" i="23"/>
  <c r="M74" i="23"/>
  <c r="M75" i="23"/>
  <c r="M76" i="23"/>
  <c r="M77" i="23"/>
  <c r="M78" i="23"/>
  <c r="M79" i="23"/>
  <c r="M80" i="23"/>
  <c r="M81" i="23"/>
  <c r="M82" i="23"/>
  <c r="M83" i="23"/>
  <c r="M84" i="23"/>
  <c r="M85" i="23"/>
  <c r="M86" i="23"/>
  <c r="M87" i="23"/>
  <c r="M88" i="23"/>
  <c r="M89" i="23"/>
  <c r="M90" i="23"/>
  <c r="M91" i="23"/>
  <c r="M92" i="23"/>
  <c r="M93" i="23"/>
  <c r="M94" i="23"/>
  <c r="M95" i="23"/>
  <c r="M96" i="23"/>
  <c r="M97" i="23"/>
  <c r="M98" i="23"/>
  <c r="M99" i="23"/>
  <c r="M100" i="23"/>
  <c r="M101" i="23"/>
  <c r="M102" i="23"/>
  <c r="M103" i="23"/>
  <c r="M104" i="23"/>
  <c r="M105" i="23"/>
  <c r="M106" i="23"/>
  <c r="M107" i="23"/>
  <c r="M108" i="23"/>
  <c r="M109" i="23"/>
  <c r="M110" i="23"/>
  <c r="M111" i="23"/>
  <c r="M112" i="23"/>
  <c r="M113" i="23"/>
  <c r="M114" i="23"/>
  <c r="M115" i="23"/>
  <c r="M116" i="23"/>
  <c r="M117" i="23"/>
  <c r="M118" i="23"/>
  <c r="M119" i="23"/>
  <c r="M120" i="23"/>
  <c r="M121" i="23"/>
  <c r="M122" i="23"/>
  <c r="M123" i="23"/>
  <c r="M124" i="23"/>
  <c r="M125" i="23"/>
  <c r="M126" i="23"/>
  <c r="M127" i="23"/>
  <c r="M128" i="23"/>
  <c r="M129" i="23"/>
  <c r="M130" i="23"/>
  <c r="M131" i="23"/>
  <c r="M132" i="23"/>
  <c r="M133" i="23"/>
  <c r="M134" i="23"/>
  <c r="M135" i="23"/>
  <c r="M136" i="23"/>
  <c r="M137" i="23"/>
  <c r="M138" i="23"/>
  <c r="M139" i="23"/>
  <c r="M140" i="23"/>
  <c r="M141" i="23"/>
  <c r="M142" i="23"/>
  <c r="M143" i="23"/>
  <c r="M144" i="23"/>
  <c r="M145" i="23"/>
  <c r="M146" i="23"/>
  <c r="M147" i="23"/>
  <c r="M148" i="23"/>
  <c r="M149" i="23"/>
  <c r="M150" i="23"/>
  <c r="M151" i="23"/>
  <c r="M152" i="23"/>
  <c r="M153" i="23"/>
  <c r="M154" i="23"/>
  <c r="M155" i="23"/>
  <c r="M156" i="23"/>
  <c r="M157" i="23"/>
  <c r="M158" i="23"/>
  <c r="M159" i="23"/>
  <c r="M160" i="23"/>
  <c r="M161" i="23"/>
  <c r="M162" i="23"/>
  <c r="M163" i="23"/>
  <c r="M164" i="23"/>
  <c r="M165" i="23"/>
  <c r="M166" i="23"/>
  <c r="M167" i="23"/>
  <c r="M168" i="23"/>
  <c r="M169" i="23"/>
  <c r="M170" i="23"/>
  <c r="M171" i="23"/>
  <c r="M172" i="23"/>
  <c r="M173" i="23"/>
  <c r="M174" i="23"/>
  <c r="M175" i="23"/>
  <c r="M176" i="23"/>
  <c r="M177" i="23"/>
  <c r="M178" i="23"/>
  <c r="M179" i="23"/>
  <c r="M180" i="23"/>
  <c r="M181" i="23"/>
  <c r="M182" i="23"/>
  <c r="M183" i="23"/>
  <c r="M184" i="23"/>
  <c r="M185" i="23"/>
  <c r="M186" i="23"/>
  <c r="M187" i="23"/>
  <c r="M188" i="23"/>
  <c r="M189" i="23"/>
  <c r="M190" i="23"/>
  <c r="M191" i="23"/>
  <c r="M192" i="23"/>
  <c r="M193" i="23"/>
  <c r="M194" i="23"/>
  <c r="M195" i="23"/>
  <c r="M196" i="23"/>
  <c r="M197" i="23"/>
  <c r="M198" i="23"/>
  <c r="M199" i="23"/>
  <c r="M200" i="23"/>
  <c r="M201" i="23"/>
  <c r="M202" i="23"/>
  <c r="M203" i="23"/>
  <c r="M204" i="23"/>
  <c r="M205" i="23"/>
  <c r="M206" i="23"/>
  <c r="M207" i="23"/>
  <c r="M208" i="23"/>
  <c r="M209" i="23"/>
  <c r="M210" i="23"/>
  <c r="M211" i="23"/>
  <c r="M212" i="23"/>
  <c r="M213" i="23"/>
  <c r="M214" i="23"/>
  <c r="M215" i="23"/>
  <c r="M216" i="23"/>
  <c r="M217" i="23"/>
  <c r="M218" i="23"/>
  <c r="M219" i="23"/>
  <c r="M220" i="23"/>
  <c r="M221" i="23"/>
  <c r="M222" i="23"/>
  <c r="M223" i="23"/>
  <c r="M224" i="23"/>
  <c r="M225" i="23"/>
  <c r="M226" i="23"/>
  <c r="M227" i="23"/>
  <c r="M228" i="23"/>
  <c r="M229" i="23"/>
  <c r="M230" i="23"/>
  <c r="M231" i="23"/>
  <c r="M232" i="23"/>
  <c r="M233" i="23"/>
  <c r="M234" i="23"/>
  <c r="M235" i="23"/>
  <c r="M236" i="23"/>
  <c r="M237" i="23"/>
  <c r="M238" i="23"/>
  <c r="M239" i="23"/>
  <c r="M240" i="23"/>
  <c r="M241" i="23"/>
  <c r="M242" i="23"/>
  <c r="M243" i="23"/>
  <c r="M244" i="23"/>
  <c r="M245" i="23"/>
  <c r="M246" i="23"/>
  <c r="M247" i="23"/>
  <c r="M248" i="23"/>
  <c r="M249" i="23"/>
  <c r="M250" i="23"/>
  <c r="M251" i="23"/>
  <c r="M252" i="23"/>
  <c r="M253" i="23"/>
  <c r="M254" i="23"/>
  <c r="M255" i="23"/>
  <c r="M256" i="23"/>
  <c r="M257" i="23"/>
  <c r="M258" i="23"/>
  <c r="M259" i="23"/>
  <c r="M260" i="23"/>
  <c r="M261" i="23"/>
  <c r="M262" i="23"/>
  <c r="M263" i="23"/>
  <c r="M264" i="23"/>
  <c r="M265" i="23"/>
  <c r="M266" i="23"/>
  <c r="M267" i="23"/>
  <c r="M268" i="23"/>
  <c r="M269" i="23"/>
  <c r="M270" i="23"/>
  <c r="M271" i="23"/>
  <c r="M272" i="23"/>
  <c r="M273" i="23"/>
  <c r="M274" i="23"/>
  <c r="M275" i="23"/>
  <c r="M276" i="23"/>
  <c r="M277" i="23"/>
  <c r="M278" i="23"/>
  <c r="M279" i="23"/>
  <c r="M280" i="23"/>
  <c r="M281" i="23"/>
  <c r="M282" i="23"/>
  <c r="M283" i="23"/>
  <c r="M284" i="23"/>
  <c r="M285" i="23"/>
  <c r="M286" i="23"/>
  <c r="M287" i="23"/>
  <c r="M288" i="23"/>
  <c r="M289" i="23"/>
  <c r="M290" i="23"/>
  <c r="M291" i="23"/>
  <c r="M292" i="23"/>
  <c r="M293" i="23"/>
  <c r="M294" i="23"/>
  <c r="M295" i="23"/>
  <c r="M296" i="23"/>
  <c r="M297" i="23"/>
  <c r="M298" i="23"/>
  <c r="M299" i="23"/>
  <c r="M300" i="23"/>
  <c r="M301" i="23"/>
  <c r="M302" i="23"/>
  <c r="M303" i="23"/>
  <c r="M304" i="23"/>
  <c r="M305" i="23"/>
  <c r="M306" i="23"/>
  <c r="M307" i="23"/>
  <c r="M308" i="23"/>
  <c r="M309" i="23"/>
  <c r="M310" i="23"/>
  <c r="M311" i="23"/>
  <c r="M312" i="23"/>
  <c r="M313" i="23"/>
  <c r="M314" i="23"/>
  <c r="M315" i="23"/>
  <c r="M316" i="23"/>
  <c r="M317" i="23"/>
  <c r="M318" i="23"/>
  <c r="M319" i="23"/>
  <c r="M320" i="23"/>
  <c r="M321" i="23"/>
  <c r="M322" i="23"/>
  <c r="M323" i="23"/>
  <c r="M324" i="23"/>
  <c r="M325" i="23"/>
  <c r="M326" i="23"/>
  <c r="M327" i="23"/>
  <c r="M328" i="23"/>
  <c r="M329" i="23"/>
  <c r="M330" i="23"/>
  <c r="M331" i="23"/>
  <c r="M332" i="23"/>
  <c r="M333" i="23"/>
  <c r="M334" i="23"/>
  <c r="M335" i="23"/>
  <c r="M336" i="23"/>
  <c r="M337" i="23"/>
  <c r="M338" i="23"/>
  <c r="M339" i="23"/>
  <c r="M340" i="23"/>
  <c r="M341" i="23"/>
  <c r="M342" i="23"/>
  <c r="M343" i="23"/>
  <c r="M344" i="23"/>
  <c r="M345" i="23"/>
  <c r="M346" i="23"/>
  <c r="M347" i="23"/>
  <c r="M348" i="23"/>
  <c r="M349" i="23"/>
  <c r="M350" i="23"/>
  <c r="M351" i="23"/>
  <c r="M352" i="23"/>
  <c r="M353" i="23"/>
  <c r="M354" i="23"/>
  <c r="M355" i="23"/>
  <c r="M356" i="23"/>
  <c r="M357" i="23"/>
  <c r="M358" i="23"/>
  <c r="M359" i="23"/>
  <c r="M360" i="23"/>
  <c r="M361" i="23"/>
  <c r="M362" i="23"/>
  <c r="M363" i="23"/>
  <c r="M364" i="23"/>
  <c r="M365" i="23"/>
  <c r="M366" i="23"/>
  <c r="M367" i="23"/>
  <c r="M368" i="23"/>
  <c r="M369" i="23"/>
  <c r="M370" i="23"/>
  <c r="M371" i="23"/>
  <c r="M372" i="23"/>
  <c r="M373" i="23"/>
  <c r="M374" i="23"/>
  <c r="M375" i="23"/>
  <c r="M376" i="23"/>
  <c r="M377" i="23"/>
  <c r="M378" i="23"/>
  <c r="P3" i="23"/>
  <c r="P4" i="23"/>
  <c r="P5" i="23"/>
  <c r="P6" i="23"/>
  <c r="P7" i="23"/>
  <c r="P8" i="23"/>
  <c r="P9" i="23"/>
  <c r="P10" i="23"/>
  <c r="P11" i="23"/>
  <c r="P12" i="23"/>
  <c r="P13" i="23"/>
  <c r="P14" i="23"/>
  <c r="P15" i="23"/>
  <c r="P16" i="23"/>
  <c r="P17" i="23"/>
  <c r="P18" i="23"/>
  <c r="P19" i="23"/>
  <c r="P20" i="23"/>
  <c r="P21" i="23"/>
  <c r="P22" i="23"/>
  <c r="P23" i="23"/>
  <c r="P24" i="23"/>
  <c r="P25" i="23"/>
  <c r="P26" i="23"/>
  <c r="P27" i="23"/>
  <c r="P28" i="23"/>
  <c r="P29" i="23"/>
  <c r="P30" i="23"/>
  <c r="P31" i="23"/>
  <c r="P32" i="23"/>
  <c r="P33" i="23"/>
  <c r="P34" i="23"/>
  <c r="P35" i="23"/>
  <c r="P36" i="23"/>
  <c r="P37" i="23"/>
  <c r="P38" i="23"/>
  <c r="P39" i="23"/>
  <c r="P40" i="23"/>
  <c r="P41" i="23"/>
  <c r="P42" i="23"/>
  <c r="P43" i="23"/>
  <c r="P44" i="23"/>
  <c r="P45" i="23"/>
  <c r="P46" i="23"/>
  <c r="P47" i="23"/>
  <c r="P48" i="23"/>
  <c r="P49" i="23"/>
  <c r="P50" i="23"/>
  <c r="P51" i="23"/>
  <c r="P52" i="23"/>
  <c r="P53" i="23"/>
  <c r="P54" i="23"/>
  <c r="P55" i="23"/>
  <c r="P56" i="23"/>
  <c r="P57" i="23"/>
  <c r="P58" i="23"/>
  <c r="P59" i="23"/>
  <c r="P60" i="23"/>
  <c r="P61" i="23"/>
  <c r="P62" i="23"/>
  <c r="P63" i="23"/>
  <c r="P64" i="23"/>
  <c r="P65" i="23"/>
  <c r="P66" i="23"/>
  <c r="P67" i="23"/>
  <c r="P68" i="23"/>
  <c r="P69" i="23"/>
  <c r="P70" i="23"/>
  <c r="P71" i="23"/>
  <c r="P72" i="23"/>
  <c r="P73" i="23"/>
  <c r="P74" i="23"/>
  <c r="P75" i="23"/>
  <c r="P76" i="23"/>
  <c r="P77" i="23"/>
  <c r="P78" i="23"/>
  <c r="P79" i="23"/>
  <c r="P80" i="23"/>
  <c r="P81" i="23"/>
  <c r="P82" i="23"/>
  <c r="P83" i="23"/>
  <c r="P84" i="23"/>
  <c r="P85" i="23"/>
  <c r="P86" i="23"/>
  <c r="P87" i="23"/>
  <c r="P88" i="23"/>
  <c r="P89" i="23"/>
  <c r="P90" i="23"/>
  <c r="P91" i="23"/>
  <c r="P92" i="23"/>
  <c r="P93" i="23"/>
  <c r="P94" i="23"/>
  <c r="P95" i="23"/>
  <c r="P96" i="23"/>
  <c r="P97" i="23"/>
  <c r="P98" i="23"/>
  <c r="P99" i="23"/>
  <c r="P100" i="23"/>
  <c r="P101" i="23"/>
  <c r="P102" i="23"/>
  <c r="P103" i="23"/>
  <c r="P104" i="23"/>
  <c r="P105" i="23"/>
  <c r="P106" i="23"/>
  <c r="P107" i="23"/>
  <c r="P108" i="23"/>
  <c r="P109" i="23"/>
  <c r="P110" i="23"/>
  <c r="P111" i="23"/>
  <c r="P112" i="23"/>
  <c r="P113" i="23"/>
  <c r="P114" i="23"/>
  <c r="P115" i="23"/>
  <c r="P116" i="23"/>
  <c r="P117" i="23"/>
  <c r="P118" i="23"/>
  <c r="P119" i="23"/>
  <c r="P120" i="23"/>
  <c r="P121" i="23"/>
  <c r="P122" i="23"/>
  <c r="P123" i="23"/>
  <c r="P124" i="23"/>
  <c r="P125" i="23"/>
  <c r="P126" i="23"/>
  <c r="P127" i="23"/>
  <c r="P128" i="23"/>
  <c r="P129" i="23"/>
  <c r="P130" i="23"/>
  <c r="P131" i="23"/>
  <c r="P132" i="23"/>
  <c r="P133" i="23"/>
  <c r="P134" i="23"/>
  <c r="P135" i="23"/>
  <c r="P136" i="23"/>
  <c r="P137" i="23"/>
  <c r="P138" i="23"/>
  <c r="P139" i="23"/>
  <c r="P140" i="23"/>
  <c r="P141" i="23"/>
  <c r="P142" i="23"/>
  <c r="P143" i="23"/>
  <c r="P144" i="23"/>
  <c r="P145" i="23"/>
  <c r="P146" i="23"/>
  <c r="P147" i="23"/>
  <c r="P148" i="23"/>
  <c r="P149" i="23"/>
  <c r="P150" i="23"/>
  <c r="P151" i="23"/>
  <c r="P152" i="23"/>
  <c r="P153" i="23"/>
  <c r="P154" i="23"/>
  <c r="P155" i="23"/>
  <c r="P156" i="23"/>
  <c r="P157" i="23"/>
  <c r="P158" i="23"/>
  <c r="P159" i="23"/>
  <c r="P160" i="23"/>
  <c r="P161" i="23"/>
  <c r="P162" i="23"/>
  <c r="P163" i="23"/>
  <c r="P164" i="23"/>
  <c r="P165" i="23"/>
  <c r="P166" i="23"/>
  <c r="P167" i="23"/>
  <c r="P168" i="23"/>
  <c r="P169" i="23"/>
  <c r="P170" i="23"/>
  <c r="P171" i="23"/>
  <c r="P172" i="23"/>
  <c r="P173" i="23"/>
  <c r="P174" i="23"/>
  <c r="P175" i="23"/>
  <c r="P176" i="23"/>
  <c r="P177" i="23"/>
  <c r="P178" i="23"/>
  <c r="P179" i="23"/>
  <c r="P180" i="23"/>
  <c r="P181" i="23"/>
  <c r="P182" i="23"/>
  <c r="P183" i="23"/>
  <c r="P184" i="23"/>
  <c r="P185" i="23"/>
  <c r="P186" i="23"/>
  <c r="P187" i="23"/>
  <c r="P188" i="23"/>
  <c r="P189" i="23"/>
  <c r="P190" i="23"/>
  <c r="P191" i="23"/>
  <c r="P192" i="23"/>
  <c r="P193" i="23"/>
  <c r="P194" i="23"/>
  <c r="P195" i="23"/>
  <c r="P196" i="23"/>
  <c r="P197" i="23"/>
  <c r="P198" i="23"/>
  <c r="P199" i="23"/>
  <c r="P200" i="23"/>
  <c r="P201" i="23"/>
  <c r="P202" i="23"/>
  <c r="P203" i="23"/>
  <c r="P204" i="23"/>
  <c r="P205" i="23"/>
  <c r="P206" i="23"/>
  <c r="P207" i="23"/>
  <c r="P208" i="23"/>
  <c r="P209" i="23"/>
  <c r="P210" i="23"/>
  <c r="P211" i="23"/>
  <c r="P212" i="23"/>
  <c r="P213" i="23"/>
  <c r="P214" i="23"/>
  <c r="P215" i="23"/>
  <c r="P216" i="23"/>
  <c r="P217" i="23"/>
  <c r="P218" i="23"/>
  <c r="P219" i="23"/>
  <c r="P220" i="23"/>
  <c r="P221" i="23"/>
  <c r="P222" i="23"/>
  <c r="P223" i="23"/>
  <c r="P224" i="23"/>
  <c r="P225" i="23"/>
  <c r="P226" i="23"/>
  <c r="P227" i="23"/>
  <c r="P228" i="23"/>
  <c r="P229" i="23"/>
  <c r="P230" i="23"/>
  <c r="P231" i="23"/>
  <c r="P232" i="23"/>
  <c r="P233" i="23"/>
  <c r="P234" i="23"/>
  <c r="P235" i="23"/>
  <c r="P236" i="23"/>
  <c r="P237" i="23"/>
  <c r="P238" i="23"/>
  <c r="P239" i="23"/>
  <c r="P240" i="23"/>
  <c r="P241" i="23"/>
  <c r="P242" i="23"/>
  <c r="P243" i="23"/>
  <c r="P244" i="23"/>
  <c r="P245" i="23"/>
  <c r="P246" i="23"/>
  <c r="P247" i="23"/>
  <c r="P248" i="23"/>
  <c r="P249" i="23"/>
  <c r="P250" i="23"/>
  <c r="P251" i="23"/>
  <c r="P252" i="23"/>
  <c r="P253" i="23"/>
  <c r="P254" i="23"/>
  <c r="P255" i="23"/>
  <c r="P256" i="23"/>
  <c r="P257" i="23"/>
  <c r="P258" i="23"/>
  <c r="P259" i="23"/>
  <c r="P260" i="23"/>
  <c r="P261" i="23"/>
  <c r="P262" i="23"/>
  <c r="P263" i="23"/>
  <c r="P264" i="23"/>
  <c r="P265" i="23"/>
  <c r="P266" i="23"/>
  <c r="P267" i="23"/>
  <c r="P268" i="23"/>
  <c r="P269" i="23"/>
  <c r="P270" i="23"/>
  <c r="P271" i="23"/>
  <c r="P272" i="23"/>
  <c r="P273" i="23"/>
  <c r="P274" i="23"/>
  <c r="P275" i="23"/>
  <c r="P276" i="23"/>
  <c r="P277" i="23"/>
  <c r="P278" i="23"/>
  <c r="P279" i="23"/>
  <c r="P280" i="23"/>
  <c r="P281" i="23"/>
  <c r="P282" i="23"/>
  <c r="P283" i="23"/>
  <c r="P284" i="23"/>
  <c r="P285" i="23"/>
  <c r="P286" i="23"/>
  <c r="P287" i="23"/>
  <c r="P288" i="23"/>
  <c r="P289" i="23"/>
  <c r="P290" i="23"/>
  <c r="P291" i="23"/>
  <c r="P292" i="23"/>
  <c r="P293" i="23"/>
  <c r="P294" i="23"/>
  <c r="P295" i="23"/>
  <c r="P296" i="23"/>
  <c r="P297" i="23"/>
  <c r="P298" i="23"/>
  <c r="P299" i="23"/>
  <c r="P300" i="23"/>
  <c r="P301" i="23"/>
  <c r="P302" i="23"/>
  <c r="P303" i="23"/>
  <c r="P304" i="23"/>
  <c r="P305" i="23"/>
  <c r="P306" i="23"/>
  <c r="P307" i="23"/>
  <c r="P308" i="23"/>
  <c r="P309" i="23"/>
  <c r="P310" i="23"/>
  <c r="P311" i="23"/>
  <c r="P312" i="23"/>
  <c r="P313" i="23"/>
  <c r="P314" i="23"/>
  <c r="P315" i="23"/>
  <c r="P316" i="23"/>
  <c r="P317" i="23"/>
  <c r="P318" i="23"/>
  <c r="P319" i="23"/>
  <c r="P320" i="23"/>
  <c r="P321" i="23"/>
  <c r="P322" i="23"/>
  <c r="P323" i="23"/>
  <c r="P324" i="23"/>
  <c r="P325" i="23"/>
  <c r="P326" i="23"/>
  <c r="P327" i="23"/>
  <c r="P328" i="23"/>
  <c r="P329" i="23"/>
  <c r="P330" i="23"/>
  <c r="P331" i="23"/>
  <c r="P332" i="23"/>
  <c r="P333" i="23"/>
  <c r="P334" i="23"/>
  <c r="P335" i="23"/>
  <c r="P336" i="23"/>
  <c r="P337" i="23"/>
  <c r="P338" i="23"/>
  <c r="P339" i="23"/>
  <c r="P340" i="23"/>
  <c r="P341" i="23"/>
  <c r="P342" i="23"/>
  <c r="P343" i="23"/>
  <c r="P344" i="23"/>
  <c r="P345" i="23"/>
  <c r="P346" i="23"/>
  <c r="P347" i="23"/>
  <c r="P348" i="23"/>
  <c r="P349" i="23"/>
  <c r="P350" i="23"/>
  <c r="P351" i="23"/>
  <c r="P352" i="23"/>
  <c r="P353" i="23"/>
  <c r="P354" i="23"/>
  <c r="P355" i="23"/>
  <c r="P356" i="23"/>
  <c r="P357" i="23"/>
  <c r="P358" i="23"/>
  <c r="P359" i="23"/>
  <c r="P360" i="23"/>
  <c r="P361" i="23"/>
  <c r="P362" i="23"/>
  <c r="P363" i="23"/>
  <c r="P364" i="23"/>
  <c r="P365" i="23"/>
  <c r="P366" i="23"/>
  <c r="P367" i="23"/>
  <c r="P368" i="23"/>
  <c r="P369" i="23"/>
  <c r="P370" i="23"/>
  <c r="P371" i="23"/>
  <c r="P372" i="23"/>
  <c r="P373" i="23"/>
  <c r="P374" i="23"/>
  <c r="P375" i="23"/>
  <c r="P376" i="23"/>
  <c r="P377" i="23"/>
  <c r="P378" i="23"/>
  <c r="Q3" i="23"/>
  <c r="Q4" i="23"/>
  <c r="Q5" i="23"/>
  <c r="Q6" i="23"/>
  <c r="Q7" i="23"/>
  <c r="Q8" i="23"/>
  <c r="Q9" i="23"/>
  <c r="Q10" i="23"/>
  <c r="Q11" i="23"/>
  <c r="Q12" i="23"/>
  <c r="Q13" i="23"/>
  <c r="Q14" i="23"/>
  <c r="Q15" i="23"/>
  <c r="Q16" i="23"/>
  <c r="Q17" i="23"/>
  <c r="Q18" i="23"/>
  <c r="Q19" i="23"/>
  <c r="Q20" i="23"/>
  <c r="Q21" i="23"/>
  <c r="Q22" i="23"/>
  <c r="Q23" i="23"/>
  <c r="Q24" i="23"/>
  <c r="Q25" i="23"/>
  <c r="Q26" i="23"/>
  <c r="Q27" i="23"/>
  <c r="Q28" i="23"/>
  <c r="Q29" i="23"/>
  <c r="Q30" i="23"/>
  <c r="Q31" i="23"/>
  <c r="Q32" i="23"/>
  <c r="Q33" i="23"/>
  <c r="Q34" i="23"/>
  <c r="Q35" i="23"/>
  <c r="Q36" i="23"/>
  <c r="Q37" i="23"/>
  <c r="Q38" i="23"/>
  <c r="Q39" i="23"/>
  <c r="Q40" i="23"/>
  <c r="Q41" i="23"/>
  <c r="Q42" i="23"/>
  <c r="Q43" i="23"/>
  <c r="Q44" i="23"/>
  <c r="Q45" i="23"/>
  <c r="Q46" i="23"/>
  <c r="Q47" i="23"/>
  <c r="Q48" i="23"/>
  <c r="Q49" i="23"/>
  <c r="Q50" i="23"/>
  <c r="Q51" i="23"/>
  <c r="Q52" i="23"/>
  <c r="Q53" i="23"/>
  <c r="Q54" i="23"/>
  <c r="Q55" i="23"/>
  <c r="Q56" i="23"/>
  <c r="Q57" i="23"/>
  <c r="Q58" i="23"/>
  <c r="Q59" i="23"/>
  <c r="Q60" i="23"/>
  <c r="Q61" i="23"/>
  <c r="Q62" i="23"/>
  <c r="Q63" i="23"/>
  <c r="Q64" i="23"/>
  <c r="Q65" i="23"/>
  <c r="Q66" i="23"/>
  <c r="Q67" i="23"/>
  <c r="Q68" i="23"/>
  <c r="Q69" i="23"/>
  <c r="Q70" i="23"/>
  <c r="Q71" i="23"/>
  <c r="Q72" i="23"/>
  <c r="Q73" i="23"/>
  <c r="Q74" i="23"/>
  <c r="Q75" i="23"/>
  <c r="Q76" i="23"/>
  <c r="Q77" i="23"/>
  <c r="Q78" i="23"/>
  <c r="Q79" i="23"/>
  <c r="Q80" i="23"/>
  <c r="Q81" i="23"/>
  <c r="Q82" i="23"/>
  <c r="Q83" i="23"/>
  <c r="Q84" i="23"/>
  <c r="Q85" i="23"/>
  <c r="Q86" i="23"/>
  <c r="Q87" i="23"/>
  <c r="Q88" i="23"/>
  <c r="Q89" i="23"/>
  <c r="Q90" i="23"/>
  <c r="Q91" i="23"/>
  <c r="Q92" i="23"/>
  <c r="Q93" i="23"/>
  <c r="Q94" i="23"/>
  <c r="Q95" i="23"/>
  <c r="Q96" i="23"/>
  <c r="Q97" i="23"/>
  <c r="Q98" i="23"/>
  <c r="Q99" i="23"/>
  <c r="Q100" i="23"/>
  <c r="Q101" i="23"/>
  <c r="Q102" i="23"/>
  <c r="Q103" i="23"/>
  <c r="Q104" i="23"/>
  <c r="Q105" i="23"/>
  <c r="Q106" i="23"/>
  <c r="Q107" i="23"/>
  <c r="Q108" i="23"/>
  <c r="Q109" i="23"/>
  <c r="Q110" i="23"/>
  <c r="Q111" i="23"/>
  <c r="Q112" i="23"/>
  <c r="Q113" i="23"/>
  <c r="Q114" i="23"/>
  <c r="Q115" i="23"/>
  <c r="Q116" i="23"/>
  <c r="Q117" i="23"/>
  <c r="Q118" i="23"/>
  <c r="Q119" i="23"/>
  <c r="Q120" i="23"/>
  <c r="Q121" i="23"/>
  <c r="Q122" i="23"/>
  <c r="Q123" i="23"/>
  <c r="Q124" i="23"/>
  <c r="Q125" i="23"/>
  <c r="Q126" i="23"/>
  <c r="Q127" i="23"/>
  <c r="Q128" i="23"/>
  <c r="Q129" i="23"/>
  <c r="Q130" i="23"/>
  <c r="Q131" i="23"/>
  <c r="Q132" i="23"/>
  <c r="Q133" i="23"/>
  <c r="Q134" i="23"/>
  <c r="Q135" i="23"/>
  <c r="Q136" i="23"/>
  <c r="Q137" i="23"/>
  <c r="Q138" i="23"/>
  <c r="Q139" i="23"/>
  <c r="Q140" i="23"/>
  <c r="Q141" i="23"/>
  <c r="Q142" i="23"/>
  <c r="Q143" i="23"/>
  <c r="Q144" i="23"/>
  <c r="Q145" i="23"/>
  <c r="Q146" i="23"/>
  <c r="Q147" i="23"/>
  <c r="Q148" i="23"/>
  <c r="Q149" i="23"/>
  <c r="Q150" i="23"/>
  <c r="Q151" i="23"/>
  <c r="Q152" i="23"/>
  <c r="Q153" i="23"/>
  <c r="Q154" i="23"/>
  <c r="Q155" i="23"/>
  <c r="Q156" i="23"/>
  <c r="Q157" i="23"/>
  <c r="Q158" i="23"/>
  <c r="Q159" i="23"/>
  <c r="Q160" i="23"/>
  <c r="Q161" i="23"/>
  <c r="Q162" i="23"/>
  <c r="Q163" i="23"/>
  <c r="Q164" i="23"/>
  <c r="Q165" i="23"/>
  <c r="Q166" i="23"/>
  <c r="Q167" i="23"/>
  <c r="Q168" i="23"/>
  <c r="Q169" i="23"/>
  <c r="Q170" i="23"/>
  <c r="Q171" i="23"/>
  <c r="Q172" i="23"/>
  <c r="Q173" i="23"/>
  <c r="Q174" i="23"/>
  <c r="Q175" i="23"/>
  <c r="Q176" i="23"/>
  <c r="Q177" i="23"/>
  <c r="Q178" i="23"/>
  <c r="Q179" i="23"/>
  <c r="Q180" i="23"/>
  <c r="Q181" i="23"/>
  <c r="Q182" i="23"/>
  <c r="Q183" i="23"/>
  <c r="Q184" i="23"/>
  <c r="Q185" i="23"/>
  <c r="Q186" i="23"/>
  <c r="Q187" i="23"/>
  <c r="Q188" i="23"/>
  <c r="Q189" i="23"/>
  <c r="Q190" i="23"/>
  <c r="Q191" i="23"/>
  <c r="Q192" i="23"/>
  <c r="Q193" i="23"/>
  <c r="Q194" i="23"/>
  <c r="Q195" i="23"/>
  <c r="Q196" i="23"/>
  <c r="Q197" i="23"/>
  <c r="Q198" i="23"/>
  <c r="Q199" i="23"/>
  <c r="Q200" i="23"/>
  <c r="Q201" i="23"/>
  <c r="Q202" i="23"/>
  <c r="Q203" i="23"/>
  <c r="Q204" i="23"/>
  <c r="Q205" i="23"/>
  <c r="Q206" i="23"/>
  <c r="Q207" i="23"/>
  <c r="Q208" i="23"/>
  <c r="Q209" i="23"/>
  <c r="Q210" i="23"/>
  <c r="Q211" i="23"/>
  <c r="Q212" i="23"/>
  <c r="Q213" i="23"/>
  <c r="Q214" i="23"/>
  <c r="Q215" i="23"/>
  <c r="Q216" i="23"/>
  <c r="Q217" i="23"/>
  <c r="Q218" i="23"/>
  <c r="Q219" i="23"/>
  <c r="Q220" i="23"/>
  <c r="Q221" i="23"/>
  <c r="Q222" i="23"/>
  <c r="Q223" i="23"/>
  <c r="Q224" i="23"/>
  <c r="Q225" i="23"/>
  <c r="Q226" i="23"/>
  <c r="Q227" i="23"/>
  <c r="Q228" i="23"/>
  <c r="Q229" i="23"/>
  <c r="Q230" i="23"/>
  <c r="Q231" i="23"/>
  <c r="Q232" i="23"/>
  <c r="Q233" i="23"/>
  <c r="Q234" i="23"/>
  <c r="Q235" i="23"/>
  <c r="Q236" i="23"/>
  <c r="Q237" i="23"/>
  <c r="Q238" i="23"/>
  <c r="Q239" i="23"/>
  <c r="Q240" i="23"/>
  <c r="Q241" i="23"/>
  <c r="Q242" i="23"/>
  <c r="Q243" i="23"/>
  <c r="Q244" i="23"/>
  <c r="Q245" i="23"/>
  <c r="Q246" i="23"/>
  <c r="Q247" i="23"/>
  <c r="Q248" i="23"/>
  <c r="Q249" i="23"/>
  <c r="Q250" i="23"/>
  <c r="Q251" i="23"/>
  <c r="Q252" i="23"/>
  <c r="Q253" i="23"/>
  <c r="Q254" i="23"/>
  <c r="Q255" i="23"/>
  <c r="Q256" i="23"/>
  <c r="Q257" i="23"/>
  <c r="Q258" i="23"/>
  <c r="Q259" i="23"/>
  <c r="Q260" i="23"/>
  <c r="Q261" i="23"/>
  <c r="Q262" i="23"/>
  <c r="Q263" i="23"/>
  <c r="Q264" i="23"/>
  <c r="Q265" i="23"/>
  <c r="Q266" i="23"/>
  <c r="Q267" i="23"/>
  <c r="Q268" i="23"/>
  <c r="Q269" i="23"/>
  <c r="Q270" i="23"/>
  <c r="Q271" i="23"/>
  <c r="Q272" i="23"/>
  <c r="Q273" i="23"/>
  <c r="Q274" i="23"/>
  <c r="Q275" i="23"/>
  <c r="Q276" i="23"/>
  <c r="Q277" i="23"/>
  <c r="Q278" i="23"/>
  <c r="Q279" i="23"/>
  <c r="Q280" i="23"/>
  <c r="Q281" i="23"/>
  <c r="Q282" i="23"/>
  <c r="Q283" i="23"/>
  <c r="Q284" i="23"/>
  <c r="Q285" i="23"/>
  <c r="Q286" i="23"/>
  <c r="Q287" i="23"/>
  <c r="Q288" i="23"/>
  <c r="Q289" i="23"/>
  <c r="Q290" i="23"/>
  <c r="Q291" i="23"/>
  <c r="Q292" i="23"/>
  <c r="Q293" i="23"/>
  <c r="Q294" i="23"/>
  <c r="Q295" i="23"/>
  <c r="Q296" i="23"/>
  <c r="Q297" i="23"/>
  <c r="Q298" i="23"/>
  <c r="Q299" i="23"/>
  <c r="Q300" i="23"/>
  <c r="Q301" i="23"/>
  <c r="Q302" i="23"/>
  <c r="Q303" i="23"/>
  <c r="Q304" i="23"/>
  <c r="Q305" i="23"/>
  <c r="Q306" i="23"/>
  <c r="Q307" i="23"/>
  <c r="Q308" i="23"/>
  <c r="Q309" i="23"/>
  <c r="Q310" i="23"/>
  <c r="Q311" i="23"/>
  <c r="Q312" i="23"/>
  <c r="Q313" i="23"/>
  <c r="Q314" i="23"/>
  <c r="Q315" i="23"/>
  <c r="Q316" i="23"/>
  <c r="Q317" i="23"/>
  <c r="Q318" i="23"/>
  <c r="Q319" i="23"/>
  <c r="Q320" i="23"/>
  <c r="Q321" i="23"/>
  <c r="Q322" i="23"/>
  <c r="Q323" i="23"/>
  <c r="Q324" i="23"/>
  <c r="Q325" i="23"/>
  <c r="Q326" i="23"/>
  <c r="Q327" i="23"/>
  <c r="Q328" i="23"/>
  <c r="Q329" i="23"/>
  <c r="Q330" i="23"/>
  <c r="Q331" i="23"/>
  <c r="Q332" i="23"/>
  <c r="Q333" i="23"/>
  <c r="Q334" i="23"/>
  <c r="Q335" i="23"/>
  <c r="Q336" i="23"/>
  <c r="Q337" i="23"/>
  <c r="Q338" i="23"/>
  <c r="Q339" i="23"/>
  <c r="Q340" i="23"/>
  <c r="Q341" i="23"/>
  <c r="Q342" i="23"/>
  <c r="Q343" i="23"/>
  <c r="Q344" i="23"/>
  <c r="Q345" i="23"/>
  <c r="Q346" i="23"/>
  <c r="Q347" i="23"/>
  <c r="Q348" i="23"/>
  <c r="Q349" i="23"/>
  <c r="Q350" i="23"/>
  <c r="Q351" i="23"/>
  <c r="Q352" i="23"/>
  <c r="Q353" i="23"/>
  <c r="Q354" i="23"/>
  <c r="Q355" i="23"/>
  <c r="Q356" i="23"/>
  <c r="Q357" i="23"/>
  <c r="Q358" i="23"/>
  <c r="Q359" i="23"/>
  <c r="Q360" i="23"/>
  <c r="Q361" i="23"/>
  <c r="Q362" i="23"/>
  <c r="Q363" i="23"/>
  <c r="Q364" i="23"/>
  <c r="Q365" i="23"/>
  <c r="Q366" i="23"/>
  <c r="Q367" i="23"/>
  <c r="Q368" i="23"/>
  <c r="Q369" i="23"/>
  <c r="Q370" i="23"/>
  <c r="Q371" i="23"/>
  <c r="Q372" i="23"/>
  <c r="Q373" i="23"/>
  <c r="Q374" i="23"/>
  <c r="Q375" i="23"/>
  <c r="Q376" i="23"/>
  <c r="Q377" i="23"/>
  <c r="Q378" i="23"/>
  <c r="AA3" i="23"/>
  <c r="AA4" i="23"/>
  <c r="AA5" i="23"/>
  <c r="AA6" i="23"/>
  <c r="AA7" i="23"/>
  <c r="AA8" i="23"/>
  <c r="AA9" i="23"/>
  <c r="AA10" i="23"/>
  <c r="AA11" i="23"/>
  <c r="AA12" i="23"/>
  <c r="AA13" i="23"/>
  <c r="AA14" i="23"/>
  <c r="AA15" i="23"/>
  <c r="AA16" i="23"/>
  <c r="AA17" i="23"/>
  <c r="AA18" i="23"/>
  <c r="AA19" i="23"/>
  <c r="AA20" i="23"/>
  <c r="AA21" i="23"/>
  <c r="AA22" i="23"/>
  <c r="AA23" i="23"/>
  <c r="AA24" i="23"/>
  <c r="AA25" i="23"/>
  <c r="AA26" i="23"/>
  <c r="AA27" i="23"/>
  <c r="AA28" i="23"/>
  <c r="AA29" i="23"/>
  <c r="AA30" i="23"/>
  <c r="AA31" i="23"/>
  <c r="AA32" i="23"/>
  <c r="AA33" i="23"/>
  <c r="AA34" i="23"/>
  <c r="AA35" i="23"/>
  <c r="AA36" i="23"/>
  <c r="AA37" i="23"/>
  <c r="AA38" i="23"/>
  <c r="AA39" i="23"/>
  <c r="AA40" i="23"/>
  <c r="AA41" i="23"/>
  <c r="AA42" i="23"/>
  <c r="AA43" i="23"/>
  <c r="AA44" i="23"/>
  <c r="AA45" i="23"/>
  <c r="AA46" i="23"/>
  <c r="AA47" i="23"/>
  <c r="AA48" i="23"/>
  <c r="AA49" i="23"/>
  <c r="AA50" i="23"/>
  <c r="AA51" i="23"/>
  <c r="AA52" i="23"/>
  <c r="AA53" i="23"/>
  <c r="AA54" i="23"/>
  <c r="AA55" i="23"/>
  <c r="AA56" i="23"/>
  <c r="AA57" i="23"/>
  <c r="AA58" i="23"/>
  <c r="AA59" i="23"/>
  <c r="AA60" i="23"/>
  <c r="AA61" i="23"/>
  <c r="AA62" i="23"/>
  <c r="AA63" i="23"/>
  <c r="AA64" i="23"/>
  <c r="AA65" i="23"/>
  <c r="AA66" i="23"/>
  <c r="AA67" i="23"/>
  <c r="AA68" i="23"/>
  <c r="AA69" i="23"/>
  <c r="AA70" i="23"/>
  <c r="AA71" i="23"/>
  <c r="AA72" i="23"/>
  <c r="AA73" i="23"/>
  <c r="AA74" i="23"/>
  <c r="AA75" i="23"/>
  <c r="AA76" i="23"/>
  <c r="AA77" i="23"/>
  <c r="AA78" i="23"/>
  <c r="AA79" i="23"/>
  <c r="AA80" i="23"/>
  <c r="AA81" i="23"/>
  <c r="AA82" i="23"/>
  <c r="AA83" i="23"/>
  <c r="AA84" i="23"/>
  <c r="AA85" i="23"/>
  <c r="AA86" i="23"/>
  <c r="AA87" i="23"/>
  <c r="AA88" i="23"/>
  <c r="AA89" i="23"/>
  <c r="AA90" i="23"/>
  <c r="AA91" i="23"/>
  <c r="AA92" i="23"/>
  <c r="AA93" i="23"/>
  <c r="AA94" i="23"/>
  <c r="AA95" i="23"/>
  <c r="AA96" i="23"/>
  <c r="AA97" i="23"/>
  <c r="AA98" i="23"/>
  <c r="AA99" i="23"/>
  <c r="AA100" i="23"/>
  <c r="AA101" i="23"/>
  <c r="AA102" i="23"/>
  <c r="AA103" i="23"/>
  <c r="AA104" i="23"/>
  <c r="AA105" i="23"/>
  <c r="AA106" i="23"/>
  <c r="AA107" i="23"/>
  <c r="AA108" i="23"/>
  <c r="AA109" i="23"/>
  <c r="AA110" i="23"/>
  <c r="AA111" i="23"/>
  <c r="AA112" i="23"/>
  <c r="AA113" i="23"/>
  <c r="AA114" i="23"/>
  <c r="AA115" i="23"/>
  <c r="AA116" i="23"/>
  <c r="AA117" i="23"/>
  <c r="AA118" i="23"/>
  <c r="AA119" i="23"/>
  <c r="AA120" i="23"/>
  <c r="AA121" i="23"/>
  <c r="AA122" i="23"/>
  <c r="AA123" i="23"/>
  <c r="AA124" i="23"/>
  <c r="AA125" i="23"/>
  <c r="AA126" i="23"/>
  <c r="AA127" i="23"/>
  <c r="AA128" i="23"/>
  <c r="AA129" i="23"/>
  <c r="AA130" i="23"/>
  <c r="AA131" i="23"/>
  <c r="AA132" i="23"/>
  <c r="AA133" i="23"/>
  <c r="AA134" i="23"/>
  <c r="AA135" i="23"/>
  <c r="AA136" i="23"/>
  <c r="AA137" i="23"/>
  <c r="AA138" i="23"/>
  <c r="AA139" i="23"/>
  <c r="AA140" i="23"/>
  <c r="AA141" i="23"/>
  <c r="AA142" i="23"/>
  <c r="AA143" i="23"/>
  <c r="AA144" i="23"/>
  <c r="AA145" i="23"/>
  <c r="AA146" i="23"/>
  <c r="AA147" i="23"/>
  <c r="AA148" i="23"/>
  <c r="AA149" i="23"/>
  <c r="AA150" i="23"/>
  <c r="AA151" i="23"/>
  <c r="AA152" i="23"/>
  <c r="AA153" i="23"/>
  <c r="AA154" i="23"/>
  <c r="AA155" i="23"/>
  <c r="AA156" i="23"/>
  <c r="AA157" i="23"/>
  <c r="AA158" i="23"/>
  <c r="AA159" i="23"/>
  <c r="AA160" i="23"/>
  <c r="AA161" i="23"/>
  <c r="AA162" i="23"/>
  <c r="AA163" i="23"/>
  <c r="AA164" i="23"/>
  <c r="AA165" i="23"/>
  <c r="AA166" i="23"/>
  <c r="AA167" i="23"/>
  <c r="AA168" i="23"/>
  <c r="AA169" i="23"/>
  <c r="AA170" i="23"/>
  <c r="AA171" i="23"/>
  <c r="AA172" i="23"/>
  <c r="AA173" i="23"/>
  <c r="AA174" i="23"/>
  <c r="AA175" i="23"/>
  <c r="AA176" i="23"/>
  <c r="AA177" i="23"/>
  <c r="AA178" i="23"/>
  <c r="AA179" i="23"/>
  <c r="AA180" i="23"/>
  <c r="AA181" i="23"/>
  <c r="AA182" i="23"/>
  <c r="AA183" i="23"/>
  <c r="AA184" i="23"/>
  <c r="AA185" i="23"/>
  <c r="AA186" i="23"/>
  <c r="AA187" i="23"/>
  <c r="AA188" i="23"/>
  <c r="AA189" i="23"/>
  <c r="AA190" i="23"/>
  <c r="AA191" i="23"/>
  <c r="AA192" i="23"/>
  <c r="AA193" i="23"/>
  <c r="AA194" i="23"/>
  <c r="AA195" i="23"/>
  <c r="AA196" i="23"/>
  <c r="AA197" i="23"/>
  <c r="AA198" i="23"/>
  <c r="AA199" i="23"/>
  <c r="AA200" i="23"/>
  <c r="AA201" i="23"/>
  <c r="AA202" i="23"/>
  <c r="AA203" i="23"/>
  <c r="AA204" i="23"/>
  <c r="AA205" i="23"/>
  <c r="AA206" i="23"/>
  <c r="AA207" i="23"/>
  <c r="AA208" i="23"/>
  <c r="AA209" i="23"/>
  <c r="AA210" i="23"/>
  <c r="AA211" i="23"/>
  <c r="AA212" i="23"/>
  <c r="AA213" i="23"/>
  <c r="AA214" i="23"/>
  <c r="AA215" i="23"/>
  <c r="AA216" i="23"/>
  <c r="AA217" i="23"/>
  <c r="AA218" i="23"/>
  <c r="AA219" i="23"/>
  <c r="AA220" i="23"/>
  <c r="AA221" i="23"/>
  <c r="AA222" i="23"/>
  <c r="AA223" i="23"/>
  <c r="AA224" i="23"/>
  <c r="AA225" i="23"/>
  <c r="AA226" i="23"/>
  <c r="AA227" i="23"/>
  <c r="AA228" i="23"/>
  <c r="AA229" i="23"/>
  <c r="AA230" i="23"/>
  <c r="AA231" i="23"/>
  <c r="AA232" i="23"/>
  <c r="AA233" i="23"/>
  <c r="AA234" i="23"/>
  <c r="AA235" i="23"/>
  <c r="AA236" i="23"/>
  <c r="AA237" i="23"/>
  <c r="AA238" i="23"/>
  <c r="AA239" i="23"/>
  <c r="AA240" i="23"/>
  <c r="AA241" i="23"/>
  <c r="AA242" i="23"/>
  <c r="AA243" i="23"/>
  <c r="AA244" i="23"/>
  <c r="AA245" i="23"/>
  <c r="AA246" i="23"/>
  <c r="AA247" i="23"/>
  <c r="AA248" i="23"/>
  <c r="AA249" i="23"/>
  <c r="AA250" i="23"/>
  <c r="AA251" i="23"/>
  <c r="AA252" i="23"/>
  <c r="AA253" i="23"/>
  <c r="AA254" i="23"/>
  <c r="AA255" i="23"/>
  <c r="AA256" i="23"/>
  <c r="AA257" i="23"/>
  <c r="AA258" i="23"/>
  <c r="AA259" i="23"/>
  <c r="AA260" i="23"/>
  <c r="AA261" i="23"/>
  <c r="AA262" i="23"/>
  <c r="AA263" i="23"/>
  <c r="AA264" i="23"/>
  <c r="AA265" i="23"/>
  <c r="AA266" i="23"/>
  <c r="AA267" i="23"/>
  <c r="AA268" i="23"/>
  <c r="AA269" i="23"/>
  <c r="AA270" i="23"/>
  <c r="AA271" i="23"/>
  <c r="AA272" i="23"/>
  <c r="AA273" i="23"/>
  <c r="AA274" i="23"/>
  <c r="AA275" i="23"/>
  <c r="AA276" i="23"/>
  <c r="AA277" i="23"/>
  <c r="AA278" i="23"/>
  <c r="AA279" i="23"/>
  <c r="AA280" i="23"/>
  <c r="AA281" i="23"/>
  <c r="AA282" i="23"/>
  <c r="AA283" i="23"/>
  <c r="AA284" i="23"/>
  <c r="AA285" i="23"/>
  <c r="AA286" i="23"/>
  <c r="AA287" i="23"/>
  <c r="AA288" i="23"/>
  <c r="AA289" i="23"/>
  <c r="AA290" i="23"/>
  <c r="AA291" i="23"/>
  <c r="AA292" i="23"/>
  <c r="AA293" i="23"/>
  <c r="AA294" i="23"/>
  <c r="AA295" i="23"/>
  <c r="AA296" i="23"/>
  <c r="AA297" i="23"/>
  <c r="AA298" i="23"/>
  <c r="AA299" i="23"/>
  <c r="AA300" i="23"/>
  <c r="AA301" i="23"/>
  <c r="AA302" i="23"/>
  <c r="AA303" i="23"/>
  <c r="AA304" i="23"/>
  <c r="AA305" i="23"/>
  <c r="AA306" i="23"/>
  <c r="AA307" i="23"/>
  <c r="AA308" i="23"/>
  <c r="AA309" i="23"/>
  <c r="AA310" i="23"/>
  <c r="AA311" i="23"/>
  <c r="AA312" i="23"/>
  <c r="AA313" i="23"/>
  <c r="AA314" i="23"/>
  <c r="AA315" i="23"/>
  <c r="AA316" i="23"/>
  <c r="AA317" i="23"/>
  <c r="AA318" i="23"/>
  <c r="AA319" i="23"/>
  <c r="AA320" i="23"/>
  <c r="AA321" i="23"/>
  <c r="AA322" i="23"/>
  <c r="AA323" i="23"/>
  <c r="AA324" i="23"/>
  <c r="AA325" i="23"/>
  <c r="AA326" i="23"/>
  <c r="AA327" i="23"/>
  <c r="AA328" i="23"/>
  <c r="AA329" i="23"/>
  <c r="AA330" i="23"/>
  <c r="AA331" i="23"/>
  <c r="AA332" i="23"/>
  <c r="AA333" i="23"/>
  <c r="AA334" i="23"/>
  <c r="AA335" i="23"/>
  <c r="AA336" i="23"/>
  <c r="AA337" i="23"/>
  <c r="AA338" i="23"/>
  <c r="AA339" i="23"/>
  <c r="AA340" i="23"/>
  <c r="AA341" i="23"/>
  <c r="AA342" i="23"/>
  <c r="AA343" i="23"/>
  <c r="AA344" i="23"/>
  <c r="AA345" i="23"/>
  <c r="AA346" i="23"/>
  <c r="AA347" i="23"/>
  <c r="AA348" i="23"/>
  <c r="AA349" i="23"/>
  <c r="AA350" i="23"/>
  <c r="AA351" i="23"/>
  <c r="AA352" i="23"/>
  <c r="AA353" i="23"/>
  <c r="AA354" i="23"/>
  <c r="AA355" i="23"/>
  <c r="AA356" i="23"/>
  <c r="AA357" i="23"/>
  <c r="AA358" i="23"/>
  <c r="AA359" i="23"/>
  <c r="AA360" i="23"/>
  <c r="AA361" i="23"/>
  <c r="AA362" i="23"/>
  <c r="AA363" i="23"/>
  <c r="AA364" i="23"/>
  <c r="AA365" i="23"/>
  <c r="AA366" i="23"/>
  <c r="AA367" i="23"/>
  <c r="AA368" i="23"/>
  <c r="AA369" i="23"/>
  <c r="AA370" i="23"/>
  <c r="AA371" i="23"/>
  <c r="AA372" i="23"/>
  <c r="AA373" i="23"/>
  <c r="AA374" i="23"/>
  <c r="AA375" i="23"/>
  <c r="AA376" i="23"/>
  <c r="AA377" i="23"/>
  <c r="AA378" i="23"/>
  <c r="B2" i="23"/>
  <c r="AA2" i="23"/>
  <c r="Q2" i="23"/>
  <c r="P2" i="23"/>
  <c r="R2" i="23" s="1"/>
  <c r="M2" i="23"/>
  <c r="R3" i="23" l="1"/>
  <c r="R4" i="23" s="1"/>
  <c r="R5" i="23" s="1"/>
  <c r="R6" i="23" s="1"/>
  <c r="R7" i="23" s="1"/>
  <c r="R8" i="23" s="1"/>
  <c r="R9" i="23" s="1"/>
  <c r="R10" i="23" s="1"/>
  <c r="R11" i="23" s="1"/>
  <c r="R12" i="23" s="1"/>
  <c r="R13" i="23" s="1"/>
  <c r="R14" i="23" s="1"/>
  <c r="R15" i="23" s="1"/>
  <c r="R16" i="23" s="1"/>
  <c r="R17" i="23" s="1"/>
  <c r="R18" i="23" s="1"/>
  <c r="R19" i="23" s="1"/>
  <c r="R20" i="23" s="1"/>
  <c r="R21" i="23" s="1"/>
  <c r="R22" i="23" s="1"/>
  <c r="R23" i="23" s="1"/>
  <c r="R24" i="23" s="1"/>
  <c r="R25" i="23" s="1"/>
  <c r="R26" i="23" s="1"/>
  <c r="R27" i="23" s="1"/>
  <c r="R28" i="23" s="1"/>
  <c r="R29" i="23" s="1"/>
  <c r="R30" i="23" s="1"/>
  <c r="R31" i="23" s="1"/>
  <c r="R32" i="23" s="1"/>
  <c r="R33" i="23" s="1"/>
  <c r="R34" i="23" s="1"/>
  <c r="R35" i="23" s="1"/>
  <c r="R36" i="23" s="1"/>
  <c r="R37" i="23" s="1"/>
  <c r="R38" i="23" s="1"/>
  <c r="R39" i="23" s="1"/>
  <c r="R40" i="23" s="1"/>
  <c r="R41" i="23" s="1"/>
  <c r="R42" i="23" s="1"/>
  <c r="R43" i="23" s="1"/>
  <c r="R44" i="23" s="1"/>
  <c r="R45" i="23" s="1"/>
  <c r="R46" i="23" s="1"/>
  <c r="R47" i="23" s="1"/>
  <c r="R48" i="23" s="1"/>
  <c r="R49" i="23" s="1"/>
  <c r="R50" i="23" s="1"/>
  <c r="R51" i="23" s="1"/>
  <c r="R52" i="23" s="1"/>
  <c r="R53" i="23" s="1"/>
  <c r="R54" i="23" s="1"/>
  <c r="R55" i="23" s="1"/>
  <c r="R56" i="23" s="1"/>
  <c r="R57" i="23" s="1"/>
  <c r="R58" i="23" s="1"/>
  <c r="R59" i="23" s="1"/>
  <c r="R60" i="23" s="1"/>
  <c r="R61" i="23" s="1"/>
  <c r="R62" i="23" s="1"/>
  <c r="R63" i="23" s="1"/>
  <c r="R64" i="23" s="1"/>
  <c r="R65" i="23" s="1"/>
  <c r="R66" i="23" s="1"/>
  <c r="R67" i="23" s="1"/>
  <c r="R68" i="23" s="1"/>
  <c r="R69" i="23" s="1"/>
  <c r="R70" i="23" s="1"/>
  <c r="R71" i="23" s="1"/>
  <c r="R72" i="23" s="1"/>
  <c r="R73" i="23" s="1"/>
  <c r="R74" i="23" s="1"/>
  <c r="R75" i="23" s="1"/>
  <c r="R76" i="23" s="1"/>
  <c r="R77" i="23" s="1"/>
  <c r="R78" i="23" s="1"/>
  <c r="R79" i="23" s="1"/>
  <c r="R80" i="23" s="1"/>
  <c r="R81" i="23" s="1"/>
  <c r="R82" i="23" s="1"/>
  <c r="R83" i="23" s="1"/>
  <c r="R84" i="23" s="1"/>
  <c r="R85" i="23" s="1"/>
  <c r="R86" i="23" s="1"/>
  <c r="R87" i="23" s="1"/>
  <c r="R88" i="23" s="1"/>
  <c r="R89" i="23" s="1"/>
  <c r="R90" i="23" s="1"/>
  <c r="R91" i="23" s="1"/>
  <c r="R92" i="23" s="1"/>
  <c r="R93" i="23" s="1"/>
  <c r="R94" i="23" s="1"/>
  <c r="R95" i="23" s="1"/>
  <c r="R96" i="23" s="1"/>
  <c r="R97" i="23" s="1"/>
  <c r="R98" i="23" s="1"/>
  <c r="R99" i="23" s="1"/>
  <c r="R100" i="23" s="1"/>
  <c r="R101" i="23" s="1"/>
  <c r="R102" i="23" s="1"/>
  <c r="R103" i="23" s="1"/>
  <c r="R104" i="23" s="1"/>
  <c r="R105" i="23" s="1"/>
  <c r="R106" i="23" s="1"/>
  <c r="R107" i="23" s="1"/>
  <c r="R108" i="23" s="1"/>
  <c r="R109" i="23" s="1"/>
  <c r="R110" i="23" s="1"/>
  <c r="R111" i="23" s="1"/>
  <c r="R112" i="23" s="1"/>
  <c r="R113" i="23" s="1"/>
  <c r="R114" i="23" s="1"/>
  <c r="R115" i="23" s="1"/>
  <c r="R116" i="23" s="1"/>
  <c r="R117" i="23" s="1"/>
  <c r="R118" i="23" s="1"/>
  <c r="R119" i="23" s="1"/>
  <c r="R120" i="23" s="1"/>
  <c r="R121" i="23" s="1"/>
  <c r="R122" i="23" s="1"/>
  <c r="R123" i="23" s="1"/>
  <c r="R124" i="23" s="1"/>
  <c r="R125" i="23" s="1"/>
  <c r="R126" i="23" s="1"/>
  <c r="R127" i="23" s="1"/>
  <c r="R128" i="23" s="1"/>
  <c r="R129" i="23" s="1"/>
  <c r="R130" i="23" s="1"/>
  <c r="R131" i="23" s="1"/>
  <c r="R132" i="23" s="1"/>
  <c r="R133" i="23" s="1"/>
  <c r="R134" i="23" s="1"/>
  <c r="R135" i="23" s="1"/>
  <c r="R136" i="23" s="1"/>
  <c r="R137" i="23" s="1"/>
  <c r="R138" i="23" s="1"/>
  <c r="R139" i="23" s="1"/>
  <c r="R140" i="23" s="1"/>
  <c r="R141" i="23" s="1"/>
  <c r="R142" i="23" s="1"/>
  <c r="R143" i="23" s="1"/>
  <c r="R144" i="23" s="1"/>
  <c r="R145" i="23" s="1"/>
  <c r="R146" i="23" s="1"/>
  <c r="R147" i="23" s="1"/>
  <c r="R148" i="23" s="1"/>
  <c r="R149" i="23" s="1"/>
  <c r="R150" i="23" s="1"/>
  <c r="R151" i="23" s="1"/>
  <c r="R152" i="23" s="1"/>
  <c r="R153" i="23" s="1"/>
  <c r="R154" i="23" s="1"/>
  <c r="R155" i="23" s="1"/>
  <c r="R156" i="23" s="1"/>
  <c r="R157" i="23" s="1"/>
  <c r="R158" i="23" s="1"/>
  <c r="R159" i="23" s="1"/>
  <c r="R160" i="23" s="1"/>
  <c r="R161" i="23" s="1"/>
  <c r="R162" i="23" s="1"/>
  <c r="R163" i="23" s="1"/>
  <c r="R164" i="23" s="1"/>
  <c r="R165" i="23" s="1"/>
  <c r="R166" i="23" s="1"/>
  <c r="R167" i="23" s="1"/>
  <c r="R168" i="23" s="1"/>
  <c r="R169" i="23" s="1"/>
  <c r="R170" i="23" s="1"/>
  <c r="R171" i="23" s="1"/>
  <c r="R172" i="23" s="1"/>
  <c r="R173" i="23" s="1"/>
  <c r="R174" i="23" s="1"/>
  <c r="R175" i="23" s="1"/>
  <c r="R176" i="23" s="1"/>
  <c r="R177" i="23" s="1"/>
  <c r="R178" i="23" s="1"/>
  <c r="R179" i="23" s="1"/>
  <c r="R180" i="23" s="1"/>
  <c r="R181" i="23" s="1"/>
  <c r="R182" i="23" s="1"/>
  <c r="R183" i="23" s="1"/>
  <c r="R184" i="23" s="1"/>
  <c r="R185" i="23" s="1"/>
  <c r="R186" i="23" s="1"/>
  <c r="R187" i="23" s="1"/>
  <c r="R188" i="23" s="1"/>
  <c r="R189" i="23" s="1"/>
  <c r="R190" i="23" s="1"/>
  <c r="R191" i="23" s="1"/>
  <c r="R192" i="23" s="1"/>
  <c r="R193" i="23" s="1"/>
  <c r="R194" i="23" s="1"/>
  <c r="R195" i="23" s="1"/>
  <c r="R196" i="23" s="1"/>
  <c r="R197" i="23" s="1"/>
  <c r="R198" i="23" s="1"/>
  <c r="R199" i="23" s="1"/>
  <c r="R200" i="23" s="1"/>
  <c r="R201" i="23" s="1"/>
  <c r="R202" i="23" s="1"/>
  <c r="R203" i="23" s="1"/>
  <c r="R204" i="23" s="1"/>
  <c r="R205" i="23" s="1"/>
  <c r="R206" i="23" s="1"/>
  <c r="R207" i="23" s="1"/>
  <c r="R208" i="23" s="1"/>
  <c r="R209" i="23" s="1"/>
  <c r="R210" i="23" s="1"/>
  <c r="R211" i="23" s="1"/>
  <c r="R212" i="23" s="1"/>
  <c r="R213" i="23" s="1"/>
  <c r="R214" i="23" s="1"/>
  <c r="R215" i="23" s="1"/>
  <c r="R216" i="23" s="1"/>
  <c r="R217" i="23" s="1"/>
  <c r="R218" i="23" s="1"/>
  <c r="R219" i="23" s="1"/>
  <c r="R220" i="23" s="1"/>
  <c r="R221" i="23" s="1"/>
  <c r="R222" i="23" s="1"/>
  <c r="R223" i="23" s="1"/>
  <c r="R224" i="23" s="1"/>
  <c r="R225" i="23" s="1"/>
  <c r="R226" i="23" s="1"/>
  <c r="R227" i="23" s="1"/>
  <c r="R228" i="23" s="1"/>
  <c r="R229" i="23" s="1"/>
  <c r="R230" i="23" s="1"/>
  <c r="R231" i="23" s="1"/>
  <c r="R232" i="23" s="1"/>
  <c r="R233" i="23" s="1"/>
  <c r="R234" i="23" s="1"/>
  <c r="R235" i="23" s="1"/>
  <c r="R236" i="23" s="1"/>
  <c r="R237" i="23" s="1"/>
  <c r="R238" i="23" s="1"/>
  <c r="R239" i="23" s="1"/>
  <c r="R240" i="23" s="1"/>
  <c r="R241" i="23" s="1"/>
  <c r="R242" i="23" s="1"/>
  <c r="R243" i="23" s="1"/>
  <c r="R244" i="23" s="1"/>
  <c r="R245" i="23" s="1"/>
  <c r="R246" i="23" s="1"/>
  <c r="R247" i="23" s="1"/>
  <c r="R248" i="23" s="1"/>
  <c r="R249" i="23" s="1"/>
  <c r="R250" i="23" s="1"/>
  <c r="R251" i="23" s="1"/>
  <c r="R252" i="23" s="1"/>
  <c r="R253" i="23" s="1"/>
  <c r="R254" i="23" s="1"/>
  <c r="R255" i="23" s="1"/>
  <c r="R256" i="23" s="1"/>
  <c r="R257" i="23" s="1"/>
  <c r="R258" i="23" s="1"/>
  <c r="R259" i="23" s="1"/>
  <c r="R260" i="23" s="1"/>
  <c r="R261" i="23" s="1"/>
  <c r="R262" i="23" s="1"/>
  <c r="R263" i="23" s="1"/>
  <c r="R264" i="23" s="1"/>
  <c r="R265" i="23" s="1"/>
  <c r="R266" i="23" s="1"/>
  <c r="R267" i="23" s="1"/>
  <c r="R268" i="23" s="1"/>
  <c r="R269" i="23" s="1"/>
  <c r="R270" i="23" s="1"/>
  <c r="R271" i="23" s="1"/>
  <c r="R272" i="23" s="1"/>
  <c r="R273" i="23" s="1"/>
  <c r="R274" i="23" s="1"/>
  <c r="R275" i="23" s="1"/>
  <c r="R276" i="23" s="1"/>
  <c r="R277" i="23" s="1"/>
  <c r="R278" i="23" s="1"/>
  <c r="R279" i="23" s="1"/>
  <c r="R280" i="23" s="1"/>
  <c r="R281" i="23" s="1"/>
  <c r="R282" i="23" s="1"/>
  <c r="R283" i="23" s="1"/>
  <c r="R284" i="23" s="1"/>
  <c r="R285" i="23" s="1"/>
  <c r="R286" i="23" s="1"/>
  <c r="R287" i="23" s="1"/>
  <c r="R288" i="23" s="1"/>
  <c r="R289" i="23" s="1"/>
  <c r="R290" i="23" s="1"/>
  <c r="R291" i="23" s="1"/>
  <c r="R292" i="23" s="1"/>
  <c r="R293" i="23" s="1"/>
  <c r="R294" i="23" s="1"/>
  <c r="R295" i="23" s="1"/>
  <c r="R296" i="23" s="1"/>
  <c r="R297" i="23" s="1"/>
  <c r="R298" i="23" s="1"/>
  <c r="R299" i="23" s="1"/>
  <c r="R300" i="23" s="1"/>
  <c r="R301" i="23" s="1"/>
  <c r="R302" i="23" s="1"/>
  <c r="R303" i="23" s="1"/>
  <c r="R304" i="23" s="1"/>
  <c r="R305" i="23" s="1"/>
  <c r="R306" i="23" s="1"/>
  <c r="R307" i="23" s="1"/>
  <c r="R308" i="23" s="1"/>
  <c r="R309" i="23" s="1"/>
  <c r="R310" i="23" s="1"/>
  <c r="R311" i="23" s="1"/>
  <c r="R312" i="23" s="1"/>
  <c r="R313" i="23" s="1"/>
  <c r="R314" i="23" s="1"/>
  <c r="R315" i="23" s="1"/>
  <c r="R316" i="23" s="1"/>
  <c r="R317" i="23" s="1"/>
  <c r="R318" i="23" s="1"/>
  <c r="R319" i="23" s="1"/>
  <c r="R320" i="23" s="1"/>
  <c r="R321" i="23" s="1"/>
  <c r="R322" i="23" s="1"/>
  <c r="R323" i="23" s="1"/>
  <c r="R324" i="23" s="1"/>
  <c r="R325" i="23" s="1"/>
  <c r="R326" i="23" s="1"/>
  <c r="R327" i="23" s="1"/>
  <c r="R328" i="23" s="1"/>
  <c r="R329" i="23" s="1"/>
  <c r="R330" i="23" s="1"/>
  <c r="R331" i="23" s="1"/>
  <c r="R332" i="23" s="1"/>
  <c r="R333" i="23" s="1"/>
  <c r="R334" i="23" s="1"/>
  <c r="R335" i="23" s="1"/>
  <c r="R336" i="23" s="1"/>
  <c r="R337" i="23" s="1"/>
  <c r="R338" i="23" s="1"/>
  <c r="R339" i="23" s="1"/>
  <c r="R340" i="23" s="1"/>
  <c r="R341" i="23" s="1"/>
  <c r="R342" i="23" s="1"/>
  <c r="R343" i="23" s="1"/>
  <c r="R344" i="23" s="1"/>
  <c r="R345" i="23" s="1"/>
  <c r="R346" i="23" s="1"/>
  <c r="R347" i="23" s="1"/>
  <c r="R348" i="23" s="1"/>
  <c r="R349" i="23" s="1"/>
  <c r="R350" i="23" s="1"/>
  <c r="R351" i="23" s="1"/>
  <c r="R352" i="23" s="1"/>
  <c r="R353" i="23" s="1"/>
  <c r="R354" i="23" s="1"/>
  <c r="R355" i="23" s="1"/>
  <c r="R356" i="23" s="1"/>
  <c r="R357" i="23" s="1"/>
  <c r="R358" i="23" s="1"/>
  <c r="R359" i="23" s="1"/>
  <c r="R360" i="23" s="1"/>
  <c r="R361" i="23" s="1"/>
  <c r="R362" i="23" s="1"/>
  <c r="R363" i="23" s="1"/>
  <c r="R364" i="23" s="1"/>
  <c r="R365" i="23" s="1"/>
  <c r="R366" i="23" s="1"/>
  <c r="R367" i="23" s="1"/>
  <c r="R368" i="23" s="1"/>
  <c r="R369" i="23" s="1"/>
  <c r="R370" i="23" s="1"/>
  <c r="R371" i="23" s="1"/>
  <c r="R372" i="23" s="1"/>
  <c r="R373" i="23" s="1"/>
  <c r="R374" i="23" s="1"/>
  <c r="R375" i="23" s="1"/>
  <c r="R376" i="23" s="1"/>
  <c r="R377" i="23" s="1"/>
  <c r="R378" i="23" s="1"/>
  <c r="R379" i="23" s="1"/>
  <c r="R380" i="23" s="1"/>
  <c r="R381" i="23" s="1"/>
  <c r="R382" i="23" s="1"/>
  <c r="R383" i="23" s="1"/>
  <c r="R384" i="23" s="1"/>
  <c r="R385" i="23" s="1"/>
  <c r="R386" i="23" s="1"/>
  <c r="R387" i="23" s="1"/>
  <c r="R388" i="23" s="1"/>
  <c r="R389" i="23" s="1"/>
  <c r="R390" i="23" s="1"/>
  <c r="R391" i="23" s="1"/>
  <c r="R392" i="23" s="1"/>
  <c r="R393" i="23" s="1"/>
  <c r="R394" i="23" s="1"/>
  <c r="R395" i="23" s="1"/>
  <c r="R396" i="23" s="1"/>
  <c r="R397" i="23" s="1"/>
  <c r="R398" i="23" s="1"/>
  <c r="R399" i="23" s="1"/>
  <c r="R400" i="23" s="1"/>
  <c r="R401" i="23" s="1"/>
  <c r="R402" i="23" s="1"/>
  <c r="R403" i="23" s="1"/>
  <c r="R404" i="23" s="1"/>
  <c r="R405" i="23" s="1"/>
  <c r="R406" i="23" s="1"/>
  <c r="R407" i="23" s="1"/>
  <c r="R408" i="23" s="1"/>
  <c r="R409" i="23" s="1"/>
  <c r="R410" i="23" s="1"/>
  <c r="R411" i="23" s="1"/>
  <c r="R412" i="23" s="1"/>
  <c r="R413" i="23" s="1"/>
  <c r="R414" i="23" s="1"/>
  <c r="R415" i="23" s="1"/>
  <c r="R416" i="23" s="1"/>
  <c r="R417" i="23" s="1"/>
  <c r="R418" i="23" s="1"/>
  <c r="R419" i="23" s="1"/>
  <c r="R420" i="23" s="1"/>
  <c r="R421" i="23" s="1"/>
  <c r="R422" i="23" s="1"/>
  <c r="R423" i="23" s="1"/>
  <c r="R424" i="23" s="1"/>
  <c r="R425" i="23" s="1"/>
  <c r="R426" i="23" s="1"/>
  <c r="R427" i="23" s="1"/>
  <c r="R428" i="23" s="1"/>
  <c r="R429" i="23" s="1"/>
  <c r="R430" i="23" s="1"/>
  <c r="R431" i="23" s="1"/>
  <c r="R432" i="23" s="1"/>
  <c r="R433" i="23" s="1"/>
  <c r="R434" i="23" s="1"/>
  <c r="R435" i="23" s="1"/>
  <c r="R436" i="23" s="1"/>
  <c r="R437" i="23" s="1"/>
  <c r="R438" i="23" s="1"/>
  <c r="R439" i="23" s="1"/>
  <c r="R440" i="23" s="1"/>
  <c r="R441" i="23" s="1"/>
  <c r="R442" i="23" s="1"/>
  <c r="R443" i="23" s="1"/>
  <c r="R444" i="23" s="1"/>
  <c r="R445" i="23" s="1"/>
  <c r="R446" i="23" s="1"/>
  <c r="R447" i="23" s="1"/>
  <c r="R448" i="23" s="1"/>
  <c r="R449" i="23" s="1"/>
  <c r="R450" i="23" s="1"/>
  <c r="R451" i="23" s="1"/>
  <c r="R452" i="23" s="1"/>
  <c r="R453" i="23" s="1"/>
  <c r="R454" i="23" s="1"/>
  <c r="R455" i="23" s="1"/>
  <c r="R456" i="23" s="1"/>
  <c r="R457" i="23" s="1"/>
  <c r="R458" i="23" s="1"/>
  <c r="R459" i="23" s="1"/>
  <c r="R460" i="23" s="1"/>
  <c r="R461" i="23" s="1"/>
  <c r="R462" i="23" s="1"/>
  <c r="R463" i="23" s="1"/>
  <c r="R464" i="23" s="1"/>
  <c r="R465" i="23" s="1"/>
  <c r="R466" i="23" s="1"/>
  <c r="R467" i="23" s="1"/>
  <c r="R468" i="23" s="1"/>
  <c r="R469" i="23" s="1"/>
  <c r="R470" i="23" s="1"/>
  <c r="R471" i="23" s="1"/>
  <c r="R472" i="23" s="1"/>
  <c r="R473" i="23" s="1"/>
  <c r="R474" i="23" s="1"/>
  <c r="R475" i="23" s="1"/>
  <c r="R476" i="23" s="1"/>
  <c r="R477" i="23" s="1"/>
  <c r="R478" i="23" s="1"/>
  <c r="R479" i="23" s="1"/>
  <c r="R480" i="23" s="1"/>
  <c r="R481" i="23" s="1"/>
  <c r="R482" i="23" s="1"/>
  <c r="R483" i="23" s="1"/>
  <c r="R484" i="23" s="1"/>
  <c r="R485" i="23" s="1"/>
  <c r="R486" i="23" s="1"/>
  <c r="R487" i="23" s="1"/>
  <c r="R488" i="23" s="1"/>
  <c r="R489" i="23" s="1"/>
  <c r="B131" i="5"/>
  <c r="M131" i="5"/>
  <c r="AA131" i="5"/>
  <c r="B476" i="7" l="1"/>
  <c r="B477" i="7"/>
  <c r="B478" i="7"/>
  <c r="B479" i="7"/>
  <c r="B480" i="7"/>
  <c r="B481" i="7"/>
  <c r="B482" i="7"/>
  <c r="B483" i="7"/>
  <c r="B484" i="7"/>
  <c r="B485" i="7"/>
  <c r="B486" i="7"/>
  <c r="B487" i="7"/>
  <c r="B488" i="7"/>
  <c r="B489" i="7"/>
  <c r="B490" i="7"/>
  <c r="B491" i="7"/>
  <c r="B492" i="7"/>
  <c r="B493" i="7"/>
  <c r="B494" i="7"/>
  <c r="M476" i="7"/>
  <c r="M477" i="7"/>
  <c r="M478" i="7"/>
  <c r="M479" i="7"/>
  <c r="M480" i="7"/>
  <c r="M481" i="7"/>
  <c r="M482" i="7"/>
  <c r="M483" i="7"/>
  <c r="M484" i="7"/>
  <c r="M485" i="7"/>
  <c r="M486" i="7"/>
  <c r="M487" i="7"/>
  <c r="M488" i="7"/>
  <c r="M489" i="7"/>
  <c r="M490" i="7"/>
  <c r="M491" i="7"/>
  <c r="M492" i="7"/>
  <c r="M493" i="7"/>
  <c r="M494" i="7"/>
  <c r="P476" i="7"/>
  <c r="X476" i="7" s="1"/>
  <c r="P477" i="7"/>
  <c r="X477" i="7" s="1"/>
  <c r="P478" i="7"/>
  <c r="X478" i="7" s="1"/>
  <c r="P479" i="7"/>
  <c r="X479" i="7" s="1"/>
  <c r="P480" i="7"/>
  <c r="X480" i="7" s="1"/>
  <c r="P481" i="7"/>
  <c r="X481" i="7" s="1"/>
  <c r="P482" i="7"/>
  <c r="X482" i="7" s="1"/>
  <c r="P483" i="7"/>
  <c r="X483" i="7" s="1"/>
  <c r="P484" i="7"/>
  <c r="X484" i="7" s="1"/>
  <c r="P485" i="7"/>
  <c r="X485" i="7" s="1"/>
  <c r="P486" i="7"/>
  <c r="X486" i="7" s="1"/>
  <c r="P487" i="7"/>
  <c r="X487" i="7" s="1"/>
  <c r="P488" i="7"/>
  <c r="X488" i="7" s="1"/>
  <c r="P489" i="7"/>
  <c r="X489" i="7" s="1"/>
  <c r="P490" i="7"/>
  <c r="X490" i="7" s="1"/>
  <c r="P491" i="7"/>
  <c r="X491" i="7" s="1"/>
  <c r="P492" i="7"/>
  <c r="X492" i="7" s="1"/>
  <c r="P493" i="7"/>
  <c r="X493" i="7" s="1"/>
  <c r="P494" i="7"/>
  <c r="X494" i="7" s="1"/>
  <c r="Q476" i="7"/>
  <c r="Q477" i="7"/>
  <c r="Q478" i="7"/>
  <c r="Q479" i="7"/>
  <c r="Q480" i="7"/>
  <c r="Q481" i="7"/>
  <c r="Q482" i="7"/>
  <c r="Q483" i="7"/>
  <c r="Q484" i="7"/>
  <c r="Q485" i="7"/>
  <c r="Q486" i="7"/>
  <c r="Q487" i="7"/>
  <c r="Q488" i="7"/>
  <c r="Q489" i="7"/>
  <c r="Q490" i="7"/>
  <c r="Q491" i="7"/>
  <c r="Q492" i="7"/>
  <c r="Q493" i="7"/>
  <c r="Q494" i="7"/>
  <c r="B237" i="12" l="1"/>
  <c r="B238" i="12"/>
  <c r="B239" i="12"/>
  <c r="B240" i="12"/>
  <c r="B241" i="12"/>
  <c r="B242" i="12"/>
  <c r="B243" i="12"/>
  <c r="B244" i="12"/>
  <c r="B245" i="12"/>
  <c r="B246" i="12"/>
  <c r="B247" i="12"/>
  <c r="B248" i="12"/>
  <c r="B249" i="12"/>
  <c r="B250" i="12"/>
  <c r="B251" i="12"/>
  <c r="B252" i="12"/>
  <c r="M237" i="12"/>
  <c r="M238" i="12"/>
  <c r="M239" i="12"/>
  <c r="M240" i="12"/>
  <c r="M241" i="12"/>
  <c r="M242" i="12"/>
  <c r="M243" i="12"/>
  <c r="M244" i="12"/>
  <c r="M245" i="12"/>
  <c r="M246" i="12"/>
  <c r="M247" i="12"/>
  <c r="M248" i="12"/>
  <c r="M249" i="12"/>
  <c r="M250" i="12"/>
  <c r="M251" i="12"/>
  <c r="M252" i="12"/>
  <c r="P237" i="12"/>
  <c r="P238" i="12"/>
  <c r="P239" i="12"/>
  <c r="P240" i="12"/>
  <c r="P241" i="12"/>
  <c r="P242" i="12"/>
  <c r="P243" i="12"/>
  <c r="P244" i="12"/>
  <c r="P245" i="12"/>
  <c r="P246" i="12"/>
  <c r="P247" i="12"/>
  <c r="P248" i="12"/>
  <c r="P249" i="12"/>
  <c r="P250" i="12"/>
  <c r="P251" i="12"/>
  <c r="P252" i="12"/>
  <c r="Q237" i="12"/>
  <c r="Q238" i="12"/>
  <c r="Q239" i="12"/>
  <c r="Q240" i="12"/>
  <c r="Q241" i="12"/>
  <c r="Q242" i="12"/>
  <c r="Q243" i="12"/>
  <c r="Q244" i="12"/>
  <c r="Q245" i="12"/>
  <c r="Q246" i="12"/>
  <c r="Q247" i="12"/>
  <c r="Q248" i="12"/>
  <c r="Q249" i="12"/>
  <c r="Q250" i="12"/>
  <c r="Q251" i="12"/>
  <c r="Q252" i="12"/>
  <c r="X237" i="12"/>
  <c r="X238" i="12"/>
  <c r="X239" i="12"/>
  <c r="X240" i="12"/>
  <c r="X241" i="12"/>
  <c r="X242" i="12"/>
  <c r="X243" i="12"/>
  <c r="X244" i="12"/>
  <c r="X245" i="12"/>
  <c r="X246" i="12"/>
  <c r="X247" i="12"/>
  <c r="X248" i="12"/>
  <c r="X249" i="12"/>
  <c r="X250" i="12"/>
  <c r="X251" i="12"/>
  <c r="X252" i="12"/>
  <c r="AA237" i="12"/>
  <c r="AA238" i="12"/>
  <c r="AA239" i="12"/>
  <c r="AA240" i="12"/>
  <c r="AA241" i="12"/>
  <c r="AA242" i="12"/>
  <c r="AA243" i="12"/>
  <c r="AA244" i="12"/>
  <c r="AA245" i="12"/>
  <c r="AA246" i="12"/>
  <c r="AA247" i="12"/>
  <c r="AA248" i="12"/>
  <c r="AA249" i="12"/>
  <c r="AA250" i="12"/>
  <c r="AA251" i="12"/>
  <c r="AA252" i="12"/>
  <c r="B330" i="10"/>
  <c r="B331" i="10"/>
  <c r="B332" i="10"/>
  <c r="B333" i="10"/>
  <c r="B334" i="10"/>
  <c r="B335" i="10"/>
  <c r="B336" i="10"/>
  <c r="B337" i="10"/>
  <c r="B338" i="10"/>
  <c r="M330" i="10"/>
  <c r="M331" i="10"/>
  <c r="M332" i="10"/>
  <c r="M333" i="10"/>
  <c r="M334" i="10"/>
  <c r="M335" i="10"/>
  <c r="M336" i="10"/>
  <c r="M337" i="10"/>
  <c r="M338" i="10"/>
  <c r="P330" i="10"/>
  <c r="P331" i="10"/>
  <c r="P332" i="10"/>
  <c r="P333" i="10"/>
  <c r="P334" i="10"/>
  <c r="P335" i="10"/>
  <c r="P336" i="10"/>
  <c r="P337" i="10"/>
  <c r="P338" i="10"/>
  <c r="Q330" i="10"/>
  <c r="Q331" i="10"/>
  <c r="Q332" i="10"/>
  <c r="Q333" i="10"/>
  <c r="Q334" i="10"/>
  <c r="Q335" i="10"/>
  <c r="Q336" i="10"/>
  <c r="Q337" i="10"/>
  <c r="Q338" i="10"/>
  <c r="B365" i="18"/>
  <c r="M365" i="18"/>
  <c r="Q365" i="18"/>
  <c r="X365" i="18"/>
  <c r="AA365" i="18"/>
  <c r="B364" i="18"/>
  <c r="M364" i="18"/>
  <c r="Q364" i="18"/>
  <c r="X364" i="18"/>
  <c r="AA364" i="18"/>
  <c r="B363" i="18"/>
  <c r="M363" i="18"/>
  <c r="Q363" i="18"/>
  <c r="X363" i="18"/>
  <c r="AA363" i="18"/>
  <c r="B362" i="18"/>
  <c r="M362" i="18"/>
  <c r="Q362" i="18"/>
  <c r="X362" i="18"/>
  <c r="AA362" i="18"/>
  <c r="AB656" i="9"/>
  <c r="R656" i="9"/>
  <c r="Q656" i="9"/>
  <c r="N656" i="9"/>
  <c r="B656" i="9"/>
  <c r="AB655" i="9"/>
  <c r="R655" i="9"/>
  <c r="Q655" i="9"/>
  <c r="N655" i="9"/>
  <c r="B655" i="9"/>
  <c r="AB654" i="9"/>
  <c r="R654" i="9"/>
  <c r="Q654" i="9"/>
  <c r="N654" i="9"/>
  <c r="B654" i="9"/>
  <c r="AB653" i="9"/>
  <c r="R653" i="9"/>
  <c r="Q653" i="9"/>
  <c r="N653" i="9"/>
  <c r="B653" i="9"/>
  <c r="AB652" i="9"/>
  <c r="R652" i="9"/>
  <c r="Q652" i="9"/>
  <c r="N652" i="9"/>
  <c r="B652" i="9"/>
  <c r="AB651" i="9"/>
  <c r="R651" i="9"/>
  <c r="Q651" i="9"/>
  <c r="N651" i="9"/>
  <c r="B651" i="9"/>
  <c r="AA289" i="3" l="1"/>
  <c r="Q289" i="3"/>
  <c r="P289" i="3"/>
  <c r="M289" i="3"/>
  <c r="B289" i="3"/>
  <c r="B285" i="3" l="1"/>
  <c r="M285" i="3"/>
  <c r="P285" i="3"/>
  <c r="Q285" i="3"/>
  <c r="AA285" i="3"/>
  <c r="B286" i="3" l="1"/>
  <c r="M286" i="3"/>
  <c r="P286" i="3"/>
  <c r="Q286" i="3"/>
  <c r="AA286" i="3"/>
  <c r="B650" i="9" l="1"/>
  <c r="N650" i="9"/>
  <c r="Q650" i="9"/>
  <c r="R650" i="9"/>
  <c r="AB650" i="9"/>
  <c r="B649" i="9"/>
  <c r="N649" i="9"/>
  <c r="Q649" i="9"/>
  <c r="R649" i="9"/>
  <c r="AB649" i="9"/>
  <c r="B648" i="9"/>
  <c r="N648" i="9"/>
  <c r="Q648" i="9"/>
  <c r="R648" i="9"/>
  <c r="AB648" i="9"/>
  <c r="B630" i="8"/>
  <c r="N630" i="8"/>
  <c r="Q630" i="8"/>
  <c r="R630" i="8"/>
  <c r="AB630" i="8"/>
  <c r="B647" i="9" l="1"/>
  <c r="N647" i="9"/>
  <c r="Q647" i="9"/>
  <c r="R647" i="9"/>
  <c r="AB647" i="9"/>
  <c r="B629" i="8"/>
  <c r="N629" i="8"/>
  <c r="Q629" i="8"/>
  <c r="R629" i="8"/>
  <c r="AB629" i="8"/>
  <c r="B646" i="9"/>
  <c r="N646" i="9"/>
  <c r="Q646" i="9"/>
  <c r="R646" i="9"/>
  <c r="AB646" i="9"/>
  <c r="B645" i="9"/>
  <c r="N645" i="9"/>
  <c r="Q645" i="9"/>
  <c r="R645" i="9"/>
  <c r="AB645" i="9"/>
  <c r="B614" i="8" l="1"/>
  <c r="N614" i="8"/>
  <c r="Q614" i="8"/>
  <c r="R614" i="8"/>
  <c r="AB614" i="8"/>
  <c r="B613" i="8"/>
  <c r="N613" i="8"/>
  <c r="Q613" i="8"/>
  <c r="R613" i="8"/>
  <c r="AB613" i="8"/>
  <c r="Q329" i="10" l="1"/>
  <c r="P329" i="10"/>
  <c r="M329" i="10"/>
  <c r="B329" i="10"/>
  <c r="Q328" i="10"/>
  <c r="P328" i="10"/>
  <c r="M328" i="10"/>
  <c r="B328" i="10"/>
  <c r="Q327" i="10"/>
  <c r="P327" i="10"/>
  <c r="M327" i="10"/>
  <c r="B327" i="10"/>
  <c r="B644" i="9"/>
  <c r="N644" i="9"/>
  <c r="Q644" i="9"/>
  <c r="R644" i="9"/>
  <c r="AB644" i="9"/>
  <c r="B643" i="9"/>
  <c r="N643" i="9"/>
  <c r="Q643" i="9"/>
  <c r="R643" i="9"/>
  <c r="AB643" i="9"/>
  <c r="AA100" i="19" l="1"/>
  <c r="X100" i="19"/>
  <c r="Q100" i="19"/>
  <c r="P100" i="19"/>
  <c r="M100" i="19"/>
  <c r="B100" i="19"/>
  <c r="AA99" i="19"/>
  <c r="X99" i="19"/>
  <c r="Q99" i="19"/>
  <c r="P99" i="19"/>
  <c r="M99" i="19"/>
  <c r="B99" i="19"/>
  <c r="B628" i="8" l="1"/>
  <c r="N628" i="8"/>
  <c r="Q628" i="8"/>
  <c r="R628" i="8"/>
  <c r="AB628" i="8"/>
  <c r="B642" i="9"/>
  <c r="N642" i="9"/>
  <c r="Q642" i="9"/>
  <c r="R642" i="9"/>
  <c r="AB642" i="9"/>
  <c r="B627" i="8" l="1"/>
  <c r="N627" i="8"/>
  <c r="Q627" i="8"/>
  <c r="R627" i="8"/>
  <c r="AB627" i="8"/>
  <c r="B641" i="9" l="1"/>
  <c r="N641" i="9"/>
  <c r="Q641" i="9"/>
  <c r="R641" i="9"/>
  <c r="AB641" i="9"/>
  <c r="Q619" i="8" l="1"/>
  <c r="R620" i="8"/>
  <c r="R2" i="8"/>
  <c r="R3" i="8"/>
  <c r="R4" i="8"/>
  <c r="R5" i="8"/>
  <c r="R6" i="8"/>
  <c r="R7" i="8"/>
  <c r="R8" i="8"/>
  <c r="R9" i="8"/>
  <c r="R10" i="8"/>
  <c r="R11" i="8"/>
  <c r="R12" i="8"/>
  <c r="R13" i="8"/>
  <c r="R14" i="8"/>
  <c r="R15" i="8"/>
  <c r="R16" i="8"/>
  <c r="R19" i="8"/>
  <c r="R20" i="8"/>
  <c r="R21" i="8"/>
  <c r="R22" i="8"/>
  <c r="R23" i="8"/>
  <c r="R24" i="8"/>
  <c r="R25" i="8"/>
  <c r="R26" i="8"/>
  <c r="R27" i="8"/>
  <c r="R28" i="8"/>
  <c r="R29" i="8"/>
  <c r="R30" i="8"/>
  <c r="R31" i="8"/>
  <c r="R32" i="8"/>
  <c r="R33" i="8"/>
  <c r="R34" i="8"/>
  <c r="R35" i="8"/>
  <c r="R36" i="8"/>
  <c r="R37" i="8"/>
  <c r="R38" i="8"/>
  <c r="R39" i="8"/>
  <c r="R40" i="8"/>
  <c r="R41" i="8"/>
  <c r="R42" i="8"/>
  <c r="R43" i="8"/>
  <c r="R44" i="8"/>
  <c r="R45" i="8"/>
  <c r="R46" i="8"/>
  <c r="R47" i="8"/>
  <c r="R48" i="8"/>
  <c r="R49" i="8"/>
  <c r="R50" i="8"/>
  <c r="R51" i="8"/>
  <c r="R52" i="8"/>
  <c r="R53" i="8"/>
  <c r="R54" i="8"/>
  <c r="R55" i="8"/>
  <c r="R56" i="8"/>
  <c r="R57" i="8"/>
  <c r="R58" i="8"/>
  <c r="R59" i="8"/>
  <c r="R60" i="8"/>
  <c r="R61" i="8"/>
  <c r="R62" i="8"/>
  <c r="R63" i="8"/>
  <c r="R64" i="8"/>
  <c r="R69" i="8"/>
  <c r="R70" i="8"/>
  <c r="R71" i="8"/>
  <c r="R72" i="8"/>
  <c r="R73" i="8"/>
  <c r="R74" i="8"/>
  <c r="R75" i="8"/>
  <c r="R76" i="8"/>
  <c r="R77" i="8"/>
  <c r="R78" i="8"/>
  <c r="R79" i="8"/>
  <c r="R80" i="8"/>
  <c r="R81" i="8"/>
  <c r="R82" i="8"/>
  <c r="R83" i="8"/>
  <c r="R84" i="8"/>
  <c r="R85" i="8"/>
  <c r="R86" i="8"/>
  <c r="R87" i="8"/>
  <c r="R88" i="8"/>
  <c r="R89" i="8"/>
  <c r="R90" i="8"/>
  <c r="R91" i="8"/>
  <c r="R92" i="8"/>
  <c r="R93" i="8"/>
  <c r="R94" i="8"/>
  <c r="R95" i="8"/>
  <c r="R96" i="8"/>
  <c r="R97" i="8"/>
  <c r="R98" i="8"/>
  <c r="R99" i="8"/>
  <c r="R100" i="8"/>
  <c r="R101" i="8"/>
  <c r="R102" i="8"/>
  <c r="R103" i="8"/>
  <c r="R104" i="8"/>
  <c r="R105" i="8"/>
  <c r="R106" i="8"/>
  <c r="R107" i="8"/>
  <c r="R108" i="8"/>
  <c r="R109" i="8"/>
  <c r="R110" i="8"/>
  <c r="R111" i="8"/>
  <c r="R112" i="8"/>
  <c r="R113" i="8"/>
  <c r="R114" i="8"/>
  <c r="R115" i="8"/>
  <c r="R116" i="8"/>
  <c r="R117" i="8"/>
  <c r="R118" i="8"/>
  <c r="R119" i="8"/>
  <c r="R120" i="8"/>
  <c r="R121" i="8"/>
  <c r="R122" i="8"/>
  <c r="R123" i="8"/>
  <c r="R124" i="8"/>
  <c r="R125" i="8"/>
  <c r="R126" i="8"/>
  <c r="R129" i="8"/>
  <c r="R130" i="8"/>
  <c r="R131" i="8"/>
  <c r="R132" i="8"/>
  <c r="R133" i="8"/>
  <c r="R134" i="8"/>
  <c r="R135" i="8"/>
  <c r="R136" i="8"/>
  <c r="R137" i="8"/>
  <c r="R138" i="8"/>
  <c r="R139" i="8"/>
  <c r="R140" i="8"/>
  <c r="R141" i="8"/>
  <c r="R142" i="8"/>
  <c r="R143" i="8"/>
  <c r="R144" i="8"/>
  <c r="R145" i="8"/>
  <c r="R146" i="8"/>
  <c r="R147" i="8"/>
  <c r="R148" i="8"/>
  <c r="R149" i="8"/>
  <c r="R150" i="8"/>
  <c r="R151" i="8"/>
  <c r="R152" i="8"/>
  <c r="R153" i="8"/>
  <c r="R154" i="8"/>
  <c r="R155" i="8"/>
  <c r="R156" i="8"/>
  <c r="R157" i="8"/>
  <c r="R158" i="8"/>
  <c r="R159" i="8"/>
  <c r="R160" i="8"/>
  <c r="R161" i="8"/>
  <c r="R162" i="8"/>
  <c r="R163" i="8"/>
  <c r="R164" i="8"/>
  <c r="R165" i="8"/>
  <c r="R166" i="8"/>
  <c r="R167" i="8"/>
  <c r="R168" i="8"/>
  <c r="R169" i="8"/>
  <c r="R170" i="8"/>
  <c r="R171" i="8"/>
  <c r="R172" i="8"/>
  <c r="R173" i="8"/>
  <c r="R174" i="8"/>
  <c r="R175" i="8"/>
  <c r="R176" i="8"/>
  <c r="R177" i="8"/>
  <c r="R178" i="8"/>
  <c r="R179" i="8"/>
  <c r="R180" i="8"/>
  <c r="R181" i="8"/>
  <c r="R182" i="8"/>
  <c r="R183" i="8"/>
  <c r="R184" i="8"/>
  <c r="R185" i="8"/>
  <c r="R186" i="8"/>
  <c r="R187" i="8"/>
  <c r="R188" i="8"/>
  <c r="R189" i="8"/>
  <c r="R190" i="8"/>
  <c r="R191" i="8"/>
  <c r="R192" i="8"/>
  <c r="R193" i="8"/>
  <c r="R194" i="8"/>
  <c r="R195" i="8"/>
  <c r="R196" i="8"/>
  <c r="R197" i="8"/>
  <c r="R198" i="8"/>
  <c r="R199" i="8"/>
  <c r="R200" i="8"/>
  <c r="R201" i="8"/>
  <c r="R202" i="8"/>
  <c r="R203" i="8"/>
  <c r="R204" i="8"/>
  <c r="R205" i="8"/>
  <c r="R206" i="8"/>
  <c r="R207" i="8"/>
  <c r="R208" i="8"/>
  <c r="R209" i="8"/>
  <c r="R210" i="8"/>
  <c r="R211" i="8"/>
  <c r="R212" i="8"/>
  <c r="R215" i="8"/>
  <c r="R216" i="8"/>
  <c r="R217" i="8"/>
  <c r="R218" i="8"/>
  <c r="R219" i="8"/>
  <c r="R220" i="8"/>
  <c r="R221" i="8"/>
  <c r="R222" i="8"/>
  <c r="R223" i="8"/>
  <c r="R224" i="8"/>
  <c r="R225" i="8"/>
  <c r="R226" i="8"/>
  <c r="R227" i="8"/>
  <c r="R228" i="8"/>
  <c r="R229" i="8"/>
  <c r="R230" i="8"/>
  <c r="R231" i="8"/>
  <c r="R232" i="8"/>
  <c r="R233" i="8"/>
  <c r="R234" i="8"/>
  <c r="R235" i="8"/>
  <c r="R236" i="8"/>
  <c r="R237" i="8"/>
  <c r="R238" i="8"/>
  <c r="R239" i="8"/>
  <c r="R242" i="8"/>
  <c r="R243" i="8"/>
  <c r="R244" i="8"/>
  <c r="R245" i="8"/>
  <c r="R246" i="8"/>
  <c r="R247" i="8"/>
  <c r="R248" i="8"/>
  <c r="R249" i="8"/>
  <c r="R250" i="8"/>
  <c r="R251" i="8"/>
  <c r="R254" i="8"/>
  <c r="R255" i="8"/>
  <c r="R256" i="8"/>
  <c r="R257" i="8"/>
  <c r="R258" i="8"/>
  <c r="R259" i="8"/>
  <c r="R260" i="8"/>
  <c r="R261" i="8"/>
  <c r="R262" i="8"/>
  <c r="R263" i="8"/>
  <c r="R264" i="8"/>
  <c r="R265" i="8"/>
  <c r="R266" i="8"/>
  <c r="R267" i="8"/>
  <c r="R268" i="8"/>
  <c r="R269" i="8"/>
  <c r="R270" i="8"/>
  <c r="R271" i="8"/>
  <c r="R272" i="8"/>
  <c r="R273" i="8"/>
  <c r="R274" i="8"/>
  <c r="R275" i="8"/>
  <c r="R276" i="8"/>
  <c r="R277" i="8"/>
  <c r="R278" i="8"/>
  <c r="R279" i="8"/>
  <c r="R280" i="8"/>
  <c r="R281" i="8"/>
  <c r="R282" i="8"/>
  <c r="R283" i="8"/>
  <c r="R284" i="8"/>
  <c r="R285" i="8"/>
  <c r="R286" i="8"/>
  <c r="R287" i="8"/>
  <c r="R288" i="8"/>
  <c r="R291" i="8"/>
  <c r="R292" i="8"/>
  <c r="R293" i="8"/>
  <c r="R294" i="8"/>
  <c r="R295" i="8"/>
  <c r="R296" i="8"/>
  <c r="R297" i="8"/>
  <c r="R298" i="8"/>
  <c r="R299" i="8"/>
  <c r="R300" i="8"/>
  <c r="R301" i="8"/>
  <c r="R302" i="8"/>
  <c r="R303" i="8"/>
  <c r="R304" i="8"/>
  <c r="R305" i="8"/>
  <c r="R306" i="8"/>
  <c r="R307" i="8"/>
  <c r="R308" i="8"/>
  <c r="R309" i="8"/>
  <c r="R310" i="8"/>
  <c r="R311" i="8"/>
  <c r="R312" i="8"/>
  <c r="R313" i="8"/>
  <c r="R314" i="8"/>
  <c r="R315" i="8"/>
  <c r="R316" i="8"/>
  <c r="R317" i="8"/>
  <c r="R318" i="8"/>
  <c r="R319" i="8"/>
  <c r="R320" i="8"/>
  <c r="R324" i="8"/>
  <c r="R325" i="8"/>
  <c r="R326" i="8"/>
  <c r="R327" i="8"/>
  <c r="R328" i="8"/>
  <c r="R329" i="8"/>
  <c r="R333" i="8"/>
  <c r="R334" i="8"/>
  <c r="R335" i="8"/>
  <c r="R336" i="8"/>
  <c r="R337" i="8"/>
  <c r="R338" i="8"/>
  <c r="R339" i="8"/>
  <c r="R340" i="8"/>
  <c r="R341" i="8"/>
  <c r="R342" i="8"/>
  <c r="R345" i="8"/>
  <c r="R346" i="8"/>
  <c r="R347" i="8"/>
  <c r="R348" i="8"/>
  <c r="R352" i="8"/>
  <c r="R353" i="8"/>
  <c r="R354" i="8"/>
  <c r="R355" i="8"/>
  <c r="R356" i="8"/>
  <c r="R357" i="8"/>
  <c r="R358" i="8"/>
  <c r="R359" i="8"/>
  <c r="R360" i="8"/>
  <c r="R361" i="8"/>
  <c r="R362" i="8"/>
  <c r="R365" i="8"/>
  <c r="R366" i="8"/>
  <c r="R367" i="8"/>
  <c r="R368" i="8"/>
  <c r="R369" i="8"/>
  <c r="R370" i="8"/>
  <c r="R371" i="8"/>
  <c r="R372" i="8"/>
  <c r="R373" i="8"/>
  <c r="R376" i="8"/>
  <c r="R377" i="8"/>
  <c r="R378" i="8"/>
  <c r="R379" i="8"/>
  <c r="R380" i="8"/>
  <c r="R381" i="8"/>
  <c r="R382" i="8"/>
  <c r="R383" i="8"/>
  <c r="R384" i="8"/>
  <c r="R385" i="8"/>
  <c r="R386" i="8"/>
  <c r="R387" i="8"/>
  <c r="R388" i="8"/>
  <c r="R389" i="8"/>
  <c r="R390" i="8"/>
  <c r="R391" i="8"/>
  <c r="R392" i="8"/>
  <c r="R393" i="8"/>
  <c r="R394" i="8"/>
  <c r="R395" i="8"/>
  <c r="R396" i="8"/>
  <c r="R404" i="8"/>
  <c r="R405" i="8"/>
  <c r="R406" i="8"/>
  <c r="R407" i="8"/>
  <c r="R408" i="8"/>
  <c r="R409" i="8"/>
  <c r="R410" i="8"/>
  <c r="R411" i="8"/>
  <c r="R412" i="8"/>
  <c r="R413" i="8"/>
  <c r="R414" i="8"/>
  <c r="R415" i="8"/>
  <c r="R416" i="8"/>
  <c r="R417" i="8"/>
  <c r="R420" i="8"/>
  <c r="R421" i="8"/>
  <c r="R422" i="8"/>
  <c r="R423" i="8"/>
  <c r="R424" i="8"/>
  <c r="R425" i="8"/>
  <c r="R426" i="8"/>
  <c r="R427" i="8"/>
  <c r="R428" i="8"/>
  <c r="R429" i="8"/>
  <c r="R432" i="8"/>
  <c r="R433" i="8"/>
  <c r="R434" i="8"/>
  <c r="R435" i="8"/>
  <c r="R436" i="8"/>
  <c r="R437" i="8"/>
  <c r="R438" i="8"/>
  <c r="R441" i="8"/>
  <c r="R442" i="8"/>
  <c r="R443" i="8"/>
  <c r="R444" i="8"/>
  <c r="R445" i="8"/>
  <c r="R446" i="8"/>
  <c r="R447" i="8"/>
  <c r="R448" i="8"/>
  <c r="R449" i="8"/>
  <c r="R450" i="8"/>
  <c r="R451" i="8"/>
  <c r="R452" i="8"/>
  <c r="R453" i="8"/>
  <c r="R454" i="8"/>
  <c r="R455" i="8"/>
  <c r="R456" i="8"/>
  <c r="R457" i="8"/>
  <c r="R458" i="8"/>
  <c r="R459" i="8"/>
  <c r="R460" i="8"/>
  <c r="R461" i="8"/>
  <c r="R462" i="8"/>
  <c r="R463" i="8"/>
  <c r="R464" i="8"/>
  <c r="R465" i="8"/>
  <c r="R466" i="8"/>
  <c r="R467" i="8"/>
  <c r="R468" i="8"/>
  <c r="R469" i="8"/>
  <c r="R470" i="8"/>
  <c r="R471" i="8"/>
  <c r="R472" i="8"/>
  <c r="R473" i="8"/>
  <c r="R474" i="8"/>
  <c r="R475" i="8"/>
  <c r="R476" i="8"/>
  <c r="R481" i="8"/>
  <c r="R482" i="8"/>
  <c r="R483" i="8"/>
  <c r="R484" i="8"/>
  <c r="R485" i="8"/>
  <c r="R486" i="8"/>
  <c r="R487" i="8"/>
  <c r="R488" i="8"/>
  <c r="R489" i="8"/>
  <c r="R490" i="8"/>
  <c r="R491" i="8"/>
  <c r="R492" i="8"/>
  <c r="R493" i="8"/>
  <c r="R494" i="8"/>
  <c r="R495" i="8"/>
  <c r="R496" i="8"/>
  <c r="R497" i="8"/>
  <c r="R503" i="8"/>
  <c r="R506" i="8"/>
  <c r="R507" i="8"/>
  <c r="R508" i="8"/>
  <c r="R509" i="8"/>
  <c r="R510" i="8"/>
  <c r="R511" i="8"/>
  <c r="R512" i="8"/>
  <c r="R513" i="8"/>
  <c r="R514" i="8"/>
  <c r="R515" i="8"/>
  <c r="R516" i="8"/>
  <c r="R517" i="8"/>
  <c r="R518" i="8"/>
  <c r="R519" i="8"/>
  <c r="R520" i="8"/>
  <c r="R521" i="8"/>
  <c r="R522" i="8"/>
  <c r="R523" i="8"/>
  <c r="R524" i="8"/>
  <c r="R525" i="8"/>
  <c r="R526" i="8"/>
  <c r="R527" i="8"/>
  <c r="R528" i="8"/>
  <c r="R531" i="8"/>
  <c r="R532" i="8"/>
  <c r="R533" i="8"/>
  <c r="R534" i="8"/>
  <c r="R535" i="8"/>
  <c r="R536" i="8"/>
  <c r="R537" i="8"/>
  <c r="R538" i="8"/>
  <c r="R539" i="8"/>
  <c r="R540" i="8"/>
  <c r="R541" i="8"/>
  <c r="R542" i="8"/>
  <c r="R543" i="8"/>
  <c r="R544" i="8"/>
  <c r="R545" i="8"/>
  <c r="R546" i="8"/>
  <c r="R547" i="8"/>
  <c r="R548" i="8"/>
  <c r="R549" i="8"/>
  <c r="R550" i="8"/>
  <c r="R551" i="8"/>
  <c r="R552" i="8"/>
  <c r="R553" i="8"/>
  <c r="R554" i="8"/>
  <c r="R555" i="8"/>
  <c r="R556" i="8"/>
  <c r="R557" i="8"/>
  <c r="R558" i="8"/>
  <c r="R559" i="8"/>
  <c r="R560" i="8"/>
  <c r="R561" i="8"/>
  <c r="R562" i="8"/>
  <c r="R563" i="8"/>
  <c r="R564" i="8"/>
  <c r="R565" i="8"/>
  <c r="R566" i="8"/>
  <c r="R567" i="8"/>
  <c r="R568" i="8"/>
  <c r="R569" i="8"/>
  <c r="R570" i="8"/>
  <c r="R571" i="8"/>
  <c r="R572" i="8"/>
  <c r="R573" i="8"/>
  <c r="R574" i="8"/>
  <c r="R575" i="8"/>
  <c r="R576" i="8"/>
  <c r="R577" i="8"/>
  <c r="R578" i="8"/>
  <c r="R579" i="8"/>
  <c r="R580" i="8"/>
  <c r="R581" i="8"/>
  <c r="R582" i="8"/>
  <c r="R583" i="8"/>
  <c r="R584" i="8"/>
  <c r="R585" i="8"/>
  <c r="R586" i="8"/>
  <c r="R587" i="8"/>
  <c r="R588" i="8"/>
  <c r="R589" i="8"/>
  <c r="R590" i="8"/>
  <c r="R591" i="8"/>
  <c r="R592" i="8"/>
  <c r="R593" i="8"/>
  <c r="R594" i="8"/>
  <c r="R595" i="8"/>
  <c r="R596" i="8"/>
  <c r="R597" i="8"/>
  <c r="R598" i="8"/>
  <c r="R599" i="8"/>
  <c r="R600" i="8"/>
  <c r="R601" i="8"/>
  <c r="R602" i="8"/>
  <c r="R603" i="8"/>
  <c r="R604" i="8"/>
  <c r="R605" i="8"/>
  <c r="R606" i="8"/>
  <c r="R607" i="8"/>
  <c r="R608" i="8"/>
  <c r="R609" i="8"/>
  <c r="R610" i="8"/>
  <c r="R611" i="8"/>
  <c r="R615" i="8"/>
  <c r="R616" i="8"/>
  <c r="R617" i="8"/>
  <c r="R618" i="8"/>
  <c r="R619" i="8"/>
  <c r="R621" i="8"/>
  <c r="R622" i="8"/>
  <c r="R625" i="8"/>
  <c r="R626" i="8"/>
  <c r="Q2" i="8"/>
  <c r="S2" i="8" s="1"/>
  <c r="Q3" i="8"/>
  <c r="Q4" i="8"/>
  <c r="Q5" i="8"/>
  <c r="Q6" i="8"/>
  <c r="Q7" i="8"/>
  <c r="Q8" i="8"/>
  <c r="Q9" i="8"/>
  <c r="Q10" i="8"/>
  <c r="Q11" i="8"/>
  <c r="Q12" i="8"/>
  <c r="Q13" i="8"/>
  <c r="Q14" i="8"/>
  <c r="Q15" i="8"/>
  <c r="Q16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Q32" i="8"/>
  <c r="Q33" i="8"/>
  <c r="Q34" i="8"/>
  <c r="Q35" i="8"/>
  <c r="Q36" i="8"/>
  <c r="Q37" i="8"/>
  <c r="Q38" i="8"/>
  <c r="Q39" i="8"/>
  <c r="Q40" i="8"/>
  <c r="Q41" i="8"/>
  <c r="Q42" i="8"/>
  <c r="Q43" i="8"/>
  <c r="Q44" i="8"/>
  <c r="Q45" i="8"/>
  <c r="Q46" i="8"/>
  <c r="Q47" i="8"/>
  <c r="Q48" i="8"/>
  <c r="Q49" i="8"/>
  <c r="Q50" i="8"/>
  <c r="Q51" i="8"/>
  <c r="Q52" i="8"/>
  <c r="Q53" i="8"/>
  <c r="Q54" i="8"/>
  <c r="Q55" i="8"/>
  <c r="Q56" i="8"/>
  <c r="Q57" i="8"/>
  <c r="Q58" i="8"/>
  <c r="Q59" i="8"/>
  <c r="Q60" i="8"/>
  <c r="Q61" i="8"/>
  <c r="Q62" i="8"/>
  <c r="Q63" i="8"/>
  <c r="Q64" i="8"/>
  <c r="Q69" i="8"/>
  <c r="Q70" i="8"/>
  <c r="Q71" i="8"/>
  <c r="Q72" i="8"/>
  <c r="Q73" i="8"/>
  <c r="Q74" i="8"/>
  <c r="Q75" i="8"/>
  <c r="Q76" i="8"/>
  <c r="Q77" i="8"/>
  <c r="Q78" i="8"/>
  <c r="Q79" i="8"/>
  <c r="Q80" i="8"/>
  <c r="Q81" i="8"/>
  <c r="Q82" i="8"/>
  <c r="Q83" i="8"/>
  <c r="Q84" i="8"/>
  <c r="Q85" i="8"/>
  <c r="Q86" i="8"/>
  <c r="Q87" i="8"/>
  <c r="Q88" i="8"/>
  <c r="Q89" i="8"/>
  <c r="Q90" i="8"/>
  <c r="Q91" i="8"/>
  <c r="Q92" i="8"/>
  <c r="Q93" i="8"/>
  <c r="Q94" i="8"/>
  <c r="Q95" i="8"/>
  <c r="Q96" i="8"/>
  <c r="Q97" i="8"/>
  <c r="Q98" i="8"/>
  <c r="Q99" i="8"/>
  <c r="Q100" i="8"/>
  <c r="Q101" i="8"/>
  <c r="Q102" i="8"/>
  <c r="Q103" i="8"/>
  <c r="Q104" i="8"/>
  <c r="Q105" i="8"/>
  <c r="Q106" i="8"/>
  <c r="Q107" i="8"/>
  <c r="Q108" i="8"/>
  <c r="Q109" i="8"/>
  <c r="Q110" i="8"/>
  <c r="Q111" i="8"/>
  <c r="Q112" i="8"/>
  <c r="Q113" i="8"/>
  <c r="Q114" i="8"/>
  <c r="Q115" i="8"/>
  <c r="Q116" i="8"/>
  <c r="Q117" i="8"/>
  <c r="Q118" i="8"/>
  <c r="Q119" i="8"/>
  <c r="Q120" i="8"/>
  <c r="Q121" i="8"/>
  <c r="Q122" i="8"/>
  <c r="Q123" i="8"/>
  <c r="Q124" i="8"/>
  <c r="Q125" i="8"/>
  <c r="Q126" i="8"/>
  <c r="Q129" i="8"/>
  <c r="Q130" i="8"/>
  <c r="Q131" i="8"/>
  <c r="Q132" i="8"/>
  <c r="Q133" i="8"/>
  <c r="Q134" i="8"/>
  <c r="Q135" i="8"/>
  <c r="Q136" i="8"/>
  <c r="Q137" i="8"/>
  <c r="Q138" i="8"/>
  <c r="Q139" i="8"/>
  <c r="Q140" i="8"/>
  <c r="Q141" i="8"/>
  <c r="Q142" i="8"/>
  <c r="Q143" i="8"/>
  <c r="Q144" i="8"/>
  <c r="Q145" i="8"/>
  <c r="Q146" i="8"/>
  <c r="Q147" i="8"/>
  <c r="Q148" i="8"/>
  <c r="Q149" i="8"/>
  <c r="Q150" i="8"/>
  <c r="Q151" i="8"/>
  <c r="Q152" i="8"/>
  <c r="Q153" i="8"/>
  <c r="Q154" i="8"/>
  <c r="Q155" i="8"/>
  <c r="Q156" i="8"/>
  <c r="Q157" i="8"/>
  <c r="Q158" i="8"/>
  <c r="Q159" i="8"/>
  <c r="Q160" i="8"/>
  <c r="Q161" i="8"/>
  <c r="Q162" i="8"/>
  <c r="Q163" i="8"/>
  <c r="Q164" i="8"/>
  <c r="Q165" i="8"/>
  <c r="Q166" i="8"/>
  <c r="Q167" i="8"/>
  <c r="Q168" i="8"/>
  <c r="Q169" i="8"/>
  <c r="Q170" i="8"/>
  <c r="Q171" i="8"/>
  <c r="Q172" i="8"/>
  <c r="Q173" i="8"/>
  <c r="Q174" i="8"/>
  <c r="Q175" i="8"/>
  <c r="Q176" i="8"/>
  <c r="Q177" i="8"/>
  <c r="Q178" i="8"/>
  <c r="Q179" i="8"/>
  <c r="Q180" i="8"/>
  <c r="Q181" i="8"/>
  <c r="Q182" i="8"/>
  <c r="Q183" i="8"/>
  <c r="Q184" i="8"/>
  <c r="Q185" i="8"/>
  <c r="Q186" i="8"/>
  <c r="Q187" i="8"/>
  <c r="Q188" i="8"/>
  <c r="Q189" i="8"/>
  <c r="Q190" i="8"/>
  <c r="Q191" i="8"/>
  <c r="Q192" i="8"/>
  <c r="Q193" i="8"/>
  <c r="Q194" i="8"/>
  <c r="Q195" i="8"/>
  <c r="Q196" i="8"/>
  <c r="Q197" i="8"/>
  <c r="Q198" i="8"/>
  <c r="Q199" i="8"/>
  <c r="Q200" i="8"/>
  <c r="Q201" i="8"/>
  <c r="Q202" i="8"/>
  <c r="Q203" i="8"/>
  <c r="Q204" i="8"/>
  <c r="Q205" i="8"/>
  <c r="Q206" i="8"/>
  <c r="Q207" i="8"/>
  <c r="Q208" i="8"/>
  <c r="Q209" i="8"/>
  <c r="Q210" i="8"/>
  <c r="Q211" i="8"/>
  <c r="Q212" i="8"/>
  <c r="Q215" i="8"/>
  <c r="Q216" i="8"/>
  <c r="Q217" i="8"/>
  <c r="Q218" i="8"/>
  <c r="Q219" i="8"/>
  <c r="Q220" i="8"/>
  <c r="Q221" i="8"/>
  <c r="Q222" i="8"/>
  <c r="Q223" i="8"/>
  <c r="Q224" i="8"/>
  <c r="Q225" i="8"/>
  <c r="Q226" i="8"/>
  <c r="Q227" i="8"/>
  <c r="Q228" i="8"/>
  <c r="Q229" i="8"/>
  <c r="Q230" i="8"/>
  <c r="Q231" i="8"/>
  <c r="Q232" i="8"/>
  <c r="Q233" i="8"/>
  <c r="Q234" i="8"/>
  <c r="Q235" i="8"/>
  <c r="Q236" i="8"/>
  <c r="Q237" i="8"/>
  <c r="Q238" i="8"/>
  <c r="Q239" i="8"/>
  <c r="Q242" i="8"/>
  <c r="Q243" i="8"/>
  <c r="Q244" i="8"/>
  <c r="Q245" i="8"/>
  <c r="Q246" i="8"/>
  <c r="Q247" i="8"/>
  <c r="Q248" i="8"/>
  <c r="Q249" i="8"/>
  <c r="Q250" i="8"/>
  <c r="Q251" i="8"/>
  <c r="Q254" i="8"/>
  <c r="Q255" i="8"/>
  <c r="Q256" i="8"/>
  <c r="Q257" i="8"/>
  <c r="Q258" i="8"/>
  <c r="Q259" i="8"/>
  <c r="Q260" i="8"/>
  <c r="Q261" i="8"/>
  <c r="Q262" i="8"/>
  <c r="Q263" i="8"/>
  <c r="Q264" i="8"/>
  <c r="Q265" i="8"/>
  <c r="Q266" i="8"/>
  <c r="Q267" i="8"/>
  <c r="Q268" i="8"/>
  <c r="Q269" i="8"/>
  <c r="Q270" i="8"/>
  <c r="Q271" i="8"/>
  <c r="Q272" i="8"/>
  <c r="Q273" i="8"/>
  <c r="Q274" i="8"/>
  <c r="Q275" i="8"/>
  <c r="Q276" i="8"/>
  <c r="Q277" i="8"/>
  <c r="Q278" i="8"/>
  <c r="Q279" i="8"/>
  <c r="Q280" i="8"/>
  <c r="Q281" i="8"/>
  <c r="Q282" i="8"/>
  <c r="Q283" i="8"/>
  <c r="Q284" i="8"/>
  <c r="Q285" i="8"/>
  <c r="Q286" i="8"/>
  <c r="Q287" i="8"/>
  <c r="Q288" i="8"/>
  <c r="Q291" i="8"/>
  <c r="Q292" i="8"/>
  <c r="Q293" i="8"/>
  <c r="Q294" i="8"/>
  <c r="Q295" i="8"/>
  <c r="Q296" i="8"/>
  <c r="Q297" i="8"/>
  <c r="Q298" i="8"/>
  <c r="Q299" i="8"/>
  <c r="Q300" i="8"/>
  <c r="Q301" i="8"/>
  <c r="Q302" i="8"/>
  <c r="Q303" i="8"/>
  <c r="Q304" i="8"/>
  <c r="Q305" i="8"/>
  <c r="Q306" i="8"/>
  <c r="Q307" i="8"/>
  <c r="Q308" i="8"/>
  <c r="Q309" i="8"/>
  <c r="Q310" i="8"/>
  <c r="Q311" i="8"/>
  <c r="Q312" i="8"/>
  <c r="Q313" i="8"/>
  <c r="Q314" i="8"/>
  <c r="Q315" i="8"/>
  <c r="Q316" i="8"/>
  <c r="Q317" i="8"/>
  <c r="Q318" i="8"/>
  <c r="Q319" i="8"/>
  <c r="Q320" i="8"/>
  <c r="Q324" i="8"/>
  <c r="Q325" i="8"/>
  <c r="Q326" i="8"/>
  <c r="Q327" i="8"/>
  <c r="Q328" i="8"/>
  <c r="Q329" i="8"/>
  <c r="Q333" i="8"/>
  <c r="Q334" i="8"/>
  <c r="Q335" i="8"/>
  <c r="Q336" i="8"/>
  <c r="Q337" i="8"/>
  <c r="Q338" i="8"/>
  <c r="Q339" i="8"/>
  <c r="Q340" i="8"/>
  <c r="Q341" i="8"/>
  <c r="Q342" i="8"/>
  <c r="Q345" i="8"/>
  <c r="Q346" i="8"/>
  <c r="Q347" i="8"/>
  <c r="Q348" i="8"/>
  <c r="Q352" i="8"/>
  <c r="Q353" i="8"/>
  <c r="Q354" i="8"/>
  <c r="Q355" i="8"/>
  <c r="Q356" i="8"/>
  <c r="Q357" i="8"/>
  <c r="Q358" i="8"/>
  <c r="Q359" i="8"/>
  <c r="Q360" i="8"/>
  <c r="Q361" i="8"/>
  <c r="Q362" i="8"/>
  <c r="Q365" i="8"/>
  <c r="Q366" i="8"/>
  <c r="Q367" i="8"/>
  <c r="Q368" i="8"/>
  <c r="Q369" i="8"/>
  <c r="Q370" i="8"/>
  <c r="Q371" i="8"/>
  <c r="Q372" i="8"/>
  <c r="Q373" i="8"/>
  <c r="Q376" i="8"/>
  <c r="Q377" i="8"/>
  <c r="Q378" i="8"/>
  <c r="Q379" i="8"/>
  <c r="Q380" i="8"/>
  <c r="Q381" i="8"/>
  <c r="Q382" i="8"/>
  <c r="Q383" i="8"/>
  <c r="Q384" i="8"/>
  <c r="Q385" i="8"/>
  <c r="Q386" i="8"/>
  <c r="Q387" i="8"/>
  <c r="Q388" i="8"/>
  <c r="Q389" i="8"/>
  <c r="Q390" i="8"/>
  <c r="Q391" i="8"/>
  <c r="Q392" i="8"/>
  <c r="Q393" i="8"/>
  <c r="Q394" i="8"/>
  <c r="Q395" i="8"/>
  <c r="Q396" i="8"/>
  <c r="Q404" i="8"/>
  <c r="Q405" i="8"/>
  <c r="Q406" i="8"/>
  <c r="Q407" i="8"/>
  <c r="Q408" i="8"/>
  <c r="Q409" i="8"/>
  <c r="Q410" i="8"/>
  <c r="Q411" i="8"/>
  <c r="Q412" i="8"/>
  <c r="Q413" i="8"/>
  <c r="Q414" i="8"/>
  <c r="Q415" i="8"/>
  <c r="Q416" i="8"/>
  <c r="Q417" i="8"/>
  <c r="Q420" i="8"/>
  <c r="Q421" i="8"/>
  <c r="Q422" i="8"/>
  <c r="Q423" i="8"/>
  <c r="Q424" i="8"/>
  <c r="Q425" i="8"/>
  <c r="Q426" i="8"/>
  <c r="Q427" i="8"/>
  <c r="Q428" i="8"/>
  <c r="Q429" i="8"/>
  <c r="Q432" i="8"/>
  <c r="Q433" i="8"/>
  <c r="Q434" i="8"/>
  <c r="Q435" i="8"/>
  <c r="Q436" i="8"/>
  <c r="Q437" i="8"/>
  <c r="Q438" i="8"/>
  <c r="Q441" i="8"/>
  <c r="Q442" i="8"/>
  <c r="Q443" i="8"/>
  <c r="Q444" i="8"/>
  <c r="Q445" i="8"/>
  <c r="Q446" i="8"/>
  <c r="Q447" i="8"/>
  <c r="Q448" i="8"/>
  <c r="Q449" i="8"/>
  <c r="Q450" i="8"/>
  <c r="Q451" i="8"/>
  <c r="Q452" i="8"/>
  <c r="Q453" i="8"/>
  <c r="Q454" i="8"/>
  <c r="Q455" i="8"/>
  <c r="Q456" i="8"/>
  <c r="Q457" i="8"/>
  <c r="Q458" i="8"/>
  <c r="Q459" i="8"/>
  <c r="Q460" i="8"/>
  <c r="Q461" i="8"/>
  <c r="Q462" i="8"/>
  <c r="Q463" i="8"/>
  <c r="Q464" i="8"/>
  <c r="Q465" i="8"/>
  <c r="Q466" i="8"/>
  <c r="Q467" i="8"/>
  <c r="Q468" i="8"/>
  <c r="Q469" i="8"/>
  <c r="Q470" i="8"/>
  <c r="Q471" i="8"/>
  <c r="Q472" i="8"/>
  <c r="Q473" i="8"/>
  <c r="Q474" i="8"/>
  <c r="Q475" i="8"/>
  <c r="Q476" i="8"/>
  <c r="Q481" i="8"/>
  <c r="Q482" i="8"/>
  <c r="Q483" i="8"/>
  <c r="Q484" i="8"/>
  <c r="Q485" i="8"/>
  <c r="Q486" i="8"/>
  <c r="Q487" i="8"/>
  <c r="Q488" i="8"/>
  <c r="Q489" i="8"/>
  <c r="Q490" i="8"/>
  <c r="Q491" i="8"/>
  <c r="Q492" i="8"/>
  <c r="Q493" i="8"/>
  <c r="Q494" i="8"/>
  <c r="Q495" i="8"/>
  <c r="Q496" i="8"/>
  <c r="Q497" i="8"/>
  <c r="Q503" i="8"/>
  <c r="Q506" i="8"/>
  <c r="Q507" i="8"/>
  <c r="Q508" i="8"/>
  <c r="Q509" i="8"/>
  <c r="Q510" i="8"/>
  <c r="Q511" i="8"/>
  <c r="Q512" i="8"/>
  <c r="Q513" i="8"/>
  <c r="Q514" i="8"/>
  <c r="Q515" i="8"/>
  <c r="Q516" i="8"/>
  <c r="Q517" i="8"/>
  <c r="Q518" i="8"/>
  <c r="Q519" i="8"/>
  <c r="Q520" i="8"/>
  <c r="Q521" i="8"/>
  <c r="Q522" i="8"/>
  <c r="Q523" i="8"/>
  <c r="Q524" i="8"/>
  <c r="Q525" i="8"/>
  <c r="Q526" i="8"/>
  <c r="Q527" i="8"/>
  <c r="Q528" i="8"/>
  <c r="Q531" i="8"/>
  <c r="Q532" i="8"/>
  <c r="Q533" i="8"/>
  <c r="Q534" i="8"/>
  <c r="Q535" i="8"/>
  <c r="Q536" i="8"/>
  <c r="Q537" i="8"/>
  <c r="Q538" i="8"/>
  <c r="Q539" i="8"/>
  <c r="Q540" i="8"/>
  <c r="Q541" i="8"/>
  <c r="Q542" i="8"/>
  <c r="Q543" i="8"/>
  <c r="Q544" i="8"/>
  <c r="Q545" i="8"/>
  <c r="Q546" i="8"/>
  <c r="Q547" i="8"/>
  <c r="Q548" i="8"/>
  <c r="Q549" i="8"/>
  <c r="Q550" i="8"/>
  <c r="Q551" i="8"/>
  <c r="Q552" i="8"/>
  <c r="Q553" i="8"/>
  <c r="Q554" i="8"/>
  <c r="Q555" i="8"/>
  <c r="Q556" i="8"/>
  <c r="Q557" i="8"/>
  <c r="Q558" i="8"/>
  <c r="Q559" i="8"/>
  <c r="Q560" i="8"/>
  <c r="Q561" i="8"/>
  <c r="Q562" i="8"/>
  <c r="Q563" i="8"/>
  <c r="Q564" i="8"/>
  <c r="Q565" i="8"/>
  <c r="Q566" i="8"/>
  <c r="Q567" i="8"/>
  <c r="Q568" i="8"/>
  <c r="Q569" i="8"/>
  <c r="Q570" i="8"/>
  <c r="Q571" i="8"/>
  <c r="Q572" i="8"/>
  <c r="Q573" i="8"/>
  <c r="Q574" i="8"/>
  <c r="Q575" i="8"/>
  <c r="Q576" i="8"/>
  <c r="Q577" i="8"/>
  <c r="Q578" i="8"/>
  <c r="Q579" i="8"/>
  <c r="Q580" i="8"/>
  <c r="Q581" i="8"/>
  <c r="Q582" i="8"/>
  <c r="Q583" i="8"/>
  <c r="Q584" i="8"/>
  <c r="Q585" i="8"/>
  <c r="Q586" i="8"/>
  <c r="Q587" i="8"/>
  <c r="Q588" i="8"/>
  <c r="Q589" i="8"/>
  <c r="Q590" i="8"/>
  <c r="Q591" i="8"/>
  <c r="Q592" i="8"/>
  <c r="Q593" i="8"/>
  <c r="Q594" i="8"/>
  <c r="Q595" i="8"/>
  <c r="Q596" i="8"/>
  <c r="Q597" i="8"/>
  <c r="Q598" i="8"/>
  <c r="Q599" i="8"/>
  <c r="Q600" i="8"/>
  <c r="Q601" i="8"/>
  <c r="Q602" i="8"/>
  <c r="Q603" i="8"/>
  <c r="Q604" i="8"/>
  <c r="Q605" i="8"/>
  <c r="Q606" i="8"/>
  <c r="Q607" i="8"/>
  <c r="Q608" i="8"/>
  <c r="Q609" i="8"/>
  <c r="Q610" i="8"/>
  <c r="Q611" i="8"/>
  <c r="Q615" i="8"/>
  <c r="Q616" i="8"/>
  <c r="Q617" i="8"/>
  <c r="Q618" i="8"/>
  <c r="Q620" i="8"/>
  <c r="Q621" i="8"/>
  <c r="Q622" i="8"/>
  <c r="Q625" i="8"/>
  <c r="Q626" i="8"/>
  <c r="B626" i="8"/>
  <c r="N626" i="8"/>
  <c r="AB626" i="8"/>
  <c r="B284" i="3"/>
  <c r="M284" i="3"/>
  <c r="P284" i="3"/>
  <c r="Q284" i="3"/>
  <c r="AA284" i="3"/>
  <c r="S3" i="8" l="1"/>
  <c r="S4" i="8" s="1"/>
  <c r="S5" i="8" s="1"/>
  <c r="S6" i="8" s="1"/>
  <c r="S7" i="8" s="1"/>
  <c r="S8" i="8" s="1"/>
  <c r="S9" i="8" s="1"/>
  <c r="S10" i="8" s="1"/>
  <c r="S11" i="8" s="1"/>
  <c r="S12" i="8" s="1"/>
  <c r="S13" i="8" s="1"/>
  <c r="S14" i="8" s="1"/>
  <c r="S15" i="8" s="1"/>
  <c r="S16" i="8" s="1"/>
  <c r="S17" i="8" s="1"/>
  <c r="S18" i="8" s="1"/>
  <c r="S19" i="8" s="1"/>
  <c r="S20" i="8" s="1"/>
  <c r="S21" i="8" s="1"/>
  <c r="S22" i="8" s="1"/>
  <c r="S23" i="8" s="1"/>
  <c r="S24" i="8" s="1"/>
  <c r="S25" i="8" s="1"/>
  <c r="S26" i="8" s="1"/>
  <c r="S27" i="8" s="1"/>
  <c r="S28" i="8" s="1"/>
  <c r="S29" i="8" s="1"/>
  <c r="S30" i="8" s="1"/>
  <c r="S31" i="8" s="1"/>
  <c r="S32" i="8" s="1"/>
  <c r="S33" i="8" s="1"/>
  <c r="S34" i="8" s="1"/>
  <c r="S35" i="8" s="1"/>
  <c r="S36" i="8" s="1"/>
  <c r="S37" i="8" s="1"/>
  <c r="S38" i="8" s="1"/>
  <c r="S39" i="8" s="1"/>
  <c r="S40" i="8" s="1"/>
  <c r="S41" i="8" s="1"/>
  <c r="S42" i="8" s="1"/>
  <c r="S43" i="8" s="1"/>
  <c r="S44" i="8" s="1"/>
  <c r="S45" i="8" s="1"/>
  <c r="S46" i="8" s="1"/>
  <c r="S47" i="8" s="1"/>
  <c r="S48" i="8" s="1"/>
  <c r="S49" i="8" s="1"/>
  <c r="S50" i="8" s="1"/>
  <c r="S51" i="8" s="1"/>
  <c r="S52" i="8" s="1"/>
  <c r="S53" i="8" s="1"/>
  <c r="S54" i="8" s="1"/>
  <c r="S55" i="8" s="1"/>
  <c r="S56" i="8" s="1"/>
  <c r="S57" i="8" s="1"/>
  <c r="S58" i="8" s="1"/>
  <c r="S59" i="8" s="1"/>
  <c r="S60" i="8" s="1"/>
  <c r="S61" i="8" s="1"/>
  <c r="S62" i="8" s="1"/>
  <c r="S63" i="8" s="1"/>
  <c r="S64" i="8" s="1"/>
  <c r="S65" i="8" s="1"/>
  <c r="S66" i="8" s="1"/>
  <c r="S67" i="8" s="1"/>
  <c r="S68" i="8" s="1"/>
  <c r="S69" i="8" s="1"/>
  <c r="S70" i="8" s="1"/>
  <c r="S71" i="8" s="1"/>
  <c r="S72" i="8" s="1"/>
  <c r="S73" i="8" s="1"/>
  <c r="S74" i="8" s="1"/>
  <c r="S75" i="8" s="1"/>
  <c r="S76" i="8" s="1"/>
  <c r="S77" i="8" s="1"/>
  <c r="S78" i="8" s="1"/>
  <c r="S79" i="8" s="1"/>
  <c r="S80" i="8" s="1"/>
  <c r="S81" i="8" s="1"/>
  <c r="S82" i="8" s="1"/>
  <c r="S83" i="8" s="1"/>
  <c r="S84" i="8" s="1"/>
  <c r="S85" i="8" s="1"/>
  <c r="S86" i="8" s="1"/>
  <c r="S87" i="8" s="1"/>
  <c r="S88" i="8" s="1"/>
  <c r="S89" i="8" s="1"/>
  <c r="S90" i="8" s="1"/>
  <c r="S91" i="8" s="1"/>
  <c r="S92" i="8" s="1"/>
  <c r="S93" i="8" s="1"/>
  <c r="S94" i="8" s="1"/>
  <c r="S95" i="8" s="1"/>
  <c r="S96" i="8" s="1"/>
  <c r="S97" i="8" s="1"/>
  <c r="S98" i="8" s="1"/>
  <c r="S99" i="8" s="1"/>
  <c r="S100" i="8" s="1"/>
  <c r="S101" i="8" s="1"/>
  <c r="S102" i="8" s="1"/>
  <c r="S103" i="8" s="1"/>
  <c r="S104" i="8" s="1"/>
  <c r="S105" i="8" s="1"/>
  <c r="S106" i="8" s="1"/>
  <c r="S107" i="8" s="1"/>
  <c r="S108" i="8" s="1"/>
  <c r="S109" i="8" s="1"/>
  <c r="S110" i="8" s="1"/>
  <c r="S111" i="8" s="1"/>
  <c r="S112" i="8" s="1"/>
  <c r="S113" i="8" s="1"/>
  <c r="S114" i="8" s="1"/>
  <c r="S115" i="8" s="1"/>
  <c r="S116" i="8" s="1"/>
  <c r="S117" i="8" s="1"/>
  <c r="S118" i="8" s="1"/>
  <c r="S119" i="8" s="1"/>
  <c r="S120" i="8" s="1"/>
  <c r="S121" i="8" s="1"/>
  <c r="S122" i="8" s="1"/>
  <c r="S123" i="8" s="1"/>
  <c r="S124" i="8" s="1"/>
  <c r="S125" i="8" s="1"/>
  <c r="S126" i="8" s="1"/>
  <c r="S127" i="8" s="1"/>
  <c r="S128" i="8" s="1"/>
  <c r="S129" i="8" s="1"/>
  <c r="S130" i="8" s="1"/>
  <c r="S131" i="8" s="1"/>
  <c r="S132" i="8" s="1"/>
  <c r="S133" i="8" s="1"/>
  <c r="S134" i="8" s="1"/>
  <c r="S135" i="8" s="1"/>
  <c r="S136" i="8" s="1"/>
  <c r="S137" i="8" s="1"/>
  <c r="S138" i="8" s="1"/>
  <c r="S139" i="8" s="1"/>
  <c r="S140" i="8" s="1"/>
  <c r="S141" i="8" s="1"/>
  <c r="S142" i="8" s="1"/>
  <c r="S143" i="8" s="1"/>
  <c r="S144" i="8" s="1"/>
  <c r="S145" i="8" s="1"/>
  <c r="S146" i="8" s="1"/>
  <c r="S147" i="8" s="1"/>
  <c r="S148" i="8" s="1"/>
  <c r="S149" i="8" s="1"/>
  <c r="S150" i="8" s="1"/>
  <c r="S151" i="8" s="1"/>
  <c r="S152" i="8" s="1"/>
  <c r="S153" i="8" s="1"/>
  <c r="S154" i="8" s="1"/>
  <c r="S155" i="8" s="1"/>
  <c r="S156" i="8" s="1"/>
  <c r="S157" i="8" s="1"/>
  <c r="S158" i="8" s="1"/>
  <c r="S159" i="8" s="1"/>
  <c r="S160" i="8" s="1"/>
  <c r="S161" i="8" s="1"/>
  <c r="S162" i="8" s="1"/>
  <c r="S163" i="8" s="1"/>
  <c r="S164" i="8" s="1"/>
  <c r="S165" i="8" s="1"/>
  <c r="S166" i="8" s="1"/>
  <c r="S167" i="8" s="1"/>
  <c r="S168" i="8" s="1"/>
  <c r="S169" i="8" s="1"/>
  <c r="S170" i="8" s="1"/>
  <c r="S171" i="8" s="1"/>
  <c r="S172" i="8" s="1"/>
  <c r="S173" i="8" s="1"/>
  <c r="S174" i="8" s="1"/>
  <c r="S175" i="8" s="1"/>
  <c r="S176" i="8" s="1"/>
  <c r="S177" i="8" s="1"/>
  <c r="S178" i="8" s="1"/>
  <c r="S179" i="8" s="1"/>
  <c r="S180" i="8" s="1"/>
  <c r="S181" i="8" s="1"/>
  <c r="S182" i="8" s="1"/>
  <c r="S183" i="8" s="1"/>
  <c r="S184" i="8" s="1"/>
  <c r="S185" i="8" s="1"/>
  <c r="S186" i="8" s="1"/>
  <c r="S187" i="8" s="1"/>
  <c r="S188" i="8" s="1"/>
  <c r="S189" i="8" s="1"/>
  <c r="S190" i="8" s="1"/>
  <c r="S191" i="8" s="1"/>
  <c r="S192" i="8" s="1"/>
  <c r="S193" i="8" s="1"/>
  <c r="S194" i="8" s="1"/>
  <c r="S195" i="8" s="1"/>
  <c r="S196" i="8" s="1"/>
  <c r="S197" i="8" s="1"/>
  <c r="S198" i="8" s="1"/>
  <c r="S199" i="8" s="1"/>
  <c r="S200" i="8" s="1"/>
  <c r="S201" i="8" s="1"/>
  <c r="S202" i="8" s="1"/>
  <c r="S203" i="8" s="1"/>
  <c r="S204" i="8" s="1"/>
  <c r="S205" i="8" s="1"/>
  <c r="S206" i="8" s="1"/>
  <c r="S207" i="8" s="1"/>
  <c r="S208" i="8" s="1"/>
  <c r="S209" i="8" s="1"/>
  <c r="S210" i="8" s="1"/>
  <c r="S211" i="8" s="1"/>
  <c r="S212" i="8" s="1"/>
  <c r="S213" i="8" s="1"/>
  <c r="S214" i="8" s="1"/>
  <c r="S215" i="8" s="1"/>
  <c r="S216" i="8" s="1"/>
  <c r="S217" i="8" s="1"/>
  <c r="S218" i="8" s="1"/>
  <c r="S219" i="8" s="1"/>
  <c r="S220" i="8" s="1"/>
  <c r="S221" i="8" s="1"/>
  <c r="S222" i="8" s="1"/>
  <c r="S223" i="8" s="1"/>
  <c r="S224" i="8" s="1"/>
  <c r="S225" i="8" s="1"/>
  <c r="S226" i="8" s="1"/>
  <c r="S227" i="8" s="1"/>
  <c r="S228" i="8" s="1"/>
  <c r="S229" i="8" s="1"/>
  <c r="S230" i="8" s="1"/>
  <c r="S231" i="8" s="1"/>
  <c r="S232" i="8" s="1"/>
  <c r="S233" i="8" s="1"/>
  <c r="S234" i="8" s="1"/>
  <c r="S235" i="8" s="1"/>
  <c r="S236" i="8" s="1"/>
  <c r="S237" i="8" s="1"/>
  <c r="S238" i="8" s="1"/>
  <c r="S239" i="8" s="1"/>
  <c r="S240" i="8" s="1"/>
  <c r="S241" i="8" s="1"/>
  <c r="S242" i="8" s="1"/>
  <c r="S243" i="8" s="1"/>
  <c r="S244" i="8" s="1"/>
  <c r="S245" i="8" s="1"/>
  <c r="S246" i="8" s="1"/>
  <c r="S247" i="8" s="1"/>
  <c r="S248" i="8" s="1"/>
  <c r="S249" i="8" s="1"/>
  <c r="S250" i="8" s="1"/>
  <c r="S251" i="8" s="1"/>
  <c r="S252" i="8" s="1"/>
  <c r="S253" i="8" s="1"/>
  <c r="S254" i="8" s="1"/>
  <c r="S255" i="8" s="1"/>
  <c r="S256" i="8" s="1"/>
  <c r="S257" i="8" s="1"/>
  <c r="S258" i="8" s="1"/>
  <c r="S259" i="8" s="1"/>
  <c r="S260" i="8" s="1"/>
  <c r="S261" i="8" s="1"/>
  <c r="S262" i="8" s="1"/>
  <c r="S263" i="8" s="1"/>
  <c r="S264" i="8" s="1"/>
  <c r="S265" i="8" s="1"/>
  <c r="S266" i="8" s="1"/>
  <c r="S267" i="8" s="1"/>
  <c r="S268" i="8" s="1"/>
  <c r="S269" i="8" s="1"/>
  <c r="S270" i="8" s="1"/>
  <c r="S271" i="8" s="1"/>
  <c r="S272" i="8" s="1"/>
  <c r="S273" i="8" s="1"/>
  <c r="S274" i="8" s="1"/>
  <c r="S275" i="8" s="1"/>
  <c r="S276" i="8" s="1"/>
  <c r="S277" i="8" s="1"/>
  <c r="S278" i="8" s="1"/>
  <c r="S279" i="8" s="1"/>
  <c r="S280" i="8" s="1"/>
  <c r="S281" i="8" s="1"/>
  <c r="S282" i="8" s="1"/>
  <c r="S283" i="8" s="1"/>
  <c r="S284" i="8" s="1"/>
  <c r="S285" i="8" s="1"/>
  <c r="S286" i="8" s="1"/>
  <c r="S287" i="8" s="1"/>
  <c r="S288" i="8" s="1"/>
  <c r="S289" i="8" s="1"/>
  <c r="S290" i="8" s="1"/>
  <c r="S291" i="8" s="1"/>
  <c r="S292" i="8" s="1"/>
  <c r="S293" i="8" s="1"/>
  <c r="S294" i="8" s="1"/>
  <c r="S295" i="8" s="1"/>
  <c r="S296" i="8" s="1"/>
  <c r="S297" i="8" s="1"/>
  <c r="S298" i="8" s="1"/>
  <c r="S299" i="8" s="1"/>
  <c r="S300" i="8" s="1"/>
  <c r="S301" i="8" s="1"/>
  <c r="S302" i="8" s="1"/>
  <c r="S303" i="8" s="1"/>
  <c r="S304" i="8" s="1"/>
  <c r="S305" i="8" s="1"/>
  <c r="S306" i="8" s="1"/>
  <c r="S307" i="8" s="1"/>
  <c r="S308" i="8" s="1"/>
  <c r="S309" i="8" s="1"/>
  <c r="S310" i="8" s="1"/>
  <c r="S311" i="8" s="1"/>
  <c r="S312" i="8" s="1"/>
  <c r="S313" i="8" s="1"/>
  <c r="S314" i="8" s="1"/>
  <c r="S315" i="8" s="1"/>
  <c r="S316" i="8" s="1"/>
  <c r="S317" i="8" s="1"/>
  <c r="S318" i="8" s="1"/>
  <c r="S319" i="8" s="1"/>
  <c r="S320" i="8" s="1"/>
  <c r="S321" i="8" s="1"/>
  <c r="S322" i="8" s="1"/>
  <c r="S323" i="8" s="1"/>
  <c r="S324" i="8" s="1"/>
  <c r="S325" i="8" s="1"/>
  <c r="S326" i="8" s="1"/>
  <c r="S327" i="8" s="1"/>
  <c r="S328" i="8" s="1"/>
  <c r="S329" i="8" s="1"/>
  <c r="S330" i="8" s="1"/>
  <c r="S331" i="8" s="1"/>
  <c r="S332" i="8" s="1"/>
  <c r="S333" i="8" s="1"/>
  <c r="S334" i="8" s="1"/>
  <c r="S335" i="8" s="1"/>
  <c r="S336" i="8" s="1"/>
  <c r="S337" i="8" s="1"/>
  <c r="S338" i="8" s="1"/>
  <c r="S339" i="8" s="1"/>
  <c r="S340" i="8" s="1"/>
  <c r="S341" i="8" s="1"/>
  <c r="S342" i="8" s="1"/>
  <c r="S343" i="8" s="1"/>
  <c r="S344" i="8" s="1"/>
  <c r="S345" i="8" s="1"/>
  <c r="S346" i="8" s="1"/>
  <c r="S347" i="8" s="1"/>
  <c r="S348" i="8" s="1"/>
  <c r="S349" i="8" s="1"/>
  <c r="S350" i="8" s="1"/>
  <c r="S351" i="8" s="1"/>
  <c r="S352" i="8" s="1"/>
  <c r="S353" i="8" s="1"/>
  <c r="S354" i="8" s="1"/>
  <c r="S355" i="8" s="1"/>
  <c r="S356" i="8" s="1"/>
  <c r="S357" i="8" s="1"/>
  <c r="S358" i="8" s="1"/>
  <c r="S359" i="8" s="1"/>
  <c r="S360" i="8" s="1"/>
  <c r="S361" i="8" s="1"/>
  <c r="S362" i="8" s="1"/>
  <c r="S363" i="8" s="1"/>
  <c r="S364" i="8" s="1"/>
  <c r="S365" i="8" s="1"/>
  <c r="S366" i="8" s="1"/>
  <c r="S367" i="8" s="1"/>
  <c r="S368" i="8" s="1"/>
  <c r="S369" i="8" s="1"/>
  <c r="S370" i="8" s="1"/>
  <c r="S371" i="8" s="1"/>
  <c r="S372" i="8" s="1"/>
  <c r="S373" i="8" s="1"/>
  <c r="S374" i="8" s="1"/>
  <c r="S375" i="8" s="1"/>
  <c r="S376" i="8" s="1"/>
  <c r="S377" i="8" s="1"/>
  <c r="S378" i="8" s="1"/>
  <c r="S379" i="8" s="1"/>
  <c r="S380" i="8" s="1"/>
  <c r="S381" i="8" s="1"/>
  <c r="S382" i="8" s="1"/>
  <c r="S383" i="8" s="1"/>
  <c r="S384" i="8" s="1"/>
  <c r="S385" i="8" s="1"/>
  <c r="S386" i="8" s="1"/>
  <c r="S387" i="8" s="1"/>
  <c r="S388" i="8" s="1"/>
  <c r="S389" i="8" s="1"/>
  <c r="S390" i="8" s="1"/>
  <c r="S391" i="8" s="1"/>
  <c r="S392" i="8" s="1"/>
  <c r="S393" i="8" s="1"/>
  <c r="S394" i="8" s="1"/>
  <c r="S395" i="8" s="1"/>
  <c r="S396" i="8" s="1"/>
  <c r="S397" i="8" s="1"/>
  <c r="S398" i="8" s="1"/>
  <c r="S399" i="8" s="1"/>
  <c r="S400" i="8" s="1"/>
  <c r="S401" i="8" s="1"/>
  <c r="S402" i="8" s="1"/>
  <c r="S403" i="8" s="1"/>
  <c r="S404" i="8" s="1"/>
  <c r="S405" i="8" s="1"/>
  <c r="S406" i="8" s="1"/>
  <c r="S407" i="8" s="1"/>
  <c r="S408" i="8" s="1"/>
  <c r="S409" i="8" s="1"/>
  <c r="S410" i="8" s="1"/>
  <c r="S411" i="8" s="1"/>
  <c r="S412" i="8" s="1"/>
  <c r="S413" i="8" s="1"/>
  <c r="S414" i="8" s="1"/>
  <c r="S415" i="8" s="1"/>
  <c r="S416" i="8" s="1"/>
  <c r="S417" i="8" s="1"/>
  <c r="S418" i="8" s="1"/>
  <c r="S419" i="8" s="1"/>
  <c r="S420" i="8" s="1"/>
  <c r="S421" i="8" s="1"/>
  <c r="S422" i="8" s="1"/>
  <c r="S423" i="8" s="1"/>
  <c r="S424" i="8" s="1"/>
  <c r="S425" i="8" s="1"/>
  <c r="S426" i="8" s="1"/>
  <c r="S427" i="8" s="1"/>
  <c r="S428" i="8" s="1"/>
  <c r="S429" i="8" s="1"/>
  <c r="S430" i="8" s="1"/>
  <c r="S431" i="8" s="1"/>
  <c r="S432" i="8" s="1"/>
  <c r="S433" i="8" s="1"/>
  <c r="S434" i="8" s="1"/>
  <c r="S435" i="8" s="1"/>
  <c r="S436" i="8" s="1"/>
  <c r="S437" i="8" s="1"/>
  <c r="S438" i="8" s="1"/>
  <c r="S439" i="8" s="1"/>
  <c r="S440" i="8" s="1"/>
  <c r="S441" i="8" s="1"/>
  <c r="S442" i="8" s="1"/>
  <c r="S443" i="8" s="1"/>
  <c r="S444" i="8" s="1"/>
  <c r="S445" i="8" s="1"/>
  <c r="S446" i="8" s="1"/>
  <c r="S447" i="8" s="1"/>
  <c r="S448" i="8" s="1"/>
  <c r="S449" i="8" s="1"/>
  <c r="S450" i="8" s="1"/>
  <c r="S451" i="8" s="1"/>
  <c r="S452" i="8" s="1"/>
  <c r="S453" i="8" s="1"/>
  <c r="S454" i="8" s="1"/>
  <c r="S455" i="8" s="1"/>
  <c r="S456" i="8" s="1"/>
  <c r="S457" i="8" s="1"/>
  <c r="S458" i="8" s="1"/>
  <c r="S459" i="8" s="1"/>
  <c r="S460" i="8" s="1"/>
  <c r="S461" i="8" s="1"/>
  <c r="S462" i="8" s="1"/>
  <c r="S463" i="8" s="1"/>
  <c r="S464" i="8" s="1"/>
  <c r="S465" i="8" s="1"/>
  <c r="S466" i="8" s="1"/>
  <c r="S467" i="8" s="1"/>
  <c r="S468" i="8" s="1"/>
  <c r="S469" i="8" s="1"/>
  <c r="S470" i="8" s="1"/>
  <c r="S471" i="8" s="1"/>
  <c r="S472" i="8" s="1"/>
  <c r="S473" i="8" s="1"/>
  <c r="S474" i="8" s="1"/>
  <c r="S475" i="8" s="1"/>
  <c r="S476" i="8" s="1"/>
  <c r="S477" i="8" s="1"/>
  <c r="S478" i="8" s="1"/>
  <c r="S479" i="8" s="1"/>
  <c r="S480" i="8" s="1"/>
  <c r="S481" i="8" s="1"/>
  <c r="S482" i="8" s="1"/>
  <c r="S483" i="8" s="1"/>
  <c r="S484" i="8" s="1"/>
  <c r="S485" i="8" s="1"/>
  <c r="S486" i="8" s="1"/>
  <c r="S487" i="8" s="1"/>
  <c r="S488" i="8" s="1"/>
  <c r="S489" i="8" s="1"/>
  <c r="S490" i="8" s="1"/>
  <c r="S491" i="8" s="1"/>
  <c r="S492" i="8" s="1"/>
  <c r="S493" i="8" s="1"/>
  <c r="S494" i="8" s="1"/>
  <c r="S495" i="8" s="1"/>
  <c r="S496" i="8" s="1"/>
  <c r="S497" i="8" s="1"/>
  <c r="S498" i="8" s="1"/>
  <c r="S499" i="8" s="1"/>
  <c r="S500" i="8" s="1"/>
  <c r="S501" i="8" s="1"/>
  <c r="S502" i="8" s="1"/>
  <c r="S503" i="8" s="1"/>
  <c r="S504" i="8" s="1"/>
  <c r="S505" i="8" s="1"/>
  <c r="S506" i="8" s="1"/>
  <c r="S507" i="8" s="1"/>
  <c r="S508" i="8" s="1"/>
  <c r="S509" i="8" s="1"/>
  <c r="S510" i="8" s="1"/>
  <c r="S511" i="8" s="1"/>
  <c r="S512" i="8" s="1"/>
  <c r="S513" i="8" s="1"/>
  <c r="S514" i="8" s="1"/>
  <c r="S515" i="8" s="1"/>
  <c r="S516" i="8" s="1"/>
  <c r="S517" i="8" s="1"/>
  <c r="S518" i="8" s="1"/>
  <c r="S519" i="8" s="1"/>
  <c r="S520" i="8" s="1"/>
  <c r="S521" i="8" s="1"/>
  <c r="S522" i="8" s="1"/>
  <c r="S523" i="8" s="1"/>
  <c r="S524" i="8" s="1"/>
  <c r="S525" i="8" s="1"/>
  <c r="S526" i="8" s="1"/>
  <c r="S527" i="8" s="1"/>
  <c r="S528" i="8" s="1"/>
  <c r="S529" i="8" s="1"/>
  <c r="S530" i="8" s="1"/>
  <c r="S531" i="8" s="1"/>
  <c r="S532" i="8" s="1"/>
  <c r="S533" i="8" s="1"/>
  <c r="S534" i="8" s="1"/>
  <c r="S535" i="8" s="1"/>
  <c r="S536" i="8" s="1"/>
  <c r="S537" i="8" s="1"/>
  <c r="S538" i="8" s="1"/>
  <c r="S539" i="8" s="1"/>
  <c r="S540" i="8" s="1"/>
  <c r="S541" i="8" s="1"/>
  <c r="S542" i="8" s="1"/>
  <c r="S543" i="8" s="1"/>
  <c r="S544" i="8" s="1"/>
  <c r="S545" i="8" s="1"/>
  <c r="S546" i="8" s="1"/>
  <c r="S547" i="8" s="1"/>
  <c r="S548" i="8" s="1"/>
  <c r="S549" i="8" s="1"/>
  <c r="S550" i="8" s="1"/>
  <c r="S551" i="8" s="1"/>
  <c r="S552" i="8" s="1"/>
  <c r="S553" i="8" s="1"/>
  <c r="S554" i="8" s="1"/>
  <c r="S555" i="8" s="1"/>
  <c r="S556" i="8" s="1"/>
  <c r="S557" i="8" s="1"/>
  <c r="S558" i="8" s="1"/>
  <c r="S559" i="8" s="1"/>
  <c r="S560" i="8" s="1"/>
  <c r="S561" i="8" s="1"/>
  <c r="S562" i="8" s="1"/>
  <c r="S563" i="8" s="1"/>
  <c r="S564" i="8" s="1"/>
  <c r="S565" i="8" s="1"/>
  <c r="S566" i="8" s="1"/>
  <c r="S567" i="8" s="1"/>
  <c r="S568" i="8" s="1"/>
  <c r="S569" i="8" s="1"/>
  <c r="S570" i="8" s="1"/>
  <c r="S571" i="8" s="1"/>
  <c r="S572" i="8" s="1"/>
  <c r="S573" i="8" s="1"/>
  <c r="S574" i="8" s="1"/>
  <c r="S575" i="8" s="1"/>
  <c r="S576" i="8" s="1"/>
  <c r="S577" i="8" s="1"/>
  <c r="S578" i="8" s="1"/>
  <c r="S579" i="8" s="1"/>
  <c r="S580" i="8" s="1"/>
  <c r="S581" i="8" s="1"/>
  <c r="S582" i="8" s="1"/>
  <c r="S583" i="8" s="1"/>
  <c r="S584" i="8" s="1"/>
  <c r="S585" i="8" s="1"/>
  <c r="S586" i="8" s="1"/>
  <c r="S587" i="8" s="1"/>
  <c r="S588" i="8" s="1"/>
  <c r="S589" i="8" s="1"/>
  <c r="S590" i="8" s="1"/>
  <c r="S591" i="8" s="1"/>
  <c r="S592" i="8" s="1"/>
  <c r="S593" i="8" s="1"/>
  <c r="S594" i="8" s="1"/>
  <c r="S595" i="8" s="1"/>
  <c r="S596" i="8" s="1"/>
  <c r="S597" i="8" s="1"/>
  <c r="S598" i="8" s="1"/>
  <c r="S599" i="8" s="1"/>
  <c r="S600" i="8" s="1"/>
  <c r="S601" i="8" s="1"/>
  <c r="S602" i="8" s="1"/>
  <c r="S603" i="8" s="1"/>
  <c r="S604" i="8" s="1"/>
  <c r="S605" i="8" s="1"/>
  <c r="S606" i="8" s="1"/>
  <c r="S607" i="8" s="1"/>
  <c r="S608" i="8" s="1"/>
  <c r="S609" i="8" s="1"/>
  <c r="S610" i="8" s="1"/>
  <c r="S611" i="8" s="1"/>
  <c r="S612" i="8" s="1"/>
  <c r="S613" i="8" s="1"/>
  <c r="S614" i="8" s="1"/>
  <c r="S615" i="8" s="1"/>
  <c r="S616" i="8" s="1"/>
  <c r="S617" i="8" s="1"/>
  <c r="S618" i="8" s="1"/>
  <c r="S619" i="8" s="1"/>
  <c r="S620" i="8" s="1"/>
  <c r="S621" i="8" s="1"/>
  <c r="S622" i="8" s="1"/>
  <c r="S623" i="8" s="1"/>
  <c r="S624" i="8" s="1"/>
  <c r="S625" i="8" s="1"/>
  <c r="S626" i="8" s="1"/>
  <c r="S627" i="8" s="1"/>
  <c r="S628" i="8" s="1"/>
  <c r="S629" i="8" s="1"/>
  <c r="S630" i="8" s="1"/>
  <c r="S631" i="8" s="1"/>
  <c r="S632" i="8" s="1"/>
  <c r="S633" i="8" s="1"/>
  <c r="S634" i="8" s="1"/>
  <c r="S635" i="8" s="1"/>
  <c r="S636" i="8" s="1"/>
  <c r="S637" i="8" s="1"/>
  <c r="S638" i="8" s="1"/>
  <c r="S639" i="8" s="1"/>
  <c r="S640" i="8" s="1"/>
  <c r="S641" i="8" s="1"/>
  <c r="S642" i="8" s="1"/>
  <c r="S643" i="8" s="1"/>
  <c r="S644" i="8" s="1"/>
  <c r="S645" i="8" s="1"/>
  <c r="S646" i="8" s="1"/>
  <c r="S647" i="8" s="1"/>
  <c r="S648" i="8" s="1"/>
  <c r="S649" i="8" s="1"/>
  <c r="S650" i="8" s="1"/>
  <c r="S651" i="8" s="1"/>
  <c r="S652" i="8" s="1"/>
  <c r="S653" i="8" s="1"/>
  <c r="S654" i="8" s="1"/>
  <c r="S655" i="8" s="1"/>
  <c r="S656" i="8" s="1"/>
  <c r="S657" i="8" s="1"/>
  <c r="S658" i="8" s="1"/>
  <c r="S659" i="8" s="1"/>
  <c r="S660" i="8" s="1"/>
  <c r="S661" i="8" s="1"/>
  <c r="S662" i="8" s="1"/>
  <c r="S663" i="8" s="1"/>
  <c r="S664" i="8" s="1"/>
  <c r="S665" i="8" s="1"/>
  <c r="S666" i="8" s="1"/>
  <c r="S667" i="8" s="1"/>
  <c r="S668" i="8" s="1"/>
  <c r="S669" i="8" s="1"/>
  <c r="S670" i="8" s="1"/>
  <c r="S671" i="8" s="1"/>
  <c r="S672" i="8" s="1"/>
  <c r="S673" i="8" s="1"/>
  <c r="S674" i="8" s="1"/>
  <c r="S675" i="8" s="1"/>
  <c r="S676" i="8" s="1"/>
  <c r="S677" i="8" s="1"/>
  <c r="S678" i="8" s="1"/>
  <c r="S679" i="8" s="1"/>
  <c r="S680" i="8" s="1"/>
  <c r="S681" i="8" s="1"/>
  <c r="S682" i="8" s="1"/>
  <c r="S683" i="8" s="1"/>
  <c r="S684" i="8" s="1"/>
  <c r="S685" i="8" s="1"/>
  <c r="S686" i="8" s="1"/>
  <c r="S687" i="8" s="1"/>
  <c r="S688" i="8" s="1"/>
  <c r="S689" i="8" s="1"/>
  <c r="S690" i="8" s="1"/>
  <c r="S691" i="8" s="1"/>
  <c r="S692" i="8" s="1"/>
  <c r="S693" i="8" s="1"/>
  <c r="S694" i="8" s="1"/>
  <c r="S695" i="8" s="1"/>
  <c r="S696" i="8" s="1"/>
  <c r="S697" i="8" s="1"/>
  <c r="S698" i="8" s="1"/>
  <c r="S699" i="8" s="1"/>
  <c r="S700" i="8" s="1"/>
  <c r="S701" i="8" s="1"/>
  <c r="S702" i="8" s="1"/>
  <c r="S703" i="8" s="1"/>
  <c r="S704" i="8" s="1"/>
  <c r="S705" i="8" s="1"/>
  <c r="S706" i="8" s="1"/>
  <c r="S707" i="8" s="1"/>
  <c r="S708" i="8" s="1"/>
  <c r="S709" i="8" s="1"/>
  <c r="S710" i="8" s="1"/>
  <c r="S711" i="8" s="1"/>
  <c r="S712" i="8" s="1"/>
  <c r="S713" i="8" s="1"/>
  <c r="S714" i="8" s="1"/>
  <c r="S715" i="8" s="1"/>
  <c r="S716" i="8" s="1"/>
  <c r="S717" i="8" s="1"/>
  <c r="S718" i="8" s="1"/>
  <c r="S719" i="8" s="1"/>
  <c r="S720" i="8" s="1"/>
  <c r="S721" i="8" s="1"/>
  <c r="S722" i="8" s="1"/>
  <c r="S723" i="8" s="1"/>
  <c r="S724" i="8" s="1"/>
  <c r="S725" i="8" s="1"/>
  <c r="S726" i="8" s="1"/>
  <c r="S727" i="8" s="1"/>
  <c r="S728" i="8" s="1"/>
  <c r="S729" i="8" s="1"/>
  <c r="S730" i="8" s="1"/>
  <c r="S731" i="8" s="1"/>
  <c r="S732" i="8" s="1"/>
  <c r="S733" i="8" s="1"/>
  <c r="S734" i="8" s="1"/>
  <c r="S735" i="8" s="1"/>
  <c r="S736" i="8" s="1"/>
  <c r="S737" i="8" s="1"/>
  <c r="S738" i="8" s="1"/>
  <c r="S739" i="8" s="1"/>
  <c r="S740" i="8" s="1"/>
  <c r="S741" i="8" s="1"/>
  <c r="S742" i="8" s="1"/>
  <c r="S743" i="8" s="1"/>
  <c r="S744" i="8" s="1"/>
  <c r="S745" i="8" s="1"/>
  <c r="S746" i="8" s="1"/>
  <c r="S747" i="8" s="1"/>
  <c r="S748" i="8" s="1"/>
  <c r="S749" i="8" s="1"/>
  <c r="S750" i="8" s="1"/>
  <c r="S751" i="8" s="1"/>
  <c r="S752" i="8" s="1"/>
  <c r="S753" i="8" s="1"/>
  <c r="S754" i="8" s="1"/>
  <c r="S755" i="8" s="1"/>
  <c r="S756" i="8" s="1"/>
  <c r="S757" i="8" s="1"/>
  <c r="S758" i="8" s="1"/>
  <c r="S759" i="8" s="1"/>
  <c r="S760" i="8" s="1"/>
  <c r="S761" i="8" s="1"/>
  <c r="S762" i="8" s="1"/>
  <c r="S763" i="8" s="1"/>
  <c r="S764" i="8" s="1"/>
  <c r="S765" i="8" s="1"/>
  <c r="S766" i="8" s="1"/>
  <c r="S767" i="8" s="1"/>
  <c r="S768" i="8" s="1"/>
  <c r="S769" i="8" s="1"/>
  <c r="S770" i="8" s="1"/>
  <c r="S771" i="8" s="1"/>
  <c r="S772" i="8" s="1"/>
  <c r="S773" i="8" s="1"/>
  <c r="S774" i="8" s="1"/>
  <c r="S775" i="8" s="1"/>
  <c r="S776" i="8" s="1"/>
  <c r="S777" i="8" s="1"/>
  <c r="S778" i="8" s="1"/>
  <c r="S779" i="8" s="1"/>
  <c r="S780" i="8" s="1"/>
  <c r="S781" i="8" s="1"/>
  <c r="S782" i="8" s="1"/>
  <c r="S783" i="8" s="1"/>
  <c r="S784" i="8" s="1"/>
  <c r="S785" i="8" s="1"/>
  <c r="S786" i="8" s="1"/>
  <c r="S787" i="8" s="1"/>
  <c r="S788" i="8" s="1"/>
  <c r="S789" i="8" s="1"/>
  <c r="S790" i="8" s="1"/>
  <c r="S791" i="8" s="1"/>
  <c r="S792" i="8" s="1"/>
  <c r="S793" i="8" s="1"/>
  <c r="S794" i="8" s="1"/>
  <c r="S795" i="8" s="1"/>
  <c r="S796" i="8" s="1"/>
  <c r="S797" i="8" s="1"/>
  <c r="S798" i="8" s="1"/>
  <c r="S799" i="8" s="1"/>
  <c r="S800" i="8" s="1"/>
  <c r="S801" i="8" s="1"/>
  <c r="S802" i="8" s="1"/>
  <c r="S803" i="8" s="1"/>
  <c r="S804" i="8" s="1"/>
  <c r="S805" i="8" s="1"/>
  <c r="S806" i="8" s="1"/>
  <c r="S807" i="8" s="1"/>
  <c r="S808" i="8" s="1"/>
  <c r="B130" i="5"/>
  <c r="M130" i="5"/>
  <c r="AA130" i="5"/>
  <c r="B640" i="9"/>
  <c r="N640" i="9"/>
  <c r="Q640" i="9"/>
  <c r="R640" i="9"/>
  <c r="AB640" i="9"/>
  <c r="S809" i="8" l="1"/>
  <c r="S810" i="8" s="1"/>
  <c r="S811" i="8" s="1"/>
  <c r="S812" i="8" s="1"/>
  <c r="S813" i="8" s="1"/>
  <c r="S814" i="8" s="1"/>
  <c r="S815" i="8" s="1"/>
  <c r="S816" i="8" s="1"/>
  <c r="S817" i="8" s="1"/>
  <c r="S818" i="8" s="1"/>
  <c r="S819" i="8" s="1"/>
  <c r="S820" i="8" s="1"/>
  <c r="S821" i="8" s="1"/>
  <c r="S822" i="8" s="1"/>
  <c r="S823" i="8" s="1"/>
  <c r="S824" i="8" s="1"/>
  <c r="S825" i="8" s="1"/>
  <c r="S826" i="8" s="1"/>
  <c r="S827" i="8" s="1"/>
  <c r="S828" i="8" s="1"/>
  <c r="S829" i="8" s="1"/>
  <c r="S830" i="8" s="1"/>
  <c r="S831" i="8" s="1"/>
  <c r="S832" i="8" s="1"/>
  <c r="S833" i="8" s="1"/>
  <c r="S834" i="8" s="1"/>
  <c r="S835" i="8" s="1"/>
  <c r="S836" i="8" s="1"/>
  <c r="S837" i="8" s="1"/>
  <c r="S838" i="8" s="1"/>
  <c r="S839" i="8" s="1"/>
  <c r="S840" i="8" s="1"/>
  <c r="S841" i="8" s="1"/>
  <c r="S842" i="8" s="1"/>
  <c r="S843" i="8" s="1"/>
  <c r="S844" i="8" s="1"/>
  <c r="S845" i="8" s="1"/>
  <c r="S846" i="8" s="1"/>
  <c r="S847" i="8" s="1"/>
  <c r="S848" i="8" s="1"/>
  <c r="S849" i="8" s="1"/>
  <c r="S850" i="8" s="1"/>
  <c r="S851" i="8" s="1"/>
  <c r="S852" i="8" s="1"/>
  <c r="S853" i="8" s="1"/>
  <c r="S854" i="8" s="1"/>
  <c r="S855" i="8" s="1"/>
  <c r="S856" i="8" s="1"/>
  <c r="S857" i="8" s="1"/>
  <c r="S858" i="8" s="1"/>
  <c r="S859" i="8" s="1"/>
  <c r="S860" i="8" s="1"/>
  <c r="S861" i="8" s="1"/>
  <c r="S862" i="8" s="1"/>
  <c r="S863" i="8" s="1"/>
  <c r="S864" i="8" s="1"/>
  <c r="S865" i="8" s="1"/>
  <c r="S866" i="8" s="1"/>
  <c r="S867" i="8" s="1"/>
  <c r="S868" i="8" s="1"/>
  <c r="S869" i="8" s="1"/>
  <c r="S870" i="8" s="1"/>
  <c r="S871" i="8" s="1"/>
  <c r="S872" i="8" s="1"/>
  <c r="S873" i="8" s="1"/>
  <c r="S874" i="8" s="1"/>
  <c r="S875" i="8" s="1"/>
  <c r="S876" i="8" s="1"/>
  <c r="S877" i="8" s="1"/>
  <c r="S878" i="8" s="1"/>
  <c r="S879" i="8" s="1"/>
  <c r="S880" i="8" s="1"/>
  <c r="S881" i="8" s="1"/>
  <c r="S882" i="8" s="1"/>
  <c r="S883" i="8" s="1"/>
  <c r="S884" i="8" s="1"/>
  <c r="S885" i="8" s="1"/>
  <c r="S886" i="8" s="1"/>
  <c r="S887" i="8" s="1"/>
  <c r="S888" i="8" s="1"/>
  <c r="S889" i="8" s="1"/>
  <c r="S890" i="8" s="1"/>
  <c r="S891" i="8" s="1"/>
  <c r="S892" i="8" s="1"/>
  <c r="S893" i="8" s="1"/>
  <c r="S894" i="8" s="1"/>
  <c r="S895" i="8" s="1"/>
  <c r="S896" i="8" s="1"/>
  <c r="S897" i="8" s="1"/>
  <c r="S898" i="8" s="1"/>
  <c r="S899" i="8" s="1"/>
  <c r="S900" i="8" s="1"/>
  <c r="S901" i="8" s="1"/>
  <c r="S902" i="8" s="1"/>
  <c r="S903" i="8" s="1"/>
  <c r="S904" i="8" s="1"/>
  <c r="S905" i="8" s="1"/>
  <c r="S906" i="8" s="1"/>
  <c r="S907" i="8" s="1"/>
  <c r="S908" i="8" s="1"/>
  <c r="S909" i="8" s="1"/>
  <c r="S910" i="8" s="1"/>
  <c r="S911" i="8" s="1"/>
  <c r="S912" i="8" s="1"/>
  <c r="S913" i="8" s="1"/>
  <c r="S914" i="8" s="1"/>
  <c r="S915" i="8" s="1"/>
  <c r="S916" i="8" s="1"/>
  <c r="S917" i="8" s="1"/>
  <c r="S918" i="8" s="1"/>
  <c r="S919" i="8" s="1"/>
  <c r="S920" i="8" s="1"/>
  <c r="S921" i="8" s="1"/>
  <c r="S922" i="8" s="1"/>
  <c r="S923" i="8" s="1"/>
  <c r="S924" i="8" s="1"/>
  <c r="S925" i="8" s="1"/>
  <c r="S926" i="8" s="1"/>
  <c r="S927" i="8" s="1"/>
  <c r="S928" i="8" s="1"/>
  <c r="S929" i="8" s="1"/>
  <c r="S930" i="8" s="1"/>
  <c r="S931" i="8" s="1"/>
  <c r="S932" i="8" s="1"/>
  <c r="S933" i="8" s="1"/>
  <c r="S934" i="8" s="1"/>
  <c r="S935" i="8" s="1"/>
  <c r="S936" i="8" s="1"/>
  <c r="S937" i="8" s="1"/>
  <c r="S938" i="8" s="1"/>
  <c r="S939" i="8" s="1"/>
  <c r="S940" i="8" s="1"/>
  <c r="S941" i="8" s="1"/>
  <c r="S942" i="8" s="1"/>
  <c r="S943" i="8" s="1"/>
  <c r="S944" i="8" s="1"/>
  <c r="S945" i="8" s="1"/>
  <c r="S946" i="8" s="1"/>
  <c r="S947" i="8" s="1"/>
  <c r="S948" i="8" s="1"/>
  <c r="S949" i="8" s="1"/>
  <c r="S950" i="8" s="1"/>
  <c r="S951" i="8" s="1"/>
  <c r="S952" i="8" s="1"/>
  <c r="S953" i="8" s="1"/>
  <c r="S954" i="8" s="1"/>
  <c r="S955" i="8" s="1"/>
  <c r="S956" i="8" s="1"/>
  <c r="S957" i="8" s="1"/>
  <c r="S958" i="8" s="1"/>
  <c r="S959" i="8" s="1"/>
  <c r="S960" i="8" s="1"/>
  <c r="S961" i="8" s="1"/>
  <c r="S962" i="8" s="1"/>
  <c r="S963" i="8" s="1"/>
  <c r="S964" i="8" s="1"/>
  <c r="S965" i="8" s="1"/>
  <c r="S966" i="8" s="1"/>
  <c r="S967" i="8" s="1"/>
  <c r="S968" i="8" s="1"/>
  <c r="S969" i="8" s="1"/>
  <c r="S970" i="8" s="1"/>
  <c r="S971" i="8" s="1"/>
  <c r="S972" i="8" s="1"/>
  <c r="S973" i="8" s="1"/>
  <c r="S974" i="8" s="1"/>
  <c r="S975" i="8" s="1"/>
  <c r="S976" i="8" s="1"/>
  <c r="B639" i="9"/>
  <c r="N639" i="9"/>
  <c r="Q639" i="9"/>
  <c r="R639" i="9"/>
  <c r="AB639" i="9"/>
  <c r="Q4" i="3"/>
  <c r="B276" i="3"/>
  <c r="M276" i="3"/>
  <c r="P276" i="3"/>
  <c r="Q276" i="3"/>
  <c r="AA276" i="3"/>
  <c r="B277" i="3"/>
  <c r="M277" i="3"/>
  <c r="P277" i="3"/>
  <c r="Q277" i="3"/>
  <c r="AA277" i="3"/>
  <c r="B278" i="3"/>
  <c r="M278" i="3"/>
  <c r="P278" i="3"/>
  <c r="Q278" i="3"/>
  <c r="AA278" i="3"/>
  <c r="B279" i="3"/>
  <c r="M279" i="3"/>
  <c r="P279" i="3"/>
  <c r="Q279" i="3"/>
  <c r="AA279" i="3"/>
  <c r="B280" i="3"/>
  <c r="M280" i="3"/>
  <c r="P280" i="3"/>
  <c r="Q280" i="3"/>
  <c r="AA280" i="3"/>
  <c r="B281" i="3"/>
  <c r="M281" i="3"/>
  <c r="P281" i="3"/>
  <c r="Q281" i="3"/>
  <c r="AA281" i="3"/>
  <c r="B282" i="3"/>
  <c r="B283" i="3"/>
  <c r="M282" i="3"/>
  <c r="M283" i="3"/>
  <c r="P282" i="3"/>
  <c r="P283" i="3"/>
  <c r="Q282" i="3"/>
  <c r="Q283" i="3"/>
  <c r="AA282" i="3"/>
  <c r="AA283" i="3"/>
  <c r="B274" i="3"/>
  <c r="M274" i="3"/>
  <c r="P274" i="3"/>
  <c r="Q274" i="3"/>
  <c r="AA274" i="3"/>
  <c r="S977" i="8" l="1"/>
  <c r="S978" i="8" s="1"/>
  <c r="S979" i="8" s="1"/>
  <c r="S980" i="8" s="1"/>
  <c r="S981" i="8" s="1"/>
  <c r="S982" i="8" s="1"/>
  <c r="S983" i="8" s="1"/>
  <c r="S984" i="8" s="1"/>
  <c r="S985" i="8" s="1"/>
  <c r="S986" i="8" s="1"/>
  <c r="S987" i="8" s="1"/>
  <c r="S988" i="8" s="1"/>
  <c r="S989" i="8" s="1"/>
  <c r="S990" i="8" s="1"/>
  <c r="S991" i="8" s="1"/>
  <c r="S992" i="8" s="1"/>
  <c r="S993" i="8" s="1"/>
  <c r="S994" i="8" s="1"/>
  <c r="B625" i="8"/>
  <c r="N625" i="8"/>
  <c r="AB625" i="8"/>
  <c r="AB611" i="8"/>
  <c r="N611" i="8"/>
  <c r="B611" i="8"/>
  <c r="S995" i="8" l="1"/>
  <c r="B592" i="8"/>
  <c r="N592" i="8"/>
  <c r="AB592" i="8"/>
  <c r="B593" i="8"/>
  <c r="N593" i="8"/>
  <c r="AB593" i="8"/>
  <c r="B638" i="9"/>
  <c r="N638" i="9"/>
  <c r="Q638" i="9"/>
  <c r="R638" i="9"/>
  <c r="AB638" i="9"/>
  <c r="S996" i="8" l="1"/>
  <c r="S997" i="8" s="1"/>
  <c r="B622" i="8"/>
  <c r="N622" i="8"/>
  <c r="AB622" i="8"/>
  <c r="S998" i="8" l="1"/>
  <c r="S999" i="8" s="1"/>
  <c r="X2" i="20"/>
  <c r="X3" i="20"/>
  <c r="X4" i="20"/>
  <c r="X5" i="20"/>
  <c r="X6" i="20"/>
  <c r="X7" i="20"/>
  <c r="X8" i="20"/>
  <c r="X9" i="20"/>
  <c r="X10" i="20"/>
  <c r="X11" i="20"/>
  <c r="X12" i="20"/>
  <c r="X13" i="20"/>
  <c r="X14" i="20"/>
  <c r="X15" i="20"/>
  <c r="X16" i="20"/>
  <c r="X17" i="20"/>
  <c r="X18" i="20"/>
  <c r="X19" i="20"/>
  <c r="X20" i="20"/>
  <c r="X21" i="20"/>
  <c r="X22" i="20"/>
  <c r="X23" i="20"/>
  <c r="X24" i="20"/>
  <c r="X25" i="20"/>
  <c r="X26" i="20"/>
  <c r="X27" i="20"/>
  <c r="X28" i="20"/>
  <c r="X29" i="20"/>
  <c r="X30" i="20"/>
  <c r="X31" i="20"/>
  <c r="X32" i="20"/>
  <c r="X33" i="20"/>
  <c r="X34" i="20"/>
  <c r="X35" i="20"/>
  <c r="X36" i="20"/>
  <c r="X37" i="20"/>
  <c r="X38" i="20"/>
  <c r="X39" i="20"/>
  <c r="X40" i="20"/>
  <c r="X41" i="20"/>
  <c r="X42" i="20"/>
  <c r="X43" i="20"/>
  <c r="X44" i="20"/>
  <c r="X45" i="20"/>
  <c r="X46" i="20"/>
  <c r="X47" i="20"/>
  <c r="X48" i="20"/>
  <c r="X49" i="20"/>
  <c r="X50" i="20"/>
  <c r="X51" i="20"/>
  <c r="X52" i="20"/>
  <c r="X53" i="20"/>
  <c r="X54" i="20"/>
  <c r="X55" i="20"/>
  <c r="X56" i="20"/>
  <c r="X57" i="20"/>
  <c r="X58" i="20"/>
  <c r="X59" i="20"/>
  <c r="X60" i="20"/>
  <c r="X61" i="20"/>
  <c r="X62" i="20"/>
  <c r="X63" i="20"/>
  <c r="X64" i="20"/>
  <c r="X65" i="20"/>
  <c r="X66" i="20"/>
  <c r="X67" i="20"/>
  <c r="X68" i="20"/>
  <c r="X69" i="20"/>
  <c r="X70" i="20"/>
  <c r="X71" i="20"/>
  <c r="X72" i="20"/>
  <c r="X73" i="20"/>
  <c r="X74" i="20"/>
  <c r="X75" i="20"/>
  <c r="X76" i="20"/>
  <c r="X77" i="20"/>
  <c r="X78" i="20"/>
  <c r="X79" i="20"/>
  <c r="X80" i="20"/>
  <c r="X81" i="20"/>
  <c r="X82" i="20"/>
  <c r="X83" i="20"/>
  <c r="X84" i="20"/>
  <c r="X85" i="20"/>
  <c r="X86" i="20"/>
  <c r="X87" i="20"/>
  <c r="X88" i="20"/>
  <c r="X89" i="20"/>
  <c r="X90" i="20"/>
  <c r="X91" i="20"/>
  <c r="X92" i="20"/>
  <c r="X93" i="20"/>
  <c r="X94" i="20"/>
  <c r="X95" i="20"/>
  <c r="X96" i="20"/>
  <c r="X97" i="20"/>
  <c r="X98" i="20"/>
  <c r="X99" i="20"/>
  <c r="X100" i="20"/>
  <c r="X101" i="20"/>
  <c r="X102" i="20"/>
  <c r="X103" i="20"/>
  <c r="X104" i="20"/>
  <c r="X105" i="20"/>
  <c r="X106" i="20"/>
  <c r="X107" i="20"/>
  <c r="X108" i="20"/>
  <c r="X109" i="20"/>
  <c r="X110" i="20"/>
  <c r="X111" i="20"/>
  <c r="X112" i="20"/>
  <c r="X113" i="20"/>
  <c r="X114" i="20"/>
  <c r="X115" i="20"/>
  <c r="X116" i="20"/>
  <c r="X117" i="20"/>
  <c r="X118" i="20"/>
  <c r="X119" i="20"/>
  <c r="X120" i="20"/>
  <c r="X121" i="20"/>
  <c r="X122" i="20"/>
  <c r="X123" i="20"/>
  <c r="X124" i="20"/>
  <c r="X125" i="20"/>
  <c r="X126" i="20"/>
  <c r="X127" i="20"/>
  <c r="X128" i="20"/>
  <c r="X129" i="20"/>
  <c r="X130" i="20"/>
  <c r="X131" i="20"/>
  <c r="X132" i="20"/>
  <c r="X133" i="20"/>
  <c r="X134" i="20"/>
  <c r="X135" i="20"/>
  <c r="X136" i="20"/>
  <c r="X137" i="20"/>
  <c r="X138" i="20"/>
  <c r="X139" i="20"/>
  <c r="X140" i="20"/>
  <c r="X141" i="20"/>
  <c r="X142" i="20"/>
  <c r="X143" i="20"/>
  <c r="X144" i="20"/>
  <c r="X145" i="20"/>
  <c r="X146" i="20"/>
  <c r="X147" i="20"/>
  <c r="X148" i="20"/>
  <c r="X149" i="20"/>
  <c r="X150" i="20"/>
  <c r="X151" i="20"/>
  <c r="X152" i="20"/>
  <c r="X153" i="20"/>
  <c r="X154" i="20"/>
  <c r="X155" i="20"/>
  <c r="X156" i="20"/>
  <c r="X157" i="20"/>
  <c r="X158" i="20"/>
  <c r="X159" i="20"/>
  <c r="X160" i="20"/>
  <c r="X161" i="20"/>
  <c r="X162" i="20"/>
  <c r="X163" i="20"/>
  <c r="X164" i="20"/>
  <c r="X165" i="20"/>
  <c r="X166" i="20"/>
  <c r="X167" i="20"/>
  <c r="X168" i="20"/>
  <c r="X169" i="20"/>
  <c r="X170" i="20"/>
  <c r="X171" i="20"/>
  <c r="X172" i="20"/>
  <c r="X173" i="20"/>
  <c r="X174" i="20"/>
  <c r="X175" i="20"/>
  <c r="X176" i="20"/>
  <c r="X177" i="20"/>
  <c r="B169" i="20"/>
  <c r="B170" i="20"/>
  <c r="B171" i="20"/>
  <c r="B172" i="20"/>
  <c r="B173" i="20"/>
  <c r="B174" i="20"/>
  <c r="B175" i="20"/>
  <c r="B176" i="20"/>
  <c r="B177" i="20"/>
  <c r="M169" i="20"/>
  <c r="M170" i="20"/>
  <c r="M171" i="20"/>
  <c r="M172" i="20"/>
  <c r="M173" i="20"/>
  <c r="M174" i="20"/>
  <c r="M175" i="20"/>
  <c r="M176" i="20"/>
  <c r="M177" i="20"/>
  <c r="P169" i="20"/>
  <c r="P170" i="20"/>
  <c r="P171" i="20"/>
  <c r="P172" i="20"/>
  <c r="P173" i="20"/>
  <c r="P174" i="20"/>
  <c r="P175" i="20"/>
  <c r="P176" i="20"/>
  <c r="P177" i="20"/>
  <c r="Q169" i="20"/>
  <c r="Q170" i="20"/>
  <c r="Q171" i="20"/>
  <c r="Q172" i="20"/>
  <c r="Q173" i="20"/>
  <c r="Q174" i="20"/>
  <c r="Q175" i="20"/>
  <c r="Q176" i="20"/>
  <c r="Q177" i="20"/>
  <c r="AA169" i="20"/>
  <c r="AA170" i="20"/>
  <c r="AA171" i="20"/>
  <c r="AA172" i="20"/>
  <c r="AA173" i="20"/>
  <c r="AA174" i="20"/>
  <c r="AA175" i="20"/>
  <c r="AA176" i="20"/>
  <c r="AA177" i="20"/>
  <c r="B195" i="17"/>
  <c r="P195" i="17"/>
  <c r="Q195" i="17"/>
  <c r="X195" i="17"/>
  <c r="AA195" i="17"/>
  <c r="B188" i="17"/>
  <c r="B189" i="17"/>
  <c r="B190" i="17"/>
  <c r="B191" i="17"/>
  <c r="B192" i="17"/>
  <c r="B193" i="17"/>
  <c r="P188" i="17"/>
  <c r="P189" i="17"/>
  <c r="P190" i="17"/>
  <c r="P191" i="17"/>
  <c r="P192" i="17"/>
  <c r="P193" i="17"/>
  <c r="Q188" i="17"/>
  <c r="Q189" i="17"/>
  <c r="Q190" i="17"/>
  <c r="Q191" i="17"/>
  <c r="Q192" i="17"/>
  <c r="Q193" i="17"/>
  <c r="X188" i="17"/>
  <c r="X189" i="17"/>
  <c r="X190" i="17"/>
  <c r="X191" i="17"/>
  <c r="X192" i="17"/>
  <c r="X193" i="17"/>
  <c r="AA188" i="17"/>
  <c r="AA189" i="17"/>
  <c r="AA190" i="17"/>
  <c r="AA191" i="17"/>
  <c r="AA192" i="17"/>
  <c r="AA193" i="17"/>
  <c r="S1000" i="8" l="1"/>
  <c r="S1001" i="8" s="1"/>
  <c r="S1002" i="8" s="1"/>
  <c r="S1003" i="8" s="1"/>
  <c r="S1004" i="8" s="1"/>
  <c r="S1005" i="8" s="1"/>
  <c r="S1006" i="8" s="1"/>
  <c r="S1007" i="8" s="1"/>
  <c r="S1008" i="8" s="1"/>
  <c r="S1009" i="8" s="1"/>
  <c r="S1010" i="8" s="1"/>
  <c r="S1011" i="8" s="1"/>
  <c r="AA275" i="3"/>
  <c r="Q275" i="3"/>
  <c r="P275" i="3"/>
  <c r="M275" i="3"/>
  <c r="B275" i="3"/>
  <c r="N634" i="9"/>
  <c r="N635" i="9"/>
  <c r="N636" i="9"/>
  <c r="N637" i="9"/>
  <c r="AB637" i="9"/>
  <c r="R637" i="9"/>
  <c r="Q637" i="9"/>
  <c r="B637" i="9"/>
  <c r="AB636" i="9"/>
  <c r="R636" i="9"/>
  <c r="Q636" i="9"/>
  <c r="B636" i="9"/>
  <c r="AB635" i="9"/>
  <c r="R635" i="9"/>
  <c r="Q635" i="9"/>
  <c r="B635" i="9"/>
  <c r="AB634" i="9"/>
  <c r="R634" i="9"/>
  <c r="Q634" i="9"/>
  <c r="B634" i="9"/>
  <c r="N631" i="9"/>
  <c r="N632" i="9"/>
  <c r="N633" i="9"/>
  <c r="S1012" i="8" l="1"/>
  <c r="S1013" i="8" s="1"/>
  <c r="S1014" i="8" s="1"/>
  <c r="S1015" i="8" s="1"/>
  <c r="S1016" i="8" s="1"/>
  <c r="S1017" i="8" s="1"/>
  <c r="S1018" i="8" s="1"/>
  <c r="S1019" i="8" s="1"/>
  <c r="S1020" i="8" s="1"/>
  <c r="S1021" i="8" s="1"/>
  <c r="S1022" i="8" s="1"/>
  <c r="S1023" i="8" s="1"/>
  <c r="S1024" i="8" s="1"/>
  <c r="S1025" i="8" s="1"/>
  <c r="AB633" i="9"/>
  <c r="R633" i="9"/>
  <c r="Q633" i="9"/>
  <c r="B633" i="9"/>
  <c r="AB632" i="9"/>
  <c r="R632" i="9"/>
  <c r="Q632" i="9"/>
  <c r="B632" i="9"/>
  <c r="AB631" i="9"/>
  <c r="R631" i="9"/>
  <c r="Q631" i="9"/>
  <c r="B631" i="9"/>
  <c r="S1026" i="8" l="1"/>
  <c r="S1027" i="8" s="1"/>
  <c r="S1028" i="8" s="1"/>
  <c r="S1029" i="8" s="1"/>
  <c r="S1030" i="8" s="1"/>
  <c r="S1031" i="8" s="1"/>
  <c r="S1032" i="8" s="1"/>
  <c r="S1033" i="8" s="1"/>
  <c r="N621" i="8"/>
  <c r="B2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2" i="8"/>
  <c r="B243" i="8"/>
  <c r="B244" i="8"/>
  <c r="B245" i="8"/>
  <c r="B246" i="8"/>
  <c r="B247" i="8"/>
  <c r="B248" i="8"/>
  <c r="B249" i="8"/>
  <c r="B250" i="8"/>
  <c r="B251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4" i="8"/>
  <c r="B325" i="8"/>
  <c r="B326" i="8"/>
  <c r="B327" i="8"/>
  <c r="B328" i="8"/>
  <c r="B329" i="8"/>
  <c r="B333" i="8"/>
  <c r="B334" i="8"/>
  <c r="B335" i="8"/>
  <c r="B336" i="8"/>
  <c r="B337" i="8"/>
  <c r="B338" i="8"/>
  <c r="B339" i="8"/>
  <c r="B340" i="8"/>
  <c r="B341" i="8"/>
  <c r="B342" i="8"/>
  <c r="B345" i="8"/>
  <c r="B346" i="8"/>
  <c r="B347" i="8"/>
  <c r="B348" i="8"/>
  <c r="B352" i="8"/>
  <c r="B353" i="8"/>
  <c r="B354" i="8"/>
  <c r="B355" i="8"/>
  <c r="B356" i="8"/>
  <c r="B357" i="8"/>
  <c r="B358" i="8"/>
  <c r="B359" i="8"/>
  <c r="B360" i="8"/>
  <c r="B361" i="8"/>
  <c r="B362" i="8"/>
  <c r="B365" i="8"/>
  <c r="B366" i="8"/>
  <c r="B367" i="8"/>
  <c r="B368" i="8"/>
  <c r="B369" i="8"/>
  <c r="B370" i="8"/>
  <c r="B371" i="8"/>
  <c r="B372" i="8"/>
  <c r="B373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20" i="8"/>
  <c r="B421" i="8"/>
  <c r="B422" i="8"/>
  <c r="B423" i="8"/>
  <c r="B424" i="8"/>
  <c r="B425" i="8"/>
  <c r="B426" i="8"/>
  <c r="B427" i="8"/>
  <c r="B428" i="8"/>
  <c r="B429" i="8"/>
  <c r="B432" i="8"/>
  <c r="B433" i="8"/>
  <c r="B434" i="8"/>
  <c r="B435" i="8"/>
  <c r="B436" i="8"/>
  <c r="B437" i="8"/>
  <c r="B438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503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5" i="8"/>
  <c r="B616" i="8"/>
  <c r="B617" i="8"/>
  <c r="B618" i="8"/>
  <c r="B619" i="8"/>
  <c r="B620" i="8"/>
  <c r="B621" i="8"/>
  <c r="S1034" i="8" l="1"/>
  <c r="S1035" i="8" s="1"/>
  <c r="S1036" i="8" s="1"/>
  <c r="S1037" i="8" s="1"/>
  <c r="S1038" i="8" s="1"/>
  <c r="S1039" i="8" s="1"/>
  <c r="S1040" i="8" s="1"/>
  <c r="S1041" i="8" s="1"/>
  <c r="N615" i="8"/>
  <c r="AB615" i="8"/>
  <c r="N616" i="8"/>
  <c r="AB616" i="8"/>
  <c r="S1042" i="8" l="1"/>
  <c r="S1043" i="8" s="1"/>
  <c r="S1044" i="8" s="1"/>
  <c r="S1045" i="8" s="1"/>
  <c r="S1046" i="8" s="1"/>
  <c r="S1047" i="8" s="1"/>
  <c r="S1048" i="8" s="1"/>
  <c r="S1049" i="8" s="1"/>
  <c r="S1050" i="8" s="1"/>
  <c r="S1051" i="8" s="1"/>
  <c r="S1052" i="8" s="1"/>
  <c r="S1053" i="8" s="1"/>
  <c r="B630" i="9"/>
  <c r="N630" i="9"/>
  <c r="Q630" i="9"/>
  <c r="R630" i="9"/>
  <c r="AB630" i="9"/>
  <c r="S1054" i="8" l="1"/>
  <c r="S1055" i="8" s="1"/>
  <c r="S1056" i="8" s="1"/>
  <c r="S1057" i="8" s="1"/>
  <c r="S1058" i="8" s="1"/>
  <c r="Q314" i="10"/>
  <c r="P314" i="10"/>
  <c r="M314" i="10"/>
  <c r="B314" i="10"/>
  <c r="Q312" i="10"/>
  <c r="P312" i="10"/>
  <c r="M312" i="10"/>
  <c r="B312" i="10"/>
  <c r="Q311" i="10"/>
  <c r="Q313" i="10"/>
  <c r="P311" i="10"/>
  <c r="P313" i="10"/>
  <c r="M311" i="10"/>
  <c r="M313" i="10"/>
  <c r="B311" i="10"/>
  <c r="B313" i="10"/>
  <c r="Q298" i="10"/>
  <c r="Q299" i="10"/>
  <c r="Q300" i="10"/>
  <c r="P298" i="10"/>
  <c r="P299" i="10"/>
  <c r="P300" i="10"/>
  <c r="M298" i="10"/>
  <c r="M299" i="10"/>
  <c r="M300" i="10"/>
  <c r="B298" i="10"/>
  <c r="B299" i="10"/>
  <c r="B300" i="10"/>
  <c r="Q293" i="10"/>
  <c r="P293" i="10"/>
  <c r="M293" i="10"/>
  <c r="B293" i="10"/>
  <c r="Q326" i="10"/>
  <c r="P326" i="10"/>
  <c r="M326" i="10"/>
  <c r="B326" i="10"/>
  <c r="Q323" i="10"/>
  <c r="P323" i="10"/>
  <c r="M323" i="10"/>
  <c r="B323" i="10"/>
  <c r="Q318" i="10"/>
  <c r="P318" i="10"/>
  <c r="M318" i="10"/>
  <c r="B318" i="10"/>
  <c r="Q317" i="10"/>
  <c r="P317" i="10"/>
  <c r="M317" i="10"/>
  <c r="B317" i="10"/>
  <c r="Q307" i="10"/>
  <c r="Q308" i="10"/>
  <c r="Q309" i="10"/>
  <c r="Q310" i="10"/>
  <c r="P307" i="10"/>
  <c r="P308" i="10"/>
  <c r="P309" i="10"/>
  <c r="P310" i="10"/>
  <c r="M307" i="10"/>
  <c r="M308" i="10"/>
  <c r="M309" i="10"/>
  <c r="M310" i="10"/>
  <c r="B307" i="10"/>
  <c r="B308" i="10"/>
  <c r="B309" i="10"/>
  <c r="B310" i="10"/>
  <c r="Q297" i="10"/>
  <c r="Q301" i="10"/>
  <c r="Q302" i="10"/>
  <c r="P297" i="10"/>
  <c r="P301" i="10"/>
  <c r="P302" i="10"/>
  <c r="M297" i="10"/>
  <c r="M301" i="10"/>
  <c r="M302" i="10"/>
  <c r="B297" i="10"/>
  <c r="B301" i="10"/>
  <c r="B302" i="10"/>
  <c r="Q291" i="10"/>
  <c r="P291" i="10"/>
  <c r="M291" i="10"/>
  <c r="B291" i="10"/>
  <c r="Q292" i="10"/>
  <c r="P292" i="10"/>
  <c r="M292" i="10"/>
  <c r="B292" i="10"/>
  <c r="Q2" i="10"/>
  <c r="Q3" i="10"/>
  <c r="Q4" i="10"/>
  <c r="Q5" i="10"/>
  <c r="Q6" i="10"/>
  <c r="Q7" i="10"/>
  <c r="Q8" i="10"/>
  <c r="Q9" i="10"/>
  <c r="Q10" i="10"/>
  <c r="Q11" i="10"/>
  <c r="Q12" i="10"/>
  <c r="Q13" i="10"/>
  <c r="Q14" i="10"/>
  <c r="Q15" i="10"/>
  <c r="Q16" i="10"/>
  <c r="Q17" i="10"/>
  <c r="Q18" i="10"/>
  <c r="Q19" i="10"/>
  <c r="Q20" i="10"/>
  <c r="Q21" i="10"/>
  <c r="Q22" i="10"/>
  <c r="Q23" i="10"/>
  <c r="Q24" i="10"/>
  <c r="Q25" i="10"/>
  <c r="Q26" i="10"/>
  <c r="Q27" i="10"/>
  <c r="Q28" i="10"/>
  <c r="Q29" i="10"/>
  <c r="Q30" i="10"/>
  <c r="Q31" i="10"/>
  <c r="Q32" i="10"/>
  <c r="Q33" i="10"/>
  <c r="Q34" i="10"/>
  <c r="Q35" i="10"/>
  <c r="Q36" i="10"/>
  <c r="Q37" i="10"/>
  <c r="Q38" i="10"/>
  <c r="Q39" i="10"/>
  <c r="Q40" i="10"/>
  <c r="Q41" i="10"/>
  <c r="Q42" i="10"/>
  <c r="Q43" i="10"/>
  <c r="Q44" i="10"/>
  <c r="Q45" i="10"/>
  <c r="Q46" i="10"/>
  <c r="Q47" i="10"/>
  <c r="Q48" i="10"/>
  <c r="Q49" i="10"/>
  <c r="Q50" i="10"/>
  <c r="Q51" i="10"/>
  <c r="Q52" i="10"/>
  <c r="Q53" i="10"/>
  <c r="Q54" i="10"/>
  <c r="Q55" i="10"/>
  <c r="Q56" i="10"/>
  <c r="Q57" i="10"/>
  <c r="Q58" i="10"/>
  <c r="Q59" i="10"/>
  <c r="Q60" i="10"/>
  <c r="Q61" i="10"/>
  <c r="Q62" i="10"/>
  <c r="Q63" i="10"/>
  <c r="Q64" i="10"/>
  <c r="Q65" i="10"/>
  <c r="Q66" i="10"/>
  <c r="Q67" i="10"/>
  <c r="Q68" i="10"/>
  <c r="Q69" i="10"/>
  <c r="Q70" i="10"/>
  <c r="Q71" i="10"/>
  <c r="Q72" i="10"/>
  <c r="Q73" i="10"/>
  <c r="Q74" i="10"/>
  <c r="Q75" i="10"/>
  <c r="Q76" i="10"/>
  <c r="Q77" i="10"/>
  <c r="Q78" i="10"/>
  <c r="Q79" i="10"/>
  <c r="Q80" i="10"/>
  <c r="Q81" i="10"/>
  <c r="Q82" i="10"/>
  <c r="Q83" i="10"/>
  <c r="Q84" i="10"/>
  <c r="Q85" i="10"/>
  <c r="Q86" i="10"/>
  <c r="Q87" i="10"/>
  <c r="Q88" i="10"/>
  <c r="Q89" i="10"/>
  <c r="Q90" i="10"/>
  <c r="Q91" i="10"/>
  <c r="Q92" i="10"/>
  <c r="Q93" i="10"/>
  <c r="Q94" i="10"/>
  <c r="Q95" i="10"/>
  <c r="Q96" i="10"/>
  <c r="Q97" i="10"/>
  <c r="Q100" i="10"/>
  <c r="Q101" i="10"/>
  <c r="Q102" i="10"/>
  <c r="Q103" i="10"/>
  <c r="Q111" i="10"/>
  <c r="Q117" i="10"/>
  <c r="Q129" i="10"/>
  <c r="Q130" i="10"/>
  <c r="Q131" i="10"/>
  <c r="Q132" i="10"/>
  <c r="Q133" i="10"/>
  <c r="Q134" i="10"/>
  <c r="Q135" i="10"/>
  <c r="Q136" i="10"/>
  <c r="Q137" i="10"/>
  <c r="Q138" i="10"/>
  <c r="Q139" i="10"/>
  <c r="Q140" i="10"/>
  <c r="Q141" i="10"/>
  <c r="Q142" i="10"/>
  <c r="Q143" i="10"/>
  <c r="Q144" i="10"/>
  <c r="Q145" i="10"/>
  <c r="Q146" i="10"/>
  <c r="Q147" i="10"/>
  <c r="Q148" i="10"/>
  <c r="Q149" i="10"/>
  <c r="Q150" i="10"/>
  <c r="Q151" i="10"/>
  <c r="Q152" i="10"/>
  <c r="Q153" i="10"/>
  <c r="Q154" i="10"/>
  <c r="Q155" i="10"/>
  <c r="Q156" i="10"/>
  <c r="Q157" i="10"/>
  <c r="Q158" i="10"/>
  <c r="Q159" i="10"/>
  <c r="Q160" i="10"/>
  <c r="Q161" i="10"/>
  <c r="Q162" i="10"/>
  <c r="Q163" i="10"/>
  <c r="Q164" i="10"/>
  <c r="Q165" i="10"/>
  <c r="Q166" i="10"/>
  <c r="Q167" i="10"/>
  <c r="Q169" i="10"/>
  <c r="Q170" i="10"/>
  <c r="Q171" i="10"/>
  <c r="Q172" i="10"/>
  <c r="Q173" i="10"/>
  <c r="Q174" i="10"/>
  <c r="Q175" i="10"/>
  <c r="Q176" i="10"/>
  <c r="Q177" i="10"/>
  <c r="Q178" i="10"/>
  <c r="Q179" i="10"/>
  <c r="Q180" i="10"/>
  <c r="Q181" i="10"/>
  <c r="Q182" i="10"/>
  <c r="Q183" i="10"/>
  <c r="Q184" i="10"/>
  <c r="Q185" i="10"/>
  <c r="Q186" i="10"/>
  <c r="Q187" i="10"/>
  <c r="Q188" i="10"/>
  <c r="Q189" i="10"/>
  <c r="Q190" i="10"/>
  <c r="Q191" i="10"/>
  <c r="Q192" i="10"/>
  <c r="Q193" i="10"/>
  <c r="Q194" i="10"/>
  <c r="Q195" i="10"/>
  <c r="Q196" i="10"/>
  <c r="Q197" i="10"/>
  <c r="Q198" i="10"/>
  <c r="Q199" i="10"/>
  <c r="Q200" i="10"/>
  <c r="Q201" i="10"/>
  <c r="Q202" i="10"/>
  <c r="Q203" i="10"/>
  <c r="Q204" i="10"/>
  <c r="Q205" i="10"/>
  <c r="Q206" i="10"/>
  <c r="Q207" i="10"/>
  <c r="Q208" i="10"/>
  <c r="Q209" i="10"/>
  <c r="Q210" i="10"/>
  <c r="Q211" i="10"/>
  <c r="Q212" i="10"/>
  <c r="Q213" i="10"/>
  <c r="Q214" i="10"/>
  <c r="Q215" i="10"/>
  <c r="Q216" i="10"/>
  <c r="Q217" i="10"/>
  <c r="Q218" i="10"/>
  <c r="Q219" i="10"/>
  <c r="Q220" i="10"/>
  <c r="Q221" i="10"/>
  <c r="Q222" i="10"/>
  <c r="Q223" i="10"/>
  <c r="Q224" i="10"/>
  <c r="Q225" i="10"/>
  <c r="Q226" i="10"/>
  <c r="Q227" i="10"/>
  <c r="Q228" i="10"/>
  <c r="Q229" i="10"/>
  <c r="Q230" i="10"/>
  <c r="Q231" i="10"/>
  <c r="Q232" i="10"/>
  <c r="Q233" i="10"/>
  <c r="Q234" i="10"/>
  <c r="Q235" i="10"/>
  <c r="Q236" i="10"/>
  <c r="Q237" i="10"/>
  <c r="Q238" i="10"/>
  <c r="Q239" i="10"/>
  <c r="Q240" i="10"/>
  <c r="Q241" i="10"/>
  <c r="Q242" i="10"/>
  <c r="Q243" i="10"/>
  <c r="Q244" i="10"/>
  <c r="Q245" i="10"/>
  <c r="Q246" i="10"/>
  <c r="Q247" i="10"/>
  <c r="Q248" i="10"/>
  <c r="Q249" i="10"/>
  <c r="Q250" i="10"/>
  <c r="Q251" i="10"/>
  <c r="Q252" i="10"/>
  <c r="Q253" i="10"/>
  <c r="Q254" i="10"/>
  <c r="Q255" i="10"/>
  <c r="Q256" i="10"/>
  <c r="Q257" i="10"/>
  <c r="Q258" i="10"/>
  <c r="Q259" i="10"/>
  <c r="Q260" i="10"/>
  <c r="Q261" i="10"/>
  <c r="Q262" i="10"/>
  <c r="Q263" i="10"/>
  <c r="Q264" i="10"/>
  <c r="Q265" i="10"/>
  <c r="Q266" i="10"/>
  <c r="Q267" i="10"/>
  <c r="Q268" i="10"/>
  <c r="Q269" i="10"/>
  <c r="Q270" i="10"/>
  <c r="Q271" i="10"/>
  <c r="Q272" i="10"/>
  <c r="Q273" i="10"/>
  <c r="Q274" i="10"/>
  <c r="Q275" i="10"/>
  <c r="Q276" i="10"/>
  <c r="Q277" i="10"/>
  <c r="Q278" i="10"/>
  <c r="Q279" i="10"/>
  <c r="Q280" i="10"/>
  <c r="Q281" i="10"/>
  <c r="Q282" i="10"/>
  <c r="Q283" i="10"/>
  <c r="Q284" i="10"/>
  <c r="Q285" i="10"/>
  <c r="Q286" i="10"/>
  <c r="Q287" i="10"/>
  <c r="Q288" i="10"/>
  <c r="Q289" i="10"/>
  <c r="Q290" i="10"/>
  <c r="Q294" i="10"/>
  <c r="Q295" i="10"/>
  <c r="Q296" i="10"/>
  <c r="Q303" i="10"/>
  <c r="Q304" i="10"/>
  <c r="Q305" i="10"/>
  <c r="Q306" i="10"/>
  <c r="Q315" i="10"/>
  <c r="Q316" i="10"/>
  <c r="Q319" i="10"/>
  <c r="Q320" i="10"/>
  <c r="Q321" i="10"/>
  <c r="Q322" i="10"/>
  <c r="Q324" i="10"/>
  <c r="Q325" i="10"/>
  <c r="P2" i="10"/>
  <c r="R2" i="10" s="1"/>
  <c r="P3" i="10"/>
  <c r="P4" i="10"/>
  <c r="P5" i="10"/>
  <c r="P6" i="10"/>
  <c r="P7" i="10"/>
  <c r="P8" i="10"/>
  <c r="P9" i="10"/>
  <c r="P10" i="10"/>
  <c r="P11" i="10"/>
  <c r="P12" i="10"/>
  <c r="P13" i="10"/>
  <c r="P14" i="10"/>
  <c r="P15" i="10"/>
  <c r="P16" i="10"/>
  <c r="P17" i="10"/>
  <c r="P18" i="10"/>
  <c r="P19" i="10"/>
  <c r="P20" i="10"/>
  <c r="P21" i="10"/>
  <c r="P22" i="10"/>
  <c r="P23" i="10"/>
  <c r="P24" i="10"/>
  <c r="P25" i="10"/>
  <c r="P26" i="10"/>
  <c r="P27" i="10"/>
  <c r="P28" i="10"/>
  <c r="P29" i="10"/>
  <c r="P30" i="10"/>
  <c r="P31" i="10"/>
  <c r="P32" i="10"/>
  <c r="P33" i="10"/>
  <c r="P34" i="10"/>
  <c r="P35" i="10"/>
  <c r="P36" i="10"/>
  <c r="P37" i="10"/>
  <c r="P38" i="10"/>
  <c r="P39" i="10"/>
  <c r="P40" i="10"/>
  <c r="P41" i="10"/>
  <c r="P42" i="10"/>
  <c r="P43" i="10"/>
  <c r="P44" i="10"/>
  <c r="P45" i="10"/>
  <c r="P46" i="10"/>
  <c r="P47" i="10"/>
  <c r="P48" i="10"/>
  <c r="P49" i="10"/>
  <c r="P50" i="10"/>
  <c r="P51" i="10"/>
  <c r="P52" i="10"/>
  <c r="P53" i="10"/>
  <c r="P54" i="10"/>
  <c r="P55" i="10"/>
  <c r="P56" i="10"/>
  <c r="P57" i="10"/>
  <c r="P58" i="10"/>
  <c r="P59" i="10"/>
  <c r="P60" i="10"/>
  <c r="P61" i="10"/>
  <c r="P62" i="10"/>
  <c r="P63" i="10"/>
  <c r="P64" i="10"/>
  <c r="P65" i="10"/>
  <c r="P66" i="10"/>
  <c r="P67" i="10"/>
  <c r="P68" i="10"/>
  <c r="P69" i="10"/>
  <c r="P70" i="10"/>
  <c r="P71" i="10"/>
  <c r="P72" i="10"/>
  <c r="P73" i="10"/>
  <c r="P74" i="10"/>
  <c r="P75" i="10"/>
  <c r="P76" i="10"/>
  <c r="P77" i="10"/>
  <c r="P78" i="10"/>
  <c r="P79" i="10"/>
  <c r="P80" i="10"/>
  <c r="P81" i="10"/>
  <c r="P82" i="10"/>
  <c r="P83" i="10"/>
  <c r="P84" i="10"/>
  <c r="P85" i="10"/>
  <c r="P86" i="10"/>
  <c r="P87" i="10"/>
  <c r="P88" i="10"/>
  <c r="P89" i="10"/>
  <c r="P90" i="10"/>
  <c r="P91" i="10"/>
  <c r="P92" i="10"/>
  <c r="P93" i="10"/>
  <c r="P94" i="10"/>
  <c r="P95" i="10"/>
  <c r="P96" i="10"/>
  <c r="P97" i="10"/>
  <c r="P100" i="10"/>
  <c r="P101" i="10"/>
  <c r="P102" i="10"/>
  <c r="P103" i="10"/>
  <c r="P111" i="10"/>
  <c r="P117" i="10"/>
  <c r="P129" i="10"/>
  <c r="P130" i="10"/>
  <c r="P131" i="10"/>
  <c r="P132" i="10"/>
  <c r="P133" i="10"/>
  <c r="P134" i="10"/>
  <c r="P135" i="10"/>
  <c r="P136" i="10"/>
  <c r="P137" i="10"/>
  <c r="P138" i="10"/>
  <c r="P139" i="10"/>
  <c r="P140" i="10"/>
  <c r="P141" i="10"/>
  <c r="P142" i="10"/>
  <c r="P143" i="10"/>
  <c r="P144" i="10"/>
  <c r="P145" i="10"/>
  <c r="P146" i="10"/>
  <c r="P147" i="10"/>
  <c r="P148" i="10"/>
  <c r="P149" i="10"/>
  <c r="P150" i="10"/>
  <c r="P151" i="10"/>
  <c r="P152" i="10"/>
  <c r="P153" i="10"/>
  <c r="P154" i="10"/>
  <c r="P155" i="10"/>
  <c r="P156" i="10"/>
  <c r="P157" i="10"/>
  <c r="P158" i="10"/>
  <c r="P159" i="10"/>
  <c r="P160" i="10"/>
  <c r="P161" i="10"/>
  <c r="P162" i="10"/>
  <c r="P163" i="10"/>
  <c r="P164" i="10"/>
  <c r="P165" i="10"/>
  <c r="P166" i="10"/>
  <c r="P167" i="10"/>
  <c r="P168" i="10"/>
  <c r="P169" i="10"/>
  <c r="P170" i="10"/>
  <c r="P171" i="10"/>
  <c r="P172" i="10"/>
  <c r="P173" i="10"/>
  <c r="P174" i="10"/>
  <c r="P175" i="10"/>
  <c r="P176" i="10"/>
  <c r="P177" i="10"/>
  <c r="P178" i="10"/>
  <c r="P179" i="10"/>
  <c r="P180" i="10"/>
  <c r="P181" i="10"/>
  <c r="P182" i="10"/>
  <c r="P183" i="10"/>
  <c r="P184" i="10"/>
  <c r="P185" i="10"/>
  <c r="P186" i="10"/>
  <c r="P187" i="10"/>
  <c r="P188" i="10"/>
  <c r="P189" i="10"/>
  <c r="P190" i="10"/>
  <c r="P191" i="10"/>
  <c r="P192" i="10"/>
  <c r="P193" i="10"/>
  <c r="P194" i="10"/>
  <c r="P195" i="10"/>
  <c r="P196" i="10"/>
  <c r="P197" i="10"/>
  <c r="P198" i="10"/>
  <c r="P199" i="10"/>
  <c r="P200" i="10"/>
  <c r="P201" i="10"/>
  <c r="P202" i="10"/>
  <c r="P203" i="10"/>
  <c r="P204" i="10"/>
  <c r="P205" i="10"/>
  <c r="P206" i="10"/>
  <c r="P207" i="10"/>
  <c r="P208" i="10"/>
  <c r="P209" i="10"/>
  <c r="P210" i="10"/>
  <c r="P211" i="10"/>
  <c r="P212" i="10"/>
  <c r="P213" i="10"/>
  <c r="P214" i="10"/>
  <c r="P215" i="10"/>
  <c r="P216" i="10"/>
  <c r="P217" i="10"/>
  <c r="P218" i="10"/>
  <c r="P219" i="10"/>
  <c r="P220" i="10"/>
  <c r="P221" i="10"/>
  <c r="P222" i="10"/>
  <c r="P223" i="10"/>
  <c r="P224" i="10"/>
  <c r="P225" i="10"/>
  <c r="P226" i="10"/>
  <c r="P227" i="10"/>
  <c r="P228" i="10"/>
  <c r="P229" i="10"/>
  <c r="P230" i="10"/>
  <c r="P231" i="10"/>
  <c r="P232" i="10"/>
  <c r="P233" i="10"/>
  <c r="P234" i="10"/>
  <c r="P235" i="10"/>
  <c r="P236" i="10"/>
  <c r="P237" i="10"/>
  <c r="P238" i="10"/>
  <c r="P239" i="10"/>
  <c r="P240" i="10"/>
  <c r="P241" i="10"/>
  <c r="P242" i="10"/>
  <c r="P243" i="10"/>
  <c r="P244" i="10"/>
  <c r="P245" i="10"/>
  <c r="P246" i="10"/>
  <c r="P247" i="10"/>
  <c r="P248" i="10"/>
  <c r="P249" i="10"/>
  <c r="P250" i="10"/>
  <c r="P251" i="10"/>
  <c r="P252" i="10"/>
  <c r="P253" i="10"/>
  <c r="P254" i="10"/>
  <c r="P255" i="10"/>
  <c r="P256" i="10"/>
  <c r="P257" i="10"/>
  <c r="P258" i="10"/>
  <c r="P259" i="10"/>
  <c r="P260" i="10"/>
  <c r="P261" i="10"/>
  <c r="P262" i="10"/>
  <c r="P263" i="10"/>
  <c r="P264" i="10"/>
  <c r="P265" i="10"/>
  <c r="P266" i="10"/>
  <c r="P267" i="10"/>
  <c r="P268" i="10"/>
  <c r="P269" i="10"/>
  <c r="P270" i="10"/>
  <c r="P271" i="10"/>
  <c r="P272" i="10"/>
  <c r="P273" i="10"/>
  <c r="P274" i="10"/>
  <c r="P275" i="10"/>
  <c r="P276" i="10"/>
  <c r="P277" i="10"/>
  <c r="P278" i="10"/>
  <c r="P279" i="10"/>
  <c r="P280" i="10"/>
  <c r="P281" i="10"/>
  <c r="P282" i="10"/>
  <c r="P283" i="10"/>
  <c r="P284" i="10"/>
  <c r="P285" i="10"/>
  <c r="P286" i="10"/>
  <c r="P287" i="10"/>
  <c r="P288" i="10"/>
  <c r="P289" i="10"/>
  <c r="P290" i="10"/>
  <c r="P294" i="10"/>
  <c r="P295" i="10"/>
  <c r="P296" i="10"/>
  <c r="P303" i="10"/>
  <c r="P304" i="10"/>
  <c r="P305" i="10"/>
  <c r="P306" i="10"/>
  <c r="P315" i="10"/>
  <c r="P316" i="10"/>
  <c r="P319" i="10"/>
  <c r="P320" i="10"/>
  <c r="P321" i="10"/>
  <c r="P322" i="10"/>
  <c r="P324" i="10"/>
  <c r="P325" i="10"/>
  <c r="B290" i="10"/>
  <c r="B288" i="10"/>
  <c r="B289" i="10"/>
  <c r="R3" i="10" l="1"/>
  <c r="R4" i="10"/>
  <c r="R5" i="10" s="1"/>
  <c r="R6" i="10" s="1"/>
  <c r="R7" i="10" s="1"/>
  <c r="R8" i="10" s="1"/>
  <c r="R9" i="10" s="1"/>
  <c r="R10" i="10" s="1"/>
  <c r="R11" i="10" s="1"/>
  <c r="R12" i="10" s="1"/>
  <c r="R13" i="10" s="1"/>
  <c r="R14" i="10" s="1"/>
  <c r="R15" i="10" s="1"/>
  <c r="R16" i="10" s="1"/>
  <c r="R17" i="10" s="1"/>
  <c r="R18" i="10" s="1"/>
  <c r="R19" i="10" s="1"/>
  <c r="R20" i="10" s="1"/>
  <c r="R21" i="10" s="1"/>
  <c r="R22" i="10" s="1"/>
  <c r="R23" i="10" s="1"/>
  <c r="R24" i="10" s="1"/>
  <c r="R25" i="10" s="1"/>
  <c r="R26" i="10" s="1"/>
  <c r="R27" i="10" s="1"/>
  <c r="R28" i="10" s="1"/>
  <c r="R29" i="10" s="1"/>
  <c r="R30" i="10" s="1"/>
  <c r="R31" i="10" s="1"/>
  <c r="R32" i="10" s="1"/>
  <c r="R33" i="10" s="1"/>
  <c r="R34" i="10" s="1"/>
  <c r="R35" i="10" s="1"/>
  <c r="R36" i="10" s="1"/>
  <c r="R37" i="10" s="1"/>
  <c r="R38" i="10" s="1"/>
  <c r="R39" i="10" s="1"/>
  <c r="R40" i="10" s="1"/>
  <c r="R41" i="10" s="1"/>
  <c r="R42" i="10" s="1"/>
  <c r="R43" i="10" s="1"/>
  <c r="R44" i="10" s="1"/>
  <c r="R45" i="10" s="1"/>
  <c r="R46" i="10" s="1"/>
  <c r="R47" i="10" s="1"/>
  <c r="R48" i="10" s="1"/>
  <c r="R49" i="10" s="1"/>
  <c r="R50" i="10" s="1"/>
  <c r="R51" i="10" s="1"/>
  <c r="R52" i="10" s="1"/>
  <c r="R53" i="10" s="1"/>
  <c r="R54" i="10" s="1"/>
  <c r="R55" i="10" s="1"/>
  <c r="R56" i="10" s="1"/>
  <c r="R57" i="10" s="1"/>
  <c r="R58" i="10" s="1"/>
  <c r="R59" i="10" s="1"/>
  <c r="R60" i="10" s="1"/>
  <c r="R61" i="10" s="1"/>
  <c r="R62" i="10" s="1"/>
  <c r="R63" i="10" s="1"/>
  <c r="R64" i="10" s="1"/>
  <c r="R65" i="10" s="1"/>
  <c r="R66" i="10" s="1"/>
  <c r="R67" i="10" s="1"/>
  <c r="R68" i="10" s="1"/>
  <c r="R69" i="10" s="1"/>
  <c r="R70" i="10" s="1"/>
  <c r="R71" i="10" s="1"/>
  <c r="R72" i="10" s="1"/>
  <c r="R73" i="10" s="1"/>
  <c r="R74" i="10" s="1"/>
  <c r="R75" i="10" s="1"/>
  <c r="R76" i="10" s="1"/>
  <c r="R77" i="10" s="1"/>
  <c r="R78" i="10" s="1"/>
  <c r="R79" i="10" s="1"/>
  <c r="R80" i="10" s="1"/>
  <c r="R81" i="10" s="1"/>
  <c r="R82" i="10" s="1"/>
  <c r="R83" i="10" s="1"/>
  <c r="R84" i="10" s="1"/>
  <c r="R85" i="10" s="1"/>
  <c r="R86" i="10" s="1"/>
  <c r="R87" i="10" s="1"/>
  <c r="R88" i="10" s="1"/>
  <c r="R89" i="10" s="1"/>
  <c r="R90" i="10" s="1"/>
  <c r="R91" i="10" s="1"/>
  <c r="R92" i="10" s="1"/>
  <c r="R93" i="10" s="1"/>
  <c r="R94" i="10" s="1"/>
  <c r="R95" i="10" s="1"/>
  <c r="R96" i="10" s="1"/>
  <c r="R97" i="10" s="1"/>
  <c r="R98" i="10" s="1"/>
  <c r="R99" i="10" s="1"/>
  <c r="R100" i="10" s="1"/>
  <c r="R101" i="10" s="1"/>
  <c r="R102" i="10" s="1"/>
  <c r="R103" i="10" s="1"/>
  <c r="R104" i="10" s="1"/>
  <c r="R105" i="10" s="1"/>
  <c r="R106" i="10" s="1"/>
  <c r="R107" i="10" s="1"/>
  <c r="R108" i="10" s="1"/>
  <c r="R109" i="10" s="1"/>
  <c r="R110" i="10" s="1"/>
  <c r="R111" i="10" s="1"/>
  <c r="R112" i="10" s="1"/>
  <c r="R113" i="10" s="1"/>
  <c r="R114" i="10" s="1"/>
  <c r="R115" i="10" s="1"/>
  <c r="R116" i="10" s="1"/>
  <c r="R117" i="10" s="1"/>
  <c r="R118" i="10" s="1"/>
  <c r="R119" i="10" s="1"/>
  <c r="R120" i="10" s="1"/>
  <c r="R121" i="10" s="1"/>
  <c r="R122" i="10" s="1"/>
  <c r="R123" i="10" s="1"/>
  <c r="R124" i="10" s="1"/>
  <c r="R125" i="10" s="1"/>
  <c r="R126" i="10" s="1"/>
  <c r="R127" i="10" s="1"/>
  <c r="R128" i="10" s="1"/>
  <c r="R129" i="10" s="1"/>
  <c r="R130" i="10" s="1"/>
  <c r="R131" i="10" s="1"/>
  <c r="R132" i="10" s="1"/>
  <c r="R133" i="10" s="1"/>
  <c r="R134" i="10" s="1"/>
  <c r="R135" i="10" s="1"/>
  <c r="R136" i="10" s="1"/>
  <c r="R137" i="10" s="1"/>
  <c r="R138" i="10" s="1"/>
  <c r="R139" i="10" s="1"/>
  <c r="R140" i="10" s="1"/>
  <c r="R141" i="10" s="1"/>
  <c r="R142" i="10" s="1"/>
  <c r="R143" i="10" s="1"/>
  <c r="R144" i="10" s="1"/>
  <c r="R145" i="10" s="1"/>
  <c r="R146" i="10" s="1"/>
  <c r="R147" i="10" s="1"/>
  <c r="R148" i="10" s="1"/>
  <c r="R149" i="10" s="1"/>
  <c r="R150" i="10" s="1"/>
  <c r="R151" i="10" s="1"/>
  <c r="R152" i="10" s="1"/>
  <c r="R153" i="10" s="1"/>
  <c r="R154" i="10" s="1"/>
  <c r="R155" i="10" s="1"/>
  <c r="R156" i="10" s="1"/>
  <c r="R157" i="10" s="1"/>
  <c r="R158" i="10" s="1"/>
  <c r="R159" i="10" s="1"/>
  <c r="R160" i="10" s="1"/>
  <c r="R161" i="10" s="1"/>
  <c r="R162" i="10" s="1"/>
  <c r="R163" i="10" s="1"/>
  <c r="R164" i="10" s="1"/>
  <c r="R165" i="10" s="1"/>
  <c r="R166" i="10" s="1"/>
  <c r="R167" i="10" s="1"/>
  <c r="R168" i="10" s="1"/>
  <c r="R169" i="10" s="1"/>
  <c r="R170" i="10" s="1"/>
  <c r="R171" i="10" s="1"/>
  <c r="R172" i="10" s="1"/>
  <c r="R173" i="10" s="1"/>
  <c r="R174" i="10" s="1"/>
  <c r="R175" i="10" s="1"/>
  <c r="R176" i="10" s="1"/>
  <c r="R177" i="10" s="1"/>
  <c r="R178" i="10" s="1"/>
  <c r="R179" i="10" s="1"/>
  <c r="R180" i="10" s="1"/>
  <c r="R181" i="10" s="1"/>
  <c r="R182" i="10" s="1"/>
  <c r="R183" i="10" s="1"/>
  <c r="R184" i="10" s="1"/>
  <c r="R185" i="10" s="1"/>
  <c r="R186" i="10" s="1"/>
  <c r="R187" i="10" s="1"/>
  <c r="R188" i="10" s="1"/>
  <c r="R189" i="10" s="1"/>
  <c r="R190" i="10" s="1"/>
  <c r="R191" i="10" s="1"/>
  <c r="R192" i="10" s="1"/>
  <c r="R193" i="10" s="1"/>
  <c r="R194" i="10" s="1"/>
  <c r="R195" i="10" s="1"/>
  <c r="R196" i="10" s="1"/>
  <c r="R197" i="10" s="1"/>
  <c r="R198" i="10" s="1"/>
  <c r="R199" i="10" s="1"/>
  <c r="R200" i="10" s="1"/>
  <c r="R201" i="10" s="1"/>
  <c r="R202" i="10" s="1"/>
  <c r="R203" i="10" s="1"/>
  <c r="R204" i="10" s="1"/>
  <c r="R205" i="10" s="1"/>
  <c r="R206" i="10" s="1"/>
  <c r="R207" i="10" s="1"/>
  <c r="R208" i="10" s="1"/>
  <c r="R209" i="10" s="1"/>
  <c r="R210" i="10" s="1"/>
  <c r="R211" i="10" s="1"/>
  <c r="R212" i="10" s="1"/>
  <c r="R213" i="10" s="1"/>
  <c r="R214" i="10" s="1"/>
  <c r="R215" i="10" s="1"/>
  <c r="R216" i="10" s="1"/>
  <c r="R217" i="10" s="1"/>
  <c r="R218" i="10" s="1"/>
  <c r="R219" i="10" s="1"/>
  <c r="R220" i="10" s="1"/>
  <c r="R221" i="10" s="1"/>
  <c r="R222" i="10" s="1"/>
  <c r="R223" i="10" s="1"/>
  <c r="R224" i="10" s="1"/>
  <c r="R225" i="10" s="1"/>
  <c r="R226" i="10" s="1"/>
  <c r="R227" i="10" s="1"/>
  <c r="R228" i="10" s="1"/>
  <c r="R229" i="10" s="1"/>
  <c r="R230" i="10" s="1"/>
  <c r="R231" i="10" s="1"/>
  <c r="R232" i="10" s="1"/>
  <c r="R233" i="10" s="1"/>
  <c r="R234" i="10" s="1"/>
  <c r="R235" i="10" s="1"/>
  <c r="R236" i="10" s="1"/>
  <c r="R237" i="10" s="1"/>
  <c r="R238" i="10" s="1"/>
  <c r="R239" i="10" s="1"/>
  <c r="R240" i="10" s="1"/>
  <c r="R241" i="10" s="1"/>
  <c r="R242" i="10" s="1"/>
  <c r="R243" i="10" s="1"/>
  <c r="R244" i="10" s="1"/>
  <c r="R245" i="10" s="1"/>
  <c r="R246" i="10" s="1"/>
  <c r="R247" i="10" s="1"/>
  <c r="R248" i="10" s="1"/>
  <c r="R249" i="10" s="1"/>
  <c r="R250" i="10" s="1"/>
  <c r="R251" i="10" s="1"/>
  <c r="R252" i="10" s="1"/>
  <c r="R253" i="10" s="1"/>
  <c r="R254" i="10" s="1"/>
  <c r="R255" i="10" s="1"/>
  <c r="R256" i="10" s="1"/>
  <c r="R257" i="10" s="1"/>
  <c r="R258" i="10" s="1"/>
  <c r="R259" i="10" s="1"/>
  <c r="R260" i="10" s="1"/>
  <c r="R261" i="10" s="1"/>
  <c r="R262" i="10" s="1"/>
  <c r="R263" i="10" s="1"/>
  <c r="R264" i="10" s="1"/>
  <c r="R265" i="10" s="1"/>
  <c r="R266" i="10" s="1"/>
  <c r="R267" i="10" s="1"/>
  <c r="R268" i="10" s="1"/>
  <c r="R269" i="10" s="1"/>
  <c r="R270" i="10" s="1"/>
  <c r="R271" i="10" s="1"/>
  <c r="R272" i="10" s="1"/>
  <c r="R273" i="10" s="1"/>
  <c r="R274" i="10" s="1"/>
  <c r="R275" i="10" s="1"/>
  <c r="R276" i="10" s="1"/>
  <c r="R277" i="10" s="1"/>
  <c r="R278" i="10" s="1"/>
  <c r="R279" i="10" s="1"/>
  <c r="R280" i="10" s="1"/>
  <c r="R281" i="10" s="1"/>
  <c r="R282" i="10" s="1"/>
  <c r="R283" i="10" s="1"/>
  <c r="R284" i="10" s="1"/>
  <c r="R285" i="10" s="1"/>
  <c r="R286" i="10" s="1"/>
  <c r="R287" i="10" s="1"/>
  <c r="R288" i="10" s="1"/>
  <c r="R289" i="10" s="1"/>
  <c r="R290" i="10" s="1"/>
  <c r="R291" i="10" s="1"/>
  <c r="R292" i="10" s="1"/>
  <c r="R293" i="10" s="1"/>
  <c r="R294" i="10" s="1"/>
  <c r="R295" i="10" s="1"/>
  <c r="R296" i="10" s="1"/>
  <c r="R297" i="10" s="1"/>
  <c r="R298" i="10" s="1"/>
  <c r="R299" i="10" s="1"/>
  <c r="R300" i="10" s="1"/>
  <c r="R301" i="10" s="1"/>
  <c r="R302" i="10" s="1"/>
  <c r="R303" i="10" s="1"/>
  <c r="R304" i="10" s="1"/>
  <c r="R305" i="10" s="1"/>
  <c r="R306" i="10" s="1"/>
  <c r="R307" i="10" s="1"/>
  <c r="R308" i="10" s="1"/>
  <c r="R309" i="10" s="1"/>
  <c r="R310" i="10" s="1"/>
  <c r="R311" i="10" s="1"/>
  <c r="R312" i="10" s="1"/>
  <c r="R313" i="10" s="1"/>
  <c r="R314" i="10" s="1"/>
  <c r="R315" i="10" s="1"/>
  <c r="R316" i="10" s="1"/>
  <c r="R317" i="10" s="1"/>
  <c r="R318" i="10" s="1"/>
  <c r="R319" i="10" s="1"/>
  <c r="R320" i="10" s="1"/>
  <c r="R321" i="10" s="1"/>
  <c r="R322" i="10" s="1"/>
  <c r="R323" i="10" s="1"/>
  <c r="R324" i="10" s="1"/>
  <c r="R325" i="10" s="1"/>
  <c r="R326" i="10" s="1"/>
  <c r="R327" i="10" s="1"/>
  <c r="R328" i="10" s="1"/>
  <c r="R329" i="10" s="1"/>
  <c r="R330" i="10" s="1"/>
  <c r="R331" i="10" s="1"/>
  <c r="R332" i="10" s="1"/>
  <c r="R333" i="10" s="1"/>
  <c r="R334" i="10" s="1"/>
  <c r="R335" i="10" s="1"/>
  <c r="R336" i="10" s="1"/>
  <c r="R337" i="10" s="1"/>
  <c r="R338" i="10" s="1"/>
  <c r="R339" i="10" s="1"/>
  <c r="R340" i="10" s="1"/>
  <c r="R341" i="10" s="1"/>
  <c r="R342" i="10" s="1"/>
  <c r="R343" i="10" s="1"/>
  <c r="R344" i="10" s="1"/>
  <c r="R345" i="10" s="1"/>
  <c r="R346" i="10" s="1"/>
  <c r="R347" i="10" s="1"/>
  <c r="R348" i="10" s="1"/>
  <c r="R349" i="10" s="1"/>
  <c r="R350" i="10" s="1"/>
  <c r="R351" i="10" s="1"/>
  <c r="R352" i="10" s="1"/>
  <c r="R353" i="10" s="1"/>
  <c r="R354" i="10" s="1"/>
  <c r="R355" i="10" s="1"/>
  <c r="R356" i="10" s="1"/>
  <c r="R357" i="10" s="1"/>
  <c r="R358" i="10" s="1"/>
  <c r="R359" i="10" s="1"/>
  <c r="R360" i="10" s="1"/>
  <c r="R361" i="10" s="1"/>
  <c r="R362" i="10" s="1"/>
  <c r="R363" i="10" s="1"/>
  <c r="R364" i="10" s="1"/>
  <c r="R365" i="10" s="1"/>
  <c r="R366" i="10" s="1"/>
  <c r="R367" i="10" s="1"/>
  <c r="R368" i="10" s="1"/>
  <c r="R369" i="10" s="1"/>
  <c r="R370" i="10" s="1"/>
  <c r="R371" i="10" s="1"/>
  <c r="R372" i="10" s="1"/>
  <c r="R373" i="10" s="1"/>
  <c r="R374" i="10" s="1"/>
  <c r="R375" i="10" s="1"/>
  <c r="R376" i="10" s="1"/>
  <c r="R377" i="10" s="1"/>
  <c r="R378" i="10" s="1"/>
  <c r="R379" i="10" s="1"/>
  <c r="R380" i="10" s="1"/>
  <c r="R381" i="10" s="1"/>
  <c r="R382" i="10" s="1"/>
  <c r="R383" i="10" s="1"/>
  <c r="R384" i="10" s="1"/>
  <c r="R385" i="10" s="1"/>
  <c r="R386" i="10" s="1"/>
  <c r="R387" i="10" s="1"/>
  <c r="R388" i="10" s="1"/>
  <c r="R389" i="10" s="1"/>
  <c r="R390" i="10" s="1"/>
  <c r="R391" i="10" s="1"/>
  <c r="R392" i="10" s="1"/>
  <c r="R393" i="10" s="1"/>
  <c r="R394" i="10" s="1"/>
  <c r="R395" i="10" s="1"/>
  <c r="R396" i="10" s="1"/>
  <c r="R397" i="10" s="1"/>
  <c r="R398" i="10" s="1"/>
  <c r="R399" i="10" s="1"/>
  <c r="R400" i="10" s="1"/>
  <c r="R401" i="10" s="1"/>
  <c r="R402" i="10" s="1"/>
  <c r="R403" i="10" s="1"/>
  <c r="R404" i="10" s="1"/>
  <c r="R405" i="10" s="1"/>
  <c r="R406" i="10" s="1"/>
  <c r="R407" i="10" s="1"/>
  <c r="R408" i="10" s="1"/>
  <c r="R409" i="10" s="1"/>
  <c r="R410" i="10" s="1"/>
  <c r="R411" i="10" s="1"/>
  <c r="R412" i="10" s="1"/>
  <c r="R413" i="10" s="1"/>
  <c r="R414" i="10" s="1"/>
  <c r="R415" i="10" s="1"/>
  <c r="R416" i="10" s="1"/>
  <c r="R417" i="10" s="1"/>
  <c r="R418" i="10" s="1"/>
  <c r="R419" i="10" s="1"/>
  <c r="R420" i="10" s="1"/>
  <c r="R421" i="10" s="1"/>
  <c r="R422" i="10" s="1"/>
  <c r="R423" i="10" s="1"/>
  <c r="R424" i="10" s="1"/>
  <c r="R425" i="10" s="1"/>
  <c r="R426" i="10" s="1"/>
  <c r="R427" i="10" s="1"/>
  <c r="R428" i="10" s="1"/>
  <c r="R429" i="10" s="1"/>
  <c r="R430" i="10" s="1"/>
  <c r="R431" i="10" s="1"/>
  <c r="R432" i="10" s="1"/>
  <c r="R433" i="10" s="1"/>
  <c r="R434" i="10" s="1"/>
  <c r="R435" i="10" s="1"/>
  <c r="R436" i="10" s="1"/>
  <c r="R437" i="10" s="1"/>
  <c r="R438" i="10" s="1"/>
  <c r="R439" i="10" s="1"/>
  <c r="R440" i="10" s="1"/>
  <c r="R441" i="10" s="1"/>
  <c r="R442" i="10" s="1"/>
  <c r="R443" i="10" s="1"/>
  <c r="R444" i="10" s="1"/>
  <c r="R445" i="10" s="1"/>
  <c r="R446" i="10" s="1"/>
  <c r="R447" i="10" s="1"/>
  <c r="R448" i="10" s="1"/>
  <c r="R449" i="10" s="1"/>
  <c r="R450" i="10" s="1"/>
  <c r="R451" i="10" s="1"/>
  <c r="R452" i="10" s="1"/>
  <c r="R453" i="10" s="1"/>
  <c r="R454" i="10" s="1"/>
  <c r="R455" i="10" s="1"/>
  <c r="R456" i="10" s="1"/>
  <c r="R457" i="10" s="1"/>
  <c r="R458" i="10" s="1"/>
  <c r="R459" i="10" s="1"/>
  <c r="S1059" i="8"/>
  <c r="S1060" i="8" s="1"/>
  <c r="S1061" i="8" s="1"/>
  <c r="S1062" i="8" s="1"/>
  <c r="S1063" i="8" s="1"/>
  <c r="S1064" i="8" s="1"/>
  <c r="S1065" i="8" s="1"/>
  <c r="S1066" i="8" s="1"/>
  <c r="S1067" i="8" s="1"/>
  <c r="S1068" i="8" s="1"/>
  <c r="S1069" i="8" s="1"/>
  <c r="S1070" i="8" s="1"/>
  <c r="S1071" i="8" s="1"/>
  <c r="S1072" i="8" s="1"/>
  <c r="S1073" i="8" s="1"/>
  <c r="S1074" i="8" s="1"/>
  <c r="S1075" i="8" s="1"/>
  <c r="S1076" i="8" s="1"/>
  <c r="S1077" i="8" s="1"/>
  <c r="S1078" i="8" s="1"/>
  <c r="S1079" i="8" s="1"/>
  <c r="S1080" i="8" s="1"/>
  <c r="S1081" i="8" s="1"/>
  <c r="S1082" i="8" s="1"/>
  <c r="S1083" i="8" s="1"/>
  <c r="B295" i="10"/>
  <c r="B296" i="10"/>
  <c r="B303" i="10"/>
  <c r="B304" i="10"/>
  <c r="B305" i="10"/>
  <c r="B306" i="10"/>
  <c r="B315" i="10"/>
  <c r="B316" i="10"/>
  <c r="B319" i="10"/>
  <c r="B320" i="10"/>
  <c r="B321" i="10"/>
  <c r="B322" i="10"/>
  <c r="B324" i="10"/>
  <c r="B325" i="10"/>
  <c r="M288" i="10"/>
  <c r="M289" i="10"/>
  <c r="M290" i="10"/>
  <c r="M295" i="10"/>
  <c r="M296" i="10"/>
  <c r="M303" i="10"/>
  <c r="M304" i="10"/>
  <c r="M305" i="10"/>
  <c r="M306" i="10"/>
  <c r="M315" i="10"/>
  <c r="M316" i="10"/>
  <c r="M319" i="10"/>
  <c r="M320" i="10"/>
  <c r="M321" i="10"/>
  <c r="M322" i="10"/>
  <c r="M324" i="10"/>
  <c r="M325" i="10"/>
  <c r="B294" i="10"/>
  <c r="M294" i="10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/>
  <c r="B28" i="22"/>
  <c r="B29" i="22"/>
  <c r="B30" i="22"/>
  <c r="B31" i="22"/>
  <c r="B32" i="22"/>
  <c r="B33" i="22"/>
  <c r="B34" i="22"/>
  <c r="B35" i="22"/>
  <c r="B36" i="22"/>
  <c r="B37" i="22"/>
  <c r="B38" i="22"/>
  <c r="B39" i="22"/>
  <c r="B40" i="22"/>
  <c r="B41" i="22"/>
  <c r="B42" i="22"/>
  <c r="B43" i="22"/>
  <c r="B44" i="22"/>
  <c r="B45" i="22"/>
  <c r="B46" i="22"/>
  <c r="B47" i="22"/>
  <c r="B48" i="22"/>
  <c r="B49" i="22"/>
  <c r="B50" i="22"/>
  <c r="B51" i="22"/>
  <c r="B52" i="22"/>
  <c r="B53" i="22"/>
  <c r="B54" i="22"/>
  <c r="M3" i="22"/>
  <c r="M4" i="22"/>
  <c r="M5" i="22"/>
  <c r="M6" i="22"/>
  <c r="M7" i="22"/>
  <c r="M8" i="22"/>
  <c r="M9" i="22"/>
  <c r="M10" i="22"/>
  <c r="M11" i="22"/>
  <c r="M12" i="22"/>
  <c r="M13" i="22"/>
  <c r="M14" i="22"/>
  <c r="M15" i="22"/>
  <c r="M16" i="22"/>
  <c r="M17" i="22"/>
  <c r="M18" i="22"/>
  <c r="M19" i="22"/>
  <c r="M20" i="22"/>
  <c r="M21" i="22"/>
  <c r="M22" i="22"/>
  <c r="M23" i="22"/>
  <c r="M24" i="22"/>
  <c r="M25" i="22"/>
  <c r="M26" i="22"/>
  <c r="M27" i="22"/>
  <c r="M28" i="22"/>
  <c r="M29" i="22"/>
  <c r="M30" i="22"/>
  <c r="M31" i="22"/>
  <c r="M32" i="22"/>
  <c r="M33" i="22"/>
  <c r="M34" i="22"/>
  <c r="M35" i="22"/>
  <c r="M36" i="22"/>
  <c r="M37" i="22"/>
  <c r="M38" i="22"/>
  <c r="M39" i="22"/>
  <c r="M40" i="22"/>
  <c r="M41" i="22"/>
  <c r="M42" i="22"/>
  <c r="M43" i="22"/>
  <c r="M44" i="22"/>
  <c r="M45" i="22"/>
  <c r="M46" i="22"/>
  <c r="M47" i="22"/>
  <c r="M48" i="22"/>
  <c r="M49" i="22"/>
  <c r="M50" i="22"/>
  <c r="M51" i="22"/>
  <c r="M52" i="22"/>
  <c r="M53" i="22"/>
  <c r="M54" i="22"/>
  <c r="P3" i="22"/>
  <c r="P4" i="22"/>
  <c r="P5" i="22"/>
  <c r="P6" i="22"/>
  <c r="P7" i="22"/>
  <c r="P8" i="22"/>
  <c r="P9" i="22"/>
  <c r="P10" i="22"/>
  <c r="P11" i="22"/>
  <c r="P12" i="22"/>
  <c r="P13" i="22"/>
  <c r="P14" i="22"/>
  <c r="P15" i="22"/>
  <c r="P16" i="22"/>
  <c r="P17" i="22"/>
  <c r="P18" i="22"/>
  <c r="P19" i="22"/>
  <c r="P20" i="22"/>
  <c r="P21" i="22"/>
  <c r="P22" i="22"/>
  <c r="P23" i="22"/>
  <c r="P24" i="22"/>
  <c r="P25" i="22"/>
  <c r="P26" i="22"/>
  <c r="P27" i="22"/>
  <c r="P28" i="22"/>
  <c r="P29" i="22"/>
  <c r="P30" i="22"/>
  <c r="P31" i="22"/>
  <c r="P32" i="22"/>
  <c r="P33" i="22"/>
  <c r="P34" i="22"/>
  <c r="P35" i="22"/>
  <c r="P36" i="22"/>
  <c r="P37" i="22"/>
  <c r="P38" i="22"/>
  <c r="P39" i="22"/>
  <c r="P40" i="22"/>
  <c r="P41" i="22"/>
  <c r="P42" i="22"/>
  <c r="P43" i="22"/>
  <c r="P44" i="22"/>
  <c r="P45" i="22"/>
  <c r="P46" i="22"/>
  <c r="P47" i="22"/>
  <c r="P48" i="22"/>
  <c r="P49" i="22"/>
  <c r="P50" i="22"/>
  <c r="P51" i="22"/>
  <c r="P52" i="22"/>
  <c r="P53" i="22"/>
  <c r="P54" i="22"/>
  <c r="Q3" i="22"/>
  <c r="Q4" i="22"/>
  <c r="Q5" i="22"/>
  <c r="Q6" i="22"/>
  <c r="Q7" i="22"/>
  <c r="Q8" i="22"/>
  <c r="Q9" i="22"/>
  <c r="Q10" i="22"/>
  <c r="Q11" i="22"/>
  <c r="Q12" i="22"/>
  <c r="Q13" i="22"/>
  <c r="Q14" i="22"/>
  <c r="Q15" i="22"/>
  <c r="Q16" i="22"/>
  <c r="Q17" i="22"/>
  <c r="Q18" i="22"/>
  <c r="Q19" i="22"/>
  <c r="Q20" i="22"/>
  <c r="Q21" i="22"/>
  <c r="Q22" i="22"/>
  <c r="Q23" i="22"/>
  <c r="Q24" i="22"/>
  <c r="Q25" i="22"/>
  <c r="Q26" i="22"/>
  <c r="Q27" i="22"/>
  <c r="Q28" i="22"/>
  <c r="Q29" i="22"/>
  <c r="Q30" i="22"/>
  <c r="Q31" i="22"/>
  <c r="Q32" i="22"/>
  <c r="Q33" i="22"/>
  <c r="Q34" i="22"/>
  <c r="Q35" i="22"/>
  <c r="Q36" i="22"/>
  <c r="Q37" i="22"/>
  <c r="Q38" i="22"/>
  <c r="Q39" i="22"/>
  <c r="Q40" i="22"/>
  <c r="Q41" i="22"/>
  <c r="Q42" i="22"/>
  <c r="Q43" i="22"/>
  <c r="Q44" i="22"/>
  <c r="Q45" i="22"/>
  <c r="Q46" i="22"/>
  <c r="Q47" i="22"/>
  <c r="Q48" i="22"/>
  <c r="Q49" i="22"/>
  <c r="Q50" i="22"/>
  <c r="Q51" i="22"/>
  <c r="Q52" i="22"/>
  <c r="Q53" i="22"/>
  <c r="Q54" i="22"/>
  <c r="AA3" i="22"/>
  <c r="AA4" i="22"/>
  <c r="AA5" i="22"/>
  <c r="AA6" i="22"/>
  <c r="AA7" i="22"/>
  <c r="AA8" i="22"/>
  <c r="AA9" i="22"/>
  <c r="AA10" i="22"/>
  <c r="AA11" i="22"/>
  <c r="AA12" i="22"/>
  <c r="AA13" i="22"/>
  <c r="AA14" i="22"/>
  <c r="AA15" i="22"/>
  <c r="AA16" i="22"/>
  <c r="AA17" i="22"/>
  <c r="AA18" i="22"/>
  <c r="AA19" i="22"/>
  <c r="AA20" i="22"/>
  <c r="AA21" i="22"/>
  <c r="AA22" i="22"/>
  <c r="AA23" i="22"/>
  <c r="AA24" i="22"/>
  <c r="AA25" i="22"/>
  <c r="AA26" i="22"/>
  <c r="AA27" i="22"/>
  <c r="AA28" i="22"/>
  <c r="AA29" i="22"/>
  <c r="AA30" i="22"/>
  <c r="AA31" i="22"/>
  <c r="AA32" i="22"/>
  <c r="AA33" i="22"/>
  <c r="AA34" i="22"/>
  <c r="AA35" i="22"/>
  <c r="AA36" i="22"/>
  <c r="AA37" i="22"/>
  <c r="AA38" i="22"/>
  <c r="AA39" i="22"/>
  <c r="AA40" i="22"/>
  <c r="AA41" i="22"/>
  <c r="AA42" i="22"/>
  <c r="AA43" i="22"/>
  <c r="AA44" i="22"/>
  <c r="AA45" i="22"/>
  <c r="AA46" i="22"/>
  <c r="AA47" i="22"/>
  <c r="AA48" i="22"/>
  <c r="AA49" i="22"/>
  <c r="AA50" i="22"/>
  <c r="AA51" i="22"/>
  <c r="AA52" i="22"/>
  <c r="AA53" i="22"/>
  <c r="AA54" i="22"/>
  <c r="B2" i="22"/>
  <c r="AA2" i="22"/>
  <c r="Q2" i="22"/>
  <c r="P2" i="22"/>
  <c r="R2" i="22" s="1"/>
  <c r="M2" i="2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/>
  <c r="B28" i="21"/>
  <c r="B29" i="21"/>
  <c r="B30" i="21"/>
  <c r="B31" i="21"/>
  <c r="B32" i="21"/>
  <c r="B33" i="21"/>
  <c r="B34" i="21"/>
  <c r="B35" i="21"/>
  <c r="B36" i="21"/>
  <c r="B37" i="21"/>
  <c r="B38" i="21"/>
  <c r="B39" i="21"/>
  <c r="B40" i="21"/>
  <c r="B41" i="21"/>
  <c r="B42" i="21"/>
  <c r="B43" i="21"/>
  <c r="B44" i="21"/>
  <c r="B45" i="21"/>
  <c r="B46" i="21"/>
  <c r="B47" i="21"/>
  <c r="B48" i="21"/>
  <c r="B49" i="21"/>
  <c r="B50" i="21"/>
  <c r="B51" i="21"/>
  <c r="B52" i="21"/>
  <c r="B53" i="21"/>
  <c r="B54" i="21"/>
  <c r="B55" i="21"/>
  <c r="B56" i="21"/>
  <c r="B57" i="21"/>
  <c r="B58" i="21"/>
  <c r="B59" i="21"/>
  <c r="B60" i="21"/>
  <c r="B61" i="21"/>
  <c r="B62" i="21"/>
  <c r="B63" i="21"/>
  <c r="B64" i="21"/>
  <c r="B65" i="21"/>
  <c r="B66" i="21"/>
  <c r="B67" i="21"/>
  <c r="B68" i="21"/>
  <c r="B69" i="21"/>
  <c r="B70" i="21"/>
  <c r="B71" i="21"/>
  <c r="B72" i="21"/>
  <c r="B73" i="21"/>
  <c r="B74" i="21"/>
  <c r="B75" i="21"/>
  <c r="B76" i="21"/>
  <c r="B77" i="21"/>
  <c r="B78" i="21"/>
  <c r="B79" i="21"/>
  <c r="B80" i="21"/>
  <c r="B81" i="21"/>
  <c r="B82" i="21"/>
  <c r="B83" i="21"/>
  <c r="B84" i="21"/>
  <c r="B85" i="21"/>
  <c r="B86" i="21"/>
  <c r="B87" i="21"/>
  <c r="B88" i="21"/>
  <c r="B89" i="21"/>
  <c r="B90" i="21"/>
  <c r="B91" i="21"/>
  <c r="B92" i="21"/>
  <c r="B93" i="21"/>
  <c r="B94" i="21"/>
  <c r="B95" i="21"/>
  <c r="B96" i="21"/>
  <c r="B97" i="21"/>
  <c r="B98" i="21"/>
  <c r="B99" i="21"/>
  <c r="B100" i="21"/>
  <c r="B101" i="21"/>
  <c r="B102" i="21"/>
  <c r="B103" i="21"/>
  <c r="B104" i="21"/>
  <c r="B105" i="21"/>
  <c r="B106" i="21"/>
  <c r="B107" i="21"/>
  <c r="B108" i="21"/>
  <c r="B109" i="21"/>
  <c r="B110" i="21"/>
  <c r="B111" i="21"/>
  <c r="B112" i="21"/>
  <c r="B113" i="21"/>
  <c r="B114" i="21"/>
  <c r="B115" i="21"/>
  <c r="B116" i="21"/>
  <c r="B117" i="21"/>
  <c r="B118" i="21"/>
  <c r="B119" i="21"/>
  <c r="B120" i="21"/>
  <c r="B121" i="21"/>
  <c r="B122" i="21"/>
  <c r="B123" i="21"/>
  <c r="B124" i="21"/>
  <c r="B125" i="21"/>
  <c r="B126" i="21"/>
  <c r="B127" i="21"/>
  <c r="B128" i="21"/>
  <c r="B129" i="21"/>
  <c r="B130" i="21"/>
  <c r="B131" i="21"/>
  <c r="B132" i="21"/>
  <c r="B133" i="21"/>
  <c r="B134" i="21"/>
  <c r="B135" i="21"/>
  <c r="B136" i="21"/>
  <c r="B137" i="21"/>
  <c r="B138" i="21"/>
  <c r="B139" i="21"/>
  <c r="B140" i="21"/>
  <c r="B141" i="21"/>
  <c r="B142" i="21"/>
  <c r="B143" i="21"/>
  <c r="B144" i="21"/>
  <c r="B145" i="21"/>
  <c r="B146" i="21"/>
  <c r="B147" i="21"/>
  <c r="B148" i="21"/>
  <c r="B149" i="21"/>
  <c r="B150" i="21"/>
  <c r="B151" i="21"/>
  <c r="B152" i="21"/>
  <c r="B153" i="21"/>
  <c r="B154" i="21"/>
  <c r="B155" i="21"/>
  <c r="B156" i="21"/>
  <c r="B157" i="21"/>
  <c r="B158" i="21"/>
  <c r="B159" i="21"/>
  <c r="B160" i="21"/>
  <c r="B161" i="21"/>
  <c r="B162" i="21"/>
  <c r="B163" i="21"/>
  <c r="B164" i="21"/>
  <c r="B165" i="21"/>
  <c r="B166" i="21"/>
  <c r="B167" i="21"/>
  <c r="B168" i="21"/>
  <c r="B169" i="21"/>
  <c r="B170" i="21"/>
  <c r="B171" i="21"/>
  <c r="B172" i="21"/>
  <c r="B173" i="21"/>
  <c r="B174" i="21"/>
  <c r="B175" i="21"/>
  <c r="B176" i="21"/>
  <c r="B177" i="21"/>
  <c r="B178" i="21"/>
  <c r="B179" i="21"/>
  <c r="B180" i="21"/>
  <c r="B181" i="21"/>
  <c r="B182" i="21"/>
  <c r="B183" i="21"/>
  <c r="B184" i="21"/>
  <c r="B185" i="21"/>
  <c r="B186" i="21"/>
  <c r="B187" i="21"/>
  <c r="B188" i="21"/>
  <c r="B189" i="21"/>
  <c r="B190" i="21"/>
  <c r="B191" i="21"/>
  <c r="B192" i="21"/>
  <c r="B193" i="21"/>
  <c r="B194" i="21"/>
  <c r="B195" i="21"/>
  <c r="B196" i="21"/>
  <c r="B197" i="21"/>
  <c r="B198" i="21"/>
  <c r="B199" i="21"/>
  <c r="B200" i="21"/>
  <c r="B201" i="21"/>
  <c r="B202" i="21"/>
  <c r="B203" i="21"/>
  <c r="B204" i="21"/>
  <c r="B205" i="21"/>
  <c r="B206" i="21"/>
  <c r="B207" i="21"/>
  <c r="B208" i="21"/>
  <c r="B209" i="21"/>
  <c r="B210" i="21"/>
  <c r="B211" i="21"/>
  <c r="B212" i="21"/>
  <c r="B213" i="21"/>
  <c r="B214" i="21"/>
  <c r="B215" i="21"/>
  <c r="B216" i="21"/>
  <c r="B217" i="21"/>
  <c r="B218" i="21"/>
  <c r="B219" i="21"/>
  <c r="B220" i="21"/>
  <c r="B221" i="21"/>
  <c r="B222" i="21"/>
  <c r="B223" i="21"/>
  <c r="B224" i="21"/>
  <c r="B225" i="21"/>
  <c r="B226" i="21"/>
  <c r="B227" i="21"/>
  <c r="B228" i="21"/>
  <c r="B229" i="21"/>
  <c r="B230" i="21"/>
  <c r="M3" i="21"/>
  <c r="M4" i="21"/>
  <c r="M5" i="21"/>
  <c r="M6" i="21"/>
  <c r="M7" i="21"/>
  <c r="M8" i="21"/>
  <c r="M9" i="21"/>
  <c r="M10" i="21"/>
  <c r="M11" i="21"/>
  <c r="M12" i="21"/>
  <c r="M13" i="21"/>
  <c r="M14" i="21"/>
  <c r="M15" i="21"/>
  <c r="M16" i="21"/>
  <c r="M17" i="21"/>
  <c r="M18" i="21"/>
  <c r="M19" i="21"/>
  <c r="M20" i="21"/>
  <c r="M21" i="21"/>
  <c r="M22" i="21"/>
  <c r="M23" i="21"/>
  <c r="M24" i="21"/>
  <c r="M25" i="21"/>
  <c r="M26" i="21"/>
  <c r="M27" i="21"/>
  <c r="M28" i="21"/>
  <c r="M29" i="21"/>
  <c r="M30" i="21"/>
  <c r="M31" i="21"/>
  <c r="M32" i="21"/>
  <c r="M33" i="21"/>
  <c r="M34" i="21"/>
  <c r="M35" i="21"/>
  <c r="M36" i="21"/>
  <c r="M37" i="21"/>
  <c r="M38" i="21"/>
  <c r="M39" i="21"/>
  <c r="M40" i="21"/>
  <c r="M41" i="21"/>
  <c r="M42" i="21"/>
  <c r="M43" i="21"/>
  <c r="M44" i="21"/>
  <c r="M45" i="21"/>
  <c r="M46" i="21"/>
  <c r="M47" i="21"/>
  <c r="M48" i="21"/>
  <c r="M49" i="21"/>
  <c r="M50" i="21"/>
  <c r="M51" i="21"/>
  <c r="M52" i="21"/>
  <c r="M53" i="21"/>
  <c r="M54" i="21"/>
  <c r="M55" i="21"/>
  <c r="M56" i="21"/>
  <c r="M57" i="21"/>
  <c r="M58" i="21"/>
  <c r="M59" i="21"/>
  <c r="M60" i="21"/>
  <c r="M61" i="21"/>
  <c r="M62" i="21"/>
  <c r="M63" i="21"/>
  <c r="M64" i="21"/>
  <c r="M65" i="21"/>
  <c r="M66" i="21"/>
  <c r="M67" i="21"/>
  <c r="M68" i="21"/>
  <c r="M69" i="21"/>
  <c r="M70" i="21"/>
  <c r="M71" i="21"/>
  <c r="M72" i="21"/>
  <c r="M73" i="21"/>
  <c r="M74" i="21"/>
  <c r="M75" i="21"/>
  <c r="M76" i="21"/>
  <c r="M77" i="21"/>
  <c r="M78" i="21"/>
  <c r="M79" i="21"/>
  <c r="M80" i="21"/>
  <c r="M81" i="21"/>
  <c r="M82" i="21"/>
  <c r="M83" i="21"/>
  <c r="M84" i="21"/>
  <c r="M85" i="21"/>
  <c r="M86" i="21"/>
  <c r="M87" i="21"/>
  <c r="M88" i="21"/>
  <c r="M89" i="21"/>
  <c r="M90" i="21"/>
  <c r="M91" i="21"/>
  <c r="M92" i="21"/>
  <c r="M93" i="21"/>
  <c r="M94" i="21"/>
  <c r="M95" i="21"/>
  <c r="M96" i="21"/>
  <c r="M97" i="21"/>
  <c r="M98" i="21"/>
  <c r="M99" i="21"/>
  <c r="M100" i="21"/>
  <c r="M101" i="21"/>
  <c r="M102" i="21"/>
  <c r="M103" i="21"/>
  <c r="M104" i="21"/>
  <c r="M105" i="21"/>
  <c r="M106" i="21"/>
  <c r="M107" i="21"/>
  <c r="M108" i="21"/>
  <c r="M109" i="21"/>
  <c r="M110" i="21"/>
  <c r="M111" i="21"/>
  <c r="M112" i="21"/>
  <c r="M113" i="21"/>
  <c r="M114" i="21"/>
  <c r="M115" i="21"/>
  <c r="M116" i="21"/>
  <c r="M117" i="21"/>
  <c r="M118" i="21"/>
  <c r="M119" i="21"/>
  <c r="M120" i="21"/>
  <c r="M121" i="21"/>
  <c r="M122" i="21"/>
  <c r="M123" i="21"/>
  <c r="M124" i="21"/>
  <c r="M125" i="21"/>
  <c r="M126" i="21"/>
  <c r="M127" i="21"/>
  <c r="M128" i="21"/>
  <c r="M129" i="21"/>
  <c r="M130" i="21"/>
  <c r="M131" i="21"/>
  <c r="M132" i="21"/>
  <c r="M133" i="21"/>
  <c r="M134" i="21"/>
  <c r="M135" i="21"/>
  <c r="M136" i="21"/>
  <c r="M137" i="21"/>
  <c r="M138" i="21"/>
  <c r="M139" i="21"/>
  <c r="M140" i="21"/>
  <c r="M141" i="21"/>
  <c r="M142" i="21"/>
  <c r="M143" i="21"/>
  <c r="M144" i="21"/>
  <c r="M145" i="21"/>
  <c r="M146" i="21"/>
  <c r="M147" i="21"/>
  <c r="M148" i="21"/>
  <c r="M149" i="21"/>
  <c r="M150" i="21"/>
  <c r="M151" i="21"/>
  <c r="M152" i="21"/>
  <c r="M153" i="21"/>
  <c r="M154" i="21"/>
  <c r="M155" i="21"/>
  <c r="M156" i="21"/>
  <c r="M157" i="21"/>
  <c r="M158" i="21"/>
  <c r="M159" i="21"/>
  <c r="M160" i="21"/>
  <c r="M161" i="21"/>
  <c r="M162" i="21"/>
  <c r="M163" i="21"/>
  <c r="M164" i="21"/>
  <c r="M165" i="21"/>
  <c r="M166" i="21"/>
  <c r="M167" i="21"/>
  <c r="M168" i="21"/>
  <c r="M169" i="21"/>
  <c r="M170" i="21"/>
  <c r="M171" i="21"/>
  <c r="M172" i="21"/>
  <c r="M173" i="21"/>
  <c r="M174" i="21"/>
  <c r="M175" i="21"/>
  <c r="M176" i="21"/>
  <c r="M177" i="21"/>
  <c r="M178" i="21"/>
  <c r="M179" i="21"/>
  <c r="M180" i="21"/>
  <c r="M181" i="21"/>
  <c r="M182" i="21"/>
  <c r="M183" i="21"/>
  <c r="M184" i="21"/>
  <c r="M185" i="21"/>
  <c r="M186" i="21"/>
  <c r="M187" i="21"/>
  <c r="M188" i="21"/>
  <c r="M189" i="21"/>
  <c r="M190" i="21"/>
  <c r="M191" i="21"/>
  <c r="M192" i="21"/>
  <c r="M193" i="21"/>
  <c r="M194" i="21"/>
  <c r="M195" i="21"/>
  <c r="M196" i="21"/>
  <c r="M197" i="21"/>
  <c r="M198" i="21"/>
  <c r="M199" i="21"/>
  <c r="M200" i="21"/>
  <c r="M201" i="21"/>
  <c r="M202" i="21"/>
  <c r="M203" i="21"/>
  <c r="M204" i="21"/>
  <c r="M205" i="21"/>
  <c r="M206" i="21"/>
  <c r="M207" i="21"/>
  <c r="M208" i="21"/>
  <c r="M209" i="21"/>
  <c r="M210" i="21"/>
  <c r="M211" i="21"/>
  <c r="M212" i="21"/>
  <c r="M213" i="21"/>
  <c r="M214" i="21"/>
  <c r="M215" i="21"/>
  <c r="M216" i="21"/>
  <c r="M217" i="21"/>
  <c r="M218" i="21"/>
  <c r="M219" i="21"/>
  <c r="M220" i="21"/>
  <c r="M221" i="21"/>
  <c r="M222" i="21"/>
  <c r="M223" i="21"/>
  <c r="M224" i="21"/>
  <c r="M225" i="21"/>
  <c r="M226" i="21"/>
  <c r="M227" i="21"/>
  <c r="M228" i="21"/>
  <c r="M229" i="21"/>
  <c r="M230" i="21"/>
  <c r="P3" i="21"/>
  <c r="P4" i="21"/>
  <c r="P5" i="21"/>
  <c r="P6" i="21"/>
  <c r="P7" i="21"/>
  <c r="P8" i="21"/>
  <c r="P9" i="21"/>
  <c r="P10" i="21"/>
  <c r="P11" i="21"/>
  <c r="P12" i="21"/>
  <c r="P13" i="21"/>
  <c r="P14" i="21"/>
  <c r="P15" i="21"/>
  <c r="P16" i="21"/>
  <c r="P17" i="21"/>
  <c r="P18" i="21"/>
  <c r="P19" i="21"/>
  <c r="P20" i="21"/>
  <c r="P21" i="21"/>
  <c r="P22" i="21"/>
  <c r="P23" i="21"/>
  <c r="P24" i="21"/>
  <c r="P25" i="21"/>
  <c r="P26" i="21"/>
  <c r="P27" i="21"/>
  <c r="P28" i="21"/>
  <c r="P29" i="21"/>
  <c r="P30" i="21"/>
  <c r="P31" i="21"/>
  <c r="P32" i="21"/>
  <c r="P33" i="21"/>
  <c r="P34" i="21"/>
  <c r="P35" i="21"/>
  <c r="P36" i="21"/>
  <c r="P37" i="21"/>
  <c r="P38" i="21"/>
  <c r="P39" i="21"/>
  <c r="P40" i="21"/>
  <c r="P41" i="21"/>
  <c r="P42" i="21"/>
  <c r="P43" i="21"/>
  <c r="P44" i="21"/>
  <c r="P45" i="21"/>
  <c r="P46" i="21"/>
  <c r="P47" i="21"/>
  <c r="P48" i="21"/>
  <c r="P49" i="21"/>
  <c r="P50" i="21"/>
  <c r="P51" i="21"/>
  <c r="P52" i="21"/>
  <c r="P53" i="21"/>
  <c r="P54" i="21"/>
  <c r="P55" i="21"/>
  <c r="P56" i="21"/>
  <c r="P57" i="21"/>
  <c r="P58" i="21"/>
  <c r="P59" i="21"/>
  <c r="P60" i="21"/>
  <c r="P61" i="21"/>
  <c r="P62" i="21"/>
  <c r="P63" i="21"/>
  <c r="P64" i="21"/>
  <c r="P65" i="21"/>
  <c r="P66" i="21"/>
  <c r="P67" i="21"/>
  <c r="P68" i="21"/>
  <c r="P69" i="21"/>
  <c r="P70" i="21"/>
  <c r="P71" i="21"/>
  <c r="P72" i="21"/>
  <c r="P73" i="21"/>
  <c r="P74" i="21"/>
  <c r="P75" i="21"/>
  <c r="P76" i="21"/>
  <c r="P77" i="21"/>
  <c r="P78" i="21"/>
  <c r="P79" i="21"/>
  <c r="P80" i="21"/>
  <c r="P81" i="21"/>
  <c r="P82" i="21"/>
  <c r="P83" i="21"/>
  <c r="P84" i="21"/>
  <c r="P85" i="21"/>
  <c r="P86" i="21"/>
  <c r="P87" i="21"/>
  <c r="P88" i="21"/>
  <c r="P89" i="21"/>
  <c r="P90" i="21"/>
  <c r="P91" i="21"/>
  <c r="P92" i="21"/>
  <c r="P93" i="21"/>
  <c r="P94" i="21"/>
  <c r="P95" i="21"/>
  <c r="P96" i="21"/>
  <c r="P97" i="21"/>
  <c r="P98" i="21"/>
  <c r="P99" i="21"/>
  <c r="P100" i="21"/>
  <c r="P101" i="21"/>
  <c r="P102" i="21"/>
  <c r="P103" i="21"/>
  <c r="P104" i="21"/>
  <c r="P105" i="21"/>
  <c r="P106" i="21"/>
  <c r="P107" i="21"/>
  <c r="P108" i="21"/>
  <c r="P109" i="21"/>
  <c r="P110" i="21"/>
  <c r="P111" i="21"/>
  <c r="P112" i="21"/>
  <c r="P113" i="21"/>
  <c r="P114" i="21"/>
  <c r="P115" i="21"/>
  <c r="P116" i="21"/>
  <c r="P117" i="21"/>
  <c r="P118" i="21"/>
  <c r="P119" i="21"/>
  <c r="P120" i="21"/>
  <c r="P121" i="21"/>
  <c r="P122" i="21"/>
  <c r="P123" i="21"/>
  <c r="P124" i="21"/>
  <c r="P125" i="21"/>
  <c r="P126" i="21"/>
  <c r="P127" i="21"/>
  <c r="P128" i="21"/>
  <c r="P129" i="21"/>
  <c r="P130" i="21"/>
  <c r="P131" i="21"/>
  <c r="P132" i="21"/>
  <c r="P133" i="21"/>
  <c r="P134" i="21"/>
  <c r="P135" i="21"/>
  <c r="P136" i="21"/>
  <c r="P137" i="21"/>
  <c r="P138" i="21"/>
  <c r="P139" i="21"/>
  <c r="P140" i="21"/>
  <c r="P141" i="21"/>
  <c r="P142" i="21"/>
  <c r="P143" i="21"/>
  <c r="P144" i="21"/>
  <c r="P145" i="21"/>
  <c r="P146" i="21"/>
  <c r="P147" i="21"/>
  <c r="P148" i="21"/>
  <c r="P149" i="21"/>
  <c r="P150" i="21"/>
  <c r="P151" i="21"/>
  <c r="P152" i="21"/>
  <c r="P153" i="21"/>
  <c r="P154" i="21"/>
  <c r="P155" i="21"/>
  <c r="P156" i="21"/>
  <c r="P157" i="21"/>
  <c r="P158" i="21"/>
  <c r="P159" i="21"/>
  <c r="P160" i="21"/>
  <c r="P161" i="21"/>
  <c r="P162" i="21"/>
  <c r="P163" i="21"/>
  <c r="P164" i="21"/>
  <c r="P165" i="21"/>
  <c r="P166" i="21"/>
  <c r="P167" i="21"/>
  <c r="P168" i="21"/>
  <c r="P169" i="21"/>
  <c r="P170" i="21"/>
  <c r="P171" i="21"/>
  <c r="P172" i="21"/>
  <c r="P173" i="21"/>
  <c r="P174" i="21"/>
  <c r="P175" i="21"/>
  <c r="P176" i="21"/>
  <c r="P177" i="21"/>
  <c r="P178" i="21"/>
  <c r="P179" i="21"/>
  <c r="P180" i="21"/>
  <c r="P181" i="21"/>
  <c r="P182" i="21"/>
  <c r="P183" i="21"/>
  <c r="P184" i="21"/>
  <c r="P185" i="21"/>
  <c r="P186" i="21"/>
  <c r="P187" i="21"/>
  <c r="P188" i="21"/>
  <c r="P189" i="21"/>
  <c r="P190" i="21"/>
  <c r="P191" i="21"/>
  <c r="P192" i="21"/>
  <c r="P193" i="21"/>
  <c r="P194" i="21"/>
  <c r="P195" i="21"/>
  <c r="P196" i="21"/>
  <c r="P197" i="21"/>
  <c r="P198" i="21"/>
  <c r="P199" i="21"/>
  <c r="P200" i="21"/>
  <c r="P201" i="21"/>
  <c r="P202" i="21"/>
  <c r="P203" i="21"/>
  <c r="P204" i="21"/>
  <c r="P205" i="21"/>
  <c r="P206" i="21"/>
  <c r="P207" i="21"/>
  <c r="P208" i="21"/>
  <c r="P209" i="21"/>
  <c r="P210" i="21"/>
  <c r="P211" i="21"/>
  <c r="P212" i="21"/>
  <c r="P213" i="21"/>
  <c r="P214" i="21"/>
  <c r="P215" i="21"/>
  <c r="P216" i="21"/>
  <c r="P217" i="21"/>
  <c r="P218" i="21"/>
  <c r="P219" i="21"/>
  <c r="P220" i="21"/>
  <c r="P221" i="21"/>
  <c r="P222" i="21"/>
  <c r="P223" i="21"/>
  <c r="P224" i="21"/>
  <c r="P225" i="21"/>
  <c r="P226" i="21"/>
  <c r="P227" i="21"/>
  <c r="P228" i="21"/>
  <c r="P229" i="21"/>
  <c r="P230" i="21"/>
  <c r="Q3" i="21"/>
  <c r="Q4" i="21"/>
  <c r="Q5" i="21"/>
  <c r="Q6" i="21"/>
  <c r="Q7" i="21"/>
  <c r="Q8" i="21"/>
  <c r="Q9" i="21"/>
  <c r="Q10" i="21"/>
  <c r="Q11" i="21"/>
  <c r="Q12" i="21"/>
  <c r="Q13" i="21"/>
  <c r="Q14" i="21"/>
  <c r="Q15" i="21"/>
  <c r="Q16" i="21"/>
  <c r="Q17" i="21"/>
  <c r="Q18" i="21"/>
  <c r="Q19" i="21"/>
  <c r="Q20" i="21"/>
  <c r="Q21" i="21"/>
  <c r="Q22" i="21"/>
  <c r="Q23" i="21"/>
  <c r="Q24" i="21"/>
  <c r="Q25" i="21"/>
  <c r="Q26" i="21"/>
  <c r="Q27" i="21"/>
  <c r="Q28" i="21"/>
  <c r="Q29" i="21"/>
  <c r="Q30" i="21"/>
  <c r="Q31" i="21"/>
  <c r="Q32" i="21"/>
  <c r="Q33" i="21"/>
  <c r="Q34" i="21"/>
  <c r="Q35" i="21"/>
  <c r="Q36" i="21"/>
  <c r="Q37" i="21"/>
  <c r="Q38" i="21"/>
  <c r="Q39" i="21"/>
  <c r="Q40" i="21"/>
  <c r="Q41" i="21"/>
  <c r="Q42" i="21"/>
  <c r="Q43" i="21"/>
  <c r="Q44" i="21"/>
  <c r="Q45" i="21"/>
  <c r="Q46" i="21"/>
  <c r="Q47" i="21"/>
  <c r="Q48" i="21"/>
  <c r="Q49" i="21"/>
  <c r="Q50" i="21"/>
  <c r="Q51" i="21"/>
  <c r="Q52" i="21"/>
  <c r="Q53" i="21"/>
  <c r="Q54" i="21"/>
  <c r="Q55" i="21"/>
  <c r="Q56" i="21"/>
  <c r="Q57" i="21"/>
  <c r="Q58" i="21"/>
  <c r="Q59" i="21"/>
  <c r="Q60" i="21"/>
  <c r="Q61" i="21"/>
  <c r="Q62" i="21"/>
  <c r="Q63" i="21"/>
  <c r="Q64" i="21"/>
  <c r="Q65" i="21"/>
  <c r="Q66" i="21"/>
  <c r="Q67" i="21"/>
  <c r="Q68" i="21"/>
  <c r="Q69" i="21"/>
  <c r="Q70" i="21"/>
  <c r="Q71" i="21"/>
  <c r="Q72" i="21"/>
  <c r="Q73" i="21"/>
  <c r="Q74" i="21"/>
  <c r="Q75" i="21"/>
  <c r="Q76" i="21"/>
  <c r="Q77" i="21"/>
  <c r="Q78" i="21"/>
  <c r="Q79" i="21"/>
  <c r="Q80" i="21"/>
  <c r="Q81" i="21"/>
  <c r="Q82" i="21"/>
  <c r="Q83" i="21"/>
  <c r="Q84" i="21"/>
  <c r="Q85" i="21"/>
  <c r="Q86" i="21"/>
  <c r="Q87" i="21"/>
  <c r="Q88" i="21"/>
  <c r="Q89" i="21"/>
  <c r="Q90" i="21"/>
  <c r="Q91" i="21"/>
  <c r="Q92" i="21"/>
  <c r="Q93" i="21"/>
  <c r="Q94" i="21"/>
  <c r="Q95" i="21"/>
  <c r="Q96" i="21"/>
  <c r="Q97" i="21"/>
  <c r="Q98" i="21"/>
  <c r="Q99" i="21"/>
  <c r="Q100" i="21"/>
  <c r="Q101" i="21"/>
  <c r="Q102" i="21"/>
  <c r="Q103" i="21"/>
  <c r="Q104" i="21"/>
  <c r="Q105" i="21"/>
  <c r="Q106" i="21"/>
  <c r="Q107" i="21"/>
  <c r="Q108" i="21"/>
  <c r="Q109" i="21"/>
  <c r="Q110" i="21"/>
  <c r="Q111" i="21"/>
  <c r="Q112" i="21"/>
  <c r="Q113" i="21"/>
  <c r="Q114" i="21"/>
  <c r="Q115" i="21"/>
  <c r="Q116" i="21"/>
  <c r="Q117" i="21"/>
  <c r="Q118" i="21"/>
  <c r="Q119" i="21"/>
  <c r="Q120" i="21"/>
  <c r="Q121" i="21"/>
  <c r="Q122" i="21"/>
  <c r="Q123" i="21"/>
  <c r="Q124" i="21"/>
  <c r="Q125" i="21"/>
  <c r="Q126" i="21"/>
  <c r="Q127" i="21"/>
  <c r="Q128" i="21"/>
  <c r="Q129" i="21"/>
  <c r="Q130" i="21"/>
  <c r="Q131" i="21"/>
  <c r="Q132" i="21"/>
  <c r="Q133" i="21"/>
  <c r="Q134" i="21"/>
  <c r="Q135" i="21"/>
  <c r="Q136" i="21"/>
  <c r="Q137" i="21"/>
  <c r="Q138" i="21"/>
  <c r="Q139" i="21"/>
  <c r="Q140" i="21"/>
  <c r="Q141" i="21"/>
  <c r="Q142" i="21"/>
  <c r="Q143" i="21"/>
  <c r="Q144" i="21"/>
  <c r="Q145" i="21"/>
  <c r="Q146" i="21"/>
  <c r="Q147" i="21"/>
  <c r="Q148" i="21"/>
  <c r="Q149" i="21"/>
  <c r="Q150" i="21"/>
  <c r="Q151" i="21"/>
  <c r="Q152" i="21"/>
  <c r="Q153" i="21"/>
  <c r="Q154" i="21"/>
  <c r="Q155" i="21"/>
  <c r="Q156" i="21"/>
  <c r="Q157" i="21"/>
  <c r="Q158" i="21"/>
  <c r="Q159" i="21"/>
  <c r="Q160" i="21"/>
  <c r="Q161" i="21"/>
  <c r="Q162" i="21"/>
  <c r="Q163" i="21"/>
  <c r="Q164" i="21"/>
  <c r="Q165" i="21"/>
  <c r="Q166" i="21"/>
  <c r="Q167" i="21"/>
  <c r="Q168" i="21"/>
  <c r="Q169" i="21"/>
  <c r="Q170" i="21"/>
  <c r="Q171" i="21"/>
  <c r="Q172" i="21"/>
  <c r="Q173" i="21"/>
  <c r="Q174" i="21"/>
  <c r="Q175" i="21"/>
  <c r="Q176" i="21"/>
  <c r="Q177" i="21"/>
  <c r="Q178" i="21"/>
  <c r="Q179" i="21"/>
  <c r="Q180" i="21"/>
  <c r="Q181" i="21"/>
  <c r="Q182" i="21"/>
  <c r="Q183" i="21"/>
  <c r="Q184" i="21"/>
  <c r="Q185" i="21"/>
  <c r="Q186" i="21"/>
  <c r="Q187" i="21"/>
  <c r="Q188" i="21"/>
  <c r="Q189" i="21"/>
  <c r="Q190" i="21"/>
  <c r="Q191" i="21"/>
  <c r="Q192" i="21"/>
  <c r="Q193" i="21"/>
  <c r="Q194" i="21"/>
  <c r="Q195" i="21"/>
  <c r="Q196" i="21"/>
  <c r="Q197" i="21"/>
  <c r="Q198" i="21"/>
  <c r="Q199" i="21"/>
  <c r="Q200" i="21"/>
  <c r="Q201" i="21"/>
  <c r="Q202" i="21"/>
  <c r="Q203" i="21"/>
  <c r="Q204" i="21"/>
  <c r="Q205" i="21"/>
  <c r="Q206" i="21"/>
  <c r="Q207" i="21"/>
  <c r="Q208" i="21"/>
  <c r="Q209" i="21"/>
  <c r="Q210" i="21"/>
  <c r="Q211" i="21"/>
  <c r="Q212" i="21"/>
  <c r="Q213" i="21"/>
  <c r="Q214" i="21"/>
  <c r="Q215" i="21"/>
  <c r="Q216" i="21"/>
  <c r="Q217" i="21"/>
  <c r="Q218" i="21"/>
  <c r="Q219" i="21"/>
  <c r="Q220" i="21"/>
  <c r="Q221" i="21"/>
  <c r="Q222" i="21"/>
  <c r="Q223" i="21"/>
  <c r="Q224" i="21"/>
  <c r="Q225" i="21"/>
  <c r="Q226" i="21"/>
  <c r="Q227" i="21"/>
  <c r="Q228" i="21"/>
  <c r="Q229" i="21"/>
  <c r="Q230" i="21"/>
  <c r="AA3" i="21"/>
  <c r="AA4" i="21"/>
  <c r="AA5" i="21"/>
  <c r="AA6" i="21"/>
  <c r="AA7" i="21"/>
  <c r="AA8" i="21"/>
  <c r="AA9" i="21"/>
  <c r="AA10" i="21"/>
  <c r="AA11" i="21"/>
  <c r="AA12" i="21"/>
  <c r="AA13" i="21"/>
  <c r="AA14" i="21"/>
  <c r="AA15" i="21"/>
  <c r="AA16" i="21"/>
  <c r="AA17" i="21"/>
  <c r="AA18" i="21"/>
  <c r="AA19" i="21"/>
  <c r="AA20" i="21"/>
  <c r="AA21" i="21"/>
  <c r="AA22" i="21"/>
  <c r="AA23" i="21"/>
  <c r="AA24" i="21"/>
  <c r="AA25" i="21"/>
  <c r="AA26" i="21"/>
  <c r="AA27" i="21"/>
  <c r="AA28" i="21"/>
  <c r="AA29" i="21"/>
  <c r="AA30" i="21"/>
  <c r="AA31" i="21"/>
  <c r="AA32" i="21"/>
  <c r="AA33" i="21"/>
  <c r="AA34" i="21"/>
  <c r="AA35" i="21"/>
  <c r="AA36" i="21"/>
  <c r="AA37" i="21"/>
  <c r="AA38" i="21"/>
  <c r="AA39" i="21"/>
  <c r="AA40" i="21"/>
  <c r="AA41" i="21"/>
  <c r="AA42" i="21"/>
  <c r="AA43" i="21"/>
  <c r="AA44" i="21"/>
  <c r="AA45" i="21"/>
  <c r="AA46" i="21"/>
  <c r="AA47" i="21"/>
  <c r="AA48" i="21"/>
  <c r="AA49" i="21"/>
  <c r="AA50" i="21"/>
  <c r="AA51" i="21"/>
  <c r="AA52" i="21"/>
  <c r="AA53" i="21"/>
  <c r="AA54" i="21"/>
  <c r="AA55" i="21"/>
  <c r="AA56" i="21"/>
  <c r="AA57" i="21"/>
  <c r="AA58" i="21"/>
  <c r="AA59" i="21"/>
  <c r="AA60" i="21"/>
  <c r="AA61" i="21"/>
  <c r="AA62" i="21"/>
  <c r="AA63" i="21"/>
  <c r="AA64" i="21"/>
  <c r="AA65" i="21"/>
  <c r="AA66" i="21"/>
  <c r="AA67" i="21"/>
  <c r="AA68" i="21"/>
  <c r="AA69" i="21"/>
  <c r="AA70" i="21"/>
  <c r="AA71" i="21"/>
  <c r="AA72" i="21"/>
  <c r="AA73" i="21"/>
  <c r="AA74" i="21"/>
  <c r="AA75" i="21"/>
  <c r="AA76" i="21"/>
  <c r="AA77" i="21"/>
  <c r="AA78" i="21"/>
  <c r="AA79" i="21"/>
  <c r="AA80" i="21"/>
  <c r="AA81" i="21"/>
  <c r="AA82" i="21"/>
  <c r="AA83" i="21"/>
  <c r="AA84" i="21"/>
  <c r="AA85" i="21"/>
  <c r="AA86" i="21"/>
  <c r="AA87" i="21"/>
  <c r="AA88" i="21"/>
  <c r="AA89" i="21"/>
  <c r="AA90" i="21"/>
  <c r="AA91" i="21"/>
  <c r="AA92" i="21"/>
  <c r="AA93" i="21"/>
  <c r="AA94" i="21"/>
  <c r="AA95" i="21"/>
  <c r="AA96" i="21"/>
  <c r="AA97" i="21"/>
  <c r="AA98" i="21"/>
  <c r="AA99" i="21"/>
  <c r="AA100" i="21"/>
  <c r="AA101" i="21"/>
  <c r="AA102" i="21"/>
  <c r="AA103" i="21"/>
  <c r="AA104" i="21"/>
  <c r="AA105" i="21"/>
  <c r="AA106" i="21"/>
  <c r="AA107" i="21"/>
  <c r="AA108" i="21"/>
  <c r="AA109" i="21"/>
  <c r="AA110" i="21"/>
  <c r="AA111" i="21"/>
  <c r="AA112" i="21"/>
  <c r="AA113" i="21"/>
  <c r="AA114" i="21"/>
  <c r="AA115" i="21"/>
  <c r="AA116" i="21"/>
  <c r="AA117" i="21"/>
  <c r="AA118" i="21"/>
  <c r="AA119" i="21"/>
  <c r="AA120" i="21"/>
  <c r="AA121" i="21"/>
  <c r="AA122" i="21"/>
  <c r="AA123" i="21"/>
  <c r="AA124" i="21"/>
  <c r="AA125" i="21"/>
  <c r="AA126" i="21"/>
  <c r="AA127" i="21"/>
  <c r="AA128" i="21"/>
  <c r="AA129" i="21"/>
  <c r="AA130" i="21"/>
  <c r="AA131" i="21"/>
  <c r="AA132" i="21"/>
  <c r="AA133" i="21"/>
  <c r="AA134" i="21"/>
  <c r="AA135" i="21"/>
  <c r="AA136" i="21"/>
  <c r="AA137" i="21"/>
  <c r="AA138" i="21"/>
  <c r="AA139" i="21"/>
  <c r="AA140" i="21"/>
  <c r="AA141" i="21"/>
  <c r="AA142" i="21"/>
  <c r="AA143" i="21"/>
  <c r="AA144" i="21"/>
  <c r="AA145" i="21"/>
  <c r="AA146" i="21"/>
  <c r="AA147" i="21"/>
  <c r="AA148" i="21"/>
  <c r="AA149" i="21"/>
  <c r="AA150" i="21"/>
  <c r="AA151" i="21"/>
  <c r="AA152" i="21"/>
  <c r="AA153" i="21"/>
  <c r="AA154" i="21"/>
  <c r="AA155" i="21"/>
  <c r="AA156" i="21"/>
  <c r="AA157" i="21"/>
  <c r="AA158" i="21"/>
  <c r="AA159" i="21"/>
  <c r="AA160" i="21"/>
  <c r="AA161" i="21"/>
  <c r="AA162" i="21"/>
  <c r="AA163" i="21"/>
  <c r="AA164" i="21"/>
  <c r="AA165" i="21"/>
  <c r="AA166" i="21"/>
  <c r="AA167" i="21"/>
  <c r="AA168" i="21"/>
  <c r="AA169" i="21"/>
  <c r="AA170" i="21"/>
  <c r="AA171" i="21"/>
  <c r="AA172" i="21"/>
  <c r="AA173" i="21"/>
  <c r="AA174" i="21"/>
  <c r="AA175" i="21"/>
  <c r="AA176" i="21"/>
  <c r="AA177" i="21"/>
  <c r="AA178" i="21"/>
  <c r="AA179" i="21"/>
  <c r="AA180" i="21"/>
  <c r="AA181" i="21"/>
  <c r="AA182" i="21"/>
  <c r="AA183" i="21"/>
  <c r="AA184" i="21"/>
  <c r="AA185" i="21"/>
  <c r="AA186" i="21"/>
  <c r="AA187" i="21"/>
  <c r="AA188" i="21"/>
  <c r="AA189" i="21"/>
  <c r="AA190" i="21"/>
  <c r="AA191" i="21"/>
  <c r="AA192" i="21"/>
  <c r="AA193" i="21"/>
  <c r="AA194" i="21"/>
  <c r="AA195" i="21"/>
  <c r="AA196" i="21"/>
  <c r="AA197" i="21"/>
  <c r="AA198" i="21"/>
  <c r="AA199" i="21"/>
  <c r="AA200" i="21"/>
  <c r="AA201" i="21"/>
  <c r="AA202" i="21"/>
  <c r="AA203" i="21"/>
  <c r="AA204" i="21"/>
  <c r="AA205" i="21"/>
  <c r="AA206" i="21"/>
  <c r="AA207" i="21"/>
  <c r="AA208" i="21"/>
  <c r="AA209" i="21"/>
  <c r="AA210" i="21"/>
  <c r="AA211" i="21"/>
  <c r="AA212" i="21"/>
  <c r="AA213" i="21"/>
  <c r="AA214" i="21"/>
  <c r="AA215" i="21"/>
  <c r="AA216" i="21"/>
  <c r="AA217" i="21"/>
  <c r="AA218" i="21"/>
  <c r="AA219" i="21"/>
  <c r="AA220" i="21"/>
  <c r="AA221" i="21"/>
  <c r="AA222" i="21"/>
  <c r="AA223" i="21"/>
  <c r="AA224" i="21"/>
  <c r="AA225" i="21"/>
  <c r="AA226" i="21"/>
  <c r="AA227" i="21"/>
  <c r="AA228" i="21"/>
  <c r="AA229" i="21"/>
  <c r="AA230" i="21"/>
  <c r="B2" i="21"/>
  <c r="M2" i="21"/>
  <c r="P2" i="21"/>
  <c r="R2" i="21" s="1"/>
  <c r="Q2" i="21"/>
  <c r="AA2" i="21"/>
  <c r="B3" i="20"/>
  <c r="B4" i="20"/>
  <c r="B5" i="20"/>
  <c r="B6" i="20"/>
  <c r="B7" i="20"/>
  <c r="B8" i="20"/>
  <c r="B9" i="20"/>
  <c r="B10" i="20"/>
  <c r="B11" i="20"/>
  <c r="B12" i="20"/>
  <c r="B13" i="20"/>
  <c r="B14" i="20"/>
  <c r="B15" i="20"/>
  <c r="B16" i="20"/>
  <c r="B17" i="20"/>
  <c r="B18" i="20"/>
  <c r="B19" i="20"/>
  <c r="B20" i="20"/>
  <c r="B21" i="20"/>
  <c r="B22" i="20"/>
  <c r="B23" i="20"/>
  <c r="B24" i="20"/>
  <c r="B25" i="20"/>
  <c r="B26" i="20"/>
  <c r="B27" i="20"/>
  <c r="B28" i="20"/>
  <c r="B29" i="20"/>
  <c r="B30" i="20"/>
  <c r="B31" i="20"/>
  <c r="B32" i="20"/>
  <c r="B33" i="20"/>
  <c r="B34" i="20"/>
  <c r="B35" i="20"/>
  <c r="B36" i="20"/>
  <c r="B37" i="20"/>
  <c r="B38" i="20"/>
  <c r="B39" i="20"/>
  <c r="B40" i="20"/>
  <c r="B41" i="20"/>
  <c r="B42" i="20"/>
  <c r="B43" i="20"/>
  <c r="B44" i="20"/>
  <c r="B45" i="20"/>
  <c r="B46" i="20"/>
  <c r="B47" i="20"/>
  <c r="B48" i="20"/>
  <c r="B49" i="20"/>
  <c r="B50" i="20"/>
  <c r="B51" i="20"/>
  <c r="B52" i="20"/>
  <c r="B53" i="20"/>
  <c r="B54" i="20"/>
  <c r="B55" i="20"/>
  <c r="B56" i="20"/>
  <c r="B57" i="20"/>
  <c r="B58" i="20"/>
  <c r="B59" i="20"/>
  <c r="B60" i="20"/>
  <c r="B61" i="20"/>
  <c r="B62" i="20"/>
  <c r="B63" i="20"/>
  <c r="B64" i="20"/>
  <c r="B65" i="20"/>
  <c r="B66" i="20"/>
  <c r="B67" i="20"/>
  <c r="B68" i="20"/>
  <c r="B69" i="20"/>
  <c r="B70" i="20"/>
  <c r="B71" i="20"/>
  <c r="B72" i="20"/>
  <c r="B73" i="20"/>
  <c r="B74" i="20"/>
  <c r="B75" i="20"/>
  <c r="B76" i="20"/>
  <c r="B77" i="20"/>
  <c r="B78" i="20"/>
  <c r="B79" i="20"/>
  <c r="B80" i="20"/>
  <c r="B81" i="20"/>
  <c r="B82" i="20"/>
  <c r="B83" i="20"/>
  <c r="B84" i="20"/>
  <c r="B85" i="20"/>
  <c r="B86" i="20"/>
  <c r="B87" i="20"/>
  <c r="B88" i="20"/>
  <c r="B89" i="20"/>
  <c r="B90" i="20"/>
  <c r="B91" i="20"/>
  <c r="B92" i="20"/>
  <c r="B93" i="20"/>
  <c r="B94" i="20"/>
  <c r="B95" i="20"/>
  <c r="B96" i="20"/>
  <c r="B97" i="20"/>
  <c r="B98" i="20"/>
  <c r="B99" i="20"/>
  <c r="B100" i="20"/>
  <c r="B101" i="20"/>
  <c r="B102" i="20"/>
  <c r="B103" i="20"/>
  <c r="B104" i="20"/>
  <c r="B105" i="20"/>
  <c r="B106" i="20"/>
  <c r="B107" i="20"/>
  <c r="B108" i="20"/>
  <c r="B109" i="20"/>
  <c r="B110" i="20"/>
  <c r="B111" i="20"/>
  <c r="B112" i="20"/>
  <c r="B113" i="20"/>
  <c r="B114" i="20"/>
  <c r="B115" i="20"/>
  <c r="B116" i="20"/>
  <c r="B117" i="20"/>
  <c r="B118" i="20"/>
  <c r="B119" i="20"/>
  <c r="B120" i="20"/>
  <c r="B121" i="20"/>
  <c r="B122" i="20"/>
  <c r="B123" i="20"/>
  <c r="B124" i="20"/>
  <c r="B125" i="20"/>
  <c r="B126" i="20"/>
  <c r="B127" i="20"/>
  <c r="B128" i="20"/>
  <c r="B129" i="20"/>
  <c r="B130" i="20"/>
  <c r="B131" i="20"/>
  <c r="B132" i="20"/>
  <c r="B133" i="20"/>
  <c r="B134" i="20"/>
  <c r="B135" i="20"/>
  <c r="B136" i="20"/>
  <c r="B137" i="20"/>
  <c r="B138" i="20"/>
  <c r="B139" i="20"/>
  <c r="B140" i="20"/>
  <c r="B141" i="20"/>
  <c r="B142" i="20"/>
  <c r="B143" i="20"/>
  <c r="B144" i="20"/>
  <c r="B145" i="20"/>
  <c r="B146" i="20"/>
  <c r="B147" i="20"/>
  <c r="B148" i="20"/>
  <c r="B149" i="20"/>
  <c r="B150" i="20"/>
  <c r="B151" i="20"/>
  <c r="B152" i="20"/>
  <c r="B153" i="20"/>
  <c r="B154" i="20"/>
  <c r="B155" i="20"/>
  <c r="B156" i="20"/>
  <c r="B157" i="20"/>
  <c r="B158" i="20"/>
  <c r="B159" i="20"/>
  <c r="B160" i="20"/>
  <c r="B161" i="20"/>
  <c r="B162" i="20"/>
  <c r="B163" i="20"/>
  <c r="B164" i="20"/>
  <c r="B165" i="20"/>
  <c r="B166" i="20"/>
  <c r="B167" i="20"/>
  <c r="B168" i="20"/>
  <c r="M3" i="20"/>
  <c r="M4" i="20"/>
  <c r="M5" i="20"/>
  <c r="M6" i="20"/>
  <c r="M7" i="20"/>
  <c r="M8" i="20"/>
  <c r="M9" i="20"/>
  <c r="M10" i="20"/>
  <c r="M11" i="20"/>
  <c r="M12" i="20"/>
  <c r="M13" i="20"/>
  <c r="M14" i="20"/>
  <c r="M15" i="20"/>
  <c r="M16" i="20"/>
  <c r="M17" i="20"/>
  <c r="M18" i="20"/>
  <c r="M19" i="20"/>
  <c r="M20" i="20"/>
  <c r="M21" i="20"/>
  <c r="M22" i="20"/>
  <c r="M23" i="20"/>
  <c r="M24" i="20"/>
  <c r="M25" i="20"/>
  <c r="M26" i="20"/>
  <c r="M27" i="20"/>
  <c r="M28" i="20"/>
  <c r="M29" i="20"/>
  <c r="M30" i="20"/>
  <c r="M31" i="20"/>
  <c r="M32" i="20"/>
  <c r="M33" i="20"/>
  <c r="M34" i="20"/>
  <c r="M35" i="20"/>
  <c r="M36" i="20"/>
  <c r="M37" i="20"/>
  <c r="M38" i="20"/>
  <c r="M39" i="20"/>
  <c r="M40" i="20"/>
  <c r="M41" i="20"/>
  <c r="M42" i="20"/>
  <c r="M43" i="20"/>
  <c r="M44" i="20"/>
  <c r="M45" i="20"/>
  <c r="M46" i="20"/>
  <c r="M47" i="20"/>
  <c r="M48" i="20"/>
  <c r="M49" i="20"/>
  <c r="M50" i="20"/>
  <c r="M51" i="20"/>
  <c r="M52" i="20"/>
  <c r="M53" i="20"/>
  <c r="M54" i="20"/>
  <c r="M55" i="20"/>
  <c r="M56" i="20"/>
  <c r="M57" i="20"/>
  <c r="M58" i="20"/>
  <c r="M59" i="20"/>
  <c r="M60" i="20"/>
  <c r="M61" i="20"/>
  <c r="M62" i="20"/>
  <c r="M63" i="20"/>
  <c r="M64" i="20"/>
  <c r="M65" i="20"/>
  <c r="M66" i="20"/>
  <c r="M67" i="20"/>
  <c r="M68" i="20"/>
  <c r="M69" i="20"/>
  <c r="M70" i="20"/>
  <c r="M71" i="20"/>
  <c r="M72" i="20"/>
  <c r="M73" i="20"/>
  <c r="M74" i="20"/>
  <c r="M75" i="20"/>
  <c r="M76" i="20"/>
  <c r="M77" i="20"/>
  <c r="M78" i="20"/>
  <c r="M79" i="20"/>
  <c r="M80" i="20"/>
  <c r="M81" i="20"/>
  <c r="M82" i="20"/>
  <c r="M83" i="20"/>
  <c r="M84" i="20"/>
  <c r="M85" i="20"/>
  <c r="M86" i="20"/>
  <c r="M87" i="20"/>
  <c r="M88" i="20"/>
  <c r="M89" i="20"/>
  <c r="M90" i="20"/>
  <c r="M91" i="20"/>
  <c r="M92" i="20"/>
  <c r="M93" i="20"/>
  <c r="M94" i="20"/>
  <c r="M95" i="20"/>
  <c r="M96" i="20"/>
  <c r="M97" i="20"/>
  <c r="M98" i="20"/>
  <c r="M99" i="20"/>
  <c r="M100" i="20"/>
  <c r="M101" i="20"/>
  <c r="M102" i="20"/>
  <c r="M103" i="20"/>
  <c r="M104" i="20"/>
  <c r="M105" i="20"/>
  <c r="M106" i="20"/>
  <c r="M107" i="20"/>
  <c r="M108" i="20"/>
  <c r="M109" i="20"/>
  <c r="M110" i="20"/>
  <c r="M111" i="20"/>
  <c r="M112" i="20"/>
  <c r="M113" i="20"/>
  <c r="M114" i="20"/>
  <c r="M115" i="20"/>
  <c r="M116" i="20"/>
  <c r="M117" i="20"/>
  <c r="M118" i="20"/>
  <c r="M119" i="20"/>
  <c r="M120" i="20"/>
  <c r="M121" i="20"/>
  <c r="M122" i="20"/>
  <c r="M123" i="20"/>
  <c r="M124" i="20"/>
  <c r="M125" i="20"/>
  <c r="M126" i="20"/>
  <c r="M127" i="20"/>
  <c r="M128" i="20"/>
  <c r="M129" i="20"/>
  <c r="M130" i="20"/>
  <c r="M131" i="20"/>
  <c r="M132" i="20"/>
  <c r="M133" i="20"/>
  <c r="M134" i="20"/>
  <c r="M135" i="20"/>
  <c r="M136" i="20"/>
  <c r="M137" i="20"/>
  <c r="M138" i="20"/>
  <c r="M139" i="20"/>
  <c r="M140" i="20"/>
  <c r="M141" i="20"/>
  <c r="M142" i="20"/>
  <c r="M143" i="20"/>
  <c r="M144" i="20"/>
  <c r="M145" i="20"/>
  <c r="M146" i="20"/>
  <c r="M147" i="20"/>
  <c r="M148" i="20"/>
  <c r="M149" i="20"/>
  <c r="M150" i="20"/>
  <c r="M151" i="20"/>
  <c r="M152" i="20"/>
  <c r="M153" i="20"/>
  <c r="M154" i="20"/>
  <c r="M155" i="20"/>
  <c r="M156" i="20"/>
  <c r="M157" i="20"/>
  <c r="M158" i="20"/>
  <c r="M159" i="20"/>
  <c r="M160" i="20"/>
  <c r="M161" i="20"/>
  <c r="M162" i="20"/>
  <c r="M163" i="20"/>
  <c r="M164" i="20"/>
  <c r="M165" i="20"/>
  <c r="M166" i="20"/>
  <c r="M167" i="20"/>
  <c r="M168" i="20"/>
  <c r="P3" i="20"/>
  <c r="P4" i="20"/>
  <c r="P5" i="20"/>
  <c r="P6" i="20"/>
  <c r="P7" i="20"/>
  <c r="P8" i="20"/>
  <c r="P9" i="20"/>
  <c r="P10" i="20"/>
  <c r="P11" i="20"/>
  <c r="P12" i="20"/>
  <c r="P13" i="20"/>
  <c r="P14" i="20"/>
  <c r="P15" i="20"/>
  <c r="P16" i="20"/>
  <c r="P17" i="20"/>
  <c r="P18" i="20"/>
  <c r="P19" i="20"/>
  <c r="P20" i="20"/>
  <c r="P21" i="20"/>
  <c r="P22" i="20"/>
  <c r="P23" i="20"/>
  <c r="P24" i="20"/>
  <c r="P25" i="20"/>
  <c r="P26" i="20"/>
  <c r="P27" i="20"/>
  <c r="P28" i="20"/>
  <c r="P29" i="20"/>
  <c r="P30" i="20"/>
  <c r="P31" i="20"/>
  <c r="P32" i="20"/>
  <c r="P33" i="20"/>
  <c r="P34" i="20"/>
  <c r="P35" i="20"/>
  <c r="P36" i="20"/>
  <c r="P37" i="20"/>
  <c r="P38" i="20"/>
  <c r="P39" i="20"/>
  <c r="P40" i="20"/>
  <c r="P41" i="20"/>
  <c r="P42" i="20"/>
  <c r="P43" i="20"/>
  <c r="P44" i="20"/>
  <c r="P45" i="20"/>
  <c r="P46" i="20"/>
  <c r="P47" i="20"/>
  <c r="P48" i="20"/>
  <c r="P49" i="20"/>
  <c r="P50" i="20"/>
  <c r="P51" i="20"/>
  <c r="P52" i="20"/>
  <c r="P53" i="20"/>
  <c r="P54" i="20"/>
  <c r="P55" i="20"/>
  <c r="P56" i="20"/>
  <c r="P57" i="20"/>
  <c r="P58" i="20"/>
  <c r="P59" i="20"/>
  <c r="P60" i="20"/>
  <c r="P61" i="20"/>
  <c r="P62" i="20"/>
  <c r="P63" i="20"/>
  <c r="P64" i="20"/>
  <c r="P65" i="20"/>
  <c r="P66" i="20"/>
  <c r="P67" i="20"/>
  <c r="P68" i="20"/>
  <c r="P69" i="20"/>
  <c r="P70" i="20"/>
  <c r="P71" i="20"/>
  <c r="P72" i="20"/>
  <c r="P73" i="20"/>
  <c r="P74" i="20"/>
  <c r="P75" i="20"/>
  <c r="P76" i="20"/>
  <c r="P77" i="20"/>
  <c r="P78" i="20"/>
  <c r="P79" i="20"/>
  <c r="P80" i="20"/>
  <c r="P81" i="20"/>
  <c r="P82" i="20"/>
  <c r="P83" i="20"/>
  <c r="P84" i="20"/>
  <c r="P85" i="20"/>
  <c r="P86" i="20"/>
  <c r="P87" i="20"/>
  <c r="P88" i="20"/>
  <c r="P89" i="20"/>
  <c r="P90" i="20"/>
  <c r="P91" i="20"/>
  <c r="P92" i="20"/>
  <c r="P93" i="20"/>
  <c r="P94" i="20"/>
  <c r="P95" i="20"/>
  <c r="P96" i="20"/>
  <c r="P97" i="20"/>
  <c r="P98" i="20"/>
  <c r="P99" i="20"/>
  <c r="P100" i="20"/>
  <c r="P101" i="20"/>
  <c r="P102" i="20"/>
  <c r="P103" i="20"/>
  <c r="P104" i="20"/>
  <c r="P105" i="20"/>
  <c r="P106" i="20"/>
  <c r="P107" i="20"/>
  <c r="P108" i="20"/>
  <c r="P109" i="20"/>
  <c r="P110" i="20"/>
  <c r="P111" i="20"/>
  <c r="P112" i="20"/>
  <c r="P113" i="20"/>
  <c r="P114" i="20"/>
  <c r="P115" i="20"/>
  <c r="P116" i="20"/>
  <c r="P117" i="20"/>
  <c r="P118" i="20"/>
  <c r="P119" i="20"/>
  <c r="P120" i="20"/>
  <c r="P121" i="20"/>
  <c r="P122" i="20"/>
  <c r="P123" i="20"/>
  <c r="P124" i="20"/>
  <c r="P125" i="20"/>
  <c r="P126" i="20"/>
  <c r="P127" i="20"/>
  <c r="P128" i="20"/>
  <c r="P129" i="20"/>
  <c r="P130" i="20"/>
  <c r="P131" i="20"/>
  <c r="P132" i="20"/>
  <c r="P133" i="20"/>
  <c r="P134" i="20"/>
  <c r="P135" i="20"/>
  <c r="P136" i="20"/>
  <c r="P137" i="20"/>
  <c r="P138" i="20"/>
  <c r="P139" i="20"/>
  <c r="P140" i="20"/>
  <c r="P141" i="20"/>
  <c r="P142" i="20"/>
  <c r="P143" i="20"/>
  <c r="P144" i="20"/>
  <c r="P145" i="20"/>
  <c r="P146" i="20"/>
  <c r="P147" i="20"/>
  <c r="P148" i="20"/>
  <c r="P149" i="20"/>
  <c r="P150" i="20"/>
  <c r="P151" i="20"/>
  <c r="P152" i="20"/>
  <c r="P153" i="20"/>
  <c r="P154" i="20"/>
  <c r="P155" i="20"/>
  <c r="P156" i="20"/>
  <c r="P157" i="20"/>
  <c r="P158" i="20"/>
  <c r="P159" i="20"/>
  <c r="P160" i="20"/>
  <c r="P161" i="20"/>
  <c r="P162" i="20"/>
  <c r="P163" i="20"/>
  <c r="P164" i="20"/>
  <c r="P165" i="20"/>
  <c r="P166" i="20"/>
  <c r="P167" i="20"/>
  <c r="P168" i="20"/>
  <c r="Q3" i="20"/>
  <c r="Q4" i="20"/>
  <c r="Q5" i="20"/>
  <c r="Q6" i="20"/>
  <c r="Q7" i="20"/>
  <c r="Q8" i="20"/>
  <c r="Q9" i="20"/>
  <c r="Q10" i="20"/>
  <c r="Q11" i="20"/>
  <c r="Q12" i="20"/>
  <c r="Q13" i="20"/>
  <c r="Q14" i="20"/>
  <c r="Q15" i="20"/>
  <c r="Q16" i="20"/>
  <c r="Q17" i="20"/>
  <c r="Q18" i="20"/>
  <c r="Q19" i="20"/>
  <c r="Q20" i="20"/>
  <c r="Q21" i="20"/>
  <c r="Q22" i="20"/>
  <c r="Q23" i="20"/>
  <c r="Q24" i="20"/>
  <c r="Q25" i="20"/>
  <c r="Q26" i="20"/>
  <c r="Q27" i="20"/>
  <c r="Q28" i="20"/>
  <c r="Q29" i="20"/>
  <c r="Q30" i="20"/>
  <c r="Q31" i="20"/>
  <c r="Q32" i="20"/>
  <c r="Q33" i="20"/>
  <c r="Q34" i="20"/>
  <c r="Q35" i="20"/>
  <c r="Q36" i="20"/>
  <c r="Q37" i="20"/>
  <c r="Q38" i="20"/>
  <c r="Q39" i="20"/>
  <c r="Q40" i="20"/>
  <c r="Q41" i="20"/>
  <c r="Q42" i="20"/>
  <c r="Q43" i="20"/>
  <c r="Q44" i="20"/>
  <c r="Q45" i="20"/>
  <c r="Q46" i="20"/>
  <c r="Q47" i="20"/>
  <c r="Q48" i="20"/>
  <c r="Q49" i="20"/>
  <c r="Q50" i="20"/>
  <c r="Q51" i="20"/>
  <c r="Q52" i="20"/>
  <c r="Q53" i="20"/>
  <c r="Q54" i="20"/>
  <c r="Q55" i="20"/>
  <c r="Q56" i="20"/>
  <c r="Q57" i="20"/>
  <c r="Q58" i="20"/>
  <c r="Q59" i="20"/>
  <c r="Q60" i="20"/>
  <c r="Q61" i="20"/>
  <c r="Q62" i="20"/>
  <c r="Q63" i="20"/>
  <c r="Q64" i="20"/>
  <c r="Q65" i="20"/>
  <c r="Q66" i="20"/>
  <c r="Q67" i="20"/>
  <c r="Q68" i="20"/>
  <c r="Q69" i="20"/>
  <c r="Q70" i="20"/>
  <c r="Q71" i="20"/>
  <c r="Q72" i="20"/>
  <c r="Q73" i="20"/>
  <c r="Q74" i="20"/>
  <c r="Q75" i="20"/>
  <c r="Q76" i="20"/>
  <c r="Q77" i="20"/>
  <c r="Q78" i="20"/>
  <c r="Q79" i="20"/>
  <c r="Q80" i="20"/>
  <c r="Q81" i="20"/>
  <c r="Q82" i="20"/>
  <c r="Q83" i="20"/>
  <c r="Q84" i="20"/>
  <c r="Q85" i="20"/>
  <c r="Q86" i="20"/>
  <c r="Q87" i="20"/>
  <c r="Q88" i="20"/>
  <c r="Q89" i="20"/>
  <c r="Q90" i="20"/>
  <c r="Q91" i="20"/>
  <c r="Q92" i="20"/>
  <c r="Q93" i="20"/>
  <c r="Q94" i="20"/>
  <c r="Q95" i="20"/>
  <c r="Q96" i="20"/>
  <c r="Q97" i="20"/>
  <c r="Q98" i="20"/>
  <c r="Q99" i="20"/>
  <c r="Q100" i="20"/>
  <c r="Q101" i="20"/>
  <c r="Q102" i="20"/>
  <c r="Q103" i="20"/>
  <c r="Q104" i="20"/>
  <c r="Q105" i="20"/>
  <c r="Q106" i="20"/>
  <c r="Q107" i="20"/>
  <c r="Q108" i="20"/>
  <c r="Q109" i="20"/>
  <c r="Q110" i="20"/>
  <c r="Q111" i="20"/>
  <c r="Q112" i="20"/>
  <c r="Q113" i="20"/>
  <c r="Q114" i="20"/>
  <c r="Q115" i="20"/>
  <c r="Q116" i="20"/>
  <c r="Q117" i="20"/>
  <c r="Q118" i="20"/>
  <c r="Q119" i="20"/>
  <c r="Q120" i="20"/>
  <c r="Q121" i="20"/>
  <c r="Q122" i="20"/>
  <c r="Q123" i="20"/>
  <c r="Q124" i="20"/>
  <c r="Q125" i="20"/>
  <c r="Q126" i="20"/>
  <c r="Q127" i="20"/>
  <c r="Q128" i="20"/>
  <c r="Q129" i="20"/>
  <c r="Q130" i="20"/>
  <c r="Q131" i="20"/>
  <c r="Q132" i="20"/>
  <c r="Q133" i="20"/>
  <c r="Q134" i="20"/>
  <c r="Q135" i="20"/>
  <c r="Q136" i="20"/>
  <c r="Q137" i="20"/>
  <c r="Q138" i="20"/>
  <c r="Q139" i="20"/>
  <c r="Q140" i="20"/>
  <c r="Q141" i="20"/>
  <c r="Q142" i="20"/>
  <c r="Q143" i="20"/>
  <c r="Q144" i="20"/>
  <c r="Q145" i="20"/>
  <c r="Q146" i="20"/>
  <c r="Q147" i="20"/>
  <c r="Q148" i="20"/>
  <c r="Q149" i="20"/>
  <c r="Q150" i="20"/>
  <c r="Q151" i="20"/>
  <c r="Q152" i="20"/>
  <c r="Q153" i="20"/>
  <c r="Q154" i="20"/>
  <c r="Q155" i="20"/>
  <c r="Q156" i="20"/>
  <c r="Q157" i="20"/>
  <c r="Q158" i="20"/>
  <c r="Q159" i="20"/>
  <c r="Q160" i="20"/>
  <c r="Q161" i="20"/>
  <c r="Q162" i="20"/>
  <c r="Q163" i="20"/>
  <c r="Q164" i="20"/>
  <c r="Q165" i="20"/>
  <c r="Q166" i="20"/>
  <c r="Q167" i="20"/>
  <c r="Q168" i="20"/>
  <c r="AA3" i="20"/>
  <c r="AA4" i="20"/>
  <c r="AA5" i="20"/>
  <c r="AA6" i="20"/>
  <c r="AA7" i="20"/>
  <c r="AA8" i="20"/>
  <c r="AA9" i="20"/>
  <c r="AA10" i="20"/>
  <c r="AA11" i="20"/>
  <c r="AA12" i="20"/>
  <c r="AA13" i="20"/>
  <c r="AA14" i="20"/>
  <c r="AA15" i="20"/>
  <c r="AA16" i="20"/>
  <c r="AA17" i="20"/>
  <c r="AA18" i="20"/>
  <c r="AA19" i="20"/>
  <c r="AA20" i="20"/>
  <c r="AA21" i="20"/>
  <c r="AA22" i="20"/>
  <c r="AA23" i="20"/>
  <c r="AA24" i="20"/>
  <c r="AA25" i="20"/>
  <c r="AA26" i="20"/>
  <c r="AA27" i="20"/>
  <c r="AA28" i="20"/>
  <c r="AA29" i="20"/>
  <c r="AA30" i="20"/>
  <c r="AA31" i="20"/>
  <c r="AA32" i="20"/>
  <c r="AA33" i="20"/>
  <c r="AA34" i="20"/>
  <c r="AA35" i="20"/>
  <c r="AA36" i="20"/>
  <c r="AA37" i="20"/>
  <c r="AA38" i="20"/>
  <c r="AA39" i="20"/>
  <c r="AA40" i="20"/>
  <c r="AA41" i="20"/>
  <c r="AA42" i="20"/>
  <c r="AA43" i="20"/>
  <c r="AA44" i="20"/>
  <c r="AA45" i="20"/>
  <c r="AA46" i="20"/>
  <c r="AA47" i="20"/>
  <c r="AA48" i="20"/>
  <c r="AA49" i="20"/>
  <c r="AA50" i="20"/>
  <c r="AA51" i="20"/>
  <c r="AA52" i="20"/>
  <c r="AA53" i="20"/>
  <c r="AA54" i="20"/>
  <c r="AA55" i="20"/>
  <c r="AA56" i="20"/>
  <c r="AA57" i="20"/>
  <c r="AA58" i="20"/>
  <c r="AA59" i="20"/>
  <c r="AA60" i="20"/>
  <c r="AA61" i="20"/>
  <c r="AA62" i="20"/>
  <c r="AA63" i="20"/>
  <c r="AA64" i="20"/>
  <c r="AA65" i="20"/>
  <c r="AA66" i="20"/>
  <c r="AA67" i="20"/>
  <c r="AA68" i="20"/>
  <c r="AA69" i="20"/>
  <c r="AA70" i="20"/>
  <c r="AA71" i="20"/>
  <c r="AA72" i="20"/>
  <c r="AA73" i="20"/>
  <c r="AA74" i="20"/>
  <c r="AA75" i="20"/>
  <c r="AA76" i="20"/>
  <c r="AA77" i="20"/>
  <c r="AA78" i="20"/>
  <c r="AA79" i="20"/>
  <c r="AA80" i="20"/>
  <c r="AA81" i="20"/>
  <c r="AA82" i="20"/>
  <c r="AA83" i="20"/>
  <c r="AA84" i="20"/>
  <c r="AA85" i="20"/>
  <c r="AA86" i="20"/>
  <c r="AA87" i="20"/>
  <c r="AA88" i="20"/>
  <c r="AA89" i="20"/>
  <c r="AA90" i="20"/>
  <c r="AA91" i="20"/>
  <c r="AA92" i="20"/>
  <c r="AA93" i="20"/>
  <c r="AA94" i="20"/>
  <c r="AA95" i="20"/>
  <c r="AA96" i="20"/>
  <c r="AA97" i="20"/>
  <c r="AA98" i="20"/>
  <c r="AA99" i="20"/>
  <c r="AA100" i="20"/>
  <c r="AA101" i="20"/>
  <c r="AA102" i="20"/>
  <c r="AA103" i="20"/>
  <c r="AA104" i="20"/>
  <c r="AA105" i="20"/>
  <c r="AA106" i="20"/>
  <c r="AA107" i="20"/>
  <c r="AA108" i="20"/>
  <c r="AA109" i="20"/>
  <c r="AA110" i="20"/>
  <c r="AA111" i="20"/>
  <c r="AA112" i="20"/>
  <c r="AA113" i="20"/>
  <c r="AA114" i="20"/>
  <c r="AA115" i="20"/>
  <c r="AA116" i="20"/>
  <c r="AA117" i="20"/>
  <c r="AA118" i="20"/>
  <c r="AA119" i="20"/>
  <c r="AA120" i="20"/>
  <c r="AA121" i="20"/>
  <c r="AA122" i="20"/>
  <c r="AA123" i="20"/>
  <c r="AA124" i="20"/>
  <c r="AA125" i="20"/>
  <c r="AA126" i="20"/>
  <c r="AA127" i="20"/>
  <c r="AA128" i="20"/>
  <c r="AA129" i="20"/>
  <c r="AA130" i="20"/>
  <c r="AA131" i="20"/>
  <c r="AA132" i="20"/>
  <c r="AA133" i="20"/>
  <c r="AA134" i="20"/>
  <c r="AA135" i="20"/>
  <c r="AA136" i="20"/>
  <c r="AA137" i="20"/>
  <c r="AA138" i="20"/>
  <c r="AA139" i="20"/>
  <c r="AA140" i="20"/>
  <c r="AA141" i="20"/>
  <c r="AA142" i="20"/>
  <c r="AA143" i="20"/>
  <c r="AA144" i="20"/>
  <c r="AA145" i="20"/>
  <c r="AA146" i="20"/>
  <c r="AA147" i="20"/>
  <c r="AA148" i="20"/>
  <c r="AA149" i="20"/>
  <c r="AA150" i="20"/>
  <c r="AA151" i="20"/>
  <c r="AA152" i="20"/>
  <c r="AA153" i="20"/>
  <c r="AA154" i="20"/>
  <c r="AA155" i="20"/>
  <c r="AA156" i="20"/>
  <c r="AA157" i="20"/>
  <c r="AA158" i="20"/>
  <c r="AA159" i="20"/>
  <c r="AA160" i="20"/>
  <c r="AA161" i="20"/>
  <c r="AA162" i="20"/>
  <c r="AA163" i="20"/>
  <c r="AA164" i="20"/>
  <c r="AA165" i="20"/>
  <c r="AA166" i="20"/>
  <c r="AA167" i="20"/>
  <c r="AA168" i="20"/>
  <c r="B2" i="20"/>
  <c r="AA2" i="20"/>
  <c r="Q2" i="20"/>
  <c r="P2" i="20"/>
  <c r="R2" i="20" s="1"/>
  <c r="M2" i="20"/>
  <c r="R3" i="21" l="1"/>
  <c r="R4" i="21" s="1"/>
  <c r="R5" i="21" s="1"/>
  <c r="R6" i="21" s="1"/>
  <c r="R7" i="21" s="1"/>
  <c r="R8" i="21" s="1"/>
  <c r="R9" i="21" s="1"/>
  <c r="R10" i="21" s="1"/>
  <c r="R11" i="21" s="1"/>
  <c r="R12" i="21" s="1"/>
  <c r="R13" i="21" s="1"/>
  <c r="R14" i="21" s="1"/>
  <c r="R15" i="21" s="1"/>
  <c r="R16" i="21" s="1"/>
  <c r="R17" i="21" s="1"/>
  <c r="R18" i="21" s="1"/>
  <c r="R19" i="21" s="1"/>
  <c r="R20" i="21" s="1"/>
  <c r="R21" i="21" s="1"/>
  <c r="R22" i="21" s="1"/>
  <c r="R23" i="21" s="1"/>
  <c r="R24" i="21" s="1"/>
  <c r="R25" i="21" s="1"/>
  <c r="R26" i="21" s="1"/>
  <c r="R27" i="21" s="1"/>
  <c r="R28" i="21" s="1"/>
  <c r="R29" i="21" s="1"/>
  <c r="R30" i="21" s="1"/>
  <c r="R31" i="21" s="1"/>
  <c r="R32" i="21" s="1"/>
  <c r="R33" i="21" s="1"/>
  <c r="R34" i="21" s="1"/>
  <c r="R35" i="21" s="1"/>
  <c r="R36" i="21" s="1"/>
  <c r="R37" i="21" s="1"/>
  <c r="R38" i="21" s="1"/>
  <c r="R39" i="21" s="1"/>
  <c r="R40" i="21" s="1"/>
  <c r="R41" i="21" s="1"/>
  <c r="R42" i="21" s="1"/>
  <c r="R43" i="21" s="1"/>
  <c r="R44" i="21" s="1"/>
  <c r="R45" i="21" s="1"/>
  <c r="R46" i="21" s="1"/>
  <c r="R47" i="21" s="1"/>
  <c r="R48" i="21" s="1"/>
  <c r="R49" i="21" s="1"/>
  <c r="R50" i="21" s="1"/>
  <c r="R51" i="21" s="1"/>
  <c r="R52" i="21" s="1"/>
  <c r="R53" i="21" s="1"/>
  <c r="R54" i="21" s="1"/>
  <c r="R55" i="21" s="1"/>
  <c r="R56" i="21" s="1"/>
  <c r="R57" i="21" s="1"/>
  <c r="R58" i="21" s="1"/>
  <c r="R59" i="21" s="1"/>
  <c r="R60" i="21" s="1"/>
  <c r="R61" i="21" s="1"/>
  <c r="R62" i="21" s="1"/>
  <c r="R63" i="21" s="1"/>
  <c r="R64" i="21" s="1"/>
  <c r="R65" i="21" s="1"/>
  <c r="R66" i="21" s="1"/>
  <c r="R67" i="21" s="1"/>
  <c r="R68" i="21" s="1"/>
  <c r="R69" i="21" s="1"/>
  <c r="R70" i="21" s="1"/>
  <c r="R71" i="21" s="1"/>
  <c r="R72" i="21" s="1"/>
  <c r="R73" i="21" s="1"/>
  <c r="R74" i="21" s="1"/>
  <c r="R75" i="21" s="1"/>
  <c r="R76" i="21" s="1"/>
  <c r="R77" i="21" s="1"/>
  <c r="R78" i="21" s="1"/>
  <c r="R79" i="21" s="1"/>
  <c r="R80" i="21" s="1"/>
  <c r="R81" i="21" s="1"/>
  <c r="R82" i="21" s="1"/>
  <c r="R83" i="21" s="1"/>
  <c r="R84" i="21" s="1"/>
  <c r="R85" i="21" s="1"/>
  <c r="R86" i="21" s="1"/>
  <c r="R87" i="21" s="1"/>
  <c r="R88" i="21" s="1"/>
  <c r="R89" i="21" s="1"/>
  <c r="R90" i="21" s="1"/>
  <c r="R91" i="21" s="1"/>
  <c r="R92" i="21" s="1"/>
  <c r="R93" i="21" s="1"/>
  <c r="R94" i="21" s="1"/>
  <c r="R95" i="21" s="1"/>
  <c r="R96" i="21" s="1"/>
  <c r="R97" i="21" s="1"/>
  <c r="R98" i="21" s="1"/>
  <c r="R99" i="21" s="1"/>
  <c r="R100" i="21" s="1"/>
  <c r="R101" i="21" s="1"/>
  <c r="R102" i="21" s="1"/>
  <c r="R103" i="21" s="1"/>
  <c r="R104" i="21" s="1"/>
  <c r="R105" i="21" s="1"/>
  <c r="R106" i="21" s="1"/>
  <c r="R107" i="21" s="1"/>
  <c r="R108" i="21" s="1"/>
  <c r="R109" i="21" s="1"/>
  <c r="R110" i="21" s="1"/>
  <c r="R111" i="21" s="1"/>
  <c r="R112" i="21" s="1"/>
  <c r="R113" i="21" s="1"/>
  <c r="R114" i="21" s="1"/>
  <c r="R115" i="21" s="1"/>
  <c r="R116" i="21" s="1"/>
  <c r="R117" i="21" s="1"/>
  <c r="R118" i="21" s="1"/>
  <c r="R119" i="21" s="1"/>
  <c r="R120" i="21" s="1"/>
  <c r="R121" i="21" s="1"/>
  <c r="R122" i="21" s="1"/>
  <c r="R123" i="21" s="1"/>
  <c r="R124" i="21" s="1"/>
  <c r="R125" i="21" s="1"/>
  <c r="R126" i="21" s="1"/>
  <c r="R127" i="21" s="1"/>
  <c r="R128" i="21" s="1"/>
  <c r="R129" i="21" s="1"/>
  <c r="R130" i="21" s="1"/>
  <c r="R131" i="21" s="1"/>
  <c r="R132" i="21" s="1"/>
  <c r="R133" i="21" s="1"/>
  <c r="R134" i="21" s="1"/>
  <c r="R135" i="21" s="1"/>
  <c r="R136" i="21" s="1"/>
  <c r="R137" i="21" s="1"/>
  <c r="R138" i="21" s="1"/>
  <c r="R139" i="21" s="1"/>
  <c r="R140" i="21" s="1"/>
  <c r="R141" i="21" s="1"/>
  <c r="R142" i="21" s="1"/>
  <c r="R143" i="21" s="1"/>
  <c r="R144" i="21" s="1"/>
  <c r="R145" i="21" s="1"/>
  <c r="R146" i="21" s="1"/>
  <c r="R147" i="21" s="1"/>
  <c r="R148" i="21" s="1"/>
  <c r="R149" i="21" s="1"/>
  <c r="R150" i="21" s="1"/>
  <c r="R151" i="21" s="1"/>
  <c r="R152" i="21" s="1"/>
  <c r="R153" i="21" s="1"/>
  <c r="R154" i="21" s="1"/>
  <c r="R155" i="21" s="1"/>
  <c r="R156" i="21" s="1"/>
  <c r="R157" i="21" s="1"/>
  <c r="R158" i="21" s="1"/>
  <c r="R159" i="21" s="1"/>
  <c r="R160" i="21" s="1"/>
  <c r="R161" i="21" s="1"/>
  <c r="R162" i="21" s="1"/>
  <c r="R163" i="21" s="1"/>
  <c r="R164" i="21" s="1"/>
  <c r="R165" i="21" s="1"/>
  <c r="R166" i="21" s="1"/>
  <c r="R167" i="21" s="1"/>
  <c r="R168" i="21" s="1"/>
  <c r="R169" i="21" s="1"/>
  <c r="R170" i="21" s="1"/>
  <c r="R171" i="21" s="1"/>
  <c r="R172" i="21" s="1"/>
  <c r="R173" i="21" s="1"/>
  <c r="R174" i="21" s="1"/>
  <c r="R175" i="21" s="1"/>
  <c r="R176" i="21" s="1"/>
  <c r="R177" i="21" s="1"/>
  <c r="R178" i="21" s="1"/>
  <c r="R179" i="21" s="1"/>
  <c r="R180" i="21" s="1"/>
  <c r="R181" i="21" s="1"/>
  <c r="R182" i="21" s="1"/>
  <c r="R183" i="21" s="1"/>
  <c r="R184" i="21" s="1"/>
  <c r="R185" i="21" s="1"/>
  <c r="R186" i="21" s="1"/>
  <c r="R187" i="21" s="1"/>
  <c r="R188" i="21" s="1"/>
  <c r="R189" i="21" s="1"/>
  <c r="R190" i="21" s="1"/>
  <c r="R191" i="21" s="1"/>
  <c r="R192" i="21" s="1"/>
  <c r="R193" i="21" s="1"/>
  <c r="R194" i="21" s="1"/>
  <c r="R195" i="21" s="1"/>
  <c r="R196" i="21" s="1"/>
  <c r="R197" i="21" s="1"/>
  <c r="R198" i="21" s="1"/>
  <c r="R199" i="21" s="1"/>
  <c r="R200" i="21" s="1"/>
  <c r="R201" i="21" s="1"/>
  <c r="R202" i="21" s="1"/>
  <c r="R203" i="21" s="1"/>
  <c r="R204" i="21" s="1"/>
  <c r="R205" i="21" s="1"/>
  <c r="R206" i="21" s="1"/>
  <c r="R207" i="21" s="1"/>
  <c r="R208" i="21" s="1"/>
  <c r="R209" i="21" s="1"/>
  <c r="R210" i="21" s="1"/>
  <c r="R211" i="21" s="1"/>
  <c r="R212" i="21" s="1"/>
  <c r="R213" i="21" s="1"/>
  <c r="R214" i="21" s="1"/>
  <c r="R215" i="21" s="1"/>
  <c r="R216" i="21" s="1"/>
  <c r="R217" i="21" s="1"/>
  <c r="R218" i="21" s="1"/>
  <c r="R219" i="21" s="1"/>
  <c r="R220" i="21" s="1"/>
  <c r="R221" i="21" s="1"/>
  <c r="R222" i="21" s="1"/>
  <c r="R223" i="21" s="1"/>
  <c r="R224" i="21" s="1"/>
  <c r="R225" i="21" s="1"/>
  <c r="R226" i="21" s="1"/>
  <c r="R227" i="21" s="1"/>
  <c r="R228" i="21" s="1"/>
  <c r="R229" i="21" s="1"/>
  <c r="R230" i="21" s="1"/>
  <c r="R231" i="21" s="1"/>
  <c r="R232" i="21" s="1"/>
  <c r="R233" i="21" s="1"/>
  <c r="R234" i="21" s="1"/>
  <c r="R235" i="21" s="1"/>
  <c r="R236" i="21" s="1"/>
  <c r="R237" i="21" s="1"/>
  <c r="R238" i="21" s="1"/>
  <c r="R239" i="21" s="1"/>
  <c r="R240" i="21" s="1"/>
  <c r="R241" i="21" s="1"/>
  <c r="R242" i="21" s="1"/>
  <c r="R243" i="21" s="1"/>
  <c r="R244" i="21" s="1"/>
  <c r="R245" i="21" s="1"/>
  <c r="R246" i="21" s="1"/>
  <c r="R247" i="21" s="1"/>
  <c r="R248" i="21" s="1"/>
  <c r="R249" i="21" s="1"/>
  <c r="R250" i="21" s="1"/>
  <c r="R251" i="21" s="1"/>
  <c r="R252" i="21" s="1"/>
  <c r="R253" i="21" s="1"/>
  <c r="R254" i="21" s="1"/>
  <c r="R255" i="21" s="1"/>
  <c r="R256" i="21" s="1"/>
  <c r="R257" i="21" s="1"/>
  <c r="R258" i="21" s="1"/>
  <c r="R259" i="21" s="1"/>
  <c r="R260" i="21" s="1"/>
  <c r="R261" i="21" s="1"/>
  <c r="R262" i="21" s="1"/>
  <c r="R263" i="21" s="1"/>
  <c r="R264" i="21" s="1"/>
  <c r="R265" i="21" s="1"/>
  <c r="R266" i="21" s="1"/>
  <c r="R267" i="21" s="1"/>
  <c r="R268" i="21" s="1"/>
  <c r="R269" i="21" s="1"/>
  <c r="R270" i="21" s="1"/>
  <c r="R271" i="21" s="1"/>
  <c r="R272" i="21" s="1"/>
  <c r="R460" i="10"/>
  <c r="R461" i="10" s="1"/>
  <c r="R462" i="10" s="1"/>
  <c r="R463" i="10" s="1"/>
  <c r="R464" i="10" s="1"/>
  <c r="R465" i="10" s="1"/>
  <c r="R466" i="10" s="1"/>
  <c r="R467" i="10" s="1"/>
  <c r="R468" i="10" s="1"/>
  <c r="R469" i="10" s="1"/>
  <c r="R470" i="10" s="1"/>
  <c r="R471" i="10" s="1"/>
  <c r="R472" i="10" s="1"/>
  <c r="R473" i="10" s="1"/>
  <c r="R474" i="10" s="1"/>
  <c r="R475" i="10" s="1"/>
  <c r="R476" i="10" s="1"/>
  <c r="R477" i="10" s="1"/>
  <c r="R478" i="10" s="1"/>
  <c r="R479" i="10" s="1"/>
  <c r="R480" i="10" s="1"/>
  <c r="R481" i="10" s="1"/>
  <c r="R482" i="10" s="1"/>
  <c r="R483" i="10" s="1"/>
  <c r="R484" i="10" s="1"/>
  <c r="R485" i="10" s="1"/>
  <c r="R486" i="10" s="1"/>
  <c r="R3" i="22"/>
  <c r="R4" i="22" s="1"/>
  <c r="R5" i="22" s="1"/>
  <c r="R6" i="22" s="1"/>
  <c r="R7" i="22" s="1"/>
  <c r="R8" i="22" s="1"/>
  <c r="R9" i="22" s="1"/>
  <c r="R10" i="22" s="1"/>
  <c r="R11" i="22" s="1"/>
  <c r="R12" i="22" s="1"/>
  <c r="R13" i="22" s="1"/>
  <c r="R14" i="22" s="1"/>
  <c r="R15" i="22" s="1"/>
  <c r="R16" i="22" s="1"/>
  <c r="R17" i="22" s="1"/>
  <c r="R18" i="22" s="1"/>
  <c r="R19" i="22" s="1"/>
  <c r="R20" i="22" s="1"/>
  <c r="R21" i="22" s="1"/>
  <c r="R22" i="22" s="1"/>
  <c r="R23" i="22" s="1"/>
  <c r="R24" i="22" s="1"/>
  <c r="R25" i="22" s="1"/>
  <c r="R26" i="22" s="1"/>
  <c r="R27" i="22" s="1"/>
  <c r="R28" i="22" s="1"/>
  <c r="R29" i="22" s="1"/>
  <c r="R30" i="22" s="1"/>
  <c r="R31" i="22" s="1"/>
  <c r="R32" i="22" s="1"/>
  <c r="R33" i="22" s="1"/>
  <c r="R34" i="22" s="1"/>
  <c r="R35" i="22" s="1"/>
  <c r="R36" i="22" s="1"/>
  <c r="R37" i="22" s="1"/>
  <c r="R38" i="22" s="1"/>
  <c r="R39" i="22" s="1"/>
  <c r="R40" i="22" s="1"/>
  <c r="R41" i="22" s="1"/>
  <c r="R42" i="22" s="1"/>
  <c r="R43" i="22" s="1"/>
  <c r="R44" i="22" s="1"/>
  <c r="R45" i="22" s="1"/>
  <c r="R46" i="22" s="1"/>
  <c r="R47" i="22" s="1"/>
  <c r="R48" i="22" s="1"/>
  <c r="R49" i="22" s="1"/>
  <c r="R50" i="22" s="1"/>
  <c r="R51" i="22" s="1"/>
  <c r="R52" i="22" s="1"/>
  <c r="R53" i="22" s="1"/>
  <c r="R54" i="22" s="1"/>
  <c r="R55" i="22" s="1"/>
  <c r="R56" i="22" s="1"/>
  <c r="R57" i="22" s="1"/>
  <c r="R58" i="22" s="1"/>
  <c r="R59" i="22" s="1"/>
  <c r="R60" i="22" s="1"/>
  <c r="R61" i="22" s="1"/>
  <c r="R62" i="22" s="1"/>
  <c r="R63" i="22" s="1"/>
  <c r="R64" i="22" s="1"/>
  <c r="R65" i="22" s="1"/>
  <c r="R66" i="22" s="1"/>
  <c r="R67" i="22" s="1"/>
  <c r="R68" i="22" s="1"/>
  <c r="R69" i="22" s="1"/>
  <c r="R70" i="22" s="1"/>
  <c r="R71" i="22" s="1"/>
  <c r="R72" i="22" s="1"/>
  <c r="R73" i="22" s="1"/>
  <c r="R74" i="22" s="1"/>
  <c r="R75" i="22" s="1"/>
  <c r="R76" i="22" s="1"/>
  <c r="R77" i="22" s="1"/>
  <c r="R78" i="22" s="1"/>
  <c r="R79" i="22" s="1"/>
  <c r="R80" i="22" s="1"/>
  <c r="R81" i="22" s="1"/>
  <c r="R82" i="22" s="1"/>
  <c r="R83" i="22" s="1"/>
  <c r="R84" i="22" s="1"/>
  <c r="R85" i="22" s="1"/>
  <c r="R86" i="22" s="1"/>
  <c r="R87" i="22" s="1"/>
  <c r="R88" i="22" s="1"/>
  <c r="R89" i="22" s="1"/>
  <c r="R90" i="22" s="1"/>
  <c r="R91" i="22" s="1"/>
  <c r="R92" i="22" s="1"/>
  <c r="R93" i="22" s="1"/>
  <c r="R94" i="22" s="1"/>
  <c r="R95" i="22" s="1"/>
  <c r="R96" i="22" s="1"/>
  <c r="R97" i="22" s="1"/>
  <c r="R98" i="22" s="1"/>
  <c r="R99" i="22" s="1"/>
  <c r="R100" i="22" s="1"/>
  <c r="R101" i="22" s="1"/>
  <c r="R102" i="22" s="1"/>
  <c r="R103" i="22" s="1"/>
  <c r="R104" i="22" s="1"/>
  <c r="R105" i="22" s="1"/>
  <c r="R106" i="22" s="1"/>
  <c r="R107" i="22" s="1"/>
  <c r="S1084" i="8"/>
  <c r="S1085" i="8" s="1"/>
  <c r="R3" i="20"/>
  <c r="R4" i="20" s="1"/>
  <c r="R5" i="20" s="1"/>
  <c r="R6" i="20" s="1"/>
  <c r="R7" i="20" s="1"/>
  <c r="R8" i="20" s="1"/>
  <c r="R9" i="20" s="1"/>
  <c r="R10" i="20" s="1"/>
  <c r="R11" i="20" s="1"/>
  <c r="R12" i="20" s="1"/>
  <c r="R13" i="20" s="1"/>
  <c r="R14" i="20" s="1"/>
  <c r="R15" i="20" s="1"/>
  <c r="R16" i="20" s="1"/>
  <c r="R17" i="20" s="1"/>
  <c r="R18" i="20" s="1"/>
  <c r="R19" i="20" s="1"/>
  <c r="R20" i="20" s="1"/>
  <c r="R21" i="20" s="1"/>
  <c r="R22" i="20" s="1"/>
  <c r="R23" i="20" s="1"/>
  <c r="R24" i="20" s="1"/>
  <c r="R25" i="20" s="1"/>
  <c r="R26" i="20" s="1"/>
  <c r="R27" i="20" s="1"/>
  <c r="R28" i="20" s="1"/>
  <c r="R29" i="20" s="1"/>
  <c r="R30" i="20" s="1"/>
  <c r="R31" i="20" s="1"/>
  <c r="R32" i="20" s="1"/>
  <c r="R33" i="20" s="1"/>
  <c r="R34" i="20" s="1"/>
  <c r="R35" i="20" s="1"/>
  <c r="R36" i="20" s="1"/>
  <c r="R37" i="20" s="1"/>
  <c r="R38" i="20" s="1"/>
  <c r="R39" i="20" s="1"/>
  <c r="R40" i="20" s="1"/>
  <c r="R41" i="20" s="1"/>
  <c r="R42" i="20" s="1"/>
  <c r="R43" i="20" s="1"/>
  <c r="R44" i="20" s="1"/>
  <c r="R45" i="20" s="1"/>
  <c r="R46" i="20" s="1"/>
  <c r="R47" i="20" s="1"/>
  <c r="R48" i="20" s="1"/>
  <c r="R49" i="20" s="1"/>
  <c r="R50" i="20" s="1"/>
  <c r="R51" i="20" s="1"/>
  <c r="R52" i="20" s="1"/>
  <c r="R53" i="20" s="1"/>
  <c r="R54" i="20" s="1"/>
  <c r="R55" i="20" s="1"/>
  <c r="R56" i="20" s="1"/>
  <c r="R57" i="20" s="1"/>
  <c r="R58" i="20" s="1"/>
  <c r="R59" i="20" s="1"/>
  <c r="R60" i="20" s="1"/>
  <c r="R61" i="20" s="1"/>
  <c r="R62" i="20" s="1"/>
  <c r="R63" i="20" s="1"/>
  <c r="R64" i="20" s="1"/>
  <c r="R65" i="20" s="1"/>
  <c r="R66" i="20" s="1"/>
  <c r="R67" i="20" s="1"/>
  <c r="R68" i="20" s="1"/>
  <c r="R69" i="20" s="1"/>
  <c r="R70" i="20" s="1"/>
  <c r="R71" i="20" s="1"/>
  <c r="R72" i="20" s="1"/>
  <c r="R73" i="20" s="1"/>
  <c r="R74" i="20" s="1"/>
  <c r="R75" i="20" s="1"/>
  <c r="R76" i="20" s="1"/>
  <c r="R77" i="20" s="1"/>
  <c r="R78" i="20" s="1"/>
  <c r="R79" i="20" s="1"/>
  <c r="R80" i="20" s="1"/>
  <c r="R81" i="20" s="1"/>
  <c r="R82" i="20" s="1"/>
  <c r="R83" i="20" s="1"/>
  <c r="R84" i="20" s="1"/>
  <c r="R85" i="20" s="1"/>
  <c r="R86" i="20" s="1"/>
  <c r="R87" i="20" s="1"/>
  <c r="R88" i="20" s="1"/>
  <c r="R89" i="20" s="1"/>
  <c r="R90" i="20" s="1"/>
  <c r="R91" i="20" s="1"/>
  <c r="R92" i="20" s="1"/>
  <c r="R93" i="20" s="1"/>
  <c r="R94" i="20" s="1"/>
  <c r="R95" i="20" s="1"/>
  <c r="R96" i="20" s="1"/>
  <c r="R97" i="20" s="1"/>
  <c r="R98" i="20" s="1"/>
  <c r="R99" i="20" s="1"/>
  <c r="R100" i="20" s="1"/>
  <c r="R101" i="20" s="1"/>
  <c r="R102" i="20" s="1"/>
  <c r="R103" i="20" s="1"/>
  <c r="R104" i="20" s="1"/>
  <c r="R105" i="20" s="1"/>
  <c r="R106" i="20" s="1"/>
  <c r="R107" i="20" s="1"/>
  <c r="R108" i="20" s="1"/>
  <c r="R109" i="20" s="1"/>
  <c r="R110" i="20" s="1"/>
  <c r="R111" i="20" s="1"/>
  <c r="R112" i="20" s="1"/>
  <c r="R113" i="20" s="1"/>
  <c r="R114" i="20" s="1"/>
  <c r="R115" i="20" s="1"/>
  <c r="R116" i="20" s="1"/>
  <c r="R117" i="20" s="1"/>
  <c r="R118" i="20" s="1"/>
  <c r="R119" i="20" s="1"/>
  <c r="R120" i="20" s="1"/>
  <c r="R121" i="20" s="1"/>
  <c r="R122" i="20" s="1"/>
  <c r="R123" i="20" s="1"/>
  <c r="R124" i="20" s="1"/>
  <c r="R125" i="20" s="1"/>
  <c r="R126" i="20" s="1"/>
  <c r="R127" i="20" s="1"/>
  <c r="R128" i="20" s="1"/>
  <c r="R129" i="20" s="1"/>
  <c r="R130" i="20" s="1"/>
  <c r="R131" i="20" s="1"/>
  <c r="R132" i="20" s="1"/>
  <c r="R133" i="20" s="1"/>
  <c r="R134" i="20" s="1"/>
  <c r="R135" i="20" s="1"/>
  <c r="R136" i="20" s="1"/>
  <c r="R137" i="20" s="1"/>
  <c r="R138" i="20" s="1"/>
  <c r="R139" i="20" s="1"/>
  <c r="R140" i="20" s="1"/>
  <c r="R141" i="20" s="1"/>
  <c r="R142" i="20" s="1"/>
  <c r="R143" i="20" s="1"/>
  <c r="R144" i="20" s="1"/>
  <c r="R145" i="20" s="1"/>
  <c r="R146" i="20" s="1"/>
  <c r="R147" i="20" s="1"/>
  <c r="R148" i="20" s="1"/>
  <c r="R149" i="20" s="1"/>
  <c r="R150" i="20" s="1"/>
  <c r="R151" i="20" s="1"/>
  <c r="R152" i="20" s="1"/>
  <c r="R153" i="20" s="1"/>
  <c r="R154" i="20" s="1"/>
  <c r="R155" i="20" s="1"/>
  <c r="R156" i="20" s="1"/>
  <c r="R157" i="20" s="1"/>
  <c r="R158" i="20" s="1"/>
  <c r="R159" i="20" s="1"/>
  <c r="R160" i="20" s="1"/>
  <c r="R161" i="20" s="1"/>
  <c r="R162" i="20" s="1"/>
  <c r="R163" i="20" s="1"/>
  <c r="R164" i="20" s="1"/>
  <c r="R165" i="20" s="1"/>
  <c r="R166" i="20" s="1"/>
  <c r="R167" i="20" s="1"/>
  <c r="R168" i="20" s="1"/>
  <c r="R169" i="20" s="1"/>
  <c r="R170" i="20" s="1"/>
  <c r="R171" i="20" s="1"/>
  <c r="R172" i="20" s="1"/>
  <c r="R173" i="20" s="1"/>
  <c r="R174" i="20" s="1"/>
  <c r="R175" i="20" s="1"/>
  <c r="R176" i="20" s="1"/>
  <c r="R177" i="20" s="1"/>
  <c r="R178" i="20" s="1"/>
  <c r="R179" i="20" s="1"/>
  <c r="R180" i="20" s="1"/>
  <c r="R181" i="20" s="1"/>
  <c r="R182" i="20" s="1"/>
  <c r="R183" i="20" s="1"/>
  <c r="R184" i="20" s="1"/>
  <c r="R185" i="20" s="1"/>
  <c r="R186" i="20" s="1"/>
  <c r="R187" i="20" s="1"/>
  <c r="R188" i="20" s="1"/>
  <c r="R189" i="20" s="1"/>
  <c r="R190" i="20" s="1"/>
  <c r="R191" i="20" s="1"/>
  <c r="R192" i="20" s="1"/>
  <c r="R193" i="20" s="1"/>
  <c r="R194" i="20" s="1"/>
  <c r="R195" i="20" s="1"/>
  <c r="R196" i="20" s="1"/>
  <c r="R197" i="20" s="1"/>
  <c r="R198" i="20" s="1"/>
  <c r="R199" i="20" s="1"/>
  <c r="R200" i="20" s="1"/>
  <c r="R201" i="20" s="1"/>
  <c r="R202" i="20" s="1"/>
  <c r="R203" i="20" s="1"/>
  <c r="R204" i="20" s="1"/>
  <c r="R205" i="20" s="1"/>
  <c r="R206" i="20" s="1"/>
  <c r="R207" i="20" s="1"/>
  <c r="R208" i="20" s="1"/>
  <c r="R209" i="20" s="1"/>
  <c r="R210" i="20" s="1"/>
  <c r="R211" i="20" s="1"/>
  <c r="R212" i="20" s="1"/>
  <c r="R213" i="20" s="1"/>
  <c r="R214" i="20" s="1"/>
  <c r="R215" i="20" s="1"/>
  <c r="R216" i="20" s="1"/>
  <c r="R217" i="20" s="1"/>
  <c r="R218" i="20" s="1"/>
  <c r="R219" i="20" s="1"/>
  <c r="R220" i="20" s="1"/>
  <c r="R221" i="20" s="1"/>
  <c r="R222" i="20" s="1"/>
  <c r="R223" i="20" s="1"/>
  <c r="R224" i="20" s="1"/>
  <c r="R225" i="20" s="1"/>
  <c r="R226" i="20" s="1"/>
  <c r="R227" i="20" s="1"/>
  <c r="R228" i="20" s="1"/>
  <c r="R229" i="20" s="1"/>
  <c r="R230" i="20" s="1"/>
  <c r="R231" i="20" s="1"/>
  <c r="R232" i="20" s="1"/>
  <c r="R233" i="20" s="1"/>
  <c r="R234" i="20" s="1"/>
  <c r="R235" i="20" s="1"/>
  <c r="R236" i="20" s="1"/>
  <c r="R237" i="20" s="1"/>
  <c r="R238" i="20" s="1"/>
  <c r="R239" i="20" s="1"/>
  <c r="R240" i="20" s="1"/>
  <c r="R241" i="20" s="1"/>
  <c r="R242" i="20" s="1"/>
  <c r="R243" i="20" s="1"/>
  <c r="R244" i="20" s="1"/>
  <c r="R245" i="20" s="1"/>
  <c r="R246" i="20" s="1"/>
  <c r="R247" i="20" s="1"/>
  <c r="R248" i="20" s="1"/>
  <c r="R249" i="20" s="1"/>
  <c r="R250" i="20" s="1"/>
  <c r="R251" i="20" s="1"/>
  <c r="R252" i="20" s="1"/>
  <c r="R253" i="20" s="1"/>
  <c r="R254" i="20" s="1"/>
  <c r="R255" i="20" s="1"/>
  <c r="R256" i="20" s="1"/>
  <c r="R257" i="20" s="1"/>
  <c r="R258" i="20" s="1"/>
  <c r="R259" i="20" s="1"/>
  <c r="R260" i="20" s="1"/>
  <c r="R261" i="20" s="1"/>
  <c r="R262" i="20" s="1"/>
  <c r="R263" i="20" s="1"/>
  <c r="R264" i="20" s="1"/>
  <c r="R265" i="20" s="1"/>
  <c r="R266" i="20" s="1"/>
  <c r="R267" i="20" s="1"/>
  <c r="R268" i="20" s="1"/>
  <c r="R269" i="20" s="1"/>
  <c r="R270" i="20" s="1"/>
  <c r="R271" i="20" s="1"/>
  <c r="R272" i="20" s="1"/>
  <c r="R273" i="20" s="1"/>
  <c r="R274" i="20" s="1"/>
  <c r="R275" i="20" s="1"/>
  <c r="R276" i="20" s="1"/>
  <c r="R277" i="20" s="1"/>
  <c r="R278" i="20" s="1"/>
  <c r="R279" i="20" s="1"/>
  <c r="R280" i="20" s="1"/>
  <c r="R281" i="20" s="1"/>
  <c r="R282" i="20" s="1"/>
  <c r="R283" i="20" s="1"/>
  <c r="R284" i="20" s="1"/>
  <c r="R285" i="20" s="1"/>
  <c r="R286" i="20" s="1"/>
  <c r="R287" i="20" s="1"/>
  <c r="R288" i="20" s="1"/>
  <c r="R289" i="20" s="1"/>
  <c r="R290" i="20" s="1"/>
  <c r="R291" i="20" s="1"/>
  <c r="R292" i="20" s="1"/>
  <c r="R293" i="20" s="1"/>
  <c r="R294" i="20" s="1"/>
  <c r="R295" i="20" s="1"/>
  <c r="R296" i="20" s="1"/>
  <c r="R297" i="20" s="1"/>
  <c r="R298" i="20" s="1"/>
  <c r="R299" i="20" s="1"/>
  <c r="R300" i="20" s="1"/>
  <c r="S1086" i="8" l="1"/>
  <c r="S1087" i="8" s="1"/>
  <c r="AA95" i="19"/>
  <c r="X95" i="19"/>
  <c r="Q95" i="19"/>
  <c r="P95" i="19"/>
  <c r="M95" i="19"/>
  <c r="B95" i="19"/>
  <c r="S1088" i="8" l="1"/>
  <c r="S1089" i="8" s="1"/>
  <c r="S1090" i="8" s="1"/>
  <c r="S1091" i="8" s="1"/>
  <c r="S1092" i="8" s="1"/>
  <c r="S1093" i="8" s="1"/>
  <c r="S1094" i="8" s="1"/>
  <c r="S1095" i="8" s="1"/>
  <c r="S1096" i="8" s="1"/>
  <c r="S1097" i="8" s="1"/>
  <c r="S1098" i="8" s="1"/>
  <c r="B96" i="19"/>
  <c r="B97" i="19"/>
  <c r="B98" i="19"/>
  <c r="M96" i="19"/>
  <c r="M97" i="19"/>
  <c r="M98" i="19"/>
  <c r="P96" i="19"/>
  <c r="P97" i="19"/>
  <c r="P98" i="19"/>
  <c r="Q96" i="19"/>
  <c r="Q97" i="19"/>
  <c r="Q98" i="19"/>
  <c r="X96" i="19"/>
  <c r="X97" i="19"/>
  <c r="X98" i="19"/>
  <c r="AA96" i="19"/>
  <c r="AA97" i="19"/>
  <c r="AA98" i="19"/>
  <c r="B87" i="19"/>
  <c r="B88" i="19"/>
  <c r="B89" i="19"/>
  <c r="B90" i="19"/>
  <c r="B91" i="19"/>
  <c r="B92" i="19"/>
  <c r="B93" i="19"/>
  <c r="B94" i="19"/>
  <c r="M87" i="19"/>
  <c r="M88" i="19"/>
  <c r="M89" i="19"/>
  <c r="M90" i="19"/>
  <c r="M91" i="19"/>
  <c r="M92" i="19"/>
  <c r="M93" i="19"/>
  <c r="M94" i="19"/>
  <c r="P87" i="19"/>
  <c r="P88" i="19"/>
  <c r="P89" i="19"/>
  <c r="P90" i="19"/>
  <c r="P91" i="19"/>
  <c r="P92" i="19"/>
  <c r="P93" i="19"/>
  <c r="P94" i="19"/>
  <c r="Q87" i="19"/>
  <c r="Q88" i="19"/>
  <c r="Q89" i="19"/>
  <c r="Q90" i="19"/>
  <c r="Q91" i="19"/>
  <c r="Q92" i="19"/>
  <c r="Q93" i="19"/>
  <c r="Q94" i="19"/>
  <c r="X87" i="19"/>
  <c r="X88" i="19"/>
  <c r="X89" i="19"/>
  <c r="X90" i="19"/>
  <c r="X91" i="19"/>
  <c r="X92" i="19"/>
  <c r="X93" i="19"/>
  <c r="X94" i="19"/>
  <c r="AA87" i="19"/>
  <c r="AA88" i="19"/>
  <c r="AA89" i="19"/>
  <c r="AA90" i="19"/>
  <c r="AA91" i="19"/>
  <c r="AA92" i="19"/>
  <c r="AA93" i="19"/>
  <c r="AA94" i="19"/>
  <c r="X2" i="19"/>
  <c r="X3" i="19"/>
  <c r="X4" i="19"/>
  <c r="X5" i="19"/>
  <c r="X6" i="19"/>
  <c r="X7" i="19"/>
  <c r="X8" i="19"/>
  <c r="X9" i="19"/>
  <c r="X10" i="19"/>
  <c r="X11" i="19"/>
  <c r="X12" i="19"/>
  <c r="X13" i="19"/>
  <c r="X14" i="19"/>
  <c r="X15" i="19"/>
  <c r="X16" i="19"/>
  <c r="X17" i="19"/>
  <c r="X18" i="19"/>
  <c r="X19" i="19"/>
  <c r="X20" i="19"/>
  <c r="X21" i="19"/>
  <c r="X22" i="19"/>
  <c r="X23" i="19"/>
  <c r="X24" i="19"/>
  <c r="X25" i="19"/>
  <c r="X26" i="19"/>
  <c r="X27" i="19"/>
  <c r="X28" i="19"/>
  <c r="X29" i="19"/>
  <c r="X30" i="19"/>
  <c r="X31" i="19"/>
  <c r="X32" i="19"/>
  <c r="X33" i="19"/>
  <c r="X34" i="19"/>
  <c r="X35" i="19"/>
  <c r="X36" i="19"/>
  <c r="X37" i="19"/>
  <c r="X38" i="19"/>
  <c r="X39" i="19"/>
  <c r="X40" i="19"/>
  <c r="X41" i="19"/>
  <c r="X42" i="19"/>
  <c r="X43" i="19"/>
  <c r="X44" i="19"/>
  <c r="X45" i="19"/>
  <c r="X46" i="19"/>
  <c r="X47" i="19"/>
  <c r="X48" i="19"/>
  <c r="X49" i="19"/>
  <c r="X50" i="19"/>
  <c r="X51" i="19"/>
  <c r="X52" i="19"/>
  <c r="X53" i="19"/>
  <c r="X54" i="19"/>
  <c r="X55" i="19"/>
  <c r="X56" i="19"/>
  <c r="X57" i="19"/>
  <c r="X58" i="19"/>
  <c r="X59" i="19"/>
  <c r="X60" i="19"/>
  <c r="X61" i="19"/>
  <c r="X62" i="19"/>
  <c r="X63" i="19"/>
  <c r="X64" i="19"/>
  <c r="X65" i="19"/>
  <c r="X66" i="19"/>
  <c r="X67" i="19"/>
  <c r="X68" i="19"/>
  <c r="X69" i="19"/>
  <c r="X70" i="19"/>
  <c r="X71" i="19"/>
  <c r="X72" i="19"/>
  <c r="X73" i="19"/>
  <c r="X74" i="19"/>
  <c r="X75" i="19"/>
  <c r="X76" i="19"/>
  <c r="X77" i="19"/>
  <c r="X78" i="19"/>
  <c r="X79" i="19"/>
  <c r="X80" i="19"/>
  <c r="X81" i="19"/>
  <c r="X82" i="19"/>
  <c r="X83" i="19"/>
  <c r="X84" i="19"/>
  <c r="X85" i="19"/>
  <c r="X86" i="19"/>
  <c r="B3" i="19"/>
  <c r="B4" i="19"/>
  <c r="B5" i="19"/>
  <c r="B6" i="19"/>
  <c r="B7" i="19"/>
  <c r="B8" i="19"/>
  <c r="B9" i="19"/>
  <c r="B10" i="19"/>
  <c r="B11" i="19"/>
  <c r="B12" i="19"/>
  <c r="B13" i="19"/>
  <c r="B14" i="19"/>
  <c r="B15" i="19"/>
  <c r="B16" i="19"/>
  <c r="B17" i="19"/>
  <c r="B18" i="19"/>
  <c r="B19" i="19"/>
  <c r="B20" i="19"/>
  <c r="B21" i="19"/>
  <c r="B22" i="19"/>
  <c r="B23" i="19"/>
  <c r="B24" i="19"/>
  <c r="B25" i="19"/>
  <c r="B26" i="19"/>
  <c r="B27" i="19"/>
  <c r="B28" i="19"/>
  <c r="B29" i="19"/>
  <c r="B30" i="19"/>
  <c r="B31" i="19"/>
  <c r="B32" i="19"/>
  <c r="B33" i="19"/>
  <c r="B34" i="19"/>
  <c r="B35" i="19"/>
  <c r="B36" i="19"/>
  <c r="B37" i="19"/>
  <c r="B38" i="19"/>
  <c r="B39" i="19"/>
  <c r="B40" i="19"/>
  <c r="B41" i="19"/>
  <c r="B42" i="19"/>
  <c r="B43" i="19"/>
  <c r="B44" i="19"/>
  <c r="B45" i="19"/>
  <c r="B46" i="19"/>
  <c r="B47" i="19"/>
  <c r="B48" i="19"/>
  <c r="B49" i="19"/>
  <c r="B50" i="19"/>
  <c r="B51" i="19"/>
  <c r="B52" i="19"/>
  <c r="B53" i="19"/>
  <c r="B54" i="19"/>
  <c r="B55" i="19"/>
  <c r="B56" i="19"/>
  <c r="B57" i="19"/>
  <c r="B58" i="19"/>
  <c r="B59" i="19"/>
  <c r="B60" i="19"/>
  <c r="B61" i="19"/>
  <c r="B62" i="19"/>
  <c r="B63" i="19"/>
  <c r="B64" i="19"/>
  <c r="B65" i="19"/>
  <c r="B66" i="19"/>
  <c r="B67" i="19"/>
  <c r="B68" i="19"/>
  <c r="B69" i="19"/>
  <c r="B70" i="19"/>
  <c r="B71" i="19"/>
  <c r="B72" i="19"/>
  <c r="B73" i="19"/>
  <c r="B74" i="19"/>
  <c r="B75" i="19"/>
  <c r="B76" i="19"/>
  <c r="B77" i="19"/>
  <c r="B78" i="19"/>
  <c r="B79" i="19"/>
  <c r="B80" i="19"/>
  <c r="B81" i="19"/>
  <c r="B82" i="19"/>
  <c r="B83" i="19"/>
  <c r="B84" i="19"/>
  <c r="B85" i="19"/>
  <c r="B86" i="19"/>
  <c r="M3" i="19"/>
  <c r="M4" i="19"/>
  <c r="M5" i="19"/>
  <c r="M6" i="19"/>
  <c r="M7" i="19"/>
  <c r="M8" i="19"/>
  <c r="M9" i="19"/>
  <c r="M10" i="19"/>
  <c r="M11" i="19"/>
  <c r="M12" i="19"/>
  <c r="M13" i="19"/>
  <c r="M14" i="19"/>
  <c r="M15" i="19"/>
  <c r="M16" i="19"/>
  <c r="M17" i="19"/>
  <c r="M18" i="19"/>
  <c r="M19" i="19"/>
  <c r="M20" i="19"/>
  <c r="M21" i="19"/>
  <c r="M22" i="19"/>
  <c r="M23" i="19"/>
  <c r="M24" i="19"/>
  <c r="M25" i="19"/>
  <c r="M26" i="19"/>
  <c r="M27" i="19"/>
  <c r="M28" i="19"/>
  <c r="M29" i="19"/>
  <c r="M30" i="19"/>
  <c r="M31" i="19"/>
  <c r="M32" i="19"/>
  <c r="M33" i="19"/>
  <c r="M34" i="19"/>
  <c r="M35" i="19"/>
  <c r="M36" i="19"/>
  <c r="M37" i="19"/>
  <c r="M38" i="19"/>
  <c r="M39" i="19"/>
  <c r="M40" i="19"/>
  <c r="M41" i="19"/>
  <c r="M42" i="19"/>
  <c r="M43" i="19"/>
  <c r="M44" i="19"/>
  <c r="M45" i="19"/>
  <c r="M46" i="19"/>
  <c r="M47" i="19"/>
  <c r="M48" i="19"/>
  <c r="M49" i="19"/>
  <c r="M50" i="19"/>
  <c r="M51" i="19"/>
  <c r="M52" i="19"/>
  <c r="M53" i="19"/>
  <c r="M54" i="19"/>
  <c r="M55" i="19"/>
  <c r="M56" i="19"/>
  <c r="M57" i="19"/>
  <c r="M58" i="19"/>
  <c r="M59" i="19"/>
  <c r="M60" i="19"/>
  <c r="M61" i="19"/>
  <c r="M62" i="19"/>
  <c r="M63" i="19"/>
  <c r="M64" i="19"/>
  <c r="M65" i="19"/>
  <c r="M66" i="19"/>
  <c r="M67" i="19"/>
  <c r="M68" i="19"/>
  <c r="M69" i="19"/>
  <c r="M70" i="19"/>
  <c r="M71" i="19"/>
  <c r="M72" i="19"/>
  <c r="M73" i="19"/>
  <c r="M74" i="19"/>
  <c r="M75" i="19"/>
  <c r="M76" i="19"/>
  <c r="M77" i="19"/>
  <c r="M78" i="19"/>
  <c r="M79" i="19"/>
  <c r="M80" i="19"/>
  <c r="M81" i="19"/>
  <c r="M82" i="19"/>
  <c r="M83" i="19"/>
  <c r="M84" i="19"/>
  <c r="M85" i="19"/>
  <c r="M86" i="19"/>
  <c r="P3" i="19"/>
  <c r="P4" i="19"/>
  <c r="P5" i="19"/>
  <c r="P6" i="19"/>
  <c r="P7" i="19"/>
  <c r="P8" i="19"/>
  <c r="P9" i="19"/>
  <c r="P10" i="19"/>
  <c r="P11" i="19"/>
  <c r="P12" i="19"/>
  <c r="P13" i="19"/>
  <c r="P14" i="19"/>
  <c r="P15" i="19"/>
  <c r="P16" i="19"/>
  <c r="P17" i="19"/>
  <c r="P18" i="19"/>
  <c r="P19" i="19"/>
  <c r="P20" i="19"/>
  <c r="P21" i="19"/>
  <c r="P22" i="19"/>
  <c r="P23" i="19"/>
  <c r="P24" i="19"/>
  <c r="P25" i="19"/>
  <c r="P26" i="19"/>
  <c r="P27" i="19"/>
  <c r="P28" i="19"/>
  <c r="P29" i="19"/>
  <c r="P30" i="19"/>
  <c r="P31" i="19"/>
  <c r="P32" i="19"/>
  <c r="P33" i="19"/>
  <c r="P34" i="19"/>
  <c r="P35" i="19"/>
  <c r="P36" i="19"/>
  <c r="P37" i="19"/>
  <c r="P38" i="19"/>
  <c r="P39" i="19"/>
  <c r="P40" i="19"/>
  <c r="P41" i="19"/>
  <c r="P42" i="19"/>
  <c r="P43" i="19"/>
  <c r="P44" i="19"/>
  <c r="P45" i="19"/>
  <c r="P46" i="19"/>
  <c r="P47" i="19"/>
  <c r="P48" i="19"/>
  <c r="P49" i="19"/>
  <c r="P50" i="19"/>
  <c r="P51" i="19"/>
  <c r="P52" i="19"/>
  <c r="P53" i="19"/>
  <c r="P54" i="19"/>
  <c r="P55" i="19"/>
  <c r="P56" i="19"/>
  <c r="P57" i="19"/>
  <c r="P58" i="19"/>
  <c r="P59" i="19"/>
  <c r="P60" i="19"/>
  <c r="P61" i="19"/>
  <c r="P62" i="19"/>
  <c r="P63" i="19"/>
  <c r="P64" i="19"/>
  <c r="P65" i="19"/>
  <c r="P66" i="19"/>
  <c r="P67" i="19"/>
  <c r="P68" i="19"/>
  <c r="P69" i="19"/>
  <c r="P70" i="19"/>
  <c r="P71" i="19"/>
  <c r="P72" i="19"/>
  <c r="P73" i="19"/>
  <c r="P74" i="19"/>
  <c r="P75" i="19"/>
  <c r="P76" i="19"/>
  <c r="P77" i="19"/>
  <c r="P78" i="19"/>
  <c r="P79" i="19"/>
  <c r="P80" i="19"/>
  <c r="P81" i="19"/>
  <c r="P82" i="19"/>
  <c r="P83" i="19"/>
  <c r="P84" i="19"/>
  <c r="P85" i="19"/>
  <c r="P86" i="19"/>
  <c r="Q3" i="19"/>
  <c r="Q4" i="19"/>
  <c r="Q5" i="19"/>
  <c r="Q6" i="19"/>
  <c r="Q7" i="19"/>
  <c r="Q8" i="19"/>
  <c r="Q9" i="19"/>
  <c r="Q10" i="19"/>
  <c r="Q11" i="19"/>
  <c r="Q12" i="19"/>
  <c r="Q13" i="19"/>
  <c r="Q14" i="19"/>
  <c r="Q15" i="19"/>
  <c r="Q16" i="19"/>
  <c r="Q17" i="19"/>
  <c r="Q18" i="19"/>
  <c r="Q19" i="19"/>
  <c r="Q20" i="19"/>
  <c r="Q21" i="19"/>
  <c r="Q22" i="19"/>
  <c r="Q23" i="19"/>
  <c r="Q24" i="19"/>
  <c r="Q25" i="19"/>
  <c r="Q26" i="19"/>
  <c r="Q27" i="19"/>
  <c r="Q28" i="19"/>
  <c r="Q29" i="19"/>
  <c r="Q30" i="19"/>
  <c r="Q31" i="19"/>
  <c r="Q32" i="19"/>
  <c r="Q33" i="19"/>
  <c r="Q34" i="19"/>
  <c r="Q35" i="19"/>
  <c r="Q36" i="19"/>
  <c r="Q37" i="19"/>
  <c r="Q38" i="19"/>
  <c r="Q39" i="19"/>
  <c r="Q40" i="19"/>
  <c r="Q41" i="19"/>
  <c r="Q42" i="19"/>
  <c r="Q43" i="19"/>
  <c r="Q44" i="19"/>
  <c r="Q45" i="19"/>
  <c r="Q46" i="19"/>
  <c r="Q47" i="19"/>
  <c r="Q48" i="19"/>
  <c r="Q49" i="19"/>
  <c r="Q50" i="19"/>
  <c r="Q51" i="19"/>
  <c r="Q52" i="19"/>
  <c r="Q53" i="19"/>
  <c r="Q54" i="19"/>
  <c r="Q55" i="19"/>
  <c r="Q56" i="19"/>
  <c r="Q57" i="19"/>
  <c r="Q58" i="19"/>
  <c r="Q59" i="19"/>
  <c r="Q60" i="19"/>
  <c r="Q61" i="19"/>
  <c r="Q62" i="19"/>
  <c r="Q63" i="19"/>
  <c r="Q64" i="19"/>
  <c r="Q65" i="19"/>
  <c r="Q66" i="19"/>
  <c r="Q67" i="19"/>
  <c r="Q68" i="19"/>
  <c r="Q69" i="19"/>
  <c r="Q70" i="19"/>
  <c r="Q71" i="19"/>
  <c r="Q72" i="19"/>
  <c r="Q73" i="19"/>
  <c r="Q74" i="19"/>
  <c r="Q75" i="19"/>
  <c r="Q76" i="19"/>
  <c r="Q77" i="19"/>
  <c r="Q78" i="19"/>
  <c r="Q79" i="19"/>
  <c r="Q80" i="19"/>
  <c r="Q81" i="19"/>
  <c r="Q82" i="19"/>
  <c r="Q83" i="19"/>
  <c r="Q84" i="19"/>
  <c r="Q85" i="19"/>
  <c r="Q86" i="19"/>
  <c r="AA3" i="19"/>
  <c r="AA4" i="19"/>
  <c r="AA5" i="19"/>
  <c r="AA6" i="19"/>
  <c r="AA7" i="19"/>
  <c r="AA8" i="19"/>
  <c r="AA9" i="19"/>
  <c r="AA10" i="19"/>
  <c r="AA11" i="19"/>
  <c r="AA12" i="19"/>
  <c r="AA13" i="19"/>
  <c r="AA14" i="19"/>
  <c r="AA15" i="19"/>
  <c r="AA16" i="19"/>
  <c r="AA17" i="19"/>
  <c r="AA18" i="19"/>
  <c r="AA19" i="19"/>
  <c r="AA20" i="19"/>
  <c r="AA21" i="19"/>
  <c r="AA22" i="19"/>
  <c r="AA23" i="19"/>
  <c r="AA24" i="19"/>
  <c r="AA25" i="19"/>
  <c r="AA26" i="19"/>
  <c r="AA27" i="19"/>
  <c r="AA28" i="19"/>
  <c r="AA29" i="19"/>
  <c r="AA30" i="19"/>
  <c r="AA31" i="19"/>
  <c r="AA32" i="19"/>
  <c r="AA33" i="19"/>
  <c r="AA34" i="19"/>
  <c r="AA35" i="19"/>
  <c r="AA36" i="19"/>
  <c r="AA37" i="19"/>
  <c r="AA38" i="19"/>
  <c r="AA39" i="19"/>
  <c r="AA40" i="19"/>
  <c r="AA41" i="19"/>
  <c r="AA42" i="19"/>
  <c r="AA43" i="19"/>
  <c r="AA44" i="19"/>
  <c r="AA45" i="19"/>
  <c r="AA46" i="19"/>
  <c r="AA47" i="19"/>
  <c r="AA48" i="19"/>
  <c r="AA49" i="19"/>
  <c r="AA50" i="19"/>
  <c r="AA51" i="19"/>
  <c r="AA52" i="19"/>
  <c r="AA53" i="19"/>
  <c r="AA54" i="19"/>
  <c r="AA55" i="19"/>
  <c r="AA56" i="19"/>
  <c r="AA57" i="19"/>
  <c r="AA58" i="19"/>
  <c r="AA59" i="19"/>
  <c r="AA60" i="19"/>
  <c r="AA61" i="19"/>
  <c r="AA62" i="19"/>
  <c r="AA63" i="19"/>
  <c r="AA64" i="19"/>
  <c r="AA65" i="19"/>
  <c r="AA66" i="19"/>
  <c r="AA67" i="19"/>
  <c r="AA68" i="19"/>
  <c r="AA69" i="19"/>
  <c r="AA70" i="19"/>
  <c r="AA71" i="19"/>
  <c r="AA72" i="19"/>
  <c r="AA73" i="19"/>
  <c r="AA74" i="19"/>
  <c r="AA75" i="19"/>
  <c r="AA76" i="19"/>
  <c r="AA77" i="19"/>
  <c r="AA78" i="19"/>
  <c r="AA79" i="19"/>
  <c r="AA80" i="19"/>
  <c r="AA81" i="19"/>
  <c r="AA82" i="19"/>
  <c r="AA83" i="19"/>
  <c r="AA84" i="19"/>
  <c r="AA85" i="19"/>
  <c r="AA86" i="19"/>
  <c r="B2" i="19"/>
  <c r="AA2" i="19"/>
  <c r="Q2" i="19"/>
  <c r="P2" i="19"/>
  <c r="R2" i="19" s="1"/>
  <c r="M2" i="19"/>
  <c r="S1099" i="8" l="1"/>
  <c r="S1100" i="8" s="1"/>
  <c r="S1101" i="8" s="1"/>
  <c r="S1102" i="8" s="1"/>
  <c r="S1103" i="8" s="1"/>
  <c r="S1104" i="8" s="1"/>
  <c r="S1105" i="8" s="1"/>
  <c r="S1106" i="8" s="1"/>
  <c r="S1107" i="8" s="1"/>
  <c r="S1108" i="8" s="1"/>
  <c r="S1109" i="8" s="1"/>
  <c r="S1110" i="8" s="1"/>
  <c r="R3" i="19"/>
  <c r="R4" i="19" s="1"/>
  <c r="R5" i="19" s="1"/>
  <c r="R6" i="19" s="1"/>
  <c r="R7" i="19" s="1"/>
  <c r="R8" i="19" s="1"/>
  <c r="R9" i="19" s="1"/>
  <c r="R10" i="19" s="1"/>
  <c r="R11" i="19" s="1"/>
  <c r="R12" i="19" s="1"/>
  <c r="R13" i="19" s="1"/>
  <c r="R14" i="19" s="1"/>
  <c r="R15" i="19" s="1"/>
  <c r="R16" i="19" s="1"/>
  <c r="R17" i="19" s="1"/>
  <c r="R18" i="19" s="1"/>
  <c r="R19" i="19" s="1"/>
  <c r="R20" i="19" s="1"/>
  <c r="R21" i="19" s="1"/>
  <c r="R22" i="19" s="1"/>
  <c r="R23" i="19" s="1"/>
  <c r="R24" i="19" s="1"/>
  <c r="R25" i="19" s="1"/>
  <c r="R26" i="19" s="1"/>
  <c r="R27" i="19" s="1"/>
  <c r="R28" i="19" s="1"/>
  <c r="R29" i="19" s="1"/>
  <c r="R30" i="19" s="1"/>
  <c r="R31" i="19" s="1"/>
  <c r="R32" i="19" s="1"/>
  <c r="R33" i="19" s="1"/>
  <c r="R34" i="19" s="1"/>
  <c r="R35" i="19" s="1"/>
  <c r="R36" i="19" s="1"/>
  <c r="R37" i="19" s="1"/>
  <c r="R38" i="19" s="1"/>
  <c r="R39" i="19" s="1"/>
  <c r="R40" i="19" s="1"/>
  <c r="R41" i="19" s="1"/>
  <c r="R42" i="19" s="1"/>
  <c r="R43" i="19" s="1"/>
  <c r="R44" i="19" s="1"/>
  <c r="R45" i="19" s="1"/>
  <c r="R46" i="19" s="1"/>
  <c r="R47" i="19" s="1"/>
  <c r="R48" i="19" s="1"/>
  <c r="R49" i="19" s="1"/>
  <c r="R50" i="19" s="1"/>
  <c r="R51" i="19" s="1"/>
  <c r="R52" i="19" s="1"/>
  <c r="R53" i="19" s="1"/>
  <c r="R54" i="19" s="1"/>
  <c r="R55" i="19" s="1"/>
  <c r="R56" i="19" s="1"/>
  <c r="R57" i="19" s="1"/>
  <c r="R58" i="19" s="1"/>
  <c r="R59" i="19" s="1"/>
  <c r="R60" i="19" s="1"/>
  <c r="R61" i="19" s="1"/>
  <c r="R62" i="19" s="1"/>
  <c r="R63" i="19" s="1"/>
  <c r="R64" i="19" s="1"/>
  <c r="R65" i="19" s="1"/>
  <c r="R66" i="19" s="1"/>
  <c r="R67" i="19" s="1"/>
  <c r="R68" i="19" s="1"/>
  <c r="R69" i="19" s="1"/>
  <c r="R70" i="19" s="1"/>
  <c r="R71" i="19" s="1"/>
  <c r="R72" i="19" s="1"/>
  <c r="R73" i="19" s="1"/>
  <c r="R74" i="19" s="1"/>
  <c r="R75" i="19" s="1"/>
  <c r="R76" i="19" s="1"/>
  <c r="R77" i="19" s="1"/>
  <c r="R78" i="19" s="1"/>
  <c r="R79" i="19" s="1"/>
  <c r="R80" i="19" s="1"/>
  <c r="R81" i="19" s="1"/>
  <c r="R82" i="19" s="1"/>
  <c r="R83" i="19" s="1"/>
  <c r="R84" i="19" s="1"/>
  <c r="R85" i="19" s="1"/>
  <c r="R86" i="19" s="1"/>
  <c r="R87" i="19" s="1"/>
  <c r="R88" i="19" s="1"/>
  <c r="R89" i="19" s="1"/>
  <c r="R90" i="19" s="1"/>
  <c r="R91" i="19" s="1"/>
  <c r="R92" i="19" s="1"/>
  <c r="R93" i="19" s="1"/>
  <c r="R94" i="19" s="1"/>
  <c r="R95" i="19" s="1"/>
  <c r="R96" i="19" s="1"/>
  <c r="R97" i="19" s="1"/>
  <c r="R98" i="19" s="1"/>
  <c r="R99" i="19" s="1"/>
  <c r="R100" i="19" s="1"/>
  <c r="R101" i="19" s="1"/>
  <c r="R102" i="19" s="1"/>
  <c r="R103" i="19" s="1"/>
  <c r="R104" i="19" s="1"/>
  <c r="R105" i="19" s="1"/>
  <c r="R106" i="19" s="1"/>
  <c r="R107" i="19" s="1"/>
  <c r="R108" i="19" s="1"/>
  <c r="R109" i="19" s="1"/>
  <c r="R110" i="19" s="1"/>
  <c r="R111" i="19" s="1"/>
  <c r="R112" i="19" s="1"/>
  <c r="R113" i="19" s="1"/>
  <c r="R114" i="19" s="1"/>
  <c r="R115" i="19" s="1"/>
  <c r="R116" i="19" s="1"/>
  <c r="R117" i="19" s="1"/>
  <c r="R118" i="19" s="1"/>
  <c r="R119" i="19" s="1"/>
  <c r="R120" i="19" s="1"/>
  <c r="R121" i="19" s="1"/>
  <c r="R122" i="19" s="1"/>
  <c r="R123" i="19" s="1"/>
  <c r="R124" i="19" s="1"/>
  <c r="R125" i="19" s="1"/>
  <c r="R126" i="19" s="1"/>
  <c r="R127" i="19" s="1"/>
  <c r="R128" i="19" s="1"/>
  <c r="R129" i="19" s="1"/>
  <c r="AA361" i="18"/>
  <c r="X361" i="18"/>
  <c r="Q361" i="18"/>
  <c r="M361" i="18"/>
  <c r="B361" i="18"/>
  <c r="X2" i="18"/>
  <c r="X3" i="18"/>
  <c r="X4" i="18"/>
  <c r="X5" i="18"/>
  <c r="X6" i="18"/>
  <c r="X7" i="18"/>
  <c r="X8" i="18"/>
  <c r="X9" i="18"/>
  <c r="X10" i="18"/>
  <c r="X11" i="18"/>
  <c r="X12" i="18"/>
  <c r="X13" i="18"/>
  <c r="X14" i="18"/>
  <c r="X15" i="18"/>
  <c r="X16" i="18"/>
  <c r="X17" i="18"/>
  <c r="X18" i="18"/>
  <c r="X19" i="18"/>
  <c r="X20" i="18"/>
  <c r="X21" i="18"/>
  <c r="X22" i="18"/>
  <c r="X23" i="18"/>
  <c r="X24" i="18"/>
  <c r="X25" i="18"/>
  <c r="X26" i="18"/>
  <c r="X27" i="18"/>
  <c r="X28" i="18"/>
  <c r="X29" i="18"/>
  <c r="X30" i="18"/>
  <c r="X31" i="18"/>
  <c r="X32" i="18"/>
  <c r="X33" i="18"/>
  <c r="X34" i="18"/>
  <c r="X35" i="18"/>
  <c r="X36" i="18"/>
  <c r="X37" i="18"/>
  <c r="X38" i="18"/>
  <c r="X39" i="18"/>
  <c r="X40" i="18"/>
  <c r="X41" i="18"/>
  <c r="X42" i="18"/>
  <c r="X43" i="18"/>
  <c r="X44" i="18"/>
  <c r="X45" i="18"/>
  <c r="X46" i="18"/>
  <c r="X47" i="18"/>
  <c r="X48" i="18"/>
  <c r="X49" i="18"/>
  <c r="X50" i="18"/>
  <c r="X51" i="18"/>
  <c r="X52" i="18"/>
  <c r="X53" i="18"/>
  <c r="X54" i="18"/>
  <c r="X55" i="18"/>
  <c r="X56" i="18"/>
  <c r="X57" i="18"/>
  <c r="X58" i="18"/>
  <c r="X59" i="18"/>
  <c r="X60" i="18"/>
  <c r="X61" i="18"/>
  <c r="X62" i="18"/>
  <c r="X63" i="18"/>
  <c r="X64" i="18"/>
  <c r="X65" i="18"/>
  <c r="X66" i="18"/>
  <c r="X67" i="18"/>
  <c r="X68" i="18"/>
  <c r="X69" i="18"/>
  <c r="X70" i="18"/>
  <c r="X71" i="18"/>
  <c r="X72" i="18"/>
  <c r="X73" i="18"/>
  <c r="X74" i="18"/>
  <c r="X75" i="18"/>
  <c r="X76" i="18"/>
  <c r="X77" i="18"/>
  <c r="X78" i="18"/>
  <c r="X79" i="18"/>
  <c r="X80" i="18"/>
  <c r="X81" i="18"/>
  <c r="X82" i="18"/>
  <c r="X83" i="18"/>
  <c r="X84" i="18"/>
  <c r="X85" i="18"/>
  <c r="X86" i="18"/>
  <c r="X87" i="18"/>
  <c r="X88" i="18"/>
  <c r="X89" i="18"/>
  <c r="X90" i="18"/>
  <c r="X91" i="18"/>
  <c r="X92" i="18"/>
  <c r="X93" i="18"/>
  <c r="X94" i="18"/>
  <c r="X95" i="18"/>
  <c r="X96" i="18"/>
  <c r="X97" i="18"/>
  <c r="X98" i="18"/>
  <c r="X99" i="18"/>
  <c r="X100" i="18"/>
  <c r="X101" i="18"/>
  <c r="X102" i="18"/>
  <c r="X103" i="18"/>
  <c r="X104" i="18"/>
  <c r="X105" i="18"/>
  <c r="X106" i="18"/>
  <c r="X107" i="18"/>
  <c r="X108" i="18"/>
  <c r="X109" i="18"/>
  <c r="X110" i="18"/>
  <c r="X111" i="18"/>
  <c r="X112" i="18"/>
  <c r="X113" i="18"/>
  <c r="X114" i="18"/>
  <c r="X115" i="18"/>
  <c r="X116" i="18"/>
  <c r="X117" i="18"/>
  <c r="X118" i="18"/>
  <c r="X119" i="18"/>
  <c r="X120" i="18"/>
  <c r="X121" i="18"/>
  <c r="X122" i="18"/>
  <c r="X123" i="18"/>
  <c r="X124" i="18"/>
  <c r="X125" i="18"/>
  <c r="X126" i="18"/>
  <c r="X127" i="18"/>
  <c r="X128" i="18"/>
  <c r="X129" i="18"/>
  <c r="X130" i="18"/>
  <c r="X131" i="18"/>
  <c r="X132" i="18"/>
  <c r="X133" i="18"/>
  <c r="X134" i="18"/>
  <c r="X135" i="18"/>
  <c r="X136" i="18"/>
  <c r="X137" i="18"/>
  <c r="X138" i="18"/>
  <c r="X139" i="18"/>
  <c r="X140" i="18"/>
  <c r="X141" i="18"/>
  <c r="X142" i="18"/>
  <c r="X143" i="18"/>
  <c r="X144" i="18"/>
  <c r="X145" i="18"/>
  <c r="X146" i="18"/>
  <c r="X147" i="18"/>
  <c r="X148" i="18"/>
  <c r="X149" i="18"/>
  <c r="X150" i="18"/>
  <c r="X151" i="18"/>
  <c r="X152" i="18"/>
  <c r="X153" i="18"/>
  <c r="X154" i="18"/>
  <c r="X155" i="18"/>
  <c r="X156" i="18"/>
  <c r="X157" i="18"/>
  <c r="X158" i="18"/>
  <c r="X159" i="18"/>
  <c r="X160" i="18"/>
  <c r="X161" i="18"/>
  <c r="X162" i="18"/>
  <c r="X163" i="18"/>
  <c r="X164" i="18"/>
  <c r="X165" i="18"/>
  <c r="X166" i="18"/>
  <c r="X167" i="18"/>
  <c r="X168" i="18"/>
  <c r="X169" i="18"/>
  <c r="X170" i="18"/>
  <c r="X171" i="18"/>
  <c r="X172" i="18"/>
  <c r="X173" i="18"/>
  <c r="X174" i="18"/>
  <c r="X175" i="18"/>
  <c r="X176" i="18"/>
  <c r="X177" i="18"/>
  <c r="X178" i="18"/>
  <c r="X179" i="18"/>
  <c r="X180" i="18"/>
  <c r="X181" i="18"/>
  <c r="X182" i="18"/>
  <c r="X183" i="18"/>
  <c r="X184" i="18"/>
  <c r="X185" i="18"/>
  <c r="X186" i="18"/>
  <c r="X187" i="18"/>
  <c r="X188" i="18"/>
  <c r="X189" i="18"/>
  <c r="X190" i="18"/>
  <c r="X191" i="18"/>
  <c r="X192" i="18"/>
  <c r="X193" i="18"/>
  <c r="X194" i="18"/>
  <c r="X195" i="18"/>
  <c r="X196" i="18"/>
  <c r="X197" i="18"/>
  <c r="X198" i="18"/>
  <c r="X199" i="18"/>
  <c r="X200" i="18"/>
  <c r="X201" i="18"/>
  <c r="X202" i="18"/>
  <c r="X203" i="18"/>
  <c r="X204" i="18"/>
  <c r="X205" i="18"/>
  <c r="X206" i="18"/>
  <c r="X207" i="18"/>
  <c r="X208" i="18"/>
  <c r="X209" i="18"/>
  <c r="X210" i="18"/>
  <c r="X211" i="18"/>
  <c r="X212" i="18"/>
  <c r="X213" i="18"/>
  <c r="X214" i="18"/>
  <c r="X215" i="18"/>
  <c r="X216" i="18"/>
  <c r="X217" i="18"/>
  <c r="X218" i="18"/>
  <c r="X219" i="18"/>
  <c r="X220" i="18"/>
  <c r="X221" i="18"/>
  <c r="X222" i="18"/>
  <c r="X223" i="18"/>
  <c r="X224" i="18"/>
  <c r="X225" i="18"/>
  <c r="X226" i="18"/>
  <c r="X227" i="18"/>
  <c r="X228" i="18"/>
  <c r="X229" i="18"/>
  <c r="X230" i="18"/>
  <c r="X231" i="18"/>
  <c r="X232" i="18"/>
  <c r="X233" i="18"/>
  <c r="X234" i="18"/>
  <c r="X235" i="18"/>
  <c r="X236" i="18"/>
  <c r="X237" i="18"/>
  <c r="X238" i="18"/>
  <c r="X239" i="18"/>
  <c r="X240" i="18"/>
  <c r="X241" i="18"/>
  <c r="X242" i="18"/>
  <c r="X243" i="18"/>
  <c r="X244" i="18"/>
  <c r="X245" i="18"/>
  <c r="X246" i="18"/>
  <c r="X247" i="18"/>
  <c r="X248" i="18"/>
  <c r="X249" i="18"/>
  <c r="X250" i="18"/>
  <c r="X251" i="18"/>
  <c r="X252" i="18"/>
  <c r="X253" i="18"/>
  <c r="X254" i="18"/>
  <c r="X255" i="18"/>
  <c r="X256" i="18"/>
  <c r="X257" i="18"/>
  <c r="X258" i="18"/>
  <c r="X259" i="18"/>
  <c r="X260" i="18"/>
  <c r="X261" i="18"/>
  <c r="X262" i="18"/>
  <c r="X263" i="18"/>
  <c r="X264" i="18"/>
  <c r="X265" i="18"/>
  <c r="X266" i="18"/>
  <c r="X267" i="18"/>
  <c r="X268" i="18"/>
  <c r="X269" i="18"/>
  <c r="X270" i="18"/>
  <c r="X271" i="18"/>
  <c r="X272" i="18"/>
  <c r="X273" i="18"/>
  <c r="X274" i="18"/>
  <c r="X275" i="18"/>
  <c r="X276" i="18"/>
  <c r="X277" i="18"/>
  <c r="X278" i="18"/>
  <c r="X279" i="18"/>
  <c r="X280" i="18"/>
  <c r="X281" i="18"/>
  <c r="X282" i="18"/>
  <c r="X283" i="18"/>
  <c r="X284" i="18"/>
  <c r="X285" i="18"/>
  <c r="X286" i="18"/>
  <c r="X287" i="18"/>
  <c r="X288" i="18"/>
  <c r="X289" i="18"/>
  <c r="X290" i="18"/>
  <c r="X291" i="18"/>
  <c r="X292" i="18"/>
  <c r="X293" i="18"/>
  <c r="X294" i="18"/>
  <c r="X295" i="18"/>
  <c r="X296" i="18"/>
  <c r="X297" i="18"/>
  <c r="X298" i="18"/>
  <c r="X299" i="18"/>
  <c r="X300" i="18"/>
  <c r="X301" i="18"/>
  <c r="X302" i="18"/>
  <c r="X303" i="18"/>
  <c r="X304" i="18"/>
  <c r="X305" i="18"/>
  <c r="X306" i="18"/>
  <c r="X307" i="18"/>
  <c r="X308" i="18"/>
  <c r="X309" i="18"/>
  <c r="X310" i="18"/>
  <c r="X311" i="18"/>
  <c r="X312" i="18"/>
  <c r="X313" i="18"/>
  <c r="X314" i="18"/>
  <c r="X315" i="18"/>
  <c r="X316" i="18"/>
  <c r="X317" i="18"/>
  <c r="X318" i="18"/>
  <c r="X319" i="18"/>
  <c r="X320" i="18"/>
  <c r="X321" i="18"/>
  <c r="X322" i="18"/>
  <c r="X323" i="18"/>
  <c r="X324" i="18"/>
  <c r="X325" i="18"/>
  <c r="X326" i="18"/>
  <c r="X327" i="18"/>
  <c r="X328" i="18"/>
  <c r="X329" i="18"/>
  <c r="X330" i="18"/>
  <c r="X331" i="18"/>
  <c r="X332" i="18"/>
  <c r="X333" i="18"/>
  <c r="X334" i="18"/>
  <c r="X335" i="18"/>
  <c r="X336" i="18"/>
  <c r="X337" i="18"/>
  <c r="X338" i="18"/>
  <c r="X339" i="18"/>
  <c r="X340" i="18"/>
  <c r="X341" i="18"/>
  <c r="X342" i="18"/>
  <c r="X343" i="18"/>
  <c r="X344" i="18"/>
  <c r="X345" i="18"/>
  <c r="X346" i="18"/>
  <c r="X347" i="18"/>
  <c r="X348" i="18"/>
  <c r="X349" i="18"/>
  <c r="X350" i="18"/>
  <c r="X351" i="18"/>
  <c r="X352" i="18"/>
  <c r="X353" i="18"/>
  <c r="X354" i="18"/>
  <c r="X355" i="18"/>
  <c r="X356" i="18"/>
  <c r="X357" i="18"/>
  <c r="X358" i="18"/>
  <c r="X359" i="18"/>
  <c r="X360" i="18"/>
  <c r="B358" i="18"/>
  <c r="B359" i="18"/>
  <c r="B360" i="18"/>
  <c r="M358" i="18"/>
  <c r="M359" i="18"/>
  <c r="M360" i="18"/>
  <c r="Q358" i="18"/>
  <c r="Q359" i="18"/>
  <c r="Q360" i="18"/>
  <c r="AA358" i="18"/>
  <c r="AA359" i="18"/>
  <c r="AA360" i="18"/>
  <c r="B356" i="18"/>
  <c r="B357" i="18"/>
  <c r="M356" i="18"/>
  <c r="M357" i="18"/>
  <c r="Q356" i="18"/>
  <c r="Q357" i="18"/>
  <c r="AA356" i="18"/>
  <c r="AA357" i="18"/>
  <c r="B355" i="18"/>
  <c r="M355" i="18"/>
  <c r="Q355" i="18"/>
  <c r="AA355" i="18"/>
  <c r="B353" i="18"/>
  <c r="B354" i="18"/>
  <c r="M353" i="18"/>
  <c r="M354" i="18"/>
  <c r="Q353" i="18"/>
  <c r="Q354" i="18"/>
  <c r="AA353" i="18"/>
  <c r="AA354" i="18"/>
  <c r="S1111" i="8" l="1"/>
  <c r="R130" i="19"/>
  <c r="R131" i="19" s="1"/>
  <c r="R132" i="19" s="1"/>
  <c r="R133" i="19" s="1"/>
  <c r="R134" i="19" s="1"/>
  <c r="R135" i="19" s="1"/>
  <c r="R136" i="19" s="1"/>
  <c r="R137" i="19" s="1"/>
  <c r="R138" i="19" s="1"/>
  <c r="R139" i="19" s="1"/>
  <c r="R140" i="19" s="1"/>
  <c r="R141" i="19" s="1"/>
  <c r="R142" i="19" s="1"/>
  <c r="R143" i="19" s="1"/>
  <c r="R144" i="19" s="1"/>
  <c r="R145" i="19" s="1"/>
  <c r="R146" i="19" s="1"/>
  <c r="R147" i="19" s="1"/>
  <c r="R148" i="19" s="1"/>
  <c r="R149" i="19" s="1"/>
  <c r="R150" i="19" s="1"/>
  <c r="R151" i="19" s="1"/>
  <c r="R152" i="19" s="1"/>
  <c r="R153" i="19" s="1"/>
  <c r="R154" i="19" s="1"/>
  <c r="R155" i="19" s="1"/>
  <c r="B3" i="18"/>
  <c r="B4" i="18"/>
  <c r="B5" i="18"/>
  <c r="B6" i="18"/>
  <c r="B7" i="18"/>
  <c r="B8" i="18"/>
  <c r="B9" i="18"/>
  <c r="B10" i="18"/>
  <c r="B11" i="18"/>
  <c r="B12" i="18"/>
  <c r="B13" i="18"/>
  <c r="B14" i="18"/>
  <c r="B15" i="18"/>
  <c r="B16" i="18"/>
  <c r="B17" i="18"/>
  <c r="B18" i="18"/>
  <c r="B19" i="18"/>
  <c r="B20" i="18"/>
  <c r="B21" i="18"/>
  <c r="B22" i="18"/>
  <c r="B23" i="18"/>
  <c r="B24" i="18"/>
  <c r="B25" i="18"/>
  <c r="B26" i="18"/>
  <c r="B27" i="18"/>
  <c r="B28" i="18"/>
  <c r="B29" i="18"/>
  <c r="B30" i="18"/>
  <c r="B31" i="18"/>
  <c r="B32" i="18"/>
  <c r="B33" i="18"/>
  <c r="B34" i="18"/>
  <c r="B35" i="18"/>
  <c r="B36" i="18"/>
  <c r="B37" i="18"/>
  <c r="B38" i="18"/>
  <c r="B39" i="18"/>
  <c r="B40" i="18"/>
  <c r="B41" i="18"/>
  <c r="B42" i="18"/>
  <c r="B43" i="18"/>
  <c r="B44" i="18"/>
  <c r="B45" i="18"/>
  <c r="B46" i="18"/>
  <c r="B47" i="18"/>
  <c r="B48" i="18"/>
  <c r="B49" i="18"/>
  <c r="B50" i="18"/>
  <c r="B51" i="18"/>
  <c r="B52" i="18"/>
  <c r="B53" i="18"/>
  <c r="B54" i="18"/>
  <c r="B55" i="18"/>
  <c r="B56" i="18"/>
  <c r="B57" i="18"/>
  <c r="B58" i="18"/>
  <c r="B59" i="18"/>
  <c r="B60" i="18"/>
  <c r="B61" i="18"/>
  <c r="B62" i="18"/>
  <c r="B63" i="18"/>
  <c r="B64" i="18"/>
  <c r="B65" i="18"/>
  <c r="B66" i="18"/>
  <c r="B67" i="18"/>
  <c r="B68" i="18"/>
  <c r="B69" i="18"/>
  <c r="B70" i="18"/>
  <c r="B71" i="18"/>
  <c r="B72" i="18"/>
  <c r="B73" i="18"/>
  <c r="B74" i="18"/>
  <c r="B75" i="18"/>
  <c r="B76" i="18"/>
  <c r="B77" i="18"/>
  <c r="B78" i="18"/>
  <c r="B79" i="18"/>
  <c r="B80" i="18"/>
  <c r="B81" i="18"/>
  <c r="B82" i="18"/>
  <c r="B83" i="18"/>
  <c r="B84" i="18"/>
  <c r="B85" i="18"/>
  <c r="B86" i="18"/>
  <c r="B87" i="18"/>
  <c r="B88" i="18"/>
  <c r="B89" i="18"/>
  <c r="B90" i="18"/>
  <c r="B91" i="18"/>
  <c r="B92" i="18"/>
  <c r="B93" i="18"/>
  <c r="B94" i="18"/>
  <c r="B95" i="18"/>
  <c r="B96" i="18"/>
  <c r="B97" i="18"/>
  <c r="B98" i="18"/>
  <c r="B99" i="18"/>
  <c r="B100" i="18"/>
  <c r="B101" i="18"/>
  <c r="B102" i="18"/>
  <c r="B103" i="18"/>
  <c r="B104" i="18"/>
  <c r="B105" i="18"/>
  <c r="B106" i="18"/>
  <c r="B107" i="18"/>
  <c r="B108" i="18"/>
  <c r="B109" i="18"/>
  <c r="B110" i="18"/>
  <c r="B111" i="18"/>
  <c r="B112" i="18"/>
  <c r="B113" i="18"/>
  <c r="B114" i="18"/>
  <c r="B115" i="18"/>
  <c r="B116" i="18"/>
  <c r="B117" i="18"/>
  <c r="B118" i="18"/>
  <c r="B119" i="18"/>
  <c r="B120" i="18"/>
  <c r="B121" i="18"/>
  <c r="B122" i="18"/>
  <c r="B123" i="18"/>
  <c r="B124" i="18"/>
  <c r="B125" i="18"/>
  <c r="B126" i="18"/>
  <c r="B127" i="18"/>
  <c r="B128" i="18"/>
  <c r="B129" i="18"/>
  <c r="B130" i="18"/>
  <c r="B131" i="18"/>
  <c r="B132" i="18"/>
  <c r="B133" i="18"/>
  <c r="B134" i="18"/>
  <c r="B135" i="18"/>
  <c r="B136" i="18"/>
  <c r="B137" i="18"/>
  <c r="B138" i="18"/>
  <c r="B139" i="18"/>
  <c r="B140" i="18"/>
  <c r="B141" i="18"/>
  <c r="B142" i="18"/>
  <c r="B143" i="18"/>
  <c r="B144" i="18"/>
  <c r="B145" i="18"/>
  <c r="B146" i="18"/>
  <c r="B147" i="18"/>
  <c r="B148" i="18"/>
  <c r="B149" i="18"/>
  <c r="B150" i="18"/>
  <c r="B151" i="18"/>
  <c r="B152" i="18"/>
  <c r="B153" i="18"/>
  <c r="B154" i="18"/>
  <c r="B155" i="18"/>
  <c r="B156" i="18"/>
  <c r="B157" i="18"/>
  <c r="B158" i="18"/>
  <c r="B159" i="18"/>
  <c r="B160" i="18"/>
  <c r="B161" i="18"/>
  <c r="B162" i="18"/>
  <c r="B163" i="18"/>
  <c r="B164" i="18"/>
  <c r="B165" i="18"/>
  <c r="B166" i="18"/>
  <c r="B167" i="18"/>
  <c r="B168" i="18"/>
  <c r="B169" i="18"/>
  <c r="B170" i="18"/>
  <c r="B171" i="18"/>
  <c r="B172" i="18"/>
  <c r="B173" i="18"/>
  <c r="B174" i="18"/>
  <c r="B175" i="18"/>
  <c r="B176" i="18"/>
  <c r="B177" i="18"/>
  <c r="B178" i="18"/>
  <c r="B179" i="18"/>
  <c r="B180" i="18"/>
  <c r="B181" i="18"/>
  <c r="B182" i="18"/>
  <c r="B183" i="18"/>
  <c r="B184" i="18"/>
  <c r="B185" i="18"/>
  <c r="B186" i="18"/>
  <c r="B187" i="18"/>
  <c r="B188" i="18"/>
  <c r="B189" i="18"/>
  <c r="B190" i="18"/>
  <c r="B191" i="18"/>
  <c r="B192" i="18"/>
  <c r="B193" i="18"/>
  <c r="B194" i="18"/>
  <c r="B195" i="18"/>
  <c r="B196" i="18"/>
  <c r="B197" i="18"/>
  <c r="B198" i="18"/>
  <c r="B199" i="18"/>
  <c r="B200" i="18"/>
  <c r="B201" i="18"/>
  <c r="B202" i="18"/>
  <c r="B203" i="18"/>
  <c r="B204" i="18"/>
  <c r="B205" i="18"/>
  <c r="B206" i="18"/>
  <c r="B207" i="18"/>
  <c r="B208" i="18"/>
  <c r="B209" i="18"/>
  <c r="B210" i="18"/>
  <c r="B211" i="18"/>
  <c r="B212" i="18"/>
  <c r="B213" i="18"/>
  <c r="B214" i="18"/>
  <c r="B215" i="18"/>
  <c r="B216" i="18"/>
  <c r="B217" i="18"/>
  <c r="B218" i="18"/>
  <c r="B219" i="18"/>
  <c r="B220" i="18"/>
  <c r="B221" i="18"/>
  <c r="B222" i="18"/>
  <c r="B223" i="18"/>
  <c r="B224" i="18"/>
  <c r="B225" i="18"/>
  <c r="B226" i="18"/>
  <c r="B227" i="18"/>
  <c r="B228" i="18"/>
  <c r="B229" i="18"/>
  <c r="B230" i="18"/>
  <c r="B231" i="18"/>
  <c r="B232" i="18"/>
  <c r="B233" i="18"/>
  <c r="B234" i="18"/>
  <c r="B235" i="18"/>
  <c r="B236" i="18"/>
  <c r="B237" i="18"/>
  <c r="B238" i="18"/>
  <c r="B239" i="18"/>
  <c r="B240" i="18"/>
  <c r="B241" i="18"/>
  <c r="B242" i="18"/>
  <c r="B243" i="18"/>
  <c r="B244" i="18"/>
  <c r="B245" i="18"/>
  <c r="B246" i="18"/>
  <c r="B247" i="18"/>
  <c r="B248" i="18"/>
  <c r="B249" i="18"/>
  <c r="B250" i="18"/>
  <c r="B251" i="18"/>
  <c r="B252" i="18"/>
  <c r="B253" i="18"/>
  <c r="B254" i="18"/>
  <c r="B255" i="18"/>
  <c r="B256" i="18"/>
  <c r="B257" i="18"/>
  <c r="B258" i="18"/>
  <c r="B259" i="18"/>
  <c r="B260" i="18"/>
  <c r="B261" i="18"/>
  <c r="B262" i="18"/>
  <c r="B263" i="18"/>
  <c r="B264" i="18"/>
  <c r="B265" i="18"/>
  <c r="B266" i="18"/>
  <c r="B267" i="18"/>
  <c r="B268" i="18"/>
  <c r="B269" i="18"/>
  <c r="B270" i="18"/>
  <c r="B271" i="18"/>
  <c r="B272" i="18"/>
  <c r="B273" i="18"/>
  <c r="B274" i="18"/>
  <c r="B275" i="18"/>
  <c r="B276" i="18"/>
  <c r="B277" i="18"/>
  <c r="B278" i="18"/>
  <c r="B279" i="18"/>
  <c r="B280" i="18"/>
  <c r="B281" i="18"/>
  <c r="B282" i="18"/>
  <c r="B283" i="18"/>
  <c r="B284" i="18"/>
  <c r="B285" i="18"/>
  <c r="B286" i="18"/>
  <c r="B287" i="18"/>
  <c r="B288" i="18"/>
  <c r="B289" i="18"/>
  <c r="B290" i="18"/>
  <c r="B291" i="18"/>
  <c r="B292" i="18"/>
  <c r="B293" i="18"/>
  <c r="B294" i="18"/>
  <c r="B295" i="18"/>
  <c r="B296" i="18"/>
  <c r="B297" i="18"/>
  <c r="B298" i="18"/>
  <c r="B299" i="18"/>
  <c r="B300" i="18"/>
  <c r="B301" i="18"/>
  <c r="B302" i="18"/>
  <c r="B303" i="18"/>
  <c r="B304" i="18"/>
  <c r="B305" i="18"/>
  <c r="B306" i="18"/>
  <c r="B307" i="18"/>
  <c r="B308" i="18"/>
  <c r="B309" i="18"/>
  <c r="B310" i="18"/>
  <c r="B311" i="18"/>
  <c r="B312" i="18"/>
  <c r="B313" i="18"/>
  <c r="B314" i="18"/>
  <c r="B315" i="18"/>
  <c r="B316" i="18"/>
  <c r="B317" i="18"/>
  <c r="B318" i="18"/>
  <c r="B319" i="18"/>
  <c r="B320" i="18"/>
  <c r="B321" i="18"/>
  <c r="B322" i="18"/>
  <c r="B323" i="18"/>
  <c r="B324" i="18"/>
  <c r="B325" i="18"/>
  <c r="B326" i="18"/>
  <c r="B327" i="18"/>
  <c r="B328" i="18"/>
  <c r="B329" i="18"/>
  <c r="B330" i="18"/>
  <c r="B331" i="18"/>
  <c r="B332" i="18"/>
  <c r="B333" i="18"/>
  <c r="B334" i="18"/>
  <c r="B335" i="18"/>
  <c r="B336" i="18"/>
  <c r="B337" i="18"/>
  <c r="B338" i="18"/>
  <c r="B339" i="18"/>
  <c r="B340" i="18"/>
  <c r="B341" i="18"/>
  <c r="B342" i="18"/>
  <c r="B343" i="18"/>
  <c r="B344" i="18"/>
  <c r="B345" i="18"/>
  <c r="B346" i="18"/>
  <c r="B347" i="18"/>
  <c r="B348" i="18"/>
  <c r="B349" i="18"/>
  <c r="B350" i="18"/>
  <c r="B351" i="18"/>
  <c r="B352" i="18"/>
  <c r="M3" i="18"/>
  <c r="M4" i="18"/>
  <c r="M5" i="18"/>
  <c r="M6" i="18"/>
  <c r="M7" i="18"/>
  <c r="M8" i="18"/>
  <c r="M9" i="18"/>
  <c r="M10" i="18"/>
  <c r="M11" i="18"/>
  <c r="M12" i="18"/>
  <c r="M13" i="18"/>
  <c r="M14" i="18"/>
  <c r="M15" i="18"/>
  <c r="M16" i="18"/>
  <c r="M17" i="18"/>
  <c r="M18" i="18"/>
  <c r="M19" i="18"/>
  <c r="M20" i="18"/>
  <c r="M21" i="18"/>
  <c r="M22" i="18"/>
  <c r="M23" i="18"/>
  <c r="M24" i="18"/>
  <c r="M25" i="18"/>
  <c r="M26" i="18"/>
  <c r="M27" i="18"/>
  <c r="M28" i="18"/>
  <c r="M29" i="18"/>
  <c r="M30" i="18"/>
  <c r="M31" i="18"/>
  <c r="M32" i="18"/>
  <c r="M33" i="18"/>
  <c r="M34" i="18"/>
  <c r="M35" i="18"/>
  <c r="M36" i="18"/>
  <c r="M37" i="18"/>
  <c r="M38" i="18"/>
  <c r="M39" i="18"/>
  <c r="M40" i="18"/>
  <c r="M41" i="18"/>
  <c r="M42" i="18"/>
  <c r="M43" i="18"/>
  <c r="M44" i="18"/>
  <c r="M45" i="18"/>
  <c r="M46" i="18"/>
  <c r="M47" i="18"/>
  <c r="M48" i="18"/>
  <c r="M49" i="18"/>
  <c r="M50" i="18"/>
  <c r="M51" i="18"/>
  <c r="M52" i="18"/>
  <c r="M53" i="18"/>
  <c r="M54" i="18"/>
  <c r="M55" i="18"/>
  <c r="M56" i="18"/>
  <c r="M57" i="18"/>
  <c r="M58" i="18"/>
  <c r="M59" i="18"/>
  <c r="M60" i="18"/>
  <c r="M61" i="18"/>
  <c r="M62" i="18"/>
  <c r="M63" i="18"/>
  <c r="M64" i="18"/>
  <c r="M65" i="18"/>
  <c r="M66" i="18"/>
  <c r="M67" i="18"/>
  <c r="M68" i="18"/>
  <c r="M69" i="18"/>
  <c r="M70" i="18"/>
  <c r="M71" i="18"/>
  <c r="M72" i="18"/>
  <c r="M73" i="18"/>
  <c r="M74" i="18"/>
  <c r="M75" i="18"/>
  <c r="M76" i="18"/>
  <c r="M77" i="18"/>
  <c r="M78" i="18"/>
  <c r="M79" i="18"/>
  <c r="M80" i="18"/>
  <c r="M81" i="18"/>
  <c r="M82" i="18"/>
  <c r="M83" i="18"/>
  <c r="M84" i="18"/>
  <c r="M85" i="18"/>
  <c r="M86" i="18"/>
  <c r="M87" i="18"/>
  <c r="M88" i="18"/>
  <c r="M89" i="18"/>
  <c r="M90" i="18"/>
  <c r="M91" i="18"/>
  <c r="M92" i="18"/>
  <c r="M93" i="18"/>
  <c r="M94" i="18"/>
  <c r="M95" i="18"/>
  <c r="M96" i="18"/>
  <c r="M97" i="18"/>
  <c r="M98" i="18"/>
  <c r="M99" i="18"/>
  <c r="M100" i="18"/>
  <c r="M101" i="18"/>
  <c r="M102" i="18"/>
  <c r="M103" i="18"/>
  <c r="M104" i="18"/>
  <c r="M105" i="18"/>
  <c r="M106" i="18"/>
  <c r="M107" i="18"/>
  <c r="M108" i="18"/>
  <c r="M109" i="18"/>
  <c r="M110" i="18"/>
  <c r="M111" i="18"/>
  <c r="M112" i="18"/>
  <c r="M113" i="18"/>
  <c r="M114" i="18"/>
  <c r="M115" i="18"/>
  <c r="M116" i="18"/>
  <c r="M117" i="18"/>
  <c r="M118" i="18"/>
  <c r="M119" i="18"/>
  <c r="M120" i="18"/>
  <c r="M121" i="18"/>
  <c r="M122" i="18"/>
  <c r="M123" i="18"/>
  <c r="M124" i="18"/>
  <c r="M125" i="18"/>
  <c r="M126" i="18"/>
  <c r="M127" i="18"/>
  <c r="M128" i="18"/>
  <c r="M129" i="18"/>
  <c r="M130" i="18"/>
  <c r="M131" i="18"/>
  <c r="M132" i="18"/>
  <c r="M133" i="18"/>
  <c r="M134" i="18"/>
  <c r="M135" i="18"/>
  <c r="M136" i="18"/>
  <c r="M137" i="18"/>
  <c r="M138" i="18"/>
  <c r="M139" i="18"/>
  <c r="M140" i="18"/>
  <c r="M141" i="18"/>
  <c r="M142" i="18"/>
  <c r="M143" i="18"/>
  <c r="M144" i="18"/>
  <c r="M145" i="18"/>
  <c r="M146" i="18"/>
  <c r="M147" i="18"/>
  <c r="M148" i="18"/>
  <c r="M149" i="18"/>
  <c r="M150" i="18"/>
  <c r="M151" i="18"/>
  <c r="M152" i="18"/>
  <c r="M153" i="18"/>
  <c r="M154" i="18"/>
  <c r="M155" i="18"/>
  <c r="M156" i="18"/>
  <c r="M157" i="18"/>
  <c r="M158" i="18"/>
  <c r="M159" i="18"/>
  <c r="M160" i="18"/>
  <c r="M161" i="18"/>
  <c r="M162" i="18"/>
  <c r="M163" i="18"/>
  <c r="M164" i="18"/>
  <c r="M165" i="18"/>
  <c r="M166" i="18"/>
  <c r="M167" i="18"/>
  <c r="M168" i="18"/>
  <c r="M169" i="18"/>
  <c r="M170" i="18"/>
  <c r="M171" i="18"/>
  <c r="M172" i="18"/>
  <c r="M173" i="18"/>
  <c r="M174" i="18"/>
  <c r="M175" i="18"/>
  <c r="M176" i="18"/>
  <c r="M177" i="18"/>
  <c r="M178" i="18"/>
  <c r="M179" i="18"/>
  <c r="M180" i="18"/>
  <c r="M181" i="18"/>
  <c r="M182" i="18"/>
  <c r="M183" i="18"/>
  <c r="M184" i="18"/>
  <c r="M185" i="18"/>
  <c r="M186" i="18"/>
  <c r="M187" i="18"/>
  <c r="M188" i="18"/>
  <c r="M189" i="18"/>
  <c r="M190" i="18"/>
  <c r="M191" i="18"/>
  <c r="M192" i="18"/>
  <c r="M193" i="18"/>
  <c r="M194" i="18"/>
  <c r="M195" i="18"/>
  <c r="M196" i="18"/>
  <c r="M197" i="18"/>
  <c r="M198" i="18"/>
  <c r="M199" i="18"/>
  <c r="M200" i="18"/>
  <c r="M201" i="18"/>
  <c r="M202" i="18"/>
  <c r="M203" i="18"/>
  <c r="M204" i="18"/>
  <c r="M205" i="18"/>
  <c r="M206" i="18"/>
  <c r="M207" i="18"/>
  <c r="M208" i="18"/>
  <c r="M209" i="18"/>
  <c r="M210" i="18"/>
  <c r="M211" i="18"/>
  <c r="M212" i="18"/>
  <c r="M213" i="18"/>
  <c r="M214" i="18"/>
  <c r="M215" i="18"/>
  <c r="M216" i="18"/>
  <c r="M217" i="18"/>
  <c r="M218" i="18"/>
  <c r="M219" i="18"/>
  <c r="M220" i="18"/>
  <c r="M221" i="18"/>
  <c r="M222" i="18"/>
  <c r="M223" i="18"/>
  <c r="M224" i="18"/>
  <c r="M225" i="18"/>
  <c r="M226" i="18"/>
  <c r="M227" i="18"/>
  <c r="M228" i="18"/>
  <c r="M229" i="18"/>
  <c r="M230" i="18"/>
  <c r="M231" i="18"/>
  <c r="M232" i="18"/>
  <c r="M233" i="18"/>
  <c r="M234" i="18"/>
  <c r="M235" i="18"/>
  <c r="M236" i="18"/>
  <c r="M237" i="18"/>
  <c r="M238" i="18"/>
  <c r="M239" i="18"/>
  <c r="M240" i="18"/>
  <c r="M241" i="18"/>
  <c r="M242" i="18"/>
  <c r="M243" i="18"/>
  <c r="M244" i="18"/>
  <c r="M245" i="18"/>
  <c r="M246" i="18"/>
  <c r="M247" i="18"/>
  <c r="M248" i="18"/>
  <c r="M249" i="18"/>
  <c r="M250" i="18"/>
  <c r="M251" i="18"/>
  <c r="M252" i="18"/>
  <c r="M253" i="18"/>
  <c r="M254" i="18"/>
  <c r="M255" i="18"/>
  <c r="M256" i="18"/>
  <c r="M257" i="18"/>
  <c r="M258" i="18"/>
  <c r="M259" i="18"/>
  <c r="M260" i="18"/>
  <c r="M261" i="18"/>
  <c r="M262" i="18"/>
  <c r="M263" i="18"/>
  <c r="M264" i="18"/>
  <c r="M265" i="18"/>
  <c r="M266" i="18"/>
  <c r="M267" i="18"/>
  <c r="M268" i="18"/>
  <c r="M269" i="18"/>
  <c r="M270" i="18"/>
  <c r="M271" i="18"/>
  <c r="M272" i="18"/>
  <c r="M273" i="18"/>
  <c r="M274" i="18"/>
  <c r="M275" i="18"/>
  <c r="M276" i="18"/>
  <c r="M277" i="18"/>
  <c r="M278" i="18"/>
  <c r="M279" i="18"/>
  <c r="M280" i="18"/>
  <c r="M281" i="18"/>
  <c r="M282" i="18"/>
  <c r="M283" i="18"/>
  <c r="M284" i="18"/>
  <c r="M285" i="18"/>
  <c r="M286" i="18"/>
  <c r="M287" i="18"/>
  <c r="M288" i="18"/>
  <c r="M289" i="18"/>
  <c r="M290" i="18"/>
  <c r="M291" i="18"/>
  <c r="M292" i="18"/>
  <c r="M293" i="18"/>
  <c r="M294" i="18"/>
  <c r="M295" i="18"/>
  <c r="M296" i="18"/>
  <c r="M297" i="18"/>
  <c r="M298" i="18"/>
  <c r="M299" i="18"/>
  <c r="M300" i="18"/>
  <c r="M301" i="18"/>
  <c r="M302" i="18"/>
  <c r="M303" i="18"/>
  <c r="M304" i="18"/>
  <c r="M305" i="18"/>
  <c r="M306" i="18"/>
  <c r="M307" i="18"/>
  <c r="M308" i="18"/>
  <c r="M309" i="18"/>
  <c r="M310" i="18"/>
  <c r="M311" i="18"/>
  <c r="M312" i="18"/>
  <c r="M313" i="18"/>
  <c r="M314" i="18"/>
  <c r="M315" i="18"/>
  <c r="M316" i="18"/>
  <c r="M317" i="18"/>
  <c r="M318" i="18"/>
  <c r="M319" i="18"/>
  <c r="M320" i="18"/>
  <c r="M321" i="18"/>
  <c r="M322" i="18"/>
  <c r="M323" i="18"/>
  <c r="M324" i="18"/>
  <c r="M325" i="18"/>
  <c r="M326" i="18"/>
  <c r="M327" i="18"/>
  <c r="M328" i="18"/>
  <c r="M329" i="18"/>
  <c r="M330" i="18"/>
  <c r="M331" i="18"/>
  <c r="M332" i="18"/>
  <c r="M333" i="18"/>
  <c r="M334" i="18"/>
  <c r="M335" i="18"/>
  <c r="M336" i="18"/>
  <c r="M337" i="18"/>
  <c r="M338" i="18"/>
  <c r="M339" i="18"/>
  <c r="M340" i="18"/>
  <c r="M341" i="18"/>
  <c r="M342" i="18"/>
  <c r="M343" i="18"/>
  <c r="M344" i="18"/>
  <c r="M345" i="18"/>
  <c r="M346" i="18"/>
  <c r="M347" i="18"/>
  <c r="M348" i="18"/>
  <c r="M349" i="18"/>
  <c r="M350" i="18"/>
  <c r="M351" i="18"/>
  <c r="M352" i="18"/>
  <c r="Q3" i="18"/>
  <c r="R3" i="18" s="1"/>
  <c r="Q4" i="18"/>
  <c r="Q5" i="18"/>
  <c r="Q6" i="18"/>
  <c r="Q7" i="18"/>
  <c r="Q8" i="18"/>
  <c r="Q9" i="18"/>
  <c r="Q10" i="18"/>
  <c r="Q11" i="18"/>
  <c r="Q12" i="18"/>
  <c r="Q13" i="18"/>
  <c r="Q14" i="18"/>
  <c r="Q15" i="18"/>
  <c r="Q16" i="18"/>
  <c r="Q17" i="18"/>
  <c r="Q18" i="18"/>
  <c r="Q19" i="18"/>
  <c r="Q20" i="18"/>
  <c r="Q21" i="18"/>
  <c r="Q22" i="18"/>
  <c r="Q23" i="18"/>
  <c r="Q24" i="18"/>
  <c r="Q25" i="18"/>
  <c r="Q26" i="18"/>
  <c r="Q27" i="18"/>
  <c r="Q28" i="18"/>
  <c r="Q29" i="18"/>
  <c r="Q30" i="18"/>
  <c r="Q31" i="18"/>
  <c r="Q32" i="18"/>
  <c r="Q33" i="18"/>
  <c r="Q34" i="18"/>
  <c r="Q35" i="18"/>
  <c r="Q36" i="18"/>
  <c r="Q37" i="18"/>
  <c r="Q38" i="18"/>
  <c r="Q39" i="18"/>
  <c r="Q40" i="18"/>
  <c r="Q41" i="18"/>
  <c r="Q42" i="18"/>
  <c r="Q43" i="18"/>
  <c r="Q44" i="18"/>
  <c r="Q45" i="18"/>
  <c r="Q46" i="18"/>
  <c r="Q47" i="18"/>
  <c r="Q48" i="18"/>
  <c r="Q49" i="18"/>
  <c r="Q50" i="18"/>
  <c r="Q51" i="18"/>
  <c r="Q52" i="18"/>
  <c r="Q53" i="18"/>
  <c r="Q54" i="18"/>
  <c r="Q55" i="18"/>
  <c r="Q56" i="18"/>
  <c r="Q57" i="18"/>
  <c r="Q58" i="18"/>
  <c r="Q59" i="18"/>
  <c r="Q60" i="18"/>
  <c r="Q61" i="18"/>
  <c r="Q62" i="18"/>
  <c r="Q63" i="18"/>
  <c r="Q64" i="18"/>
  <c r="Q65" i="18"/>
  <c r="Q66" i="18"/>
  <c r="Q67" i="18"/>
  <c r="Q68" i="18"/>
  <c r="Q69" i="18"/>
  <c r="Q70" i="18"/>
  <c r="Q71" i="18"/>
  <c r="Q72" i="18"/>
  <c r="Q73" i="18"/>
  <c r="Q74" i="18"/>
  <c r="Q75" i="18"/>
  <c r="Q76" i="18"/>
  <c r="Q77" i="18"/>
  <c r="Q78" i="18"/>
  <c r="Q79" i="18"/>
  <c r="Q80" i="18"/>
  <c r="Q81" i="18"/>
  <c r="Q82" i="18"/>
  <c r="Q83" i="18"/>
  <c r="Q84" i="18"/>
  <c r="Q85" i="18"/>
  <c r="Q86" i="18"/>
  <c r="Q87" i="18"/>
  <c r="Q88" i="18"/>
  <c r="Q89" i="18"/>
  <c r="Q90" i="18"/>
  <c r="Q91" i="18"/>
  <c r="Q92" i="18"/>
  <c r="Q93" i="18"/>
  <c r="Q94" i="18"/>
  <c r="Q95" i="18"/>
  <c r="Q96" i="18"/>
  <c r="Q97" i="18"/>
  <c r="Q98" i="18"/>
  <c r="Q99" i="18"/>
  <c r="Q100" i="18"/>
  <c r="Q101" i="18"/>
  <c r="Q102" i="18"/>
  <c r="Q103" i="18"/>
  <c r="Q104" i="18"/>
  <c r="Q105" i="18"/>
  <c r="Q106" i="18"/>
  <c r="Q107" i="18"/>
  <c r="Q108" i="18"/>
  <c r="Q109" i="18"/>
  <c r="Q110" i="18"/>
  <c r="Q111" i="18"/>
  <c r="Q112" i="18"/>
  <c r="Q113" i="18"/>
  <c r="Q114" i="18"/>
  <c r="Q115" i="18"/>
  <c r="Q116" i="18"/>
  <c r="Q117" i="18"/>
  <c r="Q118" i="18"/>
  <c r="Q119" i="18"/>
  <c r="Q120" i="18"/>
  <c r="Q121" i="18"/>
  <c r="Q122" i="18"/>
  <c r="Q123" i="18"/>
  <c r="Q124" i="18"/>
  <c r="Q125" i="18"/>
  <c r="Q126" i="18"/>
  <c r="Q127" i="18"/>
  <c r="Q128" i="18"/>
  <c r="Q129" i="18"/>
  <c r="Q130" i="18"/>
  <c r="Q131" i="18"/>
  <c r="Q132" i="18"/>
  <c r="Q133" i="18"/>
  <c r="Q134" i="18"/>
  <c r="Q135" i="18"/>
  <c r="Q136" i="18"/>
  <c r="Q137" i="18"/>
  <c r="Q138" i="18"/>
  <c r="Q139" i="18"/>
  <c r="Q140" i="18"/>
  <c r="Q141" i="18"/>
  <c r="Q142" i="18"/>
  <c r="Q143" i="18"/>
  <c r="Q144" i="18"/>
  <c r="Q145" i="18"/>
  <c r="Q146" i="18"/>
  <c r="Q147" i="18"/>
  <c r="Q148" i="18"/>
  <c r="Q149" i="18"/>
  <c r="Q150" i="18"/>
  <c r="Q151" i="18"/>
  <c r="Q152" i="18"/>
  <c r="Q153" i="18"/>
  <c r="Q154" i="18"/>
  <c r="Q155" i="18"/>
  <c r="Q156" i="18"/>
  <c r="Q157" i="18"/>
  <c r="Q158" i="18"/>
  <c r="Q159" i="18"/>
  <c r="Q160" i="18"/>
  <c r="Q161" i="18"/>
  <c r="Q162" i="18"/>
  <c r="Q163" i="18"/>
  <c r="Q164" i="18"/>
  <c r="Q165" i="18"/>
  <c r="Q166" i="18"/>
  <c r="Q167" i="18"/>
  <c r="Q168" i="18"/>
  <c r="Q169" i="18"/>
  <c r="Q170" i="18"/>
  <c r="Q171" i="18"/>
  <c r="Q172" i="18"/>
  <c r="Q173" i="18"/>
  <c r="Q174" i="18"/>
  <c r="Q175" i="18"/>
  <c r="Q176" i="18"/>
  <c r="Q177" i="18"/>
  <c r="Q178" i="18"/>
  <c r="Q179" i="18"/>
  <c r="Q180" i="18"/>
  <c r="Q181" i="18"/>
  <c r="Q182" i="18"/>
  <c r="Q183" i="18"/>
  <c r="Q184" i="18"/>
  <c r="Q185" i="18"/>
  <c r="Q186" i="18"/>
  <c r="Q187" i="18"/>
  <c r="Q188" i="18"/>
  <c r="Q189" i="18"/>
  <c r="Q190" i="18"/>
  <c r="Q191" i="18"/>
  <c r="Q192" i="18"/>
  <c r="Q193" i="18"/>
  <c r="Q194" i="18"/>
  <c r="Q195" i="18"/>
  <c r="Q196" i="18"/>
  <c r="Q197" i="18"/>
  <c r="Q198" i="18"/>
  <c r="Q199" i="18"/>
  <c r="Q200" i="18"/>
  <c r="Q201" i="18"/>
  <c r="Q202" i="18"/>
  <c r="Q203" i="18"/>
  <c r="Q204" i="18"/>
  <c r="Q205" i="18"/>
  <c r="Q206" i="18"/>
  <c r="Q207" i="18"/>
  <c r="Q208" i="18"/>
  <c r="Q209" i="18"/>
  <c r="Q210" i="18"/>
  <c r="Q211" i="18"/>
  <c r="Q212" i="18"/>
  <c r="Q213" i="18"/>
  <c r="Q214" i="18"/>
  <c r="Q215" i="18"/>
  <c r="Q216" i="18"/>
  <c r="Q217" i="18"/>
  <c r="Q218" i="18"/>
  <c r="Q219" i="18"/>
  <c r="Q220" i="18"/>
  <c r="Q221" i="18"/>
  <c r="Q222" i="18"/>
  <c r="Q223" i="18"/>
  <c r="Q224" i="18"/>
  <c r="Q225" i="18"/>
  <c r="Q226" i="18"/>
  <c r="Q227" i="18"/>
  <c r="Q228" i="18"/>
  <c r="Q229" i="18"/>
  <c r="Q230" i="18"/>
  <c r="Q231" i="18"/>
  <c r="Q232" i="18"/>
  <c r="Q233" i="18"/>
  <c r="Q234" i="18"/>
  <c r="Q235" i="18"/>
  <c r="Q236" i="18"/>
  <c r="Q237" i="18"/>
  <c r="Q238" i="18"/>
  <c r="Q239" i="18"/>
  <c r="Q240" i="18"/>
  <c r="Q241" i="18"/>
  <c r="Q242" i="18"/>
  <c r="Q243" i="18"/>
  <c r="Q244" i="18"/>
  <c r="Q245" i="18"/>
  <c r="Q246" i="18"/>
  <c r="Q247" i="18"/>
  <c r="Q248" i="18"/>
  <c r="Q249" i="18"/>
  <c r="Q250" i="18"/>
  <c r="Q251" i="18"/>
  <c r="Q252" i="18"/>
  <c r="Q253" i="18"/>
  <c r="Q254" i="18"/>
  <c r="Q255" i="18"/>
  <c r="Q256" i="18"/>
  <c r="Q257" i="18"/>
  <c r="Q258" i="18"/>
  <c r="Q259" i="18"/>
  <c r="Q260" i="18"/>
  <c r="Q261" i="18"/>
  <c r="Q262" i="18"/>
  <c r="Q263" i="18"/>
  <c r="Q264" i="18"/>
  <c r="Q265" i="18"/>
  <c r="Q266" i="18"/>
  <c r="Q267" i="18"/>
  <c r="Q268" i="18"/>
  <c r="Q269" i="18"/>
  <c r="Q270" i="18"/>
  <c r="Q271" i="18"/>
  <c r="Q272" i="18"/>
  <c r="Q273" i="18"/>
  <c r="Q274" i="18"/>
  <c r="Q275" i="18"/>
  <c r="Q276" i="18"/>
  <c r="Q277" i="18"/>
  <c r="Q278" i="18"/>
  <c r="Q279" i="18"/>
  <c r="Q280" i="18"/>
  <c r="Q281" i="18"/>
  <c r="Q282" i="18"/>
  <c r="Q283" i="18"/>
  <c r="Q284" i="18"/>
  <c r="Q285" i="18"/>
  <c r="Q286" i="18"/>
  <c r="Q287" i="18"/>
  <c r="Q288" i="18"/>
  <c r="Q289" i="18"/>
  <c r="Q290" i="18"/>
  <c r="Q291" i="18"/>
  <c r="Q292" i="18"/>
  <c r="Q293" i="18"/>
  <c r="Q294" i="18"/>
  <c r="Q295" i="18"/>
  <c r="Q296" i="18"/>
  <c r="Q297" i="18"/>
  <c r="Q298" i="18"/>
  <c r="Q299" i="18"/>
  <c r="Q300" i="18"/>
  <c r="Q301" i="18"/>
  <c r="Q302" i="18"/>
  <c r="Q303" i="18"/>
  <c r="Q304" i="18"/>
  <c r="Q305" i="18"/>
  <c r="Q306" i="18"/>
  <c r="Q307" i="18"/>
  <c r="Q308" i="18"/>
  <c r="Q309" i="18"/>
  <c r="Q310" i="18"/>
  <c r="Q311" i="18"/>
  <c r="Q312" i="18"/>
  <c r="Q313" i="18"/>
  <c r="Q314" i="18"/>
  <c r="Q315" i="18"/>
  <c r="Q316" i="18"/>
  <c r="Q317" i="18"/>
  <c r="Q318" i="18"/>
  <c r="Q319" i="18"/>
  <c r="Q320" i="18"/>
  <c r="Q321" i="18"/>
  <c r="Q322" i="18"/>
  <c r="Q323" i="18"/>
  <c r="Q324" i="18"/>
  <c r="Q325" i="18"/>
  <c r="Q326" i="18"/>
  <c r="Q327" i="18"/>
  <c r="Q328" i="18"/>
  <c r="Q329" i="18"/>
  <c r="Q330" i="18"/>
  <c r="Q331" i="18"/>
  <c r="Q332" i="18"/>
  <c r="Q333" i="18"/>
  <c r="Q334" i="18"/>
  <c r="Q335" i="18"/>
  <c r="Q336" i="18"/>
  <c r="Q337" i="18"/>
  <c r="Q338" i="18"/>
  <c r="Q339" i="18"/>
  <c r="Q340" i="18"/>
  <c r="Q341" i="18"/>
  <c r="Q342" i="18"/>
  <c r="Q343" i="18"/>
  <c r="Q344" i="18"/>
  <c r="Q345" i="18"/>
  <c r="Q346" i="18"/>
  <c r="Q347" i="18"/>
  <c r="Q348" i="18"/>
  <c r="Q349" i="18"/>
  <c r="Q350" i="18"/>
  <c r="Q351" i="18"/>
  <c r="Q352" i="18"/>
  <c r="AA3" i="18"/>
  <c r="AA4" i="18"/>
  <c r="AA5" i="18"/>
  <c r="AA6" i="18"/>
  <c r="AA7" i="18"/>
  <c r="AA8" i="18"/>
  <c r="AA9" i="18"/>
  <c r="AA10" i="18"/>
  <c r="AA11" i="18"/>
  <c r="AA12" i="18"/>
  <c r="AA13" i="18"/>
  <c r="AA14" i="18"/>
  <c r="AA15" i="18"/>
  <c r="AA16" i="18"/>
  <c r="AA17" i="18"/>
  <c r="AA18" i="18"/>
  <c r="AA19" i="18"/>
  <c r="AA20" i="18"/>
  <c r="AA21" i="18"/>
  <c r="AA22" i="18"/>
  <c r="AA23" i="18"/>
  <c r="AA24" i="18"/>
  <c r="AA25" i="18"/>
  <c r="AA26" i="18"/>
  <c r="AA27" i="18"/>
  <c r="AA28" i="18"/>
  <c r="AA29" i="18"/>
  <c r="AA30" i="18"/>
  <c r="AA31" i="18"/>
  <c r="AA32" i="18"/>
  <c r="AA33" i="18"/>
  <c r="AA34" i="18"/>
  <c r="AA35" i="18"/>
  <c r="AA36" i="18"/>
  <c r="AA37" i="18"/>
  <c r="AA38" i="18"/>
  <c r="AA39" i="18"/>
  <c r="AA40" i="18"/>
  <c r="AA41" i="18"/>
  <c r="AA42" i="18"/>
  <c r="AA43" i="18"/>
  <c r="AA44" i="18"/>
  <c r="AA45" i="18"/>
  <c r="AA46" i="18"/>
  <c r="AA47" i="18"/>
  <c r="AA48" i="18"/>
  <c r="AA49" i="18"/>
  <c r="AA50" i="18"/>
  <c r="AA51" i="18"/>
  <c r="AA52" i="18"/>
  <c r="AA53" i="18"/>
  <c r="AA54" i="18"/>
  <c r="AA55" i="18"/>
  <c r="AA56" i="18"/>
  <c r="AA57" i="18"/>
  <c r="AA58" i="18"/>
  <c r="AA59" i="18"/>
  <c r="AA60" i="18"/>
  <c r="AA61" i="18"/>
  <c r="AA62" i="18"/>
  <c r="AA63" i="18"/>
  <c r="AA64" i="18"/>
  <c r="AA65" i="18"/>
  <c r="AA66" i="18"/>
  <c r="AA67" i="18"/>
  <c r="AA68" i="18"/>
  <c r="AA69" i="18"/>
  <c r="AA70" i="18"/>
  <c r="AA71" i="18"/>
  <c r="AA72" i="18"/>
  <c r="AA73" i="18"/>
  <c r="AA74" i="18"/>
  <c r="AA75" i="18"/>
  <c r="AA76" i="18"/>
  <c r="AA77" i="18"/>
  <c r="AA78" i="18"/>
  <c r="AA79" i="18"/>
  <c r="AA80" i="18"/>
  <c r="AA81" i="18"/>
  <c r="AA82" i="18"/>
  <c r="AA83" i="18"/>
  <c r="AA84" i="18"/>
  <c r="AA85" i="18"/>
  <c r="AA86" i="18"/>
  <c r="AA87" i="18"/>
  <c r="AA88" i="18"/>
  <c r="AA89" i="18"/>
  <c r="AA90" i="18"/>
  <c r="AA91" i="18"/>
  <c r="AA92" i="18"/>
  <c r="AA93" i="18"/>
  <c r="AA94" i="18"/>
  <c r="AA95" i="18"/>
  <c r="AA96" i="18"/>
  <c r="AA97" i="18"/>
  <c r="AA98" i="18"/>
  <c r="AA99" i="18"/>
  <c r="AA100" i="18"/>
  <c r="AA101" i="18"/>
  <c r="AA102" i="18"/>
  <c r="AA103" i="18"/>
  <c r="AA104" i="18"/>
  <c r="AA105" i="18"/>
  <c r="AA106" i="18"/>
  <c r="AA107" i="18"/>
  <c r="AA108" i="18"/>
  <c r="AA109" i="18"/>
  <c r="AA110" i="18"/>
  <c r="AA111" i="18"/>
  <c r="AA112" i="18"/>
  <c r="AA113" i="18"/>
  <c r="AA114" i="18"/>
  <c r="AA115" i="18"/>
  <c r="AA116" i="18"/>
  <c r="AA117" i="18"/>
  <c r="AA118" i="18"/>
  <c r="AA119" i="18"/>
  <c r="AA120" i="18"/>
  <c r="AA121" i="18"/>
  <c r="AA122" i="18"/>
  <c r="AA123" i="18"/>
  <c r="AA124" i="18"/>
  <c r="AA125" i="18"/>
  <c r="AA126" i="18"/>
  <c r="AA127" i="18"/>
  <c r="AA128" i="18"/>
  <c r="AA129" i="18"/>
  <c r="AA130" i="18"/>
  <c r="AA131" i="18"/>
  <c r="AA132" i="18"/>
  <c r="AA133" i="18"/>
  <c r="AA134" i="18"/>
  <c r="AA135" i="18"/>
  <c r="AA136" i="18"/>
  <c r="AA137" i="18"/>
  <c r="AA138" i="18"/>
  <c r="AA139" i="18"/>
  <c r="AA140" i="18"/>
  <c r="AA141" i="18"/>
  <c r="AA142" i="18"/>
  <c r="AA143" i="18"/>
  <c r="AA144" i="18"/>
  <c r="AA145" i="18"/>
  <c r="AA146" i="18"/>
  <c r="AA147" i="18"/>
  <c r="AA148" i="18"/>
  <c r="AA149" i="18"/>
  <c r="AA150" i="18"/>
  <c r="AA151" i="18"/>
  <c r="AA152" i="18"/>
  <c r="AA153" i="18"/>
  <c r="AA154" i="18"/>
  <c r="AA155" i="18"/>
  <c r="AA156" i="18"/>
  <c r="AA157" i="18"/>
  <c r="AA158" i="18"/>
  <c r="AA159" i="18"/>
  <c r="AA160" i="18"/>
  <c r="AA161" i="18"/>
  <c r="AA162" i="18"/>
  <c r="AA163" i="18"/>
  <c r="AA164" i="18"/>
  <c r="AA165" i="18"/>
  <c r="AA166" i="18"/>
  <c r="AA167" i="18"/>
  <c r="AA168" i="18"/>
  <c r="AA169" i="18"/>
  <c r="AA170" i="18"/>
  <c r="AA171" i="18"/>
  <c r="AA172" i="18"/>
  <c r="AA173" i="18"/>
  <c r="AA174" i="18"/>
  <c r="AA175" i="18"/>
  <c r="AA176" i="18"/>
  <c r="AA177" i="18"/>
  <c r="AA178" i="18"/>
  <c r="AA179" i="18"/>
  <c r="AA180" i="18"/>
  <c r="AA181" i="18"/>
  <c r="AA182" i="18"/>
  <c r="AA183" i="18"/>
  <c r="AA184" i="18"/>
  <c r="AA185" i="18"/>
  <c r="AA186" i="18"/>
  <c r="AA187" i="18"/>
  <c r="AA188" i="18"/>
  <c r="AA189" i="18"/>
  <c r="AA190" i="18"/>
  <c r="AA191" i="18"/>
  <c r="AA192" i="18"/>
  <c r="AA193" i="18"/>
  <c r="AA194" i="18"/>
  <c r="AA195" i="18"/>
  <c r="AA196" i="18"/>
  <c r="AA197" i="18"/>
  <c r="AA198" i="18"/>
  <c r="AA199" i="18"/>
  <c r="AA200" i="18"/>
  <c r="AA201" i="18"/>
  <c r="AA202" i="18"/>
  <c r="AA203" i="18"/>
  <c r="AA204" i="18"/>
  <c r="AA205" i="18"/>
  <c r="AA206" i="18"/>
  <c r="AA207" i="18"/>
  <c r="AA208" i="18"/>
  <c r="AA209" i="18"/>
  <c r="AA210" i="18"/>
  <c r="AA211" i="18"/>
  <c r="AA212" i="18"/>
  <c r="AA213" i="18"/>
  <c r="AA214" i="18"/>
  <c r="AA215" i="18"/>
  <c r="AA216" i="18"/>
  <c r="AA217" i="18"/>
  <c r="AA218" i="18"/>
  <c r="AA219" i="18"/>
  <c r="AA220" i="18"/>
  <c r="AA221" i="18"/>
  <c r="AA222" i="18"/>
  <c r="AA223" i="18"/>
  <c r="AA224" i="18"/>
  <c r="AA225" i="18"/>
  <c r="AA226" i="18"/>
  <c r="AA227" i="18"/>
  <c r="AA228" i="18"/>
  <c r="AA229" i="18"/>
  <c r="AA230" i="18"/>
  <c r="AA231" i="18"/>
  <c r="AA232" i="18"/>
  <c r="AA233" i="18"/>
  <c r="AA234" i="18"/>
  <c r="AA235" i="18"/>
  <c r="AA236" i="18"/>
  <c r="AA237" i="18"/>
  <c r="AA238" i="18"/>
  <c r="AA239" i="18"/>
  <c r="AA240" i="18"/>
  <c r="AA241" i="18"/>
  <c r="AA242" i="18"/>
  <c r="AA243" i="18"/>
  <c r="AA244" i="18"/>
  <c r="AA245" i="18"/>
  <c r="AA246" i="18"/>
  <c r="AA247" i="18"/>
  <c r="AA248" i="18"/>
  <c r="AA249" i="18"/>
  <c r="AA250" i="18"/>
  <c r="AA251" i="18"/>
  <c r="AA252" i="18"/>
  <c r="AA253" i="18"/>
  <c r="AA254" i="18"/>
  <c r="AA255" i="18"/>
  <c r="AA256" i="18"/>
  <c r="AA257" i="18"/>
  <c r="AA258" i="18"/>
  <c r="AA259" i="18"/>
  <c r="AA260" i="18"/>
  <c r="AA261" i="18"/>
  <c r="AA262" i="18"/>
  <c r="AA263" i="18"/>
  <c r="AA264" i="18"/>
  <c r="AA265" i="18"/>
  <c r="AA266" i="18"/>
  <c r="AA267" i="18"/>
  <c r="AA268" i="18"/>
  <c r="AA269" i="18"/>
  <c r="AA270" i="18"/>
  <c r="AA271" i="18"/>
  <c r="AA272" i="18"/>
  <c r="AA273" i="18"/>
  <c r="AA274" i="18"/>
  <c r="AA275" i="18"/>
  <c r="AA276" i="18"/>
  <c r="AA277" i="18"/>
  <c r="AA278" i="18"/>
  <c r="AA279" i="18"/>
  <c r="AA280" i="18"/>
  <c r="AA281" i="18"/>
  <c r="AA282" i="18"/>
  <c r="AA283" i="18"/>
  <c r="AA284" i="18"/>
  <c r="AA285" i="18"/>
  <c r="AA286" i="18"/>
  <c r="AA287" i="18"/>
  <c r="AA288" i="18"/>
  <c r="AA289" i="18"/>
  <c r="AA290" i="18"/>
  <c r="AA291" i="18"/>
  <c r="AA292" i="18"/>
  <c r="AA293" i="18"/>
  <c r="AA294" i="18"/>
  <c r="AA295" i="18"/>
  <c r="AA296" i="18"/>
  <c r="AA297" i="18"/>
  <c r="AA298" i="18"/>
  <c r="AA299" i="18"/>
  <c r="AA300" i="18"/>
  <c r="AA301" i="18"/>
  <c r="AA302" i="18"/>
  <c r="AA303" i="18"/>
  <c r="AA304" i="18"/>
  <c r="AA305" i="18"/>
  <c r="AA306" i="18"/>
  <c r="AA307" i="18"/>
  <c r="AA308" i="18"/>
  <c r="AA309" i="18"/>
  <c r="AA310" i="18"/>
  <c r="AA311" i="18"/>
  <c r="AA312" i="18"/>
  <c r="AA313" i="18"/>
  <c r="AA314" i="18"/>
  <c r="AA315" i="18"/>
  <c r="AA316" i="18"/>
  <c r="AA317" i="18"/>
  <c r="AA318" i="18"/>
  <c r="AA319" i="18"/>
  <c r="AA320" i="18"/>
  <c r="AA321" i="18"/>
  <c r="AA322" i="18"/>
  <c r="AA323" i="18"/>
  <c r="AA324" i="18"/>
  <c r="AA325" i="18"/>
  <c r="AA326" i="18"/>
  <c r="AA327" i="18"/>
  <c r="AA328" i="18"/>
  <c r="AA329" i="18"/>
  <c r="AA330" i="18"/>
  <c r="AA331" i="18"/>
  <c r="AA332" i="18"/>
  <c r="AA333" i="18"/>
  <c r="AA334" i="18"/>
  <c r="AA335" i="18"/>
  <c r="AA336" i="18"/>
  <c r="AA337" i="18"/>
  <c r="AA338" i="18"/>
  <c r="AA339" i="18"/>
  <c r="AA340" i="18"/>
  <c r="AA341" i="18"/>
  <c r="AA342" i="18"/>
  <c r="AA343" i="18"/>
  <c r="AA344" i="18"/>
  <c r="AA345" i="18"/>
  <c r="AA346" i="18"/>
  <c r="AA347" i="18"/>
  <c r="AA348" i="18"/>
  <c r="AA349" i="18"/>
  <c r="AA350" i="18"/>
  <c r="AA351" i="18"/>
  <c r="AA352" i="18"/>
  <c r="B2" i="18"/>
  <c r="AA2" i="18"/>
  <c r="Q2" i="18"/>
  <c r="M2" i="18"/>
  <c r="R4" i="18" l="1"/>
  <c r="R5" i="18" s="1"/>
  <c r="R6" i="18" s="1"/>
  <c r="R7" i="18" s="1"/>
  <c r="R8" i="18" s="1"/>
  <c r="R9" i="18" s="1"/>
  <c r="R10" i="18" s="1"/>
  <c r="R11" i="18" s="1"/>
  <c r="R12" i="18" s="1"/>
  <c r="R13" i="18" s="1"/>
  <c r="R14" i="18" s="1"/>
  <c r="R15" i="18" s="1"/>
  <c r="R16" i="18" s="1"/>
  <c r="R17" i="18" s="1"/>
  <c r="R18" i="18" s="1"/>
  <c r="R19" i="18" s="1"/>
  <c r="R20" i="18" s="1"/>
  <c r="R21" i="18" s="1"/>
  <c r="R22" i="18" s="1"/>
  <c r="R23" i="18" s="1"/>
  <c r="R24" i="18" s="1"/>
  <c r="R25" i="18" s="1"/>
  <c r="R26" i="18" s="1"/>
  <c r="R27" i="18" s="1"/>
  <c r="R28" i="18" s="1"/>
  <c r="R29" i="18" s="1"/>
  <c r="R30" i="18" s="1"/>
  <c r="R31" i="18" s="1"/>
  <c r="R32" i="18" s="1"/>
  <c r="R33" i="18" s="1"/>
  <c r="R34" i="18" s="1"/>
  <c r="R35" i="18" s="1"/>
  <c r="R36" i="18" s="1"/>
  <c r="R37" i="18" s="1"/>
  <c r="R38" i="18" s="1"/>
  <c r="R39" i="18" s="1"/>
  <c r="R40" i="18" s="1"/>
  <c r="R41" i="18" s="1"/>
  <c r="R42" i="18" s="1"/>
  <c r="R43" i="18" s="1"/>
  <c r="R44" i="18" s="1"/>
  <c r="R45" i="18" s="1"/>
  <c r="R46" i="18" s="1"/>
  <c r="R47" i="18" s="1"/>
  <c r="R48" i="18" s="1"/>
  <c r="R49" i="18" s="1"/>
  <c r="R50" i="18" s="1"/>
  <c r="R51" i="18" s="1"/>
  <c r="R52" i="18" s="1"/>
  <c r="R53" i="18" s="1"/>
  <c r="R54" i="18" s="1"/>
  <c r="R55" i="18" s="1"/>
  <c r="R56" i="18" s="1"/>
  <c r="R57" i="18" s="1"/>
  <c r="R58" i="18" s="1"/>
  <c r="R59" i="18" s="1"/>
  <c r="R60" i="18" s="1"/>
  <c r="R61" i="18" s="1"/>
  <c r="R62" i="18" s="1"/>
  <c r="R63" i="18" s="1"/>
  <c r="R64" i="18" s="1"/>
  <c r="R65" i="18" s="1"/>
  <c r="R66" i="18" s="1"/>
  <c r="R67" i="18" s="1"/>
  <c r="R68" i="18" s="1"/>
  <c r="R69" i="18" s="1"/>
  <c r="R70" i="18" s="1"/>
  <c r="R71" i="18" s="1"/>
  <c r="R72" i="18" s="1"/>
  <c r="R73" i="18" s="1"/>
  <c r="R74" i="18" s="1"/>
  <c r="R75" i="18" s="1"/>
  <c r="R76" i="18" s="1"/>
  <c r="R77" i="18" s="1"/>
  <c r="R78" i="18" s="1"/>
  <c r="R79" i="18" s="1"/>
  <c r="R80" i="18" s="1"/>
  <c r="R81" i="18" s="1"/>
  <c r="R82" i="18" s="1"/>
  <c r="R83" i="18" s="1"/>
  <c r="R84" i="18" s="1"/>
  <c r="R85" i="18" s="1"/>
  <c r="R86" i="18" s="1"/>
  <c r="R87" i="18" s="1"/>
  <c r="R88" i="18" s="1"/>
  <c r="R89" i="18" s="1"/>
  <c r="R90" i="18" s="1"/>
  <c r="R91" i="18" s="1"/>
  <c r="R92" i="18" s="1"/>
  <c r="R93" i="18" s="1"/>
  <c r="R94" i="18" s="1"/>
  <c r="R95" i="18" s="1"/>
  <c r="R96" i="18" s="1"/>
  <c r="R97" i="18" s="1"/>
  <c r="R98" i="18" s="1"/>
  <c r="R99" i="18" s="1"/>
  <c r="R100" i="18" s="1"/>
  <c r="R101" i="18" s="1"/>
  <c r="R102" i="18" s="1"/>
  <c r="R103" i="18" s="1"/>
  <c r="R104" i="18" s="1"/>
  <c r="R105" i="18" s="1"/>
  <c r="R106" i="18" s="1"/>
  <c r="R107" i="18" s="1"/>
  <c r="R108" i="18" s="1"/>
  <c r="R109" i="18" s="1"/>
  <c r="R110" i="18" s="1"/>
  <c r="R111" i="18" s="1"/>
  <c r="R112" i="18" s="1"/>
  <c r="R113" i="18" s="1"/>
  <c r="R114" i="18" s="1"/>
  <c r="R115" i="18" s="1"/>
  <c r="R116" i="18" s="1"/>
  <c r="R117" i="18" s="1"/>
  <c r="R118" i="18" s="1"/>
  <c r="R119" i="18" s="1"/>
  <c r="R120" i="18" s="1"/>
  <c r="R121" i="18" s="1"/>
  <c r="R122" i="18" s="1"/>
  <c r="R123" i="18" s="1"/>
  <c r="R124" i="18" s="1"/>
  <c r="R125" i="18" s="1"/>
  <c r="R126" i="18" s="1"/>
  <c r="R127" i="18" s="1"/>
  <c r="R128" i="18" s="1"/>
  <c r="R129" i="18" s="1"/>
  <c r="R130" i="18" s="1"/>
  <c r="R131" i="18" s="1"/>
  <c r="R132" i="18" s="1"/>
  <c r="R133" i="18" s="1"/>
  <c r="R134" i="18" s="1"/>
  <c r="R135" i="18" s="1"/>
  <c r="R136" i="18" s="1"/>
  <c r="R137" i="18" s="1"/>
  <c r="R138" i="18" s="1"/>
  <c r="R139" i="18" s="1"/>
  <c r="R140" i="18" s="1"/>
  <c r="R141" i="18" s="1"/>
  <c r="R142" i="18" s="1"/>
  <c r="R143" i="18" s="1"/>
  <c r="R144" i="18" s="1"/>
  <c r="R145" i="18" s="1"/>
  <c r="R146" i="18" s="1"/>
  <c r="R147" i="18" s="1"/>
  <c r="R148" i="18" s="1"/>
  <c r="R149" i="18" s="1"/>
  <c r="R150" i="18" s="1"/>
  <c r="R151" i="18" s="1"/>
  <c r="R152" i="18" s="1"/>
  <c r="R153" i="18" s="1"/>
  <c r="R154" i="18" s="1"/>
  <c r="R155" i="18" s="1"/>
  <c r="R156" i="18" s="1"/>
  <c r="R157" i="18" s="1"/>
  <c r="R158" i="18" s="1"/>
  <c r="R159" i="18" s="1"/>
  <c r="R160" i="18" s="1"/>
  <c r="R161" i="18" s="1"/>
  <c r="R162" i="18" s="1"/>
  <c r="R163" i="18" s="1"/>
  <c r="R164" i="18" s="1"/>
  <c r="R165" i="18" s="1"/>
  <c r="R166" i="18" s="1"/>
  <c r="R167" i="18" s="1"/>
  <c r="R168" i="18" s="1"/>
  <c r="R169" i="18" s="1"/>
  <c r="R170" i="18" s="1"/>
  <c r="R171" i="18" s="1"/>
  <c r="R172" i="18" s="1"/>
  <c r="R173" i="18" s="1"/>
  <c r="R174" i="18" s="1"/>
  <c r="R175" i="18" s="1"/>
  <c r="R176" i="18" s="1"/>
  <c r="R177" i="18" s="1"/>
  <c r="R178" i="18" s="1"/>
  <c r="R179" i="18" s="1"/>
  <c r="R180" i="18" s="1"/>
  <c r="R181" i="18" s="1"/>
  <c r="R182" i="18" s="1"/>
  <c r="R183" i="18" s="1"/>
  <c r="R184" i="18" s="1"/>
  <c r="R185" i="18" s="1"/>
  <c r="R186" i="18" s="1"/>
  <c r="R187" i="18" s="1"/>
  <c r="R188" i="18" s="1"/>
  <c r="R189" i="18" s="1"/>
  <c r="R190" i="18" s="1"/>
  <c r="R191" i="18" s="1"/>
  <c r="R192" i="18" s="1"/>
  <c r="R193" i="18" s="1"/>
  <c r="R194" i="18" s="1"/>
  <c r="R195" i="18" s="1"/>
  <c r="R196" i="18" s="1"/>
  <c r="R197" i="18" s="1"/>
  <c r="R198" i="18" s="1"/>
  <c r="R199" i="18" s="1"/>
  <c r="R200" i="18" s="1"/>
  <c r="R201" i="18" s="1"/>
  <c r="R202" i="18" s="1"/>
  <c r="R203" i="18" s="1"/>
  <c r="R204" i="18" s="1"/>
  <c r="R205" i="18" s="1"/>
  <c r="R206" i="18" s="1"/>
  <c r="R207" i="18" s="1"/>
  <c r="R208" i="18" s="1"/>
  <c r="R209" i="18" s="1"/>
  <c r="R210" i="18" s="1"/>
  <c r="R211" i="18" s="1"/>
  <c r="R212" i="18" s="1"/>
  <c r="R213" i="18" s="1"/>
  <c r="R214" i="18" s="1"/>
  <c r="R215" i="18" s="1"/>
  <c r="R216" i="18" s="1"/>
  <c r="R217" i="18" s="1"/>
  <c r="R218" i="18" s="1"/>
  <c r="R219" i="18" s="1"/>
  <c r="R220" i="18" s="1"/>
  <c r="R221" i="18" s="1"/>
  <c r="R222" i="18" s="1"/>
  <c r="R223" i="18" s="1"/>
  <c r="R224" i="18" s="1"/>
  <c r="R225" i="18" s="1"/>
  <c r="R226" i="18" s="1"/>
  <c r="R227" i="18" s="1"/>
  <c r="R228" i="18" s="1"/>
  <c r="R229" i="18" s="1"/>
  <c r="R230" i="18" s="1"/>
  <c r="R231" i="18" s="1"/>
  <c r="R232" i="18" s="1"/>
  <c r="R233" i="18" s="1"/>
  <c r="R234" i="18" s="1"/>
  <c r="R235" i="18" s="1"/>
  <c r="R236" i="18" s="1"/>
  <c r="R237" i="18" s="1"/>
  <c r="R238" i="18" s="1"/>
  <c r="R239" i="18" s="1"/>
  <c r="R240" i="18" s="1"/>
  <c r="R241" i="18" s="1"/>
  <c r="R242" i="18" s="1"/>
  <c r="R243" i="18" s="1"/>
  <c r="R244" i="18" s="1"/>
  <c r="R245" i="18" s="1"/>
  <c r="R246" i="18" s="1"/>
  <c r="R247" i="18" s="1"/>
  <c r="R248" i="18" s="1"/>
  <c r="R249" i="18" s="1"/>
  <c r="R250" i="18" s="1"/>
  <c r="R251" i="18" s="1"/>
  <c r="R252" i="18" s="1"/>
  <c r="R253" i="18" s="1"/>
  <c r="R254" i="18" s="1"/>
  <c r="R255" i="18" s="1"/>
  <c r="R256" i="18" s="1"/>
  <c r="R257" i="18" s="1"/>
  <c r="R258" i="18" s="1"/>
  <c r="R259" i="18" s="1"/>
  <c r="R260" i="18" s="1"/>
  <c r="R261" i="18" s="1"/>
  <c r="R262" i="18" s="1"/>
  <c r="R263" i="18" s="1"/>
  <c r="R264" i="18" s="1"/>
  <c r="R265" i="18" s="1"/>
  <c r="R266" i="18" s="1"/>
  <c r="R267" i="18" s="1"/>
  <c r="R268" i="18" s="1"/>
  <c r="R269" i="18" s="1"/>
  <c r="R270" i="18" s="1"/>
  <c r="R271" i="18" s="1"/>
  <c r="R272" i="18" s="1"/>
  <c r="R273" i="18" s="1"/>
  <c r="R274" i="18" s="1"/>
  <c r="R275" i="18" s="1"/>
  <c r="R276" i="18" s="1"/>
  <c r="R277" i="18" s="1"/>
  <c r="R278" i="18" s="1"/>
  <c r="R279" i="18" s="1"/>
  <c r="R280" i="18" s="1"/>
  <c r="R281" i="18" s="1"/>
  <c r="R282" i="18" s="1"/>
  <c r="R283" i="18" s="1"/>
  <c r="R284" i="18" s="1"/>
  <c r="R285" i="18" s="1"/>
  <c r="R286" i="18" s="1"/>
  <c r="R287" i="18" s="1"/>
  <c r="R288" i="18" s="1"/>
  <c r="R289" i="18" s="1"/>
  <c r="R290" i="18" s="1"/>
  <c r="R291" i="18" s="1"/>
  <c r="R292" i="18" s="1"/>
  <c r="R293" i="18" s="1"/>
  <c r="R294" i="18" s="1"/>
  <c r="R295" i="18" s="1"/>
  <c r="R296" i="18" s="1"/>
  <c r="R297" i="18" s="1"/>
  <c r="R298" i="18" s="1"/>
  <c r="R299" i="18" s="1"/>
  <c r="R300" i="18" s="1"/>
  <c r="R301" i="18" s="1"/>
  <c r="R302" i="18" s="1"/>
  <c r="R303" i="18" s="1"/>
  <c r="R304" i="18" s="1"/>
  <c r="R305" i="18" s="1"/>
  <c r="R306" i="18" s="1"/>
  <c r="R307" i="18" s="1"/>
  <c r="R308" i="18" s="1"/>
  <c r="R309" i="18" s="1"/>
  <c r="R310" i="18" s="1"/>
  <c r="R311" i="18" s="1"/>
  <c r="R312" i="18" s="1"/>
  <c r="R313" i="18" s="1"/>
  <c r="R314" i="18" s="1"/>
  <c r="R315" i="18" s="1"/>
  <c r="R316" i="18" s="1"/>
  <c r="R317" i="18" s="1"/>
  <c r="R318" i="18" s="1"/>
  <c r="R319" i="18" s="1"/>
  <c r="R320" i="18" s="1"/>
  <c r="R321" i="18" s="1"/>
  <c r="R322" i="18" s="1"/>
  <c r="R323" i="18" s="1"/>
  <c r="R324" i="18" s="1"/>
  <c r="R325" i="18" s="1"/>
  <c r="R326" i="18" s="1"/>
  <c r="R327" i="18" s="1"/>
  <c r="R328" i="18" s="1"/>
  <c r="R329" i="18" s="1"/>
  <c r="R330" i="18" s="1"/>
  <c r="R331" i="18" s="1"/>
  <c r="R332" i="18" s="1"/>
  <c r="R333" i="18" s="1"/>
  <c r="R334" i="18" s="1"/>
  <c r="R335" i="18" s="1"/>
  <c r="R336" i="18" s="1"/>
  <c r="R337" i="18" s="1"/>
  <c r="R338" i="18" s="1"/>
  <c r="R339" i="18" s="1"/>
  <c r="R340" i="18" s="1"/>
  <c r="R341" i="18" s="1"/>
  <c r="R342" i="18" s="1"/>
  <c r="R343" i="18" s="1"/>
  <c r="R344" i="18" s="1"/>
  <c r="R345" i="18" s="1"/>
  <c r="R346" i="18" s="1"/>
  <c r="R347" i="18" s="1"/>
  <c r="R348" i="18" s="1"/>
  <c r="R349" i="18" s="1"/>
  <c r="R350" i="18" s="1"/>
  <c r="R351" i="18" s="1"/>
  <c r="R352" i="18" s="1"/>
  <c r="R353" i="18" s="1"/>
  <c r="R354" i="18" s="1"/>
  <c r="R355" i="18" s="1"/>
  <c r="R356" i="18" s="1"/>
  <c r="R357" i="18" s="1"/>
  <c r="R358" i="18" s="1"/>
  <c r="R359" i="18" s="1"/>
  <c r="R360" i="18" s="1"/>
  <c r="R361" i="18" s="1"/>
  <c r="R362" i="18" s="1"/>
  <c r="R363" i="18" s="1"/>
  <c r="R364" i="18" s="1"/>
  <c r="R365" i="18" s="1"/>
  <c r="R366" i="18" s="1"/>
  <c r="R367" i="18" s="1"/>
  <c r="R368" i="18" s="1"/>
  <c r="R369" i="18" s="1"/>
  <c r="R370" i="18" s="1"/>
  <c r="R371" i="18" s="1"/>
  <c r="R372" i="18" s="1"/>
  <c r="R373" i="18" s="1"/>
  <c r="R374" i="18" s="1"/>
  <c r="R375" i="18" s="1"/>
  <c r="R376" i="18" s="1"/>
  <c r="R377" i="18" s="1"/>
  <c r="R378" i="18" s="1"/>
  <c r="R379" i="18" s="1"/>
  <c r="R380" i="18" s="1"/>
  <c r="R381" i="18" s="1"/>
  <c r="R382" i="18" s="1"/>
  <c r="R383" i="18" s="1"/>
  <c r="R384" i="18" s="1"/>
  <c r="R385" i="18" s="1"/>
  <c r="R386" i="18" s="1"/>
  <c r="R387" i="18" s="1"/>
  <c r="R388" i="18" s="1"/>
  <c r="R389" i="18" s="1"/>
  <c r="R390" i="18" s="1"/>
  <c r="R391" i="18" s="1"/>
  <c r="R392" i="18" s="1"/>
  <c r="R393" i="18" s="1"/>
  <c r="R394" i="18" s="1"/>
  <c r="R395" i="18" s="1"/>
  <c r="R396" i="18" s="1"/>
  <c r="R397" i="18" s="1"/>
  <c r="R398" i="18" s="1"/>
  <c r="R399" i="18" s="1"/>
  <c r="R400" i="18" s="1"/>
  <c r="R401" i="18" s="1"/>
  <c r="R402" i="18" s="1"/>
  <c r="R403" i="18" s="1"/>
  <c r="R404" i="18" s="1"/>
  <c r="R405" i="18" s="1"/>
  <c r="R406" i="18" s="1"/>
  <c r="R407" i="18" s="1"/>
  <c r="R408" i="18" s="1"/>
  <c r="R409" i="18" s="1"/>
  <c r="R410" i="18" s="1"/>
  <c r="R411" i="18" s="1"/>
  <c r="R412" i="18" s="1"/>
  <c r="R413" i="18" s="1"/>
  <c r="R414" i="18" s="1"/>
  <c r="R415" i="18" s="1"/>
  <c r="R416" i="18" s="1"/>
  <c r="R417" i="18" s="1"/>
  <c r="R418" i="18" s="1"/>
  <c r="R419" i="18" s="1"/>
  <c r="R420" i="18" s="1"/>
  <c r="R421" i="18" s="1"/>
  <c r="R422" i="18" s="1"/>
  <c r="R423" i="18" s="1"/>
  <c r="R424" i="18" s="1"/>
  <c r="R425" i="18" s="1"/>
  <c r="R426" i="18" s="1"/>
  <c r="R427" i="18" s="1"/>
  <c r="R428" i="18" s="1"/>
  <c r="R429" i="18" s="1"/>
  <c r="R430" i="18" s="1"/>
  <c r="R431" i="18" s="1"/>
  <c r="R432" i="18" s="1"/>
  <c r="R433" i="18" s="1"/>
  <c r="R434" i="18" s="1"/>
  <c r="R435" i="18" s="1"/>
  <c r="R436" i="18" s="1"/>
  <c r="R437" i="18" s="1"/>
  <c r="R438" i="18" s="1"/>
  <c r="R439" i="18" s="1"/>
  <c r="R440" i="18" s="1"/>
  <c r="R441" i="18" s="1"/>
  <c r="R442" i="18" s="1"/>
  <c r="R443" i="18" s="1"/>
  <c r="R444" i="18" s="1"/>
  <c r="R445" i="18" s="1"/>
  <c r="R446" i="18" s="1"/>
  <c r="R447" i="18" s="1"/>
  <c r="R448" i="18" s="1"/>
  <c r="R449" i="18" s="1"/>
  <c r="R450" i="18" s="1"/>
  <c r="R451" i="18" s="1"/>
  <c r="R452" i="18" s="1"/>
  <c r="R453" i="18" s="1"/>
  <c r="R454" i="18" s="1"/>
  <c r="R455" i="18" s="1"/>
  <c r="R456" i="18" s="1"/>
  <c r="R457" i="18" s="1"/>
  <c r="R458" i="18" s="1"/>
  <c r="R459" i="18" s="1"/>
  <c r="R460" i="18" s="1"/>
  <c r="R461" i="18" s="1"/>
  <c r="R462" i="18" s="1"/>
  <c r="R463" i="18" s="1"/>
  <c r="R464" i="18" s="1"/>
  <c r="R465" i="18" s="1"/>
  <c r="R466" i="18" s="1"/>
  <c r="R467" i="18" s="1"/>
  <c r="R468" i="18" s="1"/>
  <c r="R469" i="18" s="1"/>
  <c r="R470" i="18" s="1"/>
  <c r="R471" i="18" s="1"/>
  <c r="R472" i="18" s="1"/>
  <c r="R473" i="18" s="1"/>
  <c r="R474" i="18" s="1"/>
  <c r="R475" i="18" s="1"/>
  <c r="R476" i="18" s="1"/>
  <c r="R477" i="18" s="1"/>
  <c r="R478" i="18" s="1"/>
  <c r="R479" i="18" s="1"/>
  <c r="R480" i="18" s="1"/>
  <c r="R481" i="18" s="1"/>
  <c r="R482" i="18" s="1"/>
  <c r="R483" i="18" s="1"/>
  <c r="R484" i="18" s="1"/>
  <c r="R485" i="18" s="1"/>
  <c r="R486" i="18" s="1"/>
  <c r="R487" i="18" s="1"/>
  <c r="R488" i="18" s="1"/>
  <c r="R489" i="18" s="1"/>
  <c r="R490" i="18" s="1"/>
  <c r="R491" i="18" s="1"/>
  <c r="R492" i="18" s="1"/>
  <c r="R493" i="18" s="1"/>
  <c r="R494" i="18" s="1"/>
  <c r="R495" i="18" s="1"/>
  <c r="R496" i="18" s="1"/>
  <c r="R497" i="18" s="1"/>
  <c r="R498" i="18" s="1"/>
  <c r="R499" i="18" s="1"/>
  <c r="R500" i="18" s="1"/>
  <c r="R501" i="18" s="1"/>
  <c r="R502" i="18" s="1"/>
  <c r="R503" i="18" s="1"/>
  <c r="R504" i="18" s="1"/>
  <c r="R505" i="18" s="1"/>
  <c r="R506" i="18" s="1"/>
  <c r="R507" i="18" s="1"/>
  <c r="R508" i="18" s="1"/>
  <c r="R509" i="18" s="1"/>
  <c r="R510" i="18" s="1"/>
  <c r="R511" i="18" s="1"/>
  <c r="R512" i="18" s="1"/>
  <c r="R513" i="18" s="1"/>
  <c r="R514" i="18" s="1"/>
  <c r="R515" i="18" s="1"/>
  <c r="R516" i="18" s="1"/>
  <c r="R517" i="18" s="1"/>
  <c r="R518" i="18" s="1"/>
  <c r="R519" i="18" s="1"/>
  <c r="R520" i="18" s="1"/>
  <c r="R521" i="18" s="1"/>
  <c r="R522" i="18" s="1"/>
  <c r="R523" i="18" s="1"/>
  <c r="R524" i="18" s="1"/>
  <c r="R525" i="18" s="1"/>
  <c r="R526" i="18" s="1"/>
  <c r="R527" i="18" s="1"/>
  <c r="R528" i="18" s="1"/>
  <c r="R529" i="18" s="1"/>
  <c r="R530" i="18" s="1"/>
  <c r="R531" i="18" s="1"/>
  <c r="B226" i="12"/>
  <c r="B227" i="12"/>
  <c r="B228" i="12"/>
  <c r="B229" i="12"/>
  <c r="B230" i="12"/>
  <c r="B231" i="12"/>
  <c r="B232" i="12"/>
  <c r="B233" i="12"/>
  <c r="B234" i="12"/>
  <c r="B235" i="12"/>
  <c r="B236" i="12"/>
  <c r="M226" i="12"/>
  <c r="M227" i="12"/>
  <c r="M228" i="12"/>
  <c r="M229" i="12"/>
  <c r="M230" i="12"/>
  <c r="M231" i="12"/>
  <c r="M232" i="12"/>
  <c r="M233" i="12"/>
  <c r="M234" i="12"/>
  <c r="M235" i="12"/>
  <c r="M236" i="12"/>
  <c r="P226" i="12"/>
  <c r="P227" i="12"/>
  <c r="P228" i="12"/>
  <c r="P229" i="12"/>
  <c r="P230" i="12"/>
  <c r="P231" i="12"/>
  <c r="P232" i="12"/>
  <c r="P233" i="12"/>
  <c r="P234" i="12"/>
  <c r="P235" i="12"/>
  <c r="P236" i="12"/>
  <c r="Q226" i="12"/>
  <c r="Q227" i="12"/>
  <c r="Q228" i="12"/>
  <c r="Q229" i="12"/>
  <c r="Q230" i="12"/>
  <c r="Q231" i="12"/>
  <c r="Q232" i="12"/>
  <c r="Q233" i="12"/>
  <c r="Q234" i="12"/>
  <c r="Q235" i="12"/>
  <c r="Q236" i="12"/>
  <c r="X226" i="12"/>
  <c r="X227" i="12"/>
  <c r="X228" i="12"/>
  <c r="X229" i="12"/>
  <c r="X230" i="12"/>
  <c r="X231" i="12"/>
  <c r="X232" i="12"/>
  <c r="X233" i="12"/>
  <c r="X234" i="12"/>
  <c r="X235" i="12"/>
  <c r="X236" i="12"/>
  <c r="AA226" i="12"/>
  <c r="AA227" i="12"/>
  <c r="AA228" i="12"/>
  <c r="AA229" i="12"/>
  <c r="AA230" i="12"/>
  <c r="AA231" i="12"/>
  <c r="AA232" i="12"/>
  <c r="AA233" i="12"/>
  <c r="AA234" i="12"/>
  <c r="AA235" i="12"/>
  <c r="AA236" i="12"/>
  <c r="AB628" i="9"/>
  <c r="AB629" i="9"/>
  <c r="R628" i="9"/>
  <c r="R629" i="9"/>
  <c r="Q628" i="9"/>
  <c r="Q629" i="9"/>
  <c r="B628" i="9"/>
  <c r="B629" i="9"/>
  <c r="N628" i="9"/>
  <c r="N629" i="9"/>
  <c r="B116" i="5"/>
  <c r="M116" i="5"/>
  <c r="AA116" i="5"/>
  <c r="B117" i="5"/>
  <c r="M117" i="5"/>
  <c r="AA117" i="5"/>
  <c r="B118" i="5"/>
  <c r="M118" i="5"/>
  <c r="AA118" i="5"/>
  <c r="N620" i="8"/>
  <c r="AB620" i="8"/>
  <c r="B627" i="9"/>
  <c r="N627" i="9"/>
  <c r="Q627" i="9"/>
  <c r="R627" i="9"/>
  <c r="AB627" i="9"/>
  <c r="AB619" i="8" l="1"/>
  <c r="N619" i="8"/>
  <c r="N610" i="8"/>
  <c r="N617" i="8"/>
  <c r="N618" i="8"/>
  <c r="AB610" i="8"/>
  <c r="AB617" i="8"/>
  <c r="AB618" i="8"/>
  <c r="AB620" i="9"/>
  <c r="AB621" i="9"/>
  <c r="AB622" i="9"/>
  <c r="AB623" i="9"/>
  <c r="R620" i="9"/>
  <c r="R621" i="9"/>
  <c r="R622" i="9"/>
  <c r="R623" i="9"/>
  <c r="Q620" i="9"/>
  <c r="Q621" i="9"/>
  <c r="Q622" i="9"/>
  <c r="Q623" i="9"/>
  <c r="N620" i="9"/>
  <c r="N621" i="9"/>
  <c r="N622" i="9"/>
  <c r="N623" i="9"/>
  <c r="B620" i="9"/>
  <c r="B621" i="9"/>
  <c r="B622" i="9"/>
  <c r="B623" i="9"/>
  <c r="AB626" i="9"/>
  <c r="R626" i="9"/>
  <c r="Q626" i="9"/>
  <c r="N626" i="9"/>
  <c r="B626" i="9"/>
  <c r="B129" i="5"/>
  <c r="M129" i="5"/>
  <c r="AA129" i="5"/>
  <c r="N577" i="8" l="1"/>
  <c r="AB577" i="8"/>
  <c r="N578" i="8"/>
  <c r="AB578" i="8"/>
  <c r="N560" i="8"/>
  <c r="AB560" i="8"/>
  <c r="N561" i="8"/>
  <c r="AB561" i="8"/>
  <c r="N562" i="8"/>
  <c r="AB562" i="8"/>
  <c r="N551" i="8"/>
  <c r="AB551" i="8"/>
  <c r="N550" i="8"/>
  <c r="AB550" i="8"/>
  <c r="N545" i="8"/>
  <c r="AB545" i="8"/>
  <c r="N546" i="8"/>
  <c r="AB546" i="8"/>
  <c r="N547" i="8"/>
  <c r="AB547" i="8"/>
  <c r="N542" i="8"/>
  <c r="AB542" i="8"/>
  <c r="N543" i="8"/>
  <c r="AB543" i="8"/>
  <c r="N531" i="8"/>
  <c r="AB531" i="8"/>
  <c r="N532" i="8"/>
  <c r="AB532" i="8"/>
  <c r="AB601" i="8"/>
  <c r="AB602" i="8"/>
  <c r="N601" i="8"/>
  <c r="N602" i="8"/>
  <c r="N609" i="8"/>
  <c r="AB609" i="8"/>
  <c r="N608" i="8" l="1"/>
  <c r="AB608" i="8"/>
  <c r="N607" i="8"/>
  <c r="AB607" i="8"/>
  <c r="N606" i="8"/>
  <c r="AB606" i="8"/>
  <c r="N605" i="8"/>
  <c r="AB605" i="8"/>
  <c r="N604" i="8"/>
  <c r="AB604" i="8"/>
  <c r="N603" i="8"/>
  <c r="AB603" i="8"/>
  <c r="N573" i="8" l="1"/>
  <c r="AB573" i="8"/>
  <c r="N574" i="8"/>
  <c r="AB574" i="8"/>
  <c r="AB625" i="9"/>
  <c r="R625" i="9"/>
  <c r="Q625" i="9"/>
  <c r="N625" i="9"/>
  <c r="B625" i="9"/>
  <c r="AB624" i="9" l="1"/>
  <c r="R624" i="9"/>
  <c r="Q624" i="9"/>
  <c r="N624" i="9"/>
  <c r="B624" i="9"/>
  <c r="B266" i="3"/>
  <c r="M266" i="3"/>
  <c r="P266" i="3"/>
  <c r="Q266" i="3"/>
  <c r="AA266" i="3"/>
  <c r="B267" i="3"/>
  <c r="M267" i="3"/>
  <c r="P267" i="3"/>
  <c r="Q267" i="3"/>
  <c r="AA267" i="3"/>
  <c r="B268" i="3"/>
  <c r="M268" i="3"/>
  <c r="P268" i="3"/>
  <c r="Q268" i="3"/>
  <c r="AA268" i="3"/>
  <c r="B269" i="3"/>
  <c r="M269" i="3"/>
  <c r="P269" i="3"/>
  <c r="Q269" i="3"/>
  <c r="AA269" i="3"/>
  <c r="B270" i="3"/>
  <c r="M270" i="3"/>
  <c r="P270" i="3"/>
  <c r="Q270" i="3"/>
  <c r="AA270" i="3"/>
  <c r="B271" i="3"/>
  <c r="M271" i="3"/>
  <c r="P271" i="3"/>
  <c r="Q271" i="3"/>
  <c r="AA271" i="3"/>
  <c r="B272" i="3"/>
  <c r="M272" i="3"/>
  <c r="P272" i="3"/>
  <c r="Q272" i="3"/>
  <c r="AA272" i="3"/>
  <c r="B264" i="3" l="1"/>
  <c r="M264" i="3"/>
  <c r="P264" i="3"/>
  <c r="Q264" i="3"/>
  <c r="AA264" i="3"/>
  <c r="B273" i="3"/>
  <c r="M273" i="3"/>
  <c r="P273" i="3"/>
  <c r="Q273" i="3"/>
  <c r="AA273" i="3"/>
  <c r="B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AB619" i="9"/>
  <c r="R619" i="9"/>
  <c r="Q619" i="9"/>
  <c r="N619" i="9"/>
  <c r="B619" i="9"/>
  <c r="AB618" i="9"/>
  <c r="R618" i="9"/>
  <c r="Q618" i="9"/>
  <c r="N618" i="9"/>
  <c r="B618" i="9"/>
  <c r="AB617" i="9"/>
  <c r="R617" i="9"/>
  <c r="Q617" i="9"/>
  <c r="N617" i="9"/>
  <c r="B617" i="9"/>
  <c r="AB616" i="9" l="1"/>
  <c r="R616" i="9"/>
  <c r="Q616" i="9"/>
  <c r="N616" i="9"/>
  <c r="B616" i="9"/>
  <c r="AB615" i="9" l="1"/>
  <c r="R615" i="9"/>
  <c r="Q615" i="9"/>
  <c r="N615" i="9"/>
  <c r="B615" i="9"/>
  <c r="AB614" i="9" l="1"/>
  <c r="R614" i="9"/>
  <c r="Q614" i="9"/>
  <c r="N614" i="9"/>
  <c r="B614" i="9"/>
  <c r="B265" i="3"/>
  <c r="P265" i="3"/>
  <c r="Q265" i="3"/>
  <c r="AA265" i="3"/>
  <c r="M265" i="3"/>
  <c r="N600" i="8" l="1"/>
  <c r="AB600" i="8"/>
  <c r="N599" i="8"/>
  <c r="AB599" i="8"/>
  <c r="B612" i="9"/>
  <c r="B613" i="9"/>
  <c r="N612" i="9"/>
  <c r="N613" i="9"/>
  <c r="Q612" i="9"/>
  <c r="Q613" i="9"/>
  <c r="R612" i="9"/>
  <c r="R613" i="9"/>
  <c r="AB612" i="9"/>
  <c r="AB613" i="9"/>
  <c r="B126" i="5" l="1"/>
  <c r="B127" i="5"/>
  <c r="B128" i="5"/>
  <c r="M126" i="5"/>
  <c r="M127" i="5"/>
  <c r="M128" i="5"/>
  <c r="AA126" i="5"/>
  <c r="AA127" i="5"/>
  <c r="AA128" i="5"/>
  <c r="AB611" i="9" l="1"/>
  <c r="R611" i="9"/>
  <c r="Q611" i="9"/>
  <c r="N611" i="9"/>
  <c r="B611" i="9"/>
  <c r="AB610" i="9"/>
  <c r="R610" i="9"/>
  <c r="Q610" i="9"/>
  <c r="N610" i="9"/>
  <c r="B610" i="9"/>
  <c r="N598" i="8"/>
  <c r="AB598" i="8"/>
  <c r="N597" i="8"/>
  <c r="AB597" i="8"/>
  <c r="B187" i="17"/>
  <c r="P187" i="17"/>
  <c r="Q187" i="17"/>
  <c r="X187" i="17"/>
  <c r="AA187" i="17"/>
  <c r="X185" i="17"/>
  <c r="X2" i="17"/>
  <c r="X3" i="17"/>
  <c r="X4" i="17"/>
  <c r="X5" i="17"/>
  <c r="X6" i="17"/>
  <c r="X7" i="17"/>
  <c r="X8" i="17"/>
  <c r="X9" i="17"/>
  <c r="X10" i="17"/>
  <c r="X11" i="17"/>
  <c r="X12" i="17"/>
  <c r="X13" i="17"/>
  <c r="X14" i="17"/>
  <c r="X15" i="17"/>
  <c r="X16" i="17"/>
  <c r="X17" i="17"/>
  <c r="X18" i="17"/>
  <c r="X19" i="17"/>
  <c r="X20" i="17"/>
  <c r="X21" i="17"/>
  <c r="X22" i="17"/>
  <c r="X23" i="17"/>
  <c r="X24" i="17"/>
  <c r="X25" i="17"/>
  <c r="X26" i="17"/>
  <c r="X27" i="17"/>
  <c r="X28" i="17"/>
  <c r="X29" i="17"/>
  <c r="X30" i="17"/>
  <c r="X31" i="17"/>
  <c r="X32" i="17"/>
  <c r="X33" i="17"/>
  <c r="X34" i="17"/>
  <c r="X35" i="17"/>
  <c r="X36" i="17"/>
  <c r="X37" i="17"/>
  <c r="X38" i="17"/>
  <c r="X39" i="17"/>
  <c r="X40" i="17"/>
  <c r="X41" i="17"/>
  <c r="X42" i="17"/>
  <c r="X43" i="17"/>
  <c r="X44" i="17"/>
  <c r="X45" i="17"/>
  <c r="X46" i="17"/>
  <c r="X47" i="17"/>
  <c r="X48" i="17"/>
  <c r="X49" i="17"/>
  <c r="X50" i="17"/>
  <c r="X51" i="17"/>
  <c r="X52" i="17"/>
  <c r="X53" i="17"/>
  <c r="X54" i="17"/>
  <c r="X55" i="17"/>
  <c r="X56" i="17"/>
  <c r="X57" i="17"/>
  <c r="X58" i="17"/>
  <c r="X59" i="17"/>
  <c r="X60" i="17"/>
  <c r="X61" i="17"/>
  <c r="X62" i="17"/>
  <c r="X63" i="17"/>
  <c r="X64" i="17"/>
  <c r="X65" i="17"/>
  <c r="X66" i="17"/>
  <c r="X67" i="17"/>
  <c r="X68" i="17"/>
  <c r="X69" i="17"/>
  <c r="X70" i="17"/>
  <c r="X71" i="17"/>
  <c r="X72" i="17"/>
  <c r="X73" i="17"/>
  <c r="X74" i="17"/>
  <c r="X75" i="17"/>
  <c r="X76" i="17"/>
  <c r="X77" i="17"/>
  <c r="X78" i="17"/>
  <c r="X79" i="17"/>
  <c r="X80" i="17"/>
  <c r="X81" i="17"/>
  <c r="X82" i="17"/>
  <c r="X83" i="17"/>
  <c r="X84" i="17"/>
  <c r="X85" i="17"/>
  <c r="X86" i="17"/>
  <c r="X87" i="17"/>
  <c r="X88" i="17"/>
  <c r="X89" i="17"/>
  <c r="X90" i="17"/>
  <c r="X91" i="17"/>
  <c r="X92" i="17"/>
  <c r="X93" i="17"/>
  <c r="X94" i="17"/>
  <c r="X95" i="17"/>
  <c r="X96" i="17"/>
  <c r="X97" i="17"/>
  <c r="X98" i="17"/>
  <c r="X99" i="17"/>
  <c r="X100" i="17"/>
  <c r="X101" i="17"/>
  <c r="X102" i="17"/>
  <c r="X103" i="17"/>
  <c r="X104" i="17"/>
  <c r="X105" i="17"/>
  <c r="X106" i="17"/>
  <c r="X107" i="17"/>
  <c r="X108" i="17"/>
  <c r="X109" i="17"/>
  <c r="X110" i="17"/>
  <c r="X111" i="17"/>
  <c r="X112" i="17"/>
  <c r="X113" i="17"/>
  <c r="X114" i="17"/>
  <c r="X115" i="17"/>
  <c r="X116" i="17"/>
  <c r="X117" i="17"/>
  <c r="X118" i="17"/>
  <c r="X119" i="17"/>
  <c r="X120" i="17"/>
  <c r="X121" i="17"/>
  <c r="X122" i="17"/>
  <c r="X123" i="17"/>
  <c r="X124" i="17"/>
  <c r="X125" i="17"/>
  <c r="X126" i="17"/>
  <c r="X127" i="17"/>
  <c r="X128" i="17"/>
  <c r="X129" i="17"/>
  <c r="X130" i="17"/>
  <c r="X131" i="17"/>
  <c r="X132" i="17"/>
  <c r="X133" i="17"/>
  <c r="X134" i="17"/>
  <c r="X135" i="17"/>
  <c r="X136" i="17"/>
  <c r="X137" i="17"/>
  <c r="X138" i="17"/>
  <c r="X139" i="17"/>
  <c r="X140" i="17"/>
  <c r="X141" i="17"/>
  <c r="X142" i="17"/>
  <c r="X143" i="17"/>
  <c r="X144" i="17"/>
  <c r="X145" i="17"/>
  <c r="X146" i="17"/>
  <c r="X147" i="17"/>
  <c r="X148" i="17"/>
  <c r="X149" i="17"/>
  <c r="X150" i="17"/>
  <c r="X151" i="17"/>
  <c r="X152" i="17"/>
  <c r="X153" i="17"/>
  <c r="X154" i="17"/>
  <c r="X155" i="17"/>
  <c r="X156" i="17"/>
  <c r="X157" i="17"/>
  <c r="X158" i="17"/>
  <c r="X159" i="17"/>
  <c r="X160" i="17"/>
  <c r="X161" i="17"/>
  <c r="X162" i="17"/>
  <c r="X163" i="17"/>
  <c r="X164" i="17"/>
  <c r="X165" i="17"/>
  <c r="X166" i="17"/>
  <c r="X167" i="17"/>
  <c r="X168" i="17"/>
  <c r="X169" i="17"/>
  <c r="X170" i="17"/>
  <c r="X171" i="17"/>
  <c r="X172" i="17"/>
  <c r="X173" i="17"/>
  <c r="X174" i="17"/>
  <c r="X175" i="17"/>
  <c r="X176" i="17"/>
  <c r="X177" i="17"/>
  <c r="X178" i="17"/>
  <c r="X179" i="17"/>
  <c r="X180" i="17"/>
  <c r="X181" i="17"/>
  <c r="X182" i="17"/>
  <c r="X183" i="17"/>
  <c r="X184" i="17"/>
  <c r="X186" i="17"/>
  <c r="AA263" i="3"/>
  <c r="Q263" i="3"/>
  <c r="P263" i="3"/>
  <c r="B263" i="3"/>
  <c r="M263" i="3"/>
  <c r="B185" i="17"/>
  <c r="B186" i="17"/>
  <c r="P185" i="17"/>
  <c r="P186" i="17"/>
  <c r="Q185" i="17"/>
  <c r="Q186" i="17"/>
  <c r="AA185" i="17"/>
  <c r="AA186" i="17"/>
  <c r="AA228" i="3"/>
  <c r="Q228" i="3"/>
  <c r="P228" i="3"/>
  <c r="M228" i="3"/>
  <c r="B228" i="3"/>
  <c r="AA229" i="3"/>
  <c r="Q229" i="3"/>
  <c r="P229" i="3"/>
  <c r="M229" i="3"/>
  <c r="B229" i="3"/>
  <c r="X222" i="12"/>
  <c r="X2" i="12"/>
  <c r="X3" i="12"/>
  <c r="X4" i="12"/>
  <c r="X5" i="12"/>
  <c r="X6" i="12"/>
  <c r="X7" i="12"/>
  <c r="X8" i="12"/>
  <c r="X9" i="12"/>
  <c r="X10" i="12"/>
  <c r="X11" i="12"/>
  <c r="X12" i="12"/>
  <c r="X13" i="12"/>
  <c r="X14" i="12"/>
  <c r="X15" i="12"/>
  <c r="X16" i="12"/>
  <c r="X17" i="12"/>
  <c r="X18" i="12"/>
  <c r="X19" i="12"/>
  <c r="X20" i="12"/>
  <c r="X21" i="12"/>
  <c r="X22" i="12"/>
  <c r="X23" i="12"/>
  <c r="X24" i="12"/>
  <c r="X25" i="12"/>
  <c r="X26" i="12"/>
  <c r="X27" i="12"/>
  <c r="X28" i="12"/>
  <c r="X29" i="12"/>
  <c r="X30" i="12"/>
  <c r="X31" i="12"/>
  <c r="X32" i="12"/>
  <c r="X33" i="12"/>
  <c r="X34" i="12"/>
  <c r="X35" i="12"/>
  <c r="X36" i="12"/>
  <c r="X37" i="12"/>
  <c r="X38" i="12"/>
  <c r="X39" i="12"/>
  <c r="X40" i="12"/>
  <c r="X41" i="12"/>
  <c r="X42" i="12"/>
  <c r="X43" i="12"/>
  <c r="X44" i="12"/>
  <c r="X45" i="12"/>
  <c r="X46" i="12"/>
  <c r="X47" i="12"/>
  <c r="X48" i="12"/>
  <c r="X49" i="12"/>
  <c r="X50" i="12"/>
  <c r="X51" i="12"/>
  <c r="X52" i="12"/>
  <c r="X53" i="12"/>
  <c r="X54" i="12"/>
  <c r="X55" i="12"/>
  <c r="X56" i="12"/>
  <c r="X57" i="12"/>
  <c r="X58" i="12"/>
  <c r="X59" i="12"/>
  <c r="X60" i="12"/>
  <c r="X61" i="12"/>
  <c r="X62" i="12"/>
  <c r="X63" i="12"/>
  <c r="X64" i="12"/>
  <c r="X65" i="12"/>
  <c r="X66" i="12"/>
  <c r="X67" i="12"/>
  <c r="X68" i="12"/>
  <c r="X69" i="12"/>
  <c r="X70" i="12"/>
  <c r="X71" i="12"/>
  <c r="X72" i="12"/>
  <c r="X73" i="12"/>
  <c r="X74" i="12"/>
  <c r="X75" i="12"/>
  <c r="X76" i="12"/>
  <c r="X77" i="12"/>
  <c r="X78" i="12"/>
  <c r="X79" i="12"/>
  <c r="X80" i="12"/>
  <c r="X81" i="12"/>
  <c r="X82" i="12"/>
  <c r="X83" i="12"/>
  <c r="X84" i="12"/>
  <c r="X85" i="12"/>
  <c r="X86" i="12"/>
  <c r="X87" i="12"/>
  <c r="X88" i="12"/>
  <c r="X89" i="12"/>
  <c r="X90" i="12"/>
  <c r="X91" i="12"/>
  <c r="X92" i="12"/>
  <c r="X93" i="12"/>
  <c r="X94" i="12"/>
  <c r="X95" i="12"/>
  <c r="X96" i="12"/>
  <c r="X97" i="12"/>
  <c r="X98" i="12"/>
  <c r="X99" i="12"/>
  <c r="X100" i="12"/>
  <c r="X101" i="12"/>
  <c r="X102" i="12"/>
  <c r="X103" i="12"/>
  <c r="X104" i="12"/>
  <c r="X105" i="12"/>
  <c r="X106" i="12"/>
  <c r="X107" i="12"/>
  <c r="X108" i="12"/>
  <c r="X109" i="12"/>
  <c r="X110" i="12"/>
  <c r="X111" i="12"/>
  <c r="X112" i="12"/>
  <c r="X113" i="12"/>
  <c r="X114" i="12"/>
  <c r="X115" i="12"/>
  <c r="X116" i="12"/>
  <c r="X117" i="12"/>
  <c r="X118" i="12"/>
  <c r="X119" i="12"/>
  <c r="X120" i="12"/>
  <c r="X121" i="12"/>
  <c r="X122" i="12"/>
  <c r="X123" i="12"/>
  <c r="X124" i="12"/>
  <c r="X125" i="12"/>
  <c r="X126" i="12"/>
  <c r="X127" i="12"/>
  <c r="X128" i="12"/>
  <c r="X129" i="12"/>
  <c r="X130" i="12"/>
  <c r="X131" i="12"/>
  <c r="X132" i="12"/>
  <c r="X133" i="12"/>
  <c r="X134" i="12"/>
  <c r="X135" i="12"/>
  <c r="X136" i="12"/>
  <c r="X137" i="12"/>
  <c r="X138" i="12"/>
  <c r="X139" i="12"/>
  <c r="X140" i="12"/>
  <c r="X141" i="12"/>
  <c r="X142" i="12"/>
  <c r="X143" i="12"/>
  <c r="X144" i="12"/>
  <c r="X145" i="12"/>
  <c r="X146" i="12"/>
  <c r="X147" i="12"/>
  <c r="X148" i="12"/>
  <c r="X149" i="12"/>
  <c r="X150" i="12"/>
  <c r="X151" i="12"/>
  <c r="X152" i="12"/>
  <c r="X153" i="12"/>
  <c r="X154" i="12"/>
  <c r="X155" i="12"/>
  <c r="X156" i="12"/>
  <c r="X157" i="12"/>
  <c r="X158" i="12"/>
  <c r="X159" i="12"/>
  <c r="X160" i="12"/>
  <c r="X161" i="12"/>
  <c r="X162" i="12"/>
  <c r="X163" i="12"/>
  <c r="X164" i="12"/>
  <c r="X165" i="12"/>
  <c r="X166" i="12"/>
  <c r="X167" i="12"/>
  <c r="X168" i="12"/>
  <c r="X169" i="12"/>
  <c r="X170" i="12"/>
  <c r="X171" i="12"/>
  <c r="X172" i="12"/>
  <c r="X173" i="12"/>
  <c r="X174" i="12"/>
  <c r="X175" i="12"/>
  <c r="X176" i="12"/>
  <c r="X177" i="12"/>
  <c r="X178" i="12"/>
  <c r="X179" i="12"/>
  <c r="X180" i="12"/>
  <c r="X181" i="12"/>
  <c r="X182" i="12"/>
  <c r="X183" i="12"/>
  <c r="X184" i="12"/>
  <c r="X185" i="12"/>
  <c r="X186" i="12"/>
  <c r="X187" i="12"/>
  <c r="X188" i="12"/>
  <c r="X189" i="12"/>
  <c r="X190" i="12"/>
  <c r="X191" i="12"/>
  <c r="X192" i="12"/>
  <c r="X193" i="12"/>
  <c r="X194" i="12"/>
  <c r="X195" i="12"/>
  <c r="X196" i="12"/>
  <c r="X197" i="12"/>
  <c r="X198" i="12"/>
  <c r="X199" i="12"/>
  <c r="X200" i="12"/>
  <c r="X201" i="12"/>
  <c r="X202" i="12"/>
  <c r="X203" i="12"/>
  <c r="X204" i="12"/>
  <c r="X205" i="12"/>
  <c r="X206" i="12"/>
  <c r="X207" i="12"/>
  <c r="X208" i="12"/>
  <c r="X209" i="12"/>
  <c r="X210" i="12"/>
  <c r="X211" i="12"/>
  <c r="X212" i="12"/>
  <c r="X213" i="12"/>
  <c r="X214" i="12"/>
  <c r="X215" i="12"/>
  <c r="X216" i="12"/>
  <c r="X217" i="12"/>
  <c r="X218" i="12"/>
  <c r="X219" i="12"/>
  <c r="X220" i="12"/>
  <c r="X221" i="12"/>
  <c r="X223" i="12"/>
  <c r="X224" i="12"/>
  <c r="X225" i="12"/>
  <c r="B225" i="12"/>
  <c r="M225" i="12"/>
  <c r="P225" i="12"/>
  <c r="Q225" i="12"/>
  <c r="AA225" i="12"/>
  <c r="B220" i="12"/>
  <c r="B221" i="12"/>
  <c r="B222" i="12"/>
  <c r="B223" i="12"/>
  <c r="B224" i="12"/>
  <c r="M220" i="12"/>
  <c r="M221" i="12"/>
  <c r="M222" i="12"/>
  <c r="M223" i="12"/>
  <c r="M224" i="12"/>
  <c r="P220" i="12"/>
  <c r="P221" i="12"/>
  <c r="P222" i="12"/>
  <c r="P223" i="12"/>
  <c r="P224" i="12"/>
  <c r="Q220" i="12"/>
  <c r="Q221" i="12"/>
  <c r="Q222" i="12"/>
  <c r="Q223" i="12"/>
  <c r="Q224" i="12"/>
  <c r="AA220" i="12"/>
  <c r="AA221" i="12"/>
  <c r="AA222" i="12"/>
  <c r="AA223" i="12"/>
  <c r="AA224" i="12"/>
  <c r="B3" i="17"/>
  <c r="B4" i="17"/>
  <c r="B5" i="17"/>
  <c r="B6" i="17"/>
  <c r="B7" i="17"/>
  <c r="B8" i="17"/>
  <c r="B9" i="17"/>
  <c r="B10" i="17"/>
  <c r="B11" i="17"/>
  <c r="B12" i="17"/>
  <c r="B13" i="17"/>
  <c r="B14" i="17"/>
  <c r="B15" i="17"/>
  <c r="B16" i="17"/>
  <c r="B17" i="17"/>
  <c r="B18" i="17"/>
  <c r="B19" i="17"/>
  <c r="B20" i="17"/>
  <c r="B21" i="17"/>
  <c r="B22" i="17"/>
  <c r="B23" i="17"/>
  <c r="B24" i="17"/>
  <c r="B25" i="17"/>
  <c r="B26" i="17"/>
  <c r="B27" i="17"/>
  <c r="B28" i="17"/>
  <c r="B29" i="17"/>
  <c r="B30" i="17"/>
  <c r="B31" i="17"/>
  <c r="B32" i="17"/>
  <c r="B33" i="17"/>
  <c r="B34" i="17"/>
  <c r="B35" i="17"/>
  <c r="B36" i="17"/>
  <c r="B37" i="17"/>
  <c r="B38" i="17"/>
  <c r="B39" i="17"/>
  <c r="B40" i="17"/>
  <c r="B41" i="17"/>
  <c r="B42" i="17"/>
  <c r="B43" i="17"/>
  <c r="B44" i="17"/>
  <c r="B45" i="17"/>
  <c r="B46" i="17"/>
  <c r="B47" i="17"/>
  <c r="B48" i="17"/>
  <c r="B49" i="17"/>
  <c r="B50" i="17"/>
  <c r="B51" i="17"/>
  <c r="B52" i="17"/>
  <c r="B53" i="17"/>
  <c r="B54" i="17"/>
  <c r="B55" i="17"/>
  <c r="B56" i="17"/>
  <c r="B57" i="17"/>
  <c r="B58" i="17"/>
  <c r="B59" i="17"/>
  <c r="B60" i="17"/>
  <c r="B61" i="17"/>
  <c r="B62" i="17"/>
  <c r="B63" i="17"/>
  <c r="B64" i="17"/>
  <c r="B65" i="17"/>
  <c r="B66" i="17"/>
  <c r="B67" i="17"/>
  <c r="B68" i="17"/>
  <c r="B69" i="17"/>
  <c r="B70" i="17"/>
  <c r="B71" i="17"/>
  <c r="B72" i="17"/>
  <c r="B73" i="17"/>
  <c r="B74" i="17"/>
  <c r="B75" i="17"/>
  <c r="B76" i="17"/>
  <c r="B77" i="17"/>
  <c r="B78" i="17"/>
  <c r="B79" i="17"/>
  <c r="B80" i="17"/>
  <c r="B81" i="17"/>
  <c r="B82" i="17"/>
  <c r="B83" i="17"/>
  <c r="B84" i="17"/>
  <c r="B85" i="17"/>
  <c r="B86" i="17"/>
  <c r="B87" i="17"/>
  <c r="B88" i="17"/>
  <c r="B89" i="17"/>
  <c r="B90" i="17"/>
  <c r="B91" i="17"/>
  <c r="B92" i="17"/>
  <c r="B93" i="17"/>
  <c r="B94" i="17"/>
  <c r="B95" i="17"/>
  <c r="B96" i="17"/>
  <c r="B97" i="17"/>
  <c r="B98" i="17"/>
  <c r="B99" i="17"/>
  <c r="B100" i="17"/>
  <c r="B101" i="17"/>
  <c r="B102" i="17"/>
  <c r="B103" i="17"/>
  <c r="B104" i="17"/>
  <c r="B105" i="17"/>
  <c r="B106" i="17"/>
  <c r="B107" i="17"/>
  <c r="B108" i="17"/>
  <c r="B109" i="17"/>
  <c r="B110" i="17"/>
  <c r="B111" i="17"/>
  <c r="B112" i="17"/>
  <c r="B113" i="17"/>
  <c r="B114" i="17"/>
  <c r="B115" i="17"/>
  <c r="B116" i="17"/>
  <c r="B117" i="17"/>
  <c r="B118" i="17"/>
  <c r="B119" i="17"/>
  <c r="B120" i="17"/>
  <c r="B121" i="17"/>
  <c r="B122" i="17"/>
  <c r="B123" i="17"/>
  <c r="B124" i="17"/>
  <c r="B125" i="17"/>
  <c r="B126" i="17"/>
  <c r="B127" i="17"/>
  <c r="B128" i="17"/>
  <c r="B129" i="17"/>
  <c r="B130" i="17"/>
  <c r="B131" i="17"/>
  <c r="B132" i="17"/>
  <c r="B133" i="17"/>
  <c r="B134" i="17"/>
  <c r="B135" i="17"/>
  <c r="B136" i="17"/>
  <c r="B137" i="17"/>
  <c r="B138" i="17"/>
  <c r="B139" i="17"/>
  <c r="B140" i="17"/>
  <c r="B141" i="17"/>
  <c r="B142" i="17"/>
  <c r="B143" i="17"/>
  <c r="B144" i="17"/>
  <c r="B145" i="17"/>
  <c r="B146" i="17"/>
  <c r="B147" i="17"/>
  <c r="B148" i="17"/>
  <c r="B149" i="17"/>
  <c r="B150" i="17"/>
  <c r="B151" i="17"/>
  <c r="B152" i="17"/>
  <c r="B153" i="17"/>
  <c r="B154" i="17"/>
  <c r="B155" i="17"/>
  <c r="B156" i="17"/>
  <c r="B157" i="17"/>
  <c r="B158" i="17"/>
  <c r="B159" i="17"/>
  <c r="B160" i="17"/>
  <c r="B161" i="17"/>
  <c r="B162" i="17"/>
  <c r="B163" i="17"/>
  <c r="B164" i="17"/>
  <c r="B165" i="17"/>
  <c r="B166" i="17"/>
  <c r="B167" i="17"/>
  <c r="B168" i="17"/>
  <c r="B169" i="17"/>
  <c r="B170" i="17"/>
  <c r="B171" i="17"/>
  <c r="B172" i="17"/>
  <c r="B173" i="17"/>
  <c r="B174" i="17"/>
  <c r="B175" i="17"/>
  <c r="B176" i="17"/>
  <c r="B177" i="17"/>
  <c r="B178" i="17"/>
  <c r="B179" i="17"/>
  <c r="B180" i="17"/>
  <c r="B181" i="17"/>
  <c r="B182" i="17"/>
  <c r="B183" i="17"/>
  <c r="B184" i="17"/>
  <c r="P3" i="17"/>
  <c r="P4" i="17"/>
  <c r="P5" i="17"/>
  <c r="P6" i="17"/>
  <c r="P7" i="17"/>
  <c r="P8" i="17"/>
  <c r="P9" i="17"/>
  <c r="P10" i="17"/>
  <c r="P11" i="17"/>
  <c r="P12" i="17"/>
  <c r="P13" i="17"/>
  <c r="P14" i="17"/>
  <c r="P15" i="17"/>
  <c r="P16" i="17"/>
  <c r="P17" i="17"/>
  <c r="P18" i="17"/>
  <c r="P19" i="17"/>
  <c r="P20" i="17"/>
  <c r="P21" i="17"/>
  <c r="P22" i="17"/>
  <c r="P23" i="17"/>
  <c r="P24" i="17"/>
  <c r="P25" i="17"/>
  <c r="P26" i="17"/>
  <c r="P27" i="17"/>
  <c r="P28" i="17"/>
  <c r="P29" i="17"/>
  <c r="P30" i="17"/>
  <c r="P31" i="17"/>
  <c r="P32" i="17"/>
  <c r="P33" i="17"/>
  <c r="P34" i="17"/>
  <c r="P35" i="17"/>
  <c r="P36" i="17"/>
  <c r="P37" i="17"/>
  <c r="P38" i="17"/>
  <c r="P39" i="17"/>
  <c r="P40" i="17"/>
  <c r="P41" i="17"/>
  <c r="P42" i="17"/>
  <c r="P43" i="17"/>
  <c r="P44" i="17"/>
  <c r="P45" i="17"/>
  <c r="P46" i="17"/>
  <c r="P47" i="17"/>
  <c r="P48" i="17"/>
  <c r="P49" i="17"/>
  <c r="P50" i="17"/>
  <c r="P51" i="17"/>
  <c r="P52" i="17"/>
  <c r="P53" i="17"/>
  <c r="P54" i="17"/>
  <c r="P55" i="17"/>
  <c r="P56" i="17"/>
  <c r="P57" i="17"/>
  <c r="P58" i="17"/>
  <c r="P59" i="17"/>
  <c r="P60" i="17"/>
  <c r="P61" i="17"/>
  <c r="P62" i="17"/>
  <c r="P63" i="17"/>
  <c r="P64" i="17"/>
  <c r="P65" i="17"/>
  <c r="P66" i="17"/>
  <c r="P67" i="17"/>
  <c r="P68" i="17"/>
  <c r="P69" i="17"/>
  <c r="P70" i="17"/>
  <c r="P71" i="17"/>
  <c r="P72" i="17"/>
  <c r="P73" i="17"/>
  <c r="P74" i="17"/>
  <c r="P75" i="17"/>
  <c r="P76" i="17"/>
  <c r="P77" i="17"/>
  <c r="P78" i="17"/>
  <c r="P79" i="17"/>
  <c r="P80" i="17"/>
  <c r="P81" i="17"/>
  <c r="P82" i="17"/>
  <c r="P83" i="17"/>
  <c r="P84" i="17"/>
  <c r="P85" i="17"/>
  <c r="P86" i="17"/>
  <c r="P87" i="17"/>
  <c r="P88" i="17"/>
  <c r="P89" i="17"/>
  <c r="P90" i="17"/>
  <c r="P91" i="17"/>
  <c r="P92" i="17"/>
  <c r="P93" i="17"/>
  <c r="P94" i="17"/>
  <c r="P95" i="17"/>
  <c r="P96" i="17"/>
  <c r="P97" i="17"/>
  <c r="P98" i="17"/>
  <c r="P99" i="17"/>
  <c r="P100" i="17"/>
  <c r="P101" i="17"/>
  <c r="P102" i="17"/>
  <c r="P103" i="17"/>
  <c r="P104" i="17"/>
  <c r="P105" i="17"/>
  <c r="P106" i="17"/>
  <c r="P107" i="17"/>
  <c r="P108" i="17"/>
  <c r="P109" i="17"/>
  <c r="P110" i="17"/>
  <c r="P111" i="17"/>
  <c r="P112" i="17"/>
  <c r="P113" i="17"/>
  <c r="P114" i="17"/>
  <c r="P115" i="17"/>
  <c r="P116" i="17"/>
  <c r="P117" i="17"/>
  <c r="P118" i="17"/>
  <c r="P119" i="17"/>
  <c r="P120" i="17"/>
  <c r="P121" i="17"/>
  <c r="P122" i="17"/>
  <c r="P123" i="17"/>
  <c r="P124" i="17"/>
  <c r="P125" i="17"/>
  <c r="P126" i="17"/>
  <c r="P127" i="17"/>
  <c r="P128" i="17"/>
  <c r="P129" i="17"/>
  <c r="P130" i="17"/>
  <c r="P131" i="17"/>
  <c r="P132" i="17"/>
  <c r="P133" i="17"/>
  <c r="P134" i="17"/>
  <c r="P135" i="17"/>
  <c r="P136" i="17"/>
  <c r="P137" i="17"/>
  <c r="P138" i="17"/>
  <c r="P139" i="17"/>
  <c r="P140" i="17"/>
  <c r="P141" i="17"/>
  <c r="P142" i="17"/>
  <c r="P143" i="17"/>
  <c r="P144" i="17"/>
  <c r="P145" i="17"/>
  <c r="P146" i="17"/>
  <c r="P147" i="17"/>
  <c r="P148" i="17"/>
  <c r="P149" i="17"/>
  <c r="P150" i="17"/>
  <c r="P151" i="17"/>
  <c r="P152" i="17"/>
  <c r="P153" i="17"/>
  <c r="P154" i="17"/>
  <c r="P155" i="17"/>
  <c r="P156" i="17"/>
  <c r="P157" i="17"/>
  <c r="P158" i="17"/>
  <c r="P159" i="17"/>
  <c r="P160" i="17"/>
  <c r="P161" i="17"/>
  <c r="P162" i="17"/>
  <c r="P163" i="17"/>
  <c r="P164" i="17"/>
  <c r="P165" i="17"/>
  <c r="P166" i="17"/>
  <c r="P167" i="17"/>
  <c r="P168" i="17"/>
  <c r="P169" i="17"/>
  <c r="P170" i="17"/>
  <c r="P171" i="17"/>
  <c r="P172" i="17"/>
  <c r="P173" i="17"/>
  <c r="P174" i="17"/>
  <c r="P175" i="17"/>
  <c r="P176" i="17"/>
  <c r="P177" i="17"/>
  <c r="P178" i="17"/>
  <c r="P179" i="17"/>
  <c r="P180" i="17"/>
  <c r="P181" i="17"/>
  <c r="P182" i="17"/>
  <c r="P183" i="17"/>
  <c r="P184" i="17"/>
  <c r="Q3" i="17"/>
  <c r="Q4" i="17"/>
  <c r="Q5" i="17"/>
  <c r="Q6" i="17"/>
  <c r="Q7" i="17"/>
  <c r="Q8" i="17"/>
  <c r="Q9" i="17"/>
  <c r="Q10" i="17"/>
  <c r="Q11" i="17"/>
  <c r="Q12" i="17"/>
  <c r="Q13" i="17"/>
  <c r="Q14" i="17"/>
  <c r="Q15" i="17"/>
  <c r="Q16" i="17"/>
  <c r="Q17" i="17"/>
  <c r="Q18" i="17"/>
  <c r="Q19" i="17"/>
  <c r="Q20" i="17"/>
  <c r="Q21" i="17"/>
  <c r="Q22" i="17"/>
  <c r="Q23" i="17"/>
  <c r="Q24" i="17"/>
  <c r="Q25" i="17"/>
  <c r="Q26" i="17"/>
  <c r="Q27" i="17"/>
  <c r="Q28" i="17"/>
  <c r="Q29" i="17"/>
  <c r="Q30" i="17"/>
  <c r="Q31" i="17"/>
  <c r="Q32" i="17"/>
  <c r="Q33" i="17"/>
  <c r="Q34" i="17"/>
  <c r="Q35" i="17"/>
  <c r="Q36" i="17"/>
  <c r="Q37" i="17"/>
  <c r="Q38" i="17"/>
  <c r="Q39" i="17"/>
  <c r="Q40" i="17"/>
  <c r="Q41" i="17"/>
  <c r="Q42" i="17"/>
  <c r="Q43" i="17"/>
  <c r="Q44" i="17"/>
  <c r="Q45" i="17"/>
  <c r="Q46" i="17"/>
  <c r="Q47" i="17"/>
  <c r="Q48" i="17"/>
  <c r="Q49" i="17"/>
  <c r="Q50" i="17"/>
  <c r="Q51" i="17"/>
  <c r="Q52" i="17"/>
  <c r="Q53" i="17"/>
  <c r="Q54" i="17"/>
  <c r="Q55" i="17"/>
  <c r="Q56" i="17"/>
  <c r="Q57" i="17"/>
  <c r="Q58" i="17"/>
  <c r="Q59" i="17"/>
  <c r="Q60" i="17"/>
  <c r="Q61" i="17"/>
  <c r="Q62" i="17"/>
  <c r="Q63" i="17"/>
  <c r="Q64" i="17"/>
  <c r="Q65" i="17"/>
  <c r="Q66" i="17"/>
  <c r="Q67" i="17"/>
  <c r="Q68" i="17"/>
  <c r="Q69" i="17"/>
  <c r="Q70" i="17"/>
  <c r="Q71" i="17"/>
  <c r="Q72" i="17"/>
  <c r="Q73" i="17"/>
  <c r="Q74" i="17"/>
  <c r="Q75" i="17"/>
  <c r="Q76" i="17"/>
  <c r="Q77" i="17"/>
  <c r="Q78" i="17"/>
  <c r="Q79" i="17"/>
  <c r="Q80" i="17"/>
  <c r="Q81" i="17"/>
  <c r="Q82" i="17"/>
  <c r="Q83" i="17"/>
  <c r="Q84" i="17"/>
  <c r="Q85" i="17"/>
  <c r="Q86" i="17"/>
  <c r="Q87" i="17"/>
  <c r="Q88" i="17"/>
  <c r="Q89" i="17"/>
  <c r="Q90" i="17"/>
  <c r="Q91" i="17"/>
  <c r="Q92" i="17"/>
  <c r="Q93" i="17"/>
  <c r="Q94" i="17"/>
  <c r="Q95" i="17"/>
  <c r="Q96" i="17"/>
  <c r="Q97" i="17"/>
  <c r="Q98" i="17"/>
  <c r="Q99" i="17"/>
  <c r="Q100" i="17"/>
  <c r="Q101" i="17"/>
  <c r="Q102" i="17"/>
  <c r="Q103" i="17"/>
  <c r="Q104" i="17"/>
  <c r="Q105" i="17"/>
  <c r="Q106" i="17"/>
  <c r="Q107" i="17"/>
  <c r="Q108" i="17"/>
  <c r="Q109" i="17"/>
  <c r="Q110" i="17"/>
  <c r="Q111" i="17"/>
  <c r="Q112" i="17"/>
  <c r="Q113" i="17"/>
  <c r="Q114" i="17"/>
  <c r="Q115" i="17"/>
  <c r="Q116" i="17"/>
  <c r="Q117" i="17"/>
  <c r="Q118" i="17"/>
  <c r="Q119" i="17"/>
  <c r="Q120" i="17"/>
  <c r="Q121" i="17"/>
  <c r="Q122" i="17"/>
  <c r="Q123" i="17"/>
  <c r="Q124" i="17"/>
  <c r="Q125" i="17"/>
  <c r="Q126" i="17"/>
  <c r="Q127" i="17"/>
  <c r="Q128" i="17"/>
  <c r="Q129" i="17"/>
  <c r="Q130" i="17"/>
  <c r="Q131" i="17"/>
  <c r="Q132" i="17"/>
  <c r="Q133" i="17"/>
  <c r="Q134" i="17"/>
  <c r="Q135" i="17"/>
  <c r="Q136" i="17"/>
  <c r="Q137" i="17"/>
  <c r="Q138" i="17"/>
  <c r="Q139" i="17"/>
  <c r="Q140" i="17"/>
  <c r="Q141" i="17"/>
  <c r="Q142" i="17"/>
  <c r="Q143" i="17"/>
  <c r="Q144" i="17"/>
  <c r="Q145" i="17"/>
  <c r="Q146" i="17"/>
  <c r="Q147" i="17"/>
  <c r="Q148" i="17"/>
  <c r="Q149" i="17"/>
  <c r="Q150" i="17"/>
  <c r="Q151" i="17"/>
  <c r="Q152" i="17"/>
  <c r="Q153" i="17"/>
  <c r="Q154" i="17"/>
  <c r="Q155" i="17"/>
  <c r="Q156" i="17"/>
  <c r="Q157" i="17"/>
  <c r="Q158" i="17"/>
  <c r="Q159" i="17"/>
  <c r="Q160" i="17"/>
  <c r="Q161" i="17"/>
  <c r="Q162" i="17"/>
  <c r="Q163" i="17"/>
  <c r="Q164" i="17"/>
  <c r="Q165" i="17"/>
  <c r="Q166" i="17"/>
  <c r="Q167" i="17"/>
  <c r="Q168" i="17"/>
  <c r="Q169" i="17"/>
  <c r="Q170" i="17"/>
  <c r="Q171" i="17"/>
  <c r="Q172" i="17"/>
  <c r="Q173" i="17"/>
  <c r="Q174" i="17"/>
  <c r="Q175" i="17"/>
  <c r="Q176" i="17"/>
  <c r="Q177" i="17"/>
  <c r="Q178" i="17"/>
  <c r="Q179" i="17"/>
  <c r="Q180" i="17"/>
  <c r="Q181" i="17"/>
  <c r="Q182" i="17"/>
  <c r="Q183" i="17"/>
  <c r="Q184" i="17"/>
  <c r="AA3" i="17"/>
  <c r="AA4" i="17"/>
  <c r="AA5" i="17"/>
  <c r="AA6" i="17"/>
  <c r="AA7" i="17"/>
  <c r="AA8" i="17"/>
  <c r="AA9" i="17"/>
  <c r="AA10" i="17"/>
  <c r="AA11" i="17"/>
  <c r="AA12" i="17"/>
  <c r="AA13" i="17"/>
  <c r="AA14" i="17"/>
  <c r="AA15" i="17"/>
  <c r="AA16" i="17"/>
  <c r="AA17" i="17"/>
  <c r="AA18" i="17"/>
  <c r="AA19" i="17"/>
  <c r="AA20" i="17"/>
  <c r="AA21" i="17"/>
  <c r="AA22" i="17"/>
  <c r="AA23" i="17"/>
  <c r="AA24" i="17"/>
  <c r="AA25" i="17"/>
  <c r="AA26" i="17"/>
  <c r="AA27" i="17"/>
  <c r="AA28" i="17"/>
  <c r="AA29" i="17"/>
  <c r="AA30" i="17"/>
  <c r="AA31" i="17"/>
  <c r="AA32" i="17"/>
  <c r="AA33" i="17"/>
  <c r="AA34" i="17"/>
  <c r="AA35" i="17"/>
  <c r="AA36" i="17"/>
  <c r="AA37" i="17"/>
  <c r="AA38" i="17"/>
  <c r="AA39" i="17"/>
  <c r="AA40" i="17"/>
  <c r="AA41" i="17"/>
  <c r="AA42" i="17"/>
  <c r="AA43" i="17"/>
  <c r="AA44" i="17"/>
  <c r="AA45" i="17"/>
  <c r="AA46" i="17"/>
  <c r="AA47" i="17"/>
  <c r="AA48" i="17"/>
  <c r="AA49" i="17"/>
  <c r="AA50" i="17"/>
  <c r="AA51" i="17"/>
  <c r="AA52" i="17"/>
  <c r="AA53" i="17"/>
  <c r="AA54" i="17"/>
  <c r="AA55" i="17"/>
  <c r="AA56" i="17"/>
  <c r="AA57" i="17"/>
  <c r="AA58" i="17"/>
  <c r="AA59" i="17"/>
  <c r="AA60" i="17"/>
  <c r="AA61" i="17"/>
  <c r="AA62" i="17"/>
  <c r="AA63" i="17"/>
  <c r="AA64" i="17"/>
  <c r="AA65" i="17"/>
  <c r="AA66" i="17"/>
  <c r="AA67" i="17"/>
  <c r="AA68" i="17"/>
  <c r="AA69" i="17"/>
  <c r="AA70" i="17"/>
  <c r="AA71" i="17"/>
  <c r="AA72" i="17"/>
  <c r="AA73" i="17"/>
  <c r="AA74" i="17"/>
  <c r="AA75" i="17"/>
  <c r="AA76" i="17"/>
  <c r="AA77" i="17"/>
  <c r="AA78" i="17"/>
  <c r="AA79" i="17"/>
  <c r="AA80" i="17"/>
  <c r="AA81" i="17"/>
  <c r="AA82" i="17"/>
  <c r="AA83" i="17"/>
  <c r="AA84" i="17"/>
  <c r="AA85" i="17"/>
  <c r="AA86" i="17"/>
  <c r="AA87" i="17"/>
  <c r="AA88" i="17"/>
  <c r="AA89" i="17"/>
  <c r="AA90" i="17"/>
  <c r="AA91" i="17"/>
  <c r="AA92" i="17"/>
  <c r="AA93" i="17"/>
  <c r="AA94" i="17"/>
  <c r="AA95" i="17"/>
  <c r="AA96" i="17"/>
  <c r="AA97" i="17"/>
  <c r="AA98" i="17"/>
  <c r="AA99" i="17"/>
  <c r="AA100" i="17"/>
  <c r="AA101" i="17"/>
  <c r="AA102" i="17"/>
  <c r="AA103" i="17"/>
  <c r="AA104" i="17"/>
  <c r="AA105" i="17"/>
  <c r="AA106" i="17"/>
  <c r="AA107" i="17"/>
  <c r="AA108" i="17"/>
  <c r="AA109" i="17"/>
  <c r="AA110" i="17"/>
  <c r="AA111" i="17"/>
  <c r="AA112" i="17"/>
  <c r="AA113" i="17"/>
  <c r="AA114" i="17"/>
  <c r="AA115" i="17"/>
  <c r="AA116" i="17"/>
  <c r="AA117" i="17"/>
  <c r="AA118" i="17"/>
  <c r="AA119" i="17"/>
  <c r="AA120" i="17"/>
  <c r="AA121" i="17"/>
  <c r="AA122" i="17"/>
  <c r="AA123" i="17"/>
  <c r="AA124" i="17"/>
  <c r="AA125" i="17"/>
  <c r="AA126" i="17"/>
  <c r="AA127" i="17"/>
  <c r="AA128" i="17"/>
  <c r="AA129" i="17"/>
  <c r="AA130" i="17"/>
  <c r="AA131" i="17"/>
  <c r="AA132" i="17"/>
  <c r="AA133" i="17"/>
  <c r="AA134" i="17"/>
  <c r="AA135" i="17"/>
  <c r="AA136" i="17"/>
  <c r="AA137" i="17"/>
  <c r="AA138" i="17"/>
  <c r="AA139" i="17"/>
  <c r="AA140" i="17"/>
  <c r="AA141" i="17"/>
  <c r="AA142" i="17"/>
  <c r="AA143" i="17"/>
  <c r="AA144" i="17"/>
  <c r="AA145" i="17"/>
  <c r="AA146" i="17"/>
  <c r="AA147" i="17"/>
  <c r="AA148" i="17"/>
  <c r="AA149" i="17"/>
  <c r="AA150" i="17"/>
  <c r="AA151" i="17"/>
  <c r="AA152" i="17"/>
  <c r="AA153" i="17"/>
  <c r="AA154" i="17"/>
  <c r="AA155" i="17"/>
  <c r="AA156" i="17"/>
  <c r="AA157" i="17"/>
  <c r="AA158" i="17"/>
  <c r="AA159" i="17"/>
  <c r="AA160" i="17"/>
  <c r="AA161" i="17"/>
  <c r="AA162" i="17"/>
  <c r="AA163" i="17"/>
  <c r="AA164" i="17"/>
  <c r="AA165" i="17"/>
  <c r="AA166" i="17"/>
  <c r="AA167" i="17"/>
  <c r="AA168" i="17"/>
  <c r="AA169" i="17"/>
  <c r="AA170" i="17"/>
  <c r="AA171" i="17"/>
  <c r="AA172" i="17"/>
  <c r="AA173" i="17"/>
  <c r="AA174" i="17"/>
  <c r="AA175" i="17"/>
  <c r="AA176" i="17"/>
  <c r="AA177" i="17"/>
  <c r="AA178" i="17"/>
  <c r="AA179" i="17"/>
  <c r="AA180" i="17"/>
  <c r="AA181" i="17"/>
  <c r="AA182" i="17"/>
  <c r="AA183" i="17"/>
  <c r="AA184" i="17"/>
  <c r="B2" i="17"/>
  <c r="AA2" i="17"/>
  <c r="Q2" i="17"/>
  <c r="P2" i="17"/>
  <c r="R2" i="17" s="1"/>
  <c r="R3" i="17" l="1"/>
  <c r="R4" i="17" s="1"/>
  <c r="R5" i="17" s="1"/>
  <c r="R6" i="17" s="1"/>
  <c r="R7" i="17" s="1"/>
  <c r="R8" i="17" s="1"/>
  <c r="R9" i="17" s="1"/>
  <c r="R10" i="17" s="1"/>
  <c r="R11" i="17" s="1"/>
  <c r="R12" i="17" s="1"/>
  <c r="R13" i="17" s="1"/>
  <c r="R14" i="17" s="1"/>
  <c r="R15" i="17" s="1"/>
  <c r="R16" i="17" s="1"/>
  <c r="R17" i="17" s="1"/>
  <c r="R18" i="17" s="1"/>
  <c r="R19" i="17" s="1"/>
  <c r="R20" i="17" s="1"/>
  <c r="R21" i="17" s="1"/>
  <c r="R22" i="17" s="1"/>
  <c r="R23" i="17" s="1"/>
  <c r="R24" i="17" s="1"/>
  <c r="R25" i="17" s="1"/>
  <c r="R26" i="17" s="1"/>
  <c r="R27" i="17" s="1"/>
  <c r="R28" i="17" s="1"/>
  <c r="R29" i="17" s="1"/>
  <c r="R30" i="17" s="1"/>
  <c r="R31" i="17" s="1"/>
  <c r="R32" i="17" s="1"/>
  <c r="R33" i="17" s="1"/>
  <c r="R34" i="17" s="1"/>
  <c r="R35" i="17" s="1"/>
  <c r="R36" i="17" s="1"/>
  <c r="R37" i="17" s="1"/>
  <c r="R38" i="17" s="1"/>
  <c r="R39" i="17" s="1"/>
  <c r="R40" i="17" s="1"/>
  <c r="R41" i="17" s="1"/>
  <c r="R42" i="17" s="1"/>
  <c r="R43" i="17" s="1"/>
  <c r="R44" i="17" s="1"/>
  <c r="R45" i="17" s="1"/>
  <c r="R46" i="17" s="1"/>
  <c r="R47" i="17" s="1"/>
  <c r="R48" i="17" s="1"/>
  <c r="R49" i="17" s="1"/>
  <c r="R50" i="17" s="1"/>
  <c r="R51" i="17" s="1"/>
  <c r="R52" i="17" s="1"/>
  <c r="R53" i="17" s="1"/>
  <c r="R54" i="17" s="1"/>
  <c r="R55" i="17" s="1"/>
  <c r="R56" i="17" s="1"/>
  <c r="R57" i="17" s="1"/>
  <c r="R58" i="17" s="1"/>
  <c r="R59" i="17" s="1"/>
  <c r="R60" i="17" s="1"/>
  <c r="R61" i="17" s="1"/>
  <c r="R62" i="17" s="1"/>
  <c r="R63" i="17" s="1"/>
  <c r="R64" i="17" s="1"/>
  <c r="R65" i="17" s="1"/>
  <c r="R66" i="17" s="1"/>
  <c r="R67" i="17" s="1"/>
  <c r="R68" i="17" s="1"/>
  <c r="R69" i="17" s="1"/>
  <c r="R70" i="17" s="1"/>
  <c r="R71" i="17" s="1"/>
  <c r="R72" i="17" s="1"/>
  <c r="R73" i="17" s="1"/>
  <c r="R74" i="17" s="1"/>
  <c r="R75" i="17" s="1"/>
  <c r="R76" i="17" s="1"/>
  <c r="R77" i="17" s="1"/>
  <c r="R78" i="17" s="1"/>
  <c r="R79" i="17" s="1"/>
  <c r="R80" i="17" s="1"/>
  <c r="R81" i="17" s="1"/>
  <c r="R82" i="17" s="1"/>
  <c r="R83" i="17" s="1"/>
  <c r="R84" i="17" s="1"/>
  <c r="R85" i="17" s="1"/>
  <c r="R86" i="17" s="1"/>
  <c r="R87" i="17" s="1"/>
  <c r="R88" i="17" s="1"/>
  <c r="R89" i="17" s="1"/>
  <c r="R90" i="17" s="1"/>
  <c r="R91" i="17" s="1"/>
  <c r="R92" i="17" s="1"/>
  <c r="R93" i="17" s="1"/>
  <c r="R94" i="17" s="1"/>
  <c r="R95" i="17" s="1"/>
  <c r="R96" i="17" s="1"/>
  <c r="R97" i="17" s="1"/>
  <c r="R98" i="17" s="1"/>
  <c r="R99" i="17" s="1"/>
  <c r="R100" i="17" s="1"/>
  <c r="R101" i="17" s="1"/>
  <c r="R102" i="17" s="1"/>
  <c r="R103" i="17" s="1"/>
  <c r="R104" i="17" s="1"/>
  <c r="R105" i="17" s="1"/>
  <c r="R106" i="17" s="1"/>
  <c r="R107" i="17" s="1"/>
  <c r="R108" i="17" s="1"/>
  <c r="R109" i="17" s="1"/>
  <c r="R110" i="17" s="1"/>
  <c r="R111" i="17" s="1"/>
  <c r="R112" i="17" s="1"/>
  <c r="R113" i="17" s="1"/>
  <c r="R114" i="17" s="1"/>
  <c r="R115" i="17" s="1"/>
  <c r="R116" i="17" s="1"/>
  <c r="R117" i="17" s="1"/>
  <c r="R118" i="17" s="1"/>
  <c r="R119" i="17" s="1"/>
  <c r="R120" i="17" s="1"/>
  <c r="R121" i="17" s="1"/>
  <c r="R122" i="17" s="1"/>
  <c r="R123" i="17" s="1"/>
  <c r="R124" i="17" s="1"/>
  <c r="R125" i="17" s="1"/>
  <c r="R126" i="17" s="1"/>
  <c r="R127" i="17" s="1"/>
  <c r="R128" i="17" s="1"/>
  <c r="R129" i="17" s="1"/>
  <c r="R130" i="17" s="1"/>
  <c r="R131" i="17" s="1"/>
  <c r="R132" i="17" s="1"/>
  <c r="R133" i="17" s="1"/>
  <c r="R134" i="17" s="1"/>
  <c r="R135" i="17" s="1"/>
  <c r="R136" i="17" s="1"/>
  <c r="R137" i="17" s="1"/>
  <c r="R138" i="17" s="1"/>
  <c r="R139" i="17" s="1"/>
  <c r="R140" i="17" s="1"/>
  <c r="R141" i="17" s="1"/>
  <c r="R142" i="17" s="1"/>
  <c r="R143" i="17" s="1"/>
  <c r="R144" i="17" s="1"/>
  <c r="R145" i="17" s="1"/>
  <c r="R146" i="17" s="1"/>
  <c r="R147" i="17" s="1"/>
  <c r="R148" i="17" s="1"/>
  <c r="R149" i="17" s="1"/>
  <c r="R150" i="17" s="1"/>
  <c r="R151" i="17" s="1"/>
  <c r="R152" i="17" s="1"/>
  <c r="R153" i="17" s="1"/>
  <c r="R154" i="17" s="1"/>
  <c r="R155" i="17" s="1"/>
  <c r="R156" i="17" s="1"/>
  <c r="R157" i="17" s="1"/>
  <c r="R158" i="17" s="1"/>
  <c r="R159" i="17" s="1"/>
  <c r="R160" i="17" s="1"/>
  <c r="R161" i="17" s="1"/>
  <c r="R162" i="17" s="1"/>
  <c r="R163" i="17" s="1"/>
  <c r="R164" i="17" s="1"/>
  <c r="R165" i="17" s="1"/>
  <c r="R166" i="17" s="1"/>
  <c r="R167" i="17" s="1"/>
  <c r="R168" i="17" s="1"/>
  <c r="R169" i="17" s="1"/>
  <c r="R170" i="17" s="1"/>
  <c r="R171" i="17" s="1"/>
  <c r="R172" i="17" s="1"/>
  <c r="R173" i="17" s="1"/>
  <c r="R174" i="17" s="1"/>
  <c r="R175" i="17" s="1"/>
  <c r="R176" i="17" s="1"/>
  <c r="R177" i="17" s="1"/>
  <c r="R178" i="17" s="1"/>
  <c r="R179" i="17" s="1"/>
  <c r="R180" i="17" s="1"/>
  <c r="R181" i="17" s="1"/>
  <c r="R182" i="17" s="1"/>
  <c r="R183" i="17" s="1"/>
  <c r="R184" i="17" s="1"/>
  <c r="R185" i="17" s="1"/>
  <c r="R186" i="17" s="1"/>
  <c r="R187" i="17" s="1"/>
  <c r="R188" i="17" s="1"/>
  <c r="R189" i="17" s="1"/>
  <c r="R190" i="17" s="1"/>
  <c r="R191" i="17" s="1"/>
  <c r="R192" i="17" s="1"/>
  <c r="R193" i="17" s="1"/>
  <c r="R194" i="17" s="1"/>
  <c r="R195" i="17" s="1"/>
  <c r="R196" i="17" s="1"/>
  <c r="R197" i="17" s="1"/>
  <c r="R198" i="17" s="1"/>
  <c r="R199" i="17" s="1"/>
  <c r="R200" i="17" s="1"/>
  <c r="R201" i="17" s="1"/>
  <c r="R202" i="17" s="1"/>
  <c r="R203" i="17" s="1"/>
  <c r="R204" i="17" s="1"/>
  <c r="R205" i="17" s="1"/>
  <c r="R206" i="17" s="1"/>
  <c r="R207" i="17" s="1"/>
  <c r="R208" i="17" s="1"/>
  <c r="R209" i="17" s="1"/>
  <c r="R210" i="17" s="1"/>
  <c r="R211" i="17" s="1"/>
  <c r="R212" i="17" s="1"/>
  <c r="R213" i="17" s="1"/>
  <c r="R214" i="17" s="1"/>
  <c r="R215" i="17" s="1"/>
  <c r="R216" i="17" s="1"/>
  <c r="R217" i="17" s="1"/>
  <c r="R218" i="17" s="1"/>
  <c r="R219" i="17" s="1"/>
  <c r="R220" i="17" s="1"/>
  <c r="R221" i="17" s="1"/>
  <c r="R222" i="17" s="1"/>
  <c r="R223" i="17" s="1"/>
  <c r="R224" i="17" s="1"/>
  <c r="R225" i="17" s="1"/>
  <c r="R226" i="17" s="1"/>
  <c r="R227" i="17" s="1"/>
  <c r="R228" i="17" s="1"/>
  <c r="R229" i="17" s="1"/>
  <c r="R230" i="17" s="1"/>
  <c r="R231" i="17" s="1"/>
  <c r="R232" i="17" s="1"/>
  <c r="R233" i="17" s="1"/>
  <c r="R234" i="17" s="1"/>
  <c r="R235" i="17" s="1"/>
  <c r="R236" i="17" s="1"/>
  <c r="R237" i="17" s="1"/>
  <c r="R238" i="17" s="1"/>
  <c r="R239" i="17" s="1"/>
  <c r="R240" i="17" s="1"/>
  <c r="R241" i="17" s="1"/>
  <c r="R242" i="17" s="1"/>
  <c r="R243" i="17" s="1"/>
  <c r="R244" i="17" s="1"/>
  <c r="R245" i="17" s="1"/>
  <c r="R246" i="17" s="1"/>
  <c r="R247" i="17" s="1"/>
  <c r="R248" i="17" s="1"/>
  <c r="R249" i="17" s="1"/>
  <c r="R250" i="17" s="1"/>
  <c r="R251" i="17" s="1"/>
  <c r="R252" i="17" s="1"/>
  <c r="R253" i="17" s="1"/>
  <c r="R254" i="17" s="1"/>
  <c r="B609" i="9"/>
  <c r="N609" i="9"/>
  <c r="Q609" i="9"/>
  <c r="R609" i="9"/>
  <c r="AB609" i="9"/>
  <c r="B608" i="9"/>
  <c r="N608" i="9"/>
  <c r="Q608" i="9"/>
  <c r="R608" i="9"/>
  <c r="AB608" i="9"/>
  <c r="B607" i="9"/>
  <c r="N607" i="9"/>
  <c r="Q607" i="9"/>
  <c r="R607" i="9"/>
  <c r="AB607" i="9"/>
  <c r="AA262" i="3" l="1"/>
  <c r="Q262" i="3"/>
  <c r="P262" i="3"/>
  <c r="M262" i="3"/>
  <c r="B262" i="3"/>
  <c r="AA261" i="3" l="1"/>
  <c r="Q261" i="3"/>
  <c r="P261" i="3"/>
  <c r="M261" i="3"/>
  <c r="B261" i="3"/>
  <c r="N588" i="8"/>
  <c r="N589" i="8"/>
  <c r="AB588" i="8"/>
  <c r="AB589" i="8"/>
  <c r="N584" i="8"/>
  <c r="AB584" i="8"/>
  <c r="N585" i="8"/>
  <c r="AB585" i="8"/>
  <c r="N442" i="8" l="1"/>
  <c r="AB442" i="8"/>
  <c r="N443" i="8"/>
  <c r="AB443" i="8"/>
  <c r="N426" i="8"/>
  <c r="AB426" i="8"/>
  <c r="N427" i="8"/>
  <c r="AB427" i="8"/>
  <c r="N428" i="8"/>
  <c r="AB428" i="8"/>
  <c r="N535" i="8" l="1"/>
  <c r="AB535" i="8"/>
  <c r="N536" i="8"/>
  <c r="AB536" i="8"/>
  <c r="N596" i="8" l="1"/>
  <c r="AB596" i="8"/>
  <c r="N595" i="8"/>
  <c r="AB595" i="8"/>
  <c r="N594" i="8"/>
  <c r="AB594" i="8"/>
  <c r="N591" i="8"/>
  <c r="AB591" i="8"/>
  <c r="B606" i="9"/>
  <c r="N606" i="9"/>
  <c r="Q606" i="9"/>
  <c r="R606" i="9"/>
  <c r="AB606" i="9"/>
  <c r="N581" i="8"/>
  <c r="AB581" i="8"/>
  <c r="N582" i="8"/>
  <c r="AB582" i="8"/>
  <c r="B605" i="9"/>
  <c r="N605" i="9"/>
  <c r="Q605" i="9"/>
  <c r="R605" i="9"/>
  <c r="AB605" i="9"/>
  <c r="B604" i="9"/>
  <c r="N604" i="9"/>
  <c r="Q604" i="9"/>
  <c r="R604" i="9"/>
  <c r="AB604" i="9"/>
  <c r="N590" i="8" l="1"/>
  <c r="AB590" i="8"/>
  <c r="B603" i="9"/>
  <c r="N603" i="9"/>
  <c r="Q603" i="9"/>
  <c r="R603" i="9"/>
  <c r="AB603" i="9"/>
  <c r="B260" i="3" l="1"/>
  <c r="M260" i="3"/>
  <c r="P260" i="3"/>
  <c r="Q260" i="3"/>
  <c r="AA260" i="3"/>
  <c r="B2" i="3"/>
  <c r="M2" i="3"/>
  <c r="P2" i="3"/>
  <c r="R2" i="3" s="1"/>
  <c r="R3" i="3" s="1"/>
  <c r="Q2" i="3"/>
  <c r="AA2" i="3"/>
  <c r="B4" i="3"/>
  <c r="M4" i="3"/>
  <c r="P4" i="3"/>
  <c r="AA4" i="3"/>
  <c r="B6" i="3"/>
  <c r="M6" i="3"/>
  <c r="P6" i="3"/>
  <c r="Q6" i="3"/>
  <c r="AA6" i="3"/>
  <c r="B7" i="3"/>
  <c r="M7" i="3"/>
  <c r="P7" i="3"/>
  <c r="Q7" i="3"/>
  <c r="AA7" i="3"/>
  <c r="B8" i="3"/>
  <c r="M8" i="3"/>
  <c r="P8" i="3"/>
  <c r="Q8" i="3"/>
  <c r="AA8" i="3"/>
  <c r="B9" i="3"/>
  <c r="M9" i="3"/>
  <c r="P9" i="3"/>
  <c r="Q9" i="3"/>
  <c r="AA9" i="3"/>
  <c r="B12" i="3"/>
  <c r="M12" i="3"/>
  <c r="P12" i="3"/>
  <c r="Q12" i="3"/>
  <c r="AA12" i="3"/>
  <c r="B13" i="3"/>
  <c r="M13" i="3"/>
  <c r="P13" i="3"/>
  <c r="Q13" i="3"/>
  <c r="AA13" i="3"/>
  <c r="B14" i="3"/>
  <c r="M14" i="3"/>
  <c r="P14" i="3"/>
  <c r="Q14" i="3"/>
  <c r="AA14" i="3"/>
  <c r="B15" i="3"/>
  <c r="M15" i="3"/>
  <c r="P15" i="3"/>
  <c r="Q15" i="3"/>
  <c r="AA15" i="3"/>
  <c r="B16" i="3"/>
  <c r="M16" i="3"/>
  <c r="P16" i="3"/>
  <c r="Q16" i="3"/>
  <c r="AA16" i="3"/>
  <c r="B17" i="3"/>
  <c r="M17" i="3"/>
  <c r="P17" i="3"/>
  <c r="Q17" i="3"/>
  <c r="AA17" i="3"/>
  <c r="B18" i="3"/>
  <c r="M18" i="3"/>
  <c r="P18" i="3"/>
  <c r="Q18" i="3"/>
  <c r="AA18" i="3"/>
  <c r="B19" i="3"/>
  <c r="M19" i="3"/>
  <c r="P19" i="3"/>
  <c r="Q19" i="3"/>
  <c r="AA19" i="3"/>
  <c r="B20" i="3"/>
  <c r="M20" i="3"/>
  <c r="P20" i="3"/>
  <c r="Q20" i="3"/>
  <c r="AA20" i="3"/>
  <c r="B21" i="3"/>
  <c r="M21" i="3"/>
  <c r="P21" i="3"/>
  <c r="Q21" i="3"/>
  <c r="AA21" i="3"/>
  <c r="B22" i="3"/>
  <c r="M22" i="3"/>
  <c r="P22" i="3"/>
  <c r="Q22" i="3"/>
  <c r="AA22" i="3"/>
  <c r="B23" i="3"/>
  <c r="M23" i="3"/>
  <c r="P23" i="3"/>
  <c r="Q23" i="3"/>
  <c r="AA23" i="3"/>
  <c r="B24" i="3"/>
  <c r="M24" i="3"/>
  <c r="P24" i="3"/>
  <c r="Q24" i="3"/>
  <c r="AA24" i="3"/>
  <c r="B25" i="3"/>
  <c r="M25" i="3"/>
  <c r="P25" i="3"/>
  <c r="Q25" i="3"/>
  <c r="AA25" i="3"/>
  <c r="B26" i="3"/>
  <c r="M26" i="3"/>
  <c r="P26" i="3"/>
  <c r="Q26" i="3"/>
  <c r="AA26" i="3"/>
  <c r="B27" i="3"/>
  <c r="M27" i="3"/>
  <c r="P27" i="3"/>
  <c r="Q27" i="3"/>
  <c r="AA27" i="3"/>
  <c r="B28" i="3"/>
  <c r="M28" i="3"/>
  <c r="P28" i="3"/>
  <c r="Q28" i="3"/>
  <c r="AA28" i="3"/>
  <c r="B29" i="3"/>
  <c r="M29" i="3"/>
  <c r="P29" i="3"/>
  <c r="Q29" i="3"/>
  <c r="AA29" i="3"/>
  <c r="B30" i="3"/>
  <c r="M30" i="3"/>
  <c r="P30" i="3"/>
  <c r="Q30" i="3"/>
  <c r="AA30" i="3"/>
  <c r="B31" i="3"/>
  <c r="M31" i="3"/>
  <c r="P31" i="3"/>
  <c r="Q31" i="3"/>
  <c r="AA31" i="3"/>
  <c r="B32" i="3"/>
  <c r="M32" i="3"/>
  <c r="P32" i="3"/>
  <c r="Q32" i="3"/>
  <c r="AA32" i="3"/>
  <c r="B33" i="3"/>
  <c r="M33" i="3"/>
  <c r="P33" i="3"/>
  <c r="Q33" i="3"/>
  <c r="AA33" i="3"/>
  <c r="B34" i="3"/>
  <c r="M34" i="3"/>
  <c r="P34" i="3"/>
  <c r="Q34" i="3"/>
  <c r="AA34" i="3"/>
  <c r="B35" i="3"/>
  <c r="M35" i="3"/>
  <c r="P35" i="3"/>
  <c r="Q35" i="3"/>
  <c r="AA35" i="3"/>
  <c r="B36" i="3"/>
  <c r="M36" i="3"/>
  <c r="P36" i="3"/>
  <c r="Q36" i="3"/>
  <c r="AA36" i="3"/>
  <c r="B37" i="3"/>
  <c r="M37" i="3"/>
  <c r="P37" i="3"/>
  <c r="Q37" i="3"/>
  <c r="AA37" i="3"/>
  <c r="B38" i="3"/>
  <c r="M38" i="3"/>
  <c r="P38" i="3"/>
  <c r="Q38" i="3"/>
  <c r="AA38" i="3"/>
  <c r="B39" i="3"/>
  <c r="M39" i="3"/>
  <c r="P39" i="3"/>
  <c r="Q39" i="3"/>
  <c r="AA39" i="3"/>
  <c r="B40" i="3"/>
  <c r="M40" i="3"/>
  <c r="P40" i="3"/>
  <c r="Q40" i="3"/>
  <c r="AA40" i="3"/>
  <c r="B41" i="3"/>
  <c r="M41" i="3"/>
  <c r="P41" i="3"/>
  <c r="Q41" i="3"/>
  <c r="AA41" i="3"/>
  <c r="B42" i="3"/>
  <c r="M42" i="3"/>
  <c r="P42" i="3"/>
  <c r="Q42" i="3"/>
  <c r="AA42" i="3"/>
  <c r="B43" i="3"/>
  <c r="M43" i="3"/>
  <c r="P43" i="3"/>
  <c r="Q43" i="3"/>
  <c r="AA43" i="3"/>
  <c r="B44" i="3"/>
  <c r="M44" i="3"/>
  <c r="P44" i="3"/>
  <c r="Q44" i="3"/>
  <c r="AA44" i="3"/>
  <c r="B45" i="3"/>
  <c r="M45" i="3"/>
  <c r="P45" i="3"/>
  <c r="Q45" i="3"/>
  <c r="AA45" i="3"/>
  <c r="B46" i="3"/>
  <c r="M46" i="3"/>
  <c r="P46" i="3"/>
  <c r="Q46" i="3"/>
  <c r="AA46" i="3"/>
  <c r="B47" i="3"/>
  <c r="M47" i="3"/>
  <c r="P47" i="3"/>
  <c r="Q47" i="3"/>
  <c r="AA47" i="3"/>
  <c r="B48" i="3"/>
  <c r="M48" i="3"/>
  <c r="P48" i="3"/>
  <c r="Q48" i="3"/>
  <c r="AA48" i="3"/>
  <c r="B49" i="3"/>
  <c r="M49" i="3"/>
  <c r="P49" i="3"/>
  <c r="Q49" i="3"/>
  <c r="AA49" i="3"/>
  <c r="B50" i="3"/>
  <c r="M50" i="3"/>
  <c r="P50" i="3"/>
  <c r="Q50" i="3"/>
  <c r="AA50" i="3"/>
  <c r="B51" i="3"/>
  <c r="M51" i="3"/>
  <c r="P51" i="3"/>
  <c r="Q51" i="3"/>
  <c r="AA51" i="3"/>
  <c r="B52" i="3"/>
  <c r="M52" i="3"/>
  <c r="P52" i="3"/>
  <c r="Q52" i="3"/>
  <c r="AA52" i="3"/>
  <c r="B53" i="3"/>
  <c r="M53" i="3"/>
  <c r="P53" i="3"/>
  <c r="Q53" i="3"/>
  <c r="AA53" i="3"/>
  <c r="B54" i="3"/>
  <c r="M54" i="3"/>
  <c r="P54" i="3"/>
  <c r="Q54" i="3"/>
  <c r="AA54" i="3"/>
  <c r="B55" i="3"/>
  <c r="M55" i="3"/>
  <c r="P55" i="3"/>
  <c r="Q55" i="3"/>
  <c r="AA55" i="3"/>
  <c r="B56" i="3"/>
  <c r="M56" i="3"/>
  <c r="P56" i="3"/>
  <c r="Q56" i="3"/>
  <c r="AA56" i="3"/>
  <c r="B57" i="3"/>
  <c r="M57" i="3"/>
  <c r="P57" i="3"/>
  <c r="Q57" i="3"/>
  <c r="AA57" i="3"/>
  <c r="B58" i="3"/>
  <c r="M58" i="3"/>
  <c r="P58" i="3"/>
  <c r="Q58" i="3"/>
  <c r="AA58" i="3"/>
  <c r="B59" i="3"/>
  <c r="M59" i="3"/>
  <c r="P59" i="3"/>
  <c r="Q59" i="3"/>
  <c r="AA59" i="3"/>
  <c r="B60" i="3"/>
  <c r="M60" i="3"/>
  <c r="P60" i="3"/>
  <c r="Q60" i="3"/>
  <c r="AA60" i="3"/>
  <c r="B61" i="3"/>
  <c r="M61" i="3"/>
  <c r="P61" i="3"/>
  <c r="Q61" i="3"/>
  <c r="AA61" i="3"/>
  <c r="B62" i="3"/>
  <c r="M62" i="3"/>
  <c r="P62" i="3"/>
  <c r="Q62" i="3"/>
  <c r="AA62" i="3"/>
  <c r="B63" i="3"/>
  <c r="M63" i="3"/>
  <c r="P63" i="3"/>
  <c r="Q63" i="3"/>
  <c r="AA63" i="3"/>
  <c r="B64" i="3"/>
  <c r="M64" i="3"/>
  <c r="P64" i="3"/>
  <c r="Q64" i="3"/>
  <c r="AA64" i="3"/>
  <c r="B65" i="3"/>
  <c r="M65" i="3"/>
  <c r="P65" i="3"/>
  <c r="Q65" i="3"/>
  <c r="AA65" i="3"/>
  <c r="B66" i="3"/>
  <c r="M66" i="3"/>
  <c r="P66" i="3"/>
  <c r="Q66" i="3"/>
  <c r="AA66" i="3"/>
  <c r="B67" i="3"/>
  <c r="M67" i="3"/>
  <c r="P67" i="3"/>
  <c r="Q67" i="3"/>
  <c r="AA67" i="3"/>
  <c r="B68" i="3"/>
  <c r="M68" i="3"/>
  <c r="P68" i="3"/>
  <c r="Q68" i="3"/>
  <c r="AA68" i="3"/>
  <c r="B69" i="3"/>
  <c r="M69" i="3"/>
  <c r="P69" i="3"/>
  <c r="Q69" i="3"/>
  <c r="AA69" i="3"/>
  <c r="B70" i="3"/>
  <c r="M70" i="3"/>
  <c r="P70" i="3"/>
  <c r="Q70" i="3"/>
  <c r="AA70" i="3"/>
  <c r="B71" i="3"/>
  <c r="M71" i="3"/>
  <c r="P71" i="3"/>
  <c r="Q71" i="3"/>
  <c r="AA71" i="3"/>
  <c r="B72" i="3"/>
  <c r="M72" i="3"/>
  <c r="P72" i="3"/>
  <c r="Q72" i="3"/>
  <c r="AA72" i="3"/>
  <c r="B73" i="3"/>
  <c r="M73" i="3"/>
  <c r="P73" i="3"/>
  <c r="Q73" i="3"/>
  <c r="AA73" i="3"/>
  <c r="B74" i="3"/>
  <c r="M74" i="3"/>
  <c r="P74" i="3"/>
  <c r="Q74" i="3"/>
  <c r="AA74" i="3"/>
  <c r="B75" i="3"/>
  <c r="M75" i="3"/>
  <c r="P75" i="3"/>
  <c r="Q75" i="3"/>
  <c r="AA75" i="3"/>
  <c r="B76" i="3"/>
  <c r="M76" i="3"/>
  <c r="P76" i="3"/>
  <c r="Q76" i="3"/>
  <c r="AA76" i="3"/>
  <c r="B77" i="3"/>
  <c r="M77" i="3"/>
  <c r="P77" i="3"/>
  <c r="Q77" i="3"/>
  <c r="AA77" i="3"/>
  <c r="B78" i="3"/>
  <c r="M78" i="3"/>
  <c r="P78" i="3"/>
  <c r="Q78" i="3"/>
  <c r="AA78" i="3"/>
  <c r="B79" i="3"/>
  <c r="M79" i="3"/>
  <c r="P79" i="3"/>
  <c r="Q79" i="3"/>
  <c r="AA79" i="3"/>
  <c r="B80" i="3"/>
  <c r="M80" i="3"/>
  <c r="P80" i="3"/>
  <c r="Q80" i="3"/>
  <c r="AA80" i="3"/>
  <c r="B81" i="3"/>
  <c r="M81" i="3"/>
  <c r="P81" i="3"/>
  <c r="Q81" i="3"/>
  <c r="AA81" i="3"/>
  <c r="B82" i="3"/>
  <c r="M82" i="3"/>
  <c r="P82" i="3"/>
  <c r="Q82" i="3"/>
  <c r="AA82" i="3"/>
  <c r="B83" i="3"/>
  <c r="M83" i="3"/>
  <c r="P83" i="3"/>
  <c r="Q83" i="3"/>
  <c r="AA83" i="3"/>
  <c r="B84" i="3"/>
  <c r="M84" i="3"/>
  <c r="P84" i="3"/>
  <c r="Q84" i="3"/>
  <c r="AA84" i="3"/>
  <c r="B85" i="3"/>
  <c r="M85" i="3"/>
  <c r="P85" i="3"/>
  <c r="Q85" i="3"/>
  <c r="AA85" i="3"/>
  <c r="B86" i="3"/>
  <c r="M86" i="3"/>
  <c r="P86" i="3"/>
  <c r="Q86" i="3"/>
  <c r="AA86" i="3"/>
  <c r="B87" i="3"/>
  <c r="M87" i="3"/>
  <c r="P87" i="3"/>
  <c r="Q87" i="3"/>
  <c r="AA87" i="3"/>
  <c r="B88" i="3"/>
  <c r="M88" i="3"/>
  <c r="P88" i="3"/>
  <c r="Q88" i="3"/>
  <c r="AA88" i="3"/>
  <c r="B89" i="3"/>
  <c r="M89" i="3"/>
  <c r="P89" i="3"/>
  <c r="Q89" i="3"/>
  <c r="AA89" i="3"/>
  <c r="B90" i="3"/>
  <c r="M90" i="3"/>
  <c r="P90" i="3"/>
  <c r="Q90" i="3"/>
  <c r="AA90" i="3"/>
  <c r="B91" i="3"/>
  <c r="M91" i="3"/>
  <c r="P91" i="3"/>
  <c r="Q91" i="3"/>
  <c r="AA91" i="3"/>
  <c r="B92" i="3"/>
  <c r="M92" i="3"/>
  <c r="P92" i="3"/>
  <c r="Q92" i="3"/>
  <c r="AA92" i="3"/>
  <c r="B93" i="3"/>
  <c r="M93" i="3"/>
  <c r="P93" i="3"/>
  <c r="Q93" i="3"/>
  <c r="AA93" i="3"/>
  <c r="B94" i="3"/>
  <c r="M94" i="3"/>
  <c r="P94" i="3"/>
  <c r="Q94" i="3"/>
  <c r="AA94" i="3"/>
  <c r="B95" i="3"/>
  <c r="M95" i="3"/>
  <c r="P95" i="3"/>
  <c r="Q95" i="3"/>
  <c r="AA95" i="3"/>
  <c r="B96" i="3"/>
  <c r="M96" i="3"/>
  <c r="P96" i="3"/>
  <c r="Q96" i="3"/>
  <c r="AA96" i="3"/>
  <c r="B97" i="3"/>
  <c r="M97" i="3"/>
  <c r="P97" i="3"/>
  <c r="Q97" i="3"/>
  <c r="AA97" i="3"/>
  <c r="B98" i="3"/>
  <c r="M98" i="3"/>
  <c r="P98" i="3"/>
  <c r="Q98" i="3"/>
  <c r="AA98" i="3"/>
  <c r="B99" i="3"/>
  <c r="M99" i="3"/>
  <c r="P99" i="3"/>
  <c r="Q99" i="3"/>
  <c r="AA99" i="3"/>
  <c r="B100" i="3"/>
  <c r="M100" i="3"/>
  <c r="P100" i="3"/>
  <c r="Q100" i="3"/>
  <c r="AA100" i="3"/>
  <c r="B101" i="3"/>
  <c r="M101" i="3"/>
  <c r="P101" i="3"/>
  <c r="Q101" i="3"/>
  <c r="AA101" i="3"/>
  <c r="B102" i="3"/>
  <c r="M102" i="3"/>
  <c r="P102" i="3"/>
  <c r="Q102" i="3"/>
  <c r="AA102" i="3"/>
  <c r="B103" i="3"/>
  <c r="M103" i="3"/>
  <c r="P103" i="3"/>
  <c r="Q103" i="3"/>
  <c r="AA103" i="3"/>
  <c r="B104" i="3"/>
  <c r="M104" i="3"/>
  <c r="P104" i="3"/>
  <c r="Q104" i="3"/>
  <c r="AA104" i="3"/>
  <c r="B105" i="3"/>
  <c r="M105" i="3"/>
  <c r="P105" i="3"/>
  <c r="Q105" i="3"/>
  <c r="AA105" i="3"/>
  <c r="B106" i="3"/>
  <c r="M106" i="3"/>
  <c r="P106" i="3"/>
  <c r="Q106" i="3"/>
  <c r="AA106" i="3"/>
  <c r="B107" i="3"/>
  <c r="M107" i="3"/>
  <c r="P107" i="3"/>
  <c r="Q107" i="3"/>
  <c r="AA107" i="3"/>
  <c r="B108" i="3"/>
  <c r="M108" i="3"/>
  <c r="P108" i="3"/>
  <c r="Q108" i="3"/>
  <c r="AA108" i="3"/>
  <c r="B109" i="3"/>
  <c r="M109" i="3"/>
  <c r="P109" i="3"/>
  <c r="Q109" i="3"/>
  <c r="AA109" i="3"/>
  <c r="B110" i="3"/>
  <c r="M110" i="3"/>
  <c r="P110" i="3"/>
  <c r="Q110" i="3"/>
  <c r="AA110" i="3"/>
  <c r="B111" i="3"/>
  <c r="M111" i="3"/>
  <c r="P111" i="3"/>
  <c r="Q111" i="3"/>
  <c r="AA111" i="3"/>
  <c r="B112" i="3"/>
  <c r="M112" i="3"/>
  <c r="P112" i="3"/>
  <c r="Q112" i="3"/>
  <c r="AA112" i="3"/>
  <c r="B113" i="3"/>
  <c r="M113" i="3"/>
  <c r="P113" i="3"/>
  <c r="Q113" i="3"/>
  <c r="AA113" i="3"/>
  <c r="B114" i="3"/>
  <c r="M114" i="3"/>
  <c r="P114" i="3"/>
  <c r="Q114" i="3"/>
  <c r="AA114" i="3"/>
  <c r="B115" i="3"/>
  <c r="M115" i="3"/>
  <c r="P115" i="3"/>
  <c r="Q115" i="3"/>
  <c r="AA115" i="3"/>
  <c r="B116" i="3"/>
  <c r="M116" i="3"/>
  <c r="P116" i="3"/>
  <c r="Q116" i="3"/>
  <c r="AA116" i="3"/>
  <c r="B117" i="3"/>
  <c r="M117" i="3"/>
  <c r="P117" i="3"/>
  <c r="Q117" i="3"/>
  <c r="AA117" i="3"/>
  <c r="B118" i="3"/>
  <c r="M118" i="3"/>
  <c r="P118" i="3"/>
  <c r="Q118" i="3"/>
  <c r="AA118" i="3"/>
  <c r="B119" i="3"/>
  <c r="M119" i="3"/>
  <c r="P119" i="3"/>
  <c r="Q119" i="3"/>
  <c r="AA119" i="3"/>
  <c r="B120" i="3"/>
  <c r="M120" i="3"/>
  <c r="P120" i="3"/>
  <c r="Q120" i="3"/>
  <c r="AA120" i="3"/>
  <c r="B121" i="3"/>
  <c r="M121" i="3"/>
  <c r="P121" i="3"/>
  <c r="Q121" i="3"/>
  <c r="AA121" i="3"/>
  <c r="B122" i="3"/>
  <c r="M122" i="3"/>
  <c r="P122" i="3"/>
  <c r="Q122" i="3"/>
  <c r="AA122" i="3"/>
  <c r="B123" i="3"/>
  <c r="M123" i="3"/>
  <c r="P123" i="3"/>
  <c r="Q123" i="3"/>
  <c r="AA123" i="3"/>
  <c r="B124" i="3"/>
  <c r="M124" i="3"/>
  <c r="P124" i="3"/>
  <c r="Q124" i="3"/>
  <c r="AA124" i="3"/>
  <c r="B125" i="3"/>
  <c r="M125" i="3"/>
  <c r="P125" i="3"/>
  <c r="Q125" i="3"/>
  <c r="AA125" i="3"/>
  <c r="B126" i="3"/>
  <c r="M126" i="3"/>
  <c r="P126" i="3"/>
  <c r="Q126" i="3"/>
  <c r="AA126" i="3"/>
  <c r="B127" i="3"/>
  <c r="M127" i="3"/>
  <c r="P127" i="3"/>
  <c r="Q127" i="3"/>
  <c r="AA127" i="3"/>
  <c r="B128" i="3"/>
  <c r="M128" i="3"/>
  <c r="P128" i="3"/>
  <c r="Q128" i="3"/>
  <c r="AA128" i="3"/>
  <c r="B129" i="3"/>
  <c r="M129" i="3"/>
  <c r="P129" i="3"/>
  <c r="Q129" i="3"/>
  <c r="AA129" i="3"/>
  <c r="B130" i="3"/>
  <c r="M130" i="3"/>
  <c r="P130" i="3"/>
  <c r="Q130" i="3"/>
  <c r="AA130" i="3"/>
  <c r="B131" i="3"/>
  <c r="M131" i="3"/>
  <c r="P131" i="3"/>
  <c r="Q131" i="3"/>
  <c r="AA131" i="3"/>
  <c r="B132" i="3"/>
  <c r="M132" i="3"/>
  <c r="P132" i="3"/>
  <c r="Q132" i="3"/>
  <c r="AA132" i="3"/>
  <c r="B133" i="3"/>
  <c r="M133" i="3"/>
  <c r="P133" i="3"/>
  <c r="Q133" i="3"/>
  <c r="AA133" i="3"/>
  <c r="B134" i="3"/>
  <c r="M134" i="3"/>
  <c r="P134" i="3"/>
  <c r="Q134" i="3"/>
  <c r="AA134" i="3"/>
  <c r="B135" i="3"/>
  <c r="M135" i="3"/>
  <c r="P135" i="3"/>
  <c r="Q135" i="3"/>
  <c r="AA135" i="3"/>
  <c r="B136" i="3"/>
  <c r="M136" i="3"/>
  <c r="P136" i="3"/>
  <c r="Q136" i="3"/>
  <c r="AA136" i="3"/>
  <c r="B137" i="3"/>
  <c r="M137" i="3"/>
  <c r="P137" i="3"/>
  <c r="Q137" i="3"/>
  <c r="AA137" i="3"/>
  <c r="B138" i="3"/>
  <c r="M138" i="3"/>
  <c r="P138" i="3"/>
  <c r="Q138" i="3"/>
  <c r="AA138" i="3"/>
  <c r="B139" i="3"/>
  <c r="M139" i="3"/>
  <c r="P139" i="3"/>
  <c r="Q139" i="3"/>
  <c r="AA139" i="3"/>
  <c r="B140" i="3"/>
  <c r="M140" i="3"/>
  <c r="P140" i="3"/>
  <c r="Q140" i="3"/>
  <c r="AA140" i="3"/>
  <c r="B141" i="3"/>
  <c r="M141" i="3"/>
  <c r="P141" i="3"/>
  <c r="Q141" i="3"/>
  <c r="AA141" i="3"/>
  <c r="B142" i="3"/>
  <c r="M142" i="3"/>
  <c r="P142" i="3"/>
  <c r="Q142" i="3"/>
  <c r="AA142" i="3"/>
  <c r="B143" i="3"/>
  <c r="M143" i="3"/>
  <c r="P143" i="3"/>
  <c r="Q143" i="3"/>
  <c r="AA143" i="3"/>
  <c r="B144" i="3"/>
  <c r="M144" i="3"/>
  <c r="P144" i="3"/>
  <c r="Q144" i="3"/>
  <c r="AA144" i="3"/>
  <c r="B145" i="3"/>
  <c r="M145" i="3"/>
  <c r="P145" i="3"/>
  <c r="Q145" i="3"/>
  <c r="AA145" i="3"/>
  <c r="B146" i="3"/>
  <c r="M146" i="3"/>
  <c r="P146" i="3"/>
  <c r="Q146" i="3"/>
  <c r="AA146" i="3"/>
  <c r="B147" i="3"/>
  <c r="M147" i="3"/>
  <c r="P147" i="3"/>
  <c r="Q147" i="3"/>
  <c r="AA147" i="3"/>
  <c r="B148" i="3"/>
  <c r="M148" i="3"/>
  <c r="P148" i="3"/>
  <c r="Q148" i="3"/>
  <c r="AA148" i="3"/>
  <c r="B149" i="3"/>
  <c r="M149" i="3"/>
  <c r="P149" i="3"/>
  <c r="Q149" i="3"/>
  <c r="AA149" i="3"/>
  <c r="B150" i="3"/>
  <c r="M150" i="3"/>
  <c r="P150" i="3"/>
  <c r="Q150" i="3"/>
  <c r="AA150" i="3"/>
  <c r="B151" i="3"/>
  <c r="M151" i="3"/>
  <c r="P151" i="3"/>
  <c r="Q151" i="3"/>
  <c r="AA151" i="3"/>
  <c r="B152" i="3"/>
  <c r="M152" i="3"/>
  <c r="P152" i="3"/>
  <c r="Q152" i="3"/>
  <c r="AA152" i="3"/>
  <c r="B153" i="3"/>
  <c r="M153" i="3"/>
  <c r="P153" i="3"/>
  <c r="Q153" i="3"/>
  <c r="AA153" i="3"/>
  <c r="B154" i="3"/>
  <c r="M154" i="3"/>
  <c r="P154" i="3"/>
  <c r="Q154" i="3"/>
  <c r="AA154" i="3"/>
  <c r="B155" i="3"/>
  <c r="M155" i="3"/>
  <c r="P155" i="3"/>
  <c r="Q155" i="3"/>
  <c r="AA155" i="3"/>
  <c r="B156" i="3"/>
  <c r="M156" i="3"/>
  <c r="P156" i="3"/>
  <c r="Q156" i="3"/>
  <c r="AA156" i="3"/>
  <c r="B157" i="3"/>
  <c r="M157" i="3"/>
  <c r="P157" i="3"/>
  <c r="Q157" i="3"/>
  <c r="AA157" i="3"/>
  <c r="B158" i="3"/>
  <c r="M158" i="3"/>
  <c r="P158" i="3"/>
  <c r="Q158" i="3"/>
  <c r="AA158" i="3"/>
  <c r="B159" i="3"/>
  <c r="M159" i="3"/>
  <c r="P159" i="3"/>
  <c r="Q159" i="3"/>
  <c r="AA159" i="3"/>
  <c r="B160" i="3"/>
  <c r="M160" i="3"/>
  <c r="P160" i="3"/>
  <c r="Q160" i="3"/>
  <c r="AA160" i="3"/>
  <c r="B161" i="3"/>
  <c r="M161" i="3"/>
  <c r="P161" i="3"/>
  <c r="Q161" i="3"/>
  <c r="AA161" i="3"/>
  <c r="B162" i="3"/>
  <c r="M162" i="3"/>
  <c r="P162" i="3"/>
  <c r="Q162" i="3"/>
  <c r="AA162" i="3"/>
  <c r="B163" i="3"/>
  <c r="M163" i="3"/>
  <c r="P163" i="3"/>
  <c r="Q163" i="3"/>
  <c r="AA163" i="3"/>
  <c r="B164" i="3"/>
  <c r="M164" i="3"/>
  <c r="P164" i="3"/>
  <c r="Q164" i="3"/>
  <c r="AA164" i="3"/>
  <c r="B165" i="3"/>
  <c r="M165" i="3"/>
  <c r="P165" i="3"/>
  <c r="Q165" i="3"/>
  <c r="AA165" i="3"/>
  <c r="B166" i="3"/>
  <c r="M166" i="3"/>
  <c r="P166" i="3"/>
  <c r="Q166" i="3"/>
  <c r="AA166" i="3"/>
  <c r="B167" i="3"/>
  <c r="M167" i="3"/>
  <c r="P167" i="3"/>
  <c r="Q167" i="3"/>
  <c r="AA167" i="3"/>
  <c r="B168" i="3"/>
  <c r="M168" i="3"/>
  <c r="P168" i="3"/>
  <c r="Q168" i="3"/>
  <c r="AA168" i="3"/>
  <c r="B169" i="3"/>
  <c r="M169" i="3"/>
  <c r="P169" i="3"/>
  <c r="Q169" i="3"/>
  <c r="AA169" i="3"/>
  <c r="B170" i="3"/>
  <c r="M170" i="3"/>
  <c r="P170" i="3"/>
  <c r="Q170" i="3"/>
  <c r="AA170" i="3"/>
  <c r="B173" i="3"/>
  <c r="M173" i="3"/>
  <c r="P173" i="3"/>
  <c r="Q173" i="3"/>
  <c r="AA173" i="3"/>
  <c r="B174" i="3"/>
  <c r="M174" i="3"/>
  <c r="P174" i="3"/>
  <c r="Q174" i="3"/>
  <c r="AA174" i="3"/>
  <c r="B175" i="3"/>
  <c r="M175" i="3"/>
  <c r="P175" i="3"/>
  <c r="Q175" i="3"/>
  <c r="AA175" i="3"/>
  <c r="B176" i="3"/>
  <c r="M176" i="3"/>
  <c r="P176" i="3"/>
  <c r="Q176" i="3"/>
  <c r="AA176" i="3"/>
  <c r="B177" i="3"/>
  <c r="M177" i="3"/>
  <c r="P177" i="3"/>
  <c r="Q177" i="3"/>
  <c r="AA177" i="3"/>
  <c r="B178" i="3"/>
  <c r="M178" i="3"/>
  <c r="P178" i="3"/>
  <c r="Q178" i="3"/>
  <c r="AA178" i="3"/>
  <c r="B179" i="3"/>
  <c r="M179" i="3"/>
  <c r="P179" i="3"/>
  <c r="Q179" i="3"/>
  <c r="AA179" i="3"/>
  <c r="B180" i="3"/>
  <c r="M180" i="3"/>
  <c r="P180" i="3"/>
  <c r="Q180" i="3"/>
  <c r="AA180" i="3"/>
  <c r="B181" i="3"/>
  <c r="M181" i="3"/>
  <c r="P181" i="3"/>
  <c r="Q181" i="3"/>
  <c r="AA181" i="3"/>
  <c r="B182" i="3"/>
  <c r="M182" i="3"/>
  <c r="P182" i="3"/>
  <c r="Q182" i="3"/>
  <c r="AA182" i="3"/>
  <c r="B183" i="3"/>
  <c r="M183" i="3"/>
  <c r="P183" i="3"/>
  <c r="Q183" i="3"/>
  <c r="AA183" i="3"/>
  <c r="B184" i="3"/>
  <c r="M184" i="3"/>
  <c r="P184" i="3"/>
  <c r="Q184" i="3"/>
  <c r="AA184" i="3"/>
  <c r="B185" i="3"/>
  <c r="M185" i="3"/>
  <c r="P185" i="3"/>
  <c r="Q185" i="3"/>
  <c r="AA185" i="3"/>
  <c r="B186" i="3"/>
  <c r="M186" i="3"/>
  <c r="P186" i="3"/>
  <c r="Q186" i="3"/>
  <c r="AA186" i="3"/>
  <c r="B187" i="3"/>
  <c r="M187" i="3"/>
  <c r="P187" i="3"/>
  <c r="Q187" i="3"/>
  <c r="AA187" i="3"/>
  <c r="B188" i="3"/>
  <c r="M188" i="3"/>
  <c r="P188" i="3"/>
  <c r="Q188" i="3"/>
  <c r="AA188" i="3"/>
  <c r="B189" i="3"/>
  <c r="M189" i="3"/>
  <c r="P189" i="3"/>
  <c r="Q189" i="3"/>
  <c r="AA189" i="3"/>
  <c r="B190" i="3"/>
  <c r="M190" i="3"/>
  <c r="P190" i="3"/>
  <c r="Q190" i="3"/>
  <c r="AA190" i="3"/>
  <c r="B191" i="3"/>
  <c r="M191" i="3"/>
  <c r="P191" i="3"/>
  <c r="Q191" i="3"/>
  <c r="AA191" i="3"/>
  <c r="B192" i="3"/>
  <c r="M192" i="3"/>
  <c r="P192" i="3"/>
  <c r="Q192" i="3"/>
  <c r="AA192" i="3"/>
  <c r="B193" i="3"/>
  <c r="M193" i="3"/>
  <c r="P193" i="3"/>
  <c r="Q193" i="3"/>
  <c r="AA193" i="3"/>
  <c r="B194" i="3"/>
  <c r="M194" i="3"/>
  <c r="P194" i="3"/>
  <c r="Q194" i="3"/>
  <c r="AA194" i="3"/>
  <c r="B195" i="3"/>
  <c r="M195" i="3"/>
  <c r="P195" i="3"/>
  <c r="Q195" i="3"/>
  <c r="AA195" i="3"/>
  <c r="B198" i="3"/>
  <c r="M198" i="3"/>
  <c r="P198" i="3"/>
  <c r="Q198" i="3"/>
  <c r="AA198" i="3"/>
  <c r="B199" i="3"/>
  <c r="M199" i="3"/>
  <c r="P199" i="3"/>
  <c r="Q199" i="3"/>
  <c r="AA199" i="3"/>
  <c r="B200" i="3"/>
  <c r="M200" i="3"/>
  <c r="P200" i="3"/>
  <c r="Q200" i="3"/>
  <c r="AA200" i="3"/>
  <c r="B208" i="3"/>
  <c r="M208" i="3"/>
  <c r="P208" i="3"/>
  <c r="Q208" i="3"/>
  <c r="AA208" i="3"/>
  <c r="B209" i="3"/>
  <c r="M209" i="3"/>
  <c r="P209" i="3"/>
  <c r="Q209" i="3"/>
  <c r="AA209" i="3"/>
  <c r="B210" i="3"/>
  <c r="M210" i="3"/>
  <c r="P210" i="3"/>
  <c r="Q210" i="3"/>
  <c r="AA210" i="3"/>
  <c r="B211" i="3"/>
  <c r="M211" i="3"/>
  <c r="P211" i="3"/>
  <c r="Q211" i="3"/>
  <c r="AA211" i="3"/>
  <c r="B212" i="3"/>
  <c r="M212" i="3"/>
  <c r="P212" i="3"/>
  <c r="Q212" i="3"/>
  <c r="AA212" i="3"/>
  <c r="B213" i="3"/>
  <c r="M213" i="3"/>
  <c r="P213" i="3"/>
  <c r="Q213" i="3"/>
  <c r="AA213" i="3"/>
  <c r="B214" i="3"/>
  <c r="M214" i="3"/>
  <c r="P214" i="3"/>
  <c r="Q214" i="3"/>
  <c r="AA214" i="3"/>
  <c r="B215" i="3"/>
  <c r="M215" i="3"/>
  <c r="P215" i="3"/>
  <c r="Q215" i="3"/>
  <c r="AA215" i="3"/>
  <c r="B216" i="3"/>
  <c r="M216" i="3"/>
  <c r="P216" i="3"/>
  <c r="Q216" i="3"/>
  <c r="AA216" i="3"/>
  <c r="B217" i="3"/>
  <c r="M217" i="3"/>
  <c r="P217" i="3"/>
  <c r="Q217" i="3"/>
  <c r="AA217" i="3"/>
  <c r="B218" i="3"/>
  <c r="M218" i="3"/>
  <c r="P218" i="3"/>
  <c r="Q218" i="3"/>
  <c r="AA218" i="3"/>
  <c r="B219" i="3"/>
  <c r="M219" i="3"/>
  <c r="P219" i="3"/>
  <c r="Q219" i="3"/>
  <c r="AA219" i="3"/>
  <c r="B220" i="3"/>
  <c r="M220" i="3"/>
  <c r="P220" i="3"/>
  <c r="Q220" i="3"/>
  <c r="AA220" i="3"/>
  <c r="B221" i="3"/>
  <c r="M221" i="3"/>
  <c r="P221" i="3"/>
  <c r="Q221" i="3"/>
  <c r="AA221" i="3"/>
  <c r="B222" i="3"/>
  <c r="M222" i="3"/>
  <c r="P222" i="3"/>
  <c r="Q222" i="3"/>
  <c r="AA222" i="3"/>
  <c r="B223" i="3"/>
  <c r="M223" i="3"/>
  <c r="P223" i="3"/>
  <c r="Q223" i="3"/>
  <c r="AA223" i="3"/>
  <c r="B224" i="3"/>
  <c r="M224" i="3"/>
  <c r="P224" i="3"/>
  <c r="Q224" i="3"/>
  <c r="AA224" i="3"/>
  <c r="B225" i="3"/>
  <c r="M225" i="3"/>
  <c r="P225" i="3"/>
  <c r="Q225" i="3"/>
  <c r="AA225" i="3"/>
  <c r="B226" i="3"/>
  <c r="M226" i="3"/>
  <c r="P226" i="3"/>
  <c r="Q226" i="3"/>
  <c r="AA226" i="3"/>
  <c r="B227" i="3"/>
  <c r="M227" i="3"/>
  <c r="P227" i="3"/>
  <c r="Q227" i="3"/>
  <c r="AA227" i="3"/>
  <c r="B230" i="3"/>
  <c r="M230" i="3"/>
  <c r="P230" i="3"/>
  <c r="Q230" i="3"/>
  <c r="AA230" i="3"/>
  <c r="B231" i="3"/>
  <c r="M231" i="3"/>
  <c r="P231" i="3"/>
  <c r="Q231" i="3"/>
  <c r="AA231" i="3"/>
  <c r="B232" i="3"/>
  <c r="M232" i="3"/>
  <c r="P232" i="3"/>
  <c r="Q232" i="3"/>
  <c r="AA232" i="3"/>
  <c r="B233" i="3"/>
  <c r="M233" i="3"/>
  <c r="P233" i="3"/>
  <c r="Q233" i="3"/>
  <c r="AA233" i="3"/>
  <c r="B234" i="3"/>
  <c r="M234" i="3"/>
  <c r="P234" i="3"/>
  <c r="Q234" i="3"/>
  <c r="AA234" i="3"/>
  <c r="B235" i="3"/>
  <c r="M235" i="3"/>
  <c r="P235" i="3"/>
  <c r="Q235" i="3"/>
  <c r="AA235" i="3"/>
  <c r="B236" i="3"/>
  <c r="M236" i="3"/>
  <c r="P236" i="3"/>
  <c r="Q236" i="3"/>
  <c r="AA236" i="3"/>
  <c r="B237" i="3"/>
  <c r="M237" i="3"/>
  <c r="P237" i="3"/>
  <c r="Q237" i="3"/>
  <c r="AA237" i="3"/>
  <c r="B238" i="3"/>
  <c r="M238" i="3"/>
  <c r="P238" i="3"/>
  <c r="Q238" i="3"/>
  <c r="AA238" i="3"/>
  <c r="B239" i="3"/>
  <c r="M239" i="3"/>
  <c r="P239" i="3"/>
  <c r="Q239" i="3"/>
  <c r="AA239" i="3"/>
  <c r="B240" i="3"/>
  <c r="M240" i="3"/>
  <c r="P240" i="3"/>
  <c r="Q240" i="3"/>
  <c r="AA240" i="3"/>
  <c r="B241" i="3"/>
  <c r="M241" i="3"/>
  <c r="P241" i="3"/>
  <c r="Q241" i="3"/>
  <c r="AA241" i="3"/>
  <c r="B242" i="3"/>
  <c r="M242" i="3"/>
  <c r="P242" i="3"/>
  <c r="Q242" i="3"/>
  <c r="AA242" i="3"/>
  <c r="B243" i="3"/>
  <c r="M243" i="3"/>
  <c r="P243" i="3"/>
  <c r="Q243" i="3"/>
  <c r="AA243" i="3"/>
  <c r="B244" i="3"/>
  <c r="M244" i="3"/>
  <c r="P244" i="3"/>
  <c r="Q244" i="3"/>
  <c r="AA244" i="3"/>
  <c r="B245" i="3"/>
  <c r="M245" i="3"/>
  <c r="P245" i="3"/>
  <c r="Q245" i="3"/>
  <c r="AA245" i="3"/>
  <c r="B246" i="3"/>
  <c r="M246" i="3"/>
  <c r="P246" i="3"/>
  <c r="Q246" i="3"/>
  <c r="AA246" i="3"/>
  <c r="B247" i="3"/>
  <c r="M247" i="3"/>
  <c r="P247" i="3"/>
  <c r="Q247" i="3"/>
  <c r="AA247" i="3"/>
  <c r="B248" i="3"/>
  <c r="M248" i="3"/>
  <c r="P248" i="3"/>
  <c r="Q248" i="3"/>
  <c r="AA248" i="3"/>
  <c r="B249" i="3"/>
  <c r="M249" i="3"/>
  <c r="P249" i="3"/>
  <c r="Q249" i="3"/>
  <c r="AA249" i="3"/>
  <c r="B250" i="3"/>
  <c r="M250" i="3"/>
  <c r="P250" i="3"/>
  <c r="Q250" i="3"/>
  <c r="AA250" i="3"/>
  <c r="B251" i="3"/>
  <c r="M251" i="3"/>
  <c r="P251" i="3"/>
  <c r="Q251" i="3"/>
  <c r="AA251" i="3"/>
  <c r="B252" i="3"/>
  <c r="M252" i="3"/>
  <c r="P252" i="3"/>
  <c r="Q252" i="3"/>
  <c r="AA252" i="3"/>
  <c r="B253" i="3"/>
  <c r="M253" i="3"/>
  <c r="P253" i="3"/>
  <c r="Q253" i="3"/>
  <c r="AA253" i="3"/>
  <c r="B254" i="3"/>
  <c r="M254" i="3"/>
  <c r="P254" i="3"/>
  <c r="Q254" i="3"/>
  <c r="AA254" i="3"/>
  <c r="B255" i="3"/>
  <c r="M255" i="3"/>
  <c r="P255" i="3"/>
  <c r="Q255" i="3"/>
  <c r="AA255" i="3"/>
  <c r="B256" i="3"/>
  <c r="M256" i="3"/>
  <c r="P256" i="3"/>
  <c r="Q256" i="3"/>
  <c r="AA256" i="3"/>
  <c r="B257" i="3"/>
  <c r="M257" i="3"/>
  <c r="P257" i="3"/>
  <c r="Q257" i="3"/>
  <c r="AA257" i="3"/>
  <c r="B258" i="3"/>
  <c r="M258" i="3"/>
  <c r="P258" i="3"/>
  <c r="Q258" i="3"/>
  <c r="AA258" i="3"/>
  <c r="B259" i="3"/>
  <c r="M259" i="3"/>
  <c r="P259" i="3"/>
  <c r="Q259" i="3"/>
  <c r="AA259" i="3"/>
  <c r="B449" i="7"/>
  <c r="B450" i="7"/>
  <c r="B451" i="7"/>
  <c r="B452" i="7"/>
  <c r="B453" i="7"/>
  <c r="B454" i="7"/>
  <c r="B455" i="7"/>
  <c r="B456" i="7"/>
  <c r="B457" i="7"/>
  <c r="B458" i="7"/>
  <c r="B459" i="7"/>
  <c r="B460" i="7"/>
  <c r="B461" i="7"/>
  <c r="B462" i="7"/>
  <c r="B463" i="7"/>
  <c r="B464" i="7"/>
  <c r="B465" i="7"/>
  <c r="B466" i="7"/>
  <c r="B467" i="7"/>
  <c r="B468" i="7"/>
  <c r="B469" i="7"/>
  <c r="B470" i="7"/>
  <c r="B471" i="7"/>
  <c r="B472" i="7"/>
  <c r="B473" i="7"/>
  <c r="B474" i="7"/>
  <c r="B475" i="7"/>
  <c r="M449" i="7"/>
  <c r="M450" i="7"/>
  <c r="M451" i="7"/>
  <c r="M452" i="7"/>
  <c r="M453" i="7"/>
  <c r="M454" i="7"/>
  <c r="M455" i="7"/>
  <c r="M456" i="7"/>
  <c r="M457" i="7"/>
  <c r="M458" i="7"/>
  <c r="M459" i="7"/>
  <c r="M460" i="7"/>
  <c r="M461" i="7"/>
  <c r="M462" i="7"/>
  <c r="M463" i="7"/>
  <c r="M464" i="7"/>
  <c r="M465" i="7"/>
  <c r="M466" i="7"/>
  <c r="M467" i="7"/>
  <c r="M468" i="7"/>
  <c r="M469" i="7"/>
  <c r="M470" i="7"/>
  <c r="M471" i="7"/>
  <c r="M472" i="7"/>
  <c r="M473" i="7"/>
  <c r="M474" i="7"/>
  <c r="M475" i="7"/>
  <c r="P449" i="7"/>
  <c r="X449" i="7" s="1"/>
  <c r="P450" i="7"/>
  <c r="X450" i="7" s="1"/>
  <c r="P451" i="7"/>
  <c r="X451" i="7" s="1"/>
  <c r="P452" i="7"/>
  <c r="X452" i="7" s="1"/>
  <c r="P453" i="7"/>
  <c r="X453" i="7" s="1"/>
  <c r="P454" i="7"/>
  <c r="X454" i="7" s="1"/>
  <c r="P455" i="7"/>
  <c r="X455" i="7" s="1"/>
  <c r="P456" i="7"/>
  <c r="X456" i="7" s="1"/>
  <c r="P457" i="7"/>
  <c r="X457" i="7" s="1"/>
  <c r="P458" i="7"/>
  <c r="X458" i="7" s="1"/>
  <c r="P459" i="7"/>
  <c r="X459" i="7" s="1"/>
  <c r="P460" i="7"/>
  <c r="X460" i="7" s="1"/>
  <c r="P461" i="7"/>
  <c r="X461" i="7" s="1"/>
  <c r="P462" i="7"/>
  <c r="X462" i="7" s="1"/>
  <c r="P463" i="7"/>
  <c r="X463" i="7" s="1"/>
  <c r="P464" i="7"/>
  <c r="X464" i="7" s="1"/>
  <c r="P465" i="7"/>
  <c r="X465" i="7" s="1"/>
  <c r="P466" i="7"/>
  <c r="X466" i="7" s="1"/>
  <c r="P467" i="7"/>
  <c r="X467" i="7" s="1"/>
  <c r="P468" i="7"/>
  <c r="X468" i="7" s="1"/>
  <c r="P469" i="7"/>
  <c r="X469" i="7" s="1"/>
  <c r="P470" i="7"/>
  <c r="X470" i="7" s="1"/>
  <c r="P471" i="7"/>
  <c r="X471" i="7" s="1"/>
  <c r="P472" i="7"/>
  <c r="X472" i="7" s="1"/>
  <c r="P473" i="7"/>
  <c r="X473" i="7" s="1"/>
  <c r="P474" i="7"/>
  <c r="X474" i="7" s="1"/>
  <c r="P475" i="7"/>
  <c r="X475" i="7" s="1"/>
  <c r="Q449" i="7"/>
  <c r="Q450" i="7"/>
  <c r="Q451" i="7"/>
  <c r="Q452" i="7"/>
  <c r="Q453" i="7"/>
  <c r="Q454" i="7"/>
  <c r="Q455" i="7"/>
  <c r="Q456" i="7"/>
  <c r="Q457" i="7"/>
  <c r="Q458" i="7"/>
  <c r="Q459" i="7"/>
  <c r="Q460" i="7"/>
  <c r="Q461" i="7"/>
  <c r="Q462" i="7"/>
  <c r="Q463" i="7"/>
  <c r="Q464" i="7"/>
  <c r="Q465" i="7"/>
  <c r="Q466" i="7"/>
  <c r="Q467" i="7"/>
  <c r="Q468" i="7"/>
  <c r="Q469" i="7"/>
  <c r="Q470" i="7"/>
  <c r="Q471" i="7"/>
  <c r="Q472" i="7"/>
  <c r="Q473" i="7"/>
  <c r="Q474" i="7"/>
  <c r="Q475" i="7"/>
  <c r="R4" i="3" l="1"/>
  <c r="R5" i="3" s="1"/>
  <c r="R6" i="3" s="1"/>
  <c r="R7" i="3" s="1"/>
  <c r="R8" i="3" s="1"/>
  <c r="R9" i="3" s="1"/>
  <c r="R10" i="3" s="1"/>
  <c r="R11" i="3" s="1"/>
  <c r="R12" i="3" s="1"/>
  <c r="R13" i="3" s="1"/>
  <c r="R14" i="3" s="1"/>
  <c r="R15" i="3" s="1"/>
  <c r="R16" i="3" s="1"/>
  <c r="R17" i="3" s="1"/>
  <c r="R18" i="3" s="1"/>
  <c r="R19" i="3" s="1"/>
  <c r="R20" i="3" s="1"/>
  <c r="R21" i="3" s="1"/>
  <c r="R22" i="3" s="1"/>
  <c r="R23" i="3" s="1"/>
  <c r="R24" i="3" s="1"/>
  <c r="R25" i="3" s="1"/>
  <c r="R26" i="3" s="1"/>
  <c r="R27" i="3" s="1"/>
  <c r="R28" i="3" s="1"/>
  <c r="R29" i="3" s="1"/>
  <c r="R30" i="3" s="1"/>
  <c r="R31" i="3" s="1"/>
  <c r="R32" i="3" s="1"/>
  <c r="R33" i="3" s="1"/>
  <c r="R34" i="3" s="1"/>
  <c r="R35" i="3" s="1"/>
  <c r="R36" i="3" s="1"/>
  <c r="R37" i="3" s="1"/>
  <c r="R38" i="3" s="1"/>
  <c r="R39" i="3" s="1"/>
  <c r="R40" i="3" s="1"/>
  <c r="R41" i="3" s="1"/>
  <c r="R42" i="3" s="1"/>
  <c r="R43" i="3" s="1"/>
  <c r="R44" i="3" s="1"/>
  <c r="R45" i="3" s="1"/>
  <c r="R46" i="3" s="1"/>
  <c r="R47" i="3" s="1"/>
  <c r="R48" i="3" s="1"/>
  <c r="R49" i="3" s="1"/>
  <c r="R50" i="3" s="1"/>
  <c r="R51" i="3" s="1"/>
  <c r="R52" i="3" s="1"/>
  <c r="R53" i="3" s="1"/>
  <c r="R54" i="3" s="1"/>
  <c r="R55" i="3" s="1"/>
  <c r="R56" i="3" s="1"/>
  <c r="R57" i="3" s="1"/>
  <c r="R58" i="3" s="1"/>
  <c r="R59" i="3" s="1"/>
  <c r="R60" i="3" s="1"/>
  <c r="R61" i="3" s="1"/>
  <c r="R62" i="3" s="1"/>
  <c r="R63" i="3" s="1"/>
  <c r="R64" i="3" s="1"/>
  <c r="R65" i="3" s="1"/>
  <c r="R66" i="3" s="1"/>
  <c r="R67" i="3" s="1"/>
  <c r="R68" i="3" s="1"/>
  <c r="R69" i="3" s="1"/>
  <c r="R70" i="3" s="1"/>
  <c r="R71" i="3" s="1"/>
  <c r="R72" i="3" s="1"/>
  <c r="R73" i="3" s="1"/>
  <c r="R74" i="3" s="1"/>
  <c r="R75" i="3" s="1"/>
  <c r="R76" i="3" s="1"/>
  <c r="R77" i="3" s="1"/>
  <c r="R78" i="3" s="1"/>
  <c r="R79" i="3" s="1"/>
  <c r="R80" i="3" s="1"/>
  <c r="R81" i="3" s="1"/>
  <c r="R82" i="3" s="1"/>
  <c r="R83" i="3" s="1"/>
  <c r="R84" i="3" s="1"/>
  <c r="R85" i="3" s="1"/>
  <c r="R86" i="3" s="1"/>
  <c r="R87" i="3" s="1"/>
  <c r="R88" i="3" s="1"/>
  <c r="R89" i="3" s="1"/>
  <c r="R90" i="3" s="1"/>
  <c r="R91" i="3" s="1"/>
  <c r="R92" i="3" s="1"/>
  <c r="R93" i="3" s="1"/>
  <c r="R94" i="3" s="1"/>
  <c r="R95" i="3" s="1"/>
  <c r="R96" i="3" s="1"/>
  <c r="R97" i="3" s="1"/>
  <c r="R98" i="3" s="1"/>
  <c r="R99" i="3" s="1"/>
  <c r="R100" i="3" s="1"/>
  <c r="R101" i="3" s="1"/>
  <c r="R102" i="3" s="1"/>
  <c r="R103" i="3" s="1"/>
  <c r="R104" i="3" s="1"/>
  <c r="R105" i="3" s="1"/>
  <c r="R106" i="3" s="1"/>
  <c r="R107" i="3" s="1"/>
  <c r="R108" i="3" s="1"/>
  <c r="R109" i="3" s="1"/>
  <c r="R110" i="3" s="1"/>
  <c r="R111" i="3" s="1"/>
  <c r="R112" i="3" s="1"/>
  <c r="R113" i="3" s="1"/>
  <c r="R114" i="3" s="1"/>
  <c r="R115" i="3" s="1"/>
  <c r="R116" i="3" s="1"/>
  <c r="R117" i="3" s="1"/>
  <c r="R118" i="3" s="1"/>
  <c r="R119" i="3" s="1"/>
  <c r="R120" i="3" s="1"/>
  <c r="R121" i="3" s="1"/>
  <c r="R122" i="3" s="1"/>
  <c r="R123" i="3" s="1"/>
  <c r="R124" i="3" s="1"/>
  <c r="R125" i="3" s="1"/>
  <c r="R126" i="3" s="1"/>
  <c r="R127" i="3" s="1"/>
  <c r="R128" i="3" s="1"/>
  <c r="R129" i="3" s="1"/>
  <c r="R130" i="3" s="1"/>
  <c r="R131" i="3" s="1"/>
  <c r="R132" i="3" s="1"/>
  <c r="R133" i="3" s="1"/>
  <c r="R134" i="3" s="1"/>
  <c r="R135" i="3" s="1"/>
  <c r="R136" i="3" s="1"/>
  <c r="R137" i="3" s="1"/>
  <c r="R138" i="3" s="1"/>
  <c r="R139" i="3" s="1"/>
  <c r="R140" i="3" s="1"/>
  <c r="R141" i="3" s="1"/>
  <c r="R142" i="3" s="1"/>
  <c r="R143" i="3" s="1"/>
  <c r="R144" i="3" s="1"/>
  <c r="R145" i="3" s="1"/>
  <c r="R146" i="3" s="1"/>
  <c r="R147" i="3" s="1"/>
  <c r="R148" i="3" s="1"/>
  <c r="R149" i="3" s="1"/>
  <c r="R150" i="3" s="1"/>
  <c r="R151" i="3" s="1"/>
  <c r="R152" i="3" s="1"/>
  <c r="R153" i="3" s="1"/>
  <c r="R154" i="3" s="1"/>
  <c r="R155" i="3" s="1"/>
  <c r="R156" i="3" s="1"/>
  <c r="R157" i="3" s="1"/>
  <c r="R158" i="3" s="1"/>
  <c r="R159" i="3" s="1"/>
  <c r="R160" i="3" s="1"/>
  <c r="R161" i="3" s="1"/>
  <c r="R162" i="3" s="1"/>
  <c r="R163" i="3" s="1"/>
  <c r="R164" i="3" s="1"/>
  <c r="R165" i="3" s="1"/>
  <c r="R166" i="3" s="1"/>
  <c r="R167" i="3" s="1"/>
  <c r="R168" i="3" s="1"/>
  <c r="R169" i="3" s="1"/>
  <c r="R170" i="3" s="1"/>
  <c r="R171" i="3" s="1"/>
  <c r="R172" i="3" s="1"/>
  <c r="R173" i="3" s="1"/>
  <c r="R174" i="3" s="1"/>
  <c r="R175" i="3" s="1"/>
  <c r="R176" i="3" s="1"/>
  <c r="R177" i="3" s="1"/>
  <c r="R178" i="3" s="1"/>
  <c r="R179" i="3" s="1"/>
  <c r="R180" i="3" s="1"/>
  <c r="R181" i="3" s="1"/>
  <c r="R182" i="3" s="1"/>
  <c r="R183" i="3" s="1"/>
  <c r="R184" i="3" s="1"/>
  <c r="R185" i="3" s="1"/>
  <c r="R186" i="3" s="1"/>
  <c r="R187" i="3" s="1"/>
  <c r="R188" i="3" s="1"/>
  <c r="R189" i="3" s="1"/>
  <c r="R190" i="3" s="1"/>
  <c r="R191" i="3" s="1"/>
  <c r="R192" i="3" s="1"/>
  <c r="R193" i="3" s="1"/>
  <c r="R194" i="3" s="1"/>
  <c r="R195" i="3" s="1"/>
  <c r="R196" i="3" s="1"/>
  <c r="R197" i="3" s="1"/>
  <c r="R198" i="3" s="1"/>
  <c r="R199" i="3" s="1"/>
  <c r="R200" i="3" s="1"/>
  <c r="R201" i="3" s="1"/>
  <c r="R202" i="3" s="1"/>
  <c r="R203" i="3" s="1"/>
  <c r="R204" i="3" s="1"/>
  <c r="R205" i="3" s="1"/>
  <c r="R206" i="3" s="1"/>
  <c r="R207" i="3" s="1"/>
  <c r="R208" i="3" s="1"/>
  <c r="R209" i="3" s="1"/>
  <c r="R210" i="3" s="1"/>
  <c r="R211" i="3" s="1"/>
  <c r="R212" i="3" s="1"/>
  <c r="R213" i="3" s="1"/>
  <c r="R214" i="3" s="1"/>
  <c r="R215" i="3" s="1"/>
  <c r="R216" i="3" s="1"/>
  <c r="R217" i="3" s="1"/>
  <c r="R218" i="3" s="1"/>
  <c r="R219" i="3" s="1"/>
  <c r="R220" i="3" s="1"/>
  <c r="R221" i="3" s="1"/>
  <c r="R222" i="3" s="1"/>
  <c r="R223" i="3" s="1"/>
  <c r="R224" i="3" s="1"/>
  <c r="R225" i="3" s="1"/>
  <c r="R226" i="3" s="1"/>
  <c r="R227" i="3" s="1"/>
  <c r="R228" i="3" s="1"/>
  <c r="R229" i="3" s="1"/>
  <c r="R230" i="3" s="1"/>
  <c r="R231" i="3" s="1"/>
  <c r="R232" i="3" s="1"/>
  <c r="R233" i="3" s="1"/>
  <c r="R234" i="3" s="1"/>
  <c r="R235" i="3" s="1"/>
  <c r="R236" i="3" s="1"/>
  <c r="R237" i="3" s="1"/>
  <c r="R238" i="3" s="1"/>
  <c r="R239" i="3" s="1"/>
  <c r="R240" i="3" s="1"/>
  <c r="R241" i="3" s="1"/>
  <c r="R242" i="3" s="1"/>
  <c r="R243" i="3" s="1"/>
  <c r="R244" i="3" s="1"/>
  <c r="R245" i="3" s="1"/>
  <c r="R246" i="3" s="1"/>
  <c r="R247" i="3" s="1"/>
  <c r="R248" i="3" s="1"/>
  <c r="R249" i="3" s="1"/>
  <c r="R250" i="3" s="1"/>
  <c r="R251" i="3" s="1"/>
  <c r="R252" i="3" s="1"/>
  <c r="R253" i="3" s="1"/>
  <c r="R254" i="3" s="1"/>
  <c r="R255" i="3" s="1"/>
  <c r="R256" i="3" s="1"/>
  <c r="R257" i="3" s="1"/>
  <c r="R258" i="3" s="1"/>
  <c r="R259" i="3" s="1"/>
  <c r="R260" i="3" s="1"/>
  <c r="R261" i="3" s="1"/>
  <c r="R262" i="3" s="1"/>
  <c r="R263" i="3" s="1"/>
  <c r="R264" i="3" s="1"/>
  <c r="R265" i="3" s="1"/>
  <c r="R266" i="3" s="1"/>
  <c r="R267" i="3" s="1"/>
  <c r="R268" i="3" s="1"/>
  <c r="R269" i="3" s="1"/>
  <c r="R270" i="3" s="1"/>
  <c r="R271" i="3" s="1"/>
  <c r="R272" i="3" s="1"/>
  <c r="R273" i="3" s="1"/>
  <c r="R274" i="3" s="1"/>
  <c r="R275" i="3" s="1"/>
  <c r="R276" i="3" s="1"/>
  <c r="R277" i="3" s="1"/>
  <c r="R278" i="3" s="1"/>
  <c r="R279" i="3" s="1"/>
  <c r="R280" i="3" s="1"/>
  <c r="R281" i="3" s="1"/>
  <c r="R282" i="3" s="1"/>
  <c r="R283" i="3" s="1"/>
  <c r="R284" i="3" s="1"/>
  <c r="R285" i="3" s="1"/>
  <c r="R286" i="3" s="1"/>
  <c r="R287" i="3" s="1"/>
  <c r="R288" i="3" s="1"/>
  <c r="R289" i="3" s="1"/>
  <c r="R290" i="3" s="1"/>
  <c r="R291" i="3" s="1"/>
  <c r="R292" i="3" s="1"/>
  <c r="R293" i="3" s="1"/>
  <c r="R294" i="3" s="1"/>
  <c r="R295" i="3" s="1"/>
  <c r="R296" i="3" s="1"/>
  <c r="R297" i="3" s="1"/>
  <c r="R298" i="3" s="1"/>
  <c r="R299" i="3" s="1"/>
  <c r="R300" i="3" s="1"/>
  <c r="R301" i="3" s="1"/>
  <c r="R302" i="3" s="1"/>
  <c r="R303" i="3" s="1"/>
  <c r="R304" i="3" s="1"/>
  <c r="R305" i="3" s="1"/>
  <c r="R306" i="3" s="1"/>
  <c r="R307" i="3" s="1"/>
  <c r="R308" i="3" s="1"/>
  <c r="R309" i="3" s="1"/>
  <c r="R310" i="3" s="1"/>
  <c r="R311" i="3" s="1"/>
  <c r="R312" i="3" s="1"/>
  <c r="R313" i="3" s="1"/>
  <c r="R314" i="3" s="1"/>
  <c r="R315" i="3" s="1"/>
  <c r="R316" i="3" s="1"/>
  <c r="R317" i="3" s="1"/>
  <c r="R318" i="3" s="1"/>
  <c r="R319" i="3" s="1"/>
  <c r="R320" i="3" s="1"/>
  <c r="R321" i="3" s="1"/>
  <c r="R322" i="3" s="1"/>
  <c r="R323" i="3" s="1"/>
  <c r="R324" i="3" s="1"/>
  <c r="R325" i="3" s="1"/>
  <c r="R326" i="3" s="1"/>
  <c r="R327" i="3" s="1"/>
  <c r="R328" i="3" s="1"/>
  <c r="R329" i="3" s="1"/>
  <c r="R330" i="3" s="1"/>
  <c r="R331" i="3" s="1"/>
  <c r="R332" i="3" s="1"/>
  <c r="R333" i="3" s="1"/>
  <c r="R334" i="3" s="1"/>
  <c r="R335" i="3" s="1"/>
  <c r="R336" i="3" s="1"/>
  <c r="R337" i="3" s="1"/>
  <c r="R338" i="3" s="1"/>
  <c r="R339" i="3" s="1"/>
  <c r="R340" i="3" s="1"/>
  <c r="R341" i="3" s="1"/>
  <c r="R342" i="3" s="1"/>
  <c r="R343" i="3" s="1"/>
  <c r="R344" i="3" s="1"/>
  <c r="R345" i="3" s="1"/>
  <c r="R346" i="3" s="1"/>
  <c r="R347" i="3" s="1"/>
  <c r="R348" i="3" s="1"/>
  <c r="R349" i="3" s="1"/>
  <c r="R350" i="3" s="1"/>
  <c r="R351" i="3" s="1"/>
  <c r="R352" i="3" s="1"/>
  <c r="R353" i="3" s="1"/>
  <c r="R354" i="3" s="1"/>
  <c r="R355" i="3" s="1"/>
  <c r="R356" i="3" s="1"/>
  <c r="R357" i="3" s="1"/>
  <c r="R358" i="3" s="1"/>
  <c r="R359" i="3" s="1"/>
  <c r="R360" i="3" s="1"/>
  <c r="R361" i="3" s="1"/>
  <c r="R362" i="3" s="1"/>
  <c r="R363" i="3" s="1"/>
  <c r="R364" i="3" s="1"/>
  <c r="R365" i="3" s="1"/>
  <c r="R366" i="3" s="1"/>
  <c r="R367" i="3" s="1"/>
  <c r="R368" i="3" s="1"/>
  <c r="R369" i="3" s="1"/>
  <c r="R370" i="3" s="1"/>
  <c r="R371" i="3" s="1"/>
  <c r="R372" i="3" s="1"/>
  <c r="R373" i="3" s="1"/>
  <c r="R374" i="3" s="1"/>
  <c r="R375" i="3" s="1"/>
  <c r="R376" i="3" s="1"/>
  <c r="R377" i="3" s="1"/>
  <c r="R378" i="3" s="1"/>
  <c r="R379" i="3" s="1"/>
  <c r="R380" i="3" s="1"/>
  <c r="R381" i="3" s="1"/>
  <c r="R382" i="3" s="1"/>
  <c r="R383" i="3" s="1"/>
  <c r="R384" i="3" s="1"/>
  <c r="R385" i="3" s="1"/>
  <c r="R386" i="3" s="1"/>
  <c r="R387" i="3" s="1"/>
  <c r="R388" i="3" s="1"/>
  <c r="R389" i="3" s="1"/>
  <c r="R390" i="3" s="1"/>
  <c r="R391" i="3" s="1"/>
  <c r="R392" i="3" s="1"/>
  <c r="R393" i="3" s="1"/>
  <c r="R394" i="3" s="1"/>
  <c r="R395" i="3" s="1"/>
  <c r="R396" i="3" s="1"/>
  <c r="R397" i="3" s="1"/>
  <c r="R398" i="3" s="1"/>
  <c r="R399" i="3" s="1"/>
  <c r="R400" i="3" s="1"/>
  <c r="R401" i="3" s="1"/>
  <c r="R402" i="3" s="1"/>
  <c r="R403" i="3" s="1"/>
  <c r="R404" i="3" s="1"/>
  <c r="R405" i="3" s="1"/>
  <c r="R406" i="3" s="1"/>
  <c r="R407" i="3" s="1"/>
  <c r="R408" i="3" s="1"/>
  <c r="R409" i="3" s="1"/>
  <c r="R410" i="3" s="1"/>
  <c r="R411" i="3" s="1"/>
  <c r="R412" i="3" s="1"/>
  <c r="R413" i="3" s="1"/>
  <c r="R414" i="3" s="1"/>
  <c r="R415" i="3" s="1"/>
  <c r="R416" i="3" s="1"/>
  <c r="R417" i="3" s="1"/>
  <c r="R418" i="3" s="1"/>
  <c r="R419" i="3" s="1"/>
  <c r="R420" i="3" s="1"/>
  <c r="R421" i="3" s="1"/>
  <c r="R422" i="3" s="1"/>
  <c r="R423" i="3" s="1"/>
  <c r="R424" i="3" s="1"/>
  <c r="R425" i="3" s="1"/>
  <c r="R426" i="3" l="1"/>
  <c r="R427" i="3" s="1"/>
  <c r="R428" i="3" s="1"/>
  <c r="R429" i="3" s="1"/>
  <c r="R430" i="3" s="1"/>
  <c r="R431" i="3" s="1"/>
  <c r="R432" i="3" s="1"/>
  <c r="R433" i="3" s="1"/>
  <c r="R434" i="3" s="1"/>
  <c r="R435" i="3" s="1"/>
  <c r="B602" i="9"/>
  <c r="N602" i="9"/>
  <c r="Q602" i="9"/>
  <c r="R602" i="9"/>
  <c r="AB602" i="9"/>
  <c r="B432" i="7" l="1"/>
  <c r="B433" i="7"/>
  <c r="B434" i="7"/>
  <c r="B435" i="7"/>
  <c r="B436" i="7"/>
  <c r="B437" i="7"/>
  <c r="B438" i="7"/>
  <c r="B439" i="7"/>
  <c r="B440" i="7"/>
  <c r="B441" i="7"/>
  <c r="B442" i="7"/>
  <c r="B443" i="7"/>
  <c r="B444" i="7"/>
  <c r="B445" i="7"/>
  <c r="B446" i="7"/>
  <c r="B447" i="7"/>
  <c r="B448" i="7"/>
  <c r="M432" i="7"/>
  <c r="M433" i="7"/>
  <c r="M434" i="7"/>
  <c r="M435" i="7"/>
  <c r="M436" i="7"/>
  <c r="M437" i="7"/>
  <c r="M438" i="7"/>
  <c r="M439" i="7"/>
  <c r="M440" i="7"/>
  <c r="M441" i="7"/>
  <c r="M442" i="7"/>
  <c r="M443" i="7"/>
  <c r="M444" i="7"/>
  <c r="M445" i="7"/>
  <c r="M446" i="7"/>
  <c r="M447" i="7"/>
  <c r="M448" i="7"/>
  <c r="P432" i="7"/>
  <c r="X432" i="7" s="1"/>
  <c r="P433" i="7"/>
  <c r="X433" i="7" s="1"/>
  <c r="P434" i="7"/>
  <c r="X434" i="7" s="1"/>
  <c r="P435" i="7"/>
  <c r="X435" i="7" s="1"/>
  <c r="P436" i="7"/>
  <c r="X436" i="7" s="1"/>
  <c r="P437" i="7"/>
  <c r="X437" i="7" s="1"/>
  <c r="P438" i="7"/>
  <c r="X438" i="7" s="1"/>
  <c r="P439" i="7"/>
  <c r="X439" i="7" s="1"/>
  <c r="P440" i="7"/>
  <c r="X440" i="7" s="1"/>
  <c r="P441" i="7"/>
  <c r="X441" i="7" s="1"/>
  <c r="P442" i="7"/>
  <c r="X442" i="7" s="1"/>
  <c r="P443" i="7"/>
  <c r="X443" i="7" s="1"/>
  <c r="P444" i="7"/>
  <c r="X444" i="7" s="1"/>
  <c r="P445" i="7"/>
  <c r="X445" i="7" s="1"/>
  <c r="P446" i="7"/>
  <c r="X446" i="7" s="1"/>
  <c r="P447" i="7"/>
  <c r="X447" i="7" s="1"/>
  <c r="P448" i="7"/>
  <c r="X448" i="7" s="1"/>
  <c r="Q432" i="7"/>
  <c r="Q433" i="7"/>
  <c r="Q434" i="7"/>
  <c r="Q435" i="7"/>
  <c r="Q436" i="7"/>
  <c r="Q437" i="7"/>
  <c r="Q438" i="7"/>
  <c r="Q439" i="7"/>
  <c r="Q440" i="7"/>
  <c r="Q441" i="7"/>
  <c r="Q442" i="7"/>
  <c r="Q443" i="7"/>
  <c r="Q444" i="7"/>
  <c r="Q445" i="7"/>
  <c r="Q446" i="7"/>
  <c r="Q447" i="7"/>
  <c r="Q448" i="7"/>
  <c r="B590" i="9"/>
  <c r="B591" i="9"/>
  <c r="B592" i="9"/>
  <c r="B593" i="9"/>
  <c r="B594" i="9"/>
  <c r="B595" i="9"/>
  <c r="B596" i="9"/>
  <c r="B597" i="9"/>
  <c r="B598" i="9"/>
  <c r="B599" i="9"/>
  <c r="B600" i="9"/>
  <c r="B601" i="9"/>
  <c r="N590" i="9"/>
  <c r="N591" i="9"/>
  <c r="N592" i="9"/>
  <c r="N593" i="9"/>
  <c r="N594" i="9"/>
  <c r="N595" i="9"/>
  <c r="N596" i="9"/>
  <c r="N597" i="9"/>
  <c r="N598" i="9"/>
  <c r="N599" i="9"/>
  <c r="N600" i="9"/>
  <c r="N601" i="9"/>
  <c r="Q590" i="9"/>
  <c r="Q591" i="9"/>
  <c r="Q592" i="9"/>
  <c r="Q593" i="9"/>
  <c r="Q594" i="9"/>
  <c r="Q595" i="9"/>
  <c r="Q596" i="9"/>
  <c r="Q597" i="9"/>
  <c r="Q598" i="9"/>
  <c r="Q599" i="9"/>
  <c r="Q600" i="9"/>
  <c r="Q601" i="9"/>
  <c r="R590" i="9"/>
  <c r="R591" i="9"/>
  <c r="R592" i="9"/>
  <c r="R593" i="9"/>
  <c r="R594" i="9"/>
  <c r="R595" i="9"/>
  <c r="R596" i="9"/>
  <c r="R597" i="9"/>
  <c r="R598" i="9"/>
  <c r="R599" i="9"/>
  <c r="R600" i="9"/>
  <c r="R601" i="9"/>
  <c r="AB590" i="9"/>
  <c r="AB591" i="9"/>
  <c r="AB592" i="9"/>
  <c r="AB593" i="9"/>
  <c r="AB594" i="9"/>
  <c r="AB595" i="9"/>
  <c r="AB596" i="9"/>
  <c r="AB597" i="9"/>
  <c r="AB598" i="9"/>
  <c r="AB599" i="9"/>
  <c r="AB600" i="9"/>
  <c r="AB601" i="9"/>
  <c r="N572" i="8"/>
  <c r="N575" i="8"/>
  <c r="N576" i="8"/>
  <c r="N579" i="8"/>
  <c r="N580" i="8"/>
  <c r="N583" i="8"/>
  <c r="N586" i="8"/>
  <c r="N587" i="8"/>
  <c r="AB572" i="8"/>
  <c r="AB575" i="8"/>
  <c r="AB576" i="8"/>
  <c r="AB579" i="8"/>
  <c r="AB580" i="8"/>
  <c r="AB583" i="8"/>
  <c r="AB586" i="8"/>
  <c r="AB587" i="8"/>
  <c r="B115" i="5" l="1"/>
  <c r="B119" i="5"/>
  <c r="B120" i="5"/>
  <c r="B121" i="5"/>
  <c r="B122" i="5"/>
  <c r="B123" i="5"/>
  <c r="M115" i="5"/>
  <c r="M119" i="5"/>
  <c r="M120" i="5"/>
  <c r="M121" i="5"/>
  <c r="M122" i="5"/>
  <c r="M123" i="5"/>
  <c r="AA115" i="5"/>
  <c r="AA119" i="5"/>
  <c r="AA120" i="5"/>
  <c r="AA121" i="5"/>
  <c r="AA122" i="5"/>
  <c r="AA123" i="5"/>
  <c r="A33" i="6"/>
  <c r="A34" i="6"/>
  <c r="A35" i="6"/>
  <c r="M33" i="6"/>
  <c r="M34" i="6"/>
  <c r="M35" i="6"/>
  <c r="P33" i="6"/>
  <c r="P34" i="6"/>
  <c r="P35" i="6"/>
  <c r="Q33" i="6"/>
  <c r="Q35" i="6"/>
  <c r="AA33" i="6"/>
  <c r="AA34" i="6"/>
  <c r="AA35" i="6"/>
  <c r="B45" i="15" l="1"/>
  <c r="D7" i="15" l="1"/>
  <c r="B3" i="13" l="1"/>
  <c r="B4" i="13"/>
  <c r="B5" i="13"/>
  <c r="B6" i="13"/>
  <c r="B7" i="13"/>
  <c r="B8" i="13"/>
  <c r="B9" i="13"/>
  <c r="B10" i="13"/>
  <c r="B11" i="13"/>
  <c r="B12" i="13"/>
  <c r="B13" i="13"/>
  <c r="B14" i="13"/>
  <c r="B15" i="13"/>
  <c r="B16" i="13"/>
  <c r="B17" i="13"/>
  <c r="B18" i="13"/>
  <c r="B19" i="13"/>
  <c r="B20" i="13"/>
  <c r="B21" i="13"/>
  <c r="B22" i="13"/>
  <c r="B23" i="13"/>
  <c r="B24" i="13"/>
  <c r="B25" i="13"/>
  <c r="B26" i="13"/>
  <c r="B27" i="13"/>
  <c r="B28" i="13"/>
  <c r="B29" i="13"/>
  <c r="B30" i="13"/>
  <c r="B31" i="13"/>
  <c r="B32" i="13"/>
  <c r="B33" i="13"/>
  <c r="B34" i="13"/>
  <c r="B35" i="13"/>
  <c r="B36" i="13"/>
  <c r="B37" i="13"/>
  <c r="B38" i="13"/>
  <c r="B39" i="13"/>
  <c r="B40" i="13"/>
  <c r="B41" i="13"/>
  <c r="B42" i="13"/>
  <c r="B43" i="13"/>
  <c r="B44" i="13"/>
  <c r="B45" i="13"/>
  <c r="B46" i="13"/>
  <c r="B47" i="13"/>
  <c r="B48" i="13"/>
  <c r="B49" i="13"/>
  <c r="B50" i="13"/>
  <c r="B51" i="13"/>
  <c r="B52" i="13"/>
  <c r="B53" i="13"/>
  <c r="B54" i="13"/>
  <c r="B55" i="13"/>
  <c r="B56" i="13"/>
  <c r="B57" i="13"/>
  <c r="B58" i="13"/>
  <c r="B59" i="13"/>
  <c r="B60" i="13"/>
  <c r="B61" i="13"/>
  <c r="B62" i="13"/>
  <c r="B63" i="13"/>
  <c r="B64" i="13"/>
  <c r="B65" i="13"/>
  <c r="B66" i="13"/>
  <c r="B67" i="13"/>
  <c r="B68" i="13"/>
  <c r="B69" i="13"/>
  <c r="B70" i="13"/>
  <c r="B71" i="13"/>
  <c r="B72" i="13"/>
  <c r="B73" i="13"/>
  <c r="B74" i="13"/>
  <c r="B75" i="13"/>
  <c r="B76" i="13"/>
  <c r="B77" i="13"/>
  <c r="B78" i="13"/>
  <c r="B79" i="13"/>
  <c r="B80" i="13"/>
  <c r="B81" i="13"/>
  <c r="B82" i="13"/>
  <c r="B83" i="13"/>
  <c r="B84" i="13"/>
  <c r="B85" i="13"/>
  <c r="B86" i="13"/>
  <c r="B87" i="13"/>
  <c r="B88" i="13"/>
  <c r="B89" i="13"/>
  <c r="B90" i="13"/>
  <c r="B91" i="13"/>
  <c r="B92" i="13"/>
  <c r="B93" i="13"/>
  <c r="B94" i="13"/>
  <c r="B95" i="13"/>
  <c r="B96" i="13"/>
  <c r="B97" i="13"/>
  <c r="B98" i="13"/>
  <c r="B99" i="13"/>
  <c r="B100" i="13"/>
  <c r="B101" i="13"/>
  <c r="B102" i="13"/>
  <c r="B103" i="13"/>
  <c r="B104" i="13"/>
  <c r="B105" i="13"/>
  <c r="B106" i="13"/>
  <c r="B107" i="13"/>
  <c r="B108" i="13"/>
  <c r="B109" i="13"/>
  <c r="B110" i="13"/>
  <c r="B111" i="13"/>
  <c r="B112" i="13"/>
  <c r="B113" i="13"/>
  <c r="B114" i="13"/>
  <c r="B115" i="13"/>
  <c r="B116" i="13"/>
  <c r="B117" i="13"/>
  <c r="B118" i="13"/>
  <c r="B119" i="13"/>
  <c r="B120" i="13"/>
  <c r="B121" i="13"/>
  <c r="B122" i="13"/>
  <c r="B123" i="13"/>
  <c r="B124" i="13"/>
  <c r="B125" i="13"/>
  <c r="B126" i="13"/>
  <c r="B127" i="13"/>
  <c r="B128" i="13"/>
  <c r="B129" i="13"/>
  <c r="B130" i="13"/>
  <c r="B131" i="13"/>
  <c r="B132" i="13"/>
  <c r="B133" i="13"/>
  <c r="B134" i="13"/>
  <c r="B135" i="13"/>
  <c r="B136" i="13"/>
  <c r="B137" i="13"/>
  <c r="B138" i="13"/>
  <c r="B139" i="13"/>
  <c r="B140" i="13"/>
  <c r="B141" i="13"/>
  <c r="B142" i="13"/>
  <c r="B143" i="13"/>
  <c r="B144" i="13"/>
  <c r="B145" i="13"/>
  <c r="B146" i="13"/>
  <c r="B147" i="13"/>
  <c r="B148" i="13"/>
  <c r="B149" i="13"/>
  <c r="B150" i="13"/>
  <c r="B151" i="13"/>
  <c r="B152" i="13"/>
  <c r="B153" i="13"/>
  <c r="B154" i="13"/>
  <c r="B155" i="13"/>
  <c r="B156" i="13"/>
  <c r="B157" i="13"/>
  <c r="B158" i="13"/>
  <c r="B159" i="13"/>
  <c r="B160" i="13"/>
  <c r="B161" i="13"/>
  <c r="B162" i="13"/>
  <c r="B163" i="13"/>
  <c r="B164" i="13"/>
  <c r="B165" i="13"/>
  <c r="B166" i="13"/>
  <c r="B167" i="13"/>
  <c r="B168" i="13"/>
  <c r="B169" i="13"/>
  <c r="B170" i="13"/>
  <c r="B171" i="13"/>
  <c r="B172" i="13"/>
  <c r="B173" i="13"/>
  <c r="B174" i="13"/>
  <c r="B175" i="13"/>
  <c r="B176" i="13"/>
  <c r="B177" i="13"/>
  <c r="B178" i="13"/>
  <c r="B179" i="13"/>
  <c r="B180" i="13"/>
  <c r="B181" i="13"/>
  <c r="B182" i="13"/>
  <c r="B183" i="13"/>
  <c r="B184" i="13"/>
  <c r="B185" i="13"/>
  <c r="B186" i="13"/>
  <c r="B187" i="13"/>
  <c r="B188" i="13"/>
  <c r="B189" i="13"/>
  <c r="B190" i="13"/>
  <c r="B191" i="13"/>
  <c r="B192" i="13"/>
  <c r="B193" i="13"/>
  <c r="B194" i="13"/>
  <c r="B195" i="13"/>
  <c r="B196" i="13"/>
  <c r="B197" i="13"/>
  <c r="B198" i="13"/>
  <c r="B199" i="13"/>
  <c r="B200" i="13"/>
  <c r="B201" i="13"/>
  <c r="B202" i="13"/>
  <c r="B203" i="13"/>
  <c r="B204" i="13"/>
  <c r="B205" i="13"/>
  <c r="B206" i="13"/>
  <c r="B207" i="13"/>
  <c r="B208" i="13"/>
  <c r="B209" i="13"/>
  <c r="B210" i="13"/>
  <c r="B211" i="13"/>
  <c r="B212" i="13"/>
  <c r="B213" i="13"/>
  <c r="B214" i="13"/>
  <c r="B215" i="13"/>
  <c r="B216" i="13"/>
  <c r="B217" i="13"/>
  <c r="B218" i="13"/>
  <c r="B219" i="13"/>
  <c r="B220" i="13"/>
  <c r="B221" i="13"/>
  <c r="B222" i="13"/>
  <c r="B223" i="13"/>
  <c r="B224" i="13"/>
  <c r="B225" i="13"/>
  <c r="B226" i="13"/>
  <c r="B227" i="13"/>
  <c r="B228" i="13"/>
  <c r="B229" i="13"/>
  <c r="B230" i="13"/>
  <c r="B231" i="13"/>
  <c r="B232" i="13"/>
  <c r="B233" i="13"/>
  <c r="M3" i="13"/>
  <c r="M4" i="13"/>
  <c r="M5" i="13"/>
  <c r="M6" i="13"/>
  <c r="M7" i="13"/>
  <c r="M8" i="13"/>
  <c r="M9" i="13"/>
  <c r="M10" i="13"/>
  <c r="M11" i="13"/>
  <c r="M12" i="13"/>
  <c r="M13" i="13"/>
  <c r="M14" i="13"/>
  <c r="M15" i="13"/>
  <c r="M16" i="13"/>
  <c r="M17" i="13"/>
  <c r="M18" i="13"/>
  <c r="M19" i="13"/>
  <c r="M20" i="13"/>
  <c r="M21" i="13"/>
  <c r="M22" i="13"/>
  <c r="M23" i="13"/>
  <c r="M24" i="13"/>
  <c r="M25" i="13"/>
  <c r="M26" i="13"/>
  <c r="M27" i="13"/>
  <c r="M28" i="13"/>
  <c r="M29" i="13"/>
  <c r="M30" i="13"/>
  <c r="M31" i="13"/>
  <c r="M32" i="13"/>
  <c r="M33" i="13"/>
  <c r="M34" i="13"/>
  <c r="M35" i="13"/>
  <c r="M36" i="13"/>
  <c r="M37" i="13"/>
  <c r="M38" i="13"/>
  <c r="M39" i="13"/>
  <c r="M40" i="13"/>
  <c r="M41" i="13"/>
  <c r="M42" i="13"/>
  <c r="M43" i="13"/>
  <c r="M44" i="13"/>
  <c r="M45" i="13"/>
  <c r="M46" i="13"/>
  <c r="M47" i="13"/>
  <c r="M48" i="13"/>
  <c r="M49" i="13"/>
  <c r="M50" i="13"/>
  <c r="M51" i="13"/>
  <c r="M52" i="13"/>
  <c r="M53" i="13"/>
  <c r="M54" i="13"/>
  <c r="M55" i="13"/>
  <c r="M56" i="13"/>
  <c r="M57" i="13"/>
  <c r="M58" i="13"/>
  <c r="M59" i="13"/>
  <c r="M60" i="13"/>
  <c r="M61" i="13"/>
  <c r="M62" i="13"/>
  <c r="M63" i="13"/>
  <c r="M64" i="13"/>
  <c r="M65" i="13"/>
  <c r="M66" i="13"/>
  <c r="M67" i="13"/>
  <c r="M68" i="13"/>
  <c r="M69" i="13"/>
  <c r="M70" i="13"/>
  <c r="M71" i="13"/>
  <c r="M72" i="13"/>
  <c r="M73" i="13"/>
  <c r="M74" i="13"/>
  <c r="M75" i="13"/>
  <c r="M76" i="13"/>
  <c r="M77" i="13"/>
  <c r="M78" i="13"/>
  <c r="M79" i="13"/>
  <c r="M80" i="13"/>
  <c r="M81" i="13"/>
  <c r="M82" i="13"/>
  <c r="M83" i="13"/>
  <c r="M84" i="13"/>
  <c r="M85" i="13"/>
  <c r="M86" i="13"/>
  <c r="M87" i="13"/>
  <c r="M88" i="13"/>
  <c r="M89" i="13"/>
  <c r="M90" i="13"/>
  <c r="M91" i="13"/>
  <c r="M92" i="13"/>
  <c r="M93" i="13"/>
  <c r="M94" i="13"/>
  <c r="M95" i="13"/>
  <c r="M96" i="13"/>
  <c r="M97" i="13"/>
  <c r="M98" i="13"/>
  <c r="M99" i="13"/>
  <c r="M100" i="13"/>
  <c r="M101" i="13"/>
  <c r="M102" i="13"/>
  <c r="M103" i="13"/>
  <c r="M104" i="13"/>
  <c r="M105" i="13"/>
  <c r="M106" i="13"/>
  <c r="M107" i="13"/>
  <c r="M108" i="13"/>
  <c r="M109" i="13"/>
  <c r="M110" i="13"/>
  <c r="M111" i="13"/>
  <c r="M112" i="13"/>
  <c r="M113" i="13"/>
  <c r="M114" i="13"/>
  <c r="M115" i="13"/>
  <c r="M116" i="13"/>
  <c r="M117" i="13"/>
  <c r="M118" i="13"/>
  <c r="M119" i="13"/>
  <c r="M120" i="13"/>
  <c r="M121" i="13"/>
  <c r="M122" i="13"/>
  <c r="M123" i="13"/>
  <c r="M124" i="13"/>
  <c r="M125" i="13"/>
  <c r="M126" i="13"/>
  <c r="M127" i="13"/>
  <c r="M128" i="13"/>
  <c r="M129" i="13"/>
  <c r="M130" i="13"/>
  <c r="M131" i="13"/>
  <c r="M132" i="13"/>
  <c r="M133" i="13"/>
  <c r="M134" i="13"/>
  <c r="M135" i="13"/>
  <c r="M136" i="13"/>
  <c r="M137" i="13"/>
  <c r="M138" i="13"/>
  <c r="M139" i="13"/>
  <c r="M140" i="13"/>
  <c r="M141" i="13"/>
  <c r="M142" i="13"/>
  <c r="M143" i="13"/>
  <c r="M144" i="13"/>
  <c r="M145" i="13"/>
  <c r="M146" i="13"/>
  <c r="M147" i="13"/>
  <c r="M148" i="13"/>
  <c r="M149" i="13"/>
  <c r="M150" i="13"/>
  <c r="M151" i="13"/>
  <c r="M152" i="13"/>
  <c r="M153" i="13"/>
  <c r="M154" i="13"/>
  <c r="M155" i="13"/>
  <c r="M156" i="13"/>
  <c r="M157" i="13"/>
  <c r="M158" i="13"/>
  <c r="M159" i="13"/>
  <c r="M160" i="13"/>
  <c r="M161" i="13"/>
  <c r="M162" i="13"/>
  <c r="M163" i="13"/>
  <c r="M164" i="13"/>
  <c r="M165" i="13"/>
  <c r="M166" i="13"/>
  <c r="M167" i="13"/>
  <c r="M168" i="13"/>
  <c r="M169" i="13"/>
  <c r="M170" i="13"/>
  <c r="M171" i="13"/>
  <c r="M172" i="13"/>
  <c r="M173" i="13"/>
  <c r="M174" i="13"/>
  <c r="M175" i="13"/>
  <c r="M176" i="13"/>
  <c r="M177" i="13"/>
  <c r="M178" i="13"/>
  <c r="M179" i="13"/>
  <c r="M180" i="13"/>
  <c r="M181" i="13"/>
  <c r="M182" i="13"/>
  <c r="M183" i="13"/>
  <c r="M184" i="13"/>
  <c r="M185" i="13"/>
  <c r="M186" i="13"/>
  <c r="M187" i="13"/>
  <c r="M188" i="13"/>
  <c r="M189" i="13"/>
  <c r="M190" i="13"/>
  <c r="M191" i="13"/>
  <c r="M192" i="13"/>
  <c r="M193" i="13"/>
  <c r="M194" i="13"/>
  <c r="M195" i="13"/>
  <c r="M196" i="13"/>
  <c r="M197" i="13"/>
  <c r="M198" i="13"/>
  <c r="M199" i="13"/>
  <c r="M200" i="13"/>
  <c r="M201" i="13"/>
  <c r="M202" i="13"/>
  <c r="M203" i="13"/>
  <c r="M204" i="13"/>
  <c r="M205" i="13"/>
  <c r="M206" i="13"/>
  <c r="M207" i="13"/>
  <c r="M208" i="13"/>
  <c r="M209" i="13"/>
  <c r="M210" i="13"/>
  <c r="M211" i="13"/>
  <c r="M212" i="13"/>
  <c r="M213" i="13"/>
  <c r="M214" i="13"/>
  <c r="M215" i="13"/>
  <c r="M216" i="13"/>
  <c r="M217" i="13"/>
  <c r="M218" i="13"/>
  <c r="M219" i="13"/>
  <c r="M220" i="13"/>
  <c r="M221" i="13"/>
  <c r="M222" i="13"/>
  <c r="M223" i="13"/>
  <c r="M224" i="13"/>
  <c r="M225" i="13"/>
  <c r="M226" i="13"/>
  <c r="M227" i="13"/>
  <c r="M228" i="13"/>
  <c r="M229" i="13"/>
  <c r="M230" i="13"/>
  <c r="M231" i="13"/>
  <c r="M232" i="13"/>
  <c r="M233" i="13"/>
  <c r="P3" i="13"/>
  <c r="P4" i="13"/>
  <c r="P5" i="13"/>
  <c r="P6" i="13"/>
  <c r="P7" i="13"/>
  <c r="P8" i="13"/>
  <c r="P9" i="13"/>
  <c r="P10" i="13"/>
  <c r="P11" i="13"/>
  <c r="P12" i="13"/>
  <c r="P13" i="13"/>
  <c r="P14" i="13"/>
  <c r="P15" i="13"/>
  <c r="P16" i="13"/>
  <c r="P17" i="13"/>
  <c r="P18" i="13"/>
  <c r="P19" i="13"/>
  <c r="P20" i="13"/>
  <c r="P21" i="13"/>
  <c r="P22" i="13"/>
  <c r="P23" i="13"/>
  <c r="P24" i="13"/>
  <c r="P25" i="13"/>
  <c r="P26" i="13"/>
  <c r="P27" i="13"/>
  <c r="P28" i="13"/>
  <c r="P29" i="13"/>
  <c r="P30" i="13"/>
  <c r="P31" i="13"/>
  <c r="P32" i="13"/>
  <c r="P33" i="13"/>
  <c r="P34" i="13"/>
  <c r="P35" i="13"/>
  <c r="P36" i="13"/>
  <c r="P37" i="13"/>
  <c r="P38" i="13"/>
  <c r="P39" i="13"/>
  <c r="P40" i="13"/>
  <c r="P41" i="13"/>
  <c r="P42" i="13"/>
  <c r="P43" i="13"/>
  <c r="P44" i="13"/>
  <c r="P45" i="13"/>
  <c r="P46" i="13"/>
  <c r="P47" i="13"/>
  <c r="P48" i="13"/>
  <c r="P49" i="13"/>
  <c r="P50" i="13"/>
  <c r="P51" i="13"/>
  <c r="P52" i="13"/>
  <c r="P53" i="13"/>
  <c r="P54" i="13"/>
  <c r="P55" i="13"/>
  <c r="P56" i="13"/>
  <c r="P57" i="13"/>
  <c r="P58" i="13"/>
  <c r="P59" i="13"/>
  <c r="P60" i="13"/>
  <c r="P61" i="13"/>
  <c r="P62" i="13"/>
  <c r="P63" i="13"/>
  <c r="P64" i="13"/>
  <c r="P65" i="13"/>
  <c r="P66" i="13"/>
  <c r="P67" i="13"/>
  <c r="P68" i="13"/>
  <c r="P69" i="13"/>
  <c r="P70" i="13"/>
  <c r="P71" i="13"/>
  <c r="P72" i="13"/>
  <c r="P73" i="13"/>
  <c r="P74" i="13"/>
  <c r="P75" i="13"/>
  <c r="P76" i="13"/>
  <c r="P77" i="13"/>
  <c r="P78" i="13"/>
  <c r="P79" i="13"/>
  <c r="P80" i="13"/>
  <c r="P81" i="13"/>
  <c r="P82" i="13"/>
  <c r="P83" i="13"/>
  <c r="P84" i="13"/>
  <c r="P85" i="13"/>
  <c r="P86" i="13"/>
  <c r="P87" i="13"/>
  <c r="P88" i="13"/>
  <c r="P89" i="13"/>
  <c r="P90" i="13"/>
  <c r="P91" i="13"/>
  <c r="P92" i="13"/>
  <c r="P93" i="13"/>
  <c r="P94" i="13"/>
  <c r="P95" i="13"/>
  <c r="P96" i="13"/>
  <c r="P97" i="13"/>
  <c r="P98" i="13"/>
  <c r="P99" i="13"/>
  <c r="P100" i="13"/>
  <c r="P101" i="13"/>
  <c r="P102" i="13"/>
  <c r="P103" i="13"/>
  <c r="P104" i="13"/>
  <c r="P105" i="13"/>
  <c r="P106" i="13"/>
  <c r="P107" i="13"/>
  <c r="P108" i="13"/>
  <c r="P109" i="13"/>
  <c r="P110" i="13"/>
  <c r="P111" i="13"/>
  <c r="P112" i="13"/>
  <c r="P113" i="13"/>
  <c r="P114" i="13"/>
  <c r="P115" i="13"/>
  <c r="P116" i="13"/>
  <c r="P117" i="13"/>
  <c r="P118" i="13"/>
  <c r="P119" i="13"/>
  <c r="P120" i="13"/>
  <c r="P121" i="13"/>
  <c r="P122" i="13"/>
  <c r="P123" i="13"/>
  <c r="P124" i="13"/>
  <c r="P125" i="13"/>
  <c r="P126" i="13"/>
  <c r="P127" i="13"/>
  <c r="P128" i="13"/>
  <c r="P129" i="13"/>
  <c r="P130" i="13"/>
  <c r="P131" i="13"/>
  <c r="P132" i="13"/>
  <c r="P133" i="13"/>
  <c r="P134" i="13"/>
  <c r="P135" i="13"/>
  <c r="P136" i="13"/>
  <c r="P137" i="13"/>
  <c r="P138" i="13"/>
  <c r="P139" i="13"/>
  <c r="P140" i="13"/>
  <c r="P141" i="13"/>
  <c r="P142" i="13"/>
  <c r="P143" i="13"/>
  <c r="P144" i="13"/>
  <c r="P145" i="13"/>
  <c r="P146" i="13"/>
  <c r="P147" i="13"/>
  <c r="P148" i="13"/>
  <c r="P149" i="13"/>
  <c r="P150" i="13"/>
  <c r="P151" i="13"/>
  <c r="P152" i="13"/>
  <c r="P153" i="13"/>
  <c r="P154" i="13"/>
  <c r="P155" i="13"/>
  <c r="P156" i="13"/>
  <c r="P157" i="13"/>
  <c r="P158" i="13"/>
  <c r="P159" i="13"/>
  <c r="P160" i="13"/>
  <c r="P161" i="13"/>
  <c r="P162" i="13"/>
  <c r="P163" i="13"/>
  <c r="P164" i="13"/>
  <c r="P165" i="13"/>
  <c r="P166" i="13"/>
  <c r="P167" i="13"/>
  <c r="P168" i="13"/>
  <c r="P169" i="13"/>
  <c r="P170" i="13"/>
  <c r="P171" i="13"/>
  <c r="P172" i="13"/>
  <c r="P173" i="13"/>
  <c r="P174" i="13"/>
  <c r="P175" i="13"/>
  <c r="P176" i="13"/>
  <c r="P177" i="13"/>
  <c r="P178" i="13"/>
  <c r="P179" i="13"/>
  <c r="P180" i="13"/>
  <c r="P181" i="13"/>
  <c r="P182" i="13"/>
  <c r="P183" i="13"/>
  <c r="P184" i="13"/>
  <c r="P185" i="13"/>
  <c r="P186" i="13"/>
  <c r="P187" i="13"/>
  <c r="P188" i="13"/>
  <c r="P189" i="13"/>
  <c r="P190" i="13"/>
  <c r="P191" i="13"/>
  <c r="P192" i="13"/>
  <c r="P193" i="13"/>
  <c r="P194" i="13"/>
  <c r="P195" i="13"/>
  <c r="P196" i="13"/>
  <c r="P197" i="13"/>
  <c r="P198" i="13"/>
  <c r="P199" i="13"/>
  <c r="P200" i="13"/>
  <c r="P201" i="13"/>
  <c r="P202" i="13"/>
  <c r="P203" i="13"/>
  <c r="P204" i="13"/>
  <c r="P205" i="13"/>
  <c r="P206" i="13"/>
  <c r="P207" i="13"/>
  <c r="P208" i="13"/>
  <c r="P209" i="13"/>
  <c r="P210" i="13"/>
  <c r="P211" i="13"/>
  <c r="P212" i="13"/>
  <c r="P213" i="13"/>
  <c r="P214" i="13"/>
  <c r="P215" i="13"/>
  <c r="P216" i="13"/>
  <c r="P217" i="13"/>
  <c r="P218" i="13"/>
  <c r="P219" i="13"/>
  <c r="P220" i="13"/>
  <c r="P221" i="13"/>
  <c r="P222" i="13"/>
  <c r="P223" i="13"/>
  <c r="P224" i="13"/>
  <c r="P225" i="13"/>
  <c r="P226" i="13"/>
  <c r="P227" i="13"/>
  <c r="P228" i="13"/>
  <c r="P229" i="13"/>
  <c r="P230" i="13"/>
  <c r="P231" i="13"/>
  <c r="P232" i="13"/>
  <c r="P233" i="13"/>
  <c r="Q3" i="13"/>
  <c r="Q4" i="13"/>
  <c r="Q5" i="13"/>
  <c r="Q6" i="13"/>
  <c r="Q7" i="13"/>
  <c r="Q8" i="13"/>
  <c r="Q9" i="13"/>
  <c r="Q10" i="13"/>
  <c r="Q11" i="13"/>
  <c r="Q12" i="13"/>
  <c r="Q13" i="13"/>
  <c r="Q14" i="13"/>
  <c r="Q15" i="13"/>
  <c r="Q16" i="13"/>
  <c r="Q17" i="13"/>
  <c r="Q18" i="13"/>
  <c r="Q19" i="13"/>
  <c r="Q20" i="13"/>
  <c r="Q21" i="13"/>
  <c r="Q22" i="13"/>
  <c r="Q23" i="13"/>
  <c r="Q24" i="13"/>
  <c r="Q25" i="13"/>
  <c r="Q26" i="13"/>
  <c r="Q27" i="13"/>
  <c r="Q28" i="13"/>
  <c r="Q29" i="13"/>
  <c r="Q30" i="13"/>
  <c r="Q31" i="13"/>
  <c r="Q32" i="13"/>
  <c r="Q33" i="13"/>
  <c r="Q34" i="13"/>
  <c r="Q35" i="13"/>
  <c r="Q36" i="13"/>
  <c r="Q37" i="13"/>
  <c r="Q38" i="13"/>
  <c r="Q39" i="13"/>
  <c r="Q40" i="13"/>
  <c r="Q41" i="13"/>
  <c r="Q42" i="13"/>
  <c r="Q43" i="13"/>
  <c r="Q44" i="13"/>
  <c r="Q45" i="13"/>
  <c r="Q46" i="13"/>
  <c r="Q47" i="13"/>
  <c r="Q48" i="13"/>
  <c r="Q49" i="13"/>
  <c r="Q50" i="13"/>
  <c r="Q51" i="13"/>
  <c r="Q52" i="13"/>
  <c r="Q53" i="13"/>
  <c r="Q54" i="13"/>
  <c r="Q55" i="13"/>
  <c r="Q56" i="13"/>
  <c r="Q57" i="13"/>
  <c r="Q58" i="13"/>
  <c r="Q59" i="13"/>
  <c r="Q60" i="13"/>
  <c r="Q61" i="13"/>
  <c r="Q62" i="13"/>
  <c r="Q63" i="13"/>
  <c r="Q64" i="13"/>
  <c r="Q65" i="13"/>
  <c r="Q66" i="13"/>
  <c r="Q67" i="13"/>
  <c r="Q68" i="13"/>
  <c r="Q69" i="13"/>
  <c r="Q70" i="13"/>
  <c r="Q71" i="13"/>
  <c r="Q72" i="13"/>
  <c r="Q73" i="13"/>
  <c r="Q74" i="13"/>
  <c r="Q75" i="13"/>
  <c r="Q76" i="13"/>
  <c r="Q77" i="13"/>
  <c r="Q78" i="13"/>
  <c r="Q79" i="13"/>
  <c r="Q80" i="13"/>
  <c r="Q81" i="13"/>
  <c r="Q82" i="13"/>
  <c r="Q83" i="13"/>
  <c r="Q84" i="13"/>
  <c r="Q85" i="13"/>
  <c r="Q86" i="13"/>
  <c r="Q87" i="13"/>
  <c r="Q88" i="13"/>
  <c r="Q89" i="13"/>
  <c r="Q90" i="13"/>
  <c r="Q91" i="13"/>
  <c r="Q92" i="13"/>
  <c r="Q93" i="13"/>
  <c r="Q94" i="13"/>
  <c r="Q95" i="13"/>
  <c r="Q96" i="13"/>
  <c r="Q97" i="13"/>
  <c r="Q98" i="13"/>
  <c r="Q99" i="13"/>
  <c r="Q100" i="13"/>
  <c r="Q101" i="13"/>
  <c r="Q102" i="13"/>
  <c r="Q103" i="13"/>
  <c r="Q104" i="13"/>
  <c r="Q105" i="13"/>
  <c r="Q106" i="13"/>
  <c r="Q107" i="13"/>
  <c r="Q108" i="13"/>
  <c r="Q109" i="13"/>
  <c r="Q110" i="13"/>
  <c r="Q111" i="13"/>
  <c r="Q112" i="13"/>
  <c r="Q113" i="13"/>
  <c r="Q114" i="13"/>
  <c r="Q115" i="13"/>
  <c r="Q116" i="13"/>
  <c r="Q117" i="13"/>
  <c r="Q118" i="13"/>
  <c r="Q119" i="13"/>
  <c r="Q120" i="13"/>
  <c r="Q121" i="13"/>
  <c r="Q122" i="13"/>
  <c r="Q123" i="13"/>
  <c r="Q124" i="13"/>
  <c r="Q125" i="13"/>
  <c r="Q126" i="13"/>
  <c r="Q127" i="13"/>
  <c r="Q128" i="13"/>
  <c r="Q129" i="13"/>
  <c r="Q130" i="13"/>
  <c r="Q131" i="13"/>
  <c r="Q132" i="13"/>
  <c r="Q133" i="13"/>
  <c r="Q134" i="13"/>
  <c r="Q135" i="13"/>
  <c r="Q136" i="13"/>
  <c r="Q137" i="13"/>
  <c r="Q138" i="13"/>
  <c r="Q139" i="13"/>
  <c r="Q140" i="13"/>
  <c r="Q141" i="13"/>
  <c r="Q142" i="13"/>
  <c r="Q143" i="13"/>
  <c r="Q144" i="13"/>
  <c r="Q145" i="13"/>
  <c r="Q146" i="13"/>
  <c r="Q147" i="13"/>
  <c r="Q148" i="13"/>
  <c r="Q149" i="13"/>
  <c r="Q150" i="13"/>
  <c r="Q151" i="13"/>
  <c r="Q152" i="13"/>
  <c r="Q153" i="13"/>
  <c r="Q154" i="13"/>
  <c r="Q155" i="13"/>
  <c r="Q156" i="13"/>
  <c r="Q157" i="13"/>
  <c r="Q158" i="13"/>
  <c r="Q159" i="13"/>
  <c r="Q160" i="13"/>
  <c r="Q161" i="13"/>
  <c r="Q162" i="13"/>
  <c r="Q163" i="13"/>
  <c r="Q164" i="13"/>
  <c r="Q165" i="13"/>
  <c r="Q166" i="13"/>
  <c r="Q167" i="13"/>
  <c r="Q168" i="13"/>
  <c r="Q169" i="13"/>
  <c r="Q170" i="13"/>
  <c r="Q171" i="13"/>
  <c r="Q172" i="13"/>
  <c r="Q173" i="13"/>
  <c r="Q174" i="13"/>
  <c r="Q175" i="13"/>
  <c r="Q176" i="13"/>
  <c r="Q177" i="13"/>
  <c r="Q178" i="13"/>
  <c r="Q179" i="13"/>
  <c r="Q180" i="13"/>
  <c r="Q181" i="13"/>
  <c r="Q182" i="13"/>
  <c r="Q183" i="13"/>
  <c r="Q184" i="13"/>
  <c r="Q185" i="13"/>
  <c r="Q186" i="13"/>
  <c r="Q187" i="13"/>
  <c r="Q188" i="13"/>
  <c r="Q189" i="13"/>
  <c r="Q190" i="13"/>
  <c r="Q191" i="13"/>
  <c r="Q192" i="13"/>
  <c r="Q193" i="13"/>
  <c r="Q194" i="13"/>
  <c r="Q195" i="13"/>
  <c r="Q196" i="13"/>
  <c r="Q197" i="13"/>
  <c r="Q198" i="13"/>
  <c r="Q199" i="13"/>
  <c r="Q200" i="13"/>
  <c r="Q201" i="13"/>
  <c r="Q202" i="13"/>
  <c r="Q203" i="13"/>
  <c r="Q204" i="13"/>
  <c r="Q205" i="13"/>
  <c r="Q206" i="13"/>
  <c r="Q207" i="13"/>
  <c r="Q208" i="13"/>
  <c r="Q209" i="13"/>
  <c r="Q210" i="13"/>
  <c r="Q211" i="13"/>
  <c r="Q212" i="13"/>
  <c r="Q213" i="13"/>
  <c r="Q214" i="13"/>
  <c r="Q215" i="13"/>
  <c r="Q216" i="13"/>
  <c r="Q217" i="13"/>
  <c r="Q218" i="13"/>
  <c r="Q219" i="13"/>
  <c r="Q220" i="13"/>
  <c r="Q221" i="13"/>
  <c r="Q222" i="13"/>
  <c r="Q223" i="13"/>
  <c r="Q224" i="13"/>
  <c r="Q225" i="13"/>
  <c r="Q226" i="13"/>
  <c r="Q227" i="13"/>
  <c r="Q228" i="13"/>
  <c r="Q229" i="13"/>
  <c r="Q230" i="13"/>
  <c r="Q231" i="13"/>
  <c r="Q232" i="13"/>
  <c r="Q233" i="13"/>
  <c r="AA3" i="13"/>
  <c r="AA4" i="13"/>
  <c r="AA5" i="13"/>
  <c r="AA6" i="13"/>
  <c r="AA7" i="13"/>
  <c r="AA8" i="13"/>
  <c r="AA9" i="13"/>
  <c r="AA10" i="13"/>
  <c r="AA11" i="13"/>
  <c r="AA12" i="13"/>
  <c r="AA13" i="13"/>
  <c r="AA14" i="13"/>
  <c r="AA15" i="13"/>
  <c r="AA16" i="13"/>
  <c r="AA17" i="13"/>
  <c r="AA18" i="13"/>
  <c r="AA19" i="13"/>
  <c r="AA20" i="13"/>
  <c r="AA21" i="13"/>
  <c r="AA22" i="13"/>
  <c r="AA23" i="13"/>
  <c r="AA24" i="13"/>
  <c r="AA25" i="13"/>
  <c r="AA26" i="13"/>
  <c r="AA27" i="13"/>
  <c r="AA28" i="13"/>
  <c r="AA29" i="13"/>
  <c r="AA30" i="13"/>
  <c r="AA31" i="13"/>
  <c r="AA32" i="13"/>
  <c r="AA33" i="13"/>
  <c r="AA34" i="13"/>
  <c r="AA35" i="13"/>
  <c r="AA36" i="13"/>
  <c r="AA37" i="13"/>
  <c r="AA38" i="13"/>
  <c r="AA39" i="13"/>
  <c r="AA40" i="13"/>
  <c r="AA41" i="13"/>
  <c r="AA42" i="13"/>
  <c r="AA43" i="13"/>
  <c r="AA44" i="13"/>
  <c r="AA45" i="13"/>
  <c r="AA46" i="13"/>
  <c r="AA47" i="13"/>
  <c r="AA48" i="13"/>
  <c r="AA49" i="13"/>
  <c r="AA50" i="13"/>
  <c r="AA51" i="13"/>
  <c r="AA52" i="13"/>
  <c r="AA53" i="13"/>
  <c r="AA54" i="13"/>
  <c r="AA55" i="13"/>
  <c r="AA56" i="13"/>
  <c r="AA57" i="13"/>
  <c r="AA58" i="13"/>
  <c r="AA59" i="13"/>
  <c r="AA60" i="13"/>
  <c r="AA61" i="13"/>
  <c r="AA62" i="13"/>
  <c r="AA63" i="13"/>
  <c r="AA64" i="13"/>
  <c r="AA65" i="13"/>
  <c r="AA66" i="13"/>
  <c r="AA67" i="13"/>
  <c r="AA68" i="13"/>
  <c r="AA69" i="13"/>
  <c r="AA70" i="13"/>
  <c r="AA71" i="13"/>
  <c r="AA72" i="13"/>
  <c r="AA73" i="13"/>
  <c r="AA74" i="13"/>
  <c r="AA75" i="13"/>
  <c r="AA76" i="13"/>
  <c r="AA77" i="13"/>
  <c r="AA78" i="13"/>
  <c r="AA79" i="13"/>
  <c r="AA80" i="13"/>
  <c r="AA81" i="13"/>
  <c r="AA82" i="13"/>
  <c r="AA83" i="13"/>
  <c r="AA84" i="13"/>
  <c r="AA85" i="13"/>
  <c r="AA86" i="13"/>
  <c r="AA87" i="13"/>
  <c r="AA88" i="13"/>
  <c r="AA89" i="13"/>
  <c r="AA90" i="13"/>
  <c r="AA91" i="13"/>
  <c r="AA92" i="13"/>
  <c r="AA93" i="13"/>
  <c r="AA94" i="13"/>
  <c r="AA95" i="13"/>
  <c r="AA96" i="13"/>
  <c r="AA97" i="13"/>
  <c r="AA98" i="13"/>
  <c r="AA99" i="13"/>
  <c r="AA100" i="13"/>
  <c r="AA101" i="13"/>
  <c r="AA102" i="13"/>
  <c r="AA103" i="13"/>
  <c r="AA104" i="13"/>
  <c r="AA105" i="13"/>
  <c r="AA106" i="13"/>
  <c r="AA107" i="13"/>
  <c r="AA108" i="13"/>
  <c r="AA109" i="13"/>
  <c r="AA110" i="13"/>
  <c r="AA111" i="13"/>
  <c r="AA112" i="13"/>
  <c r="AA113" i="13"/>
  <c r="AA114" i="13"/>
  <c r="AA115" i="13"/>
  <c r="AA116" i="13"/>
  <c r="AA117" i="13"/>
  <c r="AA118" i="13"/>
  <c r="AA119" i="13"/>
  <c r="AA120" i="13"/>
  <c r="AA121" i="13"/>
  <c r="AA122" i="13"/>
  <c r="AA123" i="13"/>
  <c r="AA124" i="13"/>
  <c r="AA125" i="13"/>
  <c r="AA126" i="13"/>
  <c r="AA127" i="13"/>
  <c r="AA128" i="13"/>
  <c r="AA129" i="13"/>
  <c r="AA130" i="13"/>
  <c r="AA131" i="13"/>
  <c r="AA132" i="13"/>
  <c r="AA133" i="13"/>
  <c r="AA134" i="13"/>
  <c r="AA135" i="13"/>
  <c r="AA136" i="13"/>
  <c r="AA137" i="13"/>
  <c r="AA138" i="13"/>
  <c r="AA139" i="13"/>
  <c r="AA140" i="13"/>
  <c r="AA141" i="13"/>
  <c r="AA142" i="13"/>
  <c r="AA143" i="13"/>
  <c r="AA144" i="13"/>
  <c r="AA145" i="13"/>
  <c r="AA146" i="13"/>
  <c r="AA147" i="13"/>
  <c r="AA148" i="13"/>
  <c r="AA149" i="13"/>
  <c r="AA150" i="13"/>
  <c r="AA151" i="13"/>
  <c r="AA152" i="13"/>
  <c r="AA153" i="13"/>
  <c r="AA154" i="13"/>
  <c r="AA155" i="13"/>
  <c r="AA156" i="13"/>
  <c r="AA157" i="13"/>
  <c r="AA158" i="13"/>
  <c r="AA159" i="13"/>
  <c r="AA160" i="13"/>
  <c r="AA161" i="13"/>
  <c r="AA162" i="13"/>
  <c r="AA163" i="13"/>
  <c r="AA164" i="13"/>
  <c r="AA165" i="13"/>
  <c r="AA166" i="13"/>
  <c r="AA167" i="13"/>
  <c r="AA168" i="13"/>
  <c r="AA169" i="13"/>
  <c r="AA170" i="13"/>
  <c r="AA171" i="13"/>
  <c r="AA172" i="13"/>
  <c r="AA173" i="13"/>
  <c r="AA174" i="13"/>
  <c r="AA175" i="13"/>
  <c r="AA176" i="13"/>
  <c r="AA177" i="13"/>
  <c r="AA178" i="13"/>
  <c r="AA179" i="13"/>
  <c r="AA180" i="13"/>
  <c r="AA181" i="13"/>
  <c r="AA182" i="13"/>
  <c r="AA183" i="13"/>
  <c r="AA184" i="13"/>
  <c r="AA185" i="13"/>
  <c r="AA186" i="13"/>
  <c r="AA187" i="13"/>
  <c r="AA188" i="13"/>
  <c r="AA189" i="13"/>
  <c r="AA190" i="13"/>
  <c r="AA191" i="13"/>
  <c r="AA192" i="13"/>
  <c r="AA193" i="13"/>
  <c r="AA194" i="13"/>
  <c r="AA195" i="13"/>
  <c r="AA196" i="13"/>
  <c r="AA197" i="13"/>
  <c r="AA198" i="13"/>
  <c r="AA199" i="13"/>
  <c r="AA200" i="13"/>
  <c r="AA201" i="13"/>
  <c r="AA202" i="13"/>
  <c r="AA203" i="13"/>
  <c r="AA204" i="13"/>
  <c r="AA205" i="13"/>
  <c r="AA206" i="13"/>
  <c r="AA207" i="13"/>
  <c r="AA208" i="13"/>
  <c r="AA209" i="13"/>
  <c r="AA210" i="13"/>
  <c r="AA211" i="13"/>
  <c r="AA212" i="13"/>
  <c r="AA213" i="13"/>
  <c r="AA214" i="13"/>
  <c r="AA215" i="13"/>
  <c r="AA216" i="13"/>
  <c r="AA217" i="13"/>
  <c r="AA218" i="13"/>
  <c r="AA219" i="13"/>
  <c r="AA220" i="13"/>
  <c r="AA221" i="13"/>
  <c r="AA222" i="13"/>
  <c r="AA223" i="13"/>
  <c r="AA224" i="13"/>
  <c r="AA225" i="13"/>
  <c r="AA226" i="13"/>
  <c r="AA227" i="13"/>
  <c r="AA228" i="13"/>
  <c r="AA229" i="13"/>
  <c r="AA230" i="13"/>
  <c r="AA231" i="13"/>
  <c r="AA232" i="13"/>
  <c r="AA233" i="13"/>
  <c r="B2" i="13"/>
  <c r="B2" i="12"/>
  <c r="B3" i="12"/>
  <c r="B4" i="12"/>
  <c r="B5" i="12"/>
  <c r="B6" i="12"/>
  <c r="B7" i="12"/>
  <c r="B8" i="12"/>
  <c r="B9" i="12"/>
  <c r="B10" i="12"/>
  <c r="B11" i="12"/>
  <c r="B12" i="12"/>
  <c r="B13" i="12"/>
  <c r="B14" i="12"/>
  <c r="B15" i="12"/>
  <c r="B16" i="12"/>
  <c r="B17" i="12"/>
  <c r="B18" i="12"/>
  <c r="B19" i="12"/>
  <c r="B20" i="12"/>
  <c r="B21" i="12"/>
  <c r="B22" i="12"/>
  <c r="B23" i="12"/>
  <c r="B24" i="12"/>
  <c r="B25" i="12"/>
  <c r="B26" i="12"/>
  <c r="B27" i="12"/>
  <c r="B28" i="12"/>
  <c r="B29" i="12"/>
  <c r="B30" i="12"/>
  <c r="B31" i="12"/>
  <c r="B32" i="12"/>
  <c r="B33" i="12"/>
  <c r="B34" i="12"/>
  <c r="B35" i="12"/>
  <c r="B36" i="12"/>
  <c r="B37" i="12"/>
  <c r="B38" i="12"/>
  <c r="B39" i="12"/>
  <c r="B40" i="12"/>
  <c r="B41" i="12"/>
  <c r="B42" i="12"/>
  <c r="B43" i="12"/>
  <c r="B44" i="12"/>
  <c r="B45" i="12"/>
  <c r="B46" i="12"/>
  <c r="B47" i="12"/>
  <c r="B48" i="12"/>
  <c r="B49" i="12"/>
  <c r="B50" i="12"/>
  <c r="B51" i="12"/>
  <c r="B52" i="12"/>
  <c r="B53" i="12"/>
  <c r="B54" i="12"/>
  <c r="B55" i="12"/>
  <c r="B56" i="12"/>
  <c r="B57" i="12"/>
  <c r="B58" i="12"/>
  <c r="B59" i="12"/>
  <c r="B60" i="12"/>
  <c r="B61" i="12"/>
  <c r="B62" i="12"/>
  <c r="B63" i="12"/>
  <c r="B64" i="12"/>
  <c r="B65" i="12"/>
  <c r="B66" i="12"/>
  <c r="B67" i="12"/>
  <c r="B68" i="12"/>
  <c r="B69" i="12"/>
  <c r="B70" i="12"/>
  <c r="B71" i="12"/>
  <c r="B72" i="12"/>
  <c r="B73" i="12"/>
  <c r="B74" i="12"/>
  <c r="B75" i="12"/>
  <c r="B76" i="12"/>
  <c r="B77" i="12"/>
  <c r="B78" i="12"/>
  <c r="B79" i="12"/>
  <c r="B80" i="12"/>
  <c r="B81" i="12"/>
  <c r="B82" i="12"/>
  <c r="B83" i="12"/>
  <c r="B84" i="12"/>
  <c r="B85" i="12"/>
  <c r="B86" i="12"/>
  <c r="B87" i="12"/>
  <c r="B88" i="12"/>
  <c r="B89" i="12"/>
  <c r="B90" i="12"/>
  <c r="B91" i="12"/>
  <c r="B92" i="12"/>
  <c r="B93" i="12"/>
  <c r="B94" i="12"/>
  <c r="B95" i="12"/>
  <c r="B96" i="12"/>
  <c r="B97" i="12"/>
  <c r="B98" i="12"/>
  <c r="B99" i="12"/>
  <c r="B100" i="12"/>
  <c r="B101" i="12"/>
  <c r="B102" i="12"/>
  <c r="B103" i="12"/>
  <c r="B104" i="12"/>
  <c r="B105" i="12"/>
  <c r="B106" i="12"/>
  <c r="B107" i="12"/>
  <c r="B108" i="12"/>
  <c r="B109" i="12"/>
  <c r="B110" i="12"/>
  <c r="B111" i="12"/>
  <c r="B112" i="12"/>
  <c r="B113" i="12"/>
  <c r="B114" i="12"/>
  <c r="B115" i="12"/>
  <c r="B116" i="12"/>
  <c r="B117" i="12"/>
  <c r="B118" i="12"/>
  <c r="B119" i="12"/>
  <c r="B120" i="12"/>
  <c r="B121" i="12"/>
  <c r="B122" i="12"/>
  <c r="B123" i="12"/>
  <c r="B124" i="12"/>
  <c r="B125" i="12"/>
  <c r="B126" i="12"/>
  <c r="B127" i="12"/>
  <c r="B128" i="12"/>
  <c r="B129" i="12"/>
  <c r="B130" i="12"/>
  <c r="B131" i="12"/>
  <c r="B132" i="12"/>
  <c r="B133" i="12"/>
  <c r="B134" i="12"/>
  <c r="B135" i="12"/>
  <c r="B136" i="12"/>
  <c r="B137" i="12"/>
  <c r="B138" i="12"/>
  <c r="B139" i="12"/>
  <c r="B140" i="12"/>
  <c r="B141" i="12"/>
  <c r="B142" i="12"/>
  <c r="B143" i="12"/>
  <c r="B144" i="12"/>
  <c r="B145" i="12"/>
  <c r="B146" i="12"/>
  <c r="B147" i="12"/>
  <c r="B148" i="12"/>
  <c r="B149" i="12"/>
  <c r="B150" i="12"/>
  <c r="B151" i="12"/>
  <c r="B152" i="12"/>
  <c r="B153" i="12"/>
  <c r="B154" i="12"/>
  <c r="B155" i="12"/>
  <c r="B156" i="12"/>
  <c r="B157" i="12"/>
  <c r="B158" i="12"/>
  <c r="B159" i="12"/>
  <c r="B160" i="12"/>
  <c r="B161" i="12"/>
  <c r="B162" i="12"/>
  <c r="B163" i="12"/>
  <c r="B164" i="12"/>
  <c r="B165" i="12"/>
  <c r="B166" i="12"/>
  <c r="B167" i="12"/>
  <c r="B168" i="12"/>
  <c r="B169" i="12"/>
  <c r="B170" i="12"/>
  <c r="B171" i="12"/>
  <c r="B172" i="12"/>
  <c r="B173" i="12"/>
  <c r="B174" i="12"/>
  <c r="B175" i="12"/>
  <c r="B176" i="12"/>
  <c r="B177" i="12"/>
  <c r="B178" i="12"/>
  <c r="B179" i="12"/>
  <c r="B180" i="12"/>
  <c r="B181" i="12"/>
  <c r="B182" i="12"/>
  <c r="B183" i="12"/>
  <c r="B184" i="12"/>
  <c r="B185" i="12"/>
  <c r="B186" i="12"/>
  <c r="B187" i="12"/>
  <c r="B188" i="12"/>
  <c r="B189" i="12"/>
  <c r="B190" i="12"/>
  <c r="B191" i="12"/>
  <c r="B192" i="12"/>
  <c r="B193" i="12"/>
  <c r="B194" i="12"/>
  <c r="B195" i="12"/>
  <c r="B196" i="12"/>
  <c r="B197" i="12"/>
  <c r="B198" i="12"/>
  <c r="B199" i="12"/>
  <c r="B200" i="12"/>
  <c r="B201" i="12"/>
  <c r="B202" i="12"/>
  <c r="B203" i="12"/>
  <c r="B204" i="12"/>
  <c r="B205" i="12"/>
  <c r="B206" i="12"/>
  <c r="B207" i="12"/>
  <c r="B208" i="12"/>
  <c r="B209" i="12"/>
  <c r="B210" i="12"/>
  <c r="B211" i="12"/>
  <c r="B212" i="12"/>
  <c r="B213" i="12"/>
  <c r="B214" i="12"/>
  <c r="B215" i="12"/>
  <c r="B216" i="12"/>
  <c r="B217" i="12"/>
  <c r="B218" i="12"/>
  <c r="B219" i="12"/>
  <c r="AA2" i="13"/>
  <c r="Q2" i="13"/>
  <c r="P2" i="13"/>
  <c r="R2" i="13" s="1"/>
  <c r="M2" i="13"/>
  <c r="M3" i="12"/>
  <c r="M4" i="12"/>
  <c r="M5" i="12"/>
  <c r="M6" i="12"/>
  <c r="M7" i="12"/>
  <c r="M8" i="12"/>
  <c r="M9" i="12"/>
  <c r="M10" i="12"/>
  <c r="M11" i="12"/>
  <c r="M12" i="12"/>
  <c r="M13" i="12"/>
  <c r="M14" i="12"/>
  <c r="M15" i="12"/>
  <c r="M16" i="12"/>
  <c r="M17" i="12"/>
  <c r="M18" i="12"/>
  <c r="M19" i="12"/>
  <c r="M20" i="12"/>
  <c r="M21" i="12"/>
  <c r="M22" i="12"/>
  <c r="M23" i="12"/>
  <c r="M24" i="12"/>
  <c r="M25" i="12"/>
  <c r="M26" i="12"/>
  <c r="M27" i="12"/>
  <c r="M28" i="12"/>
  <c r="M29" i="12"/>
  <c r="M30" i="12"/>
  <c r="M31" i="12"/>
  <c r="M32" i="12"/>
  <c r="M33" i="12"/>
  <c r="M34" i="12"/>
  <c r="M35" i="12"/>
  <c r="M36" i="12"/>
  <c r="M37" i="12"/>
  <c r="M38" i="12"/>
  <c r="M39" i="12"/>
  <c r="M40" i="12"/>
  <c r="M41" i="12"/>
  <c r="M42" i="12"/>
  <c r="M43" i="12"/>
  <c r="M44" i="12"/>
  <c r="M45" i="12"/>
  <c r="M46" i="12"/>
  <c r="M47" i="12"/>
  <c r="M48" i="12"/>
  <c r="M49" i="12"/>
  <c r="M50" i="12"/>
  <c r="M51" i="12"/>
  <c r="M52" i="12"/>
  <c r="M53" i="12"/>
  <c r="M54" i="12"/>
  <c r="M55" i="12"/>
  <c r="M56" i="12"/>
  <c r="M57" i="12"/>
  <c r="M58" i="12"/>
  <c r="M59" i="12"/>
  <c r="M60" i="12"/>
  <c r="M61" i="12"/>
  <c r="M62" i="12"/>
  <c r="M63" i="12"/>
  <c r="M64" i="12"/>
  <c r="M65" i="12"/>
  <c r="M66" i="12"/>
  <c r="M67" i="12"/>
  <c r="M68" i="12"/>
  <c r="M69" i="12"/>
  <c r="M70" i="12"/>
  <c r="M71" i="12"/>
  <c r="M72" i="12"/>
  <c r="M73" i="12"/>
  <c r="M74" i="12"/>
  <c r="M75" i="12"/>
  <c r="M76" i="12"/>
  <c r="M77" i="12"/>
  <c r="M78" i="12"/>
  <c r="M79" i="12"/>
  <c r="M80" i="12"/>
  <c r="M81" i="12"/>
  <c r="M82" i="12"/>
  <c r="M83" i="12"/>
  <c r="M84" i="12"/>
  <c r="M85" i="12"/>
  <c r="M86" i="12"/>
  <c r="M87" i="12"/>
  <c r="M88" i="12"/>
  <c r="M89" i="12"/>
  <c r="M90" i="12"/>
  <c r="M91" i="12"/>
  <c r="M92" i="12"/>
  <c r="M93" i="12"/>
  <c r="M94" i="12"/>
  <c r="M95" i="12"/>
  <c r="M96" i="12"/>
  <c r="M97" i="12"/>
  <c r="M98" i="12"/>
  <c r="M99" i="12"/>
  <c r="M100" i="12"/>
  <c r="M101" i="12"/>
  <c r="M102" i="12"/>
  <c r="M103" i="12"/>
  <c r="M104" i="12"/>
  <c r="M105" i="12"/>
  <c r="M106" i="12"/>
  <c r="M107" i="12"/>
  <c r="M108" i="12"/>
  <c r="M109" i="12"/>
  <c r="M110" i="12"/>
  <c r="M111" i="12"/>
  <c r="M112" i="12"/>
  <c r="M113" i="12"/>
  <c r="M114" i="12"/>
  <c r="M115" i="12"/>
  <c r="M116" i="12"/>
  <c r="M117" i="12"/>
  <c r="M118" i="12"/>
  <c r="M119" i="12"/>
  <c r="M120" i="12"/>
  <c r="M121" i="12"/>
  <c r="M122" i="12"/>
  <c r="M123" i="12"/>
  <c r="M124" i="12"/>
  <c r="M125" i="12"/>
  <c r="M126" i="12"/>
  <c r="M127" i="12"/>
  <c r="M128" i="12"/>
  <c r="M129" i="12"/>
  <c r="M130" i="12"/>
  <c r="M131" i="12"/>
  <c r="M132" i="12"/>
  <c r="M133" i="12"/>
  <c r="M134" i="12"/>
  <c r="M135" i="12"/>
  <c r="M136" i="12"/>
  <c r="M137" i="12"/>
  <c r="M138" i="12"/>
  <c r="M139" i="12"/>
  <c r="M140" i="12"/>
  <c r="M141" i="12"/>
  <c r="M142" i="12"/>
  <c r="M143" i="12"/>
  <c r="M144" i="12"/>
  <c r="M145" i="12"/>
  <c r="M146" i="12"/>
  <c r="M147" i="12"/>
  <c r="M148" i="12"/>
  <c r="M149" i="12"/>
  <c r="M150" i="12"/>
  <c r="M151" i="12"/>
  <c r="M152" i="12"/>
  <c r="M153" i="12"/>
  <c r="M154" i="12"/>
  <c r="M155" i="12"/>
  <c r="M156" i="12"/>
  <c r="M157" i="12"/>
  <c r="M158" i="12"/>
  <c r="M159" i="12"/>
  <c r="M160" i="12"/>
  <c r="M161" i="12"/>
  <c r="M162" i="12"/>
  <c r="M163" i="12"/>
  <c r="M164" i="12"/>
  <c r="M165" i="12"/>
  <c r="M166" i="12"/>
  <c r="M167" i="12"/>
  <c r="M168" i="12"/>
  <c r="M169" i="12"/>
  <c r="M170" i="12"/>
  <c r="M171" i="12"/>
  <c r="M172" i="12"/>
  <c r="M173" i="12"/>
  <c r="M174" i="12"/>
  <c r="M175" i="12"/>
  <c r="M176" i="12"/>
  <c r="M177" i="12"/>
  <c r="M178" i="12"/>
  <c r="M179" i="12"/>
  <c r="M180" i="12"/>
  <c r="M181" i="12"/>
  <c r="M182" i="12"/>
  <c r="M183" i="12"/>
  <c r="M184" i="12"/>
  <c r="M185" i="12"/>
  <c r="M186" i="12"/>
  <c r="M187" i="12"/>
  <c r="M188" i="12"/>
  <c r="M189" i="12"/>
  <c r="M190" i="12"/>
  <c r="M191" i="12"/>
  <c r="M192" i="12"/>
  <c r="M193" i="12"/>
  <c r="M194" i="12"/>
  <c r="M195" i="12"/>
  <c r="M196" i="12"/>
  <c r="M197" i="12"/>
  <c r="M198" i="12"/>
  <c r="M199" i="12"/>
  <c r="M200" i="12"/>
  <c r="M201" i="12"/>
  <c r="M202" i="12"/>
  <c r="M203" i="12"/>
  <c r="M204" i="12"/>
  <c r="M205" i="12"/>
  <c r="M206" i="12"/>
  <c r="M207" i="12"/>
  <c r="M208" i="12"/>
  <c r="M209" i="12"/>
  <c r="M210" i="12"/>
  <c r="M211" i="12"/>
  <c r="M212" i="12"/>
  <c r="M213" i="12"/>
  <c r="M214" i="12"/>
  <c r="M215" i="12"/>
  <c r="M216" i="12"/>
  <c r="M217" i="12"/>
  <c r="M218" i="12"/>
  <c r="M219" i="12"/>
  <c r="P3" i="12"/>
  <c r="P4" i="12"/>
  <c r="P5" i="12"/>
  <c r="P6" i="12"/>
  <c r="P7" i="12"/>
  <c r="P8" i="12"/>
  <c r="P9" i="12"/>
  <c r="P10" i="12"/>
  <c r="P11" i="12"/>
  <c r="P12" i="12"/>
  <c r="P13" i="12"/>
  <c r="P14" i="12"/>
  <c r="P15" i="12"/>
  <c r="P16" i="12"/>
  <c r="P17" i="12"/>
  <c r="P18" i="12"/>
  <c r="P19" i="12"/>
  <c r="P20" i="12"/>
  <c r="P21" i="12"/>
  <c r="P22" i="12"/>
  <c r="P23" i="12"/>
  <c r="P24" i="12"/>
  <c r="P25" i="12"/>
  <c r="P26" i="12"/>
  <c r="P27" i="12"/>
  <c r="P28" i="12"/>
  <c r="P29" i="12"/>
  <c r="P30" i="12"/>
  <c r="P31" i="12"/>
  <c r="P32" i="12"/>
  <c r="P33" i="12"/>
  <c r="P34" i="12"/>
  <c r="P35" i="12"/>
  <c r="P36" i="12"/>
  <c r="P37" i="12"/>
  <c r="P38" i="12"/>
  <c r="P39" i="12"/>
  <c r="P40" i="12"/>
  <c r="P41" i="12"/>
  <c r="P42" i="12"/>
  <c r="P43" i="12"/>
  <c r="P44" i="12"/>
  <c r="P45" i="12"/>
  <c r="P46" i="12"/>
  <c r="P47" i="12"/>
  <c r="P48" i="12"/>
  <c r="P49" i="12"/>
  <c r="P50" i="12"/>
  <c r="P51" i="12"/>
  <c r="P52" i="12"/>
  <c r="P53" i="12"/>
  <c r="P54" i="12"/>
  <c r="P55" i="12"/>
  <c r="P56" i="12"/>
  <c r="P57" i="12"/>
  <c r="P58" i="12"/>
  <c r="P59" i="12"/>
  <c r="P60" i="12"/>
  <c r="P61" i="12"/>
  <c r="P62" i="12"/>
  <c r="P63" i="12"/>
  <c r="P64" i="12"/>
  <c r="P65" i="12"/>
  <c r="P66" i="12"/>
  <c r="P67" i="12"/>
  <c r="P68" i="12"/>
  <c r="P69" i="12"/>
  <c r="P70" i="12"/>
  <c r="P71" i="12"/>
  <c r="P72" i="12"/>
  <c r="P73" i="12"/>
  <c r="P74" i="12"/>
  <c r="P75" i="12"/>
  <c r="P76" i="12"/>
  <c r="P77" i="12"/>
  <c r="P78" i="12"/>
  <c r="P79" i="12"/>
  <c r="P80" i="12"/>
  <c r="P81" i="12"/>
  <c r="P82" i="12"/>
  <c r="P83" i="12"/>
  <c r="P84" i="12"/>
  <c r="P85" i="12"/>
  <c r="P86" i="12"/>
  <c r="P87" i="12"/>
  <c r="P88" i="12"/>
  <c r="P89" i="12"/>
  <c r="P90" i="12"/>
  <c r="P91" i="12"/>
  <c r="P92" i="12"/>
  <c r="P93" i="12"/>
  <c r="P94" i="12"/>
  <c r="P95" i="12"/>
  <c r="P96" i="12"/>
  <c r="P97" i="12"/>
  <c r="P98" i="12"/>
  <c r="P99" i="12"/>
  <c r="P100" i="12"/>
  <c r="P101" i="12"/>
  <c r="P102" i="12"/>
  <c r="P103" i="12"/>
  <c r="P104" i="12"/>
  <c r="P105" i="12"/>
  <c r="P106" i="12"/>
  <c r="P107" i="12"/>
  <c r="P108" i="12"/>
  <c r="P109" i="12"/>
  <c r="P110" i="12"/>
  <c r="P111" i="12"/>
  <c r="P112" i="12"/>
  <c r="P113" i="12"/>
  <c r="P114" i="12"/>
  <c r="P115" i="12"/>
  <c r="P116" i="12"/>
  <c r="P117" i="12"/>
  <c r="P118" i="12"/>
  <c r="P119" i="12"/>
  <c r="P120" i="12"/>
  <c r="P121" i="12"/>
  <c r="P122" i="12"/>
  <c r="P123" i="12"/>
  <c r="P124" i="12"/>
  <c r="P125" i="12"/>
  <c r="P126" i="12"/>
  <c r="P127" i="12"/>
  <c r="P128" i="12"/>
  <c r="P129" i="12"/>
  <c r="P130" i="12"/>
  <c r="P131" i="12"/>
  <c r="P132" i="12"/>
  <c r="P133" i="12"/>
  <c r="P134" i="12"/>
  <c r="P135" i="12"/>
  <c r="P136" i="12"/>
  <c r="P137" i="12"/>
  <c r="P138" i="12"/>
  <c r="P139" i="12"/>
  <c r="P140" i="12"/>
  <c r="P141" i="12"/>
  <c r="P142" i="12"/>
  <c r="P143" i="12"/>
  <c r="P144" i="12"/>
  <c r="P145" i="12"/>
  <c r="P146" i="12"/>
  <c r="P147" i="12"/>
  <c r="P148" i="12"/>
  <c r="P149" i="12"/>
  <c r="P150" i="12"/>
  <c r="P151" i="12"/>
  <c r="P152" i="12"/>
  <c r="P153" i="12"/>
  <c r="P154" i="12"/>
  <c r="P155" i="12"/>
  <c r="P156" i="12"/>
  <c r="P157" i="12"/>
  <c r="P158" i="12"/>
  <c r="P159" i="12"/>
  <c r="P160" i="12"/>
  <c r="P161" i="12"/>
  <c r="P162" i="12"/>
  <c r="P163" i="12"/>
  <c r="P164" i="12"/>
  <c r="P165" i="12"/>
  <c r="P166" i="12"/>
  <c r="P167" i="12"/>
  <c r="P168" i="12"/>
  <c r="P169" i="12"/>
  <c r="P170" i="12"/>
  <c r="P171" i="12"/>
  <c r="P172" i="12"/>
  <c r="P173" i="12"/>
  <c r="P174" i="12"/>
  <c r="P175" i="12"/>
  <c r="P176" i="12"/>
  <c r="P177" i="12"/>
  <c r="P178" i="12"/>
  <c r="P179" i="12"/>
  <c r="P180" i="12"/>
  <c r="P181" i="12"/>
  <c r="P182" i="12"/>
  <c r="P183" i="12"/>
  <c r="P184" i="12"/>
  <c r="P185" i="12"/>
  <c r="P186" i="12"/>
  <c r="P187" i="12"/>
  <c r="P188" i="12"/>
  <c r="P189" i="12"/>
  <c r="P190" i="12"/>
  <c r="P191" i="12"/>
  <c r="P192" i="12"/>
  <c r="P193" i="12"/>
  <c r="P194" i="12"/>
  <c r="P195" i="12"/>
  <c r="P196" i="12"/>
  <c r="P197" i="12"/>
  <c r="P198" i="12"/>
  <c r="P199" i="12"/>
  <c r="P200" i="12"/>
  <c r="P201" i="12"/>
  <c r="P202" i="12"/>
  <c r="P203" i="12"/>
  <c r="P204" i="12"/>
  <c r="P205" i="12"/>
  <c r="P206" i="12"/>
  <c r="P207" i="12"/>
  <c r="P208" i="12"/>
  <c r="P209" i="12"/>
  <c r="P210" i="12"/>
  <c r="P211" i="12"/>
  <c r="P212" i="12"/>
  <c r="P213" i="12"/>
  <c r="P214" i="12"/>
  <c r="P215" i="12"/>
  <c r="P216" i="12"/>
  <c r="P217" i="12"/>
  <c r="P218" i="12"/>
  <c r="P219" i="12"/>
  <c r="Q3" i="12"/>
  <c r="Q4" i="12"/>
  <c r="Q5" i="12"/>
  <c r="Q6" i="12"/>
  <c r="Q7" i="12"/>
  <c r="Q8" i="12"/>
  <c r="Q9" i="12"/>
  <c r="Q10" i="12"/>
  <c r="Q11" i="12"/>
  <c r="Q12" i="12"/>
  <c r="Q13" i="12"/>
  <c r="Q14" i="12"/>
  <c r="Q15" i="12"/>
  <c r="Q16" i="12"/>
  <c r="Q17" i="12"/>
  <c r="Q18" i="12"/>
  <c r="Q19" i="12"/>
  <c r="Q20" i="12"/>
  <c r="Q21" i="12"/>
  <c r="Q22" i="12"/>
  <c r="Q23" i="12"/>
  <c r="Q24" i="12"/>
  <c r="Q25" i="12"/>
  <c r="Q26" i="12"/>
  <c r="Q27" i="12"/>
  <c r="Q28" i="12"/>
  <c r="Q29" i="12"/>
  <c r="Q30" i="12"/>
  <c r="Q31" i="12"/>
  <c r="Q32" i="12"/>
  <c r="Q33" i="12"/>
  <c r="Q34" i="12"/>
  <c r="Q35" i="12"/>
  <c r="Q36" i="12"/>
  <c r="Q37" i="12"/>
  <c r="Q38" i="12"/>
  <c r="Q39" i="12"/>
  <c r="Q40" i="12"/>
  <c r="Q41" i="12"/>
  <c r="Q42" i="12"/>
  <c r="Q43" i="12"/>
  <c r="Q44" i="12"/>
  <c r="Q45" i="12"/>
  <c r="Q46" i="12"/>
  <c r="Q47" i="12"/>
  <c r="Q48" i="12"/>
  <c r="Q49" i="12"/>
  <c r="Q50" i="12"/>
  <c r="Q51" i="12"/>
  <c r="Q52" i="12"/>
  <c r="Q53" i="12"/>
  <c r="Q54" i="12"/>
  <c r="Q55" i="12"/>
  <c r="Q56" i="12"/>
  <c r="Q57" i="12"/>
  <c r="Q58" i="12"/>
  <c r="Q59" i="12"/>
  <c r="Q60" i="12"/>
  <c r="Q61" i="12"/>
  <c r="Q62" i="12"/>
  <c r="Q63" i="12"/>
  <c r="Q64" i="12"/>
  <c r="Q65" i="12"/>
  <c r="Q66" i="12"/>
  <c r="Q67" i="12"/>
  <c r="Q68" i="12"/>
  <c r="Q69" i="12"/>
  <c r="Q70" i="12"/>
  <c r="Q71" i="12"/>
  <c r="Q72" i="12"/>
  <c r="Q73" i="12"/>
  <c r="Q74" i="12"/>
  <c r="Q75" i="12"/>
  <c r="Q76" i="12"/>
  <c r="Q77" i="12"/>
  <c r="Q78" i="12"/>
  <c r="Q79" i="12"/>
  <c r="Q80" i="12"/>
  <c r="Q81" i="12"/>
  <c r="Q82" i="12"/>
  <c r="Q83" i="12"/>
  <c r="Q84" i="12"/>
  <c r="Q85" i="12"/>
  <c r="Q86" i="12"/>
  <c r="Q87" i="12"/>
  <c r="Q88" i="12"/>
  <c r="Q89" i="12"/>
  <c r="Q90" i="12"/>
  <c r="Q91" i="12"/>
  <c r="Q92" i="12"/>
  <c r="Q93" i="12"/>
  <c r="Q94" i="12"/>
  <c r="Q95" i="12"/>
  <c r="Q96" i="12"/>
  <c r="Q97" i="12"/>
  <c r="Q98" i="12"/>
  <c r="Q99" i="12"/>
  <c r="Q100" i="12"/>
  <c r="Q101" i="12"/>
  <c r="Q102" i="12"/>
  <c r="Q103" i="12"/>
  <c r="Q104" i="12"/>
  <c r="Q105" i="12"/>
  <c r="Q106" i="12"/>
  <c r="Q107" i="12"/>
  <c r="Q108" i="12"/>
  <c r="Q109" i="12"/>
  <c r="Q110" i="12"/>
  <c r="Q111" i="12"/>
  <c r="Q112" i="12"/>
  <c r="Q113" i="12"/>
  <c r="Q114" i="12"/>
  <c r="Q115" i="12"/>
  <c r="Q116" i="12"/>
  <c r="Q117" i="12"/>
  <c r="Q118" i="12"/>
  <c r="Q119" i="12"/>
  <c r="Q120" i="12"/>
  <c r="Q121" i="12"/>
  <c r="Q122" i="12"/>
  <c r="Q123" i="12"/>
  <c r="Q124" i="12"/>
  <c r="Q125" i="12"/>
  <c r="Q126" i="12"/>
  <c r="Q127" i="12"/>
  <c r="Q128" i="12"/>
  <c r="Q129" i="12"/>
  <c r="Q130" i="12"/>
  <c r="Q131" i="12"/>
  <c r="Q132" i="12"/>
  <c r="Q133" i="12"/>
  <c r="Q134" i="12"/>
  <c r="Q135" i="12"/>
  <c r="Q136" i="12"/>
  <c r="Q137" i="12"/>
  <c r="Q138" i="12"/>
  <c r="Q139" i="12"/>
  <c r="Q140" i="12"/>
  <c r="Q141" i="12"/>
  <c r="Q142" i="12"/>
  <c r="Q143" i="12"/>
  <c r="Q144" i="12"/>
  <c r="Q145" i="12"/>
  <c r="Q146" i="12"/>
  <c r="Q147" i="12"/>
  <c r="Q148" i="12"/>
  <c r="Q149" i="12"/>
  <c r="Q150" i="12"/>
  <c r="Q151" i="12"/>
  <c r="Q152" i="12"/>
  <c r="Q153" i="12"/>
  <c r="Q154" i="12"/>
  <c r="Q155" i="12"/>
  <c r="Q156" i="12"/>
  <c r="Q157" i="12"/>
  <c r="Q158" i="12"/>
  <c r="Q159" i="12"/>
  <c r="Q160" i="12"/>
  <c r="Q161" i="12"/>
  <c r="Q162" i="12"/>
  <c r="Q163" i="12"/>
  <c r="Q164" i="12"/>
  <c r="Q165" i="12"/>
  <c r="Q166" i="12"/>
  <c r="Q167" i="12"/>
  <c r="Q168" i="12"/>
  <c r="Q169" i="12"/>
  <c r="Q170" i="12"/>
  <c r="Q171" i="12"/>
  <c r="Q172" i="12"/>
  <c r="Q173" i="12"/>
  <c r="Q174" i="12"/>
  <c r="Q175" i="12"/>
  <c r="Q176" i="12"/>
  <c r="Q177" i="12"/>
  <c r="Q178" i="12"/>
  <c r="Q179" i="12"/>
  <c r="Q180" i="12"/>
  <c r="Q181" i="12"/>
  <c r="Q182" i="12"/>
  <c r="Q183" i="12"/>
  <c r="Q184" i="12"/>
  <c r="Q185" i="12"/>
  <c r="Q186" i="12"/>
  <c r="Q187" i="12"/>
  <c r="Q188" i="12"/>
  <c r="Q189" i="12"/>
  <c r="Q190" i="12"/>
  <c r="Q191" i="12"/>
  <c r="Q192" i="12"/>
  <c r="Q193" i="12"/>
  <c r="Q194" i="12"/>
  <c r="Q195" i="12"/>
  <c r="Q196" i="12"/>
  <c r="Q197" i="12"/>
  <c r="Q198" i="12"/>
  <c r="Q199" i="12"/>
  <c r="Q200" i="12"/>
  <c r="Q201" i="12"/>
  <c r="Q202" i="12"/>
  <c r="Q203" i="12"/>
  <c r="Q204" i="12"/>
  <c r="Q205" i="12"/>
  <c r="Q206" i="12"/>
  <c r="Q207" i="12"/>
  <c r="Q208" i="12"/>
  <c r="Q209" i="12"/>
  <c r="Q210" i="12"/>
  <c r="Q211" i="12"/>
  <c r="Q212" i="12"/>
  <c r="Q213" i="12"/>
  <c r="Q214" i="12"/>
  <c r="Q215" i="12"/>
  <c r="Q216" i="12"/>
  <c r="Q217" i="12"/>
  <c r="Q218" i="12"/>
  <c r="Q219" i="12"/>
  <c r="AA3" i="12"/>
  <c r="AA4" i="12"/>
  <c r="AA5" i="12"/>
  <c r="AA6" i="12"/>
  <c r="AA7" i="12"/>
  <c r="AA8" i="12"/>
  <c r="AA9" i="12"/>
  <c r="AA10" i="12"/>
  <c r="AA11" i="12"/>
  <c r="AA12" i="12"/>
  <c r="AA13" i="12"/>
  <c r="AA14" i="12"/>
  <c r="AA15" i="12"/>
  <c r="AA16" i="12"/>
  <c r="AA17" i="12"/>
  <c r="AA18" i="12"/>
  <c r="AA19" i="12"/>
  <c r="AA20" i="12"/>
  <c r="AA21" i="12"/>
  <c r="AA22" i="12"/>
  <c r="AA23" i="12"/>
  <c r="AA24" i="12"/>
  <c r="AA25" i="12"/>
  <c r="AA26" i="12"/>
  <c r="AA27" i="12"/>
  <c r="AA28" i="12"/>
  <c r="AA29" i="12"/>
  <c r="AA30" i="12"/>
  <c r="AA31" i="12"/>
  <c r="AA32" i="12"/>
  <c r="AA33" i="12"/>
  <c r="AA34" i="12"/>
  <c r="AA35" i="12"/>
  <c r="AA36" i="12"/>
  <c r="AA37" i="12"/>
  <c r="AA38" i="12"/>
  <c r="AA39" i="12"/>
  <c r="AA40" i="12"/>
  <c r="AA41" i="12"/>
  <c r="AA42" i="12"/>
  <c r="AA43" i="12"/>
  <c r="AA44" i="12"/>
  <c r="AA45" i="12"/>
  <c r="AA46" i="12"/>
  <c r="AA47" i="12"/>
  <c r="AA48" i="12"/>
  <c r="AA49" i="12"/>
  <c r="AA50" i="12"/>
  <c r="AA51" i="12"/>
  <c r="AA52" i="12"/>
  <c r="AA53" i="12"/>
  <c r="AA54" i="12"/>
  <c r="AA55" i="12"/>
  <c r="AA56" i="12"/>
  <c r="AA57" i="12"/>
  <c r="AA58" i="12"/>
  <c r="AA59" i="12"/>
  <c r="AA60" i="12"/>
  <c r="AA61" i="12"/>
  <c r="AA62" i="12"/>
  <c r="AA63" i="12"/>
  <c r="AA64" i="12"/>
  <c r="AA65" i="12"/>
  <c r="AA66" i="12"/>
  <c r="AA67" i="12"/>
  <c r="AA68" i="12"/>
  <c r="AA69" i="12"/>
  <c r="AA70" i="12"/>
  <c r="AA71" i="12"/>
  <c r="AA72" i="12"/>
  <c r="AA73" i="12"/>
  <c r="AA74" i="12"/>
  <c r="AA75" i="12"/>
  <c r="AA76" i="12"/>
  <c r="AA77" i="12"/>
  <c r="AA78" i="12"/>
  <c r="AA79" i="12"/>
  <c r="AA80" i="12"/>
  <c r="AA81" i="12"/>
  <c r="AA82" i="12"/>
  <c r="AA83" i="12"/>
  <c r="AA84" i="12"/>
  <c r="AA85" i="12"/>
  <c r="AA86" i="12"/>
  <c r="AA87" i="12"/>
  <c r="AA88" i="12"/>
  <c r="AA89" i="12"/>
  <c r="AA90" i="12"/>
  <c r="AA91" i="12"/>
  <c r="AA92" i="12"/>
  <c r="AA93" i="12"/>
  <c r="AA94" i="12"/>
  <c r="AA95" i="12"/>
  <c r="AA96" i="12"/>
  <c r="AA97" i="12"/>
  <c r="AA98" i="12"/>
  <c r="AA99" i="12"/>
  <c r="AA100" i="12"/>
  <c r="AA101" i="12"/>
  <c r="AA102" i="12"/>
  <c r="AA103" i="12"/>
  <c r="AA104" i="12"/>
  <c r="AA105" i="12"/>
  <c r="AA106" i="12"/>
  <c r="AA107" i="12"/>
  <c r="AA108" i="12"/>
  <c r="AA109" i="12"/>
  <c r="AA110" i="12"/>
  <c r="AA111" i="12"/>
  <c r="AA112" i="12"/>
  <c r="AA113" i="12"/>
  <c r="AA114" i="12"/>
  <c r="AA115" i="12"/>
  <c r="AA116" i="12"/>
  <c r="AA117" i="12"/>
  <c r="AA118" i="12"/>
  <c r="AA119" i="12"/>
  <c r="AA120" i="12"/>
  <c r="AA121" i="12"/>
  <c r="AA122" i="12"/>
  <c r="AA123" i="12"/>
  <c r="AA124" i="12"/>
  <c r="AA125" i="12"/>
  <c r="AA126" i="12"/>
  <c r="AA127" i="12"/>
  <c r="AA128" i="12"/>
  <c r="AA129" i="12"/>
  <c r="AA130" i="12"/>
  <c r="AA131" i="12"/>
  <c r="AA132" i="12"/>
  <c r="AA133" i="12"/>
  <c r="AA134" i="12"/>
  <c r="AA135" i="12"/>
  <c r="AA136" i="12"/>
  <c r="AA137" i="12"/>
  <c r="AA138" i="12"/>
  <c r="AA139" i="12"/>
  <c r="AA140" i="12"/>
  <c r="AA141" i="12"/>
  <c r="AA142" i="12"/>
  <c r="AA143" i="12"/>
  <c r="AA144" i="12"/>
  <c r="AA145" i="12"/>
  <c r="AA146" i="12"/>
  <c r="AA147" i="12"/>
  <c r="AA148" i="12"/>
  <c r="AA149" i="12"/>
  <c r="AA150" i="12"/>
  <c r="AA151" i="12"/>
  <c r="AA152" i="12"/>
  <c r="AA153" i="12"/>
  <c r="AA154" i="12"/>
  <c r="AA155" i="12"/>
  <c r="AA156" i="12"/>
  <c r="AA157" i="12"/>
  <c r="AA158" i="12"/>
  <c r="AA159" i="12"/>
  <c r="AA160" i="12"/>
  <c r="AA161" i="12"/>
  <c r="AA162" i="12"/>
  <c r="AA163" i="12"/>
  <c r="AA164" i="12"/>
  <c r="AA165" i="12"/>
  <c r="AA166" i="12"/>
  <c r="AA167" i="12"/>
  <c r="AA168" i="12"/>
  <c r="AA169" i="12"/>
  <c r="AA170" i="12"/>
  <c r="AA171" i="12"/>
  <c r="AA172" i="12"/>
  <c r="AA173" i="12"/>
  <c r="AA174" i="12"/>
  <c r="AA175" i="12"/>
  <c r="AA176" i="12"/>
  <c r="AA177" i="12"/>
  <c r="AA178" i="12"/>
  <c r="AA179" i="12"/>
  <c r="AA180" i="12"/>
  <c r="AA181" i="12"/>
  <c r="AA182" i="12"/>
  <c r="AA183" i="12"/>
  <c r="AA184" i="12"/>
  <c r="AA185" i="12"/>
  <c r="AA186" i="12"/>
  <c r="AA187" i="12"/>
  <c r="AA188" i="12"/>
  <c r="AA189" i="12"/>
  <c r="AA190" i="12"/>
  <c r="AA191" i="12"/>
  <c r="AA192" i="12"/>
  <c r="AA193" i="12"/>
  <c r="AA194" i="12"/>
  <c r="AA195" i="12"/>
  <c r="AA196" i="12"/>
  <c r="AA197" i="12"/>
  <c r="AA198" i="12"/>
  <c r="AA199" i="12"/>
  <c r="AA200" i="12"/>
  <c r="AA201" i="12"/>
  <c r="AA202" i="12"/>
  <c r="AA203" i="12"/>
  <c r="AA204" i="12"/>
  <c r="AA205" i="12"/>
  <c r="AA206" i="12"/>
  <c r="AA207" i="12"/>
  <c r="AA208" i="12"/>
  <c r="AA209" i="12"/>
  <c r="AA210" i="12"/>
  <c r="AA211" i="12"/>
  <c r="AA212" i="12"/>
  <c r="AA213" i="12"/>
  <c r="AA214" i="12"/>
  <c r="AA215" i="12"/>
  <c r="AA216" i="12"/>
  <c r="AA217" i="12"/>
  <c r="AA218" i="12"/>
  <c r="AA219" i="12"/>
  <c r="AA2" i="12"/>
  <c r="Q2" i="12"/>
  <c r="P2" i="12"/>
  <c r="R2" i="12" s="1"/>
  <c r="M2" i="12"/>
  <c r="B2" i="10"/>
  <c r="B3" i="10"/>
  <c r="B4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B38" i="10"/>
  <c r="B39" i="10"/>
  <c r="B40" i="10"/>
  <c r="B41" i="10"/>
  <c r="B42" i="10"/>
  <c r="B43" i="10"/>
  <c r="B44" i="10"/>
  <c r="B45" i="10"/>
  <c r="B46" i="10"/>
  <c r="B47" i="10"/>
  <c r="B48" i="10"/>
  <c r="B49" i="10"/>
  <c r="B50" i="10"/>
  <c r="B51" i="10"/>
  <c r="B52" i="10"/>
  <c r="B53" i="10"/>
  <c r="B54" i="10"/>
  <c r="B55" i="10"/>
  <c r="B56" i="10"/>
  <c r="B57" i="10"/>
  <c r="B58" i="10"/>
  <c r="B59" i="10"/>
  <c r="B60" i="10"/>
  <c r="B61" i="10"/>
  <c r="B62" i="10"/>
  <c r="B63" i="10"/>
  <c r="B64" i="10"/>
  <c r="B65" i="10"/>
  <c r="B66" i="10"/>
  <c r="B67" i="10"/>
  <c r="B68" i="10"/>
  <c r="B69" i="10"/>
  <c r="B70" i="10"/>
  <c r="B71" i="10"/>
  <c r="B72" i="10"/>
  <c r="B73" i="10"/>
  <c r="B74" i="10"/>
  <c r="B75" i="10"/>
  <c r="B76" i="10"/>
  <c r="B77" i="10"/>
  <c r="B78" i="10"/>
  <c r="B79" i="10"/>
  <c r="B80" i="10"/>
  <c r="B81" i="10"/>
  <c r="B82" i="10"/>
  <c r="B83" i="10"/>
  <c r="B84" i="10"/>
  <c r="B85" i="10"/>
  <c r="B86" i="10"/>
  <c r="B87" i="10"/>
  <c r="B88" i="10"/>
  <c r="B89" i="10"/>
  <c r="B90" i="10"/>
  <c r="B91" i="10"/>
  <c r="B92" i="10"/>
  <c r="B93" i="10"/>
  <c r="B94" i="10"/>
  <c r="B95" i="10"/>
  <c r="B96" i="10"/>
  <c r="B97" i="10"/>
  <c r="B100" i="10"/>
  <c r="B101" i="10"/>
  <c r="B102" i="10"/>
  <c r="B103" i="10"/>
  <c r="B111" i="10"/>
  <c r="B117" i="10"/>
  <c r="B129" i="10"/>
  <c r="B130" i="10"/>
  <c r="B131" i="10"/>
  <c r="B132" i="10"/>
  <c r="B133" i="10"/>
  <c r="B134" i="10"/>
  <c r="B135" i="10"/>
  <c r="B136" i="10"/>
  <c r="B137" i="10"/>
  <c r="B138" i="10"/>
  <c r="B139" i="10"/>
  <c r="B140" i="10"/>
  <c r="B141" i="10"/>
  <c r="B142" i="10"/>
  <c r="B143" i="10"/>
  <c r="B144" i="10"/>
  <c r="B145" i="10"/>
  <c r="B146" i="10"/>
  <c r="B147" i="10"/>
  <c r="B148" i="10"/>
  <c r="B149" i="10"/>
  <c r="B150" i="10"/>
  <c r="B151" i="10"/>
  <c r="B152" i="10"/>
  <c r="B153" i="10"/>
  <c r="B154" i="10"/>
  <c r="B155" i="10"/>
  <c r="B156" i="10"/>
  <c r="B157" i="10"/>
  <c r="B158" i="10"/>
  <c r="B159" i="10"/>
  <c r="B160" i="10"/>
  <c r="B161" i="10"/>
  <c r="B162" i="10"/>
  <c r="B163" i="10"/>
  <c r="B164" i="10"/>
  <c r="B165" i="10"/>
  <c r="B166" i="10"/>
  <c r="B167" i="10"/>
  <c r="B168" i="10"/>
  <c r="B169" i="10"/>
  <c r="B170" i="10"/>
  <c r="B171" i="10"/>
  <c r="B172" i="10"/>
  <c r="B173" i="10"/>
  <c r="B174" i="10"/>
  <c r="B175" i="10"/>
  <c r="B176" i="10"/>
  <c r="B177" i="10"/>
  <c r="B178" i="10"/>
  <c r="B179" i="10"/>
  <c r="B180" i="10"/>
  <c r="B181" i="10"/>
  <c r="B182" i="10"/>
  <c r="B183" i="10"/>
  <c r="B184" i="10"/>
  <c r="B185" i="10"/>
  <c r="B186" i="10"/>
  <c r="B187" i="10"/>
  <c r="B188" i="10"/>
  <c r="B189" i="10"/>
  <c r="B190" i="10"/>
  <c r="B191" i="10"/>
  <c r="B192" i="10"/>
  <c r="B193" i="10"/>
  <c r="B194" i="10"/>
  <c r="B195" i="10"/>
  <c r="B196" i="10"/>
  <c r="B197" i="10"/>
  <c r="B198" i="10"/>
  <c r="B199" i="10"/>
  <c r="B200" i="10"/>
  <c r="B201" i="10"/>
  <c r="B202" i="10"/>
  <c r="B203" i="10"/>
  <c r="B204" i="10"/>
  <c r="B205" i="10"/>
  <c r="B206" i="10"/>
  <c r="B207" i="10"/>
  <c r="B208" i="10"/>
  <c r="B209" i="10"/>
  <c r="B210" i="10"/>
  <c r="B211" i="10"/>
  <c r="B212" i="10"/>
  <c r="B213" i="10"/>
  <c r="B214" i="10"/>
  <c r="B215" i="10"/>
  <c r="B216" i="10"/>
  <c r="B217" i="10"/>
  <c r="B218" i="10"/>
  <c r="B219" i="10"/>
  <c r="B220" i="10"/>
  <c r="B221" i="10"/>
  <c r="B222" i="10"/>
  <c r="B223" i="10"/>
  <c r="B224" i="10"/>
  <c r="B225" i="10"/>
  <c r="B226" i="10"/>
  <c r="B227" i="10"/>
  <c r="B228" i="10"/>
  <c r="B229" i="10"/>
  <c r="B230" i="10"/>
  <c r="B231" i="10"/>
  <c r="B232" i="10"/>
  <c r="B233" i="10"/>
  <c r="B234" i="10"/>
  <c r="B235" i="10"/>
  <c r="B236" i="10"/>
  <c r="B237" i="10"/>
  <c r="B238" i="10"/>
  <c r="B239" i="10"/>
  <c r="B240" i="10"/>
  <c r="B241" i="10"/>
  <c r="B242" i="10"/>
  <c r="B243" i="10"/>
  <c r="B244" i="10"/>
  <c r="B245" i="10"/>
  <c r="B246" i="10"/>
  <c r="B247" i="10"/>
  <c r="B248" i="10"/>
  <c r="B249" i="10"/>
  <c r="B250" i="10"/>
  <c r="B251" i="10"/>
  <c r="B252" i="10"/>
  <c r="B253" i="10"/>
  <c r="B254" i="10"/>
  <c r="B255" i="10"/>
  <c r="B256" i="10"/>
  <c r="B257" i="10"/>
  <c r="B258" i="10"/>
  <c r="B259" i="10"/>
  <c r="B260" i="10"/>
  <c r="B261" i="10"/>
  <c r="B262" i="10"/>
  <c r="B263" i="10"/>
  <c r="B264" i="10"/>
  <c r="B265" i="10"/>
  <c r="B266" i="10"/>
  <c r="B267" i="10"/>
  <c r="B268" i="10"/>
  <c r="B269" i="10"/>
  <c r="B270" i="10"/>
  <c r="B271" i="10"/>
  <c r="B272" i="10"/>
  <c r="B273" i="10"/>
  <c r="B274" i="10"/>
  <c r="B275" i="10"/>
  <c r="B276" i="10"/>
  <c r="B277" i="10"/>
  <c r="B278" i="10"/>
  <c r="B279" i="10"/>
  <c r="B280" i="10"/>
  <c r="B281" i="10"/>
  <c r="B282" i="10"/>
  <c r="B283" i="10"/>
  <c r="B284" i="10"/>
  <c r="B285" i="10"/>
  <c r="B286" i="10"/>
  <c r="B287" i="10"/>
  <c r="M3" i="10"/>
  <c r="M4" i="10"/>
  <c r="M5" i="10"/>
  <c r="M6" i="10"/>
  <c r="M7" i="10"/>
  <c r="M8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M22" i="10"/>
  <c r="M23" i="10"/>
  <c r="M24" i="10"/>
  <c r="M25" i="10"/>
  <c r="M26" i="10"/>
  <c r="M27" i="10"/>
  <c r="M28" i="10"/>
  <c r="M29" i="10"/>
  <c r="M30" i="10"/>
  <c r="M31" i="10"/>
  <c r="M32" i="10"/>
  <c r="M33" i="10"/>
  <c r="M34" i="10"/>
  <c r="M35" i="10"/>
  <c r="M36" i="10"/>
  <c r="M37" i="10"/>
  <c r="M38" i="10"/>
  <c r="M39" i="10"/>
  <c r="M40" i="10"/>
  <c r="M41" i="10"/>
  <c r="M42" i="10"/>
  <c r="M43" i="10"/>
  <c r="M44" i="10"/>
  <c r="M45" i="10"/>
  <c r="M46" i="10"/>
  <c r="M47" i="10"/>
  <c r="M48" i="10"/>
  <c r="M49" i="10"/>
  <c r="M50" i="10"/>
  <c r="M51" i="10"/>
  <c r="M52" i="10"/>
  <c r="M53" i="10"/>
  <c r="M54" i="10"/>
  <c r="M55" i="10"/>
  <c r="M56" i="10"/>
  <c r="M57" i="10"/>
  <c r="M58" i="10"/>
  <c r="M59" i="10"/>
  <c r="M60" i="10"/>
  <c r="M61" i="10"/>
  <c r="M62" i="10"/>
  <c r="M63" i="10"/>
  <c r="M64" i="10"/>
  <c r="M65" i="10"/>
  <c r="M66" i="10"/>
  <c r="M67" i="10"/>
  <c r="M68" i="10"/>
  <c r="M69" i="10"/>
  <c r="M70" i="10"/>
  <c r="M71" i="10"/>
  <c r="M72" i="10"/>
  <c r="M73" i="10"/>
  <c r="M74" i="10"/>
  <c r="M75" i="10"/>
  <c r="M76" i="10"/>
  <c r="M77" i="10"/>
  <c r="M78" i="10"/>
  <c r="M79" i="10"/>
  <c r="M80" i="10"/>
  <c r="M81" i="10"/>
  <c r="M82" i="10"/>
  <c r="M83" i="10"/>
  <c r="M84" i="10"/>
  <c r="M85" i="10"/>
  <c r="M86" i="10"/>
  <c r="M87" i="10"/>
  <c r="M88" i="10"/>
  <c r="M89" i="10"/>
  <c r="M90" i="10"/>
  <c r="M91" i="10"/>
  <c r="M92" i="10"/>
  <c r="M93" i="10"/>
  <c r="M94" i="10"/>
  <c r="M95" i="10"/>
  <c r="M96" i="10"/>
  <c r="M97" i="10"/>
  <c r="M100" i="10"/>
  <c r="M101" i="10"/>
  <c r="M102" i="10"/>
  <c r="M103" i="10"/>
  <c r="M111" i="10"/>
  <c r="M117" i="10"/>
  <c r="M129" i="10"/>
  <c r="M130" i="10"/>
  <c r="M131" i="10"/>
  <c r="M132" i="10"/>
  <c r="M133" i="10"/>
  <c r="M134" i="10"/>
  <c r="M135" i="10"/>
  <c r="M136" i="10"/>
  <c r="M137" i="10"/>
  <c r="M138" i="10"/>
  <c r="M139" i="10"/>
  <c r="M140" i="10"/>
  <c r="M141" i="10"/>
  <c r="M142" i="10"/>
  <c r="M143" i="10"/>
  <c r="M144" i="10"/>
  <c r="M145" i="10"/>
  <c r="M146" i="10"/>
  <c r="M147" i="10"/>
  <c r="M148" i="10"/>
  <c r="M149" i="10"/>
  <c r="M150" i="10"/>
  <c r="M151" i="10"/>
  <c r="M152" i="10"/>
  <c r="M153" i="10"/>
  <c r="M154" i="10"/>
  <c r="M155" i="10"/>
  <c r="M156" i="10"/>
  <c r="M157" i="10"/>
  <c r="M158" i="10"/>
  <c r="M159" i="10"/>
  <c r="M160" i="10"/>
  <c r="M161" i="10"/>
  <c r="M162" i="10"/>
  <c r="M163" i="10"/>
  <c r="M164" i="10"/>
  <c r="M165" i="10"/>
  <c r="M166" i="10"/>
  <c r="M167" i="10"/>
  <c r="M168" i="10"/>
  <c r="M169" i="10"/>
  <c r="M170" i="10"/>
  <c r="M171" i="10"/>
  <c r="M172" i="10"/>
  <c r="M173" i="10"/>
  <c r="M174" i="10"/>
  <c r="M175" i="10"/>
  <c r="M176" i="10"/>
  <c r="M177" i="10"/>
  <c r="M178" i="10"/>
  <c r="M179" i="10"/>
  <c r="M180" i="10"/>
  <c r="M181" i="10"/>
  <c r="M182" i="10"/>
  <c r="M183" i="10"/>
  <c r="M184" i="10"/>
  <c r="M185" i="10"/>
  <c r="M186" i="10"/>
  <c r="M187" i="10"/>
  <c r="M188" i="10"/>
  <c r="M189" i="10"/>
  <c r="M190" i="10"/>
  <c r="M191" i="10"/>
  <c r="M192" i="10"/>
  <c r="M193" i="10"/>
  <c r="M194" i="10"/>
  <c r="M195" i="10"/>
  <c r="M196" i="10"/>
  <c r="M197" i="10"/>
  <c r="M198" i="10"/>
  <c r="M199" i="10"/>
  <c r="M200" i="10"/>
  <c r="M201" i="10"/>
  <c r="M202" i="10"/>
  <c r="M203" i="10"/>
  <c r="M204" i="10"/>
  <c r="M205" i="10"/>
  <c r="M206" i="10"/>
  <c r="M207" i="10"/>
  <c r="M208" i="10"/>
  <c r="M209" i="10"/>
  <c r="M210" i="10"/>
  <c r="M211" i="10"/>
  <c r="M212" i="10"/>
  <c r="M213" i="10"/>
  <c r="M214" i="10"/>
  <c r="M215" i="10"/>
  <c r="M216" i="10"/>
  <c r="M217" i="10"/>
  <c r="M218" i="10"/>
  <c r="M219" i="10"/>
  <c r="M220" i="10"/>
  <c r="M221" i="10"/>
  <c r="M222" i="10"/>
  <c r="M223" i="10"/>
  <c r="M224" i="10"/>
  <c r="M225" i="10"/>
  <c r="M226" i="10"/>
  <c r="M227" i="10"/>
  <c r="M228" i="10"/>
  <c r="M229" i="10"/>
  <c r="M230" i="10"/>
  <c r="M231" i="10"/>
  <c r="M232" i="10"/>
  <c r="M233" i="10"/>
  <c r="M234" i="10"/>
  <c r="M235" i="10"/>
  <c r="M236" i="10"/>
  <c r="M237" i="10"/>
  <c r="M238" i="10"/>
  <c r="M239" i="10"/>
  <c r="M240" i="10"/>
  <c r="M241" i="10"/>
  <c r="M242" i="10"/>
  <c r="M243" i="10"/>
  <c r="M244" i="10"/>
  <c r="M245" i="10"/>
  <c r="M246" i="10"/>
  <c r="M247" i="10"/>
  <c r="M248" i="10"/>
  <c r="M249" i="10"/>
  <c r="M250" i="10"/>
  <c r="M251" i="10"/>
  <c r="M252" i="10"/>
  <c r="M253" i="10"/>
  <c r="M254" i="10"/>
  <c r="M255" i="10"/>
  <c r="M256" i="10"/>
  <c r="M257" i="10"/>
  <c r="M258" i="10"/>
  <c r="M259" i="10"/>
  <c r="M260" i="10"/>
  <c r="M261" i="10"/>
  <c r="M262" i="10"/>
  <c r="M263" i="10"/>
  <c r="M264" i="10"/>
  <c r="M265" i="10"/>
  <c r="M266" i="10"/>
  <c r="M267" i="10"/>
  <c r="M268" i="10"/>
  <c r="M269" i="10"/>
  <c r="M270" i="10"/>
  <c r="M271" i="10"/>
  <c r="M272" i="10"/>
  <c r="M273" i="10"/>
  <c r="M274" i="10"/>
  <c r="M275" i="10"/>
  <c r="M276" i="10"/>
  <c r="M277" i="10"/>
  <c r="M278" i="10"/>
  <c r="M279" i="10"/>
  <c r="M280" i="10"/>
  <c r="M281" i="10"/>
  <c r="M282" i="10"/>
  <c r="M283" i="10"/>
  <c r="M284" i="10"/>
  <c r="M285" i="10"/>
  <c r="M286" i="10"/>
  <c r="M287" i="10"/>
  <c r="M2" i="10"/>
  <c r="R3" i="13" l="1"/>
  <c r="R4" i="13" s="1"/>
  <c r="R5" i="13" s="1"/>
  <c r="R6" i="13" s="1"/>
  <c r="R7" i="13" s="1"/>
  <c r="R8" i="13" s="1"/>
  <c r="R9" i="13" s="1"/>
  <c r="R10" i="13" s="1"/>
  <c r="R11" i="13" s="1"/>
  <c r="R12" i="13" s="1"/>
  <c r="R13" i="13" s="1"/>
  <c r="R14" i="13" s="1"/>
  <c r="R15" i="13" s="1"/>
  <c r="R16" i="13" s="1"/>
  <c r="R17" i="13" s="1"/>
  <c r="R18" i="13" s="1"/>
  <c r="R19" i="13" s="1"/>
  <c r="R20" i="13" s="1"/>
  <c r="R21" i="13" s="1"/>
  <c r="R22" i="13" s="1"/>
  <c r="R23" i="13" s="1"/>
  <c r="R24" i="13" s="1"/>
  <c r="R25" i="13" s="1"/>
  <c r="R26" i="13" s="1"/>
  <c r="R27" i="13" s="1"/>
  <c r="R28" i="13" s="1"/>
  <c r="R29" i="13" s="1"/>
  <c r="R30" i="13" s="1"/>
  <c r="R31" i="13" s="1"/>
  <c r="R32" i="13" s="1"/>
  <c r="R33" i="13" s="1"/>
  <c r="R34" i="13" s="1"/>
  <c r="R35" i="13" s="1"/>
  <c r="R36" i="13" s="1"/>
  <c r="R37" i="13" s="1"/>
  <c r="R38" i="13" s="1"/>
  <c r="R39" i="13" s="1"/>
  <c r="R40" i="13" s="1"/>
  <c r="R41" i="13" s="1"/>
  <c r="R42" i="13" s="1"/>
  <c r="R43" i="13" s="1"/>
  <c r="R44" i="13" s="1"/>
  <c r="R45" i="13" s="1"/>
  <c r="R46" i="13" s="1"/>
  <c r="R47" i="13" s="1"/>
  <c r="R48" i="13" s="1"/>
  <c r="R49" i="13" s="1"/>
  <c r="R50" i="13" s="1"/>
  <c r="R51" i="13" s="1"/>
  <c r="R52" i="13" s="1"/>
  <c r="R53" i="13" s="1"/>
  <c r="R54" i="13" s="1"/>
  <c r="R55" i="13" s="1"/>
  <c r="R56" i="13" s="1"/>
  <c r="R57" i="13" s="1"/>
  <c r="R58" i="13" s="1"/>
  <c r="R59" i="13" s="1"/>
  <c r="R60" i="13" s="1"/>
  <c r="R61" i="13" s="1"/>
  <c r="R62" i="13" s="1"/>
  <c r="R63" i="13" s="1"/>
  <c r="R64" i="13" s="1"/>
  <c r="R65" i="13" s="1"/>
  <c r="R66" i="13" s="1"/>
  <c r="R67" i="13" s="1"/>
  <c r="R68" i="13" s="1"/>
  <c r="R69" i="13" s="1"/>
  <c r="R70" i="13" s="1"/>
  <c r="R71" i="13" s="1"/>
  <c r="R72" i="13" s="1"/>
  <c r="R73" i="13" s="1"/>
  <c r="R74" i="13" s="1"/>
  <c r="R75" i="13" s="1"/>
  <c r="R76" i="13" s="1"/>
  <c r="R77" i="13" s="1"/>
  <c r="R78" i="13" s="1"/>
  <c r="R79" i="13" s="1"/>
  <c r="R80" i="13" s="1"/>
  <c r="R81" i="13" s="1"/>
  <c r="R82" i="13" s="1"/>
  <c r="R83" i="13" s="1"/>
  <c r="R84" i="13" s="1"/>
  <c r="R85" i="13" s="1"/>
  <c r="R86" i="13" s="1"/>
  <c r="R87" i="13" s="1"/>
  <c r="R88" i="13" s="1"/>
  <c r="R89" i="13" s="1"/>
  <c r="R90" i="13" s="1"/>
  <c r="R91" i="13" s="1"/>
  <c r="R92" i="13" s="1"/>
  <c r="R93" i="13" s="1"/>
  <c r="R94" i="13" s="1"/>
  <c r="R95" i="13" s="1"/>
  <c r="R96" i="13" s="1"/>
  <c r="R97" i="13" s="1"/>
  <c r="R98" i="13" s="1"/>
  <c r="R99" i="13" s="1"/>
  <c r="R100" i="13" s="1"/>
  <c r="R101" i="13" s="1"/>
  <c r="R102" i="13" s="1"/>
  <c r="R103" i="13" s="1"/>
  <c r="R104" i="13" s="1"/>
  <c r="R105" i="13" s="1"/>
  <c r="R106" i="13" s="1"/>
  <c r="R107" i="13" s="1"/>
  <c r="R108" i="13" s="1"/>
  <c r="R109" i="13" s="1"/>
  <c r="R110" i="13" s="1"/>
  <c r="R111" i="13" s="1"/>
  <c r="R112" i="13" s="1"/>
  <c r="R113" i="13" s="1"/>
  <c r="R114" i="13" s="1"/>
  <c r="R115" i="13" s="1"/>
  <c r="R116" i="13" s="1"/>
  <c r="R117" i="13" s="1"/>
  <c r="R118" i="13" s="1"/>
  <c r="R119" i="13" s="1"/>
  <c r="R120" i="13" s="1"/>
  <c r="R121" i="13" s="1"/>
  <c r="R122" i="13" s="1"/>
  <c r="R123" i="13" s="1"/>
  <c r="R124" i="13" s="1"/>
  <c r="R125" i="13" s="1"/>
  <c r="R126" i="13" s="1"/>
  <c r="R127" i="13" s="1"/>
  <c r="R128" i="13" s="1"/>
  <c r="R129" i="13" s="1"/>
  <c r="R130" i="13" s="1"/>
  <c r="R131" i="13" s="1"/>
  <c r="R132" i="13" s="1"/>
  <c r="R133" i="13" s="1"/>
  <c r="R134" i="13" s="1"/>
  <c r="R135" i="13" s="1"/>
  <c r="R136" i="13" s="1"/>
  <c r="R137" i="13" s="1"/>
  <c r="R138" i="13" s="1"/>
  <c r="R139" i="13" s="1"/>
  <c r="R140" i="13" s="1"/>
  <c r="R141" i="13" s="1"/>
  <c r="R142" i="13" s="1"/>
  <c r="R143" i="13" s="1"/>
  <c r="R144" i="13" s="1"/>
  <c r="R145" i="13" s="1"/>
  <c r="R146" i="13" s="1"/>
  <c r="R147" i="13" s="1"/>
  <c r="R148" i="13" s="1"/>
  <c r="R149" i="13" s="1"/>
  <c r="R150" i="13" s="1"/>
  <c r="R151" i="13" s="1"/>
  <c r="R152" i="13" s="1"/>
  <c r="R153" i="13" s="1"/>
  <c r="R154" i="13" s="1"/>
  <c r="R155" i="13" s="1"/>
  <c r="R156" i="13" s="1"/>
  <c r="R157" i="13" s="1"/>
  <c r="R158" i="13" s="1"/>
  <c r="R159" i="13" s="1"/>
  <c r="R160" i="13" s="1"/>
  <c r="R161" i="13" s="1"/>
  <c r="R162" i="13" s="1"/>
  <c r="R163" i="13" s="1"/>
  <c r="R164" i="13" s="1"/>
  <c r="R165" i="13" s="1"/>
  <c r="R166" i="13" s="1"/>
  <c r="R167" i="13" s="1"/>
  <c r="R168" i="13" s="1"/>
  <c r="R169" i="13" s="1"/>
  <c r="R170" i="13" s="1"/>
  <c r="R171" i="13" s="1"/>
  <c r="R172" i="13" s="1"/>
  <c r="R173" i="13" s="1"/>
  <c r="R174" i="13" s="1"/>
  <c r="R175" i="13" s="1"/>
  <c r="R176" i="13" s="1"/>
  <c r="R177" i="13" s="1"/>
  <c r="R178" i="13" s="1"/>
  <c r="R179" i="13" s="1"/>
  <c r="R180" i="13" s="1"/>
  <c r="R181" i="13" s="1"/>
  <c r="R182" i="13" s="1"/>
  <c r="R183" i="13" s="1"/>
  <c r="R184" i="13" s="1"/>
  <c r="R185" i="13" s="1"/>
  <c r="R186" i="13" s="1"/>
  <c r="R187" i="13" s="1"/>
  <c r="R188" i="13" s="1"/>
  <c r="R189" i="13" s="1"/>
  <c r="R190" i="13" s="1"/>
  <c r="R191" i="13" s="1"/>
  <c r="R192" i="13" s="1"/>
  <c r="R193" i="13" s="1"/>
  <c r="R194" i="13" s="1"/>
  <c r="R195" i="13" s="1"/>
  <c r="R196" i="13" s="1"/>
  <c r="R197" i="13" s="1"/>
  <c r="R198" i="13" s="1"/>
  <c r="R199" i="13" s="1"/>
  <c r="R200" i="13" s="1"/>
  <c r="R201" i="13" s="1"/>
  <c r="R202" i="13" s="1"/>
  <c r="R203" i="13" s="1"/>
  <c r="R204" i="13" s="1"/>
  <c r="R205" i="13" s="1"/>
  <c r="R206" i="13" s="1"/>
  <c r="R207" i="13" s="1"/>
  <c r="R208" i="13" s="1"/>
  <c r="R209" i="13" s="1"/>
  <c r="R210" i="13" s="1"/>
  <c r="R211" i="13" s="1"/>
  <c r="R212" i="13" s="1"/>
  <c r="R213" i="13" s="1"/>
  <c r="R214" i="13" s="1"/>
  <c r="R215" i="13" s="1"/>
  <c r="R216" i="13" s="1"/>
  <c r="R217" i="13" s="1"/>
  <c r="R218" i="13" s="1"/>
  <c r="R219" i="13" s="1"/>
  <c r="R220" i="13" s="1"/>
  <c r="R221" i="13" s="1"/>
  <c r="R222" i="13" s="1"/>
  <c r="R223" i="13" s="1"/>
  <c r="R224" i="13" s="1"/>
  <c r="R225" i="13" s="1"/>
  <c r="R226" i="13" s="1"/>
  <c r="R227" i="13" s="1"/>
  <c r="R228" i="13" s="1"/>
  <c r="R229" i="13" s="1"/>
  <c r="R230" i="13" s="1"/>
  <c r="R231" i="13" s="1"/>
  <c r="R232" i="13" s="1"/>
  <c r="R233" i="13" s="1"/>
  <c r="R234" i="13" s="1"/>
  <c r="R235" i="13" s="1"/>
  <c r="R236" i="13" s="1"/>
  <c r="R237" i="13" s="1"/>
  <c r="R238" i="13" s="1"/>
  <c r="R239" i="13" s="1"/>
  <c r="R240" i="13" s="1"/>
  <c r="R241" i="13" s="1"/>
  <c r="R242" i="13" s="1"/>
  <c r="R243" i="13" s="1"/>
  <c r="R244" i="13" s="1"/>
  <c r="R245" i="13" s="1"/>
  <c r="R246" i="13" s="1"/>
  <c r="R247" i="13" s="1"/>
  <c r="R248" i="13" s="1"/>
  <c r="R249" i="13" s="1"/>
  <c r="R250" i="13" s="1"/>
  <c r="R251" i="13" s="1"/>
  <c r="R252" i="13" s="1"/>
  <c r="R253" i="13" s="1"/>
  <c r="R254" i="13" s="1"/>
  <c r="R255" i="13" s="1"/>
  <c r="R256" i="13" s="1"/>
  <c r="R257" i="13" s="1"/>
  <c r="R258" i="13" s="1"/>
  <c r="R259" i="13" s="1"/>
  <c r="R260" i="13" s="1"/>
  <c r="R261" i="13" s="1"/>
  <c r="R262" i="13" s="1"/>
  <c r="R263" i="13" s="1"/>
  <c r="R264" i="13" s="1"/>
  <c r="R265" i="13" s="1"/>
  <c r="R266" i="13" s="1"/>
  <c r="R267" i="13" s="1"/>
  <c r="R268" i="13" s="1"/>
  <c r="R269" i="13" s="1"/>
  <c r="R270" i="13" s="1"/>
  <c r="R271" i="13" s="1"/>
  <c r="R272" i="13" s="1"/>
  <c r="R273" i="13" s="1"/>
  <c r="R274" i="13" s="1"/>
  <c r="R275" i="13" s="1"/>
  <c r="R276" i="13" s="1"/>
  <c r="R277" i="13" s="1"/>
  <c r="R278" i="13" s="1"/>
  <c r="R279" i="13" s="1"/>
  <c r="R280" i="13" s="1"/>
  <c r="R281" i="13" s="1"/>
  <c r="R282" i="13" s="1"/>
  <c r="R283" i="13" s="1"/>
  <c r="R284" i="13" s="1"/>
  <c r="R285" i="13" s="1"/>
  <c r="R286" i="13" s="1"/>
  <c r="R287" i="13" s="1"/>
  <c r="R288" i="13" s="1"/>
  <c r="R289" i="13" s="1"/>
  <c r="R290" i="13" s="1"/>
  <c r="R291" i="13" s="1"/>
  <c r="R292" i="13" s="1"/>
  <c r="R293" i="13" s="1"/>
  <c r="R294" i="13" s="1"/>
  <c r="R295" i="13" s="1"/>
  <c r="R296" i="13" s="1"/>
  <c r="R297" i="13" s="1"/>
  <c r="R298" i="13" s="1"/>
  <c r="R299" i="13" s="1"/>
  <c r="R300" i="13" s="1"/>
  <c r="R301" i="13" s="1"/>
  <c r="R302" i="13" s="1"/>
  <c r="R303" i="13" s="1"/>
  <c r="R304" i="13" s="1"/>
  <c r="R305" i="13" s="1"/>
  <c r="R306" i="13" s="1"/>
  <c r="R307" i="13" s="1"/>
  <c r="R308" i="13" s="1"/>
  <c r="R309" i="13" s="1"/>
  <c r="R310" i="13" s="1"/>
  <c r="R311" i="13" s="1"/>
  <c r="R312" i="13" s="1"/>
  <c r="R313" i="13" s="1"/>
  <c r="R314" i="13" s="1"/>
  <c r="R315" i="13" s="1"/>
  <c r="R316" i="13" s="1"/>
  <c r="R317" i="13" s="1"/>
  <c r="R318" i="13" s="1"/>
  <c r="R319" i="13" s="1"/>
  <c r="R320" i="13" s="1"/>
  <c r="R321" i="13" s="1"/>
  <c r="R322" i="13" s="1"/>
  <c r="R323" i="13" s="1"/>
  <c r="R324" i="13" s="1"/>
  <c r="R325" i="13" s="1"/>
  <c r="R326" i="13" s="1"/>
  <c r="R327" i="13" s="1"/>
  <c r="R328" i="13" s="1"/>
  <c r="R329" i="13" s="1"/>
  <c r="R330" i="13" s="1"/>
  <c r="R331" i="13" s="1"/>
  <c r="R332" i="13" s="1"/>
  <c r="R333" i="13" s="1"/>
  <c r="R334" i="13" s="1"/>
  <c r="R335" i="13" s="1"/>
  <c r="R336" i="13" s="1"/>
  <c r="R337" i="13" s="1"/>
  <c r="R338" i="13" s="1"/>
  <c r="R339" i="13" s="1"/>
  <c r="R340" i="13" s="1"/>
  <c r="R341" i="13" s="1"/>
  <c r="R342" i="13" s="1"/>
  <c r="R343" i="13" s="1"/>
  <c r="R344" i="13" s="1"/>
  <c r="R345" i="13" s="1"/>
  <c r="R346" i="13" s="1"/>
  <c r="R347" i="13" s="1"/>
  <c r="R348" i="13" s="1"/>
  <c r="R349" i="13" s="1"/>
  <c r="R350" i="13" s="1"/>
  <c r="R351" i="13" s="1"/>
  <c r="R352" i="13" s="1"/>
  <c r="R353" i="13" s="1"/>
  <c r="R354" i="13" s="1"/>
  <c r="R355" i="13" s="1"/>
  <c r="R356" i="13" s="1"/>
  <c r="R357" i="13" s="1"/>
  <c r="R358" i="13" s="1"/>
  <c r="R359" i="13" s="1"/>
  <c r="R360" i="13" s="1"/>
  <c r="R361" i="13" s="1"/>
  <c r="R362" i="13" s="1"/>
  <c r="R363" i="13" s="1"/>
  <c r="R364" i="13" s="1"/>
  <c r="R365" i="13" s="1"/>
  <c r="R366" i="13" s="1"/>
  <c r="R367" i="13" s="1"/>
  <c r="R368" i="13" s="1"/>
  <c r="R369" i="13" s="1"/>
  <c r="R370" i="13" s="1"/>
  <c r="R371" i="13" s="1"/>
  <c r="R372" i="13" s="1"/>
  <c r="R373" i="13" s="1"/>
  <c r="R374" i="13" s="1"/>
  <c r="R375" i="13" s="1"/>
  <c r="R376" i="13" s="1"/>
  <c r="R377" i="13" s="1"/>
  <c r="R378" i="13" s="1"/>
  <c r="R379" i="13" s="1"/>
  <c r="R380" i="13" s="1"/>
  <c r="R381" i="13" s="1"/>
  <c r="R382" i="13" s="1"/>
  <c r="R383" i="13" s="1"/>
  <c r="R384" i="13" s="1"/>
  <c r="R385" i="13" s="1"/>
  <c r="R386" i="13" s="1"/>
  <c r="R387" i="13" s="1"/>
  <c r="R388" i="13" s="1"/>
  <c r="R3" i="12"/>
  <c r="R4" i="12" s="1"/>
  <c r="R5" i="12" s="1"/>
  <c r="R6" i="12" s="1"/>
  <c r="R7" i="12" s="1"/>
  <c r="R8" i="12" s="1"/>
  <c r="R9" i="12" s="1"/>
  <c r="R10" i="12" s="1"/>
  <c r="R11" i="12" s="1"/>
  <c r="R12" i="12" s="1"/>
  <c r="R13" i="12" s="1"/>
  <c r="R14" i="12" s="1"/>
  <c r="R15" i="12" s="1"/>
  <c r="R16" i="12" s="1"/>
  <c r="R17" i="12" s="1"/>
  <c r="R18" i="12" s="1"/>
  <c r="R19" i="12" s="1"/>
  <c r="R20" i="12" s="1"/>
  <c r="R21" i="12" s="1"/>
  <c r="R22" i="12" s="1"/>
  <c r="R23" i="12" s="1"/>
  <c r="R24" i="12" s="1"/>
  <c r="R25" i="12" s="1"/>
  <c r="R26" i="12" s="1"/>
  <c r="R27" i="12" s="1"/>
  <c r="R28" i="12" s="1"/>
  <c r="R29" i="12" s="1"/>
  <c r="R30" i="12" s="1"/>
  <c r="R31" i="12" s="1"/>
  <c r="R32" i="12" s="1"/>
  <c r="R33" i="12" s="1"/>
  <c r="R34" i="12" s="1"/>
  <c r="R35" i="12" s="1"/>
  <c r="R36" i="12" s="1"/>
  <c r="R37" i="12" s="1"/>
  <c r="R38" i="12" s="1"/>
  <c r="R39" i="12" s="1"/>
  <c r="R40" i="12" s="1"/>
  <c r="R41" i="12" s="1"/>
  <c r="R42" i="12" s="1"/>
  <c r="R43" i="12" s="1"/>
  <c r="R44" i="12" s="1"/>
  <c r="R45" i="12" s="1"/>
  <c r="R46" i="12" s="1"/>
  <c r="R47" i="12" s="1"/>
  <c r="R48" i="12" s="1"/>
  <c r="R49" i="12" s="1"/>
  <c r="R50" i="12" s="1"/>
  <c r="R51" i="12" s="1"/>
  <c r="R52" i="12" s="1"/>
  <c r="R53" i="12" s="1"/>
  <c r="R54" i="12" s="1"/>
  <c r="R55" i="12" s="1"/>
  <c r="R56" i="12" s="1"/>
  <c r="R57" i="12" s="1"/>
  <c r="R58" i="12" s="1"/>
  <c r="R59" i="12" s="1"/>
  <c r="R60" i="12" s="1"/>
  <c r="R61" i="12" s="1"/>
  <c r="R62" i="12" s="1"/>
  <c r="R63" i="12" s="1"/>
  <c r="R64" i="12" s="1"/>
  <c r="R65" i="12" s="1"/>
  <c r="R66" i="12" s="1"/>
  <c r="R67" i="12" s="1"/>
  <c r="R68" i="12" s="1"/>
  <c r="R69" i="12" s="1"/>
  <c r="R70" i="12" s="1"/>
  <c r="R71" i="12" s="1"/>
  <c r="R72" i="12" s="1"/>
  <c r="R73" i="12" s="1"/>
  <c r="R74" i="12" s="1"/>
  <c r="R75" i="12" s="1"/>
  <c r="R76" i="12" s="1"/>
  <c r="R77" i="12" s="1"/>
  <c r="R78" i="12" s="1"/>
  <c r="R79" i="12" s="1"/>
  <c r="R80" i="12" s="1"/>
  <c r="R81" i="12" s="1"/>
  <c r="R82" i="12" s="1"/>
  <c r="R83" i="12" s="1"/>
  <c r="R84" i="12" s="1"/>
  <c r="R85" i="12" s="1"/>
  <c r="R86" i="12" s="1"/>
  <c r="R87" i="12" s="1"/>
  <c r="R88" i="12" s="1"/>
  <c r="R89" i="12" s="1"/>
  <c r="R90" i="12" s="1"/>
  <c r="R91" i="12" s="1"/>
  <c r="R92" i="12" s="1"/>
  <c r="R93" i="12" s="1"/>
  <c r="R94" i="12" s="1"/>
  <c r="R95" i="12" s="1"/>
  <c r="R96" i="12" s="1"/>
  <c r="R97" i="12" s="1"/>
  <c r="R98" i="12" s="1"/>
  <c r="R99" i="12" s="1"/>
  <c r="R100" i="12" s="1"/>
  <c r="R101" i="12" s="1"/>
  <c r="R102" i="12" s="1"/>
  <c r="R103" i="12" s="1"/>
  <c r="R104" i="12" s="1"/>
  <c r="R105" i="12" s="1"/>
  <c r="R106" i="12" s="1"/>
  <c r="R107" i="12" s="1"/>
  <c r="R108" i="12" s="1"/>
  <c r="R109" i="12" s="1"/>
  <c r="R110" i="12" s="1"/>
  <c r="R111" i="12" s="1"/>
  <c r="R112" i="12" s="1"/>
  <c r="R113" i="12" s="1"/>
  <c r="R114" i="12" s="1"/>
  <c r="R115" i="12" s="1"/>
  <c r="R116" i="12" s="1"/>
  <c r="R117" i="12" s="1"/>
  <c r="R118" i="12" s="1"/>
  <c r="R119" i="12" s="1"/>
  <c r="R120" i="12" s="1"/>
  <c r="R121" i="12" s="1"/>
  <c r="R122" i="12" s="1"/>
  <c r="R123" i="12" s="1"/>
  <c r="R124" i="12" s="1"/>
  <c r="R125" i="12" s="1"/>
  <c r="R126" i="12" s="1"/>
  <c r="R127" i="12" s="1"/>
  <c r="R128" i="12" s="1"/>
  <c r="R129" i="12" s="1"/>
  <c r="R130" i="12" s="1"/>
  <c r="R131" i="12" s="1"/>
  <c r="R132" i="12" s="1"/>
  <c r="R133" i="12" s="1"/>
  <c r="R134" i="12" s="1"/>
  <c r="R135" i="12" s="1"/>
  <c r="R136" i="12" s="1"/>
  <c r="R137" i="12" s="1"/>
  <c r="R138" i="12" s="1"/>
  <c r="R139" i="12" s="1"/>
  <c r="R140" i="12" s="1"/>
  <c r="R141" i="12" s="1"/>
  <c r="R142" i="12" s="1"/>
  <c r="R143" i="12" s="1"/>
  <c r="R144" i="12" s="1"/>
  <c r="R145" i="12" s="1"/>
  <c r="R146" i="12" s="1"/>
  <c r="R147" i="12" s="1"/>
  <c r="R148" i="12" s="1"/>
  <c r="R149" i="12" s="1"/>
  <c r="R150" i="12" s="1"/>
  <c r="R151" i="12" s="1"/>
  <c r="R152" i="12" s="1"/>
  <c r="R153" i="12" s="1"/>
  <c r="R154" i="12" s="1"/>
  <c r="R155" i="12" s="1"/>
  <c r="R156" i="12" s="1"/>
  <c r="R157" i="12" s="1"/>
  <c r="R158" i="12" s="1"/>
  <c r="R159" i="12" s="1"/>
  <c r="R160" i="12" s="1"/>
  <c r="R161" i="12" s="1"/>
  <c r="R162" i="12" s="1"/>
  <c r="R163" i="12" s="1"/>
  <c r="R164" i="12" s="1"/>
  <c r="R165" i="12" s="1"/>
  <c r="R166" i="12" s="1"/>
  <c r="R167" i="12" s="1"/>
  <c r="R168" i="12" s="1"/>
  <c r="R169" i="12" s="1"/>
  <c r="R170" i="12" s="1"/>
  <c r="R171" i="12" s="1"/>
  <c r="R172" i="12" s="1"/>
  <c r="R173" i="12" s="1"/>
  <c r="R174" i="12" s="1"/>
  <c r="R175" i="12" s="1"/>
  <c r="R176" i="12" s="1"/>
  <c r="R177" i="12" s="1"/>
  <c r="R178" i="12" s="1"/>
  <c r="R179" i="12" s="1"/>
  <c r="R180" i="12" s="1"/>
  <c r="R181" i="12" s="1"/>
  <c r="R182" i="12" s="1"/>
  <c r="R183" i="12" s="1"/>
  <c r="R184" i="12" s="1"/>
  <c r="R185" i="12" s="1"/>
  <c r="R186" i="12" s="1"/>
  <c r="R187" i="12" s="1"/>
  <c r="R188" i="12" s="1"/>
  <c r="R189" i="12" s="1"/>
  <c r="R190" i="12" s="1"/>
  <c r="R191" i="12" s="1"/>
  <c r="R192" i="12" s="1"/>
  <c r="R193" i="12" s="1"/>
  <c r="R194" i="12" s="1"/>
  <c r="R195" i="12" s="1"/>
  <c r="R196" i="12" s="1"/>
  <c r="R197" i="12" s="1"/>
  <c r="R198" i="12" s="1"/>
  <c r="R199" i="12" s="1"/>
  <c r="R200" i="12" s="1"/>
  <c r="R201" i="12" s="1"/>
  <c r="R202" i="12" s="1"/>
  <c r="R203" i="12" s="1"/>
  <c r="R204" i="12" s="1"/>
  <c r="R205" i="12" s="1"/>
  <c r="R206" i="12" s="1"/>
  <c r="R207" i="12" s="1"/>
  <c r="R208" i="12" s="1"/>
  <c r="R209" i="12" s="1"/>
  <c r="R210" i="12" s="1"/>
  <c r="R211" i="12" s="1"/>
  <c r="R212" i="12" s="1"/>
  <c r="R213" i="12" s="1"/>
  <c r="R214" i="12" s="1"/>
  <c r="R215" i="12" s="1"/>
  <c r="R216" i="12" s="1"/>
  <c r="R217" i="12" s="1"/>
  <c r="R218" i="12" s="1"/>
  <c r="R219" i="12" s="1"/>
  <c r="R220" i="12" s="1"/>
  <c r="R221" i="12" s="1"/>
  <c r="R222" i="12" s="1"/>
  <c r="R223" i="12" s="1"/>
  <c r="R224" i="12" s="1"/>
  <c r="R225" i="12" s="1"/>
  <c r="R226" i="12" s="1"/>
  <c r="R227" i="12" s="1"/>
  <c r="R228" i="12" s="1"/>
  <c r="R229" i="12" s="1"/>
  <c r="R230" i="12" s="1"/>
  <c r="R231" i="12" s="1"/>
  <c r="R232" i="12" s="1"/>
  <c r="R233" i="12" s="1"/>
  <c r="R234" i="12" s="1"/>
  <c r="R235" i="12" s="1"/>
  <c r="R236" i="12" s="1"/>
  <c r="R237" i="12" s="1"/>
  <c r="R238" i="12" s="1"/>
  <c r="R239" i="12" s="1"/>
  <c r="R240" i="12" s="1"/>
  <c r="R241" i="12" s="1"/>
  <c r="R242" i="12" s="1"/>
  <c r="R243" i="12" s="1"/>
  <c r="R244" i="12" s="1"/>
  <c r="R245" i="12" s="1"/>
  <c r="R246" i="12" s="1"/>
  <c r="R247" i="12" s="1"/>
  <c r="R248" i="12" s="1"/>
  <c r="R249" i="12" s="1"/>
  <c r="R250" i="12" s="1"/>
  <c r="R251" i="12" s="1"/>
  <c r="R252" i="12" s="1"/>
  <c r="R253" i="12" s="1"/>
  <c r="R254" i="12" s="1"/>
  <c r="R255" i="12" s="1"/>
  <c r="R256" i="12" s="1"/>
  <c r="R257" i="12" s="1"/>
  <c r="R258" i="12" s="1"/>
  <c r="R259" i="12" s="1"/>
  <c r="R260" i="12" s="1"/>
  <c r="R261" i="12" s="1"/>
  <c r="R262" i="12" s="1"/>
  <c r="R263" i="12" s="1"/>
  <c r="R264" i="12" s="1"/>
  <c r="R265" i="12" s="1"/>
  <c r="R266" i="12" s="1"/>
  <c r="R267" i="12" s="1"/>
  <c r="R268" i="12" s="1"/>
  <c r="R269" i="12" s="1"/>
  <c r="R270" i="12" s="1"/>
  <c r="R271" i="12" s="1"/>
  <c r="R272" i="12" s="1"/>
  <c r="R273" i="12" s="1"/>
  <c r="R274" i="12" s="1"/>
  <c r="R275" i="12" s="1"/>
  <c r="R276" i="12" s="1"/>
  <c r="R277" i="12" s="1"/>
  <c r="R278" i="12" s="1"/>
  <c r="R279" i="12" s="1"/>
  <c r="R280" i="12" s="1"/>
  <c r="R281" i="12" s="1"/>
  <c r="R282" i="12" s="1"/>
  <c r="R283" i="12" s="1"/>
  <c r="R284" i="12" s="1"/>
  <c r="R285" i="12" s="1"/>
  <c r="R286" i="12" s="1"/>
  <c r="R287" i="12" s="1"/>
  <c r="R288" i="12" s="1"/>
  <c r="R289" i="12" s="1"/>
  <c r="R290" i="12" s="1"/>
  <c r="R291" i="12" s="1"/>
  <c r="R292" i="12" s="1"/>
  <c r="R293" i="12" s="1"/>
  <c r="R294" i="12" s="1"/>
  <c r="R295" i="12" s="1"/>
  <c r="R296" i="12" s="1"/>
  <c r="R297" i="12" s="1"/>
  <c r="R298" i="12" s="1"/>
  <c r="R299" i="12" s="1"/>
  <c r="R300" i="12" s="1"/>
  <c r="R301" i="12" s="1"/>
  <c r="R302" i="12" s="1"/>
  <c r="R303" i="12" s="1"/>
  <c r="R304" i="12" s="1"/>
  <c r="R305" i="12" s="1"/>
  <c r="R306" i="12" s="1"/>
  <c r="R307" i="12" s="1"/>
  <c r="R308" i="12" s="1"/>
  <c r="R309" i="12" s="1"/>
  <c r="R310" i="12" s="1"/>
  <c r="R311" i="12" s="1"/>
  <c r="R312" i="12" s="1"/>
  <c r="R313" i="12" s="1"/>
  <c r="R314" i="12" s="1"/>
  <c r="R315" i="12" s="1"/>
  <c r="R316" i="12" s="1"/>
  <c r="R317" i="12" s="1"/>
  <c r="R318" i="12" s="1"/>
  <c r="R319" i="12" s="1"/>
  <c r="R320" i="12" s="1"/>
  <c r="R321" i="12" s="1"/>
  <c r="R322" i="12" s="1"/>
  <c r="R323" i="12" s="1"/>
  <c r="R324" i="12" s="1"/>
  <c r="R325" i="12" s="1"/>
  <c r="R326" i="12" s="1"/>
  <c r="R327" i="12" s="1"/>
  <c r="R328" i="12" s="1"/>
  <c r="R329" i="12" s="1"/>
  <c r="R330" i="12" s="1"/>
  <c r="R331" i="12" s="1"/>
  <c r="R332" i="12" s="1"/>
  <c r="R333" i="12" s="1"/>
  <c r="R334" i="12" s="1"/>
  <c r="R335" i="12" s="1"/>
  <c r="R336" i="12" s="1"/>
  <c r="R337" i="12" s="1"/>
  <c r="R338" i="12" s="1"/>
  <c r="R339" i="12" s="1"/>
  <c r="R340" i="12" s="1"/>
  <c r="R341" i="12" s="1"/>
  <c r="R342" i="12" s="1"/>
  <c r="R343" i="12" s="1"/>
  <c r="R344" i="12" s="1"/>
  <c r="R345" i="12" s="1"/>
  <c r="R346" i="12" s="1"/>
  <c r="R347" i="12" s="1"/>
  <c r="R348" i="12" s="1"/>
  <c r="R349" i="12" s="1"/>
  <c r="R350" i="12" s="1"/>
  <c r="R351" i="12" s="1"/>
  <c r="R352" i="12" s="1"/>
  <c r="R353" i="12" s="1"/>
  <c r="R354" i="12" s="1"/>
  <c r="R355" i="12" s="1"/>
  <c r="R356" i="12" s="1"/>
  <c r="R357" i="12" s="1"/>
  <c r="R358" i="12" s="1"/>
  <c r="R359" i="12" s="1"/>
  <c r="R360" i="12" s="1"/>
  <c r="R361" i="12" s="1"/>
  <c r="R362" i="12" s="1"/>
  <c r="R363" i="12" s="1"/>
  <c r="R364" i="12" s="1"/>
  <c r="R365" i="12" s="1"/>
  <c r="R366" i="12" s="1"/>
  <c r="R367" i="12" s="1"/>
  <c r="R368" i="12" s="1"/>
  <c r="R369" i="12" s="1"/>
  <c r="R370" i="12" s="1"/>
  <c r="R371" i="12" s="1"/>
  <c r="R372" i="12" s="1"/>
  <c r="R373" i="12" s="1"/>
  <c r="R374" i="12" s="1"/>
  <c r="R375" i="12" s="1"/>
  <c r="R376" i="12" s="1"/>
  <c r="R377" i="12" s="1"/>
  <c r="R378" i="12" s="1"/>
  <c r="R379" i="12" s="1"/>
  <c r="R380" i="12" s="1"/>
  <c r="R381" i="12" s="1"/>
  <c r="R382" i="12" s="1"/>
  <c r="R383" i="12" s="1"/>
  <c r="R384" i="12" s="1"/>
  <c r="R385" i="12" s="1"/>
  <c r="R386" i="12" s="1"/>
  <c r="R387" i="12" s="1"/>
  <c r="R388" i="12" s="1"/>
  <c r="R389" i="12" s="1"/>
  <c r="R390" i="12" s="1"/>
  <c r="R391" i="12" s="1"/>
  <c r="R392" i="12" s="1"/>
  <c r="R393" i="12" s="1"/>
  <c r="R394" i="12" s="1"/>
  <c r="R395" i="12" s="1"/>
  <c r="R396" i="12" s="1"/>
  <c r="R397" i="12" s="1"/>
  <c r="R398" i="12" s="1"/>
  <c r="R399" i="12" s="1"/>
  <c r="R400" i="12" s="1"/>
  <c r="R401" i="12" s="1"/>
  <c r="R402" i="12" s="1"/>
  <c r="R403" i="12" s="1"/>
  <c r="R404" i="12" s="1"/>
  <c r="R405" i="12" s="1"/>
  <c r="R406" i="12" s="1"/>
  <c r="R407" i="12" s="1"/>
  <c r="R408" i="12" s="1"/>
  <c r="I60" i="15"/>
  <c r="H59" i="15"/>
  <c r="H60" i="15"/>
  <c r="G60" i="15"/>
  <c r="F59" i="15"/>
  <c r="P59" i="15"/>
  <c r="P60" i="15"/>
  <c r="O59" i="15"/>
  <c r="O60" i="15"/>
  <c r="N60" i="15"/>
  <c r="M59" i="15"/>
  <c r="L59" i="15"/>
  <c r="L60" i="15"/>
  <c r="J59" i="15"/>
  <c r="J60" i="15"/>
  <c r="I59" i="15"/>
  <c r="G59" i="15"/>
  <c r="E59" i="15"/>
  <c r="E58" i="15"/>
  <c r="N59" i="15"/>
  <c r="F60" i="15"/>
  <c r="E60" i="15"/>
  <c r="M60" i="15"/>
  <c r="K60" i="15"/>
  <c r="K59" i="15"/>
  <c r="I65" i="15"/>
  <c r="H64" i="15"/>
  <c r="G64" i="15"/>
  <c r="G65" i="15"/>
  <c r="F64" i="15"/>
  <c r="P64" i="15"/>
  <c r="P65" i="15"/>
  <c r="E65" i="15"/>
  <c r="N65" i="15"/>
  <c r="M65" i="15"/>
  <c r="L64" i="15"/>
  <c r="K65" i="15"/>
  <c r="I64" i="15"/>
  <c r="H65" i="15"/>
  <c r="O65" i="15"/>
  <c r="N64" i="15"/>
  <c r="M64" i="15"/>
  <c r="J65" i="15"/>
  <c r="F65" i="15"/>
  <c r="E63" i="15"/>
  <c r="E64" i="15"/>
  <c r="O64" i="15"/>
  <c r="L65" i="15"/>
  <c r="K64" i="15"/>
  <c r="J64" i="15"/>
  <c r="E69" i="15"/>
  <c r="P69" i="15"/>
  <c r="E68" i="15"/>
  <c r="N69" i="15"/>
  <c r="L69" i="15"/>
  <c r="K69" i="15"/>
  <c r="H69" i="15"/>
  <c r="H70" i="15"/>
  <c r="F69" i="15"/>
  <c r="F70" i="15"/>
  <c r="E70" i="15"/>
  <c r="P70" i="15"/>
  <c r="O69" i="15"/>
  <c r="K70" i="15"/>
  <c r="J69" i="15"/>
  <c r="J70" i="15"/>
  <c r="O70" i="15"/>
  <c r="N70" i="15"/>
  <c r="M69" i="15"/>
  <c r="M70" i="15"/>
  <c r="I69" i="15"/>
  <c r="I70" i="15"/>
  <c r="G69" i="15"/>
  <c r="L70" i="15"/>
  <c r="G70" i="15"/>
  <c r="P63" i="15" l="1"/>
  <c r="P66" i="15" s="1"/>
  <c r="R65" i="15"/>
  <c r="Q65" i="15"/>
  <c r="E61" i="15"/>
  <c r="R59" i="15"/>
  <c r="Q59" i="15"/>
  <c r="P58" i="15"/>
  <c r="P61" i="15" s="1"/>
  <c r="E71" i="15"/>
  <c r="R64" i="15"/>
  <c r="Q64" i="15"/>
  <c r="P68" i="15"/>
  <c r="P71" i="15" s="1"/>
  <c r="Q69" i="15"/>
  <c r="R69" i="15"/>
  <c r="E66" i="15"/>
  <c r="F63" i="15" s="1"/>
  <c r="F66" i="15" s="1"/>
  <c r="G63" i="15" s="1"/>
  <c r="G66" i="15" s="1"/>
  <c r="H63" i="15" s="1"/>
  <c r="H66" i="15" s="1"/>
  <c r="I63" i="15" s="1"/>
  <c r="I66" i="15" s="1"/>
  <c r="J63" i="15" s="1"/>
  <c r="J66" i="15" s="1"/>
  <c r="K63" i="15" s="1"/>
  <c r="K66" i="15" s="1"/>
  <c r="L63" i="15" s="1"/>
  <c r="L66" i="15" s="1"/>
  <c r="M63" i="15" s="1"/>
  <c r="M66" i="15" s="1"/>
  <c r="N63" i="15" s="1"/>
  <c r="N66" i="15" s="1"/>
  <c r="O63" i="15" s="1"/>
  <c r="O66" i="15" s="1"/>
  <c r="O68" i="15"/>
  <c r="O71" i="15" s="1"/>
  <c r="R60" i="15"/>
  <c r="Q60" i="15"/>
  <c r="R70" i="15"/>
  <c r="Q70" i="15"/>
  <c r="B3" i="9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74" i="9"/>
  <c r="B75" i="9"/>
  <c r="B76" i="9"/>
  <c r="B77" i="9"/>
  <c r="B78" i="9"/>
  <c r="B79" i="9"/>
  <c r="B80" i="9"/>
  <c r="B81" i="9"/>
  <c r="B82" i="9"/>
  <c r="B83" i="9"/>
  <c r="B84" i="9"/>
  <c r="B85" i="9"/>
  <c r="B86" i="9"/>
  <c r="B87" i="9"/>
  <c r="B88" i="9"/>
  <c r="B89" i="9"/>
  <c r="B90" i="9"/>
  <c r="B91" i="9"/>
  <c r="B92" i="9"/>
  <c r="B93" i="9"/>
  <c r="B94" i="9"/>
  <c r="B95" i="9"/>
  <c r="B96" i="9"/>
  <c r="B97" i="9"/>
  <c r="B98" i="9"/>
  <c r="B99" i="9"/>
  <c r="B100" i="9"/>
  <c r="B101" i="9"/>
  <c r="B102" i="9"/>
  <c r="B103" i="9"/>
  <c r="B104" i="9"/>
  <c r="B105" i="9"/>
  <c r="B106" i="9"/>
  <c r="B107" i="9"/>
  <c r="B108" i="9"/>
  <c r="B109" i="9"/>
  <c r="B110" i="9"/>
  <c r="B111" i="9"/>
  <c r="B112" i="9"/>
  <c r="B113" i="9"/>
  <c r="B114" i="9"/>
  <c r="B115" i="9"/>
  <c r="B116" i="9"/>
  <c r="B117" i="9"/>
  <c r="B118" i="9"/>
  <c r="B119" i="9"/>
  <c r="B120" i="9"/>
  <c r="B121" i="9"/>
  <c r="B122" i="9"/>
  <c r="B123" i="9"/>
  <c r="B124" i="9"/>
  <c r="B125" i="9"/>
  <c r="B126" i="9"/>
  <c r="B127" i="9"/>
  <c r="B128" i="9"/>
  <c r="B129" i="9"/>
  <c r="B130" i="9"/>
  <c r="B131" i="9"/>
  <c r="B132" i="9"/>
  <c r="B133" i="9"/>
  <c r="B134" i="9"/>
  <c r="B135" i="9"/>
  <c r="B136" i="9"/>
  <c r="B137" i="9"/>
  <c r="B138" i="9"/>
  <c r="B139" i="9"/>
  <c r="B140" i="9"/>
  <c r="B141" i="9"/>
  <c r="B142" i="9"/>
  <c r="B143" i="9"/>
  <c r="B144" i="9"/>
  <c r="B145" i="9"/>
  <c r="B146" i="9"/>
  <c r="B147" i="9"/>
  <c r="B148" i="9"/>
  <c r="B149" i="9"/>
  <c r="B150" i="9"/>
  <c r="B151" i="9"/>
  <c r="B152" i="9"/>
  <c r="B153" i="9"/>
  <c r="B154" i="9"/>
  <c r="B155" i="9"/>
  <c r="B156" i="9"/>
  <c r="B157" i="9"/>
  <c r="B158" i="9"/>
  <c r="B159" i="9"/>
  <c r="B160" i="9"/>
  <c r="B161" i="9"/>
  <c r="B162" i="9"/>
  <c r="B163" i="9"/>
  <c r="B164" i="9"/>
  <c r="B165" i="9"/>
  <c r="B166" i="9"/>
  <c r="B167" i="9"/>
  <c r="B168" i="9"/>
  <c r="B169" i="9"/>
  <c r="B170" i="9"/>
  <c r="B171" i="9"/>
  <c r="B172" i="9"/>
  <c r="B173" i="9"/>
  <c r="B174" i="9"/>
  <c r="B175" i="9"/>
  <c r="B176" i="9"/>
  <c r="B177" i="9"/>
  <c r="B178" i="9"/>
  <c r="B179" i="9"/>
  <c r="B180" i="9"/>
  <c r="B181" i="9"/>
  <c r="B182" i="9"/>
  <c r="B183" i="9"/>
  <c r="B184" i="9"/>
  <c r="B185" i="9"/>
  <c r="B186" i="9"/>
  <c r="B187" i="9"/>
  <c r="B188" i="9"/>
  <c r="B189" i="9"/>
  <c r="B190" i="9"/>
  <c r="B191" i="9"/>
  <c r="B192" i="9"/>
  <c r="B193" i="9"/>
  <c r="B194" i="9"/>
  <c r="B195" i="9"/>
  <c r="B196" i="9"/>
  <c r="B197" i="9"/>
  <c r="B198" i="9"/>
  <c r="B199" i="9"/>
  <c r="B200" i="9"/>
  <c r="B201" i="9"/>
  <c r="B202" i="9"/>
  <c r="B203" i="9"/>
  <c r="B204" i="9"/>
  <c r="B205" i="9"/>
  <c r="B206" i="9"/>
  <c r="B207" i="9"/>
  <c r="B208" i="9"/>
  <c r="B209" i="9"/>
  <c r="B210" i="9"/>
  <c r="B211" i="9"/>
  <c r="B212" i="9"/>
  <c r="B213" i="9"/>
  <c r="B214" i="9"/>
  <c r="B215" i="9"/>
  <c r="B216" i="9"/>
  <c r="B217" i="9"/>
  <c r="B218" i="9"/>
  <c r="B219" i="9"/>
  <c r="B220" i="9"/>
  <c r="B221" i="9"/>
  <c r="B222" i="9"/>
  <c r="B223" i="9"/>
  <c r="B224" i="9"/>
  <c r="B225" i="9"/>
  <c r="B226" i="9"/>
  <c r="B227" i="9"/>
  <c r="B228" i="9"/>
  <c r="B229" i="9"/>
  <c r="B230" i="9"/>
  <c r="B231" i="9"/>
  <c r="B232" i="9"/>
  <c r="B233" i="9"/>
  <c r="B234" i="9"/>
  <c r="B235" i="9"/>
  <c r="B236" i="9"/>
  <c r="B237" i="9"/>
  <c r="B238" i="9"/>
  <c r="B239" i="9"/>
  <c r="B240" i="9"/>
  <c r="B241" i="9"/>
  <c r="B242" i="9"/>
  <c r="B243" i="9"/>
  <c r="B244" i="9"/>
  <c r="B245" i="9"/>
  <c r="B246" i="9"/>
  <c r="B247" i="9"/>
  <c r="B248" i="9"/>
  <c r="B249" i="9"/>
  <c r="B250" i="9"/>
  <c r="B251" i="9"/>
  <c r="B252" i="9"/>
  <c r="B253" i="9"/>
  <c r="B254" i="9"/>
  <c r="B255" i="9"/>
  <c r="B256" i="9"/>
  <c r="B257" i="9"/>
  <c r="B258" i="9"/>
  <c r="B259" i="9"/>
  <c r="B260" i="9"/>
  <c r="B261" i="9"/>
  <c r="B262" i="9"/>
  <c r="B263" i="9"/>
  <c r="B264" i="9"/>
  <c r="B265" i="9"/>
  <c r="B266" i="9"/>
  <c r="B267" i="9"/>
  <c r="B268" i="9"/>
  <c r="B269" i="9"/>
  <c r="B270" i="9"/>
  <c r="B271" i="9"/>
  <c r="B272" i="9"/>
  <c r="B273" i="9"/>
  <c r="B274" i="9"/>
  <c r="B275" i="9"/>
  <c r="B276" i="9"/>
  <c r="B277" i="9"/>
  <c r="B278" i="9"/>
  <c r="B279" i="9"/>
  <c r="B280" i="9"/>
  <c r="B281" i="9"/>
  <c r="B282" i="9"/>
  <c r="B283" i="9"/>
  <c r="B284" i="9"/>
  <c r="B285" i="9"/>
  <c r="B286" i="9"/>
  <c r="B287" i="9"/>
  <c r="B288" i="9"/>
  <c r="B289" i="9"/>
  <c r="B290" i="9"/>
  <c r="B291" i="9"/>
  <c r="B292" i="9"/>
  <c r="B293" i="9"/>
  <c r="B294" i="9"/>
  <c r="B295" i="9"/>
  <c r="B296" i="9"/>
  <c r="B297" i="9"/>
  <c r="B298" i="9"/>
  <c r="B299" i="9"/>
  <c r="B300" i="9"/>
  <c r="B301" i="9"/>
  <c r="B302" i="9"/>
  <c r="B303" i="9"/>
  <c r="B304" i="9"/>
  <c r="B305" i="9"/>
  <c r="B306" i="9"/>
  <c r="B307" i="9"/>
  <c r="B308" i="9"/>
  <c r="B309" i="9"/>
  <c r="B310" i="9"/>
  <c r="B311" i="9"/>
  <c r="B312" i="9"/>
  <c r="B313" i="9"/>
  <c r="B314" i="9"/>
  <c r="B315" i="9"/>
  <c r="B316" i="9"/>
  <c r="B317" i="9"/>
  <c r="B318" i="9"/>
  <c r="B319" i="9"/>
  <c r="B320" i="9"/>
  <c r="B321" i="9"/>
  <c r="B322" i="9"/>
  <c r="B323" i="9"/>
  <c r="B324" i="9"/>
  <c r="B325" i="9"/>
  <c r="B326" i="9"/>
  <c r="B327" i="9"/>
  <c r="B328" i="9"/>
  <c r="B329" i="9"/>
  <c r="B330" i="9"/>
  <c r="B331" i="9"/>
  <c r="B332" i="9"/>
  <c r="B333" i="9"/>
  <c r="B334" i="9"/>
  <c r="B335" i="9"/>
  <c r="B336" i="9"/>
  <c r="B337" i="9"/>
  <c r="B338" i="9"/>
  <c r="B339" i="9"/>
  <c r="B340" i="9"/>
  <c r="B341" i="9"/>
  <c r="B342" i="9"/>
  <c r="B343" i="9"/>
  <c r="B344" i="9"/>
  <c r="B345" i="9"/>
  <c r="B346" i="9"/>
  <c r="B347" i="9"/>
  <c r="B348" i="9"/>
  <c r="B349" i="9"/>
  <c r="B350" i="9"/>
  <c r="B351" i="9"/>
  <c r="B352" i="9"/>
  <c r="B353" i="9"/>
  <c r="B354" i="9"/>
  <c r="B355" i="9"/>
  <c r="B356" i="9"/>
  <c r="B357" i="9"/>
  <c r="B358" i="9"/>
  <c r="B359" i="9"/>
  <c r="B360" i="9"/>
  <c r="B361" i="9"/>
  <c r="B362" i="9"/>
  <c r="B363" i="9"/>
  <c r="B364" i="9"/>
  <c r="B365" i="9"/>
  <c r="B366" i="9"/>
  <c r="B367" i="9"/>
  <c r="B368" i="9"/>
  <c r="B369" i="9"/>
  <c r="B370" i="9"/>
  <c r="B371" i="9"/>
  <c r="B372" i="9"/>
  <c r="B373" i="9"/>
  <c r="B374" i="9"/>
  <c r="B375" i="9"/>
  <c r="B376" i="9"/>
  <c r="B377" i="9"/>
  <c r="B378" i="9"/>
  <c r="B379" i="9"/>
  <c r="B380" i="9"/>
  <c r="B381" i="9"/>
  <c r="B382" i="9"/>
  <c r="B383" i="9"/>
  <c r="B384" i="9"/>
  <c r="B385" i="9"/>
  <c r="B386" i="9"/>
  <c r="B387" i="9"/>
  <c r="B388" i="9"/>
  <c r="B389" i="9"/>
  <c r="B390" i="9"/>
  <c r="B391" i="9"/>
  <c r="B392" i="9"/>
  <c r="B393" i="9"/>
  <c r="B394" i="9"/>
  <c r="B395" i="9"/>
  <c r="B396" i="9"/>
  <c r="B397" i="9"/>
  <c r="B398" i="9"/>
  <c r="B399" i="9"/>
  <c r="B400" i="9"/>
  <c r="B401" i="9"/>
  <c r="B402" i="9"/>
  <c r="B403" i="9"/>
  <c r="B404" i="9"/>
  <c r="B405" i="9"/>
  <c r="B406" i="9"/>
  <c r="B407" i="9"/>
  <c r="B408" i="9"/>
  <c r="B409" i="9"/>
  <c r="B410" i="9"/>
  <c r="B411" i="9"/>
  <c r="B412" i="9"/>
  <c r="B413" i="9"/>
  <c r="B414" i="9"/>
  <c r="B415" i="9"/>
  <c r="B416" i="9"/>
  <c r="B417" i="9"/>
  <c r="B418" i="9"/>
  <c r="B419" i="9"/>
  <c r="B420" i="9"/>
  <c r="B421" i="9"/>
  <c r="B422" i="9"/>
  <c r="B423" i="9"/>
  <c r="B424" i="9"/>
  <c r="B425" i="9"/>
  <c r="B426" i="9"/>
  <c r="B427" i="9"/>
  <c r="B428" i="9"/>
  <c r="B429" i="9"/>
  <c r="B430" i="9"/>
  <c r="B431" i="9"/>
  <c r="B432" i="9"/>
  <c r="B433" i="9"/>
  <c r="B434" i="9"/>
  <c r="B435" i="9"/>
  <c r="B436" i="9"/>
  <c r="B437" i="9"/>
  <c r="B438" i="9"/>
  <c r="B439" i="9"/>
  <c r="B440" i="9"/>
  <c r="B441" i="9"/>
  <c r="B442" i="9"/>
  <c r="B443" i="9"/>
  <c r="B444" i="9"/>
  <c r="B445" i="9"/>
  <c r="B446" i="9"/>
  <c r="B447" i="9"/>
  <c r="B448" i="9"/>
  <c r="B449" i="9"/>
  <c r="B450" i="9"/>
  <c r="B451" i="9"/>
  <c r="B452" i="9"/>
  <c r="B453" i="9"/>
  <c r="B454" i="9"/>
  <c r="B455" i="9"/>
  <c r="B456" i="9"/>
  <c r="B457" i="9"/>
  <c r="B458" i="9"/>
  <c r="B459" i="9"/>
  <c r="B460" i="9"/>
  <c r="B461" i="9"/>
  <c r="B462" i="9"/>
  <c r="B463" i="9"/>
  <c r="B464" i="9"/>
  <c r="B465" i="9"/>
  <c r="B466" i="9"/>
  <c r="B467" i="9"/>
  <c r="B468" i="9"/>
  <c r="B469" i="9"/>
  <c r="B470" i="9"/>
  <c r="B471" i="9"/>
  <c r="B472" i="9"/>
  <c r="B473" i="9"/>
  <c r="B474" i="9"/>
  <c r="B475" i="9"/>
  <c r="B476" i="9"/>
  <c r="B477" i="9"/>
  <c r="B478" i="9"/>
  <c r="B479" i="9"/>
  <c r="B480" i="9"/>
  <c r="B481" i="9"/>
  <c r="B482" i="9"/>
  <c r="B483" i="9"/>
  <c r="B484" i="9"/>
  <c r="B485" i="9"/>
  <c r="B486" i="9"/>
  <c r="B487" i="9"/>
  <c r="B488" i="9"/>
  <c r="B489" i="9"/>
  <c r="B490" i="9"/>
  <c r="B491" i="9"/>
  <c r="B492" i="9"/>
  <c r="B493" i="9"/>
  <c r="B494" i="9"/>
  <c r="B495" i="9"/>
  <c r="B496" i="9"/>
  <c r="B497" i="9"/>
  <c r="B498" i="9"/>
  <c r="B499" i="9"/>
  <c r="B500" i="9"/>
  <c r="B501" i="9"/>
  <c r="B502" i="9"/>
  <c r="B503" i="9"/>
  <c r="B504" i="9"/>
  <c r="B505" i="9"/>
  <c r="B506" i="9"/>
  <c r="B507" i="9"/>
  <c r="B508" i="9"/>
  <c r="B509" i="9"/>
  <c r="B510" i="9"/>
  <c r="B511" i="9"/>
  <c r="B512" i="9"/>
  <c r="B513" i="9"/>
  <c r="B514" i="9"/>
  <c r="B515" i="9"/>
  <c r="B516" i="9"/>
  <c r="B517" i="9"/>
  <c r="B518" i="9"/>
  <c r="B519" i="9"/>
  <c r="B520" i="9"/>
  <c r="B521" i="9"/>
  <c r="B522" i="9"/>
  <c r="B523" i="9"/>
  <c r="B524" i="9"/>
  <c r="B525" i="9"/>
  <c r="B526" i="9"/>
  <c r="B527" i="9"/>
  <c r="B528" i="9"/>
  <c r="B529" i="9"/>
  <c r="B530" i="9"/>
  <c r="B531" i="9"/>
  <c r="B532" i="9"/>
  <c r="B533" i="9"/>
  <c r="B534" i="9"/>
  <c r="B535" i="9"/>
  <c r="B536" i="9"/>
  <c r="B537" i="9"/>
  <c r="B538" i="9"/>
  <c r="B539" i="9"/>
  <c r="B540" i="9"/>
  <c r="B541" i="9"/>
  <c r="B542" i="9"/>
  <c r="B543" i="9"/>
  <c r="B544" i="9"/>
  <c r="B545" i="9"/>
  <c r="B546" i="9"/>
  <c r="B547" i="9"/>
  <c r="B548" i="9"/>
  <c r="B549" i="9"/>
  <c r="B550" i="9"/>
  <c r="B551" i="9"/>
  <c r="B552" i="9"/>
  <c r="B553" i="9"/>
  <c r="B554" i="9"/>
  <c r="B555" i="9"/>
  <c r="B556" i="9"/>
  <c r="B557" i="9"/>
  <c r="B558" i="9"/>
  <c r="B559" i="9"/>
  <c r="B560" i="9"/>
  <c r="B561" i="9"/>
  <c r="B562" i="9"/>
  <c r="B563" i="9"/>
  <c r="B564" i="9"/>
  <c r="B565" i="9"/>
  <c r="B566" i="9"/>
  <c r="B567" i="9"/>
  <c r="B568" i="9"/>
  <c r="B569" i="9"/>
  <c r="B570" i="9"/>
  <c r="B571" i="9"/>
  <c r="B572" i="9"/>
  <c r="B573" i="9"/>
  <c r="B574" i="9"/>
  <c r="B575" i="9"/>
  <c r="B576" i="9"/>
  <c r="B577" i="9"/>
  <c r="B578" i="9"/>
  <c r="B579" i="9"/>
  <c r="B580" i="9"/>
  <c r="B581" i="9"/>
  <c r="B582" i="9"/>
  <c r="B583" i="9"/>
  <c r="B584" i="9"/>
  <c r="B585" i="9"/>
  <c r="B586" i="9"/>
  <c r="B587" i="9"/>
  <c r="B588" i="9"/>
  <c r="B589" i="9"/>
  <c r="N3" i="9"/>
  <c r="N4" i="9"/>
  <c r="N5" i="9"/>
  <c r="N6" i="9"/>
  <c r="N7" i="9"/>
  <c r="N8" i="9"/>
  <c r="N9" i="9"/>
  <c r="N10" i="9"/>
  <c r="N11" i="9"/>
  <c r="N12" i="9"/>
  <c r="N13" i="9"/>
  <c r="N14" i="9"/>
  <c r="N15" i="9"/>
  <c r="N16" i="9"/>
  <c r="N17" i="9"/>
  <c r="N18" i="9"/>
  <c r="N19" i="9"/>
  <c r="N20" i="9"/>
  <c r="N21" i="9"/>
  <c r="N22" i="9"/>
  <c r="N23" i="9"/>
  <c r="N24" i="9"/>
  <c r="N25" i="9"/>
  <c r="N26" i="9"/>
  <c r="N27" i="9"/>
  <c r="N28" i="9"/>
  <c r="N29" i="9"/>
  <c r="N30" i="9"/>
  <c r="N31" i="9"/>
  <c r="N32" i="9"/>
  <c r="N33" i="9"/>
  <c r="N34" i="9"/>
  <c r="N35" i="9"/>
  <c r="N36" i="9"/>
  <c r="N37" i="9"/>
  <c r="N38" i="9"/>
  <c r="N39" i="9"/>
  <c r="N40" i="9"/>
  <c r="N41" i="9"/>
  <c r="N42" i="9"/>
  <c r="N43" i="9"/>
  <c r="N44" i="9"/>
  <c r="N45" i="9"/>
  <c r="N46" i="9"/>
  <c r="N47" i="9"/>
  <c r="N48" i="9"/>
  <c r="N49" i="9"/>
  <c r="N50" i="9"/>
  <c r="N51" i="9"/>
  <c r="N52" i="9"/>
  <c r="N53" i="9"/>
  <c r="N54" i="9"/>
  <c r="N55" i="9"/>
  <c r="N56" i="9"/>
  <c r="N57" i="9"/>
  <c r="N58" i="9"/>
  <c r="N59" i="9"/>
  <c r="N60" i="9"/>
  <c r="N61" i="9"/>
  <c r="N62" i="9"/>
  <c r="N63" i="9"/>
  <c r="N64" i="9"/>
  <c r="N65" i="9"/>
  <c r="N66" i="9"/>
  <c r="N67" i="9"/>
  <c r="N68" i="9"/>
  <c r="N69" i="9"/>
  <c r="N70" i="9"/>
  <c r="N71" i="9"/>
  <c r="N72" i="9"/>
  <c r="N73" i="9"/>
  <c r="N74" i="9"/>
  <c r="N75" i="9"/>
  <c r="N76" i="9"/>
  <c r="N77" i="9"/>
  <c r="N78" i="9"/>
  <c r="N79" i="9"/>
  <c r="N80" i="9"/>
  <c r="N81" i="9"/>
  <c r="N82" i="9"/>
  <c r="N83" i="9"/>
  <c r="N84" i="9"/>
  <c r="N85" i="9"/>
  <c r="N86" i="9"/>
  <c r="N87" i="9"/>
  <c r="N88" i="9"/>
  <c r="N89" i="9"/>
  <c r="N90" i="9"/>
  <c r="N91" i="9"/>
  <c r="N92" i="9"/>
  <c r="N93" i="9"/>
  <c r="N94" i="9"/>
  <c r="N95" i="9"/>
  <c r="N96" i="9"/>
  <c r="N97" i="9"/>
  <c r="N98" i="9"/>
  <c r="N99" i="9"/>
  <c r="N100" i="9"/>
  <c r="N101" i="9"/>
  <c r="N102" i="9"/>
  <c r="N103" i="9"/>
  <c r="N104" i="9"/>
  <c r="N105" i="9"/>
  <c r="N106" i="9"/>
  <c r="N107" i="9"/>
  <c r="N108" i="9"/>
  <c r="N109" i="9"/>
  <c r="N110" i="9"/>
  <c r="N111" i="9"/>
  <c r="N112" i="9"/>
  <c r="N113" i="9"/>
  <c r="N114" i="9"/>
  <c r="N115" i="9"/>
  <c r="N116" i="9"/>
  <c r="N117" i="9"/>
  <c r="N118" i="9"/>
  <c r="N119" i="9"/>
  <c r="N120" i="9"/>
  <c r="N121" i="9"/>
  <c r="N122" i="9"/>
  <c r="N123" i="9"/>
  <c r="N124" i="9"/>
  <c r="N125" i="9"/>
  <c r="N126" i="9"/>
  <c r="N127" i="9"/>
  <c r="N128" i="9"/>
  <c r="N129" i="9"/>
  <c r="N130" i="9"/>
  <c r="N131" i="9"/>
  <c r="N132" i="9"/>
  <c r="N133" i="9"/>
  <c r="N134" i="9"/>
  <c r="N135" i="9"/>
  <c r="N136" i="9"/>
  <c r="N137" i="9"/>
  <c r="N138" i="9"/>
  <c r="N139" i="9"/>
  <c r="N140" i="9"/>
  <c r="N141" i="9"/>
  <c r="N142" i="9"/>
  <c r="N143" i="9"/>
  <c r="N144" i="9"/>
  <c r="N145" i="9"/>
  <c r="N146" i="9"/>
  <c r="N147" i="9"/>
  <c r="N148" i="9"/>
  <c r="N149" i="9"/>
  <c r="N150" i="9"/>
  <c r="N151" i="9"/>
  <c r="N152" i="9"/>
  <c r="N153" i="9"/>
  <c r="N154" i="9"/>
  <c r="N155" i="9"/>
  <c r="N156" i="9"/>
  <c r="N157" i="9"/>
  <c r="N158" i="9"/>
  <c r="N159" i="9"/>
  <c r="N160" i="9"/>
  <c r="N161" i="9"/>
  <c r="N162" i="9"/>
  <c r="N163" i="9"/>
  <c r="N164" i="9"/>
  <c r="N165" i="9"/>
  <c r="N166" i="9"/>
  <c r="N167" i="9"/>
  <c r="N168" i="9"/>
  <c r="N169" i="9"/>
  <c r="N170" i="9"/>
  <c r="N171" i="9"/>
  <c r="N172" i="9"/>
  <c r="N173" i="9"/>
  <c r="N174" i="9"/>
  <c r="N175" i="9"/>
  <c r="N176" i="9"/>
  <c r="N177" i="9"/>
  <c r="N178" i="9"/>
  <c r="N179" i="9"/>
  <c r="N180" i="9"/>
  <c r="N181" i="9"/>
  <c r="N182" i="9"/>
  <c r="N183" i="9"/>
  <c r="N184" i="9"/>
  <c r="N185" i="9"/>
  <c r="N186" i="9"/>
  <c r="N187" i="9"/>
  <c r="N188" i="9"/>
  <c r="N189" i="9"/>
  <c r="N190" i="9"/>
  <c r="N191" i="9"/>
  <c r="N192" i="9"/>
  <c r="N193" i="9"/>
  <c r="N194" i="9"/>
  <c r="N195" i="9"/>
  <c r="N196" i="9"/>
  <c r="N197" i="9"/>
  <c r="N198" i="9"/>
  <c r="N199" i="9"/>
  <c r="N200" i="9"/>
  <c r="N201" i="9"/>
  <c r="N202" i="9"/>
  <c r="N203" i="9"/>
  <c r="N204" i="9"/>
  <c r="N205" i="9"/>
  <c r="N206" i="9"/>
  <c r="N207" i="9"/>
  <c r="N208" i="9"/>
  <c r="N209" i="9"/>
  <c r="N210" i="9"/>
  <c r="N211" i="9"/>
  <c r="N212" i="9"/>
  <c r="N213" i="9"/>
  <c r="N214" i="9"/>
  <c r="N215" i="9"/>
  <c r="N216" i="9"/>
  <c r="N217" i="9"/>
  <c r="N218" i="9"/>
  <c r="N219" i="9"/>
  <c r="N220" i="9"/>
  <c r="N221" i="9"/>
  <c r="N222" i="9"/>
  <c r="N223" i="9"/>
  <c r="N224" i="9"/>
  <c r="N225" i="9"/>
  <c r="N226" i="9"/>
  <c r="N227" i="9"/>
  <c r="N228" i="9"/>
  <c r="N229" i="9"/>
  <c r="N230" i="9"/>
  <c r="N231" i="9"/>
  <c r="N232" i="9"/>
  <c r="N233" i="9"/>
  <c r="N234" i="9"/>
  <c r="N235" i="9"/>
  <c r="N236" i="9"/>
  <c r="N237" i="9"/>
  <c r="N238" i="9"/>
  <c r="N239" i="9"/>
  <c r="N240" i="9"/>
  <c r="N241" i="9"/>
  <c r="N242" i="9"/>
  <c r="N243" i="9"/>
  <c r="N244" i="9"/>
  <c r="N245" i="9"/>
  <c r="N246" i="9"/>
  <c r="N247" i="9"/>
  <c r="N248" i="9"/>
  <c r="N249" i="9"/>
  <c r="N250" i="9"/>
  <c r="N251" i="9"/>
  <c r="N252" i="9"/>
  <c r="N253" i="9"/>
  <c r="N254" i="9"/>
  <c r="N255" i="9"/>
  <c r="N256" i="9"/>
  <c r="N257" i="9"/>
  <c r="N258" i="9"/>
  <c r="N259" i="9"/>
  <c r="N260" i="9"/>
  <c r="N261" i="9"/>
  <c r="N262" i="9"/>
  <c r="N263" i="9"/>
  <c r="N264" i="9"/>
  <c r="N265" i="9"/>
  <c r="N266" i="9"/>
  <c r="N267" i="9"/>
  <c r="N268" i="9"/>
  <c r="N269" i="9"/>
  <c r="N270" i="9"/>
  <c r="N271" i="9"/>
  <c r="N272" i="9"/>
  <c r="N273" i="9"/>
  <c r="N274" i="9"/>
  <c r="N275" i="9"/>
  <c r="N276" i="9"/>
  <c r="N277" i="9"/>
  <c r="N278" i="9"/>
  <c r="N279" i="9"/>
  <c r="N280" i="9"/>
  <c r="N281" i="9"/>
  <c r="N282" i="9"/>
  <c r="N283" i="9"/>
  <c r="N284" i="9"/>
  <c r="N285" i="9"/>
  <c r="N286" i="9"/>
  <c r="N287" i="9"/>
  <c r="N288" i="9"/>
  <c r="N289" i="9"/>
  <c r="N290" i="9"/>
  <c r="N291" i="9"/>
  <c r="N292" i="9"/>
  <c r="N293" i="9"/>
  <c r="N294" i="9"/>
  <c r="N295" i="9"/>
  <c r="N296" i="9"/>
  <c r="N297" i="9"/>
  <c r="N298" i="9"/>
  <c r="N299" i="9"/>
  <c r="N300" i="9"/>
  <c r="N301" i="9"/>
  <c r="N302" i="9"/>
  <c r="N303" i="9"/>
  <c r="N304" i="9"/>
  <c r="N305" i="9"/>
  <c r="N306" i="9"/>
  <c r="N307" i="9"/>
  <c r="N308" i="9"/>
  <c r="N309" i="9"/>
  <c r="N310" i="9"/>
  <c r="N311" i="9"/>
  <c r="N312" i="9"/>
  <c r="N313" i="9"/>
  <c r="N314" i="9"/>
  <c r="N315" i="9"/>
  <c r="N316" i="9"/>
  <c r="N317" i="9"/>
  <c r="N318" i="9"/>
  <c r="N319" i="9"/>
  <c r="N320" i="9"/>
  <c r="N321" i="9"/>
  <c r="N322" i="9"/>
  <c r="N323" i="9"/>
  <c r="N324" i="9"/>
  <c r="N325" i="9"/>
  <c r="N326" i="9"/>
  <c r="N327" i="9"/>
  <c r="N328" i="9"/>
  <c r="N329" i="9"/>
  <c r="N330" i="9"/>
  <c r="N331" i="9"/>
  <c r="N332" i="9"/>
  <c r="N333" i="9"/>
  <c r="N334" i="9"/>
  <c r="N335" i="9"/>
  <c r="N336" i="9"/>
  <c r="N337" i="9"/>
  <c r="N338" i="9"/>
  <c r="N339" i="9"/>
  <c r="N340" i="9"/>
  <c r="N341" i="9"/>
  <c r="N342" i="9"/>
  <c r="N343" i="9"/>
  <c r="N344" i="9"/>
  <c r="N345" i="9"/>
  <c r="N346" i="9"/>
  <c r="N347" i="9"/>
  <c r="N348" i="9"/>
  <c r="N349" i="9"/>
  <c r="N350" i="9"/>
  <c r="N351" i="9"/>
  <c r="N352" i="9"/>
  <c r="N353" i="9"/>
  <c r="N354" i="9"/>
  <c r="N355" i="9"/>
  <c r="N356" i="9"/>
  <c r="N357" i="9"/>
  <c r="N358" i="9"/>
  <c r="N359" i="9"/>
  <c r="N360" i="9"/>
  <c r="N361" i="9"/>
  <c r="N362" i="9"/>
  <c r="N363" i="9"/>
  <c r="N364" i="9"/>
  <c r="N365" i="9"/>
  <c r="N366" i="9"/>
  <c r="N367" i="9"/>
  <c r="N368" i="9"/>
  <c r="N369" i="9"/>
  <c r="N370" i="9"/>
  <c r="N371" i="9"/>
  <c r="N372" i="9"/>
  <c r="N373" i="9"/>
  <c r="N374" i="9"/>
  <c r="N375" i="9"/>
  <c r="N376" i="9"/>
  <c r="N377" i="9"/>
  <c r="N378" i="9"/>
  <c r="N379" i="9"/>
  <c r="N380" i="9"/>
  <c r="N381" i="9"/>
  <c r="N382" i="9"/>
  <c r="N383" i="9"/>
  <c r="N384" i="9"/>
  <c r="N385" i="9"/>
  <c r="N386" i="9"/>
  <c r="N387" i="9"/>
  <c r="N388" i="9"/>
  <c r="N389" i="9"/>
  <c r="N390" i="9"/>
  <c r="N391" i="9"/>
  <c r="N392" i="9"/>
  <c r="N393" i="9"/>
  <c r="N394" i="9"/>
  <c r="N395" i="9"/>
  <c r="N396" i="9"/>
  <c r="N397" i="9"/>
  <c r="N398" i="9"/>
  <c r="N399" i="9"/>
  <c r="N400" i="9"/>
  <c r="N401" i="9"/>
  <c r="N402" i="9"/>
  <c r="N403" i="9"/>
  <c r="N404" i="9"/>
  <c r="N405" i="9"/>
  <c r="N406" i="9"/>
  <c r="N407" i="9"/>
  <c r="N408" i="9"/>
  <c r="N409" i="9"/>
  <c r="N410" i="9"/>
  <c r="N411" i="9"/>
  <c r="N412" i="9"/>
  <c r="N413" i="9"/>
  <c r="N414" i="9"/>
  <c r="N415" i="9"/>
  <c r="N416" i="9"/>
  <c r="N417" i="9"/>
  <c r="N418" i="9"/>
  <c r="N419" i="9"/>
  <c r="N420" i="9"/>
  <c r="N421" i="9"/>
  <c r="N422" i="9"/>
  <c r="N423" i="9"/>
  <c r="N424" i="9"/>
  <c r="N425" i="9"/>
  <c r="N426" i="9"/>
  <c r="N427" i="9"/>
  <c r="N428" i="9"/>
  <c r="N429" i="9"/>
  <c r="N430" i="9"/>
  <c r="N431" i="9"/>
  <c r="N432" i="9"/>
  <c r="N433" i="9"/>
  <c r="N434" i="9"/>
  <c r="N435" i="9"/>
  <c r="N436" i="9"/>
  <c r="N437" i="9"/>
  <c r="N438" i="9"/>
  <c r="N439" i="9"/>
  <c r="N440" i="9"/>
  <c r="N441" i="9"/>
  <c r="N442" i="9"/>
  <c r="N443" i="9"/>
  <c r="N444" i="9"/>
  <c r="N445" i="9"/>
  <c r="N446" i="9"/>
  <c r="N447" i="9"/>
  <c r="N448" i="9"/>
  <c r="N449" i="9"/>
  <c r="N450" i="9"/>
  <c r="N451" i="9"/>
  <c r="N452" i="9"/>
  <c r="N453" i="9"/>
  <c r="N454" i="9"/>
  <c r="N455" i="9"/>
  <c r="N456" i="9"/>
  <c r="N457" i="9"/>
  <c r="N458" i="9"/>
  <c r="N459" i="9"/>
  <c r="N460" i="9"/>
  <c r="N461" i="9"/>
  <c r="N462" i="9"/>
  <c r="N463" i="9"/>
  <c r="N464" i="9"/>
  <c r="N465" i="9"/>
  <c r="N466" i="9"/>
  <c r="N467" i="9"/>
  <c r="N468" i="9"/>
  <c r="N469" i="9"/>
  <c r="N470" i="9"/>
  <c r="N471" i="9"/>
  <c r="N472" i="9"/>
  <c r="N473" i="9"/>
  <c r="N474" i="9"/>
  <c r="N475" i="9"/>
  <c r="N476" i="9"/>
  <c r="N477" i="9"/>
  <c r="N478" i="9"/>
  <c r="N479" i="9"/>
  <c r="N480" i="9"/>
  <c r="N481" i="9"/>
  <c r="N482" i="9"/>
  <c r="N483" i="9"/>
  <c r="N484" i="9"/>
  <c r="N485" i="9"/>
  <c r="N486" i="9"/>
  <c r="N487" i="9"/>
  <c r="N488" i="9"/>
  <c r="N489" i="9"/>
  <c r="N490" i="9"/>
  <c r="N491" i="9"/>
  <c r="N492" i="9"/>
  <c r="N493" i="9"/>
  <c r="N494" i="9"/>
  <c r="N495" i="9"/>
  <c r="N496" i="9"/>
  <c r="N497" i="9"/>
  <c r="N498" i="9"/>
  <c r="N499" i="9"/>
  <c r="N500" i="9"/>
  <c r="N501" i="9"/>
  <c r="N502" i="9"/>
  <c r="N503" i="9"/>
  <c r="N504" i="9"/>
  <c r="N505" i="9"/>
  <c r="N506" i="9"/>
  <c r="N507" i="9"/>
  <c r="N508" i="9"/>
  <c r="N509" i="9"/>
  <c r="N510" i="9"/>
  <c r="N511" i="9"/>
  <c r="N512" i="9"/>
  <c r="N513" i="9"/>
  <c r="N514" i="9"/>
  <c r="N515" i="9"/>
  <c r="N516" i="9"/>
  <c r="N517" i="9"/>
  <c r="N518" i="9"/>
  <c r="N519" i="9"/>
  <c r="N520" i="9"/>
  <c r="N521" i="9"/>
  <c r="N522" i="9"/>
  <c r="N523" i="9"/>
  <c r="N524" i="9"/>
  <c r="N525" i="9"/>
  <c r="N526" i="9"/>
  <c r="N527" i="9"/>
  <c r="N528" i="9"/>
  <c r="N529" i="9"/>
  <c r="N530" i="9"/>
  <c r="N531" i="9"/>
  <c r="N532" i="9"/>
  <c r="N533" i="9"/>
  <c r="N534" i="9"/>
  <c r="N535" i="9"/>
  <c r="N536" i="9"/>
  <c r="N537" i="9"/>
  <c r="N538" i="9"/>
  <c r="N539" i="9"/>
  <c r="N540" i="9"/>
  <c r="N541" i="9"/>
  <c r="N542" i="9"/>
  <c r="N543" i="9"/>
  <c r="N544" i="9"/>
  <c r="N545" i="9"/>
  <c r="N546" i="9"/>
  <c r="N547" i="9"/>
  <c r="N548" i="9"/>
  <c r="N549" i="9"/>
  <c r="N550" i="9"/>
  <c r="N551" i="9"/>
  <c r="N552" i="9"/>
  <c r="N553" i="9"/>
  <c r="N554" i="9"/>
  <c r="N555" i="9"/>
  <c r="N556" i="9"/>
  <c r="N557" i="9"/>
  <c r="N558" i="9"/>
  <c r="N559" i="9"/>
  <c r="N560" i="9"/>
  <c r="N561" i="9"/>
  <c r="N562" i="9"/>
  <c r="N563" i="9"/>
  <c r="N564" i="9"/>
  <c r="N565" i="9"/>
  <c r="N566" i="9"/>
  <c r="N567" i="9"/>
  <c r="N568" i="9"/>
  <c r="N569" i="9"/>
  <c r="N570" i="9"/>
  <c r="N571" i="9"/>
  <c r="N572" i="9"/>
  <c r="N573" i="9"/>
  <c r="N574" i="9"/>
  <c r="N575" i="9"/>
  <c r="N576" i="9"/>
  <c r="N577" i="9"/>
  <c r="N578" i="9"/>
  <c r="N579" i="9"/>
  <c r="N580" i="9"/>
  <c r="N581" i="9"/>
  <c r="N582" i="9"/>
  <c r="N583" i="9"/>
  <c r="N584" i="9"/>
  <c r="N585" i="9"/>
  <c r="N586" i="9"/>
  <c r="N587" i="9"/>
  <c r="N588" i="9"/>
  <c r="N589" i="9"/>
  <c r="Q3" i="9"/>
  <c r="Q4" i="9"/>
  <c r="Q5" i="9"/>
  <c r="Q6" i="9"/>
  <c r="Q7" i="9"/>
  <c r="Q8" i="9"/>
  <c r="Q9" i="9"/>
  <c r="Q10" i="9"/>
  <c r="Q11" i="9"/>
  <c r="Q12" i="9"/>
  <c r="Q13" i="9"/>
  <c r="Q14" i="9"/>
  <c r="Q15" i="9"/>
  <c r="Q16" i="9"/>
  <c r="Q17" i="9"/>
  <c r="Q18" i="9"/>
  <c r="Q19" i="9"/>
  <c r="Q20" i="9"/>
  <c r="Q21" i="9"/>
  <c r="Q22" i="9"/>
  <c r="Q23" i="9"/>
  <c r="Q24" i="9"/>
  <c r="Q25" i="9"/>
  <c r="Q26" i="9"/>
  <c r="Q27" i="9"/>
  <c r="Q28" i="9"/>
  <c r="Q29" i="9"/>
  <c r="Q30" i="9"/>
  <c r="Q31" i="9"/>
  <c r="Q32" i="9"/>
  <c r="Q33" i="9"/>
  <c r="Q34" i="9"/>
  <c r="Q35" i="9"/>
  <c r="Q36" i="9"/>
  <c r="Q37" i="9"/>
  <c r="Q38" i="9"/>
  <c r="Q39" i="9"/>
  <c r="Q40" i="9"/>
  <c r="Q41" i="9"/>
  <c r="Q42" i="9"/>
  <c r="Q43" i="9"/>
  <c r="Q44" i="9"/>
  <c r="Q45" i="9"/>
  <c r="Q46" i="9"/>
  <c r="Q47" i="9"/>
  <c r="Q48" i="9"/>
  <c r="Q49" i="9"/>
  <c r="Q50" i="9"/>
  <c r="Q51" i="9"/>
  <c r="Q52" i="9"/>
  <c r="Q53" i="9"/>
  <c r="Q54" i="9"/>
  <c r="Q55" i="9"/>
  <c r="Q56" i="9"/>
  <c r="Q57" i="9"/>
  <c r="Q58" i="9"/>
  <c r="Q59" i="9"/>
  <c r="Q60" i="9"/>
  <c r="Q61" i="9"/>
  <c r="Q62" i="9"/>
  <c r="Q63" i="9"/>
  <c r="Q64" i="9"/>
  <c r="Q65" i="9"/>
  <c r="Q66" i="9"/>
  <c r="Q67" i="9"/>
  <c r="Q68" i="9"/>
  <c r="Q69" i="9"/>
  <c r="Q70" i="9"/>
  <c r="Q71" i="9"/>
  <c r="Q72" i="9"/>
  <c r="Q73" i="9"/>
  <c r="Q74" i="9"/>
  <c r="Q75" i="9"/>
  <c r="Q76" i="9"/>
  <c r="Q77" i="9"/>
  <c r="Q78" i="9"/>
  <c r="Q79" i="9"/>
  <c r="Q80" i="9"/>
  <c r="Q81" i="9"/>
  <c r="Q82" i="9"/>
  <c r="Q83" i="9"/>
  <c r="Q84" i="9"/>
  <c r="Q85" i="9"/>
  <c r="Q86" i="9"/>
  <c r="Q87" i="9"/>
  <c r="Q88" i="9"/>
  <c r="Q89" i="9"/>
  <c r="Q90" i="9"/>
  <c r="Q91" i="9"/>
  <c r="Q92" i="9"/>
  <c r="Q93" i="9"/>
  <c r="Q94" i="9"/>
  <c r="Q95" i="9"/>
  <c r="Q96" i="9"/>
  <c r="Q97" i="9"/>
  <c r="Q98" i="9"/>
  <c r="Q99" i="9"/>
  <c r="Q100" i="9"/>
  <c r="Q101" i="9"/>
  <c r="Q102" i="9"/>
  <c r="Q103" i="9"/>
  <c r="Q104" i="9"/>
  <c r="Q105" i="9"/>
  <c r="Q106" i="9"/>
  <c r="Q107" i="9"/>
  <c r="Q108" i="9"/>
  <c r="Q109" i="9"/>
  <c r="Q110" i="9"/>
  <c r="Q111" i="9"/>
  <c r="Q112" i="9"/>
  <c r="Q113" i="9"/>
  <c r="Q114" i="9"/>
  <c r="Q115" i="9"/>
  <c r="Q116" i="9"/>
  <c r="Q117" i="9"/>
  <c r="Q118" i="9"/>
  <c r="Q119" i="9"/>
  <c r="Q120" i="9"/>
  <c r="Q121" i="9"/>
  <c r="Q122" i="9"/>
  <c r="Q123" i="9"/>
  <c r="Q124" i="9"/>
  <c r="Q125" i="9"/>
  <c r="Q126" i="9"/>
  <c r="Q127" i="9"/>
  <c r="Q128" i="9"/>
  <c r="Q129" i="9"/>
  <c r="Q130" i="9"/>
  <c r="Q131" i="9"/>
  <c r="Q132" i="9"/>
  <c r="Q133" i="9"/>
  <c r="Q134" i="9"/>
  <c r="Q135" i="9"/>
  <c r="Q136" i="9"/>
  <c r="Q137" i="9"/>
  <c r="Q138" i="9"/>
  <c r="Q139" i="9"/>
  <c r="Q140" i="9"/>
  <c r="Q141" i="9"/>
  <c r="Q142" i="9"/>
  <c r="Q143" i="9"/>
  <c r="Q144" i="9"/>
  <c r="Q145" i="9"/>
  <c r="Q146" i="9"/>
  <c r="Q147" i="9"/>
  <c r="Q148" i="9"/>
  <c r="Q149" i="9"/>
  <c r="Q150" i="9"/>
  <c r="Q151" i="9"/>
  <c r="Q152" i="9"/>
  <c r="Q153" i="9"/>
  <c r="Q154" i="9"/>
  <c r="Q155" i="9"/>
  <c r="Q156" i="9"/>
  <c r="Q157" i="9"/>
  <c r="Q158" i="9"/>
  <c r="Q159" i="9"/>
  <c r="Q160" i="9"/>
  <c r="Q161" i="9"/>
  <c r="Q162" i="9"/>
  <c r="Q163" i="9"/>
  <c r="Q164" i="9"/>
  <c r="Q165" i="9"/>
  <c r="Q166" i="9"/>
  <c r="Q167" i="9"/>
  <c r="Q168" i="9"/>
  <c r="Q169" i="9"/>
  <c r="Q170" i="9"/>
  <c r="Q171" i="9"/>
  <c r="Q172" i="9"/>
  <c r="Q173" i="9"/>
  <c r="Q174" i="9"/>
  <c r="Q175" i="9"/>
  <c r="Q176" i="9"/>
  <c r="Q177" i="9"/>
  <c r="Q178" i="9"/>
  <c r="Q179" i="9"/>
  <c r="Q180" i="9"/>
  <c r="Q181" i="9"/>
  <c r="Q182" i="9"/>
  <c r="Q183" i="9"/>
  <c r="Q184" i="9"/>
  <c r="Q185" i="9"/>
  <c r="Q186" i="9"/>
  <c r="Q187" i="9"/>
  <c r="Q188" i="9"/>
  <c r="Q189" i="9"/>
  <c r="Q190" i="9"/>
  <c r="Q191" i="9"/>
  <c r="Q192" i="9"/>
  <c r="Q193" i="9"/>
  <c r="Q194" i="9"/>
  <c r="Q195" i="9"/>
  <c r="Q196" i="9"/>
  <c r="Q197" i="9"/>
  <c r="Q198" i="9"/>
  <c r="Q199" i="9"/>
  <c r="Q200" i="9"/>
  <c r="Q201" i="9"/>
  <c r="Q202" i="9"/>
  <c r="Q203" i="9"/>
  <c r="Q204" i="9"/>
  <c r="Q205" i="9"/>
  <c r="Q206" i="9"/>
  <c r="Q207" i="9"/>
  <c r="Q208" i="9"/>
  <c r="Q209" i="9"/>
  <c r="Q210" i="9"/>
  <c r="Q211" i="9"/>
  <c r="Q212" i="9"/>
  <c r="Q213" i="9"/>
  <c r="Q214" i="9"/>
  <c r="Q215" i="9"/>
  <c r="Q216" i="9"/>
  <c r="Q217" i="9"/>
  <c r="Q218" i="9"/>
  <c r="Q219" i="9"/>
  <c r="Q220" i="9"/>
  <c r="Q221" i="9"/>
  <c r="Q222" i="9"/>
  <c r="Q223" i="9"/>
  <c r="Q224" i="9"/>
  <c r="Q225" i="9"/>
  <c r="Q226" i="9"/>
  <c r="Q227" i="9"/>
  <c r="Q228" i="9"/>
  <c r="Q229" i="9"/>
  <c r="Q230" i="9"/>
  <c r="Q231" i="9"/>
  <c r="Q232" i="9"/>
  <c r="Q233" i="9"/>
  <c r="Q234" i="9"/>
  <c r="Q235" i="9"/>
  <c r="Q236" i="9"/>
  <c r="Q237" i="9"/>
  <c r="Q238" i="9"/>
  <c r="Q239" i="9"/>
  <c r="Q240" i="9"/>
  <c r="Q241" i="9"/>
  <c r="Q242" i="9"/>
  <c r="Q243" i="9"/>
  <c r="Q244" i="9"/>
  <c r="Q245" i="9"/>
  <c r="Q246" i="9"/>
  <c r="Q247" i="9"/>
  <c r="Q248" i="9"/>
  <c r="Q249" i="9"/>
  <c r="Q250" i="9"/>
  <c r="Q251" i="9"/>
  <c r="Q252" i="9"/>
  <c r="Q253" i="9"/>
  <c r="Q254" i="9"/>
  <c r="Q255" i="9"/>
  <c r="Q256" i="9"/>
  <c r="Q257" i="9"/>
  <c r="Q258" i="9"/>
  <c r="Q259" i="9"/>
  <c r="Q260" i="9"/>
  <c r="Q261" i="9"/>
  <c r="Q262" i="9"/>
  <c r="Q263" i="9"/>
  <c r="Q264" i="9"/>
  <c r="Q265" i="9"/>
  <c r="Q266" i="9"/>
  <c r="Q267" i="9"/>
  <c r="Q268" i="9"/>
  <c r="Q269" i="9"/>
  <c r="Q270" i="9"/>
  <c r="Q271" i="9"/>
  <c r="Q272" i="9"/>
  <c r="Q273" i="9"/>
  <c r="Q274" i="9"/>
  <c r="Q275" i="9"/>
  <c r="Q276" i="9"/>
  <c r="Q277" i="9"/>
  <c r="Q278" i="9"/>
  <c r="Q279" i="9"/>
  <c r="Q280" i="9"/>
  <c r="Q281" i="9"/>
  <c r="Q282" i="9"/>
  <c r="Q283" i="9"/>
  <c r="Q284" i="9"/>
  <c r="Q285" i="9"/>
  <c r="Q286" i="9"/>
  <c r="Q287" i="9"/>
  <c r="Q288" i="9"/>
  <c r="Q289" i="9"/>
  <c r="Q290" i="9"/>
  <c r="Q291" i="9"/>
  <c r="Q292" i="9"/>
  <c r="Q293" i="9"/>
  <c r="Q294" i="9"/>
  <c r="Q295" i="9"/>
  <c r="Q296" i="9"/>
  <c r="Q297" i="9"/>
  <c r="Q298" i="9"/>
  <c r="Q299" i="9"/>
  <c r="Q300" i="9"/>
  <c r="Q301" i="9"/>
  <c r="Q302" i="9"/>
  <c r="Q303" i="9"/>
  <c r="Q304" i="9"/>
  <c r="Q305" i="9"/>
  <c r="Q306" i="9"/>
  <c r="Q307" i="9"/>
  <c r="Q308" i="9"/>
  <c r="Q309" i="9"/>
  <c r="Q310" i="9"/>
  <c r="Q311" i="9"/>
  <c r="Q312" i="9"/>
  <c r="Q313" i="9"/>
  <c r="Q314" i="9"/>
  <c r="Q315" i="9"/>
  <c r="Q316" i="9"/>
  <c r="Q317" i="9"/>
  <c r="Q318" i="9"/>
  <c r="Q319" i="9"/>
  <c r="Q320" i="9"/>
  <c r="Q321" i="9"/>
  <c r="Q322" i="9"/>
  <c r="Q323" i="9"/>
  <c r="Q324" i="9"/>
  <c r="Q325" i="9"/>
  <c r="Q326" i="9"/>
  <c r="Q327" i="9"/>
  <c r="Q328" i="9"/>
  <c r="Q329" i="9"/>
  <c r="Q330" i="9"/>
  <c r="Q331" i="9"/>
  <c r="Q332" i="9"/>
  <c r="Q333" i="9"/>
  <c r="Q334" i="9"/>
  <c r="Q335" i="9"/>
  <c r="Q336" i="9"/>
  <c r="Q337" i="9"/>
  <c r="Q338" i="9"/>
  <c r="Q339" i="9"/>
  <c r="Q340" i="9"/>
  <c r="Q341" i="9"/>
  <c r="Q342" i="9"/>
  <c r="Q343" i="9"/>
  <c r="Q344" i="9"/>
  <c r="Q345" i="9"/>
  <c r="Q346" i="9"/>
  <c r="Q347" i="9"/>
  <c r="Q348" i="9"/>
  <c r="Q349" i="9"/>
  <c r="Q350" i="9"/>
  <c r="Q351" i="9"/>
  <c r="Q352" i="9"/>
  <c r="Q353" i="9"/>
  <c r="Q354" i="9"/>
  <c r="Q355" i="9"/>
  <c r="Q356" i="9"/>
  <c r="Q357" i="9"/>
  <c r="Q358" i="9"/>
  <c r="Q359" i="9"/>
  <c r="Q360" i="9"/>
  <c r="Q361" i="9"/>
  <c r="Q362" i="9"/>
  <c r="Q363" i="9"/>
  <c r="Q364" i="9"/>
  <c r="Q365" i="9"/>
  <c r="Q366" i="9"/>
  <c r="Q367" i="9"/>
  <c r="Q368" i="9"/>
  <c r="Q369" i="9"/>
  <c r="Q370" i="9"/>
  <c r="Q371" i="9"/>
  <c r="Q372" i="9"/>
  <c r="Q373" i="9"/>
  <c r="Q374" i="9"/>
  <c r="Q375" i="9"/>
  <c r="Q376" i="9"/>
  <c r="Q377" i="9"/>
  <c r="Q378" i="9"/>
  <c r="Q379" i="9"/>
  <c r="Q380" i="9"/>
  <c r="Q381" i="9"/>
  <c r="Q382" i="9"/>
  <c r="Q383" i="9"/>
  <c r="Q384" i="9"/>
  <c r="Q385" i="9"/>
  <c r="Q386" i="9"/>
  <c r="Q387" i="9"/>
  <c r="Q388" i="9"/>
  <c r="Q389" i="9"/>
  <c r="Q390" i="9"/>
  <c r="Q391" i="9"/>
  <c r="Q392" i="9"/>
  <c r="Q393" i="9"/>
  <c r="Q394" i="9"/>
  <c r="Q395" i="9"/>
  <c r="Q396" i="9"/>
  <c r="Q397" i="9"/>
  <c r="Q398" i="9"/>
  <c r="Q399" i="9"/>
  <c r="Q400" i="9"/>
  <c r="Q401" i="9"/>
  <c r="Q402" i="9"/>
  <c r="Q403" i="9"/>
  <c r="Q404" i="9"/>
  <c r="Q405" i="9"/>
  <c r="Q406" i="9"/>
  <c r="Q407" i="9"/>
  <c r="Q408" i="9"/>
  <c r="Q409" i="9"/>
  <c r="Q410" i="9"/>
  <c r="Q411" i="9"/>
  <c r="Q412" i="9"/>
  <c r="Q413" i="9"/>
  <c r="Q414" i="9"/>
  <c r="Q415" i="9"/>
  <c r="Q416" i="9"/>
  <c r="Q417" i="9"/>
  <c r="Q418" i="9"/>
  <c r="Q419" i="9"/>
  <c r="Q420" i="9"/>
  <c r="Q421" i="9"/>
  <c r="Q422" i="9"/>
  <c r="Q423" i="9"/>
  <c r="Q424" i="9"/>
  <c r="Q425" i="9"/>
  <c r="Q426" i="9"/>
  <c r="Q427" i="9"/>
  <c r="Q428" i="9"/>
  <c r="Q429" i="9"/>
  <c r="Q430" i="9"/>
  <c r="Q431" i="9"/>
  <c r="Q432" i="9"/>
  <c r="Q433" i="9"/>
  <c r="Q434" i="9"/>
  <c r="Q435" i="9"/>
  <c r="Q436" i="9"/>
  <c r="Q437" i="9"/>
  <c r="Q438" i="9"/>
  <c r="Q439" i="9"/>
  <c r="Q440" i="9"/>
  <c r="Q441" i="9"/>
  <c r="Q442" i="9"/>
  <c r="Q443" i="9"/>
  <c r="Q444" i="9"/>
  <c r="Q445" i="9"/>
  <c r="Q446" i="9"/>
  <c r="Q447" i="9"/>
  <c r="Q448" i="9"/>
  <c r="Q449" i="9"/>
  <c r="Q450" i="9"/>
  <c r="Q451" i="9"/>
  <c r="Q452" i="9"/>
  <c r="Q453" i="9"/>
  <c r="Q454" i="9"/>
  <c r="Q455" i="9"/>
  <c r="Q456" i="9"/>
  <c r="Q457" i="9"/>
  <c r="Q458" i="9"/>
  <c r="Q459" i="9"/>
  <c r="Q460" i="9"/>
  <c r="Q461" i="9"/>
  <c r="Q462" i="9"/>
  <c r="Q463" i="9"/>
  <c r="Q464" i="9"/>
  <c r="Q465" i="9"/>
  <c r="Q466" i="9"/>
  <c r="Q467" i="9"/>
  <c r="Q468" i="9"/>
  <c r="Q469" i="9"/>
  <c r="Q470" i="9"/>
  <c r="Q471" i="9"/>
  <c r="Q472" i="9"/>
  <c r="Q473" i="9"/>
  <c r="Q474" i="9"/>
  <c r="Q475" i="9"/>
  <c r="Q476" i="9"/>
  <c r="Q477" i="9"/>
  <c r="Q478" i="9"/>
  <c r="Q479" i="9"/>
  <c r="Q480" i="9"/>
  <c r="Q481" i="9"/>
  <c r="Q482" i="9"/>
  <c r="Q483" i="9"/>
  <c r="Q484" i="9"/>
  <c r="Q485" i="9"/>
  <c r="Q486" i="9"/>
  <c r="Q487" i="9"/>
  <c r="Q488" i="9"/>
  <c r="Q489" i="9"/>
  <c r="Q490" i="9"/>
  <c r="Q491" i="9"/>
  <c r="Q492" i="9"/>
  <c r="Q493" i="9"/>
  <c r="Q494" i="9"/>
  <c r="Q495" i="9"/>
  <c r="Q496" i="9"/>
  <c r="Q497" i="9"/>
  <c r="Q498" i="9"/>
  <c r="Q499" i="9"/>
  <c r="Q500" i="9"/>
  <c r="Q501" i="9"/>
  <c r="Q502" i="9"/>
  <c r="Q503" i="9"/>
  <c r="Q504" i="9"/>
  <c r="Q505" i="9"/>
  <c r="Q506" i="9"/>
  <c r="Q507" i="9"/>
  <c r="Q508" i="9"/>
  <c r="Q509" i="9"/>
  <c r="Q510" i="9"/>
  <c r="Q511" i="9"/>
  <c r="Q512" i="9"/>
  <c r="Q513" i="9"/>
  <c r="Q514" i="9"/>
  <c r="Q515" i="9"/>
  <c r="Q516" i="9"/>
  <c r="Q517" i="9"/>
  <c r="Q518" i="9"/>
  <c r="Q519" i="9"/>
  <c r="Q520" i="9"/>
  <c r="Q521" i="9"/>
  <c r="Q522" i="9"/>
  <c r="Q523" i="9"/>
  <c r="Q524" i="9"/>
  <c r="Q525" i="9"/>
  <c r="Q526" i="9"/>
  <c r="Q527" i="9"/>
  <c r="Q528" i="9"/>
  <c r="Q529" i="9"/>
  <c r="Q530" i="9"/>
  <c r="Q531" i="9"/>
  <c r="Q532" i="9"/>
  <c r="Q533" i="9"/>
  <c r="Q534" i="9"/>
  <c r="Q535" i="9"/>
  <c r="Q536" i="9"/>
  <c r="Q537" i="9"/>
  <c r="Q538" i="9"/>
  <c r="Q539" i="9"/>
  <c r="Q540" i="9"/>
  <c r="Q541" i="9"/>
  <c r="Q542" i="9"/>
  <c r="Q543" i="9"/>
  <c r="Q544" i="9"/>
  <c r="Q545" i="9"/>
  <c r="Q546" i="9"/>
  <c r="Q547" i="9"/>
  <c r="Q548" i="9"/>
  <c r="Q549" i="9"/>
  <c r="Q550" i="9"/>
  <c r="Q551" i="9"/>
  <c r="Q552" i="9"/>
  <c r="Q553" i="9"/>
  <c r="Q554" i="9"/>
  <c r="Q555" i="9"/>
  <c r="Q556" i="9"/>
  <c r="Q557" i="9"/>
  <c r="Q558" i="9"/>
  <c r="Q559" i="9"/>
  <c r="Q560" i="9"/>
  <c r="Q561" i="9"/>
  <c r="Q562" i="9"/>
  <c r="Q563" i="9"/>
  <c r="Q564" i="9"/>
  <c r="Q565" i="9"/>
  <c r="Q566" i="9"/>
  <c r="Q567" i="9"/>
  <c r="Q568" i="9"/>
  <c r="Q569" i="9"/>
  <c r="Q570" i="9"/>
  <c r="Q571" i="9"/>
  <c r="Q572" i="9"/>
  <c r="Q573" i="9"/>
  <c r="Q574" i="9"/>
  <c r="Q575" i="9"/>
  <c r="Q576" i="9"/>
  <c r="Q577" i="9"/>
  <c r="Q578" i="9"/>
  <c r="Q579" i="9"/>
  <c r="Q580" i="9"/>
  <c r="Q581" i="9"/>
  <c r="Q582" i="9"/>
  <c r="Q583" i="9"/>
  <c r="Q584" i="9"/>
  <c r="Q585" i="9"/>
  <c r="Q586" i="9"/>
  <c r="Q587" i="9"/>
  <c r="Q588" i="9"/>
  <c r="Q589" i="9"/>
  <c r="R3" i="9"/>
  <c r="R4" i="9"/>
  <c r="R5" i="9"/>
  <c r="R6" i="9"/>
  <c r="R7" i="9"/>
  <c r="R8" i="9"/>
  <c r="R9" i="9"/>
  <c r="R10" i="9"/>
  <c r="R11" i="9"/>
  <c r="R12" i="9"/>
  <c r="R13" i="9"/>
  <c r="R14" i="9"/>
  <c r="R15" i="9"/>
  <c r="R16" i="9"/>
  <c r="R17" i="9"/>
  <c r="R18" i="9"/>
  <c r="R19" i="9"/>
  <c r="R20" i="9"/>
  <c r="R21" i="9"/>
  <c r="R22" i="9"/>
  <c r="R23" i="9"/>
  <c r="R24" i="9"/>
  <c r="R25" i="9"/>
  <c r="R26" i="9"/>
  <c r="R27" i="9"/>
  <c r="R28" i="9"/>
  <c r="R29" i="9"/>
  <c r="R30" i="9"/>
  <c r="R31" i="9"/>
  <c r="R32" i="9"/>
  <c r="R33" i="9"/>
  <c r="R34" i="9"/>
  <c r="R35" i="9"/>
  <c r="R36" i="9"/>
  <c r="R37" i="9"/>
  <c r="R38" i="9"/>
  <c r="R39" i="9"/>
  <c r="R40" i="9"/>
  <c r="R41" i="9"/>
  <c r="R42" i="9"/>
  <c r="R43" i="9"/>
  <c r="R44" i="9"/>
  <c r="R45" i="9"/>
  <c r="R46" i="9"/>
  <c r="R47" i="9"/>
  <c r="R48" i="9"/>
  <c r="R49" i="9"/>
  <c r="R50" i="9"/>
  <c r="R51" i="9"/>
  <c r="R52" i="9"/>
  <c r="R53" i="9"/>
  <c r="R54" i="9"/>
  <c r="R55" i="9"/>
  <c r="R56" i="9"/>
  <c r="R57" i="9"/>
  <c r="R58" i="9"/>
  <c r="R59" i="9"/>
  <c r="R60" i="9"/>
  <c r="R61" i="9"/>
  <c r="R62" i="9"/>
  <c r="R63" i="9"/>
  <c r="R64" i="9"/>
  <c r="R65" i="9"/>
  <c r="R66" i="9"/>
  <c r="R67" i="9"/>
  <c r="R68" i="9"/>
  <c r="R69" i="9"/>
  <c r="R70" i="9"/>
  <c r="R71" i="9"/>
  <c r="R72" i="9"/>
  <c r="R73" i="9"/>
  <c r="R74" i="9"/>
  <c r="R75" i="9"/>
  <c r="R76" i="9"/>
  <c r="R77" i="9"/>
  <c r="R78" i="9"/>
  <c r="R79" i="9"/>
  <c r="R80" i="9"/>
  <c r="R81" i="9"/>
  <c r="R82" i="9"/>
  <c r="R83" i="9"/>
  <c r="R84" i="9"/>
  <c r="R85" i="9"/>
  <c r="R86" i="9"/>
  <c r="R87" i="9"/>
  <c r="R88" i="9"/>
  <c r="R89" i="9"/>
  <c r="R90" i="9"/>
  <c r="R91" i="9"/>
  <c r="R92" i="9"/>
  <c r="R93" i="9"/>
  <c r="R94" i="9"/>
  <c r="R95" i="9"/>
  <c r="R96" i="9"/>
  <c r="R97" i="9"/>
  <c r="R98" i="9"/>
  <c r="R99" i="9"/>
  <c r="R100" i="9"/>
  <c r="R101" i="9"/>
  <c r="R102" i="9"/>
  <c r="R103" i="9"/>
  <c r="R104" i="9"/>
  <c r="R105" i="9"/>
  <c r="R106" i="9"/>
  <c r="R107" i="9"/>
  <c r="R108" i="9"/>
  <c r="R109" i="9"/>
  <c r="R110" i="9"/>
  <c r="R111" i="9"/>
  <c r="R112" i="9"/>
  <c r="R113" i="9"/>
  <c r="R114" i="9"/>
  <c r="R115" i="9"/>
  <c r="R116" i="9"/>
  <c r="R117" i="9"/>
  <c r="R118" i="9"/>
  <c r="R119" i="9"/>
  <c r="R120" i="9"/>
  <c r="R121" i="9"/>
  <c r="R122" i="9"/>
  <c r="R123" i="9"/>
  <c r="R124" i="9"/>
  <c r="R125" i="9"/>
  <c r="R126" i="9"/>
  <c r="R127" i="9"/>
  <c r="R128" i="9"/>
  <c r="R129" i="9"/>
  <c r="R130" i="9"/>
  <c r="R131" i="9"/>
  <c r="R132" i="9"/>
  <c r="R133" i="9"/>
  <c r="R134" i="9"/>
  <c r="R135" i="9"/>
  <c r="R136" i="9"/>
  <c r="R137" i="9"/>
  <c r="R138" i="9"/>
  <c r="R139" i="9"/>
  <c r="R140" i="9"/>
  <c r="R141" i="9"/>
  <c r="R142" i="9"/>
  <c r="R143" i="9"/>
  <c r="R144" i="9"/>
  <c r="R145" i="9"/>
  <c r="R146" i="9"/>
  <c r="R147" i="9"/>
  <c r="R148" i="9"/>
  <c r="R149" i="9"/>
  <c r="R150" i="9"/>
  <c r="R151" i="9"/>
  <c r="R152" i="9"/>
  <c r="R153" i="9"/>
  <c r="R154" i="9"/>
  <c r="R155" i="9"/>
  <c r="R156" i="9"/>
  <c r="R157" i="9"/>
  <c r="R158" i="9"/>
  <c r="R159" i="9"/>
  <c r="R160" i="9"/>
  <c r="R161" i="9"/>
  <c r="R162" i="9"/>
  <c r="R163" i="9"/>
  <c r="R164" i="9"/>
  <c r="R165" i="9"/>
  <c r="R166" i="9"/>
  <c r="R167" i="9"/>
  <c r="R168" i="9"/>
  <c r="R169" i="9"/>
  <c r="R170" i="9"/>
  <c r="R171" i="9"/>
  <c r="R172" i="9"/>
  <c r="R173" i="9"/>
  <c r="R174" i="9"/>
  <c r="R175" i="9"/>
  <c r="R176" i="9"/>
  <c r="R177" i="9"/>
  <c r="R178" i="9"/>
  <c r="R179" i="9"/>
  <c r="R180" i="9"/>
  <c r="R181" i="9"/>
  <c r="R182" i="9"/>
  <c r="R183" i="9"/>
  <c r="R184" i="9"/>
  <c r="R185" i="9"/>
  <c r="R186" i="9"/>
  <c r="R187" i="9"/>
  <c r="R188" i="9"/>
  <c r="R189" i="9"/>
  <c r="R190" i="9"/>
  <c r="R191" i="9"/>
  <c r="R192" i="9"/>
  <c r="R193" i="9"/>
  <c r="R194" i="9"/>
  <c r="R195" i="9"/>
  <c r="R196" i="9"/>
  <c r="R197" i="9"/>
  <c r="R198" i="9"/>
  <c r="R199" i="9"/>
  <c r="R200" i="9"/>
  <c r="R201" i="9"/>
  <c r="R202" i="9"/>
  <c r="R203" i="9"/>
  <c r="R204" i="9"/>
  <c r="R205" i="9"/>
  <c r="R206" i="9"/>
  <c r="R207" i="9"/>
  <c r="R208" i="9"/>
  <c r="R209" i="9"/>
  <c r="R210" i="9"/>
  <c r="R211" i="9"/>
  <c r="R212" i="9"/>
  <c r="R213" i="9"/>
  <c r="R214" i="9"/>
  <c r="R215" i="9"/>
  <c r="R216" i="9"/>
  <c r="R217" i="9"/>
  <c r="R218" i="9"/>
  <c r="R219" i="9"/>
  <c r="R220" i="9"/>
  <c r="R221" i="9"/>
  <c r="R222" i="9"/>
  <c r="R223" i="9"/>
  <c r="R224" i="9"/>
  <c r="R225" i="9"/>
  <c r="R226" i="9"/>
  <c r="R227" i="9"/>
  <c r="R228" i="9"/>
  <c r="R229" i="9"/>
  <c r="R230" i="9"/>
  <c r="R231" i="9"/>
  <c r="R232" i="9"/>
  <c r="R233" i="9"/>
  <c r="R234" i="9"/>
  <c r="R235" i="9"/>
  <c r="R236" i="9"/>
  <c r="R237" i="9"/>
  <c r="R238" i="9"/>
  <c r="R239" i="9"/>
  <c r="R240" i="9"/>
  <c r="R241" i="9"/>
  <c r="R242" i="9"/>
  <c r="R243" i="9"/>
  <c r="R244" i="9"/>
  <c r="R245" i="9"/>
  <c r="R246" i="9"/>
  <c r="R247" i="9"/>
  <c r="R248" i="9"/>
  <c r="R249" i="9"/>
  <c r="R250" i="9"/>
  <c r="R251" i="9"/>
  <c r="R252" i="9"/>
  <c r="R253" i="9"/>
  <c r="R254" i="9"/>
  <c r="R255" i="9"/>
  <c r="R256" i="9"/>
  <c r="R257" i="9"/>
  <c r="R258" i="9"/>
  <c r="R259" i="9"/>
  <c r="R260" i="9"/>
  <c r="R261" i="9"/>
  <c r="R262" i="9"/>
  <c r="R263" i="9"/>
  <c r="R264" i="9"/>
  <c r="R265" i="9"/>
  <c r="R266" i="9"/>
  <c r="R267" i="9"/>
  <c r="R268" i="9"/>
  <c r="R269" i="9"/>
  <c r="R270" i="9"/>
  <c r="R271" i="9"/>
  <c r="R272" i="9"/>
  <c r="R273" i="9"/>
  <c r="R274" i="9"/>
  <c r="R275" i="9"/>
  <c r="R276" i="9"/>
  <c r="R277" i="9"/>
  <c r="R278" i="9"/>
  <c r="R279" i="9"/>
  <c r="R280" i="9"/>
  <c r="R281" i="9"/>
  <c r="R282" i="9"/>
  <c r="R283" i="9"/>
  <c r="R284" i="9"/>
  <c r="R285" i="9"/>
  <c r="R286" i="9"/>
  <c r="R287" i="9"/>
  <c r="R288" i="9"/>
  <c r="R289" i="9"/>
  <c r="R290" i="9"/>
  <c r="R291" i="9"/>
  <c r="R292" i="9"/>
  <c r="R293" i="9"/>
  <c r="R294" i="9"/>
  <c r="R295" i="9"/>
  <c r="R296" i="9"/>
  <c r="R297" i="9"/>
  <c r="R298" i="9"/>
  <c r="R299" i="9"/>
  <c r="R300" i="9"/>
  <c r="R301" i="9"/>
  <c r="R302" i="9"/>
  <c r="R303" i="9"/>
  <c r="R304" i="9"/>
  <c r="R305" i="9"/>
  <c r="R306" i="9"/>
  <c r="R307" i="9"/>
  <c r="R308" i="9"/>
  <c r="R309" i="9"/>
  <c r="R310" i="9"/>
  <c r="R311" i="9"/>
  <c r="R312" i="9"/>
  <c r="R313" i="9"/>
  <c r="R314" i="9"/>
  <c r="R315" i="9"/>
  <c r="R316" i="9"/>
  <c r="R317" i="9"/>
  <c r="R318" i="9"/>
  <c r="R319" i="9"/>
  <c r="R320" i="9"/>
  <c r="R321" i="9"/>
  <c r="R322" i="9"/>
  <c r="R323" i="9"/>
  <c r="R324" i="9"/>
  <c r="R325" i="9"/>
  <c r="R326" i="9"/>
  <c r="R327" i="9"/>
  <c r="R328" i="9"/>
  <c r="R329" i="9"/>
  <c r="R330" i="9"/>
  <c r="R331" i="9"/>
  <c r="R332" i="9"/>
  <c r="R333" i="9"/>
  <c r="R334" i="9"/>
  <c r="R335" i="9"/>
  <c r="R336" i="9"/>
  <c r="R337" i="9"/>
  <c r="R338" i="9"/>
  <c r="R339" i="9"/>
  <c r="R340" i="9"/>
  <c r="R341" i="9"/>
  <c r="R342" i="9"/>
  <c r="R343" i="9"/>
  <c r="R344" i="9"/>
  <c r="R345" i="9"/>
  <c r="R346" i="9"/>
  <c r="R347" i="9"/>
  <c r="R348" i="9"/>
  <c r="R349" i="9"/>
  <c r="R350" i="9"/>
  <c r="R351" i="9"/>
  <c r="R352" i="9"/>
  <c r="R353" i="9"/>
  <c r="R354" i="9"/>
  <c r="R355" i="9"/>
  <c r="R356" i="9"/>
  <c r="R357" i="9"/>
  <c r="R358" i="9"/>
  <c r="R359" i="9"/>
  <c r="R360" i="9"/>
  <c r="R361" i="9"/>
  <c r="R362" i="9"/>
  <c r="R363" i="9"/>
  <c r="R364" i="9"/>
  <c r="R365" i="9"/>
  <c r="R366" i="9"/>
  <c r="R367" i="9"/>
  <c r="R368" i="9"/>
  <c r="R369" i="9"/>
  <c r="R370" i="9"/>
  <c r="R371" i="9"/>
  <c r="R372" i="9"/>
  <c r="R373" i="9"/>
  <c r="R374" i="9"/>
  <c r="R375" i="9"/>
  <c r="R376" i="9"/>
  <c r="R377" i="9"/>
  <c r="R378" i="9"/>
  <c r="R379" i="9"/>
  <c r="R380" i="9"/>
  <c r="R381" i="9"/>
  <c r="R382" i="9"/>
  <c r="R383" i="9"/>
  <c r="R384" i="9"/>
  <c r="R385" i="9"/>
  <c r="R386" i="9"/>
  <c r="R387" i="9"/>
  <c r="R388" i="9"/>
  <c r="R389" i="9"/>
  <c r="R390" i="9"/>
  <c r="R391" i="9"/>
  <c r="R392" i="9"/>
  <c r="R393" i="9"/>
  <c r="R394" i="9"/>
  <c r="R395" i="9"/>
  <c r="R396" i="9"/>
  <c r="R397" i="9"/>
  <c r="R398" i="9"/>
  <c r="R399" i="9"/>
  <c r="R400" i="9"/>
  <c r="R401" i="9"/>
  <c r="R402" i="9"/>
  <c r="R403" i="9"/>
  <c r="R404" i="9"/>
  <c r="R405" i="9"/>
  <c r="R406" i="9"/>
  <c r="R407" i="9"/>
  <c r="R408" i="9"/>
  <c r="R409" i="9"/>
  <c r="R410" i="9"/>
  <c r="R411" i="9"/>
  <c r="R412" i="9"/>
  <c r="R413" i="9"/>
  <c r="R414" i="9"/>
  <c r="R415" i="9"/>
  <c r="R416" i="9"/>
  <c r="R417" i="9"/>
  <c r="R418" i="9"/>
  <c r="R419" i="9"/>
  <c r="R420" i="9"/>
  <c r="R421" i="9"/>
  <c r="R422" i="9"/>
  <c r="R423" i="9"/>
  <c r="R424" i="9"/>
  <c r="R425" i="9"/>
  <c r="R426" i="9"/>
  <c r="R427" i="9"/>
  <c r="R428" i="9"/>
  <c r="R429" i="9"/>
  <c r="R430" i="9"/>
  <c r="R431" i="9"/>
  <c r="R432" i="9"/>
  <c r="R433" i="9"/>
  <c r="R434" i="9"/>
  <c r="R435" i="9"/>
  <c r="R436" i="9"/>
  <c r="R437" i="9"/>
  <c r="R438" i="9"/>
  <c r="R439" i="9"/>
  <c r="R440" i="9"/>
  <c r="R441" i="9"/>
  <c r="R442" i="9"/>
  <c r="R443" i="9"/>
  <c r="R444" i="9"/>
  <c r="R445" i="9"/>
  <c r="R446" i="9"/>
  <c r="R447" i="9"/>
  <c r="R448" i="9"/>
  <c r="R449" i="9"/>
  <c r="R450" i="9"/>
  <c r="R451" i="9"/>
  <c r="R452" i="9"/>
  <c r="R453" i="9"/>
  <c r="R454" i="9"/>
  <c r="R455" i="9"/>
  <c r="R456" i="9"/>
  <c r="R457" i="9"/>
  <c r="R458" i="9"/>
  <c r="R459" i="9"/>
  <c r="R460" i="9"/>
  <c r="R461" i="9"/>
  <c r="R462" i="9"/>
  <c r="R463" i="9"/>
  <c r="R464" i="9"/>
  <c r="R465" i="9"/>
  <c r="R466" i="9"/>
  <c r="R467" i="9"/>
  <c r="R468" i="9"/>
  <c r="R469" i="9"/>
  <c r="R470" i="9"/>
  <c r="R471" i="9"/>
  <c r="R472" i="9"/>
  <c r="R473" i="9"/>
  <c r="R474" i="9"/>
  <c r="R475" i="9"/>
  <c r="R476" i="9"/>
  <c r="R477" i="9"/>
  <c r="R478" i="9"/>
  <c r="R479" i="9"/>
  <c r="R480" i="9"/>
  <c r="R481" i="9"/>
  <c r="R482" i="9"/>
  <c r="R483" i="9"/>
  <c r="R484" i="9"/>
  <c r="R485" i="9"/>
  <c r="R486" i="9"/>
  <c r="R487" i="9"/>
  <c r="R488" i="9"/>
  <c r="R489" i="9"/>
  <c r="R490" i="9"/>
  <c r="R491" i="9"/>
  <c r="R492" i="9"/>
  <c r="R493" i="9"/>
  <c r="R494" i="9"/>
  <c r="R495" i="9"/>
  <c r="R496" i="9"/>
  <c r="R497" i="9"/>
  <c r="R498" i="9"/>
  <c r="R499" i="9"/>
  <c r="R500" i="9"/>
  <c r="R501" i="9"/>
  <c r="R502" i="9"/>
  <c r="R503" i="9"/>
  <c r="R504" i="9"/>
  <c r="R505" i="9"/>
  <c r="R506" i="9"/>
  <c r="R507" i="9"/>
  <c r="R508" i="9"/>
  <c r="R509" i="9"/>
  <c r="R510" i="9"/>
  <c r="R511" i="9"/>
  <c r="R512" i="9"/>
  <c r="R513" i="9"/>
  <c r="R514" i="9"/>
  <c r="R515" i="9"/>
  <c r="R516" i="9"/>
  <c r="R517" i="9"/>
  <c r="R518" i="9"/>
  <c r="R519" i="9"/>
  <c r="R520" i="9"/>
  <c r="R521" i="9"/>
  <c r="R522" i="9"/>
  <c r="R523" i="9"/>
  <c r="R524" i="9"/>
  <c r="R525" i="9"/>
  <c r="R526" i="9"/>
  <c r="R527" i="9"/>
  <c r="R528" i="9"/>
  <c r="R529" i="9"/>
  <c r="R530" i="9"/>
  <c r="R531" i="9"/>
  <c r="R532" i="9"/>
  <c r="R533" i="9"/>
  <c r="R534" i="9"/>
  <c r="R535" i="9"/>
  <c r="R536" i="9"/>
  <c r="R537" i="9"/>
  <c r="R538" i="9"/>
  <c r="R539" i="9"/>
  <c r="R540" i="9"/>
  <c r="R541" i="9"/>
  <c r="R542" i="9"/>
  <c r="R543" i="9"/>
  <c r="R544" i="9"/>
  <c r="R545" i="9"/>
  <c r="R546" i="9"/>
  <c r="R547" i="9"/>
  <c r="R548" i="9"/>
  <c r="R549" i="9"/>
  <c r="R550" i="9"/>
  <c r="R551" i="9"/>
  <c r="R552" i="9"/>
  <c r="R553" i="9"/>
  <c r="R554" i="9"/>
  <c r="R555" i="9"/>
  <c r="R556" i="9"/>
  <c r="R557" i="9"/>
  <c r="R558" i="9"/>
  <c r="R559" i="9"/>
  <c r="R560" i="9"/>
  <c r="R561" i="9"/>
  <c r="R562" i="9"/>
  <c r="R563" i="9"/>
  <c r="R564" i="9"/>
  <c r="R565" i="9"/>
  <c r="R566" i="9"/>
  <c r="R567" i="9"/>
  <c r="R568" i="9"/>
  <c r="R569" i="9"/>
  <c r="R570" i="9"/>
  <c r="R571" i="9"/>
  <c r="R572" i="9"/>
  <c r="R573" i="9"/>
  <c r="R574" i="9"/>
  <c r="R575" i="9"/>
  <c r="R576" i="9"/>
  <c r="R577" i="9"/>
  <c r="R578" i="9"/>
  <c r="R579" i="9"/>
  <c r="R580" i="9"/>
  <c r="R581" i="9"/>
  <c r="R582" i="9"/>
  <c r="R583" i="9"/>
  <c r="R584" i="9"/>
  <c r="R585" i="9"/>
  <c r="R586" i="9"/>
  <c r="R587" i="9"/>
  <c r="R588" i="9"/>
  <c r="R589" i="9"/>
  <c r="AB3" i="9"/>
  <c r="AB4" i="9"/>
  <c r="AB5" i="9"/>
  <c r="AB6" i="9"/>
  <c r="AB7" i="9"/>
  <c r="AB8" i="9"/>
  <c r="AB9" i="9"/>
  <c r="AB10" i="9"/>
  <c r="AB11" i="9"/>
  <c r="AB12" i="9"/>
  <c r="AB13" i="9"/>
  <c r="AB14" i="9"/>
  <c r="AB15" i="9"/>
  <c r="AB16" i="9"/>
  <c r="AB17" i="9"/>
  <c r="AB18" i="9"/>
  <c r="AB19" i="9"/>
  <c r="AB20" i="9"/>
  <c r="AB21" i="9"/>
  <c r="AB22" i="9"/>
  <c r="AB23" i="9"/>
  <c r="AB24" i="9"/>
  <c r="AB25" i="9"/>
  <c r="AB26" i="9"/>
  <c r="AB27" i="9"/>
  <c r="AB28" i="9"/>
  <c r="AB29" i="9"/>
  <c r="AB30" i="9"/>
  <c r="AB31" i="9"/>
  <c r="AB32" i="9"/>
  <c r="AB33" i="9"/>
  <c r="AB34" i="9"/>
  <c r="AB35" i="9"/>
  <c r="AB36" i="9"/>
  <c r="AB37" i="9"/>
  <c r="AB38" i="9"/>
  <c r="AB39" i="9"/>
  <c r="AB40" i="9"/>
  <c r="AB41" i="9"/>
  <c r="AB42" i="9"/>
  <c r="AB43" i="9"/>
  <c r="AB44" i="9"/>
  <c r="AB45" i="9"/>
  <c r="AB46" i="9"/>
  <c r="AB47" i="9"/>
  <c r="AB48" i="9"/>
  <c r="AB49" i="9"/>
  <c r="AB50" i="9"/>
  <c r="AB51" i="9"/>
  <c r="AB52" i="9"/>
  <c r="AB53" i="9"/>
  <c r="AB54" i="9"/>
  <c r="AB55" i="9"/>
  <c r="AB56" i="9"/>
  <c r="AB57" i="9"/>
  <c r="AB58" i="9"/>
  <c r="AB59" i="9"/>
  <c r="AB60" i="9"/>
  <c r="AB61" i="9"/>
  <c r="AB62" i="9"/>
  <c r="AB63" i="9"/>
  <c r="AB64" i="9"/>
  <c r="AB65" i="9"/>
  <c r="AB66" i="9"/>
  <c r="AB67" i="9"/>
  <c r="AB68" i="9"/>
  <c r="AB69" i="9"/>
  <c r="AB70" i="9"/>
  <c r="AB71" i="9"/>
  <c r="AB72" i="9"/>
  <c r="AB73" i="9"/>
  <c r="AB74" i="9"/>
  <c r="AB75" i="9"/>
  <c r="AB76" i="9"/>
  <c r="AB77" i="9"/>
  <c r="AB78" i="9"/>
  <c r="AB79" i="9"/>
  <c r="AB80" i="9"/>
  <c r="AB81" i="9"/>
  <c r="AB82" i="9"/>
  <c r="AB83" i="9"/>
  <c r="AB84" i="9"/>
  <c r="AB85" i="9"/>
  <c r="AB86" i="9"/>
  <c r="AB87" i="9"/>
  <c r="AB88" i="9"/>
  <c r="AB89" i="9"/>
  <c r="AB90" i="9"/>
  <c r="AB91" i="9"/>
  <c r="AB92" i="9"/>
  <c r="AB93" i="9"/>
  <c r="AB94" i="9"/>
  <c r="AB95" i="9"/>
  <c r="AB96" i="9"/>
  <c r="AB97" i="9"/>
  <c r="AB98" i="9"/>
  <c r="AB99" i="9"/>
  <c r="AB100" i="9"/>
  <c r="AB101" i="9"/>
  <c r="AB102" i="9"/>
  <c r="AB103" i="9"/>
  <c r="AB104" i="9"/>
  <c r="AB105" i="9"/>
  <c r="AB106" i="9"/>
  <c r="AB107" i="9"/>
  <c r="AB108" i="9"/>
  <c r="AB109" i="9"/>
  <c r="AB110" i="9"/>
  <c r="AB111" i="9"/>
  <c r="AB112" i="9"/>
  <c r="AB113" i="9"/>
  <c r="AB114" i="9"/>
  <c r="AB115" i="9"/>
  <c r="AB116" i="9"/>
  <c r="AB117" i="9"/>
  <c r="AB118" i="9"/>
  <c r="AB119" i="9"/>
  <c r="AB120" i="9"/>
  <c r="AB121" i="9"/>
  <c r="AB122" i="9"/>
  <c r="AB123" i="9"/>
  <c r="AB124" i="9"/>
  <c r="AB125" i="9"/>
  <c r="AB126" i="9"/>
  <c r="AB127" i="9"/>
  <c r="AB128" i="9"/>
  <c r="AB129" i="9"/>
  <c r="AB130" i="9"/>
  <c r="AB131" i="9"/>
  <c r="AB132" i="9"/>
  <c r="AB133" i="9"/>
  <c r="AB134" i="9"/>
  <c r="AB135" i="9"/>
  <c r="AB136" i="9"/>
  <c r="AB137" i="9"/>
  <c r="AB138" i="9"/>
  <c r="AB139" i="9"/>
  <c r="AB140" i="9"/>
  <c r="AB141" i="9"/>
  <c r="AB142" i="9"/>
  <c r="AB143" i="9"/>
  <c r="AB144" i="9"/>
  <c r="AB145" i="9"/>
  <c r="AB146" i="9"/>
  <c r="AB147" i="9"/>
  <c r="AB148" i="9"/>
  <c r="AB149" i="9"/>
  <c r="AB150" i="9"/>
  <c r="AB151" i="9"/>
  <c r="AB152" i="9"/>
  <c r="AB153" i="9"/>
  <c r="AB154" i="9"/>
  <c r="AB155" i="9"/>
  <c r="AB156" i="9"/>
  <c r="AB157" i="9"/>
  <c r="AB158" i="9"/>
  <c r="AB159" i="9"/>
  <c r="AB160" i="9"/>
  <c r="AB161" i="9"/>
  <c r="AB162" i="9"/>
  <c r="AB163" i="9"/>
  <c r="AB164" i="9"/>
  <c r="AB165" i="9"/>
  <c r="AB166" i="9"/>
  <c r="AB167" i="9"/>
  <c r="AB168" i="9"/>
  <c r="AB169" i="9"/>
  <c r="AB170" i="9"/>
  <c r="AB171" i="9"/>
  <c r="AB172" i="9"/>
  <c r="AB173" i="9"/>
  <c r="AB174" i="9"/>
  <c r="AB175" i="9"/>
  <c r="AB176" i="9"/>
  <c r="AB177" i="9"/>
  <c r="AB178" i="9"/>
  <c r="AB179" i="9"/>
  <c r="AB180" i="9"/>
  <c r="AB181" i="9"/>
  <c r="AB182" i="9"/>
  <c r="AB183" i="9"/>
  <c r="AB184" i="9"/>
  <c r="AB185" i="9"/>
  <c r="AB186" i="9"/>
  <c r="AB187" i="9"/>
  <c r="AB188" i="9"/>
  <c r="AB189" i="9"/>
  <c r="AB190" i="9"/>
  <c r="AB191" i="9"/>
  <c r="AB192" i="9"/>
  <c r="AB193" i="9"/>
  <c r="AB194" i="9"/>
  <c r="AB195" i="9"/>
  <c r="AB196" i="9"/>
  <c r="AB197" i="9"/>
  <c r="AB198" i="9"/>
  <c r="AB199" i="9"/>
  <c r="AB200" i="9"/>
  <c r="AB201" i="9"/>
  <c r="AB202" i="9"/>
  <c r="AB203" i="9"/>
  <c r="AB204" i="9"/>
  <c r="AB205" i="9"/>
  <c r="AB206" i="9"/>
  <c r="AB207" i="9"/>
  <c r="AB208" i="9"/>
  <c r="AB209" i="9"/>
  <c r="AB210" i="9"/>
  <c r="AB211" i="9"/>
  <c r="AB212" i="9"/>
  <c r="AB213" i="9"/>
  <c r="AB214" i="9"/>
  <c r="AB215" i="9"/>
  <c r="AB216" i="9"/>
  <c r="AB217" i="9"/>
  <c r="AB218" i="9"/>
  <c r="AB219" i="9"/>
  <c r="AB220" i="9"/>
  <c r="AB221" i="9"/>
  <c r="AB222" i="9"/>
  <c r="AB223" i="9"/>
  <c r="AB224" i="9"/>
  <c r="AB225" i="9"/>
  <c r="AB226" i="9"/>
  <c r="AB227" i="9"/>
  <c r="AB228" i="9"/>
  <c r="AB229" i="9"/>
  <c r="AB230" i="9"/>
  <c r="AB231" i="9"/>
  <c r="AB232" i="9"/>
  <c r="AB233" i="9"/>
  <c r="AB234" i="9"/>
  <c r="AB235" i="9"/>
  <c r="AB236" i="9"/>
  <c r="AB237" i="9"/>
  <c r="AB238" i="9"/>
  <c r="AB239" i="9"/>
  <c r="AB240" i="9"/>
  <c r="AB241" i="9"/>
  <c r="AB242" i="9"/>
  <c r="AB243" i="9"/>
  <c r="AB244" i="9"/>
  <c r="AB245" i="9"/>
  <c r="AB246" i="9"/>
  <c r="AB247" i="9"/>
  <c r="AB248" i="9"/>
  <c r="AB249" i="9"/>
  <c r="AB250" i="9"/>
  <c r="AB251" i="9"/>
  <c r="AB252" i="9"/>
  <c r="AB253" i="9"/>
  <c r="AB254" i="9"/>
  <c r="AB255" i="9"/>
  <c r="AB256" i="9"/>
  <c r="AB257" i="9"/>
  <c r="AB258" i="9"/>
  <c r="AB259" i="9"/>
  <c r="AB260" i="9"/>
  <c r="AB261" i="9"/>
  <c r="AB262" i="9"/>
  <c r="AB263" i="9"/>
  <c r="AB264" i="9"/>
  <c r="AB265" i="9"/>
  <c r="AB266" i="9"/>
  <c r="AB267" i="9"/>
  <c r="AB268" i="9"/>
  <c r="AB269" i="9"/>
  <c r="AB270" i="9"/>
  <c r="AB271" i="9"/>
  <c r="AB272" i="9"/>
  <c r="AB273" i="9"/>
  <c r="AB274" i="9"/>
  <c r="AB275" i="9"/>
  <c r="AB276" i="9"/>
  <c r="AB277" i="9"/>
  <c r="AB278" i="9"/>
  <c r="AB279" i="9"/>
  <c r="AB280" i="9"/>
  <c r="AB281" i="9"/>
  <c r="AB282" i="9"/>
  <c r="AB283" i="9"/>
  <c r="AB284" i="9"/>
  <c r="AB285" i="9"/>
  <c r="AB286" i="9"/>
  <c r="AB287" i="9"/>
  <c r="AB288" i="9"/>
  <c r="AB289" i="9"/>
  <c r="AB290" i="9"/>
  <c r="AB291" i="9"/>
  <c r="AB292" i="9"/>
  <c r="AB293" i="9"/>
  <c r="AB294" i="9"/>
  <c r="AB295" i="9"/>
  <c r="AB296" i="9"/>
  <c r="AB297" i="9"/>
  <c r="AB298" i="9"/>
  <c r="AB299" i="9"/>
  <c r="AB300" i="9"/>
  <c r="AB301" i="9"/>
  <c r="AB302" i="9"/>
  <c r="AB303" i="9"/>
  <c r="AB304" i="9"/>
  <c r="AB305" i="9"/>
  <c r="AB306" i="9"/>
  <c r="AB307" i="9"/>
  <c r="AB308" i="9"/>
  <c r="AB309" i="9"/>
  <c r="AB310" i="9"/>
  <c r="AB311" i="9"/>
  <c r="AB312" i="9"/>
  <c r="AB313" i="9"/>
  <c r="AB314" i="9"/>
  <c r="AB315" i="9"/>
  <c r="AB316" i="9"/>
  <c r="AB317" i="9"/>
  <c r="AB318" i="9"/>
  <c r="AB319" i="9"/>
  <c r="AB320" i="9"/>
  <c r="AB321" i="9"/>
  <c r="AB322" i="9"/>
  <c r="AB323" i="9"/>
  <c r="AB324" i="9"/>
  <c r="AB325" i="9"/>
  <c r="AB326" i="9"/>
  <c r="AB327" i="9"/>
  <c r="AB328" i="9"/>
  <c r="AB329" i="9"/>
  <c r="AB330" i="9"/>
  <c r="AB331" i="9"/>
  <c r="AB332" i="9"/>
  <c r="AB333" i="9"/>
  <c r="AB334" i="9"/>
  <c r="AB335" i="9"/>
  <c r="AB336" i="9"/>
  <c r="AB337" i="9"/>
  <c r="AB338" i="9"/>
  <c r="AB339" i="9"/>
  <c r="AB340" i="9"/>
  <c r="AB341" i="9"/>
  <c r="AB342" i="9"/>
  <c r="AB343" i="9"/>
  <c r="AB344" i="9"/>
  <c r="AB345" i="9"/>
  <c r="AB346" i="9"/>
  <c r="AB347" i="9"/>
  <c r="AB348" i="9"/>
  <c r="AB349" i="9"/>
  <c r="AB350" i="9"/>
  <c r="AB351" i="9"/>
  <c r="AB352" i="9"/>
  <c r="AB353" i="9"/>
  <c r="AB354" i="9"/>
  <c r="AB355" i="9"/>
  <c r="AB356" i="9"/>
  <c r="AB357" i="9"/>
  <c r="AB358" i="9"/>
  <c r="AB359" i="9"/>
  <c r="AB360" i="9"/>
  <c r="AB361" i="9"/>
  <c r="AB362" i="9"/>
  <c r="AB363" i="9"/>
  <c r="AB364" i="9"/>
  <c r="AB365" i="9"/>
  <c r="AB366" i="9"/>
  <c r="AB367" i="9"/>
  <c r="AB368" i="9"/>
  <c r="AB369" i="9"/>
  <c r="AB370" i="9"/>
  <c r="AB371" i="9"/>
  <c r="AB372" i="9"/>
  <c r="AB373" i="9"/>
  <c r="AB374" i="9"/>
  <c r="AB375" i="9"/>
  <c r="AB376" i="9"/>
  <c r="AB377" i="9"/>
  <c r="AB378" i="9"/>
  <c r="AB379" i="9"/>
  <c r="AB380" i="9"/>
  <c r="AB381" i="9"/>
  <c r="AB382" i="9"/>
  <c r="AB383" i="9"/>
  <c r="AB384" i="9"/>
  <c r="AB385" i="9"/>
  <c r="AB386" i="9"/>
  <c r="AB387" i="9"/>
  <c r="AB388" i="9"/>
  <c r="AB389" i="9"/>
  <c r="AB390" i="9"/>
  <c r="AB391" i="9"/>
  <c r="AB392" i="9"/>
  <c r="AB393" i="9"/>
  <c r="AB394" i="9"/>
  <c r="AB395" i="9"/>
  <c r="AB396" i="9"/>
  <c r="AB397" i="9"/>
  <c r="AB398" i="9"/>
  <c r="AB399" i="9"/>
  <c r="AB400" i="9"/>
  <c r="AB401" i="9"/>
  <c r="AB402" i="9"/>
  <c r="AB403" i="9"/>
  <c r="AB404" i="9"/>
  <c r="AB405" i="9"/>
  <c r="AB406" i="9"/>
  <c r="AB407" i="9"/>
  <c r="AB408" i="9"/>
  <c r="AB409" i="9"/>
  <c r="AB410" i="9"/>
  <c r="AB411" i="9"/>
  <c r="AB412" i="9"/>
  <c r="AB413" i="9"/>
  <c r="AB414" i="9"/>
  <c r="AB415" i="9"/>
  <c r="AB416" i="9"/>
  <c r="AB417" i="9"/>
  <c r="AB418" i="9"/>
  <c r="AB419" i="9"/>
  <c r="AB420" i="9"/>
  <c r="AB421" i="9"/>
  <c r="AB422" i="9"/>
  <c r="AB423" i="9"/>
  <c r="AB424" i="9"/>
  <c r="AB425" i="9"/>
  <c r="AB426" i="9"/>
  <c r="AB427" i="9"/>
  <c r="AB428" i="9"/>
  <c r="AB429" i="9"/>
  <c r="AB430" i="9"/>
  <c r="AB431" i="9"/>
  <c r="AB432" i="9"/>
  <c r="AB433" i="9"/>
  <c r="AB434" i="9"/>
  <c r="AB435" i="9"/>
  <c r="AB436" i="9"/>
  <c r="AB437" i="9"/>
  <c r="AB438" i="9"/>
  <c r="AB439" i="9"/>
  <c r="AB440" i="9"/>
  <c r="AB441" i="9"/>
  <c r="AB442" i="9"/>
  <c r="AB443" i="9"/>
  <c r="AB444" i="9"/>
  <c r="AB445" i="9"/>
  <c r="AB446" i="9"/>
  <c r="AB447" i="9"/>
  <c r="AB448" i="9"/>
  <c r="AB449" i="9"/>
  <c r="AB450" i="9"/>
  <c r="AB451" i="9"/>
  <c r="AB452" i="9"/>
  <c r="AB453" i="9"/>
  <c r="AB454" i="9"/>
  <c r="AB455" i="9"/>
  <c r="AB456" i="9"/>
  <c r="AB457" i="9"/>
  <c r="AB458" i="9"/>
  <c r="AB459" i="9"/>
  <c r="AB460" i="9"/>
  <c r="AB461" i="9"/>
  <c r="AB462" i="9"/>
  <c r="AB463" i="9"/>
  <c r="AB464" i="9"/>
  <c r="AB465" i="9"/>
  <c r="AB466" i="9"/>
  <c r="AB467" i="9"/>
  <c r="AB468" i="9"/>
  <c r="AB469" i="9"/>
  <c r="AB470" i="9"/>
  <c r="AB471" i="9"/>
  <c r="AB472" i="9"/>
  <c r="AB473" i="9"/>
  <c r="AB474" i="9"/>
  <c r="AB475" i="9"/>
  <c r="AB476" i="9"/>
  <c r="AB477" i="9"/>
  <c r="AB478" i="9"/>
  <c r="AB479" i="9"/>
  <c r="AB480" i="9"/>
  <c r="AB481" i="9"/>
  <c r="AB482" i="9"/>
  <c r="AB483" i="9"/>
  <c r="AB484" i="9"/>
  <c r="AB485" i="9"/>
  <c r="AB486" i="9"/>
  <c r="AB487" i="9"/>
  <c r="AB488" i="9"/>
  <c r="AB489" i="9"/>
  <c r="AB490" i="9"/>
  <c r="AB491" i="9"/>
  <c r="AB492" i="9"/>
  <c r="AB493" i="9"/>
  <c r="AB494" i="9"/>
  <c r="AB495" i="9"/>
  <c r="AB496" i="9"/>
  <c r="AB497" i="9"/>
  <c r="AB498" i="9"/>
  <c r="AB499" i="9"/>
  <c r="AB500" i="9"/>
  <c r="AB501" i="9"/>
  <c r="AB502" i="9"/>
  <c r="AB503" i="9"/>
  <c r="AB504" i="9"/>
  <c r="AB505" i="9"/>
  <c r="AB506" i="9"/>
  <c r="AB507" i="9"/>
  <c r="AB508" i="9"/>
  <c r="AB509" i="9"/>
  <c r="AB510" i="9"/>
  <c r="AB511" i="9"/>
  <c r="AB512" i="9"/>
  <c r="AB513" i="9"/>
  <c r="AB514" i="9"/>
  <c r="AB515" i="9"/>
  <c r="AB516" i="9"/>
  <c r="AB517" i="9"/>
  <c r="AB518" i="9"/>
  <c r="AB519" i="9"/>
  <c r="AB520" i="9"/>
  <c r="AB521" i="9"/>
  <c r="AB522" i="9"/>
  <c r="AB523" i="9"/>
  <c r="AB524" i="9"/>
  <c r="AB525" i="9"/>
  <c r="AB526" i="9"/>
  <c r="AB527" i="9"/>
  <c r="AB528" i="9"/>
  <c r="AB529" i="9"/>
  <c r="AB530" i="9"/>
  <c r="AB531" i="9"/>
  <c r="AB532" i="9"/>
  <c r="AB533" i="9"/>
  <c r="AB534" i="9"/>
  <c r="AB535" i="9"/>
  <c r="AB536" i="9"/>
  <c r="AB537" i="9"/>
  <c r="AB538" i="9"/>
  <c r="AB539" i="9"/>
  <c r="AB540" i="9"/>
  <c r="AB541" i="9"/>
  <c r="AB542" i="9"/>
  <c r="AB543" i="9"/>
  <c r="AB544" i="9"/>
  <c r="AB545" i="9"/>
  <c r="AB546" i="9"/>
  <c r="AB547" i="9"/>
  <c r="AB548" i="9"/>
  <c r="AB549" i="9"/>
  <c r="AB550" i="9"/>
  <c r="AB551" i="9"/>
  <c r="AB552" i="9"/>
  <c r="AB553" i="9"/>
  <c r="AB554" i="9"/>
  <c r="AB555" i="9"/>
  <c r="AB556" i="9"/>
  <c r="AB557" i="9"/>
  <c r="AB558" i="9"/>
  <c r="AB559" i="9"/>
  <c r="AB560" i="9"/>
  <c r="AB561" i="9"/>
  <c r="AB562" i="9"/>
  <c r="AB563" i="9"/>
  <c r="AB564" i="9"/>
  <c r="AB565" i="9"/>
  <c r="AB566" i="9"/>
  <c r="AB567" i="9"/>
  <c r="AB568" i="9"/>
  <c r="AB569" i="9"/>
  <c r="AB570" i="9"/>
  <c r="AB571" i="9"/>
  <c r="AB572" i="9"/>
  <c r="AB573" i="9"/>
  <c r="AB574" i="9"/>
  <c r="AB575" i="9"/>
  <c r="AB576" i="9"/>
  <c r="AB577" i="9"/>
  <c r="AB578" i="9"/>
  <c r="AB579" i="9"/>
  <c r="AB580" i="9"/>
  <c r="AB581" i="9"/>
  <c r="AB582" i="9"/>
  <c r="AB583" i="9"/>
  <c r="AB584" i="9"/>
  <c r="AB585" i="9"/>
  <c r="AB586" i="9"/>
  <c r="AB587" i="9"/>
  <c r="AB588" i="9"/>
  <c r="AB589" i="9"/>
  <c r="F58" i="15" l="1"/>
  <c r="Q63" i="15"/>
  <c r="R66" i="15"/>
  <c r="Q66" i="15"/>
  <c r="R63" i="15"/>
  <c r="F68" i="15"/>
  <c r="B2" i="9"/>
  <c r="AB2" i="9"/>
  <c r="P54" i="15" s="1"/>
  <c r="R2" i="9"/>
  <c r="Q2" i="9"/>
  <c r="S2" i="9" s="1"/>
  <c r="S3" i="9" s="1"/>
  <c r="S4" i="9" s="1"/>
  <c r="S5" i="9" s="1"/>
  <c r="S6" i="9" s="1"/>
  <c r="S7" i="9" s="1"/>
  <c r="S8" i="9" s="1"/>
  <c r="S9" i="9" s="1"/>
  <c r="S10" i="9" s="1"/>
  <c r="S11" i="9" s="1"/>
  <c r="S12" i="9" s="1"/>
  <c r="S13" i="9" s="1"/>
  <c r="S14" i="9" s="1"/>
  <c r="S15" i="9" s="1"/>
  <c r="S16" i="9" s="1"/>
  <c r="S17" i="9" s="1"/>
  <c r="S18" i="9" s="1"/>
  <c r="S19" i="9" s="1"/>
  <c r="S20" i="9" s="1"/>
  <c r="S21" i="9" s="1"/>
  <c r="S22" i="9" s="1"/>
  <c r="S23" i="9" s="1"/>
  <c r="S24" i="9" s="1"/>
  <c r="S25" i="9" s="1"/>
  <c r="S26" i="9" s="1"/>
  <c r="S27" i="9" s="1"/>
  <c r="S28" i="9" s="1"/>
  <c r="S29" i="9" s="1"/>
  <c r="S30" i="9" s="1"/>
  <c r="S31" i="9" s="1"/>
  <c r="S32" i="9" s="1"/>
  <c r="S33" i="9" s="1"/>
  <c r="S34" i="9" s="1"/>
  <c r="S35" i="9" s="1"/>
  <c r="S36" i="9" s="1"/>
  <c r="S37" i="9" s="1"/>
  <c r="S38" i="9" s="1"/>
  <c r="S39" i="9" s="1"/>
  <c r="S40" i="9" s="1"/>
  <c r="S41" i="9" s="1"/>
  <c r="S42" i="9" s="1"/>
  <c r="S43" i="9" s="1"/>
  <c r="S44" i="9" s="1"/>
  <c r="S45" i="9" s="1"/>
  <c r="S46" i="9" s="1"/>
  <c r="S47" i="9" s="1"/>
  <c r="S48" i="9" s="1"/>
  <c r="S49" i="9" s="1"/>
  <c r="S50" i="9" s="1"/>
  <c r="S51" i="9" s="1"/>
  <c r="S52" i="9" s="1"/>
  <c r="S53" i="9" s="1"/>
  <c r="S54" i="9" s="1"/>
  <c r="S55" i="9" s="1"/>
  <c r="S56" i="9" s="1"/>
  <c r="S57" i="9" s="1"/>
  <c r="S58" i="9" s="1"/>
  <c r="S59" i="9" s="1"/>
  <c r="S60" i="9" s="1"/>
  <c r="S61" i="9" s="1"/>
  <c r="S62" i="9" s="1"/>
  <c r="S63" i="9" s="1"/>
  <c r="S64" i="9" s="1"/>
  <c r="S65" i="9" s="1"/>
  <c r="S66" i="9" s="1"/>
  <c r="S67" i="9" s="1"/>
  <c r="S68" i="9" s="1"/>
  <c r="S69" i="9" s="1"/>
  <c r="S70" i="9" s="1"/>
  <c r="S71" i="9" s="1"/>
  <c r="S72" i="9" s="1"/>
  <c r="S73" i="9" s="1"/>
  <c r="S74" i="9" s="1"/>
  <c r="S75" i="9" s="1"/>
  <c r="S76" i="9" s="1"/>
  <c r="S77" i="9" s="1"/>
  <c r="S78" i="9" s="1"/>
  <c r="S79" i="9" s="1"/>
  <c r="S80" i="9" s="1"/>
  <c r="S81" i="9" s="1"/>
  <c r="S82" i="9" s="1"/>
  <c r="S83" i="9" s="1"/>
  <c r="S84" i="9" s="1"/>
  <c r="S85" i="9" s="1"/>
  <c r="S86" i="9" s="1"/>
  <c r="S87" i="9" s="1"/>
  <c r="S88" i="9" s="1"/>
  <c r="S89" i="9" s="1"/>
  <c r="S90" i="9" s="1"/>
  <c r="S91" i="9" s="1"/>
  <c r="S92" i="9" s="1"/>
  <c r="S93" i="9" s="1"/>
  <c r="S94" i="9" s="1"/>
  <c r="S95" i="9" s="1"/>
  <c r="S96" i="9" s="1"/>
  <c r="S97" i="9" s="1"/>
  <c r="S98" i="9" s="1"/>
  <c r="S99" i="9" s="1"/>
  <c r="S100" i="9" s="1"/>
  <c r="S101" i="9" s="1"/>
  <c r="S102" i="9" s="1"/>
  <c r="S103" i="9" s="1"/>
  <c r="S104" i="9" s="1"/>
  <c r="S105" i="9" s="1"/>
  <c r="S106" i="9" s="1"/>
  <c r="S107" i="9" s="1"/>
  <c r="S108" i="9" s="1"/>
  <c r="S109" i="9" s="1"/>
  <c r="S110" i="9" s="1"/>
  <c r="S111" i="9" s="1"/>
  <c r="S112" i="9" s="1"/>
  <c r="S113" i="9" s="1"/>
  <c r="S114" i="9" s="1"/>
  <c r="S115" i="9" s="1"/>
  <c r="S116" i="9" s="1"/>
  <c r="S117" i="9" s="1"/>
  <c r="S118" i="9" s="1"/>
  <c r="S119" i="9" s="1"/>
  <c r="S120" i="9" s="1"/>
  <c r="S121" i="9" s="1"/>
  <c r="S122" i="9" s="1"/>
  <c r="S123" i="9" s="1"/>
  <c r="S124" i="9" s="1"/>
  <c r="S125" i="9" s="1"/>
  <c r="S126" i="9" s="1"/>
  <c r="S127" i="9" s="1"/>
  <c r="S128" i="9" s="1"/>
  <c r="S129" i="9" s="1"/>
  <c r="S130" i="9" s="1"/>
  <c r="S131" i="9" s="1"/>
  <c r="S132" i="9" s="1"/>
  <c r="S133" i="9" s="1"/>
  <c r="S134" i="9" s="1"/>
  <c r="S135" i="9" s="1"/>
  <c r="S136" i="9" s="1"/>
  <c r="S137" i="9" s="1"/>
  <c r="S138" i="9" s="1"/>
  <c r="S139" i="9" s="1"/>
  <c r="S140" i="9" s="1"/>
  <c r="S141" i="9" s="1"/>
  <c r="S142" i="9" s="1"/>
  <c r="S143" i="9" s="1"/>
  <c r="S144" i="9" s="1"/>
  <c r="S145" i="9" s="1"/>
  <c r="S146" i="9" s="1"/>
  <c r="S147" i="9" s="1"/>
  <c r="S148" i="9" s="1"/>
  <c r="S149" i="9" s="1"/>
  <c r="S150" i="9" s="1"/>
  <c r="S151" i="9" s="1"/>
  <c r="S152" i="9" s="1"/>
  <c r="S153" i="9" s="1"/>
  <c r="S154" i="9" s="1"/>
  <c r="S155" i="9" s="1"/>
  <c r="S156" i="9" s="1"/>
  <c r="S157" i="9" s="1"/>
  <c r="S158" i="9" s="1"/>
  <c r="S159" i="9" s="1"/>
  <c r="S160" i="9" s="1"/>
  <c r="S161" i="9" s="1"/>
  <c r="S162" i="9" s="1"/>
  <c r="S163" i="9" s="1"/>
  <c r="S164" i="9" s="1"/>
  <c r="S165" i="9" s="1"/>
  <c r="S166" i="9" s="1"/>
  <c r="S167" i="9" s="1"/>
  <c r="S168" i="9" s="1"/>
  <c r="S169" i="9" s="1"/>
  <c r="S170" i="9" s="1"/>
  <c r="S171" i="9" s="1"/>
  <c r="S172" i="9" s="1"/>
  <c r="S173" i="9" s="1"/>
  <c r="S174" i="9" s="1"/>
  <c r="S175" i="9" s="1"/>
  <c r="S176" i="9" s="1"/>
  <c r="S177" i="9" s="1"/>
  <c r="S178" i="9" s="1"/>
  <c r="S179" i="9" s="1"/>
  <c r="S180" i="9" s="1"/>
  <c r="S181" i="9" s="1"/>
  <c r="S182" i="9" s="1"/>
  <c r="S183" i="9" s="1"/>
  <c r="S184" i="9" s="1"/>
  <c r="S185" i="9" s="1"/>
  <c r="S186" i="9" s="1"/>
  <c r="S187" i="9" s="1"/>
  <c r="S188" i="9" s="1"/>
  <c r="S189" i="9" s="1"/>
  <c r="S190" i="9" s="1"/>
  <c r="S191" i="9" s="1"/>
  <c r="S192" i="9" s="1"/>
  <c r="S193" i="9" s="1"/>
  <c r="S194" i="9" s="1"/>
  <c r="S195" i="9" s="1"/>
  <c r="S196" i="9" s="1"/>
  <c r="S197" i="9" s="1"/>
  <c r="S198" i="9" s="1"/>
  <c r="S199" i="9" s="1"/>
  <c r="S200" i="9" s="1"/>
  <c r="S201" i="9" s="1"/>
  <c r="S202" i="9" s="1"/>
  <c r="S203" i="9" s="1"/>
  <c r="S204" i="9" s="1"/>
  <c r="S205" i="9" s="1"/>
  <c r="S206" i="9" s="1"/>
  <c r="S207" i="9" s="1"/>
  <c r="S208" i="9" s="1"/>
  <c r="S209" i="9" s="1"/>
  <c r="S210" i="9" s="1"/>
  <c r="S211" i="9" s="1"/>
  <c r="S212" i="9" s="1"/>
  <c r="S213" i="9" s="1"/>
  <c r="S214" i="9" s="1"/>
  <c r="S215" i="9" s="1"/>
  <c r="S216" i="9" s="1"/>
  <c r="S217" i="9" s="1"/>
  <c r="S218" i="9" s="1"/>
  <c r="S219" i="9" s="1"/>
  <c r="S220" i="9" s="1"/>
  <c r="S221" i="9" s="1"/>
  <c r="S222" i="9" s="1"/>
  <c r="S223" i="9" s="1"/>
  <c r="S224" i="9" s="1"/>
  <c r="S225" i="9" s="1"/>
  <c r="S226" i="9" s="1"/>
  <c r="S227" i="9" s="1"/>
  <c r="S228" i="9" s="1"/>
  <c r="S229" i="9" s="1"/>
  <c r="S230" i="9" s="1"/>
  <c r="S231" i="9" s="1"/>
  <c r="S232" i="9" s="1"/>
  <c r="S233" i="9" s="1"/>
  <c r="S234" i="9" s="1"/>
  <c r="S235" i="9" s="1"/>
  <c r="S236" i="9" s="1"/>
  <c r="S237" i="9" s="1"/>
  <c r="S238" i="9" s="1"/>
  <c r="S239" i="9" s="1"/>
  <c r="S240" i="9" s="1"/>
  <c r="S241" i="9" s="1"/>
  <c r="S242" i="9" s="1"/>
  <c r="S243" i="9" s="1"/>
  <c r="S244" i="9" s="1"/>
  <c r="S245" i="9" s="1"/>
  <c r="S246" i="9" s="1"/>
  <c r="S247" i="9" s="1"/>
  <c r="S248" i="9" s="1"/>
  <c r="S249" i="9" s="1"/>
  <c r="S250" i="9" s="1"/>
  <c r="S251" i="9" s="1"/>
  <c r="S252" i="9" s="1"/>
  <c r="S253" i="9" s="1"/>
  <c r="S254" i="9" s="1"/>
  <c r="S255" i="9" s="1"/>
  <c r="S256" i="9" s="1"/>
  <c r="S257" i="9" s="1"/>
  <c r="S258" i="9" s="1"/>
  <c r="S259" i="9" s="1"/>
  <c r="S260" i="9" s="1"/>
  <c r="S261" i="9" s="1"/>
  <c r="S262" i="9" s="1"/>
  <c r="S263" i="9" s="1"/>
  <c r="S264" i="9" s="1"/>
  <c r="S265" i="9" s="1"/>
  <c r="S266" i="9" s="1"/>
  <c r="S267" i="9" s="1"/>
  <c r="S268" i="9" s="1"/>
  <c r="S269" i="9" s="1"/>
  <c r="S270" i="9" s="1"/>
  <c r="S271" i="9" s="1"/>
  <c r="S272" i="9" s="1"/>
  <c r="S273" i="9" s="1"/>
  <c r="S274" i="9" s="1"/>
  <c r="S275" i="9" s="1"/>
  <c r="S276" i="9" s="1"/>
  <c r="S277" i="9" s="1"/>
  <c r="S278" i="9" s="1"/>
  <c r="S279" i="9" s="1"/>
  <c r="S280" i="9" s="1"/>
  <c r="S281" i="9" s="1"/>
  <c r="S282" i="9" s="1"/>
  <c r="S283" i="9" s="1"/>
  <c r="S284" i="9" s="1"/>
  <c r="S285" i="9" s="1"/>
  <c r="S286" i="9" s="1"/>
  <c r="S287" i="9" s="1"/>
  <c r="S288" i="9" s="1"/>
  <c r="S289" i="9" s="1"/>
  <c r="S290" i="9" s="1"/>
  <c r="S291" i="9" s="1"/>
  <c r="S292" i="9" s="1"/>
  <c r="S293" i="9" s="1"/>
  <c r="S294" i="9" s="1"/>
  <c r="S295" i="9" s="1"/>
  <c r="S296" i="9" s="1"/>
  <c r="S297" i="9" s="1"/>
  <c r="S298" i="9" s="1"/>
  <c r="S299" i="9" s="1"/>
  <c r="S300" i="9" s="1"/>
  <c r="S301" i="9" s="1"/>
  <c r="S302" i="9" s="1"/>
  <c r="S303" i="9" s="1"/>
  <c r="S304" i="9" s="1"/>
  <c r="S305" i="9" s="1"/>
  <c r="S306" i="9" s="1"/>
  <c r="S307" i="9" s="1"/>
  <c r="S308" i="9" s="1"/>
  <c r="S309" i="9" s="1"/>
  <c r="S310" i="9" s="1"/>
  <c r="S311" i="9" s="1"/>
  <c r="S312" i="9" s="1"/>
  <c r="S313" i="9" s="1"/>
  <c r="S314" i="9" s="1"/>
  <c r="S315" i="9" s="1"/>
  <c r="S316" i="9" s="1"/>
  <c r="S317" i="9" s="1"/>
  <c r="S318" i="9" s="1"/>
  <c r="S319" i="9" s="1"/>
  <c r="S320" i="9" s="1"/>
  <c r="S321" i="9" s="1"/>
  <c r="S322" i="9" s="1"/>
  <c r="S323" i="9" s="1"/>
  <c r="S324" i="9" s="1"/>
  <c r="S325" i="9" s="1"/>
  <c r="S326" i="9" s="1"/>
  <c r="S327" i="9" s="1"/>
  <c r="S328" i="9" s="1"/>
  <c r="S329" i="9" s="1"/>
  <c r="S330" i="9" s="1"/>
  <c r="S331" i="9" s="1"/>
  <c r="S332" i="9" s="1"/>
  <c r="S333" i="9" s="1"/>
  <c r="S334" i="9" s="1"/>
  <c r="S335" i="9" s="1"/>
  <c r="S336" i="9" s="1"/>
  <c r="S337" i="9" s="1"/>
  <c r="S338" i="9" s="1"/>
  <c r="S339" i="9" s="1"/>
  <c r="S340" i="9" s="1"/>
  <c r="S341" i="9" s="1"/>
  <c r="S342" i="9" s="1"/>
  <c r="S343" i="9" s="1"/>
  <c r="S344" i="9" s="1"/>
  <c r="S345" i="9" s="1"/>
  <c r="S346" i="9" s="1"/>
  <c r="S347" i="9" s="1"/>
  <c r="S348" i="9" s="1"/>
  <c r="S349" i="9" s="1"/>
  <c r="S350" i="9" s="1"/>
  <c r="S351" i="9" s="1"/>
  <c r="S352" i="9" s="1"/>
  <c r="S353" i="9" s="1"/>
  <c r="S354" i="9" s="1"/>
  <c r="S355" i="9" s="1"/>
  <c r="S356" i="9" s="1"/>
  <c r="S357" i="9" s="1"/>
  <c r="S358" i="9" s="1"/>
  <c r="S359" i="9" s="1"/>
  <c r="S360" i="9" s="1"/>
  <c r="S361" i="9" s="1"/>
  <c r="S362" i="9" s="1"/>
  <c r="S363" i="9" s="1"/>
  <c r="S364" i="9" s="1"/>
  <c r="S365" i="9" s="1"/>
  <c r="S366" i="9" s="1"/>
  <c r="S367" i="9" s="1"/>
  <c r="S368" i="9" s="1"/>
  <c r="S369" i="9" s="1"/>
  <c r="S370" i="9" s="1"/>
  <c r="S371" i="9" s="1"/>
  <c r="S372" i="9" s="1"/>
  <c r="S373" i="9" s="1"/>
  <c r="S374" i="9" s="1"/>
  <c r="S375" i="9" s="1"/>
  <c r="S376" i="9" s="1"/>
  <c r="S377" i="9" s="1"/>
  <c r="S378" i="9" s="1"/>
  <c r="S379" i="9" s="1"/>
  <c r="S380" i="9" s="1"/>
  <c r="S381" i="9" s="1"/>
  <c r="S382" i="9" s="1"/>
  <c r="S383" i="9" s="1"/>
  <c r="S384" i="9" s="1"/>
  <c r="S385" i="9" s="1"/>
  <c r="S386" i="9" s="1"/>
  <c r="S387" i="9" s="1"/>
  <c r="S388" i="9" s="1"/>
  <c r="S389" i="9" s="1"/>
  <c r="S390" i="9" s="1"/>
  <c r="S391" i="9" s="1"/>
  <c r="S392" i="9" s="1"/>
  <c r="S393" i="9" s="1"/>
  <c r="S394" i="9" s="1"/>
  <c r="S395" i="9" s="1"/>
  <c r="S396" i="9" s="1"/>
  <c r="S397" i="9" s="1"/>
  <c r="S398" i="9" s="1"/>
  <c r="S399" i="9" s="1"/>
  <c r="S400" i="9" s="1"/>
  <c r="S401" i="9" s="1"/>
  <c r="S402" i="9" s="1"/>
  <c r="S403" i="9" s="1"/>
  <c r="S404" i="9" s="1"/>
  <c r="S405" i="9" s="1"/>
  <c r="S406" i="9" s="1"/>
  <c r="S407" i="9" s="1"/>
  <c r="S408" i="9" s="1"/>
  <c r="S409" i="9" s="1"/>
  <c r="S410" i="9" s="1"/>
  <c r="S411" i="9" s="1"/>
  <c r="S412" i="9" s="1"/>
  <c r="S413" i="9" s="1"/>
  <c r="S414" i="9" s="1"/>
  <c r="S415" i="9" s="1"/>
  <c r="S416" i="9" s="1"/>
  <c r="S417" i="9" s="1"/>
  <c r="S418" i="9" s="1"/>
  <c r="S419" i="9" s="1"/>
  <c r="S420" i="9" s="1"/>
  <c r="S421" i="9" s="1"/>
  <c r="S422" i="9" s="1"/>
  <c r="S423" i="9" s="1"/>
  <c r="S424" i="9" s="1"/>
  <c r="S425" i="9" s="1"/>
  <c r="S426" i="9" s="1"/>
  <c r="S427" i="9" s="1"/>
  <c r="S428" i="9" s="1"/>
  <c r="S429" i="9" s="1"/>
  <c r="S430" i="9" s="1"/>
  <c r="S431" i="9" s="1"/>
  <c r="S432" i="9" s="1"/>
  <c r="S433" i="9" s="1"/>
  <c r="S434" i="9" s="1"/>
  <c r="S435" i="9" s="1"/>
  <c r="S436" i="9" s="1"/>
  <c r="S437" i="9" s="1"/>
  <c r="S438" i="9" s="1"/>
  <c r="S439" i="9" s="1"/>
  <c r="S440" i="9" s="1"/>
  <c r="S441" i="9" s="1"/>
  <c r="S442" i="9" s="1"/>
  <c r="S443" i="9" s="1"/>
  <c r="S444" i="9" s="1"/>
  <c r="S445" i="9" s="1"/>
  <c r="S446" i="9" s="1"/>
  <c r="S447" i="9" s="1"/>
  <c r="S448" i="9" s="1"/>
  <c r="S449" i="9" s="1"/>
  <c r="S450" i="9" s="1"/>
  <c r="S451" i="9" s="1"/>
  <c r="S452" i="9" s="1"/>
  <c r="S453" i="9" s="1"/>
  <c r="S454" i="9" s="1"/>
  <c r="S455" i="9" s="1"/>
  <c r="S456" i="9" s="1"/>
  <c r="S457" i="9" s="1"/>
  <c r="S458" i="9" s="1"/>
  <c r="S459" i="9" s="1"/>
  <c r="S460" i="9" s="1"/>
  <c r="S461" i="9" s="1"/>
  <c r="S462" i="9" s="1"/>
  <c r="S463" i="9" s="1"/>
  <c r="S464" i="9" s="1"/>
  <c r="S465" i="9" s="1"/>
  <c r="S466" i="9" s="1"/>
  <c r="S467" i="9" s="1"/>
  <c r="S468" i="9" s="1"/>
  <c r="S469" i="9" s="1"/>
  <c r="S470" i="9" s="1"/>
  <c r="S471" i="9" s="1"/>
  <c r="S472" i="9" s="1"/>
  <c r="S473" i="9" s="1"/>
  <c r="S474" i="9" s="1"/>
  <c r="S475" i="9" s="1"/>
  <c r="S476" i="9" s="1"/>
  <c r="S477" i="9" s="1"/>
  <c r="S478" i="9" s="1"/>
  <c r="S479" i="9" s="1"/>
  <c r="S480" i="9" s="1"/>
  <c r="S481" i="9" s="1"/>
  <c r="S482" i="9" s="1"/>
  <c r="S483" i="9" s="1"/>
  <c r="S484" i="9" s="1"/>
  <c r="S485" i="9" s="1"/>
  <c r="S486" i="9" s="1"/>
  <c r="S487" i="9" s="1"/>
  <c r="S488" i="9" s="1"/>
  <c r="S489" i="9" s="1"/>
  <c r="S490" i="9" s="1"/>
  <c r="S491" i="9" s="1"/>
  <c r="S492" i="9" s="1"/>
  <c r="S493" i="9" s="1"/>
  <c r="S494" i="9" s="1"/>
  <c r="S495" i="9" s="1"/>
  <c r="S496" i="9" s="1"/>
  <c r="S497" i="9" s="1"/>
  <c r="S498" i="9" s="1"/>
  <c r="S499" i="9" s="1"/>
  <c r="S500" i="9" s="1"/>
  <c r="S501" i="9" s="1"/>
  <c r="S502" i="9" s="1"/>
  <c r="S503" i="9" s="1"/>
  <c r="S504" i="9" s="1"/>
  <c r="S505" i="9" s="1"/>
  <c r="S506" i="9" s="1"/>
  <c r="S507" i="9" s="1"/>
  <c r="S508" i="9" s="1"/>
  <c r="S509" i="9" s="1"/>
  <c r="S510" i="9" s="1"/>
  <c r="S511" i="9" s="1"/>
  <c r="S512" i="9" s="1"/>
  <c r="S513" i="9" s="1"/>
  <c r="S514" i="9" s="1"/>
  <c r="S515" i="9" s="1"/>
  <c r="S516" i="9" s="1"/>
  <c r="S517" i="9" s="1"/>
  <c r="S518" i="9" s="1"/>
  <c r="S519" i="9" s="1"/>
  <c r="S520" i="9" s="1"/>
  <c r="S521" i="9" s="1"/>
  <c r="S522" i="9" s="1"/>
  <c r="S523" i="9" s="1"/>
  <c r="S524" i="9" s="1"/>
  <c r="S525" i="9" s="1"/>
  <c r="S526" i="9" s="1"/>
  <c r="S527" i="9" s="1"/>
  <c r="S528" i="9" s="1"/>
  <c r="S529" i="9" s="1"/>
  <c r="S530" i="9" s="1"/>
  <c r="S531" i="9" s="1"/>
  <c r="S532" i="9" s="1"/>
  <c r="S533" i="9" s="1"/>
  <c r="S534" i="9" s="1"/>
  <c r="S535" i="9" s="1"/>
  <c r="S536" i="9" s="1"/>
  <c r="S537" i="9" s="1"/>
  <c r="S538" i="9" s="1"/>
  <c r="S539" i="9" s="1"/>
  <c r="S540" i="9" s="1"/>
  <c r="S541" i="9" s="1"/>
  <c r="S542" i="9" s="1"/>
  <c r="S543" i="9" s="1"/>
  <c r="S544" i="9" s="1"/>
  <c r="S545" i="9" s="1"/>
  <c r="S546" i="9" s="1"/>
  <c r="S547" i="9" s="1"/>
  <c r="S548" i="9" s="1"/>
  <c r="S549" i="9" s="1"/>
  <c r="S550" i="9" s="1"/>
  <c r="S551" i="9" s="1"/>
  <c r="S552" i="9" s="1"/>
  <c r="S553" i="9" s="1"/>
  <c r="S554" i="9" s="1"/>
  <c r="S555" i="9" s="1"/>
  <c r="S556" i="9" s="1"/>
  <c r="S557" i="9" s="1"/>
  <c r="S558" i="9" s="1"/>
  <c r="S559" i="9" s="1"/>
  <c r="S560" i="9" s="1"/>
  <c r="S561" i="9" s="1"/>
  <c r="S562" i="9" s="1"/>
  <c r="S563" i="9" s="1"/>
  <c r="S564" i="9" s="1"/>
  <c r="S565" i="9" s="1"/>
  <c r="S566" i="9" s="1"/>
  <c r="S567" i="9" s="1"/>
  <c r="S568" i="9" s="1"/>
  <c r="S569" i="9" s="1"/>
  <c r="S570" i="9" s="1"/>
  <c r="S571" i="9" s="1"/>
  <c r="S572" i="9" s="1"/>
  <c r="S573" i="9" s="1"/>
  <c r="S574" i="9" s="1"/>
  <c r="S575" i="9" s="1"/>
  <c r="S576" i="9" s="1"/>
  <c r="S577" i="9" s="1"/>
  <c r="S578" i="9" s="1"/>
  <c r="S579" i="9" s="1"/>
  <c r="S580" i="9" s="1"/>
  <c r="S581" i="9" s="1"/>
  <c r="S582" i="9" s="1"/>
  <c r="S583" i="9" s="1"/>
  <c r="S584" i="9" s="1"/>
  <c r="S585" i="9" s="1"/>
  <c r="S586" i="9" s="1"/>
  <c r="S587" i="9" s="1"/>
  <c r="S588" i="9" s="1"/>
  <c r="S589" i="9" s="1"/>
  <c r="S590" i="9" s="1"/>
  <c r="S591" i="9" s="1"/>
  <c r="S592" i="9" s="1"/>
  <c r="S593" i="9" s="1"/>
  <c r="S594" i="9" s="1"/>
  <c r="S595" i="9" s="1"/>
  <c r="S596" i="9" s="1"/>
  <c r="S597" i="9" s="1"/>
  <c r="S598" i="9" s="1"/>
  <c r="S599" i="9" s="1"/>
  <c r="S600" i="9" s="1"/>
  <c r="S601" i="9" s="1"/>
  <c r="S602" i="9" s="1"/>
  <c r="S603" i="9" s="1"/>
  <c r="S604" i="9" s="1"/>
  <c r="S605" i="9" s="1"/>
  <c r="S606" i="9" s="1"/>
  <c r="S607" i="9" s="1"/>
  <c r="S608" i="9" s="1"/>
  <c r="S609" i="9" s="1"/>
  <c r="S610" i="9" s="1"/>
  <c r="S611" i="9" s="1"/>
  <c r="S612" i="9" s="1"/>
  <c r="S613" i="9" s="1"/>
  <c r="S614" i="9" s="1"/>
  <c r="S615" i="9" s="1"/>
  <c r="S616" i="9" s="1"/>
  <c r="S617" i="9" s="1"/>
  <c r="S618" i="9" s="1"/>
  <c r="S619" i="9" s="1"/>
  <c r="S620" i="9" s="1"/>
  <c r="S621" i="9" s="1"/>
  <c r="S622" i="9" s="1"/>
  <c r="S623" i="9" s="1"/>
  <c r="S624" i="9" s="1"/>
  <c r="S625" i="9" s="1"/>
  <c r="S626" i="9" s="1"/>
  <c r="S627" i="9" s="1"/>
  <c r="S628" i="9" s="1"/>
  <c r="S629" i="9" s="1"/>
  <c r="S630" i="9" s="1"/>
  <c r="S631" i="9" s="1"/>
  <c r="S632" i="9" s="1"/>
  <c r="S633" i="9" s="1"/>
  <c r="S634" i="9" s="1"/>
  <c r="S635" i="9" s="1"/>
  <c r="S636" i="9" s="1"/>
  <c r="S637" i="9" s="1"/>
  <c r="S638" i="9" s="1"/>
  <c r="S639" i="9" s="1"/>
  <c r="S640" i="9" s="1"/>
  <c r="S641" i="9" s="1"/>
  <c r="S642" i="9" s="1"/>
  <c r="S643" i="9" s="1"/>
  <c r="S644" i="9" s="1"/>
  <c r="S645" i="9" s="1"/>
  <c r="S646" i="9" s="1"/>
  <c r="S647" i="9" s="1"/>
  <c r="S648" i="9" s="1"/>
  <c r="S649" i="9" s="1"/>
  <c r="S650" i="9" s="1"/>
  <c r="S651" i="9" s="1"/>
  <c r="S652" i="9" s="1"/>
  <c r="S653" i="9" s="1"/>
  <c r="S654" i="9" s="1"/>
  <c r="S655" i="9" s="1"/>
  <c r="S656" i="9" s="1"/>
  <c r="S657" i="9" s="1"/>
  <c r="S658" i="9" s="1"/>
  <c r="S659" i="9" s="1"/>
  <c r="S660" i="9" s="1"/>
  <c r="S661" i="9" s="1"/>
  <c r="S662" i="9" s="1"/>
  <c r="S663" i="9" s="1"/>
  <c r="S664" i="9" s="1"/>
  <c r="S665" i="9" s="1"/>
  <c r="S666" i="9" s="1"/>
  <c r="S667" i="9" s="1"/>
  <c r="S668" i="9" s="1"/>
  <c r="S669" i="9" s="1"/>
  <c r="S670" i="9" s="1"/>
  <c r="S671" i="9" s="1"/>
  <c r="S672" i="9" s="1"/>
  <c r="S673" i="9" s="1"/>
  <c r="S674" i="9" s="1"/>
  <c r="S675" i="9" s="1"/>
  <c r="S676" i="9" s="1"/>
  <c r="S677" i="9" s="1"/>
  <c r="S678" i="9" s="1"/>
  <c r="S679" i="9" s="1"/>
  <c r="S680" i="9" s="1"/>
  <c r="S681" i="9" s="1"/>
  <c r="S682" i="9" s="1"/>
  <c r="S683" i="9" s="1"/>
  <c r="S684" i="9" s="1"/>
  <c r="S685" i="9" s="1"/>
  <c r="S686" i="9" s="1"/>
  <c r="S687" i="9" s="1"/>
  <c r="S688" i="9" s="1"/>
  <c r="S689" i="9" s="1"/>
  <c r="S690" i="9" s="1"/>
  <c r="S691" i="9" s="1"/>
  <c r="S692" i="9" s="1"/>
  <c r="S693" i="9" s="1"/>
  <c r="S694" i="9" s="1"/>
  <c r="S695" i="9" s="1"/>
  <c r="S696" i="9" s="1"/>
  <c r="S697" i="9" s="1"/>
  <c r="S698" i="9" s="1"/>
  <c r="S699" i="9" s="1"/>
  <c r="S700" i="9" s="1"/>
  <c r="S701" i="9" s="1"/>
  <c r="S702" i="9" s="1"/>
  <c r="S703" i="9" s="1"/>
  <c r="S704" i="9" s="1"/>
  <c r="S705" i="9" s="1"/>
  <c r="S706" i="9" s="1"/>
  <c r="S707" i="9" s="1"/>
  <c r="S708" i="9" s="1"/>
  <c r="S709" i="9" s="1"/>
  <c r="S710" i="9" s="1"/>
  <c r="S711" i="9" s="1"/>
  <c r="S712" i="9" s="1"/>
  <c r="S713" i="9" s="1"/>
  <c r="S714" i="9" s="1"/>
  <c r="S715" i="9" s="1"/>
  <c r="S716" i="9" s="1"/>
  <c r="S717" i="9" s="1"/>
  <c r="S718" i="9" s="1"/>
  <c r="S719" i="9" s="1"/>
  <c r="S720" i="9" s="1"/>
  <c r="S721" i="9" s="1"/>
  <c r="S722" i="9" s="1"/>
  <c r="S723" i="9" s="1"/>
  <c r="S724" i="9" s="1"/>
  <c r="S725" i="9" s="1"/>
  <c r="S726" i="9" s="1"/>
  <c r="S727" i="9" s="1"/>
  <c r="S728" i="9" s="1"/>
  <c r="S729" i="9" s="1"/>
  <c r="S730" i="9" s="1"/>
  <c r="S731" i="9" s="1"/>
  <c r="S732" i="9" s="1"/>
  <c r="S733" i="9" s="1"/>
  <c r="S734" i="9" s="1"/>
  <c r="S735" i="9" s="1"/>
  <c r="S736" i="9" s="1"/>
  <c r="S737" i="9" s="1"/>
  <c r="S738" i="9" s="1"/>
  <c r="S739" i="9" s="1"/>
  <c r="S740" i="9" s="1"/>
  <c r="S741" i="9" s="1"/>
  <c r="S742" i="9" s="1"/>
  <c r="S743" i="9" s="1"/>
  <c r="S744" i="9" s="1"/>
  <c r="S745" i="9" s="1"/>
  <c r="S746" i="9" s="1"/>
  <c r="S747" i="9" s="1"/>
  <c r="S748" i="9" s="1"/>
  <c r="S749" i="9" s="1"/>
  <c r="S750" i="9" s="1"/>
  <c r="S751" i="9" s="1"/>
  <c r="S752" i="9" s="1"/>
  <c r="S753" i="9" s="1"/>
  <c r="S754" i="9" s="1"/>
  <c r="S755" i="9" s="1"/>
  <c r="S756" i="9" s="1"/>
  <c r="S757" i="9" s="1"/>
  <c r="S758" i="9" s="1"/>
  <c r="S759" i="9" s="1"/>
  <c r="S760" i="9" s="1"/>
  <c r="S761" i="9" s="1"/>
  <c r="S762" i="9" s="1"/>
  <c r="S763" i="9" s="1"/>
  <c r="S764" i="9" s="1"/>
  <c r="S765" i="9" s="1"/>
  <c r="S766" i="9" s="1"/>
  <c r="S767" i="9" s="1"/>
  <c r="S768" i="9" s="1"/>
  <c r="S769" i="9" s="1"/>
  <c r="S770" i="9" s="1"/>
  <c r="S771" i="9" s="1"/>
  <c r="S772" i="9" s="1"/>
  <c r="S773" i="9" s="1"/>
  <c r="S774" i="9" s="1"/>
  <c r="S775" i="9" s="1"/>
  <c r="N2" i="9"/>
  <c r="S776" i="9" l="1"/>
  <c r="S777" i="9" s="1"/>
  <c r="S778" i="9" s="1"/>
  <c r="S779" i="9" s="1"/>
  <c r="S780" i="9" s="1"/>
  <c r="S781" i="9" s="1"/>
  <c r="S782" i="9" s="1"/>
  <c r="S783" i="9" s="1"/>
  <c r="S784" i="9" s="1"/>
  <c r="S785" i="9" s="1"/>
  <c r="S786" i="9" s="1"/>
  <c r="S787" i="9" s="1"/>
  <c r="S788" i="9" s="1"/>
  <c r="S789" i="9" s="1"/>
  <c r="S790" i="9" s="1"/>
  <c r="S791" i="9" s="1"/>
  <c r="S792" i="9" s="1"/>
  <c r="S793" i="9" s="1"/>
  <c r="S794" i="9" s="1"/>
  <c r="S795" i="9" s="1"/>
  <c r="S796" i="9" s="1"/>
  <c r="S797" i="9" s="1"/>
  <c r="S798" i="9" s="1"/>
  <c r="S799" i="9" s="1"/>
  <c r="S800" i="9" s="1"/>
  <c r="S801" i="9" s="1"/>
  <c r="S802" i="9" s="1"/>
  <c r="S803" i="9" s="1"/>
  <c r="S804" i="9" s="1"/>
  <c r="S805" i="9" s="1"/>
  <c r="S806" i="9" s="1"/>
  <c r="S807" i="9" s="1"/>
  <c r="S808" i="9" s="1"/>
  <c r="S809" i="9" s="1"/>
  <c r="S810" i="9" s="1"/>
  <c r="S811" i="9" s="1"/>
  <c r="S812" i="9" s="1"/>
  <c r="S813" i="9" s="1"/>
  <c r="S814" i="9" s="1"/>
  <c r="S815" i="9" s="1"/>
  <c r="S816" i="9" s="1"/>
  <c r="S817" i="9" s="1"/>
  <c r="S818" i="9" s="1"/>
  <c r="S819" i="9" s="1"/>
  <c r="S820" i="9" s="1"/>
  <c r="S821" i="9" s="1"/>
  <c r="S822" i="9" s="1"/>
  <c r="S823" i="9" s="1"/>
  <c r="S824" i="9" s="1"/>
  <c r="S825" i="9" s="1"/>
  <c r="S826" i="9" s="1"/>
  <c r="S827" i="9" s="1"/>
  <c r="S828" i="9" s="1"/>
  <c r="S829" i="9" s="1"/>
  <c r="S830" i="9" s="1"/>
  <c r="S831" i="9" s="1"/>
  <c r="S832" i="9" s="1"/>
  <c r="S833" i="9" s="1"/>
  <c r="S834" i="9" s="1"/>
  <c r="S835" i="9" s="1"/>
  <c r="S836" i="9" s="1"/>
  <c r="S837" i="9" s="1"/>
  <c r="S838" i="9" s="1"/>
  <c r="S839" i="9" s="1"/>
  <c r="S840" i="9" s="1"/>
  <c r="S841" i="9" s="1"/>
  <c r="S842" i="9" s="1"/>
  <c r="S843" i="9" s="1"/>
  <c r="S844" i="9" s="1"/>
  <c r="S845" i="9" s="1"/>
  <c r="S846" i="9" s="1"/>
  <c r="S847" i="9" s="1"/>
  <c r="S848" i="9" s="1"/>
  <c r="S849" i="9" s="1"/>
  <c r="S850" i="9" s="1"/>
  <c r="S851" i="9" s="1"/>
  <c r="S852" i="9" s="1"/>
  <c r="S853" i="9" s="1"/>
  <c r="S854" i="9" s="1"/>
  <c r="S855" i="9" s="1"/>
  <c r="S856" i="9" s="1"/>
  <c r="S857" i="9" s="1"/>
  <c r="S858" i="9" s="1"/>
  <c r="S859" i="9" s="1"/>
  <c r="S860" i="9" s="1"/>
  <c r="S861" i="9" s="1"/>
  <c r="S862" i="9" s="1"/>
  <c r="S863" i="9" s="1"/>
  <c r="S864" i="9" s="1"/>
  <c r="S865" i="9" s="1"/>
  <c r="S866" i="9" s="1"/>
  <c r="S867" i="9" s="1"/>
  <c r="S868" i="9" s="1"/>
  <c r="S869" i="9" s="1"/>
  <c r="S870" i="9" s="1"/>
  <c r="S871" i="9" s="1"/>
  <c r="S872" i="9" s="1"/>
  <c r="S873" i="9" s="1"/>
  <c r="S874" i="9" s="1"/>
  <c r="S875" i="9" s="1"/>
  <c r="S876" i="9" s="1"/>
  <c r="S877" i="9" s="1"/>
  <c r="S878" i="9" s="1"/>
  <c r="S879" i="9" s="1"/>
  <c r="S880" i="9" s="1"/>
  <c r="S881" i="9" s="1"/>
  <c r="S882" i="9" s="1"/>
  <c r="S883" i="9" s="1"/>
  <c r="S884" i="9" s="1"/>
  <c r="S885" i="9" s="1"/>
  <c r="S886" i="9" s="1"/>
  <c r="S887" i="9" s="1"/>
  <c r="S888" i="9" s="1"/>
  <c r="S889" i="9" s="1"/>
  <c r="S890" i="9" s="1"/>
  <c r="S891" i="9" s="1"/>
  <c r="F71" i="15"/>
  <c r="K55" i="15"/>
  <c r="I54" i="15"/>
  <c r="J55" i="15"/>
  <c r="I55" i="15"/>
  <c r="G54" i="15"/>
  <c r="F55" i="15"/>
  <c r="E54" i="15"/>
  <c r="G55" i="15"/>
  <c r="E53" i="15"/>
  <c r="N54" i="15"/>
  <c r="M54" i="15"/>
  <c r="N55" i="15"/>
  <c r="K54" i="15"/>
  <c r="L55" i="15"/>
  <c r="H54" i="15"/>
  <c r="O54" i="15"/>
  <c r="P55" i="15"/>
  <c r="P53" i="15" s="1"/>
  <c r="P56" i="15" s="1"/>
  <c r="O55" i="15"/>
  <c r="L54" i="15"/>
  <c r="J54" i="15"/>
  <c r="H55" i="15"/>
  <c r="F54" i="15"/>
  <c r="E55" i="15"/>
  <c r="M55" i="15"/>
  <c r="F61" i="15"/>
  <c r="S892" i="9" l="1"/>
  <c r="S893" i="9" s="1"/>
  <c r="P32" i="15"/>
  <c r="P37" i="15" s="1"/>
  <c r="O31" i="15"/>
  <c r="E30" i="15"/>
  <c r="O32" i="15"/>
  <c r="O37" i="15" s="1"/>
  <c r="N32" i="15"/>
  <c r="N37" i="15" s="1"/>
  <c r="M31" i="15"/>
  <c r="K32" i="15"/>
  <c r="K37" i="15" s="1"/>
  <c r="H32" i="15"/>
  <c r="H37" i="15" s="1"/>
  <c r="F31" i="15"/>
  <c r="F36" i="15" s="1"/>
  <c r="P31" i="15"/>
  <c r="M32" i="15"/>
  <c r="M37" i="15" s="1"/>
  <c r="L31" i="15"/>
  <c r="I31" i="15"/>
  <c r="I36" i="15" s="1"/>
  <c r="H31" i="15"/>
  <c r="H36" i="15" s="1"/>
  <c r="G31" i="15"/>
  <c r="G36" i="15" s="1"/>
  <c r="F32" i="15"/>
  <c r="F37" i="15" s="1"/>
  <c r="N31" i="15"/>
  <c r="L32" i="15"/>
  <c r="L37" i="15" s="1"/>
  <c r="K31" i="15"/>
  <c r="J31" i="15"/>
  <c r="J36" i="15" s="1"/>
  <c r="I32" i="15"/>
  <c r="I37" i="15" s="1"/>
  <c r="G32" i="15"/>
  <c r="G37" i="15" s="1"/>
  <c r="E32" i="15"/>
  <c r="E31" i="15"/>
  <c r="J32" i="15"/>
  <c r="J37" i="15" s="1"/>
  <c r="G58" i="15"/>
  <c r="R55" i="15"/>
  <c r="Q55" i="15"/>
  <c r="R54" i="15"/>
  <c r="Q54" i="15"/>
  <c r="E56" i="15"/>
  <c r="F53" i="15" s="1"/>
  <c r="F56" i="15" s="1"/>
  <c r="G53" i="15" s="1"/>
  <c r="G56" i="15" s="1"/>
  <c r="H53" i="15" s="1"/>
  <c r="H56" i="15" s="1"/>
  <c r="I53" i="15" s="1"/>
  <c r="I56" i="15" s="1"/>
  <c r="J53" i="15" s="1"/>
  <c r="J56" i="15" s="1"/>
  <c r="K53" i="15" s="1"/>
  <c r="K56" i="15" s="1"/>
  <c r="L53" i="15" s="1"/>
  <c r="L56" i="15" s="1"/>
  <c r="M53" i="15" s="1"/>
  <c r="M56" i="15" s="1"/>
  <c r="N53" i="15" s="1"/>
  <c r="N56" i="15" s="1"/>
  <c r="O53" i="15" s="1"/>
  <c r="O56" i="15" s="1"/>
  <c r="G68" i="15"/>
  <c r="N3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N32" i="8"/>
  <c r="N33" i="8"/>
  <c r="N34" i="8"/>
  <c r="N35" i="8"/>
  <c r="N36" i="8"/>
  <c r="N37" i="8"/>
  <c r="N38" i="8"/>
  <c r="N39" i="8"/>
  <c r="N40" i="8"/>
  <c r="N41" i="8"/>
  <c r="N42" i="8"/>
  <c r="N43" i="8"/>
  <c r="N44" i="8"/>
  <c r="N45" i="8"/>
  <c r="N46" i="8"/>
  <c r="N47" i="8"/>
  <c r="N48" i="8"/>
  <c r="N49" i="8"/>
  <c r="N50" i="8"/>
  <c r="N51" i="8"/>
  <c r="N52" i="8"/>
  <c r="N53" i="8"/>
  <c r="N54" i="8"/>
  <c r="N55" i="8"/>
  <c r="N56" i="8"/>
  <c r="N57" i="8"/>
  <c r="N58" i="8"/>
  <c r="N59" i="8"/>
  <c r="N60" i="8"/>
  <c r="N61" i="8"/>
  <c r="N62" i="8"/>
  <c r="N63" i="8"/>
  <c r="N64" i="8"/>
  <c r="N69" i="8"/>
  <c r="N70" i="8"/>
  <c r="N71" i="8"/>
  <c r="N72" i="8"/>
  <c r="N73" i="8"/>
  <c r="N74" i="8"/>
  <c r="N75" i="8"/>
  <c r="N76" i="8"/>
  <c r="N77" i="8"/>
  <c r="N78" i="8"/>
  <c r="N79" i="8"/>
  <c r="N80" i="8"/>
  <c r="N81" i="8"/>
  <c r="N82" i="8"/>
  <c r="N83" i="8"/>
  <c r="N84" i="8"/>
  <c r="N85" i="8"/>
  <c r="N86" i="8"/>
  <c r="N87" i="8"/>
  <c r="N88" i="8"/>
  <c r="N89" i="8"/>
  <c r="N90" i="8"/>
  <c r="N91" i="8"/>
  <c r="N92" i="8"/>
  <c r="N93" i="8"/>
  <c r="N94" i="8"/>
  <c r="N95" i="8"/>
  <c r="N96" i="8"/>
  <c r="N97" i="8"/>
  <c r="N98" i="8"/>
  <c r="N99" i="8"/>
  <c r="N100" i="8"/>
  <c r="N101" i="8"/>
  <c r="N102" i="8"/>
  <c r="N103" i="8"/>
  <c r="N104" i="8"/>
  <c r="N105" i="8"/>
  <c r="N106" i="8"/>
  <c r="N107" i="8"/>
  <c r="N108" i="8"/>
  <c r="N109" i="8"/>
  <c r="N110" i="8"/>
  <c r="N111" i="8"/>
  <c r="N112" i="8"/>
  <c r="N113" i="8"/>
  <c r="N114" i="8"/>
  <c r="N115" i="8"/>
  <c r="N116" i="8"/>
  <c r="N117" i="8"/>
  <c r="N118" i="8"/>
  <c r="N119" i="8"/>
  <c r="N120" i="8"/>
  <c r="N121" i="8"/>
  <c r="N122" i="8"/>
  <c r="N123" i="8"/>
  <c r="N124" i="8"/>
  <c r="N125" i="8"/>
  <c r="N126" i="8"/>
  <c r="N129" i="8"/>
  <c r="N130" i="8"/>
  <c r="N131" i="8"/>
  <c r="N132" i="8"/>
  <c r="N133" i="8"/>
  <c r="N134" i="8"/>
  <c r="N135" i="8"/>
  <c r="N136" i="8"/>
  <c r="N137" i="8"/>
  <c r="N138" i="8"/>
  <c r="N139" i="8"/>
  <c r="N140" i="8"/>
  <c r="N141" i="8"/>
  <c r="N142" i="8"/>
  <c r="N143" i="8"/>
  <c r="N144" i="8"/>
  <c r="N145" i="8"/>
  <c r="N146" i="8"/>
  <c r="N147" i="8"/>
  <c r="N148" i="8"/>
  <c r="N149" i="8"/>
  <c r="N150" i="8"/>
  <c r="N151" i="8"/>
  <c r="N152" i="8"/>
  <c r="N153" i="8"/>
  <c r="N154" i="8"/>
  <c r="N155" i="8"/>
  <c r="N156" i="8"/>
  <c r="N157" i="8"/>
  <c r="N158" i="8"/>
  <c r="N159" i="8"/>
  <c r="N160" i="8"/>
  <c r="N161" i="8"/>
  <c r="N162" i="8"/>
  <c r="N163" i="8"/>
  <c r="N164" i="8"/>
  <c r="N165" i="8"/>
  <c r="N166" i="8"/>
  <c r="N167" i="8"/>
  <c r="N168" i="8"/>
  <c r="N169" i="8"/>
  <c r="N170" i="8"/>
  <c r="N171" i="8"/>
  <c r="N172" i="8"/>
  <c r="N173" i="8"/>
  <c r="N174" i="8"/>
  <c r="N175" i="8"/>
  <c r="N176" i="8"/>
  <c r="N177" i="8"/>
  <c r="N178" i="8"/>
  <c r="N179" i="8"/>
  <c r="N180" i="8"/>
  <c r="N181" i="8"/>
  <c r="N182" i="8"/>
  <c r="N183" i="8"/>
  <c r="N184" i="8"/>
  <c r="N185" i="8"/>
  <c r="N186" i="8"/>
  <c r="N187" i="8"/>
  <c r="N188" i="8"/>
  <c r="N189" i="8"/>
  <c r="N190" i="8"/>
  <c r="N191" i="8"/>
  <c r="N192" i="8"/>
  <c r="N193" i="8"/>
  <c r="N194" i="8"/>
  <c r="N195" i="8"/>
  <c r="N196" i="8"/>
  <c r="N197" i="8"/>
  <c r="N198" i="8"/>
  <c r="N199" i="8"/>
  <c r="N200" i="8"/>
  <c r="N201" i="8"/>
  <c r="N202" i="8"/>
  <c r="N203" i="8"/>
  <c r="N204" i="8"/>
  <c r="N205" i="8"/>
  <c r="N206" i="8"/>
  <c r="N207" i="8"/>
  <c r="N208" i="8"/>
  <c r="N209" i="8"/>
  <c r="N210" i="8"/>
  <c r="N211" i="8"/>
  <c r="N212" i="8"/>
  <c r="N215" i="8"/>
  <c r="N216" i="8"/>
  <c r="N217" i="8"/>
  <c r="N218" i="8"/>
  <c r="N219" i="8"/>
  <c r="N220" i="8"/>
  <c r="N221" i="8"/>
  <c r="N222" i="8"/>
  <c r="N223" i="8"/>
  <c r="N224" i="8"/>
  <c r="N225" i="8"/>
  <c r="N226" i="8"/>
  <c r="N227" i="8"/>
  <c r="N228" i="8"/>
  <c r="N229" i="8"/>
  <c r="N230" i="8"/>
  <c r="N231" i="8"/>
  <c r="N232" i="8"/>
  <c r="N233" i="8"/>
  <c r="N234" i="8"/>
  <c r="N235" i="8"/>
  <c r="N236" i="8"/>
  <c r="N237" i="8"/>
  <c r="N238" i="8"/>
  <c r="N239" i="8"/>
  <c r="N242" i="8"/>
  <c r="N243" i="8"/>
  <c r="N244" i="8"/>
  <c r="N245" i="8"/>
  <c r="N246" i="8"/>
  <c r="N247" i="8"/>
  <c r="N248" i="8"/>
  <c r="N249" i="8"/>
  <c r="N250" i="8"/>
  <c r="N251" i="8"/>
  <c r="N254" i="8"/>
  <c r="N255" i="8"/>
  <c r="N256" i="8"/>
  <c r="N257" i="8"/>
  <c r="N258" i="8"/>
  <c r="N259" i="8"/>
  <c r="N260" i="8"/>
  <c r="N261" i="8"/>
  <c r="N262" i="8"/>
  <c r="N263" i="8"/>
  <c r="N264" i="8"/>
  <c r="N265" i="8"/>
  <c r="N266" i="8"/>
  <c r="N267" i="8"/>
  <c r="N268" i="8"/>
  <c r="N269" i="8"/>
  <c r="N270" i="8"/>
  <c r="N271" i="8"/>
  <c r="N272" i="8"/>
  <c r="N273" i="8"/>
  <c r="N274" i="8"/>
  <c r="N275" i="8"/>
  <c r="N276" i="8"/>
  <c r="N277" i="8"/>
  <c r="N278" i="8"/>
  <c r="N279" i="8"/>
  <c r="N280" i="8"/>
  <c r="N281" i="8"/>
  <c r="N282" i="8"/>
  <c r="N283" i="8"/>
  <c r="N284" i="8"/>
  <c r="N285" i="8"/>
  <c r="N286" i="8"/>
  <c r="N287" i="8"/>
  <c r="N288" i="8"/>
  <c r="N291" i="8"/>
  <c r="N292" i="8"/>
  <c r="N293" i="8"/>
  <c r="N294" i="8"/>
  <c r="N295" i="8"/>
  <c r="N296" i="8"/>
  <c r="N297" i="8"/>
  <c r="N298" i="8"/>
  <c r="N299" i="8"/>
  <c r="N300" i="8"/>
  <c r="N301" i="8"/>
  <c r="N302" i="8"/>
  <c r="N303" i="8"/>
  <c r="N304" i="8"/>
  <c r="N305" i="8"/>
  <c r="N306" i="8"/>
  <c r="N307" i="8"/>
  <c r="N308" i="8"/>
  <c r="N309" i="8"/>
  <c r="N310" i="8"/>
  <c r="N311" i="8"/>
  <c r="N312" i="8"/>
  <c r="N313" i="8"/>
  <c r="N314" i="8"/>
  <c r="N315" i="8"/>
  <c r="N316" i="8"/>
  <c r="N317" i="8"/>
  <c r="N318" i="8"/>
  <c r="N319" i="8"/>
  <c r="N320" i="8"/>
  <c r="N324" i="8"/>
  <c r="N325" i="8"/>
  <c r="N326" i="8"/>
  <c r="N327" i="8"/>
  <c r="N328" i="8"/>
  <c r="N329" i="8"/>
  <c r="N333" i="8"/>
  <c r="N334" i="8"/>
  <c r="N335" i="8"/>
  <c r="N336" i="8"/>
  <c r="N337" i="8"/>
  <c r="N338" i="8"/>
  <c r="N339" i="8"/>
  <c r="N340" i="8"/>
  <c r="N341" i="8"/>
  <c r="N342" i="8"/>
  <c r="N345" i="8"/>
  <c r="N346" i="8"/>
  <c r="N347" i="8"/>
  <c r="N348" i="8"/>
  <c r="N352" i="8"/>
  <c r="N353" i="8"/>
  <c r="N354" i="8"/>
  <c r="N355" i="8"/>
  <c r="N356" i="8"/>
  <c r="N357" i="8"/>
  <c r="N358" i="8"/>
  <c r="N359" i="8"/>
  <c r="N360" i="8"/>
  <c r="N361" i="8"/>
  <c r="N362" i="8"/>
  <c r="N365" i="8"/>
  <c r="N366" i="8"/>
  <c r="N367" i="8"/>
  <c r="N368" i="8"/>
  <c r="N369" i="8"/>
  <c r="N370" i="8"/>
  <c r="N371" i="8"/>
  <c r="N372" i="8"/>
  <c r="N373" i="8"/>
  <c r="N376" i="8"/>
  <c r="N377" i="8"/>
  <c r="N378" i="8"/>
  <c r="N379" i="8"/>
  <c r="N380" i="8"/>
  <c r="N381" i="8"/>
  <c r="N382" i="8"/>
  <c r="N383" i="8"/>
  <c r="N384" i="8"/>
  <c r="N385" i="8"/>
  <c r="N386" i="8"/>
  <c r="N387" i="8"/>
  <c r="N388" i="8"/>
  <c r="N389" i="8"/>
  <c r="N390" i="8"/>
  <c r="N391" i="8"/>
  <c r="N392" i="8"/>
  <c r="N393" i="8"/>
  <c r="N394" i="8"/>
  <c r="N395" i="8"/>
  <c r="N396" i="8"/>
  <c r="N404" i="8"/>
  <c r="N405" i="8"/>
  <c r="N406" i="8"/>
  <c r="N407" i="8"/>
  <c r="N408" i="8"/>
  <c r="N409" i="8"/>
  <c r="N410" i="8"/>
  <c r="N411" i="8"/>
  <c r="N412" i="8"/>
  <c r="N413" i="8"/>
  <c r="N414" i="8"/>
  <c r="N415" i="8"/>
  <c r="N416" i="8"/>
  <c r="N417" i="8"/>
  <c r="N420" i="8"/>
  <c r="N421" i="8"/>
  <c r="N422" i="8"/>
  <c r="N423" i="8"/>
  <c r="N424" i="8"/>
  <c r="N425" i="8"/>
  <c r="N429" i="8"/>
  <c r="N432" i="8"/>
  <c r="N433" i="8"/>
  <c r="N434" i="8"/>
  <c r="N435" i="8"/>
  <c r="N436" i="8"/>
  <c r="N437" i="8"/>
  <c r="N438" i="8"/>
  <c r="N441" i="8"/>
  <c r="N444" i="8"/>
  <c r="N445" i="8"/>
  <c r="N446" i="8"/>
  <c r="N447" i="8"/>
  <c r="N448" i="8"/>
  <c r="N449" i="8"/>
  <c r="N450" i="8"/>
  <c r="N451" i="8"/>
  <c r="N452" i="8"/>
  <c r="N453" i="8"/>
  <c r="N454" i="8"/>
  <c r="N455" i="8"/>
  <c r="N456" i="8"/>
  <c r="N457" i="8"/>
  <c r="N458" i="8"/>
  <c r="N459" i="8"/>
  <c r="N460" i="8"/>
  <c r="N461" i="8"/>
  <c r="N462" i="8"/>
  <c r="N463" i="8"/>
  <c r="N464" i="8"/>
  <c r="N465" i="8"/>
  <c r="N466" i="8"/>
  <c r="N467" i="8"/>
  <c r="N468" i="8"/>
  <c r="N469" i="8"/>
  <c r="N470" i="8"/>
  <c r="N471" i="8"/>
  <c r="N472" i="8"/>
  <c r="N473" i="8"/>
  <c r="N474" i="8"/>
  <c r="N475" i="8"/>
  <c r="N476" i="8"/>
  <c r="N481" i="8"/>
  <c r="N482" i="8"/>
  <c r="N483" i="8"/>
  <c r="N484" i="8"/>
  <c r="N485" i="8"/>
  <c r="N486" i="8"/>
  <c r="N487" i="8"/>
  <c r="N488" i="8"/>
  <c r="N489" i="8"/>
  <c r="N490" i="8"/>
  <c r="N491" i="8"/>
  <c r="N492" i="8"/>
  <c r="N493" i="8"/>
  <c r="N494" i="8"/>
  <c r="N495" i="8"/>
  <c r="N496" i="8"/>
  <c r="N497" i="8"/>
  <c r="N503" i="8"/>
  <c r="N506" i="8"/>
  <c r="N507" i="8"/>
  <c r="N508" i="8"/>
  <c r="N509" i="8"/>
  <c r="N510" i="8"/>
  <c r="N511" i="8"/>
  <c r="N512" i="8"/>
  <c r="N513" i="8"/>
  <c r="N514" i="8"/>
  <c r="N515" i="8"/>
  <c r="N516" i="8"/>
  <c r="N517" i="8"/>
  <c r="N518" i="8"/>
  <c r="N519" i="8"/>
  <c r="N520" i="8"/>
  <c r="N521" i="8"/>
  <c r="N522" i="8"/>
  <c r="N523" i="8"/>
  <c r="N524" i="8"/>
  <c r="N525" i="8"/>
  <c r="N526" i="8"/>
  <c r="N527" i="8"/>
  <c r="N528" i="8"/>
  <c r="N533" i="8"/>
  <c r="N534" i="8"/>
  <c r="N537" i="8"/>
  <c r="N538" i="8"/>
  <c r="N539" i="8"/>
  <c r="N540" i="8"/>
  <c r="N541" i="8"/>
  <c r="N544" i="8"/>
  <c r="N548" i="8"/>
  <c r="N549" i="8"/>
  <c r="N552" i="8"/>
  <c r="N553" i="8"/>
  <c r="N554" i="8"/>
  <c r="N555" i="8"/>
  <c r="N556" i="8"/>
  <c r="N557" i="8"/>
  <c r="N558" i="8"/>
  <c r="N559" i="8"/>
  <c r="N563" i="8"/>
  <c r="N564" i="8"/>
  <c r="N565" i="8"/>
  <c r="N566" i="8"/>
  <c r="N567" i="8"/>
  <c r="N568" i="8"/>
  <c r="N569" i="8"/>
  <c r="N570" i="8"/>
  <c r="N571" i="8"/>
  <c r="AB3" i="8"/>
  <c r="AB4" i="8"/>
  <c r="AB5" i="8"/>
  <c r="AB6" i="8"/>
  <c r="AB7" i="8"/>
  <c r="AB8" i="8"/>
  <c r="AB9" i="8"/>
  <c r="AB10" i="8"/>
  <c r="AB11" i="8"/>
  <c r="AB12" i="8"/>
  <c r="AB13" i="8"/>
  <c r="AB14" i="8"/>
  <c r="AB15" i="8"/>
  <c r="AB16" i="8"/>
  <c r="AB19" i="8"/>
  <c r="AB20" i="8"/>
  <c r="AB21" i="8"/>
  <c r="AB22" i="8"/>
  <c r="AB23" i="8"/>
  <c r="AB24" i="8"/>
  <c r="AB25" i="8"/>
  <c r="AB26" i="8"/>
  <c r="AB27" i="8"/>
  <c r="AB28" i="8"/>
  <c r="AB29" i="8"/>
  <c r="AB30" i="8"/>
  <c r="AB31" i="8"/>
  <c r="AB32" i="8"/>
  <c r="AB33" i="8"/>
  <c r="AB34" i="8"/>
  <c r="AB35" i="8"/>
  <c r="AB36" i="8"/>
  <c r="AB37" i="8"/>
  <c r="AB38" i="8"/>
  <c r="AB39" i="8"/>
  <c r="AB40" i="8"/>
  <c r="AB41" i="8"/>
  <c r="AB42" i="8"/>
  <c r="AB43" i="8"/>
  <c r="AB44" i="8"/>
  <c r="AB45" i="8"/>
  <c r="AB46" i="8"/>
  <c r="AB47" i="8"/>
  <c r="AB48" i="8"/>
  <c r="AB49" i="8"/>
  <c r="AB50" i="8"/>
  <c r="AB51" i="8"/>
  <c r="AB52" i="8"/>
  <c r="AB53" i="8"/>
  <c r="AB54" i="8"/>
  <c r="AB55" i="8"/>
  <c r="AB56" i="8"/>
  <c r="AB57" i="8"/>
  <c r="AB58" i="8"/>
  <c r="AB59" i="8"/>
  <c r="AB60" i="8"/>
  <c r="AB61" i="8"/>
  <c r="AB62" i="8"/>
  <c r="AB63" i="8"/>
  <c r="AB64" i="8"/>
  <c r="AB69" i="8"/>
  <c r="AB70" i="8"/>
  <c r="AB71" i="8"/>
  <c r="AB72" i="8"/>
  <c r="AB73" i="8"/>
  <c r="AB74" i="8"/>
  <c r="AB75" i="8"/>
  <c r="AB76" i="8"/>
  <c r="AB77" i="8"/>
  <c r="AB78" i="8"/>
  <c r="AB79" i="8"/>
  <c r="AB80" i="8"/>
  <c r="AB81" i="8"/>
  <c r="AB82" i="8"/>
  <c r="AB83" i="8"/>
  <c r="AB84" i="8"/>
  <c r="AB85" i="8"/>
  <c r="AB86" i="8"/>
  <c r="AB87" i="8"/>
  <c r="AB88" i="8"/>
  <c r="AB89" i="8"/>
  <c r="AB90" i="8"/>
  <c r="AB91" i="8"/>
  <c r="AB92" i="8"/>
  <c r="AB93" i="8"/>
  <c r="AB94" i="8"/>
  <c r="AB95" i="8"/>
  <c r="AB96" i="8"/>
  <c r="AB97" i="8"/>
  <c r="AB98" i="8"/>
  <c r="AB99" i="8"/>
  <c r="AB100" i="8"/>
  <c r="AB101" i="8"/>
  <c r="AB102" i="8"/>
  <c r="AB103" i="8"/>
  <c r="AB104" i="8"/>
  <c r="AB105" i="8"/>
  <c r="AB106" i="8"/>
  <c r="AB107" i="8"/>
  <c r="AB108" i="8"/>
  <c r="AB109" i="8"/>
  <c r="AB110" i="8"/>
  <c r="AB111" i="8"/>
  <c r="AB112" i="8"/>
  <c r="AB113" i="8"/>
  <c r="AB114" i="8"/>
  <c r="AB115" i="8"/>
  <c r="AB116" i="8"/>
  <c r="AB117" i="8"/>
  <c r="AB118" i="8"/>
  <c r="AB119" i="8"/>
  <c r="AB120" i="8"/>
  <c r="AB121" i="8"/>
  <c r="AB122" i="8"/>
  <c r="AB123" i="8"/>
  <c r="AB124" i="8"/>
  <c r="AB125" i="8"/>
  <c r="AB126" i="8"/>
  <c r="AB129" i="8"/>
  <c r="AB130" i="8"/>
  <c r="AB131" i="8"/>
  <c r="AB132" i="8"/>
  <c r="AB133" i="8"/>
  <c r="AB134" i="8"/>
  <c r="AB135" i="8"/>
  <c r="AB136" i="8"/>
  <c r="AB137" i="8"/>
  <c r="AB138" i="8"/>
  <c r="AB139" i="8"/>
  <c r="AB140" i="8"/>
  <c r="AB141" i="8"/>
  <c r="AB142" i="8"/>
  <c r="AB143" i="8"/>
  <c r="AB144" i="8"/>
  <c r="AB145" i="8"/>
  <c r="AB146" i="8"/>
  <c r="AB147" i="8"/>
  <c r="AB148" i="8"/>
  <c r="AB149" i="8"/>
  <c r="AB150" i="8"/>
  <c r="AB151" i="8"/>
  <c r="AB152" i="8"/>
  <c r="AB153" i="8"/>
  <c r="AB154" i="8"/>
  <c r="AB155" i="8"/>
  <c r="AB156" i="8"/>
  <c r="AB157" i="8"/>
  <c r="AB158" i="8"/>
  <c r="AB159" i="8"/>
  <c r="AB160" i="8"/>
  <c r="AB161" i="8"/>
  <c r="AB162" i="8"/>
  <c r="AB163" i="8"/>
  <c r="AB164" i="8"/>
  <c r="AB165" i="8"/>
  <c r="AB166" i="8"/>
  <c r="AB167" i="8"/>
  <c r="AB168" i="8"/>
  <c r="AB169" i="8"/>
  <c r="AB170" i="8"/>
  <c r="AB171" i="8"/>
  <c r="AB172" i="8"/>
  <c r="AB173" i="8"/>
  <c r="AB174" i="8"/>
  <c r="AB175" i="8"/>
  <c r="AB176" i="8"/>
  <c r="AB177" i="8"/>
  <c r="AB178" i="8"/>
  <c r="AB179" i="8"/>
  <c r="AB180" i="8"/>
  <c r="AB181" i="8"/>
  <c r="AB182" i="8"/>
  <c r="AB183" i="8"/>
  <c r="AB184" i="8"/>
  <c r="AB185" i="8"/>
  <c r="AB186" i="8"/>
  <c r="AB187" i="8"/>
  <c r="AB188" i="8"/>
  <c r="AB189" i="8"/>
  <c r="AB190" i="8"/>
  <c r="AB191" i="8"/>
  <c r="AB192" i="8"/>
  <c r="AB193" i="8"/>
  <c r="AB194" i="8"/>
  <c r="AB195" i="8"/>
  <c r="AB196" i="8"/>
  <c r="AB197" i="8"/>
  <c r="AB198" i="8"/>
  <c r="AB199" i="8"/>
  <c r="AB200" i="8"/>
  <c r="AB201" i="8"/>
  <c r="AB202" i="8"/>
  <c r="AB203" i="8"/>
  <c r="AB204" i="8"/>
  <c r="AB205" i="8"/>
  <c r="AB206" i="8"/>
  <c r="AB207" i="8"/>
  <c r="AB208" i="8"/>
  <c r="AB209" i="8"/>
  <c r="AB210" i="8"/>
  <c r="AB211" i="8"/>
  <c r="AB212" i="8"/>
  <c r="AB215" i="8"/>
  <c r="AB216" i="8"/>
  <c r="AB217" i="8"/>
  <c r="AB218" i="8"/>
  <c r="AB219" i="8"/>
  <c r="AB220" i="8"/>
  <c r="AB221" i="8"/>
  <c r="AB222" i="8"/>
  <c r="AB223" i="8"/>
  <c r="AB224" i="8"/>
  <c r="AB225" i="8"/>
  <c r="AB226" i="8"/>
  <c r="AB227" i="8"/>
  <c r="AB228" i="8"/>
  <c r="AB229" i="8"/>
  <c r="AB230" i="8"/>
  <c r="AB231" i="8"/>
  <c r="AB232" i="8"/>
  <c r="AB233" i="8"/>
  <c r="AB234" i="8"/>
  <c r="AB235" i="8"/>
  <c r="AB236" i="8"/>
  <c r="AB237" i="8"/>
  <c r="AB238" i="8"/>
  <c r="AB239" i="8"/>
  <c r="AB242" i="8"/>
  <c r="AB243" i="8"/>
  <c r="AB244" i="8"/>
  <c r="AB245" i="8"/>
  <c r="AB246" i="8"/>
  <c r="AB247" i="8"/>
  <c r="AB248" i="8"/>
  <c r="AB249" i="8"/>
  <c r="AB250" i="8"/>
  <c r="AB251" i="8"/>
  <c r="AB254" i="8"/>
  <c r="AB255" i="8"/>
  <c r="AB256" i="8"/>
  <c r="AB257" i="8"/>
  <c r="AB258" i="8"/>
  <c r="AB259" i="8"/>
  <c r="AB260" i="8"/>
  <c r="AB261" i="8"/>
  <c r="AB262" i="8"/>
  <c r="AB263" i="8"/>
  <c r="AB264" i="8"/>
  <c r="AB265" i="8"/>
  <c r="AB266" i="8"/>
  <c r="AB267" i="8"/>
  <c r="AB268" i="8"/>
  <c r="AB269" i="8"/>
  <c r="AB270" i="8"/>
  <c r="AB271" i="8"/>
  <c r="AB272" i="8"/>
  <c r="AB273" i="8"/>
  <c r="AB274" i="8"/>
  <c r="AB275" i="8"/>
  <c r="AB276" i="8"/>
  <c r="AB277" i="8"/>
  <c r="AB278" i="8"/>
  <c r="AB279" i="8"/>
  <c r="AB280" i="8"/>
  <c r="AB281" i="8"/>
  <c r="AB282" i="8"/>
  <c r="AB283" i="8"/>
  <c r="AB284" i="8"/>
  <c r="AB285" i="8"/>
  <c r="AB286" i="8"/>
  <c r="AB287" i="8"/>
  <c r="AB288" i="8"/>
  <c r="AB291" i="8"/>
  <c r="AB292" i="8"/>
  <c r="AB293" i="8"/>
  <c r="AB294" i="8"/>
  <c r="AB295" i="8"/>
  <c r="AB296" i="8"/>
  <c r="AB297" i="8"/>
  <c r="AB298" i="8"/>
  <c r="AB299" i="8"/>
  <c r="AB300" i="8"/>
  <c r="AB301" i="8"/>
  <c r="AB302" i="8"/>
  <c r="AB303" i="8"/>
  <c r="AB304" i="8"/>
  <c r="AB305" i="8"/>
  <c r="AB306" i="8"/>
  <c r="AB307" i="8"/>
  <c r="AB308" i="8"/>
  <c r="AB309" i="8"/>
  <c r="AB310" i="8"/>
  <c r="AB311" i="8"/>
  <c r="AB312" i="8"/>
  <c r="AB313" i="8"/>
  <c r="AB314" i="8"/>
  <c r="AB315" i="8"/>
  <c r="AB316" i="8"/>
  <c r="AB317" i="8"/>
  <c r="AB318" i="8"/>
  <c r="AB319" i="8"/>
  <c r="AB320" i="8"/>
  <c r="AB324" i="8"/>
  <c r="AB325" i="8"/>
  <c r="AB326" i="8"/>
  <c r="AB327" i="8"/>
  <c r="AB328" i="8"/>
  <c r="AB329" i="8"/>
  <c r="AB333" i="8"/>
  <c r="AB334" i="8"/>
  <c r="AB335" i="8"/>
  <c r="AB336" i="8"/>
  <c r="AB337" i="8"/>
  <c r="AB338" i="8"/>
  <c r="AB339" i="8"/>
  <c r="AB340" i="8"/>
  <c r="AB341" i="8"/>
  <c r="AB342" i="8"/>
  <c r="AB345" i="8"/>
  <c r="AB346" i="8"/>
  <c r="AB347" i="8"/>
  <c r="AB348" i="8"/>
  <c r="AB352" i="8"/>
  <c r="AB353" i="8"/>
  <c r="AB354" i="8"/>
  <c r="AB355" i="8"/>
  <c r="AB356" i="8"/>
  <c r="AB357" i="8"/>
  <c r="AB358" i="8"/>
  <c r="AB359" i="8"/>
  <c r="AB360" i="8"/>
  <c r="AB361" i="8"/>
  <c r="AB362" i="8"/>
  <c r="AB365" i="8"/>
  <c r="AB366" i="8"/>
  <c r="AB367" i="8"/>
  <c r="AB368" i="8"/>
  <c r="AB369" i="8"/>
  <c r="AB370" i="8"/>
  <c r="AB371" i="8"/>
  <c r="AB372" i="8"/>
  <c r="AB373" i="8"/>
  <c r="AB376" i="8"/>
  <c r="AB377" i="8"/>
  <c r="AB378" i="8"/>
  <c r="AB379" i="8"/>
  <c r="AB380" i="8"/>
  <c r="AB381" i="8"/>
  <c r="AB382" i="8"/>
  <c r="AB383" i="8"/>
  <c r="AB384" i="8"/>
  <c r="AB385" i="8"/>
  <c r="AB386" i="8"/>
  <c r="AB387" i="8"/>
  <c r="AB388" i="8"/>
  <c r="AB389" i="8"/>
  <c r="AB390" i="8"/>
  <c r="AB391" i="8"/>
  <c r="AB392" i="8"/>
  <c r="AB393" i="8"/>
  <c r="AB394" i="8"/>
  <c r="AB395" i="8"/>
  <c r="AB396" i="8"/>
  <c r="AB404" i="8"/>
  <c r="AB405" i="8"/>
  <c r="AB406" i="8"/>
  <c r="AB407" i="8"/>
  <c r="AB408" i="8"/>
  <c r="AB409" i="8"/>
  <c r="AB410" i="8"/>
  <c r="AB411" i="8"/>
  <c r="AB412" i="8"/>
  <c r="AB413" i="8"/>
  <c r="AB414" i="8"/>
  <c r="AB415" i="8"/>
  <c r="AB416" i="8"/>
  <c r="AB417" i="8"/>
  <c r="AB420" i="8"/>
  <c r="AB421" i="8"/>
  <c r="AB422" i="8"/>
  <c r="AB423" i="8"/>
  <c r="AB424" i="8"/>
  <c r="AB425" i="8"/>
  <c r="AB429" i="8"/>
  <c r="AB432" i="8"/>
  <c r="AB433" i="8"/>
  <c r="AB434" i="8"/>
  <c r="AB435" i="8"/>
  <c r="AB436" i="8"/>
  <c r="AB437" i="8"/>
  <c r="AB438" i="8"/>
  <c r="AB441" i="8"/>
  <c r="AB444" i="8"/>
  <c r="AB445" i="8"/>
  <c r="AB446" i="8"/>
  <c r="AB447" i="8"/>
  <c r="AB448" i="8"/>
  <c r="AB449" i="8"/>
  <c r="AB450" i="8"/>
  <c r="AB451" i="8"/>
  <c r="AB452" i="8"/>
  <c r="AB453" i="8"/>
  <c r="AB454" i="8"/>
  <c r="AB455" i="8"/>
  <c r="AB456" i="8"/>
  <c r="AB457" i="8"/>
  <c r="AB458" i="8"/>
  <c r="AB459" i="8"/>
  <c r="AB460" i="8"/>
  <c r="AB461" i="8"/>
  <c r="AB462" i="8"/>
  <c r="AB463" i="8"/>
  <c r="AB464" i="8"/>
  <c r="AB465" i="8"/>
  <c r="AB466" i="8"/>
  <c r="AB467" i="8"/>
  <c r="AB468" i="8"/>
  <c r="AB469" i="8"/>
  <c r="AB470" i="8"/>
  <c r="AB471" i="8"/>
  <c r="AB472" i="8"/>
  <c r="AB473" i="8"/>
  <c r="AB474" i="8"/>
  <c r="AB475" i="8"/>
  <c r="AB476" i="8"/>
  <c r="AB481" i="8"/>
  <c r="AB482" i="8"/>
  <c r="AB483" i="8"/>
  <c r="AB484" i="8"/>
  <c r="AB485" i="8"/>
  <c r="AB486" i="8"/>
  <c r="AB487" i="8"/>
  <c r="AB488" i="8"/>
  <c r="AB489" i="8"/>
  <c r="AB490" i="8"/>
  <c r="AB491" i="8"/>
  <c r="AB492" i="8"/>
  <c r="AB493" i="8"/>
  <c r="AB494" i="8"/>
  <c r="AB495" i="8"/>
  <c r="AB496" i="8"/>
  <c r="AB497" i="8"/>
  <c r="AB503" i="8"/>
  <c r="AB506" i="8"/>
  <c r="AB507" i="8"/>
  <c r="AB508" i="8"/>
  <c r="AB509" i="8"/>
  <c r="AB510" i="8"/>
  <c r="AB511" i="8"/>
  <c r="AB512" i="8"/>
  <c r="AB513" i="8"/>
  <c r="AB514" i="8"/>
  <c r="AB515" i="8"/>
  <c r="AB516" i="8"/>
  <c r="AB517" i="8"/>
  <c r="AB518" i="8"/>
  <c r="AB519" i="8"/>
  <c r="AB520" i="8"/>
  <c r="AB521" i="8"/>
  <c r="AB522" i="8"/>
  <c r="AB523" i="8"/>
  <c r="AB524" i="8"/>
  <c r="AB525" i="8"/>
  <c r="AB526" i="8"/>
  <c r="AB527" i="8"/>
  <c r="AB528" i="8"/>
  <c r="AB533" i="8"/>
  <c r="AB534" i="8"/>
  <c r="AB537" i="8"/>
  <c r="AB538" i="8"/>
  <c r="AB539" i="8"/>
  <c r="AB540" i="8"/>
  <c r="AB541" i="8"/>
  <c r="AB544" i="8"/>
  <c r="AB548" i="8"/>
  <c r="AB549" i="8"/>
  <c r="AB552" i="8"/>
  <c r="AB553" i="8"/>
  <c r="AB554" i="8"/>
  <c r="AB555" i="8"/>
  <c r="AB556" i="8"/>
  <c r="AB557" i="8"/>
  <c r="AB558" i="8"/>
  <c r="AB559" i="8"/>
  <c r="AB563" i="8"/>
  <c r="AB564" i="8"/>
  <c r="AB565" i="8"/>
  <c r="AB566" i="8"/>
  <c r="AB567" i="8"/>
  <c r="AB568" i="8"/>
  <c r="AB569" i="8"/>
  <c r="AB570" i="8"/>
  <c r="AB571" i="8"/>
  <c r="AB2" i="8"/>
  <c r="N2" i="8"/>
  <c r="S894" i="9" l="1"/>
  <c r="S895" i="9" s="1"/>
  <c r="S896" i="9" s="1"/>
  <c r="P30" i="15"/>
  <c r="P36" i="15"/>
  <c r="K36" i="15"/>
  <c r="L50" i="15"/>
  <c r="K49" i="15"/>
  <c r="K50" i="15"/>
  <c r="J49" i="15"/>
  <c r="I49" i="15"/>
  <c r="I50" i="15"/>
  <c r="G49" i="15"/>
  <c r="F50" i="15"/>
  <c r="E50" i="15"/>
  <c r="E49" i="15"/>
  <c r="L49" i="15"/>
  <c r="J50" i="15"/>
  <c r="H49" i="15"/>
  <c r="H50" i="15"/>
  <c r="G50" i="15"/>
  <c r="F49" i="15"/>
  <c r="M49" i="15"/>
  <c r="P49" i="15"/>
  <c r="O49" i="15"/>
  <c r="O50" i="15"/>
  <c r="N50" i="15"/>
  <c r="P50" i="15"/>
  <c r="E48" i="15"/>
  <c r="N49" i="15"/>
  <c r="M50" i="15"/>
  <c r="N36" i="15"/>
  <c r="M36" i="15"/>
  <c r="G71" i="15"/>
  <c r="G61" i="15"/>
  <c r="R56" i="15"/>
  <c r="Q56" i="15"/>
  <c r="E35" i="15"/>
  <c r="E33" i="15"/>
  <c r="Q53" i="15"/>
  <c r="O36" i="15"/>
  <c r="R53" i="15"/>
  <c r="E36" i="15"/>
  <c r="R31" i="15"/>
  <c r="Q31" i="15"/>
  <c r="L36" i="15"/>
  <c r="E37" i="15"/>
  <c r="R32" i="15"/>
  <c r="Q32" i="15"/>
  <c r="S897" i="9" l="1"/>
  <c r="S898" i="9" s="1"/>
  <c r="S899" i="9" s="1"/>
  <c r="S900" i="9" s="1"/>
  <c r="S901" i="9" s="1"/>
  <c r="S902" i="9" s="1"/>
  <c r="S903" i="9" s="1"/>
  <c r="S904" i="9" s="1"/>
  <c r="P48" i="15"/>
  <c r="P51" i="15" s="1"/>
  <c r="H58" i="15"/>
  <c r="H68" i="15"/>
  <c r="F30" i="15"/>
  <c r="E38" i="15"/>
  <c r="R37" i="15"/>
  <c r="Q37" i="15"/>
  <c r="E51" i="15"/>
  <c r="R36" i="15"/>
  <c r="Q36" i="15"/>
  <c r="R49" i="15"/>
  <c r="Q49" i="15"/>
  <c r="R50" i="15"/>
  <c r="Q50" i="15"/>
  <c r="P33" i="15"/>
  <c r="P35" i="15"/>
  <c r="S905" i="9" l="1"/>
  <c r="P38" i="15"/>
  <c r="F33" i="15"/>
  <c r="F35" i="15"/>
  <c r="H71" i="15"/>
  <c r="F48" i="15"/>
  <c r="H61" i="15"/>
  <c r="S906" i="9" l="1"/>
  <c r="S907" i="9" s="1"/>
  <c r="S908" i="9" s="1"/>
  <c r="S909" i="9" s="1"/>
  <c r="S910" i="9" s="1"/>
  <c r="S911" i="9" s="1"/>
  <c r="S912" i="9" s="1"/>
  <c r="S913" i="9" s="1"/>
  <c r="S914" i="9" s="1"/>
  <c r="S915" i="9" s="1"/>
  <c r="T679" i="9"/>
  <c r="F51" i="15"/>
  <c r="I68" i="15"/>
  <c r="G30" i="15"/>
  <c r="F38" i="15"/>
  <c r="I58" i="15"/>
  <c r="S916" i="9" l="1"/>
  <c r="S917" i="9" s="1"/>
  <c r="S918" i="9" s="1"/>
  <c r="S919" i="9" s="1"/>
  <c r="S920" i="9" s="1"/>
  <c r="I61" i="15"/>
  <c r="G35" i="15"/>
  <c r="G33" i="15"/>
  <c r="I71" i="15"/>
  <c r="G48" i="15"/>
  <c r="S921" i="9" l="1"/>
  <c r="S922" i="9" s="1"/>
  <c r="S923" i="9" s="1"/>
  <c r="J68" i="15"/>
  <c r="J71" i="15" s="1"/>
  <c r="K68" i="15" s="1"/>
  <c r="H30" i="15"/>
  <c r="G38" i="15"/>
  <c r="G51" i="15"/>
  <c r="J58" i="15"/>
  <c r="J61" i="15" s="1"/>
  <c r="K58" i="15" s="1"/>
  <c r="S924" i="9" l="1"/>
  <c r="S925" i="9" s="1"/>
  <c r="S926" i="9" s="1"/>
  <c r="S927" i="9" s="1"/>
  <c r="S928" i="9" s="1"/>
  <c r="S929" i="9" s="1"/>
  <c r="S930" i="9" s="1"/>
  <c r="S931" i="9" s="1"/>
  <c r="S932" i="9" s="1"/>
  <c r="S933" i="9" s="1"/>
  <c r="S934" i="9" s="1"/>
  <c r="S935" i="9" s="1"/>
  <c r="S936" i="9" s="1"/>
  <c r="S937" i="9" s="1"/>
  <c r="S938" i="9" s="1"/>
  <c r="S939" i="9" s="1"/>
  <c r="S940" i="9" s="1"/>
  <c r="S941" i="9" s="1"/>
  <c r="S942" i="9" s="1"/>
  <c r="S943" i="9" s="1"/>
  <c r="S944" i="9" s="1"/>
  <c r="S945" i="9" s="1"/>
  <c r="S946" i="9" s="1"/>
  <c r="S947" i="9" s="1"/>
  <c r="S948" i="9" s="1"/>
  <c r="S949" i="9" s="1"/>
  <c r="S950" i="9" s="1"/>
  <c r="S951" i="9" s="1"/>
  <c r="H48" i="15"/>
  <c r="H33" i="15"/>
  <c r="H35" i="15"/>
  <c r="K61" i="15"/>
  <c r="L58" i="15" s="1"/>
  <c r="L61" i="15" s="1"/>
  <c r="M58" i="15" s="1"/>
  <c r="M61" i="15" s="1"/>
  <c r="N58" i="15" s="1"/>
  <c r="N61" i="15" s="1"/>
  <c r="O58" i="15" s="1"/>
  <c r="O61" i="15" s="1"/>
  <c r="K71" i="15"/>
  <c r="L68" i="15" s="1"/>
  <c r="L71" i="15" s="1"/>
  <c r="M68" i="15" s="1"/>
  <c r="M71" i="15" s="1"/>
  <c r="N68" i="15" s="1"/>
  <c r="N71" i="15" s="1"/>
  <c r="S952" i="9" l="1"/>
  <c r="S953" i="9" s="1"/>
  <c r="S954" i="9" s="1"/>
  <c r="S955" i="9" s="1"/>
  <c r="S956" i="9" s="1"/>
  <c r="S957" i="9" s="1"/>
  <c r="S958" i="9" s="1"/>
  <c r="S959" i="9" s="1"/>
  <c r="S960" i="9" s="1"/>
  <c r="S961" i="9" s="1"/>
  <c r="S962" i="9" s="1"/>
  <c r="S963" i="9" s="1"/>
  <c r="S964" i="9" s="1"/>
  <c r="R58" i="15"/>
  <c r="Q58" i="15"/>
  <c r="R68" i="15"/>
  <c r="Q68" i="15"/>
  <c r="Q61" i="15"/>
  <c r="R61" i="15"/>
  <c r="I30" i="15"/>
  <c r="H38" i="15"/>
  <c r="Q71" i="15"/>
  <c r="R71" i="15"/>
  <c r="H51" i="15"/>
  <c r="S965" i="9" l="1"/>
  <c r="I48" i="15"/>
  <c r="I35" i="15"/>
  <c r="I33" i="15"/>
  <c r="S966" i="9" l="1"/>
  <c r="S967" i="9" s="1"/>
  <c r="S968" i="9" s="1"/>
  <c r="J30" i="15"/>
  <c r="I38" i="15"/>
  <c r="I51" i="15"/>
  <c r="S969" i="9" l="1"/>
  <c r="S970" i="9" s="1"/>
  <c r="S971" i="9" s="1"/>
  <c r="J48" i="15"/>
  <c r="J51" i="15" s="1"/>
  <c r="K48" i="15" s="1"/>
  <c r="J35" i="15"/>
  <c r="J33" i="15"/>
  <c r="K30" i="15" s="1"/>
  <c r="S972" i="9" l="1"/>
  <c r="S973" i="9" s="1"/>
  <c r="S974" i="9" s="1"/>
  <c r="S975" i="9" s="1"/>
  <c r="S976" i="9" s="1"/>
  <c r="S977" i="9" s="1"/>
  <c r="S978" i="9" s="1"/>
  <c r="K33" i="15"/>
  <c r="K35" i="15"/>
  <c r="J38" i="15"/>
  <c r="K51" i="15"/>
  <c r="L48" i="15" s="1"/>
  <c r="L51" i="15" s="1"/>
  <c r="M48" i="15" s="1"/>
  <c r="M51" i="15" s="1"/>
  <c r="N48" i="15" s="1"/>
  <c r="N51" i="15" s="1"/>
  <c r="O48" i="15" s="1"/>
  <c r="O51" i="15" s="1"/>
  <c r="S979" i="9" l="1"/>
  <c r="S980" i="9" s="1"/>
  <c r="S981" i="9" s="1"/>
  <c r="S982" i="9" s="1"/>
  <c r="S983" i="9" s="1"/>
  <c r="S984" i="9" s="1"/>
  <c r="K38" i="15"/>
  <c r="L30" i="15"/>
  <c r="R48" i="15"/>
  <c r="Q48" i="15"/>
  <c r="Q51" i="15"/>
  <c r="R51" i="15"/>
  <c r="S985" i="9" l="1"/>
  <c r="S986" i="9" s="1"/>
  <c r="L35" i="15"/>
  <c r="L33" i="15"/>
  <c r="M30" i="15" s="1"/>
  <c r="M35" i="15" l="1"/>
  <c r="M33" i="15"/>
  <c r="L38" i="15"/>
  <c r="M38" i="15" l="1"/>
  <c r="N30" i="15"/>
  <c r="Q3" i="7"/>
  <c r="Q4" i="7"/>
  <c r="Q5" i="7"/>
  <c r="Q6" i="7"/>
  <c r="Q7" i="7"/>
  <c r="Q8" i="7"/>
  <c r="Q9" i="7"/>
  <c r="Q10" i="7"/>
  <c r="Q11" i="7"/>
  <c r="Q12" i="7"/>
  <c r="Q13" i="7"/>
  <c r="Q14" i="7"/>
  <c r="Q15" i="7"/>
  <c r="Q16" i="7"/>
  <c r="Q17" i="7"/>
  <c r="Q18" i="7"/>
  <c r="Q19" i="7"/>
  <c r="Q20" i="7"/>
  <c r="Q21" i="7"/>
  <c r="Q22" i="7"/>
  <c r="Q23" i="7"/>
  <c r="Q24" i="7"/>
  <c r="Q25" i="7"/>
  <c r="Q26" i="7"/>
  <c r="Q27" i="7"/>
  <c r="Q28" i="7"/>
  <c r="Q29" i="7"/>
  <c r="Q30" i="7"/>
  <c r="Q31" i="7"/>
  <c r="Q32" i="7"/>
  <c r="Q33" i="7"/>
  <c r="Q34" i="7"/>
  <c r="Q35" i="7"/>
  <c r="Q36" i="7"/>
  <c r="Q37" i="7"/>
  <c r="Q38" i="7"/>
  <c r="Q39" i="7"/>
  <c r="Q40" i="7"/>
  <c r="Q41" i="7"/>
  <c r="Q42" i="7"/>
  <c r="Q43" i="7"/>
  <c r="Q44" i="7"/>
  <c r="Q45" i="7"/>
  <c r="Q46" i="7"/>
  <c r="Q47" i="7"/>
  <c r="Q48" i="7"/>
  <c r="Q49" i="7"/>
  <c r="Q50" i="7"/>
  <c r="Q51" i="7"/>
  <c r="Q52" i="7"/>
  <c r="Q53" i="7"/>
  <c r="Q54" i="7"/>
  <c r="Q55" i="7"/>
  <c r="Q56" i="7"/>
  <c r="Q57" i="7"/>
  <c r="Q58" i="7"/>
  <c r="Q59" i="7"/>
  <c r="Q60" i="7"/>
  <c r="Q61" i="7"/>
  <c r="Q62" i="7"/>
  <c r="Q63" i="7"/>
  <c r="Q64" i="7"/>
  <c r="Q65" i="7"/>
  <c r="Q66" i="7"/>
  <c r="Q67" i="7"/>
  <c r="Q68" i="7"/>
  <c r="Q69" i="7"/>
  <c r="Q70" i="7"/>
  <c r="Q71" i="7"/>
  <c r="Q72" i="7"/>
  <c r="Q73" i="7"/>
  <c r="Q74" i="7"/>
  <c r="Q75" i="7"/>
  <c r="Q76" i="7"/>
  <c r="Q77" i="7"/>
  <c r="Q78" i="7"/>
  <c r="Q79" i="7"/>
  <c r="Q80" i="7"/>
  <c r="Q81" i="7"/>
  <c r="Q82" i="7"/>
  <c r="Q83" i="7"/>
  <c r="Q84" i="7"/>
  <c r="Q85" i="7"/>
  <c r="Q86" i="7"/>
  <c r="Q87" i="7"/>
  <c r="Q88" i="7"/>
  <c r="Q89" i="7"/>
  <c r="Q90" i="7"/>
  <c r="Q91" i="7"/>
  <c r="Q92" i="7"/>
  <c r="Q93" i="7"/>
  <c r="Q94" i="7"/>
  <c r="Q95" i="7"/>
  <c r="Q96" i="7"/>
  <c r="Q97" i="7"/>
  <c r="Q98" i="7"/>
  <c r="Q99" i="7"/>
  <c r="Q100" i="7"/>
  <c r="Q101" i="7"/>
  <c r="Q102" i="7"/>
  <c r="Q103" i="7"/>
  <c r="Q104" i="7"/>
  <c r="Q105" i="7"/>
  <c r="Q106" i="7"/>
  <c r="Q107" i="7"/>
  <c r="Q108" i="7"/>
  <c r="Q109" i="7"/>
  <c r="Q110" i="7"/>
  <c r="Q111" i="7"/>
  <c r="Q112" i="7"/>
  <c r="Q113" i="7"/>
  <c r="Q114" i="7"/>
  <c r="Q115" i="7"/>
  <c r="Q116" i="7"/>
  <c r="Q117" i="7"/>
  <c r="Q118" i="7"/>
  <c r="Q119" i="7"/>
  <c r="Q120" i="7"/>
  <c r="Q121" i="7"/>
  <c r="Q122" i="7"/>
  <c r="Q123" i="7"/>
  <c r="Q124" i="7"/>
  <c r="Q125" i="7"/>
  <c r="Q126" i="7"/>
  <c r="Q127" i="7"/>
  <c r="Q128" i="7"/>
  <c r="Q129" i="7"/>
  <c r="Q130" i="7"/>
  <c r="Q131" i="7"/>
  <c r="Q132" i="7"/>
  <c r="Q133" i="7"/>
  <c r="Q134" i="7"/>
  <c r="Q135" i="7"/>
  <c r="Q136" i="7"/>
  <c r="Q137" i="7"/>
  <c r="Q138" i="7"/>
  <c r="Q139" i="7"/>
  <c r="Q140" i="7"/>
  <c r="Q141" i="7"/>
  <c r="Q142" i="7"/>
  <c r="Q143" i="7"/>
  <c r="Q144" i="7"/>
  <c r="Q145" i="7"/>
  <c r="Q146" i="7"/>
  <c r="Q147" i="7"/>
  <c r="Q148" i="7"/>
  <c r="Q149" i="7"/>
  <c r="Q150" i="7"/>
  <c r="Q151" i="7"/>
  <c r="Q152" i="7"/>
  <c r="Q153" i="7"/>
  <c r="Q154" i="7"/>
  <c r="Q155" i="7"/>
  <c r="Q156" i="7"/>
  <c r="Q157" i="7"/>
  <c r="Q158" i="7"/>
  <c r="Q159" i="7"/>
  <c r="Q160" i="7"/>
  <c r="Q161" i="7"/>
  <c r="Q162" i="7"/>
  <c r="Q163" i="7"/>
  <c r="Q164" i="7"/>
  <c r="Q165" i="7"/>
  <c r="Q166" i="7"/>
  <c r="Q167" i="7"/>
  <c r="Q168" i="7"/>
  <c r="Q169" i="7"/>
  <c r="Q170" i="7"/>
  <c r="Q171" i="7"/>
  <c r="Q172" i="7"/>
  <c r="Q173" i="7"/>
  <c r="Q174" i="7"/>
  <c r="Q175" i="7"/>
  <c r="Q176" i="7"/>
  <c r="Q177" i="7"/>
  <c r="Q178" i="7"/>
  <c r="Q179" i="7"/>
  <c r="Q180" i="7"/>
  <c r="Q181" i="7"/>
  <c r="Q182" i="7"/>
  <c r="Q183" i="7"/>
  <c r="Q184" i="7"/>
  <c r="Q185" i="7"/>
  <c r="Q186" i="7"/>
  <c r="Q187" i="7"/>
  <c r="Q188" i="7"/>
  <c r="Q189" i="7"/>
  <c r="Q190" i="7"/>
  <c r="Q191" i="7"/>
  <c r="Q192" i="7"/>
  <c r="Q193" i="7"/>
  <c r="Q194" i="7"/>
  <c r="Q195" i="7"/>
  <c r="Q196" i="7"/>
  <c r="Q197" i="7"/>
  <c r="Q198" i="7"/>
  <c r="Q199" i="7"/>
  <c r="Q200" i="7"/>
  <c r="Q201" i="7"/>
  <c r="Q202" i="7"/>
  <c r="Q203" i="7"/>
  <c r="Q204" i="7"/>
  <c r="Q205" i="7"/>
  <c r="Q206" i="7"/>
  <c r="Q207" i="7"/>
  <c r="Q208" i="7"/>
  <c r="Q209" i="7"/>
  <c r="Q210" i="7"/>
  <c r="Q211" i="7"/>
  <c r="Q212" i="7"/>
  <c r="Q213" i="7"/>
  <c r="Q214" i="7"/>
  <c r="Q215" i="7"/>
  <c r="Q216" i="7"/>
  <c r="Q217" i="7"/>
  <c r="Q218" i="7"/>
  <c r="Q219" i="7"/>
  <c r="Q220" i="7"/>
  <c r="Q221" i="7"/>
  <c r="Q222" i="7"/>
  <c r="Q223" i="7"/>
  <c r="Q224" i="7"/>
  <c r="Q225" i="7"/>
  <c r="Q226" i="7"/>
  <c r="Q227" i="7"/>
  <c r="Q228" i="7"/>
  <c r="Q229" i="7"/>
  <c r="Q230" i="7"/>
  <c r="Q231" i="7"/>
  <c r="Q232" i="7"/>
  <c r="Q233" i="7"/>
  <c r="Q234" i="7"/>
  <c r="Q235" i="7"/>
  <c r="Q236" i="7"/>
  <c r="Q237" i="7"/>
  <c r="Q238" i="7"/>
  <c r="Q239" i="7"/>
  <c r="Q240" i="7"/>
  <c r="Q241" i="7"/>
  <c r="Q242" i="7"/>
  <c r="Q243" i="7"/>
  <c r="Q244" i="7"/>
  <c r="Q245" i="7"/>
  <c r="Q246" i="7"/>
  <c r="Q247" i="7"/>
  <c r="Q248" i="7"/>
  <c r="Q249" i="7"/>
  <c r="Q250" i="7"/>
  <c r="Q251" i="7"/>
  <c r="Q252" i="7"/>
  <c r="Q253" i="7"/>
  <c r="Q254" i="7"/>
  <c r="Q255" i="7"/>
  <c r="Q256" i="7"/>
  <c r="Q257" i="7"/>
  <c r="Q258" i="7"/>
  <c r="Q259" i="7"/>
  <c r="Q260" i="7"/>
  <c r="Q261" i="7"/>
  <c r="Q262" i="7"/>
  <c r="Q263" i="7"/>
  <c r="Q264" i="7"/>
  <c r="Q265" i="7"/>
  <c r="Q266" i="7"/>
  <c r="Q267" i="7"/>
  <c r="Q268" i="7"/>
  <c r="Q269" i="7"/>
  <c r="Q270" i="7"/>
  <c r="Q271" i="7"/>
  <c r="Q272" i="7"/>
  <c r="Q273" i="7"/>
  <c r="Q274" i="7"/>
  <c r="Q275" i="7"/>
  <c r="Q276" i="7"/>
  <c r="Q277" i="7"/>
  <c r="Q278" i="7"/>
  <c r="Q279" i="7"/>
  <c r="Q280" i="7"/>
  <c r="Q281" i="7"/>
  <c r="Q282" i="7"/>
  <c r="Q283" i="7"/>
  <c r="Q284" i="7"/>
  <c r="Q285" i="7"/>
  <c r="Q286" i="7"/>
  <c r="Q287" i="7"/>
  <c r="Q288" i="7"/>
  <c r="Q289" i="7"/>
  <c r="Q290" i="7"/>
  <c r="Q291" i="7"/>
  <c r="Q292" i="7"/>
  <c r="Q293" i="7"/>
  <c r="Q294" i="7"/>
  <c r="Q295" i="7"/>
  <c r="Q296" i="7"/>
  <c r="Q297" i="7"/>
  <c r="Q298" i="7"/>
  <c r="Q299" i="7"/>
  <c r="Q300" i="7"/>
  <c r="Q301" i="7"/>
  <c r="Q302" i="7"/>
  <c r="Q303" i="7"/>
  <c r="Q304" i="7"/>
  <c r="Q305" i="7"/>
  <c r="Q306" i="7"/>
  <c r="Q307" i="7"/>
  <c r="Q308" i="7"/>
  <c r="Q309" i="7"/>
  <c r="Q310" i="7"/>
  <c r="Q311" i="7"/>
  <c r="Q312" i="7"/>
  <c r="Q313" i="7"/>
  <c r="Q314" i="7"/>
  <c r="Q315" i="7"/>
  <c r="Q316" i="7"/>
  <c r="Q317" i="7"/>
  <c r="Q318" i="7"/>
  <c r="Q319" i="7"/>
  <c r="Q320" i="7"/>
  <c r="Q321" i="7"/>
  <c r="Q322" i="7"/>
  <c r="Q323" i="7"/>
  <c r="Q324" i="7"/>
  <c r="Q325" i="7"/>
  <c r="Q326" i="7"/>
  <c r="Q327" i="7"/>
  <c r="Q328" i="7"/>
  <c r="Q329" i="7"/>
  <c r="Q330" i="7"/>
  <c r="Q331" i="7"/>
  <c r="Q332" i="7"/>
  <c r="Q333" i="7"/>
  <c r="Q334" i="7"/>
  <c r="Q335" i="7"/>
  <c r="Q336" i="7"/>
  <c r="Q337" i="7"/>
  <c r="Q338" i="7"/>
  <c r="Q339" i="7"/>
  <c r="Q340" i="7"/>
  <c r="Q341" i="7"/>
  <c r="Q342" i="7"/>
  <c r="Q343" i="7"/>
  <c r="Q344" i="7"/>
  <c r="Q345" i="7"/>
  <c r="Q346" i="7"/>
  <c r="Q347" i="7"/>
  <c r="Q348" i="7"/>
  <c r="Q349" i="7"/>
  <c r="Q350" i="7"/>
  <c r="Q351" i="7"/>
  <c r="Q352" i="7"/>
  <c r="Q353" i="7"/>
  <c r="Q354" i="7"/>
  <c r="Q355" i="7"/>
  <c r="Q356" i="7"/>
  <c r="Q357" i="7"/>
  <c r="Q358" i="7"/>
  <c r="Q359" i="7"/>
  <c r="Q360" i="7"/>
  <c r="Q361" i="7"/>
  <c r="Q362" i="7"/>
  <c r="Q363" i="7"/>
  <c r="Q364" i="7"/>
  <c r="Q365" i="7"/>
  <c r="Q366" i="7"/>
  <c r="Q367" i="7"/>
  <c r="Q368" i="7"/>
  <c r="Q369" i="7"/>
  <c r="Q370" i="7"/>
  <c r="Q371" i="7"/>
  <c r="Q372" i="7"/>
  <c r="Q373" i="7"/>
  <c r="Q374" i="7"/>
  <c r="Q375" i="7"/>
  <c r="Q376" i="7"/>
  <c r="Q377" i="7"/>
  <c r="Q378" i="7"/>
  <c r="Q379" i="7"/>
  <c r="Q380" i="7"/>
  <c r="Q381" i="7"/>
  <c r="Q382" i="7"/>
  <c r="Q383" i="7"/>
  <c r="Q384" i="7"/>
  <c r="Q385" i="7"/>
  <c r="Q386" i="7"/>
  <c r="Q387" i="7"/>
  <c r="Q388" i="7"/>
  <c r="Q389" i="7"/>
  <c r="Q390" i="7"/>
  <c r="Q391" i="7"/>
  <c r="Q392" i="7"/>
  <c r="Q393" i="7"/>
  <c r="Q394" i="7"/>
  <c r="Q395" i="7"/>
  <c r="Q396" i="7"/>
  <c r="Q397" i="7"/>
  <c r="Q398" i="7"/>
  <c r="Q399" i="7"/>
  <c r="Q400" i="7"/>
  <c r="Q401" i="7"/>
  <c r="Q402" i="7"/>
  <c r="Q403" i="7"/>
  <c r="Q404" i="7"/>
  <c r="Q405" i="7"/>
  <c r="Q406" i="7"/>
  <c r="Q407" i="7"/>
  <c r="Q408" i="7"/>
  <c r="Q409" i="7"/>
  <c r="Q410" i="7"/>
  <c r="Q411" i="7"/>
  <c r="Q412" i="7"/>
  <c r="Q413" i="7"/>
  <c r="Q414" i="7"/>
  <c r="Q415" i="7"/>
  <c r="Q416" i="7"/>
  <c r="Q417" i="7"/>
  <c r="Q418" i="7"/>
  <c r="Q419" i="7"/>
  <c r="Q420" i="7"/>
  <c r="Q421" i="7"/>
  <c r="Q422" i="7"/>
  <c r="Q423" i="7"/>
  <c r="Q424" i="7"/>
  <c r="Q425" i="7"/>
  <c r="Q426" i="7"/>
  <c r="Q427" i="7"/>
  <c r="Q428" i="7"/>
  <c r="Q429" i="7"/>
  <c r="Q430" i="7"/>
  <c r="Q431" i="7"/>
  <c r="P3" i="7"/>
  <c r="X3" i="7" s="1"/>
  <c r="P4" i="7"/>
  <c r="X4" i="7" s="1"/>
  <c r="P5" i="7"/>
  <c r="X5" i="7" s="1"/>
  <c r="P6" i="7"/>
  <c r="X6" i="7" s="1"/>
  <c r="P7" i="7"/>
  <c r="X7" i="7" s="1"/>
  <c r="P8" i="7"/>
  <c r="X8" i="7" s="1"/>
  <c r="P9" i="7"/>
  <c r="X9" i="7" s="1"/>
  <c r="P10" i="7"/>
  <c r="X10" i="7" s="1"/>
  <c r="P11" i="7"/>
  <c r="X11" i="7" s="1"/>
  <c r="P12" i="7"/>
  <c r="X12" i="7" s="1"/>
  <c r="P13" i="7"/>
  <c r="X13" i="7" s="1"/>
  <c r="P14" i="7"/>
  <c r="X14" i="7" s="1"/>
  <c r="P15" i="7"/>
  <c r="X15" i="7" s="1"/>
  <c r="P16" i="7"/>
  <c r="X16" i="7" s="1"/>
  <c r="P17" i="7"/>
  <c r="X17" i="7" s="1"/>
  <c r="P18" i="7"/>
  <c r="X18" i="7" s="1"/>
  <c r="P19" i="7"/>
  <c r="X19" i="7" s="1"/>
  <c r="P20" i="7"/>
  <c r="X20" i="7" s="1"/>
  <c r="P21" i="7"/>
  <c r="X21" i="7" s="1"/>
  <c r="P22" i="7"/>
  <c r="X22" i="7" s="1"/>
  <c r="P23" i="7"/>
  <c r="X23" i="7" s="1"/>
  <c r="P24" i="7"/>
  <c r="X24" i="7" s="1"/>
  <c r="P25" i="7"/>
  <c r="X25" i="7" s="1"/>
  <c r="P26" i="7"/>
  <c r="X26" i="7" s="1"/>
  <c r="P27" i="7"/>
  <c r="X27" i="7" s="1"/>
  <c r="P28" i="7"/>
  <c r="X28" i="7" s="1"/>
  <c r="P29" i="7"/>
  <c r="X29" i="7" s="1"/>
  <c r="P30" i="7"/>
  <c r="X30" i="7" s="1"/>
  <c r="P31" i="7"/>
  <c r="X31" i="7" s="1"/>
  <c r="P32" i="7"/>
  <c r="X32" i="7" s="1"/>
  <c r="P33" i="7"/>
  <c r="X33" i="7" s="1"/>
  <c r="P34" i="7"/>
  <c r="X34" i="7" s="1"/>
  <c r="P35" i="7"/>
  <c r="X35" i="7" s="1"/>
  <c r="P36" i="7"/>
  <c r="X36" i="7" s="1"/>
  <c r="P37" i="7"/>
  <c r="X37" i="7" s="1"/>
  <c r="P38" i="7"/>
  <c r="X38" i="7" s="1"/>
  <c r="P39" i="7"/>
  <c r="X39" i="7" s="1"/>
  <c r="P40" i="7"/>
  <c r="X40" i="7" s="1"/>
  <c r="P41" i="7"/>
  <c r="X41" i="7" s="1"/>
  <c r="P42" i="7"/>
  <c r="X42" i="7" s="1"/>
  <c r="P43" i="7"/>
  <c r="X43" i="7" s="1"/>
  <c r="P44" i="7"/>
  <c r="X44" i="7" s="1"/>
  <c r="P45" i="7"/>
  <c r="X45" i="7" s="1"/>
  <c r="P46" i="7"/>
  <c r="X46" i="7" s="1"/>
  <c r="P47" i="7"/>
  <c r="X47" i="7" s="1"/>
  <c r="P48" i="7"/>
  <c r="X48" i="7" s="1"/>
  <c r="P49" i="7"/>
  <c r="X49" i="7" s="1"/>
  <c r="P50" i="7"/>
  <c r="X50" i="7" s="1"/>
  <c r="P51" i="7"/>
  <c r="X51" i="7" s="1"/>
  <c r="P52" i="7"/>
  <c r="X52" i="7" s="1"/>
  <c r="P53" i="7"/>
  <c r="X53" i="7" s="1"/>
  <c r="P54" i="7"/>
  <c r="X54" i="7" s="1"/>
  <c r="P55" i="7"/>
  <c r="X55" i="7" s="1"/>
  <c r="P56" i="7"/>
  <c r="X56" i="7" s="1"/>
  <c r="P57" i="7"/>
  <c r="X57" i="7" s="1"/>
  <c r="P58" i="7"/>
  <c r="X58" i="7" s="1"/>
  <c r="P59" i="7"/>
  <c r="X59" i="7" s="1"/>
  <c r="P60" i="7"/>
  <c r="X60" i="7" s="1"/>
  <c r="P61" i="7"/>
  <c r="X61" i="7" s="1"/>
  <c r="P62" i="7"/>
  <c r="X62" i="7" s="1"/>
  <c r="P63" i="7"/>
  <c r="X63" i="7" s="1"/>
  <c r="P64" i="7"/>
  <c r="X64" i="7" s="1"/>
  <c r="P65" i="7"/>
  <c r="X65" i="7" s="1"/>
  <c r="P66" i="7"/>
  <c r="X66" i="7" s="1"/>
  <c r="P67" i="7"/>
  <c r="X67" i="7" s="1"/>
  <c r="P68" i="7"/>
  <c r="X68" i="7" s="1"/>
  <c r="P69" i="7"/>
  <c r="X69" i="7" s="1"/>
  <c r="P70" i="7"/>
  <c r="X70" i="7" s="1"/>
  <c r="P71" i="7"/>
  <c r="X71" i="7" s="1"/>
  <c r="P72" i="7"/>
  <c r="X72" i="7" s="1"/>
  <c r="P73" i="7"/>
  <c r="X73" i="7" s="1"/>
  <c r="P74" i="7"/>
  <c r="X74" i="7" s="1"/>
  <c r="P75" i="7"/>
  <c r="X75" i="7" s="1"/>
  <c r="P76" i="7"/>
  <c r="X76" i="7" s="1"/>
  <c r="P77" i="7"/>
  <c r="X77" i="7" s="1"/>
  <c r="P78" i="7"/>
  <c r="X78" i="7" s="1"/>
  <c r="P79" i="7"/>
  <c r="X79" i="7" s="1"/>
  <c r="P80" i="7"/>
  <c r="X80" i="7" s="1"/>
  <c r="P81" i="7"/>
  <c r="X81" i="7" s="1"/>
  <c r="P82" i="7"/>
  <c r="X82" i="7" s="1"/>
  <c r="P83" i="7"/>
  <c r="X83" i="7" s="1"/>
  <c r="P84" i="7"/>
  <c r="X84" i="7" s="1"/>
  <c r="P85" i="7"/>
  <c r="X85" i="7" s="1"/>
  <c r="P86" i="7"/>
  <c r="X86" i="7" s="1"/>
  <c r="P87" i="7"/>
  <c r="X87" i="7" s="1"/>
  <c r="P88" i="7"/>
  <c r="X88" i="7" s="1"/>
  <c r="P89" i="7"/>
  <c r="X89" i="7" s="1"/>
  <c r="P90" i="7"/>
  <c r="X90" i="7" s="1"/>
  <c r="P91" i="7"/>
  <c r="X91" i="7" s="1"/>
  <c r="P92" i="7"/>
  <c r="X92" i="7" s="1"/>
  <c r="P93" i="7"/>
  <c r="X93" i="7" s="1"/>
  <c r="P94" i="7"/>
  <c r="X94" i="7" s="1"/>
  <c r="P95" i="7"/>
  <c r="X95" i="7" s="1"/>
  <c r="P96" i="7"/>
  <c r="X96" i="7" s="1"/>
  <c r="P97" i="7"/>
  <c r="X97" i="7" s="1"/>
  <c r="P98" i="7"/>
  <c r="X98" i="7" s="1"/>
  <c r="P99" i="7"/>
  <c r="X99" i="7" s="1"/>
  <c r="P100" i="7"/>
  <c r="X100" i="7" s="1"/>
  <c r="P101" i="7"/>
  <c r="X101" i="7" s="1"/>
  <c r="P102" i="7"/>
  <c r="X102" i="7" s="1"/>
  <c r="P103" i="7"/>
  <c r="X103" i="7" s="1"/>
  <c r="P104" i="7"/>
  <c r="X104" i="7" s="1"/>
  <c r="P105" i="7"/>
  <c r="X105" i="7" s="1"/>
  <c r="P106" i="7"/>
  <c r="X106" i="7" s="1"/>
  <c r="P107" i="7"/>
  <c r="X107" i="7" s="1"/>
  <c r="P108" i="7"/>
  <c r="X108" i="7" s="1"/>
  <c r="P109" i="7"/>
  <c r="X109" i="7" s="1"/>
  <c r="P110" i="7"/>
  <c r="X110" i="7" s="1"/>
  <c r="P111" i="7"/>
  <c r="X111" i="7" s="1"/>
  <c r="P112" i="7"/>
  <c r="X112" i="7" s="1"/>
  <c r="P113" i="7"/>
  <c r="X113" i="7" s="1"/>
  <c r="P114" i="7"/>
  <c r="X114" i="7" s="1"/>
  <c r="P115" i="7"/>
  <c r="X115" i="7" s="1"/>
  <c r="P116" i="7"/>
  <c r="X116" i="7" s="1"/>
  <c r="P117" i="7"/>
  <c r="X117" i="7" s="1"/>
  <c r="P118" i="7"/>
  <c r="X118" i="7" s="1"/>
  <c r="P119" i="7"/>
  <c r="X119" i="7" s="1"/>
  <c r="P120" i="7"/>
  <c r="X120" i="7" s="1"/>
  <c r="P121" i="7"/>
  <c r="X121" i="7" s="1"/>
  <c r="P122" i="7"/>
  <c r="X122" i="7" s="1"/>
  <c r="P123" i="7"/>
  <c r="X123" i="7" s="1"/>
  <c r="P124" i="7"/>
  <c r="X124" i="7" s="1"/>
  <c r="P125" i="7"/>
  <c r="X125" i="7" s="1"/>
  <c r="P126" i="7"/>
  <c r="X126" i="7" s="1"/>
  <c r="P127" i="7"/>
  <c r="X127" i="7" s="1"/>
  <c r="P128" i="7"/>
  <c r="X128" i="7" s="1"/>
  <c r="P129" i="7"/>
  <c r="X129" i="7" s="1"/>
  <c r="P130" i="7"/>
  <c r="X130" i="7" s="1"/>
  <c r="P131" i="7"/>
  <c r="X131" i="7" s="1"/>
  <c r="P132" i="7"/>
  <c r="X132" i="7" s="1"/>
  <c r="P133" i="7"/>
  <c r="X133" i="7" s="1"/>
  <c r="P134" i="7"/>
  <c r="X134" i="7" s="1"/>
  <c r="P135" i="7"/>
  <c r="X135" i="7" s="1"/>
  <c r="P136" i="7"/>
  <c r="X136" i="7" s="1"/>
  <c r="P137" i="7"/>
  <c r="X137" i="7" s="1"/>
  <c r="P138" i="7"/>
  <c r="X138" i="7" s="1"/>
  <c r="P139" i="7"/>
  <c r="X139" i="7" s="1"/>
  <c r="P140" i="7"/>
  <c r="X140" i="7" s="1"/>
  <c r="P141" i="7"/>
  <c r="X141" i="7" s="1"/>
  <c r="P142" i="7"/>
  <c r="X142" i="7" s="1"/>
  <c r="P143" i="7"/>
  <c r="X143" i="7" s="1"/>
  <c r="P144" i="7"/>
  <c r="X144" i="7" s="1"/>
  <c r="P145" i="7"/>
  <c r="X145" i="7" s="1"/>
  <c r="P146" i="7"/>
  <c r="X146" i="7" s="1"/>
  <c r="P147" i="7"/>
  <c r="X147" i="7" s="1"/>
  <c r="P148" i="7"/>
  <c r="X148" i="7" s="1"/>
  <c r="P149" i="7"/>
  <c r="X149" i="7" s="1"/>
  <c r="P150" i="7"/>
  <c r="X150" i="7" s="1"/>
  <c r="P151" i="7"/>
  <c r="X151" i="7" s="1"/>
  <c r="P152" i="7"/>
  <c r="X152" i="7" s="1"/>
  <c r="P153" i="7"/>
  <c r="X153" i="7" s="1"/>
  <c r="P154" i="7"/>
  <c r="X154" i="7" s="1"/>
  <c r="P155" i="7"/>
  <c r="X155" i="7" s="1"/>
  <c r="P156" i="7"/>
  <c r="X156" i="7" s="1"/>
  <c r="P157" i="7"/>
  <c r="X157" i="7" s="1"/>
  <c r="P158" i="7"/>
  <c r="X158" i="7" s="1"/>
  <c r="P159" i="7"/>
  <c r="X159" i="7" s="1"/>
  <c r="P160" i="7"/>
  <c r="X160" i="7" s="1"/>
  <c r="P161" i="7"/>
  <c r="X161" i="7" s="1"/>
  <c r="P162" i="7"/>
  <c r="X162" i="7" s="1"/>
  <c r="P163" i="7"/>
  <c r="X163" i="7" s="1"/>
  <c r="P164" i="7"/>
  <c r="X164" i="7" s="1"/>
  <c r="P165" i="7"/>
  <c r="X165" i="7" s="1"/>
  <c r="P166" i="7"/>
  <c r="X166" i="7" s="1"/>
  <c r="P167" i="7"/>
  <c r="X167" i="7" s="1"/>
  <c r="P168" i="7"/>
  <c r="X168" i="7" s="1"/>
  <c r="P169" i="7"/>
  <c r="X169" i="7" s="1"/>
  <c r="P170" i="7"/>
  <c r="X170" i="7" s="1"/>
  <c r="P171" i="7"/>
  <c r="X171" i="7" s="1"/>
  <c r="P172" i="7"/>
  <c r="X172" i="7" s="1"/>
  <c r="P173" i="7"/>
  <c r="X173" i="7" s="1"/>
  <c r="P174" i="7"/>
  <c r="X174" i="7" s="1"/>
  <c r="P175" i="7"/>
  <c r="X175" i="7" s="1"/>
  <c r="P176" i="7"/>
  <c r="X176" i="7" s="1"/>
  <c r="P177" i="7"/>
  <c r="X177" i="7" s="1"/>
  <c r="P178" i="7"/>
  <c r="X178" i="7" s="1"/>
  <c r="P179" i="7"/>
  <c r="X179" i="7" s="1"/>
  <c r="P180" i="7"/>
  <c r="X180" i="7" s="1"/>
  <c r="P181" i="7"/>
  <c r="X181" i="7" s="1"/>
  <c r="P182" i="7"/>
  <c r="X182" i="7" s="1"/>
  <c r="P183" i="7"/>
  <c r="X183" i="7" s="1"/>
  <c r="P184" i="7"/>
  <c r="X184" i="7" s="1"/>
  <c r="P185" i="7"/>
  <c r="X185" i="7" s="1"/>
  <c r="P186" i="7"/>
  <c r="X186" i="7" s="1"/>
  <c r="P187" i="7"/>
  <c r="X187" i="7" s="1"/>
  <c r="P188" i="7"/>
  <c r="X188" i="7" s="1"/>
  <c r="P189" i="7"/>
  <c r="X189" i="7" s="1"/>
  <c r="P190" i="7"/>
  <c r="X190" i="7" s="1"/>
  <c r="P191" i="7"/>
  <c r="X191" i="7" s="1"/>
  <c r="P192" i="7"/>
  <c r="X192" i="7" s="1"/>
  <c r="P193" i="7"/>
  <c r="X193" i="7" s="1"/>
  <c r="P194" i="7"/>
  <c r="X194" i="7" s="1"/>
  <c r="P195" i="7"/>
  <c r="X195" i="7" s="1"/>
  <c r="P196" i="7"/>
  <c r="X196" i="7" s="1"/>
  <c r="P197" i="7"/>
  <c r="X197" i="7" s="1"/>
  <c r="P198" i="7"/>
  <c r="X198" i="7" s="1"/>
  <c r="P199" i="7"/>
  <c r="X199" i="7" s="1"/>
  <c r="P200" i="7"/>
  <c r="X200" i="7" s="1"/>
  <c r="P201" i="7"/>
  <c r="X201" i="7" s="1"/>
  <c r="P202" i="7"/>
  <c r="X202" i="7" s="1"/>
  <c r="P203" i="7"/>
  <c r="X203" i="7" s="1"/>
  <c r="P204" i="7"/>
  <c r="X204" i="7" s="1"/>
  <c r="P205" i="7"/>
  <c r="X205" i="7" s="1"/>
  <c r="P206" i="7"/>
  <c r="X206" i="7" s="1"/>
  <c r="P207" i="7"/>
  <c r="X207" i="7" s="1"/>
  <c r="P208" i="7"/>
  <c r="X208" i="7" s="1"/>
  <c r="P209" i="7"/>
  <c r="X209" i="7" s="1"/>
  <c r="P210" i="7"/>
  <c r="X210" i="7" s="1"/>
  <c r="P211" i="7"/>
  <c r="X211" i="7" s="1"/>
  <c r="P212" i="7"/>
  <c r="X212" i="7" s="1"/>
  <c r="P213" i="7"/>
  <c r="X213" i="7" s="1"/>
  <c r="P214" i="7"/>
  <c r="X214" i="7" s="1"/>
  <c r="P215" i="7"/>
  <c r="X215" i="7" s="1"/>
  <c r="P216" i="7"/>
  <c r="X216" i="7" s="1"/>
  <c r="P217" i="7"/>
  <c r="X217" i="7" s="1"/>
  <c r="P218" i="7"/>
  <c r="X218" i="7" s="1"/>
  <c r="P219" i="7"/>
  <c r="X219" i="7" s="1"/>
  <c r="P220" i="7"/>
  <c r="X220" i="7" s="1"/>
  <c r="P221" i="7"/>
  <c r="X221" i="7" s="1"/>
  <c r="P222" i="7"/>
  <c r="X222" i="7" s="1"/>
  <c r="P223" i="7"/>
  <c r="X223" i="7" s="1"/>
  <c r="P224" i="7"/>
  <c r="X224" i="7" s="1"/>
  <c r="P225" i="7"/>
  <c r="X225" i="7" s="1"/>
  <c r="P226" i="7"/>
  <c r="X226" i="7" s="1"/>
  <c r="P227" i="7"/>
  <c r="X227" i="7" s="1"/>
  <c r="P228" i="7"/>
  <c r="X228" i="7" s="1"/>
  <c r="P229" i="7"/>
  <c r="X229" i="7" s="1"/>
  <c r="P230" i="7"/>
  <c r="X230" i="7" s="1"/>
  <c r="P231" i="7"/>
  <c r="X231" i="7" s="1"/>
  <c r="P232" i="7"/>
  <c r="X232" i="7" s="1"/>
  <c r="P233" i="7"/>
  <c r="X233" i="7" s="1"/>
  <c r="P234" i="7"/>
  <c r="X234" i="7" s="1"/>
  <c r="P235" i="7"/>
  <c r="X235" i="7" s="1"/>
  <c r="P236" i="7"/>
  <c r="X236" i="7" s="1"/>
  <c r="P237" i="7"/>
  <c r="X237" i="7" s="1"/>
  <c r="P238" i="7"/>
  <c r="X238" i="7" s="1"/>
  <c r="P239" i="7"/>
  <c r="X239" i="7" s="1"/>
  <c r="P240" i="7"/>
  <c r="X240" i="7" s="1"/>
  <c r="P241" i="7"/>
  <c r="X241" i="7" s="1"/>
  <c r="P242" i="7"/>
  <c r="X242" i="7" s="1"/>
  <c r="P243" i="7"/>
  <c r="X243" i="7" s="1"/>
  <c r="P244" i="7"/>
  <c r="X244" i="7" s="1"/>
  <c r="P245" i="7"/>
  <c r="X245" i="7" s="1"/>
  <c r="P246" i="7"/>
  <c r="X246" i="7" s="1"/>
  <c r="P247" i="7"/>
  <c r="X247" i="7" s="1"/>
  <c r="P248" i="7"/>
  <c r="X248" i="7" s="1"/>
  <c r="P249" i="7"/>
  <c r="X249" i="7" s="1"/>
  <c r="P250" i="7"/>
  <c r="X250" i="7" s="1"/>
  <c r="P251" i="7"/>
  <c r="X251" i="7" s="1"/>
  <c r="P252" i="7"/>
  <c r="X252" i="7" s="1"/>
  <c r="P253" i="7"/>
  <c r="X253" i="7" s="1"/>
  <c r="P254" i="7"/>
  <c r="X254" i="7" s="1"/>
  <c r="P255" i="7"/>
  <c r="X255" i="7" s="1"/>
  <c r="P256" i="7"/>
  <c r="X256" i="7" s="1"/>
  <c r="P257" i="7"/>
  <c r="X257" i="7" s="1"/>
  <c r="P258" i="7"/>
  <c r="X258" i="7" s="1"/>
  <c r="P259" i="7"/>
  <c r="X259" i="7" s="1"/>
  <c r="P260" i="7"/>
  <c r="X260" i="7" s="1"/>
  <c r="P261" i="7"/>
  <c r="X261" i="7" s="1"/>
  <c r="P262" i="7"/>
  <c r="X262" i="7" s="1"/>
  <c r="P263" i="7"/>
  <c r="X263" i="7" s="1"/>
  <c r="P264" i="7"/>
  <c r="X264" i="7" s="1"/>
  <c r="P265" i="7"/>
  <c r="X265" i="7" s="1"/>
  <c r="P266" i="7"/>
  <c r="X266" i="7" s="1"/>
  <c r="P267" i="7"/>
  <c r="X267" i="7" s="1"/>
  <c r="P268" i="7"/>
  <c r="X268" i="7" s="1"/>
  <c r="P269" i="7"/>
  <c r="X269" i="7" s="1"/>
  <c r="P270" i="7"/>
  <c r="X270" i="7" s="1"/>
  <c r="P271" i="7"/>
  <c r="X271" i="7" s="1"/>
  <c r="P272" i="7"/>
  <c r="X272" i="7" s="1"/>
  <c r="P273" i="7"/>
  <c r="X273" i="7" s="1"/>
  <c r="P274" i="7"/>
  <c r="X274" i="7" s="1"/>
  <c r="P275" i="7"/>
  <c r="X275" i="7" s="1"/>
  <c r="P276" i="7"/>
  <c r="X276" i="7" s="1"/>
  <c r="P277" i="7"/>
  <c r="X277" i="7" s="1"/>
  <c r="P278" i="7"/>
  <c r="X278" i="7" s="1"/>
  <c r="P279" i="7"/>
  <c r="X279" i="7" s="1"/>
  <c r="P280" i="7"/>
  <c r="X280" i="7" s="1"/>
  <c r="P281" i="7"/>
  <c r="X281" i="7" s="1"/>
  <c r="P282" i="7"/>
  <c r="X282" i="7" s="1"/>
  <c r="P283" i="7"/>
  <c r="X283" i="7" s="1"/>
  <c r="P284" i="7"/>
  <c r="X284" i="7" s="1"/>
  <c r="P285" i="7"/>
  <c r="X285" i="7" s="1"/>
  <c r="P286" i="7"/>
  <c r="X286" i="7" s="1"/>
  <c r="P287" i="7"/>
  <c r="X287" i="7" s="1"/>
  <c r="P288" i="7"/>
  <c r="X288" i="7" s="1"/>
  <c r="P289" i="7"/>
  <c r="X289" i="7" s="1"/>
  <c r="P290" i="7"/>
  <c r="X290" i="7" s="1"/>
  <c r="P291" i="7"/>
  <c r="X291" i="7" s="1"/>
  <c r="P292" i="7"/>
  <c r="X292" i="7" s="1"/>
  <c r="P293" i="7"/>
  <c r="X293" i="7" s="1"/>
  <c r="P294" i="7"/>
  <c r="X294" i="7" s="1"/>
  <c r="P295" i="7"/>
  <c r="X295" i="7" s="1"/>
  <c r="P296" i="7"/>
  <c r="X296" i="7" s="1"/>
  <c r="P297" i="7"/>
  <c r="X297" i="7" s="1"/>
  <c r="P298" i="7"/>
  <c r="X298" i="7" s="1"/>
  <c r="P299" i="7"/>
  <c r="X299" i="7" s="1"/>
  <c r="P300" i="7"/>
  <c r="X300" i="7" s="1"/>
  <c r="P301" i="7"/>
  <c r="X301" i="7" s="1"/>
  <c r="P302" i="7"/>
  <c r="X302" i="7" s="1"/>
  <c r="P303" i="7"/>
  <c r="X303" i="7" s="1"/>
  <c r="P304" i="7"/>
  <c r="X304" i="7" s="1"/>
  <c r="P305" i="7"/>
  <c r="X305" i="7" s="1"/>
  <c r="P306" i="7"/>
  <c r="X306" i="7" s="1"/>
  <c r="P307" i="7"/>
  <c r="X307" i="7" s="1"/>
  <c r="P308" i="7"/>
  <c r="X308" i="7" s="1"/>
  <c r="P309" i="7"/>
  <c r="X309" i="7" s="1"/>
  <c r="P310" i="7"/>
  <c r="X310" i="7" s="1"/>
  <c r="P311" i="7"/>
  <c r="X311" i="7" s="1"/>
  <c r="P312" i="7"/>
  <c r="X312" i="7" s="1"/>
  <c r="P313" i="7"/>
  <c r="X313" i="7" s="1"/>
  <c r="P314" i="7"/>
  <c r="X314" i="7" s="1"/>
  <c r="P315" i="7"/>
  <c r="X315" i="7" s="1"/>
  <c r="P316" i="7"/>
  <c r="X316" i="7" s="1"/>
  <c r="P317" i="7"/>
  <c r="X317" i="7" s="1"/>
  <c r="P318" i="7"/>
  <c r="X318" i="7" s="1"/>
  <c r="P319" i="7"/>
  <c r="X319" i="7" s="1"/>
  <c r="P320" i="7"/>
  <c r="X320" i="7" s="1"/>
  <c r="P321" i="7"/>
  <c r="X321" i="7" s="1"/>
  <c r="P322" i="7"/>
  <c r="X322" i="7" s="1"/>
  <c r="P323" i="7"/>
  <c r="X323" i="7" s="1"/>
  <c r="P324" i="7"/>
  <c r="X324" i="7" s="1"/>
  <c r="P325" i="7"/>
  <c r="X325" i="7" s="1"/>
  <c r="P326" i="7"/>
  <c r="X326" i="7" s="1"/>
  <c r="P327" i="7"/>
  <c r="X327" i="7" s="1"/>
  <c r="P328" i="7"/>
  <c r="X328" i="7" s="1"/>
  <c r="P329" i="7"/>
  <c r="X329" i="7" s="1"/>
  <c r="P330" i="7"/>
  <c r="X330" i="7" s="1"/>
  <c r="P331" i="7"/>
  <c r="X331" i="7" s="1"/>
  <c r="P332" i="7"/>
  <c r="X332" i="7" s="1"/>
  <c r="P333" i="7"/>
  <c r="X333" i="7" s="1"/>
  <c r="P334" i="7"/>
  <c r="X334" i="7" s="1"/>
  <c r="P335" i="7"/>
  <c r="X335" i="7" s="1"/>
  <c r="P336" i="7"/>
  <c r="X336" i="7" s="1"/>
  <c r="P337" i="7"/>
  <c r="X337" i="7" s="1"/>
  <c r="P338" i="7"/>
  <c r="X338" i="7" s="1"/>
  <c r="P339" i="7"/>
  <c r="X339" i="7" s="1"/>
  <c r="P340" i="7"/>
  <c r="X340" i="7" s="1"/>
  <c r="P341" i="7"/>
  <c r="X341" i="7" s="1"/>
  <c r="P342" i="7"/>
  <c r="X342" i="7" s="1"/>
  <c r="P343" i="7"/>
  <c r="X343" i="7" s="1"/>
  <c r="P344" i="7"/>
  <c r="X344" i="7" s="1"/>
  <c r="P345" i="7"/>
  <c r="X345" i="7" s="1"/>
  <c r="P346" i="7"/>
  <c r="X346" i="7" s="1"/>
  <c r="P347" i="7"/>
  <c r="X347" i="7" s="1"/>
  <c r="P348" i="7"/>
  <c r="X348" i="7" s="1"/>
  <c r="P349" i="7"/>
  <c r="X349" i="7" s="1"/>
  <c r="P350" i="7"/>
  <c r="X350" i="7" s="1"/>
  <c r="P351" i="7"/>
  <c r="X351" i="7" s="1"/>
  <c r="P352" i="7"/>
  <c r="X352" i="7" s="1"/>
  <c r="P353" i="7"/>
  <c r="X353" i="7" s="1"/>
  <c r="P354" i="7"/>
  <c r="X354" i="7" s="1"/>
  <c r="P355" i="7"/>
  <c r="X355" i="7" s="1"/>
  <c r="P356" i="7"/>
  <c r="X356" i="7" s="1"/>
  <c r="P357" i="7"/>
  <c r="X357" i="7" s="1"/>
  <c r="P358" i="7"/>
  <c r="X358" i="7" s="1"/>
  <c r="P359" i="7"/>
  <c r="X359" i="7" s="1"/>
  <c r="P360" i="7"/>
  <c r="X360" i="7" s="1"/>
  <c r="P361" i="7"/>
  <c r="X361" i="7" s="1"/>
  <c r="P362" i="7"/>
  <c r="X362" i="7" s="1"/>
  <c r="P363" i="7"/>
  <c r="X363" i="7" s="1"/>
  <c r="P364" i="7"/>
  <c r="X364" i="7" s="1"/>
  <c r="P365" i="7"/>
  <c r="X365" i="7" s="1"/>
  <c r="P366" i="7"/>
  <c r="X366" i="7" s="1"/>
  <c r="P367" i="7"/>
  <c r="X367" i="7" s="1"/>
  <c r="P368" i="7"/>
  <c r="X368" i="7" s="1"/>
  <c r="P369" i="7"/>
  <c r="X369" i="7" s="1"/>
  <c r="P370" i="7"/>
  <c r="X370" i="7" s="1"/>
  <c r="P371" i="7"/>
  <c r="X371" i="7" s="1"/>
  <c r="P372" i="7"/>
  <c r="X372" i="7" s="1"/>
  <c r="P373" i="7"/>
  <c r="X373" i="7" s="1"/>
  <c r="P374" i="7"/>
  <c r="X374" i="7" s="1"/>
  <c r="P375" i="7"/>
  <c r="X375" i="7" s="1"/>
  <c r="P376" i="7"/>
  <c r="X376" i="7" s="1"/>
  <c r="P377" i="7"/>
  <c r="X377" i="7" s="1"/>
  <c r="P378" i="7"/>
  <c r="X378" i="7" s="1"/>
  <c r="P379" i="7"/>
  <c r="X379" i="7" s="1"/>
  <c r="P380" i="7"/>
  <c r="X380" i="7" s="1"/>
  <c r="P381" i="7"/>
  <c r="X381" i="7" s="1"/>
  <c r="P382" i="7"/>
  <c r="X382" i="7" s="1"/>
  <c r="P383" i="7"/>
  <c r="X383" i="7" s="1"/>
  <c r="P384" i="7"/>
  <c r="X384" i="7" s="1"/>
  <c r="P385" i="7"/>
  <c r="X385" i="7" s="1"/>
  <c r="P386" i="7"/>
  <c r="X386" i="7" s="1"/>
  <c r="P387" i="7"/>
  <c r="X387" i="7" s="1"/>
  <c r="P388" i="7"/>
  <c r="X388" i="7" s="1"/>
  <c r="P389" i="7"/>
  <c r="X389" i="7" s="1"/>
  <c r="P390" i="7"/>
  <c r="X390" i="7" s="1"/>
  <c r="P391" i="7"/>
  <c r="X391" i="7" s="1"/>
  <c r="P392" i="7"/>
  <c r="X392" i="7" s="1"/>
  <c r="P393" i="7"/>
  <c r="X393" i="7" s="1"/>
  <c r="P394" i="7"/>
  <c r="X394" i="7" s="1"/>
  <c r="P395" i="7"/>
  <c r="X395" i="7" s="1"/>
  <c r="P396" i="7"/>
  <c r="X396" i="7" s="1"/>
  <c r="P397" i="7"/>
  <c r="X397" i="7" s="1"/>
  <c r="P398" i="7"/>
  <c r="X398" i="7" s="1"/>
  <c r="P399" i="7"/>
  <c r="X399" i="7" s="1"/>
  <c r="P400" i="7"/>
  <c r="X400" i="7" s="1"/>
  <c r="P401" i="7"/>
  <c r="X401" i="7" s="1"/>
  <c r="P402" i="7"/>
  <c r="X402" i="7" s="1"/>
  <c r="P403" i="7"/>
  <c r="X403" i="7" s="1"/>
  <c r="P404" i="7"/>
  <c r="X404" i="7" s="1"/>
  <c r="P405" i="7"/>
  <c r="X405" i="7" s="1"/>
  <c r="P406" i="7"/>
  <c r="X406" i="7" s="1"/>
  <c r="P407" i="7"/>
  <c r="X407" i="7" s="1"/>
  <c r="P408" i="7"/>
  <c r="X408" i="7" s="1"/>
  <c r="P409" i="7"/>
  <c r="X409" i="7" s="1"/>
  <c r="P410" i="7"/>
  <c r="X410" i="7" s="1"/>
  <c r="P411" i="7"/>
  <c r="X411" i="7" s="1"/>
  <c r="P412" i="7"/>
  <c r="X412" i="7" s="1"/>
  <c r="P413" i="7"/>
  <c r="X413" i="7" s="1"/>
  <c r="P414" i="7"/>
  <c r="X414" i="7" s="1"/>
  <c r="P415" i="7"/>
  <c r="X415" i="7" s="1"/>
  <c r="P416" i="7"/>
  <c r="X416" i="7" s="1"/>
  <c r="P417" i="7"/>
  <c r="X417" i="7" s="1"/>
  <c r="P418" i="7"/>
  <c r="X418" i="7" s="1"/>
  <c r="P419" i="7"/>
  <c r="X419" i="7" s="1"/>
  <c r="P420" i="7"/>
  <c r="X420" i="7" s="1"/>
  <c r="P421" i="7"/>
  <c r="X421" i="7" s="1"/>
  <c r="P422" i="7"/>
  <c r="X422" i="7" s="1"/>
  <c r="P423" i="7"/>
  <c r="X423" i="7" s="1"/>
  <c r="P424" i="7"/>
  <c r="X424" i="7" s="1"/>
  <c r="P425" i="7"/>
  <c r="X425" i="7" s="1"/>
  <c r="P426" i="7"/>
  <c r="X426" i="7" s="1"/>
  <c r="P427" i="7"/>
  <c r="X427" i="7" s="1"/>
  <c r="P428" i="7"/>
  <c r="X428" i="7" s="1"/>
  <c r="P429" i="7"/>
  <c r="X429" i="7" s="1"/>
  <c r="P430" i="7"/>
  <c r="X430" i="7" s="1"/>
  <c r="P431" i="7"/>
  <c r="X431" i="7" s="1"/>
  <c r="M3" i="7"/>
  <c r="M4" i="7"/>
  <c r="M5" i="7"/>
  <c r="M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31" i="7"/>
  <c r="M32" i="7"/>
  <c r="M33" i="7"/>
  <c r="M34" i="7"/>
  <c r="M35" i="7"/>
  <c r="M36" i="7"/>
  <c r="M37" i="7"/>
  <c r="M38" i="7"/>
  <c r="M39" i="7"/>
  <c r="M40" i="7"/>
  <c r="M41" i="7"/>
  <c r="M42" i="7"/>
  <c r="M43" i="7"/>
  <c r="M44" i="7"/>
  <c r="M45" i="7"/>
  <c r="M46" i="7"/>
  <c r="M47" i="7"/>
  <c r="M48" i="7"/>
  <c r="M49" i="7"/>
  <c r="M50" i="7"/>
  <c r="M51" i="7"/>
  <c r="M52" i="7"/>
  <c r="M53" i="7"/>
  <c r="M54" i="7"/>
  <c r="M55" i="7"/>
  <c r="M56" i="7"/>
  <c r="M57" i="7"/>
  <c r="M58" i="7"/>
  <c r="M59" i="7"/>
  <c r="M60" i="7"/>
  <c r="M61" i="7"/>
  <c r="M62" i="7"/>
  <c r="M63" i="7"/>
  <c r="M64" i="7"/>
  <c r="M65" i="7"/>
  <c r="M66" i="7"/>
  <c r="M67" i="7"/>
  <c r="M68" i="7"/>
  <c r="M69" i="7"/>
  <c r="M70" i="7"/>
  <c r="M71" i="7"/>
  <c r="M72" i="7"/>
  <c r="M73" i="7"/>
  <c r="M74" i="7"/>
  <c r="M75" i="7"/>
  <c r="M76" i="7"/>
  <c r="M77" i="7"/>
  <c r="M78" i="7"/>
  <c r="M79" i="7"/>
  <c r="M80" i="7"/>
  <c r="M81" i="7"/>
  <c r="M82" i="7"/>
  <c r="M83" i="7"/>
  <c r="M84" i="7"/>
  <c r="M85" i="7"/>
  <c r="M86" i="7"/>
  <c r="M87" i="7"/>
  <c r="M88" i="7"/>
  <c r="M89" i="7"/>
  <c r="M90" i="7"/>
  <c r="M91" i="7"/>
  <c r="M92" i="7"/>
  <c r="M93" i="7"/>
  <c r="M94" i="7"/>
  <c r="M95" i="7"/>
  <c r="M96" i="7"/>
  <c r="M97" i="7"/>
  <c r="M98" i="7"/>
  <c r="M99" i="7"/>
  <c r="M100" i="7"/>
  <c r="M101" i="7"/>
  <c r="M102" i="7"/>
  <c r="M103" i="7"/>
  <c r="M104" i="7"/>
  <c r="M105" i="7"/>
  <c r="M106" i="7"/>
  <c r="M107" i="7"/>
  <c r="M108" i="7"/>
  <c r="M109" i="7"/>
  <c r="M110" i="7"/>
  <c r="M111" i="7"/>
  <c r="M112" i="7"/>
  <c r="M113" i="7"/>
  <c r="M114" i="7"/>
  <c r="M115" i="7"/>
  <c r="M116" i="7"/>
  <c r="M117" i="7"/>
  <c r="M118" i="7"/>
  <c r="M119" i="7"/>
  <c r="M120" i="7"/>
  <c r="M121" i="7"/>
  <c r="M122" i="7"/>
  <c r="M123" i="7"/>
  <c r="M124" i="7"/>
  <c r="M125" i="7"/>
  <c r="M126" i="7"/>
  <c r="M127" i="7"/>
  <c r="M128" i="7"/>
  <c r="M129" i="7"/>
  <c r="M130" i="7"/>
  <c r="M131" i="7"/>
  <c r="M132" i="7"/>
  <c r="M133" i="7"/>
  <c r="M134" i="7"/>
  <c r="M135" i="7"/>
  <c r="M136" i="7"/>
  <c r="M137" i="7"/>
  <c r="M138" i="7"/>
  <c r="M139" i="7"/>
  <c r="M140" i="7"/>
  <c r="M141" i="7"/>
  <c r="M142" i="7"/>
  <c r="M143" i="7"/>
  <c r="M144" i="7"/>
  <c r="M145" i="7"/>
  <c r="M146" i="7"/>
  <c r="M147" i="7"/>
  <c r="M148" i="7"/>
  <c r="M149" i="7"/>
  <c r="M150" i="7"/>
  <c r="M151" i="7"/>
  <c r="M152" i="7"/>
  <c r="M153" i="7"/>
  <c r="M154" i="7"/>
  <c r="M155" i="7"/>
  <c r="M156" i="7"/>
  <c r="M157" i="7"/>
  <c r="M158" i="7"/>
  <c r="M159" i="7"/>
  <c r="M160" i="7"/>
  <c r="M161" i="7"/>
  <c r="M162" i="7"/>
  <c r="M163" i="7"/>
  <c r="M164" i="7"/>
  <c r="M165" i="7"/>
  <c r="M166" i="7"/>
  <c r="M167" i="7"/>
  <c r="M168" i="7"/>
  <c r="M169" i="7"/>
  <c r="M170" i="7"/>
  <c r="M171" i="7"/>
  <c r="M172" i="7"/>
  <c r="M173" i="7"/>
  <c r="M174" i="7"/>
  <c r="M175" i="7"/>
  <c r="M176" i="7"/>
  <c r="M177" i="7"/>
  <c r="M178" i="7"/>
  <c r="M179" i="7"/>
  <c r="M180" i="7"/>
  <c r="M181" i="7"/>
  <c r="M182" i="7"/>
  <c r="M183" i="7"/>
  <c r="M184" i="7"/>
  <c r="M185" i="7"/>
  <c r="M186" i="7"/>
  <c r="M187" i="7"/>
  <c r="M188" i="7"/>
  <c r="M189" i="7"/>
  <c r="M190" i="7"/>
  <c r="M191" i="7"/>
  <c r="M192" i="7"/>
  <c r="M193" i="7"/>
  <c r="M194" i="7"/>
  <c r="M195" i="7"/>
  <c r="M196" i="7"/>
  <c r="M197" i="7"/>
  <c r="M198" i="7"/>
  <c r="M199" i="7"/>
  <c r="M200" i="7"/>
  <c r="M201" i="7"/>
  <c r="M202" i="7"/>
  <c r="M203" i="7"/>
  <c r="M204" i="7"/>
  <c r="M205" i="7"/>
  <c r="M206" i="7"/>
  <c r="M207" i="7"/>
  <c r="M208" i="7"/>
  <c r="M209" i="7"/>
  <c r="M210" i="7"/>
  <c r="M211" i="7"/>
  <c r="M212" i="7"/>
  <c r="M213" i="7"/>
  <c r="M214" i="7"/>
  <c r="M215" i="7"/>
  <c r="M216" i="7"/>
  <c r="M217" i="7"/>
  <c r="M218" i="7"/>
  <c r="M219" i="7"/>
  <c r="M220" i="7"/>
  <c r="M221" i="7"/>
  <c r="M222" i="7"/>
  <c r="M223" i="7"/>
  <c r="M224" i="7"/>
  <c r="M225" i="7"/>
  <c r="M226" i="7"/>
  <c r="M227" i="7"/>
  <c r="M228" i="7"/>
  <c r="M229" i="7"/>
  <c r="M230" i="7"/>
  <c r="M231" i="7"/>
  <c r="M232" i="7"/>
  <c r="M233" i="7"/>
  <c r="M234" i="7"/>
  <c r="M235" i="7"/>
  <c r="M236" i="7"/>
  <c r="M237" i="7"/>
  <c r="M238" i="7"/>
  <c r="M239" i="7"/>
  <c r="M240" i="7"/>
  <c r="M241" i="7"/>
  <c r="M242" i="7"/>
  <c r="M243" i="7"/>
  <c r="M244" i="7"/>
  <c r="M245" i="7"/>
  <c r="M246" i="7"/>
  <c r="M247" i="7"/>
  <c r="M248" i="7"/>
  <c r="M249" i="7"/>
  <c r="M250" i="7"/>
  <c r="M251" i="7"/>
  <c r="M252" i="7"/>
  <c r="M253" i="7"/>
  <c r="M254" i="7"/>
  <c r="M255" i="7"/>
  <c r="M256" i="7"/>
  <c r="M257" i="7"/>
  <c r="M258" i="7"/>
  <c r="M259" i="7"/>
  <c r="M260" i="7"/>
  <c r="M261" i="7"/>
  <c r="M262" i="7"/>
  <c r="M263" i="7"/>
  <c r="M264" i="7"/>
  <c r="M265" i="7"/>
  <c r="M266" i="7"/>
  <c r="M267" i="7"/>
  <c r="M268" i="7"/>
  <c r="M269" i="7"/>
  <c r="M270" i="7"/>
  <c r="M271" i="7"/>
  <c r="M272" i="7"/>
  <c r="M273" i="7"/>
  <c r="M274" i="7"/>
  <c r="M275" i="7"/>
  <c r="M276" i="7"/>
  <c r="M277" i="7"/>
  <c r="M278" i="7"/>
  <c r="M279" i="7"/>
  <c r="M280" i="7"/>
  <c r="M281" i="7"/>
  <c r="M282" i="7"/>
  <c r="M283" i="7"/>
  <c r="M284" i="7"/>
  <c r="M285" i="7"/>
  <c r="M286" i="7"/>
  <c r="M287" i="7"/>
  <c r="M288" i="7"/>
  <c r="M289" i="7"/>
  <c r="M290" i="7"/>
  <c r="M291" i="7"/>
  <c r="M292" i="7"/>
  <c r="M293" i="7"/>
  <c r="M294" i="7"/>
  <c r="M295" i="7"/>
  <c r="M296" i="7"/>
  <c r="M297" i="7"/>
  <c r="M298" i="7"/>
  <c r="M299" i="7"/>
  <c r="M300" i="7"/>
  <c r="M301" i="7"/>
  <c r="M302" i="7"/>
  <c r="M303" i="7"/>
  <c r="M304" i="7"/>
  <c r="M305" i="7"/>
  <c r="M306" i="7"/>
  <c r="M307" i="7"/>
  <c r="M308" i="7"/>
  <c r="M309" i="7"/>
  <c r="M310" i="7"/>
  <c r="M311" i="7"/>
  <c r="M312" i="7"/>
  <c r="M313" i="7"/>
  <c r="M314" i="7"/>
  <c r="M315" i="7"/>
  <c r="M316" i="7"/>
  <c r="M317" i="7"/>
  <c r="M318" i="7"/>
  <c r="M319" i="7"/>
  <c r="M320" i="7"/>
  <c r="M321" i="7"/>
  <c r="M322" i="7"/>
  <c r="M323" i="7"/>
  <c r="M324" i="7"/>
  <c r="M325" i="7"/>
  <c r="M326" i="7"/>
  <c r="M327" i="7"/>
  <c r="M328" i="7"/>
  <c r="M329" i="7"/>
  <c r="M330" i="7"/>
  <c r="M331" i="7"/>
  <c r="M332" i="7"/>
  <c r="M333" i="7"/>
  <c r="M334" i="7"/>
  <c r="M335" i="7"/>
  <c r="M336" i="7"/>
  <c r="M337" i="7"/>
  <c r="M338" i="7"/>
  <c r="M339" i="7"/>
  <c r="M340" i="7"/>
  <c r="M341" i="7"/>
  <c r="M342" i="7"/>
  <c r="M343" i="7"/>
  <c r="M344" i="7"/>
  <c r="M345" i="7"/>
  <c r="M346" i="7"/>
  <c r="M347" i="7"/>
  <c r="M348" i="7"/>
  <c r="M349" i="7"/>
  <c r="M350" i="7"/>
  <c r="M351" i="7"/>
  <c r="M352" i="7"/>
  <c r="M353" i="7"/>
  <c r="M354" i="7"/>
  <c r="M355" i="7"/>
  <c r="M356" i="7"/>
  <c r="M357" i="7"/>
  <c r="M358" i="7"/>
  <c r="M359" i="7"/>
  <c r="M360" i="7"/>
  <c r="M361" i="7"/>
  <c r="M362" i="7"/>
  <c r="M363" i="7"/>
  <c r="M364" i="7"/>
  <c r="M365" i="7"/>
  <c r="M366" i="7"/>
  <c r="M367" i="7"/>
  <c r="M368" i="7"/>
  <c r="M369" i="7"/>
  <c r="M370" i="7"/>
  <c r="M371" i="7"/>
  <c r="M372" i="7"/>
  <c r="M373" i="7"/>
  <c r="M374" i="7"/>
  <c r="M375" i="7"/>
  <c r="M376" i="7"/>
  <c r="M377" i="7"/>
  <c r="M378" i="7"/>
  <c r="M379" i="7"/>
  <c r="M380" i="7"/>
  <c r="M381" i="7"/>
  <c r="M382" i="7"/>
  <c r="M383" i="7"/>
  <c r="M384" i="7"/>
  <c r="M385" i="7"/>
  <c r="M386" i="7"/>
  <c r="M387" i="7"/>
  <c r="M388" i="7"/>
  <c r="M389" i="7"/>
  <c r="M390" i="7"/>
  <c r="M391" i="7"/>
  <c r="M392" i="7"/>
  <c r="M393" i="7"/>
  <c r="M394" i="7"/>
  <c r="M395" i="7"/>
  <c r="M396" i="7"/>
  <c r="M397" i="7"/>
  <c r="M398" i="7"/>
  <c r="M399" i="7"/>
  <c r="M400" i="7"/>
  <c r="M401" i="7"/>
  <c r="M402" i="7"/>
  <c r="M403" i="7"/>
  <c r="M404" i="7"/>
  <c r="M405" i="7"/>
  <c r="M406" i="7"/>
  <c r="M407" i="7"/>
  <c r="M408" i="7"/>
  <c r="M409" i="7"/>
  <c r="M410" i="7"/>
  <c r="M411" i="7"/>
  <c r="M412" i="7"/>
  <c r="M413" i="7"/>
  <c r="M414" i="7"/>
  <c r="M415" i="7"/>
  <c r="M416" i="7"/>
  <c r="M417" i="7"/>
  <c r="M418" i="7"/>
  <c r="M419" i="7"/>
  <c r="M420" i="7"/>
  <c r="M421" i="7"/>
  <c r="M422" i="7"/>
  <c r="M423" i="7"/>
  <c r="M424" i="7"/>
  <c r="M425" i="7"/>
  <c r="M426" i="7"/>
  <c r="M427" i="7"/>
  <c r="M428" i="7"/>
  <c r="M429" i="7"/>
  <c r="M430" i="7"/>
  <c r="M431" i="7"/>
  <c r="B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97" i="7"/>
  <c r="B98" i="7"/>
  <c r="B99" i="7"/>
  <c r="B100" i="7"/>
  <c r="B101" i="7"/>
  <c r="B102" i="7"/>
  <c r="B103" i="7"/>
  <c r="B104" i="7"/>
  <c r="B105" i="7"/>
  <c r="B106" i="7"/>
  <c r="B107" i="7"/>
  <c r="B108" i="7"/>
  <c r="B109" i="7"/>
  <c r="B110" i="7"/>
  <c r="B111" i="7"/>
  <c r="B112" i="7"/>
  <c r="B113" i="7"/>
  <c r="B114" i="7"/>
  <c r="B115" i="7"/>
  <c r="B116" i="7"/>
  <c r="B117" i="7"/>
  <c r="B118" i="7"/>
  <c r="B119" i="7"/>
  <c r="B120" i="7"/>
  <c r="B121" i="7"/>
  <c r="B122" i="7"/>
  <c r="B123" i="7"/>
  <c r="B124" i="7"/>
  <c r="B125" i="7"/>
  <c r="B126" i="7"/>
  <c r="B127" i="7"/>
  <c r="B128" i="7"/>
  <c r="B129" i="7"/>
  <c r="B130" i="7"/>
  <c r="B131" i="7"/>
  <c r="B132" i="7"/>
  <c r="B133" i="7"/>
  <c r="B134" i="7"/>
  <c r="B135" i="7"/>
  <c r="B136" i="7"/>
  <c r="B137" i="7"/>
  <c r="B138" i="7"/>
  <c r="B139" i="7"/>
  <c r="B140" i="7"/>
  <c r="B141" i="7"/>
  <c r="B142" i="7"/>
  <c r="B143" i="7"/>
  <c r="B144" i="7"/>
  <c r="B145" i="7"/>
  <c r="B146" i="7"/>
  <c r="B147" i="7"/>
  <c r="B148" i="7"/>
  <c r="B149" i="7"/>
  <c r="B150" i="7"/>
  <c r="B151" i="7"/>
  <c r="B152" i="7"/>
  <c r="B153" i="7"/>
  <c r="B154" i="7"/>
  <c r="B155" i="7"/>
  <c r="B156" i="7"/>
  <c r="B157" i="7"/>
  <c r="B158" i="7"/>
  <c r="B159" i="7"/>
  <c r="B160" i="7"/>
  <c r="B161" i="7"/>
  <c r="B162" i="7"/>
  <c r="B163" i="7"/>
  <c r="B164" i="7"/>
  <c r="B165" i="7"/>
  <c r="B166" i="7"/>
  <c r="B167" i="7"/>
  <c r="B168" i="7"/>
  <c r="B169" i="7"/>
  <c r="B170" i="7"/>
  <c r="B171" i="7"/>
  <c r="B172" i="7"/>
  <c r="B173" i="7"/>
  <c r="B174" i="7"/>
  <c r="B175" i="7"/>
  <c r="B176" i="7"/>
  <c r="B177" i="7"/>
  <c r="B178" i="7"/>
  <c r="B179" i="7"/>
  <c r="B180" i="7"/>
  <c r="B181" i="7"/>
  <c r="B182" i="7"/>
  <c r="B183" i="7"/>
  <c r="B184" i="7"/>
  <c r="B185" i="7"/>
  <c r="B186" i="7"/>
  <c r="B187" i="7"/>
  <c r="B188" i="7"/>
  <c r="B189" i="7"/>
  <c r="B190" i="7"/>
  <c r="B191" i="7"/>
  <c r="B192" i="7"/>
  <c r="B193" i="7"/>
  <c r="B194" i="7"/>
  <c r="B195" i="7"/>
  <c r="B196" i="7"/>
  <c r="B197" i="7"/>
  <c r="B198" i="7"/>
  <c r="B199" i="7"/>
  <c r="B200" i="7"/>
  <c r="B201" i="7"/>
  <c r="B202" i="7"/>
  <c r="B203" i="7"/>
  <c r="B204" i="7"/>
  <c r="B205" i="7"/>
  <c r="B206" i="7"/>
  <c r="B207" i="7"/>
  <c r="B208" i="7"/>
  <c r="B209" i="7"/>
  <c r="B210" i="7"/>
  <c r="B211" i="7"/>
  <c r="B212" i="7"/>
  <c r="B213" i="7"/>
  <c r="B214" i="7"/>
  <c r="B215" i="7"/>
  <c r="B216" i="7"/>
  <c r="B217" i="7"/>
  <c r="B218" i="7"/>
  <c r="B219" i="7"/>
  <c r="B220" i="7"/>
  <c r="B221" i="7"/>
  <c r="B222" i="7"/>
  <c r="B223" i="7"/>
  <c r="B224" i="7"/>
  <c r="B225" i="7"/>
  <c r="B226" i="7"/>
  <c r="B227" i="7"/>
  <c r="B228" i="7"/>
  <c r="B229" i="7"/>
  <c r="B230" i="7"/>
  <c r="B231" i="7"/>
  <c r="B232" i="7"/>
  <c r="B233" i="7"/>
  <c r="B234" i="7"/>
  <c r="B235" i="7"/>
  <c r="B236" i="7"/>
  <c r="B237" i="7"/>
  <c r="B238" i="7"/>
  <c r="B239" i="7"/>
  <c r="B240" i="7"/>
  <c r="B241" i="7"/>
  <c r="B242" i="7"/>
  <c r="B243" i="7"/>
  <c r="B244" i="7"/>
  <c r="B245" i="7"/>
  <c r="B246" i="7"/>
  <c r="B247" i="7"/>
  <c r="B248" i="7"/>
  <c r="B249" i="7"/>
  <c r="B250" i="7"/>
  <c r="B251" i="7"/>
  <c r="B252" i="7"/>
  <c r="B253" i="7"/>
  <c r="B254" i="7"/>
  <c r="B255" i="7"/>
  <c r="B256" i="7"/>
  <c r="B257" i="7"/>
  <c r="B258" i="7"/>
  <c r="B259" i="7"/>
  <c r="B260" i="7"/>
  <c r="B261" i="7"/>
  <c r="B262" i="7"/>
  <c r="B263" i="7"/>
  <c r="B264" i="7"/>
  <c r="B265" i="7"/>
  <c r="B266" i="7"/>
  <c r="B267" i="7"/>
  <c r="B268" i="7"/>
  <c r="B269" i="7"/>
  <c r="B270" i="7"/>
  <c r="B271" i="7"/>
  <c r="B272" i="7"/>
  <c r="B273" i="7"/>
  <c r="B274" i="7"/>
  <c r="B275" i="7"/>
  <c r="B276" i="7"/>
  <c r="B277" i="7"/>
  <c r="B278" i="7"/>
  <c r="B279" i="7"/>
  <c r="B280" i="7"/>
  <c r="B281" i="7"/>
  <c r="B282" i="7"/>
  <c r="B283" i="7"/>
  <c r="B284" i="7"/>
  <c r="B285" i="7"/>
  <c r="B286" i="7"/>
  <c r="B287" i="7"/>
  <c r="B288" i="7"/>
  <c r="B289" i="7"/>
  <c r="B290" i="7"/>
  <c r="B291" i="7"/>
  <c r="B292" i="7"/>
  <c r="B293" i="7"/>
  <c r="B294" i="7"/>
  <c r="B295" i="7"/>
  <c r="B296" i="7"/>
  <c r="B297" i="7"/>
  <c r="B298" i="7"/>
  <c r="B299" i="7"/>
  <c r="B300" i="7"/>
  <c r="B301" i="7"/>
  <c r="B302" i="7"/>
  <c r="B303" i="7"/>
  <c r="B304" i="7"/>
  <c r="B305" i="7"/>
  <c r="B306" i="7"/>
  <c r="B307" i="7"/>
  <c r="B308" i="7"/>
  <c r="B309" i="7"/>
  <c r="B310" i="7"/>
  <c r="B311" i="7"/>
  <c r="B312" i="7"/>
  <c r="B313" i="7"/>
  <c r="B314" i="7"/>
  <c r="B315" i="7"/>
  <c r="B316" i="7"/>
  <c r="B317" i="7"/>
  <c r="B318" i="7"/>
  <c r="B319" i="7"/>
  <c r="B320" i="7"/>
  <c r="B321" i="7"/>
  <c r="B322" i="7"/>
  <c r="B323" i="7"/>
  <c r="B324" i="7"/>
  <c r="B325" i="7"/>
  <c r="B326" i="7"/>
  <c r="B327" i="7"/>
  <c r="B328" i="7"/>
  <c r="B329" i="7"/>
  <c r="B330" i="7"/>
  <c r="B331" i="7"/>
  <c r="B332" i="7"/>
  <c r="B333" i="7"/>
  <c r="B334" i="7"/>
  <c r="B335" i="7"/>
  <c r="B336" i="7"/>
  <c r="B337" i="7"/>
  <c r="B338" i="7"/>
  <c r="B339" i="7"/>
  <c r="B340" i="7"/>
  <c r="B341" i="7"/>
  <c r="B342" i="7"/>
  <c r="B343" i="7"/>
  <c r="B344" i="7"/>
  <c r="B345" i="7"/>
  <c r="B346" i="7"/>
  <c r="B347" i="7"/>
  <c r="B348" i="7"/>
  <c r="B349" i="7"/>
  <c r="B350" i="7"/>
  <c r="B351" i="7"/>
  <c r="B352" i="7"/>
  <c r="B353" i="7"/>
  <c r="B354" i="7"/>
  <c r="B355" i="7"/>
  <c r="B356" i="7"/>
  <c r="B357" i="7"/>
  <c r="B358" i="7"/>
  <c r="B359" i="7"/>
  <c r="B360" i="7"/>
  <c r="B361" i="7"/>
  <c r="B362" i="7"/>
  <c r="B363" i="7"/>
  <c r="B364" i="7"/>
  <c r="B365" i="7"/>
  <c r="B366" i="7"/>
  <c r="B367" i="7"/>
  <c r="B368" i="7"/>
  <c r="B369" i="7"/>
  <c r="B370" i="7"/>
  <c r="B371" i="7"/>
  <c r="B372" i="7"/>
  <c r="B373" i="7"/>
  <c r="B374" i="7"/>
  <c r="B375" i="7"/>
  <c r="B376" i="7"/>
  <c r="B377" i="7"/>
  <c r="B378" i="7"/>
  <c r="B379" i="7"/>
  <c r="B380" i="7"/>
  <c r="B381" i="7"/>
  <c r="B382" i="7"/>
  <c r="B383" i="7"/>
  <c r="B384" i="7"/>
  <c r="B385" i="7"/>
  <c r="B386" i="7"/>
  <c r="B387" i="7"/>
  <c r="B388" i="7"/>
  <c r="B389" i="7"/>
  <c r="B390" i="7"/>
  <c r="B391" i="7"/>
  <c r="B392" i="7"/>
  <c r="B393" i="7"/>
  <c r="B394" i="7"/>
  <c r="B395" i="7"/>
  <c r="B396" i="7"/>
  <c r="B397" i="7"/>
  <c r="B398" i="7"/>
  <c r="B399" i="7"/>
  <c r="B400" i="7"/>
  <c r="B401" i="7"/>
  <c r="B402" i="7"/>
  <c r="B403" i="7"/>
  <c r="B404" i="7"/>
  <c r="B405" i="7"/>
  <c r="B406" i="7"/>
  <c r="B407" i="7"/>
  <c r="B408" i="7"/>
  <c r="B409" i="7"/>
  <c r="B410" i="7"/>
  <c r="B411" i="7"/>
  <c r="B412" i="7"/>
  <c r="B413" i="7"/>
  <c r="B414" i="7"/>
  <c r="B415" i="7"/>
  <c r="B416" i="7"/>
  <c r="B417" i="7"/>
  <c r="B418" i="7"/>
  <c r="B419" i="7"/>
  <c r="B420" i="7"/>
  <c r="B421" i="7"/>
  <c r="B422" i="7"/>
  <c r="B423" i="7"/>
  <c r="B424" i="7"/>
  <c r="B425" i="7"/>
  <c r="B426" i="7"/>
  <c r="B427" i="7"/>
  <c r="B428" i="7"/>
  <c r="B429" i="7"/>
  <c r="B430" i="7"/>
  <c r="B431" i="7"/>
  <c r="B2" i="7"/>
  <c r="M2" i="7"/>
  <c r="P2" i="7"/>
  <c r="X2" i="7" s="1"/>
  <c r="Q2" i="7"/>
  <c r="N35" i="15" l="1"/>
  <c r="N33" i="15"/>
  <c r="O30" i="15" s="1"/>
  <c r="Q30" i="15" s="1"/>
  <c r="R2" i="7"/>
  <c r="R3" i="7" s="1"/>
  <c r="R4" i="7" s="1"/>
  <c r="R5" i="7" s="1"/>
  <c r="R6" i="7" s="1"/>
  <c r="R7" i="7" s="1"/>
  <c r="R8" i="7" s="1"/>
  <c r="R9" i="7" s="1"/>
  <c r="R10" i="7" s="1"/>
  <c r="R11" i="7" s="1"/>
  <c r="R12" i="7" s="1"/>
  <c r="R13" i="7" s="1"/>
  <c r="R14" i="7" s="1"/>
  <c r="R15" i="7" s="1"/>
  <c r="R16" i="7" s="1"/>
  <c r="R17" i="7" s="1"/>
  <c r="R18" i="7" s="1"/>
  <c r="R19" i="7" s="1"/>
  <c r="R20" i="7" s="1"/>
  <c r="R21" i="7" s="1"/>
  <c r="R22" i="7" s="1"/>
  <c r="R23" i="7" s="1"/>
  <c r="R24" i="7" s="1"/>
  <c r="R25" i="7" s="1"/>
  <c r="R26" i="7" s="1"/>
  <c r="R27" i="7" s="1"/>
  <c r="R28" i="7" s="1"/>
  <c r="R29" i="7" s="1"/>
  <c r="R30" i="7" s="1"/>
  <c r="R31" i="7" s="1"/>
  <c r="R32" i="7" s="1"/>
  <c r="R33" i="7" s="1"/>
  <c r="R34" i="7" s="1"/>
  <c r="R35" i="7" s="1"/>
  <c r="R36" i="7" s="1"/>
  <c r="R37" i="7" s="1"/>
  <c r="R38" i="7" s="1"/>
  <c r="R39" i="7" s="1"/>
  <c r="R40" i="7" s="1"/>
  <c r="R41" i="7" s="1"/>
  <c r="R42" i="7" s="1"/>
  <c r="R43" i="7" s="1"/>
  <c r="R44" i="7" s="1"/>
  <c r="R45" i="7" s="1"/>
  <c r="R46" i="7" s="1"/>
  <c r="R47" i="7" s="1"/>
  <c r="R48" i="7" s="1"/>
  <c r="R49" i="7" s="1"/>
  <c r="R50" i="7" s="1"/>
  <c r="R51" i="7" s="1"/>
  <c r="R52" i="7" s="1"/>
  <c r="R53" i="7" s="1"/>
  <c r="R54" i="7" s="1"/>
  <c r="R55" i="7" s="1"/>
  <c r="R56" i="7" s="1"/>
  <c r="R57" i="7" s="1"/>
  <c r="R58" i="7" s="1"/>
  <c r="R59" i="7" s="1"/>
  <c r="R60" i="7" s="1"/>
  <c r="R61" i="7" s="1"/>
  <c r="R62" i="7" s="1"/>
  <c r="R63" i="7" s="1"/>
  <c r="R64" i="7" s="1"/>
  <c r="R65" i="7" s="1"/>
  <c r="R66" i="7" s="1"/>
  <c r="R67" i="7" s="1"/>
  <c r="R68" i="7" s="1"/>
  <c r="R69" i="7" s="1"/>
  <c r="R70" i="7" s="1"/>
  <c r="R71" i="7" s="1"/>
  <c r="R72" i="7" s="1"/>
  <c r="R73" i="7" s="1"/>
  <c r="R74" i="7" s="1"/>
  <c r="R75" i="7" s="1"/>
  <c r="R76" i="7" s="1"/>
  <c r="R77" i="7" s="1"/>
  <c r="R78" i="7" s="1"/>
  <c r="R79" i="7" s="1"/>
  <c r="R80" i="7" s="1"/>
  <c r="R81" i="7" s="1"/>
  <c r="R82" i="7" s="1"/>
  <c r="R83" i="7" s="1"/>
  <c r="R84" i="7" s="1"/>
  <c r="R85" i="7" s="1"/>
  <c r="R86" i="7" s="1"/>
  <c r="R87" i="7" s="1"/>
  <c r="R88" i="7" s="1"/>
  <c r="R89" i="7" s="1"/>
  <c r="R90" i="7" s="1"/>
  <c r="R91" i="7" s="1"/>
  <c r="R92" i="7" s="1"/>
  <c r="R93" i="7" s="1"/>
  <c r="R94" i="7" s="1"/>
  <c r="R95" i="7" s="1"/>
  <c r="R96" i="7" s="1"/>
  <c r="R97" i="7" s="1"/>
  <c r="R98" i="7" s="1"/>
  <c r="R99" i="7" s="1"/>
  <c r="R100" i="7" s="1"/>
  <c r="R101" i="7" s="1"/>
  <c r="R102" i="7" s="1"/>
  <c r="R103" i="7" s="1"/>
  <c r="R104" i="7" s="1"/>
  <c r="R105" i="7" s="1"/>
  <c r="R106" i="7" s="1"/>
  <c r="R107" i="7" s="1"/>
  <c r="R108" i="7" s="1"/>
  <c r="R109" i="7" s="1"/>
  <c r="R110" i="7" s="1"/>
  <c r="R111" i="7" s="1"/>
  <c r="R112" i="7" s="1"/>
  <c r="R113" i="7" s="1"/>
  <c r="R114" i="7" s="1"/>
  <c r="R115" i="7" s="1"/>
  <c r="R116" i="7" s="1"/>
  <c r="R117" i="7" s="1"/>
  <c r="R118" i="7" s="1"/>
  <c r="R119" i="7" s="1"/>
  <c r="R120" i="7" s="1"/>
  <c r="R121" i="7" s="1"/>
  <c r="R122" i="7" s="1"/>
  <c r="R123" i="7" s="1"/>
  <c r="R124" i="7" s="1"/>
  <c r="R125" i="7" s="1"/>
  <c r="R126" i="7" s="1"/>
  <c r="R127" i="7" s="1"/>
  <c r="R128" i="7" s="1"/>
  <c r="R129" i="7" s="1"/>
  <c r="R130" i="7" s="1"/>
  <c r="R131" i="7" s="1"/>
  <c r="R132" i="7" s="1"/>
  <c r="R133" i="7" s="1"/>
  <c r="R134" i="7" s="1"/>
  <c r="R135" i="7" s="1"/>
  <c r="R136" i="7" s="1"/>
  <c r="R137" i="7" s="1"/>
  <c r="R138" i="7" s="1"/>
  <c r="R139" i="7" s="1"/>
  <c r="R140" i="7" s="1"/>
  <c r="R141" i="7" s="1"/>
  <c r="R142" i="7" s="1"/>
  <c r="R143" i="7" s="1"/>
  <c r="R144" i="7" s="1"/>
  <c r="R145" i="7" s="1"/>
  <c r="R146" i="7" s="1"/>
  <c r="R147" i="7" s="1"/>
  <c r="R148" i="7" s="1"/>
  <c r="R149" i="7" s="1"/>
  <c r="R150" i="7" s="1"/>
  <c r="R151" i="7" s="1"/>
  <c r="R152" i="7" s="1"/>
  <c r="R153" i="7" s="1"/>
  <c r="R154" i="7" s="1"/>
  <c r="R155" i="7" s="1"/>
  <c r="R156" i="7" s="1"/>
  <c r="R157" i="7" s="1"/>
  <c r="R158" i="7" s="1"/>
  <c r="R159" i="7" s="1"/>
  <c r="R160" i="7" s="1"/>
  <c r="R161" i="7" s="1"/>
  <c r="R162" i="7" s="1"/>
  <c r="R163" i="7" s="1"/>
  <c r="R164" i="7" s="1"/>
  <c r="R165" i="7" s="1"/>
  <c r="R166" i="7" s="1"/>
  <c r="R167" i="7" s="1"/>
  <c r="R168" i="7" s="1"/>
  <c r="R169" i="7" s="1"/>
  <c r="R170" i="7" s="1"/>
  <c r="R171" i="7" s="1"/>
  <c r="R172" i="7" s="1"/>
  <c r="R173" i="7" s="1"/>
  <c r="R174" i="7" s="1"/>
  <c r="R175" i="7" s="1"/>
  <c r="R176" i="7" s="1"/>
  <c r="R177" i="7" s="1"/>
  <c r="R178" i="7" s="1"/>
  <c r="R179" i="7" s="1"/>
  <c r="R180" i="7" s="1"/>
  <c r="R181" i="7" s="1"/>
  <c r="R182" i="7" s="1"/>
  <c r="R183" i="7" s="1"/>
  <c r="R184" i="7" s="1"/>
  <c r="R185" i="7" s="1"/>
  <c r="R186" i="7" s="1"/>
  <c r="R187" i="7" s="1"/>
  <c r="R188" i="7" s="1"/>
  <c r="R189" i="7" s="1"/>
  <c r="R190" i="7" s="1"/>
  <c r="R191" i="7" s="1"/>
  <c r="R192" i="7" s="1"/>
  <c r="R193" i="7" s="1"/>
  <c r="R194" i="7" s="1"/>
  <c r="R195" i="7" s="1"/>
  <c r="R196" i="7" s="1"/>
  <c r="R197" i="7" s="1"/>
  <c r="R198" i="7" s="1"/>
  <c r="R199" i="7" s="1"/>
  <c r="R200" i="7" s="1"/>
  <c r="R201" i="7" s="1"/>
  <c r="R202" i="7" s="1"/>
  <c r="R203" i="7" s="1"/>
  <c r="R204" i="7" s="1"/>
  <c r="R205" i="7" s="1"/>
  <c r="R206" i="7" s="1"/>
  <c r="R207" i="7" s="1"/>
  <c r="R208" i="7" s="1"/>
  <c r="R209" i="7" s="1"/>
  <c r="R210" i="7" s="1"/>
  <c r="R211" i="7" s="1"/>
  <c r="R212" i="7" s="1"/>
  <c r="R213" i="7" s="1"/>
  <c r="R214" i="7" s="1"/>
  <c r="R215" i="7" s="1"/>
  <c r="R216" i="7" s="1"/>
  <c r="R217" i="7" s="1"/>
  <c r="R218" i="7" s="1"/>
  <c r="R219" i="7" s="1"/>
  <c r="R220" i="7" s="1"/>
  <c r="R221" i="7" s="1"/>
  <c r="R222" i="7" s="1"/>
  <c r="R223" i="7" s="1"/>
  <c r="R224" i="7" s="1"/>
  <c r="R225" i="7" s="1"/>
  <c r="R226" i="7" s="1"/>
  <c r="R227" i="7" s="1"/>
  <c r="R228" i="7" s="1"/>
  <c r="R229" i="7" s="1"/>
  <c r="R230" i="7" s="1"/>
  <c r="R231" i="7" s="1"/>
  <c r="R232" i="7" s="1"/>
  <c r="R233" i="7" s="1"/>
  <c r="R234" i="7" s="1"/>
  <c r="R235" i="7" s="1"/>
  <c r="R236" i="7" s="1"/>
  <c r="R237" i="7" s="1"/>
  <c r="R238" i="7" s="1"/>
  <c r="R239" i="7" s="1"/>
  <c r="R240" i="7" s="1"/>
  <c r="R241" i="7" s="1"/>
  <c r="R242" i="7" s="1"/>
  <c r="R243" i="7" s="1"/>
  <c r="R244" i="7" s="1"/>
  <c r="R245" i="7" s="1"/>
  <c r="R246" i="7" s="1"/>
  <c r="R247" i="7" s="1"/>
  <c r="R248" i="7" s="1"/>
  <c r="R249" i="7" s="1"/>
  <c r="R250" i="7" s="1"/>
  <c r="R251" i="7" s="1"/>
  <c r="R252" i="7" s="1"/>
  <c r="R253" i="7" s="1"/>
  <c r="R254" i="7" s="1"/>
  <c r="R255" i="7" s="1"/>
  <c r="R256" i="7" s="1"/>
  <c r="R257" i="7" s="1"/>
  <c r="R258" i="7" s="1"/>
  <c r="R259" i="7" s="1"/>
  <c r="R260" i="7" s="1"/>
  <c r="R261" i="7" s="1"/>
  <c r="R262" i="7" s="1"/>
  <c r="R263" i="7" s="1"/>
  <c r="R264" i="7" s="1"/>
  <c r="R265" i="7" s="1"/>
  <c r="R266" i="7" s="1"/>
  <c r="R267" i="7" s="1"/>
  <c r="R268" i="7" s="1"/>
  <c r="R269" i="7" s="1"/>
  <c r="R270" i="7" s="1"/>
  <c r="R271" i="7" s="1"/>
  <c r="R272" i="7" s="1"/>
  <c r="R273" i="7" s="1"/>
  <c r="R274" i="7" s="1"/>
  <c r="R275" i="7" s="1"/>
  <c r="R276" i="7" s="1"/>
  <c r="R277" i="7" s="1"/>
  <c r="R278" i="7" s="1"/>
  <c r="R279" i="7" s="1"/>
  <c r="R280" i="7" s="1"/>
  <c r="R281" i="7" s="1"/>
  <c r="R282" i="7" s="1"/>
  <c r="R283" i="7" s="1"/>
  <c r="R284" i="7" s="1"/>
  <c r="R285" i="7" s="1"/>
  <c r="R286" i="7" s="1"/>
  <c r="R287" i="7" s="1"/>
  <c r="R288" i="7" s="1"/>
  <c r="R289" i="7" s="1"/>
  <c r="R290" i="7" s="1"/>
  <c r="R291" i="7" s="1"/>
  <c r="R292" i="7" s="1"/>
  <c r="R293" i="7" s="1"/>
  <c r="R294" i="7" s="1"/>
  <c r="R295" i="7" s="1"/>
  <c r="R296" i="7" s="1"/>
  <c r="R297" i="7" s="1"/>
  <c r="R298" i="7" s="1"/>
  <c r="R299" i="7" s="1"/>
  <c r="R300" i="7" s="1"/>
  <c r="R301" i="7" s="1"/>
  <c r="R302" i="7" s="1"/>
  <c r="R303" i="7" s="1"/>
  <c r="R304" i="7" s="1"/>
  <c r="R305" i="7" s="1"/>
  <c r="R306" i="7" s="1"/>
  <c r="R307" i="7" s="1"/>
  <c r="R308" i="7" s="1"/>
  <c r="R309" i="7" s="1"/>
  <c r="R310" i="7" s="1"/>
  <c r="R311" i="7" s="1"/>
  <c r="R312" i="7" s="1"/>
  <c r="R313" i="7" s="1"/>
  <c r="R314" i="7" s="1"/>
  <c r="R315" i="7" s="1"/>
  <c r="R316" i="7" s="1"/>
  <c r="R317" i="7" s="1"/>
  <c r="R318" i="7" s="1"/>
  <c r="R319" i="7" s="1"/>
  <c r="R320" i="7" s="1"/>
  <c r="R321" i="7" s="1"/>
  <c r="R322" i="7" s="1"/>
  <c r="R323" i="7" s="1"/>
  <c r="R324" i="7" s="1"/>
  <c r="R325" i="7" s="1"/>
  <c r="R326" i="7" s="1"/>
  <c r="R327" i="7" s="1"/>
  <c r="R328" i="7" s="1"/>
  <c r="R329" i="7" s="1"/>
  <c r="R330" i="7" s="1"/>
  <c r="R331" i="7" s="1"/>
  <c r="R332" i="7" s="1"/>
  <c r="R333" i="7" s="1"/>
  <c r="R334" i="7" s="1"/>
  <c r="R335" i="7" s="1"/>
  <c r="R336" i="7" s="1"/>
  <c r="R337" i="7" s="1"/>
  <c r="R338" i="7" s="1"/>
  <c r="R339" i="7" s="1"/>
  <c r="R340" i="7" s="1"/>
  <c r="R341" i="7" s="1"/>
  <c r="R342" i="7" s="1"/>
  <c r="R343" i="7" s="1"/>
  <c r="R344" i="7" s="1"/>
  <c r="R345" i="7" s="1"/>
  <c r="R346" i="7" s="1"/>
  <c r="R347" i="7" s="1"/>
  <c r="R348" i="7" s="1"/>
  <c r="R349" i="7" s="1"/>
  <c r="R350" i="7" s="1"/>
  <c r="R351" i="7" s="1"/>
  <c r="R352" i="7" s="1"/>
  <c r="R353" i="7" s="1"/>
  <c r="R354" i="7" s="1"/>
  <c r="R355" i="7" s="1"/>
  <c r="R356" i="7" s="1"/>
  <c r="R357" i="7" s="1"/>
  <c r="R358" i="7" s="1"/>
  <c r="R359" i="7" s="1"/>
  <c r="R360" i="7" s="1"/>
  <c r="R361" i="7" s="1"/>
  <c r="R362" i="7" s="1"/>
  <c r="R363" i="7" s="1"/>
  <c r="R364" i="7" s="1"/>
  <c r="R365" i="7" s="1"/>
  <c r="R366" i="7" s="1"/>
  <c r="R367" i="7" s="1"/>
  <c r="R368" i="7" s="1"/>
  <c r="R369" i="7" s="1"/>
  <c r="R370" i="7" s="1"/>
  <c r="R371" i="7" s="1"/>
  <c r="R372" i="7" s="1"/>
  <c r="R373" i="7" s="1"/>
  <c r="R374" i="7" s="1"/>
  <c r="R375" i="7" s="1"/>
  <c r="R376" i="7" s="1"/>
  <c r="R377" i="7" s="1"/>
  <c r="R378" i="7" s="1"/>
  <c r="R379" i="7" s="1"/>
  <c r="R380" i="7" s="1"/>
  <c r="R381" i="7" s="1"/>
  <c r="R382" i="7" s="1"/>
  <c r="R383" i="7" s="1"/>
  <c r="R384" i="7" s="1"/>
  <c r="R385" i="7" s="1"/>
  <c r="R386" i="7" s="1"/>
  <c r="R387" i="7" s="1"/>
  <c r="R388" i="7" s="1"/>
  <c r="R389" i="7" s="1"/>
  <c r="R390" i="7" s="1"/>
  <c r="R391" i="7" s="1"/>
  <c r="R392" i="7" s="1"/>
  <c r="R393" i="7" s="1"/>
  <c r="R394" i="7" s="1"/>
  <c r="R395" i="7" s="1"/>
  <c r="R396" i="7" s="1"/>
  <c r="R397" i="7" s="1"/>
  <c r="R398" i="7" s="1"/>
  <c r="R399" i="7" s="1"/>
  <c r="R400" i="7" s="1"/>
  <c r="R401" i="7" s="1"/>
  <c r="R402" i="7" s="1"/>
  <c r="R403" i="7" s="1"/>
  <c r="R404" i="7" s="1"/>
  <c r="R405" i="7" s="1"/>
  <c r="R406" i="7" s="1"/>
  <c r="R407" i="7" s="1"/>
  <c r="R408" i="7" s="1"/>
  <c r="R409" i="7" s="1"/>
  <c r="R410" i="7" s="1"/>
  <c r="R411" i="7" s="1"/>
  <c r="R412" i="7" s="1"/>
  <c r="R413" i="7" s="1"/>
  <c r="R414" i="7" s="1"/>
  <c r="R415" i="7" s="1"/>
  <c r="R416" i="7" s="1"/>
  <c r="R417" i="7" s="1"/>
  <c r="R418" i="7" s="1"/>
  <c r="R419" i="7" s="1"/>
  <c r="R420" i="7" s="1"/>
  <c r="R421" i="7" s="1"/>
  <c r="R422" i="7" s="1"/>
  <c r="R423" i="7" s="1"/>
  <c r="R424" i="7" s="1"/>
  <c r="R425" i="7" s="1"/>
  <c r="R426" i="7" s="1"/>
  <c r="R427" i="7" s="1"/>
  <c r="R428" i="7" s="1"/>
  <c r="R429" i="7" s="1"/>
  <c r="R430" i="7" s="1"/>
  <c r="R431" i="7" s="1"/>
  <c r="R432" i="7" s="1"/>
  <c r="R433" i="7" s="1"/>
  <c r="R434" i="7" s="1"/>
  <c r="R435" i="7" s="1"/>
  <c r="R436" i="7" s="1"/>
  <c r="R437" i="7" s="1"/>
  <c r="R438" i="7" s="1"/>
  <c r="R439" i="7" s="1"/>
  <c r="R440" i="7" s="1"/>
  <c r="R441" i="7" s="1"/>
  <c r="R442" i="7" s="1"/>
  <c r="R443" i="7" s="1"/>
  <c r="R444" i="7" s="1"/>
  <c r="R445" i="7" s="1"/>
  <c r="R446" i="7" s="1"/>
  <c r="R447" i="7" s="1"/>
  <c r="R448" i="7" s="1"/>
  <c r="R449" i="7" s="1"/>
  <c r="R450" i="7" s="1"/>
  <c r="R451" i="7" s="1"/>
  <c r="R452" i="7" s="1"/>
  <c r="R453" i="7" s="1"/>
  <c r="R454" i="7" s="1"/>
  <c r="R455" i="7" s="1"/>
  <c r="R456" i="7" s="1"/>
  <c r="R457" i="7" s="1"/>
  <c r="R458" i="7" s="1"/>
  <c r="R459" i="7" s="1"/>
  <c r="R460" i="7" s="1"/>
  <c r="R461" i="7" s="1"/>
  <c r="R462" i="7" s="1"/>
  <c r="R463" i="7" s="1"/>
  <c r="R464" i="7" s="1"/>
  <c r="R465" i="7" s="1"/>
  <c r="R466" i="7" s="1"/>
  <c r="R467" i="7" s="1"/>
  <c r="R468" i="7" s="1"/>
  <c r="R469" i="7" s="1"/>
  <c r="R470" i="7" s="1"/>
  <c r="R471" i="7" s="1"/>
  <c r="R472" i="7" s="1"/>
  <c r="R473" i="7" s="1"/>
  <c r="R474" i="7" s="1"/>
  <c r="R475" i="7" s="1"/>
  <c r="R476" i="7" s="1"/>
  <c r="R477" i="7" s="1"/>
  <c r="R478" i="7" s="1"/>
  <c r="R479" i="7" s="1"/>
  <c r="R480" i="7" s="1"/>
  <c r="R481" i="7" s="1"/>
  <c r="R482" i="7" s="1"/>
  <c r="R483" i="7" s="1"/>
  <c r="R484" i="7" s="1"/>
  <c r="R485" i="7" s="1"/>
  <c r="R486" i="7" s="1"/>
  <c r="R487" i="7" s="1"/>
  <c r="R488" i="7" s="1"/>
  <c r="R489" i="7" s="1"/>
  <c r="R490" i="7" s="1"/>
  <c r="R491" i="7" s="1"/>
  <c r="R492" i="7" s="1"/>
  <c r="R493" i="7" s="1"/>
  <c r="R494" i="7" s="1"/>
  <c r="R495" i="7" s="1"/>
  <c r="R496" i="7" s="1"/>
  <c r="R497" i="7" s="1"/>
  <c r="R498" i="7" s="1"/>
  <c r="R499" i="7" s="1"/>
  <c r="R500" i="7" s="1"/>
  <c r="R501" i="7" s="1"/>
  <c r="R502" i="7" s="1"/>
  <c r="R503" i="7" s="1"/>
  <c r="R504" i="7" s="1"/>
  <c r="R505" i="7" s="1"/>
  <c r="R506" i="7" s="1"/>
  <c r="R507" i="7" s="1"/>
  <c r="R508" i="7" s="1"/>
  <c r="R509" i="7" s="1"/>
  <c r="R510" i="7" s="1"/>
  <c r="R511" i="7" s="1"/>
  <c r="R512" i="7" s="1"/>
  <c r="R513" i="7" s="1"/>
  <c r="R514" i="7" s="1"/>
  <c r="R515" i="7" s="1"/>
  <c r="R516" i="7" s="1"/>
  <c r="R517" i="7" s="1"/>
  <c r="R518" i="7" s="1"/>
  <c r="R519" i="7" s="1"/>
  <c r="R520" i="7" s="1"/>
  <c r="R521" i="7" s="1"/>
  <c r="R522" i="7" s="1"/>
  <c r="R523" i="7" s="1"/>
  <c r="R524" i="7" s="1"/>
  <c r="R525" i="7" s="1"/>
  <c r="R526" i="7" s="1"/>
  <c r="R527" i="7" s="1"/>
  <c r="R528" i="7" s="1"/>
  <c r="R529" i="7" s="1"/>
  <c r="R530" i="7" s="1"/>
  <c r="R531" i="7" s="1"/>
  <c r="R532" i="7" s="1"/>
  <c r="R533" i="7" s="1"/>
  <c r="R534" i="7" s="1"/>
  <c r="R535" i="7" s="1"/>
  <c r="R536" i="7" s="1"/>
  <c r="R537" i="7" s="1"/>
  <c r="R538" i="7" s="1"/>
  <c r="R539" i="7" s="1"/>
  <c r="R540" i="7" s="1"/>
  <c r="R541" i="7" s="1"/>
  <c r="R542" i="7" s="1"/>
  <c r="R543" i="7" s="1"/>
  <c r="R544" i="7" s="1"/>
  <c r="R545" i="7" s="1"/>
  <c r="R546" i="7" s="1"/>
  <c r="R547" i="7" s="1"/>
  <c r="R548" i="7" s="1"/>
  <c r="R549" i="7" s="1"/>
  <c r="R550" i="7" s="1"/>
  <c r="R551" i="7" s="1"/>
  <c r="R552" i="7" s="1"/>
  <c r="R553" i="7" s="1"/>
  <c r="R554" i="7" s="1"/>
  <c r="R555" i="7" s="1"/>
  <c r="R556" i="7" s="1"/>
  <c r="R557" i="7" s="1"/>
  <c r="R558" i="7" s="1"/>
  <c r="R559" i="7" s="1"/>
  <c r="R560" i="7" s="1"/>
  <c r="R561" i="7" s="1"/>
  <c r="R562" i="7" s="1"/>
  <c r="R563" i="7" s="1"/>
  <c r="R564" i="7" s="1"/>
  <c r="R565" i="7" s="1"/>
  <c r="R566" i="7" s="1"/>
  <c r="R567" i="7" s="1"/>
  <c r="R568" i="7" s="1"/>
  <c r="R569" i="7" s="1"/>
  <c r="R570" i="7" s="1"/>
  <c r="R571" i="7" s="1"/>
  <c r="R572" i="7" s="1"/>
  <c r="R573" i="7" s="1"/>
  <c r="R574" i="7" s="1"/>
  <c r="R575" i="7" s="1"/>
  <c r="R576" i="7" s="1"/>
  <c r="R577" i="7" s="1"/>
  <c r="R578" i="7" s="1"/>
  <c r="R579" i="7" s="1"/>
  <c r="R580" i="7" s="1"/>
  <c r="R581" i="7" s="1"/>
  <c r="R582" i="7" s="1"/>
  <c r="R583" i="7" s="1"/>
  <c r="R584" i="7" s="1"/>
  <c r="R585" i="7" s="1"/>
  <c r="R586" i="7" s="1"/>
  <c r="R587" i="7" s="1"/>
  <c r="R588" i="7" s="1"/>
  <c r="R589" i="7" s="1"/>
  <c r="R590" i="7" s="1"/>
  <c r="R591" i="7" s="1"/>
  <c r="R592" i="7" s="1"/>
  <c r="R593" i="7" s="1"/>
  <c r="R594" i="7" s="1"/>
  <c r="R595" i="7" s="1"/>
  <c r="R596" i="7" s="1"/>
  <c r="R597" i="7" s="1"/>
  <c r="R598" i="7" s="1"/>
  <c r="R599" i="7" s="1"/>
  <c r="R600" i="7" s="1"/>
  <c r="R601" i="7" s="1"/>
  <c r="R602" i="7" s="1"/>
  <c r="R603" i="7" s="1"/>
  <c r="R604" i="7" s="1"/>
  <c r="R605" i="7" s="1"/>
  <c r="R606" i="7" s="1"/>
  <c r="R607" i="7" s="1"/>
  <c r="R608" i="7" s="1"/>
  <c r="R609" i="7" s="1"/>
  <c r="R610" i="7" s="1"/>
  <c r="R611" i="7" s="1"/>
  <c r="R612" i="7" s="1"/>
  <c r="R613" i="7" s="1"/>
  <c r="R614" i="7" s="1"/>
  <c r="R615" i="7" s="1"/>
  <c r="R616" i="7" s="1"/>
  <c r="R617" i="7" s="1"/>
  <c r="R618" i="7" s="1"/>
  <c r="R619" i="7" s="1"/>
  <c r="R620" i="7" s="1"/>
  <c r="R621" i="7" s="1"/>
  <c r="R622" i="7" s="1"/>
  <c r="R623" i="7" s="1"/>
  <c r="R624" i="7" s="1"/>
  <c r="R625" i="7" s="1"/>
  <c r="R626" i="7" s="1"/>
  <c r="R627" i="7" s="1"/>
  <c r="R628" i="7" s="1"/>
  <c r="R629" i="7" s="1"/>
  <c r="R630" i="7" s="1"/>
  <c r="R631" i="7" s="1"/>
  <c r="R632" i="7" s="1"/>
  <c r="R633" i="7" s="1"/>
  <c r="R634" i="7" s="1"/>
  <c r="R635" i="7" s="1"/>
  <c r="R636" i="7" s="1"/>
  <c r="R637" i="7" s="1"/>
  <c r="R638" i="7" s="1"/>
  <c r="R639" i="7" s="1"/>
  <c r="R640" i="7" s="1"/>
  <c r="R641" i="7" s="1"/>
  <c r="R642" i="7" s="1"/>
  <c r="R643" i="7" s="1"/>
  <c r="R644" i="7" s="1"/>
  <c r="R645" i="7" s="1"/>
  <c r="R646" i="7" s="1"/>
  <c r="R647" i="7" s="1"/>
  <c r="R648" i="7" s="1"/>
  <c r="R649" i="7" s="1"/>
  <c r="R650" i="7" s="1"/>
  <c r="R651" i="7" s="1"/>
  <c r="R652" i="7" s="1"/>
  <c r="R653" i="7" s="1"/>
  <c r="R654" i="7" s="1"/>
  <c r="R655" i="7" s="1"/>
  <c r="R656" i="7" s="1"/>
  <c r="R657" i="7" s="1"/>
  <c r="R658" i="7" s="1"/>
  <c r="R659" i="7" s="1"/>
  <c r="R660" i="7" s="1"/>
  <c r="R661" i="7" s="1"/>
  <c r="R662" i="7" s="1"/>
  <c r="R663" i="7" s="1"/>
  <c r="R664" i="7" s="1"/>
  <c r="R665" i="7" s="1"/>
  <c r="R666" i="7" s="1"/>
  <c r="R667" i="7" s="1"/>
  <c r="R668" i="7" s="1"/>
  <c r="R669" i="7" s="1"/>
  <c r="R670" i="7" s="1"/>
  <c r="R671" i="7" s="1"/>
  <c r="R672" i="7" s="1"/>
  <c r="R673" i="7" s="1"/>
  <c r="R674" i="7" s="1"/>
  <c r="R675" i="7" s="1"/>
  <c r="R676" i="7" s="1"/>
  <c r="R677" i="7" s="1"/>
  <c r="R678" i="7" s="1"/>
  <c r="R679" i="7" s="1"/>
  <c r="R680" i="7" s="1"/>
  <c r="R681" i="7" s="1"/>
  <c r="R682" i="7" s="1"/>
  <c r="R683" i="7" s="1"/>
  <c r="R684" i="7" s="1"/>
  <c r="R685" i="7" s="1"/>
  <c r="R686" i="7" s="1"/>
  <c r="R687" i="7" s="1"/>
  <c r="R688" i="7" s="1"/>
  <c r="R689" i="7" s="1"/>
  <c r="R690" i="7" s="1"/>
  <c r="R691" i="7" s="1"/>
  <c r="R692" i="7" s="1"/>
  <c r="R693" i="7" s="1"/>
  <c r="R694" i="7" s="1"/>
  <c r="R695" i="7" s="1"/>
  <c r="R696" i="7" s="1"/>
  <c r="R697" i="7" s="1"/>
  <c r="R698" i="7" s="1"/>
  <c r="R699" i="7" s="1"/>
  <c r="R700" i="7" s="1"/>
  <c r="R701" i="7" s="1"/>
  <c r="R702" i="7" s="1"/>
  <c r="R703" i="7" s="1"/>
  <c r="R704" i="7" s="1"/>
  <c r="R705" i="7" s="1"/>
  <c r="R706" i="7" s="1"/>
  <c r="R707" i="7" s="1"/>
  <c r="R708" i="7" s="1"/>
  <c r="R709" i="7" s="1"/>
  <c r="R710" i="7" s="1"/>
  <c r="R711" i="7" s="1"/>
  <c r="R712" i="7" s="1"/>
  <c r="R713" i="7" s="1"/>
  <c r="R714" i="7" s="1"/>
  <c r="R715" i="7" s="1"/>
  <c r="R716" i="7" s="1"/>
  <c r="R717" i="7" s="1"/>
  <c r="R718" i="7" s="1"/>
  <c r="R719" i="7" s="1"/>
  <c r="R720" i="7" s="1"/>
  <c r="R721" i="7" s="1"/>
  <c r="R722" i="7" s="1"/>
  <c r="R723" i="7" s="1"/>
  <c r="R724" i="7" s="1"/>
  <c r="R725" i="7" s="1"/>
  <c r="R726" i="7" s="1"/>
  <c r="R727" i="7" s="1"/>
  <c r="R728" i="7" s="1"/>
  <c r="R729" i="7" s="1"/>
  <c r="R730" i="7" s="1"/>
  <c r="R731" i="7" s="1"/>
  <c r="R732" i="7" s="1"/>
  <c r="R733" i="7" s="1"/>
  <c r="R734" i="7" s="1"/>
  <c r="R735" i="7" s="1"/>
  <c r="R736" i="7" s="1"/>
  <c r="R737" i="7" s="1"/>
  <c r="R738" i="7" s="1"/>
  <c r="R739" i="7" s="1"/>
  <c r="R740" i="7" s="1"/>
  <c r="R741" i="7" s="1"/>
  <c r="R742" i="7" s="1"/>
  <c r="R743" i="7" s="1"/>
  <c r="R744" i="7" s="1"/>
  <c r="R745" i="7" s="1"/>
  <c r="R746" i="7" s="1"/>
  <c r="R747" i="7" s="1"/>
  <c r="R748" i="7" s="1"/>
  <c r="R749" i="7" s="1"/>
  <c r="R750" i="7" s="1"/>
  <c r="R751" i="7" s="1"/>
  <c r="R752" i="7" s="1"/>
  <c r="R753" i="7" s="1"/>
  <c r="R754" i="7" s="1"/>
  <c r="R755" i="7" s="1"/>
  <c r="R756" i="7" s="1"/>
  <c r="R757" i="7" s="1"/>
  <c r="R758" i="7" s="1"/>
  <c r="R759" i="7" s="1"/>
  <c r="R760" i="7" s="1"/>
  <c r="R761" i="7" s="1"/>
  <c r="R762" i="7" s="1"/>
  <c r="R763" i="7" s="1"/>
  <c r="R764" i="7" s="1"/>
  <c r="R765" i="7" s="1"/>
  <c r="R766" i="7" s="1"/>
  <c r="R767" i="7" s="1"/>
  <c r="R768" i="7" s="1"/>
  <c r="R769" i="7" s="1"/>
  <c r="R770" i="7" s="1"/>
  <c r="R771" i="7" s="1"/>
  <c r="R772" i="7" s="1"/>
  <c r="R773" i="7" s="1"/>
  <c r="R774" i="7" s="1"/>
  <c r="R775" i="7" s="1"/>
  <c r="R776" i="7" s="1"/>
  <c r="R777" i="7" s="1"/>
  <c r="R778" i="7" s="1"/>
  <c r="R779" i="7" s="1"/>
  <c r="R780" i="7" s="1"/>
  <c r="R781" i="7" s="1"/>
  <c r="R782" i="7" s="1"/>
  <c r="R783" i="7" s="1"/>
  <c r="R784" i="7" s="1"/>
  <c r="R785" i="7" s="1"/>
  <c r="R786" i="7" s="1"/>
  <c r="R787" i="7" s="1"/>
  <c r="R788" i="7" s="1"/>
  <c r="R789" i="7" s="1"/>
  <c r="R790" i="7" s="1"/>
  <c r="R791" i="7" s="1"/>
  <c r="R792" i="7" s="1"/>
  <c r="R793" i="7" s="1"/>
  <c r="R794" i="7" s="1"/>
  <c r="R795" i="7" s="1"/>
  <c r="R796" i="7" s="1"/>
  <c r="R797" i="7" s="1"/>
  <c r="R798" i="7" s="1"/>
  <c r="R799" i="7" s="1"/>
  <c r="R800" i="7" s="1"/>
  <c r="R801" i="7" s="1"/>
  <c r="R802" i="7" s="1"/>
  <c r="R803" i="7" s="1"/>
  <c r="R804" i="7" s="1"/>
  <c r="R805" i="7" s="1"/>
  <c r="P27" i="15"/>
  <c r="O26" i="15"/>
  <c r="E25" i="15"/>
  <c r="L26" i="15"/>
  <c r="J26" i="15"/>
  <c r="G26" i="15"/>
  <c r="F27" i="15"/>
  <c r="O27" i="15"/>
  <c r="N26" i="15"/>
  <c r="M26" i="15"/>
  <c r="L27" i="15"/>
  <c r="I26" i="15"/>
  <c r="I27" i="15"/>
  <c r="G27" i="15"/>
  <c r="E27" i="15"/>
  <c r="N27" i="15"/>
  <c r="K27" i="15"/>
  <c r="H26" i="15"/>
  <c r="F26" i="15"/>
  <c r="P26" i="15"/>
  <c r="M27" i="15"/>
  <c r="K26" i="15"/>
  <c r="H27" i="15"/>
  <c r="E26" i="15"/>
  <c r="J27" i="15"/>
  <c r="R806" i="7" l="1"/>
  <c r="R807" i="7" s="1"/>
  <c r="R808" i="7" s="1"/>
  <c r="R809" i="7" s="1"/>
  <c r="R810" i="7" s="1"/>
  <c r="R811" i="7" s="1"/>
  <c r="R812" i="7" s="1"/>
  <c r="R813" i="7" s="1"/>
  <c r="R814" i="7" s="1"/>
  <c r="R815" i="7" s="1"/>
  <c r="R30" i="15"/>
  <c r="O33" i="15"/>
  <c r="O38" i="15" s="1"/>
  <c r="O35" i="15"/>
  <c r="Q35" i="15" s="1"/>
  <c r="N38" i="15"/>
  <c r="P25" i="15"/>
  <c r="P28" i="15" s="1"/>
  <c r="Q26" i="15"/>
  <c r="R26" i="15"/>
  <c r="R27" i="15"/>
  <c r="Q27" i="15"/>
  <c r="E28" i="15"/>
  <c r="F25" i="15" s="1"/>
  <c r="F28" i="15" s="1"/>
  <c r="A2" i="6"/>
  <c r="A3" i="6"/>
  <c r="A4" i="6"/>
  <c r="A5" i="6"/>
  <c r="A6" i="6"/>
  <c r="A7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A3" i="6"/>
  <c r="AA4" i="6"/>
  <c r="AA5" i="6"/>
  <c r="AA6" i="6"/>
  <c r="AA7" i="6"/>
  <c r="AA8" i="6"/>
  <c r="AA9" i="6"/>
  <c r="AA10" i="6"/>
  <c r="AA11" i="6"/>
  <c r="AA12" i="6"/>
  <c r="AA13" i="6"/>
  <c r="AA14" i="6"/>
  <c r="AA15" i="6"/>
  <c r="AA16" i="6"/>
  <c r="AA17" i="6"/>
  <c r="AA18" i="6"/>
  <c r="AA19" i="6"/>
  <c r="AA20" i="6"/>
  <c r="AA21" i="6"/>
  <c r="AA22" i="6"/>
  <c r="AA23" i="6"/>
  <c r="AA24" i="6"/>
  <c r="AA25" i="6"/>
  <c r="AA26" i="6"/>
  <c r="AA27" i="6"/>
  <c r="AA28" i="6"/>
  <c r="AA29" i="6"/>
  <c r="AA30" i="6"/>
  <c r="AA31" i="6"/>
  <c r="AA32" i="6"/>
  <c r="Q3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P3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M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2" i="5"/>
  <c r="B36" i="5"/>
  <c r="B37" i="5"/>
  <c r="B39" i="5"/>
  <c r="B40" i="5"/>
  <c r="B41" i="5"/>
  <c r="B42" i="5"/>
  <c r="B43" i="5"/>
  <c r="B44" i="5"/>
  <c r="B45" i="5"/>
  <c r="B46" i="5"/>
  <c r="B47" i="5"/>
  <c r="B48" i="5"/>
  <c r="B49" i="5"/>
  <c r="B52" i="5"/>
  <c r="B53" i="5"/>
  <c r="B54" i="5"/>
  <c r="B55" i="5"/>
  <c r="B56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4" i="5"/>
  <c r="B95" i="5"/>
  <c r="B96" i="5"/>
  <c r="B97" i="5"/>
  <c r="B98" i="5"/>
  <c r="B99" i="5"/>
  <c r="B100" i="5"/>
  <c r="B101" i="5"/>
  <c r="B105" i="5"/>
  <c r="B106" i="5"/>
  <c r="B107" i="5"/>
  <c r="B108" i="5"/>
  <c r="B111" i="5"/>
  <c r="B112" i="5"/>
  <c r="B113" i="5"/>
  <c r="B114" i="5"/>
  <c r="M2" i="6"/>
  <c r="P2" i="6"/>
  <c r="R2" i="6" s="1"/>
  <c r="Q2" i="6"/>
  <c r="AA2" i="6"/>
  <c r="AA6" i="5"/>
  <c r="AA7" i="5"/>
  <c r="AA8" i="5"/>
  <c r="AA9" i="5"/>
  <c r="AA10" i="5"/>
  <c r="AA11" i="5"/>
  <c r="AA12" i="5"/>
  <c r="AA13" i="5"/>
  <c r="AA14" i="5"/>
  <c r="AA15" i="5"/>
  <c r="AA16" i="5"/>
  <c r="AA17" i="5"/>
  <c r="AA18" i="5"/>
  <c r="AA19" i="5"/>
  <c r="AA20" i="5"/>
  <c r="AA21" i="5"/>
  <c r="AA22" i="5"/>
  <c r="AA23" i="5"/>
  <c r="AA24" i="5"/>
  <c r="AA25" i="5"/>
  <c r="AA26" i="5"/>
  <c r="AA27" i="5"/>
  <c r="AA28" i="5"/>
  <c r="AA29" i="5"/>
  <c r="AA32" i="5"/>
  <c r="AA36" i="5"/>
  <c r="AA37" i="5"/>
  <c r="AA39" i="5"/>
  <c r="AA40" i="5"/>
  <c r="AA41" i="5"/>
  <c r="AA42" i="5"/>
  <c r="AA43" i="5"/>
  <c r="AA44" i="5"/>
  <c r="AA45" i="5"/>
  <c r="AA46" i="5"/>
  <c r="AA47" i="5"/>
  <c r="AA48" i="5"/>
  <c r="AA49" i="5"/>
  <c r="AA52" i="5"/>
  <c r="AA53" i="5"/>
  <c r="AA54" i="5"/>
  <c r="AA55" i="5"/>
  <c r="AA56" i="5"/>
  <c r="AA58" i="5"/>
  <c r="AA59" i="5"/>
  <c r="AA60" i="5"/>
  <c r="AA61" i="5"/>
  <c r="AA62" i="5"/>
  <c r="AA63" i="5"/>
  <c r="AA64" i="5"/>
  <c r="AA65" i="5"/>
  <c r="AA66" i="5"/>
  <c r="AA67" i="5"/>
  <c r="AA68" i="5"/>
  <c r="AA69" i="5"/>
  <c r="AA70" i="5"/>
  <c r="AA71" i="5"/>
  <c r="AA72" i="5"/>
  <c r="AA73" i="5"/>
  <c r="AA74" i="5"/>
  <c r="AA75" i="5"/>
  <c r="AA76" i="5"/>
  <c r="AA77" i="5"/>
  <c r="AA78" i="5"/>
  <c r="AA79" i="5"/>
  <c r="AA80" i="5"/>
  <c r="AA81" i="5"/>
  <c r="AA82" i="5"/>
  <c r="AA83" i="5"/>
  <c r="AA84" i="5"/>
  <c r="AA85" i="5"/>
  <c r="AA86" i="5"/>
  <c r="AA87" i="5"/>
  <c r="AA88" i="5"/>
  <c r="AA89" i="5"/>
  <c r="AA90" i="5"/>
  <c r="AA91" i="5"/>
  <c r="AA94" i="5"/>
  <c r="AA95" i="5"/>
  <c r="AA96" i="5"/>
  <c r="AA97" i="5"/>
  <c r="AA98" i="5"/>
  <c r="AA99" i="5"/>
  <c r="AA100" i="5"/>
  <c r="AA101" i="5"/>
  <c r="AA105" i="5"/>
  <c r="AA106" i="5"/>
  <c r="AA107" i="5"/>
  <c r="AA108" i="5"/>
  <c r="AA111" i="5"/>
  <c r="AA112" i="5"/>
  <c r="AA113" i="5"/>
  <c r="AA114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2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4" i="5"/>
  <c r="M95" i="5"/>
  <c r="M96" i="5"/>
  <c r="M97" i="5"/>
  <c r="M98" i="5"/>
  <c r="M99" i="5"/>
  <c r="M100" i="5"/>
  <c r="M101" i="5"/>
  <c r="M104" i="5"/>
  <c r="M105" i="5"/>
  <c r="M106" i="5"/>
  <c r="M107" i="5"/>
  <c r="M108" i="5"/>
  <c r="M111" i="5"/>
  <c r="M112" i="5"/>
  <c r="M113" i="5"/>
  <c r="M114" i="5"/>
  <c r="M5" i="5"/>
  <c r="R5" i="5"/>
  <c r="AA5" i="5"/>
  <c r="Q33" i="15" l="1"/>
  <c r="R35" i="15"/>
  <c r="R33" i="15"/>
  <c r="R6" i="5"/>
  <c r="Q38" i="15"/>
  <c r="R38" i="15"/>
  <c r="G25" i="15"/>
  <c r="G28" i="15" s="1"/>
  <c r="H25" i="15" s="1"/>
  <c r="H28" i="15" s="1"/>
  <c r="I25" i="15" s="1"/>
  <c r="I28" i="15" s="1"/>
  <c r="J25" i="15" s="1"/>
  <c r="P17" i="15"/>
  <c r="J17" i="15"/>
  <c r="N16" i="15"/>
  <c r="H16" i="15"/>
  <c r="E15" i="15"/>
  <c r="O17" i="15"/>
  <c r="I17" i="15"/>
  <c r="M16" i="15"/>
  <c r="G16" i="15"/>
  <c r="I16" i="15"/>
  <c r="N17" i="15"/>
  <c r="H17" i="15"/>
  <c r="L16" i="15"/>
  <c r="F16" i="15"/>
  <c r="P16" i="15"/>
  <c r="M17" i="15"/>
  <c r="G17" i="15"/>
  <c r="K16" i="15"/>
  <c r="E17" i="15"/>
  <c r="K17" i="15"/>
  <c r="L17" i="15"/>
  <c r="F17" i="15"/>
  <c r="J16" i="15"/>
  <c r="E16" i="15"/>
  <c r="O16" i="15"/>
  <c r="P22" i="15"/>
  <c r="J22" i="15"/>
  <c r="O21" i="15"/>
  <c r="I21" i="15"/>
  <c r="E20" i="15"/>
  <c r="O22" i="15"/>
  <c r="I22" i="15"/>
  <c r="N21" i="15"/>
  <c r="H21" i="15"/>
  <c r="P21" i="15"/>
  <c r="E21" i="15"/>
  <c r="N22" i="15"/>
  <c r="H22" i="15"/>
  <c r="M21" i="15"/>
  <c r="G21" i="15"/>
  <c r="K22" i="15"/>
  <c r="M22" i="15"/>
  <c r="G22" i="15"/>
  <c r="L21" i="15"/>
  <c r="F21" i="15"/>
  <c r="J21" i="15"/>
  <c r="L22" i="15"/>
  <c r="F22" i="15"/>
  <c r="K21" i="15"/>
  <c r="E22" i="15"/>
  <c r="R3" i="6"/>
  <c r="R4" i="6" s="1"/>
  <c r="R5" i="6" s="1"/>
  <c r="R6" i="6" s="1"/>
  <c r="R7" i="6" s="1"/>
  <c r="R8" i="6" s="1"/>
  <c r="R9" i="6" s="1"/>
  <c r="R10" i="6" s="1"/>
  <c r="R11" i="6" s="1"/>
  <c r="R12" i="6" s="1"/>
  <c r="R13" i="6" s="1"/>
  <c r="R14" i="6" s="1"/>
  <c r="R15" i="6" s="1"/>
  <c r="R16" i="6" s="1"/>
  <c r="R17" i="6" s="1"/>
  <c r="R18" i="6" s="1"/>
  <c r="R19" i="6" s="1"/>
  <c r="R20" i="6" s="1"/>
  <c r="R21" i="6" s="1"/>
  <c r="R22" i="6" s="1"/>
  <c r="R23" i="6" s="1"/>
  <c r="R24" i="6" s="1"/>
  <c r="R25" i="6" s="1"/>
  <c r="R26" i="6" s="1"/>
  <c r="R27" i="6" s="1"/>
  <c r="R28" i="6" s="1"/>
  <c r="R29" i="6" s="1"/>
  <c r="R30" i="6" s="1"/>
  <c r="R31" i="6" s="1"/>
  <c r="R32" i="6" s="1"/>
  <c r="R33" i="6" s="1"/>
  <c r="R34" i="6" s="1"/>
  <c r="R35" i="6" s="1"/>
  <c r="R36" i="6" s="1"/>
  <c r="R37" i="6" s="1"/>
  <c r="R7" i="5" l="1"/>
  <c r="E42" i="15"/>
  <c r="R38" i="6"/>
  <c r="R39" i="6" s="1"/>
  <c r="R40" i="6" s="1"/>
  <c r="R41" i="6" s="1"/>
  <c r="J28" i="15"/>
  <c r="R21" i="15"/>
  <c r="P20" i="15"/>
  <c r="P23" i="15" s="1"/>
  <c r="R22" i="15"/>
  <c r="R17" i="15"/>
  <c r="Q17" i="15"/>
  <c r="E23" i="15"/>
  <c r="F20" i="15" s="1"/>
  <c r="R16" i="15"/>
  <c r="E18" i="15"/>
  <c r="O20" i="15"/>
  <c r="Q21" i="15"/>
  <c r="P15" i="15"/>
  <c r="P18" i="15" s="1"/>
  <c r="Q22" i="15"/>
  <c r="Q16" i="15"/>
  <c r="R8" i="5" l="1"/>
  <c r="R42" i="6"/>
  <c r="R43" i="6" s="1"/>
  <c r="R44" i="6" s="1"/>
  <c r="K25" i="15"/>
  <c r="F15" i="15"/>
  <c r="R9" i="5" l="1"/>
  <c r="R45" i="6"/>
  <c r="K28" i="15"/>
  <c r="L25" i="15" s="1"/>
  <c r="F23" i="15"/>
  <c r="F18" i="15"/>
  <c r="M43" i="15"/>
  <c r="R10" i="5" l="1"/>
  <c r="R46" i="6"/>
  <c r="R47" i="6" s="1"/>
  <c r="R48" i="6" s="1"/>
  <c r="L28" i="15"/>
  <c r="G15" i="15"/>
  <c r="L44" i="15"/>
  <c r="K44" i="15"/>
  <c r="J44" i="15"/>
  <c r="L43" i="15"/>
  <c r="F43" i="15"/>
  <c r="N43" i="15"/>
  <c r="P44" i="15"/>
  <c r="I44" i="15"/>
  <c r="E44" i="15"/>
  <c r="K43" i="15"/>
  <c r="E43" i="15"/>
  <c r="F44" i="15"/>
  <c r="G43" i="15"/>
  <c r="O44" i="15"/>
  <c r="H44" i="15"/>
  <c r="P43" i="15"/>
  <c r="J43" i="15"/>
  <c r="M44" i="15"/>
  <c r="N44" i="15"/>
  <c r="G44" i="15"/>
  <c r="O43" i="15"/>
  <c r="I43" i="15"/>
  <c r="H43" i="15"/>
  <c r="G20" i="15"/>
  <c r="R11" i="5" l="1"/>
  <c r="R49" i="6"/>
  <c r="R50" i="6" s="1"/>
  <c r="R51" i="6" s="1"/>
  <c r="M25" i="15"/>
  <c r="R44" i="15"/>
  <c r="R43" i="15"/>
  <c r="E45" i="15"/>
  <c r="R12" i="15"/>
  <c r="Q12" i="15"/>
  <c r="P42" i="15"/>
  <c r="P45" i="15" s="1"/>
  <c r="E13" i="15"/>
  <c r="G23" i="15"/>
  <c r="R11" i="15"/>
  <c r="Q11" i="15"/>
  <c r="G18" i="15"/>
  <c r="R12" i="5" l="1"/>
  <c r="M28" i="15"/>
  <c r="N25" i="15" s="1"/>
  <c r="F10" i="15"/>
  <c r="F42" i="15" s="1"/>
  <c r="P13" i="15"/>
  <c r="H20" i="15"/>
  <c r="H15" i="15"/>
  <c r="R13" i="5" l="1"/>
  <c r="N28" i="15"/>
  <c r="F45" i="15"/>
  <c r="H23" i="15"/>
  <c r="H18" i="15"/>
  <c r="F13" i="15"/>
  <c r="R14" i="5" l="1"/>
  <c r="O25" i="15"/>
  <c r="G10" i="15"/>
  <c r="G42" i="15" s="1"/>
  <c r="I20" i="15"/>
  <c r="I15" i="15"/>
  <c r="R15" i="5" l="1"/>
  <c r="Q25" i="15"/>
  <c r="R25" i="15"/>
  <c r="O28" i="15"/>
  <c r="G45" i="15"/>
  <c r="I23" i="15"/>
  <c r="I18" i="15"/>
  <c r="G13" i="15"/>
  <c r="R16" i="5" l="1"/>
  <c r="R28" i="15"/>
  <c r="Q28" i="15"/>
  <c r="H10" i="15"/>
  <c r="H42" i="15" s="1"/>
  <c r="J20" i="15"/>
  <c r="J15" i="15"/>
  <c r="R17" i="5" l="1"/>
  <c r="J23" i="15"/>
  <c r="K20" i="15" s="1"/>
  <c r="H45" i="15"/>
  <c r="H13" i="15"/>
  <c r="J18" i="15"/>
  <c r="R18" i="5" l="1"/>
  <c r="I10" i="15"/>
  <c r="I42" i="15" s="1"/>
  <c r="I45" i="15" s="1"/>
  <c r="K15" i="15"/>
  <c r="K23" i="15"/>
  <c r="R19" i="5" l="1"/>
  <c r="L20" i="15"/>
  <c r="K18" i="15"/>
  <c r="L15" i="15" s="1"/>
  <c r="I13" i="15"/>
  <c r="R20" i="5" l="1"/>
  <c r="J10" i="15"/>
  <c r="J42" i="15" s="1"/>
  <c r="J45" i="15" s="1"/>
  <c r="L23" i="15"/>
  <c r="M20" i="15" s="1"/>
  <c r="L18" i="15"/>
  <c r="R21" i="5" l="1"/>
  <c r="M15" i="15"/>
  <c r="M23" i="15"/>
  <c r="J13" i="15"/>
  <c r="R22" i="5" l="1"/>
  <c r="N20" i="15"/>
  <c r="M18" i="15"/>
  <c r="N15" i="15" s="1"/>
  <c r="K10" i="15"/>
  <c r="K42" i="15" s="1"/>
  <c r="K45" i="15" s="1"/>
  <c r="R23" i="5" l="1"/>
  <c r="R20" i="15"/>
  <c r="Q20" i="15"/>
  <c r="N23" i="15"/>
  <c r="N18" i="15"/>
  <c r="K13" i="15"/>
  <c r="L10" i="15" s="1"/>
  <c r="R24" i="5" l="1"/>
  <c r="O15" i="15"/>
  <c r="O23" i="15"/>
  <c r="R23" i="15" s="1"/>
  <c r="L42" i="15"/>
  <c r="L45" i="15" s="1"/>
  <c r="L13" i="15"/>
  <c r="R25" i="5" l="1"/>
  <c r="Q15" i="15"/>
  <c r="R15" i="15"/>
  <c r="O18" i="15"/>
  <c r="Q23" i="15"/>
  <c r="M10" i="15"/>
  <c r="R26" i="5" l="1"/>
  <c r="R18" i="15"/>
  <c r="Q18" i="15"/>
  <c r="M42" i="15"/>
  <c r="M13" i="15"/>
  <c r="N10" i="15" s="1"/>
  <c r="R27" i="5" l="1"/>
  <c r="N42" i="15"/>
  <c r="N45" i="15" s="1"/>
  <c r="N13" i="15"/>
  <c r="M45" i="15"/>
  <c r="R28" i="5" l="1"/>
  <c r="O10" i="15"/>
  <c r="R29" i="5" l="1"/>
  <c r="O42" i="15"/>
  <c r="O13" i="15"/>
  <c r="Q10" i="15"/>
  <c r="R10" i="15"/>
  <c r="R30" i="5" l="1"/>
  <c r="Q13" i="15"/>
  <c r="R13" i="15"/>
  <c r="O45" i="15"/>
  <c r="R45" i="15" s="1"/>
  <c r="R42" i="15"/>
  <c r="R31" i="5" l="1"/>
  <c r="R32" i="5" l="1"/>
  <c r="R33" i="5" l="1"/>
  <c r="R34" i="5" l="1"/>
  <c r="R35" i="5" l="1"/>
  <c r="R36" i="5" l="1"/>
  <c r="R37" i="5" l="1"/>
  <c r="R38" i="5" l="1"/>
  <c r="R39" i="5" l="1"/>
  <c r="R40" i="5" l="1"/>
  <c r="R41" i="5" l="1"/>
  <c r="R42" i="5" l="1"/>
  <c r="R43" i="5" l="1"/>
  <c r="R44" i="5" l="1"/>
  <c r="R45" i="5" l="1"/>
  <c r="R46" i="5" l="1"/>
  <c r="R47" i="5" l="1"/>
  <c r="R48" i="5" l="1"/>
  <c r="R49" i="5" l="1"/>
  <c r="R50" i="5" l="1"/>
  <c r="R51" i="5" l="1"/>
  <c r="R52" i="5" l="1"/>
  <c r="R53" i="5" l="1"/>
  <c r="R54" i="5" l="1"/>
  <c r="R55" i="5" l="1"/>
  <c r="R56" i="5" l="1"/>
  <c r="R57" i="5" l="1"/>
  <c r="R58" i="5" l="1"/>
  <c r="R59" i="5" l="1"/>
  <c r="R60" i="5" l="1"/>
  <c r="R61" i="5" l="1"/>
  <c r="R62" i="5" l="1"/>
  <c r="R63" i="5" l="1"/>
  <c r="R64" i="5" l="1"/>
  <c r="R65" i="5" l="1"/>
  <c r="R66" i="5" l="1"/>
  <c r="R67" i="5" l="1"/>
  <c r="R68" i="5" l="1"/>
  <c r="R69" i="5" l="1"/>
  <c r="R70" i="5" l="1"/>
  <c r="R71" i="5" l="1"/>
  <c r="R72" i="5" l="1"/>
  <c r="R73" i="5" l="1"/>
  <c r="R74" i="5" l="1"/>
  <c r="R75" i="5" l="1"/>
  <c r="R76" i="5" l="1"/>
  <c r="R77" i="5" l="1"/>
  <c r="R78" i="5" l="1"/>
  <c r="R79" i="5" l="1"/>
  <c r="R80" i="5" l="1"/>
  <c r="R81" i="5" l="1"/>
  <c r="R82" i="5" l="1"/>
  <c r="R83" i="5" l="1"/>
  <c r="R84" i="5" l="1"/>
  <c r="R85" i="5" l="1"/>
  <c r="R86" i="5" l="1"/>
  <c r="R87" i="5" l="1"/>
  <c r="R88" i="5" l="1"/>
  <c r="R89" i="5" l="1"/>
  <c r="R90" i="5" l="1"/>
  <c r="R91" i="5" l="1"/>
  <c r="R92" i="5" l="1"/>
  <c r="R93" i="5" l="1"/>
  <c r="R94" i="5" l="1"/>
  <c r="R95" i="5" l="1"/>
  <c r="R96" i="5" l="1"/>
  <c r="R97" i="5" l="1"/>
  <c r="R98" i="5" l="1"/>
  <c r="R99" i="5" l="1"/>
  <c r="R100" i="5" l="1"/>
  <c r="R101" i="5" l="1"/>
  <c r="R102" i="5" l="1"/>
  <c r="R103" i="5" l="1"/>
  <c r="R104" i="5" l="1"/>
  <c r="R105" i="5" s="1"/>
  <c r="R106" i="5" s="1"/>
  <c r="R107" i="5" l="1"/>
  <c r="R108" i="5" l="1"/>
  <c r="R109" i="5" l="1"/>
  <c r="R110" i="5" l="1"/>
  <c r="R111" i="5" l="1"/>
  <c r="R112" i="5" l="1"/>
  <c r="R113" i="5" l="1"/>
  <c r="R114" i="5" l="1"/>
  <c r="R115" i="5" l="1"/>
  <c r="R116" i="5" l="1"/>
  <c r="R117" i="5" l="1"/>
  <c r="R118" i="5" l="1"/>
  <c r="R119" i="5" l="1"/>
  <c r="R120" i="5" l="1"/>
  <c r="R121" i="5" l="1"/>
  <c r="R122" i="5" l="1"/>
  <c r="R123" i="5" l="1"/>
  <c r="R124" i="5" l="1"/>
  <c r="R125" i="5" l="1"/>
  <c r="R126" i="5" l="1"/>
  <c r="R127" i="5" l="1"/>
  <c r="R128" i="5" l="1"/>
  <c r="R129" i="5" l="1"/>
  <c r="R130" i="5" l="1"/>
  <c r="R131" i="5" l="1"/>
  <c r="R132" i="5" l="1"/>
  <c r="R133" i="5" l="1"/>
  <c r="R134" i="5" l="1"/>
  <c r="R135" i="5" l="1"/>
  <c r="R136" i="5" l="1"/>
  <c r="R137" i="5" l="1"/>
  <c r="R138" i="5" l="1"/>
  <c r="R139" i="5" l="1"/>
  <c r="R140" i="5" l="1"/>
  <c r="R141" i="5" s="1"/>
  <c r="R142" i="5" s="1"/>
  <c r="R143" i="5" l="1"/>
  <c r="R144" i="5" l="1"/>
  <c r="R145" i="5" l="1"/>
  <c r="R146" i="5" l="1"/>
  <c r="R147" i="5" l="1"/>
  <c r="R148" i="5" l="1"/>
  <c r="R149" i="5" l="1"/>
  <c r="R150" i="5" l="1"/>
  <c r="R151" i="5" l="1"/>
  <c r="R152" i="5" l="1"/>
  <c r="R153" i="5" l="1"/>
  <c r="R154" i="5" l="1"/>
  <c r="R155" i="5" l="1"/>
  <c r="R156" i="5" l="1"/>
  <c r="R157" i="5" l="1"/>
  <c r="R158" i="5" l="1"/>
  <c r="R159" i="5" l="1"/>
  <c r="R160" i="5" l="1"/>
  <c r="R161" i="5" l="1"/>
  <c r="R162" i="5" l="1"/>
  <c r="R163" i="5" l="1"/>
  <c r="R164" i="5" l="1"/>
  <c r="R165" i="5" l="1"/>
  <c r="R166" i="5" l="1"/>
  <c r="R167" i="5" l="1"/>
  <c r="R168" i="5" l="1"/>
  <c r="R169" i="5" l="1"/>
  <c r="R170" i="5" l="1"/>
  <c r="R171" i="5" l="1"/>
  <c r="R172" i="5" l="1"/>
  <c r="R173" i="5" l="1"/>
  <c r="R174" i="5" l="1"/>
  <c r="R175" i="5" l="1"/>
  <c r="R176" i="5" l="1"/>
  <c r="R177" i="5" l="1"/>
  <c r="R178" i="5" l="1"/>
  <c r="R179" i="5" l="1"/>
  <c r="R180" i="5" l="1"/>
  <c r="R181" i="5" l="1"/>
  <c r="R182" i="5" l="1"/>
  <c r="R183" i="5" l="1"/>
  <c r="R184" i="5" s="1"/>
  <c r="R185" i="5" s="1"/>
  <c r="R186" i="5" l="1"/>
  <c r="R187" i="5" l="1"/>
  <c r="R188" i="5" l="1"/>
  <c r="R189" i="5" l="1"/>
  <c r="R190" i="5" l="1"/>
  <c r="R191" i="5" l="1"/>
  <c r="R192" i="5" l="1"/>
  <c r="R193" i="5" l="1"/>
  <c r="Y4" i="7" l="1"/>
  <c r="Y457" i="7"/>
  <c r="Y250" i="7"/>
  <c r="Y229" i="7"/>
  <c r="Y65" i="7"/>
  <c r="Y726" i="7"/>
  <c r="Y219" i="7"/>
  <c r="Y191" i="7"/>
  <c r="Y458" i="7"/>
  <c r="Y625" i="7"/>
  <c r="Y270" i="7"/>
  <c r="Y627" i="7"/>
  <c r="Y158" i="7"/>
  <c r="Y754" i="7"/>
  <c r="Y738" i="7"/>
  <c r="Y550" i="7"/>
  <c r="Y135" i="7"/>
  <c r="Y170" i="7"/>
  <c r="Y364" i="7"/>
  <c r="Y537" i="7"/>
  <c r="Y224" i="7"/>
  <c r="Y291" i="7"/>
  <c r="Y238" i="7"/>
  <c r="Y694" i="7"/>
  <c r="Y92" i="7"/>
  <c r="Y146" i="7"/>
  <c r="Y794" i="7"/>
  <c r="Y577" i="7"/>
  <c r="Y349" i="7"/>
  <c r="Y613" i="7"/>
  <c r="Y276" i="7"/>
  <c r="Y433" i="7"/>
  <c r="Y376" i="7"/>
  <c r="Y781" i="7"/>
  <c r="Y548" i="7"/>
  <c r="Y624" i="7"/>
  <c r="Y461" i="7"/>
  <c r="Y285" i="7"/>
  <c r="Y710" i="7"/>
  <c r="Y156" i="7"/>
  <c r="Y708" i="7"/>
  <c r="Y36" i="7"/>
  <c r="Y464" i="7"/>
  <c r="Y330" i="7"/>
  <c r="Y363" i="7"/>
  <c r="Y418" i="7"/>
  <c r="Y543" i="7"/>
  <c r="Y211" i="7"/>
  <c r="Y439" i="7"/>
  <c r="Y305" i="7"/>
  <c r="Y41" i="7"/>
  <c r="Y261" i="7"/>
  <c r="Y312" i="7"/>
  <c r="Y619" i="7"/>
  <c r="Y553" i="7"/>
  <c r="Y448" i="7"/>
  <c r="Y663" i="7"/>
  <c r="Y385" i="7"/>
  <c r="Y717" i="7"/>
  <c r="Y6" i="7"/>
  <c r="Y63" i="7"/>
  <c r="Y51" i="7"/>
  <c r="Y313" i="7"/>
  <c r="Y106" i="7"/>
  <c r="Y384" i="7"/>
  <c r="Y18" i="7"/>
  <c r="Y405" i="7"/>
  <c r="Y759" i="7"/>
  <c r="Y93" i="7"/>
  <c r="Y798" i="7"/>
  <c r="Y440" i="7"/>
  <c r="Y421" i="7"/>
  <c r="Y372" i="7"/>
  <c r="Y283" i="7"/>
  <c r="Y383" i="7"/>
  <c r="Y178" i="7"/>
  <c r="Y26" i="7"/>
  <c r="Y388" i="7"/>
  <c r="Y53" i="7"/>
  <c r="Y496" i="7"/>
  <c r="Y279" i="7"/>
  <c r="Y725" i="7"/>
  <c r="Y690" i="7"/>
  <c r="Y425" i="7"/>
  <c r="Y159" i="7"/>
  <c r="Y803" i="7"/>
  <c r="Y641" i="7"/>
  <c r="Y707" i="7"/>
  <c r="Y66" i="7"/>
  <c r="Y595" i="7"/>
  <c r="Y756" i="7"/>
  <c r="Y470" i="7"/>
  <c r="Y547" i="7"/>
  <c r="Y76" i="7"/>
  <c r="Y400" i="7"/>
  <c r="Y722" i="7"/>
  <c r="Y311" i="7"/>
  <c r="Y319" i="7"/>
  <c r="Y604" i="7"/>
  <c r="Y758" i="7"/>
  <c r="Y649" i="7"/>
  <c r="Y266" i="7"/>
  <c r="Y395" i="7"/>
  <c r="Y422" i="7"/>
  <c r="Y345" i="7"/>
  <c r="Y791" i="7"/>
  <c r="Y245" i="7"/>
  <c r="Y535" i="7"/>
  <c r="Y164" i="7"/>
  <c r="Y182" i="7"/>
  <c r="Y34" i="7"/>
  <c r="Y293" i="7"/>
  <c r="Y523" i="7"/>
  <c r="Y153" i="7"/>
  <c r="Y174" i="7"/>
  <c r="Y685" i="7"/>
  <c r="Y264" i="7"/>
  <c r="Y724" i="7"/>
  <c r="Y639" i="7"/>
  <c r="Y83" i="7"/>
  <c r="Y3" i="7"/>
  <c r="Y334" i="7"/>
  <c r="Y652" i="7"/>
  <c r="Y466" i="7"/>
  <c r="Y589" i="7"/>
  <c r="Y488" i="7"/>
  <c r="Y603" i="7"/>
  <c r="Y257" i="7"/>
  <c r="Y676" i="7"/>
  <c r="Y741" i="7"/>
  <c r="Y209" i="7"/>
  <c r="Y727" i="7"/>
  <c r="Y814" i="7"/>
  <c r="Y493" i="7"/>
  <c r="Y342" i="7"/>
  <c r="Y402" i="7"/>
  <c r="Y723" i="7"/>
  <c r="Y571" i="7"/>
  <c r="Y162" i="7"/>
  <c r="Y788" i="7"/>
  <c r="Y644" i="7"/>
  <c r="Y206" i="7"/>
  <c r="Y344" i="7"/>
  <c r="Y643" i="7"/>
  <c r="Y281" i="7"/>
  <c r="Y498" i="7"/>
  <c r="Y659" i="7"/>
  <c r="Y664" i="7"/>
  <c r="Y443" i="7"/>
  <c r="Y629" i="7"/>
  <c r="Y618" i="7"/>
  <c r="Y322" i="7"/>
  <c r="Y731" i="7"/>
  <c r="Y188" i="7"/>
  <c r="Y445" i="7"/>
  <c r="Y446" i="7"/>
  <c r="Y679" i="7"/>
  <c r="Y551" i="7"/>
  <c r="Y47" i="7"/>
  <c r="Y21" i="7"/>
  <c r="Y481" i="7"/>
  <c r="Y389" i="7"/>
  <c r="Y81" i="7"/>
  <c r="Y600" i="7"/>
  <c r="Y350" i="7"/>
  <c r="Y189" i="7"/>
  <c r="Y118" i="7"/>
  <c r="Y506" i="7"/>
  <c r="Y586" i="7"/>
  <c r="Y100" i="7"/>
  <c r="Y381" i="7"/>
  <c r="Y289" i="7"/>
  <c r="Y728" i="7"/>
  <c r="Y94" i="7"/>
  <c r="Y262" i="7"/>
  <c r="Y771" i="7"/>
  <c r="Y673" i="7"/>
  <c r="Y747" i="7"/>
  <c r="Y497" i="7"/>
  <c r="Y61" i="7"/>
  <c r="Y469" i="7"/>
  <c r="Y12" i="7"/>
  <c r="Y588" i="7"/>
  <c r="Y112" i="7"/>
  <c r="Y222" i="7"/>
  <c r="Y107" i="7"/>
  <c r="Y802" i="7"/>
  <c r="Y660" i="7"/>
  <c r="Y315" i="7"/>
  <c r="Y686" i="7"/>
  <c r="Y23" i="7"/>
  <c r="Y559" i="7"/>
  <c r="Y214" i="7"/>
  <c r="Y764" i="7"/>
  <c r="Y648" i="7"/>
  <c r="Y474" i="7"/>
  <c r="Y145" i="7"/>
  <c r="Y275" i="7"/>
  <c r="Y730" i="7"/>
  <c r="Y475" i="7"/>
  <c r="Y516" i="7"/>
  <c r="Y512" i="7"/>
  <c r="Y24" i="7"/>
  <c r="Y341" i="7"/>
  <c r="Y428" i="7"/>
  <c r="Y243" i="7"/>
  <c r="Y761" i="7"/>
  <c r="Y492" i="7"/>
  <c r="Y310" i="7"/>
  <c r="Y366" i="7"/>
  <c r="Y390" i="7"/>
  <c r="Y565" i="7"/>
  <c r="Y373" i="7"/>
  <c r="Y491" i="7"/>
  <c r="Y472" i="7"/>
  <c r="Y777" i="7"/>
  <c r="Y50" i="7"/>
  <c r="Y427" i="7"/>
  <c r="Y260" i="7"/>
  <c r="Y790" i="7"/>
  <c r="Y549" i="7"/>
  <c r="Y337" i="7"/>
  <c r="Y208" i="7"/>
  <c r="Y471" i="7"/>
  <c r="Y396" i="7"/>
  <c r="Y487" i="7"/>
  <c r="Y615" i="7"/>
  <c r="Y444" i="7"/>
  <c r="Y246" i="7"/>
  <c r="Y729" i="7"/>
  <c r="Y325" i="7"/>
  <c r="Y614" i="7"/>
  <c r="Y658" i="7"/>
  <c r="Y392" i="7"/>
  <c r="Y351" i="7"/>
  <c r="Y130" i="7"/>
  <c r="Y103" i="7"/>
  <c r="Y675" i="7"/>
  <c r="Y670" i="7"/>
  <c r="Y699" i="7"/>
  <c r="Y500" i="7"/>
  <c r="Y333" i="7"/>
  <c r="Y212" i="7"/>
  <c r="Y612" i="7"/>
  <c r="Y115" i="7"/>
  <c r="Y231" i="7"/>
  <c r="Y220" i="7"/>
  <c r="Y555" i="7"/>
  <c r="Y403" i="7"/>
  <c r="Y501" i="7"/>
  <c r="Y435" i="7"/>
  <c r="Y460" i="7"/>
  <c r="Y518" i="7"/>
  <c r="Y397" i="7"/>
  <c r="Y610" i="7"/>
  <c r="Y490" i="7"/>
  <c r="Y19" i="7"/>
  <c r="Y141" i="7"/>
  <c r="Y647" i="7"/>
  <c r="Y294" i="7"/>
  <c r="Y566" i="7"/>
  <c r="Y774" i="7"/>
  <c r="Y775" i="7"/>
  <c r="Y233" i="7"/>
  <c r="Y149" i="7"/>
  <c r="Y195" i="7"/>
  <c r="Y171" i="7"/>
  <c r="Y662" i="7"/>
  <c r="Y122" i="7"/>
  <c r="Y407" i="7"/>
  <c r="Y240" i="7"/>
  <c r="Y480" i="7"/>
  <c r="Y317" i="7"/>
  <c r="Y339" i="7"/>
  <c r="Y111" i="7"/>
  <c r="Y35" i="7"/>
  <c r="Y413" i="7"/>
  <c r="Y767" i="7"/>
  <c r="Y105" i="7"/>
  <c r="Y687" i="7"/>
  <c r="Y721" i="7"/>
  <c r="Y590" i="7"/>
  <c r="Y80" i="7"/>
  <c r="Y274" i="7"/>
  <c r="Y410" i="7"/>
  <c r="Y161" i="7"/>
  <c r="Y772" i="7"/>
  <c r="Y507" i="7"/>
  <c r="Y108" i="7"/>
  <c r="Y642" i="7"/>
  <c r="Y700" i="7"/>
  <c r="Y304" i="7"/>
  <c r="Y375" i="7"/>
  <c r="Y121" i="7"/>
  <c r="Y386" i="7"/>
  <c r="Y353" i="7"/>
  <c r="Y85" i="7"/>
  <c r="Y131" i="7"/>
  <c r="Y169" i="7"/>
  <c r="Y210" i="7"/>
  <c r="Y263" i="7"/>
  <c r="Y556" i="7"/>
  <c r="Y451" i="7"/>
  <c r="Y286" i="7"/>
  <c r="Y468" i="7"/>
  <c r="Y609" i="7"/>
  <c r="Y594" i="7"/>
  <c r="Y561" i="7"/>
  <c r="Y530" i="7"/>
  <c r="Y714" i="7"/>
  <c r="Y290" i="7"/>
  <c r="Y617" i="7"/>
  <c r="Y416" i="7"/>
  <c r="Y186" i="7"/>
  <c r="Y668" i="7"/>
  <c r="Y477" i="7"/>
  <c r="Y683" i="7"/>
  <c r="Y654" i="7"/>
  <c r="Y207" i="7"/>
  <c r="Y580" i="7"/>
  <c r="Y483" i="7"/>
  <c r="Y806" i="7"/>
  <c r="Y812" i="7"/>
  <c r="Y357" i="7"/>
  <c r="Y804" i="7"/>
  <c r="Y73" i="7"/>
  <c r="Y235" i="7"/>
  <c r="Y137" i="7"/>
  <c r="Y740" i="7"/>
  <c r="Y316" i="7"/>
  <c r="Y187" i="7"/>
  <c r="Y133" i="7"/>
  <c r="Y346" i="7"/>
  <c r="Y689" i="7"/>
  <c r="Y361" i="7"/>
  <c r="Y462" i="7"/>
  <c r="Y503" i="7"/>
  <c r="Y796" i="7"/>
  <c r="Y801" i="7"/>
  <c r="Y716" i="7"/>
  <c r="Y429" i="7"/>
  <c r="Y520" i="7"/>
  <c r="Y5" i="7"/>
  <c r="Y546" i="7"/>
  <c r="Y807" i="7"/>
  <c r="Y368" i="7"/>
  <c r="Y120" i="7"/>
  <c r="Y562" i="7"/>
  <c r="Y681" i="7"/>
  <c r="Y336" i="7"/>
  <c r="Y173" i="7"/>
  <c r="Y128" i="7"/>
  <c r="Y789" i="7"/>
  <c r="Y190" i="7"/>
  <c r="Y147" i="7"/>
  <c r="Y70" i="7"/>
  <c r="Y476" i="7"/>
  <c r="Y504" i="7"/>
  <c r="Y517" i="7"/>
  <c r="Y62" i="7"/>
  <c r="Y11" i="7"/>
  <c r="Y306" i="7"/>
  <c r="Y123" i="7"/>
  <c r="Y84" i="7"/>
  <c r="Y177" i="7"/>
  <c r="Y695" i="7"/>
  <c r="Y77" i="7"/>
  <c r="Y591" i="7"/>
  <c r="Y631" i="7"/>
  <c r="Y484" i="7"/>
  <c r="Y348" i="7"/>
  <c r="Y46" i="7"/>
  <c r="Y669" i="7"/>
  <c r="Y411" i="7"/>
  <c r="Y485" i="7"/>
  <c r="Y528" i="7"/>
  <c r="Y347" i="7"/>
  <c r="Y328" i="7"/>
  <c r="Y393" i="7"/>
  <c r="Y454" i="7"/>
  <c r="Y567" i="7"/>
  <c r="Y599" i="7"/>
  <c r="Y646" i="7"/>
  <c r="Y236" i="7"/>
  <c r="Y193" i="7"/>
  <c r="Y75" i="7"/>
  <c r="Y98" i="7"/>
  <c r="Y132" i="7"/>
  <c r="Y277" i="7"/>
  <c r="Y452" i="7"/>
  <c r="Y172" i="7"/>
  <c r="Y657" i="7"/>
  <c r="Y2" i="7"/>
  <c r="Y142" i="7"/>
  <c r="Y258" i="7"/>
  <c r="Y22" i="7"/>
  <c r="Y69" i="7"/>
  <c r="Y737" i="7"/>
  <c r="Y473" i="7"/>
  <c r="Y271" i="7"/>
  <c r="Y217" i="7"/>
  <c r="Y583" i="7"/>
  <c r="Y720" i="7"/>
  <c r="Y815" i="7"/>
  <c r="Y181" i="7"/>
  <c r="Y419" i="7"/>
  <c r="Y302" i="7"/>
  <c r="Y43" i="7"/>
  <c r="Y783" i="7"/>
  <c r="Y20" i="7"/>
  <c r="Y514" i="7"/>
  <c r="Y150" i="7"/>
  <c r="Y273" i="7"/>
  <c r="Y482" i="7"/>
  <c r="Y38" i="7"/>
  <c r="Y678" i="7"/>
  <c r="Y370" i="7"/>
  <c r="Y378" i="7"/>
  <c r="Y701" i="7"/>
  <c r="Y787" i="7"/>
  <c r="Y280" i="7"/>
  <c r="Y380" i="7"/>
  <c r="Y200" i="7"/>
  <c r="Y52" i="7"/>
  <c r="Y251" i="7"/>
  <c r="Y202" i="7"/>
  <c r="Y60" i="7"/>
  <c r="Y331" i="7"/>
  <c r="Y735" i="7"/>
  <c r="Y59" i="7"/>
  <c r="Y213" i="7"/>
  <c r="Y144" i="7"/>
  <c r="Y358" i="7"/>
  <c r="Y792" i="7"/>
  <c r="Y409" i="7"/>
  <c r="Y575" i="7"/>
  <c r="Y205" i="7"/>
  <c r="Y288" i="7"/>
  <c r="Y606" i="7"/>
  <c r="Y406" i="7"/>
  <c r="Y64" i="7"/>
  <c r="Y809" i="7"/>
  <c r="Y247" i="7"/>
  <c r="Y635" i="7"/>
  <c r="Y637" i="7"/>
  <c r="Y739" i="7"/>
  <c r="Y587" i="7"/>
  <c r="Y417" i="7"/>
  <c r="Y784" i="7"/>
  <c r="Y732" i="7"/>
  <c r="Y505" i="7"/>
  <c r="Y30" i="7"/>
  <c r="Y582" i="7"/>
  <c r="Y183" i="7"/>
  <c r="Y253" i="7"/>
  <c r="Y661" i="7"/>
  <c r="Y746" i="7"/>
  <c r="Y215" i="7"/>
  <c r="Y27" i="7"/>
  <c r="Y138" i="7"/>
  <c r="Y197" i="7"/>
  <c r="Y104" i="7"/>
  <c r="Y117" i="7"/>
  <c r="Y706" i="7"/>
  <c r="Y630" i="7"/>
  <c r="Y391" i="7"/>
  <c r="Y573" i="7"/>
  <c r="Y799" i="7"/>
  <c r="Y760" i="7"/>
  <c r="Y424" i="7"/>
  <c r="Y715" i="7"/>
  <c r="Y431" i="7"/>
  <c r="Y362" i="7"/>
  <c r="Y653" i="7"/>
  <c r="Y765" i="7"/>
  <c r="Y308" i="7"/>
  <c r="Y110" i="7"/>
  <c r="Y244" i="7"/>
  <c r="Y622" i="7"/>
  <c r="Y621" i="7"/>
  <c r="Y326" i="7"/>
  <c r="Y430" i="7"/>
  <c r="Y116" i="7"/>
  <c r="Y447" i="7"/>
  <c r="Y640" i="7"/>
  <c r="Y88" i="7"/>
  <c r="Y698" i="7"/>
  <c r="Y369" i="7"/>
  <c r="Y596" i="7"/>
  <c r="Y579" i="7"/>
  <c r="Y90" i="7"/>
  <c r="Y241" i="7"/>
  <c r="Y139" i="7"/>
  <c r="Y382" i="7"/>
  <c r="Y508" i="7"/>
  <c r="Y795" i="7"/>
  <c r="Y598" i="7"/>
  <c r="Y521" i="7"/>
  <c r="Y239" i="7"/>
  <c r="Y56" i="7"/>
  <c r="Y696" i="7"/>
  <c r="Y48" i="7"/>
  <c r="Y442" i="7"/>
  <c r="Y33" i="7"/>
  <c r="Y655" i="7"/>
  <c r="Y674" i="7"/>
  <c r="Y753" i="7"/>
  <c r="Y230" i="7"/>
  <c r="Y32" i="7"/>
  <c r="Y124" i="7"/>
  <c r="Y623" i="7"/>
  <c r="Y399" i="7"/>
  <c r="Y338" i="7"/>
  <c r="Y702" i="7"/>
  <c r="Y17" i="7"/>
  <c r="Y45" i="7"/>
  <c r="Y805" i="7"/>
  <c r="Y160" i="7"/>
  <c r="Y744" i="7"/>
  <c r="Y42" i="7"/>
  <c r="Y453" i="7"/>
  <c r="Y749" i="7"/>
  <c r="Y352" i="7"/>
  <c r="Y782" i="7"/>
  <c r="Y321" i="7"/>
  <c r="Y574" i="7"/>
  <c r="Y576" i="7"/>
  <c r="Y742" i="7"/>
  <c r="Y340" i="7"/>
  <c r="Y651" i="7"/>
  <c r="Y704" i="7"/>
  <c r="Y712" i="7"/>
  <c r="Y282" i="7"/>
  <c r="Y626" i="7"/>
  <c r="Y533" i="7"/>
  <c r="Y299" i="7"/>
  <c r="Y534" i="7"/>
  <c r="Y692" i="7"/>
  <c r="Y632" i="7"/>
  <c r="Y49" i="7"/>
  <c r="Y28" i="7"/>
  <c r="Y572" i="7"/>
  <c r="Y223" i="7"/>
  <c r="Y332" i="7"/>
  <c r="Y564" i="7"/>
  <c r="Y808" i="7"/>
  <c r="Y228" i="7"/>
  <c r="Y163" i="7"/>
  <c r="Y786" i="7"/>
  <c r="Y194" i="7"/>
  <c r="Y680" i="7"/>
  <c r="Y597" i="7"/>
  <c r="Y465" i="7"/>
  <c r="Y8" i="7"/>
  <c r="Y671" i="7"/>
  <c r="Y751" i="7"/>
  <c r="Y184" i="7"/>
  <c r="Y367" i="7"/>
  <c r="Y91" i="7"/>
  <c r="Y608" i="7"/>
  <c r="Y254" i="7"/>
  <c r="Y569" i="7"/>
  <c r="Y287" i="7"/>
  <c r="Y199" i="7"/>
  <c r="Y114" i="7"/>
  <c r="Y16" i="7"/>
  <c r="Y119" i="7"/>
  <c r="Y15" i="7"/>
  <c r="Y426" i="7"/>
  <c r="Y356" i="7"/>
  <c r="Y268" i="7"/>
  <c r="Y155" i="7"/>
  <c r="Y568" i="7"/>
  <c r="Y437" i="7"/>
  <c r="Y78" i="7"/>
  <c r="Y570" i="7"/>
  <c r="Y39" i="7"/>
  <c r="Y152" i="7"/>
  <c r="Y736" i="7"/>
  <c r="Y511" i="7"/>
  <c r="Y143" i="7"/>
  <c r="Y601" i="7"/>
  <c r="Y602" i="7"/>
  <c r="Y688" i="7"/>
  <c r="Y734" i="7"/>
  <c r="Y248" i="7"/>
  <c r="Y541" i="7"/>
  <c r="Y127" i="7"/>
  <c r="Y408" i="7"/>
  <c r="Y634" i="7"/>
  <c r="Y301" i="7"/>
  <c r="Y524" i="7"/>
  <c r="Y404" i="7"/>
  <c r="Y343" i="7"/>
  <c r="Y526" i="7"/>
  <c r="Y309" i="7"/>
  <c r="Y456" i="7"/>
  <c r="Y581" i="7"/>
  <c r="Y667" i="7"/>
  <c r="Y379" i="7"/>
  <c r="Y318" i="7"/>
  <c r="Y371" i="7"/>
  <c r="Y218" i="7"/>
  <c r="Y750" i="7"/>
  <c r="Y494" i="7"/>
  <c r="Y259" i="7"/>
  <c r="Y355" i="7"/>
  <c r="Y374" i="7"/>
  <c r="Y593" i="7"/>
  <c r="Y542" i="7"/>
  <c r="Y154" i="7"/>
  <c r="Y793" i="7"/>
  <c r="Y226" i="7"/>
  <c r="Y499" i="7"/>
  <c r="Y29" i="7"/>
  <c r="Y67" i="7"/>
  <c r="Y450" i="7"/>
  <c r="Y204" i="7"/>
  <c r="Y203" i="7"/>
  <c r="Y502" i="7"/>
  <c r="Y432" i="7"/>
  <c r="Y320" i="7"/>
  <c r="Y58" i="7"/>
  <c r="Y9" i="7"/>
  <c r="Y87" i="7"/>
  <c r="Y198" i="7"/>
  <c r="Y360" i="7"/>
  <c r="Y57" i="7"/>
  <c r="Y79" i="7"/>
  <c r="Y665" i="7"/>
  <c r="Y14" i="7"/>
  <c r="Y101" i="7"/>
  <c r="Y314" i="7"/>
  <c r="Y709" i="7"/>
  <c r="Y148" i="7"/>
  <c r="Y479" i="7"/>
  <c r="Y134" i="7"/>
  <c r="Y420" i="7"/>
  <c r="Y773" i="7"/>
  <c r="Y611" i="7"/>
  <c r="Y221" i="7"/>
  <c r="Y743" i="7"/>
  <c r="Y179" i="7"/>
  <c r="Y329" i="7"/>
  <c r="Y532" i="7"/>
  <c r="Y192" i="7"/>
  <c r="Y157" i="7"/>
  <c r="Y323" i="7"/>
  <c r="Y97" i="7"/>
  <c r="Y540" i="7"/>
  <c r="Y605" i="7"/>
  <c r="Y752" i="7"/>
  <c r="Y31" i="7"/>
  <c r="Y592" i="7"/>
  <c r="Y387" i="7"/>
  <c r="Y513" i="7"/>
  <c r="Y140" i="7"/>
  <c r="Y607" i="7"/>
  <c r="Y645" i="7"/>
  <c r="Y267" i="7"/>
  <c r="Y227" i="7"/>
  <c r="Y633" i="7"/>
  <c r="Y415" i="7"/>
  <c r="Y779" i="7"/>
  <c r="Y557" i="7"/>
  <c r="Y237" i="7"/>
  <c r="Y284" i="7"/>
  <c r="Y68" i="7"/>
  <c r="Y705" i="7"/>
  <c r="Y538" i="7"/>
  <c r="Y300" i="7"/>
  <c r="Y256" i="7"/>
  <c r="Y531" i="7"/>
  <c r="Y544" i="7"/>
  <c r="Y554" i="7"/>
  <c r="Y525" i="7"/>
  <c r="Y196" i="7"/>
  <c r="Y455" i="7"/>
  <c r="Y711" i="7"/>
  <c r="Y757" i="7"/>
  <c r="Y519" i="7"/>
  <c r="Y770" i="7"/>
  <c r="Y768" i="7"/>
  <c r="Y441" i="7"/>
  <c r="Y265" i="7"/>
  <c r="Y180" i="7"/>
  <c r="Y650" i="7"/>
  <c r="Y44" i="7"/>
  <c r="Y242" i="7"/>
  <c r="Y449" i="7"/>
  <c r="Y785" i="7"/>
  <c r="Y365" i="7"/>
  <c r="Y234" i="7"/>
  <c r="Y780" i="7"/>
  <c r="Y691" i="7"/>
  <c r="Y176" i="7"/>
  <c r="Y298" i="7"/>
  <c r="Y55" i="7"/>
  <c r="Y72" i="7"/>
  <c r="Y423" i="7"/>
  <c r="Y359" i="7"/>
  <c r="Y489" i="7"/>
  <c r="Y398" i="7"/>
  <c r="Y776" i="7"/>
  <c r="Y269" i="7"/>
  <c r="Y168" i="7"/>
  <c r="Y216" i="7"/>
  <c r="Y354" i="7"/>
  <c r="Y584" i="7"/>
  <c r="Y95" i="7"/>
  <c r="Y167" i="7"/>
  <c r="Y125" i="7"/>
  <c r="Y585" i="7"/>
  <c r="Y527" i="7"/>
  <c r="Y495" i="7"/>
  <c r="Y255" i="7"/>
  <c r="Y811" i="7"/>
  <c r="Y102" i="7"/>
  <c r="Y109" i="7"/>
  <c r="Y225" i="7"/>
  <c r="Y638" i="7"/>
  <c r="Y54" i="7"/>
  <c r="Y733" i="7"/>
  <c r="Y463" i="7"/>
  <c r="Y563" i="7"/>
  <c r="Y10" i="7"/>
  <c r="Y71" i="7"/>
  <c r="Y552" i="7"/>
  <c r="Y510" i="7"/>
  <c r="Y296" i="7"/>
  <c r="Y297" i="7"/>
  <c r="Y656" i="7"/>
  <c r="Y672" i="7"/>
  <c r="Y529" i="7"/>
  <c r="Y136" i="7"/>
  <c r="Y295" i="7"/>
  <c r="Y37" i="7"/>
  <c r="Y762" i="7"/>
  <c r="Y165" i="7"/>
  <c r="Y126" i="7"/>
  <c r="Y96" i="7"/>
  <c r="Y292" i="7"/>
  <c r="Y769" i="7"/>
  <c r="Y755" i="7"/>
  <c r="Y129" i="7"/>
  <c r="Y748" i="7"/>
  <c r="Y74" i="7"/>
  <c r="Y252" i="7"/>
  <c r="Y151" i="7"/>
  <c r="Y509" i="7"/>
  <c r="Y693" i="7"/>
  <c r="Y766" i="7"/>
  <c r="Y40" i="7"/>
  <c r="Y412" i="7"/>
  <c r="Y536" i="7"/>
  <c r="Y459" i="7"/>
  <c r="Y99" i="7"/>
  <c r="Y539" i="7"/>
  <c r="Y763" i="7"/>
  <c r="Y800" i="7"/>
  <c r="Y545" i="7"/>
  <c r="Y560" i="7"/>
  <c r="Y636" i="7"/>
  <c r="Y303" i="7"/>
  <c r="Y113" i="7"/>
  <c r="Y327" i="7"/>
  <c r="Y272" i="7"/>
  <c r="Y7" i="7"/>
  <c r="Y201" i="7"/>
  <c r="Y810" i="7"/>
  <c r="Y401" i="7"/>
  <c r="Y335" i="7"/>
  <c r="Y13" i="7"/>
  <c r="Y394" i="7"/>
  <c r="Y467" i="7"/>
  <c r="Y713" i="7"/>
  <c r="Y434" i="7"/>
  <c r="Y377" i="7"/>
  <c r="Y436" i="7"/>
  <c r="Y682" i="7"/>
  <c r="Y797" i="7"/>
  <c r="Y620" i="7"/>
  <c r="Y438" i="7"/>
  <c r="Y684" i="7"/>
  <c r="Y697" i="7"/>
  <c r="Y813" i="7"/>
  <c r="Y628" i="7"/>
  <c r="Y719" i="7"/>
  <c r="Y175" i="7"/>
  <c r="Y278" i="7"/>
  <c r="Y666" i="7"/>
  <c r="Y677" i="7"/>
  <c r="Y25" i="7"/>
  <c r="Y89" i="7"/>
  <c r="Y522" i="7"/>
  <c r="Y324" i="7"/>
  <c r="Y515" i="7"/>
  <c r="Y249" i="7"/>
  <c r="Y232" i="7"/>
  <c r="Y414" i="7"/>
  <c r="Y616" i="7"/>
  <c r="Y558" i="7"/>
  <c r="Y486" i="7"/>
  <c r="Y578" i="7"/>
  <c r="Y307" i="7"/>
  <c r="Y166" i="7"/>
  <c r="Y745" i="7"/>
  <c r="Y718" i="7"/>
  <c r="Y185" i="7"/>
  <c r="Y478" i="7"/>
  <c r="Y82" i="7"/>
  <c r="Y778" i="7"/>
  <c r="Y86" i="7"/>
  <c r="Y703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tc={4E34DA0E-DF74-4F3F-8BCA-D6BE0B93E3C6}</author>
    <author>tc={D7EDCBC8-E364-4FDF-814F-E2F920AFC480}</author>
    <author>tc={E5C32D51-7C3A-4466-AFB0-A982D07D1D5C}</author>
    <author>tc={7EF6E35F-AEBF-43F0-BBEC-E2F1C4CBB93E}</author>
    <author>tc={A6BE60BE-8C08-4E23-93CB-4E88D645FD47}</author>
    <author>tc={3DBBC010-1B02-4AD4-B72A-96A1672DC87F}</author>
    <author>tc={67B71F65-47F8-4E8F-9182-44C0AE200809}</author>
    <author>tc={9D61ACD8-56C2-4DF9-9EAD-10C24F8DDD2E}</author>
    <author>tc={87371A8D-F045-43AA-A9D7-C095B0EF00F1}</author>
    <author>tc={7CBAB787-2765-4D14-A1C0-0852ABA3F4F1}</author>
    <author>tc={E9405175-7729-42E2-9A3C-CA29726F5865}</author>
    <author>tc={5FD1788B-C667-4518-AAC6-DFF1595A73B2}</author>
    <author>tc={DB0B1FCD-6C42-4DDA-BF6B-50198DC16366}</author>
    <author>tc={6F245C4D-F061-4B54-9FF7-68A3BD722A91}</author>
    <author>tc={547B9A36-5AB4-4319-A468-82EB338A4ABB}</author>
    <author>tc={44D68CCE-CF87-43D0-B2A3-1BA6741F985D}</author>
    <author>tc={D0FE38E2-76F5-4328-84D4-6000BBB06231}</author>
    <author>tc={BCE2A1C7-B950-4CBB-BCD2-278AE4C92AF2}</author>
    <author>tc={DBB5A822-4C30-4FB8-92D7-526363CB8C7B}</author>
    <author>tc={924108AD-43D4-443F-8BEF-219666D7FD98}</author>
  </authors>
  <commentList>
    <comment ref="O329" authorId="0" shapeId="0" xr:uid="{4E34DA0E-DF74-4F3F-8BCA-D6BE0B93E3C6}">
      <text>
        <t>[Threaded comment]
Your version of Excel allows you to read this threaded comment; however, any edits to it will get removed if the file is opened in a newer version of Excel. Learn more: https://go.microsoft.com/fwlink/?linkid=870924
Comment:
    Devolución de s/680.00 en OP 1250095</t>
      </text>
    </comment>
    <comment ref="K2421" authorId="1" shapeId="0" xr:uid="{D7EDCBC8-E364-4FDF-814F-E2F920AFC480}">
      <text>
        <t>[Threaded comment]
Your version of Excel allows you to read this threaded comment; however, any edits to it will get removed if the file is opened in a newer version of Excel. Learn more: https://go.microsoft.com/fwlink/?linkid=870924
Comment:
    Pned. Que nos devuelvan 
Fact por 801.22 , detracc 96</t>
      </text>
    </comment>
    <comment ref="K3093" authorId="2" shapeId="0" xr:uid="{E5C32D51-7C3A-4466-AFB0-A982D07D1D5C}">
      <text>
        <t>[Threaded comment]
Your version of Excel allows you to read this threaded comment; however, any edits to it will get removed if the file is opened in a newer version of Excel. Learn more: https://go.microsoft.com/fwlink/?linkid=870924
Comment:
    Pend. que nos devuelvan 105.02</t>
      </text>
    </comment>
    <comment ref="K3348" authorId="3" shapeId="0" xr:uid="{7EF6E35F-AEBF-43F0-BBEC-E2F1C4CBB93E}">
      <text>
        <t>[Threaded comment]
Your version of Excel allows you to read this threaded comment; however, any edits to it will get removed if the file is opened in a newer version of Excel. Learn more: https://go.microsoft.com/fwlink/?linkid=870924
Comment:
    590.00 
10.50 comision</t>
      </text>
    </comment>
    <comment ref="K3349" authorId="4" shapeId="0" xr:uid="{A6BE60BE-8C08-4E23-93CB-4E88D645FD47}">
      <text>
        <t>[Threaded comment]
Your version of Excel allows you to read this threaded comment; however, any edits to it will get removed if the file is opened in a newer version of Excel. Learn more: https://go.microsoft.com/fwlink/?linkid=870924
Comment:
    590.00 
10.50 comision</t>
      </text>
    </comment>
    <comment ref="K3350" authorId="5" shapeId="0" xr:uid="{3DBBC010-1B02-4AD4-B72A-96A1672DC87F}">
      <text>
        <t>[Threaded comment]
Your version of Excel allows you to read this threaded comment; however, any edits to it will get removed if the file is opened in a newer version of Excel. Learn more: https://go.microsoft.com/fwlink/?linkid=870924
Comment:
    590.00 
10.50 comision</t>
      </text>
    </comment>
    <comment ref="K3361" authorId="6" shapeId="0" xr:uid="{67B71F65-47F8-4E8F-9182-44C0AE200809}">
      <text>
        <t>[Threaded comment]
Your version of Excel allows you to read this threaded comment; however, any edits to it will get removed if the file is opened in a newer version of Excel. Learn more: https://go.microsoft.com/fwlink/?linkid=870924
Comment:
    590.00 
10.50 comision</t>
      </text>
    </comment>
    <comment ref="K3362" authorId="7" shapeId="0" xr:uid="{9D61ACD8-56C2-4DF9-9EAD-10C24F8DDD2E}">
      <text>
        <t>[Threaded comment]
Your version of Excel allows you to read this threaded comment; however, any edits to it will get removed if the file is opened in a newer version of Excel. Learn more: https://go.microsoft.com/fwlink/?linkid=870924
Comment:
    590.00 
10.50 comision</t>
      </text>
    </comment>
    <comment ref="K3363" authorId="8" shapeId="0" xr:uid="{87371A8D-F045-43AA-A9D7-C095B0EF00F1}">
      <text>
        <t>[Threaded comment]
Your version of Excel allows you to read this threaded comment; however, any edits to it will get removed if the file is opened in a newer version of Excel. Learn more: https://go.microsoft.com/fwlink/?linkid=870924
Comment:
    590.00 
10.50 comision</t>
      </text>
    </comment>
    <comment ref="K3383" authorId="9" shapeId="0" xr:uid="{7CBAB787-2765-4D14-A1C0-0852ABA3F4F1}">
      <text>
        <t>[Threaded comment]
Your version of Excel allows you to read this threaded comment; however, any edits to it will get removed if the file is opened in a newer version of Excel. Learn more: https://go.microsoft.com/fwlink/?linkid=870924
Comment:
    590.00 
1,250.80 
12.70 comision</t>
      </text>
    </comment>
    <comment ref="K3384" authorId="10" shapeId="0" xr:uid="{E9405175-7729-42E2-9A3C-CA29726F5865}">
      <text>
        <t>[Threaded comment]
Your version of Excel allows you to read this threaded comment; however, any edits to it will get removed if the file is opened in a newer version of Excel. Learn more: https://go.microsoft.com/fwlink/?linkid=870924
Comment:
    590.00 
1,250.80 
12.70 comision</t>
      </text>
    </comment>
    <comment ref="K3385" authorId="11" shapeId="0" xr:uid="{5FD1788B-C667-4518-AAC6-DFF1595A73B2}">
      <text>
        <t>[Threaded comment]
Your version of Excel allows you to read this threaded comment; however, any edits to it will get removed if the file is opened in a newer version of Excel. Learn more: https://go.microsoft.com/fwlink/?linkid=870924
Comment:
    590.00 
1,250.80 
12.70 comision</t>
      </text>
    </comment>
    <comment ref="K3597" authorId="12" shapeId="0" xr:uid="{DB0B1FCD-6C42-4DDA-BF6B-50198DC16366}">
      <text>
        <t>[Threaded comment]
Your version of Excel allows you to read this threaded comment; however, any edits to it will get removed if the file is opened in a newer version of Excel. Learn more: https://go.microsoft.com/fwlink/?linkid=870924
Comment:
    Pagaron menos, considerando un 4%</t>
      </text>
    </comment>
    <comment ref="K3663" authorId="13" shapeId="0" xr:uid="{6F245C4D-F061-4B54-9FF7-68A3BD722A91}">
      <text>
        <t>[Threaded comment]
Your version of Excel allows you to read this threaded comment; however, any edits to it will get removed if the file is opened in a newer version of Excel. Learn more: https://go.microsoft.com/fwlink/?linkid=870924
Comment:
    4.30 coimision</t>
      </text>
    </comment>
    <comment ref="K3664" authorId="14" shapeId="0" xr:uid="{547B9A36-5AB4-4319-A468-82EB338A4ABB}">
      <text>
        <t>[Threaded comment]
Your version of Excel allows you to read this threaded comment; however, any edits to it will get removed if the file is opened in a newer version of Excel. Learn more: https://go.microsoft.com/fwlink/?linkid=870924
Comment:
    4.30 coimision</t>
      </text>
    </comment>
    <comment ref="K3665" authorId="15" shapeId="0" xr:uid="{44D68CCE-CF87-43D0-B2A3-1BA6741F985D}">
      <text>
        <t>[Threaded comment]
Your version of Excel allows you to read this threaded comment; however, any edits to it will get removed if the file is opened in a newer version of Excel. Learn more: https://go.microsoft.com/fwlink/?linkid=870924
Comment:
    4.30 coimision</t>
      </text>
    </comment>
    <comment ref="K3739" authorId="16" shapeId="0" xr:uid="{D0FE38E2-76F5-4328-84D4-6000BBB06231}">
      <text>
        <t>[Threaded comment]
Your version of Excel allows you to read this threaded comment; however, any edits to it will get removed if the file is opened in a newer version of Excel. Learn more: https://go.microsoft.com/fwlink/?linkid=870924
Comment:
    LIQ.OPE.116</t>
      </text>
    </comment>
    <comment ref="K3883" authorId="17" shapeId="0" xr:uid="{BCE2A1C7-B950-4CBB-BCD2-278AE4C92AF2}">
      <text>
        <t>[Threaded comment]
Your version of Excel allows you to read this threaded comment; however, any edits to it will get removed if the file is opened in a newer version of Excel. Learn more: https://go.microsoft.com/fwlink/?linkid=870924
Comment:
    4.30 comision ibk</t>
      </text>
    </comment>
    <comment ref="K3884" authorId="18" shapeId="0" xr:uid="{DBB5A822-4C30-4FB8-92D7-526363CB8C7B}">
      <text>
        <t>[Threaded comment]
Your version of Excel allows you to read this threaded comment; however, any edits to it will get removed if the file is opened in a newer version of Excel. Learn more: https://go.microsoft.com/fwlink/?linkid=870924
Comment:
    4.30 comision ibk</t>
      </text>
    </comment>
    <comment ref="K3885" authorId="19" shapeId="0" xr:uid="{924108AD-43D4-443F-8BEF-219666D7FD98}">
      <text>
        <t>[Threaded comment]
Your version of Excel allows you to read this threaded comment; however, any edits to it will get removed if the file is opened in a newer version of Excel. Learn more: https://go.microsoft.com/fwlink/?linkid=870924
Comment:
    4.30 comision ibk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tc={D5078906-5588-4095-835A-0458A389065E}</author>
    <author>tc={A94CAD81-45BE-4996-BB00-5A1380C59516}</author>
  </authors>
  <commentList>
    <comment ref="L862" authorId="0" shapeId="0" xr:uid="{D5078906-5588-4095-835A-0458A389065E}">
      <text>
        <t>[Threaded comment]
Your version of Excel allows you to read this threaded comment; however, any edits to it will get removed if the file is opened in a newer version of Excel. Learn more: https://go.microsoft.com/fwlink/?linkid=870924
Comment:
    Devolvió 3.90 de bolsas</t>
      </text>
    </comment>
    <comment ref="P988" authorId="1" shapeId="0" xr:uid="{A94CAD81-45BE-4996-BB00-5A1380C5951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ANTES 8 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tc={3B7D34E8-398B-486A-A4FB-B5AED1FD12AE}</author>
    <author>tc={469B6888-60C0-4645-B78B-3A76A8FB4669}</author>
    <author>tc={739888F0-6A01-48AB-AE49-F2154EF12795}</author>
    <author>tc={071951A7-E945-44C1-9AF8-16200D44382F}</author>
    <author>tc={F9384AED-3967-41BE-97D1-140A31982BCF}</author>
    <author>tc={F19946A7-8E5B-4AA2-91F6-2A004C17AA60}</author>
    <author>tc={DF5DD4A4-1652-4F7E-9549-B7D0CF953E81}</author>
    <author>tc={46B0B35D-7D75-466A-8222-9FE39076C78E}</author>
    <author>tc={35D97978-F640-44BF-943E-3DA7B7AAE50F}</author>
  </authors>
  <commentList>
    <comment ref="L630" authorId="0" shapeId="0" xr:uid="{3B7D34E8-398B-486A-A4FB-B5AED1FD12A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Total de celular
170.00 </t>
      </text>
    </comment>
    <comment ref="L817" authorId="1" shapeId="0" xr:uid="{469B6888-60C0-4645-B78B-3A76A8FB4669}">
      <text>
        <t>[Threaded comment]
Your version of Excel allows you to read this threaded comment; however, any edits to it will get removed if the file is opened in a newer version of Excel. Learn more: https://go.microsoft.com/fwlink/?linkid=870924
Comment:
    LIQ.COM.141</t>
      </text>
    </comment>
    <comment ref="L889" authorId="2" shapeId="0" xr:uid="{739888F0-6A01-48AB-AE49-F2154EF12795}">
      <text>
        <t>[Threaded comment]
Your version of Excel allows you to read this threaded comment; however, any edits to it will get removed if the file is opened in a newer version of Excel. Learn more: https://go.microsoft.com/fwlink/?linkid=870924
Comment:
    hefer</t>
      </text>
    </comment>
    <comment ref="L910" authorId="3" shapeId="0" xr:uid="{071951A7-E945-44C1-9AF8-16200D44382F}">
      <text>
        <t>[Threaded comment]
Your version of Excel allows you to read this threaded comment; however, any edits to it will get removed if the file is opened in a newer version of Excel. Learn more: https://go.microsoft.com/fwlink/?linkid=870924
Comment:
    Cobro Gleen</t>
      </text>
    </comment>
    <comment ref="L919" authorId="4" shapeId="0" xr:uid="{F9384AED-3967-41BE-97D1-140A31982BCF}">
      <text>
        <t>[Threaded comment]
Your version of Excel allows you to read this threaded comment; however, any edits to it will get removed if the file is opened in a newer version of Excel. Learn more: https://go.microsoft.com/fwlink/?linkid=870924
Comment:
    Cobro gregory</t>
      </text>
    </comment>
    <comment ref="L945" authorId="5" shapeId="0" xr:uid="{F19946A7-8E5B-4AA2-91F6-2A004C17AA6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CC 001-223 caja aqp </t>
      </text>
    </comment>
    <comment ref="L951" authorId="6" shapeId="0" xr:uid="{DF5DD4A4-1652-4F7E-9549-B7D0CF953E81}">
      <text>
        <t>[Threaded comment]
Your version of Excel allows you to read this threaded comment; however, any edits to it will get removed if the file is opened in a newer version of Excel. Learn more: https://go.microsoft.com/fwlink/?linkid=870924
Comment:
    diego</t>
      </text>
    </comment>
    <comment ref="L952" authorId="7" shapeId="0" xr:uid="{46B0B35D-7D75-466A-8222-9FE39076C78E}">
      <text>
        <t>[Threaded comment]
Your version of Excel allows you to read this threaded comment; however, any edits to it will get removed if the file is opened in a newer version of Excel. Learn more: https://go.microsoft.com/fwlink/?linkid=870924
Comment:
    diego</t>
      </text>
    </comment>
    <comment ref="L953" authorId="8" shapeId="0" xr:uid="{35D97978-F640-44BF-943E-3DA7B7AAE50F}">
      <text>
        <t>[Threaded comment]
Your version of Excel allows you to read this threaded comment; however, any edits to it will get removed if the file is opened in a newer version of Excel. Learn more: https://go.microsoft.com/fwlink/?linkid=870924
Comment:
    diego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tc={EB4A156A-FA79-4CF6-B3AA-6B0D38137D1D}</author>
    <author>tc={1C4F1B56-8FDA-466C-98EE-78D4AC446B26}</author>
  </authors>
  <commentList>
    <comment ref="N166" authorId="0" shapeId="0" xr:uid="{EB4A156A-FA79-4CF6-B3AA-6B0D38137D1D}">
      <text>
        <t>[Threaded comment]
Your version of Excel allows you to read this threaded comment; however, any edits to it will get removed if the file is opened in a newer version of Excel. Learn more: https://go.microsoft.com/fwlink/?linkid=870924
Comment:
    Factura por 5.00, se considero un importe mayor.
Diferencia por 3.00</t>
      </text>
    </comment>
    <comment ref="N214" authorId="1" shapeId="0" xr:uid="{1C4F1B56-8FDA-466C-98EE-78D4AC446B26}">
      <text>
        <t>[Threaded comment]
Your version of Excel allows you to read this threaded comment; however, any edits to it will get removed if the file is opened in a newer version of Excel. Learn more: https://go.microsoft.com/fwlink/?linkid=870924
Comment:
    Factura duplicada, movimiento 24173.
No se debió considerar este movimiento.
Diferencia por 10.00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tc={CB22B79B-6D66-4749-A3F9-B60C81A637FF}</author>
    <author>tc={CED8B0B2-979A-46C6-BC48-A5EEC6E8318E}</author>
    <author>tc={7383CDC5-72DA-4340-8D80-6FA903045E59}</author>
    <author>tc={C881C3BD-7C16-4C76-A71A-3B8A3802D4AE}</author>
    <author>tc={A5ED9890-62F1-40D9-A1C1-BA4C57034674}</author>
    <author>tc={5315CC37-C3D4-45EE-BD2A-1A5BD13A9F5B}</author>
  </authors>
  <commentList>
    <comment ref="I193" authorId="0" shapeId="0" xr:uid="{CB22B79B-6D66-4749-A3F9-B60C81A637FF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Contabilidad registro como A3NA</t>
      </text>
    </comment>
    <comment ref="J193" authorId="1" shapeId="0" xr:uid="{CED8B0B2-979A-46C6-BC48-A5EEC6E8318E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Contabilidad registro como 8960</t>
      </text>
    </comment>
    <comment ref="I194" authorId="2" shapeId="0" xr:uid="{7383CDC5-72DA-4340-8D80-6FA903045E59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Contabilidad registro como A3YA</t>
      </text>
    </comment>
    <comment ref="J194" authorId="3" shapeId="0" xr:uid="{C881C3BD-7C16-4C76-A71A-3B8A3802D4AE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Contabilidad registro como 1447</t>
      </text>
    </comment>
    <comment ref="I195" authorId="4" shapeId="0" xr:uid="{A5ED9890-62F1-40D9-A1C1-BA4C57034674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Contabilidad registro como A3AT</t>
      </text>
    </comment>
    <comment ref="J195" authorId="5" shapeId="0" xr:uid="{5315CC37-C3D4-45EE-BD2A-1A5BD13A9F5B}">
      <text>
        <t>[Threaded comment]
Your version of Excel allows you to read this threaded comment; however, any edits to it will get removed if the file is opened in a newer version of Excel. Learn more: https://go.microsoft.com/fwlink/?linkid=870924
Comment:
    Contabilidad registro como 6712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4DA31B0-C762-41F6-850D-0D4B37306D2D}" keepAlive="1" name="Consulta - Clientes_Proveedores" description="Conexión a la consulta 'Clientes_Proveedores' en el libro." type="5" refreshedVersion="8" background="1" saveData="1">
    <dbPr connection="Provider=Microsoft.Mashup.OleDb.1;Data Source=$Workbook$;Location=Clientes_Proveedores;Extended Properties=&quot;&quot;" command="SELECT * FROM [Clientes_Proveedores]"/>
  </connection>
</connections>
</file>

<file path=xl/sharedStrings.xml><?xml version="1.0" encoding="utf-8"?>
<sst xmlns="http://schemas.openxmlformats.org/spreadsheetml/2006/main" count="95759" uniqueCount="9567">
  <si>
    <t>DOCUMENTO DE GESTIÓN ADMINISTRATIVA</t>
  </si>
  <si>
    <t>COD:</t>
  </si>
  <si>
    <t>ESTADO DE CUENTA - CAJAS Y BANCOS</t>
  </si>
  <si>
    <t>VERSIÓN:01</t>
  </si>
  <si>
    <t>ÁREA: FINANZAS</t>
  </si>
  <si>
    <t>EJERCICIO 2025</t>
  </si>
  <si>
    <t>FECHA:</t>
  </si>
  <si>
    <t>SEDE:</t>
  </si>
  <si>
    <t>TODAS</t>
  </si>
  <si>
    <t>ELABORADO POR:</t>
  </si>
  <si>
    <t>ELIAS GUSTAVO PACO PAUCCARA</t>
  </si>
  <si>
    <t>N°</t>
  </si>
  <si>
    <t>BANCO</t>
  </si>
  <si>
    <t>DETALLE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</si>
  <si>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</si>
  <si>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</si>
  <si>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</si>
  <si>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</si>
  <si>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</si>
  <si>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</si>
  <si>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</si>
  <si>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</si>
  <si>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SETIEMBRE</t>
  </si>
  <si>
    <t>OCTUBRE</t>
  </si>
  <si>
    <t>NOVIEMBRE</t>
  </si>
  <si>
    <t>DICIEMBRE</t>
  </si>
  <si>
    <t>TOTAL</t>
  </si>
  <si>
    <t>PROMEDIO</t>
  </si>
  <si>
    <t>BCP - SOLES</t>
  </si>
  <si>
    <t>SALDO INICIAL (Anterior)</t>
  </si>
  <si>
    <t>INGRESOS TOTALES</t>
  </si>
  <si>
    <t>EGRESOS TOTALES</t>
  </si>
  <si>
    <t>SALDO FINAL - BCP SOLES</t>
  </si>
  <si>
    <t>ITB - SOLES</t>
  </si>
  <si>
    <t>SALDO FINAL - INTERBANK SOLES</t>
  </si>
  <si>
    <t>BBVA - SOLES</t>
  </si>
  <si>
    <t>SALDO FINAL - BBVA SOLES</t>
  </si>
  <si>
    <t>BN - SOLES</t>
  </si>
  <si>
    <t>SALDO FINAL - BANCO DE LA NACION SOLES</t>
  </si>
  <si>
    <t>BCP - DOLARES</t>
  </si>
  <si>
    <t>SALDO FINAL - BCP DOLARES</t>
  </si>
  <si>
    <t>T.C.</t>
  </si>
  <si>
    <t>SALDO FINAL - BCP DOLARES (SOLES)</t>
  </si>
  <si>
    <t>RESUMEN</t>
  </si>
  <si>
    <t>AREQUIPA - SOLES</t>
  </si>
  <si>
    <t>SALDO FINAL - AREQUIPA SOLES</t>
  </si>
  <si>
    <t>FINANZAS - SOLES</t>
  </si>
  <si>
    <t>SALDO FINAL - FINANZAS SOLES</t>
  </si>
  <si>
    <t>OPE_001
Ruben Bustamante</t>
  </si>
  <si>
    <t>SALDO FINAL - OPE_001 SOLES</t>
  </si>
  <si>
    <t>OPE_002
Junior Ccama</t>
  </si>
  <si>
    <t>OPE_003
Juber Monteza</t>
  </si>
  <si>
    <t>SALDO FINAL - OPE_003 SOLES</t>
  </si>
  <si>
    <t>Ruc / Dni</t>
  </si>
  <si>
    <t>Razon Social</t>
  </si>
  <si>
    <t>Tipo de Cuenta de Abono</t>
  </si>
  <si>
    <t>Cuenta de Abono</t>
  </si>
  <si>
    <t>Tipo</t>
  </si>
  <si>
    <t>Columna1</t>
  </si>
  <si>
    <t>Tipo de Documento</t>
  </si>
  <si>
    <t>CODIGO</t>
  </si>
  <si>
    <t>CONDEMAYTA LARICO JHONY SIXTO</t>
  </si>
  <si>
    <t>A</t>
  </si>
  <si>
    <t>54098986373057</t>
  </si>
  <si>
    <t>Otros</t>
  </si>
  <si>
    <t>00</t>
  </si>
  <si>
    <t>GARCIA ROJAS PABLO ORLANDO</t>
  </si>
  <si>
    <t>19196726647081</t>
  </si>
  <si>
    <t>Factura</t>
  </si>
  <si>
    <t>01</t>
  </si>
  <si>
    <t>CAPARACHIN BALDEON TEODOMIRO</t>
  </si>
  <si>
    <t>19119554137052</t>
  </si>
  <si>
    <t>Recibo por Honorarios</t>
  </si>
  <si>
    <t>02</t>
  </si>
  <si>
    <t>QUISPE QUISPE AQUINO</t>
  </si>
  <si>
    <t>Boleta de Venta</t>
  </si>
  <si>
    <t>03</t>
  </si>
  <si>
    <t>MAMANI ALATA RAUL</t>
  </si>
  <si>
    <t>28531684509020</t>
  </si>
  <si>
    <t>Boleto de compañía de aviación comercial</t>
  </si>
  <si>
    <t>05</t>
  </si>
  <si>
    <t>RIOS PALOMINO ANA MARIA</t>
  </si>
  <si>
    <t>28532089455056</t>
  </si>
  <si>
    <t>Nota de crédito</t>
  </si>
  <si>
    <t>07</t>
  </si>
  <si>
    <t>VALENCIA HUARCA ZENON HUBERT</t>
  </si>
  <si>
    <t>21596351746091</t>
  </si>
  <si>
    <t>Nota de débito</t>
  </si>
  <si>
    <t>08</t>
  </si>
  <si>
    <t>GARCIA SULLCA RODOLFO</t>
  </si>
  <si>
    <t>19115653544059</t>
  </si>
  <si>
    <t>Guía de remisión - Remitente</t>
  </si>
  <si>
    <t>09</t>
  </si>
  <si>
    <t>VALENCIA GONZALES ROBERTO HIPOLITO</t>
  </si>
  <si>
    <t>Recibo por Arrendamiento</t>
  </si>
  <si>
    <t>10</t>
  </si>
  <si>
    <t>CHAVEZ PINTO PEDRO PABLO</t>
  </si>
  <si>
    <t>21516382877056</t>
  </si>
  <si>
    <t>Ticket o cinta emitido por máquina registradora</t>
  </si>
  <si>
    <t>12</t>
  </si>
  <si>
    <t>CHACO SANTA CRUZ MARIA FILOMENA</t>
  </si>
  <si>
    <t>21531946176059</t>
  </si>
  <si>
    <t>Documento emitido por bancos, instituciones financieras, crediticias y de seguros que se encuentren bajo el control de la Superintendencia de Banca y Seguros</t>
  </si>
  <si>
    <t>13</t>
  </si>
  <si>
    <t>CHANI CASTRO LUCIO PABLO</t>
  </si>
  <si>
    <t>21520491727010</t>
  </si>
  <si>
    <t>Recibo por servicios públicos</t>
  </si>
  <si>
    <t>14</t>
  </si>
  <si>
    <t>LINARES RIVEROS MIGUEL ANGEL</t>
  </si>
  <si>
    <t>C</t>
  </si>
  <si>
    <t xml:space="preserve"> 2150042075016</t>
  </si>
  <si>
    <t>Planilla de Movilidad</t>
  </si>
  <si>
    <t>PLM</t>
  </si>
  <si>
    <t>AVALOS COAQUIRA PEDRO</t>
  </si>
  <si>
    <t>21578269400095</t>
  </si>
  <si>
    <t>Liquidacion de Gastos</t>
  </si>
  <si>
    <t>LIQ</t>
  </si>
  <si>
    <t>UGARTE MENDOZA GREGORIO NACIANSENO</t>
  </si>
  <si>
    <t>21593913327041</t>
  </si>
  <si>
    <t>Nota de Salida</t>
  </si>
  <si>
    <t>NS</t>
  </si>
  <si>
    <t>SOTO TINTA JUAN CARLOS</t>
  </si>
  <si>
    <t>Utilidades</t>
  </si>
  <si>
    <t>DU</t>
  </si>
  <si>
    <t>LLACHO TACO VIVIANA</t>
  </si>
  <si>
    <t>21592095804060</t>
  </si>
  <si>
    <t>Sin documento</t>
  </si>
  <si>
    <t>SD</t>
  </si>
  <si>
    <t>ARIAS CASANI FRANCISCO EDUARDO</t>
  </si>
  <si>
    <t>21500499539080</t>
  </si>
  <si>
    <t>Documento Provisional</t>
  </si>
  <si>
    <t>CC</t>
  </si>
  <si>
    <t>BUSTAMANTE HERRERA NESTOR MOISES</t>
  </si>
  <si>
    <t>21517179589015</t>
  </si>
  <si>
    <t>Orden de Compra</t>
  </si>
  <si>
    <t>OC</t>
  </si>
  <si>
    <t>VELA ARBILDO WILSON HUMBERTO</t>
  </si>
  <si>
    <t>Declaracion jurada - Gastos</t>
  </si>
  <si>
    <t>DJ</t>
  </si>
  <si>
    <t>COASACA CARDENAS FROILAN</t>
  </si>
  <si>
    <t>21534473287097</t>
  </si>
  <si>
    <t>XX</t>
  </si>
  <si>
    <t>QUISPE JARITA DANILA ELIZABETH</t>
  </si>
  <si>
    <t>Entregas a Rendir</t>
  </si>
  <si>
    <t>ER</t>
  </si>
  <si>
    <t>VILCA ESPIRILLA MARTHA</t>
  </si>
  <si>
    <t>21506357297007</t>
  </si>
  <si>
    <t>Prestamos Bancarios</t>
  </si>
  <si>
    <t>PR</t>
  </si>
  <si>
    <t>QUISPE DE LA CRUZ MANUEL</t>
  </si>
  <si>
    <t>19134327398037</t>
  </si>
  <si>
    <t>Planilla de Remuneraciones</t>
  </si>
  <si>
    <t>PLR</t>
  </si>
  <si>
    <t>CRISTOBAL CARHUACHIN LEONCIO JOSE</t>
  </si>
  <si>
    <t>21505806046088</t>
  </si>
  <si>
    <t>Planilla de Remuneraciones Finanzas</t>
  </si>
  <si>
    <t>PLRF</t>
  </si>
  <si>
    <t>OLAZABAL VALDIVIA PAUL</t>
  </si>
  <si>
    <t>Gratificaciones</t>
  </si>
  <si>
    <t>GR</t>
  </si>
  <si>
    <t>RAMOS MUÑOZ GILMAR JULIO</t>
  </si>
  <si>
    <t>VALDERRAMA COPARA MACARENA DEL CARMEN</t>
  </si>
  <si>
    <t>21503258585095</t>
  </si>
  <si>
    <t>ALARCON ZAIRA ABRAHAM JESUS</t>
  </si>
  <si>
    <t>21534204448043</t>
  </si>
  <si>
    <t xml:space="preserve">MAMANI MAMANI JUSTO ANGEL </t>
  </si>
  <si>
    <t>PALOMINO DAVILA MARCOS ANTONIO</t>
  </si>
  <si>
    <t>19123269984032</t>
  </si>
  <si>
    <t>SANCHEZ ANTIL EVELYN</t>
  </si>
  <si>
    <t>ARIAS GOMEZ YDELSA MILAGROS</t>
  </si>
  <si>
    <t>ROSAS PANDURO JHOEL MARCO</t>
  </si>
  <si>
    <t>CASAVILCA DE LA CRUZ WALTER</t>
  </si>
  <si>
    <t>19179778398037</t>
  </si>
  <si>
    <t>AYQUI NINA NATHALY ROSARIO</t>
  </si>
  <si>
    <t>CONTRERAS MARTINEZ ANGELICA</t>
  </si>
  <si>
    <t>Beatriz Machaca Sucasaire</t>
  </si>
  <si>
    <t>SORIA CRISTOBAL LORENA IVANKA</t>
  </si>
  <si>
    <t>1918950310070</t>
  </si>
  <si>
    <t>TOLEDO HUILLCA EDWIN WHALMOR</t>
  </si>
  <si>
    <t>CASQUINA QUIRITA GEYOMINA LUZMA</t>
  </si>
  <si>
    <t>HUALPA PERALTA PATRICIA MILAGROS</t>
  </si>
  <si>
    <t>VILLA FLORES BRIAN PABLO</t>
  </si>
  <si>
    <t>21594259410020</t>
  </si>
  <si>
    <t>GÜERE POMA SISAN</t>
  </si>
  <si>
    <t>19101301140082</t>
  </si>
  <si>
    <t>APAZA MENDOZA GIAN FRANCO</t>
  </si>
  <si>
    <t>21596550617071</t>
  </si>
  <si>
    <t>FARFAN RIEGA YESENIA ELIZABETH</t>
  </si>
  <si>
    <t>21597503266042</t>
  </si>
  <si>
    <t>VILCA BANDA IBETH MARLENI</t>
  </si>
  <si>
    <t>PUMA QUISPE DARWIN</t>
  </si>
  <si>
    <t>Willy Bladimir Chaucha Chata</t>
  </si>
  <si>
    <t>CABRERA CCAPATINTA YANETH</t>
  </si>
  <si>
    <t>JEREZ JOSE RAFAEL</t>
  </si>
  <si>
    <t>MOLITALIA S.A.</t>
  </si>
  <si>
    <t>RANSA COMERCIAL S A</t>
  </si>
  <si>
    <t>ALICORP SAA</t>
  </si>
  <si>
    <t>AEI S.R.L.</t>
  </si>
  <si>
    <t>CORPORACION PERUANA DE PRODUCTOS QUIMICOS S.A. CPPQ S.A</t>
  </si>
  <si>
    <t>SGS DEL PERU S.A.C.</t>
  </si>
  <si>
    <t>1930253467071</t>
  </si>
  <si>
    <t>PETROLEOS DEL PERU PETROPERU SA</t>
  </si>
  <si>
    <t>FCA NAC DE ACUMULADORES ETNA S.A.</t>
  </si>
  <si>
    <t>MOVITECNICA S A</t>
  </si>
  <si>
    <t>MOLY-COP ADESUR S.A</t>
  </si>
  <si>
    <t>2150006578170</t>
  </si>
  <si>
    <t>INCA TOPS S.A</t>
  </si>
  <si>
    <t>2150019552011</t>
  </si>
  <si>
    <t>FAB DE CHOCOLATES LA IBERICA S.A.</t>
  </si>
  <si>
    <t>ALIMENTOS PROCESADOS S.A.</t>
  </si>
  <si>
    <t>2150003871017</t>
  </si>
  <si>
    <t>TRANSPORTES ANGEL IBARCENA S.A.C.</t>
  </si>
  <si>
    <t>METALURGICA QUIMICA S.A.C.</t>
  </si>
  <si>
    <t>ALFRED H KNIGHT DEL PERU SOCIEDAD ANONIMA CERRADA-ALFRED H KNIGHT
DEL PERU S.A.C.</t>
  </si>
  <si>
    <t>RECOLSA S A</t>
  </si>
  <si>
    <t xml:space="preserve">AGENCIAS RANSA S A
</t>
  </si>
  <si>
    <t>STIERLIFT S.A.</t>
  </si>
  <si>
    <t>1931321135097</t>
  </si>
  <si>
    <t>GRUAS S.A.</t>
  </si>
  <si>
    <t>1921314265003</t>
  </si>
  <si>
    <t>RACIONALIZACION EMPRESARIAL SA</t>
  </si>
  <si>
    <t>FABRICA MARSAR S.R.L.</t>
  </si>
  <si>
    <t>IGLESIA ADVENTISTA DEL SEPTIMO DIA</t>
  </si>
  <si>
    <t>COOPERATIVA MINERA SANTIAGO DE ANANEA LIMITADA</t>
  </si>
  <si>
    <t>POWER S.A.C.</t>
  </si>
  <si>
    <t>EMPRESA YURA SRL</t>
  </si>
  <si>
    <t>L Y B NEGOCIOS Y REPRESENTACIONES SAC</t>
  </si>
  <si>
    <t>ALIMENTOS Y SERVICIOS AGROPECUARIOS SRL.</t>
  </si>
  <si>
    <t>CENTRAL AZUCARERA CHUCARAPI PAMPA BLANCA S.A.</t>
  </si>
  <si>
    <t>RECTIFICACIONES SALAS SRL</t>
  </si>
  <si>
    <t>SUPERINTENDENCIA NACIONAL DE ADUANAS Y DE ADMINISTRACION
TRIBUTARIA - SUNAT</t>
  </si>
  <si>
    <t>SERVICIO NACIONAL DE SANIDAD AGRARIA</t>
  </si>
  <si>
    <t>COMANDO SOCIEDAD ANONIMA CERRADA</t>
  </si>
  <si>
    <t>WELLCO PERUANA S.A.</t>
  </si>
  <si>
    <t>1910028848092</t>
  </si>
  <si>
    <t>UNIVERSIDAD DE SAN MARTIN DE PORRES</t>
  </si>
  <si>
    <t>ADRA PERU</t>
  </si>
  <si>
    <t>UNIVERSIDAD CATOLICA DE SANTA MARIA</t>
  </si>
  <si>
    <t>TECNIFLOW S.A.C.</t>
  </si>
  <si>
    <t>TRANSFORMADORA DE ALIMENTOS AMERICA S.A.C.</t>
  </si>
  <si>
    <t>ASOCIACION TECSUP N° 2</t>
  </si>
  <si>
    <t>DANPER TRUJILLO S.A.C</t>
  </si>
  <si>
    <t>5700028098092</t>
  </si>
  <si>
    <t>DIRECCION REGIONAL DE SALUD TACNA</t>
  </si>
  <si>
    <t>TALMA SERVICIOS AEROPORTUARIOS S.A.</t>
  </si>
  <si>
    <t xml:space="preserve"> COOPERATIVA MINERA EL DORADO DE ANANEA LTDA</t>
  </si>
  <si>
    <t>TRANSPORTES DE CARGA LIMA SUR S.R.L.</t>
  </si>
  <si>
    <t>CONSTRUCTORA MECH SRL</t>
  </si>
  <si>
    <t>TRACTO CAMIONES USA S.A.C.</t>
  </si>
  <si>
    <t>INNOVA AMBIENTAL S.A.</t>
  </si>
  <si>
    <t>MANPOWER PERU S.A.</t>
  </si>
  <si>
    <t>CODIRESA S.A.C.</t>
  </si>
  <si>
    <t>2152165105063</t>
  </si>
  <si>
    <t>MANPOWER PROFESSIONAL SERVICES S.A.</t>
  </si>
  <si>
    <t>CAMPOSOL S.A.</t>
  </si>
  <si>
    <t>CORPORACION ACEROS AREQUIPA S.A</t>
  </si>
  <si>
    <t>LIDER CRUZ E.I.R.L.</t>
  </si>
  <si>
    <t>2151058414066</t>
  </si>
  <si>
    <t>TRANSPORTES HAGEMSA S.A.C.</t>
  </si>
  <si>
    <t>TRANSPORTES CORPORATIVOS S.A.</t>
  </si>
  <si>
    <t>GYA CONSTRUCCIONES S.A.C.</t>
  </si>
  <si>
    <t>EMPRESA SIDERURGICA DEL PERU S.A.A.</t>
  </si>
  <si>
    <t>COOPERATIVA MINERA SAN ANTONIO DE ANANEA LTDA</t>
  </si>
  <si>
    <t>COOPERATIVA MINERA HALCON DE ORO DE ANANEA LIMITADA</t>
  </si>
  <si>
    <t>COOPERATIVA MINERA ESTRELLA DE ORO DE ANANEA LIMITADA</t>
  </si>
  <si>
    <t>D.C.R. MINERIA Y CONSTRUCCION S.A.C.</t>
  </si>
  <si>
    <t>2151562944028</t>
  </si>
  <si>
    <t>CONCESIONARIOS AUTORIZADOS S.A.C.</t>
  </si>
  <si>
    <t>LO JUSTO S.A.C.</t>
  </si>
  <si>
    <t>PROGRAMA DE DESARROLLO DE SANIDAD AGROPE</t>
  </si>
  <si>
    <t>TECNO FAST S.A.C.</t>
  </si>
  <si>
    <t>GRANJA RINCONADA DEL SUR S.A.</t>
  </si>
  <si>
    <t>2151437656093</t>
  </si>
  <si>
    <t>FLORES &amp; FERNANDEZ S.R.L.</t>
  </si>
  <si>
    <t>TRANSPORTES PEREDA S.R.L.</t>
  </si>
  <si>
    <t>EMP.DE ADMIN. DE INFRAEST. ELECTRICA S.A</t>
  </si>
  <si>
    <t>CORPORACION ENERJET SOCIEDAD ANONIMA - CORPORACION ENERJET S.A.</t>
  </si>
  <si>
    <t>EMPRESA DE TRANSPORTES DE CARGA COSISE S.A.C.</t>
  </si>
  <si>
    <t>1911572496096</t>
  </si>
  <si>
    <t>CARGO TRANSPORT S.A.C.</t>
  </si>
  <si>
    <t>TRANSPORTES LINEA S.A.</t>
  </si>
  <si>
    <t>COOPERATIVA MINERA LIMATA LIMITADA</t>
  </si>
  <si>
    <t>AUTOS DEL SUR S.A.C.</t>
  </si>
  <si>
    <t>CYNKAT S.A.C.</t>
  </si>
  <si>
    <t>1949840730011</t>
  </si>
  <si>
    <t>VALMET S.A.C.</t>
  </si>
  <si>
    <t>ALSUR PERU S.A.C.</t>
  </si>
  <si>
    <t>B</t>
  </si>
  <si>
    <t>00931000000927711044</t>
  </si>
  <si>
    <t>AQP NEGOCIOS GENERALES S.A.</t>
  </si>
  <si>
    <t>ROHA CONSTRUCCION Y MINERIA S.A.C.</t>
  </si>
  <si>
    <t>G &amp; R MAQUINAS S.A.C.</t>
  </si>
  <si>
    <t>TECNICA SOCIEDAD ANONIMA CERRADA</t>
  </si>
  <si>
    <t>SANTA URSULA SERVICIOS DE SALUD E.I.R.L.</t>
  </si>
  <si>
    <t>IZA RACING S.A.C.</t>
  </si>
  <si>
    <t>EMPRESA CONSERVADORA AMBIENTAL DEL SUR E.I.R.L. - ECA SUR E.I.R.L.</t>
  </si>
  <si>
    <t>GRUPO INDUSTRIAL DEL PERU E.I.R.L.</t>
  </si>
  <si>
    <t>DIAGROQUIMSUR E.I.R.L.</t>
  </si>
  <si>
    <t>CALAVERA TATTOO E.I.R.L.</t>
  </si>
  <si>
    <t>CONSULTORIA &amp; MONITOREO PERU S.A.C.</t>
  </si>
  <si>
    <t>REENCAUCHADORA INDESUR E.I.R.L.</t>
  </si>
  <si>
    <t>2152263725024</t>
  </si>
  <si>
    <t>SEGUMAS E.I.R.L.</t>
  </si>
  <si>
    <t>2151958326086</t>
  </si>
  <si>
    <t>LIVIGUI PERU S.A.C.</t>
  </si>
  <si>
    <t>GRACOS TRUCK S.R.L.</t>
  </si>
  <si>
    <t>21500364500078</t>
  </si>
  <si>
    <t>TRANSPORTES Y SERVICIOS AREOS S.A.C.</t>
  </si>
  <si>
    <t>2152014089049</t>
  </si>
  <si>
    <t>INVERSIONES NEGMARGS S.R.L.</t>
  </si>
  <si>
    <t>J. CH. COMERCIALIZADORA DE RESIDUOS SOLIDOS S.R.L.</t>
  </si>
  <si>
    <t>MATIZADOS ZELITA AQP E.I.R.L.</t>
  </si>
  <si>
    <t>RIFUSE SANEAMIENTO AMBIENTAL S.R.L.</t>
  </si>
  <si>
    <t>2151922364034</t>
  </si>
  <si>
    <t>INVERSIONES BERMARC E.I.R.L.</t>
  </si>
  <si>
    <t>ASOCIACION DE AYUDA AL NINO QUEMADO</t>
  </si>
  <si>
    <t>19321303883072</t>
  </si>
  <si>
    <t>MINERA TITAN DEL PERU SRL</t>
  </si>
  <si>
    <t>TRAVICO PERU S.A.C.</t>
  </si>
  <si>
    <t>1932288191039</t>
  </si>
  <si>
    <t>R&amp;C INGENIEROS CONSULTORES Y CONSTRUCTORES SRL</t>
  </si>
  <si>
    <t>CONSTRUCTORA GALAXIA S.A.C.</t>
  </si>
  <si>
    <t>PRO ECOLOGIA S.R.L.</t>
  </si>
  <si>
    <t>TRANSCEANIL E.I.R.L.</t>
  </si>
  <si>
    <t>CORP.ELECTROMECANICA EN ING.Y CONSTR.SAC</t>
  </si>
  <si>
    <t>JOSE ANTONIO ANGULO DELGADO E.I.R.L.</t>
  </si>
  <si>
    <t>2151763150012</t>
  </si>
  <si>
    <t>TRANSP.ALQUILER EQUIPOS Y MAQ.PESADA S.A.C.</t>
  </si>
  <si>
    <t>LA FERIA DEL SUR S.A.C.</t>
  </si>
  <si>
    <t>2152373940007</t>
  </si>
  <si>
    <t>ASOCIACION NEW HOPE PERU</t>
  </si>
  <si>
    <t>MOLINO ARROCERO MONTERRICO E.I.R.L.</t>
  </si>
  <si>
    <t>INVERSIONES MILENIUM S.R.L.</t>
  </si>
  <si>
    <t>MADE S.C.R.L.</t>
  </si>
  <si>
    <t>2159876790070</t>
  </si>
  <si>
    <t>SCOMAR S.R.L</t>
  </si>
  <si>
    <t>TRANSPORTES JIRENA S.A.C.</t>
  </si>
  <si>
    <t>2151533817016</t>
  </si>
  <si>
    <t>E QUELLE E.I.R.L.</t>
  </si>
  <si>
    <t>2152017548088</t>
  </si>
  <si>
    <t>HISPANICA DISTRIBUCIONES S.R.L.</t>
  </si>
  <si>
    <t>SERVICENTROS MIGUEL GRAU S.R.L.</t>
  </si>
  <si>
    <t>INDUSTRIA DEL REENCAUCHE S.A.C.</t>
  </si>
  <si>
    <t>ALIMENTOS BALANCEADOS DEL PERU S.A.C.</t>
  </si>
  <si>
    <t>HERCO COMBUSTIBLES S.A.</t>
  </si>
  <si>
    <t>ENVAK S.A.C.</t>
  </si>
  <si>
    <t>FLSMIDTH S.A.C.</t>
  </si>
  <si>
    <t>1932346793078</t>
  </si>
  <si>
    <t>CORPORACION PERUANA DE RESTAURANTES S.A.C.</t>
  </si>
  <si>
    <t>REALIPERU S.A.C</t>
  </si>
  <si>
    <t>CORPORACION DINA E HIJOS S.R.L.</t>
  </si>
  <si>
    <t>COMIMTEL SOCIEDAD ANONIMA CERRADA</t>
  </si>
  <si>
    <t>RCA TECNICOS S.A.C.</t>
  </si>
  <si>
    <t>CORPORACION BIOTEC S.A.C</t>
  </si>
  <si>
    <t>BMP CONSULTING S.A.C.</t>
  </si>
  <si>
    <t>CAMPO LIMPIO</t>
  </si>
  <si>
    <t>1931550161091</t>
  </si>
  <si>
    <t>ALTO QUEMADO MINING COMPANY S.A.C.</t>
  </si>
  <si>
    <t>CORPORACION MEDIOAMBIENTAL AMPCO PERU SOCIEDAD ANONIMA CERRADA
- CM AMPCO PERU S.A.C</t>
  </si>
  <si>
    <t>PRAXIS ECOLOGY S.A.C.</t>
  </si>
  <si>
    <t>1911620754051</t>
  </si>
  <si>
    <t>AEROPUERTOS DEL PERU S.A.</t>
  </si>
  <si>
    <t>MUNDO LIMPIO SOCIEDAD ANONIMA CERRADA</t>
  </si>
  <si>
    <t>BIOLAB &amp; INMUNOMED DEL PERU SAC</t>
  </si>
  <si>
    <t>SIGSO CONSULTORES LABORALES S.A.C.</t>
  </si>
  <si>
    <t>00300900300076410483</t>
  </si>
  <si>
    <t>MEGA PESCA S.A.</t>
  </si>
  <si>
    <t>5401937993030</t>
  </si>
  <si>
    <t>TUBERIAS Y GEOSISTEMAS DEL PERU SA - TUBERIAS Y GEOS S.A.</t>
  </si>
  <si>
    <t>2151897218033</t>
  </si>
  <si>
    <t>INDUSTRIAS IGGAM S.A.C.</t>
  </si>
  <si>
    <t>1911647235036</t>
  </si>
  <si>
    <t>SERVICIOS INTEGRALES SAHUANAY S.A.C.</t>
  </si>
  <si>
    <t>1912160674088</t>
  </si>
  <si>
    <t>TEMA LITOCLEAN S.A.C.</t>
  </si>
  <si>
    <t>H-E PARTS INTERNATIONAL PERU S.A.C</t>
  </si>
  <si>
    <t>CBB PERU S.A.</t>
  </si>
  <si>
    <t>Q´OMER SOCIEDAD ANONIMA CERRADA - Q´OMER S.A.C.</t>
  </si>
  <si>
    <t xml:space="preserve">GRAYSIL CONTRATISTAS S.A.C. </t>
  </si>
  <si>
    <t>COSTEÑO ALIMENTOS S.A.C.</t>
  </si>
  <si>
    <t>RESITER PERU S.A.C.</t>
  </si>
  <si>
    <t>1942068501048</t>
  </si>
  <si>
    <t>IDELCOM S.A.C</t>
  </si>
  <si>
    <t>AEROPUERTOS ANDINOS DEL PERU S.A.</t>
  </si>
  <si>
    <t>1931901863036</t>
  </si>
  <si>
    <t>APMINAC PULPERA S.A.</t>
  </si>
  <si>
    <t xml:space="preserve"> 2152334152009</t>
  </si>
  <si>
    <t>COMERCIAL IMFESUR E.I.R.L.</t>
  </si>
  <si>
    <t>EFIMERA ARQUITECTOS E.I.R.L.</t>
  </si>
  <si>
    <t>LA JOYA MINING SOCIEDAD ANONIMA CERRADA</t>
  </si>
  <si>
    <t>2152247139089</t>
  </si>
  <si>
    <t>NARMETAL S.A.C.</t>
  </si>
  <si>
    <t>ESTACION DE SERVICIOS PEDREGAL SUR S.R.L</t>
  </si>
  <si>
    <t>TRANSPORTES RIVERITA E.I.R.L.</t>
  </si>
  <si>
    <t>1912432902066</t>
  </si>
  <si>
    <t>MULTI SERVICIOS ANGEL ALBERTO E.I.R.L.</t>
  </si>
  <si>
    <t>1912256311019</t>
  </si>
  <si>
    <t>IMOERGO E.I.R.L.</t>
  </si>
  <si>
    <t>00301101304224798043</t>
  </si>
  <si>
    <t>NOBEX AGROINDUSTRIAL S.A.</t>
  </si>
  <si>
    <t>GLOBAL PERLA´S CAR S.A.C.</t>
  </si>
  <si>
    <t>1912282353069</t>
  </si>
  <si>
    <t>PISOS POLIMERICOS Y CEMENTICIOS S.A.C. - POLCEM S.A.C</t>
  </si>
  <si>
    <t>INGENIERIA SERVICIOS Y SOLUCIONES APLICADAS ISSA PERU S.A.C.</t>
  </si>
  <si>
    <t>ALTERNAINGENIEROS ASOCIADOS S.A.C</t>
  </si>
  <si>
    <t>COMPAÑÍA DE INGENIERIA ESPECIALIZADA S.A.C.</t>
  </si>
  <si>
    <t>ALCA COMPANY S.A.C.</t>
  </si>
  <si>
    <t>VERISURE PERU S.A.C.</t>
  </si>
  <si>
    <t>CONTRATISTAS E INGENIEROS AMERICANA E.I.R.L.</t>
  </si>
  <si>
    <t>00342000300370503977</t>
  </si>
  <si>
    <t>SANTOS CHAVARRIA VEGA E.I.R.L.</t>
  </si>
  <si>
    <t>INVESTIGACION Y DESARROLLO DE SOLUCIONES INFORMATICAS E.I.R.L.</t>
  </si>
  <si>
    <t>00320000300509540631</t>
  </si>
  <si>
    <t>HOSTINGROUP S.A.C.</t>
  </si>
  <si>
    <t>KANAY S.A.C.</t>
  </si>
  <si>
    <t>1932469516004</t>
  </si>
  <si>
    <t>SOLUCIONES LOGISTICAS MEJGHIM E.I.R.L.</t>
  </si>
  <si>
    <t>01135800010005288991</t>
  </si>
  <si>
    <t>LABORATORIOS CLINICOS MULTIPLES S.A.C.</t>
  </si>
  <si>
    <t>A &amp; D PROYECTOS Y CONSTRUCCIONES S.A.C.</t>
  </si>
  <si>
    <t>TRANSHOST S.A.C.</t>
  </si>
  <si>
    <t>01134100010004501456</t>
  </si>
  <si>
    <t>INVERSIONES TIRES EBEN-EZER S.R.L.</t>
  </si>
  <si>
    <t>INGENIERIA Y CONSTRUCCIONES METALICAS DEL PERU SAC</t>
  </si>
  <si>
    <t>ISC INGENIERIA DEL SUR S.A.C.</t>
  </si>
  <si>
    <t>GYTRES S.A.C.</t>
  </si>
  <si>
    <t>DISPONIBLE S.A.C</t>
  </si>
  <si>
    <t>TACONSER E.I.R.L.</t>
  </si>
  <si>
    <t>2152103001051</t>
  </si>
  <si>
    <t>EMPRESA DE TRANSPORTES DANTE HUGO PINTO LOPEZ E.I.R.L.</t>
  </si>
  <si>
    <t>21504920216011</t>
  </si>
  <si>
    <t xml:space="preserve">TAPICENTER TORRES HERMANOS S.R.L. </t>
  </si>
  <si>
    <t>2152199948011</t>
  </si>
  <si>
    <t xml:space="preserve">J&amp;R FAST CARGO E.I.R.L. </t>
  </si>
  <si>
    <t>TRANSPORTES MARVIGIAN E.I.R.L.</t>
  </si>
  <si>
    <t>00943200000941262068</t>
  </si>
  <si>
    <t>MEDICAL RESOURCES E.I.R.L.</t>
  </si>
  <si>
    <t>CONASI S.A.C.</t>
  </si>
  <si>
    <t>CARNICO ARENCIO E.I.R.L.</t>
  </si>
  <si>
    <t>C &amp; A INVERS S.R.L.</t>
  </si>
  <si>
    <t>METAL MECANICA INDUSTRIAL AQUINO E.I.R.L.</t>
  </si>
  <si>
    <t>LABCORP S.A.C</t>
  </si>
  <si>
    <t>RECPER SOCIEDAD ANONIMA CERRADA - RECPER S.A.C.</t>
  </si>
  <si>
    <t>1912548233026</t>
  </si>
  <si>
    <t>INVERSIONES FIVA S.A.C.</t>
  </si>
  <si>
    <t>AGRICOLA ALSUR CUSCO S.A.C</t>
  </si>
  <si>
    <t>HAM CRIOGENICA PERU S.A.C.</t>
  </si>
  <si>
    <t>MILNER INVERSIONES Y SERVICIOS EMPRESA INDIVIDUAL DE RESPONSABILIDAD LIMITADA - MILINSER E.I.R.L.</t>
  </si>
  <si>
    <t>MUNABI E.I.R.L.</t>
  </si>
  <si>
    <t>BEST SECURITY SYSTEMS SAC</t>
  </si>
  <si>
    <t>RECICLA RECUPERA UN MUNDO VERDE S.A.C. - RREMVER S.A.C.</t>
  </si>
  <si>
    <t>ASIA TELECOMUNICACIONES S.A.C.</t>
  </si>
  <si>
    <t>SERVICIOS ESPECIALIZADOS TAWA E.I.R.L. - SERVICIOS TAWA E.I.R.L.</t>
  </si>
  <si>
    <t>METALMARK S.A.</t>
  </si>
  <si>
    <t>GYGA CONSULTING S.A.C.</t>
  </si>
  <si>
    <t>MULTISERVICIOS VEVAS SOCIEDAD ANONIMA CERRADA - MULTISERVICIOS VEVAS S.A.C.</t>
  </si>
  <si>
    <t>SAN FRANCISCO JR SAC</t>
  </si>
  <si>
    <t>80300200222515900158</t>
  </si>
  <si>
    <t>ENOBRAS SERVICIOS GENERALES S.A.C.</t>
  </si>
  <si>
    <t>CCRV INGENIEROS S.A.C.</t>
  </si>
  <si>
    <t>HIDRAULIC SISTEM CRANE S.A.C</t>
  </si>
  <si>
    <t>CHINA RAILWAY N° 10 ENGINEERING GROUP CO., LTD SUCURSAL DEL PERU</t>
  </si>
  <si>
    <t>INVERSIONES W.J.M. S.A.C.</t>
  </si>
  <si>
    <t>PETROLL SUR II S.R.L.</t>
  </si>
  <si>
    <t>TRANSPORTES UNIDEST S.A.C.</t>
  </si>
  <si>
    <t>21535293237030</t>
  </si>
  <si>
    <t>IMPORTACIONES Y TRANSPORTES ALONDRA S.A.C.</t>
  </si>
  <si>
    <t>1912548158068</t>
  </si>
  <si>
    <t>OPERADOR LOGISTICO CHUQUE HNOS S.A.C.</t>
  </si>
  <si>
    <t>TRANSETAL UNION S.A.C.</t>
  </si>
  <si>
    <t>SIKACON SOCIEDAD COMERCIAL DE RESPONSABILIDAD LIMITADA - SIKACON S.R.L.</t>
  </si>
  <si>
    <t>GRUPO TRANSPORTES SIVER S.A.C.</t>
  </si>
  <si>
    <t>1919395560044</t>
  </si>
  <si>
    <t>INGENIERIA DE PROYECTOS AMBIENTALES SOCIEDAD ANONIMA CERRADA</t>
  </si>
  <si>
    <t>TRANSPORTES CARLOS KAYRO E.I.R.L.</t>
  </si>
  <si>
    <t>2152446419018</t>
  </si>
  <si>
    <t>AUTORIDAD PARA LA RECONSTRUCCIÓN CON CAMBIOS</t>
  </si>
  <si>
    <t>BIM SELVA S.R.L.</t>
  </si>
  <si>
    <t>MONECO SOCIEDAD ANONIMA CERRADA</t>
  </si>
  <si>
    <t>CENTRO DE INSPECCIONES TECNICO VEHICULARES GRUPO J &amp; J  SAC</t>
  </si>
  <si>
    <t>1118300020147870000</t>
  </si>
  <si>
    <t>COOPERATIVA MINERA COMIG DE ANANEA LIMITADA</t>
  </si>
  <si>
    <t>VOLVO ENGINE AQP EIRL</t>
  </si>
  <si>
    <t>TRANSPORTE &amp; NEGOCIACIONES BENDEZU S.A.C.</t>
  </si>
  <si>
    <t>1912467144045</t>
  </si>
  <si>
    <t>DISERGO SOCIEDAD ANONIMA CERRADA - DISERGO S.A.C.</t>
  </si>
  <si>
    <t>CHATARRA METALES SOCIEDAD ANONIMA CERRADA - CHAME S.A.C.</t>
  </si>
  <si>
    <t>MULTITRAN S.R.L.</t>
  </si>
  <si>
    <t>CENTRO DE INSPECCIONES TECNICAS DEL SUR S.A.C.</t>
  </si>
  <si>
    <t>2152589370068</t>
  </si>
  <si>
    <t>RESIDUOS MAYTA DEL SUR S.A.C.</t>
  </si>
  <si>
    <t>80300100228968600176</t>
  </si>
  <si>
    <t>SP TRANSPORT LOGISTIC SOCIEDAD ANONIMA CERRADA - SP TRANSPORT LOGISTIC S.A.C.</t>
  </si>
  <si>
    <t>KIKAI &amp; SABISU S.A.C.</t>
  </si>
  <si>
    <t>1942433625069</t>
  </si>
  <si>
    <t>GRUPO LIDER AQP SOCIEDAD ANONIMA CERRADA</t>
  </si>
  <si>
    <t>2152480946075</t>
  </si>
  <si>
    <t>TRENTO MULTISERVICIOS S.R.L.</t>
  </si>
  <si>
    <t>2159394738057</t>
  </si>
  <si>
    <t>DINAMICA MASIVA SOCIEDAD ANONIMA CERRADA</t>
  </si>
  <si>
    <t>00330000300148836318</t>
  </si>
  <si>
    <t>ESTACION DE SERVICIOS MI GRIFO S.R.L. - ESTACION MG S.R.L</t>
  </si>
  <si>
    <t>LA ROCA SUPER CONCRETOS SOCIEDAD ANONIMA</t>
  </si>
  <si>
    <t xml:space="preserve">BALANZAS WARTON SRL </t>
  </si>
  <si>
    <t>2159971082015</t>
  </si>
  <si>
    <t>COMERCIO SERVICIOS E INVERSIONES YANCE E.I.R.L.</t>
  </si>
  <si>
    <t>CARAL SOLUCIONES ENERGETICAS S.A.C.</t>
  </si>
  <si>
    <t>VIVEMAS INMOBILIARIAY CONSTRUCCION S.A.C.</t>
  </si>
  <si>
    <t>CORPORACION ELCONSUR SOCIEDAD ANONIMA CERRADA</t>
  </si>
  <si>
    <t>VERTICALIA SOCIEDAD ANONIMA CERRADA</t>
  </si>
  <si>
    <t>INVERSIONES TLI PERU S.A.C.</t>
  </si>
  <si>
    <t>ECO-MISTI S.A.C.</t>
  </si>
  <si>
    <t>2158750966010</t>
  </si>
  <si>
    <t>B-TAPCHEZ CONSULTORES HSEC E.I.R.L.</t>
  </si>
  <si>
    <t>01122600020035425686</t>
  </si>
  <si>
    <t>SOLIDARIO A &amp; Z S.A.C.</t>
  </si>
  <si>
    <t>ANTILLA COPPER SOCIEDAD ANONIMA</t>
  </si>
  <si>
    <t xml:space="preserve">VICTORIA MEDICAL S.A.C. </t>
  </si>
  <si>
    <t>CFC GROUP S.A.C.</t>
  </si>
  <si>
    <t>2152584647060</t>
  </si>
  <si>
    <t>TO-SAFETY PRODUCTS S.A.C.</t>
  </si>
  <si>
    <t>1932532921059</t>
  </si>
  <si>
    <t>TGM AREQUIPA E.I.R.L.</t>
  </si>
  <si>
    <t>2152606822051</t>
  </si>
  <si>
    <t>KONTROL R &amp; M PERU S.A.C.</t>
  </si>
  <si>
    <t xml:space="preserve">360 GPS S.A.C. </t>
  </si>
  <si>
    <t>1942568258098</t>
  </si>
  <si>
    <t>KANUN GLASS S.C.R.L.</t>
  </si>
  <si>
    <t>80300700277148400147</t>
  </si>
  <si>
    <t>BOTTLES PERU E.I.R.L.</t>
  </si>
  <si>
    <t>2159716658075</t>
  </si>
  <si>
    <t>PROVEEDORES METALICOS S.A.C.</t>
  </si>
  <si>
    <t>DISTRIBUIDORA Y PROVEEDORA SALAS VALDIVIA SOCIEDAD COMERCIAL DE
RESPONSABILIDAD LIMITADA</t>
  </si>
  <si>
    <t>SERCIA E.I.R.L.</t>
  </si>
  <si>
    <t>BADAJOZ Y CIA S.A.C.</t>
  </si>
  <si>
    <t>2159847998041</t>
  </si>
  <si>
    <t>Sergio Gutierrez Huaman</t>
  </si>
  <si>
    <t>LONCCOS Y CCALAS S.A.C.</t>
  </si>
  <si>
    <t>2152653274063</t>
  </si>
  <si>
    <t>SERVICIOS MINEROS HERRERA S.R.L.</t>
  </si>
  <si>
    <t>VALERIANOS PASTELERIA FINA E.I.R.L.</t>
  </si>
  <si>
    <t>ENVASES Y SOLUCIONES LOGISTICAS W &amp; R S.A.C.</t>
  </si>
  <si>
    <t>1912673797048</t>
  </si>
  <si>
    <t>DISTRIBUIDORA FERRETERA VENCOR E.I.R.L.</t>
  </si>
  <si>
    <t>2158088689043</t>
  </si>
  <si>
    <t>ENCARGA TOTAL S.A.C.</t>
  </si>
  <si>
    <t>AMC AQP VENTAS &amp; SERVICIOS GENERALES S.R.L.</t>
  </si>
  <si>
    <t>CORPORACION TECNOLOGICA Y SALUD S.A.C.</t>
  </si>
  <si>
    <t>01122000010015410911</t>
  </si>
  <si>
    <t>AID MARANGANI S.A.C.</t>
  </si>
  <si>
    <t>2154272409061</t>
  </si>
  <si>
    <t>RESIGRALE S.R.L.</t>
  </si>
  <si>
    <t>CONSTRUCTORA Y SUPERVISION AMERICANA DE PROYECTOS ESPECIALES DE CALIDAD S.A.C.</t>
  </si>
  <si>
    <t>TRANSPORTES PACORI J &amp; G E.I.R.L.</t>
  </si>
  <si>
    <t>4057115340029</t>
  </si>
  <si>
    <t>ALEACIONES FERROSAS Y METALICAS S.A.C.</t>
  </si>
  <si>
    <t>AGROINVERSIONES BARTES E.I.R.L.</t>
  </si>
  <si>
    <t>EMPRESA LOGISTICA GIAN POOL E.I.R.L.</t>
  </si>
  <si>
    <t>2159929071062</t>
  </si>
  <si>
    <t>EMBOTELLADORA GRACO S.A.C.</t>
  </si>
  <si>
    <t>1919855316044</t>
  </si>
  <si>
    <t>TRANSPORTES EXPRESS HUADEY E.I.R.L.</t>
  </si>
  <si>
    <t>INEC INGENIEROS E.I.R.L.</t>
  </si>
  <si>
    <t>HOUSE RUMI IMPORT E.I.R.L.</t>
  </si>
  <si>
    <t>REPUESTOS ELIBEM IMPORTACIONES S.R.L.</t>
  </si>
  <si>
    <t>FF AQP E.I.R.L.</t>
  </si>
  <si>
    <t>2519923807025</t>
  </si>
  <si>
    <t>DISTRIBUCIONES ACEROS EZEQUIEL E.I.R.L.</t>
  </si>
  <si>
    <t>2159857679029</t>
  </si>
  <si>
    <t>TRANSPORTES ALBERTO MAMANI E.I.R.L.</t>
  </si>
  <si>
    <t>21578272753082</t>
  </si>
  <si>
    <t>Y &amp; B BUSINESS COMPANY S.A.C.</t>
  </si>
  <si>
    <t>2154712700046</t>
  </si>
  <si>
    <t>JKL PROYECTOS E INVERSIONES MULTIPLES E.I.R.L.</t>
  </si>
  <si>
    <t>.</t>
  </si>
  <si>
    <t>BIRRAK 360 S.A.C.</t>
  </si>
  <si>
    <t>TRANSPORTES VIAL DEL SUR E.I.R.L.</t>
  </si>
  <si>
    <t>21573928679027</t>
  </si>
  <si>
    <t>CONSTRUCTORA DEMARK S.A.C.</t>
  </si>
  <si>
    <t>TRANSPORTES CEPSA S.A.C.</t>
  </si>
  <si>
    <t>VULCANO EXTINTORES Y SEGURIDAD E.I.R.L.</t>
  </si>
  <si>
    <t>2159716378047</t>
  </si>
  <si>
    <t>EUROAMERICAN MOTORS R &amp; K E.I.R.L.</t>
  </si>
  <si>
    <t xml:space="preserve">HERLIZ CONFECCIONES E.I.R.L. </t>
  </si>
  <si>
    <t>1919413473084</t>
  </si>
  <si>
    <t>H &amp; S CARGO EXPRESS S.A.C.</t>
  </si>
  <si>
    <t>1919876970071</t>
  </si>
  <si>
    <t>ADMING 32 LOGISTICA Y SOLUCIONES AUTOMOTRICES S.A.C.</t>
  </si>
  <si>
    <t>FIXER TELECOMUNICACIONES S.A.C.</t>
  </si>
  <si>
    <t>2157231239033</t>
  </si>
  <si>
    <t>ALI MEDIC E.I.R.L.</t>
  </si>
  <si>
    <t>GPSFOX S.A.C</t>
  </si>
  <si>
    <t>TRANSPORTES GUSANITO E.I.R.L.</t>
  </si>
  <si>
    <t>2159886433074</t>
  </si>
  <si>
    <t>MGM MONTACARGAS &amp; GRUAS S.A.C.</t>
  </si>
  <si>
    <t>1949895632076</t>
  </si>
  <si>
    <t>AREQUIPA VIA EXPRESS S.A.C.</t>
  </si>
  <si>
    <t>AWT CARGO S.A.C.</t>
  </si>
  <si>
    <t>CLUB PREMIUM AUTOMOTRIZ S.R.L.</t>
  </si>
  <si>
    <t>21576946562094</t>
  </si>
  <si>
    <t xml:space="preserve">INVERSIONES LIVER GROUP E.I.R.L. </t>
  </si>
  <si>
    <t>CARE ECOEXPORT E.I.R.L.</t>
  </si>
  <si>
    <t>GRUPO ALCA COMPANY S.A.C.</t>
  </si>
  <si>
    <t>1919912076078</t>
  </si>
  <si>
    <t>SOLUCIONES LOGISTICAS SIGMA7 S.A.C.</t>
  </si>
  <si>
    <t>2159961978054</t>
  </si>
  <si>
    <t>TRANSCARGO JHONCITO S.A.C.</t>
  </si>
  <si>
    <t>2159934155015</t>
  </si>
  <si>
    <t>TRANSPORTES &amp; IMPORTACIONES JMGLOBAL LOGISTICA E.I.R.L.</t>
  </si>
  <si>
    <t>CARROCERIAS METALICAS HNOS. PACCO S.A.C.</t>
  </si>
  <si>
    <t>CENTRO DE MATIZADOS EMMANUEL S.R.L.</t>
  </si>
  <si>
    <t>CONSORCIO VIAL LA YARADA</t>
  </si>
  <si>
    <t>GRUPO ECOLOGICA S.A.C.</t>
  </si>
  <si>
    <t>CONSORCIO VIAL MARJANI</t>
  </si>
  <si>
    <t>TRANSPORTES ARAGON ZAVALA E.I.R.L.</t>
  </si>
  <si>
    <t>CORPORACION ACEROS AREQUIPA S.A.</t>
  </si>
  <si>
    <t>BLAXTEEL SAC</t>
  </si>
  <si>
    <t>DISTRIBUIDORA TOTAL SAFETY E.I.R.L.</t>
  </si>
  <si>
    <t>2159933832052</t>
  </si>
  <si>
    <t>DOMINIONPERU SOLUCIONES Y SERVICIOS S.A.C.</t>
  </si>
  <si>
    <t>UNIVERSIDAD TECNOLOGICA DEL PERU S.A.C. O UTP S.A.C.</t>
  </si>
  <si>
    <t>SYNERGO CAP S.A.C.</t>
  </si>
  <si>
    <t>GRUPO DE GESTION C SOCIEDAD ANONIMA - GRUPO DE GESTION C S.A.</t>
  </si>
  <si>
    <t>SOLUCIONES DE INFORMACION NEXTSOFT S.A.C.</t>
  </si>
  <si>
    <t>2151725155024</t>
  </si>
  <si>
    <t>CENTRO DE ESTUDIOS DE MARKETING Y NEGOCIOS APEM S.A.C.</t>
  </si>
  <si>
    <t xml:space="preserve">EMPRESA DE TRANSPORTES MANN S.A.C. </t>
  </si>
  <si>
    <t>19406668771030</t>
  </si>
  <si>
    <t>IMPORTACIONES A &amp; TE S.R.L.</t>
  </si>
  <si>
    <t>21576764643038</t>
  </si>
  <si>
    <t>ALQUIMODUL S.A.C.</t>
  </si>
  <si>
    <t>BIXPRO S.A.C.</t>
  </si>
  <si>
    <t>2157890954020</t>
  </si>
  <si>
    <t>ELECMIN S.A.C.</t>
  </si>
  <si>
    <t>EMPRESA DE TRANSPORTES Y SERVICIOS GENERALES KONNI S.R.L</t>
  </si>
  <si>
    <t>1912164651060</t>
  </si>
  <si>
    <t>SAMA LAB E.I.R.L.</t>
  </si>
  <si>
    <t>LUVOG S.A.C.</t>
  </si>
  <si>
    <t>FERSEIND PERU S.A.C.</t>
  </si>
  <si>
    <t>2152453794013</t>
  </si>
  <si>
    <t>TIENDAS LA 90 E.I.R.L.</t>
  </si>
  <si>
    <t>2154218312028</t>
  </si>
  <si>
    <t>ARENAS QUENAYA ADA MASSIEL</t>
  </si>
  <si>
    <t>LADRILLERA EL DIAMANTE S.A.C.</t>
  </si>
  <si>
    <t>P &amp; P CONSULTORES Y EJECUTORES S.R.L.</t>
  </si>
  <si>
    <t>ENVASES CAROLINA S.A.C.</t>
  </si>
  <si>
    <t>VOESTALPINE HIGH PERFORMANCE METALS DEL PERU S.A.</t>
  </si>
  <si>
    <t>1930003060009</t>
  </si>
  <si>
    <t>EQUIFAX PERU S.A.</t>
  </si>
  <si>
    <t>ESTRONGER E.I.R.L.</t>
  </si>
  <si>
    <t>VARGAS LUQUE ORESTES</t>
  </si>
  <si>
    <t>MENDOZA PILCO YONY BETTY</t>
  </si>
  <si>
    <t>40503218673072</t>
  </si>
  <si>
    <t>MALVEX DEL PERU S.A.</t>
  </si>
  <si>
    <t>MEXICHEM PERU S.A.</t>
  </si>
  <si>
    <t>SUPO SARAYASI VALENTIN BERNARDINO</t>
  </si>
  <si>
    <t>21516722223030</t>
  </si>
  <si>
    <t>MARIOS MUELLES S.A.C.</t>
  </si>
  <si>
    <t>QUERALES RIVERO ELVIS ENRIQUE</t>
  </si>
  <si>
    <t>PESQUERA DIAMANTE S.A.</t>
  </si>
  <si>
    <t>ACTIVA SERVICIOS GASTRONOMICOS S.R.L.</t>
  </si>
  <si>
    <t>TALLERES LUCAS PERÚ S.A.C.</t>
  </si>
  <si>
    <t>1919282785002</t>
  </si>
  <si>
    <t>CONSORCIO PUENTES DEL NORTE</t>
  </si>
  <si>
    <t>HG TRANSPORTE LOGISTICA S.A.C.</t>
  </si>
  <si>
    <t>INVERSIONES CORPORATIVAS FLORES HERMANOS S.A.C.</t>
  </si>
  <si>
    <t>CARMEN INMUEBLES S.A.</t>
  </si>
  <si>
    <t>TORRES CARDENAS MARIA LIDIA</t>
  </si>
  <si>
    <t>19102444157044</t>
  </si>
  <si>
    <t>AQAMBIENTA S.A.C.</t>
  </si>
  <si>
    <t>FIERROS CENTER &amp; METALES INDUSTRIALES SOCIEDAD ANONIMA CERRADA-FICEMIN S.A.C.</t>
  </si>
  <si>
    <t>AUTOPROYECT E.I.R.L.</t>
  </si>
  <si>
    <t>PFOCCO ZUNIGA YASMINA</t>
  </si>
  <si>
    <t>TRANSERVIS ENVIOS S.A.C.</t>
  </si>
  <si>
    <t>LIVISSI CONSTRUCCIONES E.I.R.L.</t>
  </si>
  <si>
    <t>SKY HIGH SOCIEDAD ANONIMA CERRADA - SKY HIGH S.A.C.</t>
  </si>
  <si>
    <t>2152174861008</t>
  </si>
  <si>
    <t>REALM HUAMANI ENGINEERS S.A.C.</t>
  </si>
  <si>
    <t>COAQUIRA PAUCAR MARK FRANK</t>
  </si>
  <si>
    <t>TU SEMILLA E.I.R.L.</t>
  </si>
  <si>
    <t>BANDA QUISPE CESAR CLAUDIO</t>
  </si>
  <si>
    <t>OLVA COURIER S.A.C.</t>
  </si>
  <si>
    <t>COMERCIALIZACION Y SERVICIOS EL EDEN S.A.C.</t>
  </si>
  <si>
    <t>SHALOM EMPRESARIAL S.A.C.</t>
  </si>
  <si>
    <t>MINIMARKET LAS BERMUDAS E.I.R.L.</t>
  </si>
  <si>
    <t>DISTRIBUCIONES PASO SEGURO B &amp; A E.I.R.L.</t>
  </si>
  <si>
    <t>COMPAÑIA FOOD RETAIL S.A.C.</t>
  </si>
  <si>
    <t>AREQUIPA EXPRESO MARVISUR EIRL</t>
  </si>
  <si>
    <t>AZ ARQUITECTOS E.I.R.L.</t>
  </si>
  <si>
    <t>EMPRESA DE TRANSPORTES LAGUNA E.I.R.L.</t>
  </si>
  <si>
    <t>DRIVEN CAPITAL S.A.C.S.</t>
  </si>
  <si>
    <t>00320000300601285733</t>
  </si>
  <si>
    <t>HUAMANI MAMANI HUBER ANTHONY</t>
  </si>
  <si>
    <t>2153605456063</t>
  </si>
  <si>
    <t>TJM EQUIPOS Y CONSTRUCCION S.C.R.L.</t>
  </si>
  <si>
    <t>COESTI S.A.</t>
  </si>
  <si>
    <t>VARIOS (MASIVO)</t>
  </si>
  <si>
    <t>LATINOAMERICANA EIR LTDA</t>
  </si>
  <si>
    <t>FLORES AMPUERO SILVIA REBECA</t>
  </si>
  <si>
    <t>TITO MAMANI EVA</t>
  </si>
  <si>
    <t>R &amp; R CONSULTORIAS Y ASESORIAS EIRL</t>
  </si>
  <si>
    <t>MAYUGO EDUCATION SOCIEDAD ANONIMA CERRADA</t>
  </si>
  <si>
    <t>LA POSITIVA VIDA SEGUROS Y REASEGUROS</t>
  </si>
  <si>
    <t>SEAL</t>
  </si>
  <si>
    <t>SEDAPAL</t>
  </si>
  <si>
    <t>TELEFONICA DEL PERU SAA</t>
  </si>
  <si>
    <t>LUZ DEL SUR S.A.A.</t>
  </si>
  <si>
    <t>CHOPERS DISTRIBUCIONES E.I.R.L.</t>
  </si>
  <si>
    <t>AMERICA MOVIL PERU S.A.C.</t>
  </si>
  <si>
    <t>PLASTIGESA E.I.R.L.</t>
  </si>
  <si>
    <t>SEDAPAR S.A.</t>
  </si>
  <si>
    <t>CASA CROWN S.A.C.</t>
  </si>
  <si>
    <t>AGUILAR CHOQUEVILCA DANIEL EDWARD</t>
  </si>
  <si>
    <t>FUMISERVIS SOLUCIONES J &amp; E E.I.R.L.</t>
  </si>
  <si>
    <t>ORGANIZACION IBEROAMERICANA DE SEGURIDAD</t>
  </si>
  <si>
    <t>INVERSIONES Y ARTICULOS PUBLICITARIOS R &amp; E S.A.C.</t>
  </si>
  <si>
    <t>IMPORTADORA CITSA SAC</t>
  </si>
  <si>
    <t>GRUPO GODPRO E.I.R.L.</t>
  </si>
  <si>
    <t>CRC CONSULTORES Y ASOCIADOS S.A.C</t>
  </si>
  <si>
    <t>ACEROS COMERCIALES S C R L</t>
  </si>
  <si>
    <t>ALTO IMPACTO PUBLICIDAD S.R.L.</t>
  </si>
  <si>
    <t>RAM'D S.A.C.</t>
  </si>
  <si>
    <t>HUALLA SANCHEZ GUSTAVO PAUL</t>
  </si>
  <si>
    <t>GROUP DISUR PERU E.I.R.L.</t>
  </si>
  <si>
    <t>GRUPO LAMH S.R.L.</t>
  </si>
  <si>
    <t xml:space="preserve"> 2152488174086</t>
  </si>
  <si>
    <t>MARNIC MARKETING CONSULTING E.I.R.L.</t>
  </si>
  <si>
    <t>HIDROFLUID SERVICE SOCIEDAD ANONIMA CERRADA - HIDROFLUID SERVICE SAC</t>
  </si>
  <si>
    <t>GRUPO RIVIERA CC E.I.R.L.</t>
  </si>
  <si>
    <t>GRUPO MD LIDER CRUZ S.A.C.</t>
  </si>
  <si>
    <t>IGNITE LABS S.A.C.</t>
  </si>
  <si>
    <t>00320000300632467033</t>
  </si>
  <si>
    <t>CONSTRUCTORA MULTIPROM INGINEERING Y CONSTRUCTION S.A.C.</t>
  </si>
  <si>
    <t>SERVICIOS EMPRESARIALES DE CERTIFICACION S.A.C.</t>
  </si>
  <si>
    <t>NUÑONCA MARAÑON NOEMI</t>
  </si>
  <si>
    <t>NEGOCIACIONES ABBYCORP E.I.R.L.</t>
  </si>
  <si>
    <t>AROSTEGUI ABARCA CELIZ MAURO</t>
  </si>
  <si>
    <t>MAVI PLASTIC EIRL</t>
  </si>
  <si>
    <t>PUBLICIDAD DIGITAL PERU E.I.R.L. - PD PERU E.I.R.L.</t>
  </si>
  <si>
    <t>SERVICIOS AUTOMOTRICES FALCAR SOCIEDAD COMERCIAL DE RESPONSABILIDAD LIMITADA - FALCAR S.R.L.</t>
  </si>
  <si>
    <t>EDTSA GROUP S.A.C.</t>
  </si>
  <si>
    <t>NARVAEZ PACHECO JUAN SERGIO</t>
  </si>
  <si>
    <t>LA POSITIVA SEGUROS Y REASEGUROS S.A.A.</t>
  </si>
  <si>
    <t>DERTEANO HORMAECHE ALFONSO</t>
  </si>
  <si>
    <t xml:space="preserve">LEON CORNEJO NAYSHA FABIOLA       </t>
  </si>
  <si>
    <t xml:space="preserve">MURILLO CALSIN JORDAN EDHER FRANKLIN                                                                </t>
  </si>
  <si>
    <t xml:space="preserve">QUEQUE ANCO ALONSO MIGUEL                                                                           </t>
  </si>
  <si>
    <t xml:space="preserve">BEGAZO ARISPE CESAR JAVIER                                                                          </t>
  </si>
  <si>
    <t>MARTINEZ MARTINEZ ALEXANDRA MIRTHA</t>
  </si>
  <si>
    <t>ZAMATA QUISPE GABINA</t>
  </si>
  <si>
    <t>PACHECO BELLIDO BERNIDO</t>
  </si>
  <si>
    <t>MAMANI MAMANI JUSTO ANGEL</t>
  </si>
  <si>
    <t>TUNQUIPA HUAMANI VERONICA</t>
  </si>
  <si>
    <t>FERNANDEZ ARCE GUSTAVO WILFREDO</t>
  </si>
  <si>
    <t>ALVAREZ CRUZ MATHIAS ANDERSON</t>
  </si>
  <si>
    <t>HUARSOCA COAQUIRA WILSON AMERICO</t>
  </si>
  <si>
    <t>ROQUE BORDIJUELA GROVER</t>
  </si>
  <si>
    <t xml:space="preserve"> 21523671416017</t>
  </si>
  <si>
    <t xml:space="preserve">RIOS MEDINA RUBEN                                                                                   </t>
  </si>
  <si>
    <t xml:space="preserve">LEDESMA GRANADOS CESAR ARMANDO                                                                      </t>
  </si>
  <si>
    <t xml:space="preserve">CHIPA PEÑA GREGORIO                                                                                 </t>
  </si>
  <si>
    <t xml:space="preserve">TARAZONA VEGA BELI TEOBALDO                                                                         </t>
  </si>
  <si>
    <t xml:space="preserve">ALVAREZ CRUZ MATHIAS ANDERSON                                                                       </t>
  </si>
  <si>
    <t xml:space="preserve">TAIPE SARAZA CHRISTIAN DANIEL                                                                       </t>
  </si>
  <si>
    <t>ORDOÑEZ STOJKIC JELKA FERNANDA</t>
  </si>
  <si>
    <t>MANRIQUE BELTRAN ROSIO SILVIA</t>
  </si>
  <si>
    <t>RAMOS ATAUCURI YERSON ANTONIO</t>
  </si>
  <si>
    <t>QUISPE LUQUE PLACIDO LUIS</t>
  </si>
  <si>
    <t>CHALLCO CONDORI ALONSO CARLOS</t>
  </si>
  <si>
    <t>LEON CORNEJO NAYSHA FABIOLA</t>
  </si>
  <si>
    <t>SILVA COLOMA FRANKLYN MANUEL</t>
  </si>
  <si>
    <t>ARCATA QUINO JESUS WILLY</t>
  </si>
  <si>
    <t>MEDINA ESTOFANERO VANESSA JASMIN</t>
  </si>
  <si>
    <t>ESTOFANERO CONCHA ROCIO VIOLETA</t>
  </si>
  <si>
    <t>SONAPO CORONADO LIZ</t>
  </si>
  <si>
    <t>AUTOMOTRIZ CISNE S.R.L.</t>
  </si>
  <si>
    <t>M &amp; MOTORS SERVICIOS GENERALES E.I.R.L.</t>
  </si>
  <si>
    <t>SACA CHALLCO RENEE</t>
  </si>
  <si>
    <t>MITSUI AUTO FINANCE PERU S.A.</t>
  </si>
  <si>
    <t>OTROS</t>
  </si>
  <si>
    <t>MUNICIPALIDAD PROVINCIAL DE AREQUIPA</t>
  </si>
  <si>
    <t>UNIVERSIDAD CATOLICA SAN PABLO</t>
  </si>
  <si>
    <t>ASIRI MARKET RESEARCH INSIGHTS E.I.R.L.</t>
  </si>
  <si>
    <t>01117500020094843579</t>
  </si>
  <si>
    <t>GRUPO HUAMCO PERU S.A.C.</t>
  </si>
  <si>
    <t>1941467879058</t>
  </si>
  <si>
    <t>AGUILAR SHAREBA ELVIS</t>
  </si>
  <si>
    <t>ALMANZA TICONA FERNANDO ALONZO</t>
  </si>
  <si>
    <t>ALCCA SALDIVAR ANGEL</t>
  </si>
  <si>
    <t>21599131630055</t>
  </si>
  <si>
    <t>AMADO FARFAN VANNESSA DANNIELLA</t>
  </si>
  <si>
    <t>21591877091036</t>
  </si>
  <si>
    <t>ANCO VILCA ROLANDO JOSUE</t>
  </si>
  <si>
    <t>APAZA QUISPE EUCLIDES ALALI</t>
  </si>
  <si>
    <t>AQUINO COLQUEHUANCA ADAMS ANDRER</t>
  </si>
  <si>
    <t>AQUINO COLQUEHUANCA JESUS ALBERTO</t>
  </si>
  <si>
    <t>21596871721018</t>
  </si>
  <si>
    <t>ARPITA QUISPE MIGUEL ANGEL</t>
  </si>
  <si>
    <t>ASILLO CCALLO WALTER</t>
  </si>
  <si>
    <t>21531097706020</t>
  </si>
  <si>
    <t>AYALA ARROYO FRANK ANTHONY</t>
  </si>
  <si>
    <t>BALAREZO ARAUJO BRYAN DANIEL</t>
  </si>
  <si>
    <t>BALDEON ALARCON EDUARDO WILFREDO</t>
  </si>
  <si>
    <t>19103857943010</t>
  </si>
  <si>
    <t>BENGOA HITME KELLY SUZETT</t>
  </si>
  <si>
    <t>21502457155070</t>
  </si>
  <si>
    <t>BOLAÑOS VALDEZ REBECA</t>
  </si>
  <si>
    <t>21528240302054</t>
  </si>
  <si>
    <t>BUSTAMANTE GIL EYDER</t>
  </si>
  <si>
    <t>BUSTAMANTE GIL IMER</t>
  </si>
  <si>
    <t>19193001540048</t>
  </si>
  <si>
    <t>BUSTAMANTE GIL OMERO</t>
  </si>
  <si>
    <t>BUSTAMANTE GIL RUBEN</t>
  </si>
  <si>
    <t>21594236716097</t>
  </si>
  <si>
    <t>BUSTAMANTE MONTEZA ALEXANDER</t>
  </si>
  <si>
    <t>CALDERON BARRERA MARCOS GUILLERMO</t>
  </si>
  <si>
    <t>CAÑA ERNESTO ALEJANDRO</t>
  </si>
  <si>
    <t>21592744501009</t>
  </si>
  <si>
    <t>CARRASCO MOLLO MARIA DE LOS ANGELES</t>
  </si>
  <si>
    <t>21570196077023</t>
  </si>
  <si>
    <t>CARREÑO LABERIAN FRANCO FABIAN</t>
  </si>
  <si>
    <t>19102092606043</t>
  </si>
  <si>
    <t>CASTILLO TAPIA PAMELA PRICILA</t>
  </si>
  <si>
    <t>21596289827046</t>
  </si>
  <si>
    <t>CASTRO CISNEROS RUHT GLORIA</t>
  </si>
  <si>
    <t>CAYLLAHUA LOAYZA MARCO ANTONIO</t>
  </si>
  <si>
    <t>21593795987015</t>
  </si>
  <si>
    <t>CCANCCAPA MAQUE DANY EVER</t>
  </si>
  <si>
    <t>21599190004019</t>
  </si>
  <si>
    <t>CCAMA GUTIERREZ JUNIOR ALEXANDER</t>
  </si>
  <si>
    <t>21590654597094</t>
  </si>
  <si>
    <t>CCAPA CRUZ CAROLINA LIZVET</t>
  </si>
  <si>
    <t>CHINCHAY CORAS FREDY</t>
  </si>
  <si>
    <t>CONDORI CARPIO RAUL FELIX</t>
  </si>
  <si>
    <t>CORASPE CAÑA DIEGO ANTONIO</t>
  </si>
  <si>
    <t>CRISTOBAL GOBEA ELCIAS JOSE</t>
  </si>
  <si>
    <t>CRUZ QUISPE GREGORY RAYLE</t>
  </si>
  <si>
    <t>21533975108086</t>
  </si>
  <si>
    <t>CRUZ RODRIGUEZ EFRAIN</t>
  </si>
  <si>
    <t>CUELLAR CRUZ VERONICA</t>
  </si>
  <si>
    <t>DELGADILLO MORALES JUAN DIEGO</t>
  </si>
  <si>
    <t>DELGADILLO MORALES JUAN DIEGO BAJA</t>
  </si>
  <si>
    <t>DIAZ CARDENAS SERGIO RODRIGO</t>
  </si>
  <si>
    <t>ESPINOZA LOPEZ ALEX HERMINIO</t>
  </si>
  <si>
    <t>19104346784089</t>
  </si>
  <si>
    <t>FAJARDO RUGELES ABEL DAVID</t>
  </si>
  <si>
    <t>21594669706060</t>
  </si>
  <si>
    <t>FLORES AGUILAR HILLARY</t>
  </si>
  <si>
    <t>FLORES DANTAS JORGE</t>
  </si>
  <si>
    <t>GIL FERNANDEZ YOBER</t>
  </si>
  <si>
    <t>GONZALES ARIZALA ELIAS DAVID</t>
  </si>
  <si>
    <t>GONZALES HERRERA CARMEN CECILIA</t>
  </si>
  <si>
    <t>GONZALO CHAMBILLA ANA ABIGAIL</t>
  </si>
  <si>
    <t>38598145468002</t>
  </si>
  <si>
    <t>GRANDE SUASACA ROBERT ALEX</t>
  </si>
  <si>
    <t>25178425801012</t>
  </si>
  <si>
    <t>GUEDEZ CEDEÑO EFRAIN ANTONIO</t>
  </si>
  <si>
    <t>GUIZADO PORRAS RONALD ENRIQUE</t>
  </si>
  <si>
    <t>19105546365087</t>
  </si>
  <si>
    <t>GUTIERREZ ARAGON KARLY LIZ</t>
  </si>
  <si>
    <t>21572054264080</t>
  </si>
  <si>
    <t>HUAMAN RIOS JUSTO DIEGO</t>
  </si>
  <si>
    <t>19104618576026</t>
  </si>
  <si>
    <t>HUAMANI HUAMANI NAYDA</t>
  </si>
  <si>
    <t>21594129957059</t>
  </si>
  <si>
    <t>Trabajador</t>
  </si>
  <si>
    <t>HUANUCO ORTEGA CRISTIAN MANUEL</t>
  </si>
  <si>
    <t>19104374314098</t>
  </si>
  <si>
    <t>INOUE GUEVARA JOSE GABRIEL</t>
  </si>
  <si>
    <t>JAVA SAAVEDRA KITMAN VICENTE</t>
  </si>
  <si>
    <t>19132382244036</t>
  </si>
  <si>
    <t>JIBAJA RONDON VALERIA NICOLLE</t>
  </si>
  <si>
    <t>38505496632020</t>
  </si>
  <si>
    <t>LAZARTE AGUIRRE CRISSLEY</t>
  </si>
  <si>
    <t>21538751182003</t>
  </si>
  <si>
    <t>LAZO CHAVEZ DEREK ENRIQUE</t>
  </si>
  <si>
    <t>LEON WILLIAN JOHAN</t>
  </si>
  <si>
    <t>19171957415055</t>
  </si>
  <si>
    <t>LLERENA PACHECO KARLA</t>
  </si>
  <si>
    <t>LLERENA URDAY BRANDON LUIS</t>
  </si>
  <si>
    <t>LOAYZA MEDINA MARYMAR ELYZABETH</t>
  </si>
  <si>
    <t>MAMANI JACINTO EDGAR</t>
  </si>
  <si>
    <t>MAMANI LIMACHE DIEGO ARMANDO</t>
  </si>
  <si>
    <t>19138621215027</t>
  </si>
  <si>
    <t>MÁRQUEZ AVILA FERNANDO JESÚS</t>
  </si>
  <si>
    <t>21596160446059</t>
  </si>
  <si>
    <t>MOLLEAPAZA FRANCIA NELSON JESUS</t>
  </si>
  <si>
    <t>MOLLER CUTIRE ALEJANDRA MICHELLE</t>
  </si>
  <si>
    <t>MONTEZA BUSTAMANTE JUBER</t>
  </si>
  <si>
    <t>21519235224015</t>
  </si>
  <si>
    <t>MONTEZA BUSTAMANTE NEIVER</t>
  </si>
  <si>
    <t>21536419327094</t>
  </si>
  <si>
    <t>ONOFRE HUAMANCHOQUE CELESTINA</t>
  </si>
  <si>
    <t>ORTIZ MARIÑO ANDREA ESTELA</t>
  </si>
  <si>
    <t>OVIEDO LOPEZ FIORELLA ANABEL</t>
  </si>
  <si>
    <t>PACO PAUCCARA ELIAS GUSTAVO</t>
  </si>
  <si>
    <t>21597745475097</t>
  </si>
  <si>
    <t>PACORI VILCA LUIS ALBERTO</t>
  </si>
  <si>
    <t>PAREDES GOMEZ KARINA MILAGROS</t>
  </si>
  <si>
    <t>PAREDES MONTESINO CINTHIA KARINA</t>
  </si>
  <si>
    <t>21523436836067</t>
  </si>
  <si>
    <t>PARI LARICO GISELA TRINIDAD</t>
  </si>
  <si>
    <t>21506314172047</t>
  </si>
  <si>
    <t>PARI LARICO SUSAN ELIZABETH</t>
  </si>
  <si>
    <t>PAUCAR LLALLIRE EZEQUIEL MARTIN</t>
  </si>
  <si>
    <t>PEREYRA ORTEGA SERGIO JUAN ALFONSO</t>
  </si>
  <si>
    <t>PEREZ JAEN MARCO ANTONIO</t>
  </si>
  <si>
    <t>PINEDA CAYAMA OSCAR JAVIER</t>
  </si>
  <si>
    <t>POMA ALVAREZ GABRIELA</t>
  </si>
  <si>
    <t>PONCE FEBRES GLEEN STEV</t>
  </si>
  <si>
    <t>21596340416047</t>
  </si>
  <si>
    <t>PORTERO TOMAS ROCKY LEONIDAS</t>
  </si>
  <si>
    <t>21506048581073</t>
  </si>
  <si>
    <t>PRIETO ALCCA EBERT</t>
  </si>
  <si>
    <t>21591771321099</t>
  </si>
  <si>
    <t>PRIETO ALCCA RAUL</t>
  </si>
  <si>
    <t>PRIETO ROJAS INOCENCIO</t>
  </si>
  <si>
    <t>21592924388012</t>
  </si>
  <si>
    <t>QUEQUE ANCO JORGE LUIS</t>
  </si>
  <si>
    <t>21537153808095</t>
  </si>
  <si>
    <t>QUISPE ARVIRI EDWIN LUCIO</t>
  </si>
  <si>
    <t>21504067736020</t>
  </si>
  <si>
    <t>QUISPE CCAPA NELSON GREGORIO</t>
  </si>
  <si>
    <t>21596199323028</t>
  </si>
  <si>
    <t>QUISPE OROPEZA RODRIGO ALEXANDER</t>
  </si>
  <si>
    <t>QUISPE PRIETO HEFER</t>
  </si>
  <si>
    <t>21590747768006</t>
  </si>
  <si>
    <t>QUISPE PRIETO JOEL GERALDO</t>
  </si>
  <si>
    <t>QUISPE PRIETO WILBER</t>
  </si>
  <si>
    <t>21537890375001</t>
  </si>
  <si>
    <t>RAMIREZ QUISPE DEIVID RUSBEL</t>
  </si>
  <si>
    <t>RAMIREZ FLORES KARINA ALEXANDRA</t>
  </si>
  <si>
    <t>21507214815088</t>
  </si>
  <si>
    <t>RAMOS RIVAS ROY MARCIAL</t>
  </si>
  <si>
    <t>21590704600003</t>
  </si>
  <si>
    <t>REYES ANDRADE JOHN KEVIN</t>
  </si>
  <si>
    <t>19193078082062</t>
  </si>
  <si>
    <t>RODRIGUEZ GALLEGOS ALISON NATIVIDAD</t>
  </si>
  <si>
    <t>21595427356063</t>
  </si>
  <si>
    <t>ROSPIGLIOSI MANRIQUE NATALIA SOMMER</t>
  </si>
  <si>
    <t>21504066855030</t>
  </si>
  <si>
    <t>ROJAS VEGA GENESIS MILAGROS</t>
  </si>
  <si>
    <t>SALCEDO CASTRO KAROL RAQUEL</t>
  </si>
  <si>
    <t>SALCEDO SALCEDO IBANES IVAN</t>
  </si>
  <si>
    <t>SALCEDO SALCEDO RONALD DONATO</t>
  </si>
  <si>
    <t>21572438200094</t>
  </si>
  <si>
    <t>SALCEDO SALCEDO RONALD RONALDIÑO</t>
  </si>
  <si>
    <t>21572438732031</t>
  </si>
  <si>
    <t>SERRANO VILLACA JUDITH STEFANY DEL PILAR</t>
  </si>
  <si>
    <t>21500552592069</t>
  </si>
  <si>
    <t>SALICIO HUAYANAY KISSEL PIAZZOLI</t>
  </si>
  <si>
    <t>SILVA MURILLO MARIA DEL ROSARIO</t>
  </si>
  <si>
    <t>SUPO SUPO ALLISON LISSET</t>
  </si>
  <si>
    <t>SUYO PRIETO ROSA RAFAELA</t>
  </si>
  <si>
    <t>21506831558059</t>
  </si>
  <si>
    <t>TAGLE LAZARTE JUAN BENJY</t>
  </si>
  <si>
    <t>21596801643032</t>
  </si>
  <si>
    <t>TARIFA MAMANI JUAN JESUS</t>
  </si>
  <si>
    <t>21594318638046</t>
  </si>
  <si>
    <t>TERAN CHACON JHOAN ENRIQUE</t>
  </si>
  <si>
    <t>TICONA CANCHA LEO ANDRE</t>
  </si>
  <si>
    <t>TUNQUIPA CHUQUIRIMAY LUIS FRANCISCO</t>
  </si>
  <si>
    <t>21502757444092</t>
  </si>
  <si>
    <t>UMPIRE DIAZ KIMBERLY AMALIA SOFIA</t>
  </si>
  <si>
    <t>VELA CRUZ JOSEPH ALBERTH</t>
  </si>
  <si>
    <t>19472357029006</t>
  </si>
  <si>
    <t>ZAPANA OQUENDO MONICA NATALI</t>
  </si>
  <si>
    <t>GARCIA CHACNAMA JHONNY JERRY</t>
  </si>
  <si>
    <t>ALCCA QUISPE THALIA JACKELINE</t>
  </si>
  <si>
    <t>TRIMAX APC INVERSIONES E.I.R.L.</t>
  </si>
  <si>
    <t>CRUZ HUARACHA CARMEN</t>
  </si>
  <si>
    <t>MULTISERVICIOS NUESTRA SRA. DE LOURDES E.I.R.L.</t>
  </si>
  <si>
    <t>GROUP LUMIMART PERU E.I.R.L.</t>
  </si>
  <si>
    <t>MAGMA PERU E.I.R.L.</t>
  </si>
  <si>
    <t>GRUPO GARCIA TOLEDO S.A.C.</t>
  </si>
  <si>
    <t>NEGOCIACIONES MULTIPLES D.E.M. &amp; LAS GEMELITAS S.C.R.L.</t>
  </si>
  <si>
    <t>CCALLPA S.A.C.</t>
  </si>
  <si>
    <t>HIPERMERCADOS TOTTUS S.A</t>
  </si>
  <si>
    <t>COVISUR S.A.</t>
  </si>
  <si>
    <t>RUTAS DE LIMA S.A.C.</t>
  </si>
  <si>
    <t>DISTRIBUCIONES Y MULTISERVICIOS COROPUNA E.I.R.L.</t>
  </si>
  <si>
    <t>FEMACO S.R.L.</t>
  </si>
  <si>
    <t>AZUL SOSTENIBLE S.A.C BIC</t>
  </si>
  <si>
    <t>FLORES &amp; BANDA ABOGADOS S.A.C.</t>
  </si>
  <si>
    <t>PULSO CORPORACION MEDICA S.A.C.</t>
  </si>
  <si>
    <t>SERVICIOS GENERALES H Y M LA COLINA AQP E.I.R.L.</t>
  </si>
  <si>
    <t>QUISPE GUTIERREZ EUFRACIA</t>
  </si>
  <si>
    <t>NEUMA CENTER AMAZON S.A.C.</t>
  </si>
  <si>
    <t>CIFREN E.I.R.L.</t>
  </si>
  <si>
    <t>JOSE MARCELO REPRESENTACIONES E.I.R.L.</t>
  </si>
  <si>
    <t>VALENCIA GUTIERREZ ZOILA VIRGINIA</t>
  </si>
  <si>
    <t>RODRIGUEZ CCOMPI NATTY</t>
  </si>
  <si>
    <t>REPUESTOS Y MAQUINARIAS S.A.</t>
  </si>
  <si>
    <t>PARI RODRIGUEZ KAROL LICET</t>
  </si>
  <si>
    <t>AGREGADOS DARWIN E.I.R.L.</t>
  </si>
  <si>
    <t>TRANSPORTES HERMAN S.R.L.</t>
  </si>
  <si>
    <t>GUZMAN ZUÑIGA KATHIA DANIELA</t>
  </si>
  <si>
    <t>DE LA CRUZ SOLIER ALDO RONALDO</t>
  </si>
  <si>
    <t>RECICLADORA LAS LOMAS E.I.R.L.</t>
  </si>
  <si>
    <t>LARICO APAZA NANCY ROSSMARY</t>
  </si>
  <si>
    <t>TRELLES MAMANI ELMER</t>
  </si>
  <si>
    <t>REVOLLO BUSTINZA JORGE LUIS</t>
  </si>
  <si>
    <t>DISTRIBUIDORA AREQUIPA MAJES E.I.R.L.</t>
  </si>
  <si>
    <t>REPUESTOS NUEVA ERA E.I.R.L.</t>
  </si>
  <si>
    <t>G Y A MULTISERVICIOS EL TREBOL S.R.L.</t>
  </si>
  <si>
    <t>REMINSUR S.R.L.</t>
  </si>
  <si>
    <t>CONCESIONARIA PERUANA DE VIAS-COVINCA S.A.</t>
  </si>
  <si>
    <t>MELENDEZ CHALLCO ALBERTO</t>
  </si>
  <si>
    <t>GRUPO EMPRESARIAL MDM E.I.R.L.</t>
  </si>
  <si>
    <t>NO ESPECIFICADO</t>
  </si>
  <si>
    <t>MONTENEGRO LOPEZ EMILIANO ALCIDES</t>
  </si>
  <si>
    <t>MARQUEZ RAMOS RAMIRO</t>
  </si>
  <si>
    <t>CUADROS AHUMADA JUSTINA</t>
  </si>
  <si>
    <t>ABARCA APFATA MIGUEL ANGEL</t>
  </si>
  <si>
    <t>ALVARADO ALAMA ADRIAN</t>
  </si>
  <si>
    <t>APAZA CASTRO LUIS ALFREDO</t>
  </si>
  <si>
    <t>AYMA PURHUAYA MARITZA JUANA</t>
  </si>
  <si>
    <t>CARDENAS MAYTA MARCO ANTONIO</t>
  </si>
  <si>
    <t>QUISPE HUISACAYNA DANIEL JULINHO</t>
  </si>
  <si>
    <t>SOLIS FLORIDO ESTEBAN MIGUEL</t>
  </si>
  <si>
    <t>TINUCO TORRES ROMARIO</t>
  </si>
  <si>
    <t>VELASQUEZ CONDORI JOEL JONATHAN</t>
  </si>
  <si>
    <t>VIZA CACERES WAY BRIAN</t>
  </si>
  <si>
    <t>PAUCCARA CONDORI ALFREDO JULIAN</t>
  </si>
  <si>
    <t>21598849098067</t>
  </si>
  <si>
    <t>SERVICONSTRUYE S.A.C.</t>
  </si>
  <si>
    <t>GRIFOS PEBSA S.A.</t>
  </si>
  <si>
    <t>JLU REPRESENTACIONES E.I.R.L.</t>
  </si>
  <si>
    <t>JAHUIRA CALDERON HELGA DANITZA</t>
  </si>
  <si>
    <t>ZONA ESPECIAL DE DESARROLLO ZED MATARANI</t>
  </si>
  <si>
    <t>TURISMO INTERNACIONAL PALOMINO S.A.C.</t>
  </si>
  <si>
    <t>MAKRO SUPERMAYORISTA S.A.</t>
  </si>
  <si>
    <t>GONZALES CABRERA JUAN MIGUEL</t>
  </si>
  <si>
    <t>KEROS AQP E.I.R.L.</t>
  </si>
  <si>
    <t>RODRIGUEZ PUTAPAÑA JUAN LUIS</t>
  </si>
  <si>
    <t>VEMINS SERVICIOS GASTRONOMICOS E.I.R.L.</t>
  </si>
  <si>
    <t>CARRETERA ANDINA DEL SUR S.A.C.</t>
  </si>
  <si>
    <t>GUEVARA PEREZ MARIA</t>
  </si>
  <si>
    <t>ORDOÑEZ CORNEJO SERGIO RAUL</t>
  </si>
  <si>
    <t>YEPEZ RAMOS KAROLL MARILIA</t>
  </si>
  <si>
    <t>PACIFICO COMPAÑIA DE SEGUROS Y REASEGUROS</t>
  </si>
  <si>
    <t>CONCESIONARIA VIAL DEL PERU S.A</t>
  </si>
  <si>
    <t>PROVIAS NACIONAL</t>
  </si>
  <si>
    <t>R.E.T. &amp; SAN S.R.L.</t>
  </si>
  <si>
    <t>YATACO FLORES JUAN DE DIOS</t>
  </si>
  <si>
    <t>MOROCCO HUANCA DORIS</t>
  </si>
  <si>
    <t>HURTADO HUAMAN CARMINA AUDELIA</t>
  </si>
  <si>
    <t>PERUVIAN GROUP FREDAL S.A.C</t>
  </si>
  <si>
    <t>MENDEZ MAMANI EDUARDO VICTOR GABRIEL</t>
  </si>
  <si>
    <t>GRUPO TERAN S.A.C</t>
  </si>
  <si>
    <t>LA POSITIVA S.A. ENTIDAD PRESTADORA DE SALUD</t>
  </si>
  <si>
    <t>SALCEDO ARMUTO DE DELGADO BENIGNA</t>
  </si>
  <si>
    <t>LOGAL GROUP AQP S.R.L.</t>
  </si>
  <si>
    <t>ALEXANDER COMPUTER S.R.L. - ALECOM S.R.L.</t>
  </si>
  <si>
    <t>LLAMO FLORES CARLOS MANUEL</t>
  </si>
  <si>
    <t>MAQUERA NAVEZ OSCAR NICANOR</t>
  </si>
  <si>
    <t>RODRIGUEZ ROJAS WILDER CARLOS</t>
  </si>
  <si>
    <t>GENOVEZ BERNO ESTEFANI ADRIANA</t>
  </si>
  <si>
    <t>CONDORI SUPO PABLO VIRGILIO</t>
  </si>
  <si>
    <t>21532293299089</t>
  </si>
  <si>
    <t>BANCO DE CREDITO DEL PERU</t>
  </si>
  <si>
    <t>RAMIREZ CARDENAS ARMANDO ANGEL</t>
  </si>
  <si>
    <t>CABANA VALDIVIA DAVID SALOMON</t>
  </si>
  <si>
    <t>SERVICENTRO SANTA MARTHA E.I.R.LTDA.</t>
  </si>
  <si>
    <t>SANCHEZ ORMACHEA MAGDALENA RAISA</t>
  </si>
  <si>
    <t>LAZARTE QUISPE ELVIS WALDIR</t>
  </si>
  <si>
    <t>CHAHUA CACERES JEAN PIERRE</t>
  </si>
  <si>
    <t>FACTORING PRESTAMYPE S.A.C.</t>
  </si>
  <si>
    <t>CAMERO CARNERO DANIELA ESTHER</t>
  </si>
  <si>
    <t>MOLINA CHAVEZ SALVADOR JOAQUIN</t>
  </si>
  <si>
    <t>ALCCA SALDIVAR DANIEL</t>
  </si>
  <si>
    <t>A &amp; M SOLUCIONES E.I.R.L.</t>
  </si>
  <si>
    <t>PAUCAR PRADO ALEXIS LORENZO</t>
  </si>
  <si>
    <t>HINOSTROZA RAMIREZ JOEL ALEXANDER</t>
  </si>
  <si>
    <t>SAFECON PERU E.I.R.L.</t>
  </si>
  <si>
    <t>HUILLCA CCONISLLA JOSE CARLOS</t>
  </si>
  <si>
    <t>VASQUEZ ASTOCONDOR TONY BAKER</t>
  </si>
  <si>
    <t>E &amp; M SEÑALIZACIONES S.A.C.</t>
  </si>
  <si>
    <t>FONBIENES PERU EMPRESA ADMINISTRADORA DE FONDOS COLECTIVOS S.A.</t>
  </si>
  <si>
    <t>CORPORACION INDUSTRIAL CES S.A.C.</t>
  </si>
  <si>
    <t>TRANSPORTES EXPRESS Y TURISMO JEAN BUSS S.C.R.L.</t>
  </si>
  <si>
    <t>MAMANI PACCO ERICK ROMULO</t>
  </si>
  <si>
    <t>HARET CORPORACIÓN CHALHUAYANI E.I.R.L.</t>
  </si>
  <si>
    <t>ESPINOZA BRITTO TRADING PERU E.I.R.L.</t>
  </si>
  <si>
    <t>LIBRERIAS PANDORA E.I.R.L.</t>
  </si>
  <si>
    <t>CHAVEZ PINO JOSE FRANCISCO</t>
  </si>
  <si>
    <t>CORONEL CCASANI DAVID KILLER</t>
  </si>
  <si>
    <t>FLORES CLAVIJO ANGEL ALFONSO</t>
  </si>
  <si>
    <t>GOMEZ TTITO NICK ALEXSANDRO</t>
  </si>
  <si>
    <t>HUANUCO ORTEGA JACK MANUEL</t>
  </si>
  <si>
    <t>HUAMANI HUAMANI MARY LUZ</t>
  </si>
  <si>
    <t>HUAYTA MAMANI YENS ALEJANDRO</t>
  </si>
  <si>
    <t>LEÓN CHAVEZ JOHAN JOEL</t>
  </si>
  <si>
    <t>QUINTANILLA RIVERA HEBER FREDLET</t>
  </si>
  <si>
    <t>SUPO QUISPE RONALD HUMBERTO</t>
  </si>
  <si>
    <t>VASQUEZ MACHACA ERICK JOEL</t>
  </si>
  <si>
    <t>CONSA HUAYTAPUMA AGUSTIN</t>
  </si>
  <si>
    <t>HANCO ZELA BRAYAN GUSTAVO</t>
  </si>
  <si>
    <t>ROMERO CAMA ROXANA</t>
  </si>
  <si>
    <t>ESTRELLA GOLD PERU S.A.C.</t>
  </si>
  <si>
    <t>SANCHEZ RICO INGENIERIA Y CONSTRUCCION S.A.C.</t>
  </si>
  <si>
    <t>H &amp; P MANGUERAS Y CONEXIONES S.A.C.</t>
  </si>
  <si>
    <t>FLORES FLORES DOLORES MARIA</t>
  </si>
  <si>
    <t>ELIBEM IMPORT E.I.R.L.</t>
  </si>
  <si>
    <t>GASOLINERA LA PARCELA 45 S.A.C.</t>
  </si>
  <si>
    <t>EMPRESA DE TRANSPORTES PERU BUS S.A.</t>
  </si>
  <si>
    <t>SILVA ACHTAR ROGER KONRRAC</t>
  </si>
  <si>
    <t>EMP CAPLINA TRANSP TURISTIC INTERNAC SRL</t>
  </si>
  <si>
    <t>CRECE NEGOCIOS S.A.C.</t>
  </si>
  <si>
    <t>WIRELESS CONEXIÓN E.I.R.L.</t>
  </si>
  <si>
    <t>MENDOZA SANCHEZ DEYSI</t>
  </si>
  <si>
    <t>GARCIA RAMOS HOTMAR PEDRO</t>
  </si>
  <si>
    <t>BERNAL TODCO LUIS ALBERTO</t>
  </si>
  <si>
    <t>21595898514080</t>
  </si>
  <si>
    <t>QUISPE CALDERON LUCILA</t>
  </si>
  <si>
    <t>LLAIQUI CHUQUIPUMA MARTHA PATRICIA</t>
  </si>
  <si>
    <t>ICOMPUTEC E.I.R.L.</t>
  </si>
  <si>
    <t>S &amp; M ELECTRONICS E.I.R.L.</t>
  </si>
  <si>
    <t>EL CUSQUEÑITO DEL BUEN SAZON E.I.R.L.</t>
  </si>
  <si>
    <t>INVERLIG E.I.R.L.</t>
  </si>
  <si>
    <t>TORRES QUISPE MEDALY XIMENA</t>
  </si>
  <si>
    <t>ROMERO AROCUTIPA BRIGIDA MARGOTT</t>
  </si>
  <si>
    <t>MAMANI COLQUEHUANCA MIRIAM</t>
  </si>
  <si>
    <t>YUNKATEX MODA S.R.L.</t>
  </si>
  <si>
    <t>DLUZNIEWSKI RODRIGUEZ JULIO CESAR</t>
  </si>
  <si>
    <t>INFANTES COAGUILA FELIX OCTAVIO</t>
  </si>
  <si>
    <t>CONFECCIONES SUKER JEANS S.A.C.</t>
  </si>
  <si>
    <t>GLOBAL ACTIVA S.R.L.</t>
  </si>
  <si>
    <t>LIMA EXPRESA S.A.C.</t>
  </si>
  <si>
    <t>MENDOZA JUSTO YNES ERODITA</t>
  </si>
  <si>
    <t>LAVADO OCHOA JAIME ANDRES</t>
  </si>
  <si>
    <t>GUADALUPE VEGA ROSA ALVINA</t>
  </si>
  <si>
    <t>DE LA CRUZ AVALOS BALTAZAR</t>
  </si>
  <si>
    <t>SUCASACA SUCAPUCA WILLIAMS</t>
  </si>
  <si>
    <t>RIVERA PALOMINO LUIS ALDAIR</t>
  </si>
  <si>
    <t>ELEO ARQUITECTURA Y CONSTRUCCION S.A.C</t>
  </si>
  <si>
    <t>COSAPI MINERIA S.A.C.</t>
  </si>
  <si>
    <t>CORPORACION VIA UNOO S.A.C.</t>
  </si>
  <si>
    <t>INVERSIONES AYRVAN E.I.R.L.</t>
  </si>
  <si>
    <t>TRANSPORTES MOSCOSO ITZEL E.I.R.L.</t>
  </si>
  <si>
    <t>21504602786074</t>
  </si>
  <si>
    <t>RESTAURANT CAMPESTRE SULÚ E.I.R.L.</t>
  </si>
  <si>
    <t>QUISPE QUISPE MIGUEL DAVID</t>
  </si>
  <si>
    <t>GERENCIA REGIONAL DE SALUD DEL GOBIERNO REGIONAL DE AREQUIPA</t>
  </si>
  <si>
    <t>CHAMBI VILCAPE LUISA ZORAIDA</t>
  </si>
  <si>
    <t>MINISTERIO DE TRANSPORTES Y COMUNICACIONES</t>
  </si>
  <si>
    <t>MINISTERIO DEL AMBIENTE</t>
  </si>
  <si>
    <t>AUTORIDAD AUTONOMA DE MAJES</t>
  </si>
  <si>
    <t>NOVAARECY E.I.R.L.</t>
  </si>
  <si>
    <t>MULTISERVICIOS FRANK H &amp; B S.A.C.</t>
  </si>
  <si>
    <t>CASTAÑEDA PACHECO VDA DE VILLALBA ZOILA MARCELA</t>
  </si>
  <si>
    <t>CALDERON GONZA ROSMERY</t>
  </si>
  <si>
    <t>ENRIQUEZ ZUBIZARRETA BIRSHA MADAI</t>
  </si>
  <si>
    <t>CRUZ RAYMUNDO ERNESTINA FELICINDA</t>
  </si>
  <si>
    <t>SANCHEZ VENTURA GUSTAVO</t>
  </si>
  <si>
    <t>CHUMPITAZ AYALA PAULINA ALEJANDRINA</t>
  </si>
  <si>
    <t>DELGADO HUANCA NEILA</t>
  </si>
  <si>
    <t>SULLCA CURI JENNY MARGOT</t>
  </si>
  <si>
    <t>VINA MELGAREJO CONSORCIO LAZARO</t>
  </si>
  <si>
    <t>ARROYO MELCHOR JANY DEYSI</t>
  </si>
  <si>
    <t>DELGADO TAIPE ROSA ATENAS</t>
  </si>
  <si>
    <t>VALLE DEL SONDONDO EXPEDITIONS E.I.R.L</t>
  </si>
  <si>
    <t>BARZAYA MOLLO TERESA</t>
  </si>
  <si>
    <t>OJEDA CENTENO JAZMINE ESTEFANI</t>
  </si>
  <si>
    <t>CRUZ RAYMUNDO EUSEBIO</t>
  </si>
  <si>
    <t>NAVARRO MONTOYA ROXANA ROSALY</t>
  </si>
  <si>
    <t>HILARIO DE HUAITA JUANA CORINA</t>
  </si>
  <si>
    <t>QUISPE DEMANUEL CARLA LIZET</t>
  </si>
  <si>
    <t>FLORES SIAS EDWIN EDWARDS</t>
  </si>
  <si>
    <t>MARTINEZ OSCURIMA MIGUEL ANGEL</t>
  </si>
  <si>
    <t>COLAN CANALES OSCAR</t>
  </si>
  <si>
    <t>VILCA JARA ENMA GUISELI</t>
  </si>
  <si>
    <t>C &amp; D PADMOT E.I.R.L.</t>
  </si>
  <si>
    <t>BALANZA JOSFEL S.A.C.</t>
  </si>
  <si>
    <t>TORRES CARDENAS CARLOS ANTONIO</t>
  </si>
  <si>
    <t>SERVICENTRO GARLUFAK E.I.R.L.</t>
  </si>
  <si>
    <t>PACHECO RODRIGUEZ LIBERIO</t>
  </si>
  <si>
    <t>INVERSIONES URBANISTICAS OPERADORA S.A.</t>
  </si>
  <si>
    <t>QUISPE CHAVEZ FRIOLERA JIMENA</t>
  </si>
  <si>
    <t>PARIONA JAYO CARMEN ROSA</t>
  </si>
  <si>
    <t>INVERSIONES PAITITI S.R.L.</t>
  </si>
  <si>
    <t>GRIFO PETROMAR S.A.C.</t>
  </si>
  <si>
    <t>HOSTARC INN E.I.R.L.</t>
  </si>
  <si>
    <t>INVERSIONES OP EXTREMOS S.C.R.L.</t>
  </si>
  <si>
    <t>HUAYLLA ARHUIRI FELICITAS</t>
  </si>
  <si>
    <t>HIGHER E.I.R.L.</t>
  </si>
  <si>
    <t>01122300020106417450</t>
  </si>
  <si>
    <t>RODRIGUEZ QUISPE JOSELYN YANETH</t>
  </si>
  <si>
    <t>QUISPE CUTIMBO EFRAIN JUAN</t>
  </si>
  <si>
    <t>CCALLO CCAHUANA MARCIAL</t>
  </si>
  <si>
    <t>ZELIG INGENIEROS S.A.C.</t>
  </si>
  <si>
    <t>CISTEC S.A.C.</t>
  </si>
  <si>
    <t>1932320669099</t>
  </si>
  <si>
    <t>CONGACHI GOMEZ VICTORIA</t>
  </si>
  <si>
    <t>JDP INVERSIONES MINERA S.A.C.</t>
  </si>
  <si>
    <t>DOBLE A FACTORI AQP E.I.R.L.</t>
  </si>
  <si>
    <t>CHUHUI BARRIENTOS CLAUDIO</t>
  </si>
  <si>
    <t>CONTRERA MARTINEZ MAILY YOHANA</t>
  </si>
  <si>
    <t>CCG TRANSPORTES MULTIGAS S.A.C.</t>
  </si>
  <si>
    <t>ANDES MOTOR PERU S.A.C.</t>
  </si>
  <si>
    <t>CORPORACION IMPORTADORA ELIDA E.I.R.L.</t>
  </si>
  <si>
    <t>GRUPO CONDOR SKC E.I.R.L.</t>
  </si>
  <si>
    <t>DON TORIBIO S.A.C.</t>
  </si>
  <si>
    <t>DREAMS INVERSIONES CORPORATIVAS E.I.R.L.</t>
  </si>
  <si>
    <t>JNB PERU S.A.C.</t>
  </si>
  <si>
    <t>CREATALENTO CAPACITACION ESPECIALIZADA E.I.R.L.</t>
  </si>
  <si>
    <t>FINANCIERA CONFIANZA S.A.A.</t>
  </si>
  <si>
    <t>BANCO INTERNACIONAL DEL PERU-INTERBANK</t>
  </si>
  <si>
    <t>BANCO BBVA PERU</t>
  </si>
  <si>
    <t>COMPAÑIA HARD DISCOUNT S.A.C.</t>
  </si>
  <si>
    <t>HOSTAL EL CLICK SOCIEDAD ANONIMA CERRADA</t>
  </si>
  <si>
    <t>DELOSI S.A.</t>
  </si>
  <si>
    <t>TRANSPORTES TRANSZELA S.R.L.T.D.A.</t>
  </si>
  <si>
    <t>COCHERA DON PEDRO E.I.R.L.</t>
  </si>
  <si>
    <t>TERAN ESPINOZA JOSE JHANAVAN</t>
  </si>
  <si>
    <t>AYALA SARMIENTO ANA LUISA</t>
  </si>
  <si>
    <t>ANCCASI QUISPE ROSMERY</t>
  </si>
  <si>
    <t>ALLE ESTACIONES S.A.C.</t>
  </si>
  <si>
    <t>GRIFO SAN IGNACIO S.A.C.</t>
  </si>
  <si>
    <t>URIBE INFANTE ANTONIO JOSE</t>
  </si>
  <si>
    <t>DIAZ SUCASAIRE GEANELLA</t>
  </si>
  <si>
    <t>INCOP INGENIEROS S.R.L.</t>
  </si>
  <si>
    <t>EXCEL: SERVICIOS GENERALES Y ACONDICIONAMIENTO S.A.C.</t>
  </si>
  <si>
    <t>CONTRATISTAS OBRAS INGENIERIA MINERIA Y SERVICIOS S.A.C. - COIMSER S.A.C.</t>
  </si>
  <si>
    <t>IMPORT DISTRIBUIDORA SENOVIA E.I.R.L.</t>
  </si>
  <si>
    <t>CAHUANA VIZCARRA MARIA TERESA</t>
  </si>
  <si>
    <t>PRODUCTOS CADYPLASTIC E.I.R.L.</t>
  </si>
  <si>
    <t>CODISAR IMPORT E.I.R.L.</t>
  </si>
  <si>
    <t>LIBRERIA VICTORIA S.R.L.</t>
  </si>
  <si>
    <t>LAYME YOVANNA NELLY</t>
  </si>
  <si>
    <t>LARICO QUISPE MARIA JULIA</t>
  </si>
  <si>
    <t>ZELA MANCHA CARMENCITA</t>
  </si>
  <si>
    <t>NEGOCIOS ANA S.R.L.</t>
  </si>
  <si>
    <t>GUTIERREZ MANTARI EDISON</t>
  </si>
  <si>
    <t>SERVICENTRO POSBEN S.A.C.</t>
  </si>
  <si>
    <t>CORPORACION MALLQUI R&amp;A S.A.C</t>
  </si>
  <si>
    <t>COMERCIAL JUANA COMERCIALIZADORA Y SERVICIOS DE EMPRESA INDIVIDUAL DE RESPONSABILIDAD LIMITADA</t>
  </si>
  <si>
    <t>BATERIAS GLOBAL E.I.R.L.</t>
  </si>
  <si>
    <t>COMERSUR AREQUIPA S.A.C.</t>
  </si>
  <si>
    <t>J &amp; S JOANSEBAS PAINT PERU E.I.R.L.</t>
  </si>
  <si>
    <t>PACCHA QUISPE MIGUEL ANGEL</t>
  </si>
  <si>
    <t>EMPRESA DE TRANSPORTES FRESCIA'S EXPRESS S.A.C.</t>
  </si>
  <si>
    <t>PEÑA FLORES LISBETH</t>
  </si>
  <si>
    <t>MULTI SERVICE AMERICA S.A.C.</t>
  </si>
  <si>
    <t>SOTO MONTAÑEZ YENNIFER ESMERALDA</t>
  </si>
  <si>
    <t>CONDORI TURPO NIKOLE TAMARA</t>
  </si>
  <si>
    <t>FABIAN PIZARRO HECTOR ENRRIQUE</t>
  </si>
  <si>
    <t>HUANCA HUAYTA EMANUEL HUGO</t>
  </si>
  <si>
    <t>LEON CHAVEZ JUAN JOSE</t>
  </si>
  <si>
    <t>ROMAN DELGADO GIANELLA MAJORIE</t>
  </si>
  <si>
    <t>RUIZ TORRES AUGUSTO ENRIQUE</t>
  </si>
  <si>
    <t>SARAVIA ROJAS BRANDON MARCEL</t>
  </si>
  <si>
    <t>CONDORI QUISPE NELIDA GRACIELA</t>
  </si>
  <si>
    <t>RODRIGUEZ CRUZ RICHARD MANUEL</t>
  </si>
  <si>
    <t>TRANSPORTES HERMANOS CHASQUI S.R.L.</t>
  </si>
  <si>
    <t xml:space="preserve">HOSTINGER INTERNATIONAL LTD </t>
  </si>
  <si>
    <t>INDUSTRIES CENTRALGRAF E.I.R.L.</t>
  </si>
  <si>
    <t>ECOTHANI PERU S.A.C.</t>
  </si>
  <si>
    <t>ESTOCALENKO PALOMINO JEYSEV</t>
  </si>
  <si>
    <t>HOMECENTERS PERUANOS S.A.</t>
  </si>
  <si>
    <t>GUILLEN HUAMAN LUZ MARINA</t>
  </si>
  <si>
    <t>VALDIVIA VALDERRAMA JOSE MANUEL</t>
  </si>
  <si>
    <t>TIENDAS DEL MEJORAMIENTO DEL HOGAR S.A.</t>
  </si>
  <si>
    <t>JORVICK E.I.R.L.</t>
  </si>
  <si>
    <t>ORDOÑEZ ARENAS NORMA</t>
  </si>
  <si>
    <t>ARMUTO PALMA FORTUNATA</t>
  </si>
  <si>
    <t>OCHOA SAN MIGUEL VALERIA CAMILA</t>
  </si>
  <si>
    <t>GRUPO MILANO K.A E.I.R.L.</t>
  </si>
  <si>
    <t>PARADA XPRESS 48 S.A.C.</t>
  </si>
  <si>
    <t>BIOSOLUCIONES SGH E.I.R.L.</t>
  </si>
  <si>
    <t>IMPORTADORA DE RODAMIENTOS S.A.C.</t>
  </si>
  <si>
    <t>STRACON PERU S.A.</t>
  </si>
  <si>
    <t>BOTICA FARMAHORRO S.R.L.</t>
  </si>
  <si>
    <t>BOTICAS IP S.A.C.</t>
  </si>
  <si>
    <t>BOTICA CORAZON DE JESUS E &amp; M S.R.L.</t>
  </si>
  <si>
    <t xml:space="preserve">ESPINOZA APAZA JOSE CARLOS </t>
  </si>
  <si>
    <t>CAYPA FERNANDEZ DAVID JESUS</t>
  </si>
  <si>
    <t>CENTRO DE INSPECCIONES TECNICO VEHICULARES J&amp;L S.A.C.</t>
  </si>
  <si>
    <t>MIA COLORS E.I.R.L.</t>
  </si>
  <si>
    <t>SOTO FERNANDEZ EDWAR PAUL</t>
  </si>
  <si>
    <t>EKIPA HOME CENTER SOCIEDAD ANÓNIMA CERRADA</t>
  </si>
  <si>
    <t>SAGA FALABELLA S.A.</t>
  </si>
  <si>
    <t>SMALL MUÑOZ JOSE ALBERTO</t>
  </si>
  <si>
    <t>INVERSIONES KM&amp;H S.A.C.</t>
  </si>
  <si>
    <t>SERVICIOS COMPARTIDOS DE RESTAURANTES S.A.C.</t>
  </si>
  <si>
    <t>SOLANA COMERCIAL S.A.C.</t>
  </si>
  <si>
    <t>INSTITUTO TECNOLOGICO STRATTON S.A.C.</t>
  </si>
  <si>
    <t>DOLORIER FLORES SENNA THALIA</t>
  </si>
  <si>
    <t>IMPORTADORA TECNICA INDUSTRIAL Y COMERCI AL SA</t>
  </si>
  <si>
    <t>REAL PLAZA S.R.L.</t>
  </si>
  <si>
    <t>TURISMO J.A.K.S.A</t>
  </si>
  <si>
    <t>EMP. DE TRANS. FLORES HNOS. SRL.</t>
  </si>
  <si>
    <t>CASTRO PACHECO ALFONSO</t>
  </si>
  <si>
    <t>HUARACHI CALCINA CESAR GUSTAVO</t>
  </si>
  <si>
    <t>BERMEO &amp; CONSULTORES SAC</t>
  </si>
  <si>
    <t>01117900020057354999</t>
  </si>
  <si>
    <t>M &amp; E CUSQUEÑO E.I.R.L.</t>
  </si>
  <si>
    <t>MULTISERVICIOS GRAN PODER E.I.R.L.</t>
  </si>
  <si>
    <t>MULTISERVICIOS AVE FENIX S.A.C.</t>
  </si>
  <si>
    <t>ÑAUPA CALCINA EDIRSON GINO</t>
  </si>
  <si>
    <t>SOFTWARE Y HARDWARE INGENIEROS S.R.LTDA.</t>
  </si>
  <si>
    <t>CUSI PUMA PERCY</t>
  </si>
  <si>
    <t>TIPO DE MOV.</t>
  </si>
  <si>
    <t>INGRESO</t>
  </si>
  <si>
    <t>ITEM</t>
  </si>
  <si>
    <t>PORTAFOLIO</t>
  </si>
  <si>
    <t>TIPO DE R.</t>
  </si>
  <si>
    <t>FECHA</t>
  </si>
  <si>
    <t>RESPONSABLE</t>
  </si>
  <si>
    <t>DESTINATARIO</t>
  </si>
  <si>
    <t>TIPO DE DOCUMENTO</t>
  </si>
  <si>
    <t>SERIE</t>
  </si>
  <si>
    <t>NUMERO</t>
  </si>
  <si>
    <t>DESCRIPCIÓN / ACTIVIDAD</t>
  </si>
  <si>
    <t>N° OPERACIÓN</t>
  </si>
  <si>
    <t>MONEDA</t>
  </si>
  <si>
    <t>PARCIAL</t>
  </si>
  <si>
    <t xml:space="preserve">MONTO </t>
  </si>
  <si>
    <t>ABONO</t>
  </si>
  <si>
    <t>RETIRO</t>
  </si>
  <si>
    <t>SALDO</t>
  </si>
  <si>
    <t>VB° (1)</t>
  </si>
  <si>
    <t>VB° (2)</t>
  </si>
  <si>
    <t>CONSTANCIA (LINK)</t>
  </si>
  <si>
    <t>NOTA 1</t>
  </si>
  <si>
    <t>NOTA 2</t>
  </si>
  <si>
    <t>NOTA 3</t>
  </si>
  <si>
    <t>NOTA 4</t>
  </si>
  <si>
    <t>NOTA 5</t>
  </si>
  <si>
    <t>PERIODO</t>
  </si>
  <si>
    <t>R</t>
  </si>
  <si>
    <t>Elias</t>
  </si>
  <si>
    <t>Saldo Inicial - Ejercicio 2024</t>
  </si>
  <si>
    <t>-</t>
  </si>
  <si>
    <t>OK</t>
  </si>
  <si>
    <t>BCP</t>
  </si>
  <si>
    <t>EGRESO</t>
  </si>
  <si>
    <t>Impuesto ITF</t>
  </si>
  <si>
    <t xml:space="preserve">Judith </t>
  </si>
  <si>
    <t>F012</t>
  </si>
  <si>
    <t>OC 001 – N° 001696 Residuos Aprovechables</t>
  </si>
  <si>
    <t>DANPER TRUJILLO S.A.C.</t>
  </si>
  <si>
    <t>F012-6999</t>
  </si>
  <si>
    <t>FE01</t>
  </si>
  <si>
    <t>BCO.CITI0030396316</t>
  </si>
  <si>
    <t xml:space="preserve">GYTRES S.A.C. </t>
  </si>
  <si>
    <t>FE01-424</t>
  </si>
  <si>
    <t>FE05</t>
  </si>
  <si>
    <t>DE ALEACIONES FERROSAS</t>
  </si>
  <si>
    <t>FE05-116</t>
  </si>
  <si>
    <t>VARIOS MOLY-COP ADESUR</t>
  </si>
  <si>
    <t>FE01-488
FE01-490</t>
  </si>
  <si>
    <t>D</t>
  </si>
  <si>
    <t>FE02</t>
  </si>
  <si>
    <t>FE02-160</t>
  </si>
  <si>
    <t>Varios</t>
  </si>
  <si>
    <t>TRAN.CTAS.TERC.BM</t>
  </si>
  <si>
    <t>Hilmer Nayra</t>
  </si>
  <si>
    <t>003- N° 000507</t>
  </si>
  <si>
    <t>003- N° 000508</t>
  </si>
  <si>
    <t>Alfonso Arenas Neyra</t>
  </si>
  <si>
    <t>003- N° 000509</t>
  </si>
  <si>
    <t>Jesús Cieza Ochoa</t>
  </si>
  <si>
    <t>003- N° 000511</t>
  </si>
  <si>
    <t>003- N° 000519</t>
  </si>
  <si>
    <t>003- N° 000513</t>
  </si>
  <si>
    <t>Leonor Bustinza</t>
  </si>
  <si>
    <t>003- N° 000514</t>
  </si>
  <si>
    <t>Adelmar Cruzada Burgos</t>
  </si>
  <si>
    <t>003- N° 000515</t>
  </si>
  <si>
    <t>De transportes jirena</t>
  </si>
  <si>
    <t>FE01-275</t>
  </si>
  <si>
    <t>PROV TLC 000246</t>
  </si>
  <si>
    <t xml:space="preserve">VARIOS </t>
  </si>
  <si>
    <t>F001</t>
  </si>
  <si>
    <t>F102</t>
  </si>
  <si>
    <t>E001</t>
  </si>
  <si>
    <t>F865</t>
  </si>
  <si>
    <t>COES020558226979</t>
  </si>
  <si>
    <t>COESTI</t>
  </si>
  <si>
    <t>F865-0140474</t>
  </si>
  <si>
    <t>F865-0140463</t>
  </si>
  <si>
    <t>BCO.SCOT</t>
  </si>
  <si>
    <t>FE01-487
FE01-492</t>
  </si>
  <si>
    <t>Disposicion residuos peligrosos - 06.01.2025</t>
  </si>
  <si>
    <t>PROV TLC 000247</t>
  </si>
  <si>
    <t>F003</t>
  </si>
  <si>
    <t xml:space="preserve">Ana </t>
  </si>
  <si>
    <t>DETR.MASIVA 7111887292</t>
  </si>
  <si>
    <t xml:space="preserve">SUNAT </t>
  </si>
  <si>
    <t>F002</t>
  </si>
  <si>
    <t>F013</t>
  </si>
  <si>
    <t>Liquidacion de Beneficios Sociales - CANA NN ERNESTO ALEJANDRO</t>
  </si>
  <si>
    <t>CANA NN ERNESTO ALEJANDRO</t>
  </si>
  <si>
    <t>Liquidacion de Beneficios Sociales - VELA CRUZ JOSEPH ALBERTH</t>
  </si>
  <si>
    <t>RH E001-485, RQ.GH.123 Asesoría formulación del sistema disciplinario en coordinación</t>
  </si>
  <si>
    <t>E001-485</t>
  </si>
  <si>
    <t>FN01</t>
  </si>
  <si>
    <t>COM.CCE PRO 000247</t>
  </si>
  <si>
    <t>FN01-28143515</t>
  </si>
  <si>
    <t>COMIS PAGO DETRACCION</t>
  </si>
  <si>
    <t>FN01-28133023</t>
  </si>
  <si>
    <t>0000000479 METALURGICA</t>
  </si>
  <si>
    <t>FE01-479</t>
  </si>
  <si>
    <t>Verónica Capatinta Castillo</t>
  </si>
  <si>
    <t>001- N° 003972</t>
  </si>
  <si>
    <t>Alquiler Alm Huaranguillo2 Ener25</t>
  </si>
  <si>
    <t>F002-1483, RQ.COM.221 transporte tercerizado para el carguío de chatarra metálica</t>
  </si>
  <si>
    <t>EMPRESA DE TRANSPORTES DE CARGA COSISE S</t>
  </si>
  <si>
    <t>F002-1483</t>
  </si>
  <si>
    <t>Saldo E001-787, RQ.COM.216 Servicio de tranasporte de fardos de Noils de Inca Tops</t>
  </si>
  <si>
    <t>TRANSPORTES NEGOCIACIONES BENDEZU S.A.C</t>
  </si>
  <si>
    <t>E001-787</t>
  </si>
  <si>
    <t>F002-1924, RQ.OPE.812 compra de batería para la unidad FOTÓN BKK-849</t>
  </si>
  <si>
    <t>F002-1924</t>
  </si>
  <si>
    <t>F865-0141105</t>
  </si>
  <si>
    <t>Elías</t>
  </si>
  <si>
    <t>PAGO DETRAC 7167801788</t>
  </si>
  <si>
    <t>RANS000001077397  - OC 001 - N° 0001703</t>
  </si>
  <si>
    <t>RANSA COMERCIAL S.A.</t>
  </si>
  <si>
    <t>F001-65627</t>
  </si>
  <si>
    <t>Imer</t>
  </si>
  <si>
    <t>IZI*SULU 1</t>
  </si>
  <si>
    <t>FN01-28167251</t>
  </si>
  <si>
    <t>001- N° 004020</t>
  </si>
  <si>
    <t>001- N° 004022</t>
  </si>
  <si>
    <t>001- N° 004023</t>
  </si>
  <si>
    <t>001- N° 004042</t>
  </si>
  <si>
    <t>DE EMPRESA CONSERVADOR</t>
  </si>
  <si>
    <t>FE02-167</t>
  </si>
  <si>
    <t>Entregas a Rendir - Imer Bustamante Gil</t>
  </si>
  <si>
    <t>Caja Arequipa - Juber Monteza - Cuota 27</t>
  </si>
  <si>
    <t>FFF1</t>
  </si>
  <si>
    <t>FFF1-000090 Servicio de Internet Enero 2025</t>
  </si>
  <si>
    <t xml:space="preserve">FFF1-000090 </t>
  </si>
  <si>
    <t>E001-180, RQ.GER.043 Servicio de evaluación psicolaboral (Eduardo Vizcardo Alarcon)</t>
  </si>
  <si>
    <t>R R CONSULTORIAS Y ASESORIAS EIRL</t>
  </si>
  <si>
    <t>E001-180</t>
  </si>
  <si>
    <t>E001-312 Servicio de Internet mes de Enero 2025 - FIXER TELECOMUNICACIONES S.A.C</t>
  </si>
  <si>
    <t>ARO SANO CRISTHIAN JUNIOR</t>
  </si>
  <si>
    <t>E001-312</t>
  </si>
  <si>
    <t>Devolucion - transferencia indebida - Op 2039413</t>
  </si>
  <si>
    <t>Jose Pata Quispe</t>
  </si>
  <si>
    <t>001- N° 004066</t>
  </si>
  <si>
    <t>Jose Acrota Huayta</t>
  </si>
  <si>
    <t>001- N° 004026</t>
  </si>
  <si>
    <t>Lidia Gonzales Chambi</t>
  </si>
  <si>
    <t>001- N° 004070</t>
  </si>
  <si>
    <t>F001-1629, RQ.GER.044 02 licencias para curso virtual de Gerencia de Análisis de Costos</t>
  </si>
  <si>
    <t>MAYUGO EDUCATION SAC</t>
  </si>
  <si>
    <t>F001-1629</t>
  </si>
  <si>
    <t>PROV TLC 000248</t>
  </si>
  <si>
    <t>DOC 2024</t>
  </si>
  <si>
    <t>VARIOS FLSMIDTH S.A.C.</t>
  </si>
  <si>
    <t>FE01-457
FE01-458</t>
  </si>
  <si>
    <t>DE CORPORACION DINA E</t>
  </si>
  <si>
    <t>001- N° 004067</t>
  </si>
  <si>
    <t>FE02-171</t>
  </si>
  <si>
    <t>FE05-45</t>
  </si>
  <si>
    <t>Pago detrac 7217149602 - RESIGRALE S.R.L. - FE02-151</t>
  </si>
  <si>
    <t>PROV TLC 12</t>
  </si>
  <si>
    <t>FF03</t>
  </si>
  <si>
    <t>Tramite de Copia Literal 09.01.2025 - SUNARP</t>
  </si>
  <si>
    <t>F040</t>
  </si>
  <si>
    <t>POSI020558226979 / SCTR SALUD-EPS</t>
  </si>
  <si>
    <t>LA POSITIVA SOLES</t>
  </si>
  <si>
    <t>F040- 00473371</t>
  </si>
  <si>
    <t>OC 001 – N° 001709 Residuos Aprovechables</t>
  </si>
  <si>
    <t>TUBERIAS Y GEOSISTEMAS DEL PERU S.A</t>
  </si>
  <si>
    <t>FF03-1541</t>
  </si>
  <si>
    <t>RQ.OPE.857 Entregas a rendir - ER-001-0022025</t>
  </si>
  <si>
    <t>FN01-28275555</t>
  </si>
  <si>
    <t>PROV TLC 16</t>
  </si>
  <si>
    <t>Liquidacion de Beneficios - SALCEDO SALCEDO RONALD RONALDINO</t>
  </si>
  <si>
    <t>SALCEDO SALCEDO RONALD RONALDINO</t>
  </si>
  <si>
    <t>Liquidacion de Beneficios - SALCEDO SALCEDO RONALD DONATO</t>
  </si>
  <si>
    <t>Disposicion residuos no aprovechables - 13.01.2025</t>
  </si>
  <si>
    <t>SEDA000002524954</t>
  </si>
  <si>
    <t>SEDAPAR</t>
  </si>
  <si>
    <t>001-57939153</t>
  </si>
  <si>
    <t>FE21</t>
  </si>
  <si>
    <t>VERI000001503275</t>
  </si>
  <si>
    <t>VERISURE PERU SAC</t>
  </si>
  <si>
    <t>FE21-20121</t>
  </si>
  <si>
    <t>S001</t>
  </si>
  <si>
    <t>SOC0000000564036</t>
  </si>
  <si>
    <t>SOC ELEC SUR OESTE</t>
  </si>
  <si>
    <t>S001-28197936</t>
  </si>
  <si>
    <t>ENTE000979510320</t>
  </si>
  <si>
    <t>S105</t>
  </si>
  <si>
    <t>SEDA000004222565</t>
  </si>
  <si>
    <t>S105-19753784</t>
  </si>
  <si>
    <t>Envases y Soluciones Logística W&amp;R(Lima)</t>
  </si>
  <si>
    <t>001- N° 003861</t>
  </si>
  <si>
    <t>001- N° 004075</t>
  </si>
  <si>
    <t>E020000173 CORPORACION</t>
  </si>
  <si>
    <t>FE02-173</t>
  </si>
  <si>
    <t>002- N° 000641</t>
  </si>
  <si>
    <t>Clientes Varios</t>
  </si>
  <si>
    <t>001- N° 004077</t>
  </si>
  <si>
    <t>BLAXTEEL S.A.C.</t>
  </si>
  <si>
    <t>FE02-174</t>
  </si>
  <si>
    <t>Eliza Centeno Sanchez</t>
  </si>
  <si>
    <t>DEPOSITO AG 989437</t>
  </si>
  <si>
    <t>001- N° 004080</t>
  </si>
  <si>
    <t>Miguel Angel Huanuco Ruchasa</t>
  </si>
  <si>
    <t>002- N° 000698</t>
  </si>
  <si>
    <t>PROV TLC 17</t>
  </si>
  <si>
    <t>F100</t>
  </si>
  <si>
    <t>Reposición - Caja Conductores - 2025 / RCO-01</t>
  </si>
  <si>
    <t>RCO-01</t>
  </si>
  <si>
    <t xml:space="preserve">Elías </t>
  </si>
  <si>
    <t>Liquidacion de Beneficios - QUISPE ARVIRI EDWIN LUCIO</t>
  </si>
  <si>
    <t>F867</t>
  </si>
  <si>
    <t>F867-0140698</t>
  </si>
  <si>
    <t>F865-0142235</t>
  </si>
  <si>
    <t>OC 001 – N° 001715 Residuos Aprovechables</t>
  </si>
  <si>
    <t>F012-6980</t>
  </si>
  <si>
    <t>OC 001 – N° 001714 Residuos Aprovechables</t>
  </si>
  <si>
    <t>COM.CCE PRO 000017</t>
  </si>
  <si>
    <t>DE CORPORMEDIOAMBIENT</t>
  </si>
  <si>
    <t>FE02-152</t>
  </si>
  <si>
    <t>Cesar Oyos Portal</t>
  </si>
  <si>
    <t>001- N° 003988</t>
  </si>
  <si>
    <t>001- N° 003996</t>
  </si>
  <si>
    <t>001- N° 003998</t>
  </si>
  <si>
    <t>F136</t>
  </si>
  <si>
    <t>F136-9090 Combustible</t>
  </si>
  <si>
    <t>ESTACION DE SERVICIOS MI GRIFO S.R.L.</t>
  </si>
  <si>
    <t>F136-9090</t>
  </si>
  <si>
    <t xml:space="preserve">BCP </t>
  </si>
  <si>
    <t>PAGOS AFP INTEGRA (Intereses: 10.25)</t>
  </si>
  <si>
    <t>AFP INTEGRA</t>
  </si>
  <si>
    <t>DETR.MASIVA 7316845602</t>
  </si>
  <si>
    <t>PAGOS AFP PRIMA (Intereses: 3.99)</t>
  </si>
  <si>
    <t>AFP PRIMA</t>
  </si>
  <si>
    <t>PROV TLC 18</t>
  </si>
  <si>
    <t>PAGOS AFP HABITAT (Intereses: 1.29)</t>
  </si>
  <si>
    <t>AFP HABITAT</t>
  </si>
  <si>
    <t>PAGOS AFP PROFUTUR (Intereses: 0.63)</t>
  </si>
  <si>
    <t>AFP PROFUTURO</t>
  </si>
  <si>
    <t>E001-131 RQ.GH.129 Capacitación tema "Comunicación efectiva"</t>
  </si>
  <si>
    <t>NAYSHA FABIOLA LEON CORNEJO</t>
  </si>
  <si>
    <t>E001-131</t>
  </si>
  <si>
    <t>Disposicion residuos no aprovechables - 14.01.2025</t>
  </si>
  <si>
    <t>FE02-161</t>
  </si>
  <si>
    <t>BCO.BBVA99999999999999</t>
  </si>
  <si>
    <t>FE02-176</t>
  </si>
  <si>
    <t>OC 001 – N° 001719 Residuos Aprovechables</t>
  </si>
  <si>
    <t>F012-7082</t>
  </si>
  <si>
    <t>DE KANAY S.A.C.</t>
  </si>
  <si>
    <t>FE01-408</t>
  </si>
  <si>
    <t>MANT TD ADIC NEG</t>
  </si>
  <si>
    <t>FN01-28691588</t>
  </si>
  <si>
    <t>E010000466 CUENTA GENE</t>
  </si>
  <si>
    <t>FE01-466</t>
  </si>
  <si>
    <t>001- N° 004083</t>
  </si>
  <si>
    <t>001- N° 004090</t>
  </si>
  <si>
    <t>Disposicion residuos no aprovechables - 16.01.2025</t>
  </si>
  <si>
    <t>S106</t>
  </si>
  <si>
    <t>S106-00601719</t>
  </si>
  <si>
    <t>SOC0000000352931</t>
  </si>
  <si>
    <t>S001-28198089</t>
  </si>
  <si>
    <t>S9AA</t>
  </si>
  <si>
    <t>TDPC000605276769</t>
  </si>
  <si>
    <t>MOVISTAR-TELEFONICA</t>
  </si>
  <si>
    <t>S9AA-64766093</t>
  </si>
  <si>
    <t>LUZ0000000967816</t>
  </si>
  <si>
    <t>LUZ DEL SUR SAA</t>
  </si>
  <si>
    <t>S002-66903117
S002-65549447</t>
  </si>
  <si>
    <t>S002</t>
  </si>
  <si>
    <t>RQ.OPE.878 Entregas a rendir/ ER-001-0012025</t>
  </si>
  <si>
    <t>FE05-121</t>
  </si>
  <si>
    <t>FE05-120</t>
  </si>
  <si>
    <t>FE05-118</t>
  </si>
  <si>
    <t>FE05-122</t>
  </si>
  <si>
    <t>RQ.SSO.182 compra de cinta antideslizante para colocar en las gradas (03)</t>
  </si>
  <si>
    <t>DISTRIBUIDORA TOTAL SAFETY EIRL</t>
  </si>
  <si>
    <t>F001-497</t>
  </si>
  <si>
    <t>RQ.LOG.227 Entregas a rendir/ ER-001-0052025</t>
  </si>
  <si>
    <t>0000000497 GRANJA RINC</t>
  </si>
  <si>
    <t>FE01-497</t>
  </si>
  <si>
    <t>PAGO VISA</t>
  </si>
  <si>
    <t>PROV TLC 19</t>
  </si>
  <si>
    <t>Cambio de soles a dolares TC: 3.749</t>
  </si>
  <si>
    <t>GESTION Y TRANSPORTE DE RESIDUOS SAC</t>
  </si>
  <si>
    <t>E001-747, RQ.OPE.863 por transporte de residuos</t>
  </si>
  <si>
    <t>TRANSPORTES UNIDEST SAC</t>
  </si>
  <si>
    <t>E001-747</t>
  </si>
  <si>
    <t>Compartamos Financiera - Cuota 27</t>
  </si>
  <si>
    <t>F002-17996 - RQ.OPE.817 mantenimiento preventivo de la camioneta Maxus VBW-889</t>
  </si>
  <si>
    <t>TRENTO MULTISERVICIOS SOCIEDAD COMERCIAL</t>
  </si>
  <si>
    <t>F002-17996</t>
  </si>
  <si>
    <t>Adelanto de Sueldo - Enero 2025 - LEON NN WILLIAN JOHAN</t>
  </si>
  <si>
    <t>LEON NN WILLIAN JOHAN</t>
  </si>
  <si>
    <t>Adelanto de Sueldo - Enero 2025 - PONCE FEBRES GLEEN STEV</t>
  </si>
  <si>
    <t>Adelanto de Sueldo - Enero 2024 - MÁRQUEZ AVILA FERNANDO JESÚS</t>
  </si>
  <si>
    <t>Adelanto de Sueldo - Enero 2025 - CRISSLEY LAZARTE AGUIRRE</t>
  </si>
  <si>
    <t>CRISSLEY LAZARTE AGUIRRE</t>
  </si>
  <si>
    <t>Adelanto de Sueldo - Enero 2025 - QUEQUE ANCO JORGE LUIS</t>
  </si>
  <si>
    <t>E001-451, RQ.SIG.021, Servicio de Actualización de la matriz de Requisitos Legales</t>
  </si>
  <si>
    <t>E001-451</t>
  </si>
  <si>
    <t>E001-110, RQ.SSO.188 Actualización de los mapas de riesgos de las instalaciones.</t>
  </si>
  <si>
    <t>MURILLO CALSIN JORDAN EDHER FRANKLIN</t>
  </si>
  <si>
    <t>E001-110</t>
  </si>
  <si>
    <t>Adelanto de Sueldo - Enero 2025 - ROSPIGLIOSI MANRIQUE NATALIA SOMMER</t>
  </si>
  <si>
    <t>DE TECNIFLOW SAC</t>
  </si>
  <si>
    <t>FE01-484</t>
  </si>
  <si>
    <t>FE05-112</t>
  </si>
  <si>
    <t>E020000180 CORPORACION</t>
  </si>
  <si>
    <t>FE02-180</t>
  </si>
  <si>
    <t>002- N° 000703</t>
  </si>
  <si>
    <t>DEPOSITO EFECTIVO</t>
  </si>
  <si>
    <t>FE02-168</t>
  </si>
  <si>
    <t xml:space="preserve">RQ.LOG.230  Compra de útiles </t>
  </si>
  <si>
    <t>CHOPERS DISTRIBUCIONES E.I.R.L</t>
  </si>
  <si>
    <t>F001-175851</t>
  </si>
  <si>
    <t>Oscar Alfredo Monterola Huayani</t>
  </si>
  <si>
    <t>DEPOSITO AG 991183</t>
  </si>
  <si>
    <t>001- N° 004069</t>
  </si>
  <si>
    <t>F865-0143182</t>
  </si>
  <si>
    <t>PROV TLC 000250</t>
  </si>
  <si>
    <t>Liquidacion de Beneficios Sociales - GONZALO CHAMBILLA ANA ABIGAIL</t>
  </si>
  <si>
    <t>F865-0143100</t>
  </si>
  <si>
    <t>OC 001 – N° 001723 Residuos Aprovechables</t>
  </si>
  <si>
    <t>F012-7084</t>
  </si>
  <si>
    <t>OC 001 – N° 001722 Residuos Aprovechables</t>
  </si>
  <si>
    <t>F012-7083</t>
  </si>
  <si>
    <t>CONTRERAS PIMENTEL MAGDALENA</t>
  </si>
  <si>
    <t>002- N° 000701</t>
  </si>
  <si>
    <t>Devolución - RQ.OPE.878 Entregas a rendir/ ER-001-0012025</t>
  </si>
  <si>
    <t>Hugo Rodriguez Barreda</t>
  </si>
  <si>
    <t>001- N° 003442</t>
  </si>
  <si>
    <t xml:space="preserve">Fernando Marquez Avila </t>
  </si>
  <si>
    <t>TRANSF.BCO.INTERBANK</t>
  </si>
  <si>
    <t>EMBARGOEC002760647 / Expediente Coactivo N° 033845-S-2024-SUTRAN/06.4.4-EC - Referencia: EC002760647</t>
  </si>
  <si>
    <t>https://gytres-my.sharepoint.com/:b:/p/finanzas/EehPK2XutWdLr1rcrEIG5uUB7Z_ZgNLemcqzAu_Yymi3fw?e=IyQqOv</t>
  </si>
  <si>
    <t>Financiera Confianza - 104-009773582-1 Cuota (18-21)</t>
  </si>
  <si>
    <t>PINTO QUISPE HERON EDGARD</t>
  </si>
  <si>
    <t>F002-1545, RQ.COM.233 por el servicio de transporte de envases vacíos de Chala hacia lima</t>
  </si>
  <si>
    <t>F002-1545</t>
  </si>
  <si>
    <t>DE MOVITECNICA SA</t>
  </si>
  <si>
    <t>FE01-502</t>
  </si>
  <si>
    <t>001- N° 004097</t>
  </si>
  <si>
    <t>Scomar S.R.L</t>
  </si>
  <si>
    <t>001- N° 001184</t>
  </si>
  <si>
    <t>0100000501 UNIVERSIDAD</t>
  </si>
  <si>
    <t>FE01-501</t>
  </si>
  <si>
    <t>E001-322 Servicio de Internet mes de Enero 2025 - FIXER TELECOMUNICACIONES S.A.C</t>
  </si>
  <si>
    <t xml:space="preserve">E001-322 </t>
  </si>
  <si>
    <t>F135</t>
  </si>
  <si>
    <t>F135-6228 Combustible</t>
  </si>
  <si>
    <t>F135-6228</t>
  </si>
  <si>
    <t>F136-9164 Combustible</t>
  </si>
  <si>
    <t>F136-9164</t>
  </si>
  <si>
    <t>F015</t>
  </si>
  <si>
    <t>CLAR000003358327</t>
  </si>
  <si>
    <t>CLARO</t>
  </si>
  <si>
    <t>F015-00268720</t>
  </si>
  <si>
    <t>TELE000915030176</t>
  </si>
  <si>
    <t>SB01-513808883</t>
  </si>
  <si>
    <t>SB01</t>
  </si>
  <si>
    <t>F180</t>
  </si>
  <si>
    <t>TELE000915030176/ cuota 2</t>
  </si>
  <si>
    <t>E001-1197, RQ.SSO.154 Monitoreo Ocupacional</t>
  </si>
  <si>
    <t>MONECO S.A.C.</t>
  </si>
  <si>
    <t>E001-1197</t>
  </si>
  <si>
    <t>COM.CCE PRO 000026</t>
  </si>
  <si>
    <t>PROV TLC 26</t>
  </si>
  <si>
    <t>Roxana Merma Mayhua</t>
  </si>
  <si>
    <t>001- N° 004103</t>
  </si>
  <si>
    <t>001- N° 004016</t>
  </si>
  <si>
    <t>001- N° 004029</t>
  </si>
  <si>
    <t>001- N° 004035</t>
  </si>
  <si>
    <t>DEPOSITO AG 997856</t>
  </si>
  <si>
    <t>002- N° 000704</t>
  </si>
  <si>
    <t>BCO.CITI0030711541</t>
  </si>
  <si>
    <t>FE01-465
FE01-470</t>
  </si>
  <si>
    <t>FE02-169</t>
  </si>
  <si>
    <t>FE02-179</t>
  </si>
  <si>
    <t>FE02-178</t>
  </si>
  <si>
    <t>FE02-172</t>
  </si>
  <si>
    <t>COM.CCE PRO 000251</t>
  </si>
  <si>
    <t>RH E001-23, RQ.GH.132 Capacitación sobre Manejo del estrés y resolución de conflictos.</t>
  </si>
  <si>
    <t>BEGAZO ARISPE CESAR JAVIER</t>
  </si>
  <si>
    <t>E001-23</t>
  </si>
  <si>
    <t>Devolucion pago en exceso FE01419</t>
  </si>
  <si>
    <t>RH E001-22, RQ.GH.133 Aplicación de evaluaciones psicolaborales a 15 colaboradores</t>
  </si>
  <si>
    <t>E001-22</t>
  </si>
  <si>
    <t>RQ.COM.234 Entregas a rendir - ER-001-0032025</t>
  </si>
  <si>
    <t>PROV TLC 000251</t>
  </si>
  <si>
    <t>VARIOS INCA TOPS S.A.</t>
  </si>
  <si>
    <t>FE01-464
FE01-480</t>
  </si>
  <si>
    <t>LAPO020558226979/ SEG.VIDA-SCTR PENSION-VIDA LEY</t>
  </si>
  <si>
    <t>F040-00603522</t>
  </si>
  <si>
    <t>FE05-123</t>
  </si>
  <si>
    <t>Maria Belen Labra Conza</t>
  </si>
  <si>
    <t>001- N° 004102</t>
  </si>
  <si>
    <t>MÁRQUEZ AVILA FERNANDO JESUS</t>
  </si>
  <si>
    <t xml:space="preserve">Devolución RQ.OPE.751 - Entregas a rendir </t>
  </si>
  <si>
    <t>Juan Gallardo</t>
  </si>
  <si>
    <t>001- N° 004109</t>
  </si>
  <si>
    <t>Inicial (50%) F001-7381 IMPLEMENTACIÓN NEXTSIS - ERP , Licencia de uso</t>
  </si>
  <si>
    <t>SOLUCIONES DE INFORMACION NEXTSOFT S.A.C</t>
  </si>
  <si>
    <t>F001-7381</t>
  </si>
  <si>
    <t>001- N° 004114</t>
  </si>
  <si>
    <t>001- N° 004113</t>
  </si>
  <si>
    <t>PROV TLC 000252</t>
  </si>
  <si>
    <t>Devolucion de Ingreso - Nota de salida: 001- N° 004109 - REF OP: 1604910</t>
  </si>
  <si>
    <t>GALLARDO ZAVALETA JUAN JOSE</t>
  </si>
  <si>
    <t>OC 001 – N° 001735 Residuos Aprovechables</t>
  </si>
  <si>
    <t>F012-7081</t>
  </si>
  <si>
    <t>Detr.masiva 7514165467</t>
  </si>
  <si>
    <t>Reposición - Caja Conductores - 2025 / RCO-02</t>
  </si>
  <si>
    <t>RCO-02</t>
  </si>
  <si>
    <t>F864</t>
  </si>
  <si>
    <t>F864-0125580</t>
  </si>
  <si>
    <t>SUNA002307230533</t>
  </si>
  <si>
    <t>SUNAFIL</t>
  </si>
  <si>
    <t>SUNA002307230532</t>
  </si>
  <si>
    <t>F864-0125559</t>
  </si>
  <si>
    <t>Disposicion residuos no aprovechables - 29.01.2025</t>
  </si>
  <si>
    <t>Valorización de RCD</t>
  </si>
  <si>
    <t>E001-1011</t>
  </si>
  <si>
    <t>PROV TLC 000253</t>
  </si>
  <si>
    <t>PROV TLC 36</t>
  </si>
  <si>
    <t>RQ.OPE.903 Entregas a rendir/ER-001-0042025</t>
  </si>
  <si>
    <t>E001-1058, RQ.COM.232 Programa especializado en Director de ventas - Escuela de Marketing APEM</t>
  </si>
  <si>
    <t>E001-1058</t>
  </si>
  <si>
    <t>COM.CCE PRO 000036</t>
  </si>
  <si>
    <t>FE01-495
FE01-496
FE02-162
FE02-163</t>
  </si>
  <si>
    <t>DE H E PARTS INTERNATI</t>
  </si>
  <si>
    <t>FE01-521</t>
  </si>
  <si>
    <t>OC 001 – N° 001743 Residuos Aprovechables</t>
  </si>
  <si>
    <t>F012-7085</t>
  </si>
  <si>
    <t>valorización de RCD</t>
  </si>
  <si>
    <t>DE ANTILLA COPPER SOCI</t>
  </si>
  <si>
    <t>FE01-528</t>
  </si>
  <si>
    <t>FE05-124</t>
  </si>
  <si>
    <t>Eber Prieto Alcca</t>
  </si>
  <si>
    <t>001- N° 004030</t>
  </si>
  <si>
    <t>001- N° 004031</t>
  </si>
  <si>
    <t>F001-1717, RQ.LOG.174 Recarga de agua 20 lts (20606541580)</t>
  </si>
  <si>
    <t>SANCHEZ TORRES ROSA ISMELDA</t>
  </si>
  <si>
    <t>F001-1717</t>
  </si>
  <si>
    <t>NO FIGURA FACT</t>
  </si>
  <si>
    <t>ENTR.EFEC. 0810061</t>
  </si>
  <si>
    <t>001- N° 004129</t>
  </si>
  <si>
    <t>FE01-522
FE01-523</t>
  </si>
  <si>
    <t>001- N° 004126</t>
  </si>
  <si>
    <t>001- N° 004120</t>
  </si>
  <si>
    <t>José Antonio Lima Escalante</t>
  </si>
  <si>
    <t>001- N° 004127</t>
  </si>
  <si>
    <t>001- N° 004121</t>
  </si>
  <si>
    <t>PAGO IMPUES 7531984930</t>
  </si>
  <si>
    <t>PAGO IMPUES 7531986289</t>
  </si>
  <si>
    <t>COM.MANTENIM</t>
  </si>
  <si>
    <t>0        0</t>
  </si>
  <si>
    <t>ENVIO.EST.CTA</t>
  </si>
  <si>
    <t>Planilla de Rem. Ene25 (1)</t>
  </si>
  <si>
    <t>PROV TLC 37</t>
  </si>
  <si>
    <t>F865-0145086</t>
  </si>
  <si>
    <t>F867-0144135</t>
  </si>
  <si>
    <t>Disposicion residuos no aprovechables - 02.02.2025</t>
  </si>
  <si>
    <t>Devolución de ER-001-0032025 - RQ.COM.234 - Entregas a rendir</t>
  </si>
  <si>
    <t>OC 001 – N° 001749 Residuos Aprovechables</t>
  </si>
  <si>
    <t>METALURGICA - QUIMICA SAC</t>
  </si>
  <si>
    <t>F002-755</t>
  </si>
  <si>
    <t>Cambio de Dolares a Soles TC 3.722</t>
  </si>
  <si>
    <t>FE02-183</t>
  </si>
  <si>
    <t>FE02-186</t>
  </si>
  <si>
    <t>000FE01416 MINERA TITA</t>
  </si>
  <si>
    <t>FE01-416</t>
  </si>
  <si>
    <t>DEPOSITO AG 990475</t>
  </si>
  <si>
    <t>001- N° 004130</t>
  </si>
  <si>
    <t>FE02-187</t>
  </si>
  <si>
    <t xml:space="preserve"> Kathia Daniela Guzman</t>
  </si>
  <si>
    <t>Venta de residuos - Convenio</t>
  </si>
  <si>
    <t>E020000188 CORPORACION</t>
  </si>
  <si>
    <t>FE02-188</t>
  </si>
  <si>
    <t>FE02-184</t>
  </si>
  <si>
    <t>Derecho de posesión por terreno ubicado en las Bermudas San Jose La Joya Sector B Lte. R1 659858 M2</t>
  </si>
  <si>
    <t>INCACUTIPA MUNUICO JAVIER</t>
  </si>
  <si>
    <t>Alquiler Alm Huaranguillo2 Feb25</t>
  </si>
  <si>
    <t>FF01</t>
  </si>
  <si>
    <t>RQ.OPE.902 adquisición de bolsas para el área de operaciones RQ.LOG.222</t>
  </si>
  <si>
    <t>FF01-00011791</t>
  </si>
  <si>
    <t>Alquiler de equipo de sonido del día 24/01/2025 para capacitación de residuos de envases agroquímico</t>
  </si>
  <si>
    <t>RH E001-145</t>
  </si>
  <si>
    <t>FE02-182</t>
  </si>
  <si>
    <t>Reposicion - Caja Chica AQP - RC 001-001_2025</t>
  </si>
  <si>
    <t>Caja Arequipa - Juber Monteza - Cuota 28</t>
  </si>
  <si>
    <t>F136-9355 Combustible</t>
  </si>
  <si>
    <t>F136-9355</t>
  </si>
  <si>
    <t>F135-6417 Combustible</t>
  </si>
  <si>
    <t>F135-6417</t>
  </si>
  <si>
    <t>E001-201, RQ.OPE.908 Mnto. correctivo (soldadura de extensión de uñas) del montacargas de Villa Esperanza</t>
  </si>
  <si>
    <t>E001-201</t>
  </si>
  <si>
    <t>Disposicion residuos no aprovechables - 05.02.2025</t>
  </si>
  <si>
    <t>Alberto Caballero Huanuco</t>
  </si>
  <si>
    <t>001- N° 004110</t>
  </si>
  <si>
    <t>DEPOSITO AG 995758</t>
  </si>
  <si>
    <t>FE01-556</t>
  </si>
  <si>
    <t>PROV TLC 000255</t>
  </si>
  <si>
    <t>FA21</t>
  </si>
  <si>
    <t>E001-334  Servicio de Internet mes de Febrero 2025 - FIXER TELECOMUNICACIONES S.A.C</t>
  </si>
  <si>
    <t>E001-334</t>
  </si>
  <si>
    <t>Disposicion residuos no aprovechables - 06.02.2025</t>
  </si>
  <si>
    <t>002- N° 000705</t>
  </si>
  <si>
    <t>S001-28701751</t>
  </si>
  <si>
    <t>POSI020558226979/ SCTR SALUD-EPS</t>
  </si>
  <si>
    <t>F040-00485844</t>
  </si>
  <si>
    <t>F040-00614700</t>
  </si>
  <si>
    <t>001- N° 004108</t>
  </si>
  <si>
    <t>001- N° 004111</t>
  </si>
  <si>
    <t>DE GRUPO DE GESTION C</t>
  </si>
  <si>
    <t>FE01-509</t>
  </si>
  <si>
    <t>001- N° 004122</t>
  </si>
  <si>
    <t>001- N° 004128</t>
  </si>
  <si>
    <t>001- N° 004138</t>
  </si>
  <si>
    <t>0000000518 GRANJA RINC</t>
  </si>
  <si>
    <t>FE01-513
FE01-514
FE01-515 
FE01-516
FE01-517
FE01-518</t>
  </si>
  <si>
    <t>E010000486 FLSMIDTH S.</t>
  </si>
  <si>
    <t>FE01-486</t>
  </si>
  <si>
    <t>FE05-125</t>
  </si>
  <si>
    <t>Paul Olazabal Valdivia</t>
  </si>
  <si>
    <t>001- N° 004142</t>
  </si>
  <si>
    <t>Reposición - Caja Conductores - 2025 / RCO-03</t>
  </si>
  <si>
    <t>RCO-03</t>
  </si>
  <si>
    <t>RQ.GH.137 Entregas a rendir / ER-001-0062025</t>
  </si>
  <si>
    <t>COMEC002760647</t>
  </si>
  <si>
    <t>001- N° 004147</t>
  </si>
  <si>
    <t>002- N° 000673</t>
  </si>
  <si>
    <t>002- N° 000713</t>
  </si>
  <si>
    <t>Disposicion residuos no aprovechables - 10.02.2025</t>
  </si>
  <si>
    <t>PROV TLC 000256</t>
  </si>
  <si>
    <t>002- N° 000712</t>
  </si>
  <si>
    <t>COM.CCE PRO 000048</t>
  </si>
  <si>
    <t>FFF1-000107 Servicio de Internet Febrero 2025</t>
  </si>
  <si>
    <t>FFF1-000107</t>
  </si>
  <si>
    <t>F8650145752</t>
  </si>
  <si>
    <t>F005</t>
  </si>
  <si>
    <t>F005-87, RQ.SSO.194 Desratización y desinsectación en el almacén 03</t>
  </si>
  <si>
    <t>F005-87</t>
  </si>
  <si>
    <t>DETR.MASIVA 7557671751</t>
  </si>
  <si>
    <t>PROV TLC 48</t>
  </si>
  <si>
    <t>001- N° 004146</t>
  </si>
  <si>
    <t>S001-28701598</t>
  </si>
  <si>
    <t>EQUI020558226979</t>
  </si>
  <si>
    <t>F001-980820</t>
  </si>
  <si>
    <t>F001-996182</t>
  </si>
  <si>
    <t>F001-1004496</t>
  </si>
  <si>
    <t>FE22</t>
  </si>
  <si>
    <t>FE22-14392</t>
  </si>
  <si>
    <t>001-58228012</t>
  </si>
  <si>
    <t>RQ.OPE.930 Entregas a rendir - ER-001-0112025</t>
  </si>
  <si>
    <t>Entr.efec. 0579099</t>
  </si>
  <si>
    <t>FE02-192</t>
  </si>
  <si>
    <t>PAGOS AFP INTEGRA (Intereses: 4.18)</t>
  </si>
  <si>
    <t>PROV TLC 50</t>
  </si>
  <si>
    <t>OC 001 – N° 001766 Residuos Aprovechables</t>
  </si>
  <si>
    <t>RXH E001-36, RQ.GH.143 Asesoría elaboración de la escala salarial</t>
  </si>
  <si>
    <t>E001-36</t>
  </si>
  <si>
    <t>PAGOS AFP PRIMA (Intereses: 1.88)</t>
  </si>
  <si>
    <t>E001-4511, RQ.OPE.925 por transporte de residuos</t>
  </si>
  <si>
    <t>EMPRESA DE TRANSPORTES Y SERVICIOS GENER</t>
  </si>
  <si>
    <t>E001-4511</t>
  </si>
  <si>
    <t>E001-122, RQ.COM.238 Servicio tercerizado por carguío de Papel Craft.</t>
  </si>
  <si>
    <t>E001-122</t>
  </si>
  <si>
    <t>RQ.OPE.931 Entregas a rendir/ ER-001-0072025</t>
  </si>
  <si>
    <t>PAGOS AFP HABITAT (Intereses: 0.66)</t>
  </si>
  <si>
    <t>PAGOS AFP PROFUTUR (Intereses: 0.26)</t>
  </si>
  <si>
    <t>FE01-510</t>
  </si>
  <si>
    <t>De empresa conservador</t>
  </si>
  <si>
    <t>FE02-190</t>
  </si>
  <si>
    <t>Alfredo Enrique Salcedo</t>
  </si>
  <si>
    <t>001- N° 004154</t>
  </si>
  <si>
    <t>FE01-503
FE01-504
FE01-505</t>
  </si>
  <si>
    <t>E010000506 DOMINIONPER</t>
  </si>
  <si>
    <t>FE01-506</t>
  </si>
  <si>
    <t>WILBER QUISPE PRIETO</t>
  </si>
  <si>
    <t>Devolución- RQ.OPE.903 Entregas a rendir/ER-001-0042025</t>
  </si>
  <si>
    <t>S106-0002273087</t>
  </si>
  <si>
    <t>S002-68259519</t>
  </si>
  <si>
    <t>002- N° 000715</t>
  </si>
  <si>
    <t>0200000175 MOLY-COP AD</t>
  </si>
  <si>
    <t>FE02-175</t>
  </si>
  <si>
    <t>DE POWER SAC</t>
  </si>
  <si>
    <t>FE01-544</t>
  </si>
  <si>
    <t>Disposicion residuos no aprovechables - 13.02.2025</t>
  </si>
  <si>
    <t>RQ.GH.144 Entregas a rendir/ ER-001-0092025</t>
  </si>
  <si>
    <t>RQ.OPE.926 Adquisición de insumos / materiales para el área de operaciones. (plastico film)</t>
  </si>
  <si>
    <t>GLOBAL PERLA S CAR SAC.</t>
  </si>
  <si>
    <t>F013-31909</t>
  </si>
  <si>
    <t>RQ.GH.145 Entregas a rendir/ ER-001-0102025</t>
  </si>
  <si>
    <t>Adelanto 50% E001-670, RQ.SSO.199 compra EPPs pantalones y mamelucos. / OC 004-000141</t>
  </si>
  <si>
    <t>HERLIZ CONFECCIONES EIRL</t>
  </si>
  <si>
    <t>Adelanto 50% E001-671, RQ.SSO.199 compra EPPs polos / OC 004-000142</t>
  </si>
  <si>
    <t>E001-671</t>
  </si>
  <si>
    <t>OC 001 – N° 001770 Residuos Aprovechables</t>
  </si>
  <si>
    <t>F012-7167</t>
  </si>
  <si>
    <t>E001-3873, RQ.SSO.204 compra de sillas ergonómicas para el personal faltante</t>
  </si>
  <si>
    <t>LUVOG SAC</t>
  </si>
  <si>
    <t>E001-3873</t>
  </si>
  <si>
    <t>000000000000543 METALU</t>
  </si>
  <si>
    <t>FE01-543</t>
  </si>
  <si>
    <t>000FE01498 CARGO TRANS</t>
  </si>
  <si>
    <t>FE01-498</t>
  </si>
  <si>
    <t>Arcadio Pucho Cama</t>
  </si>
  <si>
    <t>001- N° 004156</t>
  </si>
  <si>
    <t>00FE01-254 ALFRED H. K</t>
  </si>
  <si>
    <t>FE01-524</t>
  </si>
  <si>
    <t>DE SCOMAR SRL</t>
  </si>
  <si>
    <t>FE02-191</t>
  </si>
  <si>
    <t>Ruben Humberto Queque Huanca</t>
  </si>
  <si>
    <t>001- N° 004161</t>
  </si>
  <si>
    <t>DE SAMA OCUPACIONAL EI</t>
  </si>
  <si>
    <t>FE01-563</t>
  </si>
  <si>
    <t>FE05-119</t>
  </si>
  <si>
    <t>FN01-29401050</t>
  </si>
  <si>
    <t xml:space="preserve">F136-9449 Combustible </t>
  </si>
  <si>
    <t xml:space="preserve"> F136-9449</t>
  </si>
  <si>
    <t>RQ.OPE.935 Entregas a rendir - ER-001-0122025</t>
  </si>
  <si>
    <t>PAGO DETRAC 7560383396</t>
  </si>
  <si>
    <t>Disposicion residuos no aprovechables - 17.02.2025</t>
  </si>
  <si>
    <t>F8640128057</t>
  </si>
  <si>
    <t>F8640128049</t>
  </si>
  <si>
    <t>TELE000915030176 / 915030176</t>
  </si>
  <si>
    <t>SB01-0520109127</t>
  </si>
  <si>
    <t>TELE000915030176 / 915030176 / Cuota 3 de 18</t>
  </si>
  <si>
    <t>TRAN.CTAS.TERC.HK</t>
  </si>
  <si>
    <t>FE02-193</t>
  </si>
  <si>
    <t>FE01-564</t>
  </si>
  <si>
    <t>FE02-166</t>
  </si>
  <si>
    <t>A 193 2469516 0</t>
  </si>
  <si>
    <t>F001-13435</t>
  </si>
  <si>
    <t>COM.CCE PRO 000257</t>
  </si>
  <si>
    <t>FN01-29478733</t>
  </si>
  <si>
    <t>PROV TLC 000257</t>
  </si>
  <si>
    <t>RQ.LOG.245 Entregas a rendir/ ER-001-0152025</t>
  </si>
  <si>
    <t>Devolución de ER-001-0052025 - RQ.LOG.227 - Entregas a rendir</t>
  </si>
  <si>
    <t>FN01-29773782</t>
  </si>
  <si>
    <t>PACI020558226979</t>
  </si>
  <si>
    <t>PACIFICO SEGUROS</t>
  </si>
  <si>
    <t>F050-01716976</t>
  </si>
  <si>
    <t>COMERCIALIZADORA EVER LUIS S.A.C.</t>
  </si>
  <si>
    <t>002- N° 000719</t>
  </si>
  <si>
    <t>ECOMILAN EMPRESA INDIVIDUAL DE RESPONSABILIDAD LIMITADA.</t>
  </si>
  <si>
    <t>001- N° 004169</t>
  </si>
  <si>
    <t>02-0000196 LADRILLERA</t>
  </si>
  <si>
    <t>FE02-196</t>
  </si>
  <si>
    <t>F040-00609322</t>
  </si>
  <si>
    <t>E001-396, RQ.LOG.251, para poder realizar la compra de las herramientas y equipos</t>
  </si>
  <si>
    <t>CASA CROWN SAC</t>
  </si>
  <si>
    <t>E001-396</t>
  </si>
  <si>
    <t>F040-00482204</t>
  </si>
  <si>
    <t>Adelanto de sueldo Febrero 2025 - VELASQUEZ CONDORI JOEL JONATHAN</t>
  </si>
  <si>
    <t>RQ.SSO.208 Autorización VUCE - Unidades de transporte Carlos Kayro: VAY858, C5I741 y V8C809/ER-001-0252025</t>
  </si>
  <si>
    <t>RQ.GH.139 Entregas a rendir/ ER-001-0142025</t>
  </si>
  <si>
    <t>Adelanto de sueldo Febrero 2025 - GUIZADO PORRAS RONALD ENRIQUE</t>
  </si>
  <si>
    <t>Adelanto de sueldo Febrero 2025 - PRIETO ALCCA EBERT</t>
  </si>
  <si>
    <t>Adelanto de sueldo Febrero 2025 - LEON NN WILLIAN JOHAN</t>
  </si>
  <si>
    <t>Adelanto de sueldo Febrero 2025 - HUANUCO ORTEGA CRISTIAN MANUEL</t>
  </si>
  <si>
    <t>Adelanto de sueldo Febrero 2025 - PONCE FEBRES GLEEN STEV</t>
  </si>
  <si>
    <t>Adelanto de sueldo Febrero 2025 - CRISSLEY LAZARTE AGUIRRE</t>
  </si>
  <si>
    <t>E001-395, RQ.LOG.251, para poder realizar la compra de las herramientas y equipos</t>
  </si>
  <si>
    <t>E001-395</t>
  </si>
  <si>
    <t>Compartamos Financiera - Cuota 28</t>
  </si>
  <si>
    <t>E001-98, RQ.SSO.200 para la confección de 48 camisas para el personal administrativo (blancas y plomas)</t>
  </si>
  <si>
    <t>GUERE POMA SISAN</t>
  </si>
  <si>
    <t>E001-98</t>
  </si>
  <si>
    <t>F001-23074, RQ.LOG.251, para poder realizar la compra de las herramientas y equipos</t>
  </si>
  <si>
    <t>F001-23074</t>
  </si>
  <si>
    <t>PROV TLC 000258</t>
  </si>
  <si>
    <t>Reposición - Caja Conductores - 2025 / RCO-04</t>
  </si>
  <si>
    <t>RCO-04</t>
  </si>
  <si>
    <t>Financiera Confianza - 104-009773582-1 Cuota (19-21)</t>
  </si>
  <si>
    <t>F152</t>
  </si>
  <si>
    <t>RQ.OPE.917, referente a mantenimiento preventivo de la unidad HINO V9R-903</t>
  </si>
  <si>
    <t>CONCESIONARIOS AUTORIZADOS S.A.C</t>
  </si>
  <si>
    <t>F152-0025749</t>
  </si>
  <si>
    <t>RH E001-17, RQ.GER.052 Servicio de levantamiento topográfico</t>
  </si>
  <si>
    <t>RH E001-17</t>
  </si>
  <si>
    <t>RQ.OPE.949 Entregas a rendir - ER-001-0132025</t>
  </si>
  <si>
    <t>RQ.OPE.950 Entregas a rendir/ ER-001-0082025</t>
  </si>
  <si>
    <t>OC 001 – N° 001776 Residuos Aprovechables</t>
  </si>
  <si>
    <t>F002-767</t>
  </si>
  <si>
    <t>002- N° 000718</t>
  </si>
  <si>
    <t>002- N° 000722</t>
  </si>
  <si>
    <t>Florian</t>
  </si>
  <si>
    <t>DETR.MASIVA 7564660235</t>
  </si>
  <si>
    <t>F8640128977</t>
  </si>
  <si>
    <t>F002-1640, RQ.COM.251, por el servicio de transporte de 92 IBC's hacia Lima.</t>
  </si>
  <si>
    <t>F002-1640</t>
  </si>
  <si>
    <t>E001-879, RQ.LOG.236 insumos de limpieza</t>
  </si>
  <si>
    <t>E001-879</t>
  </si>
  <si>
    <t>F8670146808</t>
  </si>
  <si>
    <t>F001-1983, RQ.SSO.206 compra de capotines y botas para la lluvia para realizar actividades operati</t>
  </si>
  <si>
    <t>SHALOM DISTRIBUCIONES LOGISTICAS EIRL</t>
  </si>
  <si>
    <t>F001-1983</t>
  </si>
  <si>
    <t>E001-168, RQ.OPE.951 por descarga de residuos</t>
  </si>
  <si>
    <t>E001-168</t>
  </si>
  <si>
    <t>FN01-29842795</t>
  </si>
  <si>
    <t>DE ENVASES CAROLINA SA</t>
  </si>
  <si>
    <t>FE02-200</t>
  </si>
  <si>
    <t>E001-969</t>
  </si>
  <si>
    <t>APARECIA COMO CANCELADO EN EXCEL (DE COLOR VERDE, NOS E ENCONTRO MOVIMIENTO PARA ELIMINAR)</t>
  </si>
  <si>
    <t>E001-346 Servicio de Internet mes de Febrero 2025 - FIXER TELECOMUNICACIONES S.A.C</t>
  </si>
  <si>
    <t xml:space="preserve">E001-346 </t>
  </si>
  <si>
    <t>Angel Hancco Pineda</t>
  </si>
  <si>
    <t>001- N° 004185</t>
  </si>
  <si>
    <t>FE01-549
FE01-550</t>
  </si>
  <si>
    <t>FE01-559</t>
  </si>
  <si>
    <t>E001-3211, RQ.OPE.945 por transporte de residuos</t>
  </si>
  <si>
    <t>E001-3211</t>
  </si>
  <si>
    <t>F002 - 18416 - Mantenimiento preventivo - BKK-849 - RQ.OPE.966</t>
  </si>
  <si>
    <t>F002 - 18416</t>
  </si>
  <si>
    <t>E001-31, RQ.LOG.255 compra de materiales usados para tarrajeado de oficina en Almacén Villa Esperanz</t>
  </si>
  <si>
    <t>TIENDAS LA NOVENTA E.I.R.L.</t>
  </si>
  <si>
    <t>E001-31</t>
  </si>
  <si>
    <t>ENTR.EFEC. 0262095</t>
  </si>
  <si>
    <t>FE01-561</t>
  </si>
  <si>
    <t>FE01-575</t>
  </si>
  <si>
    <t>002- N° 000720</t>
  </si>
  <si>
    <t>002- N° 000721</t>
  </si>
  <si>
    <t>001- N° 004163</t>
  </si>
  <si>
    <t>001- N° 004175</t>
  </si>
  <si>
    <t>001- N° 004186</t>
  </si>
  <si>
    <t>0000499000 CORP.ELECTR</t>
  </si>
  <si>
    <t>FE01-499</t>
  </si>
  <si>
    <t>Disposicion residuos no aprovechables - 24.02.2025 (01)</t>
  </si>
  <si>
    <t>Disposicion residuos no aprovechables - 24.02.2025 (02)</t>
  </si>
  <si>
    <t>Wilfredo Narvaez Ccallme</t>
  </si>
  <si>
    <t>001- N° 004178</t>
  </si>
  <si>
    <t>001- N° 004187</t>
  </si>
  <si>
    <t>Disposicion residuos no aprovechables - 24.02.2025 (03)</t>
  </si>
  <si>
    <t>PROV TLC 57</t>
  </si>
  <si>
    <t>DETR.MASIVA 7567460218</t>
  </si>
  <si>
    <t>OC 001 – N° 001784 Residuos Aprovechables</t>
  </si>
  <si>
    <t>F012-7168</t>
  </si>
  <si>
    <t>FN01-29938910</t>
  </si>
  <si>
    <t>001- N° 004197</t>
  </si>
  <si>
    <t>FE01-547</t>
  </si>
  <si>
    <t>Juan Ponce Vasquez</t>
  </si>
  <si>
    <t>001- N° 004158</t>
  </si>
  <si>
    <t>E001-2203, RQ.SSO.211 Recarga extintor 9kg</t>
  </si>
  <si>
    <t>FUMISERVIS SOLUCIONES J E EIRL</t>
  </si>
  <si>
    <t>E001-2203</t>
  </si>
  <si>
    <t>Disposicion residuos no aprovechables - 26.02.2025</t>
  </si>
  <si>
    <t>RQ.STI.072 Revisión y diagnóstico de 09 laptops y 05 pc's</t>
  </si>
  <si>
    <t>RH E001-1263</t>
  </si>
  <si>
    <t>OC 001 – N° 001785 Residuos Aprovechables</t>
  </si>
  <si>
    <t>VOESTALPINE HIGH PERFORMANCE METALS DEL</t>
  </si>
  <si>
    <t>PROV TLC 59</t>
  </si>
  <si>
    <t>FE02-185
FE01-539</t>
  </si>
  <si>
    <t>FE02-198</t>
  </si>
  <si>
    <t>ENTR.EFEC. 0543480</t>
  </si>
  <si>
    <t>FE02-194</t>
  </si>
  <si>
    <t>FE05-132</t>
  </si>
  <si>
    <t>FE05-133</t>
  </si>
  <si>
    <t>FE05-130</t>
  </si>
  <si>
    <t>02-0000199 LADRILLERA</t>
  </si>
  <si>
    <t>FE02-199</t>
  </si>
  <si>
    <t>FP60</t>
  </si>
  <si>
    <t>FP60-00001852 Pasaje Lima - Arequipa</t>
  </si>
  <si>
    <t>FP60-00001852</t>
  </si>
  <si>
    <t>OC 001 – N° 001800 Residuos Aprovechables</t>
  </si>
  <si>
    <t>F012-7169</t>
  </si>
  <si>
    <t>E001-30,RQ.OPE.972 servicio de reparación  de caja del montacargas del montacargas de Villa Esperanz</t>
  </si>
  <si>
    <t>E001-30</t>
  </si>
  <si>
    <t>DE RECOLEC RAMBISHO EI</t>
  </si>
  <si>
    <t>001- N° 004206</t>
  </si>
  <si>
    <t>FE01-567
FE01-568</t>
  </si>
  <si>
    <t>FE02-201</t>
  </si>
  <si>
    <t>DEVOL. PAGO 000061</t>
  </si>
  <si>
    <t>000000000000565 METALU</t>
  </si>
  <si>
    <t>FE01-565</t>
  </si>
  <si>
    <t>DEPOSITO AG 985878</t>
  </si>
  <si>
    <t>001- N° 004202</t>
  </si>
  <si>
    <t>Gilmar Apaza Quispe</t>
  </si>
  <si>
    <t>001- N° 004207</t>
  </si>
  <si>
    <t>FI01</t>
  </si>
  <si>
    <t>FN01-30022058</t>
  </si>
  <si>
    <t>RQ.SSO.215 Inducción de personal para el ingreso a Pesquera Diamante.</t>
  </si>
  <si>
    <t>F001-39630</t>
  </si>
  <si>
    <t>RQ.SSO.213 Entregas a rendir - ER-001-0162025</t>
  </si>
  <si>
    <t>FA01</t>
  </si>
  <si>
    <t>Impresión de 50 Kit de Cuaderno Corporativo/ Inversiones y Articulos Publicitarios - Cot N 001</t>
  </si>
  <si>
    <t>INVERSIONES Y ARTICULOS PUBLICITARIOS R</t>
  </si>
  <si>
    <t>FA01-00000068</t>
  </si>
  <si>
    <t>Saldo E001-670, RQ.SSO.199 compra EPPs pantalones y mamelucos. / OC 004-000141</t>
  </si>
  <si>
    <t>E001-670</t>
  </si>
  <si>
    <t>PAGO IMPUES 7568750652</t>
  </si>
  <si>
    <t>SUNA002307240532</t>
  </si>
  <si>
    <t>SUNA002307240533</t>
  </si>
  <si>
    <t>E001-3741, RQ.COM.257 por el servicio de transporte para disposición final de residuos no aprovechab</t>
  </si>
  <si>
    <t>E001-3741</t>
  </si>
  <si>
    <t>F8650149176</t>
  </si>
  <si>
    <t>F8670148068</t>
  </si>
  <si>
    <t>DETR.MASIVA 7569127186</t>
  </si>
  <si>
    <t>HABER TLC 61/ Planilla Feb2025</t>
  </si>
  <si>
    <t>Regularizacion ITF</t>
  </si>
  <si>
    <t>FE01-511
FE01-512
FE01-529</t>
  </si>
  <si>
    <t>BALDERA AMAYA VIKY MAGALLY</t>
  </si>
  <si>
    <t>001- N° 004208</t>
  </si>
  <si>
    <t>FE02-202</t>
  </si>
  <si>
    <t>COM.CCE PRO 000062</t>
  </si>
  <si>
    <t>FN01-30120949</t>
  </si>
  <si>
    <t>PROV TLC 62</t>
  </si>
  <si>
    <t>E001-104,RQ.LOG.262 compra e instalación de mayólicas y otros materiales</t>
  </si>
  <si>
    <t xml:space="preserve">GAITAN ESPERILLA CARLOS ALEJANDRO </t>
  </si>
  <si>
    <t>E001-104</t>
  </si>
  <si>
    <t>F001-7932, RQ.STI.073 Compra de toners para fotocopiadora Konica Minolta y Canon C250iF.</t>
  </si>
  <si>
    <t>F001-7932</t>
  </si>
  <si>
    <t>COM.CCE PRO 000063</t>
  </si>
  <si>
    <t>S9AA-65920124</t>
  </si>
  <si>
    <t>RQ.GH.150 Entregas a rendir/ ER-001-0182025</t>
  </si>
  <si>
    <t>HABER TLC 68</t>
  </si>
  <si>
    <t>HABER TLC 66</t>
  </si>
  <si>
    <t>Caja Arequipa - Juber Monteza - Cuota 29</t>
  </si>
  <si>
    <t>Reposicion - Caja Chica AQP - RC 001-002_2025</t>
  </si>
  <si>
    <t>PROV TLC 63</t>
  </si>
  <si>
    <t>FF16</t>
  </si>
  <si>
    <t>001- N° 004191</t>
  </si>
  <si>
    <t>001- N° 004200</t>
  </si>
  <si>
    <t>001- N° 004205</t>
  </si>
  <si>
    <t>001- N° 004214</t>
  </si>
  <si>
    <t>FE05-128</t>
  </si>
  <si>
    <t>FE05-127</t>
  </si>
  <si>
    <t>FE05-126</t>
  </si>
  <si>
    <t>FN01-30131594</t>
  </si>
  <si>
    <t>OC 001 – N° 001810 Residuos Aprovechables</t>
  </si>
  <si>
    <t>F001-66419</t>
  </si>
  <si>
    <t>E001-357 Servicio de Internet mes de Marzo 2025 - FIXER TELECOMUNICACIONES S.A.C.</t>
  </si>
  <si>
    <t>E001-357</t>
  </si>
  <si>
    <t>F012-7282</t>
  </si>
  <si>
    <t>Disposicion residuos peligrosos</t>
  </si>
  <si>
    <t>F002 - 18499,RQ.OPE.907 Referente a mantenimiento preventivo(cambio de aceite y filtros) de la unida</t>
  </si>
  <si>
    <t>RQ.OPE.981 Entregas a rendir - ER-001-0232025</t>
  </si>
  <si>
    <t>Disposicion residuos no aprovechables - 04.03.2025</t>
  </si>
  <si>
    <t>DETR.MASIVA 7571848687</t>
  </si>
  <si>
    <t>E001-33, RQ.OPE.980, referente a la compra de repuestos de caja del montacargas de Villa Esperanza</t>
  </si>
  <si>
    <t>E001-33</t>
  </si>
  <si>
    <t>PROV TLC 69</t>
  </si>
  <si>
    <t>E020000205 CORPORACION</t>
  </si>
  <si>
    <t>FE02-205</t>
  </si>
  <si>
    <t>ENTR.EFEC. 0864269</t>
  </si>
  <si>
    <t>FE02-204</t>
  </si>
  <si>
    <t>Devolución RQ.GH.137 Entregas a rendir / ER-001-0062025</t>
  </si>
  <si>
    <t>Reintegro - RQ.GH.144 Entregas a Rendir - ER-001-0092025</t>
  </si>
  <si>
    <t>Reintegro - RQ.GH.145 Entregas a Rendir - ER-001-0102025</t>
  </si>
  <si>
    <t>Reintegro - RQ.GH.139 Entregas a rendir - ER-001-0142025</t>
  </si>
  <si>
    <t>F001-3573, RQ.LOG.261 actualizado con la lista de materiales completa para el tarrajeado de oficinas y garita d</t>
  </si>
  <si>
    <t>IMPORTADORA CITSA S.A.C.</t>
  </si>
  <si>
    <t>F001-3573</t>
  </si>
  <si>
    <t>Saldo 50% E001-671, RQ.SSO.199 compra EPPs polos / OC 004-000142</t>
  </si>
  <si>
    <t>RH E001-15, RQ.GER.053 Gestiones de empresa</t>
  </si>
  <si>
    <t>LEDESMA GRANADOS CESAR ARMANDO</t>
  </si>
  <si>
    <t>RH E001- 235, RQ.GER.054 Asesoría en el desarrollo de un sistema de información de costos</t>
  </si>
  <si>
    <t>RIOS MEDINA RUBEN</t>
  </si>
  <si>
    <t>F002-1649, RQ.OPE.961 por transporte de residuos</t>
  </si>
  <si>
    <t>F002-1649</t>
  </si>
  <si>
    <t>E001-693, RQ.SSO.199 compra EPPs pantalones y mamelucos. / OC 004-000141</t>
  </si>
  <si>
    <t>E001-693</t>
  </si>
  <si>
    <t>BCO.CITI0031373242</t>
  </si>
  <si>
    <t>FE01-532</t>
  </si>
  <si>
    <t>VANNESSA DANNIELLA AMADO FARFAN</t>
  </si>
  <si>
    <t>RQ.SSO.213 Entregas a rendir/  ER-001-0162025</t>
  </si>
  <si>
    <t>RQ.SSO.216 Inducción que debera dar el trabajador Anthony Huamani (Modulo 2)</t>
  </si>
  <si>
    <t>F001-39862</t>
  </si>
  <si>
    <r>
      <t xml:space="preserve">CLAR000003358327 / </t>
    </r>
    <r>
      <rPr>
        <sz val="9"/>
        <color rgb="FFFF0000"/>
        <rFont val="Aptos Narrow"/>
        <family val="2"/>
      </rPr>
      <t>F01500273334</t>
    </r>
  </si>
  <si>
    <t>F015-00273334</t>
  </si>
  <si>
    <t>Disposicion residuos no aprovechables - 06.03.2025</t>
  </si>
  <si>
    <t>RQ.LOG.263 Entregas a rendir / ER-001-0222025</t>
  </si>
  <si>
    <t>F013-32983, RQ.OPE.926 en referencia para la adquisición de insumos / materiales</t>
  </si>
  <si>
    <t>F013-32983</t>
  </si>
  <si>
    <t>RQ.GH.153 Entregas a rendir/ ER-001-0192025</t>
  </si>
  <si>
    <t>F002-18508,RQ.OPE.969, referente a mantenimiento preventivo(cambio de aceite y filtros) de la unidad</t>
  </si>
  <si>
    <t>F002-18508</t>
  </si>
  <si>
    <t>OC 001 – N° 001812 Residuos Aprovechables</t>
  </si>
  <si>
    <t>F012-7283</t>
  </si>
  <si>
    <t>PROV TLC 70</t>
  </si>
  <si>
    <t>F8640130611</t>
  </si>
  <si>
    <t>F8650150351</t>
  </si>
  <si>
    <t>Alquiler Alm Huaranguillo2 Mar25</t>
  </si>
  <si>
    <t>FE01-569</t>
  </si>
  <si>
    <t>FN01-30225567</t>
  </si>
  <si>
    <t>RH E001- 3 - Mantenimiento correctivo VBB840 - RQ.OPE.765</t>
  </si>
  <si>
    <t>TARAZONA VEGA BELI TEOBALDO</t>
  </si>
  <si>
    <t>RH E001- 3</t>
  </si>
  <si>
    <t>F015-00273333</t>
  </si>
  <si>
    <t>Queda saldo de 30.68 en factura</t>
  </si>
  <si>
    <t>RQ.COM.268 Y RQ.COM.269 Entregas a rendir/ ER-001-0172025</t>
  </si>
  <si>
    <t>F001 - 00009346 -Mantenimiento Correctivo V9R903 - RQ.OPE.933</t>
  </si>
  <si>
    <t xml:space="preserve">F001 - 00009346 </t>
  </si>
  <si>
    <t>SERVICIO DE VALORIZACION DE RESIDUOS SOLIDOS
PELIGROSOS</t>
  </si>
  <si>
    <t>FIERROS CENTER &amp; METALES INDUSTRIALES S.</t>
  </si>
  <si>
    <t>F001-00000031</t>
  </si>
  <si>
    <t>PROV TLC 71</t>
  </si>
  <si>
    <t>DETR.MASIVA 7574114179</t>
  </si>
  <si>
    <t>Reposición - Caja Conductores - 2025 / RCO-05</t>
  </si>
  <si>
    <t>002- N° 000729</t>
  </si>
  <si>
    <t>Disposicion residuos no aprovechables - 10.03.2025</t>
  </si>
  <si>
    <t>E001-1007</t>
  </si>
  <si>
    <t xml:space="preserve">MONTO ES MENOR EN CP  </t>
  </si>
  <si>
    <t>Olga Carnavaray Pretel</t>
  </si>
  <si>
    <t>001- N° 004230</t>
  </si>
  <si>
    <t>E001-12</t>
  </si>
  <si>
    <t>FE05-134</t>
  </si>
  <si>
    <t>OC 001 – N° 001818 Residuos Aprovechables</t>
  </si>
  <si>
    <t>F012-7284</t>
  </si>
  <si>
    <t>PROV TLC 72</t>
  </si>
  <si>
    <t>FE05-135</t>
  </si>
  <si>
    <t>PAGOS AFP PROFUTUR (Intereses: 0.28)</t>
  </si>
  <si>
    <t>PAGOS AFP HABITAT (Intereses: 0.81)</t>
  </si>
  <si>
    <t>PAGOS AFP PRIMA (Intereses: 1.64)</t>
  </si>
  <si>
    <t>PAGOS AFP INTEGRA (Intereses: 4.40)</t>
  </si>
  <si>
    <t>DE COMANDO SOCIEDAD AN</t>
  </si>
  <si>
    <t>FE01-554</t>
  </si>
  <si>
    <t>DE MEGA PESCA SOCIEDAD</t>
  </si>
  <si>
    <t>E001-19</t>
  </si>
  <si>
    <t xml:space="preserve">Devolución- Entregas a rendir   RQ.OPE.903 ER-001-0042025 /RQ.OPE.931 ER-001-0072025 /RQ.OPE.950 ER-001-0082025 </t>
  </si>
  <si>
    <t>ER-001-0042025
ER-001-0072025
ER-001-0082025</t>
  </si>
  <si>
    <t>RQ.SSO.220 Inducción de personal para el ingreso a Pesquera Diamante.</t>
  </si>
  <si>
    <t>FE23</t>
  </si>
  <si>
    <t>FE23-17585</t>
  </si>
  <si>
    <t>F313</t>
  </si>
  <si>
    <t>ALICSU1000036719</t>
  </si>
  <si>
    <t>ALICORP S.A.A.</t>
  </si>
  <si>
    <t>F313-6010</t>
  </si>
  <si>
    <t>F001-7289, RQ.LOG.267 Palas carboneras (03) y RQ.OPE.986 Palas carboneras (03)</t>
  </si>
  <si>
    <t>F001-7289</t>
  </si>
  <si>
    <t>S001-29207019</t>
  </si>
  <si>
    <t>F313-6011</t>
  </si>
  <si>
    <t>F313-6012</t>
  </si>
  <si>
    <t>001- N° 004224</t>
  </si>
  <si>
    <t>001- N° 004237</t>
  </si>
  <si>
    <t>0010000015 CORPORACION</t>
  </si>
  <si>
    <t>E001-15</t>
  </si>
  <si>
    <t>Disposicion residuos no aprovechables - 12.03.2025</t>
  </si>
  <si>
    <t>Impresión de 50 Kit de Cuaderno Corporativo</t>
  </si>
  <si>
    <t>0000000555 DANPER TRUJ</t>
  </si>
  <si>
    <t>FE01-555</t>
  </si>
  <si>
    <t>FE02-189</t>
  </si>
  <si>
    <t>RQ.STI.074 Servicio técnico para mantenimiento correctivo de laptop de Coord. SIG</t>
  </si>
  <si>
    <t>E001-377</t>
  </si>
  <si>
    <t>Disposicion residuos no aprovechables - 13.03.2025</t>
  </si>
  <si>
    <t>Disposicion residuos no aprovechables - 12.03.2025 (2)</t>
  </si>
  <si>
    <t>COM.CCE PRO 000076 -PRO TLC 76</t>
  </si>
  <si>
    <t>FN01-30882587</t>
  </si>
  <si>
    <t>Disposicion residuos no aprovechables - 13.03.2025(02)</t>
  </si>
  <si>
    <t>Disposicion residuos no aprovechables - 13.03.2025 (2)</t>
  </si>
  <si>
    <t>F8650151925</t>
  </si>
  <si>
    <t>F8650151883</t>
  </si>
  <si>
    <t>PROV TLC 76</t>
  </si>
  <si>
    <t>001- N° 004236</t>
  </si>
  <si>
    <t>Juan Mamani Gallegos</t>
  </si>
  <si>
    <t>001- N° 004240</t>
  </si>
  <si>
    <t>RH E001-28, RQ.GH.155 respecto a la elaboración del diccionario de competencias para GYTRES</t>
  </si>
  <si>
    <t>RH E001-28</t>
  </si>
  <si>
    <t>F001-1017, RQ.SSO.219 compra de polos personalizados para personal de limpieza.</t>
  </si>
  <si>
    <t>GRUPO GODPRO EIRL</t>
  </si>
  <si>
    <t>F001-1017</t>
  </si>
  <si>
    <t>E001-1, RQ.SSO.213 para el servicio de capacitación externa de IPERC</t>
  </si>
  <si>
    <t>CRC CONSULTORES Y ASOCIADOS SAC</t>
  </si>
  <si>
    <t>E001-1</t>
  </si>
  <si>
    <t>PROV TLC 77</t>
  </si>
  <si>
    <t>Alquiler almacen Arequipa (1) - Jun-24 / Jul-24</t>
  </si>
  <si>
    <t>Adelanto de sueldo Marzo 2025 - PONCE FEBRES GLEEN STEV</t>
  </si>
  <si>
    <t>Judith</t>
  </si>
  <si>
    <t>F016</t>
  </si>
  <si>
    <t>RQ.COM.244 para la elaboración de un contenedor metálico para cliente FLSmidth.</t>
  </si>
  <si>
    <t>ACEROS COMERCIALES S.R.L</t>
  </si>
  <si>
    <t>F016-116797</t>
  </si>
  <si>
    <t>Adelanto de sueldo Marzo 2025 - ALVARADO ALAMA ADRIAN</t>
  </si>
  <si>
    <t>REINTEGRO ER-001-0202025 , RQ.LOG.269 Entregas a rendir</t>
  </si>
  <si>
    <t>Adelanto de sueldo Marzo 2025 - QUEQUE ANCO JORGE LUIS</t>
  </si>
  <si>
    <t>Adelanto de sueldo Marzo 2025 - LEON NN WILLIAN JOHAN</t>
  </si>
  <si>
    <t>Adelanto de sueldo Marzo 2025 - CRISSLEY LAZARTE AGUIRRE</t>
  </si>
  <si>
    <t>E001-460, RQ.SIG.23 servicio de actualización mensual de la matriz de requisitos legales.</t>
  </si>
  <si>
    <t>E001-460</t>
  </si>
  <si>
    <t>Disposicion residuos no aprovechables - 17.03.2025</t>
  </si>
  <si>
    <t>Disposicion residuos no aprovechables - 14.03.2025</t>
  </si>
  <si>
    <t>FFF1-000129, Servicio de Internet Marzo 2025</t>
  </si>
  <si>
    <t>FFF1-000129</t>
  </si>
  <si>
    <t>Adelanto de sueldo Marzo 2025 - HUANUCO ORTEGA CRISTIAN MANUEL</t>
  </si>
  <si>
    <t>FE01-578
FE01-580
FE01-581</t>
  </si>
  <si>
    <t>000000000000203 METALU</t>
  </si>
  <si>
    <t>FE02-203</t>
  </si>
  <si>
    <t>001- N° 004215</t>
  </si>
  <si>
    <t>E001-3764, RQ.OPE.994 por transporte de residuos</t>
  </si>
  <si>
    <t>E001-3764</t>
  </si>
  <si>
    <t>FN01-30551921 O 
FN01-30553065</t>
  </si>
  <si>
    <t>E001-127, RQ.OPE.1003 por transporte de residuos</t>
  </si>
  <si>
    <t>E001-127</t>
  </si>
  <si>
    <t>Compartamos Financiera - Cuota 29</t>
  </si>
  <si>
    <t>RQ.STI.077, Servicio técnico de mantenimiento correctivo para fotocopiadora Konica Minolta c224</t>
  </si>
  <si>
    <t>F001-7994</t>
  </si>
  <si>
    <t>Disposicion residuos no aprovechables - 18.03.2025 y 19.03.2025</t>
  </si>
  <si>
    <t>E001-2795, RQ.SIG.24 Elaboración del Buzón de Denuncias del Comité de Hostigamiento Sexual</t>
  </si>
  <si>
    <t>ALTO IMPACTO PUBLICIDAD SRL</t>
  </si>
  <si>
    <t>E001-2795</t>
  </si>
  <si>
    <t>RQ.COM.279 por la compra de un cilindro metálico para el servicio de TALMA</t>
  </si>
  <si>
    <t>RECPER SOCIEDAD ANONIMA CERRADA - RECPER</t>
  </si>
  <si>
    <t>E001-5541</t>
  </si>
  <si>
    <t>Disposicion residuos no aprovechables - 18.03.2025(01)</t>
  </si>
  <si>
    <t>DE UNIVERSIDAD TECNOLO</t>
  </si>
  <si>
    <t>FE01-507
FE01-508</t>
  </si>
  <si>
    <t>E001-29</t>
  </si>
  <si>
    <t>Préstamo aprobado por Gerencia</t>
  </si>
  <si>
    <t>FN01-30756070</t>
  </si>
  <si>
    <t>DETR.MASIVA 7582652719</t>
  </si>
  <si>
    <t>001- N° 004133</t>
  </si>
  <si>
    <t>001- N° 004144</t>
  </si>
  <si>
    <t>Disposicion residuos no aprovechables - 20.03.2025</t>
  </si>
  <si>
    <t>Disposicion residuos no aprovechables - 19.03.2025</t>
  </si>
  <si>
    <t>TDPC000605276769 / 605276769</t>
  </si>
  <si>
    <t>S9AA-67066289</t>
  </si>
  <si>
    <t>Cambio dólares a soles TC: 3.61</t>
  </si>
  <si>
    <t>001- N° 004225</t>
  </si>
  <si>
    <t>001- N° 004226</t>
  </si>
  <si>
    <t>001- N° 004229</t>
  </si>
  <si>
    <t>FE02-207</t>
  </si>
  <si>
    <t>COM.CCE PRO 000078</t>
  </si>
  <si>
    <t>FN01-30799573</t>
  </si>
  <si>
    <t>S106-0003935844</t>
  </si>
  <si>
    <t>S002-69619855</t>
  </si>
  <si>
    <t>E001-367 Servicio de Internet mes de Marzo 2025 - FIXER TELECOMUNICACIONES S.A.C</t>
  </si>
  <si>
    <t>E001-367</t>
  </si>
  <si>
    <t xml:space="preserve">SOC0000000564036 </t>
  </si>
  <si>
    <t>S001-29206866</t>
  </si>
  <si>
    <t>F004</t>
  </si>
  <si>
    <t>F004-4611 RAM'D S.A.C. - Galones de aceite (02)</t>
  </si>
  <si>
    <t xml:space="preserve">F004-4611 </t>
  </si>
  <si>
    <t>001-58494881</t>
  </si>
  <si>
    <t>FDX1</t>
  </si>
  <si>
    <t>FDX1-146, RQ.OPE.1014 Sprays para etiquetado de sacas (20612094862) Centro de Matizados Emmanuel</t>
  </si>
  <si>
    <t>CAHUANA CARBAJAL JHON ADERLY</t>
  </si>
  <si>
    <t>FDX1-146</t>
  </si>
  <si>
    <t>FDX1-147 RQ.COM.244 Elaboración de contender metálico (20612094862) Centro Matizados Emmanuel</t>
  </si>
  <si>
    <t xml:space="preserve">FDX1-147 </t>
  </si>
  <si>
    <t>E001-4505, RQ.OPE.948 servicio de cochera carga y descarga de montacargas UNICARRIERS</t>
  </si>
  <si>
    <t>E001-4505</t>
  </si>
  <si>
    <t>TELE000915030176/ 915030176</t>
  </si>
  <si>
    <t>SB01-0526492956</t>
  </si>
  <si>
    <t>TELE000915030176/ 915030176 / Cuota 4 de 18</t>
  </si>
  <si>
    <t>PROV TLC 78</t>
  </si>
  <si>
    <t>Alquiler almacen Arequipa (1) - Agos-24 a Nov-24</t>
  </si>
  <si>
    <t>LAPO020558226979 /SEG.VIDA-SCTR PENSION-VIDA LEY</t>
  </si>
  <si>
    <t>F040-00629327</t>
  </si>
  <si>
    <t>F040-00496180</t>
  </si>
  <si>
    <t>RQ.OPE.1015 Entregas a rendir - ER-001-0242025</t>
  </si>
  <si>
    <t>0200000197 MOLY-COP AD</t>
  </si>
  <si>
    <t>FE02-197</t>
  </si>
  <si>
    <t>Reintegro RQ.GH.153 Entregas a rendir/ ER-001-0192025</t>
  </si>
  <si>
    <t>Reintegro RQ.GH.150 Entregas a rendir/ ER-001-0182025</t>
  </si>
  <si>
    <t>BCO.CITI0031581591</t>
  </si>
  <si>
    <t>FE01-562</t>
  </si>
  <si>
    <t>FE01-585
FE01-586</t>
  </si>
  <si>
    <t>E001-18</t>
  </si>
  <si>
    <t>00000000FE01584 CARGO</t>
  </si>
  <si>
    <t>FE01-584</t>
  </si>
  <si>
    <t>FN01-30838061</t>
  </si>
  <si>
    <t xml:space="preserve">FDX1-148,RQ.COM.282 por el servicio de acondicionamiento de cilindros de metal y compra de materiale - Matizados Emmanuel </t>
  </si>
  <si>
    <t>FDX1-148</t>
  </si>
  <si>
    <t>E001-3046,RQ.OPE.1026 insumos para el mantenimiento preventivo del montacargas de Villa Esperanza</t>
  </si>
  <si>
    <t>E001-3046</t>
  </si>
  <si>
    <t>F8650153158</t>
  </si>
  <si>
    <t>F8670152179</t>
  </si>
  <si>
    <t>Financiera Confianza - 104-009773582-1 Cuota (20-21)</t>
  </si>
  <si>
    <t>F002-1669, RQ.OPE.995 por transporte de residuos</t>
  </si>
  <si>
    <t>F002-1669</t>
  </si>
  <si>
    <t>DETR.MASIVA 7586120137</t>
  </si>
  <si>
    <t>PROV TLC 79</t>
  </si>
  <si>
    <t>Andres Condori Lipa</t>
  </si>
  <si>
    <t>001- N° 004266</t>
  </si>
  <si>
    <t>F313-6114</t>
  </si>
  <si>
    <t>F313-6121</t>
  </si>
  <si>
    <t>F313-6112</t>
  </si>
  <si>
    <t>F331</t>
  </si>
  <si>
    <t>F313-6113</t>
  </si>
  <si>
    <t>F313-6119</t>
  </si>
  <si>
    <t>F313-6115</t>
  </si>
  <si>
    <t>OC 001 – N° 001839 Residuos Aprovechables</t>
  </si>
  <si>
    <t>F012-7320</t>
  </si>
  <si>
    <t>F313-6122</t>
  </si>
  <si>
    <t>F313-6120</t>
  </si>
  <si>
    <t>F313-6123</t>
  </si>
  <si>
    <t>F313-6116</t>
  </si>
  <si>
    <t>F313-6118</t>
  </si>
  <si>
    <t>F313-6111</t>
  </si>
  <si>
    <t>F313-6117</t>
  </si>
  <si>
    <t>Reposición - Caja Conductores - 2025 / RCO-06</t>
  </si>
  <si>
    <t>RCO-06</t>
  </si>
  <si>
    <t>De envases carolina sa</t>
  </si>
  <si>
    <t>001- N° 004269</t>
  </si>
  <si>
    <t>ENTR.EFEC. 0528289</t>
  </si>
  <si>
    <t>E001-25</t>
  </si>
  <si>
    <t>001- N° 004270</t>
  </si>
  <si>
    <t>OC 001 – N° 001858 Residuos Aprovechables</t>
  </si>
  <si>
    <t>F012-7321</t>
  </si>
  <si>
    <t>RH E001-18, RQ.GER.056 Adelanto por elaboración de expediente de remodelación de oficinas varias</t>
  </si>
  <si>
    <t>RH E001-18</t>
  </si>
  <si>
    <t>PROV TLC 81</t>
  </si>
  <si>
    <t>FACTURAS DEL 2024</t>
  </si>
  <si>
    <t>001- N° 004271</t>
  </si>
  <si>
    <t>FN01-30934819</t>
  </si>
  <si>
    <t>DETR.MASIVA 7589166999</t>
  </si>
  <si>
    <t>FE01-571 / FE01-572 / FE01-573 / FE01-576</t>
  </si>
  <si>
    <t>Marisol Reyna Del Pino Ortega</t>
  </si>
  <si>
    <t>001- N° 004276</t>
  </si>
  <si>
    <t xml:space="preserve">	Cirila Puma Chambi</t>
  </si>
  <si>
    <t>ENTR.EFEC. 0912716</t>
  </si>
  <si>
    <t>001- N° 004189</t>
  </si>
  <si>
    <t>DEPOSITO AG 994326</t>
  </si>
  <si>
    <t>001- N° 004277</t>
  </si>
  <si>
    <t>E001-672, RQ.OPE.1006, referente a impresión de check list de montacargas</t>
  </si>
  <si>
    <t>E001-672</t>
  </si>
  <si>
    <t>Disposicion residuos no aprovechables - 26.03.2025</t>
  </si>
  <si>
    <t>E001-608, RQ.OPE.1022 por transporte de residuos</t>
  </si>
  <si>
    <t>TRANSPORTES ALBERTO MAMANI EIRL</t>
  </si>
  <si>
    <t>E001-608</t>
  </si>
  <si>
    <t>Reposicion - Caja Chica AQP - RC 001-003_2025</t>
  </si>
  <si>
    <t>F021</t>
  </si>
  <si>
    <t>RQ.LOG.272=RQ.COM.296 por la compra de materiales y mano de obra como adelanto de la fabricación de contenedores metálicos para chatarra metálica // COTIZACION CT 006-0406526</t>
  </si>
  <si>
    <t>F021-00106078</t>
  </si>
  <si>
    <t>F136-9840 Combustible</t>
  </si>
  <si>
    <t>F136-9840</t>
  </si>
  <si>
    <t>001- N° 004275</t>
  </si>
  <si>
    <t>0100000577 MOLY-COP AD</t>
  </si>
  <si>
    <t>FE01-577</t>
  </si>
  <si>
    <t>ENTR.EFEC. 0158209</t>
  </si>
  <si>
    <t>ENTR.EFEC. 0158414</t>
  </si>
  <si>
    <t>E001-4534, RQ.OPE.948 servicio de cochera carga y descarga de montacargas UNICARRIERS</t>
  </si>
  <si>
    <t>E001-4534</t>
  </si>
  <si>
    <t>F001-50 SERVICIO DE VALORIZACION DE RESIDUOS SOLIDOS PELIGROSOS</t>
  </si>
  <si>
    <t xml:space="preserve">F001-0000050 </t>
  </si>
  <si>
    <t>F001-1012207</t>
  </si>
  <si>
    <t>E001-800, RQ.STI.078 Servicio técnico de mantenimiento correctivo para fotocopiadora Canon c250</t>
  </si>
  <si>
    <t>ACOSTA DE URRUTIA SHILA GISSEL</t>
  </si>
  <si>
    <t>E001-800</t>
  </si>
  <si>
    <t>F8650154433</t>
  </si>
  <si>
    <t>F8650154450</t>
  </si>
  <si>
    <t>F001-15822, RQ.SSO.214 para la compra de Epps para servicio en Pesquera Diamante</t>
  </si>
  <si>
    <t>FERSEIND PERU SOCIEDAD ANONIMA CERRADA</t>
  </si>
  <si>
    <t>F001-15822</t>
  </si>
  <si>
    <t>PROV TLC 82</t>
  </si>
  <si>
    <t>F001-2107, RQ.OPE.1028 insumos para el kit antiderrame de la flota vehicular</t>
  </si>
  <si>
    <t>F001-2107</t>
  </si>
  <si>
    <t xml:space="preserve">RQ.SSO.212, OC 004-000150 compra de jeans para el personal (20492269264) Yunkatex Moda </t>
  </si>
  <si>
    <t>DELGADO DELGADO BRITALDO SIMON</t>
  </si>
  <si>
    <t>E001-528</t>
  </si>
  <si>
    <t>F001-996, RQ.SSO.225 para la compra de Epp's Básicos y adicionales</t>
  </si>
  <si>
    <t>GROUP DISUR PERU EIRL</t>
  </si>
  <si>
    <t>F001-996</t>
  </si>
  <si>
    <t>RQ.SSO.205, OC 004-000146 confección de chalecos naranjas de seguridad</t>
  </si>
  <si>
    <t>E001-728</t>
  </si>
  <si>
    <t>RQ.SSO.205, OC 004-000147 confección de chalecos naranjas de seguridad</t>
  </si>
  <si>
    <t>E001-729</t>
  </si>
  <si>
    <t>F001-2108, RQ.SSO.209 insumos que se utilizaron del kit antiderrame</t>
  </si>
  <si>
    <t>F001-2108</t>
  </si>
  <si>
    <t>RQ.GH.165 Entregas a rendir</t>
  </si>
  <si>
    <t>F001-2105, RQ.SSO.223 para la compra de bloqueador solar y frascos de 50 ml.</t>
  </si>
  <si>
    <t>F001-2105</t>
  </si>
  <si>
    <t>F001-1001, RQ.SSO.225 para la compra de Epp's Básicos y adicionales</t>
  </si>
  <si>
    <t>F001-1001</t>
  </si>
  <si>
    <t>F001-2106, RQ.SSO.222 para la compra de señalética de piso mojado</t>
  </si>
  <si>
    <t>F001-2106</t>
  </si>
  <si>
    <r>
      <t xml:space="preserve">CLAR000003358327 / </t>
    </r>
    <r>
      <rPr>
        <sz val="9"/>
        <color rgb="FFFF0000"/>
        <rFont val="Aptos Narrow"/>
        <family val="2"/>
      </rPr>
      <t>F01500273334</t>
    </r>
    <r>
      <rPr>
        <sz val="9"/>
        <color theme="1"/>
        <rFont val="Aptos Narrow"/>
        <family val="2"/>
      </rPr>
      <t xml:space="preserve"> - Saldo </t>
    </r>
  </si>
  <si>
    <t>F015-00281848</t>
  </si>
  <si>
    <t>E001-35</t>
  </si>
  <si>
    <t>FE01-557</t>
  </si>
  <si>
    <t>FE01-553</t>
  </si>
  <si>
    <t>000000000000036 METALU</t>
  </si>
  <si>
    <t>E001-34</t>
  </si>
  <si>
    <t>FF02-3</t>
  </si>
  <si>
    <t>FF05-1</t>
  </si>
  <si>
    <t>E001-37</t>
  </si>
  <si>
    <t>002- N° 000736</t>
  </si>
  <si>
    <t>FE01-587</t>
  </si>
  <si>
    <t>E001-16</t>
  </si>
  <si>
    <t>001- N° 004247</t>
  </si>
  <si>
    <t>E001-13</t>
  </si>
  <si>
    <t>FE01-552</t>
  </si>
  <si>
    <t>FI01-14461828</t>
  </si>
  <si>
    <t>RQ.LOG.276 para la reparación de portón principal ubicado en almacén Huaranguillo //CT-005-0506204</t>
  </si>
  <si>
    <t>F016-0117692</t>
  </si>
  <si>
    <t>Disposicion residuos no aprovechables - 31.03.2025</t>
  </si>
  <si>
    <t>S5AA</t>
  </si>
  <si>
    <t>TDPC000606124324</t>
  </si>
  <si>
    <t>S5AA-0068855304</t>
  </si>
  <si>
    <t>OC 001 – N° 001874 Residuos Aprovechables</t>
  </si>
  <si>
    <t>F012-7322</t>
  </si>
  <si>
    <t>CLAR000003358327 / 03358327</t>
  </si>
  <si>
    <t>F015-281847</t>
  </si>
  <si>
    <t>RQ.COM.292 por la fabricación de contenedores para nuestro cliente Moly-Cop La Joya. /CT-005-0506200</t>
  </si>
  <si>
    <t>F016-117691</t>
  </si>
  <si>
    <t>E001-1279, RQ.OPE.1039 por transporte de residuos</t>
  </si>
  <si>
    <t>E001-1279</t>
  </si>
  <si>
    <t>PAGO IMPUES 7593292523</t>
  </si>
  <si>
    <t>Disposicion residuos no aprovechables - 31.03.2025 (01)</t>
  </si>
  <si>
    <t>PROV TLC 84</t>
  </si>
  <si>
    <t>Ludick Begazo Valer</t>
  </si>
  <si>
    <t>001- N° 004289</t>
  </si>
  <si>
    <t>COM.CCE PRO 000088</t>
  </si>
  <si>
    <t>FN01-31118618</t>
  </si>
  <si>
    <t>F313-6148</t>
  </si>
  <si>
    <t>FN01-31110149</t>
  </si>
  <si>
    <t>F313-6149</t>
  </si>
  <si>
    <t>RQ.LOG.275 Entregas a rendir ER-001-0212025</t>
  </si>
  <si>
    <t>F313-6147</t>
  </si>
  <si>
    <t>Disposicion residuos no aprovechables - 01.04.2025</t>
  </si>
  <si>
    <t>F313-6145</t>
  </si>
  <si>
    <t>PROV TLC 88</t>
  </si>
  <si>
    <t>F052</t>
  </si>
  <si>
    <t>F313-6146</t>
  </si>
  <si>
    <t>HABER TLC 87 / Planilla de Rem. Mar25 (1)</t>
  </si>
  <si>
    <t>DETR.MASIVA 7594804770</t>
  </si>
  <si>
    <t>HABER TLC 89 / Planilla de Rem. Mar25 (2)</t>
  </si>
  <si>
    <t>FF01-10</t>
  </si>
  <si>
    <t>ENTREGA C/CHEQUES FUE</t>
  </si>
  <si>
    <t>E001-48</t>
  </si>
  <si>
    <t>001- N° 004292</t>
  </si>
  <si>
    <t>001- N° 004294</t>
  </si>
  <si>
    <t>001- N° 004295</t>
  </si>
  <si>
    <t>DE ORGANIZACION IBEROA// Devolución RQ.SSO.220 Inducción de personal para el ingreso a Pesquera Diamante. OP 1197206</t>
  </si>
  <si>
    <t>Disposicion residuos no aprovechables - 02.04.2025</t>
  </si>
  <si>
    <t>E001-2821 RQ.SIG.26 referente a la elaboración del Buzón de Denuncias del Comité de Hostigamiento Sexual</t>
  </si>
  <si>
    <t>E001-2821</t>
  </si>
  <si>
    <t>RQ.LOG.279 Entregas a rendir - ER-001-0272025</t>
  </si>
  <si>
    <t>RQ.OPE.1053 Entregas a rendir/ ER-001-0262025</t>
  </si>
  <si>
    <t xml:space="preserve"> E001-30,RQ.OPE.972 servicio de reparación  de caja del montacargas</t>
  </si>
  <si>
    <t>F8640133436</t>
  </si>
  <si>
    <t>F8640133442</t>
  </si>
  <si>
    <t>001- N° 004287</t>
  </si>
  <si>
    <t>001FE0200000206 MOLY-C</t>
  </si>
  <si>
    <t>FE02-206</t>
  </si>
  <si>
    <t>001- N° 004297</t>
  </si>
  <si>
    <t>001- N° 004298</t>
  </si>
  <si>
    <t>COM.CCE PRO 000090</t>
  </si>
  <si>
    <t>F313-6180</t>
  </si>
  <si>
    <t>E001-380 Servicio de Internet mes de Abril 2025 - FIXER TELECOMUNICACIONES S.A.C</t>
  </si>
  <si>
    <t>E001-380</t>
  </si>
  <si>
    <t>F313-6179</t>
  </si>
  <si>
    <t>F313-6183</t>
  </si>
  <si>
    <t>F313-6181</t>
  </si>
  <si>
    <t>F135-7223 Combustible</t>
  </si>
  <si>
    <t xml:space="preserve">F135-7223 </t>
  </si>
  <si>
    <t>F136-9894 Combustible</t>
  </si>
  <si>
    <t>F136-9894</t>
  </si>
  <si>
    <t>F313-6178</t>
  </si>
  <si>
    <t>F313-6182</t>
  </si>
  <si>
    <t>E001-350, RQ.COM.289 RETROEXCAVADORA PARA SERVICIO EN DANPER</t>
  </si>
  <si>
    <t>INVERSIONES CORPORATIVAS FLORES HERMANOS SAC</t>
  </si>
  <si>
    <t>E001-350</t>
  </si>
  <si>
    <t>PROV TLC 90</t>
  </si>
  <si>
    <t>F020000006 CORPORACION</t>
  </si>
  <si>
    <t>FF02-6</t>
  </si>
  <si>
    <t>001- N° 004293</t>
  </si>
  <si>
    <t xml:space="preserve">	Sergio Gutierrez Huaman</t>
  </si>
  <si>
    <t>001- N° 004301</t>
  </si>
  <si>
    <t>001- N° 004299</t>
  </si>
  <si>
    <t>001- N° 004300</t>
  </si>
  <si>
    <t>FN01-31207049</t>
  </si>
  <si>
    <t>FF01-10712,RQ.OPE.1059 herramientas manuales para el personal (20601111242) H&amp;L maniobras EIRL</t>
  </si>
  <si>
    <t>FF01-10712</t>
  </si>
  <si>
    <t>F040-00637086</t>
  </si>
  <si>
    <t xml:space="preserve">F001-23629,RQ.LOG.251, para poder realizar la compra de las herramientas y equipos solicitados por (10413461761) Daniel Aguilar Choquevilca  </t>
  </si>
  <si>
    <t>F001-23629</t>
  </si>
  <si>
    <t>F040-00501651</t>
  </si>
  <si>
    <t xml:space="preserve">F001-23628, RQ.OPE.1059 compra de herramientas manuales para el personal de GYTRES S.A.C. (10413461761) Daniel Aguilar Choquevilca </t>
  </si>
  <si>
    <t>F001-23628</t>
  </si>
  <si>
    <t>PACI020558226979/ 06 VIDA MN</t>
  </si>
  <si>
    <t>F050-01754310</t>
  </si>
  <si>
    <t>RQ.OPE.1056 Mantenimiento preventivo de la unidad HINO 500 V9R-903.</t>
  </si>
  <si>
    <t>F152-0026094</t>
  </si>
  <si>
    <t>E001-273, E001-274, RQ.OPE.1040 mantenimiento correctivo de la unidad BKK-849</t>
  </si>
  <si>
    <t>CLUB PREMIUM AUTOMOTRIZ SRL</t>
  </si>
  <si>
    <t>E001-273
E001-274</t>
  </si>
  <si>
    <t>DETR.MASIVA 7597463129</t>
  </si>
  <si>
    <t>RH E001-15,RQ.COM.296 por la fabricación de contenedores metálicos rígidos</t>
  </si>
  <si>
    <t>TAIPE SARAZA CHRISTIAN DANIEL</t>
  </si>
  <si>
    <t>RH E001-15</t>
  </si>
  <si>
    <t>RH E001-16,RQ.COM.296 por la fabricación de contenedores metálicos rígidos</t>
  </si>
  <si>
    <t>RH E001-16</t>
  </si>
  <si>
    <t>Caja Arequipa - Juber Monteza - Cuota 30</t>
  </si>
  <si>
    <t>F040-00501704</t>
  </si>
  <si>
    <t>Devolución OP 158209 OP 158414 del 27.03, venta que no se concretó de comercial</t>
  </si>
  <si>
    <t>ACO RODRIGUEZ ROMULO ERNESTO</t>
  </si>
  <si>
    <t>E001-3793, RQ.OPE.1060 por transporte de residuos</t>
  </si>
  <si>
    <t>E001-3793</t>
  </si>
  <si>
    <t xml:space="preserve">Alquiler Alm Huaranguillo2 Abr25 </t>
  </si>
  <si>
    <t>E001-4088, RQ.STI.070 Compra de equipos y accesorios para oficinas.pdf</t>
  </si>
  <si>
    <t>E001-4088</t>
  </si>
  <si>
    <t>FF02-2</t>
  </si>
  <si>
    <t>FE02-208</t>
  </si>
  <si>
    <t>E001-20</t>
  </si>
  <si>
    <t>E001-44</t>
  </si>
  <si>
    <t>E001-40</t>
  </si>
  <si>
    <t>E001-41</t>
  </si>
  <si>
    <t>E001-43</t>
  </si>
  <si>
    <t>E001-42</t>
  </si>
  <si>
    <t>E001-21</t>
  </si>
  <si>
    <t>DE INVERSIONES MILENIU</t>
  </si>
  <si>
    <t>FF01-15</t>
  </si>
  <si>
    <t>002- N° 000751</t>
  </si>
  <si>
    <t>ER-001-0282025 RQ.SSO.219 ,RQ.SSO.221, RQ.SSO.226, RQ.SSO.217 - Entregas a rendir</t>
  </si>
  <si>
    <t>Alquiler almacen Arequipa (1) - Dic-24</t>
  </si>
  <si>
    <t>PROV TLC 91</t>
  </si>
  <si>
    <t>001- N° 004305</t>
  </si>
  <si>
    <t>Reintegro RQ.LOG.263 Entregas a rendir/ ER-001-0222025</t>
  </si>
  <si>
    <t>ER-001-0222025</t>
  </si>
  <si>
    <t>F313-6195</t>
  </si>
  <si>
    <t>Reintegro RQ.LOG.275 Entregas a rendir/ ER-001-0212025</t>
  </si>
  <si>
    <t>ER-001-0212025</t>
  </si>
  <si>
    <t>FN01-31301994</t>
  </si>
  <si>
    <t>F313-6196</t>
  </si>
  <si>
    <t>F313-6198</t>
  </si>
  <si>
    <t>F313-6194</t>
  </si>
  <si>
    <t>F8650156120</t>
  </si>
  <si>
    <t>F8670155112</t>
  </si>
  <si>
    <t>F313-6193</t>
  </si>
  <si>
    <t>PAGOS AFP PROFUTUR</t>
  </si>
  <si>
    <t>F313-6197</t>
  </si>
  <si>
    <t>Disposicion residuos no aprovechables - 09.04.2025</t>
  </si>
  <si>
    <t>PAGOS AFP HABITAT</t>
  </si>
  <si>
    <t>LAPO020558226979 / SEG.VIDA-SCTR PENSION-VIDA LEY</t>
  </si>
  <si>
    <t>F040-00638474</t>
  </si>
  <si>
    <t>DETR.MASIVA 7600438623</t>
  </si>
  <si>
    <t>PAGOS AFP PRIMA</t>
  </si>
  <si>
    <t>Disposicion residuos no aprovechables - 08.04.2025</t>
  </si>
  <si>
    <t>PAGOS AFP INTEGRA</t>
  </si>
  <si>
    <t>PROV TLC 92</t>
  </si>
  <si>
    <t>E001-38, RQ.OPE.1057 mantenimiento correctivo de la unidad FOTÓN VBB-840</t>
  </si>
  <si>
    <t>E001-38</t>
  </si>
  <si>
    <t>compra de pasajes aéreos</t>
  </si>
  <si>
    <t>MARNIC MARKETING CONSULTING E.IR.L.</t>
  </si>
  <si>
    <t>E001-1707</t>
  </si>
  <si>
    <t>F002 - 18973,RQ.OPE.1063 referente a mantenimiento preventivo(cambio de aceite y filtros) de la cami</t>
  </si>
  <si>
    <t>F002 - 18973</t>
  </si>
  <si>
    <t>E001-157, RQ.OPE.1064 mantenimiento correctivo de la STOCA del Almacén Encalada - Santa Anita</t>
  </si>
  <si>
    <t>HIDROFLUID SERVICE S.A.C</t>
  </si>
  <si>
    <t>E001-157</t>
  </si>
  <si>
    <t>001- N° 004315</t>
  </si>
  <si>
    <t>FF01-24</t>
  </si>
  <si>
    <t>RET. VENTANILLA</t>
  </si>
  <si>
    <t>0010000050 PESQUERA DI</t>
  </si>
  <si>
    <t>E001-50</t>
  </si>
  <si>
    <t>0000FE010000448 TECNO</t>
  </si>
  <si>
    <t>FE01-448</t>
  </si>
  <si>
    <t>E00100000031000 CORP.E</t>
  </si>
  <si>
    <t>BCO.CITI0031947514</t>
  </si>
  <si>
    <t>FE01-591</t>
  </si>
  <si>
    <t>TRANSF OTRA CUENTA</t>
  </si>
  <si>
    <t>E001-32</t>
  </si>
  <si>
    <t>FF05-7</t>
  </si>
  <si>
    <t>E001-14</t>
  </si>
  <si>
    <t>FF02-8</t>
  </si>
  <si>
    <t>001- N° 004321</t>
  </si>
  <si>
    <t>Contrato de Alquiler - Almacen Arequipa (2) - Mayo / Diciembre 2024</t>
  </si>
  <si>
    <t>BOLANOS VALDEZ REBECA</t>
  </si>
  <si>
    <t>PROV TLC 93</t>
  </si>
  <si>
    <t xml:space="preserve">Judtih </t>
  </si>
  <si>
    <t>F8640134658</t>
  </si>
  <si>
    <t>F8650157558</t>
  </si>
  <si>
    <t>DETR.MASIVA 7602928509</t>
  </si>
  <si>
    <t>SUNAT</t>
  </si>
  <si>
    <t>E001-39 , RQ.OPE.1069 mantenimiento correctivo de la unidad FOTÓN VBB-840</t>
  </si>
  <si>
    <t>E001-39</t>
  </si>
  <si>
    <t>Disposicion residuos no aprovechables - 11.04.2025</t>
  </si>
  <si>
    <t>FFF1-000154, Servicio de Internet Abril 2025</t>
  </si>
  <si>
    <t>FFF1-000154</t>
  </si>
  <si>
    <t>FN01-31379756</t>
  </si>
  <si>
    <t>COM.CCE PRO 000093</t>
  </si>
  <si>
    <t>FN01-31394115</t>
  </si>
  <si>
    <t>FF05-9</t>
  </si>
  <si>
    <t>TRANSF.BCO.BBVA</t>
  </si>
  <si>
    <t>FF01-13</t>
  </si>
  <si>
    <t>FF05-4</t>
  </si>
  <si>
    <t>FF05-8</t>
  </si>
  <si>
    <t>FF05-6</t>
  </si>
  <si>
    <t>E001-467, RQ.SIG.27 servicio de actualización mensual de la matriz de requisitos legales</t>
  </si>
  <si>
    <t>E001-467</t>
  </si>
  <si>
    <t>E001-4548 - ALOJAMIENTO EN HAB INDIVIDUAL (IN: 14/04/25 OUT: 25/04/25) - Consultor</t>
  </si>
  <si>
    <t>E001-129, RQ.COM.299 referente al servicio tercerizado para el carguío de papel kraft hacia Lima.</t>
  </si>
  <si>
    <t>E001-129</t>
  </si>
  <si>
    <t>E001-3800, RQ.OPE.1067 por transporte de residuos</t>
  </si>
  <si>
    <t>E001-3800</t>
  </si>
  <si>
    <t>F002-4203, RQ.OPE.993 compra de 04 neumáticos de la unidad HINO V9R-903</t>
  </si>
  <si>
    <t>GRUPO MD LIDER CRUZ SAC</t>
  </si>
  <si>
    <t>F002-4203</t>
  </si>
  <si>
    <t>Reposición - Caja Conductores - 2025 / RCO-07</t>
  </si>
  <si>
    <t>RCO-07</t>
  </si>
  <si>
    <t>RQ.OPE.1076 Entregas a rendir - ER-001-0602025</t>
  </si>
  <si>
    <t>Entregas a rendir</t>
  </si>
  <si>
    <t>001- N° 004327</t>
  </si>
  <si>
    <t>001- N° 004308</t>
  </si>
  <si>
    <t>001- N° 004314</t>
  </si>
  <si>
    <t>FF02-7</t>
  </si>
  <si>
    <t>FF01-11</t>
  </si>
  <si>
    <t>FF0100000016000 CARMEN</t>
  </si>
  <si>
    <t>FF01-16</t>
  </si>
  <si>
    <t>COM.CCE PRO 000094</t>
  </si>
  <si>
    <t>FN01-31493887</t>
  </si>
  <si>
    <t>FN01-31598334</t>
  </si>
  <si>
    <t>FN01-31455661</t>
  </si>
  <si>
    <t>F313-6230</t>
  </si>
  <si>
    <t>F313-6228</t>
  </si>
  <si>
    <t>RQ.LOG.284 Entregas a rendir</t>
  </si>
  <si>
    <t>ER-001-0312025</t>
  </si>
  <si>
    <t>F135-7345 Combustible</t>
  </si>
  <si>
    <t>F135-7345</t>
  </si>
  <si>
    <t>F313-6231</t>
  </si>
  <si>
    <t>F136-9991 Combustible</t>
  </si>
  <si>
    <t>F136-9991</t>
  </si>
  <si>
    <t>DETR.MASIVA 7606288962</t>
  </si>
  <si>
    <t>Disposicion residuos no aprovechables - 16.04.2025</t>
  </si>
  <si>
    <t>F313-6229</t>
  </si>
  <si>
    <t>F313-6232</t>
  </si>
  <si>
    <t>F313-6226</t>
  </si>
  <si>
    <t>F313-6227</t>
  </si>
  <si>
    <t>DETR.MASIVA 7606267370</t>
  </si>
  <si>
    <t>PROV TLC 94</t>
  </si>
  <si>
    <t>E001-1716 ELABORACION DE PLAN ESTRATEGICO, DIAGNOSTICO ORGANIZACIONAL (adelanto) RQ.GER.064</t>
  </si>
  <si>
    <t>E001-1716</t>
  </si>
  <si>
    <t>Reposicion - Caja Chica AQP - RC 001-004_2025</t>
  </si>
  <si>
    <t>Compartamos Financiera - Cuota 30</t>
  </si>
  <si>
    <t>SB01-0532989532</t>
  </si>
  <si>
    <t>TELE000915030176 /Cuota 5 de 18</t>
  </si>
  <si>
    <t>Adelanto de sueldo Abril 2025 - QUEQUE ANCO JORGE LUIS</t>
  </si>
  <si>
    <t>Adelanto de sueldo Abril 2025 - LEON NN WILLIAN JOHAN</t>
  </si>
  <si>
    <t>E001-511, RQ.COM.303 por el servicio de transporte de residuos aprovechables de Alicorp.</t>
  </si>
  <si>
    <t>E001-511</t>
  </si>
  <si>
    <t>Adelanto de sueldo Abril 2025 - VIZA CACERES WAY BRIAN</t>
  </si>
  <si>
    <t>S001-29714126</t>
  </si>
  <si>
    <t>Adelanto de sueldo Abril 2025 - HUANUCO ORTEGA CRISTIAN MANUEL</t>
  </si>
  <si>
    <t>Adelanto de sueldo Abril 2025 - ALVARADO ALAMA ADRIAN</t>
  </si>
  <si>
    <t>Adelanto de sueldo Abril 2025 - CRISSLEY LAZARTE AGUIRRE</t>
  </si>
  <si>
    <t>S001-29714066</t>
  </si>
  <si>
    <t>E001-265, RQ.COM.296 por la fabricación de contenedores metálicos rígidos</t>
  </si>
  <si>
    <t>E001-265</t>
  </si>
  <si>
    <t>Disposicion residuos no aprovechables - 21.04.2025</t>
  </si>
  <si>
    <r>
      <t xml:space="preserve">CLAR000003358327 / </t>
    </r>
    <r>
      <rPr>
        <sz val="9"/>
        <rFont val="Aptos Narrow"/>
        <family val="2"/>
      </rPr>
      <t>F01500281848</t>
    </r>
  </si>
  <si>
    <t>S105-58049</t>
  </si>
  <si>
    <t>S106-0005595813</t>
  </si>
  <si>
    <t>FF01-19</t>
  </si>
  <si>
    <t>002- N° 000743</t>
  </si>
  <si>
    <t>COMPLEJO TURISTICO D</t>
  </si>
  <si>
    <t xml:space="preserve">	Juan Ponce Vasquez</t>
  </si>
  <si>
    <t>FF05-11</t>
  </si>
  <si>
    <t>F8640135419</t>
  </si>
  <si>
    <t>F8650158516</t>
  </si>
  <si>
    <t>Disposicion residuos no aprovechables - 22.04.2025</t>
  </si>
  <si>
    <t>Disposicion residuos no aprovechables - 24.04.2025</t>
  </si>
  <si>
    <t>RQ.OPE.1086 Entregas a rendir</t>
  </si>
  <si>
    <t>ER-001-0302025</t>
  </si>
  <si>
    <t>Disposicion residuos no aprovechables - 23.04.2025</t>
  </si>
  <si>
    <t>FE24</t>
  </si>
  <si>
    <t>FE24-1118</t>
  </si>
  <si>
    <t>E001-391 Servicio de Internet mes de Abril 2025 - FIXER TELECOMUNICACIONES S.A.C</t>
  </si>
  <si>
    <t>E001-391</t>
  </si>
  <si>
    <t>000FF02-11 EMPRESA SID</t>
  </si>
  <si>
    <t>FF02-11</t>
  </si>
  <si>
    <t>000FF02-12 EMPRESA SID</t>
  </si>
  <si>
    <t>FF02-12</t>
  </si>
  <si>
    <t>000FF02-10 EMPRESA SID</t>
  </si>
  <si>
    <t>FF02-10</t>
  </si>
  <si>
    <t>001- N° 004341</t>
  </si>
  <si>
    <t>E001-38
E001-39</t>
  </si>
  <si>
    <t>FF05-10</t>
  </si>
  <si>
    <t>FF05-12</t>
  </si>
  <si>
    <t>FF05-13</t>
  </si>
  <si>
    <t>E001-267, RQ.COM.292 fabricación de contenedores para nuestro cliente Moly-Cop La Joya.</t>
  </si>
  <si>
    <t>E001-267</t>
  </si>
  <si>
    <t>FDX1-232, RQ.COM.292 por la fabricación de contenedores para nuestro cliente Moly-Cop La Joya. (2061</t>
  </si>
  <si>
    <t>FDX1-232</t>
  </si>
  <si>
    <t>RQ.OPE.1089 Entregas a rendir</t>
  </si>
  <si>
    <t>PROV TLC 96</t>
  </si>
  <si>
    <t>0000000020 GRANJA RINC</t>
  </si>
  <si>
    <t>FF01-20
FF01-25</t>
  </si>
  <si>
    <t>0010FF010000021 PESQUE</t>
  </si>
  <si>
    <t>FF01-21</t>
  </si>
  <si>
    <t>001- N° 004351</t>
  </si>
  <si>
    <t>001E00100000052 MOLY-C</t>
  </si>
  <si>
    <t>E001-52</t>
  </si>
  <si>
    <t>F135-7453 Combustible</t>
  </si>
  <si>
    <t>F135-7453</t>
  </si>
  <si>
    <t>E001-1, RQ.COM.292 Fabricación de contenedores</t>
  </si>
  <si>
    <t>CONSTRUCTORA MULTIPROM INGINEERING Y CONSTRUCTION SAC</t>
  </si>
  <si>
    <t>PAGO IMPUES 7615025531</t>
  </si>
  <si>
    <t>001- N° 004153</t>
  </si>
  <si>
    <t>001- N° 004162</t>
  </si>
  <si>
    <t>001- N° 004309</t>
  </si>
  <si>
    <t>FF02-15</t>
  </si>
  <si>
    <t>001- N° 004311</t>
  </si>
  <si>
    <t>ENTR.EFEC. 0065208</t>
  </si>
  <si>
    <t>001- N° 004383</t>
  </si>
  <si>
    <t>001- N° 004357</t>
  </si>
  <si>
    <t>000000000215237 VOESTA //Devolución pago  FF16-1736, OP.1113558 26/02</t>
  </si>
  <si>
    <t>Devolución</t>
  </si>
  <si>
    <t>Justo Condori Lipa</t>
  </si>
  <si>
    <t>001- N° 004358</t>
  </si>
  <si>
    <t>Brian Viza Caceres</t>
  </si>
  <si>
    <t>001- N° 004359</t>
  </si>
  <si>
    <t>FN01-31978920</t>
  </si>
  <si>
    <t>F313-6263</t>
  </si>
  <si>
    <t>F313-6262</t>
  </si>
  <si>
    <t>F313-6265</t>
  </si>
  <si>
    <t>F313-6261</t>
  </si>
  <si>
    <t>F313-6267</t>
  </si>
  <si>
    <t>F313-6266</t>
  </si>
  <si>
    <t>RQ.OPE.1096 Entregas a rendir / ER-001-0382025</t>
  </si>
  <si>
    <t>ER-001-0382025</t>
  </si>
  <si>
    <t>DETR.MASIVA 7615620919</t>
  </si>
  <si>
    <t>F313-6264</t>
  </si>
  <si>
    <t>PROV TLC 97</t>
  </si>
  <si>
    <t>FF02-9</t>
  </si>
  <si>
    <t>FF02-4</t>
  </si>
  <si>
    <t>TRAN.CTAS.TERC.BM / Devolución entregas a rendir 2024 - OPERACIONES</t>
  </si>
  <si>
    <t xml:space="preserve">TRAN.CTAS.TERC.HK/ Devolución E001-796, de pago detracción </t>
  </si>
  <si>
    <t>0000000032 GRANJA RINC</t>
  </si>
  <si>
    <t>FF01-26
FF01-27
FF01-28
FF01-29
FF01-30
FF01-31
FF01-32
FF01-33</t>
  </si>
  <si>
    <t xml:space="preserve">Monto de FF01-28 
no el monto es menor, revisar detracción </t>
  </si>
  <si>
    <t>F8670158438</t>
  </si>
  <si>
    <t>FF01-12521, RQ.OPE.1025 en referencia a la compra de strech film</t>
  </si>
  <si>
    <t>FF01-12521</t>
  </si>
  <si>
    <t>F8650159470</t>
  </si>
  <si>
    <t>001- N° 004355</t>
  </si>
  <si>
    <t>FF02-21</t>
  </si>
  <si>
    <t>002- N° 000763</t>
  </si>
  <si>
    <t>FF01-52</t>
  </si>
  <si>
    <t>000000000E00151 FLSMID</t>
  </si>
  <si>
    <t>E001-51</t>
  </si>
  <si>
    <t>Disposicion residuos no aprovechables - 29.04.2025</t>
  </si>
  <si>
    <t>F001-154, RQ.COM.316 Transporte tercerizado para carguio de residuos aprovechables</t>
  </si>
  <si>
    <t>F001-154</t>
  </si>
  <si>
    <t>RH E001-37, RQ.GH.181 asesoría elaboración de la escala salarial.</t>
  </si>
  <si>
    <t>RH E001-37</t>
  </si>
  <si>
    <t>Entregas a rendir - Día del trabajador/ ER-001-0292025</t>
  </si>
  <si>
    <t>ER-001-0292025</t>
  </si>
  <si>
    <t>Reposición - Caja Conductores - 2025 / RCO-08</t>
  </si>
  <si>
    <t>RCO-08</t>
  </si>
  <si>
    <t>002- N° 000764</t>
  </si>
  <si>
    <t>FF05-16</t>
  </si>
  <si>
    <t>FF05-14</t>
  </si>
  <si>
    <t>TRAN.CTAS.TERC.BM / Devolución entregas a rendir ER-001-0262025 - RQ.OPE.1053</t>
  </si>
  <si>
    <t>ER-001-0262025</t>
  </si>
  <si>
    <t>HABER TLC 100 / Planilla de Rem. Abr25 (1)</t>
  </si>
  <si>
    <t>PROV TLC 99</t>
  </si>
  <si>
    <t>E001-132, RQ.COM.313 carguío de vidrio desde almacén Villa Esperanza hasta Lima</t>
  </si>
  <si>
    <t>E001-132</t>
  </si>
  <si>
    <t>CLAR000003358327 / F01500287518</t>
  </si>
  <si>
    <t>F015-00287518</t>
  </si>
  <si>
    <t>Queda saldo de 36.58 en factura</t>
  </si>
  <si>
    <t>E001-384, RQ.LOG.288 Recarga de agua para almacén Arequipa</t>
  </si>
  <si>
    <t>E001-384</t>
  </si>
  <si>
    <t>E001-367 , RQ.LOG.288 Recarga de agua para almacén Arequipa</t>
  </si>
  <si>
    <t>Disposicion residuos no aprovechables - 02.05.2025</t>
  </si>
  <si>
    <t>Disposicion residuos no aprovechables - 02.05.2025 (1)</t>
  </si>
  <si>
    <r>
      <t xml:space="preserve">CLAR000003358327 / </t>
    </r>
    <r>
      <rPr>
        <sz val="9"/>
        <color rgb="FFFF0000"/>
        <rFont val="Aptos Narrow"/>
        <family val="2"/>
      </rPr>
      <t>F015-00287519</t>
    </r>
  </si>
  <si>
    <t>FF01-35
FF01-36</t>
  </si>
  <si>
    <t>FF02-23</t>
  </si>
  <si>
    <t xml:space="preserve">	BALDERA AMAYA VIKY MAGALLY</t>
  </si>
  <si>
    <t>002- N° 000766</t>
  </si>
  <si>
    <t>E001-46</t>
  </si>
  <si>
    <t>002- N° 000742</t>
  </si>
  <si>
    <t>001- N° 004335</t>
  </si>
  <si>
    <t>F020000026 CORPORACION</t>
  </si>
  <si>
    <t>FF02-26</t>
  </si>
  <si>
    <t>F313-6279</t>
  </si>
  <si>
    <t>F313-6283</t>
  </si>
  <si>
    <t>COM.CCE PRO 000101</t>
  </si>
  <si>
    <t>F313-6278</t>
  </si>
  <si>
    <t>F313-6284</t>
  </si>
  <si>
    <t>F313-6282</t>
  </si>
  <si>
    <t>E001-1637, RQ.OPE.1068 referente a lavado y engrase del montacargas de Villa Esperanza</t>
  </si>
  <si>
    <t>CARMEN CRUZ HUARACHA</t>
  </si>
  <si>
    <t>E001-1637</t>
  </si>
  <si>
    <t>Disposicion residuos no aprovechables - 05.05.2025</t>
  </si>
  <si>
    <t>F313-6280</t>
  </si>
  <si>
    <t>F313-6285</t>
  </si>
  <si>
    <t>F313-6281</t>
  </si>
  <si>
    <t>PAGO IMPUES 7620282187</t>
  </si>
  <si>
    <t>RH E001-20 - ADELANTO POR ELABORACIÓN DE ANTEPROYECTO DE CENTRO DE MANEJO DE RESIDUOS SOLIDOS</t>
  </si>
  <si>
    <t>RH E001-20</t>
  </si>
  <si>
    <t>F8670159159</t>
  </si>
  <si>
    <t>F313-6277</t>
  </si>
  <si>
    <t>RH E001-19 ELABORACIÓN DE EXPEDIENTE DE REMODELACIÓN DE OFICINAS VARIAS</t>
  </si>
  <si>
    <t>RH E001-19</t>
  </si>
  <si>
    <t>PAGO IMPUES 7620279794</t>
  </si>
  <si>
    <t>F8650160391</t>
  </si>
  <si>
    <t xml:space="preserve">TRANFERENCIA CCE </t>
  </si>
  <si>
    <t>ALSUR PERU SAC</t>
  </si>
  <si>
    <t>F002-624</t>
  </si>
  <si>
    <t>DETR.MASIVA 7620384205</t>
  </si>
  <si>
    <t>PAGO IMPUES 7620278834</t>
  </si>
  <si>
    <t>PROV TLC 101</t>
  </si>
  <si>
    <t>FF02-27</t>
  </si>
  <si>
    <t>001- N° 004385</t>
  </si>
  <si>
    <t>Miguel Abarca Afata</t>
  </si>
  <si>
    <t>001- N° 004368</t>
  </si>
  <si>
    <t>E001-405 Servicio de Internet mes de Mayo 2025 - FIXER TELECOMUNICACIONES S.A.C</t>
  </si>
  <si>
    <t>E001-405</t>
  </si>
  <si>
    <t>F135-7597 Combustible</t>
  </si>
  <si>
    <t>F135-7597</t>
  </si>
  <si>
    <t>F136-10219 Combustible</t>
  </si>
  <si>
    <t>F136-10219</t>
  </si>
  <si>
    <t>F002-19253, RQ.OPE.1114 Mantenimiento preventivo de la unidad FOTÓN BKK-849</t>
  </si>
  <si>
    <t>F002-19253</t>
  </si>
  <si>
    <t>RQ.SSO.218 Entregas a rendir/ ER-001-0332025</t>
  </si>
  <si>
    <t>MOLINA CHAVEZ SALVADOR</t>
  </si>
  <si>
    <t>ER-001-0332025</t>
  </si>
  <si>
    <t>FA02</t>
  </si>
  <si>
    <t>Adelanto 50% OC 004-153 ,RQ.SSO.231 EPP básicos RQ.SSO.232 EPPs adicionales</t>
  </si>
  <si>
    <t>SKY HIGH SOCIEDAD ANONIMA CERRADA</t>
  </si>
  <si>
    <t>FA02-1123</t>
  </si>
  <si>
    <t>Caja Arequipa - Juber Monteza - Cuota 31</t>
  </si>
  <si>
    <t>001- N° 004332</t>
  </si>
  <si>
    <t>001- N° 004361</t>
  </si>
  <si>
    <t>001- N° 004365</t>
  </si>
  <si>
    <t>RH E001-26, RQ.LOG.295 Servicio de desatoramiento en el almacen 3</t>
  </si>
  <si>
    <t>RH E001-26</t>
  </si>
  <si>
    <t>001-58775686
001-59049417</t>
  </si>
  <si>
    <t>RQ.COM.317 por el servicio de homologación anual con Alicorp</t>
  </si>
  <si>
    <t>SERVICIOS EMPRESARIALES DE CERTIFICACION</t>
  </si>
  <si>
    <t>F001-0002457</t>
  </si>
  <si>
    <t>DETR.MASIVA 7622911249</t>
  </si>
  <si>
    <t>Disposicion residuos no aprovechables - 06.05.2025</t>
  </si>
  <si>
    <t>Contrato de Alquiler - Almacen La Joya - Mayo / Diciembre 2024</t>
  </si>
  <si>
    <t>FF02-22</t>
  </si>
  <si>
    <t>FF02-20</t>
  </si>
  <si>
    <t>F020000029 CORPORACION</t>
  </si>
  <si>
    <t>FF02-29</t>
  </si>
  <si>
    <t>FF02-19</t>
  </si>
  <si>
    <t>FF02-25</t>
  </si>
  <si>
    <t>FF02-30</t>
  </si>
  <si>
    <t>FF02-18</t>
  </si>
  <si>
    <t>FF02-24</t>
  </si>
  <si>
    <t>Carlos Calcina Mamani</t>
  </si>
  <si>
    <t>001- N° 004393</t>
  </si>
  <si>
    <t>F865-0160914</t>
  </si>
  <si>
    <t>F865-0160908</t>
  </si>
  <si>
    <t>PROV TLC 102</t>
  </si>
  <si>
    <t>PROV TLC 103</t>
  </si>
  <si>
    <t>FF07-2</t>
  </si>
  <si>
    <t>001- N° 004397</t>
  </si>
  <si>
    <t>VARIOS UNIVERSIDAD CAT</t>
  </si>
  <si>
    <t>FF01-12
FF01-23</t>
  </si>
  <si>
    <t>DE LIVIGUI PERU SAC</t>
  </si>
  <si>
    <t>FF01-18</t>
  </si>
  <si>
    <t>FF07-3</t>
  </si>
  <si>
    <t>FF02-17</t>
  </si>
  <si>
    <t>E001-4660, RQ.OPE.1041 por descarga de residuos</t>
  </si>
  <si>
    <t>E001-4660</t>
  </si>
  <si>
    <t>PAGO DETRAC 7623768793</t>
  </si>
  <si>
    <t>RQ.OPE.1123 Entregas a rendir /ER-001-0342025</t>
  </si>
  <si>
    <t>ER-001-0342025</t>
  </si>
  <si>
    <t>PAGO DETRAC 7623777352</t>
  </si>
  <si>
    <t>PAGO DETRAC 7623776332</t>
  </si>
  <si>
    <t>Disposicion residuos no aprovechables - 07.05.2025</t>
  </si>
  <si>
    <t>E001-3821, RQ.COM.318 Servicio de transporte para DF de residuos no peligrosos de Celicon</t>
  </si>
  <si>
    <t>E001-3821</t>
  </si>
  <si>
    <t>PAGO DETRAC 7623766465</t>
  </si>
  <si>
    <t>Alquiler Alm Huaranguillo2 May25</t>
  </si>
  <si>
    <t>FF07-5</t>
  </si>
  <si>
    <t>FF07-4</t>
  </si>
  <si>
    <t>F313-6299</t>
  </si>
  <si>
    <t>F313-6301</t>
  </si>
  <si>
    <t>F313-6297</t>
  </si>
  <si>
    <t>Disposicion residuos no aprovechables - 09.05.2025</t>
  </si>
  <si>
    <t>F313-6300</t>
  </si>
  <si>
    <t>Disposicion residuos no aprovechables - 08.05.2025</t>
  </si>
  <si>
    <t>F313-6298</t>
  </si>
  <si>
    <t>Innova Ambiental S.A. - Disposicion residuos no aprovechables</t>
  </si>
  <si>
    <t>RH E001- 19, DIAGNOSTICO EMPRESARIAL INTEGRAL</t>
  </si>
  <si>
    <t>RH E001- 19</t>
  </si>
  <si>
    <t>E001-666, RQ.COM.293 revisión, reparación y mantenimiento de balanzas que se necesita en Almacén 1</t>
  </si>
  <si>
    <t>BALANZAS WARTON SRL</t>
  </si>
  <si>
    <t>E001-666</t>
  </si>
  <si>
    <t>E001-2, RQ.LOG.296 Servicio de soldadura</t>
  </si>
  <si>
    <t>NUNONCA MARANON NOEMI</t>
  </si>
  <si>
    <t>E001-2</t>
  </si>
  <si>
    <t>E001-1, RQ.LOG.296 Servicio de soldadura</t>
  </si>
  <si>
    <t>E001-3, RQ.LOG.296 Servicio de soldadura</t>
  </si>
  <si>
    <t>E001-3</t>
  </si>
  <si>
    <t>Disposicion residuos peligrosos - 08.05.2025</t>
  </si>
  <si>
    <t>Disposicion residuos RCD - 09.05.2025</t>
  </si>
  <si>
    <t>PROV TLC 104</t>
  </si>
  <si>
    <t>ENTR.EFEC. 0016867</t>
  </si>
  <si>
    <t>0000000048 GRANJA RINC</t>
  </si>
  <si>
    <t>FF01-47
FF01-48</t>
  </si>
  <si>
    <t>FF01-55</t>
  </si>
  <si>
    <t>FF02-28</t>
  </si>
  <si>
    <t>000000000FF0143 STIERL</t>
  </si>
  <si>
    <t>FF01-43</t>
  </si>
  <si>
    <t>Devolución RQ.LOG.284 Entregas a rendir -  AGUA</t>
  </si>
  <si>
    <t>RQ.LOG.301 Entregas a rendir/ ER-001-0372025</t>
  </si>
  <si>
    <t>ER-001-0372025</t>
  </si>
  <si>
    <t>FFF1-000181, Servicio de Internet Mayo 2025</t>
  </si>
  <si>
    <t>FFF1-000181</t>
  </si>
  <si>
    <t>E001-1174</t>
  </si>
  <si>
    <t>Saldo 50% OC 004-153 ,RQ.SSO.231 EPP básicos RQ.SSO.232 EPPs adicionales</t>
  </si>
  <si>
    <t>DETR.MASIVA 7625420842</t>
  </si>
  <si>
    <t>PROV TLC 105</t>
  </si>
  <si>
    <t>F601</t>
  </si>
  <si>
    <t>001- N° 004406</t>
  </si>
  <si>
    <t>001- N° 004407</t>
  </si>
  <si>
    <t>001- N° 004325</t>
  </si>
  <si>
    <t>DE 191-2495575-0</t>
  </si>
  <si>
    <t>E001-28
E001-54 
E001-55
FF05-15</t>
  </si>
  <si>
    <t>001- N° 004411</t>
  </si>
  <si>
    <t>H &amp; R SERVICIOS E INGENIERIA E.I.R.L.</t>
  </si>
  <si>
    <t>001- N° 004408</t>
  </si>
  <si>
    <t>E001-402, RQ.LOG.298 recarga de agua.</t>
  </si>
  <si>
    <t>E001-402</t>
  </si>
  <si>
    <t>S001-30222675</t>
  </si>
  <si>
    <t>FE25</t>
  </si>
  <si>
    <t>FE25-12096</t>
  </si>
  <si>
    <t>S001-30222735</t>
  </si>
  <si>
    <t>F864-0138448</t>
  </si>
  <si>
    <t>F867-0160575</t>
  </si>
  <si>
    <t>DE COMIMTEL SAC</t>
  </si>
  <si>
    <t>FF01-17
FF01-37
FF01-38</t>
  </si>
  <si>
    <t>001- N° 004395</t>
  </si>
  <si>
    <t>001- N° 004399</t>
  </si>
  <si>
    <t>ENTR.EFEC. 0766176</t>
  </si>
  <si>
    <t>FF01-34</t>
  </si>
  <si>
    <t>001- N° 004412</t>
  </si>
  <si>
    <t>FF02-31</t>
  </si>
  <si>
    <t>E001-134, RQ.OPE.1139 por transporte de residuos</t>
  </si>
  <si>
    <t>E001-134</t>
  </si>
  <si>
    <t>Disposicion residuos no aprovechables - 13.05.2025</t>
  </si>
  <si>
    <t>Reposición - Caja Conductores - 2025 / RCO-09</t>
  </si>
  <si>
    <t>RCO-09</t>
  </si>
  <si>
    <t>Aniversario de la empresa 2025 - Entregas a rendir</t>
  </si>
  <si>
    <t>ER-001-0322025</t>
  </si>
  <si>
    <t>000FF02-37 EMPRESA SID</t>
  </si>
  <si>
    <t>FF02-37</t>
  </si>
  <si>
    <t>FF02-38</t>
  </si>
  <si>
    <t xml:space="preserve">TRAN.CTAS.TERC.BM / Devolución entregas a rendir </t>
  </si>
  <si>
    <t>ER-001-0282025</t>
  </si>
  <si>
    <t>TRAN.CTAS.TERC.BM / Devolución entregas a rendir 2024</t>
  </si>
  <si>
    <t>COM.CCE PRO 000106</t>
  </si>
  <si>
    <t>FN01-32464171</t>
  </si>
  <si>
    <t>F313-6324</t>
  </si>
  <si>
    <t>S106-000727094</t>
  </si>
  <si>
    <t>S105-124201</t>
  </si>
  <si>
    <t>F313-6323</t>
  </si>
  <si>
    <t>F313-6321</t>
  </si>
  <si>
    <t>F313-6325</t>
  </si>
  <si>
    <t>F313-6322</t>
  </si>
  <si>
    <t>F313-6327</t>
  </si>
  <si>
    <t>F313-6328</t>
  </si>
  <si>
    <t>F313-6326</t>
  </si>
  <si>
    <t>SB01-0539540161</t>
  </si>
  <si>
    <t>TELE000915030176 / Cuota 6 de 18</t>
  </si>
  <si>
    <t>PROV TLC 106</t>
  </si>
  <si>
    <t>autodetraccion</t>
  </si>
  <si>
    <t>0000000057 GRANJA RINC</t>
  </si>
  <si>
    <t>FF01-56
FF01-57
FF01-58</t>
  </si>
  <si>
    <t>FF01-41</t>
  </si>
  <si>
    <t>FN01-32740807</t>
  </si>
  <si>
    <t>Pago Cts caja piura</t>
  </si>
  <si>
    <t xml:space="preserve">Pago Cts caja aqp </t>
  </si>
  <si>
    <t>PAGOS AFP PROFUTUR (Intereses: 0.52)</t>
  </si>
  <si>
    <t>PAGOS AFP PRIMA (Intereses: 3.83)</t>
  </si>
  <si>
    <t>PAGOS AFP INTEGRA (Intereses: 10.54)</t>
  </si>
  <si>
    <t>PAGOS AFP HABITAT (Intereses: 1.70)</t>
  </si>
  <si>
    <t>FF01-50</t>
  </si>
  <si>
    <t>001- N° 004413</t>
  </si>
  <si>
    <t>FF02-39</t>
  </si>
  <si>
    <t>FF02-33</t>
  </si>
  <si>
    <t>FF02-32</t>
  </si>
  <si>
    <t>F001-01022366</t>
  </si>
  <si>
    <t>F001-01032039</t>
  </si>
  <si>
    <t>DETR.MASIVA 7630875208</t>
  </si>
  <si>
    <t>F865-0162711</t>
  </si>
  <si>
    <t>F865-0162688</t>
  </si>
  <si>
    <t>F006</t>
  </si>
  <si>
    <t>MAF0020558226979 / Cuota 56</t>
  </si>
  <si>
    <t>MAF</t>
  </si>
  <si>
    <t>F006-00158055</t>
  </si>
  <si>
    <t>CTS TLC 109</t>
  </si>
  <si>
    <t>Reposicion de caja AQP</t>
  </si>
  <si>
    <t>Devolucion de deposito indebido OP: 16867</t>
  </si>
  <si>
    <t>HUANCAHUIRE VEGA RUTH KAROL</t>
  </si>
  <si>
    <t>Devolucion de transferencia indebida - OP: 1415067</t>
  </si>
  <si>
    <t>I Y M RIVESPINO E.I.R.L.</t>
  </si>
  <si>
    <t>FN01-32824982</t>
  </si>
  <si>
    <t xml:space="preserve">Imer </t>
  </si>
  <si>
    <t>Transferencia de Interbank a BCP Soles</t>
  </si>
  <si>
    <t>MULTI ENVASES AUCCAISE S.A.C</t>
  </si>
  <si>
    <t>002- N° 000779</t>
  </si>
  <si>
    <t>001- N° 004421</t>
  </si>
  <si>
    <t>001- N° 004419</t>
  </si>
  <si>
    <t>002- N° 000765</t>
  </si>
  <si>
    <t>Disposicion residuos no peligrosos - 19.05.2025</t>
  </si>
  <si>
    <t>E001-415 Servicio de Internet mes de Mayo 2025 - FIXER TELECOMUNICACIONES S.A.C</t>
  </si>
  <si>
    <t>E001-415</t>
  </si>
  <si>
    <t>E001-472, RQ.SIG.029 servicio de actualización mensual de la matriz de requisitos legales</t>
  </si>
  <si>
    <t>E001-472</t>
  </si>
  <si>
    <t>Adelanto de sueldo Mayo 2025 - VIZA CACERES WAY BRIAN</t>
  </si>
  <si>
    <t>Adelanto de sueldo Mayo 2025 - LEON NN WILLIAN JOHAN</t>
  </si>
  <si>
    <t>Adelanto de sueldo Mayo 2025 -QUEQUE ANCO JORGE LUIS</t>
  </si>
  <si>
    <t>Compartamos Financiera - Cuota 31</t>
  </si>
  <si>
    <t>Disposicion residuos no aprovechables - 19.05.2025</t>
  </si>
  <si>
    <t>PROV TLC 111</t>
  </si>
  <si>
    <r>
      <t xml:space="preserve">CLAR000003358327 / </t>
    </r>
    <r>
      <rPr>
        <sz val="9"/>
        <color rgb="FFFF0000"/>
        <rFont val="Aptos Narrow"/>
        <family val="2"/>
      </rPr>
      <t>F01500293332</t>
    </r>
  </si>
  <si>
    <t>F01500293332</t>
  </si>
  <si>
    <t>Disposicion residuos no aprovechables - 21.05.2025</t>
  </si>
  <si>
    <t>F006-41155, RQ.OPE.1119 mantenimiento preventivo(Cambio de aceite y filtros) de la unidad VBB-840</t>
  </si>
  <si>
    <t>NEGOCIACIONES ABBYCORP EIRL</t>
  </si>
  <si>
    <t>F006-41155</t>
  </si>
  <si>
    <t>RQ.OPE.1160 Entregas a rendir/ ER-001-0352025</t>
  </si>
  <si>
    <t>ER-001-0352025</t>
  </si>
  <si>
    <r>
      <t xml:space="preserve">CLAR000003358327 / </t>
    </r>
    <r>
      <rPr>
        <sz val="9"/>
        <color rgb="FFFF0000"/>
        <rFont val="Aptos Narrow"/>
        <family val="2"/>
      </rPr>
      <t>F01500287519</t>
    </r>
  </si>
  <si>
    <t>F01500287519</t>
  </si>
  <si>
    <t>Disposicion residuos no aprovechables - 20.05.2025</t>
  </si>
  <si>
    <t>F136-10386 Combustible</t>
  </si>
  <si>
    <t>F136-10386</t>
  </si>
  <si>
    <t>F135-7754 Combustible</t>
  </si>
  <si>
    <t>F135-7754</t>
  </si>
  <si>
    <t>Liquidacion de Beneficios Sociales - MÁRQUEZ AVILA FERNANDO JESÚS</t>
  </si>
  <si>
    <t>FF01-89</t>
  </si>
  <si>
    <t>FF05-18</t>
  </si>
  <si>
    <t>FF05-23</t>
  </si>
  <si>
    <t>FF05-24</t>
  </si>
  <si>
    <t>FF05-19</t>
  </si>
  <si>
    <t>FF05-26</t>
  </si>
  <si>
    <t>F001-479, RQ.OPE.1161 mantenimiento correctivo de la unidad BKL-739</t>
  </si>
  <si>
    <t>F001-479</t>
  </si>
  <si>
    <t>CLAR000003358327 / F01500293331</t>
  </si>
  <si>
    <t>F01500293331</t>
  </si>
  <si>
    <t>F313-6372</t>
  </si>
  <si>
    <t>F313-6368</t>
  </si>
  <si>
    <t>F313-6367</t>
  </si>
  <si>
    <t>F313-6370</t>
  </si>
  <si>
    <t>F313-6369</t>
  </si>
  <si>
    <t>EB01-88, RQ.LOG.304 compra de camisetas por encargo de Gerencia (20608172085) MYKIMI EIRL</t>
  </si>
  <si>
    <t>EB01-88</t>
  </si>
  <si>
    <t>F313-6371</t>
  </si>
  <si>
    <t>F313-6373</t>
  </si>
  <si>
    <t>Liquidacion de Beneficios Sociales - DLUZNIEWSKI RODRIGUEZ JULIO CESAR</t>
  </si>
  <si>
    <t>PROV TLC 112</t>
  </si>
  <si>
    <t>De antilla copper soci</t>
  </si>
  <si>
    <t>FF01-85</t>
  </si>
  <si>
    <t>0FF010000000045 INCA T</t>
  </si>
  <si>
    <t>FF01-45</t>
  </si>
  <si>
    <t>Timoteo Chaucha Chata</t>
  </si>
  <si>
    <t>001- N° 004432</t>
  </si>
  <si>
    <t>00000000FF01046 ASOCIA</t>
  </si>
  <si>
    <t>FF01-46</t>
  </si>
  <si>
    <t>FF02-16</t>
  </si>
  <si>
    <t>RQ.STI.086 Y RQ.STI.087 Compra de cartuchos y mantenimiento Konica Minolta</t>
  </si>
  <si>
    <t>F001-8265
F001-8257</t>
  </si>
  <si>
    <t>DETR.MASIVA 7638072361 / autodetracciones</t>
  </si>
  <si>
    <t>Constatacion Notarial para redisuos de Danper</t>
  </si>
  <si>
    <t>F001-16143</t>
  </si>
  <si>
    <t>PROV TLC 117</t>
  </si>
  <si>
    <t>DETR.MASIVA 7638162065</t>
  </si>
  <si>
    <t>IMPUESTO ITF</t>
  </si>
  <si>
    <t>FN01-32992663</t>
  </si>
  <si>
    <t xml:space="preserve">001- N° 004418	</t>
  </si>
  <si>
    <t>001- N° 004448</t>
  </si>
  <si>
    <t>001- N° 004436</t>
  </si>
  <si>
    <t>FF05-27</t>
  </si>
  <si>
    <t>Aurelio Zuñiga Zuñiga</t>
  </si>
  <si>
    <t>001- N° 004437</t>
  </si>
  <si>
    <t>F313-6396</t>
  </si>
  <si>
    <t>F313-6393</t>
  </si>
  <si>
    <t>F313-6394</t>
  </si>
  <si>
    <t>F313-6392</t>
  </si>
  <si>
    <t>Devolución por entregas a rendir - Dia del trabajador/ ER-001-0292025</t>
  </si>
  <si>
    <t>F313-6391</t>
  </si>
  <si>
    <t>F313-6395</t>
  </si>
  <si>
    <t>F867-0162950</t>
  </si>
  <si>
    <t>F865-0164008</t>
  </si>
  <si>
    <t>001- N° 004435</t>
  </si>
  <si>
    <t>FF02-40</t>
  </si>
  <si>
    <t>0100000040 UNIVERSIDAD</t>
  </si>
  <si>
    <t>FF01-40</t>
  </si>
  <si>
    <t>001- N° 004440</t>
  </si>
  <si>
    <t>F313-6390</t>
  </si>
  <si>
    <t>F001-15, RQ.OPE.1018 recarga de gas de aire acondicionado de la unidad VBB-840</t>
  </si>
  <si>
    <t>F001-15</t>
  </si>
  <si>
    <t>RH E001-29, E001-30, E001-31- RQ.GH.190 implementación de procedimientos de capacitación y desarrollo, elaboración del reglamento</t>
  </si>
  <si>
    <t>RH E001-29
RH E001-30
RH E001-31</t>
  </si>
  <si>
    <t>F002-19575, RQ.OPE.1166 mantenimiento preventivo(Cambio de aceite y filtros) de la unidad VDJ-872</t>
  </si>
  <si>
    <t>F002-19575</t>
  </si>
  <si>
    <t>PROV TLC 118</t>
  </si>
  <si>
    <t>Maritza</t>
  </si>
  <si>
    <t>DETR.MASIVA 7640990483</t>
  </si>
  <si>
    <t>Cambio de Soles a Dolares TC: 3.649</t>
  </si>
  <si>
    <t>FN01-33065811</t>
  </si>
  <si>
    <t>DE AZ ARQUITECTOS EIRL</t>
  </si>
  <si>
    <t>FF01-99</t>
  </si>
  <si>
    <t>0100000070 UNIVERSIDAD</t>
  </si>
  <si>
    <t>FF01-70</t>
  </si>
  <si>
    <t>Cirila Puma Chambi</t>
  </si>
  <si>
    <t>ENTR.EFEC. 0120714</t>
  </si>
  <si>
    <t>001- N° 004403</t>
  </si>
  <si>
    <t>002- N° 000783</t>
  </si>
  <si>
    <t>Armando Herrera Tantayana</t>
  </si>
  <si>
    <t>001- N° 004453</t>
  </si>
  <si>
    <t xml:space="preserve">RQ.OPE.1170 compra de baterías para unidad HINO 500 (10295590934) Eva Tito Mamani </t>
  </si>
  <si>
    <t>F002-00002152</t>
  </si>
  <si>
    <t>Disposicion residuos peligrosos - 29.05.2025</t>
  </si>
  <si>
    <t>0000000074 GRANJA RINC</t>
  </si>
  <si>
    <t>FF01-73
FF01-74</t>
  </si>
  <si>
    <t>FF02-44</t>
  </si>
  <si>
    <t>FF02-45</t>
  </si>
  <si>
    <t>FF02-42</t>
  </si>
  <si>
    <t>F302</t>
  </si>
  <si>
    <t>F302-122451</t>
  </si>
  <si>
    <t>RQ.OPE.1179 renovación de inspección técnica (Peligrosos y no peligrosos) de la unidad BKK-849</t>
  </si>
  <si>
    <t>CENTRO DE INSPECCIONES TECNICAS DEL SUR</t>
  </si>
  <si>
    <t>F001-35842
F001-35843</t>
  </si>
  <si>
    <t>Disposicion residuos no aprovechables - 30.05.2025</t>
  </si>
  <si>
    <t>FA02-1333, RQ.OPE.1118 compra de conos de seguridad para la flota vehicular</t>
  </si>
  <si>
    <t>FA02-1333</t>
  </si>
  <si>
    <t>E001-176, RQ.OPE.1175 por transporte de residuos</t>
  </si>
  <si>
    <t>EMPRESA DE TRANSPORTES LAGUNA EIRL</t>
  </si>
  <si>
    <t>E001-176</t>
  </si>
  <si>
    <t>RH E001- 20 Elaboración del plan estratégico Parte 1</t>
  </si>
  <si>
    <t>Transferencia de BBVA Soles a BCP Soles</t>
  </si>
  <si>
    <t>00000000FF02-49 EMPRES</t>
  </si>
  <si>
    <t>FF02-49</t>
  </si>
  <si>
    <t>FF01-71
FF01-77</t>
  </si>
  <si>
    <t>DE INDUSTRIA DEL REENC</t>
  </si>
  <si>
    <t>FF01-14</t>
  </si>
  <si>
    <t>DEPOSITO AG 986317</t>
  </si>
  <si>
    <t>COM.CCE PRO 000120</t>
  </si>
  <si>
    <t>S9AA-0069309475</t>
  </si>
  <si>
    <t>F004-2647, RQ.COM.325 Merchandising para las ferias y capacitaciones en Junio por el Día del Medio a</t>
  </si>
  <si>
    <t>F004-2647</t>
  </si>
  <si>
    <t>DETR.MASIVA 7643542614</t>
  </si>
  <si>
    <t>TRANFERENCIA CCE</t>
  </si>
  <si>
    <t>F0031698
F0031699</t>
  </si>
  <si>
    <t>PAGO IMPUES 7643310781</t>
  </si>
  <si>
    <t>E001-723, E001-725 Impresión de 600 certificados 180gr tamaño A4</t>
  </si>
  <si>
    <t>E001-723
E001-725</t>
  </si>
  <si>
    <t>PROV TLC 120</t>
  </si>
  <si>
    <t>HABER TLC 121 /Planilla de Rem. May25 (1)</t>
  </si>
  <si>
    <t>00000000FF02-35 EMPRES</t>
  </si>
  <si>
    <t>FF02-35</t>
  </si>
  <si>
    <t xml:space="preserve">001- N° 004456	</t>
  </si>
  <si>
    <t>002- N° 000767</t>
  </si>
  <si>
    <t>002- N° 000772</t>
  </si>
  <si>
    <t>Ff0100000078000 carmen</t>
  </si>
  <si>
    <t>FF01-78</t>
  </si>
  <si>
    <t>COM.CCE PRO 000122</t>
  </si>
  <si>
    <t>RQ.OPE.1188 Entregas a rendir</t>
  </si>
  <si>
    <t>E001-2546,RQ.COM.325 Adelanto - Merchandising para las ferias y capacitaciones en Junio por el Día del Medio Am</t>
  </si>
  <si>
    <t>PUBLICIDAD DIGITAL PERU E.I.R.L.</t>
  </si>
  <si>
    <t>E001-2546</t>
  </si>
  <si>
    <t>F8640141459</t>
  </si>
  <si>
    <t>PROV TLC 122</t>
  </si>
  <si>
    <t>F8650165181</t>
  </si>
  <si>
    <t>F136-10502 Combustible</t>
  </si>
  <si>
    <t>F136-10502</t>
  </si>
  <si>
    <t>RQ.OPE.1190 Renovación de inspección técnica de la unidad V9R-903</t>
  </si>
  <si>
    <t>F001-00035937</t>
  </si>
  <si>
    <t>Disposicion residuos no aprovechables 03.06.2025</t>
  </si>
  <si>
    <t>FE26</t>
  </si>
  <si>
    <t>FE26-10638</t>
  </si>
  <si>
    <t>RQ.OPE.1160 - Reposicion de entregas a rendir - ER-001-0352025</t>
  </si>
  <si>
    <t>Disposicion residuos no aprovechables - 02.06.2025</t>
  </si>
  <si>
    <t>Saldo E001-2546, RQ.COM.325 para la compra de Merchandising para las ferias y capacitaciones en Juni</t>
  </si>
  <si>
    <t>Caja Arequipa - Juber Monteza - Cuota 32</t>
  </si>
  <si>
    <t>FF01-63
FF01-64
FF01-65
FF01-66</t>
  </si>
  <si>
    <t>0000000080 GRANJA RINC</t>
  </si>
  <si>
    <t>FF01-80
FF01-81
FF01-82
FF01-83
FF01-84</t>
  </si>
  <si>
    <t>002- N° 000788</t>
  </si>
  <si>
    <t>001- N° 004469</t>
  </si>
  <si>
    <t>Disposicion residuos no aprovechables 05.06.2025</t>
  </si>
  <si>
    <t>F136-00010509 Combustible</t>
  </si>
  <si>
    <t>F136-00010509</t>
  </si>
  <si>
    <t>E001-429 Servicio de Internet mes de Junio 2025 - FIXER TELECOMUNICACIONES S.A.C</t>
  </si>
  <si>
    <t>E001-429</t>
  </si>
  <si>
    <t>RQ.LOG.313 Entregas a rendir / ER-001-0452025</t>
  </si>
  <si>
    <t>ER-001-0452025</t>
  </si>
  <si>
    <t>A 215 2497851 0</t>
  </si>
  <si>
    <t>FFF1-000203, Servicio de Internet Junio 2025</t>
  </si>
  <si>
    <t>FFF1-000203</t>
  </si>
  <si>
    <t>F001-482, RQ.OPE.1183 referente a Mantenimiento Preventivo de la unidad BKL-739</t>
  </si>
  <si>
    <t>F001-482</t>
  </si>
  <si>
    <t>F135-00007894 Combustible</t>
  </si>
  <si>
    <t>F135-00007894</t>
  </si>
  <si>
    <t>F001-483, RQ.OPE.1183 referente a Mantenimiento Preventivo de la unidad BKL-739</t>
  </si>
  <si>
    <t>F001-483</t>
  </si>
  <si>
    <t>E001-4302 - RQ.STI.089 - 01 PC completa para el trabajador Emiliano Montenegro</t>
  </si>
  <si>
    <t xml:space="preserve">E001-4302 </t>
  </si>
  <si>
    <t>PROV TLC 125</t>
  </si>
  <si>
    <t>Rodrigo Mauricio Luque Nina</t>
  </si>
  <si>
    <t>001- N° 004478</t>
  </si>
  <si>
    <t>FF01-67
FF01-68</t>
  </si>
  <si>
    <t>000000000000061 COMPAS</t>
  </si>
  <si>
    <t>F8650165759</t>
  </si>
  <si>
    <t>Alquiler Alm Huaranguillo2 Jun25</t>
  </si>
  <si>
    <t>RQ.OPE.1189 renovación de inspección técnica de la unidad BKL-739</t>
  </si>
  <si>
    <t>F001-00036014
F001-00036013</t>
  </si>
  <si>
    <t>F8650165760</t>
  </si>
  <si>
    <t>FF02</t>
  </si>
  <si>
    <t>000000000000053 METALU</t>
  </si>
  <si>
    <t>FF02-53</t>
  </si>
  <si>
    <t>FF01-91</t>
  </si>
  <si>
    <t>001- N° 004481</t>
  </si>
  <si>
    <t>001- N° 004473</t>
  </si>
  <si>
    <t>Natalia Rospigliosi</t>
  </si>
  <si>
    <t>Devolucion de prestamo - 31.12.2024</t>
  </si>
  <si>
    <t>00000000ff02-54 empres</t>
  </si>
  <si>
    <t>FF02-54</t>
  </si>
  <si>
    <t>Disposicion residuos no aprovechables 06.06.2025</t>
  </si>
  <si>
    <t>RQ.COM.338 Entregas a rendir, merchandising para Feria de Alsur / ER-001-0422025</t>
  </si>
  <si>
    <t>ER-001-0422025</t>
  </si>
  <si>
    <t>RQ.LOG.308 Entregas a rendir , compra de útiles /ER-001-0442025</t>
  </si>
  <si>
    <t>ER-001-0442025</t>
  </si>
  <si>
    <t>OC: Nro. 00000152 - Residuos Aprovechables</t>
  </si>
  <si>
    <t>E001-1322</t>
  </si>
  <si>
    <t>Disposicion residuos no peligrosos 09.06.2025</t>
  </si>
  <si>
    <t>Detr.masiva 7647411779</t>
  </si>
  <si>
    <t>001- N° 004455</t>
  </si>
  <si>
    <t>001- N° 004470</t>
  </si>
  <si>
    <t>001- N° 004484</t>
  </si>
  <si>
    <t>FF02-58</t>
  </si>
  <si>
    <t>FF02-46</t>
  </si>
  <si>
    <t>RQ.OPE.1210 Entregas a rendir</t>
  </si>
  <si>
    <t>F002-19737, RQ.OPE.1201 Mantenimiento Preventivo(cambio de aceite y filtros) de la unidad BKL-739</t>
  </si>
  <si>
    <t>F002-19737</t>
  </si>
  <si>
    <t>E001 1682 - RQ.OPE.1199 - Lavado y engrase Montacarga</t>
  </si>
  <si>
    <t>E001 1682</t>
  </si>
  <si>
    <t>F152 N° 0026653 - RQ.OPE.1180 - HINO V9R-903 - Mantenimiento vehicular (Preventivo)</t>
  </si>
  <si>
    <t xml:space="preserve">F152 N° 0026653 </t>
  </si>
  <si>
    <t>Prov tlc 126</t>
  </si>
  <si>
    <t>FF01-79
FF01-93</t>
  </si>
  <si>
    <t>ENTR.EFEC. 0305797</t>
  </si>
  <si>
    <t>001- N° 004446</t>
  </si>
  <si>
    <t>001- N° 004449</t>
  </si>
  <si>
    <t>001- N° 004451</t>
  </si>
  <si>
    <t>001- N° 004482</t>
  </si>
  <si>
    <t>FF02-48</t>
  </si>
  <si>
    <t>001- N° 004483</t>
  </si>
  <si>
    <t>FF02-47</t>
  </si>
  <si>
    <t>RQ.GH.194 Entregas a rendir - Día del padre y los cumpleaños del mes -ER-001-0392025</t>
  </si>
  <si>
    <t>ER-001-0392025</t>
  </si>
  <si>
    <t>RQ.LOG.306 - Reabastecimiento de insumos de limpieza y proteccion.</t>
  </si>
  <si>
    <t>F004-117985</t>
  </si>
  <si>
    <t>E001-4319 - RQ.STI.091 - 01 Laptop para el Jefe de Operaciones con protector de teclado y mouse pad</t>
  </si>
  <si>
    <t>E001-4319</t>
  </si>
  <si>
    <t>F001-00003036 - RQ.OPE.1181 - Lavado de camioneta VBW889</t>
  </si>
  <si>
    <t>SERVICIOS AUTOMOTRICES FALCAR SRL</t>
  </si>
  <si>
    <t>F001-00003036</t>
  </si>
  <si>
    <t>FF02-60</t>
  </si>
  <si>
    <t>FF02-59</t>
  </si>
  <si>
    <t>Liquidacion de Beneficios Sociales - ROSPIGLIOSI MANRIQUE NATALIA SOMMER</t>
  </si>
  <si>
    <t>F313-6445</t>
  </si>
  <si>
    <t>F313-6446</t>
  </si>
  <si>
    <t>F313-6447</t>
  </si>
  <si>
    <t>F313-6448</t>
  </si>
  <si>
    <t>F313-6449</t>
  </si>
  <si>
    <t>F313-6451</t>
  </si>
  <si>
    <t>F313-6450</t>
  </si>
  <si>
    <t>F313-6452</t>
  </si>
  <si>
    <t>F313-6454</t>
  </si>
  <si>
    <t>F313-6453</t>
  </si>
  <si>
    <t>F313-6455</t>
  </si>
  <si>
    <t>F313-6457</t>
  </si>
  <si>
    <t>F313-6456</t>
  </si>
  <si>
    <t>ER-001-0402025 - RQ.OPE.1220 - Recolección y transporte de residuos aprovechables Campo Limpio Pisco</t>
  </si>
  <si>
    <t>ER-001-0402025</t>
  </si>
  <si>
    <t>Disposición de residuos peligrosos 12.06.2025</t>
  </si>
  <si>
    <t>F867-0165424
F864-0143089</t>
  </si>
  <si>
    <t>Internet Santa Anita - Junio 2025</t>
  </si>
  <si>
    <t>S99A-070410182</t>
  </si>
  <si>
    <t>ER-001-0332025 - Devolucion - RQ.SSO.218 Entregas a rendir</t>
  </si>
  <si>
    <t>F001-00002120 - RQ.OPE.1181 (TAPICENTER TORRES HERMANOS S.R.L. - 20558627299)</t>
  </si>
  <si>
    <t>TORRES PARICAHUA FELIX</t>
  </si>
  <si>
    <t>F001-00002120</t>
  </si>
  <si>
    <t>DETR.MASIVA 7648607459</t>
  </si>
  <si>
    <t>VARIOS ALEACIONES FERR</t>
  </si>
  <si>
    <t>FF05-28
FF05-30
FF05-31</t>
  </si>
  <si>
    <t>FF05</t>
  </si>
  <si>
    <t>BCO.CITI0033053742</t>
  </si>
  <si>
    <t>FF01-72</t>
  </si>
  <si>
    <t>ER-001-0412025 - RQ.COM.292/323/328 - Compra de materiales para fabricacion de contenedores</t>
  </si>
  <si>
    <t>ER-001-0412025</t>
  </si>
  <si>
    <t>E001-3235 - RQ.OPE.1165 - Mantenimiento (preventivo) - Montacarga</t>
  </si>
  <si>
    <t>E001-3235</t>
  </si>
  <si>
    <t>E001-650 - RQ.OPE.1208 - Adelanto mantenimiento de 2 transpaletas hidraulicas.</t>
  </si>
  <si>
    <t>EDTSA GROUP SAC</t>
  </si>
  <si>
    <t>E001-650</t>
  </si>
  <si>
    <t>Reposicion - Caja Chica AQP - RC 001-005_2025</t>
  </si>
  <si>
    <t>PAGOS AFP HABITAT (Intereses: 1.74)</t>
  </si>
  <si>
    <t>PAGOS AFP PRIMA (Intereses: 3.76)</t>
  </si>
  <si>
    <t>PAGOS AFP PROFUTUR (Intereses: 0.42)</t>
  </si>
  <si>
    <t>FF01-102</t>
  </si>
  <si>
    <t>De industria del reenc</t>
  </si>
  <si>
    <t>FF01-101</t>
  </si>
  <si>
    <t>F010000088 talma servi</t>
  </si>
  <si>
    <t>FF01-88</t>
  </si>
  <si>
    <t>001- N° 004507</t>
  </si>
  <si>
    <t>001- N° 004505</t>
  </si>
  <si>
    <t>002- N° 000795</t>
  </si>
  <si>
    <t>002- N° 000794</t>
  </si>
  <si>
    <t>RQ.SSO.230 - OC 004-161 - EPP adicionales</t>
  </si>
  <si>
    <t>RQ.OPE.1216 Mantenimiento prev. cambio de fajas delanteras y revisión del freno de motor, unidad V9R-903</t>
  </si>
  <si>
    <t>F152- 0026715</t>
  </si>
  <si>
    <t>Disposicion residuos no aprovechables 13.06.2025</t>
  </si>
  <si>
    <t>Disposicion residuos no peligrosos 17.06.2025</t>
  </si>
  <si>
    <t>E001-497, RQ.OPE.1195 por transporte de residuos para descarga en almacen 03, cliente: Alicorp</t>
  </si>
  <si>
    <t>16.06 Ugarte Mendoza Gregorio Nacianseno - E001-497, RQ.OPE.1195 por transporte de residuos para descarga en almacen 03, cliente Alicorp.pdf</t>
  </si>
  <si>
    <t>E001-497</t>
  </si>
  <si>
    <t>ER-001-0432025 - RQ.GH.196 - Entregas a rendir - Compartir que se realiza en sede Lima</t>
  </si>
  <si>
    <t>ER-001-0432025</t>
  </si>
  <si>
    <t>RQ.STI.092 - Mantenimiento de software de laptop (10802636143)</t>
  </si>
  <si>
    <t>16.06 Narvaez Pacheco Juan Sergio - RQ.STI.092 - Mantenimiento de software de laptop (10802636143).pdf</t>
  </si>
  <si>
    <t>E001-423</t>
  </si>
  <si>
    <t>Disposicion residuos no peligrosos 13.06.2025</t>
  </si>
  <si>
    <t>00000000FF02-62 EMPRES</t>
  </si>
  <si>
    <t>FF02-62</t>
  </si>
  <si>
    <t>FF05-20
FF05-25
FF05-33</t>
  </si>
  <si>
    <t>PROV TLC 133</t>
  </si>
  <si>
    <t>17.06 Proveedores 20250617 (1).pdf</t>
  </si>
  <si>
    <t>Adelanto de Remuneracion - Junio 2025</t>
  </si>
  <si>
    <t>17.06 Viza Caceres Way Brian - Adelanto de Remuneracion - Junio 2025.pdf</t>
  </si>
  <si>
    <t>17.06 Leon Willian Johan - Adelanto de Remuneraciones - Junio 2025.pdf</t>
  </si>
  <si>
    <t>17.06 Ponce Febres Gleen Stev - Adelanto de Remuneraciones - Junio 2025.pdf</t>
  </si>
  <si>
    <t>17.06 Queque Anco Jorge Luis - Adelanto de Remuneraciones - Junio 2025.pdf</t>
  </si>
  <si>
    <t>17.06 Supo Quispe Ronald Humberto - Adelanto de Remuneraciones - Junio 2025.pdf</t>
  </si>
  <si>
    <t>F136-10626 - Combustible</t>
  </si>
  <si>
    <t>17.06 Estacion de Servicios Mi Grifo S.R.L. - F136-10626 - Combustible.pdf</t>
  </si>
  <si>
    <t>F136-10626</t>
  </si>
  <si>
    <t>F135-8037 - Combustible</t>
  </si>
  <si>
    <t>17.06 Estacion de Servicios Mi Grifo S.R.L. - F135-8037 - Combustible.pdf</t>
  </si>
  <si>
    <t>F135-8037</t>
  </si>
  <si>
    <t>FA02-001539, RQ.OPE.1115 Accesorios vehiculares, compra de eslingas y ratchet.</t>
  </si>
  <si>
    <t>17.06 Sky High S.A.C. - FA02-001539, RQ.OPE.1115 Accesorios vehiculares, compra de eslingas y ratchet..pdf</t>
  </si>
  <si>
    <t>FA02-001539</t>
  </si>
  <si>
    <t>17.06 Coesti - F8640143945 - F8670166460.pdf</t>
  </si>
  <si>
    <t>F864-0143945
F867-0166460</t>
  </si>
  <si>
    <t>E001-1761 - Elaboracion de plan estrategico</t>
  </si>
  <si>
    <t>17.06 Marnic Marketing Consulting E.I.R.L. - E001-1761 - Elaboracion de plan estrategico.pdf</t>
  </si>
  <si>
    <t>FF02-63</t>
  </si>
  <si>
    <t>Envases Carolina S.a.C.</t>
  </si>
  <si>
    <t>PENDIENTE</t>
  </si>
  <si>
    <t>Luz Marina Vilca Mamani</t>
  </si>
  <si>
    <t>001- N° 004519</t>
  </si>
  <si>
    <t>001- N° 004515</t>
  </si>
  <si>
    <t>Jose Luis Ramirez Quispe</t>
  </si>
  <si>
    <t>001- N° 004514</t>
  </si>
  <si>
    <t>001- N° 004420</t>
  </si>
  <si>
    <t>001- N° 004452</t>
  </si>
  <si>
    <t>001- N° 004518</t>
  </si>
  <si>
    <t>Agua - Junio 2025</t>
  </si>
  <si>
    <t>18.06 Sedapal - S106-8960873.pdf</t>
  </si>
  <si>
    <t>S106-8960873</t>
  </si>
  <si>
    <t>Luz - Junio 2025</t>
  </si>
  <si>
    <t>18.06 Luz del Sur - S105-190557.pdf</t>
  </si>
  <si>
    <t>S105-190557</t>
  </si>
  <si>
    <t>E001-438 Servicio de Internet mes de Junio 2025 - FIXER TELECOMUNICACIONES S.A.C</t>
  </si>
  <si>
    <t>18.06 Aro Sano Cristhian Junior - E001-438 Servicio de Internet mes de Junio 2025 - FIXER TELECOMUNICACIONES S.A.C.pdf</t>
  </si>
  <si>
    <t>E001-438</t>
  </si>
  <si>
    <t>Luz - Mayo 2025</t>
  </si>
  <si>
    <t>18.06 Seal - S001-30732500.pdf</t>
  </si>
  <si>
    <t>S001-30732500</t>
  </si>
  <si>
    <t>18.06 Seal - S001-30732440.pdf</t>
  </si>
  <si>
    <t>S001-30732440</t>
  </si>
  <si>
    <t>Agua - Mayo 2025</t>
  </si>
  <si>
    <t>18.06 Sedapar - 001-59332947.pdf</t>
  </si>
  <si>
    <t>001-59332947</t>
  </si>
  <si>
    <t>18.06 Paco Pauccara Elias Gustavo - Reposicion de caja AQP.pdf</t>
  </si>
  <si>
    <t>Compartamos Financiera - Cuota 32</t>
  </si>
  <si>
    <t>001- N° 004508</t>
  </si>
  <si>
    <t>001- N° 004521</t>
  </si>
  <si>
    <t>Disposición de residuos no peligrosos 19-06-2025</t>
  </si>
  <si>
    <t>19.06 Innova Ambiental S.A. - Disposición de residuos no peligrosos 19-06-2025.pdf</t>
  </si>
  <si>
    <t>Disposición de residuos no peligrosos y peligrosos 19-06-2025</t>
  </si>
  <si>
    <t>19.06 Innova Ambiental S.A. - Disposición de residuos no peligrosos y peligrosos 19-06-2025.pdf</t>
  </si>
  <si>
    <t xml:space="preserve">RQ.LOG.318 - OS 005-643 - Acondicionamiento de construcción de primer nivel en La Joya. / Trans. Machaca Alvarez Elizabeth Roxana </t>
  </si>
  <si>
    <t>19.06 Machaca Alvarez Elizabeth Roxana - RQ.LOG.318 - OS 005-643 - Acondicionamiento de construcción de primer nivel en La Joya.pdf</t>
  </si>
  <si>
    <t>MACHACA ALVAREZ ELIZABETH ROXANA</t>
  </si>
  <si>
    <t>RQ.LOG.318 - OS 005-643 - Acondicionamiento de construcción de primer nivel en La Joya.</t>
  </si>
  <si>
    <t>19.06 Equifax - 20558226979.pdf</t>
  </si>
  <si>
    <t>F001-1041465</t>
  </si>
  <si>
    <t>19.06 Innova Ambiental S.A. - Disposición de residuos no peligrosos 19-06-2025 (2).pdf</t>
  </si>
  <si>
    <t>19.06 Alicorp S.A.A. - F313-6492.pdf</t>
  </si>
  <si>
    <t>F313-6492</t>
  </si>
  <si>
    <t>19.06 Alicorp S.A.A. - F313-6493.pdf</t>
  </si>
  <si>
    <t>F313-6493</t>
  </si>
  <si>
    <t>19.06 Alicorp S.A.A. - F313-6494.pdf</t>
  </si>
  <si>
    <t>F313-6494</t>
  </si>
  <si>
    <t>19.06 Alicorp S.A.A. - F313-6495.pdf</t>
  </si>
  <si>
    <t>F313-6495</t>
  </si>
  <si>
    <t>19.06 Alicorp S.A.A. - F313-6496.pdf</t>
  </si>
  <si>
    <t>F313-6496</t>
  </si>
  <si>
    <t>19.06 Alicorp S.A.A. - F313-6497.pdf</t>
  </si>
  <si>
    <t>F313-6497</t>
  </si>
  <si>
    <t>PROV TLC 134</t>
  </si>
  <si>
    <t>19.06 Proveedores 20250619 (2).pdf</t>
  </si>
  <si>
    <t>DETR.MASIVA 7653151659</t>
  </si>
  <si>
    <t>Cambio de Soles a Dolares TC: 3.599</t>
  </si>
  <si>
    <t>19.06 Cambio de Soles a Dolares TC. 3.5990 (1).pdf</t>
  </si>
  <si>
    <t>Cambio de Soles a Dolares TC: 3.607</t>
  </si>
  <si>
    <t>19.06 Cambio de Soles a Dolares TC. 3.6070 (2).pdf</t>
  </si>
  <si>
    <t>0FF010000000105 INCA T</t>
  </si>
  <si>
    <t>FF01-105</t>
  </si>
  <si>
    <t>00000000FF05-34 ALEACI</t>
  </si>
  <si>
    <t>FF05-34</t>
  </si>
  <si>
    <t>001- N° 004531</t>
  </si>
  <si>
    <t>Disposición de residuos no peligrosos 20-06-2025</t>
  </si>
  <si>
    <t>20.06 Innova Ambiental S.A. - Disposición de residuos no peligrosos 20-06-2025.pdf</t>
  </si>
  <si>
    <t>F809- 00367435 (Soat - BKL-739) / F809- 00367430 (Soat - BKK-849) (LA POSITIVA SEGUROS Y REASEGUROS S.A. - 20100210909)</t>
  </si>
  <si>
    <t>20.06 Carnero Rodriguez Juana Maria - F809- 00367435 (Soat - BKL-739) F809- 00367430 (Soat - BKK-849).pdf</t>
  </si>
  <si>
    <t>CARNERO RODRIGUEZ JUANA MARIA</t>
  </si>
  <si>
    <t>F809- 00367435
 F809- 00367430</t>
  </si>
  <si>
    <t>F809</t>
  </si>
  <si>
    <t>PROV TLC 135</t>
  </si>
  <si>
    <t>20.06 Proveedores 20250620 (1).pdf</t>
  </si>
  <si>
    <t>RQ.SSO.245 - OC 004-163 - Jeans corporativos Varon</t>
  </si>
  <si>
    <t>20.06 Delgado Delgado Britaldo Simon - RQ.SSO.245 - OC 004-163 - Jeans corporativos Varon.pdf</t>
  </si>
  <si>
    <t>Alquiler Oficinas y Almacén Arequipa - Enero 2025</t>
  </si>
  <si>
    <t>20.06 Bustamante Gil Imer - Alquiler Oficinas y Almacén Arequipa - Enero 2025.pdf</t>
  </si>
  <si>
    <t>Reposición - Caja Conductores - 2025 / RCO-10</t>
  </si>
  <si>
    <t>20.06 Pari Larico Gisela Trinidad - Reposición - Caja Conductores - 2025.pdf</t>
  </si>
  <si>
    <t>RCO-10</t>
  </si>
  <si>
    <t>Entr.efec. 0430611</t>
  </si>
  <si>
    <t>FF01-92</t>
  </si>
  <si>
    <t>FF01-110</t>
  </si>
  <si>
    <t>001- N° 004489</t>
  </si>
  <si>
    <t>001- N° 004496</t>
  </si>
  <si>
    <t>Orlando Queque Huanca</t>
  </si>
  <si>
    <t>001- N° 004527</t>
  </si>
  <si>
    <t>001- N° 004528</t>
  </si>
  <si>
    <t>FF02-74</t>
  </si>
  <si>
    <t>FF05-37</t>
  </si>
  <si>
    <t>FF02-72</t>
  </si>
  <si>
    <t>FF02-61</t>
  </si>
  <si>
    <t>FF02-75</t>
  </si>
  <si>
    <t>RQ.LOG.323 - OC 004-166 - Reabastecimiento de insumos de limpieza en Arequipa y La Joya.</t>
  </si>
  <si>
    <t>24.06 Urday Montes Magaly del Carmen - RQ.LOG.323 - OC 004-166 - Reabastecimiento de insumos de limpieza en Arequipa y La Joya..pdf</t>
  </si>
  <si>
    <t>URDAY MONTES MAGALY DEL CARMEN</t>
  </si>
  <si>
    <t>RQ.LOG.324 - Conos de seguridad de 75 cm</t>
  </si>
  <si>
    <t>24.06 Global Perla s Car S.A.C. - RQ.LOG.324 - Conos de seguridad de 75 cm.pdf</t>
  </si>
  <si>
    <t>F004-118349</t>
  </si>
  <si>
    <t>RQ.OPE.1158 - renovación de inspección técnica de la camioneta MAXUS VBW-889</t>
  </si>
  <si>
    <t>24.06 Centro de inspecciones tecnicas del Sur - RQ.OPE.1158 - renovación de inspección técnica de la camioneta MAXUS VBW-889.pdf</t>
  </si>
  <si>
    <t>F001-00036342</t>
  </si>
  <si>
    <t>Reposicion - Caja Chica AQP - RC 001-006_2025</t>
  </si>
  <si>
    <t>24.06 Paco Pauccara Elias Gustavo - Reposicion - Caja Chica AQP - RC 001-006_2025.pdf</t>
  </si>
  <si>
    <t>Teléfono fijo trio - Junio /Arequipa 2</t>
  </si>
  <si>
    <t>24.06 Movistar - S5AA-71193322.pdf</t>
  </si>
  <si>
    <t>S5AA-71193322</t>
  </si>
  <si>
    <t>Combustible</t>
  </si>
  <si>
    <t>24.06 Coesti - F865-169533 F865-169531.pdf</t>
  </si>
  <si>
    <t>F865-169533
F865-169531</t>
  </si>
  <si>
    <t>RQ.SSO.246 - Induccion requerida para que personal pueda ingresar a las instalaciones Alicorp</t>
  </si>
  <si>
    <t>24.06 Serviconstruye S.A.C. - RQ.SSO.246 - Induccion requerida para que personal pueda ingresar a las instalaciones Alicorp.pdf</t>
  </si>
  <si>
    <r>
      <t>M365 Business Standard 01.05.2025 - 31.05.2025/</t>
    </r>
    <r>
      <rPr>
        <sz val="9"/>
        <color rgb="FFFF0000"/>
        <rFont val="Aptos Narrow"/>
        <family val="2"/>
      </rPr>
      <t>F01500293332</t>
    </r>
  </si>
  <si>
    <t>24.06 Claro - F015-299687.pdf</t>
  </si>
  <si>
    <t>F015-299687</t>
  </si>
  <si>
    <t>25.06 Alicorp - F313-6491.pdf</t>
  </si>
  <si>
    <t>F313-6491</t>
  </si>
  <si>
    <t>25.06 Alicorp - F313-6487.pdf</t>
  </si>
  <si>
    <t>F313-6487</t>
  </si>
  <si>
    <t>25.06 Alicorp - F313-6488.pdf</t>
  </si>
  <si>
    <t>F313-6488</t>
  </si>
  <si>
    <t>25.06 Alicorp - F313-6489.pdf</t>
  </si>
  <si>
    <t>F313-6489</t>
  </si>
  <si>
    <t>25.06 Alicorp - F313-6486.pdf</t>
  </si>
  <si>
    <t>F313-6486</t>
  </si>
  <si>
    <t>25.06 Alicorp - F313-6490.pdf</t>
  </si>
  <si>
    <t>F313-6490</t>
  </si>
  <si>
    <t>Telefonos corporativos 1077.55</t>
  </si>
  <si>
    <t>25.06 Claro - SB01-546172223.pdf</t>
  </si>
  <si>
    <t>SB01-546172223</t>
  </si>
  <si>
    <t>Telefonos corporativos /Cuota 7 de 18</t>
  </si>
  <si>
    <r>
      <t xml:space="preserve">M365 Business Standard 01.05.2025 - 31.05.2025 / </t>
    </r>
    <r>
      <rPr>
        <sz val="9"/>
        <color rgb="FFFF0000"/>
        <rFont val="Aptos Narrow"/>
        <family val="2"/>
      </rPr>
      <t>F01500299687</t>
    </r>
  </si>
  <si>
    <t>25.06 Claro - F015-299687.pdf</t>
  </si>
  <si>
    <t>Valorizacion de RCD - Taconser Molycop Santa Anita</t>
  </si>
  <si>
    <t>25.06 Birrak 360 S.A.C. - Valorizacion de RCD - Taconser Molycop Santa Anita.pdf</t>
  </si>
  <si>
    <t>Cambio de Soles a Dolares TC.3.586</t>
  </si>
  <si>
    <t>25.06 Cambio de Soles a Dolares TC. 3.5860.pdf</t>
  </si>
  <si>
    <t>Proveedores 20250625 (1)</t>
  </si>
  <si>
    <t>25.06 Proveedores 20250625 (1).pdf</t>
  </si>
  <si>
    <t>Detr.masiva 7655417656</t>
  </si>
  <si>
    <t>Com.cce pro 000140</t>
  </si>
  <si>
    <t>00000000FF02-80 EMPRES</t>
  </si>
  <si>
    <t>FF02-80</t>
  </si>
  <si>
    <t>ENTR.EFEC. 0916444</t>
  </si>
  <si>
    <t>FF01-117</t>
  </si>
  <si>
    <t>001FF0200000051 MOLY-C</t>
  </si>
  <si>
    <t>FF02-51</t>
  </si>
  <si>
    <t>000000100000124 univer</t>
  </si>
  <si>
    <t>FF01-124</t>
  </si>
  <si>
    <t>RQ.OPE.1209 - Mantenimiento vehicular (Preventivo) - VBB840</t>
  </si>
  <si>
    <t>26.06 Elvis Enrique Querales Rivero RQ.OPE.1209 - Mantenimiento vehicular (Preventivo) - VBB840.pdf</t>
  </si>
  <si>
    <t>E001-745 - RQ.OPE.1240 - Impresión de Check List para la flota vehicular</t>
  </si>
  <si>
    <t>26.06 Nestor Moises Bustamante Herrera - E001-745 - RQ.OPE.1240 - Impresión de Check List para la flota.pdf</t>
  </si>
  <si>
    <t>E001-745</t>
  </si>
  <si>
    <t>E001-660 - RQ.OPE.1208 - Mantenimiento de 2 transpaletas hidraulicas.</t>
  </si>
  <si>
    <t>26.06 EDTSA Group S.A.C. - E001-660 - RQ.OPE.1208 - Mantenimiento de 2 transpaletas hidraulicas..pdf</t>
  </si>
  <si>
    <t>E001-660</t>
  </si>
  <si>
    <t>M365 Business Standard 01.05.2025 - 31.05.2025 / F01500299686</t>
  </si>
  <si>
    <t>26.06 Claro - F01500299686.pdf</t>
  </si>
  <si>
    <t>F015-299686</t>
  </si>
  <si>
    <t>Proveedores 20250626 (1)</t>
  </si>
  <si>
    <t>26.06 Proveedores 20250630.pdf</t>
  </si>
  <si>
    <t>COM.CCE PRO 000142</t>
  </si>
  <si>
    <t>Tran.ctas.terc.bm</t>
  </si>
  <si>
    <t>FF05-35
FF05-36
FF05-38
FF05-39</t>
  </si>
  <si>
    <t>De corpormedioambient</t>
  </si>
  <si>
    <t>FF02-55
FF02-56
FF02-57</t>
  </si>
  <si>
    <t>00000000FF05-40 ALEACI</t>
  </si>
  <si>
    <t>FF05-40</t>
  </si>
  <si>
    <t>FF02-81</t>
  </si>
  <si>
    <t>Informe del procedimiento y medios técnicos empleados en neutralización y/o destrucción de los IQBF</t>
  </si>
  <si>
    <t>E001-296 - RQ.OPE.1250 - Impresión de sticker vinil</t>
  </si>
  <si>
    <t>Disposición de residuos no peligrosos y peligrosos 30-06-2025</t>
  </si>
  <si>
    <t>E001-481 - RQ.GH.199 Compartir de bienvenida organizado por Gerencia el dia 23.06.2025 (20610156445)</t>
  </si>
  <si>
    <t>E001-481</t>
  </si>
  <si>
    <t>Proveedores 20250627 (1)</t>
  </si>
  <si>
    <t>COM.CCE PRO 000143</t>
  </si>
  <si>
    <t>FF02-84</t>
  </si>
  <si>
    <t>Waldir ccolque espirilla</t>
  </si>
  <si>
    <t>001- N° 004547</t>
  </si>
  <si>
    <t>001- N° 004551</t>
  </si>
  <si>
    <t>DEVOL. PAGO 000146</t>
  </si>
  <si>
    <t>HABER TLC 147</t>
  </si>
  <si>
    <t>E001-45 - RQ.OPE.1209 - Mantenimiento Preventivo(Cambio de los componentes de dirección) VBB-840</t>
  </si>
  <si>
    <t>E001-45</t>
  </si>
  <si>
    <t>E001-44 - RQ.OPE.1209 - Mantenimiento vehicular (Preventivo) - VBB840</t>
  </si>
  <si>
    <t>IA para la industria: Prediccion de fallas y optimizacion del mantenimiento - Nelson G. Quispe Ccapa</t>
  </si>
  <si>
    <t>HABER TLC 146</t>
  </si>
  <si>
    <t>ENTR.EFEC. 0690377 - Transferencia de BBVA Soles  a BCP Soles</t>
  </si>
  <si>
    <t>Elias Paco</t>
  </si>
  <si>
    <t>Prestamo Elias Paco</t>
  </si>
  <si>
    <t>E001- 22 - Elaboración del plan estratégico Parte 2</t>
  </si>
  <si>
    <t>https://gytres-my.sharepoint.com/:b:/p/finanzas/ES0gITywKqhGqwenJjO94ckBm4vXkuMbikoEhHlXtBPOpA?e=okxWGt</t>
  </si>
  <si>
    <t>E001- 22</t>
  </si>
  <si>
    <t>https://gytres-my.sharepoint.com/:b:/p/finanzas/Edy1NEYKsblLg5dCB7-mxa4BcLbWK1GHnE3470WFWfBPwg?e=2tsXUY</t>
  </si>
  <si>
    <t>F313-6528</t>
  </si>
  <si>
    <t>https://gytres-my.sharepoint.com/:b:/p/finanzas/EdjqAcs67hBNookCwyF0Ih0B3OnrxOlzlqeZZsa5Kx7Bug?e=v4DAri</t>
  </si>
  <si>
    <t>F313-6529</t>
  </si>
  <si>
    <t>https://gytres-my.sharepoint.com/:b:/p/finanzas/Ef0tQb1R0jtJoe5p2QJBOm0BfTmhpegWfWSvxDs-DSZZTA?e=avvycj</t>
  </si>
  <si>
    <t>F313-6526</t>
  </si>
  <si>
    <t>https://gytres-my.sharepoint.com/:b:/p/finanzas/EfOuGt0bZ5JJoPWhjlTEq4UBqtwyYfLH0dbciS9sa8bPFA?e=pS3WKZ</t>
  </si>
  <si>
    <t>F313-6521</t>
  </si>
  <si>
    <t>https://gytres-my.sharepoint.com/:b:/p/finanzas/ET_YN7QJscJFtXw33OjCklUB73JrEv3whpU5enoC0vGvaw?e=OWWyOV</t>
  </si>
  <si>
    <t>F313-6527</t>
  </si>
  <si>
    <t>https://gytres-my.sharepoint.com/:b:/p/finanzas/EcI40gjI-llKlMsJix0AdX8BHIzRPMg61fyOXNINP-LCww?e=U7n4Yd</t>
  </si>
  <si>
    <t>F313-6524</t>
  </si>
  <si>
    <t>https://gytres-my.sharepoint.com/:b:/p/finanzas/EbPHUljP-vtFl4eoWLv9fqoBVNFXfHItNl8nL9l1ClftrQ?e=rCUX2W</t>
  </si>
  <si>
    <t>F313-6522</t>
  </si>
  <si>
    <t>https://gytres-my.sharepoint.com/:b:/p/finanzas/EaKLZ7sj13FIi0sOPIcKcrABHbSi2wNNdeJOq86-1unNDw?e=8hiNAb</t>
  </si>
  <si>
    <t>F313-6523</t>
  </si>
  <si>
    <t>https://gytres-my.sharepoint.com/:b:/p/finanzas/ESenmR85XIJAmWfBs890t2MBbXITipxQa_s49G6qZhn-Sg?e=AMrdOr</t>
  </si>
  <si>
    <t>F313-6532</t>
  </si>
  <si>
    <t>https://gytres-my.sharepoint.com/:b:/p/finanzas/EQ3SycwoL0dCk2tkQwN0OI0BBwhHHapdU29fiByYEl5OuQ?e=8k4DOi</t>
  </si>
  <si>
    <t>F313-6530</t>
  </si>
  <si>
    <t>https://gytres-my.sharepoint.com/:b:/p/finanzas/EYvBqMkQMHlJqnKJeIIcjHQBVumFafecoTSVMgaQMQzSfQ?e=oFQwJT</t>
  </si>
  <si>
    <t>F313-6531</t>
  </si>
  <si>
    <t>https://gytres-my.sharepoint.com/:b:/p/finanzas/EcYYpL9fGDBJo54JyXlzO3QBbJgTPDf0lTu186pNX2dcuw?e=yWypAo</t>
  </si>
  <si>
    <t>COMIS TRANSFERENCIA INTERBANCARIA</t>
  </si>
  <si>
    <t>Proveedores 20250701 (1)</t>
  </si>
  <si>
    <t>https://gytres-my.sharepoint.com/:b:/p/finanzas/ETdKWL6JWJNIh7RVRlVeYZsBb_UT-yys1F3RXlRltVbqKw?e=3CpBQv</t>
  </si>
  <si>
    <t>DETR.MASIVA 7656901927</t>
  </si>
  <si>
    <t>Detraccion</t>
  </si>
  <si>
    <t>FTR1</t>
  </si>
  <si>
    <t>F135-8176 Combustible</t>
  </si>
  <si>
    <t>https://gytres-my.sharepoint.com/:b:/p/finanzas/ESQqwfuOpeBDlXlOMLF9xzEBouSagw66EyMXrtjPO3cD0A?e=gMQz9K</t>
  </si>
  <si>
    <t>F136-10726 Combustible</t>
  </si>
  <si>
    <t>https://gytres-my.sharepoint.com/:b:/p/finanzas/EUGtjqE7wAlMjwCID8BbWogB0YpCYWisTm-rGb3I1VZJxA?e=h6CZPp</t>
  </si>
  <si>
    <t>Planilla de Rem. Jun25 (3)</t>
  </si>
  <si>
    <t>BCPS</t>
  </si>
  <si>
    <t>Regularizacion itf</t>
  </si>
  <si>
    <t>TRAN.CTAS.TERC.BM - Villa Esperanza - Junio 2025</t>
  </si>
  <si>
    <t>Dominga Chupa Huali</t>
  </si>
  <si>
    <t>Lisbeth Mamani Soncco</t>
  </si>
  <si>
    <t>Yovana Aquino Huichi</t>
  </si>
  <si>
    <t>Eddy Pérez Chocano</t>
  </si>
  <si>
    <t>Alfonzo Arenazas Neyra</t>
  </si>
  <si>
    <t>Claudia Imata Leiva</t>
  </si>
  <si>
    <t>Quintin Ali Ancco</t>
  </si>
  <si>
    <t>Flora Almiron Marquez</t>
  </si>
  <si>
    <t>Prestamo Elias Paco 02.07.2025</t>
  </si>
  <si>
    <t>https://gytres-my.sharepoint.com/:b:/p/finanzas/Ee71I6EeMg1Hoki4FALXWoYBs65n-YflvE3bbHe7XB6LQQ?e=cmldJV</t>
  </si>
  <si>
    <t>F313-6525</t>
  </si>
  <si>
    <t>F001-00000492 - RQ.OPE.1234 - Mantenimiento Preventivo V9R-903.</t>
  </si>
  <si>
    <t>https://gytres-my.sharepoint.com/:b:/p/finanzas/EZLWh-95nyNErkUaojgn2KsBSA6UEbzRIvCeeXWt3tcq7Q?e=sTs9IW</t>
  </si>
  <si>
    <t>F001-492</t>
  </si>
  <si>
    <t>F001-00000493 - RQ.OPE.1234 - Mantenimiento Preventivo V9R-903.</t>
  </si>
  <si>
    <t>https://gytres-my.sharepoint.com/:b:/p/finanzas/EYZKdOxFU2hEhY3KFA0Ae1QBU3ylg-vd3O3zMmcWtWnx7w?e=j53eN3</t>
  </si>
  <si>
    <t>F001-493</t>
  </si>
  <si>
    <t>Disposición de residuos no peligrosos y peligrosos 02-07-2025.</t>
  </si>
  <si>
    <t>https://gytres-my.sharepoint.com/:b:/p/finanzas/EV3PN6kmEBVMo3EkCcuZyYgB99QbKEQ4UpmiO_2zeRSNdw?e=IfegRc</t>
  </si>
  <si>
    <t>RQ.COM.348 - Servicio de EMO preocupacional solicitado por cliente COSAPI - 20455823880</t>
  </si>
  <si>
    <t>https://gytres-my.sharepoint.com/:b:/p/finanzas/EX50_h85NVRLmPzGSLQK3QQBLUAFlNRyuX0WCdeHv-f_Yg?e=5kG9e2</t>
  </si>
  <si>
    <t>PULSO CORPORACION MEDICA SOCIEDAD ANONIM</t>
  </si>
  <si>
    <t>Proveedores 20250702 (2)</t>
  </si>
  <si>
    <t>https://gytres-my.sharepoint.com/:b:/p/finanzas/EUT_KXymnaFKglK1Me0RanABN9Goph7zo6R8mRXB4ZNxbQ?e=nhQGw1</t>
  </si>
  <si>
    <t>Com.cce pro 000152</t>
  </si>
  <si>
    <t>FF02-85</t>
  </si>
  <si>
    <t>001ff0200000052 moly-c</t>
  </si>
  <si>
    <t>FF02-52</t>
  </si>
  <si>
    <t>FF02-77</t>
  </si>
  <si>
    <t>FF02-79</t>
  </si>
  <si>
    <t>FF02-82</t>
  </si>
  <si>
    <t>Miguel Escobar Perea</t>
  </si>
  <si>
    <t>Jose Villanueva Villanueva</t>
  </si>
  <si>
    <t>FE27</t>
  </si>
  <si>
    <t>Servicio de monitoreo 01.07.2025 a 31.07.2025</t>
  </si>
  <si>
    <t>https://gytres-my.sharepoint.com/:b:/p/finanzas/EYowrdMUp8JMtRxv6MFsOwkBoUVfJoBq2DV9rjp1_czrfg?e=1KcUI2</t>
  </si>
  <si>
    <t>FE27-23159</t>
  </si>
  <si>
    <t>https://gytres-my.sharepoint.com/:b:/p/finanzas/EZfm4Higg6hHhLk6BoEoRBgBPhiYVutvzVI63afhuawofg?e=vDA1Hv</t>
  </si>
  <si>
    <t>F865-171296
F865-170648
F865-170630</t>
  </si>
  <si>
    <t>Proveedores 20250703 (1)</t>
  </si>
  <si>
    <t>https://gytres-my.sharepoint.com/:b:/p/finanzas/EY-bdbvp5ktBs8H5T-mF1owBzpwhdeztKo9dVUcjDqAt1A?e=pYKcGi</t>
  </si>
  <si>
    <t>Proveedores 20250703 (1) RQ.LOG.325</t>
  </si>
  <si>
    <t>Devolucion - Prestamo Elias Paco 01.07.2025</t>
  </si>
  <si>
    <t>Devolucion - Prestamo Elias Paco 02.07.2025</t>
  </si>
  <si>
    <t>Com.cce pro 000153</t>
  </si>
  <si>
    <t>FF01-118
FF01-132</t>
  </si>
  <si>
    <t>FF05-43</t>
  </si>
  <si>
    <t>FF02-69</t>
  </si>
  <si>
    <t>FF02-64</t>
  </si>
  <si>
    <t>FF02-66</t>
  </si>
  <si>
    <t>FF02-65</t>
  </si>
  <si>
    <t>FF02-70</t>
  </si>
  <si>
    <t>FF02-67</t>
  </si>
  <si>
    <t>FF02-68</t>
  </si>
  <si>
    <t>F010000103 TALMA SERVI</t>
  </si>
  <si>
    <t>FF01-103</t>
  </si>
  <si>
    <t>Caja Arequipa - Juber Monteza - Cuota 33</t>
  </si>
  <si>
    <t>Entregas a rendir - RQ.LOG.329 - ER-001-0462025 - Recarga de bidon de agua mineral _ 20 Ltrs</t>
  </si>
  <si>
    <t>Reposicion de caja conductores - Viáticos para la semana / JUAN TARIFA  RCO-11</t>
  </si>
  <si>
    <t>PAGO DETRAC 7657793691</t>
  </si>
  <si>
    <t>FF07</t>
  </si>
  <si>
    <t>Cambio de Dolares a Soles TC. 3.556</t>
  </si>
  <si>
    <t>https://gytres-my.sharepoint.com/:b:/p/finanzas/EWOy-T4IeHFKkRTz5A_UQZkBo1cX4zxdYZFaQQZZmRbMKw?e=s8CxkW</t>
  </si>
  <si>
    <t>https://gytres-my.sharepoint.com/:b:/p/finanzas/ERqplNV5F2lCrPY47y6Ksk8BjYxlTKdaE7-VBzRA2pSGSw?e=lYuO2n</t>
  </si>
  <si>
    <t>https://gytres-my.sharepoint.com/:b:/p/finanzas/EQeWZ7ZlD_RPvhVTfzW98YoBxbED06ZHkQR5YKhEAwit4g?e=6hlp1h</t>
  </si>
  <si>
    <t>https://gytres-my.sharepoint.com/:b:/p/finanzas/EfMGbU5FANJImWRGKYzw_UUBI8I1C0JltNXeTdoQPk4EbA?e=hpljtV</t>
  </si>
  <si>
    <t>https://gytres-my.sharepoint.com/:b:/p/finanzas/EbVDZ7qGZahKomsdBGk-bb0BChoCoW98zleeY3h2NW49Ew?e=VtXgir</t>
  </si>
  <si>
    <t>https://gytres-my.sharepoint.com/:b:/p/finanzas/EWT0GtjFci1HttwUSRj6qaoB1dkiwPi7wFcqzt8j6bHqXQ?e=js4AYC</t>
  </si>
  <si>
    <t>E001-454 - Servicio de Internet mes de Julio 2025 - FIXER TELECOMUNICACIONES S.A.C</t>
  </si>
  <si>
    <t>https://gytres-my.sharepoint.com/:b:/p/finanzas/ES0gS_g60o5PtbkEcgkJrEMBs8sxfIXX4RkvjrZMIW19Xw?e=t1XTJG</t>
  </si>
  <si>
    <t>Utilidades Periodo 2024 - FAJARDO RUGELES ABEL DAVID - 003314131</t>
  </si>
  <si>
    <t>Utilidades Periodo 2024 - CCANCCAPA MAQUE DANY EVER - 74600892</t>
  </si>
  <si>
    <t>Utilidades Periodo 2024 - PORTERO TOMAS ROCKY LEONIDAS - 72700001</t>
  </si>
  <si>
    <t>Utilidades Periodo 2024 - ESPINOZA LOPEZ ALEX HERMINIO - 75419679</t>
  </si>
  <si>
    <t>Utilidades Periodo 2024 - ALCCA SALDIVAR ANGEL - 73238347</t>
  </si>
  <si>
    <t>Utilidades Periodo 2024 - CASTILLO TAPIA PAMELA PRICILA - 73880313</t>
  </si>
  <si>
    <t>Utilidades Periodo 2024 - GUIZADO PORRAS RONALD ENRIQUE - 70666331</t>
  </si>
  <si>
    <t>Utilidades Periodo 2024 - LEON WILLIAN JOHAN - 001829028</t>
  </si>
  <si>
    <t>Utilidades Periodo 2024 - SERRANO VILLACA JUDITH STEFANY DEL PILAR - 71311214</t>
  </si>
  <si>
    <t>Utilidades Periodo 2024 - ROSPIGLIOSI MANRIQUE NATALIA SOMMER - 72531546</t>
  </si>
  <si>
    <t>Utilidades Periodo 2024 - HUANUCO ORTEGA CRISTIAN MANUEL - 45921913</t>
  </si>
  <si>
    <t>Utilidades Periodo 2024 - VELA CRUZ JOSEPH ALBERTH - 72813674</t>
  </si>
  <si>
    <t>Utilidades Periodo 2024 - PAREDES MONTESINO CINTHIA KARINA - 71496013</t>
  </si>
  <si>
    <t>Utilidades Periodo 2024 - REYES ANDRADE JOHN KEVIN - 47557239</t>
  </si>
  <si>
    <t>Utilidades Periodo 2024 - CARRASCO MOLLO MARIA DE LOS ANGELES - 71787683</t>
  </si>
  <si>
    <t>Utilidades Periodo 2024 - BALDEON ALARCON EDUARDO WILFREDO - 44211654</t>
  </si>
  <si>
    <t>BALDEON ALARCON ADUARDO WILFREDO</t>
  </si>
  <si>
    <t>Utilidades Periodo 2024 - ASILLO CCALLO WALTER - 40192097</t>
  </si>
  <si>
    <t>Utilidades Periodo 2024 - RAMIREZ FLORES KARINA ALEXANDRA - 72725225</t>
  </si>
  <si>
    <t>Utilidades Periodo 2024 - TUNQUIPA CHUQUIRIMAY LUIS FRANCISCO - 71786852</t>
  </si>
  <si>
    <t>Utilidades Periodo 2024 - BENGOA HITME KELLY SUZETT - 74078793</t>
  </si>
  <si>
    <t>Utilidades Periodo 2024 - HUAMAN RIOS JUSTO DIEGO - 42857058</t>
  </si>
  <si>
    <t>Utilidades Periodo 2024 - AMADO FARFAN VANNESSA DANNIELLA - 72169020</t>
  </si>
  <si>
    <t>Utilidades Periodo 2024 - QUISPE CCAPA NELSON GREGORIO - 72537561</t>
  </si>
  <si>
    <t>Utilidades Periodo 2024 - JIBAJA RONDON VALERIA NICOLLE - 72302392</t>
  </si>
  <si>
    <t>Utilidades Periodo 2024 - GUTIERREZ ARAGON KARLY LIZ - 43814375</t>
  </si>
  <si>
    <t>Utilidades Periodo 2024 - SALCEDO SALCEDO RONALD RONALDIÑO - 74392568</t>
  </si>
  <si>
    <t>Utilidades Periodo 2024 - LAZARTE AGUIRRE CRISSLEY - 80355193</t>
  </si>
  <si>
    <t>Utilidades Periodo 2024 - QUISPE PRIETO HEFER - 73530159</t>
  </si>
  <si>
    <t>HEFER QUISPE PRIETO</t>
  </si>
  <si>
    <t>Utilidades Periodo 2024 - SALCEDO SALCEDO RONALD DONATO - 76393011</t>
  </si>
  <si>
    <t>Utilidades Periodo 2024 - CAÑA ERNESTO ALEJANDRO - 003080300</t>
  </si>
  <si>
    <t>Utilidades Periodo 2024 - RODRIGUEZ GALLEGOS ALISON NATIVIDAD - 72728100</t>
  </si>
  <si>
    <t>Utilidades Periodo 2024 - QUISPE PRIETO WILBER - 46126507</t>
  </si>
  <si>
    <t>Utilidades Periodo 2024 - SUYO PRIETO ROSA RAFAELA - 72682665</t>
  </si>
  <si>
    <t>Utilidades Periodo 2024 - CRUZ QUISPE GREGORY RAYLE - 44468346</t>
  </si>
  <si>
    <t>Utilidades Periodo 2024 - MÁRQUEZ AVILA FERNANDO JESÚS - 71979355</t>
  </si>
  <si>
    <t>Utilidades Periodo 2024 - PRIETO ROJAS INOCENCIO - 24800480</t>
  </si>
  <si>
    <t>Utilidades Periodo 2024 - RAMOS RIVAS ROY MARCIAL - 73195103</t>
  </si>
  <si>
    <t>ROY MARCIAL RAMOS RIVAS</t>
  </si>
  <si>
    <t>Utilidades Periodo 2024 - CARREÑO LABERIAN FRANCO FABIAN - 75424672</t>
  </si>
  <si>
    <t>CARRENO LABERIAN FRANCO FABIAN</t>
  </si>
  <si>
    <t>Utilidades Periodo 2024 - GONZALO CHAMBILLA ANA ABIGAIL - 70211580</t>
  </si>
  <si>
    <t>Utilidades Periodo 2024 - AQUINO COLQUEHUANCA JESUS ALBERTO - 48164743</t>
  </si>
  <si>
    <t>Utilidades Periodo 2024 - HUAMANI MAMANI HUBER ANTHONY - 73605563</t>
  </si>
  <si>
    <t>Utilidades Periodo 2024 - CCAMA GUTIERREZ JUNIOR ALEXANDER - 70198916</t>
  </si>
  <si>
    <t xml:space="preserve">CCAMA GUTIERREZ JUNIOR ALEXANDER
</t>
  </si>
  <si>
    <t>Utilidades Periodo 2024 - QUISPE ARVIRI EDWIN LUCIO - 46809818</t>
  </si>
  <si>
    <t>Utilidades Periodo 2024 - TARIFA MAMANI JUAN JESUS - 80454870</t>
  </si>
  <si>
    <t>Utilidades Periodo 2024 - PACO PAUCCARA ELIAS GUSTAVO - 72144092</t>
  </si>
  <si>
    <t>Utilidades Periodo 2024 - BUSTAMANTE GIL RUBEN - 73444362</t>
  </si>
  <si>
    <t>Utilidades Periodo 2024 - QUEQUE ANCO JORGE LUIS - 48536654</t>
  </si>
  <si>
    <t>Utilidades Periodo 2024 - MONTEZA BUSTAMANTE NEIVER - 78803424</t>
  </si>
  <si>
    <t>Utilidades Periodo 2024 - PRIETO ALCCA EBERT - 47760988</t>
  </si>
  <si>
    <t>Utilidades Periodo 2024 - MAMANI LIMACHE DIEGO ARMANDO - 72450429</t>
  </si>
  <si>
    <t>Utilidades Periodo 2024 - MONTEZA BUSTAMANTE JUBER - 47461440</t>
  </si>
  <si>
    <t>Utilidades Periodo 2024 - PARI LARICO GISELA TRINIDAD - 72131384</t>
  </si>
  <si>
    <t>Utilidades Periodo 2024 - PONCE FEBRES GLEEN STEV - 44314304</t>
  </si>
  <si>
    <t>Utilidades Periodo 2024 - TAGLE LAZARTE JUAN BENJY - 48362717</t>
  </si>
  <si>
    <t xml:space="preserve"> Liquidación de Beneficios Sociales - Karina Ramírez</t>
  </si>
  <si>
    <t>PROV TLC 154</t>
  </si>
  <si>
    <t>https://gytres-my.sharepoint.com/:b:/p/finanzas/Eb_vbeaQ8BtCutbEnO_zwIoBthTU3_DO01BHnxKNA6JAQg?e=7nsdr9</t>
  </si>
  <si>
    <t>COM.CCE PRO 000154</t>
  </si>
  <si>
    <t>00000000FF02-86 EMPRES</t>
  </si>
  <si>
    <t>Devolucion de entregas a rendir - ER-001-0442025</t>
  </si>
  <si>
    <t>Devolucion de entregas a rendir - ER-001-0412025</t>
  </si>
  <si>
    <t>0000000106 DANPER TRUJ</t>
  </si>
  <si>
    <t>DE GESTION Y TRANSPORT</t>
  </si>
  <si>
    <t>Disposición de residuos no peligrosos y peligrosos 08-07-2025</t>
  </si>
  <si>
    <t>Alquiler Alm Huaranguillo2 Jul25</t>
  </si>
  <si>
    <t>Utilidades Periodo 2024 - CAYLLAHUA LOAYZA MARCO ANTONIO - 46799833</t>
  </si>
  <si>
    <t>F001-494, RQ.OPE.1246 Mantenimiento preventivo (Revisión y reparación del pedal del embrague BKK-849</t>
  </si>
  <si>
    <t>https://gytres-my.sharepoint.com/:b:/p/finanzas/EcmYzZLzB8ZCt95Q1VfMj5kBrEFzYCP4br61Db-EihFJ-w?e=h4w3fa</t>
  </si>
  <si>
    <t>F001-495, RQ.OPE.1246 Mantenimiento preventivo (Revisión y reparación del pedal del embrague BKK-849</t>
  </si>
  <si>
    <t>https://gytres-my.sharepoint.com/:b:/p/finanzas/Ec26qUycvARAtNa9YyYTMwUBYYU0H2LW4BDrDwm2Ye-GRQ?e=cb2Qih</t>
  </si>
  <si>
    <t>https://gytres-my.sharepoint.com/:b:/p/finanzas/EeL8nlVepTBBuKxFuwYxC9UB7BxKI6nzIgttnYqGkJ3J1w?e=G36Iyf</t>
  </si>
  <si>
    <t>Proveedores 20250709 (1)</t>
  </si>
  <si>
    <t>https://gytres-my.sharepoint.com/:b:/p/finanzas/EQ9tj1158xBGukeR-gt2BgAB_vIFunDdGIX9AWDhOKb66g?e=1hNuaV</t>
  </si>
  <si>
    <t>E001-416, RQ.OPE.1007 Monitoreo GPS de la unidad HINO V9R-903. (Anual) - 20609580292</t>
  </si>
  <si>
    <t>https://gytres-my.sharepoint.com/:b:/p/finanzas/EaFIX_ZZHNBCldNkfRuS8qwBINUDIs3t-0-7e41tgOmBXw?e=sDiXue</t>
  </si>
  <si>
    <t>E001-1 , Asesoria legal en temas empresariales - mes Julio 2025 - 20613747096</t>
  </si>
  <si>
    <t>https://gytres-my.sharepoint.com/:b:/p/finanzas/EfyvJN2DI3FEsBwkgII5ZvkBBqHuJmpQLzvhFamSM5j7PA?e=zyHjKv</t>
  </si>
  <si>
    <t>FLORES Y BANDA ABOGADOS S.A.C.</t>
  </si>
  <si>
    <t>RQ.OPE.1274 Entregas a rendir - ER-001-0472025</t>
  </si>
  <si>
    <t>https://gytres-my.sharepoint.com/:b:/p/finanzas/Ed21vX6A6mFCuJYeJgb0EcwBEWo6BgxRTuaaPogIBtsUMA?e=hvtmM5</t>
  </si>
  <si>
    <t>saldo 50% RQ.SSO.230 - OC 004-161 - EPP adicionales</t>
  </si>
  <si>
    <t>https://gytres-my.sharepoint.com/:b:/p/finanzas/EYkn4DGcIntGuRbIKhDGEjMB4x64EWyTOXfH6U5A1yzcNQ?e=hyR3mp</t>
  </si>
  <si>
    <t>Emiliano</t>
  </si>
  <si>
    <t>DETR.MASIVA 7659088343</t>
  </si>
  <si>
    <t>0010FF010000131 PESQUE</t>
  </si>
  <si>
    <t>Pablo José Maldonado Villena</t>
  </si>
  <si>
    <t>ENTR.EFEC. 0402335</t>
  </si>
  <si>
    <t>BCO.CITI0033568275</t>
  </si>
  <si>
    <t>Devolucion de entregas a rendir - ER-001-0392025</t>
  </si>
  <si>
    <t>Devolucion de entregas a rendir - ER-001-0432025</t>
  </si>
  <si>
    <t>Liquidación de Beneficios Sociales - Daniel Alcca Saldivar</t>
  </si>
  <si>
    <t>https://gytres-my.sharepoint.com/:b:/p/finanzas/Eaxx4qbgty5KiVy9YRuLmJABudY4H5dAsRONHrvFTJeesg?e=H3QJPs</t>
  </si>
  <si>
    <t>Liquidación de Beneficios Sociales - Angel Alcca</t>
  </si>
  <si>
    <t>https://gytres-my.sharepoint.com/:b:/p/finanzas/EVR9JE3x2tNGms9SQ7JxRH4BEG-tI8-JazeaZrLvl-1UWA?e=KpbIyH</t>
  </si>
  <si>
    <t>RQ.LOG.333 Relleno de piedra chancada para las unidades vehiculares en almacen 1.</t>
  </si>
  <si>
    <t>https://gytres-my.sharepoint.com/:b:/p/finanzas/ETIkn8AqIs9Llfn4QlhGk-0Bp3IXr1j-n_9YyMUUOjfj-w?e=qKJBAT</t>
  </si>
  <si>
    <t>RQ.COM.355 Banners de nuestros procesos para la visita de Inca Tops</t>
  </si>
  <si>
    <t>https://gytres-my.sharepoint.com/:b:/p/finanzas/Efa7c6CZoLtBkVOz92c2GV8BihTHaoK3SeCQNLETjYK7Ow?e=eoHhvt</t>
  </si>
  <si>
    <t>RQ.LOG.332 Entregas a rendir - ER-001-0482025</t>
  </si>
  <si>
    <t>https://gytres-my.sharepoint.com/:b:/p/finanzas/EaMAblVC0BNGgcSPW_8Fbq8BuRmz-QzEcweOTlv-1UPp2g?e=5PSguZ</t>
  </si>
  <si>
    <t>E001-60,RQ.OPE.1275 Curso especializado de gestion sostenible de residuos hospitalarios (20606109963)  - AZUL SOSTENIBLE S.A.C BIC</t>
  </si>
  <si>
    <t>https://gytres-my.sharepoint.com/:b:/p/finanzas/ERNStyRwOSRKhsW_wbMxe5kBB7Y1SuvgRgN-zyElvaOGJg?e=IGa97p</t>
  </si>
  <si>
    <t>Adelanto de sueldo - Julio 2025</t>
  </si>
  <si>
    <t>https://gytres-my.sharepoint.com/:b:/p/finanzas/ESu7GYurbUpNr1T2Q7kPm7cBudLMlCJSRPfmrY4FABHFJg?e=NFSdTv</t>
  </si>
  <si>
    <t>E001-1303, RQ.STI.093 Servicio técnico de mantenimiento de hardware y software de 2 laptops y 1 PC.</t>
  </si>
  <si>
    <t>https://gytres-my.sharepoint.com/:b:/p/finanzas/EV5BdNmkzhRBnVYIG24P05oBsdVZZBSQ9DlxYzJn7v_k6A?e=3Japd3</t>
  </si>
  <si>
    <t>PAGOS AFP INTEGRA (Intereses: 6.04)</t>
  </si>
  <si>
    <t>DETR.MASIVA 7659425042</t>
  </si>
  <si>
    <t>PAGOS AFP PRIMA (Intereses: 1.81)</t>
  </si>
  <si>
    <t>PAGOS AFP HABITAT (Intereses: 0.82)</t>
  </si>
  <si>
    <t>PAGOS AFP PROFUTUR (Intereses: 0.27)</t>
  </si>
  <si>
    <t>Proveedores 20250711 (1)</t>
  </si>
  <si>
    <t>https://gytres-my.sharepoint.com/:b:/p/finanzas/Efu65i-8-LRPsXtvhGXzcAkBArC3CDLHDXRhMxDN0FtnYA?e=5geoCA</t>
  </si>
  <si>
    <t>Disposicion residuos no peligrosos y peligrosos 14.07.2025 y 15.07.2025</t>
  </si>
  <si>
    <t>https://gytres-my.sharepoint.com/:b:/p/finanzas/EbzLGtXK9HpKvCa97bgQA2gB48HaM4eKDmZibDmaAnICXw?e=aQUna1</t>
  </si>
  <si>
    <t>F809-378395, RQ.OPE.1283 Adquisición de SOAT para la unidad  FOTÓN VEI-822 (camión nuevo)</t>
  </si>
  <si>
    <t>https://gytres-my.sharepoint.com/:b:/p/finanzas/ETa1QVU1WeVFrwB59bSk-SMBJYZoJGCis2iawSD06SKmzA?e=QXhWaw</t>
  </si>
  <si>
    <t>F001-500, RQ.OPE.1197 Mantenimiento Preventivo (Inspección y/o mnto. de frenos) de la unidad BKK-849</t>
  </si>
  <si>
    <t>https://gytres-my.sharepoint.com/:b:/p/finanzas/EYf-76KARN1JlU19sWUXHH8B3a6oM6UMqqPjXHrDJneYlA?e=YQLDIQ</t>
  </si>
  <si>
    <t>F001-499, RQ.OPE.1197 Mantenimiento Preventivo (Inspección y/o mnto. de frenos) de la unidad BKK-849</t>
  </si>
  <si>
    <t>https://gytres-my.sharepoint.com/:b:/p/finanzas/EVkYPQtc2khOhV8FSTk_4BIB1DBMS7Js0cfbTb0HWov1cA?e=UJBLmg</t>
  </si>
  <si>
    <t>https://gytres-my.sharepoint.com/:b:/p/finanzas/ERpEVP5YV9tPmb5CYXDdiYkBDa7RzerWnyj4c4CguHOmLQ</t>
  </si>
  <si>
    <t>https://gytres-my.sharepoint.com/:b:/p/finanzas/EaQa2_BTlNVLjSi8IvNjV8kBfNSphiz1an4rEAtIHaa7dQ?e=2O3phM</t>
  </si>
  <si>
    <t>https://gytres-my.sharepoint.com/:b:/p/finanzas/EXwntOhJC_pOgtTWoU9SGO4Ba6u4Xqb0piNtI0s9oAJ9yQ?e=GheJi0</t>
  </si>
  <si>
    <t>https://gytres-my.sharepoint.com/:b:/p/finanzas/ETiiE73u_H5JuKUcYRAxh3IBBrj7KKTYh-TyvXK_58haWg?e=Ihiuhy</t>
  </si>
  <si>
    <t>https://gytres-my.sharepoint.com/:b:/p/finanzas/EcJg5jkDhYhNlmBwT7mQIcABUOE8W0PDTpPljZaLRl9wLA?e=HQLngC</t>
  </si>
  <si>
    <t>https://gytres-my.sharepoint.com/:b:/p/finanzas/Ef4me-Y9OwBAr1pyL-v7b-0BgINwDTKwEd5OFsgmTaVacw?e=5csRFK</t>
  </si>
  <si>
    <t>https://gytres-my.sharepoint.com/:b:/p/finanzas/EUbPL0kvHIVLsUCIEkjfL3IBj7BbkkjLB_vpaQkgejhF9Q?e=waao8n</t>
  </si>
  <si>
    <t>Proveedores 20250711 (2)</t>
  </si>
  <si>
    <t>https://gytres-my.sharepoint.com/:b:/p/finanzas/EfNaI3p0-7pDqQU2bhtSOdYBUCCSYc4Jl6OXV3Gu5oxrEQ?e=locboe</t>
  </si>
  <si>
    <t>Reposicion de caja conductores - Viáticos para la semana / LEON NN WILLIAN JOHAN RCO-12</t>
  </si>
  <si>
    <t>https://gytres-my.sharepoint.com/:b:/p/finanzas/EcDzhgnQdIRIu81K1Mnc9jAB76jAyHj0UFmDC4kbdxa3gA?e=Vcbu8N</t>
  </si>
  <si>
    <t>DETR.MASIVA 7659861939</t>
  </si>
  <si>
    <t>RQ.OPE.1289 - ER-001-0492025 - Entregas a rendir</t>
  </si>
  <si>
    <t>https://gytres-my.sharepoint.com/:b:/p/finanzas/ESPKRgte6UxFqb9CofVb4MwB1rhBUvh9RvPInIXqAtvQ5g?e=7VXhHP</t>
  </si>
  <si>
    <t>E001-1458, RQ.LOG.334 Instalación de gabinete para acomodar los cableados de internet y cámaras SSOM</t>
  </si>
  <si>
    <t>https://gytres-my.sharepoint.com/:b:/p/finanzas/ER2Kl5i49LJFgYhAbW5HuAYBvT8_lM17i91LKI1p1BgOYA?e=zFtnxF</t>
  </si>
  <si>
    <t>Cambio de Dolares a Soles TC 3.553</t>
  </si>
  <si>
    <t>00000000FF02-93 EMPRES</t>
  </si>
  <si>
    <t>F001-1671 Res. Aprovechables</t>
  </si>
  <si>
    <t>https://gytres-my.sharepoint.com/:b:/p/finanzas/EeKVjjMytAhKjc2xapQr8E8Bu0vvM3wMQYb392YWDCRApw?e=rASRAw</t>
  </si>
  <si>
    <t>E001-33, RQ.OPE.1281 por transporte de residuos</t>
  </si>
  <si>
    <t>https://gytres-my.sharepoint.com/:b:/p/finanzas/EUFN34AEuJJLqtrIojQuKg4BlDOKdAERz5IPKm3NvS_qbg?e=qqgG3g</t>
  </si>
  <si>
    <t>https://gytres-my.sharepoint.com/:b:/p/finanzas/EbcfUgkGs_xDihOh7Mb8MJoBZTXXew8vZCs55GoZUl6-sQ?e=hY2Sao</t>
  </si>
  <si>
    <t>E001-739, RQ.COM.292 fabricación de contenedores, cliente Moly-Cop La Joya</t>
  </si>
  <si>
    <t>https://gytres-my.sharepoint.com/:b:/p/finanzas/Ec5oXlW6Gp5KpQOSWMO41g4Brs2VY6xGLTI4hxN1bJTEdQ?e=152mmi</t>
  </si>
  <si>
    <t>GratificacionesJul25 (1)</t>
  </si>
  <si>
    <t>GR07</t>
  </si>
  <si>
    <t>Proveedores 20250715 (2)</t>
  </si>
  <si>
    <t>https://gytres-my.sharepoint.com/:b:/p/finanzas/ET_Tz6jEuKdDqeilsznbgWABxnI9JB8-ETeV5BVHzZ63uQ?e=Di9Vzf</t>
  </si>
  <si>
    <t>https://gytres-my.sharepoint.com/:b:/p/finanzas/EWndMGJcPyhLnoHM7R0VtVQBI8JdmE3D2Q4Z-cNft0FNSA?e=mUS0cg</t>
  </si>
  <si>
    <t>FFF1-000230, Servicio de Internet Julio 2025</t>
  </si>
  <si>
    <t>https://gytres-my.sharepoint.com/:b:/p/finanzas/ESCh8Xm4KBZMvIcbVf5UvbwBKTXQr9gnKeTJP-5To9vRzQ?e=yb2WIm</t>
  </si>
  <si>
    <t>COM.CCE PRO 000166</t>
  </si>
  <si>
    <t>Luz -Junio / Alm. 03 Yanahuara</t>
  </si>
  <si>
    <t>https://gytres-my.sharepoint.com/:b:/p/finanzas/EcbbNOWI2UZEkRmi21xPAAABvPKJhd87BZjnao2uypb3hw?e=LtYsBo</t>
  </si>
  <si>
    <t>Luz -Junio/ Alm. 01 Sachaca</t>
  </si>
  <si>
    <t>https://gytres-my.sharepoint.com/:b:/p/finanzas/EUgQnI2WQKNDrmpGFxgaoagBJXy_x9SgJEHBx62wMY-2Sw?e=h17jaN</t>
  </si>
  <si>
    <t>Luz - Julio / Alm. Lima</t>
  </si>
  <si>
    <t>https://gytres-my.sharepoint.com/:b:/p/finanzas/EfyVBjtPXylLh4aRCQf63AkBWXqP3htQCk1__hvsdpMtPQ?e=q7lQZN</t>
  </si>
  <si>
    <t>Reposición - Caja Conductores - 2025 / RCO-13</t>
  </si>
  <si>
    <t>https://gytres-my.sharepoint.com/:b:/p/finanzas/EcBYUfVMHyJNplE_tqsnbBUB3FD4xdhQUru_uWqU93A1SA?e=ETVRrP</t>
  </si>
  <si>
    <t>F002-20256, RQ.OPE.1280 mantenimiento preventivo de la unidad FOTÓN VDJ-872</t>
  </si>
  <si>
    <t>https://gytres-my.sharepoint.com/:b:/p/finanzas/EQ9O9YjIXDpBsnOpJguGOdgB23Om86G8WAwq41nMG0YXrA?e=dYtd9N</t>
  </si>
  <si>
    <t>F136-10996 Combustible</t>
  </si>
  <si>
    <t>https://gytres-my.sharepoint.com/:b:/p/finanzas/ESF7lJzaxOBFk23g4EUGfhEBKmzdTvL_H7INwMlZAVctwg?e=eYaJdA</t>
  </si>
  <si>
    <t>F135-8336 Combustible</t>
  </si>
  <si>
    <t>https://gytres-my.sharepoint.com/:b:/p/finanzas/EfKdUQkQ1M9Lv9Y7CbVrtVQBNMAXLzC96oG3WuPq3jk6jA?e=bs0Ohf</t>
  </si>
  <si>
    <t>Proveedores 20250716 (1)</t>
  </si>
  <si>
    <t>https://gytres-my.sharepoint.com/:b:/p/finanzas/EXgRYJVeMshDuwbCH_jOEpABDlt43RKb2NCicmBNKcKs5w?e=apkcxa</t>
  </si>
  <si>
    <t>Compartamos Financiera - Cuota 33</t>
  </si>
  <si>
    <t>https://gytres-my.sharepoint.com/:b:/p/finanzas/ETqj7eI-ehVBtDj2TYjS8wwBh8f-1DNW4ATmwXx9doYEiQ?e=rof9F8</t>
  </si>
  <si>
    <t>E001-3617, RQ.SSO.243 saneamiento en almacén 01 y 02</t>
  </si>
  <si>
    <t>https://gytres-my.sharepoint.com/:b:/p/finanzas/EZdNZcMNugNBrJtk-2mOAlgBe8kK-HWjxBIOycsdZedOYQ?e=FlsX07</t>
  </si>
  <si>
    <t>Reposición - Caja Conductores - 2025 / RCO-14</t>
  </si>
  <si>
    <t>https://gytres-my.sharepoint.com/:b:/p/finanzas/EemIwWax0bFBuXtSnNWhmA8BPSKupapcEohsSPOuhIzMJA?e=otbFO3</t>
  </si>
  <si>
    <t>Proveedores 20250717 (1)</t>
  </si>
  <si>
    <t>https://gytres-my.sharepoint.com/:b:/p/finanzas/EU4mXceL2YlNhQS6-KjrxjoB_JV8p8mzX54ZM5LW3RDHeQ?e=hWtwfy</t>
  </si>
  <si>
    <t>E001-462 - Servicio de Internet mes de Julio 2025 - FIXER TELECOMUNICACIONES S.A.C</t>
  </si>
  <si>
    <t>https://gytres-my.sharepoint.com/:b:/p/finanzas/EViNYOzgVfJJvnc8rI-LGsoBRYSwDlB_pLd2YpO_Y1UXsg?e=jfeMOk</t>
  </si>
  <si>
    <t>https://gytres-my.sharepoint.com/:b:/p/finanzas/EeKEnL-wbw9GoXpIWVlB2SoBNLgpHOyh_PuN6YF8gfA2Wg?e=AeK4vJ</t>
  </si>
  <si>
    <t>https://gytres-my.sharepoint.com/:b:/p/finanzas/EbymtcBe_olEg_AMEOyfJp4BtsKR4IAX8wbwWtkzQSRJ0Q?e=bGY6wf</t>
  </si>
  <si>
    <t>https://gytres-my.sharepoint.com/:b:/p/finanzas/EYwD84Nu_2NLgWRlCKRXSIkBg2aQ_N3DtAV8IfH4idFLVQ?e=eBYjvy</t>
  </si>
  <si>
    <t>https://gytres-my.sharepoint.com/:b:/p/finanzas/Ed1P_Znj-U9DoCDUENW0HDIBZrx4oC-4AQyDO8p4ySxfCQ?e=hm6GGK</t>
  </si>
  <si>
    <t>0FF010000000127 INCA T</t>
  </si>
  <si>
    <t>BCO.CITI0033714645</t>
  </si>
  <si>
    <t>DE INGENIERIA SERVICIO</t>
  </si>
  <si>
    <t>F809-381043, RQ.OPE.1300 renovación de SOAT para la unidad VDJ-872 /  B G ASESORES COMERCIALES S.A.C</t>
  </si>
  <si>
    <t>https://gytres-my.sharepoint.com/:b:/p/finanzas/ERwS3KS_2jVBl_nebjk9HjYBi_PRl2FlTvloIn1Go6RCNQ?e=h6LIVU</t>
  </si>
  <si>
    <t>Disposicion residuos peligrosos y no peligrosos 17- 18.07.2025</t>
  </si>
  <si>
    <t>https://gytres-my.sharepoint.com/:b:/p/finanzas/EYWYVbSjW5xEkpHkDJxqFnQB7MNhzZaUog9C1CH0EAZ1Xw?e=eaVRP9</t>
  </si>
  <si>
    <t>Accesorios vehiculares BKK-849 Cifren (20609629739)</t>
  </si>
  <si>
    <t>https://gytres-my.sharepoint.com/:b:/p/finanzas/ESdUaCTIqkZOh0iR4XuTwggBYTp6OEIx9XMOv4540oJtGg?e=1yhgU3</t>
  </si>
  <si>
    <t>Proveedores 20250718 (1)</t>
  </si>
  <si>
    <t>https://gytres-my.sharepoint.com/:b:/p/finanzas/EVEdjYx4cwFNkRBrbxL3c64BM8mMT2yMLScMcrTDFz5mNg?e=IZxmeP</t>
  </si>
  <si>
    <t>Cambio de Soles a Dolares TC 3.580</t>
  </si>
  <si>
    <t>https://gytres-my.sharepoint.com/:b:/p/finanzas/EaDui8dv0HxKkBb-DlLw0PEBeltyw-l3rHg9de2lw8cflA?e=MOQdqh</t>
  </si>
  <si>
    <t>DETR.MASIVA 7663711490</t>
  </si>
  <si>
    <t>0100000168 UNIVERSIDAD</t>
  </si>
  <si>
    <t>https://gytres-my.sharepoint.com/:b:/p/finanzas/EWa8rwlGHNREs-q1BjpoWawBGCl1WWwSegWYwtuxmD3BYA?e=x9bocf</t>
  </si>
  <si>
    <t>SEG.VIDA-SCTR PENSION-VIDA LEY</t>
  </si>
  <si>
    <t>https://gytres-my.sharepoint.com/:b:/p/finanzas/EeWgLTGiW7RCplg9h9xD5agBi3V205zwqY7FSdoySlARDg?e=ltcAeY</t>
  </si>
  <si>
    <t>SCTR SALUD-EPS</t>
  </si>
  <si>
    <t>https://gytres-my.sharepoint.com/:b:/p/finanzas/Ef8MFJpSlzlPtXaQX6smSdQBWNSec1lognpJiuS6pf0Xzw?e=gNWCLu</t>
  </si>
  <si>
    <t>Adelanto de sueldo Julio 2025 - VIZA CACERES WAY BRIAN</t>
  </si>
  <si>
    <t>https://gytres-my.sharepoint.com/:b:/p/finanzas/EbsvCiTBAr9OrXR5H3uGRIsBDmMoQdCuLcVmQab7cbJ__g?e=MW55Kp</t>
  </si>
  <si>
    <t>RQ.OPE.1263 Cotiz. 1018632 Servicio de GPS para la camioneta MAXUS VBW-889</t>
  </si>
  <si>
    <t>https://gytres-my.sharepoint.com/:b:/p/finanzas/EUipaGOclIFFtCKm78ZO95ABzCSr4wUSyVoldQv9TuhCSg?e=iVDOEo</t>
  </si>
  <si>
    <r>
      <t>03 PAGO POR CODIGO SOLES /</t>
    </r>
    <r>
      <rPr>
        <sz val="9"/>
        <color rgb="FFFF0000"/>
        <rFont val="Aptos Narrow"/>
        <family val="2"/>
      </rPr>
      <t xml:space="preserve"> F01500299687</t>
    </r>
  </si>
  <si>
    <t>https://gytres-my.sharepoint.com/:b:/p/finanzas/EakeQk5n5l1InG28Delx76IBnTg_Dn41mHLY-UaW4gwDeQ?e=Pdmhob</t>
  </si>
  <si>
    <t>E001-328, RQ.OPE.1184 Mantenimiento Preventivo de la unidad BKL-739</t>
  </si>
  <si>
    <t>https://gytres-my.sharepoint.com/:b:/p/finanzas/Ed-oO-RIyZ5JuuDlooCbbTYBr7CUauLybFeFcLu1mkQqLw?e=4jiXDa</t>
  </si>
  <si>
    <t>E001-327, RQ.OPE.1184 Mantenimiento Preventivo de la unidad BKL-739</t>
  </si>
  <si>
    <t>https://gytres-my.sharepoint.com/:b:/p/finanzas/EW8YE8GkxvZIqXZInU130LgBE6H1kagwiR4p-fp74LQheg?e=xcOniD</t>
  </si>
  <si>
    <t>https://gytres-my.sharepoint.com/:b:/p/finanzas/EbVpie9k2oNLo36mDGsvRw0Bswu76BVDJSII8bGwj2YCfA?e=CzmBJA</t>
  </si>
  <si>
    <t>https://gytres-my.sharepoint.com/:b:/p/finanzas/EVOO9fWE1tlOiUTjGxpIgmwBHvgDa69AqZRoHWQ9N6bt_g?e=DX4wgf</t>
  </si>
  <si>
    <t>De movitecnica sa</t>
  </si>
  <si>
    <t>RQ.SSO.257 - ER-001-0502025 permisos que requiere la nueva unidad vehicular VEI822</t>
  </si>
  <si>
    <t>https://gytres-my.sharepoint.com/:b:/p/finanzas/EeC6sDlLix5Gl-uGoTTqJvEBgerMNtWnaCLYXoIqr0DYvA?e=7sqHri</t>
  </si>
  <si>
    <t>F001-16709, RQ.COM.357 Constatación notarial por la destrucción de productos. (Cliente: Servicios Co</t>
  </si>
  <si>
    <t>https://gytres-my.sharepoint.com/:b:/p/finanzas/EY2HOplLVkhImd4NJ92sCIAB2ewLO2TGaCjfrizIMrwZyQ?e=va17SL</t>
  </si>
  <si>
    <t>REVISAR RUC DE PROV. PARA CANCELAR SIST</t>
  </si>
  <si>
    <t>Adto. RQ.SSO.253 Confección de polos de algodón para personal operativo de Lima y tener en stock. / OC 004-000169</t>
  </si>
  <si>
    <t>https://gytres-my.sharepoint.com/:b:/p/finanzas/EdgRt2X1VuFDpi3V9T7W-WkBmIh4CEWEFWvn5UjwlBXuBg?e=75dh8N</t>
  </si>
  <si>
    <t>0000000149 GRANJA RINC</t>
  </si>
  <si>
    <t>TRANSF.BCO.SCOTIABANK</t>
  </si>
  <si>
    <t>Proveedores 20250724 (1)</t>
  </si>
  <si>
    <t>https://gytres-my.sharepoint.com/:b:/p/finanzas/EUsI9u2cd_5IsFxtWj8ga9kBdy1_kQSGzgDoYyUzPRF_JA?e=TwNvFn</t>
  </si>
  <si>
    <t>RQ.LOG.335 - F002-11547 Sillas plomas</t>
  </si>
  <si>
    <t>https://gytres-my.sharepoint.com/:b:/p/finanzas/EXE89gS_Ao1NhOT956lIl8MBZSe0TUx3OgjgpGodKmSzxA?e=O0WJba</t>
  </si>
  <si>
    <t>https://gytres-my.sharepoint.com/:b:/p/finanzas/ETQOugWCPCtLrVbrL5PCM0ABHKKmGH73zAVoZg4sVyKq5A?e=sFtVRR</t>
  </si>
  <si>
    <t>https://gytres-my.sharepoint.com/:b:/p/finanzas/ERF9fxwqonpHjRzLnVq0IKYBTbCF3JKYtv7zFrOtjkQ2nA?e=GRLfvI</t>
  </si>
  <si>
    <t>https://gytres-my.sharepoint.com/:b:/p/finanzas/EQgv_srxGrZOvs-uZuBlLtQB4SUCvx8O-2uSWqMPJYwlXw?e=RVNsU1</t>
  </si>
  <si>
    <t>https://gytres-my.sharepoint.com/:b:/p/finanzas/EfF12wf4yKFPoijv1ZRLWfgBMBw_hw33LaOoh2xXS8T41A?e=LB7q1r</t>
  </si>
  <si>
    <t>https://gytres-my.sharepoint.com/:b:/p/finanzas/EZNYuhg_OThIkrsnhuQC9WIBVWlVzaHX8qnFu63vcSBW5w?e=G3n90l</t>
  </si>
  <si>
    <t>Adelanto de sueldo Julio 2025 - MONTENEGRO LOPEZ EMILIANO ALCIDES</t>
  </si>
  <si>
    <t>https://gytres-my.sharepoint.com/:b:/p/finanzas/EdnPyEcvgUdBjkb74mq3GhIBiK6k_RO_7c9XJeCyFZbMCw?e=dXxETC</t>
  </si>
  <si>
    <t>Adto. 50% E001-744 - RQ.OPE.1259 Manto. de la tolva de la camioneta MAXUS VBW-889</t>
  </si>
  <si>
    <t>https://gytres-my.sharepoint.com/:b:/p/finanzas/EXDSpPi-EENJoXXM3IGbbZQB1RBmR4yWOa4lTzDCelT1dg?e=0muYeB</t>
  </si>
  <si>
    <t>000000000FF0190 TECNO</t>
  </si>
  <si>
    <t>FF0100000129000 CORP.E</t>
  </si>
  <si>
    <t>F050</t>
  </si>
  <si>
    <t xml:space="preserve">06 VIDA MN / Pacifico seguros </t>
  </si>
  <si>
    <t>https://gytres-my.sharepoint.com/:b:/p/finanzas/EXMY7RT2TCBJsgqz_HCNjNwBWNFzH3niNGNc93BPwHgBNg?e=hdwPS5</t>
  </si>
  <si>
    <t>https://gytres-my.sharepoint.com/:b:/p/finanzas/EfVB_8IB7j1DhWTMgL1jIVwBc0w_46pHa3_08LDqGaBUzg?e=CEA2jL</t>
  </si>
  <si>
    <t>REVISAR COMPROBANTE</t>
  </si>
  <si>
    <t xml:space="preserve">Telefonos corporativos 1077.55 </t>
  </si>
  <si>
    <t>Telefonos corporativos 1077.55 Cuota 8 de 18</t>
  </si>
  <si>
    <t>E001-221, RQ.OPE.1169 Reforzado y soldadura de las uñas del montacargas de Villa Esperanza.</t>
  </si>
  <si>
    <t>https://gytres-my.sharepoint.com/:b:/p/finanzas/EXn8uQm3VrFMtPjOTtBex_cB0IXKerv3d8MvSW2hAGvDYg?e=pamo8H</t>
  </si>
  <si>
    <t>RQ.OPE.1317 Adelanto - Mantenimiento de ruedas y frenos de la unidad VBB-840</t>
  </si>
  <si>
    <t>https://gytres-my.sharepoint.com/:b:/p/finanzas/EXn8uQm3VrFMtPjOTtBex_cB0IXKerv3d8MvSW2hAGvDYg?e=1C6UeN</t>
  </si>
  <si>
    <t>Proveedores 20250725 (1)</t>
  </si>
  <si>
    <t>https://gytres-my.sharepoint.com/:b:/p/finanzas/EUCqxH-PLAhJmUcDOT-MznYBDvMNYxvYcN9E35otjKc3_A?e=CRotBR</t>
  </si>
  <si>
    <t>F001-14701 Disposicion</t>
  </si>
  <si>
    <t>https://gytres-my.sharepoint.com/:b:/p/finanzas/EZnDEfvgBvBDk7GIry-QFgwBy6MO1qG6MxUNcWCOBjyoKQ?e=Vufqey</t>
  </si>
  <si>
    <t>E001-2370, RQ.OPE.1269 Servicio alquiler de montacarga</t>
  </si>
  <si>
    <t>https://gytres-my.sharepoint.com/:b:/p/finanzas/ETG8yQfogK9NiYRbAA9Ads8B_dNtT252rU7rnHPEcwqbTA?e=btUesj</t>
  </si>
  <si>
    <t>COM.CCE PRO 000172</t>
  </si>
  <si>
    <t>DETR.MASIVA 7666114943</t>
  </si>
  <si>
    <t>LONCCOS Y CCALAS</t>
  </si>
  <si>
    <t xml:space="preserve">DE LONCCOS Y CCALAS S / E001-736  devolución  </t>
  </si>
  <si>
    <t>FF0100000176000 CARMEN</t>
  </si>
  <si>
    <t>Cambio de Soles a Dolares TC 3.567</t>
  </si>
  <si>
    <t>RQ.SSO.261 Inducción de personal para el ingreso a Pesquera Diamante - Ruben Bustamante</t>
  </si>
  <si>
    <t xml:space="preserve">
1169327</t>
  </si>
  <si>
    <t>https://gytres-my.sharepoint.com/:b:/p/finanzas/EUVD0C-ju-BLtstiIaaDvHIByPevx0WEokmLw5EoJMKpXw?e=ucTnQz</t>
  </si>
  <si>
    <r>
      <t>One drive - Logística  - Junio /</t>
    </r>
    <r>
      <rPr>
        <sz val="9"/>
        <color rgb="FFFF0000"/>
        <rFont val="Aptos Narrow"/>
        <family val="2"/>
      </rPr>
      <t>F01500305476</t>
    </r>
  </si>
  <si>
    <t>https://gytres-my.sharepoint.com/:b:/p/finanzas/EZKlf8X6A2tHiKeGpu8jinABMQoCtZ5tQXJ3YBH1elzhqw?e=XrFXL6</t>
  </si>
  <si>
    <t>Correo Corporativo - Junio / F01500305475</t>
  </si>
  <si>
    <t>https://gytres-my.sharepoint.com/:b:/p/finanzas/Eddg0luLZNFHnmOY8HRkvcsBxPrc11w7tmpI3lAIHgdy3w?e=T60UkE</t>
  </si>
  <si>
    <t>Proveedores 20250730 (1) / Prov tlc 175</t>
  </si>
  <si>
    <t>https://gytres-my.sharepoint.com/:b:/p/finanzas/Ea_yL2Xqw6BKooS_hyG-njABPuyp_GTPlTXIreSJUuySew?e=3AXzFx</t>
  </si>
  <si>
    <t>Bco.scot</t>
  </si>
  <si>
    <t>PRESTAMYPE</t>
  </si>
  <si>
    <t>DE FACTORING PRESTAMYP</t>
  </si>
  <si>
    <t xml:space="preserve">GYTRES </t>
  </si>
  <si>
    <t>Cambio de Dolares a Soles TC 3.584</t>
  </si>
  <si>
    <t>DEVOL. PAGO 000177</t>
  </si>
  <si>
    <t>Saldo E001-49 - RQ.OPE.1317 Mantenimiento de ruedas y frenos de la unidad VBB-840</t>
  </si>
  <si>
    <t>https://gytres-my.sharepoint.com/:b:/p/finanzas/ERNL0SwH4vVEsncscistbjwBtLX7lnAVqfcIKVS4dMsREw?e=PIMUSP</t>
  </si>
  <si>
    <t>E001-48 - RQ.OPE.1317 Mantenimiento de ruedas y frenos de la unidad VBB-840</t>
  </si>
  <si>
    <t>https://gytres-my.sharepoint.com/:b:/p/finanzas/EcUQ_hw3nQVKimAqOWJcbC0B96KL8VvwfcM8TMz2-ZAyIA?e=zlldY0</t>
  </si>
  <si>
    <t xml:space="preserve">Agua - Julio 2025 / Lima </t>
  </si>
  <si>
    <t>https://gytres-my.sharepoint.com/:b:/p/finanzas/EdDKe9OB6gVMuS4uw-99040BkwqjGMeEbu0xWdf4pJgpjQ?e=Lc75ko</t>
  </si>
  <si>
    <t>REV. COMPROBANTE</t>
  </si>
  <si>
    <t>Factura 15924, RQ.STI.094 Dominio gytres.com</t>
  </si>
  <si>
    <t>https://gytres-my.sharepoint.com/:b:/p/finanzas/ERIVzWZsrcxDqNCMCphSZEgB98VqgyPIiWes3F6bb99aWw?e=PXRZWy</t>
  </si>
  <si>
    <t>Alquiler Oficinas y Almacén Arequipa - Febrero 2025</t>
  </si>
  <si>
    <t>https://gytres-my.sharepoint.com/:b:/p/finanzas/EcUmL1S9BqhHs5qENfCAIuABo57Pf3Db_Ckj4KP5oEVnaw?e=1xIbVA</t>
  </si>
  <si>
    <t>Contrato de Alquiler</t>
  </si>
  <si>
    <t>https://gytres-my.sharepoint.com/:b:/p/finanzas/ERaPlAH_77lOvDbq48M9pNUBxe2ksoa7m1WohNQa64bBWA?e=E57g1b</t>
  </si>
  <si>
    <t>Proveedores 20250730 (1) / Prov tlc 176</t>
  </si>
  <si>
    <t>https://gytres-my.sharepoint.com/:b:/p/finanzas/EaIsWpHH-IxAk5uoO3R8u6ABqF_jc1jEFpcYOQ-HrR-Erg?e=ibVLTp</t>
  </si>
  <si>
    <t>Planilla de Rem. Jul25</t>
  </si>
  <si>
    <t>PLR07</t>
  </si>
  <si>
    <t>REGULARIZACION ITF</t>
  </si>
  <si>
    <t>FF0100000130000 CORP.E</t>
  </si>
  <si>
    <t>BCR-BANCO CONTINENTA</t>
  </si>
  <si>
    <r>
      <t>One drive - Gregeory  - Junio /</t>
    </r>
    <r>
      <rPr>
        <sz val="9"/>
        <color rgb="FFFF0000"/>
        <rFont val="Aptos Narrow"/>
        <family val="2"/>
      </rPr>
      <t xml:space="preserve"> F01500305476</t>
    </r>
  </si>
  <si>
    <t>https://gytres-my.sharepoint.com/:b:/p/finanzas/EW6dZpQxQd9Mu5wTEq4qEwQBsiijuA6-fIqfTWilIRfk9w?e=vf06mM</t>
  </si>
  <si>
    <t>https://gytres-my.sharepoint.com/:b:/p/finanzas/EcGqCkDZBTJOtk7SU1UCJgcBpdsfC5_Se7EVCGY8eqcliA?e=PySroa</t>
  </si>
  <si>
    <t>Liquidacion de Beneficios Sociales - Salvador Molina</t>
  </si>
  <si>
    <t>https://gytres-my.sharepoint.com/:b:/p/finanzas/EaewcqsqIXxMpwY2_ocu7DYBb8Ixns_eBENBeKgmw_w6Tg?e=sG8NwO</t>
  </si>
  <si>
    <t>RQ.LOG.338 Entregas a rendir- ER-001-0512025 Recarga de Agua e Insumos de Limpieza</t>
  </si>
  <si>
    <t>https://gytres-my.sharepoint.com/:b:/p/finanzas/ESH4nMTVCltCht1tyk6PO2wBarF7mGpY30Q67T7wure0JQ?e=LXMDVC</t>
  </si>
  <si>
    <t>Planilla de Rem. Jul25 (2) /Willian Leon</t>
  </si>
  <si>
    <t>Proveedores 20250801 (1)</t>
  </si>
  <si>
    <t>https://gytres-my.sharepoint.com/:b:/p/finanzas/EVxPZhi4oP5Hh94iH7XMuV4BFzdPnC9nk82ncvWvOxAXqw?e=yMRYdN</t>
  </si>
  <si>
    <t>Proveedores 20250801 (2)</t>
  </si>
  <si>
    <t>https://gytres-my.sharepoint.com/:b:/p/finanzas/EQvDoNFsWBVDq5YFXQOu6KABOLkjYeJc3tCYNDv6VPIk9w?e=jf0ut2</t>
  </si>
  <si>
    <t>RQ.SSO.262 pago de inducción de Alicorp (Romario y Nelson)</t>
  </si>
  <si>
    <t>https://gytres-my.sharepoint.com/:b:/p/finanzas/EZWfXtGWMTFEjG5fKfiTOc0B-1IUXvHK8hZAvifnoFXfRA?e=gkCa4Y</t>
  </si>
  <si>
    <t>Detr.masiva 7667488496</t>
  </si>
  <si>
    <t>0000000ff02-107 empres</t>
  </si>
  <si>
    <t>De scomar srl</t>
  </si>
  <si>
    <t>Disposicion residuos no aprovechables 04.08.2025 al 06.08.2025</t>
  </si>
  <si>
    <t>https://gytres-my.sharepoint.com/:b:/p/finanzas/EYJkMCKawy5LvyEsWSEJJ7ABg6eDvrh1tgnh4xeipM6agQ?e=GZhmUn</t>
  </si>
  <si>
    <t>RQ.LOG.339 Relleno de piso con piedra Chancada en Almacén Yanahuara / MAMANI MAMANI JULIO CESAR</t>
  </si>
  <si>
    <t>https://gytres-my.sharepoint.com/:b:/p/finanzas/ESH4nMTVCltCht1tyk6PO2wBarF7mGpY30Q67T7wure0JQ?e=MrCcLt</t>
  </si>
  <si>
    <t>Caja Arequipa - Juber Monteza - Cuota 34</t>
  </si>
  <si>
    <t>https://gytres-my.sharepoint.com/:b:/p/finanzas/EfrycmZFrVdOpxVoJYFO7pYB9NB_a0x5F8ReKJvl94tGWw?e=zQEsme</t>
  </si>
  <si>
    <t>https://gytres-my.sharepoint.com/:b:/p/finanzas/EcGqCkDZBTJOtk7SU1UCJgcBpdsfC5_Se7EVCGY8eqcliA?e=35gMEz</t>
  </si>
  <si>
    <t>Combustible / pend. Por registrar ctb</t>
  </si>
  <si>
    <t>RQ.OPE.1314 Mantenimiento preventivo de la unidad V9R-903</t>
  </si>
  <si>
    <t>https://gytres-my.sharepoint.com/:b:/p/finanzas/EYF5jDLSfLpJjQIxQOlvytoBnyFJ394QlFsaCZ-0do-DGQ?e=gGsQLJ</t>
  </si>
  <si>
    <t>RQ.COM.363 EMO para personal Wilber Quispe para ingreso a Southern cliente COSAPI</t>
  </si>
  <si>
    <t>https://gytres-my.sharepoint.com/:b:/p/finanzas/EbxzvbFS-aVOrpHnPBV24M8BZQ6V0vob9taBuJQSCgmYug?e=ZQBqZx</t>
  </si>
  <si>
    <t>Saldo RQ.LOG.318 , OS 005-643 - Acondicionamiento de construcción de primer nivel en La Joya.</t>
  </si>
  <si>
    <t>https://gytres-my.sharepoint.com/:b:/p/finanzas/ESUx7VsBQ7ZIrdLGZdRv_joBQbBWGiCFR__pMG42kvaZDw?e=lp67Eo</t>
  </si>
  <si>
    <t>Reposición - Caja Conductores - 2025 /  RCO-15</t>
  </si>
  <si>
    <t>https://gytres-my.sharepoint.com/:b:/p/finanzas/EV4zXFTLM-dNp7iSaeRduhEBlbzPoZP6JrcrZnjGI7ZnfA?e=Ijg0bw</t>
  </si>
  <si>
    <t>E001-478 - Servicio de Internet mes de Agosto 2025 - FIXER TELECOMUNICACIONES S.A.C</t>
  </si>
  <si>
    <t>https://gytres-my.sharepoint.com/:b:/p/finanzas/EYJZsGNX7FRKtLq0Ix9LL_QBUQp5OJ-iKH-LdnYUxyWfxg?e=QiTSPf</t>
  </si>
  <si>
    <t>RQ.OPE.1334 ER-001-0522025 Entregas a rendir</t>
  </si>
  <si>
    <t>https://gytres-my.sharepoint.com/:b:/p/finanzas/Eb4h2B85APhDtRRXniiWLiIBY66jd_y7SR8wzU5_XvsyGw?e=fanrHM</t>
  </si>
  <si>
    <t>F809-386030, RQ.OPE.1315 Renovación de SOAT de la unidad V9R-903</t>
  </si>
  <si>
    <t>https://gytres-my.sharepoint.com/:b:/p/finanzas/EYbA-1suCclAsL3mXFL2AFQBNBktLhpbJDWlnn7AWf-JwA?e=z8PKAf</t>
  </si>
  <si>
    <t>Agua - Julio 2025</t>
  </si>
  <si>
    <t>https://gytres-my.sharepoint.com/:b:/p/finanzas/ERjYATttOPhBlKwuHVVMCqwB9pCUbLpL6rolaJUR7ZpeOA?e=D62CPx</t>
  </si>
  <si>
    <t>REVISAR DOC</t>
  </si>
  <si>
    <t xml:space="preserve">Comubstible </t>
  </si>
  <si>
    <t>https://gytres-my.sharepoint.com/:b:/p/finanzas/EabTOhIGWoROihYXw60bdaUBxnTF3JyvJMl2Fygf8Y3aAA?e=KeFjIT</t>
  </si>
  <si>
    <t>Saldo 50% RQ.SSO.253 - OC 004-000169  compra de epps (Polos operativo)</t>
  </si>
  <si>
    <t>https://gytres-my.sharepoint.com/:b:/p/finanzas/EQ9e0gT-BvRMpG6QXHqwT_4BdjUwB_1erDTCyWgP1nMDBA?e=FRBbXd</t>
  </si>
  <si>
    <t>Adelanto 50% - OC 004-171 RQ.SSO.266 RQ.SSO.263 Epps casacas y camisas</t>
  </si>
  <si>
    <t>https://gytres-my.sharepoint.com/:b:/p/finanzas/ET7C6JSFpzZLh_5vQUwOEx0BwN__oUScbmqct8AdQDyY-Q?e=gSDxTr</t>
  </si>
  <si>
    <t>E001-419 RQ.COM.344 - Transporte de fardos noils</t>
  </si>
  <si>
    <t>https://gytres-my.sharepoint.com/:b:/p/finanzas/EVP6dup6_TZAtl-PZPz63n0B1-I_860a8ewBjjSMU1KNCw?e=SH4BvO</t>
  </si>
  <si>
    <t>Proveedores 20250805 (1)</t>
  </si>
  <si>
    <t>https://gytres-my.sharepoint.com/:b:/p/finanzas/EQc_uIVEiIlBtw7Q_C_kcjIB8fjmuEbDm_i3ETr1VaPk6Q?e=NujdHu</t>
  </si>
  <si>
    <t>Detr.masiva 7668290818</t>
  </si>
  <si>
    <t>Varios flsmidth s.a.c.</t>
  </si>
  <si>
    <t>Jesús Almanza Mamani</t>
  </si>
  <si>
    <t>Alisson Rodriguez</t>
  </si>
  <si>
    <t>RQ.OPE.1337 Entregas a rendir ER-001-0532025</t>
  </si>
  <si>
    <t>https://gytres-my.sharepoint.com/:b:/p/finanzas/EcE62y32NPpHsJdHDEmjEnEBENL6a0w3BNd-Us63p6sDwQ?e=g1pivQ</t>
  </si>
  <si>
    <t>F135-8620 Combustible</t>
  </si>
  <si>
    <t>https://gytres-my.sharepoint.com/:b:/p/finanzas/ERFza163a4ZNunSk7cXNfysB4QFz4EAT5XzuEX53npbC1A?e=UYQuZi</t>
  </si>
  <si>
    <t>F136-11207 Combustible</t>
  </si>
  <si>
    <t>https://gytres-my.sharepoint.com/:b:/p/finanzas/Eeotk-48Z0pNjFvhn9VzBHoBzlP_9bIoi_ddEb08O0uvvw?e=6h81kp</t>
  </si>
  <si>
    <t>Varios aleaciones ferr</t>
  </si>
  <si>
    <t>TRAN.CTAS.TERC.BM - Villa Esperanza - Julio 2025</t>
  </si>
  <si>
    <t>Marco Cardenas</t>
  </si>
  <si>
    <t>Barbara Camala Puma</t>
  </si>
  <si>
    <t>Nelson Llanque</t>
  </si>
  <si>
    <t>Varios universidad cat</t>
  </si>
  <si>
    <t>Adto. E001-182 RQ.OPE.1328 por transporte de residuos (20606259116) Teran / transf. A Jhonny Chacnama</t>
  </si>
  <si>
    <t>https://gytres-my.sharepoint.com/:b:/p/finanzas/EVuq0IO6KBRGiDiUB3nQPMoBX4_GLgsfpzBEzNX_wLOhFg?e=oveVrE</t>
  </si>
  <si>
    <t>Saldo E001- 182 RQ.OPE.1328 transporte de residuos</t>
  </si>
  <si>
    <t>PEDIR AUTODETRACCION</t>
  </si>
  <si>
    <t>Liquidacion de Beneficios Sociales-HUAMANI MAMANI ANTHONY</t>
  </si>
  <si>
    <t>Liquidacion de Beneficios Sociales - CCAMA G. JUNIOR</t>
  </si>
  <si>
    <t>Liquidacion de Beneficios Sociales - SOLIS FLORIDO ESTEBAN MIGUEL</t>
  </si>
  <si>
    <t>Liquidacion de Beneficios Sociales - HEFER QUISPE</t>
  </si>
  <si>
    <t>Liquidacion de Beneficios Sociales - VIZA CACERES</t>
  </si>
  <si>
    <t>Liquidacion de Beneficios Sociales - ABARCA APFATA</t>
  </si>
  <si>
    <t>https://gytres-my.sharepoint.com/:b:/p/finanzas/ES0ucArVteVDqctWFHwLkM0BkofSukz-7l7kuOHQ1MmURA?e=MWcEFG</t>
  </si>
  <si>
    <t>https://gytres-my.sharepoint.com/:b:/p/finanzas/EZR_lR2Ei1FIkoBzg-aXPPwBcdAix6PIDCjuKJk5pbp4Wg?e=ZQWOlr</t>
  </si>
  <si>
    <t>https://gytres-my.sharepoint.com/:b:/p/finanzas/EYaa6zR3yQFEr99WbEV4M9oByDlqUPQePM97tsw65KRg4A?e=cS3sx2</t>
  </si>
  <si>
    <t>https://gytres-my.sharepoint.com/:b:/p/finanzas/EURGXA0SEINHjoHaXFsQ6pQBoLlWqSfIb1GfV-dZFG_umg?e=IyUlL4</t>
  </si>
  <si>
    <t>https://gytres-my.sharepoint.com/:b:/p/finanzas/EVxFHMsNCCNAvOQwkZrb5BcBUoTdEr8zMkfVgsDCg2ljMw?e=bThWun</t>
  </si>
  <si>
    <t>F001-8555 RQ.STI.099 Mant. impresora Konica Minolt</t>
  </si>
  <si>
    <t>https://gytres-my.sharepoint.com/:b:/p/finanzas/EeYA-rJhfc1BrBXiaVeYKzcBDkPkRLAy441B6TohyJCnUQ?e=P7xhS9</t>
  </si>
  <si>
    <t>Proveedores 20250808 (2)</t>
  </si>
  <si>
    <t>https://gytres-my.sharepoint.com/:b:/p/finanzas/EWQZ4G4uYxJFqqBvbQ4P0hMBRMEKdLD4G4gPsyH7YDoTXA?e=uL5kJu</t>
  </si>
  <si>
    <t xml:space="preserve">E001-4465 RQ.STI.098 Compra de laptops y accesorios </t>
  </si>
  <si>
    <t>https://gytres-my.sharepoint.com/:b:/p/finanzas/ET87oTGKdcxEhkeZ__KckA4BTPH4Hz3GBq5aQWJPvOn_jg?e=GRn06Y</t>
  </si>
  <si>
    <t>https://gytres-my.sharepoint.com/:b:/p/finanzas/EUKyCrDvWX9Kt9GBpll-rTABnoayIxd2JUtsOLoMpZny3A?e=dwO7Dx</t>
  </si>
  <si>
    <t>Proveedores 20250808 (1)</t>
  </si>
  <si>
    <t>https://gytres-my.sharepoint.com/:b:/p/finanzas/Ee6nrhdf0PNLkXqDfmTWOFYB_N0-gSdFRUErDPwAFLgtFw?e=sHlZ0b</t>
  </si>
  <si>
    <t>Com.cce pro 000185</t>
  </si>
  <si>
    <t>FE28</t>
  </si>
  <si>
    <t>Servicio de monitoreo 01.08.2025 a 31.08.2025</t>
  </si>
  <si>
    <t>https://gytres-my.sharepoint.com/:b:/p/finanzas/EUCnU3GsGLBEjY-WahKcFqQByCt4tN5Sp6dWVXwXAPM8hw?e=sQi2p6</t>
  </si>
  <si>
    <t>https://gytres-my.sharepoint.com/:b:/p/finanzas/EdNj9wkniY5PsG8EioW0l5YBvDpKAOxVXN2z3Z-FgYRUjg?e=fPuv84</t>
  </si>
  <si>
    <t>Proveedores 20250811 (1)</t>
  </si>
  <si>
    <t>https://gytres-my.sharepoint.com/:b:/p/finanzas/Ebn6lqDmIddElpxx3ZcUgZABbc5BHwqO5OROP_kppzQ_1w?e=1WFoSI</t>
  </si>
  <si>
    <t>E001-2243 RE.OPE.1198 por descarga de residuos</t>
  </si>
  <si>
    <t>https://gytres-my.sharepoint.com/:b:/p/finanzas/EXK4ykgfHO9Okki6AJCuKnkBJ9hx6l2AO-eH325__TBCcQ?e=cRQI4v</t>
  </si>
  <si>
    <t>Adelanto de remuneracion - Agosto 2025</t>
  </si>
  <si>
    <t>https://gytres-my.sharepoint.com/:b:/p/finanzas/EVgV4p73_o5MsLiMF1qS8poBi32KJCsy5kND-vO6w7PlIg?e=GiPRhJ</t>
  </si>
  <si>
    <t>RQ.STI.097 Compra de tintas Lima</t>
  </si>
  <si>
    <t>https://gytres-my.sharepoint.com/:b:/p/finanzas/Eap7gWOb045GmDgpFCD606oBW4D8tx9lfkVm8giG-K3mLg?e=RLrE2P</t>
  </si>
  <si>
    <t>Proveedores 20250812 (1)</t>
  </si>
  <si>
    <t>https://gytres-my.sharepoint.com/:b:/p/finanzas/EUMAe4DG0NVCq0qNNxXv_R0Bms6K8dEHPYtXv03C8eOSSg?e=LTS5Sh</t>
  </si>
  <si>
    <t>Entregas a rendir - RQ.GH.225 - ER-001-0542025</t>
  </si>
  <si>
    <t>https://gytres-my.sharepoint.com/:b:/p/finanzas/EXNmtPkX8P1BnTCUXbGtu38BNFEJ4Vmd9CunQFY-MYn0gA?e=9V7sg8</t>
  </si>
  <si>
    <t xml:space="preserve">Luz -Julio / Alm. Sachaca </t>
  </si>
  <si>
    <t>https://gytres-my.sharepoint.com/:b:/p/finanzas/EaYYWjiqKJFHugLcimtNn4gBVETyX_V2I3TuEWPwi2w-zA?e=dEu4cw</t>
  </si>
  <si>
    <t>Luz -Julio / Alm. Yanahura</t>
  </si>
  <si>
    <t>https://gytres-my.sharepoint.com/:b:/p/finanzas/EVPOKNxguFFGo4GBW1Z-54cBElCUFQlLS2u4-qR_h3KrMQ?e=HbmvZl</t>
  </si>
  <si>
    <t>Disposicion residuos no aprovechables 12.08.2025 al 14.08.2025</t>
  </si>
  <si>
    <t>Alquiler Alm Huaranguillo2 Agos25</t>
  </si>
  <si>
    <t>RQ.COM.370 Servicio de EMO preocupacional COSAPI
Joel Velasquez</t>
  </si>
  <si>
    <t>F001-14701 Saldo Disposicion</t>
  </si>
  <si>
    <t>https://gytres-my.sharepoint.com/:b:/p/finanzas/EbBdS0vsivVAm4QM0VkpAsoBItF1ldC3-WOiq8MlK9j2cQ?e=hBvkAy</t>
  </si>
  <si>
    <t>E001-32, E001-34, E001-35, E001-36, RQ.GH.222 serv.selección de personal y evaluación psicológico</t>
  </si>
  <si>
    <t>https://gytres-my.sharepoint.com/:b:/p/finanzas/Ec52s8htxyZKvkVTsLQnKY4B5gMd4mDKdeI1Civmfo0XXw?e=0T4yb0</t>
  </si>
  <si>
    <t>https://gytres-my.sharepoint.com/:b:/p/finanzas/Ec52s8htxyZKvkVTsLQnKY4B5gMd4mDKdeI1Civmfo0XXw?e=e8JIjO</t>
  </si>
  <si>
    <t xml:space="preserve">Elias </t>
  </si>
  <si>
    <t>PROFUTURO_07</t>
  </si>
  <si>
    <t>PROFUTURO_07_INT</t>
  </si>
  <si>
    <t>HABITAT_07</t>
  </si>
  <si>
    <t>HABITAT_07_INT</t>
  </si>
  <si>
    <t>PRIMA_07</t>
  </si>
  <si>
    <t>PRIMA_07_INT</t>
  </si>
  <si>
    <t>INTEGRA_07</t>
  </si>
  <si>
    <t>INTEGRA_07_INT</t>
  </si>
  <si>
    <t>PAGO DETRAC 7669950931</t>
  </si>
  <si>
    <t>DETR.MASIVA 7670153092</t>
  </si>
  <si>
    <t>DETR.MASIVA 7669943184</t>
  </si>
  <si>
    <t>RQ.SSO.271 Inducciones para Pesquera Diamante (Juan Tarifa, Nelson Quispe , Diego Mamani )</t>
  </si>
  <si>
    <t>https://gytres-my.sharepoint.com/:b:/p/finanzas/EZXdpIUuy8FAqda-v-utuhEBslP3YX-pjTDZyd0FxLQJsg?e=j1BN0Z</t>
  </si>
  <si>
    <t>FFF1-000255 , Servicio de Internet Agosto 2025</t>
  </si>
  <si>
    <t>https://gytres-my.sharepoint.com/:b:/p/finanzas/EQL5tFLmqsJDtfURw5UhVMIBE1yikGHoXRm6Y1XD-gZqAw?e=L7t3Qz</t>
  </si>
  <si>
    <t>Teléfono fijo trio - Julio /Arequipa 2</t>
  </si>
  <si>
    <t>FA01-00001005 , RQ.OPE.1261 implementación de medidas de seguridad para el camión VDJ-872</t>
  </si>
  <si>
    <t>https://gytres-my.sharepoint.com/:b:/p/finanzas/EfbqWtpG4npAo0wyIVN7vpYBK_cDVfsaPdV2QgE3FQSTXg?e=Th3qbd</t>
  </si>
  <si>
    <t>ER-001-0552025 Servicio a Caylloma  RQ.OPE.1365</t>
  </si>
  <si>
    <t>https://gytres-my.sharepoint.com/:b:/p/finanzas/EZ6wUMXju5NHqNywZrorvroBhKmDM49NdSHfuaiC8iADCg?e=ZGrpBl</t>
  </si>
  <si>
    <t>00000000FF05-55 ALEACI</t>
  </si>
  <si>
    <t>DE PULSO CORPORACION M / RQ.COM.348</t>
  </si>
  <si>
    <t>ER-001-0562025 Entregas a rendir RQ.GH.223</t>
  </si>
  <si>
    <t>https://gytres-my.sharepoint.com/:b:/p/finanzas/EUqsQgTvBLlPrrLN4ahpv1oBx74MhmYy4Ro6WRUwjnuMhQ?e=yyH21l</t>
  </si>
  <si>
    <t>https://gytres-my.sharepoint.com/:b:/p/finanzas/ESTwP7Ra-1tMlT2aNKXkrDgB0rXc3qmzhaJo5PkFyGmgVw?e=TshBGP</t>
  </si>
  <si>
    <t>https://gytres-my.sharepoint.com/:b:/p/finanzas/EbMovywbT8tDmzTu6TaggRwBLYA99-_0U-5d7z8Biv7fSA?e=W8zjSa</t>
  </si>
  <si>
    <t>https://gytres-my.sharepoint.com/:b:/p/finanzas/EcUSiUrSo_RLtHpyHd3yYKUB7yUyKdHvtgDZcGAZgZKDhw?e=05RUCo</t>
  </si>
  <si>
    <t>https://gytres-my.sharepoint.com/:b:/p/finanzas/EbroLtpS9jVAqohLpq4WHi0BkNYklhlhTykgqaTEf-ujyw?e=ZNlirI</t>
  </si>
  <si>
    <t>https://gytres-my.sharepoint.com/:b:/p/finanzas/ERabzRHM6ttBg_rh3jEwUdwBL-2FPB7DR9wpNgtMdXM_yQ?e=i1Jnby</t>
  </si>
  <si>
    <t>Proveedores 20250814 (1)</t>
  </si>
  <si>
    <t>https://gytres-my.sharepoint.com/:b:/p/finanzas/EfPqodLOm0pDvxl3VaXOyg0B0EfrMSxUFIi_bZwb9wUX8g?e=ClAB79</t>
  </si>
  <si>
    <t xml:space="preserve">Combustible </t>
  </si>
  <si>
    <t>https://gytres-my.sharepoint.com/:b:/p/finanzas/EV9ZJn7wL15FkRs0s7Hsf2MB0dNA6kqkq21MTMTsWeLv7w?e=opka8R</t>
  </si>
  <si>
    <t>Cambio de Soles a Dolares TC 3.585</t>
  </si>
  <si>
    <t>Compartamos Financiera - Cuota 34</t>
  </si>
  <si>
    <t>https://gytres-my.sharepoint.com/:b:/p/finanzas/EaqQ5FgKgpdGmS--Ugk_0D4BvW271Q6XbGZG_pYA4rvt5g?e=HyII6z</t>
  </si>
  <si>
    <t>E001-179 - RQ.STI.102 Mantenimiento de biométrico</t>
  </si>
  <si>
    <t>https://gytres-my.sharepoint.com/:b:/p/finanzas/ESxdaPwYAiZDuAQc0OXyLzABAbl7HKALkFTr8Yp659A6rQ?e=AdhpOy</t>
  </si>
  <si>
    <t>Mant td adic neg</t>
  </si>
  <si>
    <t>De sanchez rico ingeni</t>
  </si>
  <si>
    <t>Adelanto de sueldo Agosto 2025</t>
  </si>
  <si>
    <t>https://gytres-my.sharepoint.com/:b:/p/finanzas/ER51wOADRX9Lp9UeNRZlqiMBSJjqIBBZ31yYYLmmU-G3lQ?e=lNPSmL</t>
  </si>
  <si>
    <t>https://gytres-my.sharepoint.com/:b:/p/finanzas/ER175OW-nLlBvAmNA9WZmNIB1ZMpQd071S3kvftdZOBi4Q?e=7H9TbJ</t>
  </si>
  <si>
    <t>Adelanto de sueldo Agosto 2025 - HUANUCO ORTEGA CR</t>
  </si>
  <si>
    <t>https://gytres-my.sharepoint.com/:b:/p/finanzas/EQB4al8Xx_NKqJ-oiZLd5JwBM08yMJfXXGeDM8rE1URA6g?e=N7W88I</t>
  </si>
  <si>
    <t>https://gytres-my.sharepoint.com/:b:/p/finanzas/EVm_WN8l681Nu0xzP_SYs2oBbPZjEm7Hz-KDjGh6youXZg?e=CwAugJ</t>
  </si>
  <si>
    <t>RQ.SSO.272 - ER-001-0572025 pago de inducciones - Pesquera Diamante</t>
  </si>
  <si>
    <t>https://gytres-my.sharepoint.com/:b:/p/finanzas/EYtgxSc58VZEiJf5nZCHKxABmrcEOxL9s39e6uzjytAzRw?e=So7VCS</t>
  </si>
  <si>
    <t>valorización de RCD - Ficha de servicio: 002-1125</t>
  </si>
  <si>
    <t>https://gytres-my.sharepoint.com/:b:/p/finanzas/EQ49Yy577w9AnmtloifxmRgBrqEzJlQRoZSTYAtd1wZAgQ?e=ZEpDqj</t>
  </si>
  <si>
    <t>Liquidacion de Beneficios Sociales-QUISPE HUISACA</t>
  </si>
  <si>
    <t>RQ.SSO.241 - F005-1220,F005-1192</t>
  </si>
  <si>
    <t>https://gytres-my.sharepoint.com/:b:/p/finanzas/EZVvbFUxZstGmGUX8L3gmfEB9WJB2xOrh4XCrkJvHcvyDw?e=nWuLWy</t>
  </si>
  <si>
    <t>Reposición - Caja Conductores - 2025 /  RCO-16</t>
  </si>
  <si>
    <t>https://gytres-my.sharepoint.com/:b:/p/finanzas/EZdPlbg25gZDvzoz6F0e5T4BTNUnxD5P04_-aS7kc9Vwtg?e=jFQ7Op</t>
  </si>
  <si>
    <t>F001-49553, RQ.OPE.1335 compra de neumáticos delanteros(02 und) para la unidad BKK-849</t>
  </si>
  <si>
    <t>https://gytres-my.sharepoint.com/:b:/p/finanzas/EeffQjDky0ZCp4_gz6zMoUIBBnmruH12hCX8ioyYiRuo8g?e=kgatcj</t>
  </si>
  <si>
    <t>Detr.masiva 7672238571 / autodetracciones</t>
  </si>
  <si>
    <t>Comis pago detraccion</t>
  </si>
  <si>
    <t>valorización de RCD - Ficha de servicio: 002-1126</t>
  </si>
  <si>
    <t>https://gytres-my.sharepoint.com/:b:/p/finanzas/EeIwlRLLGS1NisQgzilLeKoB3UVmEaRKIg1_3jj4mAMfEw?e=lfecVv</t>
  </si>
  <si>
    <t>Reposición - Caja Conductores - 2025 / RCO-17</t>
  </si>
  <si>
    <t>https://gytres-my.sharepoint.com/:b:/p/finanzas/Eatxy4DT5mdBscZG_Zkq4TwBmAuwEmfMqDc6RoFb-qePkA?e=XesKmf</t>
  </si>
  <si>
    <t>RQ.COM.372 Adquisición de bandeja antiderrames de aceite usado solicitado por cliente COSAPI</t>
  </si>
  <si>
    <t>https://gytres-my.sharepoint.com/:b:/p/finanzas/EZBu-czXt1BMq2hV4MXfwOEBpHdhBlIqF76LUPtyMiym-g?e=PL6HRh</t>
  </si>
  <si>
    <t>Luz - Agosto /Lima</t>
  </si>
  <si>
    <t>https://gytres-my.sharepoint.com/:b:/p/finanzas/EVevQvIS0TtBni3nClulwPoB3wLqc3Uh_MwlwM2LkNzq3Q?e=uSphRN</t>
  </si>
  <si>
    <t>Agua - Agosto 2025/ Lima</t>
  </si>
  <si>
    <t>https://gytres-my.sharepoint.com/:b:/p/finanzas/EU1KWHmXPZlEhLCil60pww0Bsmr78-jpVDYy8v8A6dVRHQ?e=nMAPdy</t>
  </si>
  <si>
    <t>A02-1962 FA02-2138, RQ.SSO.248 Compra de Epps</t>
  </si>
  <si>
    <t>https://gytres-my.sharepoint.com/:b:/p/finanzas/EZKDJYjtdzNOvUJ5bwu7UgIBpBpLseI0KDSGZHu32lTLGQ?e=rIjKwn</t>
  </si>
  <si>
    <t>E001-2 asesoria legal Agosto</t>
  </si>
  <si>
    <t>https://gytres-my.sharepoint.com/:b:/p/finanzas/EYRrLN8OD6RCjy7TPazKlGoBTOBW003wp7NbDZgRC_cVag?e=lKcFYQ</t>
  </si>
  <si>
    <t>Adelanto de sueldo Agosto 2025 - CRISSLEY LAZARTE</t>
  </si>
  <si>
    <t>https://gytres-my.sharepoint.com/:b:/p/finanzas/Eb5IIDb46QtJgCL65IW1QrYBKHDMGgxjck7YdGoCdT0gEA?e=MtBlrG</t>
  </si>
  <si>
    <t>Disposicion residuos no aprovechables 19.08.2025 al 21.08.2025</t>
  </si>
  <si>
    <t>https://gytres-my.sharepoint.com/:b:/p/finanzas/EYs0giwBP9dBhbnaO3gCc1IBZSwQKEONrMuxE1UciOjebw?e=YuAyqh</t>
  </si>
  <si>
    <t>De transportes pereda</t>
  </si>
  <si>
    <t>Leon Lopez Quispe</t>
  </si>
  <si>
    <t>RQ.COM.373 - EMO para personal conductor - COSAPI
Brayan Gustavo Hanco Zela</t>
  </si>
  <si>
    <t>https://gytres-my.sharepoint.com/:b:/p/finanzas/EUcXgAEt0MNDs7zrgfbTq7MBcefOotmm6fSBu4Eaf2SWGg?e=mJfEfH</t>
  </si>
  <si>
    <t>ER-001-0582025 Entregas a rendir RQ.GH.226</t>
  </si>
  <si>
    <t>https://gytres-my.sharepoint.com/:b:/p/finanzas/ETxr1R9vod5Dhnp-aBJ1kB0BN01IG_zKiPhb3ZPVT9vjuQ?e=eQikbf</t>
  </si>
  <si>
    <t>RQ.COM.373 - EMO para personal conductor - COSAPI
Walter Asillo</t>
  </si>
  <si>
    <t>https://gytres-my.sharepoint.com/:b:/p/finanzas/EZE-pK0CC7BLr6QRtg1bDewB9UEoV679FlIxZlmzbovqTg?e=tBL4Ks</t>
  </si>
  <si>
    <t>valorización de RCD  21/08 y 22/08 
FS 002-1128 ;  FS 002-1127</t>
  </si>
  <si>
    <t>https://gytres-my.sharepoint.com/:b:/p/finanzas/EVueozZlChhCjvXkm2RY-lIBKMPbMNJhU0jnFnoahbZ62A?e=aDYkfZ</t>
  </si>
  <si>
    <t>E001-692 RQ.OPE.1364</t>
  </si>
  <si>
    <t>https://gytres-my.sharepoint.com/:b:/p/finanzas/ESJOBDYuyGdIm_PFgBYajAkBTqRsqUyjRTstjxVjJZSSuw?e=arChBp</t>
  </si>
  <si>
    <t>E001-1522, RQ.SSO.273 Curso de materiales peligros</t>
  </si>
  <si>
    <t>https://gytres-my.sharepoint.com/:b:/p/finanzas/EQu_jU_Ldy5EpnnUaU4guUcBJN7Lr8eMyOIgCxiNKv8ceA?e=NmiIoN</t>
  </si>
  <si>
    <t>Pago detrac 7673718565</t>
  </si>
  <si>
    <t>Bco.citi0034327132</t>
  </si>
  <si>
    <t>ER-001-0592025 Entregas a rendir RQ.OPE.1346</t>
  </si>
  <si>
    <t>https://gytres-my.sharepoint.com/:b:/p/finanzas/EbPn4esk51xNpOlZeHQObwcB3G2RWeQGK-u5AJPWlkddMA?e=rQfv1c</t>
  </si>
  <si>
    <t>Proveedores 20250821 (1)</t>
  </si>
  <si>
    <t>https://gytres-my.sharepoint.com/:b:/p/finanzas/EXT64g1Cw_5LtBBdtYBD8EkBXDsVhM5K44L2vPDKt3o9lA?e=KzbD4M</t>
  </si>
  <si>
    <t>RQ.SSO.275 pago de induccion de Alicorp
(Augusto, Brandon, Brayan, Jose Carlos, Tonny, Walter, Joel)</t>
  </si>
  <si>
    <t>Regularizacion de Disposiciones - Junio - Agosto</t>
  </si>
  <si>
    <t>Proveedores 20250821 (2)</t>
  </si>
  <si>
    <t>https://gytres-my.sharepoint.com/:b:/p/finanzas/EWOblCwhAxJAhhUYWDYvCi8BucKxLuyqf6mzxsCSISNfwA?e=gJJd3K</t>
  </si>
  <si>
    <t>Detr.masiva 7674385795</t>
  </si>
  <si>
    <t>Transf.bco.interbank</t>
  </si>
  <si>
    <t xml:space="preserve">Nelson </t>
  </si>
  <si>
    <t xml:space="preserve">TRAN.CTAS.TERC.BM/ Devolución ER Nelson </t>
  </si>
  <si>
    <t>Devolucion de ingreso según OP 2256751</t>
  </si>
  <si>
    <t>Adelanto - RQ.SIG.033 - Calibración de Balanza 1 y 2</t>
  </si>
  <si>
    <t>https://gytres-my.sharepoint.com/:b:/p/finanzas/ETWa4VT3nydKir-2YzsXTzsB0kV6Q0m3wkKdfyKNocklxA?e=kmZZ9s</t>
  </si>
  <si>
    <t>E001-486 - Servicio de Internet mes de Agosto 2025 - FIXER TELECOMUNICACIONES S.A.C</t>
  </si>
  <si>
    <t>https://gytres-my.sharepoint.com/:b:/p/finanzas/EbKfXafQbsdHiayBwqIkZU0B54jLgneHyVe8-xuEh0hV8Q?e=Wimv8M</t>
  </si>
  <si>
    <t>RQ.OPE.1316 renovación de inspección técnica (peligrosos y no peligrosos) de la unidad VDJ-872</t>
  </si>
  <si>
    <t>E001-542, RQ.OPE.1375 transporte de residuos</t>
  </si>
  <si>
    <t>https://gytres-my.sharepoint.com/:b:/p/finanzas/EXM9r_8PjNxIgdQ1XFkdvz4BdPjXVa4SM8mkoMXSXs2oLQ?e=IK2TsQ</t>
  </si>
  <si>
    <t>Ff0100000202000 carmen</t>
  </si>
  <si>
    <t>Saldo RQ.SIG.033 - Calibración de Balanza 1 y 2</t>
  </si>
  <si>
    <t>F001-8608 - RQ.STI.103 tóners para fotocopiadora Konica Minolta c224</t>
  </si>
  <si>
    <t>Proveedores 20250825 (1)</t>
  </si>
  <si>
    <t>https://gytres-my.sharepoint.com/:b:/p/finanzas/Ee6zVMDjbstJlo0D-0wDfCABfoi7vz2Na8lVNVoZExG1GA?e=ihiKZ5</t>
  </si>
  <si>
    <t>Proveedores 20250825 (2)</t>
  </si>
  <si>
    <t>https://gytres-my.sharepoint.com/:b:/p/finanzas/EQSLToN0dGNBt9mwjvY9OUIBZCuN5j8q0ZDuHLmyEQCXSw?e=EdlMQi</t>
  </si>
  <si>
    <t>Adto. F005-1563 implementación de la unidad VDJ-872</t>
  </si>
  <si>
    <t>https://gytres-my.sharepoint.com/:b:/p/finanzas/EYK7jH2gXA5LpIJyaNmUG9UBrkBVRaep45obCqpxnT4BzQ?e=3OlCY0</t>
  </si>
  <si>
    <t>E001-756 , RQ.OPE.1380 Por mantenimiento de balanza</t>
  </si>
  <si>
    <t>https://gytres-my.sharepoint.com/:b:/p/finanzas/EaVQjrQU_5ROlzTDmoqFKHIBPov60N6AduAHlWL6f1tFTQ?e=fmesJM</t>
  </si>
  <si>
    <t xml:space="preserve">Lineas corporativas - Julio/ Alm. Sachaca </t>
  </si>
  <si>
    <t>https://gytres-my.sharepoint.com/:b:/p/finanzas/Edbq9zvTMw1BnSFSlMKNpcUBCaRPyBXReUxkHRoveaS7cw?e=bh2eNj</t>
  </si>
  <si>
    <t>Lineas corporativas - Julio/ Alm. Sachaca / Cuota 9 de 18</t>
  </si>
  <si>
    <t>Lineas corporativas - Julio/ Alm. Sachaca/ Cuota 1 de 12</t>
  </si>
  <si>
    <t>Entr.efec. 0022331</t>
  </si>
  <si>
    <t>0000000ff02-120 empres</t>
  </si>
  <si>
    <t>Proveedores 20250826 (1)</t>
  </si>
  <si>
    <t>https://gytres-my.sharepoint.com/:b:/p/finanzas/ESHFqi9ah_RPjG9kZCOUFwIB4ZlHCcsVnfw_fPKvGF4OdQ?e=Afonja</t>
  </si>
  <si>
    <t>RQ.SSO.278 - ER-001-0612025 pago de inducciones - Pesquera Diamante</t>
  </si>
  <si>
    <t>Cambio de Soles a Dolares TC 3.554</t>
  </si>
  <si>
    <t>https://gytres-my.sharepoint.com/:b:/p/finanzas/EZx1M2dayLtFuu81McfxQnsBTIzIueuwbHXQgLz0Vw1NwA?e=Wcy478</t>
  </si>
  <si>
    <t>Com.cce pro 000198</t>
  </si>
  <si>
    <t>Tran.ctas.terc.hk</t>
  </si>
  <si>
    <t>Elber Medina Calderon</t>
  </si>
  <si>
    <t>De factoring prestamyp</t>
  </si>
  <si>
    <t>F135-8871 Combustible</t>
  </si>
  <si>
    <t>https://gytres-my.sharepoint.com/:b:/p/finanzas/EWgNEDutKKVDl3lf7TV6xwcBtKiX_1wyH4_I0jVuqx0jog?e=9IcREr</t>
  </si>
  <si>
    <t>F136-11406 Combustible</t>
  </si>
  <si>
    <t>https://gytres-my.sharepoint.com/:b:/p/finanzas/Eb3QpdSAR8ZHvTINZbJoJIoBZpo5oYOC_dW0OmgdSCL0LA?e=ZTRX9O</t>
  </si>
  <si>
    <t>Reposición - Caja Conductores - 2025 / RCO-18</t>
  </si>
  <si>
    <t>E001-214 - RQ.OPE.1313 accesorios vehiculares para la unidad VBB-840</t>
  </si>
  <si>
    <t>https://gytres-my.sharepoint.com/:b:/p/finanzas/ETBEGj2ywodCnYT9hmrLp-EBcOzWrUO5OdpWpVybdQUdDQ?e=qMFhez</t>
  </si>
  <si>
    <t>F004-72 - RQ.OPE.1381 implementación de corta corriente de la unidad FOTÓN VDJ-872.</t>
  </si>
  <si>
    <t>https://gytres-my.sharepoint.com/:b:/p/finanzas/EUMTfXPWrHxHnLOLJW6itjIBuQZT2FjfRVrfuFnR6Dp-_g?e=wFMiZg</t>
  </si>
  <si>
    <t>F002-20805, RQ.OPE.1341 manto. preventivo(cambio de aceite y filtros) de la camioneta MAXUS VBW-889</t>
  </si>
  <si>
    <t>https://gytres-my.sharepoint.com/:b:/p/finanzas/EUnwJ3913hZKnMMnHo-ZLAsB05ZYwrL38ZAfxWpApwmdaQ?e=i3tktf</t>
  </si>
  <si>
    <t>Saldo E001-744, RQ.OPE.1259 Manto. de la tolva de la camioneta MAXUS VBW-889</t>
  </si>
  <si>
    <t>https://gytres-my.sharepoint.com/:b:/p/finanzas/ERykTMu_T5ZNoTH6J2DpIJ0B881J68PRs7MIGyBaCQUGFQ?e=hsBp89</t>
  </si>
  <si>
    <t>Deposito efectivo</t>
  </si>
  <si>
    <t xml:space="preserve">Reposicion de caja AQP - por devolución finanzas </t>
  </si>
  <si>
    <t>Reposicion de caja AQP / dev. Finanzas</t>
  </si>
  <si>
    <t>One drive - Gregory  - Julio / F01500309951</t>
  </si>
  <si>
    <t>https://gytres-my.sharepoint.com/:b:/p/finanzas/ETVHDqxrcBZOuY5zBEMaDigB0wiPPxXy0LyUFjPtn3q8mA?e=ei1PQs</t>
  </si>
  <si>
    <t>Correo Corporativo - Julio / F01500309950</t>
  </si>
  <si>
    <t>https://gytres-my.sharepoint.com/:b:/p/finanzas/ES8uzMXyPxtHrUgt0QQyvz8BCB16moAzBT8TvSw66FrEfQ?e=yOOf4S</t>
  </si>
  <si>
    <t>Teléfono fijo trio - Agosto /Arequipa 2</t>
  </si>
  <si>
    <t>https://gytres-my.sharepoint.com/:b:/p/finanzas/ETk2gA_xNZJCtHtg33FmSScBNt-vQx_Ym01mfpktNr-8pg?e=R6c1Az</t>
  </si>
  <si>
    <t>https://gytres-my.sharepoint.com/:b:/p/finanzas/ERE79lrHH5JNvbFth2Y3_WoBRo2JT3CFbxH93ltBA804EQ?e=OUy4ON</t>
  </si>
  <si>
    <t>https://gytres-my.sharepoint.com/:b:/p/finanzas/EZFWN4BoS0xNnxzDgSbWi8IBpZ7_5bwmp02eqryDL5LoQA?e=Du8LGB</t>
  </si>
  <si>
    <t>https://gytres-my.sharepoint.com/:b:/p/finanzas/EVbpgNvWXatNosG_QkTVC1cBljMiWA0b1vCcU3Wi3uia6Q?e=smmtVP</t>
  </si>
  <si>
    <t>https://gytres-my.sharepoint.com/:b:/p/finanzas/EaMcke8vr9VEmi85TCVoHzIBpvmhwQMgU4GktRTP4Oa6Pg?e=BhqqEN</t>
  </si>
  <si>
    <t>https://gytres-my.sharepoint.com/:b:/p/finanzas/EXHZZpd88OVGgjsod4jO9RcBfe0KI4F5IA2qlIB3Kn4fTg?e=RXkUIw</t>
  </si>
  <si>
    <t>https://gytres-my.sharepoint.com/:b:/p/finanzas/EWCp5-WmMJ5NktRf74TMa_8B5M5D2cV4-W4-NFwmpIHXPQ?e=GyJ8EP</t>
  </si>
  <si>
    <t>https://gytres-my.sharepoint.com/:b:/p/finanzas/EY67uFTKXwNMkXaKxWfCTWoB3TZngJl003LGWf5vspEMpg?e=Jyfb6T</t>
  </si>
  <si>
    <t>https://gytres-my.sharepoint.com/:b:/p/finanzas/Eea3rSNG18lDmODkKE1YtZcBoFS-UKFhMU9Vj4_fply5xA?e=WKb33d</t>
  </si>
  <si>
    <t>https://gytres-my.sharepoint.com/:b:/p/finanzas/EetO7m4afsJCgRVmjblsbioBiz9EorHupv5G5G9Gz1KboQ?e=GOb8VP</t>
  </si>
  <si>
    <t>https://gytres-my.sharepoint.com/:b:/p/finanzas/ERpzT78b0RxFrBp2rVyK8a4BMJ0hs2DN23sx9umSz1jcdA?e=mEUxJ7</t>
  </si>
  <si>
    <t>https://gytres-my.sharepoint.com/:b:/p/finanzas/EWCp5-WmMJ5NktRf74TMa_8B5M5D2cV4-W4-NFwmpIHXPQ?e=b3QnAc</t>
  </si>
  <si>
    <t>https://gytres-my.sharepoint.com/:b:/p/finanzas/Eepr3bkdlRtAl93J7wbfBDsBg6O2KT_yLGZZv-DKJZbhOA?e=XULQgf</t>
  </si>
  <si>
    <t>https://gytres-my.sharepoint.com/:b:/p/finanzas/EfnM1tDCvT1BomzGTmLv4-oBDTXaASU33U9Lpaff2Ni5dw?e=9l82zi</t>
  </si>
  <si>
    <t>https://gytres-my.sharepoint.com/:b:/p/finanzas/EWAGcl-J-Y5HlbzK1lnltxMB_16KaXN1MRkWxMLnZKygdA?e=MtEJP2</t>
  </si>
  <si>
    <t>https://gytres-my.sharepoint.com/:b:/p/finanzas/ERnYEO6s3LBArW1W8OPxF6MBf4DWHU9oAKWOs4mtq5buNQ?e=8Xcb91</t>
  </si>
  <si>
    <t>https://gytres-my.sharepoint.com/:b:/p/finanzas/EVNDXi-_GwpMtnfoFr0OwooB5-E2WtE3qhbfelXPkNk3lw?e=bbpjFP</t>
  </si>
  <si>
    <t>https://gytres-my.sharepoint.com/:b:/p/finanzas/EZruCGGTr6NDqVJN2aFQyqkBIIw3_6jsI_gifHD8W0s5hw?e=FJj8YB</t>
  </si>
  <si>
    <t>Disposicion residuos no aprovechables 28.08.2025 al 29.08.25</t>
  </si>
  <si>
    <t>https://gytres-my.sharepoint.com/:b:/p/finanzas/EWedMvXzmHJDmUfKRHNyb-cBuO4X3w5KHUlMiq-44UTj_g?e=38aHta</t>
  </si>
  <si>
    <t>E001-48, RQ.GH.232 servicio de vigilancia médica del mes de julio y agosto</t>
  </si>
  <si>
    <t>https://gytres-my.sharepoint.com/:b:/p/finanzas/EY_CGk1pEMxOsDffABrpb4YBwMHQi_D_2m-GK8nGuBedrw?e=Pkneod</t>
  </si>
  <si>
    <t>Proveedores 20250828 (1)</t>
  </si>
  <si>
    <t>https://gytres-my.sharepoint.com/:b:/p/finanzas/EXRm4y2eoEZFnz6D6e8t8jYBnPM4HzgMUz-d2PGhLEd4gQ?e=mQUOuI</t>
  </si>
  <si>
    <t>NO SE TIENE FISICO, NO SACO COPIA CTB</t>
  </si>
  <si>
    <t>Miguel Angel Huanuco Cruchaga</t>
  </si>
  <si>
    <t xml:space="preserve">	INVERSIONES NEGMARGS S.R.L.</t>
  </si>
  <si>
    <t>Ff0100000178000 corp.e</t>
  </si>
  <si>
    <t>0100000204 universidad</t>
  </si>
  <si>
    <t>De livigui peru sac</t>
  </si>
  <si>
    <t>Cambio de Dolares a Soles TC 3.524</t>
  </si>
  <si>
    <t>TRAN.CTAS.TERC.BM/Préstamo para pago planilla agosto</t>
  </si>
  <si>
    <t>Pago impues 7677516473</t>
  </si>
  <si>
    <t>Pago impues 7677518790</t>
  </si>
  <si>
    <t>Detr.masiva 7677796157</t>
  </si>
  <si>
    <t>RQ.SSO.279 pines para brigadas de emergencia - CCACYAVILCA VELASCO SEBASTIAN</t>
  </si>
  <si>
    <t>https://gytres-my.sharepoint.com/:b:/p/finanzas/EYio3Aa07EVDgXaabC_NRyEBArbOKPmX9XYFhaVLavniZg?e=baJhMR</t>
  </si>
  <si>
    <t>Planilla de Rem. Ago25 (1)</t>
  </si>
  <si>
    <t>De eleo arquitectura y</t>
  </si>
  <si>
    <t>Reposición - Caja Conductores - 2025 / RCO-19</t>
  </si>
  <si>
    <t>E001-3443 , RQ.OPE.1385 referente al mantenimiento preventivo del montacargas de Villa Esperanza</t>
  </si>
  <si>
    <t>https://gytres-my.sharepoint.com/:b:/p/finanzas/ERCtbBGxp2BPk8xVzXePbmYBytg4JWS5ujEmjjrB4suAQQ?e=gc7gKA</t>
  </si>
  <si>
    <t>E001-1463,E001-1462,RQ.OPE.1382 referente a implementación de GPS a la unidad FOTÓN VEI-822</t>
  </si>
  <si>
    <t>https://gytres-my.sharepoint.com/:b:/p/finanzas/EchdiQzvNSVEkSQ1VInA0hUBnOD_iR3RsIUZoiWwuZVYgg?e=LmexGu</t>
  </si>
  <si>
    <t>combustible</t>
  </si>
  <si>
    <t>https://gytres-my.sharepoint.com/:b:/p/finanzas/EbYchOJoxidIiT81_fT_Z6ABSNNJLGEQiRyukytwlsRu_w?e=juPXrH</t>
  </si>
  <si>
    <t>Planilla de Rem. Ago25 (2)</t>
  </si>
  <si>
    <t>Devolucion - Prestamo Elias Paco 29.08.2025 
OP 4578477</t>
  </si>
  <si>
    <t>Reposicion - Caja Conductores - 2025 / RCO-20</t>
  </si>
  <si>
    <t>Proveedores 20250901 (1)</t>
  </si>
  <si>
    <t>https://gytres-my.sharepoint.com/:b:/p/finanzas/EZS6OMlWIjZMiOLqr-7LeJ8BJ3Z2b6jNuc_GkXt0Thgy2w?e=4eK9FB</t>
  </si>
  <si>
    <t xml:space="preserve">Safety pay cód. 972962 / compra de pasajes para viaje a Lima - Gleen Ponce y Diego Mamani </t>
  </si>
  <si>
    <t>https://gytres-my.sharepoint.com/:b:/p/finanzas/EQZEc9IILZ1NrzuSX5iYA44Bq0OiPP1QAChaVVxdQzPhaA?e=qKUUBG</t>
  </si>
  <si>
    <t>Saldo 50% - OC 004-171 RQ.SSO.266 RQ.SSO.263 Epp</t>
  </si>
  <si>
    <t>Com.cce pro 000204</t>
  </si>
  <si>
    <t>Detr.masiva 7678354303</t>
  </si>
  <si>
    <t>F001-523, RQ.OPE.1292 referente a mantenimiento vehicular (correctivo) de la unidad BKK-849</t>
  </si>
  <si>
    <t>https://gytres-my.sharepoint.com/:b:/p/finanzas/EaBko5mqdzRArOPRPs3NFLgB4hrWuwqdx7px75o92njdxA?e=Gr4rPd</t>
  </si>
  <si>
    <t xml:space="preserve">Internet - Julio/Lima </t>
  </si>
  <si>
    <t>Cambio de soles a dólares TC 3.548</t>
  </si>
  <si>
    <t>Entr.efec. 0509955</t>
  </si>
  <si>
    <t>DEPOSITO AG 998870</t>
  </si>
  <si>
    <t>0000000ff01200 flsmid</t>
  </si>
  <si>
    <t>DE TRANSPORTES PEREDA</t>
  </si>
  <si>
    <t>Proveedores 20250903 (1)</t>
  </si>
  <si>
    <t>https://gytres-my.sharepoint.com/:b:/p/finanzas/EV4FAnA394hNr3BHMPZ-D4ABPCI-U4MdnFunzGDqG7hP0g?e=Yzq7rO</t>
  </si>
  <si>
    <t>FFFI-150, F001-493 - RQ.STI.106 Compra de disco sólido y cables RJ45 (20601185203) (20606656620)</t>
  </si>
  <si>
    <t>https://gytres-my.sharepoint.com/:b:/p/finanzas/Ea2GkYp03TNEunuXSMY-KjIBk3l3nXaWbR3wMClG2AgPYw?e=eOYmzx</t>
  </si>
  <si>
    <t>FFFI</t>
  </si>
  <si>
    <t>https://gytres-my.sharepoint.com/:b:/p/finanzas/ERPLjaG5s55CgV5Fy6ZMzggB4LL8zrv38Tm1kAPuFPQN4A?e=FNneMA</t>
  </si>
  <si>
    <t>https://gytres-my.sharepoint.com/:b:/p/finanzas/EfkXKzjDH-VIjL5n5nlXIT4Bk0W-dhdFIQ19-PmSJHcQIg?e=A4KtU9</t>
  </si>
  <si>
    <t>https://gytres-my.sharepoint.com/:b:/p/finanzas/EcSpZm3GTmlLuj33S7FZ4vkBqltAHPMJ2HNtl-IPiCkPVw?e=87ZP6i</t>
  </si>
  <si>
    <t>https://gytres-my.sharepoint.com/:b:/p/finanzas/EShqPdS1zDBPrKGMISZLesoBoSqHRNEFO6At-5kJo2dydg?e=KnAsje</t>
  </si>
  <si>
    <t>https://gytres-my.sharepoint.com/:b:/p/finanzas/EdiCWVECd2RJq1UHTY-VbFMBeUZSNlREdt4QnjSNSRne-Q?e=Fg82JW</t>
  </si>
  <si>
    <t>https://gytres-my.sharepoint.com/:b:/p/finanzas/EdBiRQSPxg1OjWXsFBnYnTwBbyAcCCMRMZ0nV_gRusXFiw?e=hdbu1z</t>
  </si>
  <si>
    <t>RQ.SSO.285 Inducción de seguridad Alicorp - David Gonzales</t>
  </si>
  <si>
    <t>https://gytres-my.sharepoint.com/:b:/p/finanzas/ES0jozc2umJEo4tqm2mXo_QB8jPQ_q8GqnEy78ZsKINPLg?e=IdPdVe</t>
  </si>
  <si>
    <t>RQ.SSO.286 - ER-001-0622025 pago de inducciones - Pesquera Diamante</t>
  </si>
  <si>
    <t>https://gytres-my.sharepoint.com/:b:/p/finanzas/EbcFyjqbB7NItTREx5ccHRABTrD01HbBnAnzk83GkYBQGw?e=GcOKHG</t>
  </si>
  <si>
    <t>RQ.SSO.284 Induccion externa MolyCop - Brandon Saravia y David Gonzales</t>
  </si>
  <si>
    <t>https://gytres-my.sharepoint.com/:b:/p/finanzas/EVAg_bf31rBCmuGwrr4zn-kBGjT1N-kJ1dYacPnrTv1xJA?e=BVOHAF</t>
  </si>
  <si>
    <t>E001-4539, RQ.STI.108 Compra de accesorios de computadora y laptop</t>
  </si>
  <si>
    <t>https://gytres-my.sharepoint.com/:b:/p/finanzas/EdmOqKmv1MRHpnhE8ZoVB6cBpTRHpFZ9El4pkU8pqnDY9g?e=flMfsb</t>
  </si>
  <si>
    <t>Detr.masiva 7678962077</t>
  </si>
  <si>
    <t>000000000000210 granja</t>
  </si>
  <si>
    <t>ER-001-0632025 Entregas a rendir RQ.SIG.35</t>
  </si>
  <si>
    <t>https://gytres-my.sharepoint.com/:b:/p/finanzas/EQBZjqr72v5JruDxHRhyakYBz_xmEsDoStzEor_eETYtQg?e=iM6tmD</t>
  </si>
  <si>
    <t>ER-001-0642025 Entregas a rendir RQ.OPE.1402</t>
  </si>
  <si>
    <t>https://gytres-my.sharepoint.com/:b:/p/finanzas/EY1Bh8mPI1tCgOeLJvn7x7kBZkUNdRACfbPXxSHvNFDHBQ?e=Zy84qe</t>
  </si>
  <si>
    <t>Alquiler Alm Huaranguillo2 Set25</t>
  </si>
  <si>
    <t>https://gytres-my.sharepoint.com/:b:/p/finanzas/EW9kdyajA6RLmz6S-yMze1oB2kIp7_bHjFGfxdGGtboI2A?e=mhHS4Z</t>
  </si>
  <si>
    <t>Caja Arequipa - Juber Monteza - Cuota 35</t>
  </si>
  <si>
    <t xml:space="preserve">Internet - Agosto/Lima </t>
  </si>
  <si>
    <t>https://gytres-my.sharepoint.com/:b:/p/finanzas/EQne2JINCwFLhzSTtLw6ZUYBku1omy_Zg6IP6KTJ1OKbRA?e=r3zRhT</t>
  </si>
  <si>
    <t>F002-138480, RQ.LOG.351 Compra de una Maquina Enmicadora (Jhonny Garcia Chacnama)</t>
  </si>
  <si>
    <t>https://gytres-my.sharepoint.com/:b:/p/finanzas/ETfS_MMlg_pBhYRqfZzHGvIBCxX2UQxdPsVCs9ayGZ5wEg?e=l0UPBk</t>
  </si>
  <si>
    <t>Proveedores 20250904 (1)</t>
  </si>
  <si>
    <t>https://gytres-my.sharepoint.com/:b:/p/finanzas/EdfHylcnRzxKjZmZJSxuP0cBnT54aC5MwL6sFc341sncfw?e=ALQGBl</t>
  </si>
  <si>
    <t>Liquidacion de Beneficios Sociales - TINUCO TORRES ROMARIO</t>
  </si>
  <si>
    <t>https://gytres-my.sharepoint.com/:b:/p/finanzas/ETpFDAlqmUlJsxN9gIu1EfEBH4_ITFgL9N_xpvposnfDpg?e=pEpGBj</t>
  </si>
  <si>
    <t>Liquidacion de Beneficios Sociales-BUSTAMANTE GIL RUBEN</t>
  </si>
  <si>
    <t>E001-1801, RQ.OPE.1384 lavado y engrase del montacargas de Villa Esperanza</t>
  </si>
  <si>
    <t>Cambio de soles a dolares TC 3.537</t>
  </si>
  <si>
    <t>ER-001-0652025 Entregas a rendir RQ.OPE.1389</t>
  </si>
  <si>
    <t>ER-001-0662025 Entregas a rendir RQ.OPE.1418</t>
  </si>
  <si>
    <t>E001-146 - RQ.OPE.1409 por transporte de residuos</t>
  </si>
  <si>
    <t>E001-502 - Servicio de Internet mes de Setiembre 2025 - FIXER TELECOMUNICACIONES S.A.C</t>
  </si>
  <si>
    <t>Proveedores 20250905 (1)</t>
  </si>
  <si>
    <t>F200</t>
  </si>
  <si>
    <t>ER-001-0672025 Entregas a rendir RQ.OPE.1419</t>
  </si>
  <si>
    <t>OC 001 – N° 00388 Residuos Aprovechables</t>
  </si>
  <si>
    <t>ER-001-0682025 Entregas a rendir RQ.OPE.1420</t>
  </si>
  <si>
    <t>Com.cce pro 000209</t>
  </si>
  <si>
    <t>Pagos afp profutur</t>
  </si>
  <si>
    <t>Pagos afp prima</t>
  </si>
  <si>
    <t>Pagos afp integra</t>
  </si>
  <si>
    <t>Pagos afp habitat</t>
  </si>
  <si>
    <t>De roha construccion y</t>
  </si>
  <si>
    <t>0000000ff02-128 empres</t>
  </si>
  <si>
    <t>ER-001-0692025 Entregas a rendir RQ.SSO.287</t>
  </si>
  <si>
    <t>RQ.SSO.287 Ingeniero habilitado, trámite saneamiento ambiental / CHAMBI VILCAPE LUISA ZORAIDA</t>
  </si>
  <si>
    <t>Disposicion residuos no aprovechables 08.09.2025 al 10.09.2025</t>
  </si>
  <si>
    <t>Reposicion - Caja Conductores - 2025 / RCO-21</t>
  </si>
  <si>
    <t>De alquimodul sociedad</t>
  </si>
  <si>
    <t>ER-001-0702025 Entregas a rendir RQ.GH.238</t>
  </si>
  <si>
    <t>Proveedores 20250909 (1)</t>
  </si>
  <si>
    <t>Detr.masiva 7680310689</t>
  </si>
  <si>
    <t>Unidest</t>
  </si>
  <si>
    <t xml:space="preserve">Tran.ctas.terc.hk </t>
  </si>
  <si>
    <t>E001-2424 - RQ.SSO.290 1 extintor y botiquín para la nueva unidad VEI822</t>
  </si>
  <si>
    <t>Proveedores 20250910 (1)</t>
  </si>
  <si>
    <t>https://gytres-my.sharepoint.com/:b:/p/finanzas/EfhmbnWxFndFl92cb2dgnCQBh8mPPNMlCWes6MCexGH-8g?e=t2hRar</t>
  </si>
  <si>
    <t>F131</t>
  </si>
  <si>
    <t>F131-37049 Combustible</t>
  </si>
  <si>
    <t>F316</t>
  </si>
  <si>
    <t>F136-11551 Combustible</t>
  </si>
  <si>
    <t>Com.cce pro 000212</t>
  </si>
  <si>
    <t>Detr.masiva 7680921482</t>
  </si>
  <si>
    <t>Entr.efec. 0454445</t>
  </si>
  <si>
    <t xml:space="preserve">Jhonny Garcia </t>
  </si>
  <si>
    <t>Devolución ER-001-0822025 -  RQ.LOG.332</t>
  </si>
  <si>
    <t>000000000000219 granja</t>
  </si>
  <si>
    <t>E001-1324, E001-1487 - RQ.STI.093 Servicio técnico de mantenimiento de hardware y software de 2 laptops y 1 PC</t>
  </si>
  <si>
    <t>https://gytres-my.sharepoint.com/:b:/p/finanzas/EaFA6cVL1wVLgNVlz6LycPwBrzjgcx4znk0Aa_LZGFobfg?e=RnsV1v</t>
  </si>
  <si>
    <t>RQ.STI.112 carcasas y protectores de pantalla para 14 celulares Honor X7C nuevos. / FEIJOO CHOQUE JESSICA NATALY</t>
  </si>
  <si>
    <t>RQ.SSO.291 Induccion de Alicorp</t>
  </si>
  <si>
    <t>ER-001-0722025 Entregas a rendir RQ.SSO.292</t>
  </si>
  <si>
    <t>Cambio de Soles a Dolares TC 3.498</t>
  </si>
  <si>
    <t>Proveedores 20250911 (1)</t>
  </si>
  <si>
    <t>https://gytres-my.sharepoint.com/:b:/p/finanzas/Ebg_vaxCH99BrGimee_7KTkBTjNlakDCZ58johWmmaCK3g?e=lvfgjE</t>
  </si>
  <si>
    <t>https://gytres-my.sharepoint.com/:b:/p/finanzas/EWLbIdiSN_dIvBlKiv2MZE4BI7e1IJ4vQJhrNy8_QydK9w?e=s8UHTC</t>
  </si>
  <si>
    <t>https://gytres-my.sharepoint.com/:b:/p/finanzas/Ef8yiDmRaZBGpGGkVchMjosBhSDR6LHs8AW1t1wekw1Smg?e=nnw0Yv</t>
  </si>
  <si>
    <t>De ingenieria servicio</t>
  </si>
  <si>
    <t>De adra perugps</t>
  </si>
  <si>
    <t>E001-604, RQ.COM.378 servicio tercerizado transpor</t>
  </si>
  <si>
    <t>https://gytres-my.sharepoint.com/:b:/p/finanzas/Ea-vUWYr1M1NuQ1CJU0CoFQBzV6NCOoDTwzVxGYN5gYD7Q?e=7WYrgM</t>
  </si>
  <si>
    <t>Cambio de Soles a Dolares TC 3.503</t>
  </si>
  <si>
    <t>FE29</t>
  </si>
  <si>
    <t>Servicio de monitoreo 01.09.2025 al 30.09.2025</t>
  </si>
  <si>
    <t>https://gytres-my.sharepoint.com/:b:/p/finanzas/EU5p68QmandIsBCgmc2HjxQBLTIbnvf0i4tBThB4cRjZcw?e=vbOjgQ</t>
  </si>
  <si>
    <t>Proveedores 20250912 (1)</t>
  </si>
  <si>
    <t>https://gytres-my.sharepoint.com/:b:/p/finanzas/EZj2ZBk5EMZKnBz4jzGhSgEB9UgrquAqNhGvo0to5UkQhg?e=DjFl5E</t>
  </si>
  <si>
    <t>RQ.COM.395 - RQ.GH.244 - EMO para personal conductor - COSAPI - MolyCop Luis Aldair Rivera</t>
  </si>
  <si>
    <t>ER-001-0732025 Entregas a rendir RQ.GH.241</t>
  </si>
  <si>
    <t>ER-001-0742025 Entregas a rendir RQ.OPE.1425</t>
  </si>
  <si>
    <t>Devolucion de transferencia indebida - OP 6068618 10.09</t>
  </si>
  <si>
    <t>Proveedores 20250915 (1)</t>
  </si>
  <si>
    <t>https://gytres-my.sharepoint.com/:b:/p/finanzas/ETS5nKqouhlHgYoUmiQxZ7gBWVGjJmKJ63onFwwgxgenCA?e=V9sc42</t>
  </si>
  <si>
    <t>Detr.masiva 7682734700</t>
  </si>
  <si>
    <t>0000000ff02-131 empres</t>
  </si>
  <si>
    <t>Reposicion - Caja Conductores - 2025 / RCO-22</t>
  </si>
  <si>
    <t>https://gytres-my.sharepoint.com/:b:/p/finanzas/ERREJNY4p2lLqs4l5tnWu1oBgaPA3tsNkqR0D713SQf3xw?e=hC3md1</t>
  </si>
  <si>
    <t>Disposicion residuos no aprovechables 16.09.2025 al 18.09.2025</t>
  </si>
  <si>
    <t>https://gytres-my.sharepoint.com/:b:/p/finanzas/ET1X84bMB6xOiTbBndID6rEBbavClA255Lp3nKp0B50srg?e=BtdVbY</t>
  </si>
  <si>
    <t>Proveedores 20250916 (1)</t>
  </si>
  <si>
    <t>https://gytres-my.sharepoint.com/:b:/p/finanzas/ESTI6jpyrgZPiV4V5rUB9RoB25lbTBRMHKUvHH89iNBmvA?e=MLL90A</t>
  </si>
  <si>
    <t>E001-835, RQ.OPE.1191 Transporte tercerizado</t>
  </si>
  <si>
    <t>https://gytres-my.sharepoint.com/:b:/p/finanzas/EQb4NGYQSe1InR2iKqhS0ZYBWh3C_8JN7rGm0hWZ6HDVhw?e=XahX6J</t>
  </si>
  <si>
    <t>Com.cce pro 000217</t>
  </si>
  <si>
    <t>Entr.efec. 0067169</t>
  </si>
  <si>
    <t xml:space="preserve">Prestamo </t>
  </si>
  <si>
    <t>RQ.SIG.035 - Reposicion de entregas a rendir - ER-001-0632025</t>
  </si>
  <si>
    <t>https://gytres-my.sharepoint.com/:b:/p/finanzas/EVecER5LRshBnsF_4JbpF1sBone9qoAvuHUasIS3WcXTFw?e=ZmsGYI</t>
  </si>
  <si>
    <t>Proveedores 20250917 (1)</t>
  </si>
  <si>
    <t>https://gytres-my.sharepoint.com/:b:/p/finanzas/EUcfzmsWq7RIkD38iJPqlcsBCnPt5t3esQ_7hEQSrvHqjw?e=fr596q</t>
  </si>
  <si>
    <t>E001-793 RQ.LOG.354 Senaleticas</t>
  </si>
  <si>
    <t>https://gytres-my.sharepoint.com/:b:/p/finanzas/EXYY2tc7_vVKj9M7FYzUsnIBPfCQ4UlsZj6osvlta9PoXg?e=rIqTlq</t>
  </si>
  <si>
    <t>Bco.citi0034851592</t>
  </si>
  <si>
    <t>0100000239 universidad</t>
  </si>
  <si>
    <t>0000000ff02-136 empres</t>
  </si>
  <si>
    <t>Ernesto Charca Manrique</t>
  </si>
  <si>
    <t>CONSORCIO EMPRESARIAL J.C. EIRL</t>
  </si>
  <si>
    <t>0010ff010000233 pesque</t>
  </si>
  <si>
    <t>ER-001-0752025 - Entregas a rendir - RQ.OPE.1447</t>
  </si>
  <si>
    <t>ER-001-0762025 Entregas a rendir RQ.GH.245</t>
  </si>
  <si>
    <t>Cambio de Soles a Dolares TC 3.494</t>
  </si>
  <si>
    <t>Adelanto de sueldo Setiembre 2025 - PONCE FEBRES GLEEN STEV</t>
  </si>
  <si>
    <t>Adelanto de sueldo - Setiembre 2025 - LEON WILLIAN JOHAN</t>
  </si>
  <si>
    <t>Adelanto de sueldo - Setiembre 2025 - LAZARTE AGUIRRE CRISSLEY</t>
  </si>
  <si>
    <t>Compartamos Financiera - Cuota 35</t>
  </si>
  <si>
    <t>0000000ff010217 asocia</t>
  </si>
  <si>
    <t>0000000ff010216 asocia</t>
  </si>
  <si>
    <t>00000000ff01208 stierl</t>
  </si>
  <si>
    <t>RQ.OPE.1442 Cotizacion de LLANTAS</t>
  </si>
  <si>
    <t>https://gytres-my.sharepoint.com/:b:/p/finanzas/EcgiopT1GvJEga3bpimAQOgBr2Xk--Q1rCpwnFLGQUq27Q?e=6jhfKO</t>
  </si>
  <si>
    <t>RQ.OPE.1442 Cotizacion de Aros</t>
  </si>
  <si>
    <t>https://gytres-my.sharepoint.com/:b:/p/finanzas/EQWTH-TbVmxNuWxSJZLJQ5wBY3Nu6DrFIz0HTvIQWmxO9A?e=Ba1RhX</t>
  </si>
  <si>
    <t>ER-001-0772025 - Entregas a rendir - RQ.OPE.1447</t>
  </si>
  <si>
    <t>https://gytres-my.sharepoint.com/:b:/p/finanzas/EXFpJnPCwVhCm6fiBIA-e-IBav25IZksOWVF8mWJOcfifQ?e=QAqSRM</t>
  </si>
  <si>
    <t>LA POSITIVA SOLES/ SEG.VIDA-SCTR PENSION-VIDA LEY
RQ.GH.239</t>
  </si>
  <si>
    <t>https://gytres-my.sharepoint.com/:b:/p/finanzas/EQLMF5GU-CtBnWcSxTUpAVIBlQ19d5VNUb_y0t2pbwcQOQ?e=DiCehW</t>
  </si>
  <si>
    <t>LA POSITIVA SOLES/ SCTR SALUD-EPS
RQ.GH.235</t>
  </si>
  <si>
    <t>https://gytres-my.sharepoint.com/:b:/p/finanzas/EQ7jr0rBQ-BCrj4C_PK9ZqQBPxcWhjfliSvDuvDUeCdoNA?e=eWvuGc</t>
  </si>
  <si>
    <t>Devolucion de prestamo  - OP 3612015 / 17.09</t>
  </si>
  <si>
    <t>https://gytres-my.sharepoint.com/:b:/p/finanzas/ESnAmZ-4JahAkI9dfcU-YMAB44xawOAfgwzAWmn__xlsxw?e=WEZ31K</t>
  </si>
  <si>
    <t>RQ.LOG.356 - OS 007-0038 Servicio de pintado, instalación de paredes en Drywall para el Área Comerci</t>
  </si>
  <si>
    <t>https://gytres-my.sharepoint.com/:b:/p/finanzas/EYppQKmer49DmtQPreepULkB-vyCrUG6ktn4HUWTS9HCkg?e=abR3B8</t>
  </si>
  <si>
    <t>LA POSITIVA SOLES/ SEG.VIDA-SCTR PENSION-VIDA LEY
RQ.GH.235</t>
  </si>
  <si>
    <t>LA POSITIVA SOLES/ SCTR SALUD-EPS
RQ.GH.229</t>
  </si>
  <si>
    <t>Proveedores 20250919 (1)</t>
  </si>
  <si>
    <t>https://gytres-my.sharepoint.com/:b:/p/finanzas/Ed9Ehcu_6OBMtJ1B9Qm9r_QBy_RqvW6vANZTd1JWg_HuJg?e=iF4Mqr</t>
  </si>
  <si>
    <t>Cambio de Soles a Dolares TC 3.507</t>
  </si>
  <si>
    <t>Detr.masiva 7686156780</t>
  </si>
  <si>
    <t>Entr.efec. 0446471</t>
  </si>
  <si>
    <t>LA POSITIVA SOLES/ SCTR SALUD-EPS
RQ.GH.239</t>
  </si>
  <si>
    <t>https://gytres-my.sharepoint.com/:b:/p/finanzas/EQDCYHVSYDpFqsondoInh9gBzztZxl1fCLdEc-dN6bJ5Zw?e=LyRbVH</t>
  </si>
  <si>
    <t>https://gytres-my.sharepoint.com/:b:/p/finanzas/EaYrousC5clIhCQr0VqC67oBsiz4bI96fOTC12-IoLt0xQ?e=ubUO2I</t>
  </si>
  <si>
    <t>Pago de alquiler - Oficinas y almacen AQP</t>
  </si>
  <si>
    <t>Ff0100000235000 carmen</t>
  </si>
  <si>
    <t>Adelanto de sueldo Setiembre 2025</t>
  </si>
  <si>
    <t>Proveedores 20250923 (1)</t>
  </si>
  <si>
    <t>https://gytres-my.sharepoint.com/:b:/p/finanzas/EV_-8E9l5r1Kgb94EsobpoEB_5qgAPtM5_7xbE2cA_yngg?e=yZoq3A</t>
  </si>
  <si>
    <t>E001-1588 , RQ.SSO.269 capacitación de Manejo Defensivo para conductores</t>
  </si>
  <si>
    <t>E001-27 , RQ.GER.099 Elaboración de Plan Estratégico - Parte 3</t>
  </si>
  <si>
    <t>https://gytres-my.sharepoint.com/:b:/p/finanzas/EbOFq85zk5VJhsd-6OXyxaUBPv9HYjlnkpxRoRZ25fMT6w?e=YLAhbx</t>
  </si>
  <si>
    <t>F002-21210 - RQ.OPE.1386 mantenimiento preventivo(cambio de aceite y filtros) de la unidad BKK-849</t>
  </si>
  <si>
    <t>https://gytres-my.sharepoint.com/:b:/p/finanzas/Ebs8G36TbMZIjAvE_ysbF30Bnf9ZanEL9Qbup8jYe1iM8Q?e=Y72n8d</t>
  </si>
  <si>
    <t>Disposicion residuos no aprovechables 24.09.2025 al 25.09.2025</t>
  </si>
  <si>
    <t>https://gytres-my.sharepoint.com/:b:/p/finanzas/EcAPAM5te0JKqOApfiy_PXQBjdEd5oTMHCf0D4hn5JS4jA?e=ywRw3w</t>
  </si>
  <si>
    <t>F001-17213, RQ.COM.383 Servicio de destrucción de residuos comerciales a nuestro cliente Danper</t>
  </si>
  <si>
    <t>https://gytres-my.sharepoint.com/:b:/p/finanzas/EQ0twbHUfU1JlRpacyHpPAgBPo5KsVAoCTuTtjZn7gkliw?e=GoSP5h</t>
  </si>
  <si>
    <t>Adelanto de sueldo Setiembre 2025 - RIVERA PALOMIN</t>
  </si>
  <si>
    <t>001ff0100000221 moly-c</t>
  </si>
  <si>
    <t>Adelanto de suedo - Setiembre 2025</t>
  </si>
  <si>
    <t>Servicio de Internet mes de Setiembre 2025 - FIXER TELECOMUNICACIONES S.A.C.</t>
  </si>
  <si>
    <t>https://gytres-my.sharepoint.com/:b:/p/finanzas/Ed0D4ckD4PFMiZTKsHge_4YBodEydPEBT0pfsoZHhdfEaQ?e=4HY2xE</t>
  </si>
  <si>
    <t>E001-457, RQ.STI.114 - Mantenimiento correctivo de 02 Laptops Lenovo i5 e i3./ Transf. Elias Paco</t>
  </si>
  <si>
    <t>https://gytres-my.sharepoint.com/:b:/p/finanzas/EeyVTLphA7dOq8PvmC6LNfcBx8OnQWtH5Z1esUoaL2Xmdw?e=yWLQmd</t>
  </si>
  <si>
    <t>Correo Corporativo - Agosto / F01500318743</t>
  </si>
  <si>
    <t>https://gytres-my.sharepoint.com/:b:/p/finanzas/EWQErbUrVS1HqZd4jvIhUP4BkAD_j3mQC4Dz2hRtsI_zXw?e=zAUyVd</t>
  </si>
  <si>
    <t xml:space="preserve">Lineas corporativas - Agosto/ Alm. Sachaca </t>
  </si>
  <si>
    <t>https://gytres-my.sharepoint.com/:b:/p/finanzas/Eb3JQnBmiIxNo-efpYNQNvkBBbTzccx_fyA3oYZsm7BcPA?e=P36Mb8</t>
  </si>
  <si>
    <t>Lineas corporativas - Agosto/ Alm. Sachaca /Cuota 10 de 18</t>
  </si>
  <si>
    <t>Lineas corporativas - Agosto/ Alm. Sachaca /Cuota 2 de 12</t>
  </si>
  <si>
    <t>Luz - Setiembre /Lima</t>
  </si>
  <si>
    <t>https://gytres-my.sharepoint.com/:b:/p/finanzas/ET8LeQsmoGVLr4U10SdsR1cB6KCR-d6FufnH7zPNN6OksQ?e=ZN09Wn</t>
  </si>
  <si>
    <t>Agua - Setiembre 2025/ Lima</t>
  </si>
  <si>
    <t>https://gytres-my.sharepoint.com/:b:/p/finanzas/EVv8AiZvw9BJt4L9dFZKoDoBubiNALpg3dR9nKtJkEjB8w?e=uFa0oc</t>
  </si>
  <si>
    <t>Adelanto RQ.LOG.362 Muebles de melanima</t>
  </si>
  <si>
    <t>https://gytres-my.sharepoint.com/:b:/p/finanzas/EY7zdE_D2tlMhQ479Z1tghwBO-7ypy9IE_3S0svBam_40g?e=Hf7Snc</t>
  </si>
  <si>
    <t>Adelanto RQLOG362 Muebles de melanima</t>
  </si>
  <si>
    <t>Agua - Agosto 2025</t>
  </si>
  <si>
    <t>https://gytres-my.sharepoint.com/:b:/p/finanzas/EVmpmEdPT9xBqOSH9nFr7cUBqdLZwgkxWD1jZ2fQV2a08w?e=5oMx1X</t>
  </si>
  <si>
    <t>F001-2244, RQ.OPE.1454 elaboración de fundas de asientos para la unidad VEI-822</t>
  </si>
  <si>
    <t>https://gytres-my.sharepoint.com/:b:/p/finanzas/ETOT29Pi_DdAgTcidghPQkkBlbznBd00uG3stulmjysXVw?e=Wf7ShU</t>
  </si>
  <si>
    <t>Disposicion residuos no aprovechables 26.09.2025 al 29.09.2025</t>
  </si>
  <si>
    <t>https://gytres-my.sharepoint.com/:b:/p/finanzas/EZ4fHoR-PDxKgCldKZ_O3PoBB-mXdG2awVkNtKK-Qy2NiQ?e=erTOdT</t>
  </si>
  <si>
    <t>Detr.masiva 7688077029</t>
  </si>
  <si>
    <t>0ff010000000249 inca t</t>
  </si>
  <si>
    <t>Transf.caj.arequipa</t>
  </si>
  <si>
    <t>https://gytres-my.sharepoint.com/:b:/p/finanzas/EWqpCCgxb0ZAvPl3B8Vm8lsB14rOMD_lSkxnmPutM_TkSQ?e=GjAtJK</t>
  </si>
  <si>
    <t>Valorización de RCD FS 002-1146</t>
  </si>
  <si>
    <t>https://gytres-my.sharepoint.com/:b:/p/finanzas/EbCfkz0X_9pMvLN6-p8qZX0BML0P8cQwDqh8qBny-f6RsA?e=rI1wLM</t>
  </si>
  <si>
    <t>E001-1496 , E001-1335 Memoria microsd y REVISIÓN, LIMPIEZA E INSTALACIÓN DE MEMORIAS PARA CÁMARAS AREQUIPA Y LA
JOYA</t>
  </si>
  <si>
    <t>https://gytres-my.sharepoint.com/:b:/p/finanzas/Edmo_lu0Y7FJqkXnicsBD2sBW3tTy6tUitZSn-27AGch6Q?e=jiaWLe</t>
  </si>
  <si>
    <t>Proveedores 20250926 (1)</t>
  </si>
  <si>
    <t>https://gytres-my.sharepoint.com/:b:/p/finanzas/ERJFZ_2_tB5MshlIZaTwHOwBBGwcNzl9Bgh0YMJsNb08FA?e=Kx7NMs</t>
  </si>
  <si>
    <t>Proveedores 20250926 (1) RQ.STI.117</t>
  </si>
  <si>
    <t>Com.cce pro 000228</t>
  </si>
  <si>
    <t>F002-21258, RQ.OPE.1387 mantenimiento preventivo(cambio de aceite y filtros) de la unidad VDJ-872</t>
  </si>
  <si>
    <t xml:space="preserve">BV 001-943, RQ.STI.118  Carcasas, fibras de vidrio y protectores de cámara / Trans. Elias Paco </t>
  </si>
  <si>
    <t>https://gytres-my.sharepoint.com/:b:/p/finanzas/Ed1Cj3Vg0OdCt2-MBeYgtFIBSiWlLKJ0MQ19qwZ4ZV7WrQ?e=aHpqVj</t>
  </si>
  <si>
    <t>RQ.OPE.1463 - ER-001-0792025 - Entregas a rendir</t>
  </si>
  <si>
    <t>Proveedores 20250929 (1)</t>
  </si>
  <si>
    <t>https://gytres-my.sharepoint.com/:b:/p/finanzas/EcCR5VJLPq9Iuw-g3eOPBG0BBbnWCSM3rhAm-sIGO40ipQ?e=WmwbFj</t>
  </si>
  <si>
    <t>FF02- 3001 , Proforma 000915 , RQ.OPE.1455 mantenimiento preventivo de la unidad VBB-840</t>
  </si>
  <si>
    <t>https://gytres-my.sharepoint.com/:b:/p/finanzas/EaQt-ri5Hg9PvN5dHW_1VDABnT7i2Rwp2SlvRKgqfT_DNg?e=hLw3qu</t>
  </si>
  <si>
    <t>https://gytres-my.sharepoint.com/:b:/p/finanzas/EWpMMUIX3G1Kts6kSfFHHgMBQGaKd7IM5XczKybLerha9g?e=p4hj5n</t>
  </si>
  <si>
    <t>Cambio de Dolares a Soles TC 3.465</t>
  </si>
  <si>
    <t>Gytres</t>
  </si>
  <si>
    <t>ENTR.EFEC. 0886903</t>
  </si>
  <si>
    <t>DEVOL. PAGO 000231 / william Leon Planilla Set25</t>
  </si>
  <si>
    <t>Planilla de Rem. Set25 (1)</t>
  </si>
  <si>
    <t>Planilla de Rem. Set25 (2)</t>
  </si>
  <si>
    <t>Transf.bco.scotiabank
FS: 002- N° 1145 ,  002- N° 1146</t>
  </si>
  <si>
    <t>0000000ff02-142 empres</t>
  </si>
  <si>
    <t xml:space="preserve">RQ.LOG.369 Compra de utiles / Corporacio Elida </t>
  </si>
  <si>
    <t>https://gytres-my.sharepoint.com/:b:/p/finanzas/ERO6DVqIPtlNsRk6DBA6P1UBeju-nRh2khvmyDaLyezyDg?e=zamdha</t>
  </si>
  <si>
    <t>E001-228 , RQ.OPE.1470 reforzado y soldadura de las uñas del montacargas de Villa Esperanza</t>
  </si>
  <si>
    <t>https://gytres-my.sharepoint.com/:b:/p/finanzas/ETUumxbg6OBNndJkQ4XR28UBJ7-D2YgTRINsFkGv81Hwzg?e=VHdxCN</t>
  </si>
  <si>
    <t>E001-7, RQ.SSO.296 confección de chalecos para personal operativo que ingresa a mina. COSAPI Y STRACON</t>
  </si>
  <si>
    <t>https://gytres-my.sharepoint.com/:b:/p/finanzas/EW676l02bUFMkQckEff8cToBq3AYRS6gMPVfaAQM2KeTDA?e=igZyR9</t>
  </si>
  <si>
    <t>Planilla de Rem. Set25 (3)</t>
  </si>
  <si>
    <t>Jorge Luis Cacñahuaray Tretell</t>
  </si>
  <si>
    <t xml:space="preserve">	Angel Hancco Pineda</t>
  </si>
  <si>
    <t>000000000000257 GRANJA</t>
  </si>
  <si>
    <t>DE PULSO CORPORACION M / RQ.COM.363</t>
  </si>
  <si>
    <t>Valorizacion de NFU - FS 001-5072</t>
  </si>
  <si>
    <t>https://gytres-my.sharepoint.com/:b:/p/finanzas/EShSV8L_WSRLpuDFLgvuyQMBCR15HidAlYNvn6joZzTRRA?e=WTf9WZ</t>
  </si>
  <si>
    <t>Adelanto de remuneracion - Setiembre 2025</t>
  </si>
  <si>
    <t>F136-11785 Montacargas</t>
  </si>
  <si>
    <t>https://gytres-my.sharepoint.com/:b:/p/finanzas/EdLuUQI_vT9Iv4WWgVmrr7sB_XlhU-mQx2x3j49kCdnxCg?e=Gq4kJU</t>
  </si>
  <si>
    <t>https://gytres-my.sharepoint.com/:b:/p/finanzas/ERLyyBAPEaFHhsZ6WAmWi1oBRxG2pXI8DvsGaXTg7a9W8Q?e=yZXNL4</t>
  </si>
  <si>
    <t>RQ.COM.390 Bolsas de lona</t>
  </si>
  <si>
    <t>https://gytres-my.sharepoint.com/:b:/p/finanzas/EXz21mXgEIhKtTXCoW8mWhgBt-p0QHWjA4PqsJpq-9MEUQ?e=AF0aa4</t>
  </si>
  <si>
    <t>E001-1610 ,RQSSO.295 capacitación del CSST</t>
  </si>
  <si>
    <t>https://gytres-my.sharepoint.com/:b:/p/finanzas/ETNemsNSECdBn9l2eD4UYZABXGwZ-cghMuoJQUe0nNVTUA?e=1DiCAJ</t>
  </si>
  <si>
    <t>E001-3153 , RQ.SSO.294 servicio de recarga de 02 extintores</t>
  </si>
  <si>
    <t>https://gytres-my.sharepoint.com/:b:/p/finanzas/EfpjiwRoayBLtXqeZIhQEIoBtdQKlZoZzUMPIkcCvoflFQ?e=L33roe</t>
  </si>
  <si>
    <t>Teléfono fijo trio - Setiembre /Arequipa 2</t>
  </si>
  <si>
    <t>https://gytres-my.sharepoint.com/:b:/p/finanzas/EXNny1CVICdCrwXJGUVMrgsBXjNshOsUAiS7DIRKQ8NYIA?e=s9S3Pm</t>
  </si>
  <si>
    <t>Proveedores 20251002 (1)</t>
  </si>
  <si>
    <t>https://gytres-my.sharepoint.com/:b:/p/finanzas/EQXILwkJTn1Plf09sGIkYEsB5crJ2BaJoLC2idOPp-FNCQ?e=LkcxUv</t>
  </si>
  <si>
    <t>Com.cce pro 000234</t>
  </si>
  <si>
    <t>Caja Arequipa - Juber Monteza - Cuota 36</t>
  </si>
  <si>
    <t>https://gytres-my.sharepoint.com/:b:/p/finanzas/EeJHtnkVNCZEnbuXYD-1uh8Bhb9306EvyFn3kPro5ffOPw?e=LMmTHp</t>
  </si>
  <si>
    <t>Disposicion residuos no aprovechables 03.10.2025 al 06-10-25</t>
  </si>
  <si>
    <t>Reposicion - Caja Conductores - 2025 / RCO-23</t>
  </si>
  <si>
    <t>Detr.masiva 7690299788</t>
  </si>
  <si>
    <t>E001-518 ,RQ.OPE.1475 transporte de residuos.</t>
  </si>
  <si>
    <t>https://gytres-my.sharepoint.com/:b:/p/finanzas/EbPA5Hst3VJDo3fjKX_QaukBX5qiz9F5SeGuBWq5Q7PU3w?e=pDqUbK</t>
  </si>
  <si>
    <t xml:space="preserve">E001-52, RQ.GH.246 vigilancia médica del mes de agosto - setiembre </t>
  </si>
  <si>
    <t>https://gytres-my.sharepoint.com/:b:/p/finanzas/EcptHLzibT5CuDxUB5S_YuwBre4jS3y9N10T-J7y3PvKTw?e=RStOgO</t>
  </si>
  <si>
    <t>F135-9359 Combustible</t>
  </si>
  <si>
    <t>https://gytres-my.sharepoint.com/:b:/p/finanzas/EYRdKhw7cQpHhM-VfqGjieIBNSp70bQ7O81Kcb2kOJ3PGg?e=pSEN3V</t>
  </si>
  <si>
    <t>F136-11797 Combustible</t>
  </si>
  <si>
    <t>https://gytres-my.sharepoint.com/:b:/p/finanzas/Efn5lKb9jJZDsTsaMLdbnpEBjNzCtuQyhPq9IViaKIH8wA?e=Sn0uNZ</t>
  </si>
  <si>
    <t xml:space="preserve">Préstamo - Elias Paco </t>
  </si>
  <si>
    <t>Jose Carlos Huillca Cconislla</t>
  </si>
  <si>
    <t>Saldo RQ.COM.390 Bolsas de lona</t>
  </si>
  <si>
    <t>https://gytres-my.sharepoint.com/:b:/p/finanzas/Edd75x7_P5JPn8aKPakeWKAB3oG7jpJ0l7pmLMrHOrkwmw?e=7RTZOa</t>
  </si>
  <si>
    <t>RQ.OPE.1476 - ER-001-0812025 - Entregas a rendir</t>
  </si>
  <si>
    <t>RQ.COM.391 Emo para 2 personal operativo y 1 supervisor - empresa STRACON</t>
  </si>
  <si>
    <t>https://gytres-my.sharepoint.com/:b:/p/finanzas/EUjHgUP4QsdOuB3v8FW4VKwBjzZsWBiSt-aeTZ3BMUTYkg?e=bzhmYR</t>
  </si>
  <si>
    <t>Liquidacion de Beneficios Sociales - VASQUEZ ASTOCONDOR TONY BAKER</t>
  </si>
  <si>
    <t>https://gytres-my.sharepoint.com/:b:/p/finanzas/EcNiCXfvDKRGu44M65rFOsgB0GEVVOIG148GDmtAOgbMiw?e=2rfqNe</t>
  </si>
  <si>
    <t>One drive - Amplicación capacidad correo Sr. Imer / prorrateo servicio por 5 días</t>
  </si>
  <si>
    <t>https://gytres-my.sharepoint.com/:b:/p/finanzas/ETHSrqj8KUNMtR6BWWUW0T0BJpJegZiVN7Gs-6DP5Q-Rig?e=SPFjrh</t>
  </si>
  <si>
    <t>One drive - Driven - Agosto/ F01500318744</t>
  </si>
  <si>
    <t>https://gytres-my.sharepoint.com/:b:/p/finanzas/EX3q46TUZkBNtroHADfwkn8BepAYHPDU8gh9Xm0nY2QSOQ?e=M9QFlH</t>
  </si>
  <si>
    <t>E001-4630, RQ.STI.120 Laptop Core i5 y accesorios</t>
  </si>
  <si>
    <t>https://gytres-my.sharepoint.com/:b:/p/finanzas/EarMiDTYPEFGnZmYjgDjLH0B8eDd7U2jUu1zguJbm7vKVg?e=1S4vdq</t>
  </si>
  <si>
    <t>Cambio de dolares a soles TC 3.436</t>
  </si>
  <si>
    <t>De excel servicios gen</t>
  </si>
  <si>
    <t>E001-263, RQ.LOG.377 Pintado area comercial</t>
  </si>
  <si>
    <t>https://gytres-my.sharepoint.com/:b:/p/finanzas/ESp0iLr1CspFvVyWbPsTw_4BO4QqPF5tZUsNjULD9ipXlg?e=Jn9jCN</t>
  </si>
  <si>
    <t>E001-401 , RQ.LOG.375 : Elaboración e instalación de ventanas y puertas de vidrio para la remodelación del Área comercial</t>
  </si>
  <si>
    <t>https://gytres-my.sharepoint.com/:b:/p/finanzas/EVNK02drDrxCgmdAE7puc3oBUgCm8fCcGF2eJq2mSQwgnQ?e=OvlYvP</t>
  </si>
  <si>
    <t>F002-21327, RQ.OPE.1468 mantenimiento preventivo de la unidad BKL-739</t>
  </si>
  <si>
    <t>https://gytres-my.sharepoint.com/:b:/p/finanzas/EbxluW3SSWVHoXnznkoMHncBnprfB2W_SgBUwipHYLE__w?e=4sj73l</t>
  </si>
  <si>
    <t>E001-526 - Servicio de Internet mes de Octubre 2025 - FIXER TELECOMUNICACIONES S.A.C</t>
  </si>
  <si>
    <t>https://gytres-my.sharepoint.com/:b:/p/finanzas/EZ4NceuGwURBlKfLxBHVvBoB_YNhLYHwEpm7Io720T-XuQ?e=0rBscS</t>
  </si>
  <si>
    <t>Desarrollo e implementacion de plantilla de gestio / ESTOCALENKO PALOMINO JEYSEV</t>
  </si>
  <si>
    <t>https://gytres-my.sharepoint.com/:b:/p/finanzas/EdqY8mUcY5ZCruEo4YSJA58BMsOUNZ3TOe1AW1GLOGlekw?e=EFFiBg</t>
  </si>
  <si>
    <t xml:space="preserve">	Luz Ysabel Quispe Quispe</t>
  </si>
  <si>
    <t xml:space="preserve">E001-40 Capacitacion de personal en gestion integral de residuos y economía circular </t>
  </si>
  <si>
    <t>https://gytres-my.sharepoint.com/:b:/p/finanzas/EfsETwb2Ye1LomIEl6htPEkBDIMOZAyywRzdaVH_ewGOIA?e=eBjDwf</t>
  </si>
  <si>
    <t>Devolución préstamo  OP 2818983 06.10</t>
  </si>
  <si>
    <t>https://gytres-my.sharepoint.com/:b:/p/finanzas/Ea5J30xFt8tHgSp3MYai_DABAdRsZ6Et_HuMbqnOE_1G_A?e=Cwtp5B</t>
  </si>
  <si>
    <t>Disposicion residuos no aprovechables 09.10.2025 a 10.10.2025</t>
  </si>
  <si>
    <t>https://gytres-my.sharepoint.com/:b:/p/finanzas/EVx4Ocqna-VHrDrelq3Dn08BHY9oS47C_v-fxiKo_esQ9w?e=ZGpQM1</t>
  </si>
  <si>
    <t>De gestion y transport</t>
  </si>
  <si>
    <t xml:space="preserve">	Clientes Varios</t>
  </si>
  <si>
    <t>0100000275 universidad</t>
  </si>
  <si>
    <t>Alquiler Alm Huaranguillo2 Oct25</t>
  </si>
  <si>
    <t>https://gytres-my.sharepoint.com/:b:/p/finanzas/EZ0XHRyexaFDiV_vKak-19gBKX9bvpVtbX4TxRBf0pvxYg?e=daZpug</t>
  </si>
  <si>
    <t xml:space="preserve">E001-627 , RQ.OPE.1478 Servicio de transporte / Condori Quispe Nelida Graciela </t>
  </si>
  <si>
    <t>https://gytres-my.sharepoint.com/:b:/p/finanzas/ETNtixolnUlMkJDLK4oEBNcB9mnOAOsHpuRCvxf3Wd3Haw?e=js2Ioi</t>
  </si>
  <si>
    <t>RQ.COM.393 bandejaantiderrames de aceite usado (Cosapi)</t>
  </si>
  <si>
    <t>Adto. 50 - E001-692, RQ.LOG.379 Renovacion de rotulos de entrada y mapa comercial / INDUSTRIES CENTRALGRAF E.I.R.L.</t>
  </si>
  <si>
    <t>https://gytres-my.sharepoint.com/:b:/p/finanzas/EUOFi6QcU3lBk4avQIJpbWcBFliO_j11_WHDDzInBa5SyQ?e=OLVyxi</t>
  </si>
  <si>
    <t>ER-001-0822025 - Entregas a rendir</t>
  </si>
  <si>
    <t>FE30</t>
  </si>
  <si>
    <t>Servicio de monitoreo 01.10.2025 al 31.10.2025</t>
  </si>
  <si>
    <t>https://gytres-my.sharepoint.com/:b:/p/finanzas/EWc7KrLyn8lGmRxhLWQRXXMBfPLa3hbXeiUI8YmqV36kww?e=tOJGx7</t>
  </si>
  <si>
    <t xml:space="preserve">E001-165, E001-163 RQ.SSO.289 mantenimiento varios </t>
  </si>
  <si>
    <t>https://gytres-my.sharepoint.com/:b:/p/finanzas/EZ99DqcBwTlPl1hGAoRspYoBFfDSJOQnHHzna7vFWZv-pA?e=EieV6H</t>
  </si>
  <si>
    <t>E001-330, RQ.SSO.288 actualización de los IPERC de las instalaciones.</t>
  </si>
  <si>
    <t>https://gytres-my.sharepoint.com/:b:/p/finanzas/EVp78o58XyFFqZxQpkSpFXEBfXECaKeb3Yaq7b3yLZPoQg?e=WJU270</t>
  </si>
  <si>
    <t>F002-1953, RQ.COM.388 servicio tercerizado por el carguío de plástico, caucho y cajas desde Almacén Sachaca hacia Lima</t>
  </si>
  <si>
    <t>https://gytres-my.sharepoint.com/:b:/p/finanzas/ES5hcN8fW9pCu58gV7PDoGYBrKoMdCU9FvQoGPk_YsHo0Q?e=JPZGk7</t>
  </si>
  <si>
    <t>FFF1-000305 , Servicio de Internet Octubre 2025</t>
  </si>
  <si>
    <t>https://gytres-my.sharepoint.com/:b:/p/finanzas/ESufVelEOWRNjl-agU64N9ABhmveYvfWpSBKb4znN9c_zw?e=WbzyZ9</t>
  </si>
  <si>
    <t>RQ.SIG.40 - ER-001-0832025 - Entregas a rendir</t>
  </si>
  <si>
    <t>https://gytres-my.sharepoint.com/:b:/p/finanzas/EUlL4pILwPdKnjsK-ukTuxMByew5-bX0sB1WTGxoEIqNIA?e=onQq91</t>
  </si>
  <si>
    <t>03 PAGO POR CODIGO SOLES/ F01500318745</t>
  </si>
  <si>
    <t>https://gytres-my.sharepoint.com/:b:/p/finanzas/Ef0l4SKpy91JtZlo78lXXrABsodhXYtdBukoYTNN67JkEg?e=RvcrOh</t>
  </si>
  <si>
    <t>SEG.VIDA-SCTR PENSION-VIDA LEY / RQ.GH.229</t>
  </si>
  <si>
    <t>J&amp;R FAST CARGO E.I.R.L.</t>
  </si>
  <si>
    <t>RQ.OPE.1479 mantenimiento preventivo de la unidad</t>
  </si>
  <si>
    <t>https://gytres-my.sharepoint.com/:b:/p/finanzas/EZhcHUzV7aVDq-UoEzK6t58Bor5l5KsYjOe2az_G_Q3yqw?e=Vn038y</t>
  </si>
  <si>
    <t>E001-166, RQ.SSO.289 mantenimiento varios</t>
  </si>
  <si>
    <t>https://gytres-my.sharepoint.com/:b:/p/finanzas/Eanf-3Oc3fJPo9BRYcS8ZcsB_jo2EaLeL4Z9-OetCwnPrA?e=crX0r9</t>
  </si>
  <si>
    <t>19 INCLUSION VIDA GRUPO / RQ.GH.229</t>
  </si>
  <si>
    <t>https://gytres-my.sharepoint.com/:b:/p/finanzas/EReHGclq6TtOrFXKfnrYligBoBaUp5yENv0X0isc37UnJA?e=1JxHUv</t>
  </si>
  <si>
    <t>F005-001922, RQ.OPE.1469 implementacion de accesorios de minería necesarios para el acceso y operación de la unidad VEI-822 en la Unidad Minera SOUTHERN proyecto Tía María</t>
  </si>
  <si>
    <t>https://gytres-my.sharepoint.com/:b:/p/finanzas/EZ2MU2GbjGlHuCAbCaEdOhEBhOOQX3ulm6gjf0YabSWBtA?e=BBcDc9</t>
  </si>
  <si>
    <t>Entr.efec. 0795857</t>
  </si>
  <si>
    <t>Tran.ctas.prop.bm</t>
  </si>
  <si>
    <t>RQ.OPE.1511 - FOTON BKL-739: Compra de 02 neumaticos posteriores</t>
  </si>
  <si>
    <t>https://gytres-my.sharepoint.com/:b:/p/finanzas/EQjcDML7CCFKvrSzZbAd284Bujavr2T69nCsZdIuYOs0Fw?e=caZtuF</t>
  </si>
  <si>
    <t>https://gytres-my.sharepoint.com/:b:/p/finanzas/EclSAaYLEhRLv7cfeKU94BUB1BjZFioM3cJ3wFo_V0UV6g?e=jZfUR8</t>
  </si>
  <si>
    <t>https://gytres-my.sharepoint.com/:b:/p/finanzas/EWR2bC2LBLhOu8e9d8Qfnm8BKM6lALmKtTKaDe8-d_0xWg?e=kIVFCk</t>
  </si>
  <si>
    <t>https://gytres-my.sharepoint.com/:b:/p/finanzas/EfEVzOnyC29PrNPPJmDoK0IBGBB0YaqX6JWwxHGQhI3Bwg?e=HuZJw9</t>
  </si>
  <si>
    <t>Prestamo - Octubre 2025</t>
  </si>
  <si>
    <t>https://gytres-my.sharepoint.com/:b:/p/finanzas/ESWWJkmrYXdBjzhXnOopZLkBkfPt_g07tw0V5cNG0Xhg4g?e=6EJ07Y</t>
  </si>
  <si>
    <t>Luz - Setiembre/ Sachaca</t>
  </si>
  <si>
    <t>https://gytres-my.sharepoint.com/:b:/p/finanzas/EePaiZIsNBZFtYyyxEgboMoBMqzG_B5y88y_4E07M388VA?e=qW8KgT</t>
  </si>
  <si>
    <t>Luz - Setiembre/ Yanahuara</t>
  </si>
  <si>
    <t>https://gytres-my.sharepoint.com/:b:/p/finanzas/EdmNo0YHtatEoS_N1GmDmwQBr7MDJOZcEiFStW-QI0_ORQ?e=zOwct8</t>
  </si>
  <si>
    <t xml:space="preserve">Internet - Octubre/Lima </t>
  </si>
  <si>
    <t>https://gytres-my.sharepoint.com/:b:/p/finanzas/EUmQLFrtHTdMqgTI0hDxFLMBMhnUokyiuEAp50F7qfdd7Q?e=gGoyD6</t>
  </si>
  <si>
    <t>Proveedores 20251015 (1)</t>
  </si>
  <si>
    <t>https://gytres-my.sharepoint.com/:b:/p/finanzas/EcTTNyS3hUxFutwz-WCt5w8BgLs1WmqKyltchuQdqUIKxw?e=2RAMIu</t>
  </si>
  <si>
    <t>Detr.masiva 7694050598</t>
  </si>
  <si>
    <t>De importadora de roda</t>
  </si>
  <si>
    <t>Marco Antonio Garate Sucasaire</t>
  </si>
  <si>
    <t>Entr.efec. 0332487</t>
  </si>
  <si>
    <t>0000000ff02-154 empres</t>
  </si>
  <si>
    <t>Compartamos Financiera - Cuota 36</t>
  </si>
  <si>
    <t>https://gytres-my.sharepoint.com/:b:/p/finanzas/EYrxRm3IZMNKrQef3qXLuM8BRh6Tbe9wrGduY97QDZKi2w?e=5wEBem</t>
  </si>
  <si>
    <t>Agua - Octubre 2025/ Lima</t>
  </si>
  <si>
    <t>https://gytres-my.sharepoint.com/:b:/p/finanzas/ERMlBaCreflAvrKDXexu_wABDY64XQFpba6Ve04VgcCW8g?e=GkI0Jg</t>
  </si>
  <si>
    <t xml:space="preserve">F001-11513, RQ.COM.375 Pintura para contenedores /Transf Jhonny Chacnama </t>
  </si>
  <si>
    <t>FFF1-9952, RQ.OPE.1404 Baterias /transf. Nelson Quispe</t>
  </si>
  <si>
    <t>https://gytres-my.sharepoint.com/:b:/p/finanzas/EUbHVmBVqcxLrC4991dscEoBjsDNgj4peOuD3OExJr5naA?e=OuKE6g</t>
  </si>
  <si>
    <t>Reposicion - Caja Conductores - 2025 / RCO-24</t>
  </si>
  <si>
    <t>https://gytres-my.sharepoint.com/:b:/p/finanzas/EcVci7lDoIFEnf525Q7cYm0BBo5GWK21vnt4XJVhqnEjyA?e=sd4fe5</t>
  </si>
  <si>
    <t>Liquidacion de Beneficios Sociales - HANCO ZELA BR</t>
  </si>
  <si>
    <t>Adelanto de sueldo Octubre 2025</t>
  </si>
  <si>
    <t>Proveedores 20251017 (1)</t>
  </si>
  <si>
    <t>https://gytres-my.sharepoint.com/:b:/p/finanzas/EVyXKFTaOUlLvy1VOB4d0FEBV4JSuiMKxMMIzLAaSBAkTA?e=YRpa1G</t>
  </si>
  <si>
    <t>RQ.GH.263 - ER-001-0842025 - Entregas a rendir</t>
  </si>
  <si>
    <t>COM.CCE PRO 000239</t>
  </si>
  <si>
    <t>Ff0100000272000 carmen</t>
  </si>
  <si>
    <t>Luz - Octubre /Lima</t>
  </si>
  <si>
    <t>https://gytres-my.sharepoint.com/:b:/p/finanzas/EZ30v7vwIaFNjf5d1lb6E0YBfo6j4izhZbcYtIcihHKA-w?e=bNPrPi</t>
  </si>
  <si>
    <t xml:space="preserve">Lineas corporativas - Septiembre/ Alm. Sachaca </t>
  </si>
  <si>
    <t>https://gytres-my.sharepoint.com/:b:/p/finanzas/ET4MPEOw5kJFp6pUKoF3wp0BTlESkzSNsrFHag0EkuJCcg?e=Uo9pPi</t>
  </si>
  <si>
    <t>Lineas corporativas - Septiembre/ Alm. Sachaca/ /Cuota 11 de 18</t>
  </si>
  <si>
    <t xml:space="preserve">Lineas corporativas - Septiembre/ Alm. Sachaca/Cuota 3 de 12 </t>
  </si>
  <si>
    <t>F129</t>
  </si>
  <si>
    <t>Disposicion residuos no aprovechables 20.10.2025 al 22.10.2025</t>
  </si>
  <si>
    <t>Proveedores 20251020 (1)</t>
  </si>
  <si>
    <t>https://gytres-my.sharepoint.com/:b:/p/finanzas/Ef6HIKAqHLNHn1fa9A1rGMEBKWYhaNZnjNqZOuyEc6sl9g?e=jJix7P</t>
  </si>
  <si>
    <t>Com.cce pro 000240</t>
  </si>
  <si>
    <t>Jhonny Garcia</t>
  </si>
  <si>
    <t>Devolucion ER-001-0512025 / RQ.LOG.338</t>
  </si>
  <si>
    <t>Victor Hugo Cornejo</t>
  </si>
  <si>
    <t>Saldo. 50% - E001-692, RQ.LOG.379 Renovacion de rotulos de entrada y mapa comercial / INDUSTRIES CENTRALGRAF E.I.R.L.</t>
  </si>
  <si>
    <t>https://gytres-my.sharepoint.com/:b:/p/finanzas/ETEx8fplTwVIqtVjyz4mPZwBt8l5NqYZmSzsWEztE88SLw?e=HKxfIg</t>
  </si>
  <si>
    <t>https://gytres-my.sharepoint.com/:b:/p/finanzas/EUmKP5iq739Gm-6nCJOCOYkB4jMYcyTU1Ogl4Hrk-QdioQ?e=Fya5DJ</t>
  </si>
  <si>
    <t>https://gytres-my.sharepoint.com/:b:/p/finanzas/Ef7hgerrDu5AgR-nNx0M7ssB5klZDxWVhLik--wKvXBLyA?e=kxVqmx</t>
  </si>
  <si>
    <t>https://gytres-my.sharepoint.com/:b:/p/finanzas/EbdWbW6mMShDnPQNuF8Myb8B1cBfg-f5MBT2wFGEcOhg4w?e=gruW5N</t>
  </si>
  <si>
    <t>https://gytres-my.sharepoint.com/:b:/p/finanzas/EbHrLuD3JSdMloZuYbjCcwMBc1_GHsKzwML2BKdT2WAMxw?e=ppZ5hh</t>
  </si>
  <si>
    <t>https://gytres-my.sharepoint.com/:b:/p/finanzas/EbTOLjbQnhtEpesr6bB3Kl4BdujbO8UqQ-nw29tX5TkwVA?e=pwnoFf</t>
  </si>
  <si>
    <t>https://gytres-my.sharepoint.com/:b:/p/finanzas/EQ-QxdCF8UxGtvmQcWL9YYIBPCK5zjDT0ubGW2AHjATmkQ?e=ITrLuR</t>
  </si>
  <si>
    <t>https://gytres-my.sharepoint.com/:b:/p/finanzas/EZj8NpvaWBRKpRCuEekjD34B_6fG743OBQfDjksBGsRbqg?e=PNBeK3</t>
  </si>
  <si>
    <t>https://gytres-my.sharepoint.com/:b:/p/finanzas/EWN83yh3yRlEuTDN4cS2ZmIB0szviJk-CwDLO91krlW50A?e=5lNsE8</t>
  </si>
  <si>
    <t>https://gytres-my.sharepoint.com/:b:/p/finanzas/EZqItSU2uFVBoF2XgD5BbxEB5b7xpgrfWJvPygitMsyTFA?e=7mIObI</t>
  </si>
  <si>
    <t>https://gytres-my.sharepoint.com/:b:/p/finanzas/Eb3wZU73cRBKignQOpdVS6sBfVmBtq1DBFRjlNSAbt6Bfg?e=eo0Txe</t>
  </si>
  <si>
    <t>https://gytres-my.sharepoint.com/:b:/p/finanzas/EXESDArcMT1HkSJMzUIeiKgBkk5RB1lgrzvRdtTjw2JJrw?e=3fVsRc</t>
  </si>
  <si>
    <t>RQ.OPE.1514 renovación de inspección técnica(peligrosos) de la unidad V9R-903</t>
  </si>
  <si>
    <t>https://gytres-my.sharepoint.com/:b:/p/finanzas/EamtWrWn8UNPmUDiTQRM8ncBR8Je9bPwAf8D9jSXOEXWDA?e=018w7j</t>
  </si>
  <si>
    <t>Detr.masiva 7697290503</t>
  </si>
  <si>
    <t>https://gytres-my.sharepoint.com/:b:/p/finanzas/EXq3G1tcFQRNu5UR6Cne4wQB4rBr2P5TFJ5FolLuD3kn3Q?e=Vwue2T</t>
  </si>
  <si>
    <t>RQ.GH.261 - ER-001-0852025 - Entregas a rendir</t>
  </si>
  <si>
    <t>https://gytres-my.sharepoint.com/:b:/p/finanzas/EUBNO-q9vv1Mmu8KXdD32AsBtDPsHshlAsxYV0SB1OMlxg?e=aFJY2E</t>
  </si>
  <si>
    <t>Proveedores 20251021 (1)</t>
  </si>
  <si>
    <t>https://gytres-my.sharepoint.com/:b:/p/finanzas/EXHwln41iKlHrryar11mouoBgzyamCxsb4JBMvLXlNVw4g?e=xDB74B</t>
  </si>
  <si>
    <t>Com.cce pro 000241</t>
  </si>
  <si>
    <t>Detr.masiva 7697647984</t>
  </si>
  <si>
    <t>RQ.STI.127 soportes para teclado</t>
  </si>
  <si>
    <t>E001-4669 , RQ.STI.127 accesorios de computo</t>
  </si>
  <si>
    <t xml:space="preserve">	Jordan Diaz Villa</t>
  </si>
  <si>
    <t>Reposicion - ER-001-0832025 - Yepez Ramos Karoll M</t>
  </si>
  <si>
    <t>F001-17430, RQ.SSO.254 compra de Epp basicos</t>
  </si>
  <si>
    <t>RQ.GH.257  - ER-001-0862025 - Entregas a rendir</t>
  </si>
  <si>
    <t>RQ.COM.392 / RQ.COM.398 / RQ.SSO.297 - ER-001-0872025 - Entregas a rendir</t>
  </si>
  <si>
    <t>Proveedores 20251023 (1)</t>
  </si>
  <si>
    <t>E001-3985, RQ.COM.387 Servicio de transporte</t>
  </si>
  <si>
    <t>0ff010000000276 inca t</t>
  </si>
  <si>
    <t>De ingenieria electrom</t>
  </si>
  <si>
    <t>Reposicion - Caja Conductores - 2025 / RCO-25</t>
  </si>
  <si>
    <t>Proveedores 20251024 (1)</t>
  </si>
  <si>
    <t>Com.cce pro 000244</t>
  </si>
  <si>
    <t>Entr.efec. 0172575</t>
  </si>
  <si>
    <t>Entr.efec. 0151488</t>
  </si>
  <si>
    <t>RQ.SSO.302 / RQ.SSO.303  - ER-001-0882025 - Entregas a rendir</t>
  </si>
  <si>
    <t>F136-12038 Combustible</t>
  </si>
  <si>
    <t>F135-9692 Combustible</t>
  </si>
  <si>
    <t>Proveedores 20251027 (1)</t>
  </si>
  <si>
    <t>Detr.masiva 7699747192</t>
  </si>
  <si>
    <t xml:space="preserve">	Marco Antonio Garate Sucasaire</t>
  </si>
  <si>
    <t>E001-4, Asesoria legal en temas empresariales - mes octubre 2025</t>
  </si>
  <si>
    <t>RQ.OPE.1542 - ER-001-0892025 - Entregas a rendir</t>
  </si>
  <si>
    <t>RQ.OPE.1545 por capacitacion de personal - Wilber / INSTITUTO TECNOLOGICO STRATTON SAC</t>
  </si>
  <si>
    <t>RQ.SSO.304 - ER-001-0902025 - Entregas a rendir</t>
  </si>
  <si>
    <t>RQ.SSO.306 Induccion de seguridad Alicorp
( Juan Leon, Emanuel Huanca)</t>
  </si>
  <si>
    <t>E001-1623, RQ.LOG.385 Abastecimiento stock limpieza</t>
  </si>
  <si>
    <t>RQ.GH.258 - ER-001-0912025 - Entregas a rendir</t>
  </si>
  <si>
    <t>RQ.GH.264 - ER-001-0922025 - Entregas a rendir</t>
  </si>
  <si>
    <t>Proveedores 20251028 (1)</t>
  </si>
  <si>
    <t>Com.cce pro 000246</t>
  </si>
  <si>
    <t>0000000ff01280 flsmid</t>
  </si>
  <si>
    <t>E001-1889 LAVADO Y ENGRASE GENERAL DE MONTACARGA</t>
  </si>
  <si>
    <t>03 PAGO POR CODIGO SOLES/ F01500325703</t>
  </si>
  <si>
    <t>0000000ff02-161 empres</t>
  </si>
  <si>
    <t xml:space="preserve">E001-160 , RQ.OPE.1547 Compra de residuos / Dolorier Flores Senna Thalia </t>
  </si>
  <si>
    <t>RQ.GH.248 - ER-001-0932025 - Entregas a rendir</t>
  </si>
  <si>
    <t>Pago detrac 7703739762</t>
  </si>
  <si>
    <t>Entr.efec. 0241002</t>
  </si>
  <si>
    <t>00000000ff05-79 aleaci</t>
  </si>
  <si>
    <t xml:space="preserve">GYTRES SAC </t>
  </si>
  <si>
    <t>De gestion y transport $ A S/</t>
  </si>
  <si>
    <t>Elvis Sanchez Pizarro</t>
  </si>
  <si>
    <t>Planilla de Rem. Oct</t>
  </si>
  <si>
    <t>RQ.OPE.1551 - ER-001-0942025 - Entregas a rendir</t>
  </si>
  <si>
    <t xml:space="preserve">E001-1502 , RQ.LOG.376 4 router internet remodelación de área comercial </t>
  </si>
  <si>
    <t>Planilla de Rem. Oct25 (2)</t>
  </si>
  <si>
    <t>Com.mantenim</t>
  </si>
  <si>
    <t>Envio.est.cta</t>
  </si>
  <si>
    <t>Teléfono fijo trio - Octubre /Arequipa 2</t>
  </si>
  <si>
    <t>03 PAGO POR CODIGO SOLES / F01500325703</t>
  </si>
  <si>
    <t>F809-430649 . RQ.OPE.1515 renovacion de SOAT,MAXUS VBW-889</t>
  </si>
  <si>
    <t>Proveedores 20251103 (1)</t>
  </si>
  <si>
    <t>Planilla de Rem. Oct25 (3)</t>
  </si>
  <si>
    <t>RQ.GH.269 Emo preocupacional - Juan Carlos Cuno</t>
  </si>
  <si>
    <t>RQ.SSO.308 Induccion de Alicorp - Paul Arenas</t>
  </si>
  <si>
    <t>RQ.SSO.309 - ER-001-0952025 - Entregas a rendir</t>
  </si>
  <si>
    <t>Deposito ag 987870</t>
  </si>
  <si>
    <t>De isc ingenieria del</t>
  </si>
  <si>
    <t>De universidad tecnolo</t>
  </si>
  <si>
    <t xml:space="preserve">E001-1349 , E001-1350 - RQ.STI.129 , RQ.STI.130 -  Sorporte técnico </t>
  </si>
  <si>
    <t>Proveedores 20251104 (1)</t>
  </si>
  <si>
    <t>Com.cce pro 000252</t>
  </si>
  <si>
    <t>Entr.efec. 0754272</t>
  </si>
  <si>
    <t>000000100000281 univer</t>
  </si>
  <si>
    <t>RQ.OPE.1562 - ER-001-0962025 - Entregas a rendir</t>
  </si>
  <si>
    <t>03 PAGO POR CODIGO SOLES/ F01500325702</t>
  </si>
  <si>
    <t>Alquiler Alm Huaranguillo2 Nov25</t>
  </si>
  <si>
    <t>Luz - Octubre/ Sachaca</t>
  </si>
  <si>
    <t>Liquidacion de Beneficios Sociales - JIBAJA RONDON VALERIA NICOLLE</t>
  </si>
  <si>
    <t>FFF1-331, Servicio de Internet Noviembre 2025</t>
  </si>
  <si>
    <t xml:space="preserve">	Juan Onofre Chavez</t>
  </si>
  <si>
    <t>Entr.efec. 0414143</t>
  </si>
  <si>
    <t>Bco.citi0035794448</t>
  </si>
  <si>
    <t>COMERCIALIZADORA FERRETERA JIREH E.I.R.L.</t>
  </si>
  <si>
    <t>RQ.GER.111 / RQ.GER.110 - ER-001-0972025 - Entregas a rendir</t>
  </si>
  <si>
    <t>Saldo RQLOG362 Muebles de melanima</t>
  </si>
  <si>
    <t>Proveedores 20251106 (1)</t>
  </si>
  <si>
    <t xml:space="preserve">RQ.OPE.1466 , RQ.OPE.1467, RQ.OPE.1477, RQ.OPE.1495, RQ.OPE.1480  Compras varias para unidad  unidad VEI-822 / SKY HIGH </t>
  </si>
  <si>
    <t>Valorización de RCD 
FS: 002 - 1158</t>
  </si>
  <si>
    <t>03 PAGO POR CODIGO SOLES / F01500325705</t>
  </si>
  <si>
    <t>Com.cce pro 000253</t>
  </si>
  <si>
    <t xml:space="preserve">E001-269 RQ.LOG.377 </t>
  </si>
  <si>
    <t>FF02-28568, RQ.OPE.784 mantenimiento preventivo de la unidad Fotón VBB-840</t>
  </si>
  <si>
    <t>FF02-28568</t>
  </si>
  <si>
    <t>PROV TLC 14</t>
  </si>
  <si>
    <t>F001-0000299</t>
  </si>
  <si>
    <t>COM.CCE PRO 000014</t>
  </si>
  <si>
    <t>FN01-28309030</t>
  </si>
  <si>
    <t>MAF0020558226979 / Cuota 52</t>
  </si>
  <si>
    <t>MAF PERU</t>
  </si>
  <si>
    <t>F006-140177</t>
  </si>
  <si>
    <t>F001-300</t>
  </si>
  <si>
    <t>NO SE PUEDE CANCELAR, MONTO EXCEDE</t>
  </si>
  <si>
    <t>Varios moly-cop adesur</t>
  </si>
  <si>
    <t>FE01-474
FE01-475
FE01-481
FE01-482
FE01-483</t>
  </si>
  <si>
    <t>Prov tlc 27</t>
  </si>
  <si>
    <t>LA P020558226979</t>
  </si>
  <si>
    <t>LA POSITIVA DOLARES</t>
  </si>
  <si>
    <t>F040-00422105</t>
  </si>
  <si>
    <t>TLC MANT</t>
  </si>
  <si>
    <t>0     0</t>
  </si>
  <si>
    <t>Prov tlc 33</t>
  </si>
  <si>
    <t>F002-15290
F002-15294
F002-15331</t>
  </si>
  <si>
    <t>FE01-530
FE01-531</t>
  </si>
  <si>
    <t>Prov tlc 49</t>
  </si>
  <si>
    <t>F002-15364
F002-15365
F002-15375
F002-15385</t>
  </si>
  <si>
    <t>PROV TLC 51</t>
  </si>
  <si>
    <t>VARIOS</t>
  </si>
  <si>
    <t>COM.CCE PRO 000051</t>
  </si>
  <si>
    <t>MAF0020558226979 / Cuota 53</t>
  </si>
  <si>
    <t>F006-00144858
F006-00144859</t>
  </si>
  <si>
    <t>PROV TLC 58</t>
  </si>
  <si>
    <t>F002-15425
F002-15441
F002-15477
F002-15468
F002-15489
F002-15457</t>
  </si>
  <si>
    <t>Pasaje Aéreo Consultor Financiero - LIM/AQP/LIM</t>
  </si>
  <si>
    <t>E001-765</t>
  </si>
  <si>
    <t>F040-00430463</t>
  </si>
  <si>
    <t>TLC 002JA9 MANT FEB</t>
  </si>
  <si>
    <t>FE01-533
FE01-534
FE01-535</t>
  </si>
  <si>
    <t>RIMA020558226979</t>
  </si>
  <si>
    <t>RIMAC SEGUROS</t>
  </si>
  <si>
    <t>PROV TLC 65</t>
  </si>
  <si>
    <t>F002-15496
F002-15511
F002-15512
F002-15515
F002-15513</t>
  </si>
  <si>
    <t>PROV TLC 75</t>
  </si>
  <si>
    <t>F002-15539
F002-15540
F002-15533 
F002-15544
F002-15556
F002-15557</t>
  </si>
  <si>
    <t>MAF0020558226979 / Cuota 54</t>
  </si>
  <si>
    <t>F006-00148881</t>
  </si>
  <si>
    <t>PROV TLC 80</t>
  </si>
  <si>
    <t xml:space="preserve">NO SE PUEDE CANCELAR, MONTO MAYOR </t>
  </si>
  <si>
    <t>COM.CCE PRO 000080</t>
  </si>
  <si>
    <t>FN01-30924417</t>
  </si>
  <si>
    <t>FE01-579
FE01-583</t>
  </si>
  <si>
    <t>F001-42854, RQ.OPE.689 transpaleta manual para almacén Huaranguillo</t>
  </si>
  <si>
    <t>F001-42854</t>
  </si>
  <si>
    <t>F040-00438849</t>
  </si>
  <si>
    <t>FI01-14461881</t>
  </si>
  <si>
    <t>PROV TLC 86</t>
  </si>
  <si>
    <t>RQ.OPE.1057 referente a mantenimiento correctivo de la unidad FOTÓN VBB-840</t>
  </si>
  <si>
    <t>FF02-29771</t>
  </si>
  <si>
    <t>MAF0020558226979 / Cuota 55</t>
  </si>
  <si>
    <t>F006-00155043</t>
  </si>
  <si>
    <t>PROV TLC 95</t>
  </si>
  <si>
    <t>COM.CCE PRO 000095</t>
  </si>
  <si>
    <t>FN01-31810356</t>
  </si>
  <si>
    <t>F040-00444761</t>
  </si>
  <si>
    <t>001FF0100000001 MOLY-C</t>
  </si>
  <si>
    <t>FF01-1</t>
  </si>
  <si>
    <t>PROV TLC 98</t>
  </si>
  <si>
    <t>TLC 002JA9 MANT ABR</t>
  </si>
  <si>
    <t>001FF0100000009 MOLY-C</t>
  </si>
  <si>
    <t>FF01-9</t>
  </si>
  <si>
    <t>FF20</t>
  </si>
  <si>
    <t>Adelanto - Compra de camion - 7TN</t>
  </si>
  <si>
    <t>FF20-1025</t>
  </si>
  <si>
    <t>Adelanto - Compra de camion - 18TN</t>
  </si>
  <si>
    <t>FF18</t>
  </si>
  <si>
    <t>RQ.OPE.1119 Mantenimiento preventivo(Cambio de aceite y filtros) de la unidad VBB-840 /Cotizacion 004-129658</t>
  </si>
  <si>
    <t>FF18-33903</t>
  </si>
  <si>
    <t>F040-00450160</t>
  </si>
  <si>
    <t>FF19</t>
  </si>
  <si>
    <t>Saldo FF19-8148, RQ.OPE.1116 mantenimiento correctivo de la unidad FOTÓN BKL-739</t>
  </si>
  <si>
    <t xml:space="preserve"> FF19-8148</t>
  </si>
  <si>
    <t>E001-44 - Adelanto servicio de mentoria de desarrollo empresarial</t>
  </si>
  <si>
    <t>RQ.OPE.1116 referente al mantenimiento correctivo de la unidad FOTÓN BKL-739</t>
  </si>
  <si>
    <t>PROV TLC 110</t>
  </si>
  <si>
    <t>F002-15908
F002-15939
F002-15916
F002-15934
F002-15903
F002-15904</t>
  </si>
  <si>
    <t>NO CUADRA MONTO POR 0.30</t>
  </si>
  <si>
    <t>NO DEJA CANCELAR, MONTOS MAYORES</t>
  </si>
  <si>
    <t>La p020558226979</t>
  </si>
  <si>
    <t>F040-00452571</t>
  </si>
  <si>
    <t>PROV TLC 113</t>
  </si>
  <si>
    <t>Furgon para FOTON 9TN y Rampa hidráulica de 1TN</t>
  </si>
  <si>
    <t>RQ.GER.065 Pago cuota licencia anual software IDSI - Mes Mayo 2025</t>
  </si>
  <si>
    <t>INVESTIGACION Y DESARROLLO DE SOLUCIONES INFORMATICAS EIRL</t>
  </si>
  <si>
    <t xml:space="preserve">
F001-0000338</t>
  </si>
  <si>
    <t>FONB00000177793A</t>
  </si>
  <si>
    <t>FONBIENES PERU EAFC S.A.</t>
  </si>
  <si>
    <t>FF01-54
FF01-59</t>
  </si>
  <si>
    <t>A 215 0006578 1</t>
  </si>
  <si>
    <t>MOLY-COP ADESUR S.A.</t>
  </si>
  <si>
    <t>F002-15981</t>
  </si>
  <si>
    <t>Adelanto Cotización Nota venta - 25078Chevrolet Montaña</t>
  </si>
  <si>
    <t>Prov tlc 127</t>
  </si>
  <si>
    <t>Prov tlc 128</t>
  </si>
  <si>
    <t>MAF0020558226979 / Cuota 57</t>
  </si>
  <si>
    <t>Prov tlc 129</t>
  </si>
  <si>
    <t>F002-16104
F002-16224
F002-16109</t>
  </si>
  <si>
    <t>Cambio de Soles a Dolares</t>
  </si>
  <si>
    <t>CAMION FOTON - BJ1126VGPFG-F2 - AñoModelo2026 -FOTON- 9 Ton - COLOR BLANCO - VIN LVBV6PDB2TW085470</t>
  </si>
  <si>
    <t>Proveedores 20250625 (2)</t>
  </si>
  <si>
    <t>Com.cce pro 000141</t>
  </si>
  <si>
    <t>FF01-97
FF01-98</t>
  </si>
  <si>
    <t>Tlc 002ja9 mant jun</t>
  </si>
  <si>
    <t>Proveedores 20250627 (2)</t>
  </si>
  <si>
    <t>Com.cce pro 000144</t>
  </si>
  <si>
    <t>Proveedores 20250702 (1)</t>
  </si>
  <si>
    <t>Com.cce pro 000150</t>
  </si>
  <si>
    <t>A 215 2148867 0</t>
  </si>
  <si>
    <t>Seguro de flota vehicular 2 de 6</t>
  </si>
  <si>
    <t>F001-374, CORPORACION INDUSTRIAL CES S.A.C RAMPA HIDRAULICA DE 1TN DE 2.20M X 1.70M</t>
  </si>
  <si>
    <t>Seguro de flota vehicula - Responsabilidad civil  3 de 6</t>
  </si>
  <si>
    <t>Cambio de dólares a soles TC 3.537</t>
  </si>
  <si>
    <t>BCPD</t>
  </si>
  <si>
    <t>Proveedores 20250710 (1)</t>
  </si>
  <si>
    <t>Proveedores 20250715 (1)</t>
  </si>
  <si>
    <t xml:space="preserve">MAF0020558226979 / Cuota 58 </t>
  </si>
  <si>
    <t>https://gytres-my.sharepoint.com/:b:/p/finanzas/EdMNVJmWm2ZMlwU0ZtBQGRYBa0bv46ZwYzWaT0spDlHbSg?e=Lac83e</t>
  </si>
  <si>
    <t>Tlc 002ja9 mant jul</t>
  </si>
  <si>
    <t>Proveedores 20250730 (1) / Prov tlc 174</t>
  </si>
  <si>
    <t>Proveedores 20250730 /  Prov tlc 173</t>
  </si>
  <si>
    <t xml:space="preserve">BANA HOSTING </t>
  </si>
  <si>
    <t xml:space="preserve">INVOICE 2127851, RQ.STI.094 Hosting gytres.com/ Gregory Cruz </t>
  </si>
  <si>
    <t>Seguro de flota vehicular 3 de 6</t>
  </si>
  <si>
    <t>Seguro de flota vehicula - Responsabilidad civil  4 de 6</t>
  </si>
  <si>
    <t>Proveedores 20250813 (1)</t>
  </si>
  <si>
    <t>MAF0020558226979 / Cuota 59</t>
  </si>
  <si>
    <t>Tlc 002ja9 mant ago</t>
  </si>
  <si>
    <t>Seguro de flota vehicular 4 de 6</t>
  </si>
  <si>
    <t>Seguro de flota vehicula - Responsabilidad civil  5 de 6</t>
  </si>
  <si>
    <t>Adto. 50% - RQ.OPE.1374 fabr. y puesta de caseta Gytres dentro de las instalaciones de Molycop</t>
  </si>
  <si>
    <t>RQ.OPE.1416 referente a inclusión en la Póliza de Responsabilidad Civil de la unidad FOTÓN VEI-822</t>
  </si>
  <si>
    <t>F001-00000415 
MODIFICACION DE ALTURA 0.40m,  PLOTEO SEGÚN DISEÑO</t>
  </si>
  <si>
    <t>MAF0020558226979 / Cuota 60</t>
  </si>
  <si>
    <t>Proveedores 20250919 (2)</t>
  </si>
  <si>
    <t>Com.cce pro 000226</t>
  </si>
  <si>
    <t>Tlc mant</t>
  </si>
  <si>
    <t>Cotiz. 0000232541, RQ.OPE.1403 mantenimiento correctivo de la unidad VDJ-872</t>
  </si>
  <si>
    <t>Seguro de flota vehicular 5 de 6</t>
  </si>
  <si>
    <t>Proveedores 20250929 (2)</t>
  </si>
  <si>
    <t>Com.cce pro 000230</t>
  </si>
  <si>
    <t>Seguro de flota vehicula - Responsabilidad civil  6 de 6</t>
  </si>
  <si>
    <t>Cambio de Dólares a Soles TC 3.419</t>
  </si>
  <si>
    <t>Proveedores 20251010 (1)</t>
  </si>
  <si>
    <t xml:space="preserve">seguro vehicular de la unidad VEI-822 - Cuota 1 de 4 </t>
  </si>
  <si>
    <t>Transf.bco.scotiabank</t>
  </si>
  <si>
    <t>MAF0020558226979 / Cuota 61</t>
  </si>
  <si>
    <t>Seguro de flota vehicular 6 de 6</t>
  </si>
  <si>
    <t>FF04</t>
  </si>
  <si>
    <t>Saldo -Fabricación y puesta de Casela Gytres dentro de instalaciones Moly-Cop S.A. - RQ.OPE.1374</t>
  </si>
  <si>
    <t>Cambio de Dolares a Soles TC 3.361</t>
  </si>
  <si>
    <t>Intereses deudores</t>
  </si>
  <si>
    <t>Porte extracto numer</t>
  </si>
  <si>
    <t>INTERBANK SOLES</t>
  </si>
  <si>
    <t>ABONO TRANSFERENCIA - JCH COMERCIALIZADORA DE RESIDU</t>
  </si>
  <si>
    <t>FE01-491</t>
  </si>
  <si>
    <t>ITB</t>
  </si>
  <si>
    <t>ITF</t>
  </si>
  <si>
    <t>ABONO PROVEEDORES - FABRICA DE CHOCOLAT</t>
  </si>
  <si>
    <t>FE01-449
FE01-450
FE01-451</t>
  </si>
  <si>
    <t>GR 006000081 NP QH 1001017906</t>
  </si>
  <si>
    <t>MUNICIPALIDAD PROVINCIAL DE AR</t>
  </si>
  <si>
    <t>GR 006000090 NP QH 1001019636</t>
  </si>
  <si>
    <t>GR 006000070 NP QH 1001016189</t>
  </si>
  <si>
    <t>GR 006000075 NP QH 1001016802</t>
  </si>
  <si>
    <t>GR 006000079 NP QH 1001017513</t>
  </si>
  <si>
    <t>GR 006000083 NP QH 1001018537</t>
  </si>
  <si>
    <t>GR 006000071 NP QH 1001016116</t>
  </si>
  <si>
    <t>GR 006000069 NP QH 1001016010</t>
  </si>
  <si>
    <t>GR 006000078 NP QH 1001016830</t>
  </si>
  <si>
    <t>GR 006000073 NP QH 1001016546</t>
  </si>
  <si>
    <t>GR 006000086 NP QH 1001019145</t>
  </si>
  <si>
    <t>GR 006000077 NP QH 1001017096</t>
  </si>
  <si>
    <t>GR 006000082 NP QH 1001018393</t>
  </si>
  <si>
    <t>GR 006000080 NP QH 1001017792</t>
  </si>
  <si>
    <t>GR 006000095 NP QH 1001019688</t>
  </si>
  <si>
    <t>ITF OPERACION: 0919816</t>
  </si>
  <si>
    <t>Alquiler almacen Arequipa (1) - May-24</t>
  </si>
  <si>
    <t>N/D JUDICIALES</t>
  </si>
  <si>
    <t>N/D I-BANC + COM.O/C</t>
  </si>
  <si>
    <t>FABRICA DE CHOCOLAT</t>
  </si>
  <si>
    <t>FE01-476
FE01-477
FE01-478</t>
  </si>
  <si>
    <t>FACTURAS DE DIC 2024</t>
  </si>
  <si>
    <t>ITF DEV RET</t>
  </si>
  <si>
    <t>.POWER</t>
  </si>
  <si>
    <t>FE01-526
FE01-527</t>
  </si>
  <si>
    <t>JCH COMERCIALIZADORA DE RESIDU</t>
  </si>
  <si>
    <t>FE01-373</t>
  </si>
  <si>
    <t>FE01-545</t>
  </si>
  <si>
    <t>OPERACION: 0892768</t>
  </si>
  <si>
    <t>Transf ALQUI</t>
  </si>
  <si>
    <t>FE01-546</t>
  </si>
  <si>
    <t>SIGSO CONSULTORES LABORALES</t>
  </si>
  <si>
    <t>F200-14987</t>
  </si>
  <si>
    <t>F200-14959</t>
  </si>
  <si>
    <t xml:space="preserve">Servicios de Enero </t>
  </si>
  <si>
    <t>GYTRES BCP</t>
  </si>
  <si>
    <t>F200-15020</t>
  </si>
  <si>
    <t>FE01-536
FE01-537
FE01-538</t>
  </si>
  <si>
    <t>F200-15113</t>
  </si>
  <si>
    <t>F200-15085</t>
  </si>
  <si>
    <t>FE01-582</t>
  </si>
  <si>
    <t>Servicios de Febrero</t>
  </si>
  <si>
    <t>F200-15125</t>
  </si>
  <si>
    <t>ABONO TRANSFERENCIA</t>
  </si>
  <si>
    <t>E001-24</t>
  </si>
  <si>
    <t>F200-15152</t>
  </si>
  <si>
    <t>CARGO TRANSFERENCIA</t>
  </si>
  <si>
    <t>F200-15440</t>
  </si>
  <si>
    <t>FF01-6</t>
  </si>
  <si>
    <t>Servicios de Marzo</t>
  </si>
  <si>
    <t>PAGO DE SERVICIOS</t>
  </si>
  <si>
    <t>F313-6207</t>
  </si>
  <si>
    <t>F313-6204</t>
  </si>
  <si>
    <t>F313-6203</t>
  </si>
  <si>
    <t>F313-6206</t>
  </si>
  <si>
    <t>SOLO REGISTRE 590</t>
  </si>
  <si>
    <t>E001-1051</t>
  </si>
  <si>
    <t>ITF / OPERACION: 8047691</t>
  </si>
  <si>
    <t>ABONO PROVEEDORES</t>
  </si>
  <si>
    <t>FE01-588
FE01-589
FE01-590</t>
  </si>
  <si>
    <t>F313-6205</t>
  </si>
  <si>
    <t>F200-15277</t>
  </si>
  <si>
    <t>F200-15246</t>
  </si>
  <si>
    <t>F100-10597</t>
  </si>
  <si>
    <t>F200-15384</t>
  </si>
  <si>
    <t>F200-15313</t>
  </si>
  <si>
    <t>F200-15335</t>
  </si>
  <si>
    <t>F200-15341</t>
  </si>
  <si>
    <t>FF01-2
FF01-3
FF01-4</t>
  </si>
  <si>
    <t>FF01-42</t>
  </si>
  <si>
    <t>F200-15484</t>
  </si>
  <si>
    <t>F200-15466</t>
  </si>
  <si>
    <t>OPERACION: 1002150</t>
  </si>
  <si>
    <t>OPERACION: 1007651</t>
  </si>
  <si>
    <t>FF01-76</t>
  </si>
  <si>
    <t>FF01-75</t>
  </si>
  <si>
    <t>F200-15413</t>
  </si>
  <si>
    <t>FCT1</t>
  </si>
  <si>
    <t>F200-15547</t>
  </si>
  <si>
    <t>F200-15555</t>
  </si>
  <si>
    <t>F200-15521</t>
  </si>
  <si>
    <t>ITF OPERACION: 1005146</t>
  </si>
  <si>
    <t>BCP-00001658 /CHEQUE</t>
  </si>
  <si>
    <t>FF01-87</t>
  </si>
  <si>
    <t>COOPERATIVA MINERA ESTRELLA DE</t>
  </si>
  <si>
    <t>FF01-86</t>
  </si>
  <si>
    <t xml:space="preserve">Servicios de Abril </t>
  </si>
  <si>
    <t>FF01-60
FF01-61
FF01-62</t>
  </si>
  <si>
    <t>SIGSO</t>
  </si>
  <si>
    <t>F100-10937</t>
  </si>
  <si>
    <t>Pago de Factura F100-11027</t>
  </si>
  <si>
    <t>F100-11027</t>
  </si>
  <si>
    <t>FF01-108</t>
  </si>
  <si>
    <t xml:space="preserve">RQ.LOG.325 DINAMICA MASIVA </t>
  </si>
  <si>
    <t>https://gytres-my.sharepoint.com/:b:/p/finanzas/EQacCGA4FjBAmw1odHSJLN4BpmJv-Xni5jI2AhzyfrDb3A?e=59nJde</t>
  </si>
  <si>
    <t>DINAMICA MASIVA</t>
  </si>
  <si>
    <t>OC 004167</t>
  </si>
  <si>
    <t xml:space="preserve"> RQ.LOG.326 compra e instalación de muebles de melamina LOGAL GROUP AQP</t>
  </si>
  <si>
    <t>A &amp; M SOLUCIONES</t>
  </si>
  <si>
    <t>ABONO TRANSFERENCIA / JCH COMERCIALIZADORA DE RESIDU</t>
  </si>
  <si>
    <t>ITBS</t>
  </si>
  <si>
    <t>ITF OPERACION: 0126747</t>
  </si>
  <si>
    <t>RQ.SSO.247 Induccion de seguridad para Moly Cop , Wilber Quispe y Vannessa Amado (inducciones por vencer)
RQ.SSO.250 inducción de seguridad de Moly Cop (David Killer Coronel Ccasan)</t>
  </si>
  <si>
    <t>RQ.SSO.258 Induccion seguridad</t>
  </si>
  <si>
    <t>ALICORP SAA-RECAUDACION</t>
  </si>
  <si>
    <t>RQ.SSO.267 Induccion MolyCop Lima 
personal nuevo de Lima</t>
  </si>
  <si>
    <t>RQ.SSO.268 Induccion MolyCop Walter Asilo</t>
  </si>
  <si>
    <t>RQ.SSO.274 Induccion MolyCop</t>
  </si>
  <si>
    <t>GYTRES</t>
  </si>
  <si>
    <t>Transferencia de Interbank a BCP Soles / N/D I-BANC + COM.O/C</t>
  </si>
  <si>
    <t>COESTI-FACTURA SOLES</t>
  </si>
  <si>
    <t>ITF OPERACION: 0280120</t>
  </si>
  <si>
    <t>RQ.SSO.293 Induccion seguridad Moly Cop</t>
  </si>
  <si>
    <t xml:space="preserve">	0647980</t>
  </si>
  <si>
    <t xml:space="preserve">	N/D I-BANC + COM.O/C - ITF I-BANC E</t>
  </si>
  <si>
    <t xml:space="preserve">	0560137</t>
  </si>
  <si>
    <t xml:space="preserve">RQ.SSO.305 Induccion de Moly Cop
(r Juan Leon, Emanuel Huanca, Luis Rivera) </t>
  </si>
  <si>
    <t>R20121393736EMPRESA YURA SRL</t>
  </si>
  <si>
    <t>FE01-493</t>
  </si>
  <si>
    <t>FE01-500</t>
  </si>
  <si>
    <t>BBVA</t>
  </si>
  <si>
    <t>R20565347099HAM CRIOGENICA PERU SAC</t>
  </si>
  <si>
    <t>FE01-61</t>
  </si>
  <si>
    <t>FB20</t>
  </si>
  <si>
    <t>COMISION DE MANTENIMIENTO</t>
  </si>
  <si>
    <t>COMISION POR RETENCION JUD/ADM</t>
  </si>
  <si>
    <t>FB20-20502943</t>
  </si>
  <si>
    <t>FB20-20673136</t>
  </si>
  <si>
    <t>FB21</t>
  </si>
  <si>
    <t>FB21-21111080</t>
  </si>
  <si>
    <t>563 </t>
  </si>
  <si>
    <t>FB21-21551579</t>
  </si>
  <si>
    <t>INGRESO EN EFECTIVO G EFECTIVO REDE</t>
  </si>
  <si>
    <t>562 </t>
  </si>
  <si>
    <t>FF07-1</t>
  </si>
  <si>
    <t>561 </t>
  </si>
  <si>
    <t>560 </t>
  </si>
  <si>
    <t>559 </t>
  </si>
  <si>
    <t>558 </t>
  </si>
  <si>
    <t>556 </t>
  </si>
  <si>
    <t>FE01-566</t>
  </si>
  <si>
    <t>FF07-1 BANCA AUTOMATIC</t>
  </si>
  <si>
    <t>554 </t>
  </si>
  <si>
    <t>552 </t>
  </si>
  <si>
    <t>550 </t>
  </si>
  <si>
    <t>571 </t>
  </si>
  <si>
    <t>FB21-21998860</t>
  </si>
  <si>
    <t>Imer Bustamante</t>
  </si>
  <si>
    <t>569 </t>
  </si>
  <si>
    <t>R20517932346TUBERIAS Y GEOSISTEMAS DEPB</t>
  </si>
  <si>
    <t>567 </t>
  </si>
  <si>
    <t>FE01-574</t>
  </si>
  <si>
    <t>R20340584237CAMPOSOL SA PB</t>
  </si>
  <si>
    <t>FE01-560</t>
  </si>
  <si>
    <t>REPOSICION TJ. DEBITO / 4910</t>
  </si>
  <si>
    <t>F001-100</t>
  </si>
  <si>
    <t>FB22</t>
  </si>
  <si>
    <t>FB22-22442303</t>
  </si>
  <si>
    <t>RETIRO EN EFECTIVO CON TARJETA Y CLAVE - Transferencia de BBVA Soles  a BCP Soles</t>
  </si>
  <si>
    <t>BBVAS</t>
  </si>
  <si>
    <t>MIGUEL ANGEL CRISTOBAL CALDERON</t>
  </si>
  <si>
    <t xml:space="preserve">	COMISION DE MANTENIMIENTO</t>
  </si>
  <si>
    <t xml:space="preserve">BIRRACK </t>
  </si>
  <si>
    <t>DEVOLUCION SALDO SERVICIOS</t>
  </si>
  <si>
    <t xml:space="preserve">	RET.CJ.B24 BANCO OFICINA YANAHUA</t>
  </si>
  <si>
    <t xml:space="preserve">	R20517932346TUBERIAS Y GEOSISTEMAS DEPB</t>
  </si>
  <si>
    <t/>
  </si>
  <si>
    <t>NOT.ABON</t>
  </si>
  <si>
    <t>ENT.EFEC</t>
  </si>
  <si>
    <t>NOT.CARG</t>
  </si>
  <si>
    <t>FGD1</t>
  </si>
  <si>
    <t>515</t>
  </si>
  <si>
    <t xml:space="preserve"> ES07 </t>
  </si>
  <si>
    <t>ONP_07</t>
  </si>
  <si>
    <t>5TA_07</t>
  </si>
  <si>
    <t>AJ_R_JULIO</t>
  </si>
  <si>
    <t>Redondeo</t>
  </si>
  <si>
    <t>Diferencia</t>
  </si>
  <si>
    <t>Essalud</t>
  </si>
  <si>
    <t>Onp</t>
  </si>
  <si>
    <t>5ta</t>
  </si>
  <si>
    <t>Total</t>
  </si>
  <si>
    <t>Compra de torta, gaseosas y vasos que se planea hacer en sede Lima por el cumpleaños del colaborador Ronald Guizado. (Devolucion  001-12029)</t>
  </si>
  <si>
    <t>Gregory Cruz</t>
  </si>
  <si>
    <t>Devolucion de gastos (OP. 001-11988 - 2024)</t>
  </si>
  <si>
    <t>Rosa Suyo</t>
  </si>
  <si>
    <t>Recojo de documentos, guías, fichas y manifiestos de Olva sede Parra - 30.12.2024</t>
  </si>
  <si>
    <t>F491-00000512</t>
  </si>
  <si>
    <t>Recojo de documentos (manifiestos, guias, fichas) de olva parra 06.01.2025</t>
  </si>
  <si>
    <t>F491-00000523</t>
  </si>
  <si>
    <t>Recojo de encomienda(manifiestos, guias,fichas) enviado el 06.01.2025</t>
  </si>
  <si>
    <t>F491-00000525</t>
  </si>
  <si>
    <t>Planilla de movilidad por traslado de personal para recojo de encomienda CC 001-00186</t>
  </si>
  <si>
    <t>PL 003-0087/2025</t>
  </si>
  <si>
    <t>Anthony Huamani</t>
  </si>
  <si>
    <t>Planilla de movilidad 23.12.2024</t>
  </si>
  <si>
    <t>PL 003-0376/2024</t>
  </si>
  <si>
    <t>Planilla de movilidad 24.12.2024</t>
  </si>
  <si>
    <t>PL 003-0377/2024</t>
  </si>
  <si>
    <t>Planilla de movilidad 26.12.2024</t>
  </si>
  <si>
    <t>PL 003-0378/2024</t>
  </si>
  <si>
    <t>Planilla de movilidad 27.12.2024</t>
  </si>
  <si>
    <t>PL 003-0379/2024</t>
  </si>
  <si>
    <t>Planilla de movilidad 30/12/2024</t>
  </si>
  <si>
    <t>PL 003-0380/2024</t>
  </si>
  <si>
    <t>Planilla de movilidad 02.01.2025</t>
  </si>
  <si>
    <t>PL 003-0381/2024</t>
  </si>
  <si>
    <t>Planilla de movilidad 03.01.2025</t>
  </si>
  <si>
    <t>PL 003-0382/2024</t>
  </si>
  <si>
    <t>Diego Mamani</t>
  </si>
  <si>
    <t>Planilla de movilidad por traslado para visita técnica en Plastisur</t>
  </si>
  <si>
    <t>PL 003-0001/2025</t>
  </si>
  <si>
    <t>Pendiente de Devolucion</t>
  </si>
  <si>
    <t>Transferencia interna de fondos (Devolucion 001-11992 - 2024)</t>
  </si>
  <si>
    <t>Devolución por rendición de gastos por traslado para visita técnica a Plastisur (001-12017)</t>
  </si>
  <si>
    <t>Roy Ramos</t>
  </si>
  <si>
    <t>Planilla de movilidad por traslado de personal para entregar documentos a varias empresas</t>
  </si>
  <si>
    <t>PL 003-0384/2024</t>
  </si>
  <si>
    <t>Traslado del personal de lima por actividad navideña en Arequipa</t>
  </si>
  <si>
    <t>PL 003-0369/2024</t>
  </si>
  <si>
    <t>Entrega de manifiestos y firma - AMPCO y retorno al almacén Huaranguillo</t>
  </si>
  <si>
    <t>PL 003-0386/2024</t>
  </si>
  <si>
    <t>Daniela Camero</t>
  </si>
  <si>
    <t>Balanza - servicio que trajeron de La Joya a Aceros AQP</t>
  </si>
  <si>
    <t>FE02-15212</t>
  </si>
  <si>
    <t>FE02-15217</t>
  </si>
  <si>
    <t>FE02-15218</t>
  </si>
  <si>
    <t>FE02-15224</t>
  </si>
  <si>
    <t>Recojo de teléfono del área comercial por encargo de Gerencia</t>
  </si>
  <si>
    <t>F271-3630</t>
  </si>
  <si>
    <t>Juan Benji Tagle Lazarte</t>
  </si>
  <si>
    <t>Planilla de movilidad por retorno de venta hacia domicilio del trabajador</t>
  </si>
  <si>
    <t>PL 003-0002/2025</t>
  </si>
  <si>
    <t>Devolución por rendición de gastos (Devolución 001-12004)</t>
  </si>
  <si>
    <t>Fernando Márquez</t>
  </si>
  <si>
    <t>Devolución de rendición de gastos (OP. 001-12002 / 001-11990 / 001-11984 / 001-11961 / 001-11941 / 001-11940)</t>
  </si>
  <si>
    <t>Bocaditos para compartir por la charla de hombres</t>
  </si>
  <si>
    <t>0001-145</t>
  </si>
  <si>
    <t>Gleen Ponce</t>
  </si>
  <si>
    <t>Consumo por actividad del personal - carguío de chatarra</t>
  </si>
  <si>
    <t>F001-4922</t>
  </si>
  <si>
    <t>Llanta imponchable</t>
  </si>
  <si>
    <t>E001-73</t>
  </si>
  <si>
    <t>Caja de panetón TOTTUS por solicitud por parte del area de Gerencia para donacion a la comisaria de San José</t>
  </si>
  <si>
    <t>FA25-2291050</t>
  </si>
  <si>
    <t xml:space="preserve">Recojo de documentos Olva Courier </t>
  </si>
  <si>
    <t>CC 001-00187</t>
  </si>
  <si>
    <t xml:space="preserve">Ebert Prieto </t>
  </si>
  <si>
    <t>Planilla de movilidad por entrega de certificados y documentos</t>
  </si>
  <si>
    <t>PL 003-0004/2025</t>
  </si>
  <si>
    <t>Bocaditos para reunión de presupuesto</t>
  </si>
  <si>
    <t>001-000146</t>
  </si>
  <si>
    <t xml:space="preserve">Vanessa Amado </t>
  </si>
  <si>
    <t>Compra de fotochecks para personal, para ingreso a empresas</t>
  </si>
  <si>
    <t>F001-00003926</t>
  </si>
  <si>
    <t>Bocaditos para reunión de escala salarial</t>
  </si>
  <si>
    <t>001-147</t>
  </si>
  <si>
    <t>Compra de comida para perro</t>
  </si>
  <si>
    <t>FF63-00500727</t>
  </si>
  <si>
    <t xml:space="preserve">Compra de fotochecks para personal, para ingreso a empresas </t>
  </si>
  <si>
    <t>Bocaditos - Reunión resultados de evaluación psico laboral</t>
  </si>
  <si>
    <t>001-000148</t>
  </si>
  <si>
    <t>Embudo - Traspaso de aceite en empresa Campo Sol - RQ.LOG.223</t>
  </si>
  <si>
    <t>002-004150</t>
  </si>
  <si>
    <t>Transporte - Compra de zapatos de seguridad RQ.SSO.172</t>
  </si>
  <si>
    <t>F002-811092</t>
  </si>
  <si>
    <t>Planilla de movilidad 06.01.2025 / 15.01.2025</t>
  </si>
  <si>
    <t>PL 003-0005/2025</t>
  </si>
  <si>
    <t>Bocaditos - Cumpleaños Sr. Imer</t>
  </si>
  <si>
    <t>001-000149</t>
  </si>
  <si>
    <t>Planilla de movilidad 17.01.2025 - Transporte Almacen Gytres - Senati - Almacen Gytres</t>
  </si>
  <si>
    <t>PL 003-0006/2025</t>
  </si>
  <si>
    <t>F904-6165</t>
  </si>
  <si>
    <t>F201-4818</t>
  </si>
  <si>
    <t>FA60-28205</t>
  </si>
  <si>
    <t>Prestamo Interno</t>
  </si>
  <si>
    <t>Elaboracion de 45 tamales - Bocaditos - Cumpleaños Sr. Imer</t>
  </si>
  <si>
    <t>E001-10</t>
  </si>
  <si>
    <t>Planilla de movilidad 17.01.2025 - Av. Ejercito / Miraflores / Almacen Huaranguillo</t>
  </si>
  <si>
    <t>PL 003-0007/2025</t>
  </si>
  <si>
    <t>Compartir en Villa Esperanza - Actividad de Carguio de RRSS</t>
  </si>
  <si>
    <t>F001-5039</t>
  </si>
  <si>
    <t>Planilla de movilidad 20.01.2025 - Librería Ordoñez / Mariscal Castilla / Librería Ordoñez / Almacen Huaranguillo</t>
  </si>
  <si>
    <t>PL 003-0008/2025</t>
  </si>
  <si>
    <t>Planilla de movilidad 06.01.2025</t>
  </si>
  <si>
    <t>PL 003-0009/2025</t>
  </si>
  <si>
    <t>Planilla de movilidad 07.01.2025</t>
  </si>
  <si>
    <t>PL 003-0010/2025</t>
  </si>
  <si>
    <t>Planilla de movilidad 09.01.2025</t>
  </si>
  <si>
    <t>PL 003-0011/2025</t>
  </si>
  <si>
    <t>Planilla de movilidad 13.01.2025</t>
  </si>
  <si>
    <t>PL 003-0012/2025</t>
  </si>
  <si>
    <t>Planilla de movilidad 14.01.2025</t>
  </si>
  <si>
    <t>PL 003-0013/2025</t>
  </si>
  <si>
    <t>Planilla de movilidad 15.01.2025</t>
  </si>
  <si>
    <t>PL 003-0014/2025</t>
  </si>
  <si>
    <t>Recojo de documentos (manifiestos, guias, fichas) de olva</t>
  </si>
  <si>
    <t>F491-556</t>
  </si>
  <si>
    <t>RQ.STI.067 / RQ.STI.068 / Transporte</t>
  </si>
  <si>
    <t>PL 003-0017/2025
001-771
001-772</t>
  </si>
  <si>
    <t>Por devolver</t>
  </si>
  <si>
    <t>Planilla de movilidad 21.01.2025 - Almacen Huaranguillo / Hospital Goyeneche (Atencion medica Benjy Tagle)</t>
  </si>
  <si>
    <t>PL 003-0015/2025</t>
  </si>
  <si>
    <t>Papitas / Inka 3L / Otros - Bocaditos para reunion grupal por evaluaciones psicolaborales</t>
  </si>
  <si>
    <t>001-1586</t>
  </si>
  <si>
    <t>Jugo 3l / Galleta / Piqueo - Compartir Villa Esperanza por ingreso nuevo personal o entrega de mochilas</t>
  </si>
  <si>
    <t>001-398</t>
  </si>
  <si>
    <t>Planilla de movilidad 27.01.2025</t>
  </si>
  <si>
    <t>PL 003-0016/2025</t>
  </si>
  <si>
    <t>Materiales - Colocar Banner de Campo Limpio</t>
  </si>
  <si>
    <t>001-4080</t>
  </si>
  <si>
    <t>Materiales - Instalacion de Banner - Capacitacion de Campo Limpio</t>
  </si>
  <si>
    <t>001-4079</t>
  </si>
  <si>
    <t>Capacitacion de Supervisores - Desayuno 23.01.2025</t>
  </si>
  <si>
    <t>001-150</t>
  </si>
  <si>
    <t>Nelson Quispe</t>
  </si>
  <si>
    <t>Recogedor</t>
  </si>
  <si>
    <t>E001-5202</t>
  </si>
  <si>
    <t>Peaje - Entrega de montacargas en Villa Esperanza</t>
  </si>
  <si>
    <t>F214-1935921</t>
  </si>
  <si>
    <t>F211-2205859</t>
  </si>
  <si>
    <t>Lavado de camioneta VBW889 23.01.2025</t>
  </si>
  <si>
    <t>E001-583</t>
  </si>
  <si>
    <t>Lavado de camioneta VBW889 17.01.2025</t>
  </si>
  <si>
    <t>E001-715</t>
  </si>
  <si>
    <t>Devolucion - RQ.STI.067 / RQ.STI.068 / Transporte (Devolucion OP. 001-12063)</t>
  </si>
  <si>
    <t>Planilla de movilidad 16.01.2025</t>
  </si>
  <si>
    <t>PL 003-0018/2025</t>
  </si>
  <si>
    <t>Planilla de movilidad 17.01.2025</t>
  </si>
  <si>
    <t>PL 003-0019/2025</t>
  </si>
  <si>
    <t>Planilla de movilidad 21.01.2025</t>
  </si>
  <si>
    <t>PL 003-0020/2025</t>
  </si>
  <si>
    <t>Planilla de movilidad 23.01.2025</t>
  </si>
  <si>
    <t>PL 003-0021/2025</t>
  </si>
  <si>
    <t>Planilla de movilidad 24.01.2025</t>
  </si>
  <si>
    <t>PL 003-0022/2025</t>
  </si>
  <si>
    <t>Planilla de movilidad 29.01.2025</t>
  </si>
  <si>
    <t>PL 003-0023/2025</t>
  </si>
  <si>
    <t>Planilla de movilidad 30.01.2025</t>
  </si>
  <si>
    <t>PL 003-0024/2025</t>
  </si>
  <si>
    <t>PL 003-0025/2025</t>
  </si>
  <si>
    <t>Movilidad - Entrega de Documentos Cargo Transport</t>
  </si>
  <si>
    <t>PL 003-0086/2025</t>
  </si>
  <si>
    <t>F001-5167</t>
  </si>
  <si>
    <t>Recojo de documentos, guías, fichas y manifiestos de Olva sede Parra CC-001-0092</t>
  </si>
  <si>
    <t>PL 003-0088/2025</t>
  </si>
  <si>
    <t>RQ.OPE.765 - Elaboracion de estructuras de reforzamiento para la barra de las puertas de la carroceria</t>
  </si>
  <si>
    <t>FE02-37788</t>
  </si>
  <si>
    <t>Alimentacio - Carguio de residuos peligrosos y supervision de manejo de montacargas - Villa Esperanza</t>
  </si>
  <si>
    <t>001-995</t>
  </si>
  <si>
    <t>Capacitacion NextSoft - Implementacion</t>
  </si>
  <si>
    <t>001-151</t>
  </si>
  <si>
    <t>Driza 3/8" - Enfardar sacas</t>
  </si>
  <si>
    <t>E001-1856</t>
  </si>
  <si>
    <t>Planilla de movilidad 06.02.2025</t>
  </si>
  <si>
    <t>PL 003-0026/2025</t>
  </si>
  <si>
    <t>Peajes Uchumayo - Atencion medica para personal de Villa esperanza (Angel Flores)</t>
  </si>
  <si>
    <t>F213-1666667 / F212-1647660</t>
  </si>
  <si>
    <t>PL 003-0027/2025</t>
  </si>
  <si>
    <t>Planilla de movilidad 28.01.2025</t>
  </si>
  <si>
    <t>PL 003-0028/2025</t>
  </si>
  <si>
    <t>PL 003-0029/2025</t>
  </si>
  <si>
    <t>Planilla de movilidad 31.01.2025</t>
  </si>
  <si>
    <t>PL 003-0030/2025</t>
  </si>
  <si>
    <t>Planilla de movilidad 04.02.2025</t>
  </si>
  <si>
    <t>PL 003-0031/2025</t>
  </si>
  <si>
    <t>PL 003-0032/2025</t>
  </si>
  <si>
    <t>Judith Serrano</t>
  </si>
  <si>
    <t>Rep. - Caja Chica AQP - RC 001-001_2025</t>
  </si>
  <si>
    <t>Devolucion de Prestamo Interno</t>
  </si>
  <si>
    <t>RQ.OPE.921 - Servicio de alineamiento y balanceo</t>
  </si>
  <si>
    <t>Lavado a solicitud de Gerencia</t>
  </si>
  <si>
    <t>E001-612</t>
  </si>
  <si>
    <t>PL 003-0033/2025</t>
  </si>
  <si>
    <t>Planilla de movilidad 03.02.2025</t>
  </si>
  <si>
    <t>PL 003-0034/2025</t>
  </si>
  <si>
    <t>Parqueo San Camilo y Mariscal Castilla CC-001-0094</t>
  </si>
  <si>
    <t>PL 003-0035/2025</t>
  </si>
  <si>
    <t>Reparacion de mueble de melamine - RQ.LOG.238 - CC-001-0095</t>
  </si>
  <si>
    <t>RXH E001-15 / F001-465 / PL 003-0039/2025</t>
  </si>
  <si>
    <t>NO DEJA AJUSTAR 0.01 DE FACT</t>
  </si>
  <si>
    <t>Polos y Buzos (Servicio de Alsur Cusco)</t>
  </si>
  <si>
    <t>002-520</t>
  </si>
  <si>
    <t>Tramite Notaria Linares / Transporte - CC-001-0096</t>
  </si>
  <si>
    <t>PL 003-0043/2025</t>
  </si>
  <si>
    <t>Valeria Jibaja</t>
  </si>
  <si>
    <t>Compra de Driza Polipropileno Trenza Blanca 3/8" - CC-001-0097</t>
  </si>
  <si>
    <t>E001-7063</t>
  </si>
  <si>
    <t>Fotochecks en Pvc Completos</t>
  </si>
  <si>
    <t>F001-3983</t>
  </si>
  <si>
    <t>Geraldyn Ramos</t>
  </si>
  <si>
    <t>Transporte - Compra de zapatos de seguridad RQ.SSO.198</t>
  </si>
  <si>
    <t>F002-822211</t>
  </si>
  <si>
    <t>RQ.OPE.932 - Servicio tecnico cambio de Bateria 6x4 volt</t>
  </si>
  <si>
    <t>E001-601</t>
  </si>
  <si>
    <t>RQ.LOG.243 - Envio de Epps - Lima</t>
  </si>
  <si>
    <t>F207-269607</t>
  </si>
  <si>
    <t>Transporte - Deposito de dinero a proveedores CC-001-0097</t>
  </si>
  <si>
    <t>PL 003-0036/2025</t>
  </si>
  <si>
    <t>RQ.OPE.886 - Escoba y Recogedor</t>
  </si>
  <si>
    <t>E001-5290</t>
  </si>
  <si>
    <t>Visita tecnica a SENATI (Puno y Juliaca)</t>
  </si>
  <si>
    <t>F313-364131 / F311-1703170 / F411-1054996 / F412-1018268</t>
  </si>
  <si>
    <t>Encomienda / Recojo de documentos / Movilidad ovalo mariscal castilla / Retorno Almacen - CC-001-0098</t>
  </si>
  <si>
    <t>PL 003-0085/2025 / F352-76174</t>
  </si>
  <si>
    <t>F352</t>
  </si>
  <si>
    <t>Transporte para pago de cuota "Mi Banco"</t>
  </si>
  <si>
    <t>PL 003-0037/2025</t>
  </si>
  <si>
    <t>Refaccion y instalacion de parachoque posterior - BKK849</t>
  </si>
  <si>
    <t>F001-70</t>
  </si>
  <si>
    <t>Servicio de disposicion de residuos - Innova La Joya (Ida y Vuelta)</t>
  </si>
  <si>
    <t>F211-2235615 / F213-1677846</t>
  </si>
  <si>
    <t>Servicio Danper 13.02.2025</t>
  </si>
  <si>
    <t>F211-2231306 / F214-1959472</t>
  </si>
  <si>
    <t>Servicio Molycop 12.02.2025</t>
  </si>
  <si>
    <t>F214-1958263</t>
  </si>
  <si>
    <t>Limpieza de cabezal - Impresora Epson L5190 (GH) - RQ.STI.071 - CC-001-0099</t>
  </si>
  <si>
    <t>BV 001-8206 / PL 003-0038/2025</t>
  </si>
  <si>
    <t>Regularizacion de documentos - UCSM - Alimentos procesados S.A.</t>
  </si>
  <si>
    <t>PL 003-0039/2025</t>
  </si>
  <si>
    <t>RQ.SSO.210 - Cebo mantequilla de mani - Cebo de atun CC-001-0100</t>
  </si>
  <si>
    <t>FA66-18285 / PL 003-0040/2025</t>
  </si>
  <si>
    <t>RQ.SSO.203 - Toallas de aseo, sandalias de ducha - CC-001-0101</t>
  </si>
  <si>
    <t>0001-936 / 0001-20188</t>
  </si>
  <si>
    <t>Planilla de movilidad 27.02.2025</t>
  </si>
  <si>
    <t>PL 003-0041/2025</t>
  </si>
  <si>
    <t>Olva Courier - Envio de documentos Alquimodul y Dominion</t>
  </si>
  <si>
    <t>F553-00004359</t>
  </si>
  <si>
    <t>Recojo de documentos, guías, fichas y manifiestos de Olva sede Parra a Santa Anita CC-001-0102</t>
  </si>
  <si>
    <t>F549-13275</t>
  </si>
  <si>
    <t>Planilla de movilidad 28.02.2025</t>
  </si>
  <si>
    <t>PL 003-0042/2025</t>
  </si>
  <si>
    <t>Cartulina Hilo - Certificados Administracion</t>
  </si>
  <si>
    <t>F003-92648</t>
  </si>
  <si>
    <t>Planilla de movilidad 17.02.2025</t>
  </si>
  <si>
    <t>PL 003-0044/2025</t>
  </si>
  <si>
    <t>Planilla de movilidad 21.02.2025 / CC-001-0103</t>
  </si>
  <si>
    <t>PL 003-0045/2025</t>
  </si>
  <si>
    <t>RQ.LOG.242 - Comida para can de Villa Esperanza</t>
  </si>
  <si>
    <t>DEV</t>
  </si>
  <si>
    <t>CC-001-0104</t>
  </si>
  <si>
    <t>RQ.LOG.262 - Transporte materiales para enchapado de 4to piso CC-001-00105</t>
  </si>
  <si>
    <t>PL 003-0067/2025</t>
  </si>
  <si>
    <t>Facturas Varias</t>
  </si>
  <si>
    <t>FE01-33866 / F211-2235945 / F001-33899 / E001-1205 / BV 001-1430 / F002-2526 / F40P-18617 / F002-20799</t>
  </si>
  <si>
    <t>Rep. - Caja Chica AQP - RC 001-002_2025</t>
  </si>
  <si>
    <t>Transporte para atencion de SCTR - Daniel Alcca - CC-001-0106</t>
  </si>
  <si>
    <t>PL 003-0048/2025</t>
  </si>
  <si>
    <t>Compra de pegamento - Terocal - Indicacion por Sr. Imer - CC-001-0107</t>
  </si>
  <si>
    <t>BV 001-4111</t>
  </si>
  <si>
    <t>Documentos pendientes 2024 - Fernando M.</t>
  </si>
  <si>
    <t>BV 001-3970 / F003-922 / F002-3599</t>
  </si>
  <si>
    <t>Planilla de movilidad 05.03.2025</t>
  </si>
  <si>
    <t>PL 003-0046/2025</t>
  </si>
  <si>
    <t>Peaje para Villa esperanza - Verificar material metalico (barras)</t>
  </si>
  <si>
    <t>F213-1679998 / F212-16611111</t>
  </si>
  <si>
    <t>Almuerzo para personal que realizo cargio de residuos no peligrosos y no aprovechables 7 ton - RCD - 40ton - FS 001-4157 / 001-4158 / 001-4163</t>
  </si>
  <si>
    <t>F004-1075</t>
  </si>
  <si>
    <t>Visita tecnica a Pesquera Diamante</t>
  </si>
  <si>
    <t>F113-371120 / F112-455328</t>
  </si>
  <si>
    <t>PL 003-0047/2025</t>
  </si>
  <si>
    <t>Facturas Varias - Natalia R.</t>
  </si>
  <si>
    <t>F001-5189 / F001-5190 / F129-30159 / F129-30160 / 001-22682</t>
  </si>
  <si>
    <t>Torta para cumpleaños de sede Lima - RQ.GH.138</t>
  </si>
  <si>
    <t>FW01-726</t>
  </si>
  <si>
    <t>Planilla de movilidad 14.02.2025</t>
  </si>
  <si>
    <t>PL 003-0049/2025</t>
  </si>
  <si>
    <t>Compra para limpieza de baño del 4to piso - Visita de Consultor Externo 04.03.2025</t>
  </si>
  <si>
    <t>001-4109</t>
  </si>
  <si>
    <t>Comparir con personal de Villa Esperanza</t>
  </si>
  <si>
    <t>F001-5427</t>
  </si>
  <si>
    <t>Envio de estoka</t>
  </si>
  <si>
    <t>F207-271851</t>
  </si>
  <si>
    <t>RQ.LOG.249 - Enchufe</t>
  </si>
  <si>
    <t>E001-255</t>
  </si>
  <si>
    <t>RQ.LOG.259 - Galones de thinner / Disco</t>
  </si>
  <si>
    <t>001-4110</t>
  </si>
  <si>
    <t>RQ.LOG.259 - Clavo de madera / Pegamento Africano</t>
  </si>
  <si>
    <t>F001-2020</t>
  </si>
  <si>
    <t>Servicio de estacionamiento</t>
  </si>
  <si>
    <t>F004-3353</t>
  </si>
  <si>
    <t>RQ.LOG.242 - Ricocan (Comida de perro)</t>
  </si>
  <si>
    <t>FF41-500344</t>
  </si>
  <si>
    <t>RQ.LOG.260 - Servicio de lavado de ropa de trabajo</t>
  </si>
  <si>
    <t>EB01-7</t>
  </si>
  <si>
    <t>RQ.LOG.266 - 2 Aguas 8L</t>
  </si>
  <si>
    <t>001-6401</t>
  </si>
  <si>
    <t>Lavado completo del vehiculo VBW-889</t>
  </si>
  <si>
    <t>E001-776</t>
  </si>
  <si>
    <t>Planilla de movilidad 06.03.2025</t>
  </si>
  <si>
    <t>PL 003-0050/2025</t>
  </si>
  <si>
    <t>Planilla de movilidad 07.02.2025</t>
  </si>
  <si>
    <t>PL 003-0051/2025</t>
  </si>
  <si>
    <t>Planilla de movilidad 10.02.2025</t>
  </si>
  <si>
    <t>PL 003-0052/2025</t>
  </si>
  <si>
    <t>Planilla de movilidad 11.02.2025</t>
  </si>
  <si>
    <t>PL 003-0053/2025</t>
  </si>
  <si>
    <t>Planilla de movilidad 12.02.2025</t>
  </si>
  <si>
    <t>PL 003-0054/2025</t>
  </si>
  <si>
    <t>Planilla de movilidad 13.02.2025</t>
  </si>
  <si>
    <t>PL 003-0055/2025</t>
  </si>
  <si>
    <t>PL 003-0056/2025</t>
  </si>
  <si>
    <t>PL 003-0057/2025</t>
  </si>
  <si>
    <t>Planilla de movilidad 18.02.2025</t>
  </si>
  <si>
    <t>PL 003-0058/2025</t>
  </si>
  <si>
    <t>Planilla de movilidad 19.02.2025</t>
  </si>
  <si>
    <t>PL 003-0059/2025</t>
  </si>
  <si>
    <t>Planilla de movilidad 20.02.2025</t>
  </si>
  <si>
    <t>PL 003-0060/2025</t>
  </si>
  <si>
    <t>Planilla de movilidad 24.02.2025</t>
  </si>
  <si>
    <t>PL 003-0061/2025</t>
  </si>
  <si>
    <t>Planilla de movilidad 25.02.2025</t>
  </si>
  <si>
    <t>PL 003-0062/2025</t>
  </si>
  <si>
    <t>Planilla de movilidad 26.02.2025</t>
  </si>
  <si>
    <t>PL 003-0063/2025</t>
  </si>
  <si>
    <t>RQ.OPE.985 - Mantenimiento Preventivo y cambio de aceite de dos motobombas</t>
  </si>
  <si>
    <t>E001-344</t>
  </si>
  <si>
    <t>Transporte de Plaza Vea (Av. Marina) hasta Sachaca</t>
  </si>
  <si>
    <t>PL 003-0064/2025</t>
  </si>
  <si>
    <t>Para envio de sobre a Tacna - Megapesca</t>
  </si>
  <si>
    <t>F508-29171</t>
  </si>
  <si>
    <t>Bocaditos para despedida de consultor Cesar L.</t>
  </si>
  <si>
    <t>FA25-2801286 / E001-3</t>
  </si>
  <si>
    <t>EB01-65</t>
  </si>
  <si>
    <t>RQ.LOG.252 - Mini Drill 130W</t>
  </si>
  <si>
    <t>FF03-1438</t>
  </si>
  <si>
    <t>RQ.LOG.259 - Cola Teknocola Ultra / Laca Blanca / Lijar Granate</t>
  </si>
  <si>
    <t>F003-43392</t>
  </si>
  <si>
    <t>Transporte para atencion de Gisel Pari - Emergencia Essalud</t>
  </si>
  <si>
    <t>PL 003-0065/2025</t>
  </si>
  <si>
    <t>Juber Monteza</t>
  </si>
  <si>
    <t>Caja para cosas personal - Retorno Lima / Arequipa</t>
  </si>
  <si>
    <t>FX61-122</t>
  </si>
  <si>
    <t>RQ.STI.075 - Servicio tecnico de mantenimiento y movilidad</t>
  </si>
  <si>
    <t>CC-001-0108</t>
  </si>
  <si>
    <t>Lavado de Vehiculo VBW889</t>
  </si>
  <si>
    <t>E001-784</t>
  </si>
  <si>
    <t>Planilla de movilidad 13.03.2025</t>
  </si>
  <si>
    <t>PL 003-0066/2025</t>
  </si>
  <si>
    <t>PL 003-0069/2025</t>
  </si>
  <si>
    <t>Inspeccion Tecnica VBW889 - RQ.OPE.992</t>
  </si>
  <si>
    <t>F001-34269</t>
  </si>
  <si>
    <t>Transporte para compra de insumos de limpieza</t>
  </si>
  <si>
    <t>PL 003-0068/2025</t>
  </si>
  <si>
    <t>Balanza - Venta de plastico - Transporte tercerizado - Cosise</t>
  </si>
  <si>
    <t>F002-129083 / F002-129082</t>
  </si>
  <si>
    <t>Balanza - Venta de Chatarra</t>
  </si>
  <si>
    <t>FE02-15545</t>
  </si>
  <si>
    <t>Estacionamiento VBW889 - RQ.LOG.261</t>
  </si>
  <si>
    <t>F004-3406</t>
  </si>
  <si>
    <t>Balanza - Venta de alambron - Transportes y  Servicios Areos</t>
  </si>
  <si>
    <t>FE02-15785</t>
  </si>
  <si>
    <t>FE02-15784</t>
  </si>
  <si>
    <t>FE02-15783</t>
  </si>
  <si>
    <t>Devolucion - RQ.STI.075 - Servicio tecnico de mantenimiento y movilidad</t>
  </si>
  <si>
    <t>Devolucion - RQ.LOG.242 - Comida para can de Villa Esperanza</t>
  </si>
  <si>
    <t>Carguio de alambron y viruta metalica en unidad tercera de 30Ton - Bebidas y pastel</t>
  </si>
  <si>
    <t>F001-5438</t>
  </si>
  <si>
    <t>Spray para etiquetados de sacas - RQ.OPE.1005</t>
  </si>
  <si>
    <t>001-4129 / 001-4128</t>
  </si>
  <si>
    <t>Recojo de polos, pantalones (Shalom) - Movilidad - CC-001-0109</t>
  </si>
  <si>
    <t>F207-273520 / PL 003-0079/2025</t>
  </si>
  <si>
    <t>F207</t>
  </si>
  <si>
    <t>PL 003-0070/2025</t>
  </si>
  <si>
    <t>Planilla de movilidad 03.03.2025</t>
  </si>
  <si>
    <t>PL 003-0071/2025</t>
  </si>
  <si>
    <t>Planilla de movilidad 04.03.2025</t>
  </si>
  <si>
    <t>PL 003-0072/2025</t>
  </si>
  <si>
    <t>PL 003-0073/2025</t>
  </si>
  <si>
    <t>PL 003-0074/2025</t>
  </si>
  <si>
    <t>Planilla de movilidad 07.03.2025</t>
  </si>
  <si>
    <t>PL 003-0075/2025</t>
  </si>
  <si>
    <t>Visita Tecnica y Supervision - Pesquera Diamante</t>
  </si>
  <si>
    <t>F112-458531 / F114-1020197</t>
  </si>
  <si>
    <t>Transporte de Almacen Huaranguillo - BCP - Almacen Huaranguillo - Pago de cuota Compartamos F.</t>
  </si>
  <si>
    <t>PL 003-0076/2025</t>
  </si>
  <si>
    <t>Planilla de movilidad 20.03.2025</t>
  </si>
  <si>
    <t>PL 003-0077/2025</t>
  </si>
  <si>
    <t>Planilla de movilidad 18.03.2025</t>
  </si>
  <si>
    <t>PL 003-0078/2026</t>
  </si>
  <si>
    <t xml:space="preserve">Alojamiento mecánico Lima, reparación y mnto. De montacarga </t>
  </si>
  <si>
    <t>BV 002-2900</t>
  </si>
  <si>
    <t>Combustible para montacargas (mantenimiento)</t>
  </si>
  <si>
    <t>FA05-80543</t>
  </si>
  <si>
    <t>RQ.COM.284 - Pistola para pintar sacas (01)</t>
  </si>
  <si>
    <t>F001-00023401</t>
  </si>
  <si>
    <t xml:space="preserve">Balanza -Carguio de residuos peligrosos - Transporte tercerizado </t>
  </si>
  <si>
    <t>F002-129539</t>
  </si>
  <si>
    <t xml:space="preserve">Compra de galletas para capacitación de Nextsoft </t>
  </si>
  <si>
    <t>BV 001-155</t>
  </si>
  <si>
    <t>RQ.STI.079 Tinta Negra, cian, magenta y amarillo Impresora Epson L6171 (Lima) CC-001-0110</t>
  </si>
  <si>
    <t>E001-286</t>
  </si>
  <si>
    <t>Mantenimiento preventivo de Montacarga (Compra filtro de aire)</t>
  </si>
  <si>
    <t>E001-3041</t>
  </si>
  <si>
    <t>RQ.COM.244 - Materiales contenedor metálico para nuestro cliente FLSmidth.</t>
  </si>
  <si>
    <t>E001-260 / F006-35732 / FE01-5927</t>
  </si>
  <si>
    <t>RQ.OPE.1005 - Pintura spray negro / Verde / Rojo</t>
  </si>
  <si>
    <t>FDX1-145</t>
  </si>
  <si>
    <t>F002-128391 / F002-128387 / F002-128457 /F002-128455 / F002-128451 / F002-128448 / F002-128393 / E001-681 / E001-3038 / E001-885 / F003-39399 / 001-1097 / F213-1679488 / F211-2238018</t>
  </si>
  <si>
    <t>Alison Rodriguez</t>
  </si>
  <si>
    <t>Planilla de movilidad 24.03.2025 CC-001-0111</t>
  </si>
  <si>
    <t>PL 003-0080/2025</t>
  </si>
  <si>
    <t>Planilla de movilidad 25.03.2025</t>
  </si>
  <si>
    <t>PL 003-0081/2025</t>
  </si>
  <si>
    <t>Encomienda de polos / Taxi CC-001-0112</t>
  </si>
  <si>
    <t>F399-176 / PL 003-0085/2026</t>
  </si>
  <si>
    <t>F399</t>
  </si>
  <si>
    <t>Rep. - Caja Chica AQP - RC 001-003_2025</t>
  </si>
  <si>
    <t>Planilla de movilidad 26.03.2025</t>
  </si>
  <si>
    <t>PL 003-0082/2026</t>
  </si>
  <si>
    <t>Planilla de movilidad 28.03.2025</t>
  </si>
  <si>
    <t>PL 003-0083/2026</t>
  </si>
  <si>
    <t>PL 003-0084/2026</t>
  </si>
  <si>
    <t>RQ.LOG.276 - Compra de plancha metalica (Logistica)</t>
  </si>
  <si>
    <t>F013-93084</t>
  </si>
  <si>
    <t>Movilidad - Almacen Gytres a Plastisur ida y retorno - CC-001-0113</t>
  </si>
  <si>
    <t>PL 003-0101/2025</t>
  </si>
  <si>
    <t>Movilidad - Almacen Gytres a Ovalo de Volvo ida y retorno CC-001-0114</t>
  </si>
  <si>
    <t>PL 003-0089/2025</t>
  </si>
  <si>
    <t>RQ.STI.080 - Entrega de laptop al tecnico - Recojo de laptop</t>
  </si>
  <si>
    <t>CC-001-0115</t>
  </si>
  <si>
    <t>Servicio Granja Rinconada del Sur - Planilla de Movilidad 18.03.2025</t>
  </si>
  <si>
    <t>F211-2277055 / PL 003-00129/2025</t>
  </si>
  <si>
    <t>F211</t>
  </si>
  <si>
    <t>Servicio Alquimodul - Taller san lucas</t>
  </si>
  <si>
    <t>FE01-34204 / FE01-34199</t>
  </si>
  <si>
    <t>Envio de encomienda por Olva C. (Manifiestos y guias para FICEMIN)</t>
  </si>
  <si>
    <t>F549-13416</t>
  </si>
  <si>
    <t>Planilla de movilidad 10.03.2025</t>
  </si>
  <si>
    <t>PL 003-0090/2025</t>
  </si>
  <si>
    <t>Planilla de movilidad 11.03.2025</t>
  </si>
  <si>
    <t>PL 003-0091/2025</t>
  </si>
  <si>
    <t>Planilla de movilidad 12.03.2025</t>
  </si>
  <si>
    <t>PL 003-0092/2025</t>
  </si>
  <si>
    <t>PL 003-0093/2025</t>
  </si>
  <si>
    <t>Planilla de movilidad 14.03.2025</t>
  </si>
  <si>
    <t>PL 003-0094/2025</t>
  </si>
  <si>
    <t>Planilla de movilidad 17.03.2025</t>
  </si>
  <si>
    <t>PL 003-0095/2025</t>
  </si>
  <si>
    <t>Planilla de movilidad 19.03.2025</t>
  </si>
  <si>
    <t>PL 003-0096/2025</t>
  </si>
  <si>
    <t>PL 003-0097/2025</t>
  </si>
  <si>
    <t>Planilla de movilidad 21.03.2025</t>
  </si>
  <si>
    <t>PL 003-0098/2025</t>
  </si>
  <si>
    <t>Karina Ramirez</t>
  </si>
  <si>
    <t>Dulces para capacitacion SIG - RQ.SIG.025 - CC-001-0116</t>
  </si>
  <si>
    <t>F001-134</t>
  </si>
  <si>
    <t>Almacen Huaranguillo - BCP (Ovalo Quiñones)</t>
  </si>
  <si>
    <t>PL 003-0099/2025</t>
  </si>
  <si>
    <t>Almacen Huaranguillo - Sabandia (Livigui)</t>
  </si>
  <si>
    <t>PL 003-0100/2025</t>
  </si>
  <si>
    <t>Balanzas por venta de chatarra NS: 001- N° 004296</t>
  </si>
  <si>
    <t>FE02-16000 / FE02-15999 / FE02-15998 / FE02-16003</t>
  </si>
  <si>
    <t>Recojo de documentos - Olva Parra</t>
  </si>
  <si>
    <t>CC-001-0116</t>
  </si>
  <si>
    <t>Disco de madera 4.5</t>
  </si>
  <si>
    <t>F001-828</t>
  </si>
  <si>
    <t>Plastico Stretch Film</t>
  </si>
  <si>
    <t>F004-112335</t>
  </si>
  <si>
    <t>Compra de muestras - RQ.OPE.1025</t>
  </si>
  <si>
    <t>F013-34128</t>
  </si>
  <si>
    <t>FF01-00012326</t>
  </si>
  <si>
    <t>PL 003-0102/2025</t>
  </si>
  <si>
    <t>Planilla de movilidad 02.04.2025</t>
  </si>
  <si>
    <t>PL 003-0103/2025</t>
  </si>
  <si>
    <t>Envio de documentos a Almacen Santa Anita (Lima)</t>
  </si>
  <si>
    <t>F500-34550</t>
  </si>
  <si>
    <t>Movilidad Gytres a Muñoz Najar - RQ.STI.070 - CC-001-0118</t>
  </si>
  <si>
    <t>PL 003-0105/2025</t>
  </si>
  <si>
    <t>Planilla de movilidad 07.04.2025</t>
  </si>
  <si>
    <t>PL 003-0104/2025</t>
  </si>
  <si>
    <t>Planilla de movilidad 03.04.2025 / 04.04.2025</t>
  </si>
  <si>
    <t>PL 003-0106/2025</t>
  </si>
  <si>
    <t>Balanza - Recoleccion y transporte de Residuos no peligrosos con restos metalicos - FS: 001-4338</t>
  </si>
  <si>
    <t>F002-130201 / F002-130202</t>
  </si>
  <si>
    <t>RQ.COM.292 - RQ.SSO.224 - RQ.COM.264 - CC-001-0119</t>
  </si>
  <si>
    <t>F001-4125
F001-4124</t>
  </si>
  <si>
    <t>Reposicion de Peso - Cliente Celicom FS 001-4329 04.04.2025 - Recoleccion de residuos no peligrosos (Restos Metalicos)</t>
  </si>
  <si>
    <t>F002-130354</t>
  </si>
  <si>
    <t>Planilla de movilidad 24.03.2025</t>
  </si>
  <si>
    <t>PL 003-0107/2025</t>
  </si>
  <si>
    <t>PL 003-0108/2025</t>
  </si>
  <si>
    <t>Planilla de movilidad 27.03.2025</t>
  </si>
  <si>
    <t>PL 003-0109/2025</t>
  </si>
  <si>
    <t>PL 003-0110/2025</t>
  </si>
  <si>
    <t>Planilla de movilidad 31.03.2025</t>
  </si>
  <si>
    <t>PL 003-0111/2025</t>
  </si>
  <si>
    <t>Filtro de aceite y refrigerante verde - Planilla de movilidad 28.03.2025</t>
  </si>
  <si>
    <t>E001-3056 / PL 003-0131/2025</t>
  </si>
  <si>
    <t>Pines para identificacion del CIFHS - CC-001-0120</t>
  </si>
  <si>
    <t>F001-5819 / F001-4126</t>
  </si>
  <si>
    <t>Carguio de chatarra todo el dia, coordinado con el area comercial</t>
  </si>
  <si>
    <t>F001-5715</t>
  </si>
  <si>
    <t>Planilla de movilidad 10.04.2025</t>
  </si>
  <si>
    <t>PL 003-0112/2025</t>
  </si>
  <si>
    <t>Planilla de movilidad 04.04.2025</t>
  </si>
  <si>
    <t>PL 003-0113/2025</t>
  </si>
  <si>
    <t>Almuerzo en supervision de servicio a Pesquera Diamante</t>
  </si>
  <si>
    <t>E001-2420</t>
  </si>
  <si>
    <t>Peaje a almacen Villa Esperanza -CC-001-0121</t>
  </si>
  <si>
    <t>F212-1702341</t>
  </si>
  <si>
    <t>Compra de dos tortas para compartir en Lima - RQ.GH.164</t>
  </si>
  <si>
    <t>FW01-824</t>
  </si>
  <si>
    <t xml:space="preserve">FALTA FISICO </t>
  </si>
  <si>
    <t>Envio de documentos - Almacen Santa Anita / Alquimodul  / Pesquera Diamante</t>
  </si>
  <si>
    <t>F553-4655</t>
  </si>
  <si>
    <t>Vuelto - Cancelacion de ultima cuota (21) - Financiera Confianza S.A.A.</t>
  </si>
  <si>
    <t>Balanzas recoleccion y transporte de residuos no peligrosos con restos metalicos FS: 001-4329</t>
  </si>
  <si>
    <t>F002-130149 / F002-130148</t>
  </si>
  <si>
    <t>Planilla de movilidad 11.04.2025</t>
  </si>
  <si>
    <t>PL 003-0114/2025</t>
  </si>
  <si>
    <t>Planilla de movilidad 01.04.2025</t>
  </si>
  <si>
    <t>PL 003-0115/2025</t>
  </si>
  <si>
    <t>Planilla de movilidad 03.04.2025</t>
  </si>
  <si>
    <t>PL 003-0116/2025</t>
  </si>
  <si>
    <t>PL 003-0117/2025</t>
  </si>
  <si>
    <t>PL 003-0118/2025</t>
  </si>
  <si>
    <t>Planilla de movilidad 08.04.2025</t>
  </si>
  <si>
    <t>PL 003-0119/2025</t>
  </si>
  <si>
    <t>Planilla de movilidad 09.04.2025</t>
  </si>
  <si>
    <t>PL 003-0120/2025</t>
  </si>
  <si>
    <t>PL 003-0121/2025</t>
  </si>
  <si>
    <t>PL 003-0122/2025</t>
  </si>
  <si>
    <t>Balanza - Venta de chatarra metalica a Sider Peru 11-04-2025</t>
  </si>
  <si>
    <t>F002-130520</t>
  </si>
  <si>
    <t>Planilla de movilidad - Transporte de personal para apertura de peso - Venta SIDER</t>
  </si>
  <si>
    <t>PL 003-0123/2025</t>
  </si>
  <si>
    <t>Planilla de movilidad - Transporte de personal para visita tecnica a Lider Constructora</t>
  </si>
  <si>
    <t>PL 003-0124/2025</t>
  </si>
  <si>
    <t>RQ.GER.057 - RQ.STI.081</t>
  </si>
  <si>
    <t>RXH E001-1279 / RXH E001-1280</t>
  </si>
  <si>
    <t>Planilla de movilidad 15.04.2025</t>
  </si>
  <si>
    <t>PL 003-0125/2025</t>
  </si>
  <si>
    <t xml:space="preserve">Compra de paq. Bolsas plásticas (02), para envío de muestras de barrido hacia Lima </t>
  </si>
  <si>
    <t>BV 001-000156</t>
  </si>
  <si>
    <t>PL 003-0126/2025</t>
  </si>
  <si>
    <t xml:space="preserve">Compra Te filtrantes para asesor </t>
  </si>
  <si>
    <t>CC-001-0122</t>
  </si>
  <si>
    <t>PL 003-0127/2025</t>
  </si>
  <si>
    <t>Compartir organizado por Gerencia para presentacion de consultor Oscar</t>
  </si>
  <si>
    <t>FA01-30325 / FA57-15742 / PL 003-0128/2025</t>
  </si>
  <si>
    <t>FA57</t>
  </si>
  <si>
    <t>Almuerzo de confraternidad - Administracion</t>
  </si>
  <si>
    <t>F001-8371</t>
  </si>
  <si>
    <t>Plancha Galva - RQ.COM.292 (Adicional 1 contenedor)</t>
  </si>
  <si>
    <t>F016-118530</t>
  </si>
  <si>
    <t>Salvador Molina</t>
  </si>
  <si>
    <t xml:space="preserve"> RQ.LOG.286 - CC-001-0123</t>
  </si>
  <si>
    <t>FA05-1665902</t>
  </si>
  <si>
    <t>Rep. - Caja Chica AQP - RC 001-004_2025</t>
  </si>
  <si>
    <t>Facturas varias - Planilla de movilidad 07.04.2025 / 08.04.2025 / 10.04.2025</t>
  </si>
  <si>
    <t>F001-67424 / E001-833 / PL 003-0129/2025</t>
  </si>
  <si>
    <t>Donacion de baterias a Comisaria de pampa de camarones - Se entrego solo 170.00 - CFI.D24-03-0287</t>
  </si>
  <si>
    <t>FFF1-8214</t>
  </si>
  <si>
    <t>FICTICIO</t>
  </si>
  <si>
    <t xml:space="preserve">RQ.LOG.287 - Comba y cincel - Almacen Villa Esperanza - CC-001-0123 </t>
  </si>
  <si>
    <t>F001-883</t>
  </si>
  <si>
    <t>Planilla de movilidad 22.04.2025</t>
  </si>
  <si>
    <t>PL 003-0130/2025</t>
  </si>
  <si>
    <t>Balanzas por verificación merma en Parque Industrial - Venta de chatarra
Cliente: Wilfredo Narvaez</t>
  </si>
  <si>
    <t>E001-93</t>
  </si>
  <si>
    <t>PL 003-0134/2025</t>
  </si>
  <si>
    <t>Entrega de documentos</t>
  </si>
  <si>
    <t>Karol Pari</t>
  </si>
  <si>
    <t>Planilla de movilidad 23.04.2025</t>
  </si>
  <si>
    <t>PL 003-0132/2025</t>
  </si>
  <si>
    <t>Planilla de movilidad 24.04.2025</t>
  </si>
  <si>
    <t>PL 003-0145/2025</t>
  </si>
  <si>
    <t>PL 003-0146/2025</t>
  </si>
  <si>
    <t>RQ.COM.306 Compra de estampado de bolsas de tocuyo/ Movilidad 24.04.2025</t>
  </si>
  <si>
    <t>F004-2522
PL 003-0136/2025</t>
  </si>
  <si>
    <t>Envio de documentos - Almacen Santa Anita</t>
  </si>
  <si>
    <t>F553-4741</t>
  </si>
  <si>
    <t>Planilla de movilidad 25.04.2025</t>
  </si>
  <si>
    <t>PL 003-0147/2025</t>
  </si>
  <si>
    <t>Jorge Queque</t>
  </si>
  <si>
    <t>Inspeccion Tecnica V9R-903 - RQ.OPE.1054</t>
  </si>
  <si>
    <t>F001-35177</t>
  </si>
  <si>
    <t>Venta de chatarra metalica NS: 001-4336 - Sider Peru</t>
  </si>
  <si>
    <t>PL 003-0133/2025
F213-1725985
F002-130739</t>
  </si>
  <si>
    <t>F213</t>
  </si>
  <si>
    <t>Servicio tecnico y mantenimiento de motobomba - RQ.OPE.1101</t>
  </si>
  <si>
    <t>E001-1190</t>
  </si>
  <si>
    <t>Combustible para motobomba - Servicio FLSmidth - Limpieza de PTAR</t>
  </si>
  <si>
    <t>F23R-16565</t>
  </si>
  <si>
    <t>Alimentacion - Carguio de chatarra (viruta) en unidad tercerizada</t>
  </si>
  <si>
    <t>F001-5773
F001-5881</t>
  </si>
  <si>
    <t>Capacitacion de Planeamiento estrategico</t>
  </si>
  <si>
    <t>0001-159
0001-158</t>
  </si>
  <si>
    <t>Planilla de movilidad 14.04.2025</t>
  </si>
  <si>
    <t>PL 003-0139/2025</t>
  </si>
  <si>
    <t>PL 003-0140/2025</t>
  </si>
  <si>
    <t>Planilla de movilidad 16.04.2025</t>
  </si>
  <si>
    <t>PL 003-0141/2025</t>
  </si>
  <si>
    <t>Planilla de movilidad 21.04.2025</t>
  </si>
  <si>
    <t>PL 003-0142/2025</t>
  </si>
  <si>
    <t>PL 003-0143/2025</t>
  </si>
  <si>
    <t>PL 003-0144/2025</t>
  </si>
  <si>
    <t>Envio de documentos a Trujillo</t>
  </si>
  <si>
    <t>F207-278981
PL 003-0137/2025</t>
  </si>
  <si>
    <t>Pilas AAA - RQ.STI.083</t>
  </si>
  <si>
    <t>CC-001-0124</t>
  </si>
  <si>
    <t>Movilidad para depositos y compras</t>
  </si>
  <si>
    <t>PL 003-0138/2025</t>
  </si>
  <si>
    <t>Pesaje para venta de vidrio</t>
  </si>
  <si>
    <t>FE02-16211
F002-131055</t>
  </si>
  <si>
    <t>Llaves duplicadas de cerradura</t>
  </si>
  <si>
    <t>0001-17885</t>
  </si>
  <si>
    <t>RQ.LOG.291 - Llave de ducha acrilico</t>
  </si>
  <si>
    <t>F001-890</t>
  </si>
  <si>
    <t>Pesaje de RCD (Celicon)</t>
  </si>
  <si>
    <t>F002-131388
F002-131389</t>
  </si>
  <si>
    <t>Planilla de movilidad 28.04.2025</t>
  </si>
  <si>
    <t>PL 003-0148/2025</t>
  </si>
  <si>
    <t>Pesaje de RCD (Celicon) - FS: 001-4438</t>
  </si>
  <si>
    <t>F002-131287
F002-131290
F002-131289</t>
  </si>
  <si>
    <t>Planilla de movilidad 14.04.2025 / 23.04.2025</t>
  </si>
  <si>
    <t>PL 003-0135/2025
PL 003-0149/2025</t>
  </si>
  <si>
    <t>Planilla de movilidad 29.04.2025</t>
  </si>
  <si>
    <t>PL 003-0150/2025</t>
  </si>
  <si>
    <t>PL 003-0151/2025</t>
  </si>
  <si>
    <t>Brocas de metal y pegamento</t>
  </si>
  <si>
    <t>Ok</t>
  </si>
  <si>
    <t>0001-4168</t>
  </si>
  <si>
    <t>RQ.OPE.1028 Bolsas</t>
  </si>
  <si>
    <t>FF01-12352</t>
  </si>
  <si>
    <t>RQ.LOG.292 - Barra de construccion - CC-001-0125</t>
  </si>
  <si>
    <t>FA26-1334881
BV 0001-6089</t>
  </si>
  <si>
    <t>Pago de facturas varias</t>
  </si>
  <si>
    <t>FE33-1493
F213-1727383
F212-1707833</t>
  </si>
  <si>
    <t>PL 003-0152/2025</t>
  </si>
  <si>
    <t>PL 003-0153/2025</t>
  </si>
  <si>
    <t>PL 003-0154/2025</t>
  </si>
  <si>
    <t>PL 003-0155/2025</t>
  </si>
  <si>
    <t>PL 003-0156/2025</t>
  </si>
  <si>
    <t>RQ.LOG.293 canastas - CC-001-0126</t>
  </si>
  <si>
    <t>F720-41300
FA23-13795</t>
  </si>
  <si>
    <t>Planilla de movilidad 07.05.2025</t>
  </si>
  <si>
    <t>PL 003-0159/2025</t>
  </si>
  <si>
    <t>Planilla de movilidad 08.05.2025 - CC-001-0127</t>
  </si>
  <si>
    <t>PL 003-0219/2025</t>
  </si>
  <si>
    <t>Planilla de movilidad 08.05.2025</t>
  </si>
  <si>
    <t>PL 003-0160/2025</t>
  </si>
  <si>
    <t xml:space="preserve">RQ.GH.182 Compartir Moly Cop - La Joya </t>
  </si>
  <si>
    <t>CC-001-0128</t>
  </si>
  <si>
    <t xml:space="preserve">Compra de aceite hidráulico para montacarga </t>
  </si>
  <si>
    <t>E001-3142</t>
  </si>
  <si>
    <t>E001-859</t>
  </si>
  <si>
    <t>Planilla de movilidad 09.05.2025</t>
  </si>
  <si>
    <t>PL 003-0161/2025</t>
  </si>
  <si>
    <t xml:space="preserve">Facturas varias - Planillas de movilidad 08.04.2025 </t>
  </si>
  <si>
    <t>F002-131590/F002-131600/F002-131605/F002-131583/F553-4837/PL 003-157/PL003-158</t>
  </si>
  <si>
    <t>F553</t>
  </si>
  <si>
    <t>RQ.LOG.300 servicio de reparación de cerrajería en Almacén 03.</t>
  </si>
  <si>
    <t>RH E001-278</t>
  </si>
  <si>
    <t>Compra de torta, platos y cucharas, para compartir por despedida de practicante de Ssoma</t>
  </si>
  <si>
    <t>BV 0001-2320/
BV 0001-922</t>
  </si>
  <si>
    <t>Wafer - Gaseosa - CC-001-0129</t>
  </si>
  <si>
    <t>BV 001-000160</t>
  </si>
  <si>
    <t>Cinta Aislante - RQ.LOG.305</t>
  </si>
  <si>
    <t>F001-906</t>
  </si>
  <si>
    <t>Rep. - Caja Chica AQP</t>
  </si>
  <si>
    <t>RQ.GH.185 - Detalles dia de la madre -CC-001-0130</t>
  </si>
  <si>
    <t>0001-302
FX01-625
F019-135</t>
  </si>
  <si>
    <t>Taxi para recojo de chip - Av. Ejercito - CC-001-0131</t>
  </si>
  <si>
    <t>PL 003-0165/2025</t>
  </si>
  <si>
    <t>Transporte para recojo de documentos Olva - CC-001-0132</t>
  </si>
  <si>
    <t>PL 003-241/2025</t>
  </si>
  <si>
    <t>Balanza</t>
  </si>
  <si>
    <t>F002-131632</t>
  </si>
  <si>
    <t>FE02-16263</t>
  </si>
  <si>
    <t xml:space="preserve">Devolucion - Compra Te filtrantes para asesor </t>
  </si>
  <si>
    <t>Almuerzo Jefes de area y Consultor Oscar - Movilidad restaurante Sulu</t>
  </si>
  <si>
    <t>F002-2668
PL 003-0159/2025</t>
  </si>
  <si>
    <t>F213-1748275
F212-1728523
F001-6145</t>
  </si>
  <si>
    <t>Planilla de movilidad 21.05.2025 - Entrega de documentos Aqp</t>
  </si>
  <si>
    <t>PL 003-0162/2025</t>
  </si>
  <si>
    <t>Planilla de movilidad 19.05.2025</t>
  </si>
  <si>
    <t>PL 003-0163/2025</t>
  </si>
  <si>
    <t>Facturas varias</t>
  </si>
  <si>
    <t>F553-4905
F002-19477</t>
  </si>
  <si>
    <t>Disco de corte 4" y 7" - Panel Led - Enfardador de sacos + Pasajes - CC-001-0133</t>
  </si>
  <si>
    <t>F001-217
E001-450
PL 003-236/2025</t>
  </si>
  <si>
    <t>RQ.COM.326 - Promart Homecenter + Movilidad - CC-001-0134</t>
  </si>
  <si>
    <t>FA26-1312836
PL 003-0181 (1) /2025</t>
  </si>
  <si>
    <t>FA26</t>
  </si>
  <si>
    <t>181 (1)</t>
  </si>
  <si>
    <t>Planilla de movilidad - 04.04.2025</t>
  </si>
  <si>
    <t>PL 003-0164/2025</t>
  </si>
  <si>
    <t>Recojo de chip del trabajador Jorge Queque</t>
  </si>
  <si>
    <t>F126-29209</t>
  </si>
  <si>
    <t>Visita a Villa Esperanza  - Capacitacion e inspeccion</t>
  </si>
  <si>
    <t>F001-6250</t>
  </si>
  <si>
    <t>Planilla de movilidad - 26.05.2025</t>
  </si>
  <si>
    <t>PL 003-0166/2025</t>
  </si>
  <si>
    <t>PL 003-0167/2025</t>
  </si>
  <si>
    <t>Alimentacion para can</t>
  </si>
  <si>
    <t>E001-139
PL 003-0168/2025</t>
  </si>
  <si>
    <t>RQ.OPE.1124 - Movilidad para Mariscal Castilla - CC-001-0135</t>
  </si>
  <si>
    <t>F001-1014
PL 003-239/2025</t>
  </si>
  <si>
    <t>Planilla de movilidad - 05.05.2025</t>
  </si>
  <si>
    <t>PL 003-0169/2025</t>
  </si>
  <si>
    <t>Planilla de movilidad - 06.05.2025</t>
  </si>
  <si>
    <t>PL 003-0170/2025</t>
  </si>
  <si>
    <t>Planilla de movilidad - 07.05.2025</t>
  </si>
  <si>
    <t>PL 003-0171/2025</t>
  </si>
  <si>
    <t>Planilla de movilidad - 08.05.2025</t>
  </si>
  <si>
    <t>PL 003-0172/2025</t>
  </si>
  <si>
    <t>Planilla de movilidad - 09.05.2025</t>
  </si>
  <si>
    <t>PL 003-0173/2025</t>
  </si>
  <si>
    <t>Planilla de movilidad - 12.05.2025</t>
  </si>
  <si>
    <t>PL 003-0174/2025</t>
  </si>
  <si>
    <t>Planilla de movilidad - 14.05.2025</t>
  </si>
  <si>
    <t>PL 003-0175/2025</t>
  </si>
  <si>
    <t>Planilla de movilidad - 16.05.2025</t>
  </si>
  <si>
    <t>PL 003-0176/2025</t>
  </si>
  <si>
    <t>Planilla de movilidad - 19.05.2025</t>
  </si>
  <si>
    <t>PL 003-0177/2025</t>
  </si>
  <si>
    <t>Planilla de movilidad - 24.05.2025 / 26.05.2025</t>
  </si>
  <si>
    <t>PL 003-0178/2025</t>
  </si>
  <si>
    <t>Planilla de movilidad - 27.05.2025</t>
  </si>
  <si>
    <t>PL 003-0179/2025</t>
  </si>
  <si>
    <t>FF03-19048
F021-13083</t>
  </si>
  <si>
    <t>E001-156
E001-12267
FE01-11081
F001-16113</t>
  </si>
  <si>
    <t>Papel Kraft  - CC-001-0136</t>
  </si>
  <si>
    <t>BV 001-001065</t>
  </si>
  <si>
    <t>RQ.SSO.233 - Zapatos de Seguridad</t>
  </si>
  <si>
    <t>F003-2773</t>
  </si>
  <si>
    <t>Planilla de movilidad - 20.05.2025</t>
  </si>
  <si>
    <t>PL 003-0180/2025</t>
  </si>
  <si>
    <t>Movilidad para depositos a personal - CC-001-0137</t>
  </si>
  <si>
    <t>PL 003-215/2025</t>
  </si>
  <si>
    <t xml:space="preserve">Compartir en Villa Esperanza - Actividad de Carguio de alambron y viruta </t>
  </si>
  <si>
    <t>F001-00006306</t>
  </si>
  <si>
    <t xml:space="preserve">Envío de encomienda por Shalom (Epp's) a Lima </t>
  </si>
  <si>
    <t>F207-283349</t>
  </si>
  <si>
    <t>Planilla de movilidad - 02.06.2025</t>
  </si>
  <si>
    <t>PL 003-0188/2025</t>
  </si>
  <si>
    <t>PL 003-0181/2025</t>
  </si>
  <si>
    <t>Planilla de movilidad - 21.05.2025</t>
  </si>
  <si>
    <t>PL 003-0182/2025</t>
  </si>
  <si>
    <t>Planilla de movilidad - 23.05.2025</t>
  </si>
  <si>
    <t>PL 003-0183/2025</t>
  </si>
  <si>
    <t>PL 003-0184/2025</t>
  </si>
  <si>
    <t>PL 003-0185/2025</t>
  </si>
  <si>
    <t>Planilla de movilidad - 29.05.2025</t>
  </si>
  <si>
    <t>PL 003-0186/2025</t>
  </si>
  <si>
    <t>Planilla de movilidad - 30.05.2025</t>
  </si>
  <si>
    <t>PL 003-0187/2025</t>
  </si>
  <si>
    <t>PL 003-0189/2025</t>
  </si>
  <si>
    <t>Planilla de movilidad - 03.06.2025</t>
  </si>
  <si>
    <t>PL 003-0190/2025</t>
  </si>
  <si>
    <t>Planilla de movilidad - 04.06.2025</t>
  </si>
  <si>
    <t>PL 003-0191/2025</t>
  </si>
  <si>
    <t>Movilidad para depositos a proveedores - CC-001-0138</t>
  </si>
  <si>
    <t>PL 003-0204/2025</t>
  </si>
  <si>
    <t>Gastos para despedida Natalia (GH) - CC-001-0139</t>
  </si>
  <si>
    <t xml:space="preserve">FQ01-2583/ FQ01-2584/PL 003-226/2025/PL 003-227/2025 </t>
  </si>
  <si>
    <t>FQ01</t>
  </si>
  <si>
    <t>Planilla de movilidad - 05.06.2025</t>
  </si>
  <si>
    <t>PL 003-0192/2025</t>
  </si>
  <si>
    <t xml:space="preserve">Compra spray negro para almacén 03 </t>
  </si>
  <si>
    <t>BV 001-008319</t>
  </si>
  <si>
    <t>Traslados para compra de útiles / x reg. + liq x cochera - CC-001-0140</t>
  </si>
  <si>
    <t>PL 003-208/2025</t>
  </si>
  <si>
    <t>Planilla de movilidad - 10.06.2025</t>
  </si>
  <si>
    <t>F001-52364</t>
  </si>
  <si>
    <t>RQ.STI.091 - Compra de accesorios para equipo de cómputo  - CC-001-0141</t>
  </si>
  <si>
    <t>E001-2160</t>
  </si>
  <si>
    <t>Presentes por el día del Padre - donación a PNP y movilidad - CC-001-0142</t>
  </si>
  <si>
    <t>FX01-656
F001-1541</t>
  </si>
  <si>
    <t>traslados para envíos de documentos y Vivero Sachaca - CC-001-0143</t>
  </si>
  <si>
    <t>PL 003-223/2025</t>
  </si>
  <si>
    <t xml:space="preserve">RQ.COM.323 - 2 spray cya </t>
  </si>
  <si>
    <t>BV 0001-8318</t>
  </si>
  <si>
    <t>PL 003-0194/2025</t>
  </si>
  <si>
    <t xml:space="preserve">RQ.COM.340 - Toldo 3x3 feria del medio ambiente Alsur </t>
  </si>
  <si>
    <t>FA26-01429573</t>
  </si>
  <si>
    <t>Formateo de laptop de Gerencia y traslados</t>
  </si>
  <si>
    <t>CC-001-0145</t>
  </si>
  <si>
    <t>Planilla de movilidad - 11.06.2025</t>
  </si>
  <si>
    <t>PL 003-0197/2025</t>
  </si>
  <si>
    <t>Soldadura de radiador VDJ872</t>
  </si>
  <si>
    <t>BV 002-000372</t>
  </si>
  <si>
    <t>PL 003-198/2025
PL 003-199/2025
PL 003-200/2025
PL 003-201/2025
PL 003-202/2025</t>
  </si>
  <si>
    <t>PL 003-195/2025
PL 003-196/2025</t>
  </si>
  <si>
    <t>4 almuerzos - Feria Ambiental de residuos Alsur</t>
  </si>
  <si>
    <t>F001-00005118</t>
  </si>
  <si>
    <t>Planilla de movilidad - 12.06.2025</t>
  </si>
  <si>
    <t>PL 003-203/2025</t>
  </si>
  <si>
    <t xml:space="preserve">Facturas varias </t>
  </si>
  <si>
    <t>RH E001-237
E001-2103</t>
  </si>
  <si>
    <t>Planilla de movilidad 02.06.2025</t>
  </si>
  <si>
    <t>PL 003-204/2025</t>
  </si>
  <si>
    <t>Planilla de movilidad 03.06.2025</t>
  </si>
  <si>
    <t>PL 003-205/2025</t>
  </si>
  <si>
    <t>Planilla de movilidad 04.06.2025</t>
  </si>
  <si>
    <t>PL 003-206/2025</t>
  </si>
  <si>
    <t>Planilla de movilidad 06.06.2025</t>
  </si>
  <si>
    <t>PL 003-207/2025</t>
  </si>
  <si>
    <t xml:space="preserve">Devolucion - RQ.GH.182 Compartir Moly Cop - La Joya </t>
  </si>
  <si>
    <t>Pollos y jugos - Compartir de Gerencia - CC-001-0146</t>
  </si>
  <si>
    <t>001-21501</t>
  </si>
  <si>
    <t>Planilla de movilidad 09.06.2025</t>
  </si>
  <si>
    <t>PL 003-209/2025</t>
  </si>
  <si>
    <t>Planilla de movilidad 10.06.2025</t>
  </si>
  <si>
    <t>PL 003-210/2025</t>
  </si>
  <si>
    <t>Planilla de movilidad 11.06.2025</t>
  </si>
  <si>
    <t>PL 003-211/2025</t>
  </si>
  <si>
    <t>Planilla de movilidad 12.06.2025</t>
  </si>
  <si>
    <t>PL 003-212/2025</t>
  </si>
  <si>
    <t>Planilla de movilidad 13.06.2025</t>
  </si>
  <si>
    <t>PL 003-213/2025</t>
  </si>
  <si>
    <t>Planilla de movilidad 16.06.2025</t>
  </si>
  <si>
    <t>PL 003-214/2025</t>
  </si>
  <si>
    <t>F006-005383/E001-2705/F549-00013788</t>
  </si>
  <si>
    <t>Envío de encomienda por Olva (Pesquera el Diamante)</t>
  </si>
  <si>
    <t>CC-001-0147</t>
  </si>
  <si>
    <t>Traslados para buscar nuevos proveedores, insumos de limpieza, otros - CC-001-0148</t>
  </si>
  <si>
    <t>PL 003-240/2025</t>
  </si>
  <si>
    <t>Balanzas</t>
  </si>
  <si>
    <t>FE02-16345
FE02-16487</t>
  </si>
  <si>
    <t>Planilla de movilidad 19.06.2025</t>
  </si>
  <si>
    <t>PL 003-216/2025</t>
  </si>
  <si>
    <t>PL 003-217/2025/F002-133154</t>
  </si>
  <si>
    <t>Traslado para pagos a proveedores CC-001-0149</t>
  </si>
  <si>
    <t>PL 003-220/2025</t>
  </si>
  <si>
    <t>Traslado y envío de EPPS a Lima - CC-001-0150</t>
  </si>
  <si>
    <t>F207-285896
PL 003-237/2025</t>
  </si>
  <si>
    <t>Devolución - Envío de encomienda por Olva (Pesquera el Diamante) CC-001-0147</t>
  </si>
  <si>
    <t>Traslados para activación de SCTR - Clínica Sanna
CC-001-0151</t>
  </si>
  <si>
    <t>PL 003-222/2025</t>
  </si>
  <si>
    <t>Planilla de movilidad 23.06.2025</t>
  </si>
  <si>
    <t>PL 003-221/2025</t>
  </si>
  <si>
    <t>PL 003-218/2025 /
F553-00005189</t>
  </si>
  <si>
    <t>E001-306/ E001-921/ F001-070114</t>
  </si>
  <si>
    <t>Planilla de movilidad 20.05.2025</t>
  </si>
  <si>
    <t>PL 003-224/2025</t>
  </si>
  <si>
    <t>F549-13862/
PL 003-225/2025</t>
  </si>
  <si>
    <t>F549</t>
  </si>
  <si>
    <t>PL 003-226/2025</t>
  </si>
  <si>
    <t>Planilla de movilidad 20.06.2025</t>
  </si>
  <si>
    <t>PL 003-227/2025</t>
  </si>
  <si>
    <t>PL 003-228/2025</t>
  </si>
  <si>
    <t>Planilla de movilidad 18.06.2025</t>
  </si>
  <si>
    <t>PL 003-229/2025</t>
  </si>
  <si>
    <t>Planilla de movilidad 17.06.2025</t>
  </si>
  <si>
    <t>PL 003-230/2025</t>
  </si>
  <si>
    <t>Carguio de chatarra 16.05.2025 -  La Joya</t>
  </si>
  <si>
    <t>F001-6514</t>
  </si>
  <si>
    <t>RQ.LOG.319 - Elaboración de Rótulos para Identificación de Domicilio en la Joya</t>
  </si>
  <si>
    <t>E001-289</t>
  </si>
  <si>
    <t>F549-13874/F207-286505/ PL 003-231/20205</t>
  </si>
  <si>
    <t>Venta de Residuos - Responsable Valeria J.</t>
  </si>
  <si>
    <t>FF02-83</t>
  </si>
  <si>
    <t>Traslado para depósitos de pagos RXH Junio - CC-001-0151</t>
  </si>
  <si>
    <t>PL 003-234/2025</t>
  </si>
  <si>
    <t>Escaneo de documentos / CC-001-152</t>
  </si>
  <si>
    <t>CC-001-0152</t>
  </si>
  <si>
    <t>FVT1</t>
  </si>
  <si>
    <t>Combustible 25/06 Placa: V9C-193</t>
  </si>
  <si>
    <t>FVT1-39254</t>
  </si>
  <si>
    <t>Planilla de movilidad 27.06.2025</t>
  </si>
  <si>
    <t>PL 003-231/2025</t>
  </si>
  <si>
    <t>Planilla de movilidad 26.06.2025</t>
  </si>
  <si>
    <t>PL 003-232/2025</t>
  </si>
  <si>
    <t>Planilla de movilidad 25.06.2025</t>
  </si>
  <si>
    <t>PL 003-233/2025</t>
  </si>
  <si>
    <t>Planilla de movilidad 24.06.2025</t>
  </si>
  <si>
    <t>PL 003-235/2025</t>
  </si>
  <si>
    <t>Refrigerio para reunion de gerencia con el area de operaciones</t>
  </si>
  <si>
    <t>FA55-12503
PL 003-238/2025</t>
  </si>
  <si>
    <t>FA55</t>
  </si>
  <si>
    <t>Devolucion de entregas a rendir - ER-001-0342025 - Angel Allca</t>
  </si>
  <si>
    <t>E001-927
F002-20048</t>
  </si>
  <si>
    <t xml:space="preserve">Almuerzo para melaminero </t>
  </si>
  <si>
    <t>DEVOL</t>
  </si>
  <si>
    <t>CC-001-0153</t>
  </si>
  <si>
    <t>hizo devolución</t>
  </si>
  <si>
    <t>Planilla de movilidad 27-30.06.2025</t>
  </si>
  <si>
    <t>PL 003-245/2025 
PL 003-244/2025</t>
  </si>
  <si>
    <t>Envio de encomienda por Olva C. -CC001-154</t>
  </si>
  <si>
    <t>CC-001-0154</t>
  </si>
  <si>
    <t>Envio de encomienda por Olva C.</t>
  </si>
  <si>
    <t xml:space="preserve">Karol Yepez </t>
  </si>
  <si>
    <t>FA18</t>
  </si>
  <si>
    <t>Bocaditos para reunión con áreas - CC-001-0155</t>
  </si>
  <si>
    <t>CC-001-0155</t>
  </si>
  <si>
    <t>F001-6607
F001-947</t>
  </si>
  <si>
    <t>Cambio de caja de electricidad en SSOMA</t>
  </si>
  <si>
    <t>Planilla de movilidad 07.07.2025</t>
  </si>
  <si>
    <t>Planilla de movilidad 04.07.2025</t>
  </si>
  <si>
    <t>Planilla de movilidad 08.07.2025</t>
  </si>
  <si>
    <t>Driza</t>
  </si>
  <si>
    <t>1.3 debe JHONY (Cambio)</t>
  </si>
  <si>
    <t>F410</t>
  </si>
  <si>
    <t>Perilla de dormitorio</t>
  </si>
  <si>
    <t>Planilla de movilidad 09.07.2025</t>
  </si>
  <si>
    <t>Recojo de rotulos - Comercial - Logo organigrama / Compra de puntero de zapatos - CC 001-170</t>
  </si>
  <si>
    <t>Bandeja HDPE - RQ.COM.353</t>
  </si>
  <si>
    <t>Traslado - Gytres a Olva C.</t>
  </si>
  <si>
    <t>Envio de documentos (Manifiestos de Minsur) por Olva C. / Movilidad de Gytres a Olva C. / CC-001-171</t>
  </si>
  <si>
    <t>Envio de documentos</t>
  </si>
  <si>
    <t>Planilla de movilidad 11.07.2025</t>
  </si>
  <si>
    <t>Alineamiento computarizado HINO VBB-840</t>
  </si>
  <si>
    <t>Traslado de taller a Almacen Sachaca (Av. Peru) / CC-001-172</t>
  </si>
  <si>
    <t>Traslado entrega de muestra a Balanza Warton CC 001-173</t>
  </si>
  <si>
    <t xml:space="preserve">Preparación de 60 tamales </t>
  </si>
  <si>
    <t>Compra de botellas de agua para la reunion con Inca Tops</t>
  </si>
  <si>
    <t>Recojo de EPP's (SSOMA) y pago de encomienda CC 01-176</t>
  </si>
  <si>
    <t>Recojo de EPP's (SSOMA) y pago de encomienda</t>
  </si>
  <si>
    <t>Reposicion - Caja Chica AQP - RC 001-009_2025</t>
  </si>
  <si>
    <t>Planilla de movilidad 15.07.2025</t>
  </si>
  <si>
    <t>Taxi ida y vuelta para trasladar personal Asiri - CC - 001-177</t>
  </si>
  <si>
    <t>Planilla de movilidad 16.07.2025</t>
  </si>
  <si>
    <t>refrigerio para capacitación dictada por Consultor externo y Gerencia. CC-001-178</t>
  </si>
  <si>
    <t>Planilla de movilidad 22.07.2025 y 30.07.2025</t>
  </si>
  <si>
    <t>Planilla de movilidad 30.06.2025</t>
  </si>
  <si>
    <t>Planilla de movilidad 01.07.2025</t>
  </si>
  <si>
    <t>Planilla de movilidad 02.07.2025</t>
  </si>
  <si>
    <t>Planilla de movilidad 10.07.2025</t>
  </si>
  <si>
    <t>Planilla de movilidad 14.07.2025</t>
  </si>
  <si>
    <t>Planilla de movilidad 17.07.2025</t>
  </si>
  <si>
    <t>Planilla de movilidad 18.07.2025</t>
  </si>
  <si>
    <t>Planilla de movilidad 21.07.2025</t>
  </si>
  <si>
    <t>Planilla de movilidad 22.07.2025</t>
  </si>
  <si>
    <t xml:space="preserve">Compartir en Villa Esperanza </t>
  </si>
  <si>
    <t>Taxi Almacén Sachaca - BCP  para pago de RxH
CC 001-181</t>
  </si>
  <si>
    <t xml:space="preserve">Sergio Ordoñez </t>
  </si>
  <si>
    <t>Traslados visita a capinterias para reconocimiento de procesos CC001-182</t>
  </si>
  <si>
    <t>Traslados en bus desde la Joya hasta almacén - CC 001-183</t>
  </si>
  <si>
    <t xml:space="preserve">Incentivo Jorge: Bisteck montado y dos cafes </t>
  </si>
  <si>
    <t>Envio de documentos - Almacen Santa Anita para entrega a AMPCO CC-001-184</t>
  </si>
  <si>
    <t>Traslados para cotizaciones de herramientas para alm., nuevos proveedor de epps  - CC 001-186</t>
  </si>
  <si>
    <t>Compra de chip entel (ruben bust.), movilidad y carga de chip  CC-001-187</t>
  </si>
  <si>
    <t>Traslados a Clinica SANNA - CC 001-188</t>
  </si>
  <si>
    <t>Traslados para compra de laptops y accesorios CC 001-189</t>
  </si>
  <si>
    <t>Recojo doc. De Olva  CC 001-190</t>
  </si>
  <si>
    <t>F214</t>
  </si>
  <si>
    <t>F212</t>
  </si>
  <si>
    <t>Revisión y reparación celular - roy ramos -CC 001-191</t>
  </si>
  <si>
    <t xml:space="preserve"> </t>
  </si>
  <si>
    <t xml:space="preserve">almuerzo </t>
  </si>
  <si>
    <t>FA05</t>
  </si>
  <si>
    <t>RQ.LOG.337 comida de perro</t>
  </si>
  <si>
    <t xml:space="preserve">Comida de gato </t>
  </si>
  <si>
    <t>cinta doble contacto</t>
  </si>
  <si>
    <t>gaseosa por apoyo de operarios</t>
  </si>
  <si>
    <t>ESTA REGISTRADO, PERO NO JALA INF</t>
  </si>
  <si>
    <t>planilla de movilidad 12.06.2025</t>
  </si>
  <si>
    <t>planilla de movilidad 27.06.2025</t>
  </si>
  <si>
    <t xml:space="preserve">Jorge Queque </t>
  </si>
  <si>
    <t>Planilla de movilidad 25.07.2025</t>
  </si>
  <si>
    <t>Planilla de movilidad 30.07.2025</t>
  </si>
  <si>
    <t>Planilla de movilidad 01.08.2025</t>
  </si>
  <si>
    <t>Planilla de movilidad 04.08.2025</t>
  </si>
  <si>
    <t>Planilla de movilidad 05.08.2025</t>
  </si>
  <si>
    <t>Planilla de movilidad 07.08.2025</t>
  </si>
  <si>
    <t>Planilla de movilidad 08.08.2025</t>
  </si>
  <si>
    <t xml:space="preserve">RQ.STI.097 - Compra de base para laptop y protector de teclado (Grgeory Cruz) yape </t>
  </si>
  <si>
    <t>Devolución CC 001-124 Pilas RQ.STI.083 (pasados por finanzas liq,sti.011)</t>
  </si>
  <si>
    <t xml:space="preserve">Compra e instalacion de extintores (Ebert) </t>
  </si>
  <si>
    <t>Maritza Ayma</t>
  </si>
  <si>
    <t>Premios para charla contabilidad : Finanzas personales</t>
  </si>
  <si>
    <t>Traslados para entregas de documentos 13.08.2025</t>
  </si>
  <si>
    <t>Envio de encomienda a Lima por Olva - CC 001-193</t>
  </si>
  <si>
    <t>Recojo y envío de doc en Olva, depósitos, servicios varios CC 001 - 194</t>
  </si>
  <si>
    <t>Traslados a Clinica SANNA  - CC 001-192</t>
  </si>
  <si>
    <t>Recojo de banner, elaboración de enmicados CC 001-195</t>
  </si>
  <si>
    <t>Traslados, para recojo de documentos de UCSM y Alprosa CC 001-196</t>
  </si>
  <si>
    <t>Balanzas - Villa Esperanza - Junio 2025</t>
  </si>
  <si>
    <t>Pesaje carguio de Chatarra metálica en Villa Esperanza 
Cliente: Siderurgica del Perú
NS: 001- N° 004546</t>
  </si>
  <si>
    <t>Pesaje papel kraft
NS: 001- N° 004845</t>
  </si>
  <si>
    <t>Balanzas - Villa Esperanza - Julio  2025</t>
  </si>
  <si>
    <t>Pesaje venta residuos aprovechables (chatarra)
Cliente: Empresa Siderurgica
FS: 001-4606</t>
  </si>
  <si>
    <t>Pesaje venta residuos aprovechables (vidrio)
Cliente: Santos Chavarria
FS: 001-4636</t>
  </si>
  <si>
    <t>Pend por cambio de factura</t>
  </si>
  <si>
    <t>Pesaje residuos peligrosos 
Cliente: Alfredo Salcedo
FS: 001-4644</t>
  </si>
  <si>
    <t>Traslados para recojo de documentos en Olva  - CC 001-197</t>
  </si>
  <si>
    <t>F114</t>
  </si>
  <si>
    <t>F111</t>
  </si>
  <si>
    <t>Heber Quintanilla</t>
  </si>
  <si>
    <t xml:space="preserve">Compra de switch RQ.STI.105 - CC001- 198 </t>
  </si>
  <si>
    <t>EB01</t>
  </si>
  <si>
    <t xml:space="preserve">RQ.OPE.1362 Impresiones doble cara a color </t>
  </si>
  <si>
    <t>Traslados para compra de Baldes rojos CC 001-199</t>
  </si>
  <si>
    <t>RQ.LOG.349 - Compra de útiles y traslados CC 001-200</t>
  </si>
  <si>
    <t>Planilla de movilidad 11.08.2025</t>
  </si>
  <si>
    <t>Planilla de movilidad 12.08.2025</t>
  </si>
  <si>
    <t>Planilla de movilidad 13.08.2025</t>
  </si>
  <si>
    <t>Planilla de movilidad 18.08.2025</t>
  </si>
  <si>
    <t>Planilla de movilidad 19.08.2025</t>
  </si>
  <si>
    <t>Planilla de movilidad 20.08.2025</t>
  </si>
  <si>
    <t>Planilla de movilidad 21.08.2025</t>
  </si>
  <si>
    <t>Planilla de movilidad 22.08.2025</t>
  </si>
  <si>
    <t>Planilla de movilidad 25.08.2025</t>
  </si>
  <si>
    <t>Planilla de movilidad 26.08.2025</t>
  </si>
  <si>
    <t>Planilla de movilidad 27.08.2025</t>
  </si>
  <si>
    <t>90 Tamales, para despedida de Ruben Bustamante</t>
  </si>
  <si>
    <t>Recojo y compra de enmicadora  CC 001-201</t>
  </si>
  <si>
    <t>Envío de manifiestos a Cosapi (Santa Anita)</t>
  </si>
  <si>
    <t>Compra refrigerio para reunión con consultor Jose CC-001-203</t>
  </si>
  <si>
    <t xml:space="preserve">protector de teclado </t>
  </si>
  <si>
    <t xml:space="preserve">Traslados atención posta </t>
  </si>
  <si>
    <t xml:space="preserve">Traslado para pago de RxH Agosto </t>
  </si>
  <si>
    <t xml:space="preserve">Traslados para envío de documentos a Lima </t>
  </si>
  <si>
    <t>Recojo de doc. Olva y recojo de rótulos Ssoma CC 001-204</t>
  </si>
  <si>
    <t>RQ.STI.108 - Compra de accesorios para equipos de computo y traslados  CC 001-205</t>
  </si>
  <si>
    <t xml:space="preserve">RQ.STI.108 - Compra de accesorios para equipos de computo y traslados </t>
  </si>
  <si>
    <t>Reparación celular Wilber Quispe CC 001-2106</t>
  </si>
  <si>
    <t>Recojo de prendas (epps) , encomiendas Palomino CC 001-207</t>
  </si>
  <si>
    <t>Traslado para cobro y depósito de dinero BCP 29/08</t>
  </si>
  <si>
    <t>recojo de enfermera 02.09</t>
  </si>
  <si>
    <t xml:space="preserve">trámites saneamiento ambiental </t>
  </si>
  <si>
    <t xml:space="preserve">Compra refrigerio, visita Cosapi </t>
  </si>
  <si>
    <t>Reposicion de Caja Chica</t>
  </si>
  <si>
    <t>Devolucion de Prestamo Interno - Finanzas</t>
  </si>
  <si>
    <t>Traslados a mariscal castilla  CC 001-209</t>
  </si>
  <si>
    <t>Yennifer Soto</t>
  </si>
  <si>
    <t xml:space="preserve">Traslados visita técnica Weir Minerals </t>
  </si>
  <si>
    <t>David Gonzales</t>
  </si>
  <si>
    <t>Lavado de camioneta VBW-889 , auto. Gerencia CC 001-210</t>
  </si>
  <si>
    <t>Traslados para entrega de documentos 11.09.2025</t>
  </si>
  <si>
    <t xml:space="preserve">Traslados dejar donativo a comisaría PNP </t>
  </si>
  <si>
    <t>Traslados para recojo de laptop y pc Innova center CC 001-211</t>
  </si>
  <si>
    <t>Planilla de movilidad 29.08.2025</t>
  </si>
  <si>
    <t>Planilla de movilidad 30.08.2025</t>
  </si>
  <si>
    <t>Planilla de movilidad 01.09.2025</t>
  </si>
  <si>
    <t>Planilla de movilidad 02.09.2025</t>
  </si>
  <si>
    <t>Planilla de movilidad 04.09.2025</t>
  </si>
  <si>
    <t>Planilla de movilidad 08.09.2025</t>
  </si>
  <si>
    <t>Planilla de movilidad 09.09.2025</t>
  </si>
  <si>
    <t>Planilla de movilidad 11.09.2025</t>
  </si>
  <si>
    <t>Planilla de movilidad 17.09.2025</t>
  </si>
  <si>
    <t>Llanta p/carretilla</t>
  </si>
  <si>
    <t>FA62</t>
  </si>
  <si>
    <t>RQ.SSO.277, item 5 refrigerio para capacitación de brigada de emergencia CC 001-212</t>
  </si>
  <si>
    <t>Regularización de fichas, movilidad del 25.09.2025</t>
  </si>
  <si>
    <t>Planilla de movilidad 16.09.2025 y 18.09.2025</t>
  </si>
  <si>
    <t>Planillas de movilidad del 25.09.2025 y 25.09.2025</t>
  </si>
  <si>
    <t xml:space="preserve">RQ.COM.389 Compra de cilindros, recojo de doc Olva. La Parra, Librería Ordoñez, Taxi traslados de cilindros, Compra de abrazaderas </t>
  </si>
  <si>
    <t>Carcasa transparente, protector de pantalla, cargador entrada tipo C, movilidad  , para personal: Angelo (costos) - CC 001-214</t>
  </si>
  <si>
    <t>Compra de refrigerio para capacitación sobre revalorización de residuos con área comercial  CC 001-215</t>
  </si>
  <si>
    <t>Karol Yepez</t>
  </si>
  <si>
    <t xml:space="preserve">Refrigerio para revisión de KPI's </t>
  </si>
  <si>
    <t xml:space="preserve">Daniela Camero </t>
  </si>
  <si>
    <t xml:space="preserve">Traslados para compra de banner y medias deportivas </t>
  </si>
  <si>
    <t xml:space="preserve">se entregó el dinero a Diego </t>
  </si>
  <si>
    <t>SE PAGO POR TRANSF.</t>
  </si>
  <si>
    <t>Planilla de movilidad 12.09.2025</t>
  </si>
  <si>
    <t>Planilla de movilidad 15.09.2025</t>
  </si>
  <si>
    <t>Planilla de movilidad 16.09.2025</t>
  </si>
  <si>
    <t>Planilla de movilidad 18.09.2025</t>
  </si>
  <si>
    <t>Planilla de movilidad 19.09.2025</t>
  </si>
  <si>
    <t>Planilla de movilidad 22.09.2025</t>
  </si>
  <si>
    <t>Planilla de movilidad 24.09.2025</t>
  </si>
  <si>
    <t>Planilla de movilidad 25.09.2025</t>
  </si>
  <si>
    <t>Planilla de movilidad 26.09.2025</t>
  </si>
  <si>
    <t xml:space="preserve">Prestamo Interno a c.f. </t>
  </si>
  <si>
    <t xml:space="preserve">RQ.COM.381Compra de banner </t>
  </si>
  <si>
    <t>Compra de cables y traslados - Innova center CC 001-217</t>
  </si>
  <si>
    <t>Dejar documentos de adm a Inca Tops  - CC 001-218</t>
  </si>
  <si>
    <t xml:space="preserve">Refrigerio para capacitación, autorizada Gerencia </t>
  </si>
  <si>
    <t>Movilidad 03.10.2025</t>
  </si>
  <si>
    <t xml:space="preserve">Devolución - Prestamo Interno a c.f. </t>
  </si>
  <si>
    <t>Planilla de movilidad 29.09.2025</t>
  </si>
  <si>
    <t>Planilla de movilidad 30.09.2025</t>
  </si>
  <si>
    <t>Planilla de movilidad 01.10.2025</t>
  </si>
  <si>
    <t>F501</t>
  </si>
  <si>
    <t>FA06</t>
  </si>
  <si>
    <t xml:space="preserve">Planillas varias </t>
  </si>
  <si>
    <t>Planilla del 30.09.2025</t>
  </si>
  <si>
    <t>Planilla del 20.09.2025</t>
  </si>
  <si>
    <t>Planilla del 25.09.2025</t>
  </si>
  <si>
    <t>Traslado y envíos de documentos por Olva CC 001-219</t>
  </si>
  <si>
    <t xml:space="preserve">Planilla de movilidad </t>
  </si>
  <si>
    <t xml:space="preserve">Almuerzo por auditoría </t>
  </si>
  <si>
    <t xml:space="preserve">Compartir Villa Esperanza </t>
  </si>
  <si>
    <t>Planilla del 03.10.2025</t>
  </si>
  <si>
    <t xml:space="preserve">Karol Pari </t>
  </si>
  <si>
    <t xml:space="preserve">Devolución -Refrigerio para capacitación, autorizada Gerencia </t>
  </si>
  <si>
    <t xml:space="preserve">Refrigerio personal administrativo </t>
  </si>
  <si>
    <t>RQ.SSO.299 - RQ.COM.396 , traslados CC 001-224</t>
  </si>
  <si>
    <t>RQ.SSO.299 - RQ.COM.396 , traslados</t>
  </si>
  <si>
    <t>FFU7</t>
  </si>
  <si>
    <t>FEQ6</t>
  </si>
  <si>
    <t>Planilla del 07.10.2025</t>
  </si>
  <si>
    <t>Planilla del 09.10.2025</t>
  </si>
  <si>
    <t>Reposición caja AQP</t>
  </si>
  <si>
    <t>Planilla de movilidad del 30.09.2025</t>
  </si>
  <si>
    <t>Planilla de movilidad del 14.10.2025 y 15.10.2025</t>
  </si>
  <si>
    <t>Planilla de movilidad del 15.10.2025</t>
  </si>
  <si>
    <t>Planilla de movilidad 03.10.2025</t>
  </si>
  <si>
    <t>Planilla de movilidad 05.10.2025</t>
  </si>
  <si>
    <t>Planilla de movilidad 06.10.2025</t>
  </si>
  <si>
    <t>Planilla de movilidad 07.10.2025</t>
  </si>
  <si>
    <t>Planilla de movilidad 09.10.2025</t>
  </si>
  <si>
    <t>Planilla de movilidad 10.10.2025</t>
  </si>
  <si>
    <t>Planilla de movilidad 13.10.2025</t>
  </si>
  <si>
    <t>Planilla de movilidad 14.10.2025</t>
  </si>
  <si>
    <t>Planilla de movilidad 15.10.2025</t>
  </si>
  <si>
    <t>Planilla de movilidad 16.10.2025</t>
  </si>
  <si>
    <t>Planilla de movilidad 17.10.2025</t>
  </si>
  <si>
    <t xml:space="preserve">Gregory Cruz </t>
  </si>
  <si>
    <t xml:space="preserve">Devolución Almuerzo por auditoría </t>
  </si>
  <si>
    <t>Compra de accesorios RQ.STI.128 - CC 001-223</t>
  </si>
  <si>
    <t>traslado por atención SCTR clínica Sanna</t>
  </si>
  <si>
    <t>Jose Chavez</t>
  </si>
  <si>
    <t>Movilidad 14.10.2025</t>
  </si>
  <si>
    <t>F007</t>
  </si>
  <si>
    <t xml:space="preserve">Inspección vehicular peligrosos VBB-840 (renovación técnica) </t>
  </si>
  <si>
    <t>Movilidad del 15.10.2025</t>
  </si>
  <si>
    <t>Traslados para búsqueda de clientes y cotizaciones CC 001-225</t>
  </si>
  <si>
    <t>FT01</t>
  </si>
  <si>
    <t>F112</t>
  </si>
  <si>
    <t>F113</t>
  </si>
  <si>
    <t>F06R</t>
  </si>
  <si>
    <t>FAVQ</t>
  </si>
  <si>
    <t>Compra de 2 pantalones jean</t>
  </si>
  <si>
    <t>Devolución - traslado por atención SCTR clínica Sanna</t>
  </si>
  <si>
    <t xml:space="preserve">Emiliano Montenegro </t>
  </si>
  <si>
    <t xml:space="preserve">Compra de refrigerio para capacitación sobre estandarizacion de registros en nextsoft </t>
  </si>
  <si>
    <t xml:space="preserve">Traslados para reunión con cliente de interes de residuos aprovechables CC 001-227 </t>
  </si>
  <si>
    <t xml:space="preserve">Compra de refrigerio para capacitación de comité de hostigamiento sexual </t>
  </si>
  <si>
    <t>F201</t>
  </si>
  <si>
    <t>Traslados y envio de documentos a Lima  CC 001-229</t>
  </si>
  <si>
    <t>Lavado de camioneta VBW-889</t>
  </si>
  <si>
    <t>Llenado de combustible en auto particular (Gleen) para traslado</t>
  </si>
  <si>
    <t>Taxi Clínica Sanna para trámites de SCTR CC 001-232</t>
  </si>
  <si>
    <t>Traslados para retiro de efectivo del 16.04.2025, 16.05.2025, 12.06.2025, 18.06.2025, 24.06.2025</t>
  </si>
  <si>
    <t xml:space="preserve">Refrigerio por capacitación </t>
  </si>
  <si>
    <t>Traslados para depósito de efectivo en BCP</t>
  </si>
  <si>
    <t>FC63</t>
  </si>
  <si>
    <t>le di 200</t>
  </si>
  <si>
    <t>Devolución - Lavado de camioneta VBW-889</t>
  </si>
  <si>
    <t>Planilla del 21.10.2025</t>
  </si>
  <si>
    <t>Planilla del 15.07.2025; 08.08.2025;28.08.205;17.10.2025;24.10.2025</t>
  </si>
  <si>
    <t>Planilla del 31.10.2025</t>
  </si>
  <si>
    <t xml:space="preserve">Judith Serrano </t>
  </si>
  <si>
    <t xml:space="preserve">Boletas Varias </t>
  </si>
  <si>
    <t>S/N</t>
  </si>
  <si>
    <t>Lidia González Chambi</t>
  </si>
  <si>
    <t>Venta de Residuos - Responsable Daniela C.</t>
  </si>
  <si>
    <t>001- N° 004053</t>
  </si>
  <si>
    <t>Jorge Luis Queque Anco</t>
  </si>
  <si>
    <t>RQ.OPE.807 - LIQ.OPE.059  - Acuerdo con patrullero para seguridad de la carga en transporte de carga Lima - Arequipa por manifestantes en el trayecto.</t>
  </si>
  <si>
    <t>RQ.OPE.807</t>
  </si>
  <si>
    <t>LIQ.OPE.062 - Impresión de manifiestos para disposicion de residuos peligrosos</t>
  </si>
  <si>
    <t>Gabino Tito Ccollana</t>
  </si>
  <si>
    <t>001- N° 004058</t>
  </si>
  <si>
    <t>Natalia Sommer Rospigliosi Manrique</t>
  </si>
  <si>
    <t>LIQ.GH.015 - Tamales de Pollo / 25 platos de torta / Vasos descartables / Tenedores / Azucar</t>
  </si>
  <si>
    <t>001- N° 004059</t>
  </si>
  <si>
    <t>Imer Bustamante Gil</t>
  </si>
  <si>
    <t>Gastos de Gerencia</t>
  </si>
  <si>
    <t>Fernando Jesus Marquez Avila</t>
  </si>
  <si>
    <t>Devolucion - LIQ.OPE.058 - RQ.OPE.810 - Servicio de recoleccion, transporte de residuos peligrosos (isotanques con aguas de desecho) de almacen Villa Esperanza hasta Chilca - Proveedor: Luis Apaza Mendoza - C. 001084/2024</t>
  </si>
  <si>
    <t>RQ.OPE.840 - LIQ.OPE.064 - Descarga de residuos no aprovechables de unidad VBB-840 (Pesos por encima de lo manipulable por el personal)</t>
  </si>
  <si>
    <t>RQ.OPE.840</t>
  </si>
  <si>
    <t>María Elena</t>
  </si>
  <si>
    <t>001- N° 004061</t>
  </si>
  <si>
    <t>LIQ.OPE.061 - RQ.OPE.820 - Servicio de transporte de Arequipa a Chilca de residuos no aprovechables - Proveedor: Empresa Transportes Aragon Zabala E.I.R.L.</t>
  </si>
  <si>
    <t>EMPRESA TRANSPORTES ARAGON ZABALA E.I.R.L.</t>
  </si>
  <si>
    <t>RQ.OPE.820</t>
  </si>
  <si>
    <t>LIQ.OPE.052 - RQ.OPE.723 - Servicio de transporte de residuos no aprovechables desde almacen Villa Esperanza hasta Chilca - Proveedor: Arturo Urquizo / Unidest S.A.C.</t>
  </si>
  <si>
    <t>ARTURO URQUIZO / UNIDEST S.A.C.</t>
  </si>
  <si>
    <t>RQ.OPE.723</t>
  </si>
  <si>
    <t>Oscar Mamani Hincahuanaco</t>
  </si>
  <si>
    <t>001- N° 004063</t>
  </si>
  <si>
    <t xml:space="preserve">ESTIBADORES - LIQ.GH.016 - Apoyo en carguio de lena en Almacen N°03  - 05 personas </t>
  </si>
  <si>
    <t>RQ.GH.126</t>
  </si>
  <si>
    <t>LIQ.OPE.066 - Compra de residuos aprovechables (Sacas Big bag) para acondicionamiento de residuos peligrosos y no aprovechables - Proveedor: Belen Labra</t>
  </si>
  <si>
    <t>BELEN LABRA</t>
  </si>
  <si>
    <t>Alquiler - Almacen Arequipa (2) - BOLAÑOS VALDEZ REBECA - Periodo Mayo 2024</t>
  </si>
  <si>
    <t>Alquiler - Almacen La Joya - BOLAÑOS VALDEZ REBECA - Periodo Mayo 2024</t>
  </si>
  <si>
    <t>Alquiler - Almacen Arequipa (1) - BUSTAMANTE GIL IMER - Periodo Mayo 2024</t>
  </si>
  <si>
    <t>Kendal Ramírez</t>
  </si>
  <si>
    <t>003- N° 000518</t>
  </si>
  <si>
    <t>Alex Neyra Begazo</t>
  </si>
  <si>
    <t>003- N° 000520</t>
  </si>
  <si>
    <t>Oscar Rubio López</t>
  </si>
  <si>
    <t>003- N° 000516</t>
  </si>
  <si>
    <t>003- N° 000517</t>
  </si>
  <si>
    <t>Neiver Monteza Bustamante</t>
  </si>
  <si>
    <t>Gastos de Villa Esperanza (Diciembre 2024): Recarga agua de pozo (4) / Recarga agua potable (1) / Balanza KM 48</t>
  </si>
  <si>
    <t>001- N° 004071</t>
  </si>
  <si>
    <t>Alison Natividad Rodriguez Gallegos</t>
  </si>
  <si>
    <t>LIQ.COM.048 - RQ.COM.222 - Envio de obsequios a Huaral - Cliente Campo Limpio (Rafael Valdiviezo) / Envio de obsequios a JLBR - Cliente Granja Rinconada del sur (Rolando Ccori) / Envio de obsequios a San Isidro Lima - Cliente Campo Limpio (Mario Ojeda)</t>
  </si>
  <si>
    <t>RQ.COM.222</t>
  </si>
  <si>
    <t>LIQ.OPE.065 - RQ.OPE.834 - Disposicion de residuos no aprovechables</t>
  </si>
  <si>
    <t>RQ.OPE.834</t>
  </si>
  <si>
    <t>Gregory Rayle Cruz Quispe</t>
  </si>
  <si>
    <t>LIQ.GER.009 - Wafer / Galletas Cream Craker / Azucar Rubia - Proveedor: Eufracia Quispe Gutierrez</t>
  </si>
  <si>
    <t>EUFRACIA QUISPE GUTIERREZ</t>
  </si>
  <si>
    <t>Venta de cargador de celular - Salcedo Salcedo Ronald Ronaldiño</t>
  </si>
  <si>
    <t>Valeria Nicolle Jibaja Rondón</t>
  </si>
  <si>
    <t>Compra de Residuos Aprovechables - OC 001 – N° 001713</t>
  </si>
  <si>
    <t>PLASTICOS Y METALICOS S.A.C.</t>
  </si>
  <si>
    <t>001 – N° 001713</t>
  </si>
  <si>
    <t>001- N° 002847</t>
  </si>
  <si>
    <t>Daniela Camero Carnero</t>
  </si>
  <si>
    <t>Compra de Residuos Aprovechables - OC 001 – N° 001688</t>
  </si>
  <si>
    <t>EMPRESA YURA S.R.L.</t>
  </si>
  <si>
    <t>001 – N° 001688</t>
  </si>
  <si>
    <t>Gastos de Gerencia - 13.01.2025</t>
  </si>
  <si>
    <t>LIQ.COM.049 - RQ.COM.177 - Servicio de pintado de 50 adoquines en color amarillo - Proveedor: Ebert Prieto Alcca</t>
  </si>
  <si>
    <t>EBERT PRIETO ALCCA</t>
  </si>
  <si>
    <t>RQ.COM.177</t>
  </si>
  <si>
    <t>LIQ.COM.052 - RQ.COM.226 - Servicio de transporte para el cargio de 2TN de leña suelta desde almacen 3 hasta JLBR - Cerro Colorado - Proveedor: Juan Alberto Carlos Ccallo</t>
  </si>
  <si>
    <t>JUAN ALBERTO CARLOS CCALLO</t>
  </si>
  <si>
    <t>RQ.COM.226</t>
  </si>
  <si>
    <t>LIQ.COM.050 - RQ.COM.223 - Servicio de transporte para el cargio de 5TN de leña suleta desde almacen 3 hasta Los Olivos (Mariano Melgar) - Proveedor: Juan Alberto Carlos Ccallo</t>
  </si>
  <si>
    <t>RQ.COM.223</t>
  </si>
  <si>
    <t>LIQ.COM.051 - RQ.COM.224 - Servicio de transporte para el carguio de 2TN de chatarra metalica desde almacen 3 para venta en Aceros Arequipa  - Proveedor: Juan Alberto Carlos Ccallo</t>
  </si>
  <si>
    <t>RQ.COM.224</t>
  </si>
  <si>
    <t>001- N° 003892</t>
  </si>
  <si>
    <t>001- N° 004028</t>
  </si>
  <si>
    <t>Venta de Residuos - Responsable Valeria J. (001- N° 004087)</t>
  </si>
  <si>
    <t>001- N° 004177</t>
  </si>
  <si>
    <t>001- N° 004088</t>
  </si>
  <si>
    <t>Juan Quispe Calderón</t>
  </si>
  <si>
    <t>001- N° 004089</t>
  </si>
  <si>
    <t>Sergio Gutiérrez Huamán</t>
  </si>
  <si>
    <t>Balanza - Venta de NS: 001- N° 004075</t>
  </si>
  <si>
    <t>Balanza - Venta de NS: 001- N° 003988</t>
  </si>
  <si>
    <t>Balanza - Venta de NS: 001- N° 003996</t>
  </si>
  <si>
    <t>Balanza - Venta de NS: 001- N° 003998</t>
  </si>
  <si>
    <t>Balanza - Venta de NS: 001- N° 004016</t>
  </si>
  <si>
    <t>Balanza - Venta de NS: 001- N° 004029</t>
  </si>
  <si>
    <t>Balanza - Venta de NS: 001- N° 004035</t>
  </si>
  <si>
    <t>Balanza - Venta de NS: 001- N° 004080</t>
  </si>
  <si>
    <t>LIQ.LOG.028 - RQ.LOG.229 - Cable UTP 5E / Cinta aislante 3M / Pernos con tarugo / Pernos de fijacion a las camaras - Proveedor: Juan J. Enciso M.</t>
  </si>
  <si>
    <t>JUAN J. ENCISO M.</t>
  </si>
  <si>
    <t>RQ.LOG.229</t>
  </si>
  <si>
    <t>LIQ.LOG.026 - RQ.LOG.228 - Pistola Trupper para manguera / Reduccion (acople para manguera) / Abrazadera de 1" - Proveedor: Anthony Huamani Mamani</t>
  </si>
  <si>
    <t>ANTHONY HUAMANI MAMANI</t>
  </si>
  <si>
    <t>RQ.LOG.228</t>
  </si>
  <si>
    <t>LIQ.GH.017 - RQ.GH.125 - Torta pequeña / Gaseosas / Paquete de servilletas /  Vela de cumpleaños / Caja de fosforos - Proveedor: Varios</t>
  </si>
  <si>
    <t>RQ.GH.125</t>
  </si>
  <si>
    <t>LIQ.GH.018 - RQ.GH.128 - Apoyo en recoleccion de residuos aprovechables (envases vacios) en chincha / Apoyo en recoleccion de residuos aprovechables (Alambron, madera y sacas vacias) en Tralsa - Proveedor: Varios</t>
  </si>
  <si>
    <t>RQ.GH.128</t>
  </si>
  <si>
    <t>LIQ.LOG.027 - RQ.SSO.161 - Envio de encomienda de polos y pantalones desde la ciudad de Lima hasta Arequipa - Proveedor: Fernando Marquez Avila</t>
  </si>
  <si>
    <t>FERNANDO JESUS MARQUEZ AVILA</t>
  </si>
  <si>
    <t>RQ.SSO.161</t>
  </si>
  <si>
    <t>001- N° 004074</t>
  </si>
  <si>
    <t>Prestamo Interno - Caja AQP</t>
  </si>
  <si>
    <t>001- N° 003853</t>
  </si>
  <si>
    <t>001- N° 003982</t>
  </si>
  <si>
    <t>Vannessa Daniella Amado Farfan</t>
  </si>
  <si>
    <t>Compra de platitos para compartir de torta - Imer B.</t>
  </si>
  <si>
    <t>Socrates Condori Chambilla</t>
  </si>
  <si>
    <t>003- N° 000521</t>
  </si>
  <si>
    <t>Oscar Rubio Lopez</t>
  </si>
  <si>
    <t>003- N° 000522</t>
  </si>
  <si>
    <t>003- N° 000523</t>
  </si>
  <si>
    <t>Juan Carlos Miramira Mamani</t>
  </si>
  <si>
    <t>003- N° 000524</t>
  </si>
  <si>
    <t>Blas Huanca Ancco</t>
  </si>
  <si>
    <t>003- N° 000525</t>
  </si>
  <si>
    <t>003- N° 000526</t>
  </si>
  <si>
    <t>003- N° 000527</t>
  </si>
  <si>
    <t>Carmen Cruz Huaracha</t>
  </si>
  <si>
    <t>003- N° 000528</t>
  </si>
  <si>
    <t>003- N° 000529</t>
  </si>
  <si>
    <t>Karina Cruz Paniagua</t>
  </si>
  <si>
    <t>Pago por el servicio de Agua del 01.12.2024 al 31.12.2024 (50.00)</t>
  </si>
  <si>
    <t>Alquiler Almacen Lima - Diciembre 2024</t>
  </si>
  <si>
    <t>QUISPE CASTRO CIRILO</t>
  </si>
  <si>
    <t>LIQ.LOG.017 - RQ.LOG.188 - Rastrillos metalicos - Proveedor: Fernando Jesus Marquez Avila</t>
  </si>
  <si>
    <t>RQ.LOG.188</t>
  </si>
  <si>
    <t>LIQ.LOG.023 - RQ.LOG.212 - Compra de 2kg. de azucar rubia para donacion - Proveedor: Fernando Jesus Marquez Avila</t>
  </si>
  <si>
    <t>RQ.LOG.212</t>
  </si>
  <si>
    <t>LIQ.OPE.067 - RQ.OPE.894 - Servicio de transporte de residuos peligrosos desde almacen Villa Eperanza hasta almacen de Chilca - Proveedor: Jonathan Suazo Alania</t>
  </si>
  <si>
    <t>JONATHAN SUAZO ALANIA</t>
  </si>
  <si>
    <t>RQ.OPE.894</t>
  </si>
  <si>
    <t>001- N° 004106</t>
  </si>
  <si>
    <t>001- N° 003595</t>
  </si>
  <si>
    <t>001- N° 004010</t>
  </si>
  <si>
    <t>001- N° 004094</t>
  </si>
  <si>
    <t>LIQ.GH.019 - Apoyo en elaboracion de Ficha de entrevista - Proveedor: Ana Lucia Nuñoncca</t>
  </si>
  <si>
    <t>ANA LUCIA NUÑONCCA</t>
  </si>
  <si>
    <t>CONCRETOS SUPERMIX SOCIEDAD ANONIMA - CONCRETOS SUPERMIX S.A.</t>
  </si>
  <si>
    <t>001- N° 004115</t>
  </si>
  <si>
    <t>001- N° 004112</t>
  </si>
  <si>
    <t>001- N° 004105</t>
  </si>
  <si>
    <t>Diego Armando Mamani Limache</t>
  </si>
  <si>
    <t>LIQ.COM.054 - RQ.COM.231 - Transporte de envases vacios de Campo Limpio (Pampa Baja) - Proveedor: Alex Flores Rodriguez</t>
  </si>
  <si>
    <t>ALEX FLORES RODRIGUEZ</t>
  </si>
  <si>
    <t>RQ.COM.231</t>
  </si>
  <si>
    <t>Junior Ccama Gutierrez</t>
  </si>
  <si>
    <t>001- N° 003957</t>
  </si>
  <si>
    <t>Diego Mamani Limache</t>
  </si>
  <si>
    <t>001- N° 003871</t>
  </si>
  <si>
    <t>001- N° 004117</t>
  </si>
  <si>
    <t>Alquiler - Almacen Arequipa (2) - BOLAÑOS VALDEZ REBECA - Periodo Junio 2024</t>
  </si>
  <si>
    <t>Alquiler - Almacen Arequipa (2) - BOLAÑOS VALDEZ REBECA - Periodo Julio 2024</t>
  </si>
  <si>
    <t>Alquiler - Almacen Arequipa (2) - BOLAÑOS VALDEZ REBECA - Periodo Agosto 2024</t>
  </si>
  <si>
    <t>Felipa Supo Quispe</t>
  </si>
  <si>
    <t>001- N° 004125</t>
  </si>
  <si>
    <t>LIQ.LOG.029 - RQ.LOG.237 - Modificacion de mueble de melamine para las areas de logistica y SIG - Proveedor: Wilson Huarsoca Coaquira</t>
  </si>
  <si>
    <t>WILSON HUARSOCA COAQUIRA</t>
  </si>
  <si>
    <t>RQ.LOG.237</t>
  </si>
  <si>
    <t>LIQ.COM.055 - RQ.COM.236 - Servicio de transporte de 900kg de botellas PET para cliente Maria Belen Labra (Variante de Uchumayo) - Proveedor: Gregorio Ugarte Mendoza</t>
  </si>
  <si>
    <t>GREGORIO UGARTE MENDOZA</t>
  </si>
  <si>
    <t>RQ.COM.236</t>
  </si>
  <si>
    <t>Gleen Stev Ponce Febres</t>
  </si>
  <si>
    <t>LIQ.OPE.068 - Apoyo al personal de balanza por ajuste de peso (Servicio Iberica)</t>
  </si>
  <si>
    <t>Pago de RXH - Enero 2025 - Apaza Castro Luis Alfredo ( 1,172.00 ) / Ramos Ala Geraldyn ( 480.00 ) / Mamani Ticona Jhon Yuber ( 1,446.00 ) / Vilca Amanqui Franklin Edgar ( 1,300.00 ) / Flores Clavijo Angel Alfonzo ( 1,239.00 ) / Dluznyewsky Rodriguez Julio Cesar ( 1,501.00 ) / Camero Carnero Daniela ( 1,128.00 ) / Velasquez Condori Joel Jonathan ( 1,080.00 ) / Vizcardo Alarcón Eduardo Pedro ( 1,360.00 )</t>
  </si>
  <si>
    <t>Luz Berlinda Sonco Vargas</t>
  </si>
  <si>
    <t>003- N° 000530</t>
  </si>
  <si>
    <t>Graciano Chila Valeriano</t>
  </si>
  <si>
    <t>003- N° 000531</t>
  </si>
  <si>
    <t>003- N° 000532</t>
  </si>
  <si>
    <t>003- N° 000533</t>
  </si>
  <si>
    <t>003- N° 000534</t>
  </si>
  <si>
    <t>003- N° 000535</t>
  </si>
  <si>
    <t>003- N° 000536</t>
  </si>
  <si>
    <t>003- N° 000537</t>
  </si>
  <si>
    <t>Felicitas Vilca de Laura</t>
  </si>
  <si>
    <t>003- N° 000538</t>
  </si>
  <si>
    <t>003- N° 000539</t>
  </si>
  <si>
    <t>Florentino Ccanchilla Zamata</t>
  </si>
  <si>
    <t>003- N° 000540</t>
  </si>
  <si>
    <t>Andersson Ccanchulla Villacencio</t>
  </si>
  <si>
    <t>003- N° 000541</t>
  </si>
  <si>
    <t>003- N° 000542</t>
  </si>
  <si>
    <t>Gastos de Villa Esperanza (Enero 2025)</t>
  </si>
  <si>
    <t>LIQ.GH.020 - Apoyo en actividades diarias del area de Gestion Humana - Proveedor: Jhaide Incarroca Merma</t>
  </si>
  <si>
    <t>JHAIDE INCARROCA MERMA</t>
  </si>
  <si>
    <t>LIQ.COM.056 - RQ.COM.238 - Servicio de transporte de residuos aprovechables (papel kraft) desde Almacen Villa Esperanza hacia Lima (cliente Miguel Huanuco) - Proveedor: Apaza Mendoza Gian Franco</t>
  </si>
  <si>
    <t>RQ.COM.238</t>
  </si>
  <si>
    <t>LIQ.LOG.030 - RQ.LOG.239 - Instalacion de luz electrica en Almacen Villa Esperanza - Proveedor: Eddy M. Perez C.</t>
  </si>
  <si>
    <t>EDDY M. PEREZ C.</t>
  </si>
  <si>
    <t>RQ.LOG.239</t>
  </si>
  <si>
    <t>LIQ.OPE.071 - RQ.OPE.916 - Compra de sacas para acondicionamiento de residuos</t>
  </si>
  <si>
    <t>RQ.OPE.916</t>
  </si>
  <si>
    <t>001- N° 004132</t>
  </si>
  <si>
    <t>Paulino Clemente Roque Laura</t>
  </si>
  <si>
    <t>001- N° 004134</t>
  </si>
  <si>
    <t>LIQ.COM.057 - RQ.COM.235 - Mano de obra por descarga de 1000 cajas Metal Prent - Proveedor: Alberto Caballero</t>
  </si>
  <si>
    <t>ALBERTO CABALLERO</t>
  </si>
  <si>
    <t>RQ.COM.235</t>
  </si>
  <si>
    <t>Víctor Hugo Zegarra Zegarra</t>
  </si>
  <si>
    <t>001- N° 004140</t>
  </si>
  <si>
    <t>Balanza - Venta de NS: 001- N° 004120</t>
  </si>
  <si>
    <t>001- N° 004141</t>
  </si>
  <si>
    <t>LIQ.GH.021 - Apoyo en carguio de residuos a unidades tercerizadas en la ciudad de Cusco (3 dias)</t>
  </si>
  <si>
    <t>LIQ.GH.021</t>
  </si>
  <si>
    <t>LIQ.OPE.072 - RQ.OPE.910 - Servicio de transporte de residuos aprovechables (madera y chatarra metalica liviana) desde Cusco hacia almacen en Arequipa - Proveedor: Grupo Lider AQP S.A.C.</t>
  </si>
  <si>
    <t>RQ.OPE.910</t>
  </si>
  <si>
    <t>LIQ.OPE.073 - RQ.OPE.912 - Servicio de traslado de residuos no aprovechables desde Alsur Cusco hasta almacen Huaranguillo (Arequipa) - Proveedor: Transportes Carlos Kayro E.I.R.L.</t>
  </si>
  <si>
    <t>RQ.OPE.912</t>
  </si>
  <si>
    <t>LIQ.OPE.074 - RQ.OPE.912 - Servicio de traslado de residuos no aprovechables desde almacen Huaranguillo hacia el relleno de seguridad La Joya - Proveedor: Transportes Carlos Kayro E.I.R.L.</t>
  </si>
  <si>
    <t>LIQ.GH.022 - Apertura de historia clinica en posta medica de San Jose - La Joya / Consulta medica y curacion de herida en la posta medica / Medicamentos (Angel Flores Clavijo)</t>
  </si>
  <si>
    <t>LIQ.GH.022</t>
  </si>
  <si>
    <t>Devolucion - Prestamo Interno - Caja AQP</t>
  </si>
  <si>
    <t>Compra de residuos Aprovechables - OC 001-N° 0001725</t>
  </si>
  <si>
    <t>001 - N° 0001725</t>
  </si>
  <si>
    <t>001- N° 004151</t>
  </si>
  <si>
    <t>RQ.OPE.925 - LIQ.OPE.075 - Servicio de transporte de residuos no aprovechables desde Villa Esperanza hacia Chilca - disposicion Innova Ambiental - Proveedor: Empresa de Transporte y Servicios Generales KONNI</t>
  </si>
  <si>
    <t>EMPRESA DE TRANSPORTES Y SERVICIOS GENERALES KONNI</t>
  </si>
  <si>
    <t>LIQ.OPE.075</t>
  </si>
  <si>
    <t>LIQ.OPE.076 - Detergente para limpieza en almacen VE (2kg.)</t>
  </si>
  <si>
    <t>LIQ.OPE.076</t>
  </si>
  <si>
    <t>RQ.COM.237 - LIQ.COM.060 - Balanza por el pesaje de chatarra cargada en Villa Esperanza</t>
  </si>
  <si>
    <t>RQ.COM.237</t>
  </si>
  <si>
    <t>RQ.COM.240 - LIQ.COM.059 - Servicio de mantenimiento de tinas metalicas: Redificacion de puertas y laterales, pintado, soldadura y rotulado de logo - Proveedor: Gerardo C.</t>
  </si>
  <si>
    <t>GERARDO C.</t>
  </si>
  <si>
    <t>RQ.COM.240</t>
  </si>
  <si>
    <t>001- N° 004155</t>
  </si>
  <si>
    <t>LIQ.GH.024 - RQ.GH.148 - Apoyo en segregacion de carton y descarga de IBCs (Almacen 1) (4) / Apoyo en segregacion de carton (Almacen 1) (5) / Apoyo en clasificacion de sacos big bag (Almacen 3) (22)</t>
  </si>
  <si>
    <t>RQ.GH.148</t>
  </si>
  <si>
    <t>Luis Alberto Huamani Sonco</t>
  </si>
  <si>
    <t>001- N° 004159</t>
  </si>
  <si>
    <t>Movimiento Anulado</t>
  </si>
  <si>
    <t>LIQ.COM.063 - RQ.COM.246 - Recoleccion de residuos aprovechables de la empresa Campo Limpio en sede Tarapoto (Transporte y mano de obra) - Proveedor: Eduen Burga</t>
  </si>
  <si>
    <t>EDUEN BURGA</t>
  </si>
  <si>
    <t>RQ.COM.246</t>
  </si>
  <si>
    <t>001- N° 004166</t>
  </si>
  <si>
    <t xml:space="preserve">LIQ.GH.025 - RQ.GH.147 - Apoyo en recoleccion de residuos aprovechables Cuzco </t>
  </si>
  <si>
    <t>RQ.GH.147</t>
  </si>
  <si>
    <t>LIQ.COM.058 - Desayuno / Almuerzo (2 personas)</t>
  </si>
  <si>
    <t>LIQ.COM.058</t>
  </si>
  <si>
    <t>001- N° 004157</t>
  </si>
  <si>
    <t>LIQ.OPE.078 - RQ.OPE.941 - Transporte de residuos de Villa Esperanza a Chilca (Almacen de Marco) para posteriormente ser dispuestos en Innova Ambiental. Tipo de residuo: Peligrosos. Cantidad aproximada a cargar: 1,700.00kg. - Proveedor: Expresso JJ Arequipa Express S.R.L.</t>
  </si>
  <si>
    <t>EXPRESO JJ AREQUIPA EXPRESS S.R.L.</t>
  </si>
  <si>
    <t>RQ.OPE.941</t>
  </si>
  <si>
    <t>Gastos de gerencia - Sin motivo ni sustento</t>
  </si>
  <si>
    <t>(2 )LIQ.GH.024 - RQ.GH.148 - Apoyo en segregacion de carton y descarga de IBCs (Almacen 1) (4) / Apoyo en segregacion de carton (Almacen 1) (5) / Apoyo en clasificacion de sacos big bag (Almacen 3) (22)</t>
  </si>
  <si>
    <t>LUCIA ALVAREZ QUILLA</t>
  </si>
  <si>
    <t>Magda Limachi Mamani</t>
  </si>
  <si>
    <t>001- N° 004170</t>
  </si>
  <si>
    <t>LIQ.COM.065 - RQ.COM.249 - Mano de obra para compra de residuos en Alsur Cusco</t>
  </si>
  <si>
    <t>RQ.COM.249</t>
  </si>
  <si>
    <t>LIQ.LOG.033 - RQ.LOG.241 - Fabricacion de estructura metalica para acondicionamiento de leña. El servicio incluye el soldado, lijado y pintado de cada estructura - Proveedor: Gerardo C.</t>
  </si>
  <si>
    <t>RQ.LOG.241</t>
  </si>
  <si>
    <t>LIQ.LOG.032 - RQ.LOG.250 - Compra de cubos de arena para el estucado y tarrajeado de garita de seguridad en Villa Esperanza - Proveedor: Tiendas la 90 E.I.R.L.</t>
  </si>
  <si>
    <t>RQ.LOG.250</t>
  </si>
  <si>
    <t>LIQ.COM.062 - RQ.COM.245 - Transporte de 248 pallets y 165 marcos de madera desde Almacen Huaranguillo hacia Pedregal - Proveedor: Juan Reynaldo Curipaco</t>
  </si>
  <si>
    <t>JUAN REYNALDO CURIPACO</t>
  </si>
  <si>
    <t>RQ.COM.245</t>
  </si>
  <si>
    <t>LIQ.COM.061 - RQ.COM.243 - Servicio de transporte de 300 pallets de madera desde almacen N°3 - Huaranguillo hasta el Pedregal (Se descargo en 2 puntos según el area de ventas) - Proveedor: Jonnathan Suazo Alania</t>
  </si>
  <si>
    <t>JONNATHAN SUAZO ALANIA</t>
  </si>
  <si>
    <t>RQ.COM.243</t>
  </si>
  <si>
    <t>Compra de residuos Aprovechables - OC 001 - N° 0001780</t>
  </si>
  <si>
    <t>CACERES JIMENEZ JUDITH</t>
  </si>
  <si>
    <t>001 - N° 0001780</t>
  </si>
  <si>
    <t>Compra de residuos Aprovechables - OC 001 - N° 0001779</t>
  </si>
  <si>
    <t>001 - N° 0001779</t>
  </si>
  <si>
    <t>Compra de residuos Aprovechables - OC 001 - N° 0001588</t>
  </si>
  <si>
    <t>001 - N° 0001588</t>
  </si>
  <si>
    <t>001- N° 004168</t>
  </si>
  <si>
    <t>Devolucion - 001- N° 004087 - OP44 (001- N° 004177)</t>
  </si>
  <si>
    <t>(001- N° 004177)</t>
  </si>
  <si>
    <t>Juan Llanos Carpio</t>
  </si>
  <si>
    <t>001- N° 004176</t>
  </si>
  <si>
    <t>001- N° 004183</t>
  </si>
  <si>
    <t>Balanza - Venta de NS: 001- N° 004183</t>
  </si>
  <si>
    <t>Paolo Josue Cuadros Ogufco</t>
  </si>
  <si>
    <t>001- N° 004184</t>
  </si>
  <si>
    <t>Balanza - Venta de NS: 001- N° 004133</t>
  </si>
  <si>
    <t>Balanza - Venta de NS: 001- N° 004144</t>
  </si>
  <si>
    <t>Balanza - Venta de NS: 001- N° 004153</t>
  </si>
  <si>
    <t>Balanza - Venta de NS: 001- N° 004162</t>
  </si>
  <si>
    <t>Balanza - Venta de NS: 001- N° 004170</t>
  </si>
  <si>
    <t>001- N° 004181</t>
  </si>
  <si>
    <t>Pago de Mi Banco - Deuda no conocida.</t>
  </si>
  <si>
    <t>001- N° 003748</t>
  </si>
  <si>
    <t>001- N° 003783</t>
  </si>
  <si>
    <t>LIQ.OPE.081 - Apoyo operativo en relleno Innova Ambiental La Joya -  07/02/2025</t>
  </si>
  <si>
    <t>LIQ.OPE.081</t>
  </si>
  <si>
    <t>LIQ.COM.067 - Comision por servicio de residuos peligrosos a H-E PARTS (FS 001-3098 de 2024 / Peso: 1,210 Kg.) / Comision por servicio de residuos peligrosos a H-E PARTS (FS 001-3898 de 2024 / Peso: 1,800 Kg.) - Proveedor: Percy  Yucra</t>
  </si>
  <si>
    <t>PERCY YUCRA</t>
  </si>
  <si>
    <t>LIQ.COM.067</t>
  </si>
  <si>
    <t>LIQ.COM.068 - RQ.COM.201 - Imanes para selección de chatarra de acero inoxidable, cobre, aluminio entre otros metales de valor para uso de almacenes, supervisores y area de venta - Proveedor: Andrea Condori</t>
  </si>
  <si>
    <t>ANDREA CONDORI</t>
  </si>
  <si>
    <t>RQ.COM.201</t>
  </si>
  <si>
    <t>Geraldyn Ramos Ala</t>
  </si>
  <si>
    <t>LIQ.OPE.079 - RQ.OPE.946 - Servicio de transporte de residuos aprovechables (botas y chatarra metalica), no aprovechables y peligrosos (aceite en desuso) , epps envases, desde Alsur Peru Cusco hacia almacen Huaranguillo - Proveedor: Grupo Lider AQP S.A.C.</t>
  </si>
  <si>
    <t>GRUPO LIDER AQP S.A.C.</t>
  </si>
  <si>
    <t>RQ.OPE.946</t>
  </si>
  <si>
    <t>LIQ.LOG.031 - Elaboracion de parantes metalicos de 1.5 metros de altura para instalacion de reflectores - Proveedor: Fernando Jesus Marquez Avila</t>
  </si>
  <si>
    <t>RQ.LOG.240</t>
  </si>
  <si>
    <t>LIQ.COM.072 - RQ.COM.258 - Sacas Big Bag de Polipropileno para suministrarle a nuestro cliente TACONSER / Envio de las sacas Big Bag de polipropileno de Huachipa a Santa Anita (Lima) - Proveedor: NE</t>
  </si>
  <si>
    <t>NE</t>
  </si>
  <si>
    <t>RQ.COM.258</t>
  </si>
  <si>
    <t>LIQ.COM.066 - RQ.COM.252 - Compra de gaseosas para nuestro cliente Antilla Copper por apoyo en la gestion del servicio. La compra fue realizada por el Sr. Juan Tarifa - Proveedor: NE</t>
  </si>
  <si>
    <t>RQ.COM.252</t>
  </si>
  <si>
    <t>001- N° 004195</t>
  </si>
  <si>
    <t>QOMER SAC</t>
  </si>
  <si>
    <t>001- N° 004196</t>
  </si>
  <si>
    <t>001- N° 004198</t>
  </si>
  <si>
    <t xml:space="preserve">LIQ.COM.071 - RQ.COM.253 -Transporte de residuos peligrosos con restos metálicos de Celicon Ingenieros S.A.C. hacia Almacén Huaranguillo 
Proveedor: Walter Mamani </t>
  </si>
  <si>
    <t>RQ.COM.253</t>
  </si>
  <si>
    <t>001- N° 004032</t>
  </si>
  <si>
    <t>001- N° 004203</t>
  </si>
  <si>
    <t>Pago personal por fuera (RH) - Febrero 2025</t>
  </si>
  <si>
    <t>Anulado</t>
  </si>
  <si>
    <t>001- N° 004188</t>
  </si>
  <si>
    <t>001- N° 004209</t>
  </si>
  <si>
    <t>001- N° 004210</t>
  </si>
  <si>
    <t>LIQ.COM.064 - RQ.COM.250 - Legalizacion de Hoja</t>
  </si>
  <si>
    <t>NOTARIA BOLIVAR</t>
  </si>
  <si>
    <t>RQ.COM.250</t>
  </si>
  <si>
    <t>LIQ.COM.073 - RQ.COM.260 - Transporte y recoleccion de residuos aprovechables provenientes de Alsur (Cusco) hacia la ciudad del Cusco para su venta a Ecomilan - Proveedor: Transportes Carlos Kayro E.I.R.L.</t>
  </si>
  <si>
    <t>RQ.COM.260</t>
  </si>
  <si>
    <t>Nelson Gregorio Quispe Ccapa</t>
  </si>
  <si>
    <t>Pago a personal de lavado (se realizo el lavado del camarote de la unidad VBB-840) - Proveedor: NE</t>
  </si>
  <si>
    <t>LIQ.OPE.070</t>
  </si>
  <si>
    <t>Compra de residuos Aprovechables - OC 001 - N° 0001769</t>
  </si>
  <si>
    <t>001 - N° 0001769</t>
  </si>
  <si>
    <t>LIQ.OPE.080 - RQ.OPE.979 -Descarga y carga de 02 tinas metálicas vacías de unidad FOTON BKL-739
Moly-Cop Adesur S.A. (La Joya)</t>
  </si>
  <si>
    <t>EMILIO CABANA</t>
  </si>
  <si>
    <t>RQ.OPE.979</t>
  </si>
  <si>
    <t>LIQ.COM.074  - RQ.COM.265 - Servicio de transporte para cargar 2 Ton de leña desde almacen Huaranguillo hasta Mariano Melgar - Los Olivos (350.00) / Mano de obra para descarga de leña (160.00)- Proveedor: NE</t>
  </si>
  <si>
    <t>RQ.COM.265</t>
  </si>
  <si>
    <t>LIQ.GH.027 - Pago por los dias laborados en Marzo 2025</t>
  </si>
  <si>
    <t>EDUARDO VIZCARDO</t>
  </si>
  <si>
    <t>LIQ.GH.027</t>
  </si>
  <si>
    <t>Daniel Casos Sucapuca</t>
  </si>
  <si>
    <t>003- N° 000543</t>
  </si>
  <si>
    <t>003- N° 000544</t>
  </si>
  <si>
    <t>003- N° 000545</t>
  </si>
  <si>
    <t>Edwin Mesco Villavicencio</t>
  </si>
  <si>
    <t>003- N° 000546</t>
  </si>
  <si>
    <t>Ely Kayra Salcedo</t>
  </si>
  <si>
    <t>003- N° 000547</t>
  </si>
  <si>
    <t>003- N° 000548</t>
  </si>
  <si>
    <t>Hilda Obregón Tapia</t>
  </si>
  <si>
    <t>003- N° 000549</t>
  </si>
  <si>
    <t>Kendal Ramirez</t>
  </si>
  <si>
    <t>003- N° 000550</t>
  </si>
  <si>
    <t>Hipolito Suni Gutierrez</t>
  </si>
  <si>
    <t>003- N° 000551</t>
  </si>
  <si>
    <t>EDWARD NEIL BERRIO DIAZ</t>
  </si>
  <si>
    <t>003- N° 000552</t>
  </si>
  <si>
    <t>Julio Bustinza Guzman</t>
  </si>
  <si>
    <t>003- N° 000553</t>
  </si>
  <si>
    <t>003- N° 000554</t>
  </si>
  <si>
    <t>003- N° 000555</t>
  </si>
  <si>
    <t>Pruden Huaya Mesa</t>
  </si>
  <si>
    <t>003- N° 000556</t>
  </si>
  <si>
    <t>003- N° 000557</t>
  </si>
  <si>
    <t>Recarga de agua de pozo (2)</t>
  </si>
  <si>
    <t>Orestes Vargas Luque</t>
  </si>
  <si>
    <t>001- N° 004218</t>
  </si>
  <si>
    <t>LIQ.COM.070 - RQ.COM.254 - Desayuno de personal</t>
  </si>
  <si>
    <t>RQ.COM.254</t>
  </si>
  <si>
    <t>001- N° 004217</t>
  </si>
  <si>
    <t>Giancarlo Urday Valencia</t>
  </si>
  <si>
    <t>001- N° 004221</t>
  </si>
  <si>
    <t>LIQ.OPE.082 - Apoyo Operativo Cena - Dia 03.03.2025</t>
  </si>
  <si>
    <t>LIQ.OPE.082</t>
  </si>
  <si>
    <t>LIQ.LOG.036 - RQ.LOG.265 - Servicio de tarrajeado oficina villa esperanza - Proveedor: Graciano Chila Valeriano</t>
  </si>
  <si>
    <t>GRACIANO CHILA VALERIANO</t>
  </si>
  <si>
    <t>RQ.LOG.265</t>
  </si>
  <si>
    <t>LIQ.LOG.035 - RQ.LOG.262 - Servicio de picado del cuarto piso del Almacen Huaranguillo para poder enchapar con las nuevas mayolicas - Proveedor: Javier Delgadillo</t>
  </si>
  <si>
    <t>JAVIER DELGADILLO</t>
  </si>
  <si>
    <t>RQ.LOG.262</t>
  </si>
  <si>
    <t>001- N° 004223</t>
  </si>
  <si>
    <t>Pago por el servicio de Agua del 01.01.2025 al 31.01.2025 (50.00)</t>
  </si>
  <si>
    <t>LIQ.COM.075 - RQ.COM.266 - Mano de obra para el servicio de recoleccion de residuos no aprovechables en Alsur Cusco - Proveedor: NE</t>
  </si>
  <si>
    <t>LIQ.COM.075</t>
  </si>
  <si>
    <t>LIQ.GH.026 - RQ.GH.151 - Detalles para cumpleaños - Febrero 2025 - Proveedor: NE</t>
  </si>
  <si>
    <t>LIQ.GH.026</t>
  </si>
  <si>
    <t>LIQ.GH.023 - Curacion de la herida del trabajador Angel Flores en la posta de San Jose - Proveedor: NE</t>
  </si>
  <si>
    <t>LIQ.GH.023</t>
  </si>
  <si>
    <t>LIQ.GH.029 - Apoyo en el area de Gestion Humana y entrevista con el personal Operativo - Proveedor: Katherine Rios</t>
  </si>
  <si>
    <t>KHATERINE RIOS</t>
  </si>
  <si>
    <t>LIQ.GH.029</t>
  </si>
  <si>
    <t>LIQ.GH.028 - Pago por dias laborados como operario de almacen - Proveedor: Hilton Ipashima</t>
  </si>
  <si>
    <t>HILTON IPASHIMA</t>
  </si>
  <si>
    <t>LIQ.GH.028</t>
  </si>
  <si>
    <t>Juber Monteza Bustamante</t>
  </si>
  <si>
    <t>Ticket de embarque - Juber Bustamante</t>
  </si>
  <si>
    <t>JUBER MONTEZA</t>
  </si>
  <si>
    <t>LIQ.COM.076 - Almuerzo de personal - Proveedor: NE</t>
  </si>
  <si>
    <t>LIQ.COM.076</t>
  </si>
  <si>
    <t>Alquiler - Almacen Arequipa (2) - BOLAÑOS VALDEZ REBECA - Periodo Septiembre / Octubre 2024</t>
  </si>
  <si>
    <t>LIQ.OPE.083 - RQ.OPE.1000 - Transporte de residuos aprovechables hacia almacen Villa Esperanza para su descarga y regreso a MolyCop para devolucion de tinas vacias / Transporte de residuos no aprovechables desde Villa Esperanza hacia almacen N3 para su descarga - Proveedor: Sucapuca Gonzales Juan Wilson</t>
  </si>
  <si>
    <t>SUCAPUCA GONZALES JUAN WILSON</t>
  </si>
  <si>
    <t>RQ.OPE.1000</t>
  </si>
  <si>
    <t>Balanza - Venta de NS: 001- N° 004239</t>
  </si>
  <si>
    <t>Balanza - Venta de NS: 001- N° 004215</t>
  </si>
  <si>
    <t>Compra de residuos Aprovechables - OC 001 - N° 0001826</t>
  </si>
  <si>
    <t>001 - N° 0001826</t>
  </si>
  <si>
    <t>LIQ.COM.078 - RQ.COM.277 - Vehiculo baranda para cargio de 9 ibcs y 24 cilindros desde Huaranguillo hacia Mariscal Castilla - Proveedor: NE</t>
  </si>
  <si>
    <t>RQ.COM.277</t>
  </si>
  <si>
    <t>LIQ.COM.077 - RQ.COM.276 - Vehiculo baranda para carguio de 2.5 Ton de leña desde Huaranguillo hacia Peruarbo JLBYR - Proveedor: NE</t>
  </si>
  <si>
    <t>RQ.COM.276</t>
  </si>
  <si>
    <t>LIQ.OPE.084 - RQ.OPE.1003 - Servicio de transporte de residuos peligrosos y no aprovechables hasta el almacen de Marco en Chilca - Lima - Proveedor: Luis Apaza</t>
  </si>
  <si>
    <t>LUIS APAZA</t>
  </si>
  <si>
    <t>RQ.OPE.1003</t>
  </si>
  <si>
    <t>Compra de residuos Aprovechables - OC 001 - N° 0001817</t>
  </si>
  <si>
    <t>001 - N° 0001817</t>
  </si>
  <si>
    <t>001- N° 004233</t>
  </si>
  <si>
    <t>001- N° 004241</t>
  </si>
  <si>
    <t>Orlando Ruben Ortiz Chirinos</t>
  </si>
  <si>
    <t>001- N° 004235</t>
  </si>
  <si>
    <t>001- N° 004242</t>
  </si>
  <si>
    <t>Anyela Flores Larico</t>
  </si>
  <si>
    <t>001- N° 004243</t>
  </si>
  <si>
    <t>001- N° 004244</t>
  </si>
  <si>
    <t>LIQ.COM.079 - RQ.COM.278 - Mano de obra para selección de residuos de Campo Limpio en Santa Anita - Lima</t>
  </si>
  <si>
    <t>RQ.COM.278</t>
  </si>
  <si>
    <t>LIQ.STI.009 - RQ.STI.076 - Mantenimiento correctivo de software de laptop - Proveedor: Edwin Whalmor Toledo Huillca</t>
  </si>
  <si>
    <t>EDWIN WHALMOR TOLEDO HUILLCA</t>
  </si>
  <si>
    <t>RQ.STI.076</t>
  </si>
  <si>
    <t>LIQ.STI.008 - RQ.STI.076 - Recuperacion de archivos Onedrive- Proveedor: Percy Arturo Llerena Rios</t>
  </si>
  <si>
    <t>PERCY ARTURO LLERENA RIOS</t>
  </si>
  <si>
    <t>001- N° 004238</t>
  </si>
  <si>
    <t>001- N° 004239</t>
  </si>
  <si>
    <t>001- N° 004248</t>
  </si>
  <si>
    <t>001- N° 004249</t>
  </si>
  <si>
    <t>LIQ.COM.081 - Balanza para pesaje de leña gruesa desde almacén Villa Esperanza hacia Arequipa para venta - Proveedor: NE</t>
  </si>
  <si>
    <t>LIQ.COM.081</t>
  </si>
  <si>
    <t>LIQ.COM.080 - RQ.COM.244 - Fabricacion de contenedor metalico amarillo para chatarra pesada - Proveedor: Gerardo Tapara</t>
  </si>
  <si>
    <t>GERARDO TAPARA</t>
  </si>
  <si>
    <t>RQ.COM.244</t>
  </si>
  <si>
    <t>Luz Ysabel Quispe Quispe.</t>
  </si>
  <si>
    <t>001- N° 004253</t>
  </si>
  <si>
    <t>LIQ.COM.085 - RQ.COM.282 Mano de obra para limpieza y pintado de cilindros metálicos cerrados, delivery para transporte de pinturas Mariscal a Gytres AQP</t>
  </si>
  <si>
    <t>LIQ.COM.085</t>
  </si>
  <si>
    <t>001- N° 004256</t>
  </si>
  <si>
    <t>001- N° 004257</t>
  </si>
  <si>
    <t>001- N° 004258</t>
  </si>
  <si>
    <t xml:space="preserve">LIQ.OPE.085/ RQ.OPE.990 Descarga y carga de montacarga realizar actividades en almacén Villa Esperanza </t>
  </si>
  <si>
    <t>LIQ.OPE.085</t>
  </si>
  <si>
    <t xml:space="preserve">LIQ.COM.082 - RQ.COM.244 Adicional por modificaciones solicitadas por Gerencia </t>
  </si>
  <si>
    <t xml:space="preserve">Marcos Choque Loayza </t>
  </si>
  <si>
    <t>LIQ.COM.082</t>
  </si>
  <si>
    <t>LIQ.COM.083 - RQ.COM.244 Servicio transporte de materiales desde Aceros Comerciales hasta almacén N°03</t>
  </si>
  <si>
    <t>LIQ.COM.083</t>
  </si>
  <si>
    <t xml:space="preserve">LIQ.COM.084  -RQ.COM.244 Compra de grilletes de izaje 1" - elaboracion de contendor </t>
  </si>
  <si>
    <t>LIQ.COM.084</t>
  </si>
  <si>
    <t xml:space="preserve">LIQ.GH.030 - Segregación de sacos en almacén, autorizado por Gerencia </t>
  </si>
  <si>
    <t>Luis Alberto Mamani Sonco</t>
  </si>
  <si>
    <t>LIQ.GH.030</t>
  </si>
  <si>
    <t>Compra de residuos Aprovechables - OC 001 - N° 0001838</t>
  </si>
  <si>
    <t>MAMANI TARIFA VICTOR RAUL</t>
  </si>
  <si>
    <t>001 - N° 0001838</t>
  </si>
  <si>
    <t>LIQ.COM.087 - RQ.COM.281 - Sacado de puentes superiores y cortado de IBC en horario nocturno - Proveedor: Varios</t>
  </si>
  <si>
    <t>RQ.COM.281</t>
  </si>
  <si>
    <t>LIQ.COM.086 - Gaseosa de 1.5litros Kola Escocesa para cliente Cooperativa Minera Comig de Ananea Limitada - Proveedor: Varios</t>
  </si>
  <si>
    <t>LIQ.COM.086</t>
  </si>
  <si>
    <t>RQ.SSO.199 - LIQ.SSO.004 - Servicio de encomienda Palomino para el envio de epps (mamelucos y pantalones)</t>
  </si>
  <si>
    <t>RQ.SSO.199</t>
  </si>
  <si>
    <t>001- N° 004251</t>
  </si>
  <si>
    <t>001- N° 004268</t>
  </si>
  <si>
    <t>LIQ.OPE.088 - RQ.OPE.1027 - Recoleccion y transporte de residuos Aprovechables - No Peligroso (Alambron) - Arequipa / La Joya - Proveedor:  Juan Wilson Sucapuca Gonzales</t>
  </si>
  <si>
    <t>JUAN WILSON SUCAPUCA GONZALES</t>
  </si>
  <si>
    <t>RQ.OPE.1027</t>
  </si>
  <si>
    <t>LIQ.OPE.086 - Abastecimiento de GLP para montacargas UNICARRIERS - Proveedor: NE</t>
  </si>
  <si>
    <t>LIQ.OPE.086</t>
  </si>
  <si>
    <t>RQ.OPE.948 - LIQ.OPE.087 - Carguio de montacargas en Km. 48 - Proveedor: Emilio Cabanillas</t>
  </si>
  <si>
    <t>EMILIO CABANILLAS</t>
  </si>
  <si>
    <t>RQ.OPE.948</t>
  </si>
  <si>
    <t>Donacion PNP - En favor de Comisaria de Pampa de Camarones para bateria de Vehiculo - Cesar Ivan Condori Zeballos</t>
  </si>
  <si>
    <t>001- N° 004273</t>
  </si>
  <si>
    <t>LIQ.LOG.037 - RQ.LOG.272 - Fabricacion de 3 contenedores metalicos para chatarra metalica - Proveedor: Luis Fernando Taipe Saraza</t>
  </si>
  <si>
    <t>LUIS FERNANDO TAIPE SARAZA</t>
  </si>
  <si>
    <t>RQ.LOG.272</t>
  </si>
  <si>
    <t>Gastos de Recoleccion - NS: 002- N° 000719</t>
  </si>
  <si>
    <t>001- N° 004278</t>
  </si>
  <si>
    <t>001- N° 004272</t>
  </si>
  <si>
    <t>LIQ.LOG.038 - RQ.LOG.276 - Servicio de doblado de plancha metalica para reparacion de porton metalico</t>
  </si>
  <si>
    <t>RQ.LOG.276</t>
  </si>
  <si>
    <t>Compra de residuos Aprovechables - OC 001 - N° 0001873</t>
  </si>
  <si>
    <t>CCAMA CCALLA MARCELINO</t>
  </si>
  <si>
    <t>001 - N° 0001873</t>
  </si>
  <si>
    <t>Compra de residuos Aprovechables - OC 001 - N° 0001872</t>
  </si>
  <si>
    <t>001 - N° 0001872</t>
  </si>
  <si>
    <t>LIQ.OPE.089 - RQ.OPE.948 - Descarga de montacargas en el Km48. - Proveedor: Emilio Cabanillas</t>
  </si>
  <si>
    <t>LIQ.OPE.090 - Compra de GLP para montacargas - Proveedor: Corporacion Andina del Gas</t>
  </si>
  <si>
    <t>CORPORACION ANDINA DEL GAS</t>
  </si>
  <si>
    <t>LIQ.OPE.090</t>
  </si>
  <si>
    <t>001- N° 004280</t>
  </si>
  <si>
    <t>Recibo pendiente de regularizar - Fernando M.</t>
  </si>
  <si>
    <t>LIQ.OPE.091</t>
  </si>
  <si>
    <t>LIQ.OPE.092 - Impresión de manifiestos de Residuos Peligrosos y otros para disposicion en relleno de seguridad - Impresión en librería realizado en Aeropuertos del Peru (Ayacucho) - Proveedor: NE</t>
  </si>
  <si>
    <t>LIQ.OPE.092</t>
  </si>
  <si>
    <t>001- N° 004285</t>
  </si>
  <si>
    <t>001- N° 004286</t>
  </si>
  <si>
    <t>Gastos de Gerencia - Alfombras</t>
  </si>
  <si>
    <t>Pago personal por fuera (RH) - Marzo 2025</t>
  </si>
  <si>
    <t>Crissley Lazarte Aguirre</t>
  </si>
  <si>
    <t>001- N° 004284</t>
  </si>
  <si>
    <t>001- N° 004283</t>
  </si>
  <si>
    <t>001- N° 004291</t>
  </si>
  <si>
    <t>003- N° 000558</t>
  </si>
  <si>
    <t>003- N° 000559</t>
  </si>
  <si>
    <t>003- N° 000560</t>
  </si>
  <si>
    <t>Olger Cornejo</t>
  </si>
  <si>
    <t>003- N° 000561</t>
  </si>
  <si>
    <t>003- N° 000562</t>
  </si>
  <si>
    <t>Wily Mayta Flores</t>
  </si>
  <si>
    <t>003- N° 000563</t>
  </si>
  <si>
    <t>003- N° 000564</t>
  </si>
  <si>
    <t>003- N° 000565</t>
  </si>
  <si>
    <t>003- N° 000566</t>
  </si>
  <si>
    <t>Darwin Franks Chalco Mansilla</t>
  </si>
  <si>
    <t>003- N° 000567</t>
  </si>
  <si>
    <t>003- N° 000568</t>
  </si>
  <si>
    <t>Llenada de pozo de agua (4) - Almacen Villa Esperanza</t>
  </si>
  <si>
    <t>Balanza KM 48</t>
  </si>
  <si>
    <t>LIQ.COM.089 - RQ.COM.294 - Servicio de transporte de 300 parihuelas desde almacen N°3 hasta el distrito de Pedregal, la descarga se realizo al dia siguiente a primera hora en los 2 puntos indicados por el area de ventas - Proveedor: Jonathan Suazo Alania</t>
  </si>
  <si>
    <t>RQ.COM.294</t>
  </si>
  <si>
    <t>LIQ.GH.031 - RQ.GH.167 - Apoyo en descarga manual de residuos peligrosos y no aprovechables a montacarguista de unidad tercerizada - Proveedor: NE</t>
  </si>
  <si>
    <t>RQ.GH.167</t>
  </si>
  <si>
    <t>001- N° 004290</t>
  </si>
  <si>
    <t>LIQ.COM.088 - Apoyo por papeleta de transito - Daniela Camero Carnero</t>
  </si>
  <si>
    <t>LIQ.COM.088</t>
  </si>
  <si>
    <t>Bonificacion Comercial - FE01-375 / FE01-416 /PE 001-3242</t>
  </si>
  <si>
    <t>LIQ.COM.090 - RQ.COM.297 - Maquinaria para carguio de residuo no peligroso en Km 48.</t>
  </si>
  <si>
    <t>RQ.COM.297</t>
  </si>
  <si>
    <t>Jhonny Garcia Chacnama</t>
  </si>
  <si>
    <t>LIQ.OPE.094 - RQ.OPE.1062 - Servicio de recoleccion de transporte de residuos aprovechables - Moly-cop (La Joya) / Almacen Villa Esperanza - Proveedor: Juan Succapuca</t>
  </si>
  <si>
    <t>JUAN SUCCAPUCA</t>
  </si>
  <si>
    <t>RQ.OPE.1062</t>
  </si>
  <si>
    <t>LIQ.LOG.040 - RQ.LOG.277 - Materiales para instalacion de gasfiteria en almacen Villa Esperanza - Proveedor: Ferreteria Jesus</t>
  </si>
  <si>
    <t>FERRETERIA JESUS</t>
  </si>
  <si>
    <t>RQ.LOG.277</t>
  </si>
  <si>
    <t>001- N° 004313</t>
  </si>
  <si>
    <t>LIQ.OPE.093 - Mantenimiento correctivo BKK-849</t>
  </si>
  <si>
    <t>LIQ.OPE.093</t>
  </si>
  <si>
    <t>LIQ.GH.032 - RQ.GH.170 - Apoyo en recoleccion de residuos aprovechables y no aprovechables (Alsur Cusco) - Proveedor: Jorge Queque</t>
  </si>
  <si>
    <t>JORGE QUEQUE</t>
  </si>
  <si>
    <t>RQ.GH.170</t>
  </si>
  <si>
    <t>001- N° 004194</t>
  </si>
  <si>
    <t>001- N° 004212</t>
  </si>
  <si>
    <t>001- N° 004320</t>
  </si>
  <si>
    <t>001- N° 004319</t>
  </si>
  <si>
    <t>Compra de residuos Aprovechables - OC 001 - N° 0001905</t>
  </si>
  <si>
    <t>CCORI HUAMANI HERNAN</t>
  </si>
  <si>
    <t>001 - N° 0001905</t>
  </si>
  <si>
    <t>A Y M TRANSPORTES</t>
  </si>
  <si>
    <t>LIQ.COM.103</t>
  </si>
  <si>
    <t>Molina Chavez Salvador</t>
  </si>
  <si>
    <t>LIQ.LOG.039 - RQ.LOG.281 - Servicio de fabricacion de techo metalico aluzinc TR4</t>
  </si>
  <si>
    <t>CRITIAN TAIPE SARAZA</t>
  </si>
  <si>
    <t>RQ.LOG.281</t>
  </si>
  <si>
    <t>001- N° 004323</t>
  </si>
  <si>
    <t>LIQ.COM.092 - RQ.COM.302 - Maquinaria grua para carguio de chatarra 30Ton - Proveedor: NE</t>
  </si>
  <si>
    <t>RQ.COM.302</t>
  </si>
  <si>
    <t>LIQ.COM.091 - RQ.COM.301 - Apoyo en montacargas - Proveedor: NE</t>
  </si>
  <si>
    <t>RQ.COM.301</t>
  </si>
  <si>
    <t>Karina Ramirez Flores</t>
  </si>
  <si>
    <t>LIQ.SIG.002 - Impresión de 20 hojas a color aproximadamente - Proveedor: Librería Catito</t>
  </si>
  <si>
    <t>LIBRERÍA CATITO</t>
  </si>
  <si>
    <t>LIQ.SIG.002</t>
  </si>
  <si>
    <t>LIQ.LOG.041 - RQ.LOG.283 - Servicio de autolavado de camioneta VBW889 / Servicio de autolavado BDQ-458 - Proveedor: NE</t>
  </si>
  <si>
    <t>RQ.LOG.283</t>
  </si>
  <si>
    <t>RQ.COM.192 - LIQ.COM.023 - Maquinaria de carga y descarga de vidrio en desuso - Proveedor: Santos Chavarria Vega</t>
  </si>
  <si>
    <t>SANTOS CHAVARRIA VEGA</t>
  </si>
  <si>
    <t>RQ.COM.192</t>
  </si>
  <si>
    <t>001- N° 004328</t>
  </si>
  <si>
    <t>001- N° 004333</t>
  </si>
  <si>
    <t>001- N° 004334</t>
  </si>
  <si>
    <t>LIQ.STI.010 - RQ.STI.082 - Mantenimiento de software de PC - Proveedor: Percy Llerena Rios</t>
  </si>
  <si>
    <t>LIQ.STI.010</t>
  </si>
  <si>
    <t>LIQ.GH.034 - RQ.GH.175 - Apoyo en recoleccion de residuos aprovechables (Campo limpio Quilmana) - Proveedor: Jorge Queque</t>
  </si>
  <si>
    <t>RQ.GH.175</t>
  </si>
  <si>
    <t>LIQ.GH.033 - RQ.GH.174 - Apoyo en recoleccion de residuos aprovechables (Molycop Tralsa Callao) - Proveedor: Jorge Queque</t>
  </si>
  <si>
    <t>RQ.GH.174</t>
  </si>
  <si>
    <t>001- N° 004340</t>
  </si>
  <si>
    <t>ANULADO</t>
  </si>
  <si>
    <t>LIQ.OPE.096 - RQ.OPE.1088 - Carga y descarga de chatarra metalica en local - Proveedor: NE</t>
  </si>
  <si>
    <t>RQ.OPE.1088</t>
  </si>
  <si>
    <t>LIQ.OPE.097 - Cochera de unidad vehicular para ejecucion de servicio - Proveedor: NE</t>
  </si>
  <si>
    <t>VIZCARRA DELGADO DANIEL</t>
  </si>
  <si>
    <t>para balanzas</t>
  </si>
  <si>
    <t>LIQ.COM.094 - RQ.COM.310 Servicio tercerizado para recojo de merma por venta de chatarra metálica en Parque Industrial, Apipa - Cerro Colorado  - Proveedor: NE</t>
  </si>
  <si>
    <t>LIQ.COM.094</t>
  </si>
  <si>
    <t>LIQ.GH.035 - RQ.GH.178 - Acondicionamiento de residuos en almacen 3 / Taxi - Proveedor: NE</t>
  </si>
  <si>
    <t>RQ.GH.178</t>
  </si>
  <si>
    <t>LIQ.GH.036 - RQ.GH.179 - Acondicionamiento de residuos en almacen 3 - Proveedor: NE</t>
  </si>
  <si>
    <t>RQ.GH.179</t>
  </si>
  <si>
    <t>Gastos de Gerencia - Pago Alquiler de Lima y Gastos de Capacitación</t>
  </si>
  <si>
    <t>LIQ.COM.093 - RQ.COM.304 - Maquinaria grua para carguio de chatarra metalica para venta: Grua cap. 9Ton de izaje en Almacen Gytres Arequipa - Proveedor: NE</t>
  </si>
  <si>
    <t>RQ.COM.304</t>
  </si>
  <si>
    <t>001- N° 004350</t>
  </si>
  <si>
    <t>001- N° 004353</t>
  </si>
  <si>
    <t>LIQ.COM.095 - RQ.COM.314 - Agregado para disposicion final - Medida M3 para atencion cliente Celicon</t>
  </si>
  <si>
    <t>RQ.COM.314</t>
  </si>
  <si>
    <t>001- N° 004346</t>
  </si>
  <si>
    <t>LIQ.OPE.098 - RQ.OPE.1072 / RQ.OPE.1073 - Impresión de manifiestos para disposicion de residuos en innova Ambiental - Proveedor: NE</t>
  </si>
  <si>
    <t>RQ.OPE.1072
RQ.OPE.1073</t>
  </si>
  <si>
    <t>LIQ.COM.098 - RQ.COM.313 - Servicio de vehiculo en plataforma para carguio de vidrio desde almacen Huaranguillo - Proveedor: Luis Apaza</t>
  </si>
  <si>
    <t>RQ.COM.313</t>
  </si>
  <si>
    <t>001- N° 004360</t>
  </si>
  <si>
    <t>001- N° 004362</t>
  </si>
  <si>
    <t>LIQ.LOG.042 - Embalaje de encomienda de muestras del area comercial en transportes Moquegua para Plaza norte - Lima - Proveedor: NE</t>
  </si>
  <si>
    <t>LIQ.LOG.042</t>
  </si>
  <si>
    <t>LIQ.COM.097 - RQ.COM.308 - Recoleccion y transporte de residuos aprovechables (leña) para venta en Peru-arbor JLBYR - Proveedor: Transportes Carlos Kayro E.I.R.L.</t>
  </si>
  <si>
    <t>RQ.COM.308</t>
  </si>
  <si>
    <t>LIQ.COM.096 - RQ.COM.307 - Recoleccion y transporte de residuos aprovechables (leña) para venta en Mariano Melgar / Los Olivos - Proveedor: Transportes Carlos Kayro E.I.R.L.</t>
  </si>
  <si>
    <t>RQ.COM.307</t>
  </si>
  <si>
    <t>001- N° 004316</t>
  </si>
  <si>
    <t>001- N° 004317</t>
  </si>
  <si>
    <t xml:space="preserve">LIQ.COM.102 - RQ.COM.316 - Adelanto de transporte para camión furgón, para carguio de 80 cilindros de plásticos de Ayacucho a Lima </t>
  </si>
  <si>
    <t>Transervis S.A.C.</t>
  </si>
  <si>
    <t>RQ.COM.316</t>
  </si>
  <si>
    <t>LIQ.OPE.099 - Compra de gaseosas sin factura por cargio  y acondicionado de leña / Actividad realizada el dia 10.04.2025 - Compra autorizada por Gerencia - Proveedor: NE</t>
  </si>
  <si>
    <t>LIQ.OPE.099</t>
  </si>
  <si>
    <t>LIQ.COM.099 - RQ.COM.311 - Transporte y afirmado para disposicion Final - Proveedor:  NE</t>
  </si>
  <si>
    <t>RQ.COM.311</t>
  </si>
  <si>
    <t>LIQ.COM.100 - RQ.COM.293 - Compra de cabezal de segunda (Marca: T-Scale, Modelo: BWS) - Proveedor: Balanzas Warton S.R.L.</t>
  </si>
  <si>
    <t>BALANZAS WARTON S.R.L.</t>
  </si>
  <si>
    <t>RQ.COM.293</t>
  </si>
  <si>
    <t>LIQ.COM.101 - Bocaditos y gaseosa para la capacitacion: Declaracion en plataforma de SIGERSOL - Proveedor: NE</t>
  </si>
  <si>
    <t>LIQ.COM.101</t>
  </si>
  <si>
    <t>LIQ.OPE.101 - RQ.OPE.1102 - Cupo por personas terceras en zona externa de planta - Proveedor: NE</t>
  </si>
  <si>
    <t>RQ.OPE.1102</t>
  </si>
  <si>
    <t>LIQ.OPE.103 - RQ.OPE.1103 - Carguio de chatarra metalica a unidad tercerizada para venta - Proveedor: Emilio Cabana</t>
  </si>
  <si>
    <t>RQ.OPE.1103</t>
  </si>
  <si>
    <t>LIQ.OPE.102 - Renovacion de inspeccion tecnica (Pegatina de tercera placa en carroceria) - Proveedor: NE</t>
  </si>
  <si>
    <t>LIQ.OPE.102</t>
  </si>
  <si>
    <t>LIQ.OPE.100 - Pesaje de residuos no aprovechables para disposicion en innova Ambiental - Proveedor: NE</t>
  </si>
  <si>
    <t>LIQ.OPE.100</t>
  </si>
  <si>
    <t>LIQ.OPE.095 - Cable capot 3 metros / Candado - Proveedor: NE</t>
  </si>
  <si>
    <t>LIQ.OPE.095</t>
  </si>
  <si>
    <t>Pago personal por fuera (RH) - Abril 2025</t>
  </si>
  <si>
    <t>001- N° 004384</t>
  </si>
  <si>
    <t>LIQ.LOG.043 - RQ.LOG.286 - Compra de carne fresca para mascota de Almacen VE - Proveedor: NE</t>
  </si>
  <si>
    <t>RQ.LOG.286</t>
  </si>
  <si>
    <t>LIQ.OPE.104 - RQ.OPE.1109 - Transporte de residuos no aprovechables de Arequipa a almacen de Marco Chilca - Proveedor: Transportes Unidest S.A.C.</t>
  </si>
  <si>
    <t>RQ.OPE.1109</t>
  </si>
  <si>
    <t>LIQ.LOG.044 - RQ.LOG.294 - Recarga de Bidon de agua mineral 20Ltrs - Proveedor: NE</t>
  </si>
  <si>
    <t>RQ.LOG.294</t>
  </si>
  <si>
    <t>Venta de Residuos - Responsable Valeria J. - Villa Esperanza</t>
  </si>
  <si>
    <t>003- N° 000569</t>
  </si>
  <si>
    <t>Edy Perez Chocano</t>
  </si>
  <si>
    <t>003- N° 000570</t>
  </si>
  <si>
    <t>003- N° 000571</t>
  </si>
  <si>
    <t>Cecilio Morales Ollachica</t>
  </si>
  <si>
    <t>003- N° 000572</t>
  </si>
  <si>
    <t>Jesus Cieza Ochoa</t>
  </si>
  <si>
    <t>003- N° 000573</t>
  </si>
  <si>
    <t>Ronan Choque</t>
  </si>
  <si>
    <t>003- N° 000574</t>
  </si>
  <si>
    <t>Orlando Quispe Ticona</t>
  </si>
  <si>
    <t>003- N° 000575</t>
  </si>
  <si>
    <t>Guillermo Vera</t>
  </si>
  <si>
    <t>003- N° 000576</t>
  </si>
  <si>
    <t>003- N° 000577</t>
  </si>
  <si>
    <t>003- N° 000578</t>
  </si>
  <si>
    <t>003- N° 000579</t>
  </si>
  <si>
    <t>Benicia Curasi Florez</t>
  </si>
  <si>
    <t>003- N° 000580</t>
  </si>
  <si>
    <t>003- N° 000581</t>
  </si>
  <si>
    <t>Julio Machuca Vargas</t>
  </si>
  <si>
    <t>003- N° 000582</t>
  </si>
  <si>
    <t>003- N° 000583</t>
  </si>
  <si>
    <t>003- N° 000584</t>
  </si>
  <si>
    <t>003- N° 000585</t>
  </si>
  <si>
    <t>003- N° 000586</t>
  </si>
  <si>
    <t>Llenada de pozo de agua (5) - Almacen Villa Esperanza</t>
  </si>
  <si>
    <t>Compra de Agua</t>
  </si>
  <si>
    <t>001- N° 004322</t>
  </si>
  <si>
    <t>001- N° 004324</t>
  </si>
  <si>
    <t xml:space="preserve">	Paul Olazabal Valdivia</t>
  </si>
  <si>
    <t>001- N° 004394</t>
  </si>
  <si>
    <t>LIQ.COM.104 - RQ.COM.319 - Recolección, transporte y venta de residuos aprovechables (chatarra y aluminio) para descarga en Pachacutec y Via evitamiento</t>
  </si>
  <si>
    <t>RQ.COM.319</t>
  </si>
  <si>
    <t>Compra de residuos Aprovechables - OC 001 - N° 0001909</t>
  </si>
  <si>
    <t>001 - N° 0001909</t>
  </si>
  <si>
    <t>001- N° 004402</t>
  </si>
  <si>
    <t>001- N° 004400</t>
  </si>
  <si>
    <t>001- N° 004398</t>
  </si>
  <si>
    <t>LIQ.LOG.040 - RQ.LOG.276 Servicio de reparación de portón princial (soldadura y pintado de estructura metálica)</t>
  </si>
  <si>
    <t>LIQ.LOG.040</t>
  </si>
  <si>
    <t>LIQ.OPE.106 - RQ.OPE.1139 Recolección y transporte de residuos peligrosos de la Joya hacia almacén Marco (Chilca)</t>
  </si>
  <si>
    <t>LIQ.OPE.106</t>
  </si>
  <si>
    <t xml:space="preserve">LIQ.OPE.105 - Se realizó carga de batería de AUDI BDQ-458 </t>
  </si>
  <si>
    <t>LIQ.OPE.105</t>
  </si>
  <si>
    <t>Devolucion Venta de Facturas - FF07-2 / FF07-3 / FF07-4 / FF07-5 (RESIGRALE S.R.L.)</t>
  </si>
  <si>
    <t>001- N° 004416</t>
  </si>
  <si>
    <t>001- N° 004417</t>
  </si>
  <si>
    <t>Entregas a rendir - Excedente por entrega de dinero en venta de facturas</t>
  </si>
  <si>
    <t>001- N° 004349</t>
  </si>
  <si>
    <t>Pago por el servicio de Agua del 01.02.2025 al 28.02.2025 (50.00)
Pago por el servicio de Agua del 01.03.2025 al 31.03.2025 (50.00)</t>
  </si>
  <si>
    <t>Venta de Residuos - Responsable Imer Bustamante</t>
  </si>
  <si>
    <t>LIQ.COM.106 - RQ.COM.324 - Servicio de descarga con maquinaria para venta de vidrio en Lima (Precio 15.00 por tonelada) - 12.33Ton - Proveedor: NE</t>
  </si>
  <si>
    <t>RQ.COM.324</t>
  </si>
  <si>
    <t>LIQ.COM.105 - Servicio de pesaje en KM48 para la venta de chatarra a Sider Peru - Proveedor: NE</t>
  </si>
  <si>
    <t>LIQ.COM.105</t>
  </si>
  <si>
    <t>001- N° 004423</t>
  </si>
  <si>
    <t>Daniel Valdivia Chavez</t>
  </si>
  <si>
    <t>001- N° 004426</t>
  </si>
  <si>
    <t>001- N° 004425</t>
  </si>
  <si>
    <t>001- N° 004427</t>
  </si>
  <si>
    <t>Villa Esperanza</t>
  </si>
  <si>
    <t>003- N° 000587</t>
  </si>
  <si>
    <t>003- N° 000588</t>
  </si>
  <si>
    <t>003- N° 000589</t>
  </si>
  <si>
    <t>Compra de Residuos Aprovechables - OC 00000100</t>
  </si>
  <si>
    <t>CONTINENTAL S.A.C.</t>
  </si>
  <si>
    <t>OC 00000100</t>
  </si>
  <si>
    <t>LIQ.OPE.109 - RQ.OPE.1164 - Sacas de polipropileno - Adquisicion de sacas de 2tn - Proveedor: NE</t>
  </si>
  <si>
    <t>RQ.OPE.1164</t>
  </si>
  <si>
    <t>Compra de Residuos Aprovechables - OC 00000110</t>
  </si>
  <si>
    <t xml:space="preserve">CHACON DIAZ JEANETH JACQUELINE </t>
  </si>
  <si>
    <t>OC 00000110</t>
  </si>
  <si>
    <t>LIQ.COM.107 - RQ.COM.331 - Apoyo de montacargas - Proveedor: NE</t>
  </si>
  <si>
    <t>RQ.COM.331</t>
  </si>
  <si>
    <t>LIQ.OPE.107 - Auxilio mecanico - Proveedor: NE</t>
  </si>
  <si>
    <t>LIQ.OPE.107</t>
  </si>
  <si>
    <t>LIQ.OPE.112 - RQ.OPE.1164 - Sacas de polipropileno - Adquisicion de sacas de 2tn -(costo de envío ) Proveedor: NE</t>
  </si>
  <si>
    <t>LIQ.GH.037 - RQ.GH.185 - Chocolates paquete en forma de corazon - Proveedor: NE</t>
  </si>
  <si>
    <t>RQ.GH.185</t>
  </si>
  <si>
    <t>LIQ.LOG.046 - RQ.LOG.309 - Alimento canino (12kg) / Camote - Proveedor: NE</t>
  </si>
  <si>
    <t>RQ.LOG.309</t>
  </si>
  <si>
    <t>001- N° 004439</t>
  </si>
  <si>
    <t>001- N° 004430</t>
  </si>
  <si>
    <t>001- N° 004428</t>
  </si>
  <si>
    <t>LIQ.COM.109 - RQ.COM.330 - Pago por servicio de transporte de 4000 cajas desde almacen Huaranguillo hacia Lima - Proveedor: Transportes Pacori J &amp; G E.I.R.L.</t>
  </si>
  <si>
    <t>RQ.COM.330</t>
  </si>
  <si>
    <t>LIQ.OPE.113 - RQ.OPE.1175 - Adelanto por servicio de transporte desde almacen Villa Esperanza hacia almacen en Chilca - Proveedor: Empresa de transportes Laguna E.I.R.L.</t>
  </si>
  <si>
    <t>RQ.OPE.1175</t>
  </si>
  <si>
    <t xml:space="preserve">LIQ.OPE.114 - RQ.OPE.1177 - Alquiler de circulina para ingreso a DP World logística, en atención a Inca Tops </t>
  </si>
  <si>
    <t>RQ.OPE.1177</t>
  </si>
  <si>
    <t xml:space="preserve">LIQ.OPE.115 - RQ.OPE.1174 - Impresión de manifiestos, guías y otros para servicios y disposición de residuos </t>
  </si>
  <si>
    <t>RQ.OPE.1174</t>
  </si>
  <si>
    <t>LIQ.OPE.111 - Transporte para compra de baterías para Hino 500, para atención a Inca Tops S.A.</t>
  </si>
  <si>
    <t>LIQ.OPE.111</t>
  </si>
  <si>
    <t>LIQ.COM.108 - RQ.COM.332 - Chinches por 100 unds / Mano de obra por pintado de plataforma Hino / Mano de obra por descarga de cilindros y colocacion de arpillera - Proveedor: NE</t>
  </si>
  <si>
    <t>RQ.COM.332</t>
  </si>
  <si>
    <t>001- N° 004441</t>
  </si>
  <si>
    <t>001- N° 004450</t>
  </si>
  <si>
    <t>Pago de RXH - Mayo 2025</t>
  </si>
  <si>
    <t>LIQ.COM.111 - RQ.COM.333 Pago por compra de 20 pallets de madera para venta a MolyCop</t>
  </si>
  <si>
    <t>Marco Gárate</t>
  </si>
  <si>
    <t>LIQ.COM.111</t>
  </si>
  <si>
    <t>001- N° 003978</t>
  </si>
  <si>
    <t>001- N° 004463</t>
  </si>
  <si>
    <t>LIQ.COM.110 - RQ.COM.334 Recolección, transporte y venta de residuos aprovechables (madera suelta).</t>
  </si>
  <si>
    <t>LIQ.COM.110</t>
  </si>
  <si>
    <t>LIQ.COM.112 - RQ.COM.335 Recolección, transporte y venta de residuos aprovechables (madera) de almacén Huaranguillo a los Olivos (Mariano Melgar)</t>
  </si>
  <si>
    <t>LIQ.COM.112</t>
  </si>
  <si>
    <t>001- N° 004468</t>
  </si>
  <si>
    <t>001- N° 004466</t>
  </si>
  <si>
    <t xml:space="preserve">LIQ.LOG.047 - RQ.LOG.297 Servicio de desatoramiento en Alm. 03 </t>
  </si>
  <si>
    <t xml:space="preserve">Jose Luis Velasquez Mamani </t>
  </si>
  <si>
    <t>LIQ.LOG.047</t>
  </si>
  <si>
    <t>003- N° 000590</t>
  </si>
  <si>
    <t>Idelfonso Brigas</t>
  </si>
  <si>
    <t>003- N° 000591</t>
  </si>
  <si>
    <t>Liz Canchari Mamani</t>
  </si>
  <si>
    <t>003- N° 000592</t>
  </si>
  <si>
    <t>003- N° 000593</t>
  </si>
  <si>
    <t>003- N° 000594</t>
  </si>
  <si>
    <t>003- N° 000595</t>
  </si>
  <si>
    <t>Cynthia Gutierrez Aragon</t>
  </si>
  <si>
    <t>003- N° 000596</t>
  </si>
  <si>
    <t>003- N° 000597</t>
  </si>
  <si>
    <t>003- N° 000598</t>
  </si>
  <si>
    <t>003- N° 000599</t>
  </si>
  <si>
    <t>003- N° 000600</t>
  </si>
  <si>
    <t>Alicia Huarca Saico</t>
  </si>
  <si>
    <t>003- N° 000601</t>
  </si>
  <si>
    <t>003- N° 000603</t>
  </si>
  <si>
    <t>003- N° 000604</t>
  </si>
  <si>
    <t>OPE</t>
  </si>
  <si>
    <t>LIQ.OPE.116 - RQ.OPE.1191 - Adelanto por servicio de transportes de residuos peligrosos para disposición, Alm. Huaranguillo - Almacén Marco (Chilca)</t>
  </si>
  <si>
    <t>LIQ.OPE.116</t>
  </si>
  <si>
    <t>Pago de RXH - Diciembre 2024</t>
  </si>
  <si>
    <t>001- N° 004472</t>
  </si>
  <si>
    <t>LIQ.GH.039 - RQ.GH.193 Apoyo en carguío de envases vacíos de Campo Limpio (Pisco)</t>
  </si>
  <si>
    <t>LIQ.GH.039</t>
  </si>
  <si>
    <t>LIQ.GH.038 - RQ.GH.192 Apoyo en conducción de unidad vehicular HINO V9R-9003 para servicio en Inca Tops</t>
  </si>
  <si>
    <t>LIQ.GH.038</t>
  </si>
  <si>
    <t>Compra de Residuos Aprovechables - OC 00000148</t>
  </si>
  <si>
    <t>M&amp;P REPRESENTACIONES GENERALES S.A.C.</t>
  </si>
  <si>
    <t>OC 00000148</t>
  </si>
  <si>
    <t>LIQ.LOG.060 - RQ.LOG.314 - Instalación de timbre y toma corriente en almacén 03</t>
  </si>
  <si>
    <t>LIQ.LOG.060</t>
  </si>
  <si>
    <t>LIQ.COM.113 - Almuerzo (Gleen, Alison, Diego) por horario extendido en feria de medio ambiente de Alicorp</t>
  </si>
  <si>
    <t>LIQ.COM.113</t>
  </si>
  <si>
    <t xml:space="preserve">LIQ.COM.114 - RQ.COM.339 - Adelanto por servicio de transporte de 60-65 IBC's desde Alm. Huaranguillo y Villa Esperanza hacia Envases Carolina - Lima </t>
  </si>
  <si>
    <t>Transportes OLOCH S.A.C.</t>
  </si>
  <si>
    <t>LIQ.COM.114</t>
  </si>
  <si>
    <t xml:space="preserve">LIQ.COM.115 - RQ.COM.339 - Saldo por servicio de transporte de 60-65 IBC's desde Alm. Huaranguillo y Villa Esperanza hacia Envases Carolina - Lima </t>
  </si>
  <si>
    <t>LIQ.COM.115</t>
  </si>
  <si>
    <t>LIQ.COM.116 - RQ.COM.336 Compra de pallets de madera (20) , para venta a MolyCop</t>
  </si>
  <si>
    <t>Nicolás Vilca</t>
  </si>
  <si>
    <t>LIQ.COM.116</t>
  </si>
  <si>
    <t xml:space="preserve">LIQ.OPE.117 - RQ.OPE.1200 Cambio de tina de radiador </t>
  </si>
  <si>
    <t>LIQ.OPE.117</t>
  </si>
  <si>
    <t>001- N° 004487</t>
  </si>
  <si>
    <t>001- N° 004498</t>
  </si>
  <si>
    <t>001- N° 004499</t>
  </si>
  <si>
    <t>001- N° 004500</t>
  </si>
  <si>
    <t>001- N° 004501</t>
  </si>
  <si>
    <t>001- N° 004502</t>
  </si>
  <si>
    <t>LIQ.GH.040 - RQ.GH.182 - Plato de comida / Gaseosa</t>
  </si>
  <si>
    <t>RQ.GH.182</t>
  </si>
  <si>
    <t>001- N° 004459</t>
  </si>
  <si>
    <t xml:space="preserve">LIQ.GH.041 - RQ.GH.197 - Carguio de residuos en Campo Limpio - Ica </t>
  </si>
  <si>
    <t>LIQ.GH.041</t>
  </si>
  <si>
    <t>Compra de Residuos Aprovechables - OC 00000130</t>
  </si>
  <si>
    <t>OC 00000130</t>
  </si>
  <si>
    <t>Compra de Residuos Aprovechables - OC 00000112</t>
  </si>
  <si>
    <t>OC 00000112</t>
  </si>
  <si>
    <t>LIQ.COM.118 - RQ.COM.343 Selección de sacos de polipropileno de Alprosa</t>
  </si>
  <si>
    <t xml:space="preserve">Aydee Chumbes </t>
  </si>
  <si>
    <t>LIQ.COM.118</t>
  </si>
  <si>
    <t>001- N° 004513</t>
  </si>
  <si>
    <t>001- N° 004520</t>
  </si>
  <si>
    <t>001- N° 004523</t>
  </si>
  <si>
    <t>001- N° 004524</t>
  </si>
  <si>
    <t xml:space="preserve">LIQ.COM.119 - RQ.COM.323 Adelanto de servicio de fabricación de 8 contenedores para área comercial </t>
  </si>
  <si>
    <t>LIQ.COM.119</t>
  </si>
  <si>
    <t>LIQ.LOG.061 - RQ.LOG.320 Construcción de plataforma en Almacen 03</t>
  </si>
  <si>
    <t xml:space="preserve">LIQ.LOG.061 </t>
  </si>
  <si>
    <t>LIQ.OPE.123 - RQ.OPE.1239  - Adelanto - transporte papel kraft</t>
  </si>
  <si>
    <t xml:space="preserve">Gian Franco Apaza Mendoza </t>
  </si>
  <si>
    <t>LIQ.OPE.123</t>
  </si>
  <si>
    <t>001- N° 004497</t>
  </si>
  <si>
    <t>LIQ.COM.120 - RQ.COM.346 - Compra de pallets (40)  aprovechables para venta  NS:001-4537</t>
  </si>
  <si>
    <t>LIQ.COM.120</t>
  </si>
  <si>
    <t>001- N° 004532</t>
  </si>
  <si>
    <t>001- N° 004533</t>
  </si>
  <si>
    <t>001- N° 004534</t>
  </si>
  <si>
    <t>001- N° 004535</t>
  </si>
  <si>
    <t xml:space="preserve">LIQ.OPE.118 - Pago extra por movilización de unidad </t>
  </si>
  <si>
    <t>LIQ.OPE.118</t>
  </si>
  <si>
    <t>LIQ.OPE.121 - Apoyo de personal tercero para carguío de residuos peligrosos para disposición, MolyCop Santa Anita</t>
  </si>
  <si>
    <t>LIQ.OPE.121</t>
  </si>
  <si>
    <t xml:space="preserve">LIQ.OPE.119 - Apoyo de personal para disposición en relleno en Innova Ambiental 19/06 </t>
  </si>
  <si>
    <t>LIQ.OPE.119</t>
  </si>
  <si>
    <t>Inocencio Prieto Rojas</t>
  </si>
  <si>
    <t>001- N° 004540</t>
  </si>
  <si>
    <t xml:space="preserve">Henrry Cornejo Caceres	</t>
  </si>
  <si>
    <t>001- N° 004542</t>
  </si>
  <si>
    <t>001- N° 004536</t>
  </si>
  <si>
    <t>LIQ.OPE.120 - Compra de 1/4 de hidrolina Audi BDQ-458</t>
  </si>
  <si>
    <t>LIQ.OPE.120</t>
  </si>
  <si>
    <t xml:space="preserve">LIQ.COM.117 - RQ.COM.344 - Apoyo en montacargas, servicio de Inca Tops </t>
  </si>
  <si>
    <t>LIQ.COM.117</t>
  </si>
  <si>
    <t>RQ.OPE.1247 - LIQ.OPE.122 - Impresión de guias y manifiestos para disposicion de residuos - Proveedor: NE</t>
  </si>
  <si>
    <t>RQ.OPE.1247</t>
  </si>
  <si>
    <t xml:space="preserve">LIQ.GH.042 - Compra de materiales y bocaditos para despedida Natalia </t>
  </si>
  <si>
    <t>LIQ.GH.042</t>
  </si>
  <si>
    <t>001- N° 004557</t>
  </si>
  <si>
    <t>001- N° 004544</t>
  </si>
  <si>
    <t>001- N° 004560</t>
  </si>
  <si>
    <t>001- N° 004563</t>
  </si>
  <si>
    <t xml:space="preserve">LIQ.GH.043 - RQ.GH.202 - Apoyo en acondicionamiento de residuos en Almacén 03 </t>
  </si>
  <si>
    <t>LIQ.GH.043</t>
  </si>
  <si>
    <t>LIQ.GH.044 - RQ.GH.203 Reintegro de cuatro servicios de caja trampa en Moly Cop a ex trabajador - Franklin Vilca 31/12</t>
  </si>
  <si>
    <t>LIQ.GH.044</t>
  </si>
  <si>
    <t>Pago de RXH - Junio 2025</t>
  </si>
  <si>
    <t>LIQ.LOG.063 - Compra de jugos gloria</t>
  </si>
  <si>
    <t>LIQ.LOG.063</t>
  </si>
  <si>
    <t>LIQ.STI.012 - Mica de celular Moto G04</t>
  </si>
  <si>
    <t>LIQ.STI.012</t>
  </si>
  <si>
    <t>Reposicion equivalente a Epps - Colaborador: Daniel Alcca</t>
  </si>
  <si>
    <t>LOG</t>
  </si>
  <si>
    <t>LIQ.LOG.064 - Compra de almuerzo para el Sr. Jhonatan Lopez (Melaminero)</t>
  </si>
  <si>
    <t>LIQ.LOG.064</t>
  </si>
  <si>
    <t>RQ.OPE.1233 - LIQ.OPE.126 - Curso de actualizacion de la normativa de transporte y transito terrestre</t>
  </si>
  <si>
    <t>RQ.OPE.1233</t>
  </si>
  <si>
    <t>LIQ.OPE.127 - Carga de bateria - Audi BDQ-458</t>
  </si>
  <si>
    <t>LIQ.OPE.127</t>
  </si>
  <si>
    <t>STI</t>
  </si>
  <si>
    <t>LIQ.STI.013 - Galletas para bocaditos de reunion administrativa</t>
  </si>
  <si>
    <t>LIQ.STI.013</t>
  </si>
  <si>
    <t>Compra de residuos aprovechables - OC Nro. 00000236</t>
  </si>
  <si>
    <t>OC Nro. 00000236</t>
  </si>
  <si>
    <t>001- N° 004574</t>
  </si>
  <si>
    <t>001- N° 004577</t>
  </si>
  <si>
    <t>001- N° 004571</t>
  </si>
  <si>
    <t>Judith Stefany del Pilar Serrano Villaca</t>
  </si>
  <si>
    <t>001- N° 004566</t>
  </si>
  <si>
    <t>COM</t>
  </si>
  <si>
    <t>LIQ.COM.121 - Gastos por recoleccion de residuos en Campo Limpio Tarapoto - FC 001-3856 - Fecha de recoleccion: 03 de Julio - Proveedor: Eduen Burga</t>
  </si>
  <si>
    <t>LIQ.COM.121</t>
  </si>
  <si>
    <t>GH</t>
  </si>
  <si>
    <t>RQ.GH.205 - LIQ.GH.045 - Azucar - Caja de te filtrante - Proveedor: NE</t>
  </si>
  <si>
    <t>SIG</t>
  </si>
  <si>
    <t>LIQ.SIG.001 - Bocaditos para reunión</t>
  </si>
  <si>
    <t>Kevin Begazo Valer</t>
  </si>
  <si>
    <t>SANDOVAL TERNERO CARLOS ALBERTO</t>
  </si>
  <si>
    <t>CFI.D09-07-0556</t>
  </si>
  <si>
    <t>Balanza de Nota de salida 001-4589</t>
  </si>
  <si>
    <t>LIQ.OPE.128 - Soldadura de 3 puntos de las puertas de carrocería - BKL-739</t>
  </si>
  <si>
    <t>LIQ.OPE.124- Regulación de frenos - BKK-849</t>
  </si>
  <si>
    <t>LIQ.COM.122 - Servicio de transporte de envases vacios de plastico - Proveedor: Miguel Huanuco</t>
  </si>
  <si>
    <t>LIQ.COM.123 - RQ.COM.356 - Botellas de agua para reunion con Inca Tops - Proveedor: NE</t>
  </si>
  <si>
    <t>LIQ.GH.047 - Pasaje de Villa esperanza - Arequipa - Villa Esperanza / Almuerzo - Proveedor: NE</t>
  </si>
  <si>
    <t>LIQ.OPE.130 - Compra de gaseosas y otros para personal operativo / Traslado de personal de Inca Tops en unidad particular - Proveedor: NE</t>
  </si>
  <si>
    <t>LIQ.OPE.132 - RQ.OPE.1288 - FOTÓN VEI-822: Revisión técnica</t>
  </si>
  <si>
    <t xml:space="preserve">LIQ.GH.046  - Plato de staff de decoración roto - Aniversario Gytres </t>
  </si>
  <si>
    <t xml:space="preserve">LIQ.OPE.129 - RQ.OPE.1255 - Almacenaje de residuos aprovechables y no aprovechables en Almacén Marco por 3 meses </t>
  </si>
  <si>
    <t xml:space="preserve">LIQ.OPE.131 - RQ.OPE.1255 - Almacenaje de residuos aprovechables y no aprovechables en Almacén Marco por 3 meses </t>
  </si>
  <si>
    <t xml:space="preserve">Venta de equipo celular - Krisley Lazarte </t>
  </si>
  <si>
    <t>Julio Alvis Ccorpuma</t>
  </si>
  <si>
    <t>GER</t>
  </si>
  <si>
    <t>Asesoría contable - periodo Dic. 2024 - Junio 2025
Yamdery Calle Ciña / Alberto Gallegos</t>
  </si>
  <si>
    <t xml:space="preserve">GH </t>
  </si>
  <si>
    <t xml:space="preserve">LIQ.GH.048 - RQ.GH.210 - Apoyo en acondicionamiento de residuos en almacén 1,2y3 </t>
  </si>
  <si>
    <t>Compra de residuos Aprovechables - OC 001 - N° 00261</t>
  </si>
  <si>
    <t>Pago por el servicio de Agua del 01.04.2025 al 30.04.2025 (50.00)
Pago por el servicio de Agua del 01.05.2025 al 31.05.2025 (50.00)</t>
  </si>
  <si>
    <t>LIQ.GH.049 - RQ.GH.213 Personal tercero para apoyo en carguío de residuos los días 11 de julio en Alsur - Cusco y el 15 de julio en Campo Limpio - Ica.</t>
  </si>
  <si>
    <t>ADM</t>
  </si>
  <si>
    <t>Almuerzo de confraternidad - administración</t>
  </si>
  <si>
    <t xml:space="preserve">bocaditos de reunión administrativa (driven - ppto) </t>
  </si>
  <si>
    <t>LIQ.OPE.135 - RQ.OPE.1297 - Apoyo de personal que ha realizado el recojo , traslado y colocación de placas provisionales en unidad nueva de Lima</t>
  </si>
  <si>
    <t>LIQ.OPE.134 - RQ.OPE.1296 - Impresión de manifiestos de residuos peligrosos para disposición en Innova Ambiental.</t>
  </si>
  <si>
    <t>CON</t>
  </si>
  <si>
    <t>LIQ.CON.001 - Certificado vigencia poder GYTRES</t>
  </si>
  <si>
    <t>LIQ.OPE.133 Cambio de foco delantero VDJ-872</t>
  </si>
  <si>
    <t xml:space="preserve">LIQ.OPE.125 - RQ.OPE.1255 Almacenaje de residuos aprovechables y no aprovechables en Almacén Marco por 2 meses </t>
  </si>
  <si>
    <t>LIQ.LOG.065 - RQ.LOG.328 Compra e instalación de base de rotoplast en la Joya</t>
  </si>
  <si>
    <t>Dennis Bejarano Caytan</t>
  </si>
  <si>
    <t xml:space="preserve">LIQ.GER.013 - Compras para referigerio de reunión general con consultores de marketing </t>
  </si>
  <si>
    <t xml:space="preserve">LIQ.OPE.136  - Cambio de válvula de aire y revisión </t>
  </si>
  <si>
    <t xml:space="preserve">LIQ.COM.124 - RQ.COM.359 - Recolección y transporte de residuos aprovechables (vidrio) en una unidad tercerizada para descarga en la empresa Santos Chavarria </t>
  </si>
  <si>
    <t xml:space="preserve">LIQ.OPE.137 - Regulación de frenos BKK-849 </t>
  </si>
  <si>
    <t xml:space="preserve">Recolección y transporte de residups aprovechables (cajas de cartón) para descarga en la Victoria 2721 Mexico Nicolas Ayllon </t>
  </si>
  <si>
    <t xml:space="preserve">Anthony Huamani </t>
  </si>
  <si>
    <t>Devolución de dinero entregado para gastos de planilla de movilidad - 2024</t>
  </si>
  <si>
    <t xml:space="preserve">Kathia Daniela Guzmán Zúñiga </t>
  </si>
  <si>
    <t xml:space="preserve">Pago de servicio de recolección , transporte y disposición de residuos biocontaminados ejecutado el día 26/06/2025 
PE 3648/ VAL. 3528 (sin IGV) 
Cliente: Kathia Daniela Guzmán Zúñiga </t>
  </si>
  <si>
    <t>Detección de problemas con aplicativo Gytes
Corección del problema detectado en el aplicativo Gytres</t>
  </si>
  <si>
    <t>LIQ.GH.050 - Reunión  y capacitación de urgencia con gerencia
Pasaje Villa Esperanza - Arequipa /ida y vuelta
Taxi terminal - Alm. Sachaca/ ida y vuelta</t>
  </si>
  <si>
    <t>Venta de Residuos - Responsable Valeria J. - Villa Esperanza - Julio 2025</t>
  </si>
  <si>
    <t xml:space="preserve">	Lisbeth Mamani Soncco</t>
  </si>
  <si>
    <t>Flavio Huaylla Huayhua</t>
  </si>
  <si>
    <t>Jenifer Florian Cabos</t>
  </si>
  <si>
    <t>Jesús Sieza Ochohua</t>
  </si>
  <si>
    <t>Juan Tarifa Mamani</t>
  </si>
  <si>
    <t>Gastos de Gerencia - No se tenia fecha</t>
  </si>
  <si>
    <t>Pago de RXH - Julio 2025</t>
  </si>
  <si>
    <t>PLRF07</t>
  </si>
  <si>
    <t>LIQ.OPE.139 - RQ.OPE.1323 - Impresión de manifiestos de residuos peligrosos para disposición en Innova Ambiental.</t>
  </si>
  <si>
    <t>LIQ.OPE.142 - RQ.OPE. 1340 - Transporte de personal, servicio La Iberica</t>
  </si>
  <si>
    <t>LIQ.OPE.140 - RQ.OPE.1336 - Compra de mataomsectos para limpieza de Hino</t>
  </si>
  <si>
    <t xml:space="preserve">LIQ.STI.017 - Chip prepago con recarga 30 días (Ruben Bustamante) </t>
  </si>
  <si>
    <t>Venta de llantas (06) - Cristhian Huanuco (Lima)</t>
  </si>
  <si>
    <t>LIQ.COM.128 - RQ.COM.369 - compra de sacas big bag de cap. 2 ton para suministrar a nuestro cliente Taconser E.I.R.L. (RCD) y envío desde Pte. Piedra - MolyCop (S.A.)</t>
  </si>
  <si>
    <t>Enrique Mamani Quispe</t>
  </si>
  <si>
    <t>William Choquepuma Carlos</t>
  </si>
  <si>
    <t xml:space="preserve">LIQ.STI.018 - Reparación de Laptop Lima </t>
  </si>
  <si>
    <t>Prestamo Interno - Jack Huanuco (Adelanto sueldo Agosto)</t>
  </si>
  <si>
    <t xml:space="preserve">LIQ.COM.127 - RQ.COM.360 - Carguio de residuos aprovechables (leña) para venta, desde Alm. Yanahuara - Mariano Melgar - Los Olivos </t>
  </si>
  <si>
    <t xml:space="preserve">LIQ.OPE.138 - RQ.OPE.1339 - Almacenaje de residuos generales desde 15 junio al 15 de julio </t>
  </si>
  <si>
    <t xml:space="preserve">LIQ.COM.126 - RQ.COM.362 - Transporte y carguio de residuos aprovechables (leña) de alm. Yanahuara a Perú Arbor (JLBR) </t>
  </si>
  <si>
    <t>LIQ.STI.11 - RQ.STI.083 - (07) Pilas AA , (01) Pilas AA</t>
  </si>
  <si>
    <t>LIQ.STI.16 - RQ.STI.096 - Revisión de problema de acceso al administrador del aplicativo Gytres</t>
  </si>
  <si>
    <t xml:space="preserve">Descarga de residuos aprovechable (vidrio), para venta en  Lima , FS: 001-4636 , Cliente: Santos Chavarria </t>
  </si>
  <si>
    <t>Aurelio Cutipa Tupacyupanqui</t>
  </si>
  <si>
    <t>LIQ.OPE.143 - RQ.OPE.1362 - Impresión de guías y otros del día 31/07/2025 y 04/08/2025</t>
  </si>
  <si>
    <t>Venta de Residuos - Responsable Valeria J. - Villa Esperanza - Junio 2025</t>
  </si>
  <si>
    <t>Oscar Bellido Cardenas</t>
  </si>
  <si>
    <t>Llenada de pozo de agua (6) - Almacen Villa Esperanza - Junio 2025</t>
  </si>
  <si>
    <t>Compra de Agua (2) - Almacen Villa Esperanza - Junio 2025</t>
  </si>
  <si>
    <t>Llenada de pozo de agua (4) - Almacen Villa Esperanza- Julio 2025</t>
  </si>
  <si>
    <t>Compra de Agua (2) - Almacen Villa Esperanza - Julio 2025</t>
  </si>
  <si>
    <t xml:space="preserve">LIQ.COM.129 - RQ.COM.365 - Pintado de contenedor IBC - color rojo, rotulación "aceite usado" color blanco y rejilla de metal.  
Cliente: COSAPI </t>
  </si>
  <si>
    <t>Juan Diego Perea Aranibar</t>
  </si>
  <si>
    <t>LIQ.OPE.144 - Soldadura de carrocería lado delantero VDJ-872</t>
  </si>
  <si>
    <t xml:space="preserve">LIQ.LOG.066 - Enmicado de código yape para área de ventas </t>
  </si>
  <si>
    <t>LIQ.STI.019 - RQ.STI.101 - Revisión y reparación de celular MOTO G-04 (Roy Ramos)</t>
  </si>
  <si>
    <t xml:space="preserve">LIQ.OPE.145 - RQ.OPE.1379 - Impresión de guías y manifiestos para disposición de residuos </t>
  </si>
  <si>
    <t>Dinero entregado para gastos de planilla de movilidad - 2025</t>
  </si>
  <si>
    <t xml:space="preserve">LIQ.GH.051 - RQ.GH.231 - Personal externo para carguío de envases vacíos - Campo Limpio (Ica) </t>
  </si>
  <si>
    <t>Devolucion Venta de Facturas - FF07-10 / FF07-11 / FF07-12 / FF07-13 / FF07-14 (RESIGRALE S.R.L.)</t>
  </si>
  <si>
    <t>Devolución adelanto  -  Jack Huanuco (Adelanto sueldo Agosto)</t>
  </si>
  <si>
    <t>Pago de RXH - Agosto 2025- 17200</t>
  </si>
  <si>
    <t xml:space="preserve">LIQ.OPE.146 - Impresión de guías y pago por estacionamiento "real plaza" </t>
  </si>
  <si>
    <t xml:space="preserve">LIQ.COM.131 - RQ.COM.376 Apoyo en montacarga 01/09 - carguio de lana en Inca tops </t>
  </si>
  <si>
    <t xml:space="preserve">Karol Yepez Ramos </t>
  </si>
  <si>
    <t xml:space="preserve">LIQ.SIG.002- Envio de documentos a abogado, gastos por presentación de documentos a Digesa - Informes médicos salud  ocupacional </t>
  </si>
  <si>
    <t xml:space="preserve">LIQ.GH.052 - RQ.GH.233 - Azúcar para compartir por despedida de Ruben B. </t>
  </si>
  <si>
    <t>Venta de Residuos - Responsable Valeria J. - Villa Esperanza - Agosto 2025</t>
  </si>
  <si>
    <t>LIQ.GH.053  - RQ.GH.237 - Apoyo personal tercero para disposición de residuos Sede Santa Anita</t>
  </si>
  <si>
    <t xml:space="preserve">LIQ.OPE.149 - Apoyo en descarga de fardos de lana de unidad vehicular (Inca Tops) </t>
  </si>
  <si>
    <t>SSO</t>
  </si>
  <si>
    <t>LIQ.SSO.01 - Pastillas paracetamol</t>
  </si>
  <si>
    <t xml:space="preserve">LIQ.OPE.148 - RQ.OPE.1401 - Pintado de piso furgón y remechado de puertas </t>
  </si>
  <si>
    <t>Pago de Alquiler - Almacen Arequipa - Por definir</t>
  </si>
  <si>
    <t>LIQ.GH.54 - Movilidad ida y vuelta de personal Villa esperanza - Actividad de integración organizada por Gerencia</t>
  </si>
  <si>
    <t>LIQ.OPE.150 - Estacionamiento de unidad VBW-889 para ejecución de servicios (Real Plaza) - Eleo Arquitectura y Construcción</t>
  </si>
  <si>
    <t>LIQ.OPE.151 - Movilización de unidad vehicular para actividad no realizada, por falta de inducción de Plan de tráfico especifica para dicha sede MolyCop (Santa Anita)</t>
  </si>
  <si>
    <t>LIQ.COM.130 - RQ.COM.374 - Carguio residuos aprovechables (leña) desde Alm. Yanahuara hasta Mariano Melgar (Los Olivos) , para venta</t>
  </si>
  <si>
    <t xml:space="preserve">LIQ.GER.015 - Compra para donación a Comsaría Pampa Camarones por vg. Santa Rosa </t>
  </si>
  <si>
    <t xml:space="preserve">LIQ.STI.020 - RQ.STI.107 - Cambio de batería y mantenimiento del audífono al equipo celular Redmi 9C </t>
  </si>
  <si>
    <t>LIQ.GER.014 - Certificado literal de registro de personas jurídicas</t>
  </si>
  <si>
    <t>LIQ.STI.021 - RQ.STI.109 Cambio de pantalla de celular Motorola Moto G 04</t>
  </si>
  <si>
    <t xml:space="preserve">LIQ.COM.137 - RQ.COM.378 - Carguío de residuos aprovechables (varios) en Alm. Yanahuara para venta en lima </t>
  </si>
  <si>
    <t>LIQ.COM.133 - Pesaje chatarra
Cliente: Alfredo Enrique Salcedo NS: 001-4683/001-4689</t>
  </si>
  <si>
    <t>LIQ.COM.135 - Pesaje chatarra
Cliente: Alfredo Enrique Salcedo NS: 001-4719</t>
  </si>
  <si>
    <t>Devolución - LIQ.OPE.116 - RQ.OPE.1191 Adelanto por servicio de transportes de residuos peligrosos para disposición, Alm. Huaranguillo - Almacén Marco (Chilca)</t>
  </si>
  <si>
    <t>LIQ.COM.141 - Pesaje chatarra
Cliente: Alfredo Enrique Salcedo NS: 001-4750</t>
  </si>
  <si>
    <t>LIQ.COM.140 - Pesaje chatarra (hojalata)
Cliente: Alfredo Enrique Salcedo NS: 001-4745</t>
  </si>
  <si>
    <t>LIQ.COM.142 - RQ.COM.379 -  Descarga de residuos aprovechables (vidrio), considerando s/15.00 por TN 
Cliente: Santos Chavarria 
NS: 001-4743</t>
  </si>
  <si>
    <t>LIQ.LOG.066 - Pago de flete recojo de casacas y camisas Lima - Arequipa</t>
  </si>
  <si>
    <t xml:space="preserve">LIQ.OPE.153 - RQ.OPE.1443 Almacenamiento de residuos peligrosos 15/08 al 15/09 2025 </t>
  </si>
  <si>
    <t xml:space="preserve">LIQ.OPE.154 - RQ.OPE.1444 Almacenamiento de residuos peligrosos 15/07 al 15/08 2025 </t>
  </si>
  <si>
    <t>LIQ.OPE.152 - RQ.OPE.1424 - Impresión de guías para disposición de residuos 05.08.2025, 11.08.2025, 13.08.2025, 14.08.2025, 18.08.2025, 19.08.2025</t>
  </si>
  <si>
    <t xml:space="preserve">Arturo donativo Iglesia </t>
  </si>
  <si>
    <t>Pago de alquiler  - Por definir</t>
  </si>
  <si>
    <t>LIQ.OPE.147 - Parchado de neumático V9R-903</t>
  </si>
  <si>
    <t>Prestamo Interno - Hector Enrrique Fabian Pizarro (Adelanto sueldo Setiembre)</t>
  </si>
  <si>
    <t xml:space="preserve">Devolución - Gastos de Gerencia - Arturo donativo Iglesia </t>
  </si>
  <si>
    <t>LIQ.COM.143 - Pesaje chatarra
Cliente: Alfredo Enrique Salcedo NS: 001-4760</t>
  </si>
  <si>
    <t xml:space="preserve">LIQ.OPE.155 - RQ.COM.382 - Apoyo en carga de fardos de lana de unidad vehicular. Inca Tops </t>
  </si>
  <si>
    <t>Gastos de Gerencia - Alquiler Lima</t>
  </si>
  <si>
    <t xml:space="preserve"> Alquiler Arequipa</t>
  </si>
  <si>
    <t>LIQ.OPE.156 - Compra de un folder catálogo para vehículo VEI-822</t>
  </si>
  <si>
    <t>LIQ.GH.055 - RQ.GH.247 - (09) Días por servicio de limpieza (reemplazo de vacaciones de Crisley Lazarte)</t>
  </si>
  <si>
    <t>Larry Cornejo Semillan</t>
  </si>
  <si>
    <t>Bedher Fredy Rivera Rojas</t>
  </si>
  <si>
    <t>Pago por el servicio de Agua del 01.04.2025 al 30.06.2025 (50.00)
Pago por el servicio de Agua del 01.05.2025 al 31.07.2025 (50.00)</t>
  </si>
  <si>
    <t xml:space="preserve">Pago de RXH - Setiembre 2025 </t>
  </si>
  <si>
    <t>LIQ.STI.022 Cambio de pantalla de celular motorola G04</t>
  </si>
  <si>
    <t xml:space="preserve">	EMPRESA SIDERURGICA DEL PERU S.A.A</t>
  </si>
  <si>
    <t>Venta de Residuos - Responsable Valeria J. - PENDIENTE NS</t>
  </si>
  <si>
    <t>LIQ.COM.147 - Pesaje chatarra
Cliente: Alfredo Enrique Salcedo NS: 001-4771</t>
  </si>
  <si>
    <t xml:space="preserve">Prestamo interno de caja chica aqp </t>
  </si>
  <si>
    <t>Prestamo BBVA</t>
  </si>
  <si>
    <t>Prestamo  cta personal - Imer B.</t>
  </si>
  <si>
    <t>Devolución - Prestamo Interno - Hector Enrrique Fabian Pizarro (Adelanto sueldo Setiembre)</t>
  </si>
  <si>
    <t>Fidel Flores Diaz</t>
  </si>
  <si>
    <t>Venta de Residuos - Responsable Valeria J. - Villa Esperanza - Setiembre 2025</t>
  </si>
  <si>
    <t xml:space="preserve">LIQ.GER.016 desayuno por registro y renovación de carcasas </t>
  </si>
  <si>
    <t xml:space="preserve">Devolución préstamo interno caja aqp </t>
  </si>
  <si>
    <t>LIQ.COM.146 - RQ.COM.381 Medias deportivas para futbol femenino - Granja Rinconada</t>
  </si>
  <si>
    <t>LIQ.OPE.158 - Recarga de celular para coordinacion de trabajo (Wilber Quispe)</t>
  </si>
  <si>
    <t xml:space="preserve">Venta de Residuos - Responsable Yennifer Soto </t>
  </si>
  <si>
    <t>LIQ.STI.023 - RQ.STI.121 - Servicio de Hosting de aplicativo GYTRES</t>
  </si>
  <si>
    <t>LIQ.GER.017 - Compra de medicamento para atención Alison Rodriguez (robo)</t>
  </si>
  <si>
    <t>Compra de Residuos Aprovechables - OC 00000472</t>
  </si>
  <si>
    <t>Compra de Residuos Aprovechables - OC 00000477</t>
  </si>
  <si>
    <t xml:space="preserve">LIQ.OPE.159 - Apoyo en descarga de residuos de unidad vehicular </t>
  </si>
  <si>
    <t xml:space="preserve">Gastos de gerencia </t>
  </si>
  <si>
    <t xml:space="preserve">LIQ.GH.056 - Refrigerio para capacitación de área comercial </t>
  </si>
  <si>
    <t>LIQ.GH.057 - RQ.GH.255 Personal tercero para apoyo en carguío de residuos el 07 de octubre en Campo Limpio - Ica.</t>
  </si>
  <si>
    <t>LIQ.GH.058 - RQ.GH.256 Personal tercero para apoyo en carguío de residuos el 13 de octubre en Campo Limpio - Ica.</t>
  </si>
  <si>
    <t>Devolucion de prestamo cta personal Imer Bustamante 03.10.2025</t>
  </si>
  <si>
    <t>Prestamo Interno - Hector Fabian Pizarro (Adelanto sueldo Octubre)</t>
  </si>
  <si>
    <t>LIQ.GH.059 - RQ.GH.263 Cinta y moños para inaurugación de of. Comercial y nueva unidad vehicular</t>
  </si>
  <si>
    <t xml:space="preserve">	Inocencio Prieto Rojas</t>
  </si>
  <si>
    <t>LIQ.COM.150 - RQ.COM.397 - Recolección de residuos aprovechables de la empresa de Campo Limpio en la sede Tarapoto (Mano de obra - Eduen Burga).
Recolección de residuos aprovechables de la empresa de Campo Limpio en la sede Tarapoto  (Transporte y viático).</t>
  </si>
  <si>
    <t xml:space="preserve">	Fidel Flores Diaz</t>
  </si>
  <si>
    <t>LIQ.STI.024 - RQ.STI. 124 - Desbloqueo de celular Redmi 9C</t>
  </si>
  <si>
    <t xml:space="preserve">LIQ.GER.018 - Certificado de copia literal </t>
  </si>
  <si>
    <t xml:space="preserve">Giuliana Luna </t>
  </si>
  <si>
    <t>FIN</t>
  </si>
  <si>
    <t>Acta de donación FIN 001/2025 - Institución Educativa "Gran Pachacutec" , actividad "Fiesta de valores"</t>
  </si>
  <si>
    <t xml:space="preserve">	Justo Condori Lipa</t>
  </si>
  <si>
    <t xml:space="preserve">LIQ.COM.149 - RQ.COM.394 - Transporte de residuos no peligrosos (madera en desuso) de almacen Yanahuara hasta Perú Arbor </t>
  </si>
  <si>
    <t>Gastos de Gerencia (Emiliano)</t>
  </si>
  <si>
    <t>LIQ.OPE.160 - Cambio de espejo panorámico y espejo curvo</t>
  </si>
  <si>
    <t>LIQ.COM.148 - Pesaje chatarra
Cliente: Alfredo Enrique Salcedo NS: 001-4829</t>
  </si>
  <si>
    <t>Compra de residuos Aprovechables - OC 001 - N° 00447</t>
  </si>
  <si>
    <t>Compra de residuos Aprovechables - OC 001 - N° 00397</t>
  </si>
  <si>
    <t xml:space="preserve">LIQ.OPE.157 - RQ.OPE.1472 - Recolección de no aprovechables (varios) en almacén La Joya, para disposición en Innova Ambiental </t>
  </si>
  <si>
    <t xml:space="preserve">LIQ.LOG.068 - RQ.LOG.367 - Paquete de saborizantes , arroz canuto, carne , comida para perro en Villa Esperanza </t>
  </si>
  <si>
    <t>LIQ.COM.145 - RQ.COM.375 - Mano de obra por la fabricación de contenedores</t>
  </si>
  <si>
    <t>LIQ.LOG.069 - RQ.LOG.368 - Servicio de gasfitería para mantenimiento a la bomba de agua</t>
  </si>
  <si>
    <t xml:space="preserve">LIQ.OPE.163 - Transporte de maleta con ropa y EPP de recambio de Arequipa a Lima </t>
  </si>
  <si>
    <t xml:space="preserve">LIQ.OPE.164 - Descarga de fardos de lana en DP Wolrd Logistic </t>
  </si>
  <si>
    <t xml:space="preserve">LIQ.OPE.165 - Descarga de residuos no aprovechables - escombros </t>
  </si>
  <si>
    <t>LIQ.OPE.162 - Renovación de inspeccion vehicular - BDQ-458</t>
  </si>
  <si>
    <t>LIQ.OPE.161 - Renovación SOAT - BDQ-458</t>
  </si>
  <si>
    <t>LIQ.COM.136 - Pesaje chatarra
Cliente: Alfredo Enrique Salcedo NS: 001-4644</t>
  </si>
  <si>
    <t>LIQ.COM.139 - Pesaje chatarra
Cliente: Alfredo Enrique Salcedo NS: 001-4737</t>
  </si>
  <si>
    <t xml:space="preserve">LIQ.COM.138 - Pesaje  de vidrio para venta 
Cliente: Santos Chavarria Vega </t>
  </si>
  <si>
    <t xml:space="preserve">LIQ.COM.152 - Pesaje  de vidrio para venta 
Cliente: Empresa Siderurgica   - Villa Esperanza </t>
  </si>
  <si>
    <t xml:space="preserve">Pago de RXH - Octubre 2025 </t>
  </si>
  <si>
    <t xml:space="preserve">LIQ.STI.025 - RQ.STI.128 - Spray Limpiador de pantalla </t>
  </si>
  <si>
    <t>Dany Ccanccapa Maque</t>
  </si>
  <si>
    <t>Elard Pino Mayta</t>
  </si>
  <si>
    <t xml:space="preserve">Pago de Alquiler </t>
  </si>
  <si>
    <t>Devolución - Prestamo Interno - Hector Fabian Pizarro (Adelanto sueldo Octubre)</t>
  </si>
  <si>
    <t xml:space="preserve">Pago de RXH - Octubre 2025 Saldo </t>
  </si>
  <si>
    <t>LIQ.COM.151 - Pesaje chatarra
Cliente: Alfredo Enrique Salcedo NS: 001-4860</t>
  </si>
  <si>
    <t>LIQ.GH.060 - Segregación de sacos en almacén (07 días)
9,243.00 sacos, 40 soles por millar</t>
  </si>
  <si>
    <t>LIQ.COM.155 - Pesaje chatarra
Cliente: Alfredo Enrique Salcedo NS: 001-4872</t>
  </si>
  <si>
    <t>LIQ.COM.156 - Pesaje chatarra
Cliente: Alfredo Enrique Salcedo NS: 001-4875</t>
  </si>
  <si>
    <t>LIQ.COM.154 - Pesaje chatarra
Cliente: Alfredo Enrique Salcedo NS: 001-4898</t>
  </si>
  <si>
    <t xml:space="preserve">Gleen Ponce </t>
  </si>
  <si>
    <t xml:space="preserve">LIQ.OPE.166 - RQ.OPE.1543 Impresión de manifiestos </t>
  </si>
  <si>
    <t>Venta de Residuos - Responsable Yennifer Soto -Villa Esperanza - octubre 2025</t>
  </si>
  <si>
    <t>LIQ.COM.153 - RQ.COM.351 - Paquete anual de Canva Pro</t>
  </si>
  <si>
    <t xml:space="preserve">LIQ.GER.019 - Vigencia Poder </t>
  </si>
  <si>
    <t>Elías Paco</t>
  </si>
  <si>
    <t>Gisela Pari</t>
  </si>
  <si>
    <t xml:space="preserve">Viaticos para viaje a Lima </t>
  </si>
  <si>
    <t>Viáticos para la semana</t>
  </si>
  <si>
    <t>Edwin Lucio Quispe Arviri</t>
  </si>
  <si>
    <t>Movilidad: 11-12-24
Actividad: Recojo de documentos 
Ruta: Almacén - Molycop
Monto: S/ 8 ( Mototaxi )
Colaborador: Cristian Huánuco</t>
  </si>
  <si>
    <t>Ronald Enrique Guizado Porras</t>
  </si>
  <si>
    <t>Movilidad: 12-12-24
Actividad: Firma de Manifiestos
Ruta: Almacén - Molycop
Monto: S/ 8 ( Mototaxi )
Colaborador: Ronald Guizado</t>
  </si>
  <si>
    <t>Movilidad: 12-12-24
Actividad: Compras de Requerimientos
Ruta: Almacén - GlobalPC
Monto: S/ 8 ( Mototaxi )
Colaborador: Ronald Guizado</t>
  </si>
  <si>
    <t>Movilidad: 13-12-24
Actividad: Entrega de Documentos
Ruta:  Encalada - Molycop
Monto: S/ 8 ( Mototaxi )
Colaborador: Ronald Guizado</t>
  </si>
  <si>
    <t>Movilidad: 13-12-24
Actividad: Envío de Documentos
Ruta: Almacén - Olva
Monto: S/ 8 ( Mototaxi )
Colaborador: Ronald Guizado</t>
  </si>
  <si>
    <t>Movilidad: 19-12-24
Actividad: Dar Alcance a Unidad Tercera
Ruta:  Almacen - Pte Perales
Monto: S/ 8 ( Particular )
Colaborador: Julio Dluzniewski</t>
  </si>
  <si>
    <t>Movilidad: 20-12-24
Actividad: Firma de Manifiestos
Ruta: Almacén - Molycop
Monto: S/ 8 ( Mototaxi )
Colaborador: Cristian Huánuco</t>
  </si>
  <si>
    <t>Movilidad: 20-12-24
Actividad: Envío de Documentos
Ruta: Almacén - Olva
Monto: S/ 8 ( Mototaxi )
Colaborador: Ronald Guizado</t>
  </si>
  <si>
    <t>Movilidad: 23-12-24
Actividad: Recojo de documentos 
Ruta: Almacén - Av Huachipa 
Monto: S/ 10 ( Particular )
Colaborador: Julio Dluzniewski</t>
  </si>
  <si>
    <t>Movilidad: 23-12-24
Actividad: Entrega de Epps 
Ruta: Almacén - Molycop
Monto: S/ 8 ( Mototaxi )
Colaborador: Ronald Guizado</t>
  </si>
  <si>
    <t>Movilidad: 26-12-24
Actividad: Firma de Manifiestos
Ruta: Almacén - Molycop
Monto: S/ 8 ( Mototaxi )
Colaborador: Ronald Guizado</t>
  </si>
  <si>
    <t>Movilidad: 26-12-24
Actividad: Recojo de documentos 
Ruta: Almacén - Molycop
Monto: S/ 8 ( Mototaxi )
Colaborador: Ronald Guizado</t>
  </si>
  <si>
    <t>Movilidad: 27-12-24
Actividad: Envío de Documentos
Ruta: Almacén - Olva
Monto: S/ 8 ( Mototaxi )
Colaborador: Ronald Guizado</t>
  </si>
  <si>
    <t>Movilidad: 30-12-24
Actividad: Dar Alcance a Unidad
Ruta:  Almacen - Kanay Chilca
Monto: S/ 25 ( Particular )
Colaborador: Julio Dluzniewski</t>
  </si>
  <si>
    <t>Movilidad: 31-12-24
Actividad: Entrega de Epp's
Ruta:  Almacen - Molycop
Monto: S/ 8 ( Mototaxi )
Colaborador: Ronald Guizado</t>
  </si>
  <si>
    <t>Movilidad: 02-01-25
Actividad: Entrega de Epp's
Ruta:  Almacen - Molycop
Monto: S/ 8 ( Mototaxi )
Colaborador: Ronald Guizado</t>
  </si>
  <si>
    <t>Movilidad: 02-01-25
Actividad: Entrega Cajas de Agua
Ruta:  Óvalo Sta Anita - Molycop
Monto: S/ 10 ( Mototaxi )
Colaborador: Ronald Guizado</t>
  </si>
  <si>
    <t>Movilidad: 03-01-25
Actividad: Envío de Documentos
Ruta: Almacén - Olva
Monto: S/ 8 ( Mototaxi )
Colaborador: Ronald Guizado</t>
  </si>
  <si>
    <t>Reposición de caja de gastos de unidades vehiculares</t>
  </si>
  <si>
    <t>Movilidad: 06-01-25
Actividad: Recojo de Manifiestos
Ruta: Almacén - Kanay 
Monto: S/ 25 ( particular )
Colaborador: Willian León</t>
  </si>
  <si>
    <t>RCO</t>
  </si>
  <si>
    <t>Reposición - Caja de Conductores</t>
  </si>
  <si>
    <t>Viaticos para viaje a Ayacucho</t>
  </si>
  <si>
    <t>Movilidad: 06-01-25
Actividad: Recojo de Manifiestos
Ruta: Chilca - Seche Group
Monto: S/ 13 ( Mototaxi )
Colaborador: Willian Leó</t>
  </si>
  <si>
    <t>Movilidad: 07-01-25
Actividad: Entregar Manifiestos
Ruta: Almacén - Molycop
Monto: S/ 8 ( Mototaxi )
Colaborador: Cristian Huánuco</t>
  </si>
  <si>
    <t>Movilidad: 07-01-25
Actividad: Recojo de Manifiestos
Ruta: Almacén - Molycop
Monto: S/ 8 ( Mototaxi )
Colaborador: Cristian Huánuco</t>
  </si>
  <si>
    <t>Movilidad: 07-01-25
Actividad: Entrega de Documentos 
Ruta: Almacén - Envak
Monto: S/ 15 ( Particular )
Colaborador: Cristian Huánuco</t>
  </si>
  <si>
    <t>Movilidad: 07-01-25
Actividad: Recojo de Epps
Ruta: Molycop - Encalada
Monto: S/ 8 ( Mototaxi )
Colaborador: Ronald Guizado</t>
  </si>
  <si>
    <t>00398973</t>
  </si>
  <si>
    <t>Movilidad: 08-01-25
Actividad: Recojo de Documentos 
Ruta: Almacén - Envak
Monto: S/ 15 ( Particular )
Colaborador: Cristian Huánuco</t>
  </si>
  <si>
    <t>Movilidad: 08-01-25
Actividad: Firma de Documentos
Ruta: Almacén - Dina e Hijos ( Puente Piedra )
Monto: S/ 30 ( Particular / Mototaxi )
Colaborador: Cristian Huánuco</t>
  </si>
  <si>
    <t>Movilidad: 10-01-25
Actividad: Envío de Documentos
Ruta: Almacén - Olva
Monto: S/ 8 ( Mototaxi )
Colaborador: Ronald Guizado</t>
  </si>
  <si>
    <t>Movilidad: 15-01-25
Actividad: Entrega de Manifiestos
Ruta: Almacén - Molycop
Monto: S/ 8 ( Mototaxi )
Colaborador: Cristian Huánuco</t>
  </si>
  <si>
    <t>Movilidad: 17-01-25
Actividad: Envío de Documentos
Ruta: Encalada - Olva
Monto: S/ 8 ( Mototaxi )
Colaborador: Ronald Guizado</t>
  </si>
  <si>
    <t>Movilidad: 17-01-25
Actividad: Entrega Cajas de Agua
Ruta:  Óvalo Sta Anita - Molycop
Monto: S/ 10 ( Mototaxi )
Colaborador: Ronald Guizado</t>
  </si>
  <si>
    <t>Viaticos para viaje a Huambo</t>
  </si>
  <si>
    <t>Reposición de caja Lima</t>
  </si>
  <si>
    <t>Movilidad: 20-01-25
Actividad: Entrega de Epps
Ruta: Almacén - Molycop
Monto: S/ 8 ( Mototaxi )
Colaborador: Ronald Guizado</t>
  </si>
  <si>
    <t>Movilidad: 23-01-25
Actividad: Entrega de Manifiestos Para Firmar
Ruta: Almacén - Molycop
Monto: S/ 8 ( Mototaxi )
Colaborador: Cristian Huánuco</t>
  </si>
  <si>
    <t>Movilidad: 23-01-25
Actividad: Recojo de Manifiestos Firmados
Ruta: Almacén - Molycop
Monto: S/ 8 ( Mototaxi )
Colaborador: Cristian Huánuco</t>
  </si>
  <si>
    <t>Movilidad: 24-01-25
Actividad: Recojo de Epps
Ruta: Molycop - Encalada 
Monto: S/ 8 ( Mototaxi )
Colaborador: Ronald Guizado</t>
  </si>
  <si>
    <t>Movilidad: 24-01-25
Actividad: Entrega de Documentos
Ruta: Almacén - Molycop
Monto: S/ 8 ( Mototaxi )
Colaborador: Cristian Huánuco</t>
  </si>
  <si>
    <t>Movilidad: 24-01-25
Actividad: Envío de Documentos 
Ruta: Almacén - Olva
Monto: S/ 8 ( Mototaxi )
Colaborador: Ronald Guizado</t>
  </si>
  <si>
    <t>Movilidad: 30-01-25
Actividad: Compras de Requerimientos
Ruta: Almacén - GlobalPC
Monto: S/ 8 ( Mototaxi )
Colaborador: Ronald Guizado</t>
  </si>
  <si>
    <t>Movilidad: 31-01-25
Actividad: Entrega de documentos 
Ruta: Almacén - Molycop
Monto: S/ 8 ( Mototaxi )
Colaborador: Cristian Huánuco</t>
  </si>
  <si>
    <t>Movilidad: 31-01-25
Actividad: Entrega de Manifiestos para Firmar
Ruta: Almacén - Molycop
Monto: S/ 8 ( Mototaxi )
Colaborador: Cristian Huánuco</t>
  </si>
  <si>
    <t>Movilidad: 31-01-25
Actividad: Envío de Documentos 
Ruta: Almacén - Olva
Monto: S/ 8 ( Mototaxi )
Colaborador: Ronald Guizado</t>
  </si>
  <si>
    <t>Viáticos para viaje a Lima</t>
  </si>
  <si>
    <t>Viáticos para viaje a Tacna</t>
  </si>
  <si>
    <t>Movilidad: 03-02-25
Actividad: Compras de Requerimientos
Ruta: Almacén - GlobalPC
Monto: S/ 8 ( Mototaxi )
Colaborador: Ronald Guizado</t>
  </si>
  <si>
    <t>Movilidad: 05-02-25
Actividad: Entrega de Epps
Ruta: Encalada - Molycop
Monto: S/ 8 ( Mototaxi )
Colaborador: Ronald Guizado</t>
  </si>
  <si>
    <t>Movilidad: 06-02-25
Actividad: Recojo de documentos 
Ruta: Almacén - Molycop
Monto: S/ 8 ( Mototaxi )
Colaborador: Cristian Huánuco</t>
  </si>
  <si>
    <t>Movilidad: 06-02-24
Actividad: Dar Alcance a Unidad
Ruta:  Almacen - Kanay Chilca
Monto: S/ 25 ( Particular )
Colaborador: Ronald Guizado</t>
  </si>
  <si>
    <t>Movilidad: 07-02-25
Actividad: Entrega de Manifiestos Para Firmar
Ruta: Almacén - Molycop
Monto: S/ 8 ( Mototaxi )
Colaborador: Cristian Huánuco</t>
  </si>
  <si>
    <t>Movilidad: 07-02-25
Actividad: Entrega de Documentos
Ruta: Almacén - Dina e Hijos ( Puente Piedra )
Monto: S/ 30 ( Particular / Mototaxi )
Colaborador: Ronald Guizado</t>
  </si>
  <si>
    <t>Movilidad: 10-02-25
Actividad: Entrega de Epps
Ruta: Encalada - Molycop
Monto: S/ 8 ( Mototaxi )
Colaborador: Ronald Guizado</t>
  </si>
  <si>
    <t>Movilidad: 14-02-25
Actividad: Envío de Documentos
Ruta: Almacén - Olva
Monto: S/ 8 ( Mototaxi )
Colaborador: Ronald Guizado</t>
  </si>
  <si>
    <t>Movilidad: 14-02-25
Actividad: Compras de Epps
Ruta: Almacén - Green SAC
Monto: S/ 8 ( Mototaxi )
Colaborador: Ronald Guizado</t>
  </si>
  <si>
    <t>Movilidad: 19-02-25
Actividad: Entrega Cajas de Agua
Ruta:  Óvalo Sta Anita - Molycop
Monto: S/ 10 ( Mototaxi )
Colaborador: Ronald Guizado</t>
  </si>
  <si>
    <t>Movilidad: 19-02-25
Actividad: Recojo de documentos 
Ruta: Almacén - Molycop
Monto: S/ 8 ( Mototaxi )
Colaborador: Aldo De la Cruz</t>
  </si>
  <si>
    <t>Movilidad: 21-02-24
Actividad: Dar Alcance a Unidad
Ruta:  Almacen - Kanay Chilca
Monto: S/ 25 ( Particular )
Colaborador: Aldo De la Cruz</t>
  </si>
  <si>
    <t>Movilidad: 24-02-25
Actividad: Recojo de documentos 
Ruta: Almacén - Molycop
Monto: S/ 8 ( Mototaxi )
Colaborador: Cristian Huanuco</t>
  </si>
  <si>
    <t>Movilidad: 24-02-25
Actividad: Entrega de Manifiestos para Firmar
Ruta: Almacén - Molycop
Monto: S/ 8 ( Mototaxi )
Colaborador: Ronald Guizado</t>
  </si>
  <si>
    <t>Movilidad: 24-02-25
Actividad: Envío de Documentos (Urgente)
Ruta: Encalada - Olva
Monto: S/ 8 ( Mototaxi )
Colaborador: Ronald Guizado</t>
  </si>
  <si>
    <t>Movilidad: 10-02-25
Actividad: Recojo de Llave
Ruta: Encalada - Molycop
Monto: S/ 8 ( Mototaxi )
Colaborador: Cristian Huánuco</t>
  </si>
  <si>
    <t>Movilidad: 18-02-05
Actividad: Recojo De Caja Enviada
Ruta: Almacén - Shalom
Monto: S/ 8 ( Mototaxi )
Colaborador: RonalD Guizado</t>
  </si>
  <si>
    <t>Movilidad: 05/ 02/25
Actividad:  dejar la unidad en la cochera 
Ruta: Cochera hospedaje ( Chilca)
Monto: S/7.00</t>
  </si>
  <si>
    <t xml:space="preserve"> Movilidad: 06/02/25
Actividad: recojer la unidad 
Ruta: hospedaje cochera (Chilca)
Monto: 8.00</t>
  </si>
  <si>
    <t xml:space="preserve">Movilidad: 07/ 02/25
Actividad:  recojer la unidad 
Ruta: almacén Encalada - Cochera ( santa Anita)
Monto: S/10.00 
En la mañana </t>
  </si>
  <si>
    <t xml:space="preserve"> Movilidad: 07/02/25
Actividad: dejar la unidad a la cochera 
Ruta: cochera almacén Encalada (santa Anita)
Monto: 7.00
En la tarde</t>
  </si>
  <si>
    <t>Movilidad: 20/ 02/25
Actividad:  a descansar en hospedaje 
Ruta: Cochera hospedaje ( ICA)
Monto: S/10.00</t>
  </si>
  <si>
    <t>Movilidad: 21/02/25
Actividad: recojer la unidad 
Ruta: hospedaje cochera (Ica)
Monto: 9.00</t>
  </si>
  <si>
    <t>Movilidad: 21/ 02/25
Actividad:  a dejar la unidad a la cochera  
Ruta: Cochera Almacén Encalada 
Monto: S/5.00</t>
  </si>
  <si>
    <t xml:space="preserve"> Movilidad: 24/02/25
Actividad: recojer la unidad 
Ruta: Almacén Encalada - cochera 
Monto: 6.00</t>
  </si>
  <si>
    <t>Movilidad: 27/02/25
Actividad: Retorno a Arequipa 
Ruta: Santa Anita - terminal (Lima)
Monto: 20.00</t>
  </si>
  <si>
    <t>Movilidad: 06-02-24
Actividad: Traslado de Personal
Ruta:  Cochera - Almacén
Monto: S/12 (Mototaxi)
Colaborador: Ronald Guizado</t>
  </si>
  <si>
    <t>Movilidad: 25-02-25
Actividad: Entrega de Sobre con documentos
Ruta: Almacén - Tecniflow
Monto: S/ 15 ( Particular / Mototaxi)
Colaborador: Aldo de la Cruz</t>
  </si>
  <si>
    <t>Movilidad: 27-02-25
Actividad: Recojo de Manifiestos Firmados
Ruta: Almacén - Molycop
Monto: S/ 8 ( Mototaxi )
Colaborador: Cristian Huanuco</t>
  </si>
  <si>
    <t>Movilidad: 28-02-25
Actividad: Recojo de Documentos ( Fichas )
Ruta: Almacén - Molycop
Monto: S/ 8 ( Mototaxi )
Colaborador: Cristian Huanuco</t>
  </si>
  <si>
    <t>Movilidad: 28-02-25
Actividad: Entrega de Manifiestos Para Firmar
Ruta: Almacén - Envases y Soluciones Logística
Monto: S/ 10 ( Particular )
Colaborador: Cristian Huánuco</t>
  </si>
  <si>
    <t>Movilidad: 25-02-25
Actividad: Entrega de Sobre con documentos
Ruta: Almacén - Molitalia (Pte Nuevo)
Monto: S/ 15 ( Particular )
Colaborador: Jack Huánuco</t>
  </si>
  <si>
    <t>Viáticos para viaje a Puno</t>
  </si>
  <si>
    <t>Viáticos para viaje a Talma</t>
  </si>
  <si>
    <t xml:space="preserve">	00200132</t>
  </si>
  <si>
    <t>Movilidad: 04-03-25
Actividad: Recojo de Manifiestos Firmados
Ruta: Almacén - Molycop
Monto: S/ 8 ( Mototaxi )
Colaborador: Ronald Guizado</t>
  </si>
  <si>
    <t>Movilidad: 04-03-25
Actividad: Entrega de Manifiestos para Firmarlos
Ruta: Almacén - FICEMIN ( Los Olivos )
Monto: S/ 20 ( Particular )
Colaborador: Aldo De la Cruz</t>
  </si>
  <si>
    <t>Movilidad: 06-03-25
Actividad: Entrega de EPP's 
Ruta: Almacén - Molycop
Monto: S/ 8 ( Mototaxi )
Colaborador: Ronald Guizado</t>
  </si>
  <si>
    <t>Movilidad: 07-03-25
Actividad: Envío de Documentos
Ruta: Encalada - Olva
Monto: S/ 8 ( Mototaxi )
Colaborador: Ronald Guizado</t>
  </si>
  <si>
    <t>Movilidad: 07-03-25
Actividad: Compras de EPP's
Ruta: Almacén - GlobalPC
Monto: S/ 8 ( Mototaxi )
Colaborador: Aldo De la Cruz</t>
  </si>
  <si>
    <t>Movilidad: 07-03-25
Actividad: Entrega Cajas de Agua
Ruta:  Óvalo Sta Anita - Molycop
Monto: S/ 10 ( Mototaxi )
Colaborador: Ronald Guizado</t>
  </si>
  <si>
    <t>Movilidad: 11-03-25
Actividad: Entrega de Manifiestos para Firmar
Ruta: Almacén - Molycop
Monto: S/ 8 ( Mototaxi )
Colaborador: Cristian Huánuco</t>
  </si>
  <si>
    <t>Movilidad: 12-03-25
Actividad: Entrega de EPP's 
Ruta: Almacén - Molycop
Monto: S/ 8 ( Mototaxi )
Colaborador: Ronald Guizado</t>
  </si>
  <si>
    <t>Movilidad: 13-03-25
Actividad: Entrega de Fichas
Ruta: Almacén - Molycop
Monto: S/ 8 ( Mototaxi )
Colaborador: Cristian Huanúoo</t>
  </si>
  <si>
    <t>Movilidad: 14-03-25
Actividad: Recojo de Manifiestos Firmados
Ruta: Almacén - Molycop
Monto: S/ 8 ( Mototaxi )
Colaborador: Ronald Guizado</t>
  </si>
  <si>
    <t>Movilidad: 14-03-25
Actividad: Envío de Documentos
Ruta: Encalada - Olva
Monto: S/ 8 ( Mototaxi )
Colaborador: Ronald Guizado</t>
  </si>
  <si>
    <t>Movilidad: 17-03-25
Actividad: Entrega de Documentos ( Fichas )
Ruta: Almacén - Molycop
Monto: S/ 8 ( Mototaxi )
Colaborador: Ronald Guizado</t>
  </si>
  <si>
    <t>Movilidad: 18-03-25
Actividad: Recojo de Manifiestos Firmardos
Ruta: Almacén - FICEMIN ( Los Olivos )
Monto: S/ 20 ( Particular )
Colaborador: Cristian Huanúco</t>
  </si>
  <si>
    <t>Movilidad: 18-03-25
Actividad: Entrega de EPP's 
Ruta: Almacén - Molycop
Monto: S/ 8 ( Mototaxi )
Colaborador: Aldo De la Cruz</t>
  </si>
  <si>
    <t>Movilidad: 19-03-25
Actividad: Entrega de Manifiestos para Firmar
Ruta: Almacén - Molycop
Monto: S/ 8 ( Mototaxi )
Colaborador: Ronald Guizado</t>
  </si>
  <si>
    <t>Movilidad: 20-03-25
Actividad: Recojo de Manifiestos Firmardos
Ruta: Almacén - Molycop
Monto: S/ 8 ( Mototaxi )
Colaborador: Aldo De la Cruz</t>
  </si>
  <si>
    <t>Movilidad: 21-03-25
Actividad: Recojo de Documentos ( Fichas )
Ruta: Almacén - Molycop
Monto: S/ 8 ( Mototaxi )
Colaborador: Ronald Guizado</t>
  </si>
  <si>
    <t>Movilidad: 21-03-25
Actividad: Envío de Documentos
Ruta: Encalada - Olva
Monto: S/ 8 ( Mototaxi )
Colaborador: Ronald Guizado</t>
  </si>
  <si>
    <t>Movilidad: 24-03-25
Actividad: Compra de EPP,s (Ferretería)
Ruta: Encalada - Mercado de Andahuaylas
Monto: S/6 Mototaxi )
Colaborador: Ronald Guizado</t>
  </si>
  <si>
    <t>Movilidad: 25-03-25
Actividad: Alcance de Unidad Tercera
Ruta: Encalada - El Agustino
Monto: S/ 12 ( Taxi )
Colaborador: Cristian Huánuco</t>
  </si>
  <si>
    <t>Movilidad: 25-03-25
Actividad: Alcance de Unidad Tercera
Ruta: Encalada - El Agustino
Monto: S/ 12 ( Taxi )
Colaborador: Jack Huánuco</t>
  </si>
  <si>
    <t>Movilidad: 26-03-25
Actividad: Entrega de Epps
Ruta: Encalada - Molycop
Monto: S/ 8 ( Mototaxi )
Colaborador: Cristian Huánuco</t>
  </si>
  <si>
    <t>Movilidad: 28-03-25
Actividad: Entrega Cajas de Agua
Ruta:  Óvalo Sta Anita - Molycop
Monto: S/ 10 ( Mototaxi )
Colaborador: Ronald Guizado</t>
  </si>
  <si>
    <t>Movilidad: 28-03-25
Actividad: Envío de Documentos
Ruta: Encalada - Olva
Monto: S/ 8 ( Mototaxi )
Colaborador: Aldo De la Cruz</t>
  </si>
  <si>
    <t>Movilidad: 31-03-25
Actividad: Entrega de Manifiestos para Firmar
Ruta: Almacén - Molycop
Monto: S/ 8 ( Mototaxi )
Colaborador: Cristian Huánuco</t>
  </si>
  <si>
    <t>Viáticos para viaje a Ayacucho</t>
  </si>
  <si>
    <t>Movilidad: 01-04-25
Actividad: Entrega de fichas
Ruta: Encalada - Molycop
Monto: S/ 8 ( Mototaxi )
Colaborador: Cristian Huánuco</t>
  </si>
  <si>
    <t>Movilidad: 01-04-25
Actividad: Recojo de Documentos
Ruta: Almacén - Olva
Monto: S/ 8 ( Mototaxi )
Colaborador: Ronald Guizado</t>
  </si>
  <si>
    <t>Movilidad: 02-04-25
Actividad: Recojo de Fichas Firmadas
Ruta: Almacén - Molycop
Monto: S/ 8 ( Mototaxi )
Colaborador: Jack Huánuco</t>
  </si>
  <si>
    <t>Movilidad: 02-04-25
Actividad: Envío de Documentos
Ruta: Encalada - Olva
Monto: S/ 8 ( Mototaxi )
Colaborador: Ronald Guizado</t>
  </si>
  <si>
    <t>Movilidad: 02-04-25
Actividad: Envío de Paquete (Silla)
Ruta: Encalada - Shaloon
Monto: S/ 10 ( Mototaxi )
Colaborador: Cristian Huánuco</t>
  </si>
  <si>
    <t>Movilidad: 03-04-25
Actividad: Entrega de Manifiestos para Firmar
Ruta: Almacén - FICEMIN (Los Olivos)
Monto: S/ 20 ( Particular )
Colaborador: Cristian Huánuco</t>
  </si>
  <si>
    <t>Movilidad: 04-04-25
Actividad: Compra y Entregas de Requerimiento
Ruta: Almacén - GlobalPC
Monto: S/ 12 ( Mototaxi )
Colaborador: Ronald Guizado</t>
  </si>
  <si>
    <t>Movilidad: 04-04-24
Actividad: Traslado de Personal
Ruta:  Almacén - Cusqueño ( Compartir )
Monto: S/15 ( Mototaxi x3 )
Colaborador: Ronald Guizado</t>
  </si>
  <si>
    <t>Movilidad: 04-04-25
Actividad: Recojo de Manifiestos firmados
Ruta: Almacén - Molycop 
Monto: S/8 ( Mototaxi )
Colaborador: Ronald Guizado.</t>
  </si>
  <si>
    <t>Movilidad: 07-04-25
Actividad: Transporte de Stocka al taller 
Ruta: Encalada - Hidrofluid Service 
Monto: S/ 12 ( Mototaxi )
Colaborador: Cristian Huánuco</t>
  </si>
  <si>
    <t>Movilidad: 08-04-25
Actividad: Verificación del mantenimiento de Stocka
Ruta: Encalada - Hidrofluid Service 
Monto: S/ 8 ( Mototaxi )
Colaborador: Cristian Huánuco</t>
  </si>
  <si>
    <t>Movilidad: 09-04-25
Actividad: Entrega de Manifiestos para Firmar
Ruta: Almacén - Molycop
Monto: S/8 ( Mototaxi )
Colaborador: Cristian Huánuco</t>
  </si>
  <si>
    <t>Movilidad: 11-04-25
Actividad: Recojo de Stocka del taller
Ruta: Hidrofluid Service - Molycop 
Monto: S/ 12 ( Mototaxi )
Colaborador: Cristian Huánuco</t>
  </si>
  <si>
    <t>Movilidad: 11-04-25
Actividad: Recojo y Transporte de 2da Stocka 
Ruta: Molycop - Encalada
Monto: S/ 12 ( Mototaxi )
Colaborador: Cristian Huánuco</t>
  </si>
  <si>
    <t>Movilidad: 11-04-25
Actividad: Envío de Documentos
Ruta: Encalada - Olva
Monto: S/8 ( Mototaxi )
Colaborador: Ronald Guizado</t>
  </si>
  <si>
    <t>Movilidad: 11-04-25
Actividad: Compras de EPP's
Ruta: Almacén - GlobalPC
Monto: S/ 8 ( Mototaxi )
Colaborador: Ronald Guizado</t>
  </si>
  <si>
    <t>Movilidad: 14-04-25
Actividad: Recojo de Manifiestos Firmados
Ruta: Almacén - Molycop
Monto: S/ 8 ( Mototaxi )
Colaborador: Cristian Huanuco</t>
  </si>
  <si>
    <t>Movilidad: 14-04-25
Actividad: Entrega de Manifiestos Para Firmar
Ruta: Almacén - Envases y Soluciones Logística
Monto: S/ 10 ( Particular )
Colaborador: Cristian Huánuco</t>
  </si>
  <si>
    <t>Movilidad: 15-04-25
Actividad: Entrega de EPP's 
Ruta: Encalada - Molycop
Monto: S/ 8 ( Mototaxi )
Colaborador: Ronald Guizado</t>
  </si>
  <si>
    <t>Movilidad: 16-04-25
Actividad: Alcance de Unidad ( Ruta Callao )
Ruta: Encalada - Evitamiento
Monto: S/ 10 ( Mototaxi )
Colaborador: Aldo de la Cruz</t>
  </si>
  <si>
    <t>Movilidad: 21-04-25
Actividad: Recojo de Manifiestos Firmados
Ruta: Almacén - Envases y Soluciones Logística
Monto: S/ 10 ( Particular )
Colaborador: Cristian Huánuco</t>
  </si>
  <si>
    <t>Movilidad: 21-04-25
Actividad: Entrega de EPP's 
Ruta: Encalada - Molycop
Monto: S/ 8 ( Mototaxi )
Colaborador: Ronald Guizado</t>
  </si>
  <si>
    <t>Movilidad: 23-04-25
Actividad: Entrega de Sobres de Documentos 
Ruta: Encalada - Molycop
Monto: S/ 8 ( Mototaxi )
Colaborador: Ronald Guizado</t>
  </si>
  <si>
    <t>Movilidad: 24-04-25
Actividad: Recojo de Manifiestos Firmardos
Ruta: Almacén - FICEMIN ( Los Olivos )
Monto: S/ 20 ( Particular )
Colaborador: Aldo De la Cruz</t>
  </si>
  <si>
    <t>Movilidad: 24-04-25
Actividad: Compra de Materiales para Oficina
Ruta: Almacén - Ate 
Monto: S/ 8 ( Particular )
Colaborador: Ronald Guizado</t>
  </si>
  <si>
    <t>Movilidad: 25-04-25
Actividad: Entrega de Fichas
Ruta: Encalada - Molycop
Monto: S/ 8 ( Mototaxi )
Colaborador: Cristian Huánuco</t>
  </si>
  <si>
    <t>Movilidad: 25-04-25
Actividad: Envío de Documentos
Ruta: Encalada - Olva
Monto: S/8 ( Mototaxi )
Colaborador: Ronald Guizado</t>
  </si>
  <si>
    <t>Reposición de Caja Lima</t>
  </si>
  <si>
    <t xml:space="preserve">Movilidad: 16/ 04/25
Actividad:  dejar la unidad a la cochera 
Ruta: Cochera - Almacén Encalada ( santa Anita)
Monto: S/12.00 </t>
  </si>
  <si>
    <t xml:space="preserve"> Movilidad: 17/04/25
Actividad: Recoger la unidad 
Ruta: Almacén Encalada - Cochera (santa Anita)
Monto: 13.00</t>
  </si>
  <si>
    <t>Movilidad: 29-04-25
Actividad: Entrega de Manifiestos para Firmar
Ruta: Almacén - Envases y Soluciones Logística
Monto: S/ 10 ( Particular )
Colaborador: Cristian Huánuco</t>
  </si>
  <si>
    <t>Movilidad: 30-04-25
Actividad: Entrega de Manifiestos para Firmar
Ruta: Almacén - Molycop
Monto: S/ 8 ( Mototaxi )
Colaborador: Cristian Huánuco</t>
  </si>
  <si>
    <t>Movilidad: 30-04-25
Actividad: Recojo de Fichas Firmadas
Ruta: Almacén - Molycop
Monto: S/ 8 ( Mototaxi )
Colaborador: Jack Huánuco</t>
  </si>
  <si>
    <t>Movilidad: 30-04-25
Actividad: Envío de Documentos 
Ruta: Almacén - Olva
Monto: S/ 8 ( Mototaxi )
Colaborador: Ronald Guizado</t>
  </si>
  <si>
    <t>Movilidad: 02-05-25
Actividad: Entrega de Epps
Ruta: Almacén - Molycop
Monto: S/ 8 ( Mototaxi )
Colaborador: Ronald Guizado</t>
  </si>
  <si>
    <t>Movilidad: 05-05-25
Actividad: Alcance de Unidad
Ruta: Almacén - Terminal Pesquero ( Callao )
Monto: S/ 30 ( Mototaxi y Particular )
Colaborador: Cristian Huanuco</t>
  </si>
  <si>
    <t>Movilidad: 05-05-25
Actividad: Compras de EPP's
Ruta: Almacén - GlobalPC
Monto: S/ 8 ( Mototaxi )
Colaborador: Ronald Guizado</t>
  </si>
  <si>
    <t>Movilidad: 07-05-25
Actividad: Entrega de Sobre con Documentos
Ruta:  Almacen - Aeropuertos Jorge Chavez Callao
Monto: S/ 18 ( Particular )
Colaborador: Cristian Huanuco</t>
  </si>
  <si>
    <t>Movilidad: 08-05-25
Actividad: Alcance de Unidad 
Ruta: Almacén - Pte Nuevo ( SJL )
Monto: S/ 15 ( Particular )
Colaborador: Cristian Huanuco</t>
  </si>
  <si>
    <t>Movilidad: 09-05-25
Actividad: Envío de Documentos 
Ruta: Almacén - Olva
Monto: S/ 8 ( Mototaxi )
Colaborador: Ronald Guizado</t>
  </si>
  <si>
    <t>Movilidad: 09-05-25
Actividad: Compras de EPP's
Ruta: Almacén - GlobalPC
Monto: S/ 8 ( Mototaxi )
Colaborador: Ronald Guizado</t>
  </si>
  <si>
    <t>Movilidad: 12-05-25
Actividad: Entrega de Manifiestos para Firmar
Ruta: Almacén - Molycop
Monto: S/ 8 ( Mototaxi )
Colaborador: Cristian Huánuco</t>
  </si>
  <si>
    <t>Movilidad: 12-05-25
Actividad: Recojo de Manifiestos Firmados
Ruta: Almacén - Molycop
Monto: S/ 8 ( Mototaxi )
Colaborador: Jack Huánuco</t>
  </si>
  <si>
    <t>Movilidad: 12-05-25
Actividad: Entrega de Fichas
Ruta: Almacén - Molycop
Monto: S/ 8 ( Mototaxi )
Colaborador: Aldo De la Cruz</t>
  </si>
  <si>
    <t>Movilidad: 13-05-25
Actividad: Entrega Cajas de Agua
Ruta:  Óvalo Sta Anita - Molycop
Monto: S/ 10 ( Mototaxi )
Colaborador: Ronald Guizado</t>
  </si>
  <si>
    <t>Movilidad: 14-05-25
Actividad: Recojo de Ticket Yancen
Ruta: Almacén - El Agustino
Monto: S/ 15 ( Particular )
Colaborador: Jack Huánuco</t>
  </si>
  <si>
    <t>Movilidad: 16-05-25
Actividad: Compras de EPP's
Ruta: Almacén - GlobalPC
Monto: S/ 8 ( Mototaxi )
Colaborador: Ronald Guizado</t>
  </si>
  <si>
    <t>Movilidad: 16-05-25
Actividad: Envío de Documentos 
Ruta: Almacén - Olva
Monto: S/ 8 ( Mototaxi )
Colaborador: Ronald Guizado</t>
  </si>
  <si>
    <t>Movilidad: 19-05-25
Actividad: Recojo de Manifiestos Firmados
Ruta: Almacén - Molycop
Monto: S/ 8 ( Mototaxi )
Colaborador: Aldo De la Cruz</t>
  </si>
  <si>
    <t>Movilidad: 19-05-25
Actividad: Entrega de Manifiestos para Firmar
Ruta: Almacén - Envases y Soluciones Logística
Monto: S/ 10 ( Particular )
Colaborador: Cristian Huánuco</t>
  </si>
  <si>
    <t>Movilidad: 20-05-25
Actividad: Recojo de Documentos para llevarlo Envases y Soluciones
Ruta: Almacén - Olva
Monto: S/ 8 ( Mototaxi )
Colaborador: Cristian Huánuco</t>
  </si>
  <si>
    <t>Movilidad: 20-05-25
Actividad: Entrega de Manifiestos para Firmar
Ruta: Almacén - Envases y Soluciones Logística
Monto: S/ 10 ( Particular )
Colaborador: Cristian Huánuco</t>
  </si>
  <si>
    <t>Movilidad: 20-05-24
Actividad: Llevar Laptop a Reparar
Ruta:  Almacen - Compuplaza Sta Anita 
Monto: S/ 10 ( Mototaxi )
Colaborador: Ronald Guizado</t>
  </si>
  <si>
    <t>Movilidad: 20-05-25
Actividad: Entrega de Manifiestos para Firmar
Ruta: Almacén - Molycop
Monto: S/ 8 ( Mototaxi )
Colaborador: Ronald Guizado</t>
  </si>
  <si>
    <t>Movilidad: 20-05-24
Actividad: Recojo Laptop Reparado
Ruta:  Almacen - Compuplaza Sta Anita 
Monto: S/ 10 ( Mototaxi )
Colaborador: Ronald Guizado</t>
  </si>
  <si>
    <t>Movilidad: 21-05-25
Actividad: Recojo Total de Manifiestos Firmados
Ruta: Almacén - Envases y Soluciones Logística
Monto: S/ 10 ( Particular )
Colaborador: Cristian Huánuco</t>
  </si>
  <si>
    <t>Movilidad: 21-05-25
Actividad: Entrega de Fichas
Ruta: Almacén - Molycop
Monto: S/ 8 ( Mototaxi )
Colaborador: Ronald Guizado</t>
  </si>
  <si>
    <t>Movilidad: 22-05-25
Actividad: Envío de Documentos Urgente (Juliaca)
Ruta: Almacén - Olva
Monto: S/ 8 ( Mototaxi )
Colaborador: Ronald Guizado</t>
  </si>
  <si>
    <t>Movilidad: 23-05-25
Actividad: Recojo de Fichas y Manifiestos
Ruta: Almacén - Molycop
Monto: S/ 8 ( Mototaxi )
Colaborador: Ronald Guizado</t>
  </si>
  <si>
    <t>Movilidad: 23-05-25
Actividad: Compras de EPP's
Ruta: Almacén - GlobalPC
Monto: S/ 8 ( Mototaxi )
Colaborador: Ronald Guizado</t>
  </si>
  <si>
    <t>Movilidad: 23-05-25
Actividad: Envío de Documentos 
Ruta: Almacén - Olva
Monto: S/ 8 ( Mototaxi )
Colaborador: Ronald Guizado</t>
  </si>
  <si>
    <t>Movilidad: 26-05-25
Actividad: Entrega de Manifiestos para Firmar
Ruta: Almacén - Molycop
Monto: S/ 8 ( Mototaxi )
Colaborador: Ronald Guizado</t>
  </si>
  <si>
    <t>Movilidad: 26-05-25
Actividad: Entrega de Manifiestos para Firmar
Ruta: Almacén - Envases y Soluciones Logística
Monto: S/ 10 ( Particular )
Colaborador: Cristian Huánuco</t>
  </si>
  <si>
    <t>Movilidad: 29-05-25
Actividad: Compra de Materiales para la Oficina
Ruta: Almacén - Ate
Monto: S/ 8 ( Particular )
Colaborador: Ronald Guizado</t>
  </si>
  <si>
    <t>Movilidad: 30-05-25
Actividad: Recojo de Manifiestos Firmados
Ruta: Almacén - Envases y Soluciones Logística
Monto: S/ 10 ( Particular )
Colaborador: Cristian Huánuco</t>
  </si>
  <si>
    <t>Movilidad: 30-05-25
Actividad: Compras de EPP's
Ruta: Almacén - GlobalPC
Monto: S/ 8 ( Mototaxi )
Colaborador: Ronald Guizado</t>
  </si>
  <si>
    <t>Movilidad: 30-05-25
Actividad: Envío de Documentos 
Ruta: Almacén - Olva
Monto: S/ 8 ( Mototaxi )
Colaborador: Ronald Guizado</t>
  </si>
  <si>
    <t>Movilidad: 02-06-25
Actividad: Entrega de Epps
Ruta: Almacén - Molycop
Monto: S/ 8 ( Mototaxi )
Colaborador: Ronald Guizado</t>
  </si>
  <si>
    <t>Movilidad: 04-06-25
Actividad: Entrega de Manifiestos para Firmar
Ruta: Almacén - Molycop
Monto: S/ 8 ( Mototaxi )
Colaborador: Ronald Guizado</t>
  </si>
  <si>
    <t>Movilidad: 06-06-25
Actividad: Recojo de Stocka para Reparación
Ruta: Molycop - Encalada
Monto: S/ 10 ( Mototaxi )
Colaborador: Cristian Huanuco</t>
  </si>
  <si>
    <t>Movilidad: 06-06-25
Actividad: Llevar Stocka para Reparación
Ruta: Almacén - Taller Metropolitana
Monto: S/ 10 ( Mototaxi )
Colaborador: Cristian Huanuco</t>
  </si>
  <si>
    <t>Movilidad: 06-06-25
Actividad: Recojo de Manifiestos Firmados
Ruta: Almacén - Molycop
Monto: S/ 8 ( Mototaxi )
Colaborador: Cristian Huanuco</t>
  </si>
  <si>
    <t>Movilidad: 06-06-25
Actividad: Alcance de Unidad 
Ruta: Almacén - Kanay SAC
Monto: S/ 25 ( Particular )
Colaborador: Ronald Guizado</t>
  </si>
  <si>
    <t>Movilidad: 09-06-25
Actividad: Llevar Stocka Nueva
Ruta: Almacén - Molycop
Monto: S/ 10 ( Mototaxi )
Colaborador: Cristian Huanuco</t>
  </si>
  <si>
    <t>Movilidad: 09-06-25
Actividad: Llevar Stocka de Cambio
Ruta: Taller - Encalada
Monto: S/ 10 ( Mototaxi )
Colaborador: Cristian Huanuco</t>
  </si>
  <si>
    <t>Movilidad: 10-06-25
Actividad: Entrega Cajas de Agua
Ruta:  Óvalo Sta Anita - Molycop
Monto: S/ 10 ( Mototaxi )
Colaborador: Cristian Huanuco</t>
  </si>
  <si>
    <t>Movilidad: 11-06-25
Actividad: Entrega de Epps
Ruta: Almacén - Molycop
Monto: S/ 8 ( Mototaxi )
Colaborador: Ronald Guizado</t>
  </si>
  <si>
    <t>Movilidad: 12-06-25
Actividad: Entrega de Manifiestos para Firmar
Ruta: Almacén - Molycop
Monto: S/ 8 ( Mototaxi )
Colaborador: Cristian Huanuco</t>
  </si>
  <si>
    <t>Movilidad: 13-06-25
Actividad: Entrega de Fichas
Ruta: Almacén - Molycop
Monto: S/ 8 ( Mototaxi )
Colaborador: Cristian Huanuco</t>
  </si>
  <si>
    <t>Movilidad: 13-06-25
Actividad: Compra de EPP's
Ruta: Almacén - GlobalPC
Monto: S/ 8 ( Mototaxi )
Colaborador: Ronald Guizado</t>
  </si>
  <si>
    <t>Movilidad: 13-06-25
Actividad: Recojo de Manifiestos Firmados
Ruta: Almacén - Molycop
Monto: S/ 8 ( Mototaxi )
Colaborador: Ronald Guizado</t>
  </si>
  <si>
    <t>Movilidad: 13-06-25
Actividad: Envío de Documentos 
Ruta: Almacén - Olva
Monto: S/ 8 ( Mototaxi )
Colaborador: Cristian Huanuco</t>
  </si>
  <si>
    <t>Movilidad: 16-06-25
Actividad: Entrega de Manifiestos para Firmar
Ruta: Almacén - Molycop
Monto: S/ 8 ( Mototaxi )
Colaborador: Cristian Huanuco</t>
  </si>
  <si>
    <t>Movilidad: 17-06-25
Actividad: Recojo de Manifiestos Firmados
Ruta: Almacén - Molycop
Monto: S/ 8 ( Mototaxi )
Colaborador: Ronald Guizado</t>
  </si>
  <si>
    <t>Movilidad: 17-06-25
Actividad: Compra de Film ( Urgente )
Ruta: Almacén - GlobalPC
Monto: S/ 8 ( Mototaxi )
Colaborador: Ronald Guizado</t>
  </si>
  <si>
    <t>Movilidad: 17-06-25
Actividad: Recojo de Paquete
Ruta: Almacén - Olva
Monto: S/ 8 ( Mototaxi )
Colaborador: Cristian Huanuco</t>
  </si>
  <si>
    <t>Movilidad: 17-06-25
Actividad: Recojo de RQ de Planta
Ruta: Almacén - GlobalPC
Monto: S/ 10 ( Mototaxi )
Colaborador: Ronald Guizado</t>
  </si>
  <si>
    <t>RCP</t>
  </si>
  <si>
    <t>Movilidad: 18-06-25
Actividad: Entrega de Manifiestos para Firmar
Ruta: Almacén - Envases y Soluciones Logística
Monto: S/ 10 ( Particular )
Colaborador: Aldo De la Cruz</t>
  </si>
  <si>
    <t>Movilidad: 19-06-25
Actividad: Supervision de Avance de Carrocería
Ruta: Almacén - SJL 
Monto: S/ 18 ( Particular - Mototaxi )
Colaborador: Aldo De la Cruz</t>
  </si>
  <si>
    <t>Movilidad: 19-06-25
Actividad: Recojo de Manifiestos
Ruta: Almacén - Molycop
Monto: S/ 8 ( Mototaxi )
Colaborador: Ronald Guizado</t>
  </si>
  <si>
    <t>Movilidad: 20-06-25
Actividad: Alcance de Unidad
Ruta: Almacén - Canta Callao ( Callao )
Monto: S/ 20 ( Particular )
Colaborador: Aldo De la Cruz</t>
  </si>
  <si>
    <t>Movilidad: 20-06-25
Actividad: Recojo de Fichas
Ruta: Almacén - Molycop
Monto: S/ 8 ( Mototaxi )
Colaborador: Cristian Huanuco</t>
  </si>
  <si>
    <t>Movilidad: 20-06-25
Actividad: Alcance de Unidad
Ruta: Almacén - El Agustino
Monto: S/ 10 ( Particular )
Colaborador: Cristian Huanuco</t>
  </si>
  <si>
    <t>Movilidad: 20-06-25
Actividad: Envío de Documentos 
Ruta: Almacén - Olva
Monto: S/ 8 ( Mototaxi )
Colaborador: Ronald Guizado</t>
  </si>
  <si>
    <t>Movilidad: 06/ 06/25
Actividad:  dejar la unidad a la cochera 
Ruta: Cochera - Almacén Encalada ( santa Anita)
Monto: S/7.00</t>
  </si>
  <si>
    <t>Movilidad: 07/ 06/25
Actividad:  recoger la unidad a la cochera 
Ruta:  Almacén Encalada - Cochera ( santa Anita)
Monto: S/8.00</t>
  </si>
  <si>
    <t>Movilidad: 23-06-25
Actividad: Recojo de Jeans Corporativo
Ruta: Almacén - Gamarra ( La Victoria )
Monto: S/ 18 ( Particular )
Colaborador: Aldo De la Cruz</t>
  </si>
  <si>
    <t>Movilidad: 23-06-25
Actividad: Entrega de Fichas
Ruta: Almacén - Molycop
Monto: S/ 8 ( Mototaxi )
Colaborador: Ronald Guizado</t>
  </si>
  <si>
    <t>Movilidad: 24-06-25
Actividad: Compra de EPP's ( Guantes )
Ruta: Almacén - GlobalPC
Monto: S/ 8 ( Mototaxi )
Colaborador: Ronald Guizado</t>
  </si>
  <si>
    <t>Movilidad: 24-06-25
Actividad: Recojo de Paquete 
Ruta: Almacén - Shaloon ( Sta Anita ) 
Monto: S/ 10 ( Mototaxi )
Colaborador: Ronald Guizado</t>
  </si>
  <si>
    <t>Movilidad: 24-06-25
Actividad: Recojo de RQ Conos de seguridad
Ruta: Almacén - GlobalPC
Monto: S/ 12 ( Mototaxi )
Colaborador: Ronald Guizado</t>
  </si>
  <si>
    <t>Movilidad: 25-06-25
Actividad: Recojo de Stocka de Cambio
Ruta: Almacén - Molycop
Monto: S/ 10 ( Mototaxi )
Colaborador: Cristian Huanuco</t>
  </si>
  <si>
    <t>Movilidad: 26-06-25
Actividad: Entrega de Sobres de Documentos
Ruta: Almacén - Molycop
Monto: S/ 8 ( Mototaxi )
Colaborador: Ronald Guizado</t>
  </si>
  <si>
    <t>Movilidad: 26-06-25
Actividad: Recojo de Fichas regularizadas
Ruta: Almacén - Molycop
Monto: S/ 8 ( Mototaxi )
Colaborador: Aldo De la Cruz</t>
  </si>
  <si>
    <t>Movilidad: 26-06-25
Actividad: Envío de Documentos 
Ruta: Almacén - Olva
Monto: S/ 8 ( Mototaxi )
Colaborador: Aldo De la Cruz</t>
  </si>
  <si>
    <t>Movilidad: 27-06-25
Actividad: Entrega de Manifiestos para Firmar 
Ruta: Almacén - Ficemin ( Los Olivos )
Monto: S/ 20 ( Particular )
Colaborador: Aldo De la Cruz</t>
  </si>
  <si>
    <t>Movilidad: 27-06-25
Actividad: Entrega de Manifiestos para Firmar
Ruta: Almacén - Magdalena
Monto: S/ 30 ( Colectivo y Particular )
Colaborador: Aldo De la Cruz</t>
  </si>
  <si>
    <t>Movilidad: 30-06-25
Actividad: Entrega de Manifiestos para Firmar
Ruta: Almacén - Envases y Soluciones Logística
Monto: S/ 10 ( Particular )
Colaborador: Aldo De la Cruz</t>
  </si>
  <si>
    <t>Movilidad: 30-06-25
Actividad: Entrega de Manifiestos para Firmar 
Ruta: Almacén - Ficemin ( Los Olivos )
Monto: S/ 20 ( Particular )
Colaborador: Aldo De la Cruz</t>
  </si>
  <si>
    <t>Movilidad: 30-06-25
Actividad: Recojo de Manifiestos Firmados
Ruta: Almacén - Envases y Soluciones Logística
Monto: S/ 10 ( Particular )
Colaborador: Aldo De la Cruz</t>
  </si>
  <si>
    <t>Devolución de saldo de Caja Operativa</t>
  </si>
  <si>
    <t>Planilla de movilidad</t>
  </si>
  <si>
    <t>Devolucion de caja conductor - Junior Ccama</t>
  </si>
  <si>
    <t>Devolucion de caja conductor - Miguel Solis</t>
  </si>
  <si>
    <t>Devolucion de caja supervisor - Anthony Huamani</t>
  </si>
  <si>
    <t>Reposicion de caja por cierre</t>
  </si>
  <si>
    <t>Reposicion de caja</t>
  </si>
  <si>
    <t>Viáticos para servicio</t>
  </si>
  <si>
    <t xml:space="preserve">Cierre de caja </t>
  </si>
  <si>
    <t xml:space="preserve">Reposición de caja </t>
  </si>
  <si>
    <t xml:space="preserve">Reposicion de caja </t>
  </si>
  <si>
    <t>Planilla de Movilidad - Setiembre - Lima</t>
  </si>
  <si>
    <t>Planilla de Movilidad - Octubre - Lima</t>
  </si>
  <si>
    <t>Ruben Bustamante</t>
  </si>
  <si>
    <t>MAXUS VBW-889</t>
  </si>
  <si>
    <t>Uchumayo - Servicio (Res. no aprovechables) - Flsmidth (Matarani)</t>
  </si>
  <si>
    <t>FOTON VDJ-872</t>
  </si>
  <si>
    <t>Matarani - Servicio (Res. no aprovechables) - Flsmidth (Matarani)</t>
  </si>
  <si>
    <t>Uchumayo - Servicio (Papel Kraft) - Granja Rinconada del Sur (Virgen de Chapi y Gloria III)</t>
  </si>
  <si>
    <t>Uchumayo - Servicio (Res. peligrosos) - MolyCop (La Joya) y Servicio (Res. peligrosos) - Camposol (Santa Rita)</t>
  </si>
  <si>
    <t>Uchumayo - Servicio (Res. no aprovechables) - MolyCop (la Joya)</t>
  </si>
  <si>
    <t>FOTON BKK-849</t>
  </si>
  <si>
    <t>ZED Matarani - Servicio (Res. no aprovechables) - Flsmidth (Matarani)</t>
  </si>
  <si>
    <t>El Eden (SRB PI) - Compra (Chatarra) - ALSUR (Arequipa)</t>
  </si>
  <si>
    <t>El Eden (SRB Km 48) - Servicio (Res. peligrosos) - Camposol (Santa Rita)</t>
  </si>
  <si>
    <t>ALSA - Servicio (Res. no aprovechables) - UCSM</t>
  </si>
  <si>
    <t>ALSA - Compra (Cartón) - RANSA</t>
  </si>
  <si>
    <t>ALSA - Compra (Madera) - RANSA</t>
  </si>
  <si>
    <t>Uchumayo - Servicio (Papel Kraft) - Granja Rinconada del Sur (Guadalupe I,II y III)</t>
  </si>
  <si>
    <t>Uchumayo - Transporte (Res. peligrosos) - Transportes Jirena S.A.C. - Villa Esperanza</t>
  </si>
  <si>
    <t>Uchumayo - Servicio (Papel Kraft) - Granja Rinconada del Sur (Granja Santa Teresa y San German)</t>
  </si>
  <si>
    <t>Matarani - Servicio (Res. peligrosos) - Flsmidth (Matarani)</t>
  </si>
  <si>
    <t>Uchumayo - Servicio (Res. peligrosos) - Flsmidth (Matarani)</t>
  </si>
  <si>
    <t>Matarani - Servicio (RS peligrosos) - FLsmith Matarani</t>
  </si>
  <si>
    <t>Novaarecy - Compra (Cartón) - Lonccos y Ccalas</t>
  </si>
  <si>
    <t>Novaarecy - Compra (plástico) - Lonccos y Ccalas</t>
  </si>
  <si>
    <t>ZED Matarani - Servicio (Res. peligrosos) - Flsmidth (Matarani)</t>
  </si>
  <si>
    <t>Lavado e higienización</t>
  </si>
  <si>
    <t>Uchumayo - Servicio (Papel Kraft) - Granja Rinconada del Sur (Granja Renzo)</t>
  </si>
  <si>
    <t>Uchumayo - Compra (Chatarra metálica) - Granja Rinconada del Sur (P.A.B.)</t>
  </si>
  <si>
    <t>Uchumayo - Compra (Bolsa de papel, bolsa de aluminio y plástico) - Granja Rinconada del Sur (P.A.B.)</t>
  </si>
  <si>
    <t>Uchumayo - Servicio (Papel Kraft y filtros de agua) - Granja Rinconada del Sur (San Lucas &amp; Agua Guadalupe - La Joya)</t>
  </si>
  <si>
    <t>Uchumayo - Servicio (Res. peligrosos) - MolyCop (La Joya)</t>
  </si>
  <si>
    <t>ALSA - Compra (Leña) - Industria Iggam</t>
  </si>
  <si>
    <t>ALSA - Compra (Plástico) - Industrias Iggam</t>
  </si>
  <si>
    <t>ALSA - Compra (Cartón) - Industrias Iggam</t>
  </si>
  <si>
    <t>ALSA - Compra (Leña) - Industrias Iggam</t>
  </si>
  <si>
    <t>ALSA - Pesaje (Res. no aprovechables - NACH) - GYTRES</t>
  </si>
  <si>
    <t>ALSA - Pesaje (Res. peligrosos) - GYTRES</t>
  </si>
  <si>
    <t>Uchumayo - Servicio (RS peligrosos) - Moly Cop</t>
  </si>
  <si>
    <t>Uchumayo - Servicio (Res. aprovechables) - Moly Cop</t>
  </si>
  <si>
    <t>Uchumayo - Servicio (Papel Kraft) - Granja La Rinconada (Granja José María y José María 2)</t>
  </si>
  <si>
    <t>ALSA - Servicio (RS peligrosos) - HAM CRIOGENICA</t>
  </si>
  <si>
    <t>NOVAARECY E.I.R.L. - Compra (cartón) - Lonccos y Ccalas</t>
  </si>
  <si>
    <t>R.E.T &amp; SAN S.R.L.- Compra (sacos vacíos) - Alprosa</t>
  </si>
  <si>
    <t>ALSA - Servicio (Res. aprovechables) - UCSM</t>
  </si>
  <si>
    <t>Uchumayo - Servicio (Papel Kraft) - Granja Rinconada del Sur (José María I y II)</t>
  </si>
  <si>
    <t>Uchumayo - Servicio (Res. no aprovechables y peligrosos) - Moly-Cop (La Joya)</t>
  </si>
  <si>
    <t>Uchumayo - Compra (Viruta) - Moly-Cop (La Joya)</t>
  </si>
  <si>
    <t>El Eden SRB - Servicio (Res. no aprovechables) - METAQUIM</t>
  </si>
  <si>
    <t>El Eden SRB - Servicio (Res. peligrosos) - METAQUIM</t>
  </si>
  <si>
    <t>El Eden SRB - Compra (Chatarra y Vidrio) - METAQUIM</t>
  </si>
  <si>
    <t>El Eden - Servicio (Res. no aprovechables y peligrosos) - ALQUIMODUL</t>
  </si>
  <si>
    <t>Uchumayo - Servicio (Papel Kraft) - Granja Rinconada del Sur (Guadalupe IV y V)</t>
  </si>
  <si>
    <t>El Eden (SRB PI) - Compra (Plástico) - ALSUR (Arequipa)</t>
  </si>
  <si>
    <t>El Eden (SRB PI) - Servicio (Res. no aprovechables con elementos metálicos) - CELICON</t>
  </si>
  <si>
    <t>Uchumayo - Servicio (Res. no aprovechables y peligrosos) - Granja Rinconada del Sur (Almacén Central La Joya)</t>
  </si>
  <si>
    <t>Uchumayo - Servicio (Papel Kraft) - Granja Rinconada del Sur (Gloria 1 y 2)</t>
  </si>
  <si>
    <t>Novaarecy E.I.R.L.- Compra (Cartón) - Lonccos y Ccalas</t>
  </si>
  <si>
    <t>Novaarecy EIRL- Compra (Cartón) - Lonccos y Ccalas</t>
  </si>
  <si>
    <t>El Eden - Servicio (Res. no aprovechables) - Alquimodul</t>
  </si>
  <si>
    <t>El Eden - Compra (Vidrio)- ALSUR (Arequipa)</t>
  </si>
  <si>
    <t>El Eden - Compra (Hojalata) - ALSUR (Arequipa)</t>
  </si>
  <si>
    <t>Uchumayo - Servicio (Res. no aprovechables y peligrosos) - MolyCop (La Joya)</t>
  </si>
  <si>
    <t>Uchumayo - Compra (Res. aprovechables) - Granja Rinconada del Sur (P.A.B.)</t>
  </si>
  <si>
    <t>Las Lomas - Compra (Cartón) - Lonccos y Ccalas</t>
  </si>
  <si>
    <t>ALSA - Servicio (Res. peligrosos) - ALPROSA</t>
  </si>
  <si>
    <t>Matarani - Servicio (Res. no aprovechables) y Compra (Res. aprovechables) - Flsmidth (Matarani)</t>
  </si>
  <si>
    <t>Uchumayo - Servicio (Res. no aprovechables) y Compra (Res. aprovechables) - Flsmidth (Matarani)</t>
  </si>
  <si>
    <t>Uchumayo - Disposición (Res. no aprovechables) - Innova (La Joya)</t>
  </si>
  <si>
    <t>Uchumayo - Disposición (Res. no aprovechables) - Innova Ambiental (La Joya)</t>
  </si>
  <si>
    <t>Uchumayo - Servicio (Res. peligrosos) - Flsmidth (La Joya)</t>
  </si>
  <si>
    <t>Uchumayo - Servicio (Res. no aprovechables) y compra (Viruta) - MolyCop (La Joya)</t>
  </si>
  <si>
    <t>El Eden - Servicio (Res. no aprovechables) - ALQUIMODUL</t>
  </si>
  <si>
    <t>ALSA - Disposición (Res. no aprovechables) - GYTRES S.A.C</t>
  </si>
  <si>
    <t>El Eden - Servicio (Res. peligrosos) - Flsmidth (La Joya)</t>
  </si>
  <si>
    <t>Uchumayo - Servicio (Papel Kraft) - Granja Rinconada del Sur (Granja San Lucas)</t>
  </si>
  <si>
    <t>Uchumayo - Servicio (Papel Kraft) - Granja Rinconada del Sur (San German y Santa Teresa)</t>
  </si>
  <si>
    <t>Uchumayo - Servicio (Res. no aprovechables y sacas) - MolyCop (La Joya)</t>
  </si>
  <si>
    <t>ALSA - Servicio (Res. no aprovechables NACH) - La Iberica</t>
  </si>
  <si>
    <t>El Eden (SRB PI) - Servicio (Res. no aprovechables) - UCSM</t>
  </si>
  <si>
    <t>ALSA - Servicio (Res. peligrosos) - Industria del Reencauche</t>
  </si>
  <si>
    <t>Uchumayo - Servicio (Res. peligrosos) - MolyCop (La Joya) y Disposición (Res. peligrosos y biocontaminados) - Innova Ambiental (La Joya)</t>
  </si>
  <si>
    <t>Uchumayo - Transporte (Res. no aprovechables y peligrosos) - Celicon - Almacén Villa Esperanza</t>
  </si>
  <si>
    <t>Las Lomas - Compra (Plástico) - Lonccos y Ccalas</t>
  </si>
  <si>
    <t>ALSA - Compra (Cartón) - Lonccos y Ccalas</t>
  </si>
  <si>
    <t>Uchumayo - Servicio (Res. aprovechables) - Granja Rinconada del Sur (Almacén Central)</t>
  </si>
  <si>
    <t>Uchumayo - Compra (Sacas Rotas) - MolyCop (La Joya)</t>
  </si>
  <si>
    <t>Uchumayo - Servicio (Papel kraft) - Granja Rinconada del Sur (José María I y II)</t>
  </si>
  <si>
    <t>El Eden (SRB PI) - Compra (Chatarra Metálica), Servicio (Res. no aprovechables y peligrosos) - Alquimodul</t>
  </si>
  <si>
    <t>El Eden (SRB PI) - Servicio (Res. no aprovechables) - ALQUIMODUL</t>
  </si>
  <si>
    <t>Matarani - Compra (Viruta) - Flsmidth (Matarani)</t>
  </si>
  <si>
    <t>FOTON BKL-739</t>
  </si>
  <si>
    <t>Uchumayo - Transporte (Res. peligrosos - Asociación TECSUP) - Almacén Villa Esperanza</t>
  </si>
  <si>
    <t>Uchumayo - Servicio (Res. no aprovechables) y Compra (Viruta) - MolyCop (La Joya)</t>
  </si>
  <si>
    <t>ZED Matarani - Compra (Viruta) - Flsmidth (Matarani)</t>
  </si>
  <si>
    <t>El Eden (SRB PI) - Servicio (RAEE) - Asociación Tecsup</t>
  </si>
  <si>
    <t>El Eden (SRB PI) - Servicio (Res. peligrosos) - Asociación Tecsup</t>
  </si>
  <si>
    <t>Uchumayo - Servicio (Res. no aprovechables) - Flsmidth (La Joya) y Disposición (Res. peligrosos - Consorcio puentes del Norte) - Innova Ambiental (La Joya)</t>
  </si>
  <si>
    <t>Uchumayo - Servicio (Res. no aprovechables) - MolyCop (La Joya)</t>
  </si>
  <si>
    <t>El Eden (SRB km 48) - Servicio (Res. no aprovechables) - Flsmidth (La Joya)</t>
  </si>
  <si>
    <t>El Eden (SRB PI) - Servicio (Res. peligrosos) - ALSUR (Arequipa)</t>
  </si>
  <si>
    <t>El Eden (SRB PI) - Compra (Madera) - ALSUR (Arequipa)</t>
  </si>
  <si>
    <t>El Eden (SRB- Km 48) - Compra (Cartón) - Granja Rinconada del Sur (Gloria III)</t>
  </si>
  <si>
    <t>Uchumayo - Transporte (Res. peligrosos) y Servicio (Res. peligrosos) - ISSA (San José)</t>
  </si>
  <si>
    <t>Uchumayo - Transporte (NACH) y Compra (Envases vacíos) - Campo Limpio (La Joya) y Venta (Madera) - HORNO 48</t>
  </si>
  <si>
    <t>ALSA - Servicio (Res. no aprovechables) - Carmen Inmobiliaria (Teresa de Jesus)</t>
  </si>
  <si>
    <t>El Eden (SRB km 48) - Compra (Envases vacíos) - Campo Limpio (La Joya)</t>
  </si>
  <si>
    <t>El Eden (SRB km 48) - Venta (Leña) - Horno 48</t>
  </si>
  <si>
    <t>Uchumayo - Servicio (Res. no aprovechables) - CBB Perú S.A. (Matarani)</t>
  </si>
  <si>
    <t>Matarani - Servicio (Res. no aprovechables) - CBB Perú S.A. (Matarani)</t>
  </si>
  <si>
    <t>Uchumayo - Servicio (Res. no aprovechables) y Compra (Res. aprovechables) - Granja Rinconada del Sur (Almacén Central La Joya)</t>
  </si>
  <si>
    <t>Uchumayo - Compra (Chatarra y cartón) - MolyCop (La joya)</t>
  </si>
  <si>
    <t>Uchumayo - Traslado (Res. no aprovechables) - GYTRES (Villa Esperanza)</t>
  </si>
  <si>
    <t>El Eden (SRB KM 48) - Venta (Leña) - Horno 48</t>
  </si>
  <si>
    <t>ALSA - Venta (Aceite) - AMPCO</t>
  </si>
  <si>
    <t>Uchumayo - Servicio (Res. no aprovechables y peligrosos) - MolyCop (La Joya) y Venta (Leña) - Horno 48</t>
  </si>
  <si>
    <t>Uchumayo - Compra (Res. aprovechables) - Granja Rinconada del Sur (Almacén Central La Joya)</t>
  </si>
  <si>
    <t>Uchumayo - Venta (Pallets) y Compra (Madera) - MolyCop (La Joya)</t>
  </si>
  <si>
    <t>Uchumayo - Compra (Sacas) - MolyCop (La Joya) y Venta (Leña) - Horno 48</t>
  </si>
  <si>
    <t>Uchumayo - Transporte (Res. no aprovechables y peligrosos - Power) - GYTRES (Villa Esperanza)</t>
  </si>
  <si>
    <t>Uchumayo - Compra (Viruta) - MolyCop (La Joya)</t>
  </si>
  <si>
    <t>El Eden (SRB KM 48) - Servicio (Res. peligrosos) - Power</t>
  </si>
  <si>
    <t>El Eden (SRB KM 48) - Servicio (Res. no aprovechables) - Power</t>
  </si>
  <si>
    <t>Uchumayo - Servicio (Res. peligrosos) - Granja Rinconada del Sur (P.A.B.)</t>
  </si>
  <si>
    <t>Uchumayo - Servicio (Res. peligrosos) - MolyCop (La Joya) y Compra (Sacos con soya) - Granja Rinconada del Sur (P.A.B.)</t>
  </si>
  <si>
    <t>Uchumayo - Servicio (Res. peligrosos) - Movitecnica y Servicio (Res. no aprovechables) - MolyCop (La Joya)</t>
  </si>
  <si>
    <t>El Eden (SRB km 48) - Servicio (Res. peligrosos) - Movitecnica</t>
  </si>
  <si>
    <t>Uchumayo - Compra (Madera) - MolyCop (La Joya) y Venta (Leña) - Horno 48</t>
  </si>
  <si>
    <t>Uchumayo - Compra (Sacas) y Servicio (Res. peligrosos) - MolyCop (La Joya)</t>
  </si>
  <si>
    <t>ALSA - Servicio (Res. peligrosos) - UTP</t>
  </si>
  <si>
    <t>Uchumayo - Servicio (Res. no aprovechables) - Flsmidth (La Joya)</t>
  </si>
  <si>
    <t>Uchumayo - Disposición (Res. peligrosos - Compañía de Ingeniería Especializada S.A.C.) - Innova Ambiental (La Joya)</t>
  </si>
  <si>
    <t>El Eden (SRB KM 48) - Servicio (Res. no aprovechables) - UCSM</t>
  </si>
  <si>
    <t>El Eden (SRB KM 48) - Servicio (Res. no aprovechables) - Flsmidth (La Joya)</t>
  </si>
  <si>
    <t>El Eden (SRB PI) - Compra (Chatarra) - ALSUR</t>
  </si>
  <si>
    <t>ALSA - Servicio (Res. peligrosos - Compañía de Ingeniería Especializada S.A.C) - AAP</t>
  </si>
  <si>
    <t>Uchumayo - Servicio (RS generales) - La Rinconada</t>
  </si>
  <si>
    <t>Peaje</t>
  </si>
  <si>
    <t>Uchumayo - Servicio (RS no aprovechables) - Cosapi (Minera Tia Maria)</t>
  </si>
  <si>
    <t>SRB km 48 - Servicio (RS peligrosos) - Cosapi (Minera Tia Maria)</t>
  </si>
  <si>
    <t>ALSA - Servicio (RS generales) - UCSM</t>
  </si>
  <si>
    <t>Uchumayo - Servicio (RS generales) - Moly Cop</t>
  </si>
  <si>
    <t>Lavado de unidad</t>
  </si>
  <si>
    <t>lavado</t>
  </si>
  <si>
    <t>Alimentacion: Cenas (02) Tacna Colaboradores: Ruben Bustamante/ Hefer Quispe</t>
  </si>
  <si>
    <t>alimentacion</t>
  </si>
  <si>
    <t>Cochera Tacna</t>
  </si>
  <si>
    <t>cochera</t>
  </si>
  <si>
    <t>SRB km 48 - Servicio (RS peligrosos) - ISSA PSR Tacna</t>
  </si>
  <si>
    <t>Montalvo - Servicio (RS peligrosos) - ISSA PSR Tacna</t>
  </si>
  <si>
    <t>FH01</t>
  </si>
  <si>
    <t>El Fiscal - Servicio (RS peligrosos) - ISSA PSR Tacna</t>
  </si>
  <si>
    <t>Tomasiri - Servicio (RS peligrosos) - ISSA PSR Tacna</t>
  </si>
  <si>
    <t>Uchumayo - Servicio (RS peligrosos) - ISSA PSR Tacna</t>
  </si>
  <si>
    <t>SRB PI - Servicio (RS peligrosos) - ISSA Red</t>
  </si>
  <si>
    <t>ALSA - Servicio (RS peligrosos) - ISSA Red MOQUEGUA</t>
  </si>
  <si>
    <t>ALSA - Servicio (RS peligrosos) - ISSA RED ILO</t>
  </si>
  <si>
    <t>ALSA - Servicio (RS peligrosos) - ISSA Red TACNA</t>
  </si>
  <si>
    <t>02 HabitacionesResidencial Uruguay Tacna Colaboradores: Ruben Bustamante/ Hefer Quispe</t>
  </si>
  <si>
    <t>Alojamiento</t>
  </si>
  <si>
    <t>Alimentacion: Desayunos (02) Ruta Tacna - Ilo/ Colaboradores: Ruben Bustamante/ Hefer Quispe</t>
  </si>
  <si>
    <t>Alimentacion: Almuerzos (02) Punta de Bombon Colaboradores: Ruben Bustamante/ Hefer Quispe</t>
  </si>
  <si>
    <t>ILO Servicio (RS peligrosos) - combustible</t>
  </si>
  <si>
    <t>Uchumayo - Servicio (Papel Kraft) - Granja Rinconada (Granja Virgen de Chapi y Gloria III - La Joya)</t>
  </si>
  <si>
    <t>ALSA - Servicio (RSMNM) - UCSM</t>
  </si>
  <si>
    <t>SRB km 48 - Servicio (res. no aprovechables RSMNM) - compra (res. aprovechables)- Cosapi Tia Maria</t>
  </si>
  <si>
    <t>Uchumayo - Servicio (res. no aprovechables RSMNM) - compra (res. aprovechables)- Cosapi Tia Maria</t>
  </si>
  <si>
    <t>Uchumayo - Servicio (Papel Kraft)- Granja Rinconada del Sur (Guadalupe I,La Joya)</t>
  </si>
  <si>
    <t>Uchumayo - Disposición (RS generales) - Innova Ambiental</t>
  </si>
  <si>
    <t>Uchumayo - Disposición (RS generales) - UCSM</t>
  </si>
  <si>
    <t>Uchumayo - Capacitacion - Cosapi</t>
  </si>
  <si>
    <t>Uchumayo - Servicio (RS peligrosos) - FLsmith La Joya</t>
  </si>
  <si>
    <t>SRB km 48 - Servicio (RS peligrosos) - FLsmith La Joya</t>
  </si>
  <si>
    <t>SRB km 48 - Servicio (RS generales) - Cosapi</t>
  </si>
  <si>
    <t>Uchumayo - Servicio (RS generales) - Cosapi Tia Maria</t>
  </si>
  <si>
    <t>Uchumayo - Compra (Madera) - Flsmith La Joya</t>
  </si>
  <si>
    <t>Uchumayo - Compra (Madera) - FLsmith La Joya</t>
  </si>
  <si>
    <t>SRB km 48 - Compra (Madera) - FLsmith La Joya</t>
  </si>
  <si>
    <t>Uchumayo - Compra (cartón) - La Rinconada</t>
  </si>
  <si>
    <t>ALSA - Servicio (RS generales) - Carmen Inmobiliaria</t>
  </si>
  <si>
    <t>Uchumayo - Servicio (RS peligrosos) - FLsmith Matarani</t>
  </si>
  <si>
    <t>Uchumayo - Traslado - Villa Esperanza</t>
  </si>
  <si>
    <t>SRB km 48 - Servicio (Viruta) - FLsmith La Joya</t>
  </si>
  <si>
    <t>Uchumayo - Inducción - Cosapi</t>
  </si>
  <si>
    <t>Las Lomas - Compra (cartón) - Lonccos y Ccalas</t>
  </si>
  <si>
    <t>ALSA - Servicio (RS peligrosos) - HAM</t>
  </si>
  <si>
    <t>Lavado de la unidad</t>
  </si>
  <si>
    <t>Lavado</t>
  </si>
  <si>
    <t>Uchumayo - Compra (Viruta) - FLsmith La Joya</t>
  </si>
  <si>
    <t>SRB KM 48 - Compra (Viruta) - Flsmith La Joya</t>
  </si>
  <si>
    <t>SRB KM 48 - Compra (Madera) - FLsmith La Joya</t>
  </si>
  <si>
    <t>Uchumayo - Servicio (mantas) - Granja la Rinconada</t>
  </si>
  <si>
    <t>Uchumayo - Servicio (RS generales) - Pesquera Diamante</t>
  </si>
  <si>
    <t>Matarani - Servicio (RS generales) - Pesquera Diamante</t>
  </si>
  <si>
    <t>Uchumayo - Servicio (RS generales) - Stracon</t>
  </si>
  <si>
    <t>SRB km 48 - Servicio (RS generales) - Stracon</t>
  </si>
  <si>
    <t>SRB km 48 - Servicio (RS generales) - Cossapi</t>
  </si>
  <si>
    <t>SRB km 48 - Servicio (RS generales - COSAPI</t>
  </si>
  <si>
    <t>ZED MATARANI - Servicio (RS peligrosos) - FLsmith Matarani</t>
  </si>
  <si>
    <t>Uchumayo - Servicio (RS generales) - Cosapi</t>
  </si>
  <si>
    <t>SRB km 48 - Compra (Chatarra) - Cosapi</t>
  </si>
  <si>
    <t>Uchumayo - Disposición (RS generales) - Innova</t>
  </si>
  <si>
    <t>ALSA - Servicio (RS peligrosos) - Movitecnica</t>
  </si>
  <si>
    <t>Las Lomas - Compra(Plástico) - Lonccos y Ccalas</t>
  </si>
  <si>
    <t>Uchumayo - Servicio (RS peligrosos) - Cosapi</t>
  </si>
  <si>
    <t>SRB km 48 - Servicio (RS peligrosos) - Cosapi</t>
  </si>
  <si>
    <t>Luis Rivera</t>
  </si>
  <si>
    <t>Uchumayo - Servicio Recoleccion y Transporte Residuos (Peligrosos) - Granja Rinconada del Sur - La joya</t>
  </si>
  <si>
    <t>Uchumayo - Transporte Residuos (No Aprovechables) - Gytres S.A.C. (La joya)</t>
  </si>
  <si>
    <t>Uchumayo - Transporte y disposición de residuos (No Peligrosos) - Innova Ambiental</t>
  </si>
  <si>
    <t>ALSA - Servicio Recolección y Transporte de Residuos (No Aprovechables) - UCSM</t>
  </si>
  <si>
    <t>Lavado e higienizacion</t>
  </si>
  <si>
    <t>El Eden - Servicio Recolección y Transporte de Residuos (- No aprovechables (RAEE) y peligrosos) - Livigui (Sabandia)</t>
  </si>
  <si>
    <t>El Eden - Servicio Recolección y Transporte de Residuos (No aprovechables (RAEE) y peligrosos) - Livigui (Sabandia)</t>
  </si>
  <si>
    <t>Uchumayo-disposición-viruta</t>
  </si>
  <si>
    <t>Uchumayo-disposición-peligrosos</t>
  </si>
  <si>
    <t>Uchumayo- disposición- no aprovechables</t>
  </si>
  <si>
    <t>Uchumayo-disposición-fl smith matarani-peligrosos</t>
  </si>
  <si>
    <t>Uchumayo-disposicion-residuos peligrosos- almacen la joya</t>
  </si>
  <si>
    <t>Uchumayo-disposicion-residuos peligrosos-flnsmith</t>
  </si>
  <si>
    <t>uchumayo- disposición-no aprovechables</t>
  </si>
  <si>
    <t>Uchumayo-residuos peligrosos - fls smith matarani</t>
  </si>
  <si>
    <t>Uchumayo- rinconada - disposición de residuos aprovechables</t>
  </si>
  <si>
    <t>Uchumayo - rinconada- aprovechables</t>
  </si>
  <si>
    <t>lavado de unidad en lavadero navarro</t>
  </si>
  <si>
    <t>Uchumayo-retiro de residuos- ucsm</t>
  </si>
  <si>
    <t>Uchumayo-disposicion-residuos no aprovechables-CBB Matarani</t>
  </si>
  <si>
    <t>uchumayo-disposicion-residuos no aprovechables-Matarani CBB</t>
  </si>
  <si>
    <t>Uchumayo-disposicion-residuos Matarani cbb</t>
  </si>
  <si>
    <t>Uchumayo-residuos no aprovechables - ucsm</t>
  </si>
  <si>
    <t>Uchumayo-disposicion-balanza stracom</t>
  </si>
  <si>
    <t>Uchumayo-disposicion-residuos - UCSM</t>
  </si>
  <si>
    <t>Uchumayo-disposicion residuos aprovechables - rinconada</t>
  </si>
  <si>
    <t>Uchumayo-disposicion-residuos no aprovechables - ucsm</t>
  </si>
  <si>
    <t>Uchumayo - Servicio - Recolección y Transporte de Residuos - Cosapi (Tia María, Cocachacra)</t>
  </si>
  <si>
    <t>Uchumayo - Venta de residuos - Christian de La Flor Horno</t>
  </si>
  <si>
    <t>El Eden - Servicio Recolección y Transporte de Residuos - Cosapi Minería S.A.C. (Proyecto Tia María)</t>
  </si>
  <si>
    <t>El Eden - Venta de residuos - Christian de La Flor Horno (Km 48)</t>
  </si>
  <si>
    <t>Uchumayo- peligrosos -Matarani diamante</t>
  </si>
  <si>
    <t>Uchumayo-peligrosos - Matarani diamante</t>
  </si>
  <si>
    <t>Uchumayo-peligrosos- Matarani diamante</t>
  </si>
  <si>
    <t>El Eden - residuos no aprovechables- UCSM</t>
  </si>
  <si>
    <t>Uchumayo- Servicio (Disposición de los RS no Aprovechables) - Innova Ambiental</t>
  </si>
  <si>
    <t>Matarani - Servicio (Disposición de RS no Aprovechables)- Innova Ambiental</t>
  </si>
  <si>
    <t>Matarani - Servicio (RS No Aprovechables) -Pesquera Diamante</t>
  </si>
  <si>
    <t>Alza - Servicio (RS no aprovechables) - UCSM</t>
  </si>
  <si>
    <t>Uchumayo - Compra (Papel Kraft) - Granja Rinconada del Sur</t>
  </si>
  <si>
    <t>Alsa -Servicio (RS no Aprovechables) -UCSM</t>
  </si>
  <si>
    <t>Uchumayo - Traslado (2 bandejas de antiderrame) - COSAPI</t>
  </si>
  <si>
    <t>Uchumayo - Traslado (2 bandejas de anti-derrame) - Cosapi</t>
  </si>
  <si>
    <t>Uchumayo - Retorno de Moly Cop - Arequipa - Emergencia</t>
  </si>
  <si>
    <t>Alza - Servicio (RS no Aprovechables) - UCSM</t>
  </si>
  <si>
    <t>Alsa -Servicio (RS peligrosos) - Ciogenica Ham</t>
  </si>
  <si>
    <t>Uchumayo - Retorno - Almacen Huaranguillo</t>
  </si>
  <si>
    <t>Junior Ccama</t>
  </si>
  <si>
    <t>HINO V9R-903</t>
  </si>
  <si>
    <t>Uchumayo - Compra (Res. aprovechables)-Granja Rinconada del Sur (P.A.B.)</t>
  </si>
  <si>
    <t>Uchumayo - Servicio (Mantas) - Granja Rinconada del Sur (P.A.B.) y Compra (Alambrón) - MolyCop (La Joya)</t>
  </si>
  <si>
    <t>Uchumayo - Compra (Alambrón) - MolyCop (La Joya) y Compra (Madera) - Flsmidth (La Joya)</t>
  </si>
  <si>
    <t>Uchumayo - Compra (Viruta y madera)-MolyCop (La Joya)</t>
  </si>
  <si>
    <t>Uchumayo - Servicio (IBC´S peligrosos) -MolyCop (Reactivos - La Joya)</t>
  </si>
  <si>
    <t>El Eden - Compra (Madera) - Flsmidth (La Joya)</t>
  </si>
  <si>
    <t>El Eden - Compra ( Vidrio, plástico, hojalata, bidones) - ALSUR (Arequipa)</t>
  </si>
  <si>
    <t>El Eden - Servicio (Res. no aprovechables)-ALSUR (Arequipa)</t>
  </si>
  <si>
    <t>Uchumayo - Compra (Vidrio, hojalata y plástico duro) - Danper (Pedregal)</t>
  </si>
  <si>
    <t>Uchumayo - Compra (Cartón, plástico y hojalata) - Danper (Pedregal)</t>
  </si>
  <si>
    <t>Uchumayo - Servicio (IBC'S) y Compra (IBC'S)-MolyCop (Reactivos - La Joya)</t>
  </si>
  <si>
    <t>Uchumayo - Servicio (Envases vacíos)-SENASA (Pedregal)</t>
  </si>
  <si>
    <t>AAM - Compra (Vidrio, hojalata y plástico duro) - Danper (Pedregal)</t>
  </si>
  <si>
    <t>AAM - Compra (Cartón, plástico y hojalata) - Danper (Pedregal)</t>
  </si>
  <si>
    <t>ALSA - Venta (Plástico duro - jabas) - Sra. Belén Labra</t>
  </si>
  <si>
    <t>Uchumayo - Compra (Carton y hojalata) - Danper (Pedregal)</t>
  </si>
  <si>
    <t>Uchumayo - Recojo (Envases vacios) -Cesar Oyos (Pedregal)</t>
  </si>
  <si>
    <t>AAM - Compra (Carton y hojalata) - Danper (Pedregal)</t>
  </si>
  <si>
    <t>ALSA - Venta (Plástico duro - Jabas) - Belén Labra</t>
  </si>
  <si>
    <t>ALSA - Compra (Cartón) - AAP</t>
  </si>
  <si>
    <t>ALSA - Compra (Botella PET) - AAP</t>
  </si>
  <si>
    <t>Novaarecy - Compra (Madera - leña) - Industrias Iggam (Rio Seco)</t>
  </si>
  <si>
    <t>Uchumayo - Compra (Cartón, plástico, botella) - DANPER (Pedregal)</t>
  </si>
  <si>
    <t>Uchumayo - Compra (Cartón) - DANPER (Pedregal)</t>
  </si>
  <si>
    <t>Uchumayo - Compra (Alambrón y viruta) y Servicio (Res. no aprovechables) - MolyCop (La Joya)</t>
  </si>
  <si>
    <t>AAM - Compra (Cartón, plástico, botella) - DANPER (Pedregal)</t>
  </si>
  <si>
    <t>ALSA - Compra (Sacas en desuso de cemento y cuarzo) - Industrias Iggam</t>
  </si>
  <si>
    <t>AAM - Compra (Cartón) - DANPER (Pedregal)</t>
  </si>
  <si>
    <t>Uchumayo - Compra (Madera)- Flsmidth (Matarani) y Compra (Alambron) - Moly-Cop (La Joya)</t>
  </si>
  <si>
    <t>Matarani - Compra (Madera)- Flsmidth (Matarani)</t>
  </si>
  <si>
    <t>Uchumayo - Servicio (Res. peligrosos) - Flsmidth (Matarani) y Servicio (IBC'S) - Moly-Cop (Reactivos - La Joya)</t>
  </si>
  <si>
    <t>Matarani - Compra (Madera) -Flsmidth (Matarani)</t>
  </si>
  <si>
    <t>Uchumayo - Compra (Madera) -Flsmidth (Matarani) y Compra (Alambron) - Moly-Cop (La Joya)</t>
  </si>
  <si>
    <t>Uchumayo - Servicio (IBCÂ´S peligrosos)-Moly-Cop (La Joya)</t>
  </si>
  <si>
    <t>Uchumayo - Compra (Alambron, viruta y madera) - Moly-Cop (La Joya) y Disposicion (Res. peligrosos) - Innova Ambiental (La Joya)</t>
  </si>
  <si>
    <t>ZED Matarani - Compra (Madera)- Flsmidth (Matarani)</t>
  </si>
  <si>
    <t>ZED Matarani - Compra (Madera) -Flsmidth (Matarani)</t>
  </si>
  <si>
    <t>El Eden - Disposicion (Res. peligrosos) - Innova Ambiental (La Joya)</t>
  </si>
  <si>
    <t>Uchumayo - Compra (Alambron) - Moly-Cop (La Joya) y Disposicion (Res. peligrosos) - Innova Ambiental (La Joya)</t>
  </si>
  <si>
    <t>Uchumayo - Servicio (Res. no aprovechables) - Granja Rinconada del Sur (P.A.B.)</t>
  </si>
  <si>
    <t>Uchumayo - Compra (Viruta) y Servicio (Res. Peligrosos) - Flsmidth (La Joya)</t>
  </si>
  <si>
    <t>Uchumayo - Servicio (Res. peligrosos - aguas residuales) - Moly-Cop (La Joya)</t>
  </si>
  <si>
    <t>Uchumayo - Compra (Alambron y viruta) -Moly-Cop (La Joya) y Servicio (IBC'S peligrosos) - Moly-Cop (Reactivos - La Joya)</t>
  </si>
  <si>
    <t>El Eden - Servicio (Res. no aprovechables) - Granja Rinconada del Sur (P.A.B.)</t>
  </si>
  <si>
    <t>El Eden - Compra (Viruta) - Flsmidth (La Joya)</t>
  </si>
  <si>
    <t>El Eden - Servicio (Res. Peligrosos) - Flsmidth (La Joya)</t>
  </si>
  <si>
    <t>Uchumayo - Compra (Alambron y chatarra liviana) y Servicio (Res. no aprovechables) - Moly-Cop (La Joya)</t>
  </si>
  <si>
    <t>Uchumayo - Compra (Res. aprovechables - varios) - Granja Rinconada del Sur (Almacén Central La Joya)</t>
  </si>
  <si>
    <t>Uchumayo - Servicio (Mantas) - Granja Rinconada del Sur (P.A.B.) y Servicio (IBC'S peligrosos) - Moly-Cop (Reactivos - La Joya)</t>
  </si>
  <si>
    <t>Uchumayo - Compra (Viruta) - Flsmidth (Matarani) y Compra (Alambrón) - Moly-Cop (La Joya)</t>
  </si>
  <si>
    <t>Uchumayo - Compra (Alambron) y Servicio (Res. no aprovechables) - Moly-Cop (La Joya) y Compra (Cartón) - La Joya Mining S.A.C.</t>
  </si>
  <si>
    <t>Uchumayo - Compra (Alambron) - Moly-Cop (La Joya)</t>
  </si>
  <si>
    <t>Uchumayo - Compra (Pallets) - Danper (Pedregal)</t>
  </si>
  <si>
    <t>Uchumayo - Compra (Plastico y hojalata) - Danper (Pedregal)</t>
  </si>
  <si>
    <t>AAM - Compra (Plastico y hojalata) - Danper (Pedregal)</t>
  </si>
  <si>
    <t>Uchumayo - Compra (Alambron) - MolyCop (La Joya)</t>
  </si>
  <si>
    <t>Uchumayo - Compra (Alambron) - MolyCop (La Joya), Compra (IBCÂ´S) - MolyCop (Reactivos - La Joya) y Disposicion (Res. Peligrosos)</t>
  </si>
  <si>
    <t>Uchumayo - Compra (Alambron) - MolyCop (La Joya), Compra (IBCÂ´S) - MolyCop (Reactivos - La Joya), Disposicion (Res. Peligrosos) y Transporte (Montacarga) - GYTRES</t>
  </si>
  <si>
    <t>Uchumayo - Compra (Res. aprovechables) - Danper (Pedregal)</t>
  </si>
  <si>
    <t>AAM - Compra (Plastico, botas, chatarra y hojalata) - Danper (Pedregal)</t>
  </si>
  <si>
    <t>Lavado e higienizacion.</t>
  </si>
  <si>
    <t>Uchumayo - Servicio (Res. peligrosos) -Pesquera Diamante (Mollendo)</t>
  </si>
  <si>
    <t>Uchumayo - Compra (Viruta) - Flsmidth (La Joya)</t>
  </si>
  <si>
    <t>Uchumayo - Servicio (Res. peligrosos) y Compra (Alambron) - MolyCop (La Joya)</t>
  </si>
  <si>
    <t>Uchumayo - Servicio (Res. no aprovechables)-Pesquera Diamante (Mollendo)</t>
  </si>
  <si>
    <t>Tercerizado</t>
  </si>
  <si>
    <t>Matarani - Servicio (Res. no aprovechables)-Pesquera Diamante (Mollendo)</t>
  </si>
  <si>
    <t>ALSA - Disposición (Res. no aprovechables) - GYTRES</t>
  </si>
  <si>
    <t>Uchumayo - Compra (Alambrón) y Compra (IBC'S) - MolyCop (La Joya y Reactivos La Joya)</t>
  </si>
  <si>
    <t>Uchumayo - Compra (Alambron) - MolyCop (La Joya) y Servicio (mantas) - Granja Rinconada del Sur (P.A.B.)</t>
  </si>
  <si>
    <t>Uchumayo - Compra (Res. aprovechables) - Granja Rinconada del Sur (Almacén Central) y Compra (Alambron) - MolyCop (La Joya)</t>
  </si>
  <si>
    <t>Uchumayo - Transporte (Res. no aprovechables) - Villa Esperanza</t>
  </si>
  <si>
    <t>Uchumayo - Servicio (Agua residual) - MolyCop (Reactivos-La Joya) y Compra (Alambron) - MolyCop (La Joya)</t>
  </si>
  <si>
    <t>Uchumayo - Compra (Alambron y viruta) y Servicio (Res. peligrosos) - MolyCop (La Joya)</t>
  </si>
  <si>
    <t>Uchumayo - Compra (Alambron) y Servicio (Res. peligrosos) - MolyCop (La Joya)</t>
  </si>
  <si>
    <t>Uchumayo - Servicio (Mantas) - Granja Rinconada del sur (P.A.B.)</t>
  </si>
  <si>
    <t>Uchumayo - Compra (Alambron) - MolyCop (La Joya) y Compra (Viruta) - Flsmidth (La Joya) y Venta (Hojalata) - Sergio Gutierrez</t>
  </si>
  <si>
    <t>Uchumayo - Disposicion (Res. no aprovechables - Mantas) - Innova Ambiental (La Joya)</t>
  </si>
  <si>
    <t>Uchumayo - Compra (Alambron) - MolyCop (La Joya) y Compra (Viruta) - Flsmidth (Matarani)</t>
  </si>
  <si>
    <t>El Eden - Disposicion (Res. no aprovechables - Mantas) - Innova Ambiental (La Joya)</t>
  </si>
  <si>
    <t>Uchumayo - Servicio (Mantas) - Granja Rinconada del Sur (P.A.B.) y disposición (Res. no aprovechables) - Innova Ambiental (La Joya)</t>
  </si>
  <si>
    <t>Uchumayo - Compra (Alambron, sacas e IBC's) - MolyCop (La Joya y Reactivos La Joya)</t>
  </si>
  <si>
    <t>ALSA - Servicio (RCD) -A&amp;Z Constructores</t>
  </si>
  <si>
    <t>Uchumayo - Compra (Alambron) - MolyCop (La Joya) y Compra (Sacos con soya) - Granja Rinconada del sur (P.A.B.)</t>
  </si>
  <si>
    <t>Uchumayo - Compra (Alambron y Chatarra)-MolyCop (La Joya)</t>
  </si>
  <si>
    <t>Uchumayo - Servicio (IBC'S) - MolyCop (La Joya)</t>
  </si>
  <si>
    <t>Uchumayo - Compra (Alambron y viruta) -MolyCop (La Joya) y Compra (IBC'S) - MolyCop (Reactivos - La Joya)</t>
  </si>
  <si>
    <t>Uchumayo - Compra (Viruta) - Flsmidth (La Joya) y Compra (Alambron) - MolyCop (La Joya)</t>
  </si>
  <si>
    <t>Uchumayo - Compra (Alambron) y Compra (IBC'S) - MolyCop (La Joya y Reactivos La Joya)</t>
  </si>
  <si>
    <t>Uchumayo - Compra (Alambrón) - MolyCop (La Joya) y Disposición (Res. no aprovechables) - Innova Ambiental (La Joya)</t>
  </si>
  <si>
    <t>Uchumayo - Compra (Alambrón y viruta) -MolyCop (La Joya)</t>
  </si>
  <si>
    <t>El Eden - Disposicion (Res. no aprovechables)-Innova Ambiental</t>
  </si>
  <si>
    <t>ALSA - Servicio (Res. no aprovechables) -UCSM</t>
  </si>
  <si>
    <t>Uchumayo - Servicio (Res. peligrosos) - Flsmidth (La Joya) y Compra (Varios) - Granja Rinconada del Sur (Almacén Central La Joya)</t>
  </si>
  <si>
    <t>Uchumayo - Compra (Alambrón y cartón), Servicio (Res. no aprovechables) y Muestra (Laminilla) - MolyCop (La Joya)</t>
  </si>
  <si>
    <t>Uchumayo - Disposición (Res. no aprovechables - UCSM) - Innova Ambiental (La Joya) y Compra (Alambron) - MolyCop (La Joya)</t>
  </si>
  <si>
    <t>Uchumayo-compra (alambron)-molycop (la joya)</t>
  </si>
  <si>
    <t>Uchumayo - servicio (res. no aprovechables -RSMNM ) - Granjas del sur (La Joya)</t>
  </si>
  <si>
    <t>Uchumayo-Traslado de unidad de la joya a sachaca.</t>
  </si>
  <si>
    <t>ALSA - compra (res. chatarra) y (servicio cancelado) - Moly</t>
  </si>
  <si>
    <t>uchumayo-compra (alambron)-molycop (la joya)</t>
  </si>
  <si>
    <t>uchumayo-disposicion(res, no aprovechables)-Innova ambiental</t>
  </si>
  <si>
    <t>uchumayo-disposicion(-R, no aprovechables)-Innova ambiental</t>
  </si>
  <si>
    <t>uchumayo-servicio(no aprovechables)-pesquera diamante</t>
  </si>
  <si>
    <t>matarani-servicio(no aprovechables)-pesquera diamante</t>
  </si>
  <si>
    <t>uchumayo-disposicion(no aprovechables)-INNOVA</t>
  </si>
  <si>
    <t>uchumayo-disposicion (no aprovechables)-INNOVA</t>
  </si>
  <si>
    <t>Alsa - disposicion (res. no aprovechables) -Innova</t>
  </si>
  <si>
    <t>Alsa - servicio (res. no aprovechables) - UCSM</t>
  </si>
  <si>
    <t>matarani-servicio (no aprovechables)-pesquera diamante</t>
  </si>
  <si>
    <t>uchumayo-servicio (no aprovechables)-pesquera diamante</t>
  </si>
  <si>
    <t>matarani-servicio-(no aprovechables)-flsmith(matarani)</t>
  </si>
  <si>
    <t>TERCERIZADO</t>
  </si>
  <si>
    <t>matarani-servicio(no aprovechables)-flsmith(matarani)</t>
  </si>
  <si>
    <t>Zed Matarani - compra (res. aprovechables - viruta metÃ¡lica) - Flsmith (Matarani)</t>
  </si>
  <si>
    <t>Zed Matarani - servicio (RES. no aprovechables) - Flsmith(matarani)</t>
  </si>
  <si>
    <t>Uchumayo- compra (alambron)- Molycop (la joya)</t>
  </si>
  <si>
    <t>El Eden - compra (res. aprovechables viruta) -Flsmith(la joya)</t>
  </si>
  <si>
    <t>Walter Asillo</t>
  </si>
  <si>
    <t>Uchumayo-Compra (aprovechables)-Granja Rinconada del sur</t>
  </si>
  <si>
    <t>Uchumayo-Compra(aprovechables)-Granja Rinconada del sur</t>
  </si>
  <si>
    <t>Alsa-compra(aprovechables)-Aniquem</t>
  </si>
  <si>
    <t>Uchumayo-disposición(no aprovechables)- UCSM</t>
  </si>
  <si>
    <t>Uchumayo-Compra(aprovechables)- Granja Rinconada del sur</t>
  </si>
  <si>
    <t>Alsa-disposición(res. no aprovechables)- Innova</t>
  </si>
  <si>
    <t>Uchumayo-disposición (no aprovechables) - Innova</t>
  </si>
  <si>
    <t>Uchumayo-Compra(aprovechables)- Lonccos y ccala</t>
  </si>
  <si>
    <t>El Edén - compra (aprovechables) - Flsmidth</t>
  </si>
  <si>
    <t>Las Lomas- compra (aprovechables) - Lonccos y ccala</t>
  </si>
  <si>
    <t>UCSM , recolección y transportes de residuos no aprovechable (B002-0000137216)</t>
  </si>
  <si>
    <t>Uchumayo - Servicio (Recolección y Transporte de Residuos - No Peligrosos) - Granja Rinconada del sur (la joya)</t>
  </si>
  <si>
    <t>ALSA - Servicio (Recolección y Transporte de Residuos - No Peligrosos) - Granja Rinconada del sur (la joya)</t>
  </si>
  <si>
    <t>Uchumayo - venta de madera - Christian de La Flor Horno - Km 48</t>
  </si>
  <si>
    <t>Lavado e Higienizacion</t>
  </si>
  <si>
    <t>Uchumayo - compra (res. aprovechables) - Granja rinconada del sur (La Joya)</t>
  </si>
  <si>
    <t>Uchumayo - disposición (res. no aprovechables) - Innova (La Joya)</t>
  </si>
  <si>
    <t>Alsa - servicio (res. no aprovechables - rsmnm) - UCSM</t>
  </si>
  <si>
    <t>Alsa - servicio ( RSMNM) - UCSM</t>
  </si>
  <si>
    <t>Uchumayo - servicio (rs. peligrosos) compra (rs. aprovechables) - Flsmidth (Matarani)</t>
  </si>
  <si>
    <t>Uchumayo - servicio (rs. peligrosos) - Flsmidth (Matarani)</t>
  </si>
  <si>
    <t>Zed Matarani - servicio (rs. peligrosos) compra (rs. aprovechables) - Flsmidth (Matarani)</t>
  </si>
  <si>
    <t>Uchumayo -servicio (RSMNM) - Stracon (Tia Maria)</t>
  </si>
  <si>
    <t>EDEN -servicio (RSMNM) - Stracon (Tia Maria)</t>
  </si>
  <si>
    <t>Uchumayo - servicio (RSMNM) - UCSM</t>
  </si>
  <si>
    <t>Uchumayo - disposición (RSMNM) - Innova (La Joya)</t>
  </si>
  <si>
    <t>ALSA - servicio (RSMNM) - UCSM</t>
  </si>
  <si>
    <t>Matarani - servicio (RSMNM) - UCSM</t>
  </si>
  <si>
    <t>Uchumayo - inducción - Cosapi Mineria (la joya)</t>
  </si>
  <si>
    <t>Uchumayo - induccion - Cosapi</t>
  </si>
  <si>
    <t>Uchumayo - servicio (res. no aprovechables - Stracon (Tia Maria)</t>
  </si>
  <si>
    <t>El Eden - servicio (res. no aprovechables - Stracon (Tia Maria)</t>
  </si>
  <si>
    <t>Uchumayo - disposicion (res. no aprovechables) -Stracon</t>
  </si>
  <si>
    <t>El Eden - disposicion (res. no aprovechables) -Stracon</t>
  </si>
  <si>
    <t>Uchumayo - disposición (res. peligrosos) - Innova (la Joya)</t>
  </si>
  <si>
    <t>Alsa - servicio recojo y transporte (res. no aprovechables ) - UCSM</t>
  </si>
  <si>
    <t>Uchumayo - servicio (RSMNM) - Stracon (Tia María)</t>
  </si>
  <si>
    <t>Uchumayo - servicio (res. no aprovechables) -Stracon</t>
  </si>
  <si>
    <t>El Eden - servicio (res. no aprovechables) -Stracon</t>
  </si>
  <si>
    <t>Uchumayo - servicio (res. peligroso) - Coimser (Tia María)</t>
  </si>
  <si>
    <t>El Eden - servicio (res. peligroso) - Coimser (Tia María)</t>
  </si>
  <si>
    <t>uchumayo - servicio (res. no aprovechables) - Stracon (Tia María)</t>
  </si>
  <si>
    <t>uchumayo - disposición (RSMNM) - Innova (La Joya)</t>
  </si>
  <si>
    <t>El Eden - servicio (res. no aprovechables) - Stracon (Tia María)</t>
  </si>
  <si>
    <t>Uchumayo - compra (res. aprovechables) - Moly Cop Adesur (La Joya)</t>
  </si>
  <si>
    <t>El Eden - servicio (RSMNM) - Flsmidth (La Joya)</t>
  </si>
  <si>
    <t>Uchumayo - servicio de transporte de residuos aprovechables - Gytres</t>
  </si>
  <si>
    <t>Alsa - servicio de transporte (res. no aprovechables) - Gytres</t>
  </si>
  <si>
    <t>uchumayo/ servicio de transporte de residuos no aprovechables, Stracón</t>
  </si>
  <si>
    <t>El Eden - servicio (RSMNM) - Stracon (proyecto Tia María)</t>
  </si>
  <si>
    <t>Uchumayo - servicio (RSMNM) - Stracon (royecto Tia María)</t>
  </si>
  <si>
    <t>Uchumayo - servicio (RSMNM) - Stracon (Proyecto Tia María)</t>
  </si>
  <si>
    <t>El Eden - servicio (RSMNM) - Stracon (Proyecto Tia María)</t>
  </si>
  <si>
    <t>Uchumayo - servicio de transporte (residuos no aprovechables) - Stracon</t>
  </si>
  <si>
    <t>Balanza 48/ servicio de transporte de residuos no aprovechables ( Stracón)</t>
  </si>
  <si>
    <t>balanza 48/ servicio de transporte de residuos no aprovechables ( Stracon)</t>
  </si>
  <si>
    <t>Balanza 48/ servicio de transporte de residuos no aprovechables (Stracón)</t>
  </si>
  <si>
    <t>balanza, san Camilo - servicio de transporte de residuos no aprovechables - (Stracón)</t>
  </si>
  <si>
    <t>balanza Alsa - servicio de transporte de residuos no aprovechables - (UCSM)</t>
  </si>
  <si>
    <t>uchumayo( servicio de transporte de residuos no aprovechables ( innova ambiental)</t>
  </si>
  <si>
    <t>uchumayo/ servicio de transporte de residuos no aprovechables ( innova ambiental)</t>
  </si>
  <si>
    <t>Uchumayo - Servicio (Disposición de RS Biocontaminados) - Innova Ambiental</t>
  </si>
  <si>
    <t>Uchumayo - Servicio (Carguio de RS Aprovechables) - Gytres</t>
  </si>
  <si>
    <t>Uchumayo - Servicio (Translado de RS Peligrosos) -Almacen Villa Esperanza</t>
  </si>
  <si>
    <t>Uchumayo - Servicio (Traslado de Residuos - Ibérica) - Almacén Villa Esperanza</t>
  </si>
  <si>
    <t>Alsa - Servicio (RS No Aprovechables) - UTP Arequipa.</t>
  </si>
  <si>
    <t>Alza - Servicio (RAEE) - UTP Arequipa</t>
  </si>
  <si>
    <t>SRB KM 48 - Venta (Leña) Horno 48)</t>
  </si>
  <si>
    <t>Uchumayo - Compra (madera) - Moly-Cop la Joya</t>
  </si>
  <si>
    <t>Uchumayo - Servicio (Disposición de RS No Aprovechables) - Innova Ambiental</t>
  </si>
  <si>
    <t>Uchumayo - Servicio (Disposición de Rs No Aprovechables) - Innova Ambiental</t>
  </si>
  <si>
    <t>Alza - Servicio (RS No Aprovechables) - UCSM</t>
  </si>
  <si>
    <t>Alza - Servicio (RS No Aprovechables) - Ciogenica Ham</t>
  </si>
  <si>
    <t>Uchumayo - Servicio (Inspección de la unidad) - Cosapi Minería (Tia Maria)</t>
  </si>
  <si>
    <t>FOTON VEI-822</t>
  </si>
  <si>
    <t>Uchumayo - Compra (Residuos aprovechables -Varios) - Granja Rinconada Del Sur</t>
  </si>
  <si>
    <t>Uchumayo -Servicio (RS no aprovechables)- Cosapi Tia María</t>
  </si>
  <si>
    <t>Balanza san Camilo - Servicio (RS no aprovechables) - Cosapi Tia María</t>
  </si>
  <si>
    <t>Uchumayo - Servicio (RS peligrosos) -FLSMIDTH</t>
  </si>
  <si>
    <t>SRB KM 48 - Servicio (RS peligrosos) - FLSMIDTH</t>
  </si>
  <si>
    <t>Viáticos para viaje Lima</t>
  </si>
  <si>
    <t>FG01</t>
  </si>
  <si>
    <t>Camana - Disposición (Res. peligrosos) - KANAY S.A.C. (Chilca)</t>
  </si>
  <si>
    <t>F205</t>
  </si>
  <si>
    <t>Jahuay - Disposición (Res. peligrosos) - KANAY S.A.C. (Chilca)</t>
  </si>
  <si>
    <t>F603</t>
  </si>
  <si>
    <t>Punta Negra - Disposición (Res. no aprovechables) - Innova Ambiental (Chilca)</t>
  </si>
  <si>
    <t>El Eden (KM 48) - Disposición (Res. peligrosos) - Kanay S.A.C. (Chilca)</t>
  </si>
  <si>
    <t>Alojamiento y cochera: Ocoña</t>
  </si>
  <si>
    <t>Alimentación: Cena (02) (Camana)</t>
  </si>
  <si>
    <t>Administracion considero otros monto menor al del comprobante</t>
  </si>
  <si>
    <t>Alimentación: Desayuno (02) - Atico</t>
  </si>
  <si>
    <t>Alimentación: Almuerzo (02)</t>
  </si>
  <si>
    <t>Alimentación: Cena (02) (Chilca)</t>
  </si>
  <si>
    <t>Cochera: Chilca</t>
  </si>
  <si>
    <t>Alojamiento: Chilca</t>
  </si>
  <si>
    <t>Alimentación: Desayuno (02) - Chilca</t>
  </si>
  <si>
    <t>Alimentación: Almuerzo (02) - Chilca</t>
  </si>
  <si>
    <t>Alimentación: Cena (02) - Lima</t>
  </si>
  <si>
    <t>Alimentación: Desayuno (02)</t>
  </si>
  <si>
    <t>Alimentación: Almuerzo (02)- Lima</t>
  </si>
  <si>
    <t>Alimentación: Cena (02) - Santa Anita</t>
  </si>
  <si>
    <t>Alimentación: Desayuno (02) - Santa Anita</t>
  </si>
  <si>
    <t>Alimentación: Almuerzo (02) - Santa Anita</t>
  </si>
  <si>
    <t>Alimentación: Cena (02) Santa Anita</t>
  </si>
  <si>
    <t>Alimentación: Cena (02)</t>
  </si>
  <si>
    <t>F155</t>
  </si>
  <si>
    <t>Surco - Transporte (Madera y sacas vacías) - GYTRES</t>
  </si>
  <si>
    <t>F203</t>
  </si>
  <si>
    <t>Villa El Salvador - Transporte (Madera y sacas vacías) - GYTRES</t>
  </si>
  <si>
    <t>F103</t>
  </si>
  <si>
    <t>Cañete (Chilca) - Transporte (Madera y sacas vacías) - GYTRES</t>
  </si>
  <si>
    <t>F301</t>
  </si>
  <si>
    <t>Ica - Transporte (Madera y sacas vacías) - GYTRES</t>
  </si>
  <si>
    <t>A3NA1</t>
  </si>
  <si>
    <t>P325007852</t>
  </si>
  <si>
    <t>Nazca - Transporte (Madera y sacas vacías) - GYTRES</t>
  </si>
  <si>
    <t>A3YA1</t>
  </si>
  <si>
    <t>P325008743</t>
  </si>
  <si>
    <t>Yauca - Transporte (Madera y sacas vacías) - GYTRES</t>
  </si>
  <si>
    <t>Atico - Retorno de Unidad - GYTRES S.A.C.</t>
  </si>
  <si>
    <t>Camana - Retorno de Unidad - GYTRES S.A.C.</t>
  </si>
  <si>
    <t>Alimentación: Almuerzo (02) - Ica</t>
  </si>
  <si>
    <t>Cochera: Santa Anita</t>
  </si>
  <si>
    <t>Alimentación: Cenas (02) - Chala</t>
  </si>
  <si>
    <t>Alojamiento: Chala (02)</t>
  </si>
  <si>
    <t>Cochera: Chala</t>
  </si>
  <si>
    <t>Alimentación: Almuerzo (02) - Camana</t>
  </si>
  <si>
    <t>Uchumayo - Disposición (Res. peligrosos) - KANAY S.A.C. (Chilca)</t>
  </si>
  <si>
    <t>F204</t>
  </si>
  <si>
    <t>F600</t>
  </si>
  <si>
    <t>Punta Negra - Transporte (res. aprovechables) - GYTRES</t>
  </si>
  <si>
    <t>Alimentación: Desayuno (02) - Pedregal</t>
  </si>
  <si>
    <t>Alimentación: Almuerzo (02) - Atico</t>
  </si>
  <si>
    <t>Alimentación: Cena (02) - Nazca</t>
  </si>
  <si>
    <t>Alojamiento: Ica (02)</t>
  </si>
  <si>
    <t>Cochera: Ica</t>
  </si>
  <si>
    <t>Alimentación: Almuerzo (02) -Chilca</t>
  </si>
  <si>
    <t>Lima Expresa (Monterrico) - Transporte (Madera, cable, RAEE) - GYTRES</t>
  </si>
  <si>
    <t>Villa El Salvador - Transporte (Madera, cable, RAEE) - GYTRES</t>
  </si>
  <si>
    <t>Chilca - Transporte (Madera, cable, RAEE) - GYTRES</t>
  </si>
  <si>
    <t>Ica - Transporte (Madera, cable, RAEE) - GYTRES</t>
  </si>
  <si>
    <t>A3NA19</t>
  </si>
  <si>
    <t>Nazca - Transporte (Madera, cable, RAEE) - GYTRES</t>
  </si>
  <si>
    <t>A3YA1P</t>
  </si>
  <si>
    <t>Yauca - Transporte (Madera, cable, RAEE) - GYTRES</t>
  </si>
  <si>
    <t>A3AT19</t>
  </si>
  <si>
    <t>Atico - Transporte (Madera, cable, RAEE) - GYTRES</t>
  </si>
  <si>
    <t>Camana - Transporte (Madera, cable, RAEE) - GYTRES</t>
  </si>
  <si>
    <t>F607</t>
  </si>
  <si>
    <t>Punta Negra - Disposición (Res. no aprovechables) - Innova (Chilca)</t>
  </si>
  <si>
    <t>FOTON VBB-840</t>
  </si>
  <si>
    <t>Villa el Salvador - Disposición (Res. no aprovechables) - Innova (Chilca)</t>
  </si>
  <si>
    <t>Alimentación: Cena (01) - Santa Anita</t>
  </si>
  <si>
    <t>Alimentación: Cena (01) - Palpa</t>
  </si>
  <si>
    <t>Alojamiento: Palpa (01)</t>
  </si>
  <si>
    <t>Alimentación: Desayuno (01) - Santa Anita</t>
  </si>
  <si>
    <t>Alimentación: Almuerzo (01) - Santa Anita</t>
  </si>
  <si>
    <t>Alimentación: Cena (01) -Santa Anita</t>
  </si>
  <si>
    <t>Alimentación: Desayuno (01) - Yauca</t>
  </si>
  <si>
    <t>Alimentación: Almuerzo (01) - Ocoña</t>
  </si>
  <si>
    <t>Alimentación Desayuno (01) - Santa Anita</t>
  </si>
  <si>
    <t>Alimentación: Almuerzo (01) - 28 de julio</t>
  </si>
  <si>
    <t>Alimentación Cena (01) - Ica</t>
  </si>
  <si>
    <t>Alimentación: Desayuno (01) - Camana</t>
  </si>
  <si>
    <t>Alimentación: Almuerzo (01) - Cruce la Joya</t>
  </si>
  <si>
    <t>Recicladora Las Lomas E.I.R.L - Compra (Plástico film) - Lonccos y Ccalas</t>
  </si>
  <si>
    <t>Uchumayo - Compra (IBC'S) - MolyCop (Reactivos - La Joya)</t>
  </si>
  <si>
    <t>Uchumayo - Transporte (Unidad vehicular) - GYTRES</t>
  </si>
  <si>
    <t>Uchumayo - Compra (Alambrón) - MolyCop (La Joya) y Compra (Madera y papel) - Granja Rinconada del Sur (P.A.B.)</t>
  </si>
  <si>
    <t>Uchumayo - Servicio (36 IBC'S) - MolyCop (Reactivos - La Joya)</t>
  </si>
  <si>
    <t>El Eden - Servicio (Res. no aprovechables) - Flsmidth (La Joya)</t>
  </si>
  <si>
    <t>Matarani - Compra (Madera) - Flsmidth (Matarani)</t>
  </si>
  <si>
    <t>ZED Matarani - Compra (Madera) - Flsmidth (Matarani)</t>
  </si>
  <si>
    <t>El Eden (KM 48) - Compra (Viruta MetÃ¡lica) - Flsmidth (La Joya)</t>
  </si>
  <si>
    <t>El Eden (KM 48) - Venta (Madera - Leña) - GYTRES (Villa Esperanza)</t>
  </si>
  <si>
    <t>AAM - Servicio (Lodos) - Danper (Pedregal)</t>
  </si>
  <si>
    <t>ALSA - Compra (Chatarra) - DCR Minería y construcción S.A.C.</t>
  </si>
  <si>
    <t>El Eden (KM 48) - Servicio (Res. peligrosos) - Flsmidth (La Joya)</t>
  </si>
  <si>
    <t>El Eden (KM 48) - Compra (Madera en desuso) - Flsmidth (La Joya)</t>
  </si>
  <si>
    <t>El Eden (KM 48) - Disposición (Res. no aprovechables) - Innova (La Joya)</t>
  </si>
  <si>
    <t>Uchumayo - Servicio (Transporte de fardos de lana) - Inca Tops S.A.</t>
  </si>
  <si>
    <t>Camana - Servicio (Transporte de fardos de lana) - Inca Tops S.A.</t>
  </si>
  <si>
    <t>Jahuay Chincha - Servicio (Transporte de fardos de lana) - Inca Tops S.A.</t>
  </si>
  <si>
    <t>Punta negra - Servicio (Transporte de fardos de lana) - Inca Tops S.A.</t>
  </si>
  <si>
    <t>F255</t>
  </si>
  <si>
    <t>Lima expresa - Servicio (Transporte de fardos de lana) - Inca Tops S.A.</t>
  </si>
  <si>
    <t>F156</t>
  </si>
  <si>
    <t>Lima Expresa - Transporte (Res. aprovechables) - GYTRES</t>
  </si>
  <si>
    <t>Villa El Salvador - Transporte (Res. aprovechables) - GYTRES</t>
  </si>
  <si>
    <t>Chilca - Transporte (Res. aprovechables) - GYTRES</t>
  </si>
  <si>
    <t>F304</t>
  </si>
  <si>
    <t>Ica - Transporte (Res. aprovechables) - GYTRES</t>
  </si>
  <si>
    <t>A3NA1P</t>
  </si>
  <si>
    <t>Nazca - Transporte (Res. aprovechables) - GYTRES</t>
  </si>
  <si>
    <t>Yauca - Transporte (Res. aprovechables) - GYTRES</t>
  </si>
  <si>
    <t>A3A11P</t>
  </si>
  <si>
    <t>Atico - Transporte (Res. aprovechables) - GYTRES</t>
  </si>
  <si>
    <t>Camaná - Transporte (Res. aprovechables) - GYTRES</t>
  </si>
  <si>
    <t>Alimentación: Cena (Pedregal)</t>
  </si>
  <si>
    <t>Alojamiento: Ocoña</t>
  </si>
  <si>
    <t>Cochera: Ocoña</t>
  </si>
  <si>
    <t>Alimentación: Desayuno (Chala)</t>
  </si>
  <si>
    <t>Alimentación: Almuerzo (Nazca)</t>
  </si>
  <si>
    <t>Alimentación: Cena (Chilca)</t>
  </si>
  <si>
    <t>Alojamiento: Lurin - Lima</t>
  </si>
  <si>
    <t>Cochera: Lurin - Lima</t>
  </si>
  <si>
    <t>Alimentación: Desayuno (Callao)</t>
  </si>
  <si>
    <t>Alimentación: Almuerzo (Callao)</t>
  </si>
  <si>
    <t>Alimentación: Cena (Santa Anita)</t>
  </si>
  <si>
    <t>Alimentación: Desayuno (Santa Anita)</t>
  </si>
  <si>
    <t>Alimentación: Almuerzo (Lima)</t>
  </si>
  <si>
    <t>Alimentación: Cena (Ica)</t>
  </si>
  <si>
    <t>Alojamiento: Palpa</t>
  </si>
  <si>
    <t>Cochera: Palpa</t>
  </si>
  <si>
    <t>Alimentación: Desayuno (Yauca)</t>
  </si>
  <si>
    <t>Alimentación: Almuerzo (Ocoña)</t>
  </si>
  <si>
    <t>Alimentación: Cena (Cruce la Joya)</t>
  </si>
  <si>
    <t>El Eden (Parque Industrial) - Compra (Res. aprovechables) - ALSUR (Arequipa)</t>
  </si>
  <si>
    <t>Uchumayo - Compra (Alambrón y chatarra) y Servicio (IBC's) - MolyCop (La Joya y Reactivos - La Joya)</t>
  </si>
  <si>
    <t>FM02</t>
  </si>
  <si>
    <t>Jahuay - Servicio (Transporte de fardos de lana) - Inca Tops S.A.</t>
  </si>
  <si>
    <t>Punta Negra - Servicio (Transporte de fardos de lana) - Inca Tops S.A.</t>
  </si>
  <si>
    <t>Lima Expresa - Servicio (Transporte de fardos de lana) - Inca Tops S.A.</t>
  </si>
  <si>
    <t>Villa el salvador - Transporte (Res. aprovechables) - GYTRES</t>
  </si>
  <si>
    <t>F104</t>
  </si>
  <si>
    <t>F303</t>
  </si>
  <si>
    <t>A3AT1P</t>
  </si>
  <si>
    <t>Camana - Transporte (Res. aprovechables) - GYTRES</t>
  </si>
  <si>
    <t>Uchumayo - Servicio (Res. peligrosos) - MolyCop (Reactivos - La Joya)</t>
  </si>
  <si>
    <t>Alimentación: Almuerzo (02) - KM 48</t>
  </si>
  <si>
    <t>Alimentación: Cena (02) - Chala</t>
  </si>
  <si>
    <t>Alimentación: Desayuno (02) - Lima</t>
  </si>
  <si>
    <t>Alimentación: Almuerzo (02) - Lima</t>
  </si>
  <si>
    <t>Alimentación: Desayuno (02) - Chala</t>
  </si>
  <si>
    <t>Alimentación: Almuerzo (02) - Ocoña</t>
  </si>
  <si>
    <t>F604</t>
  </si>
  <si>
    <t>Punta Negra - Transporte (Res. aprovechables - Sacas) - GYTRES</t>
  </si>
  <si>
    <t>Villa El Salvador - Transporte (Res. aprovechables - Sacas) - GYTRES</t>
  </si>
  <si>
    <t>Chilca - Transporte (Res. aprovechables - Sacas) - GYTRES</t>
  </si>
  <si>
    <t>Ica - Transporte (Res. aprovechables - Sacas) - GYTRES</t>
  </si>
  <si>
    <t>Nazca - Transporte (Res. aprovechables - Sacas) - GYTRES</t>
  </si>
  <si>
    <t>Yauca - Transporte (Res. aprovechables - Sacas) - GYTRES</t>
  </si>
  <si>
    <t>Atico - Transporte (Res. aprovechables - Sacas) - GYTRES</t>
  </si>
  <si>
    <t>Camana - Transporte (Res. aprovechables - Sacas) - GYTRES</t>
  </si>
  <si>
    <t>ALSA - Compra (Cartón) - Aeropuertos Andinos</t>
  </si>
  <si>
    <t>ALSA - Compra (Botella PET) - Aeropuertos Andinos</t>
  </si>
  <si>
    <t>ALSA - Compra (Vidrio) - Aeropuertos Andinos</t>
  </si>
  <si>
    <t>Alimentación: Almuerzo (Cruce la Joya)</t>
  </si>
  <si>
    <t>Alimentación: Cena (Camaná)</t>
  </si>
  <si>
    <t>Alojamiento: Nazca</t>
  </si>
  <si>
    <t>Cochera: Nazca</t>
  </si>
  <si>
    <t>Alimentación: Desayuno (Ica)</t>
  </si>
  <si>
    <t>Alimentación: Almuerzo (Chilca)</t>
  </si>
  <si>
    <t>Alimentación: Cena Juber (Chilca)</t>
  </si>
  <si>
    <t>Alimentación: Desayuno (Chilca)</t>
  </si>
  <si>
    <t>Alimentación: Cena (Lima)</t>
  </si>
  <si>
    <t>Alimentación: Almuerzo (Santa Anita)</t>
  </si>
  <si>
    <t>Alojamiento: Chincha</t>
  </si>
  <si>
    <t>Cochera: Chincha</t>
  </si>
  <si>
    <t>Alimentación: Almuerzo (Chala)</t>
  </si>
  <si>
    <t>Alimentación: Cena (Cruce La Joya)</t>
  </si>
  <si>
    <t>Uchumayo - Traslado (Mantenimiento preventivo) - CONAUTO</t>
  </si>
  <si>
    <t>Matarani - Servicio (Res. no aprovechables) - CBB (Matarani)</t>
  </si>
  <si>
    <t>Uchumayo - Traslado de unidad para compra (Res. aprovechables) - Alicorp (Parque Industrial)</t>
  </si>
  <si>
    <t>Uchumayo - Servicio (IBC's) - MolyCop (Reactivos La Joya)</t>
  </si>
  <si>
    <t>El Eden (KM 48) - Compra (Viruta Metálica) - Flsmidth (La Joya)</t>
  </si>
  <si>
    <t>El Eden (KM 48) - Compra (Madera) - Flsmidth (La Joya)</t>
  </si>
  <si>
    <t>Uchumayo - servicio (res. peligrosos) - Flsmidth (Matarani)</t>
  </si>
  <si>
    <t>Matarani - servicio (res. peligrosos) - Flsmidth (Matarani)</t>
  </si>
  <si>
    <t>ZED Matarani - servicio (res. peligrosos) - Flsmidth (Matarani)</t>
  </si>
  <si>
    <t>Uchumayo - servicio (res. generales) - Alsur</t>
  </si>
  <si>
    <t>El EdÃ©n - servicio (RSMNM) - Flsmidth (La Joya)</t>
  </si>
  <si>
    <t>El Eden KM 48 - servicio (RS Peligrosos) -FLSMITH La Joya</t>
  </si>
  <si>
    <t>El Eden - KM 48 Compra: Viruta Metalica FLSMITH (La Joya)</t>
  </si>
  <si>
    <t>El Eden - KM 48 Venta: Madera (Leña)PanaderÃ­a - KM 48</t>
  </si>
  <si>
    <t>Uchumayo Disposición: RS Generales Innova la Joya</t>
  </si>
  <si>
    <t>Uchumayo Villa Esperanza - Arequipa servicio de Mantenimiento preventivo</t>
  </si>
  <si>
    <t>Uchumayo servicio: RS Generales (Disposición)</t>
  </si>
  <si>
    <t>Uchumayo Compra : RS aprovechable (Cartón, Plastico Leña) - Alicorp</t>
  </si>
  <si>
    <t>Uchumayo.servicio: Disposición RS Generales Alsur</t>
  </si>
  <si>
    <t>lavado e higienización</t>
  </si>
  <si>
    <t>Uchumayo.Servicio RS aprovechable (Madera)Alsur</t>
  </si>
  <si>
    <t>Uchumayo - Servicio - La Rinconada del Sur</t>
  </si>
  <si>
    <t>El Eden - disposición (no aprovechables) -Innova (La Joya)</t>
  </si>
  <si>
    <t>Uchumayo - servicio (res. aprovechables) - Alsur</t>
  </si>
  <si>
    <t>Uchumayo Arequipa - Villa Esperanza de Regreso</t>
  </si>
  <si>
    <t>Alza Compra: Cartón Aeropuertos Andinos</t>
  </si>
  <si>
    <t>Alza Compra: Botellas petAeropuertos Andinos</t>
  </si>
  <si>
    <t>Uchumayo - servicio (res. peligrosos) - Moly Cop (La Joya)</t>
  </si>
  <si>
    <t>Uchumayo servicio: IBC Peligrosos Moly COP la Joya</t>
  </si>
  <si>
    <t>Uchumayo - traslado de Residuos aprovechables - GYTRES</t>
  </si>
  <si>
    <t>Matarani - compra (viruta metálica) - FLSMITH</t>
  </si>
  <si>
    <t>El Eden - KM 48 Compra: Viruta Metálica FLSMITH - La Joya</t>
  </si>
  <si>
    <t>Zed Matarani - compra (madera leña) - FLSMITH</t>
  </si>
  <si>
    <t>Matarani - compra (madera) - Flsmidth SAC</t>
  </si>
  <si>
    <t>Uchumayo servicio: disposición varias Impresas</t>
  </si>
  <si>
    <t>Uchumayo.Servicio: IBC Peligrosos Moly Cop</t>
  </si>
  <si>
    <t>Uchumayo Traslado de Residuos Arequipa - La Joya</t>
  </si>
  <si>
    <t>Alza Disposición residuos no aprovechable</t>
  </si>
  <si>
    <t>Uchumayo traslado de unidad Almacen la Joya - Arequipa</t>
  </si>
  <si>
    <t>Uchumayo.Servicio: Inka Tops Arequipa - Lima</t>
  </si>
  <si>
    <t>Camana Servicio: Inka Tops Ruta Arequipa - Lima</t>
  </si>
  <si>
    <t>Alimentación: almuerzo Juber</t>
  </si>
  <si>
    <t>Alimentacion</t>
  </si>
  <si>
    <t>Alimentación: Cena Juber Ocoña</t>
  </si>
  <si>
    <t>Alojamiento Juber Ãtico y cochera</t>
  </si>
  <si>
    <t>Jahuay - Chincha servicio a Inka Tops</t>
  </si>
  <si>
    <t>F602</t>
  </si>
  <si>
    <t>punta negra servicio Inka Tops</t>
  </si>
  <si>
    <t>Alimentación: desayuno Juber Nazca</t>
  </si>
  <si>
    <t>Alimentación: Almuerzo Juber ICA</t>
  </si>
  <si>
    <t>Alimentación: Cena Juber Lima</t>
  </si>
  <si>
    <t>Alojamiento: Juber Lurin Lima</t>
  </si>
  <si>
    <t>cochera Lurin Lima</t>
  </si>
  <si>
    <t>Cochera</t>
  </si>
  <si>
    <t>Villa el Salvador - Tranporte y Entrega de Residuos (No Peligrosos) - DP World logistica</t>
  </si>
  <si>
    <t>Lima Expresa - Tranporte y Entrega de Residuos (No Peligrosos) - DP World logistica</t>
  </si>
  <si>
    <t>F806</t>
  </si>
  <si>
    <t>F253</t>
  </si>
  <si>
    <t>Chilca Cañete - Tranporte y Entrega de Residuos (No Peligrosos) - DP World logistica</t>
  </si>
  <si>
    <t>Alimentación: desayuno Juber</t>
  </si>
  <si>
    <t>Alimentación: Almuerzo Juber</t>
  </si>
  <si>
    <t>Alimentación: Cena Juber Chincha</t>
  </si>
  <si>
    <t>Alojamiento: Juber Chincha</t>
  </si>
  <si>
    <t>ICA - Transporte de Residuos Aprovechables - Gytres S.A.C</t>
  </si>
  <si>
    <t>Nazca - Transporte de Residuos Aprovechables - Gytres S.A.C</t>
  </si>
  <si>
    <t>Yauca - Transporte de Residuos Aprovechables - Gytres S.A.C</t>
  </si>
  <si>
    <t>Alimentación: Desayuno Juber ICA</t>
  </si>
  <si>
    <t>Alimentación: Juber Almuerzo ICA</t>
  </si>
  <si>
    <t>Alimentación: Cena Juber Nazca</t>
  </si>
  <si>
    <t>Atico - Transporte de Residuos Aprovechables - Gytres S.A.C</t>
  </si>
  <si>
    <t>Camana - Transporte de Residuos Aprovechables - Gytres S.A.C</t>
  </si>
  <si>
    <t>Alojamiento Juber y cochera</t>
  </si>
  <si>
    <t>Alimentación: Desayuno Juber</t>
  </si>
  <si>
    <t>Uchumayo traslado de unidad La Joya - Arequipa</t>
  </si>
  <si>
    <t>Uchumayo - traslado de unidad - Gytres</t>
  </si>
  <si>
    <t>Uchumayo - traslado (IBC) La Joya - Arequipa</t>
  </si>
  <si>
    <t>Uchumayo - retorno de unidad - Arequipa - La Joya</t>
  </si>
  <si>
    <t>El Edén - KM 48 Servicio: viruta metalica FLSMIDTH - La Joya</t>
  </si>
  <si>
    <t>Willian León</t>
  </si>
  <si>
    <t>F218</t>
  </si>
  <si>
    <t>F611</t>
  </si>
  <si>
    <t>Villa el Salvador - Disposición (Res. Peligrosos) - KANAY (Chilca)</t>
  </si>
  <si>
    <t>Punta Negra - Disposición (Res. Peligrosos) - KANAY (Chilca)</t>
  </si>
  <si>
    <t>Villa el Salvador - Disposición (Res. peligrosos) - Kanay (Chilca)</t>
  </si>
  <si>
    <t>Punta Negra - Disposición (Res. peligrosos) - Kanay (Chilca)</t>
  </si>
  <si>
    <t>Negociaciones Abbycorp E.I.R.L - Lavado e higienización</t>
  </si>
  <si>
    <t>F206</t>
  </si>
  <si>
    <t>Viaticos para la semana</t>
  </si>
  <si>
    <t>Negociaciones Abbycorp E.I.R.L -Lavado e Higienizacion</t>
  </si>
  <si>
    <t>F226</t>
  </si>
  <si>
    <t>Villa El Salvador - Traslado (Res. no aprovechables) - Almacén Marco (Chilca)</t>
  </si>
  <si>
    <t>Punta Negra - Traslado (Res. no aprovechables) - Almacén Marco (Chilca)</t>
  </si>
  <si>
    <t>F605</t>
  </si>
  <si>
    <t>Balanza Josfel S.A.C. - Pesaje (Res. peligrosos) - GYTRES</t>
  </si>
  <si>
    <t>Negociaciones Abbycorp E.I.R.L. - Lavado e Higienizacion</t>
  </si>
  <si>
    <t>F228</t>
  </si>
  <si>
    <t>Balanza Carlos Torres - Disposición (Res. no aprovechables) - Innova (Chilca)</t>
  </si>
  <si>
    <t>Negociaciones Abbycorp E.I.R.L - Lavado e Higienizacion</t>
  </si>
  <si>
    <t>servicio Garlufak (Ayacucho)</t>
  </si>
  <si>
    <t>Punta Negra- Disposición (Res. peligrosos) - Kanay (Chilca)</t>
  </si>
  <si>
    <t>Villa El Salvador - Servicio(Res. peligrosos) - Talma Servicios Aeroportuarios S.A (Ayacucho)</t>
  </si>
  <si>
    <t>Chilca - Servicio(Res. peligrosos) - Talma Servicios Aeroportuarios S.A (Ayacucho)</t>
  </si>
  <si>
    <t>Punta Negra - Servicio (Res. peligrosos) - Talma Servicios Aeroportuarios S.A (Ayacucho)</t>
  </si>
  <si>
    <t>Jahuay - Servicio(Res. peligrosos) - Talma Servicios Aeroportuarios S.A (Ayacucho)</t>
  </si>
  <si>
    <t>F606</t>
  </si>
  <si>
    <t>Alojamiento: Hospedaje Correito - Lircay (Huancavelica) (02)</t>
  </si>
  <si>
    <t>FAY1</t>
  </si>
  <si>
    <t>Cochera: Aeropuertos Andinos del Perú (Ayacucho)</t>
  </si>
  <si>
    <t>Car Washington Perez - Lavado e Higienizacion de unidad (Ayacucho)</t>
  </si>
  <si>
    <t>Alojamiento: Rumichaca (Ayacucho) (02) - Multiservicios Larita</t>
  </si>
  <si>
    <t>Cochera: Rumichaca (Ayacucho) - Multiservicios Larita</t>
  </si>
  <si>
    <t>Negociaciones Abbycorp E.I.R.L - Lavado e Higienización</t>
  </si>
  <si>
    <t>Negociaciones Abbycorp E.I.R.L. - Lavado e Higienización</t>
  </si>
  <si>
    <t>F210</t>
  </si>
  <si>
    <t>F209</t>
  </si>
  <si>
    <t>Balanza Mikel - Disposición (Res. no aprovechables) - Innova (Chilca)</t>
  </si>
  <si>
    <t>Villa-disposición (peligrosos) Kanay (Chilca)</t>
  </si>
  <si>
    <t>Punta negra-disposición (peligrosos) Kanay (Chilca)</t>
  </si>
  <si>
    <t>Negociaciones Abbycorp E.I.R.L - lavado e Higienizacion de unidad</t>
  </si>
  <si>
    <t>Villa el Salvador - disposicion (RSMNM) - Innova (Chilca)</t>
  </si>
  <si>
    <t>Punta Negra - disposicion (RSMNM) - Innova (Chilca)</t>
  </si>
  <si>
    <t>Villa el Salvador - disposicion (peligrosos) - Kanay (chilca)</t>
  </si>
  <si>
    <t>Punta Negra - disposicion (peligrosos) Kanay (Chilca)</t>
  </si>
  <si>
    <t>Villa El Salvador - disposición (peligrosos) - Kanay (Chilca)</t>
  </si>
  <si>
    <t>Punta Negra - disposición (peligrosos) - Kanay ( Chilca)</t>
  </si>
  <si>
    <t>Villa El Salvador - disposición (res.generales) - Innova (Chilca)</t>
  </si>
  <si>
    <t>Punta negra - disposición (Res.generales) -Innova (Chilca)</t>
  </si>
  <si>
    <t>Villa-disposición (res.generales) innova (Chilca)</t>
  </si>
  <si>
    <t>punta negra-disposición (Res.generales) innova (Chilca)</t>
  </si>
  <si>
    <t>negociaciones Abbycorp E.I.R.L (Lavado e Higienizacion de unidad) Santa Anita (Lima)</t>
  </si>
  <si>
    <t>punta negra-disposición (peligrosos) Kanay (Chilca)</t>
  </si>
  <si>
    <t>Villa-disposición(peligrosos)Kanay(Chilca)</t>
  </si>
  <si>
    <t>Balanza Mikel(disposición de residuos peligrosos)</t>
  </si>
  <si>
    <t>Negociaciones Abbycorp E.I.R.L- Lavado e Higienizacion de unidad (Santa Anita) Lima</t>
  </si>
  <si>
    <t>Villa-disposición(res.generales)innova(Chilca)</t>
  </si>
  <si>
    <t>punta negra-disposición(Res.generales)innova(Chilca)</t>
  </si>
  <si>
    <t>Punta negra-disposición (Res.generales) innova (Chilca)</t>
  </si>
  <si>
    <t>Negociaciones Abbycorp E.I.R.L</t>
  </si>
  <si>
    <t>Villa-disposición ( res.generales)innova (Chilca)</t>
  </si>
  <si>
    <t>punta negra-disposición(res.generales)innova (Chilca)</t>
  </si>
  <si>
    <t>punta negra-disposición(peligrosos)Kanay(Chilca)</t>
  </si>
  <si>
    <t>Negociaciones Abbycorp E.I.R.L - limpieza e Higienizacion de unidad</t>
  </si>
  <si>
    <t>Villa-disposición ( peligrosos) Kanay ( Chilca)</t>
  </si>
  <si>
    <t>punta negra-disposición ( peligrosos) Kanay ( Chilca)</t>
  </si>
  <si>
    <t>punta negra-disposición(res.generales)innova (chilca)</t>
  </si>
  <si>
    <t>F12</t>
  </si>
  <si>
    <t>Negociaciones Abbycorp E.I.R.L (Lavado de Unidad)</t>
  </si>
  <si>
    <t>Juan Tarifa</t>
  </si>
  <si>
    <t>Uchumayo - Compra (Viruta y cartón) y Servicio (Res. no aprovechables) - MolyCop (La Joya)</t>
  </si>
  <si>
    <t>Uchumayo - Servicio (Res. Peligrosos) - Flsmidth (Matarani) y AHK (Matarani)</t>
  </si>
  <si>
    <t>Matarani - Servicio (Res. Peligrosos) - Flsmidth (Matarani) y AHK (Matarani)</t>
  </si>
  <si>
    <t>Uchumayo - Compra (Caucho, cartón, chatarra, bidones y cilindros) - Granja Rinconada del Sur (Almacén Central)</t>
  </si>
  <si>
    <t>Uchumayo - Compra (Alambrón y viruta) - MolyCop (La Joya) y Servicio (IBC´S) - MolyCop (Reactivos - La Joya)</t>
  </si>
  <si>
    <t>ALSA - Servicio (Res. no aprovechables) y Compra (Madera) - Power</t>
  </si>
  <si>
    <t>ALSA - Servicio (Res. peligrosos) - Power</t>
  </si>
  <si>
    <t>ALSA - Compra (Cartón y plástico) - UCSM</t>
  </si>
  <si>
    <t>ALSA - Servicio (Res. no aprovechables) - UCSM (Torre Santa María)</t>
  </si>
  <si>
    <t>Novaarecy - Compra (Plástico) - Lonccos y Ccalas</t>
  </si>
  <si>
    <t>ZED Matarani - Servicio (Res. Peligrosos) - Flsmidth (Matarani)</t>
  </si>
  <si>
    <t>ZED Matarani - Servicio (Res. Peligrosos) - AHK (Matarani)</t>
  </si>
  <si>
    <t>ALSA - Servicio (Res. peligrosos) - Cargo Transport</t>
  </si>
  <si>
    <t>Viáticos para viaje a Abancay</t>
  </si>
  <si>
    <t>Servicentro Santa Martha - Abancay</t>
  </si>
  <si>
    <t>Uchumayo - Servicio (Res. no aprovechables) - Flsmidth (La Joya) y Servicio (Res. Peligrosos) - MolyCop (Reactivos - La Joya)</t>
  </si>
  <si>
    <t>F311</t>
  </si>
  <si>
    <t>Patahuasi - Servicio (Res. no aprovechables) - Antilla Copper (Abancay)</t>
  </si>
  <si>
    <t>F412</t>
  </si>
  <si>
    <t>Pichirhua - Servicio (Res. no aprovechables) - Antilla Copper (Abancay)</t>
  </si>
  <si>
    <t>F411</t>
  </si>
  <si>
    <t>F314</t>
  </si>
  <si>
    <t>El Edén - Servicio (Res. no aprovechables) - Flsmidth (La Joya)</t>
  </si>
  <si>
    <t>ALSA - Servicio (Res. peligrosos) - Power S.A.C.</t>
  </si>
  <si>
    <t>Alojamiento: Imata</t>
  </si>
  <si>
    <t>Cochera: Imata</t>
  </si>
  <si>
    <t>Alojamiento: Santa Rosa - Abancay</t>
  </si>
  <si>
    <t>Alojamiento: Anta (Cuzco)</t>
  </si>
  <si>
    <t>Cochera: Anta (Cuzco)</t>
  </si>
  <si>
    <t>Viáticos para viaje a Huambo</t>
  </si>
  <si>
    <t>Uchumayo - Compra (Alambron) - MolyCop (La Joya) y Servicio (Res. no aprovechables y RAEE) - Flsmidth (Matarani)</t>
  </si>
  <si>
    <t>Matarani - Servicio (Res. no aprovechables y RAEE) - Flsmidth (Matarani)</t>
  </si>
  <si>
    <t>Patahuasi - Servicio (Res. peligrosos) - Comando (Huambo)</t>
  </si>
  <si>
    <t>Uchumayo - Compra (Viruta y madera) y servicio (Res. no aprovechables) - MolyCop (La Joya)</t>
  </si>
  <si>
    <t>ZED Matarani - Servicio (Res. no aprovechables y RAEE) - Flsmidth (Matarani)</t>
  </si>
  <si>
    <t>Novaarecy - Compra (PlÃ¡stico film) - Lonccos y Ccalas</t>
  </si>
  <si>
    <t>Novaarecy - Compra (Carton en desuso) - Lonccos y Ccalas</t>
  </si>
  <si>
    <t>El EdÃ©n - Servicio ( Res. peligrosos) - Comando (Chivay)</t>
  </si>
  <si>
    <t>Alimentacion: Desayuno (02)</t>
  </si>
  <si>
    <t>Alimentacion: Almuerzo (02)</t>
  </si>
  <si>
    <t>Alimentacion: Cena: (02)</t>
  </si>
  <si>
    <t>Uchumayo - Compra (Viruta) - Flsmidth (La Joya) y Servicio (IBC'S) - MolyCop (Reactivos-La Joya)</t>
  </si>
  <si>
    <t>El Edén - Servicio (Res. peligrosos) - Metaquim</t>
  </si>
  <si>
    <t>El Edén - Compra (Viruta) - Flsmidth (La Joya)</t>
  </si>
  <si>
    <t>Se abasteció combustible al contado en ILO</t>
  </si>
  <si>
    <t>Uchumayo - Compra (Aprovechables) y Servicio (Res. no aprovechables)- Flsmidth (Matarani)</t>
  </si>
  <si>
    <t>Matarani - Compra (Aprovechables) y Servicio (Res. no aprovechables)- Flsmidth (Matarani)</t>
  </si>
  <si>
    <t>Uchumayo - Servicio (Res. peligrosos) - Mega Pesca y Servicio (Res. no aprovechables) - R&amp;C Ingenieros</t>
  </si>
  <si>
    <t>El Fiscal - Servicio (Res. peligrosos) - Mega Pesca y Servicio (Res. no aprovechables) - R&amp;C Ingenieros</t>
  </si>
  <si>
    <t>Montalvo - Servicio (Res. peligrosos) - Mega Pesca y Servicio (Res. no aprovechables) - R&amp;C Ingenieros</t>
  </si>
  <si>
    <t>Tomasiri - Servicio (Res. peligrosos) - Mega Pesca y Servicio (Res. no aprovechables) - R&amp;C Ingenieros</t>
  </si>
  <si>
    <t>ZED Matarani - Servicio (Res. no aprovechables)- Flsmidth (Matarani)</t>
  </si>
  <si>
    <t>RET &amp; SAN S.R.L. - Compra (Sacos) - Alprosa</t>
  </si>
  <si>
    <t>Novaarecy - Compra (Plástico film) - Lonccos y Ccalas</t>
  </si>
  <si>
    <t>Alojamiento: (02) (Punta de Bombón)</t>
  </si>
  <si>
    <t>Cochera: Punta de Bombón</t>
  </si>
  <si>
    <t>Se abasteció combustible en Abancay</t>
  </si>
  <si>
    <t>Uchumayo - Servicio (Res. no aprovechables) - Moly-Cop (La Joya) y Servicio (Res. no aprovechables) - Flsmidth (La Joya)</t>
  </si>
  <si>
    <t>F312</t>
  </si>
  <si>
    <t>Patahuasi - Servicio (Res. no aprovechables y peligrosos) - Antilla Copper (C.P. Kella)</t>
  </si>
  <si>
    <t>Pichirhua - Servicio (Res. no aprovechables y peligrosos) - Antilla Copper (C.P. Kella)</t>
  </si>
  <si>
    <t>Novaarecy - Compra (Plastico film) - Lonccos y Ccalas</t>
  </si>
  <si>
    <t>Alojamiento: Imata (02)</t>
  </si>
  <si>
    <t>Alimentación: Cena (02) - Imata</t>
  </si>
  <si>
    <t>Alojamiento: Santa Rosa (02)</t>
  </si>
  <si>
    <t>Cochera: Santa Rosa</t>
  </si>
  <si>
    <t>Alimentación: Cena(02)</t>
  </si>
  <si>
    <t>Alojamiento: Antabamba (02)</t>
  </si>
  <si>
    <t>Cochera : Antabamba</t>
  </si>
  <si>
    <t>Alojamiento: Oropesa - Cuzco (02)</t>
  </si>
  <si>
    <t>Cochera: Oropesa - Cuzco</t>
  </si>
  <si>
    <t>Uchumayo - Traslado (Res. no aprovechables y peligrosos) - Antilla Copper y Servicio (RAEE)- Moly-Cop (La Joya)</t>
  </si>
  <si>
    <t>Uchumayo - Compra (Chatarra y bolsas de papel) - Granja Rinconada del Sur (P.A.B.)</t>
  </si>
  <si>
    <t>El Eden - Servicio (Res. no aprovechables) - Antilla Copper (Abancay)</t>
  </si>
  <si>
    <t>El Eden - Servicio (Res. peligrosos) - Antilla Copper (Abancay)</t>
  </si>
  <si>
    <t>El Eden - Compra (Cartón) - ALSUR (Arequipa)</t>
  </si>
  <si>
    <t>El Eden - Compra (Plástico) - ALSUR (Arequipa)</t>
  </si>
  <si>
    <t>El Eden - Compra (Madera en desuso) - ALSUR (Arequipa)</t>
  </si>
  <si>
    <t>Uchumayo - Servicio (Res. no aprovechables) y Compra (Madera) - Moly-Cop (La Joya)</t>
  </si>
  <si>
    <t>Uchumayo - Servicio (Res. no aprovechables) y Compra (Cartón) - Flsmidth (La Joya)</t>
  </si>
  <si>
    <t>El Edén - Venta (Plástico film) - Cirila Puma</t>
  </si>
  <si>
    <t>El Edén - Compra (Inox) - ALSUR (Arequipa)</t>
  </si>
  <si>
    <t>El Edén - Servicio (Res. no aprovechables) y Compra (Cartón) - Flsmidth (La Joya)</t>
  </si>
  <si>
    <t>Uchumayo - Servicio (Mantas) - Granja Rinconada del Sur (P.A.B.)</t>
  </si>
  <si>
    <t>Uchumayo - Compra (Viruta) y Servicio (Res. peligrosos) - MolyCop (La Joya)</t>
  </si>
  <si>
    <t>ALSA - Venta (Plástico) - Cirila Puma</t>
  </si>
  <si>
    <t>ALSA - Servicio (RAEE) - Livigui</t>
  </si>
  <si>
    <t>ALSA - Servicio (Res. peligrosos) - Livigui</t>
  </si>
  <si>
    <t>El Edén - Servicio (Res. no aprovechables) - Alquimodul</t>
  </si>
  <si>
    <t>Uchumayo - Compra (Madera y chatarra) - Moly-Cop (La Joya) y Disposición (Res. no aprovechables) - Pesquera Diamante - Innova (La Joya)</t>
  </si>
  <si>
    <t>Uchumayo - Compra (Res. aprovechables) - Granja Rinconada del Sur (Almacén Central)</t>
  </si>
  <si>
    <t>Uchumayo - Compra (Madera) - Granja Rinconada del Sur (P.A.B.)</t>
  </si>
  <si>
    <t>ALSA - Pesaje (Res. no aprovechables) - GYTRES</t>
  </si>
  <si>
    <t>ALSA - Pesaje (RAEE) - Comimtel</t>
  </si>
  <si>
    <t>Uchumayo - Servicio (Res. no aprovechables) y Compra (Alambron y carton) - MolyCop (La Joya)</t>
  </si>
  <si>
    <t>Uchumayo - Compra (Viruta) - Flsmidth (Matarani)</t>
  </si>
  <si>
    <t>Las Lomas - Compra (Carton) - Lonccos y Ccalas</t>
  </si>
  <si>
    <t>Las Lomas - Compra (PlÃ¡stico film) - Lonccos y Ccalas</t>
  </si>
  <si>
    <t>Uchumayo - Compra (Madera) y Servicio (Res. peligrosos) - MolyCop (La Joya)</t>
  </si>
  <si>
    <t>Uchumayo - Compra (Res. aprovechables) - Granja Rinconada del Sur (AlmacÃ©n Central La Joya)</t>
  </si>
  <si>
    <t>Uchumayo - Compra (Chatarra metÃ¡lica) - MolyCop (La Joya)</t>
  </si>
  <si>
    <t>El EdÃ©n - Servicio (Res. no aprovechables) - Alquimodul</t>
  </si>
  <si>
    <t>El EdÃ©n -Servicio (Res. peligrosos) - Comando (Huambo)</t>
  </si>
  <si>
    <t>Alimentacion: Cena (02)</t>
  </si>
  <si>
    <t>lavado e higienizacion</t>
  </si>
  <si>
    <t>Uchumayo - Compra (Madera) - MolyCop (La Joya)</t>
  </si>
  <si>
    <t>Uchumayo - Servicio (Res. no aprovechables) - Granja Rinconada del Sur (Almacén Central)</t>
  </si>
  <si>
    <t>Uchumayo - Servicio (Res. peligrosos) - Stierlift S.A. (La Joya)</t>
  </si>
  <si>
    <t>A3AY1P</t>
  </si>
  <si>
    <t>Ayaviri - Servicio (Res. peligrosos) - Consorcio Puentes del Norte</t>
  </si>
  <si>
    <t>Patahuasi - Servicio (Res. peligrosos) - Consorcio Puentes del Norte</t>
  </si>
  <si>
    <t>Santa Lucia - Servicio (Res. peligrosos) - Consorcio Puentes del Norte</t>
  </si>
  <si>
    <t>El Edén - Servicio (Res. peligrosos) - Stierlift S.A. (La Joya)</t>
  </si>
  <si>
    <t>El Edén - Venta (Madera en desuso - leña) - Horno 48</t>
  </si>
  <si>
    <t>El Edén - Servicio (Res. peligrosos) - Consorcio Puentes del Norte</t>
  </si>
  <si>
    <t>Uchumayo - Compra (Cartón) - La Joya Mining</t>
  </si>
  <si>
    <t>Uchumayo - Servicio (Res. peligrosos) y Compra (Chatarra metálica) - MolyCop (La Joya)</t>
  </si>
  <si>
    <t>Uchumayo - Disposición (Res. biocontaminados - Calavera Tattoo) - Innova Ambiental (La Joya) y Venta (Leña) - Cristhian de la Flor (Horno 48)</t>
  </si>
  <si>
    <t>Uchumayo - Compra (Alambrón) y Servicio (RAEE) - MolyCop (La Joya) y Compra (Viruta) - Flsmidth (Matarani)</t>
  </si>
  <si>
    <t>El Edén (Km 48) - Venta (Leña) - Cristhian de la Flor (Horno 48)</t>
  </si>
  <si>
    <t>Las Lomas - Compra (Cascos) - Lonccos y Ccalas</t>
  </si>
  <si>
    <t>se abasteció combustible al contado en Abancay</t>
  </si>
  <si>
    <t>Patahuasi - Servicio (Res. no aprovechables) - Antilla Cooper (Abancay)</t>
  </si>
  <si>
    <t>Pichirhua - Servicio (Res. no aprovechables) - Antilla Cooper (Abancay)</t>
  </si>
  <si>
    <t>Uchumayo - Servicio (Res. no aprovechables) - Antilla Cooper (Abancay)</t>
  </si>
  <si>
    <t>Alojamiento: Curahuasi</t>
  </si>
  <si>
    <t>Cochera: Curahuasi</t>
  </si>
  <si>
    <t>Alimentación: Cena: (02)</t>
  </si>
  <si>
    <t>Cochera: Wilcuypata - Abancay</t>
  </si>
  <si>
    <t>Alojamiento: Abancay</t>
  </si>
  <si>
    <t>Uchumayo - Servicio (Res. peligrosos y no aprovechables) - Flsmidth (Matarani)</t>
  </si>
  <si>
    <t>Matarani - Servicio (Res. peligrosos y no aprovechables) - Flsmidth (Matarani)</t>
  </si>
  <si>
    <t>ZED Matarani - Servicio (Res. peligrosos y no aprovechables) - Flsmidth (Matarani)</t>
  </si>
  <si>
    <t>Las Lomas - Compra (Plástico film) - Lonccos y Ccalas</t>
  </si>
  <si>
    <t>El Edén - Servicio (Res. aprovechables) - ALSUR (Arequipa)</t>
  </si>
  <si>
    <t>Uchumayo - Servicio (Res. no aprovechables) y Compra (Res. aprovechables) - Flsmidth (La Joya)</t>
  </si>
  <si>
    <t>El Edén - Servicio (Res. no aprovechables) y Compra (Res. aprovechables) - Flsmidth (La Joya)</t>
  </si>
  <si>
    <t>El Edén - Servicio (Res. peligrosos) - Flsmidth (La Joya)</t>
  </si>
  <si>
    <t>Uchumayo - Servicio (Res. no aprovechables) - CBB (Matarani)</t>
  </si>
  <si>
    <t>Uchumayo - Servicio y disposición (Res. peligrosos) - Livigui</t>
  </si>
  <si>
    <t>Uchumayo - Servicio (Res. no aprovechables) - Cosapi (Tía María) y Servicio (Res. no aprovechables) - MolyCop (La Joya)</t>
  </si>
  <si>
    <t>El Edén - Compra (Chatarra metálica) - ALSUR (Arequipa)</t>
  </si>
  <si>
    <t>El Edén - Servicio (Res. peligrosos) - Livigui</t>
  </si>
  <si>
    <t>El Edén - Servicio (Res. no aprovechables) - Cosapi (Tía María)</t>
  </si>
  <si>
    <t>Se abasteció combustible en el grifo de Abancay</t>
  </si>
  <si>
    <t>Pichirhua - - Servicio (Res. no aprovechables) - Antilla Cooper (Abancay)</t>
  </si>
  <si>
    <t>Uchumayo - Servicio (Res. no aprovechables) - Antilla Cooper (Abancay) y Disposición (Biocontaminados - Daniela Guzman Zuñiga) - Innova Ambiental (La Joya)</t>
  </si>
  <si>
    <t>Uchumayo - Servicio (Papel Kraft)- Granja Rinconada del Sur (Gloria I y II)</t>
  </si>
  <si>
    <t>Uchumayo - Servicio (Res. peligrosos) y Compra (Madera) - MolyCop (La Joya)</t>
  </si>
  <si>
    <t>ALSA - Servicio (Res. no aprovechables)- UCSM</t>
  </si>
  <si>
    <t>Alojamiento: Limatambo - Cusco (02)</t>
  </si>
  <si>
    <t>Cochera: Limatambo</t>
  </si>
  <si>
    <t>Alojamiento: Abancay (02)</t>
  </si>
  <si>
    <t>Cochera: Abancay</t>
  </si>
  <si>
    <t>Uchumayo - disposición (res. no aprovechables) - Innova y venta (res. aprovechables) - horno de km-48</t>
  </si>
  <si>
    <t>el Edén - venta de leña - horno de km-48</t>
  </si>
  <si>
    <t>Uchumayo - compra (aluminio) - granjas del sur</t>
  </si>
  <si>
    <t>las Lomas - compra (res. cartón y plástico) - Lonccos y Ccalas</t>
  </si>
  <si>
    <t>ALSA - servicio de residuos peligrosos - ISSA Perú Arequipa norte</t>
  </si>
  <si>
    <t>el Edén - servicio de residuos peligrosos - Kontrol R&amp;M PERÚ S.A.C.</t>
  </si>
  <si>
    <t>Navarro - higienizacion</t>
  </si>
  <si>
    <t>Uchumayo - traslado (res. peligrosos desde Sachaca - La Joya) - Gytres</t>
  </si>
  <si>
    <t>Uchumayo - venta (res. aprovechables-leña) - Cristian de la flor</t>
  </si>
  <si>
    <t>El Edén - venta de leña - Cristian de la flor</t>
  </si>
  <si>
    <t>El Edén - compra de frascos de vidrio - Alsur</t>
  </si>
  <si>
    <t>Viáticos para la semana (viaje a Abancay)</t>
  </si>
  <si>
    <t>las lomas - compra de cartón - Lonccos y Ccalas</t>
  </si>
  <si>
    <t>las lomas - compra de plástico - Lonccos y Ccalas</t>
  </si>
  <si>
    <t>Patahuasi - servicio de residuos no aprovechables - Antilla Cooper Abancay</t>
  </si>
  <si>
    <t>alimentación: cena (2)</t>
  </si>
  <si>
    <t>alojamiento:IMATA</t>
  </si>
  <si>
    <t>cochera: IMATA</t>
  </si>
  <si>
    <t>Pichirhua - servicio de residuos no aprovechables - Antilla Cooper Abancay</t>
  </si>
  <si>
    <t>peaje</t>
  </si>
  <si>
    <t>alimentación:desayuno (2)</t>
  </si>
  <si>
    <t>alimentación: almuerzo (2)</t>
  </si>
  <si>
    <t>alimentación: cena: (2)</t>
  </si>
  <si>
    <t>alojamiento: Santa Rosa</t>
  </si>
  <si>
    <t>cochera: Santa Rosa</t>
  </si>
  <si>
    <t>cochera: Oropesa - Cuzco</t>
  </si>
  <si>
    <t>alimentación: desayuno (2)</t>
  </si>
  <si>
    <t>alimentación:cena: (2)</t>
  </si>
  <si>
    <t>Servicentro Santa Martha - servicio de residuos no aprovechables - Antilla Cooper Abancay</t>
  </si>
  <si>
    <t>alojamiento:Oropesa - Cuzco</t>
  </si>
  <si>
    <t>alimentación:almuerzo (2)</t>
  </si>
  <si>
    <t>Uchumayo - servicio de residuos peligrosos y aprovechables - Moly-Cop</t>
  </si>
  <si>
    <t>El Eden - servicio de residuos RCD - UTP Planta Parra</t>
  </si>
  <si>
    <t>el Edén - servicio de RCD - UTP Planta Tacna y Arica</t>
  </si>
  <si>
    <t>Uchumayo - servicio de residuos no aprovechables - Moly-Cop</t>
  </si>
  <si>
    <t>el Edén - servicio de residuos no aprovechables - UCSM</t>
  </si>
  <si>
    <t>Uchumayo - disposición y servicio - Innova y Moly-Cop</t>
  </si>
  <si>
    <t>Uchumayo - servicio - granjas del sur</t>
  </si>
  <si>
    <t>ALSA - servicio de residuos no aprovechables - la Católica</t>
  </si>
  <si>
    <t>Uchumayo - disposición de residuos peligrosos - Innova</t>
  </si>
  <si>
    <t>el Edén - servicio de residuos peligrosos - TECSUP</t>
  </si>
  <si>
    <t>el Edén - servicio de RAEE - TECSUP</t>
  </si>
  <si>
    <t>Uchumayo - compra de alambron y madera - Moly-Cop</t>
  </si>
  <si>
    <t>Uchumayo - compra de alambron - Moly-Cop</t>
  </si>
  <si>
    <t>Uchumayo - compra (res. aprovechables) Moly-Cop / servicio (res. peligrosos) - Flsmidth (la Joya)</t>
  </si>
  <si>
    <t>el Eden - servicio de residuos peligrosos - flsmidth la Joya</t>
  </si>
  <si>
    <t>Uchumayo - disposición ( res. no aprovechables) - Innova</t>
  </si>
  <si>
    <t>Uchumayo - disposición (res. peligrosos y no aprovechables) - Innova (La Joya)</t>
  </si>
  <si>
    <t>Uchumayo - compra (alambron ) - Moly-Cop (La Joya)</t>
  </si>
  <si>
    <t>El Eden - venta de leña - Cristian de la flor</t>
  </si>
  <si>
    <t>Uchumayo - servicio (NACH) - La Iberica</t>
  </si>
  <si>
    <t>Patahuasi - servicio (res. peligrosos) - Antilla Cooper Abancay</t>
  </si>
  <si>
    <t>Cena - Colaboradores: Juan y Luis - ruta: Arequipa - Abancay</t>
  </si>
  <si>
    <t>Alojamiento - IMATA - Colaboradores: Juan y Luis - ruta: Arequipa - Abancay</t>
  </si>
  <si>
    <t>Pichirhua - servicio (res. peligrosos) - Antilla Cooper Abancay</t>
  </si>
  <si>
    <t>Desayuno - Colaboradores: Juan y Luis - ruta: Arequipa - Abancay</t>
  </si>
  <si>
    <t>Almuerzo - Colaboradores: Juan y Luis - ruta: Arequipa - Abancay</t>
  </si>
  <si>
    <t>Alojamiento - Santa Rosa - Abancay - Colaboradores: Juan y Luis</t>
  </si>
  <si>
    <t>Cochera - Santa Rosa - Abancay</t>
  </si>
  <si>
    <t>Alojamiento - Cuzco - Colaboradores: Juan y Luis</t>
  </si>
  <si>
    <t>Desayuno - Colaboradores: Juan y Luis - ruta: Abancay - Arequipa</t>
  </si>
  <si>
    <t>Almuerzo - Colaboradores: Juan y Luis - ruta: Abancay - Arequipa.</t>
  </si>
  <si>
    <t>Cena - Colaboradores: Juan y Luis - ruta: Abancay - Arequipa</t>
  </si>
  <si>
    <t>Almuerzo - Colaboradores: Juan y Luis - ruta: Abancay - Arequipa</t>
  </si>
  <si>
    <t>Cochera - Cusco</t>
  </si>
  <si>
    <t>Uchumayo - compra y servicio - Moly-Cop, granjas del sur</t>
  </si>
  <si>
    <t>Uchumayo - compra y servicio - Moly-Cop</t>
  </si>
  <si>
    <t>ALSA - residuos no aprovechables - la Católica</t>
  </si>
  <si>
    <t>Patahuasi - servicio de residuos no aprovechables - Estrella Gold</t>
  </si>
  <si>
    <t>ALSA - servicio de residuos no aprovechables - Estrella Gold</t>
  </si>
  <si>
    <t>Desayuno - Colaboradores: Juan - Dany - Bengi ruta: Arequipa - Yanque</t>
  </si>
  <si>
    <t>Almuerzo - Colaboradores: Juan - Dany - Bengi ruta: Arequipa - Yanque</t>
  </si>
  <si>
    <t>Uchumayo - compra y servicio - Moly-Cop y granjas del sur</t>
  </si>
  <si>
    <t>Uchumayo - compra y servicio - Moly-Cop, flsmidth la Joya</t>
  </si>
  <si>
    <t>Uchumayo - disposicion de residuos no aprovechables - Innova</t>
  </si>
  <si>
    <t>las lomas - compra de carton - Ccalas y Lonccos</t>
  </si>
  <si>
    <t>Uchumayo - disposicion de residuos no aprovechables - innova</t>
  </si>
  <si>
    <t>Uchumayo - compra de chatarra y madera - granjas del sur</t>
  </si>
  <si>
    <t>Uchumayo - compra de chatarra y madera - granjas del Sur</t>
  </si>
  <si>
    <t>Uchumayo - servicio de residuos no aprovechables - Moly-Cop la Joya</t>
  </si>
  <si>
    <t>Uchumayo - traslado de plastico y botellas pett - Gytres</t>
  </si>
  <si>
    <t>ALSA - residuos no aprovechables - la Catolica</t>
  </si>
  <si>
    <t>ALSA - venta de plastico fill - Cirila Puma</t>
  </si>
  <si>
    <t>ALSA - residuos peligrosos - Innova</t>
  </si>
  <si>
    <t>Uchumayo - disposición (residuos peligrosos) - Innova</t>
  </si>
  <si>
    <t>Uchumayo - servicio de desmedro de alcachofas - Danper Pedregal</t>
  </si>
  <si>
    <t>Uchumayo - disposición de residuos no aprovechables - Danper Pedregal</t>
  </si>
  <si>
    <t>GreMajes - servicio de desmedro de alcachofas - Danper</t>
  </si>
  <si>
    <t>Uchumayo - compra (residuos aprovechables) - Granja Rinconada del Sur (La Joya)</t>
  </si>
  <si>
    <t>ALSA - venta de botellas pett - C&amp;A INBERS</t>
  </si>
  <si>
    <t>ALSA - venta (cartón) - Ecasur</t>
  </si>
  <si>
    <t>higienizacion de la unidad</t>
  </si>
  <si>
    <t>Uchumayo - compra de residuos aprovechables - Granjas del Sur</t>
  </si>
  <si>
    <t>El Edén - residuos no aprovechables - Stracon Peru</t>
  </si>
  <si>
    <t>Uchumayo - disposición de residuos no aprovechables - Innova</t>
  </si>
  <si>
    <t>ALSA - residuos no aprovechables - Innova</t>
  </si>
  <si>
    <t>Miguel Solis</t>
  </si>
  <si>
    <t>Uchumayo - Transporte (Madera, cable, RAEE) - GYTRES</t>
  </si>
  <si>
    <t>Uchumayo - Compra (Cartón) - Danper (Pedregal)</t>
  </si>
  <si>
    <t>Uchumayo - Compra (Envases vacíos)- Campo Limpio (Santa Rita)</t>
  </si>
  <si>
    <t>ALSA - Pesaje (RAEE) - GYTRES</t>
  </si>
  <si>
    <t>AAM - Compra (Cartón) - Danper Trujillo (Pedregal)</t>
  </si>
  <si>
    <t>El Eden - Compra (Envases vacíos)- Campo Limpio (Santa Rita)</t>
  </si>
  <si>
    <t>Uchumayo - Compra (Madera) -Flsmidth (La Joya)</t>
  </si>
  <si>
    <t>Uchumayo - Compra (Res. aprovechables) -Danper (Pedregal)</t>
  </si>
  <si>
    <t>El Eden - Compra (Madera) -Flsmidth (La Joya)</t>
  </si>
  <si>
    <t>AAM - Compra (Res. aprovechables) -Danper (Pedregal)</t>
  </si>
  <si>
    <t>Uchumayo - Compra (Madera y pallets de madera) - Danper (Pedregal)</t>
  </si>
  <si>
    <t>Uchumayo - Disposición (Res. no aprovechables) - Innova (La Joya) - ALSUR (Arequipa)</t>
  </si>
  <si>
    <t>Uchumayo - Transbordo (Res. no aprovechables) - GYTRES (Villa Esperanza)</t>
  </si>
  <si>
    <t>AAM - Compra (Madera y pallets de madera) - Danper (Pedregal)</t>
  </si>
  <si>
    <t>El Eden - Servicio (Res. no aprovechables) - Innova (La Joya) - ALSUR (Arequipa)</t>
  </si>
  <si>
    <t>El Eden - Compra (Madera y cartón) - ALSUR (Arequipa)</t>
  </si>
  <si>
    <t>Uchumayo - Disposición (Res. no aprovechables) - Innova (La joya)</t>
  </si>
  <si>
    <t>Uchumayo - Compra (Alambrón) - MolyCop (La Joya)</t>
  </si>
  <si>
    <t>Patahuasi - Servicio (Res. peligrosos) - Cooperativa Minera Comig de Ananea (San Antonio de Putina)</t>
  </si>
  <si>
    <t>Santa Lucia Puno - Servicio (Res. peligrosos) - Cooperativa Minera Comig de Ananea (San Antonio de Putina)</t>
  </si>
  <si>
    <t>Patahuasi -Servicio (Res. peligrosos) - Cooperativa Minera Comig de Ananea (San Antonio de Putina)</t>
  </si>
  <si>
    <t>El Eden - Compra (Res. no aprovechables) - ALSUR (Arequipa)</t>
  </si>
  <si>
    <t>ALSA - Disposición (Res. no aprovechables) - Innova (La joya)</t>
  </si>
  <si>
    <t>ALSA - Compra (Res. aprovechables) - Aeropuertos Andinos</t>
  </si>
  <si>
    <t>ALSA - disposición (res. peligrosos) - Cooperativa Minera Comig de Ananea (San Antonio de Putina)</t>
  </si>
  <si>
    <t>Alimentación: Cena (03)</t>
  </si>
  <si>
    <t>Alojamiento: 03 - Imata</t>
  </si>
  <si>
    <t>Alimentación: Desayuno (03)</t>
  </si>
  <si>
    <t>Alimentación: Almuerzo (03)</t>
  </si>
  <si>
    <t>Alojamiento: 03</t>
  </si>
  <si>
    <t>Alimentación: Almuerzo (03) - Pampa Cañahuas</t>
  </si>
  <si>
    <t>Uchumayo - Servicio (IBC'S) - MolyCop (Reactivos- La Joya)</t>
  </si>
  <si>
    <t>Uchumayo - Compra (IBC'S) - MolyCop (Reactivos- La Joya)</t>
  </si>
  <si>
    <t>AAM - Compra (Res. aprovechables) - Danper (Pedregal)</t>
  </si>
  <si>
    <t>ALSA - Servicio (RAEE) - Comimtel (Arequipa)</t>
  </si>
  <si>
    <t>Uchumayo - Servicio (IBC'S) - MolyCop (Reactivos - La Joya)</t>
  </si>
  <si>
    <t>Uchumayo - Compra y transporte (Res. aprovechables) - ALSUR (Arequipa)</t>
  </si>
  <si>
    <t>Uchumayo - Disposición (Res. peligrosos) - Innova (La Joya)</t>
  </si>
  <si>
    <t>El Eden - Disposición (Res. no aprovechables) - Innova (La Joya)</t>
  </si>
  <si>
    <t>ALSA - Servicio (Res. no aprovechables )- ISSA Perú (Arequipa)</t>
  </si>
  <si>
    <t>Uchumayo - Compra (Alambrón) - MolyCop (la Joya ) y Compra (Viruta) - Flsmidth (Matarani)</t>
  </si>
  <si>
    <t>Uchumayo - Compra (Alambrón) - MolyCop (La Joya) y Servicio (Papel Kraft) - Granja Rinconada del Sur (Guadalupe IV y V) y Disposición (Res. peligrosos) - Innova Ambiental (la Joya)</t>
  </si>
  <si>
    <t>Uchumayo - Traslado de unidad - GYTRES (Huaranguillo)</t>
  </si>
  <si>
    <t>Uchumayo - Compra (Res. aprovechables) - Granja Rinconada del Sur (Varios)</t>
  </si>
  <si>
    <t>ALSA - Compra (Res. aprovechables) - AAP (Arequipa)</t>
  </si>
  <si>
    <t>El Eden - Servicio (Res. aprovechables ) - ALSUR (Arequipa )</t>
  </si>
  <si>
    <t>Las Lomas - Venta (Plástico film) - Clemente Villalba</t>
  </si>
  <si>
    <t>Uchumayo - Disposición (Res. no aprovechables) - Innova Ambiental (La Joya )</t>
  </si>
  <si>
    <t>Uchumayo - Compra (IBC´S) - MolyCop (Reactivos - La Joya)</t>
  </si>
  <si>
    <t>Uchumayo - Compra (Envases vacíos) - Campo Limpio (Pampa Baja)</t>
  </si>
  <si>
    <t>Uchumayo - Compra (Res. aprovechables) - Granja Rinconada del Sur (Almacén Central - La Joya)</t>
  </si>
  <si>
    <t>El Eden - Disposición (Res. no aprovechables) - Innova Ambiental (La Joya )</t>
  </si>
  <si>
    <t>ALSA - Transporte (Res. peligrosos) - GYTRES (Villa Esperanza)</t>
  </si>
  <si>
    <t>Uchumayo - Disposición (Res. peligrosos) - Innova Ambiental (La Joya)</t>
  </si>
  <si>
    <t>ALSA - Disposición (Res. peligrosos) - Innova Ambiental (La Joya)</t>
  </si>
  <si>
    <t>Uchumayo - Servicio (Res. no aprovechables) - DANPER (Pedregal)</t>
  </si>
  <si>
    <t>Uchumayo - Compra (Envases vacíos) - Campo Limpio (Tacna)</t>
  </si>
  <si>
    <t>El Fiscal - Compra (Envases vacíos) - Campo Limpio (Tacna)</t>
  </si>
  <si>
    <t>Montalvo -Compra (Envases vacíos) - Campo Limpio (Tacna)</t>
  </si>
  <si>
    <t>Tomasiri - Compra (Envases vacíos) - Campo Limpio (Tacna)</t>
  </si>
  <si>
    <t>FV02</t>
  </si>
  <si>
    <t>FO02</t>
  </si>
  <si>
    <t>FI02</t>
  </si>
  <si>
    <t>AAM - Servicio (Res. no aprovechables) - DANPER (Pedregal)</t>
  </si>
  <si>
    <t>Alojamiento: Tacna (03)</t>
  </si>
  <si>
    <t>Cochera: Tacna</t>
  </si>
  <si>
    <t>Uchumayo - Compra (Res. aprovechables) - Granja Rinconada del Sur (Almacén Central La Joya )</t>
  </si>
  <si>
    <t>Uchumayo - Traslado de unidad - GYTRES ( Villa Esperanza)</t>
  </si>
  <si>
    <t>Uchumayo - Compra (Alambrón, madera e IBC'S) y Servicio (IBC'S) - MolyCop (La Joya y Reactivos - La Joya)</t>
  </si>
  <si>
    <t>El Eden - Compra (Res. aprovechables) - ALSUR (Arequipa)</t>
  </si>
  <si>
    <t>El Eden - Servicio (Res. no aprovechables ) - ALSUR (Arequipa)</t>
  </si>
  <si>
    <t>Uchumayo - Servicio (Res. peligrosos) - CBB (Matarani )</t>
  </si>
  <si>
    <t>Matarani - Servicio (Res. peligrosos) - CBB (Matarani )</t>
  </si>
  <si>
    <t>Uchumayo - Compra (Residuos aprovechables) - Granja Rinconada del Sur (P.A.B.)</t>
  </si>
  <si>
    <t>Uchumayo - Compra (IBC's) - MolyCop (Reactivos - La Joya)</t>
  </si>
  <si>
    <t>El Eden - Venta (Plástico) - Pablo Villalba (Socabaya)</t>
  </si>
  <si>
    <t>El Eden - Venta (Jabas) - Pablo Maldonado (Sabandia)</t>
  </si>
  <si>
    <t>Uchumayo - Compra (Envases vacios) - Campo Limpio (Majes)</t>
  </si>
  <si>
    <t>Uchumayo - Servicio (IBC'S), Compra (IBC's) y Servicio (Res. peligrosos) - MolyCop (Reactivos - La Joya)</t>
  </si>
  <si>
    <t>AAM - Compra (Envases vacios) - Campo Limpio (Majes)</t>
  </si>
  <si>
    <t>uchumayo -compra (residuos- aprovechables) granja rinconada del sur (la joya)</t>
  </si>
  <si>
    <t>uchumayo -compra (residuos-aprovechables) granja rinconada del sur(la joya)</t>
  </si>
  <si>
    <t>uchumayo -servicio (recolección residuos- peligrosos) moly cop (la joya)</t>
  </si>
  <si>
    <t>uchumayo -servicio (recolección residuos-peligrosos) moly cop (la joya)</t>
  </si>
  <si>
    <t>Alsa- compra (residuos- aprovechables) livigui (sabandia)</t>
  </si>
  <si>
    <t>Alsa -compra (residuos- aprovechables carton) aeropuertos andinos (Arequipa)</t>
  </si>
  <si>
    <t>Alsa -compra (residuos-aprovechables botella pet) - aeropuertos andinos (Arequipa)</t>
  </si>
  <si>
    <t>Alsa -compra (residuos-aprovechables vidrio) - aeropuertos andinos (Arequipa)</t>
  </si>
  <si>
    <t>uchumayo -compra ( residuos-aprovechables madera) granja rinconada del sur-( la joya )</t>
  </si>
  <si>
    <t>uchumayo -compra ( residuos-aprovechables madera) granja rinconada del sur ( la joya)</t>
  </si>
  <si>
    <t>uchumayo -disposición (residuos- no aprovechables) innova ambiental ( la joya)</t>
  </si>
  <si>
    <t>uchumayo -compra (residuos-aprovechables chatarra metÃ¡lica )-granja rinconada del sur (la joya )</t>
  </si>
  <si>
    <t>uchumayo- traslado (residuos- aprovechables chatarra metÃ¡lica) gytres ( la joya)</t>
  </si>
  <si>
    <t>uchumayo - traslado (residuos-aprovechables chatarra metÃ¡lica )gytres (La joya )</t>
  </si>
  <si>
    <t>uchumayo-compra (residuos- aprovechables chatarra metÃ¡lica) granja rinconada del sur ( la joya )</t>
  </si>
  <si>
    <t>Camana - traslado y disposición (residuos -peligrosos)- kanay Chilca (lima)</t>
  </si>
  <si>
    <t>Jahuay - transporte y disposición (residuos-peligrosos) - kanay Chilca (lima)</t>
  </si>
  <si>
    <t>Punta negra - traslado( contenedores de residuos) - gytres santa anita ( lima)</t>
  </si>
  <si>
    <t>Villa el Salvador - compra (envases vacios) - Campo Limpio (chincha )</t>
  </si>
  <si>
    <t>Chilca - compra (envases vacios) - Campo Limpio (chincha )</t>
  </si>
  <si>
    <t>Ica- compra (envases vacios) - Campo Limpio (chincha )</t>
  </si>
  <si>
    <t>A3NA2P</t>
  </si>
  <si>
    <t>Nazca - transporte (residuos- aprovechables envases vacios) - Gytres (Arequipa )</t>
  </si>
  <si>
    <t>Yauca - transporte (residuos-aprovechables envases vacios) - Gytres (Arequipa)</t>
  </si>
  <si>
    <t>Atico - traslado (residuos - aprovechables envases vacios) - Gytres (Arequipa)</t>
  </si>
  <si>
    <t>Camana- traslado( residuos- aprovechables envases vacios) - Gytres (Arequipa )</t>
  </si>
  <si>
    <t>Uchumayo - traslado (residuos-aprovechables envases vacios) - gytres (Arequipa )</t>
  </si>
  <si>
    <t>Uchumayo - compra ( residuos-aprovechables) - Granja rinconada del sur (la joya )</t>
  </si>
  <si>
    <t>Uchumayo - compra (residuos-aprovechables) granja rinconada del sur (la joya)</t>
  </si>
  <si>
    <t>Uchumayo - servicio (res. peligrosos) -Flsmidth (la joya)</t>
  </si>
  <si>
    <t>Uchumayo - servicio (res. peligrosos) - Flsmidth (La joya)</t>
  </si>
  <si>
    <t>Uchumayo - servicio (res. peligrosos) - MolyCop (Reactivos la Joya)</t>
  </si>
  <si>
    <t>Uchumayo - disposición (res. no aprovechables) - Innova ambiental (La Joya)</t>
  </si>
  <si>
    <t>RET - venta (res. aprovechables) - Anyela (Alto libertad)*</t>
  </si>
  <si>
    <t>La Molina- compra ( residuos- aprovechables envases vacios) - campo limpio ( chincha )</t>
  </si>
  <si>
    <t>El Eden- servicio (residuos- peligrosos) -Flsmidth (la joya)</t>
  </si>
  <si>
    <t>Alimentación: Desayuno (Atico)</t>
  </si>
  <si>
    <t>Alimentación: Almuerzo (Atico)</t>
  </si>
  <si>
    <t>Alimentación: Cena (Atico)</t>
  </si>
  <si>
    <t>Alojamiento: Atico</t>
  </si>
  <si>
    <t>cochera (Atico)</t>
  </si>
  <si>
    <t>Somys -lavado (unidad V9R-903)</t>
  </si>
  <si>
    <t>Alimentación: Desayuno (Lima)</t>
  </si>
  <si>
    <t>Alimentación Desayuno (Chincha)</t>
  </si>
  <si>
    <t>Alimentación: Almuerzo (Chincha)</t>
  </si>
  <si>
    <t>Cochera: Santa Anita ( Lima)</t>
  </si>
  <si>
    <t>Alimentación: cena (Ica)</t>
  </si>
  <si>
    <t>Alojamiento (Ica)</t>
  </si>
  <si>
    <t>Cochera (Ica)</t>
  </si>
  <si>
    <t>Alimentación: Desayuno (Camana)</t>
  </si>
  <si>
    <t>Devolución de caja - cese</t>
  </si>
  <si>
    <t>Brayan Hanco</t>
  </si>
  <si>
    <t>Alsa - servicio (RSMNM) - Carmen Inmobiliaria</t>
  </si>
  <si>
    <t>Uchumayo - servicio (RSMNM) - Flsmidth SAC (La Joya)</t>
  </si>
  <si>
    <t>Uchumayo - servicio (traslado de aceite quemado) - Ampco</t>
  </si>
  <si>
    <t>El Eden - servicio (RSMNM) - Flsmidth SAC (La Joya)</t>
  </si>
  <si>
    <t>Uchumayo - compra (res. aprovechables) - Molycop chatarra</t>
  </si>
  <si>
    <t>lavado del vehiculo - Lavadero Navarro</t>
  </si>
  <si>
    <t>Uchumayo - compra (res. aprovechables)- Granja Rinconada del sur ( la joya )</t>
  </si>
  <si>
    <t>Alsa - compra (res. aprovechables) - Lonccos y Ccalas</t>
  </si>
  <si>
    <t>las Lomas - servicio (traslado de aceite quemado) - Ampco</t>
  </si>
  <si>
    <t>Uchumayo - Compra(aprovechables) - Granja Rinconada del Sur</t>
  </si>
  <si>
    <t>Lavadero Navarro</t>
  </si>
  <si>
    <t>Alsa - peligrosos UTP Parra 1</t>
  </si>
  <si>
    <t>Alsa - residuos peligrosos UTP Parra 2</t>
  </si>
  <si>
    <t>Uchumayo - Servicio (Residuos peligrosos) - Moly Cop</t>
  </si>
  <si>
    <t>Uchumayo - Servicio (no aprovechables) - Stracon</t>
  </si>
  <si>
    <t>El Eden - Stracom - residuos no aprovechables</t>
  </si>
  <si>
    <t>Uchumayo - compra (chatarra metálica) - Moly Cop</t>
  </si>
  <si>
    <t>Uchumayo - Traslado(cascos de EPP) - Gytres</t>
  </si>
  <si>
    <t>Uchumayo - compra(aprovechables - papel Kraft) - Granja Rinconada del sur</t>
  </si>
  <si>
    <t>Uchumayo - Servicio (no aprovechables) - Moly Cop La Joya</t>
  </si>
  <si>
    <t>Uchumayo - Servicio (no aprovechables) - Granja Rinconada del sur</t>
  </si>
  <si>
    <t>lavadero Navarro - Lavado e higienizacion</t>
  </si>
  <si>
    <t>Uchumayo - traslado(aprovechables-botellas pet) - Gytres</t>
  </si>
  <si>
    <t>Uchumayo - granja Rinconada ( compra de aprovechables )</t>
  </si>
  <si>
    <t>uchumayo - granja Rinconada del sur ( compra de aprovechables ) la Joya</t>
  </si>
  <si>
    <t>Alsa - residuos peligrosos UTP Tacna y Arica</t>
  </si>
  <si>
    <t>Pampas CaÃ±aguas Patahuasi - servicio ( no aprovechables ) - Antilla Copper</t>
  </si>
  <si>
    <t>2 Cenas - Antilla Copper - servicio (no aprovechables) Brayan HancoLuis Apaza</t>
  </si>
  <si>
    <t>Alojamiento - Antilla Copper - servicio (no aprovechables) Brayan Hanco y Luis Apaza</t>
  </si>
  <si>
    <t>Cochera - Antilla Copper - servicio (no aprovechables) Brayan HancoLuis Apaza</t>
  </si>
  <si>
    <t>Pichirhua- servicio ( no aprovechables ) Antilla Copper</t>
  </si>
  <si>
    <t>2 desayunos - Antilla Copper - servicio (no aprovechables)Brayan Hanco Luis Apaza</t>
  </si>
  <si>
    <t>2 almuerzos - Antilla Copper - servicio (no aprovechables) Brayan HancoLuis Apaza</t>
  </si>
  <si>
    <t>1 cochera - Antilla Copper - servicio ( no aprovechables )</t>
  </si>
  <si>
    <t>2 hospedajes - Antilla Copper - servicio (no aprovechables) Brayan HancoLuis Apaza</t>
  </si>
  <si>
    <t>Antilla Cooper Abancay-Tamburco -servicio (no aprovechables)</t>
  </si>
  <si>
    <t>Pichirhua- GYTRES servicio no aprovechables de Antilla Copper</t>
  </si>
  <si>
    <t>2 desayunos - Antilla Copper - servicio (no aprovechables) Brayan HancoLuis Apaza</t>
  </si>
  <si>
    <t>pampas Cañaguas Patahuasi - GYTRES servicio ( no aprovechables) Antilla Copper</t>
  </si>
  <si>
    <t>2 Desayunos - Antilla Copper - servicio (no aprovechables) Brayan HancoLuis Apaza</t>
  </si>
  <si>
    <t>Uchumayo - Servicio Transporte y disposición de Residuos (Peligrosos) - Innova Ambiental (La Joya - Arequipa)</t>
  </si>
  <si>
    <t>chumayo - Servicio Transporte y disposición de Residuos (Peligrosos) - Innova Ambiental (La Joya - Arequipa)</t>
  </si>
  <si>
    <t>Alojamiento - Antilla Copper - servicio (No aprovechables) Brayan Hanco y Luis Apaza</t>
  </si>
  <si>
    <t>Lavadero Navarro - Lavado y Higienizacion</t>
  </si>
  <si>
    <t>uchumayo - servicio ( peligrosos , sacas )Villa Esperanza Gytres</t>
  </si>
  <si>
    <t>uchumayo - servicio ( plásticos , cartón aprovechables ) sachaca 2 GYTRES</t>
  </si>
  <si>
    <t>lavado de vehículo - lavadero Navarro</t>
  </si>
  <si>
    <t>balanza las Lomas - compra ( aprovechables -cartón )Lonccos y Calas</t>
  </si>
  <si>
    <t>balanza las Lomas - compra ( aprovechables - filin ) Lonccos y Calas</t>
  </si>
  <si>
    <t>uchumayo - compra ( aprovechables - plásticos , bidones , cilindros, etc) granja Rinconada del sur , almacén central.</t>
  </si>
  <si>
    <t>uchumayo - compra ( aprovechables , bidones , cilindros , etc ) Granja Rinconada del sur - Yanahuara ( GYTRES)</t>
  </si>
  <si>
    <t>lavadero Navarro - higiene del vehículo para Iberica</t>
  </si>
  <si>
    <t>balanza ALSA - compra ( aprovechables , chatarra , aceite usado) CODIRESA</t>
  </si>
  <si>
    <t>El Eden (SRB) - Servicio (Res. peligrosos) - Flsmidth (La Joya)</t>
  </si>
  <si>
    <t>Uchumayo - Servicio (Res. Peligrosos) y Compra (Alambrón) - MolyCop (La Joya) y Servicio (Res. Peligrosos) - Flsmidth (La Joya)</t>
  </si>
  <si>
    <t>Uchumayo - Servicio (Mantas) - Granja Rinconada del Sur (P.A.B.) y Compra (Envases vacíos) - Campo Limpio (La Joya)</t>
  </si>
  <si>
    <t>Uchumayo - Compra (Envases vacíos) - Campo Limpio (Pedregal)</t>
  </si>
  <si>
    <t>Uchumayo - Servicio (Res. no aprovechables) y Compra (Alambrón y viruta) - MolyCop (La Joya)</t>
  </si>
  <si>
    <t>Uchumayo - Servicio (Res. peligrosos) y Compra (Viruta) - Flsmidth (La Joya)</t>
  </si>
  <si>
    <t>El Eden (SRB) - Servicio (Res. Peligrosos) - Flsmidth (La Joya)</t>
  </si>
  <si>
    <t>El Eden (SRB) - Compra (Envases vacíos) - Campo Limpio (La Joya)</t>
  </si>
  <si>
    <t>ALSA - Compra (Viruta) - Flsmidth (La Joya)</t>
  </si>
  <si>
    <t>El Eden (SRB) - Servicio (Res. peligrosos y no aprovechables) - Alquimotul</t>
  </si>
  <si>
    <t>Uchumayo - Servicio (Res. no aprovechables y sacas rotas) - MolyCop (La Joya)</t>
  </si>
  <si>
    <t>Uchumayo - Servicio (Mantas) - Granja Rinconada del Sur (P.A.B.) y Compra (Madera) - Flsmidth (La Joya)</t>
  </si>
  <si>
    <t>Uchumayo - Compra (Chatarra) - Flsmidth (La Joya) y Compra (Chatarra y alambrón) - MolyCop (La Joya)</t>
  </si>
  <si>
    <t>Uchumayo -Servicio (Res. no aprovechables) y Compra (Alambrón, madera y viruta) - MolyCop (La Joya)</t>
  </si>
  <si>
    <t>El Eden (SRB) - Compra (Madera) - Flsmidth (La Joya)</t>
  </si>
  <si>
    <t>El Eden (SRB) - Compra (Chatarra) - Flsmidth (La Joya)</t>
  </si>
  <si>
    <t>Lavado e higienización.</t>
  </si>
  <si>
    <t>Uchumayo - Compra (Alambrón) - MolyCop (La Joya) y Servicio (Res. peligrosos) - Flsmidth (La Joya)</t>
  </si>
  <si>
    <t>Uchumayo - Transporte (Res. Peligrosos) - Flsmidth (La Joya) y Compra (Envases vacíos, caucho, cartón y chatarra) - Granja Rinconada del Sur (Almacén Central)</t>
  </si>
  <si>
    <t>Uchumayo - Servicio (Mantas) - Granja Rinconada del Sur (P.A.B.) y Compra (Alambrón y viruta) - MolyCop (La Joya)</t>
  </si>
  <si>
    <t>Uchumayo - Transporte (Res. Peligrosos) - GYTRES</t>
  </si>
  <si>
    <t>Uchumayo - Transporte de Personal y supervisión de actividades - GYTRES</t>
  </si>
  <si>
    <t>El Eden (SRB-Km48) - Pesaje (Res. Peligrosos) - GYTRES</t>
  </si>
  <si>
    <t>El Eden (SRB) - Servicio (Res. no aprovechables) - Alquimodul</t>
  </si>
  <si>
    <t>El Eden (SRB) - Servicio (Res. no aprovechables con elementos metálicos) - CELICON</t>
  </si>
  <si>
    <t>El Eden (SRB) - Compra (Vidrio) - ALSUR (Arequipa)</t>
  </si>
  <si>
    <t>El Eden (SRB) - Servicio (Res. no aprovechables) - ALSUR (Arequipa)</t>
  </si>
  <si>
    <t>Uchumayo - Disposición (Res. no aprovechables - Alsur Perú S.A. -Arequipa) - Innova Ambiental (La Joya)</t>
  </si>
  <si>
    <t>Uchumayo - Compra (Alambrón) -MolyCop (La Joya)</t>
  </si>
  <si>
    <t>ALSA - Pesaje (Res. peligrosos) - Disposición</t>
  </si>
  <si>
    <t>Uchumayo - Servicio (Res. peligrosos y no aprovechables) - Pesquera Diamante</t>
  </si>
  <si>
    <t>Matarani - Servicio (Res. peligrosos y no aprovechables) - Pesquera Diamante</t>
  </si>
  <si>
    <t>Uchumayo - Compra (Alambrón y viruta) - MolyCop (La Joya)</t>
  </si>
  <si>
    <t>ALSA - Servicio (Res. peligrosos) - Movitecnica</t>
  </si>
  <si>
    <t>ALSA - Transporte (Res. peligrosos) - GYTRES (Almacén Huaranguillo)</t>
  </si>
  <si>
    <t>ALSA - Transporte (Res. no aprovechables) - GYTRES (Almacén Huaranguillo)</t>
  </si>
  <si>
    <t>Alimentación: 02 gaseosas y 02 pasteles (Garita Moly-Cop)</t>
  </si>
  <si>
    <t>Uchumayo - Compra (Alambrón) - MolyCop (La Joya) y Compra (Res. aprovechables) - Granja Rinconada del Sur (P.A.B.)</t>
  </si>
  <si>
    <t>Uchumayo - Compra (Madera) - Flsmidth (La Joya)</t>
  </si>
  <si>
    <t>Uchumayo - Servicio (Res. peligrosos) y Compra (Sacas) - MolyCop (La Joya) y Servicio (Res. no aprovechables) - Flsmidth (L Joya)</t>
  </si>
  <si>
    <t>ALSA - Compra (Madera) - Flsmidth (La Joya)</t>
  </si>
  <si>
    <t>Alimentación: Gaseosa y pasteles</t>
  </si>
  <si>
    <t>Uchumayo - Compra (Madera) - Danper (Pedregal)</t>
  </si>
  <si>
    <t>Uchumayo - Compra (Alambron y viruta) - MolyCop (La Joya)</t>
  </si>
  <si>
    <t>AAM - Compra (Madera) - Danper (Pedregal)</t>
  </si>
  <si>
    <t>Uchumayo - Servicio (RAEE) - Grupo Gloria</t>
  </si>
  <si>
    <t>Uchumayo - Disposición (Res. no aprovechables) - ALSUR (Arequipa) - Innova Ambiental (La Joya)</t>
  </si>
  <si>
    <t>AAM - Servicio (RAEE) - Grupo Gloria</t>
  </si>
  <si>
    <t>Uchumayo - Servicio (Res. no aprovechables) y Compra (Alambrón) - MolyCop (La Joya)</t>
  </si>
  <si>
    <t>El Eden - Disposición (Res. no aprovechables) - Celicon y ALSUR (Cusco) - Innova Ambiental (La Joya)</t>
  </si>
  <si>
    <t>El Eden (SRB) - Compra (Chatarra metálica) - Flsmidth (La Joya)</t>
  </si>
  <si>
    <t>El Eden (SRB) - Compra (Cartón) - ALSUR (Arequipa)</t>
  </si>
  <si>
    <t>Uchumayo - Compra (Chatarra) - Flsmidth (La Joya) y Compra (IBC'S) - MolyCop (Reactivos La Joya)</t>
  </si>
  <si>
    <t>Uchumayo - Servicio (Res. peligrosos y PTAR) - Flsmidth (La Joya) y Compra (Alambrón) - MolyCop (La Joya)</t>
  </si>
  <si>
    <t>El Eden (SRB) - Compra (Cartón y papel) - ALSUR (Arequipa)</t>
  </si>
  <si>
    <t>El Eden (SRB)- Servicio Res. peligrosos) - Flsmidth (La Joya)</t>
  </si>
  <si>
    <t>El Eden (SRB PI) - Compra (Vidrio) - ALSUR (Arequipa)</t>
  </si>
  <si>
    <t>El Eden (SRB PI) - Servicio (Res. no aprovechables) - Alquimodul</t>
  </si>
  <si>
    <t>Combustible para la Motobomba - Servicio (PTAR) - Flsmidth (La Joya)</t>
  </si>
  <si>
    <t>RET &amp; SAN S.R.L. - Servicio (Res. peligrosos) - Tecno Fast</t>
  </si>
  <si>
    <t>Uchumayo - Servicio (Papel Kraft) - Granja Rinconada del Sur (Gloria I y Gloria II)</t>
  </si>
  <si>
    <t>Uchumayo - Servicio (Papel Kraft) - Granja Rinconada del Sur (Gloria III y Virgen de Chapi)</t>
  </si>
  <si>
    <t>Uchumayo - Servicio (Res. aprovechables y peligrosos) - MolyCop (La Joya)</t>
  </si>
  <si>
    <t>ALSA - Compra (Res. aprovechables) - Celicon</t>
  </si>
  <si>
    <t>Uchumayo - Compra (Madera y viruta) - MolyCop (La Joya)</t>
  </si>
  <si>
    <t>Uchumayo - Servicio (Papel kraft) - Granja Rinconada del Sur (Guadalupe 1,2 y 3)</t>
  </si>
  <si>
    <t>Uchumayo - Servicio (Res. no aprovechables y peligrosos) - Flsmidth (Matarani)</t>
  </si>
  <si>
    <t>Matarani - Servicio (Res. no aprovechables y peligrosos) - Flsmidth (Matarani)</t>
  </si>
  <si>
    <t>Uchumayo - Compra (Alambron) - MolyCop (La Joya) y Servicio (Res. no aprovechables) - Granja Rinconada del Sur (P.A.B.)</t>
  </si>
  <si>
    <t>Uchumayo - Disposición (RCD) - Innova Ambiental (La Joya)</t>
  </si>
  <si>
    <t>Uchumayo - Compra (Alambron y Chatarra) -MolyCop (La Joya)</t>
  </si>
  <si>
    <t>Uchumayo - servicio (papel Kraft) - Granja Rinconada (Granja San Germán y Santa Teresa - La Joya)</t>
  </si>
  <si>
    <t>Uchumayo - Disposición (RCD) - A&amp;Z Constructores - Innova Ambiental (La Joya)</t>
  </si>
  <si>
    <t>Uchumayo - Compra (Alambron y madera) -Moly cop (La joya) y Compra (Cartón) - La Joya Mining</t>
  </si>
  <si>
    <t>Uchumayo - Transporte de personal (Inspección en Moly Cop y villa esperanza, inventario de herramientas, control de formatos de orden y limpieza y capacitación, documentación SIG) - GYTRES (Villa Esperanza)</t>
  </si>
  <si>
    <t>Uchumayo - Compra (Alambrón) y Servicio (IBC'S) - MolyCop (La Joya y Reactivos-La Joya)</t>
  </si>
  <si>
    <t>El Eden (SRB KM 48) - Compra (Madera) - Flsmidth (La Joya)</t>
  </si>
  <si>
    <t>Uchumayo - Compra (Alambrón) MolyCop (La Joya) y Compra (Viruta Metálica) - Flsmidth (Matarani)</t>
  </si>
  <si>
    <t>Matarani - Compra (Viruta Metálica) - Flsmidth (Matarani)</t>
  </si>
  <si>
    <t>Uchumayo - Servicio (Res. no aprovechables y peligrosos) - Flsmidth (La Joya)</t>
  </si>
  <si>
    <t>Uchumayo - Transporte de personal (Capacitacion, practica manejo de extintores, inspección de herramientas SIG) - GYTRES (Villa Esperanza)</t>
  </si>
  <si>
    <t>Uchumayo - Servicio (Res. no aprovechabkes) y Compra (Alambron) - MolyCop (La Joya)</t>
  </si>
  <si>
    <t>ZED Matarani - Compra (Viruta Metálica) - Flsmidth (Matarani)</t>
  </si>
  <si>
    <t>El Eden (SRB KM 48) - Servicio (Res. peligrosos) - Flsmidth (La Joya)</t>
  </si>
  <si>
    <t>El Eden (SRB) - Compra (Plástico film color) - ALSUR (Arequipa)</t>
  </si>
  <si>
    <t>ALSA - Servicio (RAEE)- DCR Mineria</t>
  </si>
  <si>
    <t>Uchumayo - Servicio (Res. peligrosos) - Pesquera Diamante (Mollendo)</t>
  </si>
  <si>
    <t>Matarani - Servicio (Res. peligrosos) - Pesquera Diamante (Mollendo)</t>
  </si>
  <si>
    <t>Uchumayo - Servicio (Chatarra) - MolyCop (La Joya)</t>
  </si>
  <si>
    <t>El Eden (SRB KM 48) - Compra (Viruta) -Flsmidth (La Joya)</t>
  </si>
  <si>
    <t>Uchumayo - Compra (Res. Aprovechables) - Granja Rinconada del sur (Almacén Central)</t>
  </si>
  <si>
    <t>ALSA - Servicio (RCD) - UTP</t>
  </si>
  <si>
    <t>Uchumayo - Servicio (Res. no aprovechables) - Cosapi (Tía María)</t>
  </si>
  <si>
    <t>El Eden (SRB PI) - Servicio (Res. no aprovechables) - ALSUR (Arequipa)</t>
  </si>
  <si>
    <t>El Eden (SRB km48) Servicio (Res. no aprovechables) - Cosapi (Tía María)</t>
  </si>
  <si>
    <t>Abastecimiento de combustible - Cisterna</t>
  </si>
  <si>
    <t>Uchumayo - servicio (res. no Aprovechables) en Pesquera Diamante (Mollendo)</t>
  </si>
  <si>
    <t>Matarani - servicio (res. no Aprovechables) en Pesquera Diamante (Mollendo)</t>
  </si>
  <si>
    <t>Uchumayo - servicio (aprovechables) - Moly Cop (traslado de unidad)</t>
  </si>
  <si>
    <t>Uchumayo - servicio (saneamiento ambiental) - Flsmidth (La joya)</t>
  </si>
  <si>
    <t>Alsa - servicio ( res. no aprovechables) - Bembos (Yanahuara)</t>
  </si>
  <si>
    <t>compra de gaseosa - servicio en Flsmidth la joya</t>
  </si>
  <si>
    <t>Uchumayo - compra (res. aprovechables - alambron) - MolyCop (La Joya)</t>
  </si>
  <si>
    <t>Alimentos y servicios agropecuadrios - Servicio (res. no aprovechables) - UCSM</t>
  </si>
  <si>
    <t>Uchumayo - traslado de unidad vehicular de almacén (La Joya) a Almacén (Arequipa)</t>
  </si>
  <si>
    <t>Uchumayo - servicio (residuos peligrosos) - Stierlifth (km48.)</t>
  </si>
  <si>
    <t>ZED Matarani - compra (Res. aprovechables) servicio (res. peligrosos) - FLSmidth (Matarani)</t>
  </si>
  <si>
    <t>El Eden - servicio (residuos peligrosos) - Stierlifth (km48.)</t>
  </si>
  <si>
    <t>Devolucion de caja Operativa</t>
  </si>
  <si>
    <t>Mantenimiento Correctivo: cambio de bombilla(luz baja)</t>
  </si>
  <si>
    <t>Reposición de caja de gastos de unidades vehiculares.</t>
  </si>
  <si>
    <t>MAXUS VBW-889: Mantenimiento preventivo ( Cambio del filtro de aire acondicionado)</t>
  </si>
  <si>
    <t>AUDI BDQ-458: Mantenimiento Correctivo (Cambio de Hidrolina de dirección)</t>
  </si>
  <si>
    <t>Mantenimiento Correctivo: Parchado de neumático</t>
  </si>
  <si>
    <t>MAXUS VBW-889: Compra de Insumos/Materiales
Cono de seguridad y forro de timón</t>
  </si>
  <si>
    <t>Mantenimiento Correctivo: Engrase del cardán</t>
  </si>
  <si>
    <t>Mantenimiento Correctivo: Servicio de inspección y/o mantenimiento de fusible de cabina.</t>
  </si>
  <si>
    <t>VDJ-872: Compra de Insumos/Materiales ( 01 balde urea de 20 LT)</t>
  </si>
  <si>
    <t>Mantenimiento Correctivo: Servicio de alineamiento</t>
  </si>
  <si>
    <t>Mantenimiento Correctivo: Regulación de frenos</t>
  </si>
  <si>
    <t>Mantenimiento Correctivo: Rotación de neumático delantero izquierdo por el repuesto.</t>
  </si>
  <si>
    <t>Mantenimiento Correctivo: Soldadura del seguro de la puerta de la carrocería</t>
  </si>
  <si>
    <t>Mantenimiento Correctivo: Servicio de revisión</t>
  </si>
  <si>
    <t>B001</t>
  </si>
  <si>
    <t>Mantenimiento Correctivo: Montar, desmontar Cardán y servicio de torno</t>
  </si>
  <si>
    <t>F042</t>
  </si>
  <si>
    <t>Accesorios Vehiculares: Compra de 01 balde de Urea de 20 Lt</t>
  </si>
  <si>
    <t>Accesorios Vehiculares: Compra de 04 candados</t>
  </si>
  <si>
    <t>Mantenimiento preventivo: engrase del vehículo</t>
  </si>
  <si>
    <t>Mantenimiento preventivo: Regulación de frenos</t>
  </si>
  <si>
    <t>Mantenimiento preventivo: Rotación de neumático</t>
  </si>
  <si>
    <t>FOTÓN VDJ-872: Mantenimiento preventivo ( Engrase del vehículo)</t>
  </si>
  <si>
    <t>Mantenimiento Correctivo mantenimiento de sensor de caja (retroceso)</t>
  </si>
  <si>
    <t>Mantenimiento preventivo: Engrase del vehículo</t>
  </si>
  <si>
    <t>Mantenimiento Correctivo: Rotación de neumático</t>
  </si>
  <si>
    <t>Mantenimiento Correctivo: Rotación de neumático.</t>
  </si>
  <si>
    <t>Mantenimiento Preventivo: Rotación de neumáticos delanteros.</t>
  </si>
  <si>
    <t>Mantenimiento preventivo (Revisión de presión de aire)</t>
  </si>
  <si>
    <t>Mantenimiento preventivo: Revisión de neumático</t>
  </si>
  <si>
    <t>Mantenimiento Correctivo: Cambio de llanta</t>
  </si>
  <si>
    <t>Mantenimiento Correctivo: Aplicación de pegamento para neumático.</t>
  </si>
  <si>
    <t>Accesorios Vehiculares: Compra de tubo redondo para gata</t>
  </si>
  <si>
    <t>Mantenimiento Correctivo: Servicio de reajuste y calibración de freno de mano.</t>
  </si>
  <si>
    <t>Accesorios Vehiculares: Compra de manguera corrugada, cable automotriz y cinta aislante</t>
  </si>
  <si>
    <t>FOTÓN VDJ-872: Accesorios Vehiculares (compra de faro placa led y pernos)</t>
  </si>
  <si>
    <t>Accesorios Vehiculares: FOTÓN VDJ-872( Servicio de instalación de luz de placa)</t>
  </si>
  <si>
    <t>Accesorios Vehiculares: FOTÓN VDJ-872(Compra de 1 balde de Urea)</t>
  </si>
  <si>
    <t>Mantenimiento Preventivo: Rotación de neumáticos.</t>
  </si>
  <si>
    <t>Mantenimiento preventivo: Servicio de alineamiento</t>
  </si>
  <si>
    <t>Accesorios Vehiculares: Compra de cinta reflectiva (3 metros)</t>
  </si>
  <si>
    <t>Mantenimiento preventivo: Diagnóstico del sistema de aire acondicionado</t>
  </si>
  <si>
    <t>Accesorios Vehiculares: Compra de 1 cono</t>
  </si>
  <si>
    <t>Mantenimiento preventivo: Rotación de neumático de repuesto</t>
  </si>
  <si>
    <t>FJ08</t>
  </si>
  <si>
    <t>Accesorios Vehiculares: Abastecimiento de Urea</t>
  </si>
  <si>
    <t>Accesorios Vehiculares: Compra de luz de placa</t>
  </si>
  <si>
    <t>Mantenimiento Correctivo: Cambio de luz de placa, cambio de faros y mantenimiento de fusibles</t>
  </si>
  <si>
    <t>Mantenimiento Correctivo: MAXUS VBW-889(cambio de focos)</t>
  </si>
  <si>
    <t>Mantenimiento preventivo: Rotación de neumático y cambio de guarda cámara</t>
  </si>
  <si>
    <t>Mantenimiento preventivo: Cambio de aceite y filtros</t>
  </si>
  <si>
    <t>Accesorios Vehiculares: Cambio del espejo panorámico</t>
  </si>
  <si>
    <t>FOTÓN VDJ-872: Accesorios Vehiculares (compra de foco NARVA)</t>
  </si>
  <si>
    <t>VDJ-872: Mantenimiento Correctivo (Cambio de foco delantero)</t>
  </si>
  <si>
    <t>MAXUS VBW-889: Accesorios Vehiculares (Compra de paleta de PARE/SIGA)</t>
  </si>
  <si>
    <t>FOTÓN VDJ-872: Accesorios Vehiculares (Sticker de señalización pesos y medidas)</t>
  </si>
  <si>
    <t>Accesorios Vehiculares: Compra de refrigerante</t>
  </si>
  <si>
    <t>VDJ-872: Mantenimiento preventivo (Engrase del vehículo)</t>
  </si>
  <si>
    <t>Accesorios Vehiculares: Compra de accesorios para pintado de carrocería</t>
  </si>
  <si>
    <t>Accesorios Vehiculares: Compra de 7 spray y cinta de 2 pulgadas</t>
  </si>
  <si>
    <t>Accesorios Vehiculares: Compra de 7 spray y cinta de 2 pulgadas.</t>
  </si>
  <si>
    <t>Accesorios Vehiculares: Compra de 10 spray de pintura, cinta de 2 pulgadas y 1 lija fierro</t>
  </si>
  <si>
    <t>FOTÓN BKK-849: Mantenimiento preventivo (engrase del vehículo)</t>
  </si>
  <si>
    <t>B004</t>
  </si>
  <si>
    <t>MAXUS VBW-889: Mantenimiento preventivo (regulación de frenos)</t>
  </si>
  <si>
    <t>FOTÓN VDJ-872: ACCESORIOS VEHICULARES (COMPRA DE UREA 20 LITROS)</t>
  </si>
  <si>
    <t>VDJ-872: Mantenimiento preventivo (Compra de líquido de freno)</t>
  </si>
  <si>
    <t>F105</t>
  </si>
  <si>
    <t>Accesorios Vehiculares: Compra de urea 6,67 Litros</t>
  </si>
  <si>
    <t>Mantenimiento Correctivo: Parchado de 2 llantas</t>
  </si>
  <si>
    <t>MAXUS VBW-889: Mantenimiento preventivo (mantenimiento de la llanta de repuesto)</t>
  </si>
  <si>
    <t>VBW-889: Accesorios Vehiculares (Compra de candado)</t>
  </si>
  <si>
    <t>Accesorios Vehiculares: Compra de 1 líquido de freno</t>
  </si>
  <si>
    <t>Mantenimiento Correctivo: Soldadura de la caja de herramientas</t>
  </si>
  <si>
    <t>FOTÓN VDJ-872: Accesorios Vehiculares (Compra de foco 12V)</t>
  </si>
  <si>
    <t>Accesorios Vehiculares: Compra de 1 Rodaje 6210-2RS</t>
  </si>
  <si>
    <t>Accesorios Vehiculares: Compra de rodaje 38TM06</t>
  </si>
  <si>
    <t>Accesorios Vehiculares: Compra de 1 foco de 24 v</t>
  </si>
  <si>
    <t>Accesorios Vehiculares: Retén de cigüeñal posterior</t>
  </si>
  <si>
    <t>Accesorios Vehiculares: Compra 7 spray de pintura para la carrocería</t>
  </si>
  <si>
    <t>Accesorios Vehiculares: Compra de cintas de cono</t>
  </si>
  <si>
    <t>Accesorios Vehiculares: Compra de imantados para sticker de codificación</t>
  </si>
  <si>
    <t>Accesorios Vehiculares: Compra de insumos de pintado</t>
  </si>
  <si>
    <t>Accesorios Vehiculares: Compra de soplete y base de pintura</t>
  </si>
  <si>
    <t>Accesorios Vehiculares: Compra de manguera, acople rápido, acople macho, acople hembra, abrazaderas y inflador dual.</t>
  </si>
  <si>
    <t>Accesorios Vehiculares: Compra de manguera y acople rápido espiga</t>
  </si>
  <si>
    <t>Mantenimiento Correctivo: Parchado de llanta</t>
  </si>
  <si>
    <t>Mantenimiento preventivo: Rotación de neumático posterior</t>
  </si>
  <si>
    <t>F043</t>
  </si>
  <si>
    <t>Mantenimiento Correctivo: Cambio de foco delantero</t>
  </si>
  <si>
    <t>FS04</t>
  </si>
  <si>
    <t>Accesorios Vehiculares: Abastecimiento de UREA</t>
  </si>
  <si>
    <t>Accesorios Vehiculares: Compra de base de pintura</t>
  </si>
  <si>
    <t>Accesorios Vehiculares: Cambio de foco de luz baja (lado derecho)</t>
  </si>
  <si>
    <t>Mantenimiento Preventivo: Rotación de neumático</t>
  </si>
  <si>
    <t>Mantenimiento preventivo: Mantenimiento de luces de furgón</t>
  </si>
  <si>
    <t>Accesorios Vehiculares: Compra de foco (luz baja)</t>
  </si>
  <si>
    <t>Mantenimiento Correctivo: Parchado de neumático delantero izquierdo</t>
  </si>
  <si>
    <t>Accesorios Vehiculares: Compra de cinta reflectiva (2 metros)</t>
  </si>
  <si>
    <t>Accesorios Vehiculares: Compra de faros y focos</t>
  </si>
  <si>
    <t>F085</t>
  </si>
  <si>
    <t>FJ02</t>
  </si>
  <si>
    <t>Mantenimiento Correctivo: Soldadura de dos puntos de la carrocería</t>
  </si>
  <si>
    <t>Mantenimiento preventivo: engrase del vehículo en general</t>
  </si>
  <si>
    <t>Accesorios Vehiculares: compra de cinta reflectiva (8 metros) y 01 foco</t>
  </si>
  <si>
    <t>Mantenimiento preventivo: Rotación del neumático</t>
  </si>
  <si>
    <t>Lavado e higienización y compra de hidrolina</t>
  </si>
  <si>
    <t>Mantenimiento preventivo: Soldadura de 6 puntos de la carrocería</t>
  </si>
  <si>
    <t>Accesorios Vehiculares: Compra de unión completa de bronce</t>
  </si>
  <si>
    <t>Accesorios Vehiculares: Compra de líquido de freno</t>
  </si>
  <si>
    <t>Accesorios Vehiculares: Compra de foco LED intermitente para pértiga</t>
  </si>
  <si>
    <t>Accesorios Vehiculares: abastecimiento de UREA</t>
  </si>
  <si>
    <t>Lavado e Higienización</t>
  </si>
  <si>
    <t>Mantenimiento Correctivo: Cambio de cono guía de la manguera de aire</t>
  </si>
  <si>
    <t>Accesorios Vehiculares: Compra de cable pasa corriente y cuñas de madera</t>
  </si>
  <si>
    <t>Mantenimiento Correctivo: Cambio de 2 llantas posteriores</t>
  </si>
  <si>
    <t>Accesorios Vehiculares: compra de pegamento</t>
  </si>
  <si>
    <t>Accesorios Vehiculares: Compra de funda para circulina</t>
  </si>
  <si>
    <t>Accesorios Vehiculares: Compra de martillo de goma</t>
  </si>
  <si>
    <t>Accesorios Vehiculares: Compra de martillo de goma y set de cuñas de madera</t>
  </si>
  <si>
    <t>Accesorios Vehiculares: Compra de agarradera (lado piloto)</t>
  </si>
  <si>
    <t>Accesorios Vehiculares: compra de recogedor y escoba de plástico pequeños</t>
  </si>
  <si>
    <t xml:space="preserve">F004 </t>
  </si>
  <si>
    <t>Mantenimiento Correctivo: compra e instalación de 2 focos delanteros</t>
  </si>
  <si>
    <t>Revisión técnica vehicular: Emisión del certificado de modificación.</t>
  </si>
  <si>
    <t>Mantenimiento Preventivo: Engrase general del vehículo</t>
  </si>
  <si>
    <t>Mantenimiento preventivo: Engrase general del vehículo</t>
  </si>
  <si>
    <t>Mantenimiento Correctivo: Parchado 2 llantas posteriores</t>
  </si>
  <si>
    <t>Mantenimiento Correctivo: Inspección y reparación del motor de rampa</t>
  </si>
  <si>
    <t>Accesorios Vehiculares: Compra de foco LED rojo intermitente para pértiga</t>
  </si>
  <si>
    <t>Ronald Guizado</t>
  </si>
  <si>
    <t>Pantalón de Trabajo talla 38</t>
  </si>
  <si>
    <t>002-2208</t>
  </si>
  <si>
    <t>SSOMA</t>
  </si>
  <si>
    <t>F764</t>
  </si>
  <si>
    <t>Compra de Martillo y Clavos para Cerco - Chilca</t>
  </si>
  <si>
    <t>002-2215</t>
  </si>
  <si>
    <t>Operaciones</t>
  </si>
  <si>
    <t>Envió de Documentos Olva</t>
  </si>
  <si>
    <t>002-2219</t>
  </si>
  <si>
    <t>Hoja Bond 1/2 Millar</t>
  </si>
  <si>
    <t>002-2221</t>
  </si>
  <si>
    <t>Reposición de Caja Chica</t>
  </si>
  <si>
    <t>002-2223</t>
  </si>
  <si>
    <t>Compra de Films para Planta</t>
  </si>
  <si>
    <t>002-2226</t>
  </si>
  <si>
    <t>Logística</t>
  </si>
  <si>
    <t>F353</t>
  </si>
  <si>
    <t>002-2228</t>
  </si>
  <si>
    <t>Administración</t>
  </si>
  <si>
    <t>Guantes de cuero Blanco (x6)</t>
  </si>
  <si>
    <t>002-2230</t>
  </si>
  <si>
    <t>Cargador para Celular (Corporativo Cristian)</t>
  </si>
  <si>
    <t>002-2233</t>
  </si>
  <si>
    <t>Sistemas y TI</t>
  </si>
  <si>
    <t>Imprimir Documentos (Chilca Cañete)</t>
  </si>
  <si>
    <t>002-2235</t>
  </si>
  <si>
    <t>002-2237</t>
  </si>
  <si>
    <t>Bidón Agua de 8L (x2)</t>
  </si>
  <si>
    <t>002-2243</t>
  </si>
  <si>
    <t>FW01</t>
  </si>
  <si>
    <t>Torta (Cumpleaños Franco Carreño)</t>
  </si>
  <si>
    <t>002-2244</t>
  </si>
  <si>
    <t>002-2245</t>
  </si>
  <si>
    <t>Zapatos de Seguridad (x2)</t>
  </si>
  <si>
    <t>002-2246</t>
  </si>
  <si>
    <t>002-2253</t>
  </si>
  <si>
    <t>Reposición de Caja (Torta de Franco y Pasaje)</t>
  </si>
  <si>
    <t>002-2262</t>
  </si>
  <si>
    <t>002-2265</t>
  </si>
  <si>
    <t>002-2271</t>
  </si>
  <si>
    <t>002-2277</t>
  </si>
  <si>
    <t>Chaleco Naranja y Paños Absorbentes</t>
  </si>
  <si>
    <t>002-2279</t>
  </si>
  <si>
    <t>002-2284</t>
  </si>
  <si>
    <t>Envió de documentos Olva</t>
  </si>
  <si>
    <t>002-2288</t>
  </si>
  <si>
    <t>Guantes de Cuero Blanco x8</t>
  </si>
  <si>
    <t>002-2291</t>
  </si>
  <si>
    <t>002-2297</t>
  </si>
  <si>
    <t>Guantes de Cuero Blanco x7</t>
  </si>
  <si>
    <t>002-2298</t>
  </si>
  <si>
    <t>Reposición de Caja ( Bidón de Agua )</t>
  </si>
  <si>
    <t>002-2301</t>
  </si>
  <si>
    <t>FA03</t>
  </si>
  <si>
    <t>Hoja Bond 1/2 Millar x 2</t>
  </si>
  <si>
    <t>002-2309</t>
  </si>
  <si>
    <t>002-2314</t>
  </si>
  <si>
    <t>002-2316</t>
  </si>
  <si>
    <t>002-2319</t>
  </si>
  <si>
    <t>002-2323</t>
  </si>
  <si>
    <t>002-2328</t>
  </si>
  <si>
    <t>002-2329</t>
  </si>
  <si>
    <t>002-2333</t>
  </si>
  <si>
    <t>002-2336</t>
  </si>
  <si>
    <t>Guantes Badana Blanco x7 Tapones de oído x4</t>
  </si>
  <si>
    <t>002-2337</t>
  </si>
  <si>
    <t>Envió de Documentos Olva (Juliaca)</t>
  </si>
  <si>
    <t>002-2342</t>
  </si>
  <si>
    <t>Cambio de mica (Celular Corporativo planta)</t>
  </si>
  <si>
    <t>002-2343</t>
  </si>
  <si>
    <t>Guantes Badana Blanco x7</t>
  </si>
  <si>
    <t>002-2345</t>
  </si>
  <si>
    <t>002-2346</t>
  </si>
  <si>
    <t>Reposición de Caja Chica (Zapatos de Seguridad (x2))</t>
  </si>
  <si>
    <t>002-2351</t>
  </si>
  <si>
    <t>F561</t>
  </si>
  <si>
    <t>Hoja Bond 1/2 Millar x2</t>
  </si>
  <si>
    <t>002-2352</t>
  </si>
  <si>
    <t>002-2354</t>
  </si>
  <si>
    <t>002-2355</t>
  </si>
  <si>
    <t>002-2366</t>
  </si>
  <si>
    <t>002-2367</t>
  </si>
  <si>
    <t>002-2370</t>
  </si>
  <si>
    <t>002-2374</t>
  </si>
  <si>
    <t>002-2377</t>
  </si>
  <si>
    <t>002-2380</t>
  </si>
  <si>
    <t>002-2384</t>
  </si>
  <si>
    <t>002-2385</t>
  </si>
  <si>
    <t>002-2387</t>
  </si>
  <si>
    <t>3 Vidrios y 1 Silicona Para la Ventana</t>
  </si>
  <si>
    <t>002-2389</t>
  </si>
  <si>
    <t>Comercial</t>
  </si>
  <si>
    <t>002-2390</t>
  </si>
  <si>
    <t>01 Cera de piso y 100 Clavos 3/4 Para oficina</t>
  </si>
  <si>
    <t>002-2392</t>
  </si>
  <si>
    <t>002-2395</t>
  </si>
  <si>
    <t>002-2399</t>
  </si>
  <si>
    <t>Guantes Badana Blanco x12</t>
  </si>
  <si>
    <t>002-2403</t>
  </si>
  <si>
    <t>002-2406</t>
  </si>
  <si>
    <t>002-2412</t>
  </si>
  <si>
    <t>002-2413</t>
  </si>
  <si>
    <t>002-2419</t>
  </si>
  <si>
    <t>002-2425</t>
  </si>
  <si>
    <t>002-2427</t>
  </si>
  <si>
    <t>002-2433</t>
  </si>
  <si>
    <t>002-2439</t>
  </si>
  <si>
    <t>002-2445</t>
  </si>
  <si>
    <t>Compra Hoja Bond 1/2 Millar</t>
  </si>
  <si>
    <t>002-2448</t>
  </si>
  <si>
    <t>002-2452</t>
  </si>
  <si>
    <t>Compra Foco para Oficina</t>
  </si>
  <si>
    <t>002-2454</t>
  </si>
  <si>
    <t>Compra de Brocha y Cinta (Pintado de Señalización)</t>
  </si>
  <si>
    <t>002-2457</t>
  </si>
  <si>
    <t>FBE9</t>
  </si>
  <si>
    <t>Bocaditos (Reunión)</t>
  </si>
  <si>
    <t>002-2458</t>
  </si>
  <si>
    <t>002-2464</t>
  </si>
  <si>
    <t>Bocaditos (Capacitación)</t>
  </si>
  <si>
    <t>002-2465</t>
  </si>
  <si>
    <t>002-2467</t>
  </si>
  <si>
    <t>002-2469</t>
  </si>
  <si>
    <t>Envió de Documentos Olva (Chilca)</t>
  </si>
  <si>
    <t>002-2470</t>
  </si>
  <si>
    <t>FA17</t>
  </si>
  <si>
    <t>Papel Ecológico - Plumeros x2 (Planta Sta Anita)</t>
  </si>
  <si>
    <t>002-2471</t>
  </si>
  <si>
    <t>Materiales para Remodelación de Almacén</t>
  </si>
  <si>
    <t>002-2474</t>
  </si>
  <si>
    <t>Envió de Documentos Olva (Sábado 27)</t>
  </si>
  <si>
    <t>002-2479</t>
  </si>
  <si>
    <t>Pintado de Espejos de Unidad</t>
  </si>
  <si>
    <t>002-2481</t>
  </si>
  <si>
    <t>Compra de Guantes x7</t>
  </si>
  <si>
    <t>002-2490</t>
  </si>
  <si>
    <t>Compra de Hojas Bond 1/2 Millar x2</t>
  </si>
  <si>
    <t>002-2491</t>
  </si>
  <si>
    <t>Cinta para Separación de Pintura x2</t>
  </si>
  <si>
    <t>002-2492</t>
  </si>
  <si>
    <t>002-2493</t>
  </si>
  <si>
    <t>002-2500</t>
  </si>
  <si>
    <t>002-2502</t>
  </si>
  <si>
    <t>002-2504</t>
  </si>
  <si>
    <t>002-2505</t>
  </si>
  <si>
    <t>002-2507</t>
  </si>
  <si>
    <t>002-2509</t>
  </si>
  <si>
    <t>002-2511</t>
  </si>
  <si>
    <t>002-2512</t>
  </si>
  <si>
    <t>002-2513</t>
  </si>
  <si>
    <t>002-2515</t>
  </si>
  <si>
    <t>002-2516</t>
  </si>
  <si>
    <t>002-2517</t>
  </si>
  <si>
    <t>002-2518</t>
  </si>
  <si>
    <t>002-2519</t>
  </si>
  <si>
    <t>002-2523</t>
  </si>
  <si>
    <t>002-2524</t>
  </si>
  <si>
    <t>Insumos para la Reunión con el Pastor Dia 1</t>
  </si>
  <si>
    <t>Copias sacadas en Chilca</t>
  </si>
  <si>
    <t>Insumos para la Reunión con el Pastor Dia 2</t>
  </si>
  <si>
    <t>Insumos para la Reunión con el Pastor Dia 3</t>
  </si>
  <si>
    <t>Insumos para la Reunión con el Pastor Dia 4</t>
  </si>
  <si>
    <t>Compra Guantes Badana Blanco 1Docena</t>
  </si>
  <si>
    <t>Insumos para la Reunión con el Pastor Dia 5</t>
  </si>
  <si>
    <t>Compra de Silicona para Faro</t>
  </si>
  <si>
    <t>Materiales para Pintado de Pared</t>
  </si>
  <si>
    <t>Cinta de 2" para Separación de Pintado de Pared</t>
  </si>
  <si>
    <t>Compra de Gloss para Pintado de Puerta</t>
  </si>
  <si>
    <t>Lavandería Colchas y Epps</t>
  </si>
  <si>
    <t>Pintado de Puerta de Unidad</t>
  </si>
  <si>
    <t>Pintado de Parachoque</t>
  </si>
  <si>
    <t>Gerencia</t>
  </si>
  <si>
    <t>E001-550 - Servicio de Internet mes de Noviembre 2025 - FIXER TELECOMUNICACIONES S.A.C</t>
  </si>
  <si>
    <t>GRAFICA REAL AREQUIPA E.I.R.L.</t>
  </si>
  <si>
    <t>YANQUI MAMANI YENNY LIVIA</t>
  </si>
  <si>
    <t>SANTOS MEDINA ZULIN JHULISA</t>
  </si>
  <si>
    <t>CENTRALCAR AUTOMOTRIZ S.A.C.</t>
  </si>
  <si>
    <t>MAGENTA COLORS SOLUCIONES INDUSTRIALES E.I.R.L.</t>
  </si>
  <si>
    <t>FAMILIA ELMILA SOCIEDAD ANONIMA CERRADA</t>
  </si>
  <si>
    <t>002-2497</t>
  </si>
  <si>
    <t>002-2521</t>
  </si>
  <si>
    <t>RQ.COM.411 cilindro de metal cerrado (03)</t>
  </si>
  <si>
    <t>Adelanto 20% RQ.SSO.281 Pantalones y mamelucos ,RQ.SSO.270 Chalecos  / ZELA MANCHA CARMENCITA</t>
  </si>
  <si>
    <t>RQ.GH.270 - ER-001-0982025 - Entregas a rendir</t>
  </si>
  <si>
    <t>Detr.masiva 7706572802</t>
  </si>
  <si>
    <t xml:space="preserve">LIQ.LOG.072 - RQ.LOG.397 - (01) Casillero para personal operativo </t>
  </si>
  <si>
    <t>MANTENIMIENTO PENDIENT</t>
  </si>
  <si>
    <t xml:space="preserve">combustible </t>
  </si>
  <si>
    <t>Devolución pago de planilla Oct2025</t>
  </si>
  <si>
    <t>Reposicion - Caja Conductores - 2025 / RCO-26</t>
  </si>
  <si>
    <t>Uchumayo - Inducción - Tía María</t>
  </si>
  <si>
    <t>Adelanto de sueldo Noviembre 2025</t>
  </si>
  <si>
    <t>Uchumayo - Servicio (RS no aprovechables) - Stracon Perú S.A</t>
  </si>
  <si>
    <t>SRB KM 48 - Compra (Chatarra metálica) - Stracon Perú S.A</t>
  </si>
  <si>
    <t>Uchumayo - Servicio (Transporte de RS peligros - aceite desuso) Stracon</t>
  </si>
  <si>
    <t>Alsa - Compra (Chatarra metalica) - Stracon</t>
  </si>
  <si>
    <t>Uchumayo - Compra (Chatarra metálica) Granja Rinconada del Sur</t>
  </si>
  <si>
    <t>Balanza lomas- Compra (Madera desuso) - Kola Escocesa</t>
  </si>
  <si>
    <t>Prestamo - Noviembre 2025</t>
  </si>
  <si>
    <t>F002-21814, RQ.OPE.1563 mantenimiento preventivo de la camioneta MAXUS VBW-889</t>
  </si>
  <si>
    <t>F005-2119, RQ.OPE.1262 implementación de accesorios de minería, unidad BKL739</t>
  </si>
  <si>
    <t>SRB KM 48 - Compra (Madera)- Flsmidth SAC</t>
  </si>
  <si>
    <t>Matarani - servicio (RS peligrosos) - Flsmidth (Matarani)</t>
  </si>
  <si>
    <t>ZED-Matarani - servicio (RS peligrosos) - FLSMIDTH (Matarani )</t>
  </si>
  <si>
    <t>Pasaje: Juber Monteza Arequipa - Lima</t>
  </si>
  <si>
    <t>Alimentacion: AlmuerzoJuber Ruta: Arequipa - Lima</t>
  </si>
  <si>
    <t>Alimentacion: Desayuno Juber Lima - la victoria</t>
  </si>
  <si>
    <t>Alimentacion: Almuerzo Juber Lima</t>
  </si>
  <si>
    <t>Alimentacion: Cena Juber Lima</t>
  </si>
  <si>
    <t>Villa el Salvador - Servicio (Disposicion RS peligrosos) - kanay</t>
  </si>
  <si>
    <t>punta negra - Disposicion (RS peligrosos) - Kanay</t>
  </si>
  <si>
    <t>Alimentacion: Desayuno Juber Santa Anita</t>
  </si>
  <si>
    <t>Alimentacion: Almuerzo Juber Santa Anita</t>
  </si>
  <si>
    <t>Alimentacion: Cena Juber Santa Anita</t>
  </si>
  <si>
    <t>Alimentacion: almuerzo Juber Santa Anita</t>
  </si>
  <si>
    <t>Alimentacion: Juber Santa Anita</t>
  </si>
  <si>
    <t>lavada e higienizacion</t>
  </si>
  <si>
    <t>Alimentacion: Almuerzo Juber Monteza Santa Anita</t>
  </si>
  <si>
    <t>Alimentacion: Desayuno y Cena Juber Lima</t>
  </si>
  <si>
    <t>Alimentacion: Almuerzo Santa Anita</t>
  </si>
  <si>
    <t>Villa el Salvador - Disposicion (RS Generales) - Innova -Chilca</t>
  </si>
  <si>
    <t>Punta negra - Disposicion 8RS Generales) - Innova - Chilca</t>
  </si>
  <si>
    <t>Alimentacion: Desayuno - Almuerzo - Cena Juber Monteza Santa Anita</t>
  </si>
  <si>
    <t>Alimentacion: Juber Monteza Desayuno - Almuerzo - Cena.Santa Anita</t>
  </si>
  <si>
    <t>Villa Salvador - Disposicion RS peligrosos - Kanay - Chilca</t>
  </si>
  <si>
    <t>Punta negra - Disposicion 8RS peligrosos) - Kanay -Chilca</t>
  </si>
  <si>
    <t>Alimentacion: Desayuno, Almuerzo, Cena.Juber Monteza Santa Anita</t>
  </si>
  <si>
    <t>Punta negra - Disposicion (RS Generales) - Innova - Chilca</t>
  </si>
  <si>
    <t>Villa el Salvador - Servicio (Disposicion RS Generales) - Innova - Chilca</t>
  </si>
  <si>
    <t>Torres Cardenas - Servicio (Disposicion RS Generales) - Santa Anita</t>
  </si>
  <si>
    <t>Alimentacion: Desayuno, Almuerzo, Cena Juber Monteza santa Anita</t>
  </si>
  <si>
    <t>Alimentacion: Juber Monteza Desayuno, Almuerzo, Cena Santa Anita</t>
  </si>
  <si>
    <t>Alimentacion: Juber Monteza desayuno, Almuerzo, Cene</t>
  </si>
  <si>
    <t>Pasaje: Juber Monteza Ruta: Lima - Arequipa</t>
  </si>
  <si>
    <t>Pasaje de Maleta Lima -Arequipa</t>
  </si>
  <si>
    <t>Alimentacion: Desayuno Juber Camana</t>
  </si>
  <si>
    <t>Alimentacion: Almuerzo Juber KM 48</t>
  </si>
  <si>
    <t>Matarani - Compra (viruta) - FLSMIDTH</t>
  </si>
  <si>
    <t>ZED Matarani - Compra (Viruta) - FLSMIDTH</t>
  </si>
  <si>
    <t>El Eden KM -48 - Servicio (RS peligrosos) -FLSMITH La Joya</t>
  </si>
  <si>
    <t>El Eden KM - 48 Compra (Madera) FLSMITH La Joya</t>
  </si>
  <si>
    <t>Matarani - Servicio (RS peligrosos) - CBB</t>
  </si>
  <si>
    <t>Uchumayo - Compra ( RS aprovechables) - Kola Escocesa.</t>
  </si>
  <si>
    <t>Uchumayo - Implementacion de la unidad - Gytres - Villa Esperanza</t>
  </si>
  <si>
    <t>FP67</t>
  </si>
  <si>
    <t>FY75</t>
  </si>
  <si>
    <t xml:space="preserve">F114 </t>
  </si>
  <si>
    <t xml:space="preserve">F112 </t>
  </si>
  <si>
    <t xml:space="preserve">F001 </t>
  </si>
  <si>
    <t xml:space="preserve">FE02 </t>
  </si>
  <si>
    <t>Transporte</t>
  </si>
  <si>
    <t>CARPINTERIA BELEN E.I.R.L.</t>
  </si>
  <si>
    <t>EISERM GROUP S.R.L.</t>
  </si>
  <si>
    <t>EVCON E.I.R.L.</t>
  </si>
  <si>
    <t>SITICOM INGENIERIA S.A.C.</t>
  </si>
  <si>
    <t>EMPRESA DE TRANSPORTES TERRESTRES ISSA S.A.C.</t>
  </si>
  <si>
    <t>EMPRESA DE TRANSPORTES MOQUEGUA TURISMO S.R.L.</t>
  </si>
  <si>
    <t>E001-89 , RQ.OPE.1565 transporte de residuos</t>
  </si>
  <si>
    <t>LIQ.GH.061 - Premiación campeonato deportivo</t>
  </si>
  <si>
    <t>Disposicion residuos no aprovechables 11.11.2025 a 14.11.2025</t>
  </si>
  <si>
    <t>Servicio de monitoreo 01.11.2025 al 31.11.2025</t>
  </si>
  <si>
    <t>FE31</t>
  </si>
  <si>
    <t>Traslados de Gytres a Olva, para envío encomienda CC 001-233</t>
  </si>
  <si>
    <t xml:space="preserve">Envío de manifiestos a Lima </t>
  </si>
  <si>
    <t>Planilla del 03.03 /26.03/28.08/05.09</t>
  </si>
  <si>
    <t>Planilla del 05.11.2025</t>
  </si>
  <si>
    <t xml:space="preserve">OPE </t>
  </si>
  <si>
    <t xml:space="preserve">LIQ.OPE.167 - Apoyo en descarga de residuos peligrosos en almacén Marco Chilca </t>
  </si>
  <si>
    <t>LIQ.OPE.168 Cochera de unidad vehicular para descarga 10.09.2025</t>
  </si>
  <si>
    <t>Proveedores 20251111 (1)</t>
  </si>
  <si>
    <t>Uchumayo - disposicion de Residuos no aprovechables - Innova</t>
  </si>
  <si>
    <t>Uchumayo - disposicion de residuos peligrosos - Innova</t>
  </si>
  <si>
    <t>el Eden - servicio de residuos peligrosos - flsmidth</t>
  </si>
  <si>
    <t>ALSA - residuos no aprovechables - Alsur</t>
  </si>
  <si>
    <t>Uchumayo - Compra (Alambron) - Moly Cop Adesur</t>
  </si>
  <si>
    <t>Uchumayo - Servicio (Disposicion de Residuos No Aprovechables) - Granja Rinconada del Sur</t>
  </si>
  <si>
    <t>Uchumayo - Servicio (Disposicion de Residuos no Aprovechables - Innova Ambiental</t>
  </si>
  <si>
    <t>Uchumayo - Servicio (Disposicion de Residuos no Aprovechables) - Innova Ambiental</t>
  </si>
  <si>
    <t>ALSA - Servicio (RS No aprovechables) -Industrias IGGAM</t>
  </si>
  <si>
    <t>Uchumayo - Servicio (Disposicion de Escombro) - Innova Ambiental</t>
  </si>
  <si>
    <t>El Eden - Servicio (RS No aprovechables) -Industrias IGGAM</t>
  </si>
  <si>
    <t>Uchumayo - Servicio - (RS peligrosos - reactivos) - Moly-Cop - La Joya.</t>
  </si>
  <si>
    <t>Uchumayo - Servicio (IBCs peligrosos) - Moly-Cop la Joya.</t>
  </si>
  <si>
    <t>ALSA - Compra (RS Aprovechables) - Aeropuertos Andinos -Arequipa</t>
  </si>
  <si>
    <t>ALSA - Compra (carton)- Aeropuerto Arequipa</t>
  </si>
  <si>
    <t>ALSA - Compra (Botellas pet) - Aeropuerto Arequipa</t>
  </si>
  <si>
    <t>Uchumayo - Servicio (No aprovechables) - Industrias IGGAM</t>
  </si>
  <si>
    <t>Uchumayo - Compra (Varios) - Granja Rinconada del Sur</t>
  </si>
  <si>
    <t>las Lomas - Compra (Plastico film) - Lonccos y Ccalas</t>
  </si>
  <si>
    <t>00000000ff01252 univer</t>
  </si>
  <si>
    <t>LIQ.OPE.169 - RQ.OPE.1560 - Accidente (choque)  contra vehículo Hino V9R-903</t>
  </si>
  <si>
    <t>Com.cce pro 000254</t>
  </si>
  <si>
    <t>Agua - Octubre 2025</t>
  </si>
  <si>
    <t>Agua - Setiembre 2025</t>
  </si>
  <si>
    <t>EL EDEN SAC - UCSM - Pesaje de residuos no Aprovechables en balanza de SRB (La Joya)</t>
  </si>
  <si>
    <t>ALSA - Pesaje de Aceite de la empresa COSAPI</t>
  </si>
  <si>
    <t>RET &amp; SAN - Recolección de sacos vacios - Aprovechables</t>
  </si>
  <si>
    <t>ALSA - ELEO ARQUITECTURA Y CONSTRUCCION - Recolección de residuos no aprovechables</t>
  </si>
  <si>
    <t>R.E.T. - Compra: Variante de Uchumayo, (Compra de Sacos Vacíos ) - Alprosa - Arequipa</t>
  </si>
  <si>
    <t>RECICLADORA LAS LOMAS - Compra (Plástico y Cartón) - Lonccos y Ccalas.</t>
  </si>
  <si>
    <t>ALSA. - Servicio (No Aprovechables) - UCSM</t>
  </si>
  <si>
    <t>ZED - Compra (Viruta Metálica) - FLSmidth (Matarani)</t>
  </si>
  <si>
    <t>ALSA - Servicio (No Aprovechables) - UCSM</t>
  </si>
  <si>
    <t>ALSA - Servicio (No Aprovechables) - ISSA PERÙ</t>
  </si>
  <si>
    <t>EL EDEN - Servicio (No Aprovechables) - UCSM</t>
  </si>
  <si>
    <t>ALSA - Servicio (No Aprovechables) - UCSM (Arequipa)</t>
  </si>
  <si>
    <t>Zed Matarani - Compra (Viruta Metálica) - FLSMIDTH Matarani</t>
  </si>
  <si>
    <t>ALSA - Servicio (R.S Generales) - UCSM</t>
  </si>
  <si>
    <t>ALSA - Servicio (Peligrosos) EISERM Cayma</t>
  </si>
  <si>
    <t>AlSA - Servicio (Peligrosos) - EISERM Cayma</t>
  </si>
  <si>
    <t>ALSA - Servicio (No Aprovechables) UCSM Umacollo</t>
  </si>
  <si>
    <t>Uchumayo, Traslado (Residuos Peligrosos, No Aprovechables), GYTRES</t>
  </si>
  <si>
    <t>ALSA - Servicio (Peligrosos), Movitecnica, Variante de Uchumayo</t>
  </si>
  <si>
    <t>Uchumayo - Traslado (Peligrosos y No Aprovechables), GYTRES (La Joya)</t>
  </si>
  <si>
    <t>Terciarizado</t>
  </si>
  <si>
    <t>Proveedores 20251112 (1)</t>
  </si>
  <si>
    <t>MANTENIMIENTO PENDIENT 31/07</t>
  </si>
  <si>
    <t>Daniel Neyra Medina</t>
  </si>
  <si>
    <t>Juan Onofre Chavez</t>
  </si>
  <si>
    <t>E001-154 , RQ.OPE.1571 manipulacion de residuos</t>
  </si>
  <si>
    <t>sss</t>
  </si>
  <si>
    <t xml:space="preserve">Prestamo interno </t>
  </si>
  <si>
    <t>Elias  Paco</t>
  </si>
  <si>
    <t xml:space="preserve">Traslados para búsqueda de clientes para sacas de big bag y/o parihuelas </t>
  </si>
  <si>
    <t>item</t>
  </si>
  <si>
    <t>portafolio</t>
  </si>
  <si>
    <t>tipo_registro</t>
  </si>
  <si>
    <t>fecha</t>
  </si>
  <si>
    <t>responsable</t>
  </si>
  <si>
    <t>tipo_mov</t>
  </si>
  <si>
    <t>destinatario</t>
  </si>
  <si>
    <t>tipo_documento</t>
  </si>
  <si>
    <t>serie</t>
  </si>
  <si>
    <t>numero</t>
  </si>
  <si>
    <t>descripcion_actividad</t>
  </si>
  <si>
    <t>num_operacion</t>
  </si>
  <si>
    <t>moneda</t>
  </si>
  <si>
    <t>parcial</t>
  </si>
  <si>
    <t>monto</t>
  </si>
  <si>
    <t>abono</t>
  </si>
  <si>
    <t>retiro</t>
  </si>
  <si>
    <t>saldo</t>
  </si>
  <si>
    <t>vb_1</t>
  </si>
  <si>
    <t>vb_2</t>
  </si>
  <si>
    <t>constancia_link</t>
  </si>
  <si>
    <t>nota_1</t>
  </si>
  <si>
    <t>nota_2</t>
  </si>
  <si>
    <t>nota_3</t>
  </si>
  <si>
    <t>nota_4</t>
  </si>
  <si>
    <t>nota_5</t>
  </si>
  <si>
    <t>periodo</t>
  </si>
  <si>
    <t>tipo_r</t>
  </si>
  <si>
    <t>entregado</t>
  </si>
  <si>
    <t>n_operacion</t>
  </si>
  <si>
    <t>rco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</si>
</sst>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S/&quot;\ * #,##0.00_-;\-&quot;S/&quot;\ * #,##0.00_-;_-&quot;S/&quot;\ * &quot;-&quot;??_-;_-@_-"/>
    <numFmt numFmtId="43" formatCode="_-* #,##0.00_-;\-* #,##0.00_-;_-* &quot;-&quot;??_-;_-@_-"/>
    <numFmt numFmtId="164" formatCode="_ &quot;S/&quot;* #,##0.00_ ;_ &quot;S/&quot;* \-#,##0.00_ ;_ &quot;S/&quot;* &quot;-&quot;??_ ;_ @_ "/>
    <numFmt numFmtId="165" formatCode="000000"/>
    <numFmt numFmtId="166" formatCode="_-[$S/-280A]\ * #,##0.00_-;\-[$S/-280A]\ * #,##0.00_-;_-[$S/-280A]\ * &quot;-&quot;??_-;_-@_-"/>
    <numFmt numFmtId="167" formatCode="_-[$$-540A]* #,##0.00_ ;_-[$$-540A]* \-#,##0.00\ ;_-[$$-540A]* &quot;-&quot;??_ ;_-@_ "/>
    <numFmt numFmtId="168" formatCode="#,##0.000_ ;\-#,##0.000\ "/>
    <numFmt numFmtId="169" formatCode="_-[$$-80A]* #,##0.00_-;\-[$$-80A]* #,##0.00_-;_-[$$-80A]* &quot;-&quot;??_-;_-@_-"/>
    <numFmt numFmtId="170" formatCode="_(* #,##0.00_);_(* \(#,##0.00\);_(* &quot;-&quot;??_);_(@_)"/>
    <numFmt numFmtId="171" formatCode="dd/mm/yyyy;@"/>
  </numFmts>
  <fonts count="6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name val="Aptos Narrow"/>
      <family val="2"/>
    </font>
    <font>
      <sz val="9"/>
      <color theme="1"/>
      <name val="Aptos Narrow"/>
      <family val="2"/>
      <scheme val="minor"/>
    </font>
    <font>
      <sz val="9"/>
      <color theme="1"/>
      <name val="Aptos Narrow"/>
      <family val="2"/>
    </font>
    <font>
      <b/>
      <sz val="18"/>
      <color theme="1"/>
      <name val="Aptos Narrow"/>
      <family val="2"/>
    </font>
    <font>
      <u/>
      <sz val="11"/>
      <color theme="10"/>
      <name val="Aptos Narrow"/>
      <family val="2"/>
      <scheme val="minor"/>
    </font>
    <font>
      <sz val="9"/>
      <name val="Aptos Narrow"/>
      <family val="2"/>
      <scheme val="minor"/>
    </font>
    <font>
      <u/>
      <sz val="9"/>
      <color theme="10"/>
      <name val="Aptos Narrow"/>
      <family val="2"/>
      <scheme val="minor"/>
    </font>
    <font>
      <b/>
      <sz val="9"/>
      <name val="Aptos Narrow"/>
      <family val="2"/>
    </font>
    <font>
      <sz val="8"/>
      <name val="Aptos Narrow"/>
      <family val="2"/>
      <scheme val="minor"/>
    </font>
    <font>
      <sz val="11"/>
      <color theme="1"/>
      <name val="Arial Nova"/>
      <family val="2"/>
    </font>
    <font>
      <sz val="10"/>
      <color theme="1"/>
      <name val="Arial Nova"/>
      <family val="2"/>
    </font>
    <font>
      <b/>
      <i/>
      <sz val="11"/>
      <color theme="0"/>
      <name val="Arial Nova"/>
      <family val="2"/>
    </font>
    <font>
      <i/>
      <sz val="9"/>
      <color theme="1"/>
      <name val="Arial Nova"/>
      <family val="2"/>
    </font>
    <font>
      <b/>
      <i/>
      <sz val="14"/>
      <color theme="1"/>
      <name val="Arial Nova"/>
      <family val="2"/>
    </font>
    <font>
      <b/>
      <i/>
      <sz val="12"/>
      <color theme="1"/>
      <name val="Arial Nova"/>
      <family val="2"/>
    </font>
    <font>
      <b/>
      <i/>
      <sz val="11"/>
      <color theme="1"/>
      <name val="Arial Nova"/>
      <family val="2"/>
    </font>
    <font>
      <b/>
      <sz val="9"/>
      <color theme="1"/>
      <name val="Arial Nova"/>
      <family val="2"/>
    </font>
    <font>
      <sz val="9"/>
      <color theme="1"/>
      <name val="Arial Nova"/>
      <family val="2"/>
    </font>
    <font>
      <b/>
      <sz val="9"/>
      <color theme="0"/>
      <name val="Arial Nova"/>
      <family val="2"/>
    </font>
    <font>
      <i/>
      <sz val="11"/>
      <name val="Arial Nova"/>
      <family val="2"/>
    </font>
    <font>
      <b/>
      <sz val="9"/>
      <name val="Arial Nova"/>
      <family val="2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9"/>
      <color theme="1"/>
      <name val="Aptos Narrow"/>
      <family val="2"/>
    </font>
    <font>
      <b/>
      <sz val="9"/>
      <color theme="1"/>
      <name val="Aptos Narrow"/>
      <family val="2"/>
      <scheme val="minor"/>
    </font>
    <font>
      <sz val="9"/>
      <color rgb="FFFF0000"/>
      <name val="Aptos Narrow"/>
      <family val="2"/>
    </font>
    <font>
      <b/>
      <sz val="9"/>
      <color rgb="FFFF0000"/>
      <name val="Aptos Narrow"/>
      <family val="2"/>
    </font>
    <font>
      <sz val="9"/>
      <color rgb="FFFF0000"/>
      <name val="Aptos Narrow"/>
      <family val="2"/>
      <scheme val="minor"/>
    </font>
    <font>
      <b/>
      <sz val="9"/>
      <name val="Aptos Narrow"/>
      <family val="2"/>
      <scheme val="minor"/>
    </font>
    <font>
      <sz val="9"/>
      <color theme="5"/>
      <name val="Aptos Narrow"/>
      <family val="2"/>
      <scheme val="minor"/>
    </font>
    <font>
      <sz val="9"/>
      <name val="Aptos Narrow"/>
      <family val="2"/>
    </font>
    <font>
      <sz val="9"/>
      <color theme="1"/>
      <name val="Aptos Narrow"/>
      <family val="2"/>
    </font>
    <font>
      <b/>
      <sz val="9"/>
      <name val="Aptos Narrow"/>
      <family val="2"/>
    </font>
    <font>
      <sz val="9"/>
      <name val="Aptos Narrow"/>
      <family val="2"/>
    </font>
    <font>
      <sz val="9"/>
      <color theme="1"/>
      <name val="Aptos Narrow"/>
      <family val="2"/>
    </font>
    <font>
      <b/>
      <sz val="9"/>
      <name val="Aptos Narrow"/>
      <family val="2"/>
    </font>
    <font>
      <sz val="9"/>
      <name val="Aptos Narrow"/>
      <family val="2"/>
    </font>
    <font>
      <sz val="9"/>
      <color theme="1"/>
      <name val="Aptos Narrow"/>
      <family val="2"/>
    </font>
    <font>
      <b/>
      <sz val="9"/>
      <name val="Aptos Narrow"/>
      <family val="2"/>
    </font>
    <font>
      <sz val="9"/>
      <name val="Aptos Narrow"/>
      <family val="2"/>
    </font>
    <font>
      <sz val="9"/>
      <color theme="1"/>
      <name val="Aptos Narrow"/>
      <family val="2"/>
    </font>
    <font>
      <b/>
      <sz val="9"/>
      <name val="Aptos Narrow"/>
      <family val="2"/>
    </font>
    <font>
      <sz val="9"/>
      <name val="Aptos Narrow"/>
    </font>
  </fonts>
  <fills count="6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E0000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72B730"/>
        <bgColor rgb="FF92D050"/>
      </patternFill>
    </fill>
    <fill>
      <patternFill patternType="solid">
        <fgColor rgb="FF72B730"/>
        <bgColor rgb="FFC5E0B3"/>
      </patternFill>
    </fill>
    <fill>
      <patternFill patternType="solid">
        <fgColor rgb="FF72B730"/>
        <bgColor indexed="64"/>
      </patternFill>
    </fill>
    <fill>
      <patternFill patternType="solid">
        <fgColor rgb="FF11680F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/>
        <bgColor rgb="FF00B05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26">
    <border>
      <left/>
      <right/>
      <top/>
      <bottom/>
      <diagonal/>
    </border>
    <border>
      <left style="thin">
        <color rgb="FF11680F"/>
      </left>
      <right style="thin">
        <color rgb="FF11680F"/>
      </right>
      <top style="thin">
        <color rgb="FF11680F"/>
      </top>
      <bottom style="thin">
        <color rgb="FF11680F"/>
      </bottom>
      <diagonal/>
    </border>
    <border>
      <left style="thin">
        <color rgb="FF11680F"/>
      </left>
      <right/>
      <top style="thin">
        <color rgb="FF11680F"/>
      </top>
      <bottom style="thin">
        <color rgb="FF11680F"/>
      </bottom>
      <diagonal/>
    </border>
    <border>
      <left/>
      <right/>
      <top style="thin">
        <color rgb="FF11680F"/>
      </top>
      <bottom style="thin">
        <color rgb="FF11680F"/>
      </bottom>
      <diagonal/>
    </border>
    <border>
      <left/>
      <right style="thin">
        <color rgb="FF11680F"/>
      </right>
      <top style="thin">
        <color rgb="FF11680F"/>
      </top>
      <bottom style="thin">
        <color rgb="FF11680F"/>
      </bottom>
      <diagonal/>
    </border>
    <border>
      <left style="thin">
        <color rgb="FF0B7536"/>
      </left>
      <right style="thin">
        <color rgb="FF0B7536"/>
      </right>
      <top style="thin">
        <color rgb="FF0B7536"/>
      </top>
      <bottom/>
      <diagonal/>
    </border>
    <border>
      <left style="thin">
        <color rgb="FF0B7536"/>
      </left>
      <right style="thin">
        <color rgb="FF0B7536"/>
      </right>
      <top style="thin">
        <color rgb="FF0B7536"/>
      </top>
      <bottom style="thin">
        <color rgb="FF0B7536"/>
      </bottom>
      <diagonal/>
    </border>
    <border>
      <left style="thin">
        <color rgb="FF11680F"/>
      </left>
      <right style="thin">
        <color rgb="FF11680F"/>
      </right>
      <top style="thin">
        <color rgb="FF11680F"/>
      </top>
      <bottom/>
      <diagonal/>
    </border>
    <border>
      <left style="thin">
        <color rgb="FF11680F"/>
      </left>
      <right style="thin">
        <color rgb="FF11680F"/>
      </right>
      <top/>
      <bottom/>
      <diagonal/>
    </border>
    <border>
      <left/>
      <right style="thin">
        <color rgb="FF0B7536"/>
      </right>
      <top style="thin">
        <color rgb="FF0B7536"/>
      </top>
      <bottom style="thin">
        <color rgb="FF0B7536"/>
      </bottom>
      <diagonal/>
    </border>
    <border>
      <left style="thin">
        <color rgb="FF11680F"/>
      </left>
      <right style="thin">
        <color rgb="FF11680F"/>
      </right>
      <top/>
      <bottom style="thin">
        <color rgb="FF11680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6"/>
      </top>
      <bottom/>
      <diagonal/>
    </border>
    <border>
      <left/>
      <right/>
      <top style="thin">
        <color theme="6"/>
      </top>
      <bottom style="thin">
        <color theme="6"/>
      </bottom>
      <diagonal/>
    </border>
    <border>
      <left/>
      <right/>
      <top/>
      <bottom style="medium">
        <color rgb="FFFF0000"/>
      </bottom>
      <diagonal/>
    </border>
    <border>
      <left/>
      <right/>
      <top/>
      <bottom style="thick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8">
    <xf numFmtId="0" fontId="0" fillId="0" borderId="0"/>
    <xf numFmtId="43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11" applyNumberFormat="0" applyFill="0" applyAlignment="0" applyProtection="0"/>
    <xf numFmtId="0" fontId="28" fillId="0" borderId="12" applyNumberFormat="0" applyFill="0" applyAlignment="0" applyProtection="0"/>
    <xf numFmtId="0" fontId="29" fillId="0" borderId="13" applyNumberFormat="0" applyFill="0" applyAlignment="0" applyProtection="0"/>
    <xf numFmtId="0" fontId="29" fillId="0" borderId="0" applyNumberFormat="0" applyFill="0" applyBorder="0" applyAlignment="0" applyProtection="0"/>
    <xf numFmtId="0" fontId="30" fillId="19" borderId="0" applyNumberFormat="0" applyBorder="0" applyAlignment="0" applyProtection="0"/>
    <xf numFmtId="0" fontId="31" fillId="20" borderId="0" applyNumberFormat="0" applyBorder="0" applyAlignment="0" applyProtection="0"/>
    <xf numFmtId="0" fontId="32" fillId="21" borderId="0" applyNumberFormat="0" applyBorder="0" applyAlignment="0" applyProtection="0"/>
    <xf numFmtId="0" fontId="33" fillId="22" borderId="14" applyNumberFormat="0" applyAlignment="0" applyProtection="0"/>
    <xf numFmtId="0" fontId="34" fillId="23" borderId="15" applyNumberFormat="0" applyAlignment="0" applyProtection="0"/>
    <xf numFmtId="0" fontId="35" fillId="23" borderId="14" applyNumberFormat="0" applyAlignment="0" applyProtection="0"/>
    <xf numFmtId="0" fontId="36" fillId="0" borderId="16" applyNumberFormat="0" applyFill="0" applyAlignment="0" applyProtection="0"/>
    <xf numFmtId="0" fontId="37" fillId="24" borderId="17" applyNumberFormat="0" applyAlignment="0" applyProtection="0"/>
    <xf numFmtId="0" fontId="38" fillId="0" borderId="0" applyNumberFormat="0" applyFill="0" applyBorder="0" applyAlignment="0" applyProtection="0"/>
    <xf numFmtId="0" fontId="1" fillId="25" borderId="18" applyNumberFormat="0" applyFont="0" applyAlignment="0" applyProtection="0"/>
    <xf numFmtId="0" fontId="39" fillId="0" borderId="0" applyNumberFormat="0" applyFill="0" applyBorder="0" applyAlignment="0" applyProtection="0"/>
    <xf numFmtId="0" fontId="24" fillId="0" borderId="19" applyNumberFormat="0" applyFill="0" applyAlignment="0" applyProtection="0"/>
    <xf numFmtId="0" fontId="40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40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40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40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1" fillId="41" borderId="0" applyNumberFormat="0" applyBorder="0" applyAlignment="0" applyProtection="0"/>
    <xf numFmtId="0" fontId="40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1" fillId="45" borderId="0" applyNumberFormat="0" applyBorder="0" applyAlignment="0" applyProtection="0"/>
    <xf numFmtId="0" fontId="40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8" borderId="0" applyNumberFormat="0" applyBorder="0" applyAlignment="0" applyProtection="0"/>
    <xf numFmtId="0" fontId="1" fillId="49" borderId="0" applyNumberFormat="0" applyBorder="0" applyAlignment="0" applyProtection="0"/>
  </cellStyleXfs>
  <cellXfs count="293">
    <xf numFmtId="0" fontId="0" fillId="0" borderId="0" xfId="0"/>
    <xf numFmtId="0" fontId="2" fillId="0" borderId="0" xfId="0" applyFont="1" applyAlignment="1">
      <alignment horizontal="center" vertical="center" wrapText="1"/>
    </xf>
    <xf numFmtId="165" fontId="3" fillId="0" borderId="0" xfId="1" applyNumberFormat="1" applyFont="1" applyFill="1" applyAlignment="1">
      <alignment horizontal="center" vertical="center" wrapText="1"/>
    </xf>
    <xf numFmtId="43" fontId="3" fillId="0" borderId="0" xfId="1" applyFont="1" applyFill="1" applyAlignment="1">
      <alignment horizontal="center" vertical="center" wrapText="1"/>
    </xf>
    <xf numFmtId="16" fontId="4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43" fontId="3" fillId="0" borderId="0" xfId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49" fontId="0" fillId="0" borderId="0" xfId="0" applyNumberFormat="1" applyAlignment="1">
      <alignment horizontal="center" vertical="center"/>
    </xf>
    <xf numFmtId="43" fontId="3" fillId="0" borderId="0" xfId="1" applyFont="1" applyAlignment="1">
      <alignment horizontal="center" vertical="center" wrapText="1"/>
    </xf>
    <xf numFmtId="16" fontId="5" fillId="0" borderId="0" xfId="0" applyNumberFormat="1" applyFont="1" applyAlignment="1">
      <alignment horizontal="center" vertical="center" wrapText="1"/>
    </xf>
    <xf numFmtId="43" fontId="8" fillId="0" borderId="0" xfId="1" applyFont="1" applyFill="1" applyAlignment="1">
      <alignment horizontal="center" vertical="center" wrapText="1"/>
    </xf>
    <xf numFmtId="165" fontId="3" fillId="0" borderId="0" xfId="1" applyNumberFormat="1" applyFont="1" applyAlignment="1">
      <alignment horizontal="center" vertical="center" wrapText="1"/>
    </xf>
    <xf numFmtId="43" fontId="8" fillId="0" borderId="0" xfId="1" applyFont="1" applyAlignment="1">
      <alignment horizontal="center" vertical="center" wrapText="1"/>
    </xf>
    <xf numFmtId="43" fontId="3" fillId="0" borderId="0" xfId="1" applyFont="1" applyAlignment="1">
      <alignment horizontal="center" vertical="center"/>
    </xf>
    <xf numFmtId="43" fontId="3" fillId="0" borderId="0" xfId="1" applyFont="1" applyFill="1" applyAlignment="1">
      <alignment horizontal="center" vertical="center"/>
    </xf>
    <xf numFmtId="0" fontId="4" fillId="0" borderId="0" xfId="0" quotePrefix="1" applyFont="1" applyAlignment="1">
      <alignment horizontal="center" vertical="center" wrapText="1"/>
    </xf>
    <xf numFmtId="0" fontId="5" fillId="2" borderId="0" xfId="0" applyFont="1" applyFill="1" applyAlignment="1">
      <alignment horizontal="left" vertical="center" wrapText="1"/>
    </xf>
    <xf numFmtId="165" fontId="3" fillId="2" borderId="0" xfId="1" applyNumberFormat="1" applyFont="1" applyFill="1" applyAlignment="1">
      <alignment horizontal="center" vertical="center" wrapText="1"/>
    </xf>
    <xf numFmtId="165" fontId="3" fillId="3" borderId="0" xfId="1" applyNumberFormat="1" applyFont="1" applyFill="1" applyAlignment="1">
      <alignment horizontal="center" vertical="center" wrapText="1"/>
    </xf>
    <xf numFmtId="43" fontId="10" fillId="0" borderId="0" xfId="1" applyFont="1" applyFill="1" applyAlignment="1">
      <alignment horizontal="center" vertical="center" wrapText="1"/>
    </xf>
    <xf numFmtId="0" fontId="8" fillId="0" borderId="0" xfId="1" applyNumberFormat="1" applyFont="1" applyFill="1" applyAlignment="1">
      <alignment horizontal="center" vertical="center" wrapText="1"/>
    </xf>
    <xf numFmtId="0" fontId="7" fillId="0" borderId="0" xfId="2" applyNumberFormat="1"/>
    <xf numFmtId="0" fontId="9" fillId="0" borderId="0" xfId="2" applyNumberFormat="1" applyFont="1" applyAlignment="1">
      <alignment vertical="center"/>
    </xf>
    <xf numFmtId="43" fontId="10" fillId="0" borderId="0" xfId="1" applyFont="1" applyAlignment="1">
      <alignment horizontal="center" vertical="center" wrapText="1"/>
    </xf>
    <xf numFmtId="0" fontId="12" fillId="0" borderId="0" xfId="3" applyFont="1" applyProtection="1">
      <protection hidden="1"/>
    </xf>
    <xf numFmtId="0" fontId="19" fillId="0" borderId="1" xfId="0" applyFont="1" applyBorder="1" applyAlignment="1" applyProtection="1">
      <alignment horizontal="left" vertical="center"/>
      <protection hidden="1"/>
    </xf>
    <xf numFmtId="166" fontId="20" fillId="0" borderId="1" xfId="3" applyNumberFormat="1" applyFont="1" applyBorder="1" applyAlignment="1" applyProtection="1">
      <alignment vertical="center"/>
      <protection hidden="1"/>
    </xf>
    <xf numFmtId="0" fontId="20" fillId="0" borderId="1" xfId="0" applyFont="1" applyBorder="1" applyAlignment="1" applyProtection="1">
      <alignment horizontal="left" vertical="center"/>
      <protection hidden="1"/>
    </xf>
    <xf numFmtId="164" fontId="19" fillId="11" borderId="9" xfId="5" applyFont="1" applyFill="1" applyBorder="1" applyAlignment="1" applyProtection="1">
      <alignment horizontal="center" vertical="center" wrapText="1"/>
      <protection hidden="1"/>
    </xf>
    <xf numFmtId="44" fontId="21" fillId="8" borderId="9" xfId="6" applyFont="1" applyFill="1" applyBorder="1" applyAlignment="1" applyProtection="1">
      <alignment horizontal="center" vertical="center" wrapText="1"/>
      <protection hidden="1"/>
    </xf>
    <xf numFmtId="164" fontId="20" fillId="0" borderId="1" xfId="5" applyFont="1" applyFill="1" applyBorder="1" applyAlignment="1" applyProtection="1">
      <alignment vertical="center"/>
      <protection hidden="1"/>
    </xf>
    <xf numFmtId="169" fontId="20" fillId="0" borderId="1" xfId="3" applyNumberFormat="1" applyFont="1" applyBorder="1" applyAlignment="1" applyProtection="1">
      <alignment vertical="center"/>
      <protection hidden="1"/>
    </xf>
    <xf numFmtId="164" fontId="23" fillId="11" borderId="9" xfId="5" applyFont="1" applyFill="1" applyBorder="1" applyAlignment="1" applyProtection="1">
      <alignment horizontal="center" vertical="center" wrapText="1"/>
      <protection hidden="1"/>
    </xf>
    <xf numFmtId="169" fontId="19" fillId="12" borderId="9" xfId="5" applyNumberFormat="1" applyFont="1" applyFill="1" applyBorder="1" applyAlignment="1" applyProtection="1">
      <alignment horizontal="center" vertical="center" wrapText="1"/>
      <protection hidden="1"/>
    </xf>
    <xf numFmtId="168" fontId="19" fillId="12" borderId="9" xfId="1" applyNumberFormat="1" applyFont="1" applyFill="1" applyBorder="1" applyAlignment="1" applyProtection="1">
      <alignment horizontal="center" vertical="center" wrapText="1"/>
      <protection hidden="1"/>
    </xf>
    <xf numFmtId="167" fontId="19" fillId="12" borderId="9" xfId="5" applyNumberFormat="1" applyFont="1" applyFill="1" applyBorder="1" applyAlignment="1" applyProtection="1">
      <alignment horizontal="center" vertical="center" wrapText="1"/>
      <protection hidden="1"/>
    </xf>
    <xf numFmtId="44" fontId="20" fillId="0" borderId="1" xfId="6" applyFont="1" applyBorder="1" applyAlignment="1" applyProtection="1">
      <alignment vertical="center"/>
      <protection hidden="1"/>
    </xf>
    <xf numFmtId="43" fontId="3" fillId="2" borderId="0" xfId="1" applyFont="1" applyFill="1" applyAlignment="1">
      <alignment horizontal="center" vertical="center" wrapText="1"/>
    </xf>
    <xf numFmtId="165" fontId="3" fillId="13" borderId="0" xfId="1" applyNumberFormat="1" applyFont="1" applyFill="1" applyAlignment="1">
      <alignment horizontal="center" vertical="center" wrapText="1"/>
    </xf>
    <xf numFmtId="165" fontId="3" fillId="14" borderId="0" xfId="1" applyNumberFormat="1" applyFont="1" applyFill="1" applyAlignment="1">
      <alignment horizontal="center" vertical="center" wrapText="1"/>
    </xf>
    <xf numFmtId="0" fontId="4" fillId="15" borderId="0" xfId="0" applyFont="1" applyFill="1" applyAlignment="1">
      <alignment horizontal="center" vertical="center" wrapText="1"/>
    </xf>
    <xf numFmtId="0" fontId="4" fillId="16" borderId="0" xfId="0" applyFont="1" applyFill="1" applyAlignment="1">
      <alignment horizontal="center" vertical="center" wrapText="1"/>
    </xf>
    <xf numFmtId="0" fontId="4" fillId="17" borderId="0" xfId="0" applyFont="1" applyFill="1" applyAlignment="1">
      <alignment horizontal="center" vertical="center" wrapText="1"/>
    </xf>
    <xf numFmtId="0" fontId="4" fillId="18" borderId="0" xfId="0" applyFont="1" applyFill="1" applyAlignment="1">
      <alignment horizontal="center" vertical="center" wrapText="1"/>
    </xf>
    <xf numFmtId="0" fontId="3" fillId="0" borderId="0" xfId="1" applyNumberFormat="1" applyFont="1" applyFill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7" fillId="0" borderId="0" xfId="2" applyNumberFormat="1" applyFill="1" applyAlignment="1">
      <alignment horizontal="center" vertical="center" wrapText="1"/>
    </xf>
    <xf numFmtId="43" fontId="8" fillId="0" borderId="0" xfId="1" applyFont="1" applyFill="1" applyAlignment="1">
      <alignment horizontal="left" vertical="center"/>
    </xf>
    <xf numFmtId="0" fontId="9" fillId="0" borderId="0" xfId="2" applyFont="1" applyAlignment="1">
      <alignment horizontal="left" vertical="center"/>
    </xf>
    <xf numFmtId="43" fontId="3" fillId="0" borderId="0" xfId="1" applyFont="1" applyFill="1" applyAlignment="1">
      <alignment horizontal="left" vertical="center"/>
    </xf>
    <xf numFmtId="43" fontId="7" fillId="0" borderId="0" xfId="2" applyNumberFormat="1" applyFill="1" applyAlignment="1">
      <alignment horizontal="left" vertical="center"/>
    </xf>
    <xf numFmtId="0" fontId="2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43" fontId="3" fillId="18" borderId="0" xfId="1" applyFont="1" applyFill="1" applyAlignment="1">
      <alignment horizontal="center" vertical="center"/>
    </xf>
    <xf numFmtId="43" fontId="8" fillId="0" borderId="0" xfId="1" applyFont="1" applyAlignment="1">
      <alignment horizontal="left" vertical="center" wrapText="1"/>
    </xf>
    <xf numFmtId="43" fontId="3" fillId="0" borderId="0" xfId="1" applyFont="1" applyFill="1" applyAlignment="1">
      <alignment horizontal="left" vertical="center" wrapText="1"/>
    </xf>
    <xf numFmtId="0" fontId="0" fillId="0" borderId="0" xfId="0" applyAlignment="1">
      <alignment horizontal="left"/>
    </xf>
    <xf numFmtId="43" fontId="0" fillId="0" borderId="0" xfId="0" applyNumberFormat="1"/>
    <xf numFmtId="43" fontId="0" fillId="0" borderId="0" xfId="1" applyFont="1"/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43" fontId="3" fillId="2" borderId="0" xfId="1" applyFont="1" applyFill="1" applyAlignment="1">
      <alignment horizontal="center" vertical="center"/>
    </xf>
    <xf numFmtId="16" fontId="5" fillId="2" borderId="0" xfId="0" applyNumberFormat="1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43" fontId="10" fillId="2" borderId="0" xfId="1" applyFont="1" applyFill="1" applyAlignment="1">
      <alignment horizontal="center" vertical="center" wrapText="1"/>
    </xf>
    <xf numFmtId="0" fontId="8" fillId="0" borderId="0" xfId="1" applyNumberFormat="1" applyFont="1" applyFill="1" applyBorder="1" applyAlignment="1">
      <alignment horizontal="center" vertical="center" wrapText="1"/>
    </xf>
    <xf numFmtId="43" fontId="3" fillId="0" borderId="0" xfId="1" applyFont="1" applyFill="1" applyBorder="1" applyAlignment="1">
      <alignment horizontal="center" vertical="center" wrapText="1"/>
    </xf>
    <xf numFmtId="43" fontId="3" fillId="0" borderId="0" xfId="1" applyFont="1" applyFill="1" applyBorder="1" applyAlignment="1">
      <alignment horizontal="center" vertical="center"/>
    </xf>
    <xf numFmtId="0" fontId="9" fillId="0" borderId="0" xfId="2" applyNumberFormat="1" applyFont="1" applyFill="1" applyAlignment="1">
      <alignment horizontal="center" vertical="center" wrapText="1"/>
    </xf>
    <xf numFmtId="0" fontId="9" fillId="0" borderId="0" xfId="2" applyNumberFormat="1" applyFont="1"/>
    <xf numFmtId="0" fontId="9" fillId="0" borderId="0" xfId="1" applyNumberFormat="1" applyFont="1" applyFill="1" applyAlignment="1">
      <alignment horizontal="center" vertical="center" wrapText="1"/>
    </xf>
    <xf numFmtId="0" fontId="9" fillId="0" borderId="0" xfId="1" applyNumberFormat="1" applyFont="1" applyFill="1" applyBorder="1" applyAlignment="1">
      <alignment horizontal="center" vertical="center" wrapText="1"/>
    </xf>
    <xf numFmtId="43" fontId="9" fillId="0" borderId="0" xfId="2" applyNumberFormat="1" applyFont="1" applyFill="1" applyAlignment="1">
      <alignment horizontal="left" vertical="center"/>
    </xf>
    <xf numFmtId="0" fontId="9" fillId="0" borderId="0" xfId="2" applyFont="1" applyAlignment="1">
      <alignment horizontal="left"/>
    </xf>
    <xf numFmtId="43" fontId="9" fillId="0" borderId="0" xfId="2" applyNumberFormat="1" applyFont="1" applyFill="1" applyBorder="1" applyAlignment="1">
      <alignment horizontal="left" vertical="center"/>
    </xf>
    <xf numFmtId="165" fontId="3" fillId="0" borderId="22" xfId="1" applyNumberFormat="1" applyFont="1" applyFill="1" applyBorder="1" applyAlignment="1">
      <alignment horizontal="center" vertical="center" wrapText="1"/>
    </xf>
    <xf numFmtId="43" fontId="3" fillId="0" borderId="22" xfId="1" applyFont="1" applyFill="1" applyBorder="1" applyAlignment="1">
      <alignment horizontal="center" vertical="center"/>
    </xf>
    <xf numFmtId="43" fontId="3" fillId="0" borderId="22" xfId="1" applyFont="1" applyFill="1" applyBorder="1" applyAlignment="1">
      <alignment horizontal="center" vertical="center" wrapText="1"/>
    </xf>
    <xf numFmtId="16" fontId="5" fillId="0" borderId="22" xfId="0" applyNumberFormat="1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left" vertical="center" wrapText="1"/>
    </xf>
    <xf numFmtId="0" fontId="3" fillId="0" borderId="22" xfId="0" applyFont="1" applyBorder="1" applyAlignment="1">
      <alignment horizontal="center" vertical="center" wrapText="1"/>
    </xf>
    <xf numFmtId="43" fontId="3" fillId="0" borderId="22" xfId="1" applyFont="1" applyBorder="1" applyAlignment="1">
      <alignment horizontal="center" vertical="center" wrapText="1"/>
    </xf>
    <xf numFmtId="43" fontId="10" fillId="0" borderId="22" xfId="1" applyFont="1" applyFill="1" applyBorder="1" applyAlignment="1">
      <alignment horizontal="center" vertical="center" wrapText="1"/>
    </xf>
    <xf numFmtId="43" fontId="3" fillId="0" borderId="22" xfId="1" applyFont="1" applyFill="1" applyBorder="1" applyAlignment="1">
      <alignment horizontal="left" vertical="center"/>
    </xf>
    <xf numFmtId="0" fontId="8" fillId="0" borderId="22" xfId="1" applyNumberFormat="1" applyFont="1" applyFill="1" applyBorder="1" applyAlignment="1">
      <alignment horizontal="center" vertical="center" wrapText="1"/>
    </xf>
    <xf numFmtId="0" fontId="9" fillId="0" borderId="22" xfId="2" applyNumberFormat="1" applyFont="1" applyFill="1" applyBorder="1" applyAlignment="1">
      <alignment horizontal="center" vertical="center" wrapText="1"/>
    </xf>
    <xf numFmtId="43" fontId="10" fillId="0" borderId="0" xfId="1" applyFont="1" applyFill="1" applyBorder="1" applyAlignment="1">
      <alignment horizontal="center" vertical="center" wrapText="1"/>
    </xf>
    <xf numFmtId="43" fontId="43" fillId="2" borderId="0" xfId="1" applyFont="1" applyFill="1" applyAlignment="1">
      <alignment horizontal="center" vertical="center" wrapText="1"/>
    </xf>
    <xf numFmtId="0" fontId="0" fillId="2" borderId="0" xfId="0" applyFill="1"/>
    <xf numFmtId="0" fontId="8" fillId="0" borderId="0" xfId="1" applyNumberFormat="1" applyFont="1" applyAlignment="1">
      <alignment horizontal="center" vertical="center"/>
    </xf>
    <xf numFmtId="43" fontId="8" fillId="0" borderId="0" xfId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9" fillId="0" borderId="0" xfId="2" applyNumberFormat="1" applyFont="1" applyAlignment="1">
      <alignment horizontal="center"/>
    </xf>
    <xf numFmtId="0" fontId="9" fillId="0" borderId="0" xfId="2" applyNumberFormat="1" applyFont="1" applyAlignment="1">
      <alignment horizontal="center" vertical="center"/>
    </xf>
    <xf numFmtId="0" fontId="8" fillId="0" borderId="0" xfId="1" applyNumberFormat="1" applyFont="1" applyAlignment="1">
      <alignment horizontal="center" vertical="center" wrapText="1"/>
    </xf>
    <xf numFmtId="43" fontId="4" fillId="0" borderId="0" xfId="1" applyFont="1" applyAlignment="1">
      <alignment horizontal="center" vertical="center" wrapText="1"/>
    </xf>
    <xf numFmtId="165" fontId="3" fillId="0" borderId="0" xfId="1" applyNumberFormat="1" applyFont="1" applyFill="1" applyBorder="1" applyAlignment="1">
      <alignment horizontal="center" vertical="center" wrapText="1"/>
    </xf>
    <xf numFmtId="0" fontId="5" fillId="0" borderId="20" xfId="0" applyFont="1" applyBorder="1" applyAlignment="1">
      <alignment horizontal="left" vertical="center" wrapText="1"/>
    </xf>
    <xf numFmtId="0" fontId="21" fillId="9" borderId="5" xfId="0" applyFont="1" applyFill="1" applyBorder="1" applyAlignment="1" applyProtection="1">
      <alignment horizontal="center" vertical="center" wrapText="1"/>
      <protection hidden="1"/>
    </xf>
    <xf numFmtId="0" fontId="21" fillId="9" borderId="6" xfId="0" applyFont="1" applyFill="1" applyBorder="1" applyAlignment="1" applyProtection="1">
      <alignment horizontal="center" vertical="center" wrapText="1"/>
      <protection hidden="1"/>
    </xf>
    <xf numFmtId="165" fontId="3" fillId="50" borderId="0" xfId="1" applyNumberFormat="1" applyFont="1" applyFill="1" applyAlignment="1">
      <alignment horizontal="center" vertical="center" wrapText="1"/>
    </xf>
    <xf numFmtId="43" fontId="3" fillId="50" borderId="0" xfId="1" applyFont="1" applyFill="1" applyAlignment="1">
      <alignment horizontal="center" vertical="center"/>
    </xf>
    <xf numFmtId="43" fontId="3" fillId="50" borderId="0" xfId="1" applyFont="1" applyFill="1" applyAlignment="1">
      <alignment horizontal="center" vertical="center" wrapText="1"/>
    </xf>
    <xf numFmtId="16" fontId="5" fillId="50" borderId="0" xfId="0" applyNumberFormat="1" applyFont="1" applyFill="1" applyAlignment="1">
      <alignment horizontal="center" vertical="center" wrapText="1"/>
    </xf>
    <xf numFmtId="0" fontId="5" fillId="50" borderId="0" xfId="0" applyFont="1" applyFill="1" applyAlignment="1">
      <alignment horizontal="center" vertical="center" wrapText="1"/>
    </xf>
    <xf numFmtId="0" fontId="4" fillId="50" borderId="0" xfId="0" applyFont="1" applyFill="1" applyAlignment="1">
      <alignment horizontal="center" vertical="center" wrapText="1"/>
    </xf>
    <xf numFmtId="0" fontId="5" fillId="50" borderId="0" xfId="0" applyFont="1" applyFill="1" applyAlignment="1">
      <alignment horizontal="left" vertical="center" wrapText="1"/>
    </xf>
    <xf numFmtId="0" fontId="3" fillId="50" borderId="0" xfId="0" applyFont="1" applyFill="1" applyAlignment="1">
      <alignment horizontal="center" vertical="center" wrapText="1"/>
    </xf>
    <xf numFmtId="43" fontId="10" fillId="50" borderId="0" xfId="1" applyFont="1" applyFill="1" applyAlignment="1">
      <alignment horizontal="center" vertical="center" wrapText="1"/>
    </xf>
    <xf numFmtId="0" fontId="0" fillId="50" borderId="0" xfId="0" applyFill="1"/>
    <xf numFmtId="165" fontId="3" fillId="52" borderId="0" xfId="1" applyNumberFormat="1" applyFont="1" applyFill="1" applyAlignment="1">
      <alignment horizontal="center" vertical="center" wrapText="1"/>
    </xf>
    <xf numFmtId="43" fontId="3" fillId="52" borderId="0" xfId="1" applyFont="1" applyFill="1" applyAlignment="1">
      <alignment horizontal="center" vertical="center"/>
    </xf>
    <xf numFmtId="43" fontId="3" fillId="52" borderId="0" xfId="1" applyFont="1" applyFill="1" applyAlignment="1">
      <alignment horizontal="center" vertical="center" wrapText="1"/>
    </xf>
    <xf numFmtId="16" fontId="5" fillId="52" borderId="0" xfId="0" applyNumberFormat="1" applyFont="1" applyFill="1" applyAlignment="1">
      <alignment horizontal="center" vertical="center" wrapText="1"/>
    </xf>
    <xf numFmtId="0" fontId="5" fillId="52" borderId="0" xfId="0" applyFont="1" applyFill="1" applyAlignment="1">
      <alignment horizontal="center" vertical="center" wrapText="1"/>
    </xf>
    <xf numFmtId="0" fontId="4" fillId="52" borderId="0" xfId="0" applyFont="1" applyFill="1" applyAlignment="1">
      <alignment horizontal="center" vertical="center" wrapText="1"/>
    </xf>
    <xf numFmtId="0" fontId="5" fillId="52" borderId="0" xfId="0" applyFont="1" applyFill="1" applyAlignment="1">
      <alignment horizontal="left" vertical="center" wrapText="1"/>
    </xf>
    <xf numFmtId="0" fontId="3" fillId="52" borderId="0" xfId="0" applyFont="1" applyFill="1" applyAlignment="1">
      <alignment horizontal="center" vertical="center" wrapText="1"/>
    </xf>
    <xf numFmtId="43" fontId="10" fillId="52" borderId="0" xfId="1" applyFont="1" applyFill="1" applyAlignment="1">
      <alignment horizontal="center" vertical="center" wrapText="1"/>
    </xf>
    <xf numFmtId="0" fontId="0" fillId="52" borderId="0" xfId="0" applyFill="1"/>
    <xf numFmtId="165" fontId="3" fillId="53" borderId="0" xfId="1" applyNumberFormat="1" applyFont="1" applyFill="1" applyAlignment="1">
      <alignment horizontal="center" vertical="center" wrapText="1"/>
    </xf>
    <xf numFmtId="0" fontId="8" fillId="0" borderId="0" xfId="1" applyNumberFormat="1" applyFont="1" applyFill="1" applyAlignment="1">
      <alignment horizontal="center" vertical="center"/>
    </xf>
    <xf numFmtId="0" fontId="9" fillId="0" borderId="0" xfId="2" applyNumberFormat="1" applyFont="1" applyFill="1" applyBorder="1" applyAlignment="1">
      <alignment horizontal="center" vertical="center" wrapText="1"/>
    </xf>
    <xf numFmtId="43" fontId="8" fillId="0" borderId="0" xfId="1" applyFont="1" applyFill="1" applyBorder="1" applyAlignment="1">
      <alignment horizontal="left" vertical="center"/>
    </xf>
    <xf numFmtId="16" fontId="3" fillId="0" borderId="0" xfId="0" applyNumberFormat="1" applyFont="1" applyAlignment="1">
      <alignment horizontal="center" vertical="center" wrapText="1"/>
    </xf>
    <xf numFmtId="170" fontId="4" fillId="0" borderId="0" xfId="1" applyNumberFormat="1" applyFont="1" applyAlignment="1">
      <alignment horizontal="center" vertical="center" wrapText="1"/>
    </xf>
    <xf numFmtId="170" fontId="3" fillId="0" borderId="0" xfId="1" applyNumberFormat="1" applyFont="1" applyAlignment="1">
      <alignment horizontal="center" vertical="center" wrapText="1"/>
    </xf>
    <xf numFmtId="170" fontId="3" fillId="0" borderId="0" xfId="1" applyNumberFormat="1" applyFont="1" applyFill="1" applyAlignment="1">
      <alignment horizontal="center" vertical="center"/>
    </xf>
    <xf numFmtId="170" fontId="3" fillId="0" borderId="0" xfId="1" applyNumberFormat="1" applyFont="1" applyFill="1" applyAlignment="1">
      <alignment horizontal="center" vertical="center" wrapText="1"/>
    </xf>
    <xf numFmtId="170" fontId="10" fillId="0" borderId="0" xfId="1" applyNumberFormat="1" applyFont="1" applyFill="1" applyAlignment="1">
      <alignment horizontal="center" vertical="center" wrapText="1"/>
    </xf>
    <xf numFmtId="170" fontId="3" fillId="0" borderId="0" xfId="1" applyNumberFormat="1" applyFont="1" applyFill="1" applyAlignment="1">
      <alignment horizontal="left" vertical="center"/>
    </xf>
    <xf numFmtId="0" fontId="25" fillId="0" borderId="0" xfId="0" applyFont="1" applyAlignment="1">
      <alignment horizontal="center" vertical="center"/>
    </xf>
    <xf numFmtId="0" fontId="2" fillId="0" borderId="0" xfId="0" applyFont="1"/>
    <xf numFmtId="43" fontId="2" fillId="0" borderId="0" xfId="1" applyFont="1" applyAlignment="1">
      <alignment vertical="center"/>
    </xf>
    <xf numFmtId="43" fontId="2" fillId="0" borderId="0" xfId="0" applyNumberFormat="1" applyFont="1" applyAlignment="1">
      <alignment vertical="center"/>
    </xf>
    <xf numFmtId="43" fontId="2" fillId="0" borderId="0" xfId="0" applyNumberFormat="1" applyFont="1"/>
    <xf numFmtId="43" fontId="25" fillId="0" borderId="0" xfId="0" applyNumberFormat="1" applyFont="1"/>
    <xf numFmtId="43" fontId="44" fillId="2" borderId="0" xfId="1" applyFont="1" applyFill="1" applyAlignment="1">
      <alignment horizontal="center" vertical="center" wrapText="1"/>
    </xf>
    <xf numFmtId="0" fontId="45" fillId="51" borderId="0" xfId="1" applyNumberFormat="1" applyFont="1" applyFill="1" applyAlignment="1">
      <alignment horizontal="center" vertical="center" wrapText="1"/>
    </xf>
    <xf numFmtId="0" fontId="45" fillId="0" borderId="0" xfId="0" applyFont="1" applyAlignment="1">
      <alignment horizontal="center" vertical="center" wrapText="1"/>
    </xf>
    <xf numFmtId="0" fontId="45" fillId="2" borderId="0" xfId="0" applyFont="1" applyFill="1" applyAlignment="1">
      <alignment horizontal="center" vertical="center" wrapText="1"/>
    </xf>
    <xf numFmtId="165" fontId="43" fillId="2" borderId="0" xfId="1" applyNumberFormat="1" applyFont="1" applyFill="1" applyAlignment="1">
      <alignment horizontal="center" vertical="center" wrapText="1"/>
    </xf>
    <xf numFmtId="43" fontId="43" fillId="2" borderId="0" xfId="1" applyFont="1" applyFill="1" applyAlignment="1">
      <alignment horizontal="center" vertical="center"/>
    </xf>
    <xf numFmtId="16" fontId="43" fillId="2" borderId="0" xfId="0" applyNumberFormat="1" applyFont="1" applyFill="1" applyAlignment="1">
      <alignment horizontal="center" vertical="center" wrapText="1"/>
    </xf>
    <xf numFmtId="0" fontId="43" fillId="2" borderId="0" xfId="0" applyFont="1" applyFill="1" applyAlignment="1">
      <alignment horizontal="center" vertical="center" wrapText="1"/>
    </xf>
    <xf numFmtId="0" fontId="43" fillId="2" borderId="0" xfId="0" applyFont="1" applyFill="1" applyAlignment="1">
      <alignment horizontal="left" vertical="center" wrapText="1"/>
    </xf>
    <xf numFmtId="0" fontId="38" fillId="2" borderId="0" xfId="0" applyFont="1" applyFill="1"/>
    <xf numFmtId="43" fontId="44" fillId="0" borderId="0" xfId="1" applyFont="1" applyFill="1" applyAlignment="1">
      <alignment horizontal="center" vertical="center" wrapText="1"/>
    </xf>
    <xf numFmtId="2" fontId="3" fillId="0" borderId="0" xfId="0" applyNumberFormat="1" applyFont="1" applyAlignment="1">
      <alignment vertical="center" wrapText="1"/>
    </xf>
    <xf numFmtId="0" fontId="5" fillId="0" borderId="21" xfId="0" applyFont="1" applyBorder="1" applyAlignment="1">
      <alignment horizontal="center" vertical="center" wrapText="1"/>
    </xf>
    <xf numFmtId="0" fontId="3" fillId="0" borderId="0" xfId="1" applyNumberFormat="1" applyFont="1" applyAlignment="1">
      <alignment horizontal="center" vertical="center" wrapText="1"/>
    </xf>
    <xf numFmtId="0" fontId="3" fillId="0" borderId="0" xfId="1" applyNumberFormat="1" applyFont="1" applyAlignment="1">
      <alignment horizontal="center" vertical="center"/>
    </xf>
    <xf numFmtId="43" fontId="3" fillId="0" borderId="0" xfId="1" applyFont="1" applyFill="1" applyBorder="1" applyAlignment="1">
      <alignment horizontal="left" vertical="center"/>
    </xf>
    <xf numFmtId="0" fontId="3" fillId="0" borderId="0" xfId="1" applyNumberFormat="1" applyFont="1" applyFill="1" applyAlignment="1">
      <alignment horizontal="center" vertical="center"/>
    </xf>
    <xf numFmtId="43" fontId="43" fillId="0" borderId="0" xfId="1" applyFont="1" applyFill="1" applyAlignment="1">
      <alignment horizontal="center" vertical="center" wrapText="1"/>
    </xf>
    <xf numFmtId="0" fontId="4" fillId="55" borderId="0" xfId="0" applyFont="1" applyFill="1" applyAlignment="1">
      <alignment horizontal="center" vertical="center" wrapText="1"/>
    </xf>
    <xf numFmtId="0" fontId="4" fillId="53" borderId="0" xfId="0" applyFont="1" applyFill="1" applyAlignment="1">
      <alignment horizontal="center" vertical="center" wrapText="1"/>
    </xf>
    <xf numFmtId="0" fontId="4" fillId="56" borderId="0" xfId="0" applyFont="1" applyFill="1" applyAlignment="1">
      <alignment horizontal="center" vertical="center" wrapText="1"/>
    </xf>
    <xf numFmtId="43" fontId="43" fillId="0" borderId="0" xfId="1" applyFont="1" applyAlignment="1">
      <alignment horizontal="center" vertical="center" wrapText="1"/>
    </xf>
    <xf numFmtId="0" fontId="3" fillId="57" borderId="0" xfId="0" applyFont="1" applyFill="1" applyAlignment="1">
      <alignment horizontal="center" vertical="center" wrapText="1"/>
    </xf>
    <xf numFmtId="43" fontId="3" fillId="57" borderId="0" xfId="1" applyFont="1" applyFill="1" applyAlignment="1">
      <alignment horizontal="center" vertical="center" wrapText="1"/>
    </xf>
    <xf numFmtId="165" fontId="3" fillId="0" borderId="23" xfId="1" applyNumberFormat="1" applyFont="1" applyFill="1" applyBorder="1" applyAlignment="1">
      <alignment horizontal="center" vertical="center" wrapText="1"/>
    </xf>
    <xf numFmtId="43" fontId="3" fillId="0" borderId="23" xfId="1" applyFont="1" applyFill="1" applyBorder="1" applyAlignment="1">
      <alignment horizontal="center" vertical="center"/>
    </xf>
    <xf numFmtId="43" fontId="3" fillId="0" borderId="23" xfId="1" applyFont="1" applyFill="1" applyBorder="1" applyAlignment="1">
      <alignment horizontal="center" vertical="center" wrapText="1"/>
    </xf>
    <xf numFmtId="16" fontId="5" fillId="0" borderId="23" xfId="0" applyNumberFormat="1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53" borderId="23" xfId="0" applyFont="1" applyFill="1" applyBorder="1" applyAlignment="1">
      <alignment horizontal="center" vertical="center" wrapText="1"/>
    </xf>
    <xf numFmtId="0" fontId="5" fillId="0" borderId="23" xfId="0" applyFont="1" applyBorder="1" applyAlignment="1">
      <alignment horizontal="left" vertical="center" wrapText="1"/>
    </xf>
    <xf numFmtId="0" fontId="3" fillId="0" borderId="23" xfId="0" applyFont="1" applyBorder="1" applyAlignment="1">
      <alignment horizontal="center" vertical="center" wrapText="1"/>
    </xf>
    <xf numFmtId="43" fontId="3" fillId="0" borderId="23" xfId="1" applyFont="1" applyBorder="1" applyAlignment="1">
      <alignment horizontal="center" vertical="center" wrapText="1"/>
    </xf>
    <xf numFmtId="43" fontId="10" fillId="0" borderId="23" xfId="1" applyFont="1" applyFill="1" applyBorder="1" applyAlignment="1">
      <alignment horizontal="center" vertical="center" wrapText="1"/>
    </xf>
    <xf numFmtId="0" fontId="46" fillId="0" borderId="0" xfId="1" applyNumberFormat="1" applyFont="1" applyFill="1" applyAlignment="1">
      <alignment horizontal="center" vertical="center" wrapText="1"/>
    </xf>
    <xf numFmtId="0" fontId="41" fillId="2" borderId="0" xfId="0" applyFont="1" applyFill="1" applyAlignment="1">
      <alignment horizontal="left" vertical="center" wrapText="1"/>
    </xf>
    <xf numFmtId="0" fontId="45" fillId="57" borderId="0" xfId="0" applyFont="1" applyFill="1" applyAlignment="1">
      <alignment horizontal="center" vertical="center" wrapText="1"/>
    </xf>
    <xf numFmtId="0" fontId="9" fillId="0" borderId="0" xfId="1" applyNumberFormat="1" applyFont="1" applyAlignment="1">
      <alignment horizontal="center" vertical="center" wrapText="1"/>
    </xf>
    <xf numFmtId="16" fontId="5" fillId="0" borderId="21" xfId="0" applyNumberFormat="1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43" fontId="3" fillId="0" borderId="21" xfId="1" applyFont="1" applyFill="1" applyBorder="1" applyAlignment="1">
      <alignment horizontal="center" vertical="center" wrapText="1"/>
    </xf>
    <xf numFmtId="43" fontId="7" fillId="0" borderId="0" xfId="2" applyNumberFormat="1" applyAlignment="1">
      <alignment horizontal="left" vertical="center"/>
    </xf>
    <xf numFmtId="16" fontId="5" fillId="0" borderId="20" xfId="0" applyNumberFormat="1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43" fontId="3" fillId="0" borderId="20" xfId="1" applyFont="1" applyBorder="1" applyAlignment="1">
      <alignment horizontal="center" vertical="center" wrapText="1"/>
    </xf>
    <xf numFmtId="0" fontId="5" fillId="0" borderId="21" xfId="0" applyFont="1" applyBorder="1" applyAlignment="1">
      <alignment horizontal="left" vertical="center" wrapText="1"/>
    </xf>
    <xf numFmtId="43" fontId="3" fillId="0" borderId="21" xfId="1" applyFont="1" applyBorder="1" applyAlignment="1">
      <alignment horizontal="center" vertical="center" wrapText="1"/>
    </xf>
    <xf numFmtId="43" fontId="3" fillId="0" borderId="20" xfId="1" applyFont="1" applyFill="1" applyBorder="1" applyAlignment="1">
      <alignment horizontal="center" vertical="center" wrapText="1"/>
    </xf>
    <xf numFmtId="165" fontId="0" fillId="0" borderId="0" xfId="1" applyNumberFormat="1" applyFont="1" applyFill="1" applyBorder="1" applyAlignment="1">
      <alignment horizontal="center" vertical="center" wrapText="1"/>
    </xf>
    <xf numFmtId="4" fontId="4" fillId="0" borderId="0" xfId="0" applyNumberFormat="1" applyFont="1" applyAlignment="1">
      <alignment horizontal="center" vertical="center" wrapText="1"/>
    </xf>
    <xf numFmtId="43" fontId="3" fillId="0" borderId="0" xfId="1" applyFont="1" applyAlignment="1">
      <alignment horizontal="left" vertical="center"/>
    </xf>
    <xf numFmtId="0" fontId="24" fillId="0" borderId="0" xfId="0" applyFont="1"/>
    <xf numFmtId="43" fontId="7" fillId="0" borderId="0" xfId="2" applyNumberFormat="1" applyFill="1" applyBorder="1" applyAlignment="1">
      <alignment horizontal="left" vertical="center"/>
    </xf>
    <xf numFmtId="43" fontId="3" fillId="0" borderId="0" xfId="1" applyFont="1" applyFill="1" applyBorder="1" applyAlignment="1">
      <alignment horizontal="left" vertical="center" wrapText="1"/>
    </xf>
    <xf numFmtId="0" fontId="4" fillId="58" borderId="0" xfId="0" applyFont="1" applyFill="1" applyAlignment="1">
      <alignment horizontal="center" vertical="center" wrapText="1"/>
    </xf>
    <xf numFmtId="0" fontId="4" fillId="59" borderId="0" xfId="0" applyFont="1" applyFill="1" applyAlignment="1">
      <alignment horizontal="center" vertical="center" wrapText="1"/>
    </xf>
    <xf numFmtId="43" fontId="44" fillId="0" borderId="0" xfId="1" applyFont="1" applyAlignment="1">
      <alignment horizontal="center" vertical="center" wrapText="1"/>
    </xf>
    <xf numFmtId="0" fontId="4" fillId="13" borderId="0" xfId="0" applyFont="1" applyFill="1" applyAlignment="1">
      <alignment horizontal="center" vertical="center" wrapText="1"/>
    </xf>
    <xf numFmtId="0" fontId="4" fillId="58" borderId="23" xfId="0" applyFont="1" applyFill="1" applyBorder="1" applyAlignment="1">
      <alignment horizontal="center" vertical="center" wrapText="1"/>
    </xf>
    <xf numFmtId="0" fontId="4" fillId="54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43" fillId="0" borderId="0" xfId="0" applyFont="1" applyAlignment="1">
      <alignment horizontal="center" vertical="center" wrapText="1"/>
    </xf>
    <xf numFmtId="171" fontId="5" fillId="0" borderId="0" xfId="0" applyNumberFormat="1" applyFont="1" applyAlignment="1">
      <alignment horizontal="center" vertical="center" wrapText="1"/>
    </xf>
    <xf numFmtId="171" fontId="43" fillId="0" borderId="0" xfId="0" applyNumberFormat="1" applyFont="1" applyAlignment="1">
      <alignment horizontal="center" vertical="center" wrapText="1"/>
    </xf>
    <xf numFmtId="0" fontId="47" fillId="0" borderId="0" xfId="0" applyFont="1" applyAlignment="1">
      <alignment horizontal="center" vertical="center" wrapText="1"/>
    </xf>
    <xf numFmtId="0" fontId="45" fillId="2" borderId="0" xfId="1" applyNumberFormat="1" applyFont="1" applyFill="1" applyAlignment="1">
      <alignment horizontal="center" vertical="center" wrapText="1"/>
    </xf>
    <xf numFmtId="0" fontId="8" fillId="52" borderId="0" xfId="1" applyNumberFormat="1" applyFont="1" applyFill="1" applyAlignment="1">
      <alignment horizontal="center" vertical="center" wrapText="1"/>
    </xf>
    <xf numFmtId="0" fontId="8" fillId="50" borderId="0" xfId="1" applyNumberFormat="1" applyFont="1" applyFill="1" applyAlignment="1">
      <alignment horizontal="center" vertical="center" wrapText="1"/>
    </xf>
    <xf numFmtId="0" fontId="8" fillId="2" borderId="0" xfId="1" applyNumberFormat="1" applyFont="1" applyFill="1" applyAlignment="1">
      <alignment horizontal="center" vertical="center" wrapText="1"/>
    </xf>
    <xf numFmtId="0" fontId="8" fillId="0" borderId="23" xfId="1" applyNumberFormat="1" applyFont="1" applyFill="1" applyBorder="1" applyAlignment="1">
      <alignment horizontal="center" vertical="center" wrapText="1"/>
    </xf>
    <xf numFmtId="0" fontId="45" fillId="59" borderId="0" xfId="0" applyFont="1" applyFill="1" applyAlignment="1">
      <alignment horizontal="center" vertical="center" wrapText="1"/>
    </xf>
    <xf numFmtId="0" fontId="3" fillId="59" borderId="0" xfId="0" applyFont="1" applyFill="1" applyAlignment="1">
      <alignment horizontal="center" vertical="center" wrapText="1"/>
    </xf>
    <xf numFmtId="0" fontId="44" fillId="59" borderId="0" xfId="0" applyFont="1" applyFill="1" applyAlignment="1">
      <alignment horizontal="center" vertical="center" wrapText="1"/>
    </xf>
    <xf numFmtId="165" fontId="48" fillId="0" borderId="0" xfId="1" applyNumberFormat="1" applyFont="1" applyFill="1" applyAlignment="1">
      <alignment horizontal="center" vertical="center" wrapText="1"/>
    </xf>
    <xf numFmtId="16" fontId="49" fillId="0" borderId="0" xfId="0" applyNumberFormat="1" applyFont="1" applyAlignment="1">
      <alignment horizontal="center" vertical="center" wrapText="1"/>
    </xf>
    <xf numFmtId="0" fontId="49" fillId="0" borderId="0" xfId="0" applyFont="1" applyAlignment="1">
      <alignment horizontal="center" vertical="center" wrapText="1"/>
    </xf>
    <xf numFmtId="0" fontId="49" fillId="0" borderId="0" xfId="0" applyFont="1" applyAlignment="1">
      <alignment horizontal="left" vertical="center" wrapText="1"/>
    </xf>
    <xf numFmtId="0" fontId="48" fillId="0" borderId="0" xfId="0" applyFont="1" applyAlignment="1">
      <alignment horizontal="center" vertical="center" wrapText="1"/>
    </xf>
    <xf numFmtId="43" fontId="48" fillId="0" borderId="0" xfId="1" applyFont="1" applyAlignment="1">
      <alignment horizontal="center" vertical="center" wrapText="1"/>
    </xf>
    <xf numFmtId="43" fontId="48" fillId="0" borderId="0" xfId="1" applyFont="1" applyFill="1" applyAlignment="1">
      <alignment horizontal="center" vertical="center" wrapText="1"/>
    </xf>
    <xf numFmtId="43" fontId="50" fillId="0" borderId="0" xfId="1" applyFont="1" applyFill="1" applyAlignment="1">
      <alignment horizontal="center" vertical="center" wrapText="1"/>
    </xf>
    <xf numFmtId="165" fontId="48" fillId="0" borderId="0" xfId="1" applyNumberFormat="1" applyFont="1" applyFill="1" applyBorder="1" applyAlignment="1">
      <alignment horizontal="center" vertical="center" wrapText="1"/>
    </xf>
    <xf numFmtId="0" fontId="49" fillId="0" borderId="20" xfId="0" applyFont="1" applyBorder="1" applyAlignment="1">
      <alignment horizontal="center" vertical="center" wrapText="1"/>
    </xf>
    <xf numFmtId="43" fontId="48" fillId="0" borderId="0" xfId="1" applyFont="1" applyBorder="1" applyAlignment="1">
      <alignment horizontal="center" vertical="center" wrapText="1"/>
    </xf>
    <xf numFmtId="43" fontId="48" fillId="0" borderId="0" xfId="1" applyFont="1" applyFill="1" applyBorder="1" applyAlignment="1">
      <alignment horizontal="center" vertical="center" wrapText="1"/>
    </xf>
    <xf numFmtId="43" fontId="50" fillId="0" borderId="0" xfId="1" applyFont="1" applyFill="1" applyBorder="1" applyAlignment="1">
      <alignment horizontal="center" vertical="center" wrapText="1"/>
    </xf>
    <xf numFmtId="171" fontId="49" fillId="0" borderId="0" xfId="0" applyNumberFormat="1" applyFont="1" applyAlignment="1">
      <alignment horizontal="center" vertical="center" wrapText="1"/>
    </xf>
    <xf numFmtId="0" fontId="48" fillId="0" borderId="0" xfId="1" applyNumberFormat="1" applyFont="1" applyFill="1" applyAlignment="1">
      <alignment horizontal="center" vertical="center" wrapText="1"/>
    </xf>
    <xf numFmtId="165" fontId="51" fillId="0" borderId="0" xfId="1" applyNumberFormat="1" applyFont="1" applyFill="1" applyAlignment="1">
      <alignment horizontal="center" vertical="center" wrapText="1"/>
    </xf>
    <xf numFmtId="16" fontId="52" fillId="0" borderId="0" xfId="0" applyNumberFormat="1" applyFont="1" applyAlignment="1">
      <alignment horizontal="center" vertical="center" wrapText="1"/>
    </xf>
    <xf numFmtId="0" fontId="52" fillId="0" borderId="0" xfId="0" applyFont="1" applyAlignment="1">
      <alignment horizontal="center" vertical="center" wrapText="1"/>
    </xf>
    <xf numFmtId="0" fontId="51" fillId="0" borderId="0" xfId="0" applyFont="1" applyAlignment="1">
      <alignment horizontal="center" vertical="center" wrapText="1"/>
    </xf>
    <xf numFmtId="43" fontId="51" fillId="0" borderId="0" xfId="1" applyFont="1" applyAlignment="1">
      <alignment horizontal="center" vertical="center" wrapText="1"/>
    </xf>
    <xf numFmtId="43" fontId="51" fillId="0" borderId="0" xfId="1" applyFont="1" applyFill="1" applyAlignment="1">
      <alignment horizontal="center" vertical="center" wrapText="1"/>
    </xf>
    <xf numFmtId="43" fontId="53" fillId="0" borderId="0" xfId="1" applyFont="1" applyFill="1" applyAlignment="1">
      <alignment horizontal="center" vertical="center" wrapText="1"/>
    </xf>
    <xf numFmtId="165" fontId="54" fillId="0" borderId="0" xfId="1" applyNumberFormat="1" applyFont="1" applyFill="1" applyAlignment="1">
      <alignment horizontal="center" vertical="center" wrapText="1"/>
    </xf>
    <xf numFmtId="16" fontId="55" fillId="0" borderId="0" xfId="0" applyNumberFormat="1" applyFont="1" applyAlignment="1">
      <alignment horizontal="center" vertical="center" wrapText="1"/>
    </xf>
    <xf numFmtId="0" fontId="55" fillId="0" borderId="0" xfId="0" applyFont="1" applyAlignment="1">
      <alignment horizontal="center" vertical="center" wrapText="1"/>
    </xf>
    <xf numFmtId="0" fontId="55" fillId="0" borderId="0" xfId="0" applyFont="1" applyAlignment="1">
      <alignment horizontal="left" vertical="center" wrapText="1"/>
    </xf>
    <xf numFmtId="0" fontId="54" fillId="0" borderId="0" xfId="0" applyFont="1" applyAlignment="1">
      <alignment horizontal="center" vertical="center" wrapText="1"/>
    </xf>
    <xf numFmtId="43" fontId="54" fillId="0" borderId="0" xfId="1" applyFont="1" applyAlignment="1">
      <alignment horizontal="center" vertical="center" wrapText="1"/>
    </xf>
    <xf numFmtId="43" fontId="54" fillId="0" borderId="0" xfId="1" applyFont="1" applyFill="1" applyAlignment="1">
      <alignment horizontal="center" vertical="center" wrapText="1"/>
    </xf>
    <xf numFmtId="43" fontId="56" fillId="0" borderId="0" xfId="1" applyFont="1" applyFill="1" applyAlignment="1">
      <alignment horizontal="center" vertical="center" wrapText="1"/>
    </xf>
    <xf numFmtId="0" fontId="42" fillId="0" borderId="0" xfId="0" applyFont="1" applyAlignment="1">
      <alignment horizontal="center" vertical="center" wrapText="1"/>
    </xf>
    <xf numFmtId="0" fontId="55" fillId="0" borderId="20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165" fontId="57" fillId="0" borderId="0" xfId="1" applyNumberFormat="1" applyFont="1" applyFill="1" applyAlignment="1">
      <alignment horizontal="center" vertical="center" wrapText="1"/>
    </xf>
    <xf numFmtId="16" fontId="58" fillId="0" borderId="0" xfId="0" applyNumberFormat="1" applyFont="1" applyAlignment="1">
      <alignment horizontal="center" vertical="center" wrapText="1"/>
    </xf>
    <xf numFmtId="0" fontId="58" fillId="0" borderId="0" xfId="0" applyFont="1" applyAlignment="1">
      <alignment horizontal="center" vertical="center" wrapText="1"/>
    </xf>
    <xf numFmtId="0" fontId="58" fillId="0" borderId="0" xfId="0" applyFont="1" applyAlignment="1">
      <alignment horizontal="left" vertical="center" wrapText="1"/>
    </xf>
    <xf numFmtId="0" fontId="57" fillId="0" borderId="0" xfId="0" applyFont="1" applyAlignment="1">
      <alignment horizontal="center" vertical="center" wrapText="1"/>
    </xf>
    <xf numFmtId="43" fontId="57" fillId="0" borderId="0" xfId="1" applyFont="1" applyAlignment="1">
      <alignment horizontal="center" vertical="center" wrapText="1"/>
    </xf>
    <xf numFmtId="43" fontId="57" fillId="0" borderId="0" xfId="1" applyFont="1" applyFill="1" applyAlignment="1">
      <alignment horizontal="center" vertical="center" wrapText="1"/>
    </xf>
    <xf numFmtId="43" fontId="59" fillId="0" borderId="0" xfId="1" applyFont="1" applyFill="1" applyAlignment="1">
      <alignment horizontal="center" vertical="center" wrapText="1"/>
    </xf>
    <xf numFmtId="0" fontId="0" fillId="0" borderId="24" xfId="0" applyBorder="1"/>
    <xf numFmtId="0" fontId="19" fillId="11" borderId="1" xfId="0" applyFont="1" applyFill="1" applyBorder="1" applyAlignment="1" applyProtection="1">
      <alignment horizontal="center" vertical="center"/>
      <protection hidden="1"/>
    </xf>
    <xf numFmtId="0" fontId="19" fillId="0" borderId="7" xfId="0" applyFont="1" applyBorder="1" applyAlignment="1" applyProtection="1">
      <alignment horizontal="center" vertical="center"/>
      <protection hidden="1"/>
    </xf>
    <xf numFmtId="0" fontId="19" fillId="0" borderId="8" xfId="0" applyFont="1" applyBorder="1" applyAlignment="1" applyProtection="1">
      <alignment horizontal="center" vertical="center"/>
      <protection hidden="1"/>
    </xf>
    <xf numFmtId="0" fontId="19" fillId="0" borderId="7" xfId="0" applyFont="1" applyBorder="1" applyAlignment="1" applyProtection="1">
      <alignment horizontal="center" vertical="center" wrapText="1"/>
      <protection hidden="1"/>
    </xf>
    <xf numFmtId="0" fontId="19" fillId="0" borderId="8" xfId="0" applyFont="1" applyBorder="1" applyAlignment="1" applyProtection="1">
      <alignment horizontal="center" vertical="center" wrapText="1"/>
      <protection hidden="1"/>
    </xf>
    <xf numFmtId="0" fontId="19" fillId="0" borderId="10" xfId="0" applyFont="1" applyBorder="1" applyAlignment="1" applyProtection="1">
      <alignment horizontal="center" vertical="center"/>
      <protection hidden="1"/>
    </xf>
    <xf numFmtId="0" fontId="19" fillId="0" borderId="10" xfId="0" applyFont="1" applyBorder="1" applyAlignment="1" applyProtection="1">
      <alignment horizontal="center" vertical="center" wrapText="1"/>
      <protection hidden="1"/>
    </xf>
    <xf numFmtId="0" fontId="21" fillId="8" borderId="2" xfId="0" applyFont="1" applyFill="1" applyBorder="1" applyAlignment="1" applyProtection="1">
      <alignment horizontal="center" vertical="center"/>
      <protection hidden="1"/>
    </xf>
    <xf numFmtId="0" fontId="21" fillId="8" borderId="3" xfId="0" applyFont="1" applyFill="1" applyBorder="1" applyAlignment="1" applyProtection="1">
      <alignment horizontal="center" vertical="center"/>
      <protection hidden="1"/>
    </xf>
    <xf numFmtId="0" fontId="21" fillId="8" borderId="4" xfId="0" applyFont="1" applyFill="1" applyBorder="1" applyAlignment="1" applyProtection="1">
      <alignment horizontal="center" vertical="center"/>
      <protection hidden="1"/>
    </xf>
    <xf numFmtId="0" fontId="18" fillId="6" borderId="1" xfId="3" applyFont="1" applyFill="1" applyBorder="1" applyAlignment="1" applyProtection="1">
      <alignment horizontal="center" vertical="center" wrapText="1"/>
      <protection hidden="1"/>
    </xf>
    <xf numFmtId="0" fontId="13" fillId="0" borderId="1" xfId="3" applyFont="1" applyBorder="1" applyAlignment="1" applyProtection="1">
      <alignment horizontal="center" vertical="center"/>
      <protection hidden="1"/>
    </xf>
    <xf numFmtId="0" fontId="14" fillId="10" borderId="1" xfId="3" applyFont="1" applyFill="1" applyBorder="1" applyAlignment="1" applyProtection="1">
      <alignment horizontal="center" vertical="center" wrapText="1"/>
      <protection hidden="1"/>
    </xf>
    <xf numFmtId="0" fontId="15" fillId="4" borderId="1" xfId="4" applyFont="1" applyFill="1" applyBorder="1" applyAlignment="1" applyProtection="1">
      <alignment horizontal="center" vertical="center" wrapText="1"/>
      <protection hidden="1"/>
    </xf>
    <xf numFmtId="0" fontId="16" fillId="5" borderId="1" xfId="3" applyFont="1" applyFill="1" applyBorder="1" applyAlignment="1" applyProtection="1">
      <alignment horizontal="center" vertical="center" wrapText="1"/>
      <protection hidden="1"/>
    </xf>
    <xf numFmtId="0" fontId="17" fillId="5" borderId="1" xfId="3" applyFont="1" applyFill="1" applyBorder="1" applyAlignment="1" applyProtection="1">
      <alignment horizontal="center" vertical="center" wrapText="1"/>
      <protection hidden="1"/>
    </xf>
    <xf numFmtId="49" fontId="15" fillId="4" borderId="1" xfId="4" applyNumberFormat="1" applyFont="1" applyFill="1" applyBorder="1" applyAlignment="1" applyProtection="1">
      <alignment horizontal="center" vertical="center" wrapText="1"/>
      <protection hidden="1"/>
    </xf>
    <xf numFmtId="0" fontId="18" fillId="6" borderId="2" xfId="3" applyFont="1" applyFill="1" applyBorder="1" applyAlignment="1" applyProtection="1">
      <alignment horizontal="center" vertical="center" wrapText="1"/>
      <protection hidden="1"/>
    </xf>
    <xf numFmtId="0" fontId="18" fillId="6" borderId="3" xfId="3" applyFont="1" applyFill="1" applyBorder="1" applyAlignment="1" applyProtection="1">
      <alignment horizontal="center" vertical="center" wrapText="1"/>
      <protection hidden="1"/>
    </xf>
    <xf numFmtId="0" fontId="18" fillId="6" borderId="4" xfId="3" applyFont="1" applyFill="1" applyBorder="1" applyAlignment="1" applyProtection="1">
      <alignment horizontal="center" vertical="center" wrapText="1"/>
      <protection hidden="1"/>
    </xf>
    <xf numFmtId="0" fontId="22" fillId="7" borderId="1" xfId="3" applyFont="1" applyFill="1" applyBorder="1" applyAlignment="1" applyProtection="1">
      <alignment vertical="center"/>
      <protection hidden="1"/>
    </xf>
    <xf numFmtId="14" fontId="18" fillId="6" borderId="1" xfId="3" applyNumberFormat="1" applyFont="1" applyFill="1" applyBorder="1" applyAlignment="1" applyProtection="1">
      <alignment horizontal="center" vertical="center" wrapText="1"/>
      <protection hidden="1"/>
    </xf>
    <xf numFmtId="0" fontId="19" fillId="12" borderId="1" xfId="0" applyFont="1" applyFill="1" applyBorder="1" applyAlignment="1" applyProtection="1">
      <alignment horizontal="center" vertical="center"/>
      <protection hidden="1"/>
    </xf>
    <xf numFmtId="0" fontId="23" fillId="11" borderId="2" xfId="0" applyFont="1" applyFill="1" applyBorder="1" applyAlignment="1" applyProtection="1">
      <alignment horizontal="center" vertical="center"/>
      <protection hidden="1"/>
    </xf>
    <xf numFmtId="0" fontId="23" fillId="11" borderId="3" xfId="0" applyFont="1" applyFill="1" applyBorder="1" applyAlignment="1" applyProtection="1">
      <alignment horizontal="center" vertical="center"/>
      <protection hidden="1"/>
    </xf>
    <xf numFmtId="0" fontId="23" fillId="11" borderId="4" xfId="0" applyFont="1" applyFill="1" applyBorder="1" applyAlignment="1" applyProtection="1">
      <alignment horizontal="center" vertical="center"/>
      <protection hidden="1"/>
    </xf>
    <xf numFmtId="0" fontId="6" fillId="0" borderId="0" xfId="0" applyFont="1" applyAlignment="1">
      <alignment horizontal="left" vertical="center"/>
    </xf>
    <xf numFmtId="0" fontId="60" fillId="0" borderId="0" xfId="0" applyNumberFormat="1" applyFont="1" applyFill="1" applyAlignment="1">
      <alignment horizontal="center" vertical="center" wrapText="1"/>
    </xf>
    <xf numFmtId="0" fontId="2" fillId="0" borderId="25" xfId="0" applyFont="1" applyBorder="1" applyAlignment="1">
      <alignment horizontal="center" vertical="center" wrapText="1"/>
    </xf>
  </cellXfs>
  <cellStyles count="48">
    <cellStyle name="20% - Accent1" xfId="25" builtinId="30" customBuiltin="1"/>
    <cellStyle name="20% - Accent2" xfId="29" builtinId="34" customBuiltin="1"/>
    <cellStyle name="20% - Accent3" xfId="33" builtinId="38" customBuiltin="1"/>
    <cellStyle name="20% - Accent4" xfId="37" builtinId="42" customBuiltin="1"/>
    <cellStyle name="20% - Accent5" xfId="41" builtinId="46" customBuiltin="1"/>
    <cellStyle name="20% - Accent6" xfId="45" builtinId="50" customBuiltin="1"/>
    <cellStyle name="40% - Accent1" xfId="26" builtinId="31" customBuiltin="1"/>
    <cellStyle name="40% - Accent2" xfId="30" builtinId="35" customBuiltin="1"/>
    <cellStyle name="40% - Accent3" xfId="34" builtinId="39" customBuiltin="1"/>
    <cellStyle name="40% - Accent4" xfId="38" builtinId="43" customBuiltin="1"/>
    <cellStyle name="40% - Accent5" xfId="42" builtinId="47" customBuiltin="1"/>
    <cellStyle name="40% - Accent6" xfId="46" builtinId="51" customBuiltin="1"/>
    <cellStyle name="60% - Accent1" xfId="27" builtinId="32" customBuiltin="1"/>
    <cellStyle name="60% - Accent2" xfId="31" builtinId="36" customBuiltin="1"/>
    <cellStyle name="60% - Accent3" xfId="35" builtinId="40" customBuiltin="1"/>
    <cellStyle name="60% - Accent4" xfId="39" builtinId="44" customBuiltin="1"/>
    <cellStyle name="60% - Accent5" xfId="43" builtinId="48" customBuiltin="1"/>
    <cellStyle name="60% - Accent6" xfId="47" builtinId="52" customBuiltin="1"/>
    <cellStyle name="Accent1" xfId="24" builtinId="29" customBuiltin="1"/>
    <cellStyle name="Accent2" xfId="28" builtinId="33" customBuiltin="1"/>
    <cellStyle name="Accent3" xfId="32" builtinId="37" customBuiltin="1"/>
    <cellStyle name="Accent4" xfId="36" builtinId="41" customBuiltin="1"/>
    <cellStyle name="Accent5" xfId="40" builtinId="45" customBuiltin="1"/>
    <cellStyle name="Accent6" xfId="44" builtinId="49" customBuiltin="1"/>
    <cellStyle name="Bad" xfId="13" builtinId="27" customBuiltin="1"/>
    <cellStyle name="Calculation" xfId="17" builtinId="22" customBuiltin="1"/>
    <cellStyle name="Check Cell" xfId="19" builtinId="23" customBuiltin="1"/>
    <cellStyle name="Comma" xfId="1" builtinId="3"/>
    <cellStyle name="Currency" xfId="6" builtinId="4"/>
    <cellStyle name="Explanatory Text" xfId="22" builtinId="53" customBuiltin="1"/>
    <cellStyle name="Good" xfId="12" builtinId="26" customBuiltin="1"/>
    <cellStyle name="Heading 1" xfId="8" builtinId="16" customBuiltin="1"/>
    <cellStyle name="Heading 2" xfId="9" builtinId="17" customBuiltin="1"/>
    <cellStyle name="Heading 3" xfId="10" builtinId="18" customBuiltin="1"/>
    <cellStyle name="Heading 4" xfId="11" builtinId="19" customBuiltin="1"/>
    <cellStyle name="Hyperlink" xfId="2" builtinId="8"/>
    <cellStyle name="Input" xfId="15" builtinId="20" customBuiltin="1"/>
    <cellStyle name="Linked Cell" xfId="18" builtinId="24" customBuiltin="1"/>
    <cellStyle name="Moneda 2" xfId="5" xr:uid="{7708ABB4-AE7B-AB4A-BA5F-EF143914B280}"/>
    <cellStyle name="Neutral" xfId="14" builtinId="28" customBuiltin="1"/>
    <cellStyle name="Normal" xfId="0" builtinId="0"/>
    <cellStyle name="Normal 2 3" xfId="4" xr:uid="{8EE267D0-D4BC-7D42-98B4-80F2D8A9B3FF}"/>
    <cellStyle name="Normal 3 2 2" xfId="3" xr:uid="{521D3A5B-BD32-B540-B5B4-167F868C9C64}"/>
    <cellStyle name="Note" xfId="21" builtinId="10" customBuiltin="1"/>
    <cellStyle name="Output" xfId="16" builtinId="21" customBuiltin="1"/>
    <cellStyle name="Title" xfId="7" builtinId="15" customBuiltin="1"/>
    <cellStyle name="Total" xfId="23" builtinId="25" customBuiltin="1"/>
    <cellStyle name="Warning Text" xfId="20" builtinId="11" customBuiltin="1"/>
  </cellStyles>
  <dxfs count="789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scheme val="none"/>
      </font>
      <numFmt numFmtId="172" formatCode="dd\-mmm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165" formatCode="00000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ptos Narrow"/>
        <scheme val="none"/>
      </font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u val="none"/>
        <color theme="1"/>
      </font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b/>
        <i val="0"/>
        <u val="none"/>
        <color theme="1"/>
      </font>
    </dxf>
    <dxf>
      <fill>
        <patternFill>
          <bgColor theme="9" tint="0.79998168889431442"/>
        </patternFill>
      </fill>
    </dxf>
    <dxf>
      <font>
        <b/>
        <i val="0"/>
        <u val="none"/>
        <color theme="1"/>
      </font>
    </dxf>
    <dxf>
      <fill>
        <patternFill>
          <bgColor theme="0" tint="-0.14996795556505021"/>
        </patternFill>
      </fill>
    </dxf>
    <dxf>
      <fill>
        <patternFill>
          <bgColor theme="9" tint="0.79998168889431442"/>
        </patternFill>
      </fill>
    </dxf>
    <dxf>
      <font>
        <b/>
        <i val="0"/>
        <u val="none"/>
        <color theme="1"/>
      </font>
    </dxf>
    <dxf>
      <fill>
        <patternFill>
          <bgColor theme="0" tint="-0.14996795556505021"/>
        </patternFill>
      </fill>
    </dxf>
    <dxf>
      <fill>
        <patternFill>
          <bgColor theme="9" tint="0.79998168889431442"/>
        </patternFill>
      </fill>
    </dxf>
    <dxf>
      <font>
        <b/>
        <i val="0"/>
        <u val="none"/>
        <color theme="1"/>
      </font>
    </dxf>
    <dxf>
      <fill>
        <patternFill>
          <bgColor theme="0" tint="-0.14996795556505021"/>
        </patternFill>
      </fill>
    </dxf>
    <dxf>
      <fill>
        <patternFill>
          <bgColor theme="9" tint="0.79998168889431442"/>
        </patternFill>
      </fill>
    </dxf>
    <dxf>
      <font>
        <b/>
        <i val="0"/>
        <u val="none"/>
        <color theme="1"/>
      </font>
    </dxf>
    <dxf>
      <fill>
        <patternFill>
          <bgColor theme="0" tint="-0.14996795556505021"/>
        </patternFill>
      </fill>
    </dxf>
    <dxf>
      <fill>
        <patternFill>
          <bgColor theme="9" tint="0.79998168889431442"/>
        </patternFill>
      </fill>
    </dxf>
    <dxf>
      <font>
        <b/>
        <i val="0"/>
        <u val="none"/>
        <color theme="1"/>
      </font>
    </dxf>
    <dxf>
      <fill>
        <patternFill>
          <bgColor theme="0" tint="-0.14996795556505021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ont>
        <b/>
        <i val="0"/>
        <u val="none"/>
        <color theme="1"/>
      </font>
    </dxf>
    <dxf>
      <fill>
        <patternFill>
          <bgColor theme="9" tint="0.79998168889431442"/>
        </patternFill>
      </fill>
    </dxf>
    <dxf>
      <fill>
        <patternFill>
          <bgColor theme="0" tint="-0.14996795556505021"/>
        </patternFill>
      </fill>
    </dxf>
    <dxf>
      <fill>
        <patternFill>
          <bgColor theme="9" tint="0.79998168889431442"/>
        </patternFill>
      </fill>
    </dxf>
    <dxf>
      <font>
        <b/>
        <i val="0"/>
        <u val="none"/>
        <color theme="1"/>
      </font>
    </dxf>
    <dxf>
      <fill>
        <patternFill>
          <bgColor theme="0" tint="-0.14996795556505021"/>
        </patternFill>
      </fill>
    </dxf>
    <dxf>
      <fill>
        <patternFill>
          <bgColor theme="9" tint="0.79998168889431442"/>
        </patternFill>
      </fill>
    </dxf>
    <dxf>
      <font>
        <b/>
        <i val="0"/>
        <u val="none"/>
        <color theme="1"/>
      </font>
    </dxf>
    <dxf>
      <fill>
        <patternFill>
          <bgColor theme="0" tint="-0.14996795556505021"/>
        </patternFill>
      </fill>
    </dxf>
    <dxf>
      <fill>
        <patternFill>
          <bgColor theme="9" tint="0.79998168889431442"/>
        </patternFill>
      </fill>
    </dxf>
    <dxf>
      <font>
        <b/>
        <i val="0"/>
        <u val="none"/>
        <color theme="1"/>
      </font>
    </dxf>
    <dxf>
      <fill>
        <patternFill>
          <bgColor theme="0" tint="-0.14996795556505021"/>
        </patternFill>
      </fill>
    </dxf>
    <dxf>
      <fill>
        <patternFill>
          <bgColor theme="9" tint="0.79998168889431442"/>
        </patternFill>
      </fill>
    </dxf>
    <dxf>
      <font>
        <b/>
        <i val="0"/>
        <u val="none"/>
        <color theme="1"/>
      </font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ont>
        <b/>
        <i val="0"/>
        <u val="none"/>
        <color theme="1"/>
      </font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ont>
        <b/>
        <i val="0"/>
        <u val="none"/>
        <color theme="1"/>
      </font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ont>
        <b/>
        <i val="0"/>
        <u val="none"/>
        <color theme="1"/>
      </font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ont>
        <b/>
        <i val="0"/>
        <u val="none"/>
        <color theme="1"/>
      </font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ont>
        <b/>
        <i val="0"/>
        <u val="none"/>
        <color theme="1"/>
      </font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ont>
        <b/>
        <i val="0"/>
        <u val="none"/>
        <color theme="1"/>
      </font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ont>
        <b/>
        <i val="0"/>
        <u val="none"/>
        <color theme="1"/>
      </font>
    </dxf>
    <dxf>
      <fill>
        <patternFill>
          <bgColor theme="9" tint="0.79998168889431442"/>
        </patternFill>
      </fill>
    </dxf>
    <dxf>
      <font>
        <b/>
        <i val="0"/>
        <u val="none"/>
        <color theme="1"/>
      </font>
    </dxf>
    <dxf>
      <fill>
        <patternFill>
          <bgColor theme="0" tint="-4.9989318521683403E-2"/>
        </patternFill>
      </fill>
    </dxf>
    <dxf>
      <font>
        <b/>
        <i val="0"/>
        <u val="none"/>
        <color theme="1"/>
      </font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ont>
        <b/>
        <i val="0"/>
        <u val="none"/>
        <color theme="1"/>
      </font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ont>
        <b/>
        <i val="0"/>
        <u val="none"/>
        <color theme="1"/>
      </font>
    </dxf>
    <dxf>
      <font>
        <b/>
        <i val="0"/>
        <u val="none"/>
        <color theme="1"/>
      </font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ont>
        <b/>
        <i val="0"/>
        <u val="none"/>
        <color theme="1"/>
      </font>
    </dxf>
    <dxf>
      <fill>
        <patternFill>
          <bgColor theme="9" tint="0.59996337778862885"/>
        </patternFill>
      </fill>
    </dxf>
    <dxf>
      <font>
        <b/>
        <i val="0"/>
        <u val="none"/>
        <color theme="1"/>
      </font>
    </dxf>
    <dxf>
      <fill>
        <patternFill>
          <bgColor theme="9" tint="0.59996337778862885"/>
        </patternFill>
      </fill>
    </dxf>
    <dxf>
      <font>
        <b/>
        <i val="0"/>
        <u val="none"/>
        <color theme="1"/>
      </font>
    </dxf>
    <dxf>
      <fill>
        <patternFill>
          <bgColor theme="9" tint="0.59996337778862885"/>
        </patternFill>
      </fill>
    </dxf>
    <dxf>
      <font>
        <b/>
        <i val="0"/>
        <u val="none"/>
        <color theme="1"/>
      </font>
    </dxf>
    <dxf>
      <font>
        <b/>
        <i val="0"/>
        <u val="none"/>
        <color theme="1"/>
      </font>
    </dxf>
    <dxf>
      <fill>
        <patternFill>
          <bgColor theme="9" tint="0.59996337778862885"/>
        </patternFill>
      </fill>
    </dxf>
    <dxf>
      <font>
        <b/>
        <i val="0"/>
        <u val="none"/>
        <color theme="1"/>
      </font>
    </dxf>
    <dxf>
      <fill>
        <patternFill>
          <bgColor theme="9" tint="0.59996337778862885"/>
        </patternFill>
      </fill>
    </dxf>
    <dxf>
      <font>
        <b/>
        <i val="0"/>
        <u val="none"/>
        <color theme="1"/>
      </font>
    </dxf>
    <dxf>
      <fill>
        <patternFill>
          <bgColor theme="9" tint="0.59996337778862885"/>
        </patternFill>
      </fill>
    </dxf>
    <dxf>
      <font>
        <b/>
        <i val="0"/>
        <u val="none"/>
        <color theme="1"/>
      </font>
    </dxf>
    <dxf>
      <fill>
        <patternFill>
          <bgColor theme="9" tint="0.59996337778862885"/>
        </patternFill>
      </fill>
    </dxf>
    <dxf>
      <font>
        <b/>
        <i val="0"/>
        <u val="none"/>
        <color theme="1"/>
      </font>
    </dxf>
    <dxf>
      <fill>
        <patternFill>
          <bgColor theme="9" tint="0.59996337778862885"/>
        </patternFill>
      </fill>
    </dxf>
    <dxf>
      <font>
        <b/>
        <i val="0"/>
        <u val="none"/>
        <color theme="1"/>
      </font>
    </dxf>
    <dxf>
      <fill>
        <patternFill>
          <bgColor theme="9" tint="0.59996337778862885"/>
        </patternFill>
      </fill>
    </dxf>
    <dxf>
      <font>
        <b/>
        <i val="0"/>
        <u val="none"/>
        <color theme="1"/>
      </font>
    </dxf>
    <dxf>
      <fill>
        <patternFill>
          <bgColor theme="9" tint="0.59996337778862885"/>
        </patternFill>
      </fill>
    </dxf>
    <dxf>
      <font>
        <b/>
        <i val="0"/>
        <u val="none"/>
        <color theme="1"/>
      </font>
    </dxf>
    <dxf>
      <fill>
        <patternFill>
          <bgColor theme="9" tint="0.59996337778862885"/>
        </patternFill>
      </fill>
    </dxf>
    <dxf>
      <font>
        <b/>
        <i val="0"/>
        <u val="none"/>
        <color theme="1"/>
      </font>
    </dxf>
    <dxf>
      <fill>
        <patternFill>
          <bgColor theme="9" tint="0.59996337778862885"/>
        </patternFill>
      </fill>
    </dxf>
    <dxf>
      <font>
        <b/>
        <i val="0"/>
        <u val="none"/>
        <color theme="1"/>
      </font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b/>
        <i val="0"/>
        <u val="none"/>
        <color theme="1"/>
      </font>
    </dxf>
    <dxf>
      <font>
        <b/>
        <i val="0"/>
        <u val="none"/>
        <color theme="1"/>
      </font>
    </dxf>
    <dxf>
      <fill>
        <patternFill>
          <bgColor theme="9" tint="0.59996337778862885"/>
        </patternFill>
      </fill>
    </dxf>
    <dxf>
      <font>
        <b/>
        <i val="0"/>
        <u val="none"/>
        <color theme="1"/>
      </font>
    </dxf>
    <dxf>
      <fill>
        <patternFill>
          <bgColor theme="9" tint="0.59996337778862885"/>
        </patternFill>
      </fill>
    </dxf>
    <dxf>
      <font>
        <b/>
        <i val="0"/>
        <u val="none"/>
        <color theme="1"/>
      </font>
    </dxf>
    <dxf>
      <fill>
        <patternFill>
          <bgColor theme="9" tint="0.59996337778862885"/>
        </patternFill>
      </fill>
    </dxf>
    <dxf>
      <font>
        <b/>
        <i val="0"/>
        <u val="none"/>
        <color theme="1"/>
      </font>
    </dxf>
    <dxf>
      <fill>
        <patternFill>
          <bgColor theme="9" tint="0.59996337778862885"/>
        </patternFill>
      </fill>
    </dxf>
    <dxf>
      <font>
        <b/>
        <i val="0"/>
        <u val="none"/>
        <color theme="1"/>
      </font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b/>
        <i val="0"/>
        <u val="none"/>
        <color theme="1"/>
      </font>
    </dxf>
    <dxf>
      <fill>
        <patternFill>
          <bgColor theme="9" tint="0.59996337778862885"/>
        </patternFill>
      </fill>
    </dxf>
    <dxf>
      <font>
        <b/>
        <i val="0"/>
        <u val="none"/>
        <color theme="1"/>
      </font>
    </dxf>
    <dxf>
      <font>
        <b/>
        <i val="0"/>
        <u val="none"/>
        <color theme="1"/>
      </font>
    </dxf>
    <dxf>
      <fill>
        <patternFill>
          <bgColor theme="9" tint="0.59996337778862885"/>
        </patternFill>
      </fill>
    </dxf>
    <dxf>
      <font>
        <b/>
        <i val="0"/>
        <u val="none"/>
        <color theme="1"/>
      </font>
    </dxf>
    <dxf>
      <fill>
        <patternFill>
          <bgColor theme="9" tint="0.59996337778862885"/>
        </patternFill>
      </fill>
    </dxf>
    <dxf>
      <font>
        <b/>
        <i val="0"/>
        <u val="none"/>
        <color theme="1"/>
      </font>
    </dxf>
    <dxf>
      <font>
        <b/>
        <i val="0"/>
        <u val="none"/>
        <color theme="1"/>
      </font>
    </dxf>
    <dxf>
      <font>
        <b/>
        <i val="0"/>
        <u val="none"/>
        <color theme="1"/>
      </font>
    </dxf>
    <dxf>
      <font>
        <b/>
        <i val="0"/>
        <u val="none"/>
        <color theme="1"/>
      </font>
    </dxf>
    <dxf>
      <font>
        <b/>
        <i val="0"/>
        <u val="none"/>
        <color theme="1"/>
      </font>
    </dxf>
    <dxf>
      <font>
        <b/>
        <i val="0"/>
        <u val="none"/>
        <color theme="1"/>
      </font>
    </dxf>
    <dxf>
      <fill>
        <patternFill>
          <bgColor theme="9" tint="0.79998168889431442"/>
        </patternFill>
      </fill>
    </dxf>
    <dxf>
      <font>
        <b/>
        <i val="0"/>
        <u val="none"/>
        <color theme="1"/>
      </font>
    </dxf>
    <dxf>
      <font>
        <b/>
        <i val="0"/>
        <u val="none"/>
        <color theme="1"/>
      </font>
    </dxf>
    <dxf>
      <font>
        <b/>
        <i val="0"/>
        <u val="none"/>
        <color theme="1"/>
      </font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ont>
        <b/>
        <i val="0"/>
        <u val="none"/>
        <color theme="1"/>
      </font>
    </dxf>
    <dxf>
      <fill>
        <patternFill>
          <bgColor theme="0" tint="-4.9989318521683403E-2"/>
        </patternFill>
      </fill>
    </dxf>
    <dxf>
      <fill>
        <patternFill>
          <bgColor theme="9" tint="0.79998168889431442"/>
        </patternFill>
      </fill>
    </dxf>
    <dxf>
      <font>
        <b/>
        <i val="0"/>
        <u val="none"/>
        <color theme="1"/>
      </font>
    </dxf>
    <dxf>
      <font>
        <b/>
        <i val="0"/>
        <u val="none"/>
        <color theme="1"/>
      </font>
    </dxf>
    <dxf>
      <font>
        <b/>
        <i val="0"/>
        <u val="none"/>
        <color theme="1"/>
      </font>
    </dxf>
    <dxf>
      <font>
        <b/>
        <i val="0"/>
        <u val="none"/>
        <color theme="1"/>
      </font>
    </dxf>
    <dxf>
      <font>
        <b/>
        <i val="0"/>
        <u val="none"/>
        <color theme="1"/>
      </font>
    </dxf>
    <dxf>
      <font>
        <b/>
        <i val="0"/>
        <u val="none"/>
        <color theme="1"/>
      </font>
    </dxf>
    <dxf>
      <fill>
        <patternFill>
          <bgColor theme="0" tint="-0.14996795556505021"/>
        </patternFill>
      </fill>
    </dxf>
    <dxf>
      <fill>
        <patternFill>
          <bgColor theme="9" tint="0.79998168889431442"/>
        </patternFill>
      </fill>
    </dxf>
    <dxf>
      <font>
        <b/>
        <i val="0"/>
        <u val="none"/>
        <color theme="1"/>
      </font>
    </dxf>
    <dxf>
      <fill>
        <patternFill>
          <bgColor theme="0" tint="-0.14996795556505021"/>
        </patternFill>
      </fill>
    </dxf>
    <dxf>
      <fill>
        <patternFill>
          <bgColor theme="9" tint="0.79998168889431442"/>
        </patternFill>
      </fill>
    </dxf>
    <dxf>
      <font>
        <b/>
        <i val="0"/>
        <u val="none"/>
        <color theme="1"/>
      </font>
    </dxf>
    <dxf>
      <fill>
        <patternFill>
          <bgColor rgb="FFE2E2E2"/>
        </patternFill>
      </fill>
    </dxf>
    <dxf>
      <fill>
        <patternFill>
          <bgColor theme="6" tint="0.79998168889431442"/>
        </patternFill>
      </fill>
    </dxf>
    <dxf>
      <font>
        <b/>
        <i val="0"/>
        <u val="none"/>
        <color theme="1"/>
      </font>
    </dxf>
    <dxf>
      <fill>
        <patternFill>
          <bgColor rgb="FFE2E2E2"/>
        </patternFill>
      </fill>
    </dxf>
    <dxf>
      <fill>
        <patternFill>
          <bgColor theme="6" tint="0.79998168889431442"/>
        </patternFill>
      </fill>
    </dxf>
    <dxf>
      <font>
        <b/>
        <i val="0"/>
        <u val="none"/>
        <color theme="1"/>
      </font>
    </dxf>
    <dxf>
      <fill>
        <patternFill>
          <bgColor rgb="FFE2E2E2"/>
        </patternFill>
      </fill>
    </dxf>
    <dxf>
      <fill>
        <patternFill>
          <bgColor theme="6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scheme val="none"/>
      </font>
      <numFmt numFmtId="172" formatCode="dd\-mmm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165" formatCode="00000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scheme val="none"/>
      </font>
      <numFmt numFmtId="172" formatCode="dd\-mmm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165" formatCode="00000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scheme val="none"/>
      </font>
      <numFmt numFmtId="172" formatCode="dd\-mmm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165" formatCode="00000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scheme val="none"/>
      </font>
      <numFmt numFmtId="172" formatCode="dd\-mmm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165" formatCode="00000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scheme val="none"/>
      </font>
      <numFmt numFmtId="172" formatCode="dd\-mmm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165" formatCode="00000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scheme val="none"/>
      </font>
      <numFmt numFmtId="21" formatCode="d\-mmm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165" formatCode="00000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scheme val="none"/>
      </font>
      <numFmt numFmtId="21" formatCode="d\-mmm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165" formatCode="00000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scheme val="none"/>
      </font>
      <numFmt numFmtId="171" formatCode="dd/mm/yyyy;@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165" formatCode="00000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ptos Narrow"/>
        <scheme val="none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none"/>
      </font>
      <numFmt numFmtId="172" formatCode="dd\-mmm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scheme val="none"/>
      </font>
      <numFmt numFmtId="172" formatCode="dd\-mmm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none"/>
      </font>
      <numFmt numFmtId="165" formatCode="00000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165" formatCode="00000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ptos Narrow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scheme val="none"/>
      </font>
      <numFmt numFmtId="172" formatCode="dd\-mmm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165" formatCode="00000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ptos Narrow"/>
        <scheme val="none"/>
      </font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scheme val="none"/>
      </font>
      <numFmt numFmtId="172" formatCode="dd\-mmm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165" formatCode="00000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ptos Narrow"/>
        <scheme val="none"/>
      </font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scheme val="none"/>
      </font>
      <numFmt numFmtId="172" formatCode="dd\-mmm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165" formatCode="00000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ptos Narrow"/>
        <scheme val="none"/>
      </font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scheme val="none"/>
      </font>
      <numFmt numFmtId="172" formatCode="dd\-mmm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165" formatCode="00000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ptos Narrow"/>
        <scheme val="none"/>
      </font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scheme val="none"/>
      </font>
      <numFmt numFmtId="172" formatCode="dd\-mmm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165" formatCode="00000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ptos Narrow"/>
        <scheme val="none"/>
      </font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scheme val="none"/>
      </font>
      <numFmt numFmtId="172" formatCode="dd\-mmm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165" formatCode="00000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ptos Narrow"/>
        <scheme val="none"/>
      </font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/>
        <vertAlign val="baseline"/>
        <sz val="9"/>
        <color theme="10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35" formatCode="_-* #,##0.00_-;\-* #,##0.00_-;_-* &quot;-&quot;??_-;_-@_-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0" formatCode="General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scheme val="none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scheme val="none"/>
      </font>
      <numFmt numFmtId="172" formatCode="dd\-mmm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scheme val="none"/>
      </font>
      <numFmt numFmtId="165" formatCode="00000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ptos Narrow"/>
        <scheme val="none"/>
      </font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E2E2E2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microsoft.com/office/2017/10/relationships/person" Target="persons/perso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29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onnections" Target="connections.xml"/><Relationship Id="rId28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alcChain" Target="calcChain.xml"/><Relationship Id="rId30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207175</xdr:colOff>
      <xdr:row>1</xdr:row>
      <xdr:rowOff>100442</xdr:rowOff>
    </xdr:from>
    <xdr:to>
      <xdr:col>2</xdr:col>
      <xdr:colOff>743060</xdr:colOff>
      <xdr:row>4</xdr:row>
      <xdr:rowOff>91817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C4A45B4-0B75-F344-A862-B6B5CC43F3C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155" t="33826" r="11155" b="34596"/>
        <a:stretch/>
      </xdr:blipFill>
      <xdr:spPr>
        <a:xfrm>
          <a:off x="316658" y="188028"/>
          <a:ext cx="1621187" cy="51308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ytres-my.sharepoint.com/personal/finanzas_gytres_com/Documents/2025/BD/02.%20BD_Detracciones.xlsx" TargetMode="External"/><Relationship Id="rId1" Type="http://schemas.openxmlformats.org/officeDocument/2006/relationships/externalLinkPath" Target="https://gytres-my.sharepoint.com/personal/finanzas_gytres_com/Documents/2025/BD/02.%20BD_Detraccione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ytres-my.sharepoint.com/personal/finanzas_gytres_com/Documents/2025/05.%20Cuentas%20por%20Cobrar_2025.xlsx" TargetMode="External"/><Relationship Id="rId1" Type="http://schemas.openxmlformats.org/officeDocument/2006/relationships/externalLinkPath" Target="https://gytres-my.sharepoint.com/personal/finanzas_gytres_com/Documents/2025/05.%20Cuentas%20por%20Cobrar_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nNb2gaEX0EKbhA6bDt_EcsDUYhsIaZJOp1IWqkNbyaMqQZppcHs2QZ9OcuyZaoWT" itemId="01OSW2A7KNOKEB2JZBUZEJCCW6NENFVRD2">
      <xxl21:absoluteUrl r:id="rId2"/>
    </xxl21:alternateUrls>
    <sheetNames>
      <sheetName val="BD_Detracciones"/>
      <sheetName val="02. BD_Detracciones"/>
    </sheetNames>
    <sheetDataSet>
      <sheetData sheetId="0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lientes_Proveedores"/>
      <sheetName val="BD_Detracciones1"/>
      <sheetName val="Tipo_Documento"/>
      <sheetName val="Cuentas_x_Cobrar"/>
      <sheetName val="Reporte"/>
      <sheetName val="R"/>
      <sheetName val="R1"/>
      <sheetName val="Retenciones_R"/>
      <sheetName val="05. Cuentas por Cobrar_202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Elías Paco" id="{797D78BD-8ED5-4A4C-B2B6-061CBBEC5DF4}" userId="S::finanzas@gytres.com::e22bce1d-c8f6-49a4-953c-143a8969a9ab" providerId="AD"/>
</personList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4CC602B9-5536-4EF4-B81C-0F253EBB2E54}" autoFormatId="16" applyNumberFormats="0" applyBorderFormats="0" applyFontFormats="0" applyPatternFormats="0" applyAlignmentFormats="0" applyWidthHeightFormats="0">
  <queryTableRefresh nextId="7">
    <queryTableFields count="6">
      <queryTableField id="1" name="Ruc / Dni" tableColumnId="1"/>
      <queryTableField id="2" name="Razon Social" tableColumnId="2"/>
      <queryTableField id="3" name="Tipo de Cuenta de Abono" tableColumnId="3"/>
      <queryTableField id="4" name="Cuenta de Abono" tableColumnId="4"/>
      <queryTableField id="5" name="Tipo" tableColumnId="5"/>
      <queryTableField id="6" name="Columna1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13CC7B9-449D-4319-B783-F90F330AF592}" name="Clientes_Proveedores" displayName="Clientes_Proveedores" ref="A1:F1004" tableType="queryTable" totalsRowShown="0">
  <autoFilter ref="A1:F1004" xr:uid="{413CC7B9-449D-4319-B783-F90F330AF592}"/>
  <tableColumns count="6">
    <tableColumn id="1" xr3:uid="{6113C127-1F11-43F5-88CE-6A45C71BF884}" uniqueName="1" name="Ruc / Dni" queryTableFieldId="1"/>
    <tableColumn id="2" xr3:uid="{4126D503-0893-4AE3-9C17-1AA39560C78E}" uniqueName="2" name="Razon Social" queryTableFieldId="2" dataDxfId="788"/>
    <tableColumn id="3" xr3:uid="{169F7C55-58FB-42E1-9452-5FB46A20F64D}" uniqueName="3" name="Tipo de Cuenta de Abono" queryTableFieldId="3" dataDxfId="787"/>
    <tableColumn id="4" xr3:uid="{E296D681-B9B0-49F0-9934-E5FAA23481A5}" uniqueName="4" name="Cuenta de Abono" queryTableFieldId="4" dataDxfId="786"/>
    <tableColumn id="5" xr3:uid="{85DB96EF-28F0-46AF-A744-C34968EDCD37}" uniqueName="5" name="Tipo" queryTableFieldId="5"/>
    <tableColumn id="6" xr3:uid="{56C98690-B144-4211-BCB9-8BDFE4D00DBA}" uniqueName="6" name="Columna1" queryTableFieldId="6" dataDxfId="78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239D4B2-117C-4FD6-A59C-652C94ED1EF2}" name="Tipo_Documento" displayName="Tipo_Documento" ref="H1:I27" totalsRowShown="0" headerRowDxfId="784" dataDxfId="783">
  <autoFilter ref="H1:I27" xr:uid="{3239D4B2-117C-4FD6-A59C-652C94ED1EF2}"/>
  <tableColumns count="2">
    <tableColumn id="1" xr3:uid="{F39F18C7-D6DA-45CF-8FD1-F365F1C51541}" name="Tipo de Documento" dataDxfId="782"/>
    <tableColumn id="2" xr3:uid="{06E66CAC-390D-4227-B2C5-793D1F01B842}" name="CODIGO" dataDxfId="781"/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33258C5C-4597-429A-A437-819EC03AD313}" name="BCP_Soles" displayName="BCP_Soles" ref="A1:AA4634" totalsRowShown="0" headerRowDxfId="780" dataDxfId="778" headerRowBorderDxfId="779">
  <autoFilter ref="A1:AA4634" xr:uid="{33258C5C-4597-429A-A437-819EC03AD313}"/>
  <tableColumns count="27">
    <tableColumn id="16" xr3:uid="{5CB4BFC0-FE4C-40D7-83F9-47BDF4463E4D}" name="item" dataDxfId="777">
      <calculatedColumnFormula>IF(BCP_Soles[[#This Row],[tipo_registro]]="R",COUNTIFS($C$1:$C1,"R")+1,A1)</calculatedColumnFormula>
    </tableColumn>
    <tableColumn id="17" xr3:uid="{4D3F16D6-0CA4-4450-BDB9-6FD955BD6EAC}" name="portafolio" dataDxfId="776">
      <calculatedColumnFormula>"B-BCP - Soles"</calculatedColumnFormula>
    </tableColumn>
    <tableColumn id="18" xr3:uid="{3E810716-6A3E-4195-A451-8FD1A6B2BC1B}" name="tipo_registro" dataDxfId="775"/>
    <tableColumn id="1" xr3:uid="{EFD31CA9-0A75-4E29-952C-B430DB4F334B}" name="fecha" dataDxfId="774"/>
    <tableColumn id="2" xr3:uid="{81FFB87E-0C00-40B6-A60C-969CEBCEAFAF}" name="responsable" dataDxfId="773"/>
    <tableColumn id="3" xr3:uid="{5FD8024D-F299-4ADF-B135-AC0F69B2F338}" name="tipo_mov" dataDxfId="772"/>
    <tableColumn id="19" xr3:uid="{A33016CF-EAB4-4C9C-81B4-00BBC61F6263}" name="destinatario" dataDxfId="771"/>
    <tableColumn id="20" xr3:uid="{BFB30A1D-5C5E-4E6B-ADFF-6761E6A5BF5B}" name="tipo_documento" dataDxfId="770"/>
    <tableColumn id="21" xr3:uid="{4B175448-2894-490C-92B0-6DB99FA4072B}" name="serie" dataDxfId="769"/>
    <tableColumn id="22" xr3:uid="{73652561-001A-4909-AADE-0BF7C83488F8}" name="numero" dataDxfId="768"/>
    <tableColumn id="9" xr3:uid="{2655EAD5-06C2-4EA3-AC29-348578C94ED2}" name="descripcion_actividad" dataDxfId="767"/>
    <tableColumn id="10" xr3:uid="{A93D41C8-8156-44AD-9B83-A4095DC91080}" name="num_operacion" dataDxfId="766"/>
    <tableColumn id="11" xr3:uid="{F97AACF6-1823-4214-8B19-1A54003842BE}" name="moneda" dataDxfId="765">
      <calculatedColumnFormula>"PEN"</calculatedColumnFormula>
    </tableColumn>
    <tableColumn id="24" xr3:uid="{025EE757-4D77-41F3-9CD5-D8CF0EC8BDC5}" name="parcial" dataDxfId="764"/>
    <tableColumn id="12" xr3:uid="{878B3C58-736B-4258-9AFB-79E14E0AF810}" name="monto" dataDxfId="763"/>
    <tableColumn id="13" xr3:uid="{F49CF397-E672-45AA-80B2-E398692085F7}" name="abono" dataDxfId="762">
      <calculatedColumnFormula>+IF(OR($F2="SALDO",$F2="INGRESO"),$O2,0)</calculatedColumnFormula>
    </tableColumn>
    <tableColumn id="14" xr3:uid="{AE2FD90C-3C5B-490D-AE40-6F9D4B5F1730}" name="retiro" dataDxfId="761">
      <calculatedColumnFormula>+IF($F2="EGRESO",$O2,0)</calculatedColumnFormula>
    </tableColumn>
    <tableColumn id="15" xr3:uid="{1904ACE3-84D2-4843-8FC0-B66742E091E6}" name="saldo" dataDxfId="760">
      <calculatedColumnFormula>IFERROR(IF(F2="SALDO",P2,R1+P2-Q2),0)</calculatedColumnFormula>
    </tableColumn>
    <tableColumn id="25" xr3:uid="{0B4E9A12-D558-4D89-8B7D-1CF53E06E4C4}" name="vb_1" dataDxfId="759"/>
    <tableColumn id="26" xr3:uid="{D804F66F-D716-4FE8-964B-CE9129EE4BC1}" name="vb_2" dataDxfId="758"/>
    <tableColumn id="28" xr3:uid="{BDC00D73-0178-4085-A7AB-AB703E3BC480}" name="constancia_link" dataDxfId="757"/>
    <tableColumn id="7" xr3:uid="{850AF9FA-84EC-41CD-A078-6F87408D4A7F}" name="nota_1" dataDxfId="756">
      <calculatedColumnFormula>IFERROR(VLOOKUP(BCP_Soles[[#This Row],[destinatario]],CHOOSE({1,2},Clientes_Proveedores[Razon Social],Clientes_Proveedores[Ruc / Dni]),2,0),"")</calculatedColumnFormula>
    </tableColumn>
    <tableColumn id="8" xr3:uid="{7069A3DC-470F-418F-94F2-775E84399FBC}" name="nota_2" dataDxfId="755"/>
    <tableColumn id="29" xr3:uid="{29E59B58-34B8-4944-9EE1-A70136A8C405}" name="nota_3" dataDxfId="754"/>
    <tableColumn id="30" xr3:uid="{8EE1B71C-BA83-4346-A859-23A6D02B252B}" name="nota_4" dataDxfId="753"/>
    <tableColumn id="31" xr3:uid="{CA0E4483-EFEE-42BE-93C4-ACC6FEAF537E}" name="nota_5" dataDxfId="752"/>
    <tableColumn id="27" xr3:uid="{CA74CA39-0CD6-49BC-8C1C-9AE5FBE09F81}" name="periodo" dataDxfId="751">
      <calculatedColumnFormula>IF(BCP_Soles[[#This Row],[fecha]]&gt;0,TEXT(BCP_Soles[[#This Row],[fecha]],"mmmm"),0)</calculatedColumnFormula>
    </tableColumn>
  </tableColumns>
  <tableStyleInfo name="TableStyleLight1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79BD6D5-F90F-453F-B1AA-77E30394807D}" name="BCP_Dolares" displayName="BCP_Dolares" ref="A1:AA435" totalsRowShown="0" headerRowDxfId="750" dataDxfId="748" headerRowBorderDxfId="749">
  <autoFilter ref="A1:AA435" xr:uid="{EA7D5B11-35C9-4844-86AB-E3BA3A957A89}"/>
  <tableColumns count="27">
    <tableColumn id="16" xr3:uid="{1ED58FD6-2C4C-4851-BC42-BCC4105C6ADF}" name="item" dataDxfId="747">
      <calculatedColumnFormula>IF(BCP_Dolares[[#This Row],[tipo_registro]]="R",COUNTIFS($C$1:$C1,"R")+1,"")</calculatedColumnFormula>
    </tableColumn>
    <tableColumn id="17" xr3:uid="{B002644A-4F76-4153-A62C-B99A24EC8E7A}" name="portafolio" dataDxfId="746">
      <calculatedColumnFormula>"B-BCP - Dolares"</calculatedColumnFormula>
    </tableColumn>
    <tableColumn id="18" xr3:uid="{0686BC89-CD6B-42D2-BA8E-6B1768557989}" name="tipo_registro" dataDxfId="745"/>
    <tableColumn id="1" xr3:uid="{DAB164CB-5B7B-4A7C-8CF9-7A5F7E8DF10B}" name="fecha" dataDxfId="744"/>
    <tableColumn id="2" xr3:uid="{C007CBBB-1F19-4A1E-BFEE-DCE116BF6B50}" name="responsable" dataDxfId="743"/>
    <tableColumn id="3" xr3:uid="{A954AE9A-D0B2-451F-843A-312ACF3EB29A}" name="tipo_mov" dataDxfId="742"/>
    <tableColumn id="19" xr3:uid="{8C1CF2B8-172B-4FFB-8383-858F27774554}" name="destinatario" dataDxfId="741"/>
    <tableColumn id="20" xr3:uid="{D8D0AF37-2741-44AA-9C3F-2752C3FD7E70}" name="tipo_documento" dataDxfId="740"/>
    <tableColumn id="21" xr3:uid="{4DC9878D-67EF-4831-B5DC-44538BE6EF77}" name="serie" dataDxfId="739"/>
    <tableColumn id="22" xr3:uid="{FDEAE3A0-8E85-47F4-8A13-B65048BAEBF4}" name="numero" dataDxfId="738"/>
    <tableColumn id="9" xr3:uid="{2F34005C-F70D-4711-BBD2-DC3ADC3E1CB0}" name="descripcion_actividad" dataDxfId="737"/>
    <tableColumn id="10" xr3:uid="{06DA0EE9-BEEC-4857-A7E0-F5BFE2C6BEB7}" name="num_operacion" dataDxfId="736"/>
    <tableColumn id="11" xr3:uid="{3EF3AD1C-A826-4203-9CB0-A5B3DDCC8C47}" name="moneda" dataDxfId="735">
      <calculatedColumnFormula>"USD"</calculatedColumnFormula>
    </tableColumn>
    <tableColumn id="24" xr3:uid="{470D34EA-154C-4EC1-9926-69A5F34FFD95}" name="parcial" dataDxfId="734"/>
    <tableColumn id="12" xr3:uid="{660CAFF8-B4C7-4773-B2CD-B9AE0587A5A8}" name="monto" dataDxfId="733"/>
    <tableColumn id="13" xr3:uid="{B201BC6A-39E8-47FF-A173-73A6CB6B1513}" name="abono" dataDxfId="732">
      <calculatedColumnFormula>+IF(OR($F2="SALDO",$F2="INGRESO"),$O2,0)</calculatedColumnFormula>
    </tableColumn>
    <tableColumn id="14" xr3:uid="{1BDECECF-E7BB-4DAA-B6F5-8D0570FE123B}" name="retiro" dataDxfId="731">
      <calculatedColumnFormula>+IF($F2="EGRESO",$O2,0)</calculatedColumnFormula>
    </tableColumn>
    <tableColumn id="15" xr3:uid="{1BA44F99-4C7B-4662-9078-48EF8F48E84E}" name="saldo" dataDxfId="730">
      <calculatedColumnFormula>IFERROR(IF(F2="SALDO",P2,R1+P2-Q2),0)</calculatedColumnFormula>
    </tableColumn>
    <tableColumn id="25" xr3:uid="{36BCAC76-4DF6-4548-BBE9-6BC8C84DD051}" name="vb_1" dataDxfId="729"/>
    <tableColumn id="26" xr3:uid="{281B7AFB-D691-43C0-848B-B82183F261AE}" name="vb_2" dataDxfId="728"/>
    <tableColumn id="28" xr3:uid="{CD14DFD2-1D0E-43C7-8757-797AF584C1F1}" name="constancia_link" dataDxfId="727"/>
    <tableColumn id="7" xr3:uid="{C148EB9E-A6C2-49B9-9674-284A16509C43}" name="nota_1" dataDxfId="726"/>
    <tableColumn id="8" xr3:uid="{C84D7E47-82FB-4604-8506-12A0280FBBCE}" name="nota_2" dataDxfId="725"/>
    <tableColumn id="27" xr3:uid="{C9D30900-D63B-4AE4-A6A3-92CCD7ED9CFA}" name="nota_3" dataDxfId="724"/>
    <tableColumn id="29" xr3:uid="{33406F60-9578-499B-8B64-17ECEBBEC852}" name="nota_4" dataDxfId="723"/>
    <tableColumn id="30" xr3:uid="{E633395C-D7F6-4D33-BFAB-99DC3239A18D}" name="nota_5" dataDxfId="722"/>
    <tableColumn id="31" xr3:uid="{DBC94268-0465-47D4-B118-A0AAD8575059}" name="periodo" dataDxfId="721">
      <calculatedColumnFormula>IF(BCP_Dolares[[#This Row],[fecha]]&gt;0,TEXT(BCP_Dolares[[#This Row],[fecha]],"mmmm"),0)</calculatedColumnFormula>
    </tableColumn>
  </tableColumns>
  <tableStyleInfo name="TableStyleLight1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F74350E-940C-4076-863A-02F10C767FD6}" name="Interbank_Soles" displayName="Interbank_Soles" ref="A4:AA193" totalsRowShown="0" headerRowDxfId="720" dataDxfId="718" headerRowBorderDxfId="719">
  <autoFilter ref="A4:AA193" xr:uid="{EA7D5B11-35C9-4844-86AB-E3BA3A957A89}"/>
  <tableColumns count="27">
    <tableColumn id="16" xr3:uid="{826560D4-6D44-4E9D-AE29-816170A8681C}" name="item" dataDxfId="717">
      <calculatedColumnFormula>IF(Interbank_Soles[[#This Row],[tipo_registro]]="R",COUNTIFS($C$4:$C4,"R")+1,"")</calculatedColumnFormula>
    </tableColumn>
    <tableColumn id="17" xr3:uid="{F25E1898-793E-4DAA-90FE-1CE8DDF282AD}" name="portafolio" dataDxfId="716">
      <calculatedColumnFormula>"B-Interbank"</calculatedColumnFormula>
    </tableColumn>
    <tableColumn id="18" xr3:uid="{931509C4-A262-48F3-929A-388573244DA5}" name="tipo_registro" dataDxfId="715"/>
    <tableColumn id="1" xr3:uid="{5B432951-C31A-4791-94F1-1ECF1DA260B4}" name="fecha" dataDxfId="714"/>
    <tableColumn id="2" xr3:uid="{ACC5FFA4-8BDA-4168-864C-8293124F7242}" name="responsable" dataDxfId="713"/>
    <tableColumn id="3" xr3:uid="{88C18FF3-DD77-4847-BB44-523872BEA4E8}" name="tipo_mov" dataDxfId="712"/>
    <tableColumn id="19" xr3:uid="{DA366DDD-60FA-4E89-938C-1F7F783099EC}" name="destinatario" dataDxfId="711"/>
    <tableColumn id="20" xr3:uid="{864F095C-BE87-4962-BC36-F99D9B36B7C0}" name="tipo_documento" dataDxfId="710"/>
    <tableColumn id="21" xr3:uid="{309AA5CC-B9AF-4A06-8387-BF35A303C11F}" name="serie" dataDxfId="709"/>
    <tableColumn id="22" xr3:uid="{E1F29827-D468-4993-9D95-E2836470A66E}" name="numero" dataDxfId="708"/>
    <tableColumn id="9" xr3:uid="{E6E90C5E-522B-4166-99E0-0C1EBC2762FF}" name="descripcion_actividad" dataDxfId="707"/>
    <tableColumn id="10" xr3:uid="{6C6CA83A-D575-49FD-BC9E-3F5DC2831C69}" name="num_operacion" dataDxfId="706"/>
    <tableColumn id="11" xr3:uid="{50EF029A-96DC-4C81-AE34-AEEE711A2587}" name="moneda" dataDxfId="705">
      <calculatedColumnFormula>"PEN"</calculatedColumnFormula>
    </tableColumn>
    <tableColumn id="24" xr3:uid="{27F29649-4596-43D4-9945-FD381D900BC1}" name="parcial" dataDxfId="704"/>
    <tableColumn id="12" xr3:uid="{B4E7DAC2-B9BF-43DD-9E39-5EA66459AAA5}" name="monto" dataDxfId="703"/>
    <tableColumn id="13" xr3:uid="{A637820F-740A-49E7-A163-CD3E0AB80F2D}" name="abono" dataDxfId="702">
      <calculatedColumnFormula>+IF(OR($F5="SALDO",$F5="INGRESO"),$O5,0)</calculatedColumnFormula>
    </tableColumn>
    <tableColumn id="14" xr3:uid="{B033945E-6E00-473A-930C-96C838271961}" name="retiro" dataDxfId="701">
      <calculatedColumnFormula>+IF($F5="EGRESO",$O5,0)</calculatedColumnFormula>
    </tableColumn>
    <tableColumn id="15" xr3:uid="{2151215F-AB91-404A-A421-AABD41316AB4}" name="saldo" dataDxfId="700">
      <calculatedColumnFormula>IFERROR(IF(F5="SALDO",P5,R4+P5-Q5),0)</calculatedColumnFormula>
    </tableColumn>
    <tableColumn id="25" xr3:uid="{5086B1A2-FD18-42BC-A000-B5A095F3D29F}" name="vb_1" dataDxfId="699"/>
    <tableColumn id="26" xr3:uid="{B19F6CB3-F0F9-41E5-B0F2-E93620BB51DD}" name="vb_2" dataDxfId="698"/>
    <tableColumn id="28" xr3:uid="{DA097482-D578-43C2-A4E5-4428914AA727}" name="constancia_link" dataDxfId="697"/>
    <tableColumn id="31" xr3:uid="{2EFBA732-189F-4212-98CA-37DFE554FE16}" name="nota_1" dataDxfId="696"/>
    <tableColumn id="30" xr3:uid="{26348D34-4FA2-4D5F-BAFB-30EC580F8370}" name="nota_2" dataDxfId="695"/>
    <tableColumn id="29" xr3:uid="{03911927-97AB-4B88-9C24-00366FAEC83D}" name="nota_3" dataDxfId="694"/>
    <tableColumn id="8" xr3:uid="{0E4FF59F-CB00-40F3-BC8F-701613EEAFAC}" name="nota_4" dataDxfId="693"/>
    <tableColumn id="7" xr3:uid="{79C57258-E914-4021-ABD9-FFEA41779314}" name="nota_5" dataDxfId="692"/>
    <tableColumn id="27" xr3:uid="{8976D800-5AC3-4A17-903D-252FCEDBC5D9}" name="periodo" dataDxfId="691">
      <calculatedColumnFormula>IF(Interbank_Soles[[#This Row],[fecha]]&gt;0,TEXT(Interbank_Soles[[#This Row],[fecha]],"mmmm"),0)</calculatedColumnFormula>
    </tableColumn>
  </tableColumns>
  <tableStyleInfo name="TableStyleLight1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E55DDCA-4CF6-49E0-9EE5-E843AA6F4DE3}" name="Bbva_Soles" displayName="Bbva_Soles" ref="A1:AA51" totalsRowShown="0" headerRowDxfId="690" dataDxfId="688" headerRowBorderDxfId="689">
  <autoFilter ref="A1:AA51" xr:uid="{EA7D5B11-35C9-4844-86AB-E3BA3A957A89}">
    <filterColumn colId="6">
      <filters>
        <filter val="BANCO BBVA PERU"/>
      </filters>
    </filterColumn>
  </autoFilter>
  <tableColumns count="27">
    <tableColumn id="16" xr3:uid="{C80D4275-D4AD-4804-B43A-2ECB282BC915}" name="item" dataDxfId="687">
      <calculatedColumnFormula>IF(Bbva_Soles[[#This Row],[tipo_registro]]="R",COUNTIFS($C$1:$C1,"R")+1,"")</calculatedColumnFormula>
    </tableColumn>
    <tableColumn id="17" xr3:uid="{44B2F5DD-415D-4319-9E91-BBC873CF3BA2}" name="portafolio" dataDxfId="686">
      <calculatedColumnFormula>"B-BBVA"</calculatedColumnFormula>
    </tableColumn>
    <tableColumn id="18" xr3:uid="{984B99F5-A81D-4E78-96DD-07C978B1F440}" name="tipo_registro" dataDxfId="685"/>
    <tableColumn id="1" xr3:uid="{12C3F206-6BAD-49CD-B9EA-7D5EB0455495}" name="fecha" dataDxfId="684"/>
    <tableColumn id="2" xr3:uid="{B92B33B0-1152-49FC-A645-DB64E501FCD4}" name="responsable" dataDxfId="683"/>
    <tableColumn id="3" xr3:uid="{0E38920B-A686-428B-9964-2BD0D594BC35}" name="tipo_mov" dataDxfId="682"/>
    <tableColumn id="19" xr3:uid="{1EE08F51-D651-498E-B15B-B34C515B0B81}" name="destinatario" dataDxfId="681"/>
    <tableColumn id="20" xr3:uid="{79B20C24-7466-40FE-9ADF-7D03EA6F6FAB}" name="tipo_documento" dataDxfId="680"/>
    <tableColumn id="21" xr3:uid="{0836EC77-182E-439F-B09A-D0B902AEE28C}" name="serie" dataDxfId="679"/>
    <tableColumn id="22" xr3:uid="{4F4E8C21-1B40-4F9A-B767-88AF03DB80AB}" name="numero" dataDxfId="678"/>
    <tableColumn id="9" xr3:uid="{E7463B82-B7A4-4738-BE15-7CF581C558F6}" name="descripcion_actividad" dataDxfId="677"/>
    <tableColumn id="10" xr3:uid="{77485DB1-D93B-483E-98EC-B50628CB8A26}" name="num_operacion" dataDxfId="676"/>
    <tableColumn id="11" xr3:uid="{068B6B35-B3D0-4B9C-96EF-806873D2377B}" name="moneda" dataDxfId="675">
      <calculatedColumnFormula>"PEN"</calculatedColumnFormula>
    </tableColumn>
    <tableColumn id="24" xr3:uid="{01A524C4-041C-4932-9B92-D1A354D28AC5}" name="parcial" dataDxfId="674"/>
    <tableColumn id="12" xr3:uid="{13E83A98-56D7-4A9A-B549-80F168270201}" name="monto" dataDxfId="673"/>
    <tableColumn id="13" xr3:uid="{C36C90D3-E1A3-4996-8AAF-5651FDB3F3E4}" name="abono" dataDxfId="672">
      <calculatedColumnFormula>+IF(OR($F2="SALDO",$F2="INGRESO"),$O2,0)</calculatedColumnFormula>
    </tableColumn>
    <tableColumn id="14" xr3:uid="{F4C49F39-98DB-4B0B-B249-653F9B1EF586}" name="retiro" dataDxfId="671">
      <calculatedColumnFormula>+IF($F2="EGRESO",$O2,0)</calculatedColumnFormula>
    </tableColumn>
    <tableColumn id="15" xr3:uid="{F74D4675-F101-45AF-97A4-B1EB07FDBDD5}" name="saldo" dataDxfId="670">
      <calculatedColumnFormula>IFERROR(IF(F2="SALDO",P2,R1+P2-Q2),0)</calculatedColumnFormula>
    </tableColumn>
    <tableColumn id="25" xr3:uid="{CE99CA1B-34F8-4952-921A-DC14AE70F268}" name="vb_1" dataDxfId="669"/>
    <tableColumn id="26" xr3:uid="{F45C4D65-B8CE-4165-9ADE-9F0B70E2AFF3}" name="vb_2" dataDxfId="668"/>
    <tableColumn id="28" xr3:uid="{B7BD1D53-BE21-4AC9-8A70-C6EF9C35A163}" name="constancia_link" dataDxfId="667"/>
    <tableColumn id="31" xr3:uid="{09E54089-60F8-4B84-9CA8-370AA526F0F8}" name="nota_1" dataDxfId="666"/>
    <tableColumn id="30" xr3:uid="{F598E089-946D-4F6D-90CE-96500C23F478}" name="nota_2" dataDxfId="665"/>
    <tableColumn id="29" xr3:uid="{4F8C3D47-79C5-4C8B-8EF3-BFCFE1093378}" name="nota_3" dataDxfId="664"/>
    <tableColumn id="8" xr3:uid="{86BA53AC-28D1-4D09-8CCD-49E6B90E2500}" name="nota_4" dataDxfId="663"/>
    <tableColumn id="7" xr3:uid="{7621D49C-8244-48AC-AB2F-E55C0D5EDC0D}" name="nota_5" dataDxfId="662"/>
    <tableColumn id="27" xr3:uid="{A1FBCD9D-0581-49C8-87D3-B99986B24809}" name="periodo" dataDxfId="661">
      <calculatedColumnFormula>IF(Bbva_Soles[[#This Row],[fecha]]&gt;0,TEXT(Bbva_Soles[[#This Row],[fecha]],"mmmm"),0)</calculatedColumnFormula>
    </tableColumn>
  </tableColumns>
  <tableStyleInfo name="TableStyleLight1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219FD10-89A1-414C-9427-6074ED95D667}" name="Banco_Nacion" displayName="Banco_Nacion" ref="A1:AA815" totalsRowShown="0" headerRowDxfId="660" dataDxfId="658" headerRowBorderDxfId="659">
  <autoFilter ref="A1:AA815" xr:uid="{EA7D5B11-35C9-4844-86AB-E3BA3A957A89}"/>
  <tableColumns count="27">
    <tableColumn id="16" xr3:uid="{9A617B2F-2841-439F-80FA-F39CABD56974}" name="item" dataDxfId="657">
      <calculatedColumnFormula>IF(Banco_Nacion[[#This Row],[tipo_registro]]="R",COUNTIFS($C$1:$C1,"R")+1,"")</calculatedColumnFormula>
    </tableColumn>
    <tableColumn id="17" xr3:uid="{071B4A2F-4EF3-4793-9A5C-7F3CBB9A5DDF}" name="portafolio" dataDxfId="656">
      <calculatedColumnFormula>"B-Banco de la Nacion"</calculatedColumnFormula>
    </tableColumn>
    <tableColumn id="18" xr3:uid="{51119AE1-BFA8-424A-A8C4-1CE17F026254}" name="tipo_registro" dataDxfId="655"/>
    <tableColumn id="1" xr3:uid="{595ACBC1-CE87-4905-B4BE-9ACCAFA6C961}" name="fecha" dataDxfId="654"/>
    <tableColumn id="2" xr3:uid="{56F2AA8D-98BC-47B6-B93F-9018FE4DB860}" name="responsable" dataDxfId="653"/>
    <tableColumn id="3" xr3:uid="{721A313B-A2BC-43DD-8ED4-6E60F2B66AB9}" name="tipo_mov" dataDxfId="652"/>
    <tableColumn id="19" xr3:uid="{69529C12-6604-426F-B84D-6B87D4890B3D}" name="destinatario" dataDxfId="651"/>
    <tableColumn id="20" xr3:uid="{60088861-54AA-42CA-865D-618D9871BF20}" name="tipo_documento" dataDxfId="650"/>
    <tableColumn id="21" xr3:uid="{32A59DC2-1CDC-424F-9CAA-FFDE9EAD9799}" name="serie" dataDxfId="649"/>
    <tableColumn id="22" xr3:uid="{4F58ECE1-26FF-486E-9472-6225CFAB2615}" name="numero" dataDxfId="648"/>
    <tableColumn id="9" xr3:uid="{AFBBD48D-29D8-4E5F-B70F-259FBECA4241}" name="descripcion_actividad" dataDxfId="647"/>
    <tableColumn id="10" xr3:uid="{F531E694-EDDA-4F58-AAC2-B8F9D82EB689}" name="num_operacion" dataDxfId="646"/>
    <tableColumn id="11" xr3:uid="{0ECCB8A8-3A20-4DEE-959E-CCE0373FC045}" name="moneda" dataDxfId="645">
      <calculatedColumnFormula>"PEN"</calculatedColumnFormula>
    </tableColumn>
    <tableColumn id="24" xr3:uid="{5746DCAC-1CD6-4D53-B7F0-2F3663184925}" name="parcial" dataDxfId="644"/>
    <tableColumn id="12" xr3:uid="{283A0EF5-480E-44B4-B48F-998B17E082A1}" name="monto" dataDxfId="643"/>
    <tableColumn id="13" xr3:uid="{AC11BEA4-4B72-4496-8C00-0455AA1E9DE4}" name="abono" dataDxfId="642">
      <calculatedColumnFormula>+IF(OR($F2="SALDO",$F2="INGRESO"),$O2,0)</calculatedColumnFormula>
    </tableColumn>
    <tableColumn id="14" xr3:uid="{0B7154B4-B7B6-4E8D-9E36-D2CE33A668DD}" name="retiro" dataDxfId="641">
      <calculatedColumnFormula>+IF($F2="EGRESO",$O2,0)</calculatedColumnFormula>
    </tableColumn>
    <tableColumn id="15" xr3:uid="{69CA2FE6-F713-4CF9-953D-040132DD6483}" name="saldo" dataDxfId="640">
      <calculatedColumnFormula>IFERROR(IF(F2="SALDO",P2,R1+P2-Q2),0)</calculatedColumnFormula>
    </tableColumn>
    <tableColumn id="25" xr3:uid="{30077F3E-B674-4224-8BCB-35A5AD8F4E98}" name="vb_1" dataDxfId="639"/>
    <tableColumn id="26" xr3:uid="{0B543006-D3CB-42A2-882B-D8CCF8F979AE}" name="vb_2" dataDxfId="638"/>
    <tableColumn id="28" xr3:uid="{C7E24AEC-7412-4333-8493-8E7FC1EE6FBA}" name="constancia_link" dataDxfId="637"/>
    <tableColumn id="31" xr3:uid="{752BD72D-F0A1-4A26-9ADF-85BD87FE5C2A}" name="nota_1" dataDxfId="636">
      <calculatedColumnFormula>IFERROR(VLOOKUP(Banco_Nacion[[#This Row],[responsable]],Clientes_Proveedores[[Ruc / Dni]:[Razon Social]],2,0),"")</calculatedColumnFormula>
    </tableColumn>
    <tableColumn id="30" xr3:uid="{FA1798A1-BBDD-40C9-9A3D-FCDA34FE094F}" name="nota_2" dataDxfId="635">
      <calculatedColumnFormula>IF(Banco_Nacion[[#This Row],[tipo_mov]]="INGRESO",Banco_Nacion[[#This Row],[serie]]&amp;Banco_Nacion[[#This Row],[numero]]&amp;Banco_Nacion[[#This Row],[responsable]]&amp;Banco_Nacion[[#This Row],[monto]],"")</calculatedColumnFormula>
    </tableColumn>
    <tableColumn id="29" xr3:uid="{3305E273-0A45-4868-A600-9AE06CAC67C1}" name="nota_3" dataDxfId="634">
      <calculatedColumnFormula>IF(Banco_Nacion[[#This Row],[abono]]&gt;0,"Por el cobro de Detraccion C.S. "&amp;(IFERROR(VLOOKUP(Banco_Nacion[[#This Row],[nota_2]],[1]!BD_Detracciones[[2]:[Numero Constancia]],4,0),""))&amp;" OP "&amp;Banco_Nacion[[#This Row],[num_operacion]],"")</calculatedColumnFormula>
    </tableColumn>
    <tableColumn id="8" xr3:uid="{052F16FD-13C7-4645-BBA8-C59EEA6230B4}" name="nota_4" dataDxfId="633">
      <calculatedColumnFormula>IFERROR(VLOOKUP(Banco_Nacion[[#This Row],[serie]]&amp;Banco_Nacion[[#This Row],[numero]]&amp;Banco_Nacion[[#This Row],[responsable]],[2]!Provision_CXC[[ID CXP]:[DETRACCION]],47,0),"")</calculatedColumnFormula>
    </tableColumn>
    <tableColumn id="7" xr3:uid="{A37EECD2-7D3E-4AB2-B051-F33F1632B260}" name="nota_5" dataDxfId="632"/>
    <tableColumn id="27" xr3:uid="{C56B26E6-97C7-4AB6-8899-1E581BE75BB0}" name="periodo" dataDxfId="631">
      <calculatedColumnFormula>IF(Banco_Nacion[[#This Row],[fecha]]&gt;0,TEXT(Banco_Nacion[[#This Row],[fecha]],"mmmm"),0)</calculatedColumnFormula>
    </tableColumn>
  </tableColumns>
  <tableStyleInfo name="TableStyleLight1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2558C39-9B66-4E3D-9BB5-C68FD906D734}" name="Caja_Arequipa" displayName="Caja_Arequipa" ref="A1:AB1111" totalsRowShown="0" headerRowDxfId="630" dataDxfId="628" headerRowBorderDxfId="629">
  <autoFilter ref="A1:AB1111" xr:uid="{C2558C39-9B66-4E3D-9BB5-C68FD906D734}"/>
  <tableColumns count="28">
    <tableColumn id="16" xr3:uid="{8BF795AD-B463-4232-91D7-B6EBA0015C0E}" name="item" dataDxfId="627">
      <calculatedColumnFormula>IF(Caja_Arequipa[[#This Row],[tipo_r]]="R",COUNTIFS($C$1:$C1,"R")+1,A1)</calculatedColumnFormula>
    </tableColumn>
    <tableColumn id="17" xr3:uid="{7DF920BB-9ACD-4FE7-8D60-28EA67BCCCE5}" name="portafolio" dataDxfId="626">
      <calculatedColumnFormula>"C-Tesoreria"</calculatedColumnFormula>
    </tableColumn>
    <tableColumn id="18" xr3:uid="{FC524487-321E-47F6-BAA3-E6F56B62D99A}" name="tipo_r" dataDxfId="625"/>
    <tableColumn id="1" xr3:uid="{60E3BAAB-6CB1-46E3-AB5D-C1F70CF51876}" name="fecha" dataDxfId="624"/>
    <tableColumn id="2" xr3:uid="{BF229FF6-F06A-448E-9EEC-1595E4651DD9}" name="responsable" dataDxfId="623"/>
    <tableColumn id="3" xr3:uid="{F7DF6F8A-720A-4F5E-8DC7-D668266B66BC}" name="tipo_mov" dataDxfId="622"/>
    <tableColumn id="5" xr3:uid="{BCE04DB8-1D5F-4F92-9642-D5FB584231FC}" name="entregado" dataDxfId="621"/>
    <tableColumn id="19" xr3:uid="{4DBB4325-F46F-4C0F-891C-B61D4AECED98}" name="destinatario" dataDxfId="620"/>
    <tableColumn id="20" xr3:uid="{C6EB8BE2-52CE-4519-BB36-FAFB696F21FC}" name="tipo_documento" dataDxfId="619"/>
    <tableColumn id="21" xr3:uid="{9EE194D7-7F5E-4764-91C7-FAA874519777}" name="serie" dataDxfId="618"/>
    <tableColumn id="22" xr3:uid="{A5A52C28-EFA8-4DEE-B696-B89EC3A8E9C1}" name="numero" dataDxfId="617"/>
    <tableColumn id="9" xr3:uid="{ED5ABBA0-8CAF-4FA2-963D-FB30B9367B50}" name="descripcion_actividad" dataDxfId="616"/>
    <tableColumn id="10" xr3:uid="{EC9101F7-6887-4CFE-B37C-051E974C7056}" name="n_operacion" dataDxfId="615">
      <calculatedColumnFormula>IF(Caja_Arequipa[[#This Row],[tipo_r]]="R","001-"&amp;12002+A2,M1)</calculatedColumnFormula>
    </tableColumn>
    <tableColumn id="11" xr3:uid="{84F8C3BA-8EFE-4C86-8BA2-9BD877671585}" name="moneda" dataDxfId="614">
      <calculatedColumnFormula>"PEN"</calculatedColumnFormula>
    </tableColumn>
    <tableColumn id="24" xr3:uid="{60FC3315-1953-421E-9302-1D73AFB414F7}" name="parcial" dataDxfId="613"/>
    <tableColumn id="12" xr3:uid="{7B503CF7-E4A1-425C-ACCD-D5970A8CB169}" name="monto" dataDxfId="612"/>
    <tableColumn id="13" xr3:uid="{9C786B3E-1B9C-4267-9339-9F6292F77079}" name="abono" dataDxfId="611">
      <calculatedColumnFormula>+IF(OR($F2="SALDO",$F2="INGRESO"),$P2,0)</calculatedColumnFormula>
    </tableColumn>
    <tableColumn id="14" xr3:uid="{34FDD734-3C4F-46D4-B998-64134C849DAB}" name="retiro" dataDxfId="610">
      <calculatedColumnFormula>+IF($F2="EGRESO",$P2,0)</calculatedColumnFormula>
    </tableColumn>
    <tableColumn id="15" xr3:uid="{9D2B72A7-E9FA-45E6-B9E2-4BFD2B75E21D}" name="saldo" dataDxfId="609">
      <calculatedColumnFormula>IFERROR(IF(F2="SALDO",Q2,S1+Q2-R2),0)</calculatedColumnFormula>
    </tableColumn>
    <tableColumn id="25" xr3:uid="{5BED59EA-B952-4B19-8F90-44206EFE5C5A}" name="vb_1" dataDxfId="608"/>
    <tableColumn id="26" xr3:uid="{EF13CC51-C272-401B-ADA4-A232E038A93B}" name="vb_2" dataDxfId="607"/>
    <tableColumn id="28" xr3:uid="{796D3208-519C-46A7-B54F-997AFAA3BF9F}" name="constancia_link" dataDxfId="606"/>
    <tableColumn id="31" xr3:uid="{FFD10E7E-8BB6-40E2-A702-E1D8CD7B511D}" name="nota_1" dataDxfId="605">
      <calculatedColumnFormula>IFERROR(VLOOKUP(Caja_Arequipa[[#This Row],[destinatario]],CHOOSE({1,2},Clientes_Proveedores[Razon Social],Clientes_Proveedores[Ruc / Dni]),2,0),"")</calculatedColumnFormula>
    </tableColumn>
    <tableColumn id="30" xr3:uid="{EDA4D529-361A-4C24-AF4A-DDE784E8C0F3}" name="nota_2" dataDxfId="604"/>
    <tableColumn id="29" xr3:uid="{7D5572DB-668A-4927-AADA-528BB4A0E635}" name="nota_3" dataDxfId="603"/>
    <tableColumn id="8" xr3:uid="{C13AD31D-AB6A-4D31-B8CB-1E15B747992D}" name="nota_4" dataDxfId="602"/>
    <tableColumn id="7" xr3:uid="{383ADCC9-8044-4701-A7F3-3F1B99F3AE87}" name="nota_5" dataDxfId="601"/>
    <tableColumn id="27" xr3:uid="{1634BEA4-F204-4336-8660-606FB1B177A4}" name="periodo" dataDxfId="600">
      <calculatedColumnFormula>IF(Caja_Arequipa[[#This Row],[fecha]]&gt;0,TEXT(Caja_Arequipa[[#This Row],[fecha]],"mmmm"),0)</calculatedColumnFormula>
    </tableColumn>
  </tableColumns>
  <tableStyleInfo name="TableStyleLight1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4EC2E9B-B491-4ADE-A720-DE8B4741E02B}" name="Caja_Finanzas" displayName="Caja_Finanzas" ref="A1:AB986" totalsRowShown="0" headerRowDxfId="599" dataDxfId="597" headerRowBorderDxfId="598">
  <autoFilter ref="A1:AB986" xr:uid="{EA7D5B11-35C9-4844-86AB-E3BA3A957A89}"/>
  <tableColumns count="28">
    <tableColumn id="16" xr3:uid="{C2402CEB-FE30-4056-82B7-169FB621939B}" name="item" dataDxfId="596">
      <calculatedColumnFormula>IF(Caja_Finanzas[[#This Row],[tipo_r]]="R",COUNTIFS($C$1:$C1,"R")+1,A1)</calculatedColumnFormula>
    </tableColumn>
    <tableColumn id="17" xr3:uid="{7133C3A4-DA95-4B1D-B947-A45ADE0B890F}" name="portafolio" dataDxfId="595">
      <calculatedColumnFormula>"C-Finanzas"</calculatedColumnFormula>
    </tableColumn>
    <tableColumn id="18" xr3:uid="{9E6D0133-E17B-4E46-B5C2-5B29AF26B914}" name="tipo_r" dataDxfId="594"/>
    <tableColumn id="1" xr3:uid="{42BA3610-EF33-4C44-84D7-C085912123CD}" name="fecha" dataDxfId="593"/>
    <tableColumn id="2" xr3:uid="{D17B1175-5609-4F51-B900-495F359CA821}" name="responsable" dataDxfId="592"/>
    <tableColumn id="3" xr3:uid="{5EDFCB21-AB68-44E2-BA93-87248B7B8283}" name="tipo_mov" dataDxfId="591"/>
    <tableColumn id="5" xr3:uid="{533FEE01-BF81-450D-A42A-AE7B8F17EC08}" name="entregado" dataDxfId="590"/>
    <tableColumn id="19" xr3:uid="{282FB7E7-C4FA-47E0-BF81-E5A74BBEDA86}" name="destinatario" dataDxfId="589"/>
    <tableColumn id="20" xr3:uid="{E1AD1C45-0665-4BD3-BA56-5CFDBD6B704E}" name="tipo_documento" dataDxfId="588"/>
    <tableColumn id="21" xr3:uid="{E8BD4C63-ACD5-4264-87AD-554DA5E17505}" name="serie" dataDxfId="587"/>
    <tableColumn id="22" xr3:uid="{9F8C4194-4E8F-4E8A-8B0D-48833C363ED9}" name="numero" dataDxfId="586"/>
    <tableColumn id="9" xr3:uid="{B0A06AF0-D5E4-4968-8BA1-043BE27C1EC5}" name="descripcion_actividad" dataDxfId="585"/>
    <tableColumn id="10" xr3:uid="{6DBEC8BC-0083-48BD-8519-23AAA44E4875}" name="n_operacion" dataDxfId="584">
      <calculatedColumnFormula>"CFI"&amp;".D"&amp;TEXT(Caja_Finanzas[[#This Row],[fecha]],"DD-MM")&amp;"-"&amp;TEXT(Caja_Finanzas[[#This Row],[item]],"0000")</calculatedColumnFormula>
    </tableColumn>
    <tableColumn id="11" xr3:uid="{5694E4BC-8387-4465-8071-71ACF9D48B01}" name="moneda" dataDxfId="583">
      <calculatedColumnFormula>"PEN"</calculatedColumnFormula>
    </tableColumn>
    <tableColumn id="24" xr3:uid="{28A13B9E-7CB7-45C3-89A8-011CCCA30B71}" name="parcial" dataDxfId="582"/>
    <tableColumn id="12" xr3:uid="{77491D92-C279-4BA0-B4EE-D9294F072A8A}" name="monto" dataDxfId="581"/>
    <tableColumn id="13" xr3:uid="{E5599C13-5E73-4D85-9B80-1F7939AAC580}" name="abono" dataDxfId="580">
      <calculatedColumnFormula>+IF(OR($F2="SALDO",$F2="INGRESO"),$P2,0)</calculatedColumnFormula>
    </tableColumn>
    <tableColumn id="14" xr3:uid="{E98F0BD3-A76C-4DA6-B4FE-3030CF7886E9}" name="retiro" dataDxfId="579">
      <calculatedColumnFormula>+IF($F2="EGRESO",$P2,0)</calculatedColumnFormula>
    </tableColumn>
    <tableColumn id="15" xr3:uid="{CD9FA0C6-370C-4EFE-872A-5ACBBF75B2F4}" name="saldo" dataDxfId="578">
      <calculatedColumnFormula>IFERROR(IF(F2="SALDO",Q2,S1+Q2-R2),0)</calculatedColumnFormula>
    </tableColumn>
    <tableColumn id="25" xr3:uid="{9B424867-D1C7-42C9-96A5-5B2F61A29777}" name="vb_1" dataDxfId="577"/>
    <tableColumn id="26" xr3:uid="{9ACBF863-AA90-449F-9C49-681D9BA56AD0}" name="vb_2" dataDxfId="576"/>
    <tableColumn id="28" xr3:uid="{999377C6-6EC1-4569-9F7E-BD45D2AFC5D4}" name="constancia_link" dataDxfId="575"/>
    <tableColumn id="7" xr3:uid="{79DC211D-2F16-4767-977A-AF5A434D7459}" name="nota_1" dataDxfId="574"/>
    <tableColumn id="8" xr3:uid="{1F0E96CA-E4F1-4885-B2F8-C6B72D481015}" name="nota_2" dataDxfId="573"/>
    <tableColumn id="29" xr3:uid="{E236B0E3-1DA0-479B-8C85-298F9F9EFB67}" name="nota_3" dataDxfId="572"/>
    <tableColumn id="30" xr3:uid="{AEAA703D-1ADD-40D3-94A2-AB1C2437EFFA}" name="nota_4" dataDxfId="571"/>
    <tableColumn id="31" xr3:uid="{A8868B16-7ABE-443A-984E-0CCBCFC62F6C}" name="nota_5" dataDxfId="570"/>
    <tableColumn id="27" xr3:uid="{40B5DF2E-850B-4A18-8F01-929399FF4CF7}" name="periodo" dataDxfId="569">
      <calculatedColumnFormula>IF(Caja_Finanzas[[#This Row],[fecha]]&gt;0,TEXT(Caja_Finanzas[[#This Row],[fecha]],"mmmm"),0)</calculatedColumnFormula>
    </tableColumn>
  </tableColumns>
  <tableStyleInfo name="TableStyleLight1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F3197B9D-027B-4FD5-BFB1-BCAB1C4096D0}" name="Caja_Operativa" displayName="Caja_Operativa" ref="A1:AA489" headerRowDxfId="568" dataDxfId="567">
  <autoFilter ref="A1:AA489" xr:uid="{EA7D5B11-35C9-4844-86AB-E3BA3A957A89}"/>
  <tableColumns count="27">
    <tableColumn id="16" xr3:uid="{117D55C4-97D8-4B32-9A2C-7E25D7052B64}" name="ITEM" dataDxfId="566" totalsRowDxfId="565">
      <calculatedColumnFormula>IF(Caja_Operativa[[#This Row],[TIPO DE R.]]="R",COUNTIFS($C$1:$C1,"R")+1,"")</calculatedColumnFormula>
    </tableColumn>
    <tableColumn id="17" xr3:uid="{E75736E1-BA3E-4B61-98FC-0A1E37A1F95F}" name="PORTAFOLIO" dataDxfId="564" totalsRowDxfId="563">
      <calculatedColumnFormula>"C-Operativa"</calculatedColumnFormula>
    </tableColumn>
    <tableColumn id="18" xr3:uid="{FE9B1F92-AF70-4529-9A3A-1FBD146FA3E5}" name="TIPO DE R." dataDxfId="562" totalsRowDxfId="561"/>
    <tableColumn id="1" xr3:uid="{E536B594-D73C-49A4-BE58-8637DB0CCE88}" name="FECHA" dataDxfId="560" totalsRowDxfId="559"/>
    <tableColumn id="2" xr3:uid="{4D44D00B-AA9D-4D42-A675-A913CC980417}" name="RESPONSABLE" dataDxfId="558" totalsRowDxfId="557"/>
    <tableColumn id="3" xr3:uid="{536D1D8E-731D-4AB8-BE2A-F714264F60DA}" name="TIPO DE MOV." dataDxfId="556" totalsRowDxfId="555"/>
    <tableColumn id="19" xr3:uid="{944CBB1E-6185-4B88-A365-BA1FEABE3435}" name="DESTINATARIO" dataDxfId="554" totalsRowDxfId="553"/>
    <tableColumn id="20" xr3:uid="{D01403CC-838A-41F0-9CF2-5520B84483CD}" name="TIPO DE DOCUMENTO" dataDxfId="552" totalsRowDxfId="551"/>
    <tableColumn id="21" xr3:uid="{1CA09B33-3571-413E-B2EF-4B33D4CD3E59}" name="SERIE" dataDxfId="550" totalsRowDxfId="549"/>
    <tableColumn id="22" xr3:uid="{C2A5BE4E-206E-4F1E-9D41-E738D408D154}" name="NUMERO" dataDxfId="548" totalsRowDxfId="547"/>
    <tableColumn id="9" xr3:uid="{0DA85B67-ADFF-4644-AAA0-9605E838A2C4}" name="DESCRIPCIÓN / ACTIVIDAD" dataDxfId="546" totalsRowDxfId="545"/>
    <tableColumn id="10" xr3:uid="{B14EF83E-E124-48D5-A006-3C1D5C10B4D9}" name="N° OPERACIÓN" dataDxfId="544" totalsRowDxfId="543"/>
    <tableColumn id="11" xr3:uid="{D7827D86-F457-470A-95D2-D021522370B0}" name="MONEDA" dataDxfId="542" totalsRowDxfId="541">
      <calculatedColumnFormula>"PEN"</calculatedColumnFormula>
    </tableColumn>
    <tableColumn id="24" xr3:uid="{B89CF2EC-6059-4D6E-902D-2201CEE000D4}" name="PARCIAL" dataDxfId="540" totalsRowDxfId="539"/>
    <tableColumn id="12" xr3:uid="{3105DB97-E308-4215-9699-402BCAB4BE38}" name="MONTO " dataDxfId="538" totalsRowDxfId="537"/>
    <tableColumn id="13" xr3:uid="{F3CC9949-1037-48AA-A8DE-72A73566C8C0}" name="ABONO" dataDxfId="536" totalsRowDxfId="535">
      <calculatedColumnFormula>+IF(OR($F2="SALDO",$F2="INGRESO"),$O2,0)</calculatedColumnFormula>
    </tableColumn>
    <tableColumn id="14" xr3:uid="{08B1F182-4BFF-4977-AB51-B5B42A2143DD}" name="RETIRO" dataDxfId="534" totalsRowDxfId="533">
      <calculatedColumnFormula>+IF($F2="EGRESO",$O2,0)</calculatedColumnFormula>
    </tableColumn>
    <tableColumn id="15" xr3:uid="{92A466FA-9B40-4B2F-B9E7-DB4E5FD57D92}" name="SALDO" dataDxfId="532" totalsRowDxfId="531">
      <calculatedColumnFormula>IFERROR(IF(F2="SALDO",P2,R1+P2-Q2),0)</calculatedColumnFormula>
    </tableColumn>
    <tableColumn id="25" xr3:uid="{07D7877B-E951-465F-B246-358F2E7C5136}" name="VB° (1)" dataDxfId="530" totalsRowDxfId="529"/>
    <tableColumn id="26" xr3:uid="{DE927E23-B1BB-4FEB-BF96-39AE96DE512B}" name="VB° (2)" dataDxfId="528" totalsRowDxfId="527"/>
    <tableColumn id="28" xr3:uid="{C94CFF50-F6D0-4A53-B3C2-38B12CB5A6B1}" name="CONSTANCIA (LINK)" dataDxfId="526" totalsRowDxfId="525"/>
    <tableColumn id="7" xr3:uid="{93979BF3-C75C-4C79-8D93-9FC06224E0FE}" name="NOTA 1" dataDxfId="524" totalsRowDxfId="523"/>
    <tableColumn id="8" xr3:uid="{61D1E5DF-8D9C-4A92-ADC9-F39CF3D6AB35}" name="NOTA 2" dataDxfId="522" totalsRowDxfId="521"/>
    <tableColumn id="29" xr3:uid="{5D6737BD-1F34-4CCE-92C1-5803A6F9C7C9}" name="NOTA 3" dataDxfId="520" totalsRowDxfId="519"/>
    <tableColumn id="30" xr3:uid="{22EDD789-98DD-4DEC-8E1B-871B96DD6C2F}" name="NOTA 4" dataDxfId="518" totalsRowDxfId="517"/>
    <tableColumn id="31" xr3:uid="{DFDD7FB8-BDFA-4912-A357-E3C687E647E8}" name="NOTA 5" dataDxfId="516" totalsRowDxfId="515"/>
    <tableColumn id="27" xr3:uid="{11EEE31D-2F3B-4CF0-9064-E778A6FDA514}" name="PERIODO" dataDxfId="514" totalsRowDxfId="513">
      <calculatedColumnFormula>IF(Caja_Operativa[[#This Row],[FECHA]]&gt;0,TEXT(Caja_Operativa[[#This Row],[FECHA]],"mmmm"),0)</calculatedColumnFormula>
    </tableColumn>
  </tableColumns>
  <tableStyleInfo name="TableStyleLight1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3382366-0661-1F47-A5D8-5772FF791CBF}" name="C_Ope_001" displayName="C_Ope_001" ref="A1:AB486" totalsRowShown="0" headerRowDxfId="512" dataDxfId="511">
  <autoFilter ref="A1:AB486" xr:uid="{EA7D5B11-35C9-4844-86AB-E3BA3A957A89}"/>
  <tableColumns count="28">
    <tableColumn id="16" xr3:uid="{E8485865-F968-4F48-B725-BC25715C4C5B}" name="item" dataDxfId="510">
      <calculatedColumnFormula>IF(C_Ope_001[[#This Row],[tipo_r]]="R",COUNTIFS($C$1:$C1,"R")+1,"")</calculatedColumnFormula>
    </tableColumn>
    <tableColumn id="17" xr3:uid="{66B20FCD-8C32-D847-B291-A1801029FBC6}" name="portafolio" dataDxfId="509">
      <calculatedColumnFormula>"C_Ope_001"</calculatedColumnFormula>
    </tableColumn>
    <tableColumn id="18" xr3:uid="{B10D4394-CCBA-E542-A4B2-1C6B00D33E10}" name="tipo_r" dataDxfId="508"/>
    <tableColumn id="1" xr3:uid="{918FE73F-3ED6-4F49-B4B8-E2543509BD9C}" name="fecha" dataDxfId="507"/>
    <tableColumn id="2" xr3:uid="{50D1446A-B9E5-AC45-BF29-ACE0D6DE3AD1}" name="responsable" dataDxfId="506"/>
    <tableColumn id="3" xr3:uid="{E1194C65-CAE8-7445-8F10-45357F44CB4A}" name="tipo_mov" dataDxfId="505"/>
    <tableColumn id="19" xr3:uid="{65A88E0E-55AA-DA44-BB10-A99EAA396209}" name="destinatario" dataDxfId="504"/>
    <tableColumn id="20" xr3:uid="{24256941-8369-7B4F-BF45-6887C8CB8951}" name="tipo_documento" dataDxfId="503"/>
    <tableColumn id="21" xr3:uid="{88421882-80B2-D14C-8592-391E78129491}" name="serie" dataDxfId="502"/>
    <tableColumn id="22" xr3:uid="{79392EAB-F174-5F4E-9CB0-463AB629586D}" name="numero" dataDxfId="501"/>
    <tableColumn id="9" xr3:uid="{92BC7319-7E41-8D46-B345-FE71423D09FA}" name="descripcion_actividad" dataDxfId="500"/>
    <tableColumn id="10" xr3:uid="{2A1E3B7A-A177-8041-BC60-369B1DA91B00}" name="n_operacion" dataDxfId="499"/>
    <tableColumn id="11" xr3:uid="{F5916FE6-DB65-FD4C-9949-F7529646CD55}" name="moneda" dataDxfId="498">
      <calculatedColumnFormula>"PEN"</calculatedColumnFormula>
    </tableColumn>
    <tableColumn id="24" xr3:uid="{7EA66EA9-1082-1846-9191-E15AFA5FE4A8}" name="parcial" dataDxfId="497"/>
    <tableColumn id="12" xr3:uid="{6A4C70E0-1D3F-7849-8C81-A60C31F385B4}" name="monto" dataDxfId="496"/>
    <tableColumn id="13" xr3:uid="{E057A64A-4D1F-374E-A1F9-027A9259BA0B}" name="abono" dataDxfId="495">
      <calculatedColumnFormula>+IF(OR($F2="SALDO",$F2="INGRESO"),$O2,0)</calculatedColumnFormula>
    </tableColumn>
    <tableColumn id="14" xr3:uid="{3CE16B57-44C2-B34D-9252-F1E2207C4E72}" name="retiro" dataDxfId="494">
      <calculatedColumnFormula>+IF($F2="EGRESO",$O2,0)</calculatedColumnFormula>
    </tableColumn>
    <tableColumn id="15" xr3:uid="{38715D55-6A4D-C84E-9658-0EC54B456B26}" name="saldo" dataDxfId="493">
      <calculatedColumnFormula>IFERROR(IF(F2="SALDO",P2,R1+P2-Q2),0)</calculatedColumnFormula>
    </tableColumn>
    <tableColumn id="25" xr3:uid="{AE3CBFB0-AD03-9141-8068-2A99431A2268}" name="vb_1" dataDxfId="492"/>
    <tableColumn id="26" xr3:uid="{2485C931-F503-4540-94BC-5B263633E15C}" name="vb_2" dataDxfId="491"/>
    <tableColumn id="28" xr3:uid="{67811580-84F6-CE4C-8C47-04D0F6CA89B2}" name="constancia_link" dataDxfId="490"/>
    <tableColumn id="7" xr3:uid="{2F84873E-5BC5-9548-9488-AD45A2D0A35A}" name="nota_1" dataDxfId="489"/>
    <tableColumn id="8" xr3:uid="{37CF739A-E70A-684E-9EC2-096850DB557B}" name="nota_2" dataDxfId="488"/>
    <tableColumn id="29" xr3:uid="{A3AF97B1-838F-A24B-AD29-0F9FF1386FDF}" name="nota_3" dataDxfId="487">
      <calculatedColumnFormula>IFERROR(VLOOKUP(C_Ope_001[[#This Row],[nota_2]],Clientes_Proveedores[[Ruc / Dni]:[Razon Social]],2,0),"")</calculatedColumnFormula>
    </tableColumn>
    <tableColumn id="30" xr3:uid="{A3B1B8D8-E22A-7D47-8413-CE9EA040119D}" name="nota_4" dataDxfId="486"/>
    <tableColumn id="31" xr3:uid="{DB8F1365-67FC-5641-A2DB-7B34DC4CD137}" name="nota_5" dataDxfId="485"/>
    <tableColumn id="27" xr3:uid="{64C25699-BEF4-094F-8E2C-E641F6E3F2C3}" name="periodo" dataDxfId="484">
      <calculatedColumnFormula>IF(C_Ope_001[[#This Row],[fecha]]&gt;0,TEXT(C_Ope_001[[#This Row],[fecha]],"mmmm"),0)</calculatedColumnFormula>
    </tableColumn>
    <tableColumn id="4" xr3:uid="{BC1FE0CD-4FEE-42F0-871A-B66A8422B0D0}" name="rco" dataDxfId="483"/>
  </tableColumns>
  <tableStyleInfo name="TableStyleLight1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1D8A1CC-E4AE-BF4F-9120-517AE7E02144}" name="C_Ope_002" displayName="C_Ope_002" ref="A1:AB408" totalsRowShown="0" headerRowDxfId="37" dataDxfId="482">
  <autoFilter ref="A1:AB408" xr:uid="{EA7D5B11-35C9-4844-86AB-E3BA3A957A89}"/>
  <tableColumns count="28">
    <tableColumn id="16" xr3:uid="{12C5D4FB-C531-C544-A121-86F93A6E3D53}" name="item" dataDxfId="481">
      <calculatedColumnFormula>IF(C_Ope_002[[#This Row],[tipo_r]]="R",COUNTIFS($C$1:$C1,"R")+1,"")</calculatedColumnFormula>
    </tableColumn>
    <tableColumn id="17" xr3:uid="{CDC0CE86-D38F-314E-A248-EA5CCBA9E7F9}" name="portafolio" dataDxfId="480">
      <calculatedColumnFormula>"C_Ope_002"</calculatedColumnFormula>
    </tableColumn>
    <tableColumn id="18" xr3:uid="{69F3DB85-9B8B-9049-89E7-D760E1A4803F}" name="tipo_r" dataDxfId="479"/>
    <tableColumn id="1" xr3:uid="{463B6951-4DA7-0F41-BEA1-3309AC65C258}" name="fecha" dataDxfId="478"/>
    <tableColumn id="2" xr3:uid="{0CEE8155-0E81-C145-A0DE-D5EF798CF3B9}" name="responsable" dataDxfId="477"/>
    <tableColumn id="3" xr3:uid="{8BB5B7E4-D527-E54F-B2AA-8CDFCEE8F3F2}" name="tipo_mov" dataDxfId="476"/>
    <tableColumn id="19" xr3:uid="{4FB6FB68-02A1-DF43-B72F-CD7894DEA5CD}" name="destinatario" dataDxfId="475"/>
    <tableColumn id="20" xr3:uid="{8CE24152-3505-C849-94F6-D677A46BFCAF}" name="tipo_documento" dataDxfId="474"/>
    <tableColumn id="21" xr3:uid="{E1086D1D-84B7-E746-ACE7-8A7283119E79}" name="serie" dataDxfId="473"/>
    <tableColumn id="22" xr3:uid="{3135EC2B-C060-3F49-9ADA-664FD152BC5B}" name="numero" dataDxfId="472"/>
    <tableColumn id="9" xr3:uid="{E5FB535D-65C6-9641-A8FB-70284A7C9341}" name="descripcion_actividad" dataDxfId="471"/>
    <tableColumn id="10" xr3:uid="{1699059A-53E8-D24C-8540-B614112EF231}" name="n_operacion" dataDxfId="470"/>
    <tableColumn id="11" xr3:uid="{E88A05D0-4AF9-4B4C-A767-7B9887C87775}" name="moneda" dataDxfId="469">
      <calculatedColumnFormula>"PEN"</calculatedColumnFormula>
    </tableColumn>
    <tableColumn id="24" xr3:uid="{1BA23DB3-8EF5-8E42-960E-D9DD1AC422FD}" name="parcial" dataDxfId="468"/>
    <tableColumn id="12" xr3:uid="{6A63AB1C-A6AD-5444-9048-73CFDF8A5104}" name="monto" dataDxfId="467"/>
    <tableColumn id="13" xr3:uid="{C12B188D-F898-A64E-BB32-1B16928873CA}" name="abono" dataDxfId="466">
      <calculatedColumnFormula>+IF(OR($F2="SALDO",$F2="INGRESO"),$O2,0)</calculatedColumnFormula>
    </tableColumn>
    <tableColumn id="14" xr3:uid="{38B853DF-8F96-7241-B4BB-7FA563CB1804}" name="retiro" dataDxfId="465">
      <calculatedColumnFormula>+IF($F2="EGRESO",$O2,0)</calculatedColumnFormula>
    </tableColumn>
    <tableColumn id="15" xr3:uid="{C5AD01F9-5A47-8141-8325-91B535554513}" name="saldo" dataDxfId="464">
      <calculatedColumnFormula>IFERROR(IF(F2="SALDO",P2,R1+P2-Q2),0)</calculatedColumnFormula>
    </tableColumn>
    <tableColumn id="25" xr3:uid="{F7B86AEA-5686-DC4B-A8E0-1F5702152AB5}" name="vb_1" dataDxfId="463"/>
    <tableColumn id="26" xr3:uid="{FBD604BB-14AB-3641-8265-52B794BF3FF1}" name="vb_2" dataDxfId="462"/>
    <tableColumn id="28" xr3:uid="{CAFD3893-BA6D-B04D-BB60-9E10EE693349}" name="constancia_link" dataDxfId="461"/>
    <tableColumn id="7" xr3:uid="{5FC0A044-5B14-FD45-BD80-78C1D2D3FE2E}" name="nota_1" dataDxfId="460"/>
    <tableColumn id="8" xr3:uid="{C417A14B-905F-A54D-A030-303DC2558E79}" name="nota_2" dataDxfId="459"/>
    <tableColumn id="29" xr3:uid="{BB055857-CEC0-544E-8F83-05D6DE69D0F8}" name="nota_3" dataDxfId="458">
      <calculatedColumnFormula>IFERROR(VLOOKUP(C_Ope_002[[#This Row],[nota_2]],Clientes_Proveedores[[Ruc / Dni]:[Razon Social]],2,0),"")</calculatedColumnFormula>
    </tableColumn>
    <tableColumn id="30" xr3:uid="{8FBD39C9-07D8-A545-83E1-57C2E646359E}" name="nota_4" dataDxfId="457"/>
    <tableColumn id="31" xr3:uid="{1A0A4BBD-F576-9D46-8536-EC9F9D8E507F}" name="nota_5" dataDxfId="456"/>
    <tableColumn id="27" xr3:uid="{2C679585-AB00-514C-959C-D3D8555AB234}" name="periodo" dataDxfId="455">
      <calculatedColumnFormula>IF(C_Ope_002[[#This Row],[fecha]]&gt;0,TEXT(C_Ope_002[[#This Row],[fecha]],"mmmm"),0)</calculatedColumnFormula>
    </tableColumn>
    <tableColumn id="4" xr3:uid="{95ABF395-06B8-4536-94E1-CCF08424FA9A}" name="rco" dataDxfId="454"/>
  </tableColumns>
  <tableStyleInfo name="TableStyleLight1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AF0578C1-A787-8D4B-A612-A51B08275593}" name="C_Ope_003" displayName="C_Ope_003" ref="A1:AB388" totalsRowShown="0" headerRowDxfId="36" dataDxfId="453">
  <autoFilter ref="A1:AB388" xr:uid="{EA7D5B11-35C9-4844-86AB-E3BA3A957A89}"/>
  <tableColumns count="28">
    <tableColumn id="16" xr3:uid="{CD10FDD8-531A-3147-88FC-595E766C5FD6}" name="item" dataDxfId="452">
      <calculatedColumnFormula>IF(C_Ope_003[[#This Row],[tipo_r]]="R",COUNTIFS($C$1:$C1,"R")+1,"")</calculatedColumnFormula>
    </tableColumn>
    <tableColumn id="17" xr3:uid="{44EE1209-8051-0C44-8006-43CE8F66F814}" name="portafolio" dataDxfId="451">
      <calculatedColumnFormula>"C_Ope_003"</calculatedColumnFormula>
    </tableColumn>
    <tableColumn id="18" xr3:uid="{16E5C0B1-CF52-BB4F-B26E-7B57FB2F58B6}" name="tipo_r" dataDxfId="450"/>
    <tableColumn id="1" xr3:uid="{9921F9FA-9292-514D-9949-CB0123488519}" name="fecha" dataDxfId="449"/>
    <tableColumn id="2" xr3:uid="{EA7A8281-0EAF-0E4D-8A3A-CBEF6BAF47F3}" name="responsable" dataDxfId="448"/>
    <tableColumn id="3" xr3:uid="{31E502FC-EB0F-5545-80A5-E0EEFD3C7F30}" name="tipo_mov" dataDxfId="447"/>
    <tableColumn id="19" xr3:uid="{7D5C0AA7-7C95-724D-A024-CE055B411EEF}" name="destinatario" dataDxfId="446"/>
    <tableColumn id="20" xr3:uid="{A3F60A9D-5D5D-9B4B-BFF1-C7057A4B5125}" name="tipo_documento" dataDxfId="445"/>
    <tableColumn id="21" xr3:uid="{57F92E11-2B54-FA46-B884-37C417593E2C}" name="serie" dataDxfId="444"/>
    <tableColumn id="22" xr3:uid="{9CA634AC-3570-7B4C-9F76-7D49D0247D34}" name="numero" dataDxfId="443"/>
    <tableColumn id="9" xr3:uid="{8657D443-A6F0-FC41-9B94-1DCCAEAE89B3}" name="descripcion_actividad" dataDxfId="442"/>
    <tableColumn id="10" xr3:uid="{2CCA89E9-94FE-9C47-A484-240709DC8BDE}" name="n_operacion" dataDxfId="441"/>
    <tableColumn id="11" xr3:uid="{C6439602-0206-4143-979C-0C696DB69D59}" name="moneda" dataDxfId="440">
      <calculatedColumnFormula>"PEN"</calculatedColumnFormula>
    </tableColumn>
    <tableColumn id="24" xr3:uid="{17BB7B4E-CF44-664C-B20B-59BCBC2889C1}" name="parcial" dataDxfId="439"/>
    <tableColumn id="12" xr3:uid="{72C7BFCF-E83B-EC4C-A226-1D9C90F0E779}" name="monto" dataDxfId="438"/>
    <tableColumn id="13" xr3:uid="{CA01DE32-4B32-1748-9F19-C73314FE4B8E}" name="abono" dataDxfId="437">
      <calculatedColumnFormula>+IF(OR($F2="SALDO",$F2="INGRESO"),$O2,0)</calculatedColumnFormula>
    </tableColumn>
    <tableColumn id="14" xr3:uid="{25C3980D-AA62-DC48-85AD-1B81F8A5076E}" name="retiro" dataDxfId="436">
      <calculatedColumnFormula>+IF($F2="EGRESO",$O2,0)</calculatedColumnFormula>
    </tableColumn>
    <tableColumn id="15" xr3:uid="{481A36DE-6D6C-584D-BC4F-9482109AF4A3}" name="saldo" dataDxfId="435">
      <calculatedColumnFormula>IFERROR(IF(F2="SALDO",P2,R1+P2-Q2),0)</calculatedColumnFormula>
    </tableColumn>
    <tableColumn id="25" xr3:uid="{96B56412-523D-594D-BA35-35D9F1AC9F16}" name="vb_1" dataDxfId="434"/>
    <tableColumn id="26" xr3:uid="{630E3D63-6152-CA46-A2CC-E5A0751C5558}" name="vb_2" dataDxfId="433"/>
    <tableColumn id="28" xr3:uid="{2923EE43-15EE-8040-BA0E-9FC7EFA2FFA7}" name="constancia_link" dataDxfId="432"/>
    <tableColumn id="7" xr3:uid="{6948AD8D-3370-8E43-8A28-7A2EFC10EB68}" name="nota_1" dataDxfId="431"/>
    <tableColumn id="8" xr3:uid="{CDA9A84F-3304-0144-ABCF-20ABDEB87F2A}" name="nota_2" dataDxfId="430"/>
    <tableColumn id="29" xr3:uid="{7885FB47-0563-0E46-859D-5B3AD5AA2701}" name="nota_3" dataDxfId="429">
      <calculatedColumnFormula>IFERROR(VLOOKUP(C_Ope_003[[#This Row],[nota_2]],Clientes_Proveedores[[Ruc / Dni]:[Razon Social]],2,0),"")</calculatedColumnFormula>
    </tableColumn>
    <tableColumn id="30" xr3:uid="{A816C02D-D970-F042-ABE1-EEC3BDB14FF7}" name="nota_4" dataDxfId="428"/>
    <tableColumn id="31" xr3:uid="{D35BA4FC-28FD-1947-8CC1-134839FEE287}" name="nota_5" dataDxfId="427"/>
    <tableColumn id="27" xr3:uid="{55250F84-185D-4249-B59E-7B07B59A4FDB}" name="periodo" dataDxfId="426">
      <calculatedColumnFormula>IF(C_Ope_003[[#This Row],[fecha]]&gt;0,TEXT(C_Ope_003[[#This Row],[fecha]],"mmmm"),0)</calculatedColumnFormula>
    </tableColumn>
    <tableColumn id="4" xr3:uid="{F135CC02-AC1A-4799-8AE1-99306B19D7A0}" name="rco" dataDxfId="425"/>
  </tableColumns>
  <tableStyleInfo name="TableStyleLight11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166CAD9-B83D-4769-9897-F38121BA6718}" name="C_Ope_004" displayName="C_Ope_004" ref="A1:AB254" totalsRowShown="0" headerRowDxfId="35" dataDxfId="424">
  <autoFilter ref="A1:AB254" xr:uid="{EA7D5B11-35C9-4844-86AB-E3BA3A957A89}"/>
  <tableColumns count="28">
    <tableColumn id="16" xr3:uid="{974A8572-50E6-4327-A298-3525D070F165}" name="item" dataDxfId="423">
      <calculatedColumnFormula>IF(C_Ope_004[[#This Row],[tipo_r]]="R",COUNTIFS($C$1:$C1,"R")+1,"")</calculatedColumnFormula>
    </tableColumn>
    <tableColumn id="17" xr3:uid="{4473F360-5519-4147-9F13-10088E3B03EA}" name="portafolio" dataDxfId="422">
      <calculatedColumnFormula>"C_Ope_004"</calculatedColumnFormula>
    </tableColumn>
    <tableColumn id="18" xr3:uid="{BE65C91B-D805-4074-B7A1-AB9AD8AC6A85}" name="tipo_r" dataDxfId="421"/>
    <tableColumn id="1" xr3:uid="{C8A698FE-ABEC-4B1E-A8B9-07582B8CCD94}" name="fecha" dataDxfId="420"/>
    <tableColumn id="2" xr3:uid="{745034D7-5F5B-44E7-9D58-DADAD37CDB58}" name="responsable" dataDxfId="419"/>
    <tableColumn id="3" xr3:uid="{E3E96E9A-CFCC-488B-8DE8-DA991BFBA309}" name="tipo_mov" dataDxfId="418"/>
    <tableColumn id="19" xr3:uid="{F2C7A815-E7BD-4B36-9BBE-E47D7A8FBDE8}" name="destinatario" dataDxfId="417"/>
    <tableColumn id="20" xr3:uid="{A0ABDF02-1F0D-4FD9-9B25-F0A47F8273DF}" name="tipo_documento" dataDxfId="416"/>
    <tableColumn id="21" xr3:uid="{0BAF3B94-6BED-4FA1-A75A-BCDDECF42A62}" name="serie" dataDxfId="415"/>
    <tableColumn id="22" xr3:uid="{D4483E5B-34EC-423E-8CCD-BB639A5CD643}" name="numero" dataDxfId="414"/>
    <tableColumn id="9" xr3:uid="{37169DDB-80DF-4D67-BD0A-1D936E40C8AD}" name="descripcion_actividad" dataDxfId="413"/>
    <tableColumn id="10" xr3:uid="{CA592E7F-6E7A-4D07-8917-F1A610CA7F40}" name="n_operacion" dataDxfId="412"/>
    <tableColumn id="11" xr3:uid="{B5F319A5-69A7-4177-A9B6-1327C14F81D9}" name="moneda" dataDxfId="411">
      <calculatedColumnFormula>"PEN"</calculatedColumnFormula>
    </tableColumn>
    <tableColumn id="24" xr3:uid="{AD3D6B41-8947-4BE1-B4B5-97D2E8771723}" name="parcial" dataDxfId="410"/>
    <tableColumn id="12" xr3:uid="{9E921D7E-339C-4DFE-B301-64A34A57F0C1}" name="monto" dataDxfId="409"/>
    <tableColumn id="13" xr3:uid="{29BB35CA-F6DC-46BF-B243-5192E25ECEBB}" name="abono" dataDxfId="408">
      <calculatedColumnFormula>+IF(OR($F2="SALDO",$F2="INGRESO"),$O2,0)</calculatedColumnFormula>
    </tableColumn>
    <tableColumn id="14" xr3:uid="{71B923F3-07CD-4F5C-9F5B-164BC412642F}" name="retiro" dataDxfId="407">
      <calculatedColumnFormula>+IF($F2="EGRESO",$O2,0)</calculatedColumnFormula>
    </tableColumn>
    <tableColumn id="15" xr3:uid="{099B4BC5-3D02-4D25-AFA4-3F09D8643050}" name="saldo" dataDxfId="406">
      <calculatedColumnFormula>IFERROR(IF(F2="SALDO",P2,R1+P2-Q2),0)</calculatedColumnFormula>
    </tableColumn>
    <tableColumn id="25" xr3:uid="{8415D3C7-CDFC-45E7-B290-879A862DCE22}" name="vb_1" dataDxfId="405"/>
    <tableColumn id="26" xr3:uid="{5C5E3F6B-C816-4CE1-8E79-BBD806F51BD7}" name="vb_2" dataDxfId="404"/>
    <tableColumn id="28" xr3:uid="{BD4608BA-1816-40D6-8B21-D61A86EF7A4B}" name="constancia_link" dataDxfId="403"/>
    <tableColumn id="7" xr3:uid="{73925506-D3FA-4982-B705-61A8EAAEB279}" name="nota_1" dataDxfId="402"/>
    <tableColumn id="8" xr3:uid="{CC6F4C17-01BC-446D-A8B4-DBFFEB66090A}" name="nota_2" dataDxfId="401"/>
    <tableColumn id="29" xr3:uid="{C838EE8E-47D4-45F2-B312-B42F4A8122F0}" name="nota_3" dataDxfId="400">
      <calculatedColumnFormula>IFERROR(VLOOKUP(C_Ope_004[[#This Row],[nota_2]],Clientes_Proveedores[[Ruc / Dni]:[Razon Social]],2,0),"")</calculatedColumnFormula>
    </tableColumn>
    <tableColumn id="30" xr3:uid="{ABBE24CA-847E-4E74-9995-A886B1AD69A0}" name="nota_4" dataDxfId="399"/>
    <tableColumn id="31" xr3:uid="{3A4F839B-83B7-418E-9B68-CEB5AAAAFFCC}" name="nota_5" dataDxfId="398"/>
    <tableColumn id="27" xr3:uid="{719B725E-9771-422E-8E93-519C5FFA8F9F}" name="periodo" dataDxfId="397">
      <calculatedColumnFormula>IF(C_Ope_004[[#This Row],[fecha]]&gt;0,TEXT(C_Ope_004[[#This Row],[fecha]],"mmmm"),0)</calculatedColumnFormula>
    </tableColumn>
    <tableColumn id="4" xr3:uid="{1C2740DE-F93B-46D7-9D46-826055E1ADC9}" name="rco" dataDxfId="396"/>
  </tableColumns>
  <tableStyleInfo name="TableStyleLight11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1F12324E-649E-4A0A-A73E-251A620F5C63}" name="C_Ope_005" displayName="C_Ope_005" ref="A1:AB531" totalsRowShown="0" headerRowDxfId="34" dataDxfId="395">
  <autoFilter ref="A1:AB531" xr:uid="{EA7D5B11-35C9-4844-86AB-E3BA3A957A89}"/>
  <tableColumns count="28">
    <tableColumn id="16" xr3:uid="{5886B412-9B46-47CA-891F-2E11EE7E391A}" name="item" dataDxfId="394">
      <calculatedColumnFormula>IF(C_Ope_005[[#This Row],[tipo_r]]="R",COUNTIFS($C$1:$C1,"R")+1,"")</calculatedColumnFormula>
    </tableColumn>
    <tableColumn id="17" xr3:uid="{758CEC37-6354-476E-A8EF-3EA83671300C}" name="portafolio" dataDxfId="393">
      <calculatedColumnFormula>"C_Ope_005"</calculatedColumnFormula>
    </tableColumn>
    <tableColumn id="18" xr3:uid="{BF03E74A-C208-4392-B109-B8047E29203D}" name="tipo_r" dataDxfId="392"/>
    <tableColumn id="1" xr3:uid="{C50E6460-8575-4199-9FC2-002E972DB5B2}" name="fecha" dataDxfId="391"/>
    <tableColumn id="2" xr3:uid="{480F0C4E-984C-4ADF-9753-59CB9C53189F}" name="responsable" dataDxfId="390"/>
    <tableColumn id="3" xr3:uid="{B55571A2-938A-4A61-8066-A389E08793DA}" name="tipo_mov" dataDxfId="389"/>
    <tableColumn id="19" xr3:uid="{763AADEF-63EE-4860-9CAD-2EC36EEFB9E2}" name="destinatario" dataDxfId="388"/>
    <tableColumn id="20" xr3:uid="{73A34D82-FB91-405C-9ECA-2394E19151E5}" name="tipo_documento" dataDxfId="387"/>
    <tableColumn id="21" xr3:uid="{3CAB50A5-6A04-4CB8-ABE7-3C46774E92DC}" name="serie" dataDxfId="386"/>
    <tableColumn id="22" xr3:uid="{FB3A73E9-1F08-4671-8F3D-4C9C401DD79D}" name="numero" dataDxfId="385"/>
    <tableColumn id="9" xr3:uid="{3C6357ED-6183-4245-A5CD-98F35723C8AD}" name="descripcion_actividad" dataDxfId="384"/>
    <tableColumn id="10" xr3:uid="{5BD51F65-6071-4A20-B08F-60F500B09897}" name="n_operacion" dataDxfId="383"/>
    <tableColumn id="11" xr3:uid="{5B308AF5-F1C4-4DF4-B251-B9BCDE038CF7}" name="moneda" dataDxfId="382">
      <calculatedColumnFormula>"PEN"</calculatedColumnFormula>
    </tableColumn>
    <tableColumn id="24" xr3:uid="{438199C6-1C23-497C-BBC2-84221C508226}" name="parcial" dataDxfId="381"/>
    <tableColumn id="12" xr3:uid="{98060DFE-A6DE-4843-9343-E6DA8E7C1281}" name="monto" dataDxfId="380"/>
    <tableColumn id="13" xr3:uid="{B367B01C-B1C5-49B4-81BF-2602D5C5C144}" name="abono" dataDxfId="379">
      <calculatedColumnFormula>+IF(OR($F2="SALDO",$F2="INGRESO"),$O2,0)</calculatedColumnFormula>
    </tableColumn>
    <tableColumn id="14" xr3:uid="{277FA9B6-1918-40C2-9577-288A70C0A6EB}" name="retiro" dataDxfId="378">
      <calculatedColumnFormula>+IF($F2="EGRESO",$O2,0)</calculatedColumnFormula>
    </tableColumn>
    <tableColumn id="15" xr3:uid="{45B51D59-0509-4115-95B9-D6C3B14FD513}" name="saldo" dataDxfId="377">
      <calculatedColumnFormula>IFERROR(IF(F2="SALDO",P2,R1+P2-Q2),0)</calculatedColumnFormula>
    </tableColumn>
    <tableColumn id="25" xr3:uid="{47837195-B855-4A0E-8A55-20A1FFC5DB91}" name="vb_1" dataDxfId="376"/>
    <tableColumn id="26" xr3:uid="{A49FEDC1-09C1-4B83-B06A-5582D402498F}" name="vb_2" dataDxfId="375"/>
    <tableColumn id="28" xr3:uid="{ADE072F9-34C1-473E-9757-D202D67EB78B}" name="constancia_link" dataDxfId="374"/>
    <tableColumn id="7" xr3:uid="{8B2E1858-58A4-4F45-AFD5-271FADDE023F}" name="nota_1" dataDxfId="373"/>
    <tableColumn id="8" xr3:uid="{ABC43C06-C0F4-43D8-AC5B-74895CCAAA8D}" name="nota_2" dataDxfId="372"/>
    <tableColumn id="29" xr3:uid="{AD0ED549-2564-40C7-8759-D4ECE492B05F}" name="nota_3" dataDxfId="371">
      <calculatedColumnFormula>IFERROR(VLOOKUP(C_Ope_005[[#This Row],[nota_2]],Clientes_Proveedores[[Ruc / Dni]:[Razon Social]],2,0),"")</calculatedColumnFormula>
    </tableColumn>
    <tableColumn id="30" xr3:uid="{E5550E13-CF3E-49B9-B675-28973FF058F7}" name="nota_4" dataDxfId="370"/>
    <tableColumn id="31" xr3:uid="{DB506588-8A5E-46A2-B1C2-EBC84B7BB6C3}" name="nota_5" dataDxfId="369"/>
    <tableColumn id="27" xr3:uid="{98B87084-EF1C-4CD3-B45E-4175939B34FC}" name="periodo" dataDxfId="368">
      <calculatedColumnFormula>IF(C_Ope_005[[#This Row],[fecha]]&gt;0,TEXT(C_Ope_005[[#This Row],[fecha]],"mmmm"),0)</calculatedColumnFormula>
    </tableColumn>
    <tableColumn id="4" xr3:uid="{FEA748C2-FD7B-4C8F-B606-A21B9CB00486}" name="rco" dataDxfId="367"/>
  </tableColumns>
  <tableStyleInfo name="TableStyleLight11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28F16DDA-53CD-474F-A026-9AA5100E827C}" name="C_Ope_006" displayName="C_Ope_006" ref="A1:AB300" totalsRowShown="0" headerRowDxfId="33" dataDxfId="366">
  <autoFilter ref="A1:AB300" xr:uid="{EA7D5B11-35C9-4844-86AB-E3BA3A957A89}"/>
  <tableColumns count="28">
    <tableColumn id="16" xr3:uid="{464172A9-D3E6-EF4B-98F5-D0F1D2156220}" name="item" dataDxfId="365">
      <calculatedColumnFormula>IF(C_Ope_006[[#This Row],[tipo_r]]="R",COUNTIFS($C$1:$C1,"R")+1,"")</calculatedColumnFormula>
    </tableColumn>
    <tableColumn id="17" xr3:uid="{8D796604-D232-524B-A8F1-A645EBE5B6C2}" name="portafolio" dataDxfId="364">
      <calculatedColumnFormula>"C_Ope_006"</calculatedColumnFormula>
    </tableColumn>
    <tableColumn id="18" xr3:uid="{C4242E4E-D4EF-F949-AA49-52DE0850E0C3}" name="tipo_r" dataDxfId="363"/>
    <tableColumn id="1" xr3:uid="{54628E08-7C9E-2244-8CB2-3202F7BF78BE}" name="fecha" dataDxfId="362"/>
    <tableColumn id="2" xr3:uid="{0201491F-AB61-4C43-B28C-1773015F7C01}" name="responsable" dataDxfId="361"/>
    <tableColumn id="3" xr3:uid="{3CCB1E60-8F8A-7D4F-AE27-09F699C527E1}" name="tipo_mov" dataDxfId="360"/>
    <tableColumn id="19" xr3:uid="{1017336B-DD36-2A49-B6A4-1E54AF6655E3}" name="destinatario" dataDxfId="359"/>
    <tableColumn id="20" xr3:uid="{6EF4BD3B-C9B8-BB45-90BD-DD8BFB454345}" name="tipo_documento" dataDxfId="358"/>
    <tableColumn id="21" xr3:uid="{1C3F4759-04CA-A640-86E9-5C4CB7187A56}" name="serie" dataDxfId="357"/>
    <tableColumn id="22" xr3:uid="{7BD7F998-A23D-5942-BFE3-4D054C168515}" name="numero" dataDxfId="356"/>
    <tableColumn id="9" xr3:uid="{A8967795-64AF-5D48-9377-0EE704EE8AB0}" name="descripcion_actividad" dataDxfId="355"/>
    <tableColumn id="10" xr3:uid="{B9176D13-57D2-7847-AF76-BFC9E7682AF4}" name="n_operacion" dataDxfId="354"/>
    <tableColumn id="11" xr3:uid="{4C966165-705B-3A47-A95F-F5EA7C8E4D30}" name="moneda" dataDxfId="353">
      <calculatedColumnFormula>"PEN"</calculatedColumnFormula>
    </tableColumn>
    <tableColumn id="24" xr3:uid="{0E25FD41-6129-9E44-96C0-B01A6E2488F5}" name="parcial" dataDxfId="352"/>
    <tableColumn id="12" xr3:uid="{3966EFDF-C0B0-CC40-A2A0-3249683DF7CE}" name="monto" dataDxfId="351"/>
    <tableColumn id="13" xr3:uid="{DA2EDECD-7F28-1946-BAFA-4ACC2CEABA9A}" name="abono" dataDxfId="350">
      <calculatedColumnFormula>+IF(OR($F2="SALDO",$F2="INGRESO"),$O2,0)</calculatedColumnFormula>
    </tableColumn>
    <tableColumn id="14" xr3:uid="{1FFC52CA-E522-A542-8937-1D0EF812AA60}" name="retiro" dataDxfId="349">
      <calculatedColumnFormula>+IF($F2="EGRESO",$O2,0)</calculatedColumnFormula>
    </tableColumn>
    <tableColumn id="15" xr3:uid="{2F862BB1-9E47-C445-A5A8-AD4D0258ED04}" name="saldo" dataDxfId="348">
      <calculatedColumnFormula>IFERROR(IF(F2="SALDO",P2,R1+P2-Q2),0)</calculatedColumnFormula>
    </tableColumn>
    <tableColumn id="25" xr3:uid="{DE601363-49E8-8A4F-9F09-B197ADC4B730}" name="vb_1" dataDxfId="347"/>
    <tableColumn id="26" xr3:uid="{E1F12E74-5404-C941-9908-5B5DDEC6D0FA}" name="vb_2" dataDxfId="346"/>
    <tableColumn id="28" xr3:uid="{BC783D02-3254-3045-A6C4-253847F4670E}" name="constancia_link" dataDxfId="345"/>
    <tableColumn id="7" xr3:uid="{DC98DDE8-E4B6-E243-8A97-63610DF4CD00}" name="nota_1" dataDxfId="344"/>
    <tableColumn id="8" xr3:uid="{2A4242F6-47AE-2C4B-BAD3-400D5EFB26A4}" name="nota_2" dataDxfId="343"/>
    <tableColumn id="29" xr3:uid="{D8399667-456D-0044-A374-6C14FCF4B186}" name="nota_3" dataDxfId="342">
      <calculatedColumnFormula>IFERROR(VLOOKUP(C_Ope_006[[#This Row],[nota_2]],Clientes_Proveedores[[Ruc / Dni]:[Razon Social]],2,0),"")</calculatedColumnFormula>
    </tableColumn>
    <tableColumn id="30" xr3:uid="{82BF1F0E-817B-6942-B026-58958C288E1C}" name="nota_4" dataDxfId="341"/>
    <tableColumn id="31" xr3:uid="{31FD56E9-53A1-6648-A0B7-060B846984F8}" name="nota_5" dataDxfId="340"/>
    <tableColumn id="27" xr3:uid="{A35081F2-B6DE-1540-AF67-A952E1E00409}" name="periodo" dataDxfId="339">
      <calculatedColumnFormula>IF(C_Ope_006[[#This Row],[fecha]]&gt;0,TEXT(C_Ope_006[[#This Row],[fecha]],"mmmm"),0)</calculatedColumnFormula>
    </tableColumn>
    <tableColumn id="4" xr3:uid="{F9848DA6-1FF0-4951-B9B0-69BC1D8C9E62}" name="rco" dataDxfId="338"/>
  </tableColumns>
  <tableStyleInfo name="TableStyleLight11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A4994DC6-9528-8C45-AA16-5051A8DED5C7}" name="C_Ope_007" displayName="C_Ope_007" ref="A1:AB272" totalsRowShown="0" headerRowDxfId="32" dataDxfId="337">
  <autoFilter ref="A1:AB272" xr:uid="{EA7D5B11-35C9-4844-86AB-E3BA3A957A89}"/>
  <tableColumns count="28">
    <tableColumn id="16" xr3:uid="{CE6D02D2-2D5A-D848-8279-85BC1D9D519F}" name="item" dataDxfId="336">
      <calculatedColumnFormula>IF(C_Ope_007[[#This Row],[tipo_r]]="R",COUNTIFS($C$1:$C1,"R")+1,"")</calculatedColumnFormula>
    </tableColumn>
    <tableColumn id="17" xr3:uid="{3F090286-A4C9-964E-B40C-88C003259469}" name="portafolio" dataDxfId="335">
      <calculatedColumnFormula>"C_Ope_007"</calculatedColumnFormula>
    </tableColumn>
    <tableColumn id="18" xr3:uid="{CDC52057-6A71-3D4E-955A-B648CB2943D9}" name="tipo_r" dataDxfId="334"/>
    <tableColumn id="1" xr3:uid="{9D81ECE0-F686-B04E-8B10-AFC51B7FBCB2}" name="fecha" dataDxfId="333"/>
    <tableColumn id="2" xr3:uid="{909FDFEE-72F9-1A4C-92EC-AEC941EB33A1}" name="responsable" dataDxfId="332"/>
    <tableColumn id="3" xr3:uid="{A608876F-942D-E04C-BBA2-0D542AFCC781}" name="tipo_mov" dataDxfId="331"/>
    <tableColumn id="19" xr3:uid="{B9FD24FB-2229-1B44-A805-EE78C57009D9}" name="destinatario" dataDxfId="330"/>
    <tableColumn id="20" xr3:uid="{EAC7655D-A09B-9C49-8141-475A345D34B8}" name="tipo_documento" dataDxfId="329"/>
    <tableColumn id="21" xr3:uid="{2BAA8CA4-11F6-A642-8861-289AF3B8EC81}" name="serie" dataDxfId="328"/>
    <tableColumn id="22" xr3:uid="{911610EE-742C-3340-9A5E-4D9957AE99BC}" name="numero" dataDxfId="327"/>
    <tableColumn id="9" xr3:uid="{50FB0498-6117-8E4C-823C-BE5E4A0D300D}" name="descripcion_actividad" dataDxfId="326"/>
    <tableColumn id="10" xr3:uid="{760D82EE-66E7-4945-8FAA-28D9D50FAB21}" name="n_operacion" dataDxfId="325"/>
    <tableColumn id="11" xr3:uid="{F3DA6AB8-A934-0947-9A7A-D7325BA3270F}" name="moneda" dataDxfId="324">
      <calculatedColumnFormula>"PEN"</calculatedColumnFormula>
    </tableColumn>
    <tableColumn id="24" xr3:uid="{F2E56035-DCA7-E942-ADD9-8CA947D72F4B}" name="parcial" dataDxfId="323"/>
    <tableColumn id="12" xr3:uid="{314E65DA-3807-434B-9817-69E3ABFAA3DD}" name="monto" dataDxfId="322"/>
    <tableColumn id="13" xr3:uid="{CF6C2924-8A82-E24D-9321-85BFDE90DC64}" name="abono" dataDxfId="321">
      <calculatedColumnFormula>+IF(OR($F2="SALDO",$F2="INGRESO"),$O2,0)</calculatedColumnFormula>
    </tableColumn>
    <tableColumn id="14" xr3:uid="{8205646D-2564-5B4B-A80A-7C68F33E99F3}" name="retiro" dataDxfId="320">
      <calculatedColumnFormula>+IF($F2="EGRESO",$O2,0)</calculatedColumnFormula>
    </tableColumn>
    <tableColumn id="15" xr3:uid="{3ED408E6-F456-424F-B40E-18A7219DE9B3}" name="saldo" dataDxfId="319">
      <calculatedColumnFormula>IFERROR(IF(F2="SALDO",P2,R1+P2-Q2),0)</calculatedColumnFormula>
    </tableColumn>
    <tableColumn id="25" xr3:uid="{9E451E34-86D9-0341-81AA-4639801A5B16}" name="vb_1" dataDxfId="318"/>
    <tableColumn id="26" xr3:uid="{63711B52-0931-FB4D-8BD3-9322CE06D8B3}" name="vb_2" dataDxfId="317"/>
    <tableColumn id="28" xr3:uid="{87E2A27D-F3DF-CD4E-A34A-FB7F32703CC9}" name="constancia_link" dataDxfId="316"/>
    <tableColumn id="7" xr3:uid="{8A6632E6-ABAF-D04F-85B1-D593650B6290}" name="nota_1" dataDxfId="315"/>
    <tableColumn id="8" xr3:uid="{8562FECC-3F37-8D48-B84C-8DF75F4BF693}" name="nota_2" dataDxfId="314"/>
    <tableColumn id="29" xr3:uid="{404C1D8B-CAB7-BB4F-8D00-FCAF1D938DCB}" name="nota_3" dataDxfId="313">
      <calculatedColumnFormula>IFERROR(VLOOKUP(C_Ope_007[[#This Row],[nota_2]],Clientes_Proveedores[[Ruc / Dni]:[Razon Social]],2,0),"")</calculatedColumnFormula>
    </tableColumn>
    <tableColumn id="30" xr3:uid="{568013E1-1C43-594B-B52A-DB7180AD2D42}" name="nota_4" dataDxfId="312"/>
    <tableColumn id="31" xr3:uid="{A55A58A8-E13F-7C40-8CF8-07D5C3820678}" name="nota_5" dataDxfId="311"/>
    <tableColumn id="27" xr3:uid="{0D14B43D-39A4-EA4C-82B8-6076F982C135}" name="periodo" dataDxfId="310">
      <calculatedColumnFormula>IF(C_Ope_007[[#This Row],[fecha]]&gt;0,TEXT(C_Ope_007[[#This Row],[fecha]],"mmmm"),0)</calculatedColumnFormula>
    </tableColumn>
    <tableColumn id="4" xr3:uid="{42357822-F374-46BF-AF88-FC08E884E82F}" name="rco" dataDxfId="309"/>
  </tableColumns>
  <tableStyleInfo name="TableStyleLight11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8EE5BFAD-13FB-4F62-9359-2DC8EB8F96B0}" name="C_Ope_008" displayName="C_Ope_008" ref="A1:AB155" totalsRowShown="0" headerRowDxfId="31" dataDxfId="308">
  <autoFilter ref="A1:AB155" xr:uid="{EA7D5B11-35C9-4844-86AB-E3BA3A957A89}"/>
  <tableColumns count="28">
    <tableColumn id="16" xr3:uid="{D12FCCD4-760B-4642-8039-90FE3A5F7E30}" name="item" dataDxfId="307">
      <calculatedColumnFormula>IF(C_Ope_008[[#This Row],[tipo_r]]="R",COUNTIFS($C$1:$C1,"R")+1,"")</calculatedColumnFormula>
    </tableColumn>
    <tableColumn id="17" xr3:uid="{251CABF3-6799-41B5-8774-C60C1D3E3A90}" name="portafolio" dataDxfId="306">
      <calculatedColumnFormula>"C_Ope_008"</calculatedColumnFormula>
    </tableColumn>
    <tableColumn id="18" xr3:uid="{89A571D8-537E-4746-A22F-B369727FEEB1}" name="tipo_r" dataDxfId="305"/>
    <tableColumn id="1" xr3:uid="{B93E47F9-3C7E-4E4A-A475-F4148FD49E31}" name="fecha" dataDxfId="304"/>
    <tableColumn id="2" xr3:uid="{87B3D0CD-E50D-4ABB-B2D2-CFD107B15974}" name="responsable" dataDxfId="303"/>
    <tableColumn id="3" xr3:uid="{F4B51E35-BFF0-48B3-BEFA-7331C4A7952C}" name="tipo_mov" dataDxfId="302"/>
    <tableColumn id="19" xr3:uid="{23ACB461-2232-4828-A187-42D8D6BC548B}" name="destinatario" dataDxfId="301"/>
    <tableColumn id="20" xr3:uid="{5BD8E6F5-5486-4F58-BC9D-883D8C60EF3D}" name="tipo_documento" dataDxfId="300"/>
    <tableColumn id="21" xr3:uid="{3D48E77F-C696-457E-9112-FF5867375008}" name="serie" dataDxfId="299"/>
    <tableColumn id="22" xr3:uid="{6726B7F6-E559-4021-B584-FBB4B2EFC9C5}" name="numero" dataDxfId="298"/>
    <tableColumn id="9" xr3:uid="{CE857BAB-E089-4359-B814-5030439032DF}" name="descripcion_actividad" dataDxfId="297"/>
    <tableColumn id="10" xr3:uid="{11D90F55-9F4F-40EC-886C-8961217103BD}" name="n_operacion" dataDxfId="296"/>
    <tableColumn id="11" xr3:uid="{09DF452A-FF48-4BA4-9DF5-515F03EA4662}" name="moneda" dataDxfId="295">
      <calculatedColumnFormula>"PEN"</calculatedColumnFormula>
    </tableColumn>
    <tableColumn id="24" xr3:uid="{6281D09E-71CE-4899-AB0F-3C4329531F72}" name="parcial" dataDxfId="294"/>
    <tableColumn id="12" xr3:uid="{7F673A16-8EAB-4378-9E8D-633CBD0A7365}" name="monto" dataDxfId="293"/>
    <tableColumn id="13" xr3:uid="{05D2B876-C021-4F2E-AD04-DA026917537F}" name="abono" dataDxfId="292">
      <calculatedColumnFormula>+IF(OR($F2="SALDO",$F2="INGRESO"),$O2,0)</calculatedColumnFormula>
    </tableColumn>
    <tableColumn id="14" xr3:uid="{055635D7-B42A-4739-840C-C8CAC01F8621}" name="retiro" dataDxfId="291">
      <calculatedColumnFormula>+IF($F2="EGRESO",$O2,0)</calculatedColumnFormula>
    </tableColumn>
    <tableColumn id="15" xr3:uid="{0C71DA18-0E1C-4FE0-B65B-5260B09B8E18}" name="saldo" dataDxfId="290">
      <calculatedColumnFormula>IFERROR(IF(F2="SALDO",P2,R1+P2-Q2),0)</calculatedColumnFormula>
    </tableColumn>
    <tableColumn id="25" xr3:uid="{7D4B356C-2BAF-4709-9A62-7C78CFC09D7D}" name="vb_1" dataDxfId="289"/>
    <tableColumn id="26" xr3:uid="{C0E55D38-B7BC-4155-B0EB-2F4065439504}" name="vb_2" dataDxfId="288"/>
    <tableColumn id="28" xr3:uid="{5830757D-A135-4072-8867-C98961556391}" name="constancia_link" dataDxfId="287"/>
    <tableColumn id="7" xr3:uid="{7CD87F74-0DDA-4CD5-BD4B-DCDEC5360BA3}" name="nota_1" dataDxfId="286"/>
    <tableColumn id="8" xr3:uid="{E9797273-C6A3-4F33-8982-E05523FF6BFF}" name="nota_2" dataDxfId="285"/>
    <tableColumn id="29" xr3:uid="{5760C11D-5C21-4935-94DC-9778C9AA2473}" name="nota_3" dataDxfId="284">
      <calculatedColumnFormula>IFERROR(VLOOKUP(C_Ope_008[[#This Row],[nota_2]],Clientes_Proveedores[[Ruc / Dni]:[Razon Social]],2,0),"")</calculatedColumnFormula>
    </tableColumn>
    <tableColumn id="30" xr3:uid="{5CFA2DB7-BE0A-4643-A667-B273221E85BC}" name="nota_4" dataDxfId="283"/>
    <tableColumn id="31" xr3:uid="{92225355-D17B-48A4-BB90-A71F662D7920}" name="nota_5" dataDxfId="282"/>
    <tableColumn id="27" xr3:uid="{784FDFAC-EC0E-4721-8089-7E238C33FAC1}" name="periodo" dataDxfId="281">
      <calculatedColumnFormula>IF(C_Ope_008[[#This Row],[fecha]]&gt;0,TEXT(C_Ope_008[[#This Row],[fecha]],"mmmm"),0)</calculatedColumnFormula>
    </tableColumn>
    <tableColumn id="4" xr3:uid="{FDB35EBC-A6EB-44C6-A2D3-D5A49CC22808}" name="rco" dataDxfId="280"/>
  </tableColumns>
  <tableStyleInfo name="TableStyleLight11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6CE350AC-EF2E-5142-9D25-B4BC4CB74CFB}" name="C_Ope_009" displayName="C_Ope_009" ref="A1:AB107" totalsRowShown="0" headerRowDxfId="1" dataDxfId="30" headerRowBorderDxfId="2">
  <autoFilter ref="A1:AB107" xr:uid="{EA7D5B11-35C9-4844-86AB-E3BA3A957A89}"/>
  <tableColumns count="28">
    <tableColumn id="16" xr3:uid="{46455D8F-FF40-534A-8C83-9A1DE3C7D108}" name="item" dataDxfId="29">
      <calculatedColumnFormula>IF(C_Ope_009[[#This Row],[tipo_r]]="R",COUNTIFS($C$1:$C1,"R")+1,"")</calculatedColumnFormula>
    </tableColumn>
    <tableColumn id="17" xr3:uid="{F471952D-5131-8847-A0AD-21BA99D4063F}" name="portafolio" dataDxfId="28">
      <calculatedColumnFormula>"C_Ope_009"</calculatedColumnFormula>
    </tableColumn>
    <tableColumn id="18" xr3:uid="{9EC8CE42-428F-3C4F-9177-FD0EE306A58C}" name="tipo_r" dataDxfId="27"/>
    <tableColumn id="1" xr3:uid="{52D470C8-A01F-D448-A6FE-70F7213E265A}" name="fecha" dataDxfId="26"/>
    <tableColumn id="2" xr3:uid="{FAED065D-D7C7-C640-B9FD-9F2F1DB57745}" name="responsable" dataDxfId="25"/>
    <tableColumn id="3" xr3:uid="{C594AFE1-6919-C94D-9AF7-999214059CA8}" name="tipo_mov" dataDxfId="24"/>
    <tableColumn id="19" xr3:uid="{03BB9A3F-B77B-A14D-8B89-AAF0E0F110C1}" name="destinatario" dataDxfId="23"/>
    <tableColumn id="20" xr3:uid="{CC47E5E5-4F25-7F49-8ABB-9D18BB973669}" name="tipo_documento" dataDxfId="22"/>
    <tableColumn id="21" xr3:uid="{F88AE5D6-B6ED-2748-80AA-97609A509185}" name="serie" dataDxfId="21"/>
    <tableColumn id="22" xr3:uid="{56AE2D2D-ACFC-E947-AACB-B01EA08A6709}" name="numero" dataDxfId="20"/>
    <tableColumn id="9" xr3:uid="{D41CD1D6-AB2E-9F48-AE0F-355993E5D47D}" name="descripcion_actividad" dataDxfId="19"/>
    <tableColumn id="10" xr3:uid="{9650F605-1738-374B-85B9-48BC022B7D32}" name="n_operacion" dataDxfId="18"/>
    <tableColumn id="11" xr3:uid="{48174722-7E0E-4841-A0DC-8FDEE421BB7B}" name="moneda" dataDxfId="17">
      <calculatedColumnFormula>"PEN"</calculatedColumnFormula>
    </tableColumn>
    <tableColumn id="24" xr3:uid="{015D0A5D-1985-0649-BEB4-4109244E63B0}" name="parcial" dataDxfId="16"/>
    <tableColumn id="12" xr3:uid="{672B0792-EAE9-6D46-8BED-7558A1099CAC}" name="monto" dataDxfId="15"/>
    <tableColumn id="13" xr3:uid="{C331052E-1DF4-974B-A8EC-92AA41562B2F}" name="abono" dataDxfId="14">
      <calculatedColumnFormula>+IF(OR($F2="SALDO",$F2="INGRESO"),$O2,0)</calculatedColumnFormula>
    </tableColumn>
    <tableColumn id="14" xr3:uid="{2C69C13D-2EDF-4543-862D-AB09B5A4CE97}" name="retiro" dataDxfId="13">
      <calculatedColumnFormula>+IF($F2="EGRESO",$O2,0)</calculatedColumnFormula>
    </tableColumn>
    <tableColumn id="15" xr3:uid="{81774661-A35A-2548-AE58-84EBBA23A93D}" name="saldo" dataDxfId="12">
      <calculatedColumnFormula>IFERROR(IF(F2="SALDO",P2,R1+P2-Q2),0)</calculatedColumnFormula>
    </tableColumn>
    <tableColumn id="25" xr3:uid="{36DF1980-0055-0747-ADD3-20A54BDC9457}" name="vb_1" dataDxfId="11"/>
    <tableColumn id="26" xr3:uid="{4D8CDB7C-07F4-0844-94FB-73F3F9ADFDF7}" name="vb_2" dataDxfId="10"/>
    <tableColumn id="28" xr3:uid="{D8D148B0-A0E3-3044-86F5-AD5E6AD92C8C}" name="constancia_link" dataDxfId="9"/>
    <tableColumn id="7" xr3:uid="{4DA7FFFE-23C3-E441-9502-CD0B99A49DD9}" name="nota_1" dataDxfId="8"/>
    <tableColumn id="8" xr3:uid="{3487656A-D603-7B46-B9EA-11EEBD10A55D}" name="nota_2" dataDxfId="7"/>
    <tableColumn id="29" xr3:uid="{6EF6F2A6-B1FC-CA4A-81AB-6DB8315A61C9}" name="nota_3" dataDxfId="6">
      <calculatedColumnFormula>IFERROR(VLOOKUP(C_Ope_009[[#This Row],[nota_2]],Clientes_Proveedores[[Ruc / Dni]:[Razon Social]],2,0),"")</calculatedColumnFormula>
    </tableColumn>
    <tableColumn id="30" xr3:uid="{8E6232E3-F04A-6D4A-A445-C0F22C44095B}" name="nota_4" dataDxfId="5"/>
    <tableColumn id="31" xr3:uid="{22E26A60-850D-B14F-9069-DA8B41B621BA}" name="nota_5" dataDxfId="4"/>
    <tableColumn id="27" xr3:uid="{8697748B-E946-7648-BB51-7C333121B4CC}" name="periodo" dataDxfId="3">
      <calculatedColumnFormula>IF(C_Ope_009[[#This Row],[fecha]]&gt;0,TEXT(C_Ope_009[[#This Row],[fecha]],"mmmm"),0)</calculatedColumnFormula>
    </tableColumn>
    <tableColumn id="4" xr3:uid="{07CABC2F-7BDF-4344-9833-549ABE1E76BB}" name="rco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329" dT="2025-10-15T21:21:31.38" personId="{797D78BD-8ED5-4A4C-B2B6-061CBBEC5DF4}" id="{4E34DA0E-DF74-4F3F-8BCA-D6BE0B93E3C6}">
    <text>Devolución de s/680.00 en OP 1250095</text>
  </threadedComment>
  <threadedComment ref="K2421" dT="2025-11-06T16:08:49.67" personId="{797D78BD-8ED5-4A4C-B2B6-061CBBEC5DF4}" id="{D7EDCBC8-E364-4FDF-814F-E2F920AFC480}">
    <text>Pned. Que nos devuelvan 
Fact por 801.22 , detracc 96</text>
  </threadedComment>
  <threadedComment ref="K3093" dT="2025-09-10T15:15:37.09" personId="{797D78BD-8ED5-4A4C-B2B6-061CBBEC5DF4}" id="{E5C32D51-7C3A-4466-AFB0-A982D07D1D5C}">
    <text>Pend. que nos devuelvan 105.02</text>
  </threadedComment>
  <threadedComment ref="K3348" dT="2025-08-18T16:12:19.81" personId="{797D78BD-8ED5-4A4C-B2B6-061CBBEC5DF4}" id="{7EF6E35F-AEBF-43F0-BBEC-E2F1C4CBB93E}">
    <text>590.00 
10.50 comision</text>
  </threadedComment>
  <threadedComment ref="K3349" dT="2025-08-18T16:12:19.81" personId="{797D78BD-8ED5-4A4C-B2B6-061CBBEC5DF4}" id="{A6BE60BE-8C08-4E23-93CB-4E88D645FD47}">
    <text>590.00 
10.50 comision</text>
  </threadedComment>
  <threadedComment ref="K3350" dT="2025-08-18T16:12:19.81" personId="{797D78BD-8ED5-4A4C-B2B6-061CBBEC5DF4}" id="{3DBBC010-1B02-4AD4-B72A-96A1672DC87F}">
    <text>590.00 
10.50 comision</text>
  </threadedComment>
  <threadedComment ref="K3361" dT="2025-08-18T16:12:19.81" personId="{797D78BD-8ED5-4A4C-B2B6-061CBBEC5DF4}" id="{67B71F65-47F8-4E8F-9182-44C0AE200809}">
    <text>590.00 
10.50 comision</text>
  </threadedComment>
  <threadedComment ref="K3362" dT="2025-08-18T16:12:19.81" personId="{797D78BD-8ED5-4A4C-B2B6-061CBBEC5DF4}" id="{9D61ACD8-56C2-4DF9-9EAD-10C24F8DDD2E}">
    <text>590.00 
10.50 comision</text>
  </threadedComment>
  <threadedComment ref="K3363" dT="2025-08-18T16:12:19.81" personId="{797D78BD-8ED5-4A4C-B2B6-061CBBEC5DF4}" id="{87371A8D-F045-43AA-A9D7-C095B0EF00F1}">
    <text>590.00 
10.50 comision</text>
  </threadedComment>
  <threadedComment ref="K3383" dT="2025-08-18T16:12:19.81" personId="{797D78BD-8ED5-4A4C-B2B6-061CBBEC5DF4}" id="{7CBAB787-2765-4D14-A1C0-0852ABA3F4F1}">
    <text>590.00 
1,250.80 
12.70 comision</text>
  </threadedComment>
  <threadedComment ref="K3384" dT="2025-08-18T16:12:19.81" personId="{797D78BD-8ED5-4A4C-B2B6-061CBBEC5DF4}" id="{E9405175-7729-42E2-9A3C-CA29726F5865}">
    <text>590.00 
1,250.80 
12.70 comision</text>
  </threadedComment>
  <threadedComment ref="K3385" dT="2025-08-18T16:12:19.81" personId="{797D78BD-8ED5-4A4C-B2B6-061CBBEC5DF4}" id="{5FD1788B-C667-4518-AAC6-DFF1595A73B2}">
    <text>590.00 
1,250.80 
12.70 comision</text>
  </threadedComment>
  <threadedComment ref="K3597" dT="2025-09-09T18:11:07.37" personId="{797D78BD-8ED5-4A4C-B2B6-061CBBEC5DF4}" id="{DB0B1FCD-6C42-4DDA-BF6B-50198DC16366}">
    <text>Pagaron menos, considerando un 4%</text>
  </threadedComment>
  <threadedComment ref="K3663" dT="2025-09-03T18:13:15.33" personId="{797D78BD-8ED5-4A4C-B2B6-061CBBEC5DF4}" id="{6F245C4D-F061-4B54-9FF7-68A3BD722A91}">
    <text>4.30 coimision</text>
  </threadedComment>
  <threadedComment ref="K3664" dT="2025-09-03T18:13:15.33" personId="{797D78BD-8ED5-4A4C-B2B6-061CBBEC5DF4}" id="{547B9A36-5AB4-4319-A468-82EB338A4ABB}">
    <text>4.30 coimision</text>
  </threadedComment>
  <threadedComment ref="K3665" dT="2025-09-03T18:13:15.33" personId="{797D78BD-8ED5-4A4C-B2B6-061CBBEC5DF4}" id="{44D68CCE-CF87-43D0-B2A3-1BA6741F985D}">
    <text>4.30 coimision</text>
  </threadedComment>
  <threadedComment ref="K3739" dT="2025-09-12T21:22:49.29" personId="{797D78BD-8ED5-4A4C-B2B6-061CBBEC5DF4}" id="{D0FE38E2-76F5-4328-84D4-6000BBB06231}">
    <text>LIQ.OPE.116</text>
  </threadedComment>
  <threadedComment ref="K3883" dT="2025-09-19T17:07:42.59" personId="{797D78BD-8ED5-4A4C-B2B6-061CBBEC5DF4}" id="{BCE2A1C7-B950-4CBB-BCD2-278AE4C92AF2}">
    <text>4.30 comision ibk</text>
  </threadedComment>
  <threadedComment ref="K3884" dT="2025-09-19T17:07:42.59" personId="{797D78BD-8ED5-4A4C-B2B6-061CBBEC5DF4}" id="{DBB5A822-4C30-4FB8-92D7-526363CB8C7B}">
    <text>4.30 comision ibk</text>
  </threadedComment>
  <threadedComment ref="K3885" dT="2025-09-19T17:07:42.59" personId="{797D78BD-8ED5-4A4C-B2B6-061CBBEC5DF4}" id="{924108AD-43D4-443F-8BEF-219666D7FD98}">
    <text>4.30 comision ibk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L862" dT="2025-10-22T13:28:05.98" personId="{797D78BD-8ED5-4A4C-B2B6-061CBBEC5DF4}" id="{D5078906-5588-4095-835A-0458A389065E}">
    <text>Devolvió 3.90 de bolsas</text>
  </threadedComment>
  <threadedComment ref="P988" dT="2025-10-28T15:39:56.85" personId="{797D78BD-8ED5-4A4C-B2B6-061CBBEC5DF4}" id="{A94CAD81-45BE-4996-BB00-5A1380C59516}">
    <text xml:space="preserve">ANTES 8 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L630" dT="2025-07-15T15:13:25.49" personId="{797D78BD-8ED5-4A4C-B2B6-061CBBEC5DF4}" id="{3B7D34E8-398B-486A-A4FB-B5AED1FD12AE}">
    <text xml:space="preserve">Total de celular
170.00 </text>
  </threadedComment>
  <threadedComment ref="L817" dT="2025-09-16T14:48:02.34" personId="{797D78BD-8ED5-4A4C-B2B6-061CBBEC5DF4}" id="{469B6888-60C0-4645-B78B-3A76A8FB4669}">
    <text>LIQ.COM.141</text>
  </threadedComment>
  <threadedComment ref="L889" dT="2025-10-13T14:59:44.50" personId="{797D78BD-8ED5-4A4C-B2B6-061CBBEC5DF4}" id="{739888F0-6A01-48AB-AE49-F2154EF12795}">
    <text>hefer</text>
  </threadedComment>
  <threadedComment ref="L910" dT="2025-10-23T16:27:50.59" personId="{797D78BD-8ED5-4A4C-B2B6-061CBBEC5DF4}" id="{071951A7-E945-44C1-9AF8-16200D44382F}">
    <text>Cobro Gleen</text>
  </threadedComment>
  <threadedComment ref="L919" dT="2025-10-24T22:28:53.76" personId="{797D78BD-8ED5-4A4C-B2B6-061CBBEC5DF4}" id="{F9384AED-3967-41BE-97D1-140A31982BCF}">
    <text>Cobro gregory</text>
  </threadedComment>
  <threadedComment ref="L945" dT="2025-11-03T16:17:44.23" personId="{797D78BD-8ED5-4A4C-B2B6-061CBBEC5DF4}" id="{F19946A7-8E5B-4AA2-91F6-2A004C17AA60}">
    <text xml:space="preserve">CC 001-223 caja aqp </text>
  </threadedComment>
  <threadedComment ref="L951" dT="2025-11-06T17:21:05.85" personId="{797D78BD-8ED5-4A4C-B2B6-061CBBEC5DF4}" id="{DF5DD4A4-1652-4F7E-9549-B7D0CF953E81}">
    <text>diego</text>
  </threadedComment>
  <threadedComment ref="L952" dT="2025-11-06T17:21:05.85" personId="{797D78BD-8ED5-4A4C-B2B6-061CBBEC5DF4}" id="{46B0B35D-7D75-466A-8222-9FE39076C78E}">
    <text>diego</text>
  </threadedComment>
  <threadedComment ref="L953" dT="2025-11-06T17:21:05.85" personId="{797D78BD-8ED5-4A4C-B2B6-061CBBEC5DF4}" id="{35D97978-F640-44BF-943E-3DA7B7AAE50F}">
    <text>diego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N166" dT="2025-09-15T16:49:59.32" personId="{797D78BD-8ED5-4A4C-B2B6-061CBBEC5DF4}" id="{EB4A156A-FA79-4CF6-B3AA-6B0D38137D1D}">
    <text>Factura por 5.00, se considero un importe mayor.
Diferencia por 3.00</text>
  </threadedComment>
  <threadedComment ref="N214" dT="2025-09-15T16:49:13.20" personId="{797D78BD-8ED5-4A4C-B2B6-061CBBEC5DF4}" id="{1C4F1B56-8FDA-466C-98EE-78D4AC446B26}">
    <text>Factura duplicada, movimiento 24173.
No se debió considerar este movimiento.
Diferencia por 10.00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I193" dT="2025-09-18T15:58:12.20" personId="{797D78BD-8ED5-4A4C-B2B6-061CBBEC5DF4}" id="{CB22B79B-6D66-4749-A3F9-B60C81A637FF}">
    <text>Contabilidad registro como A3NA</text>
  </threadedComment>
  <threadedComment ref="J193" dT="2025-09-17T22:43:23.21" personId="{797D78BD-8ED5-4A4C-B2B6-061CBBEC5DF4}" id="{CED8B0B2-979A-46C6-BC48-A5EEC6E8318E}">
    <text>Contabilidad registro como 8960</text>
  </threadedComment>
  <threadedComment ref="I194" dT="2025-09-18T15:58:23.73" personId="{797D78BD-8ED5-4A4C-B2B6-061CBBEC5DF4}" id="{7383CDC5-72DA-4340-8D80-6FA903045E59}">
    <text>Contabilidad registro como A3YA</text>
  </threadedComment>
  <threadedComment ref="J194" dT="2025-09-17T22:43:10.94" personId="{797D78BD-8ED5-4A4C-B2B6-061CBBEC5DF4}" id="{C881C3BD-7C16-4C76-A71A-3B8A3802D4AE}">
    <text>Contabilidad registro como 1447</text>
  </threadedComment>
  <threadedComment ref="I195" dT="2025-09-18T16:05:21.66" personId="{797D78BD-8ED5-4A4C-B2B6-061CBBEC5DF4}" id="{A5ED9890-62F1-40D9-A1C1-BA4C57034674}">
    <text>Contabilidad registro como A3AT</text>
  </threadedComment>
  <threadedComment ref="J195" dT="2025-09-17T22:43:35.51" personId="{797D78BD-8ED5-4A4C-B2B6-061CBBEC5DF4}" id="{5315CC37-C3D4-45EE-BD2A-1A5BD13A9F5B}">
    <text>Contabilidad registro como 6712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../../../:b:/p/finanzas/EQ3SycwoL0dCk2tkQwN0OI0BBwhHHapdU29fiByYEl5OuQ%3fe=8k4DOi" TargetMode="External"/><Relationship Id="rId299" Type="http://schemas.openxmlformats.org/officeDocument/2006/relationships/hyperlink" Target="../../../../:b:/p/finanzas/EVueozZlChhCjvXkm2RY-lIBKMPbMNJhU0jnFnoahbZ62A?e=aDYkfZ" TargetMode="External"/><Relationship Id="rId21" Type="http://schemas.openxmlformats.org/officeDocument/2006/relationships/hyperlink" Target="../../../:b:/p/finanzas/Ec3kygww8JJHsgxNphz5PF8BRA5F_vPoME2bw1t97LzLow%3fe=jQ75R4" TargetMode="External"/><Relationship Id="rId63" Type="http://schemas.openxmlformats.org/officeDocument/2006/relationships/hyperlink" Target="../../../:b:/p/finanzas/EXgwMQc5uVtIpLgsvbX8XZ4BkFHxsQn-iPGyycMwQS6dmw%3fe=xpWO3Q" TargetMode="External"/><Relationship Id="rId159" Type="http://schemas.openxmlformats.org/officeDocument/2006/relationships/hyperlink" Target="../../../:b:/p/finanzas/ERwS3KS_2jVBl_nebjk9HjYBi_PRl2FlTvloIn1Go6RCNQ%3fe=h6LIVU" TargetMode="External"/><Relationship Id="rId324" Type="http://schemas.openxmlformats.org/officeDocument/2006/relationships/hyperlink" Target="../../../../:b:/p/finanzas/EY67uFTKXwNMkXaKxWfCTWoB3TZngJl003LGWf5vspEMpg?e=Jyfb6T" TargetMode="External"/><Relationship Id="rId366" Type="http://schemas.openxmlformats.org/officeDocument/2006/relationships/hyperlink" Target="../../../../:b:/p/finanzas/EZS6OMlWIjZMiOLqr-7LeJ8BJ3Z2b6jNuc_GkXt0Thgy2w?e=4eK9FB" TargetMode="External"/><Relationship Id="rId170" Type="http://schemas.openxmlformats.org/officeDocument/2006/relationships/hyperlink" Target="../../../:b:/p/finanzas/EeC6sDlLix5Gl-uGoTTqJvEBgerMNtWnaCLYXoIqr0DYvA%3fe=7sqHri" TargetMode="External"/><Relationship Id="rId226" Type="http://schemas.openxmlformats.org/officeDocument/2006/relationships/hyperlink" Target="../../../:b:/p/finanzas/ERFza163a4ZNunSk7cXNfysB4QFz4EAT5XzuEX53npbC1A?e=UYQuZi" TargetMode="External"/><Relationship Id="rId433" Type="http://schemas.openxmlformats.org/officeDocument/2006/relationships/hyperlink" Target="../../../../:b:/p/finanzas/EWN83yh3yRlEuTDN4cS2ZmIB0szviJk-CwDLO91krlW50A?e=5lNsE8" TargetMode="External"/><Relationship Id="rId268" Type="http://schemas.openxmlformats.org/officeDocument/2006/relationships/hyperlink" Target="../../../../:b:/p/finanzas/ERabzRHM6ttBg_rh3jEwUdwBL-2FPB7DR9wpNgtMdXM_yQ?e=i1Jnby" TargetMode="External"/><Relationship Id="rId475" Type="http://schemas.openxmlformats.org/officeDocument/2006/relationships/hyperlink" Target="../../../../:b:/p/finanzas/EUjHgUP4QsdOuB3v8FW4VKwBjzZsWBiSt-aeTZ3BMUTYkg?e=bzhmYR" TargetMode="External"/><Relationship Id="rId32" Type="http://schemas.openxmlformats.org/officeDocument/2006/relationships/hyperlink" Target="../../../:b:/p/finanzas/EV10YeO6b4RMkLrIOtFrvzkBNhsvBnnnjVZPNLKPIxTonQ%3fe=ZmxGhR" TargetMode="External"/><Relationship Id="rId74" Type="http://schemas.openxmlformats.org/officeDocument/2006/relationships/hyperlink" Target="../../../:b:/p/finanzas/EUbPL0kvHIVLsUCIEkjfL3IBj7BbkkjLB_vpaQkgejhF9Q%3fe=waao8n" TargetMode="External"/><Relationship Id="rId128" Type="http://schemas.openxmlformats.org/officeDocument/2006/relationships/hyperlink" Target="../../../:b:/p/finanzas/Ec5oXlW6Gp5KpQOSWMO41g4Brs2VY6xGLTI4hxN1bJTEdQ%3fe=152mmi" TargetMode="External"/><Relationship Id="rId335" Type="http://schemas.openxmlformats.org/officeDocument/2006/relationships/hyperlink" Target="../../../../:b:/p/finanzas/EUnwJ3913hZKnMMnHo-ZLAsB05ZYwrL38ZAfxWpApwmdaQ?e=i3tktf" TargetMode="External"/><Relationship Id="rId377" Type="http://schemas.openxmlformats.org/officeDocument/2006/relationships/hyperlink" Target="../../../../:b:/p/finanzas/EbPA5Hst3VJDo3fjKX_QaukBX5qiz9F5SeGuBWq5Q7PU3w?e=pDqUbK" TargetMode="External"/><Relationship Id="rId5" Type="http://schemas.openxmlformats.org/officeDocument/2006/relationships/hyperlink" Target="../../../:b:/p/finanzas/EauVoXm4HWNJtNtF1vC7KocBtbqbdmStq7h3BLK8I0lqZA%3fe=R0aJEe" TargetMode="External"/><Relationship Id="rId181" Type="http://schemas.openxmlformats.org/officeDocument/2006/relationships/hyperlink" Target="../../../:b:/p/finanzas/EfF12wf4yKFPoijv1ZRLWfgBMBw_hw33LaOoh2xXS8T41A%3fe=LB7q1r" TargetMode="External"/><Relationship Id="rId237" Type="http://schemas.openxmlformats.org/officeDocument/2006/relationships/hyperlink" Target="../../../../:b:/p/finanzas/EehPK2XutWdLr1rcrEIG5uUB7Z_ZgNLemcqzAu_Yymi3fw?e=IyQqOv" TargetMode="External"/><Relationship Id="rId402" Type="http://schemas.openxmlformats.org/officeDocument/2006/relationships/hyperlink" Target="../../../../:b:/p/finanzas/EVv8AiZvw9BJt4L9dFZKoDoBubiNALpg3dR9nKtJkEjB8w?e=uFa0oc" TargetMode="External"/><Relationship Id="rId279" Type="http://schemas.openxmlformats.org/officeDocument/2006/relationships/hyperlink" Target="../../../../:b:/p/finanzas/EYs0giwBP9dBhbnaO3gCc1IBZSwQKEONrMuxE1UciOjebw?e=YuAyqh" TargetMode="External"/><Relationship Id="rId444" Type="http://schemas.openxmlformats.org/officeDocument/2006/relationships/hyperlink" Target="../../../../:b:/p/finanzas/ET4MPEOw5kJFp6pUKoF3wp0BTlESkzSNsrFHag0EkuJCcg?e=Uo9pPi" TargetMode="External"/><Relationship Id="rId43" Type="http://schemas.openxmlformats.org/officeDocument/2006/relationships/hyperlink" Target="../../../:b:/p/finanzas/EZO8zEbOa_tMjtCqPQJO2s4BrdkhiYpVnZu83ty21gUbqw%3fe=a34Mk9" TargetMode="External"/><Relationship Id="rId139" Type="http://schemas.openxmlformats.org/officeDocument/2006/relationships/hyperlink" Target="../../../:b:/p/finanzas/Ed1P_Znj-U9DoCDUENW0HDIBZrx4oC-4AQyDO8p4ySxfCQ%3fe=hm6GGK" TargetMode="External"/><Relationship Id="rId290" Type="http://schemas.openxmlformats.org/officeDocument/2006/relationships/hyperlink" Target="../../../../:b:/p/finanzas/EQ49Yy577w9AnmtloifxmRgBrqEzJlQRoZSTYAtd1wZAgQ?e=ZEpDqj" TargetMode="External"/><Relationship Id="rId304" Type="http://schemas.openxmlformats.org/officeDocument/2006/relationships/hyperlink" Target="../../../../:b:/p/finanzas/EYK7jH2gXA5LpIJyaNmUG9UBrkBVRaep45obCqpxnT4BzQ?e=3OlCY0" TargetMode="External"/><Relationship Id="rId346" Type="http://schemas.openxmlformats.org/officeDocument/2006/relationships/hyperlink" Target="../../../../:b:/p/finanzas/EW9kdyajA6RLmz6S-yMze1oB2kIp7_bHjFGfxdGGtboI2A?e=mhHS4Z" TargetMode="External"/><Relationship Id="rId388" Type="http://schemas.openxmlformats.org/officeDocument/2006/relationships/hyperlink" Target="../../../../:b:/p/finanzas/EShSV8L_WSRLpuDFLgvuyQMBCR15HidAlYNvn6joZzTRRA?e=WTf9WZ" TargetMode="External"/><Relationship Id="rId85" Type="http://schemas.openxmlformats.org/officeDocument/2006/relationships/hyperlink" Target="../../../:b:/p/finanzas/ESu7GYurbUpNr1T2Q7kPm7cBudLMlCJSRPfmrY4FABHFJg%3fe=NFSdTv" TargetMode="External"/><Relationship Id="rId150" Type="http://schemas.openxmlformats.org/officeDocument/2006/relationships/hyperlink" Target="../../../:b:/p/finanzas/EQ9O9YjIXDpBsnOpJguGOdgB23Om86G8WAwq41nMG0YXrA%3fe=dYtd9N" TargetMode="External"/><Relationship Id="rId192" Type="http://schemas.openxmlformats.org/officeDocument/2006/relationships/hyperlink" Target="../../../:b:/p/finanzas/EaewcqsqIXxMpwY2_ocu7DYBb8Ixns_eBENBeKgmw_w6Tg%3fe=sG8NwO" TargetMode="External"/><Relationship Id="rId206" Type="http://schemas.openxmlformats.org/officeDocument/2006/relationships/hyperlink" Target="../../../:b:/p/finanzas/EXn8uQm3VrFMtPjOTtBex_cB0IXKerv3d8MvSW2hAGvDYg?e=1C6UeN" TargetMode="External"/><Relationship Id="rId413" Type="http://schemas.openxmlformats.org/officeDocument/2006/relationships/hyperlink" Target="../../../../:b:/p/finanzas/EYppQKmer49DmtQPreepULkB-vyCrUG6ktn4HUWTS9HCkg?e=abR3B8" TargetMode="External"/><Relationship Id="rId248" Type="http://schemas.openxmlformats.org/officeDocument/2006/relationships/hyperlink" Target="../../../../:b:/p/finanzas/EXNmtPkX8P1BnTCUXbGtu38BNFEJ4Vmd9CunQFY-MYn0gA?e=9V7sg8" TargetMode="External"/><Relationship Id="rId455" Type="http://schemas.openxmlformats.org/officeDocument/2006/relationships/hyperlink" Target="../../../../:b:/p/finanzas/EWR2bC2LBLhOu8e9d8Qfnm8BKM6lALmKtTKaDe8-d_0xWg?e=kIVFCk" TargetMode="External"/><Relationship Id="rId12" Type="http://schemas.openxmlformats.org/officeDocument/2006/relationships/hyperlink" Target="../../../:b:/p/finanzas/EW6YD1a87dJEpnLZmBzahEQBA46VX9lxrwh_pD20kP7KYA%3fe=sGjmri" TargetMode="External"/><Relationship Id="rId108" Type="http://schemas.openxmlformats.org/officeDocument/2006/relationships/hyperlink" Target="../../../:b:/p/finanzas/EV3PN6kmEBVMo3EkCcuZyYgB99QbKEQ4UpmiO_2zeRSNdw%3fe=IfegRc" TargetMode="External"/><Relationship Id="rId315" Type="http://schemas.openxmlformats.org/officeDocument/2006/relationships/hyperlink" Target="../../../../:b:/p/finanzas/EVNDXi-_GwpMtnfoFr0OwooB5-E2WtE3qhbfelXPkNk3lw?e=bbpjFP" TargetMode="External"/><Relationship Id="rId357" Type="http://schemas.openxmlformats.org/officeDocument/2006/relationships/hyperlink" Target="../../../../:b:/p/finanzas/EcSpZm3GTmlLuj33S7FZ4vkBqltAHPMJ2HNtl-IPiCkPVw?e=87ZP6i" TargetMode="External"/><Relationship Id="rId54" Type="http://schemas.openxmlformats.org/officeDocument/2006/relationships/hyperlink" Target="../../../:b:/p/finanzas/EW9wSQBp5uZDuJa4ygPfEXkBVo4DfvfWXyh_X2X8cuaKvw%3fe=d6Q9gK" TargetMode="External"/><Relationship Id="rId96" Type="http://schemas.openxmlformats.org/officeDocument/2006/relationships/hyperlink" Target="../../../:b:/p/finanzas/EeL8nlVepTBBuKxFuwYxC9UB7BxKI6nzIgttnYqGkJ3J1w%3fe=G36Iyf" TargetMode="External"/><Relationship Id="rId161" Type="http://schemas.openxmlformats.org/officeDocument/2006/relationships/hyperlink" Target="../../../:b:/p/finanzas/EeWgLTGiW7RCplg9h9xD5agBi3V205zwqY7FSdoySlARDg%3fe=ltcAeY" TargetMode="External"/><Relationship Id="rId217" Type="http://schemas.openxmlformats.org/officeDocument/2006/relationships/hyperlink" Target="../../../:b:/p/finanzas/EZnDEfvgBvBDk7GIry-QFgwBy6MO1qG6MxUNcWCOBjyoKQ?e=Vufqey" TargetMode="External"/><Relationship Id="rId399" Type="http://schemas.openxmlformats.org/officeDocument/2006/relationships/hyperlink" Target="../../../../:b:/p/finanzas/EVmpmEdPT9xBqOSH9nFr7cUBqdLZwgkxWD1jZ2fQV2a08w?e=5oMx1X" TargetMode="External"/><Relationship Id="rId259" Type="http://schemas.openxmlformats.org/officeDocument/2006/relationships/hyperlink" Target="../../../../:b:/p/finanzas/EQL5tFLmqsJDtfURw5UhVMIBE1yikGHoXRm6Y1XD-gZqAw?e=L7t3Qz" TargetMode="External"/><Relationship Id="rId424" Type="http://schemas.openxmlformats.org/officeDocument/2006/relationships/hyperlink" Target="../../../../:b:/p/finanzas/EQb4NGYQSe1InR2iKqhS0ZYBWh3C_8JN7rGm0hWZ6HDVhw?e=XahX6J" TargetMode="External"/><Relationship Id="rId466" Type="http://schemas.openxmlformats.org/officeDocument/2006/relationships/hyperlink" Target="../../../../:b:/p/finanzas/ES5hcN8fW9pCu58gV7PDoGYBrKoMdCU9FvQoGPk_YsHo0Q?e=JPZGk7" TargetMode="External"/><Relationship Id="rId23" Type="http://schemas.openxmlformats.org/officeDocument/2006/relationships/hyperlink" Target="../../../:b:/p/finanzas/EaF7-8TwnFdDiUMNk10emsYBQhsC8aCNZ9lEgtbp3cS6oQ%3fe=CJbVcn" TargetMode="External"/><Relationship Id="rId119" Type="http://schemas.openxmlformats.org/officeDocument/2006/relationships/hyperlink" Target="../../../:b:/p/finanzas/EaKLZ7sj13FIi0sOPIcKcrABHbSi2wNNdeJOq86-1unNDw%3fe=8hiNAb" TargetMode="External"/><Relationship Id="rId270" Type="http://schemas.openxmlformats.org/officeDocument/2006/relationships/hyperlink" Target="../../../../:b:/p/finanzas/EV9ZJn7wL15FkRs0s7Hsf2MB0dNA6kqkq21MTMTsWeLv7w?e=opka8R" TargetMode="External"/><Relationship Id="rId326" Type="http://schemas.openxmlformats.org/officeDocument/2006/relationships/hyperlink" Target="../../../../:b:/p/finanzas/EXHZZpd88OVGgjsod4jO9RcBfe0KI4F5IA2qlIB3Kn4fTg?e=RXkUIw" TargetMode="External"/><Relationship Id="rId65" Type="http://schemas.openxmlformats.org/officeDocument/2006/relationships/hyperlink" Target="../../../:b:/p/finanzas/ESCh8Xm4KBZMvIcbVf5UvbwBKTXQr9gnKeTJP-5To9vRzQ%3fe=yb2WIm" TargetMode="External"/><Relationship Id="rId130" Type="http://schemas.openxmlformats.org/officeDocument/2006/relationships/hyperlink" Target="../../../:b:/p/finanzas/EV5BdNmkzhRBnVYIG24P05oBsdVZZBSQ9DlxYzJn7v_k6A%3fe=3Japd3" TargetMode="External"/><Relationship Id="rId368" Type="http://schemas.openxmlformats.org/officeDocument/2006/relationships/hyperlink" Target="../../../../:b:/p/finanzas/EchdiQzvNSVEkSQ1VInA0hUBnOD_iR3RsIUZoiWwuZVYgg?e=LmexGu" TargetMode="External"/><Relationship Id="rId172" Type="http://schemas.openxmlformats.org/officeDocument/2006/relationships/hyperlink" Target="../../../:b:/p/finanzas/EdgRt2X1VuFDpi3V9T7W-WkBmIh4CEWEFWvn5UjwlBXuBg%3fe=75dh8N" TargetMode="External"/><Relationship Id="rId228" Type="http://schemas.openxmlformats.org/officeDocument/2006/relationships/hyperlink" Target="../../../:b:/p/finanzas/EVuq0IO6KBRGiDiUB3nQPMoBX4_GLgsfpzBEzNX_wLOhFg?e=oveVrE" TargetMode="External"/><Relationship Id="rId435" Type="http://schemas.openxmlformats.org/officeDocument/2006/relationships/hyperlink" Target="../../../../:b:/p/finanzas/EZqItSU2uFVBoF2XgD5BbxEB5b7xpgrfWJvPygitMsyTFA?e=7mIObI" TargetMode="External"/><Relationship Id="rId477" Type="http://schemas.openxmlformats.org/officeDocument/2006/relationships/hyperlink" Target="../../../../:b:/p/finanzas/EXNny1CVICdCrwXJGUVMrgsBXjNshOsUAiS7DIRKQ8NYIA?e=s9S3Pm" TargetMode="External"/><Relationship Id="rId281" Type="http://schemas.openxmlformats.org/officeDocument/2006/relationships/hyperlink" Target="../../../../:b:/p/finanzas/EYRrLN8OD6RCjy7TPazKlGoBTOBW003wp7NbDZgRC_cVag?e=lKcFYQ" TargetMode="External"/><Relationship Id="rId337" Type="http://schemas.openxmlformats.org/officeDocument/2006/relationships/hyperlink" Target="../../../../:b:/p/finanzas/ETBEGj2ywodCnYT9hmrLp-EBcOzWrUO5OdpWpVybdQUdDQ?e=qMFhez" TargetMode="External"/><Relationship Id="rId34" Type="http://schemas.openxmlformats.org/officeDocument/2006/relationships/hyperlink" Target="../../../:b:/p/finanzas/EUU4B4OnFMhGrz8MQra5BJUB8vPJPDjxKbgzoWfxsv55Sg%3fe=LnHQHy" TargetMode="External"/><Relationship Id="rId76" Type="http://schemas.openxmlformats.org/officeDocument/2006/relationships/hyperlink" Target="../../../:b:/p/finanzas/EcJg5jkDhYhNlmBwT7mQIcABUOE8W0PDTpPljZaLRl9wLA%3fe=HQLngC" TargetMode="External"/><Relationship Id="rId141" Type="http://schemas.openxmlformats.org/officeDocument/2006/relationships/hyperlink" Target="../../../:b:/p/finanzas/EU4mXceL2YlNhQS6-KjrxjoB_JV8p8mzX54ZM5LW3RDHeQ%3fe=hWtwfy" TargetMode="External"/><Relationship Id="rId379" Type="http://schemas.openxmlformats.org/officeDocument/2006/relationships/hyperlink" Target="../../../../:b:/p/finanzas/EeJHtnkVNCZEnbuXYD-1uh8Bhb9306EvyFn3kPro5ffOPw?e=LMmTHp" TargetMode="External"/><Relationship Id="rId7" Type="http://schemas.openxmlformats.org/officeDocument/2006/relationships/hyperlink" Target="../../../:b:/p/finanzas/ERWXiVevk-pJsFe8IdVUkOwBbjK0GnuU3CnAObPnezGRpQ%3fe=rnBULw" TargetMode="External"/><Relationship Id="rId183" Type="http://schemas.openxmlformats.org/officeDocument/2006/relationships/hyperlink" Target="../../../:b:/p/finanzas/EYF5jDLSfLpJjQIxQOlvytoBnyFJ394QlFsaCZ-0do-DGQ%3fe=gGsQLJ" TargetMode="External"/><Relationship Id="rId239" Type="http://schemas.openxmlformats.org/officeDocument/2006/relationships/hyperlink" Target="../../../../:b:/p/finanzas/EUKyCrDvWX9Kt9GBpll-rTABnoayIxd2JUtsOLoMpZny3A?e=dwO7Dx" TargetMode="External"/><Relationship Id="rId390" Type="http://schemas.openxmlformats.org/officeDocument/2006/relationships/hyperlink" Target="../../../../:b:/p/finanzas/EW676l02bUFMkQckEff8cToBq3AYRS6gMPVfaAQM2KeTDA?e=igZyR9" TargetMode="External"/><Relationship Id="rId404" Type="http://schemas.openxmlformats.org/officeDocument/2006/relationships/hyperlink" Target="../../../../:b:/p/finanzas/EWQErbUrVS1HqZd4jvIhUP4BkAD_j3mQC4Dz2hRtsI_zXw?e=zAUyVd" TargetMode="External"/><Relationship Id="rId446" Type="http://schemas.openxmlformats.org/officeDocument/2006/relationships/hyperlink" Target="../../../../:b:/p/finanzas/EYrxRm3IZMNKrQef3qXLuM8BRh6Tbe9wrGduY97QDZKi2w?e=5wEBem" TargetMode="External"/><Relationship Id="rId250" Type="http://schemas.openxmlformats.org/officeDocument/2006/relationships/hyperlink" Target="../../../../:b:/p/finanzas/EaYYWjiqKJFHugLcimtNn4gBVETyX_V2I3TuEWPwi2w-zA?e=dEu4cw" TargetMode="External"/><Relationship Id="rId292" Type="http://schemas.openxmlformats.org/officeDocument/2006/relationships/hyperlink" Target="../../../../:b:/p/finanzas/EVm_WN8l681Nu0xzP_SYs2oBbPZjEm7Hz-KDjGh6youXZg?e=CwAugJ" TargetMode="External"/><Relationship Id="rId306" Type="http://schemas.openxmlformats.org/officeDocument/2006/relationships/hyperlink" Target="../../../../:b:/p/finanzas/EXM9r_8PjNxIgdQ1XFkdvz4BdPjXVa4SM8mkoMXSXs2oLQ?e=IK2TsQ" TargetMode="External"/><Relationship Id="rId45" Type="http://schemas.openxmlformats.org/officeDocument/2006/relationships/hyperlink" Target="../../../:b:/p/finanzas/EZeb2AtzlbNDpRwFUxdqTu4BtaXshS02RRelg-LA6sevmg%3fe=YeZ7ZC" TargetMode="External"/><Relationship Id="rId87" Type="http://schemas.openxmlformats.org/officeDocument/2006/relationships/hyperlink" Target="../../../:b:/p/finanzas/EaMAblVC0BNGgcSPW_8Fbq8BuRmz-QzEcweOTlv-1UPp2g%3fe=5PSguZ" TargetMode="External"/><Relationship Id="rId110" Type="http://schemas.openxmlformats.org/officeDocument/2006/relationships/hyperlink" Target="../../../:b:/p/finanzas/EZLWh-95nyNErkUaojgn2KsBSA6UEbzRIvCeeXWt3tcq7Q%3fe=sTs9IW" TargetMode="External"/><Relationship Id="rId348" Type="http://schemas.openxmlformats.org/officeDocument/2006/relationships/hyperlink" Target="../../../../:b:/p/finanzas/EY1Bh8mPI1tCgOeLJvn7x7kBZkUNdRACfbPXxSHvNFDHBQ?e=Zy84qe" TargetMode="External"/><Relationship Id="rId152" Type="http://schemas.openxmlformats.org/officeDocument/2006/relationships/hyperlink" Target="../../../:b:/p/finanzas/EfyVBjtPXylLh4aRCQf63AkBWXqP3htQCk1__hvsdpMtPQ%3fe=q7lQZN" TargetMode="External"/><Relationship Id="rId194" Type="http://schemas.openxmlformats.org/officeDocument/2006/relationships/hyperlink" Target="../../../:b:/p/finanzas/EW6dZpQxQd9Mu5wTEq4qEwQBsiijuA6-fIqfTWilIRfk9w%3fe=vf06mM" TargetMode="External"/><Relationship Id="rId208" Type="http://schemas.openxmlformats.org/officeDocument/2006/relationships/hyperlink" Target="../../../:b:/p/finanzas/EfVB_8IB7j1DhWTMgL1jIVwBc0w_46pHa3_08LDqGaBUzg%3fe=CEA2jL" TargetMode="External"/><Relationship Id="rId415" Type="http://schemas.openxmlformats.org/officeDocument/2006/relationships/hyperlink" Target="../../../../:b:/p/finanzas/EQ7jr0rBQ-BCrj4C_PK9ZqQBPxcWhjfliSvDuvDUeCdoNA?e=eWvuGc" TargetMode="External"/><Relationship Id="rId457" Type="http://schemas.openxmlformats.org/officeDocument/2006/relationships/hyperlink" Target="../../../../:b:/p/finanzas/EfEVzOnyC29PrNPPJmDoK0IBGBB0YaqX6JWwxHGQhI3Bwg?e=HuZJw9" TargetMode="External"/><Relationship Id="rId261" Type="http://schemas.openxmlformats.org/officeDocument/2006/relationships/hyperlink" Target="../../../../:b:/p/finanzas/EZ6wUMXju5NHqNywZrorvroBhKmDM49NdSHfuaiC8iADCg?e=ZGrpBl" TargetMode="External"/><Relationship Id="rId14" Type="http://schemas.openxmlformats.org/officeDocument/2006/relationships/hyperlink" Target="../../../:b:/p/finanzas/Ec0L7CIEUp9DgoerKp0Hw0gBFZaTunPK-er0u1vlRy4SGw%3fe=YhaOvH" TargetMode="External"/><Relationship Id="rId56" Type="http://schemas.openxmlformats.org/officeDocument/2006/relationships/hyperlink" Target="../../../:b:/p/finanzas/EQuCO6bBfbdNqXyfrXsNyMQBTq7OV22Pd0h26QcnAomtBQ%3fe=q6cmsP" TargetMode="External"/><Relationship Id="rId317" Type="http://schemas.openxmlformats.org/officeDocument/2006/relationships/hyperlink" Target="../../../../:b:/p/finanzas/EWAGcl-J-Y5HlbzK1lnltxMB_16KaXN1MRkWxMLnZKygdA?e=MtEJP2" TargetMode="External"/><Relationship Id="rId359" Type="http://schemas.openxmlformats.org/officeDocument/2006/relationships/hyperlink" Target="../../../../:b:/p/finanzas/ERPLjaG5s55CgV5Fy6ZMzggB4LL8zrv38Tm1kAPuFPQN4A?e=FNneMA" TargetMode="External"/><Relationship Id="rId98" Type="http://schemas.openxmlformats.org/officeDocument/2006/relationships/hyperlink" Target="../../../:b:/p/finanzas/EcmYzZLzB8ZCt95Q1VfMj5kBrEFzYCP4br61Db-EihFJ-w%3fe=h4w3fa" TargetMode="External"/><Relationship Id="rId121" Type="http://schemas.openxmlformats.org/officeDocument/2006/relationships/hyperlink" Target="../../../:b:/p/finanzas/EcI40gjI-llKlMsJix0AdX8BHIzRPMg61fyOXNINP-LCww%3fe=U7n4Yd" TargetMode="External"/><Relationship Id="rId163" Type="http://schemas.openxmlformats.org/officeDocument/2006/relationships/hyperlink" Target="../../../:b:/p/finanzas/Ed-oO-RIyZ5JuuDlooCbbTYBr7CUauLybFeFcLu1mkQqLw%3fe=4jiXDa" TargetMode="External"/><Relationship Id="rId219" Type="http://schemas.openxmlformats.org/officeDocument/2006/relationships/hyperlink" Target="../../../:b:/p/finanzas/ERjYATttOPhBlKwuHVVMCqwB9pCUbLpL6rolaJUR7ZpeOA?e=D62CPx" TargetMode="External"/><Relationship Id="rId370" Type="http://schemas.openxmlformats.org/officeDocument/2006/relationships/hyperlink" Target="../../../../:b:/p/finanzas/EV4FAnA394hNr3BHMPZ-D4ABPCI-U4MdnFunzGDqG7hP0g?e=Yzq7rO" TargetMode="External"/><Relationship Id="rId426" Type="http://schemas.openxmlformats.org/officeDocument/2006/relationships/hyperlink" Target="../../../../:b:/p/finanzas/EU5p68QmandIsBCgmc2HjxQBLTIbnvf0i4tBThB4cRjZcw?e=vbOjgQ" TargetMode="External"/><Relationship Id="rId230" Type="http://schemas.openxmlformats.org/officeDocument/2006/relationships/hyperlink" Target="../../../../:b:/p/finanzas/EVxFHMsNCCNAvOQwkZrb5BcBUoTdEr8zMkfVgsDCg2ljMw?e=bThWun" TargetMode="External"/><Relationship Id="rId468" Type="http://schemas.openxmlformats.org/officeDocument/2006/relationships/hyperlink" Target="../../../../:b:/p/finanzas/EWc7KrLyn8lGmRxhLWQRXXMBfPLa3hbXeiUI8YmqV36kww?e=tOJGx7" TargetMode="External"/><Relationship Id="rId25" Type="http://schemas.openxmlformats.org/officeDocument/2006/relationships/hyperlink" Target="../../../:b:/p/finanzas/Ebc0pK5-um1CpRRsMJgd8wkBWxootfVpekJ6r5CpbKOUCg%3fe=0QaAfX" TargetMode="External"/><Relationship Id="rId67" Type="http://schemas.openxmlformats.org/officeDocument/2006/relationships/hyperlink" Target="../../../:b:/p/finanzas/EbcfUgkGs_xDihOh7Mb8MJoBZTXXew8vZCs55GoZUl6-sQ%3fe=hY2Sao" TargetMode="External"/><Relationship Id="rId272" Type="http://schemas.openxmlformats.org/officeDocument/2006/relationships/hyperlink" Target="../../../../:b:/p/finanzas/EaqQ5FgKgpdGmS--Ugk_0D4BvW271Q6XbGZG_pYA4rvt5g?e=HyII6z" TargetMode="External"/><Relationship Id="rId328" Type="http://schemas.openxmlformats.org/officeDocument/2006/relationships/hyperlink" Target="../../../../:b:/p/finanzas/EVbpgNvWXatNosG_QkTVC1cBljMiWA0b1vCcU3Wi3uia6Q?e=smmtVP" TargetMode="External"/><Relationship Id="rId132" Type="http://schemas.openxmlformats.org/officeDocument/2006/relationships/hyperlink" Target="../../../:b:/p/finanzas/ES0gS_g60o5PtbkEcgkJrEMBs8sxfIXX4RkvjrZMIW19Xw%3fe=t1XTJG" TargetMode="External"/><Relationship Id="rId174" Type="http://schemas.openxmlformats.org/officeDocument/2006/relationships/hyperlink" Target="../../../:b:/p/finanzas/EXE89gS_Ao1NhOT956lIl8MBZSe0TUx3OgjgpGodKmSzxA%3fe=O0WJba" TargetMode="External"/><Relationship Id="rId381" Type="http://schemas.openxmlformats.org/officeDocument/2006/relationships/hyperlink" Target="../../../../:b:/p/finanzas/EYRdKhw7cQpHhM-VfqGjieIBNSp70bQ7O81Kcb2kOJ3PGg?e=pSEN3V" TargetMode="External"/><Relationship Id="rId241" Type="http://schemas.openxmlformats.org/officeDocument/2006/relationships/hyperlink" Target="../../../../:b:/p/finanzas/EUCnU3GsGLBEjY-WahKcFqQByCt4tN5Sp6dWVXwXAPM8hw?e=sQi2p6" TargetMode="External"/><Relationship Id="rId437" Type="http://schemas.openxmlformats.org/officeDocument/2006/relationships/hyperlink" Target="../../../../:b:/p/finanzas/EQ-QxdCF8UxGtvmQcWL9YYIBPCK5zjDT0ubGW2AHjATmkQ?e=ITrLuR" TargetMode="External"/><Relationship Id="rId479" Type="http://schemas.openxmlformats.org/officeDocument/2006/relationships/printerSettings" Target="../printerSettings/printerSettings2.bin"/><Relationship Id="rId36" Type="http://schemas.openxmlformats.org/officeDocument/2006/relationships/hyperlink" Target="../../../:b:/p/finanzas/EXrmHkIm8t1JoOeMvMHIdycBq0KgLwZGDLh-YzP2LBZBIg%3fe=bNyf6G" TargetMode="External"/><Relationship Id="rId283" Type="http://schemas.openxmlformats.org/officeDocument/2006/relationships/hyperlink" Target="../../../../:b:/p/finanzas/EU1KWHmXPZlEhLCil60pww0Bsmr78-jpVDYy8v8A6dVRHQ?e=nMAPdy" TargetMode="External"/><Relationship Id="rId339" Type="http://schemas.openxmlformats.org/officeDocument/2006/relationships/hyperlink" Target="../../../../:b:/p/finanzas/Eb3QpdSAR8ZHvTINZbJoJIoBZpo5oYOC_dW0OmgdSCL0LA?e=ZTRX9O" TargetMode="External"/><Relationship Id="rId78" Type="http://schemas.openxmlformats.org/officeDocument/2006/relationships/hyperlink" Target="../../../:b:/p/finanzas/EXwntOhJC_pOgtTWoU9SGO4Ba6u4Xqb0piNtI0s9oAJ9yQ%3fe=GheJi0" TargetMode="External"/><Relationship Id="rId101" Type="http://schemas.openxmlformats.org/officeDocument/2006/relationships/hyperlink" Target="../../../:b:/p/finanzas/EbVDZ7qGZahKomsdBGk-bb0BChoCoW98zleeY3h2NW49Ew%3fe=VtXgir" TargetMode="External"/><Relationship Id="rId143" Type="http://schemas.openxmlformats.org/officeDocument/2006/relationships/hyperlink" Target="../../../:b:/p/finanzas/EeKEnL-wbw9GoXpIWVlB2SoBNLgpHOyh_PuN6YF8gfA2Wg%3fe=AeK4vJ" TargetMode="External"/><Relationship Id="rId185" Type="http://schemas.openxmlformats.org/officeDocument/2006/relationships/hyperlink" Target="../../../../:b:/p/finanzas/EfrycmZFrVdOpxVoJYFO7pYB9NB_a0x5F8ReKJvl94tGWw?e=zQEsme" TargetMode="External"/><Relationship Id="rId350" Type="http://schemas.openxmlformats.org/officeDocument/2006/relationships/hyperlink" Target="../../../../:b:/p/finanzas/EdmOqKmv1MRHpnhE8ZoVB6cBpTRHpFZ9El4pkU8pqnDY9g?e=flMfsb" TargetMode="External"/><Relationship Id="rId406" Type="http://schemas.openxmlformats.org/officeDocument/2006/relationships/hyperlink" Target="../../../../:b:/p/finanzas/Ed0D4ckD4PFMiZTKsHge_4YBodEydPEBT0pfsoZHhdfEaQ?e=4HY2xE" TargetMode="External"/><Relationship Id="rId9" Type="http://schemas.openxmlformats.org/officeDocument/2006/relationships/hyperlink" Target="../../../:b:/p/finanzas/EV0jVU5nlztCvUM_DP7CNroBp5HRXOpxxz5ldqiPX5VhyA%3fe=lbrD5Q" TargetMode="External"/><Relationship Id="rId210" Type="http://schemas.openxmlformats.org/officeDocument/2006/relationships/hyperlink" Target="../../../:b:/p/finanzas/EbxzvbFS-aVOrpHnPBV24M8BZQ6V0vob9taBuJQSCgmYug%3fe=ZQBqZx" TargetMode="External"/><Relationship Id="rId392" Type="http://schemas.openxmlformats.org/officeDocument/2006/relationships/hyperlink" Target="../../../../:b:/p/finanzas/EcCR5VJLPq9Iuw-g3eOPBG0BBbnWCSM3rhAm-sIGO40ipQ?e=WmwbFj" TargetMode="External"/><Relationship Id="rId448" Type="http://schemas.openxmlformats.org/officeDocument/2006/relationships/hyperlink" Target="../../../../:b:/p/finanzas/EUbHVmBVqcxLrC4991dscEoBjsDNgj4peOuD3OExJr5naA?e=OuKE6g" TargetMode="External"/><Relationship Id="rId252" Type="http://schemas.openxmlformats.org/officeDocument/2006/relationships/hyperlink" Target="../../../../:b:/p/finanzas/Ec52s8htxyZKvkVTsLQnKY4B5gMd4mDKdeI1Civmfo0XXw?e=0T4yb0" TargetMode="External"/><Relationship Id="rId294" Type="http://schemas.openxmlformats.org/officeDocument/2006/relationships/hyperlink" Target="../../../../:b:/p/finanzas/ER175OW-nLlBvAmNA9WZmNIB1ZMpQd071S3kvftdZOBi4Q?e=7H9TbJ" TargetMode="External"/><Relationship Id="rId308" Type="http://schemas.openxmlformats.org/officeDocument/2006/relationships/hyperlink" Target="../../../../:b:/p/finanzas/EbPn4esk51xNpOlZeHQObwcB3G2RWeQGK-u5AJPWlkddMA?e=rQfv1c" TargetMode="External"/><Relationship Id="rId47" Type="http://schemas.openxmlformats.org/officeDocument/2006/relationships/hyperlink" Target="../../../:b:/p/finanzas/EaGbfLWHBJhCi7dVoO3mQ38BmffdegdHpe_MTt4uOOYZyA%3fe=g3Op2T" TargetMode="External"/><Relationship Id="rId89" Type="http://schemas.openxmlformats.org/officeDocument/2006/relationships/hyperlink" Target="../../../:b:/p/finanzas/ETIkn8AqIs9Llfn4QlhGk-0Bp3IXr1j-n_9YyMUUOjfj-w%3fe=qKJBAT" TargetMode="External"/><Relationship Id="rId112" Type="http://schemas.openxmlformats.org/officeDocument/2006/relationships/hyperlink" Target="../../../:b:/p/finanzas/EUGtjqE7wAlMjwCID8BbWogB0YpCYWisTm-rGb3I1VZJxA%3fe=h6CZPp" TargetMode="External"/><Relationship Id="rId154" Type="http://schemas.openxmlformats.org/officeDocument/2006/relationships/hyperlink" Target="../../../:b:/p/finanzas/EcbbNOWI2UZEkRmi21xPAAABvPKJhd87BZjnao2uypb3hw%3fe=LtYsBo" TargetMode="External"/><Relationship Id="rId361" Type="http://schemas.openxmlformats.org/officeDocument/2006/relationships/hyperlink" Target="../../../../:b:/p/finanzas/EV4FAnA394hNr3BHMPZ-D4ABPCI-U4MdnFunzGDqG7hP0g?e=Yzq7rO" TargetMode="External"/><Relationship Id="rId196" Type="http://schemas.openxmlformats.org/officeDocument/2006/relationships/hyperlink" Target="../../../:b:/p/finanzas/ERaPlAH_77lOvDbq48M9pNUBxe2ksoa7m1WohNQa64bBWA%3fe=E57g1b" TargetMode="External"/><Relationship Id="rId417" Type="http://schemas.openxmlformats.org/officeDocument/2006/relationships/hyperlink" Target="../../../../:b:/p/finanzas/EXFpJnPCwVhCm6fiBIA-e-IBav25IZksOWVF8mWJOcfifQ?e=QAqSRM" TargetMode="External"/><Relationship Id="rId459" Type="http://schemas.openxmlformats.org/officeDocument/2006/relationships/hyperlink" Target="../../../../:b:/p/finanzas/EZ2MU2GbjGlHuCAbCaEdOhEBhOOQX3ulm6gjf0YabSWBtA?e=BBcDc9" TargetMode="External"/><Relationship Id="rId16" Type="http://schemas.openxmlformats.org/officeDocument/2006/relationships/hyperlink" Target="../../../:b:/p/finanzas/EaUz-ZbFrCdPr_8EL9AU94kBZw9CJtAsM5ZOQ2blkMfK2g%3fe=b7Jx2P" TargetMode="External"/><Relationship Id="rId221" Type="http://schemas.openxmlformats.org/officeDocument/2006/relationships/hyperlink" Target="../../../:b:/p/finanzas/EQ9e0gT-BvRMpG6QXHqwT_4BdjUwB_1erDTCyWgP1nMDBA?e=FRBbXd" TargetMode="External"/><Relationship Id="rId263" Type="http://schemas.openxmlformats.org/officeDocument/2006/relationships/hyperlink" Target="../../../../:b:/p/finanzas/EUqsQgTvBLlPrrLN4ahpv1oBx74MhmYy4Ro6WRUwjnuMhQ?e=yyH21l" TargetMode="External"/><Relationship Id="rId319" Type="http://schemas.openxmlformats.org/officeDocument/2006/relationships/hyperlink" Target="../../../../:b:/p/finanzas/Eepr3bkdlRtAl93J7wbfBDsBg6O2KT_yLGZZv-DKJZbhOA?e=XULQgf" TargetMode="External"/><Relationship Id="rId470" Type="http://schemas.openxmlformats.org/officeDocument/2006/relationships/hyperlink" Target="../../../../:b:/p/finanzas/ETNtixolnUlMkJDLK4oEBNcB9mnOAOsHpuRCvxf3Wd3Haw?e=js2Ioi" TargetMode="External"/><Relationship Id="rId58" Type="http://schemas.openxmlformats.org/officeDocument/2006/relationships/hyperlink" Target="../../../:b:/p/finanzas/Ed5Fp0cM3EVIhltjy_ViXV0BW3acRN3p_G4epvwPQEoPAw%3fe=ompdpj" TargetMode="External"/><Relationship Id="rId123" Type="http://schemas.openxmlformats.org/officeDocument/2006/relationships/hyperlink" Target="../../../:b:/p/finanzas/EfOuGt0bZ5JJoPWhjlTEq4UBqtwyYfLH0dbciS9sa8bPFA%3fe=pS3WKZ" TargetMode="External"/><Relationship Id="rId330" Type="http://schemas.openxmlformats.org/officeDocument/2006/relationships/hyperlink" Target="../../../../:b:/p/finanzas/ERE79lrHH5JNvbFth2Y3_WoBRo2JT3CFbxH93ltBA804EQ?e=OUy4ON" TargetMode="External"/><Relationship Id="rId165" Type="http://schemas.openxmlformats.org/officeDocument/2006/relationships/hyperlink" Target="../../../:b:/p/finanzas/EbVpie9k2oNLo36mDGsvRw0Bswu76BVDJSII8bGwj2YCfA%3fe=CzmBJA" TargetMode="External"/><Relationship Id="rId372" Type="http://schemas.openxmlformats.org/officeDocument/2006/relationships/hyperlink" Target="../../../../:b:/p/finanzas/ETfS_MMlg_pBhYRqfZzHGvIBCxX2UQxdPsVCs9ayGZ5wEg?e=l0UPBk" TargetMode="External"/><Relationship Id="rId428" Type="http://schemas.openxmlformats.org/officeDocument/2006/relationships/hyperlink" Target="../../../../:b:/p/finanzas/Ef8yiDmRaZBGpGGkVchMjosBhSDR6LHs8AW1t1wekw1Smg?e=nnw0Yv" TargetMode="External"/><Relationship Id="rId232" Type="http://schemas.openxmlformats.org/officeDocument/2006/relationships/hyperlink" Target="../../../../:b:/p/finanzas/EURGXA0SEINHjoHaXFsQ6pQBoLlWqSfIb1GfV-dZFG_umg?e=IyUlL4" TargetMode="External"/><Relationship Id="rId274" Type="http://schemas.openxmlformats.org/officeDocument/2006/relationships/hyperlink" Target="../../../../:b:/p/finanzas/EfPqodLOm0pDvxl3VaXOyg0B0EfrMSxUFIi_bZwb9wUX8g?e=ClAB79" TargetMode="External"/><Relationship Id="rId481" Type="http://schemas.openxmlformats.org/officeDocument/2006/relationships/table" Target="../tables/table3.xml"/><Relationship Id="rId27" Type="http://schemas.openxmlformats.org/officeDocument/2006/relationships/hyperlink" Target="../../../:b:/p/finanzas/Ea00an5s7PxHrhJB_qYWR9oBSkkB8pfVnjMRksYI2TV4jQ%3fe=d0zRTm" TargetMode="External"/><Relationship Id="rId69" Type="http://schemas.openxmlformats.org/officeDocument/2006/relationships/hyperlink" Target="../../../:b:/p/finanzas/EeKVjjMytAhKjc2xapQr8E8Bu0vvM3wMQYb392YWDCRApw%3fe=rASRAw" TargetMode="External"/><Relationship Id="rId134" Type="http://schemas.openxmlformats.org/officeDocument/2006/relationships/hyperlink" Target="../../../:b:/p/finanzas/EYowrdMUp8JMtRxv6MFsOwkBoUVfJoBq2DV9rjp1_czrfg%3fe=1KcUI2" TargetMode="External"/><Relationship Id="rId80" Type="http://schemas.openxmlformats.org/officeDocument/2006/relationships/hyperlink" Target="../../../:b:/p/finanzas/EVkYPQtc2khOhV8FSTk_4BIB1DBMS7Js0cfbTb0HWov1cA%3fe=UJBLmg" TargetMode="External"/><Relationship Id="rId176" Type="http://schemas.openxmlformats.org/officeDocument/2006/relationships/hyperlink" Target="../../../:b:/p/finanzas/EXDSpPi-EENJoXXM3IGbbZQB1RBmR4yWOa4lTzDCelT1dg%3fe=0muYeB" TargetMode="External"/><Relationship Id="rId341" Type="http://schemas.openxmlformats.org/officeDocument/2006/relationships/hyperlink" Target="../../../../:b:/p/finanzas/ETpFDAlqmUlJsxN9gIu1EfEBH4_ITFgL9N_xpvposnfDpg?e=pEpGBj" TargetMode="External"/><Relationship Id="rId383" Type="http://schemas.openxmlformats.org/officeDocument/2006/relationships/hyperlink" Target="../../../../:b:/p/finanzas/ETNemsNSECdBn9l2eD4UYZABXGwZ-cghMuoJQUe0nNVTUA?e=1DiCAJ" TargetMode="External"/><Relationship Id="rId439" Type="http://schemas.openxmlformats.org/officeDocument/2006/relationships/hyperlink" Target="../../../../:b:/p/finanzas/EbdWbW6mMShDnPQNuF8Myb8B1cBfg-f5MBT2wFGEcOhg4w?e=gruW5N" TargetMode="External"/><Relationship Id="rId201" Type="http://schemas.openxmlformats.org/officeDocument/2006/relationships/hyperlink" Target="../../../:b:/p/finanzas/ERNL0SwH4vVEsncscistbjwBtLX7lnAVqfcIKVS4dMsREw%3fe=PIMUSP" TargetMode="External"/><Relationship Id="rId243" Type="http://schemas.openxmlformats.org/officeDocument/2006/relationships/hyperlink" Target="../../../../:b:/p/finanzas/Ebn6lqDmIddElpxx3ZcUgZABbc5BHwqO5OROP_kppzQ_1w?e=1WFoSI" TargetMode="External"/><Relationship Id="rId285" Type="http://schemas.openxmlformats.org/officeDocument/2006/relationships/hyperlink" Target="../../../../:b:/p/finanzas/EZBu-czXt1BMq2hV4MXfwOEBpHdhBlIqF76LUPtyMiym-g?e=PL6HRh" TargetMode="External"/><Relationship Id="rId450" Type="http://schemas.openxmlformats.org/officeDocument/2006/relationships/hyperlink" Target="../../../../:b:/p/finanzas/ERMlBaCreflAvrKDXexu_wABDY64XQFpba6Ve04VgcCW8g?e=GkI0Jg" TargetMode="External"/><Relationship Id="rId38" Type="http://schemas.openxmlformats.org/officeDocument/2006/relationships/hyperlink" Target="../../../:b:/p/finanzas/Eeh1rCkQzXxMouODUqMHgLgB_-wQKa1GcpbPfk5Uakj8HQ%3fe=PInTIW" TargetMode="External"/><Relationship Id="rId103" Type="http://schemas.openxmlformats.org/officeDocument/2006/relationships/hyperlink" Target="../../../:b:/p/finanzas/EQeWZ7ZlD_RPvhVTfzW98YoBxbED06ZHkQR5YKhEAwit4g%3fe=6hlp1h" TargetMode="External"/><Relationship Id="rId310" Type="http://schemas.openxmlformats.org/officeDocument/2006/relationships/hyperlink" Target="../../../../:b:/p/finanzas/EYio3Aa07EVDgXaabC_NRyEBArbOKPmX9XYFhaVLavniZg?e=baJhMR" TargetMode="External"/><Relationship Id="rId91" Type="http://schemas.openxmlformats.org/officeDocument/2006/relationships/hyperlink" Target="../../../:b:/p/finanzas/Eaxx4qbgty5KiVy9YRuLmJABudY4H5dAsRONHrvFTJeesg%3fe=H3QJPs" TargetMode="External"/><Relationship Id="rId145" Type="http://schemas.openxmlformats.org/officeDocument/2006/relationships/hyperlink" Target="../../../:b:/p/finanzas/EXgRYJVeMshDuwbCH_jOEpABDlt43RKb2NCicmBNKcKs5w%3fe=apkcxa" TargetMode="External"/><Relationship Id="rId187" Type="http://schemas.openxmlformats.org/officeDocument/2006/relationships/hyperlink" Target="../../../:b:/p/finanzas/EYJkMCKawy5LvyEsWSEJJ7ABg6eDvrh1tgnh4xeipM6agQ%3fe=GZhmUn" TargetMode="External"/><Relationship Id="rId352" Type="http://schemas.openxmlformats.org/officeDocument/2006/relationships/hyperlink" Target="../../../../:b:/p/finanzas/EbcFyjqbB7NItTREx5ccHRABTrD01HbBnAnzk83GkYBQGw?e=GcOKHG" TargetMode="External"/><Relationship Id="rId394" Type="http://schemas.openxmlformats.org/officeDocument/2006/relationships/hyperlink" Target="../../../../:b:/p/finanzas/EaQt-ri5Hg9PvN5dHW_1VDABnT7i2Rwp2SlvRKgqfT_DNg?e=hLw3qu" TargetMode="External"/><Relationship Id="rId408" Type="http://schemas.openxmlformats.org/officeDocument/2006/relationships/hyperlink" Target="../../../../:b:/p/finanzas/EQ0twbHUfU1JlRpacyHpPAgBPo5KsVAoCTuTtjZn7gkliw?e=GoSP5h" TargetMode="External"/><Relationship Id="rId212" Type="http://schemas.openxmlformats.org/officeDocument/2006/relationships/hyperlink" Target="../../../:b:/p/finanzas/EV4zXFTLM-dNp7iSaeRduhEBlbzPoZP6JrcrZnjGI7ZnfA%3fe=Ijg0bw" TargetMode="External"/><Relationship Id="rId254" Type="http://schemas.openxmlformats.org/officeDocument/2006/relationships/hyperlink" Target="../../../../:b:/p/finanzas/Ec52s8htxyZKvkVTsLQnKY4B5gMd4mDKdeI1Civmfo0XXw?e=e8JIjO" TargetMode="External"/><Relationship Id="rId49" Type="http://schemas.openxmlformats.org/officeDocument/2006/relationships/hyperlink" Target="../../../:b:/p/finanzas/EXDijQsWUb1GqHME8Ne4zq4BGS3PCWOBmxzIlYM5I0X-FA%3fe=2edHCK" TargetMode="External"/><Relationship Id="rId114" Type="http://schemas.openxmlformats.org/officeDocument/2006/relationships/hyperlink" Target="../../../:b:/p/finanzas/ETdKWL6JWJNIh7RVRlVeYZsBb_UT-yys1F3RXlRltVbqKw%3fe=3CpBQv" TargetMode="External"/><Relationship Id="rId296" Type="http://schemas.openxmlformats.org/officeDocument/2006/relationships/hyperlink" Target="../../../../:b:/p/finanzas/EZKDJYjtdzNOvUJ5bwu7UgIBpBpLseI0KDSGZHu32lTLGQ?e=rIjKwn" TargetMode="External"/><Relationship Id="rId461" Type="http://schemas.openxmlformats.org/officeDocument/2006/relationships/hyperlink" Target="../../../../:b:/p/finanzas/Eanf-3Oc3fJPo9BRYcS8ZcsB_jo2EaLeL4Z9-OetCwnPrA?e=crX0r9" TargetMode="External"/><Relationship Id="rId60" Type="http://schemas.openxmlformats.org/officeDocument/2006/relationships/hyperlink" Target="../../../:b:/p/finanzas/ERbdF5GttmZMh683fylYiakBmGFXibw5gZoGCBmZ_kphgw%3fe=dgYWLo" TargetMode="External"/><Relationship Id="rId156" Type="http://schemas.openxmlformats.org/officeDocument/2006/relationships/hyperlink" Target="../../../:b:/p/finanzas/ESdUaCTIqkZOh0iR4XuTwggBYTp6OEIx9XMOv4540oJtGg%3fe=1yhgU3" TargetMode="External"/><Relationship Id="rId198" Type="http://schemas.openxmlformats.org/officeDocument/2006/relationships/hyperlink" Target="../../../:b:/p/finanzas/ERIVzWZsrcxDqNCMCphSZEgB98VqgyPIiWes3F6bb99aWw%3fe=PXRZWy" TargetMode="External"/><Relationship Id="rId321" Type="http://schemas.openxmlformats.org/officeDocument/2006/relationships/hyperlink" Target="../../../../:b:/p/finanzas/ERpzT78b0RxFrBp2rVyK8a4BMJ0hs2DN23sx9umSz1jcdA?e=mEUxJ7" TargetMode="External"/><Relationship Id="rId363" Type="http://schemas.openxmlformats.org/officeDocument/2006/relationships/hyperlink" Target="../../../../:b:/p/finanzas/EaBko5mqdzRArOPRPs3NFLgB4hrWuwqdx7px75o92njdxA?e=Gr4rPd" TargetMode="External"/><Relationship Id="rId419" Type="http://schemas.openxmlformats.org/officeDocument/2006/relationships/hyperlink" Target="../../../../:b:/p/finanzas/EcgiopT1GvJEga3bpimAQOgBr2Xk--Q1rCpwnFLGQUq27Q?e=6jhfKO" TargetMode="External"/><Relationship Id="rId223" Type="http://schemas.openxmlformats.org/officeDocument/2006/relationships/hyperlink" Target="../../../:b:/p/finanzas/EVP6dup6_TZAtl-PZPz63n0B1-I_860a8ewBjjSMU1KNCw?e=SH4BvO" TargetMode="External"/><Relationship Id="rId430" Type="http://schemas.openxmlformats.org/officeDocument/2006/relationships/hyperlink" Target="../../../../:b:/p/finanzas/EamtWrWn8UNPmUDiTQRM8ncBR8Je9bPwAf8D9jSXOEXWDA?e=018w7j" TargetMode="External"/><Relationship Id="rId18" Type="http://schemas.openxmlformats.org/officeDocument/2006/relationships/hyperlink" Target="../../../:b:/p/finanzas/ETnEqIf9Z7pHrDR8DSL6aIQBuzaiFCwEOJubc1bk2N0cCw%3fe=djRBLb" TargetMode="External"/><Relationship Id="rId265" Type="http://schemas.openxmlformats.org/officeDocument/2006/relationships/hyperlink" Target="../../../../:b:/p/finanzas/EbMovywbT8tDmzTu6TaggRwBLYA99-_0U-5d7z8Biv7fSA?e=W8zjSa" TargetMode="External"/><Relationship Id="rId472" Type="http://schemas.openxmlformats.org/officeDocument/2006/relationships/hyperlink" Target="../../../../:b:/p/finanzas/EVx4Ocqna-VHrDrelq3Dn08BHY9oS47C_v-fxiKo_esQ9w?e=ZGpQM1" TargetMode="External"/><Relationship Id="rId125" Type="http://schemas.openxmlformats.org/officeDocument/2006/relationships/hyperlink" Target="../../../:b:/p/finanzas/EdjqAcs67hBNookCwyF0Ih0B3OnrxOlzlqeZZsa5Kx7Bug%3fe=v4DAri" TargetMode="External"/><Relationship Id="rId167" Type="http://schemas.openxmlformats.org/officeDocument/2006/relationships/hyperlink" Target="../../../:b:/p/finanzas/EakeQk5n5l1InG28Delx76IBnTg_Dn41mHLY-UaW4gwDeQ%3fe=Pdmhob" TargetMode="External"/><Relationship Id="rId332" Type="http://schemas.openxmlformats.org/officeDocument/2006/relationships/hyperlink" Target="../../../../:b:/p/finanzas/ES8uzMXyPxtHrUgt0QQyvz8BCB16moAzBT8TvSw66FrEfQ?e=yOOf4S" TargetMode="External"/><Relationship Id="rId374" Type="http://schemas.openxmlformats.org/officeDocument/2006/relationships/hyperlink" Target="../../../../:b:/p/finanzas/ETHSrqj8KUNMtR6BWWUW0T0BJpJegZiVN7Gs-6DP5Q-Rig?e=SPFjrh" TargetMode="External"/><Relationship Id="rId71" Type="http://schemas.openxmlformats.org/officeDocument/2006/relationships/hyperlink" Target="../../../:b:/p/finanzas/ER2Kl5i49LJFgYhAbW5HuAYBvT8_lM17i91LKI1p1BgOYA%3fe=zFtnxF" TargetMode="External"/><Relationship Id="rId234" Type="http://schemas.openxmlformats.org/officeDocument/2006/relationships/hyperlink" Target="../../../../:b:/p/finanzas/EZR_lR2Ei1FIkoBzg-aXPPwBcdAix6PIDCjuKJk5pbp4Wg?e=ZQWOlr" TargetMode="External"/><Relationship Id="rId2" Type="http://schemas.openxmlformats.org/officeDocument/2006/relationships/hyperlink" Target="../../../:b:/p/finanzas/EWXcpFaZvLVLqrCfvSTE0rQBsV80XkQ8E3Pej4C3-GCPhA" TargetMode="External"/><Relationship Id="rId29" Type="http://schemas.openxmlformats.org/officeDocument/2006/relationships/hyperlink" Target="../../../:b:/p/finanzas/EW--tf_5thNLoupVZzeDDvMBnxxuTGjljvVuzVhq2C0k-g%3fe=K5pfqD" TargetMode="External"/><Relationship Id="rId276" Type="http://schemas.openxmlformats.org/officeDocument/2006/relationships/hyperlink" Target="../../../../:b:/p/finanzas/EZE-pK0CC7BLr6QRtg1bDewB9UEoV679FlIxZlmzbovqTg?e=tBL4Ks" TargetMode="External"/><Relationship Id="rId441" Type="http://schemas.openxmlformats.org/officeDocument/2006/relationships/hyperlink" Target="../../../../:b:/p/finanzas/EUmKP5iq739Gm-6nCJOCOYkB4jMYcyTU1Ogl4Hrk-QdioQ?e=Fya5DJ" TargetMode="External"/><Relationship Id="rId483" Type="http://schemas.microsoft.com/office/2017/10/relationships/threadedComment" Target="../threadedComments/threadedComment1.xml"/><Relationship Id="rId40" Type="http://schemas.openxmlformats.org/officeDocument/2006/relationships/hyperlink" Target="../../../:b:/p/finanzas/EbRh632mY3BKvaichqti1u8BBkp9Vc6BdGnQi2QxWI4DBg%3fe=3IVMfq" TargetMode="External"/><Relationship Id="rId136" Type="http://schemas.openxmlformats.org/officeDocument/2006/relationships/hyperlink" Target="../../../:b:/p/finanzas/ERpEVP5YV9tPmb5CYXDdiYkBDa7RzerWnyj4c4CguHOmLQ" TargetMode="External"/><Relationship Id="rId178" Type="http://schemas.openxmlformats.org/officeDocument/2006/relationships/hyperlink" Target="../../../:b:/p/finanzas/ERF9fxwqonpHjRzLnVq0IKYBTbCF3JKYtv7zFrOtjkQ2nA%3fe=GRLfvI" TargetMode="External"/><Relationship Id="rId301" Type="http://schemas.openxmlformats.org/officeDocument/2006/relationships/hyperlink" Target="../../../../:b:/p/finanzas/EQu_jU_Ldy5EpnnUaU4guUcBJN7Lr8eMyOIgCxiNKv8ceA?e=NmiIoN" TargetMode="External"/><Relationship Id="rId343" Type="http://schemas.openxmlformats.org/officeDocument/2006/relationships/hyperlink" Target="../../../../:b:/p/finanzas/EdfHylcnRzxKjZmZJSxuP0cBnT54aC5MwL6sFc341sncfw?e=ALQGBl" TargetMode="External"/><Relationship Id="rId82" Type="http://schemas.openxmlformats.org/officeDocument/2006/relationships/hyperlink" Target="../../../:b:/p/finanzas/ETa1QVU1WeVFrwB59bSk-SMBJYZoJGCis2iawSD06SKmzA%3fe=QXhWaw" TargetMode="External"/><Relationship Id="rId203" Type="http://schemas.openxmlformats.org/officeDocument/2006/relationships/hyperlink" Target="../../../:b:/p/finanzas/Eddg0luLZNFHnmOY8HRkvcsBxPrc11w7tmpI3lAIHgdy3w%3fe=T60UkE" TargetMode="External"/><Relationship Id="rId385" Type="http://schemas.openxmlformats.org/officeDocument/2006/relationships/hyperlink" Target="../../../../:b:/p/finanzas/EXz21mXgEIhKtTXCoW8mWhgBt-p0QHWjA4PqsJpq-9MEUQ?e=AF0aa4" TargetMode="External"/><Relationship Id="rId245" Type="http://schemas.openxmlformats.org/officeDocument/2006/relationships/hyperlink" Target="../../../../:b:/p/finanzas/EVgV4p73_o5MsLiMF1qS8poBi32KJCsy5kND-vO6w7PlIg?e=GiPRhJ" TargetMode="External"/><Relationship Id="rId287" Type="http://schemas.openxmlformats.org/officeDocument/2006/relationships/hyperlink" Target="../../../../:b:/p/finanzas/EeIwlRLLGS1NisQgzilLeKoB3UVmEaRKIg1_3jj4mAMfEw?e=lfecVv" TargetMode="External"/><Relationship Id="rId410" Type="http://schemas.openxmlformats.org/officeDocument/2006/relationships/hyperlink" Target="../../../../:b:/p/finanzas/Ebs8G36TbMZIjAvE_ysbF30Bnf9ZanEL9Qbup8jYe1iM8Q?e=Y72n8d" TargetMode="External"/><Relationship Id="rId452" Type="http://schemas.openxmlformats.org/officeDocument/2006/relationships/hyperlink" Target="../../../../:b:/p/finanzas/EdmNo0YHtatEoS_N1GmDmwQBr7MDJOZcEiFStW-QI0_ORQ?e=zOwct8" TargetMode="External"/><Relationship Id="rId105" Type="http://schemas.openxmlformats.org/officeDocument/2006/relationships/hyperlink" Target="../../../:b:/p/finanzas/EWOy-T4IeHFKkRTz5A_UQZkBo1cX4zxdYZFaQQZZmRbMKw%3fe=s8CxkW" TargetMode="External"/><Relationship Id="rId147" Type="http://schemas.openxmlformats.org/officeDocument/2006/relationships/hyperlink" Target="../../../:b:/p/finanzas/EZdNZcMNugNBrJtk-2mOAlgBe8kK-HWjxBIOycsdZedOYQ%3fe=FlsX07" TargetMode="External"/><Relationship Id="rId312" Type="http://schemas.openxmlformats.org/officeDocument/2006/relationships/hyperlink" Target="../../../../:b:/p/finanzas/EY_CGk1pEMxOsDffABrpb4YBwMHQi_D_2m-GK8nGuBedrw?e=Pkneod" TargetMode="External"/><Relationship Id="rId354" Type="http://schemas.openxmlformats.org/officeDocument/2006/relationships/hyperlink" Target="../../../../:b:/p/finanzas/EdBiRQSPxg1OjWXsFBnYnTwBbyAcCCMRMZ0nV_gRusXFiw?e=hdbu1z" TargetMode="External"/><Relationship Id="rId51" Type="http://schemas.openxmlformats.org/officeDocument/2006/relationships/hyperlink" Target="../../../:b:/p/finanzas/ERWxYPzy-2ZOsNskGph2n6kBDaZv6Lr7zYvlACW_f2Pc_A%3fe=SqC30C" TargetMode="External"/><Relationship Id="rId93" Type="http://schemas.openxmlformats.org/officeDocument/2006/relationships/hyperlink" Target="../../../:b:/p/finanzas/Ed21vX6A6mFCuJYeJgb0EcwBEWo6BgxRTuaaPogIBtsUMA%3fe=hvtmM5" TargetMode="External"/><Relationship Id="rId189" Type="http://schemas.openxmlformats.org/officeDocument/2006/relationships/hyperlink" Target="../../../:b:/p/finanzas/EQvDoNFsWBVDq5YFXQOu6KABOLkjYeJc3tCYNDv6VPIk9w%3fe=jf0ut2" TargetMode="External"/><Relationship Id="rId396" Type="http://schemas.openxmlformats.org/officeDocument/2006/relationships/hyperlink" Target="../../../../:b:/p/finanzas/EbCfkz0X_9pMvLN6-p8qZX0BML0P8cQwDqh8qBny-f6RsA?e=rI1wLM" TargetMode="External"/><Relationship Id="rId3" Type="http://schemas.openxmlformats.org/officeDocument/2006/relationships/hyperlink" Target="../../../:b:/p/finanzas/EdSzTolBwEdPgQOUUHPRVqMBduKEeEIrVVoJtCm0BDx7ig" TargetMode="External"/><Relationship Id="rId214" Type="http://schemas.openxmlformats.org/officeDocument/2006/relationships/hyperlink" Target="../../../:b:/p/finanzas/Eb4h2B85APhDtRRXniiWLiIBY66jd_y7SR8wzU5_XvsyGw%3fe=fanrHM" TargetMode="External"/><Relationship Id="rId235" Type="http://schemas.openxmlformats.org/officeDocument/2006/relationships/hyperlink" Target="../../../../:b:/p/finanzas/EeYA-rJhfc1BrBXiaVeYKzcBDkPkRLAy441B6TohyJCnUQ?e=P7xhS9" TargetMode="External"/><Relationship Id="rId256" Type="http://schemas.openxmlformats.org/officeDocument/2006/relationships/hyperlink" Target="../../../../:b:/p/finanzas/Ec52s8htxyZKvkVTsLQnKY4B5gMd4mDKdeI1Civmfo0XXw?e=e8JIjO" TargetMode="External"/><Relationship Id="rId277" Type="http://schemas.openxmlformats.org/officeDocument/2006/relationships/hyperlink" Target="../../../../:b:/p/finanzas/ETxr1R9vod5Dhnp-aBJ1kB0BN01IG_zKiPhb3ZPVT9vjuQ?e=eQikbf" TargetMode="External"/><Relationship Id="rId298" Type="http://schemas.openxmlformats.org/officeDocument/2006/relationships/hyperlink" Target="../../../../:b:/p/finanzas/EQ49Yy577w9AnmtloifxmRgBrqEzJlQRoZSTYAtd1wZAgQ?e=ZEpDqj" TargetMode="External"/><Relationship Id="rId400" Type="http://schemas.openxmlformats.org/officeDocument/2006/relationships/hyperlink" Target="../../../../:b:/p/finanzas/EY7zdE_D2tlMhQ479Z1tghwBO-7ypy9IE_3S0svBam_40g?e=Hf7Snc" TargetMode="External"/><Relationship Id="rId421" Type="http://schemas.openxmlformats.org/officeDocument/2006/relationships/hyperlink" Target="../../../../:b:/p/finanzas/EVecER5LRshBnsF_4JbpF1sBone9qoAvuHUasIS3WcXTFw?e=ZmsGYI" TargetMode="External"/><Relationship Id="rId442" Type="http://schemas.openxmlformats.org/officeDocument/2006/relationships/hyperlink" Target="../../../../:b:/p/finanzas/ETEx8fplTwVIqtVjyz4mPZwBt8l5NqYZmSzsWEztE88SLw?e=HKxfIg" TargetMode="External"/><Relationship Id="rId463" Type="http://schemas.openxmlformats.org/officeDocument/2006/relationships/hyperlink" Target="../../../../:b:/p/finanzas/Ef0l4SKpy91JtZlo78lXXrABsodhXYtdBukoYTNN67JkEg?e=RvcrOh" TargetMode="External"/><Relationship Id="rId116" Type="http://schemas.openxmlformats.org/officeDocument/2006/relationships/hyperlink" Target="../../../:b:/p/finanzas/EYvBqMkQMHlJqnKJeIIcjHQBVumFafecoTSVMgaQMQzSfQ%3fe=oFQwJT" TargetMode="External"/><Relationship Id="rId137" Type="http://schemas.openxmlformats.org/officeDocument/2006/relationships/hyperlink" Target="../../../:b:/p/finanzas/EY-bdbvp5ktBs8H5T-mF1owBzpwhdeztKo9dVUcjDqAt1A%3fe=pYKcGi" TargetMode="External"/><Relationship Id="rId158" Type="http://schemas.openxmlformats.org/officeDocument/2006/relationships/hyperlink" Target="../../../:b:/p/finanzas/EYWYVbSjW5xEkpHkDJxqFnQB7MNhzZaUog9C1CH0EAZ1Xw%3fe=eaVRP9" TargetMode="External"/><Relationship Id="rId302" Type="http://schemas.openxmlformats.org/officeDocument/2006/relationships/hyperlink" Target="../../../../:b:/p/finanzas/Edbq9zvTMw1BnSFSlMKNpcUBCaRPyBXReUxkHRoveaS7cw?e=bh2eNj" TargetMode="External"/><Relationship Id="rId323" Type="http://schemas.openxmlformats.org/officeDocument/2006/relationships/hyperlink" Target="../../../../:b:/p/finanzas/Eea3rSNG18lDmODkKE1YtZcBoFS-UKFhMU9Vj4_fply5xA?e=WKb33d" TargetMode="External"/><Relationship Id="rId344" Type="http://schemas.openxmlformats.org/officeDocument/2006/relationships/hyperlink" Target="../../../../:b:/p/finanzas/ETfS_MMlg_pBhYRqfZzHGvIBCxX2UQxdPsVCs9ayGZ5wEg?e=l0UPBk" TargetMode="External"/><Relationship Id="rId20" Type="http://schemas.openxmlformats.org/officeDocument/2006/relationships/hyperlink" Target="../../../:b:/p/finanzas/EdxNS69asYlPk5ozvvPqMdYBRbwWr5wLKxPvHHykWd4Vdg%3fe=rq1tRr" TargetMode="External"/><Relationship Id="rId41" Type="http://schemas.openxmlformats.org/officeDocument/2006/relationships/hyperlink" Target="../../../:b:/p/finanzas/EdKlqB9oQghAg1EBmP4LvxABd3I1tCHRyBppQ1pzeu_xKQ%3fe=7slJmb" TargetMode="External"/><Relationship Id="rId62" Type="http://schemas.openxmlformats.org/officeDocument/2006/relationships/hyperlink" Target="../../../:b:/p/finanzas/EfsREUk6TKlMplXJR0rus_ABlteyTlKLjGiTttAfPWTsRQ%3fe=WBOHx5" TargetMode="External"/><Relationship Id="rId83" Type="http://schemas.openxmlformats.org/officeDocument/2006/relationships/hyperlink" Target="../../../:b:/p/finanzas/EbzLGtXK9HpKvCa97bgQA2gB48HaM4eKDmZibDmaAnICXw%3fe=aQUna1" TargetMode="External"/><Relationship Id="rId179" Type="http://schemas.openxmlformats.org/officeDocument/2006/relationships/hyperlink" Target="../../../:b:/p/finanzas/EQgv_srxGrZOvs-uZuBlLtQB4SUCvx8O-2uSWqMPJYwlXw%3fe=RVNsU1" TargetMode="External"/><Relationship Id="rId365" Type="http://schemas.openxmlformats.org/officeDocument/2006/relationships/hyperlink" Target="../../../../:b:/p/finanzas/EQZEc9IILZ1NrzuSX5iYA44Bq0OiPP1QAChaVVxdQzPhaA?e=qKUUBG" TargetMode="External"/><Relationship Id="rId386" Type="http://schemas.openxmlformats.org/officeDocument/2006/relationships/hyperlink" Target="../../../../:b:/p/finanzas/ERLyyBAPEaFHhsZ6WAmWi1oBRxG2pXI8DvsGaXTg7a9W8Q?e=yZXNL4" TargetMode="External"/><Relationship Id="rId190" Type="http://schemas.openxmlformats.org/officeDocument/2006/relationships/hyperlink" Target="../../../:b:/p/finanzas/EVxPZhi4oP5Hh94iH7XMuV4BFzdPnC9nk82ncvWvOxAXqw%3fe=yMRYdN" TargetMode="External"/><Relationship Id="rId204" Type="http://schemas.openxmlformats.org/officeDocument/2006/relationships/hyperlink" Target="../../../:b:/p/finanzas/EZKlf8X6A2tHiKeGpu8jinABMQoCtZ5tQXJ3YBH1elzhqw%3fe=XrFXL6" TargetMode="External"/><Relationship Id="rId225" Type="http://schemas.openxmlformats.org/officeDocument/2006/relationships/hyperlink" Target="../../../:b:/p/finanzas/Eeotk-48Z0pNjFvhn9VzBHoBzlP_9bIoi_ddEb08O0uvvw?e=6h81kp" TargetMode="External"/><Relationship Id="rId246" Type="http://schemas.openxmlformats.org/officeDocument/2006/relationships/hyperlink" Target="../../../../:b:/p/finanzas/Eap7gWOb045GmDgpFCD606oBW4D8tx9lfkVm8giG-K3mLg?e=RLrE2P" TargetMode="External"/><Relationship Id="rId267" Type="http://schemas.openxmlformats.org/officeDocument/2006/relationships/hyperlink" Target="../../../../:b:/p/finanzas/EbroLtpS9jVAqohLpq4WHi0BkNYklhlhTykgqaTEf-ujyw?e=ZNlirI" TargetMode="External"/><Relationship Id="rId288" Type="http://schemas.openxmlformats.org/officeDocument/2006/relationships/hyperlink" Target="../../../../:b:/p/finanzas/EeffQjDky0ZCp4_gz6zMoUIBBnmruH12hCX8ioyYiRuo8g?e=kgatcj" TargetMode="External"/><Relationship Id="rId411" Type="http://schemas.openxmlformats.org/officeDocument/2006/relationships/hyperlink" Target="../../../../:b:/p/finanzas/EQDCYHVSYDpFqsondoInh9gBzztZxl1fCLdEc-dN6bJ5Zw?e=LyRbVH" TargetMode="External"/><Relationship Id="rId432" Type="http://schemas.openxmlformats.org/officeDocument/2006/relationships/hyperlink" Target="../../../../:b:/p/finanzas/Eb3wZU73cRBKignQOpdVS6sBfVmBtq1DBFRjlNSAbt6Bfg?e=eo0Txe" TargetMode="External"/><Relationship Id="rId453" Type="http://schemas.openxmlformats.org/officeDocument/2006/relationships/hyperlink" Target="../../../../:b:/p/finanzas/EePaiZIsNBZFtYyyxEgboMoBMqzG_B5y88y_4E07M388VA?e=qW8KgT" TargetMode="External"/><Relationship Id="rId474" Type="http://schemas.openxmlformats.org/officeDocument/2006/relationships/hyperlink" Target="../../../../:b:/p/finanzas/EbxluW3SSWVHoXnznkoMHncBnprfB2W_SgBUwipHYLE__w?e=4sj73l" TargetMode="External"/><Relationship Id="rId106" Type="http://schemas.openxmlformats.org/officeDocument/2006/relationships/hyperlink" Target="../../../:b:/p/finanzas/EYowrdMUp8JMtRxv6MFsOwkBoUVfJoBq2DV9rjp1_czrfg%3fe=1KcUI2" TargetMode="External"/><Relationship Id="rId127" Type="http://schemas.openxmlformats.org/officeDocument/2006/relationships/hyperlink" Target="../../../:b:/p/finanzas/ES0gITywKqhGqwenJjO94ckBm4vXkuMbikoEhHlXtBPOpA%3fe=okxWGt" TargetMode="External"/><Relationship Id="rId313" Type="http://schemas.openxmlformats.org/officeDocument/2006/relationships/hyperlink" Target="../../../../:b:/p/finanzas/EWedMvXzmHJDmUfKRHNyb-cBuO4X3w5KHUlMiq-44UTj_g?e=38aHta" TargetMode="External"/><Relationship Id="rId10" Type="http://schemas.openxmlformats.org/officeDocument/2006/relationships/hyperlink" Target="../../../:b:/p/finanzas/Ee6rpH16T1FAvmhoTJB5VhUBHsfqGbw9O7pKUwh7d7KLrg%3fe=dby5bD" TargetMode="External"/><Relationship Id="rId31" Type="http://schemas.openxmlformats.org/officeDocument/2006/relationships/hyperlink" Target="../../../:b:/p/finanzas/EVxlM6NHPidKkvqP3PaalwUBmlEXATxZJrt13C98FBHzdA%3fe=85ZFvO" TargetMode="External"/><Relationship Id="rId52" Type="http://schemas.openxmlformats.org/officeDocument/2006/relationships/hyperlink" Target="../../../:b:/p/finanzas/EWkOTRhkZYBHmZT43bgGFycByg_FZ5swJyGP0qAdXHvKOw%3fe=I3D4EP" TargetMode="External"/><Relationship Id="rId73" Type="http://schemas.openxmlformats.org/officeDocument/2006/relationships/hyperlink" Target="../../../:b:/p/finanzas/EcDzhgnQdIRIu81K1Mnc9jAB76jAyHj0UFmDC4kbdxa3gA%3fe=Vcbu8N" TargetMode="External"/><Relationship Id="rId94" Type="http://schemas.openxmlformats.org/officeDocument/2006/relationships/hyperlink" Target="../../../:b:/p/finanzas/EfyvJN2DI3FEsBwkgII5ZvkBBqHuJmpQLzvhFamSM5j7PA%3fe=zyHjKv" TargetMode="External"/><Relationship Id="rId148" Type="http://schemas.openxmlformats.org/officeDocument/2006/relationships/hyperlink" Target="../../../:b:/p/finanzas/ESF7lJzaxOBFk23g4EUGfhEBKmzdTvL_H7INwMlZAVctwg%3fe=eYaJdA" TargetMode="External"/><Relationship Id="rId169" Type="http://schemas.openxmlformats.org/officeDocument/2006/relationships/hyperlink" Target="../../../:b:/p/finanzas/EbsvCiTBAr9OrXR5H3uGRIsBDmMoQdCuLcVmQab7cbJ__g%3fe=MW55Kp" TargetMode="External"/><Relationship Id="rId334" Type="http://schemas.openxmlformats.org/officeDocument/2006/relationships/hyperlink" Target="../../../../:b:/p/finanzas/ERykTMu_T5ZNoTH6J2DpIJ0B881J68PRs7MIGyBaCQUGFQ?e=hsBp89" TargetMode="External"/><Relationship Id="rId355" Type="http://schemas.openxmlformats.org/officeDocument/2006/relationships/hyperlink" Target="../../../../:b:/p/finanzas/EdiCWVECd2RJq1UHTY-VbFMBeUZSNlREdt4QnjSNSRne-Q?e=Fg82JW" TargetMode="External"/><Relationship Id="rId376" Type="http://schemas.openxmlformats.org/officeDocument/2006/relationships/hyperlink" Target="../../../../:b:/p/finanzas/Edd75x7_P5JPn8aKPakeWKAB3oG7jpJ0l7pmLMrHOrkwmw?e=7RTZOa" TargetMode="External"/><Relationship Id="rId397" Type="http://schemas.openxmlformats.org/officeDocument/2006/relationships/hyperlink" Target="../../../../:b:/p/finanzas/EZ4fHoR-PDxKgCldKZ_O3PoBB-mXdG2awVkNtKK-Qy2NiQ?e=erTOdT" TargetMode="External"/><Relationship Id="rId4" Type="http://schemas.openxmlformats.org/officeDocument/2006/relationships/hyperlink" Target="../../../:b:/p/finanzas/EaKtCxc45ptAvmc2KLgrfywBREcdMDxwwmlEChyBtRd-iA%3fe=RGLpPH" TargetMode="External"/><Relationship Id="rId180" Type="http://schemas.openxmlformats.org/officeDocument/2006/relationships/hyperlink" Target="../../../:b:/p/finanzas/EfF12wf4yKFPoijv1ZRLWfgBMBw_hw33LaOoh2xXS8T41A%3fe=LB7q1r" TargetMode="External"/><Relationship Id="rId215" Type="http://schemas.openxmlformats.org/officeDocument/2006/relationships/hyperlink" Target="../../../:b:/p/finanzas/EYbA-1suCclAsL3mXFL2AFQBNBktLhpbJDWlnn7AWf-JwA%3fe=z8PKAf" TargetMode="External"/><Relationship Id="rId236" Type="http://schemas.openxmlformats.org/officeDocument/2006/relationships/hyperlink" Target="../../../../:b:/p/finanzas/EWQZ4G4uYxJFqqBvbQ4P0hMBRMEKdLD4G4gPsyH7YDoTXA?e=uL5kJu" TargetMode="External"/><Relationship Id="rId257" Type="http://schemas.openxmlformats.org/officeDocument/2006/relationships/hyperlink" Target="../../../../:b:/p/finanzas/EZXdpIUuy8FAqda-v-utuhEBslP3YX-pjTDZyd0FxLQJsg?e=j1BN0Z" TargetMode="External"/><Relationship Id="rId278" Type="http://schemas.openxmlformats.org/officeDocument/2006/relationships/hyperlink" Target="../../../../:b:/p/finanzas/EUcXgAEt0MNDs7zrgfbTq7MBcefOotmm6fSBu4Eaf2SWGg?e=mJfEfH" TargetMode="External"/><Relationship Id="rId401" Type="http://schemas.openxmlformats.org/officeDocument/2006/relationships/hyperlink" Target="../../../../:b:/p/finanzas/EY7zdE_D2tlMhQ479Z1tghwBO-7ypy9IE_3S0svBam_40g?e=Hf7Snc" TargetMode="External"/><Relationship Id="rId422" Type="http://schemas.openxmlformats.org/officeDocument/2006/relationships/hyperlink" Target="../../../../:b:/p/finanzas/ERREJNY4p2lLqs4l5tnWu1oBgaPA3tsNkqR0D713SQf3xw?e=hC3md1" TargetMode="External"/><Relationship Id="rId443" Type="http://schemas.openxmlformats.org/officeDocument/2006/relationships/hyperlink" Target="../../../../:b:/p/finanzas/ET4MPEOw5kJFp6pUKoF3wp0BTlESkzSNsrFHag0EkuJCcg?e=Uo9pPi" TargetMode="External"/><Relationship Id="rId464" Type="http://schemas.openxmlformats.org/officeDocument/2006/relationships/hyperlink" Target="../../../../:b:/p/finanzas/EUlL4pILwPdKnjsK-ukTuxMByew5-bX0sB1WTGxoEIqNIA?e=onQq91" TargetMode="External"/><Relationship Id="rId303" Type="http://schemas.openxmlformats.org/officeDocument/2006/relationships/hyperlink" Target="../../../../:b:/p/finanzas/EaVQjrQU_5ROlzTDmoqFKHIBPov60N6AduAHlWL6f1tFTQ?e=fmesJM" TargetMode="External"/><Relationship Id="rId42" Type="http://schemas.openxmlformats.org/officeDocument/2006/relationships/hyperlink" Target="../../../:b:/p/finanzas/EZEfnAmw5KVCjNe5gPazVIcBbmQdzsZRCj4fcbnB7W4u4g%3fe=7ToF9o" TargetMode="External"/><Relationship Id="rId84" Type="http://schemas.openxmlformats.org/officeDocument/2006/relationships/hyperlink" Target="../../../:b:/p/finanzas/EV5BdNmkzhRBnVYIG24P05oBsdVZZBSQ9DlxYzJn7v_k6A%3fe=3Japd3" TargetMode="External"/><Relationship Id="rId138" Type="http://schemas.openxmlformats.org/officeDocument/2006/relationships/hyperlink" Target="../../../:b:/p/finanzas/EbymtcBe_olEg_AMEOyfJp4BtsKR4IAX8wbwWtkzQSRJ0Q%3fe=bGY6wf" TargetMode="External"/><Relationship Id="rId345" Type="http://schemas.openxmlformats.org/officeDocument/2006/relationships/hyperlink" Target="../../../../:b:/p/finanzas/EQne2JINCwFLhzSTtLw6ZUYBku1omy_Zg6IP6KTJ1OKbRA?e=r3zRhT" TargetMode="External"/><Relationship Id="rId387" Type="http://schemas.openxmlformats.org/officeDocument/2006/relationships/hyperlink" Target="../../../../:b:/p/finanzas/EdLuUQI_vT9Iv4WWgVmrr7sB_XlhU-mQx2x3j49kCdnxCg?e=Gq4kJU" TargetMode="External"/><Relationship Id="rId191" Type="http://schemas.openxmlformats.org/officeDocument/2006/relationships/hyperlink" Target="../../../:b:/p/finanzas/ESH4nMTVCltCht1tyk6PO2wBarF7mGpY30Q67T7wure0JQ%3fe=LXMDVC" TargetMode="External"/><Relationship Id="rId205" Type="http://schemas.openxmlformats.org/officeDocument/2006/relationships/hyperlink" Target="../../../:b:/p/finanzas/EUVD0C-ju-BLtstiIaaDvHIByPevx0WEokmLw5EoJMKpXw%3fe=ucTnQz" TargetMode="External"/><Relationship Id="rId247" Type="http://schemas.openxmlformats.org/officeDocument/2006/relationships/hyperlink" Target="../../../../:b:/p/finanzas/EUMAe4DG0NVCq0qNNxXv_R0Bms6K8dEHPYtXv03C8eOSSg?e=LTS5Sh" TargetMode="External"/><Relationship Id="rId412" Type="http://schemas.openxmlformats.org/officeDocument/2006/relationships/hyperlink" Target="../../../../:b:/p/finanzas/EYppQKmer49DmtQPreepULkB-vyCrUG6ktn4HUWTS9HCkg?e=abR3B8" TargetMode="External"/><Relationship Id="rId107" Type="http://schemas.openxmlformats.org/officeDocument/2006/relationships/hyperlink" Target="../../../:b:/p/finanzas/EX50_h85NVRLmPzGSLQK3QQBLUAFlNRyuX0WCdeHv-f_Yg%3fe=5kG9e2" TargetMode="External"/><Relationship Id="rId289" Type="http://schemas.openxmlformats.org/officeDocument/2006/relationships/hyperlink" Target="../../../../:b:/p/finanzas/EZdPlbg25gZDvzoz6F0e5T4BTNUnxD5P04_-aS7kc9Vwtg?e=jFQ7Op" TargetMode="External"/><Relationship Id="rId454" Type="http://schemas.openxmlformats.org/officeDocument/2006/relationships/hyperlink" Target="../../../../:b:/p/finanzas/EclSAaYLEhRLv7cfeKU94BUB1BjZFioM3cJ3wFo_V0UV6g?e=jZfUR8" TargetMode="External"/><Relationship Id="rId11" Type="http://schemas.openxmlformats.org/officeDocument/2006/relationships/hyperlink" Target="../../../:b:/p/finanzas/EZxv5OVQ1tNGnd71-QlkkJkBWjCO9gA5_Kv7cG1D-2W_xA%3fe=Uvve89" TargetMode="External"/><Relationship Id="rId53" Type="http://schemas.openxmlformats.org/officeDocument/2006/relationships/hyperlink" Target="../../../:b:/p/finanzas/ES6LdIRb4itItsanrEKE1wABu5cUDz2KfmwVnqaegos5mw%3fe=HISbt8" TargetMode="External"/><Relationship Id="rId149" Type="http://schemas.openxmlformats.org/officeDocument/2006/relationships/hyperlink" Target="../../../:b:/p/finanzas/EfKdUQkQ1M9Lv9Y7CbVrtVQBNMAXLzC96oG3WuPq3jk6jA%3fe=bs0Ohf" TargetMode="External"/><Relationship Id="rId314" Type="http://schemas.openxmlformats.org/officeDocument/2006/relationships/hyperlink" Target="../../../../:b:/p/finanzas/EZruCGGTr6NDqVJN2aFQyqkBIIw3_6jsI_gifHD8W0s5hw?e=FJj8YB" TargetMode="External"/><Relationship Id="rId356" Type="http://schemas.openxmlformats.org/officeDocument/2006/relationships/hyperlink" Target="../../../../:b:/p/finanzas/EShqPdS1zDBPrKGMISZLesoBoSqHRNEFO6At-5kJo2dydg?e=KnAsje" TargetMode="External"/><Relationship Id="rId398" Type="http://schemas.openxmlformats.org/officeDocument/2006/relationships/hyperlink" Target="../../../../:b:/p/finanzas/ETOT29Pi_DdAgTcidghPQkkBlbznBd00uG3stulmjysXVw?e=Wf7ShU" TargetMode="External"/><Relationship Id="rId95" Type="http://schemas.openxmlformats.org/officeDocument/2006/relationships/hyperlink" Target="../../../:b:/p/finanzas/EaFIX_ZZHNBCldNkfRuS8qwBINUDIs3t-0-7e41tgOmBXw%3fe=sDiXue" TargetMode="External"/><Relationship Id="rId160" Type="http://schemas.openxmlformats.org/officeDocument/2006/relationships/hyperlink" Target="../../../:b:/p/finanzas/EWa8rwlGHNREs-q1BjpoWawBGCl1WWwSegWYwtuxmD3BYA%3fe=x9bocf" TargetMode="External"/><Relationship Id="rId216" Type="http://schemas.openxmlformats.org/officeDocument/2006/relationships/hyperlink" Target="../../../:b:/p/finanzas/EUCqxH-PLAhJmUcDOT-MznYBDvMNYxvYcN9E35otjKc3_A?e=CRotBR" TargetMode="External"/><Relationship Id="rId423" Type="http://schemas.openxmlformats.org/officeDocument/2006/relationships/hyperlink" Target="../../../../:b:/p/finanzas/ET1X84bMB6xOiTbBndID6rEBbavClA255Lp3nKp0B50srg?e=BtdVbY" TargetMode="External"/><Relationship Id="rId258" Type="http://schemas.openxmlformats.org/officeDocument/2006/relationships/hyperlink" Target="../../../../:b:/p/finanzas/EQL5tFLmqsJDtfURw5UhVMIBE1yikGHoXRm6Y1XD-gZqAw?e=L7t3Qz" TargetMode="External"/><Relationship Id="rId465" Type="http://schemas.openxmlformats.org/officeDocument/2006/relationships/hyperlink" Target="../../../../:b:/p/finanzas/ESufVelEOWRNjl-agU64N9ABhmveYvfWpSBKb4znN9c_zw?e=WbzyZ9" TargetMode="External"/><Relationship Id="rId22" Type="http://schemas.openxmlformats.org/officeDocument/2006/relationships/hyperlink" Target="../../../:b:/p/finanzas/EQJ9pwr9UY5Mh7Gu01lL_fcBNJeYRUaORh6apG7p4louWw%3fe=0D3Lem" TargetMode="External"/><Relationship Id="rId64" Type="http://schemas.openxmlformats.org/officeDocument/2006/relationships/hyperlink" Target="../../../:b:/p/finanzas/ERpEVP5YV9tPmb5CYXDdiYkBDa7RzerWnyj4c4CguHOmLQ" TargetMode="External"/><Relationship Id="rId118" Type="http://schemas.openxmlformats.org/officeDocument/2006/relationships/hyperlink" Target="../../../:b:/p/finanzas/ESenmR85XIJAmWfBs890t2MBbXITipxQa_s49G6qZhn-Sg%3fe=AMrdOr" TargetMode="External"/><Relationship Id="rId325" Type="http://schemas.openxmlformats.org/officeDocument/2006/relationships/hyperlink" Target="../../../../:b:/p/finanzas/EWCp5-WmMJ5NktRf74TMa_8B5M5D2cV4-W4-NFwmpIHXPQ?e=GyJ8EP" TargetMode="External"/><Relationship Id="rId367" Type="http://schemas.openxmlformats.org/officeDocument/2006/relationships/hyperlink" Target="../../../../:b:/p/finanzas/EbYchOJoxidIiT81_fT_Z6ABSNNJLGEQiRyukytwlsRu_w?e=juPXrH" TargetMode="External"/><Relationship Id="rId171" Type="http://schemas.openxmlformats.org/officeDocument/2006/relationships/hyperlink" Target="../../../:b:/p/finanzas/EY2HOplLVkhImd4NJ92sCIAB2ewLO2TGaCjfrizIMrwZyQ%3fe=va17SL" TargetMode="External"/><Relationship Id="rId227" Type="http://schemas.openxmlformats.org/officeDocument/2006/relationships/hyperlink" Target="../../../:b:/p/finanzas/EcE62y32NPpHsJdHDEmjEnEBENL6a0w3BNd-Us63p6sDwQ?e=g1pivQ" TargetMode="External"/><Relationship Id="rId269" Type="http://schemas.openxmlformats.org/officeDocument/2006/relationships/hyperlink" Target="../../../../:b:/p/finanzas/EfPqodLOm0pDvxl3VaXOyg0B0EfrMSxUFIi_bZwb9wUX8g?e=ClAB79" TargetMode="External"/><Relationship Id="rId434" Type="http://schemas.openxmlformats.org/officeDocument/2006/relationships/hyperlink" Target="../../../../:b:/p/finanzas/EXESDArcMT1HkSJMzUIeiKgBkk5RB1lgrzvRdtTjw2JJrw?e=3fVsRc" TargetMode="External"/><Relationship Id="rId476" Type="http://schemas.openxmlformats.org/officeDocument/2006/relationships/hyperlink" Target="../../../../:b:/p/finanzas/EX3q46TUZkBNtroHADfwkn8BepAYHPDU8gh9Xm0nY2QSOQ?e=M9QFlH" TargetMode="External"/><Relationship Id="rId33" Type="http://schemas.openxmlformats.org/officeDocument/2006/relationships/hyperlink" Target="../../../:b:/p/finanzas/ETzqk0qUSpRMhENP8D7zCZ4BvPvUUEHn6yOMY26ZqLMgPg%3fe=iYHrH2" TargetMode="External"/><Relationship Id="rId129" Type="http://schemas.openxmlformats.org/officeDocument/2006/relationships/hyperlink" Target="../../../:b:/p/finanzas/EUbPL0kvHIVLsUCIEkjfL3IBj7BbkkjLB_vpaQkgejhF9Q%3fe=waao8n" TargetMode="External"/><Relationship Id="rId280" Type="http://schemas.openxmlformats.org/officeDocument/2006/relationships/hyperlink" Target="../../../../:b:/p/finanzas/Eb5IIDb46QtJgCL65IW1QrYBKHDMGgxjck7YdGoCdT0gEA?e=MtBlrG" TargetMode="External"/><Relationship Id="rId336" Type="http://schemas.openxmlformats.org/officeDocument/2006/relationships/hyperlink" Target="../../../../:b:/p/finanzas/EUMTfXPWrHxHnLOLJW6itjIBuQZT2FjfRVrfuFnR6Dp-_g?e=wFMiZg" TargetMode="External"/><Relationship Id="rId75" Type="http://schemas.openxmlformats.org/officeDocument/2006/relationships/hyperlink" Target="../../../:b:/p/finanzas/Ef4me-Y9OwBAr1pyL-v7b-0BgINwDTKwEd5OFsgmTaVacw%3fe=5csRFK" TargetMode="External"/><Relationship Id="rId140" Type="http://schemas.openxmlformats.org/officeDocument/2006/relationships/hyperlink" Target="../../../:b:/p/finanzas/EemIwWax0bFBuXtSnNWhmA8BPSKupapcEohsSPOuhIzMJA%3fe=otbFO3" TargetMode="External"/><Relationship Id="rId182" Type="http://schemas.openxmlformats.org/officeDocument/2006/relationships/hyperlink" Target="../../../:b:/p/finanzas/EZNYuhg_OThIkrsnhuQC9WIBVWlVzaHX8qnFu63vcSBW5w%3fe=G3n90l" TargetMode="External"/><Relationship Id="rId378" Type="http://schemas.openxmlformats.org/officeDocument/2006/relationships/hyperlink" Target="../../../../:b:/p/finanzas/EcptHLzibT5CuDxUB5S_YuwBre4jS3y9N10T-J7y3PvKTw?e=RStOgO" TargetMode="External"/><Relationship Id="rId403" Type="http://schemas.openxmlformats.org/officeDocument/2006/relationships/hyperlink" Target="../../../../:b:/p/finanzas/ET8LeQsmoGVLr4U10SdsR1cB6KCR-d6FufnH7zPNN6OksQ?e=ZN09Wn" TargetMode="External"/><Relationship Id="rId6" Type="http://schemas.openxmlformats.org/officeDocument/2006/relationships/hyperlink" Target="../../../:b:/p/finanzas/EefbsmDs0DtLpe3VArWd8LAB75HnjUSHoJbR2J2sbyKCrQ%3fe=qLra8k" TargetMode="External"/><Relationship Id="rId238" Type="http://schemas.openxmlformats.org/officeDocument/2006/relationships/hyperlink" Target="../../../../:b:/p/finanzas/ET87oTGKdcxEhkeZ__KckA4BTPH4Hz3GBq5aQWJPvOn_jg?e=GRn06Y" TargetMode="External"/><Relationship Id="rId445" Type="http://schemas.openxmlformats.org/officeDocument/2006/relationships/hyperlink" Target="../../../../:b:/p/finanzas/EZ30v7vwIaFNjf5d1lb6E0YBfo6j4izhZbcYtIcihHKA-w?e=bNPrPi" TargetMode="External"/><Relationship Id="rId291" Type="http://schemas.openxmlformats.org/officeDocument/2006/relationships/hyperlink" Target="../../../../:b:/p/finanzas/EYtgxSc58VZEiJf5nZCHKxABmrcEOxL9s39e6uzjytAzRw?e=So7VCS" TargetMode="External"/><Relationship Id="rId305" Type="http://schemas.openxmlformats.org/officeDocument/2006/relationships/hyperlink" Target="../../../../:b:/p/finanzas/EXM9r_8PjNxIgdQ1XFkdvz4BdPjXVa4SM8mkoMXSXs2oLQ?e=IK2TsQ" TargetMode="External"/><Relationship Id="rId347" Type="http://schemas.openxmlformats.org/officeDocument/2006/relationships/hyperlink" Target="../../../../:b:/p/finanzas/EW9kdyajA6RLmz6S-yMze1oB2kIp7_bHjFGfxdGGtboI2A?e=mhHS4Z" TargetMode="External"/><Relationship Id="rId44" Type="http://schemas.openxmlformats.org/officeDocument/2006/relationships/hyperlink" Target="../../../:b:/p/finanzas/ESAjhhvlfuNBi4lyaXoq35MBR11V_FmdiE38jYVMKoDSvQ%3fe=rbAvWk" TargetMode="External"/><Relationship Id="rId86" Type="http://schemas.openxmlformats.org/officeDocument/2006/relationships/hyperlink" Target="../../../:b:/p/finanzas/ERNStyRwOSRKhsW_wbMxe5kBB7Y1SuvgRgN-zyElvaOGJg%3fe=IGa97p" TargetMode="External"/><Relationship Id="rId151" Type="http://schemas.openxmlformats.org/officeDocument/2006/relationships/hyperlink" Target="../../../:b:/p/finanzas/EcBYUfVMHyJNplE_tqsnbBUB3FD4xdhQUru_uWqU93A1SA%3fe=ETVRrP" TargetMode="External"/><Relationship Id="rId389" Type="http://schemas.openxmlformats.org/officeDocument/2006/relationships/hyperlink" Target="../../../../:b:/p/finanzas/ETUumxbg6OBNndJkQ4XR28UBJ7-D2YgTRINsFkGv81Hwzg?e=VHdxCN" TargetMode="External"/><Relationship Id="rId193" Type="http://schemas.openxmlformats.org/officeDocument/2006/relationships/hyperlink" Target="../../../:b:/p/finanzas/EcGqCkDZBTJOtk7SU1UCJgcBpdsfC5_Se7EVCGY8eqcliA%3fe=PySroa" TargetMode="External"/><Relationship Id="rId207" Type="http://schemas.openxmlformats.org/officeDocument/2006/relationships/hyperlink" Target="../../../:b:/p/finanzas/EXn8uQm3VrFMtPjOTtBex_cB0IXKerv3d8MvSW2hAGvDYg%3fe=pamo8H" TargetMode="External"/><Relationship Id="rId249" Type="http://schemas.openxmlformats.org/officeDocument/2006/relationships/hyperlink" Target="../../../../:b:/p/finanzas/EVPOKNxguFFGo4GBW1Z-54cBElCUFQlLS2u4-qR_h3KrMQ?e=HbmvZl" TargetMode="External"/><Relationship Id="rId414" Type="http://schemas.openxmlformats.org/officeDocument/2006/relationships/hyperlink" Target="../../../../:b:/p/finanzas/ESnAmZ-4JahAkI9dfcU-YMAB44xawOAfgwzAWmn__xlsxw?e=WEZ31K" TargetMode="External"/><Relationship Id="rId456" Type="http://schemas.openxmlformats.org/officeDocument/2006/relationships/hyperlink" Target="../../../../:b:/p/finanzas/EfEVzOnyC29PrNPPJmDoK0IBGBB0YaqX6JWwxHGQhI3Bwg?e=HuZJw9" TargetMode="External"/><Relationship Id="rId13" Type="http://schemas.openxmlformats.org/officeDocument/2006/relationships/hyperlink" Target="../../../:b:/p/finanzas/EQqIS89zdYtGmXcnn86nOEcBd5alSI0Vc3hutkhxq7axIQ%3fe=jjsw1J" TargetMode="External"/><Relationship Id="rId109" Type="http://schemas.openxmlformats.org/officeDocument/2006/relationships/hyperlink" Target="../../../:b:/p/finanzas/EYZKdOxFU2hEhY3KFA0Ae1QBU3ylg-vd3O3zMmcWtWnx7w%3fe=j53eN3" TargetMode="External"/><Relationship Id="rId260" Type="http://schemas.openxmlformats.org/officeDocument/2006/relationships/hyperlink" Target="../../../../:b:/p/finanzas/EfbqWtpG4npAo0wyIVN7vpYBK_cDVfsaPdV2QgE3FQSTXg?e=Th3qbd" TargetMode="External"/><Relationship Id="rId316" Type="http://schemas.openxmlformats.org/officeDocument/2006/relationships/hyperlink" Target="../../../../:b:/p/finanzas/ERnYEO6s3LBArW1W8OPxF6MBf4DWHU9oAKWOs4mtq5buNQ?e=8Xcb91" TargetMode="External"/><Relationship Id="rId55" Type="http://schemas.openxmlformats.org/officeDocument/2006/relationships/hyperlink" Target="../../../:b:/p/finanzas/EbNIgTLyZ1JAlw8thcV3krkBMo-7pbNi77aKBAghqGLaoA%3fe=A7Fygu" TargetMode="External"/><Relationship Id="rId97" Type="http://schemas.openxmlformats.org/officeDocument/2006/relationships/hyperlink" Target="../../../:b:/p/finanzas/Ec26qUycvARAtNa9YyYTMwUBYYU0H2LW4BDrDwm2Ye-GRQ%3fe=cb2Qih" TargetMode="External"/><Relationship Id="rId120" Type="http://schemas.openxmlformats.org/officeDocument/2006/relationships/hyperlink" Target="../../../:b:/p/finanzas/EbPHUljP-vtFl4eoWLv9fqoBVNFXfHItNl8nL9l1ClftrQ%3fe=rCUX2W" TargetMode="External"/><Relationship Id="rId358" Type="http://schemas.openxmlformats.org/officeDocument/2006/relationships/hyperlink" Target="../../../../:b:/p/finanzas/EfkXKzjDH-VIjL5n5nlXIT4Bk0W-dhdFIQ19-PmSJHcQIg?e=A4KtU9" TargetMode="External"/><Relationship Id="rId162" Type="http://schemas.openxmlformats.org/officeDocument/2006/relationships/hyperlink" Target="../../../:b:/p/finanzas/Ef8MFJpSlzlPtXaQX6smSdQBWNSec1lognpJiuS6pf0Xzw%3fe=gNWCLu" TargetMode="External"/><Relationship Id="rId218" Type="http://schemas.openxmlformats.org/officeDocument/2006/relationships/hyperlink" Target="../../../:b:/p/finanzas/ETG8yQfogK9NiYRbAA9Ads8B_dNtT252rU7rnHPEcwqbTA?e=btUesj" TargetMode="External"/><Relationship Id="rId425" Type="http://schemas.openxmlformats.org/officeDocument/2006/relationships/hyperlink" Target="../../../../:b:/p/finanzas/Ea-vUWYr1M1NuQ1CJU0CoFQBzV6NCOoDTwzVxGYN5gYD7Q?e=7WYrgM" TargetMode="External"/><Relationship Id="rId467" Type="http://schemas.openxmlformats.org/officeDocument/2006/relationships/hyperlink" Target="../../../../:b:/p/finanzas/EVp78o58XyFFqZxQpkSpFXEBfXECaKeb3Yaq7b3yLZPoQg?e=WJU270" TargetMode="External"/><Relationship Id="rId271" Type="http://schemas.openxmlformats.org/officeDocument/2006/relationships/hyperlink" Target="../../../../:b:/p/finanzas/EV9ZJn7wL15FkRs0s7Hsf2MB0dNA6kqkq21MTMTsWeLv7w?e=opka8R" TargetMode="External"/><Relationship Id="rId24" Type="http://schemas.openxmlformats.org/officeDocument/2006/relationships/hyperlink" Target="../../../:b:/p/finanzas/EZWTm86v0g9DtZoIJ5dveIkBauwgyeRq1e8Suh1Kf2KKMA%3fe=HOl8wE" TargetMode="External"/><Relationship Id="rId66" Type="http://schemas.openxmlformats.org/officeDocument/2006/relationships/hyperlink" Target="../../../:b:/p/finanzas/Ec5oXlW6Gp5KpQOSWMO41g4Brs2VY6xGLTI4hxN1bJTEdQ%3fe=152mmi" TargetMode="External"/><Relationship Id="rId131" Type="http://schemas.openxmlformats.org/officeDocument/2006/relationships/hyperlink" Target="../../../:b:/p/finanzas/EeL8nlVepTBBuKxFuwYxC9UB7BxKI6nzIgttnYqGkJ3J1w%3fe=G36Iyf" TargetMode="External"/><Relationship Id="rId327" Type="http://schemas.openxmlformats.org/officeDocument/2006/relationships/hyperlink" Target="../../../../:b:/p/finanzas/EaMcke8vr9VEmi85TCVoHzIBpvmhwQMgU4GktRTP4Oa6Pg?e=BhqqEN" TargetMode="External"/><Relationship Id="rId369" Type="http://schemas.openxmlformats.org/officeDocument/2006/relationships/hyperlink" Target="../../../../:b:/p/finanzas/ERCtbBGxp2BPk8xVzXePbmYBytg4JWS5ujEmjjrB4suAQQ?e=gc7gKA" TargetMode="External"/><Relationship Id="rId173" Type="http://schemas.openxmlformats.org/officeDocument/2006/relationships/hyperlink" Target="../../../:b:/p/finanzas/EUsI9u2cd_5IsFxtWj8ga9kBdy1_kQSGzgDoYyUzPRF_JA%3fe=TwNvFn" TargetMode="External"/><Relationship Id="rId229" Type="http://schemas.openxmlformats.org/officeDocument/2006/relationships/hyperlink" Target="../../../:b:/p/finanzas/EVuq0IO6KBRGiDiUB3nQPMoBX4_GLgsfpzBEzNX_wLOhFg?e=oveVrE" TargetMode="External"/><Relationship Id="rId380" Type="http://schemas.openxmlformats.org/officeDocument/2006/relationships/hyperlink" Target="../../../../:b:/p/finanzas/Efn5lKb9jJZDsTsaMLdbnpEBjNzCtuQyhPq9IViaKIH8wA?e=Sn0uNZ" TargetMode="External"/><Relationship Id="rId436" Type="http://schemas.openxmlformats.org/officeDocument/2006/relationships/hyperlink" Target="../../../../:b:/p/finanzas/EZj8NpvaWBRKpRCuEekjD34B_6fG743OBQfDjksBGsRbqg?e=PNBeK3" TargetMode="External"/><Relationship Id="rId240" Type="http://schemas.openxmlformats.org/officeDocument/2006/relationships/hyperlink" Target="../../../../:b:/p/finanzas/Ee6nrhdf0PNLkXqDfmTWOFYB_N0-gSdFRUErDPwAFLgtFw?e=sHlZ0b" TargetMode="External"/><Relationship Id="rId478" Type="http://schemas.openxmlformats.org/officeDocument/2006/relationships/hyperlink" Target="../../../../:b:/p/finanzas/EamtWrWn8UNPmUDiTQRM8ncBR8Je9bPwAf8D9jSXOEXWDA?e=018w7j" TargetMode="External"/><Relationship Id="rId35" Type="http://schemas.openxmlformats.org/officeDocument/2006/relationships/hyperlink" Target="../../../:b:/p/finanzas/EdCYmvzZEW1JmdWGStQfIJcB_GyB67wYC4FoREGVZE4DBg%3fe=LgD0qr" TargetMode="External"/><Relationship Id="rId77" Type="http://schemas.openxmlformats.org/officeDocument/2006/relationships/hyperlink" Target="../../../:b:/p/finanzas/ETiiE73u_H5JuKUcYRAxh3IBBrj7KKTYh-TyvXK_58haWg%3fe=Ihiuhy" TargetMode="External"/><Relationship Id="rId100" Type="http://schemas.openxmlformats.org/officeDocument/2006/relationships/hyperlink" Target="../../../:b:/p/finanzas/EWT0GtjFci1HttwUSRj6qaoB1dkiwPi7wFcqzt8j6bHqXQ%3fe=js4AYC" TargetMode="External"/><Relationship Id="rId282" Type="http://schemas.openxmlformats.org/officeDocument/2006/relationships/hyperlink" Target="../../../../:b:/p/finanzas/EZKDJYjtdzNOvUJ5bwu7UgIBpBpLseI0KDSGZHu32lTLGQ?e=rIjKwn" TargetMode="External"/><Relationship Id="rId338" Type="http://schemas.openxmlformats.org/officeDocument/2006/relationships/hyperlink" Target="../../../../:b:/p/finanzas/EWgNEDutKKVDl3lf7TV6xwcBtKiX_1wyH4_I0jVuqx0jog?e=9IcREr" TargetMode="External"/><Relationship Id="rId8" Type="http://schemas.openxmlformats.org/officeDocument/2006/relationships/hyperlink" Target="../../../:b:/p/finanzas/EWtUYr4Q2MpCja3xrqKp48IB9A42He78FGywWVlJ4nkYnA%3fe=aCWnjc" TargetMode="External"/><Relationship Id="rId142" Type="http://schemas.openxmlformats.org/officeDocument/2006/relationships/hyperlink" Target="../../../:b:/p/finanzas/EViNYOzgVfJJvnc8rI-LGsoBRYSwDlB_pLd2YpO_Y1UXsg%3fe=jfeMOk" TargetMode="External"/><Relationship Id="rId184" Type="http://schemas.openxmlformats.org/officeDocument/2006/relationships/hyperlink" Target="../../../:b:/p/finanzas/EcGqCkDZBTJOtk7SU1UCJgcBpdsfC5_Se7EVCGY8eqcliA%3fe=35gMEz" TargetMode="External"/><Relationship Id="rId391" Type="http://schemas.openxmlformats.org/officeDocument/2006/relationships/hyperlink" Target="../../../../:b:/p/finanzas/ERO6DVqIPtlNsRk6DBA6P1UBeju-nRh2khvmyDaLyezyDg?e=zamdha" TargetMode="External"/><Relationship Id="rId405" Type="http://schemas.openxmlformats.org/officeDocument/2006/relationships/hyperlink" Target="../../../../:b:/p/finanzas/EeyVTLphA7dOq8PvmC6LNfcBx8OnQWtH5Z1esUoaL2Xmdw?e=yWLQmd" TargetMode="External"/><Relationship Id="rId447" Type="http://schemas.openxmlformats.org/officeDocument/2006/relationships/hyperlink" Target="../../../../:b:/p/finanzas/EcVci7lDoIFEnf525Q7cYm0BBo5GWK21vnt4XJVhqnEjyA?e=sd4fe5" TargetMode="External"/><Relationship Id="rId251" Type="http://schemas.openxmlformats.org/officeDocument/2006/relationships/hyperlink" Target="../../../../:b:/p/finanzas/EbBdS0vsivVAm4QM0VkpAsoBItF1ldC3-WOiq8MlK9j2cQ?e=hBvkAy" TargetMode="External"/><Relationship Id="rId46" Type="http://schemas.openxmlformats.org/officeDocument/2006/relationships/hyperlink" Target="../../../:b:/p/finanzas/EY2Jm4ngTLtPndbTCZlrSusBLh9DRXaleHbjHU1ECklzag%3fe=N1dZoP" TargetMode="External"/><Relationship Id="rId293" Type="http://schemas.openxmlformats.org/officeDocument/2006/relationships/hyperlink" Target="../../../../:b:/p/finanzas/EQB4al8Xx_NKqJ-oiZLd5JwBM08yMJfXXGeDM8rE1URA6g?e=N7W88I" TargetMode="External"/><Relationship Id="rId307" Type="http://schemas.openxmlformats.org/officeDocument/2006/relationships/hyperlink" Target="../../../../:b:/p/finanzas/EbKfXafQbsdHiayBwqIkZU0B54jLgneHyVe8-xuEh0hV8Q?e=Wimv8M" TargetMode="External"/><Relationship Id="rId349" Type="http://schemas.openxmlformats.org/officeDocument/2006/relationships/hyperlink" Target="../../../../:b:/p/finanzas/EQBZjqr72v5JruDxHRhyakYBz_xmEsDoStzEor_eETYtQg?e=iM6tmD" TargetMode="External"/><Relationship Id="rId88" Type="http://schemas.openxmlformats.org/officeDocument/2006/relationships/hyperlink" Target="../../../:b:/p/finanzas/Efa7c6CZoLtBkVOz92c2GV8BihTHaoK3SeCQNLETjYK7Ow%3fe=eoHhvt" TargetMode="External"/><Relationship Id="rId111" Type="http://schemas.openxmlformats.org/officeDocument/2006/relationships/hyperlink" Target="../../../:b:/p/finanzas/Ee71I6EeMg1Hoki4FALXWoYBs65n-YflvE3bbHe7XB6LQQ%3fe=cmldJV" TargetMode="External"/><Relationship Id="rId153" Type="http://schemas.openxmlformats.org/officeDocument/2006/relationships/hyperlink" Target="../../../:b:/p/finanzas/EUgQnI2WQKNDrmpGFxgaoagBJXy_x9SgJEHBx62wMY-2Sw%3fe=h17jaN" TargetMode="External"/><Relationship Id="rId195" Type="http://schemas.openxmlformats.org/officeDocument/2006/relationships/hyperlink" Target="../../../:b:/p/finanzas/EaIsWpHH-IxAk5uoO3R8u6ABqF_jc1jEFpcYOQ-HrR-Erg%3fe=ibVLTp" TargetMode="External"/><Relationship Id="rId209" Type="http://schemas.openxmlformats.org/officeDocument/2006/relationships/hyperlink" Target="../../../:b:/p/finanzas/EXMY7RT2TCBJsgqz_HCNjNwBWNFzH3niNGNc93BPwHgBNg%3fe=hdwPS5" TargetMode="External"/><Relationship Id="rId360" Type="http://schemas.openxmlformats.org/officeDocument/2006/relationships/hyperlink" Target="../../../../:b:/p/finanzas/Ea2GkYp03TNEunuXSMY-KjIBk3l3nXaWbR3wMClG2AgPYw?e=eOYmzx" TargetMode="External"/><Relationship Id="rId416" Type="http://schemas.openxmlformats.org/officeDocument/2006/relationships/hyperlink" Target="../../../../:b:/p/finanzas/EQLMF5GU-CtBnWcSxTUpAVIBlQ19d5VNUb_y0t2pbwcQOQ?e=DiCehW" TargetMode="External"/><Relationship Id="rId220" Type="http://schemas.openxmlformats.org/officeDocument/2006/relationships/hyperlink" Target="../../../:b:/p/finanzas/EabTOhIGWoROihYXw60bdaUBxnTF3JyvJMl2Fygf8Y3aAA?e=KeFjIT" TargetMode="External"/><Relationship Id="rId458" Type="http://schemas.openxmlformats.org/officeDocument/2006/relationships/hyperlink" Target="../../../../:b:/p/finanzas/EQjcDML7CCFKvrSzZbAd284Bujavr2T69nCsZdIuYOs0Fw?e=caZtuF" TargetMode="External"/><Relationship Id="rId15" Type="http://schemas.openxmlformats.org/officeDocument/2006/relationships/hyperlink" Target="../../../:b:/p/finanzas/ESmNK8_zNx9GqBLS6ZqGtoIBOufwmhvKhzP_eYMLSuxeyA%3fe=phJ8yl" TargetMode="External"/><Relationship Id="rId57" Type="http://schemas.openxmlformats.org/officeDocument/2006/relationships/hyperlink" Target="../../../:b:/p/finanzas/Eb_xHWMeOAlDm99EzCQJo2wBzs_95X0UBnI7Nbld3jzrGA%3fe=edzbIn" TargetMode="External"/><Relationship Id="rId262" Type="http://schemas.openxmlformats.org/officeDocument/2006/relationships/hyperlink" Target="../../../../:b:/p/finanzas/EZ6wUMXju5NHqNywZrorvroBhKmDM49NdSHfuaiC8iADCg?e=ZGrpBl" TargetMode="External"/><Relationship Id="rId318" Type="http://schemas.openxmlformats.org/officeDocument/2006/relationships/hyperlink" Target="../../../../:b:/p/finanzas/EfnM1tDCvT1BomzGTmLv4-oBDTXaASU33U9Lpaff2Ni5dw?e=9l82zi" TargetMode="External"/><Relationship Id="rId99" Type="http://schemas.openxmlformats.org/officeDocument/2006/relationships/hyperlink" Target="../../../:b:/p/finanzas/ES0gS_g60o5PtbkEcgkJrEMBs8sxfIXX4RkvjrZMIW19Xw%3fe=t1XTJG" TargetMode="External"/><Relationship Id="rId122" Type="http://schemas.openxmlformats.org/officeDocument/2006/relationships/hyperlink" Target="../../../:b:/p/finanzas/ET_YN7QJscJFtXw33OjCklUB73JrEv3whpU5enoC0vGvaw%3fe=OWWyOV" TargetMode="External"/><Relationship Id="rId164" Type="http://schemas.openxmlformats.org/officeDocument/2006/relationships/hyperlink" Target="../../../:b:/p/finanzas/EW8YE8GkxvZIqXZInU130LgBE6H1kagwiR4p-fp74LQheg%3fe=xcOniD" TargetMode="External"/><Relationship Id="rId371" Type="http://schemas.openxmlformats.org/officeDocument/2006/relationships/hyperlink" Target="../../../../:b:/p/finanzas/EV4FAnA394hNr3BHMPZ-D4ABPCI-U4MdnFunzGDqG7hP0g?e=Yzq7rO" TargetMode="External"/><Relationship Id="rId427" Type="http://schemas.openxmlformats.org/officeDocument/2006/relationships/hyperlink" Target="../../../../:b:/p/finanzas/EWLbIdiSN_dIvBlKiv2MZE4BI7e1IJ4vQJhrNy8_QydK9w?e=s8UHTC" TargetMode="External"/><Relationship Id="rId469" Type="http://schemas.openxmlformats.org/officeDocument/2006/relationships/hyperlink" Target="../../../../:b:/p/finanzas/EUOFi6QcU3lBk4avQIJpbWcBFliO_j11_WHDDzInBa5SyQ?e=OLVyxi" TargetMode="External"/><Relationship Id="rId26" Type="http://schemas.openxmlformats.org/officeDocument/2006/relationships/hyperlink" Target="../../../:b:/p/finanzas/EUODplUEwulJgJ7Nk8vOnTkBaart-xy0-LDeK2yi3tOheQ%3fe=6m5mbc" TargetMode="External"/><Relationship Id="rId231" Type="http://schemas.openxmlformats.org/officeDocument/2006/relationships/hyperlink" Target="../../../../:b:/p/finanzas/EYaa6zR3yQFEr99WbEV4M9oByDlqUPQePM97tsw65KRg4A?e=cS3sx2" TargetMode="External"/><Relationship Id="rId273" Type="http://schemas.openxmlformats.org/officeDocument/2006/relationships/hyperlink" Target="../../../../:b:/p/finanzas/ESxdaPwYAiZDuAQc0OXyLzABAbl7HKALkFTr8Yp659A6rQ?e=AdhpOy" TargetMode="External"/><Relationship Id="rId329" Type="http://schemas.openxmlformats.org/officeDocument/2006/relationships/hyperlink" Target="../../../../:b:/p/finanzas/EZFWN4BoS0xNnxzDgSbWi8IBpZ7_5bwmp02eqryDL5LoQA?e=Du8LGB" TargetMode="External"/><Relationship Id="rId480" Type="http://schemas.openxmlformats.org/officeDocument/2006/relationships/vmlDrawing" Target="../drawings/vmlDrawing1.vml"/><Relationship Id="rId68" Type="http://schemas.openxmlformats.org/officeDocument/2006/relationships/hyperlink" Target="../../../:b:/p/finanzas/EUFN34AEuJJLqtrIojQuKg4BlDOKdAERz5IPKm3NvS_qbg%3fe=qqgG3g" TargetMode="External"/><Relationship Id="rId133" Type="http://schemas.openxmlformats.org/officeDocument/2006/relationships/hyperlink" Target="../../../:b:/p/finanzas/EZfm4Higg6hHhLk6BoEoRBgBPhiYVutvzVI63afhuawofg%3fe=vDA1Hv" TargetMode="External"/><Relationship Id="rId175" Type="http://schemas.openxmlformats.org/officeDocument/2006/relationships/hyperlink" Target="../../../:b:/p/finanzas/EdnPyEcvgUdBjkb74mq3GhIBiK6k_RO_7c9XJeCyFZbMCw%3fe=dXxETC" TargetMode="External"/><Relationship Id="rId340" Type="http://schemas.openxmlformats.org/officeDocument/2006/relationships/hyperlink" Target="../../../../:b:/p/finanzas/EZx1M2dayLtFuu81McfxQnsBTIzIueuwbHXQgLz0Vw1NwA?e=Wcy478" TargetMode="External"/><Relationship Id="rId200" Type="http://schemas.openxmlformats.org/officeDocument/2006/relationships/hyperlink" Target="../../../:b:/p/finanzas/EcUQ_hw3nQVKimAqOWJcbC0B96KL8VvwfcM8TMz2-ZAyIA%3fe=zlldY0" TargetMode="External"/><Relationship Id="rId382" Type="http://schemas.openxmlformats.org/officeDocument/2006/relationships/hyperlink" Target="../../../../:b:/p/finanzas/EfpjiwRoayBLtXqeZIhQEIoBtdQKlZoZzUMPIkcCvoflFQ?e=L33roe" TargetMode="External"/><Relationship Id="rId438" Type="http://schemas.openxmlformats.org/officeDocument/2006/relationships/hyperlink" Target="../../../../:b:/p/finanzas/EbTOLjbQnhtEpesr6bB3Kl4BdujbO8UqQ-nw29tX5TkwVA?e=pwnoFf" TargetMode="External"/><Relationship Id="rId242" Type="http://schemas.openxmlformats.org/officeDocument/2006/relationships/hyperlink" Target="../../../../:b:/p/finanzas/EdNj9wkniY5PsG8EioW0l5YBvDpKAOxVXN2z3Z-FgYRUjg?e=fPuv84" TargetMode="External"/><Relationship Id="rId284" Type="http://schemas.openxmlformats.org/officeDocument/2006/relationships/hyperlink" Target="../../../../:b:/p/finanzas/EVevQvIS0TtBni3nClulwPoB3wLqc3Uh_MwlwM2LkNzq3Q?e=uSphRN" TargetMode="External"/><Relationship Id="rId37" Type="http://schemas.openxmlformats.org/officeDocument/2006/relationships/hyperlink" Target="../../../:b:/p/finanzas/EUG1ETaFgQZJpJa1mb1qVDUBjts8rDWcW-sogiksx2GBFA%3fe=aXRYVa" TargetMode="External"/><Relationship Id="rId79" Type="http://schemas.openxmlformats.org/officeDocument/2006/relationships/hyperlink" Target="../../../:b:/p/finanzas/EaQa2_BTlNVLjSi8IvNjV8kBfNSphiz1an4rEAtIHaa7dQ%3fe=2O3phM" TargetMode="External"/><Relationship Id="rId102" Type="http://schemas.openxmlformats.org/officeDocument/2006/relationships/hyperlink" Target="../../../:b:/p/finanzas/EfMGbU5FANJImWRGKYzw_UUBI8I1C0JltNXeTdoQPk4EbA%3fe=hpljtV" TargetMode="External"/><Relationship Id="rId144" Type="http://schemas.openxmlformats.org/officeDocument/2006/relationships/hyperlink" Target="../../../:b:/p/finanzas/EYwD84Nu_2NLgWRlCKRXSIkBg2aQ_N3DtAV8IfH4idFLVQ%3fe=eBYjvy" TargetMode="External"/><Relationship Id="rId90" Type="http://schemas.openxmlformats.org/officeDocument/2006/relationships/hyperlink" Target="../../../:b:/p/finanzas/EVR9JE3x2tNGms9SQ7JxRH4BEG-tI8-JazeaZrLvl-1UWA%3fe=KpbIyH" TargetMode="External"/><Relationship Id="rId186" Type="http://schemas.openxmlformats.org/officeDocument/2006/relationships/hyperlink" Target="../../../:b:/p/finanzas/ESH4nMTVCltCht1tyk6PO2wBarF7mGpY30Q67T7wure0JQ%3fe=MrCcLt" TargetMode="External"/><Relationship Id="rId351" Type="http://schemas.openxmlformats.org/officeDocument/2006/relationships/hyperlink" Target="../../../../:b:/p/finanzas/EVAg_bf31rBCmuGwrr4zn-kBGjT1N-kJ1dYacPnrTv1xJA?e=BVOHAF" TargetMode="External"/><Relationship Id="rId393" Type="http://schemas.openxmlformats.org/officeDocument/2006/relationships/hyperlink" Target="../../../../:b:/p/finanzas/Ed1Cj3Vg0OdCt2-MBeYgtFIBSiWlLKJ0MQ19qwZ4ZV7WrQ?e=aHpqVj" TargetMode="External"/><Relationship Id="rId407" Type="http://schemas.openxmlformats.org/officeDocument/2006/relationships/hyperlink" Target="../../../../:b:/p/finanzas/EcAPAM5te0JKqOApfiy_PXQBjdEd5oTMHCf0D4hn5JS4jA?e=ywRw3w" TargetMode="External"/><Relationship Id="rId449" Type="http://schemas.openxmlformats.org/officeDocument/2006/relationships/hyperlink" Target="../../../../:b:/p/finanzas/ERMlBaCreflAvrKDXexu_wABDY64XQFpba6Ve04VgcCW8g?e=GkI0Jg" TargetMode="External"/><Relationship Id="rId211" Type="http://schemas.openxmlformats.org/officeDocument/2006/relationships/hyperlink" Target="../../../:b:/p/finanzas/ESUx7VsBQ7ZIrdLGZdRv_joBQbBWGiCFR__pMG42kvaZDw%3fe=lp67Eo" TargetMode="External"/><Relationship Id="rId253" Type="http://schemas.openxmlformats.org/officeDocument/2006/relationships/hyperlink" Target="../../../../:b:/p/finanzas/Ec52s8htxyZKvkVTsLQnKY4B5gMd4mDKdeI1Civmfo0XXw?e=e8JIjO" TargetMode="External"/><Relationship Id="rId295" Type="http://schemas.openxmlformats.org/officeDocument/2006/relationships/hyperlink" Target="../../../../:b:/p/finanzas/ER51wOADRX9Lp9UeNRZlqiMBSJjqIBBZ31yYYLmmU-G3lQ?e=lNPSmL" TargetMode="External"/><Relationship Id="rId309" Type="http://schemas.openxmlformats.org/officeDocument/2006/relationships/hyperlink" Target="../../../../:b:/p/finanzas/Edbq9zvTMw1BnSFSlMKNpcUBCaRPyBXReUxkHRoveaS7cw?e=bh2eNj" TargetMode="External"/><Relationship Id="rId460" Type="http://schemas.openxmlformats.org/officeDocument/2006/relationships/hyperlink" Target="../../../../:b:/p/finanzas/EReHGclq6TtOrFXKfnrYligBoBaUp5yENv0X0isc37UnJA?e=1JxHUv" TargetMode="External"/><Relationship Id="rId48" Type="http://schemas.openxmlformats.org/officeDocument/2006/relationships/hyperlink" Target="../../../:b:/p/finanzas/EempEEV4Mb1FhpjyqP64ZR4BNJVfrGqXnYsbM-mBqzNsPg%3fe=AVegwT" TargetMode="External"/><Relationship Id="rId113" Type="http://schemas.openxmlformats.org/officeDocument/2006/relationships/hyperlink" Target="../../../:b:/p/finanzas/ESQqwfuOpeBDlXlOMLF9xzEBouSagw66EyMXrtjPO3cD0A%3fe=gMQz9K" TargetMode="External"/><Relationship Id="rId320" Type="http://schemas.openxmlformats.org/officeDocument/2006/relationships/hyperlink" Target="../../../../:b:/p/finanzas/EWCp5-WmMJ5NktRf74TMa_8B5M5D2cV4-W4-NFwmpIHXPQ?e=b3QnAc" TargetMode="External"/><Relationship Id="rId155" Type="http://schemas.openxmlformats.org/officeDocument/2006/relationships/hyperlink" Target="../../../:b:/p/finanzas/EVEdjYx4cwFNkRBrbxL3c64BM8mMT2yMLScMcrTDFz5mNg%3fe=IZxmeP" TargetMode="External"/><Relationship Id="rId197" Type="http://schemas.openxmlformats.org/officeDocument/2006/relationships/hyperlink" Target="../../../:b:/p/finanzas/EcUmL1S9BqhHs5qENfCAIuABo57Pf3Db_Ckj4KP5oEVnaw%3fe=1xIbVA" TargetMode="External"/><Relationship Id="rId362" Type="http://schemas.openxmlformats.org/officeDocument/2006/relationships/hyperlink" Target="../../../../:b:/p/finanzas/EaBko5mqdzRArOPRPs3NFLgB4hrWuwqdx7px75o92njdxA?e=Gr4rPd" TargetMode="External"/><Relationship Id="rId418" Type="http://schemas.openxmlformats.org/officeDocument/2006/relationships/hyperlink" Target="../../../../:b:/p/finanzas/EQWTH-TbVmxNuWxSJZLJQ5wBY3Nu6DrFIz0HTvIQWmxO9A?e=Ba1RhX" TargetMode="External"/><Relationship Id="rId222" Type="http://schemas.openxmlformats.org/officeDocument/2006/relationships/hyperlink" Target="../../../:b:/p/finanzas/ET7C6JSFpzZLh_5vQUwOEx0BwN__oUScbmqct8AdQDyY-Q?e=gSDxTr" TargetMode="External"/><Relationship Id="rId264" Type="http://schemas.openxmlformats.org/officeDocument/2006/relationships/hyperlink" Target="../../../../:b:/p/finanzas/ESTwP7Ra-1tMlT2aNKXkrDgB0rXc3qmzhaJo5PkFyGmgVw?e=TshBGP" TargetMode="External"/><Relationship Id="rId471" Type="http://schemas.openxmlformats.org/officeDocument/2006/relationships/hyperlink" Target="../../../../:b:/p/finanzas/ETNtixolnUlMkJDLK4oEBNcB9mnOAOsHpuRCvxf3Wd3Haw?e=js2Ioi" TargetMode="External"/><Relationship Id="rId17" Type="http://schemas.openxmlformats.org/officeDocument/2006/relationships/hyperlink" Target="../../../:b:/p/finanzas/EbTwwLA6HqNLgkizPTqTYPsBbmMx3OA9EiU1xhgZ8VBMPQ%3fe=hOjiLU" TargetMode="External"/><Relationship Id="rId59" Type="http://schemas.openxmlformats.org/officeDocument/2006/relationships/hyperlink" Target="../../../:b:/p/finanzas/EcGmKYJiQ8tHgfjtw_DD9bcBVNO_PS5G3gqU0E7mwdBD_g%3fe=d6XV7B" TargetMode="External"/><Relationship Id="rId124" Type="http://schemas.openxmlformats.org/officeDocument/2006/relationships/hyperlink" Target="../../../:b:/p/finanzas/Ef0tQb1R0jtJoe5p2QJBOm0BfTmhpegWfWSvxDs-DSZZTA%3fe=avvycj" TargetMode="External"/><Relationship Id="rId70" Type="http://schemas.openxmlformats.org/officeDocument/2006/relationships/hyperlink" Target="../../../:b:/p/finanzas/EWndMGJcPyhLnoHM7R0VtVQBI8JdmE3D2Q4Z-cNft0FNSA%3fe=mUS0cg" TargetMode="External"/><Relationship Id="rId166" Type="http://schemas.openxmlformats.org/officeDocument/2006/relationships/hyperlink" Target="../../../:b:/p/finanzas/EVOO9fWE1tlOiUTjGxpIgmwBHvgDa69AqZRoHWQ9N6bt_g%3fe=DX4wgf" TargetMode="External"/><Relationship Id="rId331" Type="http://schemas.openxmlformats.org/officeDocument/2006/relationships/hyperlink" Target="../../../../:b:/p/finanzas/ETk2gA_xNZJCtHtg33FmSScBNt-vQx_Ym01mfpktNr-8pg?e=R6c1Az" TargetMode="External"/><Relationship Id="rId373" Type="http://schemas.openxmlformats.org/officeDocument/2006/relationships/hyperlink" Target="../../../../:b:/p/finanzas/EarMiDTYPEFGnZmYjgDjLH0B8eDd7U2jUu1zguJbm7vKVg?e=1S4vdq" TargetMode="External"/><Relationship Id="rId429" Type="http://schemas.openxmlformats.org/officeDocument/2006/relationships/hyperlink" Target="../../../../:b:/p/finanzas/EUBNO-q9vv1Mmu8KXdD32AsBtDPsHshlAsxYV0SB1OMlxg?e=aFJY2E" TargetMode="External"/><Relationship Id="rId1" Type="http://schemas.openxmlformats.org/officeDocument/2006/relationships/hyperlink" Target="../../../:b:/p/finanzas/EY67ZzsvyXlFo1-Gwr_KBGIB8hmGqRqIJUlGyMNOsUruQw%3fe=qD4ypq" TargetMode="External"/><Relationship Id="rId233" Type="http://schemas.openxmlformats.org/officeDocument/2006/relationships/hyperlink" Target="../../../../:b:/p/finanzas/ES0ucArVteVDqctWFHwLkM0BkofSukz-7l7kuOHQ1MmURA?e=MWcEFG" TargetMode="External"/><Relationship Id="rId440" Type="http://schemas.openxmlformats.org/officeDocument/2006/relationships/hyperlink" Target="../../../../:b:/p/finanzas/Ef7hgerrDu5AgR-nNx0M7ssB5klZDxWVhLik--wKvXBLyA?e=kxVqmx" TargetMode="External"/><Relationship Id="rId28" Type="http://schemas.openxmlformats.org/officeDocument/2006/relationships/hyperlink" Target="../../../:b:/p/finanzas/ERPpUcyvtuZPnYcDCeUH-_8BdLV1hUZQgIiwbkvw88DqFQ%3fe=r0vFsQ" TargetMode="External"/><Relationship Id="rId275" Type="http://schemas.openxmlformats.org/officeDocument/2006/relationships/hyperlink" Target="../../../../:b:/p/finanzas/EfPqodLOm0pDvxl3VaXOyg0B0EfrMSxUFIi_bZwb9wUX8g?e=ClAB79" TargetMode="External"/><Relationship Id="rId300" Type="http://schemas.openxmlformats.org/officeDocument/2006/relationships/hyperlink" Target="../../../../:b:/p/finanzas/ESJOBDYuyGdIm_PFgBYajAkBTqRsqUyjRTstjxVjJZSSuw?e=arChBp" TargetMode="External"/><Relationship Id="rId482" Type="http://schemas.openxmlformats.org/officeDocument/2006/relationships/comments" Target="../comments1.xml"/><Relationship Id="rId81" Type="http://schemas.openxmlformats.org/officeDocument/2006/relationships/hyperlink" Target="../../../:b:/p/finanzas/EYf-76KARN1JlU19sWUXHH8B3a6oM6UMqqPjXHrDJneYlA%3fe=YQLDIQ" TargetMode="External"/><Relationship Id="rId135" Type="http://schemas.openxmlformats.org/officeDocument/2006/relationships/hyperlink" Target="../../../:b:/p/finanzas/EX50_h85NVRLmPzGSLQK3QQBLUAFlNRyuX0WCdeHv-f_Yg%3fe=5kG9e2" TargetMode="External"/><Relationship Id="rId177" Type="http://schemas.openxmlformats.org/officeDocument/2006/relationships/hyperlink" Target="../../../:b:/p/finanzas/ETQOugWCPCtLrVbrL5PCM0ABHKKmGH73zAVoZg4sVyKq5A%3fe=sFtVRR" TargetMode="External"/><Relationship Id="rId342" Type="http://schemas.openxmlformats.org/officeDocument/2006/relationships/hyperlink" Target="../../../../:b:/p/finanzas/ETpFDAlqmUlJsxN9gIu1EfEBH4_ITFgL9N_xpvposnfDpg?e=pEpGBj" TargetMode="External"/><Relationship Id="rId384" Type="http://schemas.openxmlformats.org/officeDocument/2006/relationships/hyperlink" Target="../../../../:b:/p/finanzas/EXNny1CVICdCrwXJGUVMrgsBXjNshOsUAiS7DIRKQ8NYIA?e=s9S3Pm" TargetMode="External"/><Relationship Id="rId202" Type="http://schemas.openxmlformats.org/officeDocument/2006/relationships/hyperlink" Target="../../../:b:/p/finanzas/Ea_yL2Xqw6BKooS_hyG-njABPuyp_GTPlTXIreSJUuySew%3fe=3AXzFx" TargetMode="External"/><Relationship Id="rId244" Type="http://schemas.openxmlformats.org/officeDocument/2006/relationships/hyperlink" Target="../../../../:b:/p/finanzas/EXK4ykgfHO9Okki6AJCuKnkBJ9hx6l2AO-eH325__TBCcQ?e=cRQI4v" TargetMode="External"/><Relationship Id="rId39" Type="http://schemas.openxmlformats.org/officeDocument/2006/relationships/hyperlink" Target="../../../:b:/p/finanzas/EbJJ5GShHs1LtBOsSd1z_YMBv8MYE-3qIeol5ztkEsIjag%3fe=cnkTKf" TargetMode="External"/><Relationship Id="rId286" Type="http://schemas.openxmlformats.org/officeDocument/2006/relationships/hyperlink" Target="../../../../:b:/p/finanzas/Eatxy4DT5mdBscZG_Zkq4TwBmAuwEmfMqDc6RoFb-qePkA?e=XesKmf" TargetMode="External"/><Relationship Id="rId451" Type="http://schemas.openxmlformats.org/officeDocument/2006/relationships/hyperlink" Target="../../../../:b:/p/finanzas/EUmQLFrtHTdMqgTI0hDxFLMBMhnUokyiuEAp50F7qfdd7Q?e=gGoyD6" TargetMode="External"/><Relationship Id="rId50" Type="http://schemas.openxmlformats.org/officeDocument/2006/relationships/hyperlink" Target="../../../:b:/p/finanzas/EYqraFHudJZDurTP5miZ-bABAbM5n_SRqapKSi1HhEF3JQ%3fe=XE1JY3" TargetMode="External"/><Relationship Id="rId104" Type="http://schemas.openxmlformats.org/officeDocument/2006/relationships/hyperlink" Target="../../../:b:/p/finanzas/ERqplNV5F2lCrPY47y6Ksk8BjYxlTKdaE7-VBzRA2pSGSw%3fe=lYuO2n" TargetMode="External"/><Relationship Id="rId146" Type="http://schemas.openxmlformats.org/officeDocument/2006/relationships/hyperlink" Target="../../../:b:/p/finanzas/ETqj7eI-ehVBtDj2TYjS8wwBh8f-1DNW4ATmwXx9doYEiQ%3fe=rof9F8" TargetMode="External"/><Relationship Id="rId188" Type="http://schemas.openxmlformats.org/officeDocument/2006/relationships/hyperlink" Target="../../../:b:/p/finanzas/EZWfXtGWMTFEjG5fKfiTOc0B-1IUXvHK8hZAvifnoFXfRA%3fe=gkCa4Y" TargetMode="External"/><Relationship Id="rId311" Type="http://schemas.openxmlformats.org/officeDocument/2006/relationships/hyperlink" Target="../../../../:b:/p/finanzas/EXRm4y2eoEZFnz6D6e8t8jYBnPM4HzgMUz-d2PGhLEd4gQ?e=mQUOuI" TargetMode="External"/><Relationship Id="rId353" Type="http://schemas.openxmlformats.org/officeDocument/2006/relationships/hyperlink" Target="../../../../:b:/p/finanzas/ES0jozc2umJEo4tqm2mXo_QB8jPQ_q8GqnEy78ZsKINPLg?e=IdPdVe" TargetMode="External"/><Relationship Id="rId395" Type="http://schemas.openxmlformats.org/officeDocument/2006/relationships/hyperlink" Target="../../../../:b:/p/finanzas/EWpMMUIX3G1Kts6kSfFHHgMBQGaKd7IM5XczKybLerha9g?e=p4hj5n" TargetMode="External"/><Relationship Id="rId409" Type="http://schemas.openxmlformats.org/officeDocument/2006/relationships/hyperlink" Target="../../../../:b:/p/finanzas/EbOFq85zk5VJhsd-6OXyxaUBPv9HYjlnkpxRoRZ25fMT6w?e=YLAhbx" TargetMode="External"/><Relationship Id="rId92" Type="http://schemas.openxmlformats.org/officeDocument/2006/relationships/hyperlink" Target="../../../:b:/p/finanzas/EYkn4DGcIntGuRbIKhDGEjMB4x64EWyTOXfH6U5A1yzcNQ%3fe=hyR3mp" TargetMode="External"/><Relationship Id="rId213" Type="http://schemas.openxmlformats.org/officeDocument/2006/relationships/hyperlink" Target="../../../:b:/p/finanzas/EYJZsGNX7FRKtLq0Ix9LL_QBUQp5OJ-iKH-LdnYUxyWfxg%3fe=QiTSPf" TargetMode="External"/><Relationship Id="rId420" Type="http://schemas.openxmlformats.org/officeDocument/2006/relationships/hyperlink" Target="../../../../:b:/p/finanzas/EXYY2tc7_vVKj9M7FYzUsnIBPfCQ4UlsZj6osvlta9PoXg?e=rIqTlq" TargetMode="External"/><Relationship Id="rId255" Type="http://schemas.openxmlformats.org/officeDocument/2006/relationships/hyperlink" Target="../../../../:b:/p/finanzas/Ec52s8htxyZKvkVTsLQnKY4B5gMd4mDKdeI1Civmfo0XXw?e=e8JIjO" TargetMode="External"/><Relationship Id="rId297" Type="http://schemas.openxmlformats.org/officeDocument/2006/relationships/hyperlink" Target="../../../../:b:/p/finanzas/EZKDJYjtdzNOvUJ5bwu7UgIBpBpLseI0KDSGZHu32lTLGQ?e=rIjKwn" TargetMode="External"/><Relationship Id="rId462" Type="http://schemas.openxmlformats.org/officeDocument/2006/relationships/hyperlink" Target="../../../../:b:/p/finanzas/EZhcHUzV7aVDq-UoEzK6t58Bor5l5KsYjOe2az_G_Q3yqw?e=Vn038y" TargetMode="External"/><Relationship Id="rId115" Type="http://schemas.openxmlformats.org/officeDocument/2006/relationships/hyperlink" Target="../../../:b:/p/finanzas/EcYYpL9fGDBJo54JyXlzO3QBbJgTPDf0lTu186pNX2dcuw%3fe=yWypAo" TargetMode="External"/><Relationship Id="rId157" Type="http://schemas.openxmlformats.org/officeDocument/2006/relationships/hyperlink" Target="../../../:b:/p/finanzas/EaDui8dv0HxKkBb-DlLw0PEBeltyw-l3rHg9de2lw8cflA%3fe=MOQdqh" TargetMode="External"/><Relationship Id="rId322" Type="http://schemas.openxmlformats.org/officeDocument/2006/relationships/hyperlink" Target="../../../../:b:/p/finanzas/EetO7m4afsJCgRVmjblsbioBiz9EorHupv5G5G9Gz1KboQ?e=GOb8VP" TargetMode="External"/><Relationship Id="rId364" Type="http://schemas.openxmlformats.org/officeDocument/2006/relationships/hyperlink" Target="../../../../:b:/p/finanzas/EQZEc9IILZ1NrzuSX5iYA44Bq0OiPP1QAChaVVxdQzPhaA?e=qKUUBG" TargetMode="External"/><Relationship Id="rId61" Type="http://schemas.openxmlformats.org/officeDocument/2006/relationships/hyperlink" Target="../../../:b:/p/finanzas/Ee-cPbzPawVAilD5yQgxxJ0Bff4TaWU8-Okd5W-zOnkdtA%3fe=oeLney" TargetMode="External"/><Relationship Id="rId199" Type="http://schemas.openxmlformats.org/officeDocument/2006/relationships/hyperlink" Target="../../../:b:/p/finanzas/EdDKe9OB6gVMuS4uw-99040BkwqjGMeEbu0xWdf4pJgpjQ%3fe=Lc75ko" TargetMode="External"/><Relationship Id="rId19" Type="http://schemas.openxmlformats.org/officeDocument/2006/relationships/hyperlink" Target="../../../:b:/p/finanzas/ES0rH8vRLqJMnF8PrIfSTsEBZVPRWTusVodt-pnXtdJoIg%3fe=bMdq0M" TargetMode="External"/><Relationship Id="rId224" Type="http://schemas.openxmlformats.org/officeDocument/2006/relationships/hyperlink" Target="../../../:b:/p/finanzas/EQc_uIVEiIlBtw7Q_C_kcjIB8fjmuEbDm_i3ETr1VaPk6Q?e=NujdHu" TargetMode="External"/><Relationship Id="rId266" Type="http://schemas.openxmlformats.org/officeDocument/2006/relationships/hyperlink" Target="../../../../:b:/p/finanzas/EcUSiUrSo_RLtHpyHd3yYKUB7yUyKdHvtgDZcGAZgZKDhw?e=05RUCo" TargetMode="External"/><Relationship Id="rId431" Type="http://schemas.openxmlformats.org/officeDocument/2006/relationships/hyperlink" Target="../../../../:b:/p/finanzas/EbHrLuD3JSdMloZuYbjCcwMBc1_GHsKzwML2BKdT2WAMxw?e=ppZ5hh" TargetMode="External"/><Relationship Id="rId473" Type="http://schemas.openxmlformats.org/officeDocument/2006/relationships/hyperlink" Target="../../../../:b:/p/finanzas/EZ4NceuGwURBlKfLxBHVvBoB_YNhLYHwEpm7Io720T-XuQ?e=0rBscS" TargetMode="External"/><Relationship Id="rId30" Type="http://schemas.openxmlformats.org/officeDocument/2006/relationships/hyperlink" Target="../../../:b:/p/finanzas/ETyJNMom7shLthTvQMD8Md0BN6OEvHzM0JApdNxoTQ7vkQ%3fe=hVx25Y" TargetMode="External"/><Relationship Id="rId126" Type="http://schemas.openxmlformats.org/officeDocument/2006/relationships/hyperlink" Target="../../../:b:/p/finanzas/Edy1NEYKsblLg5dCB7-mxa4BcLbWK1GHnE3470WFWfBPwg%3fe=2tsXUY" TargetMode="External"/><Relationship Id="rId168" Type="http://schemas.openxmlformats.org/officeDocument/2006/relationships/hyperlink" Target="../../../:b:/p/finanzas/EUipaGOclIFFtCKm78ZO95ABzCSr4wUSyVoldQv9TuhCSg%3fe=iVDOEo" TargetMode="External"/><Relationship Id="rId333" Type="http://schemas.openxmlformats.org/officeDocument/2006/relationships/hyperlink" Target="../../../../:b:/p/finanzas/ETVHDqxrcBZOuY5zBEMaDigB0wiPPxXy0LyUFjPtn3q8mA?e=ei1PQs" TargetMode="External"/><Relationship Id="rId72" Type="http://schemas.openxmlformats.org/officeDocument/2006/relationships/hyperlink" Target="../../../:b:/p/finanzas/ESPKRgte6UxFqb9CofVb4MwB1rhBUvh9RvPInIXqAtvQ5g%3fe=7VXhHP" TargetMode="External"/><Relationship Id="rId375" Type="http://schemas.openxmlformats.org/officeDocument/2006/relationships/hyperlink" Target="../../../../:b:/p/finanzas/EUjHgUP4QsdOuB3v8FW4VKwBjzZsWBiSt-aeTZ3BMUTYkg?e=bzhmYR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../../../../:b:/p/finanzas/EdMNVJmWm2ZMlwU0ZtBQGRYBa0bv46ZwYzWaT0spDlHbSg?e=Lac83e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../../../../:b:/p/finanzas/EQacCGA4FjBAmw1odHSJLN4BpmJv-Xni5jI2AhzyfrDb3A?e=59nJde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7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8.bin"/><Relationship Id="rId5" Type="http://schemas.microsoft.com/office/2017/10/relationships/threadedComment" Target="../threadedComments/threadedComment3.xml"/><Relationship Id="rId4" Type="http://schemas.openxmlformats.org/officeDocument/2006/relationships/comments" Target="../comments3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0.bin"/><Relationship Id="rId5" Type="http://schemas.microsoft.com/office/2017/10/relationships/threadedComment" Target="../threadedComments/threadedComment4.xml"/><Relationship Id="rId4" Type="http://schemas.openxmlformats.org/officeDocument/2006/relationships/comments" Target="../comments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5.bin"/><Relationship Id="rId5" Type="http://schemas.microsoft.com/office/2017/10/relationships/threadedComment" Target="../threadedComments/threadedComment5.xml"/><Relationship Id="rId4" Type="http://schemas.openxmlformats.org/officeDocument/2006/relationships/comments" Target="../comments5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C4831-6459-E146-B335-DC4EE2AADBF4}">
  <sheetPr codeName="Hoja19">
    <tabColor rgb="FFFFFF00"/>
    <pageSetUpPr fitToPage="1"/>
  </sheetPr>
  <dimension ref="B1:R71"/>
  <sheetViews>
    <sheetView showGridLines="0" zoomScaleNormal="100" zoomScaleSheetLayoutView="100" workbookViewId="0">
      <selection activeCell="K20" sqref="K20"/>
    </sheetView>
  </sheetViews>
  <sheetFormatPr defaultColWidth="12.44140625" defaultRowHeight="13.8" x14ac:dyDescent="0.25"/>
  <cols>
    <col min="1" max="1" width="1.44140625" style="29" customWidth="1"/>
    <col min="2" max="3" width="14.33203125" style="29" customWidth="1"/>
    <col min="4" max="4" width="22.44140625" style="29" customWidth="1"/>
    <col min="5" max="17" width="14.33203125" style="29" customWidth="1"/>
    <col min="18" max="18" width="13" style="29" customWidth="1"/>
    <col min="19" max="19" width="13.109375" style="29" customWidth="1"/>
    <col min="20" max="16384" width="12.44140625" style="29"/>
  </cols>
  <sheetData>
    <row r="1" spans="2:18" ht="7.5" customHeight="1" x14ac:dyDescent="0.25"/>
    <row r="2" spans="2:18" ht="14.25" customHeight="1" x14ac:dyDescent="0.25">
      <c r="B2" s="275"/>
      <c r="C2" s="275"/>
      <c r="D2" s="276" t="s">
        <v>0</v>
      </c>
      <c r="E2" s="276"/>
      <c r="F2" s="276"/>
      <c r="G2" s="276"/>
      <c r="H2" s="276"/>
      <c r="I2" s="276"/>
      <c r="J2" s="276"/>
      <c r="K2" s="276"/>
      <c r="L2" s="276"/>
      <c r="M2" s="276"/>
      <c r="N2" s="276"/>
      <c r="O2" s="276"/>
      <c r="P2" s="276"/>
      <c r="Q2" s="277" t="s">
        <v>1</v>
      </c>
      <c r="R2" s="277"/>
    </row>
    <row r="3" spans="2:18" ht="14.25" customHeight="1" x14ac:dyDescent="0.25">
      <c r="B3" s="275"/>
      <c r="C3" s="275"/>
      <c r="D3" s="278" t="s">
        <v>2</v>
      </c>
      <c r="E3" s="278"/>
      <c r="F3" s="278"/>
      <c r="G3" s="278"/>
      <c r="H3" s="278"/>
      <c r="I3" s="278"/>
      <c r="J3" s="278"/>
      <c r="K3" s="278"/>
      <c r="L3" s="278"/>
      <c r="M3" s="278"/>
      <c r="N3" s="278"/>
      <c r="O3" s="278"/>
      <c r="P3" s="278"/>
      <c r="Q3" s="277" t="s">
        <v>3</v>
      </c>
      <c r="R3" s="277"/>
    </row>
    <row r="4" spans="2:18" ht="14.25" customHeight="1" x14ac:dyDescent="0.25">
      <c r="B4" s="275"/>
      <c r="C4" s="275"/>
      <c r="D4" s="278"/>
      <c r="E4" s="278"/>
      <c r="F4" s="278"/>
      <c r="G4" s="278"/>
      <c r="H4" s="278"/>
      <c r="I4" s="278"/>
      <c r="J4" s="278"/>
      <c r="K4" s="278"/>
      <c r="L4" s="278"/>
      <c r="M4" s="278"/>
      <c r="N4" s="278"/>
      <c r="O4" s="278"/>
      <c r="P4" s="278"/>
      <c r="Q4" s="277" t="s">
        <v>4</v>
      </c>
      <c r="R4" s="277"/>
    </row>
    <row r="5" spans="2:18" ht="15.75" customHeight="1" x14ac:dyDescent="0.25">
      <c r="B5" s="275"/>
      <c r="C5" s="275"/>
      <c r="D5" s="279"/>
      <c r="E5" s="279"/>
      <c r="F5" s="279"/>
      <c r="G5" s="279"/>
      <c r="H5" s="279"/>
      <c r="I5" s="279"/>
      <c r="J5" s="279"/>
      <c r="K5" s="279"/>
      <c r="L5" s="279"/>
      <c r="M5" s="279"/>
      <c r="N5" s="279"/>
      <c r="O5" s="279"/>
      <c r="P5" s="279"/>
      <c r="Q5" s="280" t="s">
        <v>5</v>
      </c>
      <c r="R5" s="280"/>
    </row>
    <row r="6" spans="2:18" ht="3.75" customHeight="1" x14ac:dyDescent="0.25"/>
    <row r="7" spans="2:18" ht="14.25" customHeight="1" x14ac:dyDescent="0.25">
      <c r="B7" s="274" t="s">
        <v>6</v>
      </c>
      <c r="C7" s="284"/>
      <c r="D7" s="285">
        <f ca="1">TODAY()</f>
        <v>45979</v>
      </c>
      <c r="E7" s="285"/>
      <c r="F7" s="285"/>
      <c r="G7" s="274" t="s">
        <v>7</v>
      </c>
      <c r="H7" s="274"/>
      <c r="I7" s="281" t="s">
        <v>8</v>
      </c>
      <c r="J7" s="282"/>
      <c r="K7" s="283"/>
      <c r="L7" s="274" t="s">
        <v>9</v>
      </c>
      <c r="M7" s="274"/>
      <c r="N7" s="274" t="s">
        <v>10</v>
      </c>
      <c r="O7" s="274"/>
      <c r="P7" s="274"/>
      <c r="Q7" s="274"/>
      <c r="R7" s="274"/>
    </row>
    <row r="8" spans="2:18" ht="4.5" customHeight="1" x14ac:dyDescent="0.25"/>
    <row r="9" spans="2:18" ht="26.25" customHeight="1" x14ac:dyDescent="0.25">
      <c r="B9" s="107" t="s">
        <v>11</v>
      </c>
      <c r="C9" s="107" t="s">
        <v>12</v>
      </c>
      <c r="D9" s="107" t="s">
        <v>13</v>
      </c>
      <c r="E9" s="107" t="s">
        <v>14</v>
      </c>
      <c r="F9" s="108" t="s">
        <v>15</v>
      </c>
      <c r="G9" s="108" t="s">
        <v>16</v>
      </c>
      <c r="H9" s="108" t="s">
        <v>17</v>
      </c>
      <c r="I9" s="108" t="s">
        <v>18</v>
      </c>
      <c r="J9" s="108" t="s">
        <v>19</v>
      </c>
      <c r="K9" s="108" t="s">
        <v>20</v>
      </c>
      <c r="L9" s="108" t="s">
        <v>21</v>
      </c>
      <c r="M9" s="108" t="s">
        <v>22</v>
      </c>
      <c r="N9" s="108" t="s">
        <v>23</v>
      </c>
      <c r="O9" s="108" t="s">
        <v>24</v>
      </c>
      <c r="P9" s="108" t="s">
        <v>25</v>
      </c>
      <c r="Q9" s="108" t="s">
        <v>26</v>
      </c>
      <c r="R9" s="108" t="s">
        <v>27</v>
      </c>
    </row>
    <row r="10" spans="2:18" ht="22.5" customHeight="1" x14ac:dyDescent="0.25">
      <c r="B10" s="265">
        <v>1</v>
      </c>
      <c r="C10" s="267" t="s">
        <v>28</v>
      </c>
      <c r="D10" s="30" t="s">
        <v>29</v>
      </c>
      <c r="E10" s="31">
        <f>SUMIFS(BCP_Soles[monto],BCP_Soles[periodo],E9,BCP_Soles[tipo_mov],"SALDO")</f>
        <v>28733.200000000001</v>
      </c>
      <c r="F10" s="31">
        <f>IF(OR(F11&gt;0,F12&gt;0),E13,0)</f>
        <v>14314.210000000137</v>
      </c>
      <c r="G10" s="31">
        <f t="shared" ref="G10:P10" si="0">IF(OR(G11&gt;0,G12&gt;0),F13,0)</f>
        <v>10984.750000000175</v>
      </c>
      <c r="H10" s="31">
        <f t="shared" si="0"/>
        <v>105857.68000000017</v>
      </c>
      <c r="I10" s="31">
        <f t="shared" si="0"/>
        <v>63858.660000000265</v>
      </c>
      <c r="J10" s="31">
        <f t="shared" si="0"/>
        <v>36775.529999999853</v>
      </c>
      <c r="K10" s="31">
        <f t="shared" si="0"/>
        <v>426.43999999988591</v>
      </c>
      <c r="L10" s="31">
        <f t="shared" si="0"/>
        <v>3292.6099999996368</v>
      </c>
      <c r="M10" s="31">
        <f t="shared" si="0"/>
        <v>24392.859999999811</v>
      </c>
      <c r="N10" s="31">
        <f t="shared" si="0"/>
        <v>6785.8299999998999</v>
      </c>
      <c r="O10" s="31">
        <f t="shared" si="0"/>
        <v>15785.629999999888</v>
      </c>
      <c r="P10" s="31">
        <f t="shared" si="0"/>
        <v>0</v>
      </c>
      <c r="Q10" s="31">
        <f>SUM(E10:P10)</f>
        <v>311207.39999999973</v>
      </c>
      <c r="R10" s="31">
        <f>SUM(E10:P10)/COUNTIFS(E10:P10,"&gt;"&amp;0)</f>
        <v>28291.581818181792</v>
      </c>
    </row>
    <row r="11" spans="2:18" ht="22.5" customHeight="1" x14ac:dyDescent="0.25">
      <c r="B11" s="266"/>
      <c r="C11" s="268"/>
      <c r="D11" s="32" t="s">
        <v>30</v>
      </c>
      <c r="E11" s="31">
        <f>SUMIFS(BCP_Soles[monto],BCP_Soles[periodo],E9,BCP_Soles[tipo_mov],"INGRESO")</f>
        <v>250850.62</v>
      </c>
      <c r="F11" s="31">
        <f>SUMIFS(BCP_Soles[monto],BCP_Soles[periodo],F9,BCP_Soles[tipo_mov],"INGRESO")</f>
        <v>264266.39</v>
      </c>
      <c r="G11" s="31">
        <f>SUMIFS(BCP_Soles[monto],BCP_Soles[periodo],G9,BCP_Soles[tipo_mov],"INGRESO")</f>
        <v>334143.92999999993</v>
      </c>
      <c r="H11" s="31">
        <f>SUMIFS(BCP_Soles[monto],BCP_Soles[periodo],H9,BCP_Soles[tipo_mov],"INGRESO")</f>
        <v>300864.94999999995</v>
      </c>
      <c r="I11" s="31">
        <f>SUMIFS(BCP_Soles[monto],BCP_Soles[periodo],I9,BCP_Soles[tipo_mov],"INGRESO")</f>
        <v>444165.87</v>
      </c>
      <c r="J11" s="31">
        <f>SUMIFS(BCP_Soles[monto],BCP_Soles[periodo],J9,BCP_Soles[tipo_mov],"INGRESO")</f>
        <v>323585.25</v>
      </c>
      <c r="K11" s="31">
        <f>SUMIFS(BCP_Soles[monto],BCP_Soles[periodo],K9,BCP_Soles[tipo_mov],"INGRESO")</f>
        <v>415747.3899999999</v>
      </c>
      <c r="L11" s="31">
        <f>SUMIFS(BCP_Soles[monto],BCP_Soles[periodo],L9,BCP_Soles[tipo_mov],"INGRESO")</f>
        <v>296107.2300000001</v>
      </c>
      <c r="M11" s="31">
        <f>SUMIFS(BCP_Soles[monto],BCP_Soles[periodo],M9,BCP_Soles[tipo_mov],"INGRESO")</f>
        <v>297842.38000000006</v>
      </c>
      <c r="N11" s="31">
        <f>SUMIFS(BCP_Soles[monto],BCP_Soles[periodo],N9,BCP_Soles[tipo_mov],"INGRESO")</f>
        <v>274375.18</v>
      </c>
      <c r="O11" s="31">
        <f>SUMIFS(BCP_Soles[monto],BCP_Soles[periodo],O9,BCP_Soles[tipo_mov],"INGRESO")</f>
        <v>84878.36</v>
      </c>
      <c r="P11" s="31">
        <f>SUMIFS(BCP_Soles[monto],BCP_Soles[periodo],P9,BCP_Soles[tipo_mov],"INGRESO")</f>
        <v>0</v>
      </c>
      <c r="Q11" s="31">
        <f t="shared" ref="Q11:Q12" si="1">SUM(E11:P11)</f>
        <v>3286827.5499999993</v>
      </c>
      <c r="R11" s="31">
        <f>SUM(E11:P11)/COUNTIFS(E11:P11,"&gt;"&amp;0)</f>
        <v>298802.50454545446</v>
      </c>
    </row>
    <row r="12" spans="2:18" ht="22.5" customHeight="1" x14ac:dyDescent="0.25">
      <c r="B12" s="266"/>
      <c r="C12" s="268"/>
      <c r="D12" s="32" t="s">
        <v>31</v>
      </c>
      <c r="E12" s="31">
        <f>SUMIFS(BCP_Soles[monto],BCP_Soles[periodo],E9,BCP_Soles[tipo_mov],"EGRESO")</f>
        <v>265269.60999999987</v>
      </c>
      <c r="F12" s="31">
        <f>SUMIFS(BCP_Soles[monto],BCP_Soles[periodo],F9,BCP_Soles[tipo_mov],"EGRESO")</f>
        <v>267595.84999999998</v>
      </c>
      <c r="G12" s="31">
        <f>SUMIFS(BCP_Soles[monto],BCP_Soles[periodo],G9,BCP_Soles[tipo_mov],"EGRESO")</f>
        <v>239270.99999999994</v>
      </c>
      <c r="H12" s="31">
        <f>SUMIFS(BCP_Soles[monto],BCP_Soles[periodo],H9,BCP_Soles[tipo_mov],"EGRESO")</f>
        <v>342863.96999999986</v>
      </c>
      <c r="I12" s="31">
        <f>SUMIFS(BCP_Soles[monto],BCP_Soles[periodo],I9,BCP_Soles[tipo_mov],"EGRESO")</f>
        <v>471249.00000000041</v>
      </c>
      <c r="J12" s="31">
        <f>SUMIFS(BCP_Soles[monto],BCP_Soles[periodo],J9,BCP_Soles[tipo_mov],"EGRESO")</f>
        <v>359934.33999999997</v>
      </c>
      <c r="K12" s="31">
        <f>SUMIFS(BCP_Soles[monto],BCP_Soles[periodo],K9,BCP_Soles[tipo_mov],"EGRESO")</f>
        <v>412881.22000000015</v>
      </c>
      <c r="L12" s="31">
        <f>SUMIFS(BCP_Soles[monto],BCP_Soles[periodo],L9,BCP_Soles[tipo_mov],"EGRESO")</f>
        <v>275006.97999999992</v>
      </c>
      <c r="M12" s="31">
        <f>SUMIFS(BCP_Soles[monto],BCP_Soles[periodo],M9,BCP_Soles[tipo_mov],"EGRESO")</f>
        <v>315449.40999999997</v>
      </c>
      <c r="N12" s="31">
        <f>SUMIFS(BCP_Soles[monto],BCP_Soles[periodo],N9,BCP_Soles[tipo_mov],"EGRESO")</f>
        <v>265375.38</v>
      </c>
      <c r="O12" s="31">
        <f>SUMIFS(BCP_Soles[monto],BCP_Soles[periodo],O9,BCP_Soles[tipo_mov],"EGRESO")</f>
        <v>100631.81000000001</v>
      </c>
      <c r="P12" s="31">
        <f>SUMIFS(BCP_Soles[monto],BCP_Soles[periodo],P9,BCP_Soles[tipo_mov],"EGRESO")</f>
        <v>0</v>
      </c>
      <c r="Q12" s="31">
        <f t="shared" si="1"/>
        <v>3315528.5700000003</v>
      </c>
      <c r="R12" s="31">
        <f>SUM(E12:P12)/COUNTIFS(E12:P12,"&gt;"&amp;0)</f>
        <v>301411.68818181823</v>
      </c>
    </row>
    <row r="13" spans="2:18" ht="22.5" customHeight="1" x14ac:dyDescent="0.25">
      <c r="B13" s="264" t="s">
        <v>32</v>
      </c>
      <c r="C13" s="264"/>
      <c r="D13" s="264"/>
      <c r="E13" s="33">
        <f>E10+E11-E12</f>
        <v>14314.210000000137</v>
      </c>
      <c r="F13" s="33">
        <f t="shared" ref="F13:P13" si="2">F10+F11-F12</f>
        <v>10984.750000000175</v>
      </c>
      <c r="G13" s="33">
        <f t="shared" si="2"/>
        <v>105857.68000000017</v>
      </c>
      <c r="H13" s="33">
        <f t="shared" si="2"/>
        <v>63858.660000000265</v>
      </c>
      <c r="I13" s="33">
        <f t="shared" si="2"/>
        <v>36775.529999999853</v>
      </c>
      <c r="J13" s="33">
        <f t="shared" si="2"/>
        <v>426.43999999988591</v>
      </c>
      <c r="K13" s="33">
        <f t="shared" si="2"/>
        <v>3292.6099999996368</v>
      </c>
      <c r="L13" s="33">
        <f t="shared" si="2"/>
        <v>24392.859999999811</v>
      </c>
      <c r="M13" s="33">
        <f t="shared" si="2"/>
        <v>6785.8299999998999</v>
      </c>
      <c r="N13" s="33">
        <f t="shared" si="2"/>
        <v>15785.629999999888</v>
      </c>
      <c r="O13" s="33">
        <f t="shared" si="2"/>
        <v>32.1799999998766</v>
      </c>
      <c r="P13" s="33">
        <f t="shared" si="2"/>
        <v>0</v>
      </c>
      <c r="Q13" s="33">
        <f>SUM(E13:P13)</f>
        <v>282506.3799999996</v>
      </c>
      <c r="R13" s="33">
        <f>SUM(E13:P13)/COUNTIFS(E13:P13,"&gt;"&amp;0)</f>
        <v>25682.398181818146</v>
      </c>
    </row>
    <row r="15" spans="2:18" ht="22.5" customHeight="1" x14ac:dyDescent="0.25">
      <c r="B15" s="265">
        <v>2</v>
      </c>
      <c r="C15" s="267" t="s">
        <v>33</v>
      </c>
      <c r="D15" s="30" t="s">
        <v>29</v>
      </c>
      <c r="E15" s="31">
        <f>SUMIFS(Interbank_Soles[monto],Interbank_Soles[periodo],E9,Interbank_Soles[tipo_mov],"SALDO")</f>
        <v>6651.98</v>
      </c>
      <c r="F15" s="31">
        <f>IF(OR(F16&gt;0,F17&gt;0),E18,0)</f>
        <v>9400.41</v>
      </c>
      <c r="G15" s="31">
        <f t="shared" ref="G15:P15" si="3">IF(OR(G16&gt;0,G17&gt;0),F18,0)</f>
        <v>562.08000000000175</v>
      </c>
      <c r="H15" s="31">
        <f t="shared" si="3"/>
        <v>12976.960000000001</v>
      </c>
      <c r="I15" s="31">
        <f t="shared" si="3"/>
        <v>22485.33</v>
      </c>
      <c r="J15" s="31">
        <f t="shared" si="3"/>
        <v>9017.9199999999983</v>
      </c>
      <c r="K15" s="31">
        <f t="shared" si="3"/>
        <v>3471.6999999999971</v>
      </c>
      <c r="L15" s="31">
        <f t="shared" si="3"/>
        <v>7353.5199999999968</v>
      </c>
      <c r="M15" s="31">
        <f t="shared" si="3"/>
        <v>110.84999999999673</v>
      </c>
      <c r="N15" s="31">
        <f t="shared" si="3"/>
        <v>302.22999999999229</v>
      </c>
      <c r="O15" s="31">
        <f t="shared" si="3"/>
        <v>291.71999999999116</v>
      </c>
      <c r="P15" s="31">
        <f t="shared" si="3"/>
        <v>0</v>
      </c>
      <c r="Q15" s="31">
        <f>SUM(E15:P15)</f>
        <v>72624.699999999968</v>
      </c>
      <c r="R15" s="31">
        <f>SUM(E15:P15)/COUNTIFS(E15:P15,"&gt;"&amp;0)</f>
        <v>6602.245454545452</v>
      </c>
    </row>
    <row r="16" spans="2:18" ht="22.5" customHeight="1" x14ac:dyDescent="0.25">
      <c r="B16" s="266"/>
      <c r="C16" s="268"/>
      <c r="D16" s="32" t="s">
        <v>30</v>
      </c>
      <c r="E16" s="31">
        <f>SUMIFS(Interbank_Soles[monto],Interbank_Soles[periodo],E9,Interbank_Soles[tipo_mov],"INGRESO")</f>
        <v>18283.73</v>
      </c>
      <c r="F16" s="31">
        <f>SUMIFS(Interbank_Soles[monto],Interbank_Soles[periodo],F9,Interbank_Soles[tipo_mov],"INGRESO")</f>
        <v>6195.76</v>
      </c>
      <c r="G16" s="31">
        <f>SUMIFS(Interbank_Soles[monto],Interbank_Soles[periodo],G9,Interbank_Soles[tipo_mov],"INGRESO")</f>
        <v>13630.31</v>
      </c>
      <c r="H16" s="31">
        <f>SUMIFS(Interbank_Soles[monto],Interbank_Soles[periodo],H9,Interbank_Soles[tipo_mov],"INGRESO")</f>
        <v>13710.38</v>
      </c>
      <c r="I16" s="31">
        <f>SUMIFS(Interbank_Soles[monto],Interbank_Soles[periodo],I9,Interbank_Soles[tipo_mov],"INGRESO")</f>
        <v>23209.739999999998</v>
      </c>
      <c r="J16" s="31">
        <f>SUMIFS(Interbank_Soles[monto],Interbank_Soles[periodo],J9,Interbank_Soles[tipo_mov],"INGRESO")</f>
        <v>7846.03</v>
      </c>
      <c r="K16" s="31">
        <f>SUMIFS(Interbank_Soles[monto],Interbank_Soles[periodo],K9,Interbank_Soles[tipo_mov],"INGRESO")</f>
        <v>8013.7</v>
      </c>
      <c r="L16" s="31">
        <f>SUMIFS(Interbank_Soles[monto],Interbank_Soles[periodo],L9,Interbank_Soles[tipo_mov],"INGRESO")</f>
        <v>0</v>
      </c>
      <c r="M16" s="31">
        <f>SUMIFS(Interbank_Soles[monto],Interbank_Soles[periodo],M9,Interbank_Soles[tipo_mov],"INGRESO")</f>
        <v>16793.689999999999</v>
      </c>
      <c r="N16" s="31">
        <f>SUMIFS(Interbank_Soles[monto],Interbank_Soles[periodo],N9,Interbank_Soles[tipo_mov],"INGRESO")</f>
        <v>8175.1399999999994</v>
      </c>
      <c r="O16" s="31">
        <f>SUMIFS(Interbank_Soles[monto],Interbank_Soles[periodo],O9,Interbank_Soles[tipo_mov],"INGRESO")</f>
        <v>0</v>
      </c>
      <c r="P16" s="31">
        <f>SUMIFS(Interbank_Soles[monto],Interbank_Soles[periodo],P9,Interbank_Soles[tipo_mov],"INGRESO")</f>
        <v>0</v>
      </c>
      <c r="Q16" s="31">
        <f t="shared" ref="Q16:Q17" si="4">SUM(E16:P16)</f>
        <v>115858.47999999998</v>
      </c>
      <c r="R16" s="31">
        <f>SUM(E16:P16)/COUNTIFS(E16:P16,"&gt;"&amp;0)</f>
        <v>12873.164444444443</v>
      </c>
    </row>
    <row r="17" spans="2:18" ht="22.5" customHeight="1" x14ac:dyDescent="0.25">
      <c r="B17" s="266"/>
      <c r="C17" s="268"/>
      <c r="D17" s="32" t="s">
        <v>31</v>
      </c>
      <c r="E17" s="31">
        <f>SUMIFS(Interbank_Soles[monto],Interbank_Soles[periodo],E9,Interbank_Soles[tipo_mov],"EGRESO")</f>
        <v>15535.3</v>
      </c>
      <c r="F17" s="31">
        <f>SUMIFS(Interbank_Soles[monto],Interbank_Soles[periodo],F9,Interbank_Soles[tipo_mov],"EGRESO")</f>
        <v>15034.089999999998</v>
      </c>
      <c r="G17" s="31">
        <f>SUMIFS(Interbank_Soles[monto],Interbank_Soles[periodo],G9,Interbank_Soles[tipo_mov],"EGRESO")</f>
        <v>1215.43</v>
      </c>
      <c r="H17" s="31">
        <f>SUMIFS(Interbank_Soles[monto],Interbank_Soles[periodo],H9,Interbank_Soles[tipo_mov],"EGRESO")</f>
        <v>4202.0099999999993</v>
      </c>
      <c r="I17" s="31">
        <f>SUMIFS(Interbank_Soles[monto],Interbank_Soles[periodo],I9,Interbank_Soles[tipo_mov],"EGRESO")</f>
        <v>36677.15</v>
      </c>
      <c r="J17" s="31">
        <f>SUMIFS(Interbank_Soles[monto],Interbank_Soles[periodo],J9,Interbank_Soles[tipo_mov],"EGRESO")</f>
        <v>13392.25</v>
      </c>
      <c r="K17" s="31">
        <f>SUMIFS(Interbank_Soles[monto],Interbank_Soles[periodo],K9,Interbank_Soles[tipo_mov],"EGRESO")</f>
        <v>4131.880000000001</v>
      </c>
      <c r="L17" s="31">
        <f>SUMIFS(Interbank_Soles[monto],Interbank_Soles[periodo],L9,Interbank_Soles[tipo_mov],"EGRESO")</f>
        <v>7242.67</v>
      </c>
      <c r="M17" s="31">
        <f>SUMIFS(Interbank_Soles[monto],Interbank_Soles[periodo],M9,Interbank_Soles[tipo_mov],"EGRESO")</f>
        <v>16602.310000000001</v>
      </c>
      <c r="N17" s="31">
        <f>SUMIFS(Interbank_Soles[monto],Interbank_Soles[periodo],N9,Interbank_Soles[tipo_mov],"EGRESO")</f>
        <v>8185.6500000000005</v>
      </c>
      <c r="O17" s="31">
        <f>SUMIFS(Interbank_Soles[monto],Interbank_Soles[periodo],O9,Interbank_Soles[tipo_mov],"EGRESO")</f>
        <v>50</v>
      </c>
      <c r="P17" s="31">
        <f>SUMIFS(Interbank_Soles[monto],Interbank_Soles[periodo],P9,Interbank_Soles[tipo_mov],"EGRESO")</f>
        <v>0</v>
      </c>
      <c r="Q17" s="31">
        <f t="shared" si="4"/>
        <v>122268.74</v>
      </c>
      <c r="R17" s="31">
        <f>SUM(E17:P17)/COUNTIFS(E17:P17,"&gt;"&amp;0)</f>
        <v>11115.34</v>
      </c>
    </row>
    <row r="18" spans="2:18" ht="22.5" customHeight="1" x14ac:dyDescent="0.25">
      <c r="B18" s="264" t="s">
        <v>34</v>
      </c>
      <c r="C18" s="264"/>
      <c r="D18" s="264"/>
      <c r="E18" s="33">
        <f>E15+E16-E17</f>
        <v>9400.41</v>
      </c>
      <c r="F18" s="33">
        <f t="shared" ref="F18:P18" si="5">F15+F16-F17</f>
        <v>562.08000000000175</v>
      </c>
      <c r="G18" s="33">
        <f t="shared" si="5"/>
        <v>12976.960000000001</v>
      </c>
      <c r="H18" s="33">
        <f t="shared" si="5"/>
        <v>22485.33</v>
      </c>
      <c r="I18" s="33">
        <f t="shared" si="5"/>
        <v>9017.9199999999983</v>
      </c>
      <c r="J18" s="33">
        <f t="shared" si="5"/>
        <v>3471.6999999999971</v>
      </c>
      <c r="K18" s="33">
        <f t="shared" si="5"/>
        <v>7353.5199999999968</v>
      </c>
      <c r="L18" s="33">
        <f t="shared" si="5"/>
        <v>110.84999999999673</v>
      </c>
      <c r="M18" s="33">
        <f t="shared" si="5"/>
        <v>302.22999999999229</v>
      </c>
      <c r="N18" s="33">
        <f t="shared" si="5"/>
        <v>291.71999999999116</v>
      </c>
      <c r="O18" s="33">
        <f t="shared" si="5"/>
        <v>241.71999999999116</v>
      </c>
      <c r="P18" s="33">
        <f t="shared" si="5"/>
        <v>0</v>
      </c>
      <c r="Q18" s="33">
        <f>SUM(E18:P18)</f>
        <v>66214.439999999959</v>
      </c>
      <c r="R18" s="33">
        <f>SUM(E18:P18)/COUNTIFS(E18:P18,"&gt;"&amp;0)</f>
        <v>6019.4945454545414</v>
      </c>
    </row>
    <row r="20" spans="2:18" ht="22.5" customHeight="1" x14ac:dyDescent="0.25">
      <c r="B20" s="265">
        <v>3</v>
      </c>
      <c r="C20" s="267" t="s">
        <v>35</v>
      </c>
      <c r="D20" s="30" t="s">
        <v>29</v>
      </c>
      <c r="E20" s="31">
        <f>SUMIFS(Bbva_Soles[monto],Bbva_Soles[periodo],E9,Bbva_Soles[tipo_mov],"SALDO")</f>
        <v>1197.7</v>
      </c>
      <c r="F20" s="31">
        <f>IF(OR(F21&gt;0,F22&gt;0),E23,0)</f>
        <v>3637.55</v>
      </c>
      <c r="G20" s="31">
        <f t="shared" ref="G20:P20" si="6">IF(OR(G21&gt;0,G22&gt;0),F23,0)</f>
        <v>3382.55</v>
      </c>
      <c r="H20" s="31">
        <f t="shared" si="6"/>
        <v>3352.55</v>
      </c>
      <c r="I20" s="31">
        <f t="shared" si="6"/>
        <v>77223.05</v>
      </c>
      <c r="J20" s="31">
        <f t="shared" si="6"/>
        <v>41836.239999999998</v>
      </c>
      <c r="K20" s="31">
        <f t="shared" si="6"/>
        <v>42677.259999999995</v>
      </c>
      <c r="L20" s="31">
        <f t="shared" si="6"/>
        <v>4015.3299999999945</v>
      </c>
      <c r="M20" s="31">
        <f t="shared" si="6"/>
        <v>6730.3999999999942</v>
      </c>
      <c r="N20" s="31">
        <f t="shared" si="6"/>
        <v>3714.4599999999941</v>
      </c>
      <c r="O20" s="31">
        <f t="shared" si="6"/>
        <v>0</v>
      </c>
      <c r="P20" s="31">
        <f t="shared" si="6"/>
        <v>0</v>
      </c>
      <c r="Q20" s="31">
        <f>SUM(E20:P20)</f>
        <v>187767.08999999994</v>
      </c>
      <c r="R20" s="31">
        <f>SUM(E20:P20)/COUNTIFS(E20:P20,"&gt;"&amp;0)</f>
        <v>18776.708999999995</v>
      </c>
    </row>
    <row r="21" spans="2:18" ht="22.5" customHeight="1" x14ac:dyDescent="0.25">
      <c r="B21" s="266"/>
      <c r="C21" s="268"/>
      <c r="D21" s="32" t="s">
        <v>30</v>
      </c>
      <c r="E21" s="31">
        <f>SUMIFS(Bbva_Soles[monto],Bbva_Soles[periodo],E9,Bbva_Soles[tipo_mov],"INGRESO")</f>
        <v>2469.9</v>
      </c>
      <c r="F21" s="31">
        <f>SUMIFS(Bbva_Soles[monto],Bbva_Soles[periodo],F9,Bbva_Soles[tipo_mov],"INGRESO")</f>
        <v>0</v>
      </c>
      <c r="G21" s="31">
        <f>SUMIFS(Bbva_Soles[monto],Bbva_Soles[periodo],G9,Bbva_Soles[tipo_mov],"INGRESO")</f>
        <v>0</v>
      </c>
      <c r="H21" s="31">
        <f>SUMIFS(Bbva_Soles[monto],Bbva_Soles[periodo],H9,Bbva_Soles[tipo_mov],"INGRESO")</f>
        <v>73904</v>
      </c>
      <c r="I21" s="31">
        <f>SUMIFS(Bbva_Soles[monto],Bbva_Soles[periodo],I9,Bbva_Soles[tipo_mov],"INGRESO")</f>
        <v>4665.34</v>
      </c>
      <c r="J21" s="31">
        <f>SUMIFS(Bbva_Soles[monto],Bbva_Soles[periodo],J9,Bbva_Soles[tipo_mov],"INGRESO")</f>
        <v>871.02</v>
      </c>
      <c r="K21" s="31">
        <f>SUMIFS(Bbva_Soles[monto],Bbva_Soles[periodo],K9,Bbva_Soles[tipo_mov],"INGRESO")</f>
        <v>1370.12</v>
      </c>
      <c r="L21" s="31">
        <f>SUMIFS(Bbva_Soles[monto],Bbva_Soles[periodo],L9,Bbva_Soles[tipo_mov],"INGRESO")</f>
        <v>2745.12</v>
      </c>
      <c r="M21" s="31">
        <f>SUMIFS(Bbva_Soles[monto],Bbva_Soles[periodo],M9,Bbva_Soles[tipo_mov],"INGRESO")</f>
        <v>14.21</v>
      </c>
      <c r="N21" s="31">
        <f>SUMIFS(Bbva_Soles[monto],Bbva_Soles[periodo],N9,Bbva_Soles[tipo_mov],"INGRESO")</f>
        <v>1552.08</v>
      </c>
      <c r="O21" s="31">
        <f>SUMIFS(Bbva_Soles[monto],Bbva_Soles[periodo],O9,Bbva_Soles[tipo_mov],"INGRESO")</f>
        <v>0</v>
      </c>
      <c r="P21" s="31">
        <f>SUMIFS(Bbva_Soles[monto],Bbva_Soles[periodo],P9,Bbva_Soles[tipo_mov],"INGRESO")</f>
        <v>0</v>
      </c>
      <c r="Q21" s="31">
        <f t="shared" ref="Q21:Q22" si="7">SUM(E21:P21)</f>
        <v>87591.79</v>
      </c>
      <c r="R21" s="31">
        <f>SUM(E21:P21)/COUNTIFS(E21:P21,"&gt;"&amp;0)</f>
        <v>10948.973749999999</v>
      </c>
    </row>
    <row r="22" spans="2:18" ht="22.5" customHeight="1" x14ac:dyDescent="0.25">
      <c r="B22" s="266"/>
      <c r="C22" s="268"/>
      <c r="D22" s="32" t="s">
        <v>31</v>
      </c>
      <c r="E22" s="31">
        <f>SUMIFS(Bbva_Soles[monto],Bbva_Soles[periodo],E9,Bbva_Soles[tipo_mov],"EGRESO")</f>
        <v>30.05</v>
      </c>
      <c r="F22" s="31">
        <f>SUMIFS(Bbva_Soles[monto],Bbva_Soles[periodo],F9,Bbva_Soles[tipo_mov],"EGRESO")</f>
        <v>255</v>
      </c>
      <c r="G22" s="31">
        <f>SUMIFS(Bbva_Soles[monto],Bbva_Soles[periodo],G9,Bbva_Soles[tipo_mov],"EGRESO")</f>
        <v>30</v>
      </c>
      <c r="H22" s="31">
        <f>SUMIFS(Bbva_Soles[monto],Bbva_Soles[periodo],H9,Bbva_Soles[tipo_mov],"EGRESO")</f>
        <v>33.5</v>
      </c>
      <c r="I22" s="31">
        <f>SUMIFS(Bbva_Soles[monto],Bbva_Soles[periodo],I9,Bbva_Soles[tipo_mov],"EGRESO")</f>
        <v>40052.15</v>
      </c>
      <c r="J22" s="31">
        <f>SUMIFS(Bbva_Soles[monto],Bbva_Soles[periodo],J9,Bbva_Soles[tipo_mov],"EGRESO")</f>
        <v>30</v>
      </c>
      <c r="K22" s="31">
        <f>SUMIFS(Bbva_Soles[monto],Bbva_Soles[periodo],K9,Bbva_Soles[tipo_mov],"EGRESO")</f>
        <v>40032.050000000003</v>
      </c>
      <c r="L22" s="31">
        <f>SUMIFS(Bbva_Soles[monto],Bbva_Soles[periodo],L9,Bbva_Soles[tipo_mov],"EGRESO")</f>
        <v>30.05</v>
      </c>
      <c r="M22" s="31">
        <f>SUMIFS(Bbva_Soles[monto],Bbva_Soles[periodo],M9,Bbva_Soles[tipo_mov],"EGRESO")</f>
        <v>3030.15</v>
      </c>
      <c r="N22" s="31">
        <f>SUMIFS(Bbva_Soles[monto],Bbva_Soles[periodo],N9,Bbva_Soles[tipo_mov],"EGRESO")</f>
        <v>3000.2000000000003</v>
      </c>
      <c r="O22" s="31">
        <f>SUMIFS(Bbva_Soles[monto],Bbva_Soles[periodo],O9,Bbva_Soles[tipo_mov],"EGRESO")</f>
        <v>0</v>
      </c>
      <c r="P22" s="31">
        <f>SUMIFS(Bbva_Soles[monto],Bbva_Soles[periodo],P9,Bbva_Soles[tipo_mov],"EGRESO")</f>
        <v>0</v>
      </c>
      <c r="Q22" s="31">
        <f t="shared" si="7"/>
        <v>86523.15</v>
      </c>
      <c r="R22" s="31">
        <f>SUM(E22:P22)/COUNTIFS(E22:P22,"&gt;"&amp;0)</f>
        <v>8652.3149999999987</v>
      </c>
    </row>
    <row r="23" spans="2:18" ht="22.5" customHeight="1" x14ac:dyDescent="0.25">
      <c r="B23" s="264" t="s">
        <v>36</v>
      </c>
      <c r="C23" s="264"/>
      <c r="D23" s="264"/>
      <c r="E23" s="33">
        <f>E20+E21-E22</f>
        <v>3637.55</v>
      </c>
      <c r="F23" s="33">
        <f t="shared" ref="F23:P23" si="8">F20+F21-F22</f>
        <v>3382.55</v>
      </c>
      <c r="G23" s="33">
        <f t="shared" si="8"/>
        <v>3352.55</v>
      </c>
      <c r="H23" s="33">
        <f t="shared" si="8"/>
        <v>77223.05</v>
      </c>
      <c r="I23" s="33">
        <f t="shared" si="8"/>
        <v>41836.239999999998</v>
      </c>
      <c r="J23" s="33">
        <f>J20+J21-J22</f>
        <v>42677.259999999995</v>
      </c>
      <c r="K23" s="33">
        <f>K20+K21-K22</f>
        <v>4015.3299999999945</v>
      </c>
      <c r="L23" s="33">
        <f t="shared" si="8"/>
        <v>6730.3999999999942</v>
      </c>
      <c r="M23" s="33">
        <f t="shared" si="8"/>
        <v>3714.4599999999941</v>
      </c>
      <c r="N23" s="33">
        <f t="shared" si="8"/>
        <v>2266.3399999999933</v>
      </c>
      <c r="O23" s="33">
        <f t="shared" si="8"/>
        <v>0</v>
      </c>
      <c r="P23" s="33">
        <f t="shared" si="8"/>
        <v>0</v>
      </c>
      <c r="Q23" s="33">
        <f>SUM(E23:P23)</f>
        <v>188835.72999999998</v>
      </c>
      <c r="R23" s="33">
        <f>SUM(E23:P23)/COUNTIFS(E23:P23,"&gt;"&amp;0)</f>
        <v>18883.572999999997</v>
      </c>
    </row>
    <row r="25" spans="2:18" ht="22.5" customHeight="1" x14ac:dyDescent="0.25">
      <c r="B25" s="265">
        <v>4</v>
      </c>
      <c r="C25" s="267" t="s">
        <v>37</v>
      </c>
      <c r="D25" s="30" t="s">
        <v>29</v>
      </c>
      <c r="E25" s="31">
        <f>SUMIFS(Banco_Nacion[monto],Banco_Nacion[periodo],E9,Banco_Nacion[tipo_mov],"SALDO")</f>
        <v>45894.010000000009</v>
      </c>
      <c r="F25" s="31">
        <f>IF(OR(F26&gt;0,F27&gt;0),E28,0)</f>
        <v>51881.010000000009</v>
      </c>
      <c r="G25" s="31">
        <f t="shared" ref="G25:P25" si="9">IF(OR(G26&gt;0,G27&gt;0),F28,0)</f>
        <v>42252.010000000009</v>
      </c>
      <c r="H25" s="31">
        <f t="shared" si="9"/>
        <v>28507.010000000009</v>
      </c>
      <c r="I25" s="31">
        <f t="shared" si="9"/>
        <v>40496.22</v>
      </c>
      <c r="J25" s="31">
        <f t="shared" si="9"/>
        <v>45268.22</v>
      </c>
      <c r="K25" s="31">
        <f t="shared" si="9"/>
        <v>48722.22</v>
      </c>
      <c r="L25" s="31">
        <f t="shared" si="9"/>
        <v>40789.22</v>
      </c>
      <c r="M25" s="31">
        <f t="shared" si="9"/>
        <v>254.22000000000116</v>
      </c>
      <c r="N25" s="31">
        <f t="shared" si="9"/>
        <v>12651.220000000001</v>
      </c>
      <c r="O25" s="31">
        <f t="shared" si="9"/>
        <v>5534.2200000000012</v>
      </c>
      <c r="P25" s="31">
        <f t="shared" si="9"/>
        <v>0</v>
      </c>
      <c r="Q25" s="31">
        <f>SUM(E25:P25)</f>
        <v>362249.57999999996</v>
      </c>
      <c r="R25" s="31">
        <f>SUM(E25:P25)/COUNTIFS(E25:P25,"&gt;"&amp;0)</f>
        <v>32931.78</v>
      </c>
    </row>
    <row r="26" spans="2:18" ht="22.5" customHeight="1" x14ac:dyDescent="0.25">
      <c r="B26" s="266"/>
      <c r="C26" s="268"/>
      <c r="D26" s="32" t="s">
        <v>30</v>
      </c>
      <c r="E26" s="31">
        <f>SUMIFS(Banco_Nacion[monto],Banco_Nacion[periodo],E9,Banco_Nacion[tipo_mov],"INGRESO")</f>
        <v>31086</v>
      </c>
      <c r="F26" s="31">
        <f>SUMIFS(Banco_Nacion[monto],Banco_Nacion[periodo],F9,Banco_Nacion[tipo_mov],"INGRESO")</f>
        <v>22287</v>
      </c>
      <c r="G26" s="31">
        <f>SUMIFS(Banco_Nacion[monto],Banco_Nacion[periodo],G9,Banco_Nacion[tipo_mov],"INGRESO")</f>
        <v>32210</v>
      </c>
      <c r="H26" s="31">
        <f>SUMIFS(Banco_Nacion[monto],Banco_Nacion[periodo],H9,Banco_Nacion[tipo_mov],"INGRESO")</f>
        <v>47372.21</v>
      </c>
      <c r="I26" s="31">
        <f>SUMIFS(Banco_Nacion[monto],Banco_Nacion[periodo],I9,Banco_Nacion[tipo_mov],"INGRESO")</f>
        <v>36246</v>
      </c>
      <c r="J26" s="31">
        <f>SUMIFS(Banco_Nacion[monto],Banco_Nacion[periodo],J9,Banco_Nacion[tipo_mov],"INGRESO")</f>
        <v>31297</v>
      </c>
      <c r="K26" s="31">
        <f>SUMIFS(Banco_Nacion[monto],Banco_Nacion[periodo],K9,Banco_Nacion[tipo_mov],"INGRESO")</f>
        <v>32182</v>
      </c>
      <c r="L26" s="31">
        <f>SUMIFS(Banco_Nacion[monto],Banco_Nacion[periodo],L9,Banco_Nacion[tipo_mov],"INGRESO")</f>
        <v>24915</v>
      </c>
      <c r="M26" s="31">
        <f>SUMIFS(Banco_Nacion[monto],Banco_Nacion[periodo],M9,Banco_Nacion[tipo_mov],"INGRESO")</f>
        <v>33935</v>
      </c>
      <c r="N26" s="31">
        <f>SUMIFS(Banco_Nacion[monto],Banco_Nacion[periodo],N9,Banco_Nacion[tipo_mov],"INGRESO")</f>
        <v>27236</v>
      </c>
      <c r="O26" s="31">
        <f>SUMIFS(Banco_Nacion[monto],Banco_Nacion[periodo],O9,Banco_Nacion[tipo_mov],"INGRESO")</f>
        <v>8192</v>
      </c>
      <c r="P26" s="31">
        <f>SUMIFS(Banco_Nacion[monto],Banco_Nacion[periodo],P9,Banco_Nacion[tipo_mov],"INGRESO")</f>
        <v>0</v>
      </c>
      <c r="Q26" s="31">
        <f t="shared" ref="Q26:Q27" si="10">SUM(E26:P26)</f>
        <v>326958.20999999996</v>
      </c>
      <c r="R26" s="31">
        <f>SUM(E26:P26)/COUNTIFS(E26:P26,"&gt;"&amp;0)</f>
        <v>29723.473636363633</v>
      </c>
    </row>
    <row r="27" spans="2:18" ht="22.5" customHeight="1" x14ac:dyDescent="0.25">
      <c r="B27" s="266"/>
      <c r="C27" s="268"/>
      <c r="D27" s="32" t="s">
        <v>31</v>
      </c>
      <c r="E27" s="31">
        <f>SUMIFS(Banco_Nacion[monto],Banco_Nacion[periodo],E9,Banco_Nacion[tipo_mov],"EGRESO")</f>
        <v>25099</v>
      </c>
      <c r="F27" s="31">
        <f>SUMIFS(Banco_Nacion[monto],Banco_Nacion[periodo],F9,Banco_Nacion[tipo_mov],"EGRESO")</f>
        <v>31916</v>
      </c>
      <c r="G27" s="31">
        <f>SUMIFS(Banco_Nacion[monto],Banco_Nacion[periodo],G9,Banco_Nacion[tipo_mov],"EGRESO")</f>
        <v>45955</v>
      </c>
      <c r="H27" s="31">
        <f>SUMIFS(Banco_Nacion[monto],Banco_Nacion[periodo],H9,Banco_Nacion[tipo_mov],"EGRESO")</f>
        <v>35383</v>
      </c>
      <c r="I27" s="31">
        <f>SUMIFS(Banco_Nacion[monto],Banco_Nacion[periodo],I9,Banco_Nacion[tipo_mov],"EGRESO")</f>
        <v>31474</v>
      </c>
      <c r="J27" s="31">
        <f>SUMIFS(Banco_Nacion[monto],Banco_Nacion[periodo],J9,Banco_Nacion[tipo_mov],"EGRESO")</f>
        <v>27843</v>
      </c>
      <c r="K27" s="31">
        <f>SUMIFS(Banco_Nacion[monto],Banco_Nacion[periodo],K9,Banco_Nacion[tipo_mov],"EGRESO")</f>
        <v>40115</v>
      </c>
      <c r="L27" s="31">
        <f>SUMIFS(Banco_Nacion[monto],Banco_Nacion[periodo],L9,Banco_Nacion[tipo_mov],"EGRESO")</f>
        <v>65450</v>
      </c>
      <c r="M27" s="31">
        <f>SUMIFS(Banco_Nacion[monto],Banco_Nacion[periodo],M9,Banco_Nacion[tipo_mov],"EGRESO")</f>
        <v>21538</v>
      </c>
      <c r="N27" s="31">
        <f>SUMIFS(Banco_Nacion[monto],Banco_Nacion[periodo],N9,Banco_Nacion[tipo_mov],"EGRESO")</f>
        <v>34353</v>
      </c>
      <c r="O27" s="31">
        <f>SUMIFS(Banco_Nacion[monto],Banco_Nacion[periodo],O9,Banco_Nacion[tipo_mov],"EGRESO")</f>
        <v>0</v>
      </c>
      <c r="P27" s="31">
        <f>SUMIFS(Banco_Nacion[monto],Banco_Nacion[periodo],P9,Banco_Nacion[tipo_mov],"EGRESO")</f>
        <v>0</v>
      </c>
      <c r="Q27" s="31">
        <f t="shared" si="10"/>
        <v>359126</v>
      </c>
      <c r="R27" s="31">
        <f>SUM(E27:P27)/COUNTIFS(E27:P27,"&gt;"&amp;0)</f>
        <v>35912.6</v>
      </c>
    </row>
    <row r="28" spans="2:18" ht="22.5" customHeight="1" x14ac:dyDescent="0.25">
      <c r="B28" s="264" t="s">
        <v>38</v>
      </c>
      <c r="C28" s="264"/>
      <c r="D28" s="264"/>
      <c r="E28" s="33">
        <f>E25+E26-E27</f>
        <v>51881.010000000009</v>
      </c>
      <c r="F28" s="33">
        <f t="shared" ref="F28:P28" si="11">F25+F26-F27</f>
        <v>42252.010000000009</v>
      </c>
      <c r="G28" s="33">
        <f t="shared" si="11"/>
        <v>28507.010000000009</v>
      </c>
      <c r="H28" s="33">
        <f t="shared" si="11"/>
        <v>40496.22</v>
      </c>
      <c r="I28" s="33">
        <f t="shared" si="11"/>
        <v>45268.22</v>
      </c>
      <c r="J28" s="33">
        <f t="shared" si="11"/>
        <v>48722.22</v>
      </c>
      <c r="K28" s="33">
        <f t="shared" si="11"/>
        <v>40789.22</v>
      </c>
      <c r="L28" s="33">
        <f t="shared" si="11"/>
        <v>254.22000000000116</v>
      </c>
      <c r="M28" s="33">
        <f t="shared" si="11"/>
        <v>12651.220000000001</v>
      </c>
      <c r="N28" s="33">
        <f t="shared" si="11"/>
        <v>5534.2200000000012</v>
      </c>
      <c r="O28" s="33">
        <f t="shared" si="11"/>
        <v>13726.220000000001</v>
      </c>
      <c r="P28" s="33">
        <f t="shared" si="11"/>
        <v>0</v>
      </c>
      <c r="Q28" s="33">
        <f>SUM(E28:P28)</f>
        <v>330081.78999999992</v>
      </c>
      <c r="R28" s="33">
        <f>SUM(E28:P28)/COUNTIFS(E28:P28,"&gt;"&amp;0)</f>
        <v>30007.435454545448</v>
      </c>
    </row>
    <row r="30" spans="2:18" ht="22.5" customHeight="1" x14ac:dyDescent="0.25">
      <c r="B30" s="265">
        <v>5</v>
      </c>
      <c r="C30" s="267" t="s">
        <v>39</v>
      </c>
      <c r="D30" s="30" t="s">
        <v>29</v>
      </c>
      <c r="E30" s="36">
        <f>SUMIFS(BCP_Dolares[monto],BCP_Dolares[periodo],E9,BCP_Dolares[tipo_mov],"SALDO")</f>
        <v>471.82</v>
      </c>
      <c r="F30" s="36">
        <f>IF(OR(F31&gt;0,F32&gt;0),E33,0)</f>
        <v>7635.5799999999981</v>
      </c>
      <c r="G30" s="36">
        <f t="shared" ref="G30:P30" si="12">IF(OR(G31&gt;0,G32&gt;0),F33,0)</f>
        <v>17840.64</v>
      </c>
      <c r="H30" s="36">
        <f t="shared" si="12"/>
        <v>19884.140000000003</v>
      </c>
      <c r="I30" s="36">
        <f t="shared" si="12"/>
        <v>26380.470000000005</v>
      </c>
      <c r="J30" s="36">
        <f t="shared" si="12"/>
        <v>12244.080000000005</v>
      </c>
      <c r="K30" s="36">
        <f t="shared" si="12"/>
        <v>13402.760000000002</v>
      </c>
      <c r="L30" s="36">
        <f t="shared" si="12"/>
        <v>1390.9200000000019</v>
      </c>
      <c r="M30" s="36">
        <f t="shared" si="12"/>
        <v>468.92000000000189</v>
      </c>
      <c r="N30" s="36">
        <f t="shared" si="12"/>
        <v>-10.75</v>
      </c>
      <c r="O30" s="36">
        <f t="shared" si="12"/>
        <v>-14.070000000003347</v>
      </c>
      <c r="P30" s="36">
        <f t="shared" si="12"/>
        <v>0</v>
      </c>
      <c r="Q30" s="36">
        <f>SUM(E30:P30)</f>
        <v>99694.510000000009</v>
      </c>
      <c r="R30" s="36">
        <f>SUM(E30:P30)/COUNTIFS(E30:P30,"&gt;"&amp;0)</f>
        <v>11077.167777777779</v>
      </c>
    </row>
    <row r="31" spans="2:18" ht="22.5" customHeight="1" x14ac:dyDescent="0.25">
      <c r="B31" s="266"/>
      <c r="C31" s="268"/>
      <c r="D31" s="32" t="s">
        <v>30</v>
      </c>
      <c r="E31" s="36">
        <f>SUMIFS(BCP_Dolares[monto],BCP_Dolares[periodo],E9,BCP_Dolares[tipo_mov],"INGRESO")</f>
        <v>21496.16</v>
      </c>
      <c r="F31" s="36">
        <f>SUMIFS(BCP_Dolares[monto],BCP_Dolares[periodo],F9,BCP_Dolares[tipo_mov],"INGRESO")</f>
        <v>13011.35</v>
      </c>
      <c r="G31" s="36">
        <f>SUMIFS(BCP_Dolares[monto],BCP_Dolares[periodo],G9,BCP_Dolares[tipo_mov],"INGRESO")</f>
        <v>20701.43</v>
      </c>
      <c r="H31" s="36">
        <f>SUMIFS(BCP_Dolares[monto],BCP_Dolares[periodo],H9,BCP_Dolares[tipo_mov],"INGRESO")</f>
        <v>12585.970000000001</v>
      </c>
      <c r="I31" s="36">
        <f>SUMIFS(BCP_Dolares[monto],BCP_Dolares[periodo],I9,BCP_Dolares[tipo_mov],"INGRESO")</f>
        <v>18084.55</v>
      </c>
      <c r="J31" s="36">
        <f>SUMIFS(BCP_Dolares[monto],BCP_Dolares[periodo],J9,BCP_Dolares[tipo_mov],"INGRESO")</f>
        <v>40710.239999999998</v>
      </c>
      <c r="K31" s="36">
        <f>SUMIFS(BCP_Dolares[monto],BCP_Dolares[periodo],K9,BCP_Dolares[tipo_mov],"INGRESO")</f>
        <v>20558.05</v>
      </c>
      <c r="L31" s="36">
        <f>SUMIFS(BCP_Dolares[monto],BCP_Dolares[periodo],L9,BCP_Dolares[tipo_mov],"INGRESO")</f>
        <v>18368.97</v>
      </c>
      <c r="M31" s="36">
        <f>SUMIFS(BCP_Dolares[monto],BCP_Dolares[periodo],M9,BCP_Dolares[tipo_mov],"INGRESO")</f>
        <v>16142.44</v>
      </c>
      <c r="N31" s="36">
        <f>SUMIFS(BCP_Dolares[monto],BCP_Dolares[periodo],N9,BCP_Dolares[tipo_mov],"INGRESO")</f>
        <v>21709.64</v>
      </c>
      <c r="O31" s="36">
        <f>SUMIFS(BCP_Dolares[monto],BCP_Dolares[periodo],O9,BCP_Dolares[tipo_mov],"INGRESO")</f>
        <v>72.010000000000005</v>
      </c>
      <c r="P31" s="36">
        <f>SUMIFS(BCP_Dolares[monto],BCP_Dolares[periodo],P9,BCP_Dolares[tipo_mov],"INGRESO")</f>
        <v>0</v>
      </c>
      <c r="Q31" s="36">
        <f t="shared" ref="Q31:Q32" si="13">SUM(E31:P31)</f>
        <v>203440.81</v>
      </c>
      <c r="R31" s="36">
        <f t="shared" ref="R31:R33" si="14">SUM(E31:P31)/COUNTIFS(E31:P31,"&gt;"&amp;0)</f>
        <v>18494.619090909091</v>
      </c>
    </row>
    <row r="32" spans="2:18" ht="22.5" customHeight="1" x14ac:dyDescent="0.25">
      <c r="B32" s="266"/>
      <c r="C32" s="268"/>
      <c r="D32" s="32" t="s">
        <v>31</v>
      </c>
      <c r="E32" s="36">
        <f>SUMIFS(BCP_Dolares[monto],BCP_Dolares[periodo],E9,BCP_Dolares[tipo_mov],"EGRESO")</f>
        <v>14332.400000000001</v>
      </c>
      <c r="F32" s="36">
        <f>SUMIFS(BCP_Dolares[monto],BCP_Dolares[periodo],F9,BCP_Dolares[tipo_mov],"EGRESO")</f>
        <v>2806.2899999999995</v>
      </c>
      <c r="G32" s="36">
        <f>SUMIFS(BCP_Dolares[monto],BCP_Dolares[periodo],G9,BCP_Dolares[tipo_mov],"EGRESO")</f>
        <v>18657.929999999997</v>
      </c>
      <c r="H32" s="36">
        <f>SUMIFS(BCP_Dolares[monto],BCP_Dolares[periodo],H9,BCP_Dolares[tipo_mov],"EGRESO")</f>
        <v>6089.6399999999994</v>
      </c>
      <c r="I32" s="36">
        <f>SUMIFS(BCP_Dolares[monto],BCP_Dolares[periodo],I9,BCP_Dolares[tipo_mov],"EGRESO")</f>
        <v>32220.94</v>
      </c>
      <c r="J32" s="36">
        <f>SUMIFS(BCP_Dolares[monto],BCP_Dolares[periodo],J9,BCP_Dolares[tipo_mov],"EGRESO")</f>
        <v>39551.560000000005</v>
      </c>
      <c r="K32" s="36">
        <f>SUMIFS(BCP_Dolares[monto],BCP_Dolares[periodo],K9,BCP_Dolares[tipo_mov],"EGRESO")</f>
        <v>32569.889999999996</v>
      </c>
      <c r="L32" s="36">
        <f>SUMIFS(BCP_Dolares[monto],BCP_Dolares[periodo],L9,BCP_Dolares[tipo_mov],"EGRESO")</f>
        <v>19290.97</v>
      </c>
      <c r="M32" s="36">
        <f>SUMIFS(BCP_Dolares[monto],BCP_Dolares[periodo],M9,BCP_Dolares[tipo_mov],"EGRESO")</f>
        <v>16622.11</v>
      </c>
      <c r="N32" s="36">
        <f>SUMIFS(BCP_Dolares[monto],BCP_Dolares[periodo],N9,BCP_Dolares[tipo_mov],"EGRESO")</f>
        <v>21712.960000000003</v>
      </c>
      <c r="O32" s="36">
        <f>SUMIFS(BCP_Dolares[monto],BCP_Dolares[periodo],O9,BCP_Dolares[tipo_mov],"EGRESO")</f>
        <v>1.32</v>
      </c>
      <c r="P32" s="36">
        <f>SUMIFS(BCP_Dolares[monto],BCP_Dolares[periodo],P9,BCP_Dolares[tipo_mov],"EGRESO")</f>
        <v>0</v>
      </c>
      <c r="Q32" s="36">
        <f t="shared" si="13"/>
        <v>203856.00999999998</v>
      </c>
      <c r="R32" s="36">
        <f t="shared" si="14"/>
        <v>18532.364545454544</v>
      </c>
    </row>
    <row r="33" spans="2:18" ht="22.5" customHeight="1" x14ac:dyDescent="0.25">
      <c r="B33" s="286" t="s">
        <v>40</v>
      </c>
      <c r="C33" s="286"/>
      <c r="D33" s="286"/>
      <c r="E33" s="38">
        <f>E30+E31-E32</f>
        <v>7635.5799999999981</v>
      </c>
      <c r="F33" s="38">
        <f t="shared" ref="F33:P33" si="15">F30+F31-F32</f>
        <v>17840.64</v>
      </c>
      <c r="G33" s="38">
        <f t="shared" si="15"/>
        <v>19884.140000000003</v>
      </c>
      <c r="H33" s="38">
        <f t="shared" si="15"/>
        <v>26380.470000000005</v>
      </c>
      <c r="I33" s="38">
        <f t="shared" si="15"/>
        <v>12244.080000000005</v>
      </c>
      <c r="J33" s="38">
        <f t="shared" si="15"/>
        <v>13402.760000000002</v>
      </c>
      <c r="K33" s="38">
        <f t="shared" si="15"/>
        <v>1390.9200000000019</v>
      </c>
      <c r="L33" s="38">
        <f t="shared" si="15"/>
        <v>468.92000000000189</v>
      </c>
      <c r="M33" s="38">
        <f t="shared" si="15"/>
        <v>-10.75</v>
      </c>
      <c r="N33" s="38">
        <f t="shared" si="15"/>
        <v>-14.070000000003347</v>
      </c>
      <c r="O33" s="38">
        <f t="shared" si="15"/>
        <v>56.619999999996658</v>
      </c>
      <c r="P33" s="38">
        <f t="shared" si="15"/>
        <v>0</v>
      </c>
      <c r="Q33" s="38">
        <f>SUM(E33:P33)</f>
        <v>99279.31</v>
      </c>
      <c r="R33" s="38">
        <f t="shared" si="14"/>
        <v>11031.034444444444</v>
      </c>
    </row>
    <row r="34" spans="2:18" ht="22.5" customHeight="1" x14ac:dyDescent="0.25">
      <c r="B34" s="286" t="s">
        <v>41</v>
      </c>
      <c r="C34" s="286"/>
      <c r="D34" s="286"/>
      <c r="E34" s="39">
        <v>3.72</v>
      </c>
      <c r="F34" s="39">
        <v>3.6739999999999999</v>
      </c>
      <c r="G34" s="39">
        <v>3.6539999999999999</v>
      </c>
      <c r="H34" s="39">
        <v>3.673</v>
      </c>
      <c r="I34" s="39">
        <v>3.6960000000000002</v>
      </c>
      <c r="J34" s="39"/>
      <c r="K34" s="39"/>
      <c r="L34" s="39"/>
      <c r="M34" s="39"/>
      <c r="N34" s="39"/>
      <c r="O34" s="39"/>
      <c r="P34" s="39"/>
      <c r="Q34" s="40"/>
      <c r="R34" s="39"/>
    </row>
    <row r="35" spans="2:18" ht="22.5" customHeight="1" x14ac:dyDescent="0.25">
      <c r="B35" s="265">
        <v>5</v>
      </c>
      <c r="C35" s="267" t="s">
        <v>39</v>
      </c>
      <c r="D35" s="30" t="s">
        <v>29</v>
      </c>
      <c r="E35" s="35">
        <f>E30*E34</f>
        <v>1755.1704</v>
      </c>
      <c r="F35" s="35">
        <f t="shared" ref="F35:P35" si="16">F30*F34</f>
        <v>28053.120919999994</v>
      </c>
      <c r="G35" s="35">
        <f t="shared" si="16"/>
        <v>65189.698559999997</v>
      </c>
      <c r="H35" s="35">
        <f t="shared" si="16"/>
        <v>73034.446220000013</v>
      </c>
      <c r="I35" s="35">
        <f t="shared" si="16"/>
        <v>97502.217120000016</v>
      </c>
      <c r="J35" s="35">
        <f t="shared" si="16"/>
        <v>0</v>
      </c>
      <c r="K35" s="35">
        <f t="shared" si="16"/>
        <v>0</v>
      </c>
      <c r="L35" s="35">
        <f t="shared" si="16"/>
        <v>0</v>
      </c>
      <c r="M35" s="35">
        <f t="shared" si="16"/>
        <v>0</v>
      </c>
      <c r="N35" s="35">
        <f t="shared" si="16"/>
        <v>0</v>
      </c>
      <c r="O35" s="35">
        <f t="shared" si="16"/>
        <v>0</v>
      </c>
      <c r="P35" s="35">
        <f t="shared" si="16"/>
        <v>0</v>
      </c>
      <c r="Q35" s="31">
        <f>SUM(E35:P35)</f>
        <v>265534.65321999998</v>
      </c>
      <c r="R35" s="31">
        <f t="shared" ref="R35:R38" si="17">SUM(E35:P35)/COUNTIFS(E35:P35,"&gt;"&amp;0)</f>
        <v>53106.930643999993</v>
      </c>
    </row>
    <row r="36" spans="2:18" ht="22.5" customHeight="1" x14ac:dyDescent="0.25">
      <c r="B36" s="266"/>
      <c r="C36" s="268"/>
      <c r="D36" s="32" t="s">
        <v>30</v>
      </c>
      <c r="E36" s="35">
        <f t="shared" ref="E36:P36" si="18">E31*E34</f>
        <v>79965.715200000006</v>
      </c>
      <c r="F36" s="35">
        <f t="shared" si="18"/>
        <v>47803.6999</v>
      </c>
      <c r="G36" s="35">
        <f t="shared" si="18"/>
        <v>75643.025219999996</v>
      </c>
      <c r="H36" s="35">
        <f t="shared" si="18"/>
        <v>46228.267810000005</v>
      </c>
      <c r="I36" s="35">
        <f t="shared" si="18"/>
        <v>66840.496799999994</v>
      </c>
      <c r="J36" s="35">
        <f t="shared" si="18"/>
        <v>0</v>
      </c>
      <c r="K36" s="35">
        <f t="shared" si="18"/>
        <v>0</v>
      </c>
      <c r="L36" s="35">
        <f t="shared" si="18"/>
        <v>0</v>
      </c>
      <c r="M36" s="35">
        <f t="shared" si="18"/>
        <v>0</v>
      </c>
      <c r="N36" s="35">
        <f t="shared" si="18"/>
        <v>0</v>
      </c>
      <c r="O36" s="35">
        <f t="shared" si="18"/>
        <v>0</v>
      </c>
      <c r="P36" s="35">
        <f t="shared" si="18"/>
        <v>0</v>
      </c>
      <c r="Q36" s="31">
        <f t="shared" ref="Q36:Q37" si="19">SUM(E36:P36)</f>
        <v>316481.20493000001</v>
      </c>
      <c r="R36" s="31">
        <f t="shared" si="17"/>
        <v>63296.240986000004</v>
      </c>
    </row>
    <row r="37" spans="2:18" ht="22.5" customHeight="1" x14ac:dyDescent="0.25">
      <c r="B37" s="266"/>
      <c r="C37" s="268"/>
      <c r="D37" s="32" t="s">
        <v>31</v>
      </c>
      <c r="E37" s="35">
        <f t="shared" ref="E37:P37" si="20">E32*E34</f>
        <v>53316.528000000006</v>
      </c>
      <c r="F37" s="35">
        <f t="shared" si="20"/>
        <v>10310.309459999999</v>
      </c>
      <c r="G37" s="35">
        <f t="shared" si="20"/>
        <v>68176.076219999988</v>
      </c>
      <c r="H37" s="35">
        <f t="shared" si="20"/>
        <v>22367.247719999999</v>
      </c>
      <c r="I37" s="35">
        <f>I32*I34</f>
        <v>119088.59424000001</v>
      </c>
      <c r="J37" s="35">
        <f t="shared" si="20"/>
        <v>0</v>
      </c>
      <c r="K37" s="35">
        <f t="shared" si="20"/>
        <v>0</v>
      </c>
      <c r="L37" s="35">
        <f t="shared" si="20"/>
        <v>0</v>
      </c>
      <c r="M37" s="35">
        <f t="shared" si="20"/>
        <v>0</v>
      </c>
      <c r="N37" s="35">
        <f t="shared" si="20"/>
        <v>0</v>
      </c>
      <c r="O37" s="35">
        <f t="shared" si="20"/>
        <v>0</v>
      </c>
      <c r="P37" s="35">
        <f t="shared" si="20"/>
        <v>0</v>
      </c>
      <c r="Q37" s="31">
        <f t="shared" si="19"/>
        <v>273258.75563999999</v>
      </c>
      <c r="R37" s="31">
        <f t="shared" si="17"/>
        <v>54651.751127999996</v>
      </c>
    </row>
    <row r="38" spans="2:18" ht="22.5" customHeight="1" x14ac:dyDescent="0.25">
      <c r="B38" s="287" t="s">
        <v>42</v>
      </c>
      <c r="C38" s="288"/>
      <c r="D38" s="289"/>
      <c r="E38" s="37">
        <f>E33*E34</f>
        <v>28404.357599999996</v>
      </c>
      <c r="F38" s="37">
        <f t="shared" ref="F38:P38" si="21">F33*F34</f>
        <v>65546.51135999999</v>
      </c>
      <c r="G38" s="37">
        <f t="shared" si="21"/>
        <v>72656.647560000012</v>
      </c>
      <c r="H38" s="37">
        <f t="shared" si="21"/>
        <v>96895.466310000018</v>
      </c>
      <c r="I38" s="37">
        <f t="shared" si="21"/>
        <v>45254.119680000025</v>
      </c>
      <c r="J38" s="37">
        <f t="shared" si="21"/>
        <v>0</v>
      </c>
      <c r="K38" s="37">
        <f>K33*K34</f>
        <v>0</v>
      </c>
      <c r="L38" s="37">
        <f t="shared" si="21"/>
        <v>0</v>
      </c>
      <c r="M38" s="37">
        <f t="shared" si="21"/>
        <v>0</v>
      </c>
      <c r="N38" s="37">
        <f t="shared" si="21"/>
        <v>0</v>
      </c>
      <c r="O38" s="37">
        <f t="shared" si="21"/>
        <v>0</v>
      </c>
      <c r="P38" s="37">
        <f t="shared" si="21"/>
        <v>0</v>
      </c>
      <c r="Q38" s="37">
        <f>SUM(E38:P38)</f>
        <v>308757.10251</v>
      </c>
      <c r="R38" s="37">
        <f t="shared" si="17"/>
        <v>61751.420502000001</v>
      </c>
    </row>
    <row r="41" spans="2:18" ht="26.25" customHeight="1" x14ac:dyDescent="0.25">
      <c r="B41" s="107" t="s">
        <v>11</v>
      </c>
      <c r="C41" s="107"/>
      <c r="D41" s="107" t="s">
        <v>13</v>
      </c>
      <c r="E41" s="107" t="s">
        <v>14</v>
      </c>
      <c r="F41" s="108" t="s">
        <v>15</v>
      </c>
      <c r="G41" s="108" t="s">
        <v>16</v>
      </c>
      <c r="H41" s="108" t="s">
        <v>17</v>
      </c>
      <c r="I41" s="108" t="s">
        <v>18</v>
      </c>
      <c r="J41" s="108" t="s">
        <v>19</v>
      </c>
      <c r="K41" s="108" t="s">
        <v>20</v>
      </c>
      <c r="L41" s="108" t="s">
        <v>21</v>
      </c>
      <c r="M41" s="108" t="s">
        <v>22</v>
      </c>
      <c r="N41" s="108" t="s">
        <v>23</v>
      </c>
      <c r="O41" s="108" t="s">
        <v>24</v>
      </c>
      <c r="P41" s="108" t="s">
        <v>25</v>
      </c>
      <c r="Q41" s="108" t="s">
        <v>26</v>
      </c>
      <c r="R41" s="108" t="s">
        <v>27</v>
      </c>
    </row>
    <row r="42" spans="2:18" ht="22.5" customHeight="1" x14ac:dyDescent="0.25">
      <c r="B42" s="265"/>
      <c r="C42" s="267" t="s">
        <v>43</v>
      </c>
      <c r="D42" s="30" t="s">
        <v>29</v>
      </c>
      <c r="E42" s="41">
        <f>E10+E15+E20+E25+E35</f>
        <v>84232.060400000017</v>
      </c>
      <c r="F42" s="41">
        <f t="shared" ref="F42:P42" si="22">F10+F15+F20+F25+F35</f>
        <v>107286.30092000013</v>
      </c>
      <c r="G42" s="41">
        <f t="shared" si="22"/>
        <v>122371.08856000018</v>
      </c>
      <c r="H42" s="41">
        <f t="shared" si="22"/>
        <v>223728.6462200002</v>
      </c>
      <c r="I42" s="41">
        <f t="shared" si="22"/>
        <v>301565.47712000029</v>
      </c>
      <c r="J42" s="41">
        <f t="shared" si="22"/>
        <v>132897.90999999986</v>
      </c>
      <c r="K42" s="41">
        <f t="shared" si="22"/>
        <v>95297.619999999879</v>
      </c>
      <c r="L42" s="41">
        <f t="shared" si="22"/>
        <v>55450.679999999629</v>
      </c>
      <c r="M42" s="41">
        <f t="shared" si="22"/>
        <v>31488.329999999805</v>
      </c>
      <c r="N42" s="41">
        <f t="shared" si="22"/>
        <v>23453.739999999889</v>
      </c>
      <c r="O42" s="41">
        <f t="shared" si="22"/>
        <v>21611.56999999988</v>
      </c>
      <c r="P42" s="41">
        <f t="shared" si="22"/>
        <v>0</v>
      </c>
      <c r="Q42" s="41">
        <v>86986.600000000268</v>
      </c>
      <c r="R42" s="41">
        <f t="shared" ref="R42:R45" si="23">SUM(E42:P42)/COUNTIFS(E42:P42,"&gt;"&amp;0)</f>
        <v>109034.85665636364</v>
      </c>
    </row>
    <row r="43" spans="2:18" ht="22.5" customHeight="1" x14ac:dyDescent="0.25">
      <c r="B43" s="266"/>
      <c r="C43" s="268"/>
      <c r="D43" s="32" t="s">
        <v>30</v>
      </c>
      <c r="E43" s="41">
        <f t="shared" ref="E43:P44" si="24">E11+E16+E21+E26+E36</f>
        <v>382655.96519999998</v>
      </c>
      <c r="F43" s="41">
        <f t="shared" si="24"/>
        <v>340552.84990000003</v>
      </c>
      <c r="G43" s="41">
        <f t="shared" si="24"/>
        <v>455627.26521999994</v>
      </c>
      <c r="H43" s="41">
        <f t="shared" si="24"/>
        <v>482079.80780999997</v>
      </c>
      <c r="I43" s="41">
        <f t="shared" si="24"/>
        <v>575127.44680000003</v>
      </c>
      <c r="J43" s="41">
        <f t="shared" si="24"/>
        <v>363599.30000000005</v>
      </c>
      <c r="K43" s="41">
        <f t="shared" si="24"/>
        <v>457313.2099999999</v>
      </c>
      <c r="L43" s="41">
        <f t="shared" si="24"/>
        <v>323767.35000000009</v>
      </c>
      <c r="M43" s="41">
        <f t="shared" si="24"/>
        <v>348585.28000000009</v>
      </c>
      <c r="N43" s="41">
        <f t="shared" si="24"/>
        <v>311338.40000000002</v>
      </c>
      <c r="O43" s="41">
        <f t="shared" si="24"/>
        <v>93070.36</v>
      </c>
      <c r="P43" s="41">
        <f t="shared" si="24"/>
        <v>0</v>
      </c>
      <c r="Q43" s="41">
        <v>336931.89999999997</v>
      </c>
      <c r="R43" s="41">
        <f t="shared" si="23"/>
        <v>375792.47590272728</v>
      </c>
    </row>
    <row r="44" spans="2:18" ht="22.5" customHeight="1" x14ac:dyDescent="0.25">
      <c r="B44" s="269"/>
      <c r="C44" s="270"/>
      <c r="D44" s="32" t="s">
        <v>31</v>
      </c>
      <c r="E44" s="41">
        <f t="shared" si="24"/>
        <v>359250.48799999984</v>
      </c>
      <c r="F44" s="41">
        <f t="shared" si="24"/>
        <v>325111.24946000002</v>
      </c>
      <c r="G44" s="41">
        <f t="shared" si="24"/>
        <v>354647.50621999992</v>
      </c>
      <c r="H44" s="41">
        <f t="shared" si="24"/>
        <v>404849.72771999985</v>
      </c>
      <c r="I44" s="41">
        <f t="shared" si="24"/>
        <v>698540.8942400004</v>
      </c>
      <c r="J44" s="41">
        <f t="shared" si="24"/>
        <v>401199.58999999997</v>
      </c>
      <c r="K44" s="41">
        <f t="shared" si="24"/>
        <v>497160.15000000014</v>
      </c>
      <c r="L44" s="41">
        <f t="shared" si="24"/>
        <v>347729.6999999999</v>
      </c>
      <c r="M44" s="41">
        <f t="shared" si="24"/>
        <v>356619.87</v>
      </c>
      <c r="N44" s="41">
        <f t="shared" si="24"/>
        <v>310914.23000000004</v>
      </c>
      <c r="O44" s="41">
        <f t="shared" si="24"/>
        <v>100681.81000000001</v>
      </c>
      <c r="P44" s="41">
        <f t="shared" si="24"/>
        <v>0</v>
      </c>
      <c r="Q44" s="41">
        <v>333170.79999999993</v>
      </c>
      <c r="R44" s="41">
        <f t="shared" si="23"/>
        <v>377882.29233090905</v>
      </c>
    </row>
    <row r="45" spans="2:18" ht="22.5" customHeight="1" x14ac:dyDescent="0.25">
      <c r="B45" s="271" t="str">
        <f ca="1">"SALDO BANCOS - SOLES "&amp;TEXT(TODAY()-1,"DD/MM/YYYY")</f>
        <v>SALDO BANCOS - SOLES 17/11/2025</v>
      </c>
      <c r="C45" s="272"/>
      <c r="D45" s="273"/>
      <c r="E45" s="34">
        <f>E42+E43-E44</f>
        <v>107637.53760000016</v>
      </c>
      <c r="F45" s="34">
        <f t="shared" ref="F45:P45" si="25">F42+F43-F44</f>
        <v>122727.90136000013</v>
      </c>
      <c r="G45" s="34">
        <f t="shared" si="25"/>
        <v>223350.8475600002</v>
      </c>
      <c r="H45" s="34">
        <f t="shared" si="25"/>
        <v>300958.72631000029</v>
      </c>
      <c r="I45" s="34">
        <f t="shared" si="25"/>
        <v>178152.02967999992</v>
      </c>
      <c r="J45" s="34">
        <f t="shared" si="25"/>
        <v>95297.619999999937</v>
      </c>
      <c r="K45" s="34">
        <f t="shared" si="25"/>
        <v>55450.679999999702</v>
      </c>
      <c r="L45" s="34">
        <f t="shared" si="25"/>
        <v>31488.329999999842</v>
      </c>
      <c r="M45" s="34">
        <f t="shared" si="25"/>
        <v>23453.739999999874</v>
      </c>
      <c r="N45" s="34">
        <f t="shared" si="25"/>
        <v>23877.909999999858</v>
      </c>
      <c r="O45" s="34">
        <f t="shared" si="25"/>
        <v>14000.119999999864</v>
      </c>
      <c r="P45" s="34">
        <f t="shared" si="25"/>
        <v>0</v>
      </c>
      <c r="Q45" s="34">
        <v>90747.700000000288</v>
      </c>
      <c r="R45" s="34">
        <f t="shared" si="23"/>
        <v>106945.04022818181</v>
      </c>
    </row>
    <row r="47" spans="2:18" ht="26.25" customHeight="1" x14ac:dyDescent="0.25">
      <c r="B47" s="107" t="s">
        <v>11</v>
      </c>
      <c r="C47" s="107" t="s">
        <v>12</v>
      </c>
      <c r="D47" s="107" t="s">
        <v>13</v>
      </c>
      <c r="E47" s="107" t="s">
        <v>14</v>
      </c>
      <c r="F47" s="108" t="s">
        <v>15</v>
      </c>
      <c r="G47" s="108" t="s">
        <v>16</v>
      </c>
      <c r="H47" s="108" t="s">
        <v>17</v>
      </c>
      <c r="I47" s="108" t="s">
        <v>18</v>
      </c>
      <c r="J47" s="108" t="s">
        <v>19</v>
      </c>
      <c r="K47" s="108" t="s">
        <v>20</v>
      </c>
      <c r="L47" s="108" t="s">
        <v>21</v>
      </c>
      <c r="M47" s="108" t="s">
        <v>22</v>
      </c>
      <c r="N47" s="108" t="s">
        <v>23</v>
      </c>
      <c r="O47" s="108" t="s">
        <v>24</v>
      </c>
      <c r="P47" s="108" t="s">
        <v>25</v>
      </c>
      <c r="Q47" s="108" t="s">
        <v>26</v>
      </c>
      <c r="R47" s="108" t="s">
        <v>27</v>
      </c>
    </row>
    <row r="48" spans="2:18" ht="22.5" customHeight="1" x14ac:dyDescent="0.25">
      <c r="B48" s="265">
        <v>6</v>
      </c>
      <c r="C48" s="267" t="s">
        <v>44</v>
      </c>
      <c r="D48" s="30" t="s">
        <v>29</v>
      </c>
      <c r="E48" s="31">
        <f>SUMIFS(Caja_Arequipa[monto],Caja_Arequipa[periodo],E9,Caja_Arequipa[tipo_mov],"SALDO")</f>
        <v>1054.0999999999999</v>
      </c>
      <c r="F48" s="31">
        <f>IF(OR(F49&gt;0,F50&gt;0),E51,0)</f>
        <v>87.799999999999727</v>
      </c>
      <c r="G48" s="31">
        <f t="shared" ref="G48" si="26">IF(OR(G49&gt;0,G50&gt;0),F51,0)</f>
        <v>166.80000000000064</v>
      </c>
      <c r="H48" s="31">
        <f t="shared" ref="H48" si="27">IF(OR(H49&gt;0,H50&gt;0),G51,0)</f>
        <v>1226.8000000000011</v>
      </c>
      <c r="I48" s="31">
        <f t="shared" ref="I48" si="28">IF(OR(I49&gt;0,I50&gt;0),H51,0)</f>
        <v>3102.0000000000018</v>
      </c>
      <c r="J48" s="31">
        <f t="shared" ref="J48" si="29">IF(OR(J49&gt;0,J50&gt;0),I51,0)</f>
        <v>503.20000000000255</v>
      </c>
      <c r="K48" s="31">
        <f t="shared" ref="K48" si="30">IF(OR(K49&gt;0,K50&gt;0),J51,0)</f>
        <v>1754.7000000000025</v>
      </c>
      <c r="L48" s="31">
        <f t="shared" ref="L48" si="31">IF(OR(L49&gt;0,L50&gt;0),K51,0)</f>
        <v>361.90000000000236</v>
      </c>
      <c r="M48" s="31">
        <f t="shared" ref="M48" si="32">IF(OR(M49&gt;0,M50&gt;0),L51,0)</f>
        <v>289.00000000000273</v>
      </c>
      <c r="N48" s="31">
        <f t="shared" ref="N48" si="33">IF(OR(N49&gt;0,N50&gt;0),M51,0)</f>
        <v>2188.3000000000038</v>
      </c>
      <c r="O48" s="31">
        <f t="shared" ref="O48" si="34">IF(OR(O49&gt;0,O50&gt;0),N51,0)</f>
        <v>493.00000000000364</v>
      </c>
      <c r="P48" s="31">
        <f t="shared" ref="P48" si="35">IF(OR(P49&gt;0,P50&gt;0),O51,0)</f>
        <v>0</v>
      </c>
      <c r="Q48" s="31">
        <f>SUM(E48:P48)</f>
        <v>11227.60000000002</v>
      </c>
      <c r="R48" s="31">
        <f t="shared" ref="R48:R51" si="36">SUM(E48:P48)/COUNTIFS(E48:P48,"&gt;"&amp;0)</f>
        <v>1020.690909090911</v>
      </c>
    </row>
    <row r="49" spans="2:18" ht="22.5" customHeight="1" x14ac:dyDescent="0.25">
      <c r="B49" s="266"/>
      <c r="C49" s="268"/>
      <c r="D49" s="32" t="s">
        <v>30</v>
      </c>
      <c r="E49" s="31">
        <f>SUMIFS(Caja_Arequipa[monto],Caja_Arequipa[periodo],E9,Caja_Arequipa[tipo_mov],"INGRESO")</f>
        <v>1487.5</v>
      </c>
      <c r="F49" s="31">
        <f>SUMIFS(Caja_Arequipa[monto],Caja_Arequipa[periodo],F9,Caja_Arequipa[tipo_mov],"INGRESO")</f>
        <v>3547.3</v>
      </c>
      <c r="G49" s="31">
        <f>SUMIFS(Caja_Arequipa[monto],Caja_Arequipa[periodo],G9,Caja_Arequipa[tipo_mov],"INGRESO")</f>
        <v>7352</v>
      </c>
      <c r="H49" s="31">
        <f>SUMIFS(Caja_Arequipa[monto],Caja_Arequipa[periodo],H9,Caja_Arequipa[tipo_mov],"INGRESO")</f>
        <v>6368.3</v>
      </c>
      <c r="I49" s="31">
        <f>SUMIFS(Caja_Arequipa[monto],Caja_Arequipa[periodo],I9,Caja_Arequipa[tipo_mov],"INGRESO")</f>
        <v>6467</v>
      </c>
      <c r="J49" s="31">
        <f>SUMIFS(Caja_Arequipa[monto],Caja_Arequipa[periodo],J9,Caja_Arequipa[tipo_mov],"INGRESO")</f>
        <v>7669.3</v>
      </c>
      <c r="K49" s="31">
        <f>SUMIFS(Caja_Arequipa[monto],Caja_Arequipa[periodo],K9,Caja_Arequipa[tipo_mov],"INGRESO")</f>
        <v>2702</v>
      </c>
      <c r="L49" s="31">
        <f>SUMIFS(Caja_Arequipa[monto],Caja_Arequipa[periodo],L9,Caja_Arequipa[tipo_mov],"INGRESO")</f>
        <v>3570</v>
      </c>
      <c r="M49" s="31">
        <f>SUMIFS(Caja_Arequipa[monto],Caja_Arequipa[periodo],M9,Caja_Arequipa[tipo_mov],"INGRESO")</f>
        <v>8500</v>
      </c>
      <c r="N49" s="31">
        <f>SUMIFS(Caja_Arequipa[monto],Caja_Arequipa[periodo],N9,Caja_Arequipa[tipo_mov],"INGRESO")</f>
        <v>5310</v>
      </c>
      <c r="O49" s="31">
        <f>SUMIFS(Caja_Arequipa[monto],Caja_Arequipa[periodo],O9,Caja_Arequipa[tipo_mov],"INGRESO")</f>
        <v>2000</v>
      </c>
      <c r="P49" s="31">
        <f>SUMIFS(Caja_Arequipa[monto],Caja_Arequipa[periodo],P9,Caja_Arequipa[tipo_mov],"INGRESO")</f>
        <v>0</v>
      </c>
      <c r="Q49" s="31">
        <f t="shared" ref="Q49:Q50" si="37">SUM(E49:P49)</f>
        <v>54973.4</v>
      </c>
      <c r="R49" s="31">
        <f t="shared" si="36"/>
        <v>4997.5818181818186</v>
      </c>
    </row>
    <row r="50" spans="2:18" ht="22.5" customHeight="1" x14ac:dyDescent="0.25">
      <c r="B50" s="266"/>
      <c r="C50" s="268"/>
      <c r="D50" s="32" t="s">
        <v>31</v>
      </c>
      <c r="E50" s="31">
        <f>SUMIFS(Caja_Arequipa[monto],Caja_Arequipa[periodo],E9,Caja_Arequipa[tipo_mov],"EGRESO")</f>
        <v>2453.8000000000002</v>
      </c>
      <c r="F50" s="31">
        <f>SUMIFS(Caja_Arequipa[monto],Caja_Arequipa[periodo],F9,Caja_Arequipa[tipo_mov],"EGRESO")</f>
        <v>3468.2999999999993</v>
      </c>
      <c r="G50" s="31">
        <f>SUMIFS(Caja_Arequipa[monto],Caja_Arequipa[periodo],G9,Caja_Arequipa[tipo_mov],"EGRESO")</f>
        <v>6292</v>
      </c>
      <c r="H50" s="31">
        <f>SUMIFS(Caja_Arequipa[monto],Caja_Arequipa[periodo],H9,Caja_Arequipa[tipo_mov],"EGRESO")</f>
        <v>4493.0999999999995</v>
      </c>
      <c r="I50" s="31">
        <f>SUMIFS(Caja_Arequipa[monto],Caja_Arequipa[periodo],I9,Caja_Arequipa[tipo_mov],"EGRESO")</f>
        <v>9065.7999999999993</v>
      </c>
      <c r="J50" s="31">
        <f>SUMIFS(Caja_Arequipa[monto],Caja_Arequipa[periodo],J9,Caja_Arequipa[tipo_mov],"EGRESO")</f>
        <v>6417.8</v>
      </c>
      <c r="K50" s="31">
        <f>SUMIFS(Caja_Arequipa[monto],Caja_Arequipa[periodo],K9,Caja_Arequipa[tipo_mov],"EGRESO")</f>
        <v>4094.8</v>
      </c>
      <c r="L50" s="31">
        <f>SUMIFS(Caja_Arequipa[monto],Caja_Arequipa[periodo],L9,Caja_Arequipa[tipo_mov],"EGRESO")</f>
        <v>3642.8999999999996</v>
      </c>
      <c r="M50" s="31">
        <f>SUMIFS(Caja_Arequipa[monto],Caja_Arequipa[periodo],M9,Caja_Arequipa[tipo_mov],"EGRESO")</f>
        <v>6600.7</v>
      </c>
      <c r="N50" s="31">
        <f>SUMIFS(Caja_Arequipa[monto],Caja_Arequipa[periodo],N9,Caja_Arequipa[tipo_mov],"EGRESO")</f>
        <v>7005.3</v>
      </c>
      <c r="O50" s="31">
        <f>SUMIFS(Caja_Arequipa[monto],Caja_Arequipa[periodo],O9,Caja_Arequipa[tipo_mov],"EGRESO")</f>
        <v>859.2</v>
      </c>
      <c r="P50" s="31">
        <f>SUMIFS(Caja_Arequipa[monto],Caja_Arequipa[periodo],P9,Caja_Arequipa[tipo_mov],"EGRESO")</f>
        <v>0</v>
      </c>
      <c r="Q50" s="31">
        <f t="shared" si="37"/>
        <v>54393.7</v>
      </c>
      <c r="R50" s="31">
        <f t="shared" si="36"/>
        <v>4944.8818181818178</v>
      </c>
    </row>
    <row r="51" spans="2:18" ht="22.5" customHeight="1" x14ac:dyDescent="0.25">
      <c r="B51" s="264" t="s">
        <v>45</v>
      </c>
      <c r="C51" s="264"/>
      <c r="D51" s="264"/>
      <c r="E51" s="33">
        <f>E48+E49-E50</f>
        <v>87.799999999999727</v>
      </c>
      <c r="F51" s="33">
        <f t="shared" ref="F51:P51" si="38">F48+F49-F50</f>
        <v>166.80000000000064</v>
      </c>
      <c r="G51" s="33">
        <f t="shared" si="38"/>
        <v>1226.8000000000011</v>
      </c>
      <c r="H51" s="33">
        <f t="shared" si="38"/>
        <v>3102.0000000000018</v>
      </c>
      <c r="I51" s="33">
        <f t="shared" si="38"/>
        <v>503.20000000000255</v>
      </c>
      <c r="J51" s="33">
        <f t="shared" si="38"/>
        <v>1754.7000000000025</v>
      </c>
      <c r="K51" s="33">
        <f t="shared" si="38"/>
        <v>361.90000000000236</v>
      </c>
      <c r="L51" s="33">
        <f t="shared" si="38"/>
        <v>289.00000000000273</v>
      </c>
      <c r="M51" s="33">
        <f t="shared" si="38"/>
        <v>2188.3000000000038</v>
      </c>
      <c r="N51" s="33">
        <f t="shared" si="38"/>
        <v>493.00000000000364</v>
      </c>
      <c r="O51" s="33">
        <f t="shared" si="38"/>
        <v>1633.8000000000036</v>
      </c>
      <c r="P51" s="33">
        <f t="shared" si="38"/>
        <v>0</v>
      </c>
      <c r="Q51" s="33">
        <f>SUM(E51:P51)</f>
        <v>11807.300000000025</v>
      </c>
      <c r="R51" s="33">
        <f t="shared" si="36"/>
        <v>1073.3909090909112</v>
      </c>
    </row>
    <row r="53" spans="2:18" ht="22.5" customHeight="1" x14ac:dyDescent="0.25">
      <c r="B53" s="265">
        <v>7</v>
      </c>
      <c r="C53" s="267" t="s">
        <v>46</v>
      </c>
      <c r="D53" s="30" t="s">
        <v>29</v>
      </c>
      <c r="E53" s="31">
        <f>SUMIFS(Caja_Finanzas[monto],Caja_Finanzas[periodo],E9,Caja_Finanzas[tipo_mov],"SALDO")</f>
        <v>167.5</v>
      </c>
      <c r="F53" s="31">
        <f>IF(OR(F54&gt;0,F55&gt;0),E56,0)</f>
        <v>-1762.6999999999971</v>
      </c>
      <c r="G53" s="31">
        <f t="shared" ref="G53" si="39">IF(OR(G54&gt;0,G55&gt;0),F56,0)</f>
        <v>1689.8000000000102</v>
      </c>
      <c r="H53" s="31">
        <f t="shared" ref="H53" si="40">IF(OR(H54&gt;0,H55&gt;0),G56,0)</f>
        <v>13148.200000000026</v>
      </c>
      <c r="I53" s="31">
        <f t="shared" ref="I53" si="41">IF(OR(I54&gt;0,I55&gt;0),H56,0)</f>
        <v>23001.300000000032</v>
      </c>
      <c r="J53" s="31">
        <f t="shared" ref="J53" si="42">IF(OR(J54&gt;0,J55&gt;0),I56,0)</f>
        <v>6139.800000000032</v>
      </c>
      <c r="K53" s="31">
        <f t="shared" ref="K53" si="43">IF(OR(K54&gt;0,K55&gt;0),J56,0)</f>
        <v>11843.800000000025</v>
      </c>
      <c r="L53" s="31">
        <f t="shared" ref="L53" si="44">IF(OR(L54&gt;0,L55&gt;0),K56,0)</f>
        <v>26917.700000000033</v>
      </c>
      <c r="M53" s="31">
        <f t="shared" ref="M53" si="45">IF(OR(M54&gt;0,M55&gt;0),L56,0)</f>
        <v>3264.8000000000247</v>
      </c>
      <c r="N53" s="31">
        <f t="shared" ref="N53" si="46">IF(OR(N54&gt;0,N55&gt;0),M56,0)</f>
        <v>5070.3000000000247</v>
      </c>
      <c r="O53" s="31">
        <f t="shared" ref="O53" si="47">IF(OR(O54&gt;0,O55&gt;0),N56,0)</f>
        <v>1254.4000000000233</v>
      </c>
      <c r="P53" s="31">
        <f t="shared" ref="P53" si="48">IF(OR(P54&gt;0,P55&gt;0),O56,0)</f>
        <v>0</v>
      </c>
      <c r="Q53" s="31">
        <f>SUM(E53:P53)</f>
        <v>90734.900000000227</v>
      </c>
      <c r="R53" s="31">
        <f t="shared" ref="R53:R56" si="49">SUM(E53:P53)/COUNTIFS(E53:P53,"&gt;"&amp;0)</f>
        <v>9073.4900000000234</v>
      </c>
    </row>
    <row r="54" spans="2:18" ht="22.5" customHeight="1" x14ac:dyDescent="0.25">
      <c r="B54" s="266"/>
      <c r="C54" s="268"/>
      <c r="D54" s="32" t="s">
        <v>30</v>
      </c>
      <c r="E54" s="31">
        <f>SUMIFS(Caja_Finanzas[monto],Caja_Finanzas[periodo],E9,Caja_Finanzas[tipo_mov],"INGRESO")</f>
        <v>29749.9</v>
      </c>
      <c r="F54" s="31">
        <f>SUMIFS(Caja_Finanzas[monto],Caja_Finanzas[periodo],F9,Caja_Finanzas[tipo_mov],"INGRESO")</f>
        <v>49194.700000000004</v>
      </c>
      <c r="G54" s="31">
        <f>SUMIFS(Caja_Finanzas[monto],Caja_Finanzas[periodo],G9,Caja_Finanzas[tipo_mov],"INGRESO")</f>
        <v>69200.100000000006</v>
      </c>
      <c r="H54" s="31">
        <f>SUMIFS(Caja_Finanzas[monto],Caja_Finanzas[periodo],H9,Caja_Finanzas[tipo_mov],"INGRESO")</f>
        <v>41183.800000000003</v>
      </c>
      <c r="I54" s="31">
        <f>SUMIFS(Caja_Finanzas[monto],Caja_Finanzas[periodo],I9,Caja_Finanzas[tipo_mov],"INGRESO")</f>
        <v>71588.899999999994</v>
      </c>
      <c r="J54" s="31">
        <f>SUMIFS(Caja_Finanzas[monto],Caja_Finanzas[periodo],J9,Caja_Finanzas[tipo_mov],"INGRESO")</f>
        <v>41580.299999999996</v>
      </c>
      <c r="K54" s="31">
        <f>SUMIFS(Caja_Finanzas[monto],Caja_Finanzas[periodo],K9,Caja_Finanzas[tipo_mov],"INGRESO")</f>
        <v>36935.000000000007</v>
      </c>
      <c r="L54" s="31">
        <f>SUMIFS(Caja_Finanzas[monto],Caja_Finanzas[periodo],L9,Caja_Finanzas[tipo_mov],"INGRESO")</f>
        <v>32975.099999999991</v>
      </c>
      <c r="M54" s="31">
        <f>SUMIFS(Caja_Finanzas[monto],Caja_Finanzas[periodo],M9,Caja_Finanzas[tipo_mov],"INGRESO")</f>
        <v>27776.5</v>
      </c>
      <c r="N54" s="31">
        <f>SUMIFS(Caja_Finanzas[monto],Caja_Finanzas[periodo],N9,Caja_Finanzas[tipo_mov],"INGRESO")</f>
        <v>32129.599999999999</v>
      </c>
      <c r="O54" s="31">
        <f>SUMIFS(Caja_Finanzas[monto],Caja_Finanzas[periodo],O9,Caja_Finanzas[tipo_mov],"INGRESO")</f>
        <v>21120.3</v>
      </c>
      <c r="P54" s="31">
        <f>SUMIFS(Caja_Finanzas[monto],Caja_Finanzas[periodo],P9,Caja_Finanzas[tipo_mov],"INGRESO")</f>
        <v>0</v>
      </c>
      <c r="Q54" s="31">
        <f t="shared" ref="Q54:Q55" si="50">SUM(E54:P54)</f>
        <v>453434.19999999995</v>
      </c>
      <c r="R54" s="31">
        <f t="shared" si="49"/>
        <v>41221.290909090902</v>
      </c>
    </row>
    <row r="55" spans="2:18" ht="22.5" customHeight="1" x14ac:dyDescent="0.25">
      <c r="B55" s="266"/>
      <c r="C55" s="268"/>
      <c r="D55" s="32" t="s">
        <v>31</v>
      </c>
      <c r="E55" s="31">
        <f>SUMIFS(Caja_Finanzas[monto],Caja_Finanzas[periodo],E9,Caja_Finanzas[tipo_mov],"EGRESO")</f>
        <v>31680.1</v>
      </c>
      <c r="F55" s="31">
        <f>SUMIFS(Caja_Finanzas[monto],Caja_Finanzas[periodo],F9,Caja_Finanzas[tipo_mov],"EGRESO")</f>
        <v>45742.2</v>
      </c>
      <c r="G55" s="31">
        <f>SUMIFS(Caja_Finanzas[monto],Caja_Finanzas[periodo],G9,Caja_Finanzas[tipo_mov],"EGRESO")</f>
        <v>57741.7</v>
      </c>
      <c r="H55" s="31">
        <f>SUMIFS(Caja_Finanzas[monto],Caja_Finanzas[periodo],H9,Caja_Finanzas[tipo_mov],"EGRESO")</f>
        <v>31330.699999999997</v>
      </c>
      <c r="I55" s="31">
        <f>SUMIFS(Caja_Finanzas[monto],Caja_Finanzas[periodo],I9,Caja_Finanzas[tipo_mov],"EGRESO")</f>
        <v>88450.4</v>
      </c>
      <c r="J55" s="31">
        <f>SUMIFS(Caja_Finanzas[monto],Caja_Finanzas[periodo],J9,Caja_Finanzas[tipo_mov],"EGRESO")</f>
        <v>35876.300000000003</v>
      </c>
      <c r="K55" s="31">
        <f>SUMIFS(Caja_Finanzas[monto],Caja_Finanzas[periodo],K9,Caja_Finanzas[tipo_mov],"EGRESO")</f>
        <v>21861.1</v>
      </c>
      <c r="L55" s="31">
        <f>SUMIFS(Caja_Finanzas[monto],Caja_Finanzas[periodo],L9,Caja_Finanzas[tipo_mov],"EGRESO")</f>
        <v>56628</v>
      </c>
      <c r="M55" s="31">
        <f>SUMIFS(Caja_Finanzas[monto],Caja_Finanzas[periodo],M9,Caja_Finanzas[tipo_mov],"EGRESO")</f>
        <v>25971</v>
      </c>
      <c r="N55" s="31">
        <f>SUMIFS(Caja_Finanzas[monto],Caja_Finanzas[periodo],N9,Caja_Finanzas[tipo_mov],"EGRESO")</f>
        <v>35945.5</v>
      </c>
      <c r="O55" s="31">
        <f>SUMIFS(Caja_Finanzas[monto],Caja_Finanzas[periodo],O9,Caja_Finanzas[tipo_mov],"EGRESO")</f>
        <v>14607.8</v>
      </c>
      <c r="P55" s="31">
        <f>SUMIFS(Caja_Finanzas[monto],Caja_Finanzas[periodo],P9,Caja_Finanzas[tipo_mov],"EGRESO")</f>
        <v>0</v>
      </c>
      <c r="Q55" s="31">
        <f t="shared" si="50"/>
        <v>445834.8</v>
      </c>
      <c r="R55" s="31">
        <f t="shared" si="49"/>
        <v>40530.436363636363</v>
      </c>
    </row>
    <row r="56" spans="2:18" ht="22.5" customHeight="1" x14ac:dyDescent="0.25">
      <c r="B56" s="264" t="s">
        <v>47</v>
      </c>
      <c r="C56" s="264"/>
      <c r="D56" s="264"/>
      <c r="E56" s="33">
        <f>E53+E54-E55</f>
        <v>-1762.6999999999971</v>
      </c>
      <c r="F56" s="33">
        <f t="shared" ref="F56:P56" si="51">F53+F54-F55</f>
        <v>1689.8000000000102</v>
      </c>
      <c r="G56" s="33">
        <f t="shared" si="51"/>
        <v>13148.200000000026</v>
      </c>
      <c r="H56" s="33">
        <f t="shared" si="51"/>
        <v>23001.300000000032</v>
      </c>
      <c r="I56" s="33">
        <f t="shared" si="51"/>
        <v>6139.800000000032</v>
      </c>
      <c r="J56" s="33">
        <f t="shared" si="51"/>
        <v>11843.800000000025</v>
      </c>
      <c r="K56" s="33">
        <f t="shared" si="51"/>
        <v>26917.700000000033</v>
      </c>
      <c r="L56" s="33">
        <f t="shared" si="51"/>
        <v>3264.8000000000247</v>
      </c>
      <c r="M56" s="33">
        <f t="shared" si="51"/>
        <v>5070.3000000000247</v>
      </c>
      <c r="N56" s="33">
        <f t="shared" si="51"/>
        <v>1254.4000000000233</v>
      </c>
      <c r="O56" s="33">
        <f t="shared" si="51"/>
        <v>7766.9000000000233</v>
      </c>
      <c r="P56" s="33">
        <f t="shared" si="51"/>
        <v>0</v>
      </c>
      <c r="Q56" s="33">
        <f>SUM(E56:P56)</f>
        <v>98334.30000000025</v>
      </c>
      <c r="R56" s="33">
        <f t="shared" si="49"/>
        <v>9833.4300000000258</v>
      </c>
    </row>
    <row r="58" spans="2:18" ht="22.5" customHeight="1" x14ac:dyDescent="0.25">
      <c r="B58" s="265">
        <v>8</v>
      </c>
      <c r="C58" s="267" t="s">
        <v>48</v>
      </c>
      <c r="D58" s="30" t="s">
        <v>29</v>
      </c>
      <c r="E58" s="31">
        <f>SUMIFS(C_Ope_001[monto],C_Ope_001[periodo],E47,C_Ope_001[tipo_mov],"SALDO")</f>
        <v>108.74</v>
      </c>
      <c r="F58" s="31">
        <f>IF(OR(F59&gt;0,F60&gt;0),E61,0)</f>
        <v>89.740000000000009</v>
      </c>
      <c r="G58" s="31">
        <f t="shared" ref="G58" si="52">IF(OR(G59&gt;0,G60&gt;0),F61,0)</f>
        <v>249.74</v>
      </c>
      <c r="H58" s="31">
        <f t="shared" ref="H58" si="53">IF(OR(H59&gt;0,H60&gt;0),G61,0)</f>
        <v>55.740000000000009</v>
      </c>
      <c r="I58" s="31">
        <f t="shared" ref="I58" si="54">IF(OR(I59&gt;0,I60&gt;0),H61,0)</f>
        <v>559.74</v>
      </c>
      <c r="J58" s="31">
        <f t="shared" ref="J58" si="55">IF(OR(J59&gt;0,J60&gt;0),I61,0)</f>
        <v>359.74</v>
      </c>
      <c r="K58" s="31">
        <f t="shared" ref="K58" si="56">IF(OR(K59&gt;0,K60&gt;0),J61,0)</f>
        <v>26.740000000000009</v>
      </c>
      <c r="L58" s="31">
        <f t="shared" ref="L58" si="57">IF(OR(L59&gt;0,L60&gt;0),K61,0)</f>
        <v>73.590000000000032</v>
      </c>
      <c r="M58" s="31">
        <f t="shared" ref="M58" si="58">IF(OR(M59&gt;0,M60&gt;0),L61,0)</f>
        <v>-2.5199999999999818</v>
      </c>
      <c r="N58" s="31">
        <f t="shared" ref="N58" si="59">IF(OR(N59&gt;0,N60&gt;0),M61,0)</f>
        <v>109</v>
      </c>
      <c r="O58" s="31">
        <f t="shared" ref="O58" si="60">IF(OR(O59&gt;0,O60&gt;0),N61,0)</f>
        <v>326</v>
      </c>
      <c r="P58" s="31">
        <f t="shared" ref="P58" si="61">IF(OR(P59&gt;0,P60&gt;0),O61,0)</f>
        <v>0</v>
      </c>
      <c r="Q58" s="31">
        <f>SUM(E58:P58)</f>
        <v>1956.25</v>
      </c>
      <c r="R58" s="31">
        <f t="shared" ref="R58:R61" si="62">SUM(E58:P58)/COUNTIFS(E58:P58,"&gt;"&amp;0)</f>
        <v>195.625</v>
      </c>
    </row>
    <row r="59" spans="2:18" ht="22.5" customHeight="1" x14ac:dyDescent="0.25">
      <c r="B59" s="266"/>
      <c r="C59" s="268"/>
      <c r="D59" s="32" t="s">
        <v>30</v>
      </c>
      <c r="E59" s="31">
        <f>SUMIFS(C_Ope_001[monto],C_Ope_001[periodo],E47,C_Ope_001[tipo_mov],"INGRESO")</f>
        <v>460</v>
      </c>
      <c r="F59" s="31">
        <f>SUMIFS(C_Ope_001[monto],C_Ope_001[periodo],F47,C_Ope_001[tipo_mov],"INGRESO")</f>
        <v>510</v>
      </c>
      <c r="G59" s="31">
        <f>SUMIFS(C_Ope_001[monto],C_Ope_001[periodo],G47,C_Ope_001[tipo_mov],"INGRESO")</f>
        <v>240</v>
      </c>
      <c r="H59" s="31">
        <f>SUMIFS(C_Ope_001[monto],C_Ope_001[periodo],H47,C_Ope_001[tipo_mov],"INGRESO")</f>
        <v>840</v>
      </c>
      <c r="I59" s="31">
        <f>SUMIFS(C_Ope_001[monto],C_Ope_001[periodo],I47,C_Ope_001[tipo_mov],"INGRESO")</f>
        <v>300</v>
      </c>
      <c r="J59" s="31">
        <f>SUMIFS(C_Ope_001[monto],C_Ope_001[periodo],J47,C_Ope_001[tipo_mov],"INGRESO")</f>
        <v>130</v>
      </c>
      <c r="K59" s="31">
        <f>SUMIFS(C_Ope_001[monto],C_Ope_001[periodo],K47,C_Ope_001[tipo_mov],"INGRESO")</f>
        <v>980</v>
      </c>
      <c r="L59" s="31">
        <f>SUMIFS(C_Ope_001[monto],C_Ope_001[periodo],L47,C_Ope_001[tipo_mov],"INGRESO")</f>
        <v>520</v>
      </c>
      <c r="M59" s="31">
        <f>SUMIFS(C_Ope_001[monto],C_Ope_001[periodo],M47,C_Ope_001[tipo_mov],"INGRESO")</f>
        <v>552.52</v>
      </c>
      <c r="N59" s="31">
        <f>SUMIFS(C_Ope_001[monto],C_Ope_001[periodo],N47,C_Ope_001[tipo_mov],"INGRESO")</f>
        <v>510</v>
      </c>
      <c r="O59" s="31">
        <f>SUMIFS(C_Ope_001[monto],C_Ope_001[periodo],O47,C_Ope_001[tipo_mov],"INGRESO")</f>
        <v>0</v>
      </c>
      <c r="P59" s="31">
        <f>SUMIFS(C_Ope_001[monto],C_Ope_001[periodo],P47,C_Ope_001[tipo_mov],"INGRESO")</f>
        <v>0</v>
      </c>
      <c r="Q59" s="31">
        <f t="shared" ref="Q59:Q60" si="63">SUM(E59:P59)</f>
        <v>5042.5200000000004</v>
      </c>
      <c r="R59" s="31">
        <f t="shared" si="62"/>
        <v>504.25200000000007</v>
      </c>
    </row>
    <row r="60" spans="2:18" ht="22.5" customHeight="1" x14ac:dyDescent="0.25">
      <c r="B60" s="266"/>
      <c r="C60" s="268"/>
      <c r="D60" s="32" t="s">
        <v>31</v>
      </c>
      <c r="E60" s="31">
        <f>SUMIFS(C_Ope_001[monto],C_Ope_001[periodo],E47,C_Ope_001[tipo_mov],"EGRESO")</f>
        <v>479</v>
      </c>
      <c r="F60" s="31">
        <f>SUMIFS(C_Ope_001[monto],C_Ope_001[periodo],F47,C_Ope_001[tipo_mov],"EGRESO")</f>
        <v>350</v>
      </c>
      <c r="G60" s="31">
        <f>SUMIFS(C_Ope_001[monto],C_Ope_001[periodo],G47,C_Ope_001[tipo_mov],"EGRESO")</f>
        <v>434</v>
      </c>
      <c r="H60" s="31">
        <f>SUMIFS(C_Ope_001[monto],C_Ope_001[periodo],H47,C_Ope_001[tipo_mov],"EGRESO")</f>
        <v>336</v>
      </c>
      <c r="I60" s="31">
        <f>SUMIFS(C_Ope_001[monto],C_Ope_001[periodo],I47,C_Ope_001[tipo_mov],"EGRESO")</f>
        <v>500</v>
      </c>
      <c r="J60" s="31">
        <f>SUMIFS(C_Ope_001[monto],C_Ope_001[periodo],J47,C_Ope_001[tipo_mov],"EGRESO")</f>
        <v>463</v>
      </c>
      <c r="K60" s="31">
        <f>SUMIFS(C_Ope_001[monto],C_Ope_001[periodo],K47,C_Ope_001[tipo_mov],"EGRESO")</f>
        <v>933.15</v>
      </c>
      <c r="L60" s="31">
        <f>SUMIFS(C_Ope_001[monto],C_Ope_001[periodo],L47,C_Ope_001[tipo_mov],"EGRESO")</f>
        <v>596.11</v>
      </c>
      <c r="M60" s="31">
        <f>SUMIFS(C_Ope_001[monto],C_Ope_001[periodo],M47,C_Ope_001[tipo_mov],"EGRESO")</f>
        <v>441</v>
      </c>
      <c r="N60" s="31">
        <f>SUMIFS(C_Ope_001[monto],C_Ope_001[periodo],N47,C_Ope_001[tipo_mov],"EGRESO")</f>
        <v>293</v>
      </c>
      <c r="O60" s="31">
        <f>SUMIFS(C_Ope_001[monto],C_Ope_001[periodo],O47,C_Ope_001[tipo_mov],"EGRESO")</f>
        <v>13</v>
      </c>
      <c r="P60" s="31">
        <f>SUMIFS(C_Ope_001[monto],C_Ope_001[periodo],P47,C_Ope_001[tipo_mov],"EGRESO")</f>
        <v>0</v>
      </c>
      <c r="Q60" s="31">
        <f t="shared" si="63"/>
        <v>4838.26</v>
      </c>
      <c r="R60" s="31">
        <f t="shared" si="62"/>
        <v>439.84181818181821</v>
      </c>
    </row>
    <row r="61" spans="2:18" ht="22.5" customHeight="1" x14ac:dyDescent="0.25">
      <c r="B61" s="264" t="s">
        <v>49</v>
      </c>
      <c r="C61" s="264"/>
      <c r="D61" s="264"/>
      <c r="E61" s="33">
        <f>E58+E59-E60</f>
        <v>89.740000000000009</v>
      </c>
      <c r="F61" s="33">
        <f t="shared" ref="F61:P61" si="64">F58+F59-F60</f>
        <v>249.74</v>
      </c>
      <c r="G61" s="33">
        <f t="shared" si="64"/>
        <v>55.740000000000009</v>
      </c>
      <c r="H61" s="33">
        <f t="shared" si="64"/>
        <v>559.74</v>
      </c>
      <c r="I61" s="33">
        <f t="shared" si="64"/>
        <v>359.74</v>
      </c>
      <c r="J61" s="33">
        <f t="shared" si="64"/>
        <v>26.740000000000009</v>
      </c>
      <c r="K61" s="33">
        <f t="shared" si="64"/>
        <v>73.590000000000032</v>
      </c>
      <c r="L61" s="33">
        <f t="shared" si="64"/>
        <v>-2.5199999999999818</v>
      </c>
      <c r="M61" s="33">
        <f t="shared" si="64"/>
        <v>109</v>
      </c>
      <c r="N61" s="33">
        <f t="shared" si="64"/>
        <v>326</v>
      </c>
      <c r="O61" s="33">
        <f t="shared" si="64"/>
        <v>313</v>
      </c>
      <c r="P61" s="33">
        <f t="shared" si="64"/>
        <v>0</v>
      </c>
      <c r="Q61" s="33">
        <f>SUM(E61:P61)</f>
        <v>2160.5100000000002</v>
      </c>
      <c r="R61" s="33">
        <f t="shared" si="62"/>
        <v>216.05100000000002</v>
      </c>
    </row>
    <row r="63" spans="2:18" ht="22.5" customHeight="1" x14ac:dyDescent="0.25">
      <c r="B63" s="265">
        <v>9</v>
      </c>
      <c r="C63" s="267" t="s">
        <v>50</v>
      </c>
      <c r="D63" s="30" t="s">
        <v>29</v>
      </c>
      <c r="E63" s="31">
        <f>SUMIFS(C_Ope_002[monto],C_Ope_002[periodo],E47,C_Ope_002[tipo_mov],"SALDO")</f>
        <v>110.7</v>
      </c>
      <c r="F63" s="31">
        <f>IF(OR(F64&gt;0,F65&gt;0),E66,0)</f>
        <v>43.700000000000045</v>
      </c>
      <c r="G63" s="31">
        <f t="shared" ref="G63" si="65">IF(OR(G64&gt;0,G65&gt;0),F66,0)</f>
        <v>108.70000000000005</v>
      </c>
      <c r="H63" s="31">
        <f t="shared" ref="H63" si="66">IF(OR(H64&gt;0,H65&gt;0),G66,0)</f>
        <v>68.700000000000045</v>
      </c>
      <c r="I63" s="31">
        <f t="shared" ref="I63" si="67">IF(OR(I64&gt;0,I65&gt;0),H66,0)</f>
        <v>542.70000000000005</v>
      </c>
      <c r="J63" s="31">
        <f t="shared" ref="J63" si="68">IF(OR(J64&gt;0,J65&gt;0),I66,0)</f>
        <v>607.70000000000005</v>
      </c>
      <c r="K63" s="31">
        <f t="shared" ref="K63" si="69">IF(OR(K64&gt;0,K65&gt;0),J66,0)</f>
        <v>237.70000000000005</v>
      </c>
      <c r="L63" s="31">
        <f t="shared" ref="L63" si="70">IF(OR(L64&gt;0,L65&gt;0),K66,0)</f>
        <v>73.700000000000045</v>
      </c>
      <c r="M63" s="31">
        <f t="shared" ref="M63" si="71">IF(OR(M64&gt;0,M65&gt;0),L66,0)</f>
        <v>55.000000000000057</v>
      </c>
      <c r="N63" s="31">
        <f t="shared" ref="N63" si="72">IF(OR(N64&gt;0,N65&gt;0),M66,0)</f>
        <v>46</v>
      </c>
      <c r="O63" s="31">
        <f t="shared" ref="O63" si="73">IF(OR(O64&gt;0,O65&gt;0),N66,0)</f>
        <v>160</v>
      </c>
      <c r="P63" s="31">
        <f t="shared" ref="P63" si="74">IF(OR(P64&gt;0,P65&gt;0),O66,0)</f>
        <v>0</v>
      </c>
      <c r="Q63" s="31">
        <f>SUM(E63:P63)</f>
        <v>2054.6000000000004</v>
      </c>
      <c r="R63" s="31">
        <f t="shared" ref="R63:R65" si="75">SUM(E63:P63)/COUNTIFS(E63:P63,"&gt;"&amp;0)</f>
        <v>186.78181818181821</v>
      </c>
    </row>
    <row r="64" spans="2:18" ht="22.5" customHeight="1" x14ac:dyDescent="0.25">
      <c r="B64" s="266"/>
      <c r="C64" s="268"/>
      <c r="D64" s="32" t="s">
        <v>30</v>
      </c>
      <c r="E64" s="31">
        <f>SUMIFS(C_Ope_002[monto],C_Ope_002[periodo],E47,C_Ope_002[tipo_mov],"INGRESO")</f>
        <v>570</v>
      </c>
      <c r="F64" s="31">
        <f>SUMIFS(C_Ope_002[monto],C_Ope_002[periodo],F47,C_Ope_002[tipo_mov],"INGRESO")</f>
        <v>660</v>
      </c>
      <c r="G64" s="31">
        <f>SUMIFS(C_Ope_002[monto],C_Ope_002[periodo],G47,C_Ope_002[tipo_mov],"INGRESO")</f>
        <v>220</v>
      </c>
      <c r="H64" s="31">
        <f>SUMIFS(C_Ope_002[monto],C_Ope_002[periodo],H47,C_Ope_002[tipo_mov],"INGRESO")</f>
        <v>570</v>
      </c>
      <c r="I64" s="31">
        <f>SUMIFS(C_Ope_002[monto],C_Ope_002[periodo],I47,C_Ope_002[tipo_mov],"INGRESO")</f>
        <v>300</v>
      </c>
      <c r="J64" s="31">
        <f>SUMIFS(C_Ope_002[monto],C_Ope_002[periodo],J47,C_Ope_002[tipo_mov],"INGRESO")</f>
        <v>0</v>
      </c>
      <c r="K64" s="31">
        <f>SUMIFS(C_Ope_002[monto],C_Ope_002[periodo],K47,C_Ope_002[tipo_mov],"INGRESO")</f>
        <v>150</v>
      </c>
      <c r="L64" s="31">
        <f>SUMIFS(C_Ope_002[monto],C_Ope_002[periodo],L47,C_Ope_002[tipo_mov],"INGRESO")</f>
        <v>300</v>
      </c>
      <c r="M64" s="31">
        <f>SUMIFS(C_Ope_002[monto],C_Ope_002[periodo],M47,C_Ope_002[tipo_mov],"INGRESO")</f>
        <v>690</v>
      </c>
      <c r="N64" s="31">
        <f>SUMIFS(C_Ope_002[monto],C_Ope_002[periodo],N47,C_Ope_002[tipo_mov],"INGRESO")</f>
        <v>630</v>
      </c>
      <c r="O64" s="31">
        <f>SUMIFS(C_Ope_002[monto],C_Ope_002[periodo],O47,C_Ope_002[tipo_mov],"INGRESO")</f>
        <v>0</v>
      </c>
      <c r="P64" s="31">
        <f>SUMIFS(C_Ope_002[monto],C_Ope_002[periodo],P47,C_Ope_002[tipo_mov],"INGRESO")</f>
        <v>0</v>
      </c>
      <c r="Q64" s="31">
        <f t="shared" ref="Q64:Q65" si="76">SUM(E64:P64)</f>
        <v>4090</v>
      </c>
      <c r="R64" s="31">
        <f t="shared" si="75"/>
        <v>454.44444444444446</v>
      </c>
    </row>
    <row r="65" spans="2:18" ht="22.5" customHeight="1" x14ac:dyDescent="0.25">
      <c r="B65" s="266"/>
      <c r="C65" s="268"/>
      <c r="D65" s="32" t="s">
        <v>31</v>
      </c>
      <c r="E65" s="31">
        <f>SUMIFS(C_Ope_002[monto],C_Ope_002[periodo],E47,C_Ope_002[tipo_mov],"EGRESO")</f>
        <v>637</v>
      </c>
      <c r="F65" s="31">
        <f>SUMIFS(C_Ope_002[monto],C_Ope_002[periodo],F47,C_Ope_002[tipo_mov],"EGRESO")</f>
        <v>595</v>
      </c>
      <c r="G65" s="31">
        <f>SUMIFS(C_Ope_002[monto],C_Ope_002[periodo],G47,C_Ope_002[tipo_mov],"EGRESO")</f>
        <v>260</v>
      </c>
      <c r="H65" s="31">
        <f>SUMIFS(C_Ope_002[monto],C_Ope_002[periodo],H47,C_Ope_002[tipo_mov],"EGRESO")</f>
        <v>96</v>
      </c>
      <c r="I65" s="31">
        <f>SUMIFS(C_Ope_002[monto],C_Ope_002[periodo],I47,C_Ope_002[tipo_mov],"EGRESO")</f>
        <v>235</v>
      </c>
      <c r="J65" s="31">
        <f>SUMIFS(C_Ope_002[monto],C_Ope_002[periodo],J47,C_Ope_002[tipo_mov],"EGRESO")</f>
        <v>370</v>
      </c>
      <c r="K65" s="31">
        <f>SUMIFS(C_Ope_002[monto],C_Ope_002[periodo],K47,C_Ope_002[tipo_mov],"EGRESO")</f>
        <v>314</v>
      </c>
      <c r="L65" s="31">
        <f>SUMIFS(C_Ope_002[monto],C_Ope_002[periodo],L47,C_Ope_002[tipo_mov],"EGRESO")</f>
        <v>318.7</v>
      </c>
      <c r="M65" s="31">
        <f>SUMIFS(C_Ope_002[monto],C_Ope_002[periodo],M47,C_Ope_002[tipo_mov],"EGRESO")</f>
        <v>699</v>
      </c>
      <c r="N65" s="31">
        <f>SUMIFS(C_Ope_002[monto],C_Ope_002[periodo],N47,C_Ope_002[tipo_mov],"EGRESO")</f>
        <v>516</v>
      </c>
      <c r="O65" s="31">
        <f>SUMIFS(C_Ope_002[monto],C_Ope_002[periodo],O47,C_Ope_002[tipo_mov],"EGRESO")</f>
        <v>18</v>
      </c>
      <c r="P65" s="31">
        <f>SUMIFS(C_Ope_002[monto],C_Ope_002[periodo],P47,C_Ope_002[tipo_mov],"EGRESO")</f>
        <v>0</v>
      </c>
      <c r="Q65" s="31">
        <f t="shared" si="76"/>
        <v>4058.7</v>
      </c>
      <c r="R65" s="31">
        <f t="shared" si="75"/>
        <v>368.97272727272724</v>
      </c>
    </row>
    <row r="66" spans="2:18" ht="22.5" customHeight="1" x14ac:dyDescent="0.25">
      <c r="B66" s="264" t="s">
        <v>49</v>
      </c>
      <c r="C66" s="264"/>
      <c r="D66" s="264"/>
      <c r="E66" s="33">
        <f>E63+E64-E65</f>
        <v>43.700000000000045</v>
      </c>
      <c r="F66" s="33">
        <f t="shared" ref="F66:P66" si="77">F63+F64-F65</f>
        <v>108.70000000000005</v>
      </c>
      <c r="G66" s="33">
        <f t="shared" si="77"/>
        <v>68.700000000000045</v>
      </c>
      <c r="H66" s="33">
        <f t="shared" si="77"/>
        <v>542.70000000000005</v>
      </c>
      <c r="I66" s="33">
        <f t="shared" si="77"/>
        <v>607.70000000000005</v>
      </c>
      <c r="J66" s="33">
        <f t="shared" si="77"/>
        <v>237.70000000000005</v>
      </c>
      <c r="K66" s="33">
        <f t="shared" si="77"/>
        <v>73.700000000000045</v>
      </c>
      <c r="L66" s="33">
        <f t="shared" si="77"/>
        <v>55.000000000000057</v>
      </c>
      <c r="M66" s="33">
        <f t="shared" si="77"/>
        <v>46</v>
      </c>
      <c r="N66" s="33">
        <f t="shared" si="77"/>
        <v>160</v>
      </c>
      <c r="O66" s="33">
        <f t="shared" si="77"/>
        <v>142</v>
      </c>
      <c r="P66" s="33">
        <f t="shared" si="77"/>
        <v>0</v>
      </c>
      <c r="Q66" s="33">
        <f>SUM(E66:P66)</f>
        <v>2085.9000000000005</v>
      </c>
      <c r="R66" s="33">
        <f>SUM(E66:P66)/COUNTIFS(E66:P66,"&gt;"&amp;0)</f>
        <v>189.62727272727278</v>
      </c>
    </row>
    <row r="68" spans="2:18" ht="22.5" customHeight="1" x14ac:dyDescent="0.25">
      <c r="B68" s="265">
        <v>10</v>
      </c>
      <c r="C68" s="267" t="s">
        <v>51</v>
      </c>
      <c r="D68" s="30" t="s">
        <v>29</v>
      </c>
      <c r="E68" s="31">
        <f>SUMIFS(C_Ope_003[monto],C_Ope_003[periodo],E47,C_Ope_003[tipo_mov],"SALDO")</f>
        <v>187.65</v>
      </c>
      <c r="F68" s="31">
        <f>IF(OR(F69&gt;0,F70&gt;0),E71,0)</f>
        <v>187.65</v>
      </c>
      <c r="G68" s="31">
        <f t="shared" ref="G68" si="78">IF(OR(G69&gt;0,G70&gt;0),F71,0)</f>
        <v>206.85000000000036</v>
      </c>
      <c r="H68" s="31">
        <f t="shared" ref="H68" si="79">IF(OR(H69&gt;0,H70&gt;0),G71,0)</f>
        <v>81.850000000000364</v>
      </c>
      <c r="I68" s="31">
        <f t="shared" ref="I68" si="80">IF(OR(I69&gt;0,I70&gt;0),H71,0)</f>
        <v>660.95000000000039</v>
      </c>
      <c r="J68" s="31">
        <f t="shared" ref="J68" si="81">IF(OR(J69&gt;0,J70&gt;0),I71,0)</f>
        <v>410.05000000000018</v>
      </c>
      <c r="K68" s="31">
        <f t="shared" ref="K68" si="82">IF(OR(K69&gt;0,K70&gt;0),J71,0)</f>
        <v>88.750000000000227</v>
      </c>
      <c r="L68" s="31">
        <f t="shared" ref="L68" si="83">IF(OR(L69&gt;0,L70&gt;0),K71,0)</f>
        <v>23.750000000000227</v>
      </c>
      <c r="M68" s="31">
        <f t="shared" ref="M68" si="84">IF(OR(M69&gt;0,M70&gt;0),L71,0)</f>
        <v>109.75000000000023</v>
      </c>
      <c r="N68" s="31">
        <f t="shared" ref="N68" si="85">IF(OR(N69&gt;0,N70&gt;0),M71,0)</f>
        <v>210.05000000000007</v>
      </c>
      <c r="O68" s="31">
        <f t="shared" ref="O68" si="86">IF(OR(O69&gt;0,O70&gt;0),N71,0)</f>
        <v>0</v>
      </c>
      <c r="P68" s="31">
        <f t="shared" ref="P68" si="87">IF(OR(P69&gt;0,P70&gt;0),O71,0)</f>
        <v>0</v>
      </c>
      <c r="Q68" s="31">
        <f>SUM(E68:P68)</f>
        <v>2167.300000000002</v>
      </c>
      <c r="R68" s="31">
        <f t="shared" ref="R68:R70" si="88">SUM(E68:P68)/COUNTIFS(E68:P68,"&gt;"&amp;0)</f>
        <v>216.73000000000019</v>
      </c>
    </row>
    <row r="69" spans="2:18" ht="22.5" customHeight="1" x14ac:dyDescent="0.25">
      <c r="B69" s="266"/>
      <c r="C69" s="268"/>
      <c r="D69" s="32" t="s">
        <v>30</v>
      </c>
      <c r="E69" s="31">
        <f>SUMIFS(C_Ope_003[monto],C_Ope_003[periodo],E47,C_Ope_003[tipo_mov],"INGRESO")</f>
        <v>0</v>
      </c>
      <c r="F69" s="31">
        <f>SUMIFS(C_Ope_003[monto],C_Ope_003[periodo],F47,C_Ope_003[tipo_mov],"INGRESO")</f>
        <v>2500</v>
      </c>
      <c r="G69" s="31">
        <f>SUMIFS(C_Ope_003[monto],C_Ope_003[periodo],G47,C_Ope_003[tipo_mov],"INGRESO")</f>
        <v>80</v>
      </c>
      <c r="H69" s="31">
        <f>SUMIFS(C_Ope_003[monto],C_Ope_003[periodo],H47,C_Ope_003[tipo_mov],"INGRESO")</f>
        <v>1540</v>
      </c>
      <c r="I69" s="31">
        <f>SUMIFS(C_Ope_003[monto],C_Ope_003[periodo],I47,C_Ope_003[tipo_mov],"INGRESO")</f>
        <v>400</v>
      </c>
      <c r="J69" s="31">
        <f>SUMIFS(C_Ope_003[monto],C_Ope_003[periodo],J47,C_Ope_003[tipo_mov],"INGRESO")</f>
        <v>610</v>
      </c>
      <c r="K69" s="31">
        <f>SUMIFS(C_Ope_003[monto],C_Ope_003[periodo],K47,C_Ope_003[tipo_mov],"INGRESO")</f>
        <v>110</v>
      </c>
      <c r="L69" s="31">
        <f>SUMIFS(C_Ope_003[monto],C_Ope_003[periodo],L47,C_Ope_003[tipo_mov],"INGRESO")</f>
        <v>510</v>
      </c>
      <c r="M69" s="31">
        <f>SUMIFS(C_Ope_003[monto],C_Ope_003[periodo],M47,C_Ope_003[tipo_mov],"INGRESO")</f>
        <v>1000</v>
      </c>
      <c r="N69" s="31">
        <f>SUMIFS(C_Ope_003[monto],C_Ope_003[periodo],N47,C_Ope_003[tipo_mov],"INGRESO")</f>
        <v>1170</v>
      </c>
      <c r="O69" s="31">
        <f>SUMIFS(C_Ope_003[monto],C_Ope_003[periodo],O47,C_Ope_003[tipo_mov],"INGRESO")</f>
        <v>0</v>
      </c>
      <c r="P69" s="31">
        <f>SUMIFS(C_Ope_003[monto],C_Ope_003[periodo],P47,C_Ope_003[tipo_mov],"INGRESO")</f>
        <v>0</v>
      </c>
      <c r="Q69" s="31">
        <f t="shared" ref="Q69:Q70" si="89">SUM(E69:P69)</f>
        <v>7920</v>
      </c>
      <c r="R69" s="31">
        <f t="shared" si="88"/>
        <v>880</v>
      </c>
    </row>
    <row r="70" spans="2:18" ht="22.5" customHeight="1" x14ac:dyDescent="0.25">
      <c r="B70" s="266"/>
      <c r="C70" s="268"/>
      <c r="D70" s="32" t="s">
        <v>31</v>
      </c>
      <c r="E70" s="31">
        <f>SUMIFS(C_Ope_003[monto],C_Ope_003[periodo],E47,C_Ope_003[tipo_mov],"EGRESO")</f>
        <v>0</v>
      </c>
      <c r="F70" s="31">
        <f>SUMIFS(C_Ope_003[monto],C_Ope_003[periodo],F47,C_Ope_003[tipo_mov],"EGRESO")</f>
        <v>2480.7999999999997</v>
      </c>
      <c r="G70" s="31">
        <f>SUMIFS(C_Ope_003[monto],C_Ope_003[periodo],G47,C_Ope_003[tipo_mov],"EGRESO")</f>
        <v>205</v>
      </c>
      <c r="H70" s="31">
        <f>SUMIFS(C_Ope_003[monto],C_Ope_003[periodo],H47,C_Ope_003[tipo_mov],"EGRESO")</f>
        <v>960.9</v>
      </c>
      <c r="I70" s="31">
        <f>SUMIFS(C_Ope_003[monto],C_Ope_003[periodo],I47,C_Ope_003[tipo_mov],"EGRESO")</f>
        <v>650.90000000000009</v>
      </c>
      <c r="J70" s="31">
        <f>SUMIFS(C_Ope_003[monto],C_Ope_003[periodo],J47,C_Ope_003[tipo_mov],"EGRESO")</f>
        <v>931.3</v>
      </c>
      <c r="K70" s="31">
        <f>SUMIFS(C_Ope_003[monto],C_Ope_003[periodo],K47,C_Ope_003[tipo_mov],"EGRESO")</f>
        <v>175</v>
      </c>
      <c r="L70" s="31">
        <f>SUMIFS(C_Ope_003[monto],C_Ope_003[periodo],L47,C_Ope_003[tipo_mov],"EGRESO")</f>
        <v>424</v>
      </c>
      <c r="M70" s="31">
        <f>SUMIFS(C_Ope_003[monto],C_Ope_003[periodo],M47,C_Ope_003[tipo_mov],"EGRESO")</f>
        <v>899.70000000000016</v>
      </c>
      <c r="N70" s="31">
        <f>SUMIFS(C_Ope_003[monto],C_Ope_003[periodo],N47,C_Ope_003[tipo_mov],"EGRESO")</f>
        <v>1292</v>
      </c>
      <c r="O70" s="31">
        <f>SUMIFS(C_Ope_003[monto],C_Ope_003[periodo],O47,C_Ope_003[tipo_mov],"EGRESO")</f>
        <v>0</v>
      </c>
      <c r="P70" s="31">
        <f>SUMIFS(C_Ope_003[monto],C_Ope_003[periodo],P47,C_Ope_003[tipo_mov],"EGRESO")</f>
        <v>0</v>
      </c>
      <c r="Q70" s="31">
        <f t="shared" si="89"/>
        <v>8019.6</v>
      </c>
      <c r="R70" s="31">
        <f t="shared" si="88"/>
        <v>891.06666666666672</v>
      </c>
    </row>
    <row r="71" spans="2:18" ht="22.5" customHeight="1" x14ac:dyDescent="0.25">
      <c r="B71" s="264" t="s">
        <v>52</v>
      </c>
      <c r="C71" s="264"/>
      <c r="D71" s="264"/>
      <c r="E71" s="33">
        <f>E68+E69-E70</f>
        <v>187.65</v>
      </c>
      <c r="F71" s="33">
        <f t="shared" ref="F71:P71" si="90">F68+F69-F70</f>
        <v>206.85000000000036</v>
      </c>
      <c r="G71" s="33">
        <f t="shared" si="90"/>
        <v>81.850000000000364</v>
      </c>
      <c r="H71" s="33">
        <f t="shared" si="90"/>
        <v>660.95000000000039</v>
      </c>
      <c r="I71" s="33">
        <f t="shared" si="90"/>
        <v>410.05000000000018</v>
      </c>
      <c r="J71" s="33">
        <f t="shared" si="90"/>
        <v>88.750000000000227</v>
      </c>
      <c r="K71" s="33">
        <f t="shared" si="90"/>
        <v>23.750000000000227</v>
      </c>
      <c r="L71" s="33">
        <f t="shared" si="90"/>
        <v>109.75000000000023</v>
      </c>
      <c r="M71" s="33">
        <f t="shared" si="90"/>
        <v>210.05000000000007</v>
      </c>
      <c r="N71" s="33">
        <f t="shared" si="90"/>
        <v>88.050000000000182</v>
      </c>
      <c r="O71" s="33">
        <f t="shared" si="90"/>
        <v>0</v>
      </c>
      <c r="P71" s="33">
        <f t="shared" si="90"/>
        <v>0</v>
      </c>
      <c r="Q71" s="33">
        <f>SUM(E71:P71)</f>
        <v>2067.7000000000021</v>
      </c>
      <c r="R71" s="33">
        <f>SUM(E71:P71)/COUNTIFS(E71:P71,"&gt;"&amp;0)</f>
        <v>206.77000000000021</v>
      </c>
    </row>
  </sheetData>
  <mergeCells count="51">
    <mergeCell ref="B34:D34"/>
    <mergeCell ref="B35:B37"/>
    <mergeCell ref="C35:C37"/>
    <mergeCell ref="B38:D38"/>
    <mergeCell ref="B33:D33"/>
    <mergeCell ref="B10:B12"/>
    <mergeCell ref="C10:C12"/>
    <mergeCell ref="B13:D13"/>
    <mergeCell ref="B28:D28"/>
    <mergeCell ref="B30:B32"/>
    <mergeCell ref="C30:C32"/>
    <mergeCell ref="B18:D18"/>
    <mergeCell ref="B15:B17"/>
    <mergeCell ref="C15:C17"/>
    <mergeCell ref="B20:B22"/>
    <mergeCell ref="C20:C22"/>
    <mergeCell ref="B23:D23"/>
    <mergeCell ref="B25:B27"/>
    <mergeCell ref="C25:C27"/>
    <mergeCell ref="L7:M7"/>
    <mergeCell ref="N7:R7"/>
    <mergeCell ref="B2:C5"/>
    <mergeCell ref="D2:P2"/>
    <mergeCell ref="Q2:R2"/>
    <mergeCell ref="D3:P4"/>
    <mergeCell ref="Q3:R3"/>
    <mergeCell ref="Q4:R4"/>
    <mergeCell ref="D5:P5"/>
    <mergeCell ref="Q5:R5"/>
    <mergeCell ref="G7:H7"/>
    <mergeCell ref="I7:K7"/>
    <mergeCell ref="B7:C7"/>
    <mergeCell ref="D7:F7"/>
    <mergeCell ref="B51:D51"/>
    <mergeCell ref="B42:B44"/>
    <mergeCell ref="C42:C44"/>
    <mergeCell ref="B45:D45"/>
    <mergeCell ref="B48:B50"/>
    <mergeCell ref="C48:C50"/>
    <mergeCell ref="B53:B55"/>
    <mergeCell ref="C53:C55"/>
    <mergeCell ref="B56:D56"/>
    <mergeCell ref="B58:B60"/>
    <mergeCell ref="C58:C60"/>
    <mergeCell ref="B71:D71"/>
    <mergeCell ref="B61:D61"/>
    <mergeCell ref="B63:B65"/>
    <mergeCell ref="C63:C65"/>
    <mergeCell ref="B66:D66"/>
    <mergeCell ref="B68:B70"/>
    <mergeCell ref="C68:C70"/>
  </mergeCells>
  <printOptions horizontalCentered="1"/>
  <pageMargins left="0.23622047244094491" right="0.23622047244094491" top="0.55118110236220474" bottom="0.35433070866141736" header="0.31496062992125984" footer="0.31496062992125984"/>
  <pageSetup paperSize="9" scale="57" fitToHeight="0" orientation="landscape" r:id="rId1"/>
  <rowBreaks count="1" manualBreakCount="1">
    <brk id="46" min="1" max="17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EF50E-1722-4A5F-9CE5-B8A24F8E150E}">
  <sheetPr codeName="Hoja1">
    <tabColor theme="8"/>
  </sheetPr>
  <dimension ref="A1:I1004"/>
  <sheetViews>
    <sheetView showGridLines="0" workbookViewId="0">
      <selection activeCell="G17" sqref="G17"/>
    </sheetView>
  </sheetViews>
  <sheetFormatPr defaultColWidth="11.44140625" defaultRowHeight="14.4" x14ac:dyDescent="0.3"/>
  <cols>
    <col min="1" max="1" width="12" bestFit="1" customWidth="1"/>
    <col min="2" max="2" width="81.109375" bestFit="1" customWidth="1"/>
    <col min="3" max="3" width="26" bestFit="1" customWidth="1"/>
    <col min="4" max="4" width="18.88671875" bestFit="1" customWidth="1"/>
    <col min="5" max="5" width="7.109375" bestFit="1" customWidth="1"/>
    <col min="6" max="6" width="12.5546875" bestFit="1" customWidth="1"/>
    <col min="8" max="8" width="31.88671875" customWidth="1"/>
    <col min="9" max="9" width="13.33203125" bestFit="1" customWidth="1"/>
  </cols>
  <sheetData>
    <row r="1" spans="1:9" x14ac:dyDescent="0.3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H1" s="10" t="s">
        <v>59</v>
      </c>
      <c r="I1" s="10" t="s">
        <v>60</v>
      </c>
    </row>
    <row r="2" spans="1:9" x14ac:dyDescent="0.3">
      <c r="A2">
        <v>10005208748</v>
      </c>
      <c r="B2" t="s">
        <v>61</v>
      </c>
      <c r="C2" t="s">
        <v>62</v>
      </c>
      <c r="D2" t="s">
        <v>63</v>
      </c>
      <c r="F2">
        <v>11</v>
      </c>
      <c r="H2" s="11" t="s">
        <v>64</v>
      </c>
      <c r="I2" s="12" t="s">
        <v>65</v>
      </c>
    </row>
    <row r="3" spans="1:9" x14ac:dyDescent="0.3">
      <c r="A3">
        <v>10104340984</v>
      </c>
      <c r="B3" t="s">
        <v>66</v>
      </c>
      <c r="C3" t="s">
        <v>62</v>
      </c>
      <c r="D3" t="s">
        <v>67</v>
      </c>
      <c r="F3">
        <v>11</v>
      </c>
      <c r="H3" s="11" t="s">
        <v>68</v>
      </c>
      <c r="I3" s="12" t="s">
        <v>69</v>
      </c>
    </row>
    <row r="4" spans="1:9" x14ac:dyDescent="0.3">
      <c r="A4">
        <v>10211014194</v>
      </c>
      <c r="B4" t="s">
        <v>70</v>
      </c>
      <c r="C4" t="s">
        <v>62</v>
      </c>
      <c r="D4" t="s">
        <v>71</v>
      </c>
      <c r="F4">
        <v>11</v>
      </c>
      <c r="H4" s="11" t="s">
        <v>72</v>
      </c>
      <c r="I4" s="12" t="s">
        <v>73</v>
      </c>
    </row>
    <row r="5" spans="1:9" x14ac:dyDescent="0.3">
      <c r="A5">
        <v>10238587935</v>
      </c>
      <c r="B5" t="s">
        <v>74</v>
      </c>
      <c r="F5">
        <v>11</v>
      </c>
      <c r="H5" s="11" t="s">
        <v>75</v>
      </c>
      <c r="I5" s="12" t="s">
        <v>76</v>
      </c>
    </row>
    <row r="6" spans="1:9" x14ac:dyDescent="0.3">
      <c r="A6">
        <v>10239605783</v>
      </c>
      <c r="B6" t="s">
        <v>77</v>
      </c>
      <c r="C6" t="s">
        <v>62</v>
      </c>
      <c r="D6" t="s">
        <v>78</v>
      </c>
      <c r="F6">
        <v>11</v>
      </c>
      <c r="H6" s="11" t="s">
        <v>79</v>
      </c>
      <c r="I6" s="12" t="s">
        <v>80</v>
      </c>
    </row>
    <row r="7" spans="1:9" x14ac:dyDescent="0.3">
      <c r="A7">
        <v>10239948702</v>
      </c>
      <c r="B7" t="s">
        <v>81</v>
      </c>
      <c r="C7" t="s">
        <v>62</v>
      </c>
      <c r="D7" t="s">
        <v>82</v>
      </c>
      <c r="F7">
        <v>11</v>
      </c>
      <c r="H7" s="11" t="s">
        <v>83</v>
      </c>
      <c r="I7" s="12" t="s">
        <v>84</v>
      </c>
    </row>
    <row r="8" spans="1:9" x14ac:dyDescent="0.3">
      <c r="A8">
        <v>10248125697</v>
      </c>
      <c r="B8" t="s">
        <v>85</v>
      </c>
      <c r="C8" t="s">
        <v>62</v>
      </c>
      <c r="D8" t="s">
        <v>86</v>
      </c>
      <c r="F8">
        <v>11</v>
      </c>
      <c r="H8" s="11" t="s">
        <v>87</v>
      </c>
      <c r="I8" s="12" t="s">
        <v>88</v>
      </c>
    </row>
    <row r="9" spans="1:9" x14ac:dyDescent="0.3">
      <c r="A9">
        <v>10252011647</v>
      </c>
      <c r="B9" t="s">
        <v>89</v>
      </c>
      <c r="C9" t="s">
        <v>62</v>
      </c>
      <c r="D9" t="s">
        <v>90</v>
      </c>
      <c r="F9">
        <v>11</v>
      </c>
      <c r="H9" s="11" t="s">
        <v>91</v>
      </c>
      <c r="I9" s="12" t="s">
        <v>92</v>
      </c>
    </row>
    <row r="10" spans="1:9" x14ac:dyDescent="0.3">
      <c r="A10">
        <v>10292501515</v>
      </c>
      <c r="B10" t="s">
        <v>93</v>
      </c>
      <c r="F10">
        <v>11</v>
      </c>
      <c r="H10" s="11" t="s">
        <v>94</v>
      </c>
      <c r="I10" s="12" t="s">
        <v>95</v>
      </c>
    </row>
    <row r="11" spans="1:9" x14ac:dyDescent="0.3">
      <c r="A11">
        <v>10293345029</v>
      </c>
      <c r="B11" t="s">
        <v>96</v>
      </c>
      <c r="C11" t="s">
        <v>62</v>
      </c>
      <c r="D11" t="s">
        <v>97</v>
      </c>
      <c r="F11">
        <v>11</v>
      </c>
      <c r="H11" s="11" t="s">
        <v>98</v>
      </c>
      <c r="I11" s="12" t="s">
        <v>99</v>
      </c>
    </row>
    <row r="12" spans="1:9" x14ac:dyDescent="0.3">
      <c r="A12">
        <v>10293559142</v>
      </c>
      <c r="B12" t="s">
        <v>100</v>
      </c>
      <c r="C12" t="s">
        <v>62</v>
      </c>
      <c r="D12" t="s">
        <v>101</v>
      </c>
      <c r="F12">
        <v>11</v>
      </c>
      <c r="H12" s="11" t="s">
        <v>102</v>
      </c>
      <c r="I12" s="12" t="s">
        <v>103</v>
      </c>
    </row>
    <row r="13" spans="1:9" x14ac:dyDescent="0.3">
      <c r="A13">
        <v>10295171915</v>
      </c>
      <c r="B13" t="s">
        <v>104</v>
      </c>
      <c r="C13" t="s">
        <v>62</v>
      </c>
      <c r="D13" t="s">
        <v>105</v>
      </c>
      <c r="F13">
        <v>11</v>
      </c>
      <c r="H13" s="11" t="s">
        <v>106</v>
      </c>
      <c r="I13" s="12" t="s">
        <v>107</v>
      </c>
    </row>
    <row r="14" spans="1:9" x14ac:dyDescent="0.3">
      <c r="A14">
        <v>10295259634</v>
      </c>
      <c r="B14" t="s">
        <v>108</v>
      </c>
      <c r="C14" t="s">
        <v>109</v>
      </c>
      <c r="D14" t="s">
        <v>110</v>
      </c>
      <c r="F14">
        <v>11</v>
      </c>
      <c r="H14" s="11" t="s">
        <v>111</v>
      </c>
      <c r="I14" s="12" t="s">
        <v>112</v>
      </c>
    </row>
    <row r="15" spans="1:9" x14ac:dyDescent="0.3">
      <c r="A15">
        <v>10295329179</v>
      </c>
      <c r="B15" t="s">
        <v>113</v>
      </c>
      <c r="C15" t="s">
        <v>62</v>
      </c>
      <c r="D15" t="s">
        <v>114</v>
      </c>
      <c r="F15">
        <v>11</v>
      </c>
      <c r="H15" s="11" t="s">
        <v>115</v>
      </c>
      <c r="I15" s="12" t="s">
        <v>116</v>
      </c>
    </row>
    <row r="16" spans="1:9" x14ac:dyDescent="0.3">
      <c r="A16">
        <v>10295492908</v>
      </c>
      <c r="B16" t="s">
        <v>117</v>
      </c>
      <c r="C16" t="s">
        <v>62</v>
      </c>
      <c r="D16" t="s">
        <v>118</v>
      </c>
      <c r="F16">
        <v>11</v>
      </c>
      <c r="H16" s="11" t="s">
        <v>119</v>
      </c>
      <c r="I16" s="12" t="s">
        <v>120</v>
      </c>
    </row>
    <row r="17" spans="1:9" x14ac:dyDescent="0.3">
      <c r="A17">
        <v>10296056371</v>
      </c>
      <c r="B17" t="s">
        <v>121</v>
      </c>
      <c r="F17">
        <v>11</v>
      </c>
      <c r="H17" s="11" t="s">
        <v>122</v>
      </c>
      <c r="I17" s="12" t="s">
        <v>123</v>
      </c>
    </row>
    <row r="18" spans="1:9" x14ac:dyDescent="0.3">
      <c r="A18">
        <v>10296102933</v>
      </c>
      <c r="B18" t="s">
        <v>124</v>
      </c>
      <c r="C18" t="s">
        <v>62</v>
      </c>
      <c r="D18" t="s">
        <v>125</v>
      </c>
      <c r="F18">
        <v>11</v>
      </c>
      <c r="H18" s="11" t="s">
        <v>126</v>
      </c>
      <c r="I18" s="12" t="s">
        <v>127</v>
      </c>
    </row>
    <row r="19" spans="1:9" x14ac:dyDescent="0.3">
      <c r="A19">
        <v>10296335784</v>
      </c>
      <c r="B19" t="s">
        <v>128</v>
      </c>
      <c r="C19" t="s">
        <v>62</v>
      </c>
      <c r="D19" t="s">
        <v>129</v>
      </c>
      <c r="F19">
        <v>11</v>
      </c>
      <c r="H19" s="11" t="s">
        <v>130</v>
      </c>
      <c r="I19" s="12" t="s">
        <v>131</v>
      </c>
    </row>
    <row r="20" spans="1:9" x14ac:dyDescent="0.3">
      <c r="A20">
        <v>10296695781</v>
      </c>
      <c r="B20" t="s">
        <v>132</v>
      </c>
      <c r="C20" t="s">
        <v>62</v>
      </c>
      <c r="D20" t="s">
        <v>133</v>
      </c>
      <c r="F20">
        <v>11</v>
      </c>
      <c r="H20" s="11" t="s">
        <v>134</v>
      </c>
      <c r="I20" s="12" t="s">
        <v>135</v>
      </c>
    </row>
    <row r="21" spans="1:9" x14ac:dyDescent="0.3">
      <c r="A21">
        <v>10296919379</v>
      </c>
      <c r="B21" t="s">
        <v>136</v>
      </c>
      <c r="F21">
        <v>11</v>
      </c>
      <c r="H21" s="11" t="s">
        <v>137</v>
      </c>
      <c r="I21" s="12" t="s">
        <v>138</v>
      </c>
    </row>
    <row r="22" spans="1:9" x14ac:dyDescent="0.3">
      <c r="A22">
        <v>10297259305</v>
      </c>
      <c r="B22" t="s">
        <v>139</v>
      </c>
      <c r="C22" t="s">
        <v>62</v>
      </c>
      <c r="D22" t="s">
        <v>140</v>
      </c>
      <c r="F22">
        <v>11</v>
      </c>
      <c r="H22" s="11" t="s">
        <v>64</v>
      </c>
      <c r="I22" s="12" t="s">
        <v>141</v>
      </c>
    </row>
    <row r="23" spans="1:9" x14ac:dyDescent="0.3">
      <c r="A23">
        <v>10297318522</v>
      </c>
      <c r="B23" t="s">
        <v>142</v>
      </c>
      <c r="F23">
        <v>11</v>
      </c>
      <c r="H23" s="11" t="s">
        <v>143</v>
      </c>
      <c r="I23" s="12" t="s">
        <v>144</v>
      </c>
    </row>
    <row r="24" spans="1:9" x14ac:dyDescent="0.3">
      <c r="A24">
        <v>10400399561</v>
      </c>
      <c r="B24" t="s">
        <v>145</v>
      </c>
      <c r="C24" t="s">
        <v>62</v>
      </c>
      <c r="D24" t="s">
        <v>146</v>
      </c>
      <c r="F24">
        <v>11</v>
      </c>
      <c r="H24" s="11" t="s">
        <v>147</v>
      </c>
      <c r="I24" s="12" t="s">
        <v>148</v>
      </c>
    </row>
    <row r="25" spans="1:9" x14ac:dyDescent="0.3">
      <c r="A25">
        <v>10404437203</v>
      </c>
      <c r="B25" t="s">
        <v>149</v>
      </c>
      <c r="C25" t="s">
        <v>62</v>
      </c>
      <c r="D25" t="s">
        <v>150</v>
      </c>
      <c r="F25">
        <v>11</v>
      </c>
      <c r="H25" s="11" t="s">
        <v>151</v>
      </c>
      <c r="I25" s="12" t="s">
        <v>152</v>
      </c>
    </row>
    <row r="26" spans="1:9" x14ac:dyDescent="0.3">
      <c r="A26">
        <v>10405211179</v>
      </c>
      <c r="B26" t="s">
        <v>153</v>
      </c>
      <c r="C26" t="s">
        <v>62</v>
      </c>
      <c r="D26" t="s">
        <v>154</v>
      </c>
      <c r="F26">
        <v>11</v>
      </c>
      <c r="H26" s="11" t="s">
        <v>155</v>
      </c>
      <c r="I26" s="12" t="s">
        <v>156</v>
      </c>
    </row>
    <row r="27" spans="1:9" x14ac:dyDescent="0.3">
      <c r="A27">
        <v>10408722719</v>
      </c>
      <c r="B27" t="s">
        <v>157</v>
      </c>
      <c r="F27">
        <v>11</v>
      </c>
      <c r="H27" s="11" t="s">
        <v>158</v>
      </c>
      <c r="I27" s="12" t="s">
        <v>159</v>
      </c>
    </row>
    <row r="28" spans="1:9" x14ac:dyDescent="0.3">
      <c r="A28">
        <v>10412061671</v>
      </c>
      <c r="B28" t="s">
        <v>160</v>
      </c>
      <c r="F28">
        <v>11</v>
      </c>
    </row>
    <row r="29" spans="1:9" x14ac:dyDescent="0.3">
      <c r="A29">
        <v>10414240726</v>
      </c>
      <c r="B29" t="s">
        <v>161</v>
      </c>
      <c r="C29" t="s">
        <v>62</v>
      </c>
      <c r="D29" t="s">
        <v>162</v>
      </c>
      <c r="F29">
        <v>11</v>
      </c>
    </row>
    <row r="30" spans="1:9" x14ac:dyDescent="0.3">
      <c r="A30">
        <v>10416031679</v>
      </c>
      <c r="B30" t="s">
        <v>163</v>
      </c>
      <c r="C30" t="s">
        <v>62</v>
      </c>
      <c r="D30" t="s">
        <v>164</v>
      </c>
      <c r="F30">
        <v>11</v>
      </c>
    </row>
    <row r="31" spans="1:9" x14ac:dyDescent="0.3">
      <c r="A31">
        <v>10418721435</v>
      </c>
      <c r="B31" t="s">
        <v>165</v>
      </c>
      <c r="F31">
        <v>11</v>
      </c>
    </row>
    <row r="32" spans="1:9" x14ac:dyDescent="0.3">
      <c r="A32">
        <v>10425371652</v>
      </c>
      <c r="B32" t="s">
        <v>166</v>
      </c>
      <c r="C32" t="s">
        <v>62</v>
      </c>
      <c r="D32" t="s">
        <v>167</v>
      </c>
      <c r="F32">
        <v>11</v>
      </c>
    </row>
    <row r="33" spans="1:6" x14ac:dyDescent="0.3">
      <c r="A33">
        <v>10431690131</v>
      </c>
      <c r="B33" t="s">
        <v>168</v>
      </c>
      <c r="F33">
        <v>11</v>
      </c>
    </row>
    <row r="34" spans="1:6" x14ac:dyDescent="0.3">
      <c r="A34">
        <v>10433499617</v>
      </c>
      <c r="B34" t="s">
        <v>169</v>
      </c>
      <c r="F34">
        <v>11</v>
      </c>
    </row>
    <row r="35" spans="1:6" x14ac:dyDescent="0.3">
      <c r="A35">
        <v>10442345053</v>
      </c>
      <c r="B35" t="s">
        <v>170</v>
      </c>
      <c r="F35">
        <v>11</v>
      </c>
    </row>
    <row r="36" spans="1:6" x14ac:dyDescent="0.3">
      <c r="A36">
        <v>10456105896</v>
      </c>
      <c r="B36" t="s">
        <v>171</v>
      </c>
      <c r="C36" t="s">
        <v>62</v>
      </c>
      <c r="D36" t="s">
        <v>172</v>
      </c>
      <c r="F36">
        <v>11</v>
      </c>
    </row>
    <row r="37" spans="1:6" x14ac:dyDescent="0.3">
      <c r="A37">
        <v>10459427525</v>
      </c>
      <c r="B37" t="s">
        <v>173</v>
      </c>
      <c r="F37">
        <v>11</v>
      </c>
    </row>
    <row r="38" spans="1:6" x14ac:dyDescent="0.3">
      <c r="A38">
        <v>10467247323</v>
      </c>
      <c r="B38" t="s">
        <v>174</v>
      </c>
      <c r="F38">
        <v>11</v>
      </c>
    </row>
    <row r="39" spans="1:6" x14ac:dyDescent="0.3">
      <c r="A39">
        <v>10467395179</v>
      </c>
      <c r="B39" t="s">
        <v>175</v>
      </c>
      <c r="F39">
        <v>11</v>
      </c>
    </row>
    <row r="40" spans="1:6" x14ac:dyDescent="0.3">
      <c r="A40">
        <v>10470065147</v>
      </c>
      <c r="B40" t="s">
        <v>176</v>
      </c>
      <c r="C40" t="s">
        <v>109</v>
      </c>
      <c r="D40" t="s">
        <v>177</v>
      </c>
      <c r="F40">
        <v>11</v>
      </c>
    </row>
    <row r="41" spans="1:6" x14ac:dyDescent="0.3">
      <c r="A41">
        <v>10472750050</v>
      </c>
      <c r="B41" t="s">
        <v>178</v>
      </c>
      <c r="F41">
        <v>11</v>
      </c>
    </row>
    <row r="42" spans="1:6" x14ac:dyDescent="0.3">
      <c r="A42">
        <v>10473036130</v>
      </c>
      <c r="B42" t="s">
        <v>179</v>
      </c>
      <c r="F42">
        <v>11</v>
      </c>
    </row>
    <row r="43" spans="1:6" x14ac:dyDescent="0.3">
      <c r="A43">
        <v>10474223057</v>
      </c>
      <c r="B43" t="s">
        <v>180</v>
      </c>
      <c r="F43">
        <v>11</v>
      </c>
    </row>
    <row r="44" spans="1:6" x14ac:dyDescent="0.3">
      <c r="A44">
        <v>10477573717</v>
      </c>
      <c r="B44" t="s">
        <v>181</v>
      </c>
      <c r="C44" t="s">
        <v>62</v>
      </c>
      <c r="D44" t="s">
        <v>182</v>
      </c>
      <c r="F44">
        <v>11</v>
      </c>
    </row>
    <row r="45" spans="1:6" x14ac:dyDescent="0.3">
      <c r="A45">
        <v>10486253725</v>
      </c>
      <c r="B45" t="s">
        <v>183</v>
      </c>
      <c r="C45" t="s">
        <v>62</v>
      </c>
      <c r="D45" t="s">
        <v>184</v>
      </c>
      <c r="F45">
        <v>11</v>
      </c>
    </row>
    <row r="46" spans="1:6" x14ac:dyDescent="0.3">
      <c r="A46">
        <v>10489531963</v>
      </c>
      <c r="B46" t="s">
        <v>185</v>
      </c>
      <c r="C46" t="s">
        <v>62</v>
      </c>
      <c r="D46" t="s">
        <v>186</v>
      </c>
      <c r="F46">
        <v>11</v>
      </c>
    </row>
    <row r="47" spans="1:6" x14ac:dyDescent="0.3">
      <c r="A47">
        <v>10706063426</v>
      </c>
      <c r="B47" t="s">
        <v>187</v>
      </c>
      <c r="C47" t="s">
        <v>62</v>
      </c>
      <c r="D47" t="s">
        <v>188</v>
      </c>
      <c r="F47">
        <v>11</v>
      </c>
    </row>
    <row r="48" spans="1:6" x14ac:dyDescent="0.3">
      <c r="A48">
        <v>10724403684</v>
      </c>
      <c r="B48" t="s">
        <v>189</v>
      </c>
      <c r="F48">
        <v>11</v>
      </c>
    </row>
    <row r="49" spans="1:6" x14ac:dyDescent="0.3">
      <c r="A49">
        <v>10725676421</v>
      </c>
      <c r="B49" t="s">
        <v>190</v>
      </c>
      <c r="F49">
        <v>11</v>
      </c>
    </row>
    <row r="50" spans="1:6" x14ac:dyDescent="0.3">
      <c r="A50">
        <v>10759298824</v>
      </c>
      <c r="B50" t="s">
        <v>191</v>
      </c>
      <c r="F50">
        <v>11</v>
      </c>
    </row>
    <row r="51" spans="1:6" x14ac:dyDescent="0.3">
      <c r="A51">
        <v>10773375041</v>
      </c>
      <c r="B51" t="s">
        <v>192</v>
      </c>
      <c r="F51">
        <v>11</v>
      </c>
    </row>
    <row r="52" spans="1:6" x14ac:dyDescent="0.3">
      <c r="A52">
        <v>15604373180</v>
      </c>
      <c r="B52" t="s">
        <v>193</v>
      </c>
      <c r="F52">
        <v>11</v>
      </c>
    </row>
    <row r="53" spans="1:6" x14ac:dyDescent="0.3">
      <c r="A53">
        <v>20100035121</v>
      </c>
      <c r="B53" t="s">
        <v>194</v>
      </c>
      <c r="F53">
        <v>11</v>
      </c>
    </row>
    <row r="54" spans="1:6" x14ac:dyDescent="0.3">
      <c r="A54">
        <v>20100039207</v>
      </c>
      <c r="B54" t="s">
        <v>195</v>
      </c>
      <c r="F54">
        <v>11</v>
      </c>
    </row>
    <row r="55" spans="1:6" x14ac:dyDescent="0.3">
      <c r="A55">
        <v>20100055237</v>
      </c>
      <c r="B55" t="s">
        <v>196</v>
      </c>
      <c r="F55">
        <v>11</v>
      </c>
    </row>
    <row r="56" spans="1:6" x14ac:dyDescent="0.3">
      <c r="A56">
        <v>20100072590</v>
      </c>
      <c r="B56" t="s">
        <v>197</v>
      </c>
      <c r="F56">
        <v>11</v>
      </c>
    </row>
    <row r="57" spans="1:6" x14ac:dyDescent="0.3">
      <c r="A57">
        <v>20100073723</v>
      </c>
      <c r="B57" t="s">
        <v>198</v>
      </c>
      <c r="F57">
        <v>11</v>
      </c>
    </row>
    <row r="58" spans="1:6" x14ac:dyDescent="0.3">
      <c r="A58">
        <v>20100114349</v>
      </c>
      <c r="B58" t="s">
        <v>199</v>
      </c>
      <c r="C58" t="s">
        <v>109</v>
      </c>
      <c r="D58" t="s">
        <v>200</v>
      </c>
      <c r="F58">
        <v>11</v>
      </c>
    </row>
    <row r="59" spans="1:6" x14ac:dyDescent="0.3">
      <c r="A59">
        <v>20100128218</v>
      </c>
      <c r="B59" t="s">
        <v>201</v>
      </c>
      <c r="F59">
        <v>11</v>
      </c>
    </row>
    <row r="60" spans="1:6" x14ac:dyDescent="0.3">
      <c r="A60">
        <v>20100165687</v>
      </c>
      <c r="B60" t="s">
        <v>202</v>
      </c>
      <c r="F60">
        <v>11</v>
      </c>
    </row>
    <row r="61" spans="1:6" x14ac:dyDescent="0.3">
      <c r="A61">
        <v>20100172543</v>
      </c>
      <c r="B61" t="s">
        <v>203</v>
      </c>
      <c r="F61">
        <v>11</v>
      </c>
    </row>
    <row r="62" spans="1:6" x14ac:dyDescent="0.3">
      <c r="A62">
        <v>20100192064</v>
      </c>
      <c r="B62" t="s">
        <v>204</v>
      </c>
      <c r="C62" t="s">
        <v>109</v>
      </c>
      <c r="D62" t="s">
        <v>205</v>
      </c>
      <c r="F62">
        <v>11</v>
      </c>
    </row>
    <row r="63" spans="1:6" x14ac:dyDescent="0.3">
      <c r="A63">
        <v>20100199743</v>
      </c>
      <c r="B63" t="s">
        <v>206</v>
      </c>
      <c r="C63" t="s">
        <v>109</v>
      </c>
      <c r="D63" t="s">
        <v>207</v>
      </c>
      <c r="F63">
        <v>11</v>
      </c>
    </row>
    <row r="64" spans="1:6" x14ac:dyDescent="0.3">
      <c r="A64">
        <v>20100211115</v>
      </c>
      <c r="B64" t="s">
        <v>208</v>
      </c>
      <c r="F64">
        <v>11</v>
      </c>
    </row>
    <row r="65" spans="1:6" x14ac:dyDescent="0.3">
      <c r="A65">
        <v>20100226902</v>
      </c>
      <c r="B65" t="s">
        <v>209</v>
      </c>
      <c r="C65" t="s">
        <v>109</v>
      </c>
      <c r="D65" t="s">
        <v>210</v>
      </c>
      <c r="F65">
        <v>11</v>
      </c>
    </row>
    <row r="66" spans="1:6" x14ac:dyDescent="0.3">
      <c r="A66">
        <v>20100227895</v>
      </c>
      <c r="B66" t="s">
        <v>211</v>
      </c>
      <c r="F66">
        <v>11</v>
      </c>
    </row>
    <row r="67" spans="1:6" x14ac:dyDescent="0.3">
      <c r="A67">
        <v>20100235138</v>
      </c>
      <c r="B67" t="s">
        <v>212</v>
      </c>
      <c r="F67">
        <v>11</v>
      </c>
    </row>
    <row r="68" spans="1:6" x14ac:dyDescent="0.3">
      <c r="A68">
        <v>20100247730</v>
      </c>
      <c r="B68" t="s">
        <v>213</v>
      </c>
      <c r="F68">
        <v>11</v>
      </c>
    </row>
    <row r="69" spans="1:6" x14ac:dyDescent="0.3">
      <c r="A69">
        <v>20100248621</v>
      </c>
      <c r="B69" t="s">
        <v>214</v>
      </c>
      <c r="F69">
        <v>11</v>
      </c>
    </row>
    <row r="70" spans="1:6" x14ac:dyDescent="0.3">
      <c r="A70">
        <v>20100255325</v>
      </c>
      <c r="B70" t="s">
        <v>215</v>
      </c>
      <c r="F70">
        <v>11</v>
      </c>
    </row>
    <row r="71" spans="1:6" x14ac:dyDescent="0.3">
      <c r="A71">
        <v>20100383919</v>
      </c>
      <c r="B71" t="s">
        <v>216</v>
      </c>
      <c r="C71" t="s">
        <v>109</v>
      </c>
      <c r="D71" t="s">
        <v>217</v>
      </c>
      <c r="F71">
        <v>11</v>
      </c>
    </row>
    <row r="72" spans="1:6" x14ac:dyDescent="0.3">
      <c r="A72">
        <v>20100384052</v>
      </c>
      <c r="B72" t="s">
        <v>218</v>
      </c>
      <c r="C72" t="s">
        <v>109</v>
      </c>
      <c r="D72" t="s">
        <v>219</v>
      </c>
      <c r="F72">
        <v>11</v>
      </c>
    </row>
    <row r="73" spans="1:6" x14ac:dyDescent="0.3">
      <c r="A73">
        <v>20100814162</v>
      </c>
      <c r="B73" t="s">
        <v>220</v>
      </c>
      <c r="F73">
        <v>11</v>
      </c>
    </row>
    <row r="74" spans="1:6" x14ac:dyDescent="0.3">
      <c r="A74">
        <v>20109022668</v>
      </c>
      <c r="B74" t="s">
        <v>221</v>
      </c>
      <c r="F74">
        <v>11</v>
      </c>
    </row>
    <row r="75" spans="1:6" x14ac:dyDescent="0.3">
      <c r="A75">
        <v>20111157058</v>
      </c>
      <c r="B75" t="s">
        <v>222</v>
      </c>
      <c r="F75">
        <v>11</v>
      </c>
    </row>
    <row r="76" spans="1:6" x14ac:dyDescent="0.3">
      <c r="A76">
        <v>20115133285</v>
      </c>
      <c r="B76" t="s">
        <v>223</v>
      </c>
      <c r="F76">
        <v>11</v>
      </c>
    </row>
    <row r="77" spans="1:6" x14ac:dyDescent="0.3">
      <c r="A77">
        <v>20120858425</v>
      </c>
      <c r="B77" t="s">
        <v>224</v>
      </c>
      <c r="F77">
        <v>11</v>
      </c>
    </row>
    <row r="78" spans="1:6" x14ac:dyDescent="0.3">
      <c r="A78">
        <v>20121393736</v>
      </c>
      <c r="B78" t="s">
        <v>225</v>
      </c>
      <c r="F78">
        <v>11</v>
      </c>
    </row>
    <row r="79" spans="1:6" x14ac:dyDescent="0.3">
      <c r="A79">
        <v>20124923086</v>
      </c>
      <c r="B79" t="s">
        <v>226</v>
      </c>
      <c r="F79">
        <v>11</v>
      </c>
    </row>
    <row r="80" spans="1:6" x14ac:dyDescent="0.3">
      <c r="A80">
        <v>20124952850</v>
      </c>
      <c r="B80" t="s">
        <v>227</v>
      </c>
      <c r="F80">
        <v>11</v>
      </c>
    </row>
    <row r="81" spans="1:6" x14ac:dyDescent="0.3">
      <c r="A81">
        <v>20129854953</v>
      </c>
      <c r="B81" t="s">
        <v>228</v>
      </c>
      <c r="F81">
        <v>11</v>
      </c>
    </row>
    <row r="82" spans="1:6" x14ac:dyDescent="0.3">
      <c r="A82">
        <v>20129957256</v>
      </c>
      <c r="B82" t="s">
        <v>229</v>
      </c>
      <c r="F82">
        <v>11</v>
      </c>
    </row>
    <row r="83" spans="1:6" x14ac:dyDescent="0.3">
      <c r="A83">
        <v>20131312955</v>
      </c>
      <c r="B83" t="s">
        <v>230</v>
      </c>
      <c r="F83">
        <v>11</v>
      </c>
    </row>
    <row r="84" spans="1:6" x14ac:dyDescent="0.3">
      <c r="A84">
        <v>20131373075</v>
      </c>
      <c r="B84" t="s">
        <v>231</v>
      </c>
      <c r="F84">
        <v>11</v>
      </c>
    </row>
    <row r="85" spans="1:6" x14ac:dyDescent="0.3">
      <c r="A85">
        <v>20133208292</v>
      </c>
      <c r="B85" t="s">
        <v>232</v>
      </c>
      <c r="F85">
        <v>11</v>
      </c>
    </row>
    <row r="86" spans="1:6" x14ac:dyDescent="0.3">
      <c r="A86">
        <v>20137976171</v>
      </c>
      <c r="B86" t="s">
        <v>233</v>
      </c>
      <c r="C86" t="s">
        <v>109</v>
      </c>
      <c r="D86" t="s">
        <v>234</v>
      </c>
      <c r="F86">
        <v>11</v>
      </c>
    </row>
    <row r="87" spans="1:6" x14ac:dyDescent="0.3">
      <c r="A87">
        <v>20138149022</v>
      </c>
      <c r="B87" t="s">
        <v>235</v>
      </c>
      <c r="F87">
        <v>11</v>
      </c>
    </row>
    <row r="88" spans="1:6" x14ac:dyDescent="0.3">
      <c r="A88">
        <v>20138861300</v>
      </c>
      <c r="B88" t="s">
        <v>236</v>
      </c>
      <c r="F88">
        <v>11</v>
      </c>
    </row>
    <row r="89" spans="1:6" x14ac:dyDescent="0.3">
      <c r="A89">
        <v>20141637941</v>
      </c>
      <c r="B89" t="s">
        <v>237</v>
      </c>
      <c r="F89">
        <v>11</v>
      </c>
    </row>
    <row r="90" spans="1:6" x14ac:dyDescent="0.3">
      <c r="A90">
        <v>20154639293</v>
      </c>
      <c r="B90" t="s">
        <v>238</v>
      </c>
      <c r="F90">
        <v>11</v>
      </c>
    </row>
    <row r="91" spans="1:6" x14ac:dyDescent="0.3">
      <c r="A91">
        <v>20159554229</v>
      </c>
      <c r="B91" t="s">
        <v>239</v>
      </c>
      <c r="F91">
        <v>11</v>
      </c>
    </row>
    <row r="92" spans="1:6" x14ac:dyDescent="0.3">
      <c r="A92">
        <v>20161541991</v>
      </c>
      <c r="B92" t="s">
        <v>240</v>
      </c>
      <c r="F92">
        <v>11</v>
      </c>
    </row>
    <row r="93" spans="1:6" x14ac:dyDescent="0.3">
      <c r="A93">
        <v>20170040938</v>
      </c>
      <c r="B93" t="s">
        <v>241</v>
      </c>
      <c r="C93" t="s">
        <v>109</v>
      </c>
      <c r="D93" t="s">
        <v>242</v>
      </c>
      <c r="F93">
        <v>11</v>
      </c>
    </row>
    <row r="94" spans="1:6" x14ac:dyDescent="0.3">
      <c r="A94">
        <v>20195189146</v>
      </c>
      <c r="B94" t="s">
        <v>243</v>
      </c>
      <c r="F94">
        <v>11</v>
      </c>
    </row>
    <row r="95" spans="1:6" x14ac:dyDescent="0.3">
      <c r="A95">
        <v>20204621242</v>
      </c>
      <c r="B95" t="s">
        <v>244</v>
      </c>
      <c r="F95">
        <v>11</v>
      </c>
    </row>
    <row r="96" spans="1:6" x14ac:dyDescent="0.3">
      <c r="A96">
        <v>20226909576</v>
      </c>
      <c r="B96" t="s">
        <v>245</v>
      </c>
      <c r="F96">
        <v>11</v>
      </c>
    </row>
    <row r="97" spans="1:6" x14ac:dyDescent="0.3">
      <c r="A97">
        <v>20272859613</v>
      </c>
      <c r="B97" t="s">
        <v>246</v>
      </c>
      <c r="F97">
        <v>11</v>
      </c>
    </row>
    <row r="98" spans="1:6" x14ac:dyDescent="0.3">
      <c r="A98">
        <v>20277722187</v>
      </c>
      <c r="B98" t="s">
        <v>247</v>
      </c>
      <c r="F98">
        <v>11</v>
      </c>
    </row>
    <row r="99" spans="1:6" x14ac:dyDescent="0.3">
      <c r="A99">
        <v>20293774308</v>
      </c>
      <c r="B99" t="s">
        <v>248</v>
      </c>
      <c r="F99">
        <v>11</v>
      </c>
    </row>
    <row r="100" spans="1:6" x14ac:dyDescent="0.3">
      <c r="A100">
        <v>20302891452</v>
      </c>
      <c r="B100" t="s">
        <v>249</v>
      </c>
      <c r="F100">
        <v>11</v>
      </c>
    </row>
    <row r="101" spans="1:6" x14ac:dyDescent="0.3">
      <c r="A101">
        <v>20304289512</v>
      </c>
      <c r="B101" t="s">
        <v>250</v>
      </c>
      <c r="F101">
        <v>11</v>
      </c>
    </row>
    <row r="102" spans="1:6" x14ac:dyDescent="0.3">
      <c r="A102">
        <v>20312192641</v>
      </c>
      <c r="B102" t="s">
        <v>251</v>
      </c>
      <c r="C102" t="s">
        <v>109</v>
      </c>
      <c r="D102" t="s">
        <v>252</v>
      </c>
      <c r="F102">
        <v>11</v>
      </c>
    </row>
    <row r="103" spans="1:6" x14ac:dyDescent="0.3">
      <c r="A103">
        <v>20329545459</v>
      </c>
      <c r="B103" t="s">
        <v>253</v>
      </c>
      <c r="F103">
        <v>11</v>
      </c>
    </row>
    <row r="104" spans="1:6" x14ac:dyDescent="0.3">
      <c r="A104">
        <v>20340584237</v>
      </c>
      <c r="B104" t="s">
        <v>254</v>
      </c>
      <c r="F104">
        <v>11</v>
      </c>
    </row>
    <row r="105" spans="1:6" x14ac:dyDescent="0.3">
      <c r="A105">
        <v>20370146994</v>
      </c>
      <c r="B105" t="s">
        <v>255</v>
      </c>
      <c r="F105">
        <v>11</v>
      </c>
    </row>
    <row r="106" spans="1:6" x14ac:dyDescent="0.3">
      <c r="A106">
        <v>20371310160</v>
      </c>
      <c r="B106" t="s">
        <v>256</v>
      </c>
      <c r="C106" t="s">
        <v>109</v>
      </c>
      <c r="D106" t="s">
        <v>257</v>
      </c>
      <c r="F106">
        <v>11</v>
      </c>
    </row>
    <row r="107" spans="1:6" x14ac:dyDescent="0.3">
      <c r="A107">
        <v>20371332210</v>
      </c>
      <c r="B107" t="s">
        <v>258</v>
      </c>
      <c r="F107">
        <v>11</v>
      </c>
    </row>
    <row r="108" spans="1:6" x14ac:dyDescent="0.3">
      <c r="A108">
        <v>20379430377</v>
      </c>
      <c r="B108" t="s">
        <v>259</v>
      </c>
      <c r="F108">
        <v>11</v>
      </c>
    </row>
    <row r="109" spans="1:6" x14ac:dyDescent="0.3">
      <c r="A109">
        <v>20392466275</v>
      </c>
      <c r="B109" t="s">
        <v>260</v>
      </c>
      <c r="F109">
        <v>11</v>
      </c>
    </row>
    <row r="110" spans="1:6" x14ac:dyDescent="0.3">
      <c r="A110">
        <v>20402885549</v>
      </c>
      <c r="B110" t="s">
        <v>261</v>
      </c>
      <c r="F110">
        <v>11</v>
      </c>
    </row>
    <row r="111" spans="1:6" x14ac:dyDescent="0.3">
      <c r="A111">
        <v>20406313213</v>
      </c>
      <c r="B111" t="s">
        <v>262</v>
      </c>
      <c r="F111">
        <v>11</v>
      </c>
    </row>
    <row r="112" spans="1:6" x14ac:dyDescent="0.3">
      <c r="A112">
        <v>20406350178</v>
      </c>
      <c r="B112" t="s">
        <v>263</v>
      </c>
      <c r="F112">
        <v>11</v>
      </c>
    </row>
    <row r="113" spans="1:6" x14ac:dyDescent="0.3">
      <c r="A113">
        <v>20406463614</v>
      </c>
      <c r="B113" t="s">
        <v>264</v>
      </c>
      <c r="F113">
        <v>11</v>
      </c>
    </row>
    <row r="114" spans="1:6" x14ac:dyDescent="0.3">
      <c r="A114">
        <v>20412524218</v>
      </c>
      <c r="B114" t="s">
        <v>265</v>
      </c>
      <c r="C114" t="s">
        <v>109</v>
      </c>
      <c r="D114" t="s">
        <v>266</v>
      </c>
      <c r="F114">
        <v>11</v>
      </c>
    </row>
    <row r="115" spans="1:6" x14ac:dyDescent="0.3">
      <c r="A115">
        <v>20413666130</v>
      </c>
      <c r="B115" t="s">
        <v>267</v>
      </c>
      <c r="F115">
        <v>11</v>
      </c>
    </row>
    <row r="116" spans="1:6" x14ac:dyDescent="0.3">
      <c r="A116">
        <v>20413815071</v>
      </c>
      <c r="B116" t="s">
        <v>268</v>
      </c>
      <c r="F116">
        <v>11</v>
      </c>
    </row>
    <row r="117" spans="1:6" x14ac:dyDescent="0.3">
      <c r="A117">
        <v>20414251561</v>
      </c>
      <c r="B117" t="s">
        <v>269</v>
      </c>
      <c r="F117">
        <v>11</v>
      </c>
    </row>
    <row r="118" spans="1:6" x14ac:dyDescent="0.3">
      <c r="A118">
        <v>20417573705</v>
      </c>
      <c r="B118" t="s">
        <v>270</v>
      </c>
      <c r="F118">
        <v>11</v>
      </c>
    </row>
    <row r="119" spans="1:6" x14ac:dyDescent="0.3">
      <c r="A119">
        <v>20419158462</v>
      </c>
      <c r="B119" t="s">
        <v>271</v>
      </c>
      <c r="C119" t="s">
        <v>109</v>
      </c>
      <c r="D119" t="s">
        <v>272</v>
      </c>
      <c r="F119">
        <v>11</v>
      </c>
    </row>
    <row r="120" spans="1:6" x14ac:dyDescent="0.3">
      <c r="A120">
        <v>20422461311</v>
      </c>
      <c r="B120" t="s">
        <v>273</v>
      </c>
      <c r="F120">
        <v>11</v>
      </c>
    </row>
    <row r="121" spans="1:6" x14ac:dyDescent="0.3">
      <c r="A121">
        <v>20424092941</v>
      </c>
      <c r="B121" t="s">
        <v>274</v>
      </c>
      <c r="F121">
        <v>11</v>
      </c>
    </row>
    <row r="122" spans="1:6" x14ac:dyDescent="0.3">
      <c r="A122">
        <v>20425809882</v>
      </c>
      <c r="B122" t="s">
        <v>275</v>
      </c>
      <c r="F122">
        <v>11</v>
      </c>
    </row>
    <row r="123" spans="1:6" x14ac:dyDescent="0.3">
      <c r="A123">
        <v>20429040583</v>
      </c>
      <c r="B123" t="s">
        <v>276</v>
      </c>
      <c r="F123">
        <v>11</v>
      </c>
    </row>
    <row r="124" spans="1:6" x14ac:dyDescent="0.3">
      <c r="A124">
        <v>20429640939</v>
      </c>
      <c r="B124" t="s">
        <v>277</v>
      </c>
      <c r="C124" t="s">
        <v>109</v>
      </c>
      <c r="D124" t="s">
        <v>278</v>
      </c>
      <c r="F124">
        <v>11</v>
      </c>
    </row>
    <row r="125" spans="1:6" x14ac:dyDescent="0.3">
      <c r="A125">
        <v>20432552072</v>
      </c>
      <c r="B125" t="s">
        <v>279</v>
      </c>
      <c r="F125">
        <v>11</v>
      </c>
    </row>
    <row r="126" spans="1:6" x14ac:dyDescent="0.3">
      <c r="A126">
        <v>20438933272</v>
      </c>
      <c r="B126" t="s">
        <v>280</v>
      </c>
      <c r="F126">
        <v>11</v>
      </c>
    </row>
    <row r="127" spans="1:6" x14ac:dyDescent="0.3">
      <c r="A127">
        <v>20448648193</v>
      </c>
      <c r="B127" t="s">
        <v>281</v>
      </c>
      <c r="F127">
        <v>11</v>
      </c>
    </row>
    <row r="128" spans="1:6" x14ac:dyDescent="0.3">
      <c r="A128">
        <v>20454054271</v>
      </c>
      <c r="B128" t="s">
        <v>282</v>
      </c>
      <c r="F128">
        <v>11</v>
      </c>
    </row>
    <row r="129" spans="1:6" x14ac:dyDescent="0.3">
      <c r="A129">
        <v>20454063423</v>
      </c>
      <c r="B129" t="s">
        <v>283</v>
      </c>
      <c r="C129" t="s">
        <v>109</v>
      </c>
      <c r="D129" t="s">
        <v>284</v>
      </c>
      <c r="F129">
        <v>11</v>
      </c>
    </row>
    <row r="130" spans="1:6" x14ac:dyDescent="0.3">
      <c r="A130">
        <v>20454076673</v>
      </c>
      <c r="B130" t="s">
        <v>285</v>
      </c>
      <c r="F130">
        <v>11</v>
      </c>
    </row>
    <row r="131" spans="1:6" x14ac:dyDescent="0.3">
      <c r="A131">
        <v>20454186002</v>
      </c>
      <c r="B131" t="s">
        <v>286</v>
      </c>
      <c r="C131" t="s">
        <v>287</v>
      </c>
      <c r="D131" t="s">
        <v>288</v>
      </c>
      <c r="F131">
        <v>11</v>
      </c>
    </row>
    <row r="132" spans="1:6" x14ac:dyDescent="0.3">
      <c r="A132">
        <v>20454205660</v>
      </c>
      <c r="B132" t="s">
        <v>289</v>
      </c>
      <c r="F132">
        <v>11</v>
      </c>
    </row>
    <row r="133" spans="1:6" x14ac:dyDescent="0.3">
      <c r="A133">
        <v>20454377011</v>
      </c>
      <c r="B133" t="s">
        <v>290</v>
      </c>
      <c r="F133">
        <v>11</v>
      </c>
    </row>
    <row r="134" spans="1:6" x14ac:dyDescent="0.3">
      <c r="A134">
        <v>20454422253</v>
      </c>
      <c r="B134" t="s">
        <v>291</v>
      </c>
      <c r="F134">
        <v>11</v>
      </c>
    </row>
    <row r="135" spans="1:6" x14ac:dyDescent="0.3">
      <c r="A135">
        <v>20454944543</v>
      </c>
      <c r="B135" t="s">
        <v>292</v>
      </c>
      <c r="F135">
        <v>11</v>
      </c>
    </row>
    <row r="136" spans="1:6" x14ac:dyDescent="0.3">
      <c r="A136">
        <v>20455225044</v>
      </c>
      <c r="B136" t="s">
        <v>293</v>
      </c>
      <c r="F136">
        <v>11</v>
      </c>
    </row>
    <row r="137" spans="1:6" x14ac:dyDescent="0.3">
      <c r="A137">
        <v>20455261431</v>
      </c>
      <c r="B137" t="s">
        <v>294</v>
      </c>
      <c r="F137">
        <v>11</v>
      </c>
    </row>
    <row r="138" spans="1:6" x14ac:dyDescent="0.3">
      <c r="A138">
        <v>20455283915</v>
      </c>
      <c r="B138" t="s">
        <v>295</v>
      </c>
      <c r="F138">
        <v>11</v>
      </c>
    </row>
    <row r="139" spans="1:6" x14ac:dyDescent="0.3">
      <c r="A139">
        <v>20455289522</v>
      </c>
      <c r="B139" t="s">
        <v>296</v>
      </c>
      <c r="F139">
        <v>11</v>
      </c>
    </row>
    <row r="140" spans="1:6" x14ac:dyDescent="0.3">
      <c r="A140">
        <v>20455391131</v>
      </c>
      <c r="B140" t="s">
        <v>297</v>
      </c>
      <c r="F140">
        <v>11</v>
      </c>
    </row>
    <row r="141" spans="1:6" x14ac:dyDescent="0.3">
      <c r="A141">
        <v>20455485461</v>
      </c>
      <c r="B141" t="s">
        <v>298</v>
      </c>
      <c r="F141">
        <v>11</v>
      </c>
    </row>
    <row r="142" spans="1:6" x14ac:dyDescent="0.3">
      <c r="A142">
        <v>20455494967</v>
      </c>
      <c r="B142" t="s">
        <v>299</v>
      </c>
      <c r="F142">
        <v>11</v>
      </c>
    </row>
    <row r="143" spans="1:6" x14ac:dyDescent="0.3">
      <c r="A143">
        <v>20455586063</v>
      </c>
      <c r="B143" t="s">
        <v>300</v>
      </c>
      <c r="C143" t="s">
        <v>109</v>
      </c>
      <c r="D143" t="s">
        <v>301</v>
      </c>
      <c r="F143">
        <v>11</v>
      </c>
    </row>
    <row r="144" spans="1:6" x14ac:dyDescent="0.3">
      <c r="A144">
        <v>20455731926</v>
      </c>
      <c r="B144" t="s">
        <v>302</v>
      </c>
      <c r="C144" t="s">
        <v>109</v>
      </c>
      <c r="D144" t="s">
        <v>303</v>
      </c>
      <c r="F144">
        <v>11</v>
      </c>
    </row>
    <row r="145" spans="1:6" x14ac:dyDescent="0.3">
      <c r="A145">
        <v>20455825742</v>
      </c>
      <c r="B145" t="s">
        <v>304</v>
      </c>
      <c r="F145">
        <v>11</v>
      </c>
    </row>
    <row r="146" spans="1:6" x14ac:dyDescent="0.3">
      <c r="A146">
        <v>20455833095</v>
      </c>
      <c r="B146" t="s">
        <v>305</v>
      </c>
      <c r="C146" t="s">
        <v>62</v>
      </c>
      <c r="D146" t="s">
        <v>306</v>
      </c>
      <c r="F146">
        <v>11</v>
      </c>
    </row>
    <row r="147" spans="1:6" x14ac:dyDescent="0.3">
      <c r="A147">
        <v>20455932824</v>
      </c>
      <c r="B147" t="s">
        <v>307</v>
      </c>
      <c r="C147" t="s">
        <v>109</v>
      </c>
      <c r="D147" t="s">
        <v>308</v>
      </c>
      <c r="F147">
        <v>11</v>
      </c>
    </row>
    <row r="148" spans="1:6" x14ac:dyDescent="0.3">
      <c r="A148">
        <v>20455933553</v>
      </c>
      <c r="B148" t="s">
        <v>309</v>
      </c>
      <c r="F148">
        <v>11</v>
      </c>
    </row>
    <row r="149" spans="1:6" x14ac:dyDescent="0.3">
      <c r="A149">
        <v>20456012427</v>
      </c>
      <c r="B149" t="s">
        <v>310</v>
      </c>
      <c r="F149">
        <v>11</v>
      </c>
    </row>
    <row r="150" spans="1:6" x14ac:dyDescent="0.3">
      <c r="A150">
        <v>20456123253</v>
      </c>
      <c r="B150" t="s">
        <v>311</v>
      </c>
      <c r="F150">
        <v>11</v>
      </c>
    </row>
    <row r="151" spans="1:6" x14ac:dyDescent="0.3">
      <c r="A151">
        <v>20456147781</v>
      </c>
      <c r="B151" t="s">
        <v>312</v>
      </c>
      <c r="C151" t="s">
        <v>109</v>
      </c>
      <c r="D151" t="s">
        <v>313</v>
      </c>
      <c r="F151">
        <v>11</v>
      </c>
    </row>
    <row r="152" spans="1:6" x14ac:dyDescent="0.3">
      <c r="A152">
        <v>20456424881</v>
      </c>
      <c r="B152" t="s">
        <v>314</v>
      </c>
      <c r="F152">
        <v>11</v>
      </c>
    </row>
    <row r="153" spans="1:6" x14ac:dyDescent="0.3">
      <c r="A153">
        <v>20456565353</v>
      </c>
      <c r="B153" t="s">
        <v>315</v>
      </c>
      <c r="C153" t="s">
        <v>62</v>
      </c>
      <c r="D153" t="s">
        <v>316</v>
      </c>
      <c r="F153">
        <v>11</v>
      </c>
    </row>
    <row r="154" spans="1:6" x14ac:dyDescent="0.3">
      <c r="A154">
        <v>20460352674</v>
      </c>
      <c r="B154" t="s">
        <v>317</v>
      </c>
      <c r="F154">
        <v>11</v>
      </c>
    </row>
    <row r="155" spans="1:6" x14ac:dyDescent="0.3">
      <c r="A155">
        <v>20477893466</v>
      </c>
      <c r="B155" t="s">
        <v>318</v>
      </c>
      <c r="C155" t="s">
        <v>109</v>
      </c>
      <c r="D155" t="s">
        <v>319</v>
      </c>
      <c r="F155">
        <v>11</v>
      </c>
    </row>
    <row r="156" spans="1:6" x14ac:dyDescent="0.3">
      <c r="A156">
        <v>20481475342</v>
      </c>
      <c r="B156" t="s">
        <v>320</v>
      </c>
      <c r="F156">
        <v>11</v>
      </c>
    </row>
    <row r="157" spans="1:6" x14ac:dyDescent="0.3">
      <c r="A157">
        <v>20486238241</v>
      </c>
      <c r="B157" t="s">
        <v>321</v>
      </c>
      <c r="F157">
        <v>11</v>
      </c>
    </row>
    <row r="158" spans="1:6" x14ac:dyDescent="0.3">
      <c r="A158">
        <v>20489968925</v>
      </c>
      <c r="B158" t="s">
        <v>322</v>
      </c>
      <c r="F158">
        <v>11</v>
      </c>
    </row>
    <row r="159" spans="1:6" x14ac:dyDescent="0.3">
      <c r="A159">
        <v>20490439880</v>
      </c>
      <c r="B159" t="s">
        <v>323</v>
      </c>
      <c r="F159">
        <v>11</v>
      </c>
    </row>
    <row r="160" spans="1:6" x14ac:dyDescent="0.3">
      <c r="A160">
        <v>20496535066</v>
      </c>
      <c r="B160" t="s">
        <v>324</v>
      </c>
      <c r="F160">
        <v>11</v>
      </c>
    </row>
    <row r="161" spans="1:6" x14ac:dyDescent="0.3">
      <c r="A161">
        <v>20497262101</v>
      </c>
      <c r="B161" t="s">
        <v>325</v>
      </c>
      <c r="C161" t="s">
        <v>109</v>
      </c>
      <c r="D161" t="s">
        <v>326</v>
      </c>
      <c r="F161">
        <v>11</v>
      </c>
    </row>
    <row r="162" spans="1:6" x14ac:dyDescent="0.3">
      <c r="A162">
        <v>20497953945</v>
      </c>
      <c r="B162" t="s">
        <v>327</v>
      </c>
      <c r="F162">
        <v>11</v>
      </c>
    </row>
    <row r="163" spans="1:6" x14ac:dyDescent="0.3">
      <c r="A163">
        <v>20498041567</v>
      </c>
      <c r="B163" t="s">
        <v>328</v>
      </c>
      <c r="C163" t="s">
        <v>109</v>
      </c>
      <c r="D163" t="s">
        <v>329</v>
      </c>
      <c r="F163">
        <v>11</v>
      </c>
    </row>
    <row r="164" spans="1:6" x14ac:dyDescent="0.3">
      <c r="A164">
        <v>20498046364</v>
      </c>
      <c r="B164" t="s">
        <v>330</v>
      </c>
      <c r="F164">
        <v>11</v>
      </c>
    </row>
    <row r="165" spans="1:6" x14ac:dyDescent="0.3">
      <c r="A165">
        <v>20498063617</v>
      </c>
      <c r="B165" t="s">
        <v>331</v>
      </c>
      <c r="F165">
        <v>11</v>
      </c>
    </row>
    <row r="166" spans="1:6" x14ac:dyDescent="0.3">
      <c r="A166">
        <v>20498185305</v>
      </c>
      <c r="B166" t="s">
        <v>332</v>
      </c>
      <c r="F166">
        <v>11</v>
      </c>
    </row>
    <row r="167" spans="1:6" x14ac:dyDescent="0.3">
      <c r="A167">
        <v>20498218831</v>
      </c>
      <c r="B167" t="s">
        <v>333</v>
      </c>
      <c r="C167" t="s">
        <v>109</v>
      </c>
      <c r="D167" t="s">
        <v>334</v>
      </c>
      <c r="F167">
        <v>11</v>
      </c>
    </row>
    <row r="168" spans="1:6" x14ac:dyDescent="0.3">
      <c r="A168">
        <v>20498309713</v>
      </c>
      <c r="B168" t="s">
        <v>335</v>
      </c>
      <c r="F168">
        <v>11</v>
      </c>
    </row>
    <row r="169" spans="1:6" x14ac:dyDescent="0.3">
      <c r="A169">
        <v>20498311963</v>
      </c>
      <c r="B169" t="s">
        <v>336</v>
      </c>
      <c r="C169" t="s">
        <v>109</v>
      </c>
      <c r="D169" t="s">
        <v>337</v>
      </c>
      <c r="F169">
        <v>11</v>
      </c>
    </row>
    <row r="170" spans="1:6" x14ac:dyDescent="0.3">
      <c r="A170">
        <v>20498380931</v>
      </c>
      <c r="B170" t="s">
        <v>338</v>
      </c>
      <c r="C170" t="s">
        <v>109</v>
      </c>
      <c r="D170" t="s">
        <v>339</v>
      </c>
      <c r="F170">
        <v>11</v>
      </c>
    </row>
    <row r="171" spans="1:6" x14ac:dyDescent="0.3">
      <c r="A171">
        <v>20498441662</v>
      </c>
      <c r="B171" t="s">
        <v>340</v>
      </c>
      <c r="F171">
        <v>11</v>
      </c>
    </row>
    <row r="172" spans="1:6" x14ac:dyDescent="0.3">
      <c r="A172">
        <v>20498452940</v>
      </c>
      <c r="B172" t="s">
        <v>341</v>
      </c>
      <c r="F172">
        <v>11</v>
      </c>
    </row>
    <row r="173" spans="1:6" x14ac:dyDescent="0.3">
      <c r="A173">
        <v>20498459791</v>
      </c>
      <c r="B173" t="s">
        <v>342</v>
      </c>
      <c r="F173">
        <v>11</v>
      </c>
    </row>
    <row r="174" spans="1:6" x14ac:dyDescent="0.3">
      <c r="A174">
        <v>20498513833</v>
      </c>
      <c r="B174" t="s">
        <v>343</v>
      </c>
      <c r="F174">
        <v>11</v>
      </c>
    </row>
    <row r="175" spans="1:6" x14ac:dyDescent="0.3">
      <c r="A175">
        <v>20501458164</v>
      </c>
      <c r="B175" t="s">
        <v>344</v>
      </c>
      <c r="F175">
        <v>11</v>
      </c>
    </row>
    <row r="176" spans="1:6" x14ac:dyDescent="0.3">
      <c r="A176">
        <v>20501534103</v>
      </c>
      <c r="B176" t="s">
        <v>345</v>
      </c>
      <c r="F176">
        <v>11</v>
      </c>
    </row>
    <row r="177" spans="1:6" x14ac:dyDescent="0.3">
      <c r="A177">
        <v>20505675836</v>
      </c>
      <c r="B177" t="s">
        <v>346</v>
      </c>
      <c r="C177" t="s">
        <v>109</v>
      </c>
      <c r="D177" t="s">
        <v>347</v>
      </c>
      <c r="F177">
        <v>11</v>
      </c>
    </row>
    <row r="178" spans="1:6" x14ac:dyDescent="0.3">
      <c r="A178">
        <v>20505897812</v>
      </c>
      <c r="B178" t="s">
        <v>348</v>
      </c>
      <c r="F178">
        <v>11</v>
      </c>
    </row>
    <row r="179" spans="1:6" x14ac:dyDescent="0.3">
      <c r="A179">
        <v>20508430681</v>
      </c>
      <c r="B179" t="s">
        <v>349</v>
      </c>
      <c r="F179">
        <v>11</v>
      </c>
    </row>
    <row r="180" spans="1:6" x14ac:dyDescent="0.3">
      <c r="A180">
        <v>20508597208</v>
      </c>
      <c r="B180" t="s">
        <v>350</v>
      </c>
      <c r="F180">
        <v>11</v>
      </c>
    </row>
    <row r="181" spans="1:6" x14ac:dyDescent="0.3">
      <c r="A181">
        <v>20509128686</v>
      </c>
      <c r="B181" t="s">
        <v>351</v>
      </c>
      <c r="F181">
        <v>11</v>
      </c>
    </row>
    <row r="182" spans="1:6" x14ac:dyDescent="0.3">
      <c r="A182">
        <v>20510460643</v>
      </c>
      <c r="B182" t="s">
        <v>352</v>
      </c>
      <c r="F182">
        <v>11</v>
      </c>
    </row>
    <row r="183" spans="1:6" x14ac:dyDescent="0.3">
      <c r="A183">
        <v>20512356657</v>
      </c>
      <c r="B183" t="s">
        <v>353</v>
      </c>
      <c r="F183">
        <v>11</v>
      </c>
    </row>
    <row r="184" spans="1:6" x14ac:dyDescent="0.3">
      <c r="A184">
        <v>20512573160</v>
      </c>
      <c r="B184" t="s">
        <v>354</v>
      </c>
      <c r="F184">
        <v>11</v>
      </c>
    </row>
    <row r="185" spans="1:6" x14ac:dyDescent="0.3">
      <c r="A185">
        <v>20513294574</v>
      </c>
      <c r="B185" t="s">
        <v>355</v>
      </c>
      <c r="C185" t="s">
        <v>109</v>
      </c>
      <c r="D185" t="s">
        <v>356</v>
      </c>
      <c r="F185">
        <v>11</v>
      </c>
    </row>
    <row r="186" spans="1:6" x14ac:dyDescent="0.3">
      <c r="A186">
        <v>20513696028</v>
      </c>
      <c r="B186" t="s">
        <v>357</v>
      </c>
      <c r="F186">
        <v>11</v>
      </c>
    </row>
    <row r="187" spans="1:6" x14ac:dyDescent="0.3">
      <c r="A187">
        <v>20514133931</v>
      </c>
      <c r="B187" t="s">
        <v>358</v>
      </c>
      <c r="F187">
        <v>11</v>
      </c>
    </row>
    <row r="188" spans="1:6" x14ac:dyDescent="0.3">
      <c r="A188">
        <v>20514429384</v>
      </c>
      <c r="B188" t="s">
        <v>359</v>
      </c>
      <c r="C188" t="s">
        <v>109</v>
      </c>
      <c r="D188" t="s">
        <v>360</v>
      </c>
      <c r="F188">
        <v>11</v>
      </c>
    </row>
    <row r="189" spans="1:6" x14ac:dyDescent="0.3">
      <c r="A189">
        <v>20514513172</v>
      </c>
      <c r="B189" t="s">
        <v>361</v>
      </c>
      <c r="F189">
        <v>11</v>
      </c>
    </row>
    <row r="190" spans="1:6" x14ac:dyDescent="0.3">
      <c r="A190">
        <v>20514657417</v>
      </c>
      <c r="B190" t="s">
        <v>362</v>
      </c>
      <c r="F190">
        <v>11</v>
      </c>
    </row>
    <row r="191" spans="1:6" x14ac:dyDescent="0.3">
      <c r="A191">
        <v>20516933888</v>
      </c>
      <c r="B191" t="s">
        <v>363</v>
      </c>
      <c r="F191">
        <v>11</v>
      </c>
    </row>
    <row r="192" spans="1:6" x14ac:dyDescent="0.3">
      <c r="A192">
        <v>20517035964</v>
      </c>
      <c r="B192" t="s">
        <v>364</v>
      </c>
      <c r="C192" t="s">
        <v>287</v>
      </c>
      <c r="D192" t="s">
        <v>365</v>
      </c>
      <c r="F192">
        <v>11</v>
      </c>
    </row>
    <row r="193" spans="1:6" x14ac:dyDescent="0.3">
      <c r="A193">
        <v>20517355951</v>
      </c>
      <c r="B193" t="s">
        <v>366</v>
      </c>
      <c r="C193" t="s">
        <v>109</v>
      </c>
      <c r="D193" t="s">
        <v>367</v>
      </c>
      <c r="F193">
        <v>11</v>
      </c>
    </row>
    <row r="194" spans="1:6" x14ac:dyDescent="0.3">
      <c r="A194">
        <v>20517932346</v>
      </c>
      <c r="B194" t="s">
        <v>368</v>
      </c>
      <c r="C194" t="s">
        <v>109</v>
      </c>
      <c r="D194" t="s">
        <v>369</v>
      </c>
      <c r="F194">
        <v>11</v>
      </c>
    </row>
    <row r="195" spans="1:6" x14ac:dyDescent="0.3">
      <c r="A195">
        <v>20519212162</v>
      </c>
      <c r="B195" t="s">
        <v>370</v>
      </c>
      <c r="C195" t="s">
        <v>109</v>
      </c>
      <c r="D195" t="s">
        <v>371</v>
      </c>
      <c r="F195">
        <v>11</v>
      </c>
    </row>
    <row r="196" spans="1:6" x14ac:dyDescent="0.3">
      <c r="A196">
        <v>20519354978</v>
      </c>
      <c r="B196" t="s">
        <v>372</v>
      </c>
      <c r="C196" t="s">
        <v>109</v>
      </c>
      <c r="D196" t="s">
        <v>373</v>
      </c>
      <c r="F196">
        <v>11</v>
      </c>
    </row>
    <row r="197" spans="1:6" x14ac:dyDescent="0.3">
      <c r="A197">
        <v>20521268191</v>
      </c>
      <c r="B197" t="s">
        <v>374</v>
      </c>
      <c r="F197">
        <v>11</v>
      </c>
    </row>
    <row r="198" spans="1:6" x14ac:dyDescent="0.3">
      <c r="A198">
        <v>20521817047</v>
      </c>
      <c r="B198" t="s">
        <v>375</v>
      </c>
      <c r="F198">
        <v>11</v>
      </c>
    </row>
    <row r="199" spans="1:6" x14ac:dyDescent="0.3">
      <c r="A199">
        <v>20523573226</v>
      </c>
      <c r="B199" t="s">
        <v>376</v>
      </c>
      <c r="F199">
        <v>11</v>
      </c>
    </row>
    <row r="200" spans="1:6" x14ac:dyDescent="0.3">
      <c r="A200">
        <v>20532452857</v>
      </c>
      <c r="B200" t="s">
        <v>377</v>
      </c>
      <c r="F200">
        <v>11</v>
      </c>
    </row>
    <row r="201" spans="1:6" x14ac:dyDescent="0.3">
      <c r="A201">
        <v>20535943363</v>
      </c>
      <c r="B201" t="s">
        <v>378</v>
      </c>
      <c r="F201">
        <v>11</v>
      </c>
    </row>
    <row r="202" spans="1:6" x14ac:dyDescent="0.3">
      <c r="A202">
        <v>20536727524</v>
      </c>
      <c r="B202" t="s">
        <v>379</v>
      </c>
      <c r="F202">
        <v>11</v>
      </c>
    </row>
    <row r="203" spans="1:6" x14ac:dyDescent="0.3">
      <c r="A203">
        <v>20537921464</v>
      </c>
      <c r="B203" t="s">
        <v>380</v>
      </c>
      <c r="C203" t="s">
        <v>109</v>
      </c>
      <c r="D203" t="s">
        <v>381</v>
      </c>
      <c r="F203">
        <v>11</v>
      </c>
    </row>
    <row r="204" spans="1:6" x14ac:dyDescent="0.3">
      <c r="A204">
        <v>20538501469</v>
      </c>
      <c r="B204" t="s">
        <v>382</v>
      </c>
      <c r="F204">
        <v>11</v>
      </c>
    </row>
    <row r="205" spans="1:6" x14ac:dyDescent="0.3">
      <c r="A205">
        <v>20538593053</v>
      </c>
      <c r="B205" t="s">
        <v>383</v>
      </c>
      <c r="C205" t="s">
        <v>109</v>
      </c>
      <c r="D205" t="s">
        <v>384</v>
      </c>
      <c r="F205">
        <v>11</v>
      </c>
    </row>
    <row r="206" spans="1:6" x14ac:dyDescent="0.3">
      <c r="A206">
        <v>20539387104</v>
      </c>
      <c r="B206" t="s">
        <v>385</v>
      </c>
      <c r="C206" t="s">
        <v>109</v>
      </c>
      <c r="D206" t="s">
        <v>386</v>
      </c>
      <c r="F206">
        <v>11</v>
      </c>
    </row>
    <row r="207" spans="1:6" x14ac:dyDescent="0.3">
      <c r="A207">
        <v>20539539214</v>
      </c>
      <c r="B207" t="s">
        <v>387</v>
      </c>
      <c r="F207">
        <v>11</v>
      </c>
    </row>
    <row r="208" spans="1:6" x14ac:dyDescent="0.3">
      <c r="A208">
        <v>20539610377</v>
      </c>
      <c r="B208" t="s">
        <v>388</v>
      </c>
      <c r="F208">
        <v>11</v>
      </c>
    </row>
    <row r="209" spans="1:6" x14ac:dyDescent="0.3">
      <c r="A209">
        <v>20539627938</v>
      </c>
      <c r="B209" t="s">
        <v>389</v>
      </c>
      <c r="C209" t="s">
        <v>109</v>
      </c>
      <c r="D209" t="s">
        <v>390</v>
      </c>
      <c r="F209">
        <v>11</v>
      </c>
    </row>
    <row r="210" spans="1:6" x14ac:dyDescent="0.3">
      <c r="A210">
        <v>20539677528</v>
      </c>
      <c r="B210" t="s">
        <v>391</v>
      </c>
      <c r="F210">
        <v>11</v>
      </c>
    </row>
    <row r="211" spans="1:6" x14ac:dyDescent="0.3">
      <c r="A211">
        <v>20539681550</v>
      </c>
      <c r="B211" t="s">
        <v>392</v>
      </c>
      <c r="F211">
        <v>11</v>
      </c>
    </row>
    <row r="212" spans="1:6" x14ac:dyDescent="0.3">
      <c r="A212">
        <v>20543323943</v>
      </c>
      <c r="B212" t="s">
        <v>393</v>
      </c>
      <c r="C212" t="s">
        <v>109</v>
      </c>
      <c r="D212" t="s">
        <v>394</v>
      </c>
      <c r="F212">
        <v>11</v>
      </c>
    </row>
    <row r="213" spans="1:6" x14ac:dyDescent="0.3">
      <c r="A213">
        <v>20545479941</v>
      </c>
      <c r="B213" t="s">
        <v>395</v>
      </c>
      <c r="C213" t="s">
        <v>109</v>
      </c>
      <c r="D213" t="s">
        <v>396</v>
      </c>
      <c r="F213">
        <v>11</v>
      </c>
    </row>
    <row r="214" spans="1:6" x14ac:dyDescent="0.3">
      <c r="A214">
        <v>20545577870</v>
      </c>
      <c r="B214" t="s">
        <v>397</v>
      </c>
      <c r="C214" t="s">
        <v>287</v>
      </c>
      <c r="D214" t="s">
        <v>398</v>
      </c>
      <c r="F214">
        <v>11</v>
      </c>
    </row>
    <row r="215" spans="1:6" x14ac:dyDescent="0.3">
      <c r="A215">
        <v>20546090435</v>
      </c>
      <c r="B215" t="s">
        <v>399</v>
      </c>
      <c r="F215">
        <v>11</v>
      </c>
    </row>
    <row r="216" spans="1:6" x14ac:dyDescent="0.3">
      <c r="A216">
        <v>20546153372</v>
      </c>
      <c r="B216" t="s">
        <v>400</v>
      </c>
      <c r="C216" t="s">
        <v>109</v>
      </c>
      <c r="D216" t="s">
        <v>401</v>
      </c>
      <c r="F216">
        <v>11</v>
      </c>
    </row>
    <row r="217" spans="1:6" x14ac:dyDescent="0.3">
      <c r="A217">
        <v>20546412904</v>
      </c>
      <c r="B217" t="s">
        <v>402</v>
      </c>
      <c r="F217">
        <v>11</v>
      </c>
    </row>
    <row r="218" spans="1:6" x14ac:dyDescent="0.3">
      <c r="A218">
        <v>20546530184</v>
      </c>
      <c r="B218" t="s">
        <v>403</v>
      </c>
      <c r="F218">
        <v>11</v>
      </c>
    </row>
    <row r="219" spans="1:6" x14ac:dyDescent="0.3">
      <c r="A219">
        <v>20548600210</v>
      </c>
      <c r="B219" t="s">
        <v>404</v>
      </c>
      <c r="F219">
        <v>11</v>
      </c>
    </row>
    <row r="220" spans="1:6" x14ac:dyDescent="0.3">
      <c r="A220">
        <v>20548863571</v>
      </c>
      <c r="B220" t="s">
        <v>405</v>
      </c>
      <c r="F220">
        <v>11</v>
      </c>
    </row>
    <row r="221" spans="1:6" x14ac:dyDescent="0.3">
      <c r="A221">
        <v>20548938415</v>
      </c>
      <c r="B221" t="s">
        <v>406</v>
      </c>
      <c r="F221">
        <v>11</v>
      </c>
    </row>
    <row r="222" spans="1:6" x14ac:dyDescent="0.3">
      <c r="A222">
        <v>20549068201</v>
      </c>
      <c r="B222" t="s">
        <v>407</v>
      </c>
      <c r="F222">
        <v>11</v>
      </c>
    </row>
    <row r="223" spans="1:6" x14ac:dyDescent="0.3">
      <c r="A223">
        <v>20550703778</v>
      </c>
      <c r="B223" t="s">
        <v>408</v>
      </c>
      <c r="C223" t="s">
        <v>287</v>
      </c>
      <c r="D223" t="s">
        <v>409</v>
      </c>
      <c r="F223">
        <v>11</v>
      </c>
    </row>
    <row r="224" spans="1:6" x14ac:dyDescent="0.3">
      <c r="A224">
        <v>20550891086</v>
      </c>
      <c r="B224" t="s">
        <v>410</v>
      </c>
      <c r="F224">
        <v>11</v>
      </c>
    </row>
    <row r="225" spans="1:6" x14ac:dyDescent="0.3">
      <c r="A225">
        <v>20551520634</v>
      </c>
      <c r="B225" t="s">
        <v>411</v>
      </c>
      <c r="C225" t="s">
        <v>287</v>
      </c>
      <c r="D225" t="s">
        <v>412</v>
      </c>
      <c r="F225">
        <v>11</v>
      </c>
    </row>
    <row r="226" spans="1:6" x14ac:dyDescent="0.3">
      <c r="A226">
        <v>20552024355</v>
      </c>
      <c r="B226" t="s">
        <v>413</v>
      </c>
      <c r="F226">
        <v>11</v>
      </c>
    </row>
    <row r="227" spans="1:6" x14ac:dyDescent="0.3">
      <c r="A227">
        <v>20553255709</v>
      </c>
      <c r="B227" t="s">
        <v>414</v>
      </c>
      <c r="C227" t="s">
        <v>109</v>
      </c>
      <c r="D227" t="s">
        <v>415</v>
      </c>
      <c r="F227">
        <v>11</v>
      </c>
    </row>
    <row r="228" spans="1:6" x14ac:dyDescent="0.3">
      <c r="A228">
        <v>20554299441</v>
      </c>
      <c r="B228" t="s">
        <v>416</v>
      </c>
      <c r="C228" t="s">
        <v>287</v>
      </c>
      <c r="D228" t="s">
        <v>417</v>
      </c>
      <c r="F228">
        <v>11</v>
      </c>
    </row>
    <row r="229" spans="1:6" x14ac:dyDescent="0.3">
      <c r="A229">
        <v>20554454276</v>
      </c>
      <c r="B229" t="s">
        <v>418</v>
      </c>
      <c r="F229">
        <v>11</v>
      </c>
    </row>
    <row r="230" spans="1:6" x14ac:dyDescent="0.3">
      <c r="A230">
        <v>20556348236</v>
      </c>
      <c r="B230" t="s">
        <v>419</v>
      </c>
      <c r="F230">
        <v>11</v>
      </c>
    </row>
    <row r="231" spans="1:6" x14ac:dyDescent="0.3">
      <c r="A231">
        <v>20557091492</v>
      </c>
      <c r="B231" t="s">
        <v>420</v>
      </c>
      <c r="C231" t="s">
        <v>287</v>
      </c>
      <c r="D231" t="s">
        <v>421</v>
      </c>
      <c r="F231">
        <v>11</v>
      </c>
    </row>
    <row r="232" spans="1:6" x14ac:dyDescent="0.3">
      <c r="A232">
        <v>20557876465</v>
      </c>
      <c r="B232" t="s">
        <v>422</v>
      </c>
      <c r="F232">
        <v>11</v>
      </c>
    </row>
    <row r="233" spans="1:6" x14ac:dyDescent="0.3">
      <c r="A233">
        <v>20558144816</v>
      </c>
      <c r="B233" t="s">
        <v>423</v>
      </c>
      <c r="F233">
        <v>11</v>
      </c>
    </row>
    <row r="234" spans="1:6" x14ac:dyDescent="0.3">
      <c r="A234">
        <v>20558203332</v>
      </c>
      <c r="B234" t="s">
        <v>424</v>
      </c>
      <c r="F234">
        <v>11</v>
      </c>
    </row>
    <row r="235" spans="1:6" x14ac:dyDescent="0.3">
      <c r="A235">
        <v>20558226979</v>
      </c>
      <c r="B235" t="s">
        <v>425</v>
      </c>
      <c r="F235">
        <v>11</v>
      </c>
    </row>
    <row r="236" spans="1:6" x14ac:dyDescent="0.3">
      <c r="A236">
        <v>20558320487</v>
      </c>
      <c r="B236" t="s">
        <v>426</v>
      </c>
      <c r="F236">
        <v>11</v>
      </c>
    </row>
    <row r="237" spans="1:6" x14ac:dyDescent="0.3">
      <c r="A237">
        <v>20558353814</v>
      </c>
      <c r="B237" t="s">
        <v>427</v>
      </c>
      <c r="C237" t="s">
        <v>109</v>
      </c>
      <c r="D237" t="s">
        <v>428</v>
      </c>
      <c r="F237">
        <v>11</v>
      </c>
    </row>
    <row r="238" spans="1:6" x14ac:dyDescent="0.3">
      <c r="A238">
        <v>20558378990</v>
      </c>
      <c r="B238" t="s">
        <v>429</v>
      </c>
      <c r="C238" t="s">
        <v>62</v>
      </c>
      <c r="D238" t="s">
        <v>430</v>
      </c>
      <c r="F238">
        <v>11</v>
      </c>
    </row>
    <row r="239" spans="1:6" x14ac:dyDescent="0.3">
      <c r="A239">
        <v>20558627299</v>
      </c>
      <c r="B239" t="s">
        <v>431</v>
      </c>
      <c r="C239" t="s">
        <v>109</v>
      </c>
      <c r="D239" t="s">
        <v>432</v>
      </c>
      <c r="F239">
        <v>11</v>
      </c>
    </row>
    <row r="240" spans="1:6" x14ac:dyDescent="0.3">
      <c r="A240">
        <v>20558698048</v>
      </c>
      <c r="B240" t="s">
        <v>433</v>
      </c>
      <c r="F240">
        <v>11</v>
      </c>
    </row>
    <row r="241" spans="1:6" x14ac:dyDescent="0.3">
      <c r="A241">
        <v>20558740346</v>
      </c>
      <c r="B241" t="s">
        <v>434</v>
      </c>
      <c r="C241" t="s">
        <v>287</v>
      </c>
      <c r="D241" t="s">
        <v>435</v>
      </c>
      <c r="F241">
        <v>11</v>
      </c>
    </row>
    <row r="242" spans="1:6" x14ac:dyDescent="0.3">
      <c r="A242">
        <v>20559075524</v>
      </c>
      <c r="B242" t="s">
        <v>436</v>
      </c>
      <c r="F242">
        <v>11</v>
      </c>
    </row>
    <row r="243" spans="1:6" x14ac:dyDescent="0.3">
      <c r="A243">
        <v>20559124088</v>
      </c>
      <c r="B243" t="s">
        <v>437</v>
      </c>
      <c r="F243">
        <v>11</v>
      </c>
    </row>
    <row r="244" spans="1:6" x14ac:dyDescent="0.3">
      <c r="A244">
        <v>20559141411</v>
      </c>
      <c r="B244" t="s">
        <v>438</v>
      </c>
      <c r="F244">
        <v>11</v>
      </c>
    </row>
    <row r="245" spans="1:6" x14ac:dyDescent="0.3">
      <c r="A245">
        <v>20559271625</v>
      </c>
      <c r="B245" t="s">
        <v>439</v>
      </c>
      <c r="F245">
        <v>11</v>
      </c>
    </row>
    <row r="246" spans="1:6" x14ac:dyDescent="0.3">
      <c r="A246">
        <v>20562856103</v>
      </c>
      <c r="B246" t="s">
        <v>440</v>
      </c>
      <c r="F246">
        <v>11</v>
      </c>
    </row>
    <row r="247" spans="1:6" x14ac:dyDescent="0.3">
      <c r="A247">
        <v>20563260140</v>
      </c>
      <c r="B247" t="s">
        <v>441</v>
      </c>
      <c r="F247">
        <v>11</v>
      </c>
    </row>
    <row r="248" spans="1:6" x14ac:dyDescent="0.3">
      <c r="A248">
        <v>20563371995</v>
      </c>
      <c r="B248" t="s">
        <v>442</v>
      </c>
      <c r="C248" t="s">
        <v>109</v>
      </c>
      <c r="D248" t="s">
        <v>443</v>
      </c>
      <c r="F248">
        <v>11</v>
      </c>
    </row>
    <row r="249" spans="1:6" x14ac:dyDescent="0.3">
      <c r="A249">
        <v>20563784564</v>
      </c>
      <c r="B249" t="s">
        <v>444</v>
      </c>
      <c r="F249">
        <v>11</v>
      </c>
    </row>
    <row r="250" spans="1:6" x14ac:dyDescent="0.3">
      <c r="A250">
        <v>20564022765</v>
      </c>
      <c r="B250" t="s">
        <v>445</v>
      </c>
      <c r="F250">
        <v>11</v>
      </c>
    </row>
    <row r="251" spans="1:6" x14ac:dyDescent="0.3">
      <c r="A251">
        <v>20565347099</v>
      </c>
      <c r="B251" t="s">
        <v>446</v>
      </c>
      <c r="F251">
        <v>11</v>
      </c>
    </row>
    <row r="252" spans="1:6" x14ac:dyDescent="0.3">
      <c r="A252">
        <v>20600111150</v>
      </c>
      <c r="B252" t="s">
        <v>447</v>
      </c>
      <c r="F252">
        <v>11</v>
      </c>
    </row>
    <row r="253" spans="1:6" x14ac:dyDescent="0.3">
      <c r="A253">
        <v>20600179331</v>
      </c>
      <c r="B253" t="s">
        <v>448</v>
      </c>
      <c r="F253">
        <v>11</v>
      </c>
    </row>
    <row r="254" spans="1:6" x14ac:dyDescent="0.3">
      <c r="A254">
        <v>20600398084</v>
      </c>
      <c r="B254" t="s">
        <v>449</v>
      </c>
      <c r="F254">
        <v>11</v>
      </c>
    </row>
    <row r="255" spans="1:6" x14ac:dyDescent="0.3">
      <c r="A255">
        <v>20600608062</v>
      </c>
      <c r="B255" t="s">
        <v>450</v>
      </c>
      <c r="F255">
        <v>11</v>
      </c>
    </row>
    <row r="256" spans="1:6" x14ac:dyDescent="0.3">
      <c r="A256">
        <v>20600790481</v>
      </c>
      <c r="B256" t="s">
        <v>451</v>
      </c>
      <c r="F256">
        <v>11</v>
      </c>
    </row>
    <row r="257" spans="1:6" x14ac:dyDescent="0.3">
      <c r="A257">
        <v>20600847482</v>
      </c>
      <c r="B257" t="s">
        <v>452</v>
      </c>
      <c r="F257">
        <v>11</v>
      </c>
    </row>
    <row r="258" spans="1:6" x14ac:dyDescent="0.3">
      <c r="A258">
        <v>20600849019</v>
      </c>
      <c r="B258" t="s">
        <v>453</v>
      </c>
      <c r="F258">
        <v>11</v>
      </c>
    </row>
    <row r="259" spans="1:6" x14ac:dyDescent="0.3">
      <c r="A259">
        <v>20600849671</v>
      </c>
      <c r="B259" t="s">
        <v>454</v>
      </c>
      <c r="F259">
        <v>11</v>
      </c>
    </row>
    <row r="260" spans="1:6" x14ac:dyDescent="0.3">
      <c r="A260">
        <v>20600871090</v>
      </c>
      <c r="B260" t="s">
        <v>455</v>
      </c>
      <c r="F260">
        <v>11</v>
      </c>
    </row>
    <row r="261" spans="1:6" x14ac:dyDescent="0.3">
      <c r="A261">
        <v>20600910010</v>
      </c>
      <c r="B261" t="s">
        <v>456</v>
      </c>
      <c r="C261" t="s">
        <v>287</v>
      </c>
      <c r="D261" t="s">
        <v>457</v>
      </c>
      <c r="F261">
        <v>11</v>
      </c>
    </row>
    <row r="262" spans="1:6" x14ac:dyDescent="0.3">
      <c r="A262">
        <v>20600931921</v>
      </c>
      <c r="B262" t="s">
        <v>458</v>
      </c>
      <c r="F262">
        <v>11</v>
      </c>
    </row>
    <row r="263" spans="1:6" x14ac:dyDescent="0.3">
      <c r="A263">
        <v>20601014549</v>
      </c>
      <c r="B263" t="s">
        <v>459</v>
      </c>
      <c r="F263">
        <v>11</v>
      </c>
    </row>
    <row r="264" spans="1:6" x14ac:dyDescent="0.3">
      <c r="A264">
        <v>20601067987</v>
      </c>
      <c r="B264" t="s">
        <v>460</v>
      </c>
      <c r="F264">
        <v>11</v>
      </c>
    </row>
    <row r="265" spans="1:6" x14ac:dyDescent="0.3">
      <c r="A265">
        <v>20601116082</v>
      </c>
      <c r="B265" t="s">
        <v>461</v>
      </c>
      <c r="F265">
        <v>11</v>
      </c>
    </row>
    <row r="266" spans="1:6" x14ac:dyDescent="0.3">
      <c r="A266">
        <v>20601119600</v>
      </c>
      <c r="B266" t="s">
        <v>462</v>
      </c>
      <c r="F266">
        <v>11</v>
      </c>
    </row>
    <row r="267" spans="1:6" x14ac:dyDescent="0.3">
      <c r="A267">
        <v>20601223334</v>
      </c>
      <c r="B267" t="s">
        <v>463</v>
      </c>
      <c r="F267">
        <v>11</v>
      </c>
    </row>
    <row r="268" spans="1:6" x14ac:dyDescent="0.3">
      <c r="A268">
        <v>20601279666</v>
      </c>
      <c r="B268" t="s">
        <v>464</v>
      </c>
      <c r="C268" t="s">
        <v>62</v>
      </c>
      <c r="D268" t="s">
        <v>465</v>
      </c>
      <c r="F268">
        <v>11</v>
      </c>
    </row>
    <row r="269" spans="1:6" x14ac:dyDescent="0.3">
      <c r="A269">
        <v>20601399327</v>
      </c>
      <c r="B269" t="s">
        <v>466</v>
      </c>
      <c r="C269" t="s">
        <v>109</v>
      </c>
      <c r="D269" t="s">
        <v>467</v>
      </c>
      <c r="F269">
        <v>11</v>
      </c>
    </row>
    <row r="270" spans="1:6" x14ac:dyDescent="0.3">
      <c r="A270">
        <v>20601456321</v>
      </c>
      <c r="B270" t="s">
        <v>468</v>
      </c>
      <c r="F270">
        <v>11</v>
      </c>
    </row>
    <row r="271" spans="1:6" x14ac:dyDescent="0.3">
      <c r="A271">
        <v>20601537215</v>
      </c>
      <c r="B271" t="s">
        <v>469</v>
      </c>
      <c r="F271">
        <v>11</v>
      </c>
    </row>
    <row r="272" spans="1:6" x14ac:dyDescent="0.3">
      <c r="A272">
        <v>20601769566</v>
      </c>
      <c r="B272" t="s">
        <v>470</v>
      </c>
      <c r="F272">
        <v>11</v>
      </c>
    </row>
    <row r="273" spans="1:6" x14ac:dyDescent="0.3">
      <c r="A273">
        <v>20601883270</v>
      </c>
      <c r="B273" t="s">
        <v>471</v>
      </c>
      <c r="C273" t="s">
        <v>109</v>
      </c>
      <c r="D273" t="s">
        <v>472</v>
      </c>
      <c r="F273">
        <v>11</v>
      </c>
    </row>
    <row r="274" spans="1:6" x14ac:dyDescent="0.3">
      <c r="A274">
        <v>20602059309</v>
      </c>
      <c r="B274" t="s">
        <v>473</v>
      </c>
      <c r="F274">
        <v>11</v>
      </c>
    </row>
    <row r="275" spans="1:6" x14ac:dyDescent="0.3">
      <c r="A275">
        <v>20602075177</v>
      </c>
      <c r="B275" t="s">
        <v>474</v>
      </c>
      <c r="C275" t="s">
        <v>109</v>
      </c>
      <c r="D275" t="s">
        <v>475</v>
      </c>
      <c r="F275">
        <v>11</v>
      </c>
    </row>
    <row r="276" spans="1:6" x14ac:dyDescent="0.3">
      <c r="A276">
        <v>20602114091</v>
      </c>
      <c r="B276" t="s">
        <v>476</v>
      </c>
      <c r="F276">
        <v>11</v>
      </c>
    </row>
    <row r="277" spans="1:6" x14ac:dyDescent="0.3">
      <c r="A277">
        <v>20602152155</v>
      </c>
      <c r="B277" t="s">
        <v>477</v>
      </c>
      <c r="F277">
        <v>11</v>
      </c>
    </row>
    <row r="278" spans="1:6" x14ac:dyDescent="0.3">
      <c r="A278">
        <v>20602177786</v>
      </c>
      <c r="B278" t="s">
        <v>478</v>
      </c>
      <c r="F278">
        <v>11</v>
      </c>
    </row>
    <row r="279" spans="1:6" x14ac:dyDescent="0.3">
      <c r="A279">
        <v>20602191045</v>
      </c>
      <c r="B279" t="s">
        <v>479</v>
      </c>
      <c r="C279" t="s">
        <v>287</v>
      </c>
      <c r="D279" t="s">
        <v>480</v>
      </c>
      <c r="F279">
        <v>11</v>
      </c>
    </row>
    <row r="280" spans="1:6" x14ac:dyDescent="0.3">
      <c r="A280">
        <v>20602438181</v>
      </c>
      <c r="B280" t="s">
        <v>481</v>
      </c>
      <c r="F280">
        <v>11</v>
      </c>
    </row>
    <row r="281" spans="1:6" x14ac:dyDescent="0.3">
      <c r="A281">
        <v>20602441165</v>
      </c>
      <c r="B281" t="s">
        <v>482</v>
      </c>
      <c r="F281">
        <v>11</v>
      </c>
    </row>
    <row r="282" spans="1:6" x14ac:dyDescent="0.3">
      <c r="A282">
        <v>20602456529</v>
      </c>
      <c r="B282" t="s">
        <v>483</v>
      </c>
      <c r="C282" t="s">
        <v>109</v>
      </c>
      <c r="D282" t="s">
        <v>484</v>
      </c>
      <c r="F282">
        <v>11</v>
      </c>
    </row>
    <row r="283" spans="1:6" x14ac:dyDescent="0.3">
      <c r="A283">
        <v>20602462553</v>
      </c>
      <c r="B283" t="s">
        <v>485</v>
      </c>
      <c r="F283">
        <v>11</v>
      </c>
    </row>
    <row r="284" spans="1:6" x14ac:dyDescent="0.3">
      <c r="A284">
        <v>20602462855</v>
      </c>
      <c r="B284" t="s">
        <v>486</v>
      </c>
      <c r="F284">
        <v>11</v>
      </c>
    </row>
    <row r="285" spans="1:6" x14ac:dyDescent="0.3">
      <c r="A285">
        <v>20602463118</v>
      </c>
      <c r="B285" t="s">
        <v>487</v>
      </c>
      <c r="F285">
        <v>11</v>
      </c>
    </row>
    <row r="286" spans="1:6" x14ac:dyDescent="0.3">
      <c r="A286">
        <v>20602484425</v>
      </c>
      <c r="B286" t="s">
        <v>488</v>
      </c>
      <c r="C286" t="s">
        <v>109</v>
      </c>
      <c r="D286" t="s">
        <v>489</v>
      </c>
      <c r="F286">
        <v>11</v>
      </c>
    </row>
    <row r="287" spans="1:6" x14ac:dyDescent="0.3">
      <c r="A287">
        <v>20602499481</v>
      </c>
      <c r="B287" t="s">
        <v>490</v>
      </c>
      <c r="C287" t="s">
        <v>287</v>
      </c>
      <c r="D287" t="s">
        <v>491</v>
      </c>
      <c r="F287">
        <v>11</v>
      </c>
    </row>
    <row r="288" spans="1:6" x14ac:dyDescent="0.3">
      <c r="A288">
        <v>20602593593</v>
      </c>
      <c r="B288" t="s">
        <v>492</v>
      </c>
      <c r="F288">
        <v>11</v>
      </c>
    </row>
    <row r="289" spans="1:6" x14ac:dyDescent="0.3">
      <c r="A289">
        <v>20602751326</v>
      </c>
      <c r="B289" t="s">
        <v>493</v>
      </c>
      <c r="C289" t="s">
        <v>109</v>
      </c>
      <c r="D289" t="s">
        <v>494</v>
      </c>
      <c r="F289">
        <v>11</v>
      </c>
    </row>
    <row r="290" spans="1:6" x14ac:dyDescent="0.3">
      <c r="A290">
        <v>20602778861</v>
      </c>
      <c r="B290" t="s">
        <v>495</v>
      </c>
      <c r="C290" t="s">
        <v>109</v>
      </c>
      <c r="D290" t="s">
        <v>496</v>
      </c>
      <c r="F290">
        <v>11</v>
      </c>
    </row>
    <row r="291" spans="1:6" x14ac:dyDescent="0.3">
      <c r="A291">
        <v>20602810497</v>
      </c>
      <c r="B291" t="s">
        <v>497</v>
      </c>
      <c r="C291" t="s">
        <v>109</v>
      </c>
      <c r="D291" t="s">
        <v>498</v>
      </c>
      <c r="F291">
        <v>11</v>
      </c>
    </row>
    <row r="292" spans="1:6" x14ac:dyDescent="0.3">
      <c r="A292">
        <v>20602818161</v>
      </c>
      <c r="B292" t="s">
        <v>499</v>
      </c>
      <c r="C292" t="s">
        <v>287</v>
      </c>
      <c r="D292" t="s">
        <v>500</v>
      </c>
      <c r="F292">
        <v>11</v>
      </c>
    </row>
    <row r="293" spans="1:6" x14ac:dyDescent="0.3">
      <c r="A293">
        <v>20602978274</v>
      </c>
      <c r="B293" t="s">
        <v>501</v>
      </c>
      <c r="F293">
        <v>11</v>
      </c>
    </row>
    <row r="294" spans="1:6" x14ac:dyDescent="0.3">
      <c r="A294">
        <v>20602996043</v>
      </c>
      <c r="B294" t="s">
        <v>502</v>
      </c>
      <c r="F294">
        <v>11</v>
      </c>
    </row>
    <row r="295" spans="1:6" x14ac:dyDescent="0.3">
      <c r="A295">
        <v>20603001461</v>
      </c>
      <c r="B295" t="s">
        <v>503</v>
      </c>
      <c r="C295" t="s">
        <v>109</v>
      </c>
      <c r="D295" t="s">
        <v>504</v>
      </c>
      <c r="F295">
        <v>11</v>
      </c>
    </row>
    <row r="296" spans="1:6" x14ac:dyDescent="0.3">
      <c r="A296">
        <v>20603065906</v>
      </c>
      <c r="B296" t="s">
        <v>505</v>
      </c>
      <c r="F296">
        <v>11</v>
      </c>
    </row>
    <row r="297" spans="1:6" x14ac:dyDescent="0.3">
      <c r="A297">
        <v>20603087675</v>
      </c>
      <c r="B297" t="s">
        <v>506</v>
      </c>
      <c r="F297">
        <v>11</v>
      </c>
    </row>
    <row r="298" spans="1:6" x14ac:dyDescent="0.3">
      <c r="A298">
        <v>20603192517</v>
      </c>
      <c r="B298" t="s">
        <v>507</v>
      </c>
      <c r="F298">
        <v>11</v>
      </c>
    </row>
    <row r="299" spans="1:6" x14ac:dyDescent="0.3">
      <c r="A299">
        <v>20603232888</v>
      </c>
      <c r="B299" t="s">
        <v>508</v>
      </c>
      <c r="F299">
        <v>11</v>
      </c>
    </row>
    <row r="300" spans="1:6" x14ac:dyDescent="0.3">
      <c r="A300">
        <v>20603264208</v>
      </c>
      <c r="B300" t="s">
        <v>509</v>
      </c>
      <c r="F300">
        <v>11</v>
      </c>
    </row>
    <row r="301" spans="1:6" x14ac:dyDescent="0.3">
      <c r="A301">
        <v>20603361190</v>
      </c>
      <c r="B301" t="s">
        <v>510</v>
      </c>
      <c r="F301">
        <v>11</v>
      </c>
    </row>
    <row r="302" spans="1:6" x14ac:dyDescent="0.3">
      <c r="A302">
        <v>20603369352</v>
      </c>
      <c r="B302" t="s">
        <v>511</v>
      </c>
      <c r="C302" t="s">
        <v>109</v>
      </c>
      <c r="D302" t="s">
        <v>512</v>
      </c>
      <c r="F302">
        <v>11</v>
      </c>
    </row>
    <row r="303" spans="1:6" x14ac:dyDescent="0.3">
      <c r="A303">
        <v>20603453396</v>
      </c>
      <c r="B303" t="s">
        <v>513</v>
      </c>
      <c r="C303" t="s">
        <v>287</v>
      </c>
      <c r="D303" t="s">
        <v>514</v>
      </c>
      <c r="F303">
        <v>11</v>
      </c>
    </row>
    <row r="304" spans="1:6" x14ac:dyDescent="0.3">
      <c r="A304">
        <v>20603467150</v>
      </c>
      <c r="B304" t="s">
        <v>515</v>
      </c>
      <c r="F304">
        <v>11</v>
      </c>
    </row>
    <row r="305" spans="1:6" x14ac:dyDescent="0.3">
      <c r="A305">
        <v>20603536569</v>
      </c>
      <c r="B305" t="s">
        <v>516</v>
      </c>
      <c r="F305">
        <v>11</v>
      </c>
    </row>
    <row r="306" spans="1:6" x14ac:dyDescent="0.3">
      <c r="A306">
        <v>20603681755</v>
      </c>
      <c r="B306" t="s">
        <v>517</v>
      </c>
      <c r="F306">
        <v>11</v>
      </c>
    </row>
    <row r="307" spans="1:6" x14ac:dyDescent="0.3">
      <c r="A307">
        <v>20603912838</v>
      </c>
      <c r="B307" t="s">
        <v>518</v>
      </c>
      <c r="C307" t="s">
        <v>109</v>
      </c>
      <c r="D307" t="s">
        <v>519</v>
      </c>
      <c r="F307">
        <v>11</v>
      </c>
    </row>
    <row r="308" spans="1:6" x14ac:dyDescent="0.3">
      <c r="A308">
        <v>20603954964</v>
      </c>
      <c r="B308" t="s">
        <v>520</v>
      </c>
      <c r="C308" t="s">
        <v>109</v>
      </c>
      <c r="D308" t="s">
        <v>521</v>
      </c>
      <c r="F308">
        <v>11</v>
      </c>
    </row>
    <row r="309" spans="1:6" x14ac:dyDescent="0.3">
      <c r="A309">
        <v>20603974817</v>
      </c>
      <c r="B309" t="s">
        <v>522</v>
      </c>
      <c r="C309" t="s">
        <v>109</v>
      </c>
      <c r="D309" t="s">
        <v>523</v>
      </c>
      <c r="F309">
        <v>11</v>
      </c>
    </row>
    <row r="310" spans="1:6" x14ac:dyDescent="0.3">
      <c r="A310">
        <v>20604044082</v>
      </c>
      <c r="B310" t="s">
        <v>524</v>
      </c>
      <c r="F310">
        <v>11</v>
      </c>
    </row>
    <row r="311" spans="1:6" x14ac:dyDescent="0.3">
      <c r="A311">
        <v>20604304831</v>
      </c>
      <c r="B311" t="s">
        <v>525</v>
      </c>
      <c r="C311" t="s">
        <v>109</v>
      </c>
      <c r="D311" t="s">
        <v>526</v>
      </c>
      <c r="F311">
        <v>11</v>
      </c>
    </row>
    <row r="312" spans="1:6" x14ac:dyDescent="0.3">
      <c r="A312">
        <v>20604400865</v>
      </c>
      <c r="B312" t="s">
        <v>527</v>
      </c>
      <c r="C312" t="s">
        <v>287</v>
      </c>
      <c r="D312" t="s">
        <v>528</v>
      </c>
      <c r="F312">
        <v>11</v>
      </c>
    </row>
    <row r="313" spans="1:6" x14ac:dyDescent="0.3">
      <c r="A313">
        <v>20604555478</v>
      </c>
      <c r="B313" t="s">
        <v>529</v>
      </c>
      <c r="C313" t="s">
        <v>109</v>
      </c>
      <c r="D313" t="s">
        <v>530</v>
      </c>
      <c r="F313">
        <v>11</v>
      </c>
    </row>
    <row r="314" spans="1:6" x14ac:dyDescent="0.3">
      <c r="A314">
        <v>20604645272</v>
      </c>
      <c r="B314" t="s">
        <v>531</v>
      </c>
      <c r="F314">
        <v>11</v>
      </c>
    </row>
    <row r="315" spans="1:6" x14ac:dyDescent="0.3">
      <c r="A315">
        <v>20604684669</v>
      </c>
      <c r="B315" t="s">
        <v>532</v>
      </c>
      <c r="F315">
        <v>11</v>
      </c>
    </row>
    <row r="316" spans="1:6" x14ac:dyDescent="0.3">
      <c r="A316">
        <v>20604692742</v>
      </c>
      <c r="B316" t="s">
        <v>533</v>
      </c>
      <c r="F316">
        <v>11</v>
      </c>
    </row>
    <row r="317" spans="1:6" x14ac:dyDescent="0.3">
      <c r="A317">
        <v>20604856745</v>
      </c>
      <c r="B317" t="s">
        <v>534</v>
      </c>
      <c r="C317" t="s">
        <v>109</v>
      </c>
      <c r="D317" t="s">
        <v>535</v>
      </c>
      <c r="F317">
        <v>11</v>
      </c>
    </row>
    <row r="318" spans="1:6" x14ac:dyDescent="0.3">
      <c r="A318">
        <v>20605263659</v>
      </c>
      <c r="B318" t="s">
        <v>536</v>
      </c>
      <c r="F318">
        <v>11</v>
      </c>
    </row>
    <row r="319" spans="1:6" x14ac:dyDescent="0.3">
      <c r="A319">
        <v>20605447814</v>
      </c>
      <c r="B319" t="s">
        <v>537</v>
      </c>
      <c r="C319" t="s">
        <v>109</v>
      </c>
      <c r="D319" t="s">
        <v>538</v>
      </c>
      <c r="F319">
        <v>11</v>
      </c>
    </row>
    <row r="320" spans="1:6" x14ac:dyDescent="0.3">
      <c r="A320">
        <v>20605566198</v>
      </c>
      <c r="B320" t="s">
        <v>539</v>
      </c>
      <c r="F320">
        <v>11</v>
      </c>
    </row>
    <row r="321" spans="1:6" x14ac:dyDescent="0.3">
      <c r="A321">
        <v>20605841903</v>
      </c>
      <c r="B321" t="s">
        <v>540</v>
      </c>
      <c r="F321">
        <v>11</v>
      </c>
    </row>
    <row r="322" spans="1:6" x14ac:dyDescent="0.3">
      <c r="A322">
        <v>20605931457</v>
      </c>
      <c r="B322" t="s">
        <v>541</v>
      </c>
      <c r="C322" t="s">
        <v>109</v>
      </c>
      <c r="D322" t="s">
        <v>542</v>
      </c>
      <c r="F322">
        <v>11</v>
      </c>
    </row>
    <row r="323" spans="1:6" x14ac:dyDescent="0.3">
      <c r="A323">
        <v>20606089032</v>
      </c>
      <c r="B323" t="s">
        <v>543</v>
      </c>
      <c r="C323" t="s">
        <v>109</v>
      </c>
      <c r="D323" t="s">
        <v>544</v>
      </c>
      <c r="F323">
        <v>11</v>
      </c>
    </row>
    <row r="324" spans="1:6" x14ac:dyDescent="0.3">
      <c r="A324">
        <v>20606362405</v>
      </c>
      <c r="B324" t="s">
        <v>545</v>
      </c>
      <c r="F324">
        <v>11</v>
      </c>
    </row>
    <row r="325" spans="1:6" x14ac:dyDescent="0.3">
      <c r="A325">
        <v>20606447079</v>
      </c>
      <c r="B325" t="s">
        <v>546</v>
      </c>
      <c r="F325">
        <v>11</v>
      </c>
    </row>
    <row r="326" spans="1:6" x14ac:dyDescent="0.3">
      <c r="A326">
        <v>20606541580</v>
      </c>
      <c r="B326" t="s">
        <v>547</v>
      </c>
      <c r="C326" t="s">
        <v>287</v>
      </c>
      <c r="D326" t="s">
        <v>548</v>
      </c>
      <c r="F326">
        <v>11</v>
      </c>
    </row>
    <row r="327" spans="1:6" x14ac:dyDescent="0.3">
      <c r="A327">
        <v>20606579641</v>
      </c>
      <c r="B327" t="s">
        <v>549</v>
      </c>
      <c r="C327" t="s">
        <v>109</v>
      </c>
      <c r="D327" t="s">
        <v>550</v>
      </c>
      <c r="F327">
        <v>11</v>
      </c>
    </row>
    <row r="328" spans="1:6" x14ac:dyDescent="0.3">
      <c r="A328">
        <v>20606592494</v>
      </c>
      <c r="B328" t="s">
        <v>551</v>
      </c>
      <c r="F328">
        <v>11</v>
      </c>
    </row>
    <row r="329" spans="1:6" x14ac:dyDescent="0.3">
      <c r="A329">
        <v>20606772344</v>
      </c>
      <c r="B329" t="s">
        <v>552</v>
      </c>
      <c r="F329">
        <v>11</v>
      </c>
    </row>
    <row r="330" spans="1:6" x14ac:dyDescent="0.3">
      <c r="A330">
        <v>20606866861</v>
      </c>
      <c r="B330" t="s">
        <v>553</v>
      </c>
      <c r="C330" t="s">
        <v>109</v>
      </c>
      <c r="D330" t="s">
        <v>554</v>
      </c>
      <c r="F330">
        <v>11</v>
      </c>
    </row>
    <row r="331" spans="1:6" x14ac:dyDescent="0.3">
      <c r="A331">
        <v>20607388416</v>
      </c>
      <c r="B331" t="s">
        <v>555</v>
      </c>
      <c r="F331">
        <v>11</v>
      </c>
    </row>
    <row r="332" spans="1:6" x14ac:dyDescent="0.3">
      <c r="A332">
        <v>20607722065</v>
      </c>
      <c r="B332" t="s">
        <v>556</v>
      </c>
      <c r="F332">
        <v>11</v>
      </c>
    </row>
    <row r="333" spans="1:6" x14ac:dyDescent="0.3">
      <c r="A333">
        <v>20608195891</v>
      </c>
      <c r="B333" t="s">
        <v>557</v>
      </c>
      <c r="C333" t="s">
        <v>109</v>
      </c>
      <c r="D333" t="s">
        <v>558</v>
      </c>
      <c r="F333">
        <v>11</v>
      </c>
    </row>
    <row r="334" spans="1:6" x14ac:dyDescent="0.3">
      <c r="A334">
        <v>20608196812</v>
      </c>
      <c r="B334" t="s">
        <v>559</v>
      </c>
      <c r="C334" t="s">
        <v>109</v>
      </c>
      <c r="D334" t="s">
        <v>560</v>
      </c>
      <c r="F334">
        <v>11</v>
      </c>
    </row>
    <row r="335" spans="1:6" x14ac:dyDescent="0.3">
      <c r="A335">
        <v>20608207741</v>
      </c>
      <c r="B335" t="s">
        <v>561</v>
      </c>
      <c r="F335">
        <v>11</v>
      </c>
    </row>
    <row r="336" spans="1:6" x14ac:dyDescent="0.3">
      <c r="A336">
        <v>20608450344</v>
      </c>
      <c r="B336" t="s">
        <v>562</v>
      </c>
      <c r="F336">
        <v>11</v>
      </c>
    </row>
    <row r="337" spans="1:6" x14ac:dyDescent="0.3">
      <c r="A337">
        <v>20608490494</v>
      </c>
      <c r="B337" t="s">
        <v>563</v>
      </c>
      <c r="F337">
        <v>11</v>
      </c>
    </row>
    <row r="338" spans="1:6" x14ac:dyDescent="0.3">
      <c r="A338">
        <v>20608545591</v>
      </c>
      <c r="B338" t="s">
        <v>564</v>
      </c>
      <c r="F338">
        <v>11</v>
      </c>
    </row>
    <row r="339" spans="1:6" x14ac:dyDescent="0.3">
      <c r="A339">
        <v>20608587803</v>
      </c>
      <c r="B339" t="s">
        <v>565</v>
      </c>
      <c r="C339" t="s">
        <v>109</v>
      </c>
      <c r="D339" t="s">
        <v>566</v>
      </c>
      <c r="F339">
        <v>11</v>
      </c>
    </row>
    <row r="340" spans="1:6" x14ac:dyDescent="0.3">
      <c r="A340">
        <v>20608671324</v>
      </c>
      <c r="B340" t="s">
        <v>567</v>
      </c>
      <c r="C340" t="s">
        <v>109</v>
      </c>
      <c r="D340" t="s">
        <v>568</v>
      </c>
      <c r="F340">
        <v>11</v>
      </c>
    </row>
    <row r="341" spans="1:6" x14ac:dyDescent="0.3">
      <c r="A341">
        <v>20608686747</v>
      </c>
      <c r="B341" t="s">
        <v>569</v>
      </c>
      <c r="C341" t="s">
        <v>62</v>
      </c>
      <c r="D341" t="s">
        <v>570</v>
      </c>
      <c r="F341">
        <v>11</v>
      </c>
    </row>
    <row r="342" spans="1:6" x14ac:dyDescent="0.3">
      <c r="A342">
        <v>20608731661</v>
      </c>
      <c r="B342" t="s">
        <v>571</v>
      </c>
      <c r="C342" t="s">
        <v>109</v>
      </c>
      <c r="D342" t="s">
        <v>572</v>
      </c>
      <c r="F342">
        <v>11</v>
      </c>
    </row>
    <row r="343" spans="1:6" x14ac:dyDescent="0.3">
      <c r="A343">
        <v>20608740211</v>
      </c>
      <c r="B343" t="s">
        <v>573</v>
      </c>
      <c r="C343" t="s">
        <v>574</v>
      </c>
      <c r="F343">
        <v>11</v>
      </c>
    </row>
    <row r="344" spans="1:6" x14ac:dyDescent="0.3">
      <c r="A344">
        <v>20608970909</v>
      </c>
      <c r="B344" t="s">
        <v>575</v>
      </c>
      <c r="F344">
        <v>11</v>
      </c>
    </row>
    <row r="345" spans="1:6" x14ac:dyDescent="0.3">
      <c r="A345">
        <v>20608983172</v>
      </c>
      <c r="B345" t="s">
        <v>576</v>
      </c>
      <c r="C345" t="s">
        <v>62</v>
      </c>
      <c r="D345" t="s">
        <v>577</v>
      </c>
      <c r="F345">
        <v>11</v>
      </c>
    </row>
    <row r="346" spans="1:6" x14ac:dyDescent="0.3">
      <c r="A346">
        <v>20609036347</v>
      </c>
      <c r="B346" t="s">
        <v>578</v>
      </c>
      <c r="F346">
        <v>11</v>
      </c>
    </row>
    <row r="347" spans="1:6" x14ac:dyDescent="0.3">
      <c r="A347">
        <v>20609039249</v>
      </c>
      <c r="B347" t="s">
        <v>579</v>
      </c>
      <c r="F347">
        <v>11</v>
      </c>
    </row>
    <row r="348" spans="1:6" x14ac:dyDescent="0.3">
      <c r="A348">
        <v>20609123762</v>
      </c>
      <c r="B348" t="s">
        <v>580</v>
      </c>
      <c r="C348" t="s">
        <v>109</v>
      </c>
      <c r="D348" t="s">
        <v>581</v>
      </c>
      <c r="F348">
        <v>11</v>
      </c>
    </row>
    <row r="349" spans="1:6" x14ac:dyDescent="0.3">
      <c r="A349">
        <v>20609130165</v>
      </c>
      <c r="B349" t="s">
        <v>582</v>
      </c>
      <c r="F349">
        <v>11</v>
      </c>
    </row>
    <row r="350" spans="1:6" x14ac:dyDescent="0.3">
      <c r="A350">
        <v>20609155303</v>
      </c>
      <c r="B350" t="s">
        <v>583</v>
      </c>
      <c r="C350" t="s">
        <v>109</v>
      </c>
      <c r="D350" t="s">
        <v>584</v>
      </c>
      <c r="F350">
        <v>11</v>
      </c>
    </row>
    <row r="351" spans="1:6" x14ac:dyDescent="0.3">
      <c r="A351">
        <v>20609221560</v>
      </c>
      <c r="B351" t="s">
        <v>585</v>
      </c>
      <c r="C351" t="s">
        <v>109</v>
      </c>
      <c r="D351" t="s">
        <v>586</v>
      </c>
      <c r="F351">
        <v>11</v>
      </c>
    </row>
    <row r="352" spans="1:6" x14ac:dyDescent="0.3">
      <c r="A352">
        <v>20609231573</v>
      </c>
      <c r="B352" t="s">
        <v>587</v>
      </c>
      <c r="F352">
        <v>11</v>
      </c>
    </row>
    <row r="353" spans="1:6" x14ac:dyDescent="0.3">
      <c r="A353">
        <v>20609368773</v>
      </c>
      <c r="B353" t="s">
        <v>588</v>
      </c>
      <c r="C353" t="s">
        <v>109</v>
      </c>
      <c r="D353" t="s">
        <v>589</v>
      </c>
      <c r="F353">
        <v>11</v>
      </c>
    </row>
    <row r="354" spans="1:6" x14ac:dyDescent="0.3">
      <c r="A354">
        <v>20609397803</v>
      </c>
      <c r="B354" t="s">
        <v>590</v>
      </c>
      <c r="F354">
        <v>11</v>
      </c>
    </row>
    <row r="355" spans="1:6" x14ac:dyDescent="0.3">
      <c r="A355">
        <v>20609580292</v>
      </c>
      <c r="B355" t="s">
        <v>591</v>
      </c>
      <c r="F355">
        <v>11</v>
      </c>
    </row>
    <row r="356" spans="1:6" x14ac:dyDescent="0.3">
      <c r="A356">
        <v>20609678241</v>
      </c>
      <c r="B356" t="s">
        <v>592</v>
      </c>
      <c r="C356" t="s">
        <v>109</v>
      </c>
      <c r="D356" t="s">
        <v>593</v>
      </c>
      <c r="F356">
        <v>11</v>
      </c>
    </row>
    <row r="357" spans="1:6" x14ac:dyDescent="0.3">
      <c r="A357">
        <v>20609764261</v>
      </c>
      <c r="B357" t="s">
        <v>594</v>
      </c>
      <c r="C357" t="s">
        <v>109</v>
      </c>
      <c r="D357" t="s">
        <v>595</v>
      </c>
      <c r="F357">
        <v>11</v>
      </c>
    </row>
    <row r="358" spans="1:6" x14ac:dyDescent="0.3">
      <c r="A358">
        <v>20609876621</v>
      </c>
      <c r="B358" t="s">
        <v>596</v>
      </c>
      <c r="F358">
        <v>11</v>
      </c>
    </row>
    <row r="359" spans="1:6" x14ac:dyDescent="0.3">
      <c r="A359">
        <v>20609906490</v>
      </c>
      <c r="B359" t="s">
        <v>597</v>
      </c>
      <c r="F359">
        <v>11</v>
      </c>
    </row>
    <row r="360" spans="1:6" x14ac:dyDescent="0.3">
      <c r="A360">
        <v>20609908492</v>
      </c>
      <c r="B360" t="s">
        <v>598</v>
      </c>
      <c r="C360" t="s">
        <v>62</v>
      </c>
      <c r="D360" t="s">
        <v>599</v>
      </c>
      <c r="F360">
        <v>11</v>
      </c>
    </row>
    <row r="361" spans="1:6" x14ac:dyDescent="0.3">
      <c r="A361">
        <v>20610156445</v>
      </c>
      <c r="B361" t="s">
        <v>600</v>
      </c>
      <c r="F361">
        <v>11</v>
      </c>
    </row>
    <row r="362" spans="1:6" x14ac:dyDescent="0.3">
      <c r="A362">
        <v>20610293906</v>
      </c>
      <c r="B362" t="s">
        <v>601</v>
      </c>
      <c r="F362">
        <v>11</v>
      </c>
    </row>
    <row r="363" spans="1:6" x14ac:dyDescent="0.3">
      <c r="A363">
        <v>20610364226</v>
      </c>
      <c r="B363" t="s">
        <v>602</v>
      </c>
      <c r="C363" t="s">
        <v>109</v>
      </c>
      <c r="D363" t="s">
        <v>603</v>
      </c>
      <c r="F363">
        <v>11</v>
      </c>
    </row>
    <row r="364" spans="1:6" x14ac:dyDescent="0.3">
      <c r="A364">
        <v>20610713115</v>
      </c>
      <c r="B364" t="s">
        <v>604</v>
      </c>
      <c r="C364" t="s">
        <v>109</v>
      </c>
      <c r="D364" t="s">
        <v>605</v>
      </c>
      <c r="F364">
        <v>11</v>
      </c>
    </row>
    <row r="365" spans="1:6" x14ac:dyDescent="0.3">
      <c r="A365">
        <v>20610717331</v>
      </c>
      <c r="B365" t="s">
        <v>606</v>
      </c>
      <c r="C365" t="s">
        <v>109</v>
      </c>
      <c r="D365" t="s">
        <v>607</v>
      </c>
      <c r="F365">
        <v>11</v>
      </c>
    </row>
    <row r="366" spans="1:6" x14ac:dyDescent="0.3">
      <c r="A366">
        <v>20610719717</v>
      </c>
      <c r="B366" t="s">
        <v>608</v>
      </c>
      <c r="C366" t="s">
        <v>109</v>
      </c>
      <c r="D366" t="s">
        <v>558</v>
      </c>
      <c r="F366">
        <v>11</v>
      </c>
    </row>
    <row r="367" spans="1:6" x14ac:dyDescent="0.3">
      <c r="A367">
        <v>20611579447</v>
      </c>
      <c r="B367" t="s">
        <v>609</v>
      </c>
      <c r="F367">
        <v>11</v>
      </c>
    </row>
    <row r="368" spans="1:6" x14ac:dyDescent="0.3">
      <c r="A368">
        <v>20612094862</v>
      </c>
      <c r="B368" t="s">
        <v>610</v>
      </c>
      <c r="F368">
        <v>11</v>
      </c>
    </row>
    <row r="369" spans="1:6" x14ac:dyDescent="0.3">
      <c r="A369">
        <v>20612924920</v>
      </c>
      <c r="B369" t="s">
        <v>611</v>
      </c>
      <c r="F369">
        <v>11</v>
      </c>
    </row>
    <row r="370" spans="1:6" x14ac:dyDescent="0.3">
      <c r="A370">
        <v>20613068245</v>
      </c>
      <c r="B370" t="s">
        <v>612</v>
      </c>
      <c r="F370">
        <v>11</v>
      </c>
    </row>
    <row r="371" spans="1:6" x14ac:dyDescent="0.3">
      <c r="A371">
        <v>20121393736</v>
      </c>
      <c r="B371" t="s">
        <v>225</v>
      </c>
      <c r="F371">
        <v>11</v>
      </c>
    </row>
    <row r="372" spans="1:6" x14ac:dyDescent="0.3">
      <c r="A372">
        <v>20605765824</v>
      </c>
      <c r="B372" t="s">
        <v>613</v>
      </c>
      <c r="F372">
        <v>11</v>
      </c>
    </row>
    <row r="373" spans="1:6" x14ac:dyDescent="0.3">
      <c r="A373">
        <v>20612157457</v>
      </c>
      <c r="B373" t="s">
        <v>614</v>
      </c>
      <c r="F373">
        <v>11</v>
      </c>
    </row>
    <row r="374" spans="1:6" x14ac:dyDescent="0.3">
      <c r="A374">
        <v>20604856745</v>
      </c>
      <c r="B374" t="s">
        <v>534</v>
      </c>
      <c r="F374">
        <v>11</v>
      </c>
    </row>
    <row r="375" spans="1:6" x14ac:dyDescent="0.3">
      <c r="A375">
        <v>20370146994</v>
      </c>
      <c r="B375" t="s">
        <v>615</v>
      </c>
      <c r="F375">
        <v>11</v>
      </c>
    </row>
    <row r="376" spans="1:6" x14ac:dyDescent="0.3">
      <c r="A376">
        <v>20505675836</v>
      </c>
      <c r="B376" t="s">
        <v>346</v>
      </c>
      <c r="F376">
        <v>11</v>
      </c>
    </row>
    <row r="377" spans="1:6" x14ac:dyDescent="0.3">
      <c r="A377">
        <v>20607076783</v>
      </c>
      <c r="B377" t="s">
        <v>616</v>
      </c>
      <c r="F377">
        <v>11</v>
      </c>
    </row>
    <row r="378" spans="1:6" x14ac:dyDescent="0.3">
      <c r="A378">
        <v>20611280999</v>
      </c>
      <c r="B378" t="s">
        <v>617</v>
      </c>
      <c r="C378" t="s">
        <v>109</v>
      </c>
      <c r="D378" t="s">
        <v>618</v>
      </c>
      <c r="F378">
        <v>11</v>
      </c>
    </row>
    <row r="379" spans="1:6" x14ac:dyDescent="0.3">
      <c r="A379">
        <v>20547132158</v>
      </c>
      <c r="B379" t="s">
        <v>619</v>
      </c>
      <c r="F379">
        <v>11</v>
      </c>
    </row>
    <row r="380" spans="1:6" x14ac:dyDescent="0.3">
      <c r="A380">
        <v>20462509236</v>
      </c>
      <c r="B380" t="s">
        <v>620</v>
      </c>
      <c r="F380">
        <v>11</v>
      </c>
    </row>
    <row r="381" spans="1:6" x14ac:dyDescent="0.3">
      <c r="A381">
        <v>20605570829</v>
      </c>
      <c r="B381" t="s">
        <v>621</v>
      </c>
      <c r="F381">
        <v>11</v>
      </c>
    </row>
    <row r="382" spans="1:6" x14ac:dyDescent="0.3">
      <c r="A382">
        <v>20516903113</v>
      </c>
      <c r="B382" t="s">
        <v>622</v>
      </c>
      <c r="F382">
        <v>11</v>
      </c>
    </row>
    <row r="383" spans="1:6" x14ac:dyDescent="0.3">
      <c r="A383">
        <v>20454819137</v>
      </c>
      <c r="B383" t="s">
        <v>623</v>
      </c>
      <c r="C383" t="s">
        <v>109</v>
      </c>
      <c r="D383" t="s">
        <v>624</v>
      </c>
      <c r="F383">
        <v>11</v>
      </c>
    </row>
    <row r="384" spans="1:6" x14ac:dyDescent="0.3">
      <c r="A384">
        <v>20607393037</v>
      </c>
      <c r="B384" t="s">
        <v>625</v>
      </c>
      <c r="F384">
        <v>11</v>
      </c>
    </row>
    <row r="385" spans="1:6" x14ac:dyDescent="0.3">
      <c r="A385">
        <v>20549334874</v>
      </c>
      <c r="B385" t="s">
        <v>626</v>
      </c>
      <c r="C385" t="s">
        <v>62</v>
      </c>
      <c r="D385" t="s">
        <v>627</v>
      </c>
      <c r="F385">
        <v>11</v>
      </c>
    </row>
    <row r="386" spans="1:6" x14ac:dyDescent="0.3">
      <c r="A386">
        <v>20539347226</v>
      </c>
      <c r="B386" t="s">
        <v>628</v>
      </c>
      <c r="C386" t="s">
        <v>62</v>
      </c>
      <c r="D386" t="s">
        <v>629</v>
      </c>
      <c r="F386">
        <v>11</v>
      </c>
    </row>
    <row r="387" spans="1:6" x14ac:dyDescent="0.3">
      <c r="A387">
        <v>20553956324</v>
      </c>
      <c r="B387" t="s">
        <v>630</v>
      </c>
      <c r="F387">
        <v>11</v>
      </c>
    </row>
    <row r="388" spans="1:6" x14ac:dyDescent="0.3">
      <c r="A388">
        <v>20606120657</v>
      </c>
      <c r="B388" t="s">
        <v>631</v>
      </c>
      <c r="C388" t="s">
        <v>109</v>
      </c>
      <c r="D388" t="s">
        <v>632</v>
      </c>
      <c r="F388">
        <v>11</v>
      </c>
    </row>
    <row r="389" spans="1:6" x14ac:dyDescent="0.3">
      <c r="A389">
        <v>20498220062</v>
      </c>
      <c r="B389" t="s">
        <v>633</v>
      </c>
      <c r="F389">
        <v>11</v>
      </c>
    </row>
    <row r="390" spans="1:6" x14ac:dyDescent="0.3">
      <c r="A390">
        <v>20557451537</v>
      </c>
      <c r="B390" t="s">
        <v>634</v>
      </c>
      <c r="C390" t="s">
        <v>109</v>
      </c>
      <c r="D390" t="s">
        <v>635</v>
      </c>
      <c r="F390">
        <v>11</v>
      </c>
    </row>
    <row r="391" spans="1:6" x14ac:dyDescent="0.3">
      <c r="A391">
        <v>20608373731</v>
      </c>
      <c r="B391" t="s">
        <v>636</v>
      </c>
      <c r="F391">
        <v>11</v>
      </c>
    </row>
    <row r="392" spans="1:6" x14ac:dyDescent="0.3">
      <c r="A392">
        <v>20203412038</v>
      </c>
      <c r="B392" t="s">
        <v>637</v>
      </c>
      <c r="F392">
        <v>11</v>
      </c>
    </row>
    <row r="393" spans="1:6" x14ac:dyDescent="0.3">
      <c r="A393">
        <v>20602484344</v>
      </c>
      <c r="B393" t="s">
        <v>638</v>
      </c>
      <c r="C393" t="s">
        <v>109</v>
      </c>
      <c r="D393" t="s">
        <v>639</v>
      </c>
      <c r="F393">
        <v>11</v>
      </c>
    </row>
    <row r="394" spans="1:6" x14ac:dyDescent="0.3">
      <c r="A394">
        <v>20612298808</v>
      </c>
      <c r="B394" t="s">
        <v>640</v>
      </c>
      <c r="C394" t="s">
        <v>109</v>
      </c>
      <c r="D394" t="s">
        <v>641</v>
      </c>
      <c r="F394">
        <v>11</v>
      </c>
    </row>
    <row r="395" spans="1:6" x14ac:dyDescent="0.3">
      <c r="A395">
        <v>10712274218</v>
      </c>
      <c r="B395" t="s">
        <v>642</v>
      </c>
      <c r="F395">
        <v>11</v>
      </c>
    </row>
    <row r="396" spans="1:6" x14ac:dyDescent="0.3">
      <c r="A396">
        <v>20120877055</v>
      </c>
      <c r="B396" t="s">
        <v>643</v>
      </c>
      <c r="F396">
        <v>11</v>
      </c>
    </row>
    <row r="397" spans="1:6" x14ac:dyDescent="0.3">
      <c r="A397">
        <v>20601045835</v>
      </c>
      <c r="B397" t="s">
        <v>644</v>
      </c>
      <c r="F397">
        <v>11</v>
      </c>
    </row>
    <row r="398" spans="1:6" x14ac:dyDescent="0.3">
      <c r="A398">
        <v>20603577079</v>
      </c>
      <c r="B398" t="s">
        <v>645</v>
      </c>
      <c r="F398">
        <v>11</v>
      </c>
    </row>
    <row r="399" spans="1:6" x14ac:dyDescent="0.3">
      <c r="A399">
        <v>20100036101</v>
      </c>
      <c r="B399" t="s">
        <v>646</v>
      </c>
      <c r="C399" t="s">
        <v>109</v>
      </c>
      <c r="D399" t="s">
        <v>647</v>
      </c>
      <c r="F399">
        <v>11</v>
      </c>
    </row>
    <row r="400" spans="1:6" x14ac:dyDescent="0.3">
      <c r="A400">
        <v>20265681299</v>
      </c>
      <c r="B400" t="s">
        <v>648</v>
      </c>
      <c r="F400">
        <v>11</v>
      </c>
    </row>
    <row r="401" spans="1:6" x14ac:dyDescent="0.3">
      <c r="A401">
        <v>20454317468</v>
      </c>
      <c r="B401" t="s">
        <v>649</v>
      </c>
      <c r="F401">
        <v>11</v>
      </c>
    </row>
    <row r="402" spans="1:6" x14ac:dyDescent="0.3">
      <c r="A402">
        <v>10292831973</v>
      </c>
      <c r="B402" t="s">
        <v>650</v>
      </c>
      <c r="F402">
        <v>11</v>
      </c>
    </row>
    <row r="403" spans="1:6" x14ac:dyDescent="0.3">
      <c r="A403">
        <v>10024073951</v>
      </c>
      <c r="B403" t="s">
        <v>651</v>
      </c>
      <c r="C403" t="s">
        <v>62</v>
      </c>
      <c r="D403" t="s">
        <v>652</v>
      </c>
      <c r="F403">
        <v>11</v>
      </c>
    </row>
    <row r="404" spans="1:6" x14ac:dyDescent="0.3">
      <c r="A404">
        <v>20100776562</v>
      </c>
      <c r="B404" t="s">
        <v>653</v>
      </c>
      <c r="F404">
        <v>11</v>
      </c>
    </row>
    <row r="405" spans="1:6" x14ac:dyDescent="0.3">
      <c r="A405">
        <v>20305909611</v>
      </c>
      <c r="B405" t="s">
        <v>654</v>
      </c>
      <c r="F405">
        <v>11</v>
      </c>
    </row>
    <row r="406" spans="1:6" x14ac:dyDescent="0.3">
      <c r="A406">
        <v>10306634351</v>
      </c>
      <c r="B406" t="s">
        <v>655</v>
      </c>
      <c r="C406" t="s">
        <v>62</v>
      </c>
      <c r="D406" t="s">
        <v>656</v>
      </c>
      <c r="F406">
        <v>11</v>
      </c>
    </row>
    <row r="407" spans="1:6" x14ac:dyDescent="0.3">
      <c r="A407">
        <v>20603002190</v>
      </c>
      <c r="B407" t="s">
        <v>657</v>
      </c>
      <c r="F407">
        <v>11</v>
      </c>
    </row>
    <row r="408" spans="1:6" x14ac:dyDescent="0.3">
      <c r="A408">
        <v>15609125303</v>
      </c>
      <c r="B408" t="s">
        <v>658</v>
      </c>
      <c r="F408">
        <v>11</v>
      </c>
    </row>
    <row r="409" spans="1:6" x14ac:dyDescent="0.3">
      <c r="A409">
        <v>20406350178</v>
      </c>
      <c r="B409" t="s">
        <v>263</v>
      </c>
      <c r="F409">
        <v>11</v>
      </c>
    </row>
    <row r="410" spans="1:6" x14ac:dyDescent="0.3">
      <c r="A410">
        <v>20159473148</v>
      </c>
      <c r="B410" t="s">
        <v>659</v>
      </c>
      <c r="F410">
        <v>11</v>
      </c>
    </row>
    <row r="411" spans="1:6" x14ac:dyDescent="0.3">
      <c r="A411">
        <v>20613110586</v>
      </c>
      <c r="B411" t="s">
        <v>660</v>
      </c>
      <c r="F411">
        <v>11</v>
      </c>
    </row>
    <row r="412" spans="1:6" x14ac:dyDescent="0.3">
      <c r="A412">
        <v>20510942559</v>
      </c>
      <c r="B412" t="s">
        <v>661</v>
      </c>
      <c r="C412" t="s">
        <v>109</v>
      </c>
      <c r="D412" t="s">
        <v>662</v>
      </c>
      <c r="F412">
        <v>11</v>
      </c>
    </row>
    <row r="413" spans="1:6" x14ac:dyDescent="0.3">
      <c r="A413">
        <v>20601852927</v>
      </c>
      <c r="B413" t="s">
        <v>663</v>
      </c>
      <c r="F413">
        <v>11</v>
      </c>
    </row>
    <row r="414" spans="1:6" x14ac:dyDescent="0.3">
      <c r="A414">
        <v>20556254177</v>
      </c>
      <c r="B414" t="s">
        <v>664</v>
      </c>
      <c r="F414">
        <v>11</v>
      </c>
    </row>
    <row r="415" spans="1:6" x14ac:dyDescent="0.3">
      <c r="A415">
        <v>20601649315</v>
      </c>
      <c r="B415" t="s">
        <v>665</v>
      </c>
      <c r="F415">
        <v>11</v>
      </c>
    </row>
    <row r="416" spans="1:6" x14ac:dyDescent="0.3">
      <c r="A416">
        <v>20120788389</v>
      </c>
      <c r="B416" t="s">
        <v>666</v>
      </c>
      <c r="F416">
        <v>11</v>
      </c>
    </row>
    <row r="417" spans="1:6" x14ac:dyDescent="0.3">
      <c r="A417">
        <v>10410687491</v>
      </c>
      <c r="B417" t="s">
        <v>667</v>
      </c>
      <c r="C417" t="s">
        <v>62</v>
      </c>
      <c r="D417" t="s">
        <v>668</v>
      </c>
      <c r="F417">
        <v>11</v>
      </c>
    </row>
    <row r="418" spans="1:6" x14ac:dyDescent="0.3">
      <c r="A418">
        <v>20603508387</v>
      </c>
      <c r="B418" t="s">
        <v>669</v>
      </c>
      <c r="F418">
        <v>11</v>
      </c>
    </row>
    <row r="419" spans="1:6" x14ac:dyDescent="0.3">
      <c r="A419">
        <v>20523363337</v>
      </c>
      <c r="B419" t="s">
        <v>670</v>
      </c>
      <c r="F419">
        <v>11</v>
      </c>
    </row>
    <row r="420" spans="1:6" x14ac:dyDescent="0.3">
      <c r="A420">
        <v>20455977330</v>
      </c>
      <c r="B420" t="s">
        <v>671</v>
      </c>
      <c r="F420">
        <v>11</v>
      </c>
    </row>
    <row r="421" spans="1:6" x14ac:dyDescent="0.3">
      <c r="A421">
        <v>10439205666</v>
      </c>
      <c r="B421" t="s">
        <v>672</v>
      </c>
      <c r="F421">
        <v>11</v>
      </c>
    </row>
    <row r="422" spans="1:6" x14ac:dyDescent="0.3">
      <c r="A422">
        <v>20613809261</v>
      </c>
      <c r="B422" t="s">
        <v>673</v>
      </c>
      <c r="F422">
        <v>11</v>
      </c>
    </row>
    <row r="423" spans="1:6" x14ac:dyDescent="0.3">
      <c r="A423">
        <v>20455703558</v>
      </c>
      <c r="B423" t="s">
        <v>674</v>
      </c>
      <c r="F423">
        <v>11</v>
      </c>
    </row>
    <row r="424" spans="1:6" x14ac:dyDescent="0.3">
      <c r="A424">
        <v>20455911401</v>
      </c>
      <c r="B424" t="s">
        <v>675</v>
      </c>
      <c r="C424" t="s">
        <v>109</v>
      </c>
      <c r="D424" t="s">
        <v>676</v>
      </c>
      <c r="F424">
        <v>11</v>
      </c>
    </row>
    <row r="425" spans="1:6" x14ac:dyDescent="0.3">
      <c r="A425">
        <v>20611035072</v>
      </c>
      <c r="B425" t="s">
        <v>677</v>
      </c>
      <c r="F425">
        <v>11</v>
      </c>
    </row>
    <row r="426" spans="1:6" x14ac:dyDescent="0.3">
      <c r="A426">
        <v>10420945511</v>
      </c>
      <c r="B426" t="s">
        <v>678</v>
      </c>
      <c r="F426">
        <v>11</v>
      </c>
    </row>
    <row r="427" spans="1:6" x14ac:dyDescent="0.3">
      <c r="A427">
        <v>20454993757</v>
      </c>
      <c r="B427" t="s">
        <v>679</v>
      </c>
      <c r="F427">
        <v>11</v>
      </c>
    </row>
    <row r="428" spans="1:6" x14ac:dyDescent="0.3">
      <c r="A428">
        <v>10449556327</v>
      </c>
      <c r="B428" t="s">
        <v>680</v>
      </c>
      <c r="F428">
        <v>11</v>
      </c>
    </row>
    <row r="429" spans="1:6" x14ac:dyDescent="0.3">
      <c r="A429">
        <v>20100686814</v>
      </c>
      <c r="B429" t="s">
        <v>681</v>
      </c>
      <c r="F429">
        <v>11</v>
      </c>
    </row>
    <row r="430" spans="1:6" x14ac:dyDescent="0.3">
      <c r="A430">
        <v>20259858934</v>
      </c>
      <c r="B430" t="s">
        <v>682</v>
      </c>
      <c r="F430">
        <v>11</v>
      </c>
    </row>
    <row r="431" spans="1:6" x14ac:dyDescent="0.3">
      <c r="A431">
        <v>20512528458</v>
      </c>
      <c r="B431" t="s">
        <v>683</v>
      </c>
      <c r="F431">
        <v>11</v>
      </c>
    </row>
    <row r="432" spans="1:6" x14ac:dyDescent="0.3">
      <c r="A432">
        <v>20604947520</v>
      </c>
      <c r="B432" t="s">
        <v>684</v>
      </c>
      <c r="F432">
        <v>11</v>
      </c>
    </row>
    <row r="433" spans="1:6" x14ac:dyDescent="0.3">
      <c r="A433">
        <v>20613249762</v>
      </c>
      <c r="B433" t="s">
        <v>685</v>
      </c>
      <c r="F433">
        <v>11</v>
      </c>
    </row>
    <row r="434" spans="1:6" x14ac:dyDescent="0.3">
      <c r="A434">
        <v>20608300393</v>
      </c>
      <c r="B434" t="s">
        <v>686</v>
      </c>
      <c r="F434">
        <v>11</v>
      </c>
    </row>
    <row r="435" spans="1:6" x14ac:dyDescent="0.3">
      <c r="A435">
        <v>20498189637</v>
      </c>
      <c r="B435" t="s">
        <v>687</v>
      </c>
      <c r="F435">
        <v>11</v>
      </c>
    </row>
    <row r="436" spans="1:6" x14ac:dyDescent="0.3">
      <c r="A436">
        <v>20558253861</v>
      </c>
      <c r="B436" t="s">
        <v>688</v>
      </c>
      <c r="F436">
        <v>11</v>
      </c>
    </row>
    <row r="437" spans="1:6" x14ac:dyDescent="0.3">
      <c r="A437">
        <v>20610055487</v>
      </c>
      <c r="B437" t="s">
        <v>689</v>
      </c>
      <c r="F437">
        <v>11</v>
      </c>
    </row>
    <row r="438" spans="1:6" x14ac:dyDescent="0.3">
      <c r="A438">
        <v>20611523450</v>
      </c>
      <c r="B438" t="s">
        <v>690</v>
      </c>
      <c r="C438" t="s">
        <v>287</v>
      </c>
      <c r="D438" t="s">
        <v>691</v>
      </c>
      <c r="F438">
        <v>11</v>
      </c>
    </row>
    <row r="439" spans="1:6" x14ac:dyDescent="0.3">
      <c r="A439">
        <v>10736055631</v>
      </c>
      <c r="B439" t="s">
        <v>692</v>
      </c>
      <c r="C439" t="s">
        <v>109</v>
      </c>
      <c r="D439" t="s">
        <v>693</v>
      </c>
      <c r="F439">
        <v>11</v>
      </c>
    </row>
    <row r="440" spans="1:6" x14ac:dyDescent="0.3">
      <c r="A440">
        <v>20607095788</v>
      </c>
      <c r="B440" t="s">
        <v>694</v>
      </c>
      <c r="F440">
        <v>11</v>
      </c>
    </row>
    <row r="441" spans="1:6" x14ac:dyDescent="0.3">
      <c r="A441">
        <v>20127765279</v>
      </c>
      <c r="B441" t="s">
        <v>695</v>
      </c>
      <c r="F441">
        <v>11</v>
      </c>
    </row>
    <row r="442" spans="1:6" x14ac:dyDescent="0.3">
      <c r="A442">
        <v>20558226979</v>
      </c>
      <c r="B442" t="s">
        <v>425</v>
      </c>
      <c r="F442">
        <v>11</v>
      </c>
    </row>
    <row r="443" spans="1:6" x14ac:dyDescent="0.3">
      <c r="B443" t="s">
        <v>696</v>
      </c>
      <c r="F443">
        <v>0</v>
      </c>
    </row>
    <row r="444" spans="1:6" x14ac:dyDescent="0.3">
      <c r="A444">
        <v>20206432692</v>
      </c>
      <c r="B444" t="s">
        <v>697</v>
      </c>
      <c r="F444">
        <v>11</v>
      </c>
    </row>
    <row r="445" spans="1:6" x14ac:dyDescent="0.3">
      <c r="A445">
        <v>10296347634</v>
      </c>
      <c r="B445" t="s">
        <v>698</v>
      </c>
      <c r="F445">
        <v>11</v>
      </c>
    </row>
    <row r="446" spans="1:6" x14ac:dyDescent="0.3">
      <c r="A446">
        <v>10295590934</v>
      </c>
      <c r="B446" t="s">
        <v>699</v>
      </c>
      <c r="F446">
        <v>11</v>
      </c>
    </row>
    <row r="447" spans="1:6" x14ac:dyDescent="0.3">
      <c r="A447">
        <v>20602519733</v>
      </c>
      <c r="B447" t="s">
        <v>700</v>
      </c>
      <c r="F447">
        <v>11</v>
      </c>
    </row>
    <row r="448" spans="1:6" x14ac:dyDescent="0.3">
      <c r="A448">
        <v>20608422146</v>
      </c>
      <c r="B448" t="s">
        <v>701</v>
      </c>
      <c r="F448">
        <v>11</v>
      </c>
    </row>
    <row r="449" spans="1:6" x14ac:dyDescent="0.3">
      <c r="A449">
        <v>20454073143</v>
      </c>
      <c r="B449" t="s">
        <v>702</v>
      </c>
      <c r="F449">
        <v>11</v>
      </c>
    </row>
    <row r="450" spans="1:6" x14ac:dyDescent="0.3">
      <c r="A450">
        <v>20100188628</v>
      </c>
      <c r="B450" t="s">
        <v>703</v>
      </c>
      <c r="F450">
        <v>11</v>
      </c>
    </row>
    <row r="451" spans="1:6" x14ac:dyDescent="0.3">
      <c r="A451">
        <v>20100152356</v>
      </c>
      <c r="B451" t="s">
        <v>704</v>
      </c>
      <c r="F451">
        <v>11</v>
      </c>
    </row>
    <row r="452" spans="1:6" x14ac:dyDescent="0.3">
      <c r="A452">
        <v>20100017491</v>
      </c>
      <c r="B452" t="s">
        <v>705</v>
      </c>
      <c r="F452">
        <v>11</v>
      </c>
    </row>
    <row r="453" spans="1:6" x14ac:dyDescent="0.3">
      <c r="A453">
        <v>20331898008</v>
      </c>
      <c r="B453" t="s">
        <v>706</v>
      </c>
      <c r="F453">
        <v>11</v>
      </c>
    </row>
    <row r="454" spans="1:6" x14ac:dyDescent="0.3">
      <c r="A454">
        <v>20456127917</v>
      </c>
      <c r="B454" t="s">
        <v>707</v>
      </c>
      <c r="F454">
        <v>11</v>
      </c>
    </row>
    <row r="455" spans="1:6" x14ac:dyDescent="0.3">
      <c r="A455">
        <v>20467534026</v>
      </c>
      <c r="B455" t="s">
        <v>708</v>
      </c>
      <c r="F455">
        <v>11</v>
      </c>
    </row>
    <row r="456" spans="1:6" x14ac:dyDescent="0.3">
      <c r="A456">
        <v>20497420378</v>
      </c>
      <c r="B456" t="s">
        <v>709</v>
      </c>
      <c r="F456">
        <v>11</v>
      </c>
    </row>
    <row r="457" spans="1:6" x14ac:dyDescent="0.3">
      <c r="A457">
        <v>20100211034</v>
      </c>
      <c r="B457" t="s">
        <v>710</v>
      </c>
      <c r="F457">
        <v>11</v>
      </c>
    </row>
    <row r="458" spans="1:6" x14ac:dyDescent="0.3">
      <c r="A458">
        <v>20611251476</v>
      </c>
      <c r="B458" t="s">
        <v>711</v>
      </c>
      <c r="F458">
        <v>11</v>
      </c>
    </row>
    <row r="459" spans="1:6" x14ac:dyDescent="0.3">
      <c r="A459">
        <v>10413461761</v>
      </c>
      <c r="B459" t="s">
        <v>712</v>
      </c>
      <c r="F459">
        <v>11</v>
      </c>
    </row>
    <row r="460" spans="1:6" x14ac:dyDescent="0.3">
      <c r="A460">
        <v>10459427525</v>
      </c>
      <c r="B460" t="s">
        <v>173</v>
      </c>
      <c r="F460">
        <v>11</v>
      </c>
    </row>
    <row r="461" spans="1:6" x14ac:dyDescent="0.3">
      <c r="A461">
        <v>20601981255</v>
      </c>
      <c r="B461" t="s">
        <v>713</v>
      </c>
      <c r="F461">
        <v>11</v>
      </c>
    </row>
    <row r="462" spans="1:6" x14ac:dyDescent="0.3">
      <c r="A462">
        <v>20514464881</v>
      </c>
      <c r="B462" t="s">
        <v>714</v>
      </c>
      <c r="F462">
        <v>11</v>
      </c>
    </row>
    <row r="463" spans="1:6" x14ac:dyDescent="0.3">
      <c r="A463">
        <v>20555236817</v>
      </c>
      <c r="B463" t="s">
        <v>715</v>
      </c>
      <c r="F463">
        <v>11</v>
      </c>
    </row>
    <row r="464" spans="1:6" x14ac:dyDescent="0.3">
      <c r="A464">
        <v>20454427301</v>
      </c>
      <c r="B464" t="s">
        <v>716</v>
      </c>
      <c r="F464">
        <v>11</v>
      </c>
    </row>
    <row r="465" spans="1:6" x14ac:dyDescent="0.3">
      <c r="A465">
        <v>20609947625</v>
      </c>
      <c r="B465" t="s">
        <v>717</v>
      </c>
      <c r="F465">
        <v>11</v>
      </c>
    </row>
    <row r="466" spans="1:6" x14ac:dyDescent="0.3">
      <c r="A466">
        <v>20613022717</v>
      </c>
      <c r="B466" t="s">
        <v>718</v>
      </c>
      <c r="F466">
        <v>11</v>
      </c>
    </row>
    <row r="467" spans="1:6" x14ac:dyDescent="0.3">
      <c r="A467">
        <v>20100241022</v>
      </c>
      <c r="B467" t="s">
        <v>719</v>
      </c>
      <c r="F467">
        <v>11</v>
      </c>
    </row>
    <row r="468" spans="1:6" x14ac:dyDescent="0.3">
      <c r="A468">
        <v>20455690715</v>
      </c>
      <c r="B468" t="s">
        <v>720</v>
      </c>
      <c r="F468">
        <v>11</v>
      </c>
    </row>
    <row r="469" spans="1:6" x14ac:dyDescent="0.3">
      <c r="A469">
        <v>20563371995</v>
      </c>
      <c r="B469" t="s">
        <v>442</v>
      </c>
      <c r="F469">
        <v>11</v>
      </c>
    </row>
    <row r="470" spans="1:6" x14ac:dyDescent="0.3">
      <c r="A470">
        <v>20603100710</v>
      </c>
      <c r="B470" t="s">
        <v>721</v>
      </c>
      <c r="F470">
        <v>11</v>
      </c>
    </row>
    <row r="471" spans="1:6" x14ac:dyDescent="0.3">
      <c r="A471">
        <v>10402383548</v>
      </c>
      <c r="B471" t="s">
        <v>722</v>
      </c>
      <c r="F471">
        <v>11</v>
      </c>
    </row>
    <row r="472" spans="1:6" x14ac:dyDescent="0.3">
      <c r="A472">
        <v>20613579941</v>
      </c>
      <c r="B472" t="s">
        <v>723</v>
      </c>
      <c r="F472">
        <v>11</v>
      </c>
    </row>
    <row r="473" spans="1:6" x14ac:dyDescent="0.3">
      <c r="A473">
        <v>20558275082</v>
      </c>
      <c r="B473" t="s">
        <v>724</v>
      </c>
      <c r="C473" t="s">
        <v>109</v>
      </c>
      <c r="D473" t="s">
        <v>725</v>
      </c>
      <c r="F473">
        <v>11</v>
      </c>
    </row>
    <row r="474" spans="1:6" x14ac:dyDescent="0.3">
      <c r="A474">
        <v>20601423058</v>
      </c>
      <c r="B474" t="s">
        <v>726</v>
      </c>
      <c r="F474">
        <v>11</v>
      </c>
    </row>
    <row r="475" spans="1:6" x14ac:dyDescent="0.3">
      <c r="A475">
        <v>20556463680</v>
      </c>
      <c r="B475" t="s">
        <v>727</v>
      </c>
      <c r="F475">
        <v>11</v>
      </c>
    </row>
    <row r="476" spans="1:6" x14ac:dyDescent="0.3">
      <c r="A476">
        <v>20602258964</v>
      </c>
      <c r="B476" t="s">
        <v>728</v>
      </c>
      <c r="F476">
        <v>11</v>
      </c>
    </row>
    <row r="477" spans="1:6" x14ac:dyDescent="0.3">
      <c r="A477">
        <v>20456141235</v>
      </c>
      <c r="B477" t="s">
        <v>729</v>
      </c>
      <c r="F477">
        <v>11</v>
      </c>
    </row>
    <row r="478" spans="1:6" x14ac:dyDescent="0.3">
      <c r="A478">
        <v>20612973530</v>
      </c>
      <c r="B478" t="s">
        <v>730</v>
      </c>
      <c r="C478" t="s">
        <v>287</v>
      </c>
      <c r="D478" t="s">
        <v>731</v>
      </c>
      <c r="F478">
        <v>11</v>
      </c>
    </row>
    <row r="479" spans="1:6" x14ac:dyDescent="0.3">
      <c r="A479">
        <v>20613845080</v>
      </c>
      <c r="B479" t="s">
        <v>732</v>
      </c>
      <c r="F479">
        <v>11</v>
      </c>
    </row>
    <row r="480" spans="1:6" x14ac:dyDescent="0.3">
      <c r="A480">
        <v>20600781708</v>
      </c>
      <c r="B480" t="s">
        <v>733</v>
      </c>
      <c r="F480">
        <v>11</v>
      </c>
    </row>
    <row r="481" spans="1:6" x14ac:dyDescent="0.3">
      <c r="A481">
        <v>10296709986</v>
      </c>
      <c r="B481" t="s">
        <v>734</v>
      </c>
      <c r="F481">
        <v>11</v>
      </c>
    </row>
    <row r="482" spans="1:6" x14ac:dyDescent="0.3">
      <c r="A482">
        <v>20514148539</v>
      </c>
      <c r="B482" t="s">
        <v>735</v>
      </c>
      <c r="F482">
        <v>11</v>
      </c>
    </row>
    <row r="483" spans="1:6" x14ac:dyDescent="0.3">
      <c r="A483">
        <v>10488566038</v>
      </c>
      <c r="B483" t="s">
        <v>736</v>
      </c>
      <c r="F483">
        <v>11</v>
      </c>
    </row>
    <row r="484" spans="1:6" x14ac:dyDescent="0.3">
      <c r="A484">
        <v>20559169774</v>
      </c>
      <c r="B484" t="s">
        <v>737</v>
      </c>
      <c r="F484">
        <v>11</v>
      </c>
    </row>
    <row r="485" spans="1:6" x14ac:dyDescent="0.3">
      <c r="A485">
        <v>20454726473</v>
      </c>
      <c r="B485" t="s">
        <v>738</v>
      </c>
      <c r="F485">
        <v>11</v>
      </c>
    </row>
    <row r="486" spans="1:6" x14ac:dyDescent="0.3">
      <c r="A486">
        <v>20601833191</v>
      </c>
      <c r="B486" t="s">
        <v>739</v>
      </c>
      <c r="F486">
        <v>11</v>
      </c>
    </row>
    <row r="487" spans="1:6" x14ac:dyDescent="0.3">
      <c r="A487">
        <v>20604615594</v>
      </c>
      <c r="B487" t="s">
        <v>740</v>
      </c>
      <c r="F487">
        <v>11</v>
      </c>
    </row>
    <row r="488" spans="1:6" x14ac:dyDescent="0.3">
      <c r="A488">
        <v>10802636143</v>
      </c>
      <c r="B488" t="s">
        <v>741</v>
      </c>
      <c r="F488">
        <v>11</v>
      </c>
    </row>
    <row r="489" spans="1:6" x14ac:dyDescent="0.3">
      <c r="A489">
        <v>20100210909</v>
      </c>
      <c r="B489" t="s">
        <v>742</v>
      </c>
      <c r="F489">
        <v>11</v>
      </c>
    </row>
    <row r="490" spans="1:6" x14ac:dyDescent="0.3">
      <c r="A490">
        <v>10079422555</v>
      </c>
      <c r="B490" t="s">
        <v>743</v>
      </c>
      <c r="F490">
        <v>11</v>
      </c>
    </row>
    <row r="491" spans="1:6" x14ac:dyDescent="0.3">
      <c r="A491">
        <v>10721686952</v>
      </c>
      <c r="B491" t="s">
        <v>744</v>
      </c>
      <c r="F491">
        <v>11</v>
      </c>
    </row>
    <row r="492" spans="1:6" x14ac:dyDescent="0.3">
      <c r="A492">
        <v>10467546291</v>
      </c>
      <c r="B492" t="s">
        <v>745</v>
      </c>
      <c r="F492">
        <v>11</v>
      </c>
    </row>
    <row r="493" spans="1:6" x14ac:dyDescent="0.3">
      <c r="A493">
        <v>10764319872</v>
      </c>
      <c r="B493" t="s">
        <v>746</v>
      </c>
      <c r="F493">
        <v>11</v>
      </c>
    </row>
    <row r="494" spans="1:6" x14ac:dyDescent="0.3">
      <c r="A494">
        <v>10446328129</v>
      </c>
      <c r="B494" t="s">
        <v>747</v>
      </c>
      <c r="F494">
        <v>11</v>
      </c>
    </row>
    <row r="495" spans="1:6" x14ac:dyDescent="0.3">
      <c r="A495">
        <v>10732475341</v>
      </c>
      <c r="B495" t="s">
        <v>748</v>
      </c>
      <c r="F495">
        <v>11</v>
      </c>
    </row>
    <row r="496" spans="1:6" x14ac:dyDescent="0.3">
      <c r="A496">
        <v>10465385753</v>
      </c>
      <c r="B496" t="s">
        <v>749</v>
      </c>
      <c r="F496">
        <v>11</v>
      </c>
    </row>
    <row r="497" spans="1:6" x14ac:dyDescent="0.3">
      <c r="A497">
        <v>10439773583</v>
      </c>
      <c r="B497" t="s">
        <v>750</v>
      </c>
      <c r="F497">
        <v>11</v>
      </c>
    </row>
    <row r="498" spans="1:6" x14ac:dyDescent="0.3">
      <c r="A498">
        <v>10418721435</v>
      </c>
      <c r="B498" t="s">
        <v>751</v>
      </c>
      <c r="F498">
        <v>11</v>
      </c>
    </row>
    <row r="499" spans="1:6" x14ac:dyDescent="0.3">
      <c r="A499">
        <v>10403402562</v>
      </c>
      <c r="B499" t="s">
        <v>752</v>
      </c>
      <c r="F499">
        <v>11</v>
      </c>
    </row>
    <row r="500" spans="1:6" x14ac:dyDescent="0.3">
      <c r="A500">
        <v>10295272771</v>
      </c>
      <c r="B500" t="s">
        <v>753</v>
      </c>
      <c r="F500">
        <v>11</v>
      </c>
    </row>
    <row r="501" spans="1:6" x14ac:dyDescent="0.3">
      <c r="A501">
        <v>10723875914</v>
      </c>
      <c r="B501" t="s">
        <v>754</v>
      </c>
      <c r="F501">
        <v>11</v>
      </c>
    </row>
    <row r="502" spans="1:6" x14ac:dyDescent="0.3">
      <c r="A502">
        <v>10445513160</v>
      </c>
      <c r="B502" t="s">
        <v>755</v>
      </c>
      <c r="F502">
        <v>11</v>
      </c>
    </row>
    <row r="503" spans="1:6" x14ac:dyDescent="0.3">
      <c r="A503">
        <v>10450776578</v>
      </c>
      <c r="B503" t="s">
        <v>756</v>
      </c>
      <c r="C503" t="s">
        <v>62</v>
      </c>
      <c r="D503" t="s">
        <v>757</v>
      </c>
      <c r="F503">
        <v>11</v>
      </c>
    </row>
    <row r="504" spans="1:6" x14ac:dyDescent="0.3">
      <c r="A504">
        <v>10107341655</v>
      </c>
      <c r="B504" t="s">
        <v>758</v>
      </c>
      <c r="F504">
        <v>11</v>
      </c>
    </row>
    <row r="505" spans="1:6" x14ac:dyDescent="0.3">
      <c r="A505">
        <v>10108661343</v>
      </c>
      <c r="B505" t="s">
        <v>759</v>
      </c>
      <c r="F505">
        <v>11</v>
      </c>
    </row>
    <row r="506" spans="1:6" x14ac:dyDescent="0.3">
      <c r="A506">
        <v>10417098041</v>
      </c>
      <c r="B506" t="s">
        <v>760</v>
      </c>
      <c r="F506">
        <v>11</v>
      </c>
    </row>
    <row r="507" spans="1:6" x14ac:dyDescent="0.3">
      <c r="A507">
        <v>10100554785</v>
      </c>
      <c r="B507" t="s">
        <v>761</v>
      </c>
      <c r="F507">
        <v>11</v>
      </c>
    </row>
    <row r="508" spans="1:6" x14ac:dyDescent="0.3">
      <c r="A508">
        <v>10723875914</v>
      </c>
      <c r="B508" t="s">
        <v>762</v>
      </c>
      <c r="F508">
        <v>11</v>
      </c>
    </row>
    <row r="509" spans="1:6" x14ac:dyDescent="0.3">
      <c r="A509">
        <v>10763176024</v>
      </c>
      <c r="B509" t="s">
        <v>763</v>
      </c>
      <c r="F509">
        <v>11</v>
      </c>
    </row>
    <row r="510" spans="1:6" x14ac:dyDescent="0.3">
      <c r="A510">
        <v>10776879377</v>
      </c>
      <c r="B510" t="s">
        <v>764</v>
      </c>
      <c r="F510">
        <v>11</v>
      </c>
    </row>
    <row r="511" spans="1:6" x14ac:dyDescent="0.3">
      <c r="A511">
        <v>10293945131</v>
      </c>
      <c r="B511" t="s">
        <v>765</v>
      </c>
      <c r="F511">
        <v>11</v>
      </c>
    </row>
    <row r="512" spans="1:6" x14ac:dyDescent="0.3">
      <c r="A512">
        <v>10757669302</v>
      </c>
      <c r="B512" t="s">
        <v>766</v>
      </c>
      <c r="F512">
        <v>11</v>
      </c>
    </row>
    <row r="513" spans="1:6" x14ac:dyDescent="0.3">
      <c r="A513">
        <v>10463423615</v>
      </c>
      <c r="B513" t="s">
        <v>767</v>
      </c>
      <c r="F513">
        <v>11</v>
      </c>
    </row>
    <row r="514" spans="1:6" x14ac:dyDescent="0.3">
      <c r="A514">
        <v>10461331977</v>
      </c>
      <c r="B514" t="s">
        <v>768</v>
      </c>
      <c r="F514">
        <v>11</v>
      </c>
    </row>
    <row r="515" spans="1:6" x14ac:dyDescent="0.3">
      <c r="A515">
        <v>10721686952</v>
      </c>
      <c r="B515" t="s">
        <v>769</v>
      </c>
      <c r="F515">
        <v>11</v>
      </c>
    </row>
    <row r="516" spans="1:6" x14ac:dyDescent="0.3">
      <c r="A516">
        <v>10757669302</v>
      </c>
      <c r="B516" t="s">
        <v>766</v>
      </c>
      <c r="F516">
        <v>11</v>
      </c>
    </row>
    <row r="517" spans="1:6" x14ac:dyDescent="0.3">
      <c r="A517">
        <v>10432627204</v>
      </c>
      <c r="B517" t="s">
        <v>770</v>
      </c>
      <c r="F517">
        <v>11</v>
      </c>
    </row>
    <row r="518" spans="1:6" x14ac:dyDescent="0.3">
      <c r="A518">
        <v>10402176526</v>
      </c>
      <c r="B518" t="s">
        <v>771</v>
      </c>
      <c r="F518">
        <v>11</v>
      </c>
    </row>
    <row r="519" spans="1:6" x14ac:dyDescent="0.3">
      <c r="A519">
        <v>10749746225</v>
      </c>
      <c r="B519" t="s">
        <v>772</v>
      </c>
      <c r="F519">
        <v>11</v>
      </c>
    </row>
    <row r="520" spans="1:6" x14ac:dyDescent="0.3">
      <c r="A520">
        <v>10434981315</v>
      </c>
      <c r="B520" t="s">
        <v>773</v>
      </c>
      <c r="F520">
        <v>11</v>
      </c>
    </row>
    <row r="521" spans="1:6" x14ac:dyDescent="0.3">
      <c r="A521">
        <v>10413506536</v>
      </c>
      <c r="B521" t="s">
        <v>774</v>
      </c>
      <c r="F521">
        <v>11</v>
      </c>
    </row>
    <row r="522" spans="1:6" x14ac:dyDescent="0.3">
      <c r="A522">
        <v>20454537743</v>
      </c>
      <c r="B522" t="s">
        <v>775</v>
      </c>
      <c r="F522">
        <v>11</v>
      </c>
    </row>
    <row r="523" spans="1:6" x14ac:dyDescent="0.3">
      <c r="A523">
        <v>20601775051</v>
      </c>
      <c r="B523" t="s">
        <v>776</v>
      </c>
      <c r="F523">
        <v>11</v>
      </c>
    </row>
    <row r="524" spans="1:6" x14ac:dyDescent="0.3">
      <c r="A524">
        <v>10297014752</v>
      </c>
      <c r="B524" t="s">
        <v>777</v>
      </c>
      <c r="F524">
        <v>11</v>
      </c>
    </row>
    <row r="525" spans="1:6" x14ac:dyDescent="0.3">
      <c r="A525">
        <v>20375361991</v>
      </c>
      <c r="B525" t="s">
        <v>778</v>
      </c>
      <c r="F525">
        <v>11</v>
      </c>
    </row>
    <row r="526" spans="1:6" x14ac:dyDescent="0.3">
      <c r="A526">
        <v>88888888</v>
      </c>
      <c r="B526" t="s">
        <v>779</v>
      </c>
      <c r="F526">
        <v>8</v>
      </c>
    </row>
    <row r="527" spans="1:6" x14ac:dyDescent="0.3">
      <c r="A527">
        <v>20154489895</v>
      </c>
      <c r="B527" t="s">
        <v>780</v>
      </c>
      <c r="F527">
        <v>11</v>
      </c>
    </row>
    <row r="528" spans="1:6" x14ac:dyDescent="0.3">
      <c r="A528">
        <v>20327998413</v>
      </c>
      <c r="B528" t="s">
        <v>781</v>
      </c>
      <c r="F528">
        <v>11</v>
      </c>
    </row>
    <row r="529" spans="1:6" x14ac:dyDescent="0.3">
      <c r="A529">
        <v>20612108651</v>
      </c>
      <c r="B529" t="s">
        <v>782</v>
      </c>
      <c r="C529" t="s">
        <v>287</v>
      </c>
      <c r="D529" t="s">
        <v>783</v>
      </c>
      <c r="F529">
        <v>11</v>
      </c>
    </row>
    <row r="530" spans="1:6" x14ac:dyDescent="0.3">
      <c r="A530">
        <v>20611593920</v>
      </c>
      <c r="B530" t="s">
        <v>784</v>
      </c>
      <c r="C530" t="s">
        <v>109</v>
      </c>
      <c r="D530" t="s">
        <v>785</v>
      </c>
      <c r="F530">
        <v>11</v>
      </c>
    </row>
    <row r="531" spans="1:6" x14ac:dyDescent="0.3">
      <c r="A531">
        <v>49061773</v>
      </c>
      <c r="B531" t="s">
        <v>786</v>
      </c>
      <c r="C531" t="s">
        <v>62</v>
      </c>
      <c r="F531">
        <v>8</v>
      </c>
    </row>
    <row r="532" spans="1:6" x14ac:dyDescent="0.3">
      <c r="A532">
        <v>75839230</v>
      </c>
      <c r="B532" t="s">
        <v>787</v>
      </c>
      <c r="C532" t="s">
        <v>62</v>
      </c>
      <c r="F532">
        <v>8</v>
      </c>
    </row>
    <row r="533" spans="1:6" x14ac:dyDescent="0.3">
      <c r="A533">
        <v>73238347</v>
      </c>
      <c r="B533" t="s">
        <v>788</v>
      </c>
      <c r="C533" t="s">
        <v>62</v>
      </c>
      <c r="D533" t="s">
        <v>789</v>
      </c>
      <c r="F533">
        <v>8</v>
      </c>
    </row>
    <row r="534" spans="1:6" x14ac:dyDescent="0.3">
      <c r="A534">
        <v>72169020</v>
      </c>
      <c r="B534" t="s">
        <v>790</v>
      </c>
      <c r="C534" t="s">
        <v>62</v>
      </c>
      <c r="D534" t="s">
        <v>791</v>
      </c>
      <c r="F534">
        <v>8</v>
      </c>
    </row>
    <row r="535" spans="1:6" x14ac:dyDescent="0.3">
      <c r="A535">
        <v>76247615</v>
      </c>
      <c r="B535" t="s">
        <v>792</v>
      </c>
      <c r="C535" t="s">
        <v>62</v>
      </c>
      <c r="F535">
        <v>8</v>
      </c>
    </row>
    <row r="536" spans="1:6" x14ac:dyDescent="0.3">
      <c r="A536">
        <v>71244177</v>
      </c>
      <c r="B536" t="s">
        <v>793</v>
      </c>
      <c r="C536" t="s">
        <v>62</v>
      </c>
      <c r="F536">
        <v>8</v>
      </c>
    </row>
    <row r="537" spans="1:6" x14ac:dyDescent="0.3">
      <c r="A537">
        <v>76404353</v>
      </c>
      <c r="B537" t="s">
        <v>794</v>
      </c>
      <c r="C537" t="s">
        <v>62</v>
      </c>
      <c r="F537">
        <v>8</v>
      </c>
    </row>
    <row r="538" spans="1:6" x14ac:dyDescent="0.3">
      <c r="A538">
        <v>48164743</v>
      </c>
      <c r="B538" t="s">
        <v>795</v>
      </c>
      <c r="C538" t="s">
        <v>62</v>
      </c>
      <c r="D538" t="s">
        <v>796</v>
      </c>
      <c r="F538">
        <v>8</v>
      </c>
    </row>
    <row r="539" spans="1:6" x14ac:dyDescent="0.3">
      <c r="A539">
        <v>71942040</v>
      </c>
      <c r="B539" t="s">
        <v>797</v>
      </c>
      <c r="C539" t="s">
        <v>62</v>
      </c>
      <c r="F539">
        <v>8</v>
      </c>
    </row>
    <row r="540" spans="1:6" x14ac:dyDescent="0.3">
      <c r="A540">
        <v>40192097</v>
      </c>
      <c r="B540" t="s">
        <v>798</v>
      </c>
      <c r="C540" t="s">
        <v>62</v>
      </c>
      <c r="D540" t="s">
        <v>799</v>
      </c>
      <c r="F540">
        <v>8</v>
      </c>
    </row>
    <row r="541" spans="1:6" x14ac:dyDescent="0.3">
      <c r="A541">
        <v>41603113</v>
      </c>
      <c r="B541" t="s">
        <v>800</v>
      </c>
      <c r="C541" t="s">
        <v>62</v>
      </c>
      <c r="F541">
        <v>8</v>
      </c>
    </row>
    <row r="542" spans="1:6" x14ac:dyDescent="0.3">
      <c r="A542">
        <v>75247670</v>
      </c>
      <c r="B542" t="s">
        <v>801</v>
      </c>
      <c r="C542" t="s">
        <v>62</v>
      </c>
      <c r="F542">
        <v>8</v>
      </c>
    </row>
    <row r="543" spans="1:6" x14ac:dyDescent="0.3">
      <c r="A543">
        <v>44211654</v>
      </c>
      <c r="B543" t="s">
        <v>802</v>
      </c>
      <c r="C543" t="s">
        <v>62</v>
      </c>
      <c r="D543" t="s">
        <v>803</v>
      </c>
      <c r="F543">
        <v>8</v>
      </c>
    </row>
    <row r="544" spans="1:6" x14ac:dyDescent="0.3">
      <c r="A544">
        <v>74078793</v>
      </c>
      <c r="B544" t="s">
        <v>804</v>
      </c>
      <c r="C544" t="s">
        <v>62</v>
      </c>
      <c r="D544" t="s">
        <v>805</v>
      </c>
      <c r="F544">
        <v>8</v>
      </c>
    </row>
    <row r="545" spans="1:6" x14ac:dyDescent="0.3">
      <c r="A545">
        <v>44162989</v>
      </c>
      <c r="B545" t="s">
        <v>806</v>
      </c>
      <c r="C545" t="s">
        <v>62</v>
      </c>
      <c r="D545" t="s">
        <v>807</v>
      </c>
      <c r="F545">
        <v>8</v>
      </c>
    </row>
    <row r="546" spans="1:6" x14ac:dyDescent="0.3">
      <c r="A546">
        <v>76593892</v>
      </c>
      <c r="B546" t="s">
        <v>808</v>
      </c>
      <c r="C546" t="s">
        <v>62</v>
      </c>
      <c r="F546">
        <v>8</v>
      </c>
    </row>
    <row r="547" spans="1:6" x14ac:dyDescent="0.3">
      <c r="A547">
        <v>45286301</v>
      </c>
      <c r="B547" t="s">
        <v>809</v>
      </c>
      <c r="C547" t="s">
        <v>62</v>
      </c>
      <c r="D547" t="s">
        <v>810</v>
      </c>
      <c r="F547">
        <v>8</v>
      </c>
    </row>
    <row r="548" spans="1:6" x14ac:dyDescent="0.3">
      <c r="A548">
        <v>76593893</v>
      </c>
      <c r="B548" t="s">
        <v>811</v>
      </c>
      <c r="C548" t="s">
        <v>62</v>
      </c>
      <c r="F548">
        <v>8</v>
      </c>
    </row>
    <row r="549" spans="1:6" x14ac:dyDescent="0.3">
      <c r="A549">
        <v>73444362</v>
      </c>
      <c r="B549" t="s">
        <v>812</v>
      </c>
      <c r="C549" t="s">
        <v>62</v>
      </c>
      <c r="D549" t="s">
        <v>813</v>
      </c>
      <c r="F549">
        <v>8</v>
      </c>
    </row>
    <row r="550" spans="1:6" x14ac:dyDescent="0.3">
      <c r="A550">
        <v>76801729</v>
      </c>
      <c r="B550" t="s">
        <v>814</v>
      </c>
      <c r="C550" t="s">
        <v>62</v>
      </c>
      <c r="F550">
        <v>8</v>
      </c>
    </row>
    <row r="551" spans="1:6" x14ac:dyDescent="0.3">
      <c r="A551">
        <v>46165045</v>
      </c>
      <c r="B551" t="s">
        <v>815</v>
      </c>
      <c r="C551" t="s">
        <v>62</v>
      </c>
      <c r="F551">
        <v>8</v>
      </c>
    </row>
    <row r="552" spans="1:6" x14ac:dyDescent="0.3">
      <c r="A552">
        <v>3080300</v>
      </c>
      <c r="B552" t="s">
        <v>816</v>
      </c>
      <c r="C552" t="s">
        <v>62</v>
      </c>
      <c r="D552" t="s">
        <v>817</v>
      </c>
      <c r="F552">
        <v>7</v>
      </c>
    </row>
    <row r="553" spans="1:6" x14ac:dyDescent="0.3">
      <c r="A553">
        <v>71787683</v>
      </c>
      <c r="B553" t="s">
        <v>818</v>
      </c>
      <c r="C553" t="s">
        <v>62</v>
      </c>
      <c r="D553" t="s">
        <v>819</v>
      </c>
      <c r="F553">
        <v>8</v>
      </c>
    </row>
    <row r="554" spans="1:6" x14ac:dyDescent="0.3">
      <c r="A554">
        <v>75424672</v>
      </c>
      <c r="B554" t="s">
        <v>820</v>
      </c>
      <c r="C554" t="s">
        <v>62</v>
      </c>
      <c r="D554" t="s">
        <v>821</v>
      </c>
      <c r="F554">
        <v>8</v>
      </c>
    </row>
    <row r="555" spans="1:6" x14ac:dyDescent="0.3">
      <c r="A555">
        <v>73880313</v>
      </c>
      <c r="B555" t="s">
        <v>822</v>
      </c>
      <c r="C555" t="s">
        <v>62</v>
      </c>
      <c r="D555" t="s">
        <v>823</v>
      </c>
      <c r="F555">
        <v>8</v>
      </c>
    </row>
    <row r="556" spans="1:6" x14ac:dyDescent="0.3">
      <c r="A556">
        <v>44094323</v>
      </c>
      <c r="B556" t="s">
        <v>824</v>
      </c>
      <c r="C556" t="s">
        <v>62</v>
      </c>
      <c r="F556">
        <v>8</v>
      </c>
    </row>
    <row r="557" spans="1:6" x14ac:dyDescent="0.3">
      <c r="A557">
        <v>46799833</v>
      </c>
      <c r="B557" t="s">
        <v>825</v>
      </c>
      <c r="C557" t="s">
        <v>62</v>
      </c>
      <c r="D557" t="s">
        <v>826</v>
      </c>
      <c r="F557">
        <v>8</v>
      </c>
    </row>
    <row r="558" spans="1:6" x14ac:dyDescent="0.3">
      <c r="A558">
        <v>74600892</v>
      </c>
      <c r="B558" t="s">
        <v>827</v>
      </c>
      <c r="C558" t="s">
        <v>62</v>
      </c>
      <c r="D558" t="s">
        <v>828</v>
      </c>
      <c r="F558">
        <v>8</v>
      </c>
    </row>
    <row r="559" spans="1:6" x14ac:dyDescent="0.3">
      <c r="A559">
        <v>70198916</v>
      </c>
      <c r="B559" t="s">
        <v>829</v>
      </c>
      <c r="C559" t="s">
        <v>62</v>
      </c>
      <c r="D559" t="s">
        <v>830</v>
      </c>
      <c r="F559">
        <v>8</v>
      </c>
    </row>
    <row r="560" spans="1:6" x14ac:dyDescent="0.3">
      <c r="A560">
        <v>48310263</v>
      </c>
      <c r="B560" t="s">
        <v>831</v>
      </c>
      <c r="C560" t="s">
        <v>62</v>
      </c>
      <c r="F560">
        <v>8</v>
      </c>
    </row>
    <row r="561" spans="1:6" x14ac:dyDescent="0.3">
      <c r="A561">
        <v>45555401</v>
      </c>
      <c r="B561" t="s">
        <v>832</v>
      </c>
      <c r="C561" t="s">
        <v>62</v>
      </c>
      <c r="F561">
        <v>8</v>
      </c>
    </row>
    <row r="562" spans="1:6" x14ac:dyDescent="0.3">
      <c r="A562">
        <v>75167252</v>
      </c>
      <c r="B562" t="s">
        <v>833</v>
      </c>
      <c r="C562" t="s">
        <v>62</v>
      </c>
      <c r="F562">
        <v>8</v>
      </c>
    </row>
    <row r="563" spans="1:6" x14ac:dyDescent="0.3">
      <c r="A563">
        <v>1149022</v>
      </c>
      <c r="B563" t="s">
        <v>834</v>
      </c>
      <c r="C563" t="s">
        <v>62</v>
      </c>
      <c r="F563">
        <v>7</v>
      </c>
    </row>
    <row r="564" spans="1:6" x14ac:dyDescent="0.3">
      <c r="A564">
        <v>76810278</v>
      </c>
      <c r="B564" t="s">
        <v>835</v>
      </c>
      <c r="C564" t="s">
        <v>62</v>
      </c>
      <c r="F564">
        <v>8</v>
      </c>
    </row>
    <row r="565" spans="1:6" x14ac:dyDescent="0.3">
      <c r="A565">
        <v>44468346</v>
      </c>
      <c r="B565" t="s">
        <v>836</v>
      </c>
      <c r="C565" t="s">
        <v>62</v>
      </c>
      <c r="D565" t="s">
        <v>837</v>
      </c>
      <c r="F565">
        <v>8</v>
      </c>
    </row>
    <row r="566" spans="1:6" x14ac:dyDescent="0.3">
      <c r="A566">
        <v>46232635</v>
      </c>
      <c r="B566" t="s">
        <v>838</v>
      </c>
      <c r="C566" t="s">
        <v>62</v>
      </c>
      <c r="F566">
        <v>8</v>
      </c>
    </row>
    <row r="567" spans="1:6" x14ac:dyDescent="0.3">
      <c r="A567">
        <v>48657701</v>
      </c>
      <c r="B567" t="s">
        <v>839</v>
      </c>
      <c r="C567" t="s">
        <v>62</v>
      </c>
      <c r="F567">
        <v>8</v>
      </c>
    </row>
    <row r="568" spans="1:6" x14ac:dyDescent="0.3">
      <c r="A568">
        <v>73268512</v>
      </c>
      <c r="B568" t="s">
        <v>840</v>
      </c>
      <c r="C568" t="s">
        <v>62</v>
      </c>
      <c r="F568">
        <v>8</v>
      </c>
    </row>
    <row r="569" spans="1:6" x14ac:dyDescent="0.3">
      <c r="A569">
        <v>73268512</v>
      </c>
      <c r="B569" t="s">
        <v>841</v>
      </c>
      <c r="C569" t="s">
        <v>62</v>
      </c>
      <c r="F569">
        <v>8</v>
      </c>
    </row>
    <row r="570" spans="1:6" x14ac:dyDescent="0.3">
      <c r="A570">
        <v>70834632</v>
      </c>
      <c r="B570" t="s">
        <v>842</v>
      </c>
      <c r="C570" t="s">
        <v>62</v>
      </c>
      <c r="F570">
        <v>8</v>
      </c>
    </row>
    <row r="571" spans="1:6" x14ac:dyDescent="0.3">
      <c r="A571">
        <v>75419679</v>
      </c>
      <c r="B571" t="s">
        <v>843</v>
      </c>
      <c r="C571" t="s">
        <v>62</v>
      </c>
      <c r="D571" t="s">
        <v>844</v>
      </c>
      <c r="F571">
        <v>8</v>
      </c>
    </row>
    <row r="572" spans="1:6" x14ac:dyDescent="0.3">
      <c r="A572">
        <v>3314131</v>
      </c>
      <c r="B572" t="s">
        <v>845</v>
      </c>
      <c r="C572" t="s">
        <v>62</v>
      </c>
      <c r="D572" t="s">
        <v>846</v>
      </c>
      <c r="F572">
        <v>7</v>
      </c>
    </row>
    <row r="573" spans="1:6" x14ac:dyDescent="0.3">
      <c r="A573">
        <v>76301642</v>
      </c>
      <c r="B573" t="s">
        <v>847</v>
      </c>
      <c r="C573" t="s">
        <v>62</v>
      </c>
      <c r="F573">
        <v>8</v>
      </c>
    </row>
    <row r="574" spans="1:6" x14ac:dyDescent="0.3">
      <c r="A574">
        <v>76301642</v>
      </c>
      <c r="B574" t="s">
        <v>847</v>
      </c>
      <c r="C574" t="s">
        <v>62</v>
      </c>
      <c r="F574">
        <v>8</v>
      </c>
    </row>
    <row r="575" spans="1:6" x14ac:dyDescent="0.3">
      <c r="A575">
        <v>40148189</v>
      </c>
      <c r="B575" t="s">
        <v>848</v>
      </c>
      <c r="C575" t="s">
        <v>62</v>
      </c>
      <c r="F575">
        <v>8</v>
      </c>
    </row>
    <row r="576" spans="1:6" x14ac:dyDescent="0.3">
      <c r="A576">
        <v>73666708</v>
      </c>
      <c r="B576" t="s">
        <v>849</v>
      </c>
      <c r="C576" t="s">
        <v>62</v>
      </c>
      <c r="F576">
        <v>8</v>
      </c>
    </row>
    <row r="577" spans="1:6" x14ac:dyDescent="0.3">
      <c r="A577">
        <v>73649810</v>
      </c>
      <c r="B577" t="s">
        <v>850</v>
      </c>
      <c r="C577" t="s">
        <v>62</v>
      </c>
      <c r="F577">
        <v>8</v>
      </c>
    </row>
    <row r="578" spans="1:6" x14ac:dyDescent="0.3">
      <c r="A578">
        <v>71625644</v>
      </c>
      <c r="B578" t="s">
        <v>851</v>
      </c>
      <c r="C578" t="s">
        <v>62</v>
      </c>
      <c r="F578">
        <v>8</v>
      </c>
    </row>
    <row r="579" spans="1:6" x14ac:dyDescent="0.3">
      <c r="A579">
        <v>70211580</v>
      </c>
      <c r="B579" t="s">
        <v>852</v>
      </c>
      <c r="C579" t="s">
        <v>62</v>
      </c>
      <c r="D579" t="s">
        <v>853</v>
      </c>
      <c r="F579">
        <v>8</v>
      </c>
    </row>
    <row r="580" spans="1:6" x14ac:dyDescent="0.3">
      <c r="A580">
        <v>46945532</v>
      </c>
      <c r="B580" t="s">
        <v>854</v>
      </c>
      <c r="C580" t="s">
        <v>62</v>
      </c>
      <c r="D580" t="s">
        <v>855</v>
      </c>
      <c r="F580">
        <v>8</v>
      </c>
    </row>
    <row r="581" spans="1:6" x14ac:dyDescent="0.3">
      <c r="A581">
        <v>302351</v>
      </c>
      <c r="B581" t="s">
        <v>856</v>
      </c>
      <c r="C581" t="s">
        <v>62</v>
      </c>
      <c r="F581">
        <v>6</v>
      </c>
    </row>
    <row r="582" spans="1:6" x14ac:dyDescent="0.3">
      <c r="A582">
        <v>70666331</v>
      </c>
      <c r="B582" t="s">
        <v>857</v>
      </c>
      <c r="C582" t="s">
        <v>62</v>
      </c>
      <c r="D582" t="s">
        <v>858</v>
      </c>
      <c r="F582">
        <v>8</v>
      </c>
    </row>
    <row r="583" spans="1:6" x14ac:dyDescent="0.3">
      <c r="A583">
        <v>43814375</v>
      </c>
      <c r="B583" t="s">
        <v>859</v>
      </c>
      <c r="C583" t="s">
        <v>62</v>
      </c>
      <c r="D583" t="s">
        <v>860</v>
      </c>
      <c r="F583">
        <v>8</v>
      </c>
    </row>
    <row r="584" spans="1:6" x14ac:dyDescent="0.3">
      <c r="A584">
        <v>42857058</v>
      </c>
      <c r="B584" t="s">
        <v>861</v>
      </c>
      <c r="C584" t="s">
        <v>62</v>
      </c>
      <c r="D584" t="s">
        <v>862</v>
      </c>
      <c r="F584">
        <v>8</v>
      </c>
    </row>
    <row r="585" spans="1:6" x14ac:dyDescent="0.3">
      <c r="A585">
        <v>48112162</v>
      </c>
      <c r="B585" t="s">
        <v>863</v>
      </c>
      <c r="C585" t="s">
        <v>62</v>
      </c>
      <c r="F585">
        <v>8</v>
      </c>
    </row>
    <row r="586" spans="1:6" x14ac:dyDescent="0.3">
      <c r="A586">
        <v>73605563</v>
      </c>
      <c r="B586" t="s">
        <v>692</v>
      </c>
      <c r="C586" t="s">
        <v>62</v>
      </c>
      <c r="D586" t="s">
        <v>864</v>
      </c>
      <c r="E586" t="s">
        <v>865</v>
      </c>
      <c r="F586">
        <v>8</v>
      </c>
    </row>
    <row r="587" spans="1:6" x14ac:dyDescent="0.3">
      <c r="A587">
        <v>45921913</v>
      </c>
      <c r="B587" t="s">
        <v>866</v>
      </c>
      <c r="C587" t="s">
        <v>62</v>
      </c>
      <c r="D587" t="s">
        <v>867</v>
      </c>
      <c r="F587">
        <v>8</v>
      </c>
    </row>
    <row r="588" spans="1:6" x14ac:dyDescent="0.3">
      <c r="A588">
        <v>74399035</v>
      </c>
      <c r="B588" t="s">
        <v>868</v>
      </c>
      <c r="C588" t="s">
        <v>62</v>
      </c>
      <c r="F588">
        <v>8</v>
      </c>
    </row>
    <row r="589" spans="1:6" x14ac:dyDescent="0.3">
      <c r="A589">
        <v>71438597</v>
      </c>
      <c r="B589" t="s">
        <v>869</v>
      </c>
      <c r="C589" t="s">
        <v>62</v>
      </c>
      <c r="D589" t="s">
        <v>870</v>
      </c>
      <c r="F589">
        <v>8</v>
      </c>
    </row>
    <row r="590" spans="1:6" x14ac:dyDescent="0.3">
      <c r="A590">
        <v>72302392</v>
      </c>
      <c r="B590" t="s">
        <v>871</v>
      </c>
      <c r="C590" t="s">
        <v>62</v>
      </c>
      <c r="D590" t="s">
        <v>872</v>
      </c>
      <c r="F590">
        <v>8</v>
      </c>
    </row>
    <row r="591" spans="1:6" x14ac:dyDescent="0.3">
      <c r="A591">
        <v>80355193</v>
      </c>
      <c r="B591" t="s">
        <v>873</v>
      </c>
      <c r="C591" t="s">
        <v>62</v>
      </c>
      <c r="D591" t="s">
        <v>874</v>
      </c>
      <c r="F591">
        <v>8</v>
      </c>
    </row>
    <row r="592" spans="1:6" x14ac:dyDescent="0.3">
      <c r="A592">
        <v>75973493</v>
      </c>
      <c r="B592" t="s">
        <v>875</v>
      </c>
      <c r="C592" t="s">
        <v>62</v>
      </c>
      <c r="F592">
        <v>8</v>
      </c>
    </row>
    <row r="593" spans="1:6" x14ac:dyDescent="0.3">
      <c r="A593">
        <v>1829028</v>
      </c>
      <c r="B593" t="s">
        <v>876</v>
      </c>
      <c r="C593" t="s">
        <v>62</v>
      </c>
      <c r="D593" t="s">
        <v>877</v>
      </c>
      <c r="F593">
        <v>9</v>
      </c>
    </row>
    <row r="594" spans="1:6" x14ac:dyDescent="0.3">
      <c r="A594">
        <v>71387955</v>
      </c>
      <c r="B594" t="s">
        <v>878</v>
      </c>
      <c r="C594" t="s">
        <v>62</v>
      </c>
      <c r="F594">
        <v>8</v>
      </c>
    </row>
    <row r="595" spans="1:6" x14ac:dyDescent="0.3">
      <c r="A595">
        <v>76310875</v>
      </c>
      <c r="B595" t="s">
        <v>879</v>
      </c>
      <c r="C595" t="s">
        <v>62</v>
      </c>
      <c r="F595">
        <v>8</v>
      </c>
    </row>
    <row r="596" spans="1:6" x14ac:dyDescent="0.3">
      <c r="A596">
        <v>48221233</v>
      </c>
      <c r="B596" t="s">
        <v>880</v>
      </c>
      <c r="C596" t="s">
        <v>62</v>
      </c>
      <c r="F596">
        <v>8</v>
      </c>
    </row>
    <row r="597" spans="1:6" x14ac:dyDescent="0.3">
      <c r="A597">
        <v>74073836</v>
      </c>
      <c r="B597" t="s">
        <v>881</v>
      </c>
      <c r="C597" t="s">
        <v>62</v>
      </c>
      <c r="F597">
        <v>8</v>
      </c>
    </row>
    <row r="598" spans="1:6" x14ac:dyDescent="0.3">
      <c r="A598">
        <v>72450429</v>
      </c>
      <c r="B598" t="s">
        <v>882</v>
      </c>
      <c r="C598" t="s">
        <v>62</v>
      </c>
      <c r="D598" t="s">
        <v>883</v>
      </c>
      <c r="F598">
        <v>8</v>
      </c>
    </row>
    <row r="599" spans="1:6" x14ac:dyDescent="0.3">
      <c r="A599">
        <v>71979355</v>
      </c>
      <c r="B599" t="s">
        <v>884</v>
      </c>
      <c r="C599" t="s">
        <v>62</v>
      </c>
      <c r="D599" t="s">
        <v>885</v>
      </c>
      <c r="F599">
        <v>8</v>
      </c>
    </row>
    <row r="600" spans="1:6" x14ac:dyDescent="0.3">
      <c r="A600">
        <v>43691377</v>
      </c>
      <c r="B600" t="s">
        <v>886</v>
      </c>
      <c r="C600" t="s">
        <v>62</v>
      </c>
      <c r="F600">
        <v>8</v>
      </c>
    </row>
    <row r="601" spans="1:6" x14ac:dyDescent="0.3">
      <c r="A601">
        <v>73746975</v>
      </c>
      <c r="B601" t="s">
        <v>887</v>
      </c>
      <c r="C601" t="s">
        <v>62</v>
      </c>
      <c r="F601">
        <v>8</v>
      </c>
    </row>
    <row r="602" spans="1:6" x14ac:dyDescent="0.3">
      <c r="A602">
        <v>47461440</v>
      </c>
      <c r="B602" t="s">
        <v>888</v>
      </c>
      <c r="C602" t="s">
        <v>62</v>
      </c>
      <c r="D602" t="s">
        <v>889</v>
      </c>
      <c r="F602">
        <v>8</v>
      </c>
    </row>
    <row r="603" spans="1:6" x14ac:dyDescent="0.3">
      <c r="A603">
        <v>78803424</v>
      </c>
      <c r="B603" t="s">
        <v>890</v>
      </c>
      <c r="C603" t="s">
        <v>62</v>
      </c>
      <c r="D603" t="s">
        <v>891</v>
      </c>
      <c r="F603">
        <v>8</v>
      </c>
    </row>
    <row r="604" spans="1:6" x14ac:dyDescent="0.3">
      <c r="A604">
        <v>29543209</v>
      </c>
      <c r="B604" t="s">
        <v>892</v>
      </c>
      <c r="C604" t="s">
        <v>62</v>
      </c>
      <c r="F604">
        <v>8</v>
      </c>
    </row>
    <row r="605" spans="1:6" x14ac:dyDescent="0.3">
      <c r="A605">
        <v>44328361</v>
      </c>
      <c r="B605" t="s">
        <v>893</v>
      </c>
      <c r="C605" t="s">
        <v>62</v>
      </c>
      <c r="F605">
        <v>8</v>
      </c>
    </row>
    <row r="606" spans="1:6" x14ac:dyDescent="0.3">
      <c r="A606">
        <v>72399664</v>
      </c>
      <c r="B606" t="s">
        <v>894</v>
      </c>
      <c r="C606" t="s">
        <v>62</v>
      </c>
      <c r="F606">
        <v>8</v>
      </c>
    </row>
    <row r="607" spans="1:6" x14ac:dyDescent="0.3">
      <c r="A607">
        <v>72144092</v>
      </c>
      <c r="B607" t="s">
        <v>895</v>
      </c>
      <c r="C607" t="s">
        <v>62</v>
      </c>
      <c r="D607" t="s">
        <v>896</v>
      </c>
      <c r="F607">
        <v>8</v>
      </c>
    </row>
    <row r="608" spans="1:6" x14ac:dyDescent="0.3">
      <c r="A608">
        <v>45214966</v>
      </c>
      <c r="B608" t="s">
        <v>897</v>
      </c>
      <c r="C608" t="s">
        <v>62</v>
      </c>
      <c r="F608">
        <v>8</v>
      </c>
    </row>
    <row r="609" spans="1:6" x14ac:dyDescent="0.3">
      <c r="A609">
        <v>40306745</v>
      </c>
      <c r="B609" t="s">
        <v>898</v>
      </c>
      <c r="C609" t="s">
        <v>62</v>
      </c>
      <c r="F609">
        <v>8</v>
      </c>
    </row>
    <row r="610" spans="1:6" x14ac:dyDescent="0.3">
      <c r="A610">
        <v>71496013</v>
      </c>
      <c r="B610" t="s">
        <v>899</v>
      </c>
      <c r="C610" t="s">
        <v>62</v>
      </c>
      <c r="D610" t="s">
        <v>900</v>
      </c>
      <c r="F610">
        <v>8</v>
      </c>
    </row>
    <row r="611" spans="1:6" x14ac:dyDescent="0.3">
      <c r="A611">
        <v>72131384</v>
      </c>
      <c r="B611" t="s">
        <v>901</v>
      </c>
      <c r="C611" t="s">
        <v>62</v>
      </c>
      <c r="D611" t="s">
        <v>902</v>
      </c>
      <c r="F611">
        <v>8</v>
      </c>
    </row>
    <row r="612" spans="1:6" x14ac:dyDescent="0.3">
      <c r="A612">
        <v>72137021</v>
      </c>
      <c r="B612" t="s">
        <v>903</v>
      </c>
      <c r="C612" t="s">
        <v>62</v>
      </c>
      <c r="F612">
        <v>8</v>
      </c>
    </row>
    <row r="613" spans="1:6" x14ac:dyDescent="0.3">
      <c r="A613">
        <v>75826053</v>
      </c>
      <c r="B613" t="s">
        <v>904</v>
      </c>
      <c r="C613" t="s">
        <v>62</v>
      </c>
      <c r="F613">
        <v>8</v>
      </c>
    </row>
    <row r="614" spans="1:6" x14ac:dyDescent="0.3">
      <c r="A614">
        <v>70029126</v>
      </c>
      <c r="B614" t="s">
        <v>905</v>
      </c>
      <c r="C614" t="s">
        <v>62</v>
      </c>
      <c r="F614">
        <v>8</v>
      </c>
    </row>
    <row r="615" spans="1:6" x14ac:dyDescent="0.3">
      <c r="A615">
        <v>47650914</v>
      </c>
      <c r="B615" t="s">
        <v>906</v>
      </c>
      <c r="C615" t="s">
        <v>62</v>
      </c>
      <c r="F615">
        <v>8</v>
      </c>
    </row>
    <row r="616" spans="1:6" x14ac:dyDescent="0.3">
      <c r="A616">
        <v>4105961</v>
      </c>
      <c r="B616" t="s">
        <v>907</v>
      </c>
      <c r="C616" t="s">
        <v>62</v>
      </c>
      <c r="F616">
        <v>7</v>
      </c>
    </row>
    <row r="617" spans="1:6" x14ac:dyDescent="0.3">
      <c r="A617">
        <v>61610084</v>
      </c>
      <c r="B617" t="s">
        <v>908</v>
      </c>
      <c r="C617" t="s">
        <v>62</v>
      </c>
      <c r="F617">
        <v>8</v>
      </c>
    </row>
    <row r="618" spans="1:6" x14ac:dyDescent="0.3">
      <c r="A618">
        <v>44314304</v>
      </c>
      <c r="B618" t="s">
        <v>909</v>
      </c>
      <c r="C618" t="s">
        <v>62</v>
      </c>
      <c r="D618" t="s">
        <v>910</v>
      </c>
      <c r="F618">
        <v>8</v>
      </c>
    </row>
    <row r="619" spans="1:6" x14ac:dyDescent="0.3">
      <c r="A619">
        <v>72700001</v>
      </c>
      <c r="B619" t="s">
        <v>911</v>
      </c>
      <c r="C619" t="s">
        <v>62</v>
      </c>
      <c r="D619" t="s">
        <v>912</v>
      </c>
      <c r="F619">
        <v>8</v>
      </c>
    </row>
    <row r="620" spans="1:6" x14ac:dyDescent="0.3">
      <c r="A620">
        <v>47760988</v>
      </c>
      <c r="B620" t="s">
        <v>913</v>
      </c>
      <c r="C620" t="s">
        <v>62</v>
      </c>
      <c r="D620" t="s">
        <v>914</v>
      </c>
      <c r="F620">
        <v>8</v>
      </c>
    </row>
    <row r="621" spans="1:6" x14ac:dyDescent="0.3">
      <c r="A621">
        <v>45861927</v>
      </c>
      <c r="B621" t="s">
        <v>915</v>
      </c>
      <c r="C621" t="s">
        <v>62</v>
      </c>
      <c r="F621">
        <v>8</v>
      </c>
    </row>
    <row r="622" spans="1:6" x14ac:dyDescent="0.3">
      <c r="A622">
        <v>24800480</v>
      </c>
      <c r="B622" t="s">
        <v>916</v>
      </c>
      <c r="C622" t="s">
        <v>62</v>
      </c>
      <c r="D622" t="s">
        <v>917</v>
      </c>
      <c r="F622">
        <v>8</v>
      </c>
    </row>
    <row r="623" spans="1:6" x14ac:dyDescent="0.3">
      <c r="A623">
        <v>48536654</v>
      </c>
      <c r="B623" t="s">
        <v>918</v>
      </c>
      <c r="C623" t="s">
        <v>62</v>
      </c>
      <c r="D623" t="s">
        <v>919</v>
      </c>
      <c r="F623">
        <v>8</v>
      </c>
    </row>
    <row r="624" spans="1:6" x14ac:dyDescent="0.3">
      <c r="A624">
        <v>46809818</v>
      </c>
      <c r="B624" t="s">
        <v>920</v>
      </c>
      <c r="C624" t="s">
        <v>62</v>
      </c>
      <c r="D624" t="s">
        <v>921</v>
      </c>
      <c r="F624">
        <v>8</v>
      </c>
    </row>
    <row r="625" spans="1:6" x14ac:dyDescent="0.3">
      <c r="A625">
        <v>72537561</v>
      </c>
      <c r="B625" t="s">
        <v>922</v>
      </c>
      <c r="C625" t="s">
        <v>62</v>
      </c>
      <c r="D625" t="s">
        <v>923</v>
      </c>
      <c r="F625">
        <v>8</v>
      </c>
    </row>
    <row r="626" spans="1:6" x14ac:dyDescent="0.3">
      <c r="A626">
        <v>74877066</v>
      </c>
      <c r="B626" t="s">
        <v>924</v>
      </c>
      <c r="C626" t="s">
        <v>62</v>
      </c>
      <c r="F626">
        <v>8</v>
      </c>
    </row>
    <row r="627" spans="1:6" x14ac:dyDescent="0.3">
      <c r="A627">
        <v>73530159</v>
      </c>
      <c r="B627" t="s">
        <v>925</v>
      </c>
      <c r="C627" t="s">
        <v>62</v>
      </c>
      <c r="D627" t="s">
        <v>926</v>
      </c>
      <c r="F627">
        <v>8</v>
      </c>
    </row>
    <row r="628" spans="1:6" x14ac:dyDescent="0.3">
      <c r="A628">
        <v>71780708</v>
      </c>
      <c r="B628" t="s">
        <v>927</v>
      </c>
      <c r="C628" t="s">
        <v>62</v>
      </c>
      <c r="F628">
        <v>8</v>
      </c>
    </row>
    <row r="629" spans="1:6" x14ac:dyDescent="0.3">
      <c r="A629">
        <v>46126507</v>
      </c>
      <c r="B629" t="s">
        <v>928</v>
      </c>
      <c r="C629" t="s">
        <v>62</v>
      </c>
      <c r="D629" t="s">
        <v>929</v>
      </c>
      <c r="F629">
        <v>8</v>
      </c>
    </row>
    <row r="630" spans="1:6" x14ac:dyDescent="0.3">
      <c r="A630">
        <v>70105330</v>
      </c>
      <c r="B630" t="s">
        <v>930</v>
      </c>
      <c r="C630" t="s">
        <v>62</v>
      </c>
      <c r="F630">
        <v>8</v>
      </c>
    </row>
    <row r="631" spans="1:6" x14ac:dyDescent="0.3">
      <c r="A631">
        <v>72725225</v>
      </c>
      <c r="B631" t="s">
        <v>931</v>
      </c>
      <c r="C631" t="s">
        <v>62</v>
      </c>
      <c r="D631" t="s">
        <v>932</v>
      </c>
      <c r="F631">
        <v>8</v>
      </c>
    </row>
    <row r="632" spans="1:6" x14ac:dyDescent="0.3">
      <c r="A632">
        <v>73195103</v>
      </c>
      <c r="B632" t="s">
        <v>933</v>
      </c>
      <c r="C632" t="s">
        <v>62</v>
      </c>
      <c r="D632" t="s">
        <v>934</v>
      </c>
      <c r="F632">
        <v>8</v>
      </c>
    </row>
    <row r="633" spans="1:6" x14ac:dyDescent="0.3">
      <c r="A633">
        <v>47557239</v>
      </c>
      <c r="B633" t="s">
        <v>935</v>
      </c>
      <c r="C633" t="s">
        <v>62</v>
      </c>
      <c r="D633" t="s">
        <v>936</v>
      </c>
      <c r="F633">
        <v>8</v>
      </c>
    </row>
    <row r="634" spans="1:6" x14ac:dyDescent="0.3">
      <c r="A634">
        <v>72728100</v>
      </c>
      <c r="B634" t="s">
        <v>937</v>
      </c>
      <c r="C634" t="s">
        <v>62</v>
      </c>
      <c r="D634" t="s">
        <v>938</v>
      </c>
      <c r="F634">
        <v>8</v>
      </c>
    </row>
    <row r="635" spans="1:6" x14ac:dyDescent="0.3">
      <c r="A635">
        <v>72531546</v>
      </c>
      <c r="B635" t="s">
        <v>939</v>
      </c>
      <c r="C635" t="s">
        <v>62</v>
      </c>
      <c r="D635" t="s">
        <v>940</v>
      </c>
      <c r="F635">
        <v>8</v>
      </c>
    </row>
    <row r="636" spans="1:6" x14ac:dyDescent="0.3">
      <c r="A636">
        <v>75247945</v>
      </c>
      <c r="B636" t="s">
        <v>941</v>
      </c>
      <c r="C636" t="s">
        <v>62</v>
      </c>
      <c r="F636">
        <v>8</v>
      </c>
    </row>
    <row r="637" spans="1:6" x14ac:dyDescent="0.3">
      <c r="A637">
        <v>77029581</v>
      </c>
      <c r="B637" t="s">
        <v>942</v>
      </c>
      <c r="C637" t="s">
        <v>62</v>
      </c>
      <c r="F637">
        <v>8</v>
      </c>
    </row>
    <row r="638" spans="1:6" x14ac:dyDescent="0.3">
      <c r="A638">
        <v>71783902</v>
      </c>
      <c r="B638" t="s">
        <v>943</v>
      </c>
      <c r="C638" t="s">
        <v>62</v>
      </c>
      <c r="F638">
        <v>8</v>
      </c>
    </row>
    <row r="639" spans="1:6" x14ac:dyDescent="0.3">
      <c r="A639">
        <v>76393011</v>
      </c>
      <c r="B639" t="s">
        <v>944</v>
      </c>
      <c r="C639" t="s">
        <v>62</v>
      </c>
      <c r="D639" t="s">
        <v>945</v>
      </c>
      <c r="F639">
        <v>8</v>
      </c>
    </row>
    <row r="640" spans="1:6" x14ac:dyDescent="0.3">
      <c r="A640">
        <v>74392568</v>
      </c>
      <c r="B640" t="s">
        <v>946</v>
      </c>
      <c r="C640" t="s">
        <v>62</v>
      </c>
      <c r="D640" t="s">
        <v>947</v>
      </c>
      <c r="F640">
        <v>8</v>
      </c>
    </row>
    <row r="641" spans="1:6" x14ac:dyDescent="0.3">
      <c r="A641">
        <v>71311214</v>
      </c>
      <c r="B641" t="s">
        <v>948</v>
      </c>
      <c r="C641" t="s">
        <v>62</v>
      </c>
      <c r="D641" t="s">
        <v>949</v>
      </c>
      <c r="F641">
        <v>8</v>
      </c>
    </row>
    <row r="642" spans="1:6" x14ac:dyDescent="0.3">
      <c r="A642">
        <v>44487468</v>
      </c>
      <c r="B642" t="s">
        <v>950</v>
      </c>
      <c r="C642" t="s">
        <v>62</v>
      </c>
      <c r="F642">
        <v>8</v>
      </c>
    </row>
    <row r="643" spans="1:6" x14ac:dyDescent="0.3">
      <c r="A643">
        <v>45628202</v>
      </c>
      <c r="B643" t="s">
        <v>951</v>
      </c>
      <c r="C643" t="s">
        <v>62</v>
      </c>
      <c r="F643">
        <v>8</v>
      </c>
    </row>
    <row r="644" spans="1:6" x14ac:dyDescent="0.3">
      <c r="A644">
        <v>70817650</v>
      </c>
      <c r="B644" t="s">
        <v>952</v>
      </c>
      <c r="C644" t="s">
        <v>62</v>
      </c>
      <c r="F644">
        <v>8</v>
      </c>
    </row>
    <row r="645" spans="1:6" x14ac:dyDescent="0.3">
      <c r="A645">
        <v>72682665</v>
      </c>
      <c r="B645" t="s">
        <v>953</v>
      </c>
      <c r="C645" t="s">
        <v>62</v>
      </c>
      <c r="D645" t="s">
        <v>954</v>
      </c>
      <c r="F645">
        <v>8</v>
      </c>
    </row>
    <row r="646" spans="1:6" x14ac:dyDescent="0.3">
      <c r="A646">
        <v>48362717</v>
      </c>
      <c r="B646" t="s">
        <v>955</v>
      </c>
      <c r="C646" t="s">
        <v>62</v>
      </c>
      <c r="D646" t="s">
        <v>956</v>
      </c>
      <c r="F646">
        <v>8</v>
      </c>
    </row>
    <row r="647" spans="1:6" x14ac:dyDescent="0.3">
      <c r="A647">
        <v>80454870</v>
      </c>
      <c r="B647" t="s">
        <v>957</v>
      </c>
      <c r="C647" t="s">
        <v>62</v>
      </c>
      <c r="D647" t="s">
        <v>958</v>
      </c>
      <c r="F647">
        <v>8</v>
      </c>
    </row>
    <row r="648" spans="1:6" x14ac:dyDescent="0.3">
      <c r="A648">
        <v>3531638</v>
      </c>
      <c r="B648" t="s">
        <v>959</v>
      </c>
      <c r="C648" t="s">
        <v>62</v>
      </c>
      <c r="F648">
        <v>7</v>
      </c>
    </row>
    <row r="649" spans="1:6" x14ac:dyDescent="0.3">
      <c r="A649">
        <v>46482122</v>
      </c>
      <c r="B649" t="s">
        <v>960</v>
      </c>
      <c r="C649" t="s">
        <v>62</v>
      </c>
      <c r="F649">
        <v>8</v>
      </c>
    </row>
    <row r="650" spans="1:6" x14ac:dyDescent="0.3">
      <c r="A650">
        <v>71786852</v>
      </c>
      <c r="B650" t="s">
        <v>961</v>
      </c>
      <c r="C650" t="s">
        <v>62</v>
      </c>
      <c r="D650" t="s">
        <v>962</v>
      </c>
      <c r="F650">
        <v>8</v>
      </c>
    </row>
    <row r="651" spans="1:6" x14ac:dyDescent="0.3">
      <c r="A651">
        <v>76918127</v>
      </c>
      <c r="B651" t="s">
        <v>963</v>
      </c>
      <c r="C651" t="s">
        <v>62</v>
      </c>
      <c r="F651">
        <v>8</v>
      </c>
    </row>
    <row r="652" spans="1:6" x14ac:dyDescent="0.3">
      <c r="A652">
        <v>72813674</v>
      </c>
      <c r="B652" t="s">
        <v>964</v>
      </c>
      <c r="C652" t="s">
        <v>62</v>
      </c>
      <c r="D652" t="s">
        <v>965</v>
      </c>
      <c r="F652">
        <v>8</v>
      </c>
    </row>
    <row r="653" spans="1:6" x14ac:dyDescent="0.3">
      <c r="A653">
        <v>72791041</v>
      </c>
      <c r="B653" t="s">
        <v>966</v>
      </c>
      <c r="C653" t="s">
        <v>62</v>
      </c>
      <c r="F653">
        <v>8</v>
      </c>
    </row>
    <row r="654" spans="1:6" x14ac:dyDescent="0.3">
      <c r="A654">
        <v>70517150</v>
      </c>
      <c r="B654" t="s">
        <v>967</v>
      </c>
      <c r="F654">
        <v>8</v>
      </c>
    </row>
    <row r="655" spans="1:6" x14ac:dyDescent="0.3">
      <c r="A655">
        <v>10776582331</v>
      </c>
      <c r="B655" t="s">
        <v>968</v>
      </c>
      <c r="F655">
        <v>11</v>
      </c>
    </row>
    <row r="656" spans="1:6" x14ac:dyDescent="0.3">
      <c r="A656">
        <v>20603679025</v>
      </c>
      <c r="B656" t="s">
        <v>969</v>
      </c>
      <c r="F656">
        <v>11</v>
      </c>
    </row>
    <row r="657" spans="1:6" x14ac:dyDescent="0.3">
      <c r="A657">
        <v>10297207330</v>
      </c>
      <c r="B657" t="s">
        <v>970</v>
      </c>
      <c r="F657">
        <v>11</v>
      </c>
    </row>
    <row r="658" spans="1:6" x14ac:dyDescent="0.3">
      <c r="A658">
        <v>20614269309</v>
      </c>
      <c r="B658" t="s">
        <v>971</v>
      </c>
      <c r="F658">
        <v>11</v>
      </c>
    </row>
    <row r="659" spans="1:6" x14ac:dyDescent="0.3">
      <c r="A659">
        <v>20612783871</v>
      </c>
      <c r="B659" t="s">
        <v>972</v>
      </c>
      <c r="F659">
        <v>11</v>
      </c>
    </row>
    <row r="660" spans="1:6" x14ac:dyDescent="0.3">
      <c r="A660">
        <v>20610616675</v>
      </c>
      <c r="B660" t="s">
        <v>973</v>
      </c>
      <c r="F660">
        <v>11</v>
      </c>
    </row>
    <row r="661" spans="1:6" x14ac:dyDescent="0.3">
      <c r="A661">
        <v>20558053691</v>
      </c>
      <c r="B661" t="s">
        <v>974</v>
      </c>
      <c r="F661">
        <v>11</v>
      </c>
    </row>
    <row r="662" spans="1:6" x14ac:dyDescent="0.3">
      <c r="A662">
        <v>20455841357</v>
      </c>
      <c r="B662" t="s">
        <v>975</v>
      </c>
      <c r="F662">
        <v>11</v>
      </c>
    </row>
    <row r="663" spans="1:6" x14ac:dyDescent="0.3">
      <c r="A663">
        <v>20454029918</v>
      </c>
      <c r="B663" t="s">
        <v>976</v>
      </c>
      <c r="F663">
        <v>11</v>
      </c>
    </row>
    <row r="664" spans="1:6" x14ac:dyDescent="0.3">
      <c r="A664">
        <v>20508565934</v>
      </c>
      <c r="B664" t="s">
        <v>977</v>
      </c>
      <c r="F664">
        <v>11</v>
      </c>
    </row>
    <row r="665" spans="1:6" x14ac:dyDescent="0.3">
      <c r="A665">
        <v>20517252558</v>
      </c>
      <c r="B665" t="s">
        <v>978</v>
      </c>
      <c r="F665">
        <v>11</v>
      </c>
    </row>
    <row r="666" spans="1:6" x14ac:dyDescent="0.3">
      <c r="A666">
        <v>20550372640</v>
      </c>
      <c r="B666" t="s">
        <v>979</v>
      </c>
      <c r="F666">
        <v>11</v>
      </c>
    </row>
    <row r="667" spans="1:6" x14ac:dyDescent="0.3">
      <c r="A667">
        <v>20611525568</v>
      </c>
      <c r="B667" t="s">
        <v>980</v>
      </c>
      <c r="F667">
        <v>11</v>
      </c>
    </row>
    <row r="668" spans="1:6" x14ac:dyDescent="0.3">
      <c r="A668">
        <v>20454067682</v>
      </c>
      <c r="B668" t="s">
        <v>981</v>
      </c>
      <c r="F668">
        <v>11</v>
      </c>
    </row>
    <row r="669" spans="1:6" x14ac:dyDescent="0.3">
      <c r="A669">
        <v>20606109963</v>
      </c>
      <c r="B669" t="s">
        <v>982</v>
      </c>
      <c r="F669">
        <v>11</v>
      </c>
    </row>
    <row r="670" spans="1:6" x14ac:dyDescent="0.3">
      <c r="A670">
        <v>20609580292</v>
      </c>
      <c r="B670" t="s">
        <v>591</v>
      </c>
      <c r="F670">
        <v>11</v>
      </c>
    </row>
    <row r="671" spans="1:6" x14ac:dyDescent="0.3">
      <c r="A671">
        <v>20613747096</v>
      </c>
      <c r="B671" t="s">
        <v>983</v>
      </c>
      <c r="F671">
        <v>11</v>
      </c>
    </row>
    <row r="672" spans="1:6" x14ac:dyDescent="0.3">
      <c r="A672">
        <v>20455823880</v>
      </c>
      <c r="B672" t="s">
        <v>984</v>
      </c>
      <c r="F672">
        <v>11</v>
      </c>
    </row>
    <row r="673" spans="1:6" x14ac:dyDescent="0.3">
      <c r="A673">
        <v>20600922310</v>
      </c>
      <c r="B673" t="s">
        <v>985</v>
      </c>
      <c r="F673">
        <v>11</v>
      </c>
    </row>
    <row r="674" spans="1:6" x14ac:dyDescent="0.3">
      <c r="A674">
        <v>20600922310</v>
      </c>
      <c r="B674" t="s">
        <v>985</v>
      </c>
      <c r="F674">
        <v>11</v>
      </c>
    </row>
    <row r="675" spans="1:6" x14ac:dyDescent="0.3">
      <c r="A675">
        <v>10309622885</v>
      </c>
      <c r="B675" t="s">
        <v>986</v>
      </c>
      <c r="F675">
        <v>11</v>
      </c>
    </row>
    <row r="676" spans="1:6" x14ac:dyDescent="0.3">
      <c r="A676">
        <v>20609286564</v>
      </c>
      <c r="B676" t="s">
        <v>987</v>
      </c>
      <c r="F676">
        <v>11</v>
      </c>
    </row>
    <row r="677" spans="1:6" x14ac:dyDescent="0.3">
      <c r="A677">
        <v>20609629739</v>
      </c>
      <c r="B677" t="s">
        <v>988</v>
      </c>
      <c r="F677">
        <v>11</v>
      </c>
    </row>
    <row r="678" spans="1:6" x14ac:dyDescent="0.3">
      <c r="A678">
        <v>20498619232</v>
      </c>
      <c r="B678" t="s">
        <v>989</v>
      </c>
      <c r="F678">
        <v>11</v>
      </c>
    </row>
    <row r="679" spans="1:6" x14ac:dyDescent="0.3">
      <c r="A679">
        <v>10294003881</v>
      </c>
      <c r="B679" t="s">
        <v>990</v>
      </c>
      <c r="F679">
        <v>11</v>
      </c>
    </row>
    <row r="680" spans="1:6" x14ac:dyDescent="0.3">
      <c r="A680">
        <v>10305624930</v>
      </c>
      <c r="B680" t="s">
        <v>991</v>
      </c>
      <c r="F680">
        <v>11</v>
      </c>
    </row>
    <row r="681" spans="1:6" x14ac:dyDescent="0.3">
      <c r="A681">
        <v>20497914885</v>
      </c>
      <c r="B681" t="s">
        <v>992</v>
      </c>
      <c r="F681">
        <v>11</v>
      </c>
    </row>
    <row r="682" spans="1:6" x14ac:dyDescent="0.3">
      <c r="A682">
        <v>76390500</v>
      </c>
      <c r="B682" t="s">
        <v>993</v>
      </c>
      <c r="E682" t="s">
        <v>865</v>
      </c>
      <c r="F682">
        <v>8</v>
      </c>
    </row>
    <row r="683" spans="1:6" x14ac:dyDescent="0.3">
      <c r="A683">
        <v>20611396121</v>
      </c>
      <c r="B683" t="s">
        <v>994</v>
      </c>
      <c r="F683">
        <v>11</v>
      </c>
    </row>
    <row r="684" spans="1:6" x14ac:dyDescent="0.3">
      <c r="A684">
        <v>20454603479</v>
      </c>
      <c r="B684" t="s">
        <v>995</v>
      </c>
      <c r="F684">
        <v>11</v>
      </c>
    </row>
    <row r="685" spans="1:6" x14ac:dyDescent="0.3">
      <c r="A685">
        <v>10740730628</v>
      </c>
      <c r="B685" t="s">
        <v>996</v>
      </c>
      <c r="F685">
        <v>11</v>
      </c>
    </row>
    <row r="686" spans="1:6" x14ac:dyDescent="0.3">
      <c r="A686">
        <v>71334789</v>
      </c>
      <c r="B686" t="s">
        <v>997</v>
      </c>
      <c r="F686">
        <v>8</v>
      </c>
    </row>
    <row r="687" spans="1:6" x14ac:dyDescent="0.3">
      <c r="A687">
        <v>20612112500</v>
      </c>
      <c r="B687" t="s">
        <v>998</v>
      </c>
      <c r="F687">
        <v>11</v>
      </c>
    </row>
    <row r="688" spans="1:6" x14ac:dyDescent="0.3">
      <c r="A688">
        <v>10705628331</v>
      </c>
      <c r="B688" t="s">
        <v>999</v>
      </c>
      <c r="F688">
        <v>11</v>
      </c>
    </row>
    <row r="689" spans="1:6" x14ac:dyDescent="0.3">
      <c r="A689">
        <v>10449376124</v>
      </c>
      <c r="B689" t="s">
        <v>1000</v>
      </c>
      <c r="F689">
        <v>11</v>
      </c>
    </row>
    <row r="690" spans="1:6" x14ac:dyDescent="0.3">
      <c r="A690">
        <v>10434937391</v>
      </c>
      <c r="B690" t="s">
        <v>1001</v>
      </c>
      <c r="F690">
        <v>11</v>
      </c>
    </row>
    <row r="691" spans="1:6" x14ac:dyDescent="0.3">
      <c r="A691">
        <v>20600725417</v>
      </c>
      <c r="B691" t="s">
        <v>1002</v>
      </c>
      <c r="F691">
        <v>11</v>
      </c>
    </row>
    <row r="692" spans="1:6" x14ac:dyDescent="0.3">
      <c r="A692">
        <v>20453904971</v>
      </c>
      <c r="B692" t="s">
        <v>1003</v>
      </c>
      <c r="F692">
        <v>11</v>
      </c>
    </row>
    <row r="693" spans="1:6" x14ac:dyDescent="0.3">
      <c r="A693">
        <v>20610943625</v>
      </c>
      <c r="B693" t="s">
        <v>1004</v>
      </c>
      <c r="F693">
        <v>11</v>
      </c>
    </row>
    <row r="694" spans="1:6" x14ac:dyDescent="0.3">
      <c r="A694">
        <v>20603219377</v>
      </c>
      <c r="B694" t="s">
        <v>1005</v>
      </c>
      <c r="F694">
        <v>11</v>
      </c>
    </row>
    <row r="695" spans="1:6" x14ac:dyDescent="0.3">
      <c r="A695">
        <v>20550033519</v>
      </c>
      <c r="B695" t="s">
        <v>1006</v>
      </c>
      <c r="F695">
        <v>11</v>
      </c>
    </row>
    <row r="696" spans="1:6" x14ac:dyDescent="0.3">
      <c r="A696">
        <v>10251876211</v>
      </c>
      <c r="B696" t="s">
        <v>1007</v>
      </c>
      <c r="F696">
        <v>11</v>
      </c>
    </row>
    <row r="697" spans="1:6" x14ac:dyDescent="0.3">
      <c r="A697">
        <v>20601584001</v>
      </c>
      <c r="B697" t="s">
        <v>1008</v>
      </c>
      <c r="F697">
        <v>11</v>
      </c>
    </row>
    <row r="698" spans="1:6" x14ac:dyDescent="0.3">
      <c r="A698">
        <v>11111111</v>
      </c>
      <c r="B698" t="s">
        <v>1009</v>
      </c>
      <c r="F698">
        <v>8</v>
      </c>
    </row>
    <row r="699" spans="1:6" x14ac:dyDescent="0.3">
      <c r="A699">
        <v>48197510</v>
      </c>
      <c r="B699" t="s">
        <v>1010</v>
      </c>
      <c r="F699">
        <v>8</v>
      </c>
    </row>
    <row r="700" spans="1:6" x14ac:dyDescent="0.3">
      <c r="A700">
        <v>10460064592</v>
      </c>
      <c r="B700" t="s">
        <v>1011</v>
      </c>
      <c r="F700">
        <v>11</v>
      </c>
    </row>
    <row r="701" spans="1:6" x14ac:dyDescent="0.3">
      <c r="A701">
        <v>10409596865</v>
      </c>
      <c r="B701" t="s">
        <v>1012</v>
      </c>
      <c r="F701">
        <v>11</v>
      </c>
    </row>
    <row r="702" spans="1:6" x14ac:dyDescent="0.3">
      <c r="A702">
        <v>60945818</v>
      </c>
      <c r="B702" t="s">
        <v>1013</v>
      </c>
      <c r="E702" t="s">
        <v>865</v>
      </c>
      <c r="F702">
        <v>8</v>
      </c>
    </row>
    <row r="703" spans="1:6" x14ac:dyDescent="0.3">
      <c r="A703">
        <v>75560789</v>
      </c>
      <c r="B703" t="s">
        <v>1014</v>
      </c>
      <c r="E703" t="s">
        <v>865</v>
      </c>
      <c r="F703">
        <v>8</v>
      </c>
    </row>
    <row r="704" spans="1:6" x14ac:dyDescent="0.3">
      <c r="A704">
        <v>48298276</v>
      </c>
      <c r="B704" t="s">
        <v>1015</v>
      </c>
      <c r="E704" t="s">
        <v>865</v>
      </c>
      <c r="F704">
        <v>8</v>
      </c>
    </row>
    <row r="705" spans="1:6" x14ac:dyDescent="0.3">
      <c r="A705">
        <v>76140901</v>
      </c>
      <c r="B705" t="s">
        <v>1016</v>
      </c>
      <c r="E705" t="s">
        <v>865</v>
      </c>
      <c r="F705">
        <v>8</v>
      </c>
    </row>
    <row r="706" spans="1:6" x14ac:dyDescent="0.3">
      <c r="A706">
        <v>72458502</v>
      </c>
      <c r="B706" t="s">
        <v>1017</v>
      </c>
      <c r="E706" t="s">
        <v>865</v>
      </c>
      <c r="F706">
        <v>8</v>
      </c>
    </row>
    <row r="707" spans="1:6" x14ac:dyDescent="0.3">
      <c r="A707">
        <v>75276411</v>
      </c>
      <c r="B707" t="s">
        <v>1018</v>
      </c>
      <c r="E707" t="s">
        <v>865</v>
      </c>
      <c r="F707">
        <v>8</v>
      </c>
    </row>
    <row r="708" spans="1:6" x14ac:dyDescent="0.3">
      <c r="A708">
        <v>71654750</v>
      </c>
      <c r="B708" t="s">
        <v>1019</v>
      </c>
      <c r="E708" t="s">
        <v>865</v>
      </c>
      <c r="F708">
        <v>8</v>
      </c>
    </row>
    <row r="709" spans="1:6" x14ac:dyDescent="0.3">
      <c r="A709">
        <v>60248415</v>
      </c>
      <c r="B709" t="s">
        <v>1020</v>
      </c>
      <c r="E709" t="s">
        <v>865</v>
      </c>
      <c r="F709">
        <v>8</v>
      </c>
    </row>
    <row r="710" spans="1:6" x14ac:dyDescent="0.3">
      <c r="A710">
        <v>77089939</v>
      </c>
      <c r="B710" t="s">
        <v>1021</v>
      </c>
      <c r="E710" t="s">
        <v>865</v>
      </c>
      <c r="F710">
        <v>8</v>
      </c>
    </row>
    <row r="711" spans="1:6" x14ac:dyDescent="0.3">
      <c r="A711">
        <v>73376012</v>
      </c>
      <c r="B711" t="s">
        <v>1022</v>
      </c>
      <c r="E711" t="s">
        <v>865</v>
      </c>
      <c r="F711">
        <v>8</v>
      </c>
    </row>
    <row r="712" spans="1:6" x14ac:dyDescent="0.3">
      <c r="A712">
        <v>10410162551</v>
      </c>
      <c r="B712" t="s">
        <v>1023</v>
      </c>
      <c r="C712" t="s">
        <v>62</v>
      </c>
      <c r="D712" t="s">
        <v>1024</v>
      </c>
      <c r="F712">
        <v>11</v>
      </c>
    </row>
    <row r="713" spans="1:6" x14ac:dyDescent="0.3">
      <c r="A713">
        <v>20601369622</v>
      </c>
      <c r="B713" t="s">
        <v>1025</v>
      </c>
      <c r="F713">
        <v>11</v>
      </c>
    </row>
    <row r="714" spans="1:6" x14ac:dyDescent="0.3">
      <c r="A714">
        <v>20602819834</v>
      </c>
      <c r="B714" t="s">
        <v>1026</v>
      </c>
      <c r="F714">
        <v>11</v>
      </c>
    </row>
    <row r="715" spans="1:6" x14ac:dyDescent="0.3">
      <c r="A715">
        <v>20434848262</v>
      </c>
      <c r="B715" t="s">
        <v>1027</v>
      </c>
      <c r="F715">
        <v>11</v>
      </c>
    </row>
    <row r="716" spans="1:6" x14ac:dyDescent="0.3">
      <c r="A716">
        <v>10426317511</v>
      </c>
      <c r="B716" t="s">
        <v>1028</v>
      </c>
      <c r="F716">
        <v>11</v>
      </c>
    </row>
    <row r="717" spans="1:6" x14ac:dyDescent="0.3">
      <c r="A717">
        <v>20454058187</v>
      </c>
      <c r="B717" t="s">
        <v>1029</v>
      </c>
      <c r="F717">
        <v>11</v>
      </c>
    </row>
    <row r="718" spans="1:6" x14ac:dyDescent="0.3">
      <c r="A718">
        <v>20515659324</v>
      </c>
      <c r="B718" t="s">
        <v>1030</v>
      </c>
      <c r="F718">
        <v>11</v>
      </c>
    </row>
    <row r="719" spans="1:6" x14ac:dyDescent="0.3">
      <c r="A719">
        <v>20492092313</v>
      </c>
      <c r="B719" t="s">
        <v>1031</v>
      </c>
      <c r="F719">
        <v>11</v>
      </c>
    </row>
    <row r="720" spans="1:6" x14ac:dyDescent="0.3">
      <c r="A720">
        <v>10440377497</v>
      </c>
      <c r="B720" t="s">
        <v>1032</v>
      </c>
      <c r="F720">
        <v>11</v>
      </c>
    </row>
    <row r="721" spans="1:6" x14ac:dyDescent="0.3">
      <c r="A721">
        <v>20602460143</v>
      </c>
      <c r="B721" t="s">
        <v>1033</v>
      </c>
      <c r="F721">
        <v>11</v>
      </c>
    </row>
    <row r="722" spans="1:6" x14ac:dyDescent="0.3">
      <c r="A722">
        <v>10704693015</v>
      </c>
      <c r="B722" t="s">
        <v>1034</v>
      </c>
      <c r="F722">
        <v>11</v>
      </c>
    </row>
    <row r="723" spans="1:6" x14ac:dyDescent="0.3">
      <c r="A723">
        <v>20610760008</v>
      </c>
      <c r="B723" t="s">
        <v>1035</v>
      </c>
      <c r="F723">
        <v>11</v>
      </c>
    </row>
    <row r="724" spans="1:6" x14ac:dyDescent="0.3">
      <c r="A724">
        <v>20517216241</v>
      </c>
      <c r="B724" t="s">
        <v>1036</v>
      </c>
      <c r="F724">
        <v>11</v>
      </c>
    </row>
    <row r="725" spans="1:6" x14ac:dyDescent="0.3">
      <c r="A725">
        <v>10089085042</v>
      </c>
      <c r="B725" t="s">
        <v>1037</v>
      </c>
      <c r="F725">
        <v>11</v>
      </c>
    </row>
    <row r="726" spans="1:6" x14ac:dyDescent="0.3">
      <c r="A726">
        <v>72204134</v>
      </c>
      <c r="B726" t="s">
        <v>1038</v>
      </c>
      <c r="E726" t="s">
        <v>865</v>
      </c>
      <c r="F726">
        <v>8</v>
      </c>
    </row>
    <row r="727" spans="1:6" x14ac:dyDescent="0.3">
      <c r="A727">
        <v>70511606</v>
      </c>
      <c r="B727" t="s">
        <v>1039</v>
      </c>
      <c r="E727" t="s">
        <v>865</v>
      </c>
      <c r="F727">
        <v>8</v>
      </c>
    </row>
    <row r="728" spans="1:6" x14ac:dyDescent="0.3">
      <c r="A728">
        <v>20332970411</v>
      </c>
      <c r="B728" t="s">
        <v>1040</v>
      </c>
      <c r="F728">
        <v>11</v>
      </c>
    </row>
    <row r="729" spans="1:6" x14ac:dyDescent="0.3">
      <c r="A729">
        <v>20511465061</v>
      </c>
      <c r="B729" t="s">
        <v>1041</v>
      </c>
      <c r="F729">
        <v>11</v>
      </c>
    </row>
    <row r="730" spans="1:6" x14ac:dyDescent="0.3">
      <c r="A730">
        <v>20503503639</v>
      </c>
      <c r="B730" t="s">
        <v>1042</v>
      </c>
      <c r="F730">
        <v>11</v>
      </c>
    </row>
    <row r="731" spans="1:6" x14ac:dyDescent="0.3">
      <c r="A731">
        <v>20606567856</v>
      </c>
      <c r="B731" t="s">
        <v>1043</v>
      </c>
      <c r="F731">
        <v>11</v>
      </c>
    </row>
    <row r="732" spans="1:6" x14ac:dyDescent="0.3">
      <c r="A732">
        <v>10218062186</v>
      </c>
      <c r="B732" t="s">
        <v>1044</v>
      </c>
      <c r="F732">
        <v>11</v>
      </c>
    </row>
    <row r="733" spans="1:6" x14ac:dyDescent="0.3">
      <c r="A733">
        <v>10438189560</v>
      </c>
      <c r="B733" t="s">
        <v>1045</v>
      </c>
      <c r="F733">
        <v>11</v>
      </c>
    </row>
    <row r="734" spans="1:6" x14ac:dyDescent="0.3">
      <c r="A734">
        <v>10154270642</v>
      </c>
      <c r="B734" t="s">
        <v>1046</v>
      </c>
      <c r="F734">
        <v>11</v>
      </c>
    </row>
    <row r="735" spans="1:6" x14ac:dyDescent="0.3">
      <c r="A735">
        <v>20552302932</v>
      </c>
      <c r="B735" t="s">
        <v>1047</v>
      </c>
      <c r="F735">
        <v>11</v>
      </c>
    </row>
    <row r="736" spans="1:6" x14ac:dyDescent="0.3">
      <c r="A736">
        <v>10773806239</v>
      </c>
      <c r="B736" t="s">
        <v>1048</v>
      </c>
      <c r="F736">
        <v>11</v>
      </c>
    </row>
    <row r="737" spans="1:6" x14ac:dyDescent="0.3">
      <c r="A737">
        <v>20606259116</v>
      </c>
      <c r="B737" t="s">
        <v>1049</v>
      </c>
      <c r="F737">
        <v>11</v>
      </c>
    </row>
    <row r="738" spans="1:6" x14ac:dyDescent="0.3">
      <c r="A738">
        <v>20601978572</v>
      </c>
      <c r="B738" t="s">
        <v>1050</v>
      </c>
      <c r="F738">
        <v>11</v>
      </c>
    </row>
    <row r="739" spans="1:6" x14ac:dyDescent="0.3">
      <c r="A739">
        <v>10296171315</v>
      </c>
      <c r="B739" t="s">
        <v>1051</v>
      </c>
      <c r="F739">
        <v>11</v>
      </c>
    </row>
    <row r="740" spans="1:6" x14ac:dyDescent="0.3">
      <c r="A740">
        <v>20613525093</v>
      </c>
      <c r="B740" t="s">
        <v>1052</v>
      </c>
      <c r="F740">
        <v>11</v>
      </c>
    </row>
    <row r="741" spans="1:6" x14ac:dyDescent="0.3">
      <c r="A741">
        <v>20606259116</v>
      </c>
      <c r="B741" t="s">
        <v>1049</v>
      </c>
      <c r="F741">
        <v>11</v>
      </c>
    </row>
    <row r="742" spans="1:6" x14ac:dyDescent="0.3">
      <c r="A742">
        <v>20600967291</v>
      </c>
      <c r="B742" t="s">
        <v>1053</v>
      </c>
      <c r="F742">
        <v>11</v>
      </c>
    </row>
    <row r="743" spans="1:6" x14ac:dyDescent="0.3">
      <c r="A743">
        <v>10413228722</v>
      </c>
      <c r="B743" t="s">
        <v>1054</v>
      </c>
      <c r="F743">
        <v>11</v>
      </c>
    </row>
    <row r="744" spans="1:6" x14ac:dyDescent="0.3">
      <c r="A744">
        <v>10429073796</v>
      </c>
      <c r="B744" t="s">
        <v>1055</v>
      </c>
      <c r="F744">
        <v>11</v>
      </c>
    </row>
    <row r="745" spans="1:6" x14ac:dyDescent="0.3">
      <c r="A745">
        <v>10431647287</v>
      </c>
      <c r="B745" t="s">
        <v>1056</v>
      </c>
      <c r="F745">
        <v>11</v>
      </c>
    </row>
    <row r="746" spans="1:6" x14ac:dyDescent="0.3">
      <c r="A746">
        <v>10709491461</v>
      </c>
      <c r="B746" t="s">
        <v>1057</v>
      </c>
      <c r="F746">
        <v>11</v>
      </c>
    </row>
    <row r="747" spans="1:6" x14ac:dyDescent="0.3">
      <c r="A747">
        <v>10801606542</v>
      </c>
      <c r="B747" t="s">
        <v>1058</v>
      </c>
      <c r="C747" t="s">
        <v>62</v>
      </c>
      <c r="D747" t="s">
        <v>1059</v>
      </c>
      <c r="F747">
        <v>11</v>
      </c>
    </row>
    <row r="748" spans="1:6" x14ac:dyDescent="0.3">
      <c r="A748">
        <v>20100047218</v>
      </c>
      <c r="B748" t="s">
        <v>1060</v>
      </c>
      <c r="F748">
        <v>11</v>
      </c>
    </row>
    <row r="749" spans="1:6" x14ac:dyDescent="0.3">
      <c r="A749">
        <v>10409010488</v>
      </c>
      <c r="B749" t="s">
        <v>1061</v>
      </c>
      <c r="F749">
        <v>11</v>
      </c>
    </row>
    <row r="750" spans="1:6" x14ac:dyDescent="0.3">
      <c r="A750">
        <v>10425073121</v>
      </c>
      <c r="B750" t="s">
        <v>1062</v>
      </c>
      <c r="F750">
        <v>11</v>
      </c>
    </row>
    <row r="751" spans="1:6" x14ac:dyDescent="0.3">
      <c r="A751">
        <v>20485592556</v>
      </c>
      <c r="B751" t="s">
        <v>1063</v>
      </c>
      <c r="F751">
        <v>11</v>
      </c>
    </row>
    <row r="752" spans="1:6" x14ac:dyDescent="0.3">
      <c r="A752">
        <v>10742353911</v>
      </c>
      <c r="B752" t="s">
        <v>1064</v>
      </c>
      <c r="F752">
        <v>11</v>
      </c>
    </row>
    <row r="753" spans="1:6" x14ac:dyDescent="0.3">
      <c r="A753">
        <v>10710506634</v>
      </c>
      <c r="B753" t="s">
        <v>1065</v>
      </c>
      <c r="F753">
        <v>11</v>
      </c>
    </row>
    <row r="754" spans="1:6" x14ac:dyDescent="0.3">
      <c r="A754">
        <v>10721906774</v>
      </c>
      <c r="B754" t="s">
        <v>1066</v>
      </c>
      <c r="F754">
        <v>11</v>
      </c>
    </row>
    <row r="755" spans="1:6" x14ac:dyDescent="0.3">
      <c r="A755">
        <v>20606100893</v>
      </c>
      <c r="B755" t="s">
        <v>1067</v>
      </c>
      <c r="F755">
        <v>11</v>
      </c>
    </row>
    <row r="756" spans="1:6" x14ac:dyDescent="0.3">
      <c r="A756">
        <v>10709491461</v>
      </c>
      <c r="B756" t="s">
        <v>1057</v>
      </c>
      <c r="F756">
        <v>11</v>
      </c>
    </row>
    <row r="757" spans="1:6" x14ac:dyDescent="0.3">
      <c r="A757">
        <v>72725445</v>
      </c>
      <c r="B757" t="s">
        <v>1068</v>
      </c>
      <c r="E757" t="s">
        <v>865</v>
      </c>
      <c r="F757">
        <v>8</v>
      </c>
    </row>
    <row r="758" spans="1:6" x14ac:dyDescent="0.3">
      <c r="A758">
        <v>72378581</v>
      </c>
      <c r="B758" t="s">
        <v>1069</v>
      </c>
      <c r="E758" t="s">
        <v>865</v>
      </c>
      <c r="F758">
        <v>8</v>
      </c>
    </row>
    <row r="759" spans="1:6" x14ac:dyDescent="0.3">
      <c r="A759">
        <v>46930934</v>
      </c>
      <c r="B759" t="s">
        <v>1070</v>
      </c>
      <c r="E759" t="s">
        <v>865</v>
      </c>
      <c r="F759">
        <v>8</v>
      </c>
    </row>
    <row r="760" spans="1:6" x14ac:dyDescent="0.3">
      <c r="A760">
        <v>20558309831</v>
      </c>
      <c r="B760" t="s">
        <v>1071</v>
      </c>
      <c r="F760">
        <v>11</v>
      </c>
    </row>
    <row r="761" spans="1:6" x14ac:dyDescent="0.3">
      <c r="A761">
        <v>10773382439</v>
      </c>
      <c r="B761" t="s">
        <v>1072</v>
      </c>
      <c r="F761">
        <v>11</v>
      </c>
    </row>
    <row r="762" spans="1:6" x14ac:dyDescent="0.3">
      <c r="A762">
        <v>10725531368</v>
      </c>
      <c r="B762" t="s">
        <v>1073</v>
      </c>
      <c r="F762">
        <v>11</v>
      </c>
    </row>
    <row r="763" spans="1:6" x14ac:dyDescent="0.3">
      <c r="A763">
        <v>20612478920</v>
      </c>
      <c r="B763" t="s">
        <v>1074</v>
      </c>
      <c r="F763">
        <v>11</v>
      </c>
    </row>
    <row r="764" spans="1:6" x14ac:dyDescent="0.3">
      <c r="A764">
        <v>72551423</v>
      </c>
      <c r="B764" t="s">
        <v>1075</v>
      </c>
      <c r="E764" t="s">
        <v>865</v>
      </c>
      <c r="F764">
        <v>8</v>
      </c>
    </row>
    <row r="765" spans="1:6" x14ac:dyDescent="0.3">
      <c r="A765">
        <v>77175568</v>
      </c>
      <c r="B765" t="s">
        <v>1076</v>
      </c>
      <c r="F765">
        <v>8</v>
      </c>
    </row>
    <row r="766" spans="1:6" x14ac:dyDescent="0.3">
      <c r="A766">
        <v>20605533125</v>
      </c>
      <c r="B766" t="s">
        <v>1077</v>
      </c>
      <c r="F766">
        <v>11</v>
      </c>
    </row>
    <row r="767" spans="1:6" x14ac:dyDescent="0.3">
      <c r="A767">
        <v>20523395701</v>
      </c>
      <c r="B767" t="s">
        <v>1078</v>
      </c>
      <c r="F767">
        <v>11</v>
      </c>
    </row>
    <row r="768" spans="1:6" x14ac:dyDescent="0.3">
      <c r="A768">
        <v>20609649519</v>
      </c>
      <c r="B768" t="s">
        <v>1079</v>
      </c>
      <c r="F768">
        <v>11</v>
      </c>
    </row>
    <row r="769" spans="1:6" x14ac:dyDescent="0.3">
      <c r="A769">
        <v>20600012828</v>
      </c>
      <c r="B769" t="s">
        <v>1080</v>
      </c>
      <c r="F769">
        <v>11</v>
      </c>
    </row>
    <row r="770" spans="1:6" x14ac:dyDescent="0.3">
      <c r="A770">
        <v>10738983659</v>
      </c>
      <c r="B770" t="s">
        <v>1081</v>
      </c>
      <c r="F770">
        <v>11</v>
      </c>
    </row>
    <row r="771" spans="1:6" x14ac:dyDescent="0.3">
      <c r="A771">
        <v>20610059393</v>
      </c>
      <c r="B771" t="s">
        <v>1082</v>
      </c>
      <c r="F771">
        <v>11</v>
      </c>
    </row>
    <row r="772" spans="1:6" x14ac:dyDescent="0.3">
      <c r="A772">
        <v>20612785130</v>
      </c>
      <c r="B772" t="s">
        <v>1083</v>
      </c>
      <c r="F772">
        <v>11</v>
      </c>
    </row>
    <row r="773" spans="1:6" x14ac:dyDescent="0.3">
      <c r="A773">
        <v>20610217762</v>
      </c>
      <c r="B773" t="s">
        <v>1084</v>
      </c>
      <c r="F773">
        <v>11</v>
      </c>
    </row>
    <row r="774" spans="1:6" x14ac:dyDescent="0.3">
      <c r="A774">
        <v>72566765</v>
      </c>
      <c r="B774" t="s">
        <v>1085</v>
      </c>
      <c r="E774" t="s">
        <v>865</v>
      </c>
      <c r="F774">
        <v>8</v>
      </c>
    </row>
    <row r="775" spans="1:6" x14ac:dyDescent="0.3">
      <c r="A775">
        <v>46371564</v>
      </c>
      <c r="B775" t="s">
        <v>1086</v>
      </c>
      <c r="E775" t="s">
        <v>865</v>
      </c>
      <c r="F775">
        <v>8</v>
      </c>
    </row>
    <row r="776" spans="1:6" x14ac:dyDescent="0.3">
      <c r="A776">
        <v>29266085</v>
      </c>
      <c r="B776" t="s">
        <v>1087</v>
      </c>
      <c r="E776" t="s">
        <v>865</v>
      </c>
      <c r="F776">
        <v>8</v>
      </c>
    </row>
    <row r="777" spans="1:6" x14ac:dyDescent="0.3">
      <c r="A777">
        <v>73195281</v>
      </c>
      <c r="B777" t="s">
        <v>1088</v>
      </c>
      <c r="E777" t="s">
        <v>865</v>
      </c>
      <c r="F777">
        <v>8</v>
      </c>
    </row>
    <row r="778" spans="1:6" x14ac:dyDescent="0.3">
      <c r="A778">
        <v>45882922</v>
      </c>
      <c r="B778" t="s">
        <v>1089</v>
      </c>
      <c r="E778" t="s">
        <v>865</v>
      </c>
      <c r="F778">
        <v>8</v>
      </c>
    </row>
    <row r="779" spans="1:6" x14ac:dyDescent="0.3">
      <c r="A779">
        <v>74990400</v>
      </c>
      <c r="B779" t="s">
        <v>1090</v>
      </c>
      <c r="E779" t="s">
        <v>865</v>
      </c>
      <c r="F779">
        <v>8</v>
      </c>
    </row>
    <row r="780" spans="1:6" x14ac:dyDescent="0.3">
      <c r="A780">
        <v>60554816</v>
      </c>
      <c r="B780" t="s">
        <v>1091</v>
      </c>
      <c r="E780" t="s">
        <v>865</v>
      </c>
      <c r="F780">
        <v>8</v>
      </c>
    </row>
    <row r="781" spans="1:6" x14ac:dyDescent="0.3">
      <c r="A781">
        <v>74842377</v>
      </c>
      <c r="B781" t="s">
        <v>1092</v>
      </c>
      <c r="E781" t="s">
        <v>865</v>
      </c>
      <c r="F781">
        <v>8</v>
      </c>
    </row>
    <row r="782" spans="1:6" x14ac:dyDescent="0.3">
      <c r="A782">
        <v>75846609</v>
      </c>
      <c r="B782" t="s">
        <v>1093</v>
      </c>
      <c r="E782" t="s">
        <v>865</v>
      </c>
      <c r="F782">
        <v>8</v>
      </c>
    </row>
    <row r="783" spans="1:6" x14ac:dyDescent="0.3">
      <c r="A783">
        <v>73894204</v>
      </c>
      <c r="B783" t="s">
        <v>1094</v>
      </c>
      <c r="E783" t="s">
        <v>865</v>
      </c>
      <c r="F783">
        <v>8</v>
      </c>
    </row>
    <row r="784" spans="1:6" x14ac:dyDescent="0.3">
      <c r="A784">
        <v>61047898</v>
      </c>
      <c r="B784" t="s">
        <v>1095</v>
      </c>
      <c r="E784" t="s">
        <v>865</v>
      </c>
      <c r="F784">
        <v>8</v>
      </c>
    </row>
    <row r="785" spans="1:6" x14ac:dyDescent="0.3">
      <c r="A785">
        <v>10431742069</v>
      </c>
      <c r="B785" t="s">
        <v>1096</v>
      </c>
      <c r="F785">
        <v>11</v>
      </c>
    </row>
    <row r="786" spans="1:6" x14ac:dyDescent="0.3">
      <c r="A786">
        <v>70313878</v>
      </c>
      <c r="B786" t="s">
        <v>1097</v>
      </c>
      <c r="E786" t="s">
        <v>865</v>
      </c>
      <c r="F786">
        <v>8</v>
      </c>
    </row>
    <row r="787" spans="1:6" x14ac:dyDescent="0.3">
      <c r="A787">
        <v>10460411195</v>
      </c>
      <c r="B787" t="s">
        <v>1098</v>
      </c>
      <c r="F787">
        <v>11</v>
      </c>
    </row>
    <row r="788" spans="1:6" x14ac:dyDescent="0.3">
      <c r="A788">
        <v>20515758659</v>
      </c>
      <c r="B788" t="s">
        <v>1099</v>
      </c>
      <c r="F788">
        <v>11</v>
      </c>
    </row>
    <row r="789" spans="1:6" x14ac:dyDescent="0.3">
      <c r="A789">
        <v>20477233458</v>
      </c>
      <c r="B789" t="s">
        <v>1100</v>
      </c>
      <c r="F789">
        <v>11</v>
      </c>
    </row>
    <row r="790" spans="1:6" x14ac:dyDescent="0.3">
      <c r="A790">
        <v>20601292727</v>
      </c>
      <c r="B790" t="s">
        <v>1101</v>
      </c>
      <c r="F790">
        <v>11</v>
      </c>
    </row>
    <row r="791" spans="1:6" x14ac:dyDescent="0.3">
      <c r="A791">
        <v>10294164630</v>
      </c>
      <c r="B791" t="s">
        <v>1102</v>
      </c>
      <c r="F791">
        <v>11</v>
      </c>
    </row>
    <row r="792" spans="1:6" x14ac:dyDescent="0.3">
      <c r="A792">
        <v>20601014956</v>
      </c>
      <c r="B792" t="s">
        <v>1103</v>
      </c>
      <c r="F792">
        <v>11</v>
      </c>
    </row>
    <row r="793" spans="1:6" x14ac:dyDescent="0.3">
      <c r="A793">
        <v>20611135271</v>
      </c>
      <c r="B793" t="s">
        <v>1104</v>
      </c>
      <c r="F793">
        <v>11</v>
      </c>
    </row>
    <row r="794" spans="1:6" x14ac:dyDescent="0.3">
      <c r="A794">
        <v>20106076635</v>
      </c>
      <c r="B794" t="s">
        <v>1105</v>
      </c>
      <c r="F794">
        <v>11</v>
      </c>
    </row>
    <row r="795" spans="1:6" x14ac:dyDescent="0.3">
      <c r="A795">
        <v>10405939504</v>
      </c>
      <c r="B795" t="s">
        <v>1106</v>
      </c>
      <c r="F795">
        <v>11</v>
      </c>
    </row>
    <row r="796" spans="1:6" x14ac:dyDescent="0.3">
      <c r="A796">
        <v>20219774207</v>
      </c>
      <c r="B796" t="s">
        <v>1107</v>
      </c>
      <c r="F796">
        <v>11</v>
      </c>
    </row>
    <row r="797" spans="1:6" x14ac:dyDescent="0.3">
      <c r="A797">
        <v>20610912070</v>
      </c>
      <c r="B797" t="s">
        <v>1108</v>
      </c>
      <c r="F797">
        <v>11</v>
      </c>
    </row>
    <row r="798" spans="1:6" x14ac:dyDescent="0.3">
      <c r="A798">
        <v>20539522320</v>
      </c>
      <c r="B798" t="s">
        <v>1109</v>
      </c>
      <c r="F798">
        <v>11</v>
      </c>
    </row>
    <row r="799" spans="1:6" x14ac:dyDescent="0.3">
      <c r="A799">
        <v>10478277046</v>
      </c>
      <c r="B799" t="s">
        <v>1110</v>
      </c>
      <c r="F799">
        <v>11</v>
      </c>
    </row>
    <row r="800" spans="1:6" x14ac:dyDescent="0.3">
      <c r="A800">
        <v>10207191685</v>
      </c>
      <c r="B800" t="s">
        <v>1111</v>
      </c>
      <c r="F800">
        <v>11</v>
      </c>
    </row>
    <row r="801" spans="1:6" x14ac:dyDescent="0.3">
      <c r="A801">
        <v>10295579221</v>
      </c>
      <c r="B801" t="s">
        <v>1112</v>
      </c>
      <c r="C801" t="s">
        <v>62</v>
      </c>
      <c r="D801" t="s">
        <v>1113</v>
      </c>
      <c r="F801">
        <v>11</v>
      </c>
    </row>
    <row r="802" spans="1:6" x14ac:dyDescent="0.3">
      <c r="A802">
        <v>10410928421</v>
      </c>
      <c r="B802" t="s">
        <v>1114</v>
      </c>
      <c r="F802">
        <v>11</v>
      </c>
    </row>
    <row r="803" spans="1:6" x14ac:dyDescent="0.3">
      <c r="A803">
        <v>10449756199</v>
      </c>
      <c r="B803" t="s">
        <v>1115</v>
      </c>
      <c r="F803">
        <v>11</v>
      </c>
    </row>
    <row r="804" spans="1:6" x14ac:dyDescent="0.3">
      <c r="A804">
        <v>20606656620</v>
      </c>
      <c r="B804" t="s">
        <v>1116</v>
      </c>
      <c r="F804">
        <v>11</v>
      </c>
    </row>
    <row r="805" spans="1:6" x14ac:dyDescent="0.3">
      <c r="A805">
        <v>20601185203</v>
      </c>
      <c r="B805" t="s">
        <v>1117</v>
      </c>
      <c r="F805">
        <v>11</v>
      </c>
    </row>
    <row r="806" spans="1:6" x14ac:dyDescent="0.3">
      <c r="A806">
        <v>20553410283</v>
      </c>
      <c r="B806" t="s">
        <v>1118</v>
      </c>
      <c r="F806">
        <v>11</v>
      </c>
    </row>
    <row r="807" spans="1:6" x14ac:dyDescent="0.3">
      <c r="A807">
        <v>20610156445</v>
      </c>
      <c r="B807" t="s">
        <v>1119</v>
      </c>
      <c r="F807">
        <v>11</v>
      </c>
    </row>
    <row r="808" spans="1:6" x14ac:dyDescent="0.3">
      <c r="A808">
        <v>10705731956</v>
      </c>
      <c r="B808" t="s">
        <v>1120</v>
      </c>
      <c r="F808">
        <v>11</v>
      </c>
    </row>
    <row r="809" spans="1:6" x14ac:dyDescent="0.3">
      <c r="A809">
        <v>10735413185</v>
      </c>
      <c r="B809" t="s">
        <v>1121</v>
      </c>
      <c r="F809">
        <v>11</v>
      </c>
    </row>
    <row r="810" spans="1:6" x14ac:dyDescent="0.3">
      <c r="A810">
        <v>10419394004</v>
      </c>
      <c r="B810" t="s">
        <v>1122</v>
      </c>
      <c r="F810">
        <v>11</v>
      </c>
    </row>
    <row r="811" spans="1:6" x14ac:dyDescent="0.3">
      <c r="A811">
        <v>20492269264</v>
      </c>
      <c r="B811" t="s">
        <v>1123</v>
      </c>
      <c r="F811">
        <v>11</v>
      </c>
    </row>
    <row r="812" spans="1:6" x14ac:dyDescent="0.3">
      <c r="A812">
        <v>5409047</v>
      </c>
      <c r="B812" t="s">
        <v>1124</v>
      </c>
      <c r="E812" t="s">
        <v>865</v>
      </c>
      <c r="F812">
        <v>9</v>
      </c>
    </row>
    <row r="813" spans="1:6" x14ac:dyDescent="0.3">
      <c r="A813">
        <v>10294459419</v>
      </c>
      <c r="B813" t="s">
        <v>1125</v>
      </c>
      <c r="F813">
        <v>11</v>
      </c>
    </row>
    <row r="814" spans="1:6" x14ac:dyDescent="0.3">
      <c r="A814">
        <v>20563648113</v>
      </c>
      <c r="B814" t="s">
        <v>1126</v>
      </c>
      <c r="F814">
        <v>11</v>
      </c>
    </row>
    <row r="815" spans="1:6" x14ac:dyDescent="0.3">
      <c r="A815">
        <v>20559236803</v>
      </c>
      <c r="B815" t="s">
        <v>1127</v>
      </c>
      <c r="F815">
        <v>11</v>
      </c>
    </row>
    <row r="816" spans="1:6" x14ac:dyDescent="0.3">
      <c r="A816">
        <v>20523621212</v>
      </c>
      <c r="B816" t="s">
        <v>1128</v>
      </c>
      <c r="F816">
        <v>11</v>
      </c>
    </row>
    <row r="817" spans="1:6" x14ac:dyDescent="0.3">
      <c r="A817">
        <v>10304221271</v>
      </c>
      <c r="B817" t="s">
        <v>1129</v>
      </c>
      <c r="F817">
        <v>11</v>
      </c>
    </row>
    <row r="818" spans="1:6" x14ac:dyDescent="0.3">
      <c r="A818">
        <v>10215629193</v>
      </c>
      <c r="B818" t="s">
        <v>1130</v>
      </c>
      <c r="F818">
        <v>11</v>
      </c>
    </row>
    <row r="819" spans="1:6" x14ac:dyDescent="0.3">
      <c r="A819">
        <v>10440693577</v>
      </c>
      <c r="B819" t="s">
        <v>1131</v>
      </c>
      <c r="F819">
        <v>11</v>
      </c>
    </row>
    <row r="820" spans="1:6" x14ac:dyDescent="0.3">
      <c r="A820">
        <v>10218664615</v>
      </c>
      <c r="B820" t="s">
        <v>1132</v>
      </c>
      <c r="F820">
        <v>11</v>
      </c>
    </row>
    <row r="821" spans="1:6" x14ac:dyDescent="0.3">
      <c r="A821">
        <v>10304221271</v>
      </c>
      <c r="B821" t="s">
        <v>1129</v>
      </c>
      <c r="F821">
        <v>11</v>
      </c>
    </row>
    <row r="822" spans="1:6" x14ac:dyDescent="0.3">
      <c r="A822">
        <v>10749040918</v>
      </c>
      <c r="B822" t="s">
        <v>1133</v>
      </c>
      <c r="F822">
        <v>11</v>
      </c>
    </row>
    <row r="823" spans="1:6" x14ac:dyDescent="0.3">
      <c r="A823">
        <v>71662026</v>
      </c>
      <c r="B823" t="s">
        <v>1134</v>
      </c>
      <c r="E823" t="s">
        <v>865</v>
      </c>
      <c r="F823">
        <v>8</v>
      </c>
    </row>
    <row r="824" spans="1:6" x14ac:dyDescent="0.3">
      <c r="A824">
        <v>20549457879</v>
      </c>
      <c r="B824" t="s">
        <v>1135</v>
      </c>
      <c r="F824">
        <v>11</v>
      </c>
    </row>
    <row r="825" spans="1:6" x14ac:dyDescent="0.3">
      <c r="A825">
        <v>20552714378</v>
      </c>
      <c r="B825" t="s">
        <v>1136</v>
      </c>
      <c r="F825">
        <v>11</v>
      </c>
    </row>
    <row r="826" spans="1:6" x14ac:dyDescent="0.3">
      <c r="A826">
        <v>20604599564</v>
      </c>
      <c r="B826" t="s">
        <v>1137</v>
      </c>
      <c r="F826">
        <v>11</v>
      </c>
    </row>
    <row r="827" spans="1:6" x14ac:dyDescent="0.3">
      <c r="A827">
        <v>20535045233</v>
      </c>
      <c r="B827" t="s">
        <v>1138</v>
      </c>
      <c r="F827">
        <v>11</v>
      </c>
    </row>
    <row r="828" spans="1:6" x14ac:dyDescent="0.3">
      <c r="A828">
        <v>20613536184</v>
      </c>
      <c r="B828" t="s">
        <v>1139</v>
      </c>
      <c r="C828" t="s">
        <v>62</v>
      </c>
      <c r="D828" t="s">
        <v>1140</v>
      </c>
      <c r="F828">
        <v>11</v>
      </c>
    </row>
    <row r="829" spans="1:6" x14ac:dyDescent="0.3">
      <c r="A829">
        <v>20455788286</v>
      </c>
      <c r="B829" t="s">
        <v>1141</v>
      </c>
      <c r="F829">
        <v>11</v>
      </c>
    </row>
    <row r="830" spans="1:6" x14ac:dyDescent="0.3">
      <c r="A830">
        <v>10464543631</v>
      </c>
      <c r="B830" t="s">
        <v>1142</v>
      </c>
      <c r="F830">
        <v>11</v>
      </c>
    </row>
    <row r="831" spans="1:6" x14ac:dyDescent="0.3">
      <c r="A831">
        <v>20172661794</v>
      </c>
      <c r="B831" t="s">
        <v>1143</v>
      </c>
      <c r="F831">
        <v>11</v>
      </c>
    </row>
    <row r="832" spans="1:6" x14ac:dyDescent="0.3">
      <c r="A832">
        <v>10742479299</v>
      </c>
      <c r="B832" t="s">
        <v>1144</v>
      </c>
      <c r="F832">
        <v>11</v>
      </c>
    </row>
    <row r="833" spans="1:6" x14ac:dyDescent="0.3">
      <c r="A833">
        <v>20131379944</v>
      </c>
      <c r="B833" t="s">
        <v>1145</v>
      </c>
      <c r="F833">
        <v>11</v>
      </c>
    </row>
    <row r="834" spans="1:6" x14ac:dyDescent="0.3">
      <c r="A834">
        <v>20492966658</v>
      </c>
      <c r="B834" t="s">
        <v>1146</v>
      </c>
      <c r="F834">
        <v>11</v>
      </c>
    </row>
    <row r="835" spans="1:6" x14ac:dyDescent="0.3">
      <c r="A835">
        <v>20162554167</v>
      </c>
      <c r="B835" t="s">
        <v>1147</v>
      </c>
      <c r="F835">
        <v>11</v>
      </c>
    </row>
    <row r="836" spans="1:6" x14ac:dyDescent="0.3">
      <c r="A836">
        <v>20611633972</v>
      </c>
      <c r="B836" t="s">
        <v>1148</v>
      </c>
      <c r="F836">
        <v>11</v>
      </c>
    </row>
    <row r="837" spans="1:6" x14ac:dyDescent="0.3">
      <c r="A837">
        <v>20600066324</v>
      </c>
      <c r="B837" t="s">
        <v>1149</v>
      </c>
      <c r="F837">
        <v>11</v>
      </c>
    </row>
    <row r="838" spans="1:6" x14ac:dyDescent="0.3">
      <c r="A838">
        <v>10070118110</v>
      </c>
      <c r="B838" t="s">
        <v>1150</v>
      </c>
      <c r="F838">
        <v>11</v>
      </c>
    </row>
    <row r="839" spans="1:6" x14ac:dyDescent="0.3">
      <c r="A839">
        <v>10737031409</v>
      </c>
      <c r="B839" t="s">
        <v>1151</v>
      </c>
      <c r="F839">
        <v>11</v>
      </c>
    </row>
    <row r="840" spans="1:6" x14ac:dyDescent="0.3">
      <c r="A840">
        <v>10425076081</v>
      </c>
      <c r="B840" t="s">
        <v>1152</v>
      </c>
      <c r="F840">
        <v>11</v>
      </c>
    </row>
    <row r="841" spans="1:6" x14ac:dyDescent="0.3">
      <c r="A841">
        <v>10221866202</v>
      </c>
      <c r="B841" t="s">
        <v>1153</v>
      </c>
      <c r="F841">
        <v>11</v>
      </c>
    </row>
    <row r="842" spans="1:6" x14ac:dyDescent="0.3">
      <c r="A842">
        <v>10154278538</v>
      </c>
      <c r="B842" t="s">
        <v>1154</v>
      </c>
      <c r="F842">
        <v>11</v>
      </c>
    </row>
    <row r="843" spans="1:6" x14ac:dyDescent="0.3">
      <c r="A843">
        <v>10153696000</v>
      </c>
      <c r="B843" t="s">
        <v>1155</v>
      </c>
      <c r="F843">
        <v>11</v>
      </c>
    </row>
    <row r="844" spans="1:6" x14ac:dyDescent="0.3">
      <c r="A844">
        <v>10435753120</v>
      </c>
      <c r="B844" t="s">
        <v>1156</v>
      </c>
      <c r="F844">
        <v>11</v>
      </c>
    </row>
    <row r="845" spans="1:6" x14ac:dyDescent="0.3">
      <c r="A845">
        <v>10478638740</v>
      </c>
      <c r="B845" t="s">
        <v>1157</v>
      </c>
      <c r="F845">
        <v>11</v>
      </c>
    </row>
    <row r="846" spans="1:6" x14ac:dyDescent="0.3">
      <c r="A846">
        <v>10304926061</v>
      </c>
      <c r="B846" t="s">
        <v>1158</v>
      </c>
      <c r="F846">
        <v>11</v>
      </c>
    </row>
    <row r="847" spans="1:6" x14ac:dyDescent="0.3">
      <c r="A847">
        <v>10485464021</v>
      </c>
      <c r="B847" t="s">
        <v>1159</v>
      </c>
      <c r="F847">
        <v>11</v>
      </c>
    </row>
    <row r="848" spans="1:6" x14ac:dyDescent="0.3">
      <c r="A848">
        <v>10702717901</v>
      </c>
      <c r="B848" t="s">
        <v>1160</v>
      </c>
      <c r="F848">
        <v>11</v>
      </c>
    </row>
    <row r="849" spans="1:6" x14ac:dyDescent="0.3">
      <c r="A849">
        <v>20604568235</v>
      </c>
      <c r="B849" t="s">
        <v>1161</v>
      </c>
      <c r="F849">
        <v>11</v>
      </c>
    </row>
    <row r="850" spans="1:6" x14ac:dyDescent="0.3">
      <c r="A850">
        <v>10296654341</v>
      </c>
      <c r="B850" t="s">
        <v>1162</v>
      </c>
      <c r="F850">
        <v>11</v>
      </c>
    </row>
    <row r="851" spans="1:6" x14ac:dyDescent="0.3">
      <c r="A851">
        <v>10718102389</v>
      </c>
      <c r="B851" t="s">
        <v>1163</v>
      </c>
      <c r="F851">
        <v>11</v>
      </c>
    </row>
    <row r="852" spans="1:6" x14ac:dyDescent="0.3">
      <c r="A852">
        <v>10103616811</v>
      </c>
      <c r="B852" t="s">
        <v>1164</v>
      </c>
      <c r="F852">
        <v>11</v>
      </c>
    </row>
    <row r="853" spans="1:6" x14ac:dyDescent="0.3">
      <c r="A853">
        <v>10417626048</v>
      </c>
      <c r="B853" t="s">
        <v>1165</v>
      </c>
      <c r="F853">
        <v>11</v>
      </c>
    </row>
    <row r="854" spans="1:6" x14ac:dyDescent="0.3">
      <c r="A854">
        <v>10247160847</v>
      </c>
      <c r="B854" t="s">
        <v>1166</v>
      </c>
      <c r="F854">
        <v>11</v>
      </c>
    </row>
    <row r="855" spans="1:6" x14ac:dyDescent="0.3">
      <c r="A855">
        <v>10413662422</v>
      </c>
      <c r="B855" t="s">
        <v>1167</v>
      </c>
      <c r="F855">
        <v>11</v>
      </c>
    </row>
    <row r="856" spans="1:6" x14ac:dyDescent="0.3">
      <c r="A856">
        <v>10296416423</v>
      </c>
      <c r="B856" t="s">
        <v>1168</v>
      </c>
      <c r="F856">
        <v>11</v>
      </c>
    </row>
    <row r="857" spans="1:6" x14ac:dyDescent="0.3">
      <c r="A857">
        <v>10220978554</v>
      </c>
      <c r="B857" t="s">
        <v>1169</v>
      </c>
      <c r="F857">
        <v>11</v>
      </c>
    </row>
    <row r="858" spans="1:6" x14ac:dyDescent="0.3">
      <c r="A858">
        <v>10094964780</v>
      </c>
      <c r="B858" t="s">
        <v>1170</v>
      </c>
      <c r="F858">
        <v>11</v>
      </c>
    </row>
    <row r="859" spans="1:6" x14ac:dyDescent="0.3">
      <c r="A859">
        <v>10408535285</v>
      </c>
      <c r="B859" t="s">
        <v>1171</v>
      </c>
      <c r="F859">
        <v>11</v>
      </c>
    </row>
    <row r="860" spans="1:6" x14ac:dyDescent="0.3">
      <c r="A860">
        <v>20611670151</v>
      </c>
      <c r="B860" t="s">
        <v>1172</v>
      </c>
      <c r="F860">
        <v>11</v>
      </c>
    </row>
    <row r="861" spans="1:6" x14ac:dyDescent="0.3">
      <c r="A861">
        <v>20610821091</v>
      </c>
      <c r="B861" t="s">
        <v>1173</v>
      </c>
      <c r="F861">
        <v>11</v>
      </c>
    </row>
    <row r="862" spans="1:6" x14ac:dyDescent="0.3">
      <c r="A862">
        <v>10100525998</v>
      </c>
      <c r="B862" t="s">
        <v>1174</v>
      </c>
      <c r="F862">
        <v>11</v>
      </c>
    </row>
    <row r="863" spans="1:6" x14ac:dyDescent="0.3">
      <c r="A863">
        <v>20452772087</v>
      </c>
      <c r="B863" t="s">
        <v>1175</v>
      </c>
      <c r="F863">
        <v>11</v>
      </c>
    </row>
    <row r="864" spans="1:6" x14ac:dyDescent="0.3">
      <c r="A864">
        <v>10200986194</v>
      </c>
      <c r="B864" t="s">
        <v>1176</v>
      </c>
      <c r="F864">
        <v>11</v>
      </c>
    </row>
    <row r="865" spans="1:6" x14ac:dyDescent="0.3">
      <c r="A865">
        <v>20603381697</v>
      </c>
      <c r="B865" t="s">
        <v>1177</v>
      </c>
      <c r="F865">
        <v>11</v>
      </c>
    </row>
    <row r="866" spans="1:6" x14ac:dyDescent="0.3">
      <c r="A866">
        <v>10763811064</v>
      </c>
      <c r="B866" t="s">
        <v>1178</v>
      </c>
      <c r="F866">
        <v>11</v>
      </c>
    </row>
    <row r="867" spans="1:6" x14ac:dyDescent="0.3">
      <c r="A867">
        <v>10405340483</v>
      </c>
      <c r="B867" t="s">
        <v>1179</v>
      </c>
      <c r="F867">
        <v>11</v>
      </c>
    </row>
    <row r="868" spans="1:6" x14ac:dyDescent="0.3">
      <c r="A868">
        <v>20600931394</v>
      </c>
      <c r="B868" t="s">
        <v>1180</v>
      </c>
      <c r="F868">
        <v>11</v>
      </c>
    </row>
    <row r="869" spans="1:6" x14ac:dyDescent="0.3">
      <c r="A869">
        <v>20602613225</v>
      </c>
      <c r="B869" t="s">
        <v>1181</v>
      </c>
      <c r="F869">
        <v>11</v>
      </c>
    </row>
    <row r="870" spans="1:6" x14ac:dyDescent="0.3">
      <c r="A870">
        <v>20600818326</v>
      </c>
      <c r="B870" t="s">
        <v>1182</v>
      </c>
      <c r="F870">
        <v>11</v>
      </c>
    </row>
    <row r="871" spans="1:6" x14ac:dyDescent="0.3">
      <c r="A871">
        <v>20604583307</v>
      </c>
      <c r="B871" t="s">
        <v>1183</v>
      </c>
      <c r="F871">
        <v>11</v>
      </c>
    </row>
    <row r="872" spans="1:6" x14ac:dyDescent="0.3">
      <c r="A872">
        <v>10433026492</v>
      </c>
      <c r="B872" t="s">
        <v>1184</v>
      </c>
      <c r="F872">
        <v>11</v>
      </c>
    </row>
    <row r="873" spans="1:6" x14ac:dyDescent="0.3">
      <c r="A873">
        <v>20607192872</v>
      </c>
      <c r="B873" t="s">
        <v>1185</v>
      </c>
      <c r="C873" t="s">
        <v>287</v>
      </c>
      <c r="D873" t="s">
        <v>1186</v>
      </c>
      <c r="F873">
        <v>11</v>
      </c>
    </row>
    <row r="874" spans="1:6" x14ac:dyDescent="0.3">
      <c r="A874">
        <v>10727390915</v>
      </c>
      <c r="B874" t="s">
        <v>1187</v>
      </c>
      <c r="F874">
        <v>11</v>
      </c>
    </row>
    <row r="875" spans="1:6" x14ac:dyDescent="0.3">
      <c r="A875">
        <v>10044314075</v>
      </c>
      <c r="B875" t="s">
        <v>1188</v>
      </c>
      <c r="F875">
        <v>11</v>
      </c>
    </row>
    <row r="876" spans="1:6" x14ac:dyDescent="0.3">
      <c r="A876">
        <v>10248626688</v>
      </c>
      <c r="B876" t="s">
        <v>1189</v>
      </c>
      <c r="F876">
        <v>11</v>
      </c>
    </row>
    <row r="877" spans="1:6" x14ac:dyDescent="0.3">
      <c r="A877">
        <v>20611781777</v>
      </c>
      <c r="B877" t="s">
        <v>1190</v>
      </c>
      <c r="F877">
        <v>11</v>
      </c>
    </row>
    <row r="878" spans="1:6" x14ac:dyDescent="0.3">
      <c r="A878">
        <v>20601162165</v>
      </c>
      <c r="B878" t="s">
        <v>1191</v>
      </c>
      <c r="C878" t="s">
        <v>109</v>
      </c>
      <c r="D878" t="s">
        <v>1192</v>
      </c>
      <c r="F878">
        <v>11</v>
      </c>
    </row>
    <row r="879" spans="1:6" x14ac:dyDescent="0.3">
      <c r="A879">
        <v>10283065524</v>
      </c>
      <c r="B879" t="s">
        <v>1193</v>
      </c>
      <c r="F879">
        <v>11</v>
      </c>
    </row>
    <row r="880" spans="1:6" x14ac:dyDescent="0.3">
      <c r="A880">
        <v>20605360565</v>
      </c>
      <c r="B880" t="s">
        <v>1194</v>
      </c>
      <c r="F880">
        <v>11</v>
      </c>
    </row>
    <row r="881" spans="1:6" x14ac:dyDescent="0.3">
      <c r="A881">
        <v>20612485691</v>
      </c>
      <c r="B881" t="s">
        <v>1195</v>
      </c>
      <c r="F881">
        <v>11</v>
      </c>
    </row>
    <row r="882" spans="1:6" x14ac:dyDescent="0.3">
      <c r="A882">
        <v>10756572607</v>
      </c>
      <c r="B882" t="s">
        <v>1196</v>
      </c>
      <c r="F882">
        <v>11</v>
      </c>
    </row>
    <row r="883" spans="1:6" x14ac:dyDescent="0.3">
      <c r="A883">
        <v>15603864635</v>
      </c>
      <c r="B883" t="s">
        <v>1197</v>
      </c>
      <c r="F883">
        <v>11</v>
      </c>
    </row>
    <row r="884" spans="1:6" x14ac:dyDescent="0.3">
      <c r="A884">
        <v>20605709053</v>
      </c>
      <c r="B884" t="s">
        <v>1198</v>
      </c>
      <c r="F884">
        <v>11</v>
      </c>
    </row>
    <row r="885" spans="1:6" x14ac:dyDescent="0.3">
      <c r="A885">
        <v>20556038806</v>
      </c>
      <c r="B885" t="s">
        <v>1199</v>
      </c>
      <c r="F885">
        <v>11</v>
      </c>
    </row>
    <row r="886" spans="1:6" x14ac:dyDescent="0.3">
      <c r="A886">
        <v>20603045638</v>
      </c>
      <c r="B886" t="s">
        <v>1200</v>
      </c>
      <c r="F886">
        <v>11</v>
      </c>
    </row>
    <row r="887" spans="1:6" x14ac:dyDescent="0.3">
      <c r="A887">
        <v>20610818693</v>
      </c>
      <c r="B887" t="s">
        <v>1201</v>
      </c>
      <c r="F887">
        <v>11</v>
      </c>
    </row>
    <row r="888" spans="1:6" x14ac:dyDescent="0.3">
      <c r="A888">
        <v>20610537902</v>
      </c>
      <c r="B888" t="s">
        <v>1202</v>
      </c>
      <c r="F888">
        <v>11</v>
      </c>
    </row>
    <row r="889" spans="1:6" x14ac:dyDescent="0.3">
      <c r="A889">
        <v>20547154127</v>
      </c>
      <c r="B889" t="s">
        <v>1203</v>
      </c>
      <c r="F889">
        <v>11</v>
      </c>
    </row>
    <row r="890" spans="1:6" x14ac:dyDescent="0.3">
      <c r="A890">
        <v>20601780543</v>
      </c>
      <c r="B890" t="s">
        <v>1204</v>
      </c>
      <c r="F890">
        <v>11</v>
      </c>
    </row>
    <row r="891" spans="1:6" x14ac:dyDescent="0.3">
      <c r="A891">
        <v>20606664088</v>
      </c>
      <c r="B891" t="s">
        <v>1205</v>
      </c>
      <c r="F891">
        <v>11</v>
      </c>
    </row>
    <row r="892" spans="1:6" x14ac:dyDescent="0.3">
      <c r="A892">
        <v>20228319768</v>
      </c>
      <c r="B892" t="s">
        <v>1206</v>
      </c>
      <c r="F892">
        <v>11</v>
      </c>
    </row>
    <row r="893" spans="1:6" x14ac:dyDescent="0.3">
      <c r="A893">
        <v>20100053455</v>
      </c>
      <c r="B893" t="s">
        <v>1207</v>
      </c>
      <c r="F893">
        <v>11</v>
      </c>
    </row>
    <row r="894" spans="1:6" x14ac:dyDescent="0.3">
      <c r="A894">
        <v>20613525093</v>
      </c>
      <c r="B894" t="s">
        <v>1052</v>
      </c>
      <c r="F894">
        <v>11</v>
      </c>
    </row>
    <row r="895" spans="1:6" x14ac:dyDescent="0.3">
      <c r="A895">
        <v>20100130204</v>
      </c>
      <c r="B895" t="s">
        <v>1208</v>
      </c>
      <c r="F895">
        <v>11</v>
      </c>
    </row>
    <row r="896" spans="1:6" x14ac:dyDescent="0.3">
      <c r="A896">
        <v>20608280333</v>
      </c>
      <c r="B896" t="s">
        <v>1209</v>
      </c>
      <c r="F896">
        <v>11</v>
      </c>
    </row>
    <row r="897" spans="1:6" x14ac:dyDescent="0.3">
      <c r="A897">
        <v>20492922014</v>
      </c>
      <c r="B897" t="s">
        <v>1210</v>
      </c>
      <c r="F897">
        <v>11</v>
      </c>
    </row>
    <row r="898" spans="1:6" x14ac:dyDescent="0.3">
      <c r="A898">
        <v>20100123330</v>
      </c>
      <c r="B898" t="s">
        <v>1211</v>
      </c>
      <c r="F898">
        <v>11</v>
      </c>
    </row>
    <row r="899" spans="1:6" x14ac:dyDescent="0.3">
      <c r="A899">
        <v>20121662737</v>
      </c>
      <c r="B899" t="s">
        <v>1212</v>
      </c>
      <c r="F899">
        <v>11</v>
      </c>
    </row>
    <row r="900" spans="1:6" x14ac:dyDescent="0.3">
      <c r="A900">
        <v>20612893005</v>
      </c>
      <c r="B900" t="s">
        <v>1213</v>
      </c>
      <c r="F900">
        <v>11</v>
      </c>
    </row>
    <row r="901" spans="1:6" x14ac:dyDescent="0.3">
      <c r="A901">
        <v>20100130204</v>
      </c>
      <c r="B901" t="s">
        <v>1208</v>
      </c>
      <c r="F901">
        <v>11</v>
      </c>
    </row>
    <row r="902" spans="1:6" x14ac:dyDescent="0.3">
      <c r="A902">
        <v>10417719241</v>
      </c>
      <c r="B902" t="s">
        <v>1214</v>
      </c>
      <c r="F902">
        <v>11</v>
      </c>
    </row>
    <row r="903" spans="1:6" x14ac:dyDescent="0.3">
      <c r="A903">
        <v>10414841371</v>
      </c>
      <c r="B903" t="s">
        <v>1215</v>
      </c>
      <c r="F903">
        <v>11</v>
      </c>
    </row>
    <row r="904" spans="1:6" x14ac:dyDescent="0.3">
      <c r="A904">
        <v>10706873584</v>
      </c>
      <c r="B904" t="s">
        <v>1216</v>
      </c>
      <c r="F904">
        <v>11</v>
      </c>
    </row>
    <row r="905" spans="1:6" x14ac:dyDescent="0.3">
      <c r="A905">
        <v>20613689215</v>
      </c>
      <c r="B905" t="s">
        <v>1217</v>
      </c>
      <c r="F905">
        <v>11</v>
      </c>
    </row>
    <row r="906" spans="1:6" x14ac:dyDescent="0.3">
      <c r="A906">
        <v>20100075858</v>
      </c>
      <c r="B906" t="s">
        <v>1218</v>
      </c>
      <c r="F906">
        <v>11</v>
      </c>
    </row>
    <row r="907" spans="1:6" x14ac:dyDescent="0.3">
      <c r="A907">
        <v>15614030931</v>
      </c>
      <c r="B907" t="s">
        <v>1219</v>
      </c>
      <c r="F907">
        <v>11</v>
      </c>
    </row>
    <row r="908" spans="1:6" x14ac:dyDescent="0.3">
      <c r="A908">
        <v>10600593663</v>
      </c>
      <c r="B908" t="s">
        <v>1220</v>
      </c>
      <c r="F908">
        <v>11</v>
      </c>
    </row>
    <row r="909" spans="1:6" x14ac:dyDescent="0.3">
      <c r="A909">
        <v>20326811662</v>
      </c>
      <c r="B909" t="s">
        <v>1221</v>
      </c>
      <c r="F909">
        <v>11</v>
      </c>
    </row>
    <row r="910" spans="1:6" x14ac:dyDescent="0.3">
      <c r="A910">
        <v>20510495781</v>
      </c>
      <c r="B910" t="s">
        <v>1222</v>
      </c>
      <c r="F910">
        <v>11</v>
      </c>
    </row>
    <row r="911" spans="1:6" x14ac:dyDescent="0.3">
      <c r="A911">
        <v>20455278750</v>
      </c>
      <c r="B911" t="s">
        <v>1223</v>
      </c>
      <c r="F911">
        <v>11</v>
      </c>
    </row>
    <row r="912" spans="1:6" x14ac:dyDescent="0.3">
      <c r="A912">
        <v>20612760412</v>
      </c>
      <c r="B912" t="s">
        <v>1224</v>
      </c>
      <c r="F912">
        <v>11</v>
      </c>
    </row>
    <row r="913" spans="1:6" x14ac:dyDescent="0.3">
      <c r="A913">
        <v>10296497725</v>
      </c>
      <c r="B913" t="s">
        <v>1225</v>
      </c>
      <c r="F913">
        <v>11</v>
      </c>
    </row>
    <row r="914" spans="1:6" x14ac:dyDescent="0.3">
      <c r="A914">
        <v>20456298720</v>
      </c>
      <c r="B914" t="s">
        <v>1226</v>
      </c>
      <c r="F914">
        <v>11</v>
      </c>
    </row>
    <row r="915" spans="1:6" x14ac:dyDescent="0.3">
      <c r="A915">
        <v>20558565676</v>
      </c>
      <c r="B915" t="s">
        <v>1227</v>
      </c>
      <c r="F915">
        <v>11</v>
      </c>
    </row>
    <row r="916" spans="1:6" x14ac:dyDescent="0.3">
      <c r="A916">
        <v>20455306478</v>
      </c>
      <c r="B916" t="s">
        <v>1228</v>
      </c>
      <c r="F916">
        <v>11</v>
      </c>
    </row>
    <row r="917" spans="1:6" x14ac:dyDescent="0.3">
      <c r="A917">
        <v>10433864293</v>
      </c>
      <c r="B917" t="s">
        <v>1229</v>
      </c>
      <c r="F917">
        <v>11</v>
      </c>
    </row>
    <row r="918" spans="1:6" x14ac:dyDescent="0.3">
      <c r="A918">
        <v>10295409270</v>
      </c>
      <c r="B918" t="s">
        <v>1230</v>
      </c>
      <c r="F918">
        <v>11</v>
      </c>
    </row>
    <row r="919" spans="1:6" x14ac:dyDescent="0.3">
      <c r="A919">
        <v>10466320973</v>
      </c>
      <c r="B919" t="s">
        <v>1231</v>
      </c>
      <c r="F919">
        <v>11</v>
      </c>
    </row>
    <row r="920" spans="1:6" x14ac:dyDescent="0.3">
      <c r="A920">
        <v>20495019196</v>
      </c>
      <c r="B920" t="s">
        <v>1232</v>
      </c>
      <c r="F920">
        <v>11</v>
      </c>
    </row>
    <row r="921" spans="1:6" x14ac:dyDescent="0.3">
      <c r="A921">
        <v>10428575194</v>
      </c>
      <c r="B921" t="s">
        <v>1233</v>
      </c>
      <c r="F921">
        <v>11</v>
      </c>
    </row>
    <row r="922" spans="1:6" x14ac:dyDescent="0.3">
      <c r="A922">
        <v>20452694698</v>
      </c>
      <c r="B922" t="s">
        <v>1234</v>
      </c>
      <c r="F922">
        <v>11</v>
      </c>
    </row>
    <row r="923" spans="1:6" x14ac:dyDescent="0.3">
      <c r="A923">
        <v>20535554031</v>
      </c>
      <c r="B923" t="s">
        <v>1235</v>
      </c>
      <c r="F923">
        <v>11</v>
      </c>
    </row>
    <row r="924" spans="1:6" x14ac:dyDescent="0.3">
      <c r="A924">
        <v>20225372706</v>
      </c>
      <c r="B924" t="s">
        <v>1236</v>
      </c>
      <c r="F924">
        <v>11</v>
      </c>
    </row>
    <row r="925" spans="1:6" x14ac:dyDescent="0.3">
      <c r="A925">
        <v>20601579295</v>
      </c>
      <c r="B925" t="s">
        <v>1237</v>
      </c>
      <c r="F925">
        <v>11</v>
      </c>
    </row>
    <row r="926" spans="1:6" x14ac:dyDescent="0.3">
      <c r="A926">
        <v>20455273791</v>
      </c>
      <c r="B926" t="s">
        <v>1238</v>
      </c>
      <c r="F926">
        <v>11</v>
      </c>
    </row>
    <row r="927" spans="1:6" x14ac:dyDescent="0.3">
      <c r="A927">
        <v>20602592929</v>
      </c>
      <c r="B927" t="s">
        <v>1239</v>
      </c>
      <c r="F927">
        <v>11</v>
      </c>
    </row>
    <row r="928" spans="1:6" x14ac:dyDescent="0.3">
      <c r="A928">
        <v>10294286000</v>
      </c>
      <c r="B928" t="s">
        <v>1240</v>
      </c>
      <c r="F928">
        <v>11</v>
      </c>
    </row>
    <row r="929" spans="1:6" x14ac:dyDescent="0.3">
      <c r="A929">
        <v>20600571541</v>
      </c>
      <c r="B929" t="s">
        <v>1241</v>
      </c>
      <c r="F929">
        <v>11</v>
      </c>
    </row>
    <row r="930" spans="1:6" x14ac:dyDescent="0.3">
      <c r="A930">
        <v>20605931457</v>
      </c>
      <c r="B930" t="s">
        <v>541</v>
      </c>
      <c r="F930">
        <v>11</v>
      </c>
    </row>
    <row r="931" spans="1:6" x14ac:dyDescent="0.3">
      <c r="A931">
        <v>20519212162</v>
      </c>
      <c r="B931" t="s">
        <v>370</v>
      </c>
      <c r="F931">
        <v>11</v>
      </c>
    </row>
    <row r="932" spans="1:6" x14ac:dyDescent="0.3">
      <c r="A932">
        <v>10465142524</v>
      </c>
      <c r="B932" t="s">
        <v>1242</v>
      </c>
      <c r="F932">
        <v>11</v>
      </c>
    </row>
    <row r="933" spans="1:6" x14ac:dyDescent="0.3">
      <c r="A933">
        <v>20600384423</v>
      </c>
      <c r="B933" t="s">
        <v>1243</v>
      </c>
      <c r="F933">
        <v>11</v>
      </c>
    </row>
    <row r="934" spans="1:6" x14ac:dyDescent="0.3">
      <c r="A934">
        <v>70598983</v>
      </c>
      <c r="B934" t="s">
        <v>1244</v>
      </c>
      <c r="E934" t="s">
        <v>865</v>
      </c>
      <c r="F934">
        <v>8</v>
      </c>
    </row>
    <row r="935" spans="1:6" x14ac:dyDescent="0.3">
      <c r="A935">
        <v>71559181</v>
      </c>
      <c r="B935" t="s">
        <v>1245</v>
      </c>
      <c r="E935" t="s">
        <v>865</v>
      </c>
      <c r="F935">
        <v>8</v>
      </c>
    </row>
    <row r="936" spans="1:6" x14ac:dyDescent="0.3">
      <c r="A936">
        <v>43475818</v>
      </c>
      <c r="B936" t="s">
        <v>1246</v>
      </c>
      <c r="E936" t="s">
        <v>865</v>
      </c>
      <c r="F936">
        <v>8</v>
      </c>
    </row>
    <row r="937" spans="1:6" x14ac:dyDescent="0.3">
      <c r="A937">
        <v>73361389</v>
      </c>
      <c r="B937" t="s">
        <v>1247</v>
      </c>
      <c r="E937" t="s">
        <v>865</v>
      </c>
      <c r="F937">
        <v>8</v>
      </c>
    </row>
    <row r="938" spans="1:6" x14ac:dyDescent="0.3">
      <c r="A938">
        <v>60794934</v>
      </c>
      <c r="B938" t="s">
        <v>1248</v>
      </c>
      <c r="E938" t="s">
        <v>865</v>
      </c>
      <c r="F938">
        <v>8</v>
      </c>
    </row>
    <row r="939" spans="1:6" x14ac:dyDescent="0.3">
      <c r="A939">
        <v>71586647</v>
      </c>
      <c r="B939" t="s">
        <v>1249</v>
      </c>
      <c r="E939" t="s">
        <v>865</v>
      </c>
      <c r="F939">
        <v>8</v>
      </c>
    </row>
    <row r="940" spans="1:6" x14ac:dyDescent="0.3">
      <c r="A940">
        <v>40338216</v>
      </c>
      <c r="B940" t="s">
        <v>1250</v>
      </c>
      <c r="E940" t="s">
        <v>865</v>
      </c>
      <c r="F940">
        <v>8</v>
      </c>
    </row>
    <row r="941" spans="1:6" x14ac:dyDescent="0.3">
      <c r="A941">
        <v>72415456</v>
      </c>
      <c r="B941" t="s">
        <v>1251</v>
      </c>
      <c r="E941" t="s">
        <v>865</v>
      </c>
      <c r="F941">
        <v>8</v>
      </c>
    </row>
    <row r="942" spans="1:6" x14ac:dyDescent="0.3">
      <c r="A942">
        <v>10435010062</v>
      </c>
      <c r="B942" t="s">
        <v>1252</v>
      </c>
      <c r="F942">
        <v>11</v>
      </c>
    </row>
    <row r="943" spans="1:6" x14ac:dyDescent="0.3">
      <c r="A943">
        <v>10414394944</v>
      </c>
      <c r="B943" t="s">
        <v>1253</v>
      </c>
      <c r="F943">
        <v>11</v>
      </c>
    </row>
    <row r="944" spans="1:6" x14ac:dyDescent="0.3">
      <c r="A944">
        <v>20454430868</v>
      </c>
      <c r="B944" t="s">
        <v>1254</v>
      </c>
      <c r="F944">
        <v>11</v>
      </c>
    </row>
    <row r="945" spans="1:6" x14ac:dyDescent="0.3">
      <c r="B945" t="s">
        <v>1255</v>
      </c>
      <c r="F945">
        <v>1</v>
      </c>
    </row>
    <row r="946" spans="1:6" x14ac:dyDescent="0.3">
      <c r="A946">
        <v>20612092878</v>
      </c>
      <c r="B946" t="s">
        <v>1256</v>
      </c>
      <c r="F946">
        <v>11</v>
      </c>
    </row>
    <row r="947" spans="1:6" x14ac:dyDescent="0.3">
      <c r="A947">
        <v>20602057365</v>
      </c>
      <c r="B947" t="s">
        <v>1257</v>
      </c>
      <c r="F947">
        <v>11</v>
      </c>
    </row>
    <row r="948" spans="1:6" x14ac:dyDescent="0.3">
      <c r="A948">
        <v>10717995592</v>
      </c>
      <c r="B948" t="s">
        <v>1258</v>
      </c>
      <c r="F948">
        <v>11</v>
      </c>
    </row>
    <row r="949" spans="1:6" x14ac:dyDescent="0.3">
      <c r="A949">
        <v>20602057365</v>
      </c>
      <c r="B949" t="s">
        <v>1257</v>
      </c>
      <c r="F949">
        <v>11</v>
      </c>
    </row>
    <row r="950" spans="1:6" x14ac:dyDescent="0.3">
      <c r="A950">
        <v>20536557858</v>
      </c>
      <c r="B950" t="s">
        <v>1259</v>
      </c>
      <c r="F950">
        <v>11</v>
      </c>
    </row>
    <row r="951" spans="1:6" x14ac:dyDescent="0.3">
      <c r="A951">
        <v>10410128921</v>
      </c>
      <c r="B951" t="s">
        <v>1260</v>
      </c>
      <c r="F951">
        <v>11</v>
      </c>
    </row>
    <row r="952" spans="1:6" x14ac:dyDescent="0.3">
      <c r="A952">
        <v>10100455248</v>
      </c>
      <c r="B952" t="s">
        <v>1261</v>
      </c>
      <c r="F952">
        <v>11</v>
      </c>
    </row>
    <row r="953" spans="1:6" x14ac:dyDescent="0.3">
      <c r="A953">
        <v>20112273922</v>
      </c>
      <c r="B953" t="s">
        <v>1262</v>
      </c>
      <c r="F953">
        <v>11</v>
      </c>
    </row>
    <row r="954" spans="1:6" x14ac:dyDescent="0.3">
      <c r="A954">
        <v>20559133311</v>
      </c>
      <c r="B954" t="s">
        <v>1263</v>
      </c>
      <c r="F954">
        <v>11</v>
      </c>
    </row>
    <row r="955" spans="1:6" x14ac:dyDescent="0.3">
      <c r="A955">
        <v>10409988135</v>
      </c>
      <c r="B955" t="s">
        <v>1264</v>
      </c>
      <c r="F955">
        <v>11</v>
      </c>
    </row>
    <row r="956" spans="1:6" x14ac:dyDescent="0.3">
      <c r="A956">
        <v>10292710424</v>
      </c>
      <c r="B956" t="s">
        <v>1265</v>
      </c>
      <c r="F956">
        <v>11</v>
      </c>
    </row>
    <row r="957" spans="1:6" x14ac:dyDescent="0.3">
      <c r="A957">
        <v>10724128993</v>
      </c>
      <c r="B957" t="s">
        <v>1266</v>
      </c>
      <c r="F957">
        <v>11</v>
      </c>
    </row>
    <row r="958" spans="1:6" x14ac:dyDescent="0.3">
      <c r="A958">
        <v>20613141619</v>
      </c>
      <c r="B958" t="s">
        <v>1267</v>
      </c>
      <c r="F958">
        <v>11</v>
      </c>
    </row>
    <row r="959" spans="1:6" x14ac:dyDescent="0.3">
      <c r="A959">
        <v>20613500503</v>
      </c>
      <c r="B959" t="s">
        <v>1268</v>
      </c>
      <c r="F959">
        <v>11</v>
      </c>
    </row>
    <row r="960" spans="1:6" x14ac:dyDescent="0.3">
      <c r="A960">
        <v>20614826704</v>
      </c>
      <c r="B960" t="s">
        <v>1269</v>
      </c>
      <c r="F960">
        <v>11</v>
      </c>
    </row>
    <row r="961" spans="1:6" x14ac:dyDescent="0.3">
      <c r="A961">
        <v>20100322456</v>
      </c>
      <c r="B961" t="s">
        <v>1270</v>
      </c>
      <c r="F961">
        <v>11</v>
      </c>
    </row>
    <row r="962" spans="1:6" x14ac:dyDescent="0.3">
      <c r="A962">
        <v>20610105620</v>
      </c>
      <c r="B962" t="s">
        <v>1271</v>
      </c>
      <c r="F962">
        <v>11</v>
      </c>
    </row>
    <row r="963" spans="1:6" x14ac:dyDescent="0.3">
      <c r="A963">
        <v>20607707074</v>
      </c>
      <c r="B963" t="s">
        <v>1272</v>
      </c>
      <c r="F963">
        <v>11</v>
      </c>
    </row>
    <row r="964" spans="1:6" x14ac:dyDescent="0.3">
      <c r="A964">
        <v>20608430301</v>
      </c>
      <c r="B964" t="s">
        <v>1273</v>
      </c>
      <c r="F964">
        <v>11</v>
      </c>
    </row>
    <row r="965" spans="1:6" x14ac:dyDescent="0.3">
      <c r="A965">
        <v>20609873648</v>
      </c>
      <c r="B965" t="s">
        <v>1274</v>
      </c>
      <c r="F965">
        <v>11</v>
      </c>
    </row>
    <row r="966" spans="1:6" x14ac:dyDescent="0.3">
      <c r="A966">
        <v>10704739279</v>
      </c>
      <c r="B966" t="s">
        <v>1275</v>
      </c>
      <c r="F966">
        <v>11</v>
      </c>
    </row>
    <row r="967" spans="1:6" x14ac:dyDescent="0.3">
      <c r="A967">
        <v>10803233549</v>
      </c>
      <c r="B967" t="s">
        <v>1276</v>
      </c>
      <c r="F967">
        <v>11</v>
      </c>
    </row>
    <row r="968" spans="1:6" x14ac:dyDescent="0.3">
      <c r="A968">
        <v>20606497165</v>
      </c>
      <c r="B968" t="s">
        <v>1277</v>
      </c>
      <c r="F968">
        <v>11</v>
      </c>
    </row>
    <row r="969" spans="1:6" x14ac:dyDescent="0.3">
      <c r="A969">
        <v>20603742843</v>
      </c>
      <c r="B969" t="s">
        <v>1278</v>
      </c>
      <c r="F969">
        <v>11</v>
      </c>
    </row>
    <row r="970" spans="1:6" x14ac:dyDescent="0.3">
      <c r="A970">
        <v>10444645003</v>
      </c>
      <c r="B970" t="s">
        <v>1279</v>
      </c>
      <c r="F970">
        <v>11</v>
      </c>
    </row>
    <row r="971" spans="1:6" x14ac:dyDescent="0.3">
      <c r="A971">
        <v>20612184349</v>
      </c>
      <c r="B971" t="s">
        <v>1280</v>
      </c>
      <c r="F971">
        <v>11</v>
      </c>
    </row>
    <row r="972" spans="1:6" x14ac:dyDescent="0.3">
      <c r="A972">
        <v>20100128056</v>
      </c>
      <c r="B972" t="s">
        <v>1281</v>
      </c>
      <c r="F972">
        <v>11</v>
      </c>
    </row>
    <row r="973" spans="1:6" x14ac:dyDescent="0.3">
      <c r="A973">
        <v>10293458184</v>
      </c>
      <c r="B973" t="s">
        <v>1282</v>
      </c>
      <c r="F973">
        <v>11</v>
      </c>
    </row>
    <row r="974" spans="1:6" x14ac:dyDescent="0.3">
      <c r="A974">
        <v>20498469591</v>
      </c>
      <c r="B974" t="s">
        <v>1283</v>
      </c>
      <c r="F974">
        <v>11</v>
      </c>
    </row>
    <row r="975" spans="1:6" x14ac:dyDescent="0.3">
      <c r="A975">
        <v>20545697697</v>
      </c>
      <c r="B975" t="s">
        <v>1284</v>
      </c>
      <c r="F975">
        <v>11</v>
      </c>
    </row>
    <row r="976" spans="1:6" x14ac:dyDescent="0.3">
      <c r="A976">
        <v>20606109343</v>
      </c>
      <c r="B976" t="s">
        <v>1285</v>
      </c>
      <c r="F976">
        <v>11</v>
      </c>
    </row>
    <row r="977" spans="1:6" x14ac:dyDescent="0.3">
      <c r="A977">
        <v>20613215043</v>
      </c>
      <c r="B977" t="s">
        <v>1286</v>
      </c>
      <c r="F977">
        <v>11</v>
      </c>
    </row>
    <row r="978" spans="1:6" x14ac:dyDescent="0.3">
      <c r="A978">
        <v>10485507120</v>
      </c>
      <c r="B978" t="s">
        <v>1287</v>
      </c>
      <c r="F978">
        <v>11</v>
      </c>
    </row>
    <row r="979" spans="1:6" x14ac:dyDescent="0.3">
      <c r="A979">
        <v>20100265479</v>
      </c>
      <c r="B979" t="s">
        <v>1288</v>
      </c>
      <c r="F979">
        <v>11</v>
      </c>
    </row>
    <row r="980" spans="1:6" x14ac:dyDescent="0.3">
      <c r="A980">
        <v>20511315922</v>
      </c>
      <c r="B980" t="s">
        <v>1289</v>
      </c>
      <c r="F980">
        <v>11</v>
      </c>
    </row>
    <row r="981" spans="1:6" x14ac:dyDescent="0.3">
      <c r="A981">
        <v>20267269565</v>
      </c>
      <c r="B981" t="s">
        <v>1290</v>
      </c>
      <c r="F981">
        <v>11</v>
      </c>
    </row>
    <row r="982" spans="1:6" x14ac:dyDescent="0.3">
      <c r="A982">
        <v>20119407738</v>
      </c>
      <c r="B982" t="s">
        <v>1291</v>
      </c>
      <c r="F982">
        <v>11</v>
      </c>
    </row>
    <row r="983" spans="1:6" x14ac:dyDescent="0.3">
      <c r="A983">
        <v>10414417146</v>
      </c>
      <c r="B983" t="s">
        <v>1292</v>
      </c>
      <c r="F983">
        <v>11</v>
      </c>
    </row>
    <row r="984" spans="1:6" x14ac:dyDescent="0.3">
      <c r="A984">
        <v>20452694698</v>
      </c>
      <c r="B984" t="s">
        <v>1234</v>
      </c>
      <c r="F984">
        <v>12</v>
      </c>
    </row>
    <row r="985" spans="1:6" x14ac:dyDescent="0.3">
      <c r="A985">
        <v>10705818181</v>
      </c>
      <c r="B985" t="s">
        <v>1293</v>
      </c>
      <c r="F985">
        <v>11</v>
      </c>
    </row>
    <row r="986" spans="1:6" x14ac:dyDescent="0.3">
      <c r="A986">
        <v>20610819495</v>
      </c>
      <c r="B986" t="s">
        <v>1294</v>
      </c>
      <c r="C986" t="s">
        <v>287</v>
      </c>
      <c r="D986" t="s">
        <v>1295</v>
      </c>
      <c r="F986">
        <v>11</v>
      </c>
    </row>
    <row r="987" spans="1:6" x14ac:dyDescent="0.3">
      <c r="A987">
        <v>20603351500</v>
      </c>
      <c r="B987" t="s">
        <v>1296</v>
      </c>
      <c r="F987">
        <v>11</v>
      </c>
    </row>
    <row r="988" spans="1:6" x14ac:dyDescent="0.3">
      <c r="A988">
        <v>20601657814</v>
      </c>
      <c r="B988" t="s">
        <v>1297</v>
      </c>
      <c r="F988">
        <v>11</v>
      </c>
    </row>
    <row r="989" spans="1:6" x14ac:dyDescent="0.3">
      <c r="A989">
        <v>20454131101</v>
      </c>
      <c r="B989" t="s">
        <v>1298</v>
      </c>
      <c r="F989">
        <v>11</v>
      </c>
    </row>
    <row r="990" spans="1:6" x14ac:dyDescent="0.3">
      <c r="A990">
        <v>10744190172</v>
      </c>
      <c r="B990" t="s">
        <v>1299</v>
      </c>
      <c r="F990">
        <v>11</v>
      </c>
    </row>
    <row r="991" spans="1:6" x14ac:dyDescent="0.3">
      <c r="A991">
        <v>20231363255</v>
      </c>
      <c r="B991" t="s">
        <v>1300</v>
      </c>
      <c r="F991">
        <v>11</v>
      </c>
    </row>
    <row r="992" spans="1:6" x14ac:dyDescent="0.3">
      <c r="A992">
        <v>10421407148</v>
      </c>
      <c r="B992" t="s">
        <v>1301</v>
      </c>
      <c r="F992">
        <v>11</v>
      </c>
    </row>
    <row r="993" spans="1:6" x14ac:dyDescent="0.3">
      <c r="A993">
        <v>20609268990</v>
      </c>
      <c r="B993" t="s">
        <v>9385</v>
      </c>
      <c r="F993">
        <v>11</v>
      </c>
    </row>
    <row r="994" spans="1:6" x14ac:dyDescent="0.3">
      <c r="A994">
        <v>10447350349</v>
      </c>
      <c r="B994" t="s">
        <v>9386</v>
      </c>
      <c r="F994">
        <v>11</v>
      </c>
    </row>
    <row r="995" spans="1:6" x14ac:dyDescent="0.3">
      <c r="A995">
        <v>10407292834</v>
      </c>
      <c r="B995" t="s">
        <v>9387</v>
      </c>
      <c r="F995">
        <v>11</v>
      </c>
    </row>
    <row r="996" spans="1:6" x14ac:dyDescent="0.3">
      <c r="A996">
        <v>20612170127</v>
      </c>
      <c r="B996" t="s">
        <v>9388</v>
      </c>
      <c r="F996">
        <v>11</v>
      </c>
    </row>
    <row r="997" spans="1:6" x14ac:dyDescent="0.3">
      <c r="A997">
        <v>20607451835</v>
      </c>
      <c r="B997" t="s">
        <v>9389</v>
      </c>
      <c r="F997">
        <v>11</v>
      </c>
    </row>
    <row r="998" spans="1:6" x14ac:dyDescent="0.3">
      <c r="A998">
        <v>20612788881</v>
      </c>
      <c r="B998" t="s">
        <v>9390</v>
      </c>
      <c r="F998">
        <v>11</v>
      </c>
    </row>
    <row r="999" spans="1:6" x14ac:dyDescent="0.3">
      <c r="A999">
        <v>20454897014</v>
      </c>
      <c r="B999" t="s">
        <v>9463</v>
      </c>
      <c r="F999">
        <v>11</v>
      </c>
    </row>
    <row r="1000" spans="1:6" x14ac:dyDescent="0.3">
      <c r="A1000">
        <v>20539684656</v>
      </c>
      <c r="B1000" t="s">
        <v>9464</v>
      </c>
      <c r="F1000">
        <v>11</v>
      </c>
    </row>
    <row r="1001" spans="1:6" x14ac:dyDescent="0.3">
      <c r="A1001">
        <v>20454413009</v>
      </c>
      <c r="B1001" t="s">
        <v>9465</v>
      </c>
      <c r="F1001">
        <v>11</v>
      </c>
    </row>
    <row r="1002" spans="1:6" x14ac:dyDescent="0.3">
      <c r="A1002">
        <v>20602213871</v>
      </c>
      <c r="B1002" t="s">
        <v>9466</v>
      </c>
      <c r="F1002">
        <v>11</v>
      </c>
    </row>
    <row r="1003" spans="1:6" x14ac:dyDescent="0.3">
      <c r="A1003">
        <v>20600352840</v>
      </c>
      <c r="B1003" t="s">
        <v>9467</v>
      </c>
      <c r="F1003">
        <v>11</v>
      </c>
    </row>
    <row r="1004" spans="1:6" x14ac:dyDescent="0.3">
      <c r="A1004">
        <v>20534857153</v>
      </c>
      <c r="B1004" t="s">
        <v>9468</v>
      </c>
      <c r="F1004">
        <v>11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5B379-D46D-4AD6-879D-56463BFD65B6}">
  <sheetPr codeName="Hoja2">
    <tabColor theme="6"/>
    <pageSetUpPr fitToPage="1"/>
  </sheetPr>
  <dimension ref="A1:AD4647"/>
  <sheetViews>
    <sheetView showGridLines="0" zoomScaleNormal="100" zoomScaleSheetLayoutView="100" workbookViewId="0">
      <selection sqref="A1:AA1"/>
    </sheetView>
  </sheetViews>
  <sheetFormatPr defaultColWidth="11.44140625" defaultRowHeight="14.4" outlineLevelCol="1" x14ac:dyDescent="0.3"/>
  <cols>
    <col min="1" max="1" width="9.44140625" bestFit="1" customWidth="1"/>
    <col min="2" max="2" width="15.44140625" bestFit="1" customWidth="1"/>
    <col min="3" max="3" width="13.44140625" bestFit="1" customWidth="1"/>
    <col min="4" max="4" width="10.6640625" bestFit="1" customWidth="1"/>
    <col min="5" max="5" width="14.33203125" customWidth="1"/>
    <col min="6" max="6" width="11.6640625" bestFit="1" customWidth="1"/>
    <col min="7" max="7" width="17" bestFit="1" customWidth="1"/>
    <col min="8" max="8" width="16" customWidth="1"/>
    <col min="9" max="9" width="10.109375" bestFit="1" customWidth="1"/>
    <col min="10" max="10" width="12.44140625" bestFit="1" customWidth="1"/>
    <col min="11" max="11" width="40.44140625" bestFit="1" customWidth="1"/>
    <col min="12" max="12" width="15" bestFit="1" customWidth="1"/>
    <col min="13" max="13" width="12.44140625" bestFit="1" customWidth="1"/>
    <col min="14" max="14" width="12.109375" bestFit="1" customWidth="1"/>
    <col min="15" max="15" width="11.44140625" bestFit="1" customWidth="1"/>
    <col min="16" max="17" width="11.33203125" bestFit="1" customWidth="1"/>
    <col min="18" max="18" width="10.88671875" bestFit="1" customWidth="1"/>
    <col min="19" max="19" width="12" bestFit="1" customWidth="1"/>
    <col min="20" max="20" width="13" bestFit="1" customWidth="1"/>
    <col min="21" max="26" width="15.88671875" customWidth="1" outlineLevel="1"/>
    <col min="27" max="27" width="12.88671875" customWidth="1" outlineLevel="1"/>
  </cols>
  <sheetData>
    <row r="1" spans="1:27" x14ac:dyDescent="0.3">
      <c r="A1" s="263" t="s">
        <v>9536</v>
      </c>
      <c r="B1" s="263" t="s">
        <v>9537</v>
      </c>
      <c r="C1" s="263" t="s">
        <v>9538</v>
      </c>
      <c r="D1" s="263" t="s">
        <v>9539</v>
      </c>
      <c r="E1" s="263" t="s">
        <v>9540</v>
      </c>
      <c r="F1" s="263" t="s">
        <v>9541</v>
      </c>
      <c r="G1" s="263" t="s">
        <v>9542</v>
      </c>
      <c r="H1" s="263" t="s">
        <v>9543</v>
      </c>
      <c r="I1" s="263" t="s">
        <v>9544</v>
      </c>
      <c r="J1" s="263" t="s">
        <v>9545</v>
      </c>
      <c r="K1" s="263" t="s">
        <v>9546</v>
      </c>
      <c r="L1" s="263" t="s">
        <v>9547</v>
      </c>
      <c r="M1" s="263" t="s">
        <v>9548</v>
      </c>
      <c r="N1" s="263" t="s">
        <v>9549</v>
      </c>
      <c r="O1" s="263" t="s">
        <v>9550</v>
      </c>
      <c r="P1" s="263" t="s">
        <v>9551</v>
      </c>
      <c r="Q1" s="263" t="s">
        <v>9552</v>
      </c>
      <c r="R1" s="263" t="s">
        <v>9553</v>
      </c>
      <c r="S1" s="263" t="s">
        <v>9554</v>
      </c>
      <c r="T1" s="263" t="s">
        <v>9555</v>
      </c>
      <c r="U1" s="263" t="s">
        <v>9556</v>
      </c>
      <c r="V1" s="263" t="s">
        <v>9557</v>
      </c>
      <c r="W1" s="263" t="s">
        <v>9558</v>
      </c>
      <c r="X1" s="263" t="s">
        <v>9559</v>
      </c>
      <c r="Y1" s="263" t="s">
        <v>9560</v>
      </c>
      <c r="Z1" s="263" t="s">
        <v>9561</v>
      </c>
      <c r="AA1" s="263" t="s">
        <v>9562</v>
      </c>
    </row>
    <row r="2" spans="1:27" x14ac:dyDescent="0.3">
      <c r="A2" s="2">
        <f>IF(BCP_Soles[[#This Row],[tipo_registro]]="R",COUNTIFS($C$1:$C1,"R")+1,A1)</f>
        <v>1</v>
      </c>
      <c r="B2" s="19" t="str">
        <f t="shared" ref="B2:B33" si="0">"B-BCP - Soles"</f>
        <v>B-BCP - Soles</v>
      </c>
      <c r="C2" s="3" t="s">
        <v>1330</v>
      </c>
      <c r="D2" s="4">
        <v>45658</v>
      </c>
      <c r="E2" s="5" t="s">
        <v>1331</v>
      </c>
      <c r="F2" s="6" t="s">
        <v>1320</v>
      </c>
      <c r="G2" s="6"/>
      <c r="H2" s="6"/>
      <c r="I2" s="6"/>
      <c r="J2" s="6"/>
      <c r="K2" s="7" t="s">
        <v>1332</v>
      </c>
      <c r="L2" s="8" t="s">
        <v>1333</v>
      </c>
      <c r="M2" s="8" t="str">
        <f t="shared" ref="M2:M33" si="1">"PEN"</f>
        <v>PEN</v>
      </c>
      <c r="N2" s="13"/>
      <c r="O2" s="9">
        <v>28733.200000000001</v>
      </c>
      <c r="P2" s="9">
        <f t="shared" ref="P2:P33" si="2">+IF(OR($F2="SALDO",$F2="INGRESO"),$O2,0)</f>
        <v>28733.200000000001</v>
      </c>
      <c r="Q2" s="9">
        <f t="shared" ref="Q2:Q33" si="3">+IF($F2="EGRESO",$O2,0)</f>
        <v>0</v>
      </c>
      <c r="R2" s="9">
        <f t="shared" ref="R2:R33" si="4">IFERROR(IF(F2="SALDO",P2,R1+P2-Q2),0)</f>
        <v>28733.200000000001</v>
      </c>
      <c r="S2" s="24" t="s">
        <v>1334</v>
      </c>
      <c r="T2" s="24" t="s">
        <v>1334</v>
      </c>
      <c r="U2" s="53"/>
      <c r="V2" s="25" t="str">
        <f>IFERROR(VLOOKUP(BCP_Soles[[#This Row],[destinatario]],CHOOSE({1,2},Clientes_Proveedores[Razon Social],Clientes_Proveedores[Ruc / Dni]),2,0),"")</f>
        <v/>
      </c>
      <c r="W2" s="25"/>
      <c r="X2" s="25"/>
      <c r="Y2" s="25"/>
      <c r="Z2" s="75"/>
      <c r="AA2" s="3" t="str">
        <f>IF(BCP_Soles[[#This Row],[fecha]]&gt;0,TEXT(BCP_Soles[[#This Row],[fecha]],"mmmm"),0)</f>
        <v>Enero</v>
      </c>
    </row>
    <row r="3" spans="1:27" x14ac:dyDescent="0.3">
      <c r="A3" s="2">
        <f>IF(BCP_Soles[[#This Row],[tipo_registro]]="R",COUNTIFS($C$1:$C2,"R")+1,A2)</f>
        <v>2</v>
      </c>
      <c r="B3" s="19" t="str">
        <f t="shared" si="0"/>
        <v>B-BCP - Soles</v>
      </c>
      <c r="C3" s="3" t="s">
        <v>1330</v>
      </c>
      <c r="D3" s="14">
        <v>45659</v>
      </c>
      <c r="E3" s="5" t="s">
        <v>1335</v>
      </c>
      <c r="F3" s="5" t="s">
        <v>1336</v>
      </c>
      <c r="G3" s="6"/>
      <c r="H3" s="6"/>
      <c r="I3" s="6"/>
      <c r="J3" s="6"/>
      <c r="K3" s="7" t="s">
        <v>1337</v>
      </c>
      <c r="L3" s="8"/>
      <c r="M3" s="8" t="str">
        <f t="shared" si="1"/>
        <v>PEN</v>
      </c>
      <c r="N3" s="13"/>
      <c r="O3" s="13">
        <v>0.25</v>
      </c>
      <c r="P3" s="3">
        <f t="shared" si="2"/>
        <v>0</v>
      </c>
      <c r="Q3" s="3">
        <f t="shared" si="3"/>
        <v>0.25</v>
      </c>
      <c r="R3" s="3">
        <f t="shared" si="4"/>
        <v>28732.95</v>
      </c>
      <c r="S3" s="24" t="s">
        <v>1334</v>
      </c>
      <c r="T3" s="24" t="s">
        <v>1334</v>
      </c>
      <c r="U3" s="53"/>
      <c r="V3" s="25" t="str">
        <f>IFERROR(VLOOKUP(BCP_Soles[[#This Row],[destinatario]],CHOOSE({1,2},Clientes_Proveedores[Razon Social],Clientes_Proveedores[Ruc / Dni]),2,0),"")</f>
        <v/>
      </c>
      <c r="W3" s="25"/>
      <c r="X3" s="25"/>
      <c r="Y3" s="25"/>
      <c r="Z3" s="75"/>
      <c r="AA3" s="3" t="str">
        <f>IF(BCP_Soles[[#This Row],[fecha]]&gt;0,TEXT(BCP_Soles[[#This Row],[fecha]],"mmmm"),0)</f>
        <v>Enero</v>
      </c>
    </row>
    <row r="4" spans="1:27" ht="24" x14ac:dyDescent="0.3">
      <c r="A4" s="2">
        <f>IF(BCP_Soles[[#This Row],[tipo_registro]]="R",COUNTIFS($C$1:$C3,"R")+1,A3)</f>
        <v>3</v>
      </c>
      <c r="B4" s="19" t="str">
        <f t="shared" si="0"/>
        <v>B-BCP - Soles</v>
      </c>
      <c r="C4" s="3" t="s">
        <v>1330</v>
      </c>
      <c r="D4" s="14">
        <v>45659</v>
      </c>
      <c r="E4" s="5" t="s">
        <v>1338</v>
      </c>
      <c r="F4" s="5" t="s">
        <v>1336</v>
      </c>
      <c r="G4" s="6" t="s">
        <v>241</v>
      </c>
      <c r="H4" s="6" t="s">
        <v>68</v>
      </c>
      <c r="I4" s="6" t="s">
        <v>1339</v>
      </c>
      <c r="J4" s="6">
        <v>6999</v>
      </c>
      <c r="K4" s="7" t="s">
        <v>1340</v>
      </c>
      <c r="L4" s="8">
        <v>1150277</v>
      </c>
      <c r="M4" s="8" t="str">
        <f t="shared" si="1"/>
        <v>PEN</v>
      </c>
      <c r="N4" s="13"/>
      <c r="O4" s="13">
        <v>1285</v>
      </c>
      <c r="P4" s="3">
        <f t="shared" si="2"/>
        <v>0</v>
      </c>
      <c r="Q4" s="3">
        <f t="shared" si="3"/>
        <v>1285</v>
      </c>
      <c r="R4" s="3">
        <f>IFERROR(IF(F4="SALDO",P4,R3+P4-Q4),0)</f>
        <v>27447.95</v>
      </c>
      <c r="S4" s="24" t="s">
        <v>1334</v>
      </c>
      <c r="T4" s="24" t="s">
        <v>1334</v>
      </c>
      <c r="U4" s="53"/>
      <c r="V4" s="25">
        <f>IFERROR(VLOOKUP(BCP_Soles[[#This Row],[destinatario]],CHOOSE({1,2},Clientes_Proveedores[Razon Social],Clientes_Proveedores[Ruc / Dni]),2,0),"")</f>
        <v>20170040938</v>
      </c>
      <c r="W4" s="25" t="s">
        <v>1341</v>
      </c>
      <c r="X4" s="25" t="s">
        <v>1342</v>
      </c>
      <c r="Y4" s="25"/>
      <c r="Z4" s="75"/>
      <c r="AA4" s="3" t="str">
        <f>IF(BCP_Soles[[#This Row],[fecha]]&gt;0,TEXT(BCP_Soles[[#This Row],[fecha]],"mmmm"),0)</f>
        <v>Enero</v>
      </c>
    </row>
    <row r="5" spans="1:27" x14ac:dyDescent="0.3">
      <c r="A5" s="2">
        <f>IF(BCP_Soles[[#This Row],[tipo_registro]]="R",COUNTIFS($C$1:$C4,"R")+1,A4)</f>
        <v>4</v>
      </c>
      <c r="B5" s="19" t="str">
        <f t="shared" si="0"/>
        <v>B-BCP - Soles</v>
      </c>
      <c r="C5" s="3" t="s">
        <v>1330</v>
      </c>
      <c r="D5" s="14">
        <v>45659</v>
      </c>
      <c r="E5" s="5" t="s">
        <v>196</v>
      </c>
      <c r="F5" s="5" t="s">
        <v>1303</v>
      </c>
      <c r="G5" s="6" t="s">
        <v>425</v>
      </c>
      <c r="H5" s="6" t="s">
        <v>68</v>
      </c>
      <c r="I5" s="6" t="s">
        <v>1343</v>
      </c>
      <c r="J5" s="6">
        <v>424</v>
      </c>
      <c r="K5" s="7" t="s">
        <v>1344</v>
      </c>
      <c r="L5" s="8">
        <v>1940</v>
      </c>
      <c r="M5" s="8" t="str">
        <f t="shared" si="1"/>
        <v>PEN</v>
      </c>
      <c r="N5" s="13"/>
      <c r="O5" s="13">
        <v>3374.46</v>
      </c>
      <c r="P5" s="3">
        <f t="shared" si="2"/>
        <v>3374.46</v>
      </c>
      <c r="Q5" s="3">
        <f t="shared" si="3"/>
        <v>0</v>
      </c>
      <c r="R5" s="3">
        <f t="shared" si="4"/>
        <v>30822.41</v>
      </c>
      <c r="S5" s="24" t="s">
        <v>1334</v>
      </c>
      <c r="T5" s="24" t="s">
        <v>1334</v>
      </c>
      <c r="U5" s="53"/>
      <c r="V5" s="25">
        <f>IFERROR(VLOOKUP(BCP_Soles[[#This Row],[destinatario]],CHOOSE({1,2},Clientes_Proveedores[Razon Social],Clientes_Proveedores[Ruc / Dni]),2,0),"")</f>
        <v>20558226979</v>
      </c>
      <c r="W5" s="25" t="s">
        <v>1345</v>
      </c>
      <c r="X5" s="25" t="s">
        <v>1346</v>
      </c>
      <c r="Y5" s="25"/>
      <c r="Z5" s="75"/>
      <c r="AA5" s="3" t="str">
        <f>IF(BCP_Soles[[#This Row],[fecha]]&gt;0,TEXT(BCP_Soles[[#This Row],[fecha]],"mmmm"),0)</f>
        <v>Enero</v>
      </c>
    </row>
    <row r="6" spans="1:27" ht="36" x14ac:dyDescent="0.3">
      <c r="A6" s="2">
        <f>IF(BCP_Soles[[#This Row],[tipo_registro]]="R",COUNTIFS($C$1:$C5,"R")+1,A5)</f>
        <v>5</v>
      </c>
      <c r="B6" s="19" t="str">
        <f t="shared" si="0"/>
        <v>B-BCP - Soles</v>
      </c>
      <c r="C6" s="3" t="s">
        <v>1330</v>
      </c>
      <c r="D6" s="14">
        <v>45659</v>
      </c>
      <c r="E6" s="5" t="s">
        <v>555</v>
      </c>
      <c r="F6" s="5" t="s">
        <v>1303</v>
      </c>
      <c r="G6" s="6" t="s">
        <v>425</v>
      </c>
      <c r="H6" s="6" t="s">
        <v>68</v>
      </c>
      <c r="I6" s="6" t="s">
        <v>1347</v>
      </c>
      <c r="J6" s="6">
        <v>116</v>
      </c>
      <c r="K6" s="7" t="s">
        <v>1348</v>
      </c>
      <c r="L6" s="8">
        <v>2157913</v>
      </c>
      <c r="M6" s="8" t="str">
        <f t="shared" si="1"/>
        <v>PEN</v>
      </c>
      <c r="N6" s="13"/>
      <c r="O6" s="13">
        <v>1139.48</v>
      </c>
      <c r="P6" s="3">
        <f t="shared" si="2"/>
        <v>1139.48</v>
      </c>
      <c r="Q6" s="3">
        <f t="shared" si="3"/>
        <v>0</v>
      </c>
      <c r="R6" s="3">
        <f t="shared" si="4"/>
        <v>31961.89</v>
      </c>
      <c r="S6" s="24" t="s">
        <v>1334</v>
      </c>
      <c r="T6" s="24" t="s">
        <v>1334</v>
      </c>
      <c r="U6" s="53"/>
      <c r="V6" s="25">
        <f>IFERROR(VLOOKUP(BCP_Soles[[#This Row],[destinatario]],CHOOSE({1,2},Clientes_Proveedores[Razon Social],Clientes_Proveedores[Ruc / Dni]),2,0),"")</f>
        <v>20558226979</v>
      </c>
      <c r="W6" s="25" t="s">
        <v>1345</v>
      </c>
      <c r="X6" s="25" t="s">
        <v>1349</v>
      </c>
      <c r="Y6" s="25"/>
      <c r="Z6" s="75"/>
      <c r="AA6" s="3" t="str">
        <f>IF(BCP_Soles[[#This Row],[fecha]]&gt;0,TEXT(BCP_Soles[[#This Row],[fecha]],"mmmm"),0)</f>
        <v>Enero</v>
      </c>
    </row>
    <row r="7" spans="1:27" ht="24" x14ac:dyDescent="0.3">
      <c r="A7" s="2">
        <f>IF(BCP_Soles[[#This Row],[tipo_registro]]="R",COUNTIFS($C$1:$C6,"R")+1,A6)</f>
        <v>6</v>
      </c>
      <c r="B7" s="19" t="str">
        <f t="shared" si="0"/>
        <v>B-BCP - Soles</v>
      </c>
      <c r="C7" s="3" t="s">
        <v>1330</v>
      </c>
      <c r="D7" s="14">
        <v>45659</v>
      </c>
      <c r="E7" s="5" t="s">
        <v>204</v>
      </c>
      <c r="F7" s="5" t="s">
        <v>1303</v>
      </c>
      <c r="G7" s="6" t="s">
        <v>425</v>
      </c>
      <c r="H7" s="6" t="s">
        <v>68</v>
      </c>
      <c r="I7" s="6"/>
      <c r="J7" s="6"/>
      <c r="K7" s="7" t="s">
        <v>1350</v>
      </c>
      <c r="L7" s="8">
        <v>7812459</v>
      </c>
      <c r="M7" s="8" t="str">
        <f t="shared" si="1"/>
        <v>PEN</v>
      </c>
      <c r="N7" s="13"/>
      <c r="O7" s="13">
        <v>915.68</v>
      </c>
      <c r="P7" s="3">
        <f t="shared" si="2"/>
        <v>915.68</v>
      </c>
      <c r="Q7" s="3">
        <f t="shared" si="3"/>
        <v>0</v>
      </c>
      <c r="R7" s="3">
        <f t="shared" si="4"/>
        <v>32877.57</v>
      </c>
      <c r="S7" s="24" t="s">
        <v>1334</v>
      </c>
      <c r="T7" s="24" t="s">
        <v>1334</v>
      </c>
      <c r="U7" s="53"/>
      <c r="V7" s="25">
        <f>IFERROR(VLOOKUP(BCP_Soles[[#This Row],[destinatario]],CHOOSE({1,2},Clientes_Proveedores[Razon Social],Clientes_Proveedores[Ruc / Dni]),2,0),"")</f>
        <v>20558226979</v>
      </c>
      <c r="W7" s="25" t="s">
        <v>1345</v>
      </c>
      <c r="X7" s="25" t="s">
        <v>1351</v>
      </c>
      <c r="Y7" s="25"/>
      <c r="Z7" s="75"/>
      <c r="AA7" s="3" t="str">
        <f>IF(BCP_Soles[[#This Row],[fecha]]&gt;0,TEXT(BCP_Soles[[#This Row],[fecha]],"mmmm"),0)</f>
        <v>Enero</v>
      </c>
    </row>
    <row r="8" spans="1:27" ht="24" x14ac:dyDescent="0.3">
      <c r="A8" s="2">
        <f>IF(BCP_Soles[[#This Row],[tipo_registro]]="R",COUNTIFS($C$1:$C7,"R")+1,A7)</f>
        <v>6</v>
      </c>
      <c r="B8" s="19" t="str">
        <f t="shared" si="0"/>
        <v>B-BCP - Soles</v>
      </c>
      <c r="C8" s="3" t="s">
        <v>1352</v>
      </c>
      <c r="D8" s="14">
        <v>45659</v>
      </c>
      <c r="E8" s="5" t="s">
        <v>204</v>
      </c>
      <c r="F8" s="5" t="s">
        <v>1303</v>
      </c>
      <c r="G8" s="6" t="s">
        <v>425</v>
      </c>
      <c r="H8" s="6" t="s">
        <v>68</v>
      </c>
      <c r="I8" s="6"/>
      <c r="J8" s="6"/>
      <c r="K8" s="7" t="s">
        <v>1350</v>
      </c>
      <c r="L8" s="8">
        <v>7812459</v>
      </c>
      <c r="M8" s="8" t="str">
        <f t="shared" si="1"/>
        <v>PEN</v>
      </c>
      <c r="N8" s="13"/>
      <c r="O8" s="13"/>
      <c r="P8" s="3">
        <f t="shared" si="2"/>
        <v>0</v>
      </c>
      <c r="Q8" s="3">
        <f t="shared" si="3"/>
        <v>0</v>
      </c>
      <c r="R8" s="3">
        <f t="shared" si="4"/>
        <v>32877.57</v>
      </c>
      <c r="S8" s="24"/>
      <c r="T8" s="24"/>
      <c r="U8" s="53"/>
      <c r="V8" s="25">
        <f>IFERROR(VLOOKUP(BCP_Soles[[#This Row],[destinatario]],CHOOSE({1,2},Clientes_Proveedores[Razon Social],Clientes_Proveedores[Ruc / Dni]),2,0),"")</f>
        <v>20558226979</v>
      </c>
      <c r="W8" s="25"/>
      <c r="X8" s="25"/>
      <c r="Y8" s="25"/>
      <c r="Z8" s="75"/>
      <c r="AA8" s="3" t="str">
        <f>IF(BCP_Soles[[#This Row],[fecha]]&gt;0,TEXT(BCP_Soles[[#This Row],[fecha]],"mmmm"),0)</f>
        <v>Enero</v>
      </c>
    </row>
    <row r="9" spans="1:27" ht="24" x14ac:dyDescent="0.3">
      <c r="A9" s="2">
        <f>IF(BCP_Soles[[#This Row],[tipo_registro]]="R",COUNTIFS($C$1:$C8,"R")+1,A8)</f>
        <v>6</v>
      </c>
      <c r="B9" s="19" t="str">
        <f t="shared" si="0"/>
        <v>B-BCP - Soles</v>
      </c>
      <c r="C9" s="3" t="s">
        <v>1352</v>
      </c>
      <c r="D9" s="14">
        <v>45659</v>
      </c>
      <c r="E9" s="5" t="s">
        <v>204</v>
      </c>
      <c r="F9" s="5" t="s">
        <v>1303</v>
      </c>
      <c r="G9" s="6" t="s">
        <v>425</v>
      </c>
      <c r="H9" s="6" t="s">
        <v>68</v>
      </c>
      <c r="I9" s="6"/>
      <c r="J9" s="6"/>
      <c r="K9" s="7" t="s">
        <v>1350</v>
      </c>
      <c r="L9" s="8">
        <v>7812459</v>
      </c>
      <c r="M9" s="8" t="str">
        <f t="shared" si="1"/>
        <v>PEN</v>
      </c>
      <c r="N9" s="13"/>
      <c r="O9" s="13"/>
      <c r="P9" s="3">
        <f t="shared" si="2"/>
        <v>0</v>
      </c>
      <c r="Q9" s="3">
        <f t="shared" si="3"/>
        <v>0</v>
      </c>
      <c r="R9" s="3">
        <f t="shared" si="4"/>
        <v>32877.57</v>
      </c>
      <c r="S9" s="24"/>
      <c r="T9" s="24"/>
      <c r="U9" s="53"/>
      <c r="V9" s="25">
        <f>IFERROR(VLOOKUP(BCP_Soles[[#This Row],[destinatario]],CHOOSE({1,2},Clientes_Proveedores[Razon Social],Clientes_Proveedores[Ruc / Dni]),2,0),"")</f>
        <v>20558226979</v>
      </c>
      <c r="W9" s="25"/>
      <c r="X9" s="25"/>
      <c r="Y9" s="25"/>
      <c r="Z9" s="75"/>
      <c r="AA9" s="3" t="str">
        <f>IF(BCP_Soles[[#This Row],[fecha]]&gt;0,TEXT(BCP_Soles[[#This Row],[fecha]],"mmmm"),0)</f>
        <v>Enero</v>
      </c>
    </row>
    <row r="10" spans="1:27" ht="36" x14ac:dyDescent="0.3">
      <c r="A10" s="2">
        <f>IF(BCP_Soles[[#This Row],[tipo_registro]]="R",COUNTIFS($C$1:$C9,"R")+1,A9)</f>
        <v>7</v>
      </c>
      <c r="B10" s="19" t="str">
        <f t="shared" si="0"/>
        <v>B-BCP - Soles</v>
      </c>
      <c r="C10" s="3" t="s">
        <v>1330</v>
      </c>
      <c r="D10" s="14">
        <v>45659</v>
      </c>
      <c r="E10" s="5" t="s">
        <v>555</v>
      </c>
      <c r="F10" s="5" t="s">
        <v>1303</v>
      </c>
      <c r="G10" s="6" t="s">
        <v>425</v>
      </c>
      <c r="H10" s="6" t="s">
        <v>68</v>
      </c>
      <c r="I10" s="6" t="s">
        <v>1353</v>
      </c>
      <c r="J10" s="6">
        <v>160</v>
      </c>
      <c r="K10" s="7" t="s">
        <v>1348</v>
      </c>
      <c r="L10" s="8">
        <v>2165999</v>
      </c>
      <c r="M10" s="8" t="str">
        <f t="shared" si="1"/>
        <v>PEN</v>
      </c>
      <c r="N10" s="13"/>
      <c r="O10" s="13">
        <v>850.64</v>
      </c>
      <c r="P10" s="3">
        <f t="shared" si="2"/>
        <v>850.64</v>
      </c>
      <c r="Q10" s="3">
        <f t="shared" si="3"/>
        <v>0</v>
      </c>
      <c r="R10" s="3">
        <f t="shared" si="4"/>
        <v>33728.21</v>
      </c>
      <c r="S10" s="24" t="s">
        <v>1334</v>
      </c>
      <c r="T10" s="24" t="s">
        <v>1334</v>
      </c>
      <c r="U10" s="53"/>
      <c r="V10" s="25">
        <f>IFERROR(VLOOKUP(BCP_Soles[[#This Row],[destinatario]],CHOOSE({1,2},Clientes_Proveedores[Razon Social],Clientes_Proveedores[Ruc / Dni]),2,0),"")</f>
        <v>20558226979</v>
      </c>
      <c r="W10" s="25" t="s">
        <v>1345</v>
      </c>
      <c r="X10" s="25" t="s">
        <v>1354</v>
      </c>
      <c r="Y10" s="25"/>
      <c r="Z10" s="75"/>
      <c r="AA10" s="3" t="str">
        <f>IF(BCP_Soles[[#This Row],[fecha]]&gt;0,TEXT(BCP_Soles[[#This Row],[fecha]],"mmmm"),0)</f>
        <v>Enero</v>
      </c>
    </row>
    <row r="11" spans="1:27" x14ac:dyDescent="0.3">
      <c r="A11" s="2">
        <f>IF(BCP_Soles[[#This Row],[tipo_registro]]="R",COUNTIFS($C$1:$C10,"R")+1,A10)</f>
        <v>8</v>
      </c>
      <c r="B11" s="19" t="str">
        <f t="shared" si="0"/>
        <v>B-BCP - Soles</v>
      </c>
      <c r="C11" s="3" t="s">
        <v>1330</v>
      </c>
      <c r="D11" s="14">
        <v>45659</v>
      </c>
      <c r="E11" s="5" t="s">
        <v>1355</v>
      </c>
      <c r="F11" s="5" t="s">
        <v>1303</v>
      </c>
      <c r="G11" s="6" t="s">
        <v>425</v>
      </c>
      <c r="H11" s="6"/>
      <c r="I11" s="6"/>
      <c r="J11" s="6"/>
      <c r="K11" s="7" t="s">
        <v>1356</v>
      </c>
      <c r="L11" s="8">
        <v>2027861</v>
      </c>
      <c r="M11" s="8" t="str">
        <f t="shared" si="1"/>
        <v>PEN</v>
      </c>
      <c r="N11" s="13"/>
      <c r="O11" s="13">
        <v>254.3</v>
      </c>
      <c r="P11" s="3">
        <f t="shared" si="2"/>
        <v>254.3</v>
      </c>
      <c r="Q11" s="3">
        <f t="shared" si="3"/>
        <v>0</v>
      </c>
      <c r="R11" s="3">
        <f t="shared" si="4"/>
        <v>33982.51</v>
      </c>
      <c r="S11" s="24" t="s">
        <v>1334</v>
      </c>
      <c r="T11" s="24" t="s">
        <v>1334</v>
      </c>
      <c r="U11" s="53"/>
      <c r="V11" s="25">
        <f>IFERROR(VLOOKUP(BCP_Soles[[#This Row],[destinatario]],CHOOSE({1,2},Clientes_Proveedores[Razon Social],Clientes_Proveedores[Ruc / Dni]),2,0),"")</f>
        <v>20558226979</v>
      </c>
      <c r="W11" s="25" t="s">
        <v>1345</v>
      </c>
      <c r="X11" s="25" t="s">
        <v>1355</v>
      </c>
      <c r="Y11" s="25"/>
      <c r="Z11" s="75"/>
      <c r="AA11" s="3" t="str">
        <f>IF(BCP_Soles[[#This Row],[fecha]]&gt;0,TEXT(BCP_Soles[[#This Row],[fecha]],"mmmm"),0)</f>
        <v>Enero</v>
      </c>
    </row>
    <row r="12" spans="1:27" x14ac:dyDescent="0.3">
      <c r="A12" s="2">
        <f>IF(BCP_Soles[[#This Row],[tipo_registro]]="R",COUNTIFS($C$1:$C11,"R")+1,A11)</f>
        <v>8</v>
      </c>
      <c r="B12" s="19" t="str">
        <f t="shared" si="0"/>
        <v>B-BCP - Soles</v>
      </c>
      <c r="C12" s="3" t="s">
        <v>1352</v>
      </c>
      <c r="D12" s="14">
        <v>45659</v>
      </c>
      <c r="E12" s="5" t="s">
        <v>1357</v>
      </c>
      <c r="F12" s="5" t="s">
        <v>1303</v>
      </c>
      <c r="G12" s="6" t="s">
        <v>425</v>
      </c>
      <c r="H12" s="6" t="s">
        <v>119</v>
      </c>
      <c r="I12" s="6">
        <v>3</v>
      </c>
      <c r="J12" s="6">
        <v>507</v>
      </c>
      <c r="K12" s="7" t="s">
        <v>1356</v>
      </c>
      <c r="L12" s="8">
        <v>2027861</v>
      </c>
      <c r="M12" s="8" t="str">
        <f t="shared" si="1"/>
        <v>PEN</v>
      </c>
      <c r="N12" s="13">
        <v>70</v>
      </c>
      <c r="O12" s="13"/>
      <c r="P12" s="3">
        <f t="shared" si="2"/>
        <v>0</v>
      </c>
      <c r="Q12" s="3">
        <f t="shared" si="3"/>
        <v>0</v>
      </c>
      <c r="R12" s="3">
        <f t="shared" si="4"/>
        <v>33982.51</v>
      </c>
      <c r="S12" s="24" t="s">
        <v>1334</v>
      </c>
      <c r="T12" s="24" t="s">
        <v>1334</v>
      </c>
      <c r="U12" s="53"/>
      <c r="V12" s="25">
        <f>IFERROR(VLOOKUP(BCP_Soles[[#This Row],[destinatario]],CHOOSE({1,2},Clientes_Proveedores[Razon Social],Clientes_Proveedores[Ruc / Dni]),2,0),"")</f>
        <v>20558226979</v>
      </c>
      <c r="W12" s="25" t="s">
        <v>1345</v>
      </c>
      <c r="X12" s="25" t="s">
        <v>1358</v>
      </c>
      <c r="Y12" s="25"/>
      <c r="Z12" s="75"/>
      <c r="AA12" s="3" t="str">
        <f>IF(BCP_Soles[[#This Row],[fecha]]&gt;0,TEXT(BCP_Soles[[#This Row],[fecha]],"mmmm"),0)</f>
        <v>Enero</v>
      </c>
    </row>
    <row r="13" spans="1:27" x14ac:dyDescent="0.3">
      <c r="A13" s="2">
        <f>IF(BCP_Soles[[#This Row],[tipo_registro]]="R",COUNTIFS($C$1:$C12,"R")+1,A12)</f>
        <v>8</v>
      </c>
      <c r="B13" s="19" t="str">
        <f t="shared" si="0"/>
        <v>B-BCP - Soles</v>
      </c>
      <c r="C13" s="3" t="s">
        <v>1352</v>
      </c>
      <c r="D13" s="14">
        <v>45659</v>
      </c>
      <c r="E13" s="5" t="s">
        <v>1357</v>
      </c>
      <c r="F13" s="5" t="s">
        <v>1303</v>
      </c>
      <c r="G13" s="6" t="s">
        <v>425</v>
      </c>
      <c r="H13" s="6" t="s">
        <v>119</v>
      </c>
      <c r="I13" s="6">
        <v>3</v>
      </c>
      <c r="J13" s="6">
        <v>508</v>
      </c>
      <c r="K13" s="7" t="s">
        <v>1356</v>
      </c>
      <c r="L13" s="8">
        <v>2027861</v>
      </c>
      <c r="M13" s="8" t="str">
        <f t="shared" si="1"/>
        <v>PEN</v>
      </c>
      <c r="N13" s="13">
        <v>40</v>
      </c>
      <c r="O13" s="13"/>
      <c r="P13" s="3">
        <f t="shared" si="2"/>
        <v>0</v>
      </c>
      <c r="Q13" s="3">
        <f t="shared" si="3"/>
        <v>0</v>
      </c>
      <c r="R13" s="3">
        <f t="shared" si="4"/>
        <v>33982.51</v>
      </c>
      <c r="S13" s="24" t="s">
        <v>1334</v>
      </c>
      <c r="T13" s="24" t="s">
        <v>1334</v>
      </c>
      <c r="U13" s="53"/>
      <c r="V13" s="25">
        <f>IFERROR(VLOOKUP(BCP_Soles[[#This Row],[destinatario]],CHOOSE({1,2},Clientes_Proveedores[Razon Social],Clientes_Proveedores[Ruc / Dni]),2,0),"")</f>
        <v>20558226979</v>
      </c>
      <c r="W13" s="25" t="s">
        <v>1345</v>
      </c>
      <c r="X13" s="25" t="s">
        <v>1359</v>
      </c>
      <c r="Y13" s="25"/>
      <c r="Z13" s="75"/>
      <c r="AA13" s="3" t="str">
        <f>IF(BCP_Soles[[#This Row],[fecha]]&gt;0,TEXT(BCP_Soles[[#This Row],[fecha]],"mmmm"),0)</f>
        <v>Enero</v>
      </c>
    </row>
    <row r="14" spans="1:27" ht="24" x14ac:dyDescent="0.3">
      <c r="A14" s="2">
        <f>IF(BCP_Soles[[#This Row],[tipo_registro]]="R",COUNTIFS($C$1:$C13,"R")+1,A13)</f>
        <v>8</v>
      </c>
      <c r="B14" s="19" t="str">
        <f t="shared" si="0"/>
        <v>B-BCP - Soles</v>
      </c>
      <c r="C14" s="3" t="s">
        <v>1352</v>
      </c>
      <c r="D14" s="14">
        <v>45659</v>
      </c>
      <c r="E14" s="5" t="s">
        <v>1360</v>
      </c>
      <c r="F14" s="5" t="s">
        <v>1303</v>
      </c>
      <c r="G14" s="6" t="s">
        <v>425</v>
      </c>
      <c r="H14" s="6" t="s">
        <v>119</v>
      </c>
      <c r="I14" s="6">
        <v>3</v>
      </c>
      <c r="J14" s="6">
        <v>509</v>
      </c>
      <c r="K14" s="7" t="s">
        <v>1356</v>
      </c>
      <c r="L14" s="8">
        <v>2027861</v>
      </c>
      <c r="M14" s="8" t="str">
        <f t="shared" si="1"/>
        <v>PEN</v>
      </c>
      <c r="N14" s="13">
        <v>12.8</v>
      </c>
      <c r="O14" s="13"/>
      <c r="P14" s="3">
        <f t="shared" si="2"/>
        <v>0</v>
      </c>
      <c r="Q14" s="3">
        <f t="shared" si="3"/>
        <v>0</v>
      </c>
      <c r="R14" s="3">
        <f t="shared" si="4"/>
        <v>33982.51</v>
      </c>
      <c r="S14" s="24" t="s">
        <v>1334</v>
      </c>
      <c r="T14" s="24" t="s">
        <v>1334</v>
      </c>
      <c r="U14" s="53"/>
      <c r="V14" s="25">
        <f>IFERROR(VLOOKUP(BCP_Soles[[#This Row],[destinatario]],CHOOSE({1,2},Clientes_Proveedores[Razon Social],Clientes_Proveedores[Ruc / Dni]),2,0),"")</f>
        <v>20558226979</v>
      </c>
      <c r="W14" s="25" t="s">
        <v>1345</v>
      </c>
      <c r="X14" s="25" t="s">
        <v>1361</v>
      </c>
      <c r="Y14" s="25"/>
      <c r="Z14" s="75"/>
      <c r="AA14" s="3" t="str">
        <f>IF(BCP_Soles[[#This Row],[fecha]]&gt;0,TEXT(BCP_Soles[[#This Row],[fecha]],"mmmm"),0)</f>
        <v>Enero</v>
      </c>
    </row>
    <row r="15" spans="1:27" x14ac:dyDescent="0.3">
      <c r="A15" s="2">
        <f>IF(BCP_Soles[[#This Row],[tipo_registro]]="R",COUNTIFS($C$1:$C14,"R")+1,A14)</f>
        <v>8</v>
      </c>
      <c r="B15" s="19" t="str">
        <f t="shared" si="0"/>
        <v>B-BCP - Soles</v>
      </c>
      <c r="C15" s="3" t="s">
        <v>1352</v>
      </c>
      <c r="D15" s="14">
        <v>45659</v>
      </c>
      <c r="E15" s="5" t="s">
        <v>1362</v>
      </c>
      <c r="F15" s="5" t="s">
        <v>1303</v>
      </c>
      <c r="G15" s="6" t="s">
        <v>425</v>
      </c>
      <c r="H15" s="6" t="s">
        <v>119</v>
      </c>
      <c r="I15" s="6">
        <v>3</v>
      </c>
      <c r="J15" s="6">
        <v>511</v>
      </c>
      <c r="K15" s="7" t="s">
        <v>1356</v>
      </c>
      <c r="L15" s="8">
        <v>2027861</v>
      </c>
      <c r="M15" s="8" t="str">
        <f t="shared" si="1"/>
        <v>PEN</v>
      </c>
      <c r="N15" s="13">
        <v>10.5</v>
      </c>
      <c r="O15" s="13"/>
      <c r="P15" s="3">
        <f t="shared" si="2"/>
        <v>0</v>
      </c>
      <c r="Q15" s="3">
        <f t="shared" si="3"/>
        <v>0</v>
      </c>
      <c r="R15" s="3">
        <f t="shared" si="4"/>
        <v>33982.51</v>
      </c>
      <c r="S15" s="24" t="s">
        <v>1334</v>
      </c>
      <c r="T15" s="24" t="s">
        <v>1334</v>
      </c>
      <c r="U15" s="53"/>
      <c r="V15" s="25">
        <f>IFERROR(VLOOKUP(BCP_Soles[[#This Row],[destinatario]],CHOOSE({1,2},Clientes_Proveedores[Razon Social],Clientes_Proveedores[Ruc / Dni]),2,0),"")</f>
        <v>20558226979</v>
      </c>
      <c r="W15" s="25" t="s">
        <v>1345</v>
      </c>
      <c r="X15" s="25" t="s">
        <v>1363</v>
      </c>
      <c r="Y15" s="25"/>
      <c r="Z15" s="75"/>
      <c r="AA15" s="3" t="str">
        <f>IF(BCP_Soles[[#This Row],[fecha]]&gt;0,TEXT(BCP_Soles[[#This Row],[fecha]],"mmmm"),0)</f>
        <v>Enero</v>
      </c>
    </row>
    <row r="16" spans="1:27" ht="24" x14ac:dyDescent="0.3">
      <c r="A16" s="2">
        <f>IF(BCP_Soles[[#This Row],[tipo_registro]]="R",COUNTIFS($C$1:$C15,"R")+1,A15)</f>
        <v>8</v>
      </c>
      <c r="B16" s="19" t="str">
        <f t="shared" si="0"/>
        <v>B-BCP - Soles</v>
      </c>
      <c r="C16" s="3" t="s">
        <v>1352</v>
      </c>
      <c r="D16" s="14">
        <v>45659</v>
      </c>
      <c r="E16" s="5" t="s">
        <v>1360</v>
      </c>
      <c r="F16" s="5" t="s">
        <v>1303</v>
      </c>
      <c r="G16" s="6" t="s">
        <v>425</v>
      </c>
      <c r="H16" s="6" t="s">
        <v>119</v>
      </c>
      <c r="I16" s="6">
        <v>3</v>
      </c>
      <c r="J16" s="6">
        <v>519</v>
      </c>
      <c r="K16" s="7" t="s">
        <v>1356</v>
      </c>
      <c r="L16" s="8">
        <v>2027861</v>
      </c>
      <c r="M16" s="8" t="str">
        <f t="shared" si="1"/>
        <v>PEN</v>
      </c>
      <c r="N16" s="13">
        <v>16.5</v>
      </c>
      <c r="O16" s="13"/>
      <c r="P16" s="3">
        <f t="shared" si="2"/>
        <v>0</v>
      </c>
      <c r="Q16" s="3">
        <f t="shared" si="3"/>
        <v>0</v>
      </c>
      <c r="R16" s="3">
        <f t="shared" si="4"/>
        <v>33982.51</v>
      </c>
      <c r="S16" s="24" t="s">
        <v>1334</v>
      </c>
      <c r="T16" s="24" t="s">
        <v>1334</v>
      </c>
      <c r="U16" s="53"/>
      <c r="V16" s="25">
        <f>IFERROR(VLOOKUP(BCP_Soles[[#This Row],[destinatario]],CHOOSE({1,2},Clientes_Proveedores[Razon Social],Clientes_Proveedores[Ruc / Dni]),2,0),"")</f>
        <v>20558226979</v>
      </c>
      <c r="W16" s="25" t="s">
        <v>1345</v>
      </c>
      <c r="X16" s="25" t="s">
        <v>1364</v>
      </c>
      <c r="Y16" s="25"/>
      <c r="Z16" s="75"/>
      <c r="AA16" s="3" t="str">
        <f>IF(BCP_Soles[[#This Row],[fecha]]&gt;0,TEXT(BCP_Soles[[#This Row],[fecha]],"mmmm"),0)</f>
        <v>Enero</v>
      </c>
    </row>
    <row r="17" spans="1:27" x14ac:dyDescent="0.3">
      <c r="A17" s="2">
        <f>IF(BCP_Soles[[#This Row],[tipo_registro]]="R",COUNTIFS($C$1:$C16,"R")+1,A16)</f>
        <v>8</v>
      </c>
      <c r="B17" s="19" t="str">
        <f t="shared" si="0"/>
        <v>B-BCP - Soles</v>
      </c>
      <c r="C17" s="3" t="s">
        <v>1352</v>
      </c>
      <c r="D17" s="14">
        <v>45659</v>
      </c>
      <c r="E17" s="5" t="s">
        <v>1362</v>
      </c>
      <c r="F17" s="5" t="s">
        <v>1303</v>
      </c>
      <c r="G17" s="6" t="s">
        <v>425</v>
      </c>
      <c r="H17" s="6" t="s">
        <v>119</v>
      </c>
      <c r="I17" s="6">
        <v>3</v>
      </c>
      <c r="J17" s="6">
        <v>513</v>
      </c>
      <c r="K17" s="7" t="s">
        <v>1356</v>
      </c>
      <c r="L17" s="8">
        <v>2027861</v>
      </c>
      <c r="M17" s="8" t="str">
        <f t="shared" si="1"/>
        <v>PEN</v>
      </c>
      <c r="N17" s="13">
        <v>42</v>
      </c>
      <c r="O17" s="13"/>
      <c r="P17" s="3">
        <f t="shared" si="2"/>
        <v>0</v>
      </c>
      <c r="Q17" s="3">
        <f t="shared" si="3"/>
        <v>0</v>
      </c>
      <c r="R17" s="3">
        <f t="shared" si="4"/>
        <v>33982.51</v>
      </c>
      <c r="S17" s="24" t="s">
        <v>1334</v>
      </c>
      <c r="T17" s="24" t="s">
        <v>1334</v>
      </c>
      <c r="U17" s="53"/>
      <c r="V17" s="25">
        <f>IFERROR(VLOOKUP(BCP_Soles[[#This Row],[destinatario]],CHOOSE({1,2},Clientes_Proveedores[Razon Social],Clientes_Proveedores[Ruc / Dni]),2,0),"")</f>
        <v>20558226979</v>
      </c>
      <c r="W17" s="25" t="s">
        <v>1345</v>
      </c>
      <c r="X17" s="25" t="s">
        <v>1365</v>
      </c>
      <c r="Y17" s="25"/>
      <c r="Z17" s="75"/>
      <c r="AA17" s="3" t="str">
        <f>IF(BCP_Soles[[#This Row],[fecha]]&gt;0,TEXT(BCP_Soles[[#This Row],[fecha]],"mmmm"),0)</f>
        <v>Enero</v>
      </c>
    </row>
    <row r="18" spans="1:27" x14ac:dyDescent="0.3">
      <c r="A18" s="2">
        <f>IF(BCP_Soles[[#This Row],[tipo_registro]]="R",COUNTIFS($C$1:$C17,"R")+1,A17)</f>
        <v>8</v>
      </c>
      <c r="B18" s="19" t="str">
        <f t="shared" si="0"/>
        <v>B-BCP - Soles</v>
      </c>
      <c r="C18" s="3" t="s">
        <v>1352</v>
      </c>
      <c r="D18" s="14">
        <v>45659</v>
      </c>
      <c r="E18" s="5" t="s">
        <v>1366</v>
      </c>
      <c r="F18" s="5" t="s">
        <v>1303</v>
      </c>
      <c r="G18" s="6" t="s">
        <v>425</v>
      </c>
      <c r="H18" s="6" t="s">
        <v>119</v>
      </c>
      <c r="I18" s="6">
        <v>3</v>
      </c>
      <c r="J18" s="6">
        <v>514</v>
      </c>
      <c r="K18" s="7" t="s">
        <v>1356</v>
      </c>
      <c r="L18" s="8">
        <v>2027861</v>
      </c>
      <c r="M18" s="8" t="str">
        <f t="shared" si="1"/>
        <v>PEN</v>
      </c>
      <c r="N18" s="13">
        <v>14.8</v>
      </c>
      <c r="O18" s="13"/>
      <c r="P18" s="3">
        <f t="shared" si="2"/>
        <v>0</v>
      </c>
      <c r="Q18" s="3">
        <f t="shared" si="3"/>
        <v>0</v>
      </c>
      <c r="R18" s="3">
        <f t="shared" si="4"/>
        <v>33982.51</v>
      </c>
      <c r="S18" s="24" t="s">
        <v>1334</v>
      </c>
      <c r="T18" s="24" t="s">
        <v>1334</v>
      </c>
      <c r="U18" s="53"/>
      <c r="V18" s="25">
        <f>IFERROR(VLOOKUP(BCP_Soles[[#This Row],[destinatario]],CHOOSE({1,2},Clientes_Proveedores[Razon Social],Clientes_Proveedores[Ruc / Dni]),2,0),"")</f>
        <v>20558226979</v>
      </c>
      <c r="W18" s="25" t="s">
        <v>1345</v>
      </c>
      <c r="X18" s="25" t="s">
        <v>1367</v>
      </c>
      <c r="Y18" s="25"/>
      <c r="Z18" s="75"/>
      <c r="AA18" s="3" t="str">
        <f>IF(BCP_Soles[[#This Row],[fecha]]&gt;0,TEXT(BCP_Soles[[#This Row],[fecha]],"mmmm"),0)</f>
        <v>Enero</v>
      </c>
    </row>
    <row r="19" spans="1:27" ht="24" x14ac:dyDescent="0.3">
      <c r="A19" s="2">
        <f>IF(BCP_Soles[[#This Row],[tipo_registro]]="R",COUNTIFS($C$1:$C18,"R")+1,A18)</f>
        <v>8</v>
      </c>
      <c r="B19" s="19" t="str">
        <f t="shared" si="0"/>
        <v>B-BCP - Soles</v>
      </c>
      <c r="C19" s="3" t="s">
        <v>1352</v>
      </c>
      <c r="D19" s="14">
        <v>45659</v>
      </c>
      <c r="E19" s="5" t="s">
        <v>1368</v>
      </c>
      <c r="F19" s="5" t="s">
        <v>1303</v>
      </c>
      <c r="G19" s="6" t="s">
        <v>425</v>
      </c>
      <c r="H19" s="6" t="s">
        <v>119</v>
      </c>
      <c r="I19" s="6">
        <v>3</v>
      </c>
      <c r="J19" s="6">
        <v>515</v>
      </c>
      <c r="K19" s="7" t="s">
        <v>1356</v>
      </c>
      <c r="L19" s="8">
        <v>2027861</v>
      </c>
      <c r="M19" s="8" t="str">
        <f t="shared" si="1"/>
        <v>PEN</v>
      </c>
      <c r="N19" s="13">
        <v>47.7</v>
      </c>
      <c r="O19" s="13"/>
      <c r="P19" s="3">
        <f t="shared" si="2"/>
        <v>0</v>
      </c>
      <c r="Q19" s="3">
        <f t="shared" si="3"/>
        <v>0</v>
      </c>
      <c r="R19" s="3">
        <f t="shared" si="4"/>
        <v>33982.51</v>
      </c>
      <c r="S19" s="24" t="s">
        <v>1334</v>
      </c>
      <c r="T19" s="24" t="s">
        <v>1334</v>
      </c>
      <c r="U19" s="53"/>
      <c r="V19" s="25">
        <f>IFERROR(VLOOKUP(BCP_Soles[[#This Row],[destinatario]],CHOOSE({1,2},Clientes_Proveedores[Razon Social],Clientes_Proveedores[Ruc / Dni]),2,0),"")</f>
        <v>20558226979</v>
      </c>
      <c r="W19" s="25" t="s">
        <v>1345</v>
      </c>
      <c r="X19" s="25" t="s">
        <v>1369</v>
      </c>
      <c r="Y19" s="25"/>
      <c r="Z19" s="75"/>
      <c r="AA19" s="3" t="str">
        <f>IF(BCP_Soles[[#This Row],[fecha]]&gt;0,TEXT(BCP_Soles[[#This Row],[fecha]],"mmmm"),0)</f>
        <v>Enero</v>
      </c>
    </row>
    <row r="20" spans="1:27" x14ac:dyDescent="0.3">
      <c r="A20" s="2">
        <f>IF(BCP_Soles[[#This Row],[tipo_registro]]="R",COUNTIFS($C$1:$C19,"R")+1,A19)</f>
        <v>9</v>
      </c>
      <c r="B20" s="19" t="str">
        <f t="shared" si="0"/>
        <v>B-BCP - Soles</v>
      </c>
      <c r="C20" s="3" t="s">
        <v>1330</v>
      </c>
      <c r="D20" s="14">
        <v>45659</v>
      </c>
      <c r="E20" s="5"/>
      <c r="F20" s="5" t="s">
        <v>1303</v>
      </c>
      <c r="G20" s="6"/>
      <c r="H20" s="6"/>
      <c r="I20" s="6"/>
      <c r="J20" s="6"/>
      <c r="K20" s="7" t="s">
        <v>1356</v>
      </c>
      <c r="L20" s="8">
        <v>2039413</v>
      </c>
      <c r="M20" s="8" t="str">
        <f t="shared" si="1"/>
        <v>PEN</v>
      </c>
      <c r="N20" s="13"/>
      <c r="O20" s="13">
        <v>29.7</v>
      </c>
      <c r="P20" s="3">
        <f t="shared" si="2"/>
        <v>29.7</v>
      </c>
      <c r="Q20" s="3">
        <f t="shared" si="3"/>
        <v>0</v>
      </c>
      <c r="R20" s="3">
        <f t="shared" si="4"/>
        <v>34012.21</v>
      </c>
      <c r="S20" s="24" t="s">
        <v>1334</v>
      </c>
      <c r="T20" s="24" t="s">
        <v>1334</v>
      </c>
      <c r="U20" s="53"/>
      <c r="V20" s="25" t="str">
        <f>IFERROR(VLOOKUP(BCP_Soles[[#This Row],[destinatario]],CHOOSE({1,2},Clientes_Proveedores[Razon Social],Clientes_Proveedores[Ruc / Dni]),2,0),"")</f>
        <v/>
      </c>
      <c r="W20" s="25" t="s">
        <v>1345</v>
      </c>
      <c r="X20" s="25"/>
      <c r="Y20" s="25"/>
      <c r="Z20" s="75"/>
      <c r="AA20" s="3" t="str">
        <f>IF(BCP_Soles[[#This Row],[fecha]]&gt;0,TEXT(BCP_Soles[[#This Row],[fecha]],"mmmm"),0)</f>
        <v>Enero</v>
      </c>
    </row>
    <row r="21" spans="1:27" ht="24" x14ac:dyDescent="0.3">
      <c r="A21" s="2">
        <f>IF(BCP_Soles[[#This Row],[tipo_registro]]="R",COUNTIFS($C$1:$C20,"R")+1,A20)</f>
        <v>10</v>
      </c>
      <c r="B21" s="19" t="str">
        <f t="shared" si="0"/>
        <v>B-BCP - Soles</v>
      </c>
      <c r="C21" s="3" t="s">
        <v>1330</v>
      </c>
      <c r="D21" s="14">
        <v>45660</v>
      </c>
      <c r="E21" s="5" t="s">
        <v>336</v>
      </c>
      <c r="F21" s="5" t="s">
        <v>1303</v>
      </c>
      <c r="G21" s="6" t="s">
        <v>425</v>
      </c>
      <c r="H21" s="6" t="s">
        <v>68</v>
      </c>
      <c r="I21" s="6" t="s">
        <v>1343</v>
      </c>
      <c r="J21" s="6">
        <v>275</v>
      </c>
      <c r="K21" s="7" t="s">
        <v>1370</v>
      </c>
      <c r="L21" s="8">
        <v>2050576</v>
      </c>
      <c r="M21" s="8" t="str">
        <f t="shared" si="1"/>
        <v>PEN</v>
      </c>
      <c r="N21" s="13"/>
      <c r="O21" s="13">
        <v>923.74</v>
      </c>
      <c r="P21" s="3">
        <f t="shared" si="2"/>
        <v>923.74</v>
      </c>
      <c r="Q21" s="3">
        <f t="shared" si="3"/>
        <v>0</v>
      </c>
      <c r="R21" s="3">
        <f t="shared" si="4"/>
        <v>34935.949999999997</v>
      </c>
      <c r="S21" s="24" t="s">
        <v>1334</v>
      </c>
      <c r="T21" s="24"/>
      <c r="U21" s="53"/>
      <c r="V21" s="25">
        <f>IFERROR(VLOOKUP(BCP_Soles[[#This Row],[destinatario]],CHOOSE({1,2},Clientes_Proveedores[Razon Social],Clientes_Proveedores[Ruc / Dni]),2,0),"")</f>
        <v>20558226979</v>
      </c>
      <c r="W21" s="25" t="s">
        <v>1345</v>
      </c>
      <c r="X21" s="25" t="s">
        <v>1371</v>
      </c>
      <c r="Y21" s="25"/>
      <c r="Z21" s="75"/>
      <c r="AA21" s="3" t="str">
        <f>IF(BCP_Soles[[#This Row],[fecha]]&gt;0,TEXT(BCP_Soles[[#This Row],[fecha]],"mmmm"),0)</f>
        <v>Enero</v>
      </c>
    </row>
    <row r="22" spans="1:27" x14ac:dyDescent="0.3">
      <c r="A22" s="2">
        <f>IF(BCP_Soles[[#This Row],[tipo_registro]]="R",COUNTIFS($C$1:$C21,"R")+1,A21)</f>
        <v>11</v>
      </c>
      <c r="B22" s="19" t="str">
        <f t="shared" si="0"/>
        <v>B-BCP - Soles</v>
      </c>
      <c r="C22" s="3" t="s">
        <v>1330</v>
      </c>
      <c r="D22" s="14">
        <v>45660</v>
      </c>
      <c r="E22" s="5" t="s">
        <v>1338</v>
      </c>
      <c r="F22" s="5" t="s">
        <v>1336</v>
      </c>
      <c r="G22" s="6"/>
      <c r="H22" s="6"/>
      <c r="I22" s="6"/>
      <c r="J22" s="6"/>
      <c r="K22" s="7" t="s">
        <v>1372</v>
      </c>
      <c r="L22" s="8">
        <v>8079846</v>
      </c>
      <c r="M22" s="8" t="str">
        <f t="shared" si="1"/>
        <v>PEN</v>
      </c>
      <c r="N22" s="13"/>
      <c r="O22" s="13">
        <v>2432.27</v>
      </c>
      <c r="P22" s="3">
        <f t="shared" si="2"/>
        <v>0</v>
      </c>
      <c r="Q22" s="3">
        <f t="shared" si="3"/>
        <v>2432.27</v>
      </c>
      <c r="R22" s="3">
        <f t="shared" si="4"/>
        <v>32503.679999999997</v>
      </c>
      <c r="S22" s="24" t="s">
        <v>1334</v>
      </c>
      <c r="T22" s="24" t="s">
        <v>1334</v>
      </c>
      <c r="U22" s="53"/>
      <c r="V22" s="25" t="str">
        <f>IFERROR(VLOOKUP(BCP_Soles[[#This Row],[destinatario]],CHOOSE({1,2},Clientes_Proveedores[Razon Social],Clientes_Proveedores[Ruc / Dni]),2,0),"")</f>
        <v/>
      </c>
      <c r="W22" s="25" t="s">
        <v>1373</v>
      </c>
      <c r="X22" s="25"/>
      <c r="Y22" s="25"/>
      <c r="Z22" s="75"/>
      <c r="AA22" s="3" t="str">
        <f>IF(BCP_Soles[[#This Row],[fecha]]&gt;0,TEXT(BCP_Soles[[#This Row],[fecha]],"mmmm"),0)</f>
        <v>Enero</v>
      </c>
    </row>
    <row r="23" spans="1:27" x14ac:dyDescent="0.3">
      <c r="A23" s="2">
        <f>IF(BCP_Soles[[#This Row],[tipo_registro]]="R",COUNTIFS($C$1:$C22,"R")+1,A22)</f>
        <v>11</v>
      </c>
      <c r="B23" s="19" t="str">
        <f t="shared" si="0"/>
        <v>B-BCP - Soles</v>
      </c>
      <c r="C23" s="3" t="s">
        <v>1352</v>
      </c>
      <c r="D23" s="14">
        <v>45660</v>
      </c>
      <c r="E23" s="5"/>
      <c r="F23" s="5" t="s">
        <v>1336</v>
      </c>
      <c r="G23" s="6" t="s">
        <v>304</v>
      </c>
      <c r="H23" s="6" t="s">
        <v>68</v>
      </c>
      <c r="I23" s="6" t="s">
        <v>1374</v>
      </c>
      <c r="J23" s="6">
        <v>2891</v>
      </c>
      <c r="K23" s="7" t="s">
        <v>1372</v>
      </c>
      <c r="L23" s="8">
        <v>8079846</v>
      </c>
      <c r="M23" s="8" t="str">
        <f t="shared" si="1"/>
        <v>PEN</v>
      </c>
      <c r="N23" s="13">
        <v>800.47</v>
      </c>
      <c r="O23" s="13"/>
      <c r="P23" s="3">
        <f t="shared" si="2"/>
        <v>0</v>
      </c>
      <c r="Q23" s="3">
        <f t="shared" si="3"/>
        <v>0</v>
      </c>
      <c r="R23" s="3">
        <f t="shared" si="4"/>
        <v>32503.679999999997</v>
      </c>
      <c r="S23" s="24"/>
      <c r="T23" s="24" t="s">
        <v>1334</v>
      </c>
      <c r="U23" s="53"/>
      <c r="V23" s="25">
        <f>IFERROR(VLOOKUP(BCP_Soles[[#This Row],[destinatario]],CHOOSE({1,2},Clientes_Proveedores[Razon Social],Clientes_Proveedores[Ruc / Dni]),2,0),"")</f>
        <v>20455825742</v>
      </c>
      <c r="W23" s="25"/>
      <c r="X23" s="25"/>
      <c r="Y23" s="25"/>
      <c r="Z23" s="75"/>
      <c r="AA23" s="3" t="str">
        <f>IF(BCP_Soles[[#This Row],[fecha]]&gt;0,TEXT(BCP_Soles[[#This Row],[fecha]],"mmmm"),0)</f>
        <v>Enero</v>
      </c>
    </row>
    <row r="24" spans="1:27" ht="24" x14ac:dyDescent="0.3">
      <c r="A24" s="2">
        <f>IF(BCP_Soles[[#This Row],[tipo_registro]]="R",COUNTIFS($C$1:$C23,"R")+1,A23)</f>
        <v>11</v>
      </c>
      <c r="B24" s="19" t="str">
        <f t="shared" si="0"/>
        <v>B-BCP - Soles</v>
      </c>
      <c r="C24" s="3" t="s">
        <v>1352</v>
      </c>
      <c r="D24" s="14">
        <v>45660</v>
      </c>
      <c r="E24" s="5"/>
      <c r="F24" s="5" t="s">
        <v>1336</v>
      </c>
      <c r="G24" s="6" t="s">
        <v>271</v>
      </c>
      <c r="H24" s="6" t="s">
        <v>68</v>
      </c>
      <c r="I24" s="6" t="s">
        <v>1375</v>
      </c>
      <c r="J24" s="6">
        <v>6831</v>
      </c>
      <c r="K24" s="7" t="s">
        <v>1372</v>
      </c>
      <c r="L24" s="8">
        <v>8079846</v>
      </c>
      <c r="M24" s="8" t="str">
        <f t="shared" si="1"/>
        <v>PEN</v>
      </c>
      <c r="N24" s="13">
        <v>1084.8</v>
      </c>
      <c r="O24" s="13"/>
      <c r="P24" s="3">
        <f t="shared" si="2"/>
        <v>0</v>
      </c>
      <c r="Q24" s="3">
        <f t="shared" si="3"/>
        <v>0</v>
      </c>
      <c r="R24" s="3">
        <f t="shared" si="4"/>
        <v>32503.679999999997</v>
      </c>
      <c r="S24" s="24"/>
      <c r="T24" s="24" t="s">
        <v>1334</v>
      </c>
      <c r="U24" s="53"/>
      <c r="V24" s="25">
        <f>IFERROR(VLOOKUP(BCP_Soles[[#This Row],[destinatario]],CHOOSE({1,2},Clientes_Proveedores[Razon Social],Clientes_Proveedores[Ruc / Dni]),2,0),"")</f>
        <v>20419158462</v>
      </c>
      <c r="W24" s="25"/>
      <c r="X24" s="25"/>
      <c r="Y24" s="25"/>
      <c r="Z24" s="75"/>
      <c r="AA24" s="3" t="str">
        <f>IF(BCP_Soles[[#This Row],[fecha]]&gt;0,TEXT(BCP_Soles[[#This Row],[fecha]],"mmmm"),0)</f>
        <v>Enero</v>
      </c>
    </row>
    <row r="25" spans="1:27" ht="36" x14ac:dyDescent="0.3">
      <c r="A25" s="2">
        <f>IF(BCP_Soles[[#This Row],[tipo_registro]]="R",COUNTIFS($C$1:$C24,"R")+1,A24)</f>
        <v>11</v>
      </c>
      <c r="B25" s="19" t="str">
        <f t="shared" si="0"/>
        <v>B-BCP - Soles</v>
      </c>
      <c r="C25" s="3" t="s">
        <v>1352</v>
      </c>
      <c r="D25" s="14">
        <v>45660</v>
      </c>
      <c r="E25" s="5"/>
      <c r="F25" s="5" t="s">
        <v>1336</v>
      </c>
      <c r="G25" s="6" t="s">
        <v>389</v>
      </c>
      <c r="H25" s="6" t="s">
        <v>68</v>
      </c>
      <c r="I25" s="6" t="s">
        <v>1374</v>
      </c>
      <c r="J25" s="6">
        <v>1462</v>
      </c>
      <c r="K25" s="7" t="s">
        <v>1372</v>
      </c>
      <c r="L25" s="8">
        <v>8079846</v>
      </c>
      <c r="M25" s="8" t="str">
        <f t="shared" si="1"/>
        <v>PEN</v>
      </c>
      <c r="N25" s="13">
        <v>77</v>
      </c>
      <c r="O25" s="13"/>
      <c r="P25" s="3">
        <f t="shared" si="2"/>
        <v>0</v>
      </c>
      <c r="Q25" s="3">
        <f t="shared" si="3"/>
        <v>0</v>
      </c>
      <c r="R25" s="3">
        <f t="shared" si="4"/>
        <v>32503.679999999997</v>
      </c>
      <c r="S25" s="24"/>
      <c r="T25" s="24" t="s">
        <v>1334</v>
      </c>
      <c r="U25" s="53"/>
      <c r="V25" s="25">
        <f>IFERROR(VLOOKUP(BCP_Soles[[#This Row],[destinatario]],CHOOSE({1,2},Clientes_Proveedores[Razon Social],Clientes_Proveedores[Ruc / Dni]),2,0),"")</f>
        <v>20539627938</v>
      </c>
      <c r="W25" s="25"/>
      <c r="X25" s="25"/>
      <c r="Y25" s="25"/>
      <c r="Z25" s="75"/>
      <c r="AA25" s="3" t="str">
        <f>IF(BCP_Soles[[#This Row],[fecha]]&gt;0,TEXT(BCP_Soles[[#This Row],[fecha]],"mmmm"),0)</f>
        <v>Enero</v>
      </c>
    </row>
    <row r="26" spans="1:27" ht="36" x14ac:dyDescent="0.3">
      <c r="A26" s="2">
        <f>IF(BCP_Soles[[#This Row],[tipo_registro]]="R",COUNTIFS($C$1:$C25,"R")+1,A25)</f>
        <v>11</v>
      </c>
      <c r="B26" s="19" t="str">
        <f t="shared" si="0"/>
        <v>B-BCP - Soles</v>
      </c>
      <c r="C26" s="3" t="s">
        <v>1352</v>
      </c>
      <c r="D26" s="14">
        <v>45660</v>
      </c>
      <c r="E26" s="5"/>
      <c r="F26" s="5" t="s">
        <v>1336</v>
      </c>
      <c r="G26" s="6" t="s">
        <v>153</v>
      </c>
      <c r="H26" s="6" t="s">
        <v>68</v>
      </c>
      <c r="I26" s="6" t="s">
        <v>1376</v>
      </c>
      <c r="J26" s="6">
        <v>361</v>
      </c>
      <c r="K26" s="7" t="s">
        <v>1372</v>
      </c>
      <c r="L26" s="8">
        <v>8079846</v>
      </c>
      <c r="M26" s="8" t="str">
        <f t="shared" si="1"/>
        <v>PEN</v>
      </c>
      <c r="N26" s="13">
        <v>290</v>
      </c>
      <c r="O26" s="13"/>
      <c r="P26" s="3">
        <f t="shared" si="2"/>
        <v>0</v>
      </c>
      <c r="Q26" s="3">
        <f t="shared" si="3"/>
        <v>0</v>
      </c>
      <c r="R26" s="3">
        <f t="shared" si="4"/>
        <v>32503.679999999997</v>
      </c>
      <c r="S26" s="24"/>
      <c r="T26" s="24" t="s">
        <v>1334</v>
      </c>
      <c r="U26" s="53"/>
      <c r="V26" s="25">
        <f>IFERROR(VLOOKUP(BCP_Soles[[#This Row],[destinatario]],CHOOSE({1,2},Clientes_Proveedores[Razon Social],Clientes_Proveedores[Ruc / Dni]),2,0),"")</f>
        <v>10405211179</v>
      </c>
      <c r="W26" s="25"/>
      <c r="X26" s="25"/>
      <c r="Y26" s="25"/>
      <c r="Z26" s="75"/>
      <c r="AA26" s="3" t="str">
        <f>IF(BCP_Soles[[#This Row],[fecha]]&gt;0,TEXT(BCP_Soles[[#This Row],[fecha]],"mmmm"),0)</f>
        <v>Enero</v>
      </c>
    </row>
    <row r="27" spans="1:27" ht="24" x14ac:dyDescent="0.3">
      <c r="A27" s="2">
        <f>IF(BCP_Soles[[#This Row],[tipo_registro]]="R",COUNTIFS($C$1:$C26,"R")+1,A26)</f>
        <v>11</v>
      </c>
      <c r="B27" s="19" t="str">
        <f t="shared" si="0"/>
        <v>B-BCP - Soles</v>
      </c>
      <c r="C27" s="3" t="s">
        <v>1352</v>
      </c>
      <c r="D27" s="14">
        <v>45660</v>
      </c>
      <c r="E27" s="5"/>
      <c r="F27" s="5" t="s">
        <v>1336</v>
      </c>
      <c r="G27" s="6" t="s">
        <v>187</v>
      </c>
      <c r="H27" s="6" t="s">
        <v>68</v>
      </c>
      <c r="I27" s="6" t="s">
        <v>1376</v>
      </c>
      <c r="J27" s="6">
        <v>197</v>
      </c>
      <c r="K27" s="7" t="s">
        <v>1372</v>
      </c>
      <c r="L27" s="8">
        <v>8079846</v>
      </c>
      <c r="M27" s="8" t="str">
        <f t="shared" si="1"/>
        <v>PEN</v>
      </c>
      <c r="N27" s="13">
        <v>180</v>
      </c>
      <c r="O27" s="13"/>
      <c r="P27" s="3">
        <f t="shared" si="2"/>
        <v>0</v>
      </c>
      <c r="Q27" s="3">
        <f t="shared" si="3"/>
        <v>0</v>
      </c>
      <c r="R27" s="3">
        <f t="shared" si="4"/>
        <v>32503.679999999997</v>
      </c>
      <c r="S27" s="24"/>
      <c r="T27" s="24" t="s">
        <v>1334</v>
      </c>
      <c r="U27" s="53"/>
      <c r="V27" s="25">
        <f>IFERROR(VLOOKUP(BCP_Soles[[#This Row],[destinatario]],CHOOSE({1,2},Clientes_Proveedores[Razon Social],Clientes_Proveedores[Ruc / Dni]),2,0),"")</f>
        <v>10706063426</v>
      </c>
      <c r="W27" s="25"/>
      <c r="X27" s="25"/>
      <c r="Y27" s="25"/>
      <c r="Z27" s="75"/>
      <c r="AA27" s="3" t="str">
        <f>IF(BCP_Soles[[#This Row],[fecha]]&gt;0,TEXT(BCP_Soles[[#This Row],[fecha]],"mmmm"),0)</f>
        <v>Enero</v>
      </c>
    </row>
    <row r="28" spans="1:27" x14ac:dyDescent="0.3">
      <c r="A28" s="2">
        <f>IF(BCP_Soles[[#This Row],[tipo_registro]]="R",COUNTIFS($C$1:$C27,"R")+1,A27)</f>
        <v>12</v>
      </c>
      <c r="B28" s="19" t="str">
        <f t="shared" si="0"/>
        <v>B-BCP - Soles</v>
      </c>
      <c r="C28" s="3" t="s">
        <v>1330</v>
      </c>
      <c r="D28" s="14">
        <v>45660</v>
      </c>
      <c r="E28" s="5" t="s">
        <v>1338</v>
      </c>
      <c r="F28" s="5" t="s">
        <v>1336</v>
      </c>
      <c r="G28" s="6" t="s">
        <v>695</v>
      </c>
      <c r="H28" s="6" t="s">
        <v>68</v>
      </c>
      <c r="I28" s="6" t="s">
        <v>1377</v>
      </c>
      <c r="J28" s="6">
        <v>140474</v>
      </c>
      <c r="K28" s="7" t="s">
        <v>1378</v>
      </c>
      <c r="L28" s="8">
        <v>96264</v>
      </c>
      <c r="M28" s="8" t="str">
        <f t="shared" si="1"/>
        <v>PEN</v>
      </c>
      <c r="N28" s="13"/>
      <c r="O28" s="13">
        <v>714.85</v>
      </c>
      <c r="P28" s="3">
        <f t="shared" si="2"/>
        <v>0</v>
      </c>
      <c r="Q28" s="3">
        <f t="shared" si="3"/>
        <v>714.85</v>
      </c>
      <c r="R28" s="3">
        <f t="shared" si="4"/>
        <v>31788.829999999998</v>
      </c>
      <c r="S28" s="24"/>
      <c r="T28" s="24" t="s">
        <v>1334</v>
      </c>
      <c r="U28" s="53"/>
      <c r="V28" s="25">
        <f>IFERROR(VLOOKUP(BCP_Soles[[#This Row],[destinatario]],CHOOSE({1,2},Clientes_Proveedores[Razon Social],Clientes_Proveedores[Ruc / Dni]),2,0),"")</f>
        <v>20127765279</v>
      </c>
      <c r="W28" s="25" t="s">
        <v>1379</v>
      </c>
      <c r="X28" s="25" t="s">
        <v>1380</v>
      </c>
      <c r="Y28" s="25"/>
      <c r="Z28" s="75"/>
      <c r="AA28" s="3" t="str">
        <f>IF(BCP_Soles[[#This Row],[fecha]]&gt;0,TEXT(BCP_Soles[[#This Row],[fecha]],"mmmm"),0)</f>
        <v>Enero</v>
      </c>
    </row>
    <row r="29" spans="1:27" x14ac:dyDescent="0.3">
      <c r="A29" s="2">
        <f>IF(BCP_Soles[[#This Row],[tipo_registro]]="R",COUNTIFS($C$1:$C28,"R")+1,A28)</f>
        <v>13</v>
      </c>
      <c r="B29" s="19" t="str">
        <f t="shared" si="0"/>
        <v>B-BCP - Soles</v>
      </c>
      <c r="C29" s="3" t="s">
        <v>1330</v>
      </c>
      <c r="D29" s="14">
        <v>45660</v>
      </c>
      <c r="E29" s="5" t="s">
        <v>1338</v>
      </c>
      <c r="F29" s="5" t="s">
        <v>1336</v>
      </c>
      <c r="G29" s="6" t="s">
        <v>695</v>
      </c>
      <c r="H29" s="6" t="s">
        <v>68</v>
      </c>
      <c r="I29" s="6" t="s">
        <v>1377</v>
      </c>
      <c r="J29" s="6">
        <v>140463</v>
      </c>
      <c r="K29" s="7" t="s">
        <v>1378</v>
      </c>
      <c r="L29" s="8">
        <v>132214</v>
      </c>
      <c r="M29" s="8" t="str">
        <f t="shared" si="1"/>
        <v>PEN</v>
      </c>
      <c r="N29" s="13"/>
      <c r="O29" s="13">
        <v>1157.97</v>
      </c>
      <c r="P29" s="3">
        <f t="shared" si="2"/>
        <v>0</v>
      </c>
      <c r="Q29" s="3">
        <f t="shared" si="3"/>
        <v>1157.97</v>
      </c>
      <c r="R29" s="3">
        <f t="shared" si="4"/>
        <v>30630.859999999997</v>
      </c>
      <c r="S29" s="24"/>
      <c r="T29" s="24" t="s">
        <v>1334</v>
      </c>
      <c r="U29" s="53"/>
      <c r="V29" s="25">
        <f>IFERROR(VLOOKUP(BCP_Soles[[#This Row],[destinatario]],CHOOSE({1,2},Clientes_Proveedores[Razon Social],Clientes_Proveedores[Ruc / Dni]),2,0),"")</f>
        <v>20127765279</v>
      </c>
      <c r="W29" s="25" t="s">
        <v>1379</v>
      </c>
      <c r="X29" s="25" t="s">
        <v>1381</v>
      </c>
      <c r="Y29" s="25"/>
      <c r="Z29" s="75"/>
      <c r="AA29" s="3" t="str">
        <f>IF(BCP_Soles[[#This Row],[fecha]]&gt;0,TEXT(BCP_Soles[[#This Row],[fecha]],"mmmm"),0)</f>
        <v>Enero</v>
      </c>
    </row>
    <row r="30" spans="1:27" ht="24" x14ac:dyDescent="0.3">
      <c r="A30" s="2">
        <f>IF(BCP_Soles[[#This Row],[tipo_registro]]="R",COUNTIFS($C$1:$C29,"R")+1,A29)</f>
        <v>14</v>
      </c>
      <c r="B30" s="19" t="str">
        <f t="shared" si="0"/>
        <v>B-BCP - Soles</v>
      </c>
      <c r="C30" s="3" t="s">
        <v>1330</v>
      </c>
      <c r="D30" s="14">
        <v>45660</v>
      </c>
      <c r="E30" s="5" t="s">
        <v>286</v>
      </c>
      <c r="F30" s="5" t="s">
        <v>1303</v>
      </c>
      <c r="G30" s="6" t="s">
        <v>425</v>
      </c>
      <c r="H30" s="6"/>
      <c r="I30" s="6"/>
      <c r="J30" s="6"/>
      <c r="K30" s="7" t="s">
        <v>1382</v>
      </c>
      <c r="L30" s="8">
        <v>5297</v>
      </c>
      <c r="M30" s="8" t="str">
        <f t="shared" si="1"/>
        <v>PEN</v>
      </c>
      <c r="N30" s="13"/>
      <c r="O30" s="13">
        <v>4763.03</v>
      </c>
      <c r="P30" s="3">
        <f t="shared" si="2"/>
        <v>4763.03</v>
      </c>
      <c r="Q30" s="3">
        <f t="shared" si="3"/>
        <v>0</v>
      </c>
      <c r="R30" s="3">
        <f t="shared" si="4"/>
        <v>35393.89</v>
      </c>
      <c r="S30" s="24" t="s">
        <v>1334</v>
      </c>
      <c r="T30" s="24" t="s">
        <v>1334</v>
      </c>
      <c r="U30" s="53"/>
      <c r="V30" s="25">
        <f>IFERROR(VLOOKUP(BCP_Soles[[#This Row],[destinatario]],CHOOSE({1,2},Clientes_Proveedores[Razon Social],Clientes_Proveedores[Ruc / Dni]),2,0),"")</f>
        <v>20558226979</v>
      </c>
      <c r="W30" s="25" t="s">
        <v>1345</v>
      </c>
      <c r="X30" s="25" t="s">
        <v>1383</v>
      </c>
      <c r="Y30" s="25"/>
      <c r="Z30" s="75"/>
      <c r="AA30" s="3" t="str">
        <f>IF(BCP_Soles[[#This Row],[fecha]]&gt;0,TEXT(BCP_Soles[[#This Row],[fecha]],"mmmm"),0)</f>
        <v>Enero</v>
      </c>
    </row>
    <row r="31" spans="1:27" x14ac:dyDescent="0.3">
      <c r="A31" s="2">
        <f>IF(BCP_Soles[[#This Row],[tipo_registro]]="R",COUNTIFS($C$1:$C30,"R")+1,A30)</f>
        <v>15</v>
      </c>
      <c r="B31" s="19" t="str">
        <f t="shared" si="0"/>
        <v>B-BCP - Soles</v>
      </c>
      <c r="C31" s="3" t="s">
        <v>1330</v>
      </c>
      <c r="D31" s="14">
        <v>45660</v>
      </c>
      <c r="E31" s="5" t="s">
        <v>1335</v>
      </c>
      <c r="F31" s="5" t="s">
        <v>1336</v>
      </c>
      <c r="G31" s="6"/>
      <c r="H31" s="6"/>
      <c r="I31" s="6"/>
      <c r="J31" s="6"/>
      <c r="K31" s="7" t="s">
        <v>1337</v>
      </c>
      <c r="L31" s="8"/>
      <c r="M31" s="8" t="str">
        <f t="shared" si="1"/>
        <v>PEN</v>
      </c>
      <c r="N31" s="13"/>
      <c r="O31" s="13">
        <v>1.1000000000000001</v>
      </c>
      <c r="P31" s="3">
        <f t="shared" si="2"/>
        <v>0</v>
      </c>
      <c r="Q31" s="3">
        <f t="shared" si="3"/>
        <v>1.1000000000000001</v>
      </c>
      <c r="R31" s="3">
        <f t="shared" si="4"/>
        <v>35392.79</v>
      </c>
      <c r="S31" s="24" t="s">
        <v>1334</v>
      </c>
      <c r="T31" s="24" t="s">
        <v>1334</v>
      </c>
      <c r="U31" s="53"/>
      <c r="V31" s="25" t="str">
        <f>IFERROR(VLOOKUP(BCP_Soles[[#This Row],[destinatario]],CHOOSE({1,2},Clientes_Proveedores[Razon Social],Clientes_Proveedores[Ruc / Dni]),2,0),"")</f>
        <v/>
      </c>
      <c r="W31" s="25"/>
      <c r="X31" s="25"/>
      <c r="Y31" s="25"/>
      <c r="Z31" s="75"/>
      <c r="AA31" s="3" t="str">
        <f>IF(BCP_Soles[[#This Row],[fecha]]&gt;0,TEXT(BCP_Soles[[#This Row],[fecha]],"mmmm"),0)</f>
        <v>Enero</v>
      </c>
    </row>
    <row r="32" spans="1:27" ht="24" x14ac:dyDescent="0.3">
      <c r="A32" s="2">
        <f>IF(BCP_Soles[[#This Row],[tipo_registro]]="R",COUNTIFS($C$1:$C31,"R")+1,A31)</f>
        <v>16</v>
      </c>
      <c r="B32" s="19" t="str">
        <f t="shared" si="0"/>
        <v>B-BCP - Soles</v>
      </c>
      <c r="C32" s="3" t="s">
        <v>1330</v>
      </c>
      <c r="D32" s="14">
        <v>45660</v>
      </c>
      <c r="E32" s="5" t="s">
        <v>1338</v>
      </c>
      <c r="F32" s="5" t="s">
        <v>1336</v>
      </c>
      <c r="G32" s="6" t="s">
        <v>249</v>
      </c>
      <c r="H32" s="6"/>
      <c r="I32" s="6"/>
      <c r="J32" s="6"/>
      <c r="K32" s="7" t="s">
        <v>1384</v>
      </c>
      <c r="L32" s="8">
        <v>1202665</v>
      </c>
      <c r="M32" s="8" t="str">
        <f t="shared" si="1"/>
        <v>PEN</v>
      </c>
      <c r="N32" s="13"/>
      <c r="O32" s="13">
        <v>7104.55</v>
      </c>
      <c r="P32" s="3">
        <f t="shared" si="2"/>
        <v>0</v>
      </c>
      <c r="Q32" s="3">
        <f t="shared" si="3"/>
        <v>7104.55</v>
      </c>
      <c r="R32" s="3">
        <f t="shared" si="4"/>
        <v>28288.240000000002</v>
      </c>
      <c r="S32" s="24" t="s">
        <v>1334</v>
      </c>
      <c r="T32" s="24" t="s">
        <v>1334</v>
      </c>
      <c r="U32" s="53"/>
      <c r="V32" s="25">
        <f>IFERROR(VLOOKUP(BCP_Soles[[#This Row],[destinatario]],CHOOSE({1,2},Clientes_Proveedores[Razon Social],Clientes_Proveedores[Ruc / Dni]),2,0),"")</f>
        <v>20302891452</v>
      </c>
      <c r="W32" s="25" t="s">
        <v>249</v>
      </c>
      <c r="X32" s="25"/>
      <c r="Y32" s="25"/>
      <c r="Z32" s="75"/>
      <c r="AA32" s="3" t="str">
        <f>IF(BCP_Soles[[#This Row],[fecha]]&gt;0,TEXT(BCP_Soles[[#This Row],[fecha]],"mmmm"),0)</f>
        <v>Enero</v>
      </c>
    </row>
    <row r="33" spans="1:27" x14ac:dyDescent="0.3">
      <c r="A33" s="2">
        <f>IF(BCP_Soles[[#This Row],[tipo_registro]]="R",COUNTIFS($C$1:$C32,"R")+1,A32)</f>
        <v>17</v>
      </c>
      <c r="B33" s="19" t="str">
        <f t="shared" si="0"/>
        <v>B-BCP - Soles</v>
      </c>
      <c r="C33" s="3" t="s">
        <v>1330</v>
      </c>
      <c r="D33" s="14">
        <v>45660</v>
      </c>
      <c r="E33" s="5" t="s">
        <v>1338</v>
      </c>
      <c r="F33" s="5" t="s">
        <v>1336</v>
      </c>
      <c r="G33" s="6"/>
      <c r="H33" s="6"/>
      <c r="I33" s="6"/>
      <c r="J33" s="6"/>
      <c r="K33" s="7" t="s">
        <v>1385</v>
      </c>
      <c r="L33" s="8">
        <v>8229773</v>
      </c>
      <c r="M33" s="8" t="str">
        <f t="shared" si="1"/>
        <v>PEN</v>
      </c>
      <c r="N33" s="13"/>
      <c r="O33" s="13">
        <v>5713.95</v>
      </c>
      <c r="P33" s="3">
        <f t="shared" si="2"/>
        <v>0</v>
      </c>
      <c r="Q33" s="3">
        <f t="shared" si="3"/>
        <v>5713.95</v>
      </c>
      <c r="R33" s="3">
        <f t="shared" si="4"/>
        <v>22574.29</v>
      </c>
      <c r="S33" s="24" t="s">
        <v>1334</v>
      </c>
      <c r="T33" s="24" t="s">
        <v>1334</v>
      </c>
      <c r="U33" s="53"/>
      <c r="V33" s="25" t="str">
        <f>IFERROR(VLOOKUP(BCP_Soles[[#This Row],[destinatario]],CHOOSE({1,2},Clientes_Proveedores[Razon Social],Clientes_Proveedores[Ruc / Dni]),2,0),"")</f>
        <v/>
      </c>
      <c r="W33" s="25" t="s">
        <v>1373</v>
      </c>
      <c r="X33" s="25"/>
      <c r="Y33" s="25"/>
      <c r="Z33" s="75"/>
      <c r="AA33" s="3" t="str">
        <f>IF(BCP_Soles[[#This Row],[fecha]]&gt;0,TEXT(BCP_Soles[[#This Row],[fecha]],"mmmm"),0)</f>
        <v>Enero</v>
      </c>
    </row>
    <row r="34" spans="1:27" x14ac:dyDescent="0.3">
      <c r="A34" s="2">
        <f>IF(BCP_Soles[[#This Row],[tipo_registro]]="R",COUNTIFS($C$1:$C33,"R")+1,A33)</f>
        <v>17</v>
      </c>
      <c r="B34" s="19" t="str">
        <f t="shared" ref="B34:B67" si="5">"B-BCP - Soles"</f>
        <v>B-BCP - Soles</v>
      </c>
      <c r="C34" s="3" t="s">
        <v>1352</v>
      </c>
      <c r="D34" s="14">
        <v>45660</v>
      </c>
      <c r="E34" s="5" t="s">
        <v>1338</v>
      </c>
      <c r="F34" s="5"/>
      <c r="G34" s="6" t="s">
        <v>397</v>
      </c>
      <c r="H34" s="6" t="s">
        <v>68</v>
      </c>
      <c r="I34" s="6" t="s">
        <v>1376</v>
      </c>
      <c r="J34" s="6">
        <v>363</v>
      </c>
      <c r="K34" s="7" t="s">
        <v>1385</v>
      </c>
      <c r="L34" s="8">
        <v>8229773</v>
      </c>
      <c r="M34" s="8" t="str">
        <f t="shared" ref="M34:M67" si="6">"PEN"</f>
        <v>PEN</v>
      </c>
      <c r="N34" s="13">
        <v>1038</v>
      </c>
      <c r="O34" s="13"/>
      <c r="P34" s="3">
        <f t="shared" ref="P34:P67" si="7">+IF(OR($F34="SALDO",$F34="INGRESO"),$O34,0)</f>
        <v>0</v>
      </c>
      <c r="Q34" s="3">
        <f t="shared" ref="Q34:Q67" si="8">+IF($F34="EGRESO",$O34,0)</f>
        <v>0</v>
      </c>
      <c r="R34" s="3">
        <f t="shared" ref="R34:R65" si="9">IFERROR(IF(F34="SALDO",P34,R33+P34-Q34),0)</f>
        <v>22574.29</v>
      </c>
      <c r="S34" s="24" t="s">
        <v>1334</v>
      </c>
      <c r="T34" s="24" t="s">
        <v>1334</v>
      </c>
      <c r="U34" s="53"/>
      <c r="V34" s="25">
        <f>IFERROR(VLOOKUP(BCP_Soles[[#This Row],[destinatario]],CHOOSE({1,2},Clientes_Proveedores[Razon Social],Clientes_Proveedores[Ruc / Dni]),2,0),"")</f>
        <v>20545577870</v>
      </c>
      <c r="W34" s="25"/>
      <c r="X34" s="25"/>
      <c r="Y34" s="25"/>
      <c r="Z34" s="75"/>
      <c r="AA34" s="3" t="str">
        <f>IF(BCP_Soles[[#This Row],[fecha]]&gt;0,TEXT(BCP_Soles[[#This Row],[fecha]],"mmmm"),0)</f>
        <v>Enero</v>
      </c>
    </row>
    <row r="35" spans="1:27" ht="24" x14ac:dyDescent="0.3">
      <c r="A35" s="2">
        <f>IF(BCP_Soles[[#This Row],[tipo_registro]]="R",COUNTIFS($C$1:$C34,"R")+1,A34)</f>
        <v>17</v>
      </c>
      <c r="B35" s="19" t="str">
        <f t="shared" si="5"/>
        <v>B-BCP - Soles</v>
      </c>
      <c r="C35" s="3" t="s">
        <v>1352</v>
      </c>
      <c r="D35" s="14">
        <v>45660</v>
      </c>
      <c r="E35" s="5" t="s">
        <v>1338</v>
      </c>
      <c r="F35" s="5"/>
      <c r="G35" s="6" t="s">
        <v>166</v>
      </c>
      <c r="H35" s="6" t="s">
        <v>68</v>
      </c>
      <c r="I35" s="6" t="s">
        <v>1376</v>
      </c>
      <c r="J35" s="6">
        <v>4300</v>
      </c>
      <c r="K35" s="7" t="s">
        <v>1385</v>
      </c>
      <c r="L35" s="8">
        <v>8229773</v>
      </c>
      <c r="M35" s="8" t="str">
        <f t="shared" si="6"/>
        <v>PEN</v>
      </c>
      <c r="N35" s="13">
        <v>59</v>
      </c>
      <c r="O35" s="13"/>
      <c r="P35" s="3">
        <f t="shared" si="7"/>
        <v>0</v>
      </c>
      <c r="Q35" s="3">
        <f t="shared" si="8"/>
        <v>0</v>
      </c>
      <c r="R35" s="3">
        <f t="shared" si="9"/>
        <v>22574.29</v>
      </c>
      <c r="S35" s="24" t="s">
        <v>1334</v>
      </c>
      <c r="T35" s="24" t="s">
        <v>1334</v>
      </c>
      <c r="U35" s="53"/>
      <c r="V35" s="25">
        <f>IFERROR(VLOOKUP(BCP_Soles[[#This Row],[destinatario]],CHOOSE({1,2},Clientes_Proveedores[Razon Social],Clientes_Proveedores[Ruc / Dni]),2,0),"")</f>
        <v>10425371652</v>
      </c>
      <c r="W35" s="25"/>
      <c r="X35" s="25"/>
      <c r="Y35" s="25"/>
      <c r="Z35" s="75"/>
      <c r="AA35" s="3" t="str">
        <f>IF(BCP_Soles[[#This Row],[fecha]]&gt;0,TEXT(BCP_Soles[[#This Row],[fecha]],"mmmm"),0)</f>
        <v>Enero</v>
      </c>
    </row>
    <row r="36" spans="1:27" x14ac:dyDescent="0.3">
      <c r="A36" s="2">
        <f>IF(BCP_Soles[[#This Row],[tipo_registro]]="R",COUNTIFS($C$1:$C35,"R")+1,A35)</f>
        <v>17</v>
      </c>
      <c r="B36" s="19" t="str">
        <f t="shared" si="5"/>
        <v>B-BCP - Soles</v>
      </c>
      <c r="C36" s="3" t="s">
        <v>1352</v>
      </c>
      <c r="D36" s="14">
        <v>45660</v>
      </c>
      <c r="E36" s="5" t="s">
        <v>1338</v>
      </c>
      <c r="F36" s="5"/>
      <c r="G36" s="6" t="s">
        <v>522</v>
      </c>
      <c r="H36" s="6" t="s">
        <v>68</v>
      </c>
      <c r="I36" s="6" t="s">
        <v>1376</v>
      </c>
      <c r="J36" s="6">
        <v>3608</v>
      </c>
      <c r="K36" s="7" t="s">
        <v>1385</v>
      </c>
      <c r="L36" s="8">
        <v>8229773</v>
      </c>
      <c r="M36" s="8" t="str">
        <f t="shared" si="6"/>
        <v>PEN</v>
      </c>
      <c r="N36" s="13">
        <v>250.75</v>
      </c>
      <c r="O36" s="13"/>
      <c r="P36" s="3">
        <f t="shared" si="7"/>
        <v>0</v>
      </c>
      <c r="Q36" s="3">
        <f t="shared" si="8"/>
        <v>0</v>
      </c>
      <c r="R36" s="3">
        <f t="shared" si="9"/>
        <v>22574.29</v>
      </c>
      <c r="S36" s="24" t="s">
        <v>1334</v>
      </c>
      <c r="T36" s="24" t="s">
        <v>1334</v>
      </c>
      <c r="U36" s="53"/>
      <c r="V36" s="25">
        <f>IFERROR(VLOOKUP(BCP_Soles[[#This Row],[destinatario]],CHOOSE({1,2},Clientes_Proveedores[Razon Social],Clientes_Proveedores[Ruc / Dni]),2,0),"")</f>
        <v>20603974817</v>
      </c>
      <c r="W36" s="25"/>
      <c r="X36" s="25"/>
      <c r="Y36" s="25"/>
      <c r="Z36" s="75"/>
      <c r="AA36" s="3" t="str">
        <f>IF(BCP_Soles[[#This Row],[fecha]]&gt;0,TEXT(BCP_Soles[[#This Row],[fecha]],"mmmm"),0)</f>
        <v>Enero</v>
      </c>
    </row>
    <row r="37" spans="1:27" x14ac:dyDescent="0.3">
      <c r="A37" s="2">
        <f>IF(BCP_Soles[[#This Row],[tipo_registro]]="R",COUNTIFS($C$1:$C36,"R")+1,A36)</f>
        <v>17</v>
      </c>
      <c r="B37" s="19" t="str">
        <f t="shared" si="5"/>
        <v>B-BCP - Soles</v>
      </c>
      <c r="C37" s="3" t="s">
        <v>1352</v>
      </c>
      <c r="D37" s="14">
        <v>45660</v>
      </c>
      <c r="E37" s="5" t="s">
        <v>1338</v>
      </c>
      <c r="F37" s="5"/>
      <c r="G37" s="6" t="s">
        <v>522</v>
      </c>
      <c r="H37" s="6" t="s">
        <v>68</v>
      </c>
      <c r="I37" s="6" t="s">
        <v>1376</v>
      </c>
      <c r="J37" s="6">
        <v>3547</v>
      </c>
      <c r="K37" s="7" t="s">
        <v>1385</v>
      </c>
      <c r="L37" s="8">
        <v>8229773</v>
      </c>
      <c r="M37" s="8" t="str">
        <f t="shared" si="6"/>
        <v>PEN</v>
      </c>
      <c r="N37" s="13">
        <v>601.79999999999995</v>
      </c>
      <c r="O37" s="13"/>
      <c r="P37" s="3">
        <f t="shared" si="7"/>
        <v>0</v>
      </c>
      <c r="Q37" s="3">
        <f t="shared" si="8"/>
        <v>0</v>
      </c>
      <c r="R37" s="3">
        <f t="shared" si="9"/>
        <v>22574.29</v>
      </c>
      <c r="S37" s="24" t="s">
        <v>1334</v>
      </c>
      <c r="T37" s="24" t="s">
        <v>1334</v>
      </c>
      <c r="U37" s="53"/>
      <c r="V37" s="25">
        <f>IFERROR(VLOOKUP(BCP_Soles[[#This Row],[destinatario]],CHOOSE({1,2},Clientes_Proveedores[Razon Social],Clientes_Proveedores[Ruc / Dni]),2,0),"")</f>
        <v>20603974817</v>
      </c>
      <c r="W37" s="25"/>
      <c r="X37" s="25"/>
      <c r="Y37" s="25"/>
      <c r="Z37" s="75"/>
      <c r="AA37" s="3" t="str">
        <f>IF(BCP_Soles[[#This Row],[fecha]]&gt;0,TEXT(BCP_Soles[[#This Row],[fecha]],"mmmm"),0)</f>
        <v>Enero</v>
      </c>
    </row>
    <row r="38" spans="1:27" x14ac:dyDescent="0.3">
      <c r="A38" s="2">
        <f>IF(BCP_Soles[[#This Row],[tipo_registro]]="R",COUNTIFS($C$1:$C37,"R")+1,A37)</f>
        <v>17</v>
      </c>
      <c r="B38" s="19" t="str">
        <f t="shared" si="5"/>
        <v>B-BCP - Soles</v>
      </c>
      <c r="C38" s="3" t="s">
        <v>1352</v>
      </c>
      <c r="D38" s="14">
        <v>45660</v>
      </c>
      <c r="E38" s="5" t="s">
        <v>1338</v>
      </c>
      <c r="F38" s="5"/>
      <c r="G38" s="6" t="s">
        <v>522</v>
      </c>
      <c r="H38" s="6" t="s">
        <v>68</v>
      </c>
      <c r="I38" s="6" t="s">
        <v>1376</v>
      </c>
      <c r="J38" s="6">
        <v>3617</v>
      </c>
      <c r="K38" s="7" t="s">
        <v>1385</v>
      </c>
      <c r="L38" s="8">
        <v>8229773</v>
      </c>
      <c r="M38" s="8" t="str">
        <f t="shared" si="6"/>
        <v>PEN</v>
      </c>
      <c r="N38" s="13">
        <v>150.44999999999999</v>
      </c>
      <c r="O38" s="13"/>
      <c r="P38" s="3">
        <f t="shared" si="7"/>
        <v>0</v>
      </c>
      <c r="Q38" s="3">
        <f t="shared" si="8"/>
        <v>0</v>
      </c>
      <c r="R38" s="3">
        <f t="shared" si="9"/>
        <v>22574.29</v>
      </c>
      <c r="S38" s="24" t="s">
        <v>1334</v>
      </c>
      <c r="T38" s="24" t="s">
        <v>1334</v>
      </c>
      <c r="U38" s="53"/>
      <c r="V38" s="25">
        <f>IFERROR(VLOOKUP(BCP_Soles[[#This Row],[destinatario]],CHOOSE({1,2},Clientes_Proveedores[Razon Social],Clientes_Proveedores[Ruc / Dni]),2,0),"")</f>
        <v>20603974817</v>
      </c>
      <c r="W38" s="25"/>
      <c r="X38" s="25"/>
      <c r="Y38" s="25"/>
      <c r="Z38" s="75"/>
      <c r="AA38" s="3" t="str">
        <f>IF(BCP_Soles[[#This Row],[fecha]]&gt;0,TEXT(BCP_Soles[[#This Row],[fecha]],"mmmm"),0)</f>
        <v>Enero</v>
      </c>
    </row>
    <row r="39" spans="1:27" ht="36" x14ac:dyDescent="0.3">
      <c r="A39" s="2">
        <f>IF(BCP_Soles[[#This Row],[tipo_registro]]="R",COUNTIFS($C$1:$C38,"R")+1,A38)</f>
        <v>17</v>
      </c>
      <c r="B39" s="19" t="str">
        <f t="shared" si="5"/>
        <v>B-BCP - Soles</v>
      </c>
      <c r="C39" s="3" t="s">
        <v>1352</v>
      </c>
      <c r="D39" s="14">
        <v>45660</v>
      </c>
      <c r="E39" s="5" t="s">
        <v>1338</v>
      </c>
      <c r="F39" s="5"/>
      <c r="G39" s="6" t="s">
        <v>153</v>
      </c>
      <c r="H39" s="6" t="s">
        <v>68</v>
      </c>
      <c r="I39" s="6" t="s">
        <v>1376</v>
      </c>
      <c r="J39" s="6">
        <v>365</v>
      </c>
      <c r="K39" s="7" t="s">
        <v>1385</v>
      </c>
      <c r="L39" s="8">
        <v>8229773</v>
      </c>
      <c r="M39" s="8" t="str">
        <f t="shared" si="6"/>
        <v>PEN</v>
      </c>
      <c r="N39" s="13">
        <v>290</v>
      </c>
      <c r="O39" s="13"/>
      <c r="P39" s="3">
        <f t="shared" si="7"/>
        <v>0</v>
      </c>
      <c r="Q39" s="3">
        <f t="shared" si="8"/>
        <v>0</v>
      </c>
      <c r="R39" s="3">
        <f t="shared" si="9"/>
        <v>22574.29</v>
      </c>
      <c r="S39" s="24" t="s">
        <v>1334</v>
      </c>
      <c r="T39" s="24" t="s">
        <v>1334</v>
      </c>
      <c r="U39" s="53"/>
      <c r="V39" s="25">
        <f>IFERROR(VLOOKUP(BCP_Soles[[#This Row],[destinatario]],CHOOSE({1,2},Clientes_Proveedores[Razon Social],Clientes_Proveedores[Ruc / Dni]),2,0),"")</f>
        <v>10405211179</v>
      </c>
      <c r="W39" s="25"/>
      <c r="X39" s="25"/>
      <c r="Y39" s="25"/>
      <c r="Z39" s="75"/>
      <c r="AA39" s="3" t="str">
        <f>IF(BCP_Soles[[#This Row],[fecha]]&gt;0,TEXT(BCP_Soles[[#This Row],[fecha]],"mmmm"),0)</f>
        <v>Enero</v>
      </c>
    </row>
    <row r="40" spans="1:27" ht="24" x14ac:dyDescent="0.3">
      <c r="A40" s="2">
        <f>IF(BCP_Soles[[#This Row],[tipo_registro]]="R",COUNTIFS($C$1:$C39,"R")+1,A39)</f>
        <v>17</v>
      </c>
      <c r="B40" s="19" t="str">
        <f t="shared" si="5"/>
        <v>B-BCP - Soles</v>
      </c>
      <c r="C40" s="3" t="s">
        <v>1352</v>
      </c>
      <c r="D40" s="14">
        <v>45660</v>
      </c>
      <c r="E40" s="5" t="s">
        <v>1338</v>
      </c>
      <c r="F40" s="5"/>
      <c r="G40" s="6" t="s">
        <v>537</v>
      </c>
      <c r="H40" s="6" t="s">
        <v>68</v>
      </c>
      <c r="I40" s="6" t="s">
        <v>1376</v>
      </c>
      <c r="J40" s="6">
        <v>736</v>
      </c>
      <c r="K40" s="7" t="s">
        <v>1385</v>
      </c>
      <c r="L40" s="8">
        <v>8229773</v>
      </c>
      <c r="M40" s="8" t="str">
        <f t="shared" si="6"/>
        <v>PEN</v>
      </c>
      <c r="N40" s="13">
        <v>1845</v>
      </c>
      <c r="O40" s="13"/>
      <c r="P40" s="3">
        <f t="shared" si="7"/>
        <v>0</v>
      </c>
      <c r="Q40" s="3">
        <f t="shared" si="8"/>
        <v>0</v>
      </c>
      <c r="R40" s="3">
        <f t="shared" si="9"/>
        <v>22574.29</v>
      </c>
      <c r="S40" s="24" t="s">
        <v>1334</v>
      </c>
      <c r="T40" s="24" t="s">
        <v>1334</v>
      </c>
      <c r="U40" s="53"/>
      <c r="V40" s="25">
        <f>IFERROR(VLOOKUP(BCP_Soles[[#This Row],[destinatario]],CHOOSE({1,2},Clientes_Proveedores[Razon Social],Clientes_Proveedores[Ruc / Dni]),2,0),"")</f>
        <v>20605447814</v>
      </c>
      <c r="W40" s="25"/>
      <c r="X40" s="25"/>
      <c r="Y40" s="25"/>
      <c r="Z40" s="75"/>
      <c r="AA40" s="3" t="str">
        <f>IF(BCP_Soles[[#This Row],[fecha]]&gt;0,TEXT(BCP_Soles[[#This Row],[fecha]],"mmmm"),0)</f>
        <v>Enero</v>
      </c>
    </row>
    <row r="41" spans="1:27" ht="24" x14ac:dyDescent="0.3">
      <c r="A41" s="2">
        <f>IF(BCP_Soles[[#This Row],[tipo_registro]]="R",COUNTIFS($C$1:$C40,"R")+1,A40)</f>
        <v>17</v>
      </c>
      <c r="B41" s="19" t="str">
        <f t="shared" si="5"/>
        <v>B-BCP - Soles</v>
      </c>
      <c r="C41" s="3" t="s">
        <v>1352</v>
      </c>
      <c r="D41" s="14">
        <v>45660</v>
      </c>
      <c r="E41" s="5" t="s">
        <v>1338</v>
      </c>
      <c r="F41" s="5"/>
      <c r="G41" s="6" t="s">
        <v>271</v>
      </c>
      <c r="H41" s="6" t="s">
        <v>68</v>
      </c>
      <c r="I41" s="6" t="s">
        <v>1375</v>
      </c>
      <c r="J41" s="6">
        <v>6843</v>
      </c>
      <c r="K41" s="7" t="s">
        <v>1385</v>
      </c>
      <c r="L41" s="8">
        <v>8229773</v>
      </c>
      <c r="M41" s="8" t="str">
        <f t="shared" si="6"/>
        <v>PEN</v>
      </c>
      <c r="N41" s="13">
        <v>54</v>
      </c>
      <c r="O41" s="13"/>
      <c r="P41" s="3">
        <f t="shared" si="7"/>
        <v>0</v>
      </c>
      <c r="Q41" s="3">
        <f t="shared" si="8"/>
        <v>0</v>
      </c>
      <c r="R41" s="3">
        <f t="shared" si="9"/>
        <v>22574.29</v>
      </c>
      <c r="S41" s="24" t="s">
        <v>1334</v>
      </c>
      <c r="T41" s="24" t="s">
        <v>1334</v>
      </c>
      <c r="U41" s="53"/>
      <c r="V41" s="25">
        <f>IFERROR(VLOOKUP(BCP_Soles[[#This Row],[destinatario]],CHOOSE({1,2},Clientes_Proveedores[Razon Social],Clientes_Proveedores[Ruc / Dni]),2,0),"")</f>
        <v>20419158462</v>
      </c>
      <c r="W41" s="25"/>
      <c r="X41" s="25"/>
      <c r="Y41" s="25"/>
      <c r="Z41" s="75"/>
      <c r="AA41" s="3" t="str">
        <f>IF(BCP_Soles[[#This Row],[fecha]]&gt;0,TEXT(BCP_Soles[[#This Row],[fecha]],"mmmm"),0)</f>
        <v>Enero</v>
      </c>
    </row>
    <row r="42" spans="1:27" ht="24" x14ac:dyDescent="0.3">
      <c r="A42" s="2">
        <f>IF(BCP_Soles[[#This Row],[tipo_registro]]="R",COUNTIFS($C$1:$C41,"R")+1,A41)</f>
        <v>17</v>
      </c>
      <c r="B42" s="19" t="str">
        <f t="shared" si="5"/>
        <v>B-BCP - Soles</v>
      </c>
      <c r="C42" s="3" t="s">
        <v>1352</v>
      </c>
      <c r="D42" s="14">
        <v>45660</v>
      </c>
      <c r="E42" s="5" t="s">
        <v>1338</v>
      </c>
      <c r="F42" s="5"/>
      <c r="G42" s="6" t="s">
        <v>271</v>
      </c>
      <c r="H42" s="6" t="s">
        <v>68</v>
      </c>
      <c r="I42" s="6" t="s">
        <v>1375</v>
      </c>
      <c r="J42" s="6">
        <v>6844</v>
      </c>
      <c r="K42" s="7" t="s">
        <v>1385</v>
      </c>
      <c r="L42" s="8">
        <v>8229773</v>
      </c>
      <c r="M42" s="8" t="str">
        <f t="shared" si="6"/>
        <v>PEN</v>
      </c>
      <c r="N42" s="13">
        <v>1075.96</v>
      </c>
      <c r="O42" s="13"/>
      <c r="P42" s="3">
        <f t="shared" si="7"/>
        <v>0</v>
      </c>
      <c r="Q42" s="3">
        <f t="shared" si="8"/>
        <v>0</v>
      </c>
      <c r="R42" s="3">
        <f t="shared" si="9"/>
        <v>22574.29</v>
      </c>
      <c r="S42" s="24" t="s">
        <v>1334</v>
      </c>
      <c r="T42" s="24" t="s">
        <v>1334</v>
      </c>
      <c r="U42" s="53"/>
      <c r="V42" s="25">
        <f>IFERROR(VLOOKUP(BCP_Soles[[#This Row],[destinatario]],CHOOSE({1,2},Clientes_Proveedores[Razon Social],Clientes_Proveedores[Ruc / Dni]),2,0),"")</f>
        <v>20419158462</v>
      </c>
      <c r="W42" s="25"/>
      <c r="X42" s="25"/>
      <c r="Y42" s="25"/>
      <c r="Z42" s="75"/>
      <c r="AA42" s="3" t="str">
        <f>IF(BCP_Soles[[#This Row],[fecha]]&gt;0,TEXT(BCP_Soles[[#This Row],[fecha]],"mmmm"),0)</f>
        <v>Enero</v>
      </c>
    </row>
    <row r="43" spans="1:27" x14ac:dyDescent="0.3">
      <c r="A43" s="2">
        <f>IF(BCP_Soles[[#This Row],[tipo_registro]]="R",COUNTIFS($C$1:$C42,"R")+1,A42)</f>
        <v>17</v>
      </c>
      <c r="B43" s="19" t="str">
        <f t="shared" si="5"/>
        <v>B-BCP - Soles</v>
      </c>
      <c r="C43" s="3" t="s">
        <v>1352</v>
      </c>
      <c r="D43" s="14">
        <v>45660</v>
      </c>
      <c r="E43" s="5" t="s">
        <v>1338</v>
      </c>
      <c r="F43" s="5"/>
      <c r="G43" s="6" t="s">
        <v>286</v>
      </c>
      <c r="H43" s="6" t="s">
        <v>68</v>
      </c>
      <c r="I43" s="6" t="s">
        <v>1386</v>
      </c>
      <c r="J43" s="6">
        <v>1675</v>
      </c>
      <c r="K43" s="7" t="s">
        <v>1385</v>
      </c>
      <c r="L43" s="8">
        <v>8229773</v>
      </c>
      <c r="M43" s="8" t="str">
        <f t="shared" si="6"/>
        <v>PEN</v>
      </c>
      <c r="N43" s="13">
        <v>348.99</v>
      </c>
      <c r="O43" s="13"/>
      <c r="P43" s="3">
        <f t="shared" si="7"/>
        <v>0</v>
      </c>
      <c r="Q43" s="3">
        <f t="shared" si="8"/>
        <v>0</v>
      </c>
      <c r="R43" s="3">
        <f t="shared" si="9"/>
        <v>22574.29</v>
      </c>
      <c r="S43" s="24" t="s">
        <v>1334</v>
      </c>
      <c r="T43" s="24" t="s">
        <v>1334</v>
      </c>
      <c r="U43" s="53"/>
      <c r="V43" s="25">
        <f>IFERROR(VLOOKUP(BCP_Soles[[#This Row],[destinatario]],CHOOSE({1,2},Clientes_Proveedores[Razon Social],Clientes_Proveedores[Ruc / Dni]),2,0),"")</f>
        <v>20454186002</v>
      </c>
      <c r="W43" s="25"/>
      <c r="X43" s="25"/>
      <c r="Y43" s="25"/>
      <c r="Z43" s="75"/>
      <c r="AA43" s="3" t="str">
        <f>IF(BCP_Soles[[#This Row],[fecha]]&gt;0,TEXT(BCP_Soles[[#This Row],[fecha]],"mmmm"),0)</f>
        <v>Enero</v>
      </c>
    </row>
    <row r="44" spans="1:27" x14ac:dyDescent="0.3">
      <c r="A44" s="2">
        <f>IF(BCP_Soles[[#This Row],[tipo_registro]]="R",COUNTIFS($C$1:$C43,"R")+1,A43)</f>
        <v>18</v>
      </c>
      <c r="B44" s="19" t="str">
        <f t="shared" si="5"/>
        <v>B-BCP - Soles</v>
      </c>
      <c r="C44" s="3" t="s">
        <v>1330</v>
      </c>
      <c r="D44" s="14">
        <v>45660</v>
      </c>
      <c r="E44" s="5" t="s">
        <v>1387</v>
      </c>
      <c r="F44" s="5" t="s">
        <v>1336</v>
      </c>
      <c r="G44" s="6"/>
      <c r="H44" s="6"/>
      <c r="I44" s="6"/>
      <c r="J44" s="6"/>
      <c r="K44" s="7" t="s">
        <v>1388</v>
      </c>
      <c r="L44" s="8">
        <v>1011669</v>
      </c>
      <c r="M44" s="8" t="str">
        <f t="shared" si="6"/>
        <v>PEN</v>
      </c>
      <c r="N44" s="13"/>
      <c r="O44" s="13">
        <v>1614</v>
      </c>
      <c r="P44" s="3">
        <f t="shared" si="7"/>
        <v>0</v>
      </c>
      <c r="Q44" s="3">
        <f t="shared" si="8"/>
        <v>1614</v>
      </c>
      <c r="R44" s="3">
        <f t="shared" si="9"/>
        <v>20960.29</v>
      </c>
      <c r="S44" s="24" t="s">
        <v>1334</v>
      </c>
      <c r="T44" s="24" t="s">
        <v>1334</v>
      </c>
      <c r="U44" s="53"/>
      <c r="V44" s="25" t="str">
        <f>IFERROR(VLOOKUP(BCP_Soles[[#This Row],[destinatario]],CHOOSE({1,2},Clientes_Proveedores[Razon Social],Clientes_Proveedores[Ruc / Dni]),2,0),"")</f>
        <v/>
      </c>
      <c r="W44" s="25" t="s">
        <v>1389</v>
      </c>
      <c r="X44" s="25"/>
      <c r="Y44" s="25"/>
      <c r="Z44" s="75"/>
      <c r="AA44" s="3" t="str">
        <f>IF(BCP_Soles[[#This Row],[fecha]]&gt;0,TEXT(BCP_Soles[[#This Row],[fecha]],"mmmm"),0)</f>
        <v>Enero</v>
      </c>
    </row>
    <row r="45" spans="1:27" ht="36" x14ac:dyDescent="0.3">
      <c r="A45" s="2">
        <f>IF(BCP_Soles[[#This Row],[tipo_registro]]="R",COUNTIFS($C$1:$C44,"R")+1,A44)</f>
        <v>18</v>
      </c>
      <c r="B45" s="19" t="str">
        <f t="shared" si="5"/>
        <v>B-BCP - Soles</v>
      </c>
      <c r="C45" s="3" t="s">
        <v>1352</v>
      </c>
      <c r="D45" s="14">
        <v>45660</v>
      </c>
      <c r="E45" s="5" t="s">
        <v>1387</v>
      </c>
      <c r="F45" s="5"/>
      <c r="G45" s="6" t="s">
        <v>277</v>
      </c>
      <c r="H45" s="6" t="s">
        <v>68</v>
      </c>
      <c r="I45" s="6" t="s">
        <v>1390</v>
      </c>
      <c r="J45" s="6">
        <v>1471</v>
      </c>
      <c r="K45" s="7" t="s">
        <v>1388</v>
      </c>
      <c r="L45" s="8">
        <v>1011669</v>
      </c>
      <c r="M45" s="8" t="str">
        <f t="shared" si="6"/>
        <v>PEN</v>
      </c>
      <c r="N45" s="13">
        <v>106</v>
      </c>
      <c r="O45" s="13"/>
      <c r="P45" s="3">
        <f t="shared" si="7"/>
        <v>0</v>
      </c>
      <c r="Q45" s="3">
        <f t="shared" si="8"/>
        <v>0</v>
      </c>
      <c r="R45" s="3">
        <f t="shared" si="9"/>
        <v>20960.29</v>
      </c>
      <c r="S45" s="24" t="s">
        <v>1334</v>
      </c>
      <c r="T45" s="24" t="s">
        <v>1334</v>
      </c>
      <c r="U45" s="53"/>
      <c r="V45" s="25">
        <f>IFERROR(VLOOKUP(BCP_Soles[[#This Row],[destinatario]],CHOOSE({1,2},Clientes_Proveedores[Razon Social],Clientes_Proveedores[Ruc / Dni]),2,0),"")</f>
        <v>20429640939</v>
      </c>
      <c r="W45" s="25"/>
      <c r="X45" s="25"/>
      <c r="Y45" s="25"/>
      <c r="Z45" s="75"/>
      <c r="AA45" s="3" t="str">
        <f>IF(BCP_Soles[[#This Row],[fecha]]&gt;0,TEXT(BCP_Soles[[#This Row],[fecha]],"mmmm"),0)</f>
        <v>Enero</v>
      </c>
    </row>
    <row r="46" spans="1:27" ht="24" x14ac:dyDescent="0.3">
      <c r="A46" s="2">
        <f>IF(BCP_Soles[[#This Row],[tipo_registro]]="R",COUNTIFS($C$1:$C45,"R")+1,A45)</f>
        <v>18</v>
      </c>
      <c r="B46" s="19" t="str">
        <f t="shared" si="5"/>
        <v>B-BCP - Soles</v>
      </c>
      <c r="C46" s="3" t="s">
        <v>1352</v>
      </c>
      <c r="D46" s="14">
        <v>45660</v>
      </c>
      <c r="E46" s="5" t="s">
        <v>1387</v>
      </c>
      <c r="F46" s="5"/>
      <c r="G46" s="6" t="s">
        <v>204</v>
      </c>
      <c r="H46" s="6" t="s">
        <v>68</v>
      </c>
      <c r="I46" s="6" t="s">
        <v>1390</v>
      </c>
      <c r="J46" s="6">
        <v>15232</v>
      </c>
      <c r="K46" s="7" t="s">
        <v>1388</v>
      </c>
      <c r="L46" s="8">
        <v>1011669</v>
      </c>
      <c r="M46" s="8" t="str">
        <f t="shared" si="6"/>
        <v>PEN</v>
      </c>
      <c r="N46" s="13">
        <v>33</v>
      </c>
      <c r="O46" s="13"/>
      <c r="P46" s="3">
        <f t="shared" si="7"/>
        <v>0</v>
      </c>
      <c r="Q46" s="3">
        <f t="shared" si="8"/>
        <v>0</v>
      </c>
      <c r="R46" s="3">
        <f t="shared" si="9"/>
        <v>20960.29</v>
      </c>
      <c r="S46" s="24" t="s">
        <v>1334</v>
      </c>
      <c r="T46" s="24" t="s">
        <v>1334</v>
      </c>
      <c r="U46" s="53"/>
      <c r="V46" s="25">
        <f>IFERROR(VLOOKUP(BCP_Soles[[#This Row],[destinatario]],CHOOSE({1,2},Clientes_Proveedores[Razon Social],Clientes_Proveedores[Ruc / Dni]),2,0),"")</f>
        <v>20100192064</v>
      </c>
      <c r="W46" s="25"/>
      <c r="X46" s="25"/>
      <c r="Y46" s="25"/>
      <c r="Z46" s="75"/>
      <c r="AA46" s="3" t="str">
        <f>IF(BCP_Soles[[#This Row],[fecha]]&gt;0,TEXT(BCP_Soles[[#This Row],[fecha]],"mmmm"),0)</f>
        <v>Enero</v>
      </c>
    </row>
    <row r="47" spans="1:27" ht="24" x14ac:dyDescent="0.3">
      <c r="A47" s="2">
        <f>IF(BCP_Soles[[#This Row],[tipo_registro]]="R",COUNTIFS($C$1:$C46,"R")+1,A46)</f>
        <v>18</v>
      </c>
      <c r="B47" s="19" t="str">
        <f t="shared" si="5"/>
        <v>B-BCP - Soles</v>
      </c>
      <c r="C47" s="3" t="s">
        <v>1352</v>
      </c>
      <c r="D47" s="14">
        <v>45660</v>
      </c>
      <c r="E47" s="5" t="s">
        <v>1387</v>
      </c>
      <c r="F47" s="5"/>
      <c r="G47" s="6" t="s">
        <v>204</v>
      </c>
      <c r="H47" s="6" t="s">
        <v>68</v>
      </c>
      <c r="I47" s="6" t="s">
        <v>1390</v>
      </c>
      <c r="J47" s="6">
        <v>15260</v>
      </c>
      <c r="K47" s="7" t="s">
        <v>1388</v>
      </c>
      <c r="L47" s="8">
        <v>1011669</v>
      </c>
      <c r="M47" s="8" t="str">
        <f t="shared" si="6"/>
        <v>PEN</v>
      </c>
      <c r="N47" s="13">
        <v>77</v>
      </c>
      <c r="O47" s="13"/>
      <c r="P47" s="3">
        <f t="shared" si="7"/>
        <v>0</v>
      </c>
      <c r="Q47" s="3">
        <f t="shared" si="8"/>
        <v>0</v>
      </c>
      <c r="R47" s="3">
        <f t="shared" si="9"/>
        <v>20960.29</v>
      </c>
      <c r="S47" s="24" t="s">
        <v>1334</v>
      </c>
      <c r="T47" s="24" t="s">
        <v>1334</v>
      </c>
      <c r="U47" s="53"/>
      <c r="V47" s="25">
        <f>IFERROR(VLOOKUP(BCP_Soles[[#This Row],[destinatario]],CHOOSE({1,2},Clientes_Proveedores[Razon Social],Clientes_Proveedores[Ruc / Dni]),2,0),"")</f>
        <v>20100192064</v>
      </c>
      <c r="W47" s="25"/>
      <c r="X47" s="25"/>
      <c r="Y47" s="25"/>
      <c r="Z47" s="75"/>
      <c r="AA47" s="3" t="str">
        <f>IF(BCP_Soles[[#This Row],[fecha]]&gt;0,TEXT(BCP_Soles[[#This Row],[fecha]],"mmmm"),0)</f>
        <v>Enero</v>
      </c>
    </row>
    <row r="48" spans="1:27" ht="24" x14ac:dyDescent="0.3">
      <c r="A48" s="2">
        <f>IF(BCP_Soles[[#This Row],[tipo_registro]]="R",COUNTIFS($C$1:$C47,"R")+1,A47)</f>
        <v>18</v>
      </c>
      <c r="B48" s="19" t="str">
        <f t="shared" si="5"/>
        <v>B-BCP - Soles</v>
      </c>
      <c r="C48" s="3" t="s">
        <v>1352</v>
      </c>
      <c r="D48" s="14">
        <v>45660</v>
      </c>
      <c r="E48" s="5" t="s">
        <v>1387</v>
      </c>
      <c r="F48" s="5"/>
      <c r="G48" s="6" t="s">
        <v>204</v>
      </c>
      <c r="H48" s="6" t="s">
        <v>68</v>
      </c>
      <c r="I48" s="6" t="s">
        <v>1390</v>
      </c>
      <c r="J48" s="6">
        <v>15276</v>
      </c>
      <c r="K48" s="7" t="s">
        <v>1388</v>
      </c>
      <c r="L48" s="8">
        <v>1011669</v>
      </c>
      <c r="M48" s="8" t="str">
        <f t="shared" si="6"/>
        <v>PEN</v>
      </c>
      <c r="N48" s="13">
        <v>42</v>
      </c>
      <c r="O48" s="13"/>
      <c r="P48" s="3">
        <f t="shared" si="7"/>
        <v>0</v>
      </c>
      <c r="Q48" s="3">
        <f t="shared" si="8"/>
        <v>0</v>
      </c>
      <c r="R48" s="3">
        <f t="shared" si="9"/>
        <v>20960.29</v>
      </c>
      <c r="S48" s="24" t="s">
        <v>1334</v>
      </c>
      <c r="T48" s="24" t="s">
        <v>1334</v>
      </c>
      <c r="U48" s="53"/>
      <c r="V48" s="25">
        <f>IFERROR(VLOOKUP(BCP_Soles[[#This Row],[destinatario]],CHOOSE({1,2},Clientes_Proveedores[Razon Social],Clientes_Proveedores[Ruc / Dni]),2,0),"")</f>
        <v>20100192064</v>
      </c>
      <c r="W48" s="25"/>
      <c r="X48" s="25"/>
      <c r="Y48" s="25"/>
      <c r="Z48" s="75"/>
      <c r="AA48" s="3" t="str">
        <f>IF(BCP_Soles[[#This Row],[fecha]]&gt;0,TEXT(BCP_Soles[[#This Row],[fecha]],"mmmm"),0)</f>
        <v>Enero</v>
      </c>
    </row>
    <row r="49" spans="1:27" ht="24" x14ac:dyDescent="0.3">
      <c r="A49" s="2">
        <f>IF(BCP_Soles[[#This Row],[tipo_registro]]="R",COUNTIFS($C$1:$C48,"R")+1,A48)</f>
        <v>18</v>
      </c>
      <c r="B49" s="19" t="str">
        <f t="shared" si="5"/>
        <v>B-BCP - Soles</v>
      </c>
      <c r="C49" s="3" t="s">
        <v>1352</v>
      </c>
      <c r="D49" s="14">
        <v>45660</v>
      </c>
      <c r="E49" s="5" t="s">
        <v>1387</v>
      </c>
      <c r="F49" s="5"/>
      <c r="G49" s="6" t="s">
        <v>185</v>
      </c>
      <c r="H49" s="6" t="s">
        <v>68</v>
      </c>
      <c r="I49" s="6" t="s">
        <v>1376</v>
      </c>
      <c r="J49" s="6">
        <v>116</v>
      </c>
      <c r="K49" s="7" t="s">
        <v>1388</v>
      </c>
      <c r="L49" s="8">
        <v>1011669</v>
      </c>
      <c r="M49" s="8" t="str">
        <f t="shared" si="6"/>
        <v>PEN</v>
      </c>
      <c r="N49" s="13">
        <v>129</v>
      </c>
      <c r="O49" s="13"/>
      <c r="P49" s="3">
        <f t="shared" si="7"/>
        <v>0</v>
      </c>
      <c r="Q49" s="3">
        <f t="shared" si="8"/>
        <v>0</v>
      </c>
      <c r="R49" s="3">
        <f t="shared" si="9"/>
        <v>20960.29</v>
      </c>
      <c r="S49" s="24" t="s">
        <v>1334</v>
      </c>
      <c r="T49" s="24" t="s">
        <v>1334</v>
      </c>
      <c r="U49" s="53"/>
      <c r="V49" s="25">
        <f>IFERROR(VLOOKUP(BCP_Soles[[#This Row],[destinatario]],CHOOSE({1,2},Clientes_Proveedores[Razon Social],Clientes_Proveedores[Ruc / Dni]),2,0),"")</f>
        <v>10489531963</v>
      </c>
      <c r="W49" s="25"/>
      <c r="X49" s="25"/>
      <c r="Y49" s="25"/>
      <c r="Z49" s="75"/>
      <c r="AA49" s="3" t="str">
        <f>IF(BCP_Soles[[#This Row],[fecha]]&gt;0,TEXT(BCP_Soles[[#This Row],[fecha]],"mmmm"),0)</f>
        <v>Enero</v>
      </c>
    </row>
    <row r="50" spans="1:27" ht="36" x14ac:dyDescent="0.3">
      <c r="A50" s="2">
        <f>IF(BCP_Soles[[#This Row],[tipo_registro]]="R",COUNTIFS($C$1:$C49,"R")+1,A49)</f>
        <v>18</v>
      </c>
      <c r="B50" s="19" t="str">
        <f t="shared" si="5"/>
        <v>B-BCP - Soles</v>
      </c>
      <c r="C50" s="3" t="s">
        <v>1352</v>
      </c>
      <c r="D50" s="14">
        <v>45660</v>
      </c>
      <c r="E50" s="5" t="s">
        <v>1387</v>
      </c>
      <c r="F50" s="5"/>
      <c r="G50" s="6" t="s">
        <v>614</v>
      </c>
      <c r="H50" s="6" t="s">
        <v>68</v>
      </c>
      <c r="I50" s="6" t="s">
        <v>1376</v>
      </c>
      <c r="J50" s="6">
        <v>60</v>
      </c>
      <c r="K50" s="7" t="s">
        <v>1388</v>
      </c>
      <c r="L50" s="8">
        <v>1011669</v>
      </c>
      <c r="M50" s="8" t="str">
        <f t="shared" si="6"/>
        <v>PEN</v>
      </c>
      <c r="N50" s="13">
        <v>60</v>
      </c>
      <c r="O50" s="13"/>
      <c r="P50" s="3">
        <f t="shared" si="7"/>
        <v>0</v>
      </c>
      <c r="Q50" s="3">
        <f t="shared" si="8"/>
        <v>0</v>
      </c>
      <c r="R50" s="3">
        <f t="shared" si="9"/>
        <v>20960.29</v>
      </c>
      <c r="S50" s="24" t="s">
        <v>1334</v>
      </c>
      <c r="T50" s="24" t="s">
        <v>1334</v>
      </c>
      <c r="U50" s="53"/>
      <c r="V50" s="25">
        <f>IFERROR(VLOOKUP(BCP_Soles[[#This Row],[destinatario]],CHOOSE({1,2},Clientes_Proveedores[Razon Social],Clientes_Proveedores[Ruc / Dni]),2,0),"")</f>
        <v>20612157457</v>
      </c>
      <c r="W50" s="25"/>
      <c r="X50" s="25"/>
      <c r="Y50" s="25"/>
      <c r="Z50" s="75"/>
      <c r="AA50" s="3" t="str">
        <f>IF(BCP_Soles[[#This Row],[fecha]]&gt;0,TEXT(BCP_Soles[[#This Row],[fecha]],"mmmm"),0)</f>
        <v>Enero</v>
      </c>
    </row>
    <row r="51" spans="1:27" ht="36" x14ac:dyDescent="0.3">
      <c r="A51" s="2">
        <f>IF(BCP_Soles[[#This Row],[tipo_registro]]="R",COUNTIFS($C$1:$C50,"R")+1,A50)</f>
        <v>18</v>
      </c>
      <c r="B51" s="19" t="str">
        <f t="shared" si="5"/>
        <v>B-BCP - Soles</v>
      </c>
      <c r="C51" s="3" t="s">
        <v>1352</v>
      </c>
      <c r="D51" s="14">
        <v>45660</v>
      </c>
      <c r="E51" s="5" t="s">
        <v>1387</v>
      </c>
      <c r="F51" s="5"/>
      <c r="G51" s="6" t="s">
        <v>474</v>
      </c>
      <c r="H51" s="6" t="s">
        <v>68</v>
      </c>
      <c r="I51" s="6" t="s">
        <v>1376</v>
      </c>
      <c r="J51" s="6">
        <v>677</v>
      </c>
      <c r="K51" s="7" t="s">
        <v>1388</v>
      </c>
      <c r="L51" s="8">
        <v>1011669</v>
      </c>
      <c r="M51" s="8" t="str">
        <f t="shared" si="6"/>
        <v>PEN</v>
      </c>
      <c r="N51" s="13">
        <v>20</v>
      </c>
      <c r="O51" s="13"/>
      <c r="P51" s="3">
        <f t="shared" si="7"/>
        <v>0</v>
      </c>
      <c r="Q51" s="3">
        <f t="shared" si="8"/>
        <v>0</v>
      </c>
      <c r="R51" s="3">
        <f t="shared" si="9"/>
        <v>20960.29</v>
      </c>
      <c r="S51" s="24" t="s">
        <v>1334</v>
      </c>
      <c r="T51" s="24" t="s">
        <v>1334</v>
      </c>
      <c r="U51" s="53"/>
      <c r="V51" s="25">
        <f>IFERROR(VLOOKUP(BCP_Soles[[#This Row],[destinatario]],CHOOSE({1,2},Clientes_Proveedores[Razon Social],Clientes_Proveedores[Ruc / Dni]),2,0),"")</f>
        <v>20602075177</v>
      </c>
      <c r="W51" s="25"/>
      <c r="X51" s="25"/>
      <c r="Y51" s="25"/>
      <c r="Z51" s="75"/>
      <c r="AA51" s="3" t="str">
        <f>IF(BCP_Soles[[#This Row],[fecha]]&gt;0,TEXT(BCP_Soles[[#This Row],[fecha]],"mmmm"),0)</f>
        <v>Enero</v>
      </c>
    </row>
    <row r="52" spans="1:27" ht="24" x14ac:dyDescent="0.3">
      <c r="A52" s="2">
        <f>IF(BCP_Soles[[#This Row],[tipo_registro]]="R",COUNTIFS($C$1:$C51,"R")+1,A51)</f>
        <v>18</v>
      </c>
      <c r="B52" s="19" t="str">
        <f t="shared" si="5"/>
        <v>B-BCP - Soles</v>
      </c>
      <c r="C52" s="3" t="s">
        <v>1352</v>
      </c>
      <c r="D52" s="14">
        <v>45660</v>
      </c>
      <c r="E52" s="5" t="s">
        <v>1387</v>
      </c>
      <c r="F52" s="5"/>
      <c r="G52" s="6" t="s">
        <v>204</v>
      </c>
      <c r="H52" s="6" t="s">
        <v>68</v>
      </c>
      <c r="I52" s="6" t="s">
        <v>1390</v>
      </c>
      <c r="J52" s="6">
        <v>15281</v>
      </c>
      <c r="K52" s="7" t="s">
        <v>1388</v>
      </c>
      <c r="L52" s="8">
        <v>1011669</v>
      </c>
      <c r="M52" s="8" t="str">
        <f t="shared" si="6"/>
        <v>PEN</v>
      </c>
      <c r="N52" s="13">
        <v>62</v>
      </c>
      <c r="O52" s="13"/>
      <c r="P52" s="3">
        <f t="shared" si="7"/>
        <v>0</v>
      </c>
      <c r="Q52" s="3">
        <f t="shared" si="8"/>
        <v>0</v>
      </c>
      <c r="R52" s="3">
        <f t="shared" si="9"/>
        <v>20960.29</v>
      </c>
      <c r="S52" s="24" t="s">
        <v>1334</v>
      </c>
      <c r="T52" s="24" t="s">
        <v>1334</v>
      </c>
      <c r="U52" s="53"/>
      <c r="V52" s="25">
        <f>IFERROR(VLOOKUP(BCP_Soles[[#This Row],[destinatario]],CHOOSE({1,2},Clientes_Proveedores[Razon Social],Clientes_Proveedores[Ruc / Dni]),2,0),"")</f>
        <v>20100192064</v>
      </c>
      <c r="W52" s="25"/>
      <c r="X52" s="25"/>
      <c r="Y52" s="25"/>
      <c r="Z52" s="75"/>
      <c r="AA52" s="3" t="str">
        <f>IF(BCP_Soles[[#This Row],[fecha]]&gt;0,TEXT(BCP_Soles[[#This Row],[fecha]],"mmmm"),0)</f>
        <v>Enero</v>
      </c>
    </row>
    <row r="53" spans="1:27" ht="24" x14ac:dyDescent="0.3">
      <c r="A53" s="2">
        <f>IF(BCP_Soles[[#This Row],[tipo_registro]]="R",COUNTIFS($C$1:$C52,"R")+1,A52)</f>
        <v>18</v>
      </c>
      <c r="B53" s="19" t="str">
        <f t="shared" si="5"/>
        <v>B-BCP - Soles</v>
      </c>
      <c r="C53" s="3" t="s">
        <v>1352</v>
      </c>
      <c r="D53" s="14">
        <v>45660</v>
      </c>
      <c r="E53" s="5" t="s">
        <v>1387</v>
      </c>
      <c r="F53" s="5"/>
      <c r="G53" s="6" t="s">
        <v>204</v>
      </c>
      <c r="H53" s="6" t="s">
        <v>68</v>
      </c>
      <c r="I53" s="6" t="s">
        <v>1390</v>
      </c>
      <c r="J53" s="6">
        <v>15282</v>
      </c>
      <c r="K53" s="7" t="s">
        <v>1388</v>
      </c>
      <c r="L53" s="8">
        <v>1011669</v>
      </c>
      <c r="M53" s="8" t="str">
        <f t="shared" si="6"/>
        <v>PEN</v>
      </c>
      <c r="N53" s="13">
        <v>71</v>
      </c>
      <c r="O53" s="13"/>
      <c r="P53" s="3">
        <f t="shared" si="7"/>
        <v>0</v>
      </c>
      <c r="Q53" s="3">
        <f t="shared" si="8"/>
        <v>0</v>
      </c>
      <c r="R53" s="3">
        <f t="shared" si="9"/>
        <v>20960.29</v>
      </c>
      <c r="S53" s="24" t="s">
        <v>1334</v>
      </c>
      <c r="T53" s="24" t="s">
        <v>1334</v>
      </c>
      <c r="U53" s="53"/>
      <c r="V53" s="25">
        <f>IFERROR(VLOOKUP(BCP_Soles[[#This Row],[destinatario]],CHOOSE({1,2},Clientes_Proveedores[Razon Social],Clientes_Proveedores[Ruc / Dni]),2,0),"")</f>
        <v>20100192064</v>
      </c>
      <c r="W53" s="25"/>
      <c r="X53" s="25"/>
      <c r="Y53" s="25"/>
      <c r="Z53" s="75"/>
      <c r="AA53" s="3" t="str">
        <f>IF(BCP_Soles[[#This Row],[fecha]]&gt;0,TEXT(BCP_Soles[[#This Row],[fecha]],"mmmm"),0)</f>
        <v>Enero</v>
      </c>
    </row>
    <row r="54" spans="1:27" ht="24" x14ac:dyDescent="0.3">
      <c r="A54" s="2">
        <f>IF(BCP_Soles[[#This Row],[tipo_registro]]="R",COUNTIFS($C$1:$C53,"R")+1,A53)</f>
        <v>18</v>
      </c>
      <c r="B54" s="19" t="str">
        <f t="shared" si="5"/>
        <v>B-BCP - Soles</v>
      </c>
      <c r="C54" s="3" t="s">
        <v>1352</v>
      </c>
      <c r="D54" s="14">
        <v>45660</v>
      </c>
      <c r="E54" s="5" t="s">
        <v>1387</v>
      </c>
      <c r="F54" s="5"/>
      <c r="G54" s="6" t="s">
        <v>204</v>
      </c>
      <c r="H54" s="6" t="s">
        <v>68</v>
      </c>
      <c r="I54" s="6" t="s">
        <v>1390</v>
      </c>
      <c r="J54" s="6">
        <v>15290</v>
      </c>
      <c r="K54" s="7" t="s">
        <v>1388</v>
      </c>
      <c r="L54" s="8">
        <v>1011669</v>
      </c>
      <c r="M54" s="8" t="str">
        <f t="shared" si="6"/>
        <v>PEN</v>
      </c>
      <c r="N54" s="13">
        <v>40</v>
      </c>
      <c r="O54" s="13"/>
      <c r="P54" s="3">
        <f t="shared" si="7"/>
        <v>0</v>
      </c>
      <c r="Q54" s="3">
        <f t="shared" si="8"/>
        <v>0</v>
      </c>
      <c r="R54" s="3">
        <f t="shared" si="9"/>
        <v>20960.29</v>
      </c>
      <c r="S54" s="24" t="s">
        <v>1334</v>
      </c>
      <c r="T54" s="24" t="s">
        <v>1334</v>
      </c>
      <c r="U54" s="53"/>
      <c r="V54" s="25">
        <f>IFERROR(VLOOKUP(BCP_Soles[[#This Row],[destinatario]],CHOOSE({1,2},Clientes_Proveedores[Razon Social],Clientes_Proveedores[Ruc / Dni]),2,0),"")</f>
        <v>20100192064</v>
      </c>
      <c r="W54" s="25"/>
      <c r="X54" s="25"/>
      <c r="Y54" s="25"/>
      <c r="Z54" s="75"/>
      <c r="AA54" s="3" t="str">
        <f>IF(BCP_Soles[[#This Row],[fecha]]&gt;0,TEXT(BCP_Soles[[#This Row],[fecha]],"mmmm"),0)</f>
        <v>Enero</v>
      </c>
    </row>
    <row r="55" spans="1:27" ht="24" x14ac:dyDescent="0.3">
      <c r="A55" s="2">
        <f>IF(BCP_Soles[[#This Row],[tipo_registro]]="R",COUNTIFS($C$1:$C54,"R")+1,A54)</f>
        <v>18</v>
      </c>
      <c r="B55" s="19" t="str">
        <f t="shared" si="5"/>
        <v>B-BCP - Soles</v>
      </c>
      <c r="C55" s="3" t="s">
        <v>1352</v>
      </c>
      <c r="D55" s="14">
        <v>45660</v>
      </c>
      <c r="E55" s="5" t="s">
        <v>1387</v>
      </c>
      <c r="F55" s="5"/>
      <c r="G55" s="6" t="s">
        <v>204</v>
      </c>
      <c r="H55" s="6" t="s">
        <v>68</v>
      </c>
      <c r="I55" s="6" t="s">
        <v>1390</v>
      </c>
      <c r="J55" s="6">
        <v>15294</v>
      </c>
      <c r="K55" s="7" t="s">
        <v>1388</v>
      </c>
      <c r="L55" s="8">
        <v>1011669</v>
      </c>
      <c r="M55" s="8" t="str">
        <f t="shared" si="6"/>
        <v>PEN</v>
      </c>
      <c r="N55" s="13">
        <v>57</v>
      </c>
      <c r="O55" s="13"/>
      <c r="P55" s="3">
        <f t="shared" si="7"/>
        <v>0</v>
      </c>
      <c r="Q55" s="3">
        <f t="shared" si="8"/>
        <v>0</v>
      </c>
      <c r="R55" s="3">
        <f t="shared" si="9"/>
        <v>20960.29</v>
      </c>
      <c r="S55" s="24" t="s">
        <v>1334</v>
      </c>
      <c r="T55" s="24" t="s">
        <v>1334</v>
      </c>
      <c r="U55" s="53"/>
      <c r="V55" s="25">
        <f>IFERROR(VLOOKUP(BCP_Soles[[#This Row],[destinatario]],CHOOSE({1,2},Clientes_Proveedores[Razon Social],Clientes_Proveedores[Ruc / Dni]),2,0),"")</f>
        <v>20100192064</v>
      </c>
      <c r="W55" s="25"/>
      <c r="X55" s="25"/>
      <c r="Y55" s="25"/>
      <c r="Z55" s="75"/>
      <c r="AA55" s="3" t="str">
        <f>IF(BCP_Soles[[#This Row],[fecha]]&gt;0,TEXT(BCP_Soles[[#This Row],[fecha]],"mmmm"),0)</f>
        <v>Enero</v>
      </c>
    </row>
    <row r="56" spans="1:27" ht="24" x14ac:dyDescent="0.3">
      <c r="A56" s="2">
        <f>IF(BCP_Soles[[#This Row],[tipo_registro]]="R",COUNTIFS($C$1:$C55,"R")+1,A55)</f>
        <v>18</v>
      </c>
      <c r="B56" s="19" t="str">
        <f t="shared" si="5"/>
        <v>B-BCP - Soles</v>
      </c>
      <c r="C56" s="3" t="s">
        <v>1352</v>
      </c>
      <c r="D56" s="14">
        <v>45660</v>
      </c>
      <c r="E56" s="5" t="s">
        <v>1387</v>
      </c>
      <c r="F56" s="5"/>
      <c r="G56" s="6" t="s">
        <v>271</v>
      </c>
      <c r="H56" s="6" t="s">
        <v>68</v>
      </c>
      <c r="I56" s="6" t="s">
        <v>1375</v>
      </c>
      <c r="J56" s="6">
        <v>6831</v>
      </c>
      <c r="K56" s="7" t="s">
        <v>1388</v>
      </c>
      <c r="L56" s="8">
        <v>1011669</v>
      </c>
      <c r="M56" s="8" t="str">
        <f t="shared" si="6"/>
        <v>PEN</v>
      </c>
      <c r="N56" s="13">
        <v>192</v>
      </c>
      <c r="O56" s="13"/>
      <c r="P56" s="3">
        <f t="shared" si="7"/>
        <v>0</v>
      </c>
      <c r="Q56" s="3">
        <f t="shared" si="8"/>
        <v>0</v>
      </c>
      <c r="R56" s="3">
        <f t="shared" si="9"/>
        <v>20960.29</v>
      </c>
      <c r="S56" s="24" t="s">
        <v>1334</v>
      </c>
      <c r="T56" s="24" t="s">
        <v>1334</v>
      </c>
      <c r="U56" s="53"/>
      <c r="V56" s="25">
        <f>IFERROR(VLOOKUP(BCP_Soles[[#This Row],[destinatario]],CHOOSE({1,2},Clientes_Proveedores[Razon Social],Clientes_Proveedores[Ruc / Dni]),2,0),"")</f>
        <v>20419158462</v>
      </c>
      <c r="W56" s="25"/>
      <c r="X56" s="25"/>
      <c r="Y56" s="25"/>
      <c r="Z56" s="75"/>
      <c r="AA56" s="3" t="str">
        <f>IF(BCP_Soles[[#This Row],[fecha]]&gt;0,TEXT(BCP_Soles[[#This Row],[fecha]],"mmmm"),0)</f>
        <v>Enero</v>
      </c>
    </row>
    <row r="57" spans="1:27" ht="36" x14ac:dyDescent="0.3">
      <c r="A57" s="2">
        <f>IF(BCP_Soles[[#This Row],[tipo_registro]]="R",COUNTIFS($C$1:$C56,"R")+1,A56)</f>
        <v>18</v>
      </c>
      <c r="B57" s="19" t="str">
        <f t="shared" si="5"/>
        <v>B-BCP - Soles</v>
      </c>
      <c r="C57" s="3" t="s">
        <v>1352</v>
      </c>
      <c r="D57" s="14">
        <v>45660</v>
      </c>
      <c r="E57" s="5" t="s">
        <v>1387</v>
      </c>
      <c r="F57" s="5"/>
      <c r="G57" s="6" t="s">
        <v>389</v>
      </c>
      <c r="H57" s="6" t="s">
        <v>68</v>
      </c>
      <c r="I57" s="6" t="s">
        <v>1374</v>
      </c>
      <c r="J57" s="6">
        <v>1462</v>
      </c>
      <c r="K57" s="7" t="s">
        <v>1388</v>
      </c>
      <c r="L57" s="8">
        <v>1011669</v>
      </c>
      <c r="M57" s="8" t="str">
        <f t="shared" si="6"/>
        <v>PEN</v>
      </c>
      <c r="N57" s="13">
        <v>14</v>
      </c>
      <c r="O57" s="13"/>
      <c r="P57" s="3">
        <f t="shared" si="7"/>
        <v>0</v>
      </c>
      <c r="Q57" s="3">
        <f t="shared" si="8"/>
        <v>0</v>
      </c>
      <c r="R57" s="3">
        <f t="shared" si="9"/>
        <v>20960.29</v>
      </c>
      <c r="S57" s="24" t="s">
        <v>1334</v>
      </c>
      <c r="T57" s="24" t="s">
        <v>1334</v>
      </c>
      <c r="U57" s="53"/>
      <c r="V57" s="25">
        <f>IFERROR(VLOOKUP(BCP_Soles[[#This Row],[destinatario]],CHOOSE({1,2},Clientes_Proveedores[Razon Social],Clientes_Proveedores[Ruc / Dni]),2,0),"")</f>
        <v>20539627938</v>
      </c>
      <c r="W57" s="25"/>
      <c r="X57" s="25"/>
      <c r="Y57" s="25"/>
      <c r="Z57" s="75"/>
      <c r="AA57" s="3" t="str">
        <f>IF(BCP_Soles[[#This Row],[fecha]]&gt;0,TEXT(BCP_Soles[[#This Row],[fecha]],"mmmm"),0)</f>
        <v>Enero</v>
      </c>
    </row>
    <row r="58" spans="1:27" ht="24" x14ac:dyDescent="0.3">
      <c r="A58" s="2">
        <f>IF(BCP_Soles[[#This Row],[tipo_registro]]="R",COUNTIFS($C$1:$C57,"R")+1,A57)</f>
        <v>18</v>
      </c>
      <c r="B58" s="19" t="str">
        <f t="shared" si="5"/>
        <v>B-BCP - Soles</v>
      </c>
      <c r="C58" s="3" t="s">
        <v>1352</v>
      </c>
      <c r="D58" s="14">
        <v>45660</v>
      </c>
      <c r="E58" s="5" t="s">
        <v>1387</v>
      </c>
      <c r="F58" s="5"/>
      <c r="G58" s="6" t="s">
        <v>241</v>
      </c>
      <c r="H58" s="6" t="s">
        <v>68</v>
      </c>
      <c r="I58" s="6" t="s">
        <v>1391</v>
      </c>
      <c r="J58" s="6">
        <v>2061</v>
      </c>
      <c r="K58" s="7" t="s">
        <v>1388</v>
      </c>
      <c r="L58" s="8">
        <v>1011669</v>
      </c>
      <c r="M58" s="8" t="str">
        <f t="shared" si="6"/>
        <v>PEN</v>
      </c>
      <c r="N58" s="13">
        <v>206</v>
      </c>
      <c r="O58" s="13"/>
      <c r="P58" s="3">
        <f t="shared" si="7"/>
        <v>0</v>
      </c>
      <c r="Q58" s="3">
        <f t="shared" si="8"/>
        <v>0</v>
      </c>
      <c r="R58" s="3">
        <f t="shared" si="9"/>
        <v>20960.29</v>
      </c>
      <c r="S58" s="24" t="s">
        <v>1334</v>
      </c>
      <c r="T58" s="24" t="s">
        <v>1334</v>
      </c>
      <c r="U58" s="53"/>
      <c r="V58" s="25">
        <f>IFERROR(VLOOKUP(BCP_Soles[[#This Row],[destinatario]],CHOOSE({1,2},Clientes_Proveedores[Razon Social],Clientes_Proveedores[Ruc / Dni]),2,0),"")</f>
        <v>20170040938</v>
      </c>
      <c r="W58" s="25"/>
      <c r="X58" s="25"/>
      <c r="Y58" s="25"/>
      <c r="Z58" s="75"/>
      <c r="AA58" s="3" t="str">
        <f>IF(BCP_Soles[[#This Row],[fecha]]&gt;0,TEXT(BCP_Soles[[#This Row],[fecha]],"mmmm"),0)</f>
        <v>Enero</v>
      </c>
    </row>
    <row r="59" spans="1:27" ht="24" x14ac:dyDescent="0.3">
      <c r="A59" s="2">
        <f>IF(BCP_Soles[[#This Row],[tipo_registro]]="R",COUNTIFS($C$1:$C58,"R")+1,A58)</f>
        <v>18</v>
      </c>
      <c r="B59" s="19" t="str">
        <f t="shared" si="5"/>
        <v>B-BCP - Soles</v>
      </c>
      <c r="C59" s="3" t="s">
        <v>1352</v>
      </c>
      <c r="D59" s="14">
        <v>45660</v>
      </c>
      <c r="E59" s="5" t="s">
        <v>1387</v>
      </c>
      <c r="F59" s="5"/>
      <c r="G59" s="6" t="s">
        <v>241</v>
      </c>
      <c r="H59" s="6" t="s">
        <v>68</v>
      </c>
      <c r="I59" s="6" t="s">
        <v>1391</v>
      </c>
      <c r="J59" s="6">
        <v>2062</v>
      </c>
      <c r="K59" s="7" t="s">
        <v>1388</v>
      </c>
      <c r="L59" s="8">
        <v>1011669</v>
      </c>
      <c r="M59" s="8" t="str">
        <f t="shared" si="6"/>
        <v>PEN</v>
      </c>
      <c r="N59" s="13">
        <v>119</v>
      </c>
      <c r="O59" s="13"/>
      <c r="P59" s="3">
        <f t="shared" si="7"/>
        <v>0</v>
      </c>
      <c r="Q59" s="3">
        <f t="shared" si="8"/>
        <v>0</v>
      </c>
      <c r="R59" s="3">
        <f t="shared" si="9"/>
        <v>20960.29</v>
      </c>
      <c r="S59" s="24" t="s">
        <v>1334</v>
      </c>
      <c r="T59" s="24" t="s">
        <v>1334</v>
      </c>
      <c r="U59" s="53"/>
      <c r="V59" s="25">
        <f>IFERROR(VLOOKUP(BCP_Soles[[#This Row],[destinatario]],CHOOSE({1,2},Clientes_Proveedores[Razon Social],Clientes_Proveedores[Ruc / Dni]),2,0),"")</f>
        <v>20170040938</v>
      </c>
      <c r="W59" s="25"/>
      <c r="X59" s="25"/>
      <c r="Y59" s="25"/>
      <c r="Z59" s="75"/>
      <c r="AA59" s="3" t="str">
        <f>IF(BCP_Soles[[#This Row],[fecha]]&gt;0,TEXT(BCP_Soles[[#This Row],[fecha]],"mmmm"),0)</f>
        <v>Enero</v>
      </c>
    </row>
    <row r="60" spans="1:27" ht="24" x14ac:dyDescent="0.3">
      <c r="A60" s="2">
        <f>IF(BCP_Soles[[#This Row],[tipo_registro]]="R",COUNTIFS($C$1:$C59,"R")+1,A59)</f>
        <v>18</v>
      </c>
      <c r="B60" s="19" t="str">
        <f t="shared" si="5"/>
        <v>B-BCP - Soles</v>
      </c>
      <c r="C60" s="3" t="s">
        <v>1352</v>
      </c>
      <c r="D60" s="14">
        <v>45660</v>
      </c>
      <c r="E60" s="5" t="s">
        <v>1387</v>
      </c>
      <c r="F60" s="5"/>
      <c r="G60" s="6" t="s">
        <v>537</v>
      </c>
      <c r="H60" s="6" t="s">
        <v>68</v>
      </c>
      <c r="I60" s="6" t="s">
        <v>1376</v>
      </c>
      <c r="J60" s="6">
        <v>736</v>
      </c>
      <c r="K60" s="7" t="s">
        <v>1388</v>
      </c>
      <c r="L60" s="8">
        <v>1011669</v>
      </c>
      <c r="M60" s="8" t="str">
        <f t="shared" si="6"/>
        <v>PEN</v>
      </c>
      <c r="N60" s="13">
        <v>315</v>
      </c>
      <c r="O60" s="13"/>
      <c r="P60" s="3">
        <f t="shared" si="7"/>
        <v>0</v>
      </c>
      <c r="Q60" s="3">
        <f t="shared" si="8"/>
        <v>0</v>
      </c>
      <c r="R60" s="3">
        <f t="shared" si="9"/>
        <v>20960.29</v>
      </c>
      <c r="S60" s="24" t="s">
        <v>1334</v>
      </c>
      <c r="T60" s="24" t="s">
        <v>1334</v>
      </c>
      <c r="U60" s="53"/>
      <c r="V60" s="25">
        <f>IFERROR(VLOOKUP(BCP_Soles[[#This Row],[destinatario]],CHOOSE({1,2},Clientes_Proveedores[Razon Social],Clientes_Proveedores[Ruc / Dni]),2,0),"")</f>
        <v>20605447814</v>
      </c>
      <c r="W60" s="25"/>
      <c r="X60" s="25"/>
      <c r="Y60" s="25"/>
      <c r="Z60" s="75"/>
      <c r="AA60" s="3" t="str">
        <f>IF(BCP_Soles[[#This Row],[fecha]]&gt;0,TEXT(BCP_Soles[[#This Row],[fecha]],"mmmm"),0)</f>
        <v>Enero</v>
      </c>
    </row>
    <row r="61" spans="1:27" ht="24" x14ac:dyDescent="0.3">
      <c r="A61" s="2">
        <f>IF(BCP_Soles[[#This Row],[tipo_registro]]="R",COUNTIFS($C$1:$C60,"R")+1,A60)</f>
        <v>18</v>
      </c>
      <c r="B61" s="19" t="str">
        <f t="shared" si="5"/>
        <v>B-BCP - Soles</v>
      </c>
      <c r="C61" s="3" t="s">
        <v>1352</v>
      </c>
      <c r="D61" s="14">
        <v>45660</v>
      </c>
      <c r="E61" s="5" t="s">
        <v>1387</v>
      </c>
      <c r="F61" s="5"/>
      <c r="G61" s="6" t="s">
        <v>271</v>
      </c>
      <c r="H61" s="6" t="s">
        <v>68</v>
      </c>
      <c r="I61" s="6" t="s">
        <v>1375</v>
      </c>
      <c r="J61" s="6">
        <v>6843</v>
      </c>
      <c r="K61" s="7" t="s">
        <v>1388</v>
      </c>
      <c r="L61" s="8">
        <v>1011669</v>
      </c>
      <c r="M61" s="8" t="str">
        <f t="shared" si="6"/>
        <v>PEN</v>
      </c>
      <c r="N61" s="13">
        <v>9</v>
      </c>
      <c r="O61" s="13"/>
      <c r="P61" s="3">
        <f t="shared" si="7"/>
        <v>0</v>
      </c>
      <c r="Q61" s="3">
        <f t="shared" si="8"/>
        <v>0</v>
      </c>
      <c r="R61" s="3">
        <f t="shared" si="9"/>
        <v>20960.29</v>
      </c>
      <c r="S61" s="24" t="s">
        <v>1334</v>
      </c>
      <c r="T61" s="24" t="s">
        <v>1334</v>
      </c>
      <c r="U61" s="53"/>
      <c r="V61" s="25">
        <f>IFERROR(VLOOKUP(BCP_Soles[[#This Row],[destinatario]],CHOOSE({1,2},Clientes_Proveedores[Razon Social],Clientes_Proveedores[Ruc / Dni]),2,0),"")</f>
        <v>20419158462</v>
      </c>
      <c r="W61" s="25"/>
      <c r="X61" s="25"/>
      <c r="Y61" s="25"/>
      <c r="Z61" s="75"/>
      <c r="AA61" s="3" t="str">
        <f>IF(BCP_Soles[[#This Row],[fecha]]&gt;0,TEXT(BCP_Soles[[#This Row],[fecha]],"mmmm"),0)</f>
        <v>Enero</v>
      </c>
    </row>
    <row r="62" spans="1:27" x14ac:dyDescent="0.3">
      <c r="A62" s="2">
        <f>IF(BCP_Soles[[#This Row],[tipo_registro]]="R",COUNTIFS($C$1:$C61,"R")+1,A61)</f>
        <v>18</v>
      </c>
      <c r="B62" s="19" t="str">
        <f t="shared" si="5"/>
        <v>B-BCP - Soles</v>
      </c>
      <c r="C62" s="3" t="s">
        <v>1352</v>
      </c>
      <c r="D62" s="14">
        <v>45660</v>
      </c>
      <c r="E62" s="5" t="s">
        <v>1387</v>
      </c>
      <c r="F62" s="5"/>
      <c r="G62" s="6" t="s">
        <v>286</v>
      </c>
      <c r="H62" s="6" t="s">
        <v>68</v>
      </c>
      <c r="I62" s="6" t="s">
        <v>1386</v>
      </c>
      <c r="J62" s="6">
        <v>1675</v>
      </c>
      <c r="K62" s="7" t="s">
        <v>1388</v>
      </c>
      <c r="L62" s="8">
        <v>1011669</v>
      </c>
      <c r="M62" s="8" t="str">
        <f t="shared" si="6"/>
        <v>PEN</v>
      </c>
      <c r="N62" s="13">
        <v>62</v>
      </c>
      <c r="O62" s="13"/>
      <c r="P62" s="3">
        <f t="shared" si="7"/>
        <v>0</v>
      </c>
      <c r="Q62" s="3">
        <f t="shared" si="8"/>
        <v>0</v>
      </c>
      <c r="R62" s="3">
        <f t="shared" si="9"/>
        <v>20960.29</v>
      </c>
      <c r="S62" s="24" t="s">
        <v>1334</v>
      </c>
      <c r="T62" s="24" t="s">
        <v>1334</v>
      </c>
      <c r="U62" s="53"/>
      <c r="V62" s="25">
        <f>IFERROR(VLOOKUP(BCP_Soles[[#This Row],[destinatario]],CHOOSE({1,2},Clientes_Proveedores[Razon Social],Clientes_Proveedores[Ruc / Dni]),2,0),"")</f>
        <v>20454186002</v>
      </c>
      <c r="W62" s="25"/>
      <c r="X62" s="25"/>
      <c r="Y62" s="25"/>
      <c r="Z62" s="75"/>
      <c r="AA62" s="3" t="str">
        <f>IF(BCP_Soles[[#This Row],[fecha]]&gt;0,TEXT(BCP_Soles[[#This Row],[fecha]],"mmmm"),0)</f>
        <v>Enero</v>
      </c>
    </row>
    <row r="63" spans="1:27" ht="24" x14ac:dyDescent="0.3">
      <c r="A63" s="2">
        <f>IF(BCP_Soles[[#This Row],[tipo_registro]]="R",COUNTIFS($C$1:$C62,"R")+1,A62)</f>
        <v>19</v>
      </c>
      <c r="B63" s="19" t="str">
        <f t="shared" si="5"/>
        <v>B-BCP - Soles</v>
      </c>
      <c r="C63" s="3" t="s">
        <v>1330</v>
      </c>
      <c r="D63" s="14">
        <v>45660</v>
      </c>
      <c r="E63" s="5" t="s">
        <v>1338</v>
      </c>
      <c r="F63" s="5" t="s">
        <v>1336</v>
      </c>
      <c r="G63" s="6" t="s">
        <v>816</v>
      </c>
      <c r="H63" s="6"/>
      <c r="I63" s="6"/>
      <c r="J63" s="6"/>
      <c r="K63" s="7" t="s">
        <v>1392</v>
      </c>
      <c r="L63" s="8">
        <v>1203715</v>
      </c>
      <c r="M63" s="8" t="str">
        <f t="shared" si="6"/>
        <v>PEN</v>
      </c>
      <c r="N63" s="13"/>
      <c r="O63" s="13">
        <v>1260.7</v>
      </c>
      <c r="P63" s="3">
        <f t="shared" si="7"/>
        <v>0</v>
      </c>
      <c r="Q63" s="3">
        <f t="shared" si="8"/>
        <v>1260.7</v>
      </c>
      <c r="R63" s="3">
        <f t="shared" si="9"/>
        <v>19699.59</v>
      </c>
      <c r="S63" s="24" t="s">
        <v>1334</v>
      </c>
      <c r="T63" s="24" t="s">
        <v>1334</v>
      </c>
      <c r="U63" s="53"/>
      <c r="V63" s="25">
        <f>IFERROR(VLOOKUP(BCP_Soles[[#This Row],[destinatario]],CHOOSE({1,2},Clientes_Proveedores[Razon Social],Clientes_Proveedores[Ruc / Dni]),2,0),"")</f>
        <v>3080300</v>
      </c>
      <c r="W63" s="25" t="s">
        <v>1393</v>
      </c>
      <c r="X63" s="25"/>
      <c r="Y63" s="25"/>
      <c r="Z63" s="75"/>
      <c r="AA63" s="3" t="str">
        <f>IF(BCP_Soles[[#This Row],[fecha]]&gt;0,TEXT(BCP_Soles[[#This Row],[fecha]],"mmmm"),0)</f>
        <v>Enero</v>
      </c>
    </row>
    <row r="64" spans="1:27" ht="24" x14ac:dyDescent="0.3">
      <c r="A64" s="2">
        <f>IF(BCP_Soles[[#This Row],[tipo_registro]]="R",COUNTIFS($C$1:$C63,"R")+1,A63)</f>
        <v>20</v>
      </c>
      <c r="B64" s="19" t="str">
        <f t="shared" si="5"/>
        <v>B-BCP - Soles</v>
      </c>
      <c r="C64" s="3" t="s">
        <v>1330</v>
      </c>
      <c r="D64" s="14">
        <v>45660</v>
      </c>
      <c r="E64" s="5" t="s">
        <v>1338</v>
      </c>
      <c r="F64" s="5" t="s">
        <v>1336</v>
      </c>
      <c r="G64" s="6" t="s">
        <v>964</v>
      </c>
      <c r="H64" s="6"/>
      <c r="I64" s="6"/>
      <c r="J64" s="6"/>
      <c r="K64" s="7" t="s">
        <v>1394</v>
      </c>
      <c r="L64" s="8">
        <v>1242684</v>
      </c>
      <c r="M64" s="8" t="str">
        <f t="shared" si="6"/>
        <v>PEN</v>
      </c>
      <c r="N64" s="13"/>
      <c r="O64" s="13">
        <v>771.85</v>
      </c>
      <c r="P64" s="3">
        <f t="shared" si="7"/>
        <v>0</v>
      </c>
      <c r="Q64" s="3">
        <f t="shared" si="8"/>
        <v>771.85</v>
      </c>
      <c r="R64" s="3">
        <f t="shared" si="9"/>
        <v>18927.740000000002</v>
      </c>
      <c r="S64" s="24" t="s">
        <v>1334</v>
      </c>
      <c r="T64" s="24" t="s">
        <v>1334</v>
      </c>
      <c r="U64" s="53"/>
      <c r="V64" s="25">
        <f>IFERROR(VLOOKUP(BCP_Soles[[#This Row],[destinatario]],CHOOSE({1,2},Clientes_Proveedores[Razon Social],Clientes_Proveedores[Ruc / Dni]),2,0),"")</f>
        <v>72813674</v>
      </c>
      <c r="W64" s="25" t="s">
        <v>964</v>
      </c>
      <c r="X64" s="25"/>
      <c r="Y64" s="25"/>
      <c r="Z64" s="75"/>
      <c r="AA64" s="3" t="str">
        <f>IF(BCP_Soles[[#This Row],[fecha]]&gt;0,TEXT(BCP_Soles[[#This Row],[fecha]],"mmmm"),0)</f>
        <v>Enero</v>
      </c>
    </row>
    <row r="65" spans="1:27" ht="36" x14ac:dyDescent="0.3">
      <c r="A65" s="2">
        <f>IF(BCP_Soles[[#This Row],[tipo_registro]]="R",COUNTIFS($C$1:$C64,"R")+1,A64)</f>
        <v>21</v>
      </c>
      <c r="B65" s="19" t="str">
        <f t="shared" si="5"/>
        <v>B-BCP - Soles</v>
      </c>
      <c r="C65" s="3" t="s">
        <v>1330</v>
      </c>
      <c r="D65" s="14">
        <v>45660</v>
      </c>
      <c r="E65" s="5" t="s">
        <v>1338</v>
      </c>
      <c r="F65" s="5" t="s">
        <v>1336</v>
      </c>
      <c r="G65" s="6" t="s">
        <v>743</v>
      </c>
      <c r="H65" s="6" t="s">
        <v>72</v>
      </c>
      <c r="I65" s="6" t="s">
        <v>1376</v>
      </c>
      <c r="J65" s="6">
        <v>485</v>
      </c>
      <c r="K65" s="7" t="s">
        <v>1395</v>
      </c>
      <c r="L65" s="8">
        <v>1234639</v>
      </c>
      <c r="M65" s="8" t="str">
        <f t="shared" si="6"/>
        <v>PEN</v>
      </c>
      <c r="N65" s="13"/>
      <c r="O65" s="13">
        <v>500.02</v>
      </c>
      <c r="P65" s="3">
        <f t="shared" si="7"/>
        <v>0</v>
      </c>
      <c r="Q65" s="3">
        <f t="shared" si="8"/>
        <v>500.02</v>
      </c>
      <c r="R65" s="3">
        <f t="shared" si="9"/>
        <v>18427.72</v>
      </c>
      <c r="S65" s="24" t="s">
        <v>1334</v>
      </c>
      <c r="T65" s="24" t="s">
        <v>1334</v>
      </c>
      <c r="U65" s="53"/>
      <c r="V65" s="25">
        <f>IFERROR(VLOOKUP(BCP_Soles[[#This Row],[destinatario]],CHOOSE({1,2},Clientes_Proveedores[Razon Social],Clientes_Proveedores[Ruc / Dni]),2,0),"")</f>
        <v>10079422555</v>
      </c>
      <c r="W65" s="25" t="s">
        <v>743</v>
      </c>
      <c r="X65" s="25" t="s">
        <v>1396</v>
      </c>
      <c r="Y65" s="25"/>
      <c r="Z65" s="75"/>
      <c r="AA65" s="3" t="str">
        <f>IF(BCP_Soles[[#This Row],[fecha]]&gt;0,TEXT(BCP_Soles[[#This Row],[fecha]],"mmmm"),0)</f>
        <v>Enero</v>
      </c>
    </row>
    <row r="66" spans="1:27" ht="24" x14ac:dyDescent="0.3">
      <c r="A66" s="2">
        <f>IF(BCP_Soles[[#This Row],[tipo_registro]]="R",COUNTIFS($C$1:$C65,"R")+1,A65)</f>
        <v>22</v>
      </c>
      <c r="B66" s="19" t="str">
        <f t="shared" si="5"/>
        <v>B-BCP - Soles</v>
      </c>
      <c r="C66" s="3" t="s">
        <v>1330</v>
      </c>
      <c r="D66" s="14">
        <v>45660</v>
      </c>
      <c r="E66" s="5" t="s">
        <v>1335</v>
      </c>
      <c r="F66" s="5" t="s">
        <v>1336</v>
      </c>
      <c r="G66" s="6" t="s">
        <v>1060</v>
      </c>
      <c r="H66" s="6" t="s">
        <v>68</v>
      </c>
      <c r="I66" s="6" t="s">
        <v>1397</v>
      </c>
      <c r="J66" s="6">
        <v>28143515</v>
      </c>
      <c r="K66" s="7" t="s">
        <v>1398</v>
      </c>
      <c r="L66" s="8">
        <v>8229796</v>
      </c>
      <c r="M66" s="8" t="str">
        <f t="shared" si="6"/>
        <v>PEN</v>
      </c>
      <c r="N66" s="13"/>
      <c r="O66" s="13">
        <v>20</v>
      </c>
      <c r="P66" s="3">
        <f t="shared" si="7"/>
        <v>0</v>
      </c>
      <c r="Q66" s="3">
        <f t="shared" si="8"/>
        <v>20</v>
      </c>
      <c r="R66" s="3">
        <f t="shared" ref="R66:R129" si="10">IFERROR(IF(F66="SALDO",P66,R65+P66-Q66),0)</f>
        <v>18407.72</v>
      </c>
      <c r="S66" s="24"/>
      <c r="T66" s="24" t="s">
        <v>1334</v>
      </c>
      <c r="U66" s="53"/>
      <c r="V66" s="25">
        <f>IFERROR(VLOOKUP(BCP_Soles[[#This Row],[destinatario]],CHOOSE({1,2},Clientes_Proveedores[Razon Social],Clientes_Proveedores[Ruc / Dni]),2,0),"")</f>
        <v>20100047218</v>
      </c>
      <c r="W66" s="25" t="s">
        <v>1335</v>
      </c>
      <c r="X66" s="25" t="s">
        <v>1399</v>
      </c>
      <c r="Y66" s="25"/>
      <c r="Z66" s="75"/>
      <c r="AA66" s="3" t="str">
        <f>IF(BCP_Soles[[#This Row],[fecha]]&gt;0,TEXT(BCP_Soles[[#This Row],[fecha]],"mmmm"),0)</f>
        <v>Enero</v>
      </c>
    </row>
    <row r="67" spans="1:27" ht="24" x14ac:dyDescent="0.3">
      <c r="A67" s="2">
        <f>IF(BCP_Soles[[#This Row],[tipo_registro]]="R",COUNTIFS($C$1:$C66,"R")+1,A66)</f>
        <v>23</v>
      </c>
      <c r="B67" s="19" t="str">
        <f t="shared" si="5"/>
        <v>B-BCP - Soles</v>
      </c>
      <c r="C67" s="3" t="s">
        <v>1330</v>
      </c>
      <c r="D67" s="14">
        <v>45660</v>
      </c>
      <c r="E67" s="5" t="s">
        <v>1335</v>
      </c>
      <c r="F67" s="5" t="s">
        <v>1336</v>
      </c>
      <c r="G67" s="6" t="s">
        <v>1060</v>
      </c>
      <c r="H67" s="6" t="s">
        <v>68</v>
      </c>
      <c r="I67" s="6" t="s">
        <v>1397</v>
      </c>
      <c r="J67" s="6">
        <v>28133023</v>
      </c>
      <c r="K67" s="7" t="s">
        <v>1400</v>
      </c>
      <c r="L67" s="8">
        <v>632</v>
      </c>
      <c r="M67" s="8" t="str">
        <f t="shared" si="6"/>
        <v>PEN</v>
      </c>
      <c r="N67" s="13"/>
      <c r="O67" s="13">
        <v>10</v>
      </c>
      <c r="P67" s="3">
        <f t="shared" si="7"/>
        <v>0</v>
      </c>
      <c r="Q67" s="3">
        <f t="shared" si="8"/>
        <v>10</v>
      </c>
      <c r="R67" s="3">
        <f t="shared" si="10"/>
        <v>18397.72</v>
      </c>
      <c r="S67" s="24"/>
      <c r="T67" s="24" t="s">
        <v>1334</v>
      </c>
      <c r="U67" s="53"/>
      <c r="V67" s="25">
        <f>IFERROR(VLOOKUP(BCP_Soles[[#This Row],[destinatario]],CHOOSE({1,2},Clientes_Proveedores[Razon Social],Clientes_Proveedores[Ruc / Dni]),2,0),"")</f>
        <v>20100047218</v>
      </c>
      <c r="W67" s="25" t="s">
        <v>1335</v>
      </c>
      <c r="X67" s="25" t="s">
        <v>1401</v>
      </c>
      <c r="Y67" s="25"/>
      <c r="Z67" s="75"/>
      <c r="AA67" s="3" t="str">
        <f>IF(BCP_Soles[[#This Row],[fecha]]&gt;0,TEXT(BCP_Soles[[#This Row],[fecha]],"mmmm"),0)</f>
        <v>Enero</v>
      </c>
    </row>
    <row r="68" spans="1:27" ht="24" x14ac:dyDescent="0.3">
      <c r="A68" s="2">
        <f>IF(BCP_Soles[[#This Row],[tipo_registro]]="R",COUNTIFS($C$1:$C67,"R")+1,A67)</f>
        <v>24</v>
      </c>
      <c r="B68" s="19" t="str">
        <f t="shared" ref="B68:B131" si="11">"B-BCP - Soles"</f>
        <v>B-BCP - Soles</v>
      </c>
      <c r="C68" s="3" t="s">
        <v>1330</v>
      </c>
      <c r="D68" s="14">
        <v>45660</v>
      </c>
      <c r="E68" s="5" t="s">
        <v>212</v>
      </c>
      <c r="F68" s="5" t="s">
        <v>1303</v>
      </c>
      <c r="G68" s="6" t="s">
        <v>425</v>
      </c>
      <c r="H68" s="6"/>
      <c r="I68" s="6"/>
      <c r="J68" s="6"/>
      <c r="K68" s="7" t="s">
        <v>1402</v>
      </c>
      <c r="L68" s="8">
        <v>8270646</v>
      </c>
      <c r="M68" s="8" t="str">
        <f t="shared" ref="M68:M131" si="12">"PEN"</f>
        <v>PEN</v>
      </c>
      <c r="N68" s="13"/>
      <c r="O68" s="13">
        <v>2567.4299999999998</v>
      </c>
      <c r="P68" s="3">
        <f t="shared" ref="P68:P131" si="13">+IF(OR($F68="SALDO",$F68="INGRESO"),$O68,0)</f>
        <v>2567.4299999999998</v>
      </c>
      <c r="Q68" s="3">
        <f t="shared" ref="Q68:Q131" si="14">+IF($F68="EGRESO",$O68,0)</f>
        <v>0</v>
      </c>
      <c r="R68" s="3">
        <f t="shared" si="10"/>
        <v>20965.150000000001</v>
      </c>
      <c r="S68" s="24" t="s">
        <v>1334</v>
      </c>
      <c r="T68" s="24" t="s">
        <v>1334</v>
      </c>
      <c r="U68" s="53"/>
      <c r="V68" s="25">
        <f>IFERROR(VLOOKUP(BCP_Soles[[#This Row],[destinatario]],CHOOSE({1,2},Clientes_Proveedores[Razon Social],Clientes_Proveedores[Ruc / Dni]),2,0),"")</f>
        <v>20558226979</v>
      </c>
      <c r="W68" s="25" t="s">
        <v>1345</v>
      </c>
      <c r="X68" s="25" t="s">
        <v>1403</v>
      </c>
      <c r="Y68" s="25"/>
      <c r="Z68" s="75"/>
      <c r="AA68" s="3" t="str">
        <f>IF(BCP_Soles[[#This Row],[fecha]]&gt;0,TEXT(BCP_Soles[[#This Row],[fecha]],"mmmm"),0)</f>
        <v>Enero</v>
      </c>
    </row>
    <row r="69" spans="1:27" ht="24" x14ac:dyDescent="0.3">
      <c r="A69" s="2">
        <f>IF(BCP_Soles[[#This Row],[tipo_registro]]="R",COUNTIFS($C$1:$C68,"R")+1,A68)</f>
        <v>25</v>
      </c>
      <c r="B69" s="19" t="str">
        <f t="shared" si="11"/>
        <v>B-BCP - Soles</v>
      </c>
      <c r="C69" s="3" t="s">
        <v>1330</v>
      </c>
      <c r="D69" s="14">
        <v>45661</v>
      </c>
      <c r="E69" s="5" t="s">
        <v>1404</v>
      </c>
      <c r="F69" s="5" t="s">
        <v>1303</v>
      </c>
      <c r="G69" s="6" t="s">
        <v>425</v>
      </c>
      <c r="H69" s="6" t="s">
        <v>119</v>
      </c>
      <c r="I69" s="6">
        <v>1</v>
      </c>
      <c r="J69" s="6">
        <v>3972</v>
      </c>
      <c r="K69" s="7" t="s">
        <v>1356</v>
      </c>
      <c r="L69" s="8">
        <v>4881890</v>
      </c>
      <c r="M69" s="8" t="str">
        <f t="shared" si="12"/>
        <v>PEN</v>
      </c>
      <c r="N69" s="13"/>
      <c r="O69" s="13">
        <v>500</v>
      </c>
      <c r="P69" s="3">
        <f t="shared" si="13"/>
        <v>500</v>
      </c>
      <c r="Q69" s="3">
        <f t="shared" si="14"/>
        <v>0</v>
      </c>
      <c r="R69" s="3">
        <f t="shared" si="10"/>
        <v>21465.15</v>
      </c>
      <c r="S69" s="24" t="s">
        <v>1334</v>
      </c>
      <c r="T69" s="24" t="s">
        <v>1334</v>
      </c>
      <c r="U69" s="53"/>
      <c r="V69" s="25">
        <f>IFERROR(VLOOKUP(BCP_Soles[[#This Row],[destinatario]],CHOOSE({1,2},Clientes_Proveedores[Razon Social],Clientes_Proveedores[Ruc / Dni]),2,0),"")</f>
        <v>20558226979</v>
      </c>
      <c r="W69" s="25" t="s">
        <v>1345</v>
      </c>
      <c r="X69" s="25" t="s">
        <v>1405</v>
      </c>
      <c r="Y69" s="25"/>
      <c r="Z69" s="75"/>
      <c r="AA69" s="3" t="str">
        <f>IF(BCP_Soles[[#This Row],[fecha]]&gt;0,TEXT(BCP_Soles[[#This Row],[fecha]],"mmmm"),0)</f>
        <v>Enero</v>
      </c>
    </row>
    <row r="70" spans="1:27" x14ac:dyDescent="0.3">
      <c r="A70" s="2">
        <f>IF(BCP_Soles[[#This Row],[tipo_registro]]="R",COUNTIFS($C$1:$C69,"R")+1,A69)</f>
        <v>26</v>
      </c>
      <c r="B70" s="19" t="str">
        <f t="shared" si="11"/>
        <v>B-BCP - Soles</v>
      </c>
      <c r="C70" s="3" t="s">
        <v>1330</v>
      </c>
      <c r="D70" s="14">
        <v>45663</v>
      </c>
      <c r="E70" s="5" t="s">
        <v>1335</v>
      </c>
      <c r="F70" s="5" t="s">
        <v>1336</v>
      </c>
      <c r="G70" s="6"/>
      <c r="H70" s="6"/>
      <c r="I70" s="6"/>
      <c r="J70" s="6"/>
      <c r="K70" s="7" t="s">
        <v>1337</v>
      </c>
      <c r="L70" s="8"/>
      <c r="M70" s="8" t="str">
        <f t="shared" si="12"/>
        <v>PEN</v>
      </c>
      <c r="N70" s="13"/>
      <c r="O70" s="13">
        <v>0.45</v>
      </c>
      <c r="P70" s="3">
        <f t="shared" si="13"/>
        <v>0</v>
      </c>
      <c r="Q70" s="3">
        <f t="shared" si="14"/>
        <v>0.45</v>
      </c>
      <c r="R70" s="3">
        <f t="shared" si="10"/>
        <v>21464.7</v>
      </c>
      <c r="S70" s="24"/>
      <c r="T70" s="24" t="s">
        <v>1334</v>
      </c>
      <c r="U70" s="53"/>
      <c r="V70" s="25" t="str">
        <f>IFERROR(VLOOKUP(BCP_Soles[[#This Row],[destinatario]],CHOOSE({1,2},Clientes_Proveedores[Razon Social],Clientes_Proveedores[Ruc / Dni]),2,0),"")</f>
        <v/>
      </c>
      <c r="W70" s="25"/>
      <c r="X70" s="25"/>
      <c r="Y70" s="25"/>
      <c r="Z70" s="75"/>
      <c r="AA70" s="3" t="str">
        <f>IF(BCP_Soles[[#This Row],[fecha]]&gt;0,TEXT(BCP_Soles[[#This Row],[fecha]],"mmmm"),0)</f>
        <v>Enero</v>
      </c>
    </row>
    <row r="71" spans="1:27" ht="24" x14ac:dyDescent="0.3">
      <c r="A71" s="2">
        <f>IF(BCP_Soles[[#This Row],[tipo_registro]]="R",COUNTIFS($C$1:$C70,"R")+1,A70)</f>
        <v>27</v>
      </c>
      <c r="B71" s="19" t="str">
        <f t="shared" si="11"/>
        <v>B-BCP - Soles</v>
      </c>
      <c r="C71" s="3" t="s">
        <v>1330</v>
      </c>
      <c r="D71" s="14">
        <v>45663</v>
      </c>
      <c r="E71" s="5" t="s">
        <v>1338</v>
      </c>
      <c r="F71" s="5" t="s">
        <v>1336</v>
      </c>
      <c r="G71" s="6" t="s">
        <v>698</v>
      </c>
      <c r="H71" s="6"/>
      <c r="I71" s="6"/>
      <c r="J71" s="6"/>
      <c r="K71" s="7" t="s">
        <v>1406</v>
      </c>
      <c r="L71" s="8">
        <v>4083089</v>
      </c>
      <c r="M71" s="8" t="str">
        <f t="shared" si="12"/>
        <v>PEN</v>
      </c>
      <c r="N71" s="13"/>
      <c r="O71" s="13">
        <v>3219.5</v>
      </c>
      <c r="P71" s="3">
        <f t="shared" si="13"/>
        <v>0</v>
      </c>
      <c r="Q71" s="3">
        <f t="shared" si="14"/>
        <v>3219.5</v>
      </c>
      <c r="R71" s="3">
        <f t="shared" si="10"/>
        <v>18245.2</v>
      </c>
      <c r="S71" s="24" t="s">
        <v>1334</v>
      </c>
      <c r="T71" s="24"/>
      <c r="U71" s="53"/>
      <c r="V71" s="25">
        <f>IFERROR(VLOOKUP(BCP_Soles[[#This Row],[destinatario]],CHOOSE({1,2},Clientes_Proveedores[Razon Social],Clientes_Proveedores[Ruc / Dni]),2,0),"")</f>
        <v>10296347634</v>
      </c>
      <c r="W71" s="25" t="s">
        <v>698</v>
      </c>
      <c r="X71" s="25"/>
      <c r="Y71" s="25"/>
      <c r="Z71" s="75"/>
      <c r="AA71" s="3" t="str">
        <f>IF(BCP_Soles[[#This Row],[fecha]]&gt;0,TEXT(BCP_Soles[[#This Row],[fecha]],"mmmm"),0)</f>
        <v>Enero</v>
      </c>
    </row>
    <row r="72" spans="1:27" ht="24" x14ac:dyDescent="0.3">
      <c r="A72" s="2">
        <f>IF(BCP_Soles[[#This Row],[tipo_registro]]="R",COUNTIFS($C$1:$C71,"R")+1,A71)</f>
        <v>27</v>
      </c>
      <c r="B72" s="19" t="str">
        <f t="shared" si="11"/>
        <v>B-BCP - Soles</v>
      </c>
      <c r="C72" s="3" t="s">
        <v>1352</v>
      </c>
      <c r="D72" s="14">
        <v>45663</v>
      </c>
      <c r="E72" s="5" t="s">
        <v>1338</v>
      </c>
      <c r="F72" s="5" t="s">
        <v>1336</v>
      </c>
      <c r="G72" s="6" t="s">
        <v>698</v>
      </c>
      <c r="H72" s="6" t="s">
        <v>64</v>
      </c>
      <c r="I72" s="6"/>
      <c r="J72" s="6"/>
      <c r="K72" s="7" t="s">
        <v>1406</v>
      </c>
      <c r="L72" s="8">
        <v>4083089</v>
      </c>
      <c r="M72" s="8" t="str">
        <f t="shared" si="12"/>
        <v>PEN</v>
      </c>
      <c r="N72" s="13">
        <v>3200</v>
      </c>
      <c r="O72" s="13"/>
      <c r="P72" s="3">
        <f t="shared" si="13"/>
        <v>0</v>
      </c>
      <c r="Q72" s="3">
        <f t="shared" si="14"/>
        <v>0</v>
      </c>
      <c r="R72" s="3">
        <f t="shared" si="10"/>
        <v>18245.2</v>
      </c>
      <c r="S72" s="24" t="s">
        <v>1334</v>
      </c>
      <c r="T72" s="24"/>
      <c r="U72" s="53"/>
      <c r="V72" s="25">
        <f>IFERROR(VLOOKUP(BCP_Soles[[#This Row],[destinatario]],CHOOSE({1,2},Clientes_Proveedores[Razon Social],Clientes_Proveedores[Ruc / Dni]),2,0),"")</f>
        <v>10296347634</v>
      </c>
      <c r="W72" s="25"/>
      <c r="X72" s="25"/>
      <c r="Y72" s="25"/>
      <c r="Z72" s="75"/>
      <c r="AA72" s="3" t="str">
        <f>IF(BCP_Soles[[#This Row],[fecha]]&gt;0,TEXT(BCP_Soles[[#This Row],[fecha]],"mmmm"),0)</f>
        <v>Enero</v>
      </c>
    </row>
    <row r="73" spans="1:27" ht="24" x14ac:dyDescent="0.3">
      <c r="A73" s="2">
        <f>IF(BCP_Soles[[#This Row],[tipo_registro]]="R",COUNTIFS($C$1:$C72,"R")+1,A72)</f>
        <v>27</v>
      </c>
      <c r="B73" s="19" t="str">
        <f t="shared" si="11"/>
        <v>B-BCP - Soles</v>
      </c>
      <c r="C73" s="3" t="s">
        <v>1352</v>
      </c>
      <c r="D73" s="14">
        <v>45663</v>
      </c>
      <c r="E73" s="5" t="s">
        <v>1338</v>
      </c>
      <c r="F73" s="5" t="s">
        <v>1336</v>
      </c>
      <c r="G73" s="6" t="s">
        <v>1060</v>
      </c>
      <c r="H73" s="6" t="s">
        <v>68</v>
      </c>
      <c r="I73" s="6" t="s">
        <v>1397</v>
      </c>
      <c r="J73" s="6">
        <v>28212582</v>
      </c>
      <c r="K73" s="7" t="s">
        <v>1406</v>
      </c>
      <c r="L73" s="8">
        <v>4083089</v>
      </c>
      <c r="M73" s="8" t="str">
        <f t="shared" si="12"/>
        <v>PEN</v>
      </c>
      <c r="N73" s="13">
        <v>19.5</v>
      </c>
      <c r="O73" s="13"/>
      <c r="P73" s="3">
        <f t="shared" si="13"/>
        <v>0</v>
      </c>
      <c r="Q73" s="3">
        <f t="shared" si="14"/>
        <v>0</v>
      </c>
      <c r="R73" s="3">
        <f t="shared" si="10"/>
        <v>18245.2</v>
      </c>
      <c r="S73" s="24" t="s">
        <v>1334</v>
      </c>
      <c r="T73" s="24"/>
      <c r="U73" s="53"/>
      <c r="V73" s="25">
        <f>IFERROR(VLOOKUP(BCP_Soles[[#This Row],[destinatario]],CHOOSE({1,2},Clientes_Proveedores[Razon Social],Clientes_Proveedores[Ruc / Dni]),2,0),"")</f>
        <v>20100047218</v>
      </c>
      <c r="W73" s="25"/>
      <c r="X73" s="25"/>
      <c r="Y73" s="25"/>
      <c r="Z73" s="75"/>
      <c r="AA73" s="3" t="str">
        <f>IF(BCP_Soles[[#This Row],[fecha]]&gt;0,TEXT(BCP_Soles[[#This Row],[fecha]],"mmmm"),0)</f>
        <v>Enero</v>
      </c>
    </row>
    <row r="74" spans="1:27" ht="36" x14ac:dyDescent="0.3">
      <c r="A74" s="2">
        <f>IF(BCP_Soles[[#This Row],[tipo_registro]]="R",COUNTIFS($C$1:$C73,"R")+1,A73)</f>
        <v>28</v>
      </c>
      <c r="B74" s="19" t="str">
        <f t="shared" si="11"/>
        <v>B-BCP - Soles</v>
      </c>
      <c r="C74" s="3" t="s">
        <v>1330</v>
      </c>
      <c r="D74" s="14">
        <v>45663</v>
      </c>
      <c r="E74" s="5" t="s">
        <v>1338</v>
      </c>
      <c r="F74" s="5" t="s">
        <v>1336</v>
      </c>
      <c r="G74" s="6" t="s">
        <v>277</v>
      </c>
      <c r="H74" s="6" t="s">
        <v>68</v>
      </c>
      <c r="I74" s="6" t="s">
        <v>1390</v>
      </c>
      <c r="J74" s="6">
        <v>1483</v>
      </c>
      <c r="K74" s="7" t="s">
        <v>1407</v>
      </c>
      <c r="L74" s="8">
        <v>1210195</v>
      </c>
      <c r="M74" s="8" t="str">
        <f t="shared" si="12"/>
        <v>PEN</v>
      </c>
      <c r="N74" s="13"/>
      <c r="O74" s="13">
        <v>2544</v>
      </c>
      <c r="P74" s="3">
        <f t="shared" si="13"/>
        <v>0</v>
      </c>
      <c r="Q74" s="3">
        <f t="shared" si="14"/>
        <v>2544</v>
      </c>
      <c r="R74" s="3">
        <f t="shared" si="10"/>
        <v>15701.2</v>
      </c>
      <c r="S74" s="24" t="s">
        <v>1334</v>
      </c>
      <c r="T74" s="24" t="s">
        <v>1334</v>
      </c>
      <c r="U74" s="53"/>
      <c r="V74" s="25">
        <f>IFERROR(VLOOKUP(BCP_Soles[[#This Row],[destinatario]],CHOOSE({1,2},Clientes_Proveedores[Razon Social],Clientes_Proveedores[Ruc / Dni]),2,0),"")</f>
        <v>20429640939</v>
      </c>
      <c r="W74" s="25" t="s">
        <v>1408</v>
      </c>
      <c r="X74" s="25" t="s">
        <v>1409</v>
      </c>
      <c r="Y74" s="25"/>
      <c r="Z74" s="75"/>
      <c r="AA74" s="3" t="str">
        <f>IF(BCP_Soles[[#This Row],[fecha]]&gt;0,TEXT(BCP_Soles[[#This Row],[fecha]],"mmmm"),0)</f>
        <v>Enero</v>
      </c>
    </row>
    <row r="75" spans="1:27" ht="36" x14ac:dyDescent="0.3">
      <c r="A75" s="2">
        <f>IF(BCP_Soles[[#This Row],[tipo_registro]]="R",COUNTIFS($C$1:$C74,"R")+1,A74)</f>
        <v>29</v>
      </c>
      <c r="B75" s="19" t="str">
        <f t="shared" si="11"/>
        <v>B-BCP - Soles</v>
      </c>
      <c r="C75" s="3" t="s">
        <v>1330</v>
      </c>
      <c r="D75" s="14">
        <v>45663</v>
      </c>
      <c r="E75" s="5" t="s">
        <v>1338</v>
      </c>
      <c r="F75" s="5" t="s">
        <v>1336</v>
      </c>
      <c r="G75" s="6" t="s">
        <v>483</v>
      </c>
      <c r="H75" s="6"/>
      <c r="I75" s="6"/>
      <c r="J75" s="6"/>
      <c r="K75" s="7" t="s">
        <v>1410</v>
      </c>
      <c r="L75" s="8">
        <v>1188212</v>
      </c>
      <c r="M75" s="8" t="str">
        <f t="shared" si="12"/>
        <v>PEN</v>
      </c>
      <c r="N75" s="13"/>
      <c r="O75" s="13">
        <v>1305</v>
      </c>
      <c r="P75" s="3">
        <f t="shared" si="13"/>
        <v>0</v>
      </c>
      <c r="Q75" s="3">
        <f t="shared" si="14"/>
        <v>1305</v>
      </c>
      <c r="R75" s="3">
        <f t="shared" si="10"/>
        <v>14396.2</v>
      </c>
      <c r="S75" s="24" t="s">
        <v>1334</v>
      </c>
      <c r="T75" s="24" t="s">
        <v>1334</v>
      </c>
      <c r="U75" s="53"/>
      <c r="V75" s="25">
        <f>IFERROR(VLOOKUP(BCP_Soles[[#This Row],[destinatario]],CHOOSE({1,2},Clientes_Proveedores[Razon Social],Clientes_Proveedores[Ruc / Dni]),2,0),"")</f>
        <v>20602456529</v>
      </c>
      <c r="W75" s="25" t="s">
        <v>1411</v>
      </c>
      <c r="X75" s="25" t="s">
        <v>1412</v>
      </c>
      <c r="Y75" s="25"/>
      <c r="Z75" s="75"/>
      <c r="AA75" s="3" t="str">
        <f>IF(BCP_Soles[[#This Row],[fecha]]&gt;0,TEXT(BCP_Soles[[#This Row],[fecha]],"mmmm"),0)</f>
        <v>Enero</v>
      </c>
    </row>
    <row r="76" spans="1:27" ht="24" x14ac:dyDescent="0.3">
      <c r="A76" s="2">
        <f>IF(BCP_Soles[[#This Row],[tipo_registro]]="R",COUNTIFS($C$1:$C75,"R")+1,A75)</f>
        <v>30</v>
      </c>
      <c r="B76" s="19" t="str">
        <f t="shared" si="11"/>
        <v>B-BCP - Soles</v>
      </c>
      <c r="C76" s="3" t="s">
        <v>1330</v>
      </c>
      <c r="D76" s="14">
        <v>45663</v>
      </c>
      <c r="E76" s="5" t="s">
        <v>1338</v>
      </c>
      <c r="F76" s="5" t="s">
        <v>1336</v>
      </c>
      <c r="G76" s="6" t="s">
        <v>699</v>
      </c>
      <c r="H76" s="6" t="s">
        <v>68</v>
      </c>
      <c r="I76" s="6" t="s">
        <v>1390</v>
      </c>
      <c r="J76" s="6">
        <v>1924</v>
      </c>
      <c r="K76" s="7" t="s">
        <v>1413</v>
      </c>
      <c r="L76" s="8">
        <v>1109162</v>
      </c>
      <c r="M76" s="8" t="str">
        <f t="shared" si="12"/>
        <v>PEN</v>
      </c>
      <c r="N76" s="13"/>
      <c r="O76" s="13">
        <v>480</v>
      </c>
      <c r="P76" s="3">
        <f t="shared" si="13"/>
        <v>0</v>
      </c>
      <c r="Q76" s="3">
        <f t="shared" si="14"/>
        <v>480</v>
      </c>
      <c r="R76" s="3">
        <f t="shared" si="10"/>
        <v>13916.2</v>
      </c>
      <c r="S76" s="24" t="s">
        <v>1334</v>
      </c>
      <c r="T76" s="24" t="s">
        <v>1334</v>
      </c>
      <c r="U76" s="53"/>
      <c r="V76" s="25">
        <f>IFERROR(VLOOKUP(BCP_Soles[[#This Row],[destinatario]],CHOOSE({1,2},Clientes_Proveedores[Razon Social],Clientes_Proveedores[Ruc / Dni]),2,0),"")</f>
        <v>10295590934</v>
      </c>
      <c r="W76" s="25" t="s">
        <v>699</v>
      </c>
      <c r="X76" s="25" t="s">
        <v>1414</v>
      </c>
      <c r="Y76" s="25"/>
      <c r="Z76" s="75"/>
      <c r="AA76" s="3" t="str">
        <f>IF(BCP_Soles[[#This Row],[fecha]]&gt;0,TEXT(BCP_Soles[[#This Row],[fecha]],"mmmm"),0)</f>
        <v>Enero</v>
      </c>
    </row>
    <row r="77" spans="1:27" x14ac:dyDescent="0.3">
      <c r="A77" s="2">
        <f>IF(BCP_Soles[[#This Row],[tipo_registro]]="R",COUNTIFS($C$1:$C76,"R")+1,A76)</f>
        <v>31</v>
      </c>
      <c r="B77" s="19" t="str">
        <f t="shared" si="11"/>
        <v>B-BCP - Soles</v>
      </c>
      <c r="C77" s="3" t="s">
        <v>1330</v>
      </c>
      <c r="D77" s="14">
        <v>45663</v>
      </c>
      <c r="E77" s="5" t="s">
        <v>1338</v>
      </c>
      <c r="F77" s="5" t="s">
        <v>1336</v>
      </c>
      <c r="G77" s="6" t="s">
        <v>695</v>
      </c>
      <c r="H77" s="6" t="s">
        <v>68</v>
      </c>
      <c r="I77" s="6" t="s">
        <v>1377</v>
      </c>
      <c r="J77" s="6">
        <v>141105</v>
      </c>
      <c r="K77" s="7" t="s">
        <v>1378</v>
      </c>
      <c r="L77" s="8">
        <v>134077</v>
      </c>
      <c r="M77" s="8" t="str">
        <f t="shared" si="12"/>
        <v>PEN</v>
      </c>
      <c r="N77" s="13"/>
      <c r="O77" s="13">
        <v>227</v>
      </c>
      <c r="P77" s="3">
        <f t="shared" si="13"/>
        <v>0</v>
      </c>
      <c r="Q77" s="3">
        <f t="shared" si="14"/>
        <v>227</v>
      </c>
      <c r="R77" s="3">
        <f t="shared" si="10"/>
        <v>13689.2</v>
      </c>
      <c r="S77" s="24" t="s">
        <v>1334</v>
      </c>
      <c r="T77" s="24" t="s">
        <v>1334</v>
      </c>
      <c r="U77" s="53"/>
      <c r="V77" s="25">
        <f>IFERROR(VLOOKUP(BCP_Soles[[#This Row],[destinatario]],CHOOSE({1,2},Clientes_Proveedores[Razon Social],Clientes_Proveedores[Ruc / Dni]),2,0),"")</f>
        <v>20127765279</v>
      </c>
      <c r="W77" s="25" t="s">
        <v>1379</v>
      </c>
      <c r="X77" s="25" t="s">
        <v>1415</v>
      </c>
      <c r="Y77" s="25"/>
      <c r="Z77" s="75"/>
      <c r="AA77" s="3" t="str">
        <f>IF(BCP_Soles[[#This Row],[fecha]]&gt;0,TEXT(BCP_Soles[[#This Row],[fecha]],"mmmm"),0)</f>
        <v>Enero</v>
      </c>
    </row>
    <row r="78" spans="1:27" x14ac:dyDescent="0.3">
      <c r="A78" s="2">
        <f>IF(BCP_Soles[[#This Row],[tipo_registro]]="R",COUNTIFS($C$1:$C77,"R")+1,A77)</f>
        <v>32</v>
      </c>
      <c r="B78" s="19" t="str">
        <f t="shared" si="11"/>
        <v>B-BCP - Soles</v>
      </c>
      <c r="C78" s="3" t="s">
        <v>1330</v>
      </c>
      <c r="D78" s="14">
        <v>45663</v>
      </c>
      <c r="E78" s="5" t="s">
        <v>1416</v>
      </c>
      <c r="F78" s="5" t="s">
        <v>1336</v>
      </c>
      <c r="G78" s="6"/>
      <c r="H78" s="6"/>
      <c r="I78" s="6"/>
      <c r="J78" s="6"/>
      <c r="K78" s="7" t="s">
        <v>1417</v>
      </c>
      <c r="L78" s="8">
        <v>1012916</v>
      </c>
      <c r="M78" s="8" t="str">
        <f t="shared" si="12"/>
        <v>PEN</v>
      </c>
      <c r="N78" s="13"/>
      <c r="O78" s="13">
        <v>150</v>
      </c>
      <c r="P78" s="3">
        <f t="shared" si="13"/>
        <v>0</v>
      </c>
      <c r="Q78" s="3">
        <f t="shared" si="14"/>
        <v>150</v>
      </c>
      <c r="R78" s="3">
        <f t="shared" si="10"/>
        <v>13539.2</v>
      </c>
      <c r="S78" s="24"/>
      <c r="T78" s="24"/>
      <c r="U78" s="53"/>
      <c r="V78" s="25" t="str">
        <f>IFERROR(VLOOKUP(BCP_Soles[[#This Row],[destinatario]],CHOOSE({1,2},Clientes_Proveedores[Razon Social],Clientes_Proveedores[Ruc / Dni]),2,0),"")</f>
        <v/>
      </c>
      <c r="W78" s="25" t="s">
        <v>1389</v>
      </c>
      <c r="X78" s="25"/>
      <c r="Y78" s="25"/>
      <c r="Z78" s="75"/>
      <c r="AA78" s="3" t="str">
        <f>IF(BCP_Soles[[#This Row],[fecha]]&gt;0,TEXT(BCP_Soles[[#This Row],[fecha]],"mmmm"),0)</f>
        <v>Enero</v>
      </c>
    </row>
    <row r="79" spans="1:27" ht="24" x14ac:dyDescent="0.3">
      <c r="A79" s="2">
        <f>IF(BCP_Soles[[#This Row],[tipo_registro]]="R",COUNTIFS($C$1:$C78,"R")+1,A78)</f>
        <v>33</v>
      </c>
      <c r="B79" s="19" t="str">
        <f t="shared" si="11"/>
        <v>B-BCP - Soles</v>
      </c>
      <c r="C79" s="3" t="s">
        <v>1330</v>
      </c>
      <c r="D79" s="14">
        <v>45663</v>
      </c>
      <c r="E79" s="5" t="s">
        <v>1338</v>
      </c>
      <c r="F79" s="5" t="s">
        <v>1336</v>
      </c>
      <c r="G79" s="6" t="s">
        <v>195</v>
      </c>
      <c r="H79" s="6" t="s">
        <v>68</v>
      </c>
      <c r="I79" s="6" t="s">
        <v>1374</v>
      </c>
      <c r="J79" s="6">
        <v>65627</v>
      </c>
      <c r="K79" s="7" t="s">
        <v>1418</v>
      </c>
      <c r="L79" s="8">
        <v>261178</v>
      </c>
      <c r="M79" s="8" t="str">
        <f t="shared" si="12"/>
        <v>PEN</v>
      </c>
      <c r="N79" s="13"/>
      <c r="O79" s="13">
        <v>93.5</v>
      </c>
      <c r="P79" s="3">
        <f t="shared" si="13"/>
        <v>0</v>
      </c>
      <c r="Q79" s="3">
        <f t="shared" si="14"/>
        <v>93.5</v>
      </c>
      <c r="R79" s="3">
        <f t="shared" si="10"/>
        <v>13445.7</v>
      </c>
      <c r="S79" s="24" t="s">
        <v>1334</v>
      </c>
      <c r="T79" s="24" t="s">
        <v>1334</v>
      </c>
      <c r="U79" s="53"/>
      <c r="V79" s="25">
        <f>IFERROR(VLOOKUP(BCP_Soles[[#This Row],[destinatario]],CHOOSE({1,2},Clientes_Proveedores[Razon Social],Clientes_Proveedores[Ruc / Dni]),2,0),"")</f>
        <v>20100039207</v>
      </c>
      <c r="W79" s="25" t="s">
        <v>1419</v>
      </c>
      <c r="X79" s="25" t="s">
        <v>1420</v>
      </c>
      <c r="Y79" s="25"/>
      <c r="Z79" s="75"/>
      <c r="AA79" s="3" t="str">
        <f>IF(BCP_Soles[[#This Row],[fecha]]&gt;0,TEXT(BCP_Soles[[#This Row],[fecha]],"mmmm"),0)</f>
        <v>Enero</v>
      </c>
    </row>
    <row r="80" spans="1:27" x14ac:dyDescent="0.3">
      <c r="A80" s="2">
        <f>IF(BCP_Soles[[#This Row],[tipo_registro]]="R",COUNTIFS($C$1:$C79,"R")+1,A79)</f>
        <v>34</v>
      </c>
      <c r="B80" s="19" t="str">
        <f t="shared" si="11"/>
        <v>B-BCP - Soles</v>
      </c>
      <c r="C80" s="3" t="s">
        <v>1330</v>
      </c>
      <c r="D80" s="14">
        <v>45663</v>
      </c>
      <c r="E80" s="5" t="s">
        <v>1421</v>
      </c>
      <c r="F80" s="5" t="s">
        <v>1336</v>
      </c>
      <c r="G80" s="6" t="s">
        <v>809</v>
      </c>
      <c r="H80" s="6" t="s">
        <v>143</v>
      </c>
      <c r="I80" s="6">
        <v>1</v>
      </c>
      <c r="J80" s="6">
        <v>782025</v>
      </c>
      <c r="K80" s="7" t="s">
        <v>1422</v>
      </c>
      <c r="L80" s="8">
        <v>671184</v>
      </c>
      <c r="M80" s="8" t="str">
        <f t="shared" si="12"/>
        <v>PEN</v>
      </c>
      <c r="N80" s="13"/>
      <c r="O80" s="13">
        <v>65</v>
      </c>
      <c r="P80" s="3">
        <f t="shared" si="13"/>
        <v>0</v>
      </c>
      <c r="Q80" s="3">
        <f t="shared" si="14"/>
        <v>65</v>
      </c>
      <c r="R80" s="3">
        <f t="shared" si="10"/>
        <v>13380.7</v>
      </c>
      <c r="S80" s="24" t="s">
        <v>1334</v>
      </c>
      <c r="T80" s="24" t="s">
        <v>1334</v>
      </c>
      <c r="U80" s="53"/>
      <c r="V80" s="25">
        <f>IFERROR(VLOOKUP(BCP_Soles[[#This Row],[destinatario]],CHOOSE({1,2},Clientes_Proveedores[Razon Social],Clientes_Proveedores[Ruc / Dni]),2,0),"")</f>
        <v>45286301</v>
      </c>
      <c r="W80" s="25"/>
      <c r="X80" s="25"/>
      <c r="Y80" s="25"/>
      <c r="Z80" s="75"/>
      <c r="AA80" s="3" t="str">
        <f>IF(BCP_Soles[[#This Row],[fecha]]&gt;0,TEXT(BCP_Soles[[#This Row],[fecha]],"mmmm"),0)</f>
        <v>Enero</v>
      </c>
    </row>
    <row r="81" spans="1:27" ht="24" x14ac:dyDescent="0.3">
      <c r="A81" s="2">
        <f>IF(BCP_Soles[[#This Row],[tipo_registro]]="R",COUNTIFS($C$1:$C80,"R")+1,A80)</f>
        <v>35</v>
      </c>
      <c r="B81" s="19" t="str">
        <f t="shared" si="11"/>
        <v>B-BCP - Soles</v>
      </c>
      <c r="C81" s="3" t="s">
        <v>1330</v>
      </c>
      <c r="D81" s="14">
        <v>45663</v>
      </c>
      <c r="E81" s="5" t="s">
        <v>1335</v>
      </c>
      <c r="F81" s="5" t="s">
        <v>1336</v>
      </c>
      <c r="G81" s="6" t="s">
        <v>1060</v>
      </c>
      <c r="H81" s="6" t="s">
        <v>68</v>
      </c>
      <c r="I81" s="6" t="s">
        <v>1397</v>
      </c>
      <c r="J81" s="6">
        <v>28167251</v>
      </c>
      <c r="K81" s="7" t="s">
        <v>1400</v>
      </c>
      <c r="L81" s="8">
        <v>899</v>
      </c>
      <c r="M81" s="8" t="str">
        <f t="shared" si="12"/>
        <v>PEN</v>
      </c>
      <c r="N81" s="13"/>
      <c r="O81" s="13">
        <v>3.5</v>
      </c>
      <c r="P81" s="3">
        <f t="shared" si="13"/>
        <v>0</v>
      </c>
      <c r="Q81" s="3">
        <f t="shared" si="14"/>
        <v>3.5</v>
      </c>
      <c r="R81" s="3">
        <f t="shared" si="10"/>
        <v>13377.2</v>
      </c>
      <c r="S81" s="24"/>
      <c r="T81" s="24" t="s">
        <v>1334</v>
      </c>
      <c r="U81" s="53"/>
      <c r="V81" s="25">
        <f>IFERROR(VLOOKUP(BCP_Soles[[#This Row],[destinatario]],CHOOSE({1,2},Clientes_Proveedores[Razon Social],Clientes_Proveedores[Ruc / Dni]),2,0),"")</f>
        <v>20100047218</v>
      </c>
      <c r="W81" s="25" t="s">
        <v>1335</v>
      </c>
      <c r="X81" s="25" t="s">
        <v>1423</v>
      </c>
      <c r="Y81" s="25"/>
      <c r="Z81" s="75"/>
      <c r="AA81" s="3" t="str">
        <f>IF(BCP_Soles[[#This Row],[fecha]]&gt;0,TEXT(BCP_Soles[[#This Row],[fecha]],"mmmm"),0)</f>
        <v>Enero</v>
      </c>
    </row>
    <row r="82" spans="1:27" x14ac:dyDescent="0.3">
      <c r="A82" s="2">
        <f>IF(BCP_Soles[[#This Row],[tipo_registro]]="R",COUNTIFS($C$1:$C81,"R")+1,A81)</f>
        <v>36</v>
      </c>
      <c r="B82" s="19" t="str">
        <f t="shared" si="11"/>
        <v>B-BCP - Soles</v>
      </c>
      <c r="C82" s="3" t="s">
        <v>1330</v>
      </c>
      <c r="D82" s="14">
        <v>45663</v>
      </c>
      <c r="E82" s="5"/>
      <c r="F82" s="5" t="s">
        <v>1303</v>
      </c>
      <c r="G82" s="6" t="s">
        <v>425</v>
      </c>
      <c r="H82" s="6"/>
      <c r="I82" s="6"/>
      <c r="J82" s="6"/>
      <c r="K82" s="7" t="s">
        <v>1356</v>
      </c>
      <c r="L82" s="8">
        <v>2332515</v>
      </c>
      <c r="M82" s="8" t="str">
        <f t="shared" si="12"/>
        <v>PEN</v>
      </c>
      <c r="N82" s="13"/>
      <c r="O82" s="13">
        <v>3165</v>
      </c>
      <c r="P82" s="3">
        <f t="shared" si="13"/>
        <v>3165</v>
      </c>
      <c r="Q82" s="3">
        <f t="shared" si="14"/>
        <v>0</v>
      </c>
      <c r="R82" s="3">
        <f t="shared" si="10"/>
        <v>16542.2</v>
      </c>
      <c r="S82" s="24" t="s">
        <v>1334</v>
      </c>
      <c r="T82" s="24" t="s">
        <v>1334</v>
      </c>
      <c r="U82" s="53"/>
      <c r="V82" s="25">
        <f>IFERROR(VLOOKUP(BCP_Soles[[#This Row],[destinatario]],CHOOSE({1,2},Clientes_Proveedores[Razon Social],Clientes_Proveedores[Ruc / Dni]),2,0),"")</f>
        <v>20558226979</v>
      </c>
      <c r="W82" s="25" t="s">
        <v>1345</v>
      </c>
      <c r="X82" s="25"/>
      <c r="Y82" s="25"/>
      <c r="Z82" s="75"/>
      <c r="AA82" s="3" t="str">
        <f>IF(BCP_Soles[[#This Row],[fecha]]&gt;0,TEXT(BCP_Soles[[#This Row],[fecha]],"mmmm"),0)</f>
        <v>Enero</v>
      </c>
    </row>
    <row r="83" spans="1:27" ht="24" x14ac:dyDescent="0.3">
      <c r="A83" s="2">
        <f>IF(BCP_Soles[[#This Row],[tipo_registro]]="R",COUNTIFS($C$1:$C82,"R")+1,A82)</f>
        <v>36</v>
      </c>
      <c r="B83" s="19" t="str">
        <f t="shared" si="11"/>
        <v>B-BCP - Soles</v>
      </c>
      <c r="C83" s="3" t="s">
        <v>1352</v>
      </c>
      <c r="D83" s="14">
        <v>45663</v>
      </c>
      <c r="E83" s="5" t="s">
        <v>536</v>
      </c>
      <c r="F83" s="5" t="s">
        <v>1303</v>
      </c>
      <c r="G83" s="6" t="s">
        <v>425</v>
      </c>
      <c r="H83" s="6" t="s">
        <v>119</v>
      </c>
      <c r="I83" s="6">
        <v>1</v>
      </c>
      <c r="J83" s="6">
        <v>4020</v>
      </c>
      <c r="K83" s="7" t="s">
        <v>1356</v>
      </c>
      <c r="L83" s="8">
        <v>2332515</v>
      </c>
      <c r="M83" s="8" t="str">
        <f t="shared" si="12"/>
        <v>PEN</v>
      </c>
      <c r="N83" s="13">
        <v>1853</v>
      </c>
      <c r="O83" s="13"/>
      <c r="P83" s="3">
        <f t="shared" si="13"/>
        <v>0</v>
      </c>
      <c r="Q83" s="3">
        <f t="shared" si="14"/>
        <v>0</v>
      </c>
      <c r="R83" s="3">
        <f t="shared" si="10"/>
        <v>16542.2</v>
      </c>
      <c r="S83" s="24" t="s">
        <v>1334</v>
      </c>
      <c r="T83" s="24" t="s">
        <v>1334</v>
      </c>
      <c r="U83" s="53"/>
      <c r="V83" s="25">
        <f>IFERROR(VLOOKUP(BCP_Soles[[#This Row],[destinatario]],CHOOSE({1,2},Clientes_Proveedores[Razon Social],Clientes_Proveedores[Ruc / Dni]),2,0),"")</f>
        <v>20558226979</v>
      </c>
      <c r="W83" s="25" t="s">
        <v>1345</v>
      </c>
      <c r="X83" s="25" t="s">
        <v>1424</v>
      </c>
      <c r="Y83" s="25"/>
      <c r="Z83" s="75"/>
      <c r="AA83" s="3" t="str">
        <f>IF(BCP_Soles[[#This Row],[fecha]]&gt;0,TEXT(BCP_Soles[[#This Row],[fecha]],"mmmm"),0)</f>
        <v>Enero</v>
      </c>
    </row>
    <row r="84" spans="1:27" ht="24" x14ac:dyDescent="0.3">
      <c r="A84" s="2">
        <f>IF(BCP_Soles[[#This Row],[tipo_registro]]="R",COUNTIFS($C$1:$C83,"R")+1,A83)</f>
        <v>36</v>
      </c>
      <c r="B84" s="19" t="str">
        <f t="shared" si="11"/>
        <v>B-BCP - Soles</v>
      </c>
      <c r="C84" s="3" t="s">
        <v>1352</v>
      </c>
      <c r="D84" s="14">
        <v>45663</v>
      </c>
      <c r="E84" s="5" t="s">
        <v>536</v>
      </c>
      <c r="F84" s="5" t="s">
        <v>1303</v>
      </c>
      <c r="G84" s="6" t="s">
        <v>425</v>
      </c>
      <c r="H84" s="6" t="s">
        <v>119</v>
      </c>
      <c r="I84" s="6">
        <v>1</v>
      </c>
      <c r="J84" s="6">
        <v>4022</v>
      </c>
      <c r="K84" s="7" t="s">
        <v>1356</v>
      </c>
      <c r="L84" s="8">
        <v>2332515</v>
      </c>
      <c r="M84" s="8" t="str">
        <f t="shared" si="12"/>
        <v>PEN</v>
      </c>
      <c r="N84" s="13">
        <v>337</v>
      </c>
      <c r="O84" s="13"/>
      <c r="P84" s="3">
        <f t="shared" si="13"/>
        <v>0</v>
      </c>
      <c r="Q84" s="3">
        <f t="shared" si="14"/>
        <v>0</v>
      </c>
      <c r="R84" s="3">
        <f t="shared" si="10"/>
        <v>16542.2</v>
      </c>
      <c r="S84" s="24" t="s">
        <v>1334</v>
      </c>
      <c r="T84" s="24" t="s">
        <v>1334</v>
      </c>
      <c r="U84" s="53"/>
      <c r="V84" s="25">
        <f>IFERROR(VLOOKUP(BCP_Soles[[#This Row],[destinatario]],CHOOSE({1,2},Clientes_Proveedores[Razon Social],Clientes_Proveedores[Ruc / Dni]),2,0),"")</f>
        <v>20558226979</v>
      </c>
      <c r="W84" s="25" t="s">
        <v>1345</v>
      </c>
      <c r="X84" s="25" t="s">
        <v>1425</v>
      </c>
      <c r="Y84" s="25"/>
      <c r="Z84" s="75"/>
      <c r="AA84" s="3" t="str">
        <f>IF(BCP_Soles[[#This Row],[fecha]]&gt;0,TEXT(BCP_Soles[[#This Row],[fecha]],"mmmm"),0)</f>
        <v>Enero</v>
      </c>
    </row>
    <row r="85" spans="1:27" ht="24" x14ac:dyDescent="0.3">
      <c r="A85" s="2">
        <f>IF(BCP_Soles[[#This Row],[tipo_registro]]="R",COUNTIFS($C$1:$C84,"R")+1,A84)</f>
        <v>36</v>
      </c>
      <c r="B85" s="19" t="str">
        <f t="shared" si="11"/>
        <v>B-BCP - Soles</v>
      </c>
      <c r="C85" s="3" t="s">
        <v>1352</v>
      </c>
      <c r="D85" s="14">
        <v>45663</v>
      </c>
      <c r="E85" s="5" t="s">
        <v>536</v>
      </c>
      <c r="F85" s="5" t="s">
        <v>1303</v>
      </c>
      <c r="G85" s="6" t="s">
        <v>425</v>
      </c>
      <c r="H85" s="6" t="s">
        <v>119</v>
      </c>
      <c r="I85" s="6">
        <v>1</v>
      </c>
      <c r="J85" s="6">
        <v>4023</v>
      </c>
      <c r="K85" s="7" t="s">
        <v>1356</v>
      </c>
      <c r="L85" s="8">
        <v>2332515</v>
      </c>
      <c r="M85" s="8" t="str">
        <f t="shared" si="12"/>
        <v>PEN</v>
      </c>
      <c r="N85" s="13">
        <v>360</v>
      </c>
      <c r="O85" s="13"/>
      <c r="P85" s="3">
        <f t="shared" si="13"/>
        <v>0</v>
      </c>
      <c r="Q85" s="3">
        <f t="shared" si="14"/>
        <v>0</v>
      </c>
      <c r="R85" s="3">
        <f t="shared" si="10"/>
        <v>16542.2</v>
      </c>
      <c r="S85" s="24" t="s">
        <v>1334</v>
      </c>
      <c r="T85" s="24" t="s">
        <v>1334</v>
      </c>
      <c r="U85" s="53"/>
      <c r="V85" s="25">
        <f>IFERROR(VLOOKUP(BCP_Soles[[#This Row],[destinatario]],CHOOSE({1,2},Clientes_Proveedores[Razon Social],Clientes_Proveedores[Ruc / Dni]),2,0),"")</f>
        <v>20558226979</v>
      </c>
      <c r="W85" s="25" t="s">
        <v>1345</v>
      </c>
      <c r="X85" s="25" t="s">
        <v>1426</v>
      </c>
      <c r="Y85" s="25"/>
      <c r="Z85" s="75"/>
      <c r="AA85" s="3" t="str">
        <f>IF(BCP_Soles[[#This Row],[fecha]]&gt;0,TEXT(BCP_Soles[[#This Row],[fecha]],"mmmm"),0)</f>
        <v>Enero</v>
      </c>
    </row>
    <row r="86" spans="1:27" ht="24" x14ac:dyDescent="0.3">
      <c r="A86" s="2">
        <f>IF(BCP_Soles[[#This Row],[tipo_registro]]="R",COUNTIFS($C$1:$C85,"R")+1,A85)</f>
        <v>36</v>
      </c>
      <c r="B86" s="19" t="str">
        <f t="shared" si="11"/>
        <v>B-BCP - Soles</v>
      </c>
      <c r="C86" s="3" t="s">
        <v>1352</v>
      </c>
      <c r="D86" s="14">
        <v>45663</v>
      </c>
      <c r="E86" s="5" t="s">
        <v>536</v>
      </c>
      <c r="F86" s="5" t="s">
        <v>1303</v>
      </c>
      <c r="G86" s="6" t="s">
        <v>425</v>
      </c>
      <c r="H86" s="6" t="s">
        <v>119</v>
      </c>
      <c r="I86" s="6">
        <v>1</v>
      </c>
      <c r="J86" s="6">
        <v>4042</v>
      </c>
      <c r="K86" s="7" t="s">
        <v>1356</v>
      </c>
      <c r="L86" s="8">
        <v>2332515</v>
      </c>
      <c r="M86" s="8" t="str">
        <f t="shared" si="12"/>
        <v>PEN</v>
      </c>
      <c r="N86" s="13">
        <v>615</v>
      </c>
      <c r="O86" s="13"/>
      <c r="P86" s="3">
        <f t="shared" si="13"/>
        <v>0</v>
      </c>
      <c r="Q86" s="3">
        <f t="shared" si="14"/>
        <v>0</v>
      </c>
      <c r="R86" s="3">
        <f t="shared" si="10"/>
        <v>16542.2</v>
      </c>
      <c r="S86" s="24" t="s">
        <v>1334</v>
      </c>
      <c r="T86" s="24" t="s">
        <v>1334</v>
      </c>
      <c r="U86" s="53"/>
      <c r="V86" s="25">
        <f>IFERROR(VLOOKUP(BCP_Soles[[#This Row],[destinatario]],CHOOSE({1,2},Clientes_Proveedores[Razon Social],Clientes_Proveedores[Ruc / Dni]),2,0),"")</f>
        <v>20558226979</v>
      </c>
      <c r="W86" s="25" t="s">
        <v>1345</v>
      </c>
      <c r="X86" s="25" t="s">
        <v>1427</v>
      </c>
      <c r="Y86" s="25"/>
      <c r="Z86" s="75"/>
      <c r="AA86" s="3" t="str">
        <f>IF(BCP_Soles[[#This Row],[fecha]]&gt;0,TEXT(BCP_Soles[[#This Row],[fecha]],"mmmm"),0)</f>
        <v>Enero</v>
      </c>
    </row>
    <row r="87" spans="1:27" ht="60" x14ac:dyDescent="0.3">
      <c r="A87" s="2">
        <f>IF(BCP_Soles[[#This Row],[tipo_registro]]="R",COUNTIFS($C$1:$C86,"R")+1,A86)</f>
        <v>37</v>
      </c>
      <c r="B87" s="19" t="str">
        <f t="shared" si="11"/>
        <v>B-BCP - Soles</v>
      </c>
      <c r="C87" s="3" t="s">
        <v>1330</v>
      </c>
      <c r="D87" s="14">
        <v>45663</v>
      </c>
      <c r="E87" s="5" t="s">
        <v>295</v>
      </c>
      <c r="F87" s="5" t="s">
        <v>1303</v>
      </c>
      <c r="G87" s="6" t="s">
        <v>425</v>
      </c>
      <c r="H87" s="6"/>
      <c r="I87" s="6"/>
      <c r="J87" s="6"/>
      <c r="K87" s="7" t="s">
        <v>1428</v>
      </c>
      <c r="L87" s="8">
        <v>2253713</v>
      </c>
      <c r="M87" s="8" t="str">
        <f t="shared" si="12"/>
        <v>PEN</v>
      </c>
      <c r="N87" s="13"/>
      <c r="O87" s="13">
        <v>442.38</v>
      </c>
      <c r="P87" s="3">
        <f t="shared" si="13"/>
        <v>442.38</v>
      </c>
      <c r="Q87" s="3">
        <f t="shared" si="14"/>
        <v>0</v>
      </c>
      <c r="R87" s="3">
        <f t="shared" si="10"/>
        <v>16984.580000000002</v>
      </c>
      <c r="S87" s="24" t="s">
        <v>1334</v>
      </c>
      <c r="T87" s="24" t="s">
        <v>1334</v>
      </c>
      <c r="U87" s="53"/>
      <c r="V87" s="25">
        <f>IFERROR(VLOOKUP(BCP_Soles[[#This Row],[destinatario]],CHOOSE({1,2},Clientes_Proveedores[Razon Social],Clientes_Proveedores[Ruc / Dni]),2,0),"")</f>
        <v>20558226979</v>
      </c>
      <c r="W87" s="25" t="s">
        <v>1345</v>
      </c>
      <c r="X87" s="25" t="s">
        <v>1429</v>
      </c>
      <c r="Y87" s="25"/>
      <c r="Z87" s="75"/>
      <c r="AA87" s="3" t="str">
        <f>IF(BCP_Soles[[#This Row],[fecha]]&gt;0,TEXT(BCP_Soles[[#This Row],[fecha]],"mmmm"),0)</f>
        <v>Enero</v>
      </c>
    </row>
    <row r="88" spans="1:27" ht="24" x14ac:dyDescent="0.3">
      <c r="A88" s="2">
        <f>IF(BCP_Soles[[#This Row],[tipo_registro]]="R",COUNTIFS($C$1:$C87,"R")+1,A87)</f>
        <v>38</v>
      </c>
      <c r="B88" s="19" t="str">
        <f t="shared" si="11"/>
        <v>B-BCP - Soles</v>
      </c>
      <c r="C88" s="3" t="s">
        <v>1330</v>
      </c>
      <c r="D88" s="14">
        <v>45664</v>
      </c>
      <c r="E88" s="5" t="s">
        <v>1421</v>
      </c>
      <c r="F88" s="5" t="s">
        <v>1336</v>
      </c>
      <c r="G88" s="6" t="s">
        <v>809</v>
      </c>
      <c r="H88" s="6" t="s">
        <v>143</v>
      </c>
      <c r="I88" s="6">
        <v>1</v>
      </c>
      <c r="J88" s="6">
        <v>782025</v>
      </c>
      <c r="K88" s="7" t="s">
        <v>1356</v>
      </c>
      <c r="L88" s="8">
        <v>273832</v>
      </c>
      <c r="M88" s="8" t="str">
        <f t="shared" si="12"/>
        <v>PEN</v>
      </c>
      <c r="N88" s="13"/>
      <c r="O88" s="13">
        <v>500</v>
      </c>
      <c r="P88" s="3">
        <f t="shared" si="13"/>
        <v>0</v>
      </c>
      <c r="Q88" s="3">
        <f t="shared" si="14"/>
        <v>500</v>
      </c>
      <c r="R88" s="3">
        <f t="shared" si="10"/>
        <v>16484.580000000002</v>
      </c>
      <c r="S88" s="24"/>
      <c r="T88" s="24" t="s">
        <v>1334</v>
      </c>
      <c r="U88" s="53"/>
      <c r="V88" s="25">
        <f>IFERROR(VLOOKUP(BCP_Soles[[#This Row],[destinatario]],CHOOSE({1,2},Clientes_Proveedores[Razon Social],Clientes_Proveedores[Ruc / Dni]),2,0),"")</f>
        <v>45286301</v>
      </c>
      <c r="W88" s="25"/>
      <c r="X88" s="25" t="s">
        <v>1430</v>
      </c>
      <c r="Y88" s="25"/>
      <c r="Z88" s="75"/>
      <c r="AA88" s="3" t="str">
        <f>IF(BCP_Soles[[#This Row],[fecha]]&gt;0,TEXT(BCP_Soles[[#This Row],[fecha]],"mmmm"),0)</f>
        <v>Enero</v>
      </c>
    </row>
    <row r="89" spans="1:27" x14ac:dyDescent="0.3">
      <c r="A89" s="2">
        <f>IF(BCP_Soles[[#This Row],[tipo_registro]]="R",COUNTIFS($C$1:$C88,"R")+1,A88)</f>
        <v>39</v>
      </c>
      <c r="B89" s="19" t="str">
        <f t="shared" si="11"/>
        <v>B-BCP - Soles</v>
      </c>
      <c r="C89" s="3" t="s">
        <v>1330</v>
      </c>
      <c r="D89" s="14">
        <v>45664</v>
      </c>
      <c r="E89" s="5" t="s">
        <v>1335</v>
      </c>
      <c r="F89" s="5" t="s">
        <v>1336</v>
      </c>
      <c r="G89" s="6"/>
      <c r="H89" s="6"/>
      <c r="I89" s="6"/>
      <c r="J89" s="6"/>
      <c r="K89" s="7" t="s">
        <v>1337</v>
      </c>
      <c r="L89" s="8"/>
      <c r="M89" s="8" t="str">
        <f t="shared" si="12"/>
        <v>PEN</v>
      </c>
      <c r="N89" s="13"/>
      <c r="O89" s="13">
        <v>0.05</v>
      </c>
      <c r="P89" s="3">
        <f t="shared" si="13"/>
        <v>0</v>
      </c>
      <c r="Q89" s="3">
        <f t="shared" si="14"/>
        <v>0.05</v>
      </c>
      <c r="R89" s="3">
        <f t="shared" si="10"/>
        <v>16484.530000000002</v>
      </c>
      <c r="S89" s="24"/>
      <c r="T89" s="24" t="s">
        <v>1334</v>
      </c>
      <c r="U89" s="53"/>
      <c r="V89" s="25" t="str">
        <f>IFERROR(VLOOKUP(BCP_Soles[[#This Row],[destinatario]],CHOOSE({1,2},Clientes_Proveedores[Razon Social],Clientes_Proveedores[Ruc / Dni]),2,0),"")</f>
        <v/>
      </c>
      <c r="W89" s="25"/>
      <c r="X89" s="25"/>
      <c r="Y89" s="25"/>
      <c r="Z89" s="75"/>
      <c r="AA89" s="3" t="str">
        <f>IF(BCP_Soles[[#This Row],[fecha]]&gt;0,TEXT(BCP_Soles[[#This Row],[fecha]],"mmmm"),0)</f>
        <v>Enero</v>
      </c>
    </row>
    <row r="90" spans="1:27" ht="24" x14ac:dyDescent="0.3">
      <c r="A90" s="2">
        <f>IF(BCP_Soles[[#This Row],[tipo_registro]]="R",COUNTIFS($C$1:$C89,"R")+1,A89)</f>
        <v>40</v>
      </c>
      <c r="B90" s="19" t="str">
        <f t="shared" si="11"/>
        <v>B-BCP - Soles</v>
      </c>
      <c r="C90" s="3" t="s">
        <v>1330</v>
      </c>
      <c r="D90" s="14">
        <v>45664</v>
      </c>
      <c r="E90" s="5" t="s">
        <v>1416</v>
      </c>
      <c r="F90" s="5" t="s">
        <v>1336</v>
      </c>
      <c r="G90" s="6" t="s">
        <v>888</v>
      </c>
      <c r="H90" s="6" t="s">
        <v>147</v>
      </c>
      <c r="I90" s="6">
        <v>14</v>
      </c>
      <c r="J90" s="6">
        <v>27</v>
      </c>
      <c r="K90" s="7" t="s">
        <v>1431</v>
      </c>
      <c r="L90" s="8">
        <v>1148427</v>
      </c>
      <c r="M90" s="8" t="str">
        <f t="shared" si="12"/>
        <v>PEN</v>
      </c>
      <c r="N90" s="13"/>
      <c r="O90" s="13">
        <v>1959.27</v>
      </c>
      <c r="P90" s="3">
        <f t="shared" si="13"/>
        <v>0</v>
      </c>
      <c r="Q90" s="3">
        <f t="shared" si="14"/>
        <v>1959.27</v>
      </c>
      <c r="R90" s="3">
        <f t="shared" si="10"/>
        <v>14525.260000000002</v>
      </c>
      <c r="S90" s="24" t="s">
        <v>1334</v>
      </c>
      <c r="T90" s="24" t="s">
        <v>1334</v>
      </c>
      <c r="U90" s="53"/>
      <c r="V90" s="25">
        <f>IFERROR(VLOOKUP(BCP_Soles[[#This Row],[destinatario]],CHOOSE({1,2},Clientes_Proveedores[Razon Social],Clientes_Proveedores[Ruc / Dni]),2,0),"")</f>
        <v>47461440</v>
      </c>
      <c r="W90" s="25"/>
      <c r="X90" s="25"/>
      <c r="Y90" s="25"/>
      <c r="Z90" s="75"/>
      <c r="AA90" s="3" t="str">
        <f>IF(BCP_Soles[[#This Row],[fecha]]&gt;0,TEXT(BCP_Soles[[#This Row],[fecha]],"mmmm"),0)</f>
        <v>Enero</v>
      </c>
    </row>
    <row r="91" spans="1:27" x14ac:dyDescent="0.3">
      <c r="A91" s="2">
        <f>IF(BCP_Soles[[#This Row],[tipo_registro]]="R",COUNTIFS($C$1:$C90,"R")+1,A90)</f>
        <v>41</v>
      </c>
      <c r="B91" s="19" t="str">
        <f t="shared" si="11"/>
        <v>B-BCP - Soles</v>
      </c>
      <c r="C91" s="3" t="s">
        <v>1330</v>
      </c>
      <c r="D91" s="14">
        <v>45664</v>
      </c>
      <c r="E91" s="5" t="s">
        <v>1338</v>
      </c>
      <c r="F91" s="5" t="s">
        <v>1336</v>
      </c>
      <c r="G91" s="6" t="s">
        <v>565</v>
      </c>
      <c r="H91" s="6" t="s">
        <v>68</v>
      </c>
      <c r="I91" s="6" t="s">
        <v>1432</v>
      </c>
      <c r="J91" s="6">
        <v>90</v>
      </c>
      <c r="K91" s="7" t="s">
        <v>1433</v>
      </c>
      <c r="L91" s="8">
        <v>1262049</v>
      </c>
      <c r="M91" s="8" t="str">
        <f t="shared" si="12"/>
        <v>PEN</v>
      </c>
      <c r="N91" s="13"/>
      <c r="O91" s="13">
        <v>180</v>
      </c>
      <c r="P91" s="3">
        <f t="shared" si="13"/>
        <v>0</v>
      </c>
      <c r="Q91" s="3">
        <f t="shared" si="14"/>
        <v>180</v>
      </c>
      <c r="R91" s="3">
        <f t="shared" si="10"/>
        <v>14345.260000000002</v>
      </c>
      <c r="S91" s="24" t="s">
        <v>1334</v>
      </c>
      <c r="T91" s="24" t="s">
        <v>1334</v>
      </c>
      <c r="U91" s="53"/>
      <c r="V91" s="25">
        <f>IFERROR(VLOOKUP(BCP_Soles[[#This Row],[destinatario]],CHOOSE({1,2},Clientes_Proveedores[Razon Social],Clientes_Proveedores[Ruc / Dni]),2,0),"")</f>
        <v>20608587803</v>
      </c>
      <c r="W91" s="25" t="s">
        <v>565</v>
      </c>
      <c r="X91" s="25" t="s">
        <v>1434</v>
      </c>
      <c r="Y91" s="25"/>
      <c r="Z91" s="75"/>
      <c r="AA91" s="3" t="str">
        <f>IF(BCP_Soles[[#This Row],[fecha]]&gt;0,TEXT(BCP_Soles[[#This Row],[fecha]],"mmmm"),0)</f>
        <v>Enero</v>
      </c>
    </row>
    <row r="92" spans="1:27" ht="24" x14ac:dyDescent="0.3">
      <c r="A92" s="2">
        <f>IF(BCP_Soles[[#This Row],[tipo_registro]]="R",COUNTIFS($C$1:$C91,"R")+1,A91)</f>
        <v>42</v>
      </c>
      <c r="B92" s="19" t="str">
        <f t="shared" si="11"/>
        <v>B-BCP - Soles</v>
      </c>
      <c r="C92" s="3" t="s">
        <v>1330</v>
      </c>
      <c r="D92" s="14">
        <v>45664</v>
      </c>
      <c r="E92" s="5" t="s">
        <v>1338</v>
      </c>
      <c r="F92" s="5" t="s">
        <v>1336</v>
      </c>
      <c r="G92" s="6" t="s">
        <v>700</v>
      </c>
      <c r="H92" s="6" t="s">
        <v>68</v>
      </c>
      <c r="I92" s="6" t="s">
        <v>1376</v>
      </c>
      <c r="J92" s="6">
        <v>180</v>
      </c>
      <c r="K92" s="7" t="s">
        <v>1435</v>
      </c>
      <c r="L92" s="8">
        <v>1202115</v>
      </c>
      <c r="M92" s="8" t="str">
        <f t="shared" si="12"/>
        <v>PEN</v>
      </c>
      <c r="N92" s="13"/>
      <c r="O92" s="13">
        <v>118</v>
      </c>
      <c r="P92" s="3">
        <f t="shared" si="13"/>
        <v>0</v>
      </c>
      <c r="Q92" s="3">
        <f t="shared" si="14"/>
        <v>118</v>
      </c>
      <c r="R92" s="3">
        <f t="shared" si="10"/>
        <v>14227.260000000002</v>
      </c>
      <c r="S92" s="24" t="s">
        <v>1334</v>
      </c>
      <c r="T92" s="24" t="s">
        <v>1334</v>
      </c>
      <c r="U92" s="53"/>
      <c r="V92" s="25">
        <f>IFERROR(VLOOKUP(BCP_Soles[[#This Row],[destinatario]],CHOOSE({1,2},Clientes_Proveedores[Razon Social],Clientes_Proveedores[Ruc / Dni]),2,0),"")</f>
        <v>20602519733</v>
      </c>
      <c r="W92" s="25" t="s">
        <v>1436</v>
      </c>
      <c r="X92" s="25" t="s">
        <v>1437</v>
      </c>
      <c r="Y92" s="25"/>
      <c r="Z92" s="75"/>
      <c r="AA92" s="3" t="str">
        <f>IF(BCP_Soles[[#This Row],[fecha]]&gt;0,TEXT(BCP_Soles[[#This Row],[fecha]],"mmmm"),0)</f>
        <v>Enero</v>
      </c>
    </row>
    <row r="93" spans="1:27" ht="36" x14ac:dyDescent="0.3">
      <c r="A93" s="2">
        <f>IF(BCP_Soles[[#This Row],[tipo_registro]]="R",COUNTIFS($C$1:$C92,"R")+1,A92)</f>
        <v>43</v>
      </c>
      <c r="B93" s="19" t="str">
        <f t="shared" si="11"/>
        <v>B-BCP - Soles</v>
      </c>
      <c r="C93" s="3" t="s">
        <v>1330</v>
      </c>
      <c r="D93" s="14">
        <v>45664</v>
      </c>
      <c r="E93" s="5" t="s">
        <v>1338</v>
      </c>
      <c r="F93" s="5" t="s">
        <v>1336</v>
      </c>
      <c r="G93" s="6" t="s">
        <v>588</v>
      </c>
      <c r="H93" s="6" t="s">
        <v>68</v>
      </c>
      <c r="I93" s="6" t="s">
        <v>1376</v>
      </c>
      <c r="J93" s="6">
        <v>312</v>
      </c>
      <c r="K93" s="7" t="s">
        <v>1438</v>
      </c>
      <c r="L93" s="8">
        <v>1203138</v>
      </c>
      <c r="M93" s="8" t="str">
        <f t="shared" si="12"/>
        <v>PEN</v>
      </c>
      <c r="N93" s="13"/>
      <c r="O93" s="13">
        <v>94.28</v>
      </c>
      <c r="P93" s="3">
        <f t="shared" si="13"/>
        <v>0</v>
      </c>
      <c r="Q93" s="3">
        <f t="shared" si="14"/>
        <v>94.28</v>
      </c>
      <c r="R93" s="3">
        <f t="shared" si="10"/>
        <v>14132.980000000001</v>
      </c>
      <c r="S93" s="24" t="s">
        <v>1334</v>
      </c>
      <c r="T93" s="24" t="s">
        <v>1334</v>
      </c>
      <c r="U93" s="53"/>
      <c r="V93" s="25">
        <f>IFERROR(VLOOKUP(BCP_Soles[[#This Row],[destinatario]],CHOOSE({1,2},Clientes_Proveedores[Razon Social],Clientes_Proveedores[Ruc / Dni]),2,0),"")</f>
        <v>20609368773</v>
      </c>
      <c r="W93" s="25" t="s">
        <v>1439</v>
      </c>
      <c r="X93" s="25" t="s">
        <v>1440</v>
      </c>
      <c r="Y93" s="25"/>
      <c r="Z93" s="75"/>
      <c r="AA93" s="3" t="str">
        <f>IF(BCP_Soles[[#This Row],[fecha]]&gt;0,TEXT(BCP_Soles[[#This Row],[fecha]],"mmmm"),0)</f>
        <v>Enero</v>
      </c>
    </row>
    <row r="94" spans="1:27" ht="24" x14ac:dyDescent="0.3">
      <c r="A94" s="2">
        <f>IF(BCP_Soles[[#This Row],[tipo_registro]]="R",COUNTIFS($C$1:$C93,"R")+1,A93)</f>
        <v>44</v>
      </c>
      <c r="B94" s="19" t="str">
        <f t="shared" si="11"/>
        <v>B-BCP - Soles</v>
      </c>
      <c r="C94" s="3" t="s">
        <v>1330</v>
      </c>
      <c r="D94" s="14">
        <v>45664</v>
      </c>
      <c r="E94" s="5" t="s">
        <v>1416</v>
      </c>
      <c r="F94" s="5" t="s">
        <v>1336</v>
      </c>
      <c r="G94" s="6"/>
      <c r="H94" s="6"/>
      <c r="I94" s="6"/>
      <c r="J94" s="6"/>
      <c r="K94" s="7" t="s">
        <v>1441</v>
      </c>
      <c r="L94" s="8">
        <v>1150379</v>
      </c>
      <c r="M94" s="8" t="str">
        <f t="shared" si="12"/>
        <v>PEN</v>
      </c>
      <c r="N94" s="13"/>
      <c r="O94" s="13">
        <v>29.7</v>
      </c>
      <c r="P94" s="3">
        <f t="shared" si="13"/>
        <v>0</v>
      </c>
      <c r="Q94" s="3">
        <f t="shared" si="14"/>
        <v>29.7</v>
      </c>
      <c r="R94" s="3">
        <f t="shared" si="10"/>
        <v>14103.28</v>
      </c>
      <c r="S94" s="24" t="s">
        <v>1334</v>
      </c>
      <c r="T94" s="24" t="s">
        <v>1334</v>
      </c>
      <c r="U94" s="53"/>
      <c r="V94" s="25" t="str">
        <f>IFERROR(VLOOKUP(BCP_Soles[[#This Row],[destinatario]],CHOOSE({1,2},Clientes_Proveedores[Razon Social],Clientes_Proveedores[Ruc / Dni]),2,0),"")</f>
        <v/>
      </c>
      <c r="W94" s="25" t="s">
        <v>871</v>
      </c>
      <c r="X94" s="25"/>
      <c r="Y94" s="25"/>
      <c r="Z94" s="75"/>
      <c r="AA94" s="3" t="str">
        <f>IF(BCP_Soles[[#This Row],[fecha]]&gt;0,TEXT(BCP_Soles[[#This Row],[fecha]],"mmmm"),0)</f>
        <v>Enero</v>
      </c>
    </row>
    <row r="95" spans="1:27" x14ac:dyDescent="0.3">
      <c r="A95" s="2">
        <f>IF(BCP_Soles[[#This Row],[tipo_registro]]="R",COUNTIFS($C$1:$C94,"R")+1,A94)</f>
        <v>45</v>
      </c>
      <c r="B95" s="19" t="str">
        <f t="shared" si="11"/>
        <v>B-BCP - Soles</v>
      </c>
      <c r="C95" s="3" t="s">
        <v>1330</v>
      </c>
      <c r="D95" s="14">
        <v>45664</v>
      </c>
      <c r="E95" s="5" t="s">
        <v>1442</v>
      </c>
      <c r="F95" s="5" t="s">
        <v>1303</v>
      </c>
      <c r="G95" s="6" t="s">
        <v>425</v>
      </c>
      <c r="H95" s="6" t="s">
        <v>119</v>
      </c>
      <c r="I95" s="6">
        <v>1</v>
      </c>
      <c r="J95" s="6">
        <v>4066</v>
      </c>
      <c r="K95" s="7" t="s">
        <v>1356</v>
      </c>
      <c r="L95" s="8">
        <v>3107124</v>
      </c>
      <c r="M95" s="8" t="str">
        <f t="shared" si="12"/>
        <v>PEN</v>
      </c>
      <c r="N95" s="13"/>
      <c r="O95" s="13">
        <v>420</v>
      </c>
      <c r="P95" s="3">
        <f t="shared" si="13"/>
        <v>420</v>
      </c>
      <c r="Q95" s="3">
        <f t="shared" si="14"/>
        <v>0</v>
      </c>
      <c r="R95" s="3">
        <f t="shared" si="10"/>
        <v>14523.28</v>
      </c>
      <c r="S95" s="24" t="s">
        <v>1334</v>
      </c>
      <c r="T95" s="24" t="s">
        <v>1334</v>
      </c>
      <c r="U95" s="53"/>
      <c r="V95" s="25">
        <f>IFERROR(VLOOKUP(BCP_Soles[[#This Row],[destinatario]],CHOOSE({1,2},Clientes_Proveedores[Razon Social],Clientes_Proveedores[Ruc / Dni]),2,0),"")</f>
        <v>20558226979</v>
      </c>
      <c r="W95" s="25" t="s">
        <v>1345</v>
      </c>
      <c r="X95" s="25" t="s">
        <v>1443</v>
      </c>
      <c r="Y95" s="25"/>
      <c r="Z95" s="75"/>
      <c r="AA95" s="3" t="str">
        <f>IF(BCP_Soles[[#This Row],[fecha]]&gt;0,TEXT(BCP_Soles[[#This Row],[fecha]],"mmmm"),0)</f>
        <v>Enero</v>
      </c>
    </row>
    <row r="96" spans="1:27" x14ac:dyDescent="0.3">
      <c r="A96" s="2">
        <f>IF(BCP_Soles[[#This Row],[tipo_registro]]="R",COUNTIFS($C$1:$C95,"R")+1,A95)</f>
        <v>46</v>
      </c>
      <c r="B96" s="19" t="str">
        <f t="shared" si="11"/>
        <v>B-BCP - Soles</v>
      </c>
      <c r="C96" s="3" t="s">
        <v>1330</v>
      </c>
      <c r="D96" s="14">
        <v>45664</v>
      </c>
      <c r="E96" s="5" t="s">
        <v>1444</v>
      </c>
      <c r="F96" s="5" t="s">
        <v>1303</v>
      </c>
      <c r="G96" s="6" t="s">
        <v>425</v>
      </c>
      <c r="H96" s="6" t="s">
        <v>119</v>
      </c>
      <c r="I96" s="6">
        <v>1</v>
      </c>
      <c r="J96" s="6">
        <v>4026</v>
      </c>
      <c r="K96" s="7" t="s">
        <v>1356</v>
      </c>
      <c r="L96" s="8">
        <v>3110045</v>
      </c>
      <c r="M96" s="8" t="str">
        <f t="shared" si="12"/>
        <v>PEN</v>
      </c>
      <c r="N96" s="13"/>
      <c r="O96" s="13">
        <v>250</v>
      </c>
      <c r="P96" s="3">
        <f t="shared" si="13"/>
        <v>250</v>
      </c>
      <c r="Q96" s="3">
        <f t="shared" si="14"/>
        <v>0</v>
      </c>
      <c r="R96" s="3">
        <f t="shared" si="10"/>
        <v>14773.28</v>
      </c>
      <c r="S96" s="24" t="s">
        <v>1334</v>
      </c>
      <c r="T96" s="24" t="s">
        <v>1334</v>
      </c>
      <c r="U96" s="53"/>
      <c r="V96" s="25">
        <f>IFERROR(VLOOKUP(BCP_Soles[[#This Row],[destinatario]],CHOOSE({1,2},Clientes_Proveedores[Razon Social],Clientes_Proveedores[Ruc / Dni]),2,0),"")</f>
        <v>20558226979</v>
      </c>
      <c r="W96" s="25" t="s">
        <v>1345</v>
      </c>
      <c r="X96" s="25" t="s">
        <v>1445</v>
      </c>
      <c r="Y96" s="25"/>
      <c r="Z96" s="75"/>
      <c r="AA96" s="3" t="str">
        <f>IF(BCP_Soles[[#This Row],[fecha]]&gt;0,TEXT(BCP_Soles[[#This Row],[fecha]],"mmmm"),0)</f>
        <v>Enero</v>
      </c>
    </row>
    <row r="97" spans="1:27" ht="24" x14ac:dyDescent="0.3">
      <c r="A97" s="2">
        <f>IF(BCP_Soles[[#This Row],[tipo_registro]]="R",COUNTIFS($C$1:$C96,"R")+1,A96)</f>
        <v>47</v>
      </c>
      <c r="B97" s="19" t="str">
        <f t="shared" si="11"/>
        <v>B-BCP - Soles</v>
      </c>
      <c r="C97" s="3" t="s">
        <v>1330</v>
      </c>
      <c r="D97" s="14">
        <v>45664</v>
      </c>
      <c r="E97" s="5" t="s">
        <v>1446</v>
      </c>
      <c r="F97" s="5" t="s">
        <v>1303</v>
      </c>
      <c r="G97" s="6" t="s">
        <v>425</v>
      </c>
      <c r="H97" s="6" t="s">
        <v>119</v>
      </c>
      <c r="I97" s="6">
        <v>1</v>
      </c>
      <c r="J97" s="6">
        <v>4070</v>
      </c>
      <c r="K97" s="7" t="s">
        <v>1356</v>
      </c>
      <c r="L97" s="8">
        <v>3103858</v>
      </c>
      <c r="M97" s="8" t="str">
        <f t="shared" si="12"/>
        <v>PEN</v>
      </c>
      <c r="N97" s="13"/>
      <c r="O97" s="13">
        <v>100</v>
      </c>
      <c r="P97" s="3">
        <f t="shared" si="13"/>
        <v>100</v>
      </c>
      <c r="Q97" s="3">
        <f t="shared" si="14"/>
        <v>0</v>
      </c>
      <c r="R97" s="3">
        <f t="shared" si="10"/>
        <v>14873.28</v>
      </c>
      <c r="S97" s="24" t="s">
        <v>1334</v>
      </c>
      <c r="T97" s="24" t="s">
        <v>1334</v>
      </c>
      <c r="U97" s="53"/>
      <c r="V97" s="25">
        <f>IFERROR(VLOOKUP(BCP_Soles[[#This Row],[destinatario]],CHOOSE({1,2},Clientes_Proveedores[Razon Social],Clientes_Proveedores[Ruc / Dni]),2,0),"")</f>
        <v>20558226979</v>
      </c>
      <c r="W97" s="25" t="s">
        <v>1345</v>
      </c>
      <c r="X97" s="25" t="s">
        <v>1447</v>
      </c>
      <c r="Y97" s="25"/>
      <c r="Z97" s="75"/>
      <c r="AA97" s="3" t="str">
        <f>IF(BCP_Soles[[#This Row],[fecha]]&gt;0,TEXT(BCP_Soles[[#This Row],[fecha]],"mmmm"),0)</f>
        <v>Enero</v>
      </c>
    </row>
    <row r="98" spans="1:27" x14ac:dyDescent="0.3">
      <c r="A98" s="2">
        <f>IF(BCP_Soles[[#This Row],[tipo_registro]]="R",COUNTIFS($C$1:$C97,"R")+1,A97)</f>
        <v>48</v>
      </c>
      <c r="B98" s="19" t="str">
        <f t="shared" si="11"/>
        <v>B-BCP - Soles</v>
      </c>
      <c r="C98" s="3" t="s">
        <v>1330</v>
      </c>
      <c r="D98" s="14">
        <v>45665</v>
      </c>
      <c r="E98" s="5" t="s">
        <v>1335</v>
      </c>
      <c r="F98" s="5" t="s">
        <v>1336</v>
      </c>
      <c r="G98" s="6"/>
      <c r="H98" s="6"/>
      <c r="I98" s="6"/>
      <c r="J98" s="6"/>
      <c r="K98" s="7" t="s">
        <v>1337</v>
      </c>
      <c r="L98" s="8"/>
      <c r="M98" s="8" t="str">
        <f t="shared" si="12"/>
        <v>PEN</v>
      </c>
      <c r="N98" s="13"/>
      <c r="O98" s="13">
        <v>1.5</v>
      </c>
      <c r="P98" s="3">
        <f t="shared" si="13"/>
        <v>0</v>
      </c>
      <c r="Q98" s="3">
        <f t="shared" si="14"/>
        <v>1.5</v>
      </c>
      <c r="R98" s="3">
        <f t="shared" si="10"/>
        <v>14871.78</v>
      </c>
      <c r="S98" s="24"/>
      <c r="T98" s="24" t="s">
        <v>1334</v>
      </c>
      <c r="U98" s="53"/>
      <c r="V98" s="25" t="str">
        <f>IFERROR(VLOOKUP(BCP_Soles[[#This Row],[destinatario]],CHOOSE({1,2},Clientes_Proveedores[Razon Social],Clientes_Proveedores[Ruc / Dni]),2,0),"")</f>
        <v/>
      </c>
      <c r="W98" s="25"/>
      <c r="X98" s="25"/>
      <c r="Y98" s="25"/>
      <c r="Z98" s="75"/>
      <c r="AA98" s="3" t="str">
        <f>IF(BCP_Soles[[#This Row],[fecha]]&gt;0,TEXT(BCP_Soles[[#This Row],[fecha]],"mmmm"),0)</f>
        <v>Enero</v>
      </c>
    </row>
    <row r="99" spans="1:27" ht="36" x14ac:dyDescent="0.3">
      <c r="A99" s="2">
        <f>IF(BCP_Soles[[#This Row],[tipo_registro]]="R",COUNTIFS($C$1:$C98,"R")+1,A98)</f>
        <v>49</v>
      </c>
      <c r="B99" s="19" t="str">
        <f t="shared" si="11"/>
        <v>B-BCP - Soles</v>
      </c>
      <c r="C99" s="3" t="s">
        <v>1330</v>
      </c>
      <c r="D99" s="14">
        <v>45665</v>
      </c>
      <c r="E99" s="5" t="s">
        <v>1338</v>
      </c>
      <c r="F99" s="5" t="s">
        <v>1336</v>
      </c>
      <c r="G99" s="6" t="s">
        <v>701</v>
      </c>
      <c r="H99" s="6" t="s">
        <v>68</v>
      </c>
      <c r="I99" s="6" t="s">
        <v>1374</v>
      </c>
      <c r="J99" s="6">
        <v>1629</v>
      </c>
      <c r="K99" s="7" t="s">
        <v>1448</v>
      </c>
      <c r="L99" s="8">
        <v>1137988</v>
      </c>
      <c r="M99" s="8" t="str">
        <f t="shared" si="12"/>
        <v>PEN</v>
      </c>
      <c r="N99" s="13"/>
      <c r="O99" s="13">
        <v>1566.1</v>
      </c>
      <c r="P99" s="3">
        <f t="shared" si="13"/>
        <v>0</v>
      </c>
      <c r="Q99" s="3">
        <f t="shared" si="14"/>
        <v>1566.1</v>
      </c>
      <c r="R99" s="3">
        <f t="shared" si="10"/>
        <v>13305.68</v>
      </c>
      <c r="S99" s="24" t="s">
        <v>1334</v>
      </c>
      <c r="T99" s="24" t="s">
        <v>1334</v>
      </c>
      <c r="U99" s="53"/>
      <c r="V99" s="25">
        <f>IFERROR(VLOOKUP(BCP_Soles[[#This Row],[destinatario]],CHOOSE({1,2},Clientes_Proveedores[Razon Social],Clientes_Proveedores[Ruc / Dni]),2,0),"")</f>
        <v>20608422146</v>
      </c>
      <c r="W99" s="25" t="s">
        <v>1449</v>
      </c>
      <c r="X99" s="25" t="s">
        <v>1450</v>
      </c>
      <c r="Y99" s="25"/>
      <c r="Z99" s="75"/>
      <c r="AA99" s="3" t="str">
        <f>IF(BCP_Soles[[#This Row],[fecha]]&gt;0,TEXT(BCP_Soles[[#This Row],[fecha]],"mmmm"),0)</f>
        <v>Enero</v>
      </c>
    </row>
    <row r="100" spans="1:27" x14ac:dyDescent="0.3">
      <c r="A100" s="2">
        <f>IF(BCP_Soles[[#This Row],[tipo_registro]]="R",COUNTIFS($C$1:$C99,"R")+1,A99)</f>
        <v>50</v>
      </c>
      <c r="B100" s="19" t="str">
        <f t="shared" si="11"/>
        <v>B-BCP - Soles</v>
      </c>
      <c r="C100" s="3" t="s">
        <v>1330</v>
      </c>
      <c r="D100" s="14">
        <v>45665</v>
      </c>
      <c r="E100" s="5" t="s">
        <v>1338</v>
      </c>
      <c r="F100" s="5" t="s">
        <v>1336</v>
      </c>
      <c r="G100" s="6"/>
      <c r="H100" s="6"/>
      <c r="I100" s="6"/>
      <c r="J100" s="6"/>
      <c r="K100" s="7" t="s">
        <v>1451</v>
      </c>
      <c r="L100" s="8">
        <v>9642350</v>
      </c>
      <c r="M100" s="8" t="str">
        <f t="shared" si="12"/>
        <v>PEN</v>
      </c>
      <c r="N100" s="13"/>
      <c r="O100" s="13">
        <v>1415.3</v>
      </c>
      <c r="P100" s="3">
        <f t="shared" si="13"/>
        <v>0</v>
      </c>
      <c r="Q100" s="3">
        <f t="shared" si="14"/>
        <v>1415.3</v>
      </c>
      <c r="R100" s="3">
        <f t="shared" si="10"/>
        <v>11890.380000000001</v>
      </c>
      <c r="S100" s="24" t="s">
        <v>1334</v>
      </c>
      <c r="T100" s="24" t="s">
        <v>1334</v>
      </c>
      <c r="U100" s="53"/>
      <c r="V100" s="25" t="str">
        <f>IFERROR(VLOOKUP(BCP_Soles[[#This Row],[destinatario]],CHOOSE({1,2},Clientes_Proveedores[Razon Social],Clientes_Proveedores[Ruc / Dni]),2,0),"")</f>
        <v/>
      </c>
      <c r="W100" s="25" t="s">
        <v>1373</v>
      </c>
      <c r="X100" s="25" t="s">
        <v>1452</v>
      </c>
      <c r="Y100" s="25"/>
      <c r="Z100" s="75"/>
      <c r="AA100" s="3" t="str">
        <f>IF(BCP_Soles[[#This Row],[fecha]]&gt;0,TEXT(BCP_Soles[[#This Row],[fecha]],"mmmm"),0)</f>
        <v>Enero</v>
      </c>
    </row>
    <row r="101" spans="1:27" x14ac:dyDescent="0.3">
      <c r="A101" s="2">
        <f>IF(BCP_Soles[[#This Row],[tipo_registro]]="R",COUNTIFS($C$1:$C100,"R")+1,A100)</f>
        <v>50</v>
      </c>
      <c r="B101" s="19" t="str">
        <f t="shared" si="11"/>
        <v>B-BCP - Soles</v>
      </c>
      <c r="C101" s="3" t="s">
        <v>1352</v>
      </c>
      <c r="D101" s="14">
        <v>45665</v>
      </c>
      <c r="E101" s="5" t="s">
        <v>1338</v>
      </c>
      <c r="F101" s="5"/>
      <c r="G101" s="6" t="s">
        <v>522</v>
      </c>
      <c r="H101" s="6" t="s">
        <v>68</v>
      </c>
      <c r="I101" s="6" t="s">
        <v>1376</v>
      </c>
      <c r="J101" s="6">
        <v>3607</v>
      </c>
      <c r="K101" s="7" t="s">
        <v>1451</v>
      </c>
      <c r="L101" s="8">
        <v>9642350</v>
      </c>
      <c r="M101" s="8" t="str">
        <f t="shared" si="12"/>
        <v>PEN</v>
      </c>
      <c r="N101" s="13">
        <v>300.89999999999998</v>
      </c>
      <c r="O101" s="13"/>
      <c r="P101" s="3">
        <f t="shared" si="13"/>
        <v>0</v>
      </c>
      <c r="Q101" s="3">
        <f t="shared" si="14"/>
        <v>0</v>
      </c>
      <c r="R101" s="3">
        <f t="shared" si="10"/>
        <v>11890.380000000001</v>
      </c>
      <c r="S101" s="24" t="s">
        <v>1334</v>
      </c>
      <c r="T101" s="24" t="s">
        <v>1334</v>
      </c>
      <c r="U101" s="53"/>
      <c r="V101" s="25">
        <f>IFERROR(VLOOKUP(BCP_Soles[[#This Row],[destinatario]],CHOOSE({1,2},Clientes_Proveedores[Razon Social],Clientes_Proveedores[Ruc / Dni]),2,0),"")</f>
        <v>20603974817</v>
      </c>
      <c r="W101" s="25"/>
      <c r="X101" s="25"/>
      <c r="Y101" s="25"/>
      <c r="Z101" s="75"/>
      <c r="AA101" s="3" t="str">
        <f>IF(BCP_Soles[[#This Row],[fecha]]&gt;0,TEXT(BCP_Soles[[#This Row],[fecha]],"mmmm"),0)</f>
        <v>Enero</v>
      </c>
    </row>
    <row r="102" spans="1:27" ht="24" x14ac:dyDescent="0.3">
      <c r="A102" s="2">
        <f>IF(BCP_Soles[[#This Row],[tipo_registro]]="R",COUNTIFS($C$1:$C101,"R")+1,A101)</f>
        <v>50</v>
      </c>
      <c r="B102" s="19" t="str">
        <f t="shared" si="11"/>
        <v>B-BCP - Soles</v>
      </c>
      <c r="C102" s="3" t="s">
        <v>1352</v>
      </c>
      <c r="D102" s="14">
        <v>45665</v>
      </c>
      <c r="E102" s="5" t="s">
        <v>1338</v>
      </c>
      <c r="F102" s="5"/>
      <c r="G102" s="6" t="s">
        <v>594</v>
      </c>
      <c r="H102" s="6" t="s">
        <v>68</v>
      </c>
      <c r="I102" s="6" t="s">
        <v>1376</v>
      </c>
      <c r="J102" s="6">
        <v>1690</v>
      </c>
      <c r="K102" s="7" t="s">
        <v>1451</v>
      </c>
      <c r="L102" s="8">
        <v>9642350</v>
      </c>
      <c r="M102" s="8" t="str">
        <f t="shared" si="12"/>
        <v>PEN</v>
      </c>
      <c r="N102" s="13">
        <v>94.4</v>
      </c>
      <c r="O102" s="13"/>
      <c r="P102" s="3">
        <f t="shared" si="13"/>
        <v>0</v>
      </c>
      <c r="Q102" s="3">
        <f t="shared" si="14"/>
        <v>0</v>
      </c>
      <c r="R102" s="3">
        <f t="shared" si="10"/>
        <v>11890.380000000001</v>
      </c>
      <c r="S102" s="24" t="s">
        <v>1334</v>
      </c>
      <c r="T102" s="24" t="s">
        <v>1334</v>
      </c>
      <c r="U102" s="53"/>
      <c r="V102" s="25">
        <f>IFERROR(VLOOKUP(BCP_Soles[[#This Row],[destinatario]],CHOOSE({1,2},Clientes_Proveedores[Razon Social],Clientes_Proveedores[Ruc / Dni]),2,0),"")</f>
        <v>20609764261</v>
      </c>
      <c r="W102" s="25"/>
      <c r="X102" s="25"/>
      <c r="Y102" s="25"/>
      <c r="Z102" s="75"/>
      <c r="AA102" s="3" t="str">
        <f>IF(BCP_Soles[[#This Row],[fecha]]&gt;0,TEXT(BCP_Soles[[#This Row],[fecha]],"mmmm"),0)</f>
        <v>Enero</v>
      </c>
    </row>
    <row r="103" spans="1:27" ht="24" x14ac:dyDescent="0.3">
      <c r="A103" s="2">
        <f>IF(BCP_Soles[[#This Row],[tipo_registro]]="R",COUNTIFS($C$1:$C102,"R")+1,A102)</f>
        <v>50</v>
      </c>
      <c r="B103" s="19" t="str">
        <f t="shared" si="11"/>
        <v>B-BCP - Soles</v>
      </c>
      <c r="C103" s="3" t="s">
        <v>1352</v>
      </c>
      <c r="D103" s="14">
        <v>45665</v>
      </c>
      <c r="E103" s="5" t="s">
        <v>1338</v>
      </c>
      <c r="F103" s="5"/>
      <c r="G103" s="6" t="s">
        <v>176</v>
      </c>
      <c r="H103" s="6" t="s">
        <v>68</v>
      </c>
      <c r="I103" s="6" t="s">
        <v>1376</v>
      </c>
      <c r="J103" s="6">
        <v>344</v>
      </c>
      <c r="K103" s="7" t="s">
        <v>1451</v>
      </c>
      <c r="L103" s="8">
        <v>9642350</v>
      </c>
      <c r="M103" s="8" t="str">
        <f t="shared" si="12"/>
        <v>PEN</v>
      </c>
      <c r="N103" s="13">
        <v>510</v>
      </c>
      <c r="O103" s="13"/>
      <c r="P103" s="3">
        <f t="shared" si="13"/>
        <v>0</v>
      </c>
      <c r="Q103" s="3">
        <f t="shared" si="14"/>
        <v>0</v>
      </c>
      <c r="R103" s="3">
        <f t="shared" si="10"/>
        <v>11890.380000000001</v>
      </c>
      <c r="S103" s="24" t="s">
        <v>1334</v>
      </c>
      <c r="T103" s="24" t="s">
        <v>1334</v>
      </c>
      <c r="U103" s="53"/>
      <c r="V103" s="25">
        <f>IFERROR(VLOOKUP(BCP_Soles[[#This Row],[destinatario]],CHOOSE({1,2},Clientes_Proveedores[Razon Social],Clientes_Proveedores[Ruc / Dni]),2,0),"")</f>
        <v>10470065147</v>
      </c>
      <c r="W103" s="25"/>
      <c r="X103" s="25"/>
      <c r="Y103" s="25"/>
      <c r="Z103" s="75"/>
      <c r="AA103" s="3" t="str">
        <f>IF(BCP_Soles[[#This Row],[fecha]]&gt;0,TEXT(BCP_Soles[[#This Row],[fecha]],"mmmm"),0)</f>
        <v>Enero</v>
      </c>
    </row>
    <row r="104" spans="1:27" ht="24" x14ac:dyDescent="0.3">
      <c r="A104" s="2">
        <f>IF(BCP_Soles[[#This Row],[tipo_registro]]="R",COUNTIFS($C$1:$C103,"R")+1,A103)</f>
        <v>50</v>
      </c>
      <c r="B104" s="19" t="str">
        <f t="shared" si="11"/>
        <v>B-BCP - Soles</v>
      </c>
      <c r="C104" s="3" t="s">
        <v>1352</v>
      </c>
      <c r="D104" s="14">
        <v>45665</v>
      </c>
      <c r="E104" s="5" t="s">
        <v>1338</v>
      </c>
      <c r="F104" s="5"/>
      <c r="G104" s="6" t="s">
        <v>176</v>
      </c>
      <c r="H104" s="6" t="s">
        <v>68</v>
      </c>
      <c r="I104" s="6" t="s">
        <v>1376</v>
      </c>
      <c r="J104" s="6">
        <v>346</v>
      </c>
      <c r="K104" s="7" t="s">
        <v>1451</v>
      </c>
      <c r="L104" s="8">
        <v>9642350</v>
      </c>
      <c r="M104" s="8" t="str">
        <f t="shared" si="12"/>
        <v>PEN</v>
      </c>
      <c r="N104" s="13">
        <v>510</v>
      </c>
      <c r="O104" s="13"/>
      <c r="P104" s="3">
        <f t="shared" si="13"/>
        <v>0</v>
      </c>
      <c r="Q104" s="3">
        <f t="shared" si="14"/>
        <v>0</v>
      </c>
      <c r="R104" s="3">
        <f t="shared" si="10"/>
        <v>11890.380000000001</v>
      </c>
      <c r="S104" s="24" t="s">
        <v>1334</v>
      </c>
      <c r="T104" s="24" t="s">
        <v>1334</v>
      </c>
      <c r="U104" s="53"/>
      <c r="V104" s="25">
        <f>IFERROR(VLOOKUP(BCP_Soles[[#This Row],[destinatario]],CHOOSE({1,2},Clientes_Proveedores[Razon Social],Clientes_Proveedores[Ruc / Dni]),2,0),"")</f>
        <v>10470065147</v>
      </c>
      <c r="W104" s="25"/>
      <c r="X104" s="25"/>
      <c r="Y104" s="25"/>
      <c r="Z104" s="75"/>
      <c r="AA104" s="3" t="str">
        <f>IF(BCP_Soles[[#This Row],[fecha]]&gt;0,TEXT(BCP_Soles[[#This Row],[fecha]],"mmmm"),0)</f>
        <v>Enero</v>
      </c>
    </row>
    <row r="105" spans="1:27" ht="24" x14ac:dyDescent="0.3">
      <c r="A105" s="2">
        <f>IF(BCP_Soles[[#This Row],[tipo_registro]]="R",COUNTIFS($C$1:$C104,"R")+1,A104)</f>
        <v>51</v>
      </c>
      <c r="B105" s="19" t="str">
        <f t="shared" si="11"/>
        <v>B-BCP - Soles</v>
      </c>
      <c r="C105" s="3" t="s">
        <v>1330</v>
      </c>
      <c r="D105" s="14">
        <v>45665</v>
      </c>
      <c r="E105" s="5" t="s">
        <v>346</v>
      </c>
      <c r="F105" s="5" t="s">
        <v>1303</v>
      </c>
      <c r="G105" s="6" t="s">
        <v>425</v>
      </c>
      <c r="H105" s="6"/>
      <c r="I105" s="6"/>
      <c r="J105" s="6"/>
      <c r="K105" s="7" t="s">
        <v>1453</v>
      </c>
      <c r="L105" s="8">
        <v>9664546</v>
      </c>
      <c r="M105" s="8" t="str">
        <f t="shared" si="12"/>
        <v>PEN</v>
      </c>
      <c r="N105" s="13"/>
      <c r="O105" s="13">
        <v>14974.3</v>
      </c>
      <c r="P105" s="3">
        <f t="shared" si="13"/>
        <v>14974.3</v>
      </c>
      <c r="Q105" s="3">
        <f t="shared" si="14"/>
        <v>0</v>
      </c>
      <c r="R105" s="3">
        <f t="shared" si="10"/>
        <v>26864.68</v>
      </c>
      <c r="S105" s="24" t="s">
        <v>1334</v>
      </c>
      <c r="T105" s="24" t="s">
        <v>1334</v>
      </c>
      <c r="U105" s="53"/>
      <c r="V105" s="25">
        <f>IFERROR(VLOOKUP(BCP_Soles[[#This Row],[destinatario]],CHOOSE({1,2},Clientes_Proveedores[Razon Social],Clientes_Proveedores[Ruc / Dni]),2,0),"")</f>
        <v>20558226979</v>
      </c>
      <c r="W105" s="25" t="s">
        <v>1345</v>
      </c>
      <c r="X105" s="25" t="s">
        <v>1454</v>
      </c>
      <c r="Y105" s="25"/>
      <c r="Z105" s="75"/>
      <c r="AA105" s="3" t="str">
        <f>IF(BCP_Soles[[#This Row],[fecha]]&gt;0,TEXT(BCP_Soles[[#This Row],[fecha]],"mmmm"),0)</f>
        <v>Enero</v>
      </c>
    </row>
    <row r="106" spans="1:27" ht="24" x14ac:dyDescent="0.3">
      <c r="A106" s="2">
        <f>IF(BCP_Soles[[#This Row],[tipo_registro]]="R",COUNTIFS($C$1:$C105,"R")+1,A105)</f>
        <v>52</v>
      </c>
      <c r="B106" s="19" t="str">
        <f t="shared" si="11"/>
        <v>B-BCP - Soles</v>
      </c>
      <c r="C106" s="3" t="s">
        <v>1330</v>
      </c>
      <c r="D106" s="14">
        <v>45665</v>
      </c>
      <c r="E106" s="5" t="s">
        <v>350</v>
      </c>
      <c r="F106" s="5" t="s">
        <v>1303</v>
      </c>
      <c r="G106" s="6" t="s">
        <v>425</v>
      </c>
      <c r="H106" s="6" t="s">
        <v>119</v>
      </c>
      <c r="I106" s="6">
        <v>1</v>
      </c>
      <c r="J106" s="6">
        <v>4067</v>
      </c>
      <c r="K106" s="7" t="s">
        <v>1455</v>
      </c>
      <c r="L106" s="8">
        <v>2250290</v>
      </c>
      <c r="M106" s="8" t="str">
        <f t="shared" si="12"/>
        <v>PEN</v>
      </c>
      <c r="N106" s="13"/>
      <c r="O106" s="13">
        <v>13570</v>
      </c>
      <c r="P106" s="3">
        <f t="shared" si="13"/>
        <v>13570</v>
      </c>
      <c r="Q106" s="3">
        <f t="shared" si="14"/>
        <v>0</v>
      </c>
      <c r="R106" s="3">
        <f t="shared" si="10"/>
        <v>40434.68</v>
      </c>
      <c r="S106" s="24" t="s">
        <v>1334</v>
      </c>
      <c r="T106" s="24" t="s">
        <v>1334</v>
      </c>
      <c r="U106" s="53"/>
      <c r="V106" s="25">
        <f>IFERROR(VLOOKUP(BCP_Soles[[#This Row],[destinatario]],CHOOSE({1,2},Clientes_Proveedores[Razon Social],Clientes_Proveedores[Ruc / Dni]),2,0),"")</f>
        <v>20558226979</v>
      </c>
      <c r="W106" s="25" t="s">
        <v>1345</v>
      </c>
      <c r="X106" s="25" t="s">
        <v>1456</v>
      </c>
      <c r="Y106" s="25"/>
      <c r="Z106" s="75"/>
      <c r="AA106" s="3" t="str">
        <f>IF(BCP_Soles[[#This Row],[fecha]]&gt;0,TEXT(BCP_Soles[[#This Row],[fecha]],"mmmm"),0)</f>
        <v>Enero</v>
      </c>
    </row>
    <row r="107" spans="1:27" ht="24" x14ac:dyDescent="0.3">
      <c r="A107" s="2">
        <f>IF(BCP_Soles[[#This Row],[tipo_registro]]="R",COUNTIFS($C$1:$C106,"R")+1,A106)</f>
        <v>53</v>
      </c>
      <c r="B107" s="19" t="str">
        <f t="shared" si="11"/>
        <v>B-BCP - Soles</v>
      </c>
      <c r="C107" s="3" t="s">
        <v>1330</v>
      </c>
      <c r="D107" s="14">
        <v>45665</v>
      </c>
      <c r="E107" s="5" t="s">
        <v>350</v>
      </c>
      <c r="F107" s="5" t="s">
        <v>1303</v>
      </c>
      <c r="G107" s="6" t="s">
        <v>425</v>
      </c>
      <c r="H107" s="6" t="s">
        <v>68</v>
      </c>
      <c r="I107" s="6" t="s">
        <v>1353</v>
      </c>
      <c r="J107" s="6">
        <v>171</v>
      </c>
      <c r="K107" s="7" t="s">
        <v>1455</v>
      </c>
      <c r="L107" s="8">
        <v>2255248</v>
      </c>
      <c r="M107" s="8" t="str">
        <f t="shared" si="12"/>
        <v>PEN</v>
      </c>
      <c r="N107" s="13"/>
      <c r="O107" s="13">
        <v>1770</v>
      </c>
      <c r="P107" s="3">
        <f t="shared" si="13"/>
        <v>1770</v>
      </c>
      <c r="Q107" s="3">
        <f t="shared" si="14"/>
        <v>0</v>
      </c>
      <c r="R107" s="3">
        <f t="shared" si="10"/>
        <v>42204.68</v>
      </c>
      <c r="S107" s="24" t="s">
        <v>1334</v>
      </c>
      <c r="T107" s="24" t="s">
        <v>1334</v>
      </c>
      <c r="U107" s="53"/>
      <c r="V107" s="25">
        <f>IFERROR(VLOOKUP(BCP_Soles[[#This Row],[destinatario]],CHOOSE({1,2},Clientes_Proveedores[Razon Social],Clientes_Proveedores[Ruc / Dni]),2,0),"")</f>
        <v>20558226979</v>
      </c>
      <c r="W107" s="25" t="s">
        <v>1345</v>
      </c>
      <c r="X107" s="25" t="s">
        <v>1457</v>
      </c>
      <c r="Y107" s="25"/>
      <c r="Z107" s="75"/>
      <c r="AA107" s="3" t="str">
        <f>IF(BCP_Soles[[#This Row],[fecha]]&gt;0,TEXT(BCP_Soles[[#This Row],[fecha]],"mmmm"),0)</f>
        <v>Enero</v>
      </c>
    </row>
    <row r="108" spans="1:27" ht="24" x14ac:dyDescent="0.3">
      <c r="A108" s="2">
        <f>IF(BCP_Soles[[#This Row],[tipo_registro]]="R",COUNTIFS($C$1:$C107,"R")+1,A107)</f>
        <v>54</v>
      </c>
      <c r="B108" s="19" t="str">
        <f t="shared" si="11"/>
        <v>B-BCP - Soles</v>
      </c>
      <c r="C108" s="3" t="s">
        <v>1330</v>
      </c>
      <c r="D108" s="14">
        <v>45665</v>
      </c>
      <c r="E108" s="5" t="s">
        <v>462</v>
      </c>
      <c r="F108" s="5" t="s">
        <v>1303</v>
      </c>
      <c r="G108" s="6" t="s">
        <v>425</v>
      </c>
      <c r="H108" s="6"/>
      <c r="I108" s="6"/>
      <c r="J108" s="6"/>
      <c r="K108" s="7" t="s">
        <v>1356</v>
      </c>
      <c r="L108" s="8">
        <v>2197350</v>
      </c>
      <c r="M108" s="8" t="str">
        <f t="shared" si="12"/>
        <v>PEN</v>
      </c>
      <c r="N108" s="13"/>
      <c r="O108" s="13">
        <v>244</v>
      </c>
      <c r="P108" s="3">
        <f t="shared" si="13"/>
        <v>244</v>
      </c>
      <c r="Q108" s="3">
        <f t="shared" si="14"/>
        <v>0</v>
      </c>
      <c r="R108" s="3">
        <f t="shared" si="10"/>
        <v>42448.68</v>
      </c>
      <c r="S108" s="24" t="s">
        <v>1334</v>
      </c>
      <c r="T108" s="24" t="s">
        <v>1334</v>
      </c>
      <c r="U108" s="53"/>
      <c r="V108" s="25">
        <f>IFERROR(VLOOKUP(BCP_Soles[[#This Row],[destinatario]],CHOOSE({1,2},Clientes_Proveedores[Razon Social],Clientes_Proveedores[Ruc / Dni]),2,0),"")</f>
        <v>20558226979</v>
      </c>
      <c r="W108" s="25" t="s">
        <v>1345</v>
      </c>
      <c r="X108" s="25" t="s">
        <v>1458</v>
      </c>
      <c r="Y108" s="25"/>
      <c r="Z108" s="75"/>
      <c r="AA108" s="3" t="str">
        <f>IF(BCP_Soles[[#This Row],[fecha]]&gt;0,TEXT(BCP_Soles[[#This Row],[fecha]],"mmmm"),0)</f>
        <v>Enero</v>
      </c>
    </row>
    <row r="109" spans="1:27" x14ac:dyDescent="0.3">
      <c r="A109" s="2">
        <f>IF(BCP_Soles[[#This Row],[tipo_registro]]="R",COUNTIFS($C$1:$C108,"R")+1,A108)</f>
        <v>55</v>
      </c>
      <c r="B109" s="19" t="str">
        <f t="shared" si="11"/>
        <v>B-BCP - Soles</v>
      </c>
      <c r="C109" s="3" t="s">
        <v>1330</v>
      </c>
      <c r="D109" s="14">
        <v>45666</v>
      </c>
      <c r="E109" s="5" t="s">
        <v>1416</v>
      </c>
      <c r="F109" s="5" t="s">
        <v>1336</v>
      </c>
      <c r="G109" s="6"/>
      <c r="H109" s="6"/>
      <c r="I109" s="6"/>
      <c r="J109" s="6"/>
      <c r="K109" s="7" t="s">
        <v>1459</v>
      </c>
      <c r="L109" s="8">
        <v>1000806</v>
      </c>
      <c r="M109" s="8" t="str">
        <f t="shared" si="12"/>
        <v>PEN</v>
      </c>
      <c r="N109" s="13"/>
      <c r="O109" s="13">
        <v>3310</v>
      </c>
      <c r="P109" s="3">
        <f t="shared" si="13"/>
        <v>0</v>
      </c>
      <c r="Q109" s="3">
        <f t="shared" si="14"/>
        <v>3310</v>
      </c>
      <c r="R109" s="3">
        <f t="shared" si="10"/>
        <v>39138.68</v>
      </c>
      <c r="S109" s="24" t="s">
        <v>1334</v>
      </c>
      <c r="T109" s="24" t="s">
        <v>1334</v>
      </c>
      <c r="U109" s="53"/>
      <c r="V109" s="25" t="str">
        <f>IFERROR(VLOOKUP(BCP_Soles[[#This Row],[destinatario]],CHOOSE({1,2},Clientes_Proveedores[Razon Social],Clientes_Proveedores[Ruc / Dni]),2,0),"")</f>
        <v/>
      </c>
      <c r="W109" s="25" t="s">
        <v>1389</v>
      </c>
      <c r="X109" s="25"/>
      <c r="Y109" s="25"/>
      <c r="Z109" s="75"/>
      <c r="AA109" s="3" t="str">
        <f>IF(BCP_Soles[[#This Row],[fecha]]&gt;0,TEXT(BCP_Soles[[#This Row],[fecha]],"mmmm"),0)</f>
        <v>Enero</v>
      </c>
    </row>
    <row r="110" spans="1:27" x14ac:dyDescent="0.3">
      <c r="A110" s="2">
        <f>IF(BCP_Soles[[#This Row],[tipo_registro]]="R",COUNTIFS($C$1:$C109,"R")+1,A109)</f>
        <v>56</v>
      </c>
      <c r="B110" s="19" t="str">
        <f t="shared" si="11"/>
        <v>B-BCP - Soles</v>
      </c>
      <c r="C110" s="3" t="s">
        <v>1330</v>
      </c>
      <c r="D110" s="14">
        <v>45666</v>
      </c>
      <c r="E110" s="5" t="s">
        <v>1338</v>
      </c>
      <c r="F110" s="5" t="s">
        <v>1336</v>
      </c>
      <c r="G110" s="6"/>
      <c r="H110" s="6"/>
      <c r="I110" s="6"/>
      <c r="J110" s="6"/>
      <c r="K110" s="7" t="s">
        <v>1460</v>
      </c>
      <c r="L110" s="8">
        <v>9885813</v>
      </c>
      <c r="M110" s="8" t="str">
        <f t="shared" si="12"/>
        <v>PEN</v>
      </c>
      <c r="N110" s="13"/>
      <c r="O110" s="13">
        <v>12599.49</v>
      </c>
      <c r="P110" s="3">
        <f t="shared" si="13"/>
        <v>0</v>
      </c>
      <c r="Q110" s="3">
        <f t="shared" si="14"/>
        <v>12599.49</v>
      </c>
      <c r="R110" s="3">
        <f t="shared" si="10"/>
        <v>26539.190000000002</v>
      </c>
      <c r="S110" s="24" t="s">
        <v>1334</v>
      </c>
      <c r="T110" s="24" t="s">
        <v>1334</v>
      </c>
      <c r="U110" s="53"/>
      <c r="V110" s="25" t="str">
        <f>IFERROR(VLOOKUP(BCP_Soles[[#This Row],[destinatario]],CHOOSE({1,2},Clientes_Proveedores[Razon Social],Clientes_Proveedores[Ruc / Dni]),2,0),"")</f>
        <v/>
      </c>
      <c r="W110" s="25" t="s">
        <v>1373</v>
      </c>
      <c r="X110" s="25" t="s">
        <v>1452</v>
      </c>
      <c r="Y110" s="25"/>
      <c r="Z110" s="75"/>
      <c r="AA110" s="3" t="str">
        <f>IF(BCP_Soles[[#This Row],[fecha]]&gt;0,TEXT(BCP_Soles[[#This Row],[fecha]],"mmmm"),0)</f>
        <v>Enero</v>
      </c>
    </row>
    <row r="111" spans="1:27" x14ac:dyDescent="0.3">
      <c r="A111" s="2">
        <f>IF(BCP_Soles[[#This Row],[tipo_registro]]="R",COUNTIFS($C$1:$C110,"R")+1,A110)</f>
        <v>56</v>
      </c>
      <c r="B111" s="19" t="str">
        <f t="shared" si="11"/>
        <v>B-BCP - Soles</v>
      </c>
      <c r="C111" s="3" t="s">
        <v>1352</v>
      </c>
      <c r="D111" s="14">
        <v>45666</v>
      </c>
      <c r="E111" s="5" t="s">
        <v>1338</v>
      </c>
      <c r="F111" s="5"/>
      <c r="G111" s="6" t="s">
        <v>346</v>
      </c>
      <c r="H111" s="6" t="s">
        <v>68</v>
      </c>
      <c r="I111" s="6" t="s">
        <v>1461</v>
      </c>
      <c r="J111" s="6">
        <v>37937</v>
      </c>
      <c r="K111" s="7" t="s">
        <v>1460</v>
      </c>
      <c r="L111" s="8">
        <v>9885813</v>
      </c>
      <c r="M111" s="8" t="str">
        <f t="shared" si="12"/>
        <v>PEN</v>
      </c>
      <c r="N111" s="13">
        <v>1719.79</v>
      </c>
      <c r="O111" s="13"/>
      <c r="P111" s="3">
        <f t="shared" si="13"/>
        <v>0</v>
      </c>
      <c r="Q111" s="3">
        <f t="shared" si="14"/>
        <v>0</v>
      </c>
      <c r="R111" s="3">
        <f t="shared" si="10"/>
        <v>26539.190000000002</v>
      </c>
      <c r="S111" s="24"/>
      <c r="T111" s="24" t="s">
        <v>1334</v>
      </c>
      <c r="U111" s="53"/>
      <c r="V111" s="25">
        <f>IFERROR(VLOOKUP(BCP_Soles[[#This Row],[destinatario]],CHOOSE({1,2},Clientes_Proveedores[Razon Social],Clientes_Proveedores[Ruc / Dni]),2,0),"")</f>
        <v>20505675836</v>
      </c>
      <c r="W111" s="25"/>
      <c r="X111" s="25"/>
      <c r="Y111" s="25"/>
      <c r="Z111" s="75"/>
      <c r="AA111" s="3" t="str">
        <f>IF(BCP_Soles[[#This Row],[fecha]]&gt;0,TEXT(BCP_Soles[[#This Row],[fecha]],"mmmm"),0)</f>
        <v>Enero</v>
      </c>
    </row>
    <row r="112" spans="1:27" x14ac:dyDescent="0.3">
      <c r="A112" s="2">
        <f>IF(BCP_Soles[[#This Row],[tipo_registro]]="R",COUNTIFS($C$1:$C111,"R")+1,A111)</f>
        <v>56</v>
      </c>
      <c r="B112" s="19" t="str">
        <f t="shared" si="11"/>
        <v>B-BCP - Soles</v>
      </c>
      <c r="C112" s="3" t="s">
        <v>1352</v>
      </c>
      <c r="D112" s="14">
        <v>45666</v>
      </c>
      <c r="E112" s="5" t="s">
        <v>1338</v>
      </c>
      <c r="F112" s="5"/>
      <c r="G112" s="6" t="s">
        <v>346</v>
      </c>
      <c r="H112" s="6" t="s">
        <v>68</v>
      </c>
      <c r="I112" s="6" t="s">
        <v>1461</v>
      </c>
      <c r="J112" s="6">
        <v>37938</v>
      </c>
      <c r="K112" s="7" t="s">
        <v>1460</v>
      </c>
      <c r="L112" s="8">
        <v>9885813</v>
      </c>
      <c r="M112" s="8" t="str">
        <f t="shared" si="12"/>
        <v>PEN</v>
      </c>
      <c r="N112" s="13">
        <v>3506.9</v>
      </c>
      <c r="O112" s="13"/>
      <c r="P112" s="3">
        <f t="shared" si="13"/>
        <v>0</v>
      </c>
      <c r="Q112" s="3">
        <f t="shared" si="14"/>
        <v>0</v>
      </c>
      <c r="R112" s="3">
        <f t="shared" si="10"/>
        <v>26539.190000000002</v>
      </c>
      <c r="S112" s="24"/>
      <c r="T112" s="24" t="s">
        <v>1334</v>
      </c>
      <c r="U112" s="53"/>
      <c r="V112" s="25">
        <f>IFERROR(VLOOKUP(BCP_Soles[[#This Row],[destinatario]],CHOOSE({1,2},Clientes_Proveedores[Razon Social],Clientes_Proveedores[Ruc / Dni]),2,0),"")</f>
        <v>20505675836</v>
      </c>
      <c r="W112" s="25"/>
      <c r="X112" s="25"/>
      <c r="Y112" s="25"/>
      <c r="Z112" s="75"/>
      <c r="AA112" s="3" t="str">
        <f>IF(BCP_Soles[[#This Row],[fecha]]&gt;0,TEXT(BCP_Soles[[#This Row],[fecha]],"mmmm"),0)</f>
        <v>Enero</v>
      </c>
    </row>
    <row r="113" spans="1:27" x14ac:dyDescent="0.3">
      <c r="A113" s="2">
        <f>IF(BCP_Soles[[#This Row],[tipo_registro]]="R",COUNTIFS($C$1:$C112,"R")+1,A112)</f>
        <v>56</v>
      </c>
      <c r="B113" s="19" t="str">
        <f t="shared" si="11"/>
        <v>B-BCP - Soles</v>
      </c>
      <c r="C113" s="3" t="s">
        <v>1352</v>
      </c>
      <c r="D113" s="14">
        <v>45666</v>
      </c>
      <c r="E113" s="5" t="s">
        <v>1338</v>
      </c>
      <c r="F113" s="5"/>
      <c r="G113" s="6" t="s">
        <v>346</v>
      </c>
      <c r="H113" s="6" t="s">
        <v>68</v>
      </c>
      <c r="I113" s="6" t="s">
        <v>1461</v>
      </c>
      <c r="J113" s="6">
        <v>38021</v>
      </c>
      <c r="K113" s="7" t="s">
        <v>1460</v>
      </c>
      <c r="L113" s="8">
        <v>9885813</v>
      </c>
      <c r="M113" s="8" t="str">
        <f t="shared" si="12"/>
        <v>PEN</v>
      </c>
      <c r="N113" s="13">
        <v>1844.7</v>
      </c>
      <c r="O113" s="13"/>
      <c r="P113" s="3">
        <f t="shared" si="13"/>
        <v>0</v>
      </c>
      <c r="Q113" s="3">
        <f t="shared" si="14"/>
        <v>0</v>
      </c>
      <c r="R113" s="3">
        <f t="shared" si="10"/>
        <v>26539.190000000002</v>
      </c>
      <c r="S113" s="24"/>
      <c r="T113" s="24" t="s">
        <v>1334</v>
      </c>
      <c r="U113" s="53"/>
      <c r="V113" s="25">
        <f>IFERROR(VLOOKUP(BCP_Soles[[#This Row],[destinatario]],CHOOSE({1,2},Clientes_Proveedores[Razon Social],Clientes_Proveedores[Ruc / Dni]),2,0),"")</f>
        <v>20505675836</v>
      </c>
      <c r="W113" s="25"/>
      <c r="X113" s="25"/>
      <c r="Y113" s="25"/>
      <c r="Z113" s="75"/>
      <c r="AA113" s="3" t="str">
        <f>IF(BCP_Soles[[#This Row],[fecha]]&gt;0,TEXT(BCP_Soles[[#This Row],[fecha]],"mmmm"),0)</f>
        <v>Enero</v>
      </c>
    </row>
    <row r="114" spans="1:27" x14ac:dyDescent="0.3">
      <c r="A114" s="2">
        <f>IF(BCP_Soles[[#This Row],[tipo_registro]]="R",COUNTIFS($C$1:$C113,"R")+1,A113)</f>
        <v>56</v>
      </c>
      <c r="B114" s="19" t="str">
        <f t="shared" si="11"/>
        <v>B-BCP - Soles</v>
      </c>
      <c r="C114" s="3" t="s">
        <v>1352</v>
      </c>
      <c r="D114" s="14">
        <v>45666</v>
      </c>
      <c r="E114" s="5" t="s">
        <v>1338</v>
      </c>
      <c r="F114" s="5"/>
      <c r="G114" s="6" t="s">
        <v>346</v>
      </c>
      <c r="H114" s="6" t="s">
        <v>68</v>
      </c>
      <c r="I114" s="6" t="s">
        <v>1461</v>
      </c>
      <c r="J114" s="6">
        <v>38020</v>
      </c>
      <c r="K114" s="7" t="s">
        <v>1460</v>
      </c>
      <c r="L114" s="8">
        <v>9885813</v>
      </c>
      <c r="M114" s="8" t="str">
        <f t="shared" si="12"/>
        <v>PEN</v>
      </c>
      <c r="N114" s="13">
        <v>2189.6</v>
      </c>
      <c r="O114" s="13"/>
      <c r="P114" s="3">
        <f t="shared" si="13"/>
        <v>0</v>
      </c>
      <c r="Q114" s="3">
        <f t="shared" si="14"/>
        <v>0</v>
      </c>
      <c r="R114" s="3">
        <f t="shared" si="10"/>
        <v>26539.190000000002</v>
      </c>
      <c r="S114" s="24"/>
      <c r="T114" s="24" t="s">
        <v>1334</v>
      </c>
      <c r="U114" s="53"/>
      <c r="V114" s="25">
        <f>IFERROR(VLOOKUP(BCP_Soles[[#This Row],[destinatario]],CHOOSE({1,2},Clientes_Proveedores[Razon Social],Clientes_Proveedores[Ruc / Dni]),2,0),"")</f>
        <v>20505675836</v>
      </c>
      <c r="W114" s="25"/>
      <c r="X114" s="25"/>
      <c r="Y114" s="25"/>
      <c r="Z114" s="75"/>
      <c r="AA114" s="3" t="str">
        <f>IF(BCP_Soles[[#This Row],[fecha]]&gt;0,TEXT(BCP_Soles[[#This Row],[fecha]],"mmmm"),0)</f>
        <v>Enero</v>
      </c>
    </row>
    <row r="115" spans="1:27" x14ac:dyDescent="0.3">
      <c r="A115" s="2">
        <f>IF(BCP_Soles[[#This Row],[tipo_registro]]="R",COUNTIFS($C$1:$C114,"R")+1,A114)</f>
        <v>56</v>
      </c>
      <c r="B115" s="19" t="str">
        <f t="shared" si="11"/>
        <v>B-BCP - Soles</v>
      </c>
      <c r="C115" s="3" t="s">
        <v>1352</v>
      </c>
      <c r="D115" s="14">
        <v>45666</v>
      </c>
      <c r="E115" s="5" t="s">
        <v>1338</v>
      </c>
      <c r="F115" s="5"/>
      <c r="G115" s="6" t="s">
        <v>346</v>
      </c>
      <c r="H115" s="6" t="s">
        <v>68</v>
      </c>
      <c r="I115" s="6" t="s">
        <v>1461</v>
      </c>
      <c r="J115" s="6">
        <v>38075</v>
      </c>
      <c r="K115" s="7" t="s">
        <v>1460</v>
      </c>
      <c r="L115" s="8">
        <v>9885813</v>
      </c>
      <c r="M115" s="8" t="str">
        <f t="shared" si="12"/>
        <v>PEN</v>
      </c>
      <c r="N115" s="13">
        <v>3059.91</v>
      </c>
      <c r="O115" s="13"/>
      <c r="P115" s="3">
        <f t="shared" si="13"/>
        <v>0</v>
      </c>
      <c r="Q115" s="3">
        <f t="shared" si="14"/>
        <v>0</v>
      </c>
      <c r="R115" s="3">
        <f t="shared" si="10"/>
        <v>26539.190000000002</v>
      </c>
      <c r="S115" s="24"/>
      <c r="T115" s="24" t="s">
        <v>1334</v>
      </c>
      <c r="U115" s="53"/>
      <c r="V115" s="25">
        <f>IFERROR(VLOOKUP(BCP_Soles[[#This Row],[destinatario]],CHOOSE({1,2},Clientes_Proveedores[Razon Social],Clientes_Proveedores[Ruc / Dni]),2,0),"")</f>
        <v>20505675836</v>
      </c>
      <c r="W115" s="25"/>
      <c r="X115" s="25"/>
      <c r="Y115" s="25"/>
      <c r="Z115" s="75"/>
      <c r="AA115" s="3" t="str">
        <f>IF(BCP_Soles[[#This Row],[fecha]]&gt;0,TEXT(BCP_Soles[[#This Row],[fecha]],"mmmm"),0)</f>
        <v>Enero</v>
      </c>
    </row>
    <row r="116" spans="1:27" x14ac:dyDescent="0.3">
      <c r="A116" s="2">
        <f>IF(BCP_Soles[[#This Row],[tipo_registro]]="R",COUNTIFS($C$1:$C115,"R")+1,A115)</f>
        <v>56</v>
      </c>
      <c r="B116" s="19" t="str">
        <f t="shared" si="11"/>
        <v>B-BCP - Soles</v>
      </c>
      <c r="C116" s="3" t="s">
        <v>1352</v>
      </c>
      <c r="D116" s="14">
        <v>45666</v>
      </c>
      <c r="E116" s="5" t="s">
        <v>1338</v>
      </c>
      <c r="F116" s="5"/>
      <c r="G116" s="6" t="s">
        <v>346</v>
      </c>
      <c r="H116" s="6" t="s">
        <v>68</v>
      </c>
      <c r="I116" s="6" t="s">
        <v>1461</v>
      </c>
      <c r="J116" s="6">
        <v>38076</v>
      </c>
      <c r="K116" s="7" t="s">
        <v>1460</v>
      </c>
      <c r="L116" s="8">
        <v>9885813</v>
      </c>
      <c r="M116" s="8" t="str">
        <f t="shared" si="12"/>
        <v>PEN</v>
      </c>
      <c r="N116" s="13">
        <v>278.58999999999997</v>
      </c>
      <c r="O116" s="13"/>
      <c r="P116" s="3">
        <f t="shared" si="13"/>
        <v>0</v>
      </c>
      <c r="Q116" s="3">
        <f t="shared" si="14"/>
        <v>0</v>
      </c>
      <c r="R116" s="3">
        <f t="shared" si="10"/>
        <v>26539.190000000002</v>
      </c>
      <c r="S116" s="24"/>
      <c r="T116" s="24" t="s">
        <v>1334</v>
      </c>
      <c r="U116" s="53"/>
      <c r="V116" s="25">
        <f>IFERROR(VLOOKUP(BCP_Soles[[#This Row],[destinatario]],CHOOSE({1,2},Clientes_Proveedores[Razon Social],Clientes_Proveedores[Ruc / Dni]),2,0),"")</f>
        <v>20505675836</v>
      </c>
      <c r="W116" s="25"/>
      <c r="X116" s="25"/>
      <c r="Y116" s="25"/>
      <c r="Z116" s="75"/>
      <c r="AA116" s="3" t="str">
        <f>IF(BCP_Soles[[#This Row],[fecha]]&gt;0,TEXT(BCP_Soles[[#This Row],[fecha]],"mmmm"),0)</f>
        <v>Enero</v>
      </c>
    </row>
    <row r="117" spans="1:27" ht="24" x14ac:dyDescent="0.3">
      <c r="A117" s="2">
        <f>IF(BCP_Soles[[#This Row],[tipo_registro]]="R",COUNTIFS($C$1:$C116,"R")+1,A116)</f>
        <v>57</v>
      </c>
      <c r="B117" s="19" t="str">
        <f t="shared" si="11"/>
        <v>B-BCP - Soles</v>
      </c>
      <c r="C117" s="3" t="s">
        <v>1330</v>
      </c>
      <c r="D117" s="14">
        <v>45666</v>
      </c>
      <c r="E117" s="5" t="s">
        <v>1338</v>
      </c>
      <c r="F117" s="5" t="s">
        <v>1336</v>
      </c>
      <c r="G117" s="6" t="s">
        <v>895</v>
      </c>
      <c r="H117" s="6"/>
      <c r="I117" s="6"/>
      <c r="J117" s="6"/>
      <c r="K117" s="7" t="s">
        <v>1462</v>
      </c>
      <c r="L117" s="8">
        <v>1157189</v>
      </c>
      <c r="M117" s="8" t="str">
        <f t="shared" si="12"/>
        <v>PEN</v>
      </c>
      <c r="N117" s="13"/>
      <c r="O117" s="13">
        <v>51.2</v>
      </c>
      <c r="P117" s="3">
        <f t="shared" si="13"/>
        <v>0</v>
      </c>
      <c r="Q117" s="3">
        <f t="shared" si="14"/>
        <v>51.2</v>
      </c>
      <c r="R117" s="3">
        <f t="shared" si="10"/>
        <v>26487.99</v>
      </c>
      <c r="S117" s="24" t="s">
        <v>1334</v>
      </c>
      <c r="T117" s="24" t="s">
        <v>1334</v>
      </c>
      <c r="U117" s="53"/>
      <c r="V117" s="25">
        <f>IFERROR(VLOOKUP(BCP_Soles[[#This Row],[destinatario]],CHOOSE({1,2},Clientes_Proveedores[Razon Social],Clientes_Proveedores[Ruc / Dni]),2,0),"")</f>
        <v>72144092</v>
      </c>
      <c r="W117" s="25" t="s">
        <v>895</v>
      </c>
      <c r="X117" s="25"/>
      <c r="Y117" s="25"/>
      <c r="Z117" s="75"/>
      <c r="AA117" s="3" t="str">
        <f>IF(BCP_Soles[[#This Row],[fecha]]&gt;0,TEXT(BCP_Soles[[#This Row],[fecha]],"mmmm"),0)</f>
        <v>Enero</v>
      </c>
    </row>
    <row r="118" spans="1:27" ht="36" x14ac:dyDescent="0.3">
      <c r="A118" s="2">
        <f>IF(BCP_Soles[[#This Row],[tipo_registro]]="R",COUNTIFS($C$1:$C117,"R")+1,A117)</f>
        <v>58</v>
      </c>
      <c r="B118" s="19" t="str">
        <f t="shared" si="11"/>
        <v>B-BCP - Soles</v>
      </c>
      <c r="C118" s="3" t="s">
        <v>1330</v>
      </c>
      <c r="D118" s="14">
        <v>45666</v>
      </c>
      <c r="E118" s="5" t="s">
        <v>1338</v>
      </c>
      <c r="F118" s="5" t="s">
        <v>1336</v>
      </c>
      <c r="G118" s="6" t="s">
        <v>702</v>
      </c>
      <c r="H118" s="6" t="s">
        <v>68</v>
      </c>
      <c r="I118" s="6" t="s">
        <v>1463</v>
      </c>
      <c r="J118" s="6">
        <v>473371</v>
      </c>
      <c r="K118" s="7" t="s">
        <v>1464</v>
      </c>
      <c r="L118" s="8">
        <v>169149</v>
      </c>
      <c r="M118" s="8" t="str">
        <f t="shared" si="12"/>
        <v>PEN</v>
      </c>
      <c r="N118" s="13"/>
      <c r="O118" s="13">
        <v>2496.12</v>
      </c>
      <c r="P118" s="3">
        <f t="shared" si="13"/>
        <v>0</v>
      </c>
      <c r="Q118" s="3">
        <f t="shared" si="14"/>
        <v>2496.12</v>
      </c>
      <c r="R118" s="3">
        <f t="shared" si="10"/>
        <v>23991.870000000003</v>
      </c>
      <c r="S118" s="24" t="s">
        <v>1334</v>
      </c>
      <c r="T118" s="24" t="s">
        <v>1334</v>
      </c>
      <c r="U118" s="53"/>
      <c r="V118" s="25">
        <f>IFERROR(VLOOKUP(BCP_Soles[[#This Row],[destinatario]],CHOOSE({1,2},Clientes_Proveedores[Razon Social],Clientes_Proveedores[Ruc / Dni]),2,0),"")</f>
        <v>20454073143</v>
      </c>
      <c r="W118" s="25" t="s">
        <v>1465</v>
      </c>
      <c r="X118" s="25" t="s">
        <v>1466</v>
      </c>
      <c r="Y118" s="25"/>
      <c r="Z118" s="75"/>
      <c r="AA118" s="3" t="str">
        <f>IF(BCP_Soles[[#This Row],[fecha]]&gt;0,TEXT(BCP_Soles[[#This Row],[fecha]],"mmmm"),0)</f>
        <v>Enero</v>
      </c>
    </row>
    <row r="119" spans="1:27" x14ac:dyDescent="0.3">
      <c r="A119" s="2">
        <f>IF(BCP_Soles[[#This Row],[tipo_registro]]="R",COUNTIFS($C$1:$C118,"R")+1,A118)</f>
        <v>59</v>
      </c>
      <c r="B119" s="19" t="str">
        <f t="shared" si="11"/>
        <v>B-BCP - Soles</v>
      </c>
      <c r="C119" s="3" t="s">
        <v>1330</v>
      </c>
      <c r="D119" s="14">
        <v>45666</v>
      </c>
      <c r="E119" s="5" t="s">
        <v>1335</v>
      </c>
      <c r="F119" s="5" t="s">
        <v>1336</v>
      </c>
      <c r="G119" s="6"/>
      <c r="H119" s="6"/>
      <c r="I119" s="6"/>
      <c r="J119" s="6"/>
      <c r="K119" s="7" t="s">
        <v>1337</v>
      </c>
      <c r="L119" s="8"/>
      <c r="M119" s="8" t="str">
        <f t="shared" si="12"/>
        <v>PEN</v>
      </c>
      <c r="N119" s="13"/>
      <c r="O119" s="13">
        <v>0.95</v>
      </c>
      <c r="P119" s="3">
        <f t="shared" si="13"/>
        <v>0</v>
      </c>
      <c r="Q119" s="3">
        <f t="shared" si="14"/>
        <v>0.95</v>
      </c>
      <c r="R119" s="3">
        <f t="shared" si="10"/>
        <v>23990.920000000002</v>
      </c>
      <c r="S119" s="24"/>
      <c r="T119" s="24" t="s">
        <v>1334</v>
      </c>
      <c r="U119" s="53"/>
      <c r="V119" s="25" t="str">
        <f>IFERROR(VLOOKUP(BCP_Soles[[#This Row],[destinatario]],CHOOSE({1,2},Clientes_Proveedores[Razon Social],Clientes_Proveedores[Ruc / Dni]),2,0),"")</f>
        <v/>
      </c>
      <c r="W119" s="25"/>
      <c r="X119" s="25"/>
      <c r="Y119" s="25"/>
      <c r="Z119" s="75"/>
      <c r="AA119" s="3" t="str">
        <f>IF(BCP_Soles[[#This Row],[fecha]]&gt;0,TEXT(BCP_Soles[[#This Row],[fecha]],"mmmm"),0)</f>
        <v>Enero</v>
      </c>
    </row>
    <row r="120" spans="1:27" ht="48" x14ac:dyDescent="0.3">
      <c r="A120" s="2">
        <f>IF(BCP_Soles[[#This Row],[tipo_registro]]="R",COUNTIFS($C$1:$C119,"R")+1,A119)</f>
        <v>60</v>
      </c>
      <c r="B120" s="19" t="str">
        <f t="shared" si="11"/>
        <v>B-BCP - Soles</v>
      </c>
      <c r="C120" s="3" t="s">
        <v>1330</v>
      </c>
      <c r="D120" s="14">
        <v>45666</v>
      </c>
      <c r="E120" s="5" t="s">
        <v>1338</v>
      </c>
      <c r="F120" s="5" t="s">
        <v>1336</v>
      </c>
      <c r="G120" s="6" t="s">
        <v>368</v>
      </c>
      <c r="H120" s="6" t="s">
        <v>68</v>
      </c>
      <c r="I120" s="6" t="s">
        <v>1461</v>
      </c>
      <c r="J120" s="6">
        <v>1541</v>
      </c>
      <c r="K120" s="7" t="s">
        <v>1467</v>
      </c>
      <c r="L120" s="8">
        <v>1202152</v>
      </c>
      <c r="M120" s="8" t="str">
        <f t="shared" si="12"/>
        <v>PEN</v>
      </c>
      <c r="N120" s="13"/>
      <c r="O120" s="13">
        <v>4152.2</v>
      </c>
      <c r="P120" s="3">
        <f t="shared" si="13"/>
        <v>0</v>
      </c>
      <c r="Q120" s="3">
        <f t="shared" si="14"/>
        <v>4152.2</v>
      </c>
      <c r="R120" s="3">
        <f t="shared" si="10"/>
        <v>19838.72</v>
      </c>
      <c r="S120" s="24" t="s">
        <v>1334</v>
      </c>
      <c r="T120" s="24" t="s">
        <v>1334</v>
      </c>
      <c r="U120" s="53"/>
      <c r="V120" s="25">
        <f>IFERROR(VLOOKUP(BCP_Soles[[#This Row],[destinatario]],CHOOSE({1,2},Clientes_Proveedores[Razon Social],Clientes_Proveedores[Ruc / Dni]),2,0),"")</f>
        <v>20517932346</v>
      </c>
      <c r="W120" s="25" t="s">
        <v>1468</v>
      </c>
      <c r="X120" s="25" t="s">
        <v>1469</v>
      </c>
      <c r="Y120" s="25"/>
      <c r="Z120" s="75"/>
      <c r="AA120" s="3" t="str">
        <f>IF(BCP_Soles[[#This Row],[fecha]]&gt;0,TEXT(BCP_Soles[[#This Row],[fecha]],"mmmm"),0)</f>
        <v>Enero</v>
      </c>
    </row>
    <row r="121" spans="1:27" ht="24" x14ac:dyDescent="0.3">
      <c r="A121" s="2">
        <f>IF(BCP_Soles[[#This Row],[tipo_registro]]="R",COUNTIFS($C$1:$C120,"R")+1,A120)</f>
        <v>61</v>
      </c>
      <c r="B121" s="19" t="str">
        <f t="shared" si="11"/>
        <v>B-BCP - Soles</v>
      </c>
      <c r="C121" s="3" t="s">
        <v>1330</v>
      </c>
      <c r="D121" s="14">
        <v>45666</v>
      </c>
      <c r="E121" s="5" t="s">
        <v>1338</v>
      </c>
      <c r="F121" s="5" t="s">
        <v>1336</v>
      </c>
      <c r="G121" s="6" t="s">
        <v>866</v>
      </c>
      <c r="H121" s="6" t="s">
        <v>143</v>
      </c>
      <c r="I121" s="6">
        <v>1</v>
      </c>
      <c r="J121" s="6">
        <v>22025</v>
      </c>
      <c r="K121" s="7" t="s">
        <v>1470</v>
      </c>
      <c r="L121" s="8">
        <v>1245256</v>
      </c>
      <c r="M121" s="8" t="str">
        <f t="shared" si="12"/>
        <v>PEN</v>
      </c>
      <c r="N121" s="13"/>
      <c r="O121" s="13">
        <v>150</v>
      </c>
      <c r="P121" s="3">
        <f t="shared" si="13"/>
        <v>0</v>
      </c>
      <c r="Q121" s="3">
        <f t="shared" si="14"/>
        <v>150</v>
      </c>
      <c r="R121" s="3">
        <f t="shared" si="10"/>
        <v>19688.72</v>
      </c>
      <c r="S121" s="24" t="s">
        <v>1334</v>
      </c>
      <c r="T121" s="24" t="s">
        <v>1334</v>
      </c>
      <c r="U121" s="53"/>
      <c r="V121" s="25">
        <f>IFERROR(VLOOKUP(BCP_Soles[[#This Row],[destinatario]],CHOOSE({1,2},Clientes_Proveedores[Razon Social],Clientes_Proveedores[Ruc / Dni]),2,0),"")</f>
        <v>45921913</v>
      </c>
      <c r="W121" s="25"/>
      <c r="X121" s="25"/>
      <c r="Y121" s="25"/>
      <c r="Z121" s="75"/>
      <c r="AA121" s="3" t="str">
        <f>IF(BCP_Soles[[#This Row],[fecha]]&gt;0,TEXT(BCP_Soles[[#This Row],[fecha]],"mmmm"),0)</f>
        <v>Enero</v>
      </c>
    </row>
    <row r="122" spans="1:27" ht="24" x14ac:dyDescent="0.3">
      <c r="A122" s="2">
        <f>IF(BCP_Soles[[#This Row],[tipo_registro]]="R",COUNTIFS($C$1:$C121,"R")+1,A121)</f>
        <v>62</v>
      </c>
      <c r="B122" s="19" t="str">
        <f t="shared" si="11"/>
        <v>B-BCP - Soles</v>
      </c>
      <c r="C122" s="3" t="s">
        <v>1330</v>
      </c>
      <c r="D122" s="14">
        <v>45666</v>
      </c>
      <c r="E122" s="5" t="s">
        <v>1335</v>
      </c>
      <c r="F122" s="5" t="s">
        <v>1336</v>
      </c>
      <c r="G122" s="6" t="s">
        <v>1060</v>
      </c>
      <c r="H122" s="6" t="s">
        <v>68</v>
      </c>
      <c r="I122" s="6" t="s">
        <v>1397</v>
      </c>
      <c r="J122" s="6">
        <v>28275555</v>
      </c>
      <c r="K122" s="7" t="s">
        <v>1400</v>
      </c>
      <c r="L122" s="8">
        <v>536</v>
      </c>
      <c r="M122" s="8" t="str">
        <f t="shared" si="12"/>
        <v>PEN</v>
      </c>
      <c r="N122" s="13"/>
      <c r="O122" s="13">
        <v>3.5</v>
      </c>
      <c r="P122" s="3">
        <f t="shared" si="13"/>
        <v>0</v>
      </c>
      <c r="Q122" s="3">
        <f t="shared" si="14"/>
        <v>3.5</v>
      </c>
      <c r="R122" s="3">
        <f t="shared" si="10"/>
        <v>19685.22</v>
      </c>
      <c r="S122" s="24"/>
      <c r="T122" s="24" t="s">
        <v>1334</v>
      </c>
      <c r="U122" s="53"/>
      <c r="V122" s="25">
        <f>IFERROR(VLOOKUP(BCP_Soles[[#This Row],[destinatario]],CHOOSE({1,2},Clientes_Proveedores[Razon Social],Clientes_Proveedores[Ruc / Dni]),2,0),"")</f>
        <v>20100047218</v>
      </c>
      <c r="W122" s="25" t="s">
        <v>1335</v>
      </c>
      <c r="X122" s="25" t="s">
        <v>1471</v>
      </c>
      <c r="Y122" s="25"/>
      <c r="Z122" s="75"/>
      <c r="AA122" s="3" t="str">
        <f>IF(BCP_Soles[[#This Row],[fecha]]&gt;0,TEXT(BCP_Soles[[#This Row],[fecha]],"mmmm"),0)</f>
        <v>Enero</v>
      </c>
    </row>
    <row r="123" spans="1:27" x14ac:dyDescent="0.3">
      <c r="A123" s="2">
        <f>IF(BCP_Soles[[#This Row],[tipo_registro]]="R",COUNTIFS($C$1:$C122,"R")+1,A122)</f>
        <v>63</v>
      </c>
      <c r="B123" s="19" t="str">
        <f t="shared" si="11"/>
        <v>B-BCP - Soles</v>
      </c>
      <c r="C123" s="3" t="s">
        <v>1330</v>
      </c>
      <c r="D123" s="14">
        <v>45667</v>
      </c>
      <c r="E123" s="5" t="s">
        <v>1335</v>
      </c>
      <c r="F123" s="5" t="s">
        <v>1336</v>
      </c>
      <c r="G123" s="6"/>
      <c r="H123" s="6"/>
      <c r="I123" s="6"/>
      <c r="J123" s="6"/>
      <c r="K123" s="7" t="s">
        <v>1337</v>
      </c>
      <c r="L123" s="8"/>
      <c r="M123" s="8" t="str">
        <f t="shared" si="12"/>
        <v>PEN</v>
      </c>
      <c r="N123" s="13"/>
      <c r="O123" s="13">
        <v>0.65</v>
      </c>
      <c r="P123" s="3">
        <f t="shared" si="13"/>
        <v>0</v>
      </c>
      <c r="Q123" s="3">
        <f t="shared" si="14"/>
        <v>0.65</v>
      </c>
      <c r="R123" s="3">
        <f t="shared" si="10"/>
        <v>19684.57</v>
      </c>
      <c r="S123" s="24"/>
      <c r="T123" s="24" t="s">
        <v>1334</v>
      </c>
      <c r="U123" s="53"/>
      <c r="V123" s="25" t="str">
        <f>IFERROR(VLOOKUP(BCP_Soles[[#This Row],[destinatario]],CHOOSE({1,2},Clientes_Proveedores[Razon Social],Clientes_Proveedores[Ruc / Dni]),2,0),"")</f>
        <v/>
      </c>
      <c r="W123" s="25"/>
      <c r="X123" s="25"/>
      <c r="Y123" s="25"/>
      <c r="Z123" s="75"/>
      <c r="AA123" s="3" t="str">
        <f>IF(BCP_Soles[[#This Row],[fecha]]&gt;0,TEXT(BCP_Soles[[#This Row],[fecha]],"mmmm"),0)</f>
        <v>Enero</v>
      </c>
    </row>
    <row r="124" spans="1:27" x14ac:dyDescent="0.3">
      <c r="A124" s="2">
        <f>IF(BCP_Soles[[#This Row],[tipo_registro]]="R",COUNTIFS($C$1:$C123,"R")+1,A123)</f>
        <v>64</v>
      </c>
      <c r="B124" s="19" t="str">
        <f t="shared" si="11"/>
        <v>B-BCP - Soles</v>
      </c>
      <c r="C124" s="3" t="s">
        <v>1330</v>
      </c>
      <c r="D124" s="14">
        <v>45667</v>
      </c>
      <c r="E124" s="5" t="s">
        <v>1338</v>
      </c>
      <c r="F124" s="5" t="s">
        <v>1336</v>
      </c>
      <c r="G124" s="6"/>
      <c r="H124" s="6"/>
      <c r="I124" s="6"/>
      <c r="J124" s="6"/>
      <c r="K124" s="7" t="s">
        <v>1472</v>
      </c>
      <c r="L124" s="8">
        <v>361519</v>
      </c>
      <c r="M124" s="8" t="str">
        <f t="shared" si="12"/>
        <v>PEN</v>
      </c>
      <c r="N124" s="13"/>
      <c r="O124" s="13">
        <v>4619.6000000000004</v>
      </c>
      <c r="P124" s="3">
        <f t="shared" si="13"/>
        <v>0</v>
      </c>
      <c r="Q124" s="3">
        <f t="shared" si="14"/>
        <v>4619.6000000000004</v>
      </c>
      <c r="R124" s="3">
        <f t="shared" si="10"/>
        <v>15064.97</v>
      </c>
      <c r="S124" s="24" t="s">
        <v>1334</v>
      </c>
      <c r="T124" s="24" t="s">
        <v>1334</v>
      </c>
      <c r="U124" s="53"/>
      <c r="V124" s="25" t="str">
        <f>IFERROR(VLOOKUP(BCP_Soles[[#This Row],[destinatario]],CHOOSE({1,2},Clientes_Proveedores[Razon Social],Clientes_Proveedores[Ruc / Dni]),2,0),"")</f>
        <v/>
      </c>
      <c r="W124" s="25" t="s">
        <v>1373</v>
      </c>
      <c r="X124" s="25" t="s">
        <v>1452</v>
      </c>
      <c r="Y124" s="25"/>
      <c r="Z124" s="75"/>
      <c r="AA124" s="3" t="str">
        <f>IF(BCP_Soles[[#This Row],[fecha]]&gt;0,TEXT(BCP_Soles[[#This Row],[fecha]],"mmmm"),0)</f>
        <v>Enero</v>
      </c>
    </row>
    <row r="125" spans="1:27" ht="36" x14ac:dyDescent="0.3">
      <c r="A125" s="2">
        <f>IF(BCP_Soles[[#This Row],[tipo_registro]]="R",COUNTIFS($C$1:$C124,"R")+1,A124)</f>
        <v>64</v>
      </c>
      <c r="B125" s="19" t="str">
        <f t="shared" si="11"/>
        <v>B-BCP - Soles</v>
      </c>
      <c r="C125" s="3" t="s">
        <v>1352</v>
      </c>
      <c r="D125" s="14">
        <v>45667</v>
      </c>
      <c r="E125" s="5" t="s">
        <v>1338</v>
      </c>
      <c r="F125" s="5"/>
      <c r="G125" s="6" t="s">
        <v>474</v>
      </c>
      <c r="H125" s="6" t="s">
        <v>68</v>
      </c>
      <c r="I125" s="6" t="s">
        <v>1376</v>
      </c>
      <c r="J125" s="6">
        <v>687</v>
      </c>
      <c r="K125" s="7" t="s">
        <v>1472</v>
      </c>
      <c r="L125" s="8">
        <v>361519</v>
      </c>
      <c r="M125" s="8" t="str">
        <f t="shared" si="12"/>
        <v>PEN</v>
      </c>
      <c r="N125" s="13">
        <v>177</v>
      </c>
      <c r="O125" s="13"/>
      <c r="P125" s="3">
        <f t="shared" si="13"/>
        <v>0</v>
      </c>
      <c r="Q125" s="3">
        <f t="shared" si="14"/>
        <v>0</v>
      </c>
      <c r="R125" s="3">
        <f t="shared" si="10"/>
        <v>15064.97</v>
      </c>
      <c r="S125" s="24" t="s">
        <v>1334</v>
      </c>
      <c r="T125" s="24" t="s">
        <v>1334</v>
      </c>
      <c r="U125" s="53"/>
      <c r="V125" s="25">
        <f>IFERROR(VLOOKUP(BCP_Soles[[#This Row],[destinatario]],CHOOSE({1,2},Clientes_Proveedores[Razon Social],Clientes_Proveedores[Ruc / Dni]),2,0),"")</f>
        <v>20602075177</v>
      </c>
      <c r="W125" s="25"/>
      <c r="X125" s="25"/>
      <c r="Y125" s="25"/>
      <c r="Z125" s="75"/>
      <c r="AA125" s="3" t="str">
        <f>IF(BCP_Soles[[#This Row],[fecha]]&gt;0,TEXT(BCP_Soles[[#This Row],[fecha]],"mmmm"),0)</f>
        <v>Enero</v>
      </c>
    </row>
    <row r="126" spans="1:27" ht="36" x14ac:dyDescent="0.3">
      <c r="A126" s="2">
        <f>IF(BCP_Soles[[#This Row],[tipo_registro]]="R",COUNTIFS($C$1:$C125,"R")+1,A125)</f>
        <v>64</v>
      </c>
      <c r="B126" s="19" t="str">
        <f t="shared" si="11"/>
        <v>B-BCP - Soles</v>
      </c>
      <c r="C126" s="3" t="s">
        <v>1352</v>
      </c>
      <c r="D126" s="14">
        <v>45667</v>
      </c>
      <c r="E126" s="5" t="s">
        <v>1338</v>
      </c>
      <c r="F126" s="5"/>
      <c r="G126" s="6" t="s">
        <v>474</v>
      </c>
      <c r="H126" s="6" t="s">
        <v>68</v>
      </c>
      <c r="I126" s="6" t="s">
        <v>1376</v>
      </c>
      <c r="J126" s="6">
        <v>686</v>
      </c>
      <c r="K126" s="7" t="s">
        <v>1472</v>
      </c>
      <c r="L126" s="8">
        <v>361519</v>
      </c>
      <c r="M126" s="8" t="str">
        <f t="shared" si="12"/>
        <v>PEN</v>
      </c>
      <c r="N126" s="13">
        <v>672</v>
      </c>
      <c r="O126" s="13"/>
      <c r="P126" s="3">
        <f t="shared" si="13"/>
        <v>0</v>
      </c>
      <c r="Q126" s="3">
        <f t="shared" si="14"/>
        <v>0</v>
      </c>
      <c r="R126" s="3">
        <f t="shared" si="10"/>
        <v>15064.97</v>
      </c>
      <c r="S126" s="24" t="s">
        <v>1334</v>
      </c>
      <c r="T126" s="24" t="s">
        <v>1334</v>
      </c>
      <c r="U126" s="53"/>
      <c r="V126" s="25">
        <f>IFERROR(VLOOKUP(BCP_Soles[[#This Row],[destinatario]],CHOOSE({1,2},Clientes_Proveedores[Razon Social],Clientes_Proveedores[Ruc / Dni]),2,0),"")</f>
        <v>20602075177</v>
      </c>
      <c r="W126" s="25"/>
      <c r="X126" s="25"/>
      <c r="Y126" s="25"/>
      <c r="Z126" s="75"/>
      <c r="AA126" s="3" t="str">
        <f>IF(BCP_Soles[[#This Row],[fecha]]&gt;0,TEXT(BCP_Soles[[#This Row],[fecha]],"mmmm"),0)</f>
        <v>Enero</v>
      </c>
    </row>
    <row r="127" spans="1:27" ht="36" x14ac:dyDescent="0.3">
      <c r="A127" s="2">
        <f>IF(BCP_Soles[[#This Row],[tipo_registro]]="R",COUNTIFS($C$1:$C126,"R")+1,A126)</f>
        <v>64</v>
      </c>
      <c r="B127" s="19" t="str">
        <f t="shared" si="11"/>
        <v>B-BCP - Soles</v>
      </c>
      <c r="C127" s="3" t="s">
        <v>1352</v>
      </c>
      <c r="D127" s="14">
        <v>45667</v>
      </c>
      <c r="E127" s="5" t="s">
        <v>1338</v>
      </c>
      <c r="F127" s="5"/>
      <c r="G127" s="6" t="s">
        <v>474</v>
      </c>
      <c r="H127" s="6" t="s">
        <v>68</v>
      </c>
      <c r="I127" s="6" t="s">
        <v>1376</v>
      </c>
      <c r="J127" s="6">
        <v>683</v>
      </c>
      <c r="K127" s="7" t="s">
        <v>1472</v>
      </c>
      <c r="L127" s="8">
        <v>361519</v>
      </c>
      <c r="M127" s="8" t="str">
        <f t="shared" si="12"/>
        <v>PEN</v>
      </c>
      <c r="N127" s="13">
        <v>624</v>
      </c>
      <c r="O127" s="13"/>
      <c r="P127" s="3">
        <f t="shared" si="13"/>
        <v>0</v>
      </c>
      <c r="Q127" s="3">
        <f t="shared" si="14"/>
        <v>0</v>
      </c>
      <c r="R127" s="3">
        <f t="shared" si="10"/>
        <v>15064.97</v>
      </c>
      <c r="S127" s="24" t="s">
        <v>1334</v>
      </c>
      <c r="T127" s="24" t="s">
        <v>1334</v>
      </c>
      <c r="U127" s="53"/>
      <c r="V127" s="25">
        <f>IFERROR(VLOOKUP(BCP_Soles[[#This Row],[destinatario]],CHOOSE({1,2},Clientes_Proveedores[Razon Social],Clientes_Proveedores[Ruc / Dni]),2,0),"")</f>
        <v>20602075177</v>
      </c>
      <c r="W127" s="25"/>
      <c r="X127" s="25"/>
      <c r="Y127" s="25"/>
      <c r="Z127" s="75"/>
      <c r="AA127" s="3" t="str">
        <f>IF(BCP_Soles[[#This Row],[fecha]]&gt;0,TEXT(BCP_Soles[[#This Row],[fecha]],"mmmm"),0)</f>
        <v>Enero</v>
      </c>
    </row>
    <row r="128" spans="1:27" x14ac:dyDescent="0.3">
      <c r="A128" s="2">
        <f>IF(BCP_Soles[[#This Row],[tipo_registro]]="R",COUNTIFS($C$1:$C127,"R")+1,A127)</f>
        <v>64</v>
      </c>
      <c r="B128" s="19" t="str">
        <f t="shared" si="11"/>
        <v>B-BCP - Soles</v>
      </c>
      <c r="C128" s="3" t="s">
        <v>1352</v>
      </c>
      <c r="D128" s="14">
        <v>45667</v>
      </c>
      <c r="E128" s="5" t="s">
        <v>1338</v>
      </c>
      <c r="F128" s="5"/>
      <c r="G128" s="6" t="s">
        <v>522</v>
      </c>
      <c r="H128" s="6" t="s">
        <v>68</v>
      </c>
      <c r="I128" s="6" t="s">
        <v>1376</v>
      </c>
      <c r="J128" s="6">
        <v>3619</v>
      </c>
      <c r="K128" s="7" t="s">
        <v>1472</v>
      </c>
      <c r="L128" s="8">
        <v>361519</v>
      </c>
      <c r="M128" s="8" t="str">
        <f t="shared" si="12"/>
        <v>PEN</v>
      </c>
      <c r="N128" s="13">
        <v>150.44999999999999</v>
      </c>
      <c r="O128" s="13"/>
      <c r="P128" s="3">
        <f t="shared" si="13"/>
        <v>0</v>
      </c>
      <c r="Q128" s="3">
        <f t="shared" si="14"/>
        <v>0</v>
      </c>
      <c r="R128" s="3">
        <f t="shared" si="10"/>
        <v>15064.97</v>
      </c>
      <c r="S128" s="24" t="s">
        <v>1334</v>
      </c>
      <c r="T128" s="24" t="s">
        <v>1334</v>
      </c>
      <c r="U128" s="53"/>
      <c r="V128" s="25">
        <f>IFERROR(VLOOKUP(BCP_Soles[[#This Row],[destinatario]],CHOOSE({1,2},Clientes_Proveedores[Razon Social],Clientes_Proveedores[Ruc / Dni]),2,0),"")</f>
        <v>20603974817</v>
      </c>
      <c r="W128" s="25"/>
      <c r="X128" s="25"/>
      <c r="Y128" s="25"/>
      <c r="Z128" s="75"/>
      <c r="AA128" s="3" t="str">
        <f>IF(BCP_Soles[[#This Row],[fecha]]&gt;0,TEXT(BCP_Soles[[#This Row],[fecha]],"mmmm"),0)</f>
        <v>Enero</v>
      </c>
    </row>
    <row r="129" spans="1:27" x14ac:dyDescent="0.3">
      <c r="A129" s="2">
        <f>IF(BCP_Soles[[#This Row],[tipo_registro]]="R",COUNTIFS($C$1:$C128,"R")+1,A128)</f>
        <v>64</v>
      </c>
      <c r="B129" s="19" t="str">
        <f t="shared" si="11"/>
        <v>B-BCP - Soles</v>
      </c>
      <c r="C129" s="3" t="s">
        <v>1352</v>
      </c>
      <c r="D129" s="14">
        <v>45667</v>
      </c>
      <c r="E129" s="5" t="s">
        <v>1338</v>
      </c>
      <c r="F129" s="5"/>
      <c r="G129" s="6" t="s">
        <v>522</v>
      </c>
      <c r="H129" s="6" t="s">
        <v>68</v>
      </c>
      <c r="I129" s="6" t="s">
        <v>1376</v>
      </c>
      <c r="J129" s="6">
        <v>3625</v>
      </c>
      <c r="K129" s="7" t="s">
        <v>1472</v>
      </c>
      <c r="L129" s="8">
        <v>361519</v>
      </c>
      <c r="M129" s="8" t="str">
        <f t="shared" si="12"/>
        <v>PEN</v>
      </c>
      <c r="N129" s="13">
        <v>351.05</v>
      </c>
      <c r="O129" s="13"/>
      <c r="P129" s="3">
        <f t="shared" si="13"/>
        <v>0</v>
      </c>
      <c r="Q129" s="3">
        <f t="shared" si="14"/>
        <v>0</v>
      </c>
      <c r="R129" s="3">
        <f t="shared" si="10"/>
        <v>15064.97</v>
      </c>
      <c r="S129" s="24" t="s">
        <v>1334</v>
      </c>
      <c r="T129" s="24" t="s">
        <v>1334</v>
      </c>
      <c r="U129" s="53"/>
      <c r="V129" s="25">
        <f>IFERROR(VLOOKUP(BCP_Soles[[#This Row],[destinatario]],CHOOSE({1,2},Clientes_Proveedores[Razon Social],Clientes_Proveedores[Ruc / Dni]),2,0),"")</f>
        <v>20603974817</v>
      </c>
      <c r="W129" s="25"/>
      <c r="X129" s="25"/>
      <c r="Y129" s="25"/>
      <c r="Z129" s="75"/>
      <c r="AA129" s="3" t="str">
        <f>IF(BCP_Soles[[#This Row],[fecha]]&gt;0,TEXT(BCP_Soles[[#This Row],[fecha]],"mmmm"),0)</f>
        <v>Enero</v>
      </c>
    </row>
    <row r="130" spans="1:27" x14ac:dyDescent="0.3">
      <c r="A130" s="2">
        <f>IF(BCP_Soles[[#This Row],[tipo_registro]]="R",COUNTIFS($C$1:$C129,"R")+1,A129)</f>
        <v>64</v>
      </c>
      <c r="B130" s="19" t="str">
        <f t="shared" si="11"/>
        <v>B-BCP - Soles</v>
      </c>
      <c r="C130" s="3" t="s">
        <v>1352</v>
      </c>
      <c r="D130" s="14">
        <v>45667</v>
      </c>
      <c r="E130" s="5" t="s">
        <v>1338</v>
      </c>
      <c r="F130" s="5"/>
      <c r="G130" s="6" t="s">
        <v>522</v>
      </c>
      <c r="H130" s="6" t="s">
        <v>68</v>
      </c>
      <c r="I130" s="6" t="s">
        <v>1376</v>
      </c>
      <c r="J130" s="6">
        <v>3630</v>
      </c>
      <c r="K130" s="7" t="s">
        <v>1472</v>
      </c>
      <c r="L130" s="8">
        <v>361519</v>
      </c>
      <c r="M130" s="8" t="str">
        <f t="shared" si="12"/>
        <v>PEN</v>
      </c>
      <c r="N130" s="13">
        <v>767.55</v>
      </c>
      <c r="O130" s="13"/>
      <c r="P130" s="3">
        <f t="shared" si="13"/>
        <v>0</v>
      </c>
      <c r="Q130" s="3">
        <f t="shared" si="14"/>
        <v>0</v>
      </c>
      <c r="R130" s="3">
        <f t="shared" ref="R130:R193" si="15">IFERROR(IF(F130="SALDO",P130,R129+P130-Q130),0)</f>
        <v>15064.97</v>
      </c>
      <c r="S130" s="24" t="s">
        <v>1334</v>
      </c>
      <c r="T130" s="24" t="s">
        <v>1334</v>
      </c>
      <c r="U130" s="53"/>
      <c r="V130" s="25">
        <f>IFERROR(VLOOKUP(BCP_Soles[[#This Row],[destinatario]],CHOOSE({1,2},Clientes_Proveedores[Razon Social],Clientes_Proveedores[Ruc / Dni]),2,0),"")</f>
        <v>20603974817</v>
      </c>
      <c r="W130" s="25"/>
      <c r="X130" s="25"/>
      <c r="Y130" s="25"/>
      <c r="Z130" s="75"/>
      <c r="AA130" s="3" t="str">
        <f>IF(BCP_Soles[[#This Row],[fecha]]&gt;0,TEXT(BCP_Soles[[#This Row],[fecha]],"mmmm"),0)</f>
        <v>Enero</v>
      </c>
    </row>
    <row r="131" spans="1:27" x14ac:dyDescent="0.3">
      <c r="A131" s="2">
        <f>IF(BCP_Soles[[#This Row],[tipo_registro]]="R",COUNTIFS($C$1:$C130,"R")+1,A130)</f>
        <v>64</v>
      </c>
      <c r="B131" s="19" t="str">
        <f t="shared" si="11"/>
        <v>B-BCP - Soles</v>
      </c>
      <c r="C131" s="3" t="s">
        <v>1352</v>
      </c>
      <c r="D131" s="14">
        <v>45667</v>
      </c>
      <c r="E131" s="5" t="s">
        <v>1338</v>
      </c>
      <c r="F131" s="5"/>
      <c r="G131" s="6" t="s">
        <v>522</v>
      </c>
      <c r="H131" s="6" t="s">
        <v>68</v>
      </c>
      <c r="I131" s="6" t="s">
        <v>1376</v>
      </c>
      <c r="J131" s="6">
        <v>3629</v>
      </c>
      <c r="K131" s="7" t="s">
        <v>1472</v>
      </c>
      <c r="L131" s="8">
        <v>361519</v>
      </c>
      <c r="M131" s="8" t="str">
        <f t="shared" si="12"/>
        <v>PEN</v>
      </c>
      <c r="N131" s="13">
        <v>767.55</v>
      </c>
      <c r="O131" s="13"/>
      <c r="P131" s="3">
        <f t="shared" si="13"/>
        <v>0</v>
      </c>
      <c r="Q131" s="3">
        <f t="shared" si="14"/>
        <v>0</v>
      </c>
      <c r="R131" s="3">
        <f t="shared" si="15"/>
        <v>15064.97</v>
      </c>
      <c r="S131" s="24" t="s">
        <v>1334</v>
      </c>
      <c r="T131" s="24" t="s">
        <v>1334</v>
      </c>
      <c r="U131" s="53"/>
      <c r="V131" s="25">
        <f>IFERROR(VLOOKUP(BCP_Soles[[#This Row],[destinatario]],CHOOSE({1,2},Clientes_Proveedores[Razon Social],Clientes_Proveedores[Ruc / Dni]),2,0),"")</f>
        <v>20603974817</v>
      </c>
      <c r="W131" s="25"/>
      <c r="X131" s="25"/>
      <c r="Y131" s="25"/>
      <c r="Z131" s="75"/>
      <c r="AA131" s="3" t="str">
        <f>IF(BCP_Soles[[#This Row],[fecha]]&gt;0,TEXT(BCP_Soles[[#This Row],[fecha]],"mmmm"),0)</f>
        <v>Enero</v>
      </c>
    </row>
    <row r="132" spans="1:27" ht="36" x14ac:dyDescent="0.3">
      <c r="A132" s="2">
        <f>IF(BCP_Soles[[#This Row],[tipo_registro]]="R",COUNTIFS($C$1:$C131,"R")+1,A131)</f>
        <v>64</v>
      </c>
      <c r="B132" s="19" t="str">
        <f t="shared" ref="B132:B195" si="16">"B-BCP - Soles"</f>
        <v>B-BCP - Soles</v>
      </c>
      <c r="C132" s="3" t="s">
        <v>1352</v>
      </c>
      <c r="D132" s="14">
        <v>45667</v>
      </c>
      <c r="E132" s="5" t="s">
        <v>1338</v>
      </c>
      <c r="F132" s="5"/>
      <c r="G132" s="6" t="s">
        <v>325</v>
      </c>
      <c r="H132" s="6" t="s">
        <v>68</v>
      </c>
      <c r="I132" s="6" t="s">
        <v>1376</v>
      </c>
      <c r="J132" s="6">
        <v>4211</v>
      </c>
      <c r="K132" s="7" t="s">
        <v>1472</v>
      </c>
      <c r="L132" s="8">
        <v>361519</v>
      </c>
      <c r="M132" s="8" t="str">
        <f t="shared" ref="M132:M195" si="17">"PEN"</f>
        <v>PEN</v>
      </c>
      <c r="N132" s="13">
        <v>510</v>
      </c>
      <c r="O132" s="13"/>
      <c r="P132" s="3">
        <f t="shared" ref="P132:P195" si="18">+IF(OR($F132="SALDO",$F132="INGRESO"),$O132,0)</f>
        <v>0</v>
      </c>
      <c r="Q132" s="3">
        <f t="shared" ref="Q132:Q195" si="19">+IF($F132="EGRESO",$O132,0)</f>
        <v>0</v>
      </c>
      <c r="R132" s="3">
        <f t="shared" si="15"/>
        <v>15064.97</v>
      </c>
      <c r="S132" s="24" t="s">
        <v>1334</v>
      </c>
      <c r="T132" s="24" t="s">
        <v>1334</v>
      </c>
      <c r="U132" s="53"/>
      <c r="V132" s="25">
        <f>IFERROR(VLOOKUP(BCP_Soles[[#This Row],[destinatario]],CHOOSE({1,2},Clientes_Proveedores[Razon Social],Clientes_Proveedores[Ruc / Dni]),2,0),"")</f>
        <v>20497262101</v>
      </c>
      <c r="W132" s="25"/>
      <c r="X132" s="25"/>
      <c r="Y132" s="25"/>
      <c r="Z132" s="75"/>
      <c r="AA132" s="3" t="str">
        <f>IF(BCP_Soles[[#This Row],[fecha]]&gt;0,TEXT(BCP_Soles[[#This Row],[fecha]],"mmmm"),0)</f>
        <v>Enero</v>
      </c>
    </row>
    <row r="133" spans="1:27" ht="24" x14ac:dyDescent="0.3">
      <c r="A133" s="2">
        <f>IF(BCP_Soles[[#This Row],[tipo_registro]]="R",COUNTIFS($C$1:$C132,"R")+1,A132)</f>
        <v>64</v>
      </c>
      <c r="B133" s="19" t="str">
        <f t="shared" si="16"/>
        <v>B-BCP - Soles</v>
      </c>
      <c r="C133" s="3" t="s">
        <v>1352</v>
      </c>
      <c r="D133" s="14">
        <v>45667</v>
      </c>
      <c r="E133" s="5" t="s">
        <v>1338</v>
      </c>
      <c r="F133" s="5"/>
      <c r="G133" s="6" t="s">
        <v>176</v>
      </c>
      <c r="H133" s="6" t="s">
        <v>68</v>
      </c>
      <c r="I133" s="6" t="s">
        <v>1376</v>
      </c>
      <c r="J133" s="6">
        <v>347</v>
      </c>
      <c r="K133" s="7" t="s">
        <v>1472</v>
      </c>
      <c r="L133" s="8">
        <v>361519</v>
      </c>
      <c r="M133" s="8" t="str">
        <f t="shared" si="17"/>
        <v>PEN</v>
      </c>
      <c r="N133" s="13">
        <v>510</v>
      </c>
      <c r="O133" s="13"/>
      <c r="P133" s="3">
        <f t="shared" si="18"/>
        <v>0</v>
      </c>
      <c r="Q133" s="3">
        <f t="shared" si="19"/>
        <v>0</v>
      </c>
      <c r="R133" s="3">
        <f t="shared" si="15"/>
        <v>15064.97</v>
      </c>
      <c r="S133" s="24" t="s">
        <v>1334</v>
      </c>
      <c r="T133" s="24" t="s">
        <v>1334</v>
      </c>
      <c r="U133" s="53"/>
      <c r="V133" s="25">
        <f>IFERROR(VLOOKUP(BCP_Soles[[#This Row],[destinatario]],CHOOSE({1,2},Clientes_Proveedores[Razon Social],Clientes_Proveedores[Ruc / Dni]),2,0),"")</f>
        <v>10470065147</v>
      </c>
      <c r="W133" s="25"/>
      <c r="X133" s="25"/>
      <c r="Y133" s="25"/>
      <c r="Z133" s="75"/>
      <c r="AA133" s="3" t="str">
        <f>IF(BCP_Soles[[#This Row],[fecha]]&gt;0,TEXT(BCP_Soles[[#This Row],[fecha]],"mmmm"),0)</f>
        <v>Enero</v>
      </c>
    </row>
    <row r="134" spans="1:27" ht="24" x14ac:dyDescent="0.3">
      <c r="A134" s="2">
        <f>IF(BCP_Soles[[#This Row],[tipo_registro]]="R",COUNTIFS($C$1:$C133,"R")+1,A133)</f>
        <v>64</v>
      </c>
      <c r="B134" s="19" t="str">
        <f t="shared" si="16"/>
        <v>B-BCP - Soles</v>
      </c>
      <c r="C134" s="3" t="s">
        <v>1352</v>
      </c>
      <c r="D134" s="14">
        <v>45667</v>
      </c>
      <c r="E134" s="5" t="s">
        <v>1338</v>
      </c>
      <c r="F134" s="5"/>
      <c r="G134" s="6" t="s">
        <v>187</v>
      </c>
      <c r="H134" s="6" t="s">
        <v>68</v>
      </c>
      <c r="I134" s="6" t="s">
        <v>1376</v>
      </c>
      <c r="J134" s="6">
        <v>162</v>
      </c>
      <c r="K134" s="7" t="s">
        <v>1472</v>
      </c>
      <c r="L134" s="8">
        <v>361519</v>
      </c>
      <c r="M134" s="8" t="str">
        <f t="shared" si="17"/>
        <v>PEN</v>
      </c>
      <c r="N134" s="13">
        <v>90</v>
      </c>
      <c r="O134" s="13"/>
      <c r="P134" s="3">
        <f t="shared" si="18"/>
        <v>0</v>
      </c>
      <c r="Q134" s="3">
        <f t="shared" si="19"/>
        <v>0</v>
      </c>
      <c r="R134" s="3">
        <f t="shared" si="15"/>
        <v>15064.97</v>
      </c>
      <c r="S134" s="24" t="s">
        <v>1334</v>
      </c>
      <c r="T134" s="24" t="s">
        <v>1334</v>
      </c>
      <c r="U134" s="53"/>
      <c r="V134" s="25">
        <f>IFERROR(VLOOKUP(BCP_Soles[[#This Row],[destinatario]],CHOOSE({1,2},Clientes_Proveedores[Razon Social],Clientes_Proveedores[Ruc / Dni]),2,0),"")</f>
        <v>10706063426</v>
      </c>
      <c r="W134" s="25"/>
      <c r="X134" s="25"/>
      <c r="Y134" s="25"/>
      <c r="Z134" s="75"/>
      <c r="AA134" s="3" t="str">
        <f>IF(BCP_Soles[[#This Row],[fecha]]&gt;0,TEXT(BCP_Soles[[#This Row],[fecha]],"mmmm"),0)</f>
        <v>Enero</v>
      </c>
    </row>
    <row r="135" spans="1:27" ht="24" x14ac:dyDescent="0.3">
      <c r="A135" s="2">
        <f>IF(BCP_Soles[[#This Row],[tipo_registro]]="R",COUNTIFS($C$1:$C134,"R")+1,A134)</f>
        <v>65</v>
      </c>
      <c r="B135" s="19" t="str">
        <f t="shared" si="16"/>
        <v>B-BCP - Soles</v>
      </c>
      <c r="C135" s="3" t="s">
        <v>1330</v>
      </c>
      <c r="D135" s="14">
        <v>45667</v>
      </c>
      <c r="E135" s="5" t="s">
        <v>1416</v>
      </c>
      <c r="F135" s="5" t="s">
        <v>1336</v>
      </c>
      <c r="G135" s="6" t="s">
        <v>946</v>
      </c>
      <c r="H135" s="6"/>
      <c r="I135" s="6"/>
      <c r="J135" s="6"/>
      <c r="K135" s="7" t="s">
        <v>1473</v>
      </c>
      <c r="L135" s="8">
        <v>1198794</v>
      </c>
      <c r="M135" s="8" t="str">
        <f t="shared" si="17"/>
        <v>PEN</v>
      </c>
      <c r="N135" s="13"/>
      <c r="O135" s="13">
        <v>1666.85</v>
      </c>
      <c r="P135" s="3">
        <f t="shared" si="18"/>
        <v>0</v>
      </c>
      <c r="Q135" s="3">
        <f t="shared" si="19"/>
        <v>1666.85</v>
      </c>
      <c r="R135" s="3">
        <f t="shared" si="15"/>
        <v>13398.119999999999</v>
      </c>
      <c r="S135" s="24" t="s">
        <v>1334</v>
      </c>
      <c r="T135" s="24" t="s">
        <v>1334</v>
      </c>
      <c r="U135" s="53"/>
      <c r="V135" s="25">
        <f>IFERROR(VLOOKUP(BCP_Soles[[#This Row],[destinatario]],CHOOSE({1,2},Clientes_Proveedores[Razon Social],Clientes_Proveedores[Ruc / Dni]),2,0),"")</f>
        <v>74392568</v>
      </c>
      <c r="W135" s="25" t="s">
        <v>1474</v>
      </c>
      <c r="X135" s="25"/>
      <c r="Y135" s="25"/>
      <c r="Z135" s="75"/>
      <c r="AA135" s="3" t="str">
        <f>IF(BCP_Soles[[#This Row],[fecha]]&gt;0,TEXT(BCP_Soles[[#This Row],[fecha]],"mmmm"),0)</f>
        <v>Enero</v>
      </c>
    </row>
    <row r="136" spans="1:27" ht="24" x14ac:dyDescent="0.3">
      <c r="A136" s="2">
        <f>IF(BCP_Soles[[#This Row],[tipo_registro]]="R",COUNTIFS($C$1:$C135,"R")+1,A135)</f>
        <v>66</v>
      </c>
      <c r="B136" s="19" t="str">
        <f t="shared" si="16"/>
        <v>B-BCP - Soles</v>
      </c>
      <c r="C136" s="3" t="s">
        <v>1330</v>
      </c>
      <c r="D136" s="14">
        <v>45667</v>
      </c>
      <c r="E136" s="5" t="s">
        <v>1416</v>
      </c>
      <c r="F136" s="5" t="s">
        <v>1336</v>
      </c>
      <c r="G136" s="6" t="s">
        <v>944</v>
      </c>
      <c r="H136" s="6"/>
      <c r="I136" s="6"/>
      <c r="J136" s="6"/>
      <c r="K136" s="7" t="s">
        <v>1475</v>
      </c>
      <c r="L136" s="8">
        <v>1265690</v>
      </c>
      <c r="M136" s="8" t="str">
        <f t="shared" si="17"/>
        <v>PEN</v>
      </c>
      <c r="N136" s="13"/>
      <c r="O136" s="13">
        <v>1506.3</v>
      </c>
      <c r="P136" s="3">
        <f t="shared" si="18"/>
        <v>0</v>
      </c>
      <c r="Q136" s="3">
        <f t="shared" si="19"/>
        <v>1506.3</v>
      </c>
      <c r="R136" s="3">
        <f t="shared" si="15"/>
        <v>11891.82</v>
      </c>
      <c r="S136" s="24" t="s">
        <v>1334</v>
      </c>
      <c r="T136" s="24" t="s">
        <v>1334</v>
      </c>
      <c r="U136" s="53"/>
      <c r="V136" s="25">
        <f>IFERROR(VLOOKUP(BCP_Soles[[#This Row],[destinatario]],CHOOSE({1,2},Clientes_Proveedores[Razon Social],Clientes_Proveedores[Ruc / Dni]),2,0),"")</f>
        <v>76393011</v>
      </c>
      <c r="W136" s="25" t="s">
        <v>944</v>
      </c>
      <c r="X136" s="25"/>
      <c r="Y136" s="25"/>
      <c r="Z136" s="75"/>
      <c r="AA136" s="3" t="str">
        <f>IF(BCP_Soles[[#This Row],[fecha]]&gt;0,TEXT(BCP_Soles[[#This Row],[fecha]],"mmmm"),0)</f>
        <v>Enero</v>
      </c>
    </row>
    <row r="137" spans="1:27" ht="24" x14ac:dyDescent="0.3">
      <c r="A137" s="2">
        <f>IF(BCP_Soles[[#This Row],[tipo_registro]]="R",COUNTIFS($C$1:$C136,"R")+1,A136)</f>
        <v>67</v>
      </c>
      <c r="B137" s="19" t="str">
        <f t="shared" si="16"/>
        <v>B-BCP - Soles</v>
      </c>
      <c r="C137" s="3" t="s">
        <v>1330</v>
      </c>
      <c r="D137" s="14">
        <v>45667</v>
      </c>
      <c r="E137" s="5" t="s">
        <v>1338</v>
      </c>
      <c r="F137" s="5" t="s">
        <v>1336</v>
      </c>
      <c r="G137" s="6" t="s">
        <v>249</v>
      </c>
      <c r="H137" s="6"/>
      <c r="I137" s="6"/>
      <c r="J137" s="6"/>
      <c r="K137" s="7" t="s">
        <v>1476</v>
      </c>
      <c r="L137" s="8">
        <v>1203818</v>
      </c>
      <c r="M137" s="8" t="str">
        <f t="shared" si="17"/>
        <v>PEN</v>
      </c>
      <c r="N137" s="13"/>
      <c r="O137" s="13">
        <v>590.82000000000005</v>
      </c>
      <c r="P137" s="3">
        <f t="shared" si="18"/>
        <v>0</v>
      </c>
      <c r="Q137" s="3">
        <f t="shared" si="19"/>
        <v>590.82000000000005</v>
      </c>
      <c r="R137" s="3">
        <f t="shared" si="15"/>
        <v>11301</v>
      </c>
      <c r="S137" s="24"/>
      <c r="T137" s="24"/>
      <c r="U137" s="53"/>
      <c r="V137" s="25">
        <f>IFERROR(VLOOKUP(BCP_Soles[[#This Row],[destinatario]],CHOOSE({1,2},Clientes_Proveedores[Razon Social],Clientes_Proveedores[Ruc / Dni]),2,0),"")</f>
        <v>20302891452</v>
      </c>
      <c r="W137" s="25" t="s">
        <v>249</v>
      </c>
      <c r="X137" s="25"/>
      <c r="Y137" s="25"/>
      <c r="Z137" s="75"/>
      <c r="AA137" s="3" t="str">
        <f>IF(BCP_Soles[[#This Row],[fecha]]&gt;0,TEXT(BCP_Soles[[#This Row],[fecha]],"mmmm"),0)</f>
        <v>Enero</v>
      </c>
    </row>
    <row r="138" spans="1:27" ht="24" x14ac:dyDescent="0.3">
      <c r="A138" s="2">
        <f>IF(BCP_Soles[[#This Row],[tipo_registro]]="R",COUNTIFS($C$1:$C137,"R")+1,A137)</f>
        <v>68</v>
      </c>
      <c r="B138" s="19" t="str">
        <f t="shared" si="16"/>
        <v>B-BCP - Soles</v>
      </c>
      <c r="C138" s="3" t="s">
        <v>1330</v>
      </c>
      <c r="D138" s="14">
        <v>45667</v>
      </c>
      <c r="E138" s="5" t="s">
        <v>1338</v>
      </c>
      <c r="F138" s="5" t="s">
        <v>1336</v>
      </c>
      <c r="G138" s="6" t="s">
        <v>710</v>
      </c>
      <c r="H138" s="6" t="s">
        <v>106</v>
      </c>
      <c r="I138" s="6">
        <v>1</v>
      </c>
      <c r="J138" s="6">
        <v>57939153</v>
      </c>
      <c r="K138" s="7" t="s">
        <v>1477</v>
      </c>
      <c r="L138" s="8">
        <v>139400</v>
      </c>
      <c r="M138" s="8" t="str">
        <f t="shared" si="17"/>
        <v>PEN</v>
      </c>
      <c r="N138" s="13"/>
      <c r="O138" s="13">
        <v>323.10000000000002</v>
      </c>
      <c r="P138" s="3">
        <f t="shared" si="18"/>
        <v>0</v>
      </c>
      <c r="Q138" s="3">
        <f t="shared" si="19"/>
        <v>323.10000000000002</v>
      </c>
      <c r="R138" s="3">
        <f t="shared" si="15"/>
        <v>10977.9</v>
      </c>
      <c r="S138" s="24" t="s">
        <v>1334</v>
      </c>
      <c r="T138" s="24"/>
      <c r="U138" s="53"/>
      <c r="V138" s="25">
        <f>IFERROR(VLOOKUP(BCP_Soles[[#This Row],[destinatario]],CHOOSE({1,2},Clientes_Proveedores[Razon Social],Clientes_Proveedores[Ruc / Dni]),2,0),"")</f>
        <v>20100211034</v>
      </c>
      <c r="W138" s="25" t="s">
        <v>1478</v>
      </c>
      <c r="X138" s="25" t="s">
        <v>1479</v>
      </c>
      <c r="Y138" s="25"/>
      <c r="Z138" s="75"/>
      <c r="AA138" s="3" t="str">
        <f>IF(BCP_Soles[[#This Row],[fecha]]&gt;0,TEXT(BCP_Soles[[#This Row],[fecha]],"mmmm"),0)</f>
        <v>Enero</v>
      </c>
    </row>
    <row r="139" spans="1:27" x14ac:dyDescent="0.3">
      <c r="A139" s="2">
        <f>IF(BCP_Soles[[#This Row],[tipo_registro]]="R",COUNTIFS($C$1:$C138,"R")+1,A138)</f>
        <v>69</v>
      </c>
      <c r="B139" s="19" t="str">
        <f t="shared" si="16"/>
        <v>B-BCP - Soles</v>
      </c>
      <c r="C139" s="3" t="s">
        <v>1330</v>
      </c>
      <c r="D139" s="14">
        <v>45667</v>
      </c>
      <c r="E139" s="5" t="s">
        <v>1338</v>
      </c>
      <c r="F139" s="5" t="s">
        <v>1336</v>
      </c>
      <c r="G139" s="6" t="s">
        <v>407</v>
      </c>
      <c r="H139" s="6" t="s">
        <v>68</v>
      </c>
      <c r="I139" s="6" t="s">
        <v>1480</v>
      </c>
      <c r="J139" s="6">
        <v>201212</v>
      </c>
      <c r="K139" s="7" t="s">
        <v>1481</v>
      </c>
      <c r="L139" s="8">
        <v>212805</v>
      </c>
      <c r="M139" s="8" t="str">
        <f t="shared" si="17"/>
        <v>PEN</v>
      </c>
      <c r="N139" s="13"/>
      <c r="O139" s="13">
        <v>196.52</v>
      </c>
      <c r="P139" s="3">
        <f t="shared" si="18"/>
        <v>0</v>
      </c>
      <c r="Q139" s="3">
        <f t="shared" si="19"/>
        <v>196.52</v>
      </c>
      <c r="R139" s="3">
        <f t="shared" si="15"/>
        <v>10781.38</v>
      </c>
      <c r="S139" s="24" t="s">
        <v>1334</v>
      </c>
      <c r="T139" s="24" t="s">
        <v>1334</v>
      </c>
      <c r="U139" s="53"/>
      <c r="V139" s="25">
        <f>IFERROR(VLOOKUP(BCP_Soles[[#This Row],[destinatario]],CHOOSE({1,2},Clientes_Proveedores[Razon Social],Clientes_Proveedores[Ruc / Dni]),2,0),"")</f>
        <v>20549068201</v>
      </c>
      <c r="W139" s="25" t="s">
        <v>1482</v>
      </c>
      <c r="X139" s="25" t="s">
        <v>1483</v>
      </c>
      <c r="Y139" s="25"/>
      <c r="Z139" s="75"/>
      <c r="AA139" s="3" t="str">
        <f>IF(BCP_Soles[[#This Row],[fecha]]&gt;0,TEXT(BCP_Soles[[#This Row],[fecha]],"mmmm"),0)</f>
        <v>Enero</v>
      </c>
    </row>
    <row r="140" spans="1:27" ht="24" x14ac:dyDescent="0.3">
      <c r="A140" s="2">
        <f>IF(BCP_Soles[[#This Row],[tipo_registro]]="R",COUNTIFS($C$1:$C139,"R")+1,A139)</f>
        <v>70</v>
      </c>
      <c r="B140" s="19" t="str">
        <f t="shared" si="16"/>
        <v>B-BCP - Soles</v>
      </c>
      <c r="C140" s="3" t="s">
        <v>1330</v>
      </c>
      <c r="D140" s="14">
        <v>45667</v>
      </c>
      <c r="E140" s="5" t="s">
        <v>1338</v>
      </c>
      <c r="F140" s="5" t="s">
        <v>1336</v>
      </c>
      <c r="G140" s="6" t="s">
        <v>703</v>
      </c>
      <c r="H140" s="6" t="s">
        <v>106</v>
      </c>
      <c r="I140" s="6" t="s">
        <v>1484</v>
      </c>
      <c r="J140" s="6">
        <v>28197936</v>
      </c>
      <c r="K140" s="7" t="s">
        <v>1485</v>
      </c>
      <c r="L140" s="8">
        <v>176351</v>
      </c>
      <c r="M140" s="8" t="str">
        <f t="shared" si="17"/>
        <v>PEN</v>
      </c>
      <c r="N140" s="13"/>
      <c r="O140" s="13">
        <v>112.3</v>
      </c>
      <c r="P140" s="3">
        <f t="shared" si="18"/>
        <v>0</v>
      </c>
      <c r="Q140" s="3">
        <f t="shared" si="19"/>
        <v>112.3</v>
      </c>
      <c r="R140" s="3">
        <f t="shared" si="15"/>
        <v>10669.08</v>
      </c>
      <c r="S140" s="24" t="s">
        <v>1334</v>
      </c>
      <c r="T140" s="24" t="s">
        <v>1334</v>
      </c>
      <c r="U140" s="53"/>
      <c r="V140" s="25">
        <f>IFERROR(VLOOKUP(BCP_Soles[[#This Row],[destinatario]],CHOOSE({1,2},Clientes_Proveedores[Razon Social],Clientes_Proveedores[Ruc / Dni]),2,0),"")</f>
        <v>20100188628</v>
      </c>
      <c r="W140" s="25" t="s">
        <v>1486</v>
      </c>
      <c r="X140" s="25" t="s">
        <v>1487</v>
      </c>
      <c r="Y140" s="25"/>
      <c r="Z140" s="75"/>
      <c r="AA140" s="3" t="str">
        <f>IF(BCP_Soles[[#This Row],[fecha]]&gt;0,TEXT(BCP_Soles[[#This Row],[fecha]],"mmmm"),0)</f>
        <v>Enero</v>
      </c>
    </row>
    <row r="141" spans="1:27" x14ac:dyDescent="0.3">
      <c r="A141" s="2">
        <f>IF(BCP_Soles[[#This Row],[tipo_registro]]="R",COUNTIFS($C$1:$C140,"R")+1,A140)</f>
        <v>71</v>
      </c>
      <c r="B141" s="19" t="str">
        <f t="shared" si="16"/>
        <v>B-BCP - Soles</v>
      </c>
      <c r="C141" s="3" t="s">
        <v>1330</v>
      </c>
      <c r="D141" s="14">
        <v>45667</v>
      </c>
      <c r="E141" s="5" t="s">
        <v>1421</v>
      </c>
      <c r="F141" s="5" t="s">
        <v>1336</v>
      </c>
      <c r="G141" s="6" t="s">
        <v>809</v>
      </c>
      <c r="H141" s="6" t="s">
        <v>143</v>
      </c>
      <c r="I141" s="6">
        <v>1</v>
      </c>
      <c r="J141" s="6">
        <v>782025</v>
      </c>
      <c r="K141" s="7" t="s">
        <v>1488</v>
      </c>
      <c r="L141" s="8">
        <v>3529827</v>
      </c>
      <c r="M141" s="8" t="str">
        <f t="shared" si="17"/>
        <v>PEN</v>
      </c>
      <c r="N141" s="13"/>
      <c r="O141" s="13">
        <v>87.8</v>
      </c>
      <c r="P141" s="3">
        <f t="shared" si="18"/>
        <v>0</v>
      </c>
      <c r="Q141" s="3">
        <f t="shared" si="19"/>
        <v>87.8</v>
      </c>
      <c r="R141" s="3">
        <f t="shared" si="15"/>
        <v>10581.28</v>
      </c>
      <c r="S141" s="24"/>
      <c r="T141" s="24"/>
      <c r="U141" s="53"/>
      <c r="V141" s="25">
        <f>IFERROR(VLOOKUP(BCP_Soles[[#This Row],[destinatario]],CHOOSE({1,2},Clientes_Proveedores[Razon Social],Clientes_Proveedores[Ruc / Dni]),2,0),"")</f>
        <v>45286301</v>
      </c>
      <c r="W141" s="25"/>
      <c r="X141" s="25"/>
      <c r="Y141" s="25"/>
      <c r="Z141" s="75"/>
      <c r="AA141" s="3" t="str">
        <f>IF(BCP_Soles[[#This Row],[fecha]]&gt;0,TEXT(BCP_Soles[[#This Row],[fecha]],"mmmm"),0)</f>
        <v>Enero</v>
      </c>
    </row>
    <row r="142" spans="1:27" ht="24" x14ac:dyDescent="0.3">
      <c r="A142" s="2">
        <f>IF(BCP_Soles[[#This Row],[tipo_registro]]="R",COUNTIFS($C$1:$C141,"R")+1,A141)</f>
        <v>72</v>
      </c>
      <c r="B142" s="19" t="str">
        <f t="shared" si="16"/>
        <v>B-BCP - Soles</v>
      </c>
      <c r="C142" s="3" t="s">
        <v>1330</v>
      </c>
      <c r="D142" s="14">
        <v>45667</v>
      </c>
      <c r="E142" s="5" t="s">
        <v>1338</v>
      </c>
      <c r="F142" s="5" t="s">
        <v>1336</v>
      </c>
      <c r="G142" s="6" t="s">
        <v>704</v>
      </c>
      <c r="H142" s="6" t="s">
        <v>106</v>
      </c>
      <c r="I142" s="6" t="s">
        <v>1489</v>
      </c>
      <c r="J142" s="6">
        <v>19753784</v>
      </c>
      <c r="K142" s="7" t="s">
        <v>1490</v>
      </c>
      <c r="L142" s="8">
        <v>4097415</v>
      </c>
      <c r="M142" s="8" t="str">
        <f t="shared" si="17"/>
        <v>PEN</v>
      </c>
      <c r="N142" s="13"/>
      <c r="O142" s="13">
        <v>7.4</v>
      </c>
      <c r="P142" s="3">
        <f t="shared" si="18"/>
        <v>0</v>
      </c>
      <c r="Q142" s="3">
        <f t="shared" si="19"/>
        <v>7.4</v>
      </c>
      <c r="R142" s="3">
        <f t="shared" si="15"/>
        <v>10573.880000000001</v>
      </c>
      <c r="S142" s="24" t="s">
        <v>1334</v>
      </c>
      <c r="T142" s="24" t="s">
        <v>1334</v>
      </c>
      <c r="U142" s="53"/>
      <c r="V142" s="25">
        <f>IFERROR(VLOOKUP(BCP_Soles[[#This Row],[destinatario]],CHOOSE({1,2},Clientes_Proveedores[Razon Social],Clientes_Proveedores[Ruc / Dni]),2,0),"")</f>
        <v>20100152356</v>
      </c>
      <c r="W142" s="25" t="s">
        <v>704</v>
      </c>
      <c r="X142" s="25" t="s">
        <v>1491</v>
      </c>
      <c r="Y142" s="25"/>
      <c r="Z142" s="75"/>
      <c r="AA142" s="3" t="str">
        <f>IF(BCP_Soles[[#This Row],[fecha]]&gt;0,TEXT(BCP_Soles[[#This Row],[fecha]],"mmmm"),0)</f>
        <v>Enero</v>
      </c>
    </row>
    <row r="143" spans="1:27" ht="48" x14ac:dyDescent="0.3">
      <c r="A143" s="2">
        <f>IF(BCP_Soles[[#This Row],[tipo_registro]]="R",COUNTIFS($C$1:$C142,"R")+1,A142)</f>
        <v>73</v>
      </c>
      <c r="B143" s="19" t="str">
        <f t="shared" si="16"/>
        <v>B-BCP - Soles</v>
      </c>
      <c r="C143" s="3" t="s">
        <v>1330</v>
      </c>
      <c r="D143" s="14">
        <v>45667</v>
      </c>
      <c r="E143" s="5" t="s">
        <v>1492</v>
      </c>
      <c r="F143" s="5" t="s">
        <v>1303</v>
      </c>
      <c r="G143" s="6" t="s">
        <v>425</v>
      </c>
      <c r="H143" s="6" t="s">
        <v>119</v>
      </c>
      <c r="I143" s="6">
        <v>1</v>
      </c>
      <c r="J143" s="6">
        <v>3861</v>
      </c>
      <c r="K143" s="7" t="s">
        <v>1356</v>
      </c>
      <c r="L143" s="8">
        <v>2216698</v>
      </c>
      <c r="M143" s="8" t="str">
        <f t="shared" si="17"/>
        <v>PEN</v>
      </c>
      <c r="N143" s="13"/>
      <c r="O143" s="13">
        <v>5100</v>
      </c>
      <c r="P143" s="3">
        <f t="shared" si="18"/>
        <v>5100</v>
      </c>
      <c r="Q143" s="3">
        <f t="shared" si="19"/>
        <v>0</v>
      </c>
      <c r="R143" s="3">
        <f t="shared" si="15"/>
        <v>15673.880000000001</v>
      </c>
      <c r="S143" s="24" t="s">
        <v>1334</v>
      </c>
      <c r="T143" s="24" t="s">
        <v>1334</v>
      </c>
      <c r="U143" s="53"/>
      <c r="V143" s="25">
        <f>IFERROR(VLOOKUP(BCP_Soles[[#This Row],[destinatario]],CHOOSE({1,2},Clientes_Proveedores[Razon Social],Clientes_Proveedores[Ruc / Dni]),2,0),"")</f>
        <v>20558226979</v>
      </c>
      <c r="W143" s="25" t="s">
        <v>1345</v>
      </c>
      <c r="X143" s="25" t="s">
        <v>1493</v>
      </c>
      <c r="Y143" s="25"/>
      <c r="Z143" s="75"/>
      <c r="AA143" s="3" t="str">
        <f>IF(BCP_Soles[[#This Row],[fecha]]&gt;0,TEXT(BCP_Soles[[#This Row],[fecha]],"mmmm"),0)</f>
        <v>Enero</v>
      </c>
    </row>
    <row r="144" spans="1:27" ht="24" x14ac:dyDescent="0.3">
      <c r="A144" s="2">
        <f>IF(BCP_Soles[[#This Row],[tipo_registro]]="R",COUNTIFS($C$1:$C143,"R")+1,A143)</f>
        <v>74</v>
      </c>
      <c r="B144" s="19" t="str">
        <f t="shared" si="16"/>
        <v>B-BCP - Soles</v>
      </c>
      <c r="C144" s="3" t="s">
        <v>1330</v>
      </c>
      <c r="D144" s="14">
        <v>45667</v>
      </c>
      <c r="E144" s="5" t="s">
        <v>536</v>
      </c>
      <c r="F144" s="5" t="s">
        <v>1303</v>
      </c>
      <c r="G144" s="6" t="s">
        <v>425</v>
      </c>
      <c r="H144" s="6" t="s">
        <v>119</v>
      </c>
      <c r="I144" s="6">
        <v>1</v>
      </c>
      <c r="J144" s="6">
        <v>4075</v>
      </c>
      <c r="K144" s="7" t="s">
        <v>1356</v>
      </c>
      <c r="L144" s="8">
        <v>1058304</v>
      </c>
      <c r="M144" s="8" t="str">
        <f t="shared" si="17"/>
        <v>PEN</v>
      </c>
      <c r="N144" s="13"/>
      <c r="O144" s="13">
        <v>2551</v>
      </c>
      <c r="P144" s="3">
        <f t="shared" si="18"/>
        <v>2551</v>
      </c>
      <c r="Q144" s="3">
        <f t="shared" si="19"/>
        <v>0</v>
      </c>
      <c r="R144" s="3">
        <f t="shared" si="15"/>
        <v>18224.88</v>
      </c>
      <c r="S144" s="24" t="s">
        <v>1334</v>
      </c>
      <c r="T144" s="24" t="s">
        <v>1334</v>
      </c>
      <c r="U144" s="53"/>
      <c r="V144" s="25">
        <f>IFERROR(VLOOKUP(BCP_Soles[[#This Row],[destinatario]],CHOOSE({1,2},Clientes_Proveedores[Razon Social],Clientes_Proveedores[Ruc / Dni]),2,0),"")</f>
        <v>20558226979</v>
      </c>
      <c r="W144" s="25" t="s">
        <v>1345</v>
      </c>
      <c r="X144" s="25" t="s">
        <v>1494</v>
      </c>
      <c r="Y144" s="25"/>
      <c r="Z144" s="75"/>
      <c r="AA144" s="3" t="str">
        <f>IF(BCP_Soles[[#This Row],[fecha]]&gt;0,TEXT(BCP_Soles[[#This Row],[fecha]],"mmmm"),0)</f>
        <v>Enero</v>
      </c>
    </row>
    <row r="145" spans="1:27" ht="36" x14ac:dyDescent="0.3">
      <c r="A145" s="2">
        <f>IF(BCP_Soles[[#This Row],[tipo_registro]]="R",COUNTIFS($C$1:$C144,"R")+1,A144)</f>
        <v>75</v>
      </c>
      <c r="B145" s="19" t="str">
        <f t="shared" si="16"/>
        <v>B-BCP - Soles</v>
      </c>
      <c r="C145" s="3" t="s">
        <v>1330</v>
      </c>
      <c r="D145" s="14">
        <v>45667</v>
      </c>
      <c r="E145" s="5" t="s">
        <v>615</v>
      </c>
      <c r="F145" s="5" t="s">
        <v>1303</v>
      </c>
      <c r="G145" s="6" t="s">
        <v>425</v>
      </c>
      <c r="H145" s="6"/>
      <c r="I145" s="6"/>
      <c r="J145" s="6"/>
      <c r="K145" s="7" t="s">
        <v>1495</v>
      </c>
      <c r="L145" s="8">
        <v>297170</v>
      </c>
      <c r="M145" s="8" t="str">
        <f t="shared" si="17"/>
        <v>PEN</v>
      </c>
      <c r="N145" s="13"/>
      <c r="O145" s="13">
        <v>759.89</v>
      </c>
      <c r="P145" s="3">
        <f t="shared" si="18"/>
        <v>759.89</v>
      </c>
      <c r="Q145" s="3">
        <f t="shared" si="19"/>
        <v>0</v>
      </c>
      <c r="R145" s="3">
        <f t="shared" si="15"/>
        <v>18984.77</v>
      </c>
      <c r="S145" s="24" t="s">
        <v>1334</v>
      </c>
      <c r="T145" s="24" t="s">
        <v>1334</v>
      </c>
      <c r="U145" s="53"/>
      <c r="V145" s="25">
        <f>IFERROR(VLOOKUP(BCP_Soles[[#This Row],[destinatario]],CHOOSE({1,2},Clientes_Proveedores[Razon Social],Clientes_Proveedores[Ruc / Dni]),2,0),"")</f>
        <v>20558226979</v>
      </c>
      <c r="W145" s="25" t="s">
        <v>1345</v>
      </c>
      <c r="X145" s="25" t="s">
        <v>1496</v>
      </c>
      <c r="Y145" s="25"/>
      <c r="Z145" s="75"/>
      <c r="AA145" s="3" t="str">
        <f>IF(BCP_Soles[[#This Row],[fecha]]&gt;0,TEXT(BCP_Soles[[#This Row],[fecha]],"mmmm"),0)</f>
        <v>Enero</v>
      </c>
    </row>
    <row r="146" spans="1:27" ht="48" x14ac:dyDescent="0.3">
      <c r="A146" s="105">
        <f>IF(BCP_Soles[[#This Row],[tipo_registro]]="R",COUNTIFS($C$1:$C145,"R")+1,A145)</f>
        <v>76</v>
      </c>
      <c r="B146" s="74" t="str">
        <f t="shared" si="16"/>
        <v>B-BCP - Soles</v>
      </c>
      <c r="C146" s="73" t="s">
        <v>1330</v>
      </c>
      <c r="D146" s="14">
        <v>45667</v>
      </c>
      <c r="E146" s="5" t="s">
        <v>1492</v>
      </c>
      <c r="F146" s="5" t="s">
        <v>1303</v>
      </c>
      <c r="G146" s="6" t="s">
        <v>425</v>
      </c>
      <c r="H146" s="6" t="s">
        <v>119</v>
      </c>
      <c r="I146" s="6">
        <v>2</v>
      </c>
      <c r="J146" s="6">
        <v>641</v>
      </c>
      <c r="K146" s="7" t="s">
        <v>1356</v>
      </c>
      <c r="L146" s="8">
        <v>2256014</v>
      </c>
      <c r="M146" s="8" t="str">
        <f t="shared" si="17"/>
        <v>PEN</v>
      </c>
      <c r="N146" s="9"/>
      <c r="O146" s="9">
        <v>660</v>
      </c>
      <c r="P146" s="73">
        <f t="shared" si="18"/>
        <v>660</v>
      </c>
      <c r="Q146" s="73">
        <f t="shared" si="19"/>
        <v>0</v>
      </c>
      <c r="R146" s="73">
        <f t="shared" si="15"/>
        <v>19644.77</v>
      </c>
      <c r="S146" s="95" t="s">
        <v>1334</v>
      </c>
      <c r="T146" s="95" t="s">
        <v>1334</v>
      </c>
      <c r="U146" s="132"/>
      <c r="V146" s="72">
        <f>IFERROR(VLOOKUP(BCP_Soles[[#This Row],[destinatario]],CHOOSE({1,2},Clientes_Proveedores[Razon Social],Clientes_Proveedores[Ruc / Dni]),2,0),"")</f>
        <v>20558226979</v>
      </c>
      <c r="W146" s="72" t="s">
        <v>1345</v>
      </c>
      <c r="X146" s="72" t="s">
        <v>1497</v>
      </c>
      <c r="Y146" s="72"/>
      <c r="Z146" s="131"/>
      <c r="AA146" s="73" t="str">
        <f>IF(BCP_Soles[[#This Row],[fecha]]&gt;0,TEXT(BCP_Soles[[#This Row],[fecha]],"mmmm"),0)</f>
        <v>Enero</v>
      </c>
    </row>
    <row r="147" spans="1:27" x14ac:dyDescent="0.3">
      <c r="A147" s="2">
        <f>IF(BCP_Soles[[#This Row],[tipo_registro]]="R",COUNTIFS($C$1:$C146,"R")+1,A146)</f>
        <v>77</v>
      </c>
      <c r="B147" s="19" t="str">
        <f t="shared" si="16"/>
        <v>B-BCP - Soles</v>
      </c>
      <c r="C147" s="3" t="s">
        <v>1330</v>
      </c>
      <c r="D147" s="14">
        <v>45667</v>
      </c>
      <c r="E147" s="5" t="s">
        <v>1498</v>
      </c>
      <c r="F147" s="5" t="s">
        <v>1303</v>
      </c>
      <c r="G147" s="6" t="s">
        <v>425</v>
      </c>
      <c r="H147" s="6" t="s">
        <v>119</v>
      </c>
      <c r="I147" s="6">
        <v>1</v>
      </c>
      <c r="J147" s="6">
        <v>4077</v>
      </c>
      <c r="K147" s="7" t="s">
        <v>1356</v>
      </c>
      <c r="L147" s="8">
        <v>1333929</v>
      </c>
      <c r="M147" s="8" t="str">
        <f t="shared" si="17"/>
        <v>PEN</v>
      </c>
      <c r="N147" s="13"/>
      <c r="O147" s="13">
        <v>105</v>
      </c>
      <c r="P147" s="3">
        <f t="shared" si="18"/>
        <v>105</v>
      </c>
      <c r="Q147" s="3">
        <f t="shared" si="19"/>
        <v>0</v>
      </c>
      <c r="R147" s="3">
        <f t="shared" si="15"/>
        <v>19749.77</v>
      </c>
      <c r="S147" s="24" t="s">
        <v>1334</v>
      </c>
      <c r="T147" s="24" t="s">
        <v>1334</v>
      </c>
      <c r="U147" s="53"/>
      <c r="V147" s="25">
        <f>IFERROR(VLOOKUP(BCP_Soles[[#This Row],[destinatario]],CHOOSE({1,2},Clientes_Proveedores[Razon Social],Clientes_Proveedores[Ruc / Dni]),2,0),"")</f>
        <v>20558226979</v>
      </c>
      <c r="W147" s="25" t="s">
        <v>1345</v>
      </c>
      <c r="X147" s="25" t="s">
        <v>1499</v>
      </c>
      <c r="Y147" s="25"/>
      <c r="Z147" s="75"/>
      <c r="AA147" s="3" t="str">
        <f>IF(BCP_Soles[[#This Row],[fecha]]&gt;0,TEXT(BCP_Soles[[#This Row],[fecha]],"mmmm"),0)</f>
        <v>Enero</v>
      </c>
    </row>
    <row r="148" spans="1:27" x14ac:dyDescent="0.3">
      <c r="A148" s="2">
        <f>IF(BCP_Soles[[#This Row],[tipo_registro]]="R",COUNTIFS($C$1:$C147,"R")+1,A147)</f>
        <v>78</v>
      </c>
      <c r="B148" s="19" t="str">
        <f t="shared" si="16"/>
        <v>B-BCP - Soles</v>
      </c>
      <c r="C148" s="3" t="s">
        <v>1330</v>
      </c>
      <c r="D148" s="14">
        <v>45667</v>
      </c>
      <c r="E148" s="5" t="s">
        <v>1500</v>
      </c>
      <c r="F148" s="5" t="s">
        <v>1303</v>
      </c>
      <c r="G148" s="6" t="s">
        <v>425</v>
      </c>
      <c r="H148" s="6" t="s">
        <v>68</v>
      </c>
      <c r="I148" s="6" t="s">
        <v>1353</v>
      </c>
      <c r="J148" s="6">
        <v>174</v>
      </c>
      <c r="K148" s="7" t="s">
        <v>1356</v>
      </c>
      <c r="L148" s="8">
        <v>1075047</v>
      </c>
      <c r="M148" s="8" t="str">
        <f t="shared" si="17"/>
        <v>PEN</v>
      </c>
      <c r="N148" s="13"/>
      <c r="O148" s="13">
        <v>70.8</v>
      </c>
      <c r="P148" s="3">
        <f t="shared" si="18"/>
        <v>70.8</v>
      </c>
      <c r="Q148" s="3">
        <f t="shared" si="19"/>
        <v>0</v>
      </c>
      <c r="R148" s="3">
        <f t="shared" si="15"/>
        <v>19820.57</v>
      </c>
      <c r="S148" s="24" t="s">
        <v>1334</v>
      </c>
      <c r="T148" s="24" t="s">
        <v>1334</v>
      </c>
      <c r="U148" s="53"/>
      <c r="V148" s="25">
        <f>IFERROR(VLOOKUP(BCP_Soles[[#This Row],[destinatario]],CHOOSE({1,2},Clientes_Proveedores[Razon Social],Clientes_Proveedores[Ruc / Dni]),2,0),"")</f>
        <v>20558226979</v>
      </c>
      <c r="W148" s="25" t="s">
        <v>1345</v>
      </c>
      <c r="X148" s="25" t="s">
        <v>1501</v>
      </c>
      <c r="Y148" s="25"/>
      <c r="Z148" s="75"/>
      <c r="AA148" s="3" t="str">
        <f>IF(BCP_Soles[[#This Row],[fecha]]&gt;0,TEXT(BCP_Soles[[#This Row],[fecha]],"mmmm"),0)</f>
        <v>Enero</v>
      </c>
    </row>
    <row r="149" spans="1:27" ht="24" x14ac:dyDescent="0.3">
      <c r="A149" s="2">
        <f>IF(BCP_Soles[[#This Row],[tipo_registro]]="R",COUNTIFS($C$1:$C148,"R")+1,A148)</f>
        <v>79</v>
      </c>
      <c r="B149" s="19" t="str">
        <f t="shared" si="16"/>
        <v>B-BCP - Soles</v>
      </c>
      <c r="C149" s="3" t="s">
        <v>1330</v>
      </c>
      <c r="D149" s="14">
        <v>45668</v>
      </c>
      <c r="E149" s="5" t="s">
        <v>1421</v>
      </c>
      <c r="F149" s="5" t="s">
        <v>1336</v>
      </c>
      <c r="G149" s="6" t="s">
        <v>809</v>
      </c>
      <c r="H149" s="6" t="s">
        <v>143</v>
      </c>
      <c r="I149" s="6">
        <v>1</v>
      </c>
      <c r="J149" s="6">
        <v>782025</v>
      </c>
      <c r="K149" s="7" t="s">
        <v>1356</v>
      </c>
      <c r="L149" s="8">
        <v>2190556</v>
      </c>
      <c r="M149" s="8" t="str">
        <f t="shared" si="17"/>
        <v>PEN</v>
      </c>
      <c r="N149" s="13"/>
      <c r="O149" s="13">
        <v>600</v>
      </c>
      <c r="P149" s="3">
        <f t="shared" si="18"/>
        <v>0</v>
      </c>
      <c r="Q149" s="3">
        <f t="shared" si="19"/>
        <v>600</v>
      </c>
      <c r="R149" s="3">
        <f t="shared" si="15"/>
        <v>19220.57</v>
      </c>
      <c r="S149" s="24"/>
      <c r="T149" s="24" t="s">
        <v>1334</v>
      </c>
      <c r="U149" s="53"/>
      <c r="V149" s="25">
        <f>IFERROR(VLOOKUP(BCP_Soles[[#This Row],[destinatario]],CHOOSE({1,2},Clientes_Proveedores[Razon Social],Clientes_Proveedores[Ruc / Dni]),2,0),"")</f>
        <v>45286301</v>
      </c>
      <c r="W149" s="25"/>
      <c r="X149" s="25" t="s">
        <v>1430</v>
      </c>
      <c r="Y149" s="25"/>
      <c r="Z149" s="75"/>
      <c r="AA149" s="3" t="str">
        <f>IF(BCP_Soles[[#This Row],[fecha]]&gt;0,TEXT(BCP_Soles[[#This Row],[fecha]],"mmmm"),0)</f>
        <v>Enero</v>
      </c>
    </row>
    <row r="150" spans="1:27" ht="24" x14ac:dyDescent="0.3">
      <c r="A150" s="2">
        <f>IF(BCP_Soles[[#This Row],[tipo_registro]]="R",COUNTIFS($C$1:$C149,"R")+1,A149)</f>
        <v>80</v>
      </c>
      <c r="B150" s="19" t="str">
        <f t="shared" si="16"/>
        <v>B-BCP - Soles</v>
      </c>
      <c r="C150" s="3" t="s">
        <v>1330</v>
      </c>
      <c r="D150" s="14">
        <v>45668</v>
      </c>
      <c r="E150" s="5" t="s">
        <v>1502</v>
      </c>
      <c r="F150" s="5" t="s">
        <v>1303</v>
      </c>
      <c r="G150" s="6" t="s">
        <v>425</v>
      </c>
      <c r="H150" s="6" t="s">
        <v>119</v>
      </c>
      <c r="I150" s="6">
        <v>1</v>
      </c>
      <c r="J150" s="6">
        <v>4080</v>
      </c>
      <c r="K150" s="7" t="s">
        <v>1503</v>
      </c>
      <c r="L150" s="8">
        <v>358765</v>
      </c>
      <c r="M150" s="8" t="str">
        <f t="shared" si="17"/>
        <v>PEN</v>
      </c>
      <c r="N150" s="13"/>
      <c r="O150" s="13">
        <v>600</v>
      </c>
      <c r="P150" s="3">
        <f t="shared" si="18"/>
        <v>600</v>
      </c>
      <c r="Q150" s="3">
        <f t="shared" si="19"/>
        <v>0</v>
      </c>
      <c r="R150" s="3">
        <f t="shared" si="15"/>
        <v>19820.57</v>
      </c>
      <c r="S150" s="24" t="s">
        <v>1334</v>
      </c>
      <c r="T150" s="24" t="s">
        <v>1334</v>
      </c>
      <c r="U150" s="53"/>
      <c r="V150" s="25">
        <f>IFERROR(VLOOKUP(BCP_Soles[[#This Row],[destinatario]],CHOOSE({1,2},Clientes_Proveedores[Razon Social],Clientes_Proveedores[Ruc / Dni]),2,0),"")</f>
        <v>20558226979</v>
      </c>
      <c r="W150" s="25" t="s">
        <v>1345</v>
      </c>
      <c r="X150" s="25" t="s">
        <v>1504</v>
      </c>
      <c r="Y150" s="25"/>
      <c r="Z150" s="75"/>
      <c r="AA150" s="3" t="str">
        <f>IF(BCP_Soles[[#This Row],[fecha]]&gt;0,TEXT(BCP_Soles[[#This Row],[fecha]],"mmmm"),0)</f>
        <v>Enero</v>
      </c>
    </row>
    <row r="151" spans="1:27" x14ac:dyDescent="0.3">
      <c r="A151" s="2">
        <f>IF(BCP_Soles[[#This Row],[tipo_registro]]="R",COUNTIFS($C$1:$C150,"R")+1,A150)</f>
        <v>81</v>
      </c>
      <c r="B151" s="19" t="str">
        <f t="shared" si="16"/>
        <v>B-BCP - Soles</v>
      </c>
      <c r="C151" s="3" t="s">
        <v>1330</v>
      </c>
      <c r="D151" s="14">
        <v>45669</v>
      </c>
      <c r="E151" s="5" t="s">
        <v>1335</v>
      </c>
      <c r="F151" s="5" t="s">
        <v>1336</v>
      </c>
      <c r="G151" s="6"/>
      <c r="H151" s="6"/>
      <c r="I151" s="6"/>
      <c r="J151" s="6"/>
      <c r="K151" s="7" t="s">
        <v>1337</v>
      </c>
      <c r="L151" s="8"/>
      <c r="M151" s="8" t="str">
        <f t="shared" si="17"/>
        <v>PEN</v>
      </c>
      <c r="N151" s="13"/>
      <c r="O151" s="13">
        <v>0.1</v>
      </c>
      <c r="P151" s="3">
        <f t="shared" si="18"/>
        <v>0</v>
      </c>
      <c r="Q151" s="3">
        <f t="shared" si="19"/>
        <v>0.1</v>
      </c>
      <c r="R151" s="3">
        <f t="shared" si="15"/>
        <v>19820.47</v>
      </c>
      <c r="S151" s="24"/>
      <c r="T151" s="24" t="s">
        <v>1334</v>
      </c>
      <c r="U151" s="53"/>
      <c r="V151" s="25" t="str">
        <f>IFERROR(VLOOKUP(BCP_Soles[[#This Row],[destinatario]],CHOOSE({1,2},Clientes_Proveedores[Razon Social],Clientes_Proveedores[Ruc / Dni]),2,0),"")</f>
        <v/>
      </c>
      <c r="W151" s="25"/>
      <c r="X151" s="25"/>
      <c r="Y151" s="25"/>
      <c r="Z151" s="75"/>
      <c r="AA151" s="3" t="str">
        <f>IF(BCP_Soles[[#This Row],[fecha]]&gt;0,TEXT(BCP_Soles[[#This Row],[fecha]],"mmmm"),0)</f>
        <v>Enero</v>
      </c>
    </row>
    <row r="152" spans="1:27" ht="24" x14ac:dyDescent="0.3">
      <c r="A152" s="2">
        <f>IF(BCP_Soles[[#This Row],[tipo_registro]]="R",COUNTIFS($C$1:$C151,"R")+1,A151)</f>
        <v>82</v>
      </c>
      <c r="B152" s="19" t="str">
        <f t="shared" si="16"/>
        <v>B-BCP - Soles</v>
      </c>
      <c r="C152" s="3" t="s">
        <v>1330</v>
      </c>
      <c r="D152" s="14">
        <v>45669</v>
      </c>
      <c r="E152" s="5" t="s">
        <v>1505</v>
      </c>
      <c r="F152" s="5" t="s">
        <v>1303</v>
      </c>
      <c r="G152" s="6" t="s">
        <v>425</v>
      </c>
      <c r="H152" s="6" t="s">
        <v>119</v>
      </c>
      <c r="I152" s="6">
        <v>2</v>
      </c>
      <c r="J152" s="6">
        <v>698</v>
      </c>
      <c r="K152" s="7" t="s">
        <v>1356</v>
      </c>
      <c r="L152" s="8">
        <v>2133711</v>
      </c>
      <c r="M152" s="8" t="str">
        <f t="shared" si="17"/>
        <v>PEN</v>
      </c>
      <c r="N152" s="13"/>
      <c r="O152" s="13">
        <v>2205</v>
      </c>
      <c r="P152" s="3">
        <f t="shared" si="18"/>
        <v>2205</v>
      </c>
      <c r="Q152" s="3">
        <f t="shared" si="19"/>
        <v>0</v>
      </c>
      <c r="R152" s="3">
        <f t="shared" si="15"/>
        <v>22025.47</v>
      </c>
      <c r="S152" s="24" t="s">
        <v>1334</v>
      </c>
      <c r="T152" s="24" t="s">
        <v>1334</v>
      </c>
      <c r="U152" s="53"/>
      <c r="V152" s="25">
        <f>IFERROR(VLOOKUP(BCP_Soles[[#This Row],[destinatario]],CHOOSE({1,2},Clientes_Proveedores[Razon Social],Clientes_Proveedores[Ruc / Dni]),2,0),"")</f>
        <v>20558226979</v>
      </c>
      <c r="W152" s="25" t="s">
        <v>1345</v>
      </c>
      <c r="X152" s="25" t="s">
        <v>1506</v>
      </c>
      <c r="Y152" s="25"/>
      <c r="Z152" s="75"/>
      <c r="AA152" s="3" t="str">
        <f>IF(BCP_Soles[[#This Row],[fecha]]&gt;0,TEXT(BCP_Soles[[#This Row],[fecha]],"mmmm"),0)</f>
        <v>Enero</v>
      </c>
    </row>
    <row r="153" spans="1:27" ht="24" x14ac:dyDescent="0.3">
      <c r="A153" s="2">
        <f>IF(BCP_Soles[[#This Row],[tipo_registro]]="R",COUNTIFS($C$1:$C152,"R")+1,A152)</f>
        <v>83</v>
      </c>
      <c r="B153" s="19" t="str">
        <f t="shared" si="16"/>
        <v>B-BCP - Soles</v>
      </c>
      <c r="C153" s="3" t="s">
        <v>1330</v>
      </c>
      <c r="D153" s="14">
        <v>45670</v>
      </c>
      <c r="E153" s="5" t="s">
        <v>1505</v>
      </c>
      <c r="F153" s="5" t="s">
        <v>1303</v>
      </c>
      <c r="G153" s="6" t="s">
        <v>425</v>
      </c>
      <c r="H153" s="6" t="s">
        <v>119</v>
      </c>
      <c r="I153" s="6">
        <v>2</v>
      </c>
      <c r="J153" s="6">
        <v>698</v>
      </c>
      <c r="K153" s="7" t="s">
        <v>1356</v>
      </c>
      <c r="L153" s="8">
        <v>646745</v>
      </c>
      <c r="M153" s="8" t="str">
        <f t="shared" si="17"/>
        <v>PEN</v>
      </c>
      <c r="N153" s="13"/>
      <c r="O153" s="13">
        <v>100</v>
      </c>
      <c r="P153" s="3">
        <f t="shared" si="18"/>
        <v>100</v>
      </c>
      <c r="Q153" s="3">
        <f t="shared" si="19"/>
        <v>0</v>
      </c>
      <c r="R153" s="3">
        <f t="shared" si="15"/>
        <v>22125.47</v>
      </c>
      <c r="S153" s="24" t="s">
        <v>1334</v>
      </c>
      <c r="T153" s="24" t="s">
        <v>1334</v>
      </c>
      <c r="U153" s="53"/>
      <c r="V153" s="25">
        <f>IFERROR(VLOOKUP(BCP_Soles[[#This Row],[destinatario]],CHOOSE({1,2},Clientes_Proveedores[Razon Social],Clientes_Proveedores[Ruc / Dni]),2,0),"")</f>
        <v>20558226979</v>
      </c>
      <c r="W153" s="25" t="s">
        <v>1345</v>
      </c>
      <c r="X153" s="25" t="s">
        <v>1506</v>
      </c>
      <c r="Y153" s="25"/>
      <c r="Z153" s="75"/>
      <c r="AA153" s="3" t="str">
        <f>IF(BCP_Soles[[#This Row],[fecha]]&gt;0,TEXT(BCP_Soles[[#This Row],[fecha]],"mmmm"),0)</f>
        <v>Enero</v>
      </c>
    </row>
    <row r="154" spans="1:27" x14ac:dyDescent="0.3">
      <c r="A154" s="2">
        <f>IF(BCP_Soles[[#This Row],[tipo_registro]]="R",COUNTIFS($C$1:$C153,"R")+1,A153)</f>
        <v>84</v>
      </c>
      <c r="B154" s="19" t="str">
        <f t="shared" si="16"/>
        <v>B-BCP - Soles</v>
      </c>
      <c r="C154" s="3" t="s">
        <v>1330</v>
      </c>
      <c r="D154" s="14">
        <v>45670</v>
      </c>
      <c r="E154" s="5" t="s">
        <v>1335</v>
      </c>
      <c r="F154" s="5" t="s">
        <v>1336</v>
      </c>
      <c r="G154" s="6"/>
      <c r="H154" s="6"/>
      <c r="I154" s="6"/>
      <c r="J154" s="6"/>
      <c r="K154" s="7" t="s">
        <v>1337</v>
      </c>
      <c r="L154" s="8"/>
      <c r="M154" s="8" t="str">
        <f t="shared" si="17"/>
        <v>PEN</v>
      </c>
      <c r="N154" s="13"/>
      <c r="O154" s="13">
        <v>0.5</v>
      </c>
      <c r="P154" s="3">
        <f t="shared" si="18"/>
        <v>0</v>
      </c>
      <c r="Q154" s="3">
        <f t="shared" si="19"/>
        <v>0.5</v>
      </c>
      <c r="R154" s="3">
        <f t="shared" si="15"/>
        <v>22124.97</v>
      </c>
      <c r="S154" s="24"/>
      <c r="T154" s="24" t="s">
        <v>1334</v>
      </c>
      <c r="U154" s="53"/>
      <c r="V154" s="25" t="str">
        <f>IFERROR(VLOOKUP(BCP_Soles[[#This Row],[destinatario]],CHOOSE({1,2},Clientes_Proveedores[Razon Social],Clientes_Proveedores[Ruc / Dni]),2,0),"")</f>
        <v/>
      </c>
      <c r="W154" s="25"/>
      <c r="X154" s="25"/>
      <c r="Y154" s="25"/>
      <c r="Z154" s="75"/>
      <c r="AA154" s="3" t="str">
        <f>IF(BCP_Soles[[#This Row],[fecha]]&gt;0,TEXT(BCP_Soles[[#This Row],[fecha]],"mmmm"),0)</f>
        <v>Enero</v>
      </c>
    </row>
    <row r="155" spans="1:27" x14ac:dyDescent="0.3">
      <c r="A155" s="2">
        <f>IF(BCP_Soles[[#This Row],[tipo_registro]]="R",COUNTIFS($C$1:$C154,"R")+1,A154)</f>
        <v>85</v>
      </c>
      <c r="B155" s="19" t="str">
        <f t="shared" si="16"/>
        <v>B-BCP - Soles</v>
      </c>
      <c r="C155" s="3" t="s">
        <v>1330</v>
      </c>
      <c r="D155" s="14">
        <v>45670</v>
      </c>
      <c r="E155" s="5" t="s">
        <v>1338</v>
      </c>
      <c r="F155" s="5" t="s">
        <v>1336</v>
      </c>
      <c r="G155" s="6"/>
      <c r="H155" s="6"/>
      <c r="I155" s="6"/>
      <c r="J155" s="6"/>
      <c r="K155" s="7" t="s">
        <v>1507</v>
      </c>
      <c r="L155" s="8">
        <v>891542</v>
      </c>
      <c r="M155" s="8" t="str">
        <f t="shared" si="17"/>
        <v>PEN</v>
      </c>
      <c r="N155" s="13"/>
      <c r="O155" s="13">
        <v>6091.51</v>
      </c>
      <c r="P155" s="3">
        <f t="shared" si="18"/>
        <v>0</v>
      </c>
      <c r="Q155" s="3">
        <f t="shared" si="19"/>
        <v>6091.51</v>
      </c>
      <c r="R155" s="3">
        <f t="shared" si="15"/>
        <v>16033.460000000001</v>
      </c>
      <c r="S155" s="24" t="s">
        <v>1334</v>
      </c>
      <c r="T155" s="24" t="s">
        <v>1334</v>
      </c>
      <c r="U155" s="53"/>
      <c r="V155" s="25" t="str">
        <f>IFERROR(VLOOKUP(BCP_Soles[[#This Row],[destinatario]],CHOOSE({1,2},Clientes_Proveedores[Razon Social],Clientes_Proveedores[Ruc / Dni]),2,0),"")</f>
        <v/>
      </c>
      <c r="W155" s="25" t="s">
        <v>1373</v>
      </c>
      <c r="X155" s="25" t="s">
        <v>1452</v>
      </c>
      <c r="Y155" s="25"/>
      <c r="Z155" s="75"/>
      <c r="AA155" s="3" t="str">
        <f>IF(BCP_Soles[[#This Row],[fecha]]&gt;0,TEXT(BCP_Soles[[#This Row],[fecha]],"mmmm"),0)</f>
        <v>Enero</v>
      </c>
    </row>
    <row r="156" spans="1:27" x14ac:dyDescent="0.3">
      <c r="A156" s="2">
        <f>IF(BCP_Soles[[#This Row],[tipo_registro]]="R",COUNTIFS($C$1:$C155,"R")+1,A155)</f>
        <v>85</v>
      </c>
      <c r="B156" s="19" t="str">
        <f t="shared" si="16"/>
        <v>B-BCP - Soles</v>
      </c>
      <c r="C156" s="3" t="s">
        <v>1352</v>
      </c>
      <c r="D156" s="14">
        <v>45670</v>
      </c>
      <c r="E156" s="5" t="s">
        <v>1338</v>
      </c>
      <c r="F156" s="5"/>
      <c r="G156" s="6" t="s">
        <v>302</v>
      </c>
      <c r="H156" s="6" t="s">
        <v>68</v>
      </c>
      <c r="I156" s="6" t="s">
        <v>1374</v>
      </c>
      <c r="J156" s="6">
        <v>18337</v>
      </c>
      <c r="K156" s="7" t="s">
        <v>1507</v>
      </c>
      <c r="L156" s="8">
        <v>891542</v>
      </c>
      <c r="M156" s="8" t="str">
        <f t="shared" si="17"/>
        <v>PEN</v>
      </c>
      <c r="N156" s="13"/>
      <c r="O156" s="13">
        <v>625.4</v>
      </c>
      <c r="P156" s="3">
        <f t="shared" si="18"/>
        <v>0</v>
      </c>
      <c r="Q156" s="3">
        <f t="shared" si="19"/>
        <v>0</v>
      </c>
      <c r="R156" s="3">
        <f t="shared" si="15"/>
        <v>16033.460000000001</v>
      </c>
      <c r="S156" s="24"/>
      <c r="T156" s="24" t="s">
        <v>1334</v>
      </c>
      <c r="U156" s="53"/>
      <c r="V156" s="25">
        <f>IFERROR(VLOOKUP(BCP_Soles[[#This Row],[destinatario]],CHOOSE({1,2},Clientes_Proveedores[Razon Social],Clientes_Proveedores[Ruc / Dni]),2,0),"")</f>
        <v>20455731926</v>
      </c>
      <c r="W156" s="25"/>
      <c r="X156" s="25"/>
      <c r="Y156" s="25"/>
      <c r="Z156" s="75"/>
      <c r="AA156" s="3" t="str">
        <f>IF(BCP_Soles[[#This Row],[fecha]]&gt;0,TEXT(BCP_Soles[[#This Row],[fecha]],"mmmm"),0)</f>
        <v>Enero</v>
      </c>
    </row>
    <row r="157" spans="1:27" x14ac:dyDescent="0.3">
      <c r="A157" s="2">
        <f>IF(BCP_Soles[[#This Row],[tipo_registro]]="R",COUNTIFS($C$1:$C156,"R")+1,A156)</f>
        <v>85</v>
      </c>
      <c r="B157" s="19" t="str">
        <f t="shared" si="16"/>
        <v>B-BCP - Soles</v>
      </c>
      <c r="C157" s="3" t="s">
        <v>1352</v>
      </c>
      <c r="D157" s="14">
        <v>45670</v>
      </c>
      <c r="E157" s="5" t="s">
        <v>1338</v>
      </c>
      <c r="F157" s="5"/>
      <c r="G157" s="6" t="s">
        <v>493</v>
      </c>
      <c r="H157" s="6" t="s">
        <v>68</v>
      </c>
      <c r="I157" s="6" t="s">
        <v>1374</v>
      </c>
      <c r="J157" s="6">
        <v>8612</v>
      </c>
      <c r="K157" s="7" t="s">
        <v>1507</v>
      </c>
      <c r="L157" s="8">
        <v>891542</v>
      </c>
      <c r="M157" s="8" t="str">
        <f t="shared" si="17"/>
        <v>PEN</v>
      </c>
      <c r="N157" s="13"/>
      <c r="O157" s="13">
        <v>324.55</v>
      </c>
      <c r="P157" s="3">
        <f t="shared" si="18"/>
        <v>0</v>
      </c>
      <c r="Q157" s="3">
        <f t="shared" si="19"/>
        <v>0</v>
      </c>
      <c r="R157" s="3">
        <f t="shared" si="15"/>
        <v>16033.460000000001</v>
      </c>
      <c r="S157" s="24"/>
      <c r="T157" s="24" t="s">
        <v>1334</v>
      </c>
      <c r="U157" s="53"/>
      <c r="V157" s="25">
        <f>IFERROR(VLOOKUP(BCP_Soles[[#This Row],[destinatario]],CHOOSE({1,2},Clientes_Proveedores[Razon Social],Clientes_Proveedores[Ruc / Dni]),2,0),"")</f>
        <v>20602751326</v>
      </c>
      <c r="W157" s="25"/>
      <c r="X157" s="25"/>
      <c r="Y157" s="25"/>
      <c r="Z157" s="75"/>
      <c r="AA157" s="3" t="str">
        <f>IF(BCP_Soles[[#This Row],[fecha]]&gt;0,TEXT(BCP_Soles[[#This Row],[fecha]],"mmmm"),0)</f>
        <v>Enero</v>
      </c>
    </row>
    <row r="158" spans="1:27" ht="24" x14ac:dyDescent="0.3">
      <c r="A158" s="2">
        <f>IF(BCP_Soles[[#This Row],[tipo_registro]]="R",COUNTIFS($C$1:$C157,"R")+1,A157)</f>
        <v>85</v>
      </c>
      <c r="B158" s="19" t="str">
        <f t="shared" si="16"/>
        <v>B-BCP - Soles</v>
      </c>
      <c r="C158" s="3" t="s">
        <v>1352</v>
      </c>
      <c r="D158" s="14">
        <v>45670</v>
      </c>
      <c r="E158" s="5" t="s">
        <v>1338</v>
      </c>
      <c r="F158" s="5"/>
      <c r="G158" s="6" t="s">
        <v>364</v>
      </c>
      <c r="H158" s="6" t="s">
        <v>68</v>
      </c>
      <c r="I158" s="6" t="s">
        <v>1508</v>
      </c>
      <c r="J158" s="6">
        <v>10229</v>
      </c>
      <c r="K158" s="7" t="s">
        <v>1507</v>
      </c>
      <c r="L158" s="8">
        <v>891542</v>
      </c>
      <c r="M158" s="8" t="str">
        <f t="shared" si="17"/>
        <v>PEN</v>
      </c>
      <c r="N158" s="13"/>
      <c r="O158" s="13">
        <v>258.42</v>
      </c>
      <c r="P158" s="3">
        <f t="shared" si="18"/>
        <v>0</v>
      </c>
      <c r="Q158" s="3">
        <f t="shared" si="19"/>
        <v>0</v>
      </c>
      <c r="R158" s="3">
        <f t="shared" si="15"/>
        <v>16033.460000000001</v>
      </c>
      <c r="S158" s="24"/>
      <c r="T158" s="24" t="s">
        <v>1334</v>
      </c>
      <c r="U158" s="53"/>
      <c r="V158" s="25">
        <f>IFERROR(VLOOKUP(BCP_Soles[[#This Row],[destinatario]],CHOOSE({1,2},Clientes_Proveedores[Razon Social],Clientes_Proveedores[Ruc / Dni]),2,0),"")</f>
        <v>20517035964</v>
      </c>
      <c r="W158" s="25"/>
      <c r="X158" s="25"/>
      <c r="Y158" s="25"/>
      <c r="Z158" s="75"/>
      <c r="AA158" s="3" t="str">
        <f>IF(BCP_Soles[[#This Row],[fecha]]&gt;0,TEXT(BCP_Soles[[#This Row],[fecha]],"mmmm"),0)</f>
        <v>Enero</v>
      </c>
    </row>
    <row r="159" spans="1:27" ht="24" x14ac:dyDescent="0.3">
      <c r="A159" s="2">
        <f>IF(BCP_Soles[[#This Row],[tipo_registro]]="R",COUNTIFS($C$1:$C158,"R")+1,A158)</f>
        <v>85</v>
      </c>
      <c r="B159" s="19" t="str">
        <f t="shared" si="16"/>
        <v>B-BCP - Soles</v>
      </c>
      <c r="C159" s="3" t="s">
        <v>1352</v>
      </c>
      <c r="D159" s="14">
        <v>45670</v>
      </c>
      <c r="E159" s="5" t="s">
        <v>1338</v>
      </c>
      <c r="F159" s="5"/>
      <c r="G159" s="6" t="s">
        <v>176</v>
      </c>
      <c r="H159" s="6" t="s">
        <v>68</v>
      </c>
      <c r="I159" s="6" t="s">
        <v>1376</v>
      </c>
      <c r="J159" s="6">
        <v>345</v>
      </c>
      <c r="K159" s="7" t="s">
        <v>1507</v>
      </c>
      <c r="L159" s="8">
        <v>891542</v>
      </c>
      <c r="M159" s="8" t="str">
        <f t="shared" si="17"/>
        <v>PEN</v>
      </c>
      <c r="N159" s="13"/>
      <c r="O159" s="13">
        <v>566</v>
      </c>
      <c r="P159" s="3">
        <f t="shared" si="18"/>
        <v>0</v>
      </c>
      <c r="Q159" s="3">
        <f t="shared" si="19"/>
        <v>0</v>
      </c>
      <c r="R159" s="3">
        <f t="shared" si="15"/>
        <v>16033.460000000001</v>
      </c>
      <c r="S159" s="24"/>
      <c r="T159" s="24" t="s">
        <v>1334</v>
      </c>
      <c r="U159" s="53"/>
      <c r="V159" s="25">
        <f>IFERROR(VLOOKUP(BCP_Soles[[#This Row],[destinatario]],CHOOSE({1,2},Clientes_Proveedores[Razon Social],Clientes_Proveedores[Ruc / Dni]),2,0),"")</f>
        <v>10470065147</v>
      </c>
      <c r="W159" s="25"/>
      <c r="X159" s="25"/>
      <c r="Y159" s="25"/>
      <c r="Z159" s="75"/>
      <c r="AA159" s="3" t="str">
        <f>IF(BCP_Soles[[#This Row],[fecha]]&gt;0,TEXT(BCP_Soles[[#This Row],[fecha]],"mmmm"),0)</f>
        <v>Enero</v>
      </c>
    </row>
    <row r="160" spans="1:27" ht="24" x14ac:dyDescent="0.3">
      <c r="A160" s="2">
        <f>IF(BCP_Soles[[#This Row],[tipo_registro]]="R",COUNTIFS($C$1:$C159,"R")+1,A159)</f>
        <v>85</v>
      </c>
      <c r="B160" s="19" t="str">
        <f t="shared" si="16"/>
        <v>B-BCP - Soles</v>
      </c>
      <c r="C160" s="3" t="s">
        <v>1352</v>
      </c>
      <c r="D160" s="14">
        <v>45670</v>
      </c>
      <c r="E160" s="5" t="s">
        <v>1338</v>
      </c>
      <c r="F160" s="5"/>
      <c r="G160" s="6" t="s">
        <v>176</v>
      </c>
      <c r="H160" s="6" t="s">
        <v>68</v>
      </c>
      <c r="I160" s="6" t="s">
        <v>1376</v>
      </c>
      <c r="J160" s="6">
        <v>351</v>
      </c>
      <c r="K160" s="7" t="s">
        <v>1507</v>
      </c>
      <c r="L160" s="8">
        <v>891542</v>
      </c>
      <c r="M160" s="8" t="str">
        <f t="shared" si="17"/>
        <v>PEN</v>
      </c>
      <c r="N160" s="13"/>
      <c r="O160" s="13">
        <v>510</v>
      </c>
      <c r="P160" s="3">
        <f t="shared" si="18"/>
        <v>0</v>
      </c>
      <c r="Q160" s="3">
        <f t="shared" si="19"/>
        <v>0</v>
      </c>
      <c r="R160" s="3">
        <f t="shared" si="15"/>
        <v>16033.460000000001</v>
      </c>
      <c r="S160" s="24"/>
      <c r="T160" s="24" t="s">
        <v>1334</v>
      </c>
      <c r="U160" s="53"/>
      <c r="V160" s="25">
        <f>IFERROR(VLOOKUP(BCP_Soles[[#This Row],[destinatario]],CHOOSE({1,2},Clientes_Proveedores[Razon Social],Clientes_Proveedores[Ruc / Dni]),2,0),"")</f>
        <v>10470065147</v>
      </c>
      <c r="W160" s="25"/>
      <c r="X160" s="25"/>
      <c r="Y160" s="25"/>
      <c r="Z160" s="75"/>
      <c r="AA160" s="3" t="str">
        <f>IF(BCP_Soles[[#This Row],[fecha]]&gt;0,TEXT(BCP_Soles[[#This Row],[fecha]],"mmmm"),0)</f>
        <v>Enero</v>
      </c>
    </row>
    <row r="161" spans="1:27" ht="24" x14ac:dyDescent="0.3">
      <c r="A161" s="2">
        <f>IF(BCP_Soles[[#This Row],[tipo_registro]]="R",COUNTIFS($C$1:$C160,"R")+1,A160)</f>
        <v>85</v>
      </c>
      <c r="B161" s="19" t="str">
        <f t="shared" si="16"/>
        <v>B-BCP - Soles</v>
      </c>
      <c r="C161" s="3" t="s">
        <v>1352</v>
      </c>
      <c r="D161" s="14">
        <v>45670</v>
      </c>
      <c r="E161" s="5" t="s">
        <v>1338</v>
      </c>
      <c r="F161" s="5"/>
      <c r="G161" s="6" t="s">
        <v>166</v>
      </c>
      <c r="H161" s="6" t="s">
        <v>68</v>
      </c>
      <c r="I161" s="6" t="s">
        <v>1376</v>
      </c>
      <c r="J161" s="6">
        <v>4277</v>
      </c>
      <c r="K161" s="7" t="s">
        <v>1507</v>
      </c>
      <c r="L161" s="8">
        <v>891542</v>
      </c>
      <c r="M161" s="8" t="str">
        <f t="shared" si="17"/>
        <v>PEN</v>
      </c>
      <c r="N161" s="13"/>
      <c r="O161" s="13">
        <v>118</v>
      </c>
      <c r="P161" s="3">
        <f t="shared" si="18"/>
        <v>0</v>
      </c>
      <c r="Q161" s="3">
        <f t="shared" si="19"/>
        <v>0</v>
      </c>
      <c r="R161" s="3">
        <f t="shared" si="15"/>
        <v>16033.460000000001</v>
      </c>
      <c r="S161" s="24"/>
      <c r="T161" s="24" t="s">
        <v>1334</v>
      </c>
      <c r="U161" s="53"/>
      <c r="V161" s="25">
        <f>IFERROR(VLOOKUP(BCP_Soles[[#This Row],[destinatario]],CHOOSE({1,2},Clientes_Proveedores[Razon Social],Clientes_Proveedores[Ruc / Dni]),2,0),"")</f>
        <v>10425371652</v>
      </c>
      <c r="W161" s="25"/>
      <c r="X161" s="25"/>
      <c r="Y161" s="25"/>
      <c r="Z161" s="75"/>
      <c r="AA161" s="3" t="str">
        <f>IF(BCP_Soles[[#This Row],[fecha]]&gt;0,TEXT(BCP_Soles[[#This Row],[fecha]],"mmmm"),0)</f>
        <v>Enero</v>
      </c>
    </row>
    <row r="162" spans="1:27" ht="36" x14ac:dyDescent="0.3">
      <c r="A162" s="2">
        <f>IF(BCP_Soles[[#This Row],[tipo_registro]]="R",COUNTIFS($C$1:$C161,"R")+1,A161)</f>
        <v>85</v>
      </c>
      <c r="B162" s="19" t="str">
        <f t="shared" si="16"/>
        <v>B-BCP - Soles</v>
      </c>
      <c r="C162" s="3" t="s">
        <v>1352</v>
      </c>
      <c r="D162" s="14">
        <v>45670</v>
      </c>
      <c r="E162" s="5" t="s">
        <v>1338</v>
      </c>
      <c r="F162" s="5"/>
      <c r="G162" s="6" t="s">
        <v>153</v>
      </c>
      <c r="H162" s="6" t="s">
        <v>68</v>
      </c>
      <c r="I162" s="6" t="s">
        <v>1376</v>
      </c>
      <c r="J162" s="6">
        <v>363</v>
      </c>
      <c r="K162" s="7" t="s">
        <v>1507</v>
      </c>
      <c r="L162" s="8">
        <v>891542</v>
      </c>
      <c r="M162" s="8" t="str">
        <f t="shared" si="17"/>
        <v>PEN</v>
      </c>
      <c r="N162" s="13"/>
      <c r="O162" s="13">
        <v>403</v>
      </c>
      <c r="P162" s="3">
        <f t="shared" si="18"/>
        <v>0</v>
      </c>
      <c r="Q162" s="3">
        <f t="shared" si="19"/>
        <v>0</v>
      </c>
      <c r="R162" s="3">
        <f t="shared" si="15"/>
        <v>16033.460000000001</v>
      </c>
      <c r="S162" s="24"/>
      <c r="T162" s="24" t="s">
        <v>1334</v>
      </c>
      <c r="U162" s="53"/>
      <c r="V162" s="25">
        <f>IFERROR(VLOOKUP(BCP_Soles[[#This Row],[destinatario]],CHOOSE({1,2},Clientes_Proveedores[Razon Social],Clientes_Proveedores[Ruc / Dni]),2,0),"")</f>
        <v>10405211179</v>
      </c>
      <c r="W162" s="25"/>
      <c r="X162" s="25"/>
      <c r="Y162" s="25"/>
      <c r="Z162" s="75"/>
      <c r="AA162" s="3" t="str">
        <f>IF(BCP_Soles[[#This Row],[fecha]]&gt;0,TEXT(BCP_Soles[[#This Row],[fecha]],"mmmm"),0)</f>
        <v>Enero</v>
      </c>
    </row>
    <row r="163" spans="1:27" ht="24" x14ac:dyDescent="0.3">
      <c r="A163" s="2">
        <f>IF(BCP_Soles[[#This Row],[tipo_registro]]="R",COUNTIFS($C$1:$C162,"R")+1,A162)</f>
        <v>85</v>
      </c>
      <c r="B163" s="19" t="str">
        <f t="shared" si="16"/>
        <v>B-BCP - Soles</v>
      </c>
      <c r="C163" s="3" t="s">
        <v>1352</v>
      </c>
      <c r="D163" s="14">
        <v>45670</v>
      </c>
      <c r="E163" s="5" t="s">
        <v>1338</v>
      </c>
      <c r="F163" s="5"/>
      <c r="G163" s="6" t="s">
        <v>594</v>
      </c>
      <c r="H163" s="6" t="s">
        <v>68</v>
      </c>
      <c r="I163" s="6" t="s">
        <v>1376</v>
      </c>
      <c r="J163" s="6">
        <v>1863</v>
      </c>
      <c r="K163" s="7" t="s">
        <v>1507</v>
      </c>
      <c r="L163" s="8">
        <v>891542</v>
      </c>
      <c r="M163" s="8" t="str">
        <f t="shared" si="17"/>
        <v>PEN</v>
      </c>
      <c r="N163" s="13"/>
      <c r="O163" s="13">
        <v>70.8</v>
      </c>
      <c r="P163" s="3">
        <f t="shared" si="18"/>
        <v>0</v>
      </c>
      <c r="Q163" s="3">
        <f t="shared" si="19"/>
        <v>0</v>
      </c>
      <c r="R163" s="3">
        <f t="shared" si="15"/>
        <v>16033.460000000001</v>
      </c>
      <c r="S163" s="24"/>
      <c r="T163" s="24" t="s">
        <v>1334</v>
      </c>
      <c r="U163" s="53"/>
      <c r="V163" s="25">
        <f>IFERROR(VLOOKUP(BCP_Soles[[#This Row],[destinatario]],CHOOSE({1,2},Clientes_Proveedores[Razon Social],Clientes_Proveedores[Ruc / Dni]),2,0),"")</f>
        <v>20609764261</v>
      </c>
      <c r="W163" s="25"/>
      <c r="X163" s="25"/>
      <c r="Y163" s="25"/>
      <c r="Z163" s="75"/>
      <c r="AA163" s="3" t="str">
        <f>IF(BCP_Soles[[#This Row],[fecha]]&gt;0,TEXT(BCP_Soles[[#This Row],[fecha]],"mmmm"),0)</f>
        <v>Enero</v>
      </c>
    </row>
    <row r="164" spans="1:27" ht="24" x14ac:dyDescent="0.3">
      <c r="A164" s="2">
        <f>IF(BCP_Soles[[#This Row],[tipo_registro]]="R",COUNTIFS($C$1:$C163,"R")+1,A163)</f>
        <v>85</v>
      </c>
      <c r="B164" s="19" t="str">
        <f t="shared" si="16"/>
        <v>B-BCP - Soles</v>
      </c>
      <c r="C164" s="3" t="s">
        <v>1352</v>
      </c>
      <c r="D164" s="14">
        <v>45670</v>
      </c>
      <c r="E164" s="5" t="s">
        <v>1338</v>
      </c>
      <c r="F164" s="5"/>
      <c r="G164" s="6" t="s">
        <v>594</v>
      </c>
      <c r="H164" s="6" t="s">
        <v>68</v>
      </c>
      <c r="I164" s="6" t="s">
        <v>1376</v>
      </c>
      <c r="J164" s="6">
        <v>1862</v>
      </c>
      <c r="K164" s="7" t="s">
        <v>1507</v>
      </c>
      <c r="L164" s="8">
        <v>891542</v>
      </c>
      <c r="M164" s="8" t="str">
        <f t="shared" si="17"/>
        <v>PEN</v>
      </c>
      <c r="N164" s="13"/>
      <c r="O164" s="13">
        <v>318.60000000000002</v>
      </c>
      <c r="P164" s="3">
        <f t="shared" si="18"/>
        <v>0</v>
      </c>
      <c r="Q164" s="3">
        <f t="shared" si="19"/>
        <v>0</v>
      </c>
      <c r="R164" s="3">
        <f t="shared" si="15"/>
        <v>16033.460000000001</v>
      </c>
      <c r="S164" s="24"/>
      <c r="T164" s="24" t="s">
        <v>1334</v>
      </c>
      <c r="U164" s="53"/>
      <c r="V164" s="25">
        <f>IFERROR(VLOOKUP(BCP_Soles[[#This Row],[destinatario]],CHOOSE({1,2},Clientes_Proveedores[Razon Social],Clientes_Proveedores[Ruc / Dni]),2,0),"")</f>
        <v>20609764261</v>
      </c>
      <c r="W164" s="25"/>
      <c r="X164" s="25"/>
      <c r="Y164" s="25"/>
      <c r="Z164" s="75"/>
      <c r="AA164" s="3" t="str">
        <f>IF(BCP_Soles[[#This Row],[fecha]]&gt;0,TEXT(BCP_Soles[[#This Row],[fecha]],"mmmm"),0)</f>
        <v>Enero</v>
      </c>
    </row>
    <row r="165" spans="1:27" ht="24" x14ac:dyDescent="0.3">
      <c r="A165" s="2">
        <f>IF(BCP_Soles[[#This Row],[tipo_registro]]="R",COUNTIFS($C$1:$C164,"R")+1,A164)</f>
        <v>85</v>
      </c>
      <c r="B165" s="19" t="str">
        <f t="shared" si="16"/>
        <v>B-BCP - Soles</v>
      </c>
      <c r="C165" s="3" t="s">
        <v>1352</v>
      </c>
      <c r="D165" s="14">
        <v>45670</v>
      </c>
      <c r="E165" s="5" t="s">
        <v>1338</v>
      </c>
      <c r="F165" s="5"/>
      <c r="G165" s="6" t="s">
        <v>594</v>
      </c>
      <c r="H165" s="6" t="s">
        <v>68</v>
      </c>
      <c r="I165" s="6" t="s">
        <v>1376</v>
      </c>
      <c r="J165" s="6">
        <v>1861</v>
      </c>
      <c r="K165" s="7" t="s">
        <v>1507</v>
      </c>
      <c r="L165" s="8">
        <v>891542</v>
      </c>
      <c r="M165" s="8" t="str">
        <f t="shared" si="17"/>
        <v>PEN</v>
      </c>
      <c r="N165" s="13"/>
      <c r="O165" s="13">
        <v>70.8</v>
      </c>
      <c r="P165" s="3">
        <f t="shared" si="18"/>
        <v>0</v>
      </c>
      <c r="Q165" s="3">
        <f t="shared" si="19"/>
        <v>0</v>
      </c>
      <c r="R165" s="3">
        <f t="shared" si="15"/>
        <v>16033.460000000001</v>
      </c>
      <c r="S165" s="24"/>
      <c r="T165" s="24" t="s">
        <v>1334</v>
      </c>
      <c r="U165" s="53"/>
      <c r="V165" s="25">
        <f>IFERROR(VLOOKUP(BCP_Soles[[#This Row],[destinatario]],CHOOSE({1,2},Clientes_Proveedores[Razon Social],Clientes_Proveedores[Ruc / Dni]),2,0),"")</f>
        <v>20609764261</v>
      </c>
      <c r="W165" s="25"/>
      <c r="X165" s="25"/>
      <c r="Y165" s="25"/>
      <c r="Z165" s="75"/>
      <c r="AA165" s="3" t="str">
        <f>IF(BCP_Soles[[#This Row],[fecha]]&gt;0,TEXT(BCP_Soles[[#This Row],[fecha]],"mmmm"),0)</f>
        <v>Enero</v>
      </c>
    </row>
    <row r="166" spans="1:27" ht="24" x14ac:dyDescent="0.3">
      <c r="A166" s="2">
        <f>IF(BCP_Soles[[#This Row],[tipo_registro]]="R",COUNTIFS($C$1:$C165,"R")+1,A165)</f>
        <v>85</v>
      </c>
      <c r="B166" s="19" t="str">
        <f t="shared" si="16"/>
        <v>B-BCP - Soles</v>
      </c>
      <c r="C166" s="3" t="s">
        <v>1352</v>
      </c>
      <c r="D166" s="14">
        <v>45670</v>
      </c>
      <c r="E166" s="5" t="s">
        <v>1338</v>
      </c>
      <c r="F166" s="5"/>
      <c r="G166" s="6" t="s">
        <v>594</v>
      </c>
      <c r="H166" s="6" t="s">
        <v>68</v>
      </c>
      <c r="I166" s="6" t="s">
        <v>1376</v>
      </c>
      <c r="J166" s="6">
        <v>1847</v>
      </c>
      <c r="K166" s="7" t="s">
        <v>1507</v>
      </c>
      <c r="L166" s="8">
        <v>891542</v>
      </c>
      <c r="M166" s="8" t="str">
        <f t="shared" si="17"/>
        <v>PEN</v>
      </c>
      <c r="N166" s="13"/>
      <c r="O166" s="13">
        <v>141.6</v>
      </c>
      <c r="P166" s="3">
        <f t="shared" si="18"/>
        <v>0</v>
      </c>
      <c r="Q166" s="3">
        <f t="shared" si="19"/>
        <v>0</v>
      </c>
      <c r="R166" s="3">
        <f t="shared" si="15"/>
        <v>16033.460000000001</v>
      </c>
      <c r="S166" s="24"/>
      <c r="T166" s="24" t="s">
        <v>1334</v>
      </c>
      <c r="U166" s="53"/>
      <c r="V166" s="25">
        <f>IFERROR(VLOOKUP(BCP_Soles[[#This Row],[destinatario]],CHOOSE({1,2},Clientes_Proveedores[Razon Social],Clientes_Proveedores[Ruc / Dni]),2,0),"")</f>
        <v>20609764261</v>
      </c>
      <c r="W166" s="25"/>
      <c r="X166" s="25"/>
      <c r="Y166" s="25"/>
      <c r="Z166" s="75"/>
      <c r="AA166" s="3" t="str">
        <f>IF(BCP_Soles[[#This Row],[fecha]]&gt;0,TEXT(BCP_Soles[[#This Row],[fecha]],"mmmm"),0)</f>
        <v>Enero</v>
      </c>
    </row>
    <row r="167" spans="1:27" ht="24" x14ac:dyDescent="0.3">
      <c r="A167" s="2">
        <f>IF(BCP_Soles[[#This Row],[tipo_registro]]="R",COUNTIFS($C$1:$C166,"R")+1,A166)</f>
        <v>85</v>
      </c>
      <c r="B167" s="19" t="str">
        <f t="shared" si="16"/>
        <v>B-BCP - Soles</v>
      </c>
      <c r="C167" s="3" t="s">
        <v>1352</v>
      </c>
      <c r="D167" s="14">
        <v>45670</v>
      </c>
      <c r="E167" s="5" t="s">
        <v>1338</v>
      </c>
      <c r="F167" s="5"/>
      <c r="G167" s="6" t="s">
        <v>617</v>
      </c>
      <c r="H167" s="6" t="s">
        <v>68</v>
      </c>
      <c r="I167" s="6" t="s">
        <v>1374</v>
      </c>
      <c r="J167" s="6">
        <v>467</v>
      </c>
      <c r="K167" s="7" t="s">
        <v>1507</v>
      </c>
      <c r="L167" s="8">
        <v>891542</v>
      </c>
      <c r="M167" s="8" t="str">
        <f t="shared" si="17"/>
        <v>PEN</v>
      </c>
      <c r="N167" s="13"/>
      <c r="O167" s="13">
        <v>130</v>
      </c>
      <c r="P167" s="3">
        <f t="shared" si="18"/>
        <v>0</v>
      </c>
      <c r="Q167" s="3">
        <f t="shared" si="19"/>
        <v>0</v>
      </c>
      <c r="R167" s="3">
        <f t="shared" si="15"/>
        <v>16033.460000000001</v>
      </c>
      <c r="S167" s="24"/>
      <c r="T167" s="24" t="s">
        <v>1334</v>
      </c>
      <c r="U167" s="53"/>
      <c r="V167" s="25">
        <f>IFERROR(VLOOKUP(BCP_Soles[[#This Row],[destinatario]],CHOOSE({1,2},Clientes_Proveedores[Razon Social],Clientes_Proveedores[Ruc / Dni]),2,0),"")</f>
        <v>20611280999</v>
      </c>
      <c r="W167" s="25"/>
      <c r="X167" s="25"/>
      <c r="Y167" s="25"/>
      <c r="Z167" s="75"/>
      <c r="AA167" s="3" t="str">
        <f>IF(BCP_Soles[[#This Row],[fecha]]&gt;0,TEXT(BCP_Soles[[#This Row],[fecha]],"mmmm"),0)</f>
        <v>Enero</v>
      </c>
    </row>
    <row r="168" spans="1:27" ht="24" x14ac:dyDescent="0.3">
      <c r="A168" s="2">
        <f>IF(BCP_Soles[[#This Row],[tipo_registro]]="R",COUNTIFS($C$1:$C167,"R")+1,A167)</f>
        <v>85</v>
      </c>
      <c r="B168" s="19" t="str">
        <f t="shared" si="16"/>
        <v>B-BCP - Soles</v>
      </c>
      <c r="C168" s="3" t="s">
        <v>1352</v>
      </c>
      <c r="D168" s="14">
        <v>45670</v>
      </c>
      <c r="E168" s="5" t="s">
        <v>1338</v>
      </c>
      <c r="F168" s="5"/>
      <c r="G168" s="6" t="s">
        <v>602</v>
      </c>
      <c r="H168" s="6" t="s">
        <v>68</v>
      </c>
      <c r="I168" s="6" t="s">
        <v>1374</v>
      </c>
      <c r="J168" s="6">
        <v>1465</v>
      </c>
      <c r="K168" s="7" t="s">
        <v>1507</v>
      </c>
      <c r="L168" s="8">
        <v>891542</v>
      </c>
      <c r="M168" s="8" t="str">
        <f t="shared" si="17"/>
        <v>PEN</v>
      </c>
      <c r="N168" s="13"/>
      <c r="O168" s="13">
        <v>1018.34</v>
      </c>
      <c r="P168" s="3">
        <f t="shared" si="18"/>
        <v>0</v>
      </c>
      <c r="Q168" s="3">
        <f t="shared" si="19"/>
        <v>0</v>
      </c>
      <c r="R168" s="3">
        <f t="shared" si="15"/>
        <v>16033.460000000001</v>
      </c>
      <c r="S168" s="24"/>
      <c r="T168" s="24" t="s">
        <v>1334</v>
      </c>
      <c r="U168" s="53"/>
      <c r="V168" s="25">
        <f>IFERROR(VLOOKUP(BCP_Soles[[#This Row],[destinatario]],CHOOSE({1,2},Clientes_Proveedores[Razon Social],Clientes_Proveedores[Ruc / Dni]),2,0),"")</f>
        <v>20610364226</v>
      </c>
      <c r="W168" s="25"/>
      <c r="X168" s="25"/>
      <c r="Y168" s="25"/>
      <c r="Z168" s="75"/>
      <c r="AA168" s="3" t="str">
        <f>IF(BCP_Soles[[#This Row],[fecha]]&gt;0,TEXT(BCP_Soles[[#This Row],[fecha]],"mmmm"),0)</f>
        <v>Enero</v>
      </c>
    </row>
    <row r="169" spans="1:27" ht="36" x14ac:dyDescent="0.3">
      <c r="A169" s="2">
        <f>IF(BCP_Soles[[#This Row],[tipo_registro]]="R",COUNTIFS($C$1:$C168,"R")+1,A168)</f>
        <v>85</v>
      </c>
      <c r="B169" s="19" t="str">
        <f t="shared" si="16"/>
        <v>B-BCP - Soles</v>
      </c>
      <c r="C169" s="3" t="s">
        <v>1352</v>
      </c>
      <c r="D169" s="14">
        <v>45670</v>
      </c>
      <c r="E169" s="5" t="s">
        <v>1338</v>
      </c>
      <c r="F169" s="5"/>
      <c r="G169" s="6" t="s">
        <v>277</v>
      </c>
      <c r="H169" s="6" t="s">
        <v>68</v>
      </c>
      <c r="I169" s="6" t="s">
        <v>1390</v>
      </c>
      <c r="J169" s="6">
        <v>1500</v>
      </c>
      <c r="K169" s="7" t="s">
        <v>1507</v>
      </c>
      <c r="L169" s="8">
        <v>891542</v>
      </c>
      <c r="M169" s="8" t="str">
        <f t="shared" si="17"/>
        <v>PEN</v>
      </c>
      <c r="N169" s="13"/>
      <c r="O169" s="13">
        <v>1536</v>
      </c>
      <c r="P169" s="3">
        <f t="shared" si="18"/>
        <v>0</v>
      </c>
      <c r="Q169" s="3">
        <f t="shared" si="19"/>
        <v>0</v>
      </c>
      <c r="R169" s="3">
        <f t="shared" si="15"/>
        <v>16033.460000000001</v>
      </c>
      <c r="S169" s="24"/>
      <c r="T169" s="24" t="s">
        <v>1334</v>
      </c>
      <c r="U169" s="53"/>
      <c r="V169" s="25">
        <f>IFERROR(VLOOKUP(BCP_Soles[[#This Row],[destinatario]],CHOOSE({1,2},Clientes_Proveedores[Razon Social],Clientes_Proveedores[Ruc / Dni]),2,0),"")</f>
        <v>20429640939</v>
      </c>
      <c r="W169" s="25"/>
      <c r="X169" s="25"/>
      <c r="Y169" s="25"/>
      <c r="Z169" s="75"/>
      <c r="AA169" s="3" t="str">
        <f>IF(BCP_Soles[[#This Row],[fecha]]&gt;0,TEXT(BCP_Soles[[#This Row],[fecha]],"mmmm"),0)</f>
        <v>Enero</v>
      </c>
    </row>
    <row r="170" spans="1:27" ht="24" x14ac:dyDescent="0.3">
      <c r="A170" s="2">
        <f>IF(BCP_Soles[[#This Row],[tipo_registro]]="R",COUNTIFS($C$1:$C169,"R")+1,A169)</f>
        <v>86</v>
      </c>
      <c r="B170" s="19" t="str">
        <f t="shared" si="16"/>
        <v>B-BCP - Soles</v>
      </c>
      <c r="C170" s="3" t="s">
        <v>1330</v>
      </c>
      <c r="D170" s="14">
        <v>45670</v>
      </c>
      <c r="E170" s="5" t="s">
        <v>1338</v>
      </c>
      <c r="F170" s="5" t="s">
        <v>1336</v>
      </c>
      <c r="G170" s="6" t="s">
        <v>901</v>
      </c>
      <c r="H170" s="6"/>
      <c r="I170" s="6"/>
      <c r="J170" s="6"/>
      <c r="K170" s="7" t="s">
        <v>1509</v>
      </c>
      <c r="L170" s="8">
        <v>1110189</v>
      </c>
      <c r="M170" s="8" t="str">
        <f t="shared" si="17"/>
        <v>PEN</v>
      </c>
      <c r="N170" s="13"/>
      <c r="O170" s="13">
        <v>2970.15</v>
      </c>
      <c r="P170" s="3">
        <f t="shared" si="18"/>
        <v>0</v>
      </c>
      <c r="Q170" s="3">
        <f t="shared" si="19"/>
        <v>2970.15</v>
      </c>
      <c r="R170" s="3">
        <f t="shared" si="15"/>
        <v>13063.310000000001</v>
      </c>
      <c r="S170" s="24"/>
      <c r="T170" s="24" t="s">
        <v>1334</v>
      </c>
      <c r="U170" s="53"/>
      <c r="V170" s="25">
        <f>IFERROR(VLOOKUP(BCP_Soles[[#This Row],[destinatario]],CHOOSE({1,2},Clientes_Proveedores[Razon Social],Clientes_Proveedores[Ruc / Dni]),2,0),"")</f>
        <v>72131384</v>
      </c>
      <c r="W170" s="25" t="s">
        <v>901</v>
      </c>
      <c r="X170" s="25" t="s">
        <v>1510</v>
      </c>
      <c r="Y170" s="25"/>
      <c r="Z170" s="75"/>
      <c r="AA170" s="3" t="str">
        <f>IF(BCP_Soles[[#This Row],[fecha]]&gt;0,TEXT(BCP_Soles[[#This Row],[fecha]],"mmmm"),0)</f>
        <v>Enero</v>
      </c>
    </row>
    <row r="171" spans="1:27" ht="24" x14ac:dyDescent="0.3">
      <c r="A171" s="2">
        <f>IF(BCP_Soles[[#This Row],[tipo_registro]]="R",COUNTIFS($C$1:$C170,"R")+1,A170)</f>
        <v>87</v>
      </c>
      <c r="B171" s="19" t="str">
        <f t="shared" si="16"/>
        <v>B-BCP - Soles</v>
      </c>
      <c r="C171" s="3" t="s">
        <v>1330</v>
      </c>
      <c r="D171" s="14">
        <v>45670</v>
      </c>
      <c r="E171" s="5" t="s">
        <v>1511</v>
      </c>
      <c r="F171" s="5" t="s">
        <v>1336</v>
      </c>
      <c r="G171" s="6" t="s">
        <v>920</v>
      </c>
      <c r="H171" s="6"/>
      <c r="I171" s="6"/>
      <c r="J171" s="6"/>
      <c r="K171" s="7" t="s">
        <v>1512</v>
      </c>
      <c r="L171" s="8">
        <v>1221026</v>
      </c>
      <c r="M171" s="8" t="str">
        <f t="shared" si="17"/>
        <v>PEN</v>
      </c>
      <c r="N171" s="13"/>
      <c r="O171" s="13">
        <v>1952.59</v>
      </c>
      <c r="P171" s="3">
        <f t="shared" si="18"/>
        <v>0</v>
      </c>
      <c r="Q171" s="3">
        <f t="shared" si="19"/>
        <v>1952.59</v>
      </c>
      <c r="R171" s="3">
        <f t="shared" si="15"/>
        <v>11110.720000000001</v>
      </c>
      <c r="S171" s="24" t="s">
        <v>1334</v>
      </c>
      <c r="T171" s="24" t="s">
        <v>1334</v>
      </c>
      <c r="U171" s="53"/>
      <c r="V171" s="25">
        <f>IFERROR(VLOOKUP(BCP_Soles[[#This Row],[destinatario]],CHOOSE({1,2},Clientes_Proveedores[Razon Social],Clientes_Proveedores[Ruc / Dni]),2,0),"")</f>
        <v>46809818</v>
      </c>
      <c r="W171" s="25" t="s">
        <v>920</v>
      </c>
      <c r="X171" s="25"/>
      <c r="Y171" s="25"/>
      <c r="Z171" s="75"/>
      <c r="AA171" s="3" t="str">
        <f>IF(BCP_Soles[[#This Row],[fecha]]&gt;0,TEXT(BCP_Soles[[#This Row],[fecha]],"mmmm"),0)</f>
        <v>Enero</v>
      </c>
    </row>
    <row r="172" spans="1:27" x14ac:dyDescent="0.3">
      <c r="A172" s="2">
        <f>IF(BCP_Soles[[#This Row],[tipo_registro]]="R",COUNTIFS($C$1:$C171,"R")+1,A171)</f>
        <v>88</v>
      </c>
      <c r="B172" s="19" t="str">
        <f t="shared" si="16"/>
        <v>B-BCP - Soles</v>
      </c>
      <c r="C172" s="3" t="s">
        <v>1330</v>
      </c>
      <c r="D172" s="14">
        <v>45670</v>
      </c>
      <c r="E172" s="5" t="s">
        <v>1338</v>
      </c>
      <c r="F172" s="5" t="s">
        <v>1336</v>
      </c>
      <c r="G172" s="6" t="s">
        <v>695</v>
      </c>
      <c r="H172" s="6" t="s">
        <v>68</v>
      </c>
      <c r="I172" s="6" t="s">
        <v>1513</v>
      </c>
      <c r="J172" s="6">
        <v>140698</v>
      </c>
      <c r="K172" s="7" t="s">
        <v>1378</v>
      </c>
      <c r="L172" s="8">
        <v>102195</v>
      </c>
      <c r="M172" s="8" t="str">
        <f t="shared" si="17"/>
        <v>PEN</v>
      </c>
      <c r="N172" s="13"/>
      <c r="O172" s="13">
        <v>1272.8800000000001</v>
      </c>
      <c r="P172" s="3">
        <f t="shared" si="18"/>
        <v>0</v>
      </c>
      <c r="Q172" s="3">
        <f t="shared" si="19"/>
        <v>1272.8800000000001</v>
      </c>
      <c r="R172" s="3">
        <f t="shared" si="15"/>
        <v>9837.84</v>
      </c>
      <c r="S172" s="24" t="s">
        <v>1334</v>
      </c>
      <c r="T172" s="24" t="s">
        <v>1334</v>
      </c>
      <c r="U172" s="53"/>
      <c r="V172" s="25">
        <f>IFERROR(VLOOKUP(BCP_Soles[[#This Row],[destinatario]],CHOOSE({1,2},Clientes_Proveedores[Razon Social],Clientes_Proveedores[Ruc / Dni]),2,0),"")</f>
        <v>20127765279</v>
      </c>
      <c r="W172" s="25" t="s">
        <v>1379</v>
      </c>
      <c r="X172" s="25" t="s">
        <v>1514</v>
      </c>
      <c r="Y172" s="25"/>
      <c r="Z172" s="75"/>
      <c r="AA172" s="3" t="str">
        <f>IF(BCP_Soles[[#This Row],[fecha]]&gt;0,TEXT(BCP_Soles[[#This Row],[fecha]],"mmmm"),0)</f>
        <v>Enero</v>
      </c>
    </row>
    <row r="173" spans="1:27" x14ac:dyDescent="0.3">
      <c r="A173" s="2">
        <f>IF(BCP_Soles[[#This Row],[tipo_registro]]="R",COUNTIFS($C$1:$C172,"R")+1,A172)</f>
        <v>89</v>
      </c>
      <c r="B173" s="19" t="str">
        <f t="shared" si="16"/>
        <v>B-BCP - Soles</v>
      </c>
      <c r="C173" s="3" t="s">
        <v>1330</v>
      </c>
      <c r="D173" s="14">
        <v>45670</v>
      </c>
      <c r="E173" s="5" t="s">
        <v>1338</v>
      </c>
      <c r="F173" s="5" t="s">
        <v>1336</v>
      </c>
      <c r="G173" s="6" t="s">
        <v>695</v>
      </c>
      <c r="H173" s="6" t="s">
        <v>68</v>
      </c>
      <c r="I173" s="6" t="s">
        <v>1377</v>
      </c>
      <c r="J173" s="6">
        <v>142235</v>
      </c>
      <c r="K173" s="7" t="s">
        <v>1378</v>
      </c>
      <c r="L173" s="8">
        <v>165163</v>
      </c>
      <c r="M173" s="8" t="str">
        <f t="shared" si="17"/>
        <v>PEN</v>
      </c>
      <c r="N173" s="13"/>
      <c r="O173" s="13">
        <v>1042.74</v>
      </c>
      <c r="P173" s="3">
        <f t="shared" si="18"/>
        <v>0</v>
      </c>
      <c r="Q173" s="3">
        <f t="shared" si="19"/>
        <v>1042.74</v>
      </c>
      <c r="R173" s="3">
        <f t="shared" si="15"/>
        <v>8795.1</v>
      </c>
      <c r="S173" s="24" t="s">
        <v>1334</v>
      </c>
      <c r="T173" s="24" t="s">
        <v>1334</v>
      </c>
      <c r="U173" s="53"/>
      <c r="V173" s="25">
        <f>IFERROR(VLOOKUP(BCP_Soles[[#This Row],[destinatario]],CHOOSE({1,2},Clientes_Proveedores[Razon Social],Clientes_Proveedores[Ruc / Dni]),2,0),"")</f>
        <v>20127765279</v>
      </c>
      <c r="W173" s="25" t="s">
        <v>1379</v>
      </c>
      <c r="X173" s="25" t="s">
        <v>1515</v>
      </c>
      <c r="Y173" s="25"/>
      <c r="Z173" s="75"/>
      <c r="AA173" s="3" t="str">
        <f>IF(BCP_Soles[[#This Row],[fecha]]&gt;0,TEXT(BCP_Soles[[#This Row],[fecha]],"mmmm"),0)</f>
        <v>Enero</v>
      </c>
    </row>
    <row r="174" spans="1:27" ht="24" x14ac:dyDescent="0.3">
      <c r="A174" s="2">
        <f>IF(BCP_Soles[[#This Row],[tipo_registro]]="R",COUNTIFS($C$1:$C173,"R")+1,A173)</f>
        <v>90</v>
      </c>
      <c r="B174" s="19" t="str">
        <f t="shared" si="16"/>
        <v>B-BCP - Soles</v>
      </c>
      <c r="C174" s="3" t="s">
        <v>1330</v>
      </c>
      <c r="D174" s="14">
        <v>45670</v>
      </c>
      <c r="E174" s="5" t="s">
        <v>1338</v>
      </c>
      <c r="F174" s="5" t="s">
        <v>1336</v>
      </c>
      <c r="G174" s="6" t="s">
        <v>241</v>
      </c>
      <c r="H174" s="6" t="s">
        <v>68</v>
      </c>
      <c r="I174" s="6" t="s">
        <v>1339</v>
      </c>
      <c r="J174" s="6">
        <v>6980</v>
      </c>
      <c r="K174" s="7" t="s">
        <v>1516</v>
      </c>
      <c r="L174" s="8">
        <v>1224015</v>
      </c>
      <c r="M174" s="8" t="str">
        <f t="shared" si="17"/>
        <v>PEN</v>
      </c>
      <c r="N174" s="13"/>
      <c r="O174" s="13">
        <v>273</v>
      </c>
      <c r="P174" s="3">
        <f t="shared" si="18"/>
        <v>0</v>
      </c>
      <c r="Q174" s="3">
        <f t="shared" si="19"/>
        <v>273</v>
      </c>
      <c r="R174" s="3">
        <f t="shared" si="15"/>
        <v>8522.1</v>
      </c>
      <c r="S174" s="24" t="s">
        <v>1334</v>
      </c>
      <c r="T174" s="24" t="s">
        <v>1334</v>
      </c>
      <c r="U174" s="53"/>
      <c r="V174" s="25">
        <f>IFERROR(VLOOKUP(BCP_Soles[[#This Row],[destinatario]],CHOOSE({1,2},Clientes_Proveedores[Razon Social],Clientes_Proveedores[Ruc / Dni]),2,0),"")</f>
        <v>20170040938</v>
      </c>
      <c r="W174" s="25" t="s">
        <v>1341</v>
      </c>
      <c r="X174" s="25" t="s">
        <v>1517</v>
      </c>
      <c r="Y174" s="25"/>
      <c r="Z174" s="75"/>
      <c r="AA174" s="3" t="str">
        <f>IF(BCP_Soles[[#This Row],[fecha]]&gt;0,TEXT(BCP_Soles[[#This Row],[fecha]],"mmmm"),0)</f>
        <v>Enero</v>
      </c>
    </row>
    <row r="175" spans="1:27" ht="24" x14ac:dyDescent="0.3">
      <c r="A175" s="2">
        <f>IF(BCP_Soles[[#This Row],[tipo_registro]]="R",COUNTIFS($C$1:$C174,"R")+1,A174)</f>
        <v>91</v>
      </c>
      <c r="B175" s="19" t="str">
        <f t="shared" si="16"/>
        <v>B-BCP - Soles</v>
      </c>
      <c r="C175" s="3" t="s">
        <v>1330</v>
      </c>
      <c r="D175" s="14">
        <v>45670</v>
      </c>
      <c r="E175" s="5" t="s">
        <v>1338</v>
      </c>
      <c r="F175" s="5" t="s">
        <v>1336</v>
      </c>
      <c r="G175" s="6" t="s">
        <v>241</v>
      </c>
      <c r="H175" s="6" t="s">
        <v>68</v>
      </c>
      <c r="I175" s="6" t="s">
        <v>1339</v>
      </c>
      <c r="J175" s="6">
        <v>6980</v>
      </c>
      <c r="K175" s="7" t="s">
        <v>1518</v>
      </c>
      <c r="L175" s="8">
        <v>1222020</v>
      </c>
      <c r="M175" s="8" t="str">
        <f t="shared" si="17"/>
        <v>PEN</v>
      </c>
      <c r="N175" s="13"/>
      <c r="O175" s="13">
        <v>250.7</v>
      </c>
      <c r="P175" s="3">
        <f t="shared" si="18"/>
        <v>0</v>
      </c>
      <c r="Q175" s="3">
        <f t="shared" si="19"/>
        <v>250.7</v>
      </c>
      <c r="R175" s="3">
        <f t="shared" si="15"/>
        <v>8271.4</v>
      </c>
      <c r="S175" s="24" t="s">
        <v>1334</v>
      </c>
      <c r="T175" s="24" t="s">
        <v>1334</v>
      </c>
      <c r="U175" s="53"/>
      <c r="V175" s="25">
        <f>IFERROR(VLOOKUP(BCP_Soles[[#This Row],[destinatario]],CHOOSE({1,2},Clientes_Proveedores[Razon Social],Clientes_Proveedores[Ruc / Dni]),2,0),"")</f>
        <v>20170040938</v>
      </c>
      <c r="W175" s="25" t="s">
        <v>1341</v>
      </c>
      <c r="X175" s="25" t="s">
        <v>1517</v>
      </c>
      <c r="Y175" s="25"/>
      <c r="Z175" s="75"/>
      <c r="AA175" s="3" t="str">
        <f>IF(BCP_Soles[[#This Row],[fecha]]&gt;0,TEXT(BCP_Soles[[#This Row],[fecha]],"mmmm"),0)</f>
        <v>Enero</v>
      </c>
    </row>
    <row r="176" spans="1:27" ht="24" x14ac:dyDescent="0.3">
      <c r="A176" s="2">
        <f>IF(BCP_Soles[[#This Row],[tipo_registro]]="R",COUNTIFS($C$1:$C175,"R")+1,A175)</f>
        <v>92</v>
      </c>
      <c r="B176" s="19" t="str">
        <f t="shared" si="16"/>
        <v>B-BCP - Soles</v>
      </c>
      <c r="C176" s="3" t="s">
        <v>1330</v>
      </c>
      <c r="D176" s="14">
        <v>45670</v>
      </c>
      <c r="E176" s="5" t="s">
        <v>1335</v>
      </c>
      <c r="F176" s="5" t="s">
        <v>1336</v>
      </c>
      <c r="G176" s="6" t="s">
        <v>1060</v>
      </c>
      <c r="H176" s="6" t="s">
        <v>68</v>
      </c>
      <c r="I176" s="6" t="s">
        <v>1397</v>
      </c>
      <c r="J176" s="6">
        <v>28347450</v>
      </c>
      <c r="K176" s="7" t="s">
        <v>1519</v>
      </c>
      <c r="L176" s="8">
        <v>891559</v>
      </c>
      <c r="M176" s="8" t="str">
        <f t="shared" si="17"/>
        <v>PEN</v>
      </c>
      <c r="N176" s="13"/>
      <c r="O176" s="13">
        <v>2.5</v>
      </c>
      <c r="P176" s="3">
        <f t="shared" si="18"/>
        <v>0</v>
      </c>
      <c r="Q176" s="3">
        <f t="shared" si="19"/>
        <v>2.5</v>
      </c>
      <c r="R176" s="3">
        <f t="shared" si="15"/>
        <v>8268.9</v>
      </c>
      <c r="S176" s="24"/>
      <c r="T176" s="24" t="s">
        <v>1334</v>
      </c>
      <c r="U176" s="53"/>
      <c r="V176" s="25">
        <f>IFERROR(VLOOKUP(BCP_Soles[[#This Row],[destinatario]],CHOOSE({1,2},Clientes_Proveedores[Razon Social],Clientes_Proveedores[Ruc / Dni]),2,0),"")</f>
        <v>20100047218</v>
      </c>
      <c r="W176" s="25" t="s">
        <v>1335</v>
      </c>
      <c r="X176" s="25"/>
      <c r="Y176" s="25"/>
      <c r="Z176" s="75"/>
      <c r="AA176" s="3" t="str">
        <f>IF(BCP_Soles[[#This Row],[fecha]]&gt;0,TEXT(BCP_Soles[[#This Row],[fecha]],"mmmm"),0)</f>
        <v>Enero</v>
      </c>
    </row>
    <row r="177" spans="1:27" ht="84" x14ac:dyDescent="0.3">
      <c r="A177" s="2">
        <f>IF(BCP_Soles[[#This Row],[tipo_registro]]="R",COUNTIFS($C$1:$C176,"R")+1,A176)</f>
        <v>93</v>
      </c>
      <c r="B177" s="19" t="str">
        <f t="shared" si="16"/>
        <v>B-BCP - Soles</v>
      </c>
      <c r="C177" s="3" t="s">
        <v>1330</v>
      </c>
      <c r="D177" s="14">
        <v>45670</v>
      </c>
      <c r="E177" s="5" t="s">
        <v>358</v>
      </c>
      <c r="F177" s="5" t="s">
        <v>1303</v>
      </c>
      <c r="G177" s="6" t="s">
        <v>425</v>
      </c>
      <c r="H177" s="6"/>
      <c r="I177" s="6"/>
      <c r="J177" s="6"/>
      <c r="K177" s="7" t="s">
        <v>1520</v>
      </c>
      <c r="L177" s="8">
        <v>2248689</v>
      </c>
      <c r="M177" s="8" t="str">
        <f t="shared" si="17"/>
        <v>PEN</v>
      </c>
      <c r="N177" s="13"/>
      <c r="O177" s="13">
        <v>1807.12</v>
      </c>
      <c r="P177" s="3">
        <f t="shared" si="18"/>
        <v>1807.12</v>
      </c>
      <c r="Q177" s="3">
        <f t="shared" si="19"/>
        <v>0</v>
      </c>
      <c r="R177" s="3">
        <f t="shared" si="15"/>
        <v>10076.02</v>
      </c>
      <c r="S177" s="24" t="s">
        <v>1334</v>
      </c>
      <c r="T177" s="24" t="s">
        <v>1334</v>
      </c>
      <c r="U177" s="53"/>
      <c r="V177" s="25">
        <f>IFERROR(VLOOKUP(BCP_Soles[[#This Row],[destinatario]],CHOOSE({1,2},Clientes_Proveedores[Razon Social],Clientes_Proveedores[Ruc / Dni]),2,0),"")</f>
        <v>20558226979</v>
      </c>
      <c r="W177" s="25" t="s">
        <v>1345</v>
      </c>
      <c r="X177" s="25" t="s">
        <v>1521</v>
      </c>
      <c r="Y177" s="25"/>
      <c r="Z177" s="75"/>
      <c r="AA177" s="3" t="str">
        <f>IF(BCP_Soles[[#This Row],[fecha]]&gt;0,TEXT(BCP_Soles[[#This Row],[fecha]],"mmmm"),0)</f>
        <v>Enero</v>
      </c>
    </row>
    <row r="178" spans="1:27" x14ac:dyDescent="0.3">
      <c r="A178" s="2">
        <f>IF(BCP_Soles[[#This Row],[tipo_registro]]="R",COUNTIFS($C$1:$C177,"R")+1,A177)</f>
        <v>94</v>
      </c>
      <c r="B178" s="19" t="str">
        <f t="shared" si="16"/>
        <v>B-BCP - Soles</v>
      </c>
      <c r="C178" s="3" t="s">
        <v>1330</v>
      </c>
      <c r="D178" s="14">
        <v>45671</v>
      </c>
      <c r="E178" s="5"/>
      <c r="F178" s="5" t="s">
        <v>1303</v>
      </c>
      <c r="G178" s="6" t="s">
        <v>425</v>
      </c>
      <c r="H178" s="6"/>
      <c r="I178" s="6"/>
      <c r="J178" s="6"/>
      <c r="K178" s="7" t="s">
        <v>1356</v>
      </c>
      <c r="L178" s="8">
        <v>654165</v>
      </c>
      <c r="M178" s="8" t="str">
        <f t="shared" si="17"/>
        <v>PEN</v>
      </c>
      <c r="N178" s="13"/>
      <c r="O178" s="13">
        <v>5000</v>
      </c>
      <c r="P178" s="3">
        <f t="shared" si="18"/>
        <v>5000</v>
      </c>
      <c r="Q178" s="3">
        <f t="shared" si="19"/>
        <v>0</v>
      </c>
      <c r="R178" s="3">
        <f t="shared" si="15"/>
        <v>15076.02</v>
      </c>
      <c r="S178" s="24" t="s">
        <v>1334</v>
      </c>
      <c r="T178" s="24" t="s">
        <v>1334</v>
      </c>
      <c r="U178" s="53"/>
      <c r="V178" s="25">
        <f>IFERROR(VLOOKUP(BCP_Soles[[#This Row],[destinatario]],CHOOSE({1,2},Clientes_Proveedores[Razon Social],Clientes_Proveedores[Ruc / Dni]),2,0),"")</f>
        <v>20558226979</v>
      </c>
      <c r="W178" s="25" t="s">
        <v>1345</v>
      </c>
      <c r="X178" s="25"/>
      <c r="Y178" s="25"/>
      <c r="Z178" s="75"/>
      <c r="AA178" s="3" t="str">
        <f>IF(BCP_Soles[[#This Row],[fecha]]&gt;0,TEXT(BCP_Soles[[#This Row],[fecha]],"mmmm"),0)</f>
        <v>Enero</v>
      </c>
    </row>
    <row r="179" spans="1:27" x14ac:dyDescent="0.3">
      <c r="A179" s="2">
        <f>IF(BCP_Soles[[#This Row],[tipo_registro]]="R",COUNTIFS($C$1:$C178,"R")+1,A178)</f>
        <v>94</v>
      </c>
      <c r="B179" s="19" t="str">
        <f t="shared" si="16"/>
        <v>B-BCP - Soles</v>
      </c>
      <c r="C179" s="3" t="s">
        <v>1352</v>
      </c>
      <c r="D179" s="14">
        <v>45671</v>
      </c>
      <c r="E179" s="5" t="s">
        <v>1522</v>
      </c>
      <c r="F179" s="5" t="s">
        <v>1303</v>
      </c>
      <c r="G179" s="6" t="s">
        <v>425</v>
      </c>
      <c r="H179" s="6" t="s">
        <v>119</v>
      </c>
      <c r="I179" s="6">
        <v>1</v>
      </c>
      <c r="J179" s="6">
        <v>3988</v>
      </c>
      <c r="K179" s="7" t="s">
        <v>1356</v>
      </c>
      <c r="L179" s="8">
        <v>654165</v>
      </c>
      <c r="M179" s="8" t="str">
        <f t="shared" si="17"/>
        <v>PEN</v>
      </c>
      <c r="N179" s="13">
        <v>2700</v>
      </c>
      <c r="O179" s="13"/>
      <c r="P179" s="3">
        <f t="shared" si="18"/>
        <v>0</v>
      </c>
      <c r="Q179" s="3">
        <f t="shared" si="19"/>
        <v>0</v>
      </c>
      <c r="R179" s="3">
        <f t="shared" si="15"/>
        <v>15076.02</v>
      </c>
      <c r="S179" s="24" t="s">
        <v>1334</v>
      </c>
      <c r="T179" s="24" t="s">
        <v>1334</v>
      </c>
      <c r="U179" s="53"/>
      <c r="V179" s="25">
        <f>IFERROR(VLOOKUP(BCP_Soles[[#This Row],[destinatario]],CHOOSE({1,2},Clientes_Proveedores[Razon Social],Clientes_Proveedores[Ruc / Dni]),2,0),"")</f>
        <v>20558226979</v>
      </c>
      <c r="W179" s="25" t="s">
        <v>1345</v>
      </c>
      <c r="X179" s="25" t="s">
        <v>1523</v>
      </c>
      <c r="Y179" s="25"/>
      <c r="Z179" s="75"/>
      <c r="AA179" s="3" t="str">
        <f>IF(BCP_Soles[[#This Row],[fecha]]&gt;0,TEXT(BCP_Soles[[#This Row],[fecha]],"mmmm"),0)</f>
        <v>Enero</v>
      </c>
    </row>
    <row r="180" spans="1:27" x14ac:dyDescent="0.3">
      <c r="A180" s="2">
        <f>IF(BCP_Soles[[#This Row],[tipo_registro]]="R",COUNTIFS($C$1:$C179,"R")+1,A179)</f>
        <v>94</v>
      </c>
      <c r="B180" s="19" t="str">
        <f t="shared" si="16"/>
        <v>B-BCP - Soles</v>
      </c>
      <c r="C180" s="3" t="s">
        <v>1352</v>
      </c>
      <c r="D180" s="14">
        <v>45671</v>
      </c>
      <c r="E180" s="5" t="s">
        <v>1522</v>
      </c>
      <c r="F180" s="5" t="s">
        <v>1303</v>
      </c>
      <c r="G180" s="6" t="s">
        <v>425</v>
      </c>
      <c r="H180" s="6" t="s">
        <v>119</v>
      </c>
      <c r="I180" s="6">
        <v>1</v>
      </c>
      <c r="J180" s="6">
        <v>3996</v>
      </c>
      <c r="K180" s="7" t="s">
        <v>1356</v>
      </c>
      <c r="L180" s="8">
        <v>654165</v>
      </c>
      <c r="M180" s="8" t="str">
        <f t="shared" si="17"/>
        <v>PEN</v>
      </c>
      <c r="N180" s="13">
        <v>1320</v>
      </c>
      <c r="O180" s="13"/>
      <c r="P180" s="3">
        <f t="shared" si="18"/>
        <v>0</v>
      </c>
      <c r="Q180" s="3">
        <f t="shared" si="19"/>
        <v>0</v>
      </c>
      <c r="R180" s="3">
        <f t="shared" si="15"/>
        <v>15076.02</v>
      </c>
      <c r="S180" s="24" t="s">
        <v>1334</v>
      </c>
      <c r="T180" s="24" t="s">
        <v>1334</v>
      </c>
      <c r="U180" s="53"/>
      <c r="V180" s="25">
        <f>IFERROR(VLOOKUP(BCP_Soles[[#This Row],[destinatario]],CHOOSE({1,2},Clientes_Proveedores[Razon Social],Clientes_Proveedores[Ruc / Dni]),2,0),"")</f>
        <v>20558226979</v>
      </c>
      <c r="W180" s="25" t="s">
        <v>1345</v>
      </c>
      <c r="X180" s="25" t="s">
        <v>1524</v>
      </c>
      <c r="Y180" s="25"/>
      <c r="Z180" s="75"/>
      <c r="AA180" s="3" t="str">
        <f>IF(BCP_Soles[[#This Row],[fecha]]&gt;0,TEXT(BCP_Soles[[#This Row],[fecha]],"mmmm"),0)</f>
        <v>Enero</v>
      </c>
    </row>
    <row r="181" spans="1:27" x14ac:dyDescent="0.3">
      <c r="A181" s="2">
        <f>IF(BCP_Soles[[#This Row],[tipo_registro]]="R",COUNTIFS($C$1:$C180,"R")+1,A180)</f>
        <v>94</v>
      </c>
      <c r="B181" s="19" t="str">
        <f t="shared" si="16"/>
        <v>B-BCP - Soles</v>
      </c>
      <c r="C181" s="3" t="s">
        <v>1352</v>
      </c>
      <c r="D181" s="14">
        <v>45671</v>
      </c>
      <c r="E181" s="5" t="s">
        <v>1522</v>
      </c>
      <c r="F181" s="5" t="s">
        <v>1303</v>
      </c>
      <c r="G181" s="6" t="s">
        <v>425</v>
      </c>
      <c r="H181" s="6" t="s">
        <v>119</v>
      </c>
      <c r="I181" s="6">
        <v>1</v>
      </c>
      <c r="J181" s="6">
        <v>3998</v>
      </c>
      <c r="K181" s="7" t="s">
        <v>1356</v>
      </c>
      <c r="L181" s="8">
        <v>654165</v>
      </c>
      <c r="M181" s="8" t="str">
        <f t="shared" si="17"/>
        <v>PEN</v>
      </c>
      <c r="N181" s="13">
        <v>980</v>
      </c>
      <c r="O181" s="13"/>
      <c r="P181" s="3">
        <f t="shared" si="18"/>
        <v>0</v>
      </c>
      <c r="Q181" s="3">
        <f t="shared" si="19"/>
        <v>0</v>
      </c>
      <c r="R181" s="3">
        <f t="shared" si="15"/>
        <v>15076.02</v>
      </c>
      <c r="S181" s="24" t="s">
        <v>1334</v>
      </c>
      <c r="T181" s="24" t="s">
        <v>1334</v>
      </c>
      <c r="U181" s="53"/>
      <c r="V181" s="25">
        <f>IFERROR(VLOOKUP(BCP_Soles[[#This Row],[destinatario]],CHOOSE({1,2},Clientes_Proveedores[Razon Social],Clientes_Proveedores[Ruc / Dni]),2,0),"")</f>
        <v>20558226979</v>
      </c>
      <c r="W181" s="25" t="s">
        <v>1345</v>
      </c>
      <c r="X181" s="25" t="s">
        <v>1525</v>
      </c>
      <c r="Y181" s="25"/>
      <c r="Z181" s="75"/>
      <c r="AA181" s="3" t="str">
        <f>IF(BCP_Soles[[#This Row],[fecha]]&gt;0,TEXT(BCP_Soles[[#This Row],[fecha]],"mmmm"),0)</f>
        <v>Enero</v>
      </c>
    </row>
    <row r="182" spans="1:27" ht="48" x14ac:dyDescent="0.3">
      <c r="A182" s="2">
        <f>IF(BCP_Soles[[#This Row],[tipo_registro]]="R",COUNTIFS($C$1:$C181,"R")+1,A181)</f>
        <v>95</v>
      </c>
      <c r="B182" s="19" t="str">
        <f t="shared" si="16"/>
        <v>B-BCP - Soles</v>
      </c>
      <c r="C182" s="3" t="s">
        <v>1330</v>
      </c>
      <c r="D182" s="14">
        <v>45671</v>
      </c>
      <c r="E182" s="5" t="s">
        <v>1338</v>
      </c>
      <c r="F182" s="5" t="s">
        <v>1336</v>
      </c>
      <c r="G182" s="6" t="s">
        <v>501</v>
      </c>
      <c r="H182" s="6" t="s">
        <v>68</v>
      </c>
      <c r="I182" s="6" t="s">
        <v>1526</v>
      </c>
      <c r="J182" s="6">
        <v>9090</v>
      </c>
      <c r="K182" s="7" t="s">
        <v>1527</v>
      </c>
      <c r="L182" s="8">
        <v>1035059</v>
      </c>
      <c r="M182" s="8" t="str">
        <f t="shared" si="17"/>
        <v>PEN</v>
      </c>
      <c r="N182" s="13"/>
      <c r="O182" s="13">
        <v>120</v>
      </c>
      <c r="P182" s="3">
        <f t="shared" si="18"/>
        <v>0</v>
      </c>
      <c r="Q182" s="3">
        <f t="shared" si="19"/>
        <v>120</v>
      </c>
      <c r="R182" s="3">
        <f t="shared" si="15"/>
        <v>14956.02</v>
      </c>
      <c r="S182" s="24" t="s">
        <v>1334</v>
      </c>
      <c r="T182" s="24" t="s">
        <v>1334</v>
      </c>
      <c r="U182" s="53"/>
      <c r="V182" s="25">
        <f>IFERROR(VLOOKUP(BCP_Soles[[#This Row],[destinatario]],CHOOSE({1,2},Clientes_Proveedores[Razon Social],Clientes_Proveedores[Ruc / Dni]),2,0),"")</f>
        <v>20602978274</v>
      </c>
      <c r="W182" s="25" t="s">
        <v>1528</v>
      </c>
      <c r="X182" s="25" t="s">
        <v>1529</v>
      </c>
      <c r="Y182" s="25"/>
      <c r="Z182" s="75"/>
      <c r="AA182" s="3" t="str">
        <f>IF(BCP_Soles[[#This Row],[fecha]]&gt;0,TEXT(BCP_Soles[[#This Row],[fecha]],"mmmm"),0)</f>
        <v>Enero</v>
      </c>
    </row>
    <row r="183" spans="1:27" x14ac:dyDescent="0.3">
      <c r="A183" s="2">
        <f>IF(BCP_Soles[[#This Row],[tipo_registro]]="R",COUNTIFS($C$1:$C182,"R")+1,A182)</f>
        <v>96</v>
      </c>
      <c r="B183" s="19" t="str">
        <f t="shared" si="16"/>
        <v>B-BCP - Soles</v>
      </c>
      <c r="C183" s="3" t="s">
        <v>1330</v>
      </c>
      <c r="D183" s="14">
        <v>45671</v>
      </c>
      <c r="E183" s="5" t="s">
        <v>1530</v>
      </c>
      <c r="F183" s="5" t="s">
        <v>1336</v>
      </c>
      <c r="G183" s="6"/>
      <c r="H183" s="6"/>
      <c r="I183" s="6"/>
      <c r="J183" s="6"/>
      <c r="K183" s="7" t="s">
        <v>1337</v>
      </c>
      <c r="L183" s="8"/>
      <c r="M183" s="8" t="str">
        <f t="shared" si="17"/>
        <v>PEN</v>
      </c>
      <c r="N183" s="13"/>
      <c r="O183" s="13">
        <v>0.7</v>
      </c>
      <c r="P183" s="3">
        <f t="shared" si="18"/>
        <v>0</v>
      </c>
      <c r="Q183" s="3">
        <f t="shared" si="19"/>
        <v>0.7</v>
      </c>
      <c r="R183" s="3">
        <f t="shared" si="15"/>
        <v>14955.32</v>
      </c>
      <c r="S183" s="24"/>
      <c r="T183" s="24" t="s">
        <v>1334</v>
      </c>
      <c r="U183" s="53"/>
      <c r="V183" s="25" t="str">
        <f>IFERROR(VLOOKUP(BCP_Soles[[#This Row],[destinatario]],CHOOSE({1,2},Clientes_Proveedores[Razon Social],Clientes_Proveedores[Ruc / Dni]),2,0),"")</f>
        <v/>
      </c>
      <c r="W183" s="25"/>
      <c r="X183" s="25"/>
      <c r="Y183" s="25"/>
      <c r="Z183" s="75"/>
      <c r="AA183" s="3" t="str">
        <f>IF(BCP_Soles[[#This Row],[fecha]]&gt;0,TEXT(BCP_Soles[[#This Row],[fecha]],"mmmm"),0)</f>
        <v>Enero</v>
      </c>
    </row>
    <row r="184" spans="1:27" x14ac:dyDescent="0.3">
      <c r="A184" s="2">
        <f>IF(BCP_Soles[[#This Row],[tipo_registro]]="R",COUNTIFS($C$1:$C183,"R")+1,A183)</f>
        <v>97</v>
      </c>
      <c r="B184" s="19" t="str">
        <f t="shared" si="16"/>
        <v>B-BCP - Soles</v>
      </c>
      <c r="C184" s="3" t="s">
        <v>1330</v>
      </c>
      <c r="D184" s="14">
        <v>45671</v>
      </c>
      <c r="E184" s="5" t="s">
        <v>1511</v>
      </c>
      <c r="F184" s="5" t="s">
        <v>1336</v>
      </c>
      <c r="G184" s="6"/>
      <c r="H184" s="6"/>
      <c r="I184" s="6"/>
      <c r="J184" s="6"/>
      <c r="K184" s="7" t="s">
        <v>1531</v>
      </c>
      <c r="L184" s="8">
        <v>2485</v>
      </c>
      <c r="M184" s="8" t="str">
        <f t="shared" si="17"/>
        <v>PEN</v>
      </c>
      <c r="N184" s="13"/>
      <c r="O184" s="13">
        <v>5137.5200000000004</v>
      </c>
      <c r="P184" s="3">
        <f t="shared" si="18"/>
        <v>0</v>
      </c>
      <c r="Q184" s="3">
        <f t="shared" si="19"/>
        <v>5137.5200000000004</v>
      </c>
      <c r="R184" s="3">
        <f t="shared" si="15"/>
        <v>9817.7999999999993</v>
      </c>
      <c r="S184" s="24" t="s">
        <v>1334</v>
      </c>
      <c r="T184" s="24" t="s">
        <v>1334</v>
      </c>
      <c r="U184" s="53"/>
      <c r="V184" s="25" t="str">
        <f>IFERROR(VLOOKUP(BCP_Soles[[#This Row],[destinatario]],CHOOSE({1,2},Clientes_Proveedores[Razon Social],Clientes_Proveedores[Ruc / Dni]),2,0),"")</f>
        <v/>
      </c>
      <c r="W184" s="25" t="s">
        <v>1532</v>
      </c>
      <c r="X184" s="25"/>
      <c r="Y184" s="25"/>
      <c r="Z184" s="75"/>
      <c r="AA184" s="3" t="str">
        <f>IF(BCP_Soles[[#This Row],[fecha]]&gt;0,TEXT(BCP_Soles[[#This Row],[fecha]],"mmmm"),0)</f>
        <v>Enero</v>
      </c>
    </row>
    <row r="185" spans="1:27" x14ac:dyDescent="0.3">
      <c r="A185" s="2">
        <f>IF(BCP_Soles[[#This Row],[tipo_registro]]="R",COUNTIFS($C$1:$C184,"R")+1,A184)</f>
        <v>98</v>
      </c>
      <c r="B185" s="19" t="str">
        <f t="shared" si="16"/>
        <v>B-BCP - Soles</v>
      </c>
      <c r="C185" s="3" t="s">
        <v>1330</v>
      </c>
      <c r="D185" s="14">
        <v>45671</v>
      </c>
      <c r="E185" s="5" t="s">
        <v>1511</v>
      </c>
      <c r="F185" s="5" t="s">
        <v>1336</v>
      </c>
      <c r="G185" s="6"/>
      <c r="H185" s="6"/>
      <c r="I185" s="6"/>
      <c r="J185" s="6"/>
      <c r="K185" s="7" t="s">
        <v>1533</v>
      </c>
      <c r="L185" s="8">
        <v>1009194</v>
      </c>
      <c r="M185" s="8" t="str">
        <f t="shared" si="17"/>
        <v>PEN</v>
      </c>
      <c r="N185" s="13"/>
      <c r="O185" s="13">
        <v>2297</v>
      </c>
      <c r="P185" s="3">
        <f t="shared" si="18"/>
        <v>0</v>
      </c>
      <c r="Q185" s="3">
        <f t="shared" si="19"/>
        <v>2297</v>
      </c>
      <c r="R185" s="3">
        <f t="shared" si="15"/>
        <v>7520.7999999999993</v>
      </c>
      <c r="S185" s="24"/>
      <c r="T185" s="24"/>
      <c r="U185" s="53"/>
      <c r="V185" s="25" t="str">
        <f>IFERROR(VLOOKUP(BCP_Soles[[#This Row],[destinatario]],CHOOSE({1,2},Clientes_Proveedores[Razon Social],Clientes_Proveedores[Ruc / Dni]),2,0),"")</f>
        <v/>
      </c>
      <c r="W185" s="25" t="s">
        <v>1389</v>
      </c>
      <c r="X185" s="25"/>
      <c r="Y185" s="25"/>
      <c r="Z185" s="75"/>
      <c r="AA185" s="3" t="str">
        <f>IF(BCP_Soles[[#This Row],[fecha]]&gt;0,TEXT(BCP_Soles[[#This Row],[fecha]],"mmmm"),0)</f>
        <v>Enero</v>
      </c>
    </row>
    <row r="186" spans="1:27" x14ac:dyDescent="0.3">
      <c r="A186" s="2">
        <f>IF(BCP_Soles[[#This Row],[tipo_registro]]="R",COUNTIFS($C$1:$C185,"R")+1,A185)</f>
        <v>99</v>
      </c>
      <c r="B186" s="19" t="str">
        <f t="shared" si="16"/>
        <v>B-BCP - Soles</v>
      </c>
      <c r="C186" s="3" t="s">
        <v>1330</v>
      </c>
      <c r="D186" s="14">
        <v>45671</v>
      </c>
      <c r="E186" s="5" t="s">
        <v>1416</v>
      </c>
      <c r="F186" s="5" t="s">
        <v>1336</v>
      </c>
      <c r="G186" s="6"/>
      <c r="H186" s="6"/>
      <c r="I186" s="6"/>
      <c r="J186" s="6"/>
      <c r="K186" s="7" t="s">
        <v>1534</v>
      </c>
      <c r="L186" s="8">
        <v>2488</v>
      </c>
      <c r="M186" s="8" t="str">
        <f t="shared" si="17"/>
        <v>PEN</v>
      </c>
      <c r="N186" s="13"/>
      <c r="O186" s="13">
        <v>1999.33</v>
      </c>
      <c r="P186" s="3">
        <f t="shared" si="18"/>
        <v>0</v>
      </c>
      <c r="Q186" s="3">
        <f t="shared" si="19"/>
        <v>1999.33</v>
      </c>
      <c r="R186" s="3">
        <f t="shared" si="15"/>
        <v>5521.4699999999993</v>
      </c>
      <c r="S186" s="24" t="s">
        <v>1334</v>
      </c>
      <c r="T186" s="24" t="s">
        <v>1334</v>
      </c>
      <c r="U186" s="53"/>
      <c r="V186" s="25" t="str">
        <f>IFERROR(VLOOKUP(BCP_Soles[[#This Row],[destinatario]],CHOOSE({1,2},Clientes_Proveedores[Razon Social],Clientes_Proveedores[Ruc / Dni]),2,0),"")</f>
        <v/>
      </c>
      <c r="W186" s="25" t="s">
        <v>1535</v>
      </c>
      <c r="X186" s="25"/>
      <c r="Y186" s="25"/>
      <c r="Z186" s="75"/>
      <c r="AA186" s="3" t="str">
        <f>IF(BCP_Soles[[#This Row],[fecha]]&gt;0,TEXT(BCP_Soles[[#This Row],[fecha]],"mmmm"),0)</f>
        <v>Enero</v>
      </c>
    </row>
    <row r="187" spans="1:27" x14ac:dyDescent="0.3">
      <c r="A187" s="2">
        <f>IF(BCP_Soles[[#This Row],[tipo_registro]]="R",COUNTIFS($C$1:$C186,"R")+1,A186)</f>
        <v>100</v>
      </c>
      <c r="B187" s="19" t="str">
        <f t="shared" si="16"/>
        <v>B-BCP - Soles</v>
      </c>
      <c r="C187" s="3" t="s">
        <v>1330</v>
      </c>
      <c r="D187" s="14">
        <v>45671</v>
      </c>
      <c r="E187" s="5" t="s">
        <v>1338</v>
      </c>
      <c r="F187" s="5" t="s">
        <v>1336</v>
      </c>
      <c r="G187" s="6"/>
      <c r="H187" s="6"/>
      <c r="I187" s="6"/>
      <c r="J187" s="6"/>
      <c r="K187" s="7" t="s">
        <v>1536</v>
      </c>
      <c r="L187" s="8">
        <v>1321536</v>
      </c>
      <c r="M187" s="8" t="str">
        <f t="shared" si="17"/>
        <v>PEN</v>
      </c>
      <c r="N187" s="13"/>
      <c r="O187" s="13">
        <v>922.2</v>
      </c>
      <c r="P187" s="3">
        <f t="shared" si="18"/>
        <v>0</v>
      </c>
      <c r="Q187" s="3">
        <f t="shared" si="19"/>
        <v>922.2</v>
      </c>
      <c r="R187" s="3">
        <f t="shared" si="15"/>
        <v>4599.2699999999995</v>
      </c>
      <c r="S187" s="24" t="s">
        <v>1334</v>
      </c>
      <c r="T187" s="24" t="s">
        <v>1334</v>
      </c>
      <c r="U187" s="53"/>
      <c r="V187" s="25" t="str">
        <f>IFERROR(VLOOKUP(BCP_Soles[[#This Row],[destinatario]],CHOOSE({1,2},Clientes_Proveedores[Razon Social],Clientes_Proveedores[Ruc / Dni]),2,0),"")</f>
        <v/>
      </c>
      <c r="W187" s="25" t="s">
        <v>1373</v>
      </c>
      <c r="X187" s="25"/>
      <c r="Y187" s="25"/>
      <c r="Z187" s="75"/>
      <c r="AA187" s="3" t="str">
        <f>IF(BCP_Soles[[#This Row],[fecha]]&gt;0,TEXT(BCP_Soles[[#This Row],[fecha]],"mmmm"),0)</f>
        <v>Enero</v>
      </c>
    </row>
    <row r="188" spans="1:27" x14ac:dyDescent="0.3">
      <c r="A188" s="2">
        <f>IF(BCP_Soles[[#This Row],[tipo_registro]]="R",COUNTIFS($C$1:$C187,"R")+1,A187)</f>
        <v>101</v>
      </c>
      <c r="B188" s="19" t="str">
        <f t="shared" si="16"/>
        <v>B-BCP - Soles</v>
      </c>
      <c r="C188" s="3" t="s">
        <v>1330</v>
      </c>
      <c r="D188" s="14">
        <v>45671</v>
      </c>
      <c r="E188" s="5" t="s">
        <v>1416</v>
      </c>
      <c r="F188" s="5" t="s">
        <v>1336</v>
      </c>
      <c r="G188" s="6"/>
      <c r="H188" s="6"/>
      <c r="I188" s="6"/>
      <c r="J188" s="6"/>
      <c r="K188" s="7" t="s">
        <v>1537</v>
      </c>
      <c r="L188" s="8">
        <v>2484</v>
      </c>
      <c r="M188" s="8" t="str">
        <f t="shared" si="17"/>
        <v>PEN</v>
      </c>
      <c r="N188" s="13"/>
      <c r="O188" s="13">
        <v>642.9</v>
      </c>
      <c r="P188" s="3">
        <f t="shared" si="18"/>
        <v>0</v>
      </c>
      <c r="Q188" s="3">
        <f t="shared" si="19"/>
        <v>642.9</v>
      </c>
      <c r="R188" s="3">
        <f t="shared" si="15"/>
        <v>3956.3699999999994</v>
      </c>
      <c r="S188" s="24" t="s">
        <v>1334</v>
      </c>
      <c r="T188" s="24" t="s">
        <v>1334</v>
      </c>
      <c r="U188" s="53"/>
      <c r="V188" s="25" t="str">
        <f>IFERROR(VLOOKUP(BCP_Soles[[#This Row],[destinatario]],CHOOSE({1,2},Clientes_Proveedores[Razon Social],Clientes_Proveedores[Ruc / Dni]),2,0),"")</f>
        <v/>
      </c>
      <c r="W188" s="25" t="s">
        <v>1538</v>
      </c>
      <c r="X188" s="25"/>
      <c r="Y188" s="25"/>
      <c r="Z188" s="75"/>
      <c r="AA188" s="3" t="str">
        <f>IF(BCP_Soles[[#This Row],[fecha]]&gt;0,TEXT(BCP_Soles[[#This Row],[fecha]],"mmmm"),0)</f>
        <v>Enero</v>
      </c>
    </row>
    <row r="189" spans="1:27" x14ac:dyDescent="0.3">
      <c r="A189" s="2">
        <f>IF(BCP_Soles[[#This Row],[tipo_registro]]="R",COUNTIFS($C$1:$C188,"R")+1,A188)</f>
        <v>102</v>
      </c>
      <c r="B189" s="19" t="str">
        <f t="shared" si="16"/>
        <v>B-BCP - Soles</v>
      </c>
      <c r="C189" s="3" t="s">
        <v>1330</v>
      </c>
      <c r="D189" s="14">
        <v>45671</v>
      </c>
      <c r="E189" s="5" t="s">
        <v>1416</v>
      </c>
      <c r="F189" s="5" t="s">
        <v>1336</v>
      </c>
      <c r="G189" s="6"/>
      <c r="H189" s="6"/>
      <c r="I189" s="6"/>
      <c r="J189" s="6"/>
      <c r="K189" s="7" t="s">
        <v>1539</v>
      </c>
      <c r="L189" s="8">
        <v>2490</v>
      </c>
      <c r="M189" s="8" t="str">
        <f t="shared" si="17"/>
        <v>PEN</v>
      </c>
      <c r="N189" s="13"/>
      <c r="O189" s="13">
        <v>315.83</v>
      </c>
      <c r="P189" s="3">
        <f t="shared" si="18"/>
        <v>0</v>
      </c>
      <c r="Q189" s="3">
        <f t="shared" si="19"/>
        <v>315.83</v>
      </c>
      <c r="R189" s="3">
        <f t="shared" si="15"/>
        <v>3640.5399999999995</v>
      </c>
      <c r="S189" s="24" t="s">
        <v>1334</v>
      </c>
      <c r="T189" s="24" t="s">
        <v>1334</v>
      </c>
      <c r="U189" s="53"/>
      <c r="V189" s="25" t="str">
        <f>IFERROR(VLOOKUP(BCP_Soles[[#This Row],[destinatario]],CHOOSE({1,2},Clientes_Proveedores[Razon Social],Clientes_Proveedores[Ruc / Dni]),2,0),"")</f>
        <v/>
      </c>
      <c r="W189" s="25" t="s">
        <v>1540</v>
      </c>
      <c r="X189" s="25"/>
      <c r="Y189" s="25"/>
      <c r="Z189" s="75"/>
      <c r="AA189" s="3" t="str">
        <f>IF(BCP_Soles[[#This Row],[fecha]]&gt;0,TEXT(BCP_Soles[[#This Row],[fecha]],"mmmm"),0)</f>
        <v>Enero</v>
      </c>
    </row>
    <row r="190" spans="1:27" ht="24" x14ac:dyDescent="0.3">
      <c r="A190" s="2">
        <f>IF(BCP_Soles[[#This Row],[tipo_registro]]="R",COUNTIFS($C$1:$C189,"R")+1,A189)</f>
        <v>103</v>
      </c>
      <c r="B190" s="19" t="str">
        <f t="shared" si="16"/>
        <v>B-BCP - Soles</v>
      </c>
      <c r="C190" s="3" t="s">
        <v>1330</v>
      </c>
      <c r="D190" s="14">
        <v>45671</v>
      </c>
      <c r="E190" s="5" t="s">
        <v>1338</v>
      </c>
      <c r="F190" s="5" t="s">
        <v>1336</v>
      </c>
      <c r="G190" s="6" t="s">
        <v>744</v>
      </c>
      <c r="H190" s="6" t="s">
        <v>72</v>
      </c>
      <c r="I190" s="6" t="s">
        <v>1376</v>
      </c>
      <c r="J190" s="6">
        <v>131</v>
      </c>
      <c r="K190" s="7" t="s">
        <v>1541</v>
      </c>
      <c r="L190" s="8">
        <v>1264300</v>
      </c>
      <c r="M190" s="8" t="str">
        <f t="shared" si="17"/>
        <v>PEN</v>
      </c>
      <c r="N190" s="13"/>
      <c r="O190" s="13">
        <v>60</v>
      </c>
      <c r="P190" s="3">
        <f t="shared" si="18"/>
        <v>0</v>
      </c>
      <c r="Q190" s="3">
        <f t="shared" si="19"/>
        <v>60</v>
      </c>
      <c r="R190" s="3">
        <f t="shared" si="15"/>
        <v>3580.5399999999995</v>
      </c>
      <c r="S190" s="24" t="s">
        <v>1334</v>
      </c>
      <c r="T190" s="24" t="s">
        <v>1334</v>
      </c>
      <c r="U190" s="53"/>
      <c r="V190" s="25">
        <f>IFERROR(VLOOKUP(BCP_Soles[[#This Row],[destinatario]],CHOOSE({1,2},Clientes_Proveedores[Razon Social],Clientes_Proveedores[Ruc / Dni]),2,0),"")</f>
        <v>10721686952</v>
      </c>
      <c r="W190" s="25" t="s">
        <v>1542</v>
      </c>
      <c r="X190" s="25" t="s">
        <v>1543</v>
      </c>
      <c r="Y190" s="25"/>
      <c r="Z190" s="75"/>
      <c r="AA190" s="3" t="str">
        <f>IF(BCP_Soles[[#This Row],[fecha]]&gt;0,TEXT(BCP_Soles[[#This Row],[fecha]],"mmmm"),0)</f>
        <v>Enero</v>
      </c>
    </row>
    <row r="191" spans="1:27" ht="24" x14ac:dyDescent="0.3">
      <c r="A191" s="2">
        <f>IF(BCP_Soles[[#This Row],[tipo_registro]]="R",COUNTIFS($C$1:$C190,"R")+1,A190)</f>
        <v>104</v>
      </c>
      <c r="B191" s="19" t="str">
        <f t="shared" si="16"/>
        <v>B-BCP - Soles</v>
      </c>
      <c r="C191" s="3" t="s">
        <v>1330</v>
      </c>
      <c r="D191" s="14">
        <v>45671</v>
      </c>
      <c r="E191" s="5" t="s">
        <v>1338</v>
      </c>
      <c r="F191" s="5" t="s">
        <v>1336</v>
      </c>
      <c r="G191" s="6" t="s">
        <v>249</v>
      </c>
      <c r="H191" s="6"/>
      <c r="I191" s="6"/>
      <c r="J191" s="6"/>
      <c r="K191" s="7" t="s">
        <v>1544</v>
      </c>
      <c r="L191" s="8">
        <v>1197396</v>
      </c>
      <c r="M191" s="8" t="str">
        <f t="shared" si="17"/>
        <v>PEN</v>
      </c>
      <c r="N191" s="13"/>
      <c r="O191" s="13">
        <v>48.85</v>
      </c>
      <c r="P191" s="3">
        <f t="shared" si="18"/>
        <v>0</v>
      </c>
      <c r="Q191" s="3">
        <f t="shared" si="19"/>
        <v>48.85</v>
      </c>
      <c r="R191" s="3">
        <f t="shared" si="15"/>
        <v>3531.6899999999996</v>
      </c>
      <c r="S191" s="24"/>
      <c r="T191" s="24"/>
      <c r="U191" s="53"/>
      <c r="V191" s="25">
        <f>IFERROR(VLOOKUP(BCP_Soles[[#This Row],[destinatario]],CHOOSE({1,2},Clientes_Proveedores[Razon Social],Clientes_Proveedores[Ruc / Dni]),2,0),"")</f>
        <v>20302891452</v>
      </c>
      <c r="W191" s="25" t="s">
        <v>249</v>
      </c>
      <c r="X191" s="25"/>
      <c r="Y191" s="25"/>
      <c r="Z191" s="75"/>
      <c r="AA191" s="3" t="str">
        <f>IF(BCP_Soles[[#This Row],[fecha]]&gt;0,TEXT(BCP_Soles[[#This Row],[fecha]],"mmmm"),0)</f>
        <v>Enero</v>
      </c>
    </row>
    <row r="192" spans="1:27" ht="24" x14ac:dyDescent="0.3">
      <c r="A192" s="2">
        <f>IF(BCP_Soles[[#This Row],[tipo_registro]]="R",COUNTIFS($C$1:$C191,"R")+1,A191)</f>
        <v>105</v>
      </c>
      <c r="B192" s="19" t="str">
        <f t="shared" si="16"/>
        <v>B-BCP - Soles</v>
      </c>
      <c r="C192" s="3" t="s">
        <v>1330</v>
      </c>
      <c r="D192" s="14">
        <v>45671</v>
      </c>
      <c r="E192" s="5" t="s">
        <v>1335</v>
      </c>
      <c r="F192" s="5" t="s">
        <v>1336</v>
      </c>
      <c r="G192" s="6" t="s">
        <v>1060</v>
      </c>
      <c r="H192" s="6" t="s">
        <v>68</v>
      </c>
      <c r="I192" s="6" t="s">
        <v>1397</v>
      </c>
      <c r="J192" s="6">
        <v>28370548</v>
      </c>
      <c r="K192" s="7" t="s">
        <v>1400</v>
      </c>
      <c r="L192" s="8">
        <v>371</v>
      </c>
      <c r="M192" s="8" t="str">
        <f t="shared" si="17"/>
        <v>PEN</v>
      </c>
      <c r="N192" s="13"/>
      <c r="O192" s="13">
        <v>10</v>
      </c>
      <c r="P192" s="3">
        <f t="shared" si="18"/>
        <v>0</v>
      </c>
      <c r="Q192" s="3">
        <f t="shared" si="19"/>
        <v>10</v>
      </c>
      <c r="R192" s="3">
        <f t="shared" si="15"/>
        <v>3521.6899999999996</v>
      </c>
      <c r="S192" s="24"/>
      <c r="T192" s="24" t="s">
        <v>1334</v>
      </c>
      <c r="U192" s="53"/>
      <c r="V192" s="25">
        <f>IFERROR(VLOOKUP(BCP_Soles[[#This Row],[destinatario]],CHOOSE({1,2},Clientes_Proveedores[Razon Social],Clientes_Proveedores[Ruc / Dni]),2,0),"")</f>
        <v>20100047218</v>
      </c>
      <c r="W192" s="25" t="s">
        <v>1335</v>
      </c>
      <c r="X192" s="25"/>
      <c r="Y192" s="25"/>
      <c r="Z192" s="75"/>
      <c r="AA192" s="3" t="str">
        <f>IF(BCP_Soles[[#This Row],[fecha]]&gt;0,TEXT(BCP_Soles[[#This Row],[fecha]],"mmmm"),0)</f>
        <v>Enero</v>
      </c>
    </row>
    <row r="193" spans="1:27" ht="36" x14ac:dyDescent="0.3">
      <c r="A193" s="2">
        <f>IF(BCP_Soles[[#This Row],[tipo_registro]]="R",COUNTIFS($C$1:$C192,"R")+1,A192)</f>
        <v>106</v>
      </c>
      <c r="B193" s="19" t="str">
        <f t="shared" si="16"/>
        <v>B-BCP - Soles</v>
      </c>
      <c r="C193" s="3" t="s">
        <v>1330</v>
      </c>
      <c r="D193" s="14">
        <v>45671</v>
      </c>
      <c r="E193" s="5" t="s">
        <v>555</v>
      </c>
      <c r="F193" s="5" t="s">
        <v>1303</v>
      </c>
      <c r="G193" s="6" t="s">
        <v>425</v>
      </c>
      <c r="H193" s="6"/>
      <c r="I193" s="6"/>
      <c r="J193" s="6"/>
      <c r="K193" s="7" t="s">
        <v>1348</v>
      </c>
      <c r="L193" s="8">
        <v>2208177</v>
      </c>
      <c r="M193" s="8" t="str">
        <f t="shared" si="17"/>
        <v>PEN</v>
      </c>
      <c r="N193" s="13"/>
      <c r="O193" s="13">
        <v>1187.1199999999999</v>
      </c>
      <c r="P193" s="3">
        <f t="shared" si="18"/>
        <v>1187.1199999999999</v>
      </c>
      <c r="Q193" s="3">
        <f t="shared" si="19"/>
        <v>0</v>
      </c>
      <c r="R193" s="3">
        <f t="shared" si="15"/>
        <v>4708.8099999999995</v>
      </c>
      <c r="S193" s="24" t="s">
        <v>1334</v>
      </c>
      <c r="T193" s="24" t="s">
        <v>1334</v>
      </c>
      <c r="U193" s="53"/>
      <c r="V193" s="25">
        <f>IFERROR(VLOOKUP(BCP_Soles[[#This Row],[destinatario]],CHOOSE({1,2},Clientes_Proveedores[Razon Social],Clientes_Proveedores[Ruc / Dni]),2,0),"")</f>
        <v>20558226979</v>
      </c>
      <c r="W193" s="25" t="s">
        <v>1345</v>
      </c>
      <c r="X193" s="25" t="s">
        <v>1545</v>
      </c>
      <c r="Y193" s="25"/>
      <c r="Z193" s="75"/>
      <c r="AA193" s="3" t="str">
        <f>IF(BCP_Soles[[#This Row],[fecha]]&gt;0,TEXT(BCP_Soles[[#This Row],[fecha]],"mmmm"),0)</f>
        <v>Enero</v>
      </c>
    </row>
    <row r="194" spans="1:27" ht="24" x14ac:dyDescent="0.3">
      <c r="A194" s="2">
        <f>IF(BCP_Soles[[#This Row],[tipo_registro]]="R",COUNTIFS($C$1:$C193,"R")+1,A193)</f>
        <v>107</v>
      </c>
      <c r="B194" s="19" t="str">
        <f t="shared" si="16"/>
        <v>B-BCP - Soles</v>
      </c>
      <c r="C194" s="3" t="s">
        <v>1330</v>
      </c>
      <c r="D194" s="14">
        <v>45672</v>
      </c>
      <c r="E194" s="5" t="s">
        <v>621</v>
      </c>
      <c r="F194" s="5" t="s">
        <v>1303</v>
      </c>
      <c r="G194" s="6" t="s">
        <v>425</v>
      </c>
      <c r="H194" s="6"/>
      <c r="I194" s="6"/>
      <c r="J194" s="6"/>
      <c r="K194" s="7" t="s">
        <v>1546</v>
      </c>
      <c r="L194" s="8">
        <v>66834</v>
      </c>
      <c r="M194" s="8" t="str">
        <f t="shared" si="17"/>
        <v>PEN</v>
      </c>
      <c r="N194" s="13"/>
      <c r="O194" s="13">
        <v>790</v>
      </c>
      <c r="P194" s="3">
        <f t="shared" si="18"/>
        <v>790</v>
      </c>
      <c r="Q194" s="3">
        <f t="shared" si="19"/>
        <v>0</v>
      </c>
      <c r="R194" s="3">
        <f t="shared" ref="R194:R257" si="20">IFERROR(IF(F194="SALDO",P194,R193+P194-Q194),0)</f>
        <v>5498.8099999999995</v>
      </c>
      <c r="S194" s="24" t="s">
        <v>1334</v>
      </c>
      <c r="T194" s="24" t="s">
        <v>1334</v>
      </c>
      <c r="U194" s="53"/>
      <c r="V194" s="25">
        <f>IFERROR(VLOOKUP(BCP_Soles[[#This Row],[destinatario]],CHOOSE({1,2},Clientes_Proveedores[Razon Social],Clientes_Proveedores[Ruc / Dni]),2,0),"")</f>
        <v>20558226979</v>
      </c>
      <c r="W194" s="25" t="s">
        <v>1345</v>
      </c>
      <c r="X194" s="25" t="s">
        <v>1547</v>
      </c>
      <c r="Y194" s="25"/>
      <c r="Z194" s="75"/>
      <c r="AA194" s="3" t="str">
        <f>IF(BCP_Soles[[#This Row],[fecha]]&gt;0,TEXT(BCP_Soles[[#This Row],[fecha]],"mmmm"),0)</f>
        <v>Enero</v>
      </c>
    </row>
    <row r="195" spans="1:27" ht="24" x14ac:dyDescent="0.3">
      <c r="A195" s="2">
        <f>IF(BCP_Soles[[#This Row],[tipo_registro]]="R",COUNTIFS($C$1:$C194,"R")+1,A194)</f>
        <v>108</v>
      </c>
      <c r="B195" s="19" t="str">
        <f t="shared" si="16"/>
        <v>B-BCP - Soles</v>
      </c>
      <c r="C195" s="3" t="s">
        <v>1330</v>
      </c>
      <c r="D195" s="14">
        <v>45672</v>
      </c>
      <c r="E195" s="5" t="s">
        <v>1338</v>
      </c>
      <c r="F195" s="5" t="s">
        <v>1336</v>
      </c>
      <c r="G195" s="6" t="s">
        <v>241</v>
      </c>
      <c r="H195" s="6" t="s">
        <v>68</v>
      </c>
      <c r="I195" s="6" t="s">
        <v>1339</v>
      </c>
      <c r="J195" s="6">
        <v>7082</v>
      </c>
      <c r="K195" s="7" t="s">
        <v>1548</v>
      </c>
      <c r="L195" s="8">
        <v>1101731</v>
      </c>
      <c r="M195" s="8" t="str">
        <f t="shared" si="17"/>
        <v>PEN</v>
      </c>
      <c r="N195" s="13"/>
      <c r="O195" s="13">
        <v>677.7</v>
      </c>
      <c r="P195" s="3">
        <f t="shared" si="18"/>
        <v>0</v>
      </c>
      <c r="Q195" s="3">
        <f t="shared" si="19"/>
        <v>677.7</v>
      </c>
      <c r="R195" s="3">
        <f t="shared" si="20"/>
        <v>4821.1099999999997</v>
      </c>
      <c r="S195" s="24" t="s">
        <v>1334</v>
      </c>
      <c r="T195" s="24" t="s">
        <v>1334</v>
      </c>
      <c r="U195" s="53"/>
      <c r="V195" s="25">
        <f>IFERROR(VLOOKUP(BCP_Soles[[#This Row],[destinatario]],CHOOSE({1,2},Clientes_Proveedores[Razon Social],Clientes_Proveedores[Ruc / Dni]),2,0),"")</f>
        <v>20170040938</v>
      </c>
      <c r="W195" s="25" t="s">
        <v>1341</v>
      </c>
      <c r="X195" s="25" t="s">
        <v>1549</v>
      </c>
      <c r="Y195" s="25"/>
      <c r="Z195" s="75"/>
      <c r="AA195" s="3" t="str">
        <f>IF(BCP_Soles[[#This Row],[fecha]]&gt;0,TEXT(BCP_Soles[[#This Row],[fecha]],"mmmm"),0)</f>
        <v>Enero</v>
      </c>
    </row>
    <row r="196" spans="1:27" x14ac:dyDescent="0.3">
      <c r="A196" s="2">
        <f>IF(BCP_Soles[[#This Row],[tipo_registro]]="R",COUNTIFS($C$1:$C195,"R")+1,A195)</f>
        <v>109</v>
      </c>
      <c r="B196" s="19" t="str">
        <f t="shared" ref="B196:B259" si="21">"B-BCP - Soles"</f>
        <v>B-BCP - Soles</v>
      </c>
      <c r="C196" s="3" t="s">
        <v>1330</v>
      </c>
      <c r="D196" s="14">
        <v>45672</v>
      </c>
      <c r="E196" s="5" t="s">
        <v>414</v>
      </c>
      <c r="F196" s="5" t="s">
        <v>1303</v>
      </c>
      <c r="G196" s="6" t="s">
        <v>425</v>
      </c>
      <c r="H196" s="6"/>
      <c r="I196" s="6"/>
      <c r="J196" s="6"/>
      <c r="K196" s="7" t="s">
        <v>1550</v>
      </c>
      <c r="L196" s="8">
        <v>1677881</v>
      </c>
      <c r="M196" s="8" t="str">
        <f t="shared" ref="M196:M259" si="22">"PEN"</f>
        <v>PEN</v>
      </c>
      <c r="N196" s="13"/>
      <c r="O196" s="13">
        <v>2002.91</v>
      </c>
      <c r="P196" s="3">
        <f t="shared" ref="P196:P259" si="23">+IF(OR($F196="SALDO",$F196="INGRESO"),$O196,0)</f>
        <v>2002.91</v>
      </c>
      <c r="Q196" s="3">
        <f t="shared" ref="Q196:Q259" si="24">+IF($F196="EGRESO",$O196,0)</f>
        <v>0</v>
      </c>
      <c r="R196" s="3">
        <f t="shared" si="20"/>
        <v>6824.0199999999995</v>
      </c>
      <c r="S196" s="24" t="s">
        <v>1334</v>
      </c>
      <c r="T196" s="24" t="s">
        <v>1334</v>
      </c>
      <c r="U196" s="53"/>
      <c r="V196" s="25">
        <f>IFERROR(VLOOKUP(BCP_Soles[[#This Row],[destinatario]],CHOOSE({1,2},Clientes_Proveedores[Razon Social],Clientes_Proveedores[Ruc / Dni]),2,0),"")</f>
        <v>20558226979</v>
      </c>
      <c r="W196" s="25" t="s">
        <v>1345</v>
      </c>
      <c r="X196" s="25" t="s">
        <v>1551</v>
      </c>
      <c r="Y196" s="25"/>
      <c r="Z196" s="75"/>
      <c r="AA196" s="3" t="str">
        <f>IF(BCP_Soles[[#This Row],[fecha]]&gt;0,TEXT(BCP_Soles[[#This Row],[fecha]],"mmmm"),0)</f>
        <v>Enero</v>
      </c>
    </row>
    <row r="197" spans="1:27" x14ac:dyDescent="0.3">
      <c r="A197" s="2">
        <f>IF(BCP_Soles[[#This Row],[tipo_registro]]="R",COUNTIFS($C$1:$C196,"R")+1,A196)</f>
        <v>110</v>
      </c>
      <c r="B197" s="19" t="str">
        <f t="shared" si="21"/>
        <v>B-BCP - Soles</v>
      </c>
      <c r="C197" s="3" t="s">
        <v>1330</v>
      </c>
      <c r="D197" s="14">
        <v>45672</v>
      </c>
      <c r="E197" s="5" t="s">
        <v>1335</v>
      </c>
      <c r="F197" s="5" t="s">
        <v>1336</v>
      </c>
      <c r="G197" s="6"/>
      <c r="H197" s="6"/>
      <c r="I197" s="6"/>
      <c r="J197" s="6"/>
      <c r="K197" s="7" t="s">
        <v>1337</v>
      </c>
      <c r="L197" s="8"/>
      <c r="M197" s="8" t="str">
        <f t="shared" si="22"/>
        <v>PEN</v>
      </c>
      <c r="N197" s="13"/>
      <c r="O197" s="13">
        <v>0.15</v>
      </c>
      <c r="P197" s="3">
        <f t="shared" si="23"/>
        <v>0</v>
      </c>
      <c r="Q197" s="3">
        <f t="shared" si="24"/>
        <v>0.15</v>
      </c>
      <c r="R197" s="3">
        <f t="shared" si="20"/>
        <v>6823.87</v>
      </c>
      <c r="S197" s="24"/>
      <c r="T197" s="24" t="s">
        <v>1334</v>
      </c>
      <c r="U197" s="53"/>
      <c r="V197" s="25" t="str">
        <f>IFERROR(VLOOKUP(BCP_Soles[[#This Row],[destinatario]],CHOOSE({1,2},Clientes_Proveedores[Razon Social],Clientes_Proveedores[Ruc / Dni]),2,0),"")</f>
        <v/>
      </c>
      <c r="W197" s="25"/>
      <c r="X197" s="25"/>
      <c r="Y197" s="25"/>
      <c r="Z197" s="75"/>
      <c r="AA197" s="3" t="str">
        <f>IF(BCP_Soles[[#This Row],[fecha]]&gt;0,TEXT(BCP_Soles[[#This Row],[fecha]],"mmmm"),0)</f>
        <v>Enero</v>
      </c>
    </row>
    <row r="198" spans="1:27" x14ac:dyDescent="0.3">
      <c r="A198" s="2">
        <f>IF(BCP_Soles[[#This Row],[tipo_registro]]="R",COUNTIFS($C$1:$C197,"R")+1,A197)</f>
        <v>111</v>
      </c>
      <c r="B198" s="19" t="str">
        <f t="shared" si="21"/>
        <v>B-BCP - Soles</v>
      </c>
      <c r="C198" s="3" t="s">
        <v>1330</v>
      </c>
      <c r="D198" s="14">
        <v>45672</v>
      </c>
      <c r="E198" s="5" t="s">
        <v>1335</v>
      </c>
      <c r="F198" s="5" t="s">
        <v>1336</v>
      </c>
      <c r="G198" s="6"/>
      <c r="H198" s="6"/>
      <c r="I198" s="6"/>
      <c r="J198" s="6"/>
      <c r="K198" s="7" t="s">
        <v>1552</v>
      </c>
      <c r="L198" s="8">
        <v>957349</v>
      </c>
      <c r="M198" s="8" t="str">
        <f t="shared" si="22"/>
        <v>PEN</v>
      </c>
      <c r="N198" s="13"/>
      <c r="O198" s="13">
        <v>10</v>
      </c>
      <c r="P198" s="3">
        <f t="shared" si="23"/>
        <v>0</v>
      </c>
      <c r="Q198" s="3">
        <f t="shared" si="24"/>
        <v>10</v>
      </c>
      <c r="R198" s="3">
        <f t="shared" si="20"/>
        <v>6813.87</v>
      </c>
      <c r="S198" s="24"/>
      <c r="T198" s="24" t="s">
        <v>1334</v>
      </c>
      <c r="U198" s="53"/>
      <c r="V198" s="25" t="str">
        <f>IFERROR(VLOOKUP(BCP_Soles[[#This Row],[destinatario]],CHOOSE({1,2},Clientes_Proveedores[Razon Social],Clientes_Proveedores[Ruc / Dni]),2,0),"")</f>
        <v/>
      </c>
      <c r="W198" s="25" t="s">
        <v>1335</v>
      </c>
      <c r="X198" s="25" t="s">
        <v>1553</v>
      </c>
      <c r="Y198" s="25"/>
      <c r="Z198" s="75"/>
      <c r="AA198" s="3" t="str">
        <f>IF(BCP_Soles[[#This Row],[fecha]]&gt;0,TEXT(BCP_Soles[[#This Row],[fecha]],"mmmm"),0)</f>
        <v>Enero</v>
      </c>
    </row>
    <row r="199" spans="1:27" ht="24" x14ac:dyDescent="0.3">
      <c r="A199" s="2">
        <f>IF(BCP_Soles[[#This Row],[tipo_registro]]="R",COUNTIFS($C$1:$C198,"R")+1,A198)</f>
        <v>112</v>
      </c>
      <c r="B199" s="19" t="str">
        <f t="shared" si="21"/>
        <v>B-BCP - Soles</v>
      </c>
      <c r="C199" s="3" t="s">
        <v>1330</v>
      </c>
      <c r="D199" s="14">
        <v>45672</v>
      </c>
      <c r="E199" s="5" t="s">
        <v>240</v>
      </c>
      <c r="F199" s="5" t="s">
        <v>1303</v>
      </c>
      <c r="G199" s="6" t="s">
        <v>425</v>
      </c>
      <c r="H199" s="6"/>
      <c r="I199" s="6"/>
      <c r="J199" s="6"/>
      <c r="K199" s="7" t="s">
        <v>1554</v>
      </c>
      <c r="L199" s="8">
        <v>2137407</v>
      </c>
      <c r="M199" s="8" t="str">
        <f t="shared" si="22"/>
        <v>PEN</v>
      </c>
      <c r="N199" s="13"/>
      <c r="O199" s="13">
        <v>1086.28</v>
      </c>
      <c r="P199" s="3">
        <f t="shared" si="23"/>
        <v>1086.28</v>
      </c>
      <c r="Q199" s="3">
        <f t="shared" si="24"/>
        <v>0</v>
      </c>
      <c r="R199" s="3">
        <f t="shared" si="20"/>
        <v>7900.15</v>
      </c>
      <c r="S199" s="24" t="s">
        <v>1334</v>
      </c>
      <c r="T199" s="24" t="s">
        <v>1334</v>
      </c>
      <c r="U199" s="53"/>
      <c r="V199" s="25">
        <f>IFERROR(VLOOKUP(BCP_Soles[[#This Row],[destinatario]],CHOOSE({1,2},Clientes_Proveedores[Razon Social],Clientes_Proveedores[Ruc / Dni]),2,0),"")</f>
        <v>20558226979</v>
      </c>
      <c r="W199" s="25" t="s">
        <v>1345</v>
      </c>
      <c r="X199" s="25" t="s">
        <v>1555</v>
      </c>
      <c r="Y199" s="25"/>
      <c r="Z199" s="75"/>
      <c r="AA199" s="3" t="str">
        <f>IF(BCP_Soles[[#This Row],[fecha]]&gt;0,TEXT(BCP_Soles[[#This Row],[fecha]],"mmmm"),0)</f>
        <v>Enero</v>
      </c>
    </row>
    <row r="200" spans="1:27" x14ac:dyDescent="0.3">
      <c r="A200" s="2">
        <f>IF(BCP_Soles[[#This Row],[tipo_registro]]="R",COUNTIFS($C$1:$C199,"R")+1,A199)</f>
        <v>113</v>
      </c>
      <c r="B200" s="19" t="str">
        <f t="shared" si="21"/>
        <v>B-BCP - Soles</v>
      </c>
      <c r="C200" s="3" t="s">
        <v>1330</v>
      </c>
      <c r="D200" s="14">
        <v>45673</v>
      </c>
      <c r="E200" s="5" t="s">
        <v>439</v>
      </c>
      <c r="F200" s="5" t="s">
        <v>1303</v>
      </c>
      <c r="G200" s="6" t="s">
        <v>425</v>
      </c>
      <c r="H200" s="6" t="s">
        <v>119</v>
      </c>
      <c r="I200" s="6">
        <v>1</v>
      </c>
      <c r="J200" s="6">
        <v>4083</v>
      </c>
      <c r="K200" s="7" t="s">
        <v>1356</v>
      </c>
      <c r="L200" s="8">
        <v>550454</v>
      </c>
      <c r="M200" s="8" t="str">
        <f t="shared" si="22"/>
        <v>PEN</v>
      </c>
      <c r="N200" s="13"/>
      <c r="O200" s="13">
        <v>1356</v>
      </c>
      <c r="P200" s="3">
        <f t="shared" si="23"/>
        <v>1356</v>
      </c>
      <c r="Q200" s="3">
        <f t="shared" si="24"/>
        <v>0</v>
      </c>
      <c r="R200" s="3">
        <f t="shared" si="20"/>
        <v>9256.15</v>
      </c>
      <c r="S200" s="24" t="s">
        <v>1334</v>
      </c>
      <c r="T200" s="24" t="s">
        <v>1334</v>
      </c>
      <c r="U200" s="53"/>
      <c r="V200" s="25">
        <f>IFERROR(VLOOKUP(BCP_Soles[[#This Row],[destinatario]],CHOOSE({1,2},Clientes_Proveedores[Razon Social],Clientes_Proveedores[Ruc / Dni]),2,0),"")</f>
        <v>20558226979</v>
      </c>
      <c r="W200" s="25" t="s">
        <v>1345</v>
      </c>
      <c r="X200" s="25" t="s">
        <v>1556</v>
      </c>
      <c r="Y200" s="25"/>
      <c r="Z200" s="75"/>
      <c r="AA200" s="3" t="str">
        <f>IF(BCP_Soles[[#This Row],[fecha]]&gt;0,TEXT(BCP_Soles[[#This Row],[fecha]],"mmmm"),0)</f>
        <v>Enero</v>
      </c>
    </row>
    <row r="201" spans="1:27" x14ac:dyDescent="0.3">
      <c r="A201" s="2">
        <f>IF(BCP_Soles[[#This Row],[tipo_registro]]="R",COUNTIFS($C$1:$C200,"R")+1,A200)</f>
        <v>114</v>
      </c>
      <c r="B201" s="19" t="str">
        <f t="shared" si="21"/>
        <v>B-BCP - Soles</v>
      </c>
      <c r="C201" s="3" t="s">
        <v>1330</v>
      </c>
      <c r="D201" s="14">
        <v>45673</v>
      </c>
      <c r="E201" s="5" t="s">
        <v>1522</v>
      </c>
      <c r="F201" s="5" t="s">
        <v>1303</v>
      </c>
      <c r="G201" s="6" t="s">
        <v>425</v>
      </c>
      <c r="H201" s="6" t="s">
        <v>119</v>
      </c>
      <c r="I201" s="6">
        <v>1</v>
      </c>
      <c r="J201" s="6">
        <v>4090</v>
      </c>
      <c r="K201" s="7" t="s">
        <v>1356</v>
      </c>
      <c r="L201" s="8">
        <v>1306491</v>
      </c>
      <c r="M201" s="8" t="str">
        <f t="shared" si="22"/>
        <v>PEN</v>
      </c>
      <c r="N201" s="13"/>
      <c r="O201" s="13">
        <v>2112</v>
      </c>
      <c r="P201" s="3">
        <f t="shared" si="23"/>
        <v>2112</v>
      </c>
      <c r="Q201" s="3">
        <f t="shared" si="24"/>
        <v>0</v>
      </c>
      <c r="R201" s="3">
        <f t="shared" si="20"/>
        <v>11368.15</v>
      </c>
      <c r="S201" s="24" t="s">
        <v>1334</v>
      </c>
      <c r="T201" s="24" t="s">
        <v>1334</v>
      </c>
      <c r="U201" s="53"/>
      <c r="V201" s="25">
        <f>IFERROR(VLOOKUP(BCP_Soles[[#This Row],[destinatario]],CHOOSE({1,2},Clientes_Proveedores[Razon Social],Clientes_Proveedores[Ruc / Dni]),2,0),"")</f>
        <v>20558226979</v>
      </c>
      <c r="W201" s="25" t="s">
        <v>1345</v>
      </c>
      <c r="X201" s="25" t="s">
        <v>1557</v>
      </c>
      <c r="Y201" s="25"/>
      <c r="Z201" s="75"/>
      <c r="AA201" s="3" t="str">
        <f>IF(BCP_Soles[[#This Row],[fecha]]&gt;0,TEXT(BCP_Soles[[#This Row],[fecha]],"mmmm"),0)</f>
        <v>Enero</v>
      </c>
    </row>
    <row r="202" spans="1:27" ht="24" x14ac:dyDescent="0.3">
      <c r="A202" s="2">
        <f>IF(BCP_Soles[[#This Row],[tipo_registro]]="R",COUNTIFS($C$1:$C201,"R")+1,A201)</f>
        <v>115</v>
      </c>
      <c r="B202" s="19" t="str">
        <f t="shared" si="21"/>
        <v>B-BCP - Soles</v>
      </c>
      <c r="C202" s="3" t="s">
        <v>1330</v>
      </c>
      <c r="D202" s="14">
        <v>45673</v>
      </c>
      <c r="E202" s="5" t="s">
        <v>1338</v>
      </c>
      <c r="F202" s="5" t="s">
        <v>1336</v>
      </c>
      <c r="G202" s="6" t="s">
        <v>249</v>
      </c>
      <c r="H202" s="6"/>
      <c r="I202" s="6"/>
      <c r="J202" s="6"/>
      <c r="K202" s="7" t="s">
        <v>1558</v>
      </c>
      <c r="L202" s="8">
        <v>1015089</v>
      </c>
      <c r="M202" s="8" t="str">
        <f t="shared" si="22"/>
        <v>PEN</v>
      </c>
      <c r="N202" s="13"/>
      <c r="O202" s="13">
        <v>122.13</v>
      </c>
      <c r="P202" s="3">
        <f t="shared" si="23"/>
        <v>0</v>
      </c>
      <c r="Q202" s="3">
        <f t="shared" si="24"/>
        <v>122.13</v>
      </c>
      <c r="R202" s="3">
        <f t="shared" si="20"/>
        <v>11246.02</v>
      </c>
      <c r="S202" s="24"/>
      <c r="T202" s="24"/>
      <c r="U202" s="53"/>
      <c r="V202" s="25">
        <f>IFERROR(VLOOKUP(BCP_Soles[[#This Row],[destinatario]],CHOOSE({1,2},Clientes_Proveedores[Razon Social],Clientes_Proveedores[Ruc / Dni]),2,0),"")</f>
        <v>20302891452</v>
      </c>
      <c r="W202" s="25" t="s">
        <v>249</v>
      </c>
      <c r="X202" s="25"/>
      <c r="Y202" s="25"/>
      <c r="Z202" s="75"/>
      <c r="AA202" s="3" t="str">
        <f>IF(BCP_Soles[[#This Row],[fecha]]&gt;0,TEXT(BCP_Soles[[#This Row],[fecha]],"mmmm"),0)</f>
        <v>Enero</v>
      </c>
    </row>
    <row r="203" spans="1:27" ht="24" x14ac:dyDescent="0.3">
      <c r="A203" s="2">
        <f>IF(BCP_Soles[[#This Row],[tipo_registro]]="R",COUNTIFS($C$1:$C202,"R")+1,A202)</f>
        <v>116</v>
      </c>
      <c r="B203" s="19" t="str">
        <f t="shared" si="21"/>
        <v>B-BCP - Soles</v>
      </c>
      <c r="C203" s="3" t="s">
        <v>1330</v>
      </c>
      <c r="D203" s="14">
        <v>45673</v>
      </c>
      <c r="E203" s="5" t="s">
        <v>1338</v>
      </c>
      <c r="F203" s="5" t="s">
        <v>1336</v>
      </c>
      <c r="G203" s="6" t="s">
        <v>704</v>
      </c>
      <c r="H203" s="6" t="s">
        <v>106</v>
      </c>
      <c r="I203" s="6" t="s">
        <v>1559</v>
      </c>
      <c r="J203" s="6">
        <v>601719</v>
      </c>
      <c r="K203" s="7" t="s">
        <v>1490</v>
      </c>
      <c r="L203" s="8">
        <v>4138305</v>
      </c>
      <c r="M203" s="8" t="str">
        <f t="shared" si="22"/>
        <v>PEN</v>
      </c>
      <c r="N203" s="13"/>
      <c r="O203" s="13">
        <v>15.2</v>
      </c>
      <c r="P203" s="3">
        <f t="shared" si="23"/>
        <v>0</v>
      </c>
      <c r="Q203" s="3">
        <f t="shared" si="24"/>
        <v>15.2</v>
      </c>
      <c r="R203" s="3">
        <f t="shared" si="20"/>
        <v>11230.82</v>
      </c>
      <c r="S203" s="24" t="s">
        <v>1334</v>
      </c>
      <c r="T203" s="24" t="s">
        <v>1334</v>
      </c>
      <c r="U203" s="53"/>
      <c r="V203" s="25">
        <f>IFERROR(VLOOKUP(BCP_Soles[[#This Row],[destinatario]],CHOOSE({1,2},Clientes_Proveedores[Razon Social],Clientes_Proveedores[Ruc / Dni]),2,0),"")</f>
        <v>20100152356</v>
      </c>
      <c r="W203" s="25" t="s">
        <v>704</v>
      </c>
      <c r="X203" s="25" t="s">
        <v>1560</v>
      </c>
      <c r="Y203" s="25"/>
      <c r="Z203" s="75"/>
      <c r="AA203" s="3" t="str">
        <f>IF(BCP_Soles[[#This Row],[fecha]]&gt;0,TEXT(BCP_Soles[[#This Row],[fecha]],"mmmm"),0)</f>
        <v>Enero</v>
      </c>
    </row>
    <row r="204" spans="1:27" ht="24" x14ac:dyDescent="0.3">
      <c r="A204" s="2">
        <f>IF(BCP_Soles[[#This Row],[tipo_registro]]="R",COUNTIFS($C$1:$C203,"R")+1,A203)</f>
        <v>117</v>
      </c>
      <c r="B204" s="19" t="str">
        <f t="shared" si="21"/>
        <v>B-BCP - Soles</v>
      </c>
      <c r="C204" s="3" t="s">
        <v>1330</v>
      </c>
      <c r="D204" s="14">
        <v>45673</v>
      </c>
      <c r="E204" s="5" t="s">
        <v>1338</v>
      </c>
      <c r="F204" s="5" t="s">
        <v>1336</v>
      </c>
      <c r="G204" s="6" t="s">
        <v>703</v>
      </c>
      <c r="H204" s="6" t="s">
        <v>106</v>
      </c>
      <c r="I204" s="6" t="s">
        <v>1484</v>
      </c>
      <c r="J204" s="6">
        <v>28198089</v>
      </c>
      <c r="K204" s="7" t="s">
        <v>1561</v>
      </c>
      <c r="L204" s="8">
        <v>179213</v>
      </c>
      <c r="M204" s="8" t="str">
        <f t="shared" si="22"/>
        <v>PEN</v>
      </c>
      <c r="N204" s="13"/>
      <c r="O204" s="13">
        <v>331.7</v>
      </c>
      <c r="P204" s="3">
        <f t="shared" si="23"/>
        <v>0</v>
      </c>
      <c r="Q204" s="3">
        <f t="shared" si="24"/>
        <v>331.7</v>
      </c>
      <c r="R204" s="3">
        <f t="shared" si="20"/>
        <v>10899.119999999999</v>
      </c>
      <c r="S204" s="24" t="s">
        <v>1334</v>
      </c>
      <c r="T204" s="24" t="s">
        <v>1334</v>
      </c>
      <c r="U204" s="53"/>
      <c r="V204" s="25">
        <f>IFERROR(VLOOKUP(BCP_Soles[[#This Row],[destinatario]],CHOOSE({1,2},Clientes_Proveedores[Razon Social],Clientes_Proveedores[Ruc / Dni]),2,0),"")</f>
        <v>20100188628</v>
      </c>
      <c r="W204" s="25" t="s">
        <v>1486</v>
      </c>
      <c r="X204" s="25" t="s">
        <v>1562</v>
      </c>
      <c r="Y204" s="25"/>
      <c r="Z204" s="75"/>
      <c r="AA204" s="3" t="str">
        <f>IF(BCP_Soles[[#This Row],[fecha]]&gt;0,TEXT(BCP_Soles[[#This Row],[fecha]],"mmmm"),0)</f>
        <v>Enero</v>
      </c>
    </row>
    <row r="205" spans="1:27" ht="24" x14ac:dyDescent="0.3">
      <c r="A205" s="2">
        <f>IF(BCP_Soles[[#This Row],[tipo_registro]]="R",COUNTIFS($C$1:$C204,"R")+1,A204)</f>
        <v>118</v>
      </c>
      <c r="B205" s="19" t="str">
        <f t="shared" si="21"/>
        <v>B-BCP - Soles</v>
      </c>
      <c r="C205" s="3" t="s">
        <v>1330</v>
      </c>
      <c r="D205" s="14">
        <v>45673</v>
      </c>
      <c r="E205" s="5" t="s">
        <v>1338</v>
      </c>
      <c r="F205" s="5" t="s">
        <v>1336</v>
      </c>
      <c r="G205" s="6" t="s">
        <v>705</v>
      </c>
      <c r="H205" s="6" t="s">
        <v>106</v>
      </c>
      <c r="I205" s="6" t="s">
        <v>1563</v>
      </c>
      <c r="J205" s="6">
        <v>64766093</v>
      </c>
      <c r="K205" s="7" t="s">
        <v>1564</v>
      </c>
      <c r="L205" s="8">
        <v>4116326</v>
      </c>
      <c r="M205" s="8" t="str">
        <f t="shared" si="22"/>
        <v>PEN</v>
      </c>
      <c r="N205" s="13"/>
      <c r="O205" s="13">
        <v>89.8</v>
      </c>
      <c r="P205" s="3">
        <f t="shared" si="23"/>
        <v>0</v>
      </c>
      <c r="Q205" s="3">
        <f t="shared" si="24"/>
        <v>89.8</v>
      </c>
      <c r="R205" s="3">
        <f t="shared" si="20"/>
        <v>10809.32</v>
      </c>
      <c r="S205" s="24" t="s">
        <v>1334</v>
      </c>
      <c r="T205" s="24" t="s">
        <v>1334</v>
      </c>
      <c r="U205" s="53"/>
      <c r="V205" s="25">
        <f>IFERROR(VLOOKUP(BCP_Soles[[#This Row],[destinatario]],CHOOSE({1,2},Clientes_Proveedores[Razon Social],Clientes_Proveedores[Ruc / Dni]),2,0),"")</f>
        <v>20100017491</v>
      </c>
      <c r="W205" s="25" t="s">
        <v>1565</v>
      </c>
      <c r="X205" s="25" t="s">
        <v>1566</v>
      </c>
      <c r="Y205" s="25"/>
      <c r="Z205" s="75"/>
      <c r="AA205" s="3" t="str">
        <f>IF(BCP_Soles[[#This Row],[fecha]]&gt;0,TEXT(BCP_Soles[[#This Row],[fecha]],"mmmm"),0)</f>
        <v>Enero</v>
      </c>
    </row>
    <row r="206" spans="1:27" ht="24" x14ac:dyDescent="0.3">
      <c r="A206" s="2">
        <f>IF(BCP_Soles[[#This Row],[tipo_registro]]="R",COUNTIFS($C$1:$C205,"R")+1,A205)</f>
        <v>119</v>
      </c>
      <c r="B206" s="19" t="str">
        <f t="shared" si="21"/>
        <v>B-BCP - Soles</v>
      </c>
      <c r="C206" s="3" t="s">
        <v>1330</v>
      </c>
      <c r="D206" s="14">
        <v>45673</v>
      </c>
      <c r="E206" s="5" t="s">
        <v>1338</v>
      </c>
      <c r="F206" s="5" t="s">
        <v>1336</v>
      </c>
      <c r="G206" s="6" t="s">
        <v>706</v>
      </c>
      <c r="H206" s="6"/>
      <c r="I206" s="6"/>
      <c r="J206" s="6"/>
      <c r="K206" s="7" t="s">
        <v>1567</v>
      </c>
      <c r="L206" s="8">
        <v>4115304</v>
      </c>
      <c r="M206" s="8" t="str">
        <f t="shared" si="22"/>
        <v>PEN</v>
      </c>
      <c r="N206" s="13"/>
      <c r="O206" s="13">
        <v>49.7</v>
      </c>
      <c r="P206" s="3">
        <f t="shared" si="23"/>
        <v>0</v>
      </c>
      <c r="Q206" s="3">
        <f t="shared" si="24"/>
        <v>49.7</v>
      </c>
      <c r="R206" s="3">
        <f t="shared" si="20"/>
        <v>10759.619999999999</v>
      </c>
      <c r="S206" s="24" t="s">
        <v>1334</v>
      </c>
      <c r="T206" s="24" t="s">
        <v>1334</v>
      </c>
      <c r="U206" s="53"/>
      <c r="V206" s="25">
        <f>IFERROR(VLOOKUP(BCP_Soles[[#This Row],[destinatario]],CHOOSE({1,2},Clientes_Proveedores[Razon Social],Clientes_Proveedores[Ruc / Dni]),2,0),"")</f>
        <v>20331898008</v>
      </c>
      <c r="W206" s="25" t="s">
        <v>1568</v>
      </c>
      <c r="X206" s="25" t="s">
        <v>1569</v>
      </c>
      <c r="Y206" s="25"/>
      <c r="Z206" s="75"/>
      <c r="AA206" s="3" t="str">
        <f>IF(BCP_Soles[[#This Row],[fecha]]&gt;0,TEXT(BCP_Soles[[#This Row],[fecha]],"mmmm"),0)</f>
        <v>Enero</v>
      </c>
    </row>
    <row r="207" spans="1:27" ht="24" x14ac:dyDescent="0.3">
      <c r="A207" s="2">
        <f>IF(BCP_Soles[[#This Row],[tipo_registro]]="R",COUNTIFS($C$1:$C206,"R")+1,A206)</f>
        <v>119</v>
      </c>
      <c r="B207" s="19" t="str">
        <f t="shared" si="21"/>
        <v>B-BCP - Soles</v>
      </c>
      <c r="C207" s="3" t="s">
        <v>1352</v>
      </c>
      <c r="D207" s="14">
        <v>45673</v>
      </c>
      <c r="E207" s="5"/>
      <c r="F207" s="5"/>
      <c r="G207" s="6" t="s">
        <v>706</v>
      </c>
      <c r="H207" s="6" t="s">
        <v>106</v>
      </c>
      <c r="I207" s="6" t="s">
        <v>1570</v>
      </c>
      <c r="J207" s="6">
        <v>66903117</v>
      </c>
      <c r="K207" s="7" t="s">
        <v>1567</v>
      </c>
      <c r="L207" s="8">
        <v>4115304</v>
      </c>
      <c r="M207" s="8" t="str">
        <f t="shared" si="22"/>
        <v>PEN</v>
      </c>
      <c r="N207" s="13">
        <v>20.350000000000001</v>
      </c>
      <c r="O207" s="13"/>
      <c r="P207" s="3">
        <f t="shared" si="23"/>
        <v>0</v>
      </c>
      <c r="Q207" s="3">
        <f t="shared" si="24"/>
        <v>0</v>
      </c>
      <c r="R207" s="3">
        <f t="shared" si="20"/>
        <v>10759.619999999999</v>
      </c>
      <c r="S207" s="24" t="s">
        <v>1334</v>
      </c>
      <c r="T207" s="24" t="s">
        <v>1334</v>
      </c>
      <c r="U207" s="53"/>
      <c r="V207" s="25">
        <f>IFERROR(VLOOKUP(BCP_Soles[[#This Row],[destinatario]],CHOOSE({1,2},Clientes_Proveedores[Razon Social],Clientes_Proveedores[Ruc / Dni]),2,0),"")</f>
        <v>20331898008</v>
      </c>
      <c r="W207" s="25"/>
      <c r="X207" s="25"/>
      <c r="Y207" s="25"/>
      <c r="Z207" s="75"/>
      <c r="AA207" s="3" t="str">
        <f>IF(BCP_Soles[[#This Row],[fecha]]&gt;0,TEXT(BCP_Soles[[#This Row],[fecha]],"mmmm"),0)</f>
        <v>Enero</v>
      </c>
    </row>
    <row r="208" spans="1:27" ht="24" x14ac:dyDescent="0.3">
      <c r="A208" s="2">
        <f>IF(BCP_Soles[[#This Row],[tipo_registro]]="R",COUNTIFS($C$1:$C207,"R")+1,A207)</f>
        <v>119</v>
      </c>
      <c r="B208" s="19" t="str">
        <f t="shared" si="21"/>
        <v>B-BCP - Soles</v>
      </c>
      <c r="C208" s="3" t="s">
        <v>1352</v>
      </c>
      <c r="D208" s="14">
        <v>45673</v>
      </c>
      <c r="E208" s="5"/>
      <c r="F208" s="5"/>
      <c r="G208" s="6" t="s">
        <v>706</v>
      </c>
      <c r="H208" s="6" t="s">
        <v>106</v>
      </c>
      <c r="I208" s="6" t="s">
        <v>1570</v>
      </c>
      <c r="J208" s="6">
        <v>65549447</v>
      </c>
      <c r="K208" s="7" t="s">
        <v>1567</v>
      </c>
      <c r="L208" s="8">
        <v>4115304</v>
      </c>
      <c r="M208" s="8" t="str">
        <f t="shared" si="22"/>
        <v>PEN</v>
      </c>
      <c r="N208" s="13">
        <v>29.4</v>
      </c>
      <c r="O208" s="13"/>
      <c r="P208" s="3">
        <f t="shared" si="23"/>
        <v>0</v>
      </c>
      <c r="Q208" s="3">
        <f t="shared" si="24"/>
        <v>0</v>
      </c>
      <c r="R208" s="3">
        <f t="shared" si="20"/>
        <v>10759.619999999999</v>
      </c>
      <c r="S208" s="24" t="s">
        <v>1334</v>
      </c>
      <c r="T208" s="24" t="s">
        <v>1334</v>
      </c>
      <c r="U208" s="53"/>
      <c r="V208" s="25">
        <f>IFERROR(VLOOKUP(BCP_Soles[[#This Row],[destinatario]],CHOOSE({1,2},Clientes_Proveedores[Razon Social],Clientes_Proveedores[Ruc / Dni]),2,0),"")</f>
        <v>20331898008</v>
      </c>
      <c r="W208" s="25"/>
      <c r="X208" s="25"/>
      <c r="Y208" s="25"/>
      <c r="Z208" s="75"/>
      <c r="AA208" s="3" t="str">
        <f>IF(BCP_Soles[[#This Row],[fecha]]&gt;0,TEXT(BCP_Soles[[#This Row],[fecha]],"mmmm"),0)</f>
        <v>Enero</v>
      </c>
    </row>
    <row r="209" spans="1:27" ht="24" x14ac:dyDescent="0.3">
      <c r="A209" s="2">
        <f>IF(BCP_Soles[[#This Row],[tipo_registro]]="R",COUNTIFS($C$1:$C208,"R")+1,A208)</f>
        <v>120</v>
      </c>
      <c r="B209" s="19" t="str">
        <f t="shared" si="21"/>
        <v>B-BCP - Soles</v>
      </c>
      <c r="C209" s="3" t="s">
        <v>1330</v>
      </c>
      <c r="D209" s="14">
        <v>45673</v>
      </c>
      <c r="E209" s="5" t="s">
        <v>1338</v>
      </c>
      <c r="F209" s="5" t="s">
        <v>1336</v>
      </c>
      <c r="G209" s="6" t="s">
        <v>827</v>
      </c>
      <c r="H209" s="6" t="s">
        <v>143</v>
      </c>
      <c r="I209" s="6">
        <v>1</v>
      </c>
      <c r="J209" s="6">
        <v>12025</v>
      </c>
      <c r="K209" s="7" t="s">
        <v>1571</v>
      </c>
      <c r="L209" s="8">
        <v>1105302</v>
      </c>
      <c r="M209" s="8" t="str">
        <f t="shared" si="22"/>
        <v>PEN</v>
      </c>
      <c r="N209" s="13"/>
      <c r="O209" s="13">
        <v>628</v>
      </c>
      <c r="P209" s="3">
        <f t="shared" si="23"/>
        <v>0</v>
      </c>
      <c r="Q209" s="3">
        <f t="shared" si="24"/>
        <v>628</v>
      </c>
      <c r="R209" s="3">
        <f t="shared" si="20"/>
        <v>10131.619999999999</v>
      </c>
      <c r="S209" s="24" t="s">
        <v>1334</v>
      </c>
      <c r="T209" s="24" t="s">
        <v>1334</v>
      </c>
      <c r="U209" s="53"/>
      <c r="V209" s="25">
        <f>IFERROR(VLOOKUP(BCP_Soles[[#This Row],[destinatario]],CHOOSE({1,2},Clientes_Proveedores[Razon Social],Clientes_Proveedores[Ruc / Dni]),2,0),"")</f>
        <v>74600892</v>
      </c>
      <c r="W209" s="25"/>
      <c r="X209" s="25"/>
      <c r="Y209" s="25"/>
      <c r="Z209" s="75"/>
      <c r="AA209" s="3" t="str">
        <f>IF(BCP_Soles[[#This Row],[fecha]]&gt;0,TEXT(BCP_Soles[[#This Row],[fecha]],"mmmm"),0)</f>
        <v>Enero</v>
      </c>
    </row>
    <row r="210" spans="1:27" ht="36" x14ac:dyDescent="0.3">
      <c r="A210" s="2">
        <f>IF(BCP_Soles[[#This Row],[tipo_registro]]="R",COUNTIFS($C$1:$C209,"R")+1,A209)</f>
        <v>121</v>
      </c>
      <c r="B210" s="19" t="str">
        <f t="shared" si="21"/>
        <v>B-BCP - Soles</v>
      </c>
      <c r="C210" s="3" t="s">
        <v>1330</v>
      </c>
      <c r="D210" s="14">
        <v>45673</v>
      </c>
      <c r="E210" s="5" t="s">
        <v>555</v>
      </c>
      <c r="F210" s="5" t="s">
        <v>1303</v>
      </c>
      <c r="G210" s="6" t="s">
        <v>425</v>
      </c>
      <c r="H210" s="6"/>
      <c r="I210" s="6"/>
      <c r="J210" s="6"/>
      <c r="K210" s="7" t="s">
        <v>1348</v>
      </c>
      <c r="L210" s="8">
        <v>2108164</v>
      </c>
      <c r="M210" s="8" t="str">
        <f t="shared" si="22"/>
        <v>PEN</v>
      </c>
      <c r="N210" s="13"/>
      <c r="O210" s="13">
        <v>2030.32</v>
      </c>
      <c r="P210" s="3">
        <f t="shared" si="23"/>
        <v>2030.32</v>
      </c>
      <c r="Q210" s="3">
        <f t="shared" si="24"/>
        <v>0</v>
      </c>
      <c r="R210" s="3">
        <f t="shared" si="20"/>
        <v>12161.939999999999</v>
      </c>
      <c r="S210" s="24" t="s">
        <v>1334</v>
      </c>
      <c r="T210" s="24" t="s">
        <v>1334</v>
      </c>
      <c r="U210" s="53"/>
      <c r="V210" s="25">
        <f>IFERROR(VLOOKUP(BCP_Soles[[#This Row],[destinatario]],CHOOSE({1,2},Clientes_Proveedores[Razon Social],Clientes_Proveedores[Ruc / Dni]),2,0),"")</f>
        <v>20558226979</v>
      </c>
      <c r="W210" s="25" t="s">
        <v>1345</v>
      </c>
      <c r="X210" s="25" t="s">
        <v>1572</v>
      </c>
      <c r="Y210" s="25"/>
      <c r="Z210" s="75"/>
      <c r="AA210" s="3" t="str">
        <f>IF(BCP_Soles[[#This Row],[fecha]]&gt;0,TEXT(BCP_Soles[[#This Row],[fecha]],"mmmm"),0)</f>
        <v>Enero</v>
      </c>
    </row>
    <row r="211" spans="1:27" ht="36" x14ac:dyDescent="0.3">
      <c r="A211" s="2">
        <f>IF(BCP_Soles[[#This Row],[tipo_registro]]="R",COUNTIFS($C$1:$C210,"R")+1,A210)</f>
        <v>122</v>
      </c>
      <c r="B211" s="19" t="str">
        <f t="shared" si="21"/>
        <v>B-BCP - Soles</v>
      </c>
      <c r="C211" s="3" t="s">
        <v>1330</v>
      </c>
      <c r="D211" s="14">
        <v>45673</v>
      </c>
      <c r="E211" s="5" t="s">
        <v>555</v>
      </c>
      <c r="F211" s="5" t="s">
        <v>1303</v>
      </c>
      <c r="G211" s="6" t="s">
        <v>425</v>
      </c>
      <c r="H211" s="6"/>
      <c r="I211" s="6"/>
      <c r="J211" s="6"/>
      <c r="K211" s="7" t="s">
        <v>1348</v>
      </c>
      <c r="L211" s="8">
        <v>2179029</v>
      </c>
      <c r="M211" s="8" t="str">
        <f t="shared" si="22"/>
        <v>PEN</v>
      </c>
      <c r="N211" s="13"/>
      <c r="O211" s="13">
        <v>3299.37</v>
      </c>
      <c r="P211" s="3">
        <f t="shared" si="23"/>
        <v>3299.37</v>
      </c>
      <c r="Q211" s="3">
        <f t="shared" si="24"/>
        <v>0</v>
      </c>
      <c r="R211" s="3">
        <f t="shared" si="20"/>
        <v>15461.309999999998</v>
      </c>
      <c r="S211" s="24" t="s">
        <v>1334</v>
      </c>
      <c r="T211" s="24" t="s">
        <v>1334</v>
      </c>
      <c r="U211" s="53"/>
      <c r="V211" s="25">
        <f>IFERROR(VLOOKUP(BCP_Soles[[#This Row],[destinatario]],CHOOSE({1,2},Clientes_Proveedores[Razon Social],Clientes_Proveedores[Ruc / Dni]),2,0),"")</f>
        <v>20558226979</v>
      </c>
      <c r="W211" s="25" t="s">
        <v>1345</v>
      </c>
      <c r="X211" s="25" t="s">
        <v>1573</v>
      </c>
      <c r="Y211" s="25"/>
      <c r="Z211" s="75"/>
      <c r="AA211" s="3" t="str">
        <f>IF(BCP_Soles[[#This Row],[fecha]]&gt;0,TEXT(BCP_Soles[[#This Row],[fecha]],"mmmm"),0)</f>
        <v>Enero</v>
      </c>
    </row>
    <row r="212" spans="1:27" ht="36" x14ac:dyDescent="0.3">
      <c r="A212" s="2">
        <f>IF(BCP_Soles[[#This Row],[tipo_registro]]="R",COUNTIFS($C$1:$C211,"R")+1,A211)</f>
        <v>123</v>
      </c>
      <c r="B212" s="19" t="str">
        <f t="shared" si="21"/>
        <v>B-BCP - Soles</v>
      </c>
      <c r="C212" s="3" t="s">
        <v>1330</v>
      </c>
      <c r="D212" s="14">
        <v>45673</v>
      </c>
      <c r="E212" s="5" t="s">
        <v>555</v>
      </c>
      <c r="F212" s="5" t="s">
        <v>1303</v>
      </c>
      <c r="G212" s="6" t="s">
        <v>425</v>
      </c>
      <c r="H212" s="6"/>
      <c r="I212" s="6"/>
      <c r="J212" s="6"/>
      <c r="K212" s="7" t="s">
        <v>1348</v>
      </c>
      <c r="L212" s="8">
        <v>2145078</v>
      </c>
      <c r="M212" s="8" t="str">
        <f t="shared" si="22"/>
        <v>PEN</v>
      </c>
      <c r="N212" s="13"/>
      <c r="O212" s="13">
        <v>1179.68</v>
      </c>
      <c r="P212" s="3">
        <f t="shared" si="23"/>
        <v>1179.68</v>
      </c>
      <c r="Q212" s="3">
        <f t="shared" si="24"/>
        <v>0</v>
      </c>
      <c r="R212" s="3">
        <f t="shared" si="20"/>
        <v>16640.989999999998</v>
      </c>
      <c r="S212" s="24" t="s">
        <v>1334</v>
      </c>
      <c r="T212" s="24" t="s">
        <v>1334</v>
      </c>
      <c r="U212" s="53"/>
      <c r="V212" s="25">
        <f>IFERROR(VLOOKUP(BCP_Soles[[#This Row],[destinatario]],CHOOSE({1,2},Clientes_Proveedores[Razon Social],Clientes_Proveedores[Ruc / Dni]),2,0),"")</f>
        <v>20558226979</v>
      </c>
      <c r="W212" s="25" t="s">
        <v>1345</v>
      </c>
      <c r="X212" s="25" t="s">
        <v>1574</v>
      </c>
      <c r="Y212" s="25"/>
      <c r="Z212" s="75"/>
      <c r="AA212" s="3" t="str">
        <f>IF(BCP_Soles[[#This Row],[fecha]]&gt;0,TEXT(BCP_Soles[[#This Row],[fecha]],"mmmm"),0)</f>
        <v>Enero</v>
      </c>
    </row>
    <row r="213" spans="1:27" ht="36" x14ac:dyDescent="0.3">
      <c r="A213" s="2">
        <f>IF(BCP_Soles[[#This Row],[tipo_registro]]="R",COUNTIFS($C$1:$C212,"R")+1,A212)</f>
        <v>124</v>
      </c>
      <c r="B213" s="19" t="str">
        <f t="shared" si="21"/>
        <v>B-BCP - Soles</v>
      </c>
      <c r="C213" s="3" t="s">
        <v>1330</v>
      </c>
      <c r="D213" s="14">
        <v>45673</v>
      </c>
      <c r="E213" s="5" t="s">
        <v>555</v>
      </c>
      <c r="F213" s="5" t="s">
        <v>1303</v>
      </c>
      <c r="G213" s="6" t="s">
        <v>425</v>
      </c>
      <c r="H213" s="6"/>
      <c r="I213" s="6"/>
      <c r="J213" s="6"/>
      <c r="K213" s="7" t="s">
        <v>1348</v>
      </c>
      <c r="L213" s="8">
        <v>2169025</v>
      </c>
      <c r="M213" s="8" t="str">
        <f t="shared" si="22"/>
        <v>PEN</v>
      </c>
      <c r="N213" s="13"/>
      <c r="O213" s="13">
        <v>2711.72</v>
      </c>
      <c r="P213" s="3">
        <f t="shared" si="23"/>
        <v>2711.72</v>
      </c>
      <c r="Q213" s="3">
        <f t="shared" si="24"/>
        <v>0</v>
      </c>
      <c r="R213" s="3">
        <f t="shared" si="20"/>
        <v>19352.71</v>
      </c>
      <c r="S213" s="24" t="s">
        <v>1334</v>
      </c>
      <c r="T213" s="24" t="s">
        <v>1334</v>
      </c>
      <c r="U213" s="53"/>
      <c r="V213" s="25">
        <f>IFERROR(VLOOKUP(BCP_Soles[[#This Row],[destinatario]],CHOOSE({1,2},Clientes_Proveedores[Razon Social],Clientes_Proveedores[Ruc / Dni]),2,0),"")</f>
        <v>20558226979</v>
      </c>
      <c r="W213" s="25" t="s">
        <v>1345</v>
      </c>
      <c r="X213" s="25" t="s">
        <v>1575</v>
      </c>
      <c r="Y213" s="25"/>
      <c r="Z213" s="75"/>
      <c r="AA213" s="3" t="str">
        <f>IF(BCP_Soles[[#This Row],[fecha]]&gt;0,TEXT(BCP_Soles[[#This Row],[fecha]],"mmmm"),0)</f>
        <v>Enero</v>
      </c>
    </row>
    <row r="214" spans="1:27" x14ac:dyDescent="0.3">
      <c r="A214" s="2">
        <f>IF(BCP_Soles[[#This Row],[tipo_registro]]="R",COUNTIFS($C$1:$C213,"R")+1,A213)</f>
        <v>125</v>
      </c>
      <c r="B214" s="19" t="str">
        <f t="shared" si="21"/>
        <v>B-BCP - Soles</v>
      </c>
      <c r="C214" s="3" t="s">
        <v>1330</v>
      </c>
      <c r="D214" s="14">
        <v>45673</v>
      </c>
      <c r="E214" s="5" t="s">
        <v>1335</v>
      </c>
      <c r="F214" s="5" t="s">
        <v>1336</v>
      </c>
      <c r="G214" s="6"/>
      <c r="H214" s="6"/>
      <c r="I214" s="6"/>
      <c r="J214" s="6"/>
      <c r="K214" s="7" t="s">
        <v>1337</v>
      </c>
      <c r="L214" s="8"/>
      <c r="M214" s="8" t="str">
        <f t="shared" si="22"/>
        <v>PEN</v>
      </c>
      <c r="N214" s="13"/>
      <c r="O214" s="13">
        <v>0.65</v>
      </c>
      <c r="P214" s="3">
        <f t="shared" si="23"/>
        <v>0</v>
      </c>
      <c r="Q214" s="3">
        <f t="shared" si="24"/>
        <v>0.65</v>
      </c>
      <c r="R214" s="3">
        <f t="shared" si="20"/>
        <v>19352.059999999998</v>
      </c>
      <c r="S214" s="24"/>
      <c r="T214" s="24" t="s">
        <v>1334</v>
      </c>
      <c r="U214" s="53"/>
      <c r="V214" s="25" t="str">
        <f>IFERROR(VLOOKUP(BCP_Soles[[#This Row],[destinatario]],CHOOSE({1,2},Clientes_Proveedores[Razon Social],Clientes_Proveedores[Ruc / Dni]),2,0),"")</f>
        <v/>
      </c>
      <c r="W214" s="25"/>
      <c r="X214" s="25"/>
      <c r="Y214" s="25"/>
      <c r="Z214" s="75"/>
      <c r="AA214" s="3" t="str">
        <f>IF(BCP_Soles[[#This Row],[fecha]]&gt;0,TEXT(BCP_Soles[[#This Row],[fecha]],"mmmm"),0)</f>
        <v>Enero</v>
      </c>
    </row>
    <row r="215" spans="1:27" ht="24" x14ac:dyDescent="0.3">
      <c r="A215" s="2">
        <f>IF(BCP_Soles[[#This Row],[tipo_registro]]="R",COUNTIFS($C$1:$C214,"R")+1,A214)</f>
        <v>126</v>
      </c>
      <c r="B215" s="19" t="str">
        <f t="shared" si="21"/>
        <v>B-BCP - Soles</v>
      </c>
      <c r="C215" s="3" t="s">
        <v>1330</v>
      </c>
      <c r="D215" s="14">
        <v>45673</v>
      </c>
      <c r="E215" s="5" t="s">
        <v>1338</v>
      </c>
      <c r="F215" s="5" t="s">
        <v>1336</v>
      </c>
      <c r="G215" s="6" t="s">
        <v>617</v>
      </c>
      <c r="H215" s="6" t="s">
        <v>68</v>
      </c>
      <c r="I215" s="6" t="s">
        <v>1374</v>
      </c>
      <c r="J215" s="6">
        <v>497</v>
      </c>
      <c r="K215" s="7" t="s">
        <v>1576</v>
      </c>
      <c r="L215" s="8">
        <v>1188362</v>
      </c>
      <c r="M215" s="8" t="str">
        <f t="shared" si="22"/>
        <v>PEN</v>
      </c>
      <c r="N215" s="13"/>
      <c r="O215" s="13">
        <v>150</v>
      </c>
      <c r="P215" s="3">
        <f t="shared" si="23"/>
        <v>0</v>
      </c>
      <c r="Q215" s="3">
        <f t="shared" si="24"/>
        <v>150</v>
      </c>
      <c r="R215" s="3">
        <f t="shared" si="20"/>
        <v>19202.059999999998</v>
      </c>
      <c r="S215" s="24" t="s">
        <v>1334</v>
      </c>
      <c r="T215" s="24" t="s">
        <v>1334</v>
      </c>
      <c r="U215" s="53"/>
      <c r="V215" s="25">
        <f>IFERROR(VLOOKUP(BCP_Soles[[#This Row],[destinatario]],CHOOSE({1,2},Clientes_Proveedores[Razon Social],Clientes_Proveedores[Ruc / Dni]),2,0),"")</f>
        <v>20611280999</v>
      </c>
      <c r="W215" s="25" t="s">
        <v>1577</v>
      </c>
      <c r="X215" s="25" t="s">
        <v>1578</v>
      </c>
      <c r="Y215" s="25"/>
      <c r="Z215" s="75"/>
      <c r="AA215" s="3" t="str">
        <f>IF(BCP_Soles[[#This Row],[fecha]]&gt;0,TEXT(BCP_Soles[[#This Row],[fecha]],"mmmm"),0)</f>
        <v>Enero</v>
      </c>
    </row>
    <row r="216" spans="1:27" ht="24" x14ac:dyDescent="0.3">
      <c r="A216" s="2">
        <f>IF(BCP_Soles[[#This Row],[tipo_registro]]="R",COUNTIFS($C$1:$C215,"R")+1,A215)</f>
        <v>127</v>
      </c>
      <c r="B216" s="19" t="str">
        <f t="shared" si="21"/>
        <v>B-BCP - Soles</v>
      </c>
      <c r="C216" s="3" t="s">
        <v>1330</v>
      </c>
      <c r="D216" s="14">
        <v>45673</v>
      </c>
      <c r="E216" s="5" t="s">
        <v>1338</v>
      </c>
      <c r="F216" s="5" t="s">
        <v>1336</v>
      </c>
      <c r="G216" s="6" t="s">
        <v>857</v>
      </c>
      <c r="H216" s="6" t="s">
        <v>143</v>
      </c>
      <c r="I216" s="6">
        <v>1</v>
      </c>
      <c r="J216" s="6">
        <v>52025</v>
      </c>
      <c r="K216" s="7" t="s">
        <v>1579</v>
      </c>
      <c r="L216" s="8">
        <v>1262232</v>
      </c>
      <c r="M216" s="8" t="str">
        <f t="shared" si="22"/>
        <v>PEN</v>
      </c>
      <c r="N216" s="13"/>
      <c r="O216" s="13">
        <v>132</v>
      </c>
      <c r="P216" s="3">
        <f t="shared" si="23"/>
        <v>0</v>
      </c>
      <c r="Q216" s="3">
        <f t="shared" si="24"/>
        <v>132</v>
      </c>
      <c r="R216" s="3">
        <f t="shared" si="20"/>
        <v>19070.059999999998</v>
      </c>
      <c r="S216" s="24" t="s">
        <v>1334</v>
      </c>
      <c r="T216" s="24" t="s">
        <v>1334</v>
      </c>
      <c r="U216" s="53"/>
      <c r="V216" s="25">
        <f>IFERROR(VLOOKUP(BCP_Soles[[#This Row],[destinatario]],CHOOSE({1,2},Clientes_Proveedores[Razon Social],Clientes_Proveedores[Ruc / Dni]),2,0),"")</f>
        <v>70666331</v>
      </c>
      <c r="W216" s="25"/>
      <c r="X216" s="25"/>
      <c r="Y216" s="25"/>
      <c r="Z216" s="75"/>
      <c r="AA216" s="3" t="str">
        <f>IF(BCP_Soles[[#This Row],[fecha]]&gt;0,TEXT(BCP_Soles[[#This Row],[fecha]],"mmmm"),0)</f>
        <v>Enero</v>
      </c>
    </row>
    <row r="217" spans="1:27" ht="36" x14ac:dyDescent="0.3">
      <c r="A217" s="2">
        <f>IF(BCP_Soles[[#This Row],[tipo_registro]]="R",COUNTIFS($C$1:$C216,"R")+1,A216)</f>
        <v>128</v>
      </c>
      <c r="B217" s="19" t="str">
        <f t="shared" si="21"/>
        <v>B-BCP - Soles</v>
      </c>
      <c r="C217" s="3" t="s">
        <v>1330</v>
      </c>
      <c r="D217" s="14">
        <v>45673</v>
      </c>
      <c r="E217" s="5" t="s">
        <v>271</v>
      </c>
      <c r="F217" s="5" t="s">
        <v>1303</v>
      </c>
      <c r="G217" s="6" t="s">
        <v>425</v>
      </c>
      <c r="H217" s="6"/>
      <c r="I217" s="6"/>
      <c r="J217" s="6"/>
      <c r="K217" s="7" t="s">
        <v>1580</v>
      </c>
      <c r="L217" s="8">
        <v>2419248</v>
      </c>
      <c r="M217" s="8" t="str">
        <f t="shared" si="22"/>
        <v>PEN</v>
      </c>
      <c r="N217" s="13"/>
      <c r="O217" s="13">
        <v>2697.29</v>
      </c>
      <c r="P217" s="3">
        <f t="shared" si="23"/>
        <v>2697.29</v>
      </c>
      <c r="Q217" s="3">
        <f t="shared" si="24"/>
        <v>0</v>
      </c>
      <c r="R217" s="3">
        <f t="shared" si="20"/>
        <v>21767.35</v>
      </c>
      <c r="S217" s="24" t="s">
        <v>1334</v>
      </c>
      <c r="T217" s="24" t="s">
        <v>1334</v>
      </c>
      <c r="U217" s="53"/>
      <c r="V217" s="25">
        <f>IFERROR(VLOOKUP(BCP_Soles[[#This Row],[destinatario]],CHOOSE({1,2},Clientes_Proveedores[Razon Social],Clientes_Proveedores[Ruc / Dni]),2,0),"")</f>
        <v>20558226979</v>
      </c>
      <c r="W217" s="25" t="s">
        <v>1345</v>
      </c>
      <c r="X217" s="25" t="s">
        <v>1581</v>
      </c>
      <c r="Y217" s="25"/>
      <c r="Z217" s="75"/>
      <c r="AA217" s="3" t="str">
        <f>IF(BCP_Soles[[#This Row],[fecha]]&gt;0,TEXT(BCP_Soles[[#This Row],[fecha]],"mmmm"),0)</f>
        <v>Enero</v>
      </c>
    </row>
    <row r="218" spans="1:27" x14ac:dyDescent="0.3">
      <c r="A218" s="2">
        <f>IF(BCP_Soles[[#This Row],[tipo_registro]]="R",COUNTIFS($C$1:$C217,"R")+1,A217)</f>
        <v>129</v>
      </c>
      <c r="B218" s="19" t="str">
        <f t="shared" si="21"/>
        <v>B-BCP - Soles</v>
      </c>
      <c r="C218" s="3" t="s">
        <v>1330</v>
      </c>
      <c r="D218" s="14">
        <v>45674</v>
      </c>
      <c r="E218" s="5" t="s">
        <v>1421</v>
      </c>
      <c r="F218" s="5" t="s">
        <v>1336</v>
      </c>
      <c r="G218" s="6" t="s">
        <v>809</v>
      </c>
      <c r="H218" s="6" t="s">
        <v>143</v>
      </c>
      <c r="I218" s="6">
        <v>1</v>
      </c>
      <c r="J218" s="6">
        <v>782025</v>
      </c>
      <c r="K218" s="7" t="s">
        <v>1582</v>
      </c>
      <c r="L218" s="8">
        <v>1000479</v>
      </c>
      <c r="M218" s="8" t="str">
        <f t="shared" si="22"/>
        <v>PEN</v>
      </c>
      <c r="N218" s="13"/>
      <c r="O218" s="13">
        <v>2808.93</v>
      </c>
      <c r="P218" s="3">
        <f t="shared" si="23"/>
        <v>0</v>
      </c>
      <c r="Q218" s="3">
        <f t="shared" si="24"/>
        <v>2808.93</v>
      </c>
      <c r="R218" s="3">
        <f t="shared" si="20"/>
        <v>18958.419999999998</v>
      </c>
      <c r="S218" s="24"/>
      <c r="T218" s="24" t="s">
        <v>1334</v>
      </c>
      <c r="U218" s="53"/>
      <c r="V218" s="25">
        <f>IFERROR(VLOOKUP(BCP_Soles[[#This Row],[destinatario]],CHOOSE({1,2},Clientes_Proveedores[Razon Social],Clientes_Proveedores[Ruc / Dni]),2,0),"")</f>
        <v>45286301</v>
      </c>
      <c r="W218" s="25"/>
      <c r="X218" s="25"/>
      <c r="Y218" s="25"/>
      <c r="Z218" s="75"/>
      <c r="AA218" s="3" t="str">
        <f>IF(BCP_Soles[[#This Row],[fecha]]&gt;0,TEXT(BCP_Soles[[#This Row],[fecha]],"mmmm"),0)</f>
        <v>Enero</v>
      </c>
    </row>
    <row r="219" spans="1:27" x14ac:dyDescent="0.3">
      <c r="A219" s="2">
        <f>IF(BCP_Soles[[#This Row],[tipo_registro]]="R",COUNTIFS($C$1:$C218,"R")+1,A218)</f>
        <v>130</v>
      </c>
      <c r="B219" s="19" t="str">
        <f t="shared" si="21"/>
        <v>B-BCP - Soles</v>
      </c>
      <c r="C219" s="3" t="s">
        <v>1330</v>
      </c>
      <c r="D219" s="14">
        <v>45674</v>
      </c>
      <c r="E219" s="5" t="s">
        <v>1335</v>
      </c>
      <c r="F219" s="5" t="s">
        <v>1336</v>
      </c>
      <c r="G219" s="6"/>
      <c r="H219" s="6"/>
      <c r="I219" s="6"/>
      <c r="J219" s="6"/>
      <c r="K219" s="7" t="s">
        <v>1337</v>
      </c>
      <c r="L219" s="8"/>
      <c r="M219" s="8" t="str">
        <f t="shared" si="22"/>
        <v>PEN</v>
      </c>
      <c r="N219" s="13"/>
      <c r="O219" s="13">
        <v>0.65</v>
      </c>
      <c r="P219" s="3">
        <f t="shared" si="23"/>
        <v>0</v>
      </c>
      <c r="Q219" s="3">
        <f t="shared" si="24"/>
        <v>0.65</v>
      </c>
      <c r="R219" s="3">
        <f t="shared" si="20"/>
        <v>18957.769999999997</v>
      </c>
      <c r="S219" s="24"/>
      <c r="T219" s="24" t="s">
        <v>1334</v>
      </c>
      <c r="U219" s="53"/>
      <c r="V219" s="25" t="str">
        <f>IFERROR(VLOOKUP(BCP_Soles[[#This Row],[destinatario]],CHOOSE({1,2},Clientes_Proveedores[Razon Social],Clientes_Proveedores[Ruc / Dni]),2,0),"")</f>
        <v/>
      </c>
      <c r="W219" s="25"/>
      <c r="X219" s="25"/>
      <c r="Y219" s="25"/>
      <c r="Z219" s="75"/>
      <c r="AA219" s="3" t="str">
        <f>IF(BCP_Soles[[#This Row],[fecha]]&gt;0,TEXT(BCP_Soles[[#This Row],[fecha]],"mmmm"),0)</f>
        <v>Enero</v>
      </c>
    </row>
    <row r="220" spans="1:27" x14ac:dyDescent="0.3">
      <c r="A220" s="2">
        <f>IF(BCP_Soles[[#This Row],[tipo_registro]]="R",COUNTIFS($C$1:$C219,"R")+1,A219)</f>
        <v>131</v>
      </c>
      <c r="B220" s="19" t="str">
        <f t="shared" si="21"/>
        <v>B-BCP - Soles</v>
      </c>
      <c r="C220" s="3" t="s">
        <v>1330</v>
      </c>
      <c r="D220" s="14">
        <v>45674</v>
      </c>
      <c r="E220" s="5" t="s">
        <v>1338</v>
      </c>
      <c r="F220" s="5" t="s">
        <v>1336</v>
      </c>
      <c r="G220" s="6"/>
      <c r="H220" s="6"/>
      <c r="I220" s="6"/>
      <c r="J220" s="6"/>
      <c r="K220" s="7" t="s">
        <v>1583</v>
      </c>
      <c r="L220" s="8">
        <v>2818960</v>
      </c>
      <c r="M220" s="8" t="str">
        <f t="shared" si="22"/>
        <v>PEN</v>
      </c>
      <c r="N220" s="13"/>
      <c r="O220" s="13">
        <v>7704.89</v>
      </c>
      <c r="P220" s="3">
        <f t="shared" si="23"/>
        <v>0</v>
      </c>
      <c r="Q220" s="3">
        <f t="shared" si="24"/>
        <v>7704.89</v>
      </c>
      <c r="R220" s="3">
        <f t="shared" si="20"/>
        <v>11252.879999999997</v>
      </c>
      <c r="S220" s="24" t="s">
        <v>1334</v>
      </c>
      <c r="T220" s="24" t="s">
        <v>1334</v>
      </c>
      <c r="U220" s="53"/>
      <c r="V220" s="25" t="str">
        <f>IFERROR(VLOOKUP(BCP_Soles[[#This Row],[destinatario]],CHOOSE({1,2},Clientes_Proveedores[Razon Social],Clientes_Proveedores[Ruc / Dni]),2,0),"")</f>
        <v/>
      </c>
      <c r="W220" s="25" t="s">
        <v>1373</v>
      </c>
      <c r="X220" s="25" t="s">
        <v>1452</v>
      </c>
      <c r="Y220" s="25"/>
      <c r="Z220" s="75"/>
      <c r="AA220" s="3" t="str">
        <f>IF(BCP_Soles[[#This Row],[fecha]]&gt;0,TEXT(BCP_Soles[[#This Row],[fecha]],"mmmm"),0)</f>
        <v>Enero</v>
      </c>
    </row>
    <row r="221" spans="1:27" x14ac:dyDescent="0.3">
      <c r="A221" s="2">
        <f>IF(BCP_Soles[[#This Row],[tipo_registro]]="R",COUNTIFS($C$1:$C220,"R")+1,A220)</f>
        <v>131</v>
      </c>
      <c r="B221" s="19" t="str">
        <f t="shared" si="21"/>
        <v>B-BCP - Soles</v>
      </c>
      <c r="C221" s="3" t="s">
        <v>1352</v>
      </c>
      <c r="D221" s="14">
        <v>45674</v>
      </c>
      <c r="E221" s="5" t="s">
        <v>1338</v>
      </c>
      <c r="F221" s="5"/>
      <c r="G221" s="6" t="s">
        <v>534</v>
      </c>
      <c r="H221" s="6" t="s">
        <v>68</v>
      </c>
      <c r="I221" s="6" t="s">
        <v>1376</v>
      </c>
      <c r="J221" s="6">
        <v>1053</v>
      </c>
      <c r="K221" s="7" t="s">
        <v>1583</v>
      </c>
      <c r="L221" s="8">
        <v>2818960</v>
      </c>
      <c r="M221" s="8" t="str">
        <f t="shared" si="22"/>
        <v>PEN</v>
      </c>
      <c r="N221" s="13">
        <v>3843</v>
      </c>
      <c r="O221" s="13"/>
      <c r="P221" s="3">
        <f t="shared" si="23"/>
        <v>0</v>
      </c>
      <c r="Q221" s="3">
        <f t="shared" si="24"/>
        <v>0</v>
      </c>
      <c r="R221" s="3">
        <f t="shared" si="20"/>
        <v>11252.879999999997</v>
      </c>
      <c r="S221" s="24"/>
      <c r="T221" s="24" t="s">
        <v>1334</v>
      </c>
      <c r="U221" s="53"/>
      <c r="V221" s="25">
        <f>IFERROR(VLOOKUP(BCP_Soles[[#This Row],[destinatario]],CHOOSE({1,2},Clientes_Proveedores[Razon Social],Clientes_Proveedores[Ruc / Dni]),2,0),"")</f>
        <v>20604856745</v>
      </c>
      <c r="W221" s="25"/>
      <c r="X221" s="25"/>
      <c r="Y221" s="25"/>
      <c r="Z221" s="75"/>
      <c r="AA221" s="3" t="str">
        <f>IF(BCP_Soles[[#This Row],[fecha]]&gt;0,TEXT(BCP_Soles[[#This Row],[fecha]],"mmmm"),0)</f>
        <v>Enero</v>
      </c>
    </row>
    <row r="222" spans="1:27" ht="24" x14ac:dyDescent="0.3">
      <c r="A222" s="2">
        <f>IF(BCP_Soles[[#This Row],[tipo_registro]]="R",COUNTIFS($C$1:$C221,"R")+1,A221)</f>
        <v>131</v>
      </c>
      <c r="B222" s="19" t="str">
        <f t="shared" si="21"/>
        <v>B-BCP - Soles</v>
      </c>
      <c r="C222" s="3" t="s">
        <v>1352</v>
      </c>
      <c r="D222" s="14">
        <v>45674</v>
      </c>
      <c r="E222" s="5" t="s">
        <v>1338</v>
      </c>
      <c r="F222" s="5"/>
      <c r="G222" s="6" t="s">
        <v>520</v>
      </c>
      <c r="H222" s="6" t="s">
        <v>68</v>
      </c>
      <c r="I222" s="6" t="s">
        <v>1374</v>
      </c>
      <c r="J222" s="6">
        <v>477</v>
      </c>
      <c r="K222" s="7" t="s">
        <v>1583</v>
      </c>
      <c r="L222" s="8">
        <v>2818960</v>
      </c>
      <c r="M222" s="8" t="str">
        <f t="shared" si="22"/>
        <v>PEN</v>
      </c>
      <c r="N222" s="13">
        <v>1709.82</v>
      </c>
      <c r="O222" s="13"/>
      <c r="P222" s="3">
        <f t="shared" si="23"/>
        <v>0</v>
      </c>
      <c r="Q222" s="3">
        <f t="shared" si="24"/>
        <v>0</v>
      </c>
      <c r="R222" s="3">
        <f t="shared" si="20"/>
        <v>11252.879999999997</v>
      </c>
      <c r="S222" s="24"/>
      <c r="T222" s="24" t="s">
        <v>1334</v>
      </c>
      <c r="U222" s="53"/>
      <c r="V222" s="25">
        <f>IFERROR(VLOOKUP(BCP_Soles[[#This Row],[destinatario]],CHOOSE({1,2},Clientes_Proveedores[Razon Social],Clientes_Proveedores[Ruc / Dni]),2,0),"")</f>
        <v>20603954964</v>
      </c>
      <c r="W222" s="25"/>
      <c r="X222" s="25"/>
      <c r="Y222" s="25"/>
      <c r="Z222" s="75"/>
      <c r="AA222" s="3" t="str">
        <f>IF(BCP_Soles[[#This Row],[fecha]]&gt;0,TEXT(BCP_Soles[[#This Row],[fecha]],"mmmm"),0)</f>
        <v>Enero</v>
      </c>
    </row>
    <row r="223" spans="1:27" x14ac:dyDescent="0.3">
      <c r="A223" s="2">
        <f>IF(BCP_Soles[[#This Row],[tipo_registro]]="R",COUNTIFS($C$1:$C222,"R")+1,A222)</f>
        <v>131</v>
      </c>
      <c r="B223" s="19" t="str">
        <f t="shared" si="21"/>
        <v>B-BCP - Soles</v>
      </c>
      <c r="C223" s="3" t="s">
        <v>1352</v>
      </c>
      <c r="D223" s="14">
        <v>45674</v>
      </c>
      <c r="E223" s="5" t="s">
        <v>1338</v>
      </c>
      <c r="F223" s="5"/>
      <c r="G223" s="6" t="s">
        <v>493</v>
      </c>
      <c r="H223" s="6" t="s">
        <v>68</v>
      </c>
      <c r="I223" s="6" t="s">
        <v>1374</v>
      </c>
      <c r="J223" s="6">
        <v>8676</v>
      </c>
      <c r="K223" s="7" t="s">
        <v>1583</v>
      </c>
      <c r="L223" s="8">
        <v>2818960</v>
      </c>
      <c r="M223" s="8" t="str">
        <f t="shared" si="22"/>
        <v>PEN</v>
      </c>
      <c r="N223" s="13">
        <v>386.57</v>
      </c>
      <c r="O223" s="13"/>
      <c r="P223" s="3">
        <f t="shared" si="23"/>
        <v>0</v>
      </c>
      <c r="Q223" s="3">
        <f t="shared" si="24"/>
        <v>0</v>
      </c>
      <c r="R223" s="3">
        <f t="shared" si="20"/>
        <v>11252.879999999997</v>
      </c>
      <c r="S223" s="24"/>
      <c r="T223" s="24" t="s">
        <v>1334</v>
      </c>
      <c r="U223" s="53"/>
      <c r="V223" s="25">
        <f>IFERROR(VLOOKUP(BCP_Soles[[#This Row],[destinatario]],CHOOSE({1,2},Clientes_Proveedores[Razon Social],Clientes_Proveedores[Ruc / Dni]),2,0),"")</f>
        <v>20602751326</v>
      </c>
      <c r="W223" s="25"/>
      <c r="X223" s="25"/>
      <c r="Y223" s="25"/>
      <c r="Z223" s="75"/>
      <c r="AA223" s="3" t="str">
        <f>IF(BCP_Soles[[#This Row],[fecha]]&gt;0,TEXT(BCP_Soles[[#This Row],[fecha]],"mmmm"),0)</f>
        <v>Enero</v>
      </c>
    </row>
    <row r="224" spans="1:27" x14ac:dyDescent="0.3">
      <c r="A224" s="2">
        <f>IF(BCP_Soles[[#This Row],[tipo_registro]]="R",COUNTIFS($C$1:$C223,"R")+1,A223)</f>
        <v>131</v>
      </c>
      <c r="B224" s="19" t="str">
        <f t="shared" si="21"/>
        <v>B-BCP - Soles</v>
      </c>
      <c r="C224" s="3" t="s">
        <v>1352</v>
      </c>
      <c r="D224" s="14">
        <v>45674</v>
      </c>
      <c r="E224" s="5" t="s">
        <v>1338</v>
      </c>
      <c r="F224" s="5"/>
      <c r="G224" s="6" t="s">
        <v>522</v>
      </c>
      <c r="H224" s="6" t="s">
        <v>68</v>
      </c>
      <c r="I224" s="6" t="s">
        <v>1376</v>
      </c>
      <c r="J224" s="6">
        <v>3637</v>
      </c>
      <c r="K224" s="7" t="s">
        <v>1583</v>
      </c>
      <c r="L224" s="8">
        <v>2818960</v>
      </c>
      <c r="M224" s="8" t="str">
        <f t="shared" si="22"/>
        <v>PEN</v>
      </c>
      <c r="N224" s="13">
        <v>351.05</v>
      </c>
      <c r="O224" s="13"/>
      <c r="P224" s="3">
        <f t="shared" si="23"/>
        <v>0</v>
      </c>
      <c r="Q224" s="3">
        <f t="shared" si="24"/>
        <v>0</v>
      </c>
      <c r="R224" s="3">
        <f t="shared" si="20"/>
        <v>11252.879999999997</v>
      </c>
      <c r="S224" s="24"/>
      <c r="T224" s="24" t="s">
        <v>1334</v>
      </c>
      <c r="U224" s="53"/>
      <c r="V224" s="25">
        <f>IFERROR(VLOOKUP(BCP_Soles[[#This Row],[destinatario]],CHOOSE({1,2},Clientes_Proveedores[Razon Social],Clientes_Proveedores[Ruc / Dni]),2,0),"")</f>
        <v>20603974817</v>
      </c>
      <c r="W224" s="25"/>
      <c r="X224" s="25"/>
      <c r="Y224" s="25"/>
      <c r="Z224" s="75"/>
      <c r="AA224" s="3" t="str">
        <f>IF(BCP_Soles[[#This Row],[fecha]]&gt;0,TEXT(BCP_Soles[[#This Row],[fecha]],"mmmm"),0)</f>
        <v>Enero</v>
      </c>
    </row>
    <row r="225" spans="1:27" x14ac:dyDescent="0.3">
      <c r="A225" s="2">
        <f>IF(BCP_Soles[[#This Row],[tipo_registro]]="R",COUNTIFS($C$1:$C224,"R")+1,A224)</f>
        <v>131</v>
      </c>
      <c r="B225" s="19" t="str">
        <f t="shared" si="21"/>
        <v>B-BCP - Soles</v>
      </c>
      <c r="C225" s="3" t="s">
        <v>1352</v>
      </c>
      <c r="D225" s="14">
        <v>45674</v>
      </c>
      <c r="E225" s="5" t="s">
        <v>1338</v>
      </c>
      <c r="F225" s="5"/>
      <c r="G225" s="6" t="s">
        <v>522</v>
      </c>
      <c r="H225" s="6" t="s">
        <v>68</v>
      </c>
      <c r="I225" s="6" t="s">
        <v>1376</v>
      </c>
      <c r="J225" s="6">
        <v>3642</v>
      </c>
      <c r="K225" s="7" t="s">
        <v>1583</v>
      </c>
      <c r="L225" s="8">
        <v>2818960</v>
      </c>
      <c r="M225" s="8" t="str">
        <f t="shared" si="22"/>
        <v>PEN</v>
      </c>
      <c r="N225" s="13">
        <v>150.44999999999999</v>
      </c>
      <c r="O225" s="13"/>
      <c r="P225" s="3">
        <f t="shared" si="23"/>
        <v>0</v>
      </c>
      <c r="Q225" s="3">
        <f t="shared" si="24"/>
        <v>0</v>
      </c>
      <c r="R225" s="3">
        <f t="shared" si="20"/>
        <v>11252.879999999997</v>
      </c>
      <c r="S225" s="24"/>
      <c r="T225" s="24" t="s">
        <v>1334</v>
      </c>
      <c r="U225" s="53"/>
      <c r="V225" s="25">
        <f>IFERROR(VLOOKUP(BCP_Soles[[#This Row],[destinatario]],CHOOSE({1,2},Clientes_Proveedores[Razon Social],Clientes_Proveedores[Ruc / Dni]),2,0),"")</f>
        <v>20603974817</v>
      </c>
      <c r="W225" s="25"/>
      <c r="X225" s="25"/>
      <c r="Y225" s="25"/>
      <c r="Z225" s="75"/>
      <c r="AA225" s="3" t="str">
        <f>IF(BCP_Soles[[#This Row],[fecha]]&gt;0,TEXT(BCP_Soles[[#This Row],[fecha]],"mmmm"),0)</f>
        <v>Enero</v>
      </c>
    </row>
    <row r="226" spans="1:27" ht="36" x14ac:dyDescent="0.3">
      <c r="A226" s="2">
        <f>IF(BCP_Soles[[#This Row],[tipo_registro]]="R",COUNTIFS($C$1:$C225,"R")+1,A225)</f>
        <v>131</v>
      </c>
      <c r="B226" s="19" t="str">
        <f t="shared" si="21"/>
        <v>B-BCP - Soles</v>
      </c>
      <c r="C226" s="3" t="s">
        <v>1352</v>
      </c>
      <c r="D226" s="14">
        <v>45674</v>
      </c>
      <c r="E226" s="5" t="s">
        <v>1338</v>
      </c>
      <c r="F226" s="5"/>
      <c r="G226" s="6" t="s">
        <v>153</v>
      </c>
      <c r="H226" s="6" t="s">
        <v>68</v>
      </c>
      <c r="I226" s="6" t="s">
        <v>1376</v>
      </c>
      <c r="J226" s="6">
        <v>370</v>
      </c>
      <c r="K226" s="7" t="s">
        <v>1583</v>
      </c>
      <c r="L226" s="8">
        <v>2818960</v>
      </c>
      <c r="M226" s="8" t="str">
        <f t="shared" si="22"/>
        <v>PEN</v>
      </c>
      <c r="N226" s="13">
        <v>290</v>
      </c>
      <c r="O226" s="13"/>
      <c r="P226" s="3">
        <f t="shared" si="23"/>
        <v>0</v>
      </c>
      <c r="Q226" s="3">
        <f t="shared" si="24"/>
        <v>0</v>
      </c>
      <c r="R226" s="3">
        <f t="shared" si="20"/>
        <v>11252.879999999997</v>
      </c>
      <c r="S226" s="24"/>
      <c r="T226" s="24" t="s">
        <v>1334</v>
      </c>
      <c r="U226" s="53"/>
      <c r="V226" s="25">
        <f>IFERROR(VLOOKUP(BCP_Soles[[#This Row],[destinatario]],CHOOSE({1,2},Clientes_Proveedores[Razon Social],Clientes_Proveedores[Ruc / Dni]),2,0),"")</f>
        <v>10405211179</v>
      </c>
      <c r="W226" s="25"/>
      <c r="X226" s="25"/>
      <c r="Y226" s="25"/>
      <c r="Z226" s="75"/>
      <c r="AA226" s="3" t="str">
        <f>IF(BCP_Soles[[#This Row],[fecha]]&gt;0,TEXT(BCP_Soles[[#This Row],[fecha]],"mmmm"),0)</f>
        <v>Enero</v>
      </c>
    </row>
    <row r="227" spans="1:27" ht="24" x14ac:dyDescent="0.3">
      <c r="A227" s="2">
        <f>IF(BCP_Soles[[#This Row],[tipo_registro]]="R",COUNTIFS($C$1:$C226,"R")+1,A226)</f>
        <v>131</v>
      </c>
      <c r="B227" s="19" t="str">
        <f t="shared" si="21"/>
        <v>B-BCP - Soles</v>
      </c>
      <c r="C227" s="3" t="s">
        <v>1352</v>
      </c>
      <c r="D227" s="14">
        <v>45674</v>
      </c>
      <c r="E227" s="5" t="s">
        <v>1338</v>
      </c>
      <c r="F227" s="5"/>
      <c r="G227" s="6" t="s">
        <v>176</v>
      </c>
      <c r="H227" s="6" t="s">
        <v>68</v>
      </c>
      <c r="I227" s="6" t="s">
        <v>1376</v>
      </c>
      <c r="J227" s="6">
        <v>355</v>
      </c>
      <c r="K227" s="7" t="s">
        <v>1583</v>
      </c>
      <c r="L227" s="8">
        <v>2818960</v>
      </c>
      <c r="M227" s="8" t="str">
        <f t="shared" si="22"/>
        <v>PEN</v>
      </c>
      <c r="N227" s="13">
        <v>510</v>
      </c>
      <c r="O227" s="13"/>
      <c r="P227" s="3">
        <f t="shared" si="23"/>
        <v>0</v>
      </c>
      <c r="Q227" s="3">
        <f t="shared" si="24"/>
        <v>0</v>
      </c>
      <c r="R227" s="3">
        <f t="shared" si="20"/>
        <v>11252.879999999997</v>
      </c>
      <c r="S227" s="24"/>
      <c r="T227" s="24" t="s">
        <v>1334</v>
      </c>
      <c r="U227" s="53"/>
      <c r="V227" s="25">
        <f>IFERROR(VLOOKUP(BCP_Soles[[#This Row],[destinatario]],CHOOSE({1,2},Clientes_Proveedores[Razon Social],Clientes_Proveedores[Ruc / Dni]),2,0),"")</f>
        <v>10470065147</v>
      </c>
      <c r="W227" s="25"/>
      <c r="X227" s="25"/>
      <c r="Y227" s="25"/>
      <c r="Z227" s="75"/>
      <c r="AA227" s="3" t="str">
        <f>IF(BCP_Soles[[#This Row],[fecha]]&gt;0,TEXT(BCP_Soles[[#This Row],[fecha]],"mmmm"),0)</f>
        <v>Enero</v>
      </c>
    </row>
    <row r="228" spans="1:27" ht="24" x14ac:dyDescent="0.3">
      <c r="A228" s="2">
        <f>IF(BCP_Soles[[#This Row],[tipo_registro]]="R",COUNTIFS($C$1:$C227,"R")+1,A227)</f>
        <v>131</v>
      </c>
      <c r="B228" s="19" t="str">
        <f t="shared" si="21"/>
        <v>B-BCP - Soles</v>
      </c>
      <c r="C228" s="3" t="s">
        <v>1352</v>
      </c>
      <c r="D228" s="14">
        <v>45674</v>
      </c>
      <c r="E228" s="5" t="s">
        <v>1338</v>
      </c>
      <c r="F228" s="5"/>
      <c r="G228" s="6" t="s">
        <v>166</v>
      </c>
      <c r="H228" s="6" t="s">
        <v>68</v>
      </c>
      <c r="I228" s="6" t="s">
        <v>1376</v>
      </c>
      <c r="J228" s="6">
        <v>4340</v>
      </c>
      <c r="K228" s="7" t="s">
        <v>1583</v>
      </c>
      <c r="L228" s="8">
        <v>2818960</v>
      </c>
      <c r="M228" s="8" t="str">
        <f t="shared" si="22"/>
        <v>PEN</v>
      </c>
      <c r="N228" s="13">
        <v>59</v>
      </c>
      <c r="O228" s="13"/>
      <c r="P228" s="3">
        <f t="shared" si="23"/>
        <v>0</v>
      </c>
      <c r="Q228" s="3">
        <f t="shared" si="24"/>
        <v>0</v>
      </c>
      <c r="R228" s="3">
        <f t="shared" si="20"/>
        <v>11252.879999999997</v>
      </c>
      <c r="S228" s="24"/>
      <c r="T228" s="24" t="s">
        <v>1334</v>
      </c>
      <c r="U228" s="53"/>
      <c r="V228" s="25">
        <f>IFERROR(VLOOKUP(BCP_Soles[[#This Row],[destinatario]],CHOOSE({1,2},Clientes_Proveedores[Razon Social],Clientes_Proveedores[Ruc / Dni]),2,0),"")</f>
        <v>10425371652</v>
      </c>
      <c r="W228" s="25"/>
      <c r="X228" s="25"/>
      <c r="Y228" s="25"/>
      <c r="Z228" s="75"/>
      <c r="AA228" s="3" t="str">
        <f>IF(BCP_Soles[[#This Row],[fecha]]&gt;0,TEXT(BCP_Soles[[#This Row],[fecha]],"mmmm"),0)</f>
        <v>Enero</v>
      </c>
    </row>
    <row r="229" spans="1:27" ht="24" x14ac:dyDescent="0.3">
      <c r="A229" s="2">
        <f>IF(BCP_Soles[[#This Row],[tipo_registro]]="R",COUNTIFS($C$1:$C228,"R")+1,A228)</f>
        <v>131</v>
      </c>
      <c r="B229" s="19" t="str">
        <f t="shared" si="21"/>
        <v>B-BCP - Soles</v>
      </c>
      <c r="C229" s="3" t="s">
        <v>1352</v>
      </c>
      <c r="D229" s="14">
        <v>45674</v>
      </c>
      <c r="E229" s="5" t="s">
        <v>1338</v>
      </c>
      <c r="F229" s="5"/>
      <c r="G229" s="6" t="s">
        <v>187</v>
      </c>
      <c r="H229" s="6" t="s">
        <v>68</v>
      </c>
      <c r="I229" s="6" t="s">
        <v>1376</v>
      </c>
      <c r="J229" s="6">
        <v>215</v>
      </c>
      <c r="K229" s="7" t="s">
        <v>1583</v>
      </c>
      <c r="L229" s="8">
        <v>2818960</v>
      </c>
      <c r="M229" s="8" t="str">
        <f t="shared" si="22"/>
        <v>PEN</v>
      </c>
      <c r="N229" s="13">
        <v>100</v>
      </c>
      <c r="O229" s="13"/>
      <c r="P229" s="3">
        <f t="shared" si="23"/>
        <v>0</v>
      </c>
      <c r="Q229" s="3">
        <f t="shared" si="24"/>
        <v>0</v>
      </c>
      <c r="R229" s="3">
        <f t="shared" si="20"/>
        <v>11252.879999999997</v>
      </c>
      <c r="S229" s="24"/>
      <c r="T229" s="24" t="s">
        <v>1334</v>
      </c>
      <c r="U229" s="53"/>
      <c r="V229" s="25">
        <f>IFERROR(VLOOKUP(BCP_Soles[[#This Row],[destinatario]],CHOOSE({1,2},Clientes_Proveedores[Razon Social],Clientes_Proveedores[Ruc / Dni]),2,0),"")</f>
        <v>10706063426</v>
      </c>
      <c r="W229" s="25"/>
      <c r="X229" s="25"/>
      <c r="Y229" s="25"/>
      <c r="Z229" s="75"/>
      <c r="AA229" s="3" t="str">
        <f>IF(BCP_Soles[[#This Row],[fecha]]&gt;0,TEXT(BCP_Soles[[#This Row],[fecha]],"mmmm"),0)</f>
        <v>Enero</v>
      </c>
    </row>
    <row r="230" spans="1:27" ht="36" x14ac:dyDescent="0.3">
      <c r="A230" s="2">
        <f>IF(BCP_Soles[[#This Row],[tipo_registro]]="R",COUNTIFS($C$1:$C229,"R")+1,A229)</f>
        <v>131</v>
      </c>
      <c r="B230" s="19" t="str">
        <f t="shared" si="21"/>
        <v>B-BCP - Soles</v>
      </c>
      <c r="C230" s="3" t="s">
        <v>1352</v>
      </c>
      <c r="D230" s="14">
        <v>45674</v>
      </c>
      <c r="E230" s="5" t="s">
        <v>1338</v>
      </c>
      <c r="F230" s="5"/>
      <c r="G230" s="6" t="s">
        <v>132</v>
      </c>
      <c r="H230" s="6" t="s">
        <v>68</v>
      </c>
      <c r="I230" s="6" t="s">
        <v>1376</v>
      </c>
      <c r="J230" s="6">
        <v>635</v>
      </c>
      <c r="K230" s="7" t="s">
        <v>1583</v>
      </c>
      <c r="L230" s="8">
        <v>2818960</v>
      </c>
      <c r="M230" s="8" t="str">
        <f t="shared" si="22"/>
        <v>PEN</v>
      </c>
      <c r="N230" s="13">
        <v>305</v>
      </c>
      <c r="O230" s="13"/>
      <c r="P230" s="3">
        <f t="shared" si="23"/>
        <v>0</v>
      </c>
      <c r="Q230" s="3">
        <f t="shared" si="24"/>
        <v>0</v>
      </c>
      <c r="R230" s="3">
        <f t="shared" si="20"/>
        <v>11252.879999999997</v>
      </c>
      <c r="S230" s="24"/>
      <c r="T230" s="24" t="s">
        <v>1334</v>
      </c>
      <c r="U230" s="53"/>
      <c r="V230" s="25">
        <f>IFERROR(VLOOKUP(BCP_Soles[[#This Row],[destinatario]],CHOOSE({1,2},Clientes_Proveedores[Razon Social],Clientes_Proveedores[Ruc / Dni]),2,0),"")</f>
        <v>10296695781</v>
      </c>
      <c r="W230" s="25"/>
      <c r="X230" s="25"/>
      <c r="Y230" s="25"/>
      <c r="Z230" s="75"/>
      <c r="AA230" s="3" t="str">
        <f>IF(BCP_Soles[[#This Row],[fecha]]&gt;0,TEXT(BCP_Soles[[#This Row],[fecha]],"mmmm"),0)</f>
        <v>Enero</v>
      </c>
    </row>
    <row r="231" spans="1:27" ht="36" x14ac:dyDescent="0.3">
      <c r="A231" s="2">
        <f>IF(BCP_Soles[[#This Row],[tipo_registro]]="R",COUNTIFS($C$1:$C230,"R")+1,A230)</f>
        <v>132</v>
      </c>
      <c r="B231" s="19" t="str">
        <f t="shared" si="21"/>
        <v>B-BCP - Soles</v>
      </c>
      <c r="C231" s="3" t="s">
        <v>1330</v>
      </c>
      <c r="D231" s="14">
        <v>45674</v>
      </c>
      <c r="E231" s="5" t="s">
        <v>1338</v>
      </c>
      <c r="F231" s="5" t="s">
        <v>1336</v>
      </c>
      <c r="G231" s="6" t="s">
        <v>425</v>
      </c>
      <c r="H231" s="6"/>
      <c r="I231" s="6"/>
      <c r="J231" s="6"/>
      <c r="K231" s="7" t="s">
        <v>1584</v>
      </c>
      <c r="L231" s="8">
        <v>1187910</v>
      </c>
      <c r="M231" s="8" t="str">
        <f t="shared" si="22"/>
        <v>PEN</v>
      </c>
      <c r="N231" s="13"/>
      <c r="O231" s="13">
        <v>4750</v>
      </c>
      <c r="P231" s="3">
        <f t="shared" si="23"/>
        <v>0</v>
      </c>
      <c r="Q231" s="3">
        <f t="shared" si="24"/>
        <v>4750</v>
      </c>
      <c r="R231" s="3">
        <f t="shared" si="20"/>
        <v>6502.8799999999974</v>
      </c>
      <c r="S231" s="24" t="s">
        <v>1334</v>
      </c>
      <c r="T231" s="24" t="s">
        <v>1334</v>
      </c>
      <c r="U231" s="53"/>
      <c r="V231" s="25">
        <f>IFERROR(VLOOKUP(BCP_Soles[[#This Row],[destinatario]],CHOOSE({1,2},Clientes_Proveedores[Razon Social],Clientes_Proveedores[Ruc / Dni]),2,0),"")</f>
        <v>20558226979</v>
      </c>
      <c r="W231" s="25" t="s">
        <v>1585</v>
      </c>
      <c r="X231" s="25"/>
      <c r="Y231" s="25"/>
      <c r="Z231" s="75"/>
      <c r="AA231" s="3" t="str">
        <f>IF(BCP_Soles[[#This Row],[fecha]]&gt;0,TEXT(BCP_Soles[[#This Row],[fecha]],"mmmm"),0)</f>
        <v>Enero</v>
      </c>
    </row>
    <row r="232" spans="1:27" ht="24" x14ac:dyDescent="0.3">
      <c r="A232" s="2">
        <f>IF(BCP_Soles[[#This Row],[tipo_registro]]="R",COUNTIFS($C$1:$C231,"R")+1,A231)</f>
        <v>133</v>
      </c>
      <c r="B232" s="19" t="str">
        <f t="shared" si="21"/>
        <v>B-BCP - Soles</v>
      </c>
      <c r="C232" s="3" t="s">
        <v>1330</v>
      </c>
      <c r="D232" s="14">
        <v>45674</v>
      </c>
      <c r="E232" s="5" t="s">
        <v>1338</v>
      </c>
      <c r="F232" s="5" t="s">
        <v>1336</v>
      </c>
      <c r="G232" s="6" t="s">
        <v>464</v>
      </c>
      <c r="H232" s="6" t="s">
        <v>68</v>
      </c>
      <c r="I232" s="6" t="s">
        <v>1376</v>
      </c>
      <c r="J232" s="6">
        <v>747</v>
      </c>
      <c r="K232" s="7" t="s">
        <v>1586</v>
      </c>
      <c r="L232" s="8">
        <v>1223859</v>
      </c>
      <c r="M232" s="8" t="str">
        <f t="shared" si="22"/>
        <v>PEN</v>
      </c>
      <c r="N232" s="13"/>
      <c r="O232" s="13">
        <v>2717</v>
      </c>
      <c r="P232" s="3">
        <f t="shared" si="23"/>
        <v>0</v>
      </c>
      <c r="Q232" s="3">
        <f t="shared" si="24"/>
        <v>2717</v>
      </c>
      <c r="R232" s="3">
        <f t="shared" si="20"/>
        <v>3785.8799999999974</v>
      </c>
      <c r="S232" s="24" t="s">
        <v>1334</v>
      </c>
      <c r="T232" s="24" t="s">
        <v>1334</v>
      </c>
      <c r="U232" s="53"/>
      <c r="V232" s="25">
        <f>IFERROR(VLOOKUP(BCP_Soles[[#This Row],[destinatario]],CHOOSE({1,2},Clientes_Proveedores[Razon Social],Clientes_Proveedores[Ruc / Dni]),2,0),"")</f>
        <v>20601279666</v>
      </c>
      <c r="W232" s="25" t="s">
        <v>1587</v>
      </c>
      <c r="X232" s="25" t="s">
        <v>1588</v>
      </c>
      <c r="Y232" s="25"/>
      <c r="Z232" s="75"/>
      <c r="AA232" s="3" t="str">
        <f>IF(BCP_Soles[[#This Row],[fecha]]&gt;0,TEXT(BCP_Soles[[#This Row],[fecha]],"mmmm"),0)</f>
        <v>Enero</v>
      </c>
    </row>
    <row r="233" spans="1:27" ht="24" x14ac:dyDescent="0.3">
      <c r="A233" s="2">
        <f>IF(BCP_Soles[[#This Row],[tipo_registro]]="R",COUNTIFS($C$1:$C232,"R")+1,A232)</f>
        <v>134</v>
      </c>
      <c r="B233" s="19" t="str">
        <f t="shared" si="21"/>
        <v>B-BCP - Soles</v>
      </c>
      <c r="C233" s="3" t="s">
        <v>1330</v>
      </c>
      <c r="D233" s="14">
        <v>45674</v>
      </c>
      <c r="E233" s="5" t="s">
        <v>1338</v>
      </c>
      <c r="F233" s="5" t="s">
        <v>1336</v>
      </c>
      <c r="G233" s="6" t="s">
        <v>888</v>
      </c>
      <c r="H233" s="6" t="s">
        <v>147</v>
      </c>
      <c r="I233" s="6">
        <v>13</v>
      </c>
      <c r="J233" s="6">
        <v>27</v>
      </c>
      <c r="K233" s="7" t="s">
        <v>1589</v>
      </c>
      <c r="L233" s="8">
        <v>1136307</v>
      </c>
      <c r="M233" s="8" t="str">
        <f t="shared" si="22"/>
        <v>PEN</v>
      </c>
      <c r="N233" s="13"/>
      <c r="O233" s="13">
        <v>1165</v>
      </c>
      <c r="P233" s="3">
        <f t="shared" si="23"/>
        <v>0</v>
      </c>
      <c r="Q233" s="3">
        <f t="shared" si="24"/>
        <v>1165</v>
      </c>
      <c r="R233" s="3">
        <f t="shared" si="20"/>
        <v>2620.8799999999974</v>
      </c>
      <c r="S233" s="24" t="s">
        <v>1334</v>
      </c>
      <c r="T233" s="24" t="s">
        <v>1334</v>
      </c>
      <c r="U233" s="53"/>
      <c r="V233" s="25">
        <f>IFERROR(VLOOKUP(BCP_Soles[[#This Row],[destinatario]],CHOOSE({1,2},Clientes_Proveedores[Razon Social],Clientes_Proveedores[Ruc / Dni]),2,0),"")</f>
        <v>47461440</v>
      </c>
      <c r="W233" s="25"/>
      <c r="X233" s="25"/>
      <c r="Y233" s="25"/>
      <c r="Z233" s="75"/>
      <c r="AA233" s="3" t="str">
        <f>IF(BCP_Soles[[#This Row],[fecha]]&gt;0,TEXT(BCP_Soles[[#This Row],[fecha]],"mmmm"),0)</f>
        <v>Enero</v>
      </c>
    </row>
    <row r="234" spans="1:27" ht="36" x14ac:dyDescent="0.3">
      <c r="A234" s="2">
        <f>IF(BCP_Soles[[#This Row],[tipo_registro]]="R",COUNTIFS($C$1:$C233,"R")+1,A233)</f>
        <v>135</v>
      </c>
      <c r="B234" s="19" t="str">
        <f t="shared" si="21"/>
        <v>B-BCP - Soles</v>
      </c>
      <c r="C234" s="3" t="s">
        <v>1330</v>
      </c>
      <c r="D234" s="14">
        <v>45674</v>
      </c>
      <c r="E234" s="5" t="s">
        <v>1338</v>
      </c>
      <c r="F234" s="5" t="s">
        <v>1336</v>
      </c>
      <c r="G234" s="6" t="s">
        <v>497</v>
      </c>
      <c r="H234" s="6" t="s">
        <v>68</v>
      </c>
      <c r="I234" s="6" t="s">
        <v>1390</v>
      </c>
      <c r="J234" s="6">
        <v>17996</v>
      </c>
      <c r="K234" s="7" t="s">
        <v>1590</v>
      </c>
      <c r="L234" s="8">
        <v>1203878</v>
      </c>
      <c r="M234" s="8" t="str">
        <f t="shared" si="22"/>
        <v>PEN</v>
      </c>
      <c r="N234" s="13"/>
      <c r="O234" s="13">
        <v>565</v>
      </c>
      <c r="P234" s="3">
        <f t="shared" si="23"/>
        <v>0</v>
      </c>
      <c r="Q234" s="3">
        <f t="shared" si="24"/>
        <v>565</v>
      </c>
      <c r="R234" s="3">
        <f t="shared" si="20"/>
        <v>2055.8799999999974</v>
      </c>
      <c r="S234" s="24" t="s">
        <v>1334</v>
      </c>
      <c r="T234" s="24" t="s">
        <v>1334</v>
      </c>
      <c r="U234" s="53"/>
      <c r="V234" s="25">
        <f>IFERROR(VLOOKUP(BCP_Soles[[#This Row],[destinatario]],CHOOSE({1,2},Clientes_Proveedores[Razon Social],Clientes_Proveedores[Ruc / Dni]),2,0),"")</f>
        <v>20602810497</v>
      </c>
      <c r="W234" s="25" t="s">
        <v>1591</v>
      </c>
      <c r="X234" s="25" t="s">
        <v>1592</v>
      </c>
      <c r="Y234" s="25"/>
      <c r="Z234" s="75"/>
      <c r="AA234" s="3" t="str">
        <f>IF(BCP_Soles[[#This Row],[fecha]]&gt;0,TEXT(BCP_Soles[[#This Row],[fecha]],"mmmm"),0)</f>
        <v>Enero</v>
      </c>
    </row>
    <row r="235" spans="1:27" ht="24" x14ac:dyDescent="0.3">
      <c r="A235" s="2">
        <f>IF(BCP_Soles[[#This Row],[tipo_registro]]="R",COUNTIFS($C$1:$C234,"R")+1,A234)</f>
        <v>136</v>
      </c>
      <c r="B235" s="19" t="str">
        <f t="shared" si="21"/>
        <v>B-BCP - Soles</v>
      </c>
      <c r="C235" s="3" t="s">
        <v>1330</v>
      </c>
      <c r="D235" s="14">
        <v>45674</v>
      </c>
      <c r="E235" s="5" t="s">
        <v>1338</v>
      </c>
      <c r="F235" s="5" t="s">
        <v>1336</v>
      </c>
      <c r="G235" s="6" t="s">
        <v>876</v>
      </c>
      <c r="H235" s="6"/>
      <c r="I235" s="6"/>
      <c r="J235" s="6"/>
      <c r="K235" s="7" t="s">
        <v>1593</v>
      </c>
      <c r="L235" s="8">
        <v>1163284</v>
      </c>
      <c r="M235" s="8" t="str">
        <f t="shared" si="22"/>
        <v>PEN</v>
      </c>
      <c r="N235" s="13"/>
      <c r="O235" s="13">
        <v>500</v>
      </c>
      <c r="P235" s="3">
        <f t="shared" si="23"/>
        <v>0</v>
      </c>
      <c r="Q235" s="3">
        <f t="shared" si="24"/>
        <v>500</v>
      </c>
      <c r="R235" s="3">
        <f t="shared" si="20"/>
        <v>1555.8799999999974</v>
      </c>
      <c r="S235" s="24"/>
      <c r="T235" s="24" t="s">
        <v>1334</v>
      </c>
      <c r="U235" s="53"/>
      <c r="V235" s="25">
        <f>IFERROR(VLOOKUP(BCP_Soles[[#This Row],[destinatario]],CHOOSE({1,2},Clientes_Proveedores[Razon Social],Clientes_Proveedores[Ruc / Dni]),2,0),"")</f>
        <v>1829028</v>
      </c>
      <c r="W235" s="25" t="s">
        <v>1594</v>
      </c>
      <c r="X235" s="25"/>
      <c r="Y235" s="25"/>
      <c r="Z235" s="75"/>
      <c r="AA235" s="3" t="str">
        <f>IF(BCP_Soles[[#This Row],[fecha]]&gt;0,TEXT(BCP_Soles[[#This Row],[fecha]],"mmmm"),0)</f>
        <v>Enero</v>
      </c>
    </row>
    <row r="236" spans="1:27" ht="24" x14ac:dyDescent="0.3">
      <c r="A236" s="2">
        <f>IF(BCP_Soles[[#This Row],[tipo_registro]]="R",COUNTIFS($C$1:$C235,"R")+1,A235)</f>
        <v>137</v>
      </c>
      <c r="B236" s="19" t="str">
        <f t="shared" si="21"/>
        <v>B-BCP - Soles</v>
      </c>
      <c r="C236" s="3" t="s">
        <v>1330</v>
      </c>
      <c r="D236" s="14">
        <v>45674</v>
      </c>
      <c r="E236" s="5" t="s">
        <v>1338</v>
      </c>
      <c r="F236" s="5" t="s">
        <v>1336</v>
      </c>
      <c r="G236" s="6" t="s">
        <v>909</v>
      </c>
      <c r="H236" s="6"/>
      <c r="I236" s="6"/>
      <c r="J236" s="6"/>
      <c r="K236" s="7" t="s">
        <v>1595</v>
      </c>
      <c r="L236" s="8">
        <v>1161279</v>
      </c>
      <c r="M236" s="8" t="str">
        <f t="shared" si="22"/>
        <v>PEN</v>
      </c>
      <c r="N236" s="13"/>
      <c r="O236" s="13">
        <v>500</v>
      </c>
      <c r="P236" s="3">
        <f t="shared" si="23"/>
        <v>0</v>
      </c>
      <c r="Q236" s="3">
        <f t="shared" si="24"/>
        <v>500</v>
      </c>
      <c r="R236" s="3">
        <f t="shared" si="20"/>
        <v>1055.8799999999974</v>
      </c>
      <c r="S236" s="24"/>
      <c r="T236" s="24" t="s">
        <v>1334</v>
      </c>
      <c r="U236" s="53"/>
      <c r="V236" s="25">
        <f>IFERROR(VLOOKUP(BCP_Soles[[#This Row],[destinatario]],CHOOSE({1,2},Clientes_Proveedores[Razon Social],Clientes_Proveedores[Ruc / Dni]),2,0),"")</f>
        <v>44314304</v>
      </c>
      <c r="W236" s="25" t="s">
        <v>909</v>
      </c>
      <c r="X236" s="25"/>
      <c r="Y236" s="25"/>
      <c r="Z236" s="75"/>
      <c r="AA236" s="3" t="str">
        <f>IF(BCP_Soles[[#This Row],[fecha]]&gt;0,TEXT(BCP_Soles[[#This Row],[fecha]],"mmmm"),0)</f>
        <v>Enero</v>
      </c>
    </row>
    <row r="237" spans="1:27" ht="24" x14ac:dyDescent="0.3">
      <c r="A237" s="2">
        <f>IF(BCP_Soles[[#This Row],[tipo_registro]]="R",COUNTIFS($C$1:$C236,"R")+1,A236)</f>
        <v>138</v>
      </c>
      <c r="B237" s="19" t="str">
        <f t="shared" si="21"/>
        <v>B-BCP - Soles</v>
      </c>
      <c r="C237" s="3" t="s">
        <v>1330</v>
      </c>
      <c r="D237" s="14">
        <v>45674</v>
      </c>
      <c r="E237" s="5" t="s">
        <v>1338</v>
      </c>
      <c r="F237" s="5" t="s">
        <v>1336</v>
      </c>
      <c r="G237" s="6" t="s">
        <v>884</v>
      </c>
      <c r="H237" s="6"/>
      <c r="I237" s="6"/>
      <c r="J237" s="6"/>
      <c r="K237" s="7" t="s">
        <v>1596</v>
      </c>
      <c r="L237" s="8">
        <v>1176262</v>
      </c>
      <c r="M237" s="8" t="str">
        <f t="shared" si="22"/>
        <v>PEN</v>
      </c>
      <c r="N237" s="13"/>
      <c r="O237" s="13">
        <v>400</v>
      </c>
      <c r="P237" s="3">
        <f t="shared" si="23"/>
        <v>0</v>
      </c>
      <c r="Q237" s="3">
        <f t="shared" si="24"/>
        <v>400</v>
      </c>
      <c r="R237" s="3">
        <f t="shared" si="20"/>
        <v>655.87999999999738</v>
      </c>
      <c r="S237" s="24"/>
      <c r="T237" s="24" t="s">
        <v>1334</v>
      </c>
      <c r="U237" s="53"/>
      <c r="V237" s="25">
        <f>IFERROR(VLOOKUP(BCP_Soles[[#This Row],[destinatario]],CHOOSE({1,2},Clientes_Proveedores[Razon Social],Clientes_Proveedores[Ruc / Dni]),2,0),"")</f>
        <v>71979355</v>
      </c>
      <c r="W237" s="25" t="s">
        <v>884</v>
      </c>
      <c r="X237" s="25"/>
      <c r="Y237" s="25"/>
      <c r="Z237" s="75"/>
      <c r="AA237" s="3" t="str">
        <f>IF(BCP_Soles[[#This Row],[fecha]]&gt;0,TEXT(BCP_Soles[[#This Row],[fecha]],"mmmm"),0)</f>
        <v>Enero</v>
      </c>
    </row>
    <row r="238" spans="1:27" ht="24" x14ac:dyDescent="0.3">
      <c r="A238" s="2">
        <f>IF(BCP_Soles[[#This Row],[tipo_registro]]="R",COUNTIFS($C$1:$C237,"R")+1,A237)</f>
        <v>139</v>
      </c>
      <c r="B238" s="19" t="str">
        <f t="shared" si="21"/>
        <v>B-BCP - Soles</v>
      </c>
      <c r="C238" s="3" t="s">
        <v>1330</v>
      </c>
      <c r="D238" s="14">
        <v>45674</v>
      </c>
      <c r="E238" s="5" t="s">
        <v>1338</v>
      </c>
      <c r="F238" s="5" t="s">
        <v>1336</v>
      </c>
      <c r="G238" s="6" t="s">
        <v>873</v>
      </c>
      <c r="H238" s="6"/>
      <c r="I238" s="6"/>
      <c r="J238" s="6"/>
      <c r="K238" s="7" t="s">
        <v>1597</v>
      </c>
      <c r="L238" s="8">
        <v>1162281</v>
      </c>
      <c r="M238" s="8" t="str">
        <f t="shared" si="22"/>
        <v>PEN</v>
      </c>
      <c r="N238" s="13"/>
      <c r="O238" s="13">
        <v>400</v>
      </c>
      <c r="P238" s="3">
        <f t="shared" si="23"/>
        <v>0</v>
      </c>
      <c r="Q238" s="3">
        <f t="shared" si="24"/>
        <v>400</v>
      </c>
      <c r="R238" s="3">
        <f t="shared" si="20"/>
        <v>255.87999999999738</v>
      </c>
      <c r="S238" s="24"/>
      <c r="T238" s="24" t="s">
        <v>1334</v>
      </c>
      <c r="U238" s="53"/>
      <c r="V238" s="25">
        <f>IFERROR(VLOOKUP(BCP_Soles[[#This Row],[destinatario]],CHOOSE({1,2},Clientes_Proveedores[Razon Social],Clientes_Proveedores[Ruc / Dni]),2,0),"")</f>
        <v>80355193</v>
      </c>
      <c r="W238" s="25" t="s">
        <v>1598</v>
      </c>
      <c r="X238" s="25"/>
      <c r="Y238" s="25"/>
      <c r="Z238" s="75"/>
      <c r="AA238" s="3" t="str">
        <f>IF(BCP_Soles[[#This Row],[fecha]]&gt;0,TEXT(BCP_Soles[[#This Row],[fecha]],"mmmm"),0)</f>
        <v>Enero</v>
      </c>
    </row>
    <row r="239" spans="1:27" ht="24" x14ac:dyDescent="0.3">
      <c r="A239" s="2">
        <f>IF(BCP_Soles[[#This Row],[tipo_registro]]="R",COUNTIFS($C$1:$C238,"R")+1,A238)</f>
        <v>140</v>
      </c>
      <c r="B239" s="19" t="str">
        <f t="shared" si="21"/>
        <v>B-BCP - Soles</v>
      </c>
      <c r="C239" s="3" t="s">
        <v>1330</v>
      </c>
      <c r="D239" s="14">
        <v>45674</v>
      </c>
      <c r="E239" s="5" t="s">
        <v>1338</v>
      </c>
      <c r="F239" s="5" t="s">
        <v>1336</v>
      </c>
      <c r="G239" s="6" t="s">
        <v>918</v>
      </c>
      <c r="H239" s="6"/>
      <c r="I239" s="6"/>
      <c r="J239" s="6"/>
      <c r="K239" s="7" t="s">
        <v>1599</v>
      </c>
      <c r="L239" s="8">
        <v>1143300</v>
      </c>
      <c r="M239" s="8" t="str">
        <f t="shared" si="22"/>
        <v>PEN</v>
      </c>
      <c r="N239" s="13"/>
      <c r="O239" s="13">
        <v>400</v>
      </c>
      <c r="P239" s="3">
        <f t="shared" si="23"/>
        <v>0</v>
      </c>
      <c r="Q239" s="3">
        <f t="shared" si="24"/>
        <v>400</v>
      </c>
      <c r="R239" s="3">
        <f t="shared" si="20"/>
        <v>-144.12000000000262</v>
      </c>
      <c r="S239" s="24"/>
      <c r="T239" s="24" t="s">
        <v>1334</v>
      </c>
      <c r="U239" s="53"/>
      <c r="V239" s="25">
        <f>IFERROR(VLOOKUP(BCP_Soles[[#This Row],[destinatario]],CHOOSE({1,2},Clientes_Proveedores[Razon Social],Clientes_Proveedores[Ruc / Dni]),2,0),"")</f>
        <v>48536654</v>
      </c>
      <c r="W239" s="25" t="s">
        <v>918</v>
      </c>
      <c r="X239" s="25"/>
      <c r="Y239" s="25"/>
      <c r="Z239" s="75"/>
      <c r="AA239" s="3" t="str">
        <f>IF(BCP_Soles[[#This Row],[fecha]]&gt;0,TEXT(BCP_Soles[[#This Row],[fecha]],"mmmm"),0)</f>
        <v>Enero</v>
      </c>
    </row>
    <row r="240" spans="1:27" ht="24" x14ac:dyDescent="0.3">
      <c r="A240" s="2">
        <f>IF(BCP_Soles[[#This Row],[tipo_registro]]="R",COUNTIFS($C$1:$C239,"R")+1,A239)</f>
        <v>141</v>
      </c>
      <c r="B240" s="19" t="str">
        <f t="shared" si="21"/>
        <v>B-BCP - Soles</v>
      </c>
      <c r="C240" s="3" t="s">
        <v>1330</v>
      </c>
      <c r="D240" s="14">
        <v>45674</v>
      </c>
      <c r="E240" s="5" t="s">
        <v>1338</v>
      </c>
      <c r="F240" s="5" t="s">
        <v>1336</v>
      </c>
      <c r="G240" s="6" t="s">
        <v>338</v>
      </c>
      <c r="H240" s="6" t="s">
        <v>68</v>
      </c>
      <c r="I240" s="6" t="s">
        <v>1376</v>
      </c>
      <c r="J240" s="6">
        <v>451</v>
      </c>
      <c r="K240" s="7" t="s">
        <v>1600</v>
      </c>
      <c r="L240" s="8">
        <v>1238788</v>
      </c>
      <c r="M240" s="8" t="str">
        <f t="shared" si="22"/>
        <v>PEN</v>
      </c>
      <c r="N240" s="13"/>
      <c r="O240" s="13">
        <v>354</v>
      </c>
      <c r="P240" s="3">
        <f t="shared" si="23"/>
        <v>0</v>
      </c>
      <c r="Q240" s="3">
        <f t="shared" si="24"/>
        <v>354</v>
      </c>
      <c r="R240" s="3">
        <f t="shared" si="20"/>
        <v>-498.12000000000262</v>
      </c>
      <c r="S240" s="24"/>
      <c r="T240" s="24" t="s">
        <v>1334</v>
      </c>
      <c r="U240" s="53"/>
      <c r="V240" s="25">
        <f>IFERROR(VLOOKUP(BCP_Soles[[#This Row],[destinatario]],CHOOSE({1,2},Clientes_Proveedores[Razon Social],Clientes_Proveedores[Ruc / Dni]),2,0),"")</f>
        <v>20498380931</v>
      </c>
      <c r="W240" s="25" t="s">
        <v>338</v>
      </c>
      <c r="X240" s="25" t="s">
        <v>1601</v>
      </c>
      <c r="Y240" s="25"/>
      <c r="Z240" s="75"/>
      <c r="AA240" s="3" t="str">
        <f>IF(BCP_Soles[[#This Row],[fecha]]&gt;0,TEXT(BCP_Soles[[#This Row],[fecha]],"mmmm"),0)</f>
        <v>Enero</v>
      </c>
    </row>
    <row r="241" spans="1:27" ht="36" x14ac:dyDescent="0.3">
      <c r="A241" s="2">
        <f>IF(BCP_Soles[[#This Row],[tipo_registro]]="R",COUNTIFS($C$1:$C240,"R")+1,A240)</f>
        <v>142</v>
      </c>
      <c r="B241" s="19" t="str">
        <f t="shared" si="21"/>
        <v>B-BCP - Soles</v>
      </c>
      <c r="C241" s="3" t="s">
        <v>1330</v>
      </c>
      <c r="D241" s="14">
        <v>45674</v>
      </c>
      <c r="E241" s="5" t="s">
        <v>1338</v>
      </c>
      <c r="F241" s="5" t="s">
        <v>1336</v>
      </c>
      <c r="G241" s="6" t="s">
        <v>745</v>
      </c>
      <c r="H241" s="6" t="s">
        <v>72</v>
      </c>
      <c r="I241" s="6" t="s">
        <v>1376</v>
      </c>
      <c r="J241" s="6">
        <v>110</v>
      </c>
      <c r="K241" s="7" t="s">
        <v>1602</v>
      </c>
      <c r="L241" s="8">
        <v>1248817</v>
      </c>
      <c r="M241" s="8" t="str">
        <f t="shared" si="22"/>
        <v>PEN</v>
      </c>
      <c r="N241" s="13"/>
      <c r="O241" s="13">
        <v>120</v>
      </c>
      <c r="P241" s="3">
        <f t="shared" si="23"/>
        <v>0</v>
      </c>
      <c r="Q241" s="3">
        <f t="shared" si="24"/>
        <v>120</v>
      </c>
      <c r="R241" s="3">
        <f t="shared" si="20"/>
        <v>-618.12000000000262</v>
      </c>
      <c r="S241" s="24"/>
      <c r="T241" s="24" t="s">
        <v>1334</v>
      </c>
      <c r="U241" s="53"/>
      <c r="V241" s="25">
        <f>IFERROR(VLOOKUP(BCP_Soles[[#This Row],[destinatario]],CHOOSE({1,2},Clientes_Proveedores[Razon Social],Clientes_Proveedores[Ruc / Dni]),2,0),"")</f>
        <v>10467546291</v>
      </c>
      <c r="W241" s="25" t="s">
        <v>1603</v>
      </c>
      <c r="X241" s="25" t="s">
        <v>1604</v>
      </c>
      <c r="Y241" s="25"/>
      <c r="Z241" s="75"/>
      <c r="AA241" s="3" t="str">
        <f>IF(BCP_Soles[[#This Row],[fecha]]&gt;0,TEXT(BCP_Soles[[#This Row],[fecha]],"mmmm"),0)</f>
        <v>Enero</v>
      </c>
    </row>
    <row r="242" spans="1:27" ht="36" x14ac:dyDescent="0.3">
      <c r="A242" s="2">
        <f>IF(BCP_Soles[[#This Row],[tipo_registro]]="R",COUNTIFS($C$1:$C241,"R")+1,A241)</f>
        <v>143</v>
      </c>
      <c r="B242" s="19" t="str">
        <f t="shared" si="21"/>
        <v>B-BCP - Soles</v>
      </c>
      <c r="C242" s="3" t="s">
        <v>1330</v>
      </c>
      <c r="D242" s="14">
        <v>45674</v>
      </c>
      <c r="E242" s="5" t="s">
        <v>1338</v>
      </c>
      <c r="F242" s="5" t="s">
        <v>1336</v>
      </c>
      <c r="G242" s="6" t="s">
        <v>939</v>
      </c>
      <c r="H242" s="6"/>
      <c r="I242" s="6"/>
      <c r="J242" s="6"/>
      <c r="K242" s="7" t="s">
        <v>1605</v>
      </c>
      <c r="L242" s="8">
        <v>1120323</v>
      </c>
      <c r="M242" s="8" t="str">
        <f t="shared" si="22"/>
        <v>PEN</v>
      </c>
      <c r="N242" s="13"/>
      <c r="O242" s="13">
        <v>100</v>
      </c>
      <c r="P242" s="3">
        <f t="shared" si="23"/>
        <v>0</v>
      </c>
      <c r="Q242" s="3">
        <f t="shared" si="24"/>
        <v>100</v>
      </c>
      <c r="R242" s="3">
        <f t="shared" si="20"/>
        <v>-718.12000000000262</v>
      </c>
      <c r="S242" s="24"/>
      <c r="T242" s="24" t="s">
        <v>1334</v>
      </c>
      <c r="U242" s="53"/>
      <c r="V242" s="25">
        <f>IFERROR(VLOOKUP(BCP_Soles[[#This Row],[destinatario]],CHOOSE({1,2},Clientes_Proveedores[Razon Social],Clientes_Proveedores[Ruc / Dni]),2,0),"")</f>
        <v>72531546</v>
      </c>
      <c r="W242" s="25" t="s">
        <v>939</v>
      </c>
      <c r="X242" s="25"/>
      <c r="Y242" s="25"/>
      <c r="Z242" s="75"/>
      <c r="AA242" s="3" t="str">
        <f>IF(BCP_Soles[[#This Row],[fecha]]&gt;0,TEXT(BCP_Soles[[#This Row],[fecha]],"mmmm"),0)</f>
        <v>Enero</v>
      </c>
    </row>
    <row r="243" spans="1:27" x14ac:dyDescent="0.3">
      <c r="A243" s="2">
        <f>IF(BCP_Soles[[#This Row],[tipo_registro]]="R",COUNTIFS($C$1:$C242,"R")+1,A242)</f>
        <v>144</v>
      </c>
      <c r="B243" s="19" t="str">
        <f t="shared" si="21"/>
        <v>B-BCP - Soles</v>
      </c>
      <c r="C243" s="3" t="s">
        <v>1330</v>
      </c>
      <c r="D243" s="14">
        <v>45674</v>
      </c>
      <c r="E243" s="5" t="s">
        <v>238</v>
      </c>
      <c r="F243" s="5" t="s">
        <v>1303</v>
      </c>
      <c r="G243" s="6" t="s">
        <v>425</v>
      </c>
      <c r="H243" s="6"/>
      <c r="I243" s="6"/>
      <c r="J243" s="6"/>
      <c r="K243" s="7" t="s">
        <v>1606</v>
      </c>
      <c r="L243" s="8">
        <v>2138805</v>
      </c>
      <c r="M243" s="8" t="str">
        <f t="shared" si="22"/>
        <v>PEN</v>
      </c>
      <c r="N243" s="13"/>
      <c r="O243" s="13">
        <v>1254.3</v>
      </c>
      <c r="P243" s="3">
        <f t="shared" si="23"/>
        <v>1254.3</v>
      </c>
      <c r="Q243" s="3">
        <f t="shared" si="24"/>
        <v>0</v>
      </c>
      <c r="R243" s="3">
        <f t="shared" si="20"/>
        <v>536.17999999999734</v>
      </c>
      <c r="S243" s="24" t="s">
        <v>1334</v>
      </c>
      <c r="T243" s="24" t="s">
        <v>1334</v>
      </c>
      <c r="U243" s="53"/>
      <c r="V243" s="25">
        <f>IFERROR(VLOOKUP(BCP_Soles[[#This Row],[destinatario]],CHOOSE({1,2},Clientes_Proveedores[Razon Social],Clientes_Proveedores[Ruc / Dni]),2,0),"")</f>
        <v>20558226979</v>
      </c>
      <c r="W243" s="25" t="s">
        <v>1345</v>
      </c>
      <c r="X243" s="25" t="s">
        <v>1607</v>
      </c>
      <c r="Y243" s="25"/>
      <c r="Z243" s="75"/>
      <c r="AA243" s="3" t="str">
        <f>IF(BCP_Soles[[#This Row],[fecha]]&gt;0,TEXT(BCP_Soles[[#This Row],[fecha]],"mmmm"),0)</f>
        <v>Enero</v>
      </c>
    </row>
    <row r="244" spans="1:27" ht="84" x14ac:dyDescent="0.3">
      <c r="A244" s="2">
        <f>IF(BCP_Soles[[#This Row],[tipo_registro]]="R",COUNTIFS($C$1:$C243,"R")+1,A243)</f>
        <v>145</v>
      </c>
      <c r="B244" s="19" t="str">
        <f t="shared" si="21"/>
        <v>B-BCP - Soles</v>
      </c>
      <c r="C244" s="3" t="s">
        <v>1330</v>
      </c>
      <c r="D244" s="14">
        <v>45674</v>
      </c>
      <c r="E244" s="5" t="s">
        <v>358</v>
      </c>
      <c r="F244" s="5" t="s">
        <v>1303</v>
      </c>
      <c r="G244" s="6" t="s">
        <v>425</v>
      </c>
      <c r="H244" s="6"/>
      <c r="I244" s="6"/>
      <c r="J244" s="6"/>
      <c r="K244" s="7" t="s">
        <v>1520</v>
      </c>
      <c r="L244" s="8">
        <v>2331509</v>
      </c>
      <c r="M244" s="8" t="str">
        <f t="shared" si="22"/>
        <v>PEN</v>
      </c>
      <c r="N244" s="13"/>
      <c r="O244" s="13">
        <v>93.96</v>
      </c>
      <c r="P244" s="3">
        <f t="shared" si="23"/>
        <v>93.96</v>
      </c>
      <c r="Q244" s="3">
        <f t="shared" si="24"/>
        <v>0</v>
      </c>
      <c r="R244" s="3">
        <f t="shared" si="20"/>
        <v>630.13999999999737</v>
      </c>
      <c r="S244" s="24" t="s">
        <v>1334</v>
      </c>
      <c r="T244" s="24" t="s">
        <v>1334</v>
      </c>
      <c r="U244" s="53"/>
      <c r="V244" s="25">
        <f>IFERROR(VLOOKUP(BCP_Soles[[#This Row],[destinatario]],CHOOSE({1,2},Clientes_Proveedores[Razon Social],Clientes_Proveedores[Ruc / Dni]),2,0),"")</f>
        <v>20558226979</v>
      </c>
      <c r="W244" s="25" t="s">
        <v>1345</v>
      </c>
      <c r="X244" s="25" t="s">
        <v>1608</v>
      </c>
      <c r="Y244" s="25"/>
      <c r="Z244" s="75"/>
      <c r="AA244" s="3" t="str">
        <f>IF(BCP_Soles[[#This Row],[fecha]]&gt;0,TEXT(BCP_Soles[[#This Row],[fecha]],"mmmm"),0)</f>
        <v>Enero</v>
      </c>
    </row>
    <row r="245" spans="1:27" ht="36" x14ac:dyDescent="0.3">
      <c r="A245" s="2">
        <f>IF(BCP_Soles[[#This Row],[tipo_registro]]="R",COUNTIFS($C$1:$C244,"R")+1,A244)</f>
        <v>146</v>
      </c>
      <c r="B245" s="19" t="str">
        <f t="shared" si="21"/>
        <v>B-BCP - Soles</v>
      </c>
      <c r="C245" s="3" t="s">
        <v>1330</v>
      </c>
      <c r="D245" s="14">
        <v>45675</v>
      </c>
      <c r="E245" s="5" t="s">
        <v>255</v>
      </c>
      <c r="F245" s="5" t="s">
        <v>1303</v>
      </c>
      <c r="G245" s="6" t="s">
        <v>425</v>
      </c>
      <c r="H245" s="6"/>
      <c r="I245" s="6"/>
      <c r="J245" s="6"/>
      <c r="K245" s="7" t="s">
        <v>1609</v>
      </c>
      <c r="L245" s="8">
        <v>3291019</v>
      </c>
      <c r="M245" s="8" t="str">
        <f t="shared" si="22"/>
        <v>PEN</v>
      </c>
      <c r="N245" s="13"/>
      <c r="O245" s="13">
        <v>3879.57</v>
      </c>
      <c r="P245" s="3">
        <f t="shared" si="23"/>
        <v>3879.57</v>
      </c>
      <c r="Q245" s="3">
        <f t="shared" si="24"/>
        <v>0</v>
      </c>
      <c r="R245" s="3">
        <f t="shared" si="20"/>
        <v>4509.7099999999973</v>
      </c>
      <c r="S245" s="24" t="s">
        <v>1334</v>
      </c>
      <c r="T245" s="24" t="s">
        <v>1334</v>
      </c>
      <c r="U245" s="53"/>
      <c r="V245" s="25">
        <f>IFERROR(VLOOKUP(BCP_Soles[[#This Row],[destinatario]],CHOOSE({1,2},Clientes_Proveedores[Razon Social],Clientes_Proveedores[Ruc / Dni]),2,0),"")</f>
        <v>20558226979</v>
      </c>
      <c r="W245" s="25" t="s">
        <v>1345</v>
      </c>
      <c r="X245" s="25" t="s">
        <v>1610</v>
      </c>
      <c r="Y245" s="25"/>
      <c r="Z245" s="75"/>
      <c r="AA245" s="3" t="str">
        <f>IF(BCP_Soles[[#This Row],[fecha]]&gt;0,TEXT(BCP_Soles[[#This Row],[fecha]],"mmmm"),0)</f>
        <v>Enero</v>
      </c>
    </row>
    <row r="246" spans="1:27" x14ac:dyDescent="0.3">
      <c r="A246" s="2">
        <f>IF(BCP_Soles[[#This Row],[tipo_registro]]="R",COUNTIFS($C$1:$C245,"R")+1,A245)</f>
        <v>147</v>
      </c>
      <c r="B246" s="19" t="str">
        <f t="shared" si="21"/>
        <v>B-BCP - Soles</v>
      </c>
      <c r="C246" s="3" t="s">
        <v>1330</v>
      </c>
      <c r="D246" s="14">
        <v>45676</v>
      </c>
      <c r="E246" s="5" t="s">
        <v>1335</v>
      </c>
      <c r="F246" s="5" t="s">
        <v>1336</v>
      </c>
      <c r="G246" s="6"/>
      <c r="H246" s="6"/>
      <c r="I246" s="6"/>
      <c r="J246" s="6"/>
      <c r="K246" s="7" t="s">
        <v>1337</v>
      </c>
      <c r="L246" s="8"/>
      <c r="M246" s="8" t="str">
        <f t="shared" si="22"/>
        <v>PEN</v>
      </c>
      <c r="N246" s="13"/>
      <c r="O246" s="13">
        <v>0.45</v>
      </c>
      <c r="P246" s="3">
        <f t="shared" si="23"/>
        <v>0</v>
      </c>
      <c r="Q246" s="3">
        <f t="shared" si="24"/>
        <v>0.45</v>
      </c>
      <c r="R246" s="3">
        <f t="shared" si="20"/>
        <v>4509.2599999999975</v>
      </c>
      <c r="S246" s="24"/>
      <c r="T246" s="24" t="s">
        <v>1334</v>
      </c>
      <c r="U246" s="53"/>
      <c r="V246" s="25" t="str">
        <f>IFERROR(VLOOKUP(BCP_Soles[[#This Row],[destinatario]],CHOOSE({1,2},Clientes_Proveedores[Razon Social],Clientes_Proveedores[Ruc / Dni]),2,0),"")</f>
        <v/>
      </c>
      <c r="W246" s="25"/>
      <c r="X246" s="25"/>
      <c r="Y246" s="25"/>
      <c r="Z246" s="75"/>
      <c r="AA246" s="3" t="str">
        <f>IF(BCP_Soles[[#This Row],[fecha]]&gt;0,TEXT(BCP_Soles[[#This Row],[fecha]],"mmmm"),0)</f>
        <v>Enero</v>
      </c>
    </row>
    <row r="247" spans="1:27" ht="24" x14ac:dyDescent="0.3">
      <c r="A247" s="2">
        <f>IF(BCP_Soles[[#This Row],[tipo_registro]]="R",COUNTIFS($C$1:$C246,"R")+1,A246)</f>
        <v>148</v>
      </c>
      <c r="B247" s="19" t="str">
        <f t="shared" si="21"/>
        <v>B-BCP - Soles</v>
      </c>
      <c r="C247" s="3" t="s">
        <v>1330</v>
      </c>
      <c r="D247" s="14">
        <v>45676</v>
      </c>
      <c r="E247" s="5" t="s">
        <v>1505</v>
      </c>
      <c r="F247" s="5" t="s">
        <v>1303</v>
      </c>
      <c r="G247" s="6" t="s">
        <v>425</v>
      </c>
      <c r="H247" s="6" t="s">
        <v>119</v>
      </c>
      <c r="I247" s="6">
        <v>2</v>
      </c>
      <c r="J247" s="6">
        <v>703</v>
      </c>
      <c r="K247" s="7" t="s">
        <v>1356</v>
      </c>
      <c r="L247" s="8">
        <v>1131248</v>
      </c>
      <c r="M247" s="8" t="str">
        <f t="shared" si="22"/>
        <v>PEN</v>
      </c>
      <c r="N247" s="13"/>
      <c r="O247" s="13">
        <v>6726</v>
      </c>
      <c r="P247" s="3">
        <f t="shared" si="23"/>
        <v>6726</v>
      </c>
      <c r="Q247" s="3">
        <f t="shared" si="24"/>
        <v>0</v>
      </c>
      <c r="R247" s="3">
        <f t="shared" si="20"/>
        <v>11235.259999999998</v>
      </c>
      <c r="S247" s="24" t="s">
        <v>1334</v>
      </c>
      <c r="T247" s="24" t="s">
        <v>1334</v>
      </c>
      <c r="U247" s="53"/>
      <c r="V247" s="25">
        <f>IFERROR(VLOOKUP(BCP_Soles[[#This Row],[destinatario]],CHOOSE({1,2},Clientes_Proveedores[Razon Social],Clientes_Proveedores[Ruc / Dni]),2,0),"")</f>
        <v>20558226979</v>
      </c>
      <c r="W247" s="25" t="s">
        <v>1345</v>
      </c>
      <c r="X247" s="25" t="s">
        <v>1611</v>
      </c>
      <c r="Y247" s="25"/>
      <c r="Z247" s="75"/>
      <c r="AA247" s="3" t="str">
        <f>IF(BCP_Soles[[#This Row],[fecha]]&gt;0,TEXT(BCP_Soles[[#This Row],[fecha]],"mmmm"),0)</f>
        <v>Enero</v>
      </c>
    </row>
    <row r="248" spans="1:27" ht="24" x14ac:dyDescent="0.3">
      <c r="A248" s="2">
        <f>IF(BCP_Soles[[#This Row],[tipo_registro]]="R",COUNTIFS($C$1:$C247,"R")+1,A247)</f>
        <v>149</v>
      </c>
      <c r="B248" s="19" t="str">
        <f t="shared" si="21"/>
        <v>B-BCP - Soles</v>
      </c>
      <c r="C248" s="3" t="s">
        <v>1330</v>
      </c>
      <c r="D248" s="14">
        <v>45676</v>
      </c>
      <c r="E248" s="5" t="s">
        <v>433</v>
      </c>
      <c r="F248" s="5" t="s">
        <v>1303</v>
      </c>
      <c r="G248" s="6" t="s">
        <v>425</v>
      </c>
      <c r="H248" s="6"/>
      <c r="I248" s="6"/>
      <c r="J248" s="6"/>
      <c r="K248" s="7" t="s">
        <v>1612</v>
      </c>
      <c r="L248" s="8">
        <v>3617</v>
      </c>
      <c r="M248" s="8" t="str">
        <f t="shared" si="22"/>
        <v>PEN</v>
      </c>
      <c r="N248" s="13"/>
      <c r="O248" s="13">
        <v>600</v>
      </c>
      <c r="P248" s="3">
        <f t="shared" si="23"/>
        <v>600</v>
      </c>
      <c r="Q248" s="3">
        <f t="shared" si="24"/>
        <v>0</v>
      </c>
      <c r="R248" s="3">
        <f t="shared" si="20"/>
        <v>11835.259999999998</v>
      </c>
      <c r="S248" s="24" t="s">
        <v>1334</v>
      </c>
      <c r="T248" s="24" t="s">
        <v>1334</v>
      </c>
      <c r="U248" s="53"/>
      <c r="V248" s="25">
        <f>IFERROR(VLOOKUP(BCP_Soles[[#This Row],[destinatario]],CHOOSE({1,2},Clientes_Proveedores[Razon Social],Clientes_Proveedores[Ruc / Dni]),2,0),"")</f>
        <v>20558226979</v>
      </c>
      <c r="W248" s="25" t="s">
        <v>1345</v>
      </c>
      <c r="X248" s="25" t="s">
        <v>1613</v>
      </c>
      <c r="Y248" s="25"/>
      <c r="Z248" s="75"/>
      <c r="AA248" s="3" t="str">
        <f>IF(BCP_Soles[[#This Row],[fecha]]&gt;0,TEXT(BCP_Soles[[#This Row],[fecha]],"mmmm"),0)</f>
        <v>Enero</v>
      </c>
    </row>
    <row r="249" spans="1:27" ht="24" x14ac:dyDescent="0.3">
      <c r="A249" s="2">
        <f>IF(BCP_Soles[[#This Row],[tipo_registro]]="R",COUNTIFS($C$1:$C248,"R")+1,A248)</f>
        <v>150</v>
      </c>
      <c r="B249" s="19" t="str">
        <f t="shared" si="21"/>
        <v>B-BCP - Soles</v>
      </c>
      <c r="C249" s="3" t="s">
        <v>1330</v>
      </c>
      <c r="D249" s="14">
        <v>45676</v>
      </c>
      <c r="E249" s="5" t="s">
        <v>433</v>
      </c>
      <c r="F249" s="5" t="s">
        <v>1303</v>
      </c>
      <c r="G249" s="6" t="s">
        <v>425</v>
      </c>
      <c r="H249" s="6"/>
      <c r="I249" s="6"/>
      <c r="J249" s="6"/>
      <c r="K249" s="7" t="s">
        <v>1356</v>
      </c>
      <c r="L249" s="8">
        <v>2045081</v>
      </c>
      <c r="M249" s="8" t="str">
        <f t="shared" si="22"/>
        <v>PEN</v>
      </c>
      <c r="N249" s="13"/>
      <c r="O249" s="13">
        <v>92.2</v>
      </c>
      <c r="P249" s="3">
        <f t="shared" si="23"/>
        <v>92.2</v>
      </c>
      <c r="Q249" s="3">
        <f t="shared" si="24"/>
        <v>0</v>
      </c>
      <c r="R249" s="3">
        <f t="shared" si="20"/>
        <v>11927.46</v>
      </c>
      <c r="S249" s="24" t="s">
        <v>1334</v>
      </c>
      <c r="T249" s="24" t="s">
        <v>1334</v>
      </c>
      <c r="U249" s="53"/>
      <c r="V249" s="25">
        <f>IFERROR(VLOOKUP(BCP_Soles[[#This Row],[destinatario]],CHOOSE({1,2},Clientes_Proveedores[Razon Social],Clientes_Proveedores[Ruc / Dni]),2,0),"")</f>
        <v>20558226979</v>
      </c>
      <c r="W249" s="25" t="s">
        <v>1345</v>
      </c>
      <c r="X249" s="25" t="s">
        <v>1613</v>
      </c>
      <c r="Y249" s="25"/>
      <c r="Z249" s="75"/>
      <c r="AA249" s="3" t="str">
        <f>IF(BCP_Soles[[#This Row],[fecha]]&gt;0,TEXT(BCP_Soles[[#This Row],[fecha]],"mmmm"),0)</f>
        <v>Enero</v>
      </c>
    </row>
    <row r="250" spans="1:27" ht="36" x14ac:dyDescent="0.3">
      <c r="A250" s="2">
        <f>IF(BCP_Soles[[#This Row],[tipo_registro]]="R",COUNTIFS($C$1:$C249,"R")+1,A249)</f>
        <v>151</v>
      </c>
      <c r="B250" s="19" t="str">
        <f t="shared" si="21"/>
        <v>B-BCP - Soles</v>
      </c>
      <c r="C250" s="3" t="s">
        <v>1330</v>
      </c>
      <c r="D250" s="14">
        <v>45677</v>
      </c>
      <c r="E250" s="5" t="s">
        <v>1338</v>
      </c>
      <c r="F250" s="5" t="s">
        <v>1336</v>
      </c>
      <c r="G250" s="6" t="s">
        <v>707</v>
      </c>
      <c r="H250" s="6" t="s">
        <v>68</v>
      </c>
      <c r="I250" s="6" t="s">
        <v>1374</v>
      </c>
      <c r="J250" s="6">
        <v>175851</v>
      </c>
      <c r="K250" s="7" t="s">
        <v>1614</v>
      </c>
      <c r="L250" s="8">
        <v>1049963</v>
      </c>
      <c r="M250" s="8" t="str">
        <f t="shared" si="22"/>
        <v>PEN</v>
      </c>
      <c r="N250" s="13"/>
      <c r="O250" s="13">
        <v>1683.13</v>
      </c>
      <c r="P250" s="3">
        <f t="shared" si="23"/>
        <v>0</v>
      </c>
      <c r="Q250" s="3">
        <f t="shared" si="24"/>
        <v>1683.13</v>
      </c>
      <c r="R250" s="3">
        <f t="shared" si="20"/>
        <v>10244.329999999998</v>
      </c>
      <c r="S250" s="24" t="s">
        <v>1334</v>
      </c>
      <c r="T250" s="24" t="s">
        <v>1334</v>
      </c>
      <c r="U250" s="53"/>
      <c r="V250" s="25">
        <f>IFERROR(VLOOKUP(BCP_Soles[[#This Row],[destinatario]],CHOOSE({1,2},Clientes_Proveedores[Razon Social],Clientes_Proveedores[Ruc / Dni]),2,0),"")</f>
        <v>20456127917</v>
      </c>
      <c r="W250" s="25" t="s">
        <v>1615</v>
      </c>
      <c r="X250" s="25" t="s">
        <v>1616</v>
      </c>
      <c r="Y250" s="25"/>
      <c r="Z250" s="75"/>
      <c r="AA250" s="3" t="str">
        <f>IF(BCP_Soles[[#This Row],[fecha]]&gt;0,TEXT(BCP_Soles[[#This Row],[fecha]],"mmmm"),0)</f>
        <v>Enero</v>
      </c>
    </row>
    <row r="251" spans="1:27" ht="24" x14ac:dyDescent="0.3">
      <c r="A251" s="2">
        <f>IF(BCP_Soles[[#This Row],[tipo_registro]]="R",COUNTIFS($C$1:$C250,"R")+1,A250)</f>
        <v>152</v>
      </c>
      <c r="B251" s="19" t="str">
        <f t="shared" si="21"/>
        <v>B-BCP - Soles</v>
      </c>
      <c r="C251" s="3" t="s">
        <v>1330</v>
      </c>
      <c r="D251" s="14">
        <v>45677</v>
      </c>
      <c r="E251" s="5" t="s">
        <v>1617</v>
      </c>
      <c r="F251" s="5" t="s">
        <v>1303</v>
      </c>
      <c r="G251" s="6" t="s">
        <v>425</v>
      </c>
      <c r="H251" s="6" t="s">
        <v>119</v>
      </c>
      <c r="I251" s="6">
        <v>1</v>
      </c>
      <c r="J251" s="6">
        <v>4069</v>
      </c>
      <c r="K251" s="7" t="s">
        <v>1618</v>
      </c>
      <c r="L251" s="8">
        <v>38756</v>
      </c>
      <c r="M251" s="8" t="str">
        <f t="shared" si="22"/>
        <v>PEN</v>
      </c>
      <c r="N251" s="13"/>
      <c r="O251" s="13">
        <v>200</v>
      </c>
      <c r="P251" s="3">
        <f t="shared" si="23"/>
        <v>200</v>
      </c>
      <c r="Q251" s="3">
        <f t="shared" si="24"/>
        <v>0</v>
      </c>
      <c r="R251" s="3">
        <f t="shared" si="20"/>
        <v>10444.329999999998</v>
      </c>
      <c r="S251" s="24" t="s">
        <v>1334</v>
      </c>
      <c r="T251" s="24" t="s">
        <v>1334</v>
      </c>
      <c r="U251" s="53"/>
      <c r="V251" s="25">
        <f>IFERROR(VLOOKUP(BCP_Soles[[#This Row],[destinatario]],CHOOSE({1,2},Clientes_Proveedores[Razon Social],Clientes_Proveedores[Ruc / Dni]),2,0),"")</f>
        <v>20558226979</v>
      </c>
      <c r="W251" s="25" t="s">
        <v>1345</v>
      </c>
      <c r="X251" s="25" t="s">
        <v>1619</v>
      </c>
      <c r="Y251" s="25"/>
      <c r="Z251" s="75"/>
      <c r="AA251" s="3" t="str">
        <f>IF(BCP_Soles[[#This Row],[fecha]]&gt;0,TEXT(BCP_Soles[[#This Row],[fecha]],"mmmm"),0)</f>
        <v>Enero</v>
      </c>
    </row>
    <row r="252" spans="1:27" ht="24" x14ac:dyDescent="0.3">
      <c r="A252" s="2">
        <f>IF(BCP_Soles[[#This Row],[tipo_registro]]="R",COUNTIFS($C$1:$C251,"R")+1,A251)</f>
        <v>153</v>
      </c>
      <c r="B252" s="19" t="str">
        <f t="shared" si="21"/>
        <v>B-BCP - Soles</v>
      </c>
      <c r="C252" s="3" t="s">
        <v>1330</v>
      </c>
      <c r="D252" s="14">
        <v>45677</v>
      </c>
      <c r="E252" s="5" t="s">
        <v>1617</v>
      </c>
      <c r="F252" s="5" t="s">
        <v>1303</v>
      </c>
      <c r="G252" s="6" t="s">
        <v>425</v>
      </c>
      <c r="H252" s="6" t="s">
        <v>119</v>
      </c>
      <c r="I252" s="6">
        <v>1</v>
      </c>
      <c r="J252" s="6">
        <v>4069</v>
      </c>
      <c r="K252" s="7" t="s">
        <v>1618</v>
      </c>
      <c r="L252" s="8">
        <v>38751</v>
      </c>
      <c r="M252" s="8" t="str">
        <f t="shared" si="22"/>
        <v>PEN</v>
      </c>
      <c r="N252" s="13"/>
      <c r="O252" s="13">
        <v>1000</v>
      </c>
      <c r="P252" s="3">
        <f t="shared" si="23"/>
        <v>1000</v>
      </c>
      <c r="Q252" s="3">
        <f t="shared" si="24"/>
        <v>0</v>
      </c>
      <c r="R252" s="3">
        <f t="shared" si="20"/>
        <v>11444.329999999998</v>
      </c>
      <c r="S252" s="24" t="s">
        <v>1334</v>
      </c>
      <c r="T252" s="24" t="s">
        <v>1334</v>
      </c>
      <c r="U252" s="53"/>
      <c r="V252" s="25">
        <f>IFERROR(VLOOKUP(BCP_Soles[[#This Row],[destinatario]],CHOOSE({1,2},Clientes_Proveedores[Razon Social],Clientes_Proveedores[Ruc / Dni]),2,0),"")</f>
        <v>20558226979</v>
      </c>
      <c r="W252" s="25" t="s">
        <v>1345</v>
      </c>
      <c r="X252" s="25" t="s">
        <v>1619</v>
      </c>
      <c r="Y252" s="25"/>
      <c r="Z252" s="75"/>
      <c r="AA252" s="3" t="str">
        <f>IF(BCP_Soles[[#This Row],[fecha]]&gt;0,TEXT(BCP_Soles[[#This Row],[fecha]],"mmmm"),0)</f>
        <v>Enero</v>
      </c>
    </row>
    <row r="253" spans="1:27" x14ac:dyDescent="0.3">
      <c r="A253" s="2">
        <f>IF(BCP_Soles[[#This Row],[tipo_registro]]="R",COUNTIFS($C$1:$C252,"R")+1,A252)</f>
        <v>154</v>
      </c>
      <c r="B253" s="19" t="str">
        <f t="shared" si="21"/>
        <v>B-BCP - Soles</v>
      </c>
      <c r="C253" s="3" t="s">
        <v>1330</v>
      </c>
      <c r="D253" s="14">
        <v>45677</v>
      </c>
      <c r="E253" s="5" t="s">
        <v>1335</v>
      </c>
      <c r="F253" s="5" t="s">
        <v>1336</v>
      </c>
      <c r="G253" s="6"/>
      <c r="H253" s="6"/>
      <c r="I253" s="6"/>
      <c r="J253" s="6"/>
      <c r="K253" s="7" t="s">
        <v>1337</v>
      </c>
      <c r="L253" s="8"/>
      <c r="M253" s="8" t="str">
        <f t="shared" si="22"/>
        <v>PEN</v>
      </c>
      <c r="N253" s="13"/>
      <c r="O253" s="13">
        <v>0.35</v>
      </c>
      <c r="P253" s="3">
        <f t="shared" si="23"/>
        <v>0</v>
      </c>
      <c r="Q253" s="3">
        <f t="shared" si="24"/>
        <v>0.35</v>
      </c>
      <c r="R253" s="3">
        <f t="shared" si="20"/>
        <v>11443.979999999998</v>
      </c>
      <c r="S253" s="24"/>
      <c r="T253" s="24" t="s">
        <v>1334</v>
      </c>
      <c r="U253" s="53"/>
      <c r="V253" s="25" t="str">
        <f>IFERROR(VLOOKUP(BCP_Soles[[#This Row],[destinatario]],CHOOSE({1,2},Clientes_Proveedores[Razon Social],Clientes_Proveedores[Ruc / Dni]),2,0),"")</f>
        <v/>
      </c>
      <c r="W253" s="25"/>
      <c r="X253" s="25"/>
      <c r="Y253" s="25"/>
      <c r="Z253" s="75"/>
      <c r="AA253" s="3" t="str">
        <f>IF(BCP_Soles[[#This Row],[fecha]]&gt;0,TEXT(BCP_Soles[[#This Row],[fecha]],"mmmm"),0)</f>
        <v>Enero</v>
      </c>
    </row>
    <row r="254" spans="1:27" x14ac:dyDescent="0.3">
      <c r="A254" s="2">
        <f>IF(BCP_Soles[[#This Row],[tipo_registro]]="R",COUNTIFS($C$1:$C253,"R")+1,A253)</f>
        <v>155</v>
      </c>
      <c r="B254" s="19" t="str">
        <f t="shared" si="21"/>
        <v>B-BCP - Soles</v>
      </c>
      <c r="C254" s="3" t="s">
        <v>1330</v>
      </c>
      <c r="D254" s="14">
        <v>45677</v>
      </c>
      <c r="E254" s="5" t="s">
        <v>1338</v>
      </c>
      <c r="F254" s="5" t="s">
        <v>1336</v>
      </c>
      <c r="G254" s="6" t="s">
        <v>695</v>
      </c>
      <c r="H254" s="6" t="s">
        <v>68</v>
      </c>
      <c r="I254" s="6" t="s">
        <v>1377</v>
      </c>
      <c r="J254" s="6">
        <v>143182</v>
      </c>
      <c r="K254" s="7" t="s">
        <v>1378</v>
      </c>
      <c r="L254" s="8">
        <v>207777</v>
      </c>
      <c r="M254" s="8" t="str">
        <f t="shared" si="22"/>
        <v>PEN</v>
      </c>
      <c r="N254" s="13"/>
      <c r="O254" s="13">
        <v>2263.7399999999998</v>
      </c>
      <c r="P254" s="3">
        <f t="shared" si="23"/>
        <v>0</v>
      </c>
      <c r="Q254" s="3">
        <f t="shared" si="24"/>
        <v>2263.7399999999998</v>
      </c>
      <c r="R254" s="3">
        <f t="shared" si="20"/>
        <v>9180.239999999998</v>
      </c>
      <c r="S254" s="24" t="s">
        <v>1334</v>
      </c>
      <c r="T254" s="24" t="s">
        <v>1334</v>
      </c>
      <c r="U254" s="53"/>
      <c r="V254" s="25">
        <f>IFERROR(VLOOKUP(BCP_Soles[[#This Row],[destinatario]],CHOOSE({1,2},Clientes_Proveedores[Razon Social],Clientes_Proveedores[Ruc / Dni]),2,0),"")</f>
        <v>20127765279</v>
      </c>
      <c r="W254" s="25" t="s">
        <v>1379</v>
      </c>
      <c r="X254" s="25" t="s">
        <v>1620</v>
      </c>
      <c r="Y254" s="25"/>
      <c r="Z254" s="75"/>
      <c r="AA254" s="3" t="str">
        <f>IF(BCP_Soles[[#This Row],[fecha]]&gt;0,TEXT(BCP_Soles[[#This Row],[fecha]],"mmmm"),0)</f>
        <v>Enero</v>
      </c>
    </row>
    <row r="255" spans="1:27" x14ac:dyDescent="0.3">
      <c r="A255" s="2">
        <f>IF(BCP_Soles[[#This Row],[tipo_registro]]="R",COUNTIFS($C$1:$C254,"R")+1,A254)</f>
        <v>156</v>
      </c>
      <c r="B255" s="19" t="str">
        <f t="shared" si="21"/>
        <v>B-BCP - Soles</v>
      </c>
      <c r="C255" s="3" t="s">
        <v>1330</v>
      </c>
      <c r="D255" s="14">
        <v>45677</v>
      </c>
      <c r="E255" s="5" t="s">
        <v>1338</v>
      </c>
      <c r="F255" s="5" t="s">
        <v>1336</v>
      </c>
      <c r="G255" s="6" t="s">
        <v>696</v>
      </c>
      <c r="H255" s="6"/>
      <c r="I255" s="6"/>
      <c r="J255" s="6"/>
      <c r="K255" s="7" t="s">
        <v>1621</v>
      </c>
      <c r="L255" s="8">
        <v>3743193</v>
      </c>
      <c r="M255" s="8" t="str">
        <f t="shared" si="22"/>
        <v>PEN</v>
      </c>
      <c r="N255" s="13"/>
      <c r="O255" s="13">
        <v>2137.33</v>
      </c>
      <c r="P255" s="3">
        <f t="shared" si="23"/>
        <v>0</v>
      </c>
      <c r="Q255" s="3">
        <f t="shared" si="24"/>
        <v>2137.33</v>
      </c>
      <c r="R255" s="3">
        <f t="shared" si="20"/>
        <v>7042.909999999998</v>
      </c>
      <c r="S255" s="24" t="s">
        <v>1334</v>
      </c>
      <c r="T255" s="24" t="s">
        <v>1334</v>
      </c>
      <c r="U255" s="53"/>
      <c r="V255" s="25">
        <f>IFERROR(VLOOKUP(BCP_Soles[[#This Row],[destinatario]],CHOOSE({1,2},Clientes_Proveedores[Razon Social],Clientes_Proveedores[Ruc / Dni]),2,0),"")</f>
        <v>0</v>
      </c>
      <c r="W255" s="25" t="s">
        <v>1373</v>
      </c>
      <c r="X255" s="25" t="s">
        <v>1452</v>
      </c>
      <c r="Y255" s="25"/>
      <c r="Z255" s="75"/>
      <c r="AA255" s="3" t="str">
        <f>IF(BCP_Soles[[#This Row],[fecha]]&gt;0,TEXT(BCP_Soles[[#This Row],[fecha]],"mmmm"),0)</f>
        <v>Enero</v>
      </c>
    </row>
    <row r="256" spans="1:27" x14ac:dyDescent="0.3">
      <c r="A256" s="2">
        <f>IF(BCP_Soles[[#This Row],[tipo_registro]]="R",COUNTIFS($C$1:$C255,"R")+1,A255)</f>
        <v>156</v>
      </c>
      <c r="B256" s="19" t="str">
        <f t="shared" si="21"/>
        <v>B-BCP - Soles</v>
      </c>
      <c r="C256" s="3" t="s">
        <v>1352</v>
      </c>
      <c r="D256" s="14">
        <v>45677</v>
      </c>
      <c r="E256" s="5" t="s">
        <v>1338</v>
      </c>
      <c r="F256" s="5"/>
      <c r="G256" s="6" t="s">
        <v>302</v>
      </c>
      <c r="H256" s="6" t="s">
        <v>68</v>
      </c>
      <c r="I256" s="6" t="s">
        <v>1374</v>
      </c>
      <c r="J256" s="6">
        <v>18436</v>
      </c>
      <c r="K256" s="7" t="s">
        <v>1621</v>
      </c>
      <c r="L256" s="8">
        <v>3743193</v>
      </c>
      <c r="M256" s="8" t="str">
        <f t="shared" si="22"/>
        <v>PEN</v>
      </c>
      <c r="N256" s="13">
        <v>335.6</v>
      </c>
      <c r="O256" s="13"/>
      <c r="P256" s="3">
        <f t="shared" si="23"/>
        <v>0</v>
      </c>
      <c r="Q256" s="3">
        <f t="shared" si="24"/>
        <v>0</v>
      </c>
      <c r="R256" s="3">
        <f t="shared" si="20"/>
        <v>7042.909999999998</v>
      </c>
      <c r="S256" s="24"/>
      <c r="T256" s="24" t="s">
        <v>1334</v>
      </c>
      <c r="U256" s="53"/>
      <c r="V256" s="25">
        <f>IFERROR(VLOOKUP(BCP_Soles[[#This Row],[destinatario]],CHOOSE({1,2},Clientes_Proveedores[Razon Social],Clientes_Proveedores[Ruc / Dni]),2,0),"")</f>
        <v>20455731926</v>
      </c>
      <c r="W256" s="25"/>
      <c r="X256" s="25"/>
      <c r="Y256" s="25"/>
      <c r="Z256" s="75"/>
      <c r="AA256" s="3" t="str">
        <f>IF(BCP_Soles[[#This Row],[fecha]]&gt;0,TEXT(BCP_Soles[[#This Row],[fecha]],"mmmm"),0)</f>
        <v>Enero</v>
      </c>
    </row>
    <row r="257" spans="1:27" x14ac:dyDescent="0.3">
      <c r="A257" s="2">
        <f>IF(BCP_Soles[[#This Row],[tipo_registro]]="R",COUNTIFS($C$1:$C256,"R")+1,A256)</f>
        <v>156</v>
      </c>
      <c r="B257" s="19" t="str">
        <f t="shared" si="21"/>
        <v>B-BCP - Soles</v>
      </c>
      <c r="C257" s="3" t="s">
        <v>1352</v>
      </c>
      <c r="D257" s="14">
        <v>45677</v>
      </c>
      <c r="E257" s="5" t="s">
        <v>1338</v>
      </c>
      <c r="F257" s="5"/>
      <c r="G257" s="6" t="s">
        <v>493</v>
      </c>
      <c r="H257" s="6" t="s">
        <v>68</v>
      </c>
      <c r="I257" s="6" t="s">
        <v>1374</v>
      </c>
      <c r="J257" s="6">
        <v>8716</v>
      </c>
      <c r="K257" s="7" t="s">
        <v>1621</v>
      </c>
      <c r="L257" s="8">
        <v>3743193</v>
      </c>
      <c r="M257" s="8" t="str">
        <f t="shared" si="22"/>
        <v>PEN</v>
      </c>
      <c r="N257" s="13">
        <v>113.28</v>
      </c>
      <c r="O257" s="13"/>
      <c r="P257" s="3">
        <f t="shared" si="23"/>
        <v>0</v>
      </c>
      <c r="Q257" s="3">
        <f t="shared" si="24"/>
        <v>0</v>
      </c>
      <c r="R257" s="3">
        <f t="shared" si="20"/>
        <v>7042.909999999998</v>
      </c>
      <c r="S257" s="24"/>
      <c r="T257" s="24" t="s">
        <v>1334</v>
      </c>
      <c r="U257" s="53"/>
      <c r="V257" s="25">
        <f>IFERROR(VLOOKUP(BCP_Soles[[#This Row],[destinatario]],CHOOSE({1,2},Clientes_Proveedores[Razon Social],Clientes_Proveedores[Ruc / Dni]),2,0),"")</f>
        <v>20602751326</v>
      </c>
      <c r="W257" s="25"/>
      <c r="X257" s="25"/>
      <c r="Y257" s="25"/>
      <c r="Z257" s="75"/>
      <c r="AA257" s="3" t="str">
        <f>IF(BCP_Soles[[#This Row],[fecha]]&gt;0,TEXT(BCP_Soles[[#This Row],[fecha]],"mmmm"),0)</f>
        <v>Enero</v>
      </c>
    </row>
    <row r="258" spans="1:27" x14ac:dyDescent="0.3">
      <c r="A258" s="2">
        <f>IF(BCP_Soles[[#This Row],[tipo_registro]]="R",COUNTIFS($C$1:$C257,"R")+1,A257)</f>
        <v>156</v>
      </c>
      <c r="B258" s="19" t="str">
        <f t="shared" si="21"/>
        <v>B-BCP - Soles</v>
      </c>
      <c r="C258" s="3" t="s">
        <v>1352</v>
      </c>
      <c r="D258" s="14">
        <v>45677</v>
      </c>
      <c r="E258" s="5" t="s">
        <v>1338</v>
      </c>
      <c r="F258" s="5"/>
      <c r="G258" s="6" t="s">
        <v>522</v>
      </c>
      <c r="H258" s="6" t="s">
        <v>68</v>
      </c>
      <c r="I258" s="6" t="s">
        <v>1376</v>
      </c>
      <c r="J258" s="6">
        <v>3649</v>
      </c>
      <c r="K258" s="7" t="s">
        <v>1621</v>
      </c>
      <c r="L258" s="8">
        <v>3743193</v>
      </c>
      <c r="M258" s="8" t="str">
        <f t="shared" si="22"/>
        <v>PEN</v>
      </c>
      <c r="N258" s="13">
        <v>150.44999999999999</v>
      </c>
      <c r="O258" s="13"/>
      <c r="P258" s="3">
        <f t="shared" si="23"/>
        <v>0</v>
      </c>
      <c r="Q258" s="3">
        <f t="shared" si="24"/>
        <v>0</v>
      </c>
      <c r="R258" s="3">
        <f t="shared" ref="R258:R321" si="25">IFERROR(IF(F258="SALDO",P258,R257+P258-Q258),0)</f>
        <v>7042.909999999998</v>
      </c>
      <c r="S258" s="24"/>
      <c r="T258" s="24" t="s">
        <v>1334</v>
      </c>
      <c r="U258" s="53"/>
      <c r="V258" s="25">
        <f>IFERROR(VLOOKUP(BCP_Soles[[#This Row],[destinatario]],CHOOSE({1,2},Clientes_Proveedores[Razon Social],Clientes_Proveedores[Ruc / Dni]),2,0),"")</f>
        <v>20603974817</v>
      </c>
      <c r="W258" s="25"/>
      <c r="X258" s="25"/>
      <c r="Y258" s="25"/>
      <c r="Z258" s="75"/>
      <c r="AA258" s="3" t="str">
        <f>IF(BCP_Soles[[#This Row],[fecha]]&gt;0,TEXT(BCP_Soles[[#This Row],[fecha]],"mmmm"),0)</f>
        <v>Enero</v>
      </c>
    </row>
    <row r="259" spans="1:27" ht="36" x14ac:dyDescent="0.3">
      <c r="A259" s="2">
        <f>IF(BCP_Soles[[#This Row],[tipo_registro]]="R",COUNTIFS($C$1:$C258,"R")+1,A258)</f>
        <v>156</v>
      </c>
      <c r="B259" s="19" t="str">
        <f t="shared" si="21"/>
        <v>B-BCP - Soles</v>
      </c>
      <c r="C259" s="3" t="s">
        <v>1352</v>
      </c>
      <c r="D259" s="14">
        <v>45677</v>
      </c>
      <c r="E259" s="5" t="s">
        <v>1338</v>
      </c>
      <c r="F259" s="5"/>
      <c r="G259" s="6" t="s">
        <v>153</v>
      </c>
      <c r="H259" s="6" t="s">
        <v>68</v>
      </c>
      <c r="I259" s="6" t="s">
        <v>1376</v>
      </c>
      <c r="J259" s="6">
        <v>371</v>
      </c>
      <c r="K259" s="7" t="s">
        <v>1621</v>
      </c>
      <c r="L259" s="8">
        <v>3743193</v>
      </c>
      <c r="M259" s="8" t="str">
        <f t="shared" si="22"/>
        <v>PEN</v>
      </c>
      <c r="N259" s="13">
        <v>290</v>
      </c>
      <c r="O259" s="13"/>
      <c r="P259" s="3">
        <f t="shared" si="23"/>
        <v>0</v>
      </c>
      <c r="Q259" s="3">
        <f t="shared" si="24"/>
        <v>0</v>
      </c>
      <c r="R259" s="3">
        <f t="shared" si="25"/>
        <v>7042.909999999998</v>
      </c>
      <c r="S259" s="24"/>
      <c r="T259" s="24" t="s">
        <v>1334</v>
      </c>
      <c r="U259" s="53"/>
      <c r="V259" s="25">
        <f>IFERROR(VLOOKUP(BCP_Soles[[#This Row],[destinatario]],CHOOSE({1,2},Clientes_Proveedores[Razon Social],Clientes_Proveedores[Ruc / Dni]),2,0),"")</f>
        <v>10405211179</v>
      </c>
      <c r="W259" s="25"/>
      <c r="X259" s="25"/>
      <c r="Y259" s="25"/>
      <c r="Z259" s="75"/>
      <c r="AA259" s="3" t="str">
        <f>IF(BCP_Soles[[#This Row],[fecha]]&gt;0,TEXT(BCP_Soles[[#This Row],[fecha]],"mmmm"),0)</f>
        <v>Enero</v>
      </c>
    </row>
    <row r="260" spans="1:27" ht="36" x14ac:dyDescent="0.3">
      <c r="A260" s="2">
        <f>IF(BCP_Soles[[#This Row],[tipo_registro]]="R",COUNTIFS($C$1:$C259,"R")+1,A259)</f>
        <v>156</v>
      </c>
      <c r="B260" s="19" t="str">
        <f t="shared" ref="B260:B325" si="26">"B-BCP - Soles"</f>
        <v>B-BCP - Soles</v>
      </c>
      <c r="C260" s="3" t="s">
        <v>1352</v>
      </c>
      <c r="D260" s="14">
        <v>45677</v>
      </c>
      <c r="E260" s="5" t="s">
        <v>1338</v>
      </c>
      <c r="F260" s="5"/>
      <c r="G260" s="6" t="s">
        <v>307</v>
      </c>
      <c r="H260" s="6" t="s">
        <v>68</v>
      </c>
      <c r="I260" s="6" t="s">
        <v>1376</v>
      </c>
      <c r="J260" s="6">
        <v>144</v>
      </c>
      <c r="K260" s="7" t="s">
        <v>1621</v>
      </c>
      <c r="L260" s="8">
        <v>3743193</v>
      </c>
      <c r="M260" s="8" t="str">
        <f t="shared" ref="M260:M325" si="27">"PEN"</f>
        <v>PEN</v>
      </c>
      <c r="N260" s="13">
        <v>1248</v>
      </c>
      <c r="O260" s="13"/>
      <c r="P260" s="3">
        <f t="shared" ref="P260:P325" si="28">+IF(OR($F260="SALDO",$F260="INGRESO"),$O260,0)</f>
        <v>0</v>
      </c>
      <c r="Q260" s="3">
        <f t="shared" ref="Q260:Q325" si="29">+IF($F260="EGRESO",$O260,0)</f>
        <v>0</v>
      </c>
      <c r="R260" s="3">
        <f t="shared" si="25"/>
        <v>7042.909999999998</v>
      </c>
      <c r="S260" s="24"/>
      <c r="T260" s="24" t="s">
        <v>1334</v>
      </c>
      <c r="U260" s="53"/>
      <c r="V260" s="25">
        <f>IFERROR(VLOOKUP(BCP_Soles[[#This Row],[destinatario]],CHOOSE({1,2},Clientes_Proveedores[Razon Social],Clientes_Proveedores[Ruc / Dni]),2,0),"")</f>
        <v>20455932824</v>
      </c>
      <c r="W260" s="25"/>
      <c r="X260" s="25"/>
      <c r="Y260" s="25"/>
      <c r="Z260" s="75"/>
      <c r="AA260" s="3" t="str">
        <f>IF(BCP_Soles[[#This Row],[fecha]]&gt;0,TEXT(BCP_Soles[[#This Row],[fecha]],"mmmm"),0)</f>
        <v>Enero</v>
      </c>
    </row>
    <row r="261" spans="1:27" ht="24" x14ac:dyDescent="0.3">
      <c r="A261" s="2">
        <f>IF(BCP_Soles[[#This Row],[tipo_registro]]="R",COUNTIFS($C$1:$C260,"R")+1,A260)</f>
        <v>157</v>
      </c>
      <c r="B261" s="19" t="str">
        <f t="shared" si="26"/>
        <v>B-BCP - Soles</v>
      </c>
      <c r="C261" s="3" t="s">
        <v>1330</v>
      </c>
      <c r="D261" s="14">
        <v>45677</v>
      </c>
      <c r="E261" s="5" t="s">
        <v>1338</v>
      </c>
      <c r="F261" s="5" t="s">
        <v>1336</v>
      </c>
      <c r="G261" s="6" t="s">
        <v>852</v>
      </c>
      <c r="H261" s="6"/>
      <c r="I261" s="6"/>
      <c r="J261" s="6"/>
      <c r="K261" s="7" t="s">
        <v>1622</v>
      </c>
      <c r="L261" s="8">
        <v>1167596</v>
      </c>
      <c r="M261" s="8" t="str">
        <f t="shared" si="27"/>
        <v>PEN</v>
      </c>
      <c r="N261" s="13"/>
      <c r="O261" s="13">
        <v>1763.08</v>
      </c>
      <c r="P261" s="3">
        <f t="shared" si="28"/>
        <v>0</v>
      </c>
      <c r="Q261" s="3">
        <f t="shared" si="29"/>
        <v>1763.08</v>
      </c>
      <c r="R261" s="3">
        <f t="shared" si="25"/>
        <v>5279.8299999999981</v>
      </c>
      <c r="S261" s="24" t="s">
        <v>1334</v>
      </c>
      <c r="T261" s="24" t="s">
        <v>1334</v>
      </c>
      <c r="U261" s="53"/>
      <c r="V261" s="25">
        <f>IFERROR(VLOOKUP(BCP_Soles[[#This Row],[destinatario]],CHOOSE({1,2},Clientes_Proveedores[Razon Social],Clientes_Proveedores[Ruc / Dni]),2,0),"")</f>
        <v>70211580</v>
      </c>
      <c r="W261" s="25" t="s">
        <v>852</v>
      </c>
      <c r="X261" s="25"/>
      <c r="Y261" s="25"/>
      <c r="Z261" s="75"/>
      <c r="AA261" s="3" t="str">
        <f>IF(BCP_Soles[[#This Row],[fecha]]&gt;0,TEXT(BCP_Soles[[#This Row],[fecha]],"mmmm"),0)</f>
        <v>Enero</v>
      </c>
    </row>
    <row r="262" spans="1:27" x14ac:dyDescent="0.3">
      <c r="A262" s="2">
        <f>IF(BCP_Soles[[#This Row],[tipo_registro]]="R",COUNTIFS($C$1:$C261,"R")+1,A261)</f>
        <v>158</v>
      </c>
      <c r="B262" s="19" t="str">
        <f t="shared" si="26"/>
        <v>B-BCP - Soles</v>
      </c>
      <c r="C262" s="3" t="s">
        <v>1330</v>
      </c>
      <c r="D262" s="14">
        <v>45677</v>
      </c>
      <c r="E262" s="5" t="s">
        <v>1338</v>
      </c>
      <c r="F262" s="5" t="s">
        <v>1336</v>
      </c>
      <c r="G262" s="6" t="s">
        <v>695</v>
      </c>
      <c r="H262" s="6" t="s">
        <v>68</v>
      </c>
      <c r="I262" s="6" t="s">
        <v>1377</v>
      </c>
      <c r="J262" s="6">
        <v>143100</v>
      </c>
      <c r="K262" s="7" t="s">
        <v>1378</v>
      </c>
      <c r="L262" s="8">
        <v>214748</v>
      </c>
      <c r="M262" s="8" t="str">
        <f t="shared" si="27"/>
        <v>PEN</v>
      </c>
      <c r="N262" s="13"/>
      <c r="O262" s="13">
        <v>836.93</v>
      </c>
      <c r="P262" s="3">
        <f t="shared" si="28"/>
        <v>0</v>
      </c>
      <c r="Q262" s="3">
        <f t="shared" si="29"/>
        <v>836.93</v>
      </c>
      <c r="R262" s="3">
        <f t="shared" si="25"/>
        <v>4442.8999999999978</v>
      </c>
      <c r="S262" s="24" t="s">
        <v>1334</v>
      </c>
      <c r="T262" s="24" t="s">
        <v>1334</v>
      </c>
      <c r="U262" s="53"/>
      <c r="V262" s="25">
        <f>IFERROR(VLOOKUP(BCP_Soles[[#This Row],[destinatario]],CHOOSE({1,2},Clientes_Proveedores[Razon Social],Clientes_Proveedores[Ruc / Dni]),2,0),"")</f>
        <v>20127765279</v>
      </c>
      <c r="W262" s="25" t="s">
        <v>1379</v>
      </c>
      <c r="X262" s="25" t="s">
        <v>1623</v>
      </c>
      <c r="Y262" s="25"/>
      <c r="Z262" s="75"/>
      <c r="AA262" s="3" t="str">
        <f>IF(BCP_Soles[[#This Row],[fecha]]&gt;0,TEXT(BCP_Soles[[#This Row],[fecha]],"mmmm"),0)</f>
        <v>Enero</v>
      </c>
    </row>
    <row r="263" spans="1:27" ht="24" x14ac:dyDescent="0.3">
      <c r="A263" s="2">
        <f>IF(BCP_Soles[[#This Row],[tipo_registro]]="R",COUNTIFS($C$1:$C262,"R")+1,A262)</f>
        <v>159</v>
      </c>
      <c r="B263" s="19" t="str">
        <f t="shared" si="26"/>
        <v>B-BCP - Soles</v>
      </c>
      <c r="C263" s="3" t="s">
        <v>1330</v>
      </c>
      <c r="D263" s="14">
        <v>45677</v>
      </c>
      <c r="E263" s="5" t="s">
        <v>1338</v>
      </c>
      <c r="F263" s="5" t="s">
        <v>1336</v>
      </c>
      <c r="G263" s="6" t="s">
        <v>241</v>
      </c>
      <c r="H263" s="6" t="s">
        <v>68</v>
      </c>
      <c r="I263" s="6" t="s">
        <v>1339</v>
      </c>
      <c r="J263" s="6">
        <v>7084</v>
      </c>
      <c r="K263" s="7" t="s">
        <v>1624</v>
      </c>
      <c r="L263" s="8">
        <v>1123760</v>
      </c>
      <c r="M263" s="8" t="str">
        <f t="shared" si="27"/>
        <v>PEN</v>
      </c>
      <c r="N263" s="13"/>
      <c r="O263" s="13">
        <v>147.5</v>
      </c>
      <c r="P263" s="3">
        <f t="shared" si="28"/>
        <v>0</v>
      </c>
      <c r="Q263" s="3">
        <f t="shared" si="29"/>
        <v>147.5</v>
      </c>
      <c r="R263" s="3">
        <f t="shared" si="25"/>
        <v>4295.3999999999978</v>
      </c>
      <c r="S263" s="24" t="s">
        <v>1334</v>
      </c>
      <c r="T263" s="24" t="s">
        <v>1334</v>
      </c>
      <c r="U263" s="53"/>
      <c r="V263" s="25">
        <f>IFERROR(VLOOKUP(BCP_Soles[[#This Row],[destinatario]],CHOOSE({1,2},Clientes_Proveedores[Razon Social],Clientes_Proveedores[Ruc / Dni]),2,0),"")</f>
        <v>20170040938</v>
      </c>
      <c r="W263" s="25" t="s">
        <v>1341</v>
      </c>
      <c r="X263" s="25" t="s">
        <v>1625</v>
      </c>
      <c r="Y263" s="25"/>
      <c r="Z263" s="75"/>
      <c r="AA263" s="3" t="str">
        <f>IF(BCP_Soles[[#This Row],[fecha]]&gt;0,TEXT(BCP_Soles[[#This Row],[fecha]],"mmmm"),0)</f>
        <v>Enero</v>
      </c>
    </row>
    <row r="264" spans="1:27" ht="24" x14ac:dyDescent="0.3">
      <c r="A264" s="2">
        <f>IF(BCP_Soles[[#This Row],[tipo_registro]]="R",COUNTIFS($C$1:$C263,"R")+1,A263)</f>
        <v>160</v>
      </c>
      <c r="B264" s="19" t="str">
        <f t="shared" si="26"/>
        <v>B-BCP - Soles</v>
      </c>
      <c r="C264" s="3" t="s">
        <v>1330</v>
      </c>
      <c r="D264" s="14">
        <v>45677</v>
      </c>
      <c r="E264" s="5" t="s">
        <v>1338</v>
      </c>
      <c r="F264" s="5" t="s">
        <v>1336</v>
      </c>
      <c r="G264" s="6" t="s">
        <v>241</v>
      </c>
      <c r="H264" s="6" t="s">
        <v>68</v>
      </c>
      <c r="I264" s="6" t="s">
        <v>1339</v>
      </c>
      <c r="J264" s="6">
        <v>7083</v>
      </c>
      <c r="K264" s="7" t="s">
        <v>1626</v>
      </c>
      <c r="L264" s="8">
        <v>1172712</v>
      </c>
      <c r="M264" s="8" t="str">
        <f t="shared" si="27"/>
        <v>PEN</v>
      </c>
      <c r="N264" s="13"/>
      <c r="O264" s="13">
        <v>80.489999999999995</v>
      </c>
      <c r="P264" s="3">
        <f t="shared" si="28"/>
        <v>0</v>
      </c>
      <c r="Q264" s="3">
        <f t="shared" si="29"/>
        <v>80.489999999999995</v>
      </c>
      <c r="R264" s="3">
        <f t="shared" si="25"/>
        <v>4214.909999999998</v>
      </c>
      <c r="S264" s="24" t="s">
        <v>1334</v>
      </c>
      <c r="T264" s="24" t="s">
        <v>1334</v>
      </c>
      <c r="U264" s="53"/>
      <c r="V264" s="25">
        <f>IFERROR(VLOOKUP(BCP_Soles[[#This Row],[destinatario]],CHOOSE({1,2},Clientes_Proveedores[Razon Social],Clientes_Proveedores[Ruc / Dni]),2,0),"")</f>
        <v>20170040938</v>
      </c>
      <c r="W264" s="25" t="s">
        <v>1341</v>
      </c>
      <c r="X264" s="25" t="s">
        <v>1627</v>
      </c>
      <c r="Y264" s="25"/>
      <c r="Z264" s="75"/>
      <c r="AA264" s="3" t="str">
        <f>IF(BCP_Soles[[#This Row],[fecha]]&gt;0,TEXT(BCP_Soles[[#This Row],[fecha]],"mmmm"),0)</f>
        <v>Enero</v>
      </c>
    </row>
    <row r="265" spans="1:27" ht="36" x14ac:dyDescent="0.3">
      <c r="A265" s="2">
        <f>IF(BCP_Soles[[#This Row],[tipo_registro]]="R",COUNTIFS($C$1:$C264,"R")+1,A264)</f>
        <v>161</v>
      </c>
      <c r="B265" s="19" t="str">
        <f t="shared" si="26"/>
        <v>B-BCP - Soles</v>
      </c>
      <c r="C265" s="3" t="s">
        <v>1330</v>
      </c>
      <c r="D265" s="14">
        <v>45677</v>
      </c>
      <c r="E265" s="5" t="s">
        <v>1628</v>
      </c>
      <c r="F265" s="5" t="s">
        <v>1303</v>
      </c>
      <c r="G265" s="6" t="s">
        <v>425</v>
      </c>
      <c r="H265" s="6" t="s">
        <v>119</v>
      </c>
      <c r="I265" s="6">
        <v>2</v>
      </c>
      <c r="J265" s="6">
        <v>701</v>
      </c>
      <c r="K265" s="7" t="s">
        <v>1356</v>
      </c>
      <c r="L265" s="8">
        <v>2895554</v>
      </c>
      <c r="M265" s="8" t="str">
        <f t="shared" si="27"/>
        <v>PEN</v>
      </c>
      <c r="N265" s="13"/>
      <c r="O265" s="13">
        <v>2466</v>
      </c>
      <c r="P265" s="3">
        <f t="shared" si="28"/>
        <v>2466</v>
      </c>
      <c r="Q265" s="3">
        <f t="shared" si="29"/>
        <v>0</v>
      </c>
      <c r="R265" s="3">
        <f t="shared" si="25"/>
        <v>6680.909999999998</v>
      </c>
      <c r="S265" s="24" t="s">
        <v>1334</v>
      </c>
      <c r="T265" s="24" t="s">
        <v>1334</v>
      </c>
      <c r="U265" s="53"/>
      <c r="V265" s="25">
        <f>IFERROR(VLOOKUP(BCP_Soles[[#This Row],[destinatario]],CHOOSE({1,2},Clientes_Proveedores[Razon Social],Clientes_Proveedores[Ruc / Dni]),2,0),"")</f>
        <v>20558226979</v>
      </c>
      <c r="W265" s="25" t="s">
        <v>1345</v>
      </c>
      <c r="X265" s="25" t="s">
        <v>1629</v>
      </c>
      <c r="Y265" s="25"/>
      <c r="Z265" s="75"/>
      <c r="AA265" s="3" t="str">
        <f>IF(BCP_Soles[[#This Row],[fecha]]&gt;0,TEXT(BCP_Soles[[#This Row],[fecha]],"mmmm"),0)</f>
        <v>Enero</v>
      </c>
    </row>
    <row r="266" spans="1:27" ht="24" x14ac:dyDescent="0.3">
      <c r="A266" s="2">
        <f>IF(BCP_Soles[[#This Row],[tipo_registro]]="R",COUNTIFS($C$1:$C265,"R")+1,A265)</f>
        <v>162</v>
      </c>
      <c r="B266" s="19" t="str">
        <f t="shared" si="26"/>
        <v>B-BCP - Soles</v>
      </c>
      <c r="C266" s="3" t="s">
        <v>1330</v>
      </c>
      <c r="D266" s="14">
        <v>45677</v>
      </c>
      <c r="E266" s="5" t="s">
        <v>1502</v>
      </c>
      <c r="F266" s="5" t="s">
        <v>1303</v>
      </c>
      <c r="G266" s="6" t="s">
        <v>425</v>
      </c>
      <c r="H266" s="6" t="s">
        <v>119</v>
      </c>
      <c r="I266" s="6">
        <v>1</v>
      </c>
      <c r="J266" s="6">
        <v>4080</v>
      </c>
      <c r="K266" s="7" t="s">
        <v>1503</v>
      </c>
      <c r="L266" s="8">
        <v>376817</v>
      </c>
      <c r="M266" s="8" t="str">
        <f t="shared" si="27"/>
        <v>PEN</v>
      </c>
      <c r="N266" s="13"/>
      <c r="O266" s="13">
        <v>420</v>
      </c>
      <c r="P266" s="3">
        <f t="shared" si="28"/>
        <v>420</v>
      </c>
      <c r="Q266" s="3">
        <f t="shared" si="29"/>
        <v>0</v>
      </c>
      <c r="R266" s="3">
        <f t="shared" si="25"/>
        <v>7100.909999999998</v>
      </c>
      <c r="S266" s="24" t="s">
        <v>1334</v>
      </c>
      <c r="T266" s="24" t="s">
        <v>1334</v>
      </c>
      <c r="U266" s="53"/>
      <c r="V266" s="25">
        <f>IFERROR(VLOOKUP(BCP_Soles[[#This Row],[destinatario]],CHOOSE({1,2},Clientes_Proveedores[Razon Social],Clientes_Proveedores[Ruc / Dni]),2,0),"")</f>
        <v>20558226979</v>
      </c>
      <c r="W266" s="25" t="s">
        <v>1345</v>
      </c>
      <c r="X266" s="25" t="s">
        <v>1504</v>
      </c>
      <c r="Y266" s="25"/>
      <c r="Z266" s="75"/>
      <c r="AA266" s="3" t="str">
        <f>IF(BCP_Soles[[#This Row],[fecha]]&gt;0,TEXT(BCP_Soles[[#This Row],[fecha]],"mmmm"),0)</f>
        <v>Enero</v>
      </c>
    </row>
    <row r="267" spans="1:27" ht="24" x14ac:dyDescent="0.3">
      <c r="A267" s="2">
        <f>IF(BCP_Soles[[#This Row],[tipo_registro]]="R",COUNTIFS($C$1:$C266,"R")+1,A266)</f>
        <v>163</v>
      </c>
      <c r="B267" s="19" t="str">
        <f t="shared" si="26"/>
        <v>B-BCP - Soles</v>
      </c>
      <c r="C267" s="3" t="s">
        <v>1330</v>
      </c>
      <c r="D267" s="14">
        <v>45677</v>
      </c>
      <c r="E267" s="5" t="s">
        <v>827</v>
      </c>
      <c r="F267" s="5" t="s">
        <v>1303</v>
      </c>
      <c r="G267" s="6" t="s">
        <v>425</v>
      </c>
      <c r="H267" s="6" t="s">
        <v>143</v>
      </c>
      <c r="I267" s="6">
        <v>1</v>
      </c>
      <c r="J267" s="6">
        <v>12025</v>
      </c>
      <c r="K267" s="7" t="s">
        <v>1630</v>
      </c>
      <c r="L267" s="8">
        <v>3357727</v>
      </c>
      <c r="M267" s="8" t="str">
        <f t="shared" si="27"/>
        <v>PEN</v>
      </c>
      <c r="N267" s="13"/>
      <c r="O267" s="13">
        <v>225</v>
      </c>
      <c r="P267" s="3">
        <f t="shared" si="28"/>
        <v>225</v>
      </c>
      <c r="Q267" s="3">
        <f t="shared" si="29"/>
        <v>0</v>
      </c>
      <c r="R267" s="3">
        <f t="shared" si="25"/>
        <v>7325.909999999998</v>
      </c>
      <c r="S267" s="24" t="s">
        <v>1334</v>
      </c>
      <c r="T267" s="24" t="s">
        <v>1334</v>
      </c>
      <c r="U267" s="53"/>
      <c r="V267" s="25">
        <f>IFERROR(VLOOKUP(BCP_Soles[[#This Row],[destinatario]],CHOOSE({1,2},Clientes_Proveedores[Razon Social],Clientes_Proveedores[Ruc / Dni]),2,0),"")</f>
        <v>20558226979</v>
      </c>
      <c r="W267" s="25"/>
      <c r="X267" s="25"/>
      <c r="Y267" s="25"/>
      <c r="Z267" s="75"/>
      <c r="AA267" s="3" t="str">
        <f>IF(BCP_Soles[[#This Row],[fecha]]&gt;0,TEXT(BCP_Soles[[#This Row],[fecha]],"mmmm"),0)</f>
        <v>Enero</v>
      </c>
    </row>
    <row r="268" spans="1:27" ht="24" x14ac:dyDescent="0.3">
      <c r="A268" s="2">
        <f>IF(BCP_Soles[[#This Row],[tipo_registro]]="R",COUNTIFS($C$1:$C267,"R")+1,A267)</f>
        <v>164</v>
      </c>
      <c r="B268" s="19" t="str">
        <f t="shared" si="26"/>
        <v>B-BCP - Soles</v>
      </c>
      <c r="C268" s="3" t="s">
        <v>1330</v>
      </c>
      <c r="D268" s="14">
        <v>45678</v>
      </c>
      <c r="E268" s="5" t="s">
        <v>1631</v>
      </c>
      <c r="F268" s="5" t="s">
        <v>1303</v>
      </c>
      <c r="G268" s="6" t="s">
        <v>425</v>
      </c>
      <c r="H268" s="6"/>
      <c r="I268" s="6"/>
      <c r="J268" s="6"/>
      <c r="K268" s="7" t="s">
        <v>1356</v>
      </c>
      <c r="L268" s="8">
        <v>1156483</v>
      </c>
      <c r="M268" s="8" t="str">
        <f t="shared" si="27"/>
        <v>PEN</v>
      </c>
      <c r="N268" s="13"/>
      <c r="O268" s="13">
        <v>200</v>
      </c>
      <c r="P268" s="3">
        <f t="shared" si="28"/>
        <v>200</v>
      </c>
      <c r="Q268" s="3">
        <f t="shared" si="29"/>
        <v>0</v>
      </c>
      <c r="R268" s="3">
        <f t="shared" si="25"/>
        <v>7525.909999999998</v>
      </c>
      <c r="S268" s="24" t="s">
        <v>1334</v>
      </c>
      <c r="T268" s="24" t="s">
        <v>1334</v>
      </c>
      <c r="U268" s="53"/>
      <c r="V268" s="25">
        <f>IFERROR(VLOOKUP(BCP_Soles[[#This Row],[destinatario]],CHOOSE({1,2},Clientes_Proveedores[Razon Social],Clientes_Proveedores[Ruc / Dni]),2,0),"")</f>
        <v>20558226979</v>
      </c>
      <c r="W268" s="25" t="s">
        <v>1345</v>
      </c>
      <c r="X268" s="25" t="s">
        <v>1632</v>
      </c>
      <c r="Y268" s="25"/>
      <c r="Z268" s="75"/>
      <c r="AA268" s="3" t="str">
        <f>IF(BCP_Soles[[#This Row],[fecha]]&gt;0,TEXT(BCP_Soles[[#This Row],[fecha]],"mmmm"),0)</f>
        <v>Enero</v>
      </c>
    </row>
    <row r="269" spans="1:27" ht="24" x14ac:dyDescent="0.3">
      <c r="A269" s="2">
        <f>IF(BCP_Soles[[#This Row],[tipo_registro]]="R",COUNTIFS($C$1:$C268,"R")+1,A268)</f>
        <v>165</v>
      </c>
      <c r="B269" s="19" t="str">
        <f t="shared" si="26"/>
        <v>B-BCP - Soles</v>
      </c>
      <c r="C269" s="3" t="s">
        <v>1330</v>
      </c>
      <c r="D269" s="14">
        <v>45678</v>
      </c>
      <c r="E269" s="5" t="s">
        <v>1633</v>
      </c>
      <c r="F269" s="5" t="s">
        <v>1303</v>
      </c>
      <c r="G269" s="6" t="s">
        <v>425</v>
      </c>
      <c r="H269" s="6"/>
      <c r="I269" s="6"/>
      <c r="J269" s="6"/>
      <c r="K269" s="7" t="s">
        <v>1634</v>
      </c>
      <c r="L269" s="8">
        <v>2477389</v>
      </c>
      <c r="M269" s="8" t="str">
        <f t="shared" si="27"/>
        <v>PEN</v>
      </c>
      <c r="N269" s="13"/>
      <c r="O269" s="13">
        <v>16.600000000000001</v>
      </c>
      <c r="P269" s="3">
        <f t="shared" si="28"/>
        <v>16.600000000000001</v>
      </c>
      <c r="Q269" s="3">
        <f t="shared" si="29"/>
        <v>0</v>
      </c>
      <c r="R269" s="3">
        <f t="shared" si="25"/>
        <v>7542.5099999999984</v>
      </c>
      <c r="S269" s="24"/>
      <c r="T269" s="24"/>
      <c r="U269" s="53"/>
      <c r="V269" s="25">
        <f>IFERROR(VLOOKUP(BCP_Soles[[#This Row],[destinatario]],CHOOSE({1,2},Clientes_Proveedores[Razon Social],Clientes_Proveedores[Ruc / Dni]),2,0),"")</f>
        <v>20558226979</v>
      </c>
      <c r="W269" s="25" t="s">
        <v>1345</v>
      </c>
      <c r="X269" s="25"/>
      <c r="Y269" s="25"/>
      <c r="Z269" s="75"/>
      <c r="AA269" s="3" t="str">
        <f>IF(BCP_Soles[[#This Row],[fecha]]&gt;0,TEXT(BCP_Soles[[#This Row],[fecha]],"mmmm"),0)</f>
        <v>Enero</v>
      </c>
    </row>
    <row r="270" spans="1:27" x14ac:dyDescent="0.3">
      <c r="A270" s="2">
        <f>IF(BCP_Soles[[#This Row],[tipo_registro]]="R",COUNTIFS($C$1:$C269,"R")+1,A269)</f>
        <v>166</v>
      </c>
      <c r="B270" s="19" t="str">
        <f t="shared" si="26"/>
        <v>B-BCP - Soles</v>
      </c>
      <c r="C270" s="3" t="s">
        <v>1330</v>
      </c>
      <c r="D270" s="14">
        <v>45678</v>
      </c>
      <c r="E270" s="5" t="s">
        <v>1335</v>
      </c>
      <c r="F270" s="5" t="s">
        <v>1336</v>
      </c>
      <c r="G270" s="6"/>
      <c r="H270" s="6"/>
      <c r="I270" s="6"/>
      <c r="J270" s="6"/>
      <c r="K270" s="7" t="s">
        <v>1337</v>
      </c>
      <c r="L270" s="8"/>
      <c r="M270" s="8" t="str">
        <f t="shared" si="27"/>
        <v>PEN</v>
      </c>
      <c r="N270" s="13"/>
      <c r="O270" s="13">
        <v>0.1</v>
      </c>
      <c r="P270" s="3">
        <f t="shared" si="28"/>
        <v>0</v>
      </c>
      <c r="Q270" s="3">
        <f t="shared" si="29"/>
        <v>0.1</v>
      </c>
      <c r="R270" s="3">
        <f t="shared" si="25"/>
        <v>7542.409999999998</v>
      </c>
      <c r="S270" s="24"/>
      <c r="T270" s="24" t="s">
        <v>1334</v>
      </c>
      <c r="U270" s="53"/>
      <c r="V270" s="25" t="str">
        <f>IFERROR(VLOOKUP(BCP_Soles[[#This Row],[destinatario]],CHOOSE({1,2},Clientes_Proveedores[Razon Social],Clientes_Proveedores[Ruc / Dni]),2,0),"")</f>
        <v/>
      </c>
      <c r="W270" s="25"/>
      <c r="X270" s="25"/>
      <c r="Y270" s="25"/>
      <c r="Z270" s="75"/>
      <c r="AA270" s="3" t="str">
        <f>IF(BCP_Soles[[#This Row],[fecha]]&gt;0,TEXT(BCP_Soles[[#This Row],[fecha]],"mmmm"),0)</f>
        <v>Enero</v>
      </c>
    </row>
    <row r="271" spans="1:27" ht="24" x14ac:dyDescent="0.3">
      <c r="A271" s="2">
        <f>IF(BCP_Soles[[#This Row],[tipo_registro]]="R",COUNTIFS($C$1:$C270,"R")+1,A270)</f>
        <v>167</v>
      </c>
      <c r="B271" s="19" t="str">
        <f t="shared" si="26"/>
        <v>B-BCP - Soles</v>
      </c>
      <c r="C271" s="3" t="s">
        <v>1330</v>
      </c>
      <c r="D271" s="14">
        <v>45678</v>
      </c>
      <c r="E271" s="5"/>
      <c r="F271" s="5" t="s">
        <v>1336</v>
      </c>
      <c r="G271" s="6"/>
      <c r="H271" s="6"/>
      <c r="I271" s="6"/>
      <c r="J271" s="6"/>
      <c r="K271" s="7" t="s">
        <v>1635</v>
      </c>
      <c r="L271" s="8">
        <v>3921663</v>
      </c>
      <c r="M271" s="8" t="str">
        <f t="shared" si="27"/>
        <v>PEN</v>
      </c>
      <c r="N271" s="13"/>
      <c r="O271" s="13">
        <v>2517.15</v>
      </c>
      <c r="P271" s="3">
        <f t="shared" si="28"/>
        <v>0</v>
      </c>
      <c r="Q271" s="3">
        <f t="shared" si="29"/>
        <v>2517.15</v>
      </c>
      <c r="R271" s="3">
        <f t="shared" si="25"/>
        <v>5025.2599999999984</v>
      </c>
      <c r="S271" s="24"/>
      <c r="T271" s="24"/>
      <c r="U271" s="79" t="s">
        <v>1636</v>
      </c>
      <c r="V271" s="25" t="str">
        <f>IFERROR(VLOOKUP(BCP_Soles[[#This Row],[destinatario]],CHOOSE({1,2},Clientes_Proveedores[Razon Social],Clientes_Proveedores[Ruc / Dni]),2,0),"")</f>
        <v/>
      </c>
      <c r="W271" s="25"/>
      <c r="X271" s="25"/>
      <c r="Y271" s="25"/>
      <c r="Z271" s="75"/>
      <c r="AA271" s="3" t="str">
        <f>IF(BCP_Soles[[#This Row],[fecha]]&gt;0,TEXT(BCP_Soles[[#This Row],[fecha]],"mmmm"),0)</f>
        <v>Enero</v>
      </c>
    </row>
    <row r="272" spans="1:27" ht="24" x14ac:dyDescent="0.3">
      <c r="A272" s="2">
        <f>IF(BCP_Soles[[#This Row],[tipo_registro]]="R",COUNTIFS($C$1:$C271,"R")+1,A271)</f>
        <v>168</v>
      </c>
      <c r="B272" s="19" t="str">
        <f t="shared" si="26"/>
        <v>B-BCP - Soles</v>
      </c>
      <c r="C272" s="3" t="s">
        <v>1330</v>
      </c>
      <c r="D272" s="14">
        <v>45678</v>
      </c>
      <c r="E272" s="5" t="s">
        <v>1338</v>
      </c>
      <c r="F272" s="5" t="s">
        <v>1336</v>
      </c>
      <c r="G272" s="6"/>
      <c r="H272" s="6"/>
      <c r="I272" s="6"/>
      <c r="J272" s="6"/>
      <c r="K272" s="7" t="s">
        <v>1637</v>
      </c>
      <c r="L272" s="8">
        <v>1120093</v>
      </c>
      <c r="M272" s="8" t="str">
        <f t="shared" si="27"/>
        <v>PEN</v>
      </c>
      <c r="N272" s="13"/>
      <c r="O272" s="13">
        <v>1834.6</v>
      </c>
      <c r="P272" s="3">
        <f t="shared" si="28"/>
        <v>0</v>
      </c>
      <c r="Q272" s="3">
        <f t="shared" si="29"/>
        <v>1834.6</v>
      </c>
      <c r="R272" s="3">
        <f t="shared" si="25"/>
        <v>3190.6599999999985</v>
      </c>
      <c r="S272" s="24"/>
      <c r="T272" s="24"/>
      <c r="U272" s="53"/>
      <c r="V272" s="25" t="str">
        <f>IFERROR(VLOOKUP(BCP_Soles[[#This Row],[destinatario]],CHOOSE({1,2},Clientes_Proveedores[Razon Social],Clientes_Proveedores[Ruc / Dni]),2,0),"")</f>
        <v/>
      </c>
      <c r="W272" s="25" t="s">
        <v>1638</v>
      </c>
      <c r="X272" s="25"/>
      <c r="Y272" s="25"/>
      <c r="Z272" s="75"/>
      <c r="AA272" s="3" t="str">
        <f>IF(BCP_Soles[[#This Row],[fecha]]&gt;0,TEXT(BCP_Soles[[#This Row],[fecha]],"mmmm"),0)</f>
        <v>Enero</v>
      </c>
    </row>
    <row r="273" spans="1:27" ht="36" x14ac:dyDescent="0.3">
      <c r="A273" s="2">
        <f>IF(BCP_Soles[[#This Row],[tipo_registro]]="R",COUNTIFS($C$1:$C272,"R")+1,A272)</f>
        <v>169</v>
      </c>
      <c r="B273" s="19" t="str">
        <f t="shared" si="26"/>
        <v>B-BCP - Soles</v>
      </c>
      <c r="C273" s="3" t="s">
        <v>1330</v>
      </c>
      <c r="D273" s="14">
        <v>45678</v>
      </c>
      <c r="E273" s="5" t="s">
        <v>1338</v>
      </c>
      <c r="F273" s="5" t="s">
        <v>1336</v>
      </c>
      <c r="G273" s="6" t="s">
        <v>277</v>
      </c>
      <c r="H273" s="6" t="s">
        <v>68</v>
      </c>
      <c r="I273" s="6" t="s">
        <v>1390</v>
      </c>
      <c r="J273" s="6">
        <v>1545</v>
      </c>
      <c r="K273" s="7" t="s">
        <v>1639</v>
      </c>
      <c r="L273" s="8">
        <v>1194320</v>
      </c>
      <c r="M273" s="8" t="str">
        <f t="shared" si="27"/>
        <v>PEN</v>
      </c>
      <c r="N273" s="13"/>
      <c r="O273" s="13">
        <v>1728</v>
      </c>
      <c r="P273" s="3">
        <f t="shared" si="28"/>
        <v>0</v>
      </c>
      <c r="Q273" s="3">
        <f t="shared" si="29"/>
        <v>1728</v>
      </c>
      <c r="R273" s="3">
        <f t="shared" si="25"/>
        <v>1462.6599999999985</v>
      </c>
      <c r="S273" s="24" t="s">
        <v>1334</v>
      </c>
      <c r="T273" s="24" t="s">
        <v>1334</v>
      </c>
      <c r="U273" s="53"/>
      <c r="V273" s="25">
        <f>IFERROR(VLOOKUP(BCP_Soles[[#This Row],[destinatario]],CHOOSE({1,2},Clientes_Proveedores[Razon Social],Clientes_Proveedores[Ruc / Dni]),2,0),"")</f>
        <v>20429640939</v>
      </c>
      <c r="W273" s="25" t="s">
        <v>1408</v>
      </c>
      <c r="X273" s="25" t="s">
        <v>1640</v>
      </c>
      <c r="Y273" s="25"/>
      <c r="Z273" s="75"/>
      <c r="AA273" s="3" t="str">
        <f>IF(BCP_Soles[[#This Row],[fecha]]&gt;0,TEXT(BCP_Soles[[#This Row],[fecha]],"mmmm"),0)</f>
        <v>Enero</v>
      </c>
    </row>
    <row r="274" spans="1:27" x14ac:dyDescent="0.3">
      <c r="A274" s="2">
        <f>IF(BCP_Soles[[#This Row],[tipo_registro]]="R",COUNTIFS($C$1:$C273,"R")+1,A273)</f>
        <v>170</v>
      </c>
      <c r="B274" s="19" t="str">
        <f t="shared" si="26"/>
        <v>B-BCP - Soles</v>
      </c>
      <c r="C274" s="3" t="s">
        <v>1330</v>
      </c>
      <c r="D274" s="14">
        <v>45678</v>
      </c>
      <c r="E274" s="5" t="s">
        <v>203</v>
      </c>
      <c r="F274" s="5" t="s">
        <v>1303</v>
      </c>
      <c r="G274" s="6" t="s">
        <v>425</v>
      </c>
      <c r="H274" s="6"/>
      <c r="I274" s="6"/>
      <c r="J274" s="6"/>
      <c r="K274" s="7" t="s">
        <v>1641</v>
      </c>
      <c r="L274" s="8">
        <v>2239546</v>
      </c>
      <c r="M274" s="8" t="str">
        <f t="shared" si="27"/>
        <v>PEN</v>
      </c>
      <c r="N274" s="13"/>
      <c r="O274" s="13">
        <v>995.17</v>
      </c>
      <c r="P274" s="3">
        <f t="shared" si="28"/>
        <v>995.17</v>
      </c>
      <c r="Q274" s="3">
        <f t="shared" si="29"/>
        <v>0</v>
      </c>
      <c r="R274" s="3">
        <f t="shared" si="25"/>
        <v>2457.8299999999986</v>
      </c>
      <c r="S274" s="24" t="s">
        <v>1334</v>
      </c>
      <c r="T274" s="24" t="s">
        <v>1334</v>
      </c>
      <c r="U274" s="53"/>
      <c r="V274" s="25">
        <f>IFERROR(VLOOKUP(BCP_Soles[[#This Row],[destinatario]],CHOOSE({1,2},Clientes_Proveedores[Razon Social],Clientes_Proveedores[Ruc / Dni]),2,0),"")</f>
        <v>20558226979</v>
      </c>
      <c r="W274" s="25" t="s">
        <v>1345</v>
      </c>
      <c r="X274" s="25" t="s">
        <v>1642</v>
      </c>
      <c r="Y274" s="25"/>
      <c r="Z274" s="75"/>
      <c r="AA274" s="3" t="str">
        <f>IF(BCP_Soles[[#This Row],[fecha]]&gt;0,TEXT(BCP_Soles[[#This Row],[fecha]],"mmmm"),0)</f>
        <v>Enero</v>
      </c>
    </row>
    <row r="275" spans="1:27" x14ac:dyDescent="0.3">
      <c r="A275" s="2">
        <f>IF(BCP_Soles[[#This Row],[tipo_registro]]="R",COUNTIFS($C$1:$C274,"R")+1,A274)</f>
        <v>171</v>
      </c>
      <c r="B275" s="19" t="str">
        <f t="shared" si="26"/>
        <v>B-BCP - Soles</v>
      </c>
      <c r="C275" s="3" t="s">
        <v>1330</v>
      </c>
      <c r="D275" s="14">
        <v>45679</v>
      </c>
      <c r="E275" s="5"/>
      <c r="F275" s="5" t="s">
        <v>1303</v>
      </c>
      <c r="G275" s="6" t="s">
        <v>425</v>
      </c>
      <c r="H275" s="6"/>
      <c r="I275" s="6"/>
      <c r="J275" s="6"/>
      <c r="K275" s="7" t="s">
        <v>1356</v>
      </c>
      <c r="L275" s="8">
        <v>1135862</v>
      </c>
      <c r="M275" s="8" t="str">
        <f t="shared" si="27"/>
        <v>PEN</v>
      </c>
      <c r="N275" s="13"/>
      <c r="O275" s="13">
        <v>1439</v>
      </c>
      <c r="P275" s="3">
        <f t="shared" si="28"/>
        <v>1439</v>
      </c>
      <c r="Q275" s="3">
        <f t="shared" si="29"/>
        <v>0</v>
      </c>
      <c r="R275" s="3">
        <f t="shared" si="25"/>
        <v>3896.8299999999986</v>
      </c>
      <c r="S275" s="24" t="s">
        <v>1334</v>
      </c>
      <c r="T275" s="24" t="s">
        <v>1334</v>
      </c>
      <c r="U275" s="53"/>
      <c r="V275" s="25">
        <f>IFERROR(VLOOKUP(BCP_Soles[[#This Row],[destinatario]],CHOOSE({1,2},Clientes_Proveedores[Razon Social],Clientes_Proveedores[Ruc / Dni]),2,0),"")</f>
        <v>20558226979</v>
      </c>
      <c r="W275" s="25" t="s">
        <v>1345</v>
      </c>
      <c r="X275" s="25"/>
      <c r="Y275" s="25"/>
      <c r="Z275" s="75"/>
      <c r="AA275" s="3" t="str">
        <f>IF(BCP_Soles[[#This Row],[fecha]]&gt;0,TEXT(BCP_Soles[[#This Row],[fecha]],"mmmm"),0)</f>
        <v>Enero</v>
      </c>
    </row>
    <row r="276" spans="1:27" ht="24" x14ac:dyDescent="0.3">
      <c r="A276" s="2">
        <f>IF(BCP_Soles[[#This Row],[tipo_registro]]="R",COUNTIFS($C$1:$C275,"R")+1,A275)</f>
        <v>171</v>
      </c>
      <c r="B276" s="19" t="str">
        <f t="shared" si="26"/>
        <v>B-BCP - Soles</v>
      </c>
      <c r="C276" s="3" t="s">
        <v>1352</v>
      </c>
      <c r="D276" s="14">
        <v>45679</v>
      </c>
      <c r="E276" s="5" t="s">
        <v>536</v>
      </c>
      <c r="F276" s="5" t="s">
        <v>1303</v>
      </c>
      <c r="G276" s="6" t="s">
        <v>425</v>
      </c>
      <c r="H276" s="6" t="s">
        <v>119</v>
      </c>
      <c r="I276" s="6">
        <v>1</v>
      </c>
      <c r="J276" s="6">
        <v>4097</v>
      </c>
      <c r="K276" s="7" t="s">
        <v>1356</v>
      </c>
      <c r="L276" s="8">
        <v>1135862</v>
      </c>
      <c r="M276" s="8" t="str">
        <f t="shared" si="27"/>
        <v>PEN</v>
      </c>
      <c r="N276" s="13">
        <v>255</v>
      </c>
      <c r="O276" s="13"/>
      <c r="P276" s="3">
        <f t="shared" si="28"/>
        <v>0</v>
      </c>
      <c r="Q276" s="3">
        <f t="shared" si="29"/>
        <v>0</v>
      </c>
      <c r="R276" s="3">
        <f t="shared" si="25"/>
        <v>3896.8299999999986</v>
      </c>
      <c r="S276" s="24" t="s">
        <v>1334</v>
      </c>
      <c r="T276" s="24" t="s">
        <v>1334</v>
      </c>
      <c r="U276" s="53"/>
      <c r="V276" s="25">
        <f>IFERROR(VLOOKUP(BCP_Soles[[#This Row],[destinatario]],CHOOSE({1,2},Clientes_Proveedores[Razon Social],Clientes_Proveedores[Ruc / Dni]),2,0),"")</f>
        <v>20558226979</v>
      </c>
      <c r="W276" s="25" t="s">
        <v>1345</v>
      </c>
      <c r="X276" s="25" t="s">
        <v>1643</v>
      </c>
      <c r="Y276" s="25"/>
      <c r="Z276" s="75"/>
      <c r="AA276" s="3" t="str">
        <f>IF(BCP_Soles[[#This Row],[fecha]]&gt;0,TEXT(BCP_Soles[[#This Row],[fecha]],"mmmm"),0)</f>
        <v>Enero</v>
      </c>
    </row>
    <row r="277" spans="1:27" x14ac:dyDescent="0.3">
      <c r="A277" s="2">
        <f>IF(BCP_Soles[[#This Row],[tipo_registro]]="R",COUNTIFS($C$1:$C276,"R")+1,A276)</f>
        <v>171</v>
      </c>
      <c r="B277" s="19" t="str">
        <f t="shared" si="26"/>
        <v>B-BCP - Soles</v>
      </c>
      <c r="C277" s="3" t="s">
        <v>1352</v>
      </c>
      <c r="D277" s="14">
        <v>45679</v>
      </c>
      <c r="E277" s="5" t="s">
        <v>1644</v>
      </c>
      <c r="F277" s="5" t="s">
        <v>1303</v>
      </c>
      <c r="G277" s="6" t="s">
        <v>425</v>
      </c>
      <c r="H277" s="6" t="s">
        <v>119</v>
      </c>
      <c r="I277" s="6">
        <v>1</v>
      </c>
      <c r="J277" s="6">
        <v>1184</v>
      </c>
      <c r="K277" s="7" t="s">
        <v>1356</v>
      </c>
      <c r="L277" s="8">
        <v>1135862</v>
      </c>
      <c r="M277" s="8" t="str">
        <f t="shared" si="27"/>
        <v>PEN</v>
      </c>
      <c r="N277" s="13">
        <v>1184</v>
      </c>
      <c r="O277" s="13"/>
      <c r="P277" s="3">
        <f t="shared" si="28"/>
        <v>0</v>
      </c>
      <c r="Q277" s="3">
        <f t="shared" si="29"/>
        <v>0</v>
      </c>
      <c r="R277" s="3">
        <f t="shared" si="25"/>
        <v>3896.8299999999986</v>
      </c>
      <c r="S277" s="24" t="s">
        <v>1334</v>
      </c>
      <c r="T277" s="24" t="s">
        <v>1334</v>
      </c>
      <c r="U277" s="53"/>
      <c r="V277" s="25">
        <f>IFERROR(VLOOKUP(BCP_Soles[[#This Row],[destinatario]],CHOOSE({1,2},Clientes_Proveedores[Razon Social],Clientes_Proveedores[Ruc / Dni]),2,0),"")</f>
        <v>20558226979</v>
      </c>
      <c r="W277" s="25" t="s">
        <v>1345</v>
      </c>
      <c r="X277" s="25" t="s">
        <v>1645</v>
      </c>
      <c r="Y277" s="25"/>
      <c r="Z277" s="75"/>
      <c r="AA277" s="3" t="str">
        <f>IF(BCP_Soles[[#This Row],[fecha]]&gt;0,TEXT(BCP_Soles[[#This Row],[fecha]],"mmmm"),0)</f>
        <v>Enero</v>
      </c>
    </row>
    <row r="278" spans="1:27" x14ac:dyDescent="0.3">
      <c r="A278" s="2">
        <f>IF(BCP_Soles[[#This Row],[tipo_registro]]="R",COUNTIFS($C$1:$C277,"R")+1,A277)</f>
        <v>172</v>
      </c>
      <c r="B278" s="19" t="str">
        <f t="shared" si="26"/>
        <v>B-BCP - Soles</v>
      </c>
      <c r="C278" s="3" t="s">
        <v>1330</v>
      </c>
      <c r="D278" s="14">
        <v>45679</v>
      </c>
      <c r="E278" s="5" t="s">
        <v>1345</v>
      </c>
      <c r="F278" s="5" t="s">
        <v>1303</v>
      </c>
      <c r="G278" s="6" t="s">
        <v>425</v>
      </c>
      <c r="H278" s="6"/>
      <c r="I278" s="6"/>
      <c r="J278" s="6"/>
      <c r="K278" s="7" t="s">
        <v>1634</v>
      </c>
      <c r="L278" s="8">
        <v>2920368</v>
      </c>
      <c r="M278" s="8" t="str">
        <f t="shared" si="27"/>
        <v>PEN</v>
      </c>
      <c r="N278" s="13"/>
      <c r="O278" s="13">
        <v>11000</v>
      </c>
      <c r="P278" s="3">
        <f t="shared" si="28"/>
        <v>11000</v>
      </c>
      <c r="Q278" s="3">
        <f t="shared" si="29"/>
        <v>0</v>
      </c>
      <c r="R278" s="3">
        <f t="shared" si="25"/>
        <v>14896.829999999998</v>
      </c>
      <c r="S278" s="24"/>
      <c r="T278" s="24"/>
      <c r="U278" s="53"/>
      <c r="V278" s="25">
        <f>IFERROR(VLOOKUP(BCP_Soles[[#This Row],[destinatario]],CHOOSE({1,2},Clientes_Proveedores[Razon Social],Clientes_Proveedores[Ruc / Dni]),2,0),"")</f>
        <v>20558226979</v>
      </c>
      <c r="W278" s="25" t="s">
        <v>1345</v>
      </c>
      <c r="X278" s="25"/>
      <c r="Y278" s="25"/>
      <c r="Z278" s="75"/>
      <c r="AA278" s="3" t="str">
        <f>IF(BCP_Soles[[#This Row],[fecha]]&gt;0,TEXT(BCP_Soles[[#This Row],[fecha]],"mmmm"),0)</f>
        <v>Enero</v>
      </c>
    </row>
    <row r="279" spans="1:27" ht="36" x14ac:dyDescent="0.3">
      <c r="A279" s="2">
        <f>IF(BCP_Soles[[#This Row],[tipo_registro]]="R",COUNTIFS($C$1:$C278,"R")+1,A278)</f>
        <v>173</v>
      </c>
      <c r="B279" s="19" t="str">
        <f t="shared" si="26"/>
        <v>B-BCP - Soles</v>
      </c>
      <c r="C279" s="3" t="s">
        <v>1330</v>
      </c>
      <c r="D279" s="14">
        <v>45679</v>
      </c>
      <c r="E279" s="5" t="s">
        <v>237</v>
      </c>
      <c r="F279" s="5" t="s">
        <v>1303</v>
      </c>
      <c r="G279" s="6" t="s">
        <v>425</v>
      </c>
      <c r="H279" s="6"/>
      <c r="I279" s="6"/>
      <c r="J279" s="6"/>
      <c r="K279" s="7" t="s">
        <v>1646</v>
      </c>
      <c r="L279" s="8">
        <v>4261247</v>
      </c>
      <c r="M279" s="8" t="str">
        <f t="shared" si="27"/>
        <v>PEN</v>
      </c>
      <c r="N279" s="13"/>
      <c r="O279" s="13">
        <v>4347.66</v>
      </c>
      <c r="P279" s="3">
        <f t="shared" si="28"/>
        <v>4347.66</v>
      </c>
      <c r="Q279" s="3">
        <f t="shared" si="29"/>
        <v>0</v>
      </c>
      <c r="R279" s="3">
        <f t="shared" si="25"/>
        <v>19244.489999999998</v>
      </c>
      <c r="S279" s="24" t="s">
        <v>1334</v>
      </c>
      <c r="T279" s="24" t="s">
        <v>1334</v>
      </c>
      <c r="U279" s="53"/>
      <c r="V279" s="25">
        <f>IFERROR(VLOOKUP(BCP_Soles[[#This Row],[destinatario]],CHOOSE({1,2},Clientes_Proveedores[Razon Social],Clientes_Proveedores[Ruc / Dni]),2,0),"")</f>
        <v>20558226979</v>
      </c>
      <c r="W279" s="25" t="s">
        <v>1345</v>
      </c>
      <c r="X279" s="25" t="s">
        <v>1647</v>
      </c>
      <c r="Y279" s="25"/>
      <c r="Z279" s="75"/>
      <c r="AA279" s="3" t="str">
        <f>IF(BCP_Soles[[#This Row],[fecha]]&gt;0,TEXT(BCP_Soles[[#This Row],[fecha]],"mmmm"),0)</f>
        <v>Enero</v>
      </c>
    </row>
    <row r="280" spans="1:27" ht="36" x14ac:dyDescent="0.3">
      <c r="A280" s="2">
        <f>IF(BCP_Soles[[#This Row],[tipo_registro]]="R",COUNTIFS($C$1:$C279,"R")+1,A279)</f>
        <v>174</v>
      </c>
      <c r="B280" s="19" t="str">
        <f t="shared" si="26"/>
        <v>B-BCP - Soles</v>
      </c>
      <c r="C280" s="3" t="s">
        <v>1330</v>
      </c>
      <c r="D280" s="14">
        <v>45679</v>
      </c>
      <c r="E280" s="5" t="s">
        <v>1338</v>
      </c>
      <c r="F280" s="5" t="s">
        <v>1336</v>
      </c>
      <c r="G280" s="6" t="s">
        <v>588</v>
      </c>
      <c r="H280" s="6" t="s">
        <v>68</v>
      </c>
      <c r="I280" s="6" t="s">
        <v>1376</v>
      </c>
      <c r="J280" s="6">
        <v>322</v>
      </c>
      <c r="K280" s="7" t="s">
        <v>1648</v>
      </c>
      <c r="L280" s="8">
        <v>1054951</v>
      </c>
      <c r="M280" s="8" t="str">
        <f t="shared" si="27"/>
        <v>PEN</v>
      </c>
      <c r="N280" s="13"/>
      <c r="O280" s="13">
        <v>70.680000000000007</v>
      </c>
      <c r="P280" s="3">
        <f t="shared" si="28"/>
        <v>0</v>
      </c>
      <c r="Q280" s="3">
        <f t="shared" si="29"/>
        <v>70.680000000000007</v>
      </c>
      <c r="R280" s="3">
        <f t="shared" si="25"/>
        <v>19173.809999999998</v>
      </c>
      <c r="S280" s="24" t="s">
        <v>1334</v>
      </c>
      <c r="T280" s="24" t="s">
        <v>1334</v>
      </c>
      <c r="U280" s="53"/>
      <c r="V280" s="25">
        <f>IFERROR(VLOOKUP(BCP_Soles[[#This Row],[destinatario]],CHOOSE({1,2},Clientes_Proveedores[Razon Social],Clientes_Proveedores[Ruc / Dni]),2,0),"")</f>
        <v>20609368773</v>
      </c>
      <c r="W280" s="25" t="s">
        <v>1439</v>
      </c>
      <c r="X280" s="25" t="s">
        <v>1649</v>
      </c>
      <c r="Y280" s="25"/>
      <c r="Z280" s="75"/>
      <c r="AA280" s="3" t="str">
        <f>IF(BCP_Soles[[#This Row],[fecha]]&gt;0,TEXT(BCP_Soles[[#This Row],[fecha]],"mmmm"),0)</f>
        <v>Enero</v>
      </c>
    </row>
    <row r="281" spans="1:27" ht="48" x14ac:dyDescent="0.3">
      <c r="A281" s="2">
        <f>IF(BCP_Soles[[#This Row],[tipo_registro]]="R",COUNTIFS($C$1:$C280,"R")+1,A280)</f>
        <v>175</v>
      </c>
      <c r="B281" s="19" t="str">
        <f t="shared" si="26"/>
        <v>B-BCP - Soles</v>
      </c>
      <c r="C281" s="3" t="s">
        <v>1330</v>
      </c>
      <c r="D281" s="14">
        <v>45679</v>
      </c>
      <c r="E281" s="5" t="s">
        <v>1338</v>
      </c>
      <c r="F281" s="5" t="s">
        <v>1336</v>
      </c>
      <c r="G281" s="6" t="s">
        <v>501</v>
      </c>
      <c r="H281" s="6" t="s">
        <v>68</v>
      </c>
      <c r="I281" s="6" t="s">
        <v>1650</v>
      </c>
      <c r="J281" s="6">
        <v>6228</v>
      </c>
      <c r="K281" s="7" t="s">
        <v>1651</v>
      </c>
      <c r="L281" s="8">
        <v>1146153</v>
      </c>
      <c r="M281" s="8" t="str">
        <f t="shared" si="27"/>
        <v>PEN</v>
      </c>
      <c r="N281" s="13"/>
      <c r="O281" s="13">
        <v>236.83</v>
      </c>
      <c r="P281" s="3">
        <f t="shared" si="28"/>
        <v>0</v>
      </c>
      <c r="Q281" s="3">
        <f t="shared" si="29"/>
        <v>236.83</v>
      </c>
      <c r="R281" s="3">
        <f t="shared" si="25"/>
        <v>18936.979999999996</v>
      </c>
      <c r="S281" s="24" t="s">
        <v>1334</v>
      </c>
      <c r="T281" s="24" t="s">
        <v>1334</v>
      </c>
      <c r="U281" s="53"/>
      <c r="V281" s="25">
        <f>IFERROR(VLOOKUP(BCP_Soles[[#This Row],[destinatario]],CHOOSE({1,2},Clientes_Proveedores[Razon Social],Clientes_Proveedores[Ruc / Dni]),2,0),"")</f>
        <v>20602978274</v>
      </c>
      <c r="W281" s="25" t="s">
        <v>1528</v>
      </c>
      <c r="X281" s="25" t="s">
        <v>1652</v>
      </c>
      <c r="Y281" s="25"/>
      <c r="Z281" s="75"/>
      <c r="AA281" s="3" t="str">
        <f>IF(BCP_Soles[[#This Row],[fecha]]&gt;0,TEXT(BCP_Soles[[#This Row],[fecha]],"mmmm"),0)</f>
        <v>Enero</v>
      </c>
    </row>
    <row r="282" spans="1:27" ht="48" x14ac:dyDescent="0.3">
      <c r="A282" s="2">
        <f>IF(BCP_Soles[[#This Row],[tipo_registro]]="R",COUNTIFS($C$1:$C281,"R")+1,A281)</f>
        <v>176</v>
      </c>
      <c r="B282" s="19" t="str">
        <f t="shared" si="26"/>
        <v>B-BCP - Soles</v>
      </c>
      <c r="C282" s="3" t="s">
        <v>1330</v>
      </c>
      <c r="D282" s="14">
        <v>45679</v>
      </c>
      <c r="E282" s="5" t="s">
        <v>1338</v>
      </c>
      <c r="F282" s="5" t="s">
        <v>1336</v>
      </c>
      <c r="G282" s="6" t="s">
        <v>501</v>
      </c>
      <c r="H282" s="6" t="s">
        <v>68</v>
      </c>
      <c r="I282" s="6" t="s">
        <v>1526</v>
      </c>
      <c r="J282" s="6">
        <v>9164</v>
      </c>
      <c r="K282" s="7" t="s">
        <v>1653</v>
      </c>
      <c r="L282" s="8">
        <v>1104224</v>
      </c>
      <c r="M282" s="8" t="str">
        <f t="shared" si="27"/>
        <v>PEN</v>
      </c>
      <c r="N282" s="13"/>
      <c r="O282" s="13">
        <v>274.05</v>
      </c>
      <c r="P282" s="3">
        <f t="shared" si="28"/>
        <v>0</v>
      </c>
      <c r="Q282" s="3">
        <f t="shared" si="29"/>
        <v>274.05</v>
      </c>
      <c r="R282" s="3">
        <f t="shared" si="25"/>
        <v>18662.929999999997</v>
      </c>
      <c r="S282" s="24" t="s">
        <v>1334</v>
      </c>
      <c r="T282" s="24" t="s">
        <v>1334</v>
      </c>
      <c r="U282" s="53"/>
      <c r="V282" s="25">
        <f>IFERROR(VLOOKUP(BCP_Soles[[#This Row],[destinatario]],CHOOSE({1,2},Clientes_Proveedores[Razon Social],Clientes_Proveedores[Ruc / Dni]),2,0),"")</f>
        <v>20602978274</v>
      </c>
      <c r="W282" s="25" t="s">
        <v>1528</v>
      </c>
      <c r="X282" s="25" t="s">
        <v>1654</v>
      </c>
      <c r="Y282" s="25"/>
      <c r="Z282" s="75"/>
      <c r="AA282" s="3" t="str">
        <f>IF(BCP_Soles[[#This Row],[fecha]]&gt;0,TEXT(BCP_Soles[[#This Row],[fecha]],"mmmm"),0)</f>
        <v>Enero</v>
      </c>
    </row>
    <row r="283" spans="1:27" ht="24" x14ac:dyDescent="0.3">
      <c r="A283" s="2">
        <f>IF(BCP_Soles[[#This Row],[tipo_registro]]="R",COUNTIFS($C$1:$C282,"R")+1,A282)</f>
        <v>177</v>
      </c>
      <c r="B283" s="19" t="str">
        <f t="shared" si="26"/>
        <v>B-BCP - Soles</v>
      </c>
      <c r="C283" s="3" t="s">
        <v>1330</v>
      </c>
      <c r="D283" s="14">
        <v>45679</v>
      </c>
      <c r="E283" s="5" t="s">
        <v>1338</v>
      </c>
      <c r="F283" s="5" t="s">
        <v>1336</v>
      </c>
      <c r="G283" s="6" t="s">
        <v>708</v>
      </c>
      <c r="H283" s="6" t="s">
        <v>68</v>
      </c>
      <c r="I283" s="6" t="s">
        <v>1655</v>
      </c>
      <c r="J283" s="6">
        <v>268720</v>
      </c>
      <c r="K283" s="7" t="s">
        <v>1656</v>
      </c>
      <c r="L283" s="8">
        <v>96378</v>
      </c>
      <c r="M283" s="8" t="str">
        <f t="shared" si="27"/>
        <v>PEN</v>
      </c>
      <c r="N283" s="13"/>
      <c r="O283" s="13">
        <v>548.70000000000005</v>
      </c>
      <c r="P283" s="3">
        <f t="shared" si="28"/>
        <v>0</v>
      </c>
      <c r="Q283" s="3">
        <f t="shared" si="29"/>
        <v>548.70000000000005</v>
      </c>
      <c r="R283" s="3">
        <f t="shared" si="25"/>
        <v>18114.229999999996</v>
      </c>
      <c r="S283" s="24" t="s">
        <v>1334</v>
      </c>
      <c r="T283" s="24" t="s">
        <v>1334</v>
      </c>
      <c r="U283" s="53"/>
      <c r="V283" s="25">
        <f>IFERROR(VLOOKUP(BCP_Soles[[#This Row],[destinatario]],CHOOSE({1,2},Clientes_Proveedores[Razon Social],Clientes_Proveedores[Ruc / Dni]),2,0),"")</f>
        <v>20467534026</v>
      </c>
      <c r="W283" s="25" t="s">
        <v>1657</v>
      </c>
      <c r="X283" s="25" t="s">
        <v>1658</v>
      </c>
      <c r="Y283" s="25"/>
      <c r="Z283" s="75"/>
      <c r="AA283" s="3" t="str">
        <f>IF(BCP_Soles[[#This Row],[fecha]]&gt;0,TEXT(BCP_Soles[[#This Row],[fecha]],"mmmm"),0)</f>
        <v>Enero</v>
      </c>
    </row>
    <row r="284" spans="1:27" ht="24" x14ac:dyDescent="0.3">
      <c r="A284" s="2">
        <f>IF(BCP_Soles[[#This Row],[tipo_registro]]="R",COUNTIFS($C$1:$C283,"R")+1,A283)</f>
        <v>178</v>
      </c>
      <c r="B284" s="19" t="str">
        <f t="shared" si="26"/>
        <v>B-BCP - Soles</v>
      </c>
      <c r="C284" s="3" t="s">
        <v>1330</v>
      </c>
      <c r="D284" s="14">
        <v>45679</v>
      </c>
      <c r="E284" s="5" t="s">
        <v>1338</v>
      </c>
      <c r="F284" s="5" t="s">
        <v>1336</v>
      </c>
      <c r="G284" s="6" t="s">
        <v>708</v>
      </c>
      <c r="H284" s="6"/>
      <c r="I284" s="6"/>
      <c r="J284" s="6"/>
      <c r="K284" s="7" t="s">
        <v>1659</v>
      </c>
      <c r="L284" s="8">
        <v>146337</v>
      </c>
      <c r="M284" s="8" t="str">
        <f t="shared" si="27"/>
        <v>PEN</v>
      </c>
      <c r="N284" s="13"/>
      <c r="O284" s="13">
        <v>1091.42</v>
      </c>
      <c r="P284" s="3">
        <f t="shared" si="28"/>
        <v>0</v>
      </c>
      <c r="Q284" s="3">
        <f t="shared" si="29"/>
        <v>1091.42</v>
      </c>
      <c r="R284" s="3">
        <f t="shared" si="25"/>
        <v>17022.809999999998</v>
      </c>
      <c r="S284" s="24" t="s">
        <v>1334</v>
      </c>
      <c r="T284" s="24" t="s">
        <v>1334</v>
      </c>
      <c r="U284" s="53"/>
      <c r="V284" s="25">
        <f>IFERROR(VLOOKUP(BCP_Soles[[#This Row],[destinatario]],CHOOSE({1,2},Clientes_Proveedores[Razon Social],Clientes_Proveedores[Ruc / Dni]),2,0),"")</f>
        <v>20467534026</v>
      </c>
      <c r="W284" s="25" t="s">
        <v>1657</v>
      </c>
      <c r="X284" s="25" t="s">
        <v>1660</v>
      </c>
      <c r="Y284" s="25"/>
      <c r="Z284" s="75"/>
      <c r="AA284" s="3" t="str">
        <f>IF(BCP_Soles[[#This Row],[fecha]]&gt;0,TEXT(BCP_Soles[[#This Row],[fecha]],"mmmm"),0)</f>
        <v>Enero</v>
      </c>
    </row>
    <row r="285" spans="1:27" ht="24" x14ac:dyDescent="0.3">
      <c r="A285" s="2">
        <f>IF(BCP_Soles[[#This Row],[tipo_registro]]="R",COUNTIFS($C$1:$C284,"R")+1,A284)</f>
        <v>178</v>
      </c>
      <c r="B285" s="19" t="str">
        <f>"B-BCP - Soles"</f>
        <v>B-BCP - Soles</v>
      </c>
      <c r="C285" s="3" t="s">
        <v>1352</v>
      </c>
      <c r="D285" s="14">
        <v>45679</v>
      </c>
      <c r="E285" s="5" t="s">
        <v>1338</v>
      </c>
      <c r="F285" s="5" t="s">
        <v>1336</v>
      </c>
      <c r="G285" s="6" t="s">
        <v>708</v>
      </c>
      <c r="H285" s="6" t="s">
        <v>106</v>
      </c>
      <c r="I285" s="6" t="s">
        <v>1661</v>
      </c>
      <c r="J285" s="6">
        <v>513808883</v>
      </c>
      <c r="K285" s="7" t="s">
        <v>1659</v>
      </c>
      <c r="L285" s="8">
        <v>146337</v>
      </c>
      <c r="M285" s="8" t="str">
        <f>"PEN"</f>
        <v>PEN</v>
      </c>
      <c r="N285" s="13">
        <v>798.2</v>
      </c>
      <c r="O285" s="13"/>
      <c r="P285" s="3">
        <f>+IF(OR($F285="SALDO",$F285="INGRESO"),$O285,0)</f>
        <v>0</v>
      </c>
      <c r="Q285" s="3">
        <f>+IF($F285="EGRESO",$O285,0)</f>
        <v>0</v>
      </c>
      <c r="R285" s="3">
        <f t="shared" si="25"/>
        <v>17022.809999999998</v>
      </c>
      <c r="S285" s="24" t="s">
        <v>1334</v>
      </c>
      <c r="T285" s="24" t="s">
        <v>1334</v>
      </c>
      <c r="U285" s="53"/>
      <c r="V285" s="25">
        <f>IFERROR(VLOOKUP(BCP_Soles[[#This Row],[destinatario]],CHOOSE({1,2},Clientes_Proveedores[Razon Social],Clientes_Proveedores[Ruc / Dni]),2,0),"")</f>
        <v>20467534026</v>
      </c>
      <c r="W285" s="25"/>
      <c r="X285" s="25"/>
      <c r="Y285" s="25"/>
      <c r="Z285" s="75"/>
      <c r="AA285" s="3" t="str">
        <f>IF(BCP_Soles[[#This Row],[fecha]]&gt;0,TEXT(BCP_Soles[[#This Row],[fecha]],"mmmm"),0)</f>
        <v>Enero</v>
      </c>
    </row>
    <row r="286" spans="1:27" ht="24" x14ac:dyDescent="0.3">
      <c r="A286" s="2">
        <f>IF(BCP_Soles[[#This Row],[tipo_registro]]="R",COUNTIFS($C$1:$C285,"R")+1,A285)</f>
        <v>178</v>
      </c>
      <c r="B286" s="19" t="str">
        <f>"B-BCP - Soles"</f>
        <v>B-BCP - Soles</v>
      </c>
      <c r="C286" s="3" t="s">
        <v>1352</v>
      </c>
      <c r="D286" s="14">
        <v>45679</v>
      </c>
      <c r="E286" s="5" t="s">
        <v>1338</v>
      </c>
      <c r="F286" s="5" t="s">
        <v>1336</v>
      </c>
      <c r="G286" s="6" t="s">
        <v>708</v>
      </c>
      <c r="H286" s="6" t="s">
        <v>68</v>
      </c>
      <c r="I286" s="6" t="s">
        <v>1662</v>
      </c>
      <c r="J286" s="6">
        <v>88790</v>
      </c>
      <c r="K286" s="7" t="s">
        <v>1663</v>
      </c>
      <c r="L286" s="8">
        <v>146337</v>
      </c>
      <c r="M286" s="8" t="str">
        <f>"PEN"</f>
        <v>PEN</v>
      </c>
      <c r="N286" s="13">
        <v>293.22000000000003</v>
      </c>
      <c r="O286" s="13"/>
      <c r="P286" s="3">
        <f>+IF(OR($F286="SALDO",$F286="INGRESO"),$O286,0)</f>
        <v>0</v>
      </c>
      <c r="Q286" s="3">
        <f>+IF($F286="EGRESO",$O286,0)</f>
        <v>0</v>
      </c>
      <c r="R286" s="3">
        <f t="shared" si="25"/>
        <v>17022.809999999998</v>
      </c>
      <c r="S286" s="24" t="s">
        <v>1334</v>
      </c>
      <c r="T286" s="24" t="s">
        <v>1334</v>
      </c>
      <c r="U286" s="53"/>
      <c r="V286" s="25">
        <f>IFERROR(VLOOKUP(BCP_Soles[[#This Row],[destinatario]],CHOOSE({1,2},Clientes_Proveedores[Razon Social],Clientes_Proveedores[Ruc / Dni]),2,0),"")</f>
        <v>20467534026</v>
      </c>
      <c r="W286" s="25"/>
      <c r="X286" s="25"/>
      <c r="Y286" s="25"/>
      <c r="Z286" s="75"/>
      <c r="AA286" s="3" t="str">
        <f>IF(BCP_Soles[[#This Row],[fecha]]&gt;0,TEXT(BCP_Soles[[#This Row],[fecha]],"mmmm"),0)</f>
        <v>Enero</v>
      </c>
    </row>
    <row r="287" spans="1:27" ht="24" x14ac:dyDescent="0.3">
      <c r="A287" s="2">
        <f>IF(BCP_Soles[[#This Row],[tipo_registro]]="R",COUNTIFS($C$1:$C286,"R")+1,A286)</f>
        <v>179</v>
      </c>
      <c r="B287" s="19" t="str">
        <f t="shared" si="26"/>
        <v>B-BCP - Soles</v>
      </c>
      <c r="C287" s="3" t="s">
        <v>1330</v>
      </c>
      <c r="D287" s="14">
        <v>45679</v>
      </c>
      <c r="E287" s="5" t="s">
        <v>1338</v>
      </c>
      <c r="F287" s="5" t="s">
        <v>1336</v>
      </c>
      <c r="G287" s="6" t="s">
        <v>478</v>
      </c>
      <c r="H287" s="6" t="s">
        <v>68</v>
      </c>
      <c r="I287" s="6" t="s">
        <v>1376</v>
      </c>
      <c r="J287" s="6">
        <v>1197</v>
      </c>
      <c r="K287" s="7" t="s">
        <v>1664</v>
      </c>
      <c r="L287" s="8">
        <v>1112006</v>
      </c>
      <c r="M287" s="8" t="str">
        <f t="shared" si="27"/>
        <v>PEN</v>
      </c>
      <c r="N287" s="13"/>
      <c r="O287" s="13">
        <v>1566.03</v>
      </c>
      <c r="P287" s="3">
        <f t="shared" si="28"/>
        <v>0</v>
      </c>
      <c r="Q287" s="3">
        <f t="shared" si="29"/>
        <v>1566.03</v>
      </c>
      <c r="R287" s="3">
        <f t="shared" si="25"/>
        <v>15456.779999999997</v>
      </c>
      <c r="S287" s="24" t="s">
        <v>1334</v>
      </c>
      <c r="T287" s="24" t="s">
        <v>1334</v>
      </c>
      <c r="U287" s="53"/>
      <c r="V287" s="25">
        <f>IFERROR(VLOOKUP(BCP_Soles[[#This Row],[destinatario]],CHOOSE({1,2},Clientes_Proveedores[Razon Social],Clientes_Proveedores[Ruc / Dni]),2,0),"")</f>
        <v>20602177786</v>
      </c>
      <c r="W287" s="25" t="s">
        <v>1665</v>
      </c>
      <c r="X287" s="25" t="s">
        <v>1666</v>
      </c>
      <c r="Y287" s="25"/>
      <c r="Z287" s="75"/>
      <c r="AA287" s="3" t="str">
        <f>IF(BCP_Soles[[#This Row],[fecha]]&gt;0,TEXT(BCP_Soles[[#This Row],[fecha]],"mmmm"),0)</f>
        <v>Enero</v>
      </c>
    </row>
    <row r="288" spans="1:27" ht="24" x14ac:dyDescent="0.3">
      <c r="A288" s="2">
        <f>IF(BCP_Soles[[#This Row],[tipo_registro]]="R",COUNTIFS($C$1:$C287,"R")+1,A287)</f>
        <v>180</v>
      </c>
      <c r="B288" s="19" t="str">
        <f t="shared" si="26"/>
        <v>B-BCP - Soles</v>
      </c>
      <c r="C288" s="3" t="s">
        <v>1330</v>
      </c>
      <c r="D288" s="14">
        <v>45679</v>
      </c>
      <c r="E288" s="5" t="s">
        <v>1335</v>
      </c>
      <c r="F288" s="5" t="s">
        <v>1336</v>
      </c>
      <c r="G288" s="6" t="s">
        <v>1060</v>
      </c>
      <c r="H288" s="6" t="s">
        <v>68</v>
      </c>
      <c r="I288" s="6" t="s">
        <v>1397</v>
      </c>
      <c r="J288" s="6">
        <v>28867286</v>
      </c>
      <c r="K288" s="7" t="s">
        <v>1667</v>
      </c>
      <c r="L288" s="8">
        <v>4282382</v>
      </c>
      <c r="M288" s="8" t="str">
        <f t="shared" si="27"/>
        <v>PEN</v>
      </c>
      <c r="N288" s="13"/>
      <c r="O288" s="13">
        <v>17.5</v>
      </c>
      <c r="P288" s="3">
        <f t="shared" si="28"/>
        <v>0</v>
      </c>
      <c r="Q288" s="3">
        <f t="shared" si="29"/>
        <v>17.5</v>
      </c>
      <c r="R288" s="3">
        <f t="shared" si="25"/>
        <v>15439.279999999997</v>
      </c>
      <c r="S288" s="24"/>
      <c r="T288" s="24" t="s">
        <v>1334</v>
      </c>
      <c r="U288" s="53"/>
      <c r="V288" s="25">
        <f>IFERROR(VLOOKUP(BCP_Soles[[#This Row],[destinatario]],CHOOSE({1,2},Clientes_Proveedores[Razon Social],Clientes_Proveedores[Ruc / Dni]),2,0),"")</f>
        <v>20100047218</v>
      </c>
      <c r="W288" s="25" t="s">
        <v>1335</v>
      </c>
      <c r="X288" s="25"/>
      <c r="Y288" s="25"/>
      <c r="Z288" s="75"/>
      <c r="AA288" s="3" t="str">
        <f>IF(BCP_Soles[[#This Row],[fecha]]&gt;0,TEXT(BCP_Soles[[#This Row],[fecha]],"mmmm"),0)</f>
        <v>Enero</v>
      </c>
    </row>
    <row r="289" spans="1:27" x14ac:dyDescent="0.3">
      <c r="A289" s="2">
        <f>IF(BCP_Soles[[#This Row],[tipo_registro]]="R",COUNTIFS($C$1:$C288,"R")+1,A288)</f>
        <v>181</v>
      </c>
      <c r="B289" s="19" t="str">
        <f t="shared" si="26"/>
        <v>B-BCP - Soles</v>
      </c>
      <c r="C289" s="3" t="s">
        <v>1330</v>
      </c>
      <c r="D289" s="14">
        <v>45679</v>
      </c>
      <c r="E289" s="5" t="s">
        <v>1338</v>
      </c>
      <c r="F289" s="5" t="s">
        <v>1336</v>
      </c>
      <c r="G289" s="6" t="s">
        <v>696</v>
      </c>
      <c r="H289" s="6"/>
      <c r="I289" s="6"/>
      <c r="J289" s="6"/>
      <c r="K289" s="7" t="s">
        <v>1668</v>
      </c>
      <c r="L289" s="8">
        <v>4282378</v>
      </c>
      <c r="M289" s="8" t="str">
        <f t="shared" si="27"/>
        <v>PEN</v>
      </c>
      <c r="N289" s="13"/>
      <c r="O289" s="13">
        <v>15178.07</v>
      </c>
      <c r="P289" s="3">
        <f t="shared" si="28"/>
        <v>0</v>
      </c>
      <c r="Q289" s="3">
        <f t="shared" si="29"/>
        <v>15178.07</v>
      </c>
      <c r="R289" s="3">
        <f t="shared" si="25"/>
        <v>261.20999999999731</v>
      </c>
      <c r="S289" s="24" t="s">
        <v>1334</v>
      </c>
      <c r="T289" s="24" t="s">
        <v>1334</v>
      </c>
      <c r="U289" s="53"/>
      <c r="V289" s="25">
        <f>IFERROR(VLOOKUP(BCP_Soles[[#This Row],[destinatario]],CHOOSE({1,2},Clientes_Proveedores[Razon Social],Clientes_Proveedores[Ruc / Dni]),2,0),"")</f>
        <v>0</v>
      </c>
      <c r="W289" s="25" t="s">
        <v>1373</v>
      </c>
      <c r="X289" s="25" t="s">
        <v>1452</v>
      </c>
      <c r="Y289" s="25"/>
      <c r="Z289" s="75"/>
      <c r="AA289" s="3" t="str">
        <f>IF(BCP_Soles[[#This Row],[fecha]]&gt;0,TEXT(BCP_Soles[[#This Row],[fecha]],"mmmm"),0)</f>
        <v>Enero</v>
      </c>
    </row>
    <row r="290" spans="1:27" x14ac:dyDescent="0.3">
      <c r="A290" s="2">
        <f>IF(BCP_Soles[[#This Row],[tipo_registro]]="R",COUNTIFS($C$1:$C289,"R")+1,A289)</f>
        <v>181</v>
      </c>
      <c r="B290" s="19" t="str">
        <f t="shared" si="26"/>
        <v>B-BCP - Soles</v>
      </c>
      <c r="C290" s="3" t="s">
        <v>1352</v>
      </c>
      <c r="D290" s="14">
        <v>45679</v>
      </c>
      <c r="E290" s="5" t="s">
        <v>1338</v>
      </c>
      <c r="F290" s="5"/>
      <c r="G290" s="6" t="s">
        <v>414</v>
      </c>
      <c r="H290" s="6" t="s">
        <v>68</v>
      </c>
      <c r="I290" s="6" t="s">
        <v>1374</v>
      </c>
      <c r="J290" s="6">
        <v>13126</v>
      </c>
      <c r="K290" s="7" t="s">
        <v>1668</v>
      </c>
      <c r="L290" s="8">
        <v>4282378</v>
      </c>
      <c r="M290" s="8" t="str">
        <f t="shared" si="27"/>
        <v>PEN</v>
      </c>
      <c r="N290" s="13">
        <v>12412.07</v>
      </c>
      <c r="O290" s="13"/>
      <c r="P290" s="3">
        <f t="shared" si="28"/>
        <v>0</v>
      </c>
      <c r="Q290" s="3">
        <f t="shared" si="29"/>
        <v>0</v>
      </c>
      <c r="R290" s="3">
        <f t="shared" si="25"/>
        <v>261.20999999999731</v>
      </c>
      <c r="S290" s="24"/>
      <c r="T290" s="24" t="s">
        <v>1334</v>
      </c>
      <c r="U290" s="53"/>
      <c r="V290" s="25">
        <f>IFERROR(VLOOKUP(BCP_Soles[[#This Row],[destinatario]],CHOOSE({1,2},Clientes_Proveedores[Razon Social],Clientes_Proveedores[Ruc / Dni]),2,0),"")</f>
        <v>20553255709</v>
      </c>
      <c r="W290" s="25"/>
      <c r="X290" s="25"/>
      <c r="Y290" s="25"/>
      <c r="Z290" s="75"/>
      <c r="AA290" s="3" t="str">
        <f>IF(BCP_Soles[[#This Row],[fecha]]&gt;0,TEXT(BCP_Soles[[#This Row],[fecha]],"mmmm"),0)</f>
        <v>Enero</v>
      </c>
    </row>
    <row r="291" spans="1:27" ht="36" x14ac:dyDescent="0.3">
      <c r="A291" s="2">
        <f>IF(BCP_Soles[[#This Row],[tipo_registro]]="R",COUNTIFS($C$1:$C290,"R")+1,A290)</f>
        <v>181</v>
      </c>
      <c r="B291" s="19" t="str">
        <f t="shared" si="26"/>
        <v>B-BCP - Soles</v>
      </c>
      <c r="C291" s="3" t="s">
        <v>1352</v>
      </c>
      <c r="D291" s="14">
        <v>45679</v>
      </c>
      <c r="E291" s="5" t="s">
        <v>1338</v>
      </c>
      <c r="F291" s="5"/>
      <c r="G291" s="6" t="s">
        <v>277</v>
      </c>
      <c r="H291" s="6" t="s">
        <v>68</v>
      </c>
      <c r="I291" s="6" t="s">
        <v>1390</v>
      </c>
      <c r="J291" s="6">
        <v>1511</v>
      </c>
      <c r="K291" s="7" t="s">
        <v>1668</v>
      </c>
      <c r="L291" s="8">
        <v>4282378</v>
      </c>
      <c r="M291" s="8" t="str">
        <f t="shared" si="27"/>
        <v>PEN</v>
      </c>
      <c r="N291" s="13">
        <v>1728</v>
      </c>
      <c r="O291" s="13"/>
      <c r="P291" s="3">
        <f t="shared" si="28"/>
        <v>0</v>
      </c>
      <c r="Q291" s="3">
        <f t="shared" si="29"/>
        <v>0</v>
      </c>
      <c r="R291" s="3">
        <f t="shared" si="25"/>
        <v>261.20999999999731</v>
      </c>
      <c r="S291" s="24"/>
      <c r="T291" s="24" t="s">
        <v>1334</v>
      </c>
      <c r="U291" s="53"/>
      <c r="V291" s="25">
        <f>IFERROR(VLOOKUP(BCP_Soles[[#This Row],[destinatario]],CHOOSE({1,2},Clientes_Proveedores[Razon Social],Clientes_Proveedores[Ruc / Dni]),2,0),"")</f>
        <v>20429640939</v>
      </c>
      <c r="W291" s="25"/>
      <c r="X291" s="25"/>
      <c r="Y291" s="25"/>
      <c r="Z291" s="75"/>
      <c r="AA291" s="3" t="str">
        <f>IF(BCP_Soles[[#This Row],[fecha]]&gt;0,TEXT(BCP_Soles[[#This Row],[fecha]],"mmmm"),0)</f>
        <v>Enero</v>
      </c>
    </row>
    <row r="292" spans="1:27" x14ac:dyDescent="0.3">
      <c r="A292" s="2">
        <f>IF(BCP_Soles[[#This Row],[tipo_registro]]="R",COUNTIFS($C$1:$C291,"R")+1,A291)</f>
        <v>181</v>
      </c>
      <c r="B292" s="19" t="str">
        <f t="shared" si="26"/>
        <v>B-BCP - Soles</v>
      </c>
      <c r="C292" s="3" t="s">
        <v>1352</v>
      </c>
      <c r="D292" s="14">
        <v>45679</v>
      </c>
      <c r="E292" s="5" t="s">
        <v>1338</v>
      </c>
      <c r="F292" s="5"/>
      <c r="G292" s="6" t="s">
        <v>397</v>
      </c>
      <c r="H292" s="6" t="s">
        <v>68</v>
      </c>
      <c r="I292" s="6" t="s">
        <v>1376</v>
      </c>
      <c r="J292" s="6">
        <v>368</v>
      </c>
      <c r="K292" s="7" t="s">
        <v>1668</v>
      </c>
      <c r="L292" s="8">
        <v>4282378</v>
      </c>
      <c r="M292" s="8" t="str">
        <f t="shared" si="27"/>
        <v>PEN</v>
      </c>
      <c r="N292" s="13">
        <v>1038</v>
      </c>
      <c r="O292" s="13"/>
      <c r="P292" s="3">
        <f t="shared" si="28"/>
        <v>0</v>
      </c>
      <c r="Q292" s="3">
        <f t="shared" si="29"/>
        <v>0</v>
      </c>
      <c r="R292" s="3">
        <f t="shared" si="25"/>
        <v>261.20999999999731</v>
      </c>
      <c r="S292" s="24"/>
      <c r="T292" s="24" t="s">
        <v>1334</v>
      </c>
      <c r="U292" s="53"/>
      <c r="V292" s="25">
        <f>IFERROR(VLOOKUP(BCP_Soles[[#This Row],[destinatario]],CHOOSE({1,2},Clientes_Proveedores[Razon Social],Clientes_Proveedores[Ruc / Dni]),2,0),"")</f>
        <v>20545577870</v>
      </c>
      <c r="W292" s="25"/>
      <c r="X292" s="25"/>
      <c r="Y292" s="25"/>
      <c r="Z292" s="75"/>
      <c r="AA292" s="3" t="str">
        <f>IF(BCP_Soles[[#This Row],[fecha]]&gt;0,TEXT(BCP_Soles[[#This Row],[fecha]],"mmmm"),0)</f>
        <v>Enero</v>
      </c>
    </row>
    <row r="293" spans="1:27" x14ac:dyDescent="0.3">
      <c r="A293" s="2">
        <f>IF(BCP_Soles[[#This Row],[tipo_registro]]="R",COUNTIFS($C$1:$C292,"R")+1,A292)</f>
        <v>182</v>
      </c>
      <c r="B293" s="19" t="str">
        <f t="shared" si="26"/>
        <v>B-BCP - Soles</v>
      </c>
      <c r="C293" s="3" t="s">
        <v>1330</v>
      </c>
      <c r="D293" s="14">
        <v>45679</v>
      </c>
      <c r="E293" s="5" t="s">
        <v>1335</v>
      </c>
      <c r="F293" s="5" t="s">
        <v>1336</v>
      </c>
      <c r="G293" s="6"/>
      <c r="H293" s="6"/>
      <c r="I293" s="6"/>
      <c r="J293" s="6"/>
      <c r="K293" s="7" t="s">
        <v>1337</v>
      </c>
      <c r="L293" s="8"/>
      <c r="M293" s="8" t="str">
        <f t="shared" si="27"/>
        <v>PEN</v>
      </c>
      <c r="N293" s="13"/>
      <c r="O293" s="13">
        <v>1.05</v>
      </c>
      <c r="P293" s="3">
        <f t="shared" si="28"/>
        <v>0</v>
      </c>
      <c r="Q293" s="3">
        <f t="shared" si="29"/>
        <v>1.05</v>
      </c>
      <c r="R293" s="3">
        <f t="shared" si="25"/>
        <v>260.1599999999973</v>
      </c>
      <c r="S293" s="24"/>
      <c r="T293" s="24" t="s">
        <v>1334</v>
      </c>
      <c r="U293" s="53"/>
      <c r="V293" s="25" t="str">
        <f>IFERROR(VLOOKUP(BCP_Soles[[#This Row],[destinatario]],CHOOSE({1,2},Clientes_Proveedores[Razon Social],Clientes_Proveedores[Ruc / Dni]),2,0),"")</f>
        <v/>
      </c>
      <c r="W293" s="25"/>
      <c r="X293" s="25"/>
      <c r="Y293" s="25"/>
      <c r="Z293" s="75"/>
      <c r="AA293" s="3" t="str">
        <f>IF(BCP_Soles[[#This Row],[fecha]]&gt;0,TEXT(BCP_Soles[[#This Row],[fecha]],"mmmm"),0)</f>
        <v>Enero</v>
      </c>
    </row>
    <row r="294" spans="1:27" x14ac:dyDescent="0.3">
      <c r="A294" s="2">
        <f>IF(BCP_Soles[[#This Row],[tipo_registro]]="R",COUNTIFS($C$1:$C293,"R")+1,A293)</f>
        <v>183</v>
      </c>
      <c r="B294" s="19" t="str">
        <f t="shared" si="26"/>
        <v>B-BCP - Soles</v>
      </c>
      <c r="C294" s="3" t="s">
        <v>1330</v>
      </c>
      <c r="D294" s="14">
        <v>45680</v>
      </c>
      <c r="E294" s="5" t="s">
        <v>1444</v>
      </c>
      <c r="F294" s="5" t="s">
        <v>1303</v>
      </c>
      <c r="G294" s="6" t="s">
        <v>425</v>
      </c>
      <c r="H294" s="6" t="s">
        <v>119</v>
      </c>
      <c r="I294" s="6">
        <v>1</v>
      </c>
      <c r="J294" s="6">
        <v>4026</v>
      </c>
      <c r="K294" s="7" t="s">
        <v>1356</v>
      </c>
      <c r="L294" s="8">
        <v>229438</v>
      </c>
      <c r="M294" s="8" t="str">
        <f t="shared" si="27"/>
        <v>PEN</v>
      </c>
      <c r="N294" s="13"/>
      <c r="O294" s="13">
        <v>149</v>
      </c>
      <c r="P294" s="3">
        <f t="shared" si="28"/>
        <v>149</v>
      </c>
      <c r="Q294" s="3">
        <f t="shared" si="29"/>
        <v>0</v>
      </c>
      <c r="R294" s="3">
        <f t="shared" si="25"/>
        <v>409.1599999999973</v>
      </c>
      <c r="S294" s="24" t="s">
        <v>1334</v>
      </c>
      <c r="T294" s="24" t="s">
        <v>1334</v>
      </c>
      <c r="U294" s="53"/>
      <c r="V294" s="25">
        <f>IFERROR(VLOOKUP(BCP_Soles[[#This Row],[destinatario]],CHOOSE({1,2},Clientes_Proveedores[Razon Social],Clientes_Proveedores[Ruc / Dni]),2,0),"")</f>
        <v>20558226979</v>
      </c>
      <c r="W294" s="25" t="s">
        <v>1345</v>
      </c>
      <c r="X294" s="25" t="s">
        <v>1445</v>
      </c>
      <c r="Y294" s="25"/>
      <c r="Z294" s="75"/>
      <c r="AA294" s="3" t="str">
        <f>IF(BCP_Soles[[#This Row],[fecha]]&gt;0,TEXT(BCP_Soles[[#This Row],[fecha]],"mmmm"),0)</f>
        <v>Enero</v>
      </c>
    </row>
    <row r="295" spans="1:27" ht="24" x14ac:dyDescent="0.3">
      <c r="A295" s="2">
        <f>IF(BCP_Soles[[#This Row],[tipo_registro]]="R",COUNTIFS($C$1:$C294,"R")+1,A294)</f>
        <v>184</v>
      </c>
      <c r="B295" s="19" t="str">
        <f t="shared" si="26"/>
        <v>B-BCP - Soles</v>
      </c>
      <c r="C295" s="3" t="s">
        <v>1330</v>
      </c>
      <c r="D295" s="14">
        <v>45680</v>
      </c>
      <c r="E295" s="5" t="s">
        <v>1669</v>
      </c>
      <c r="F295" s="5" t="s">
        <v>1303</v>
      </c>
      <c r="G295" s="6" t="s">
        <v>425</v>
      </c>
      <c r="H295" s="6" t="s">
        <v>119</v>
      </c>
      <c r="I295" s="6">
        <v>1</v>
      </c>
      <c r="J295" s="6">
        <v>4103</v>
      </c>
      <c r="K295" s="7" t="s">
        <v>1356</v>
      </c>
      <c r="L295" s="8">
        <v>241376</v>
      </c>
      <c r="M295" s="8" t="str">
        <f t="shared" si="27"/>
        <v>PEN</v>
      </c>
      <c r="N295" s="13"/>
      <c r="O295" s="13">
        <v>2000</v>
      </c>
      <c r="P295" s="3">
        <f t="shared" si="28"/>
        <v>2000</v>
      </c>
      <c r="Q295" s="3">
        <f t="shared" si="29"/>
        <v>0</v>
      </c>
      <c r="R295" s="3">
        <f t="shared" si="25"/>
        <v>2409.1599999999971</v>
      </c>
      <c r="S295" s="24" t="s">
        <v>1334</v>
      </c>
      <c r="T295" s="24" t="s">
        <v>1334</v>
      </c>
      <c r="U295" s="53"/>
      <c r="V295" s="25">
        <f>IFERROR(VLOOKUP(BCP_Soles[[#This Row],[destinatario]],CHOOSE({1,2},Clientes_Proveedores[Razon Social],Clientes_Proveedores[Ruc / Dni]),2,0),"")</f>
        <v>20558226979</v>
      </c>
      <c r="W295" s="25" t="s">
        <v>1345</v>
      </c>
      <c r="X295" s="25" t="s">
        <v>1670</v>
      </c>
      <c r="Y295" s="25"/>
      <c r="Z295" s="75"/>
      <c r="AA295" s="3" t="str">
        <f>IF(BCP_Soles[[#This Row],[fecha]]&gt;0,TEXT(BCP_Soles[[#This Row],[fecha]],"mmmm"),0)</f>
        <v>Enero</v>
      </c>
    </row>
    <row r="296" spans="1:27" x14ac:dyDescent="0.3">
      <c r="A296" s="2">
        <f>IF(BCP_Soles[[#This Row],[tipo_registro]]="R",COUNTIFS($C$1:$C295,"R")+1,A295)</f>
        <v>185</v>
      </c>
      <c r="B296" s="19" t="str">
        <f t="shared" si="26"/>
        <v>B-BCP - Soles</v>
      </c>
      <c r="C296" s="3" t="s">
        <v>1330</v>
      </c>
      <c r="D296" s="14">
        <v>45680</v>
      </c>
      <c r="E296" s="5"/>
      <c r="F296" s="5" t="s">
        <v>1303</v>
      </c>
      <c r="G296" s="6" t="s">
        <v>425</v>
      </c>
      <c r="H296" s="6"/>
      <c r="I296" s="6"/>
      <c r="J296" s="6"/>
      <c r="K296" s="7" t="s">
        <v>1356</v>
      </c>
      <c r="L296" s="8">
        <v>575260</v>
      </c>
      <c r="M296" s="8" t="str">
        <f t="shared" si="27"/>
        <v>PEN</v>
      </c>
      <c r="N296" s="13"/>
      <c r="O296" s="13">
        <v>6608</v>
      </c>
      <c r="P296" s="3">
        <f t="shared" si="28"/>
        <v>6608</v>
      </c>
      <c r="Q296" s="3">
        <f t="shared" si="29"/>
        <v>0</v>
      </c>
      <c r="R296" s="3">
        <f t="shared" si="25"/>
        <v>9017.1599999999962</v>
      </c>
      <c r="S296" s="24" t="s">
        <v>1334</v>
      </c>
      <c r="T296" s="24" t="s">
        <v>1334</v>
      </c>
      <c r="U296" s="53"/>
      <c r="V296" s="25">
        <f>IFERROR(VLOOKUP(BCP_Soles[[#This Row],[destinatario]],CHOOSE({1,2},Clientes_Proveedores[Razon Social],Clientes_Proveedores[Ruc / Dni]),2,0),"")</f>
        <v>20558226979</v>
      </c>
      <c r="W296" s="25" t="s">
        <v>1345</v>
      </c>
      <c r="X296" s="25"/>
      <c r="Y296" s="25"/>
      <c r="Z296" s="75"/>
      <c r="AA296" s="3" t="str">
        <f>IF(BCP_Soles[[#This Row],[fecha]]&gt;0,TEXT(BCP_Soles[[#This Row],[fecha]],"mmmm"),0)</f>
        <v>Enero</v>
      </c>
    </row>
    <row r="297" spans="1:27" x14ac:dyDescent="0.3">
      <c r="A297" s="2">
        <f>IF(BCP_Soles[[#This Row],[tipo_registro]]="R",COUNTIFS($C$1:$C296,"R")+1,A296)</f>
        <v>185</v>
      </c>
      <c r="B297" s="19" t="str">
        <f t="shared" si="26"/>
        <v>B-BCP - Soles</v>
      </c>
      <c r="C297" s="3" t="s">
        <v>1352</v>
      </c>
      <c r="D297" s="14">
        <v>45680</v>
      </c>
      <c r="E297" s="5" t="s">
        <v>1522</v>
      </c>
      <c r="F297" s="5" t="s">
        <v>1303</v>
      </c>
      <c r="G297" s="6" t="s">
        <v>425</v>
      </c>
      <c r="H297" s="6" t="s">
        <v>119</v>
      </c>
      <c r="I297" s="6">
        <v>1</v>
      </c>
      <c r="J297" s="6">
        <v>3998</v>
      </c>
      <c r="K297" s="7" t="s">
        <v>1356</v>
      </c>
      <c r="L297" s="8">
        <v>575260</v>
      </c>
      <c r="M297" s="8" t="str">
        <f t="shared" si="27"/>
        <v>PEN</v>
      </c>
      <c r="N297" s="13">
        <v>322</v>
      </c>
      <c r="O297" s="13"/>
      <c r="P297" s="3">
        <f t="shared" si="28"/>
        <v>0</v>
      </c>
      <c r="Q297" s="3">
        <f t="shared" si="29"/>
        <v>0</v>
      </c>
      <c r="R297" s="3">
        <f t="shared" si="25"/>
        <v>9017.1599999999962</v>
      </c>
      <c r="S297" s="24" t="s">
        <v>1334</v>
      </c>
      <c r="T297" s="24" t="s">
        <v>1334</v>
      </c>
      <c r="U297" s="53"/>
      <c r="V297" s="25">
        <f>IFERROR(VLOOKUP(BCP_Soles[[#This Row],[destinatario]],CHOOSE({1,2},Clientes_Proveedores[Razon Social],Clientes_Proveedores[Ruc / Dni]),2,0),"")</f>
        <v>20558226979</v>
      </c>
      <c r="W297" s="25" t="s">
        <v>1345</v>
      </c>
      <c r="X297" s="25" t="s">
        <v>1525</v>
      </c>
      <c r="Y297" s="25"/>
      <c r="Z297" s="75"/>
      <c r="AA297" s="3" t="str">
        <f>IF(BCP_Soles[[#This Row],[fecha]]&gt;0,TEXT(BCP_Soles[[#This Row],[fecha]],"mmmm"),0)</f>
        <v>Enero</v>
      </c>
    </row>
    <row r="298" spans="1:27" x14ac:dyDescent="0.3">
      <c r="A298" s="2">
        <f>IF(BCP_Soles[[#This Row],[tipo_registro]]="R",COUNTIFS($C$1:$C297,"R")+1,A297)</f>
        <v>185</v>
      </c>
      <c r="B298" s="19" t="str">
        <f t="shared" si="26"/>
        <v>B-BCP - Soles</v>
      </c>
      <c r="C298" s="3" t="s">
        <v>1352</v>
      </c>
      <c r="D298" s="14">
        <v>45680</v>
      </c>
      <c r="E298" s="5" t="s">
        <v>1522</v>
      </c>
      <c r="F298" s="5" t="s">
        <v>1303</v>
      </c>
      <c r="G298" s="6" t="s">
        <v>425</v>
      </c>
      <c r="H298" s="6" t="s">
        <v>119</v>
      </c>
      <c r="I298" s="6">
        <v>1</v>
      </c>
      <c r="J298" s="6">
        <v>4016</v>
      </c>
      <c r="K298" s="7" t="s">
        <v>1356</v>
      </c>
      <c r="L298" s="8">
        <v>575260</v>
      </c>
      <c r="M298" s="8" t="str">
        <f t="shared" si="27"/>
        <v>PEN</v>
      </c>
      <c r="N298" s="13">
        <v>1552</v>
      </c>
      <c r="O298" s="13"/>
      <c r="P298" s="3">
        <f t="shared" si="28"/>
        <v>0</v>
      </c>
      <c r="Q298" s="3">
        <f t="shared" si="29"/>
        <v>0</v>
      </c>
      <c r="R298" s="3">
        <f t="shared" si="25"/>
        <v>9017.1599999999962</v>
      </c>
      <c r="S298" s="24" t="s">
        <v>1334</v>
      </c>
      <c r="T298" s="24" t="s">
        <v>1334</v>
      </c>
      <c r="U298" s="53"/>
      <c r="V298" s="25">
        <f>IFERROR(VLOOKUP(BCP_Soles[[#This Row],[destinatario]],CHOOSE({1,2},Clientes_Proveedores[Razon Social],Clientes_Proveedores[Ruc / Dni]),2,0),"")</f>
        <v>20558226979</v>
      </c>
      <c r="W298" s="25" t="s">
        <v>1345</v>
      </c>
      <c r="X298" s="25" t="s">
        <v>1671</v>
      </c>
      <c r="Y298" s="25"/>
      <c r="Z298" s="75"/>
      <c r="AA298" s="3" t="str">
        <f>IF(BCP_Soles[[#This Row],[fecha]]&gt;0,TEXT(BCP_Soles[[#This Row],[fecha]],"mmmm"),0)</f>
        <v>Enero</v>
      </c>
    </row>
    <row r="299" spans="1:27" x14ac:dyDescent="0.3">
      <c r="A299" s="2">
        <f>IF(BCP_Soles[[#This Row],[tipo_registro]]="R",COUNTIFS($C$1:$C298,"R")+1,A298)</f>
        <v>185</v>
      </c>
      <c r="B299" s="19" t="str">
        <f t="shared" si="26"/>
        <v>B-BCP - Soles</v>
      </c>
      <c r="C299" s="3" t="s">
        <v>1352</v>
      </c>
      <c r="D299" s="14">
        <v>45680</v>
      </c>
      <c r="E299" s="5" t="s">
        <v>1522</v>
      </c>
      <c r="F299" s="5" t="s">
        <v>1303</v>
      </c>
      <c r="G299" s="6" t="s">
        <v>425</v>
      </c>
      <c r="H299" s="6" t="s">
        <v>119</v>
      </c>
      <c r="I299" s="6">
        <v>1</v>
      </c>
      <c r="J299" s="6">
        <v>4029</v>
      </c>
      <c r="K299" s="7" t="s">
        <v>1356</v>
      </c>
      <c r="L299" s="8">
        <v>575260</v>
      </c>
      <c r="M299" s="8" t="str">
        <f t="shared" si="27"/>
        <v>PEN</v>
      </c>
      <c r="N299" s="13">
        <v>612</v>
      </c>
      <c r="O299" s="13"/>
      <c r="P299" s="3">
        <f t="shared" si="28"/>
        <v>0</v>
      </c>
      <c r="Q299" s="3">
        <f t="shared" si="29"/>
        <v>0</v>
      </c>
      <c r="R299" s="3">
        <f t="shared" si="25"/>
        <v>9017.1599999999962</v>
      </c>
      <c r="S299" s="24" t="s">
        <v>1334</v>
      </c>
      <c r="T299" s="24" t="s">
        <v>1334</v>
      </c>
      <c r="U299" s="53"/>
      <c r="V299" s="25">
        <f>IFERROR(VLOOKUP(BCP_Soles[[#This Row],[destinatario]],CHOOSE({1,2},Clientes_Proveedores[Razon Social],Clientes_Proveedores[Ruc / Dni]),2,0),"")</f>
        <v>20558226979</v>
      </c>
      <c r="W299" s="25" t="s">
        <v>1345</v>
      </c>
      <c r="X299" s="25" t="s">
        <v>1672</v>
      </c>
      <c r="Y299" s="25"/>
      <c r="Z299" s="75"/>
      <c r="AA299" s="3" t="str">
        <f>IF(BCP_Soles[[#This Row],[fecha]]&gt;0,TEXT(BCP_Soles[[#This Row],[fecha]],"mmmm"),0)</f>
        <v>Enero</v>
      </c>
    </row>
    <row r="300" spans="1:27" x14ac:dyDescent="0.3">
      <c r="A300" s="2">
        <f>IF(BCP_Soles[[#This Row],[tipo_registro]]="R",COUNTIFS($C$1:$C299,"R")+1,A299)</f>
        <v>185</v>
      </c>
      <c r="B300" s="19" t="str">
        <f t="shared" si="26"/>
        <v>B-BCP - Soles</v>
      </c>
      <c r="C300" s="3" t="s">
        <v>1352</v>
      </c>
      <c r="D300" s="14">
        <v>45680</v>
      </c>
      <c r="E300" s="5" t="s">
        <v>1522</v>
      </c>
      <c r="F300" s="5" t="s">
        <v>1303</v>
      </c>
      <c r="G300" s="6" t="s">
        <v>425</v>
      </c>
      <c r="H300" s="6" t="s">
        <v>119</v>
      </c>
      <c r="I300" s="6">
        <v>1</v>
      </c>
      <c r="J300" s="6">
        <v>4035</v>
      </c>
      <c r="K300" s="7" t="s">
        <v>1356</v>
      </c>
      <c r="L300" s="8">
        <v>575260</v>
      </c>
      <c r="M300" s="8" t="str">
        <f t="shared" si="27"/>
        <v>PEN</v>
      </c>
      <c r="N300" s="13">
        <v>4122</v>
      </c>
      <c r="O300" s="13"/>
      <c r="P300" s="3">
        <f t="shared" si="28"/>
        <v>0</v>
      </c>
      <c r="Q300" s="3">
        <f t="shared" si="29"/>
        <v>0</v>
      </c>
      <c r="R300" s="3">
        <f t="shared" si="25"/>
        <v>9017.1599999999962</v>
      </c>
      <c r="S300" s="24" t="s">
        <v>1334</v>
      </c>
      <c r="T300" s="24" t="s">
        <v>1334</v>
      </c>
      <c r="U300" s="53"/>
      <c r="V300" s="25">
        <f>IFERROR(VLOOKUP(BCP_Soles[[#This Row],[destinatario]],CHOOSE({1,2},Clientes_Proveedores[Razon Social],Clientes_Proveedores[Ruc / Dni]),2,0),"")</f>
        <v>20558226979</v>
      </c>
      <c r="W300" s="25" t="s">
        <v>1345</v>
      </c>
      <c r="X300" s="25" t="s">
        <v>1673</v>
      </c>
      <c r="Y300" s="25"/>
      <c r="Z300" s="75"/>
      <c r="AA300" s="3" t="str">
        <f>IF(BCP_Soles[[#This Row],[fecha]]&gt;0,TEXT(BCP_Soles[[#This Row],[fecha]],"mmmm"),0)</f>
        <v>Enero</v>
      </c>
    </row>
    <row r="301" spans="1:27" ht="24" x14ac:dyDescent="0.3">
      <c r="A301" s="2">
        <f>IF(BCP_Soles[[#This Row],[tipo_registro]]="R",COUNTIFS($C$1:$C300,"R")+1,A300)</f>
        <v>186</v>
      </c>
      <c r="B301" s="19" t="str">
        <f t="shared" si="26"/>
        <v>B-BCP - Soles</v>
      </c>
      <c r="C301" s="3" t="s">
        <v>1330</v>
      </c>
      <c r="D301" s="14">
        <v>45680</v>
      </c>
      <c r="E301" s="5" t="s">
        <v>1505</v>
      </c>
      <c r="F301" s="5" t="s">
        <v>1303</v>
      </c>
      <c r="G301" s="6" t="s">
        <v>425</v>
      </c>
      <c r="H301" s="6"/>
      <c r="I301" s="6"/>
      <c r="J301" s="6"/>
      <c r="K301" s="7" t="s">
        <v>1674</v>
      </c>
      <c r="L301" s="8">
        <v>26588</v>
      </c>
      <c r="M301" s="8" t="str">
        <f t="shared" si="27"/>
        <v>PEN</v>
      </c>
      <c r="N301" s="13"/>
      <c r="O301" s="13">
        <v>300</v>
      </c>
      <c r="P301" s="3">
        <f t="shared" si="28"/>
        <v>300</v>
      </c>
      <c r="Q301" s="3">
        <f t="shared" si="29"/>
        <v>0</v>
      </c>
      <c r="R301" s="3">
        <f t="shared" si="25"/>
        <v>9317.1599999999962</v>
      </c>
      <c r="S301" s="24" t="s">
        <v>1334</v>
      </c>
      <c r="T301" s="24" t="s">
        <v>1334</v>
      </c>
      <c r="U301" s="53"/>
      <c r="V301" s="25">
        <f>IFERROR(VLOOKUP(BCP_Soles[[#This Row],[destinatario]],CHOOSE({1,2},Clientes_Proveedores[Razon Social],Clientes_Proveedores[Ruc / Dni]),2,0),"")</f>
        <v>20558226979</v>
      </c>
      <c r="W301" s="25" t="s">
        <v>1345</v>
      </c>
      <c r="X301" s="25" t="s">
        <v>1675</v>
      </c>
      <c r="Y301" s="25"/>
      <c r="Z301" s="75"/>
      <c r="AA301" s="3" t="str">
        <f>IF(BCP_Soles[[#This Row],[fecha]]&gt;0,TEXT(BCP_Soles[[#This Row],[fecha]],"mmmm"),0)</f>
        <v>Enero</v>
      </c>
    </row>
    <row r="302" spans="1:27" ht="24" x14ac:dyDescent="0.3">
      <c r="A302" s="2">
        <f>IF(BCP_Soles[[#This Row],[tipo_registro]]="R",COUNTIFS($C$1:$C301,"R")+1,A301)</f>
        <v>187</v>
      </c>
      <c r="B302" s="19" t="str">
        <f t="shared" si="26"/>
        <v>B-BCP - Soles</v>
      </c>
      <c r="C302" s="3" t="s">
        <v>1330</v>
      </c>
      <c r="D302" s="14">
        <v>45680</v>
      </c>
      <c r="E302" s="5" t="s">
        <v>196</v>
      </c>
      <c r="F302" s="5" t="s">
        <v>1303</v>
      </c>
      <c r="G302" s="6" t="s">
        <v>425</v>
      </c>
      <c r="H302" s="6"/>
      <c r="I302" s="6"/>
      <c r="J302" s="6"/>
      <c r="K302" s="7" t="s">
        <v>1676</v>
      </c>
      <c r="L302" s="8">
        <v>1892</v>
      </c>
      <c r="M302" s="8" t="str">
        <f t="shared" si="27"/>
        <v>PEN</v>
      </c>
      <c r="N302" s="13"/>
      <c r="O302" s="13">
        <v>4050.54</v>
      </c>
      <c r="P302" s="3">
        <f t="shared" si="28"/>
        <v>4050.54</v>
      </c>
      <c r="Q302" s="3">
        <f t="shared" si="29"/>
        <v>0</v>
      </c>
      <c r="R302" s="3">
        <f t="shared" si="25"/>
        <v>13367.699999999997</v>
      </c>
      <c r="S302" s="24" t="s">
        <v>1334</v>
      </c>
      <c r="T302" s="24" t="s">
        <v>1334</v>
      </c>
      <c r="U302" s="53"/>
      <c r="V302" s="25">
        <f>IFERROR(VLOOKUP(BCP_Soles[[#This Row],[destinatario]],CHOOSE({1,2},Clientes_Proveedores[Razon Social],Clientes_Proveedores[Ruc / Dni]),2,0),"")</f>
        <v>20558226979</v>
      </c>
      <c r="W302" s="25" t="s">
        <v>1345</v>
      </c>
      <c r="X302" s="25" t="s">
        <v>1677</v>
      </c>
      <c r="Y302" s="25"/>
      <c r="Z302" s="75"/>
      <c r="AA302" s="3" t="str">
        <f>IF(BCP_Soles[[#This Row],[fecha]]&gt;0,TEXT(BCP_Soles[[#This Row],[fecha]],"mmmm"),0)</f>
        <v>Enero</v>
      </c>
    </row>
    <row r="303" spans="1:27" ht="60" x14ac:dyDescent="0.3">
      <c r="A303" s="2">
        <f>IF(BCP_Soles[[#This Row],[tipo_registro]]="R",COUNTIFS($C$1:$C302,"R")+1,A302)</f>
        <v>188</v>
      </c>
      <c r="B303" s="19" t="str">
        <f t="shared" si="26"/>
        <v>B-BCP - Soles</v>
      </c>
      <c r="C303" s="3" t="s">
        <v>1330</v>
      </c>
      <c r="D303" s="14">
        <v>45680</v>
      </c>
      <c r="E303" s="5" t="s">
        <v>295</v>
      </c>
      <c r="F303" s="5" t="s">
        <v>1303</v>
      </c>
      <c r="G303" s="6" t="s">
        <v>425</v>
      </c>
      <c r="H303" s="6" t="s">
        <v>68</v>
      </c>
      <c r="I303" s="6" t="s">
        <v>1353</v>
      </c>
      <c r="J303" s="6">
        <v>169</v>
      </c>
      <c r="K303" s="7" t="s">
        <v>1428</v>
      </c>
      <c r="L303" s="8">
        <v>2162898</v>
      </c>
      <c r="M303" s="8" t="str">
        <f t="shared" si="27"/>
        <v>PEN</v>
      </c>
      <c r="N303" s="13"/>
      <c r="O303" s="13">
        <v>3102.92</v>
      </c>
      <c r="P303" s="3">
        <f t="shared" si="28"/>
        <v>3102.92</v>
      </c>
      <c r="Q303" s="3">
        <f t="shared" si="29"/>
        <v>0</v>
      </c>
      <c r="R303" s="3">
        <f t="shared" si="25"/>
        <v>16470.619999999995</v>
      </c>
      <c r="S303" s="24" t="s">
        <v>1334</v>
      </c>
      <c r="T303" s="24" t="s">
        <v>1334</v>
      </c>
      <c r="U303" s="53"/>
      <c r="V303" s="25">
        <f>IFERROR(VLOOKUP(BCP_Soles[[#This Row],[destinatario]],CHOOSE({1,2},Clientes_Proveedores[Razon Social],Clientes_Proveedores[Ruc / Dni]),2,0),"")</f>
        <v>20558226979</v>
      </c>
      <c r="W303" s="25" t="s">
        <v>1345</v>
      </c>
      <c r="X303" s="25" t="s">
        <v>1678</v>
      </c>
      <c r="Y303" s="25"/>
      <c r="Z303" s="75"/>
      <c r="AA303" s="3" t="str">
        <f>IF(BCP_Soles[[#This Row],[fecha]]&gt;0,TEXT(BCP_Soles[[#This Row],[fecha]],"mmmm"),0)</f>
        <v>Enero</v>
      </c>
    </row>
    <row r="304" spans="1:27" ht="60" x14ac:dyDescent="0.3">
      <c r="A304" s="2">
        <f>IF(BCP_Soles[[#This Row],[tipo_registro]]="R",COUNTIFS($C$1:$C303,"R")+1,A303)</f>
        <v>189</v>
      </c>
      <c r="B304" s="19" t="str">
        <f t="shared" si="26"/>
        <v>B-BCP - Soles</v>
      </c>
      <c r="C304" s="3" t="s">
        <v>1330</v>
      </c>
      <c r="D304" s="14">
        <v>45680</v>
      </c>
      <c r="E304" s="5" t="s">
        <v>295</v>
      </c>
      <c r="F304" s="5" t="s">
        <v>1303</v>
      </c>
      <c r="G304" s="6" t="s">
        <v>425</v>
      </c>
      <c r="H304" s="6" t="s">
        <v>68</v>
      </c>
      <c r="I304" s="6" t="s">
        <v>1353</v>
      </c>
      <c r="J304" s="6">
        <v>179</v>
      </c>
      <c r="K304" s="7" t="s">
        <v>1428</v>
      </c>
      <c r="L304" s="8">
        <v>2233675</v>
      </c>
      <c r="M304" s="8" t="str">
        <f t="shared" si="27"/>
        <v>PEN</v>
      </c>
      <c r="N304" s="13"/>
      <c r="O304" s="13">
        <v>1268.1099999999999</v>
      </c>
      <c r="P304" s="3">
        <f t="shared" si="28"/>
        <v>1268.1099999999999</v>
      </c>
      <c r="Q304" s="3">
        <f t="shared" si="29"/>
        <v>0</v>
      </c>
      <c r="R304" s="3">
        <f t="shared" si="25"/>
        <v>17738.729999999996</v>
      </c>
      <c r="S304" s="24" t="s">
        <v>1334</v>
      </c>
      <c r="T304" s="24" t="s">
        <v>1334</v>
      </c>
      <c r="U304" s="53"/>
      <c r="V304" s="25">
        <f>IFERROR(VLOOKUP(BCP_Soles[[#This Row],[destinatario]],CHOOSE({1,2},Clientes_Proveedores[Razon Social],Clientes_Proveedores[Ruc / Dni]),2,0),"")</f>
        <v>20558226979</v>
      </c>
      <c r="W304" s="25" t="s">
        <v>1345</v>
      </c>
      <c r="X304" s="25" t="s">
        <v>1679</v>
      </c>
      <c r="Y304" s="25"/>
      <c r="Z304" s="75"/>
      <c r="AA304" s="3" t="str">
        <f>IF(BCP_Soles[[#This Row],[fecha]]&gt;0,TEXT(BCP_Soles[[#This Row],[fecha]],"mmmm"),0)</f>
        <v>Enero</v>
      </c>
    </row>
    <row r="305" spans="1:27" ht="60" x14ac:dyDescent="0.3">
      <c r="A305" s="2">
        <f>IF(BCP_Soles[[#This Row],[tipo_registro]]="R",COUNTIFS($C$1:$C304,"R")+1,A304)</f>
        <v>190</v>
      </c>
      <c r="B305" s="19" t="str">
        <f t="shared" si="26"/>
        <v>B-BCP - Soles</v>
      </c>
      <c r="C305" s="3" t="s">
        <v>1330</v>
      </c>
      <c r="D305" s="14">
        <v>45680</v>
      </c>
      <c r="E305" s="5" t="s">
        <v>295</v>
      </c>
      <c r="F305" s="5" t="s">
        <v>1303</v>
      </c>
      <c r="G305" s="6" t="s">
        <v>425</v>
      </c>
      <c r="H305" s="6" t="s">
        <v>68</v>
      </c>
      <c r="I305" s="6" t="s">
        <v>1353</v>
      </c>
      <c r="J305" s="6">
        <v>178</v>
      </c>
      <c r="K305" s="7" t="s">
        <v>1428</v>
      </c>
      <c r="L305" s="8">
        <v>2243760</v>
      </c>
      <c r="M305" s="8" t="str">
        <f t="shared" si="27"/>
        <v>PEN</v>
      </c>
      <c r="N305" s="13"/>
      <c r="O305" s="13">
        <v>1045.74</v>
      </c>
      <c r="P305" s="3">
        <f t="shared" si="28"/>
        <v>1045.74</v>
      </c>
      <c r="Q305" s="3">
        <f t="shared" si="29"/>
        <v>0</v>
      </c>
      <c r="R305" s="3">
        <f t="shared" si="25"/>
        <v>18784.469999999998</v>
      </c>
      <c r="S305" s="24" t="s">
        <v>1334</v>
      </c>
      <c r="T305" s="24" t="s">
        <v>1334</v>
      </c>
      <c r="U305" s="53"/>
      <c r="V305" s="25">
        <f>IFERROR(VLOOKUP(BCP_Soles[[#This Row],[destinatario]],CHOOSE({1,2},Clientes_Proveedores[Razon Social],Clientes_Proveedores[Ruc / Dni]),2,0),"")</f>
        <v>20558226979</v>
      </c>
      <c r="W305" s="25" t="s">
        <v>1345</v>
      </c>
      <c r="X305" s="25" t="s">
        <v>1680</v>
      </c>
      <c r="Y305" s="25"/>
      <c r="Z305" s="75"/>
      <c r="AA305" s="3" t="str">
        <f>IF(BCP_Soles[[#This Row],[fecha]]&gt;0,TEXT(BCP_Soles[[#This Row],[fecha]],"mmmm"),0)</f>
        <v>Enero</v>
      </c>
    </row>
    <row r="306" spans="1:27" ht="60" x14ac:dyDescent="0.3">
      <c r="A306" s="2">
        <f>IF(BCP_Soles[[#This Row],[tipo_registro]]="R",COUNTIFS($C$1:$C305,"R")+1,A305)</f>
        <v>191</v>
      </c>
      <c r="B306" s="19" t="str">
        <f t="shared" si="26"/>
        <v>B-BCP - Soles</v>
      </c>
      <c r="C306" s="3" t="s">
        <v>1330</v>
      </c>
      <c r="D306" s="14">
        <v>45680</v>
      </c>
      <c r="E306" s="5" t="s">
        <v>295</v>
      </c>
      <c r="F306" s="5" t="s">
        <v>1303</v>
      </c>
      <c r="G306" s="6" t="s">
        <v>425</v>
      </c>
      <c r="H306" s="6"/>
      <c r="I306" s="6"/>
      <c r="J306" s="6"/>
      <c r="K306" s="7" t="s">
        <v>1428</v>
      </c>
      <c r="L306" s="8">
        <v>2115859</v>
      </c>
      <c r="M306" s="8" t="str">
        <f t="shared" si="27"/>
        <v>PEN</v>
      </c>
      <c r="N306" s="13"/>
      <c r="O306" s="13">
        <v>555.13</v>
      </c>
      <c r="P306" s="3">
        <f t="shared" si="28"/>
        <v>555.13</v>
      </c>
      <c r="Q306" s="3">
        <f t="shared" si="29"/>
        <v>0</v>
      </c>
      <c r="R306" s="3">
        <f t="shared" si="25"/>
        <v>19339.599999999999</v>
      </c>
      <c r="S306" s="24" t="s">
        <v>1334</v>
      </c>
      <c r="T306" s="24" t="s">
        <v>1334</v>
      </c>
      <c r="U306" s="53"/>
      <c r="V306" s="25">
        <f>IFERROR(VLOOKUP(BCP_Soles[[#This Row],[destinatario]],CHOOSE({1,2},Clientes_Proveedores[Razon Social],Clientes_Proveedores[Ruc / Dni]),2,0),"")</f>
        <v>20558226979</v>
      </c>
      <c r="W306" s="25" t="s">
        <v>1345</v>
      </c>
      <c r="X306" s="25" t="s">
        <v>1681</v>
      </c>
      <c r="Y306" s="25"/>
      <c r="Z306" s="75"/>
      <c r="AA306" s="3" t="str">
        <f>IF(BCP_Soles[[#This Row],[fecha]]&gt;0,TEXT(BCP_Soles[[#This Row],[fecha]],"mmmm"),0)</f>
        <v>Enero</v>
      </c>
    </row>
    <row r="307" spans="1:27" x14ac:dyDescent="0.3">
      <c r="A307" s="2">
        <f>IF(BCP_Soles[[#This Row],[tipo_registro]]="R",COUNTIFS($C$1:$C306,"R")+1,A306)</f>
        <v>192</v>
      </c>
      <c r="B307" s="19" t="str">
        <f t="shared" si="26"/>
        <v>B-BCP - Soles</v>
      </c>
      <c r="C307" s="3" t="s">
        <v>1330</v>
      </c>
      <c r="D307" s="14">
        <v>45680</v>
      </c>
      <c r="E307" s="5" t="s">
        <v>1335</v>
      </c>
      <c r="F307" s="5" t="s">
        <v>1336</v>
      </c>
      <c r="G307" s="6"/>
      <c r="H307" s="6"/>
      <c r="I307" s="6"/>
      <c r="J307" s="6"/>
      <c r="K307" s="7" t="s">
        <v>1337</v>
      </c>
      <c r="L307" s="8"/>
      <c r="M307" s="8" t="str">
        <f t="shared" si="27"/>
        <v>PEN</v>
      </c>
      <c r="N307" s="13"/>
      <c r="O307" s="13">
        <v>1.05</v>
      </c>
      <c r="P307" s="3">
        <f t="shared" si="28"/>
        <v>0</v>
      </c>
      <c r="Q307" s="3">
        <f t="shared" si="29"/>
        <v>1.05</v>
      </c>
      <c r="R307" s="3">
        <f t="shared" si="25"/>
        <v>19338.55</v>
      </c>
      <c r="S307" s="24"/>
      <c r="T307" s="24" t="s">
        <v>1334</v>
      </c>
      <c r="U307" s="53"/>
      <c r="V307" s="25" t="str">
        <f>IFERROR(VLOOKUP(BCP_Soles[[#This Row],[destinatario]],CHOOSE({1,2},Clientes_Proveedores[Razon Social],Clientes_Proveedores[Ruc / Dni]),2,0),"")</f>
        <v/>
      </c>
      <c r="W307" s="25"/>
      <c r="X307" s="25"/>
      <c r="Y307" s="25"/>
      <c r="Z307" s="75"/>
      <c r="AA307" s="3" t="str">
        <f>IF(BCP_Soles[[#This Row],[fecha]]&gt;0,TEXT(BCP_Soles[[#This Row],[fecha]],"mmmm"),0)</f>
        <v>Enero</v>
      </c>
    </row>
    <row r="308" spans="1:27" ht="24" x14ac:dyDescent="0.3">
      <c r="A308" s="2">
        <f>IF(BCP_Soles[[#This Row],[tipo_registro]]="R",COUNTIFS($C$1:$C307,"R")+1,A307)</f>
        <v>193</v>
      </c>
      <c r="B308" s="19" t="str">
        <f t="shared" si="26"/>
        <v>B-BCP - Soles</v>
      </c>
      <c r="C308" s="3" t="s">
        <v>1330</v>
      </c>
      <c r="D308" s="14">
        <v>45680</v>
      </c>
      <c r="E308" s="5" t="s">
        <v>1335</v>
      </c>
      <c r="F308" s="5" t="s">
        <v>1336</v>
      </c>
      <c r="G308" s="6" t="s">
        <v>1060</v>
      </c>
      <c r="H308" s="6"/>
      <c r="I308" s="6"/>
      <c r="J308" s="6"/>
      <c r="K308" s="7" t="s">
        <v>1682</v>
      </c>
      <c r="L308" s="8">
        <v>4621361</v>
      </c>
      <c r="M308" s="8" t="str">
        <f t="shared" si="27"/>
        <v>PEN</v>
      </c>
      <c r="N308" s="13"/>
      <c r="O308" s="13">
        <v>10</v>
      </c>
      <c r="P308" s="3">
        <f t="shared" si="28"/>
        <v>0</v>
      </c>
      <c r="Q308" s="3">
        <f t="shared" si="29"/>
        <v>10</v>
      </c>
      <c r="R308" s="3">
        <f t="shared" si="25"/>
        <v>19328.55</v>
      </c>
      <c r="S308" s="24"/>
      <c r="T308" s="24"/>
      <c r="U308" s="53"/>
      <c r="V308" s="25">
        <f>IFERROR(VLOOKUP(BCP_Soles[[#This Row],[destinatario]],CHOOSE({1,2},Clientes_Proveedores[Razon Social],Clientes_Proveedores[Ruc / Dni]),2,0),"")</f>
        <v>20100047218</v>
      </c>
      <c r="W308" s="25" t="s">
        <v>1335</v>
      </c>
      <c r="X308" s="25"/>
      <c r="Y308" s="25"/>
      <c r="Z308" s="75"/>
      <c r="AA308" s="3" t="str">
        <f>IF(BCP_Soles[[#This Row],[fecha]]&gt;0,TEXT(BCP_Soles[[#This Row],[fecha]],"mmmm"),0)</f>
        <v>Enero</v>
      </c>
    </row>
    <row r="309" spans="1:27" ht="24" x14ac:dyDescent="0.3">
      <c r="A309" s="2">
        <f>IF(BCP_Soles[[#This Row],[tipo_registro]]="R",COUNTIFS($C$1:$C308,"R")+1,A308)</f>
        <v>194</v>
      </c>
      <c r="B309" s="19" t="str">
        <f t="shared" si="26"/>
        <v>B-BCP - Soles</v>
      </c>
      <c r="C309" s="3" t="s">
        <v>1330</v>
      </c>
      <c r="D309" s="14">
        <v>45680</v>
      </c>
      <c r="E309" s="5" t="s">
        <v>1338</v>
      </c>
      <c r="F309" s="5" t="s">
        <v>1336</v>
      </c>
      <c r="G309" s="6" t="s">
        <v>747</v>
      </c>
      <c r="H309" s="6" t="s">
        <v>72</v>
      </c>
      <c r="I309" s="6" t="s">
        <v>1376</v>
      </c>
      <c r="J309" s="6">
        <v>23</v>
      </c>
      <c r="K309" s="7" t="s">
        <v>1683</v>
      </c>
      <c r="L309" s="8">
        <v>1246112</v>
      </c>
      <c r="M309" s="8" t="str">
        <f t="shared" si="27"/>
        <v>PEN</v>
      </c>
      <c r="N309" s="13"/>
      <c r="O309" s="13">
        <v>60</v>
      </c>
      <c r="P309" s="3">
        <f t="shared" si="28"/>
        <v>0</v>
      </c>
      <c r="Q309" s="3">
        <f t="shared" si="29"/>
        <v>60</v>
      </c>
      <c r="R309" s="3">
        <f t="shared" si="25"/>
        <v>19268.55</v>
      </c>
      <c r="S309" s="24" t="s">
        <v>1334</v>
      </c>
      <c r="T309" s="24" t="s">
        <v>1334</v>
      </c>
      <c r="U309" s="53"/>
      <c r="V309" s="25">
        <f>IFERROR(VLOOKUP(BCP_Soles[[#This Row],[destinatario]],CHOOSE({1,2},Clientes_Proveedores[Razon Social],Clientes_Proveedores[Ruc / Dni]),2,0),"")</f>
        <v>10446328129</v>
      </c>
      <c r="W309" s="25" t="s">
        <v>1684</v>
      </c>
      <c r="X309" s="25" t="s">
        <v>1685</v>
      </c>
      <c r="Y309" s="25"/>
      <c r="Z309" s="75"/>
      <c r="AA309" s="3" t="str">
        <f>IF(BCP_Soles[[#This Row],[fecha]]&gt;0,TEXT(BCP_Soles[[#This Row],[fecha]],"mmmm"),0)</f>
        <v>Enero</v>
      </c>
    </row>
    <row r="310" spans="1:27" ht="24" x14ac:dyDescent="0.3">
      <c r="A310" s="2">
        <f>IF(BCP_Soles[[#This Row],[tipo_registro]]="R",COUNTIFS($C$1:$C309,"R")+1,A309)</f>
        <v>195</v>
      </c>
      <c r="B310" s="19" t="str">
        <f t="shared" si="26"/>
        <v>B-BCP - Soles</v>
      </c>
      <c r="C310" s="3" t="s">
        <v>1330</v>
      </c>
      <c r="D310" s="14">
        <v>45680</v>
      </c>
      <c r="E310" s="5" t="s">
        <v>1338</v>
      </c>
      <c r="F310" s="5" t="s">
        <v>1336</v>
      </c>
      <c r="G310" s="6"/>
      <c r="H310" s="6"/>
      <c r="I310" s="6"/>
      <c r="J310" s="6"/>
      <c r="K310" s="7" t="s">
        <v>1686</v>
      </c>
      <c r="L310" s="8">
        <v>4027161</v>
      </c>
      <c r="M310" s="8" t="str">
        <f t="shared" si="27"/>
        <v>PEN</v>
      </c>
      <c r="N310" s="13"/>
      <c r="O310" s="13">
        <v>228.5</v>
      </c>
      <c r="P310" s="3">
        <f t="shared" si="28"/>
        <v>0</v>
      </c>
      <c r="Q310" s="3">
        <f t="shared" si="29"/>
        <v>228.5</v>
      </c>
      <c r="R310" s="3">
        <f t="shared" si="25"/>
        <v>19040.05</v>
      </c>
      <c r="S310" s="24"/>
      <c r="T310" s="24"/>
      <c r="U310" s="53"/>
      <c r="V310" s="25" t="str">
        <f>IFERROR(VLOOKUP(BCP_Soles[[#This Row],[destinatario]],CHOOSE({1,2},Clientes_Proveedores[Razon Social],Clientes_Proveedores[Ruc / Dni]),2,0),"")</f>
        <v/>
      </c>
      <c r="W310" s="25" t="s">
        <v>611</v>
      </c>
      <c r="X310" s="25"/>
      <c r="Y310" s="25"/>
      <c r="Z310" s="75"/>
      <c r="AA310" s="3" t="str">
        <f>IF(BCP_Soles[[#This Row],[fecha]]&gt;0,TEXT(BCP_Soles[[#This Row],[fecha]],"mmmm"),0)</f>
        <v>Enero</v>
      </c>
    </row>
    <row r="311" spans="1:27" ht="24" x14ac:dyDescent="0.3">
      <c r="A311" s="2">
        <f>IF(BCP_Soles[[#This Row],[tipo_registro]]="R",COUNTIFS($C$1:$C310,"R")+1,A310)</f>
        <v>196</v>
      </c>
      <c r="B311" s="19" t="str">
        <f t="shared" si="26"/>
        <v>B-BCP - Soles</v>
      </c>
      <c r="C311" s="3" t="s">
        <v>1330</v>
      </c>
      <c r="D311" s="14">
        <v>45680</v>
      </c>
      <c r="E311" s="5" t="s">
        <v>1421</v>
      </c>
      <c r="F311" s="5" t="s">
        <v>1336</v>
      </c>
      <c r="G311" s="6" t="s">
        <v>809</v>
      </c>
      <c r="H311" s="6" t="s">
        <v>143</v>
      </c>
      <c r="I311" s="6">
        <v>1</v>
      </c>
      <c r="J311" s="6">
        <v>782025</v>
      </c>
      <c r="K311" s="7" t="s">
        <v>1356</v>
      </c>
      <c r="L311" s="8">
        <v>3667786</v>
      </c>
      <c r="M311" s="8" t="str">
        <f t="shared" si="27"/>
        <v>PEN</v>
      </c>
      <c r="N311" s="13"/>
      <c r="O311" s="13">
        <v>500</v>
      </c>
      <c r="P311" s="3">
        <f t="shared" si="28"/>
        <v>0</v>
      </c>
      <c r="Q311" s="3">
        <f t="shared" si="29"/>
        <v>500</v>
      </c>
      <c r="R311" s="3">
        <f t="shared" si="25"/>
        <v>18540.05</v>
      </c>
      <c r="S311" s="24"/>
      <c r="T311" s="24" t="s">
        <v>1334</v>
      </c>
      <c r="U311" s="53"/>
      <c r="V311" s="25">
        <f>IFERROR(VLOOKUP(BCP_Soles[[#This Row],[destinatario]],CHOOSE({1,2},Clientes_Proveedores[Razon Social],Clientes_Proveedores[Ruc / Dni]),2,0),"")</f>
        <v>45286301</v>
      </c>
      <c r="W311" s="25"/>
      <c r="X311" s="25" t="s">
        <v>1430</v>
      </c>
      <c r="Y311" s="25"/>
      <c r="Z311" s="75"/>
      <c r="AA311" s="3" t="str">
        <f>IF(BCP_Soles[[#This Row],[fecha]]&gt;0,TEXT(BCP_Soles[[#This Row],[fecha]],"mmmm"),0)</f>
        <v>Enero</v>
      </c>
    </row>
    <row r="312" spans="1:27" ht="24" x14ac:dyDescent="0.3">
      <c r="A312" s="2">
        <f>IF(BCP_Soles[[#This Row],[tipo_registro]]="R",COUNTIFS($C$1:$C311,"R")+1,A311)</f>
        <v>197</v>
      </c>
      <c r="B312" s="19" t="str">
        <f t="shared" si="26"/>
        <v>B-BCP - Soles</v>
      </c>
      <c r="C312" s="3" t="s">
        <v>1330</v>
      </c>
      <c r="D312" s="14">
        <v>45680</v>
      </c>
      <c r="E312" s="5" t="s">
        <v>1338</v>
      </c>
      <c r="F312" s="5" t="s">
        <v>1336</v>
      </c>
      <c r="G312" s="6" t="s">
        <v>747</v>
      </c>
      <c r="H312" s="6" t="s">
        <v>72</v>
      </c>
      <c r="I312" s="6" t="s">
        <v>1376</v>
      </c>
      <c r="J312" s="6">
        <v>22</v>
      </c>
      <c r="K312" s="7" t="s">
        <v>1687</v>
      </c>
      <c r="L312" s="8">
        <v>1236155</v>
      </c>
      <c r="M312" s="8" t="str">
        <f t="shared" si="27"/>
        <v>PEN</v>
      </c>
      <c r="N312" s="13"/>
      <c r="O312" s="13">
        <v>540</v>
      </c>
      <c r="P312" s="3">
        <f t="shared" si="28"/>
        <v>0</v>
      </c>
      <c r="Q312" s="3">
        <f t="shared" si="29"/>
        <v>540</v>
      </c>
      <c r="R312" s="3">
        <f t="shared" si="25"/>
        <v>18000.05</v>
      </c>
      <c r="S312" s="24" t="s">
        <v>1334</v>
      </c>
      <c r="T312" s="24" t="s">
        <v>1334</v>
      </c>
      <c r="U312" s="53"/>
      <c r="V312" s="25">
        <f>IFERROR(VLOOKUP(BCP_Soles[[#This Row],[destinatario]],CHOOSE({1,2},Clientes_Proveedores[Razon Social],Clientes_Proveedores[Ruc / Dni]),2,0),"")</f>
        <v>10446328129</v>
      </c>
      <c r="W312" s="25" t="s">
        <v>1684</v>
      </c>
      <c r="X312" s="25" t="s">
        <v>1688</v>
      </c>
      <c r="Y312" s="25"/>
      <c r="Z312" s="75"/>
      <c r="AA312" s="3" t="str">
        <f>IF(BCP_Soles[[#This Row],[fecha]]&gt;0,TEXT(BCP_Soles[[#This Row],[fecha]],"mmmm"),0)</f>
        <v>Enero</v>
      </c>
    </row>
    <row r="313" spans="1:27" ht="24" x14ac:dyDescent="0.3">
      <c r="A313" s="2">
        <f>IF(BCP_Soles[[#This Row],[tipo_registro]]="R",COUNTIFS($C$1:$C312,"R")+1,A312)</f>
        <v>198</v>
      </c>
      <c r="B313" s="19" t="str">
        <f t="shared" si="26"/>
        <v>B-BCP - Soles</v>
      </c>
      <c r="C313" s="3" t="s">
        <v>1330</v>
      </c>
      <c r="D313" s="14">
        <v>45680</v>
      </c>
      <c r="E313" s="5" t="s">
        <v>1338</v>
      </c>
      <c r="F313" s="5" t="s">
        <v>1336</v>
      </c>
      <c r="G313" s="6" t="s">
        <v>1068</v>
      </c>
      <c r="H313" s="6" t="s">
        <v>143</v>
      </c>
      <c r="I313" s="6">
        <v>1</v>
      </c>
      <c r="J313" s="6">
        <v>32025</v>
      </c>
      <c r="K313" s="7" t="s">
        <v>1689</v>
      </c>
      <c r="L313" s="8">
        <v>1095212</v>
      </c>
      <c r="M313" s="8" t="str">
        <f t="shared" si="27"/>
        <v>PEN</v>
      </c>
      <c r="N313" s="13"/>
      <c r="O313" s="13">
        <v>880</v>
      </c>
      <c r="P313" s="3">
        <f t="shared" si="28"/>
        <v>0</v>
      </c>
      <c r="Q313" s="3">
        <f t="shared" si="29"/>
        <v>880</v>
      </c>
      <c r="R313" s="3">
        <f t="shared" si="25"/>
        <v>17120.05</v>
      </c>
      <c r="S313" s="24" t="s">
        <v>1334</v>
      </c>
      <c r="T313" s="24" t="s">
        <v>1334</v>
      </c>
      <c r="U313" s="53"/>
      <c r="V313" s="25">
        <f>IFERROR(VLOOKUP(BCP_Soles[[#This Row],[destinatario]],CHOOSE({1,2},Clientes_Proveedores[Razon Social],Clientes_Proveedores[Ruc / Dni]),2,0),"")</f>
        <v>72725445</v>
      </c>
      <c r="W313" s="25"/>
      <c r="X313" s="25"/>
      <c r="Y313" s="25"/>
      <c r="Z313" s="75"/>
      <c r="AA313" s="3" t="str">
        <f>IF(BCP_Soles[[#This Row],[fecha]]&gt;0,TEXT(BCP_Soles[[#This Row],[fecha]],"mmmm"),0)</f>
        <v>Enero</v>
      </c>
    </row>
    <row r="314" spans="1:27" x14ac:dyDescent="0.3">
      <c r="A314" s="2">
        <f>IF(BCP_Soles[[#This Row],[tipo_registro]]="R",COUNTIFS($C$1:$C313,"R")+1,A313)</f>
        <v>199</v>
      </c>
      <c r="B314" s="19" t="str">
        <f t="shared" si="26"/>
        <v>B-BCP - Soles</v>
      </c>
      <c r="C314" s="3" t="s">
        <v>1330</v>
      </c>
      <c r="D314" s="14">
        <v>45680</v>
      </c>
      <c r="E314" s="5" t="s">
        <v>1338</v>
      </c>
      <c r="F314" s="5" t="s">
        <v>1336</v>
      </c>
      <c r="G314" s="6" t="s">
        <v>696</v>
      </c>
      <c r="H314" s="6"/>
      <c r="I314" s="6"/>
      <c r="J314" s="6"/>
      <c r="K314" s="7" t="s">
        <v>1690</v>
      </c>
      <c r="L314" s="8">
        <v>4621351</v>
      </c>
      <c r="M314" s="8" t="str">
        <f t="shared" si="27"/>
        <v>PEN</v>
      </c>
      <c r="N314" s="13"/>
      <c r="O314" s="13">
        <v>4488.87</v>
      </c>
      <c r="P314" s="3">
        <f t="shared" si="28"/>
        <v>0</v>
      </c>
      <c r="Q314" s="3">
        <f t="shared" si="29"/>
        <v>4488.87</v>
      </c>
      <c r="R314" s="3">
        <f t="shared" si="25"/>
        <v>12631.18</v>
      </c>
      <c r="S314" s="24" t="s">
        <v>1334</v>
      </c>
      <c r="T314" s="24" t="s">
        <v>1334</v>
      </c>
      <c r="U314" s="53"/>
      <c r="V314" s="25">
        <f>IFERROR(VLOOKUP(BCP_Soles[[#This Row],[destinatario]],CHOOSE({1,2},Clientes_Proveedores[Razon Social],Clientes_Proveedores[Ruc / Dni]),2,0),"")</f>
        <v>0</v>
      </c>
      <c r="W314" s="25" t="s">
        <v>1373</v>
      </c>
      <c r="X314" s="25"/>
      <c r="Y314" s="25"/>
      <c r="Z314" s="75"/>
      <c r="AA314" s="3" t="str">
        <f>IF(BCP_Soles[[#This Row],[fecha]]&gt;0,TEXT(BCP_Soles[[#This Row],[fecha]],"mmmm"),0)</f>
        <v>Enero</v>
      </c>
    </row>
    <row r="315" spans="1:27" x14ac:dyDescent="0.3">
      <c r="A315" s="2">
        <f>IF(BCP_Soles[[#This Row],[tipo_registro]]="R",COUNTIFS($C$1:$C314,"R")+1,A314)</f>
        <v>199</v>
      </c>
      <c r="B315" s="19" t="str">
        <f t="shared" si="26"/>
        <v>B-BCP - Soles</v>
      </c>
      <c r="C315" s="3" t="s">
        <v>1352</v>
      </c>
      <c r="D315" s="14">
        <v>45680</v>
      </c>
      <c r="E315" s="5" t="s">
        <v>1338</v>
      </c>
      <c r="F315" s="5"/>
      <c r="G315" s="6" t="s">
        <v>493</v>
      </c>
      <c r="H315" s="6" t="s">
        <v>68</v>
      </c>
      <c r="I315" s="6" t="s">
        <v>1374</v>
      </c>
      <c r="J315" s="6">
        <v>8697</v>
      </c>
      <c r="K315" s="7" t="s">
        <v>1690</v>
      </c>
      <c r="L315" s="8">
        <v>4621351</v>
      </c>
      <c r="M315" s="8" t="str">
        <f t="shared" si="27"/>
        <v>PEN</v>
      </c>
      <c r="N315" s="13">
        <v>295</v>
      </c>
      <c r="O315" s="13"/>
      <c r="P315" s="3">
        <f t="shared" si="28"/>
        <v>0</v>
      </c>
      <c r="Q315" s="3">
        <f t="shared" si="29"/>
        <v>0</v>
      </c>
      <c r="R315" s="3">
        <f t="shared" si="25"/>
        <v>12631.18</v>
      </c>
      <c r="S315" s="24"/>
      <c r="T315" s="24" t="s">
        <v>1334</v>
      </c>
      <c r="U315" s="53"/>
      <c r="V315" s="25">
        <f>IFERROR(VLOOKUP(BCP_Soles[[#This Row],[destinatario]],CHOOSE({1,2},Clientes_Proveedores[Razon Social],Clientes_Proveedores[Ruc / Dni]),2,0),"")</f>
        <v>20602751326</v>
      </c>
      <c r="W315" s="25"/>
      <c r="X315" s="25"/>
      <c r="Y315" s="25"/>
      <c r="Z315" s="75"/>
      <c r="AA315" s="3" t="str">
        <f>IF(BCP_Soles[[#This Row],[fecha]]&gt;0,TEXT(BCP_Soles[[#This Row],[fecha]],"mmmm"),0)</f>
        <v>Enero</v>
      </c>
    </row>
    <row r="316" spans="1:27" x14ac:dyDescent="0.3">
      <c r="A316" s="2">
        <f>IF(BCP_Soles[[#This Row],[tipo_registro]]="R",COUNTIFS($C$1:$C315,"R")+1,A315)</f>
        <v>199</v>
      </c>
      <c r="B316" s="19" t="str">
        <f t="shared" si="26"/>
        <v>B-BCP - Soles</v>
      </c>
      <c r="C316" s="3" t="s">
        <v>1352</v>
      </c>
      <c r="D316" s="14">
        <v>45680</v>
      </c>
      <c r="E316" s="5" t="s">
        <v>1338</v>
      </c>
      <c r="F316" s="5"/>
      <c r="G316" s="6" t="s">
        <v>522</v>
      </c>
      <c r="H316" s="6" t="s">
        <v>68</v>
      </c>
      <c r="I316" s="6" t="s">
        <v>1376</v>
      </c>
      <c r="J316" s="6">
        <v>3636</v>
      </c>
      <c r="K316" s="7" t="s">
        <v>1690</v>
      </c>
      <c r="L316" s="8">
        <v>4621351</v>
      </c>
      <c r="M316" s="8" t="str">
        <f t="shared" si="27"/>
        <v>PEN</v>
      </c>
      <c r="N316" s="13">
        <v>212.4</v>
      </c>
      <c r="O316" s="13"/>
      <c r="P316" s="3">
        <f t="shared" si="28"/>
        <v>0</v>
      </c>
      <c r="Q316" s="3">
        <f t="shared" si="29"/>
        <v>0</v>
      </c>
      <c r="R316" s="3">
        <f t="shared" si="25"/>
        <v>12631.18</v>
      </c>
      <c r="S316" s="24"/>
      <c r="T316" s="24" t="s">
        <v>1334</v>
      </c>
      <c r="U316" s="53"/>
      <c r="V316" s="25">
        <f>IFERROR(VLOOKUP(BCP_Soles[[#This Row],[destinatario]],CHOOSE({1,2},Clientes_Proveedores[Razon Social],Clientes_Proveedores[Ruc / Dni]),2,0),"")</f>
        <v>20603974817</v>
      </c>
      <c r="W316" s="25"/>
      <c r="X316" s="25"/>
      <c r="Y316" s="25"/>
      <c r="Z316" s="75"/>
      <c r="AA316" s="3" t="str">
        <f>IF(BCP_Soles[[#This Row],[fecha]]&gt;0,TEXT(BCP_Soles[[#This Row],[fecha]],"mmmm"),0)</f>
        <v>Enero</v>
      </c>
    </row>
    <row r="317" spans="1:27" x14ac:dyDescent="0.3">
      <c r="A317" s="2">
        <f>IF(BCP_Soles[[#This Row],[tipo_registro]]="R",COUNTIFS($C$1:$C316,"R")+1,A316)</f>
        <v>199</v>
      </c>
      <c r="B317" s="19" t="str">
        <f t="shared" si="26"/>
        <v>B-BCP - Soles</v>
      </c>
      <c r="C317" s="3" t="s">
        <v>1352</v>
      </c>
      <c r="D317" s="14">
        <v>45680</v>
      </c>
      <c r="E317" s="5" t="s">
        <v>1338</v>
      </c>
      <c r="F317" s="5"/>
      <c r="G317" s="6" t="s">
        <v>522</v>
      </c>
      <c r="H317" s="6" t="s">
        <v>68</v>
      </c>
      <c r="I317" s="6" t="s">
        <v>1376</v>
      </c>
      <c r="J317" s="6">
        <v>3634</v>
      </c>
      <c r="K317" s="7" t="s">
        <v>1690</v>
      </c>
      <c r="L317" s="8">
        <v>4621351</v>
      </c>
      <c r="M317" s="8" t="str">
        <f t="shared" si="27"/>
        <v>PEN</v>
      </c>
      <c r="N317" s="13">
        <v>377.6</v>
      </c>
      <c r="O317" s="13"/>
      <c r="P317" s="3">
        <f t="shared" si="28"/>
        <v>0</v>
      </c>
      <c r="Q317" s="3">
        <f t="shared" si="29"/>
        <v>0</v>
      </c>
      <c r="R317" s="3">
        <f t="shared" si="25"/>
        <v>12631.18</v>
      </c>
      <c r="S317" s="24"/>
      <c r="T317" s="24" t="s">
        <v>1334</v>
      </c>
      <c r="U317" s="53"/>
      <c r="V317" s="25">
        <f>IFERROR(VLOOKUP(BCP_Soles[[#This Row],[destinatario]],CHOOSE({1,2},Clientes_Proveedores[Razon Social],Clientes_Proveedores[Ruc / Dni]),2,0),"")</f>
        <v>20603974817</v>
      </c>
      <c r="W317" s="25"/>
      <c r="X317" s="25"/>
      <c r="Y317" s="25"/>
      <c r="Z317" s="75"/>
      <c r="AA317" s="3" t="str">
        <f>IF(BCP_Soles[[#This Row],[fecha]]&gt;0,TEXT(BCP_Soles[[#This Row],[fecha]],"mmmm"),0)</f>
        <v>Enero</v>
      </c>
    </row>
    <row r="318" spans="1:27" ht="24" x14ac:dyDescent="0.3">
      <c r="A318" s="2">
        <f>IF(BCP_Soles[[#This Row],[tipo_registro]]="R",COUNTIFS($C$1:$C317,"R")+1,A317)</f>
        <v>199</v>
      </c>
      <c r="B318" s="19" t="str">
        <f t="shared" si="26"/>
        <v>B-BCP - Soles</v>
      </c>
      <c r="C318" s="3" t="s">
        <v>1352</v>
      </c>
      <c r="D318" s="14">
        <v>45680</v>
      </c>
      <c r="E318" s="5" t="s">
        <v>1338</v>
      </c>
      <c r="F318" s="5"/>
      <c r="G318" s="6" t="s">
        <v>271</v>
      </c>
      <c r="H318" s="6" t="s">
        <v>68</v>
      </c>
      <c r="I318" s="6" t="s">
        <v>1375</v>
      </c>
      <c r="J318" s="6">
        <v>6849</v>
      </c>
      <c r="K318" s="7" t="s">
        <v>1690</v>
      </c>
      <c r="L318" s="8">
        <v>4621351</v>
      </c>
      <c r="M318" s="8" t="str">
        <f t="shared" si="27"/>
        <v>PEN</v>
      </c>
      <c r="N318" s="13">
        <v>736.45</v>
      </c>
      <c r="O318" s="13"/>
      <c r="P318" s="3">
        <f t="shared" si="28"/>
        <v>0</v>
      </c>
      <c r="Q318" s="3">
        <f t="shared" si="29"/>
        <v>0</v>
      </c>
      <c r="R318" s="3">
        <f t="shared" si="25"/>
        <v>12631.18</v>
      </c>
      <c r="S318" s="24"/>
      <c r="T318" s="24" t="s">
        <v>1334</v>
      </c>
      <c r="U318" s="53"/>
      <c r="V318" s="25">
        <f>IFERROR(VLOOKUP(BCP_Soles[[#This Row],[destinatario]],CHOOSE({1,2},Clientes_Proveedores[Razon Social],Clientes_Proveedores[Ruc / Dni]),2,0),"")</f>
        <v>20419158462</v>
      </c>
      <c r="W318" s="25"/>
      <c r="X318" s="25"/>
      <c r="Y318" s="25"/>
      <c r="Z318" s="75"/>
      <c r="AA318" s="3" t="str">
        <f>IF(BCP_Soles[[#This Row],[fecha]]&gt;0,TEXT(BCP_Soles[[#This Row],[fecha]],"mmmm"),0)</f>
        <v>Enero</v>
      </c>
    </row>
    <row r="319" spans="1:27" x14ac:dyDescent="0.3">
      <c r="A319" s="2">
        <f>IF(BCP_Soles[[#This Row],[tipo_registro]]="R",COUNTIFS($C$1:$C318,"R")+1,A318)</f>
        <v>199</v>
      </c>
      <c r="B319" s="19" t="str">
        <f t="shared" si="26"/>
        <v>B-BCP - Soles</v>
      </c>
      <c r="C319" s="3" t="s">
        <v>1352</v>
      </c>
      <c r="D319" s="14">
        <v>45680</v>
      </c>
      <c r="E319" s="5" t="s">
        <v>1338</v>
      </c>
      <c r="F319" s="5"/>
      <c r="G319" s="6" t="s">
        <v>286</v>
      </c>
      <c r="H319" s="6" t="s">
        <v>68</v>
      </c>
      <c r="I319" s="6" t="s">
        <v>1386</v>
      </c>
      <c r="J319" s="6">
        <v>1676</v>
      </c>
      <c r="K319" s="7" t="s">
        <v>1690</v>
      </c>
      <c r="L319" s="8">
        <v>4621351</v>
      </c>
      <c r="M319" s="8" t="str">
        <f t="shared" si="27"/>
        <v>PEN</v>
      </c>
      <c r="N319" s="13">
        <v>1408.81</v>
      </c>
      <c r="O319" s="13"/>
      <c r="P319" s="3">
        <f t="shared" si="28"/>
        <v>0</v>
      </c>
      <c r="Q319" s="3">
        <f t="shared" si="29"/>
        <v>0</v>
      </c>
      <c r="R319" s="3">
        <f t="shared" si="25"/>
        <v>12631.18</v>
      </c>
      <c r="S319" s="24"/>
      <c r="T319" s="24" t="s">
        <v>1334</v>
      </c>
      <c r="U319" s="53"/>
      <c r="V319" s="25">
        <f>IFERROR(VLOOKUP(BCP_Soles[[#This Row],[destinatario]],CHOOSE({1,2},Clientes_Proveedores[Razon Social],Clientes_Proveedores[Ruc / Dni]),2,0),"")</f>
        <v>20454186002</v>
      </c>
      <c r="W319" s="25"/>
      <c r="X319" s="25"/>
      <c r="Y319" s="25"/>
      <c r="Z319" s="75"/>
      <c r="AA319" s="3" t="str">
        <f>IF(BCP_Soles[[#This Row],[fecha]]&gt;0,TEXT(BCP_Soles[[#This Row],[fecha]],"mmmm"),0)</f>
        <v>Enero</v>
      </c>
    </row>
    <row r="320" spans="1:27" x14ac:dyDescent="0.3">
      <c r="A320" s="2">
        <f>IF(BCP_Soles[[#This Row],[tipo_registro]]="R",COUNTIFS($C$1:$C319,"R")+1,A319)</f>
        <v>199</v>
      </c>
      <c r="B320" s="19" t="str">
        <f t="shared" si="26"/>
        <v>B-BCP - Soles</v>
      </c>
      <c r="C320" s="3" t="s">
        <v>1352</v>
      </c>
      <c r="D320" s="14">
        <v>45680</v>
      </c>
      <c r="E320" s="5" t="s">
        <v>1338</v>
      </c>
      <c r="F320" s="5"/>
      <c r="G320" s="6" t="s">
        <v>286</v>
      </c>
      <c r="H320" s="6" t="s">
        <v>68</v>
      </c>
      <c r="I320" s="6" t="s">
        <v>1386</v>
      </c>
      <c r="J320" s="6">
        <v>1677</v>
      </c>
      <c r="K320" s="7" t="s">
        <v>1690</v>
      </c>
      <c r="L320" s="8">
        <v>4621351</v>
      </c>
      <c r="M320" s="8" t="str">
        <f t="shared" si="27"/>
        <v>PEN</v>
      </c>
      <c r="N320" s="13">
        <v>83</v>
      </c>
      <c r="O320" s="13"/>
      <c r="P320" s="3">
        <f t="shared" si="28"/>
        <v>0</v>
      </c>
      <c r="Q320" s="3">
        <f t="shared" si="29"/>
        <v>0</v>
      </c>
      <c r="R320" s="3">
        <f t="shared" si="25"/>
        <v>12631.18</v>
      </c>
      <c r="S320" s="24"/>
      <c r="T320" s="24" t="s">
        <v>1334</v>
      </c>
      <c r="U320" s="53"/>
      <c r="V320" s="25">
        <f>IFERROR(VLOOKUP(BCP_Soles[[#This Row],[destinatario]],CHOOSE({1,2},Clientes_Proveedores[Razon Social],Clientes_Proveedores[Ruc / Dni]),2,0),"")</f>
        <v>20454186002</v>
      </c>
      <c r="W320" s="25"/>
      <c r="X320" s="25"/>
      <c r="Y320" s="25"/>
      <c r="Z320" s="75"/>
      <c r="AA320" s="3" t="str">
        <f>IF(BCP_Soles[[#This Row],[fecha]]&gt;0,TEXT(BCP_Soles[[#This Row],[fecha]],"mmmm"),0)</f>
        <v>Enero</v>
      </c>
    </row>
    <row r="321" spans="1:27" x14ac:dyDescent="0.3">
      <c r="A321" s="2">
        <f>IF(BCP_Soles[[#This Row],[tipo_registro]]="R",COUNTIFS($C$1:$C320,"R")+1,A320)</f>
        <v>199</v>
      </c>
      <c r="B321" s="19" t="str">
        <f t="shared" si="26"/>
        <v>B-BCP - Soles</v>
      </c>
      <c r="C321" s="3" t="s">
        <v>1352</v>
      </c>
      <c r="D321" s="14">
        <v>45680</v>
      </c>
      <c r="E321" s="5" t="s">
        <v>1338</v>
      </c>
      <c r="F321" s="5"/>
      <c r="G321" s="6" t="s">
        <v>286</v>
      </c>
      <c r="H321" s="6" t="s">
        <v>68</v>
      </c>
      <c r="I321" s="6" t="s">
        <v>1386</v>
      </c>
      <c r="J321" s="6">
        <v>1678</v>
      </c>
      <c r="K321" s="7" t="s">
        <v>1690</v>
      </c>
      <c r="L321" s="8">
        <v>4621351</v>
      </c>
      <c r="M321" s="8" t="str">
        <f t="shared" si="27"/>
        <v>PEN</v>
      </c>
      <c r="N321" s="13">
        <v>586.41</v>
      </c>
      <c r="O321" s="13"/>
      <c r="P321" s="3">
        <f t="shared" si="28"/>
        <v>0</v>
      </c>
      <c r="Q321" s="3">
        <f t="shared" si="29"/>
        <v>0</v>
      </c>
      <c r="R321" s="3">
        <f t="shared" si="25"/>
        <v>12631.18</v>
      </c>
      <c r="S321" s="24"/>
      <c r="T321" s="24" t="s">
        <v>1334</v>
      </c>
      <c r="U321" s="53"/>
      <c r="V321" s="25">
        <f>IFERROR(VLOOKUP(BCP_Soles[[#This Row],[destinatario]],CHOOSE({1,2},Clientes_Proveedores[Razon Social],Clientes_Proveedores[Ruc / Dni]),2,0),"")</f>
        <v>20454186002</v>
      </c>
      <c r="W321" s="25"/>
      <c r="X321" s="25"/>
      <c r="Y321" s="25"/>
      <c r="Z321" s="75"/>
      <c r="AA321" s="3" t="str">
        <f>IF(BCP_Soles[[#This Row],[fecha]]&gt;0,TEXT(BCP_Soles[[#This Row],[fecha]],"mmmm"),0)</f>
        <v>Enero</v>
      </c>
    </row>
    <row r="322" spans="1:27" x14ac:dyDescent="0.3">
      <c r="A322" s="2">
        <f>IF(BCP_Soles[[#This Row],[tipo_registro]]="R",COUNTIFS($C$1:$C321,"R")+1,A321)</f>
        <v>199</v>
      </c>
      <c r="B322" s="19" t="str">
        <f t="shared" si="26"/>
        <v>B-BCP - Soles</v>
      </c>
      <c r="C322" s="3" t="s">
        <v>1352</v>
      </c>
      <c r="D322" s="14">
        <v>45680</v>
      </c>
      <c r="E322" s="5" t="s">
        <v>1338</v>
      </c>
      <c r="F322" s="5"/>
      <c r="G322" s="6" t="s">
        <v>286</v>
      </c>
      <c r="H322" s="6" t="s">
        <v>68</v>
      </c>
      <c r="I322" s="6" t="s">
        <v>1386</v>
      </c>
      <c r="J322" s="6">
        <v>1679</v>
      </c>
      <c r="K322" s="7" t="s">
        <v>1690</v>
      </c>
      <c r="L322" s="8">
        <v>4621351</v>
      </c>
      <c r="M322" s="8" t="str">
        <f t="shared" si="27"/>
        <v>PEN</v>
      </c>
      <c r="N322" s="13">
        <v>789.2</v>
      </c>
      <c r="O322" s="13"/>
      <c r="P322" s="3">
        <f t="shared" si="28"/>
        <v>0</v>
      </c>
      <c r="Q322" s="3">
        <f t="shared" si="29"/>
        <v>0</v>
      </c>
      <c r="R322" s="3">
        <f t="shared" ref="R322:R385" si="30">IFERROR(IF(F322="SALDO",P322,R321+P322-Q322),0)</f>
        <v>12631.18</v>
      </c>
      <c r="S322" s="24"/>
      <c r="T322" s="24" t="s">
        <v>1334</v>
      </c>
      <c r="U322" s="53"/>
      <c r="V322" s="25">
        <f>IFERROR(VLOOKUP(BCP_Soles[[#This Row],[destinatario]],CHOOSE({1,2},Clientes_Proveedores[Razon Social],Clientes_Proveedores[Ruc / Dni]),2,0),"")</f>
        <v>20454186002</v>
      </c>
      <c r="W322" s="25"/>
      <c r="X322" s="25"/>
      <c r="Y322" s="25"/>
      <c r="Z322" s="75"/>
      <c r="AA322" s="3" t="str">
        <f>IF(BCP_Soles[[#This Row],[fecha]]&gt;0,TEXT(BCP_Soles[[#This Row],[fecha]],"mmmm"),0)</f>
        <v>Enero</v>
      </c>
    </row>
    <row r="323" spans="1:27" ht="24" x14ac:dyDescent="0.3">
      <c r="A323" s="2">
        <f>IF(BCP_Soles[[#This Row],[tipo_registro]]="R",COUNTIFS($C$1:$C322,"R")+1,A322)</f>
        <v>200</v>
      </c>
      <c r="B323" s="19" t="str">
        <f t="shared" si="26"/>
        <v>B-BCP - Soles</v>
      </c>
      <c r="C323" s="3" t="s">
        <v>1330</v>
      </c>
      <c r="D323" s="14">
        <v>45681</v>
      </c>
      <c r="E323" s="5" t="s">
        <v>206</v>
      </c>
      <c r="F323" s="5" t="s">
        <v>1303</v>
      </c>
      <c r="G323" s="6" t="s">
        <v>425</v>
      </c>
      <c r="H323" s="6"/>
      <c r="I323" s="6"/>
      <c r="J323" s="6"/>
      <c r="K323" s="7" t="s">
        <v>1691</v>
      </c>
      <c r="L323" s="8">
        <v>4864454</v>
      </c>
      <c r="M323" s="8" t="str">
        <f t="shared" si="27"/>
        <v>PEN</v>
      </c>
      <c r="N323" s="13"/>
      <c r="O323" s="13">
        <v>13817.64</v>
      </c>
      <c r="P323" s="3">
        <f t="shared" si="28"/>
        <v>13817.64</v>
      </c>
      <c r="Q323" s="3">
        <f t="shared" si="29"/>
        <v>0</v>
      </c>
      <c r="R323" s="3">
        <f t="shared" si="30"/>
        <v>26448.82</v>
      </c>
      <c r="S323" s="24" t="s">
        <v>1334</v>
      </c>
      <c r="T323" s="24" t="s">
        <v>1334</v>
      </c>
      <c r="U323" s="53"/>
      <c r="V323" s="25">
        <f>IFERROR(VLOOKUP(BCP_Soles[[#This Row],[destinatario]],CHOOSE({1,2},Clientes_Proveedores[Razon Social],Clientes_Proveedores[Ruc / Dni]),2,0),"")</f>
        <v>20558226979</v>
      </c>
      <c r="W323" s="25" t="s">
        <v>1345</v>
      </c>
      <c r="X323" s="25" t="s">
        <v>1692</v>
      </c>
      <c r="Y323" s="25"/>
      <c r="Z323" s="75"/>
      <c r="AA323" s="3" t="str">
        <f>IF(BCP_Soles[[#This Row],[fecha]]&gt;0,TEXT(BCP_Soles[[#This Row],[fecha]],"mmmm"),0)</f>
        <v>Enero</v>
      </c>
    </row>
    <row r="324" spans="1:27" x14ac:dyDescent="0.3">
      <c r="A324" s="2">
        <f>IF(BCP_Soles[[#This Row],[tipo_registro]]="R",COUNTIFS($C$1:$C323,"R")+1,A323)</f>
        <v>201</v>
      </c>
      <c r="B324" s="19" t="str">
        <f t="shared" si="26"/>
        <v>B-BCP - Soles</v>
      </c>
      <c r="C324" s="3" t="s">
        <v>1330</v>
      </c>
      <c r="D324" s="14">
        <v>45681</v>
      </c>
      <c r="E324" s="5" t="s">
        <v>1335</v>
      </c>
      <c r="F324" s="5" t="s">
        <v>1336</v>
      </c>
      <c r="G324" s="6"/>
      <c r="H324" s="6"/>
      <c r="I324" s="6"/>
      <c r="J324" s="6"/>
      <c r="K324" s="7" t="s">
        <v>1337</v>
      </c>
      <c r="L324" s="8"/>
      <c r="M324" s="8" t="str">
        <f t="shared" si="27"/>
        <v>PEN</v>
      </c>
      <c r="N324" s="13"/>
      <c r="O324" s="13">
        <v>0.7</v>
      </c>
      <c r="P324" s="3">
        <f t="shared" si="28"/>
        <v>0</v>
      </c>
      <c r="Q324" s="3">
        <f t="shared" si="29"/>
        <v>0.7</v>
      </c>
      <c r="R324" s="3">
        <f t="shared" si="30"/>
        <v>26448.12</v>
      </c>
      <c r="S324" s="24"/>
      <c r="T324" s="24" t="s">
        <v>1334</v>
      </c>
      <c r="U324" s="53"/>
      <c r="V324" s="25" t="str">
        <f>IFERROR(VLOOKUP(BCP_Soles[[#This Row],[destinatario]],CHOOSE({1,2},Clientes_Proveedores[Razon Social],Clientes_Proveedores[Ruc / Dni]),2,0),"")</f>
        <v/>
      </c>
      <c r="W324" s="25"/>
      <c r="X324" s="25"/>
      <c r="Y324" s="25"/>
      <c r="Z324" s="75"/>
      <c r="AA324" s="3" t="str">
        <f>IF(BCP_Soles[[#This Row],[fecha]]&gt;0,TEXT(BCP_Soles[[#This Row],[fecha]],"mmmm"),0)</f>
        <v>Enero</v>
      </c>
    </row>
    <row r="325" spans="1:27" ht="36" x14ac:dyDescent="0.3">
      <c r="A325" s="2">
        <f>IF(BCP_Soles[[#This Row],[tipo_registro]]="R",COUNTIFS($C$1:$C324,"R")+1,A324)</f>
        <v>202</v>
      </c>
      <c r="B325" s="19" t="str">
        <f t="shared" si="26"/>
        <v>B-BCP - Soles</v>
      </c>
      <c r="C325" s="3" t="s">
        <v>1330</v>
      </c>
      <c r="D325" s="14">
        <v>45681</v>
      </c>
      <c r="E325" s="5" t="s">
        <v>1338</v>
      </c>
      <c r="F325" s="5" t="s">
        <v>1336</v>
      </c>
      <c r="G325" s="6" t="s">
        <v>702</v>
      </c>
      <c r="H325" s="6" t="s">
        <v>68</v>
      </c>
      <c r="I325" s="6" t="s">
        <v>1463</v>
      </c>
      <c r="J325" s="6">
        <v>603522</v>
      </c>
      <c r="K325" s="7" t="s">
        <v>1693</v>
      </c>
      <c r="L325" s="8">
        <v>246879</v>
      </c>
      <c r="M325" s="8" t="str">
        <f t="shared" si="27"/>
        <v>PEN</v>
      </c>
      <c r="N325" s="13"/>
      <c r="O325" s="13">
        <v>1030.1500000000001</v>
      </c>
      <c r="P325" s="3">
        <f t="shared" si="28"/>
        <v>0</v>
      </c>
      <c r="Q325" s="3">
        <f t="shared" si="29"/>
        <v>1030.1500000000001</v>
      </c>
      <c r="R325" s="3">
        <f t="shared" si="30"/>
        <v>25417.969999999998</v>
      </c>
      <c r="S325" s="24" t="s">
        <v>1334</v>
      </c>
      <c r="T325" s="24" t="s">
        <v>1334</v>
      </c>
      <c r="U325" s="53"/>
      <c r="V325" s="25">
        <f>IFERROR(VLOOKUP(BCP_Soles[[#This Row],[destinatario]],CHOOSE({1,2},Clientes_Proveedores[Razon Social],Clientes_Proveedores[Ruc / Dni]),2,0),"")</f>
        <v>20454073143</v>
      </c>
      <c r="W325" s="25" t="s">
        <v>1465</v>
      </c>
      <c r="X325" s="25" t="s">
        <v>1694</v>
      </c>
      <c r="Y325" s="25"/>
      <c r="Z325" s="75"/>
      <c r="AA325" s="3" t="str">
        <f>IF(BCP_Soles[[#This Row],[fecha]]&gt;0,TEXT(BCP_Soles[[#This Row],[fecha]],"mmmm"),0)</f>
        <v>Enero</v>
      </c>
    </row>
    <row r="326" spans="1:27" ht="36" x14ac:dyDescent="0.3">
      <c r="A326" s="2">
        <f>IF(BCP_Soles[[#This Row],[tipo_registro]]="R",COUNTIFS($C$1:$C325,"R")+1,A325)</f>
        <v>203</v>
      </c>
      <c r="B326" s="19" t="str">
        <f t="shared" ref="B326:B389" si="31">"B-BCP - Soles"</f>
        <v>B-BCP - Soles</v>
      </c>
      <c r="C326" s="3" t="s">
        <v>1330</v>
      </c>
      <c r="D326" s="14">
        <v>45681</v>
      </c>
      <c r="E326" s="5" t="s">
        <v>555</v>
      </c>
      <c r="F326" s="5" t="s">
        <v>1303</v>
      </c>
      <c r="G326" s="6" t="s">
        <v>425</v>
      </c>
      <c r="H326" s="6"/>
      <c r="I326" s="6"/>
      <c r="J326" s="6"/>
      <c r="K326" s="7" t="s">
        <v>1348</v>
      </c>
      <c r="L326" s="8">
        <v>2208829</v>
      </c>
      <c r="M326" s="8" t="str">
        <f t="shared" ref="M326:M389" si="32">"PEN"</f>
        <v>PEN</v>
      </c>
      <c r="N326" s="13"/>
      <c r="O326" s="13">
        <v>1321.87</v>
      </c>
      <c r="P326" s="3">
        <f t="shared" ref="P326:P389" si="33">+IF(OR($F326="SALDO",$F326="INGRESO"),$O326,0)</f>
        <v>1321.87</v>
      </c>
      <c r="Q326" s="3">
        <f t="shared" ref="Q326:Q389" si="34">+IF($F326="EGRESO",$O326,0)</f>
        <v>0</v>
      </c>
      <c r="R326" s="3">
        <f t="shared" si="30"/>
        <v>26739.839999999997</v>
      </c>
      <c r="S326" s="24" t="s">
        <v>1334</v>
      </c>
      <c r="T326" s="24" t="s">
        <v>1334</v>
      </c>
      <c r="U326" s="53"/>
      <c r="V326" s="25">
        <f>IFERROR(VLOOKUP(BCP_Soles[[#This Row],[destinatario]],CHOOSE({1,2},Clientes_Proveedores[Razon Social],Clientes_Proveedores[Ruc / Dni]),2,0),"")</f>
        <v>20558226979</v>
      </c>
      <c r="W326" s="25" t="s">
        <v>1345</v>
      </c>
      <c r="X326" s="25" t="s">
        <v>1695</v>
      </c>
      <c r="Y326" s="25"/>
      <c r="Z326" s="75"/>
      <c r="AA326" s="3" t="str">
        <f>IF(BCP_Soles[[#This Row],[fecha]]&gt;0,TEXT(BCP_Soles[[#This Row],[fecha]],"mmmm"),0)</f>
        <v>Enero</v>
      </c>
    </row>
    <row r="327" spans="1:27" ht="24" x14ac:dyDescent="0.3">
      <c r="A327" s="2">
        <f>IF(BCP_Soles[[#This Row],[tipo_registro]]="R",COUNTIFS($C$1:$C326,"R")+1,A326)</f>
        <v>204</v>
      </c>
      <c r="B327" s="19" t="str">
        <f t="shared" si="31"/>
        <v>B-BCP - Soles</v>
      </c>
      <c r="C327" s="3" t="s">
        <v>1330</v>
      </c>
      <c r="D327" s="14">
        <v>45681</v>
      </c>
      <c r="E327" s="5" t="s">
        <v>1696</v>
      </c>
      <c r="F327" s="5" t="s">
        <v>1303</v>
      </c>
      <c r="G327" s="6" t="s">
        <v>425</v>
      </c>
      <c r="H327" s="6" t="s">
        <v>119</v>
      </c>
      <c r="I327" s="6">
        <v>1</v>
      </c>
      <c r="J327" s="6">
        <v>4102</v>
      </c>
      <c r="K327" s="7" t="s">
        <v>1356</v>
      </c>
      <c r="L327" s="8">
        <v>3077764</v>
      </c>
      <c r="M327" s="8" t="str">
        <f t="shared" si="32"/>
        <v>PEN</v>
      </c>
      <c r="N327" s="13"/>
      <c r="O327" s="13">
        <v>874</v>
      </c>
      <c r="P327" s="3">
        <f t="shared" si="33"/>
        <v>874</v>
      </c>
      <c r="Q327" s="3">
        <f t="shared" si="34"/>
        <v>0</v>
      </c>
      <c r="R327" s="3">
        <f t="shared" si="30"/>
        <v>27613.839999999997</v>
      </c>
      <c r="S327" s="24" t="s">
        <v>1334</v>
      </c>
      <c r="T327" s="24" t="s">
        <v>1334</v>
      </c>
      <c r="U327" s="53"/>
      <c r="V327" s="25">
        <f>IFERROR(VLOOKUP(BCP_Soles[[#This Row],[destinatario]],CHOOSE({1,2},Clientes_Proveedores[Razon Social],Clientes_Proveedores[Ruc / Dni]),2,0),"")</f>
        <v>20558226979</v>
      </c>
      <c r="W327" s="25" t="s">
        <v>1345</v>
      </c>
      <c r="X327" s="25" t="s">
        <v>1697</v>
      </c>
      <c r="Y327" s="25"/>
      <c r="Z327" s="75"/>
      <c r="AA327" s="3" t="str">
        <f>IF(BCP_Soles[[#This Row],[fecha]]&gt;0,TEXT(BCP_Soles[[#This Row],[fecha]],"mmmm"),0)</f>
        <v>Enero</v>
      </c>
    </row>
    <row r="328" spans="1:27" ht="24" x14ac:dyDescent="0.3">
      <c r="A328" s="2">
        <f>IF(BCP_Soles[[#This Row],[tipo_registro]]="R",COUNTIFS($C$1:$C327,"R")+1,A327)</f>
        <v>205</v>
      </c>
      <c r="B328" s="19" t="str">
        <f t="shared" si="31"/>
        <v>B-BCP - Soles</v>
      </c>
      <c r="C328" s="3" t="s">
        <v>1330</v>
      </c>
      <c r="D328" s="14">
        <v>45681</v>
      </c>
      <c r="E328" s="5" t="s">
        <v>1698</v>
      </c>
      <c r="F328" s="5" t="s">
        <v>1303</v>
      </c>
      <c r="G328" s="6" t="s">
        <v>425</v>
      </c>
      <c r="H328" s="6" t="s">
        <v>143</v>
      </c>
      <c r="I328" s="6"/>
      <c r="J328" s="6"/>
      <c r="K328" s="7" t="s">
        <v>1699</v>
      </c>
      <c r="L328" s="8">
        <v>2836984</v>
      </c>
      <c r="M328" s="8" t="str">
        <f t="shared" si="32"/>
        <v>PEN</v>
      </c>
      <c r="N328" s="13"/>
      <c r="O328" s="13">
        <v>10</v>
      </c>
      <c r="P328" s="3">
        <f t="shared" si="33"/>
        <v>10</v>
      </c>
      <c r="Q328" s="3">
        <f t="shared" si="34"/>
        <v>0</v>
      </c>
      <c r="R328" s="3">
        <f t="shared" si="30"/>
        <v>27623.839999999997</v>
      </c>
      <c r="S328" s="24"/>
      <c r="T328" s="24"/>
      <c r="U328" s="53"/>
      <c r="V328" s="25">
        <f>IFERROR(VLOOKUP(BCP_Soles[[#This Row],[destinatario]],CHOOSE({1,2},Clientes_Proveedores[Razon Social],Clientes_Proveedores[Ruc / Dni]),2,0),"")</f>
        <v>20558226979</v>
      </c>
      <c r="W328" s="25"/>
      <c r="X328" s="25"/>
      <c r="Y328" s="25"/>
      <c r="Z328" s="75"/>
      <c r="AA328" s="3" t="str">
        <f>IF(BCP_Soles[[#This Row],[fecha]]&gt;0,TEXT(BCP_Soles[[#This Row],[fecha]],"mmmm"),0)</f>
        <v>Enero</v>
      </c>
    </row>
    <row r="329" spans="1:27" x14ac:dyDescent="0.3">
      <c r="A329" s="2">
        <f>IF(BCP_Soles[[#This Row],[tipo_registro]]="R",COUNTIFS($C$1:$C328,"R")+1,A328)</f>
        <v>206</v>
      </c>
      <c r="B329" s="19" t="str">
        <f t="shared" si="31"/>
        <v>B-BCP - Soles</v>
      </c>
      <c r="C329" s="3" t="s">
        <v>1330</v>
      </c>
      <c r="D329" s="14">
        <v>45682</v>
      </c>
      <c r="E329" s="5"/>
      <c r="F329" s="5" t="s">
        <v>1303</v>
      </c>
      <c r="G329" s="6" t="s">
        <v>425</v>
      </c>
      <c r="H329" s="6"/>
      <c r="I329" s="6"/>
      <c r="J329" s="6"/>
      <c r="K329" s="7" t="s">
        <v>1356</v>
      </c>
      <c r="L329" s="8">
        <v>1604910</v>
      </c>
      <c r="M329" s="8" t="str">
        <f t="shared" si="32"/>
        <v>PEN</v>
      </c>
      <c r="N329" s="13"/>
      <c r="O329" s="13">
        <v>2400</v>
      </c>
      <c r="P329" s="3">
        <f t="shared" si="33"/>
        <v>2400</v>
      </c>
      <c r="Q329" s="3">
        <f t="shared" si="34"/>
        <v>0</v>
      </c>
      <c r="R329" s="3">
        <f t="shared" si="30"/>
        <v>30023.839999999997</v>
      </c>
      <c r="S329" s="24"/>
      <c r="T329" s="24"/>
      <c r="U329" s="53"/>
      <c r="V329" s="25">
        <f>IFERROR(VLOOKUP(BCP_Soles[[#This Row],[destinatario]],CHOOSE({1,2},Clientes_Proveedores[Razon Social],Clientes_Proveedores[Ruc / Dni]),2,0),"")</f>
        <v>20558226979</v>
      </c>
      <c r="W329" s="25" t="s">
        <v>1345</v>
      </c>
      <c r="X329" s="25"/>
      <c r="Y329" s="25"/>
      <c r="Z329" s="75"/>
      <c r="AA329" s="3" t="str">
        <f>IF(BCP_Soles[[#This Row],[fecha]]&gt;0,TEXT(BCP_Soles[[#This Row],[fecha]],"mmmm"),0)</f>
        <v>Enero</v>
      </c>
    </row>
    <row r="330" spans="1:27" x14ac:dyDescent="0.3">
      <c r="A330" s="2">
        <f>IF(BCP_Soles[[#This Row],[tipo_registro]]="R",COUNTIFS($C$1:$C329,"R")+1,A329)</f>
        <v>206</v>
      </c>
      <c r="B330" s="19" t="str">
        <f t="shared" si="31"/>
        <v>B-BCP - Soles</v>
      </c>
      <c r="C330" s="3" t="s">
        <v>1352</v>
      </c>
      <c r="D330" s="14">
        <v>45682</v>
      </c>
      <c r="E330" s="5" t="s">
        <v>1700</v>
      </c>
      <c r="F330" s="5" t="s">
        <v>1303</v>
      </c>
      <c r="G330" s="6" t="s">
        <v>425</v>
      </c>
      <c r="H330" s="6" t="s">
        <v>119</v>
      </c>
      <c r="I330" s="6">
        <v>1</v>
      </c>
      <c r="J330" s="6">
        <v>4109</v>
      </c>
      <c r="K330" s="7" t="s">
        <v>1356</v>
      </c>
      <c r="L330" s="8">
        <v>1604910</v>
      </c>
      <c r="M330" s="8" t="str">
        <f t="shared" si="32"/>
        <v>PEN</v>
      </c>
      <c r="N330" s="13">
        <v>1712</v>
      </c>
      <c r="O330" s="13"/>
      <c r="P330" s="3">
        <f t="shared" si="33"/>
        <v>0</v>
      </c>
      <c r="Q330" s="3">
        <f t="shared" si="34"/>
        <v>0</v>
      </c>
      <c r="R330" s="3">
        <f t="shared" si="30"/>
        <v>30023.839999999997</v>
      </c>
      <c r="S330" s="24" t="s">
        <v>1334</v>
      </c>
      <c r="T330" s="24"/>
      <c r="U330" s="53"/>
      <c r="V330" s="25">
        <f>IFERROR(VLOOKUP(BCP_Soles[[#This Row],[destinatario]],CHOOSE({1,2},Clientes_Proveedores[Razon Social],Clientes_Proveedores[Ruc / Dni]),2,0),"")</f>
        <v>20558226979</v>
      </c>
      <c r="W330" s="25" t="s">
        <v>1345</v>
      </c>
      <c r="X330" s="25" t="s">
        <v>1701</v>
      </c>
      <c r="Y330" s="25"/>
      <c r="Z330" s="75"/>
      <c r="AA330" s="3" t="str">
        <f>IF(BCP_Soles[[#This Row],[fecha]]&gt;0,TEXT(BCP_Soles[[#This Row],[fecha]],"mmmm"),0)</f>
        <v>Enero</v>
      </c>
    </row>
    <row r="331" spans="1:27" x14ac:dyDescent="0.3">
      <c r="A331" s="2">
        <f>IF(BCP_Soles[[#This Row],[tipo_registro]]="R",COUNTIFS($C$1:$C330,"R")+1,A330)</f>
        <v>207</v>
      </c>
      <c r="B331" s="19" t="str">
        <f t="shared" si="31"/>
        <v>B-BCP - Soles</v>
      </c>
      <c r="C331" s="3" t="s">
        <v>1330</v>
      </c>
      <c r="D331" s="14">
        <v>45683</v>
      </c>
      <c r="E331" s="5" t="s">
        <v>1335</v>
      </c>
      <c r="F331" s="5" t="s">
        <v>1336</v>
      </c>
      <c r="G331" s="6"/>
      <c r="H331" s="6"/>
      <c r="I331" s="6"/>
      <c r="J331" s="6"/>
      <c r="K331" s="7" t="s">
        <v>1337</v>
      </c>
      <c r="L331" s="8"/>
      <c r="M331" s="8" t="str">
        <f t="shared" si="32"/>
        <v>PEN</v>
      </c>
      <c r="N331" s="13"/>
      <c r="O331" s="13">
        <v>0.15</v>
      </c>
      <c r="P331" s="3">
        <f t="shared" si="33"/>
        <v>0</v>
      </c>
      <c r="Q331" s="3">
        <f t="shared" si="34"/>
        <v>0.15</v>
      </c>
      <c r="R331" s="3">
        <f t="shared" si="30"/>
        <v>30023.689999999995</v>
      </c>
      <c r="S331" s="24"/>
      <c r="T331" s="24" t="s">
        <v>1334</v>
      </c>
      <c r="U331" s="53"/>
      <c r="V331" s="25" t="str">
        <f>IFERROR(VLOOKUP(BCP_Soles[[#This Row],[destinatario]],CHOOSE({1,2},Clientes_Proveedores[Razon Social],Clientes_Proveedores[Ruc / Dni]),2,0),"")</f>
        <v/>
      </c>
      <c r="W331" s="25"/>
      <c r="X331" s="25"/>
      <c r="Y331" s="25"/>
      <c r="Z331" s="75"/>
      <c r="AA331" s="3" t="str">
        <f>IF(BCP_Soles[[#This Row],[fecha]]&gt;0,TEXT(BCP_Soles[[#This Row],[fecha]],"mmmm"),0)</f>
        <v>Enero</v>
      </c>
    </row>
    <row r="332" spans="1:27" ht="24" x14ac:dyDescent="0.3">
      <c r="A332" s="2">
        <f>IF(BCP_Soles[[#This Row],[tipo_registro]]="R",COUNTIFS($C$1:$C331,"R")+1,A331)</f>
        <v>208</v>
      </c>
      <c r="B332" s="19" t="str">
        <f t="shared" si="31"/>
        <v>B-BCP - Soles</v>
      </c>
      <c r="C332" s="3" t="s">
        <v>1330</v>
      </c>
      <c r="D332" s="14">
        <v>45683</v>
      </c>
      <c r="E332" s="5" t="s">
        <v>1421</v>
      </c>
      <c r="F332" s="5" t="s">
        <v>1336</v>
      </c>
      <c r="G332" s="6" t="s">
        <v>809</v>
      </c>
      <c r="H332" s="6" t="s">
        <v>143</v>
      </c>
      <c r="I332" s="6">
        <v>1</v>
      </c>
      <c r="J332" s="6">
        <v>782025</v>
      </c>
      <c r="K332" s="7" t="s">
        <v>1356</v>
      </c>
      <c r="L332" s="8">
        <v>767308</v>
      </c>
      <c r="M332" s="8" t="str">
        <f t="shared" si="32"/>
        <v>PEN</v>
      </c>
      <c r="N332" s="13"/>
      <c r="O332" s="13">
        <v>1000</v>
      </c>
      <c r="P332" s="3">
        <f t="shared" si="33"/>
        <v>0</v>
      </c>
      <c r="Q332" s="3">
        <f t="shared" si="34"/>
        <v>1000</v>
      </c>
      <c r="R332" s="3">
        <f t="shared" si="30"/>
        <v>29023.689999999995</v>
      </c>
      <c r="S332" s="24"/>
      <c r="T332" s="24" t="s">
        <v>1334</v>
      </c>
      <c r="U332" s="53"/>
      <c r="V332" s="25">
        <f>IFERROR(VLOOKUP(BCP_Soles[[#This Row],[destinatario]],CHOOSE({1,2},Clientes_Proveedores[Razon Social],Clientes_Proveedores[Ruc / Dni]),2,0),"")</f>
        <v>45286301</v>
      </c>
      <c r="W332" s="25"/>
      <c r="X332" s="25" t="s">
        <v>1430</v>
      </c>
      <c r="Y332" s="25"/>
      <c r="Z332" s="75"/>
      <c r="AA332" s="3" t="str">
        <f>IF(BCP_Soles[[#This Row],[fecha]]&gt;0,TEXT(BCP_Soles[[#This Row],[fecha]],"mmmm"),0)</f>
        <v>Enero</v>
      </c>
    </row>
    <row r="333" spans="1:27" ht="36" x14ac:dyDescent="0.3">
      <c r="A333" s="2">
        <f>IF(BCP_Soles[[#This Row],[tipo_registro]]="R",COUNTIFS($C$1:$C332,"R")+1,A332)</f>
        <v>209</v>
      </c>
      <c r="B333" s="19" t="str">
        <f t="shared" si="31"/>
        <v>B-BCP - Soles</v>
      </c>
      <c r="C333" s="3" t="s">
        <v>1330</v>
      </c>
      <c r="D333" s="14">
        <v>45684</v>
      </c>
      <c r="E333" s="5" t="s">
        <v>1338</v>
      </c>
      <c r="F333" s="5" t="s">
        <v>1336</v>
      </c>
      <c r="G333" s="6" t="s">
        <v>623</v>
      </c>
      <c r="H333" s="6" t="s">
        <v>68</v>
      </c>
      <c r="I333" s="6" t="s">
        <v>1374</v>
      </c>
      <c r="J333" s="6">
        <v>7381</v>
      </c>
      <c r="K333" s="7" t="s">
        <v>1702</v>
      </c>
      <c r="L333" s="8">
        <v>1088992</v>
      </c>
      <c r="M333" s="8" t="str">
        <f t="shared" si="32"/>
        <v>PEN</v>
      </c>
      <c r="N333" s="13"/>
      <c r="O333" s="13">
        <v>2297.5</v>
      </c>
      <c r="P333" s="3">
        <f t="shared" si="33"/>
        <v>0</v>
      </c>
      <c r="Q333" s="3">
        <f t="shared" si="34"/>
        <v>2297.5</v>
      </c>
      <c r="R333" s="3">
        <f t="shared" si="30"/>
        <v>26726.189999999995</v>
      </c>
      <c r="S333" s="24" t="s">
        <v>1334</v>
      </c>
      <c r="T333" s="24" t="s">
        <v>1334</v>
      </c>
      <c r="U333" s="53"/>
      <c r="V333" s="25">
        <f>IFERROR(VLOOKUP(BCP_Soles[[#This Row],[destinatario]],CHOOSE({1,2},Clientes_Proveedores[Razon Social],Clientes_Proveedores[Ruc / Dni]),2,0),"")</f>
        <v>20454819137</v>
      </c>
      <c r="W333" s="25" t="s">
        <v>1703</v>
      </c>
      <c r="X333" s="25" t="s">
        <v>1704</v>
      </c>
      <c r="Y333" s="25"/>
      <c r="Z333" s="75"/>
      <c r="AA333" s="3" t="str">
        <f>IF(BCP_Soles[[#This Row],[fecha]]&gt;0,TEXT(BCP_Soles[[#This Row],[fecha]],"mmmm"),0)</f>
        <v>Enero</v>
      </c>
    </row>
    <row r="334" spans="1:27" x14ac:dyDescent="0.3">
      <c r="A334" s="2">
        <f>IF(BCP_Soles[[#This Row],[tipo_registro]]="R",COUNTIFS($C$1:$C333,"R")+1,A333)</f>
        <v>210</v>
      </c>
      <c r="B334" s="19" t="str">
        <f t="shared" si="31"/>
        <v>B-BCP - Soles</v>
      </c>
      <c r="C334" s="3" t="s">
        <v>1330</v>
      </c>
      <c r="D334" s="14">
        <v>45684</v>
      </c>
      <c r="E334" s="5" t="s">
        <v>1444</v>
      </c>
      <c r="F334" s="5" t="s">
        <v>1303</v>
      </c>
      <c r="G334" s="6" t="s">
        <v>425</v>
      </c>
      <c r="H334" s="6" t="s">
        <v>119</v>
      </c>
      <c r="I334" s="6">
        <v>1</v>
      </c>
      <c r="J334" s="6">
        <v>4114</v>
      </c>
      <c r="K334" s="7" t="s">
        <v>1356</v>
      </c>
      <c r="L334" s="8">
        <v>2680648</v>
      </c>
      <c r="M334" s="8" t="str">
        <f t="shared" si="32"/>
        <v>PEN</v>
      </c>
      <c r="N334" s="13"/>
      <c r="O334" s="13">
        <v>420</v>
      </c>
      <c r="P334" s="3">
        <f t="shared" si="33"/>
        <v>420</v>
      </c>
      <c r="Q334" s="3">
        <f t="shared" si="34"/>
        <v>0</v>
      </c>
      <c r="R334" s="3">
        <f t="shared" si="30"/>
        <v>27146.189999999995</v>
      </c>
      <c r="S334" s="24" t="s">
        <v>1334</v>
      </c>
      <c r="T334" s="24" t="s">
        <v>1334</v>
      </c>
      <c r="U334" s="53"/>
      <c r="V334" s="25">
        <f>IFERROR(VLOOKUP(BCP_Soles[[#This Row],[destinatario]],CHOOSE({1,2},Clientes_Proveedores[Razon Social],Clientes_Proveedores[Ruc / Dni]),2,0),"")</f>
        <v>20558226979</v>
      </c>
      <c r="W334" s="25" t="s">
        <v>1345</v>
      </c>
      <c r="X334" s="25" t="s">
        <v>1705</v>
      </c>
      <c r="Y334" s="25"/>
      <c r="Z334" s="75"/>
      <c r="AA334" s="3" t="str">
        <f>IF(BCP_Soles[[#This Row],[fecha]]&gt;0,TEXT(BCP_Soles[[#This Row],[fecha]],"mmmm"),0)</f>
        <v>Enero</v>
      </c>
    </row>
    <row r="335" spans="1:27" ht="24" x14ac:dyDescent="0.3">
      <c r="A335" s="2">
        <f>IF(BCP_Soles[[#This Row],[tipo_registro]]="R",COUNTIFS($C$1:$C334,"R")+1,A334)</f>
        <v>211</v>
      </c>
      <c r="B335" s="19" t="str">
        <f t="shared" si="31"/>
        <v>B-BCP - Soles</v>
      </c>
      <c r="C335" s="3" t="s">
        <v>1330</v>
      </c>
      <c r="D335" s="14">
        <v>45684</v>
      </c>
      <c r="E335" s="5" t="s">
        <v>1669</v>
      </c>
      <c r="F335" s="5" t="s">
        <v>1303</v>
      </c>
      <c r="G335" s="6" t="s">
        <v>425</v>
      </c>
      <c r="H335" s="6" t="s">
        <v>119</v>
      </c>
      <c r="I335" s="6">
        <v>1</v>
      </c>
      <c r="J335" s="6">
        <v>4113</v>
      </c>
      <c r="K335" s="7" t="s">
        <v>1356</v>
      </c>
      <c r="L335" s="8">
        <v>1555352</v>
      </c>
      <c r="M335" s="8" t="str">
        <f t="shared" si="32"/>
        <v>PEN</v>
      </c>
      <c r="N335" s="13"/>
      <c r="O335" s="13">
        <v>550</v>
      </c>
      <c r="P335" s="3">
        <f t="shared" si="33"/>
        <v>550</v>
      </c>
      <c r="Q335" s="3">
        <f t="shared" si="34"/>
        <v>0</v>
      </c>
      <c r="R335" s="3">
        <f t="shared" si="30"/>
        <v>27696.189999999995</v>
      </c>
      <c r="S335" s="24" t="s">
        <v>1334</v>
      </c>
      <c r="T335" s="24" t="s">
        <v>1334</v>
      </c>
      <c r="U335" s="53"/>
      <c r="V335" s="25">
        <f>IFERROR(VLOOKUP(BCP_Soles[[#This Row],[destinatario]],CHOOSE({1,2},Clientes_Proveedores[Razon Social],Clientes_Proveedores[Ruc / Dni]),2,0),"")</f>
        <v>20558226979</v>
      </c>
      <c r="W335" s="25" t="s">
        <v>1345</v>
      </c>
      <c r="X335" s="25" t="s">
        <v>1706</v>
      </c>
      <c r="Y335" s="25"/>
      <c r="Z335" s="75"/>
      <c r="AA335" s="3" t="str">
        <f>IF(BCP_Soles[[#This Row],[fecha]]&gt;0,TEXT(BCP_Soles[[#This Row],[fecha]],"mmmm"),0)</f>
        <v>Enero</v>
      </c>
    </row>
    <row r="336" spans="1:27" x14ac:dyDescent="0.3">
      <c r="A336" s="2">
        <f>IF(BCP_Soles[[#This Row],[tipo_registro]]="R",COUNTIFS($C$1:$C335,"R")+1,A335)</f>
        <v>212</v>
      </c>
      <c r="B336" s="19" t="str">
        <f t="shared" si="31"/>
        <v>B-BCP - Soles</v>
      </c>
      <c r="C336" s="3" t="s">
        <v>1330</v>
      </c>
      <c r="D336" s="14">
        <v>45684</v>
      </c>
      <c r="E336" s="5" t="s">
        <v>1335</v>
      </c>
      <c r="F336" s="5" t="s">
        <v>1336</v>
      </c>
      <c r="G336" s="6"/>
      <c r="H336" s="6"/>
      <c r="I336" s="6"/>
      <c r="J336" s="6"/>
      <c r="K336" s="7" t="s">
        <v>1337</v>
      </c>
      <c r="L336" s="8"/>
      <c r="M336" s="8" t="str">
        <f t="shared" si="32"/>
        <v>PEN</v>
      </c>
      <c r="N336" s="13"/>
      <c r="O336" s="13">
        <v>0.2</v>
      </c>
      <c r="P336" s="3">
        <f t="shared" si="33"/>
        <v>0</v>
      </c>
      <c r="Q336" s="3">
        <f t="shared" si="34"/>
        <v>0.2</v>
      </c>
      <c r="R336" s="3">
        <f t="shared" si="30"/>
        <v>27695.989999999994</v>
      </c>
      <c r="S336" s="24"/>
      <c r="T336" s="24" t="s">
        <v>1334</v>
      </c>
      <c r="U336" s="53"/>
      <c r="V336" s="25" t="str">
        <f>IFERROR(VLOOKUP(BCP_Soles[[#This Row],[destinatario]],CHOOSE({1,2},Clientes_Proveedores[Razon Social],Clientes_Proveedores[Ruc / Dni]),2,0),"")</f>
        <v/>
      </c>
      <c r="W336" s="25"/>
      <c r="X336" s="25"/>
      <c r="Y336" s="25"/>
      <c r="Z336" s="75"/>
      <c r="AA336" s="3" t="str">
        <f>IF(BCP_Soles[[#This Row],[fecha]]&gt;0,TEXT(BCP_Soles[[#This Row],[fecha]],"mmmm"),0)</f>
        <v>Enero</v>
      </c>
    </row>
    <row r="337" spans="1:27" x14ac:dyDescent="0.3">
      <c r="A337" s="2">
        <f>IF(BCP_Soles[[#This Row],[tipo_registro]]="R",COUNTIFS($C$1:$C336,"R")+1,A336)</f>
        <v>213</v>
      </c>
      <c r="B337" s="19" t="str">
        <f t="shared" si="31"/>
        <v>B-BCP - Soles</v>
      </c>
      <c r="C337" s="3" t="s">
        <v>1330</v>
      </c>
      <c r="D337" s="14">
        <v>45684</v>
      </c>
      <c r="E337" s="5" t="s">
        <v>1338</v>
      </c>
      <c r="F337" s="5" t="s">
        <v>1336</v>
      </c>
      <c r="G337" s="6" t="s">
        <v>696</v>
      </c>
      <c r="H337" s="6"/>
      <c r="I337" s="6"/>
      <c r="J337" s="6"/>
      <c r="K337" s="7" t="s">
        <v>1707</v>
      </c>
      <c r="L337" s="8">
        <v>5698335</v>
      </c>
      <c r="M337" s="8" t="str">
        <f t="shared" si="32"/>
        <v>PEN</v>
      </c>
      <c r="N337" s="13"/>
      <c r="O337" s="13">
        <v>2272.21</v>
      </c>
      <c r="P337" s="3">
        <f t="shared" si="33"/>
        <v>0</v>
      </c>
      <c r="Q337" s="3">
        <f t="shared" si="34"/>
        <v>2272.21</v>
      </c>
      <c r="R337" s="3">
        <f t="shared" si="30"/>
        <v>25423.779999999995</v>
      </c>
      <c r="S337" s="24" t="s">
        <v>1334</v>
      </c>
      <c r="T337" s="24" t="s">
        <v>1334</v>
      </c>
      <c r="U337" s="53"/>
      <c r="V337" s="25">
        <f>IFERROR(VLOOKUP(BCP_Soles[[#This Row],[destinatario]],CHOOSE({1,2},Clientes_Proveedores[Razon Social],Clientes_Proveedores[Ruc / Dni]),2,0),"")</f>
        <v>0</v>
      </c>
      <c r="W337" s="25" t="s">
        <v>1373</v>
      </c>
      <c r="X337" s="25"/>
      <c r="Y337" s="25"/>
      <c r="Z337" s="75"/>
      <c r="AA337" s="3" t="str">
        <f>IF(BCP_Soles[[#This Row],[fecha]]&gt;0,TEXT(BCP_Soles[[#This Row],[fecha]],"mmmm"),0)</f>
        <v>Enero</v>
      </c>
    </row>
    <row r="338" spans="1:27" ht="24" x14ac:dyDescent="0.3">
      <c r="A338" s="2">
        <f>IF(BCP_Soles[[#This Row],[tipo_registro]]="R",COUNTIFS($C$1:$C337,"R")+1,A337)</f>
        <v>213</v>
      </c>
      <c r="B338" s="19" t="str">
        <f t="shared" si="31"/>
        <v>B-BCP - Soles</v>
      </c>
      <c r="C338" s="3" t="s">
        <v>1352</v>
      </c>
      <c r="D338" s="14">
        <v>45684</v>
      </c>
      <c r="E338" s="5" t="s">
        <v>1338</v>
      </c>
      <c r="F338" s="5"/>
      <c r="G338" s="6" t="s">
        <v>233</v>
      </c>
      <c r="H338" s="6" t="s">
        <v>68</v>
      </c>
      <c r="I338" s="6" t="s">
        <v>1374</v>
      </c>
      <c r="J338" s="6">
        <v>39966</v>
      </c>
      <c r="K338" s="7" t="s">
        <v>1707</v>
      </c>
      <c r="L338" s="8">
        <v>5698335</v>
      </c>
      <c r="M338" s="8" t="str">
        <f t="shared" si="32"/>
        <v>PEN</v>
      </c>
      <c r="N338" s="13">
        <v>851.96</v>
      </c>
      <c r="O338" s="13"/>
      <c r="P338" s="3">
        <f t="shared" si="33"/>
        <v>0</v>
      </c>
      <c r="Q338" s="3">
        <f t="shared" si="34"/>
        <v>0</v>
      </c>
      <c r="R338" s="3">
        <f t="shared" si="30"/>
        <v>25423.779999999995</v>
      </c>
      <c r="S338" s="24"/>
      <c r="T338" s="24" t="s">
        <v>1334</v>
      </c>
      <c r="U338" s="53"/>
      <c r="V338" s="25">
        <f>IFERROR(VLOOKUP(BCP_Soles[[#This Row],[destinatario]],CHOOSE({1,2},Clientes_Proveedores[Razon Social],Clientes_Proveedores[Ruc / Dni]),2,0),"")</f>
        <v>20137976171</v>
      </c>
      <c r="W338" s="25"/>
      <c r="X338" s="25"/>
      <c r="Y338" s="25"/>
      <c r="Z338" s="75"/>
      <c r="AA338" s="3" t="str">
        <f>IF(BCP_Soles[[#This Row],[fecha]]&gt;0,TEXT(BCP_Soles[[#This Row],[fecha]],"mmmm"),0)</f>
        <v>Enero</v>
      </c>
    </row>
    <row r="339" spans="1:27" x14ac:dyDescent="0.3">
      <c r="A339" s="2">
        <f>IF(BCP_Soles[[#This Row],[tipo_registro]]="R",COUNTIFS($C$1:$C338,"R")+1,A338)</f>
        <v>213</v>
      </c>
      <c r="B339" s="19" t="str">
        <f t="shared" si="31"/>
        <v>B-BCP - Soles</v>
      </c>
      <c r="C339" s="3" t="s">
        <v>1352</v>
      </c>
      <c r="D339" s="14">
        <v>45684</v>
      </c>
      <c r="E339" s="5" t="s">
        <v>1338</v>
      </c>
      <c r="F339" s="5"/>
      <c r="G339" s="6" t="s">
        <v>522</v>
      </c>
      <c r="H339" s="6" t="s">
        <v>68</v>
      </c>
      <c r="I339" s="6" t="s">
        <v>1376</v>
      </c>
      <c r="J339" s="6">
        <v>3652</v>
      </c>
      <c r="K339" s="7" t="s">
        <v>1707</v>
      </c>
      <c r="L339" s="8">
        <v>5698335</v>
      </c>
      <c r="M339" s="8" t="str">
        <f t="shared" si="32"/>
        <v>PEN</v>
      </c>
      <c r="N339" s="13">
        <v>150.44999999999999</v>
      </c>
      <c r="O339" s="13"/>
      <c r="P339" s="3">
        <f t="shared" si="33"/>
        <v>0</v>
      </c>
      <c r="Q339" s="3">
        <f t="shared" si="34"/>
        <v>0</v>
      </c>
      <c r="R339" s="3">
        <f t="shared" si="30"/>
        <v>25423.779999999995</v>
      </c>
      <c r="S339" s="24"/>
      <c r="T339" s="24" t="s">
        <v>1334</v>
      </c>
      <c r="U339" s="53"/>
      <c r="V339" s="25">
        <f>IFERROR(VLOOKUP(BCP_Soles[[#This Row],[destinatario]],CHOOSE({1,2},Clientes_Proveedores[Razon Social],Clientes_Proveedores[Ruc / Dni]),2,0),"")</f>
        <v>20603974817</v>
      </c>
      <c r="W339" s="25"/>
      <c r="X339" s="25"/>
      <c r="Y339" s="25"/>
      <c r="Z339" s="75"/>
      <c r="AA339" s="3" t="str">
        <f>IF(BCP_Soles[[#This Row],[fecha]]&gt;0,TEXT(BCP_Soles[[#This Row],[fecha]],"mmmm"),0)</f>
        <v>Enero</v>
      </c>
    </row>
    <row r="340" spans="1:27" ht="24" x14ac:dyDescent="0.3">
      <c r="A340" s="2">
        <f>IF(BCP_Soles[[#This Row],[tipo_registro]]="R",COUNTIFS($C$1:$C339,"R")+1,A339)</f>
        <v>213</v>
      </c>
      <c r="B340" s="19" t="str">
        <f t="shared" si="31"/>
        <v>B-BCP - Soles</v>
      </c>
      <c r="C340" s="3" t="s">
        <v>1352</v>
      </c>
      <c r="D340" s="14">
        <v>45684</v>
      </c>
      <c r="E340" s="5" t="s">
        <v>1338</v>
      </c>
      <c r="F340" s="5"/>
      <c r="G340" s="6" t="s">
        <v>594</v>
      </c>
      <c r="H340" s="6" t="s">
        <v>68</v>
      </c>
      <c r="I340" s="6" t="s">
        <v>1376</v>
      </c>
      <c r="J340" s="6">
        <v>1882</v>
      </c>
      <c r="K340" s="7" t="s">
        <v>1707</v>
      </c>
      <c r="L340" s="8">
        <v>5698335</v>
      </c>
      <c r="M340" s="8" t="str">
        <f t="shared" si="32"/>
        <v>PEN</v>
      </c>
      <c r="N340" s="13">
        <v>94.4</v>
      </c>
      <c r="O340" s="13"/>
      <c r="P340" s="3">
        <f t="shared" si="33"/>
        <v>0</v>
      </c>
      <c r="Q340" s="3">
        <f t="shared" si="34"/>
        <v>0</v>
      </c>
      <c r="R340" s="3">
        <f t="shared" si="30"/>
        <v>25423.779999999995</v>
      </c>
      <c r="S340" s="24"/>
      <c r="T340" s="24" t="s">
        <v>1334</v>
      </c>
      <c r="U340" s="53"/>
      <c r="V340" s="25">
        <f>IFERROR(VLOOKUP(BCP_Soles[[#This Row],[destinatario]],CHOOSE({1,2},Clientes_Proveedores[Razon Social],Clientes_Proveedores[Ruc / Dni]),2,0),"")</f>
        <v>20609764261</v>
      </c>
      <c r="W340" s="25"/>
      <c r="X340" s="25"/>
      <c r="Y340" s="25"/>
      <c r="Z340" s="75"/>
      <c r="AA340" s="3" t="str">
        <f>IF(BCP_Soles[[#This Row],[fecha]]&gt;0,TEXT(BCP_Soles[[#This Row],[fecha]],"mmmm"),0)</f>
        <v>Enero</v>
      </c>
    </row>
    <row r="341" spans="1:27" ht="24" x14ac:dyDescent="0.3">
      <c r="A341" s="2">
        <f>IF(BCP_Soles[[#This Row],[tipo_registro]]="R",COUNTIFS($C$1:$C340,"R")+1,A340)</f>
        <v>213</v>
      </c>
      <c r="B341" s="19" t="str">
        <f t="shared" si="31"/>
        <v>B-BCP - Soles</v>
      </c>
      <c r="C341" s="3" t="s">
        <v>1352</v>
      </c>
      <c r="D341" s="14">
        <v>45684</v>
      </c>
      <c r="E341" s="5" t="s">
        <v>1338</v>
      </c>
      <c r="F341" s="5"/>
      <c r="G341" s="6" t="s">
        <v>594</v>
      </c>
      <c r="H341" s="6" t="s">
        <v>68</v>
      </c>
      <c r="I341" s="6" t="s">
        <v>1376</v>
      </c>
      <c r="J341" s="6">
        <v>1881</v>
      </c>
      <c r="K341" s="7" t="s">
        <v>1707</v>
      </c>
      <c r="L341" s="8">
        <v>5698335</v>
      </c>
      <c r="M341" s="8" t="str">
        <f t="shared" si="32"/>
        <v>PEN</v>
      </c>
      <c r="N341" s="13">
        <v>165.2</v>
      </c>
      <c r="O341" s="13"/>
      <c r="P341" s="3">
        <f t="shared" si="33"/>
        <v>0</v>
      </c>
      <c r="Q341" s="3">
        <f t="shared" si="34"/>
        <v>0</v>
      </c>
      <c r="R341" s="3">
        <f t="shared" si="30"/>
        <v>25423.779999999995</v>
      </c>
      <c r="S341" s="24"/>
      <c r="T341" s="24" t="s">
        <v>1334</v>
      </c>
      <c r="U341" s="53"/>
      <c r="V341" s="25">
        <f>IFERROR(VLOOKUP(BCP_Soles[[#This Row],[destinatario]],CHOOSE({1,2},Clientes_Proveedores[Razon Social],Clientes_Proveedores[Ruc / Dni]),2,0),"")</f>
        <v>20609764261</v>
      </c>
      <c r="W341" s="25"/>
      <c r="X341" s="25"/>
      <c r="Y341" s="25"/>
      <c r="Z341" s="75"/>
      <c r="AA341" s="3" t="str">
        <f>IF(BCP_Soles[[#This Row],[fecha]]&gt;0,TEXT(BCP_Soles[[#This Row],[fecha]],"mmmm"),0)</f>
        <v>Enero</v>
      </c>
    </row>
    <row r="342" spans="1:27" ht="36" x14ac:dyDescent="0.3">
      <c r="A342" s="2">
        <f>IF(BCP_Soles[[#This Row],[tipo_registro]]="R",COUNTIFS($C$1:$C341,"R")+1,A341)</f>
        <v>213</v>
      </c>
      <c r="B342" s="19" t="str">
        <f t="shared" si="31"/>
        <v>B-BCP - Soles</v>
      </c>
      <c r="C342" s="3" t="s">
        <v>1352</v>
      </c>
      <c r="D342" s="14">
        <v>45684</v>
      </c>
      <c r="E342" s="5" t="s">
        <v>1338</v>
      </c>
      <c r="F342" s="5"/>
      <c r="G342" s="6" t="s">
        <v>474</v>
      </c>
      <c r="H342" s="6" t="s">
        <v>68</v>
      </c>
      <c r="I342" s="6" t="s">
        <v>1376</v>
      </c>
      <c r="J342" s="6">
        <v>694</v>
      </c>
      <c r="K342" s="7" t="s">
        <v>1707</v>
      </c>
      <c r="L342" s="8">
        <v>5698335</v>
      </c>
      <c r="M342" s="8" t="str">
        <f t="shared" si="32"/>
        <v>PEN</v>
      </c>
      <c r="N342" s="13">
        <v>330.4</v>
      </c>
      <c r="O342" s="13"/>
      <c r="P342" s="3">
        <f t="shared" si="33"/>
        <v>0</v>
      </c>
      <c r="Q342" s="3">
        <f t="shared" si="34"/>
        <v>0</v>
      </c>
      <c r="R342" s="3">
        <f t="shared" si="30"/>
        <v>25423.779999999995</v>
      </c>
      <c r="S342" s="24"/>
      <c r="T342" s="24" t="s">
        <v>1334</v>
      </c>
      <c r="U342" s="53"/>
      <c r="V342" s="25">
        <f>IFERROR(VLOOKUP(BCP_Soles[[#This Row],[destinatario]],CHOOSE({1,2},Clientes_Proveedores[Razon Social],Clientes_Proveedores[Ruc / Dni]),2,0),"")</f>
        <v>20602075177</v>
      </c>
      <c r="W342" s="25"/>
      <c r="X342" s="25"/>
      <c r="Y342" s="25"/>
      <c r="Z342" s="75"/>
      <c r="AA342" s="3" t="str">
        <f>IF(BCP_Soles[[#This Row],[fecha]]&gt;0,TEXT(BCP_Soles[[#This Row],[fecha]],"mmmm"),0)</f>
        <v>Enero</v>
      </c>
    </row>
    <row r="343" spans="1:27" ht="24" x14ac:dyDescent="0.3">
      <c r="A343" s="2">
        <f>IF(BCP_Soles[[#This Row],[tipo_registro]]="R",COUNTIFS($C$1:$C342,"R")+1,A342)</f>
        <v>213</v>
      </c>
      <c r="B343" s="19" t="str">
        <f t="shared" si="31"/>
        <v>B-BCP - Soles</v>
      </c>
      <c r="C343" s="3" t="s">
        <v>1352</v>
      </c>
      <c r="D343" s="14">
        <v>45684</v>
      </c>
      <c r="E343" s="5" t="s">
        <v>1338</v>
      </c>
      <c r="F343" s="5"/>
      <c r="G343" s="6" t="s">
        <v>187</v>
      </c>
      <c r="H343" s="6" t="s">
        <v>68</v>
      </c>
      <c r="I343" s="6" t="s">
        <v>1376</v>
      </c>
      <c r="J343" s="6">
        <v>229</v>
      </c>
      <c r="K343" s="7" t="s">
        <v>1707</v>
      </c>
      <c r="L343" s="8">
        <v>5698335</v>
      </c>
      <c r="M343" s="8" t="str">
        <f t="shared" si="32"/>
        <v>PEN</v>
      </c>
      <c r="N343" s="13">
        <v>110</v>
      </c>
      <c r="O343" s="13"/>
      <c r="P343" s="3">
        <f t="shared" si="33"/>
        <v>0</v>
      </c>
      <c r="Q343" s="3">
        <f t="shared" si="34"/>
        <v>0</v>
      </c>
      <c r="R343" s="3">
        <f t="shared" si="30"/>
        <v>25423.779999999995</v>
      </c>
      <c r="S343" s="24"/>
      <c r="T343" s="24" t="s">
        <v>1334</v>
      </c>
      <c r="U343" s="53"/>
      <c r="V343" s="25">
        <f>IFERROR(VLOOKUP(BCP_Soles[[#This Row],[destinatario]],CHOOSE({1,2},Clientes_Proveedores[Razon Social],Clientes_Proveedores[Ruc / Dni]),2,0),"")</f>
        <v>10706063426</v>
      </c>
      <c r="W343" s="25"/>
      <c r="X343" s="25"/>
      <c r="Y343" s="25"/>
      <c r="Z343" s="75"/>
      <c r="AA343" s="3" t="str">
        <f>IF(BCP_Soles[[#This Row],[fecha]]&gt;0,TEXT(BCP_Soles[[#This Row],[fecha]],"mmmm"),0)</f>
        <v>Enero</v>
      </c>
    </row>
    <row r="344" spans="1:27" ht="36" x14ac:dyDescent="0.3">
      <c r="A344" s="2">
        <f>IF(BCP_Soles[[#This Row],[tipo_registro]]="R",COUNTIFS($C$1:$C343,"R")+1,A343)</f>
        <v>213</v>
      </c>
      <c r="B344" s="19" t="str">
        <f t="shared" si="31"/>
        <v>B-BCP - Soles</v>
      </c>
      <c r="C344" s="3" t="s">
        <v>1352</v>
      </c>
      <c r="D344" s="14">
        <v>45684</v>
      </c>
      <c r="E344" s="5" t="s">
        <v>1338</v>
      </c>
      <c r="F344" s="5"/>
      <c r="G344" s="6" t="s">
        <v>132</v>
      </c>
      <c r="H344" s="6" t="s">
        <v>68</v>
      </c>
      <c r="I344" s="6" t="s">
        <v>1376</v>
      </c>
      <c r="J344" s="6">
        <v>639</v>
      </c>
      <c r="K344" s="7" t="s">
        <v>1707</v>
      </c>
      <c r="L344" s="8">
        <v>5698335</v>
      </c>
      <c r="M344" s="8" t="str">
        <f t="shared" si="32"/>
        <v>PEN</v>
      </c>
      <c r="N344" s="13">
        <v>440</v>
      </c>
      <c r="O344" s="13"/>
      <c r="P344" s="3">
        <f t="shared" si="33"/>
        <v>0</v>
      </c>
      <c r="Q344" s="3">
        <f t="shared" si="34"/>
        <v>0</v>
      </c>
      <c r="R344" s="3">
        <f t="shared" si="30"/>
        <v>25423.779999999995</v>
      </c>
      <c r="S344" s="24"/>
      <c r="T344" s="24" t="s">
        <v>1334</v>
      </c>
      <c r="U344" s="53"/>
      <c r="V344" s="25">
        <f>IFERROR(VLOOKUP(BCP_Soles[[#This Row],[destinatario]],CHOOSE({1,2},Clientes_Proveedores[Razon Social],Clientes_Proveedores[Ruc / Dni]),2,0),"")</f>
        <v>10296695781</v>
      </c>
      <c r="W344" s="25"/>
      <c r="X344" s="25"/>
      <c r="Y344" s="25"/>
      <c r="Z344" s="75"/>
      <c r="AA344" s="3" t="str">
        <f>IF(BCP_Soles[[#This Row],[fecha]]&gt;0,TEXT(BCP_Soles[[#This Row],[fecha]],"mmmm"),0)</f>
        <v>Enero</v>
      </c>
    </row>
    <row r="345" spans="1:27" ht="24" x14ac:dyDescent="0.3">
      <c r="A345" s="2">
        <f>IF(BCP_Soles[[#This Row],[tipo_registro]]="R",COUNTIFS($C$1:$C344,"R")+1,A344)</f>
        <v>213</v>
      </c>
      <c r="B345" s="19" t="str">
        <f t="shared" si="31"/>
        <v>B-BCP - Soles</v>
      </c>
      <c r="C345" s="3" t="s">
        <v>1352</v>
      </c>
      <c r="D345" s="14">
        <v>45684</v>
      </c>
      <c r="E345" s="5" t="s">
        <v>1338</v>
      </c>
      <c r="F345" s="5"/>
      <c r="G345" s="6" t="s">
        <v>594</v>
      </c>
      <c r="H345" s="6" t="s">
        <v>68</v>
      </c>
      <c r="I345" s="6" t="s">
        <v>1376</v>
      </c>
      <c r="J345" s="6">
        <v>1883</v>
      </c>
      <c r="K345" s="7" t="s">
        <v>1707</v>
      </c>
      <c r="L345" s="8">
        <v>5698335</v>
      </c>
      <c r="M345" s="8" t="str">
        <f t="shared" si="32"/>
        <v>PEN</v>
      </c>
      <c r="N345" s="13">
        <v>70.8</v>
      </c>
      <c r="O345" s="13"/>
      <c r="P345" s="3">
        <f t="shared" si="33"/>
        <v>0</v>
      </c>
      <c r="Q345" s="3">
        <f t="shared" si="34"/>
        <v>0</v>
      </c>
      <c r="R345" s="3">
        <f t="shared" si="30"/>
        <v>25423.779999999995</v>
      </c>
      <c r="S345" s="24"/>
      <c r="T345" s="24" t="s">
        <v>1334</v>
      </c>
      <c r="U345" s="53"/>
      <c r="V345" s="25">
        <f>IFERROR(VLOOKUP(BCP_Soles[[#This Row],[destinatario]],CHOOSE({1,2},Clientes_Proveedores[Razon Social],Clientes_Proveedores[Ruc / Dni]),2,0),"")</f>
        <v>20609764261</v>
      </c>
      <c r="W345" s="25"/>
      <c r="X345" s="25"/>
      <c r="Y345" s="25"/>
      <c r="Z345" s="75"/>
      <c r="AA345" s="3" t="str">
        <f>IF(BCP_Soles[[#This Row],[fecha]]&gt;0,TEXT(BCP_Soles[[#This Row],[fecha]],"mmmm"),0)</f>
        <v>Enero</v>
      </c>
    </row>
    <row r="346" spans="1:27" ht="24" x14ac:dyDescent="0.3">
      <c r="A346" s="2">
        <f>IF(BCP_Soles[[#This Row],[tipo_registro]]="R",COUNTIFS($C$1:$C345,"R")+1,A345)</f>
        <v>213</v>
      </c>
      <c r="B346" s="19" t="str">
        <f t="shared" si="31"/>
        <v>B-BCP - Soles</v>
      </c>
      <c r="C346" s="3" t="s">
        <v>1352</v>
      </c>
      <c r="D346" s="14">
        <v>45684</v>
      </c>
      <c r="E346" s="5" t="s">
        <v>1338</v>
      </c>
      <c r="F346" s="5"/>
      <c r="G346" s="6" t="s">
        <v>166</v>
      </c>
      <c r="H346" s="6" t="s">
        <v>68</v>
      </c>
      <c r="I346" s="6" t="s">
        <v>1376</v>
      </c>
      <c r="J346" s="6">
        <v>4354</v>
      </c>
      <c r="K346" s="7" t="s">
        <v>1707</v>
      </c>
      <c r="L346" s="8">
        <v>5698335</v>
      </c>
      <c r="M346" s="8" t="str">
        <f t="shared" si="32"/>
        <v>PEN</v>
      </c>
      <c r="N346" s="13">
        <v>59</v>
      </c>
      <c r="O346" s="13"/>
      <c r="P346" s="3">
        <f t="shared" si="33"/>
        <v>0</v>
      </c>
      <c r="Q346" s="3">
        <f t="shared" si="34"/>
        <v>0</v>
      </c>
      <c r="R346" s="3">
        <f t="shared" si="30"/>
        <v>25423.779999999995</v>
      </c>
      <c r="S346" s="24"/>
      <c r="T346" s="24" t="s">
        <v>1334</v>
      </c>
      <c r="U346" s="53"/>
      <c r="V346" s="25">
        <f>IFERROR(VLOOKUP(BCP_Soles[[#This Row],[destinatario]],CHOOSE({1,2},Clientes_Proveedores[Razon Social],Clientes_Proveedores[Ruc / Dni]),2,0),"")</f>
        <v>10425371652</v>
      </c>
      <c r="W346" s="25"/>
      <c r="X346" s="25"/>
      <c r="Y346" s="25"/>
      <c r="Z346" s="75"/>
      <c r="AA346" s="3" t="str">
        <f>IF(BCP_Soles[[#This Row],[fecha]]&gt;0,TEXT(BCP_Soles[[#This Row],[fecha]],"mmmm"),0)</f>
        <v>Enero</v>
      </c>
    </row>
    <row r="347" spans="1:27" ht="24" x14ac:dyDescent="0.3">
      <c r="A347" s="2">
        <f>IF(BCP_Soles[[#This Row],[tipo_registro]]="R",COUNTIFS($C$1:$C346,"R")+1,A346)</f>
        <v>214</v>
      </c>
      <c r="B347" s="19" t="str">
        <f t="shared" si="31"/>
        <v>B-BCP - Soles</v>
      </c>
      <c r="C347" s="3" t="s">
        <v>1330</v>
      </c>
      <c r="D347" s="14">
        <v>45684</v>
      </c>
      <c r="E347" s="5" t="s">
        <v>1338</v>
      </c>
      <c r="F347" s="5" t="s">
        <v>1336</v>
      </c>
      <c r="G347" s="6"/>
      <c r="H347" s="6"/>
      <c r="I347" s="6"/>
      <c r="J347" s="6"/>
      <c r="K347" s="7" t="s">
        <v>1708</v>
      </c>
      <c r="L347" s="8">
        <v>1250095</v>
      </c>
      <c r="M347" s="8" t="str">
        <f t="shared" si="32"/>
        <v>PEN</v>
      </c>
      <c r="N347" s="13"/>
      <c r="O347" s="13">
        <v>688</v>
      </c>
      <c r="P347" s="3">
        <f t="shared" si="33"/>
        <v>0</v>
      </c>
      <c r="Q347" s="3">
        <f t="shared" si="34"/>
        <v>688</v>
      </c>
      <c r="R347" s="3">
        <f t="shared" si="30"/>
        <v>24735.779999999995</v>
      </c>
      <c r="S347" s="24"/>
      <c r="T347" s="24"/>
      <c r="U347" s="53"/>
      <c r="V347" s="25" t="str">
        <f>IFERROR(VLOOKUP(BCP_Soles[[#This Row],[destinatario]],CHOOSE({1,2},Clientes_Proveedores[Razon Social],Clientes_Proveedores[Ruc / Dni]),2,0),"")</f>
        <v/>
      </c>
      <c r="W347" s="25" t="s">
        <v>1709</v>
      </c>
      <c r="X347" s="25"/>
      <c r="Y347" s="25"/>
      <c r="Z347" s="75"/>
      <c r="AA347" s="3" t="str">
        <f>IF(BCP_Soles[[#This Row],[fecha]]&gt;0,TEXT(BCP_Soles[[#This Row],[fecha]],"mmmm"),0)</f>
        <v>Enero</v>
      </c>
    </row>
    <row r="348" spans="1:27" ht="24" x14ac:dyDescent="0.3">
      <c r="A348" s="2">
        <f>IF(BCP_Soles[[#This Row],[tipo_registro]]="R",COUNTIFS($C$1:$C347,"R")+1,A347)</f>
        <v>215</v>
      </c>
      <c r="B348" s="19" t="str">
        <f t="shared" si="31"/>
        <v>B-BCP - Soles</v>
      </c>
      <c r="C348" s="3" t="s">
        <v>1330</v>
      </c>
      <c r="D348" s="14">
        <v>45684</v>
      </c>
      <c r="E348" s="5" t="s">
        <v>1338</v>
      </c>
      <c r="F348" s="5" t="s">
        <v>1336</v>
      </c>
      <c r="G348" s="6" t="s">
        <v>241</v>
      </c>
      <c r="H348" s="6" t="s">
        <v>68</v>
      </c>
      <c r="I348" s="6" t="s">
        <v>1339</v>
      </c>
      <c r="J348" s="6">
        <v>7081</v>
      </c>
      <c r="K348" s="7" t="s">
        <v>1710</v>
      </c>
      <c r="L348" s="8">
        <v>1203176</v>
      </c>
      <c r="M348" s="8" t="str">
        <f t="shared" si="32"/>
        <v>PEN</v>
      </c>
      <c r="N348" s="13"/>
      <c r="O348" s="13">
        <v>366.5</v>
      </c>
      <c r="P348" s="3">
        <f t="shared" si="33"/>
        <v>0</v>
      </c>
      <c r="Q348" s="3">
        <f t="shared" si="34"/>
        <v>366.5</v>
      </c>
      <c r="R348" s="3">
        <f t="shared" si="30"/>
        <v>24369.279999999995</v>
      </c>
      <c r="S348" s="24" t="s">
        <v>1334</v>
      </c>
      <c r="T348" s="24" t="s">
        <v>1334</v>
      </c>
      <c r="U348" s="53"/>
      <c r="V348" s="25">
        <f>IFERROR(VLOOKUP(BCP_Soles[[#This Row],[destinatario]],CHOOSE({1,2},Clientes_Proveedores[Razon Social],Clientes_Proveedores[Ruc / Dni]),2,0),"")</f>
        <v>20170040938</v>
      </c>
      <c r="W348" s="25" t="s">
        <v>1341</v>
      </c>
      <c r="X348" s="25" t="s">
        <v>1711</v>
      </c>
      <c r="Y348" s="25"/>
      <c r="Z348" s="75"/>
      <c r="AA348" s="3" t="str">
        <f>IF(BCP_Soles[[#This Row],[fecha]]&gt;0,TEXT(BCP_Soles[[#This Row],[fecha]],"mmmm"),0)</f>
        <v>Enero</v>
      </c>
    </row>
    <row r="349" spans="1:27" x14ac:dyDescent="0.3">
      <c r="A349" s="2">
        <f>IF(BCP_Soles[[#This Row],[tipo_registro]]="R",COUNTIFS($C$1:$C348,"R")+1,A348)</f>
        <v>216</v>
      </c>
      <c r="B349" s="19" t="str">
        <f t="shared" si="31"/>
        <v>B-BCP - Soles</v>
      </c>
      <c r="C349" s="3" t="s">
        <v>1330</v>
      </c>
      <c r="D349" s="14">
        <v>45685</v>
      </c>
      <c r="E349" s="5" t="s">
        <v>1338</v>
      </c>
      <c r="F349" s="5" t="s">
        <v>1336</v>
      </c>
      <c r="G349" s="6"/>
      <c r="H349" s="6"/>
      <c r="I349" s="6"/>
      <c r="J349" s="6"/>
      <c r="K349" s="7" t="s">
        <v>1712</v>
      </c>
      <c r="L349" s="8">
        <v>1003314</v>
      </c>
      <c r="M349" s="8" t="str">
        <f t="shared" si="32"/>
        <v>PEN</v>
      </c>
      <c r="N349" s="13"/>
      <c r="O349" s="13">
        <v>4612</v>
      </c>
      <c r="P349" s="3">
        <f t="shared" si="33"/>
        <v>0</v>
      </c>
      <c r="Q349" s="3">
        <f t="shared" si="34"/>
        <v>4612</v>
      </c>
      <c r="R349" s="3">
        <f t="shared" si="30"/>
        <v>19757.279999999995</v>
      </c>
      <c r="S349" s="24"/>
      <c r="T349" s="24"/>
      <c r="U349" s="53"/>
      <c r="V349" s="25" t="str">
        <f>IFERROR(VLOOKUP(BCP_Soles[[#This Row],[destinatario]],CHOOSE({1,2},Clientes_Proveedores[Razon Social],Clientes_Proveedores[Ruc / Dni]),2,0),"")</f>
        <v/>
      </c>
      <c r="W349" s="25" t="s">
        <v>1389</v>
      </c>
      <c r="X349" s="25"/>
      <c r="Y349" s="25"/>
      <c r="Z349" s="75"/>
      <c r="AA349" s="3" t="str">
        <f>IF(BCP_Soles[[#This Row],[fecha]]&gt;0,TEXT(BCP_Soles[[#This Row],[fecha]],"mmmm"),0)</f>
        <v>Enero</v>
      </c>
    </row>
    <row r="350" spans="1:27" x14ac:dyDescent="0.3">
      <c r="A350" s="2">
        <f>IF(BCP_Soles[[#This Row],[tipo_registro]]="R",COUNTIFS($C$1:$C349,"R")+1,A349)</f>
        <v>217</v>
      </c>
      <c r="B350" s="19" t="str">
        <f t="shared" si="31"/>
        <v>B-BCP - Soles</v>
      </c>
      <c r="C350" s="3" t="s">
        <v>1330</v>
      </c>
      <c r="D350" s="14">
        <v>45685</v>
      </c>
      <c r="E350" s="5" t="s">
        <v>1335</v>
      </c>
      <c r="F350" s="5" t="s">
        <v>1336</v>
      </c>
      <c r="G350" s="6"/>
      <c r="H350" s="6"/>
      <c r="I350" s="6"/>
      <c r="J350" s="6"/>
      <c r="K350" s="7" t="s">
        <v>1337</v>
      </c>
      <c r="L350" s="8"/>
      <c r="M350" s="8" t="str">
        <f t="shared" si="32"/>
        <v>PEN</v>
      </c>
      <c r="N350" s="13"/>
      <c r="O350" s="13">
        <v>0.35</v>
      </c>
      <c r="P350" s="3">
        <f t="shared" si="33"/>
        <v>0</v>
      </c>
      <c r="Q350" s="3">
        <f t="shared" si="34"/>
        <v>0.35</v>
      </c>
      <c r="R350" s="3">
        <f t="shared" si="30"/>
        <v>19756.929999999997</v>
      </c>
      <c r="S350" s="24"/>
      <c r="T350" s="24" t="s">
        <v>1334</v>
      </c>
      <c r="U350" s="53"/>
      <c r="V350" s="25" t="str">
        <f>IFERROR(VLOOKUP(BCP_Soles[[#This Row],[destinatario]],CHOOSE({1,2},Clientes_Proveedores[Razon Social],Clientes_Proveedores[Ruc / Dni]),2,0),"")</f>
        <v/>
      </c>
      <c r="W350" s="25"/>
      <c r="X350" s="25"/>
      <c r="Y350" s="25"/>
      <c r="Z350" s="75"/>
      <c r="AA350" s="3" t="str">
        <f>IF(BCP_Soles[[#This Row],[fecha]]&gt;0,TEXT(BCP_Soles[[#This Row],[fecha]],"mmmm"),0)</f>
        <v>Enero</v>
      </c>
    </row>
    <row r="351" spans="1:27" ht="24" x14ac:dyDescent="0.3">
      <c r="A351" s="2">
        <f>IF(BCP_Soles[[#This Row],[tipo_registro]]="R",COUNTIFS($C$1:$C350,"R")+1,A350)</f>
        <v>218</v>
      </c>
      <c r="B351" s="19" t="str">
        <f t="shared" si="31"/>
        <v>B-BCP - Soles</v>
      </c>
      <c r="C351" s="3" t="s">
        <v>1330</v>
      </c>
      <c r="D351" s="14">
        <v>45685</v>
      </c>
      <c r="E351" s="5" t="s">
        <v>1338</v>
      </c>
      <c r="F351" s="5" t="s">
        <v>1336</v>
      </c>
      <c r="G351" s="6" t="s">
        <v>901</v>
      </c>
      <c r="H351" s="6"/>
      <c r="I351" s="6"/>
      <c r="J351" s="6"/>
      <c r="K351" s="7" t="s">
        <v>1713</v>
      </c>
      <c r="L351" s="8">
        <v>1256044</v>
      </c>
      <c r="M351" s="8" t="str">
        <f t="shared" si="32"/>
        <v>PEN</v>
      </c>
      <c r="N351" s="13"/>
      <c r="O351" s="13">
        <v>2799.1</v>
      </c>
      <c r="P351" s="3">
        <f t="shared" si="33"/>
        <v>0</v>
      </c>
      <c r="Q351" s="3">
        <f t="shared" si="34"/>
        <v>2799.1</v>
      </c>
      <c r="R351" s="3">
        <f t="shared" si="30"/>
        <v>16957.829999999998</v>
      </c>
      <c r="S351" s="24"/>
      <c r="T351" s="24" t="s">
        <v>1334</v>
      </c>
      <c r="U351" s="53"/>
      <c r="V351" s="25">
        <f>IFERROR(VLOOKUP(BCP_Soles[[#This Row],[destinatario]],CHOOSE({1,2},Clientes_Proveedores[Razon Social],Clientes_Proveedores[Ruc / Dni]),2,0),"")</f>
        <v>72131384</v>
      </c>
      <c r="W351" s="25" t="s">
        <v>901</v>
      </c>
      <c r="X351" s="25" t="s">
        <v>1714</v>
      </c>
      <c r="Y351" s="25"/>
      <c r="Z351" s="75"/>
      <c r="AA351" s="3" t="str">
        <f>IF(BCP_Soles[[#This Row],[fecha]]&gt;0,TEXT(BCP_Soles[[#This Row],[fecha]],"mmmm"),0)</f>
        <v>Enero</v>
      </c>
    </row>
    <row r="352" spans="1:27" x14ac:dyDescent="0.3">
      <c r="A352" s="2">
        <f>IF(BCP_Soles[[#This Row],[tipo_registro]]="R",COUNTIFS($C$1:$C351,"R")+1,A351)</f>
        <v>219</v>
      </c>
      <c r="B352" s="19" t="str">
        <f t="shared" si="31"/>
        <v>B-BCP - Soles</v>
      </c>
      <c r="C352" s="3" t="s">
        <v>1330</v>
      </c>
      <c r="D352" s="14">
        <v>45685</v>
      </c>
      <c r="E352" s="5" t="s">
        <v>1338</v>
      </c>
      <c r="F352" s="5" t="s">
        <v>1336</v>
      </c>
      <c r="G352" s="6" t="s">
        <v>695</v>
      </c>
      <c r="H352" s="6" t="s">
        <v>68</v>
      </c>
      <c r="I352" s="6" t="s">
        <v>1715</v>
      </c>
      <c r="J352" s="6">
        <v>125580</v>
      </c>
      <c r="K352" s="7" t="s">
        <v>1378</v>
      </c>
      <c r="L352" s="8">
        <v>124154</v>
      </c>
      <c r="M352" s="8" t="str">
        <f t="shared" si="32"/>
        <v>PEN</v>
      </c>
      <c r="N352" s="13"/>
      <c r="O352" s="13">
        <v>2591.1</v>
      </c>
      <c r="P352" s="3">
        <f t="shared" si="33"/>
        <v>0</v>
      </c>
      <c r="Q352" s="3">
        <f t="shared" si="34"/>
        <v>2591.1</v>
      </c>
      <c r="R352" s="3">
        <f t="shared" si="30"/>
        <v>14366.729999999998</v>
      </c>
      <c r="S352" s="24" t="s">
        <v>1334</v>
      </c>
      <c r="T352" s="24" t="s">
        <v>1334</v>
      </c>
      <c r="U352" s="53"/>
      <c r="V352" s="25">
        <f>IFERROR(VLOOKUP(BCP_Soles[[#This Row],[destinatario]],CHOOSE({1,2},Clientes_Proveedores[Razon Social],Clientes_Proveedores[Ruc / Dni]),2,0),"")</f>
        <v>20127765279</v>
      </c>
      <c r="W352" s="25" t="s">
        <v>1379</v>
      </c>
      <c r="X352" s="25" t="s">
        <v>1716</v>
      </c>
      <c r="Y352" s="25"/>
      <c r="Z352" s="75"/>
      <c r="AA352" s="3" t="str">
        <f>IF(BCP_Soles[[#This Row],[fecha]]&gt;0,TEXT(BCP_Soles[[#This Row],[fecha]],"mmmm"),0)</f>
        <v>Enero</v>
      </c>
    </row>
    <row r="353" spans="1:27" x14ac:dyDescent="0.3">
      <c r="A353" s="2">
        <f>IF(BCP_Soles[[#This Row],[tipo_registro]]="R",COUNTIFS($C$1:$C352,"R")+1,A352)</f>
        <v>220</v>
      </c>
      <c r="B353" s="19" t="str">
        <f t="shared" si="31"/>
        <v>B-BCP - Soles</v>
      </c>
      <c r="C353" s="3" t="s">
        <v>1330</v>
      </c>
      <c r="D353" s="14">
        <v>45685</v>
      </c>
      <c r="E353" s="5" t="s">
        <v>1338</v>
      </c>
      <c r="F353" s="5" t="s">
        <v>1336</v>
      </c>
      <c r="G353" s="6"/>
      <c r="H353" s="6"/>
      <c r="I353" s="6"/>
      <c r="J353" s="6"/>
      <c r="K353" s="7" t="s">
        <v>1717</v>
      </c>
      <c r="L353" s="8">
        <v>200119</v>
      </c>
      <c r="M353" s="8" t="str">
        <f t="shared" si="32"/>
        <v>PEN</v>
      </c>
      <c r="N353" s="13"/>
      <c r="O353" s="13">
        <v>1019.76</v>
      </c>
      <c r="P353" s="3">
        <f t="shared" si="33"/>
        <v>0</v>
      </c>
      <c r="Q353" s="3">
        <f t="shared" si="34"/>
        <v>1019.76</v>
      </c>
      <c r="R353" s="3">
        <f t="shared" si="30"/>
        <v>13346.969999999998</v>
      </c>
      <c r="S353" s="24"/>
      <c r="T353" s="24"/>
      <c r="U353" s="53"/>
      <c r="V353" s="25" t="str">
        <f>IFERROR(VLOOKUP(BCP_Soles[[#This Row],[destinatario]],CHOOSE({1,2},Clientes_Proveedores[Razon Social],Clientes_Proveedores[Ruc / Dni]),2,0),"")</f>
        <v/>
      </c>
      <c r="W353" s="25" t="s">
        <v>1718</v>
      </c>
      <c r="X353" s="25"/>
      <c r="Y353" s="25"/>
      <c r="Z353" s="75"/>
      <c r="AA353" s="3" t="str">
        <f>IF(BCP_Soles[[#This Row],[fecha]]&gt;0,TEXT(BCP_Soles[[#This Row],[fecha]],"mmmm"),0)</f>
        <v>Enero</v>
      </c>
    </row>
    <row r="354" spans="1:27" x14ac:dyDescent="0.3">
      <c r="A354" s="2">
        <f>IF(BCP_Soles[[#This Row],[tipo_registro]]="R",COUNTIFS($C$1:$C353,"R")+1,A353)</f>
        <v>221</v>
      </c>
      <c r="B354" s="19" t="str">
        <f t="shared" si="31"/>
        <v>B-BCP - Soles</v>
      </c>
      <c r="C354" s="3" t="s">
        <v>1330</v>
      </c>
      <c r="D354" s="14">
        <v>45685</v>
      </c>
      <c r="E354" s="5" t="s">
        <v>1338</v>
      </c>
      <c r="F354" s="5" t="s">
        <v>1336</v>
      </c>
      <c r="G354" s="6"/>
      <c r="H354" s="6"/>
      <c r="I354" s="6"/>
      <c r="J354" s="6"/>
      <c r="K354" s="7" t="s">
        <v>1719</v>
      </c>
      <c r="L354" s="8">
        <v>239072</v>
      </c>
      <c r="M354" s="8" t="str">
        <f t="shared" si="32"/>
        <v>PEN</v>
      </c>
      <c r="N354" s="13"/>
      <c r="O354" s="13">
        <v>1016</v>
      </c>
      <c r="P354" s="3">
        <f t="shared" si="33"/>
        <v>0</v>
      </c>
      <c r="Q354" s="3">
        <f t="shared" si="34"/>
        <v>1016</v>
      </c>
      <c r="R354" s="3">
        <f t="shared" si="30"/>
        <v>12330.969999999998</v>
      </c>
      <c r="S354" s="24"/>
      <c r="T354" s="24"/>
      <c r="U354" s="53"/>
      <c r="V354" s="25" t="str">
        <f>IFERROR(VLOOKUP(BCP_Soles[[#This Row],[destinatario]],CHOOSE({1,2},Clientes_Proveedores[Razon Social],Clientes_Proveedores[Ruc / Dni]),2,0),"")</f>
        <v/>
      </c>
      <c r="W354" s="25" t="s">
        <v>1718</v>
      </c>
      <c r="X354" s="25"/>
      <c r="Y354" s="25"/>
      <c r="Z354" s="75"/>
      <c r="AA354" s="3" t="str">
        <f>IF(BCP_Soles[[#This Row],[fecha]]&gt;0,TEXT(BCP_Soles[[#This Row],[fecha]],"mmmm"),0)</f>
        <v>Enero</v>
      </c>
    </row>
    <row r="355" spans="1:27" x14ac:dyDescent="0.3">
      <c r="A355" s="2">
        <f>IF(BCP_Soles[[#This Row],[tipo_registro]]="R",COUNTIFS($C$1:$C354,"R")+1,A354)</f>
        <v>222</v>
      </c>
      <c r="B355" s="19" t="str">
        <f t="shared" si="31"/>
        <v>B-BCP - Soles</v>
      </c>
      <c r="C355" s="3" t="s">
        <v>1330</v>
      </c>
      <c r="D355" s="14">
        <v>45685</v>
      </c>
      <c r="E355" s="5" t="s">
        <v>1338</v>
      </c>
      <c r="F355" s="5" t="s">
        <v>1336</v>
      </c>
      <c r="G355" s="6" t="s">
        <v>695</v>
      </c>
      <c r="H355" s="6" t="s">
        <v>68</v>
      </c>
      <c r="I355" s="6" t="s">
        <v>1715</v>
      </c>
      <c r="J355" s="6">
        <v>125559</v>
      </c>
      <c r="K355" s="7" t="s">
        <v>1378</v>
      </c>
      <c r="L355" s="8">
        <v>167109</v>
      </c>
      <c r="M355" s="8" t="str">
        <f t="shared" si="32"/>
        <v>PEN</v>
      </c>
      <c r="N355" s="13"/>
      <c r="O355" s="13">
        <v>970.59</v>
      </c>
      <c r="P355" s="3">
        <f t="shared" si="33"/>
        <v>0</v>
      </c>
      <c r="Q355" s="3">
        <f t="shared" si="34"/>
        <v>970.59</v>
      </c>
      <c r="R355" s="3">
        <f t="shared" si="30"/>
        <v>11360.379999999997</v>
      </c>
      <c r="S355" s="24" t="s">
        <v>1334</v>
      </c>
      <c r="T355" s="24" t="s">
        <v>1334</v>
      </c>
      <c r="U355" s="53"/>
      <c r="V355" s="25">
        <f>IFERROR(VLOOKUP(BCP_Soles[[#This Row],[destinatario]],CHOOSE({1,2},Clientes_Proveedores[Razon Social],Clientes_Proveedores[Ruc / Dni]),2,0),"")</f>
        <v>20127765279</v>
      </c>
      <c r="W355" s="25" t="s">
        <v>1379</v>
      </c>
      <c r="X355" s="25" t="s">
        <v>1720</v>
      </c>
      <c r="Y355" s="25"/>
      <c r="Z355" s="75"/>
      <c r="AA355" s="3" t="str">
        <f>IF(BCP_Soles[[#This Row],[fecha]]&gt;0,TEXT(BCP_Soles[[#This Row],[fecha]],"mmmm"),0)</f>
        <v>Enero</v>
      </c>
    </row>
    <row r="356" spans="1:27" ht="24" x14ac:dyDescent="0.3">
      <c r="A356" s="2">
        <f>IF(BCP_Soles[[#This Row],[tipo_registro]]="R",COUNTIFS($C$1:$C355,"R")+1,A355)</f>
        <v>223</v>
      </c>
      <c r="B356" s="19" t="str">
        <f t="shared" si="31"/>
        <v>B-BCP - Soles</v>
      </c>
      <c r="C356" s="3" t="s">
        <v>1330</v>
      </c>
      <c r="D356" s="14">
        <v>45685</v>
      </c>
      <c r="E356" s="5" t="s">
        <v>1335</v>
      </c>
      <c r="F356" s="5" t="s">
        <v>1336</v>
      </c>
      <c r="G356" s="6" t="s">
        <v>1060</v>
      </c>
      <c r="H356" s="6" t="s">
        <v>68</v>
      </c>
      <c r="I356" s="6" t="s">
        <v>1397</v>
      </c>
      <c r="J356" s="6">
        <v>28979615</v>
      </c>
      <c r="K356" s="7" t="s">
        <v>1400</v>
      </c>
      <c r="L356" s="8">
        <v>459</v>
      </c>
      <c r="M356" s="8" t="str">
        <f t="shared" si="32"/>
        <v>PEN</v>
      </c>
      <c r="N356" s="13"/>
      <c r="O356" s="13">
        <v>10</v>
      </c>
      <c r="P356" s="3">
        <f t="shared" si="33"/>
        <v>0</v>
      </c>
      <c r="Q356" s="3">
        <f t="shared" si="34"/>
        <v>10</v>
      </c>
      <c r="R356" s="3">
        <f t="shared" si="30"/>
        <v>11350.379999999997</v>
      </c>
      <c r="S356" s="24" t="s">
        <v>1334</v>
      </c>
      <c r="T356" s="24" t="s">
        <v>1334</v>
      </c>
      <c r="U356" s="53"/>
      <c r="V356" s="25">
        <f>IFERROR(VLOOKUP(BCP_Soles[[#This Row],[destinatario]],CHOOSE({1,2},Clientes_Proveedores[Razon Social],Clientes_Proveedores[Ruc / Dni]),2,0),"")</f>
        <v>20100047218</v>
      </c>
      <c r="W356" s="25" t="s">
        <v>1335</v>
      </c>
      <c r="X356" s="25"/>
      <c r="Y356" s="25"/>
      <c r="Z356" s="75"/>
      <c r="AA356" s="3" t="str">
        <f>IF(BCP_Soles[[#This Row],[fecha]]&gt;0,TEXT(BCP_Soles[[#This Row],[fecha]],"mmmm"),0)</f>
        <v>Enero</v>
      </c>
    </row>
    <row r="357" spans="1:27" ht="24" x14ac:dyDescent="0.3">
      <c r="A357" s="2">
        <f>IF(BCP_Soles[[#This Row],[tipo_registro]]="R",COUNTIFS($C$1:$C356,"R")+1,A356)</f>
        <v>224</v>
      </c>
      <c r="B357" s="19" t="str">
        <f t="shared" si="31"/>
        <v>B-BCP - Soles</v>
      </c>
      <c r="C357" s="3" t="s">
        <v>1330</v>
      </c>
      <c r="D357" s="14">
        <v>45685</v>
      </c>
      <c r="E357" s="5" t="s">
        <v>1617</v>
      </c>
      <c r="F357" s="5" t="s">
        <v>1303</v>
      </c>
      <c r="G357" s="6" t="s">
        <v>425</v>
      </c>
      <c r="H357" s="6" t="s">
        <v>119</v>
      </c>
      <c r="I357" s="6">
        <v>1</v>
      </c>
      <c r="J357" s="6">
        <v>4069</v>
      </c>
      <c r="K357" s="7" t="s">
        <v>1618</v>
      </c>
      <c r="L357" s="8">
        <v>52428</v>
      </c>
      <c r="M357" s="8" t="str">
        <f t="shared" si="32"/>
        <v>PEN</v>
      </c>
      <c r="N357" s="13"/>
      <c r="O357" s="13">
        <v>1000</v>
      </c>
      <c r="P357" s="3">
        <f t="shared" si="33"/>
        <v>1000</v>
      </c>
      <c r="Q357" s="3">
        <f t="shared" si="34"/>
        <v>0</v>
      </c>
      <c r="R357" s="3">
        <f t="shared" si="30"/>
        <v>12350.379999999997</v>
      </c>
      <c r="S357" s="24" t="s">
        <v>1334</v>
      </c>
      <c r="T357" s="24" t="s">
        <v>1334</v>
      </c>
      <c r="U357" s="53"/>
      <c r="V357" s="25">
        <f>IFERROR(VLOOKUP(BCP_Soles[[#This Row],[destinatario]],CHOOSE({1,2},Clientes_Proveedores[Razon Social],Clientes_Proveedores[Ruc / Dni]),2,0),"")</f>
        <v>20558226979</v>
      </c>
      <c r="W357" s="25" t="s">
        <v>1345</v>
      </c>
      <c r="X357" s="25" t="s">
        <v>1619</v>
      </c>
      <c r="Y357" s="25"/>
      <c r="Z357" s="75"/>
      <c r="AA357" s="3" t="str">
        <f>IF(BCP_Soles[[#This Row],[fecha]]&gt;0,TEXT(BCP_Soles[[#This Row],[fecha]],"mmmm"),0)</f>
        <v>Enero</v>
      </c>
    </row>
    <row r="358" spans="1:27" ht="24" x14ac:dyDescent="0.3">
      <c r="A358" s="2">
        <f>IF(BCP_Soles[[#This Row],[tipo_registro]]="R",COUNTIFS($C$1:$C357,"R")+1,A357)</f>
        <v>225</v>
      </c>
      <c r="B358" s="19" t="str">
        <f t="shared" si="31"/>
        <v>B-BCP - Soles</v>
      </c>
      <c r="C358" s="3" t="s">
        <v>1330</v>
      </c>
      <c r="D358" s="14">
        <v>45685</v>
      </c>
      <c r="E358" s="5" t="s">
        <v>1617</v>
      </c>
      <c r="F358" s="5" t="s">
        <v>1303</v>
      </c>
      <c r="G358" s="6" t="s">
        <v>425</v>
      </c>
      <c r="H358" s="6" t="s">
        <v>119</v>
      </c>
      <c r="I358" s="6">
        <v>1</v>
      </c>
      <c r="J358" s="6">
        <v>4069</v>
      </c>
      <c r="K358" s="7" t="s">
        <v>1618</v>
      </c>
      <c r="L358" s="8">
        <v>52433</v>
      </c>
      <c r="M358" s="8" t="str">
        <f t="shared" si="32"/>
        <v>PEN</v>
      </c>
      <c r="N358" s="13"/>
      <c r="O358" s="13">
        <v>108.5</v>
      </c>
      <c r="P358" s="3">
        <f t="shared" si="33"/>
        <v>108.5</v>
      </c>
      <c r="Q358" s="3">
        <f t="shared" si="34"/>
        <v>0</v>
      </c>
      <c r="R358" s="3">
        <f t="shared" si="30"/>
        <v>12458.879999999997</v>
      </c>
      <c r="S358" s="24" t="s">
        <v>1334</v>
      </c>
      <c r="T358" s="24" t="s">
        <v>1334</v>
      </c>
      <c r="U358" s="53"/>
      <c r="V358" s="25">
        <f>IFERROR(VLOOKUP(BCP_Soles[[#This Row],[destinatario]],CHOOSE({1,2},Clientes_Proveedores[Razon Social],Clientes_Proveedores[Ruc / Dni]),2,0),"")</f>
        <v>20558226979</v>
      </c>
      <c r="W358" s="25" t="s">
        <v>1345</v>
      </c>
      <c r="X358" s="25" t="s">
        <v>1619</v>
      </c>
      <c r="Y358" s="25"/>
      <c r="Z358" s="75"/>
      <c r="AA358" s="3" t="str">
        <f>IF(BCP_Soles[[#This Row],[fecha]]&gt;0,TEXT(BCP_Soles[[#This Row],[fecha]],"mmmm"),0)</f>
        <v>Enero</v>
      </c>
    </row>
    <row r="359" spans="1:27" ht="24" x14ac:dyDescent="0.3">
      <c r="A359" s="2">
        <f>IF(BCP_Soles[[#This Row],[tipo_registro]]="R",COUNTIFS($C$1:$C358,"R")+1,A358)</f>
        <v>226</v>
      </c>
      <c r="B359" s="19" t="str">
        <f t="shared" si="31"/>
        <v>B-BCP - Soles</v>
      </c>
      <c r="C359" s="3" t="s">
        <v>1330</v>
      </c>
      <c r="D359" s="14">
        <v>45686</v>
      </c>
      <c r="E359" s="5" t="s">
        <v>1338</v>
      </c>
      <c r="F359" s="5" t="s">
        <v>1336</v>
      </c>
      <c r="G359" s="6" t="s">
        <v>249</v>
      </c>
      <c r="H359" s="6"/>
      <c r="I359" s="6"/>
      <c r="J359" s="6"/>
      <c r="K359" s="7" t="s">
        <v>1721</v>
      </c>
      <c r="L359" s="8">
        <v>1006025</v>
      </c>
      <c r="M359" s="8" t="str">
        <f t="shared" si="32"/>
        <v>PEN</v>
      </c>
      <c r="N359" s="13"/>
      <c r="O359" s="13">
        <v>40.71</v>
      </c>
      <c r="P359" s="3">
        <f t="shared" si="33"/>
        <v>0</v>
      </c>
      <c r="Q359" s="3">
        <f t="shared" si="34"/>
        <v>40.71</v>
      </c>
      <c r="R359" s="3">
        <f t="shared" si="30"/>
        <v>12418.169999999998</v>
      </c>
      <c r="S359" s="24"/>
      <c r="T359" s="24"/>
      <c r="U359" s="53"/>
      <c r="V359" s="25">
        <f>IFERROR(VLOOKUP(BCP_Soles[[#This Row],[destinatario]],CHOOSE({1,2},Clientes_Proveedores[Razon Social],Clientes_Proveedores[Ruc / Dni]),2,0),"")</f>
        <v>20302891452</v>
      </c>
      <c r="W359" s="25" t="s">
        <v>249</v>
      </c>
      <c r="X359" s="25"/>
      <c r="Y359" s="25"/>
      <c r="Z359" s="75"/>
      <c r="AA359" s="3" t="str">
        <f>IF(BCP_Soles[[#This Row],[fecha]]&gt;0,TEXT(BCP_Soles[[#This Row],[fecha]],"mmmm"),0)</f>
        <v>Enero</v>
      </c>
    </row>
    <row r="360" spans="1:27" x14ac:dyDescent="0.3">
      <c r="A360" s="2">
        <f>IF(BCP_Soles[[#This Row],[tipo_registro]]="R",COUNTIFS($C$1:$C359,"R")+1,A359)</f>
        <v>227</v>
      </c>
      <c r="B360" s="19" t="str">
        <f t="shared" si="31"/>
        <v>B-BCP - Soles</v>
      </c>
      <c r="C360" s="3" t="s">
        <v>1330</v>
      </c>
      <c r="D360" s="14">
        <v>45686</v>
      </c>
      <c r="E360" s="5" t="s">
        <v>1338</v>
      </c>
      <c r="F360" s="5" t="s">
        <v>1336</v>
      </c>
      <c r="G360" s="6" t="s">
        <v>575</v>
      </c>
      <c r="H360" s="6" t="s">
        <v>68</v>
      </c>
      <c r="I360" s="6"/>
      <c r="J360" s="6"/>
      <c r="K360" s="7" t="s">
        <v>1722</v>
      </c>
      <c r="L360" s="8">
        <v>4027002</v>
      </c>
      <c r="M360" s="8" t="str">
        <f t="shared" si="32"/>
        <v>PEN</v>
      </c>
      <c r="N360" s="13"/>
      <c r="O360" s="13">
        <v>690.5</v>
      </c>
      <c r="P360" s="3">
        <f t="shared" si="33"/>
        <v>0</v>
      </c>
      <c r="Q360" s="3">
        <f t="shared" si="34"/>
        <v>690.5</v>
      </c>
      <c r="R360" s="3">
        <f t="shared" si="30"/>
        <v>11727.669999999998</v>
      </c>
      <c r="S360" s="24" t="s">
        <v>1334</v>
      </c>
      <c r="T360" s="24" t="s">
        <v>1334</v>
      </c>
      <c r="U360" s="53"/>
      <c r="V360" s="25">
        <f>IFERROR(VLOOKUP(BCP_Soles[[#This Row],[destinatario]],CHOOSE({1,2},Clientes_Proveedores[Razon Social],Clientes_Proveedores[Ruc / Dni]),2,0),"")</f>
        <v>20608970909</v>
      </c>
      <c r="W360" s="25" t="s">
        <v>575</v>
      </c>
      <c r="X360" s="25" t="s">
        <v>1723</v>
      </c>
      <c r="Y360" s="25"/>
      <c r="Z360" s="75"/>
      <c r="AA360" s="3" t="str">
        <f>IF(BCP_Soles[[#This Row],[fecha]]&gt;0,TEXT(BCP_Soles[[#This Row],[fecha]],"mmmm"),0)</f>
        <v>Enero</v>
      </c>
    </row>
    <row r="361" spans="1:27" x14ac:dyDescent="0.3">
      <c r="A361" s="2">
        <f>IF(BCP_Soles[[#This Row],[tipo_registro]]="R",COUNTIFS($C$1:$C360,"R")+1,A360)</f>
        <v>227</v>
      </c>
      <c r="B361" s="19" t="str">
        <f t="shared" si="31"/>
        <v>B-BCP - Soles</v>
      </c>
      <c r="C361" s="3" t="s">
        <v>1352</v>
      </c>
      <c r="D361" s="14">
        <v>45686</v>
      </c>
      <c r="E361" s="5" t="s">
        <v>1338</v>
      </c>
      <c r="F361" s="5"/>
      <c r="G361" s="6" t="s">
        <v>575</v>
      </c>
      <c r="H361" s="6" t="s">
        <v>68</v>
      </c>
      <c r="I361" s="6" t="s">
        <v>1376</v>
      </c>
      <c r="J361" s="6">
        <v>1011</v>
      </c>
      <c r="K361" s="7" t="s">
        <v>1722</v>
      </c>
      <c r="L361" s="8">
        <v>4027002</v>
      </c>
      <c r="M361" s="8" t="str">
        <f t="shared" si="32"/>
        <v>PEN</v>
      </c>
      <c r="N361" s="13">
        <v>680</v>
      </c>
      <c r="O361" s="13"/>
      <c r="P361" s="3">
        <f t="shared" si="33"/>
        <v>0</v>
      </c>
      <c r="Q361" s="3">
        <f t="shared" si="34"/>
        <v>0</v>
      </c>
      <c r="R361" s="3">
        <f t="shared" si="30"/>
        <v>11727.669999999998</v>
      </c>
      <c r="S361" s="24" t="s">
        <v>1334</v>
      </c>
      <c r="T361" s="24" t="s">
        <v>1334</v>
      </c>
      <c r="U361" s="53"/>
      <c r="V361" s="25">
        <f>IFERROR(VLOOKUP(BCP_Soles[[#This Row],[destinatario]],CHOOSE({1,2},Clientes_Proveedores[Razon Social],Clientes_Proveedores[Ruc / Dni]),2,0),"")</f>
        <v>20608970909</v>
      </c>
      <c r="W361" s="25"/>
      <c r="X361" s="25"/>
      <c r="Y361" s="25"/>
      <c r="Z361" s="75"/>
      <c r="AA361" s="3" t="str">
        <f>IF(BCP_Soles[[#This Row],[fecha]]&gt;0,TEXT(BCP_Soles[[#This Row],[fecha]],"mmmm"),0)</f>
        <v>Enero</v>
      </c>
    </row>
    <row r="362" spans="1:27" ht="24" x14ac:dyDescent="0.3">
      <c r="A362" s="2">
        <f>IF(BCP_Soles[[#This Row],[tipo_registro]]="R",COUNTIFS($C$1:$C361,"R")+1,A361)</f>
        <v>227</v>
      </c>
      <c r="B362" s="19" t="str">
        <f t="shared" si="31"/>
        <v>B-BCP - Soles</v>
      </c>
      <c r="C362" s="3" t="s">
        <v>1352</v>
      </c>
      <c r="D362" s="14">
        <v>45686</v>
      </c>
      <c r="E362" s="5" t="s">
        <v>1338</v>
      </c>
      <c r="F362" s="5"/>
      <c r="G362" s="6" t="s">
        <v>1060</v>
      </c>
      <c r="H362" s="6" t="s">
        <v>68</v>
      </c>
      <c r="I362" s="6" t="s">
        <v>1397</v>
      </c>
      <c r="J362" s="6">
        <v>29015536</v>
      </c>
      <c r="K362" s="7" t="s">
        <v>1722</v>
      </c>
      <c r="L362" s="8">
        <v>4027002</v>
      </c>
      <c r="M362" s="8" t="str">
        <f t="shared" si="32"/>
        <v>PEN</v>
      </c>
      <c r="N362" s="13">
        <v>10.5</v>
      </c>
      <c r="O362" s="13"/>
      <c r="P362" s="3">
        <f t="shared" si="33"/>
        <v>0</v>
      </c>
      <c r="Q362" s="3">
        <f t="shared" si="34"/>
        <v>0</v>
      </c>
      <c r="R362" s="3">
        <f t="shared" si="30"/>
        <v>11727.669999999998</v>
      </c>
      <c r="S362" s="24" t="s">
        <v>1334</v>
      </c>
      <c r="T362" s="24" t="s">
        <v>1334</v>
      </c>
      <c r="U362" s="53"/>
      <c r="V362" s="25">
        <f>IFERROR(VLOOKUP(BCP_Soles[[#This Row],[destinatario]],CHOOSE({1,2},Clientes_Proveedores[Razon Social],Clientes_Proveedores[Ruc / Dni]),2,0),"")</f>
        <v>20100047218</v>
      </c>
      <c r="W362" s="25"/>
      <c r="X362" s="25"/>
      <c r="Y362" s="25"/>
      <c r="Z362" s="75"/>
      <c r="AA362" s="3" t="str">
        <f>IF(BCP_Soles[[#This Row],[fecha]]&gt;0,TEXT(BCP_Soles[[#This Row],[fecha]],"mmmm"),0)</f>
        <v>Enero</v>
      </c>
    </row>
    <row r="363" spans="1:27" x14ac:dyDescent="0.3">
      <c r="A363" s="2">
        <f>IF(BCP_Soles[[#This Row],[tipo_registro]]="R",COUNTIFS($C$1:$C362,"R")+1,A362)</f>
        <v>228</v>
      </c>
      <c r="B363" s="19" t="str">
        <f t="shared" si="31"/>
        <v>B-BCP - Soles</v>
      </c>
      <c r="C363" s="3" t="s">
        <v>1330</v>
      </c>
      <c r="D363" s="14">
        <v>45686</v>
      </c>
      <c r="E363" s="5" t="s">
        <v>1335</v>
      </c>
      <c r="F363" s="5" t="s">
        <v>1336</v>
      </c>
      <c r="G363" s="6"/>
      <c r="H363" s="6"/>
      <c r="I363" s="6"/>
      <c r="J363" s="6"/>
      <c r="K363" s="7" t="s">
        <v>1337</v>
      </c>
      <c r="L363" s="8"/>
      <c r="M363" s="8" t="str">
        <f t="shared" si="32"/>
        <v>PEN</v>
      </c>
      <c r="N363" s="13"/>
      <c r="O363" s="13">
        <v>0.35</v>
      </c>
      <c r="P363" s="3">
        <f t="shared" si="33"/>
        <v>0</v>
      </c>
      <c r="Q363" s="3">
        <f t="shared" si="34"/>
        <v>0.35</v>
      </c>
      <c r="R363" s="3">
        <f t="shared" si="30"/>
        <v>11727.319999999998</v>
      </c>
      <c r="S363" s="24"/>
      <c r="T363" s="24" t="s">
        <v>1334</v>
      </c>
      <c r="U363" s="53"/>
      <c r="V363" s="25" t="str">
        <f>IFERROR(VLOOKUP(BCP_Soles[[#This Row],[destinatario]],CHOOSE({1,2},Clientes_Proveedores[Razon Social],Clientes_Proveedores[Ruc / Dni]),2,0),"")</f>
        <v/>
      </c>
      <c r="W363" s="25"/>
      <c r="X363" s="25"/>
      <c r="Y363" s="25"/>
      <c r="Z363" s="75"/>
      <c r="AA363" s="3" t="str">
        <f>IF(BCP_Soles[[#This Row],[fecha]]&gt;0,TEXT(BCP_Soles[[#This Row],[fecha]],"mmmm"),0)</f>
        <v>Enero</v>
      </c>
    </row>
    <row r="364" spans="1:27" x14ac:dyDescent="0.3">
      <c r="A364" s="2">
        <f>IF(BCP_Soles[[#This Row],[tipo_registro]]="R",COUNTIFS($C$1:$C363,"R")+1,A363)</f>
        <v>229</v>
      </c>
      <c r="B364" s="19" t="str">
        <f t="shared" si="31"/>
        <v>B-BCP - Soles</v>
      </c>
      <c r="C364" s="3" t="s">
        <v>1330</v>
      </c>
      <c r="D364" s="14">
        <v>45686</v>
      </c>
      <c r="E364" s="5" t="s">
        <v>1338</v>
      </c>
      <c r="F364" s="5" t="s">
        <v>1336</v>
      </c>
      <c r="G364" s="6" t="s">
        <v>696</v>
      </c>
      <c r="H364" s="6"/>
      <c r="I364" s="6"/>
      <c r="J364" s="6"/>
      <c r="K364" s="7" t="s">
        <v>1724</v>
      </c>
      <c r="L364" s="8">
        <v>6472528</v>
      </c>
      <c r="M364" s="8" t="str">
        <f t="shared" si="32"/>
        <v>PEN</v>
      </c>
      <c r="N364" s="13"/>
      <c r="O364" s="13">
        <v>5476.25</v>
      </c>
      <c r="P364" s="3">
        <f t="shared" si="33"/>
        <v>0</v>
      </c>
      <c r="Q364" s="3">
        <f t="shared" si="34"/>
        <v>5476.25</v>
      </c>
      <c r="R364" s="3">
        <f t="shared" si="30"/>
        <v>6251.0699999999979</v>
      </c>
      <c r="S364" s="24" t="s">
        <v>1334</v>
      </c>
      <c r="T364" s="24" t="s">
        <v>1334</v>
      </c>
      <c r="U364" s="53"/>
      <c r="V364" s="25">
        <f>IFERROR(VLOOKUP(BCP_Soles[[#This Row],[destinatario]],CHOOSE({1,2},Clientes_Proveedores[Razon Social],Clientes_Proveedores[Ruc / Dni]),2,0),"")</f>
        <v>0</v>
      </c>
      <c r="W364" s="25" t="s">
        <v>1373</v>
      </c>
      <c r="X364" s="25"/>
      <c r="Y364" s="25"/>
      <c r="Z364" s="75"/>
      <c r="AA364" s="3" t="str">
        <f>IF(BCP_Soles[[#This Row],[fecha]]&gt;0,TEXT(BCP_Soles[[#This Row],[fecha]],"mmmm"),0)</f>
        <v>Enero</v>
      </c>
    </row>
    <row r="365" spans="1:27" ht="36" x14ac:dyDescent="0.3">
      <c r="A365" s="2">
        <f>IF(BCP_Soles[[#This Row],[tipo_registro]]="R",COUNTIFS($C$1:$C364,"R")+1,A364)</f>
        <v>229</v>
      </c>
      <c r="B365" s="19" t="str">
        <f t="shared" si="31"/>
        <v>B-BCP - Soles</v>
      </c>
      <c r="C365" s="3" t="s">
        <v>1352</v>
      </c>
      <c r="D365" s="14">
        <v>45686</v>
      </c>
      <c r="E365" s="5" t="s">
        <v>1338</v>
      </c>
      <c r="F365" s="5"/>
      <c r="G365" s="6" t="s">
        <v>315</v>
      </c>
      <c r="H365" s="6" t="s">
        <v>68</v>
      </c>
      <c r="I365" s="6" t="s">
        <v>1376</v>
      </c>
      <c r="J365" s="6">
        <v>2179</v>
      </c>
      <c r="K365" s="7" t="s">
        <v>1724</v>
      </c>
      <c r="L365" s="8">
        <v>6472528</v>
      </c>
      <c r="M365" s="8" t="str">
        <f t="shared" si="32"/>
        <v>PEN</v>
      </c>
      <c r="N365" s="13">
        <v>64.7</v>
      </c>
      <c r="O365" s="13"/>
      <c r="P365" s="3">
        <f t="shared" si="33"/>
        <v>0</v>
      </c>
      <c r="Q365" s="3">
        <f t="shared" si="34"/>
        <v>0</v>
      </c>
      <c r="R365" s="3">
        <f t="shared" si="30"/>
        <v>6251.0699999999979</v>
      </c>
      <c r="S365" s="24"/>
      <c r="T365" s="24" t="s">
        <v>1334</v>
      </c>
      <c r="U365" s="53"/>
      <c r="V365" s="25">
        <f>IFERROR(VLOOKUP(BCP_Soles[[#This Row],[destinatario]],CHOOSE({1,2},Clientes_Proveedores[Razon Social],Clientes_Proveedores[Ruc / Dni]),2,0),"")</f>
        <v>20456565353</v>
      </c>
      <c r="W365" s="25"/>
      <c r="X365" s="25"/>
      <c r="Y365" s="25"/>
      <c r="Z365" s="75"/>
      <c r="AA365" s="3" t="str">
        <f>IF(BCP_Soles[[#This Row],[fecha]]&gt;0,TEXT(BCP_Soles[[#This Row],[fecha]],"mmmm"),0)</f>
        <v>Enero</v>
      </c>
    </row>
    <row r="366" spans="1:27" ht="36" x14ac:dyDescent="0.3">
      <c r="A366" s="2">
        <f>IF(BCP_Soles[[#This Row],[tipo_registro]]="R",COUNTIFS($C$1:$C365,"R")+1,A365)</f>
        <v>229</v>
      </c>
      <c r="B366" s="19" t="str">
        <f t="shared" si="31"/>
        <v>B-BCP - Soles</v>
      </c>
      <c r="C366" s="3" t="s">
        <v>1352</v>
      </c>
      <c r="D366" s="14">
        <v>45686</v>
      </c>
      <c r="E366" s="5" t="s">
        <v>1338</v>
      </c>
      <c r="F366" s="5"/>
      <c r="G366" s="6" t="s">
        <v>315</v>
      </c>
      <c r="H366" s="6" t="s">
        <v>68</v>
      </c>
      <c r="I366" s="6" t="s">
        <v>1376</v>
      </c>
      <c r="J366" s="6">
        <v>2185</v>
      </c>
      <c r="K366" s="7" t="s">
        <v>1724</v>
      </c>
      <c r="L366" s="8">
        <v>6472528</v>
      </c>
      <c r="M366" s="8" t="str">
        <f t="shared" si="32"/>
        <v>PEN</v>
      </c>
      <c r="N366" s="13">
        <v>99</v>
      </c>
      <c r="O366" s="13"/>
      <c r="P366" s="3">
        <f t="shared" si="33"/>
        <v>0</v>
      </c>
      <c r="Q366" s="3">
        <f t="shared" si="34"/>
        <v>0</v>
      </c>
      <c r="R366" s="3">
        <f t="shared" si="30"/>
        <v>6251.0699999999979</v>
      </c>
      <c r="S366" s="24"/>
      <c r="T366" s="24" t="s">
        <v>1334</v>
      </c>
      <c r="U366" s="53"/>
      <c r="V366" s="25">
        <f>IFERROR(VLOOKUP(BCP_Soles[[#This Row],[destinatario]],CHOOSE({1,2},Clientes_Proveedores[Razon Social],Clientes_Proveedores[Ruc / Dni]),2,0),"")</f>
        <v>20456565353</v>
      </c>
      <c r="W366" s="25"/>
      <c r="X366" s="25"/>
      <c r="Y366" s="25"/>
      <c r="Z366" s="75"/>
      <c r="AA366" s="3" t="str">
        <f>IF(BCP_Soles[[#This Row],[fecha]]&gt;0,TEXT(BCP_Soles[[#This Row],[fecha]],"mmmm"),0)</f>
        <v>Enero</v>
      </c>
    </row>
    <row r="367" spans="1:27" ht="36" x14ac:dyDescent="0.3">
      <c r="A367" s="2">
        <f>IF(BCP_Soles[[#This Row],[tipo_registro]]="R",COUNTIFS($C$1:$C366,"R")+1,A366)</f>
        <v>229</v>
      </c>
      <c r="B367" s="19" t="str">
        <f t="shared" si="31"/>
        <v>B-BCP - Soles</v>
      </c>
      <c r="C367" s="3" t="s">
        <v>1352</v>
      </c>
      <c r="D367" s="14">
        <v>45686</v>
      </c>
      <c r="E367" s="5" t="s">
        <v>1338</v>
      </c>
      <c r="F367" s="5"/>
      <c r="G367" s="6" t="s">
        <v>153</v>
      </c>
      <c r="H367" s="6" t="s">
        <v>68</v>
      </c>
      <c r="I367" s="6" t="s">
        <v>1376</v>
      </c>
      <c r="J367" s="6">
        <v>372</v>
      </c>
      <c r="K367" s="7" t="s">
        <v>1724</v>
      </c>
      <c r="L367" s="8">
        <v>6472528</v>
      </c>
      <c r="M367" s="8" t="str">
        <f t="shared" si="32"/>
        <v>PEN</v>
      </c>
      <c r="N367" s="13">
        <v>290</v>
      </c>
      <c r="O367" s="13"/>
      <c r="P367" s="3">
        <f t="shared" si="33"/>
        <v>0</v>
      </c>
      <c r="Q367" s="3">
        <f t="shared" si="34"/>
        <v>0</v>
      </c>
      <c r="R367" s="3">
        <f t="shared" si="30"/>
        <v>6251.0699999999979</v>
      </c>
      <c r="S367" s="24"/>
      <c r="T367" s="24" t="s">
        <v>1334</v>
      </c>
      <c r="U367" s="53"/>
      <c r="V367" s="25">
        <f>IFERROR(VLOOKUP(BCP_Soles[[#This Row],[destinatario]],CHOOSE({1,2},Clientes_Proveedores[Razon Social],Clientes_Proveedores[Ruc / Dni]),2,0),"")</f>
        <v>10405211179</v>
      </c>
      <c r="W367" s="25"/>
      <c r="X367" s="25"/>
      <c r="Y367" s="25"/>
      <c r="Z367" s="75"/>
      <c r="AA367" s="3" t="str">
        <f>IF(BCP_Soles[[#This Row],[fecha]]&gt;0,TEXT(BCP_Soles[[#This Row],[fecha]],"mmmm"),0)</f>
        <v>Enero</v>
      </c>
    </row>
    <row r="368" spans="1:27" ht="36" x14ac:dyDescent="0.3">
      <c r="A368" s="2">
        <f>IF(BCP_Soles[[#This Row],[tipo_registro]]="R",COUNTIFS($C$1:$C367,"R")+1,A367)</f>
        <v>229</v>
      </c>
      <c r="B368" s="19" t="str">
        <f t="shared" si="31"/>
        <v>B-BCP - Soles</v>
      </c>
      <c r="C368" s="3" t="s">
        <v>1352</v>
      </c>
      <c r="D368" s="14">
        <v>45686</v>
      </c>
      <c r="E368" s="5" t="s">
        <v>1338</v>
      </c>
      <c r="F368" s="5"/>
      <c r="G368" s="6" t="s">
        <v>626</v>
      </c>
      <c r="H368" s="6" t="s">
        <v>68</v>
      </c>
      <c r="I368" s="6" t="s">
        <v>1376</v>
      </c>
      <c r="J368" s="6">
        <v>199</v>
      </c>
      <c r="K368" s="7" t="s">
        <v>1724</v>
      </c>
      <c r="L368" s="8">
        <v>6472528</v>
      </c>
      <c r="M368" s="8" t="str">
        <f t="shared" si="32"/>
        <v>PEN</v>
      </c>
      <c r="N368" s="13">
        <v>906</v>
      </c>
      <c r="O368" s="13"/>
      <c r="P368" s="3">
        <f t="shared" si="33"/>
        <v>0</v>
      </c>
      <c r="Q368" s="3">
        <f t="shared" si="34"/>
        <v>0</v>
      </c>
      <c r="R368" s="3">
        <f t="shared" si="30"/>
        <v>6251.0699999999979</v>
      </c>
      <c r="S368" s="24"/>
      <c r="T368" s="24" t="s">
        <v>1334</v>
      </c>
      <c r="U368" s="53"/>
      <c r="V368" s="25">
        <f>IFERROR(VLOOKUP(BCP_Soles[[#This Row],[destinatario]],CHOOSE({1,2},Clientes_Proveedores[Razon Social],Clientes_Proveedores[Ruc / Dni]),2,0),"")</f>
        <v>20549334874</v>
      </c>
      <c r="W368" s="25"/>
      <c r="X368" s="25"/>
      <c r="Y368" s="25"/>
      <c r="Z368" s="75"/>
      <c r="AA368" s="3" t="str">
        <f>IF(BCP_Soles[[#This Row],[fecha]]&gt;0,TEXT(BCP_Soles[[#This Row],[fecha]],"mmmm"),0)</f>
        <v>Enero</v>
      </c>
    </row>
    <row r="369" spans="1:27" ht="24" x14ac:dyDescent="0.3">
      <c r="A369" s="2">
        <f>IF(BCP_Soles[[#This Row],[tipo_registro]]="R",COUNTIFS($C$1:$C368,"R")+1,A368)</f>
        <v>229</v>
      </c>
      <c r="B369" s="19" t="str">
        <f t="shared" si="31"/>
        <v>B-BCP - Soles</v>
      </c>
      <c r="C369" s="3" t="s">
        <v>1352</v>
      </c>
      <c r="D369" s="14">
        <v>45686</v>
      </c>
      <c r="E369" s="5" t="s">
        <v>1338</v>
      </c>
      <c r="F369" s="5"/>
      <c r="G369" s="6" t="s">
        <v>594</v>
      </c>
      <c r="H369" s="6" t="s">
        <v>68</v>
      </c>
      <c r="I369" s="6" t="s">
        <v>1376</v>
      </c>
      <c r="J369" s="6">
        <v>1906</v>
      </c>
      <c r="K369" s="7" t="s">
        <v>1724</v>
      </c>
      <c r="L369" s="8">
        <v>6472528</v>
      </c>
      <c r="M369" s="8" t="str">
        <f t="shared" si="32"/>
        <v>PEN</v>
      </c>
      <c r="N369" s="13">
        <v>94.4</v>
      </c>
      <c r="O369" s="13"/>
      <c r="P369" s="3">
        <f t="shared" si="33"/>
        <v>0</v>
      </c>
      <c r="Q369" s="3">
        <f t="shared" si="34"/>
        <v>0</v>
      </c>
      <c r="R369" s="3">
        <f t="shared" si="30"/>
        <v>6251.0699999999979</v>
      </c>
      <c r="S369" s="24"/>
      <c r="T369" s="24" t="s">
        <v>1334</v>
      </c>
      <c r="U369" s="53"/>
      <c r="V369" s="25">
        <f>IFERROR(VLOOKUP(BCP_Soles[[#This Row],[destinatario]],CHOOSE({1,2},Clientes_Proveedores[Razon Social],Clientes_Proveedores[Ruc / Dni]),2,0),"")</f>
        <v>20609764261</v>
      </c>
      <c r="W369" s="25"/>
      <c r="X369" s="25"/>
      <c r="Y369" s="25"/>
      <c r="Z369" s="75"/>
      <c r="AA369" s="3" t="str">
        <f>IF(BCP_Soles[[#This Row],[fecha]]&gt;0,TEXT(BCP_Soles[[#This Row],[fecha]],"mmmm"),0)</f>
        <v>Enero</v>
      </c>
    </row>
    <row r="370" spans="1:27" x14ac:dyDescent="0.3">
      <c r="A370" s="2">
        <f>IF(BCP_Soles[[#This Row],[tipo_registro]]="R",COUNTIFS($C$1:$C369,"R")+1,A369)</f>
        <v>229</v>
      </c>
      <c r="B370" s="19" t="str">
        <f t="shared" si="31"/>
        <v>B-BCP - Soles</v>
      </c>
      <c r="C370" s="3" t="s">
        <v>1352</v>
      </c>
      <c r="D370" s="14">
        <v>45686</v>
      </c>
      <c r="E370" s="5" t="s">
        <v>1338</v>
      </c>
      <c r="F370" s="5"/>
      <c r="G370" s="6" t="s">
        <v>522</v>
      </c>
      <c r="H370" s="6" t="s">
        <v>68</v>
      </c>
      <c r="I370" s="6" t="s">
        <v>1376</v>
      </c>
      <c r="J370" s="6">
        <v>3665</v>
      </c>
      <c r="K370" s="7" t="s">
        <v>1724</v>
      </c>
      <c r="L370" s="8">
        <v>6472528</v>
      </c>
      <c r="M370" s="8" t="str">
        <f t="shared" si="32"/>
        <v>PEN</v>
      </c>
      <c r="N370" s="13">
        <v>250.75</v>
      </c>
      <c r="O370" s="13"/>
      <c r="P370" s="3">
        <f t="shared" si="33"/>
        <v>0</v>
      </c>
      <c r="Q370" s="3">
        <f t="shared" si="34"/>
        <v>0</v>
      </c>
      <c r="R370" s="3">
        <f t="shared" si="30"/>
        <v>6251.0699999999979</v>
      </c>
      <c r="S370" s="24"/>
      <c r="T370" s="24" t="s">
        <v>1334</v>
      </c>
      <c r="U370" s="53"/>
      <c r="V370" s="25">
        <f>IFERROR(VLOOKUP(BCP_Soles[[#This Row],[destinatario]],CHOOSE({1,2},Clientes_Proveedores[Razon Social],Clientes_Proveedores[Ruc / Dni]),2,0),"")</f>
        <v>20603974817</v>
      </c>
      <c r="W370" s="25"/>
      <c r="X370" s="25"/>
      <c r="Y370" s="25"/>
      <c r="Z370" s="75"/>
      <c r="AA370" s="3" t="str">
        <f>IF(BCP_Soles[[#This Row],[fecha]]&gt;0,TEXT(BCP_Soles[[#This Row],[fecha]],"mmmm"),0)</f>
        <v>Enero</v>
      </c>
    </row>
    <row r="371" spans="1:27" ht="24" x14ac:dyDescent="0.3">
      <c r="A371" s="2">
        <f>IF(BCP_Soles[[#This Row],[tipo_registro]]="R",COUNTIFS($C$1:$C370,"R")+1,A370)</f>
        <v>229</v>
      </c>
      <c r="B371" s="19" t="str">
        <f t="shared" si="31"/>
        <v>B-BCP - Soles</v>
      </c>
      <c r="C371" s="3" t="s">
        <v>1352</v>
      </c>
      <c r="D371" s="14">
        <v>45686</v>
      </c>
      <c r="E371" s="5" t="s">
        <v>1338</v>
      </c>
      <c r="F371" s="5"/>
      <c r="G371" s="6" t="s">
        <v>594</v>
      </c>
      <c r="H371" s="6" t="s">
        <v>68</v>
      </c>
      <c r="I371" s="6" t="s">
        <v>1376</v>
      </c>
      <c r="J371" s="6">
        <v>1907</v>
      </c>
      <c r="K371" s="7" t="s">
        <v>1724</v>
      </c>
      <c r="L371" s="8">
        <v>6472528</v>
      </c>
      <c r="M371" s="8" t="str">
        <f t="shared" si="32"/>
        <v>PEN</v>
      </c>
      <c r="N371" s="13">
        <v>165.2</v>
      </c>
      <c r="O371" s="13"/>
      <c r="P371" s="3">
        <f t="shared" si="33"/>
        <v>0</v>
      </c>
      <c r="Q371" s="3">
        <f t="shared" si="34"/>
        <v>0</v>
      </c>
      <c r="R371" s="3">
        <f t="shared" si="30"/>
        <v>6251.0699999999979</v>
      </c>
      <c r="S371" s="24"/>
      <c r="T371" s="24" t="s">
        <v>1334</v>
      </c>
      <c r="U371" s="53"/>
      <c r="V371" s="25">
        <f>IFERROR(VLOOKUP(BCP_Soles[[#This Row],[destinatario]],CHOOSE({1,2},Clientes_Proveedores[Razon Social],Clientes_Proveedores[Ruc / Dni]),2,0),"")</f>
        <v>20609764261</v>
      </c>
      <c r="W371" s="25"/>
      <c r="X371" s="25"/>
      <c r="Y371" s="25"/>
      <c r="Z371" s="75"/>
      <c r="AA371" s="3" t="str">
        <f>IF(BCP_Soles[[#This Row],[fecha]]&gt;0,TEXT(BCP_Soles[[#This Row],[fecha]],"mmmm"),0)</f>
        <v>Enero</v>
      </c>
    </row>
    <row r="372" spans="1:27" ht="36" x14ac:dyDescent="0.3">
      <c r="A372" s="2">
        <f>IF(BCP_Soles[[#This Row],[tipo_registro]]="R",COUNTIFS($C$1:$C371,"R")+1,A371)</f>
        <v>229</v>
      </c>
      <c r="B372" s="19" t="str">
        <f t="shared" si="31"/>
        <v>B-BCP - Soles</v>
      </c>
      <c r="C372" s="3" t="s">
        <v>1352</v>
      </c>
      <c r="D372" s="14">
        <v>45686</v>
      </c>
      <c r="E372" s="5" t="s">
        <v>1338</v>
      </c>
      <c r="F372" s="5"/>
      <c r="G372" s="6" t="s">
        <v>153</v>
      </c>
      <c r="H372" s="6" t="s">
        <v>68</v>
      </c>
      <c r="I372" s="6" t="s">
        <v>1376</v>
      </c>
      <c r="J372" s="6">
        <v>376</v>
      </c>
      <c r="K372" s="7" t="s">
        <v>1724</v>
      </c>
      <c r="L372" s="8">
        <v>6472528</v>
      </c>
      <c r="M372" s="8" t="str">
        <f t="shared" si="32"/>
        <v>PEN</v>
      </c>
      <c r="N372" s="13">
        <v>290</v>
      </c>
      <c r="O372" s="13"/>
      <c r="P372" s="3">
        <f t="shared" si="33"/>
        <v>0</v>
      </c>
      <c r="Q372" s="3">
        <f t="shared" si="34"/>
        <v>0</v>
      </c>
      <c r="R372" s="3">
        <f t="shared" si="30"/>
        <v>6251.0699999999979</v>
      </c>
      <c r="S372" s="24"/>
      <c r="T372" s="24" t="s">
        <v>1334</v>
      </c>
      <c r="U372" s="53"/>
      <c r="V372" s="25">
        <f>IFERROR(VLOOKUP(BCP_Soles[[#This Row],[destinatario]],CHOOSE({1,2},Clientes_Proveedores[Razon Social],Clientes_Proveedores[Ruc / Dni]),2,0),"")</f>
        <v>10405211179</v>
      </c>
      <c r="W372" s="25"/>
      <c r="X372" s="25"/>
      <c r="Y372" s="25"/>
      <c r="Z372" s="75"/>
      <c r="AA372" s="3" t="str">
        <f>IF(BCP_Soles[[#This Row],[fecha]]&gt;0,TEXT(BCP_Soles[[#This Row],[fecha]],"mmmm"),0)</f>
        <v>Enero</v>
      </c>
    </row>
    <row r="373" spans="1:27" x14ac:dyDescent="0.3">
      <c r="A373" s="2">
        <f>IF(BCP_Soles[[#This Row],[tipo_registro]]="R",COUNTIFS($C$1:$C372,"R")+1,A372)</f>
        <v>229</v>
      </c>
      <c r="B373" s="19" t="str">
        <f t="shared" si="31"/>
        <v>B-BCP - Soles</v>
      </c>
      <c r="C373" s="3" t="s">
        <v>1352</v>
      </c>
      <c r="D373" s="14">
        <v>45686</v>
      </c>
      <c r="E373" s="5" t="s">
        <v>1338</v>
      </c>
      <c r="F373" s="5"/>
      <c r="G373" s="6" t="s">
        <v>522</v>
      </c>
      <c r="H373" s="6" t="s">
        <v>68</v>
      </c>
      <c r="I373" s="6" t="s">
        <v>1376</v>
      </c>
      <c r="J373" s="6">
        <v>3553</v>
      </c>
      <c r="K373" s="7" t="s">
        <v>1724</v>
      </c>
      <c r="L373" s="8">
        <v>6472528</v>
      </c>
      <c r="M373" s="8" t="str">
        <f t="shared" si="32"/>
        <v>PEN</v>
      </c>
      <c r="N373" s="13">
        <v>250.75</v>
      </c>
      <c r="O373" s="13"/>
      <c r="P373" s="3">
        <f t="shared" si="33"/>
        <v>0</v>
      </c>
      <c r="Q373" s="3">
        <f t="shared" si="34"/>
        <v>0</v>
      </c>
      <c r="R373" s="3">
        <f t="shared" si="30"/>
        <v>6251.0699999999979</v>
      </c>
      <c r="S373" s="24"/>
      <c r="T373" s="24" t="s">
        <v>1334</v>
      </c>
      <c r="U373" s="53"/>
      <c r="V373" s="25">
        <f>IFERROR(VLOOKUP(BCP_Soles[[#This Row],[destinatario]],CHOOSE({1,2},Clientes_Proveedores[Razon Social],Clientes_Proveedores[Ruc / Dni]),2,0),"")</f>
        <v>20603974817</v>
      </c>
      <c r="W373" s="25"/>
      <c r="X373" s="25"/>
      <c r="Y373" s="25"/>
      <c r="Z373" s="75"/>
      <c r="AA373" s="3" t="str">
        <f>IF(BCP_Soles[[#This Row],[fecha]]&gt;0,TEXT(BCP_Soles[[#This Row],[fecha]],"mmmm"),0)</f>
        <v>Enero</v>
      </c>
    </row>
    <row r="374" spans="1:27" ht="24" x14ac:dyDescent="0.3">
      <c r="A374" s="2">
        <f>IF(BCP_Soles[[#This Row],[tipo_registro]]="R",COUNTIFS($C$1:$C373,"R")+1,A373)</f>
        <v>229</v>
      </c>
      <c r="B374" s="19" t="str">
        <f t="shared" si="31"/>
        <v>B-BCP - Soles</v>
      </c>
      <c r="C374" s="3" t="s">
        <v>1352</v>
      </c>
      <c r="D374" s="14">
        <v>45686</v>
      </c>
      <c r="E374" s="5" t="s">
        <v>1338</v>
      </c>
      <c r="F374" s="5"/>
      <c r="G374" s="6" t="s">
        <v>594</v>
      </c>
      <c r="H374" s="6" t="s">
        <v>68</v>
      </c>
      <c r="I374" s="6" t="s">
        <v>1376</v>
      </c>
      <c r="J374" s="6">
        <v>1827</v>
      </c>
      <c r="K374" s="7" t="s">
        <v>1724</v>
      </c>
      <c r="L374" s="8">
        <v>6472528</v>
      </c>
      <c r="M374" s="8" t="str">
        <f t="shared" si="32"/>
        <v>PEN</v>
      </c>
      <c r="N374" s="13">
        <v>118</v>
      </c>
      <c r="O374" s="13"/>
      <c r="P374" s="3">
        <f t="shared" si="33"/>
        <v>0</v>
      </c>
      <c r="Q374" s="3">
        <f t="shared" si="34"/>
        <v>0</v>
      </c>
      <c r="R374" s="3">
        <f t="shared" si="30"/>
        <v>6251.0699999999979</v>
      </c>
      <c r="S374" s="24"/>
      <c r="T374" s="24" t="s">
        <v>1334</v>
      </c>
      <c r="U374" s="53"/>
      <c r="V374" s="25">
        <f>IFERROR(VLOOKUP(BCP_Soles[[#This Row],[destinatario]],CHOOSE({1,2},Clientes_Proveedores[Razon Social],Clientes_Proveedores[Ruc / Dni]),2,0),"")</f>
        <v>20609764261</v>
      </c>
      <c r="W374" s="25"/>
      <c r="X374" s="25"/>
      <c r="Y374" s="25"/>
      <c r="Z374" s="75"/>
      <c r="AA374" s="3" t="str">
        <f>IF(BCP_Soles[[#This Row],[fecha]]&gt;0,TEXT(BCP_Soles[[#This Row],[fecha]],"mmmm"),0)</f>
        <v>Enero</v>
      </c>
    </row>
    <row r="375" spans="1:27" ht="24" x14ac:dyDescent="0.3">
      <c r="A375" s="2">
        <f>IF(BCP_Soles[[#This Row],[tipo_registro]]="R",COUNTIFS($C$1:$C374,"R")+1,A374)</f>
        <v>229</v>
      </c>
      <c r="B375" s="19" t="str">
        <f t="shared" si="31"/>
        <v>B-BCP - Soles</v>
      </c>
      <c r="C375" s="3" t="s">
        <v>1352</v>
      </c>
      <c r="D375" s="14">
        <v>45686</v>
      </c>
      <c r="E375" s="5" t="s">
        <v>1338</v>
      </c>
      <c r="F375" s="5"/>
      <c r="G375" s="6" t="s">
        <v>187</v>
      </c>
      <c r="H375" s="6" t="s">
        <v>68</v>
      </c>
      <c r="I375" s="6" t="s">
        <v>1376</v>
      </c>
      <c r="J375" s="6">
        <v>172</v>
      </c>
      <c r="K375" s="7" t="s">
        <v>1724</v>
      </c>
      <c r="L375" s="8">
        <v>6472528</v>
      </c>
      <c r="M375" s="8" t="str">
        <f t="shared" si="32"/>
        <v>PEN</v>
      </c>
      <c r="N375" s="13">
        <v>90</v>
      </c>
      <c r="O375" s="13"/>
      <c r="P375" s="3">
        <f t="shared" si="33"/>
        <v>0</v>
      </c>
      <c r="Q375" s="3">
        <f t="shared" si="34"/>
        <v>0</v>
      </c>
      <c r="R375" s="3">
        <f t="shared" si="30"/>
        <v>6251.0699999999979</v>
      </c>
      <c r="S375" s="24"/>
      <c r="T375" s="24" t="s">
        <v>1334</v>
      </c>
      <c r="U375" s="53"/>
      <c r="V375" s="25">
        <f>IFERROR(VLOOKUP(BCP_Soles[[#This Row],[destinatario]],CHOOSE({1,2},Clientes_Proveedores[Razon Social],Clientes_Proveedores[Ruc / Dni]),2,0),"")</f>
        <v>10706063426</v>
      </c>
      <c r="W375" s="25"/>
      <c r="X375" s="25"/>
      <c r="Y375" s="25"/>
      <c r="Z375" s="75"/>
      <c r="AA375" s="3" t="str">
        <f>IF(BCP_Soles[[#This Row],[fecha]]&gt;0,TEXT(BCP_Soles[[#This Row],[fecha]],"mmmm"),0)</f>
        <v>Enero</v>
      </c>
    </row>
    <row r="376" spans="1:27" ht="24" x14ac:dyDescent="0.3">
      <c r="A376" s="2">
        <f>IF(BCP_Soles[[#This Row],[tipo_registro]]="R",COUNTIFS($C$1:$C375,"R")+1,A375)</f>
        <v>229</v>
      </c>
      <c r="B376" s="19" t="str">
        <f t="shared" si="31"/>
        <v>B-BCP - Soles</v>
      </c>
      <c r="C376" s="3" t="s">
        <v>1352</v>
      </c>
      <c r="D376" s="14">
        <v>45686</v>
      </c>
      <c r="E376" s="5" t="s">
        <v>1338</v>
      </c>
      <c r="F376" s="5"/>
      <c r="G376" s="6" t="s">
        <v>464</v>
      </c>
      <c r="H376" s="6" t="s">
        <v>68</v>
      </c>
      <c r="I376" s="6" t="s">
        <v>1376</v>
      </c>
      <c r="J376" s="6">
        <v>753</v>
      </c>
      <c r="K376" s="7" t="s">
        <v>1724</v>
      </c>
      <c r="L376" s="8">
        <v>6472528</v>
      </c>
      <c r="M376" s="8" t="str">
        <f t="shared" si="32"/>
        <v>PEN</v>
      </c>
      <c r="N376" s="13">
        <v>2707</v>
      </c>
      <c r="O376" s="13"/>
      <c r="P376" s="3">
        <f t="shared" si="33"/>
        <v>0</v>
      </c>
      <c r="Q376" s="3">
        <f t="shared" si="34"/>
        <v>0</v>
      </c>
      <c r="R376" s="3">
        <f t="shared" si="30"/>
        <v>6251.0699999999979</v>
      </c>
      <c r="S376" s="24"/>
      <c r="T376" s="24" t="s">
        <v>1334</v>
      </c>
      <c r="U376" s="53"/>
      <c r="V376" s="25">
        <f>IFERROR(VLOOKUP(BCP_Soles[[#This Row],[destinatario]],CHOOSE({1,2},Clientes_Proveedores[Razon Social],Clientes_Proveedores[Ruc / Dni]),2,0),"")</f>
        <v>20601279666</v>
      </c>
      <c r="W376" s="25"/>
      <c r="X376" s="25"/>
      <c r="Y376" s="25"/>
      <c r="Z376" s="75"/>
      <c r="AA376" s="3" t="str">
        <f>IF(BCP_Soles[[#This Row],[fecha]]&gt;0,TEXT(BCP_Soles[[#This Row],[fecha]],"mmmm"),0)</f>
        <v>Enero</v>
      </c>
    </row>
    <row r="377" spans="1:27" x14ac:dyDescent="0.3">
      <c r="A377" s="2">
        <f>IF(BCP_Soles[[#This Row],[tipo_registro]]="R",COUNTIFS($C$1:$C376,"R")+1,A376)</f>
        <v>229</v>
      </c>
      <c r="B377" s="19" t="str">
        <f t="shared" si="31"/>
        <v>B-BCP - Soles</v>
      </c>
      <c r="C377" s="3" t="s">
        <v>1352</v>
      </c>
      <c r="D377" s="14">
        <v>45686</v>
      </c>
      <c r="E377" s="5" t="s">
        <v>1338</v>
      </c>
      <c r="F377" s="5"/>
      <c r="G377" s="6" t="s">
        <v>522</v>
      </c>
      <c r="H377" s="6" t="s">
        <v>68</v>
      </c>
      <c r="I377" s="6" t="s">
        <v>1376</v>
      </c>
      <c r="J377" s="6">
        <v>3661</v>
      </c>
      <c r="K377" s="7" t="s">
        <v>1724</v>
      </c>
      <c r="L377" s="8">
        <v>6472528</v>
      </c>
      <c r="M377" s="8" t="str">
        <f t="shared" si="32"/>
        <v>PEN</v>
      </c>
      <c r="N377" s="13">
        <v>150.44999999999999</v>
      </c>
      <c r="O377" s="13"/>
      <c r="P377" s="3">
        <f t="shared" si="33"/>
        <v>0</v>
      </c>
      <c r="Q377" s="3">
        <f t="shared" si="34"/>
        <v>0</v>
      </c>
      <c r="R377" s="3">
        <f t="shared" si="30"/>
        <v>6251.0699999999979</v>
      </c>
      <c r="S377" s="24"/>
      <c r="T377" s="24" t="s">
        <v>1334</v>
      </c>
      <c r="U377" s="53"/>
      <c r="V377" s="25">
        <f>IFERROR(VLOOKUP(BCP_Soles[[#This Row],[destinatario]],CHOOSE({1,2},Clientes_Proveedores[Razon Social],Clientes_Proveedores[Ruc / Dni]),2,0),"")</f>
        <v>20603974817</v>
      </c>
      <c r="W377" s="25"/>
      <c r="X377" s="25"/>
      <c r="Y377" s="25"/>
      <c r="Z377" s="75"/>
      <c r="AA377" s="3" t="str">
        <f>IF(BCP_Soles[[#This Row],[fecha]]&gt;0,TEXT(BCP_Soles[[#This Row],[fecha]],"mmmm"),0)</f>
        <v>Enero</v>
      </c>
    </row>
    <row r="378" spans="1:27" x14ac:dyDescent="0.3">
      <c r="A378" s="2">
        <f>IF(BCP_Soles[[#This Row],[tipo_registro]]="R",COUNTIFS($C$1:$C377,"R")+1,A377)</f>
        <v>230</v>
      </c>
      <c r="B378" s="19" t="str">
        <f t="shared" si="31"/>
        <v>B-BCP - Soles</v>
      </c>
      <c r="C378" s="3" t="s">
        <v>1330</v>
      </c>
      <c r="D378" s="14">
        <v>45686</v>
      </c>
      <c r="E378" s="5" t="s">
        <v>1338</v>
      </c>
      <c r="F378" s="5" t="s">
        <v>1336</v>
      </c>
      <c r="G378" s="6" t="s">
        <v>696</v>
      </c>
      <c r="H378" s="6"/>
      <c r="I378" s="6"/>
      <c r="J378" s="6"/>
      <c r="K378" s="7" t="s">
        <v>1725</v>
      </c>
      <c r="L378" s="8">
        <v>6466894</v>
      </c>
      <c r="M378" s="8" t="str">
        <f t="shared" si="32"/>
        <v>PEN</v>
      </c>
      <c r="N378" s="13"/>
      <c r="O378" s="13">
        <v>2076</v>
      </c>
      <c r="P378" s="3">
        <f t="shared" si="33"/>
        <v>0</v>
      </c>
      <c r="Q378" s="3">
        <f t="shared" si="34"/>
        <v>2076</v>
      </c>
      <c r="R378" s="3">
        <f t="shared" si="30"/>
        <v>4175.0699999999979</v>
      </c>
      <c r="S378" s="24" t="s">
        <v>1334</v>
      </c>
      <c r="T378" s="24" t="s">
        <v>1334</v>
      </c>
      <c r="U378" s="53"/>
      <c r="V378" s="25">
        <f>IFERROR(VLOOKUP(BCP_Soles[[#This Row],[destinatario]],CHOOSE({1,2},Clientes_Proveedores[Razon Social],Clientes_Proveedores[Ruc / Dni]),2,0),"")</f>
        <v>0</v>
      </c>
      <c r="W378" s="25" t="s">
        <v>1373</v>
      </c>
      <c r="X378" s="25"/>
      <c r="Y378" s="25"/>
      <c r="Z378" s="75"/>
      <c r="AA378" s="3" t="str">
        <f>IF(BCP_Soles[[#This Row],[fecha]]&gt;0,TEXT(BCP_Soles[[#This Row],[fecha]],"mmmm"),0)</f>
        <v>Enero</v>
      </c>
    </row>
    <row r="379" spans="1:27" x14ac:dyDescent="0.3">
      <c r="A379" s="2">
        <f>IF(BCP_Soles[[#This Row],[tipo_registro]]="R",COUNTIFS($C$1:$C378,"R")+1,A378)</f>
        <v>230</v>
      </c>
      <c r="B379" s="19" t="str">
        <f t="shared" si="31"/>
        <v>B-BCP - Soles</v>
      </c>
      <c r="C379" s="3" t="s">
        <v>1352</v>
      </c>
      <c r="D379" s="14">
        <v>45686</v>
      </c>
      <c r="E379" s="5" t="s">
        <v>1338</v>
      </c>
      <c r="F379" s="5"/>
      <c r="G379" s="6" t="s">
        <v>397</v>
      </c>
      <c r="H379" s="6" t="s">
        <v>68</v>
      </c>
      <c r="I379" s="6" t="s">
        <v>1376</v>
      </c>
      <c r="J379" s="6">
        <v>331</v>
      </c>
      <c r="K379" s="7" t="s">
        <v>1725</v>
      </c>
      <c r="L379" s="8">
        <v>6466894</v>
      </c>
      <c r="M379" s="8" t="str">
        <f t="shared" si="32"/>
        <v>PEN</v>
      </c>
      <c r="N379" s="13">
        <v>1038</v>
      </c>
      <c r="O379" s="13"/>
      <c r="P379" s="3">
        <f t="shared" si="33"/>
        <v>0</v>
      </c>
      <c r="Q379" s="3">
        <f t="shared" si="34"/>
        <v>0</v>
      </c>
      <c r="R379" s="3">
        <f t="shared" si="30"/>
        <v>4175.0699999999979</v>
      </c>
      <c r="S379" s="24"/>
      <c r="T379" s="24" t="s">
        <v>1334</v>
      </c>
      <c r="U379" s="53"/>
      <c r="V379" s="25">
        <f>IFERROR(VLOOKUP(BCP_Soles[[#This Row],[destinatario]],CHOOSE({1,2},Clientes_Proveedores[Razon Social],Clientes_Proveedores[Ruc / Dni]),2,0),"")</f>
        <v>20545577870</v>
      </c>
      <c r="W379" s="25"/>
      <c r="X379" s="25"/>
      <c r="Y379" s="25"/>
      <c r="Z379" s="75"/>
      <c r="AA379" s="3" t="str">
        <f>IF(BCP_Soles[[#This Row],[fecha]]&gt;0,TEXT(BCP_Soles[[#This Row],[fecha]],"mmmm"),0)</f>
        <v>Enero</v>
      </c>
    </row>
    <row r="380" spans="1:27" x14ac:dyDescent="0.3">
      <c r="A380" s="2">
        <f>IF(BCP_Soles[[#This Row],[tipo_registro]]="R",COUNTIFS($C$1:$C379,"R")+1,A379)</f>
        <v>230</v>
      </c>
      <c r="B380" s="19" t="str">
        <f t="shared" si="31"/>
        <v>B-BCP - Soles</v>
      </c>
      <c r="C380" s="3" t="s">
        <v>1352</v>
      </c>
      <c r="D380" s="14">
        <v>45686</v>
      </c>
      <c r="E380" s="5" t="s">
        <v>1338</v>
      </c>
      <c r="F380" s="5"/>
      <c r="G380" s="6" t="s">
        <v>397</v>
      </c>
      <c r="H380" s="6" t="s">
        <v>68</v>
      </c>
      <c r="I380" s="6" t="s">
        <v>1376</v>
      </c>
      <c r="J380" s="6">
        <v>326</v>
      </c>
      <c r="K380" s="7" t="s">
        <v>1725</v>
      </c>
      <c r="L380" s="8">
        <v>6466894</v>
      </c>
      <c r="M380" s="8" t="str">
        <f t="shared" si="32"/>
        <v>PEN</v>
      </c>
      <c r="N380" s="13">
        <v>1038</v>
      </c>
      <c r="O380" s="13"/>
      <c r="P380" s="3">
        <f t="shared" si="33"/>
        <v>0</v>
      </c>
      <c r="Q380" s="3">
        <f t="shared" si="34"/>
        <v>0</v>
      </c>
      <c r="R380" s="3">
        <f t="shared" si="30"/>
        <v>4175.0699999999979</v>
      </c>
      <c r="S380" s="24"/>
      <c r="T380" s="24" t="s">
        <v>1334</v>
      </c>
      <c r="U380" s="53"/>
      <c r="V380" s="25">
        <f>IFERROR(VLOOKUP(BCP_Soles[[#This Row],[destinatario]],CHOOSE({1,2},Clientes_Proveedores[Razon Social],Clientes_Proveedores[Ruc / Dni]),2,0),"")</f>
        <v>20545577870</v>
      </c>
      <c r="W380" s="25"/>
      <c r="X380" s="25"/>
      <c r="Y380" s="25"/>
      <c r="Z380" s="75"/>
      <c r="AA380" s="3" t="str">
        <f>IF(BCP_Soles[[#This Row],[fecha]]&gt;0,TEXT(BCP_Soles[[#This Row],[fecha]],"mmmm"),0)</f>
        <v>Enero</v>
      </c>
    </row>
    <row r="381" spans="1:27" x14ac:dyDescent="0.3">
      <c r="A381" s="105">
        <f>IF(BCP_Soles[[#This Row],[tipo_registro]]="R",COUNTIFS($C$1:$C380,"R")+1,A380)</f>
        <v>231</v>
      </c>
      <c r="B381" s="74" t="str">
        <f t="shared" si="31"/>
        <v>B-BCP - Soles</v>
      </c>
      <c r="C381" s="73" t="s">
        <v>1330</v>
      </c>
      <c r="D381" s="14">
        <v>45686</v>
      </c>
      <c r="E381" s="5" t="s">
        <v>1421</v>
      </c>
      <c r="F381" s="5" t="s">
        <v>1336</v>
      </c>
      <c r="G381" s="6" t="s">
        <v>928</v>
      </c>
      <c r="H381" s="6" t="s">
        <v>143</v>
      </c>
      <c r="I381" s="6">
        <v>1</v>
      </c>
      <c r="J381" s="6">
        <v>42025</v>
      </c>
      <c r="K381" s="7" t="s">
        <v>1726</v>
      </c>
      <c r="L381" s="8">
        <v>3550365</v>
      </c>
      <c r="M381" s="8" t="str">
        <f t="shared" si="32"/>
        <v>PEN</v>
      </c>
      <c r="N381" s="9"/>
      <c r="O381" s="9">
        <v>790</v>
      </c>
      <c r="P381" s="73">
        <f t="shared" si="33"/>
        <v>0</v>
      </c>
      <c r="Q381" s="73">
        <f t="shared" si="34"/>
        <v>790</v>
      </c>
      <c r="R381" s="73">
        <f t="shared" si="30"/>
        <v>3385.0699999999979</v>
      </c>
      <c r="S381" s="95" t="s">
        <v>1334</v>
      </c>
      <c r="T381" s="95" t="s">
        <v>1334</v>
      </c>
      <c r="U381" s="132"/>
      <c r="V381" s="72">
        <f>IFERROR(VLOOKUP(BCP_Soles[[#This Row],[destinatario]],CHOOSE({1,2},Clientes_Proveedores[Razon Social],Clientes_Proveedores[Ruc / Dni]),2,0),"")</f>
        <v>46126507</v>
      </c>
      <c r="W381" s="72"/>
      <c r="X381" s="72"/>
      <c r="Y381" s="72"/>
      <c r="Z381" s="131"/>
      <c r="AA381" s="73" t="str">
        <f>IF(BCP_Soles[[#This Row],[fecha]]&gt;0,TEXT(BCP_Soles[[#This Row],[fecha]],"mmmm"),0)</f>
        <v>Enero</v>
      </c>
    </row>
    <row r="382" spans="1:27" ht="24" x14ac:dyDescent="0.3">
      <c r="A382" s="2">
        <f>IF(BCP_Soles[[#This Row],[tipo_registro]]="R",COUNTIFS($C$1:$C381,"R")+1,A381)</f>
        <v>232</v>
      </c>
      <c r="B382" s="19" t="str">
        <f t="shared" si="31"/>
        <v>B-BCP - Soles</v>
      </c>
      <c r="C382" s="3" t="s">
        <v>1330</v>
      </c>
      <c r="D382" s="14">
        <v>45686</v>
      </c>
      <c r="E382" s="5" t="s">
        <v>1338</v>
      </c>
      <c r="F382" s="5" t="s">
        <v>1336</v>
      </c>
      <c r="G382" s="6"/>
      <c r="H382" s="6"/>
      <c r="I382" s="6"/>
      <c r="J382" s="6"/>
      <c r="K382" s="7" t="s">
        <v>1727</v>
      </c>
      <c r="L382" s="8">
        <v>1218294</v>
      </c>
      <c r="M382" s="8" t="str">
        <f t="shared" si="32"/>
        <v>PEN</v>
      </c>
      <c r="N382" s="13"/>
      <c r="O382" s="13">
        <v>349</v>
      </c>
      <c r="P382" s="3">
        <f t="shared" si="33"/>
        <v>0</v>
      </c>
      <c r="Q382" s="3">
        <f t="shared" si="34"/>
        <v>349</v>
      </c>
      <c r="R382" s="3">
        <f t="shared" si="30"/>
        <v>3036.0699999999979</v>
      </c>
      <c r="S382" s="24" t="s">
        <v>1334</v>
      </c>
      <c r="T382" s="24" t="s">
        <v>1334</v>
      </c>
      <c r="U382" s="53"/>
      <c r="V382" s="25" t="str">
        <f>IFERROR(VLOOKUP(BCP_Soles[[#This Row],[destinatario]],CHOOSE({1,2},Clientes_Proveedores[Razon Social],Clientes_Proveedores[Ruc / Dni]),2,0),"")</f>
        <v/>
      </c>
      <c r="W382" s="25" t="s">
        <v>882</v>
      </c>
      <c r="X382" s="25" t="s">
        <v>1728</v>
      </c>
      <c r="Y382" s="25"/>
      <c r="Z382" s="75"/>
      <c r="AA382" s="3" t="str">
        <f>IF(BCP_Soles[[#This Row],[fecha]]&gt;0,TEXT(BCP_Soles[[#This Row],[fecha]],"mmmm"),0)</f>
        <v>Enero</v>
      </c>
    </row>
    <row r="383" spans="1:27" ht="24" x14ac:dyDescent="0.3">
      <c r="A383" s="2">
        <f>IF(BCP_Soles[[#This Row],[tipo_registro]]="R",COUNTIFS($C$1:$C382,"R")+1,A382)</f>
        <v>233</v>
      </c>
      <c r="B383" s="19" t="str">
        <f t="shared" si="31"/>
        <v>B-BCP - Soles</v>
      </c>
      <c r="C383" s="3" t="s">
        <v>1330</v>
      </c>
      <c r="D383" s="14">
        <v>45686</v>
      </c>
      <c r="E383" s="5" t="s">
        <v>1335</v>
      </c>
      <c r="F383" s="5" t="s">
        <v>1336</v>
      </c>
      <c r="G383" s="6" t="s">
        <v>1060</v>
      </c>
      <c r="H383" s="6" t="s">
        <v>68</v>
      </c>
      <c r="I383" s="6" t="s">
        <v>1397</v>
      </c>
      <c r="J383" s="6">
        <v>29015536</v>
      </c>
      <c r="K383" s="7" t="s">
        <v>1729</v>
      </c>
      <c r="L383" s="8">
        <v>6466897</v>
      </c>
      <c r="M383" s="8" t="str">
        <f t="shared" si="32"/>
        <v>PEN</v>
      </c>
      <c r="N383" s="13"/>
      <c r="O383" s="13">
        <v>35</v>
      </c>
      <c r="P383" s="3">
        <f t="shared" si="33"/>
        <v>0</v>
      </c>
      <c r="Q383" s="3">
        <f t="shared" si="34"/>
        <v>35</v>
      </c>
      <c r="R383" s="3">
        <f t="shared" si="30"/>
        <v>3001.0699999999979</v>
      </c>
      <c r="S383" s="24"/>
      <c r="T383" s="24" t="s">
        <v>1334</v>
      </c>
      <c r="U383" s="53"/>
      <c r="V383" s="25">
        <f>IFERROR(VLOOKUP(BCP_Soles[[#This Row],[destinatario]],CHOOSE({1,2},Clientes_Proveedores[Razon Social],Clientes_Proveedores[Ruc / Dni]),2,0),"")</f>
        <v>20100047218</v>
      </c>
      <c r="W383" s="25" t="s">
        <v>1335</v>
      </c>
      <c r="X383" s="25"/>
      <c r="Y383" s="25"/>
      <c r="Z383" s="75"/>
      <c r="AA383" s="3" t="str">
        <f>IF(BCP_Soles[[#This Row],[fecha]]&gt;0,TEXT(BCP_Soles[[#This Row],[fecha]],"mmmm"),0)</f>
        <v>Enero</v>
      </c>
    </row>
    <row r="384" spans="1:27" ht="48" x14ac:dyDescent="0.3">
      <c r="A384" s="2">
        <f>IF(BCP_Soles[[#This Row],[tipo_registro]]="R",COUNTIFS($C$1:$C383,"R")+1,A383)</f>
        <v>234</v>
      </c>
      <c r="B384" s="19" t="str">
        <f t="shared" si="31"/>
        <v>B-BCP - Soles</v>
      </c>
      <c r="C384" s="3" t="s">
        <v>1330</v>
      </c>
      <c r="D384" s="14">
        <v>45687</v>
      </c>
      <c r="E384" s="5" t="s">
        <v>204</v>
      </c>
      <c r="F384" s="5" t="s">
        <v>1303</v>
      </c>
      <c r="G384" s="6" t="s">
        <v>425</v>
      </c>
      <c r="H384" s="6"/>
      <c r="I384" s="6"/>
      <c r="J384" s="6"/>
      <c r="K384" s="7" t="s">
        <v>1350</v>
      </c>
      <c r="L384" s="8">
        <v>6887196</v>
      </c>
      <c r="M384" s="8" t="str">
        <f t="shared" si="32"/>
        <v>PEN</v>
      </c>
      <c r="N384" s="13"/>
      <c r="O384" s="13">
        <v>23616.41</v>
      </c>
      <c r="P384" s="3">
        <f t="shared" si="33"/>
        <v>23616.41</v>
      </c>
      <c r="Q384" s="3">
        <f t="shared" si="34"/>
        <v>0</v>
      </c>
      <c r="R384" s="3">
        <f t="shared" si="30"/>
        <v>26617.479999999996</v>
      </c>
      <c r="S384" s="24" t="s">
        <v>1334</v>
      </c>
      <c r="T384" s="24" t="s">
        <v>1334</v>
      </c>
      <c r="U384" s="53"/>
      <c r="V384" s="25">
        <f>IFERROR(VLOOKUP(BCP_Soles[[#This Row],[destinatario]],CHOOSE({1,2},Clientes_Proveedores[Razon Social],Clientes_Proveedores[Ruc / Dni]),2,0),"")</f>
        <v>20558226979</v>
      </c>
      <c r="W384" s="25" t="s">
        <v>1345</v>
      </c>
      <c r="X384" s="25" t="s">
        <v>1730</v>
      </c>
      <c r="Y384" s="25"/>
      <c r="Z384" s="75"/>
      <c r="AA384" s="3" t="str">
        <f>IF(BCP_Soles[[#This Row],[fecha]]&gt;0,TEXT(BCP_Soles[[#This Row],[fecha]],"mmmm"),0)</f>
        <v>Enero</v>
      </c>
    </row>
    <row r="385" spans="1:27" ht="36" x14ac:dyDescent="0.3">
      <c r="A385" s="2">
        <f>IF(BCP_Soles[[#This Row],[tipo_registro]]="R",COUNTIFS($C$1:$C384,"R")+1,A384)</f>
        <v>235</v>
      </c>
      <c r="B385" s="19" t="str">
        <f t="shared" si="31"/>
        <v>B-BCP - Soles</v>
      </c>
      <c r="C385" s="3" t="s">
        <v>1330</v>
      </c>
      <c r="D385" s="14">
        <v>45687</v>
      </c>
      <c r="E385" s="5" t="s">
        <v>375</v>
      </c>
      <c r="F385" s="5" t="s">
        <v>1303</v>
      </c>
      <c r="G385" s="6" t="s">
        <v>425</v>
      </c>
      <c r="H385" s="6"/>
      <c r="I385" s="6"/>
      <c r="J385" s="6"/>
      <c r="K385" s="7" t="s">
        <v>1731</v>
      </c>
      <c r="L385" s="8">
        <v>2058189</v>
      </c>
      <c r="M385" s="8" t="str">
        <f t="shared" si="32"/>
        <v>PEN</v>
      </c>
      <c r="N385" s="13"/>
      <c r="O385" s="13">
        <v>3540.8</v>
      </c>
      <c r="P385" s="3">
        <f t="shared" si="33"/>
        <v>3540.8</v>
      </c>
      <c r="Q385" s="3">
        <f t="shared" si="34"/>
        <v>0</v>
      </c>
      <c r="R385" s="3">
        <f t="shared" si="30"/>
        <v>30158.279999999995</v>
      </c>
      <c r="S385" s="24" t="s">
        <v>1334</v>
      </c>
      <c r="T385" s="24" t="s">
        <v>1334</v>
      </c>
      <c r="U385" s="53"/>
      <c r="V385" s="25">
        <f>IFERROR(VLOOKUP(BCP_Soles[[#This Row],[destinatario]],CHOOSE({1,2},Clientes_Proveedores[Razon Social],Clientes_Proveedores[Ruc / Dni]),2,0),"")</f>
        <v>20558226979</v>
      </c>
      <c r="W385" s="25" t="s">
        <v>1345</v>
      </c>
      <c r="X385" s="25" t="s">
        <v>1732</v>
      </c>
      <c r="Y385" s="25"/>
      <c r="Z385" s="75"/>
      <c r="AA385" s="3" t="str">
        <f>IF(BCP_Soles[[#This Row],[fecha]]&gt;0,TEXT(BCP_Soles[[#This Row],[fecha]],"mmmm"),0)</f>
        <v>Enero</v>
      </c>
    </row>
    <row r="386" spans="1:27" ht="24" x14ac:dyDescent="0.3">
      <c r="A386" s="2">
        <f>IF(BCP_Soles[[#This Row],[tipo_registro]]="R",COUNTIFS($C$1:$C385,"R")+1,A385)</f>
        <v>236</v>
      </c>
      <c r="B386" s="19" t="str">
        <f t="shared" si="31"/>
        <v>B-BCP - Soles</v>
      </c>
      <c r="C386" s="3" t="s">
        <v>1330</v>
      </c>
      <c r="D386" s="14">
        <v>45687</v>
      </c>
      <c r="E386" s="5" t="s">
        <v>1338</v>
      </c>
      <c r="F386" s="5" t="s">
        <v>1336</v>
      </c>
      <c r="G386" s="6" t="s">
        <v>241</v>
      </c>
      <c r="H386" s="6" t="s">
        <v>68</v>
      </c>
      <c r="I386" s="6" t="s">
        <v>1339</v>
      </c>
      <c r="J386" s="6">
        <v>7085</v>
      </c>
      <c r="K386" s="7" t="s">
        <v>1733</v>
      </c>
      <c r="L386" s="8">
        <v>1122357</v>
      </c>
      <c r="M386" s="8" t="str">
        <f t="shared" si="32"/>
        <v>PEN</v>
      </c>
      <c r="N386" s="13"/>
      <c r="O386" s="13">
        <v>289</v>
      </c>
      <c r="P386" s="3">
        <f t="shared" si="33"/>
        <v>0</v>
      </c>
      <c r="Q386" s="3">
        <f t="shared" si="34"/>
        <v>289</v>
      </c>
      <c r="R386" s="3">
        <f t="shared" ref="R386:R456" si="35">IFERROR(IF(F386="SALDO",P386,R385+P386-Q386),0)</f>
        <v>29869.279999999995</v>
      </c>
      <c r="S386" s="24" t="s">
        <v>1334</v>
      </c>
      <c r="T386" s="24" t="s">
        <v>1334</v>
      </c>
      <c r="U386" s="53"/>
      <c r="V386" s="25">
        <f>IFERROR(VLOOKUP(BCP_Soles[[#This Row],[destinatario]],CHOOSE({1,2},Clientes_Proveedores[Razon Social],Clientes_Proveedores[Ruc / Dni]),2,0),"")</f>
        <v>20170040938</v>
      </c>
      <c r="W386" s="25" t="s">
        <v>1341</v>
      </c>
      <c r="X386" s="25" t="s">
        <v>1734</v>
      </c>
      <c r="Y386" s="25"/>
      <c r="Z386" s="75"/>
      <c r="AA386" s="3" t="str">
        <f>IF(BCP_Soles[[#This Row],[fecha]]&gt;0,TEXT(BCP_Soles[[#This Row],[fecha]],"mmmm"),0)</f>
        <v>Enero</v>
      </c>
    </row>
    <row r="387" spans="1:27" x14ac:dyDescent="0.3">
      <c r="A387" s="2">
        <f>IF(BCP_Soles[[#This Row],[tipo_registro]]="R",COUNTIFS($C$1:$C386,"R")+1,A386)</f>
        <v>237</v>
      </c>
      <c r="B387" s="19" t="str">
        <f t="shared" si="31"/>
        <v>B-BCP - Soles</v>
      </c>
      <c r="C387" s="3" t="s">
        <v>1330</v>
      </c>
      <c r="D387" s="14">
        <v>45687</v>
      </c>
      <c r="E387" s="5" t="s">
        <v>1338</v>
      </c>
      <c r="F387" s="5" t="s">
        <v>1336</v>
      </c>
      <c r="G387" s="6" t="s">
        <v>575</v>
      </c>
      <c r="H387" s="6"/>
      <c r="I387" s="6"/>
      <c r="J387" s="6"/>
      <c r="K387" s="7" t="s">
        <v>1735</v>
      </c>
      <c r="L387" s="8">
        <v>4063047</v>
      </c>
      <c r="M387" s="8" t="str">
        <f t="shared" si="32"/>
        <v>PEN</v>
      </c>
      <c r="N387" s="13"/>
      <c r="O387" s="13">
        <v>690.5</v>
      </c>
      <c r="P387" s="3">
        <f t="shared" si="33"/>
        <v>0</v>
      </c>
      <c r="Q387" s="3">
        <f t="shared" si="34"/>
        <v>690.5</v>
      </c>
      <c r="R387" s="3">
        <f t="shared" si="35"/>
        <v>29178.779999999995</v>
      </c>
      <c r="S387" s="24" t="s">
        <v>1334</v>
      </c>
      <c r="T387" s="24"/>
      <c r="U387" s="53"/>
      <c r="V387" s="25">
        <f>IFERROR(VLOOKUP(BCP_Soles[[#This Row],[destinatario]],CHOOSE({1,2},Clientes_Proveedores[Razon Social],Clientes_Proveedores[Ruc / Dni]),2,0),"")</f>
        <v>20608970909</v>
      </c>
      <c r="W387" s="25" t="s">
        <v>575</v>
      </c>
      <c r="X387" s="25" t="s">
        <v>1723</v>
      </c>
      <c r="Y387" s="25"/>
      <c r="Z387" s="75"/>
      <c r="AA387" s="3" t="str">
        <f>IF(BCP_Soles[[#This Row],[fecha]]&gt;0,TEXT(BCP_Soles[[#This Row],[fecha]],"mmmm"),0)</f>
        <v>Enero</v>
      </c>
    </row>
    <row r="388" spans="1:27" x14ac:dyDescent="0.3">
      <c r="A388" s="2">
        <f>IF(BCP_Soles[[#This Row],[tipo_registro]]="R",COUNTIFS($C$1:$C387,"R")+1,A387)</f>
        <v>237</v>
      </c>
      <c r="B388" s="19" t="str">
        <f t="shared" si="31"/>
        <v>B-BCP - Soles</v>
      </c>
      <c r="C388" s="3" t="s">
        <v>1352</v>
      </c>
      <c r="D388" s="14">
        <v>45687</v>
      </c>
      <c r="E388" s="5" t="s">
        <v>1338</v>
      </c>
      <c r="F388" s="5" t="s">
        <v>1336</v>
      </c>
      <c r="G388" s="6" t="s">
        <v>575</v>
      </c>
      <c r="H388" s="6" t="s">
        <v>68</v>
      </c>
      <c r="I388" s="6" t="s">
        <v>1376</v>
      </c>
      <c r="J388" s="6">
        <v>1011</v>
      </c>
      <c r="K388" s="7" t="s">
        <v>1735</v>
      </c>
      <c r="L388" s="8">
        <v>4063047</v>
      </c>
      <c r="M388" s="8" t="str">
        <f t="shared" si="32"/>
        <v>PEN</v>
      </c>
      <c r="N388" s="13">
        <v>680</v>
      </c>
      <c r="O388" s="13"/>
      <c r="P388" s="3">
        <f t="shared" si="33"/>
        <v>0</v>
      </c>
      <c r="Q388" s="3">
        <f t="shared" si="34"/>
        <v>0</v>
      </c>
      <c r="R388" s="3">
        <f t="shared" si="35"/>
        <v>29178.779999999995</v>
      </c>
      <c r="S388" s="24" t="s">
        <v>1334</v>
      </c>
      <c r="T388" s="24"/>
      <c r="U388" s="53"/>
      <c r="V388" s="25">
        <f>IFERROR(VLOOKUP(BCP_Soles[[#This Row],[destinatario]],CHOOSE({1,2},Clientes_Proveedores[Razon Social],Clientes_Proveedores[Ruc / Dni]),2,0),"")</f>
        <v>20608970909</v>
      </c>
      <c r="W388" s="25"/>
      <c r="X388" s="25"/>
      <c r="Y388" s="25"/>
      <c r="Z388" s="75"/>
      <c r="AA388" s="3" t="str">
        <f>IF(BCP_Soles[[#This Row],[fecha]]&gt;0,TEXT(BCP_Soles[[#This Row],[fecha]],"mmmm"),0)</f>
        <v>Enero</v>
      </c>
    </row>
    <row r="389" spans="1:27" ht="24" x14ac:dyDescent="0.3">
      <c r="A389" s="2">
        <f>IF(BCP_Soles[[#This Row],[tipo_registro]]="R",COUNTIFS($C$1:$C388,"R")+1,A388)</f>
        <v>237</v>
      </c>
      <c r="B389" s="19" t="str">
        <f t="shared" si="31"/>
        <v>B-BCP - Soles</v>
      </c>
      <c r="C389" s="3" t="s">
        <v>1352</v>
      </c>
      <c r="D389" s="14">
        <v>45687</v>
      </c>
      <c r="E389" s="5" t="s">
        <v>1338</v>
      </c>
      <c r="F389" s="5" t="s">
        <v>1336</v>
      </c>
      <c r="G389" s="6" t="s">
        <v>1060</v>
      </c>
      <c r="H389" s="6" t="s">
        <v>68</v>
      </c>
      <c r="I389" s="6" t="s">
        <v>1397</v>
      </c>
      <c r="J389" s="6">
        <v>29045261</v>
      </c>
      <c r="K389" s="7" t="s">
        <v>1735</v>
      </c>
      <c r="L389" s="8">
        <v>4063047</v>
      </c>
      <c r="M389" s="8" t="str">
        <f t="shared" si="32"/>
        <v>PEN</v>
      </c>
      <c r="N389" s="13">
        <v>10.5</v>
      </c>
      <c r="O389" s="13"/>
      <c r="P389" s="3">
        <f t="shared" si="33"/>
        <v>0</v>
      </c>
      <c r="Q389" s="3">
        <f t="shared" si="34"/>
        <v>0</v>
      </c>
      <c r="R389" s="3">
        <f t="shared" si="35"/>
        <v>29178.779999999995</v>
      </c>
      <c r="S389" s="24" t="s">
        <v>1334</v>
      </c>
      <c r="T389" s="24"/>
      <c r="U389" s="53"/>
      <c r="V389" s="25">
        <f>IFERROR(VLOOKUP(BCP_Soles[[#This Row],[destinatario]],CHOOSE({1,2},Clientes_Proveedores[Razon Social],Clientes_Proveedores[Ruc / Dni]),2,0),"")</f>
        <v>20100047218</v>
      </c>
      <c r="W389" s="25"/>
      <c r="X389" s="25"/>
      <c r="Y389" s="25"/>
      <c r="Z389" s="75"/>
      <c r="AA389" s="3" t="str">
        <f>IF(BCP_Soles[[#This Row],[fecha]]&gt;0,TEXT(BCP_Soles[[#This Row],[fecha]],"mmmm"),0)</f>
        <v>Enero</v>
      </c>
    </row>
    <row r="390" spans="1:27" ht="36" x14ac:dyDescent="0.3">
      <c r="A390" s="2">
        <f>IF(BCP_Soles[[#This Row],[tipo_registro]]="R",COUNTIFS($C$1:$C389,"R")+1,A389)</f>
        <v>238</v>
      </c>
      <c r="B390" s="19" t="str">
        <f t="shared" ref="B390:B460" si="36">"B-BCP - Soles"</f>
        <v>B-BCP - Soles</v>
      </c>
      <c r="C390" s="3" t="s">
        <v>1330</v>
      </c>
      <c r="D390" s="14">
        <v>45687</v>
      </c>
      <c r="E390" s="5" t="s">
        <v>516</v>
      </c>
      <c r="F390" s="5" t="s">
        <v>1303</v>
      </c>
      <c r="G390" s="6" t="s">
        <v>425</v>
      </c>
      <c r="H390" s="6"/>
      <c r="I390" s="6"/>
      <c r="J390" s="6"/>
      <c r="K390" s="7" t="s">
        <v>1736</v>
      </c>
      <c r="L390" s="8">
        <v>2260699</v>
      </c>
      <c r="M390" s="8" t="str">
        <f t="shared" ref="M390:M460" si="37">"PEN"</f>
        <v>PEN</v>
      </c>
      <c r="N390" s="13"/>
      <c r="O390" s="13">
        <v>4232.5</v>
      </c>
      <c r="P390" s="3">
        <f t="shared" ref="P390:P460" si="38">+IF(OR($F390="SALDO",$F390="INGRESO"),$O390,0)</f>
        <v>4232.5</v>
      </c>
      <c r="Q390" s="3">
        <f t="shared" ref="Q390:Q460" si="39">+IF($F390="EGRESO",$O390,0)</f>
        <v>0</v>
      </c>
      <c r="R390" s="3">
        <f t="shared" si="35"/>
        <v>33411.279999999999</v>
      </c>
      <c r="S390" s="24" t="s">
        <v>1334</v>
      </c>
      <c r="T390" s="24" t="s">
        <v>1334</v>
      </c>
      <c r="U390" s="53"/>
      <c r="V390" s="25">
        <f>IFERROR(VLOOKUP(BCP_Soles[[#This Row],[destinatario]],CHOOSE({1,2},Clientes_Proveedores[Razon Social],Clientes_Proveedores[Ruc / Dni]),2,0),"")</f>
        <v>20558226979</v>
      </c>
      <c r="W390" s="25" t="s">
        <v>1345</v>
      </c>
      <c r="X390" s="25" t="s">
        <v>1737</v>
      </c>
      <c r="Y390" s="25"/>
      <c r="Z390" s="75"/>
      <c r="AA390" s="3" t="str">
        <f>IF(BCP_Soles[[#This Row],[fecha]]&gt;0,TEXT(BCP_Soles[[#This Row],[fecha]],"mmmm"),0)</f>
        <v>Enero</v>
      </c>
    </row>
    <row r="391" spans="1:27" ht="36" x14ac:dyDescent="0.3">
      <c r="A391" s="2">
        <f>IF(BCP_Soles[[#This Row],[tipo_registro]]="R",COUNTIFS($C$1:$C390,"R")+1,A390)</f>
        <v>239</v>
      </c>
      <c r="B391" s="19" t="str">
        <f t="shared" si="36"/>
        <v>B-BCP - Soles</v>
      </c>
      <c r="C391" s="3" t="s">
        <v>1330</v>
      </c>
      <c r="D391" s="14">
        <v>45687</v>
      </c>
      <c r="E391" s="5" t="s">
        <v>555</v>
      </c>
      <c r="F391" s="5" t="s">
        <v>1303</v>
      </c>
      <c r="G391" s="6" t="s">
        <v>425</v>
      </c>
      <c r="H391" s="6"/>
      <c r="I391" s="6"/>
      <c r="J391" s="6"/>
      <c r="K391" s="7" t="s">
        <v>1348</v>
      </c>
      <c r="L391" s="8">
        <v>2214293</v>
      </c>
      <c r="M391" s="8" t="str">
        <f t="shared" si="37"/>
        <v>PEN</v>
      </c>
      <c r="N391" s="13"/>
      <c r="O391" s="13">
        <v>3448.11</v>
      </c>
      <c r="P391" s="3">
        <f t="shared" si="38"/>
        <v>3448.11</v>
      </c>
      <c r="Q391" s="3">
        <f t="shared" si="39"/>
        <v>0</v>
      </c>
      <c r="R391" s="3">
        <f t="shared" si="35"/>
        <v>36859.39</v>
      </c>
      <c r="S391" s="24" t="s">
        <v>1334</v>
      </c>
      <c r="T391" s="24" t="s">
        <v>1334</v>
      </c>
      <c r="U391" s="53"/>
      <c r="V391" s="25">
        <f>IFERROR(VLOOKUP(BCP_Soles[[#This Row],[destinatario]],CHOOSE({1,2},Clientes_Proveedores[Razon Social],Clientes_Proveedores[Ruc / Dni]),2,0),"")</f>
        <v>20558226979</v>
      </c>
      <c r="W391" s="25" t="s">
        <v>1345</v>
      </c>
      <c r="X391" s="25" t="s">
        <v>1738</v>
      </c>
      <c r="Y391" s="25"/>
      <c r="Z391" s="75"/>
      <c r="AA391" s="3" t="str">
        <f>IF(BCP_Soles[[#This Row],[fecha]]&gt;0,TEXT(BCP_Soles[[#This Row],[fecha]],"mmmm"),0)</f>
        <v>Enero</v>
      </c>
    </row>
    <row r="392" spans="1:27" x14ac:dyDescent="0.3">
      <c r="A392" s="2">
        <f>IF(BCP_Soles[[#This Row],[tipo_registro]]="R",COUNTIFS($C$1:$C391,"R")+1,A391)</f>
        <v>240</v>
      </c>
      <c r="B392" s="19" t="str">
        <f t="shared" si="36"/>
        <v>B-BCP - Soles</v>
      </c>
      <c r="C392" s="3" t="s">
        <v>1330</v>
      </c>
      <c r="D392" s="14">
        <v>45687</v>
      </c>
      <c r="E392" s="5"/>
      <c r="F392" s="5" t="s">
        <v>1303</v>
      </c>
      <c r="G392" s="6" t="s">
        <v>425</v>
      </c>
      <c r="H392" s="6"/>
      <c r="I392" s="6"/>
      <c r="J392" s="6"/>
      <c r="K392" s="7" t="s">
        <v>1356</v>
      </c>
      <c r="L392" s="8">
        <v>3976760</v>
      </c>
      <c r="M392" s="8" t="str">
        <f t="shared" si="37"/>
        <v>PEN</v>
      </c>
      <c r="N392" s="13"/>
      <c r="O392" s="13">
        <v>340</v>
      </c>
      <c r="P392" s="3">
        <f t="shared" si="38"/>
        <v>340</v>
      </c>
      <c r="Q392" s="3">
        <f t="shared" si="39"/>
        <v>0</v>
      </c>
      <c r="R392" s="3">
        <f t="shared" si="35"/>
        <v>37199.39</v>
      </c>
      <c r="S392" s="24" t="s">
        <v>1334</v>
      </c>
      <c r="T392" s="24" t="s">
        <v>1334</v>
      </c>
      <c r="U392" s="53"/>
      <c r="V392" s="25">
        <f>IFERROR(VLOOKUP(BCP_Soles[[#This Row],[destinatario]],CHOOSE({1,2},Clientes_Proveedores[Razon Social],Clientes_Proveedores[Ruc / Dni]),2,0),"")</f>
        <v>20558226979</v>
      </c>
      <c r="W392" s="25" t="s">
        <v>1345</v>
      </c>
      <c r="X392" s="25"/>
      <c r="Y392" s="25"/>
      <c r="Z392" s="75"/>
      <c r="AA392" s="3" t="str">
        <f>IF(BCP_Soles[[#This Row],[fecha]]&gt;0,TEXT(BCP_Soles[[#This Row],[fecha]],"mmmm"),0)</f>
        <v>Enero</v>
      </c>
    </row>
    <row r="393" spans="1:27" x14ac:dyDescent="0.3">
      <c r="A393" s="2">
        <f>IF(BCP_Soles[[#This Row],[tipo_registro]]="R",COUNTIFS($C$1:$C392,"R")+1,A392)</f>
        <v>240</v>
      </c>
      <c r="B393" s="19" t="str">
        <f t="shared" si="36"/>
        <v>B-BCP - Soles</v>
      </c>
      <c r="C393" s="3" t="s">
        <v>1352</v>
      </c>
      <c r="D393" s="14">
        <v>45687</v>
      </c>
      <c r="E393" s="5" t="s">
        <v>1739</v>
      </c>
      <c r="F393" s="5" t="s">
        <v>1303</v>
      </c>
      <c r="G393" s="6" t="s">
        <v>425</v>
      </c>
      <c r="H393" s="6" t="s">
        <v>119</v>
      </c>
      <c r="I393" s="6">
        <v>1</v>
      </c>
      <c r="J393" s="6">
        <v>4030</v>
      </c>
      <c r="K393" s="7" t="s">
        <v>1356</v>
      </c>
      <c r="L393" s="8">
        <v>3976760</v>
      </c>
      <c r="M393" s="8" t="str">
        <f t="shared" si="37"/>
        <v>PEN</v>
      </c>
      <c r="N393" s="13">
        <v>74.900000000000006</v>
      </c>
      <c r="O393" s="13"/>
      <c r="P393" s="3">
        <f t="shared" si="38"/>
        <v>0</v>
      </c>
      <c r="Q393" s="3">
        <f t="shared" si="39"/>
        <v>0</v>
      </c>
      <c r="R393" s="3">
        <f t="shared" si="35"/>
        <v>37199.39</v>
      </c>
      <c r="S393" s="24" t="s">
        <v>1334</v>
      </c>
      <c r="T393" s="24" t="s">
        <v>1334</v>
      </c>
      <c r="U393" s="53"/>
      <c r="V393" s="25">
        <f>IFERROR(VLOOKUP(BCP_Soles[[#This Row],[destinatario]],CHOOSE({1,2},Clientes_Proveedores[Razon Social],Clientes_Proveedores[Ruc / Dni]),2,0),"")</f>
        <v>20558226979</v>
      </c>
      <c r="W393" s="25" t="s">
        <v>1345</v>
      </c>
      <c r="X393" s="25" t="s">
        <v>1740</v>
      </c>
      <c r="Y393" s="25"/>
      <c r="Z393" s="75"/>
      <c r="AA393" s="3" t="str">
        <f>IF(BCP_Soles[[#This Row],[fecha]]&gt;0,TEXT(BCP_Soles[[#This Row],[fecha]],"mmmm"),0)</f>
        <v>Enero</v>
      </c>
    </row>
    <row r="394" spans="1:27" x14ac:dyDescent="0.3">
      <c r="A394" s="2">
        <f>IF(BCP_Soles[[#This Row],[tipo_registro]]="R",COUNTIFS($C$1:$C393,"R")+1,A393)</f>
        <v>240</v>
      </c>
      <c r="B394" s="19" t="str">
        <f t="shared" si="36"/>
        <v>B-BCP - Soles</v>
      </c>
      <c r="C394" s="3" t="s">
        <v>1352</v>
      </c>
      <c r="D394" s="14">
        <v>45687</v>
      </c>
      <c r="E394" s="5" t="s">
        <v>1739</v>
      </c>
      <c r="F394" s="5" t="s">
        <v>1303</v>
      </c>
      <c r="G394" s="6" t="s">
        <v>425</v>
      </c>
      <c r="H394" s="6" t="s">
        <v>119</v>
      </c>
      <c r="I394" s="6">
        <v>1</v>
      </c>
      <c r="J394" s="6">
        <v>4031</v>
      </c>
      <c r="K394" s="7" t="s">
        <v>1356</v>
      </c>
      <c r="L394" s="8">
        <v>3976760</v>
      </c>
      <c r="M394" s="8" t="str">
        <f t="shared" si="37"/>
        <v>PEN</v>
      </c>
      <c r="N394" s="13">
        <v>265.10000000000002</v>
      </c>
      <c r="O394" s="13"/>
      <c r="P394" s="3">
        <f t="shared" si="38"/>
        <v>0</v>
      </c>
      <c r="Q394" s="3">
        <f t="shared" si="39"/>
        <v>0</v>
      </c>
      <c r="R394" s="3">
        <f t="shared" si="35"/>
        <v>37199.39</v>
      </c>
      <c r="S394" s="24" t="s">
        <v>1334</v>
      </c>
      <c r="T394" s="24" t="s">
        <v>1334</v>
      </c>
      <c r="U394" s="53"/>
      <c r="V394" s="25">
        <f>IFERROR(VLOOKUP(BCP_Soles[[#This Row],[destinatario]],CHOOSE({1,2},Clientes_Proveedores[Razon Social],Clientes_Proveedores[Ruc / Dni]),2,0),"")</f>
        <v>20558226979</v>
      </c>
      <c r="W394" s="25" t="s">
        <v>1345</v>
      </c>
      <c r="X394" s="25" t="s">
        <v>1741</v>
      </c>
      <c r="Y394" s="25"/>
      <c r="Z394" s="75"/>
      <c r="AA394" s="3" t="str">
        <f>IF(BCP_Soles[[#This Row],[fecha]]&gt;0,TEXT(BCP_Soles[[#This Row],[fecha]],"mmmm"),0)</f>
        <v>Enero</v>
      </c>
    </row>
    <row r="395" spans="1:27" x14ac:dyDescent="0.3">
      <c r="A395" s="2">
        <f>IF(BCP_Soles[[#This Row],[tipo_registro]]="R",COUNTIFS($C$1:$C394,"R")+1,A394)</f>
        <v>241</v>
      </c>
      <c r="B395" s="19" t="str">
        <f t="shared" si="36"/>
        <v>B-BCP - Soles</v>
      </c>
      <c r="C395" s="3" t="s">
        <v>1330</v>
      </c>
      <c r="D395" s="14">
        <v>45687</v>
      </c>
      <c r="E395" s="5" t="s">
        <v>1335</v>
      </c>
      <c r="F395" s="5" t="s">
        <v>1336</v>
      </c>
      <c r="G395" s="6"/>
      <c r="H395" s="6"/>
      <c r="I395" s="6"/>
      <c r="J395" s="6"/>
      <c r="K395" s="7" t="s">
        <v>1337</v>
      </c>
      <c r="L395" s="8"/>
      <c r="M395" s="8" t="str">
        <f t="shared" si="37"/>
        <v>PEN</v>
      </c>
      <c r="N395" s="13"/>
      <c r="O395" s="13">
        <v>1.65</v>
      </c>
      <c r="P395" s="3">
        <f t="shared" si="38"/>
        <v>0</v>
      </c>
      <c r="Q395" s="3">
        <f t="shared" si="39"/>
        <v>1.65</v>
      </c>
      <c r="R395" s="3">
        <f t="shared" si="35"/>
        <v>37197.74</v>
      </c>
      <c r="S395" s="24"/>
      <c r="T395" s="24" t="s">
        <v>1334</v>
      </c>
      <c r="U395" s="53"/>
      <c r="V395" s="25" t="str">
        <f>IFERROR(VLOOKUP(BCP_Soles[[#This Row],[destinatario]],CHOOSE({1,2},Clientes_Proveedores[Razon Social],Clientes_Proveedores[Ruc / Dni]),2,0),"")</f>
        <v/>
      </c>
      <c r="W395" s="25"/>
      <c r="X395" s="25"/>
      <c r="Y395" s="25"/>
      <c r="Z395" s="75"/>
      <c r="AA395" s="3" t="str">
        <f>IF(BCP_Soles[[#This Row],[fecha]]&gt;0,TEXT(BCP_Soles[[#This Row],[fecha]],"mmmm"),0)</f>
        <v>Enero</v>
      </c>
    </row>
    <row r="396" spans="1:27" ht="36" x14ac:dyDescent="0.3">
      <c r="A396" s="2">
        <f>IF(BCP_Soles[[#This Row],[tipo_registro]]="R",COUNTIFS($C$1:$C395,"R")+1,A395)</f>
        <v>242</v>
      </c>
      <c r="B396" s="19" t="str">
        <f t="shared" si="36"/>
        <v>B-BCP - Soles</v>
      </c>
      <c r="C396" s="3" t="s">
        <v>1330</v>
      </c>
      <c r="D396" s="14">
        <v>45687</v>
      </c>
      <c r="E396" s="5" t="s">
        <v>1338</v>
      </c>
      <c r="F396" s="5" t="s">
        <v>1336</v>
      </c>
      <c r="G396" s="6" t="s">
        <v>547</v>
      </c>
      <c r="H396" s="6" t="s">
        <v>68</v>
      </c>
      <c r="I396" s="6" t="s">
        <v>1374</v>
      </c>
      <c r="J396" s="6">
        <v>1717</v>
      </c>
      <c r="K396" s="7" t="s">
        <v>1742</v>
      </c>
      <c r="L396" s="8">
        <v>1267376</v>
      </c>
      <c r="M396" s="8" t="str">
        <f t="shared" si="37"/>
        <v>PEN</v>
      </c>
      <c r="N396" s="13"/>
      <c r="O396" s="13">
        <v>33</v>
      </c>
      <c r="P396" s="3">
        <f t="shared" si="38"/>
        <v>0</v>
      </c>
      <c r="Q396" s="3">
        <f t="shared" si="39"/>
        <v>33</v>
      </c>
      <c r="R396" s="3">
        <f t="shared" si="35"/>
        <v>37164.74</v>
      </c>
      <c r="S396" s="24" t="s">
        <v>1334</v>
      </c>
      <c r="T396" s="24"/>
      <c r="U396" s="53"/>
      <c r="V396" s="25">
        <f>IFERROR(VLOOKUP(BCP_Soles[[#This Row],[destinatario]],CHOOSE({1,2},Clientes_Proveedores[Razon Social],Clientes_Proveedores[Ruc / Dni]),2,0),"")</f>
        <v>20606541580</v>
      </c>
      <c r="W396" s="25" t="s">
        <v>1743</v>
      </c>
      <c r="X396" s="25" t="s">
        <v>1744</v>
      </c>
      <c r="Y396" s="25" t="s">
        <v>1745</v>
      </c>
      <c r="Z396" s="75"/>
      <c r="AA396" s="3" t="str">
        <f>IF(BCP_Soles[[#This Row],[fecha]]&gt;0,TEXT(BCP_Soles[[#This Row],[fecha]],"mmmm"),0)</f>
        <v>Enero</v>
      </c>
    </row>
    <row r="397" spans="1:27" x14ac:dyDescent="0.3">
      <c r="A397" s="2">
        <f>IF(BCP_Soles[[#This Row],[tipo_registro]]="R",COUNTIFS($C$1:$C396,"R")+1,A396)</f>
        <v>243</v>
      </c>
      <c r="B397" s="19" t="str">
        <f t="shared" si="36"/>
        <v>B-BCP - Soles</v>
      </c>
      <c r="C397" s="3" t="s">
        <v>1330</v>
      </c>
      <c r="D397" s="14">
        <v>45688</v>
      </c>
      <c r="E397" s="5" t="s">
        <v>391</v>
      </c>
      <c r="F397" s="5" t="s">
        <v>1303</v>
      </c>
      <c r="G397" s="6" t="s">
        <v>425</v>
      </c>
      <c r="H397" s="6" t="s">
        <v>119</v>
      </c>
      <c r="I397" s="6">
        <v>1</v>
      </c>
      <c r="J397" s="6">
        <v>4129</v>
      </c>
      <c r="K397" s="7" t="s">
        <v>1746</v>
      </c>
      <c r="L397" s="8">
        <v>810061</v>
      </c>
      <c r="M397" s="8" t="str">
        <f t="shared" si="37"/>
        <v>PEN</v>
      </c>
      <c r="N397" s="13"/>
      <c r="O397" s="13">
        <v>7524.6</v>
      </c>
      <c r="P397" s="3">
        <f t="shared" si="38"/>
        <v>7524.6</v>
      </c>
      <c r="Q397" s="3">
        <f t="shared" si="39"/>
        <v>0</v>
      </c>
      <c r="R397" s="3">
        <f t="shared" si="35"/>
        <v>44689.34</v>
      </c>
      <c r="S397" s="24" t="s">
        <v>1334</v>
      </c>
      <c r="T397" s="24" t="s">
        <v>1334</v>
      </c>
      <c r="U397" s="53"/>
      <c r="V397" s="25">
        <f>IFERROR(VLOOKUP(BCP_Soles[[#This Row],[destinatario]],CHOOSE({1,2},Clientes_Proveedores[Razon Social],Clientes_Proveedores[Ruc / Dni]),2,0),"")</f>
        <v>20558226979</v>
      </c>
      <c r="W397" s="25" t="s">
        <v>1345</v>
      </c>
      <c r="X397" s="25" t="s">
        <v>1747</v>
      </c>
      <c r="Y397" s="25"/>
      <c r="Z397" s="75"/>
      <c r="AA397" s="3" t="str">
        <f>IF(BCP_Soles[[#This Row],[fecha]]&gt;0,TEXT(BCP_Soles[[#This Row],[fecha]],"mmmm"),0)</f>
        <v>Enero</v>
      </c>
    </row>
    <row r="398" spans="1:27" ht="24" x14ac:dyDescent="0.3">
      <c r="A398" s="2">
        <f>IF(BCP_Soles[[#This Row],[tipo_registro]]="R",COUNTIFS($C$1:$C397,"R")+1,A397)</f>
        <v>244</v>
      </c>
      <c r="B398" s="19" t="str">
        <f t="shared" si="36"/>
        <v>B-BCP - Soles</v>
      </c>
      <c r="C398" s="3" t="s">
        <v>1330</v>
      </c>
      <c r="D398" s="14">
        <v>45688</v>
      </c>
      <c r="E398" s="5" t="s">
        <v>286</v>
      </c>
      <c r="F398" s="5" t="s">
        <v>1303</v>
      </c>
      <c r="G398" s="6" t="s">
        <v>425</v>
      </c>
      <c r="H398" s="6"/>
      <c r="I398" s="6"/>
      <c r="J398" s="6"/>
      <c r="K398" s="7" t="s">
        <v>1382</v>
      </c>
      <c r="L398" s="8">
        <v>5588</v>
      </c>
      <c r="M398" s="8" t="str">
        <f t="shared" si="37"/>
        <v>PEN</v>
      </c>
      <c r="N398" s="13"/>
      <c r="O398" s="13">
        <v>3817.09</v>
      </c>
      <c r="P398" s="3">
        <f t="shared" si="38"/>
        <v>3817.09</v>
      </c>
      <c r="Q398" s="3">
        <f t="shared" si="39"/>
        <v>0</v>
      </c>
      <c r="R398" s="3">
        <f t="shared" si="35"/>
        <v>48506.429999999993</v>
      </c>
      <c r="S398" s="24" t="s">
        <v>1334</v>
      </c>
      <c r="T398" s="24" t="s">
        <v>1334</v>
      </c>
      <c r="U398" s="53"/>
      <c r="V398" s="25">
        <f>IFERROR(VLOOKUP(BCP_Soles[[#This Row],[destinatario]],CHOOSE({1,2},Clientes_Proveedores[Razon Social],Clientes_Proveedores[Ruc / Dni]),2,0),"")</f>
        <v>20558226979</v>
      </c>
      <c r="W398" s="25" t="s">
        <v>1345</v>
      </c>
      <c r="X398" s="25" t="s">
        <v>1748</v>
      </c>
      <c r="Y398" s="25"/>
      <c r="Z398" s="75"/>
      <c r="AA398" s="3" t="str">
        <f>IF(BCP_Soles[[#This Row],[fecha]]&gt;0,TEXT(BCP_Soles[[#This Row],[fecha]],"mmmm"),0)</f>
        <v>Enero</v>
      </c>
    </row>
    <row r="399" spans="1:27" ht="24" x14ac:dyDescent="0.3">
      <c r="A399" s="2">
        <f>IF(BCP_Soles[[#This Row],[tipo_registro]]="R",COUNTIFS($C$1:$C398,"R")+1,A398)</f>
        <v>245</v>
      </c>
      <c r="B399" s="19" t="str">
        <f t="shared" si="36"/>
        <v>B-BCP - Soles</v>
      </c>
      <c r="C399" s="3" t="s">
        <v>1330</v>
      </c>
      <c r="D399" s="14">
        <v>45688</v>
      </c>
      <c r="E399" s="5" t="s">
        <v>1669</v>
      </c>
      <c r="F399" s="5" t="s">
        <v>1303</v>
      </c>
      <c r="G399" s="6" t="s">
        <v>425</v>
      </c>
      <c r="H399" s="6" t="s">
        <v>119</v>
      </c>
      <c r="I399" s="6">
        <v>1</v>
      </c>
      <c r="J399" s="6">
        <v>4126</v>
      </c>
      <c r="K399" s="7" t="s">
        <v>1356</v>
      </c>
      <c r="L399" s="8">
        <v>3666463</v>
      </c>
      <c r="M399" s="8" t="str">
        <f t="shared" si="37"/>
        <v>PEN</v>
      </c>
      <c r="N399" s="13"/>
      <c r="O399" s="13">
        <v>2000</v>
      </c>
      <c r="P399" s="3">
        <f t="shared" si="38"/>
        <v>2000</v>
      </c>
      <c r="Q399" s="3">
        <f t="shared" si="39"/>
        <v>0</v>
      </c>
      <c r="R399" s="3">
        <f t="shared" si="35"/>
        <v>50506.429999999993</v>
      </c>
      <c r="S399" s="24" t="s">
        <v>1334</v>
      </c>
      <c r="T399" s="24" t="s">
        <v>1334</v>
      </c>
      <c r="U399" s="53"/>
      <c r="V399" s="25">
        <f>IFERROR(VLOOKUP(BCP_Soles[[#This Row],[destinatario]],CHOOSE({1,2},Clientes_Proveedores[Razon Social],Clientes_Proveedores[Ruc / Dni]),2,0),"")</f>
        <v>20558226979</v>
      </c>
      <c r="W399" s="25" t="s">
        <v>1345</v>
      </c>
      <c r="X399" s="25" t="s">
        <v>1749</v>
      </c>
      <c r="Y399" s="25"/>
      <c r="Z399" s="75"/>
      <c r="AA399" s="3" t="str">
        <f>IF(BCP_Soles[[#This Row],[fecha]]&gt;0,TEXT(BCP_Soles[[#This Row],[fecha]],"mmmm"),0)</f>
        <v>Enero</v>
      </c>
    </row>
    <row r="400" spans="1:27" ht="24" x14ac:dyDescent="0.3">
      <c r="A400" s="2">
        <f>IF(BCP_Soles[[#This Row],[tipo_registro]]="R",COUNTIFS($C$1:$C399,"R")+1,A399)</f>
        <v>246</v>
      </c>
      <c r="B400" s="19" t="str">
        <f t="shared" si="36"/>
        <v>B-BCP - Soles</v>
      </c>
      <c r="C400" s="3" t="s">
        <v>1330</v>
      </c>
      <c r="D400" s="14">
        <v>45688</v>
      </c>
      <c r="E400" s="5" t="s">
        <v>1696</v>
      </c>
      <c r="F400" s="5" t="s">
        <v>1303</v>
      </c>
      <c r="G400" s="6" t="s">
        <v>425</v>
      </c>
      <c r="H400" s="6" t="s">
        <v>119</v>
      </c>
      <c r="I400" s="6">
        <v>1</v>
      </c>
      <c r="J400" s="6">
        <v>4120</v>
      </c>
      <c r="K400" s="7" t="s">
        <v>1356</v>
      </c>
      <c r="L400" s="8">
        <v>2037778</v>
      </c>
      <c r="M400" s="8" t="str">
        <f t="shared" si="37"/>
        <v>PEN</v>
      </c>
      <c r="N400" s="13"/>
      <c r="O400" s="13">
        <v>1500</v>
      </c>
      <c r="P400" s="3">
        <f t="shared" si="38"/>
        <v>1500</v>
      </c>
      <c r="Q400" s="3">
        <f t="shared" si="39"/>
        <v>0</v>
      </c>
      <c r="R400" s="3">
        <f t="shared" si="35"/>
        <v>52006.429999999993</v>
      </c>
      <c r="S400" s="24" t="s">
        <v>1334</v>
      </c>
      <c r="T400" s="24" t="s">
        <v>1334</v>
      </c>
      <c r="U400" s="53"/>
      <c r="V400" s="25">
        <f>IFERROR(VLOOKUP(BCP_Soles[[#This Row],[destinatario]],CHOOSE({1,2},Clientes_Proveedores[Razon Social],Clientes_Proveedores[Ruc / Dni]),2,0),"")</f>
        <v>20558226979</v>
      </c>
      <c r="W400" s="25" t="s">
        <v>1345</v>
      </c>
      <c r="X400" s="25" t="s">
        <v>1750</v>
      </c>
      <c r="Y400" s="25"/>
      <c r="Z400" s="75"/>
      <c r="AA400" s="3" t="str">
        <f>IF(BCP_Soles[[#This Row],[fecha]]&gt;0,TEXT(BCP_Soles[[#This Row],[fecha]],"mmmm"),0)</f>
        <v>Enero</v>
      </c>
    </row>
    <row r="401" spans="1:27" ht="24" x14ac:dyDescent="0.3">
      <c r="A401" s="2">
        <f>IF(BCP_Soles[[#This Row],[tipo_registro]]="R",COUNTIFS($C$1:$C400,"R")+1,A400)</f>
        <v>247</v>
      </c>
      <c r="B401" s="19" t="str">
        <f t="shared" si="36"/>
        <v>B-BCP - Soles</v>
      </c>
      <c r="C401" s="3" t="s">
        <v>1330</v>
      </c>
      <c r="D401" s="14">
        <v>45688</v>
      </c>
      <c r="E401" s="5" t="s">
        <v>1751</v>
      </c>
      <c r="F401" s="5" t="s">
        <v>1303</v>
      </c>
      <c r="G401" s="6" t="s">
        <v>425</v>
      </c>
      <c r="H401" s="6" t="s">
        <v>119</v>
      </c>
      <c r="I401" s="6">
        <v>1</v>
      </c>
      <c r="J401" s="6">
        <v>4127</v>
      </c>
      <c r="K401" s="7" t="s">
        <v>1356</v>
      </c>
      <c r="L401" s="8">
        <v>2026756</v>
      </c>
      <c r="M401" s="8" t="str">
        <f t="shared" si="37"/>
        <v>PEN</v>
      </c>
      <c r="N401" s="13"/>
      <c r="O401" s="13">
        <v>1224.3</v>
      </c>
      <c r="P401" s="3">
        <f t="shared" si="38"/>
        <v>1224.3</v>
      </c>
      <c r="Q401" s="3">
        <f t="shared" si="39"/>
        <v>0</v>
      </c>
      <c r="R401" s="3">
        <f t="shared" si="35"/>
        <v>53230.729999999996</v>
      </c>
      <c r="S401" s="24" t="s">
        <v>1334</v>
      </c>
      <c r="T401" s="24" t="s">
        <v>1334</v>
      </c>
      <c r="U401" s="53"/>
      <c r="V401" s="25">
        <f>IFERROR(VLOOKUP(BCP_Soles[[#This Row],[destinatario]],CHOOSE({1,2},Clientes_Proveedores[Razon Social],Clientes_Proveedores[Ruc / Dni]),2,0),"")</f>
        <v>20558226979</v>
      </c>
      <c r="W401" s="25" t="s">
        <v>1345</v>
      </c>
      <c r="X401" s="25" t="s">
        <v>1752</v>
      </c>
      <c r="Y401" s="25"/>
      <c r="Z401" s="75"/>
      <c r="AA401" s="3" t="str">
        <f>IF(BCP_Soles[[#This Row],[fecha]]&gt;0,TEXT(BCP_Soles[[#This Row],[fecha]],"mmmm"),0)</f>
        <v>Enero</v>
      </c>
    </row>
    <row r="402" spans="1:27" x14ac:dyDescent="0.3">
      <c r="A402" s="2">
        <f>IF(BCP_Soles[[#This Row],[tipo_registro]]="R",COUNTIFS($C$1:$C401,"R")+1,A401)</f>
        <v>248</v>
      </c>
      <c r="B402" s="19" t="str">
        <f t="shared" si="36"/>
        <v>B-BCP - Soles</v>
      </c>
      <c r="C402" s="3" t="s">
        <v>1330</v>
      </c>
      <c r="D402" s="14">
        <v>45688</v>
      </c>
      <c r="E402" s="5" t="s">
        <v>1498</v>
      </c>
      <c r="F402" s="5" t="s">
        <v>1303</v>
      </c>
      <c r="G402" s="6" t="s">
        <v>425</v>
      </c>
      <c r="H402" s="6" t="s">
        <v>119</v>
      </c>
      <c r="I402" s="6">
        <v>1</v>
      </c>
      <c r="J402" s="6">
        <v>4121</v>
      </c>
      <c r="K402" s="7" t="s">
        <v>1356</v>
      </c>
      <c r="L402" s="8">
        <v>236678</v>
      </c>
      <c r="M402" s="8" t="str">
        <f t="shared" si="37"/>
        <v>PEN</v>
      </c>
      <c r="N402" s="13"/>
      <c r="O402" s="13">
        <v>31.5</v>
      </c>
      <c r="P402" s="3">
        <f t="shared" si="38"/>
        <v>31.5</v>
      </c>
      <c r="Q402" s="3">
        <f t="shared" si="39"/>
        <v>0</v>
      </c>
      <c r="R402" s="3">
        <f t="shared" si="35"/>
        <v>53262.229999999996</v>
      </c>
      <c r="S402" s="24" t="s">
        <v>1334</v>
      </c>
      <c r="T402" s="24" t="s">
        <v>1334</v>
      </c>
      <c r="U402" s="53"/>
      <c r="V402" s="25">
        <f>IFERROR(VLOOKUP(BCP_Soles[[#This Row],[destinatario]],CHOOSE({1,2},Clientes_Proveedores[Razon Social],Clientes_Proveedores[Ruc / Dni]),2,0),"")</f>
        <v>20558226979</v>
      </c>
      <c r="W402" s="25" t="s">
        <v>1345</v>
      </c>
      <c r="X402" s="25" t="s">
        <v>1753</v>
      </c>
      <c r="Y402" s="25"/>
      <c r="Z402" s="75"/>
      <c r="AA402" s="3" t="str">
        <f>IF(BCP_Soles[[#This Row],[fecha]]&gt;0,TEXT(BCP_Soles[[#This Row],[fecha]],"mmmm"),0)</f>
        <v>Enero</v>
      </c>
    </row>
    <row r="403" spans="1:27" x14ac:dyDescent="0.3">
      <c r="A403" s="2">
        <f>IF(BCP_Soles[[#This Row],[tipo_registro]]="R",COUNTIFS($C$1:$C402,"R")+1,A402)</f>
        <v>249</v>
      </c>
      <c r="B403" s="19" t="str">
        <f t="shared" si="36"/>
        <v>B-BCP - Soles</v>
      </c>
      <c r="C403" s="3" t="s">
        <v>1330</v>
      </c>
      <c r="D403" s="14">
        <v>45688</v>
      </c>
      <c r="E403" s="5" t="s">
        <v>1511</v>
      </c>
      <c r="F403" s="5" t="s">
        <v>1336</v>
      </c>
      <c r="G403" s="6"/>
      <c r="H403" s="6"/>
      <c r="I403" s="6"/>
      <c r="J403" s="6"/>
      <c r="K403" s="7" t="s">
        <v>1754</v>
      </c>
      <c r="L403" s="8">
        <v>1007139</v>
      </c>
      <c r="M403" s="8" t="str">
        <f t="shared" si="37"/>
        <v>PEN</v>
      </c>
      <c r="N403" s="13"/>
      <c r="O403" s="13">
        <v>866</v>
      </c>
      <c r="P403" s="3">
        <f t="shared" si="38"/>
        <v>0</v>
      </c>
      <c r="Q403" s="3">
        <f t="shared" si="39"/>
        <v>866</v>
      </c>
      <c r="R403" s="3">
        <f t="shared" si="35"/>
        <v>52396.229999999996</v>
      </c>
      <c r="S403" s="24"/>
      <c r="T403" s="24"/>
      <c r="U403" s="53"/>
      <c r="V403" s="25" t="str">
        <f>IFERROR(VLOOKUP(BCP_Soles[[#This Row],[destinatario]],CHOOSE({1,2},Clientes_Proveedores[Razon Social],Clientes_Proveedores[Ruc / Dni]),2,0),"")</f>
        <v/>
      </c>
      <c r="W403" s="25" t="s">
        <v>1389</v>
      </c>
      <c r="X403" s="25"/>
      <c r="Y403" s="25"/>
      <c r="Z403" s="75"/>
      <c r="AA403" s="3" t="str">
        <f>IF(BCP_Soles[[#This Row],[fecha]]&gt;0,TEXT(BCP_Soles[[#This Row],[fecha]],"mmmm"),0)</f>
        <v>Enero</v>
      </c>
    </row>
    <row r="404" spans="1:27" x14ac:dyDescent="0.3">
      <c r="A404" s="2">
        <f>IF(BCP_Soles[[#This Row],[tipo_registro]]="R",COUNTIFS($C$1:$C403,"R")+1,A403)</f>
        <v>250</v>
      </c>
      <c r="B404" s="19" t="str">
        <f t="shared" si="36"/>
        <v>B-BCP - Soles</v>
      </c>
      <c r="C404" s="3" t="s">
        <v>1330</v>
      </c>
      <c r="D404" s="14">
        <v>45688</v>
      </c>
      <c r="E404" s="5" t="s">
        <v>1511</v>
      </c>
      <c r="F404" s="5" t="s">
        <v>1336</v>
      </c>
      <c r="G404" s="6"/>
      <c r="H404" s="6"/>
      <c r="I404" s="6"/>
      <c r="J404" s="6"/>
      <c r="K404" s="7" t="s">
        <v>1755</v>
      </c>
      <c r="L404" s="8">
        <v>1007156</v>
      </c>
      <c r="M404" s="8" t="str">
        <f t="shared" si="37"/>
        <v>PEN</v>
      </c>
      <c r="N404" s="13"/>
      <c r="O404" s="13">
        <v>1708</v>
      </c>
      <c r="P404" s="3">
        <f t="shared" si="38"/>
        <v>0</v>
      </c>
      <c r="Q404" s="3">
        <f t="shared" si="39"/>
        <v>1708</v>
      </c>
      <c r="R404" s="3">
        <f t="shared" si="35"/>
        <v>50688.229999999996</v>
      </c>
      <c r="S404" s="24"/>
      <c r="T404" s="24"/>
      <c r="U404" s="53"/>
      <c r="V404" s="25" t="str">
        <f>IFERROR(VLOOKUP(BCP_Soles[[#This Row],[destinatario]],CHOOSE({1,2},Clientes_Proveedores[Razon Social],Clientes_Proveedores[Ruc / Dni]),2,0),"")</f>
        <v/>
      </c>
      <c r="W404" s="25" t="s">
        <v>1389</v>
      </c>
      <c r="X404" s="25"/>
      <c r="Y404" s="25"/>
      <c r="Z404" s="75"/>
      <c r="AA404" s="3" t="str">
        <f>IF(BCP_Soles[[#This Row],[fecha]]&gt;0,TEXT(BCP_Soles[[#This Row],[fecha]],"mmmm"),0)</f>
        <v>Enero</v>
      </c>
    </row>
    <row r="405" spans="1:27" ht="24" x14ac:dyDescent="0.3">
      <c r="A405" s="2">
        <f>IF(BCP_Soles[[#This Row],[tipo_registro]]="R",COUNTIFS($C$1:$C404,"R")+1,A404)</f>
        <v>251</v>
      </c>
      <c r="B405" s="19" t="str">
        <f t="shared" si="36"/>
        <v>B-BCP - Soles</v>
      </c>
      <c r="C405" s="3" t="s">
        <v>1330</v>
      </c>
      <c r="D405" s="14">
        <v>45688</v>
      </c>
      <c r="E405" s="5" t="s">
        <v>1669</v>
      </c>
      <c r="F405" s="5" t="s">
        <v>1303</v>
      </c>
      <c r="G405" s="6" t="s">
        <v>425</v>
      </c>
      <c r="H405" s="6" t="s">
        <v>119</v>
      </c>
      <c r="I405" s="6">
        <v>1</v>
      </c>
      <c r="J405" s="6">
        <v>4126</v>
      </c>
      <c r="K405" s="7" t="s">
        <v>1356</v>
      </c>
      <c r="L405" s="8">
        <v>3865914</v>
      </c>
      <c r="M405" s="8" t="str">
        <f t="shared" si="37"/>
        <v>PEN</v>
      </c>
      <c r="N405" s="13"/>
      <c r="O405" s="13">
        <v>740</v>
      </c>
      <c r="P405" s="3">
        <f t="shared" si="38"/>
        <v>740</v>
      </c>
      <c r="Q405" s="3">
        <f t="shared" si="39"/>
        <v>0</v>
      </c>
      <c r="R405" s="3">
        <f t="shared" si="35"/>
        <v>51428.229999999996</v>
      </c>
      <c r="S405" s="24" t="s">
        <v>1334</v>
      </c>
      <c r="T405" s="24" t="s">
        <v>1334</v>
      </c>
      <c r="U405" s="53"/>
      <c r="V405" s="25">
        <f>IFERROR(VLOOKUP(BCP_Soles[[#This Row],[destinatario]],CHOOSE({1,2},Clientes_Proveedores[Razon Social],Clientes_Proveedores[Ruc / Dni]),2,0),"")</f>
        <v>20558226979</v>
      </c>
      <c r="W405" s="25" t="s">
        <v>1345</v>
      </c>
      <c r="X405" s="25" t="s">
        <v>1749</v>
      </c>
      <c r="Y405" s="25"/>
      <c r="Z405" s="75"/>
      <c r="AA405" s="3" t="str">
        <f>IF(BCP_Soles[[#This Row],[fecha]]&gt;0,TEXT(BCP_Soles[[#This Row],[fecha]],"mmmm"),0)</f>
        <v>Enero</v>
      </c>
    </row>
    <row r="406" spans="1:27" x14ac:dyDescent="0.3">
      <c r="A406" s="2">
        <f>IF(BCP_Soles[[#This Row],[tipo_registro]]="R",COUNTIFS($C$1:$C405,"R")+1,A405)</f>
        <v>252</v>
      </c>
      <c r="B406" s="19" t="str">
        <f t="shared" si="36"/>
        <v>B-BCP - Soles</v>
      </c>
      <c r="C406" s="3" t="s">
        <v>1330</v>
      </c>
      <c r="D406" s="14">
        <v>45688</v>
      </c>
      <c r="E406" s="5" t="s">
        <v>1335</v>
      </c>
      <c r="F406" s="5" t="s">
        <v>1336</v>
      </c>
      <c r="G406" s="6"/>
      <c r="H406" s="6"/>
      <c r="I406" s="6"/>
      <c r="J406" s="6"/>
      <c r="K406" s="7" t="s">
        <v>1337</v>
      </c>
      <c r="L406" s="8"/>
      <c r="M406" s="8" t="str">
        <f t="shared" si="37"/>
        <v>PEN</v>
      </c>
      <c r="N406" s="13"/>
      <c r="O406" s="13">
        <v>4.55</v>
      </c>
      <c r="P406" s="3">
        <f t="shared" si="38"/>
        <v>0</v>
      </c>
      <c r="Q406" s="3">
        <f t="shared" si="39"/>
        <v>4.55</v>
      </c>
      <c r="R406" s="3">
        <f t="shared" si="35"/>
        <v>51423.679999999993</v>
      </c>
      <c r="S406" s="24"/>
      <c r="T406" s="24" t="s">
        <v>1334</v>
      </c>
      <c r="U406" s="53"/>
      <c r="V406" s="25" t="str">
        <f>IFERROR(VLOOKUP(BCP_Soles[[#This Row],[destinatario]],CHOOSE({1,2},Clientes_Proveedores[Razon Social],Clientes_Proveedores[Ruc / Dni]),2,0),"")</f>
        <v/>
      </c>
      <c r="W406" s="25"/>
      <c r="X406" s="25"/>
      <c r="Y406" s="25"/>
      <c r="Z406" s="75"/>
      <c r="AA406" s="3" t="str">
        <f>IF(BCP_Soles[[#This Row],[fecha]]&gt;0,TEXT(BCP_Soles[[#This Row],[fecha]],"mmmm"),0)</f>
        <v>Enero</v>
      </c>
    </row>
    <row r="407" spans="1:27" ht="24" x14ac:dyDescent="0.3">
      <c r="A407" s="2">
        <f>IF(BCP_Soles[[#This Row],[tipo_registro]]="R",COUNTIFS($C$1:$C406,"R")+1,A406)</f>
        <v>253</v>
      </c>
      <c r="B407" s="19" t="str">
        <f t="shared" si="36"/>
        <v>B-BCP - Soles</v>
      </c>
      <c r="C407" s="3" t="s">
        <v>1330</v>
      </c>
      <c r="D407" s="14">
        <v>45688</v>
      </c>
      <c r="E407" s="5" t="s">
        <v>1335</v>
      </c>
      <c r="F407" s="5" t="s">
        <v>1336</v>
      </c>
      <c r="G407" s="6" t="s">
        <v>1060</v>
      </c>
      <c r="H407" s="6"/>
      <c r="I407" s="6"/>
      <c r="J407" s="6"/>
      <c r="K407" s="7" t="s">
        <v>1756</v>
      </c>
      <c r="L407" s="8" t="s">
        <v>1757</v>
      </c>
      <c r="M407" s="8" t="str">
        <f t="shared" si="37"/>
        <v>PEN</v>
      </c>
      <c r="N407" s="13"/>
      <c r="O407" s="13">
        <v>35</v>
      </c>
      <c r="P407" s="3">
        <f t="shared" si="38"/>
        <v>0</v>
      </c>
      <c r="Q407" s="3">
        <f t="shared" si="39"/>
        <v>35</v>
      </c>
      <c r="R407" s="3">
        <f t="shared" si="35"/>
        <v>51388.679999999993</v>
      </c>
      <c r="S407" s="24"/>
      <c r="T407" s="24"/>
      <c r="U407" s="53"/>
      <c r="V407" s="25">
        <f>IFERROR(VLOOKUP(BCP_Soles[[#This Row],[destinatario]],CHOOSE({1,2},Clientes_Proveedores[Razon Social],Clientes_Proveedores[Ruc / Dni]),2,0),"")</f>
        <v>20100047218</v>
      </c>
      <c r="W407" s="25" t="s">
        <v>1335</v>
      </c>
      <c r="X407" s="25"/>
      <c r="Y407" s="25"/>
      <c r="Z407" s="75"/>
      <c r="AA407" s="3" t="str">
        <f>IF(BCP_Soles[[#This Row],[fecha]]&gt;0,TEXT(BCP_Soles[[#This Row],[fecha]],"mmmm"),0)</f>
        <v>Enero</v>
      </c>
    </row>
    <row r="408" spans="1:27" ht="24" x14ac:dyDescent="0.3">
      <c r="A408" s="2">
        <f>IF(BCP_Soles[[#This Row],[tipo_registro]]="R",COUNTIFS($C$1:$C407,"R")+1,A407)</f>
        <v>254</v>
      </c>
      <c r="B408" s="19" t="str">
        <f t="shared" si="36"/>
        <v>B-BCP - Soles</v>
      </c>
      <c r="C408" s="3" t="s">
        <v>1330</v>
      </c>
      <c r="D408" s="14">
        <v>45688</v>
      </c>
      <c r="E408" s="5" t="s">
        <v>1335</v>
      </c>
      <c r="F408" s="5" t="s">
        <v>1336</v>
      </c>
      <c r="G408" s="6" t="s">
        <v>1060</v>
      </c>
      <c r="H408" s="6"/>
      <c r="I408" s="6"/>
      <c r="J408" s="6"/>
      <c r="K408" s="7" t="s">
        <v>1758</v>
      </c>
      <c r="L408" s="8">
        <v>971194</v>
      </c>
      <c r="M408" s="8" t="str">
        <f t="shared" si="37"/>
        <v>PEN</v>
      </c>
      <c r="N408" s="13"/>
      <c r="O408" s="13">
        <v>5.5</v>
      </c>
      <c r="P408" s="3">
        <f t="shared" si="38"/>
        <v>0</v>
      </c>
      <c r="Q408" s="3">
        <f t="shared" si="39"/>
        <v>5.5</v>
      </c>
      <c r="R408" s="3">
        <f t="shared" si="35"/>
        <v>51383.179999999993</v>
      </c>
      <c r="S408" s="24"/>
      <c r="T408" s="24"/>
      <c r="U408" s="53"/>
      <c r="V408" s="25">
        <f>IFERROR(VLOOKUP(BCP_Soles[[#This Row],[destinatario]],CHOOSE({1,2},Clientes_Proveedores[Razon Social],Clientes_Proveedores[Ruc / Dni]),2,0),"")</f>
        <v>20100047218</v>
      </c>
      <c r="W408" s="25" t="s">
        <v>1335</v>
      </c>
      <c r="X408" s="25"/>
      <c r="Y408" s="25"/>
      <c r="Z408" s="75"/>
      <c r="AA408" s="3" t="str">
        <f>IF(BCP_Soles[[#This Row],[fecha]]&gt;0,TEXT(BCP_Soles[[#This Row],[fecha]],"mmmm"),0)</f>
        <v>Enero</v>
      </c>
    </row>
    <row r="409" spans="1:27" x14ac:dyDescent="0.3">
      <c r="A409" s="2">
        <f>IF(BCP_Soles[[#This Row],[tipo_registro]]="R",COUNTIFS($C$1:$C408,"R")+1,A408)</f>
        <v>255</v>
      </c>
      <c r="B409" s="19" t="str">
        <f t="shared" si="36"/>
        <v>B-BCP - Soles</v>
      </c>
      <c r="C409" s="3" t="s">
        <v>1330</v>
      </c>
      <c r="D409" s="14">
        <v>45688</v>
      </c>
      <c r="E409" s="5" t="s">
        <v>1416</v>
      </c>
      <c r="F409" s="5" t="s">
        <v>1336</v>
      </c>
      <c r="G409" s="6"/>
      <c r="H409" s="6"/>
      <c r="I409" s="6"/>
      <c r="J409" s="6"/>
      <c r="K409" s="7" t="s">
        <v>1759</v>
      </c>
      <c r="L409" s="8">
        <v>7924211</v>
      </c>
      <c r="M409" s="8" t="str">
        <f t="shared" si="37"/>
        <v>PEN</v>
      </c>
      <c r="N409" s="13"/>
      <c r="O409" s="13">
        <v>64105.14</v>
      </c>
      <c r="P409" s="3">
        <f t="shared" si="38"/>
        <v>0</v>
      </c>
      <c r="Q409" s="3">
        <f t="shared" si="39"/>
        <v>64105.14</v>
      </c>
      <c r="R409" s="3">
        <f t="shared" si="35"/>
        <v>-12721.960000000006</v>
      </c>
      <c r="S409" s="24"/>
      <c r="T409" s="24"/>
      <c r="U409" s="53"/>
      <c r="V409" s="25" t="str">
        <f>IFERROR(VLOOKUP(BCP_Soles[[#This Row],[destinatario]],CHOOSE({1,2},Clientes_Proveedores[Razon Social],Clientes_Proveedores[Ruc / Dni]),2,0),"")</f>
        <v/>
      </c>
      <c r="W409" s="25" t="s">
        <v>1373</v>
      </c>
      <c r="X409" s="25"/>
      <c r="Y409" s="25"/>
      <c r="Z409" s="75"/>
      <c r="AA409" s="3" t="str">
        <f>IF(BCP_Soles[[#This Row],[fecha]]&gt;0,TEXT(BCP_Soles[[#This Row],[fecha]],"mmmm"),0)</f>
        <v>Enero</v>
      </c>
    </row>
    <row r="410" spans="1:27" x14ac:dyDescent="0.3">
      <c r="A410" s="2">
        <f>IF(BCP_Soles[[#This Row],[tipo_registro]]="R",COUNTIFS($C$1:$C409,"R")+1,A409)</f>
        <v>256</v>
      </c>
      <c r="B410" s="19" t="str">
        <f t="shared" si="36"/>
        <v>B-BCP - Soles</v>
      </c>
      <c r="C410" s="3" t="s">
        <v>1330</v>
      </c>
      <c r="D410" s="14">
        <v>45688</v>
      </c>
      <c r="E410" s="5" t="s">
        <v>1338</v>
      </c>
      <c r="F410" s="5" t="s">
        <v>1336</v>
      </c>
      <c r="G410" s="6" t="s">
        <v>696</v>
      </c>
      <c r="H410" s="6"/>
      <c r="I410" s="6"/>
      <c r="J410" s="6"/>
      <c r="K410" s="7" t="s">
        <v>1760</v>
      </c>
      <c r="L410" s="8">
        <v>7924102</v>
      </c>
      <c r="M410" s="8" t="str">
        <f t="shared" si="37"/>
        <v>PEN</v>
      </c>
      <c r="N410" s="13"/>
      <c r="O410" s="13">
        <v>4134.04</v>
      </c>
      <c r="P410" s="3">
        <f t="shared" si="38"/>
        <v>0</v>
      </c>
      <c r="Q410" s="3">
        <f t="shared" si="39"/>
        <v>4134.04</v>
      </c>
      <c r="R410" s="3">
        <f t="shared" si="35"/>
        <v>-16856.000000000007</v>
      </c>
      <c r="S410" s="24" t="s">
        <v>1334</v>
      </c>
      <c r="T410" s="24" t="s">
        <v>1334</v>
      </c>
      <c r="U410" s="53"/>
      <c r="V410" s="25">
        <f>IFERROR(VLOOKUP(BCP_Soles[[#This Row],[destinatario]],CHOOSE({1,2},Clientes_Proveedores[Razon Social],Clientes_Proveedores[Ruc / Dni]),2,0),"")</f>
        <v>0</v>
      </c>
      <c r="W410" s="25" t="s">
        <v>1373</v>
      </c>
      <c r="X410" s="25"/>
      <c r="Y410" s="25"/>
      <c r="Z410" s="75"/>
      <c r="AA410" s="3" t="str">
        <f>IF(BCP_Soles[[#This Row],[fecha]]&gt;0,TEXT(BCP_Soles[[#This Row],[fecha]],"mmmm"),0)</f>
        <v>Enero</v>
      </c>
    </row>
    <row r="411" spans="1:27" x14ac:dyDescent="0.3">
      <c r="A411" s="2">
        <f>IF(BCP_Soles[[#This Row],[tipo_registro]]="R",COUNTIFS($C$1:$C410,"R")+1,A410)</f>
        <v>256</v>
      </c>
      <c r="B411" s="19" t="str">
        <f t="shared" ref="B411:B417" si="40">"B-BCP - Soles"</f>
        <v>B-BCP - Soles</v>
      </c>
      <c r="C411" s="3" t="s">
        <v>1352</v>
      </c>
      <c r="D411" s="14">
        <v>45688</v>
      </c>
      <c r="E411" s="5" t="s">
        <v>1338</v>
      </c>
      <c r="F411" s="5" t="s">
        <v>1336</v>
      </c>
      <c r="G411" s="6" t="s">
        <v>302</v>
      </c>
      <c r="H411" s="6" t="s">
        <v>68</v>
      </c>
      <c r="I411" s="6" t="s">
        <v>1374</v>
      </c>
      <c r="J411" s="6">
        <v>18482</v>
      </c>
      <c r="K411" s="7" t="s">
        <v>1760</v>
      </c>
      <c r="L411" s="8">
        <v>7924102</v>
      </c>
      <c r="M411" s="8" t="str">
        <f t="shared" ref="M411:M417" si="41">"PEN"</f>
        <v>PEN</v>
      </c>
      <c r="N411" s="13">
        <v>859.04</v>
      </c>
      <c r="O411" s="13"/>
      <c r="P411" s="3">
        <f t="shared" ref="P411:P417" si="42">+IF(OR($F411="SALDO",$F411="INGRESO"),$O411,0)</f>
        <v>0</v>
      </c>
      <c r="Q411" s="3">
        <f t="shared" ref="Q411:Q417" si="43">+IF($F411="EGRESO",$O411,0)</f>
        <v>0</v>
      </c>
      <c r="R411" s="3">
        <f t="shared" ref="R411:R418" si="44">IFERROR(IF(F411="SALDO",P411,R410+P411-Q411),0)</f>
        <v>-16856.000000000007</v>
      </c>
      <c r="S411" s="24" t="s">
        <v>1334</v>
      </c>
      <c r="T411" s="24" t="s">
        <v>1334</v>
      </c>
      <c r="U411" s="53"/>
      <c r="V411" s="25">
        <f>IFERROR(VLOOKUP(BCP_Soles[[#This Row],[destinatario]],CHOOSE({1,2},Clientes_Proveedores[Razon Social],Clientes_Proveedores[Ruc / Dni]),2,0),"")</f>
        <v>20455731926</v>
      </c>
      <c r="W411" s="25"/>
      <c r="X411" s="25"/>
      <c r="Y411" s="25"/>
      <c r="Z411" s="75"/>
      <c r="AA411" s="3" t="str">
        <f>IF(BCP_Soles[[#This Row],[fecha]]&gt;0,TEXT(BCP_Soles[[#This Row],[fecha]],"mmmm"),0)</f>
        <v>Enero</v>
      </c>
    </row>
    <row r="412" spans="1:27" x14ac:dyDescent="0.3">
      <c r="A412" s="2">
        <f>IF(BCP_Soles[[#This Row],[tipo_registro]]="R",COUNTIFS($C$1:$C411,"R")+1,A411)</f>
        <v>256</v>
      </c>
      <c r="B412" s="19" t="str">
        <f t="shared" si="40"/>
        <v>B-BCP - Soles</v>
      </c>
      <c r="C412" s="3" t="s">
        <v>1352</v>
      </c>
      <c r="D412" s="14">
        <v>45688</v>
      </c>
      <c r="E412" s="5" t="s">
        <v>1338</v>
      </c>
      <c r="F412" s="5" t="s">
        <v>1336</v>
      </c>
      <c r="G412" s="6" t="s">
        <v>414</v>
      </c>
      <c r="H412" s="6" t="s">
        <v>68</v>
      </c>
      <c r="I412" s="6" t="s">
        <v>1374</v>
      </c>
      <c r="J412" s="6">
        <v>13434</v>
      </c>
      <c r="K412" s="7" t="s">
        <v>1760</v>
      </c>
      <c r="L412" s="8">
        <v>7924102</v>
      </c>
      <c r="M412" s="8" t="str">
        <f t="shared" si="41"/>
        <v>PEN</v>
      </c>
      <c r="N412" s="13">
        <v>413</v>
      </c>
      <c r="O412" s="13"/>
      <c r="P412" s="3">
        <f t="shared" si="42"/>
        <v>0</v>
      </c>
      <c r="Q412" s="3">
        <f t="shared" si="43"/>
        <v>0</v>
      </c>
      <c r="R412" s="3">
        <f t="shared" si="44"/>
        <v>-16856.000000000007</v>
      </c>
      <c r="S412" s="24" t="s">
        <v>1334</v>
      </c>
      <c r="T412" s="24" t="s">
        <v>1334</v>
      </c>
      <c r="U412" s="53"/>
      <c r="V412" s="25">
        <f>IFERROR(VLOOKUP(BCP_Soles[[#This Row],[destinatario]],CHOOSE({1,2},Clientes_Proveedores[Razon Social],Clientes_Proveedores[Ruc / Dni]),2,0),"")</f>
        <v>20553255709</v>
      </c>
      <c r="W412" s="25"/>
      <c r="X412" s="25"/>
      <c r="Y412" s="25"/>
      <c r="Z412" s="75"/>
      <c r="AA412" s="3" t="str">
        <f>IF(BCP_Soles[[#This Row],[fecha]]&gt;0,TEXT(BCP_Soles[[#This Row],[fecha]],"mmmm"),0)</f>
        <v>Enero</v>
      </c>
    </row>
    <row r="413" spans="1:27" ht="24" x14ac:dyDescent="0.3">
      <c r="A413" s="2">
        <f>IF(BCP_Soles[[#This Row],[tipo_registro]]="R",COUNTIFS($C$1:$C412,"R")+1,A412)</f>
        <v>256</v>
      </c>
      <c r="B413" s="19" t="str">
        <f t="shared" si="40"/>
        <v>B-BCP - Soles</v>
      </c>
      <c r="C413" s="3" t="s">
        <v>1352</v>
      </c>
      <c r="D413" s="14">
        <v>45688</v>
      </c>
      <c r="E413" s="5" t="s">
        <v>1338</v>
      </c>
      <c r="F413" s="5" t="s">
        <v>1336</v>
      </c>
      <c r="G413" s="6" t="s">
        <v>176</v>
      </c>
      <c r="H413" s="6" t="s">
        <v>68</v>
      </c>
      <c r="I413" s="6" t="s">
        <v>1376</v>
      </c>
      <c r="J413" s="6">
        <v>366</v>
      </c>
      <c r="K413" s="7" t="s">
        <v>1760</v>
      </c>
      <c r="L413" s="8">
        <v>7924102</v>
      </c>
      <c r="M413" s="8" t="str">
        <f t="shared" si="41"/>
        <v>PEN</v>
      </c>
      <c r="N413" s="13">
        <v>680</v>
      </c>
      <c r="O413" s="13"/>
      <c r="P413" s="3">
        <f t="shared" si="42"/>
        <v>0</v>
      </c>
      <c r="Q413" s="3">
        <f t="shared" si="43"/>
        <v>0</v>
      </c>
      <c r="R413" s="3">
        <f t="shared" si="44"/>
        <v>-16856.000000000007</v>
      </c>
      <c r="S413" s="24" t="s">
        <v>1334</v>
      </c>
      <c r="T413" s="24" t="s">
        <v>1334</v>
      </c>
      <c r="U413" s="53"/>
      <c r="V413" s="25">
        <f>IFERROR(VLOOKUP(BCP_Soles[[#This Row],[destinatario]],CHOOSE({1,2},Clientes_Proveedores[Razon Social],Clientes_Proveedores[Ruc / Dni]),2,0),"")</f>
        <v>10470065147</v>
      </c>
      <c r="W413" s="25"/>
      <c r="X413" s="25"/>
      <c r="Y413" s="25"/>
      <c r="Z413" s="75"/>
      <c r="AA413" s="3" t="str">
        <f>IF(BCP_Soles[[#This Row],[fecha]]&gt;0,TEXT(BCP_Soles[[#This Row],[fecha]],"mmmm"),0)</f>
        <v>Enero</v>
      </c>
    </row>
    <row r="414" spans="1:27" ht="36" x14ac:dyDescent="0.3">
      <c r="A414" s="2">
        <f>IF(BCP_Soles[[#This Row],[tipo_registro]]="R",COUNTIFS($C$1:$C413,"R")+1,A413)</f>
        <v>256</v>
      </c>
      <c r="B414" s="19" t="str">
        <f t="shared" si="40"/>
        <v>B-BCP - Soles</v>
      </c>
      <c r="C414" s="3" t="s">
        <v>1352</v>
      </c>
      <c r="D414" s="14">
        <v>45688</v>
      </c>
      <c r="E414" s="5" t="s">
        <v>1338</v>
      </c>
      <c r="F414" s="5" t="s">
        <v>1336</v>
      </c>
      <c r="G414" s="6" t="s">
        <v>277</v>
      </c>
      <c r="H414" s="6" t="s">
        <v>68</v>
      </c>
      <c r="I414" s="6" t="s">
        <v>1390</v>
      </c>
      <c r="J414" s="6">
        <v>1592</v>
      </c>
      <c r="K414" s="7" t="s">
        <v>1760</v>
      </c>
      <c r="L414" s="8">
        <v>7924102</v>
      </c>
      <c r="M414" s="8" t="str">
        <f t="shared" si="41"/>
        <v>PEN</v>
      </c>
      <c r="N414" s="13">
        <v>1632</v>
      </c>
      <c r="O414" s="13"/>
      <c r="P414" s="3">
        <f t="shared" si="42"/>
        <v>0</v>
      </c>
      <c r="Q414" s="3">
        <f t="shared" si="43"/>
        <v>0</v>
      </c>
      <c r="R414" s="3">
        <f t="shared" si="44"/>
        <v>-16856.000000000007</v>
      </c>
      <c r="S414" s="24" t="s">
        <v>1334</v>
      </c>
      <c r="T414" s="24" t="s">
        <v>1334</v>
      </c>
      <c r="U414" s="53"/>
      <c r="V414" s="25">
        <f>IFERROR(VLOOKUP(BCP_Soles[[#This Row],[destinatario]],CHOOSE({1,2},Clientes_Proveedores[Razon Social],Clientes_Proveedores[Ruc / Dni]),2,0),"")</f>
        <v>20429640939</v>
      </c>
      <c r="W414" s="25"/>
      <c r="X414" s="25"/>
      <c r="Y414" s="25"/>
      <c r="Z414" s="75"/>
      <c r="AA414" s="3" t="str">
        <f>IF(BCP_Soles[[#This Row],[fecha]]&gt;0,TEXT(BCP_Soles[[#This Row],[fecha]],"mmmm"),0)</f>
        <v>Enero</v>
      </c>
    </row>
    <row r="415" spans="1:27" ht="24" x14ac:dyDescent="0.3">
      <c r="A415" s="2">
        <f>IF(BCP_Soles[[#This Row],[tipo_registro]]="R",COUNTIFS($C$1:$C414,"R")+1,A414)</f>
        <v>256</v>
      </c>
      <c r="B415" s="19" t="str">
        <f t="shared" si="40"/>
        <v>B-BCP - Soles</v>
      </c>
      <c r="C415" s="3" t="s">
        <v>1352</v>
      </c>
      <c r="D415" s="14">
        <v>45688</v>
      </c>
      <c r="E415" s="5" t="s">
        <v>1338</v>
      </c>
      <c r="F415" s="5" t="s">
        <v>1336</v>
      </c>
      <c r="G415" s="6" t="s">
        <v>163</v>
      </c>
      <c r="H415" s="6" t="s">
        <v>68</v>
      </c>
      <c r="I415" s="6" t="s">
        <v>1376</v>
      </c>
      <c r="J415" s="6">
        <v>241</v>
      </c>
      <c r="K415" s="7" t="s">
        <v>1760</v>
      </c>
      <c r="L415" s="8">
        <v>7924102</v>
      </c>
      <c r="M415" s="8" t="str">
        <f t="shared" si="41"/>
        <v>PEN</v>
      </c>
      <c r="N415" s="13">
        <v>160</v>
      </c>
      <c r="O415" s="13"/>
      <c r="P415" s="3">
        <f t="shared" si="42"/>
        <v>0</v>
      </c>
      <c r="Q415" s="3">
        <f t="shared" si="43"/>
        <v>0</v>
      </c>
      <c r="R415" s="3">
        <f t="shared" si="44"/>
        <v>-16856.000000000007</v>
      </c>
      <c r="S415" s="24" t="s">
        <v>1334</v>
      </c>
      <c r="T415" s="24" t="s">
        <v>1334</v>
      </c>
      <c r="U415" s="53"/>
      <c r="V415" s="25">
        <f>IFERROR(VLOOKUP(BCP_Soles[[#This Row],[destinatario]],CHOOSE({1,2},Clientes_Proveedores[Razon Social],Clientes_Proveedores[Ruc / Dni]),2,0),"")</f>
        <v>10416031679</v>
      </c>
      <c r="W415" s="25"/>
      <c r="X415" s="25"/>
      <c r="Y415" s="25"/>
      <c r="Z415" s="75"/>
      <c r="AA415" s="3" t="str">
        <f>IF(BCP_Soles[[#This Row],[fecha]]&gt;0,TEXT(BCP_Soles[[#This Row],[fecha]],"mmmm"),0)</f>
        <v>Enero</v>
      </c>
    </row>
    <row r="416" spans="1:27" ht="24" x14ac:dyDescent="0.3">
      <c r="A416" s="2">
        <f>IF(BCP_Soles[[#This Row],[tipo_registro]]="R",COUNTIFS($C$1:$C415,"R")+1,A415)</f>
        <v>256</v>
      </c>
      <c r="B416" s="19" t="str">
        <f t="shared" si="40"/>
        <v>B-BCP - Soles</v>
      </c>
      <c r="C416" s="3" t="s">
        <v>1352</v>
      </c>
      <c r="D416" s="14">
        <v>45688</v>
      </c>
      <c r="E416" s="5" t="s">
        <v>1338</v>
      </c>
      <c r="F416" s="5" t="s">
        <v>1336</v>
      </c>
      <c r="G416" s="6" t="s">
        <v>187</v>
      </c>
      <c r="H416" s="6" t="s">
        <v>68</v>
      </c>
      <c r="I416" s="6" t="s">
        <v>1376</v>
      </c>
      <c r="J416" s="6">
        <v>240</v>
      </c>
      <c r="K416" s="7" t="s">
        <v>1760</v>
      </c>
      <c r="L416" s="8">
        <v>7924102</v>
      </c>
      <c r="M416" s="8" t="str">
        <f t="shared" si="41"/>
        <v>PEN</v>
      </c>
      <c r="N416" s="13">
        <v>100</v>
      </c>
      <c r="O416" s="13"/>
      <c r="P416" s="3">
        <f t="shared" si="42"/>
        <v>0</v>
      </c>
      <c r="Q416" s="3">
        <f t="shared" si="43"/>
        <v>0</v>
      </c>
      <c r="R416" s="3">
        <f t="shared" si="44"/>
        <v>-16856.000000000007</v>
      </c>
      <c r="S416" s="24" t="s">
        <v>1334</v>
      </c>
      <c r="T416" s="24" t="s">
        <v>1334</v>
      </c>
      <c r="U416" s="53"/>
      <c r="V416" s="25">
        <f>IFERROR(VLOOKUP(BCP_Soles[[#This Row],[destinatario]],CHOOSE({1,2},Clientes_Proveedores[Razon Social],Clientes_Proveedores[Ruc / Dni]),2,0),"")</f>
        <v>10706063426</v>
      </c>
      <c r="W416" s="25"/>
      <c r="X416" s="25"/>
      <c r="Y416" s="25"/>
      <c r="Z416" s="75"/>
      <c r="AA416" s="3" t="str">
        <f>IF(BCP_Soles[[#This Row],[fecha]]&gt;0,TEXT(BCP_Soles[[#This Row],[fecha]],"mmmm"),0)</f>
        <v>Enero</v>
      </c>
    </row>
    <row r="417" spans="1:27" ht="36" x14ac:dyDescent="0.3">
      <c r="A417" s="2">
        <f>IF(BCP_Soles[[#This Row],[tipo_registro]]="R",COUNTIFS($C$1:$C416,"R")+1,A416)</f>
        <v>256</v>
      </c>
      <c r="B417" s="19" t="str">
        <f t="shared" si="40"/>
        <v>B-BCP - Soles</v>
      </c>
      <c r="C417" s="3" t="s">
        <v>1352</v>
      </c>
      <c r="D417" s="14">
        <v>45688</v>
      </c>
      <c r="E417" s="5" t="s">
        <v>1338</v>
      </c>
      <c r="F417" s="5" t="s">
        <v>1336</v>
      </c>
      <c r="G417" s="6" t="s">
        <v>153</v>
      </c>
      <c r="H417" s="6" t="s">
        <v>68</v>
      </c>
      <c r="I417" s="6" t="s">
        <v>1376</v>
      </c>
      <c r="J417" s="6">
        <v>377</v>
      </c>
      <c r="K417" s="7" t="s">
        <v>1760</v>
      </c>
      <c r="L417" s="8">
        <v>7924102</v>
      </c>
      <c r="M417" s="8" t="str">
        <f t="shared" si="41"/>
        <v>PEN</v>
      </c>
      <c r="N417" s="13">
        <v>290</v>
      </c>
      <c r="O417" s="13"/>
      <c r="P417" s="3">
        <f t="shared" si="42"/>
        <v>0</v>
      </c>
      <c r="Q417" s="3">
        <f t="shared" si="43"/>
        <v>0</v>
      </c>
      <c r="R417" s="3">
        <f t="shared" si="44"/>
        <v>-16856.000000000007</v>
      </c>
      <c r="S417" s="24" t="s">
        <v>1334</v>
      </c>
      <c r="T417" s="24" t="s">
        <v>1334</v>
      </c>
      <c r="U417" s="53"/>
      <c r="V417" s="25">
        <f>IFERROR(VLOOKUP(BCP_Soles[[#This Row],[destinatario]],CHOOSE({1,2},Clientes_Proveedores[Razon Social],Clientes_Proveedores[Ruc / Dni]),2,0),"")</f>
        <v>10405211179</v>
      </c>
      <c r="W417" s="25"/>
      <c r="X417" s="25"/>
      <c r="Y417" s="25"/>
      <c r="Z417" s="75"/>
      <c r="AA417" s="3" t="str">
        <f>IF(BCP_Soles[[#This Row],[fecha]]&gt;0,TEXT(BCP_Soles[[#This Row],[fecha]],"mmmm"),0)</f>
        <v>Enero</v>
      </c>
    </row>
    <row r="418" spans="1:27" x14ac:dyDescent="0.3">
      <c r="A418" s="2">
        <f>IF(BCP_Soles[[#This Row],[tipo_registro]]="R",COUNTIFS($C$1:$C417,"R")+1,A417)</f>
        <v>257</v>
      </c>
      <c r="B418" s="19" t="str">
        <f t="shared" si="36"/>
        <v>B-BCP - Soles</v>
      </c>
      <c r="C418" s="3" t="s">
        <v>1330</v>
      </c>
      <c r="D418" s="14">
        <v>45688</v>
      </c>
      <c r="E418" s="5" t="s">
        <v>1338</v>
      </c>
      <c r="F418" s="5" t="s">
        <v>1336</v>
      </c>
      <c r="G418" s="6" t="s">
        <v>695</v>
      </c>
      <c r="H418" s="6" t="s">
        <v>68</v>
      </c>
      <c r="I418" s="6" t="s">
        <v>1377</v>
      </c>
      <c r="J418" s="6">
        <v>145086</v>
      </c>
      <c r="K418" s="7" t="s">
        <v>1378</v>
      </c>
      <c r="L418" s="8">
        <v>377232</v>
      </c>
      <c r="M418" s="8" t="str">
        <f t="shared" si="37"/>
        <v>PEN</v>
      </c>
      <c r="N418" s="13"/>
      <c r="O418" s="13">
        <v>1276.46</v>
      </c>
      <c r="P418" s="3">
        <f t="shared" si="38"/>
        <v>0</v>
      </c>
      <c r="Q418" s="3">
        <f t="shared" si="39"/>
        <v>1276.46</v>
      </c>
      <c r="R418" s="3">
        <f t="shared" si="44"/>
        <v>-18132.460000000006</v>
      </c>
      <c r="S418" s="24" t="s">
        <v>1334</v>
      </c>
      <c r="T418" s="24" t="s">
        <v>1334</v>
      </c>
      <c r="U418" s="53"/>
      <c r="V418" s="25">
        <f>IFERROR(VLOOKUP(BCP_Soles[[#This Row],[destinatario]],CHOOSE({1,2},Clientes_Proveedores[Razon Social],Clientes_Proveedores[Ruc / Dni]),2,0),"")</f>
        <v>20127765279</v>
      </c>
      <c r="W418" s="25" t="s">
        <v>1379</v>
      </c>
      <c r="X418" s="25" t="s">
        <v>1761</v>
      </c>
      <c r="Y418" s="25"/>
      <c r="Z418" s="75"/>
      <c r="AA418" s="3" t="str">
        <f>IF(BCP_Soles[[#This Row],[fecha]]&gt;0,TEXT(BCP_Soles[[#This Row],[fecha]],"mmmm"),0)</f>
        <v>Enero</v>
      </c>
    </row>
    <row r="419" spans="1:27" x14ac:dyDescent="0.3">
      <c r="A419" s="2">
        <f>IF(BCP_Soles[[#This Row],[tipo_registro]]="R",COUNTIFS($C$1:$C418,"R")+1,A418)</f>
        <v>258</v>
      </c>
      <c r="B419" s="19" t="str">
        <f t="shared" si="36"/>
        <v>B-BCP - Soles</v>
      </c>
      <c r="C419" s="3" t="s">
        <v>1330</v>
      </c>
      <c r="D419" s="14">
        <v>45688</v>
      </c>
      <c r="E419" s="5" t="s">
        <v>1338</v>
      </c>
      <c r="F419" s="5" t="s">
        <v>1336</v>
      </c>
      <c r="G419" s="6" t="s">
        <v>695</v>
      </c>
      <c r="H419" s="6" t="s">
        <v>68</v>
      </c>
      <c r="I419" s="6" t="s">
        <v>1513</v>
      </c>
      <c r="J419" s="6">
        <v>144135</v>
      </c>
      <c r="K419" s="7" t="s">
        <v>1378</v>
      </c>
      <c r="L419" s="8">
        <v>430165</v>
      </c>
      <c r="M419" s="8" t="str">
        <f t="shared" si="37"/>
        <v>PEN</v>
      </c>
      <c r="N419" s="13"/>
      <c r="O419" s="13">
        <v>969.97</v>
      </c>
      <c r="P419" s="3">
        <f t="shared" si="38"/>
        <v>0</v>
      </c>
      <c r="Q419" s="3">
        <f t="shared" si="39"/>
        <v>969.97</v>
      </c>
      <c r="R419" s="3">
        <f t="shared" si="35"/>
        <v>-19102.430000000008</v>
      </c>
      <c r="S419" s="24" t="s">
        <v>1334</v>
      </c>
      <c r="T419" s="24" t="s">
        <v>1334</v>
      </c>
      <c r="U419" s="53"/>
      <c r="V419" s="25">
        <f>IFERROR(VLOOKUP(BCP_Soles[[#This Row],[destinatario]],CHOOSE({1,2},Clientes_Proveedores[Razon Social],Clientes_Proveedores[Ruc / Dni]),2,0),"")</f>
        <v>20127765279</v>
      </c>
      <c r="W419" s="25" t="s">
        <v>1379</v>
      </c>
      <c r="X419" s="25" t="s">
        <v>1762</v>
      </c>
      <c r="Y419" s="25"/>
      <c r="Z419" s="75"/>
      <c r="AA419" s="3" t="str">
        <f>IF(BCP_Soles[[#This Row],[fecha]]&gt;0,TEXT(BCP_Soles[[#This Row],[fecha]],"mmmm"),0)</f>
        <v>Enero</v>
      </c>
    </row>
    <row r="420" spans="1:27" x14ac:dyDescent="0.3">
      <c r="A420" s="2">
        <f>IF(BCP_Soles[[#This Row],[tipo_registro]]="R",COUNTIFS($C$1:$C419,"R")+1,A419)</f>
        <v>259</v>
      </c>
      <c r="B420" s="19" t="str">
        <f t="shared" si="36"/>
        <v>B-BCP - Soles</v>
      </c>
      <c r="C420" s="3" t="s">
        <v>1330</v>
      </c>
      <c r="D420" s="14">
        <v>45688</v>
      </c>
      <c r="E420" s="5" t="s">
        <v>1338</v>
      </c>
      <c r="F420" s="5" t="s">
        <v>1336</v>
      </c>
      <c r="G420" s="6" t="s">
        <v>928</v>
      </c>
      <c r="H420" s="6" t="s">
        <v>143</v>
      </c>
      <c r="I420" s="6">
        <v>1</v>
      </c>
      <c r="J420" s="6">
        <v>42025</v>
      </c>
      <c r="K420" s="7" t="s">
        <v>1726</v>
      </c>
      <c r="L420" s="8">
        <v>1416184</v>
      </c>
      <c r="M420" s="8" t="str">
        <f t="shared" si="37"/>
        <v>PEN</v>
      </c>
      <c r="N420" s="13"/>
      <c r="O420" s="13">
        <v>727</v>
      </c>
      <c r="P420" s="3">
        <f t="shared" si="38"/>
        <v>0</v>
      </c>
      <c r="Q420" s="3">
        <f t="shared" si="39"/>
        <v>727</v>
      </c>
      <c r="R420" s="3">
        <f t="shared" si="35"/>
        <v>-19829.430000000008</v>
      </c>
      <c r="S420" s="24" t="s">
        <v>1334</v>
      </c>
      <c r="T420" s="24" t="s">
        <v>1334</v>
      </c>
      <c r="U420" s="53"/>
      <c r="V420" s="25">
        <f>IFERROR(VLOOKUP(BCP_Soles[[#This Row],[destinatario]],CHOOSE({1,2},Clientes_Proveedores[Razon Social],Clientes_Proveedores[Ruc / Dni]),2,0),"")</f>
        <v>46126507</v>
      </c>
      <c r="W420" s="25"/>
      <c r="X420" s="25"/>
      <c r="Y420" s="25"/>
      <c r="Z420" s="75"/>
      <c r="AA420" s="3" t="str">
        <f>IF(BCP_Soles[[#This Row],[fecha]]&gt;0,TEXT(BCP_Soles[[#This Row],[fecha]],"mmmm"),0)</f>
        <v>Enero</v>
      </c>
    </row>
    <row r="421" spans="1:27" ht="24" x14ac:dyDescent="0.3">
      <c r="A421" s="2">
        <f>IF(BCP_Soles[[#This Row],[tipo_registro]]="R",COUNTIFS($C$1:$C420,"R")+1,A420)</f>
        <v>260</v>
      </c>
      <c r="B421" s="19" t="str">
        <f t="shared" si="36"/>
        <v>B-BCP - Soles</v>
      </c>
      <c r="C421" s="3" t="s">
        <v>1330</v>
      </c>
      <c r="D421" s="14">
        <v>45688</v>
      </c>
      <c r="E421" s="5" t="s">
        <v>1338</v>
      </c>
      <c r="F421" s="5" t="s">
        <v>1336</v>
      </c>
      <c r="G421" s="6" t="s">
        <v>249</v>
      </c>
      <c r="H421" s="6"/>
      <c r="I421" s="6"/>
      <c r="J421" s="6"/>
      <c r="K421" s="7" t="s">
        <v>1763</v>
      </c>
      <c r="L421" s="8">
        <v>1442096</v>
      </c>
      <c r="M421" s="8" t="str">
        <f t="shared" si="37"/>
        <v>PEN</v>
      </c>
      <c r="N421" s="13"/>
      <c r="O421" s="13">
        <v>358.72</v>
      </c>
      <c r="P421" s="3">
        <f t="shared" si="38"/>
        <v>0</v>
      </c>
      <c r="Q421" s="3">
        <f t="shared" si="39"/>
        <v>358.72</v>
      </c>
      <c r="R421" s="3">
        <f t="shared" si="35"/>
        <v>-20188.150000000009</v>
      </c>
      <c r="S421" s="24"/>
      <c r="T421" s="24"/>
      <c r="U421" s="53"/>
      <c r="V421" s="25">
        <f>IFERROR(VLOOKUP(BCP_Soles[[#This Row],[destinatario]],CHOOSE({1,2},Clientes_Proveedores[Razon Social],Clientes_Proveedores[Ruc / Dni]),2,0),"")</f>
        <v>20302891452</v>
      </c>
      <c r="W421" s="25" t="s">
        <v>249</v>
      </c>
      <c r="X421" s="25"/>
      <c r="Y421" s="25"/>
      <c r="Z421" s="75"/>
      <c r="AA421" s="3" t="str">
        <f>IF(BCP_Soles[[#This Row],[fecha]]&gt;0,TEXT(BCP_Soles[[#This Row],[fecha]],"mmmm"),0)</f>
        <v>Enero</v>
      </c>
    </row>
    <row r="422" spans="1:27" ht="24" x14ac:dyDescent="0.3">
      <c r="A422" s="2">
        <f>IF(BCP_Soles[[#This Row],[tipo_registro]]="R",COUNTIFS($C$1:$C421,"R")+1,A421)</f>
        <v>261</v>
      </c>
      <c r="B422" s="19" t="str">
        <f t="shared" si="36"/>
        <v>B-BCP - Soles</v>
      </c>
      <c r="C422" s="3" t="s">
        <v>1330</v>
      </c>
      <c r="D422" s="14">
        <v>45688</v>
      </c>
      <c r="E422" s="5" t="s">
        <v>1338</v>
      </c>
      <c r="F422" s="5" t="s">
        <v>1336</v>
      </c>
      <c r="G422" s="6" t="s">
        <v>1068</v>
      </c>
      <c r="H422" s="6" t="s">
        <v>143</v>
      </c>
      <c r="I422" s="6">
        <v>1</v>
      </c>
      <c r="J422" s="6">
        <v>32025</v>
      </c>
      <c r="K422" s="7" t="s">
        <v>1764</v>
      </c>
      <c r="L422" s="8">
        <v>1403211</v>
      </c>
      <c r="M422" s="8" t="str">
        <f t="shared" si="37"/>
        <v>PEN</v>
      </c>
      <c r="N422" s="13"/>
      <c r="O422" s="13">
        <v>126.8</v>
      </c>
      <c r="P422" s="3">
        <f t="shared" si="38"/>
        <v>0</v>
      </c>
      <c r="Q422" s="3">
        <f t="shared" si="39"/>
        <v>126.8</v>
      </c>
      <c r="R422" s="3">
        <f t="shared" si="35"/>
        <v>-20314.950000000008</v>
      </c>
      <c r="S422" s="24" t="s">
        <v>1334</v>
      </c>
      <c r="T422" s="24" t="s">
        <v>1334</v>
      </c>
      <c r="U422" s="53"/>
      <c r="V422" s="25">
        <f>IFERROR(VLOOKUP(BCP_Soles[[#This Row],[destinatario]],CHOOSE({1,2},Clientes_Proveedores[Razon Social],Clientes_Proveedores[Ruc / Dni]),2,0),"")</f>
        <v>72725445</v>
      </c>
      <c r="W422" s="25"/>
      <c r="X422" s="25"/>
      <c r="Y422" s="25"/>
      <c r="Z422" s="75"/>
      <c r="AA422" s="3" t="str">
        <f>IF(BCP_Soles[[#This Row],[fecha]]&gt;0,TEXT(BCP_Soles[[#This Row],[fecha]],"mmmm"),0)</f>
        <v>Enero</v>
      </c>
    </row>
    <row r="423" spans="1:27" ht="24" x14ac:dyDescent="0.3">
      <c r="A423" s="2">
        <f>IF(BCP_Soles[[#This Row],[tipo_registro]]="R",COUNTIFS($C$1:$C422,"R")+1,A422)</f>
        <v>262</v>
      </c>
      <c r="B423" s="19" t="str">
        <f t="shared" si="36"/>
        <v>B-BCP - Soles</v>
      </c>
      <c r="C423" s="3" t="s">
        <v>1330</v>
      </c>
      <c r="D423" s="14">
        <v>45688</v>
      </c>
      <c r="E423" s="5" t="s">
        <v>1338</v>
      </c>
      <c r="F423" s="5" t="s">
        <v>1336</v>
      </c>
      <c r="G423" s="6" t="s">
        <v>212</v>
      </c>
      <c r="H423" s="6" t="s">
        <v>68</v>
      </c>
      <c r="I423" s="6" t="s">
        <v>1390</v>
      </c>
      <c r="J423" s="6">
        <v>755</v>
      </c>
      <c r="K423" s="7" t="s">
        <v>1765</v>
      </c>
      <c r="L423" s="8">
        <v>1364312</v>
      </c>
      <c r="M423" s="8" t="str">
        <f t="shared" si="37"/>
        <v>PEN</v>
      </c>
      <c r="N423" s="13"/>
      <c r="O423" s="13">
        <v>3.6</v>
      </c>
      <c r="P423" s="3">
        <f t="shared" si="38"/>
        <v>0</v>
      </c>
      <c r="Q423" s="3">
        <f t="shared" si="39"/>
        <v>3.6</v>
      </c>
      <c r="R423" s="3">
        <f t="shared" si="35"/>
        <v>-20318.550000000007</v>
      </c>
      <c r="S423" s="24" t="s">
        <v>1334</v>
      </c>
      <c r="T423" s="24" t="s">
        <v>1334</v>
      </c>
      <c r="U423" s="53"/>
      <c r="V423" s="25">
        <f>IFERROR(VLOOKUP(BCP_Soles[[#This Row],[destinatario]],CHOOSE({1,2},Clientes_Proveedores[Razon Social],Clientes_Proveedores[Ruc / Dni]),2,0),"")</f>
        <v>20100235138</v>
      </c>
      <c r="W423" s="25" t="s">
        <v>1766</v>
      </c>
      <c r="X423" s="25" t="s">
        <v>1767</v>
      </c>
      <c r="Y423" s="25"/>
      <c r="Z423" s="75"/>
      <c r="AA423" s="3" t="str">
        <f>IF(BCP_Soles[[#This Row],[fecha]]&gt;0,TEXT(BCP_Soles[[#This Row],[fecha]],"mmmm"),0)</f>
        <v>Enero</v>
      </c>
    </row>
    <row r="424" spans="1:27" x14ac:dyDescent="0.3">
      <c r="A424" s="2">
        <f>IF(BCP_Soles[[#This Row],[tipo_registro]]="R",COUNTIFS($C$1:$C423,"R")+1,A423)</f>
        <v>263</v>
      </c>
      <c r="B424" s="19" t="str">
        <f t="shared" si="36"/>
        <v>B-BCP - Soles</v>
      </c>
      <c r="C424" s="3" t="s">
        <v>1330</v>
      </c>
      <c r="D424" s="14">
        <v>45688</v>
      </c>
      <c r="E424" s="5" t="s">
        <v>1338</v>
      </c>
      <c r="F424" s="5" t="s">
        <v>1303</v>
      </c>
      <c r="G424" s="6" t="s">
        <v>425</v>
      </c>
      <c r="H424" s="6"/>
      <c r="I424" s="6"/>
      <c r="J424" s="6"/>
      <c r="K424" s="7" t="s">
        <v>1768</v>
      </c>
      <c r="L424" s="8">
        <v>2421198</v>
      </c>
      <c r="M424" s="8" t="str">
        <f t="shared" si="37"/>
        <v>PEN</v>
      </c>
      <c r="N424" s="13"/>
      <c r="O424" s="13">
        <v>23076.400000000001</v>
      </c>
      <c r="P424" s="3">
        <f t="shared" si="38"/>
        <v>23076.400000000001</v>
      </c>
      <c r="Q424" s="3">
        <f t="shared" si="39"/>
        <v>0</v>
      </c>
      <c r="R424" s="3">
        <f t="shared" si="35"/>
        <v>2757.8499999999949</v>
      </c>
      <c r="S424" s="24" t="s">
        <v>1334</v>
      </c>
      <c r="T424" s="24" t="s">
        <v>1334</v>
      </c>
      <c r="U424" s="53"/>
      <c r="V424" s="25">
        <f>IFERROR(VLOOKUP(BCP_Soles[[#This Row],[destinatario]],CHOOSE({1,2},Clientes_Proveedores[Razon Social],Clientes_Proveedores[Ruc / Dni]),2,0),"")</f>
        <v>20558226979</v>
      </c>
      <c r="W424" s="25" t="s">
        <v>1345</v>
      </c>
      <c r="X424" s="25"/>
      <c r="Y424" s="25"/>
      <c r="Z424" s="75"/>
      <c r="AA424" s="3" t="str">
        <f>IF(BCP_Soles[[#This Row],[fecha]]&gt;0,TEXT(BCP_Soles[[#This Row],[fecha]],"mmmm"),0)</f>
        <v>Enero</v>
      </c>
    </row>
    <row r="425" spans="1:27" ht="60" x14ac:dyDescent="0.3">
      <c r="A425" s="2">
        <f>IF(BCP_Soles[[#This Row],[tipo_registro]]="R",COUNTIFS($C$1:$C424,"R")+1,A424)</f>
        <v>264</v>
      </c>
      <c r="B425" s="19" t="str">
        <f t="shared" si="36"/>
        <v>B-BCP - Soles</v>
      </c>
      <c r="C425" s="3" t="s">
        <v>1330</v>
      </c>
      <c r="D425" s="14">
        <v>45688</v>
      </c>
      <c r="E425" s="5" t="s">
        <v>295</v>
      </c>
      <c r="F425" s="5" t="s">
        <v>1303</v>
      </c>
      <c r="G425" s="6" t="s">
        <v>425</v>
      </c>
      <c r="H425" s="6" t="s">
        <v>68</v>
      </c>
      <c r="I425" s="6" t="s">
        <v>1353</v>
      </c>
      <c r="J425" s="6">
        <v>183</v>
      </c>
      <c r="K425" s="7" t="s">
        <v>1428</v>
      </c>
      <c r="L425" s="8">
        <v>2431216</v>
      </c>
      <c r="M425" s="8" t="str">
        <f t="shared" si="37"/>
        <v>PEN</v>
      </c>
      <c r="N425" s="13"/>
      <c r="O425" s="13">
        <v>3085.68</v>
      </c>
      <c r="P425" s="3">
        <f t="shared" si="38"/>
        <v>3085.68</v>
      </c>
      <c r="Q425" s="3">
        <f t="shared" si="39"/>
        <v>0</v>
      </c>
      <c r="R425" s="3">
        <f t="shared" si="35"/>
        <v>5843.5299999999952</v>
      </c>
      <c r="S425" s="24" t="s">
        <v>1334</v>
      </c>
      <c r="T425" s="24" t="s">
        <v>1334</v>
      </c>
      <c r="U425" s="53"/>
      <c r="V425" s="25">
        <f>IFERROR(VLOOKUP(BCP_Soles[[#This Row],[destinatario]],CHOOSE({1,2},Clientes_Proveedores[Razon Social],Clientes_Proveedores[Ruc / Dni]),2,0),"")</f>
        <v>20558226979</v>
      </c>
      <c r="W425" s="25" t="s">
        <v>1345</v>
      </c>
      <c r="X425" s="25" t="s">
        <v>1769</v>
      </c>
      <c r="Y425" s="25"/>
      <c r="Z425" s="75"/>
      <c r="AA425" s="3" t="str">
        <f>IF(BCP_Soles[[#This Row],[fecha]]&gt;0,TEXT(BCP_Soles[[#This Row],[fecha]],"mmmm"),0)</f>
        <v>Enero</v>
      </c>
    </row>
    <row r="426" spans="1:27" ht="60" x14ac:dyDescent="0.3">
      <c r="A426" s="2">
        <f>IF(BCP_Soles[[#This Row],[tipo_registro]]="R",COUNTIFS($C$1:$C425,"R")+1,A425)</f>
        <v>265</v>
      </c>
      <c r="B426" s="19" t="str">
        <f t="shared" si="36"/>
        <v>B-BCP - Soles</v>
      </c>
      <c r="C426" s="3" t="s">
        <v>1330</v>
      </c>
      <c r="D426" s="14">
        <v>45688</v>
      </c>
      <c r="E426" s="5" t="s">
        <v>295</v>
      </c>
      <c r="F426" s="5" t="s">
        <v>1303</v>
      </c>
      <c r="G426" s="6" t="s">
        <v>425</v>
      </c>
      <c r="H426" s="6" t="s">
        <v>68</v>
      </c>
      <c r="I426" s="6" t="s">
        <v>1353</v>
      </c>
      <c r="J426" s="6">
        <v>186</v>
      </c>
      <c r="K426" s="7" t="s">
        <v>1428</v>
      </c>
      <c r="L426" s="8">
        <v>2387373</v>
      </c>
      <c r="M426" s="8" t="str">
        <f t="shared" si="37"/>
        <v>PEN</v>
      </c>
      <c r="N426" s="13"/>
      <c r="O426" s="13">
        <v>2825.06</v>
      </c>
      <c r="P426" s="3">
        <f t="shared" si="38"/>
        <v>2825.06</v>
      </c>
      <c r="Q426" s="3">
        <f t="shared" si="39"/>
        <v>0</v>
      </c>
      <c r="R426" s="3">
        <f t="shared" si="35"/>
        <v>8668.5899999999947</v>
      </c>
      <c r="S426" s="24" t="s">
        <v>1334</v>
      </c>
      <c r="T426" s="24" t="s">
        <v>1334</v>
      </c>
      <c r="U426" s="53"/>
      <c r="V426" s="25">
        <f>IFERROR(VLOOKUP(BCP_Soles[[#This Row],[destinatario]],CHOOSE({1,2},Clientes_Proveedores[Razon Social],Clientes_Proveedores[Ruc / Dni]),2,0),"")</f>
        <v>20558226979</v>
      </c>
      <c r="W426" s="25" t="s">
        <v>1345</v>
      </c>
      <c r="X426" s="25" t="s">
        <v>1770</v>
      </c>
      <c r="Y426" s="25"/>
      <c r="Z426" s="75"/>
      <c r="AA426" s="3" t="str">
        <f>IF(BCP_Soles[[#This Row],[fecha]]&gt;0,TEXT(BCP_Soles[[#This Row],[fecha]],"mmmm"),0)</f>
        <v>Enero</v>
      </c>
    </row>
    <row r="427" spans="1:27" ht="24" x14ac:dyDescent="0.3">
      <c r="A427" s="2">
        <f>IF(BCP_Soles[[#This Row],[tipo_registro]]="R",COUNTIFS($C$1:$C426,"R")+1,A426)</f>
        <v>266</v>
      </c>
      <c r="B427" s="19" t="str">
        <f t="shared" si="36"/>
        <v>B-BCP - Soles</v>
      </c>
      <c r="C427" s="3" t="s">
        <v>1330</v>
      </c>
      <c r="D427" s="14">
        <v>45688</v>
      </c>
      <c r="E427" s="5" t="s">
        <v>317</v>
      </c>
      <c r="F427" s="5" t="s">
        <v>1303</v>
      </c>
      <c r="G427" s="6" t="s">
        <v>425</v>
      </c>
      <c r="H427" s="6"/>
      <c r="I427" s="6"/>
      <c r="J427" s="6"/>
      <c r="K427" s="7" t="s">
        <v>1771</v>
      </c>
      <c r="L427" s="8">
        <v>7947216</v>
      </c>
      <c r="M427" s="8" t="str">
        <f t="shared" si="37"/>
        <v>PEN</v>
      </c>
      <c r="N427" s="13"/>
      <c r="O427" s="13">
        <v>2079.3000000000002</v>
      </c>
      <c r="P427" s="3">
        <f t="shared" si="38"/>
        <v>2079.3000000000002</v>
      </c>
      <c r="Q427" s="3">
        <f t="shared" si="39"/>
        <v>0</v>
      </c>
      <c r="R427" s="3">
        <f t="shared" si="35"/>
        <v>10747.889999999996</v>
      </c>
      <c r="S427" s="24" t="s">
        <v>1334</v>
      </c>
      <c r="T427" s="24" t="s">
        <v>1334</v>
      </c>
      <c r="U427" s="53"/>
      <c r="V427" s="25">
        <f>IFERROR(VLOOKUP(BCP_Soles[[#This Row],[destinatario]],CHOOSE({1,2},Clientes_Proveedores[Razon Social],Clientes_Proveedores[Ruc / Dni]),2,0),"")</f>
        <v>20558226979</v>
      </c>
      <c r="W427" s="25" t="s">
        <v>1345</v>
      </c>
      <c r="X427" s="25" t="s">
        <v>1772</v>
      </c>
      <c r="Y427" s="25"/>
      <c r="Z427" s="75"/>
      <c r="AA427" s="3" t="str">
        <f>IF(BCP_Soles[[#This Row],[fecha]]&gt;0,TEXT(BCP_Soles[[#This Row],[fecha]],"mmmm"),0)</f>
        <v>Enero</v>
      </c>
    </row>
    <row r="428" spans="1:27" ht="24" x14ac:dyDescent="0.3">
      <c r="A428" s="2">
        <f>IF(BCP_Soles[[#This Row],[tipo_registro]]="R",COUNTIFS($C$1:$C427,"R")+1,A427)</f>
        <v>267</v>
      </c>
      <c r="B428" s="19" t="str">
        <f t="shared" si="36"/>
        <v>B-BCP - Soles</v>
      </c>
      <c r="C428" s="3" t="s">
        <v>1330</v>
      </c>
      <c r="D428" s="14">
        <v>45688</v>
      </c>
      <c r="E428" s="5" t="s">
        <v>1669</v>
      </c>
      <c r="F428" s="5" t="s">
        <v>1303</v>
      </c>
      <c r="G428" s="6" t="s">
        <v>425</v>
      </c>
      <c r="H428" s="6" t="s">
        <v>119</v>
      </c>
      <c r="I428" s="6">
        <v>1</v>
      </c>
      <c r="J428" s="6">
        <v>4130</v>
      </c>
      <c r="K428" s="7" t="s">
        <v>1773</v>
      </c>
      <c r="L428" s="8">
        <v>518901</v>
      </c>
      <c r="M428" s="8" t="str">
        <f t="shared" si="37"/>
        <v>PEN</v>
      </c>
      <c r="N428" s="13"/>
      <c r="O428" s="13">
        <v>1000</v>
      </c>
      <c r="P428" s="3">
        <f t="shared" si="38"/>
        <v>1000</v>
      </c>
      <c r="Q428" s="3">
        <f t="shared" si="39"/>
        <v>0</v>
      </c>
      <c r="R428" s="3">
        <f t="shared" si="35"/>
        <v>11747.889999999996</v>
      </c>
      <c r="S428" s="24" t="s">
        <v>1334</v>
      </c>
      <c r="T428" s="24" t="s">
        <v>1334</v>
      </c>
      <c r="U428" s="53"/>
      <c r="V428" s="25">
        <f>IFERROR(VLOOKUP(BCP_Soles[[#This Row],[destinatario]],CHOOSE({1,2},Clientes_Proveedores[Razon Social],Clientes_Proveedores[Ruc / Dni]),2,0),"")</f>
        <v>20558226979</v>
      </c>
      <c r="W428" s="25" t="s">
        <v>1345</v>
      </c>
      <c r="X428" s="25" t="s">
        <v>1774</v>
      </c>
      <c r="Y428" s="25"/>
      <c r="Z428" s="75"/>
      <c r="AA428" s="3" t="str">
        <f>IF(BCP_Soles[[#This Row],[fecha]]&gt;0,TEXT(BCP_Soles[[#This Row],[fecha]],"mmmm"),0)</f>
        <v>Enero</v>
      </c>
    </row>
    <row r="429" spans="1:27" ht="24" x14ac:dyDescent="0.3">
      <c r="A429" s="2">
        <f>IF(BCP_Soles[[#This Row],[tipo_registro]]="R",COUNTIFS($C$1:$C428,"R")+1,A428)</f>
        <v>268</v>
      </c>
      <c r="B429" s="19" t="str">
        <f t="shared" si="36"/>
        <v>B-BCP - Soles</v>
      </c>
      <c r="C429" s="3" t="s">
        <v>1330</v>
      </c>
      <c r="D429" s="14">
        <v>45688</v>
      </c>
      <c r="E429" s="5" t="s">
        <v>1669</v>
      </c>
      <c r="F429" s="5" t="s">
        <v>1303</v>
      </c>
      <c r="G429" s="6" t="s">
        <v>425</v>
      </c>
      <c r="H429" s="6" t="s">
        <v>119</v>
      </c>
      <c r="I429" s="6">
        <v>1</v>
      </c>
      <c r="J429" s="6">
        <v>4130</v>
      </c>
      <c r="K429" s="7" t="s">
        <v>1773</v>
      </c>
      <c r="L429" s="8">
        <v>518906</v>
      </c>
      <c r="M429" s="8" t="str">
        <f t="shared" si="37"/>
        <v>PEN</v>
      </c>
      <c r="N429" s="13"/>
      <c r="O429" s="13">
        <v>1000</v>
      </c>
      <c r="P429" s="3">
        <f t="shared" si="38"/>
        <v>1000</v>
      </c>
      <c r="Q429" s="3">
        <f t="shared" si="39"/>
        <v>0</v>
      </c>
      <c r="R429" s="3">
        <f t="shared" si="35"/>
        <v>12747.889999999996</v>
      </c>
      <c r="S429" s="24" t="s">
        <v>1334</v>
      </c>
      <c r="T429" s="24" t="s">
        <v>1334</v>
      </c>
      <c r="U429" s="53"/>
      <c r="V429" s="25">
        <f>IFERROR(VLOOKUP(BCP_Soles[[#This Row],[destinatario]],CHOOSE({1,2},Clientes_Proveedores[Razon Social],Clientes_Proveedores[Ruc / Dni]),2,0),"")</f>
        <v>20558226979</v>
      </c>
      <c r="W429" s="25" t="s">
        <v>1345</v>
      </c>
      <c r="X429" s="25" t="s">
        <v>1774</v>
      </c>
      <c r="Y429" s="25"/>
      <c r="Z429" s="75"/>
      <c r="AA429" s="3" t="str">
        <f>IF(BCP_Soles[[#This Row],[fecha]]&gt;0,TEXT(BCP_Soles[[#This Row],[fecha]],"mmmm"),0)</f>
        <v>Enero</v>
      </c>
    </row>
    <row r="430" spans="1:27" ht="36" x14ac:dyDescent="0.3">
      <c r="A430" s="2">
        <f>IF(BCP_Soles[[#This Row],[tipo_registro]]="R",COUNTIFS($C$1:$C429,"R")+1,A429)</f>
        <v>269</v>
      </c>
      <c r="B430" s="19" t="str">
        <f t="shared" si="36"/>
        <v>B-BCP - Soles</v>
      </c>
      <c r="C430" s="3" t="s">
        <v>1330</v>
      </c>
      <c r="D430" s="14">
        <v>45688</v>
      </c>
      <c r="E430" s="5" t="s">
        <v>555</v>
      </c>
      <c r="F430" s="5" t="s">
        <v>1303</v>
      </c>
      <c r="G430" s="6" t="s">
        <v>425</v>
      </c>
      <c r="H430" s="6"/>
      <c r="I430" s="6"/>
      <c r="J430" s="6"/>
      <c r="K430" s="7" t="s">
        <v>1348</v>
      </c>
      <c r="L430" s="8">
        <v>2274989</v>
      </c>
      <c r="M430" s="8" t="str">
        <f t="shared" si="37"/>
        <v>PEN</v>
      </c>
      <c r="N430" s="13"/>
      <c r="O430" s="13">
        <v>826.32</v>
      </c>
      <c r="P430" s="3">
        <f t="shared" si="38"/>
        <v>826.32</v>
      </c>
      <c r="Q430" s="3">
        <f t="shared" si="39"/>
        <v>0</v>
      </c>
      <c r="R430" s="3">
        <f t="shared" si="35"/>
        <v>13574.209999999995</v>
      </c>
      <c r="S430" s="24" t="s">
        <v>1334</v>
      </c>
      <c r="T430" s="24" t="s">
        <v>1334</v>
      </c>
      <c r="U430" s="53"/>
      <c r="V430" s="25">
        <f>IFERROR(VLOOKUP(BCP_Soles[[#This Row],[destinatario]],CHOOSE({1,2},Clientes_Proveedores[Razon Social],Clientes_Proveedores[Ruc / Dni]),2,0),"")</f>
        <v>20558226979</v>
      </c>
      <c r="W430" s="25" t="s">
        <v>1345</v>
      </c>
      <c r="X430" s="25" t="s">
        <v>1775</v>
      </c>
      <c r="Y430" s="25"/>
      <c r="Z430" s="75"/>
      <c r="AA430" s="3" t="str">
        <f>IF(BCP_Soles[[#This Row],[fecha]]&gt;0,TEXT(BCP_Soles[[#This Row],[fecha]],"mmmm"),0)</f>
        <v>Enero</v>
      </c>
    </row>
    <row r="431" spans="1:27" x14ac:dyDescent="0.3">
      <c r="A431" s="2">
        <f>IF(BCP_Soles[[#This Row],[tipo_registro]]="R",COUNTIFS($C$1:$C430,"R")+1,A430)</f>
        <v>270</v>
      </c>
      <c r="B431" s="19" t="str">
        <f t="shared" si="36"/>
        <v>B-BCP - Soles</v>
      </c>
      <c r="C431" s="3" t="s">
        <v>1330</v>
      </c>
      <c r="D431" s="14">
        <v>45688</v>
      </c>
      <c r="E431" s="5"/>
      <c r="F431" s="5" t="s">
        <v>1303</v>
      </c>
      <c r="G431" s="6" t="s">
        <v>425</v>
      </c>
      <c r="H431" s="6"/>
      <c r="I431" s="6"/>
      <c r="J431" s="6"/>
      <c r="K431" s="7" t="s">
        <v>1773</v>
      </c>
      <c r="L431" s="8">
        <v>518911</v>
      </c>
      <c r="M431" s="8" t="str">
        <f t="shared" si="37"/>
        <v>PEN</v>
      </c>
      <c r="N431" s="13"/>
      <c r="O431" s="13">
        <v>740</v>
      </c>
      <c r="P431" s="3">
        <f t="shared" si="38"/>
        <v>740</v>
      </c>
      <c r="Q431" s="3">
        <f t="shared" si="39"/>
        <v>0</v>
      </c>
      <c r="R431" s="3">
        <f t="shared" si="35"/>
        <v>14314.209999999995</v>
      </c>
      <c r="S431" s="24" t="s">
        <v>1334</v>
      </c>
      <c r="T431" s="24" t="s">
        <v>1334</v>
      </c>
      <c r="U431" s="53"/>
      <c r="V431" s="25">
        <f>IFERROR(VLOOKUP(BCP_Soles[[#This Row],[destinatario]],CHOOSE({1,2},Clientes_Proveedores[Razon Social],Clientes_Proveedores[Ruc / Dni]),2,0),"")</f>
        <v>20558226979</v>
      </c>
      <c r="W431" s="25" t="s">
        <v>1345</v>
      </c>
      <c r="X431" s="25"/>
      <c r="Y431" s="25"/>
      <c r="Z431" s="75"/>
      <c r="AA431" s="3" t="str">
        <f>IF(BCP_Soles[[#This Row],[fecha]]&gt;0,TEXT(BCP_Soles[[#This Row],[fecha]],"mmmm"),0)</f>
        <v>Enero</v>
      </c>
    </row>
    <row r="432" spans="1:27" ht="24" x14ac:dyDescent="0.3">
      <c r="A432" s="2">
        <f>IF(BCP_Soles[[#This Row],[tipo_registro]]="R",COUNTIFS($C$1:$C431,"R")+1,A431)</f>
        <v>270</v>
      </c>
      <c r="B432" s="19" t="str">
        <f t="shared" si="36"/>
        <v>B-BCP - Soles</v>
      </c>
      <c r="C432" s="3" t="s">
        <v>1352</v>
      </c>
      <c r="D432" s="14">
        <v>45688</v>
      </c>
      <c r="E432" s="5" t="s">
        <v>1669</v>
      </c>
      <c r="F432" s="5" t="s">
        <v>1303</v>
      </c>
      <c r="G432" s="6" t="s">
        <v>425</v>
      </c>
      <c r="H432" s="6" t="s">
        <v>119</v>
      </c>
      <c r="I432" s="6">
        <v>1</v>
      </c>
      <c r="J432" s="6">
        <v>4126</v>
      </c>
      <c r="K432" s="7" t="s">
        <v>1773</v>
      </c>
      <c r="L432" s="8">
        <v>518911</v>
      </c>
      <c r="M432" s="8" t="str">
        <f t="shared" si="37"/>
        <v>PEN</v>
      </c>
      <c r="N432" s="13">
        <v>340</v>
      </c>
      <c r="O432" s="13"/>
      <c r="P432" s="3">
        <f t="shared" si="38"/>
        <v>0</v>
      </c>
      <c r="Q432" s="3">
        <f t="shared" si="39"/>
        <v>0</v>
      </c>
      <c r="R432" s="3">
        <f t="shared" si="35"/>
        <v>14314.209999999995</v>
      </c>
      <c r="S432" s="24" t="s">
        <v>1334</v>
      </c>
      <c r="T432" s="24" t="s">
        <v>1334</v>
      </c>
      <c r="U432" s="53"/>
      <c r="V432" s="25">
        <f>IFERROR(VLOOKUP(BCP_Soles[[#This Row],[destinatario]],CHOOSE({1,2},Clientes_Proveedores[Razon Social],Clientes_Proveedores[Ruc / Dni]),2,0),"")</f>
        <v>20558226979</v>
      </c>
      <c r="W432" s="25" t="s">
        <v>1345</v>
      </c>
      <c r="X432" s="25" t="s">
        <v>1749</v>
      </c>
      <c r="Y432" s="25"/>
      <c r="Z432" s="75"/>
      <c r="AA432" s="3" t="str">
        <f>IF(BCP_Soles[[#This Row],[fecha]]&gt;0,TEXT(BCP_Soles[[#This Row],[fecha]],"mmmm"),0)</f>
        <v>Enero</v>
      </c>
    </row>
    <row r="433" spans="1:27" ht="24" x14ac:dyDescent="0.3">
      <c r="A433" s="2">
        <f>IF(BCP_Soles[[#This Row],[tipo_registro]]="R",COUNTIFS($C$1:$C432,"R")+1,A432)</f>
        <v>270</v>
      </c>
      <c r="B433" s="19" t="str">
        <f t="shared" si="36"/>
        <v>B-BCP - Soles</v>
      </c>
      <c r="C433" s="3" t="s">
        <v>1352</v>
      </c>
      <c r="D433" s="14">
        <v>45688</v>
      </c>
      <c r="E433" s="5" t="s">
        <v>1669</v>
      </c>
      <c r="F433" s="5" t="s">
        <v>1303</v>
      </c>
      <c r="G433" s="6" t="s">
        <v>425</v>
      </c>
      <c r="H433" s="6" t="s">
        <v>119</v>
      </c>
      <c r="I433" s="6">
        <v>1</v>
      </c>
      <c r="J433" s="6">
        <v>4130</v>
      </c>
      <c r="K433" s="7" t="s">
        <v>1773</v>
      </c>
      <c r="L433" s="8">
        <v>518911</v>
      </c>
      <c r="M433" s="8" t="str">
        <f t="shared" si="37"/>
        <v>PEN</v>
      </c>
      <c r="N433" s="13">
        <v>400</v>
      </c>
      <c r="O433" s="13"/>
      <c r="P433" s="3">
        <f t="shared" si="38"/>
        <v>0</v>
      </c>
      <c r="Q433" s="3">
        <f t="shared" si="39"/>
        <v>0</v>
      </c>
      <c r="R433" s="3">
        <f t="shared" si="35"/>
        <v>14314.209999999995</v>
      </c>
      <c r="S433" s="24" t="s">
        <v>1334</v>
      </c>
      <c r="T433" s="24" t="s">
        <v>1334</v>
      </c>
      <c r="U433" s="53"/>
      <c r="V433" s="25">
        <f>IFERROR(VLOOKUP(BCP_Soles[[#This Row],[destinatario]],CHOOSE({1,2},Clientes_Proveedores[Razon Social],Clientes_Proveedores[Ruc / Dni]),2,0),"")</f>
        <v>20558226979</v>
      </c>
      <c r="W433" s="25" t="s">
        <v>1345</v>
      </c>
      <c r="X433" s="25" t="s">
        <v>1774</v>
      </c>
      <c r="Y433" s="25"/>
      <c r="Z433" s="75"/>
      <c r="AA433" s="3" t="str">
        <f>IF(BCP_Soles[[#This Row],[fecha]]&gt;0,TEXT(BCP_Soles[[#This Row],[fecha]],"mmmm"),0)</f>
        <v>Enero</v>
      </c>
    </row>
    <row r="434" spans="1:27" ht="24" x14ac:dyDescent="0.3">
      <c r="A434" s="2">
        <f>IF(BCP_Soles[[#This Row],[tipo_registro]]="R",COUNTIFS($C$1:$C433,"R")+1,A433)</f>
        <v>271</v>
      </c>
      <c r="B434" s="19" t="str">
        <f t="shared" si="36"/>
        <v>B-BCP - Soles</v>
      </c>
      <c r="C434" s="3" t="s">
        <v>1330</v>
      </c>
      <c r="D434" s="14">
        <v>45691</v>
      </c>
      <c r="E434" s="5" t="s">
        <v>1776</v>
      </c>
      <c r="F434" s="5" t="s">
        <v>1303</v>
      </c>
      <c r="G434" s="6" t="s">
        <v>425</v>
      </c>
      <c r="H434" s="6"/>
      <c r="I434" s="6"/>
      <c r="J434" s="6"/>
      <c r="K434" s="7" t="s">
        <v>1777</v>
      </c>
      <c r="L434" s="8">
        <v>1986124</v>
      </c>
      <c r="M434" s="8" t="str">
        <f t="shared" si="37"/>
        <v>PEN</v>
      </c>
      <c r="N434" s="13"/>
      <c r="O434" s="13">
        <v>250</v>
      </c>
      <c r="P434" s="3">
        <f t="shared" si="38"/>
        <v>250</v>
      </c>
      <c r="Q434" s="3">
        <f t="shared" si="39"/>
        <v>0</v>
      </c>
      <c r="R434" s="3">
        <f t="shared" si="35"/>
        <v>14564.209999999995</v>
      </c>
      <c r="S434" s="24"/>
      <c r="T434" s="24"/>
      <c r="U434" s="53"/>
      <c r="V434" s="25">
        <f>IFERROR(VLOOKUP(BCP_Soles[[#This Row],[destinatario]],CHOOSE({1,2},Clientes_Proveedores[Razon Social],Clientes_Proveedores[Ruc / Dni]),2,0),"")</f>
        <v>20558226979</v>
      </c>
      <c r="W434" s="25" t="s">
        <v>1345</v>
      </c>
      <c r="X434" s="25"/>
      <c r="Y434" s="25"/>
      <c r="Z434" s="75"/>
      <c r="AA434" s="3" t="str">
        <f>IF(BCP_Soles[[#This Row],[fecha]]&gt;0,TEXT(BCP_Soles[[#This Row],[fecha]],"mmmm"),0)</f>
        <v>Febrero</v>
      </c>
    </row>
    <row r="435" spans="1:27" ht="36" x14ac:dyDescent="0.3">
      <c r="A435" s="2">
        <f>IF(BCP_Soles[[#This Row],[tipo_registro]]="R",COUNTIFS($C$1:$C434,"R")+1,A434)</f>
        <v>272</v>
      </c>
      <c r="B435" s="19" t="str">
        <f t="shared" si="36"/>
        <v>B-BCP - Soles</v>
      </c>
      <c r="C435" s="3" t="s">
        <v>1330</v>
      </c>
      <c r="D435" s="14">
        <v>45691</v>
      </c>
      <c r="E435" s="5" t="s">
        <v>255</v>
      </c>
      <c r="F435" s="5" t="s">
        <v>1303</v>
      </c>
      <c r="G435" s="6" t="s">
        <v>425</v>
      </c>
      <c r="H435" s="6"/>
      <c r="I435" s="6"/>
      <c r="J435" s="6"/>
      <c r="K435" s="7" t="s">
        <v>1778</v>
      </c>
      <c r="L435" s="8">
        <v>8647685</v>
      </c>
      <c r="M435" s="8" t="str">
        <f t="shared" si="37"/>
        <v>PEN</v>
      </c>
      <c r="N435" s="13"/>
      <c r="O435" s="13">
        <v>20336.21</v>
      </c>
      <c r="P435" s="3">
        <f t="shared" si="38"/>
        <v>20336.21</v>
      </c>
      <c r="Q435" s="3">
        <f t="shared" si="39"/>
        <v>0</v>
      </c>
      <c r="R435" s="3">
        <f t="shared" si="35"/>
        <v>34900.42</v>
      </c>
      <c r="S435" s="24" t="s">
        <v>1334</v>
      </c>
      <c r="T435" s="24" t="s">
        <v>1334</v>
      </c>
      <c r="U435" s="53"/>
      <c r="V435" s="25">
        <f>IFERROR(VLOOKUP(BCP_Soles[[#This Row],[destinatario]],CHOOSE({1,2},Clientes_Proveedores[Razon Social],Clientes_Proveedores[Ruc / Dni]),2,0),"")</f>
        <v>20558226979</v>
      </c>
      <c r="W435" s="25" t="s">
        <v>1345</v>
      </c>
      <c r="X435" s="25" t="s">
        <v>1779</v>
      </c>
      <c r="Y435" s="25"/>
      <c r="Z435" s="75"/>
      <c r="AA435" s="3" t="str">
        <f>IF(BCP_Soles[[#This Row],[fecha]]&gt;0,TEXT(BCP_Soles[[#This Row],[fecha]],"mmmm"),0)</f>
        <v>Febrero</v>
      </c>
    </row>
    <row r="436" spans="1:27" ht="24" x14ac:dyDescent="0.3">
      <c r="A436" s="2">
        <f>IF(BCP_Soles[[#This Row],[tipo_registro]]="R",COUNTIFS($C$1:$C435,"R")+1,A435)</f>
        <v>273</v>
      </c>
      <c r="B436" s="19" t="str">
        <f t="shared" si="36"/>
        <v>B-BCP - Soles</v>
      </c>
      <c r="C436" s="3" t="s">
        <v>1330</v>
      </c>
      <c r="D436" s="14">
        <v>45691</v>
      </c>
      <c r="E436" s="5" t="s">
        <v>350</v>
      </c>
      <c r="F436" s="5" t="s">
        <v>1303</v>
      </c>
      <c r="G436" s="6" t="s">
        <v>425</v>
      </c>
      <c r="H436" s="6"/>
      <c r="I436" s="6"/>
      <c r="J436" s="6"/>
      <c r="K436" s="7" t="s">
        <v>1455</v>
      </c>
      <c r="L436" s="8">
        <v>2121469</v>
      </c>
      <c r="M436" s="8" t="str">
        <f t="shared" si="37"/>
        <v>PEN</v>
      </c>
      <c r="N436" s="13"/>
      <c r="O436" s="13">
        <v>991.2</v>
      </c>
      <c r="P436" s="3">
        <f t="shared" si="38"/>
        <v>991.2</v>
      </c>
      <c r="Q436" s="3">
        <f t="shared" si="39"/>
        <v>0</v>
      </c>
      <c r="R436" s="3">
        <f t="shared" si="35"/>
        <v>35891.619999999995</v>
      </c>
      <c r="S436" s="24" t="s">
        <v>1334</v>
      </c>
      <c r="T436" s="24" t="s">
        <v>1334</v>
      </c>
      <c r="U436" s="53"/>
      <c r="V436" s="25">
        <f>IFERROR(VLOOKUP(BCP_Soles[[#This Row],[destinatario]],CHOOSE({1,2},Clientes_Proveedores[Razon Social],Clientes_Proveedores[Ruc / Dni]),2,0),"")</f>
        <v>20558226979</v>
      </c>
      <c r="W436" s="25" t="s">
        <v>1345</v>
      </c>
      <c r="X436" s="25" t="s">
        <v>1780</v>
      </c>
      <c r="Y436" s="25"/>
      <c r="Z436" s="75"/>
      <c r="AA436" s="3" t="str">
        <f>IF(BCP_Soles[[#This Row],[fecha]]&gt;0,TEXT(BCP_Soles[[#This Row],[fecha]],"mmmm"),0)</f>
        <v>Febrero</v>
      </c>
    </row>
    <row r="437" spans="1:27" x14ac:dyDescent="0.3">
      <c r="A437" s="2">
        <f>IF(BCP_Soles[[#This Row],[tipo_registro]]="R",COUNTIFS($C$1:$C436,"R")+1,A436)</f>
        <v>274</v>
      </c>
      <c r="B437" s="19" t="str">
        <f t="shared" si="36"/>
        <v>B-BCP - Soles</v>
      </c>
      <c r="C437" s="3" t="s">
        <v>1330</v>
      </c>
      <c r="D437" s="14">
        <v>45691</v>
      </c>
      <c r="E437" s="5" t="s">
        <v>1335</v>
      </c>
      <c r="F437" s="5" t="s">
        <v>1336</v>
      </c>
      <c r="G437" s="6"/>
      <c r="H437" s="6"/>
      <c r="I437" s="6"/>
      <c r="J437" s="6"/>
      <c r="K437" s="7" t="s">
        <v>1337</v>
      </c>
      <c r="L437" s="8"/>
      <c r="M437" s="8" t="str">
        <f t="shared" si="37"/>
        <v>PEN</v>
      </c>
      <c r="N437" s="13"/>
      <c r="O437" s="13">
        <v>2.2000000000000002</v>
      </c>
      <c r="P437" s="3">
        <f t="shared" si="38"/>
        <v>0</v>
      </c>
      <c r="Q437" s="3">
        <f t="shared" si="39"/>
        <v>2.2000000000000002</v>
      </c>
      <c r="R437" s="3">
        <f t="shared" si="35"/>
        <v>35889.42</v>
      </c>
      <c r="S437" s="24"/>
      <c r="T437" s="24" t="s">
        <v>1334</v>
      </c>
      <c r="U437" s="53"/>
      <c r="V437" s="25" t="str">
        <f>IFERROR(VLOOKUP(BCP_Soles[[#This Row],[destinatario]],CHOOSE({1,2},Clientes_Proveedores[Razon Social],Clientes_Proveedores[Ruc / Dni]),2,0),"")</f>
        <v/>
      </c>
      <c r="W437" s="25"/>
      <c r="X437" s="25"/>
      <c r="Y437" s="25"/>
      <c r="Z437" s="75"/>
      <c r="AA437" s="3" t="str">
        <f>IF(BCP_Soles[[#This Row],[fecha]]&gt;0,TEXT(BCP_Soles[[#This Row],[fecha]],"mmmm"),0)</f>
        <v>Febrero</v>
      </c>
    </row>
    <row r="438" spans="1:27" ht="24" x14ac:dyDescent="0.3">
      <c r="A438" s="2">
        <f>IF(BCP_Soles[[#This Row],[tipo_registro]]="R",COUNTIFS($C$1:$C437,"R")+1,A437)</f>
        <v>275</v>
      </c>
      <c r="B438" s="19" t="str">
        <f t="shared" si="36"/>
        <v>B-BCP - Soles</v>
      </c>
      <c r="C438" s="3" t="s">
        <v>1330</v>
      </c>
      <c r="D438" s="14">
        <v>45691</v>
      </c>
      <c r="E438" s="5" t="s">
        <v>1421</v>
      </c>
      <c r="F438" s="5" t="s">
        <v>1336</v>
      </c>
      <c r="G438" s="6" t="s">
        <v>809</v>
      </c>
      <c r="H438" s="6" t="s">
        <v>143</v>
      </c>
      <c r="I438" s="6">
        <v>1</v>
      </c>
      <c r="J438" s="6">
        <v>782025</v>
      </c>
      <c r="K438" s="7" t="s">
        <v>1781</v>
      </c>
      <c r="L438" s="8">
        <v>3948635</v>
      </c>
      <c r="M438" s="8" t="str">
        <f t="shared" si="37"/>
        <v>PEN</v>
      </c>
      <c r="N438" s="13"/>
      <c r="O438" s="13">
        <v>20000</v>
      </c>
      <c r="P438" s="3">
        <f t="shared" si="38"/>
        <v>0</v>
      </c>
      <c r="Q438" s="3">
        <f t="shared" si="39"/>
        <v>20000</v>
      </c>
      <c r="R438" s="3">
        <f t="shared" si="35"/>
        <v>15889.419999999998</v>
      </c>
      <c r="S438" s="24"/>
      <c r="T438" s="24" t="s">
        <v>1334</v>
      </c>
      <c r="U438" s="53"/>
      <c r="V438" s="25">
        <f>IFERROR(VLOOKUP(BCP_Soles[[#This Row],[destinatario]],CHOOSE({1,2},Clientes_Proveedores[Razon Social],Clientes_Proveedores[Ruc / Dni]),2,0),"")</f>
        <v>45286301</v>
      </c>
      <c r="W438" s="25" t="s">
        <v>1782</v>
      </c>
      <c r="X438" s="25" t="s">
        <v>1430</v>
      </c>
      <c r="Y438" s="25"/>
      <c r="Z438" s="75"/>
      <c r="AA438" s="3" t="str">
        <f>IF(BCP_Soles[[#This Row],[fecha]]&gt;0,TEXT(BCP_Soles[[#This Row],[fecha]],"mmmm"),0)</f>
        <v>Febrero</v>
      </c>
    </row>
    <row r="439" spans="1:27" ht="24" x14ac:dyDescent="0.3">
      <c r="A439" s="2">
        <f>IF(BCP_Soles[[#This Row],[tipo_registro]]="R",COUNTIFS($C$1:$C438,"R")+1,A438)</f>
        <v>276</v>
      </c>
      <c r="B439" s="19" t="str">
        <f t="shared" si="36"/>
        <v>B-BCP - Soles</v>
      </c>
      <c r="C439" s="3" t="s">
        <v>1330</v>
      </c>
      <c r="D439" s="14">
        <v>45691</v>
      </c>
      <c r="E439" s="5" t="s">
        <v>1338</v>
      </c>
      <c r="F439" s="5" t="s">
        <v>1336</v>
      </c>
      <c r="G439" s="6" t="s">
        <v>698</v>
      </c>
      <c r="H439" s="6"/>
      <c r="I439" s="6"/>
      <c r="J439" s="6"/>
      <c r="K439" s="7" t="s">
        <v>1783</v>
      </c>
      <c r="L439" s="8">
        <v>4061205</v>
      </c>
      <c r="M439" s="8" t="str">
        <f t="shared" si="37"/>
        <v>PEN</v>
      </c>
      <c r="N439" s="13"/>
      <c r="O439" s="13">
        <v>3219.5</v>
      </c>
      <c r="P439" s="3">
        <f t="shared" si="38"/>
        <v>0</v>
      </c>
      <c r="Q439" s="3">
        <f t="shared" si="39"/>
        <v>3219.5</v>
      </c>
      <c r="R439" s="3">
        <f t="shared" si="35"/>
        <v>12669.919999999998</v>
      </c>
      <c r="S439" s="24"/>
      <c r="T439" s="24"/>
      <c r="U439" s="53"/>
      <c r="V439" s="25">
        <f>IFERROR(VLOOKUP(BCP_Soles[[#This Row],[destinatario]],CHOOSE({1,2},Clientes_Proveedores[Razon Social],Clientes_Proveedores[Ruc / Dni]),2,0),"")</f>
        <v>10296347634</v>
      </c>
      <c r="W439" s="25" t="s">
        <v>698</v>
      </c>
      <c r="X439" s="25"/>
      <c r="Y439" s="25"/>
      <c r="Z439" s="75"/>
      <c r="AA439" s="3" t="str">
        <f>IF(BCP_Soles[[#This Row],[fecha]]&gt;0,TEXT(BCP_Soles[[#This Row],[fecha]],"mmmm"),0)</f>
        <v>Febrero</v>
      </c>
    </row>
    <row r="440" spans="1:27" ht="24" x14ac:dyDescent="0.3">
      <c r="A440" s="2">
        <f>IF(BCP_Soles[[#This Row],[tipo_registro]]="R",COUNTIFS($C$1:$C439,"R")+1,A439)</f>
        <v>276</v>
      </c>
      <c r="B440" s="19" t="str">
        <f t="shared" si="36"/>
        <v>B-BCP - Soles</v>
      </c>
      <c r="C440" s="3" t="s">
        <v>1352</v>
      </c>
      <c r="D440" s="14">
        <v>45691</v>
      </c>
      <c r="E440" s="5" t="s">
        <v>1338</v>
      </c>
      <c r="F440" s="5" t="s">
        <v>1336</v>
      </c>
      <c r="G440" s="6" t="s">
        <v>698</v>
      </c>
      <c r="H440" s="6" t="s">
        <v>64</v>
      </c>
      <c r="I440" s="6"/>
      <c r="J440" s="6"/>
      <c r="K440" s="7" t="s">
        <v>1783</v>
      </c>
      <c r="L440" s="8">
        <v>4061205</v>
      </c>
      <c r="M440" s="8" t="str">
        <f t="shared" si="37"/>
        <v>PEN</v>
      </c>
      <c r="N440" s="13">
        <v>3200</v>
      </c>
      <c r="O440" s="13"/>
      <c r="P440" s="3">
        <f t="shared" si="38"/>
        <v>0</v>
      </c>
      <c r="Q440" s="3">
        <f t="shared" si="39"/>
        <v>0</v>
      </c>
      <c r="R440" s="3">
        <f t="shared" si="35"/>
        <v>12669.919999999998</v>
      </c>
      <c r="S440" s="24"/>
      <c r="T440" s="24"/>
      <c r="U440" s="53"/>
      <c r="V440" s="25">
        <f>IFERROR(VLOOKUP(BCP_Soles[[#This Row],[destinatario]],CHOOSE({1,2},Clientes_Proveedores[Razon Social],Clientes_Proveedores[Ruc / Dni]),2,0),"")</f>
        <v>10296347634</v>
      </c>
      <c r="W440" s="25"/>
      <c r="X440" s="25"/>
      <c r="Y440" s="25"/>
      <c r="Z440" s="75"/>
      <c r="AA440" s="3" t="str">
        <f>IF(BCP_Soles[[#This Row],[fecha]]&gt;0,TEXT(BCP_Soles[[#This Row],[fecha]],"mmmm"),0)</f>
        <v>Febrero</v>
      </c>
    </row>
    <row r="441" spans="1:27" ht="24" x14ac:dyDescent="0.3">
      <c r="A441" s="2">
        <f>IF(BCP_Soles[[#This Row],[tipo_registro]]="R",COUNTIFS($C$1:$C440,"R")+1,A440)</f>
        <v>276</v>
      </c>
      <c r="B441" s="19" t="str">
        <f t="shared" si="36"/>
        <v>B-BCP - Soles</v>
      </c>
      <c r="C441" s="3" t="s">
        <v>1352</v>
      </c>
      <c r="D441" s="14">
        <v>45691</v>
      </c>
      <c r="E441" s="5" t="s">
        <v>1338</v>
      </c>
      <c r="F441" s="5" t="s">
        <v>1336</v>
      </c>
      <c r="G441" s="6" t="s">
        <v>1060</v>
      </c>
      <c r="H441" s="6" t="s">
        <v>68</v>
      </c>
      <c r="I441" s="6" t="s">
        <v>1397</v>
      </c>
      <c r="J441" s="6">
        <v>29132762</v>
      </c>
      <c r="K441" s="7" t="s">
        <v>1783</v>
      </c>
      <c r="L441" s="8">
        <v>4061205</v>
      </c>
      <c r="M441" s="8" t="str">
        <f t="shared" si="37"/>
        <v>PEN</v>
      </c>
      <c r="N441" s="13">
        <v>19.5</v>
      </c>
      <c r="O441" s="13"/>
      <c r="P441" s="3">
        <f t="shared" si="38"/>
        <v>0</v>
      </c>
      <c r="Q441" s="3">
        <f t="shared" si="39"/>
        <v>0</v>
      </c>
      <c r="R441" s="3">
        <f t="shared" si="35"/>
        <v>12669.919999999998</v>
      </c>
      <c r="S441" s="24" t="s">
        <v>1334</v>
      </c>
      <c r="T441" s="24"/>
      <c r="U441" s="53"/>
      <c r="V441" s="25">
        <f>IFERROR(VLOOKUP(BCP_Soles[[#This Row],[destinatario]],CHOOSE({1,2},Clientes_Proveedores[Razon Social],Clientes_Proveedores[Ruc / Dni]),2,0),"")</f>
        <v>20100047218</v>
      </c>
      <c r="W441" s="25"/>
      <c r="X441" s="25"/>
      <c r="Y441" s="25"/>
      <c r="Z441" s="75"/>
      <c r="AA441" s="3" t="str">
        <f>IF(BCP_Soles[[#This Row],[fecha]]&gt;0,TEXT(BCP_Soles[[#This Row],[fecha]],"mmmm"),0)</f>
        <v>Febrero</v>
      </c>
    </row>
    <row r="442" spans="1:27" ht="24" x14ac:dyDescent="0.3">
      <c r="A442" s="2">
        <f>IF(BCP_Soles[[#This Row],[tipo_registro]]="R",COUNTIFS($C$1:$C441,"R")+1,A441)</f>
        <v>277</v>
      </c>
      <c r="B442" s="19" t="str">
        <f t="shared" si="36"/>
        <v>B-BCP - Soles</v>
      </c>
      <c r="C442" s="3" t="s">
        <v>1330</v>
      </c>
      <c r="D442" s="14">
        <v>45691</v>
      </c>
      <c r="E442" s="5" t="s">
        <v>1338</v>
      </c>
      <c r="F442" s="5" t="s">
        <v>1336</v>
      </c>
      <c r="G442" s="6" t="s">
        <v>709</v>
      </c>
      <c r="H442" s="6" t="s">
        <v>68</v>
      </c>
      <c r="I442" s="6" t="s">
        <v>1784</v>
      </c>
      <c r="J442" s="6">
        <v>11791</v>
      </c>
      <c r="K442" s="7" t="s">
        <v>1785</v>
      </c>
      <c r="L442" s="8">
        <v>1210362</v>
      </c>
      <c r="M442" s="8" t="str">
        <f t="shared" si="37"/>
        <v>PEN</v>
      </c>
      <c r="N442" s="13"/>
      <c r="O442" s="13">
        <v>516</v>
      </c>
      <c r="P442" s="3">
        <f t="shared" si="38"/>
        <v>0</v>
      </c>
      <c r="Q442" s="3">
        <f t="shared" si="39"/>
        <v>516</v>
      </c>
      <c r="R442" s="3">
        <f t="shared" si="35"/>
        <v>12153.919999999998</v>
      </c>
      <c r="S442" s="24" t="s">
        <v>1334</v>
      </c>
      <c r="T442" s="24" t="s">
        <v>1334</v>
      </c>
      <c r="U442" s="53"/>
      <c r="V442" s="25">
        <f>IFERROR(VLOOKUP(BCP_Soles[[#This Row],[destinatario]],CHOOSE({1,2},Clientes_Proveedores[Razon Social],Clientes_Proveedores[Ruc / Dni]),2,0),"")</f>
        <v>20497420378</v>
      </c>
      <c r="W442" s="25" t="s">
        <v>709</v>
      </c>
      <c r="X442" s="25" t="s">
        <v>1786</v>
      </c>
      <c r="Y442" s="25"/>
      <c r="Z442" s="75"/>
      <c r="AA442" s="3" t="str">
        <f>IF(BCP_Soles[[#This Row],[fecha]]&gt;0,TEXT(BCP_Soles[[#This Row],[fecha]],"mmmm"),0)</f>
        <v>Febrero</v>
      </c>
    </row>
    <row r="443" spans="1:27" ht="24" x14ac:dyDescent="0.3">
      <c r="A443" s="2">
        <f>IF(BCP_Soles[[#This Row],[tipo_registro]]="R",COUNTIFS($C$1:$C442,"R")+1,A442)</f>
        <v>278</v>
      </c>
      <c r="B443" s="19" t="str">
        <f t="shared" si="36"/>
        <v>B-BCP - Soles</v>
      </c>
      <c r="C443" s="3" t="s">
        <v>1330</v>
      </c>
      <c r="D443" s="14">
        <v>45691</v>
      </c>
      <c r="E443" s="5" t="s">
        <v>1338</v>
      </c>
      <c r="F443" s="5" t="s">
        <v>1336</v>
      </c>
      <c r="G443" s="6" t="s">
        <v>165</v>
      </c>
      <c r="H443" s="6" t="s">
        <v>72</v>
      </c>
      <c r="I443" s="6" t="s">
        <v>1376</v>
      </c>
      <c r="J443" s="6">
        <v>145</v>
      </c>
      <c r="K443" s="7" t="s">
        <v>1787</v>
      </c>
      <c r="L443" s="8">
        <v>1205343</v>
      </c>
      <c r="M443" s="8" t="str">
        <f t="shared" si="37"/>
        <v>PEN</v>
      </c>
      <c r="N443" s="13"/>
      <c r="O443" s="13">
        <v>200</v>
      </c>
      <c r="P443" s="3">
        <f t="shared" si="38"/>
        <v>0</v>
      </c>
      <c r="Q443" s="3">
        <f t="shared" si="39"/>
        <v>200</v>
      </c>
      <c r="R443" s="3">
        <f t="shared" si="35"/>
        <v>11953.919999999998</v>
      </c>
      <c r="S443" s="24"/>
      <c r="T443" s="24" t="s">
        <v>1334</v>
      </c>
      <c r="U443" s="53"/>
      <c r="V443" s="25">
        <f>IFERROR(VLOOKUP(BCP_Soles[[#This Row],[destinatario]],CHOOSE({1,2},Clientes_Proveedores[Razon Social],Clientes_Proveedores[Ruc / Dni]),2,0),"")</f>
        <v>10418721435</v>
      </c>
      <c r="W443" s="25" t="s">
        <v>751</v>
      </c>
      <c r="X443" s="25" t="s">
        <v>1788</v>
      </c>
      <c r="Y443" s="25"/>
      <c r="Z443" s="75"/>
      <c r="AA443" s="3" t="str">
        <f>IF(BCP_Soles[[#This Row],[fecha]]&gt;0,TEXT(BCP_Soles[[#This Row],[fecha]],"mmmm"),0)</f>
        <v>Febrero</v>
      </c>
    </row>
    <row r="444" spans="1:27" ht="24" x14ac:dyDescent="0.3">
      <c r="A444" s="2">
        <f>IF(BCP_Soles[[#This Row],[tipo_registro]]="R",COUNTIFS($C$1:$C443,"R")+1,A443)</f>
        <v>279</v>
      </c>
      <c r="B444" s="19" t="str">
        <f t="shared" si="36"/>
        <v>B-BCP - Soles</v>
      </c>
      <c r="C444" s="3" t="s">
        <v>1330</v>
      </c>
      <c r="D444" s="14">
        <v>45691</v>
      </c>
      <c r="E444" s="5" t="s">
        <v>350</v>
      </c>
      <c r="F444" s="5" t="s">
        <v>1303</v>
      </c>
      <c r="G444" s="6" t="s">
        <v>425</v>
      </c>
      <c r="H444" s="6"/>
      <c r="I444" s="6"/>
      <c r="J444" s="6"/>
      <c r="K444" s="7" t="s">
        <v>1455</v>
      </c>
      <c r="L444" s="8">
        <v>2181557</v>
      </c>
      <c r="M444" s="8" t="str">
        <f t="shared" si="37"/>
        <v>PEN</v>
      </c>
      <c r="N444" s="13"/>
      <c r="O444" s="13">
        <v>1784.75</v>
      </c>
      <c r="P444" s="3">
        <f t="shared" si="38"/>
        <v>1784.75</v>
      </c>
      <c r="Q444" s="3">
        <f t="shared" si="39"/>
        <v>0</v>
      </c>
      <c r="R444" s="3">
        <f t="shared" si="35"/>
        <v>13738.669999999998</v>
      </c>
      <c r="S444" s="24" t="s">
        <v>1334</v>
      </c>
      <c r="T444" s="24" t="s">
        <v>1334</v>
      </c>
      <c r="U444" s="53"/>
      <c r="V444" s="25">
        <f>IFERROR(VLOOKUP(BCP_Soles[[#This Row],[destinatario]],CHOOSE({1,2},Clientes_Proveedores[Razon Social],Clientes_Proveedores[Ruc / Dni]),2,0),"")</f>
        <v>20558226979</v>
      </c>
      <c r="W444" s="25" t="s">
        <v>1345</v>
      </c>
      <c r="X444" s="25" t="s">
        <v>1789</v>
      </c>
      <c r="Y444" s="25"/>
      <c r="Z444" s="75"/>
      <c r="AA444" s="3" t="str">
        <f>IF(BCP_Soles[[#This Row],[fecha]]&gt;0,TEXT(BCP_Soles[[#This Row],[fecha]],"mmmm"),0)</f>
        <v>Febrero</v>
      </c>
    </row>
    <row r="445" spans="1:27" x14ac:dyDescent="0.3">
      <c r="A445" s="2">
        <f>IF(BCP_Soles[[#This Row],[tipo_registro]]="R",COUNTIFS($C$1:$C444,"R")+1,A444)</f>
        <v>280</v>
      </c>
      <c r="B445" s="19" t="str">
        <f t="shared" si="36"/>
        <v>B-BCP - Soles</v>
      </c>
      <c r="C445" s="3" t="s">
        <v>1330</v>
      </c>
      <c r="D445" s="14">
        <v>45692</v>
      </c>
      <c r="E445" s="5" t="s">
        <v>1335</v>
      </c>
      <c r="F445" s="5" t="s">
        <v>1336</v>
      </c>
      <c r="G445" s="6"/>
      <c r="H445" s="6"/>
      <c r="I445" s="6"/>
      <c r="J445" s="6"/>
      <c r="K445" s="7" t="s">
        <v>1337</v>
      </c>
      <c r="L445" s="8"/>
      <c r="M445" s="8" t="str">
        <f t="shared" si="37"/>
        <v>PEN</v>
      </c>
      <c r="N445" s="13"/>
      <c r="O445" s="13">
        <v>0.15</v>
      </c>
      <c r="P445" s="3">
        <f t="shared" si="38"/>
        <v>0</v>
      </c>
      <c r="Q445" s="3">
        <f t="shared" si="39"/>
        <v>0.15</v>
      </c>
      <c r="R445" s="3">
        <f t="shared" si="35"/>
        <v>13738.519999999999</v>
      </c>
      <c r="S445" s="24"/>
      <c r="T445" s="24" t="s">
        <v>1334</v>
      </c>
      <c r="U445" s="53"/>
      <c r="V445" s="25" t="str">
        <f>IFERROR(VLOOKUP(BCP_Soles[[#This Row],[destinatario]],CHOOSE({1,2},Clientes_Proveedores[Razon Social],Clientes_Proveedores[Ruc / Dni]),2,0),"")</f>
        <v/>
      </c>
      <c r="W445" s="25"/>
      <c r="X445" s="25"/>
      <c r="Y445" s="25"/>
      <c r="Z445" s="75"/>
      <c r="AA445" s="3" t="str">
        <f>IF(BCP_Soles[[#This Row],[fecha]]&gt;0,TEXT(BCP_Soles[[#This Row],[fecha]],"mmmm"),0)</f>
        <v>Febrero</v>
      </c>
    </row>
    <row r="446" spans="1:27" ht="36" x14ac:dyDescent="0.3">
      <c r="A446" s="2">
        <f>IF(BCP_Soles[[#This Row],[tipo_registro]]="R",COUNTIFS($C$1:$C445,"R")+1,A445)</f>
        <v>281</v>
      </c>
      <c r="B446" s="19" t="str">
        <f t="shared" si="36"/>
        <v>B-BCP - Soles</v>
      </c>
      <c r="C446" s="3" t="s">
        <v>1330</v>
      </c>
      <c r="D446" s="14">
        <v>45692</v>
      </c>
      <c r="E446" s="5" t="s">
        <v>1338</v>
      </c>
      <c r="F446" s="5" t="s">
        <v>1336</v>
      </c>
      <c r="G446" s="6"/>
      <c r="H446" s="6"/>
      <c r="I446" s="6"/>
      <c r="J446" s="6"/>
      <c r="K446" s="7" t="s">
        <v>1790</v>
      </c>
      <c r="L446" s="8">
        <v>1269347</v>
      </c>
      <c r="M446" s="8" t="str">
        <f t="shared" si="37"/>
        <v>PEN</v>
      </c>
      <c r="N446" s="13"/>
      <c r="O446" s="13">
        <v>1987.3</v>
      </c>
      <c r="P446" s="3">
        <f t="shared" si="38"/>
        <v>0</v>
      </c>
      <c r="Q446" s="3">
        <f t="shared" si="39"/>
        <v>1987.3</v>
      </c>
      <c r="R446" s="3">
        <f t="shared" si="35"/>
        <v>11751.22</v>
      </c>
      <c r="S446" s="24" t="s">
        <v>1334</v>
      </c>
      <c r="T446" s="24" t="s">
        <v>1334</v>
      </c>
      <c r="U446" s="53"/>
      <c r="V446" s="25" t="str">
        <f>IFERROR(VLOOKUP(BCP_Soles[[#This Row],[destinatario]],CHOOSE({1,2},Clientes_Proveedores[Razon Social],Clientes_Proveedores[Ruc / Dni]),2,0),"")</f>
        <v/>
      </c>
      <c r="W446" s="25" t="s">
        <v>948</v>
      </c>
      <c r="X446" s="25"/>
      <c r="Y446" s="25"/>
      <c r="Z446" s="75"/>
      <c r="AA446" s="3" t="str">
        <f>IF(BCP_Soles[[#This Row],[fecha]]&gt;0,TEXT(BCP_Soles[[#This Row],[fecha]],"mmmm"),0)</f>
        <v>Febrero</v>
      </c>
    </row>
    <row r="447" spans="1:27" ht="24" x14ac:dyDescent="0.3">
      <c r="A447" s="2">
        <f>IF(BCP_Soles[[#This Row],[tipo_registro]]="R",COUNTIFS($C$1:$C446,"R")+1,A446)</f>
        <v>282</v>
      </c>
      <c r="B447" s="19" t="str">
        <f t="shared" si="36"/>
        <v>B-BCP - Soles</v>
      </c>
      <c r="C447" s="3" t="s">
        <v>1330</v>
      </c>
      <c r="D447" s="14">
        <v>45692</v>
      </c>
      <c r="E447" s="5" t="s">
        <v>1338</v>
      </c>
      <c r="F447" s="5" t="s">
        <v>1336</v>
      </c>
      <c r="G447" s="6" t="s">
        <v>888</v>
      </c>
      <c r="H447" s="6" t="s">
        <v>147</v>
      </c>
      <c r="I447" s="6">
        <v>14</v>
      </c>
      <c r="J447" s="6">
        <v>28</v>
      </c>
      <c r="K447" s="7" t="s">
        <v>1791</v>
      </c>
      <c r="L447" s="8">
        <v>1186467</v>
      </c>
      <c r="M447" s="8" t="str">
        <f t="shared" si="37"/>
        <v>PEN</v>
      </c>
      <c r="N447" s="13"/>
      <c r="O447" s="13">
        <v>1957.54</v>
      </c>
      <c r="P447" s="3">
        <f t="shared" si="38"/>
        <v>0</v>
      </c>
      <c r="Q447" s="3">
        <f t="shared" si="39"/>
        <v>1957.54</v>
      </c>
      <c r="R447" s="3">
        <f t="shared" si="35"/>
        <v>9793.68</v>
      </c>
      <c r="S447" s="24"/>
      <c r="T447" s="24" t="s">
        <v>1334</v>
      </c>
      <c r="U447" s="53"/>
      <c r="V447" s="25">
        <f>IFERROR(VLOOKUP(BCP_Soles[[#This Row],[destinatario]],CHOOSE({1,2},Clientes_Proveedores[Razon Social],Clientes_Proveedores[Ruc / Dni]),2,0),"")</f>
        <v>47461440</v>
      </c>
      <c r="W447" s="25"/>
      <c r="X447" s="25"/>
      <c r="Y447" s="25"/>
      <c r="Z447" s="75"/>
      <c r="AA447" s="3" t="str">
        <f>IF(BCP_Soles[[#This Row],[fecha]]&gt;0,TEXT(BCP_Soles[[#This Row],[fecha]],"mmmm"),0)</f>
        <v>Febrero</v>
      </c>
    </row>
    <row r="448" spans="1:27" ht="48" x14ac:dyDescent="0.3">
      <c r="A448" s="2">
        <f>IF(BCP_Soles[[#This Row],[tipo_registro]]="R",COUNTIFS($C$1:$C447,"R")+1,A447)</f>
        <v>283</v>
      </c>
      <c r="B448" s="19" t="str">
        <f t="shared" si="36"/>
        <v>B-BCP - Soles</v>
      </c>
      <c r="C448" s="3" t="s">
        <v>1330</v>
      </c>
      <c r="D448" s="14">
        <v>45692</v>
      </c>
      <c r="E448" s="5" t="s">
        <v>1338</v>
      </c>
      <c r="F448" s="5" t="s">
        <v>1336</v>
      </c>
      <c r="G448" s="6" t="s">
        <v>501</v>
      </c>
      <c r="H448" s="6" t="s">
        <v>68</v>
      </c>
      <c r="I448" s="6" t="s">
        <v>1526</v>
      </c>
      <c r="J448" s="6">
        <v>9355</v>
      </c>
      <c r="K448" s="7" t="s">
        <v>1792</v>
      </c>
      <c r="L448" s="8">
        <v>1104082</v>
      </c>
      <c r="M448" s="8" t="str">
        <f t="shared" si="37"/>
        <v>PEN</v>
      </c>
      <c r="N448" s="13"/>
      <c r="O448" s="13">
        <v>304.01</v>
      </c>
      <c r="P448" s="3">
        <f t="shared" si="38"/>
        <v>0</v>
      </c>
      <c r="Q448" s="3">
        <f t="shared" si="39"/>
        <v>304.01</v>
      </c>
      <c r="R448" s="3">
        <f t="shared" si="35"/>
        <v>9489.67</v>
      </c>
      <c r="S448" s="24" t="s">
        <v>1334</v>
      </c>
      <c r="T448" s="24" t="s">
        <v>1334</v>
      </c>
      <c r="U448" s="53"/>
      <c r="V448" s="25">
        <f>IFERROR(VLOOKUP(BCP_Soles[[#This Row],[destinatario]],CHOOSE({1,2},Clientes_Proveedores[Razon Social],Clientes_Proveedores[Ruc / Dni]),2,0),"")</f>
        <v>20602978274</v>
      </c>
      <c r="W448" s="25" t="s">
        <v>1528</v>
      </c>
      <c r="X448" s="25" t="s">
        <v>1793</v>
      </c>
      <c r="Y448" s="25"/>
      <c r="Z448" s="75"/>
      <c r="AA448" s="3" t="str">
        <f>IF(BCP_Soles[[#This Row],[fecha]]&gt;0,TEXT(BCP_Soles[[#This Row],[fecha]],"mmmm"),0)</f>
        <v>Febrero</v>
      </c>
    </row>
    <row r="449" spans="1:27" ht="48" x14ac:dyDescent="0.3">
      <c r="A449" s="2">
        <f>IF(BCP_Soles[[#This Row],[tipo_registro]]="R",COUNTIFS($C$1:$C448,"R")+1,A448)</f>
        <v>284</v>
      </c>
      <c r="B449" s="19" t="str">
        <f t="shared" si="36"/>
        <v>B-BCP - Soles</v>
      </c>
      <c r="C449" s="3" t="s">
        <v>1330</v>
      </c>
      <c r="D449" s="14">
        <v>45692</v>
      </c>
      <c r="E449" s="5" t="s">
        <v>1338</v>
      </c>
      <c r="F449" s="5" t="s">
        <v>1336</v>
      </c>
      <c r="G449" s="6" t="s">
        <v>501</v>
      </c>
      <c r="H449" s="6" t="s">
        <v>68</v>
      </c>
      <c r="I449" s="6" t="s">
        <v>1650</v>
      </c>
      <c r="J449" s="6">
        <v>6417</v>
      </c>
      <c r="K449" s="7" t="s">
        <v>1794</v>
      </c>
      <c r="L449" s="8">
        <v>1148039</v>
      </c>
      <c r="M449" s="8" t="str">
        <f t="shared" si="37"/>
        <v>PEN</v>
      </c>
      <c r="N449" s="13"/>
      <c r="O449" s="13">
        <v>212.5</v>
      </c>
      <c r="P449" s="3">
        <f t="shared" si="38"/>
        <v>0</v>
      </c>
      <c r="Q449" s="3">
        <f t="shared" si="39"/>
        <v>212.5</v>
      </c>
      <c r="R449" s="3">
        <f t="shared" si="35"/>
        <v>9277.17</v>
      </c>
      <c r="S449" s="24" t="s">
        <v>1334</v>
      </c>
      <c r="T449" s="24" t="s">
        <v>1334</v>
      </c>
      <c r="U449" s="53"/>
      <c r="V449" s="25">
        <f>IFERROR(VLOOKUP(BCP_Soles[[#This Row],[destinatario]],CHOOSE({1,2},Clientes_Proveedores[Razon Social],Clientes_Proveedores[Ruc / Dni]),2,0),"")</f>
        <v>20602978274</v>
      </c>
      <c r="W449" s="25" t="s">
        <v>1528</v>
      </c>
      <c r="X449" s="25" t="s">
        <v>1795</v>
      </c>
      <c r="Y449" s="25"/>
      <c r="Z449" s="75"/>
      <c r="AA449" s="3" t="str">
        <f>IF(BCP_Soles[[#This Row],[fecha]]&gt;0,TEXT(BCP_Soles[[#This Row],[fecha]],"mmmm"),0)</f>
        <v>Febrero</v>
      </c>
    </row>
    <row r="450" spans="1:27" ht="24" x14ac:dyDescent="0.3">
      <c r="A450" s="2">
        <f>IF(BCP_Soles[[#This Row],[tipo_registro]]="R",COUNTIFS($C$1:$C449,"R")+1,A449)</f>
        <v>285</v>
      </c>
      <c r="B450" s="19" t="str">
        <f t="shared" si="36"/>
        <v>B-BCP - Soles</v>
      </c>
      <c r="C450" s="3" t="s">
        <v>1330</v>
      </c>
      <c r="D450" s="14">
        <v>45692</v>
      </c>
      <c r="E450" s="5" t="s">
        <v>1338</v>
      </c>
      <c r="F450" s="5" t="s">
        <v>1336</v>
      </c>
      <c r="G450" s="6" t="s">
        <v>1032</v>
      </c>
      <c r="H450" s="6"/>
      <c r="I450" s="6"/>
      <c r="J450" s="6"/>
      <c r="K450" s="7" t="s">
        <v>1796</v>
      </c>
      <c r="L450" s="8">
        <v>1240408</v>
      </c>
      <c r="M450" s="8" t="str">
        <f t="shared" si="37"/>
        <v>PEN</v>
      </c>
      <c r="N450" s="13"/>
      <c r="O450" s="13">
        <v>150</v>
      </c>
      <c r="P450" s="3">
        <f t="shared" si="38"/>
        <v>0</v>
      </c>
      <c r="Q450" s="3">
        <f t="shared" si="39"/>
        <v>150</v>
      </c>
      <c r="R450" s="3">
        <f t="shared" si="35"/>
        <v>9127.17</v>
      </c>
      <c r="S450" s="24" t="s">
        <v>1334</v>
      </c>
      <c r="T450" s="24" t="s">
        <v>1334</v>
      </c>
      <c r="U450" s="53"/>
      <c r="V450" s="25">
        <f>IFERROR(VLOOKUP(BCP_Soles[[#This Row],[destinatario]],CHOOSE({1,2},Clientes_Proveedores[Razon Social],Clientes_Proveedores[Ruc / Dni]),2,0),"")</f>
        <v>10440377497</v>
      </c>
      <c r="W450" s="25" t="s">
        <v>1032</v>
      </c>
      <c r="X450" s="25" t="s">
        <v>1797</v>
      </c>
      <c r="Y450" s="25"/>
      <c r="Z450" s="75"/>
      <c r="AA450" s="3" t="str">
        <f>IF(BCP_Soles[[#This Row],[fecha]]&gt;0,TEXT(BCP_Soles[[#This Row],[fecha]],"mmmm"),0)</f>
        <v>Febrero</v>
      </c>
    </row>
    <row r="451" spans="1:27" ht="24" x14ac:dyDescent="0.3">
      <c r="A451" s="2">
        <f>IF(BCP_Soles[[#This Row],[tipo_registro]]="R",COUNTIFS($C$1:$C450,"R")+1,A450)</f>
        <v>286</v>
      </c>
      <c r="B451" s="19" t="str">
        <f t="shared" si="36"/>
        <v>B-BCP - Soles</v>
      </c>
      <c r="C451" s="3" t="s">
        <v>1330</v>
      </c>
      <c r="D451" s="14">
        <v>45692</v>
      </c>
      <c r="E451" s="5" t="s">
        <v>1338</v>
      </c>
      <c r="F451" s="5" t="s">
        <v>1336</v>
      </c>
      <c r="G451" s="6" t="s">
        <v>249</v>
      </c>
      <c r="H451" s="6"/>
      <c r="I451" s="6"/>
      <c r="J451" s="6"/>
      <c r="K451" s="7" t="s">
        <v>1798</v>
      </c>
      <c r="L451" s="8">
        <v>1200456</v>
      </c>
      <c r="M451" s="8" t="str">
        <f t="shared" si="37"/>
        <v>PEN</v>
      </c>
      <c r="N451" s="13"/>
      <c r="O451" s="13">
        <v>40.71</v>
      </c>
      <c r="P451" s="3">
        <f t="shared" si="38"/>
        <v>0</v>
      </c>
      <c r="Q451" s="3">
        <f t="shared" si="39"/>
        <v>40.71</v>
      </c>
      <c r="R451" s="3">
        <f t="shared" si="35"/>
        <v>9086.4600000000009</v>
      </c>
      <c r="S451" s="24"/>
      <c r="T451" s="24"/>
      <c r="U451" s="53"/>
      <c r="V451" s="25">
        <f>IFERROR(VLOOKUP(BCP_Soles[[#This Row],[destinatario]],CHOOSE({1,2},Clientes_Proveedores[Razon Social],Clientes_Proveedores[Ruc / Dni]),2,0),"")</f>
        <v>20302891452</v>
      </c>
      <c r="W451" s="25" t="s">
        <v>249</v>
      </c>
      <c r="X451" s="25"/>
      <c r="Y451" s="25"/>
      <c r="Z451" s="75"/>
      <c r="AA451" s="3" t="str">
        <f>IF(BCP_Soles[[#This Row],[fecha]]&gt;0,TEXT(BCP_Soles[[#This Row],[fecha]],"mmmm"),0)</f>
        <v>Febrero</v>
      </c>
    </row>
    <row r="452" spans="1:27" ht="24" x14ac:dyDescent="0.3">
      <c r="A452" s="2">
        <f>IF(BCP_Soles[[#This Row],[tipo_registro]]="R",COUNTIFS($C$1:$C451,"R")+1,A451)</f>
        <v>287</v>
      </c>
      <c r="B452" s="19" t="str">
        <f t="shared" si="36"/>
        <v>B-BCP - Soles</v>
      </c>
      <c r="C452" s="3" t="s">
        <v>1330</v>
      </c>
      <c r="D452" s="14">
        <v>45692</v>
      </c>
      <c r="E452" s="5" t="s">
        <v>1799</v>
      </c>
      <c r="F452" s="5" t="s">
        <v>1303</v>
      </c>
      <c r="G452" s="6" t="s">
        <v>425</v>
      </c>
      <c r="H452" s="6" t="s">
        <v>119</v>
      </c>
      <c r="I452" s="6">
        <v>1</v>
      </c>
      <c r="J452" s="6">
        <v>4110</v>
      </c>
      <c r="K452" s="7" t="s">
        <v>1356</v>
      </c>
      <c r="L452" s="8">
        <v>3710036</v>
      </c>
      <c r="M452" s="8" t="str">
        <f t="shared" si="37"/>
        <v>PEN</v>
      </c>
      <c r="N452" s="13"/>
      <c r="O452" s="13">
        <v>1100</v>
      </c>
      <c r="P452" s="3">
        <f t="shared" si="38"/>
        <v>1100</v>
      </c>
      <c r="Q452" s="3">
        <f t="shared" si="39"/>
        <v>0</v>
      </c>
      <c r="R452" s="3">
        <f t="shared" si="35"/>
        <v>10186.460000000001</v>
      </c>
      <c r="S452" s="24" t="s">
        <v>1334</v>
      </c>
      <c r="T452" s="24" t="s">
        <v>1334</v>
      </c>
      <c r="U452" s="53"/>
      <c r="V452" s="25">
        <f>IFERROR(VLOOKUP(BCP_Soles[[#This Row],[destinatario]],CHOOSE({1,2},Clientes_Proveedores[Razon Social],Clientes_Proveedores[Ruc / Dni]),2,0),"")</f>
        <v>20558226979</v>
      </c>
      <c r="W452" s="25" t="s">
        <v>1345</v>
      </c>
      <c r="X452" s="25" t="s">
        <v>1800</v>
      </c>
      <c r="Y452" s="25"/>
      <c r="Z452" s="75"/>
      <c r="AA452" s="3" t="str">
        <f>IF(BCP_Soles[[#This Row],[fecha]]&gt;0,TEXT(BCP_Soles[[#This Row],[fecha]],"mmmm"),0)</f>
        <v>Febrero</v>
      </c>
    </row>
    <row r="453" spans="1:27" ht="48" x14ac:dyDescent="0.3">
      <c r="A453" s="2">
        <f>IF(BCP_Soles[[#This Row],[tipo_registro]]="R",COUNTIFS($C$1:$C452,"R")+1,A452)</f>
        <v>288</v>
      </c>
      <c r="B453" s="19" t="str">
        <f t="shared" si="36"/>
        <v>B-BCP - Soles</v>
      </c>
      <c r="C453" s="3" t="s">
        <v>1330</v>
      </c>
      <c r="D453" s="14">
        <v>45692</v>
      </c>
      <c r="E453" s="5" t="s">
        <v>320</v>
      </c>
      <c r="F453" s="5" t="s">
        <v>1303</v>
      </c>
      <c r="G453" s="6" t="s">
        <v>425</v>
      </c>
      <c r="H453" s="6"/>
      <c r="I453" s="6"/>
      <c r="J453" s="6"/>
      <c r="K453" s="7" t="s">
        <v>1801</v>
      </c>
      <c r="L453" s="8">
        <v>217752</v>
      </c>
      <c r="M453" s="8" t="str">
        <f t="shared" si="37"/>
        <v>PEN</v>
      </c>
      <c r="N453" s="13"/>
      <c r="O453" s="13">
        <v>612</v>
      </c>
      <c r="P453" s="3">
        <f t="shared" si="38"/>
        <v>612</v>
      </c>
      <c r="Q453" s="3">
        <f t="shared" si="39"/>
        <v>0</v>
      </c>
      <c r="R453" s="3">
        <f t="shared" si="35"/>
        <v>10798.460000000001</v>
      </c>
      <c r="S453" s="24" t="s">
        <v>1334</v>
      </c>
      <c r="T453" s="24" t="s">
        <v>1334</v>
      </c>
      <c r="U453" s="53"/>
      <c r="V453" s="25">
        <f>IFERROR(VLOOKUP(BCP_Soles[[#This Row],[destinatario]],CHOOSE({1,2},Clientes_Proveedores[Razon Social],Clientes_Proveedores[Ruc / Dni]),2,0),"")</f>
        <v>20558226979</v>
      </c>
      <c r="W453" s="25" t="s">
        <v>1345</v>
      </c>
      <c r="X453" s="25" t="s">
        <v>1802</v>
      </c>
      <c r="Y453" s="25"/>
      <c r="Z453" s="75"/>
      <c r="AA453" s="3" t="str">
        <f>IF(BCP_Soles[[#This Row],[fecha]]&gt;0,TEXT(BCP_Soles[[#This Row],[fecha]],"mmmm"),0)</f>
        <v>Febrero</v>
      </c>
    </row>
    <row r="454" spans="1:27" ht="48" x14ac:dyDescent="0.3">
      <c r="A454" s="2">
        <f>IF(BCP_Soles[[#This Row],[tipo_registro]]="R",COUNTIFS($C$1:$C453,"R")+1,A453)</f>
        <v>289</v>
      </c>
      <c r="B454" s="19" t="str">
        <f t="shared" si="36"/>
        <v>B-BCP - Soles</v>
      </c>
      <c r="C454" s="3" t="s">
        <v>1330</v>
      </c>
      <c r="D454" s="14">
        <v>45692</v>
      </c>
      <c r="E454" s="5" t="s">
        <v>320</v>
      </c>
      <c r="F454" s="5" t="s">
        <v>1303</v>
      </c>
      <c r="G454" s="6" t="s">
        <v>425</v>
      </c>
      <c r="H454" s="6"/>
      <c r="I454" s="6"/>
      <c r="J454" s="6"/>
      <c r="K454" s="7" t="s">
        <v>1801</v>
      </c>
      <c r="L454" s="8">
        <v>217747</v>
      </c>
      <c r="M454" s="8" t="str">
        <f t="shared" si="37"/>
        <v>PEN</v>
      </c>
      <c r="N454" s="13"/>
      <c r="O454" s="13">
        <v>600</v>
      </c>
      <c r="P454" s="3">
        <f t="shared" si="38"/>
        <v>600</v>
      </c>
      <c r="Q454" s="3">
        <f t="shared" si="39"/>
        <v>0</v>
      </c>
      <c r="R454" s="3">
        <f t="shared" si="35"/>
        <v>11398.460000000001</v>
      </c>
      <c r="S454" s="24" t="s">
        <v>1334</v>
      </c>
      <c r="T454" s="24" t="s">
        <v>1334</v>
      </c>
      <c r="U454" s="53"/>
      <c r="V454" s="25">
        <f>IFERROR(VLOOKUP(BCP_Soles[[#This Row],[destinatario]],CHOOSE({1,2},Clientes_Proveedores[Razon Social],Clientes_Proveedores[Ruc / Dni]),2,0),"")</f>
        <v>20558226979</v>
      </c>
      <c r="W454" s="25" t="s">
        <v>1345</v>
      </c>
      <c r="X454" s="25" t="s">
        <v>1802</v>
      </c>
      <c r="Y454" s="25"/>
      <c r="Z454" s="75"/>
      <c r="AA454" s="3" t="str">
        <f>IF(BCP_Soles[[#This Row],[fecha]]&gt;0,TEXT(BCP_Soles[[#This Row],[fecha]],"mmmm"),0)</f>
        <v>Febrero</v>
      </c>
    </row>
    <row r="455" spans="1:27" x14ac:dyDescent="0.3">
      <c r="A455" s="2">
        <f>IF(BCP_Soles[[#This Row],[tipo_registro]]="R",COUNTIFS($C$1:$C454,"R")+1,A454)</f>
        <v>290</v>
      </c>
      <c r="B455" s="19" t="str">
        <f t="shared" si="36"/>
        <v>B-BCP - Soles</v>
      </c>
      <c r="C455" s="3" t="s">
        <v>1330</v>
      </c>
      <c r="D455" s="14">
        <v>45693</v>
      </c>
      <c r="E455" s="5" t="s">
        <v>1338</v>
      </c>
      <c r="F455" s="5" t="s">
        <v>1336</v>
      </c>
      <c r="G455" s="6" t="s">
        <v>696</v>
      </c>
      <c r="H455" s="6"/>
      <c r="I455" s="6"/>
      <c r="J455" s="6"/>
      <c r="K455" s="7" t="s">
        <v>1803</v>
      </c>
      <c r="L455" s="8">
        <v>9193555</v>
      </c>
      <c r="M455" s="8" t="str">
        <f t="shared" si="37"/>
        <v>PEN</v>
      </c>
      <c r="N455" s="13"/>
      <c r="O455" s="13">
        <v>1690.29</v>
      </c>
      <c r="P455" s="3">
        <f t="shared" si="38"/>
        <v>0</v>
      </c>
      <c r="Q455" s="3">
        <f t="shared" si="39"/>
        <v>1690.29</v>
      </c>
      <c r="R455" s="3">
        <f t="shared" si="35"/>
        <v>9708.1700000000019</v>
      </c>
      <c r="S455" s="24" t="s">
        <v>1334</v>
      </c>
      <c r="T455" s="24" t="s">
        <v>1334</v>
      </c>
      <c r="U455" s="53"/>
      <c r="V455" s="25">
        <f>IFERROR(VLOOKUP(BCP_Soles[[#This Row],[destinatario]],CHOOSE({1,2},Clientes_Proveedores[Razon Social],Clientes_Proveedores[Ruc / Dni]),2,0),"")</f>
        <v>0</v>
      </c>
      <c r="W455" s="25" t="s">
        <v>1373</v>
      </c>
      <c r="X455" s="25"/>
      <c r="Y455" s="25"/>
      <c r="Z455" s="75"/>
      <c r="AA455" s="3" t="str">
        <f>IF(BCP_Soles[[#This Row],[fecha]]&gt;0,TEXT(BCP_Soles[[#This Row],[fecha]],"mmmm"),0)</f>
        <v>Febrero</v>
      </c>
    </row>
    <row r="456" spans="1:27" x14ac:dyDescent="0.3">
      <c r="A456" s="2">
        <f>IF(BCP_Soles[[#This Row],[tipo_registro]]="R",COUNTIFS($C$1:$C455,"R")+1,A455)</f>
        <v>290</v>
      </c>
      <c r="B456" s="19" t="str">
        <f t="shared" si="36"/>
        <v>B-BCP - Soles</v>
      </c>
      <c r="C456" s="3" t="s">
        <v>1352</v>
      </c>
      <c r="D456" s="14">
        <v>45693</v>
      </c>
      <c r="E456" s="5" t="s">
        <v>1338</v>
      </c>
      <c r="F456" s="5"/>
      <c r="G456" s="6" t="s">
        <v>493</v>
      </c>
      <c r="H456" s="6" t="s">
        <v>68</v>
      </c>
      <c r="I456" s="6" t="s">
        <v>1374</v>
      </c>
      <c r="J456" s="6">
        <v>8764</v>
      </c>
      <c r="K456" s="7" t="s">
        <v>1803</v>
      </c>
      <c r="L456" s="8">
        <v>9193555</v>
      </c>
      <c r="M456" s="8" t="str">
        <f t="shared" si="37"/>
        <v>PEN</v>
      </c>
      <c r="N456" s="13">
        <v>401.29</v>
      </c>
      <c r="O456" s="13"/>
      <c r="P456" s="3">
        <f t="shared" si="38"/>
        <v>0</v>
      </c>
      <c r="Q456" s="3">
        <f t="shared" si="39"/>
        <v>0</v>
      </c>
      <c r="R456" s="3">
        <f t="shared" si="35"/>
        <v>9708.1700000000019</v>
      </c>
      <c r="S456" s="24"/>
      <c r="T456" s="24" t="s">
        <v>1334</v>
      </c>
      <c r="U456" s="53"/>
      <c r="V456" s="25">
        <f>IFERROR(VLOOKUP(BCP_Soles[[#This Row],[destinatario]],CHOOSE({1,2},Clientes_Proveedores[Razon Social],Clientes_Proveedores[Ruc / Dni]),2,0),"")</f>
        <v>20602751326</v>
      </c>
      <c r="W456" s="25"/>
      <c r="X456" s="25"/>
      <c r="Y456" s="25"/>
      <c r="Z456" s="75"/>
      <c r="AA456" s="3" t="str">
        <f>IF(BCP_Soles[[#This Row],[fecha]]&gt;0,TEXT(BCP_Soles[[#This Row],[fecha]],"mmmm"),0)</f>
        <v>Febrero</v>
      </c>
    </row>
    <row r="457" spans="1:27" ht="24" x14ac:dyDescent="0.3">
      <c r="A457" s="2">
        <f>IF(BCP_Soles[[#This Row],[tipo_registro]]="R",COUNTIFS($C$1:$C456,"R")+1,A456)</f>
        <v>290</v>
      </c>
      <c r="B457" s="19" t="str">
        <f t="shared" si="36"/>
        <v>B-BCP - Soles</v>
      </c>
      <c r="C457" s="3" t="s">
        <v>1352</v>
      </c>
      <c r="D457" s="14">
        <v>45693</v>
      </c>
      <c r="E457" s="5" t="s">
        <v>1338</v>
      </c>
      <c r="F457" s="5"/>
      <c r="G457" s="6" t="s">
        <v>628</v>
      </c>
      <c r="H457" s="6" t="s">
        <v>68</v>
      </c>
      <c r="I457" s="6" t="s">
        <v>1374</v>
      </c>
      <c r="J457" s="6">
        <v>1190</v>
      </c>
      <c r="K457" s="7" t="s">
        <v>1803</v>
      </c>
      <c r="L457" s="8">
        <v>9193555</v>
      </c>
      <c r="M457" s="8" t="str">
        <f t="shared" si="37"/>
        <v>PEN</v>
      </c>
      <c r="N457" s="13">
        <v>184</v>
      </c>
      <c r="O457" s="13"/>
      <c r="P457" s="3">
        <f t="shared" si="38"/>
        <v>0</v>
      </c>
      <c r="Q457" s="3">
        <f t="shared" si="39"/>
        <v>0</v>
      </c>
      <c r="R457" s="3">
        <f t="shared" ref="R457:R520" si="45">IFERROR(IF(F457="SALDO",P457,R456+P457-Q457),0)</f>
        <v>9708.1700000000019</v>
      </c>
      <c r="S457" s="24"/>
      <c r="T457" s="24" t="s">
        <v>1334</v>
      </c>
      <c r="U457" s="53"/>
      <c r="V457" s="25">
        <f>IFERROR(VLOOKUP(BCP_Soles[[#This Row],[destinatario]],CHOOSE({1,2},Clientes_Proveedores[Razon Social],Clientes_Proveedores[Ruc / Dni]),2,0),"")</f>
        <v>20539347226</v>
      </c>
      <c r="W457" s="25"/>
      <c r="X457" s="25"/>
      <c r="Y457" s="25"/>
      <c r="Z457" s="75"/>
      <c r="AA457" s="3" t="str">
        <f>IF(BCP_Soles[[#This Row],[fecha]]&gt;0,TEXT(BCP_Soles[[#This Row],[fecha]],"mmmm"),0)</f>
        <v>Febrero</v>
      </c>
    </row>
    <row r="458" spans="1:27" ht="24" x14ac:dyDescent="0.3">
      <c r="A458" s="2">
        <f>IF(BCP_Soles[[#This Row],[tipo_registro]]="R",COUNTIFS($C$1:$C457,"R")+1,A457)</f>
        <v>290</v>
      </c>
      <c r="B458" s="19" t="str">
        <f t="shared" si="36"/>
        <v>B-BCP - Soles</v>
      </c>
      <c r="C458" s="3" t="s">
        <v>1352</v>
      </c>
      <c r="D458" s="14">
        <v>45693</v>
      </c>
      <c r="E458" s="5" t="s">
        <v>1338</v>
      </c>
      <c r="F458" s="5"/>
      <c r="G458" s="6" t="s">
        <v>537</v>
      </c>
      <c r="H458" s="6" t="s">
        <v>68</v>
      </c>
      <c r="I458" s="6" t="s">
        <v>1376</v>
      </c>
      <c r="J458" s="6">
        <v>758</v>
      </c>
      <c r="K458" s="7" t="s">
        <v>1803</v>
      </c>
      <c r="L458" s="8">
        <v>9193555</v>
      </c>
      <c r="M458" s="8" t="str">
        <f t="shared" si="37"/>
        <v>PEN</v>
      </c>
      <c r="N458" s="13">
        <v>1039</v>
      </c>
      <c r="O458" s="13"/>
      <c r="P458" s="3">
        <f t="shared" si="38"/>
        <v>0</v>
      </c>
      <c r="Q458" s="3">
        <f t="shared" si="39"/>
        <v>0</v>
      </c>
      <c r="R458" s="3">
        <f t="shared" si="45"/>
        <v>9708.1700000000019</v>
      </c>
      <c r="S458" s="24"/>
      <c r="T458" s="24" t="s">
        <v>1334</v>
      </c>
      <c r="U458" s="53"/>
      <c r="V458" s="25">
        <f>IFERROR(VLOOKUP(BCP_Soles[[#This Row],[destinatario]],CHOOSE({1,2},Clientes_Proveedores[Razon Social],Clientes_Proveedores[Ruc / Dni]),2,0),"")</f>
        <v>20605447814</v>
      </c>
      <c r="W458" s="25"/>
      <c r="X458" s="25"/>
      <c r="Y458" s="25"/>
      <c r="Z458" s="75"/>
      <c r="AA458" s="3" t="str">
        <f>IF(BCP_Soles[[#This Row],[fecha]]&gt;0,TEXT(BCP_Soles[[#This Row],[fecha]],"mmmm"),0)</f>
        <v>Febrero</v>
      </c>
    </row>
    <row r="459" spans="1:27" ht="36" x14ac:dyDescent="0.3">
      <c r="A459" s="2">
        <f>IF(BCP_Soles[[#This Row],[tipo_registro]]="R",COUNTIFS($C$1:$C458,"R")+1,A458)</f>
        <v>290</v>
      </c>
      <c r="B459" s="19" t="str">
        <f t="shared" si="36"/>
        <v>B-BCP - Soles</v>
      </c>
      <c r="C459" s="3" t="s">
        <v>1352</v>
      </c>
      <c r="D459" s="14">
        <v>45693</v>
      </c>
      <c r="E459" s="5" t="s">
        <v>1338</v>
      </c>
      <c r="F459" s="5"/>
      <c r="G459" s="6" t="s">
        <v>383</v>
      </c>
      <c r="H459" s="6" t="s">
        <v>68</v>
      </c>
      <c r="I459" s="6" t="s">
        <v>1804</v>
      </c>
      <c r="J459" s="6">
        <v>713</v>
      </c>
      <c r="K459" s="7" t="s">
        <v>1803</v>
      </c>
      <c r="L459" s="8">
        <v>9193555</v>
      </c>
      <c r="M459" s="8" t="str">
        <f t="shared" si="37"/>
        <v>PEN</v>
      </c>
      <c r="N459" s="13">
        <v>66</v>
      </c>
      <c r="O459" s="13"/>
      <c r="P459" s="3">
        <f t="shared" si="38"/>
        <v>0</v>
      </c>
      <c r="Q459" s="3">
        <f t="shared" si="39"/>
        <v>0</v>
      </c>
      <c r="R459" s="3">
        <f t="shared" si="45"/>
        <v>9708.1700000000019</v>
      </c>
      <c r="S459" s="24"/>
      <c r="T459" s="24" t="s">
        <v>1334</v>
      </c>
      <c r="U459" s="53"/>
      <c r="V459" s="25">
        <f>IFERROR(VLOOKUP(BCP_Soles[[#This Row],[destinatario]],CHOOSE({1,2},Clientes_Proveedores[Razon Social],Clientes_Proveedores[Ruc / Dni]),2,0),"")</f>
        <v>20538593053</v>
      </c>
      <c r="W459" s="25"/>
      <c r="X459" s="25"/>
      <c r="Y459" s="25"/>
      <c r="Z459" s="75"/>
      <c r="AA459" s="3" t="str">
        <f>IF(BCP_Soles[[#This Row],[fecha]]&gt;0,TEXT(BCP_Soles[[#This Row],[fecha]],"mmmm"),0)</f>
        <v>Febrero</v>
      </c>
    </row>
    <row r="460" spans="1:27" ht="36" x14ac:dyDescent="0.3">
      <c r="A460" s="2">
        <f>IF(BCP_Soles[[#This Row],[tipo_registro]]="R",COUNTIFS($C$1:$C459,"R")+1,A459)</f>
        <v>291</v>
      </c>
      <c r="B460" s="19" t="str">
        <f t="shared" si="36"/>
        <v>B-BCP - Soles</v>
      </c>
      <c r="C460" s="3" t="s">
        <v>1330</v>
      </c>
      <c r="D460" s="14">
        <v>45693</v>
      </c>
      <c r="E460" s="5" t="s">
        <v>1338</v>
      </c>
      <c r="F460" s="5" t="s">
        <v>1336</v>
      </c>
      <c r="G460" s="6" t="s">
        <v>588</v>
      </c>
      <c r="H460" s="6" t="s">
        <v>68</v>
      </c>
      <c r="I460" s="6" t="s">
        <v>1376</v>
      </c>
      <c r="J460" s="6">
        <v>334</v>
      </c>
      <c r="K460" s="7" t="s">
        <v>1805</v>
      </c>
      <c r="L460" s="8">
        <v>1072015</v>
      </c>
      <c r="M460" s="8" t="str">
        <f t="shared" si="37"/>
        <v>PEN</v>
      </c>
      <c r="N460" s="13"/>
      <c r="O460" s="13">
        <v>94.28</v>
      </c>
      <c r="P460" s="3">
        <f t="shared" si="38"/>
        <v>0</v>
      </c>
      <c r="Q460" s="3">
        <f t="shared" si="39"/>
        <v>94.28</v>
      </c>
      <c r="R460" s="3">
        <f t="shared" si="45"/>
        <v>9613.8900000000012</v>
      </c>
      <c r="S460" s="24" t="s">
        <v>1334</v>
      </c>
      <c r="T460" s="24" t="s">
        <v>1334</v>
      </c>
      <c r="U460" s="53"/>
      <c r="V460" s="25">
        <f>IFERROR(VLOOKUP(BCP_Soles[[#This Row],[destinatario]],CHOOSE({1,2},Clientes_Proveedores[Razon Social],Clientes_Proveedores[Ruc / Dni]),2,0),"")</f>
        <v>20609368773</v>
      </c>
      <c r="W460" s="25" t="s">
        <v>1439</v>
      </c>
      <c r="X460" s="25" t="s">
        <v>1806</v>
      </c>
      <c r="Y460" s="25"/>
      <c r="Z460" s="75"/>
      <c r="AA460" s="3" t="str">
        <f>IF(BCP_Soles[[#This Row],[fecha]]&gt;0,TEXT(BCP_Soles[[#This Row],[fecha]],"mmmm"),0)</f>
        <v>Febrero</v>
      </c>
    </row>
    <row r="461" spans="1:27" ht="24" x14ac:dyDescent="0.3">
      <c r="A461" s="2">
        <f>IF(BCP_Soles[[#This Row],[tipo_registro]]="R",COUNTIFS($C$1:$C460,"R")+1,A460)</f>
        <v>292</v>
      </c>
      <c r="B461" s="19" t="str">
        <f t="shared" ref="B461:B524" si="46">"B-BCP - Soles"</f>
        <v>B-BCP - Soles</v>
      </c>
      <c r="C461" s="3" t="s">
        <v>1330</v>
      </c>
      <c r="D461" s="14">
        <v>45693</v>
      </c>
      <c r="E461" s="5" t="s">
        <v>1338</v>
      </c>
      <c r="F461" s="5" t="s">
        <v>1336</v>
      </c>
      <c r="G461" s="6" t="s">
        <v>249</v>
      </c>
      <c r="H461" s="6"/>
      <c r="I461" s="6"/>
      <c r="J461" s="6"/>
      <c r="K461" s="7" t="s">
        <v>1807</v>
      </c>
      <c r="L461" s="8">
        <v>1020019</v>
      </c>
      <c r="M461" s="8" t="str">
        <f t="shared" ref="M461:M524" si="47">"PEN"</f>
        <v>PEN</v>
      </c>
      <c r="N461" s="13"/>
      <c r="O461" s="13">
        <v>3457.4</v>
      </c>
      <c r="P461" s="3">
        <f t="shared" ref="P461:P524" si="48">+IF(OR($F461="SALDO",$F461="INGRESO"),$O461,0)</f>
        <v>0</v>
      </c>
      <c r="Q461" s="3">
        <f t="shared" ref="Q461:Q524" si="49">+IF($F461="EGRESO",$O461,0)</f>
        <v>3457.4</v>
      </c>
      <c r="R461" s="3">
        <f t="shared" si="45"/>
        <v>6156.4900000000016</v>
      </c>
      <c r="S461" s="24"/>
      <c r="T461" s="24"/>
      <c r="U461" s="53"/>
      <c r="V461" s="25">
        <f>IFERROR(VLOOKUP(BCP_Soles[[#This Row],[destinatario]],CHOOSE({1,2},Clientes_Proveedores[Razon Social],Clientes_Proveedores[Ruc / Dni]),2,0),"")</f>
        <v>20302891452</v>
      </c>
      <c r="W461" s="25" t="s">
        <v>249</v>
      </c>
      <c r="X461" s="25"/>
      <c r="Y461" s="25"/>
      <c r="Z461" s="75"/>
      <c r="AA461" s="3" t="str">
        <f>IF(BCP_Soles[[#This Row],[fecha]]&gt;0,TEXT(BCP_Soles[[#This Row],[fecha]],"mmmm"),0)</f>
        <v>Febrero</v>
      </c>
    </row>
    <row r="462" spans="1:27" ht="36" x14ac:dyDescent="0.3">
      <c r="A462" s="2">
        <f>IF(BCP_Soles[[#This Row],[tipo_registro]]="R",COUNTIFS($C$1:$C461,"R")+1,A461)</f>
        <v>293</v>
      </c>
      <c r="B462" s="19" t="str">
        <f t="shared" si="46"/>
        <v>B-BCP - Soles</v>
      </c>
      <c r="C462" s="3" t="s">
        <v>1330</v>
      </c>
      <c r="D462" s="14">
        <v>45693</v>
      </c>
      <c r="E462" s="5" t="s">
        <v>1628</v>
      </c>
      <c r="F462" s="5" t="s">
        <v>1303</v>
      </c>
      <c r="G462" s="6" t="s">
        <v>425</v>
      </c>
      <c r="H462" s="6" t="s">
        <v>119</v>
      </c>
      <c r="I462" s="6">
        <v>2</v>
      </c>
      <c r="J462" s="6">
        <v>705</v>
      </c>
      <c r="K462" s="7" t="s">
        <v>1356</v>
      </c>
      <c r="L462" s="8">
        <v>1454458</v>
      </c>
      <c r="M462" s="8" t="str">
        <f t="shared" si="47"/>
        <v>PEN</v>
      </c>
      <c r="N462" s="13"/>
      <c r="O462" s="13">
        <v>42</v>
      </c>
      <c r="P462" s="3">
        <f t="shared" si="48"/>
        <v>42</v>
      </c>
      <c r="Q462" s="3">
        <f t="shared" si="49"/>
        <v>0</v>
      </c>
      <c r="R462" s="3">
        <f t="shared" si="45"/>
        <v>6198.4900000000016</v>
      </c>
      <c r="S462" s="24" t="s">
        <v>1334</v>
      </c>
      <c r="T462" s="24" t="s">
        <v>1334</v>
      </c>
      <c r="U462" s="53"/>
      <c r="V462" s="25">
        <f>IFERROR(VLOOKUP(BCP_Soles[[#This Row],[destinatario]],CHOOSE({1,2},Clientes_Proveedores[Razon Social],Clientes_Proveedores[Ruc / Dni]),2,0),"")</f>
        <v>20558226979</v>
      </c>
      <c r="W462" s="25" t="s">
        <v>1345</v>
      </c>
      <c r="X462" s="25" t="s">
        <v>1808</v>
      </c>
      <c r="Y462" s="25"/>
      <c r="Z462" s="75"/>
      <c r="AA462" s="3" t="str">
        <f>IF(BCP_Soles[[#This Row],[fecha]]&gt;0,TEXT(BCP_Soles[[#This Row],[fecha]],"mmmm"),0)</f>
        <v>Febrero</v>
      </c>
    </row>
    <row r="463" spans="1:27" x14ac:dyDescent="0.3">
      <c r="A463" s="2">
        <f>IF(BCP_Soles[[#This Row],[tipo_registro]]="R",COUNTIFS($C$1:$C462,"R")+1,A462)</f>
        <v>294</v>
      </c>
      <c r="B463" s="19" t="str">
        <f t="shared" si="46"/>
        <v>B-BCP - Soles</v>
      </c>
      <c r="C463" s="3" t="s">
        <v>1330</v>
      </c>
      <c r="D463" s="14">
        <v>45693</v>
      </c>
      <c r="E463" s="5" t="s">
        <v>1335</v>
      </c>
      <c r="F463" s="5" t="s">
        <v>1336</v>
      </c>
      <c r="G463" s="6"/>
      <c r="H463" s="6"/>
      <c r="I463" s="6"/>
      <c r="J463" s="6"/>
      <c r="K463" s="7" t="s">
        <v>1337</v>
      </c>
      <c r="L463" s="8"/>
      <c r="M463" s="8" t="str">
        <f t="shared" si="47"/>
        <v>PEN</v>
      </c>
      <c r="N463" s="13"/>
      <c r="O463" s="13">
        <v>0.7</v>
      </c>
      <c r="P463" s="3">
        <f t="shared" si="48"/>
        <v>0</v>
      </c>
      <c r="Q463" s="3">
        <f t="shared" si="49"/>
        <v>0.7</v>
      </c>
      <c r="R463" s="3">
        <f t="shared" si="45"/>
        <v>6197.7900000000018</v>
      </c>
      <c r="S463" s="24"/>
      <c r="T463" s="24" t="s">
        <v>1334</v>
      </c>
      <c r="U463" s="53"/>
      <c r="V463" s="25" t="str">
        <f>IFERROR(VLOOKUP(BCP_Soles[[#This Row],[destinatario]],CHOOSE({1,2},Clientes_Proveedores[Razon Social],Clientes_Proveedores[Ruc / Dni]),2,0),"")</f>
        <v/>
      </c>
      <c r="W463" s="25"/>
      <c r="X463" s="25"/>
      <c r="Y463" s="25"/>
      <c r="Z463" s="75"/>
      <c r="AA463" s="3" t="str">
        <f>IF(BCP_Soles[[#This Row],[fecha]]&gt;0,TEXT(BCP_Soles[[#This Row],[fecha]],"mmmm"),0)</f>
        <v>Febrero</v>
      </c>
    </row>
    <row r="464" spans="1:27" ht="24" x14ac:dyDescent="0.3">
      <c r="A464" s="2">
        <f>IF(BCP_Soles[[#This Row],[tipo_registro]]="R",COUNTIFS($C$1:$C463,"R")+1,A463)</f>
        <v>295</v>
      </c>
      <c r="B464" s="19" t="str">
        <f t="shared" si="46"/>
        <v>B-BCP - Soles</v>
      </c>
      <c r="C464" s="3" t="s">
        <v>1330</v>
      </c>
      <c r="D464" s="14">
        <v>45693</v>
      </c>
      <c r="E464" s="5" t="s">
        <v>1338</v>
      </c>
      <c r="F464" s="5" t="s">
        <v>1336</v>
      </c>
      <c r="G464" s="6" t="s">
        <v>703</v>
      </c>
      <c r="H464" s="6" t="s">
        <v>106</v>
      </c>
      <c r="I464" s="6" t="s">
        <v>1484</v>
      </c>
      <c r="J464" s="6">
        <v>28701751</v>
      </c>
      <c r="K464" s="7" t="s">
        <v>1561</v>
      </c>
      <c r="L464" s="8">
        <v>93478</v>
      </c>
      <c r="M464" s="8" t="str">
        <f t="shared" si="47"/>
        <v>PEN</v>
      </c>
      <c r="N464" s="13"/>
      <c r="O464" s="13">
        <v>355</v>
      </c>
      <c r="P464" s="3">
        <f t="shared" si="48"/>
        <v>0</v>
      </c>
      <c r="Q464" s="3">
        <f t="shared" si="49"/>
        <v>355</v>
      </c>
      <c r="R464" s="3">
        <f t="shared" si="45"/>
        <v>5842.7900000000018</v>
      </c>
      <c r="S464" s="24" t="s">
        <v>1334</v>
      </c>
      <c r="T464" s="24" t="s">
        <v>1334</v>
      </c>
      <c r="U464" s="53"/>
      <c r="V464" s="25">
        <f>IFERROR(VLOOKUP(BCP_Soles[[#This Row],[destinatario]],CHOOSE({1,2},Clientes_Proveedores[Razon Social],Clientes_Proveedores[Ruc / Dni]),2,0),"")</f>
        <v>20100188628</v>
      </c>
      <c r="W464" s="25" t="s">
        <v>1486</v>
      </c>
      <c r="X464" s="25" t="s">
        <v>1809</v>
      </c>
      <c r="Y464" s="25"/>
      <c r="Z464" s="75"/>
      <c r="AA464" s="3" t="str">
        <f>IF(BCP_Soles[[#This Row],[fecha]]&gt;0,TEXT(BCP_Soles[[#This Row],[fecha]],"mmmm"),0)</f>
        <v>Febrero</v>
      </c>
    </row>
    <row r="465" spans="1:27" ht="24" x14ac:dyDescent="0.3">
      <c r="A465" s="2">
        <f>IF(BCP_Soles[[#This Row],[tipo_registro]]="R",COUNTIFS($C$1:$C464,"R")+1,A464)</f>
        <v>296</v>
      </c>
      <c r="B465" s="19" t="str">
        <f t="shared" si="46"/>
        <v>B-BCP - Soles</v>
      </c>
      <c r="C465" s="3" t="s">
        <v>1330</v>
      </c>
      <c r="D465" s="14">
        <v>45693</v>
      </c>
      <c r="E465" s="5" t="s">
        <v>1338</v>
      </c>
      <c r="F465" s="5" t="s">
        <v>1336</v>
      </c>
      <c r="G465" s="6" t="s">
        <v>249</v>
      </c>
      <c r="H465" s="6"/>
      <c r="I465" s="6"/>
      <c r="J465" s="6"/>
      <c r="K465" s="7" t="s">
        <v>1807</v>
      </c>
      <c r="L465" s="8">
        <v>1144373</v>
      </c>
      <c r="M465" s="8" t="str">
        <f t="shared" si="47"/>
        <v>PEN</v>
      </c>
      <c r="N465" s="13"/>
      <c r="O465" s="13">
        <v>175.87</v>
      </c>
      <c r="P465" s="3">
        <f t="shared" si="48"/>
        <v>0</v>
      </c>
      <c r="Q465" s="3">
        <f t="shared" si="49"/>
        <v>175.87</v>
      </c>
      <c r="R465" s="3">
        <f t="shared" si="45"/>
        <v>5666.9200000000019</v>
      </c>
      <c r="S465" s="24"/>
      <c r="T465" s="24"/>
      <c r="U465" s="53"/>
      <c r="V465" s="25">
        <f>IFERROR(VLOOKUP(BCP_Soles[[#This Row],[destinatario]],CHOOSE({1,2},Clientes_Proveedores[Razon Social],Clientes_Proveedores[Ruc / Dni]),2,0),"")</f>
        <v>20302891452</v>
      </c>
      <c r="W465" s="25" t="s">
        <v>249</v>
      </c>
      <c r="X465" s="25"/>
      <c r="Y465" s="25"/>
      <c r="Z465" s="75"/>
      <c r="AA465" s="3" t="str">
        <f>IF(BCP_Soles[[#This Row],[fecha]]&gt;0,TEXT(BCP_Soles[[#This Row],[fecha]],"mmmm"),0)</f>
        <v>Febrero</v>
      </c>
    </row>
    <row r="466" spans="1:27" ht="36" x14ac:dyDescent="0.3">
      <c r="A466" s="2">
        <f>IF(BCP_Soles[[#This Row],[tipo_registro]]="R",COUNTIFS($C$1:$C465,"R")+1,A465)</f>
        <v>297</v>
      </c>
      <c r="B466" s="19" t="str">
        <f t="shared" si="46"/>
        <v>B-BCP - Soles</v>
      </c>
      <c r="C466" s="3" t="s">
        <v>1330</v>
      </c>
      <c r="D466" s="14">
        <v>45693</v>
      </c>
      <c r="E466" s="5" t="s">
        <v>1338</v>
      </c>
      <c r="F466" s="5" t="s">
        <v>1336</v>
      </c>
      <c r="G466" s="6" t="s">
        <v>702</v>
      </c>
      <c r="H466" s="6" t="s">
        <v>68</v>
      </c>
      <c r="I466" s="6" t="s">
        <v>1463</v>
      </c>
      <c r="J466" s="6">
        <v>485844</v>
      </c>
      <c r="K466" s="7" t="s">
        <v>1810</v>
      </c>
      <c r="L466" s="8">
        <v>153382</v>
      </c>
      <c r="M466" s="8" t="str">
        <f t="shared" si="47"/>
        <v>PEN</v>
      </c>
      <c r="N466" s="13"/>
      <c r="O466" s="13">
        <v>88.5</v>
      </c>
      <c r="P466" s="3">
        <f t="shared" si="48"/>
        <v>0</v>
      </c>
      <c r="Q466" s="3">
        <f t="shared" si="49"/>
        <v>88.5</v>
      </c>
      <c r="R466" s="3">
        <f t="shared" si="45"/>
        <v>5578.4200000000019</v>
      </c>
      <c r="S466" s="24" t="s">
        <v>1334</v>
      </c>
      <c r="T466" s="24" t="s">
        <v>1334</v>
      </c>
      <c r="U466" s="53"/>
      <c r="V466" s="25">
        <f>IFERROR(VLOOKUP(BCP_Soles[[#This Row],[destinatario]],CHOOSE({1,2},Clientes_Proveedores[Razon Social],Clientes_Proveedores[Ruc / Dni]),2,0),"")</f>
        <v>20454073143</v>
      </c>
      <c r="W466" s="25" t="s">
        <v>1465</v>
      </c>
      <c r="X466" s="25" t="s">
        <v>1811</v>
      </c>
      <c r="Y466" s="25"/>
      <c r="Z466" s="75"/>
      <c r="AA466" s="3" t="str">
        <f>IF(BCP_Soles[[#This Row],[fecha]]&gt;0,TEXT(BCP_Soles[[#This Row],[fecha]],"mmmm"),0)</f>
        <v>Febrero</v>
      </c>
    </row>
    <row r="467" spans="1:27" ht="36" x14ac:dyDescent="0.3">
      <c r="A467" s="2">
        <f>IF(BCP_Soles[[#This Row],[tipo_registro]]="R",COUNTIFS($C$1:$C466,"R")+1,A466)</f>
        <v>298</v>
      </c>
      <c r="B467" s="19" t="str">
        <f t="shared" si="46"/>
        <v>B-BCP - Soles</v>
      </c>
      <c r="C467" s="3" t="s">
        <v>1330</v>
      </c>
      <c r="D467" s="14">
        <v>45693</v>
      </c>
      <c r="E467" s="5" t="s">
        <v>1338</v>
      </c>
      <c r="F467" s="5" t="s">
        <v>1336</v>
      </c>
      <c r="G467" s="6" t="s">
        <v>702</v>
      </c>
      <c r="H467" s="6" t="s">
        <v>68</v>
      </c>
      <c r="I467" s="6" t="s">
        <v>1463</v>
      </c>
      <c r="J467" s="6">
        <v>614700</v>
      </c>
      <c r="K467" s="7" t="s">
        <v>1693</v>
      </c>
      <c r="L467" s="8">
        <v>148373</v>
      </c>
      <c r="M467" s="8" t="str">
        <f t="shared" si="47"/>
        <v>PEN</v>
      </c>
      <c r="N467" s="13"/>
      <c r="O467" s="13">
        <v>35.4</v>
      </c>
      <c r="P467" s="3">
        <f t="shared" si="48"/>
        <v>0</v>
      </c>
      <c r="Q467" s="3">
        <f t="shared" si="49"/>
        <v>35.4</v>
      </c>
      <c r="R467" s="3">
        <f t="shared" si="45"/>
        <v>5543.0200000000023</v>
      </c>
      <c r="S467" s="24" t="s">
        <v>1334</v>
      </c>
      <c r="T467" s="24" t="s">
        <v>1334</v>
      </c>
      <c r="U467" s="53"/>
      <c r="V467" s="25">
        <f>IFERROR(VLOOKUP(BCP_Soles[[#This Row],[destinatario]],CHOOSE({1,2},Clientes_Proveedores[Razon Social],Clientes_Proveedores[Ruc / Dni]),2,0),"")</f>
        <v>20454073143</v>
      </c>
      <c r="W467" s="25" t="s">
        <v>1465</v>
      </c>
      <c r="X467" s="25" t="s">
        <v>1812</v>
      </c>
      <c r="Y467" s="25"/>
      <c r="Z467" s="75"/>
      <c r="AA467" s="3" t="str">
        <f>IF(BCP_Soles[[#This Row],[fecha]]&gt;0,TEXT(BCP_Soles[[#This Row],[fecha]],"mmmm"),0)</f>
        <v>Febrero</v>
      </c>
    </row>
    <row r="468" spans="1:27" ht="24" x14ac:dyDescent="0.3">
      <c r="A468" s="2">
        <f>IF(BCP_Soles[[#This Row],[tipo_registro]]="R",COUNTIFS($C$1:$C467,"R")+1,A467)</f>
        <v>299</v>
      </c>
      <c r="B468" s="19" t="str">
        <f t="shared" si="46"/>
        <v>B-BCP - Soles</v>
      </c>
      <c r="C468" s="3" t="s">
        <v>1330</v>
      </c>
      <c r="D468" s="14">
        <v>45693</v>
      </c>
      <c r="E468" s="5" t="s">
        <v>350</v>
      </c>
      <c r="F468" s="5" t="s">
        <v>1303</v>
      </c>
      <c r="G468" s="6" t="s">
        <v>425</v>
      </c>
      <c r="H468" s="6" t="s">
        <v>119</v>
      </c>
      <c r="I468" s="6">
        <v>1</v>
      </c>
      <c r="J468" s="6">
        <v>4108</v>
      </c>
      <c r="K468" s="7" t="s">
        <v>1455</v>
      </c>
      <c r="L468" s="8">
        <v>2163236</v>
      </c>
      <c r="M468" s="8" t="str">
        <f t="shared" si="47"/>
        <v>PEN</v>
      </c>
      <c r="N468" s="13"/>
      <c r="O468" s="13">
        <v>6665.25</v>
      </c>
      <c r="P468" s="3">
        <f t="shared" si="48"/>
        <v>6665.25</v>
      </c>
      <c r="Q468" s="3">
        <f t="shared" si="49"/>
        <v>0</v>
      </c>
      <c r="R468" s="3">
        <f t="shared" si="45"/>
        <v>12208.270000000002</v>
      </c>
      <c r="S468" s="24" t="s">
        <v>1334</v>
      </c>
      <c r="T468" s="24" t="s">
        <v>1334</v>
      </c>
      <c r="U468" s="53"/>
      <c r="V468" s="25">
        <f>IFERROR(VLOOKUP(BCP_Soles[[#This Row],[destinatario]],CHOOSE({1,2},Clientes_Proveedores[Razon Social],Clientes_Proveedores[Ruc / Dni]),2,0),"")</f>
        <v>20558226979</v>
      </c>
      <c r="W468" s="25" t="s">
        <v>1345</v>
      </c>
      <c r="X468" s="25" t="s">
        <v>1813</v>
      </c>
      <c r="Y468" s="25"/>
      <c r="Z468" s="75"/>
      <c r="AA468" s="3" t="str">
        <f>IF(BCP_Soles[[#This Row],[fecha]]&gt;0,TEXT(BCP_Soles[[#This Row],[fecha]],"mmmm"),0)</f>
        <v>Febrero</v>
      </c>
    </row>
    <row r="469" spans="1:27" ht="24" x14ac:dyDescent="0.3">
      <c r="A469" s="2">
        <f>IF(BCP_Soles[[#This Row],[tipo_registro]]="R",COUNTIFS($C$1:$C468,"R")+1,A468)</f>
        <v>300</v>
      </c>
      <c r="B469" s="19" t="str">
        <f t="shared" si="46"/>
        <v>B-BCP - Soles</v>
      </c>
      <c r="C469" s="3" t="s">
        <v>1330</v>
      </c>
      <c r="D469" s="14">
        <v>45693</v>
      </c>
      <c r="E469" s="5" t="s">
        <v>350</v>
      </c>
      <c r="F469" s="5" t="s">
        <v>1303</v>
      </c>
      <c r="G469" s="6" t="s">
        <v>425</v>
      </c>
      <c r="H469" s="6" t="s">
        <v>119</v>
      </c>
      <c r="I469" s="6">
        <v>1</v>
      </c>
      <c r="J469" s="6">
        <v>4111</v>
      </c>
      <c r="K469" s="7" t="s">
        <v>1455</v>
      </c>
      <c r="L469" s="8">
        <v>2118307</v>
      </c>
      <c r="M469" s="8" t="str">
        <f t="shared" si="47"/>
        <v>PEN</v>
      </c>
      <c r="N469" s="13"/>
      <c r="O469" s="13">
        <v>4308.8</v>
      </c>
      <c r="P469" s="3">
        <f t="shared" si="48"/>
        <v>4308.8</v>
      </c>
      <c r="Q469" s="3">
        <f t="shared" si="49"/>
        <v>0</v>
      </c>
      <c r="R469" s="3">
        <f t="shared" si="45"/>
        <v>16517.070000000003</v>
      </c>
      <c r="S469" s="24" t="s">
        <v>1334</v>
      </c>
      <c r="T469" s="24" t="s">
        <v>1334</v>
      </c>
      <c r="U469" s="53"/>
      <c r="V469" s="25">
        <f>IFERROR(VLOOKUP(BCP_Soles[[#This Row],[destinatario]],CHOOSE({1,2},Clientes_Proveedores[Razon Social],Clientes_Proveedores[Ruc / Dni]),2,0),"")</f>
        <v>20558226979</v>
      </c>
      <c r="W469" s="25" t="s">
        <v>1345</v>
      </c>
      <c r="X469" s="25" t="s">
        <v>1814</v>
      </c>
      <c r="Y469" s="25"/>
      <c r="Z469" s="75"/>
      <c r="AA469" s="3" t="str">
        <f>IF(BCP_Soles[[#This Row],[fecha]]&gt;0,TEXT(BCP_Soles[[#This Row],[fecha]],"mmmm"),0)</f>
        <v>Febrero</v>
      </c>
    </row>
    <row r="470" spans="1:27" ht="48" x14ac:dyDescent="0.3">
      <c r="A470" s="2">
        <f>IF(BCP_Soles[[#This Row],[tipo_registro]]="R",COUNTIFS($C$1:$C469,"R")+1,A469)</f>
        <v>301</v>
      </c>
      <c r="B470" s="19" t="str">
        <f t="shared" si="46"/>
        <v>B-BCP - Soles</v>
      </c>
      <c r="C470" s="3" t="s">
        <v>1330</v>
      </c>
      <c r="D470" s="14">
        <v>45693</v>
      </c>
      <c r="E470" s="5" t="s">
        <v>622</v>
      </c>
      <c r="F470" s="5" t="s">
        <v>1303</v>
      </c>
      <c r="G470" s="6" t="s">
        <v>425</v>
      </c>
      <c r="H470" s="6"/>
      <c r="I470" s="6"/>
      <c r="J470" s="6"/>
      <c r="K470" s="7" t="s">
        <v>1815</v>
      </c>
      <c r="L470" s="8">
        <v>2099671</v>
      </c>
      <c r="M470" s="8" t="str">
        <f t="shared" si="47"/>
        <v>PEN</v>
      </c>
      <c r="N470" s="13"/>
      <c r="O470" s="13">
        <v>686.8</v>
      </c>
      <c r="P470" s="3">
        <f t="shared" si="48"/>
        <v>686.8</v>
      </c>
      <c r="Q470" s="3">
        <f t="shared" si="49"/>
        <v>0</v>
      </c>
      <c r="R470" s="3">
        <f t="shared" si="45"/>
        <v>17203.870000000003</v>
      </c>
      <c r="S470" s="24" t="s">
        <v>1334</v>
      </c>
      <c r="T470" s="24" t="s">
        <v>1334</v>
      </c>
      <c r="U470" s="53"/>
      <c r="V470" s="25">
        <f>IFERROR(VLOOKUP(BCP_Soles[[#This Row],[destinatario]],CHOOSE({1,2},Clientes_Proveedores[Razon Social],Clientes_Proveedores[Ruc / Dni]),2,0),"")</f>
        <v>20558226979</v>
      </c>
      <c r="W470" s="25" t="s">
        <v>1345</v>
      </c>
      <c r="X470" s="25" t="s">
        <v>1816</v>
      </c>
      <c r="Y470" s="25"/>
      <c r="Z470" s="75"/>
      <c r="AA470" s="3" t="str">
        <f>IF(BCP_Soles[[#This Row],[fecha]]&gt;0,TEXT(BCP_Soles[[#This Row],[fecha]],"mmmm"),0)</f>
        <v>Febrero</v>
      </c>
    </row>
    <row r="471" spans="1:27" x14ac:dyDescent="0.3">
      <c r="A471" s="2">
        <f>IF(BCP_Soles[[#This Row],[tipo_registro]]="R",COUNTIFS($C$1:$C470,"R")+1,A470)</f>
        <v>302</v>
      </c>
      <c r="B471" s="19" t="str">
        <f t="shared" si="46"/>
        <v>B-BCP - Soles</v>
      </c>
      <c r="C471" s="3" t="s">
        <v>1330</v>
      </c>
      <c r="D471" s="14">
        <v>45694</v>
      </c>
      <c r="E471" s="5"/>
      <c r="F471" s="5" t="s">
        <v>1303</v>
      </c>
      <c r="G471" s="6" t="s">
        <v>425</v>
      </c>
      <c r="H471" s="6"/>
      <c r="I471" s="6"/>
      <c r="J471" s="6"/>
      <c r="K471" s="7" t="s">
        <v>1356</v>
      </c>
      <c r="L471" s="8">
        <v>2257129</v>
      </c>
      <c r="M471" s="8" t="str">
        <f t="shared" si="47"/>
        <v>PEN</v>
      </c>
      <c r="N471" s="13"/>
      <c r="O471" s="13">
        <v>5264</v>
      </c>
      <c r="P471" s="3">
        <f t="shared" si="48"/>
        <v>5264</v>
      </c>
      <c r="Q471" s="3">
        <f t="shared" si="49"/>
        <v>0</v>
      </c>
      <c r="R471" s="3">
        <f t="shared" si="45"/>
        <v>22467.870000000003</v>
      </c>
      <c r="S471" s="24" t="s">
        <v>1334</v>
      </c>
      <c r="T471" s="24" t="s">
        <v>1334</v>
      </c>
      <c r="U471" s="53"/>
      <c r="V471" s="25">
        <f>IFERROR(VLOOKUP(BCP_Soles[[#This Row],[destinatario]],CHOOSE({1,2},Clientes_Proveedores[Razon Social],Clientes_Proveedores[Ruc / Dni]),2,0),"")</f>
        <v>20558226979</v>
      </c>
      <c r="W471" s="25" t="s">
        <v>1345</v>
      </c>
      <c r="X471" s="25"/>
      <c r="Y471" s="25"/>
      <c r="Z471" s="75"/>
      <c r="AA471" s="3" t="str">
        <f>IF(BCP_Soles[[#This Row],[fecha]]&gt;0,TEXT(BCP_Soles[[#This Row],[fecha]],"mmmm"),0)</f>
        <v>Febrero</v>
      </c>
    </row>
    <row r="472" spans="1:27" ht="24" x14ac:dyDescent="0.3">
      <c r="A472" s="2">
        <f>IF(BCP_Soles[[#This Row],[tipo_registro]]="R",COUNTIFS($C$1:$C471,"R")+1,A471)</f>
        <v>302</v>
      </c>
      <c r="B472" s="19" t="str">
        <f t="shared" si="46"/>
        <v>B-BCP - Soles</v>
      </c>
      <c r="C472" s="3" t="s">
        <v>1352</v>
      </c>
      <c r="D472" s="14">
        <v>45694</v>
      </c>
      <c r="E472" s="5" t="s">
        <v>536</v>
      </c>
      <c r="F472" s="5" t="s">
        <v>1303</v>
      </c>
      <c r="G472" s="6" t="s">
        <v>425</v>
      </c>
      <c r="H472" s="6" t="s">
        <v>119</v>
      </c>
      <c r="I472" s="6">
        <v>1</v>
      </c>
      <c r="J472" s="6">
        <v>4122</v>
      </c>
      <c r="K472" s="7" t="s">
        <v>1356</v>
      </c>
      <c r="L472" s="8">
        <v>2257129</v>
      </c>
      <c r="M472" s="8" t="str">
        <f t="shared" si="47"/>
        <v>PEN</v>
      </c>
      <c r="N472" s="13">
        <v>1402</v>
      </c>
      <c r="O472" s="13"/>
      <c r="P472" s="3">
        <f t="shared" si="48"/>
        <v>0</v>
      </c>
      <c r="Q472" s="3">
        <f t="shared" si="49"/>
        <v>0</v>
      </c>
      <c r="R472" s="3">
        <f t="shared" si="45"/>
        <v>22467.870000000003</v>
      </c>
      <c r="S472" s="24" t="s">
        <v>1334</v>
      </c>
      <c r="T472" s="24" t="s">
        <v>1334</v>
      </c>
      <c r="U472" s="53"/>
      <c r="V472" s="25">
        <f>IFERROR(VLOOKUP(BCP_Soles[[#This Row],[destinatario]],CHOOSE({1,2},Clientes_Proveedores[Razon Social],Clientes_Proveedores[Ruc / Dni]),2,0),"")</f>
        <v>20558226979</v>
      </c>
      <c r="W472" s="25" t="s">
        <v>1345</v>
      </c>
      <c r="X472" s="25" t="s">
        <v>1817</v>
      </c>
      <c r="Y472" s="25"/>
      <c r="Z472" s="75"/>
      <c r="AA472" s="3" t="str">
        <f>IF(BCP_Soles[[#This Row],[fecha]]&gt;0,TEXT(BCP_Soles[[#This Row],[fecha]],"mmmm"),0)</f>
        <v>Febrero</v>
      </c>
    </row>
    <row r="473" spans="1:27" ht="24" x14ac:dyDescent="0.3">
      <c r="A473" s="2">
        <f>IF(BCP_Soles[[#This Row],[tipo_registro]]="R",COUNTIFS($C$1:$C472,"R")+1,A472)</f>
        <v>302</v>
      </c>
      <c r="B473" s="19" t="str">
        <f t="shared" si="46"/>
        <v>B-BCP - Soles</v>
      </c>
      <c r="C473" s="3" t="s">
        <v>1352</v>
      </c>
      <c r="D473" s="14">
        <v>45694</v>
      </c>
      <c r="E473" s="5" t="s">
        <v>536</v>
      </c>
      <c r="F473" s="5" t="s">
        <v>1303</v>
      </c>
      <c r="G473" s="6" t="s">
        <v>425</v>
      </c>
      <c r="H473" s="6" t="s">
        <v>119</v>
      </c>
      <c r="I473" s="6">
        <v>1</v>
      </c>
      <c r="J473" s="6">
        <v>4128</v>
      </c>
      <c r="K473" s="7" t="s">
        <v>1356</v>
      </c>
      <c r="L473" s="8">
        <v>2257129</v>
      </c>
      <c r="M473" s="8" t="str">
        <f t="shared" si="47"/>
        <v>PEN</v>
      </c>
      <c r="N473" s="13">
        <v>2352</v>
      </c>
      <c r="O473" s="13"/>
      <c r="P473" s="3">
        <f t="shared" si="48"/>
        <v>0</v>
      </c>
      <c r="Q473" s="3">
        <f t="shared" si="49"/>
        <v>0</v>
      </c>
      <c r="R473" s="3">
        <f t="shared" si="45"/>
        <v>22467.870000000003</v>
      </c>
      <c r="S473" s="24" t="s">
        <v>1334</v>
      </c>
      <c r="T473" s="24" t="s">
        <v>1334</v>
      </c>
      <c r="U473" s="53"/>
      <c r="V473" s="25">
        <f>IFERROR(VLOOKUP(BCP_Soles[[#This Row],[destinatario]],CHOOSE({1,2},Clientes_Proveedores[Razon Social],Clientes_Proveedores[Ruc / Dni]),2,0),"")</f>
        <v>20558226979</v>
      </c>
      <c r="W473" s="25" t="s">
        <v>1345</v>
      </c>
      <c r="X473" s="25" t="s">
        <v>1818</v>
      </c>
      <c r="Y473" s="25"/>
      <c r="Z473" s="75"/>
      <c r="AA473" s="3" t="str">
        <f>IF(BCP_Soles[[#This Row],[fecha]]&gt;0,TEXT(BCP_Soles[[#This Row],[fecha]],"mmmm"),0)</f>
        <v>Febrero</v>
      </c>
    </row>
    <row r="474" spans="1:27" ht="24" x14ac:dyDescent="0.3">
      <c r="A474" s="2">
        <f>IF(BCP_Soles[[#This Row],[tipo_registro]]="R",COUNTIFS($C$1:$C473,"R")+1,A473)</f>
        <v>302</v>
      </c>
      <c r="B474" s="19" t="str">
        <f t="shared" si="46"/>
        <v>B-BCP - Soles</v>
      </c>
      <c r="C474" s="3" t="s">
        <v>1352</v>
      </c>
      <c r="D474" s="14">
        <v>45694</v>
      </c>
      <c r="E474" s="5" t="s">
        <v>536</v>
      </c>
      <c r="F474" s="5" t="s">
        <v>1303</v>
      </c>
      <c r="G474" s="6" t="s">
        <v>425</v>
      </c>
      <c r="H474" s="6" t="s">
        <v>119</v>
      </c>
      <c r="I474" s="6">
        <v>1</v>
      </c>
      <c r="J474" s="6">
        <v>4138</v>
      </c>
      <c r="K474" s="7" t="s">
        <v>1356</v>
      </c>
      <c r="L474" s="8">
        <v>2257129</v>
      </c>
      <c r="M474" s="8" t="str">
        <f t="shared" si="47"/>
        <v>PEN</v>
      </c>
      <c r="N474" s="13">
        <v>1510</v>
      </c>
      <c r="O474" s="13"/>
      <c r="P474" s="3">
        <f t="shared" si="48"/>
        <v>0</v>
      </c>
      <c r="Q474" s="3">
        <f t="shared" si="49"/>
        <v>0</v>
      </c>
      <c r="R474" s="3">
        <f t="shared" si="45"/>
        <v>22467.870000000003</v>
      </c>
      <c r="S474" s="24" t="s">
        <v>1334</v>
      </c>
      <c r="T474" s="24" t="s">
        <v>1334</v>
      </c>
      <c r="U474" s="53"/>
      <c r="V474" s="25">
        <f>IFERROR(VLOOKUP(BCP_Soles[[#This Row],[destinatario]],CHOOSE({1,2},Clientes_Proveedores[Razon Social],Clientes_Proveedores[Ruc / Dni]),2,0),"")</f>
        <v>20558226979</v>
      </c>
      <c r="W474" s="25" t="s">
        <v>1345</v>
      </c>
      <c r="X474" s="25" t="s">
        <v>1819</v>
      </c>
      <c r="Y474" s="25"/>
      <c r="Z474" s="75"/>
      <c r="AA474" s="3" t="str">
        <f>IF(BCP_Soles[[#This Row],[fecha]]&gt;0,TEXT(BCP_Soles[[#This Row],[fecha]],"mmmm"),0)</f>
        <v>Febrero</v>
      </c>
    </row>
    <row r="475" spans="1:27" ht="72" x14ac:dyDescent="0.3">
      <c r="A475" s="2">
        <f>IF(BCP_Soles[[#This Row],[tipo_registro]]="R",COUNTIFS($C$1:$C474,"R")+1,A474)</f>
        <v>303</v>
      </c>
      <c r="B475" s="19" t="str">
        <f t="shared" si="46"/>
        <v>B-BCP - Soles</v>
      </c>
      <c r="C475" s="3" t="s">
        <v>1330</v>
      </c>
      <c r="D475" s="14">
        <v>45694</v>
      </c>
      <c r="E475" s="5" t="s">
        <v>271</v>
      </c>
      <c r="F475" s="5" t="s">
        <v>1303</v>
      </c>
      <c r="G475" s="6" t="s">
        <v>425</v>
      </c>
      <c r="H475" s="6"/>
      <c r="I475" s="6"/>
      <c r="J475" s="6"/>
      <c r="K475" s="7" t="s">
        <v>1820</v>
      </c>
      <c r="L475" s="8">
        <v>9599518</v>
      </c>
      <c r="M475" s="8" t="str">
        <f t="shared" si="47"/>
        <v>PEN</v>
      </c>
      <c r="N475" s="13"/>
      <c r="O475" s="13">
        <v>11290.65</v>
      </c>
      <c r="P475" s="3">
        <f t="shared" si="48"/>
        <v>11290.65</v>
      </c>
      <c r="Q475" s="3">
        <f t="shared" si="49"/>
        <v>0</v>
      </c>
      <c r="R475" s="3">
        <f t="shared" si="45"/>
        <v>33758.520000000004</v>
      </c>
      <c r="S475" s="24" t="s">
        <v>1334</v>
      </c>
      <c r="T475" s="24" t="s">
        <v>1334</v>
      </c>
      <c r="U475" s="53"/>
      <c r="V475" s="25">
        <f>IFERROR(VLOOKUP(BCP_Soles[[#This Row],[destinatario]],CHOOSE({1,2},Clientes_Proveedores[Razon Social],Clientes_Proveedores[Ruc / Dni]),2,0),"")</f>
        <v>20558226979</v>
      </c>
      <c r="W475" s="25" t="s">
        <v>1345</v>
      </c>
      <c r="X475" s="25" t="s">
        <v>1821</v>
      </c>
      <c r="Y475" s="25"/>
      <c r="Z475" s="75"/>
      <c r="AA475" s="3" t="str">
        <f>IF(BCP_Soles[[#This Row],[fecha]]&gt;0,TEXT(BCP_Soles[[#This Row],[fecha]],"mmmm"),0)</f>
        <v>Febrero</v>
      </c>
    </row>
    <row r="476" spans="1:27" x14ac:dyDescent="0.3">
      <c r="A476" s="2">
        <f>IF(BCP_Soles[[#This Row],[tipo_registro]]="R",COUNTIFS($C$1:$C475,"R")+1,A475)</f>
        <v>304</v>
      </c>
      <c r="B476" s="19" t="str">
        <f t="shared" si="46"/>
        <v>B-BCP - Soles</v>
      </c>
      <c r="C476" s="3" t="s">
        <v>1330</v>
      </c>
      <c r="D476" s="14">
        <v>45694</v>
      </c>
      <c r="E476" s="5" t="s">
        <v>346</v>
      </c>
      <c r="F476" s="5" t="s">
        <v>1303</v>
      </c>
      <c r="G476" s="6" t="s">
        <v>425</v>
      </c>
      <c r="H476" s="6"/>
      <c r="I476" s="6"/>
      <c r="J476" s="6"/>
      <c r="K476" s="7" t="s">
        <v>1822</v>
      </c>
      <c r="L476" s="8">
        <v>9560712</v>
      </c>
      <c r="M476" s="8" t="str">
        <f t="shared" si="47"/>
        <v>PEN</v>
      </c>
      <c r="N476" s="13"/>
      <c r="O476" s="13">
        <v>824.21</v>
      </c>
      <c r="P476" s="3">
        <f t="shared" si="48"/>
        <v>824.21</v>
      </c>
      <c r="Q476" s="3">
        <f t="shared" si="49"/>
        <v>0</v>
      </c>
      <c r="R476" s="3">
        <f t="shared" si="45"/>
        <v>34582.730000000003</v>
      </c>
      <c r="S476" s="24" t="s">
        <v>1334</v>
      </c>
      <c r="T476" s="24" t="s">
        <v>1334</v>
      </c>
      <c r="U476" s="53"/>
      <c r="V476" s="25">
        <f>IFERROR(VLOOKUP(BCP_Soles[[#This Row],[destinatario]],CHOOSE({1,2},Clientes_Proveedores[Razon Social],Clientes_Proveedores[Ruc / Dni]),2,0),"")</f>
        <v>20558226979</v>
      </c>
      <c r="W476" s="25" t="s">
        <v>1345</v>
      </c>
      <c r="X476" s="25" t="s">
        <v>1823</v>
      </c>
      <c r="Y476" s="25"/>
      <c r="Z476" s="75"/>
      <c r="AA476" s="3" t="str">
        <f>IF(BCP_Soles[[#This Row],[fecha]]&gt;0,TEXT(BCP_Soles[[#This Row],[fecha]],"mmmm"),0)</f>
        <v>Febrero</v>
      </c>
    </row>
    <row r="477" spans="1:27" ht="36" x14ac:dyDescent="0.3">
      <c r="A477" s="2">
        <f>IF(BCP_Soles[[#This Row],[tipo_registro]]="R",COUNTIFS($C$1:$C476,"R")+1,A476)</f>
        <v>305</v>
      </c>
      <c r="B477" s="19" t="str">
        <f t="shared" si="46"/>
        <v>B-BCP - Soles</v>
      </c>
      <c r="C477" s="3" t="s">
        <v>1330</v>
      </c>
      <c r="D477" s="14">
        <v>45694</v>
      </c>
      <c r="E477" s="5" t="s">
        <v>555</v>
      </c>
      <c r="F477" s="5" t="s">
        <v>1303</v>
      </c>
      <c r="G477" s="6" t="s">
        <v>425</v>
      </c>
      <c r="H477" s="6"/>
      <c r="I477" s="6"/>
      <c r="J477" s="6"/>
      <c r="K477" s="7" t="s">
        <v>1348</v>
      </c>
      <c r="L477" s="8">
        <v>2151166</v>
      </c>
      <c r="M477" s="8" t="str">
        <f t="shared" si="47"/>
        <v>PEN</v>
      </c>
      <c r="N477" s="13"/>
      <c r="O477" s="13">
        <v>850.64</v>
      </c>
      <c r="P477" s="3">
        <f t="shared" si="48"/>
        <v>850.64</v>
      </c>
      <c r="Q477" s="3">
        <f t="shared" si="49"/>
        <v>0</v>
      </c>
      <c r="R477" s="3">
        <f t="shared" si="45"/>
        <v>35433.370000000003</v>
      </c>
      <c r="S477" s="24" t="s">
        <v>1334</v>
      </c>
      <c r="T477" s="24" t="s">
        <v>1334</v>
      </c>
      <c r="U477" s="53"/>
      <c r="V477" s="25">
        <f>IFERROR(VLOOKUP(BCP_Soles[[#This Row],[destinatario]],CHOOSE({1,2},Clientes_Proveedores[Razon Social],Clientes_Proveedores[Ruc / Dni]),2,0),"")</f>
        <v>20558226979</v>
      </c>
      <c r="W477" s="25" t="s">
        <v>1345</v>
      </c>
      <c r="X477" s="25" t="s">
        <v>1824</v>
      </c>
      <c r="Y477" s="25"/>
      <c r="Z477" s="75"/>
      <c r="AA477" s="3" t="str">
        <f>IF(BCP_Soles[[#This Row],[fecha]]&gt;0,TEXT(BCP_Soles[[#This Row],[fecha]],"mmmm"),0)</f>
        <v>Febrero</v>
      </c>
    </row>
    <row r="478" spans="1:27" ht="24" x14ac:dyDescent="0.3">
      <c r="A478" s="2">
        <f>IF(BCP_Soles[[#This Row],[tipo_registro]]="R",COUNTIFS($C$1:$C477,"R")+1,A477)</f>
        <v>306</v>
      </c>
      <c r="B478" s="19" t="str">
        <f t="shared" si="46"/>
        <v>B-BCP - Soles</v>
      </c>
      <c r="C478" s="3" t="s">
        <v>1330</v>
      </c>
      <c r="D478" s="14">
        <v>45694</v>
      </c>
      <c r="E478" s="5" t="s">
        <v>1825</v>
      </c>
      <c r="F478" s="5" t="s">
        <v>1303</v>
      </c>
      <c r="G478" s="6" t="s">
        <v>425</v>
      </c>
      <c r="H478" s="6" t="s">
        <v>119</v>
      </c>
      <c r="I478" s="6">
        <v>1</v>
      </c>
      <c r="J478" s="6">
        <v>4142</v>
      </c>
      <c r="K478" s="7" t="s">
        <v>1356</v>
      </c>
      <c r="L478" s="8">
        <v>3080571</v>
      </c>
      <c r="M478" s="8" t="str">
        <f t="shared" si="47"/>
        <v>PEN</v>
      </c>
      <c r="N478" s="13"/>
      <c r="O478" s="13">
        <v>3148.9</v>
      </c>
      <c r="P478" s="3">
        <f t="shared" si="48"/>
        <v>3148.9</v>
      </c>
      <c r="Q478" s="3">
        <f t="shared" si="49"/>
        <v>0</v>
      </c>
      <c r="R478" s="3">
        <f t="shared" si="45"/>
        <v>38582.270000000004</v>
      </c>
      <c r="S478" s="24" t="s">
        <v>1334</v>
      </c>
      <c r="T478" s="24" t="s">
        <v>1334</v>
      </c>
      <c r="U478" s="53"/>
      <c r="V478" s="25">
        <f>IFERROR(VLOOKUP(BCP_Soles[[#This Row],[destinatario]],CHOOSE({1,2},Clientes_Proveedores[Razon Social],Clientes_Proveedores[Ruc / Dni]),2,0),"")</f>
        <v>20558226979</v>
      </c>
      <c r="W478" s="25" t="s">
        <v>1345</v>
      </c>
      <c r="X478" s="25" t="s">
        <v>1826</v>
      </c>
      <c r="Y478" s="25"/>
      <c r="Z478" s="75"/>
      <c r="AA478" s="3" t="str">
        <f>IF(BCP_Soles[[#This Row],[fecha]]&gt;0,TEXT(BCP_Soles[[#This Row],[fecha]],"mmmm"),0)</f>
        <v>Febrero</v>
      </c>
    </row>
    <row r="479" spans="1:27" ht="24" x14ac:dyDescent="0.3">
      <c r="A479" s="2">
        <f>IF(BCP_Soles[[#This Row],[tipo_registro]]="R",COUNTIFS($C$1:$C478,"R")+1,A478)</f>
        <v>307</v>
      </c>
      <c r="B479" s="19" t="str">
        <f t="shared" si="46"/>
        <v>B-BCP - Soles</v>
      </c>
      <c r="C479" s="3" t="s">
        <v>1330</v>
      </c>
      <c r="D479" s="14">
        <v>45694</v>
      </c>
      <c r="E479" s="5" t="s">
        <v>1338</v>
      </c>
      <c r="F479" s="5" t="s">
        <v>1336</v>
      </c>
      <c r="G479" s="6" t="s">
        <v>901</v>
      </c>
      <c r="H479" s="6"/>
      <c r="I479" s="6"/>
      <c r="J479" s="6"/>
      <c r="K479" s="7" t="s">
        <v>1827</v>
      </c>
      <c r="L479" s="8">
        <v>1170205</v>
      </c>
      <c r="M479" s="8" t="str">
        <f t="shared" si="47"/>
        <v>PEN</v>
      </c>
      <c r="N479" s="13"/>
      <c r="O479" s="13">
        <v>2642.1</v>
      </c>
      <c r="P479" s="3">
        <f t="shared" si="48"/>
        <v>0</v>
      </c>
      <c r="Q479" s="3">
        <f t="shared" si="49"/>
        <v>2642.1</v>
      </c>
      <c r="R479" s="3">
        <f t="shared" si="45"/>
        <v>35940.170000000006</v>
      </c>
      <c r="S479" s="24"/>
      <c r="T479" s="24" t="s">
        <v>1334</v>
      </c>
      <c r="U479" s="53"/>
      <c r="V479" s="25">
        <f>IFERROR(VLOOKUP(BCP_Soles[[#This Row],[destinatario]],CHOOSE({1,2},Clientes_Proveedores[Razon Social],Clientes_Proveedores[Ruc / Dni]),2,0),"")</f>
        <v>72131384</v>
      </c>
      <c r="W479" s="25" t="s">
        <v>901</v>
      </c>
      <c r="X479" s="25" t="s">
        <v>1828</v>
      </c>
      <c r="Y479" s="25"/>
      <c r="Z479" s="75"/>
      <c r="AA479" s="3" t="str">
        <f>IF(BCP_Soles[[#This Row],[fecha]]&gt;0,TEXT(BCP_Soles[[#This Row],[fecha]],"mmmm"),0)</f>
        <v>Febrero</v>
      </c>
    </row>
    <row r="480" spans="1:27" ht="36" x14ac:dyDescent="0.3">
      <c r="A480" s="2">
        <f>IF(BCP_Soles[[#This Row],[tipo_registro]]="R",COUNTIFS($C$1:$C479,"R")+1,A479)</f>
        <v>308</v>
      </c>
      <c r="B480" s="19" t="str">
        <f t="shared" si="46"/>
        <v>B-BCP - Soles</v>
      </c>
      <c r="C480" s="3" t="s">
        <v>1330</v>
      </c>
      <c r="D480" s="14">
        <v>45694</v>
      </c>
      <c r="E480" s="5" t="s">
        <v>1338</v>
      </c>
      <c r="F480" s="5" t="s">
        <v>1336</v>
      </c>
      <c r="G480" s="6" t="s">
        <v>939</v>
      </c>
      <c r="H480" s="6" t="s">
        <v>143</v>
      </c>
      <c r="I480" s="6">
        <v>1</v>
      </c>
      <c r="J480" s="6">
        <v>62025</v>
      </c>
      <c r="K480" s="7" t="s">
        <v>1829</v>
      </c>
      <c r="L480" s="8">
        <v>1170206</v>
      </c>
      <c r="M480" s="8" t="str">
        <f t="shared" si="47"/>
        <v>PEN</v>
      </c>
      <c r="N480" s="13"/>
      <c r="O480" s="13">
        <v>266</v>
      </c>
      <c r="P480" s="3">
        <f t="shared" si="48"/>
        <v>0</v>
      </c>
      <c r="Q480" s="3">
        <f t="shared" si="49"/>
        <v>266</v>
      </c>
      <c r="R480" s="3">
        <f t="shared" si="45"/>
        <v>35674.170000000006</v>
      </c>
      <c r="S480" s="24" t="s">
        <v>1334</v>
      </c>
      <c r="T480" s="24" t="s">
        <v>1334</v>
      </c>
      <c r="U480" s="53"/>
      <c r="V480" s="25">
        <f>IFERROR(VLOOKUP(BCP_Soles[[#This Row],[destinatario]],CHOOSE({1,2},Clientes_Proveedores[Razon Social],Clientes_Proveedores[Ruc / Dni]),2,0),"")</f>
        <v>72531546</v>
      </c>
      <c r="W480" s="25"/>
      <c r="X480" s="25"/>
      <c r="Y480" s="25"/>
      <c r="Z480" s="75"/>
      <c r="AA480" s="3" t="str">
        <f>IF(BCP_Soles[[#This Row],[fecha]]&gt;0,TEXT(BCP_Soles[[#This Row],[fecha]],"mmmm"),0)</f>
        <v>Febrero</v>
      </c>
    </row>
    <row r="481" spans="1:27" x14ac:dyDescent="0.3">
      <c r="A481" s="2">
        <f>IF(BCP_Soles[[#This Row],[tipo_registro]]="R",COUNTIFS($C$1:$C480,"R")+1,A480)</f>
        <v>309</v>
      </c>
      <c r="B481" s="19" t="str">
        <f t="shared" si="46"/>
        <v>B-BCP - Soles</v>
      </c>
      <c r="C481" s="3" t="s">
        <v>1330</v>
      </c>
      <c r="D481" s="14">
        <v>45694</v>
      </c>
      <c r="E481" s="5" t="s">
        <v>1421</v>
      </c>
      <c r="F481" s="5" t="s">
        <v>1336</v>
      </c>
      <c r="G481" s="6" t="s">
        <v>809</v>
      </c>
      <c r="H481" s="6" t="s">
        <v>143</v>
      </c>
      <c r="I481" s="6">
        <v>1</v>
      </c>
      <c r="J481" s="6">
        <v>782025</v>
      </c>
      <c r="K481" s="7" t="s">
        <v>1830</v>
      </c>
      <c r="L481" s="8">
        <v>9692717</v>
      </c>
      <c r="M481" s="8" t="str">
        <f t="shared" si="47"/>
        <v>PEN</v>
      </c>
      <c r="N481" s="13"/>
      <c r="O481" s="13">
        <v>225</v>
      </c>
      <c r="P481" s="3">
        <f t="shared" si="48"/>
        <v>0</v>
      </c>
      <c r="Q481" s="3">
        <f t="shared" si="49"/>
        <v>225</v>
      </c>
      <c r="R481" s="3">
        <f t="shared" si="45"/>
        <v>35449.170000000006</v>
      </c>
      <c r="S481" s="24"/>
      <c r="T481" s="24" t="s">
        <v>1334</v>
      </c>
      <c r="U481" s="53"/>
      <c r="V481" s="25">
        <f>IFERROR(VLOOKUP(BCP_Soles[[#This Row],[destinatario]],CHOOSE({1,2},Clientes_Proveedores[Razon Social],Clientes_Proveedores[Ruc / Dni]),2,0),"")</f>
        <v>45286301</v>
      </c>
      <c r="W481" s="25"/>
      <c r="X481" s="25"/>
      <c r="Y481" s="25"/>
      <c r="Z481" s="75"/>
      <c r="AA481" s="3" t="str">
        <f>IF(BCP_Soles[[#This Row],[fecha]]&gt;0,TEXT(BCP_Soles[[#This Row],[fecha]],"mmmm"),0)</f>
        <v>Febrero</v>
      </c>
    </row>
    <row r="482" spans="1:27" x14ac:dyDescent="0.3">
      <c r="A482" s="2">
        <f>IF(BCP_Soles[[#This Row],[tipo_registro]]="R",COUNTIFS($C$1:$C481,"R")+1,A481)</f>
        <v>310</v>
      </c>
      <c r="B482" s="19" t="str">
        <f t="shared" si="46"/>
        <v>B-BCP - Soles</v>
      </c>
      <c r="C482" s="3" t="s">
        <v>1330</v>
      </c>
      <c r="D482" s="14">
        <v>45694</v>
      </c>
      <c r="E482" s="5" t="s">
        <v>1335</v>
      </c>
      <c r="F482" s="5" t="s">
        <v>1336</v>
      </c>
      <c r="G482" s="6"/>
      <c r="H482" s="6"/>
      <c r="I482" s="6"/>
      <c r="J482" s="6"/>
      <c r="K482" s="7" t="s">
        <v>1337</v>
      </c>
      <c r="L482" s="8"/>
      <c r="M482" s="8" t="str">
        <f t="shared" si="47"/>
        <v>PEN</v>
      </c>
      <c r="N482" s="13"/>
      <c r="O482" s="13">
        <v>1.05</v>
      </c>
      <c r="P482" s="3">
        <f t="shared" si="48"/>
        <v>0</v>
      </c>
      <c r="Q482" s="3">
        <f t="shared" si="49"/>
        <v>1.05</v>
      </c>
      <c r="R482" s="3">
        <f t="shared" si="45"/>
        <v>35448.120000000003</v>
      </c>
      <c r="S482" s="24"/>
      <c r="T482" s="24" t="s">
        <v>1334</v>
      </c>
      <c r="U482" s="53"/>
      <c r="V482" s="25" t="str">
        <f>IFERROR(VLOOKUP(BCP_Soles[[#This Row],[destinatario]],CHOOSE({1,2},Clientes_Proveedores[Razon Social],Clientes_Proveedores[Ruc / Dni]),2,0),"")</f>
        <v/>
      </c>
      <c r="W482" s="25"/>
      <c r="X482" s="25"/>
      <c r="Y482" s="25"/>
      <c r="Z482" s="75"/>
      <c r="AA482" s="3" t="str">
        <f>IF(BCP_Soles[[#This Row],[fecha]]&gt;0,TEXT(BCP_Soles[[#This Row],[fecha]],"mmmm"),0)</f>
        <v>Febrero</v>
      </c>
    </row>
    <row r="483" spans="1:27" ht="24" x14ac:dyDescent="0.3">
      <c r="A483" s="2">
        <f>IF(BCP_Soles[[#This Row],[tipo_registro]]="R",COUNTIFS($C$1:$C482,"R")+1,A482)</f>
        <v>311</v>
      </c>
      <c r="B483" s="19" t="str">
        <f t="shared" si="46"/>
        <v>B-BCP - Soles</v>
      </c>
      <c r="C483" s="3" t="s">
        <v>1330</v>
      </c>
      <c r="D483" s="14">
        <v>45695</v>
      </c>
      <c r="E483" s="5" t="s">
        <v>1505</v>
      </c>
      <c r="F483" s="5" t="s">
        <v>1303</v>
      </c>
      <c r="G483" s="6" t="s">
        <v>425</v>
      </c>
      <c r="H483" s="6" t="s">
        <v>119</v>
      </c>
      <c r="I483" s="6">
        <v>1</v>
      </c>
      <c r="J483" s="6">
        <v>4147</v>
      </c>
      <c r="K483" s="7" t="s">
        <v>1356</v>
      </c>
      <c r="L483" s="8">
        <v>1898541</v>
      </c>
      <c r="M483" s="8" t="str">
        <f t="shared" si="47"/>
        <v>PEN</v>
      </c>
      <c r="N483" s="13"/>
      <c r="O483" s="13">
        <v>5593.5</v>
      </c>
      <c r="P483" s="3">
        <f t="shared" si="48"/>
        <v>5593.5</v>
      </c>
      <c r="Q483" s="3">
        <f t="shared" si="49"/>
        <v>0</v>
      </c>
      <c r="R483" s="3">
        <f t="shared" si="45"/>
        <v>41041.620000000003</v>
      </c>
      <c r="S483" s="24" t="s">
        <v>1334</v>
      </c>
      <c r="T483" s="24" t="s">
        <v>1334</v>
      </c>
      <c r="U483" s="53"/>
      <c r="V483" s="25">
        <f>IFERROR(VLOOKUP(BCP_Soles[[#This Row],[destinatario]],CHOOSE({1,2},Clientes_Proveedores[Razon Social],Clientes_Proveedores[Ruc / Dni]),2,0),"")</f>
        <v>20558226979</v>
      </c>
      <c r="W483" s="25" t="s">
        <v>1345</v>
      </c>
      <c r="X483" s="25" t="s">
        <v>1831</v>
      </c>
      <c r="Y483" s="25"/>
      <c r="Z483" s="75"/>
      <c r="AA483" s="3" t="str">
        <f>IF(BCP_Soles[[#This Row],[fecha]]&gt;0,TEXT(BCP_Soles[[#This Row],[fecha]],"mmmm"),0)</f>
        <v>Febrero</v>
      </c>
    </row>
    <row r="484" spans="1:27" ht="24" x14ac:dyDescent="0.3">
      <c r="A484" s="2">
        <f>IF(BCP_Soles[[#This Row],[tipo_registro]]="R",COUNTIFS($C$1:$C483,"R")+1,A483)</f>
        <v>312</v>
      </c>
      <c r="B484" s="19" t="str">
        <f t="shared" si="46"/>
        <v>B-BCP - Soles</v>
      </c>
      <c r="C484" s="3" t="s">
        <v>1330</v>
      </c>
      <c r="D484" s="14">
        <v>45695</v>
      </c>
      <c r="E484" s="5" t="s">
        <v>1505</v>
      </c>
      <c r="F484" s="5" t="s">
        <v>1303</v>
      </c>
      <c r="G484" s="6" t="s">
        <v>425</v>
      </c>
      <c r="H484" s="6" t="s">
        <v>119</v>
      </c>
      <c r="I484" s="6">
        <v>2</v>
      </c>
      <c r="J484" s="6">
        <v>673</v>
      </c>
      <c r="K484" s="7" t="s">
        <v>1356</v>
      </c>
      <c r="L484" s="8">
        <v>1931926</v>
      </c>
      <c r="M484" s="8" t="str">
        <f t="shared" si="47"/>
        <v>PEN</v>
      </c>
      <c r="N484" s="13"/>
      <c r="O484" s="13">
        <v>2574</v>
      </c>
      <c r="P484" s="3">
        <f t="shared" si="48"/>
        <v>2574</v>
      </c>
      <c r="Q484" s="3">
        <f t="shared" si="49"/>
        <v>0</v>
      </c>
      <c r="R484" s="3">
        <f t="shared" si="45"/>
        <v>43615.62</v>
      </c>
      <c r="S484" s="24" t="s">
        <v>1334</v>
      </c>
      <c r="T484" s="24" t="s">
        <v>1334</v>
      </c>
      <c r="U484" s="53"/>
      <c r="V484" s="25">
        <f>IFERROR(VLOOKUP(BCP_Soles[[#This Row],[destinatario]],CHOOSE({1,2},Clientes_Proveedores[Razon Social],Clientes_Proveedores[Ruc / Dni]),2,0),"")</f>
        <v>20558226979</v>
      </c>
      <c r="W484" s="25" t="s">
        <v>1345</v>
      </c>
      <c r="X484" s="25" t="s">
        <v>1832</v>
      </c>
      <c r="Y484" s="25"/>
      <c r="Z484" s="75"/>
      <c r="AA484" s="3" t="str">
        <f>IF(BCP_Soles[[#This Row],[fecha]]&gt;0,TEXT(BCP_Soles[[#This Row],[fecha]],"mmmm"),0)</f>
        <v>Febrero</v>
      </c>
    </row>
    <row r="485" spans="1:27" ht="24" x14ac:dyDescent="0.3">
      <c r="A485" s="2">
        <f>IF(BCP_Soles[[#This Row],[tipo_registro]]="R",COUNTIFS($C$1:$C484,"R")+1,A484)</f>
        <v>313</v>
      </c>
      <c r="B485" s="19" t="str">
        <f t="shared" si="46"/>
        <v>B-BCP - Soles</v>
      </c>
      <c r="C485" s="3" t="s">
        <v>1330</v>
      </c>
      <c r="D485" s="14">
        <v>45695</v>
      </c>
      <c r="E485" s="5" t="s">
        <v>1505</v>
      </c>
      <c r="F485" s="5" t="s">
        <v>1303</v>
      </c>
      <c r="G485" s="6" t="s">
        <v>425</v>
      </c>
      <c r="H485" s="6" t="s">
        <v>119</v>
      </c>
      <c r="I485" s="6">
        <v>2</v>
      </c>
      <c r="J485" s="6">
        <v>713</v>
      </c>
      <c r="K485" s="7" t="s">
        <v>1674</v>
      </c>
      <c r="L485" s="8">
        <v>31064</v>
      </c>
      <c r="M485" s="8" t="str">
        <f t="shared" si="47"/>
        <v>PEN</v>
      </c>
      <c r="N485" s="13"/>
      <c r="O485" s="13">
        <v>231</v>
      </c>
      <c r="P485" s="3">
        <f t="shared" si="48"/>
        <v>231</v>
      </c>
      <c r="Q485" s="3">
        <f t="shared" si="49"/>
        <v>0</v>
      </c>
      <c r="R485" s="3">
        <f t="shared" si="45"/>
        <v>43846.62</v>
      </c>
      <c r="S485" s="24" t="s">
        <v>1334</v>
      </c>
      <c r="T485" s="24" t="s">
        <v>1334</v>
      </c>
      <c r="U485" s="53"/>
      <c r="V485" s="25">
        <f>IFERROR(VLOOKUP(BCP_Soles[[#This Row],[destinatario]],CHOOSE({1,2},Clientes_Proveedores[Razon Social],Clientes_Proveedores[Ruc / Dni]),2,0),"")</f>
        <v>20558226979</v>
      </c>
      <c r="W485" s="25" t="s">
        <v>1345</v>
      </c>
      <c r="X485" s="25" t="s">
        <v>1833</v>
      </c>
      <c r="Y485" s="25"/>
      <c r="Z485" s="75"/>
      <c r="AA485" s="3" t="str">
        <f>IF(BCP_Soles[[#This Row],[fecha]]&gt;0,TEXT(BCP_Soles[[#This Row],[fecha]],"mmmm"),0)</f>
        <v>Febrero</v>
      </c>
    </row>
    <row r="486" spans="1:27" ht="24" x14ac:dyDescent="0.3">
      <c r="A486" s="2">
        <f>IF(BCP_Soles[[#This Row],[tipo_registro]]="R",COUNTIFS($C$1:$C485,"R")+1,A485)</f>
        <v>314</v>
      </c>
      <c r="B486" s="19" t="str">
        <f t="shared" si="46"/>
        <v>B-BCP - Soles</v>
      </c>
      <c r="C486" s="3" t="s">
        <v>1330</v>
      </c>
      <c r="D486" s="14">
        <v>45695</v>
      </c>
      <c r="E486" s="5" t="s">
        <v>1338</v>
      </c>
      <c r="F486" s="5" t="s">
        <v>1336</v>
      </c>
      <c r="G486" s="6" t="s">
        <v>249</v>
      </c>
      <c r="H486" s="6"/>
      <c r="I486" s="6"/>
      <c r="J486" s="6"/>
      <c r="K486" s="7" t="s">
        <v>1834</v>
      </c>
      <c r="L486" s="8">
        <v>1054861</v>
      </c>
      <c r="M486" s="8" t="str">
        <f t="shared" si="47"/>
        <v>PEN</v>
      </c>
      <c r="N486" s="13"/>
      <c r="O486" s="13">
        <v>623.19000000000005</v>
      </c>
      <c r="P486" s="3">
        <f t="shared" si="48"/>
        <v>0</v>
      </c>
      <c r="Q486" s="3">
        <f t="shared" si="49"/>
        <v>623.19000000000005</v>
      </c>
      <c r="R486" s="3">
        <f t="shared" si="45"/>
        <v>43223.43</v>
      </c>
      <c r="S486" s="24"/>
      <c r="T486" s="24"/>
      <c r="U486" s="53"/>
      <c r="V486" s="25">
        <f>IFERROR(VLOOKUP(BCP_Soles[[#This Row],[destinatario]],CHOOSE({1,2},Clientes_Proveedores[Razon Social],Clientes_Proveedores[Ruc / Dni]),2,0),"")</f>
        <v>20302891452</v>
      </c>
      <c r="W486" s="25" t="s">
        <v>249</v>
      </c>
      <c r="X486" s="25"/>
      <c r="Y486" s="25"/>
      <c r="Z486" s="75"/>
      <c r="AA486" s="3" t="str">
        <f>IF(BCP_Soles[[#This Row],[fecha]]&gt;0,TEXT(BCP_Soles[[#This Row],[fecha]],"mmmm"),0)</f>
        <v>Febrero</v>
      </c>
    </row>
    <row r="487" spans="1:27" x14ac:dyDescent="0.3">
      <c r="A487" s="2">
        <f>IF(BCP_Soles[[#This Row],[tipo_registro]]="R",COUNTIFS($C$1:$C486,"R")+1,A486)</f>
        <v>315</v>
      </c>
      <c r="B487" s="19" t="str">
        <f t="shared" si="46"/>
        <v>B-BCP - Soles</v>
      </c>
      <c r="C487" s="3" t="s">
        <v>1330</v>
      </c>
      <c r="D487" s="14">
        <v>45695</v>
      </c>
      <c r="E487" s="5" t="s">
        <v>1338</v>
      </c>
      <c r="F487" s="5" t="s">
        <v>1336</v>
      </c>
      <c r="G487" s="6" t="s">
        <v>696</v>
      </c>
      <c r="H487" s="6"/>
      <c r="I487" s="6"/>
      <c r="J487" s="6"/>
      <c r="K487" s="7" t="s">
        <v>1835</v>
      </c>
      <c r="L487" s="8">
        <v>45448</v>
      </c>
      <c r="M487" s="8" t="str">
        <f t="shared" si="47"/>
        <v>PEN</v>
      </c>
      <c r="N487" s="13"/>
      <c r="O487" s="13">
        <v>4370.26</v>
      </c>
      <c r="P487" s="3">
        <f t="shared" si="48"/>
        <v>0</v>
      </c>
      <c r="Q487" s="3">
        <f t="shared" si="49"/>
        <v>4370.26</v>
      </c>
      <c r="R487" s="3">
        <f t="shared" si="45"/>
        <v>38853.17</v>
      </c>
      <c r="S487" s="24" t="s">
        <v>1334</v>
      </c>
      <c r="T487" s="24" t="s">
        <v>1334</v>
      </c>
      <c r="U487" s="53"/>
      <c r="V487" s="25">
        <f>IFERROR(VLOOKUP(BCP_Soles[[#This Row],[destinatario]],CHOOSE({1,2},Clientes_Proveedores[Razon Social],Clientes_Proveedores[Ruc / Dni]),2,0),"")</f>
        <v>0</v>
      </c>
      <c r="W487" s="25" t="s">
        <v>1373</v>
      </c>
      <c r="X487" s="25"/>
      <c r="Y487" s="25"/>
      <c r="Z487" s="75"/>
      <c r="AA487" s="3" t="str">
        <f>IF(BCP_Soles[[#This Row],[fecha]]&gt;0,TEXT(BCP_Soles[[#This Row],[fecha]],"mmmm"),0)</f>
        <v>Febrero</v>
      </c>
    </row>
    <row r="488" spans="1:27" ht="36" x14ac:dyDescent="0.3">
      <c r="A488" s="2">
        <f>IF(BCP_Soles[[#This Row],[tipo_registro]]="R",COUNTIFS($C$1:$C487,"R")+1,A487)</f>
        <v>316</v>
      </c>
      <c r="B488" s="19" t="str">
        <f t="shared" si="46"/>
        <v>B-BCP - Soles</v>
      </c>
      <c r="C488" s="3" t="s">
        <v>1330</v>
      </c>
      <c r="D488" s="14">
        <v>45695</v>
      </c>
      <c r="E488" s="5" t="s">
        <v>1628</v>
      </c>
      <c r="F488" s="5" t="s">
        <v>1303</v>
      </c>
      <c r="G488" s="6" t="s">
        <v>425</v>
      </c>
      <c r="H488" s="6" t="s">
        <v>119</v>
      </c>
      <c r="I488" s="6">
        <v>2</v>
      </c>
      <c r="J488" s="6">
        <v>712</v>
      </c>
      <c r="K488" s="7" t="s">
        <v>1356</v>
      </c>
      <c r="L488" s="8">
        <v>3592891</v>
      </c>
      <c r="M488" s="8" t="str">
        <f t="shared" si="47"/>
        <v>PEN</v>
      </c>
      <c r="N488" s="13"/>
      <c r="O488" s="13">
        <v>2210</v>
      </c>
      <c r="P488" s="3">
        <f t="shared" si="48"/>
        <v>2210</v>
      </c>
      <c r="Q488" s="3">
        <f t="shared" si="49"/>
        <v>0</v>
      </c>
      <c r="R488" s="3">
        <f t="shared" si="45"/>
        <v>41063.17</v>
      </c>
      <c r="S488" s="24" t="s">
        <v>1334</v>
      </c>
      <c r="T488" s="24" t="s">
        <v>1334</v>
      </c>
      <c r="U488" s="53"/>
      <c r="V488" s="25">
        <f>IFERROR(VLOOKUP(BCP_Soles[[#This Row],[destinatario]],CHOOSE({1,2},Clientes_Proveedores[Razon Social],Clientes_Proveedores[Ruc / Dni]),2,0),"")</f>
        <v>20558226979</v>
      </c>
      <c r="W488" s="25" t="s">
        <v>1345</v>
      </c>
      <c r="X488" s="25" t="s">
        <v>1836</v>
      </c>
      <c r="Y488" s="25"/>
      <c r="Z488" s="75"/>
      <c r="AA488" s="3" t="str">
        <f>IF(BCP_Soles[[#This Row],[fecha]]&gt;0,TEXT(BCP_Soles[[#This Row],[fecha]],"mmmm"),0)</f>
        <v>Febrero</v>
      </c>
    </row>
    <row r="489" spans="1:27" x14ac:dyDescent="0.3">
      <c r="A489" s="2">
        <f>IF(BCP_Soles[[#This Row],[tipo_registro]]="R",COUNTIFS($C$1:$C488,"R")+1,A488)</f>
        <v>317</v>
      </c>
      <c r="B489" s="19" t="str">
        <f t="shared" si="46"/>
        <v>B-BCP - Soles</v>
      </c>
      <c r="C489" s="3" t="s">
        <v>1330</v>
      </c>
      <c r="D489" s="14">
        <v>45695</v>
      </c>
      <c r="E489" s="5" t="s">
        <v>1335</v>
      </c>
      <c r="F489" s="5" t="s">
        <v>1336</v>
      </c>
      <c r="G489" s="6"/>
      <c r="H489" s="6"/>
      <c r="I489" s="6"/>
      <c r="J489" s="6"/>
      <c r="K489" s="7" t="s">
        <v>1337</v>
      </c>
      <c r="L489" s="8"/>
      <c r="M489" s="8" t="str">
        <f t="shared" si="47"/>
        <v>PEN</v>
      </c>
      <c r="N489" s="13"/>
      <c r="O489" s="13">
        <v>1.1000000000000001</v>
      </c>
      <c r="P489" s="3">
        <f t="shared" si="48"/>
        <v>0</v>
      </c>
      <c r="Q489" s="3">
        <f t="shared" si="49"/>
        <v>1.1000000000000001</v>
      </c>
      <c r="R489" s="3">
        <f t="shared" si="45"/>
        <v>41062.07</v>
      </c>
      <c r="S489" s="24"/>
      <c r="T489" s="24" t="s">
        <v>1334</v>
      </c>
      <c r="U489" s="53"/>
      <c r="V489" s="25" t="str">
        <f>IFERROR(VLOOKUP(BCP_Soles[[#This Row],[destinatario]],CHOOSE({1,2},Clientes_Proveedores[Razon Social],Clientes_Proveedores[Ruc / Dni]),2,0),"")</f>
        <v/>
      </c>
      <c r="W489" s="25"/>
      <c r="X489" s="25"/>
      <c r="Y489" s="25"/>
      <c r="Z489" s="75"/>
      <c r="AA489" s="3" t="str">
        <f>IF(BCP_Soles[[#This Row],[fecha]]&gt;0,TEXT(BCP_Soles[[#This Row],[fecha]],"mmmm"),0)</f>
        <v>Febrero</v>
      </c>
    </row>
    <row r="490" spans="1:27" ht="24" x14ac:dyDescent="0.3">
      <c r="A490" s="2">
        <f>IF(BCP_Soles[[#This Row],[tipo_registro]]="R",COUNTIFS($C$1:$C489,"R")+1,A489)</f>
        <v>318</v>
      </c>
      <c r="B490" s="19" t="str">
        <f t="shared" si="46"/>
        <v>B-BCP - Soles</v>
      </c>
      <c r="C490" s="3" t="s">
        <v>1330</v>
      </c>
      <c r="D490" s="14">
        <v>45695</v>
      </c>
      <c r="E490" s="5" t="s">
        <v>1335</v>
      </c>
      <c r="F490" s="5" t="s">
        <v>1336</v>
      </c>
      <c r="G490" s="6" t="s">
        <v>1060</v>
      </c>
      <c r="H490" s="6" t="s">
        <v>68</v>
      </c>
      <c r="I490" s="6" t="s">
        <v>1397</v>
      </c>
      <c r="J490" s="6">
        <v>29251714</v>
      </c>
      <c r="K490" s="7" t="s">
        <v>1400</v>
      </c>
      <c r="L490" s="8">
        <v>1705</v>
      </c>
      <c r="M490" s="8" t="str">
        <f t="shared" si="47"/>
        <v>PEN</v>
      </c>
      <c r="N490" s="13"/>
      <c r="O490" s="13">
        <v>10</v>
      </c>
      <c r="P490" s="3">
        <f t="shared" si="48"/>
        <v>0</v>
      </c>
      <c r="Q490" s="3">
        <f t="shared" si="49"/>
        <v>10</v>
      </c>
      <c r="R490" s="3">
        <f t="shared" si="45"/>
        <v>41052.07</v>
      </c>
      <c r="S490" s="24"/>
      <c r="T490" s="24" t="s">
        <v>1334</v>
      </c>
      <c r="U490" s="53"/>
      <c r="V490" s="25">
        <f>IFERROR(VLOOKUP(BCP_Soles[[#This Row],[destinatario]],CHOOSE({1,2},Clientes_Proveedores[Razon Social],Clientes_Proveedores[Ruc / Dni]),2,0),"")</f>
        <v>20100047218</v>
      </c>
      <c r="W490" s="25" t="s">
        <v>1335</v>
      </c>
      <c r="X490" s="25"/>
      <c r="Y490" s="25"/>
      <c r="Z490" s="75"/>
      <c r="AA490" s="3" t="str">
        <f>IF(BCP_Soles[[#This Row],[fecha]]&gt;0,TEXT(BCP_Soles[[#This Row],[fecha]],"mmmm"),0)</f>
        <v>Febrero</v>
      </c>
    </row>
    <row r="491" spans="1:27" ht="24" x14ac:dyDescent="0.3">
      <c r="A491" s="2">
        <f>IF(BCP_Soles[[#This Row],[tipo_registro]]="R",COUNTIFS($C$1:$C490,"R")+1,A490)</f>
        <v>319</v>
      </c>
      <c r="B491" s="19" t="str">
        <f t="shared" si="46"/>
        <v>B-BCP - Soles</v>
      </c>
      <c r="C491" s="3" t="s">
        <v>1330</v>
      </c>
      <c r="D491" s="14">
        <v>45695</v>
      </c>
      <c r="E491" s="5" t="s">
        <v>1335</v>
      </c>
      <c r="F491" s="5" t="s">
        <v>1336</v>
      </c>
      <c r="G491" s="6" t="s">
        <v>1060</v>
      </c>
      <c r="H491" s="6"/>
      <c r="I491" s="6"/>
      <c r="J491" s="6"/>
      <c r="K491" s="7" t="s">
        <v>1837</v>
      </c>
      <c r="L491" s="8">
        <v>186745</v>
      </c>
      <c r="M491" s="8" t="str">
        <f t="shared" si="47"/>
        <v>PEN</v>
      </c>
      <c r="N491" s="13"/>
      <c r="O491" s="13">
        <v>17.5</v>
      </c>
      <c r="P491" s="3">
        <f t="shared" si="48"/>
        <v>0</v>
      </c>
      <c r="Q491" s="3">
        <f t="shared" si="49"/>
        <v>17.5</v>
      </c>
      <c r="R491" s="3">
        <f t="shared" si="45"/>
        <v>41034.57</v>
      </c>
      <c r="S491" s="24"/>
      <c r="T491" s="24"/>
      <c r="U491" s="53"/>
      <c r="V491" s="25">
        <f>IFERROR(VLOOKUP(BCP_Soles[[#This Row],[destinatario]],CHOOSE({1,2},Clientes_Proveedores[Razon Social],Clientes_Proveedores[Ruc / Dni]),2,0),"")</f>
        <v>20100047218</v>
      </c>
      <c r="W491" s="25" t="s">
        <v>1335</v>
      </c>
      <c r="X491" s="25"/>
      <c r="Y491" s="25"/>
      <c r="Z491" s="75"/>
      <c r="AA491" s="3" t="str">
        <f>IF(BCP_Soles[[#This Row],[fecha]]&gt;0,TEXT(BCP_Soles[[#This Row],[fecha]],"mmmm"),0)</f>
        <v>Febrero</v>
      </c>
    </row>
    <row r="492" spans="1:27" x14ac:dyDescent="0.3">
      <c r="A492" s="2">
        <f>IF(BCP_Soles[[#This Row],[tipo_registro]]="R",COUNTIFS($C$1:$C491,"R")+1,A491)</f>
        <v>320</v>
      </c>
      <c r="B492" s="19" t="str">
        <f t="shared" si="46"/>
        <v>B-BCP - Soles</v>
      </c>
      <c r="C492" s="3" t="s">
        <v>1330</v>
      </c>
      <c r="D492" s="14">
        <v>45695</v>
      </c>
      <c r="E492" s="5" t="s">
        <v>1338</v>
      </c>
      <c r="F492" s="5" t="s">
        <v>1336</v>
      </c>
      <c r="G492" s="6" t="s">
        <v>565</v>
      </c>
      <c r="H492" s="6" t="s">
        <v>68</v>
      </c>
      <c r="I492" s="6" t="s">
        <v>1432</v>
      </c>
      <c r="J492" s="6">
        <v>107</v>
      </c>
      <c r="K492" s="7" t="s">
        <v>1838</v>
      </c>
      <c r="L492" s="8">
        <v>1158551</v>
      </c>
      <c r="M492" s="8" t="str">
        <f t="shared" si="47"/>
        <v>PEN</v>
      </c>
      <c r="N492" s="13"/>
      <c r="O492" s="13">
        <v>180</v>
      </c>
      <c r="P492" s="3">
        <f t="shared" si="48"/>
        <v>0</v>
      </c>
      <c r="Q492" s="3">
        <f t="shared" si="49"/>
        <v>180</v>
      </c>
      <c r="R492" s="3">
        <f t="shared" si="45"/>
        <v>40854.57</v>
      </c>
      <c r="S492" s="24" t="s">
        <v>1334</v>
      </c>
      <c r="T492" s="24" t="s">
        <v>1334</v>
      </c>
      <c r="U492" s="53"/>
      <c r="V492" s="25">
        <f>IFERROR(VLOOKUP(BCP_Soles[[#This Row],[destinatario]],CHOOSE({1,2},Clientes_Proveedores[Razon Social],Clientes_Proveedores[Ruc / Dni]),2,0),"")</f>
        <v>20608587803</v>
      </c>
      <c r="W492" s="25" t="s">
        <v>565</v>
      </c>
      <c r="X492" s="25" t="s">
        <v>1839</v>
      </c>
      <c r="Y492" s="25"/>
      <c r="Z492" s="75"/>
      <c r="AA492" s="3" t="str">
        <f>IF(BCP_Soles[[#This Row],[fecha]]&gt;0,TEXT(BCP_Soles[[#This Row],[fecha]],"mmmm"),0)</f>
        <v>Febrero</v>
      </c>
    </row>
    <row r="493" spans="1:27" x14ac:dyDescent="0.3">
      <c r="A493" s="2">
        <f>IF(BCP_Soles[[#This Row],[tipo_registro]]="R",COUNTIFS($C$1:$C492,"R")+1,A492)</f>
        <v>321</v>
      </c>
      <c r="B493" s="19" t="str">
        <f t="shared" si="46"/>
        <v>B-BCP - Soles</v>
      </c>
      <c r="C493" s="3" t="s">
        <v>1330</v>
      </c>
      <c r="D493" s="14">
        <v>45695</v>
      </c>
      <c r="E493" s="5" t="s">
        <v>1338</v>
      </c>
      <c r="F493" s="5" t="s">
        <v>1336</v>
      </c>
      <c r="G493" s="6" t="s">
        <v>695</v>
      </c>
      <c r="H493" s="6" t="s">
        <v>68</v>
      </c>
      <c r="I493" s="6" t="s">
        <v>1377</v>
      </c>
      <c r="J493" s="6">
        <v>145752</v>
      </c>
      <c r="K493" s="7" t="s">
        <v>1378</v>
      </c>
      <c r="L493" s="8">
        <v>96689</v>
      </c>
      <c r="M493" s="8" t="str">
        <f t="shared" si="47"/>
        <v>PEN</v>
      </c>
      <c r="N493" s="13"/>
      <c r="O493" s="13">
        <v>256.58999999999997</v>
      </c>
      <c r="P493" s="3">
        <f t="shared" si="48"/>
        <v>0</v>
      </c>
      <c r="Q493" s="3">
        <f t="shared" si="49"/>
        <v>256.58999999999997</v>
      </c>
      <c r="R493" s="3">
        <f t="shared" si="45"/>
        <v>40597.980000000003</v>
      </c>
      <c r="S493" s="24" t="s">
        <v>1334</v>
      </c>
      <c r="T493" s="24" t="s">
        <v>1334</v>
      </c>
      <c r="U493" s="53"/>
      <c r="V493" s="25">
        <f>IFERROR(VLOOKUP(BCP_Soles[[#This Row],[destinatario]],CHOOSE({1,2},Clientes_Proveedores[Razon Social],Clientes_Proveedores[Ruc / Dni]),2,0),"")</f>
        <v>20127765279</v>
      </c>
      <c r="W493" s="25" t="s">
        <v>1379</v>
      </c>
      <c r="X493" s="25" t="s">
        <v>1840</v>
      </c>
      <c r="Y493" s="25"/>
      <c r="Z493" s="75"/>
      <c r="AA493" s="3" t="str">
        <f>IF(BCP_Soles[[#This Row],[fecha]]&gt;0,TEXT(BCP_Soles[[#This Row],[fecha]],"mmmm"),0)</f>
        <v>Febrero</v>
      </c>
    </row>
    <row r="494" spans="1:27" ht="24" x14ac:dyDescent="0.3">
      <c r="A494" s="2">
        <f>IF(BCP_Soles[[#This Row],[tipo_registro]]="R",COUNTIFS($C$1:$C493,"R")+1,A493)</f>
        <v>322</v>
      </c>
      <c r="B494" s="19" t="str">
        <f t="shared" si="46"/>
        <v>B-BCP - Soles</v>
      </c>
      <c r="C494" s="3" t="s">
        <v>1330</v>
      </c>
      <c r="D494" s="14">
        <v>45695</v>
      </c>
      <c r="E494" s="5" t="s">
        <v>1338</v>
      </c>
      <c r="F494" s="5" t="s">
        <v>1336</v>
      </c>
      <c r="G494" s="6" t="s">
        <v>631</v>
      </c>
      <c r="H494" s="6" t="s">
        <v>68</v>
      </c>
      <c r="I494" s="6" t="s">
        <v>1841</v>
      </c>
      <c r="J494" s="6">
        <v>87</v>
      </c>
      <c r="K494" s="7" t="s">
        <v>1842</v>
      </c>
      <c r="L494" s="8">
        <v>1132600</v>
      </c>
      <c r="M494" s="8" t="str">
        <f t="shared" si="47"/>
        <v>PEN</v>
      </c>
      <c r="N494" s="13"/>
      <c r="O494" s="13">
        <v>887</v>
      </c>
      <c r="P494" s="3">
        <f t="shared" si="48"/>
        <v>0</v>
      </c>
      <c r="Q494" s="3">
        <f t="shared" si="49"/>
        <v>887</v>
      </c>
      <c r="R494" s="3">
        <f t="shared" si="45"/>
        <v>39710.980000000003</v>
      </c>
      <c r="S494" s="24" t="s">
        <v>1334</v>
      </c>
      <c r="T494" s="24" t="s">
        <v>1334</v>
      </c>
      <c r="U494" s="53"/>
      <c r="V494" s="25">
        <f>IFERROR(VLOOKUP(BCP_Soles[[#This Row],[destinatario]],CHOOSE({1,2},Clientes_Proveedores[Razon Social],Clientes_Proveedores[Ruc / Dni]),2,0),"")</f>
        <v>20606120657</v>
      </c>
      <c r="W494" s="25" t="s">
        <v>631</v>
      </c>
      <c r="X494" s="25" t="s">
        <v>1843</v>
      </c>
      <c r="Y494" s="25"/>
      <c r="Z494" s="75"/>
      <c r="AA494" s="3" t="str">
        <f>IF(BCP_Soles[[#This Row],[fecha]]&gt;0,TEXT(BCP_Soles[[#This Row],[fecha]],"mmmm"),0)</f>
        <v>Febrero</v>
      </c>
    </row>
    <row r="495" spans="1:27" x14ac:dyDescent="0.3">
      <c r="A495" s="2">
        <f>IF(BCP_Soles[[#This Row],[tipo_registro]]="R",COUNTIFS($C$1:$C494,"R")+1,A494)</f>
        <v>323</v>
      </c>
      <c r="B495" s="19" t="str">
        <f t="shared" si="46"/>
        <v>B-BCP - Soles</v>
      </c>
      <c r="C495" s="3" t="s">
        <v>1330</v>
      </c>
      <c r="D495" s="14">
        <v>45695</v>
      </c>
      <c r="E495" s="5" t="s">
        <v>1338</v>
      </c>
      <c r="F495" s="5" t="s">
        <v>1336</v>
      </c>
      <c r="G495" s="6"/>
      <c r="H495" s="6"/>
      <c r="I495" s="6"/>
      <c r="J495" s="6"/>
      <c r="K495" s="7" t="s">
        <v>1844</v>
      </c>
      <c r="L495" s="8">
        <v>1017607</v>
      </c>
      <c r="M495" s="8" t="str">
        <f t="shared" si="47"/>
        <v>PEN</v>
      </c>
      <c r="N495" s="13"/>
      <c r="O495" s="13">
        <v>2131</v>
      </c>
      <c r="P495" s="3">
        <f t="shared" si="48"/>
        <v>0</v>
      </c>
      <c r="Q495" s="3">
        <f t="shared" si="49"/>
        <v>2131</v>
      </c>
      <c r="R495" s="3">
        <f t="shared" si="45"/>
        <v>37579.980000000003</v>
      </c>
      <c r="S495" s="24"/>
      <c r="T495" s="24"/>
      <c r="U495" s="53"/>
      <c r="V495" s="25" t="str">
        <f>IFERROR(VLOOKUP(BCP_Soles[[#This Row],[destinatario]],CHOOSE({1,2},Clientes_Proveedores[Razon Social],Clientes_Proveedores[Ruc / Dni]),2,0),"")</f>
        <v/>
      </c>
      <c r="W495" s="25" t="s">
        <v>1389</v>
      </c>
      <c r="X495" s="25"/>
      <c r="Y495" s="25"/>
      <c r="Z495" s="75"/>
      <c r="AA495" s="3" t="str">
        <f>IF(BCP_Soles[[#This Row],[fecha]]&gt;0,TEXT(BCP_Soles[[#This Row],[fecha]],"mmmm"),0)</f>
        <v>Febrero</v>
      </c>
    </row>
    <row r="496" spans="1:27" x14ac:dyDescent="0.3">
      <c r="A496" s="2">
        <f>IF(BCP_Soles[[#This Row],[tipo_registro]]="R",COUNTIFS($C$1:$C495,"R")+1,A495)</f>
        <v>324</v>
      </c>
      <c r="B496" s="19" t="str">
        <f t="shared" si="46"/>
        <v>B-BCP - Soles</v>
      </c>
      <c r="C496" s="3" t="s">
        <v>1330</v>
      </c>
      <c r="D496" s="14">
        <v>45695</v>
      </c>
      <c r="E496" s="5" t="s">
        <v>1338</v>
      </c>
      <c r="F496" s="5" t="s">
        <v>1336</v>
      </c>
      <c r="G496" s="6" t="s">
        <v>696</v>
      </c>
      <c r="H496" s="6"/>
      <c r="I496" s="6"/>
      <c r="J496" s="6"/>
      <c r="K496" s="7" t="s">
        <v>1845</v>
      </c>
      <c r="L496" s="8">
        <v>186734</v>
      </c>
      <c r="M496" s="8" t="str">
        <f t="shared" si="47"/>
        <v>PEN</v>
      </c>
      <c r="N496" s="13"/>
      <c r="O496" s="13">
        <v>7303.72</v>
      </c>
      <c r="P496" s="3">
        <f t="shared" si="48"/>
        <v>0</v>
      </c>
      <c r="Q496" s="3">
        <f t="shared" si="49"/>
        <v>7303.72</v>
      </c>
      <c r="R496" s="3">
        <f t="shared" si="45"/>
        <v>30276.260000000002</v>
      </c>
      <c r="S496" s="24" t="s">
        <v>1334</v>
      </c>
      <c r="T496" s="24" t="s">
        <v>1334</v>
      </c>
      <c r="U496" s="53"/>
      <c r="V496" s="25">
        <f>IFERROR(VLOOKUP(BCP_Soles[[#This Row],[destinatario]],CHOOSE({1,2},Clientes_Proveedores[Razon Social],Clientes_Proveedores[Ruc / Dni]),2,0),"")</f>
        <v>0</v>
      </c>
      <c r="W496" s="25" t="s">
        <v>1373</v>
      </c>
      <c r="X496" s="25"/>
      <c r="Y496" s="25"/>
      <c r="Z496" s="75"/>
      <c r="AA496" s="3" t="str">
        <f>IF(BCP_Soles[[#This Row],[fecha]]&gt;0,TEXT(BCP_Soles[[#This Row],[fecha]],"mmmm"),0)</f>
        <v>Febrero</v>
      </c>
    </row>
    <row r="497" spans="1:27" ht="24" x14ac:dyDescent="0.3">
      <c r="A497" s="2">
        <f>IF(BCP_Soles[[#This Row],[tipo_registro]]="R",COUNTIFS($C$1:$C496,"R")+1,A496)</f>
        <v>325</v>
      </c>
      <c r="B497" s="19" t="str">
        <f t="shared" si="46"/>
        <v>B-BCP - Soles</v>
      </c>
      <c r="C497" s="3" t="s">
        <v>1330</v>
      </c>
      <c r="D497" s="14">
        <v>45698</v>
      </c>
      <c r="E497" s="5" t="s">
        <v>1669</v>
      </c>
      <c r="F497" s="5" t="s">
        <v>1303</v>
      </c>
      <c r="G497" s="6" t="s">
        <v>425</v>
      </c>
      <c r="H497" s="6" t="s">
        <v>119</v>
      </c>
      <c r="I497" s="6">
        <v>1</v>
      </c>
      <c r="J497" s="6">
        <v>4146</v>
      </c>
      <c r="K497" s="7" t="s">
        <v>1356</v>
      </c>
      <c r="L497" s="8">
        <v>2451234</v>
      </c>
      <c r="M497" s="8" t="str">
        <f t="shared" si="47"/>
        <v>PEN</v>
      </c>
      <c r="N497" s="13"/>
      <c r="O497" s="13">
        <v>1000</v>
      </c>
      <c r="P497" s="3">
        <f t="shared" si="48"/>
        <v>1000</v>
      </c>
      <c r="Q497" s="3">
        <f t="shared" si="49"/>
        <v>0</v>
      </c>
      <c r="R497" s="3">
        <f t="shared" si="45"/>
        <v>31276.260000000002</v>
      </c>
      <c r="S497" s="24" t="s">
        <v>1334</v>
      </c>
      <c r="T497" s="24" t="s">
        <v>1334</v>
      </c>
      <c r="U497" s="53"/>
      <c r="V497" s="25">
        <f>IFERROR(VLOOKUP(BCP_Soles[[#This Row],[destinatario]],CHOOSE({1,2},Clientes_Proveedores[Razon Social],Clientes_Proveedores[Ruc / Dni]),2,0),"")</f>
        <v>20558226979</v>
      </c>
      <c r="W497" s="25" t="s">
        <v>1345</v>
      </c>
      <c r="X497" s="25" t="s">
        <v>1846</v>
      </c>
      <c r="Y497" s="25"/>
      <c r="Z497" s="75"/>
      <c r="AA497" s="3" t="str">
        <f>IF(BCP_Soles[[#This Row],[fecha]]&gt;0,TEXT(BCP_Soles[[#This Row],[fecha]],"mmmm"),0)</f>
        <v>Febrero</v>
      </c>
    </row>
    <row r="498" spans="1:27" ht="24" x14ac:dyDescent="0.3">
      <c r="A498" s="2">
        <f>IF(BCP_Soles[[#This Row],[tipo_registro]]="R",COUNTIFS($C$1:$C497,"R")+1,A497)</f>
        <v>326</v>
      </c>
      <c r="B498" s="19" t="str">
        <f t="shared" si="46"/>
        <v>B-BCP - Soles</v>
      </c>
      <c r="C498" s="3" t="s">
        <v>1330</v>
      </c>
      <c r="D498" s="14">
        <v>45698</v>
      </c>
      <c r="E498" s="5" t="s">
        <v>1669</v>
      </c>
      <c r="F498" s="5" t="s">
        <v>1303</v>
      </c>
      <c r="G498" s="6" t="s">
        <v>425</v>
      </c>
      <c r="H498" s="6" t="s">
        <v>119</v>
      </c>
      <c r="I498" s="6">
        <v>1</v>
      </c>
      <c r="J498" s="6">
        <v>4146</v>
      </c>
      <c r="K498" s="7" t="s">
        <v>1356</v>
      </c>
      <c r="L498" s="8">
        <v>1036423</v>
      </c>
      <c r="M498" s="8" t="str">
        <f t="shared" si="47"/>
        <v>PEN</v>
      </c>
      <c r="N498" s="13"/>
      <c r="O498" s="13">
        <v>2000</v>
      </c>
      <c r="P498" s="3">
        <f t="shared" si="48"/>
        <v>2000</v>
      </c>
      <c r="Q498" s="3">
        <f t="shared" si="49"/>
        <v>0</v>
      </c>
      <c r="R498" s="3">
        <f t="shared" si="45"/>
        <v>33276.26</v>
      </c>
      <c r="S498" s="24" t="s">
        <v>1334</v>
      </c>
      <c r="T498" s="24" t="s">
        <v>1334</v>
      </c>
      <c r="U498" s="53"/>
      <c r="V498" s="25">
        <f>IFERROR(VLOOKUP(BCP_Soles[[#This Row],[destinatario]],CHOOSE({1,2},Clientes_Proveedores[Razon Social],Clientes_Proveedores[Ruc / Dni]),2,0),"")</f>
        <v>20558226979</v>
      </c>
      <c r="W498" s="25" t="s">
        <v>1345</v>
      </c>
      <c r="X498" s="25" t="s">
        <v>1846</v>
      </c>
      <c r="Y498" s="25"/>
      <c r="Z498" s="75"/>
      <c r="AA498" s="3" t="str">
        <f>IF(BCP_Soles[[#This Row],[fecha]]&gt;0,TEXT(BCP_Soles[[#This Row],[fecha]],"mmmm"),0)</f>
        <v>Febrero</v>
      </c>
    </row>
    <row r="499" spans="1:27" ht="24" x14ac:dyDescent="0.3">
      <c r="A499" s="2">
        <f>IF(BCP_Soles[[#This Row],[tipo_registro]]="R",COUNTIFS($C$1:$C498,"R")+1,A498)</f>
        <v>327</v>
      </c>
      <c r="B499" s="19" t="str">
        <f t="shared" si="46"/>
        <v>B-BCP - Soles</v>
      </c>
      <c r="C499" s="3" t="s">
        <v>1330</v>
      </c>
      <c r="D499" s="14">
        <v>45698</v>
      </c>
      <c r="E499" s="5" t="s">
        <v>536</v>
      </c>
      <c r="F499" s="5" t="s">
        <v>1303</v>
      </c>
      <c r="G499" s="6" t="s">
        <v>425</v>
      </c>
      <c r="H499" s="6" t="s">
        <v>119</v>
      </c>
      <c r="I499" s="6">
        <v>1</v>
      </c>
      <c r="J499" s="6">
        <v>4138</v>
      </c>
      <c r="K499" s="7" t="s">
        <v>1356</v>
      </c>
      <c r="L499" s="8">
        <v>451215</v>
      </c>
      <c r="M499" s="8" t="str">
        <f t="shared" si="47"/>
        <v>PEN</v>
      </c>
      <c r="N499" s="13"/>
      <c r="O499" s="13">
        <v>34</v>
      </c>
      <c r="P499" s="3">
        <f t="shared" si="48"/>
        <v>34</v>
      </c>
      <c r="Q499" s="3">
        <f t="shared" si="49"/>
        <v>0</v>
      </c>
      <c r="R499" s="3">
        <f t="shared" si="45"/>
        <v>33310.26</v>
      </c>
      <c r="S499" s="24" t="s">
        <v>1334</v>
      </c>
      <c r="T499" s="24" t="s">
        <v>1334</v>
      </c>
      <c r="U499" s="53"/>
      <c r="V499" s="25">
        <f>IFERROR(VLOOKUP(BCP_Soles[[#This Row],[destinatario]],CHOOSE({1,2},Clientes_Proveedores[Razon Social],Clientes_Proveedores[Ruc / Dni]),2,0),"")</f>
        <v>20558226979</v>
      </c>
      <c r="W499" s="25" t="s">
        <v>1345</v>
      </c>
      <c r="X499" s="25" t="s">
        <v>1819</v>
      </c>
      <c r="Y499" s="25"/>
      <c r="Z499" s="75"/>
      <c r="AA499" s="3" t="str">
        <f>IF(BCP_Soles[[#This Row],[fecha]]&gt;0,TEXT(BCP_Soles[[#This Row],[fecha]],"mmmm"),0)</f>
        <v>Febrero</v>
      </c>
    </row>
    <row r="500" spans="1:27" x14ac:dyDescent="0.3">
      <c r="A500" s="2">
        <f>IF(BCP_Soles[[#This Row],[tipo_registro]]="R",COUNTIFS($C$1:$C499,"R")+1,A499)</f>
        <v>328</v>
      </c>
      <c r="B500" s="19" t="str">
        <f t="shared" si="46"/>
        <v>B-BCP - Soles</v>
      </c>
      <c r="C500" s="3" t="s">
        <v>1330</v>
      </c>
      <c r="D500" s="14">
        <v>45698</v>
      </c>
      <c r="E500" s="5" t="s">
        <v>1335</v>
      </c>
      <c r="F500" s="5" t="s">
        <v>1336</v>
      </c>
      <c r="G500" s="6"/>
      <c r="H500" s="6"/>
      <c r="I500" s="6"/>
      <c r="J500" s="6"/>
      <c r="K500" s="7" t="s">
        <v>1337</v>
      </c>
      <c r="L500" s="8"/>
      <c r="M500" s="8" t="str">
        <f t="shared" si="47"/>
        <v>PEN</v>
      </c>
      <c r="N500" s="13"/>
      <c r="O500" s="13">
        <v>0.15</v>
      </c>
      <c r="P500" s="3">
        <f t="shared" si="48"/>
        <v>0</v>
      </c>
      <c r="Q500" s="3">
        <f t="shared" si="49"/>
        <v>0.15</v>
      </c>
      <c r="R500" s="3">
        <f t="shared" si="45"/>
        <v>33310.11</v>
      </c>
      <c r="S500" s="24"/>
      <c r="T500" s="24" t="s">
        <v>1334</v>
      </c>
      <c r="U500" s="53"/>
      <c r="V500" s="25" t="str">
        <f>IFERROR(VLOOKUP(BCP_Soles[[#This Row],[destinatario]],CHOOSE({1,2},Clientes_Proveedores[Razon Social],Clientes_Proveedores[Ruc / Dni]),2,0),"")</f>
        <v/>
      </c>
      <c r="W500" s="25"/>
      <c r="X500" s="25"/>
      <c r="Y500" s="25"/>
      <c r="Z500" s="75"/>
      <c r="AA500" s="3" t="str">
        <f>IF(BCP_Soles[[#This Row],[fecha]]&gt;0,TEXT(BCP_Soles[[#This Row],[fecha]],"mmmm"),0)</f>
        <v>Febrero</v>
      </c>
    </row>
    <row r="501" spans="1:27" ht="24" x14ac:dyDescent="0.3">
      <c r="A501" s="2">
        <f>IF(BCP_Soles[[#This Row],[tipo_registro]]="R",COUNTIFS($C$1:$C500,"R")+1,A500)</f>
        <v>329</v>
      </c>
      <c r="B501" s="19" t="str">
        <f t="shared" si="46"/>
        <v>B-BCP - Soles</v>
      </c>
      <c r="C501" s="3" t="s">
        <v>1330</v>
      </c>
      <c r="D501" s="14">
        <v>45698</v>
      </c>
      <c r="E501" s="5" t="s">
        <v>1338</v>
      </c>
      <c r="F501" s="5" t="s">
        <v>1336</v>
      </c>
      <c r="G501" s="6" t="s">
        <v>703</v>
      </c>
      <c r="H501" s="6" t="s">
        <v>106</v>
      </c>
      <c r="I501" s="6" t="s">
        <v>1484</v>
      </c>
      <c r="J501" s="6">
        <v>28701598</v>
      </c>
      <c r="K501" s="7" t="s">
        <v>1485</v>
      </c>
      <c r="L501" s="8">
        <v>160363</v>
      </c>
      <c r="M501" s="8" t="str">
        <f t="shared" si="47"/>
        <v>PEN</v>
      </c>
      <c r="N501" s="13"/>
      <c r="O501" s="13">
        <v>116.1</v>
      </c>
      <c r="P501" s="3">
        <f t="shared" si="48"/>
        <v>0</v>
      </c>
      <c r="Q501" s="3">
        <f t="shared" si="49"/>
        <v>116.1</v>
      </c>
      <c r="R501" s="3">
        <f t="shared" si="45"/>
        <v>33194.01</v>
      </c>
      <c r="S501" s="24" t="s">
        <v>1334</v>
      </c>
      <c r="T501" s="24" t="s">
        <v>1334</v>
      </c>
      <c r="U501" s="53"/>
      <c r="V501" s="25">
        <f>IFERROR(VLOOKUP(BCP_Soles[[#This Row],[destinatario]],CHOOSE({1,2},Clientes_Proveedores[Razon Social],Clientes_Proveedores[Ruc / Dni]),2,0),"")</f>
        <v>20100188628</v>
      </c>
      <c r="W501" s="25" t="s">
        <v>1486</v>
      </c>
      <c r="X501" s="25" t="s">
        <v>1847</v>
      </c>
      <c r="Y501" s="25"/>
      <c r="Z501" s="75"/>
      <c r="AA501" s="3" t="str">
        <f>IF(BCP_Soles[[#This Row],[fecha]]&gt;0,TEXT(BCP_Soles[[#This Row],[fecha]],"mmmm"),0)</f>
        <v>Febrero</v>
      </c>
    </row>
    <row r="502" spans="1:27" x14ac:dyDescent="0.3">
      <c r="A502" s="2">
        <f>IF(BCP_Soles[[#This Row],[tipo_registro]]="R",COUNTIFS($C$1:$C501,"R")+1,A501)</f>
        <v>330</v>
      </c>
      <c r="B502" s="19" t="str">
        <f t="shared" si="46"/>
        <v>B-BCP - Soles</v>
      </c>
      <c r="C502" s="3" t="s">
        <v>1330</v>
      </c>
      <c r="D502" s="14">
        <v>45698</v>
      </c>
      <c r="E502" s="5" t="s">
        <v>1338</v>
      </c>
      <c r="F502" s="5" t="s">
        <v>1336</v>
      </c>
      <c r="G502" s="6" t="s">
        <v>648</v>
      </c>
      <c r="H502" s="6" t="s">
        <v>68</v>
      </c>
      <c r="I502" s="6" t="s">
        <v>1374</v>
      </c>
      <c r="J502" s="6">
        <v>980820</v>
      </c>
      <c r="K502" s="7" t="s">
        <v>1848</v>
      </c>
      <c r="L502" s="8">
        <v>141355</v>
      </c>
      <c r="M502" s="8" t="str">
        <f t="shared" si="47"/>
        <v>PEN</v>
      </c>
      <c r="N502" s="13"/>
      <c r="O502" s="13">
        <v>120.36</v>
      </c>
      <c r="P502" s="3">
        <f t="shared" si="48"/>
        <v>0</v>
      </c>
      <c r="Q502" s="3">
        <f t="shared" si="49"/>
        <v>120.36</v>
      </c>
      <c r="R502" s="3">
        <f t="shared" si="45"/>
        <v>33073.65</v>
      </c>
      <c r="S502" s="24" t="s">
        <v>1334</v>
      </c>
      <c r="T502" s="24" t="s">
        <v>1334</v>
      </c>
      <c r="U502" s="53"/>
      <c r="V502" s="25">
        <f>IFERROR(VLOOKUP(BCP_Soles[[#This Row],[destinatario]],CHOOSE({1,2},Clientes_Proveedores[Razon Social],Clientes_Proveedores[Ruc / Dni]),2,0),"")</f>
        <v>20265681299</v>
      </c>
      <c r="W502" s="25" t="s">
        <v>648</v>
      </c>
      <c r="X502" s="25" t="s">
        <v>1849</v>
      </c>
      <c r="Y502" s="25"/>
      <c r="Z502" s="75"/>
      <c r="AA502" s="3" t="str">
        <f>IF(BCP_Soles[[#This Row],[fecha]]&gt;0,TEXT(BCP_Soles[[#This Row],[fecha]],"mmmm"),0)</f>
        <v>Febrero</v>
      </c>
    </row>
    <row r="503" spans="1:27" x14ac:dyDescent="0.3">
      <c r="A503" s="2">
        <f>IF(BCP_Soles[[#This Row],[tipo_registro]]="R",COUNTIFS($C$1:$C502,"R")+1,A502)</f>
        <v>331</v>
      </c>
      <c r="B503" s="19" t="str">
        <f t="shared" si="46"/>
        <v>B-BCP - Soles</v>
      </c>
      <c r="C503" s="3" t="s">
        <v>1330</v>
      </c>
      <c r="D503" s="14">
        <v>45698</v>
      </c>
      <c r="E503" s="5" t="s">
        <v>1338</v>
      </c>
      <c r="F503" s="5" t="s">
        <v>1336</v>
      </c>
      <c r="G503" s="6" t="s">
        <v>648</v>
      </c>
      <c r="H503" s="6" t="s">
        <v>68</v>
      </c>
      <c r="I503" s="6" t="s">
        <v>1374</v>
      </c>
      <c r="J503" s="6">
        <v>996182</v>
      </c>
      <c r="K503" s="7" t="s">
        <v>1848</v>
      </c>
      <c r="L503" s="8">
        <v>90464</v>
      </c>
      <c r="M503" s="8" t="str">
        <f t="shared" si="47"/>
        <v>PEN</v>
      </c>
      <c r="N503" s="13"/>
      <c r="O503" s="13">
        <v>120.36</v>
      </c>
      <c r="P503" s="3">
        <f t="shared" si="48"/>
        <v>0</v>
      </c>
      <c r="Q503" s="3">
        <f t="shared" si="49"/>
        <v>120.36</v>
      </c>
      <c r="R503" s="3">
        <f t="shared" si="45"/>
        <v>32953.29</v>
      </c>
      <c r="S503" s="24" t="s">
        <v>1334</v>
      </c>
      <c r="T503" s="24" t="s">
        <v>1334</v>
      </c>
      <c r="U503" s="53"/>
      <c r="V503" s="25">
        <f>IFERROR(VLOOKUP(BCP_Soles[[#This Row],[destinatario]],CHOOSE({1,2},Clientes_Proveedores[Razon Social],Clientes_Proveedores[Ruc / Dni]),2,0),"")</f>
        <v>20265681299</v>
      </c>
      <c r="W503" s="25" t="s">
        <v>648</v>
      </c>
      <c r="X503" s="25" t="s">
        <v>1850</v>
      </c>
      <c r="Y503" s="25"/>
      <c r="Z503" s="75"/>
      <c r="AA503" s="3" t="str">
        <f>IF(BCP_Soles[[#This Row],[fecha]]&gt;0,TEXT(BCP_Soles[[#This Row],[fecha]],"mmmm"),0)</f>
        <v>Febrero</v>
      </c>
    </row>
    <row r="504" spans="1:27" x14ac:dyDescent="0.3">
      <c r="A504" s="2">
        <f>IF(BCP_Soles[[#This Row],[tipo_registro]]="R",COUNTIFS($C$1:$C503,"R")+1,A503)</f>
        <v>332</v>
      </c>
      <c r="B504" s="19" t="str">
        <f t="shared" si="46"/>
        <v>B-BCP - Soles</v>
      </c>
      <c r="C504" s="3" t="s">
        <v>1330</v>
      </c>
      <c r="D504" s="14">
        <v>45698</v>
      </c>
      <c r="E504" s="5" t="s">
        <v>1338</v>
      </c>
      <c r="F504" s="5" t="s">
        <v>1336</v>
      </c>
      <c r="G504" s="6" t="s">
        <v>648</v>
      </c>
      <c r="H504" s="6" t="s">
        <v>68</v>
      </c>
      <c r="I504" s="6" t="s">
        <v>1374</v>
      </c>
      <c r="J504" s="6">
        <v>1004496</v>
      </c>
      <c r="K504" s="7" t="s">
        <v>1848</v>
      </c>
      <c r="L504" s="8">
        <v>125388</v>
      </c>
      <c r="M504" s="8" t="str">
        <f t="shared" si="47"/>
        <v>PEN</v>
      </c>
      <c r="N504" s="13"/>
      <c r="O504" s="13">
        <v>120.36</v>
      </c>
      <c r="P504" s="3">
        <f t="shared" si="48"/>
        <v>0</v>
      </c>
      <c r="Q504" s="3">
        <f t="shared" si="49"/>
        <v>120.36</v>
      </c>
      <c r="R504" s="3">
        <f t="shared" si="45"/>
        <v>32832.93</v>
      </c>
      <c r="S504" s="24" t="s">
        <v>1334</v>
      </c>
      <c r="T504" s="24" t="s">
        <v>1334</v>
      </c>
      <c r="U504" s="53"/>
      <c r="V504" s="25">
        <f>IFERROR(VLOOKUP(BCP_Soles[[#This Row],[destinatario]],CHOOSE({1,2},Clientes_Proveedores[Razon Social],Clientes_Proveedores[Ruc / Dni]),2,0),"")</f>
        <v>20265681299</v>
      </c>
      <c r="W504" s="25" t="s">
        <v>648</v>
      </c>
      <c r="X504" s="25" t="s">
        <v>1851</v>
      </c>
      <c r="Y504" s="25"/>
      <c r="Z504" s="75"/>
      <c r="AA504" s="3" t="str">
        <f>IF(BCP_Soles[[#This Row],[fecha]]&gt;0,TEXT(BCP_Soles[[#This Row],[fecha]],"mmmm"),0)</f>
        <v>Febrero</v>
      </c>
    </row>
    <row r="505" spans="1:27" x14ac:dyDescent="0.3">
      <c r="A505" s="2">
        <f>IF(BCP_Soles[[#This Row],[tipo_registro]]="R",COUNTIFS($C$1:$C504,"R")+1,A504)</f>
        <v>333</v>
      </c>
      <c r="B505" s="19" t="str">
        <f t="shared" si="46"/>
        <v>B-BCP - Soles</v>
      </c>
      <c r="C505" s="3" t="s">
        <v>1330</v>
      </c>
      <c r="D505" s="14">
        <v>45698</v>
      </c>
      <c r="E505" s="5" t="s">
        <v>1338</v>
      </c>
      <c r="F505" s="5" t="s">
        <v>1336</v>
      </c>
      <c r="G505" s="6" t="s">
        <v>407</v>
      </c>
      <c r="H505" s="6" t="s">
        <v>68</v>
      </c>
      <c r="I505" s="6" t="s">
        <v>1852</v>
      </c>
      <c r="J505" s="6">
        <v>14392</v>
      </c>
      <c r="K505" s="7" t="s">
        <v>1481</v>
      </c>
      <c r="L505" s="8">
        <v>110406</v>
      </c>
      <c r="M505" s="8" t="str">
        <f t="shared" si="47"/>
        <v>PEN</v>
      </c>
      <c r="N505" s="13"/>
      <c r="O505" s="13">
        <v>196.52</v>
      </c>
      <c r="P505" s="3">
        <f t="shared" si="48"/>
        <v>0</v>
      </c>
      <c r="Q505" s="3">
        <f t="shared" si="49"/>
        <v>196.52</v>
      </c>
      <c r="R505" s="3">
        <f t="shared" si="45"/>
        <v>32636.41</v>
      </c>
      <c r="S505" s="24" t="s">
        <v>1334</v>
      </c>
      <c r="T505" s="24" t="s">
        <v>1334</v>
      </c>
      <c r="U505" s="53"/>
      <c r="V505" s="25">
        <f>IFERROR(VLOOKUP(BCP_Soles[[#This Row],[destinatario]],CHOOSE({1,2},Clientes_Proveedores[Razon Social],Clientes_Proveedores[Ruc / Dni]),2,0),"")</f>
        <v>20549068201</v>
      </c>
      <c r="W505" s="25" t="s">
        <v>1482</v>
      </c>
      <c r="X505" s="25" t="s">
        <v>1853</v>
      </c>
      <c r="Y505" s="25"/>
      <c r="Z505" s="75"/>
      <c r="AA505" s="3" t="str">
        <f>IF(BCP_Soles[[#This Row],[fecha]]&gt;0,TEXT(BCP_Soles[[#This Row],[fecha]],"mmmm"),0)</f>
        <v>Febrero</v>
      </c>
    </row>
    <row r="506" spans="1:27" ht="24" x14ac:dyDescent="0.3">
      <c r="A506" s="2">
        <f>IF(BCP_Soles[[#This Row],[tipo_registro]]="R",COUNTIFS($C$1:$C505,"R")+1,A505)</f>
        <v>334</v>
      </c>
      <c r="B506" s="19" t="str">
        <f t="shared" si="46"/>
        <v>B-BCP - Soles</v>
      </c>
      <c r="C506" s="3" t="s">
        <v>1330</v>
      </c>
      <c r="D506" s="14">
        <v>45698</v>
      </c>
      <c r="E506" s="5" t="s">
        <v>1338</v>
      </c>
      <c r="F506" s="5" t="s">
        <v>1336</v>
      </c>
      <c r="G506" s="6" t="s">
        <v>710</v>
      </c>
      <c r="H506" s="6" t="s">
        <v>106</v>
      </c>
      <c r="I506" s="20"/>
      <c r="J506" s="6">
        <v>58228012</v>
      </c>
      <c r="K506" s="7" t="s">
        <v>1477</v>
      </c>
      <c r="L506" s="8">
        <v>118363</v>
      </c>
      <c r="M506" s="8" t="str">
        <f t="shared" si="47"/>
        <v>PEN</v>
      </c>
      <c r="N506" s="13"/>
      <c r="O506" s="13">
        <v>443.2</v>
      </c>
      <c r="P506" s="3">
        <f t="shared" si="48"/>
        <v>0</v>
      </c>
      <c r="Q506" s="3">
        <f t="shared" si="49"/>
        <v>443.2</v>
      </c>
      <c r="R506" s="3">
        <f t="shared" si="45"/>
        <v>32193.21</v>
      </c>
      <c r="S506" s="24" t="s">
        <v>1334</v>
      </c>
      <c r="T506" s="24" t="s">
        <v>1334</v>
      </c>
      <c r="U506" s="53"/>
      <c r="V506" s="25">
        <f>IFERROR(VLOOKUP(BCP_Soles[[#This Row],[destinatario]],CHOOSE({1,2},Clientes_Proveedores[Razon Social],Clientes_Proveedores[Ruc / Dni]),2,0),"")</f>
        <v>20100211034</v>
      </c>
      <c r="W506" s="25" t="s">
        <v>1478</v>
      </c>
      <c r="X506" s="25" t="s">
        <v>1854</v>
      </c>
      <c r="Y506" s="25"/>
      <c r="Z506" s="75"/>
      <c r="AA506" s="3" t="str">
        <f>IF(BCP_Soles[[#This Row],[fecha]]&gt;0,TEXT(BCP_Soles[[#This Row],[fecha]],"mmmm"),0)</f>
        <v>Febrero</v>
      </c>
    </row>
    <row r="507" spans="1:27" ht="24" x14ac:dyDescent="0.3">
      <c r="A507" s="2">
        <f>IF(BCP_Soles[[#This Row],[tipo_registro]]="R",COUNTIFS($C$1:$C506,"R")+1,A506)</f>
        <v>335</v>
      </c>
      <c r="B507" s="19" t="str">
        <f t="shared" si="46"/>
        <v>B-BCP - Soles</v>
      </c>
      <c r="C507" s="3" t="s">
        <v>1330</v>
      </c>
      <c r="D507" s="14">
        <v>45698</v>
      </c>
      <c r="E507" s="5" t="s">
        <v>1338</v>
      </c>
      <c r="F507" s="5" t="s">
        <v>1336</v>
      </c>
      <c r="G507" s="6" t="s">
        <v>866</v>
      </c>
      <c r="H507" s="6" t="s">
        <v>143</v>
      </c>
      <c r="I507" s="6">
        <v>1</v>
      </c>
      <c r="J507" s="6">
        <v>112025</v>
      </c>
      <c r="K507" s="7" t="s">
        <v>1855</v>
      </c>
      <c r="L507" s="8">
        <v>1158358</v>
      </c>
      <c r="M507" s="8" t="str">
        <f t="shared" si="47"/>
        <v>PEN</v>
      </c>
      <c r="N507" s="13"/>
      <c r="O507" s="13">
        <v>726</v>
      </c>
      <c r="P507" s="3">
        <f t="shared" si="48"/>
        <v>0</v>
      </c>
      <c r="Q507" s="3">
        <f t="shared" si="49"/>
        <v>726</v>
      </c>
      <c r="R507" s="3">
        <f t="shared" si="45"/>
        <v>31467.21</v>
      </c>
      <c r="S507" s="24" t="s">
        <v>1334</v>
      </c>
      <c r="T507" s="24" t="s">
        <v>1334</v>
      </c>
      <c r="U507" s="53"/>
      <c r="V507" s="25">
        <f>IFERROR(VLOOKUP(BCP_Soles[[#This Row],[destinatario]],CHOOSE({1,2},Clientes_Proveedores[Razon Social],Clientes_Proveedores[Ruc / Dni]),2,0),"")</f>
        <v>45921913</v>
      </c>
      <c r="W507" s="25"/>
      <c r="X507" s="25"/>
      <c r="Y507" s="25"/>
      <c r="Z507" s="75"/>
      <c r="AA507" s="3" t="str">
        <f>IF(BCP_Soles[[#This Row],[fecha]]&gt;0,TEXT(BCP_Soles[[#This Row],[fecha]],"mmmm"),0)</f>
        <v>Febrero</v>
      </c>
    </row>
    <row r="508" spans="1:27" x14ac:dyDescent="0.3">
      <c r="A508" s="2">
        <f>IF(BCP_Soles[[#This Row],[tipo_registro]]="R",COUNTIFS($C$1:$C507,"R")+1,A507)</f>
        <v>336</v>
      </c>
      <c r="B508" s="19" t="str">
        <f t="shared" si="46"/>
        <v>B-BCP - Soles</v>
      </c>
      <c r="C508" s="3" t="s">
        <v>1330</v>
      </c>
      <c r="D508" s="14">
        <v>45699</v>
      </c>
      <c r="E508" s="5" t="s">
        <v>633</v>
      </c>
      <c r="F508" s="5" t="s">
        <v>1303</v>
      </c>
      <c r="G508" s="6" t="s">
        <v>425</v>
      </c>
      <c r="H508" s="6"/>
      <c r="I508" s="6"/>
      <c r="J508" s="6"/>
      <c r="K508" s="7" t="s">
        <v>1856</v>
      </c>
      <c r="L508" s="8">
        <v>579099</v>
      </c>
      <c r="M508" s="8" t="str">
        <f t="shared" si="47"/>
        <v>PEN</v>
      </c>
      <c r="N508" s="13"/>
      <c r="O508" s="13">
        <v>34.119999999999997</v>
      </c>
      <c r="P508" s="3">
        <f t="shared" si="48"/>
        <v>34.119999999999997</v>
      </c>
      <c r="Q508" s="3">
        <f t="shared" si="49"/>
        <v>0</v>
      </c>
      <c r="R508" s="3">
        <f t="shared" si="45"/>
        <v>31501.329999999998</v>
      </c>
      <c r="S508" s="24" t="s">
        <v>1334</v>
      </c>
      <c r="T508" s="24" t="s">
        <v>1334</v>
      </c>
      <c r="U508" s="53"/>
      <c r="V508" s="25">
        <f>IFERROR(VLOOKUP(BCP_Soles[[#This Row],[destinatario]],CHOOSE({1,2},Clientes_Proveedores[Razon Social],Clientes_Proveedores[Ruc / Dni]),2,0),"")</f>
        <v>20558226979</v>
      </c>
      <c r="W508" s="25" t="s">
        <v>1345</v>
      </c>
      <c r="X508" s="25" t="s">
        <v>1857</v>
      </c>
      <c r="Y508" s="25"/>
      <c r="Z508" s="75"/>
      <c r="AA508" s="3" t="str">
        <f>IF(BCP_Soles[[#This Row],[fecha]]&gt;0,TEXT(BCP_Soles[[#This Row],[fecha]],"mmmm"),0)</f>
        <v>Febrero</v>
      </c>
    </row>
    <row r="509" spans="1:27" x14ac:dyDescent="0.3">
      <c r="A509" s="2">
        <f>IF(BCP_Soles[[#This Row],[tipo_registro]]="R",COUNTIFS($C$1:$C508,"R")+1,A508)</f>
        <v>337</v>
      </c>
      <c r="B509" s="19" t="str">
        <f t="shared" si="46"/>
        <v>B-BCP - Soles</v>
      </c>
      <c r="C509" s="3" t="s">
        <v>1330</v>
      </c>
      <c r="D509" s="14">
        <v>45699</v>
      </c>
      <c r="E509" s="5" t="s">
        <v>1416</v>
      </c>
      <c r="F509" s="5" t="s">
        <v>1336</v>
      </c>
      <c r="G509" s="6"/>
      <c r="H509" s="6"/>
      <c r="I509" s="6"/>
      <c r="J509" s="6"/>
      <c r="K509" s="7" t="s">
        <v>1858</v>
      </c>
      <c r="L509" s="8">
        <v>1388</v>
      </c>
      <c r="M509" s="8" t="str">
        <f t="shared" si="47"/>
        <v>PEN</v>
      </c>
      <c r="N509" s="13"/>
      <c r="O509" s="13">
        <v>4187.76</v>
      </c>
      <c r="P509" s="3">
        <f t="shared" si="48"/>
        <v>0</v>
      </c>
      <c r="Q509" s="3">
        <f t="shared" si="49"/>
        <v>4187.76</v>
      </c>
      <c r="R509" s="3">
        <f t="shared" si="45"/>
        <v>27313.57</v>
      </c>
      <c r="S509" s="24" t="s">
        <v>1334</v>
      </c>
      <c r="T509" s="24" t="s">
        <v>1334</v>
      </c>
      <c r="U509" s="53"/>
      <c r="V509" s="25" t="str">
        <f>IFERROR(VLOOKUP(BCP_Soles[[#This Row],[destinatario]],CHOOSE({1,2},Clientes_Proveedores[Razon Social],Clientes_Proveedores[Ruc / Dni]),2,0),"")</f>
        <v/>
      </c>
      <c r="W509" s="25" t="s">
        <v>1532</v>
      </c>
      <c r="X509" s="25"/>
      <c r="Y509" s="25"/>
      <c r="Z509" s="75"/>
      <c r="AA509" s="3" t="str">
        <f>IF(BCP_Soles[[#This Row],[fecha]]&gt;0,TEXT(BCP_Soles[[#This Row],[fecha]],"mmmm"),0)</f>
        <v>Febrero</v>
      </c>
    </row>
    <row r="510" spans="1:27" x14ac:dyDescent="0.3">
      <c r="A510" s="2">
        <f>IF(BCP_Soles[[#This Row],[tipo_registro]]="R",COUNTIFS($C$1:$C509,"R")+1,A509)</f>
        <v>338</v>
      </c>
      <c r="B510" s="19" t="str">
        <f t="shared" si="46"/>
        <v>B-BCP - Soles</v>
      </c>
      <c r="C510" s="3" t="s">
        <v>1330</v>
      </c>
      <c r="D510" s="14">
        <v>45699</v>
      </c>
      <c r="E510" s="5" t="s">
        <v>1338</v>
      </c>
      <c r="F510" s="5" t="s">
        <v>1336</v>
      </c>
      <c r="G510" s="6" t="s">
        <v>696</v>
      </c>
      <c r="H510" s="6"/>
      <c r="I510" s="6"/>
      <c r="J510" s="6"/>
      <c r="K510" s="7" t="s">
        <v>1859</v>
      </c>
      <c r="L510" s="8">
        <v>1150807</v>
      </c>
      <c r="M510" s="8" t="str">
        <f t="shared" si="47"/>
        <v>PEN</v>
      </c>
      <c r="N510" s="13"/>
      <c r="O510" s="13">
        <v>3868.15</v>
      </c>
      <c r="P510" s="3">
        <f t="shared" si="48"/>
        <v>0</v>
      </c>
      <c r="Q510" s="3">
        <f t="shared" si="49"/>
        <v>3868.15</v>
      </c>
      <c r="R510" s="3">
        <f t="shared" si="45"/>
        <v>23445.42</v>
      </c>
      <c r="S510" s="24" t="s">
        <v>1334</v>
      </c>
      <c r="T510" s="24" t="s">
        <v>1334</v>
      </c>
      <c r="U510" s="53"/>
      <c r="V510" s="25">
        <f>IFERROR(VLOOKUP(BCP_Soles[[#This Row],[destinatario]],CHOOSE({1,2},Clientes_Proveedores[Razon Social],Clientes_Proveedores[Ruc / Dni]),2,0),"")</f>
        <v>0</v>
      </c>
      <c r="W510" s="25" t="s">
        <v>1373</v>
      </c>
      <c r="X510" s="25"/>
      <c r="Y510" s="25"/>
      <c r="Z510" s="75"/>
      <c r="AA510" s="3" t="str">
        <f>IF(BCP_Soles[[#This Row],[fecha]]&gt;0,TEXT(BCP_Soles[[#This Row],[fecha]],"mmmm"),0)</f>
        <v>Febrero</v>
      </c>
    </row>
    <row r="511" spans="1:27" x14ac:dyDescent="0.3">
      <c r="A511" s="2">
        <f>IF(BCP_Soles[[#This Row],[tipo_registro]]="R",COUNTIFS($C$1:$C510,"R")+1,A510)</f>
        <v>339</v>
      </c>
      <c r="B511" s="19" t="str">
        <f t="shared" si="46"/>
        <v>B-BCP - Soles</v>
      </c>
      <c r="C511" s="3" t="s">
        <v>1330</v>
      </c>
      <c r="D511" s="14">
        <v>45699</v>
      </c>
      <c r="E511" s="5" t="s">
        <v>1338</v>
      </c>
      <c r="F511" s="5" t="s">
        <v>1336</v>
      </c>
      <c r="G511" s="6" t="s">
        <v>654</v>
      </c>
      <c r="H511" s="6"/>
      <c r="I511" s="6"/>
      <c r="J511" s="6"/>
      <c r="K511" s="7" t="s">
        <v>1860</v>
      </c>
      <c r="L511" s="8">
        <v>1005529</v>
      </c>
      <c r="M511" s="8" t="str">
        <f t="shared" si="47"/>
        <v>PEN</v>
      </c>
      <c r="N511" s="13"/>
      <c r="O511" s="13">
        <v>3018.8</v>
      </c>
      <c r="P511" s="3">
        <f t="shared" si="48"/>
        <v>0</v>
      </c>
      <c r="Q511" s="3">
        <f t="shared" si="49"/>
        <v>3018.8</v>
      </c>
      <c r="R511" s="3">
        <f t="shared" si="45"/>
        <v>20426.62</v>
      </c>
      <c r="S511" s="24" t="s">
        <v>1334</v>
      </c>
      <c r="T511" s="24" t="s">
        <v>1334</v>
      </c>
      <c r="U511" s="53"/>
      <c r="V511" s="25">
        <f>IFERROR(VLOOKUP(BCP_Soles[[#This Row],[destinatario]],CHOOSE({1,2},Clientes_Proveedores[Razon Social],Clientes_Proveedores[Ruc / Dni]),2,0),"")</f>
        <v>20305909611</v>
      </c>
      <c r="W511" s="25" t="s">
        <v>654</v>
      </c>
      <c r="X511" s="25">
        <v>3636</v>
      </c>
      <c r="Y511" s="25"/>
      <c r="Z511" s="75"/>
      <c r="AA511" s="3" t="str">
        <f>IF(BCP_Soles[[#This Row],[fecha]]&gt;0,TEXT(BCP_Soles[[#This Row],[fecha]],"mmmm"),0)</f>
        <v>Febrero</v>
      </c>
    </row>
    <row r="512" spans="1:27" ht="24" x14ac:dyDescent="0.3">
      <c r="A512" s="2">
        <f>IF(BCP_Soles[[#This Row],[tipo_registro]]="R",COUNTIFS($C$1:$C511,"R")+1,A511)</f>
        <v>340</v>
      </c>
      <c r="B512" s="19" t="str">
        <f t="shared" si="46"/>
        <v>B-BCP - Soles</v>
      </c>
      <c r="C512" s="3" t="s">
        <v>1330</v>
      </c>
      <c r="D512" s="14">
        <v>45699</v>
      </c>
      <c r="E512" s="5" t="s">
        <v>1338</v>
      </c>
      <c r="F512" s="5" t="s">
        <v>1336</v>
      </c>
      <c r="G512" s="6" t="s">
        <v>753</v>
      </c>
      <c r="H512" s="6" t="s">
        <v>72</v>
      </c>
      <c r="I512" s="6" t="s">
        <v>1376</v>
      </c>
      <c r="J512" s="6">
        <v>36</v>
      </c>
      <c r="K512" s="7" t="s">
        <v>1861</v>
      </c>
      <c r="L512" s="8">
        <v>1165211</v>
      </c>
      <c r="M512" s="8" t="str">
        <f t="shared" si="47"/>
        <v>PEN</v>
      </c>
      <c r="N512" s="13"/>
      <c r="O512" s="13">
        <v>2500</v>
      </c>
      <c r="P512" s="3">
        <f t="shared" si="48"/>
        <v>0</v>
      </c>
      <c r="Q512" s="3">
        <f t="shared" si="49"/>
        <v>2500</v>
      </c>
      <c r="R512" s="3">
        <f t="shared" si="45"/>
        <v>17926.62</v>
      </c>
      <c r="S512" s="24"/>
      <c r="T512" s="24" t="s">
        <v>1334</v>
      </c>
      <c r="U512" s="53"/>
      <c r="V512" s="25">
        <f>IFERROR(VLOOKUP(BCP_Soles[[#This Row],[destinatario]],CHOOSE({1,2},Clientes_Proveedores[Razon Social],Clientes_Proveedores[Ruc / Dni]),2,0),"")</f>
        <v>10295272771</v>
      </c>
      <c r="W512" s="25" t="s">
        <v>753</v>
      </c>
      <c r="X512" s="25" t="s">
        <v>1862</v>
      </c>
      <c r="Y512" s="25"/>
      <c r="Z512" s="75"/>
      <c r="AA512" s="3" t="str">
        <f>IF(BCP_Soles[[#This Row],[fecha]]&gt;0,TEXT(BCP_Soles[[#This Row],[fecha]],"mmmm"),0)</f>
        <v>Febrero</v>
      </c>
    </row>
    <row r="513" spans="1:27" x14ac:dyDescent="0.3">
      <c r="A513" s="2">
        <f>IF(BCP_Soles[[#This Row],[tipo_registro]]="R",COUNTIFS($C$1:$C512,"R")+1,A512)</f>
        <v>341</v>
      </c>
      <c r="B513" s="19" t="str">
        <f t="shared" si="46"/>
        <v>B-BCP - Soles</v>
      </c>
      <c r="C513" s="3" t="s">
        <v>1330</v>
      </c>
      <c r="D513" s="14">
        <v>45699</v>
      </c>
      <c r="E513" s="5" t="s">
        <v>1416</v>
      </c>
      <c r="F513" s="5" t="s">
        <v>1336</v>
      </c>
      <c r="G513" s="6"/>
      <c r="H513" s="6"/>
      <c r="I513" s="6"/>
      <c r="J513" s="6"/>
      <c r="K513" s="7" t="s">
        <v>1863</v>
      </c>
      <c r="L513" s="8">
        <v>1392</v>
      </c>
      <c r="M513" s="8" t="str">
        <f t="shared" si="47"/>
        <v>PEN</v>
      </c>
      <c r="N513" s="13"/>
      <c r="O513" s="13">
        <v>1874.71</v>
      </c>
      <c r="P513" s="3">
        <f t="shared" si="48"/>
        <v>0</v>
      </c>
      <c r="Q513" s="3">
        <f t="shared" si="49"/>
        <v>1874.71</v>
      </c>
      <c r="R513" s="3">
        <f t="shared" si="45"/>
        <v>16051.91</v>
      </c>
      <c r="S513" s="24" t="s">
        <v>1334</v>
      </c>
      <c r="T513" s="24" t="s">
        <v>1334</v>
      </c>
      <c r="U513" s="53"/>
      <c r="V513" s="25" t="str">
        <f>IFERROR(VLOOKUP(BCP_Soles[[#This Row],[destinatario]],CHOOSE({1,2},Clientes_Proveedores[Razon Social],Clientes_Proveedores[Ruc / Dni]),2,0),"")</f>
        <v/>
      </c>
      <c r="W513" s="25" t="s">
        <v>1535</v>
      </c>
      <c r="X513" s="25"/>
      <c r="Y513" s="25"/>
      <c r="Z513" s="75"/>
      <c r="AA513" s="3" t="str">
        <f>IF(BCP_Soles[[#This Row],[fecha]]&gt;0,TEXT(BCP_Soles[[#This Row],[fecha]],"mmmm"),0)</f>
        <v>Febrero</v>
      </c>
    </row>
    <row r="514" spans="1:27" ht="48" x14ac:dyDescent="0.3">
      <c r="A514" s="2">
        <f>IF(BCP_Soles[[#This Row],[tipo_registro]]="R",COUNTIFS($C$1:$C513,"R")+1,A513)</f>
        <v>342</v>
      </c>
      <c r="B514" s="19" t="str">
        <f t="shared" si="46"/>
        <v>B-BCP - Soles</v>
      </c>
      <c r="C514" s="3" t="s">
        <v>1330</v>
      </c>
      <c r="D514" s="14">
        <v>45699</v>
      </c>
      <c r="E514" s="5" t="s">
        <v>1338</v>
      </c>
      <c r="F514" s="5" t="s">
        <v>1336</v>
      </c>
      <c r="G514" s="6" t="s">
        <v>634</v>
      </c>
      <c r="H514" s="6" t="s">
        <v>68</v>
      </c>
      <c r="I514" s="6" t="s">
        <v>1376</v>
      </c>
      <c r="J514" s="6">
        <v>4511</v>
      </c>
      <c r="K514" s="7" t="s">
        <v>1864</v>
      </c>
      <c r="L514" s="8">
        <v>1024525</v>
      </c>
      <c r="M514" s="8" t="str">
        <f t="shared" si="47"/>
        <v>PEN</v>
      </c>
      <c r="N514" s="13"/>
      <c r="O514" s="13">
        <v>1189</v>
      </c>
      <c r="P514" s="3">
        <f t="shared" si="48"/>
        <v>0</v>
      </c>
      <c r="Q514" s="3">
        <f t="shared" si="49"/>
        <v>1189</v>
      </c>
      <c r="R514" s="3">
        <f t="shared" si="45"/>
        <v>14862.91</v>
      </c>
      <c r="S514" s="24" t="s">
        <v>1334</v>
      </c>
      <c r="T514" s="24" t="s">
        <v>1334</v>
      </c>
      <c r="U514" s="53"/>
      <c r="V514" s="25">
        <f>IFERROR(VLOOKUP(BCP_Soles[[#This Row],[destinatario]],CHOOSE({1,2},Clientes_Proveedores[Razon Social],Clientes_Proveedores[Ruc / Dni]),2,0),"")</f>
        <v>20557451537</v>
      </c>
      <c r="W514" s="25" t="s">
        <v>1865</v>
      </c>
      <c r="X514" s="25" t="s">
        <v>1866</v>
      </c>
      <c r="Y514" s="25"/>
      <c r="Z514" s="75"/>
      <c r="AA514" s="3" t="str">
        <f>IF(BCP_Soles[[#This Row],[fecha]]&gt;0,TEXT(BCP_Soles[[#This Row],[fecha]],"mmmm"),0)</f>
        <v>Febrero</v>
      </c>
    </row>
    <row r="515" spans="1:27" ht="24" x14ac:dyDescent="0.3">
      <c r="A515" s="2">
        <f>IF(BCP_Soles[[#This Row],[tipo_registro]]="R",COUNTIFS($C$1:$C514,"R")+1,A514)</f>
        <v>343</v>
      </c>
      <c r="B515" s="19" t="str">
        <f t="shared" si="46"/>
        <v>B-BCP - Soles</v>
      </c>
      <c r="C515" s="3" t="s">
        <v>1330</v>
      </c>
      <c r="D515" s="14">
        <v>45699</v>
      </c>
      <c r="E515" s="5" t="s">
        <v>1338</v>
      </c>
      <c r="F515" s="5" t="s">
        <v>1336</v>
      </c>
      <c r="G515" s="6" t="s">
        <v>185</v>
      </c>
      <c r="H515" s="6" t="s">
        <v>68</v>
      </c>
      <c r="I515" s="6" t="s">
        <v>1376</v>
      </c>
      <c r="J515" s="6">
        <v>122</v>
      </c>
      <c r="K515" s="7" t="s">
        <v>1867</v>
      </c>
      <c r="L515" s="8">
        <v>1025597</v>
      </c>
      <c r="M515" s="8" t="str">
        <f t="shared" si="47"/>
        <v>PEN</v>
      </c>
      <c r="N515" s="13"/>
      <c r="O515" s="13">
        <v>1133</v>
      </c>
      <c r="P515" s="3">
        <f t="shared" si="48"/>
        <v>0</v>
      </c>
      <c r="Q515" s="3">
        <f t="shared" si="49"/>
        <v>1133</v>
      </c>
      <c r="R515" s="3">
        <f t="shared" si="45"/>
        <v>13729.91</v>
      </c>
      <c r="S515" s="24" t="s">
        <v>1334</v>
      </c>
      <c r="T515" s="24" t="s">
        <v>1334</v>
      </c>
      <c r="U515" s="53"/>
      <c r="V515" s="25">
        <f>IFERROR(VLOOKUP(BCP_Soles[[#This Row],[destinatario]],CHOOSE({1,2},Clientes_Proveedores[Razon Social],Clientes_Proveedores[Ruc / Dni]),2,0),"")</f>
        <v>10489531963</v>
      </c>
      <c r="W515" s="25" t="s">
        <v>185</v>
      </c>
      <c r="X515" s="25" t="s">
        <v>1868</v>
      </c>
      <c r="Y515" s="25"/>
      <c r="Z515" s="75"/>
      <c r="AA515" s="3" t="str">
        <f>IF(BCP_Soles[[#This Row],[fecha]]&gt;0,TEXT(BCP_Soles[[#This Row],[fecha]],"mmmm"),0)</f>
        <v>Febrero</v>
      </c>
    </row>
    <row r="516" spans="1:27" x14ac:dyDescent="0.3">
      <c r="A516" s="2">
        <f>IF(BCP_Soles[[#This Row],[tipo_registro]]="R",COUNTIFS($C$1:$C515,"R")+1,A515)</f>
        <v>344</v>
      </c>
      <c r="B516" s="19" t="str">
        <f t="shared" si="46"/>
        <v>B-BCP - Soles</v>
      </c>
      <c r="C516" s="3" t="s">
        <v>1330</v>
      </c>
      <c r="D516" s="14">
        <v>45699</v>
      </c>
      <c r="E516" s="5" t="s">
        <v>1338</v>
      </c>
      <c r="F516" s="5" t="s">
        <v>1336</v>
      </c>
      <c r="G516" s="6" t="s">
        <v>928</v>
      </c>
      <c r="H516" s="6" t="s">
        <v>143</v>
      </c>
      <c r="I516" s="6">
        <v>1</v>
      </c>
      <c r="J516" s="6">
        <v>72025</v>
      </c>
      <c r="K516" s="7" t="s">
        <v>1869</v>
      </c>
      <c r="L516" s="8">
        <v>1112254</v>
      </c>
      <c r="M516" s="8" t="str">
        <f t="shared" si="47"/>
        <v>PEN</v>
      </c>
      <c r="N516" s="13"/>
      <c r="O516" s="13">
        <v>783</v>
      </c>
      <c r="P516" s="3">
        <f t="shared" si="48"/>
        <v>0</v>
      </c>
      <c r="Q516" s="3">
        <f t="shared" si="49"/>
        <v>783</v>
      </c>
      <c r="R516" s="3">
        <f t="shared" si="45"/>
        <v>12946.91</v>
      </c>
      <c r="S516" s="24" t="s">
        <v>1334</v>
      </c>
      <c r="T516" s="24" t="s">
        <v>1334</v>
      </c>
      <c r="U516" s="53"/>
      <c r="V516" s="25">
        <f>IFERROR(VLOOKUP(BCP_Soles[[#This Row],[destinatario]],CHOOSE({1,2},Clientes_Proveedores[Razon Social],Clientes_Proveedores[Ruc / Dni]),2,0),"")</f>
        <v>46126507</v>
      </c>
      <c r="W516" s="25"/>
      <c r="X516" s="25"/>
      <c r="Y516" s="25"/>
      <c r="Z516" s="75"/>
      <c r="AA516" s="3" t="str">
        <f>IF(BCP_Soles[[#This Row],[fecha]]&gt;0,TEXT(BCP_Soles[[#This Row],[fecha]],"mmmm"),0)</f>
        <v>Febrero</v>
      </c>
    </row>
    <row r="517" spans="1:27" x14ac:dyDescent="0.3">
      <c r="A517" s="2">
        <f>IF(BCP_Soles[[#This Row],[tipo_registro]]="R",COUNTIFS($C$1:$C516,"R")+1,A516)</f>
        <v>345</v>
      </c>
      <c r="B517" s="19" t="str">
        <f t="shared" si="46"/>
        <v>B-BCP - Soles</v>
      </c>
      <c r="C517" s="3" t="s">
        <v>1330</v>
      </c>
      <c r="D517" s="14">
        <v>45699</v>
      </c>
      <c r="E517" s="5" t="s">
        <v>1416</v>
      </c>
      <c r="F517" s="5" t="s">
        <v>1336</v>
      </c>
      <c r="G517" s="6"/>
      <c r="H517" s="6"/>
      <c r="I517" s="6"/>
      <c r="J517" s="6"/>
      <c r="K517" s="7" t="s">
        <v>1870</v>
      </c>
      <c r="L517" s="8">
        <v>1382</v>
      </c>
      <c r="M517" s="8" t="str">
        <f t="shared" si="47"/>
        <v>PEN</v>
      </c>
      <c r="N517" s="13"/>
      <c r="O517" s="13">
        <v>659.79</v>
      </c>
      <c r="P517" s="3">
        <f t="shared" si="48"/>
        <v>0</v>
      </c>
      <c r="Q517" s="3">
        <f t="shared" si="49"/>
        <v>659.79</v>
      </c>
      <c r="R517" s="3">
        <f t="shared" si="45"/>
        <v>12287.119999999999</v>
      </c>
      <c r="S517" s="24" t="s">
        <v>1334</v>
      </c>
      <c r="T517" s="24" t="s">
        <v>1334</v>
      </c>
      <c r="U517" s="53"/>
      <c r="V517" s="25" t="str">
        <f>IFERROR(VLOOKUP(BCP_Soles[[#This Row],[destinatario]],CHOOSE({1,2},Clientes_Proveedores[Razon Social],Clientes_Proveedores[Ruc / Dni]),2,0),"")</f>
        <v/>
      </c>
      <c r="W517" s="25" t="s">
        <v>1538</v>
      </c>
      <c r="X517" s="25"/>
      <c r="Y517" s="25"/>
      <c r="Z517" s="75"/>
      <c r="AA517" s="3" t="str">
        <f>IF(BCP_Soles[[#This Row],[fecha]]&gt;0,TEXT(BCP_Soles[[#This Row],[fecha]],"mmmm"),0)</f>
        <v>Febrero</v>
      </c>
    </row>
    <row r="518" spans="1:27" x14ac:dyDescent="0.3">
      <c r="A518" s="2">
        <f>IF(BCP_Soles[[#This Row],[tipo_registro]]="R",COUNTIFS($C$1:$C517,"R")+1,A517)</f>
        <v>346</v>
      </c>
      <c r="B518" s="19" t="str">
        <f t="shared" si="46"/>
        <v>B-BCP - Soles</v>
      </c>
      <c r="C518" s="3" t="s">
        <v>1330</v>
      </c>
      <c r="D518" s="14">
        <v>45699</v>
      </c>
      <c r="E518" s="5" t="s">
        <v>1416</v>
      </c>
      <c r="F518" s="5" t="s">
        <v>1336</v>
      </c>
      <c r="G518" s="6"/>
      <c r="H518" s="6"/>
      <c r="I518" s="6"/>
      <c r="J518" s="6"/>
      <c r="K518" s="7" t="s">
        <v>1871</v>
      </c>
      <c r="L518" s="8">
        <v>1398</v>
      </c>
      <c r="M518" s="8" t="str">
        <f t="shared" si="47"/>
        <v>PEN</v>
      </c>
      <c r="N518" s="13"/>
      <c r="O518" s="13">
        <v>264.7</v>
      </c>
      <c r="P518" s="3">
        <f t="shared" si="48"/>
        <v>0</v>
      </c>
      <c r="Q518" s="3">
        <f t="shared" si="49"/>
        <v>264.7</v>
      </c>
      <c r="R518" s="3">
        <f t="shared" si="45"/>
        <v>12022.419999999998</v>
      </c>
      <c r="S518" s="24" t="s">
        <v>1334</v>
      </c>
      <c r="T518" s="24" t="s">
        <v>1334</v>
      </c>
      <c r="U518" s="53"/>
      <c r="V518" s="25" t="str">
        <f>IFERROR(VLOOKUP(BCP_Soles[[#This Row],[destinatario]],CHOOSE({1,2},Clientes_Proveedores[Razon Social],Clientes_Proveedores[Ruc / Dni]),2,0),"")</f>
        <v/>
      </c>
      <c r="W518" s="25" t="s">
        <v>1540</v>
      </c>
      <c r="X518" s="25"/>
      <c r="Y518" s="25"/>
      <c r="Z518" s="75"/>
      <c r="AA518" s="3" t="str">
        <f>IF(BCP_Soles[[#This Row],[fecha]]&gt;0,TEXT(BCP_Soles[[#This Row],[fecha]],"mmmm"),0)</f>
        <v>Febrero</v>
      </c>
    </row>
    <row r="519" spans="1:27" x14ac:dyDescent="0.3">
      <c r="A519" s="2">
        <f>IF(BCP_Soles[[#This Row],[tipo_registro]]="R",COUNTIFS($C$1:$C518,"R")+1,A518)</f>
        <v>347</v>
      </c>
      <c r="B519" s="19" t="str">
        <f t="shared" si="46"/>
        <v>B-BCP - Soles</v>
      </c>
      <c r="C519" s="3" t="s">
        <v>1330</v>
      </c>
      <c r="D519" s="14">
        <v>45699</v>
      </c>
      <c r="E519" s="5" t="s">
        <v>1335</v>
      </c>
      <c r="F519" s="5" t="s">
        <v>1336</v>
      </c>
      <c r="G519" s="6"/>
      <c r="H519" s="6"/>
      <c r="I519" s="6"/>
      <c r="J519" s="6"/>
      <c r="K519" s="7" t="s">
        <v>1337</v>
      </c>
      <c r="L519" s="8"/>
      <c r="M519" s="8" t="str">
        <f t="shared" si="47"/>
        <v>PEN</v>
      </c>
      <c r="N519" s="13"/>
      <c r="O519" s="13">
        <v>0.75</v>
      </c>
      <c r="P519" s="3">
        <f t="shared" si="48"/>
        <v>0</v>
      </c>
      <c r="Q519" s="3">
        <f t="shared" si="49"/>
        <v>0.75</v>
      </c>
      <c r="R519" s="3">
        <f t="shared" si="45"/>
        <v>12021.669999999998</v>
      </c>
      <c r="S519" s="24"/>
      <c r="T519" s="24" t="s">
        <v>1334</v>
      </c>
      <c r="U519" s="53"/>
      <c r="V519" s="25" t="str">
        <f>IFERROR(VLOOKUP(BCP_Soles[[#This Row],[destinatario]],CHOOSE({1,2},Clientes_Proveedores[Razon Social],Clientes_Proveedores[Ruc / Dni]),2,0),"")</f>
        <v/>
      </c>
      <c r="W519" s="25"/>
      <c r="X519" s="25"/>
      <c r="Y519" s="25"/>
      <c r="Z519" s="75"/>
      <c r="AA519" s="3" t="str">
        <f>IF(BCP_Soles[[#This Row],[fecha]]&gt;0,TEXT(BCP_Soles[[#This Row],[fecha]],"mmmm"),0)</f>
        <v>Febrero</v>
      </c>
    </row>
    <row r="520" spans="1:27" x14ac:dyDescent="0.3">
      <c r="A520" s="2">
        <f>IF(BCP_Soles[[#This Row],[tipo_registro]]="R",COUNTIFS($C$1:$C519,"R")+1,A519)</f>
        <v>348</v>
      </c>
      <c r="B520" s="19" t="str">
        <f t="shared" si="46"/>
        <v>B-BCP - Soles</v>
      </c>
      <c r="C520" s="3" t="s">
        <v>1330</v>
      </c>
      <c r="D520" s="14">
        <v>45699</v>
      </c>
      <c r="E520" s="5" t="s">
        <v>203</v>
      </c>
      <c r="F520" s="5" t="s">
        <v>1303</v>
      </c>
      <c r="G520" s="6" t="s">
        <v>425</v>
      </c>
      <c r="H520" s="6"/>
      <c r="I520" s="6"/>
      <c r="J520" s="6"/>
      <c r="K520" s="7" t="s">
        <v>1641</v>
      </c>
      <c r="L520" s="8">
        <v>2107565</v>
      </c>
      <c r="M520" s="8" t="str">
        <f t="shared" si="47"/>
        <v>PEN</v>
      </c>
      <c r="N520" s="13"/>
      <c r="O520" s="13">
        <v>227.15</v>
      </c>
      <c r="P520" s="3">
        <f t="shared" si="48"/>
        <v>227.15</v>
      </c>
      <c r="Q520" s="3">
        <f t="shared" si="49"/>
        <v>0</v>
      </c>
      <c r="R520" s="3">
        <f t="shared" si="45"/>
        <v>12248.819999999998</v>
      </c>
      <c r="S520" s="24" t="s">
        <v>1334</v>
      </c>
      <c r="T520" s="24" t="s">
        <v>1334</v>
      </c>
      <c r="U520" s="53"/>
      <c r="V520" s="25">
        <f>IFERROR(VLOOKUP(BCP_Soles[[#This Row],[destinatario]],CHOOSE({1,2},Clientes_Proveedores[Razon Social],Clientes_Proveedores[Ruc / Dni]),2,0),"")</f>
        <v>20558226979</v>
      </c>
      <c r="W520" s="25" t="s">
        <v>1345</v>
      </c>
      <c r="X520" s="25" t="s">
        <v>1872</v>
      </c>
      <c r="Y520" s="25"/>
      <c r="Z520" s="75"/>
      <c r="AA520" s="3" t="str">
        <f>IF(BCP_Soles[[#This Row],[fecha]]&gt;0,TEXT(BCP_Soles[[#This Row],[fecha]],"mmmm"),0)</f>
        <v>Febrero</v>
      </c>
    </row>
    <row r="521" spans="1:27" ht="60" x14ac:dyDescent="0.3">
      <c r="A521" s="2">
        <f>IF(BCP_Soles[[#This Row],[tipo_registro]]="R",COUNTIFS($C$1:$C520,"R")+1,A520)</f>
        <v>349</v>
      </c>
      <c r="B521" s="19" t="str">
        <f t="shared" si="46"/>
        <v>B-BCP - Soles</v>
      </c>
      <c r="C521" s="3" t="s">
        <v>1330</v>
      </c>
      <c r="D521" s="14">
        <v>45700</v>
      </c>
      <c r="E521" s="5" t="s">
        <v>295</v>
      </c>
      <c r="F521" s="5" t="s">
        <v>1303</v>
      </c>
      <c r="G521" s="6" t="s">
        <v>425</v>
      </c>
      <c r="H521" s="6"/>
      <c r="I521" s="6"/>
      <c r="J521" s="6"/>
      <c r="K521" s="7" t="s">
        <v>1873</v>
      </c>
      <c r="L521" s="8">
        <v>2019409</v>
      </c>
      <c r="M521" s="8" t="str">
        <f t="shared" si="47"/>
        <v>PEN</v>
      </c>
      <c r="N521" s="13"/>
      <c r="O521" s="13">
        <v>1798.92</v>
      </c>
      <c r="P521" s="3">
        <f t="shared" si="48"/>
        <v>1798.92</v>
      </c>
      <c r="Q521" s="3">
        <f t="shared" si="49"/>
        <v>0</v>
      </c>
      <c r="R521" s="3">
        <f t="shared" ref="R521:R584" si="50">IFERROR(IF(F521="SALDO",P521,R520+P521-Q521),0)</f>
        <v>14047.739999999998</v>
      </c>
      <c r="S521" s="24" t="s">
        <v>1334</v>
      </c>
      <c r="T521" s="24" t="s">
        <v>1334</v>
      </c>
      <c r="U521" s="53"/>
      <c r="V521" s="25">
        <f>IFERROR(VLOOKUP(BCP_Soles[[#This Row],[destinatario]],CHOOSE({1,2},Clientes_Proveedores[Razon Social],Clientes_Proveedores[Ruc / Dni]),2,0),"")</f>
        <v>20558226979</v>
      </c>
      <c r="W521" s="25" t="s">
        <v>1345</v>
      </c>
      <c r="X521" s="25" t="s">
        <v>1874</v>
      </c>
      <c r="Y521" s="25"/>
      <c r="Z521" s="75"/>
      <c r="AA521" s="3" t="str">
        <f>IF(BCP_Soles[[#This Row],[fecha]]&gt;0,TEXT(BCP_Soles[[#This Row],[fecha]],"mmmm"),0)</f>
        <v>Febrero</v>
      </c>
    </row>
    <row r="522" spans="1:27" ht="24" x14ac:dyDescent="0.3">
      <c r="A522" s="2">
        <f>IF(BCP_Soles[[#This Row],[tipo_registro]]="R",COUNTIFS($C$1:$C521,"R")+1,A521)</f>
        <v>350</v>
      </c>
      <c r="B522" s="19" t="str">
        <f t="shared" si="46"/>
        <v>B-BCP - Soles</v>
      </c>
      <c r="C522" s="3" t="s">
        <v>1330</v>
      </c>
      <c r="D522" s="14">
        <v>45700</v>
      </c>
      <c r="E522" s="5" t="s">
        <v>1875</v>
      </c>
      <c r="F522" s="5" t="s">
        <v>1303</v>
      </c>
      <c r="G522" s="6" t="s">
        <v>425</v>
      </c>
      <c r="H522" s="6" t="s">
        <v>119</v>
      </c>
      <c r="I522" s="6">
        <v>1</v>
      </c>
      <c r="J522" s="6">
        <v>4154</v>
      </c>
      <c r="K522" s="7" t="s">
        <v>1356</v>
      </c>
      <c r="L522" s="8">
        <v>2448687</v>
      </c>
      <c r="M522" s="8" t="str">
        <f t="shared" si="47"/>
        <v>PEN</v>
      </c>
      <c r="N522" s="13"/>
      <c r="O522" s="13">
        <v>6020</v>
      </c>
      <c r="P522" s="3">
        <f t="shared" si="48"/>
        <v>6020</v>
      </c>
      <c r="Q522" s="3">
        <f t="shared" si="49"/>
        <v>0</v>
      </c>
      <c r="R522" s="3">
        <f t="shared" si="50"/>
        <v>20067.739999999998</v>
      </c>
      <c r="S522" s="24" t="s">
        <v>1334</v>
      </c>
      <c r="T522" s="24" t="s">
        <v>1334</v>
      </c>
      <c r="U522" s="53"/>
      <c r="V522" s="25">
        <f>IFERROR(VLOOKUP(BCP_Soles[[#This Row],[destinatario]],CHOOSE({1,2},Clientes_Proveedores[Razon Social],Clientes_Proveedores[Ruc / Dni]),2,0),"")</f>
        <v>20558226979</v>
      </c>
      <c r="W522" s="25" t="s">
        <v>1345</v>
      </c>
      <c r="X522" s="25" t="s">
        <v>1876</v>
      </c>
      <c r="Y522" s="25"/>
      <c r="Z522" s="75"/>
      <c r="AA522" s="3" t="str">
        <f>IF(BCP_Soles[[#This Row],[fecha]]&gt;0,TEXT(BCP_Soles[[#This Row],[fecha]],"mmmm"),0)</f>
        <v>Febrero</v>
      </c>
    </row>
    <row r="523" spans="1:27" ht="36" x14ac:dyDescent="0.3">
      <c r="A523" s="2">
        <f>IF(BCP_Soles[[#This Row],[tipo_registro]]="R",COUNTIFS($C$1:$C522,"R")+1,A522)</f>
        <v>351</v>
      </c>
      <c r="B523" s="19" t="str">
        <f t="shared" si="46"/>
        <v>B-BCP - Soles</v>
      </c>
      <c r="C523" s="3" t="s">
        <v>1330</v>
      </c>
      <c r="D523" s="14">
        <v>45700</v>
      </c>
      <c r="E523" s="5" t="s">
        <v>346</v>
      </c>
      <c r="F523" s="5" t="s">
        <v>1303</v>
      </c>
      <c r="G523" s="6" t="s">
        <v>425</v>
      </c>
      <c r="H523" s="6"/>
      <c r="I523" s="6"/>
      <c r="J523" s="6"/>
      <c r="K523" s="7" t="s">
        <v>1453</v>
      </c>
      <c r="L523" s="8">
        <v>1498185</v>
      </c>
      <c r="M523" s="8" t="str">
        <f t="shared" si="47"/>
        <v>PEN</v>
      </c>
      <c r="N523" s="13"/>
      <c r="O523" s="13">
        <v>18179.8</v>
      </c>
      <c r="P523" s="3">
        <f t="shared" si="48"/>
        <v>18179.8</v>
      </c>
      <c r="Q523" s="3">
        <f t="shared" si="49"/>
        <v>0</v>
      </c>
      <c r="R523" s="3">
        <f t="shared" si="50"/>
        <v>38247.539999999994</v>
      </c>
      <c r="S523" s="24" t="s">
        <v>1334</v>
      </c>
      <c r="T523" s="24" t="s">
        <v>1334</v>
      </c>
      <c r="U523" s="53"/>
      <c r="V523" s="25">
        <f>IFERROR(VLOOKUP(BCP_Soles[[#This Row],[destinatario]],CHOOSE({1,2},Clientes_Proveedores[Razon Social],Clientes_Proveedores[Ruc / Dni]),2,0),"")</f>
        <v>20558226979</v>
      </c>
      <c r="W523" s="25" t="s">
        <v>1345</v>
      </c>
      <c r="X523" s="25" t="s">
        <v>1877</v>
      </c>
      <c r="Y523" s="25"/>
      <c r="Z523" s="75"/>
      <c r="AA523" s="3" t="str">
        <f>IF(BCP_Soles[[#This Row],[fecha]]&gt;0,TEXT(BCP_Soles[[#This Row],[fecha]],"mmmm"),0)</f>
        <v>Febrero</v>
      </c>
    </row>
    <row r="524" spans="1:27" ht="36" x14ac:dyDescent="0.3">
      <c r="A524" s="2">
        <f>IF(BCP_Soles[[#This Row],[tipo_registro]]="R",COUNTIFS($C$1:$C523,"R")+1,A523)</f>
        <v>352</v>
      </c>
      <c r="B524" s="19" t="str">
        <f t="shared" si="46"/>
        <v>B-BCP - Soles</v>
      </c>
      <c r="C524" s="3" t="s">
        <v>1330</v>
      </c>
      <c r="D524" s="14">
        <v>45700</v>
      </c>
      <c r="E524" s="5" t="s">
        <v>619</v>
      </c>
      <c r="F524" s="5" t="s">
        <v>1303</v>
      </c>
      <c r="G524" s="6" t="s">
        <v>425</v>
      </c>
      <c r="H524" s="6"/>
      <c r="I524" s="6"/>
      <c r="J524" s="6"/>
      <c r="K524" s="7" t="s">
        <v>1878</v>
      </c>
      <c r="L524" s="8">
        <v>1460056</v>
      </c>
      <c r="M524" s="8" t="str">
        <f t="shared" si="47"/>
        <v>PEN</v>
      </c>
      <c r="N524" s="13"/>
      <c r="O524" s="13">
        <v>2843.29</v>
      </c>
      <c r="P524" s="3">
        <f t="shared" si="48"/>
        <v>2843.29</v>
      </c>
      <c r="Q524" s="3">
        <f t="shared" si="49"/>
        <v>0</v>
      </c>
      <c r="R524" s="3">
        <f t="shared" si="50"/>
        <v>41090.829999999994</v>
      </c>
      <c r="S524" s="24" t="s">
        <v>1334</v>
      </c>
      <c r="T524" s="24" t="s">
        <v>1334</v>
      </c>
      <c r="U524" s="53"/>
      <c r="V524" s="25">
        <f>IFERROR(VLOOKUP(BCP_Soles[[#This Row],[destinatario]],CHOOSE({1,2},Clientes_Proveedores[Razon Social],Clientes_Proveedores[Ruc / Dni]),2,0),"")</f>
        <v>20558226979</v>
      </c>
      <c r="W524" s="25" t="s">
        <v>1345</v>
      </c>
      <c r="X524" s="25" t="s">
        <v>1879</v>
      </c>
      <c r="Y524" s="25"/>
      <c r="Z524" s="75"/>
      <c r="AA524" s="3" t="str">
        <f>IF(BCP_Soles[[#This Row],[fecha]]&gt;0,TEXT(BCP_Soles[[#This Row],[fecha]],"mmmm"),0)</f>
        <v>Febrero</v>
      </c>
    </row>
    <row r="525" spans="1:27" ht="24" x14ac:dyDescent="0.3">
      <c r="A525" s="2">
        <f>IF(BCP_Soles[[#This Row],[tipo_registro]]="R",COUNTIFS($C$1:$C524,"R")+1,A524)</f>
        <v>353</v>
      </c>
      <c r="B525" s="19" t="str">
        <f t="shared" ref="B525:B590" si="51">"B-BCP - Soles"</f>
        <v>B-BCP - Soles</v>
      </c>
      <c r="C525" s="3" t="s">
        <v>1330</v>
      </c>
      <c r="D525" s="14">
        <v>45700</v>
      </c>
      <c r="E525" s="5" t="s">
        <v>1880</v>
      </c>
      <c r="F525" s="5" t="s">
        <v>1303</v>
      </c>
      <c r="G525" s="6" t="s">
        <v>425</v>
      </c>
      <c r="H525" s="6" t="s">
        <v>143</v>
      </c>
      <c r="I525" s="6">
        <v>1</v>
      </c>
      <c r="J525" s="6">
        <v>42025</v>
      </c>
      <c r="K525" s="7" t="s">
        <v>1881</v>
      </c>
      <c r="L525" s="8">
        <v>3072170</v>
      </c>
      <c r="M525" s="8" t="str">
        <f t="shared" ref="M525:M590" si="52">"PEN"</f>
        <v>PEN</v>
      </c>
      <c r="N525" s="13"/>
      <c r="O525" s="13">
        <v>178</v>
      </c>
      <c r="P525" s="3">
        <f t="shared" ref="P525:P590" si="53">+IF(OR($F525="SALDO",$F525="INGRESO"),$O525,0)</f>
        <v>178</v>
      </c>
      <c r="Q525" s="3">
        <f t="shared" ref="Q525:Q590" si="54">+IF($F525="EGRESO",$O525,0)</f>
        <v>0</v>
      </c>
      <c r="R525" s="3">
        <f t="shared" si="50"/>
        <v>41268.829999999994</v>
      </c>
      <c r="S525" s="24" t="s">
        <v>1334</v>
      </c>
      <c r="T525" s="24" t="s">
        <v>1334</v>
      </c>
      <c r="U525" s="53"/>
      <c r="V525" s="25">
        <f>IFERROR(VLOOKUP(BCP_Soles[[#This Row],[destinatario]],CHOOSE({1,2},Clientes_Proveedores[Razon Social],Clientes_Proveedores[Ruc / Dni]),2,0),"")</f>
        <v>20558226979</v>
      </c>
      <c r="W525" s="25"/>
      <c r="X525" s="25"/>
      <c r="Y525" s="25"/>
      <c r="Z525" s="75"/>
      <c r="AA525" s="3" t="str">
        <f>IF(BCP_Soles[[#This Row],[fecha]]&gt;0,TEXT(BCP_Soles[[#This Row],[fecha]],"mmmm"),0)</f>
        <v>Febrero</v>
      </c>
    </row>
    <row r="526" spans="1:27" x14ac:dyDescent="0.3">
      <c r="A526" s="2">
        <f>IF(BCP_Soles[[#This Row],[tipo_registro]]="R",COUNTIFS($C$1:$C525,"R")+1,A525)</f>
        <v>354</v>
      </c>
      <c r="B526" s="19" t="str">
        <f t="shared" si="51"/>
        <v>B-BCP - Soles</v>
      </c>
      <c r="C526" s="3" t="s">
        <v>1330</v>
      </c>
      <c r="D526" s="14">
        <v>45700</v>
      </c>
      <c r="E526" s="5" t="s">
        <v>1335</v>
      </c>
      <c r="F526" s="5" t="s">
        <v>1336</v>
      </c>
      <c r="G526" s="6"/>
      <c r="H526" s="6"/>
      <c r="I526" s="6"/>
      <c r="J526" s="6"/>
      <c r="K526" s="7" t="s">
        <v>1337</v>
      </c>
      <c r="L526" s="8"/>
      <c r="M526" s="8" t="str">
        <f t="shared" si="52"/>
        <v>PEN</v>
      </c>
      <c r="N526" s="13"/>
      <c r="O526" s="13">
        <v>1.35</v>
      </c>
      <c r="P526" s="3">
        <f t="shared" si="53"/>
        <v>0</v>
      </c>
      <c r="Q526" s="3">
        <f t="shared" si="54"/>
        <v>1.35</v>
      </c>
      <c r="R526" s="3">
        <f t="shared" si="50"/>
        <v>41267.479999999996</v>
      </c>
      <c r="S526" s="24"/>
      <c r="T526" s="24" t="s">
        <v>1334</v>
      </c>
      <c r="U526" s="53"/>
      <c r="V526" s="25" t="str">
        <f>IFERROR(VLOOKUP(BCP_Soles[[#This Row],[destinatario]],CHOOSE({1,2},Clientes_Proveedores[Razon Social],Clientes_Proveedores[Ruc / Dni]),2,0),"")</f>
        <v/>
      </c>
      <c r="W526" s="25"/>
      <c r="X526" s="25"/>
      <c r="Y526" s="25"/>
      <c r="Z526" s="75"/>
      <c r="AA526" s="3" t="str">
        <f>IF(BCP_Soles[[#This Row],[fecha]]&gt;0,TEXT(BCP_Soles[[#This Row],[fecha]],"mmmm"),0)</f>
        <v>Febrero</v>
      </c>
    </row>
    <row r="527" spans="1:27" ht="24" x14ac:dyDescent="0.3">
      <c r="A527" s="2">
        <f>IF(BCP_Soles[[#This Row],[tipo_registro]]="R",COUNTIFS($C$1:$C526,"R")+1,A526)</f>
        <v>355</v>
      </c>
      <c r="B527" s="19" t="str">
        <f t="shared" si="51"/>
        <v>B-BCP - Soles</v>
      </c>
      <c r="C527" s="3" t="s">
        <v>1330</v>
      </c>
      <c r="D527" s="14">
        <v>45700</v>
      </c>
      <c r="E527" s="5" t="s">
        <v>1338</v>
      </c>
      <c r="F527" s="5" t="s">
        <v>1336</v>
      </c>
      <c r="G527" s="6" t="s">
        <v>704</v>
      </c>
      <c r="H527" s="6" t="s">
        <v>106</v>
      </c>
      <c r="I527" s="6" t="s">
        <v>1559</v>
      </c>
      <c r="J527" s="6">
        <v>2273087</v>
      </c>
      <c r="K527" s="7" t="s">
        <v>1490</v>
      </c>
      <c r="L527" s="8">
        <v>4107191</v>
      </c>
      <c r="M527" s="8" t="str">
        <f t="shared" si="52"/>
        <v>PEN</v>
      </c>
      <c r="N527" s="13"/>
      <c r="O527" s="13">
        <v>15.3</v>
      </c>
      <c r="P527" s="3">
        <f t="shared" si="53"/>
        <v>0</v>
      </c>
      <c r="Q527" s="3">
        <f t="shared" si="54"/>
        <v>15.3</v>
      </c>
      <c r="R527" s="3">
        <f t="shared" si="50"/>
        <v>41252.179999999993</v>
      </c>
      <c r="S527" s="24" t="s">
        <v>1334</v>
      </c>
      <c r="T527" s="24" t="s">
        <v>1334</v>
      </c>
      <c r="U527" s="53"/>
      <c r="V527" s="25">
        <f>IFERROR(VLOOKUP(BCP_Soles[[#This Row],[destinatario]],CHOOSE({1,2},Clientes_Proveedores[Razon Social],Clientes_Proveedores[Ruc / Dni]),2,0),"")</f>
        <v>20100152356</v>
      </c>
      <c r="W527" s="25" t="s">
        <v>704</v>
      </c>
      <c r="X527" s="25" t="s">
        <v>1882</v>
      </c>
      <c r="Y527" s="25"/>
      <c r="Z527" s="75"/>
      <c r="AA527" s="3" t="str">
        <f>IF(BCP_Soles[[#This Row],[fecha]]&gt;0,TEXT(BCP_Soles[[#This Row],[fecha]],"mmmm"),0)</f>
        <v>Febrero</v>
      </c>
    </row>
    <row r="528" spans="1:27" ht="24" x14ac:dyDescent="0.3">
      <c r="A528" s="2">
        <f>IF(BCP_Soles[[#This Row],[tipo_registro]]="R",COUNTIFS($C$1:$C527,"R")+1,A527)</f>
        <v>356</v>
      </c>
      <c r="B528" s="19" t="str">
        <f t="shared" si="51"/>
        <v>B-BCP - Soles</v>
      </c>
      <c r="C528" s="3" t="s">
        <v>1330</v>
      </c>
      <c r="D528" s="14">
        <v>45700</v>
      </c>
      <c r="E528" s="5" t="s">
        <v>1338</v>
      </c>
      <c r="F528" s="5" t="s">
        <v>1336</v>
      </c>
      <c r="G528" s="6" t="s">
        <v>706</v>
      </c>
      <c r="H528" s="6" t="s">
        <v>106</v>
      </c>
      <c r="I528" s="6" t="s">
        <v>1570</v>
      </c>
      <c r="J528" s="6">
        <v>68259519</v>
      </c>
      <c r="K528" s="7" t="s">
        <v>1567</v>
      </c>
      <c r="L528" s="8">
        <v>4172155</v>
      </c>
      <c r="M528" s="8" t="str">
        <f t="shared" si="52"/>
        <v>PEN</v>
      </c>
      <c r="N528" s="13"/>
      <c r="O528" s="13">
        <v>17.7</v>
      </c>
      <c r="P528" s="3">
        <f t="shared" si="53"/>
        <v>0</v>
      </c>
      <c r="Q528" s="3">
        <f t="shared" si="54"/>
        <v>17.7</v>
      </c>
      <c r="R528" s="3">
        <f t="shared" si="50"/>
        <v>41234.479999999996</v>
      </c>
      <c r="S528" s="24" t="s">
        <v>1334</v>
      </c>
      <c r="T528" s="24" t="s">
        <v>1334</v>
      </c>
      <c r="U528" s="53"/>
      <c r="V528" s="25">
        <f>IFERROR(VLOOKUP(BCP_Soles[[#This Row],[destinatario]],CHOOSE({1,2},Clientes_Proveedores[Razon Social],Clientes_Proveedores[Ruc / Dni]),2,0),"")</f>
        <v>20331898008</v>
      </c>
      <c r="W528" s="25" t="s">
        <v>1568</v>
      </c>
      <c r="X528" s="25" t="s">
        <v>1883</v>
      </c>
      <c r="Y528" s="25"/>
      <c r="Z528" s="75"/>
      <c r="AA528" s="3" t="str">
        <f>IF(BCP_Soles[[#This Row],[fecha]]&gt;0,TEXT(BCP_Soles[[#This Row],[fecha]],"mmmm"),0)</f>
        <v>Febrero</v>
      </c>
    </row>
    <row r="529" spans="1:27" ht="24" x14ac:dyDescent="0.3">
      <c r="A529" s="2">
        <f>IF(BCP_Soles[[#This Row],[tipo_registro]]="R",COUNTIFS($C$1:$C528,"R")+1,A528)</f>
        <v>357</v>
      </c>
      <c r="B529" s="19" t="str">
        <f t="shared" si="51"/>
        <v>B-BCP - Soles</v>
      </c>
      <c r="C529" s="3" t="s">
        <v>1330</v>
      </c>
      <c r="D529" s="14">
        <v>45701</v>
      </c>
      <c r="E529" s="5" t="s">
        <v>1505</v>
      </c>
      <c r="F529" s="5" t="s">
        <v>1303</v>
      </c>
      <c r="G529" s="6" t="s">
        <v>425</v>
      </c>
      <c r="H529" s="6" t="s">
        <v>119</v>
      </c>
      <c r="I529" s="6">
        <v>2</v>
      </c>
      <c r="J529" s="6">
        <v>715</v>
      </c>
      <c r="K529" s="7" t="s">
        <v>1356</v>
      </c>
      <c r="L529" s="8">
        <v>1079127</v>
      </c>
      <c r="M529" s="8" t="str">
        <f t="shared" si="52"/>
        <v>PEN</v>
      </c>
      <c r="N529" s="13"/>
      <c r="O529" s="13">
        <v>4180</v>
      </c>
      <c r="P529" s="3">
        <f t="shared" si="53"/>
        <v>4180</v>
      </c>
      <c r="Q529" s="3">
        <f t="shared" si="54"/>
        <v>0</v>
      </c>
      <c r="R529" s="3">
        <f t="shared" si="50"/>
        <v>45414.479999999996</v>
      </c>
      <c r="S529" s="24" t="s">
        <v>1334</v>
      </c>
      <c r="T529" s="24" t="s">
        <v>1334</v>
      </c>
      <c r="U529" s="53"/>
      <c r="V529" s="25">
        <f>IFERROR(VLOOKUP(BCP_Soles[[#This Row],[destinatario]],CHOOSE({1,2},Clientes_Proveedores[Razon Social],Clientes_Proveedores[Ruc / Dni]),2,0),"")</f>
        <v>20558226979</v>
      </c>
      <c r="W529" s="25" t="s">
        <v>1345</v>
      </c>
      <c r="X529" s="25" t="s">
        <v>1884</v>
      </c>
      <c r="Y529" s="25"/>
      <c r="Z529" s="75"/>
      <c r="AA529" s="3" t="str">
        <f>IF(BCP_Soles[[#This Row],[fecha]]&gt;0,TEXT(BCP_Soles[[#This Row],[fecha]],"mmmm"),0)</f>
        <v>Febrero</v>
      </c>
    </row>
    <row r="530" spans="1:27" ht="24" x14ac:dyDescent="0.3">
      <c r="A530" s="2">
        <f>IF(BCP_Soles[[#This Row],[tipo_registro]]="R",COUNTIFS($C$1:$C529,"R")+1,A529)</f>
        <v>358</v>
      </c>
      <c r="B530" s="19" t="str">
        <f t="shared" si="51"/>
        <v>B-BCP - Soles</v>
      </c>
      <c r="C530" s="3" t="s">
        <v>1330</v>
      </c>
      <c r="D530" s="14">
        <v>45701</v>
      </c>
      <c r="E530" s="5" t="s">
        <v>204</v>
      </c>
      <c r="F530" s="5" t="s">
        <v>1303</v>
      </c>
      <c r="G530" s="6" t="s">
        <v>425</v>
      </c>
      <c r="H530" s="6"/>
      <c r="I530" s="6"/>
      <c r="J530" s="6"/>
      <c r="K530" s="7" t="s">
        <v>1885</v>
      </c>
      <c r="L530" s="8">
        <v>1747597</v>
      </c>
      <c r="M530" s="8" t="str">
        <f t="shared" si="52"/>
        <v>PEN</v>
      </c>
      <c r="N530" s="13"/>
      <c r="O530" s="13">
        <v>2832.88</v>
      </c>
      <c r="P530" s="3">
        <f t="shared" si="53"/>
        <v>2832.88</v>
      </c>
      <c r="Q530" s="3">
        <f t="shared" si="54"/>
        <v>0</v>
      </c>
      <c r="R530" s="3">
        <f t="shared" si="50"/>
        <v>48247.359999999993</v>
      </c>
      <c r="S530" s="24" t="s">
        <v>1334</v>
      </c>
      <c r="T530" s="24" t="s">
        <v>1334</v>
      </c>
      <c r="U530" s="53"/>
      <c r="V530" s="25">
        <f>IFERROR(VLOOKUP(BCP_Soles[[#This Row],[destinatario]],CHOOSE({1,2},Clientes_Proveedores[Razon Social],Clientes_Proveedores[Ruc / Dni]),2,0),"")</f>
        <v>20558226979</v>
      </c>
      <c r="W530" s="25" t="s">
        <v>1345</v>
      </c>
      <c r="X530" s="25" t="s">
        <v>1886</v>
      </c>
      <c r="Y530" s="25"/>
      <c r="Z530" s="75"/>
      <c r="AA530" s="3" t="str">
        <f>IF(BCP_Soles[[#This Row],[fecha]]&gt;0,TEXT(BCP_Soles[[#This Row],[fecha]],"mmmm"),0)</f>
        <v>Febrero</v>
      </c>
    </row>
    <row r="531" spans="1:27" x14ac:dyDescent="0.3">
      <c r="A531" s="2">
        <f>IF(BCP_Soles[[#This Row],[tipo_registro]]="R",COUNTIFS($C$1:$C530,"R")+1,A530)</f>
        <v>359</v>
      </c>
      <c r="B531" s="19" t="str">
        <f t="shared" si="51"/>
        <v>B-BCP - Soles</v>
      </c>
      <c r="C531" s="3" t="s">
        <v>1330</v>
      </c>
      <c r="D531" s="14">
        <v>45701</v>
      </c>
      <c r="E531" s="5" t="s">
        <v>224</v>
      </c>
      <c r="F531" s="5" t="s">
        <v>1303</v>
      </c>
      <c r="G531" s="6" t="s">
        <v>425</v>
      </c>
      <c r="H531" s="6"/>
      <c r="I531" s="6"/>
      <c r="J531" s="6"/>
      <c r="K531" s="7" t="s">
        <v>1887</v>
      </c>
      <c r="L531" s="8">
        <v>2049701</v>
      </c>
      <c r="M531" s="8" t="str">
        <f t="shared" si="52"/>
        <v>PEN</v>
      </c>
      <c r="N531" s="13"/>
      <c r="O531" s="13">
        <v>1259.06</v>
      </c>
      <c r="P531" s="3">
        <f t="shared" si="53"/>
        <v>1259.06</v>
      </c>
      <c r="Q531" s="3">
        <f t="shared" si="54"/>
        <v>0</v>
      </c>
      <c r="R531" s="3">
        <f t="shared" si="50"/>
        <v>49506.419999999991</v>
      </c>
      <c r="S531" s="24" t="s">
        <v>1334</v>
      </c>
      <c r="T531" s="24" t="s">
        <v>1334</v>
      </c>
      <c r="U531" s="53"/>
      <c r="V531" s="25">
        <f>IFERROR(VLOOKUP(BCP_Soles[[#This Row],[destinatario]],CHOOSE({1,2},Clientes_Proveedores[Razon Social],Clientes_Proveedores[Ruc / Dni]),2,0),"")</f>
        <v>20558226979</v>
      </c>
      <c r="W531" s="25" t="s">
        <v>1345</v>
      </c>
      <c r="X531" s="25" t="s">
        <v>1888</v>
      </c>
      <c r="Y531" s="25"/>
      <c r="Z531" s="75"/>
      <c r="AA531" s="3" t="str">
        <f>IF(BCP_Soles[[#This Row],[fecha]]&gt;0,TEXT(BCP_Soles[[#This Row],[fecha]],"mmmm"),0)</f>
        <v>Febrero</v>
      </c>
    </row>
    <row r="532" spans="1:27" ht="24" x14ac:dyDescent="0.3">
      <c r="A532" s="2">
        <f>IF(BCP_Soles[[#This Row],[tipo_registro]]="R",COUNTIFS($C$1:$C531,"R")+1,A531)</f>
        <v>360</v>
      </c>
      <c r="B532" s="19" t="str">
        <f t="shared" si="51"/>
        <v>B-BCP - Soles</v>
      </c>
      <c r="C532" s="3" t="s">
        <v>1330</v>
      </c>
      <c r="D532" s="14">
        <v>45701</v>
      </c>
      <c r="E532" s="5" t="s">
        <v>1505</v>
      </c>
      <c r="F532" s="5" t="s">
        <v>1303</v>
      </c>
      <c r="G532" s="6" t="s">
        <v>425</v>
      </c>
      <c r="H532" s="6" t="s">
        <v>119</v>
      </c>
      <c r="I532" s="6">
        <v>2</v>
      </c>
      <c r="J532" s="6">
        <v>715</v>
      </c>
      <c r="K532" s="7" t="s">
        <v>1356</v>
      </c>
      <c r="L532" s="8">
        <v>1202255</v>
      </c>
      <c r="M532" s="8" t="str">
        <f t="shared" si="52"/>
        <v>PEN</v>
      </c>
      <c r="N532" s="13"/>
      <c r="O532" s="13">
        <v>8</v>
      </c>
      <c r="P532" s="3">
        <f t="shared" si="53"/>
        <v>8</v>
      </c>
      <c r="Q532" s="3">
        <f t="shared" si="54"/>
        <v>0</v>
      </c>
      <c r="R532" s="3">
        <f t="shared" si="50"/>
        <v>49514.419999999991</v>
      </c>
      <c r="S532" s="24" t="s">
        <v>1334</v>
      </c>
      <c r="T532" s="24" t="s">
        <v>1334</v>
      </c>
      <c r="U532" s="53"/>
      <c r="V532" s="25">
        <f>IFERROR(VLOOKUP(BCP_Soles[[#This Row],[destinatario]],CHOOSE({1,2},Clientes_Proveedores[Razon Social],Clientes_Proveedores[Ruc / Dni]),2,0),"")</f>
        <v>20558226979</v>
      </c>
      <c r="W532" s="25" t="s">
        <v>1345</v>
      </c>
      <c r="X532" s="25" t="s">
        <v>1884</v>
      </c>
      <c r="Y532" s="25"/>
      <c r="Z532" s="75"/>
      <c r="AA532" s="3" t="str">
        <f>IF(BCP_Soles[[#This Row],[fecha]]&gt;0,TEXT(BCP_Soles[[#This Row],[fecha]],"mmmm"),0)</f>
        <v>Febrero</v>
      </c>
    </row>
    <row r="533" spans="1:27" ht="24" x14ac:dyDescent="0.3">
      <c r="A533" s="2">
        <f>IF(BCP_Soles[[#This Row],[tipo_registro]]="R",COUNTIFS($C$1:$C532,"R")+1,A532)</f>
        <v>361</v>
      </c>
      <c r="B533" s="19" t="str">
        <f t="shared" si="51"/>
        <v>B-BCP - Soles</v>
      </c>
      <c r="C533" s="3" t="s">
        <v>1330</v>
      </c>
      <c r="D533" s="14">
        <v>45701</v>
      </c>
      <c r="E533" s="5" t="s">
        <v>1338</v>
      </c>
      <c r="F533" s="5" t="s">
        <v>1336</v>
      </c>
      <c r="G533" s="6" t="s">
        <v>249</v>
      </c>
      <c r="H533" s="6"/>
      <c r="I533" s="6"/>
      <c r="J533" s="6"/>
      <c r="K533" s="7" t="s">
        <v>1889</v>
      </c>
      <c r="L533" s="8">
        <v>1060587</v>
      </c>
      <c r="M533" s="8" t="str">
        <f t="shared" si="52"/>
        <v>PEN</v>
      </c>
      <c r="N533" s="13"/>
      <c r="O533" s="13">
        <v>142.88999999999999</v>
      </c>
      <c r="P533" s="3">
        <f t="shared" si="53"/>
        <v>0</v>
      </c>
      <c r="Q533" s="3">
        <f t="shared" si="54"/>
        <v>142.88999999999999</v>
      </c>
      <c r="R533" s="3">
        <f t="shared" si="50"/>
        <v>49371.529999999992</v>
      </c>
      <c r="S533" s="24"/>
      <c r="T533" s="24"/>
      <c r="U533" s="53"/>
      <c r="V533" s="25">
        <f>IFERROR(VLOOKUP(BCP_Soles[[#This Row],[destinatario]],CHOOSE({1,2},Clientes_Proveedores[Razon Social],Clientes_Proveedores[Ruc / Dni]),2,0),"")</f>
        <v>20302891452</v>
      </c>
      <c r="W533" s="25" t="s">
        <v>249</v>
      </c>
      <c r="X533" s="25"/>
      <c r="Y533" s="25"/>
      <c r="Z533" s="75"/>
      <c r="AA533" s="3" t="str">
        <f>IF(BCP_Soles[[#This Row],[fecha]]&gt;0,TEXT(BCP_Soles[[#This Row],[fecha]],"mmmm"),0)</f>
        <v>Febrero</v>
      </c>
    </row>
    <row r="534" spans="1:27" ht="24" x14ac:dyDescent="0.3">
      <c r="A534" s="2">
        <f>IF(BCP_Soles[[#This Row],[tipo_registro]]="R",COUNTIFS($C$1:$C533,"R")+1,A533)</f>
        <v>362</v>
      </c>
      <c r="B534" s="19" t="str">
        <f t="shared" si="51"/>
        <v>B-BCP - Soles</v>
      </c>
      <c r="C534" s="3" t="s">
        <v>1330</v>
      </c>
      <c r="D534" s="14">
        <v>45701</v>
      </c>
      <c r="E534" s="5" t="s">
        <v>1338</v>
      </c>
      <c r="F534" s="5" t="s">
        <v>1336</v>
      </c>
      <c r="G534" s="6" t="s">
        <v>857</v>
      </c>
      <c r="H534" s="6" t="s">
        <v>143</v>
      </c>
      <c r="I534" s="6">
        <v>1</v>
      </c>
      <c r="J534" s="6">
        <v>92025</v>
      </c>
      <c r="K534" s="7" t="s">
        <v>1890</v>
      </c>
      <c r="L534" s="8">
        <v>1103252</v>
      </c>
      <c r="M534" s="8" t="str">
        <f t="shared" si="52"/>
        <v>PEN</v>
      </c>
      <c r="N534" s="13"/>
      <c r="O534" s="13">
        <v>230</v>
      </c>
      <c r="P534" s="3">
        <f t="shared" si="53"/>
        <v>0</v>
      </c>
      <c r="Q534" s="3">
        <f t="shared" si="54"/>
        <v>230</v>
      </c>
      <c r="R534" s="3">
        <f t="shared" si="50"/>
        <v>49141.529999999992</v>
      </c>
      <c r="S534" s="24" t="s">
        <v>1334</v>
      </c>
      <c r="T534" s="24" t="s">
        <v>1334</v>
      </c>
      <c r="U534" s="53"/>
      <c r="V534" s="25">
        <f>IFERROR(VLOOKUP(BCP_Soles[[#This Row],[destinatario]],CHOOSE({1,2},Clientes_Proveedores[Razon Social],Clientes_Proveedores[Ruc / Dni]),2,0),"")</f>
        <v>70666331</v>
      </c>
      <c r="W534" s="25"/>
      <c r="X534" s="25"/>
      <c r="Y534" s="25"/>
      <c r="Z534" s="75"/>
      <c r="AA534" s="3" t="str">
        <f>IF(BCP_Soles[[#This Row],[fecha]]&gt;0,TEXT(BCP_Soles[[#This Row],[fecha]],"mmmm"),0)</f>
        <v>Febrero</v>
      </c>
    </row>
    <row r="535" spans="1:27" ht="24" x14ac:dyDescent="0.3">
      <c r="A535" s="2">
        <f>IF(BCP_Soles[[#This Row],[tipo_registro]]="R",COUNTIFS($C$1:$C534,"R")+1,A534)</f>
        <v>363</v>
      </c>
      <c r="B535" s="19" t="str">
        <f t="shared" si="51"/>
        <v>B-BCP - Soles</v>
      </c>
      <c r="C535" s="3" t="s">
        <v>1330</v>
      </c>
      <c r="D535" s="14">
        <v>45701</v>
      </c>
      <c r="E535" s="5" t="s">
        <v>1338</v>
      </c>
      <c r="F535" s="5" t="s">
        <v>1336</v>
      </c>
      <c r="G535" s="6" t="s">
        <v>400</v>
      </c>
      <c r="H535" s="6" t="s">
        <v>68</v>
      </c>
      <c r="I535" s="6" t="s">
        <v>1391</v>
      </c>
      <c r="J535" s="6">
        <v>31909</v>
      </c>
      <c r="K535" s="7" t="s">
        <v>1891</v>
      </c>
      <c r="L535" s="8">
        <v>1171246</v>
      </c>
      <c r="M535" s="8" t="str">
        <f t="shared" si="52"/>
        <v>PEN</v>
      </c>
      <c r="N535" s="13"/>
      <c r="O535" s="13">
        <v>320</v>
      </c>
      <c r="P535" s="3">
        <f t="shared" si="53"/>
        <v>0</v>
      </c>
      <c r="Q535" s="3">
        <f t="shared" si="54"/>
        <v>320</v>
      </c>
      <c r="R535" s="3">
        <f t="shared" si="50"/>
        <v>48821.529999999992</v>
      </c>
      <c r="S535" s="24" t="s">
        <v>1334</v>
      </c>
      <c r="T535" s="24" t="s">
        <v>1334</v>
      </c>
      <c r="U535" s="53"/>
      <c r="V535" s="25">
        <f>IFERROR(VLOOKUP(BCP_Soles[[#This Row],[destinatario]],CHOOSE({1,2},Clientes_Proveedores[Razon Social],Clientes_Proveedores[Ruc / Dni]),2,0),"")</f>
        <v>20546153372</v>
      </c>
      <c r="W535" s="25" t="s">
        <v>1892</v>
      </c>
      <c r="X535" s="25" t="s">
        <v>1893</v>
      </c>
      <c r="Y535" s="25"/>
      <c r="Z535" s="75"/>
      <c r="AA535" s="3" t="str">
        <f>IF(BCP_Soles[[#This Row],[fecha]]&gt;0,TEXT(BCP_Soles[[#This Row],[fecha]],"mmmm"),0)</f>
        <v>Febrero</v>
      </c>
    </row>
    <row r="536" spans="1:27" ht="36" x14ac:dyDescent="0.3">
      <c r="A536" s="2">
        <f>IF(BCP_Soles[[#This Row],[tipo_registro]]="R",COUNTIFS($C$1:$C535,"R")+1,A535)</f>
        <v>364</v>
      </c>
      <c r="B536" s="19" t="str">
        <f t="shared" si="51"/>
        <v>B-BCP - Soles</v>
      </c>
      <c r="C536" s="3" t="s">
        <v>1330</v>
      </c>
      <c r="D536" s="14">
        <v>45701</v>
      </c>
      <c r="E536" s="5" t="s">
        <v>1338</v>
      </c>
      <c r="F536" s="5" t="s">
        <v>1336</v>
      </c>
      <c r="G536" s="6" t="s">
        <v>939</v>
      </c>
      <c r="H536" s="6" t="s">
        <v>143</v>
      </c>
      <c r="I536" s="6">
        <v>1</v>
      </c>
      <c r="J536" s="6">
        <v>102025</v>
      </c>
      <c r="K536" s="7" t="s">
        <v>1894</v>
      </c>
      <c r="L536" s="8">
        <v>1139209</v>
      </c>
      <c r="M536" s="8" t="str">
        <f t="shared" si="52"/>
        <v>PEN</v>
      </c>
      <c r="N536" s="13"/>
      <c r="O536" s="13">
        <v>329.4</v>
      </c>
      <c r="P536" s="3">
        <f t="shared" si="53"/>
        <v>0</v>
      </c>
      <c r="Q536" s="3">
        <f t="shared" si="54"/>
        <v>329.4</v>
      </c>
      <c r="R536" s="3">
        <f t="shared" si="50"/>
        <v>48492.12999999999</v>
      </c>
      <c r="S536" s="24" t="s">
        <v>1334</v>
      </c>
      <c r="T536" s="24" t="s">
        <v>1334</v>
      </c>
      <c r="U536" s="53"/>
      <c r="V536" s="25">
        <f>IFERROR(VLOOKUP(BCP_Soles[[#This Row],[destinatario]],CHOOSE({1,2},Clientes_Proveedores[Razon Social],Clientes_Proveedores[Ruc / Dni]),2,0),"")</f>
        <v>72531546</v>
      </c>
      <c r="W536" s="25"/>
      <c r="X536" s="25"/>
      <c r="Y536" s="25"/>
      <c r="Z536" s="75"/>
      <c r="AA536" s="3" t="str">
        <f>IF(BCP_Soles[[#This Row],[fecha]]&gt;0,TEXT(BCP_Soles[[#This Row],[fecha]],"mmmm"),0)</f>
        <v>Febrero</v>
      </c>
    </row>
    <row r="537" spans="1:27" ht="24" x14ac:dyDescent="0.3">
      <c r="A537" s="2">
        <f>IF(BCP_Soles[[#This Row],[tipo_registro]]="R",COUNTIFS($C$1:$C536,"R")+1,A536)</f>
        <v>365</v>
      </c>
      <c r="B537" s="19" t="str">
        <f t="shared" si="51"/>
        <v>B-BCP - Soles</v>
      </c>
      <c r="C537" s="3" t="s">
        <v>1330</v>
      </c>
      <c r="D537" s="14">
        <v>45701</v>
      </c>
      <c r="E537" s="5" t="s">
        <v>1338</v>
      </c>
      <c r="F537" s="5" t="s">
        <v>1336</v>
      </c>
      <c r="G537" s="6" t="s">
        <v>583</v>
      </c>
      <c r="H537" s="6" t="s">
        <v>68</v>
      </c>
      <c r="I537" s="6" t="s">
        <v>1376</v>
      </c>
      <c r="J537" s="6">
        <v>670</v>
      </c>
      <c r="K537" s="7" t="s">
        <v>1895</v>
      </c>
      <c r="L537" s="8">
        <v>1018572</v>
      </c>
      <c r="M537" s="8" t="str">
        <f t="shared" si="52"/>
        <v>PEN</v>
      </c>
      <c r="N537" s="13"/>
      <c r="O537" s="13">
        <v>645.1</v>
      </c>
      <c r="P537" s="3">
        <f t="shared" si="53"/>
        <v>0</v>
      </c>
      <c r="Q537" s="3">
        <f t="shared" si="54"/>
        <v>645.1</v>
      </c>
      <c r="R537" s="3">
        <f t="shared" si="50"/>
        <v>47847.029999999992</v>
      </c>
      <c r="S537" s="24" t="s">
        <v>1334</v>
      </c>
      <c r="T537" s="24" t="s">
        <v>1334</v>
      </c>
      <c r="U537" s="53"/>
      <c r="V537" s="25">
        <f>IFERROR(VLOOKUP(BCP_Soles[[#This Row],[destinatario]],CHOOSE({1,2},Clientes_Proveedores[Razon Social],Clientes_Proveedores[Ruc / Dni]),2,0),"")</f>
        <v>20609155303</v>
      </c>
      <c r="W537" s="25" t="s">
        <v>1896</v>
      </c>
      <c r="X537" s="25">
        <v>670</v>
      </c>
      <c r="Y537" s="25"/>
      <c r="Z537" s="75"/>
      <c r="AA537" s="3" t="str">
        <f>IF(BCP_Soles[[#This Row],[fecha]]&gt;0,TEXT(BCP_Soles[[#This Row],[fecha]],"mmmm"),0)</f>
        <v>Febrero</v>
      </c>
    </row>
    <row r="538" spans="1:27" ht="24" x14ac:dyDescent="0.3">
      <c r="A538" s="2">
        <f>IF(BCP_Soles[[#This Row],[tipo_registro]]="R",COUNTIFS($C$1:$C537,"R")+1,A537)</f>
        <v>366</v>
      </c>
      <c r="B538" s="19" t="str">
        <f t="shared" si="51"/>
        <v>B-BCP - Soles</v>
      </c>
      <c r="C538" s="3" t="s">
        <v>1330</v>
      </c>
      <c r="D538" s="14">
        <v>45701</v>
      </c>
      <c r="E538" s="5" t="s">
        <v>1338</v>
      </c>
      <c r="F538" s="5" t="s">
        <v>1336</v>
      </c>
      <c r="G538" s="6" t="s">
        <v>583</v>
      </c>
      <c r="H538" s="6" t="s">
        <v>68</v>
      </c>
      <c r="I538" s="6" t="s">
        <v>1376</v>
      </c>
      <c r="J538" s="6">
        <v>671</v>
      </c>
      <c r="K538" s="7" t="s">
        <v>1897</v>
      </c>
      <c r="L538" s="8">
        <v>1081566</v>
      </c>
      <c r="M538" s="8" t="str">
        <f t="shared" si="52"/>
        <v>PEN</v>
      </c>
      <c r="N538" s="13"/>
      <c r="O538" s="13">
        <v>720</v>
      </c>
      <c r="P538" s="3">
        <f t="shared" si="53"/>
        <v>0</v>
      </c>
      <c r="Q538" s="3">
        <f t="shared" si="54"/>
        <v>720</v>
      </c>
      <c r="R538" s="3">
        <f t="shared" si="50"/>
        <v>47127.029999999992</v>
      </c>
      <c r="S538" s="24" t="s">
        <v>1334</v>
      </c>
      <c r="T538" s="24" t="s">
        <v>1334</v>
      </c>
      <c r="U538" s="53"/>
      <c r="V538" s="25">
        <f>IFERROR(VLOOKUP(BCP_Soles[[#This Row],[destinatario]],CHOOSE({1,2},Clientes_Proveedores[Razon Social],Clientes_Proveedores[Ruc / Dni]),2,0),"")</f>
        <v>20609155303</v>
      </c>
      <c r="W538" s="25" t="s">
        <v>1896</v>
      </c>
      <c r="X538" s="25" t="s">
        <v>1898</v>
      </c>
      <c r="Y538" s="25"/>
      <c r="Z538" s="75"/>
      <c r="AA538" s="3" t="str">
        <f>IF(BCP_Soles[[#This Row],[fecha]]&gt;0,TEXT(BCP_Soles[[#This Row],[fecha]],"mmmm"),0)</f>
        <v>Febrero</v>
      </c>
    </row>
    <row r="539" spans="1:27" ht="24" x14ac:dyDescent="0.3">
      <c r="A539" s="2">
        <f>IF(BCP_Soles[[#This Row],[tipo_registro]]="R",COUNTIFS($C$1:$C538,"R")+1,A538)</f>
        <v>367</v>
      </c>
      <c r="B539" s="19" t="str">
        <f t="shared" si="51"/>
        <v>B-BCP - Soles</v>
      </c>
      <c r="C539" s="3" t="s">
        <v>1330</v>
      </c>
      <c r="D539" s="14">
        <v>45701</v>
      </c>
      <c r="E539" s="5" t="s">
        <v>1338</v>
      </c>
      <c r="F539" s="5" t="s">
        <v>1336</v>
      </c>
      <c r="G539" s="6" t="s">
        <v>241</v>
      </c>
      <c r="H539" s="6" t="s">
        <v>68</v>
      </c>
      <c r="I539" s="6" t="s">
        <v>1339</v>
      </c>
      <c r="J539" s="6">
        <v>7167</v>
      </c>
      <c r="K539" s="7" t="s">
        <v>1899</v>
      </c>
      <c r="L539" s="8">
        <v>1159183</v>
      </c>
      <c r="M539" s="8" t="str">
        <f t="shared" si="52"/>
        <v>PEN</v>
      </c>
      <c r="N539" s="13"/>
      <c r="O539" s="13">
        <v>853.9</v>
      </c>
      <c r="P539" s="3">
        <f t="shared" si="53"/>
        <v>0</v>
      </c>
      <c r="Q539" s="3">
        <f t="shared" si="54"/>
        <v>853.9</v>
      </c>
      <c r="R539" s="3">
        <f t="shared" si="50"/>
        <v>46273.12999999999</v>
      </c>
      <c r="S539" s="24" t="s">
        <v>1334</v>
      </c>
      <c r="T539" s="24" t="s">
        <v>1334</v>
      </c>
      <c r="U539" s="53"/>
      <c r="V539" s="25">
        <f>IFERROR(VLOOKUP(BCP_Soles[[#This Row],[destinatario]],CHOOSE({1,2},Clientes_Proveedores[Razon Social],Clientes_Proveedores[Ruc / Dni]),2,0),"")</f>
        <v>20170040938</v>
      </c>
      <c r="W539" s="25" t="s">
        <v>1341</v>
      </c>
      <c r="X539" s="25" t="s">
        <v>1900</v>
      </c>
      <c r="Y539" s="25"/>
      <c r="Z539" s="75"/>
      <c r="AA539" s="3" t="str">
        <f>IF(BCP_Soles[[#This Row],[fecha]]&gt;0,TEXT(BCP_Soles[[#This Row],[fecha]],"mmmm"),0)</f>
        <v>Febrero</v>
      </c>
    </row>
    <row r="540" spans="1:27" ht="24" x14ac:dyDescent="0.3">
      <c r="A540" s="2">
        <f>IF(BCP_Soles[[#This Row],[tipo_registro]]="R",COUNTIFS($C$1:$C539,"R")+1,A539)</f>
        <v>368</v>
      </c>
      <c r="B540" s="19" t="str">
        <f t="shared" si="51"/>
        <v>B-BCP - Soles</v>
      </c>
      <c r="C540" s="3" t="s">
        <v>1330</v>
      </c>
      <c r="D540" s="14">
        <v>45701</v>
      </c>
      <c r="E540" s="5" t="s">
        <v>1338</v>
      </c>
      <c r="F540" s="5" t="s">
        <v>1336</v>
      </c>
      <c r="G540" s="6" t="s">
        <v>637</v>
      </c>
      <c r="H540" s="6" t="s">
        <v>68</v>
      </c>
      <c r="I540" s="6" t="s">
        <v>1376</v>
      </c>
      <c r="J540" s="6">
        <v>3873</v>
      </c>
      <c r="K540" s="7" t="s">
        <v>1901</v>
      </c>
      <c r="L540" s="8">
        <v>1021575</v>
      </c>
      <c r="M540" s="8" t="str">
        <f t="shared" si="52"/>
        <v>PEN</v>
      </c>
      <c r="N540" s="13"/>
      <c r="O540" s="13">
        <v>4400</v>
      </c>
      <c r="P540" s="3">
        <f t="shared" si="53"/>
        <v>0</v>
      </c>
      <c r="Q540" s="3">
        <f t="shared" si="54"/>
        <v>4400</v>
      </c>
      <c r="R540" s="3">
        <f t="shared" si="50"/>
        <v>41873.12999999999</v>
      </c>
      <c r="S540" s="24" t="s">
        <v>1334</v>
      </c>
      <c r="T540" s="24" t="s">
        <v>1334</v>
      </c>
      <c r="U540" s="53"/>
      <c r="V540" s="25">
        <f>IFERROR(VLOOKUP(BCP_Soles[[#This Row],[destinatario]],CHOOSE({1,2},Clientes_Proveedores[Razon Social],Clientes_Proveedores[Ruc / Dni]),2,0),"")</f>
        <v>20203412038</v>
      </c>
      <c r="W540" s="25" t="s">
        <v>1902</v>
      </c>
      <c r="X540" s="25" t="s">
        <v>1903</v>
      </c>
      <c r="Y540" s="25"/>
      <c r="Z540" s="75"/>
      <c r="AA540" s="3" t="str">
        <f>IF(BCP_Soles[[#This Row],[fecha]]&gt;0,TEXT(BCP_Soles[[#This Row],[fecha]],"mmmm"),0)</f>
        <v>Febrero</v>
      </c>
    </row>
    <row r="541" spans="1:27" x14ac:dyDescent="0.3">
      <c r="A541" s="2">
        <f>IF(BCP_Soles[[#This Row],[tipo_registro]]="R",COUNTIFS($C$1:$C540,"R")+1,A540)</f>
        <v>369</v>
      </c>
      <c r="B541" s="19" t="str">
        <f t="shared" si="51"/>
        <v>B-BCP - Soles</v>
      </c>
      <c r="C541" s="3" t="s">
        <v>1330</v>
      </c>
      <c r="D541" s="14">
        <v>45701</v>
      </c>
      <c r="E541" s="5" t="s">
        <v>1335</v>
      </c>
      <c r="F541" s="5" t="s">
        <v>1336</v>
      </c>
      <c r="G541" s="6"/>
      <c r="H541" s="6"/>
      <c r="I541" s="6"/>
      <c r="J541" s="6"/>
      <c r="K541" s="7" t="s">
        <v>1337</v>
      </c>
      <c r="L541" s="8"/>
      <c r="M541" s="8" t="str">
        <f t="shared" si="52"/>
        <v>PEN</v>
      </c>
      <c r="N541" s="13"/>
      <c r="O541" s="13">
        <v>0.55000000000000004</v>
      </c>
      <c r="P541" s="3">
        <f t="shared" si="53"/>
        <v>0</v>
      </c>
      <c r="Q541" s="3">
        <f t="shared" si="54"/>
        <v>0.55000000000000004</v>
      </c>
      <c r="R541" s="3">
        <f t="shared" si="50"/>
        <v>41872.579999999987</v>
      </c>
      <c r="S541" s="24"/>
      <c r="T541" s="24" t="s">
        <v>1334</v>
      </c>
      <c r="U541" s="53"/>
      <c r="V541" s="25" t="str">
        <f>IFERROR(VLOOKUP(BCP_Soles[[#This Row],[destinatario]],CHOOSE({1,2},Clientes_Proveedores[Razon Social],Clientes_Proveedores[Ruc / Dni]),2,0),"")</f>
        <v/>
      </c>
      <c r="W541" s="25"/>
      <c r="X541" s="25"/>
      <c r="Y541" s="25"/>
      <c r="Z541" s="75"/>
      <c r="AA541" s="3" t="str">
        <f>IF(BCP_Soles[[#This Row],[fecha]]&gt;0,TEXT(BCP_Soles[[#This Row],[fecha]],"mmmm"),0)</f>
        <v>Febrero</v>
      </c>
    </row>
    <row r="542" spans="1:27" ht="24" x14ac:dyDescent="0.3">
      <c r="A542" s="2">
        <f>IF(BCP_Soles[[#This Row],[tipo_registro]]="R",COUNTIFS($C$1:$C541,"R")+1,A541)</f>
        <v>370</v>
      </c>
      <c r="B542" s="19" t="str">
        <f t="shared" si="51"/>
        <v>B-BCP - Soles</v>
      </c>
      <c r="C542" s="3" t="s">
        <v>1330</v>
      </c>
      <c r="D542" s="14">
        <v>45702</v>
      </c>
      <c r="E542" s="5" t="s">
        <v>212</v>
      </c>
      <c r="F542" s="5" t="s">
        <v>1303</v>
      </c>
      <c r="G542" s="6" t="s">
        <v>425</v>
      </c>
      <c r="H542" s="6"/>
      <c r="I542" s="6"/>
      <c r="J542" s="6"/>
      <c r="K542" s="7" t="s">
        <v>1904</v>
      </c>
      <c r="L542" s="8">
        <v>2519976</v>
      </c>
      <c r="M542" s="8" t="str">
        <f t="shared" si="52"/>
        <v>PEN</v>
      </c>
      <c r="N542" s="13"/>
      <c r="O542" s="13">
        <v>2133.66</v>
      </c>
      <c r="P542" s="3">
        <f t="shared" si="53"/>
        <v>2133.66</v>
      </c>
      <c r="Q542" s="3">
        <f t="shared" si="54"/>
        <v>0</v>
      </c>
      <c r="R542" s="3">
        <f t="shared" si="50"/>
        <v>44006.239999999991</v>
      </c>
      <c r="S542" s="24" t="s">
        <v>1334</v>
      </c>
      <c r="T542" s="24" t="s">
        <v>1334</v>
      </c>
      <c r="U542" s="53"/>
      <c r="V542" s="25">
        <f>IFERROR(VLOOKUP(BCP_Soles[[#This Row],[destinatario]],CHOOSE({1,2},Clientes_Proveedores[Razon Social],Clientes_Proveedores[Ruc / Dni]),2,0),"")</f>
        <v>20558226979</v>
      </c>
      <c r="W542" s="25" t="s">
        <v>1345</v>
      </c>
      <c r="X542" s="25" t="s">
        <v>1905</v>
      </c>
      <c r="Y542" s="25"/>
      <c r="Z542" s="75"/>
      <c r="AA542" s="3" t="str">
        <f>IF(BCP_Soles[[#This Row],[fecha]]&gt;0,TEXT(BCP_Soles[[#This Row],[fecha]],"mmmm"),0)</f>
        <v>Febrero</v>
      </c>
    </row>
    <row r="543" spans="1:27" ht="24" x14ac:dyDescent="0.3">
      <c r="A543" s="2">
        <f>IF(BCP_Soles[[#This Row],[tipo_registro]]="R",COUNTIFS($C$1:$C542,"R")+1,A542)</f>
        <v>371</v>
      </c>
      <c r="B543" s="19" t="str">
        <f t="shared" si="51"/>
        <v>B-BCP - Soles</v>
      </c>
      <c r="C543" s="3" t="s">
        <v>1330</v>
      </c>
      <c r="D543" s="14">
        <v>45702</v>
      </c>
      <c r="E543" s="5" t="s">
        <v>279</v>
      </c>
      <c r="F543" s="5" t="s">
        <v>1303</v>
      </c>
      <c r="G543" s="6" t="s">
        <v>425</v>
      </c>
      <c r="H543" s="6"/>
      <c r="I543" s="6"/>
      <c r="J543" s="6"/>
      <c r="K543" s="7" t="s">
        <v>1906</v>
      </c>
      <c r="L543" s="8">
        <v>2588787</v>
      </c>
      <c r="M543" s="8" t="str">
        <f t="shared" si="52"/>
        <v>PEN</v>
      </c>
      <c r="N543" s="13"/>
      <c r="O543" s="13">
        <v>1367.82</v>
      </c>
      <c r="P543" s="3">
        <f t="shared" si="53"/>
        <v>1367.82</v>
      </c>
      <c r="Q543" s="3">
        <f t="shared" si="54"/>
        <v>0</v>
      </c>
      <c r="R543" s="3">
        <f t="shared" si="50"/>
        <v>45374.05999999999</v>
      </c>
      <c r="S543" s="24" t="s">
        <v>1334</v>
      </c>
      <c r="T543" s="24" t="s">
        <v>1334</v>
      </c>
      <c r="U543" s="53"/>
      <c r="V543" s="25">
        <f>IFERROR(VLOOKUP(BCP_Soles[[#This Row],[destinatario]],CHOOSE({1,2},Clientes_Proveedores[Razon Social],Clientes_Proveedores[Ruc / Dni]),2,0),"")</f>
        <v>20558226979</v>
      </c>
      <c r="W543" s="25" t="s">
        <v>1345</v>
      </c>
      <c r="X543" s="25" t="s">
        <v>1907</v>
      </c>
      <c r="Y543" s="25"/>
      <c r="Z543" s="75"/>
      <c r="AA543" s="3" t="str">
        <f>IF(BCP_Soles[[#This Row],[fecha]]&gt;0,TEXT(BCP_Soles[[#This Row],[fecha]],"mmmm"),0)</f>
        <v>Febrero</v>
      </c>
    </row>
    <row r="544" spans="1:27" ht="24" x14ac:dyDescent="0.3">
      <c r="A544" s="2">
        <f>IF(BCP_Soles[[#This Row],[tipo_registro]]="R",COUNTIFS($C$1:$C543,"R")+1,A543)</f>
        <v>372</v>
      </c>
      <c r="B544" s="19" t="str">
        <f t="shared" si="51"/>
        <v>B-BCP - Soles</v>
      </c>
      <c r="C544" s="3" t="s">
        <v>1330</v>
      </c>
      <c r="D544" s="14">
        <v>45702</v>
      </c>
      <c r="E544" s="5" t="s">
        <v>1908</v>
      </c>
      <c r="F544" s="5" t="s">
        <v>1303</v>
      </c>
      <c r="G544" s="6" t="s">
        <v>425</v>
      </c>
      <c r="H544" s="6"/>
      <c r="I544" s="6"/>
      <c r="J544" s="6"/>
      <c r="K544" s="7" t="s">
        <v>1356</v>
      </c>
      <c r="L544" s="8">
        <v>2475814</v>
      </c>
      <c r="M544" s="8" t="str">
        <f t="shared" si="52"/>
        <v>PEN</v>
      </c>
      <c r="N544" s="13"/>
      <c r="O544" s="13">
        <v>1200</v>
      </c>
      <c r="P544" s="3">
        <f t="shared" si="53"/>
        <v>1200</v>
      </c>
      <c r="Q544" s="3">
        <f t="shared" si="54"/>
        <v>0</v>
      </c>
      <c r="R544" s="3">
        <f t="shared" si="50"/>
        <v>46574.05999999999</v>
      </c>
      <c r="S544" s="24" t="s">
        <v>1334</v>
      </c>
      <c r="T544" s="24" t="s">
        <v>1334</v>
      </c>
      <c r="U544" s="53"/>
      <c r="V544" s="25">
        <f>IFERROR(VLOOKUP(BCP_Soles[[#This Row],[destinatario]],CHOOSE({1,2},Clientes_Proveedores[Razon Social],Clientes_Proveedores[Ruc / Dni]),2,0),"")</f>
        <v>20558226979</v>
      </c>
      <c r="W544" s="25" t="s">
        <v>1345</v>
      </c>
      <c r="X544" s="25" t="s">
        <v>1909</v>
      </c>
      <c r="Y544" s="25"/>
      <c r="Z544" s="75"/>
      <c r="AA544" s="3" t="str">
        <f>IF(BCP_Soles[[#This Row],[fecha]]&gt;0,TEXT(BCP_Soles[[#This Row],[fecha]],"mmmm"),0)</f>
        <v>Febrero</v>
      </c>
    </row>
    <row r="545" spans="1:27" ht="72" x14ac:dyDescent="0.3">
      <c r="A545" s="2">
        <f>IF(BCP_Soles[[#This Row],[tipo_registro]]="R",COUNTIFS($C$1:$C544,"R")+1,A544)</f>
        <v>373</v>
      </c>
      <c r="B545" s="19" t="str">
        <f t="shared" si="51"/>
        <v>B-BCP - Soles</v>
      </c>
      <c r="C545" s="3" t="s">
        <v>1330</v>
      </c>
      <c r="D545" s="14">
        <v>45702</v>
      </c>
      <c r="E545" s="5" t="s">
        <v>213</v>
      </c>
      <c r="F545" s="5" t="s">
        <v>1303</v>
      </c>
      <c r="G545" s="6" t="s">
        <v>425</v>
      </c>
      <c r="H545" s="6"/>
      <c r="I545" s="6"/>
      <c r="J545" s="6"/>
      <c r="K545" s="7" t="s">
        <v>1910</v>
      </c>
      <c r="L545" s="8">
        <v>2371851</v>
      </c>
      <c r="M545" s="8" t="str">
        <f t="shared" si="52"/>
        <v>PEN</v>
      </c>
      <c r="N545" s="13"/>
      <c r="O545" s="13">
        <v>1025.49</v>
      </c>
      <c r="P545" s="3">
        <f t="shared" si="53"/>
        <v>1025.49</v>
      </c>
      <c r="Q545" s="3">
        <f t="shared" si="54"/>
        <v>0</v>
      </c>
      <c r="R545" s="3">
        <f t="shared" si="50"/>
        <v>47599.549999999988</v>
      </c>
      <c r="S545" s="24" t="s">
        <v>1334</v>
      </c>
      <c r="T545" s="24" t="s">
        <v>1334</v>
      </c>
      <c r="U545" s="53"/>
      <c r="V545" s="25">
        <f>IFERROR(VLOOKUP(BCP_Soles[[#This Row],[destinatario]],CHOOSE({1,2},Clientes_Proveedores[Razon Social],Clientes_Proveedores[Ruc / Dni]),2,0),"")</f>
        <v>20558226979</v>
      </c>
      <c r="W545" s="25" t="s">
        <v>1345</v>
      </c>
      <c r="X545" s="25" t="s">
        <v>1911</v>
      </c>
      <c r="Y545" s="25"/>
      <c r="Z545" s="75"/>
      <c r="AA545" s="3" t="str">
        <f>IF(BCP_Soles[[#This Row],[fecha]]&gt;0,TEXT(BCP_Soles[[#This Row],[fecha]],"mmmm"),0)</f>
        <v>Febrero</v>
      </c>
    </row>
    <row r="546" spans="1:27" x14ac:dyDescent="0.3">
      <c r="A546" s="2">
        <f>IF(BCP_Soles[[#This Row],[tipo_registro]]="R",COUNTIFS($C$1:$C545,"R")+1,A545)</f>
        <v>374</v>
      </c>
      <c r="B546" s="19" t="str">
        <f t="shared" si="51"/>
        <v>B-BCP - Soles</v>
      </c>
      <c r="C546" s="3" t="s">
        <v>1330</v>
      </c>
      <c r="D546" s="14">
        <v>45702</v>
      </c>
      <c r="E546" s="5" t="s">
        <v>335</v>
      </c>
      <c r="F546" s="5" t="s">
        <v>1303</v>
      </c>
      <c r="G546" s="6" t="s">
        <v>425</v>
      </c>
      <c r="H546" s="6"/>
      <c r="I546" s="6"/>
      <c r="J546" s="6"/>
      <c r="K546" s="7" t="s">
        <v>1912</v>
      </c>
      <c r="L546" s="8">
        <v>2002814</v>
      </c>
      <c r="M546" s="8" t="str">
        <f t="shared" si="52"/>
        <v>PEN</v>
      </c>
      <c r="N546" s="13"/>
      <c r="O546" s="13">
        <v>1008.73</v>
      </c>
      <c r="P546" s="3">
        <f t="shared" si="53"/>
        <v>1008.73</v>
      </c>
      <c r="Q546" s="3">
        <f t="shared" si="54"/>
        <v>0</v>
      </c>
      <c r="R546" s="3">
        <f t="shared" si="50"/>
        <v>48608.279999999992</v>
      </c>
      <c r="S546" s="24" t="s">
        <v>1334</v>
      </c>
      <c r="T546" s="24" t="s">
        <v>1334</v>
      </c>
      <c r="U546" s="53"/>
      <c r="V546" s="25">
        <f>IFERROR(VLOOKUP(BCP_Soles[[#This Row],[destinatario]],CHOOSE({1,2},Clientes_Proveedores[Razon Social],Clientes_Proveedores[Ruc / Dni]),2,0),"")</f>
        <v>20558226979</v>
      </c>
      <c r="W546" s="25" t="s">
        <v>1345</v>
      </c>
      <c r="X546" s="25" t="s">
        <v>1913</v>
      </c>
      <c r="Y546" s="25"/>
      <c r="Z546" s="75"/>
      <c r="AA546" s="3" t="str">
        <f>IF(BCP_Soles[[#This Row],[fecha]]&gt;0,TEXT(BCP_Soles[[#This Row],[fecha]],"mmmm"),0)</f>
        <v>Febrero</v>
      </c>
    </row>
    <row r="547" spans="1:27" ht="24" x14ac:dyDescent="0.3">
      <c r="A547" s="2">
        <f>IF(BCP_Soles[[#This Row],[tipo_registro]]="R",COUNTIFS($C$1:$C546,"R")+1,A546)</f>
        <v>375</v>
      </c>
      <c r="B547" s="19" t="str">
        <f t="shared" si="51"/>
        <v>B-BCP - Soles</v>
      </c>
      <c r="C547" s="3" t="s">
        <v>1330</v>
      </c>
      <c r="D547" s="14">
        <v>45702</v>
      </c>
      <c r="E547" s="5" t="s">
        <v>1669</v>
      </c>
      <c r="F547" s="5" t="s">
        <v>1303</v>
      </c>
      <c r="G547" s="6" t="s">
        <v>425</v>
      </c>
      <c r="H547" s="6" t="s">
        <v>119</v>
      </c>
      <c r="I547" s="6">
        <v>1</v>
      </c>
      <c r="J547" s="6">
        <v>4146</v>
      </c>
      <c r="K547" s="7" t="s">
        <v>1356</v>
      </c>
      <c r="L547" s="8">
        <v>2509796</v>
      </c>
      <c r="M547" s="8" t="str">
        <f t="shared" si="52"/>
        <v>PEN</v>
      </c>
      <c r="N547" s="13"/>
      <c r="O547" s="13">
        <v>300</v>
      </c>
      <c r="P547" s="3">
        <f t="shared" si="53"/>
        <v>300</v>
      </c>
      <c r="Q547" s="3">
        <f t="shared" si="54"/>
        <v>0</v>
      </c>
      <c r="R547" s="3">
        <f t="shared" si="50"/>
        <v>48908.279999999992</v>
      </c>
      <c r="S547" s="24" t="s">
        <v>1334</v>
      </c>
      <c r="T547" s="24" t="s">
        <v>1334</v>
      </c>
      <c r="U547" s="53"/>
      <c r="V547" s="25">
        <f>IFERROR(VLOOKUP(BCP_Soles[[#This Row],[destinatario]],CHOOSE({1,2},Clientes_Proveedores[Razon Social],Clientes_Proveedores[Ruc / Dni]),2,0),"")</f>
        <v>20558226979</v>
      </c>
      <c r="W547" s="25" t="s">
        <v>1345</v>
      </c>
      <c r="X547" s="25" t="s">
        <v>1846</v>
      </c>
      <c r="Y547" s="25"/>
      <c r="Z547" s="75"/>
      <c r="AA547" s="3" t="str">
        <f>IF(BCP_Soles[[#This Row],[fecha]]&gt;0,TEXT(BCP_Soles[[#This Row],[fecha]],"mmmm"),0)</f>
        <v>Febrero</v>
      </c>
    </row>
    <row r="548" spans="1:27" ht="24" x14ac:dyDescent="0.3">
      <c r="A548" s="2">
        <f>IF(BCP_Soles[[#This Row],[tipo_registro]]="R",COUNTIFS($C$1:$C547,"R")+1,A547)</f>
        <v>376</v>
      </c>
      <c r="B548" s="19" t="str">
        <f t="shared" si="51"/>
        <v>B-BCP - Soles</v>
      </c>
      <c r="C548" s="3" t="s">
        <v>1330</v>
      </c>
      <c r="D548" s="14">
        <v>45702</v>
      </c>
      <c r="E548" s="5" t="s">
        <v>1914</v>
      </c>
      <c r="F548" s="5" t="s">
        <v>1303</v>
      </c>
      <c r="G548" s="6" t="s">
        <v>425</v>
      </c>
      <c r="H548" s="6" t="s">
        <v>119</v>
      </c>
      <c r="I548" s="6">
        <v>1</v>
      </c>
      <c r="J548" s="6">
        <v>4161</v>
      </c>
      <c r="K548" s="7" t="s">
        <v>1356</v>
      </c>
      <c r="L548" s="8">
        <v>3484015</v>
      </c>
      <c r="M548" s="8" t="str">
        <f t="shared" si="52"/>
        <v>PEN</v>
      </c>
      <c r="N548" s="13"/>
      <c r="O548" s="13">
        <v>282</v>
      </c>
      <c r="P548" s="3">
        <f t="shared" si="53"/>
        <v>282</v>
      </c>
      <c r="Q548" s="3">
        <f t="shared" si="54"/>
        <v>0</v>
      </c>
      <c r="R548" s="3">
        <f t="shared" si="50"/>
        <v>49190.279999999992</v>
      </c>
      <c r="S548" s="24" t="s">
        <v>1334</v>
      </c>
      <c r="T548" s="24" t="s">
        <v>1334</v>
      </c>
      <c r="U548" s="53"/>
      <c r="V548" s="25">
        <f>IFERROR(VLOOKUP(BCP_Soles[[#This Row],[destinatario]],CHOOSE({1,2},Clientes_Proveedores[Razon Social],Clientes_Proveedores[Ruc / Dni]),2,0),"")</f>
        <v>20558226979</v>
      </c>
      <c r="W548" s="25" t="s">
        <v>1345</v>
      </c>
      <c r="X548" s="25" t="s">
        <v>1915</v>
      </c>
      <c r="Y548" s="25"/>
      <c r="Z548" s="75"/>
      <c r="AA548" s="3" t="str">
        <f>IF(BCP_Soles[[#This Row],[fecha]]&gt;0,TEXT(BCP_Soles[[#This Row],[fecha]],"mmmm"),0)</f>
        <v>Febrero</v>
      </c>
    </row>
    <row r="549" spans="1:27" x14ac:dyDescent="0.3">
      <c r="A549" s="2">
        <f>IF(BCP_Soles[[#This Row],[tipo_registro]]="R",COUNTIFS($C$1:$C548,"R")+1,A548)</f>
        <v>377</v>
      </c>
      <c r="B549" s="19" t="str">
        <f t="shared" si="51"/>
        <v>B-BCP - Soles</v>
      </c>
      <c r="C549" s="3" t="s">
        <v>1330</v>
      </c>
      <c r="D549" s="14">
        <v>45702</v>
      </c>
      <c r="E549" s="5" t="s">
        <v>636</v>
      </c>
      <c r="F549" s="5" t="s">
        <v>1303</v>
      </c>
      <c r="G549" s="6" t="s">
        <v>425</v>
      </c>
      <c r="H549" s="6"/>
      <c r="I549" s="6"/>
      <c r="J549" s="6"/>
      <c r="K549" s="7" t="s">
        <v>1916</v>
      </c>
      <c r="L549" s="8">
        <v>2146528</v>
      </c>
      <c r="M549" s="8" t="str">
        <f t="shared" si="52"/>
        <v>PEN</v>
      </c>
      <c r="N549" s="13"/>
      <c r="O549" s="13">
        <v>250</v>
      </c>
      <c r="P549" s="3">
        <f t="shared" si="53"/>
        <v>250</v>
      </c>
      <c r="Q549" s="3">
        <f t="shared" si="54"/>
        <v>0</v>
      </c>
      <c r="R549" s="3">
        <f t="shared" si="50"/>
        <v>49440.279999999992</v>
      </c>
      <c r="S549" s="24" t="s">
        <v>1334</v>
      </c>
      <c r="T549" s="24" t="s">
        <v>1334</v>
      </c>
      <c r="U549" s="53"/>
      <c r="V549" s="25">
        <f>IFERROR(VLOOKUP(BCP_Soles[[#This Row],[destinatario]],CHOOSE({1,2},Clientes_Proveedores[Razon Social],Clientes_Proveedores[Ruc / Dni]),2,0),"")</f>
        <v>20558226979</v>
      </c>
      <c r="W549" s="25" t="s">
        <v>1345</v>
      </c>
      <c r="X549" s="25" t="s">
        <v>1917</v>
      </c>
      <c r="Y549" s="25"/>
      <c r="Z549" s="75"/>
      <c r="AA549" s="3" t="str">
        <f>IF(BCP_Soles[[#This Row],[fecha]]&gt;0,TEXT(BCP_Soles[[#This Row],[fecha]],"mmmm"),0)</f>
        <v>Febrero</v>
      </c>
    </row>
    <row r="550" spans="1:27" ht="84" x14ac:dyDescent="0.3">
      <c r="A550" s="2">
        <f>IF(BCP_Soles[[#This Row],[tipo_registro]]="R",COUNTIFS($C$1:$C549,"R")+1,A549)</f>
        <v>378</v>
      </c>
      <c r="B550" s="19" t="str">
        <f t="shared" si="51"/>
        <v>B-BCP - Soles</v>
      </c>
      <c r="C550" s="3" t="s">
        <v>1330</v>
      </c>
      <c r="D550" s="14">
        <v>45702</v>
      </c>
      <c r="E550" s="5" t="s">
        <v>358</v>
      </c>
      <c r="F550" s="5" t="s">
        <v>1303</v>
      </c>
      <c r="G550" s="6" t="s">
        <v>425</v>
      </c>
      <c r="H550" s="6"/>
      <c r="I550" s="6"/>
      <c r="J550" s="6"/>
      <c r="K550" s="7" t="s">
        <v>1382</v>
      </c>
      <c r="L550" s="8">
        <v>9373</v>
      </c>
      <c r="M550" s="8" t="str">
        <f t="shared" si="52"/>
        <v>PEN</v>
      </c>
      <c r="N550" s="13"/>
      <c r="O550" s="13">
        <v>191.17</v>
      </c>
      <c r="P550" s="3">
        <f t="shared" si="53"/>
        <v>191.17</v>
      </c>
      <c r="Q550" s="3">
        <f t="shared" si="54"/>
        <v>0</v>
      </c>
      <c r="R550" s="3">
        <f t="shared" si="50"/>
        <v>49631.44999999999</v>
      </c>
      <c r="S550" s="24" t="s">
        <v>1334</v>
      </c>
      <c r="T550" s="24" t="s">
        <v>1334</v>
      </c>
      <c r="U550" s="53"/>
      <c r="V550" s="25">
        <f>IFERROR(VLOOKUP(BCP_Soles[[#This Row],[destinatario]],CHOOSE({1,2},Clientes_Proveedores[Razon Social],Clientes_Proveedores[Ruc / Dni]),2,0),"")</f>
        <v>20558226979</v>
      </c>
      <c r="W550" s="25" t="s">
        <v>1345</v>
      </c>
      <c r="X550" s="25" t="s">
        <v>1918</v>
      </c>
      <c r="Y550" s="25"/>
      <c r="Z550" s="75"/>
      <c r="AA550" s="3" t="str">
        <f>IF(BCP_Soles[[#This Row],[fecha]]&gt;0,TEXT(BCP_Soles[[#This Row],[fecha]],"mmmm"),0)</f>
        <v>Febrero</v>
      </c>
    </row>
    <row r="551" spans="1:27" x14ac:dyDescent="0.3">
      <c r="A551" s="2">
        <f>IF(BCP_Soles[[#This Row],[tipo_registro]]="R",COUNTIFS($C$1:$C550,"R")+1,A550)</f>
        <v>379</v>
      </c>
      <c r="B551" s="19" t="str">
        <f t="shared" si="51"/>
        <v>B-BCP - Soles</v>
      </c>
      <c r="C551" s="3" t="s">
        <v>1330</v>
      </c>
      <c r="D551" s="14">
        <v>45702</v>
      </c>
      <c r="E551" s="5" t="s">
        <v>1335</v>
      </c>
      <c r="F551" s="5" t="s">
        <v>1336</v>
      </c>
      <c r="G551" s="6"/>
      <c r="H551" s="6"/>
      <c r="I551" s="6"/>
      <c r="J551" s="6"/>
      <c r="K551" s="7" t="s">
        <v>1337</v>
      </c>
      <c r="L551" s="8"/>
      <c r="M551" s="8" t="str">
        <f t="shared" si="52"/>
        <v>PEN</v>
      </c>
      <c r="N551" s="13"/>
      <c r="O551" s="13">
        <v>0.45</v>
      </c>
      <c r="P551" s="3">
        <f t="shared" si="53"/>
        <v>0</v>
      </c>
      <c r="Q551" s="3">
        <f t="shared" si="54"/>
        <v>0.45</v>
      </c>
      <c r="R551" s="3">
        <f t="shared" si="50"/>
        <v>49630.999999999993</v>
      </c>
      <c r="S551" s="24"/>
      <c r="T551" s="24" t="s">
        <v>1334</v>
      </c>
      <c r="U551" s="53"/>
      <c r="V551" s="25" t="str">
        <f>IFERROR(VLOOKUP(BCP_Soles[[#This Row],[destinatario]],CHOOSE({1,2},Clientes_Proveedores[Razon Social],Clientes_Proveedores[Ruc / Dni]),2,0),"")</f>
        <v/>
      </c>
      <c r="W551" s="25"/>
      <c r="X551" s="25"/>
      <c r="Y551" s="25"/>
      <c r="Z551" s="75"/>
      <c r="AA551" s="3" t="str">
        <f>IF(BCP_Soles[[#This Row],[fecha]]&gt;0,TEXT(BCP_Soles[[#This Row],[fecha]],"mmmm"),0)</f>
        <v>Febrero</v>
      </c>
    </row>
    <row r="552" spans="1:27" ht="24" x14ac:dyDescent="0.3">
      <c r="A552" s="2">
        <f>IF(BCP_Soles[[#This Row],[tipo_registro]]="R",COUNTIFS($C$1:$C551,"R")+1,A551)</f>
        <v>380</v>
      </c>
      <c r="B552" s="19" t="str">
        <f t="shared" si="51"/>
        <v>B-BCP - Soles</v>
      </c>
      <c r="C552" s="3" t="s">
        <v>1330</v>
      </c>
      <c r="D552" s="14">
        <v>45702</v>
      </c>
      <c r="E552" s="5" t="s">
        <v>1335</v>
      </c>
      <c r="F552" s="5" t="s">
        <v>1336</v>
      </c>
      <c r="G552" s="6" t="s">
        <v>1060</v>
      </c>
      <c r="H552" s="6" t="s">
        <v>68</v>
      </c>
      <c r="I552" s="6" t="s">
        <v>1397</v>
      </c>
      <c r="J552" s="6">
        <v>29401050</v>
      </c>
      <c r="K552" s="7" t="s">
        <v>1400</v>
      </c>
      <c r="L552" s="8">
        <v>448</v>
      </c>
      <c r="M552" s="8" t="str">
        <f t="shared" si="52"/>
        <v>PEN</v>
      </c>
      <c r="N552" s="13"/>
      <c r="O552" s="13">
        <v>3.5</v>
      </c>
      <c r="P552" s="3">
        <f t="shared" si="53"/>
        <v>0</v>
      </c>
      <c r="Q552" s="3">
        <f t="shared" si="54"/>
        <v>3.5</v>
      </c>
      <c r="R552" s="3">
        <f t="shared" si="50"/>
        <v>49627.499999999993</v>
      </c>
      <c r="S552" s="24"/>
      <c r="T552" s="24" t="s">
        <v>1334</v>
      </c>
      <c r="U552" s="53"/>
      <c r="V552" s="25">
        <f>IFERROR(VLOOKUP(BCP_Soles[[#This Row],[destinatario]],CHOOSE({1,2},Clientes_Proveedores[Razon Social],Clientes_Proveedores[Ruc / Dni]),2,0),"")</f>
        <v>20100047218</v>
      </c>
      <c r="W552" s="25" t="s">
        <v>1335</v>
      </c>
      <c r="X552" s="25" t="s">
        <v>1919</v>
      </c>
      <c r="Y552" s="25"/>
      <c r="Z552" s="75"/>
      <c r="AA552" s="3" t="str">
        <f>IF(BCP_Soles[[#This Row],[fecha]]&gt;0,TEXT(BCP_Soles[[#This Row],[fecha]],"mmmm"),0)</f>
        <v>Febrero</v>
      </c>
    </row>
    <row r="553" spans="1:27" ht="48" x14ac:dyDescent="0.3">
      <c r="A553" s="2">
        <f>IF(BCP_Soles[[#This Row],[tipo_registro]]="R",COUNTIFS($C$1:$C552,"R")+1,A552)</f>
        <v>381</v>
      </c>
      <c r="B553" s="19" t="str">
        <f t="shared" si="51"/>
        <v>B-BCP - Soles</v>
      </c>
      <c r="C553" s="3" t="s">
        <v>1330</v>
      </c>
      <c r="D553" s="14">
        <v>45702</v>
      </c>
      <c r="E553" s="5" t="s">
        <v>1338</v>
      </c>
      <c r="F553" s="5" t="s">
        <v>1336</v>
      </c>
      <c r="G553" s="6" t="s">
        <v>501</v>
      </c>
      <c r="H553" s="6" t="s">
        <v>68</v>
      </c>
      <c r="I553" s="6" t="s">
        <v>1526</v>
      </c>
      <c r="J553" s="6">
        <v>9449</v>
      </c>
      <c r="K553" s="7" t="s">
        <v>1920</v>
      </c>
      <c r="L553" s="8">
        <v>1021124</v>
      </c>
      <c r="M553" s="8" t="str">
        <f t="shared" si="52"/>
        <v>PEN</v>
      </c>
      <c r="N553" s="13"/>
      <c r="O553" s="13">
        <v>285</v>
      </c>
      <c r="P553" s="3">
        <f t="shared" si="53"/>
        <v>0</v>
      </c>
      <c r="Q553" s="3">
        <f t="shared" si="54"/>
        <v>285</v>
      </c>
      <c r="R553" s="3">
        <f t="shared" si="50"/>
        <v>49342.499999999993</v>
      </c>
      <c r="S553" s="24" t="s">
        <v>1334</v>
      </c>
      <c r="T553" s="24" t="s">
        <v>1334</v>
      </c>
      <c r="U553" s="53"/>
      <c r="V553" s="25">
        <f>IFERROR(VLOOKUP(BCP_Soles[[#This Row],[destinatario]],CHOOSE({1,2},Clientes_Proveedores[Razon Social],Clientes_Proveedores[Ruc / Dni]),2,0),"")</f>
        <v>20602978274</v>
      </c>
      <c r="W553" s="25" t="s">
        <v>1528</v>
      </c>
      <c r="X553" s="25" t="s">
        <v>1921</v>
      </c>
      <c r="Y553" s="25"/>
      <c r="Z553" s="75"/>
      <c r="AA553" s="3" t="str">
        <f>IF(BCP_Soles[[#This Row],[fecha]]&gt;0,TEXT(BCP_Soles[[#This Row],[fecha]],"mmmm"),0)</f>
        <v>Febrero</v>
      </c>
    </row>
    <row r="554" spans="1:27" ht="24" x14ac:dyDescent="0.3">
      <c r="A554" s="2">
        <f>IF(BCP_Soles[[#This Row],[tipo_registro]]="R",COUNTIFS($C$1:$C553,"R")+1,A553)</f>
        <v>382</v>
      </c>
      <c r="B554" s="19" t="str">
        <f t="shared" si="51"/>
        <v>B-BCP - Soles</v>
      </c>
      <c r="C554" s="3" t="s">
        <v>1330</v>
      </c>
      <c r="D554" s="14">
        <v>45702</v>
      </c>
      <c r="E554" s="5" t="s">
        <v>1338</v>
      </c>
      <c r="F554" s="5" t="s">
        <v>1336</v>
      </c>
      <c r="G554" s="6" t="s">
        <v>866</v>
      </c>
      <c r="H554" s="6" t="s">
        <v>143</v>
      </c>
      <c r="I554" s="6">
        <v>1</v>
      </c>
      <c r="J554" s="6">
        <v>122025</v>
      </c>
      <c r="K554" s="7" t="s">
        <v>1922</v>
      </c>
      <c r="L554" s="8">
        <v>1219016</v>
      </c>
      <c r="M554" s="8" t="str">
        <f t="shared" si="52"/>
        <v>PEN</v>
      </c>
      <c r="N554" s="13"/>
      <c r="O554" s="13">
        <v>450</v>
      </c>
      <c r="P554" s="3">
        <f t="shared" si="53"/>
        <v>0</v>
      </c>
      <c r="Q554" s="3">
        <f t="shared" si="54"/>
        <v>450</v>
      </c>
      <c r="R554" s="3">
        <f t="shared" si="50"/>
        <v>48892.499999999993</v>
      </c>
      <c r="S554" s="24" t="s">
        <v>1334</v>
      </c>
      <c r="T554" s="24" t="s">
        <v>1334</v>
      </c>
      <c r="U554" s="53"/>
      <c r="V554" s="25">
        <f>IFERROR(VLOOKUP(BCP_Soles[[#This Row],[destinatario]],CHOOSE({1,2},Clientes_Proveedores[Razon Social],Clientes_Proveedores[Ruc / Dni]),2,0),"")</f>
        <v>45921913</v>
      </c>
      <c r="W554" s="25"/>
      <c r="X554" s="25"/>
      <c r="Y554" s="25"/>
      <c r="Z554" s="75"/>
      <c r="AA554" s="3" t="str">
        <f>IF(BCP_Soles[[#This Row],[fecha]]&gt;0,TEXT(BCP_Soles[[#This Row],[fecha]],"mmmm"),0)</f>
        <v>Febrero</v>
      </c>
    </row>
    <row r="555" spans="1:27" x14ac:dyDescent="0.3">
      <c r="A555" s="2">
        <f>IF(BCP_Soles[[#This Row],[tipo_registro]]="R",COUNTIFS($C$1:$C554,"R")+1,A554)</f>
        <v>383</v>
      </c>
      <c r="B555" s="19" t="str">
        <f t="shared" si="51"/>
        <v>B-BCP - Soles</v>
      </c>
      <c r="C555" s="3" t="s">
        <v>1330</v>
      </c>
      <c r="D555" s="14">
        <v>45702</v>
      </c>
      <c r="E555" s="5" t="s">
        <v>1416</v>
      </c>
      <c r="F555" s="5" t="s">
        <v>1336</v>
      </c>
      <c r="G555" s="6"/>
      <c r="H555" s="6"/>
      <c r="I555" s="6"/>
      <c r="J555" s="6"/>
      <c r="K555" s="7" t="s">
        <v>1923</v>
      </c>
      <c r="L555" s="8">
        <v>1007219</v>
      </c>
      <c r="M555" s="8" t="str">
        <f t="shared" si="52"/>
        <v>PEN</v>
      </c>
      <c r="N555" s="13"/>
      <c r="O555" s="13">
        <v>533</v>
      </c>
      <c r="P555" s="3">
        <f t="shared" si="53"/>
        <v>0</v>
      </c>
      <c r="Q555" s="3">
        <f t="shared" si="54"/>
        <v>533</v>
      </c>
      <c r="R555" s="3">
        <f t="shared" si="50"/>
        <v>48359.499999999993</v>
      </c>
      <c r="S555" s="24"/>
      <c r="T555" s="24"/>
      <c r="U555" s="53"/>
      <c r="V555" s="25" t="str">
        <f>IFERROR(VLOOKUP(BCP_Soles[[#This Row],[destinatario]],CHOOSE({1,2},Clientes_Proveedores[Razon Social],Clientes_Proveedores[Ruc / Dni]),2,0),"")</f>
        <v/>
      </c>
      <c r="W555" s="25" t="s">
        <v>1389</v>
      </c>
      <c r="X555" s="25"/>
      <c r="Y555" s="25"/>
      <c r="Z555" s="75"/>
      <c r="AA555" s="3" t="str">
        <f>IF(BCP_Soles[[#This Row],[fecha]]&gt;0,TEXT(BCP_Soles[[#This Row],[fecha]],"mmmm"),0)</f>
        <v>Febrero</v>
      </c>
    </row>
    <row r="556" spans="1:27" ht="24" x14ac:dyDescent="0.3">
      <c r="A556" s="2">
        <f>IF(BCP_Soles[[#This Row],[tipo_registro]]="R",COUNTIFS($C$1:$C555,"R")+1,A555)</f>
        <v>384</v>
      </c>
      <c r="B556" s="19" t="str">
        <f t="shared" si="51"/>
        <v>B-BCP - Soles</v>
      </c>
      <c r="C556" s="3" t="s">
        <v>1330</v>
      </c>
      <c r="D556" s="14">
        <v>45702</v>
      </c>
      <c r="E556" s="5" t="s">
        <v>1421</v>
      </c>
      <c r="F556" s="5" t="s">
        <v>1336</v>
      </c>
      <c r="G556" s="6" t="s">
        <v>809</v>
      </c>
      <c r="H556" s="6" t="s">
        <v>143</v>
      </c>
      <c r="I556" s="6">
        <v>1</v>
      </c>
      <c r="J556" s="6">
        <v>782025</v>
      </c>
      <c r="K556" s="7" t="s">
        <v>1356</v>
      </c>
      <c r="L556" s="8">
        <v>3197631</v>
      </c>
      <c r="M556" s="8" t="str">
        <f t="shared" si="52"/>
        <v>PEN</v>
      </c>
      <c r="N556" s="13"/>
      <c r="O556" s="13">
        <v>3000</v>
      </c>
      <c r="P556" s="3">
        <f t="shared" si="53"/>
        <v>0</v>
      </c>
      <c r="Q556" s="3">
        <f t="shared" si="54"/>
        <v>3000</v>
      </c>
      <c r="R556" s="3">
        <f t="shared" si="50"/>
        <v>45359.499999999993</v>
      </c>
      <c r="S556" s="24"/>
      <c r="T556" s="24" t="s">
        <v>1334</v>
      </c>
      <c r="U556" s="53"/>
      <c r="V556" s="25">
        <f>IFERROR(VLOOKUP(BCP_Soles[[#This Row],[destinatario]],CHOOSE({1,2},Clientes_Proveedores[Razon Social],Clientes_Proveedores[Ruc / Dni]),2,0),"")</f>
        <v>45286301</v>
      </c>
      <c r="W556" s="25"/>
      <c r="X556" s="25" t="s">
        <v>1430</v>
      </c>
      <c r="Y556" s="25"/>
      <c r="Z556" s="75"/>
      <c r="AA556" s="3" t="str">
        <f>IF(BCP_Soles[[#This Row],[fecha]]&gt;0,TEXT(BCP_Soles[[#This Row],[fecha]],"mmmm"),0)</f>
        <v>Febrero</v>
      </c>
    </row>
    <row r="557" spans="1:27" x14ac:dyDescent="0.3">
      <c r="A557" s="2">
        <f>IF(BCP_Soles[[#This Row],[tipo_registro]]="R",COUNTIFS($C$1:$C556,"R")+1,A556)</f>
        <v>385</v>
      </c>
      <c r="B557" s="19" t="str">
        <f t="shared" si="51"/>
        <v>B-BCP - Soles</v>
      </c>
      <c r="C557" s="3" t="s">
        <v>1330</v>
      </c>
      <c r="D557" s="14">
        <v>45705</v>
      </c>
      <c r="E557" s="5" t="s">
        <v>1421</v>
      </c>
      <c r="F557" s="5" t="s">
        <v>1336</v>
      </c>
      <c r="G557" s="6" t="s">
        <v>809</v>
      </c>
      <c r="H557" s="6" t="s">
        <v>143</v>
      </c>
      <c r="I557" s="6">
        <v>1</v>
      </c>
      <c r="J557" s="6">
        <v>782025</v>
      </c>
      <c r="K557" s="7" t="s">
        <v>1582</v>
      </c>
      <c r="L557" s="8">
        <v>1002352</v>
      </c>
      <c r="M557" s="8" t="str">
        <f t="shared" si="52"/>
        <v>PEN</v>
      </c>
      <c r="N557" s="13"/>
      <c r="O557" s="13">
        <v>2804.95</v>
      </c>
      <c r="P557" s="3">
        <f t="shared" si="53"/>
        <v>0</v>
      </c>
      <c r="Q557" s="3">
        <f t="shared" si="54"/>
        <v>2804.95</v>
      </c>
      <c r="R557" s="3">
        <f t="shared" si="50"/>
        <v>42554.549999999996</v>
      </c>
      <c r="S557" s="24"/>
      <c r="T557" s="24" t="s">
        <v>1334</v>
      </c>
      <c r="U557" s="53"/>
      <c r="V557" s="25">
        <f>IFERROR(VLOOKUP(BCP_Soles[[#This Row],[destinatario]],CHOOSE({1,2},Clientes_Proveedores[Razon Social],Clientes_Proveedores[Ruc / Dni]),2,0),"")</f>
        <v>45286301</v>
      </c>
      <c r="W557" s="25"/>
      <c r="X557" s="25"/>
      <c r="Y557" s="25"/>
      <c r="Z557" s="75"/>
      <c r="AA557" s="3" t="str">
        <f>IF(BCP_Soles[[#This Row],[fecha]]&gt;0,TEXT(BCP_Soles[[#This Row],[fecha]],"mmmm"),0)</f>
        <v>Febrero</v>
      </c>
    </row>
    <row r="558" spans="1:27" ht="24" x14ac:dyDescent="0.3">
      <c r="A558" s="2">
        <f>IF(BCP_Soles[[#This Row],[tipo_registro]]="R",COUNTIFS($C$1:$C557,"R")+1,A557)</f>
        <v>386</v>
      </c>
      <c r="B558" s="19" t="str">
        <f t="shared" si="51"/>
        <v>B-BCP - Soles</v>
      </c>
      <c r="C558" s="3" t="s">
        <v>1330</v>
      </c>
      <c r="D558" s="14">
        <v>45705</v>
      </c>
      <c r="E558" s="5" t="s">
        <v>1338</v>
      </c>
      <c r="F558" s="5" t="s">
        <v>1336</v>
      </c>
      <c r="G558" s="6" t="s">
        <v>249</v>
      </c>
      <c r="H558" s="6"/>
      <c r="I558" s="6"/>
      <c r="J558" s="6"/>
      <c r="K558" s="7" t="s">
        <v>1924</v>
      </c>
      <c r="L558" s="8">
        <v>1018108</v>
      </c>
      <c r="M558" s="8" t="str">
        <f t="shared" si="52"/>
        <v>PEN</v>
      </c>
      <c r="N558" s="13"/>
      <c r="O558" s="13">
        <v>503.15</v>
      </c>
      <c r="P558" s="3">
        <f t="shared" si="53"/>
        <v>0</v>
      </c>
      <c r="Q558" s="3">
        <f t="shared" si="54"/>
        <v>503.15</v>
      </c>
      <c r="R558" s="3">
        <f t="shared" si="50"/>
        <v>42051.399999999994</v>
      </c>
      <c r="S558" s="24"/>
      <c r="T558" s="24"/>
      <c r="U558" s="53"/>
      <c r="V558" s="25">
        <f>IFERROR(VLOOKUP(BCP_Soles[[#This Row],[destinatario]],CHOOSE({1,2},Clientes_Proveedores[Razon Social],Clientes_Proveedores[Ruc / Dni]),2,0),"")</f>
        <v>20302891452</v>
      </c>
      <c r="W558" s="25" t="s">
        <v>249</v>
      </c>
      <c r="X558" s="25"/>
      <c r="Y558" s="25"/>
      <c r="Z558" s="75"/>
      <c r="AA558" s="3" t="str">
        <f>IF(BCP_Soles[[#This Row],[fecha]]&gt;0,TEXT(BCP_Soles[[#This Row],[fecha]],"mmmm"),0)</f>
        <v>Febrero</v>
      </c>
    </row>
    <row r="559" spans="1:27" x14ac:dyDescent="0.3">
      <c r="A559" s="2">
        <f>IF(BCP_Soles[[#This Row],[tipo_registro]]="R",COUNTIFS($C$1:$C558,"R")+1,A558)</f>
        <v>387</v>
      </c>
      <c r="B559" s="19" t="str">
        <f t="shared" si="51"/>
        <v>B-BCP - Soles</v>
      </c>
      <c r="C559" s="3" t="s">
        <v>1330</v>
      </c>
      <c r="D559" s="14">
        <v>45705</v>
      </c>
      <c r="E559" s="5" t="s">
        <v>1338</v>
      </c>
      <c r="F559" s="5" t="s">
        <v>1336</v>
      </c>
      <c r="G559" s="6" t="s">
        <v>695</v>
      </c>
      <c r="H559" s="6" t="s">
        <v>68</v>
      </c>
      <c r="I559" s="6" t="s">
        <v>1715</v>
      </c>
      <c r="J559" s="6">
        <v>128057</v>
      </c>
      <c r="K559" s="7" t="s">
        <v>1378</v>
      </c>
      <c r="L559" s="8">
        <v>83</v>
      </c>
      <c r="M559" s="8" t="str">
        <f t="shared" si="52"/>
        <v>PEN</v>
      </c>
      <c r="N559" s="13"/>
      <c r="O559" s="13">
        <v>1633.29</v>
      </c>
      <c r="P559" s="3">
        <f t="shared" si="53"/>
        <v>0</v>
      </c>
      <c r="Q559" s="3">
        <f t="shared" si="54"/>
        <v>1633.29</v>
      </c>
      <c r="R559" s="3">
        <f t="shared" si="50"/>
        <v>40418.109999999993</v>
      </c>
      <c r="S559" s="24" t="s">
        <v>1334</v>
      </c>
      <c r="T559" s="24" t="s">
        <v>1334</v>
      </c>
      <c r="U559" s="53"/>
      <c r="V559" s="25">
        <f>IFERROR(VLOOKUP(BCP_Soles[[#This Row],[destinatario]],CHOOSE({1,2},Clientes_Proveedores[Razon Social],Clientes_Proveedores[Ruc / Dni]),2,0),"")</f>
        <v>20127765279</v>
      </c>
      <c r="W559" s="25" t="s">
        <v>1379</v>
      </c>
      <c r="X559" s="25" t="s">
        <v>1925</v>
      </c>
      <c r="Y559" s="25"/>
      <c r="Z559" s="75"/>
      <c r="AA559" s="3" t="str">
        <f>IF(BCP_Soles[[#This Row],[fecha]]&gt;0,TEXT(BCP_Soles[[#This Row],[fecha]],"mmmm"),0)</f>
        <v>Febrero</v>
      </c>
    </row>
    <row r="560" spans="1:27" x14ac:dyDescent="0.3">
      <c r="A560" s="2">
        <f>IF(BCP_Soles[[#This Row],[tipo_registro]]="R",COUNTIFS($C$1:$C559,"R")+1,A559)</f>
        <v>388</v>
      </c>
      <c r="B560" s="19" t="str">
        <f t="shared" si="51"/>
        <v>B-BCP - Soles</v>
      </c>
      <c r="C560" s="3" t="s">
        <v>1330</v>
      </c>
      <c r="D560" s="14">
        <v>45705</v>
      </c>
      <c r="E560" s="5" t="s">
        <v>1338</v>
      </c>
      <c r="F560" s="5" t="s">
        <v>1336</v>
      </c>
      <c r="G560" s="6" t="s">
        <v>695</v>
      </c>
      <c r="H560" s="6" t="s">
        <v>68</v>
      </c>
      <c r="I560" s="6" t="s">
        <v>1715</v>
      </c>
      <c r="J560" s="6">
        <v>128049</v>
      </c>
      <c r="K560" s="7" t="s">
        <v>1378</v>
      </c>
      <c r="L560" s="8">
        <v>9086</v>
      </c>
      <c r="M560" s="8" t="str">
        <f t="shared" si="52"/>
        <v>PEN</v>
      </c>
      <c r="N560" s="13"/>
      <c r="O560" s="13">
        <v>3750.58</v>
      </c>
      <c r="P560" s="3">
        <f t="shared" si="53"/>
        <v>0</v>
      </c>
      <c r="Q560" s="3">
        <f t="shared" si="54"/>
        <v>3750.58</v>
      </c>
      <c r="R560" s="3">
        <f t="shared" si="50"/>
        <v>36667.529999999992</v>
      </c>
      <c r="S560" s="24" t="s">
        <v>1334</v>
      </c>
      <c r="T560" s="24" t="s">
        <v>1334</v>
      </c>
      <c r="U560" s="53"/>
      <c r="V560" s="25">
        <f>IFERROR(VLOOKUP(BCP_Soles[[#This Row],[destinatario]],CHOOSE({1,2},Clientes_Proveedores[Razon Social],Clientes_Proveedores[Ruc / Dni]),2,0),"")</f>
        <v>20127765279</v>
      </c>
      <c r="W560" s="25" t="s">
        <v>1379</v>
      </c>
      <c r="X560" s="25" t="s">
        <v>1926</v>
      </c>
      <c r="Y560" s="25"/>
      <c r="Z560" s="75"/>
      <c r="AA560" s="3" t="str">
        <f>IF(BCP_Soles[[#This Row],[fecha]]&gt;0,TEXT(BCP_Soles[[#This Row],[fecha]],"mmmm"),0)</f>
        <v>Febrero</v>
      </c>
    </row>
    <row r="561" spans="1:27" ht="24" x14ac:dyDescent="0.3">
      <c r="A561" s="2">
        <f>IF(BCP_Soles[[#This Row],[tipo_registro]]="R",COUNTIFS($C$1:$C560,"R")+1,A560)</f>
        <v>389</v>
      </c>
      <c r="B561" s="19" t="str">
        <f t="shared" si="51"/>
        <v>B-BCP - Soles</v>
      </c>
      <c r="C561" s="3" t="s">
        <v>1330</v>
      </c>
      <c r="D561" s="14">
        <v>45705</v>
      </c>
      <c r="E561" s="5" t="s">
        <v>1338</v>
      </c>
      <c r="F561" s="5" t="s">
        <v>1336</v>
      </c>
      <c r="G561" s="6" t="s">
        <v>708</v>
      </c>
      <c r="H561" s="6"/>
      <c r="I561" s="6"/>
      <c r="J561" s="50"/>
      <c r="K561" s="7" t="s">
        <v>1927</v>
      </c>
      <c r="L561" s="8">
        <v>21077</v>
      </c>
      <c r="M561" s="8" t="str">
        <f t="shared" si="52"/>
        <v>PEN</v>
      </c>
      <c r="N561" s="13"/>
      <c r="O561" s="13">
        <v>1091.42</v>
      </c>
      <c r="P561" s="3">
        <f t="shared" si="53"/>
        <v>0</v>
      </c>
      <c r="Q561" s="3">
        <f t="shared" si="54"/>
        <v>1091.42</v>
      </c>
      <c r="R561" s="3">
        <f t="shared" si="50"/>
        <v>35576.109999999993</v>
      </c>
      <c r="S561" s="24" t="s">
        <v>1334</v>
      </c>
      <c r="T561" s="24" t="s">
        <v>1334</v>
      </c>
      <c r="U561" s="53"/>
      <c r="V561" s="25">
        <f>IFERROR(VLOOKUP(BCP_Soles[[#This Row],[destinatario]],CHOOSE({1,2},Clientes_Proveedores[Razon Social],Clientes_Proveedores[Ruc / Dni]),2,0),"")</f>
        <v>20467534026</v>
      </c>
      <c r="W561" s="25" t="s">
        <v>1657</v>
      </c>
      <c r="X561" s="25" t="s">
        <v>1928</v>
      </c>
      <c r="Y561" s="25"/>
      <c r="Z561" s="75"/>
      <c r="AA561" s="3" t="str">
        <f>IF(BCP_Soles[[#This Row],[fecha]]&gt;0,TEXT(BCP_Soles[[#This Row],[fecha]],"mmmm"),0)</f>
        <v>Febrero</v>
      </c>
    </row>
    <row r="562" spans="1:27" ht="24" x14ac:dyDescent="0.3">
      <c r="A562" s="2">
        <f>IF(BCP_Soles[[#This Row],[tipo_registro]]="R",COUNTIFS($C$1:$C561,"R")+1,A561)</f>
        <v>389</v>
      </c>
      <c r="B562" s="19" t="str">
        <f>"B-BCP - Soles"</f>
        <v>B-BCP - Soles</v>
      </c>
      <c r="C562" s="3" t="s">
        <v>1352</v>
      </c>
      <c r="D562" s="14">
        <v>45705</v>
      </c>
      <c r="E562" s="5" t="s">
        <v>1338</v>
      </c>
      <c r="F562" s="5" t="s">
        <v>1336</v>
      </c>
      <c r="G562" s="6" t="s">
        <v>708</v>
      </c>
      <c r="H562" s="6" t="s">
        <v>106</v>
      </c>
      <c r="I562" s="6" t="s">
        <v>1661</v>
      </c>
      <c r="J562" s="50">
        <v>520109127</v>
      </c>
      <c r="K562" s="7" t="s">
        <v>1927</v>
      </c>
      <c r="L562" s="8">
        <v>21077</v>
      </c>
      <c r="M562" s="8" t="str">
        <f>"PEN"</f>
        <v>PEN</v>
      </c>
      <c r="N562" s="13">
        <v>798.2</v>
      </c>
      <c r="O562" s="13"/>
      <c r="P562" s="3">
        <f>+IF(OR($F562="SALDO",$F562="INGRESO"),$O562,0)</f>
        <v>0</v>
      </c>
      <c r="Q562" s="3">
        <f>+IF($F562="EGRESO",$O562,0)</f>
        <v>0</v>
      </c>
      <c r="R562" s="3">
        <f t="shared" si="50"/>
        <v>35576.109999999993</v>
      </c>
      <c r="S562" s="24" t="s">
        <v>1334</v>
      </c>
      <c r="T562" s="24" t="s">
        <v>1334</v>
      </c>
      <c r="U562" s="53"/>
      <c r="V562" s="25">
        <f>IFERROR(VLOOKUP(BCP_Soles[[#This Row],[destinatario]],CHOOSE({1,2},Clientes_Proveedores[Razon Social],Clientes_Proveedores[Ruc / Dni]),2,0),"")</f>
        <v>20467534026</v>
      </c>
      <c r="W562" s="25"/>
      <c r="X562" s="25"/>
      <c r="Y562" s="25"/>
      <c r="Z562" s="75"/>
      <c r="AA562" s="3" t="str">
        <f>IF(BCP_Soles[[#This Row],[fecha]]&gt;0,TEXT(BCP_Soles[[#This Row],[fecha]],"mmmm"),0)</f>
        <v>Febrero</v>
      </c>
    </row>
    <row r="563" spans="1:27" ht="24" x14ac:dyDescent="0.3">
      <c r="A563" s="2">
        <f>IF(BCP_Soles[[#This Row],[tipo_registro]]="R",COUNTIFS($C$1:$C562,"R")+1,A562)</f>
        <v>389</v>
      </c>
      <c r="B563" s="19" t="str">
        <f>"B-BCP - Soles"</f>
        <v>B-BCP - Soles</v>
      </c>
      <c r="C563" s="3" t="s">
        <v>1352</v>
      </c>
      <c r="D563" s="14">
        <v>45705</v>
      </c>
      <c r="E563" s="5" t="s">
        <v>1338</v>
      </c>
      <c r="F563" s="5" t="s">
        <v>1336</v>
      </c>
      <c r="G563" s="6" t="s">
        <v>708</v>
      </c>
      <c r="H563" s="6" t="s">
        <v>68</v>
      </c>
      <c r="I563" s="6" t="s">
        <v>1662</v>
      </c>
      <c r="J563" s="50">
        <v>88790</v>
      </c>
      <c r="K563" s="7" t="s">
        <v>1929</v>
      </c>
      <c r="L563" s="8">
        <v>21077</v>
      </c>
      <c r="M563" s="8" t="str">
        <f>"PEN"</f>
        <v>PEN</v>
      </c>
      <c r="N563" s="13">
        <v>293.22000000000003</v>
      </c>
      <c r="O563" s="13"/>
      <c r="P563" s="3">
        <f>+IF(OR($F563="SALDO",$F563="INGRESO"),$O563,0)</f>
        <v>0</v>
      </c>
      <c r="Q563" s="3">
        <f>+IF($F563="EGRESO",$O563,0)</f>
        <v>0</v>
      </c>
      <c r="R563" s="3">
        <f t="shared" si="50"/>
        <v>35576.109999999993</v>
      </c>
      <c r="S563" s="24" t="s">
        <v>1334</v>
      </c>
      <c r="T563" s="24" t="s">
        <v>1334</v>
      </c>
      <c r="U563" s="53"/>
      <c r="V563" s="25">
        <f>IFERROR(VLOOKUP(BCP_Soles[[#This Row],[destinatario]],CHOOSE({1,2},Clientes_Proveedores[Razon Social],Clientes_Proveedores[Ruc / Dni]),2,0),"")</f>
        <v>20467534026</v>
      </c>
      <c r="W563" s="25"/>
      <c r="X563" s="25"/>
      <c r="Y563" s="25"/>
      <c r="Z563" s="75"/>
      <c r="AA563" s="3" t="str">
        <f>IF(BCP_Soles[[#This Row],[fecha]]&gt;0,TEXT(BCP_Soles[[#This Row],[fecha]],"mmmm"),0)</f>
        <v>Febrero</v>
      </c>
    </row>
    <row r="564" spans="1:27" ht="24" x14ac:dyDescent="0.3">
      <c r="A564" s="2">
        <f>IF(BCP_Soles[[#This Row],[tipo_registro]]="R",COUNTIFS($C$1:$C563,"R")+1,A563)</f>
        <v>390</v>
      </c>
      <c r="B564" s="19" t="str">
        <f t="shared" si="51"/>
        <v>B-BCP - Soles</v>
      </c>
      <c r="C564" s="3" t="s">
        <v>1330</v>
      </c>
      <c r="D564" s="14">
        <v>45705</v>
      </c>
      <c r="E564" s="5" t="s">
        <v>1338</v>
      </c>
      <c r="F564" s="5" t="s">
        <v>1336</v>
      </c>
      <c r="G564" s="6" t="s">
        <v>249</v>
      </c>
      <c r="H564" s="6"/>
      <c r="I564" s="6"/>
      <c r="J564" s="6"/>
      <c r="K564" s="7" t="s">
        <v>1924</v>
      </c>
      <c r="L564" s="8">
        <v>1024084</v>
      </c>
      <c r="M564" s="8" t="str">
        <f t="shared" si="52"/>
        <v>PEN</v>
      </c>
      <c r="N564" s="13"/>
      <c r="O564" s="13">
        <v>827.89</v>
      </c>
      <c r="P564" s="3">
        <f t="shared" si="53"/>
        <v>0</v>
      </c>
      <c r="Q564" s="3">
        <f t="shared" si="54"/>
        <v>827.89</v>
      </c>
      <c r="R564" s="3">
        <f t="shared" si="50"/>
        <v>34748.219999999994</v>
      </c>
      <c r="S564" s="24"/>
      <c r="T564" s="24"/>
      <c r="U564" s="53"/>
      <c r="V564" s="25">
        <f>IFERROR(VLOOKUP(BCP_Soles[[#This Row],[destinatario]],CHOOSE({1,2},Clientes_Proveedores[Razon Social],Clientes_Proveedores[Ruc / Dni]),2,0),"")</f>
        <v>20302891452</v>
      </c>
      <c r="W564" s="25" t="s">
        <v>249</v>
      </c>
      <c r="X564" s="25"/>
      <c r="Y564" s="25"/>
      <c r="Z564" s="75"/>
      <c r="AA564" s="3" t="str">
        <f>IF(BCP_Soles[[#This Row],[fecha]]&gt;0,TEXT(BCP_Soles[[#This Row],[fecha]],"mmmm"),0)</f>
        <v>Febrero</v>
      </c>
    </row>
    <row r="565" spans="1:27" ht="24" x14ac:dyDescent="0.3">
      <c r="A565" s="2">
        <f>IF(BCP_Soles[[#This Row],[tipo_registro]]="R",COUNTIFS($C$1:$C564,"R")+1,A564)</f>
        <v>391</v>
      </c>
      <c r="B565" s="19" t="str">
        <f t="shared" si="51"/>
        <v>B-BCP - Soles</v>
      </c>
      <c r="C565" s="3" t="s">
        <v>1330</v>
      </c>
      <c r="D565" s="14">
        <v>45705</v>
      </c>
      <c r="E565" s="5" t="s">
        <v>1669</v>
      </c>
      <c r="F565" s="5" t="s">
        <v>1303</v>
      </c>
      <c r="G565" s="6" t="s">
        <v>425</v>
      </c>
      <c r="H565" s="6" t="s">
        <v>119</v>
      </c>
      <c r="I565" s="6">
        <v>1</v>
      </c>
      <c r="J565" s="6">
        <v>4146</v>
      </c>
      <c r="K565" s="7" t="s">
        <v>1356</v>
      </c>
      <c r="L565" s="8">
        <v>553474</v>
      </c>
      <c r="M565" s="8" t="str">
        <f t="shared" si="52"/>
        <v>PEN</v>
      </c>
      <c r="N565" s="13"/>
      <c r="O565" s="13">
        <v>1220</v>
      </c>
      <c r="P565" s="3">
        <f t="shared" si="53"/>
        <v>1220</v>
      </c>
      <c r="Q565" s="3">
        <f t="shared" si="54"/>
        <v>0</v>
      </c>
      <c r="R565" s="3">
        <f t="shared" si="50"/>
        <v>35968.219999999994</v>
      </c>
      <c r="S565" s="24" t="s">
        <v>1334</v>
      </c>
      <c r="T565" s="24" t="s">
        <v>1334</v>
      </c>
      <c r="U565" s="53"/>
      <c r="V565" s="25">
        <f>IFERROR(VLOOKUP(BCP_Soles[[#This Row],[destinatario]],CHOOSE({1,2},Clientes_Proveedores[Razon Social],Clientes_Proveedores[Ruc / Dni]),2,0),"")</f>
        <v>20558226979</v>
      </c>
      <c r="W565" s="25" t="s">
        <v>1345</v>
      </c>
      <c r="X565" s="25" t="s">
        <v>1846</v>
      </c>
      <c r="Y565" s="25"/>
      <c r="Z565" s="75"/>
      <c r="AA565" s="3" t="str">
        <f>IF(BCP_Soles[[#This Row],[fecha]]&gt;0,TEXT(BCP_Soles[[#This Row],[fecha]],"mmmm"),0)</f>
        <v>Febrero</v>
      </c>
    </row>
    <row r="566" spans="1:27" ht="24" x14ac:dyDescent="0.3">
      <c r="A566" s="2">
        <f>IF(BCP_Soles[[#This Row],[tipo_registro]]="R",COUNTIFS($C$1:$C565,"R")+1,A565)</f>
        <v>392</v>
      </c>
      <c r="B566" s="19" t="str">
        <f t="shared" si="51"/>
        <v>B-BCP - Soles</v>
      </c>
      <c r="C566" s="3" t="s">
        <v>1330</v>
      </c>
      <c r="D566" s="14">
        <v>45705</v>
      </c>
      <c r="E566" s="5" t="s">
        <v>424</v>
      </c>
      <c r="F566" s="5" t="s">
        <v>1303</v>
      </c>
      <c r="G566" s="6" t="s">
        <v>425</v>
      </c>
      <c r="H566" s="6"/>
      <c r="I566" s="6"/>
      <c r="J566" s="6"/>
      <c r="K566" s="7" t="s">
        <v>1930</v>
      </c>
      <c r="L566" s="8">
        <v>6037351</v>
      </c>
      <c r="M566" s="8" t="str">
        <f t="shared" si="52"/>
        <v>PEN</v>
      </c>
      <c r="N566" s="13"/>
      <c r="O566" s="13">
        <v>301</v>
      </c>
      <c r="P566" s="3">
        <f t="shared" si="53"/>
        <v>301</v>
      </c>
      <c r="Q566" s="3">
        <f t="shared" si="54"/>
        <v>0</v>
      </c>
      <c r="R566" s="3">
        <f t="shared" si="50"/>
        <v>36269.219999999994</v>
      </c>
      <c r="S566" s="24" t="s">
        <v>1334</v>
      </c>
      <c r="T566" s="24" t="s">
        <v>1334</v>
      </c>
      <c r="U566" s="53"/>
      <c r="V566" s="25">
        <f>IFERROR(VLOOKUP(BCP_Soles[[#This Row],[destinatario]],CHOOSE({1,2},Clientes_Proveedores[Razon Social],Clientes_Proveedores[Ruc / Dni]),2,0),"")</f>
        <v>20558226979</v>
      </c>
      <c r="W566" s="25" t="s">
        <v>1345</v>
      </c>
      <c r="X566" s="25" t="s">
        <v>1931</v>
      </c>
      <c r="Y566" s="25"/>
      <c r="Z566" s="75"/>
      <c r="AA566" s="3" t="str">
        <f>IF(BCP_Soles[[#This Row],[fecha]]&gt;0,TEXT(BCP_Soles[[#This Row],[fecha]],"mmmm"),0)</f>
        <v>Febrero</v>
      </c>
    </row>
    <row r="567" spans="1:27" ht="24" x14ac:dyDescent="0.3">
      <c r="A567" s="2">
        <f>IF(BCP_Soles[[#This Row],[tipo_registro]]="R",COUNTIFS($C$1:$C566,"R")+1,A566)</f>
        <v>393</v>
      </c>
      <c r="B567" s="19" t="str">
        <f t="shared" si="51"/>
        <v>B-BCP - Soles</v>
      </c>
      <c r="C567" s="3" t="s">
        <v>1330</v>
      </c>
      <c r="D567" s="14">
        <v>45705</v>
      </c>
      <c r="E567" s="5" t="s">
        <v>642</v>
      </c>
      <c r="F567" s="5" t="s">
        <v>1303</v>
      </c>
      <c r="G567" s="6" t="s">
        <v>425</v>
      </c>
      <c r="H567" s="6"/>
      <c r="I567" s="6"/>
      <c r="J567" s="6"/>
      <c r="K567" s="7" t="s">
        <v>1356</v>
      </c>
      <c r="L567" s="8">
        <v>1471944</v>
      </c>
      <c r="M567" s="8" t="str">
        <f t="shared" si="52"/>
        <v>PEN</v>
      </c>
      <c r="N567" s="13"/>
      <c r="O567" s="13">
        <v>250</v>
      </c>
      <c r="P567" s="3">
        <f t="shared" si="53"/>
        <v>250</v>
      </c>
      <c r="Q567" s="3">
        <f t="shared" si="54"/>
        <v>0</v>
      </c>
      <c r="R567" s="3">
        <f t="shared" si="50"/>
        <v>36519.219999999994</v>
      </c>
      <c r="S567" s="24" t="s">
        <v>1334</v>
      </c>
      <c r="T567" s="24" t="s">
        <v>1334</v>
      </c>
      <c r="U567" s="53"/>
      <c r="V567" s="25">
        <f>IFERROR(VLOOKUP(BCP_Soles[[#This Row],[destinatario]],CHOOSE({1,2},Clientes_Proveedores[Razon Social],Clientes_Proveedores[Ruc / Dni]),2,0),"")</f>
        <v>20558226979</v>
      </c>
      <c r="W567" s="25" t="s">
        <v>1345</v>
      </c>
      <c r="X567" s="25" t="s">
        <v>1932</v>
      </c>
      <c r="Y567" s="25"/>
      <c r="Z567" s="75"/>
      <c r="AA567" s="3" t="str">
        <f>IF(BCP_Soles[[#This Row],[fecha]]&gt;0,TEXT(BCP_Soles[[#This Row],[fecha]],"mmmm"),0)</f>
        <v>Febrero</v>
      </c>
    </row>
    <row r="568" spans="1:27" x14ac:dyDescent="0.3">
      <c r="A568" s="2">
        <f>IF(BCP_Soles[[#This Row],[tipo_registro]]="R",COUNTIFS($C$1:$C567,"R")+1,A567)</f>
        <v>394</v>
      </c>
      <c r="B568" s="19" t="str">
        <f t="shared" si="51"/>
        <v>B-BCP - Soles</v>
      </c>
      <c r="C568" s="3" t="s">
        <v>1330</v>
      </c>
      <c r="D568" s="14">
        <v>45705</v>
      </c>
      <c r="E568" s="5" t="s">
        <v>335</v>
      </c>
      <c r="F568" s="5" t="s">
        <v>1303</v>
      </c>
      <c r="G568" s="6" t="s">
        <v>425</v>
      </c>
      <c r="H568" s="6"/>
      <c r="I568" s="6"/>
      <c r="J568" s="6"/>
      <c r="K568" s="7" t="s">
        <v>1912</v>
      </c>
      <c r="L568" s="8">
        <v>2057482</v>
      </c>
      <c r="M568" s="8" t="str">
        <f t="shared" si="52"/>
        <v>PEN</v>
      </c>
      <c r="N568" s="13"/>
      <c r="O568" s="13">
        <v>42.56</v>
      </c>
      <c r="P568" s="3">
        <f t="shared" si="53"/>
        <v>42.56</v>
      </c>
      <c r="Q568" s="3">
        <f t="shared" si="54"/>
        <v>0</v>
      </c>
      <c r="R568" s="3">
        <f t="shared" si="50"/>
        <v>36561.779999999992</v>
      </c>
      <c r="S568" s="24" t="s">
        <v>1334</v>
      </c>
      <c r="T568" s="24" t="s">
        <v>1334</v>
      </c>
      <c r="U568" s="53"/>
      <c r="V568" s="25">
        <f>IFERROR(VLOOKUP(BCP_Soles[[#This Row],[destinatario]],CHOOSE({1,2},Clientes_Proveedores[Razon Social],Clientes_Proveedores[Ruc / Dni]),2,0),"")</f>
        <v>20558226979</v>
      </c>
      <c r="W568" s="25" t="s">
        <v>1345</v>
      </c>
      <c r="X568" s="25" t="s">
        <v>1933</v>
      </c>
      <c r="Y568" s="25"/>
      <c r="Z568" s="75"/>
      <c r="AA568" s="3" t="str">
        <f>IF(BCP_Soles[[#This Row],[fecha]]&gt;0,TEXT(BCP_Soles[[#This Row],[fecha]],"mmmm"),0)</f>
        <v>Febrero</v>
      </c>
    </row>
    <row r="569" spans="1:27" x14ac:dyDescent="0.3">
      <c r="A569" s="2">
        <f>IF(BCP_Soles[[#This Row],[tipo_registro]]="R",COUNTIFS($C$1:$C568,"R")+1,A568)</f>
        <v>395</v>
      </c>
      <c r="B569" s="19" t="str">
        <f t="shared" si="51"/>
        <v>B-BCP - Soles</v>
      </c>
      <c r="C569" s="3" t="s">
        <v>1330</v>
      </c>
      <c r="D569" s="14">
        <v>45705</v>
      </c>
      <c r="E569" s="5" t="s">
        <v>1338</v>
      </c>
      <c r="F569" s="5" t="s">
        <v>1336</v>
      </c>
      <c r="G569" s="6" t="s">
        <v>414</v>
      </c>
      <c r="H569" s="6" t="s">
        <v>68</v>
      </c>
      <c r="I569" s="6" t="s">
        <v>1374</v>
      </c>
      <c r="J569" s="6">
        <v>13435</v>
      </c>
      <c r="K569" s="7" t="s">
        <v>1934</v>
      </c>
      <c r="L569" s="8">
        <v>1064490</v>
      </c>
      <c r="M569" s="8" t="str">
        <f t="shared" si="52"/>
        <v>PEN</v>
      </c>
      <c r="N569" s="13"/>
      <c r="O569" s="13">
        <v>16549.34</v>
      </c>
      <c r="P569" s="3">
        <f t="shared" si="53"/>
        <v>0</v>
      </c>
      <c r="Q569" s="3">
        <f t="shared" si="54"/>
        <v>16549.34</v>
      </c>
      <c r="R569" s="3">
        <f t="shared" si="50"/>
        <v>20012.439999999991</v>
      </c>
      <c r="S569" s="24" t="s">
        <v>1334</v>
      </c>
      <c r="T569" s="24" t="s">
        <v>1334</v>
      </c>
      <c r="U569" s="53"/>
      <c r="V569" s="25">
        <f>IFERROR(VLOOKUP(BCP_Soles[[#This Row],[destinatario]],CHOOSE({1,2},Clientes_Proveedores[Razon Social],Clientes_Proveedores[Ruc / Dni]),2,0),"")</f>
        <v>20553255709</v>
      </c>
      <c r="W569" s="25" t="s">
        <v>414</v>
      </c>
      <c r="X569" s="25" t="s">
        <v>1935</v>
      </c>
      <c r="Y569" s="25"/>
      <c r="Z569" s="75"/>
      <c r="AA569" s="3" t="str">
        <f>IF(BCP_Soles[[#This Row],[fecha]]&gt;0,TEXT(BCP_Soles[[#This Row],[fecha]],"mmmm"),0)</f>
        <v>Febrero</v>
      </c>
    </row>
    <row r="570" spans="1:27" ht="24" x14ac:dyDescent="0.3">
      <c r="A570" s="2">
        <f>IF(BCP_Soles[[#This Row],[tipo_registro]]="R",COUNTIFS($C$1:$C569,"R")+1,A569)</f>
        <v>396</v>
      </c>
      <c r="B570" s="19" t="str">
        <f t="shared" si="51"/>
        <v>B-BCP - Soles</v>
      </c>
      <c r="C570" s="3" t="s">
        <v>1330</v>
      </c>
      <c r="D570" s="14">
        <v>45705</v>
      </c>
      <c r="E570" s="5" t="s">
        <v>1335</v>
      </c>
      <c r="F570" s="5" t="s">
        <v>1336</v>
      </c>
      <c r="G570" s="6" t="s">
        <v>1060</v>
      </c>
      <c r="H570" s="6" t="s">
        <v>68</v>
      </c>
      <c r="I570" s="6" t="s">
        <v>1397</v>
      </c>
      <c r="J570" s="6">
        <v>29478733</v>
      </c>
      <c r="K570" s="7" t="s">
        <v>1936</v>
      </c>
      <c r="L570" s="8">
        <v>3314498</v>
      </c>
      <c r="M570" s="8" t="str">
        <f t="shared" si="52"/>
        <v>PEN</v>
      </c>
      <c r="N570" s="13"/>
      <c r="O570" s="13">
        <v>2.5</v>
      </c>
      <c r="P570" s="3">
        <f t="shared" si="53"/>
        <v>0</v>
      </c>
      <c r="Q570" s="3">
        <f t="shared" si="54"/>
        <v>2.5</v>
      </c>
      <c r="R570" s="3">
        <f t="shared" si="50"/>
        <v>20009.939999999991</v>
      </c>
      <c r="S570" s="24"/>
      <c r="T570" s="24" t="s">
        <v>1334</v>
      </c>
      <c r="U570" s="53"/>
      <c r="V570" s="25">
        <f>IFERROR(VLOOKUP(BCP_Soles[[#This Row],[destinatario]],CHOOSE({1,2},Clientes_Proveedores[Razon Social],Clientes_Proveedores[Ruc / Dni]),2,0),"")</f>
        <v>20100047218</v>
      </c>
      <c r="W570" s="25" t="s">
        <v>1335</v>
      </c>
      <c r="X570" s="25" t="s">
        <v>1937</v>
      </c>
      <c r="Y570" s="25"/>
      <c r="Z570" s="75"/>
      <c r="AA570" s="3" t="str">
        <f>IF(BCP_Soles[[#This Row],[fecha]]&gt;0,TEXT(BCP_Soles[[#This Row],[fecha]],"mmmm"),0)</f>
        <v>Febrero</v>
      </c>
    </row>
    <row r="571" spans="1:27" x14ac:dyDescent="0.3">
      <c r="A571" s="2">
        <f>IF(BCP_Soles[[#This Row],[tipo_registro]]="R",COUNTIFS($C$1:$C570,"R")+1,A570)</f>
        <v>397</v>
      </c>
      <c r="B571" s="19" t="str">
        <f t="shared" si="51"/>
        <v>B-BCP - Soles</v>
      </c>
      <c r="C571" s="3" t="s">
        <v>1330</v>
      </c>
      <c r="D571" s="14">
        <v>45705</v>
      </c>
      <c r="E571" s="5" t="s">
        <v>1338</v>
      </c>
      <c r="F571" s="5" t="s">
        <v>1336</v>
      </c>
      <c r="G571" s="6" t="s">
        <v>696</v>
      </c>
      <c r="H571" s="6"/>
      <c r="I571" s="6"/>
      <c r="J571" s="6"/>
      <c r="K571" s="7" t="s">
        <v>1938</v>
      </c>
      <c r="L571" s="8">
        <v>3314491</v>
      </c>
      <c r="M571" s="8" t="str">
        <f t="shared" si="52"/>
        <v>PEN</v>
      </c>
      <c r="N571" s="13"/>
      <c r="O571" s="13">
        <v>4907.76</v>
      </c>
      <c r="P571" s="3">
        <f t="shared" si="53"/>
        <v>0</v>
      </c>
      <c r="Q571" s="3">
        <f t="shared" si="54"/>
        <v>4907.76</v>
      </c>
      <c r="R571" s="3">
        <f t="shared" si="50"/>
        <v>15102.179999999991</v>
      </c>
      <c r="S571" s="24" t="s">
        <v>1334</v>
      </c>
      <c r="T571" s="24" t="s">
        <v>1334</v>
      </c>
      <c r="U571" s="53"/>
      <c r="V571" s="25">
        <f>IFERROR(VLOOKUP(BCP_Soles[[#This Row],[destinatario]],CHOOSE({1,2},Clientes_Proveedores[Razon Social],Clientes_Proveedores[Ruc / Dni]),2,0),"")</f>
        <v>0</v>
      </c>
      <c r="W571" s="25" t="s">
        <v>1373</v>
      </c>
      <c r="X571" s="25"/>
      <c r="Y571" s="25"/>
      <c r="Z571" s="75"/>
      <c r="AA571" s="3" t="str">
        <f>IF(BCP_Soles[[#This Row],[fecha]]&gt;0,TEXT(BCP_Soles[[#This Row],[fecha]],"mmmm"),0)</f>
        <v>Febrero</v>
      </c>
    </row>
    <row r="572" spans="1:27" x14ac:dyDescent="0.3">
      <c r="A572" s="2">
        <f>IF(BCP_Soles[[#This Row],[tipo_registro]]="R",COUNTIFS($C$1:$C571,"R")+1,A571)</f>
        <v>397</v>
      </c>
      <c r="B572" s="19" t="str">
        <f t="shared" si="51"/>
        <v>B-BCP - Soles</v>
      </c>
      <c r="C572" s="3" t="s">
        <v>1352</v>
      </c>
      <c r="D572" s="14">
        <v>45705</v>
      </c>
      <c r="E572" s="5" t="s">
        <v>1338</v>
      </c>
      <c r="F572" s="5"/>
      <c r="G572" s="6" t="s">
        <v>346</v>
      </c>
      <c r="H572" s="6" t="s">
        <v>68</v>
      </c>
      <c r="I572" s="6" t="s">
        <v>1461</v>
      </c>
      <c r="J572" s="6">
        <v>38820</v>
      </c>
      <c r="K572" s="7" t="s">
        <v>1938</v>
      </c>
      <c r="L572" s="8">
        <v>3314491</v>
      </c>
      <c r="M572" s="8" t="str">
        <f t="shared" si="52"/>
        <v>PEN</v>
      </c>
      <c r="N572" s="13">
        <v>1285.5</v>
      </c>
      <c r="O572" s="13"/>
      <c r="P572" s="3">
        <f t="shared" si="53"/>
        <v>0</v>
      </c>
      <c r="Q572" s="3">
        <f t="shared" si="54"/>
        <v>0</v>
      </c>
      <c r="R572" s="3">
        <f t="shared" si="50"/>
        <v>15102.179999999991</v>
      </c>
      <c r="S572" s="24"/>
      <c r="T572" s="24" t="s">
        <v>1334</v>
      </c>
      <c r="U572" s="53"/>
      <c r="V572" s="25">
        <f>IFERROR(VLOOKUP(BCP_Soles[[#This Row],[destinatario]],CHOOSE({1,2},Clientes_Proveedores[Razon Social],Clientes_Proveedores[Ruc / Dni]),2,0),"")</f>
        <v>20505675836</v>
      </c>
      <c r="W572" s="25"/>
      <c r="X572" s="25"/>
      <c r="Y572" s="25"/>
      <c r="Z572" s="75"/>
      <c r="AA572" s="3" t="str">
        <f>IF(BCP_Soles[[#This Row],[fecha]]&gt;0,TEXT(BCP_Soles[[#This Row],[fecha]],"mmmm"),0)</f>
        <v>Febrero</v>
      </c>
    </row>
    <row r="573" spans="1:27" x14ac:dyDescent="0.3">
      <c r="A573" s="2">
        <f>IF(BCP_Soles[[#This Row],[tipo_registro]]="R",COUNTIFS($C$1:$C572,"R")+1,A572)</f>
        <v>397</v>
      </c>
      <c r="B573" s="19" t="str">
        <f t="shared" si="51"/>
        <v>B-BCP - Soles</v>
      </c>
      <c r="C573" s="3" t="s">
        <v>1352</v>
      </c>
      <c r="D573" s="14">
        <v>45705</v>
      </c>
      <c r="E573" s="5" t="s">
        <v>1338</v>
      </c>
      <c r="F573" s="5"/>
      <c r="G573" s="6" t="s">
        <v>346</v>
      </c>
      <c r="H573" s="6" t="s">
        <v>68</v>
      </c>
      <c r="I573" s="6" t="s">
        <v>1461</v>
      </c>
      <c r="J573" s="6">
        <v>38821</v>
      </c>
      <c r="K573" s="7" t="s">
        <v>1938</v>
      </c>
      <c r="L573" s="8">
        <v>3314491</v>
      </c>
      <c r="M573" s="8" t="str">
        <f t="shared" si="52"/>
        <v>PEN</v>
      </c>
      <c r="N573" s="13">
        <v>340.4</v>
      </c>
      <c r="O573" s="13"/>
      <c r="P573" s="3">
        <f t="shared" si="53"/>
        <v>0</v>
      </c>
      <c r="Q573" s="3">
        <f t="shared" si="54"/>
        <v>0</v>
      </c>
      <c r="R573" s="3">
        <f t="shared" si="50"/>
        <v>15102.179999999991</v>
      </c>
      <c r="S573" s="24"/>
      <c r="T573" s="24" t="s">
        <v>1334</v>
      </c>
      <c r="U573" s="53"/>
      <c r="V573" s="25">
        <f>IFERROR(VLOOKUP(BCP_Soles[[#This Row],[destinatario]],CHOOSE({1,2},Clientes_Proveedores[Razon Social],Clientes_Proveedores[Ruc / Dni]),2,0),"")</f>
        <v>20505675836</v>
      </c>
      <c r="W573" s="25"/>
      <c r="X573" s="25"/>
      <c r="Y573" s="25"/>
      <c r="Z573" s="75"/>
      <c r="AA573" s="3" t="str">
        <f>IF(BCP_Soles[[#This Row],[fecha]]&gt;0,TEXT(BCP_Soles[[#This Row],[fecha]],"mmmm"),0)</f>
        <v>Febrero</v>
      </c>
    </row>
    <row r="574" spans="1:27" ht="24" x14ac:dyDescent="0.3">
      <c r="A574" s="2">
        <f>IF(BCP_Soles[[#This Row],[tipo_registro]]="R",COUNTIFS($C$1:$C573,"R")+1,A573)</f>
        <v>397</v>
      </c>
      <c r="B574" s="19" t="str">
        <f t="shared" si="51"/>
        <v>B-BCP - Soles</v>
      </c>
      <c r="C574" s="3" t="s">
        <v>1352</v>
      </c>
      <c r="D574" s="14">
        <v>45705</v>
      </c>
      <c r="E574" s="5" t="s">
        <v>1338</v>
      </c>
      <c r="F574" s="5"/>
      <c r="G574" s="6" t="s">
        <v>271</v>
      </c>
      <c r="H574" s="6" t="s">
        <v>68</v>
      </c>
      <c r="I574" s="6" t="s">
        <v>1375</v>
      </c>
      <c r="J574" s="6">
        <v>6854</v>
      </c>
      <c r="K574" s="7" t="s">
        <v>1938</v>
      </c>
      <c r="L574" s="8">
        <v>3314491</v>
      </c>
      <c r="M574" s="8" t="str">
        <f t="shared" si="52"/>
        <v>PEN</v>
      </c>
      <c r="N574" s="13">
        <v>542.1</v>
      </c>
      <c r="O574" s="13"/>
      <c r="P574" s="3">
        <f t="shared" si="53"/>
        <v>0</v>
      </c>
      <c r="Q574" s="3">
        <f t="shared" si="54"/>
        <v>0</v>
      </c>
      <c r="R574" s="3">
        <f t="shared" si="50"/>
        <v>15102.179999999991</v>
      </c>
      <c r="S574" s="24"/>
      <c r="T574" s="24" t="s">
        <v>1334</v>
      </c>
      <c r="U574" s="53"/>
      <c r="V574" s="25">
        <f>IFERROR(VLOOKUP(BCP_Soles[[#This Row],[destinatario]],CHOOSE({1,2},Clientes_Proveedores[Razon Social],Clientes_Proveedores[Ruc / Dni]),2,0),"")</f>
        <v>20419158462</v>
      </c>
      <c r="W574" s="25"/>
      <c r="X574" s="25"/>
      <c r="Y574" s="25"/>
      <c r="Z574" s="75"/>
      <c r="AA574" s="3" t="str">
        <f>IF(BCP_Soles[[#This Row],[fecha]]&gt;0,TEXT(BCP_Soles[[#This Row],[fecha]],"mmmm"),0)</f>
        <v>Febrero</v>
      </c>
    </row>
    <row r="575" spans="1:27" x14ac:dyDescent="0.3">
      <c r="A575" s="2">
        <f>IF(BCP_Soles[[#This Row],[tipo_registro]]="R",COUNTIFS($C$1:$C574,"R")+1,A574)</f>
        <v>397</v>
      </c>
      <c r="B575" s="19" t="str">
        <f t="shared" si="51"/>
        <v>B-BCP - Soles</v>
      </c>
      <c r="C575" s="3" t="s">
        <v>1352</v>
      </c>
      <c r="D575" s="14">
        <v>45705</v>
      </c>
      <c r="E575" s="5" t="s">
        <v>1338</v>
      </c>
      <c r="F575" s="5"/>
      <c r="G575" s="6" t="s">
        <v>286</v>
      </c>
      <c r="H575" s="6" t="s">
        <v>68</v>
      </c>
      <c r="I575" s="6" t="s">
        <v>1390</v>
      </c>
      <c r="J575" s="6">
        <v>612</v>
      </c>
      <c r="K575" s="7" t="s">
        <v>1938</v>
      </c>
      <c r="L575" s="8">
        <v>3314491</v>
      </c>
      <c r="M575" s="8" t="str">
        <f t="shared" si="52"/>
        <v>PEN</v>
      </c>
      <c r="N575" s="13">
        <v>2276.61</v>
      </c>
      <c r="O575" s="13"/>
      <c r="P575" s="3">
        <f t="shared" si="53"/>
        <v>0</v>
      </c>
      <c r="Q575" s="3">
        <f t="shared" si="54"/>
        <v>0</v>
      </c>
      <c r="R575" s="3">
        <f t="shared" si="50"/>
        <v>15102.179999999991</v>
      </c>
      <c r="S575" s="24"/>
      <c r="T575" s="24" t="s">
        <v>1334</v>
      </c>
      <c r="U575" s="53"/>
      <c r="V575" s="25">
        <f>IFERROR(VLOOKUP(BCP_Soles[[#This Row],[destinatario]],CHOOSE({1,2},Clientes_Proveedores[Razon Social],Clientes_Proveedores[Ruc / Dni]),2,0),"")</f>
        <v>20454186002</v>
      </c>
      <c r="W575" s="25"/>
      <c r="X575" s="25"/>
      <c r="Y575" s="25"/>
      <c r="Z575" s="75"/>
      <c r="AA575" s="3" t="str">
        <f>IF(BCP_Soles[[#This Row],[fecha]]&gt;0,TEXT(BCP_Soles[[#This Row],[fecha]],"mmmm"),0)</f>
        <v>Febrero</v>
      </c>
    </row>
    <row r="576" spans="1:27" x14ac:dyDescent="0.3">
      <c r="A576" s="2">
        <f>IF(BCP_Soles[[#This Row],[tipo_registro]]="R",COUNTIFS($C$1:$C575,"R")+1,A575)</f>
        <v>397</v>
      </c>
      <c r="B576" s="19" t="str">
        <f t="shared" si="51"/>
        <v>B-BCP - Soles</v>
      </c>
      <c r="C576" s="3" t="s">
        <v>1352</v>
      </c>
      <c r="D576" s="14">
        <v>45705</v>
      </c>
      <c r="E576" s="5" t="s">
        <v>1338</v>
      </c>
      <c r="F576" s="5"/>
      <c r="G576" s="6" t="s">
        <v>522</v>
      </c>
      <c r="H576" s="6" t="s">
        <v>68</v>
      </c>
      <c r="I576" s="6" t="s">
        <v>1376</v>
      </c>
      <c r="J576" s="6">
        <v>3680</v>
      </c>
      <c r="K576" s="7" t="s">
        <v>1938</v>
      </c>
      <c r="L576" s="8">
        <v>3314491</v>
      </c>
      <c r="M576" s="8" t="str">
        <f t="shared" si="52"/>
        <v>PEN</v>
      </c>
      <c r="N576" s="13">
        <v>250.75</v>
      </c>
      <c r="O576" s="13"/>
      <c r="P576" s="3">
        <f t="shared" si="53"/>
        <v>0</v>
      </c>
      <c r="Q576" s="3">
        <f t="shared" si="54"/>
        <v>0</v>
      </c>
      <c r="R576" s="3">
        <f t="shared" si="50"/>
        <v>15102.179999999991</v>
      </c>
      <c r="S576" s="24"/>
      <c r="T576" s="24" t="s">
        <v>1334</v>
      </c>
      <c r="U576" s="53"/>
      <c r="V576" s="25">
        <f>IFERROR(VLOOKUP(BCP_Soles[[#This Row],[destinatario]],CHOOSE({1,2},Clientes_Proveedores[Razon Social],Clientes_Proveedores[Ruc / Dni]),2,0),"")</f>
        <v>20603974817</v>
      </c>
      <c r="W576" s="25"/>
      <c r="X576" s="25"/>
      <c r="Y576" s="25"/>
      <c r="Z576" s="75"/>
      <c r="AA576" s="3" t="str">
        <f>IF(BCP_Soles[[#This Row],[fecha]]&gt;0,TEXT(BCP_Soles[[#This Row],[fecha]],"mmmm"),0)</f>
        <v>Febrero</v>
      </c>
    </row>
    <row r="577" spans="1:27" ht="24" x14ac:dyDescent="0.3">
      <c r="A577" s="2">
        <f>IF(BCP_Soles[[#This Row],[tipo_registro]]="R",COUNTIFS($C$1:$C576,"R")+1,A576)</f>
        <v>397</v>
      </c>
      <c r="B577" s="19" t="str">
        <f t="shared" si="51"/>
        <v>B-BCP - Soles</v>
      </c>
      <c r="C577" s="3" t="s">
        <v>1352</v>
      </c>
      <c r="D577" s="14">
        <v>45705</v>
      </c>
      <c r="E577" s="5" t="s">
        <v>1338</v>
      </c>
      <c r="F577" s="5"/>
      <c r="G577" s="6" t="s">
        <v>594</v>
      </c>
      <c r="H577" s="6" t="s">
        <v>68</v>
      </c>
      <c r="I577" s="6" t="s">
        <v>1376</v>
      </c>
      <c r="J577" s="6">
        <v>1952</v>
      </c>
      <c r="K577" s="7" t="s">
        <v>1938</v>
      </c>
      <c r="L577" s="8">
        <v>3314491</v>
      </c>
      <c r="M577" s="8" t="str">
        <f t="shared" si="52"/>
        <v>PEN</v>
      </c>
      <c r="N577" s="13">
        <v>212.4</v>
      </c>
      <c r="O577" s="13"/>
      <c r="P577" s="3">
        <f t="shared" si="53"/>
        <v>0</v>
      </c>
      <c r="Q577" s="3">
        <f t="shared" si="54"/>
        <v>0</v>
      </c>
      <c r="R577" s="3">
        <f t="shared" si="50"/>
        <v>15102.179999999991</v>
      </c>
      <c r="S577" s="24"/>
      <c r="T577" s="24" t="s">
        <v>1334</v>
      </c>
      <c r="U577" s="53"/>
      <c r="V577" s="25">
        <f>IFERROR(VLOOKUP(BCP_Soles[[#This Row],[destinatario]],CHOOSE({1,2},Clientes_Proveedores[Razon Social],Clientes_Proveedores[Ruc / Dni]),2,0),"")</f>
        <v>20609764261</v>
      </c>
      <c r="W577" s="25"/>
      <c r="X577" s="25"/>
      <c r="Y577" s="25"/>
      <c r="Z577" s="75"/>
      <c r="AA577" s="3" t="str">
        <f>IF(BCP_Soles[[#This Row],[fecha]]&gt;0,TEXT(BCP_Soles[[#This Row],[fecha]],"mmmm"),0)</f>
        <v>Febrero</v>
      </c>
    </row>
    <row r="578" spans="1:27" ht="24" x14ac:dyDescent="0.3">
      <c r="A578" s="2">
        <f>IF(BCP_Soles[[#This Row],[tipo_registro]]="R",COUNTIFS($C$1:$C577,"R")+1,A577)</f>
        <v>398</v>
      </c>
      <c r="B578" s="19" t="str">
        <f t="shared" si="51"/>
        <v>B-BCP - Soles</v>
      </c>
      <c r="C578" s="3" t="s">
        <v>1330</v>
      </c>
      <c r="D578" s="14">
        <v>45705</v>
      </c>
      <c r="E578" s="5" t="s">
        <v>1338</v>
      </c>
      <c r="F578" s="5" t="s">
        <v>1336</v>
      </c>
      <c r="G578" s="6" t="s">
        <v>857</v>
      </c>
      <c r="H578" s="6" t="s">
        <v>143</v>
      </c>
      <c r="I578" s="6">
        <v>1</v>
      </c>
      <c r="J578" s="6">
        <v>152025</v>
      </c>
      <c r="K578" s="7" t="s">
        <v>1939</v>
      </c>
      <c r="L578" s="8">
        <v>1009632</v>
      </c>
      <c r="M578" s="8" t="str">
        <f t="shared" si="52"/>
        <v>PEN</v>
      </c>
      <c r="N578" s="13"/>
      <c r="O578" s="13">
        <v>147</v>
      </c>
      <c r="P578" s="3">
        <f t="shared" si="53"/>
        <v>0</v>
      </c>
      <c r="Q578" s="3">
        <f t="shared" si="54"/>
        <v>147</v>
      </c>
      <c r="R578" s="3">
        <f t="shared" si="50"/>
        <v>14955.179999999991</v>
      </c>
      <c r="S578" s="24" t="s">
        <v>1334</v>
      </c>
      <c r="T578" s="24" t="s">
        <v>1334</v>
      </c>
      <c r="U578" s="53"/>
      <c r="V578" s="25">
        <f>IFERROR(VLOOKUP(BCP_Soles[[#This Row],[destinatario]],CHOOSE({1,2},Clientes_Proveedores[Razon Social],Clientes_Proveedores[Ruc / Dni]),2,0),"")</f>
        <v>70666331</v>
      </c>
      <c r="W578" s="25"/>
      <c r="X578" s="25"/>
      <c r="Y578" s="25"/>
      <c r="Z578" s="75"/>
      <c r="AA578" s="3" t="str">
        <f>IF(BCP_Soles[[#This Row],[fecha]]&gt;0,TEXT(BCP_Soles[[#This Row],[fecha]],"mmmm"),0)</f>
        <v>Febrero</v>
      </c>
    </row>
    <row r="579" spans="1:27" ht="24" x14ac:dyDescent="0.3">
      <c r="A579" s="2">
        <f>IF(BCP_Soles[[#This Row],[tipo_registro]]="R",COUNTIFS($C$1:$C578,"R")+1,A578)</f>
        <v>399</v>
      </c>
      <c r="B579" s="19" t="str">
        <f t="shared" si="51"/>
        <v>B-BCP - Soles</v>
      </c>
      <c r="C579" s="3" t="s">
        <v>1330</v>
      </c>
      <c r="D579" s="14">
        <v>45705</v>
      </c>
      <c r="E579" s="5" t="s">
        <v>1338</v>
      </c>
      <c r="F579" s="5" t="s">
        <v>1336</v>
      </c>
      <c r="G579" s="6" t="s">
        <v>857</v>
      </c>
      <c r="H579" s="6" t="s">
        <v>143</v>
      </c>
      <c r="I579" s="6">
        <v>1</v>
      </c>
      <c r="J579" s="6">
        <v>52025</v>
      </c>
      <c r="K579" s="7" t="s">
        <v>1940</v>
      </c>
      <c r="L579" s="8">
        <v>1062658</v>
      </c>
      <c r="M579" s="8" t="str">
        <f t="shared" si="52"/>
        <v>PEN</v>
      </c>
      <c r="N579" s="13"/>
      <c r="O579" s="13">
        <v>21</v>
      </c>
      <c r="P579" s="3">
        <f t="shared" si="53"/>
        <v>0</v>
      </c>
      <c r="Q579" s="3">
        <f t="shared" si="54"/>
        <v>21</v>
      </c>
      <c r="R579" s="3">
        <f t="shared" si="50"/>
        <v>14934.179999999991</v>
      </c>
      <c r="S579" s="24" t="s">
        <v>1334</v>
      </c>
      <c r="T579" s="24" t="s">
        <v>1334</v>
      </c>
      <c r="U579" s="53"/>
      <c r="V579" s="25">
        <f>IFERROR(VLOOKUP(BCP_Soles[[#This Row],[destinatario]],CHOOSE({1,2},Clientes_Proveedores[Razon Social],Clientes_Proveedores[Ruc / Dni]),2,0),"")</f>
        <v>70666331</v>
      </c>
      <c r="W579" s="25"/>
      <c r="X579" s="25"/>
      <c r="Y579" s="25"/>
      <c r="Z579" s="75"/>
      <c r="AA579" s="3" t="str">
        <f>IF(BCP_Soles[[#This Row],[fecha]]&gt;0,TEXT(BCP_Soles[[#This Row],[fecha]],"mmmm"),0)</f>
        <v>Febrero</v>
      </c>
    </row>
    <row r="580" spans="1:27" x14ac:dyDescent="0.3">
      <c r="A580" s="2">
        <f>IF(BCP_Soles[[#This Row],[tipo_registro]]="R",COUNTIFS($C$1:$C579,"R")+1,A579)</f>
        <v>400</v>
      </c>
      <c r="B580" s="19" t="str">
        <f t="shared" si="51"/>
        <v>B-BCP - Soles</v>
      </c>
      <c r="C580" s="3" t="s">
        <v>1330</v>
      </c>
      <c r="D580" s="14">
        <v>45705</v>
      </c>
      <c r="E580" s="5"/>
      <c r="F580" s="5" t="s">
        <v>1303</v>
      </c>
      <c r="G580" s="6" t="s">
        <v>425</v>
      </c>
      <c r="H580" s="6"/>
      <c r="I580" s="6"/>
      <c r="J580" s="6"/>
      <c r="K580" s="7" t="s">
        <v>1356</v>
      </c>
      <c r="L580" s="8">
        <v>4616761</v>
      </c>
      <c r="M580" s="8" t="str">
        <f t="shared" si="52"/>
        <v>PEN</v>
      </c>
      <c r="N580" s="13"/>
      <c r="O580" s="13">
        <v>250</v>
      </c>
      <c r="P580" s="3">
        <f t="shared" si="53"/>
        <v>250</v>
      </c>
      <c r="Q580" s="3">
        <f t="shared" si="54"/>
        <v>0</v>
      </c>
      <c r="R580" s="3">
        <f t="shared" si="50"/>
        <v>15184.179999999991</v>
      </c>
      <c r="S580" s="24"/>
      <c r="T580" s="24"/>
      <c r="U580" s="53"/>
      <c r="V580" s="25">
        <f>IFERROR(VLOOKUP(BCP_Soles[[#This Row],[destinatario]],CHOOSE({1,2},Clientes_Proveedores[Razon Social],Clientes_Proveedores[Ruc / Dni]),2,0),"")</f>
        <v>20558226979</v>
      </c>
      <c r="W580" s="25" t="s">
        <v>1345</v>
      </c>
      <c r="X580" s="25"/>
      <c r="Y580" s="25"/>
      <c r="Z580" s="75"/>
      <c r="AA580" s="3" t="str">
        <f>IF(BCP_Soles[[#This Row],[fecha]]&gt;0,TEXT(BCP_Soles[[#This Row],[fecha]],"mmmm"),0)</f>
        <v>Febrero</v>
      </c>
    </row>
    <row r="581" spans="1:27" x14ac:dyDescent="0.3">
      <c r="A581" s="2">
        <f>IF(BCP_Soles[[#This Row],[tipo_registro]]="R",COUNTIFS($C$1:$C580,"R")+1,A580)</f>
        <v>401</v>
      </c>
      <c r="B581" s="19" t="str">
        <f t="shared" si="51"/>
        <v>B-BCP - Soles</v>
      </c>
      <c r="C581" s="3" t="s">
        <v>1330</v>
      </c>
      <c r="D581" s="14">
        <v>45705</v>
      </c>
      <c r="E581" s="5" t="s">
        <v>1335</v>
      </c>
      <c r="F581" s="5" t="s">
        <v>1336</v>
      </c>
      <c r="G581" s="6"/>
      <c r="H581" s="6"/>
      <c r="I581" s="6"/>
      <c r="J581" s="6"/>
      <c r="K581" s="7" t="s">
        <v>1337</v>
      </c>
      <c r="L581" s="8"/>
      <c r="M581" s="8" t="str">
        <f t="shared" si="52"/>
        <v>PEN</v>
      </c>
      <c r="N581" s="13"/>
      <c r="O581" s="13">
        <v>1.1499999999999999</v>
      </c>
      <c r="P581" s="3">
        <f t="shared" si="53"/>
        <v>0</v>
      </c>
      <c r="Q581" s="3">
        <f t="shared" si="54"/>
        <v>1.1499999999999999</v>
      </c>
      <c r="R581" s="3">
        <f t="shared" si="50"/>
        <v>15183.029999999992</v>
      </c>
      <c r="S581" s="24"/>
      <c r="T581" s="24" t="s">
        <v>1334</v>
      </c>
      <c r="U581" s="53"/>
      <c r="V581" s="25" t="str">
        <f>IFERROR(VLOOKUP(BCP_Soles[[#This Row],[destinatario]],CHOOSE({1,2},Clientes_Proveedores[Razon Social],Clientes_Proveedores[Ruc / Dni]),2,0),"")</f>
        <v/>
      </c>
      <c r="W581" s="25"/>
      <c r="X581" s="25"/>
      <c r="Y581" s="25"/>
      <c r="Z581" s="75"/>
      <c r="AA581" s="3" t="str">
        <f>IF(BCP_Soles[[#This Row],[fecha]]&gt;0,TEXT(BCP_Soles[[#This Row],[fecha]],"mmmm"),0)</f>
        <v>Febrero</v>
      </c>
    </row>
    <row r="582" spans="1:27" ht="24" x14ac:dyDescent="0.3">
      <c r="A582" s="2">
        <f>IF(BCP_Soles[[#This Row],[tipo_registro]]="R",COUNTIFS($C$1:$C581,"R")+1,A581)</f>
        <v>402</v>
      </c>
      <c r="B582" s="19" t="str">
        <f t="shared" si="51"/>
        <v>B-BCP - Soles</v>
      </c>
      <c r="C582" s="3" t="s">
        <v>1330</v>
      </c>
      <c r="D582" s="14">
        <v>45705</v>
      </c>
      <c r="E582" s="5" t="s">
        <v>1335</v>
      </c>
      <c r="F582" s="5" t="s">
        <v>1336</v>
      </c>
      <c r="G582" s="6" t="s">
        <v>1060</v>
      </c>
      <c r="H582" s="6" t="s">
        <v>68</v>
      </c>
      <c r="I582" s="6" t="s">
        <v>1397</v>
      </c>
      <c r="J582" s="6">
        <v>29773782</v>
      </c>
      <c r="K582" s="7" t="s">
        <v>1552</v>
      </c>
      <c r="L582" s="8">
        <v>961974</v>
      </c>
      <c r="M582" s="8" t="str">
        <f t="shared" si="52"/>
        <v>PEN</v>
      </c>
      <c r="N582" s="13"/>
      <c r="O582" s="13">
        <v>10</v>
      </c>
      <c r="P582" s="3">
        <f t="shared" si="53"/>
        <v>0</v>
      </c>
      <c r="Q582" s="3">
        <f t="shared" si="54"/>
        <v>10</v>
      </c>
      <c r="R582" s="3">
        <f t="shared" si="50"/>
        <v>15173.029999999992</v>
      </c>
      <c r="S582" s="24"/>
      <c r="T582" s="24" t="s">
        <v>1334</v>
      </c>
      <c r="U582" s="53"/>
      <c r="V582" s="25">
        <f>IFERROR(VLOOKUP(BCP_Soles[[#This Row],[destinatario]],CHOOSE({1,2},Clientes_Proveedores[Razon Social],Clientes_Proveedores[Ruc / Dni]),2,0),"")</f>
        <v>20100047218</v>
      </c>
      <c r="W582" s="25" t="s">
        <v>1335</v>
      </c>
      <c r="X582" s="25" t="s">
        <v>1941</v>
      </c>
      <c r="Y582" s="25"/>
      <c r="Z582" s="75"/>
      <c r="AA582" s="3" t="str">
        <f>IF(BCP_Soles[[#This Row],[fecha]]&gt;0,TEXT(BCP_Soles[[#This Row],[fecha]],"mmmm"),0)</f>
        <v>Febrero</v>
      </c>
    </row>
    <row r="583" spans="1:27" x14ac:dyDescent="0.3">
      <c r="A583" s="2">
        <f>IF(BCP_Soles[[#This Row],[tipo_registro]]="R",COUNTIFS($C$1:$C582,"R")+1,A582)</f>
        <v>403</v>
      </c>
      <c r="B583" s="19" t="str">
        <f t="shared" si="51"/>
        <v>B-BCP - Soles</v>
      </c>
      <c r="C583" s="3" t="s">
        <v>1330</v>
      </c>
      <c r="D583" s="14">
        <v>45705</v>
      </c>
      <c r="E583" s="5" t="s">
        <v>1338</v>
      </c>
      <c r="F583" s="5" t="s">
        <v>1336</v>
      </c>
      <c r="G583" s="6"/>
      <c r="H583" s="6"/>
      <c r="I583" s="6"/>
      <c r="J583" s="6"/>
      <c r="K583" s="7" t="s">
        <v>1942</v>
      </c>
      <c r="L583" s="8">
        <v>102481</v>
      </c>
      <c r="M583" s="8" t="str">
        <f t="shared" si="52"/>
        <v>PEN</v>
      </c>
      <c r="N583" s="13"/>
      <c r="O583" s="13">
        <v>676.47</v>
      </c>
      <c r="P583" s="3">
        <f t="shared" si="53"/>
        <v>0</v>
      </c>
      <c r="Q583" s="3">
        <f t="shared" si="54"/>
        <v>676.47</v>
      </c>
      <c r="R583" s="3">
        <f t="shared" si="50"/>
        <v>14496.559999999992</v>
      </c>
      <c r="S583" s="24" t="s">
        <v>1334</v>
      </c>
      <c r="T583" s="24" t="s">
        <v>1334</v>
      </c>
      <c r="U583" s="53"/>
      <c r="V583" s="25" t="str">
        <f>IFERROR(VLOOKUP(BCP_Soles[[#This Row],[destinatario]],CHOOSE({1,2},Clientes_Proveedores[Razon Social],Clientes_Proveedores[Ruc / Dni]),2,0),"")</f>
        <v/>
      </c>
      <c r="W583" s="25" t="s">
        <v>1943</v>
      </c>
      <c r="X583" s="25" t="s">
        <v>1944</v>
      </c>
      <c r="Y583" s="25"/>
      <c r="Z583" s="75"/>
      <c r="AA583" s="3" t="str">
        <f>IF(BCP_Soles[[#This Row],[fecha]]&gt;0,TEXT(BCP_Soles[[#This Row],[fecha]],"mmmm"),0)</f>
        <v>Febrero</v>
      </c>
    </row>
    <row r="584" spans="1:27" ht="24" x14ac:dyDescent="0.3">
      <c r="A584" s="2">
        <f>IF(BCP_Soles[[#This Row],[tipo_registro]]="R",COUNTIFS($C$1:$C583,"R")+1,A583)</f>
        <v>404</v>
      </c>
      <c r="B584" s="19" t="str">
        <f t="shared" si="51"/>
        <v>B-BCP - Soles</v>
      </c>
      <c r="C584" s="3" t="s">
        <v>1330</v>
      </c>
      <c r="D584" s="14">
        <v>45706</v>
      </c>
      <c r="E584" s="5" t="s">
        <v>1945</v>
      </c>
      <c r="F584" s="5" t="s">
        <v>1303</v>
      </c>
      <c r="G584" s="6" t="s">
        <v>425</v>
      </c>
      <c r="H584" s="6" t="s">
        <v>119</v>
      </c>
      <c r="I584" s="6">
        <v>2</v>
      </c>
      <c r="J584" s="6">
        <v>719</v>
      </c>
      <c r="K584" s="7" t="s">
        <v>1356</v>
      </c>
      <c r="L584" s="8">
        <v>3392374</v>
      </c>
      <c r="M584" s="8" t="str">
        <f t="shared" si="52"/>
        <v>PEN</v>
      </c>
      <c r="N584" s="13"/>
      <c r="O584" s="13">
        <v>1318</v>
      </c>
      <c r="P584" s="3">
        <f t="shared" si="53"/>
        <v>1318</v>
      </c>
      <c r="Q584" s="3">
        <f t="shared" si="54"/>
        <v>0</v>
      </c>
      <c r="R584" s="3">
        <f t="shared" si="50"/>
        <v>15814.559999999992</v>
      </c>
      <c r="S584" s="24" t="s">
        <v>1334</v>
      </c>
      <c r="T584" s="24" t="s">
        <v>1334</v>
      </c>
      <c r="U584" s="53"/>
      <c r="V584" s="25">
        <f>IFERROR(VLOOKUP(BCP_Soles[[#This Row],[destinatario]],CHOOSE({1,2},Clientes_Proveedores[Razon Social],Clientes_Proveedores[Ruc / Dni]),2,0),"")</f>
        <v>20558226979</v>
      </c>
      <c r="W584" s="25" t="s">
        <v>1345</v>
      </c>
      <c r="X584" s="25" t="s">
        <v>1946</v>
      </c>
      <c r="Y584" s="25"/>
      <c r="Z584" s="75"/>
      <c r="AA584" s="3" t="str">
        <f>IF(BCP_Soles[[#This Row],[fecha]]&gt;0,TEXT(BCP_Soles[[#This Row],[fecha]],"mmmm"),0)</f>
        <v>Febrero</v>
      </c>
    </row>
    <row r="585" spans="1:27" ht="60" x14ac:dyDescent="0.3">
      <c r="A585" s="2">
        <f>IF(BCP_Soles[[#This Row],[tipo_registro]]="R",COUNTIFS($C$1:$C584,"R")+1,A584)</f>
        <v>405</v>
      </c>
      <c r="B585" s="19" t="str">
        <f t="shared" si="51"/>
        <v>B-BCP - Soles</v>
      </c>
      <c r="C585" s="3" t="s">
        <v>1330</v>
      </c>
      <c r="D585" s="14">
        <v>45706</v>
      </c>
      <c r="E585" s="5" t="s">
        <v>1947</v>
      </c>
      <c r="F585" s="5" t="s">
        <v>1303</v>
      </c>
      <c r="G585" s="6" t="s">
        <v>425</v>
      </c>
      <c r="H585" s="6" t="s">
        <v>119</v>
      </c>
      <c r="I585" s="6">
        <v>1</v>
      </c>
      <c r="J585" s="6">
        <v>4169</v>
      </c>
      <c r="K585" s="7" t="s">
        <v>1356</v>
      </c>
      <c r="L585" s="8">
        <v>961133</v>
      </c>
      <c r="M585" s="8" t="str">
        <f t="shared" si="52"/>
        <v>PEN</v>
      </c>
      <c r="N585" s="13"/>
      <c r="O585" s="13">
        <v>589.79999999999995</v>
      </c>
      <c r="P585" s="3">
        <f t="shared" si="53"/>
        <v>589.79999999999995</v>
      </c>
      <c r="Q585" s="3">
        <f t="shared" si="54"/>
        <v>0</v>
      </c>
      <c r="R585" s="3">
        <f t="shared" ref="R585:R648" si="55">IFERROR(IF(F585="SALDO",P585,R584+P585-Q585),0)</f>
        <v>16404.359999999993</v>
      </c>
      <c r="S585" s="24" t="s">
        <v>1334</v>
      </c>
      <c r="T585" s="24" t="s">
        <v>1334</v>
      </c>
      <c r="U585" s="53"/>
      <c r="V585" s="25">
        <f>IFERROR(VLOOKUP(BCP_Soles[[#This Row],[destinatario]],CHOOSE({1,2},Clientes_Proveedores[Razon Social],Clientes_Proveedores[Ruc / Dni]),2,0),"")</f>
        <v>20558226979</v>
      </c>
      <c r="W585" s="25" t="s">
        <v>1345</v>
      </c>
      <c r="X585" s="25" t="s">
        <v>1948</v>
      </c>
      <c r="Y585" s="25"/>
      <c r="Z585" s="75"/>
      <c r="AA585" s="3" t="str">
        <f>IF(BCP_Soles[[#This Row],[fecha]]&gt;0,TEXT(BCP_Soles[[#This Row],[fecha]],"mmmm"),0)</f>
        <v>Febrero</v>
      </c>
    </row>
    <row r="586" spans="1:27" ht="24" x14ac:dyDescent="0.3">
      <c r="A586" s="2">
        <f>IF(BCP_Soles[[#This Row],[tipo_registro]]="R",COUNTIFS($C$1:$C585,"R")+1,A585)</f>
        <v>406</v>
      </c>
      <c r="B586" s="19" t="str">
        <f t="shared" si="51"/>
        <v>B-BCP - Soles</v>
      </c>
      <c r="C586" s="3" t="s">
        <v>1330</v>
      </c>
      <c r="D586" s="14">
        <v>45706</v>
      </c>
      <c r="E586" s="5" t="s">
        <v>643</v>
      </c>
      <c r="F586" s="5" t="s">
        <v>1303</v>
      </c>
      <c r="G586" s="6" t="s">
        <v>425</v>
      </c>
      <c r="H586" s="6"/>
      <c r="I586" s="6"/>
      <c r="J586" s="6"/>
      <c r="K586" s="7" t="s">
        <v>1949</v>
      </c>
      <c r="L586" s="8">
        <v>3743803</v>
      </c>
      <c r="M586" s="8" t="str">
        <f t="shared" si="52"/>
        <v>PEN</v>
      </c>
      <c r="N586" s="13"/>
      <c r="O586" s="13">
        <v>375.95</v>
      </c>
      <c r="P586" s="3">
        <f t="shared" si="53"/>
        <v>375.95</v>
      </c>
      <c r="Q586" s="3">
        <f t="shared" si="54"/>
        <v>0</v>
      </c>
      <c r="R586" s="3">
        <f t="shared" si="55"/>
        <v>16780.309999999994</v>
      </c>
      <c r="S586" s="24" t="s">
        <v>1334</v>
      </c>
      <c r="T586" s="24" t="s">
        <v>1334</v>
      </c>
      <c r="U586" s="53"/>
      <c r="V586" s="25">
        <f>IFERROR(VLOOKUP(BCP_Soles[[#This Row],[destinatario]],CHOOSE({1,2},Clientes_Proveedores[Razon Social],Clientes_Proveedores[Ruc / Dni]),2,0),"")</f>
        <v>20558226979</v>
      </c>
      <c r="W586" s="25" t="s">
        <v>1345</v>
      </c>
      <c r="X586" s="25" t="s">
        <v>1950</v>
      </c>
      <c r="Y586" s="25"/>
      <c r="Z586" s="75"/>
      <c r="AA586" s="3" t="str">
        <f>IF(BCP_Soles[[#This Row],[fecha]]&gt;0,TEXT(BCP_Soles[[#This Row],[fecha]],"mmmm"),0)</f>
        <v>Febrero</v>
      </c>
    </row>
    <row r="587" spans="1:27" x14ac:dyDescent="0.3">
      <c r="A587" s="2">
        <f>IF(BCP_Soles[[#This Row],[tipo_registro]]="R",COUNTIFS($C$1:$C586,"R")+1,A586)</f>
        <v>407</v>
      </c>
      <c r="B587" s="19" t="str">
        <f t="shared" si="51"/>
        <v>B-BCP - Soles</v>
      </c>
      <c r="C587" s="3" t="s">
        <v>1330</v>
      </c>
      <c r="D587" s="14">
        <v>45706</v>
      </c>
      <c r="E587" s="5" t="s">
        <v>1335</v>
      </c>
      <c r="F587" s="5" t="s">
        <v>1336</v>
      </c>
      <c r="G587" s="6"/>
      <c r="H587" s="6"/>
      <c r="I587" s="6"/>
      <c r="J587" s="6"/>
      <c r="K587" s="7" t="s">
        <v>1337</v>
      </c>
      <c r="L587" s="8"/>
      <c r="M587" s="8" t="str">
        <f t="shared" si="52"/>
        <v>PEN</v>
      </c>
      <c r="N587" s="13"/>
      <c r="O587" s="13">
        <v>0.3</v>
      </c>
      <c r="P587" s="3">
        <f t="shared" si="53"/>
        <v>0</v>
      </c>
      <c r="Q587" s="3">
        <f t="shared" si="54"/>
        <v>0.3</v>
      </c>
      <c r="R587" s="3">
        <f t="shared" si="55"/>
        <v>16780.009999999995</v>
      </c>
      <c r="S587" s="24"/>
      <c r="T587" s="24" t="s">
        <v>1334</v>
      </c>
      <c r="U587" s="53"/>
      <c r="V587" s="25" t="str">
        <f>IFERROR(VLOOKUP(BCP_Soles[[#This Row],[destinatario]],CHOOSE({1,2},Clientes_Proveedores[Razon Social],Clientes_Proveedores[Ruc / Dni]),2,0),"")</f>
        <v/>
      </c>
      <c r="W587" s="25"/>
      <c r="X587" s="25"/>
      <c r="Y587" s="25"/>
      <c r="Z587" s="75"/>
      <c r="AA587" s="3" t="str">
        <f>IF(BCP_Soles[[#This Row],[fecha]]&gt;0,TEXT(BCP_Soles[[#This Row],[fecha]],"mmmm"),0)</f>
        <v>Febrero</v>
      </c>
    </row>
    <row r="588" spans="1:27" ht="36" x14ac:dyDescent="0.3">
      <c r="A588" s="2">
        <f>IF(BCP_Soles[[#This Row],[tipo_registro]]="R",COUNTIFS($C$1:$C587,"R")+1,A587)</f>
        <v>408</v>
      </c>
      <c r="B588" s="19" t="str">
        <f t="shared" si="51"/>
        <v>B-BCP - Soles</v>
      </c>
      <c r="C588" s="3" t="s">
        <v>1330</v>
      </c>
      <c r="D588" s="14">
        <v>45706</v>
      </c>
      <c r="E588" s="5" t="s">
        <v>1338</v>
      </c>
      <c r="F588" s="5" t="s">
        <v>1336</v>
      </c>
      <c r="G588" s="6" t="s">
        <v>702</v>
      </c>
      <c r="H588" s="6" t="s">
        <v>68</v>
      </c>
      <c r="I588" s="6" t="s">
        <v>1463</v>
      </c>
      <c r="J588" s="6">
        <v>609322</v>
      </c>
      <c r="K588" s="7" t="s">
        <v>1693</v>
      </c>
      <c r="L588" s="8">
        <v>112332</v>
      </c>
      <c r="M588" s="8" t="str">
        <f t="shared" si="52"/>
        <v>PEN</v>
      </c>
      <c r="N588" s="13"/>
      <c r="O588" s="13">
        <v>35.4</v>
      </c>
      <c r="P588" s="3">
        <f t="shared" si="53"/>
        <v>0</v>
      </c>
      <c r="Q588" s="3">
        <f t="shared" si="54"/>
        <v>35.4</v>
      </c>
      <c r="R588" s="3">
        <f t="shared" si="55"/>
        <v>16744.609999999993</v>
      </c>
      <c r="S588" s="24" t="s">
        <v>1334</v>
      </c>
      <c r="T588" s="24" t="s">
        <v>1334</v>
      </c>
      <c r="U588" s="53"/>
      <c r="V588" s="25">
        <f>IFERROR(VLOOKUP(BCP_Soles[[#This Row],[destinatario]],CHOOSE({1,2},Clientes_Proveedores[Razon Social],Clientes_Proveedores[Ruc / Dni]),2,0),"")</f>
        <v>20454073143</v>
      </c>
      <c r="W588" s="25" t="s">
        <v>1465</v>
      </c>
      <c r="X588" s="25" t="s">
        <v>1951</v>
      </c>
      <c r="Y588" s="25"/>
      <c r="Z588" s="75"/>
      <c r="AA588" s="3" t="str">
        <f>IF(BCP_Soles[[#This Row],[fecha]]&gt;0,TEXT(BCP_Soles[[#This Row],[fecha]],"mmmm"),0)</f>
        <v>Febrero</v>
      </c>
    </row>
    <row r="589" spans="1:27" ht="24" x14ac:dyDescent="0.3">
      <c r="A589" s="2">
        <f>IF(BCP_Soles[[#This Row],[tipo_registro]]="R",COUNTIFS($C$1:$C588,"R")+1,A588)</f>
        <v>409</v>
      </c>
      <c r="B589" s="19" t="str">
        <f t="shared" si="51"/>
        <v>B-BCP - Soles</v>
      </c>
      <c r="C589" s="3" t="s">
        <v>1330</v>
      </c>
      <c r="D589" s="14">
        <v>45706</v>
      </c>
      <c r="E589" s="5" t="s">
        <v>1338</v>
      </c>
      <c r="F589" s="5" t="s">
        <v>1336</v>
      </c>
      <c r="G589" s="6" t="s">
        <v>711</v>
      </c>
      <c r="H589" s="6" t="s">
        <v>68</v>
      </c>
      <c r="I589" s="6" t="s">
        <v>1376</v>
      </c>
      <c r="J589" s="6">
        <v>396</v>
      </c>
      <c r="K589" s="7" t="s">
        <v>1952</v>
      </c>
      <c r="L589" s="8">
        <v>1105309</v>
      </c>
      <c r="M589" s="8" t="str">
        <f t="shared" si="52"/>
        <v>PEN</v>
      </c>
      <c r="N589" s="13"/>
      <c r="O589" s="13">
        <v>40</v>
      </c>
      <c r="P589" s="3">
        <f t="shared" si="53"/>
        <v>0</v>
      </c>
      <c r="Q589" s="3">
        <f t="shared" si="54"/>
        <v>40</v>
      </c>
      <c r="R589" s="3">
        <f t="shared" si="55"/>
        <v>16704.609999999993</v>
      </c>
      <c r="S589" s="24" t="s">
        <v>1334</v>
      </c>
      <c r="T589" s="24" t="s">
        <v>1334</v>
      </c>
      <c r="U589" s="53"/>
      <c r="V589" s="25">
        <f>IFERROR(VLOOKUP(BCP_Soles[[#This Row],[destinatario]],CHOOSE({1,2},Clientes_Proveedores[Razon Social],Clientes_Proveedores[Ruc / Dni]),2,0),"")</f>
        <v>20611251476</v>
      </c>
      <c r="W589" s="25" t="s">
        <v>1953</v>
      </c>
      <c r="X589" s="25" t="s">
        <v>1954</v>
      </c>
      <c r="Y589" s="25"/>
      <c r="Z589" s="75"/>
      <c r="AA589" s="3" t="str">
        <f>IF(BCP_Soles[[#This Row],[fecha]]&gt;0,TEXT(BCP_Soles[[#This Row],[fecha]],"mmmm"),0)</f>
        <v>Febrero</v>
      </c>
    </row>
    <row r="590" spans="1:27" ht="36" x14ac:dyDescent="0.3">
      <c r="A590" s="2">
        <f>IF(BCP_Soles[[#This Row],[tipo_registro]]="R",COUNTIFS($C$1:$C589,"R")+1,A589)</f>
        <v>410</v>
      </c>
      <c r="B590" s="19" t="str">
        <f t="shared" si="51"/>
        <v>B-BCP - Soles</v>
      </c>
      <c r="C590" s="3" t="s">
        <v>1330</v>
      </c>
      <c r="D590" s="14">
        <v>45706</v>
      </c>
      <c r="E590" s="5" t="s">
        <v>1338</v>
      </c>
      <c r="F590" s="5" t="s">
        <v>1336</v>
      </c>
      <c r="G590" s="6" t="s">
        <v>702</v>
      </c>
      <c r="H590" s="6" t="s">
        <v>68</v>
      </c>
      <c r="I590" s="6" t="s">
        <v>1463</v>
      </c>
      <c r="J590" s="6">
        <v>482204</v>
      </c>
      <c r="K590" s="7" t="s">
        <v>1464</v>
      </c>
      <c r="L590" s="8">
        <v>101345</v>
      </c>
      <c r="M590" s="8" t="str">
        <f t="shared" si="52"/>
        <v>PEN</v>
      </c>
      <c r="N590" s="13"/>
      <c r="O590" s="13">
        <v>88.5</v>
      </c>
      <c r="P590" s="3">
        <f t="shared" si="53"/>
        <v>0</v>
      </c>
      <c r="Q590" s="3">
        <f t="shared" si="54"/>
        <v>88.5</v>
      </c>
      <c r="R590" s="3">
        <f t="shared" si="55"/>
        <v>16616.109999999993</v>
      </c>
      <c r="S590" s="24" t="s">
        <v>1334</v>
      </c>
      <c r="T590" s="24" t="s">
        <v>1334</v>
      </c>
      <c r="U590" s="53"/>
      <c r="V590" s="25">
        <f>IFERROR(VLOOKUP(BCP_Soles[[#This Row],[destinatario]],CHOOSE({1,2},Clientes_Proveedores[Razon Social],Clientes_Proveedores[Ruc / Dni]),2,0),"")</f>
        <v>20454073143</v>
      </c>
      <c r="W590" s="25" t="s">
        <v>1465</v>
      </c>
      <c r="X590" s="25" t="s">
        <v>1955</v>
      </c>
      <c r="Y590" s="25"/>
      <c r="Z590" s="75"/>
      <c r="AA590" s="3" t="str">
        <f>IF(BCP_Soles[[#This Row],[fecha]]&gt;0,TEXT(BCP_Soles[[#This Row],[fecha]],"mmmm"),0)</f>
        <v>Febrero</v>
      </c>
    </row>
    <row r="591" spans="1:27" ht="24" x14ac:dyDescent="0.3">
      <c r="A591" s="2">
        <f>IF(BCP_Soles[[#This Row],[tipo_registro]]="R",COUNTIFS($C$1:$C590,"R")+1,A590)</f>
        <v>411</v>
      </c>
      <c r="B591" s="19" t="str">
        <f t="shared" ref="B591:B654" si="56">"B-BCP - Soles"</f>
        <v>B-BCP - Soles</v>
      </c>
      <c r="C591" s="3" t="s">
        <v>1330</v>
      </c>
      <c r="D591" s="14">
        <v>45706</v>
      </c>
      <c r="E591" s="5" t="s">
        <v>1416</v>
      </c>
      <c r="F591" s="5" t="s">
        <v>1336</v>
      </c>
      <c r="G591" s="6" t="s">
        <v>1021</v>
      </c>
      <c r="H591" s="6"/>
      <c r="I591" s="6"/>
      <c r="J591" s="6"/>
      <c r="K591" s="7" t="s">
        <v>1956</v>
      </c>
      <c r="L591" s="8">
        <v>1120280</v>
      </c>
      <c r="M591" s="8" t="str">
        <f t="shared" ref="M591:M654" si="57">"PEN"</f>
        <v>PEN</v>
      </c>
      <c r="N591" s="13"/>
      <c r="O591" s="13">
        <v>180</v>
      </c>
      <c r="P591" s="3">
        <f t="shared" ref="P591:P654" si="58">+IF(OR($F591="SALDO",$F591="INGRESO"),$O591,0)</f>
        <v>0</v>
      </c>
      <c r="Q591" s="3">
        <f t="shared" ref="Q591:Q654" si="59">+IF($F591="EGRESO",$O591,0)</f>
        <v>180</v>
      </c>
      <c r="R591" s="3">
        <f t="shared" si="55"/>
        <v>16436.109999999993</v>
      </c>
      <c r="S591" s="24"/>
      <c r="T591" s="24" t="s">
        <v>1334</v>
      </c>
      <c r="U591" s="53"/>
      <c r="V591" s="25">
        <f>IFERROR(VLOOKUP(BCP_Soles[[#This Row],[destinatario]],CHOOSE({1,2},Clientes_Proveedores[Razon Social],Clientes_Proveedores[Ruc / Dni]),2,0),"")</f>
        <v>77089939</v>
      </c>
      <c r="W591" s="25" t="s">
        <v>1021</v>
      </c>
      <c r="X591" s="25"/>
      <c r="Y591" s="25"/>
      <c r="Z591" s="75"/>
      <c r="AA591" s="3" t="str">
        <f>IF(BCP_Soles[[#This Row],[fecha]]&gt;0,TEXT(BCP_Soles[[#This Row],[fecha]],"mmmm"),0)</f>
        <v>Febrero</v>
      </c>
    </row>
    <row r="592" spans="1:27" ht="24" x14ac:dyDescent="0.3">
      <c r="A592" s="2">
        <f>IF(BCP_Soles[[#This Row],[tipo_registro]]="R",COUNTIFS($C$1:$C591,"R")+1,A591)</f>
        <v>412</v>
      </c>
      <c r="B592" s="19" t="str">
        <f t="shared" si="56"/>
        <v>B-BCP - Soles</v>
      </c>
      <c r="C592" s="3" t="s">
        <v>1330</v>
      </c>
      <c r="D592" s="14">
        <v>45706</v>
      </c>
      <c r="E592" s="5" t="s">
        <v>1416</v>
      </c>
      <c r="F592" s="5" t="s">
        <v>1336</v>
      </c>
      <c r="G592" s="6" t="s">
        <v>790</v>
      </c>
      <c r="H592" s="6" t="s">
        <v>143</v>
      </c>
      <c r="I592" s="6">
        <v>1</v>
      </c>
      <c r="J592" s="6">
        <v>252025</v>
      </c>
      <c r="K592" s="7" t="s">
        <v>1957</v>
      </c>
      <c r="L592" s="8">
        <v>1104311</v>
      </c>
      <c r="M592" s="8" t="str">
        <f t="shared" si="57"/>
        <v>PEN</v>
      </c>
      <c r="N592" s="13"/>
      <c r="O592" s="13">
        <v>230</v>
      </c>
      <c r="P592" s="3">
        <f t="shared" si="58"/>
        <v>0</v>
      </c>
      <c r="Q592" s="3">
        <f t="shared" si="59"/>
        <v>230</v>
      </c>
      <c r="R592" s="3">
        <f t="shared" si="55"/>
        <v>16206.109999999993</v>
      </c>
      <c r="S592" s="24" t="s">
        <v>1334</v>
      </c>
      <c r="T592" s="24" t="s">
        <v>1334</v>
      </c>
      <c r="U592" s="53"/>
      <c r="V592" s="25">
        <f>IFERROR(VLOOKUP(BCP_Soles[[#This Row],[destinatario]],CHOOSE({1,2},Clientes_Proveedores[Razon Social],Clientes_Proveedores[Ruc / Dni]),2,0),"")</f>
        <v>72169020</v>
      </c>
      <c r="W592" s="25"/>
      <c r="X592" s="25"/>
      <c r="Y592" s="25"/>
      <c r="Z592" s="75"/>
      <c r="AA592" s="3" t="str">
        <f>IF(BCP_Soles[[#This Row],[fecha]]&gt;0,TEXT(BCP_Soles[[#This Row],[fecha]],"mmmm"),0)</f>
        <v>Febrero</v>
      </c>
    </row>
    <row r="593" spans="1:27" ht="36" x14ac:dyDescent="0.3">
      <c r="A593" s="2">
        <f>IF(BCP_Soles[[#This Row],[tipo_registro]]="R",COUNTIFS($C$1:$C592,"R")+1,A592)</f>
        <v>413</v>
      </c>
      <c r="B593" s="19" t="str">
        <f t="shared" si="56"/>
        <v>B-BCP - Soles</v>
      </c>
      <c r="C593" s="3" t="s">
        <v>1330</v>
      </c>
      <c r="D593" s="14">
        <v>45706</v>
      </c>
      <c r="E593" s="5" t="s">
        <v>1338</v>
      </c>
      <c r="F593" s="5" t="s">
        <v>1336</v>
      </c>
      <c r="G593" s="6" t="s">
        <v>939</v>
      </c>
      <c r="H593" s="6" t="s">
        <v>143</v>
      </c>
      <c r="I593" s="6">
        <v>1</v>
      </c>
      <c r="J593" s="6">
        <v>142025</v>
      </c>
      <c r="K593" s="7" t="s">
        <v>1958</v>
      </c>
      <c r="L593" s="8">
        <v>1149280</v>
      </c>
      <c r="M593" s="8" t="str">
        <f t="shared" si="57"/>
        <v>PEN</v>
      </c>
      <c r="N593" s="13"/>
      <c r="O593" s="13">
        <v>266</v>
      </c>
      <c r="P593" s="3">
        <f t="shared" si="58"/>
        <v>0</v>
      </c>
      <c r="Q593" s="3">
        <f t="shared" si="59"/>
        <v>266</v>
      </c>
      <c r="R593" s="3">
        <f t="shared" si="55"/>
        <v>15940.109999999993</v>
      </c>
      <c r="S593" s="24" t="s">
        <v>1334</v>
      </c>
      <c r="T593" s="24" t="s">
        <v>1334</v>
      </c>
      <c r="U593" s="53"/>
      <c r="V593" s="25">
        <f>IFERROR(VLOOKUP(BCP_Soles[[#This Row],[destinatario]],CHOOSE({1,2},Clientes_Proveedores[Razon Social],Clientes_Proveedores[Ruc / Dni]),2,0),"")</f>
        <v>72531546</v>
      </c>
      <c r="W593" s="25"/>
      <c r="X593" s="25"/>
      <c r="Y593" s="25"/>
      <c r="Z593" s="75"/>
      <c r="AA593" s="3" t="str">
        <f>IF(BCP_Soles[[#This Row],[fecha]]&gt;0,TEXT(BCP_Soles[[#This Row],[fecha]],"mmmm"),0)</f>
        <v>Febrero</v>
      </c>
    </row>
    <row r="594" spans="1:27" ht="24" x14ac:dyDescent="0.3">
      <c r="A594" s="2">
        <f>IF(BCP_Soles[[#This Row],[tipo_registro]]="R",COUNTIFS($C$1:$C593,"R")+1,A593)</f>
        <v>414</v>
      </c>
      <c r="B594" s="19" t="str">
        <f t="shared" si="56"/>
        <v>B-BCP - Soles</v>
      </c>
      <c r="C594" s="3" t="s">
        <v>1330</v>
      </c>
      <c r="D594" s="14">
        <v>45706</v>
      </c>
      <c r="E594" s="5" t="s">
        <v>1416</v>
      </c>
      <c r="F594" s="5" t="s">
        <v>1336</v>
      </c>
      <c r="G594" s="6" t="s">
        <v>857</v>
      </c>
      <c r="H594" s="6"/>
      <c r="I594" s="6"/>
      <c r="J594" s="6"/>
      <c r="K594" s="7" t="s">
        <v>1959</v>
      </c>
      <c r="L594" s="8">
        <v>1092323</v>
      </c>
      <c r="M594" s="8" t="str">
        <f t="shared" si="57"/>
        <v>PEN</v>
      </c>
      <c r="N594" s="13"/>
      <c r="O594" s="13">
        <v>300</v>
      </c>
      <c r="P594" s="3">
        <f t="shared" si="58"/>
        <v>0</v>
      </c>
      <c r="Q594" s="3">
        <f t="shared" si="59"/>
        <v>300</v>
      </c>
      <c r="R594" s="3">
        <f t="shared" si="55"/>
        <v>15640.109999999993</v>
      </c>
      <c r="S594" s="24"/>
      <c r="T594" s="24" t="s">
        <v>1334</v>
      </c>
      <c r="U594" s="53"/>
      <c r="V594" s="25">
        <f>IFERROR(VLOOKUP(BCP_Soles[[#This Row],[destinatario]],CHOOSE({1,2},Clientes_Proveedores[Razon Social],Clientes_Proveedores[Ruc / Dni]),2,0),"")</f>
        <v>70666331</v>
      </c>
      <c r="W594" s="25" t="s">
        <v>857</v>
      </c>
      <c r="X594" s="25"/>
      <c r="Y594" s="25"/>
      <c r="Z594" s="75"/>
      <c r="AA594" s="3" t="str">
        <f>IF(BCP_Soles[[#This Row],[fecha]]&gt;0,TEXT(BCP_Soles[[#This Row],[fecha]],"mmmm"),0)</f>
        <v>Febrero</v>
      </c>
    </row>
    <row r="595" spans="1:27" x14ac:dyDescent="0.3">
      <c r="A595" s="2">
        <f>IF(BCP_Soles[[#This Row],[tipo_registro]]="R",COUNTIFS($C$1:$C594,"R")+1,A594)</f>
        <v>415</v>
      </c>
      <c r="B595" s="19" t="str">
        <f t="shared" si="56"/>
        <v>B-BCP - Soles</v>
      </c>
      <c r="C595" s="3" t="s">
        <v>1330</v>
      </c>
      <c r="D595" s="14">
        <v>45706</v>
      </c>
      <c r="E595" s="5" t="s">
        <v>1416</v>
      </c>
      <c r="F595" s="5" t="s">
        <v>1336</v>
      </c>
      <c r="G595" s="6" t="s">
        <v>913</v>
      </c>
      <c r="H595" s="6"/>
      <c r="I595" s="6"/>
      <c r="J595" s="6"/>
      <c r="K595" s="7" t="s">
        <v>1960</v>
      </c>
      <c r="L595" s="8">
        <v>1165235</v>
      </c>
      <c r="M595" s="8" t="str">
        <f t="shared" si="57"/>
        <v>PEN</v>
      </c>
      <c r="N595" s="13"/>
      <c r="O595" s="13">
        <v>350</v>
      </c>
      <c r="P595" s="3">
        <f t="shared" si="58"/>
        <v>0</v>
      </c>
      <c r="Q595" s="3">
        <f t="shared" si="59"/>
        <v>350</v>
      </c>
      <c r="R595" s="3">
        <f t="shared" si="55"/>
        <v>15290.109999999993</v>
      </c>
      <c r="S595" s="24"/>
      <c r="T595" s="24" t="s">
        <v>1334</v>
      </c>
      <c r="U595" s="53"/>
      <c r="V595" s="25">
        <f>IFERROR(VLOOKUP(BCP_Soles[[#This Row],[destinatario]],CHOOSE({1,2},Clientes_Proveedores[Razon Social],Clientes_Proveedores[Ruc / Dni]),2,0),"")</f>
        <v>47760988</v>
      </c>
      <c r="W595" s="25" t="s">
        <v>913</v>
      </c>
      <c r="X595" s="25"/>
      <c r="Y595" s="25"/>
      <c r="Z595" s="75"/>
      <c r="AA595" s="3" t="str">
        <f>IF(BCP_Soles[[#This Row],[fecha]]&gt;0,TEXT(BCP_Soles[[#This Row],[fecha]],"mmmm"),0)</f>
        <v>Febrero</v>
      </c>
    </row>
    <row r="596" spans="1:27" ht="24" x14ac:dyDescent="0.3">
      <c r="A596" s="2">
        <f>IF(BCP_Soles[[#This Row],[tipo_registro]]="R",COUNTIFS($C$1:$C595,"R")+1,A595)</f>
        <v>416</v>
      </c>
      <c r="B596" s="19" t="str">
        <f t="shared" si="56"/>
        <v>B-BCP - Soles</v>
      </c>
      <c r="C596" s="3" t="s">
        <v>1330</v>
      </c>
      <c r="D596" s="14">
        <v>45706</v>
      </c>
      <c r="E596" s="5" t="s">
        <v>1416</v>
      </c>
      <c r="F596" s="5" t="s">
        <v>1336</v>
      </c>
      <c r="G596" s="6" t="s">
        <v>876</v>
      </c>
      <c r="H596" s="6"/>
      <c r="I596" s="6"/>
      <c r="J596" s="6"/>
      <c r="K596" s="7" t="s">
        <v>1961</v>
      </c>
      <c r="L596" s="8">
        <v>1130253</v>
      </c>
      <c r="M596" s="8" t="str">
        <f t="shared" si="57"/>
        <v>PEN</v>
      </c>
      <c r="N596" s="13"/>
      <c r="O596" s="13">
        <v>400</v>
      </c>
      <c r="P596" s="3">
        <f t="shared" si="58"/>
        <v>0</v>
      </c>
      <c r="Q596" s="3">
        <f t="shared" si="59"/>
        <v>400</v>
      </c>
      <c r="R596" s="3">
        <f t="shared" si="55"/>
        <v>14890.109999999993</v>
      </c>
      <c r="S596" s="24"/>
      <c r="T596" s="24" t="s">
        <v>1334</v>
      </c>
      <c r="U596" s="53"/>
      <c r="V596" s="25">
        <f>IFERROR(VLOOKUP(BCP_Soles[[#This Row],[destinatario]],CHOOSE({1,2},Clientes_Proveedores[Razon Social],Clientes_Proveedores[Ruc / Dni]),2,0),"")</f>
        <v>1829028</v>
      </c>
      <c r="W596" s="25" t="s">
        <v>1594</v>
      </c>
      <c r="X596" s="25"/>
      <c r="Y596" s="25"/>
      <c r="Z596" s="75"/>
      <c r="AA596" s="3" t="str">
        <f>IF(BCP_Soles[[#This Row],[fecha]]&gt;0,TEXT(BCP_Soles[[#This Row],[fecha]],"mmmm"),0)</f>
        <v>Febrero</v>
      </c>
    </row>
    <row r="597" spans="1:27" ht="24" x14ac:dyDescent="0.3">
      <c r="A597" s="2">
        <f>IF(BCP_Soles[[#This Row],[tipo_registro]]="R",COUNTIFS($C$1:$C596,"R")+1,A596)</f>
        <v>417</v>
      </c>
      <c r="B597" s="19" t="str">
        <f t="shared" si="56"/>
        <v>B-BCP - Soles</v>
      </c>
      <c r="C597" s="3" t="s">
        <v>1330</v>
      </c>
      <c r="D597" s="14">
        <v>45706</v>
      </c>
      <c r="E597" s="5" t="s">
        <v>1416</v>
      </c>
      <c r="F597" s="5" t="s">
        <v>1336</v>
      </c>
      <c r="G597" s="6" t="s">
        <v>866</v>
      </c>
      <c r="H597" s="6"/>
      <c r="I597" s="6"/>
      <c r="J597" s="6"/>
      <c r="K597" s="7" t="s">
        <v>1962</v>
      </c>
      <c r="L597" s="8">
        <v>1157244</v>
      </c>
      <c r="M597" s="8" t="str">
        <f t="shared" si="57"/>
        <v>PEN</v>
      </c>
      <c r="N597" s="13"/>
      <c r="O597" s="13">
        <v>400</v>
      </c>
      <c r="P597" s="3">
        <f t="shared" si="58"/>
        <v>0</v>
      </c>
      <c r="Q597" s="3">
        <f t="shared" si="59"/>
        <v>400</v>
      </c>
      <c r="R597" s="3">
        <f t="shared" si="55"/>
        <v>14490.109999999993</v>
      </c>
      <c r="S597" s="24"/>
      <c r="T597" s="24" t="s">
        <v>1334</v>
      </c>
      <c r="U597" s="53"/>
      <c r="V597" s="25">
        <f>IFERROR(VLOOKUP(BCP_Soles[[#This Row],[destinatario]],CHOOSE({1,2},Clientes_Proveedores[Razon Social],Clientes_Proveedores[Ruc / Dni]),2,0),"")</f>
        <v>45921913</v>
      </c>
      <c r="W597" s="25" t="s">
        <v>866</v>
      </c>
      <c r="X597" s="25"/>
      <c r="Y597" s="25"/>
      <c r="Z597" s="75"/>
      <c r="AA597" s="3" t="str">
        <f>IF(BCP_Soles[[#This Row],[fecha]]&gt;0,TEXT(BCP_Soles[[#This Row],[fecha]],"mmmm"),0)</f>
        <v>Febrero</v>
      </c>
    </row>
    <row r="598" spans="1:27" ht="24" x14ac:dyDescent="0.3">
      <c r="A598" s="2">
        <f>IF(BCP_Soles[[#This Row],[tipo_registro]]="R",COUNTIFS($C$1:$C597,"R")+1,A597)</f>
        <v>418</v>
      </c>
      <c r="B598" s="19" t="str">
        <f t="shared" si="56"/>
        <v>B-BCP - Soles</v>
      </c>
      <c r="C598" s="3" t="s">
        <v>1330</v>
      </c>
      <c r="D598" s="14">
        <v>45706</v>
      </c>
      <c r="E598" s="5" t="s">
        <v>1416</v>
      </c>
      <c r="F598" s="5" t="s">
        <v>1336</v>
      </c>
      <c r="G598" s="6" t="s">
        <v>909</v>
      </c>
      <c r="H598" s="6"/>
      <c r="I598" s="6"/>
      <c r="J598" s="6"/>
      <c r="K598" s="7" t="s">
        <v>1963</v>
      </c>
      <c r="L598" s="8">
        <v>1166247</v>
      </c>
      <c r="M598" s="8" t="str">
        <f t="shared" si="57"/>
        <v>PEN</v>
      </c>
      <c r="N598" s="13"/>
      <c r="O598" s="13">
        <v>500</v>
      </c>
      <c r="P598" s="3">
        <f t="shared" si="58"/>
        <v>0</v>
      </c>
      <c r="Q598" s="3">
        <f t="shared" si="59"/>
        <v>500</v>
      </c>
      <c r="R598" s="3">
        <f t="shared" si="55"/>
        <v>13990.109999999993</v>
      </c>
      <c r="S598" s="24"/>
      <c r="T598" s="24" t="s">
        <v>1334</v>
      </c>
      <c r="U598" s="53"/>
      <c r="V598" s="25">
        <f>IFERROR(VLOOKUP(BCP_Soles[[#This Row],[destinatario]],CHOOSE({1,2},Clientes_Proveedores[Razon Social],Clientes_Proveedores[Ruc / Dni]),2,0),"")</f>
        <v>44314304</v>
      </c>
      <c r="W598" s="25" t="s">
        <v>909</v>
      </c>
      <c r="X598" s="25"/>
      <c r="Y598" s="25"/>
      <c r="Z598" s="75"/>
      <c r="AA598" s="3" t="str">
        <f>IF(BCP_Soles[[#This Row],[fecha]]&gt;0,TEXT(BCP_Soles[[#This Row],[fecha]],"mmmm"),0)</f>
        <v>Febrero</v>
      </c>
    </row>
    <row r="599" spans="1:27" ht="24" x14ac:dyDescent="0.3">
      <c r="A599" s="2">
        <f>IF(BCP_Soles[[#This Row],[tipo_registro]]="R",COUNTIFS($C$1:$C598,"R")+1,A598)</f>
        <v>419</v>
      </c>
      <c r="B599" s="19" t="str">
        <f t="shared" si="56"/>
        <v>B-BCP - Soles</v>
      </c>
      <c r="C599" s="3" t="s">
        <v>1330</v>
      </c>
      <c r="D599" s="14">
        <v>45706</v>
      </c>
      <c r="E599" s="5" t="s">
        <v>1416</v>
      </c>
      <c r="F599" s="5" t="s">
        <v>1336</v>
      </c>
      <c r="G599" s="6" t="s">
        <v>873</v>
      </c>
      <c r="H599" s="6"/>
      <c r="I599" s="6"/>
      <c r="J599" s="6"/>
      <c r="K599" s="7" t="s">
        <v>1964</v>
      </c>
      <c r="L599" s="8">
        <v>1104310</v>
      </c>
      <c r="M599" s="8" t="str">
        <f t="shared" si="57"/>
        <v>PEN</v>
      </c>
      <c r="N599" s="13"/>
      <c r="O599" s="13">
        <v>550</v>
      </c>
      <c r="P599" s="3">
        <f t="shared" si="58"/>
        <v>0</v>
      </c>
      <c r="Q599" s="3">
        <f t="shared" si="59"/>
        <v>550</v>
      </c>
      <c r="R599" s="3">
        <f t="shared" si="55"/>
        <v>13440.109999999993</v>
      </c>
      <c r="S599" s="24"/>
      <c r="T599" s="24" t="s">
        <v>1334</v>
      </c>
      <c r="U599" s="53"/>
      <c r="V599" s="25">
        <f>IFERROR(VLOOKUP(BCP_Soles[[#This Row],[destinatario]],CHOOSE({1,2},Clientes_Proveedores[Razon Social],Clientes_Proveedores[Ruc / Dni]),2,0),"")</f>
        <v>80355193</v>
      </c>
      <c r="W599" s="25" t="s">
        <v>1598</v>
      </c>
      <c r="X599" s="25"/>
      <c r="Y599" s="25"/>
      <c r="Z599" s="75"/>
      <c r="AA599" s="3" t="str">
        <f>IF(BCP_Soles[[#This Row],[fecha]]&gt;0,TEXT(BCP_Soles[[#This Row],[fecha]],"mmmm"),0)</f>
        <v>Febrero</v>
      </c>
    </row>
    <row r="600" spans="1:27" ht="24" x14ac:dyDescent="0.3">
      <c r="A600" s="2">
        <f>IF(BCP_Soles[[#This Row],[tipo_registro]]="R",COUNTIFS($C$1:$C599,"R")+1,A599)</f>
        <v>420</v>
      </c>
      <c r="B600" s="19" t="str">
        <f t="shared" si="56"/>
        <v>B-BCP - Soles</v>
      </c>
      <c r="C600" s="3" t="s">
        <v>1330</v>
      </c>
      <c r="D600" s="14">
        <v>45706</v>
      </c>
      <c r="E600" s="5" t="s">
        <v>1338</v>
      </c>
      <c r="F600" s="5" t="s">
        <v>1336</v>
      </c>
      <c r="G600" s="6" t="s">
        <v>711</v>
      </c>
      <c r="H600" s="6"/>
      <c r="I600" s="6"/>
      <c r="J600" s="6"/>
      <c r="K600" s="7" t="s">
        <v>1965</v>
      </c>
      <c r="L600" s="8">
        <v>1156290</v>
      </c>
      <c r="M600" s="8" t="str">
        <f t="shared" si="57"/>
        <v>PEN</v>
      </c>
      <c r="N600" s="13"/>
      <c r="O600" s="13">
        <v>915</v>
      </c>
      <c r="P600" s="3">
        <f t="shared" si="58"/>
        <v>0</v>
      </c>
      <c r="Q600" s="3">
        <f t="shared" si="59"/>
        <v>915</v>
      </c>
      <c r="R600" s="3">
        <f t="shared" si="55"/>
        <v>12525.109999999993</v>
      </c>
      <c r="S600" s="24" t="s">
        <v>1334</v>
      </c>
      <c r="T600" s="24" t="s">
        <v>1334</v>
      </c>
      <c r="U600" s="53"/>
      <c r="V600" s="25">
        <f>IFERROR(VLOOKUP(BCP_Soles[[#This Row],[destinatario]],CHOOSE({1,2},Clientes_Proveedores[Razon Social],Clientes_Proveedores[Ruc / Dni]),2,0),"")</f>
        <v>20611251476</v>
      </c>
      <c r="W600" s="25" t="s">
        <v>1953</v>
      </c>
      <c r="X600" s="25" t="s">
        <v>1966</v>
      </c>
      <c r="Y600" s="25"/>
      <c r="Z600" s="75"/>
      <c r="AA600" s="3" t="str">
        <f>IF(BCP_Soles[[#This Row],[fecha]]&gt;0,TEXT(BCP_Soles[[#This Row],[fecha]],"mmmm"),0)</f>
        <v>Febrero</v>
      </c>
    </row>
    <row r="601" spans="1:27" ht="24" x14ac:dyDescent="0.3">
      <c r="A601" s="2">
        <f>IF(BCP_Soles[[#This Row],[tipo_registro]]="R",COUNTIFS($C$1:$C600,"R")+1,A600)</f>
        <v>421</v>
      </c>
      <c r="B601" s="19" t="str">
        <f t="shared" si="56"/>
        <v>B-BCP - Soles</v>
      </c>
      <c r="C601" s="3" t="s">
        <v>1330</v>
      </c>
      <c r="D601" s="14">
        <v>45706</v>
      </c>
      <c r="E601" s="5" t="s">
        <v>1511</v>
      </c>
      <c r="F601" s="5" t="s">
        <v>1336</v>
      </c>
      <c r="G601" s="6" t="s">
        <v>888</v>
      </c>
      <c r="H601" s="6" t="s">
        <v>147</v>
      </c>
      <c r="I601" s="6">
        <v>13</v>
      </c>
      <c r="J601" s="6">
        <v>28</v>
      </c>
      <c r="K601" s="7" t="s">
        <v>1967</v>
      </c>
      <c r="L601" s="8">
        <v>1096315</v>
      </c>
      <c r="M601" s="8" t="str">
        <f t="shared" si="57"/>
        <v>PEN</v>
      </c>
      <c r="N601" s="13"/>
      <c r="O601" s="13">
        <v>1165</v>
      </c>
      <c r="P601" s="3">
        <f t="shared" si="58"/>
        <v>0</v>
      </c>
      <c r="Q601" s="3">
        <f t="shared" si="59"/>
        <v>1165</v>
      </c>
      <c r="R601" s="3">
        <f t="shared" si="55"/>
        <v>11360.109999999993</v>
      </c>
      <c r="S601" s="24"/>
      <c r="T601" s="24" t="s">
        <v>1334</v>
      </c>
      <c r="U601" s="53"/>
      <c r="V601" s="25">
        <f>IFERROR(VLOOKUP(BCP_Soles[[#This Row],[destinatario]],CHOOSE({1,2},Clientes_Proveedores[Razon Social],Clientes_Proveedores[Ruc / Dni]),2,0),"")</f>
        <v>47461440</v>
      </c>
      <c r="W601" s="25"/>
      <c r="X601" s="25"/>
      <c r="Y601" s="25"/>
      <c r="Z601" s="75"/>
      <c r="AA601" s="3" t="str">
        <f>IF(BCP_Soles[[#This Row],[fecha]]&gt;0,TEXT(BCP_Soles[[#This Row],[fecha]],"mmmm"),0)</f>
        <v>Febrero</v>
      </c>
    </row>
    <row r="602" spans="1:27" ht="24" x14ac:dyDescent="0.3">
      <c r="A602" s="2">
        <f>IF(BCP_Soles[[#This Row],[tipo_registro]]="R",COUNTIFS($C$1:$C601,"R")+1,A601)</f>
        <v>422</v>
      </c>
      <c r="B602" s="19" t="str">
        <f t="shared" si="56"/>
        <v>B-BCP - Soles</v>
      </c>
      <c r="C602" s="3" t="s">
        <v>1330</v>
      </c>
      <c r="D602" s="14">
        <v>45706</v>
      </c>
      <c r="E602" s="5" t="s">
        <v>1338</v>
      </c>
      <c r="F602" s="5" t="s">
        <v>1336</v>
      </c>
      <c r="G602" s="6" t="s">
        <v>183</v>
      </c>
      <c r="H602" s="6" t="s">
        <v>68</v>
      </c>
      <c r="I602" s="6" t="s">
        <v>1376</v>
      </c>
      <c r="J602" s="6">
        <v>98</v>
      </c>
      <c r="K602" s="7" t="s">
        <v>1968</v>
      </c>
      <c r="L602" s="8">
        <v>1109313</v>
      </c>
      <c r="M602" s="8" t="str">
        <f t="shared" si="57"/>
        <v>PEN</v>
      </c>
      <c r="N602" s="13"/>
      <c r="O602" s="13">
        <v>1172.92</v>
      </c>
      <c r="P602" s="3">
        <f t="shared" si="58"/>
        <v>0</v>
      </c>
      <c r="Q602" s="3">
        <f t="shared" si="59"/>
        <v>1172.92</v>
      </c>
      <c r="R602" s="3">
        <f t="shared" si="55"/>
        <v>10187.189999999993</v>
      </c>
      <c r="S602" s="24" t="s">
        <v>1334</v>
      </c>
      <c r="T602" s="24" t="s">
        <v>1334</v>
      </c>
      <c r="U602" s="53"/>
      <c r="V602" s="25">
        <f>IFERROR(VLOOKUP(BCP_Soles[[#This Row],[destinatario]],CHOOSE({1,2},Clientes_Proveedores[Razon Social],Clientes_Proveedores[Ruc / Dni]),2,0),"")</f>
        <v>10486253725</v>
      </c>
      <c r="W602" s="25" t="s">
        <v>1969</v>
      </c>
      <c r="X602" s="25" t="s">
        <v>1970</v>
      </c>
      <c r="Y602" s="25"/>
      <c r="Z602" s="75"/>
      <c r="AA602" s="3" t="str">
        <f>IF(BCP_Soles[[#This Row],[fecha]]&gt;0,TEXT(BCP_Soles[[#This Row],[fecha]],"mmmm"),0)</f>
        <v>Febrero</v>
      </c>
    </row>
    <row r="603" spans="1:27" ht="36" x14ac:dyDescent="0.3">
      <c r="A603" s="2">
        <f>IF(BCP_Soles[[#This Row],[tipo_registro]]="R",COUNTIFS($C$1:$C602,"R")+1,A602)</f>
        <v>423</v>
      </c>
      <c r="B603" s="19" t="str">
        <f t="shared" si="56"/>
        <v>B-BCP - Soles</v>
      </c>
      <c r="C603" s="3" t="s">
        <v>1330</v>
      </c>
      <c r="D603" s="14">
        <v>45706</v>
      </c>
      <c r="E603" s="5" t="s">
        <v>1338</v>
      </c>
      <c r="F603" s="5" t="s">
        <v>1336</v>
      </c>
      <c r="G603" s="6" t="s">
        <v>712</v>
      </c>
      <c r="H603" s="6" t="s">
        <v>68</v>
      </c>
      <c r="I603" s="6" t="s">
        <v>1374</v>
      </c>
      <c r="J603" s="6">
        <v>23074</v>
      </c>
      <c r="K603" s="7" t="s">
        <v>1971</v>
      </c>
      <c r="L603" s="8">
        <v>1163254</v>
      </c>
      <c r="M603" s="8" t="str">
        <f t="shared" si="57"/>
        <v>PEN</v>
      </c>
      <c r="N603" s="13"/>
      <c r="O603" s="13">
        <v>1636.7</v>
      </c>
      <c r="P603" s="3">
        <f t="shared" si="58"/>
        <v>0</v>
      </c>
      <c r="Q603" s="3">
        <f t="shared" si="59"/>
        <v>1636.7</v>
      </c>
      <c r="R603" s="3">
        <f t="shared" si="55"/>
        <v>8550.4899999999925</v>
      </c>
      <c r="S603" s="24" t="s">
        <v>1334</v>
      </c>
      <c r="T603" s="24" t="s">
        <v>1334</v>
      </c>
      <c r="U603" s="53"/>
      <c r="V603" s="25">
        <f>IFERROR(VLOOKUP(BCP_Soles[[#This Row],[destinatario]],CHOOSE({1,2},Clientes_Proveedores[Razon Social],Clientes_Proveedores[Ruc / Dni]),2,0),"")</f>
        <v>10413461761</v>
      </c>
      <c r="W603" s="25" t="s">
        <v>712</v>
      </c>
      <c r="X603" s="25" t="s">
        <v>1972</v>
      </c>
      <c r="Y603" s="25"/>
      <c r="Z603" s="75"/>
      <c r="AA603" s="3" t="str">
        <f>IF(BCP_Soles[[#This Row],[fecha]]&gt;0,TEXT(BCP_Soles[[#This Row],[fecha]],"mmmm"),0)</f>
        <v>Febrero</v>
      </c>
    </row>
    <row r="604" spans="1:27" x14ac:dyDescent="0.3">
      <c r="A604" s="2">
        <f>IF(BCP_Soles[[#This Row],[tipo_registro]]="R",COUNTIFS($C$1:$C603,"R")+1,A603)</f>
        <v>424</v>
      </c>
      <c r="B604" s="19" t="str">
        <f t="shared" si="56"/>
        <v>B-BCP - Soles</v>
      </c>
      <c r="C604" s="3" t="s">
        <v>1330</v>
      </c>
      <c r="D604" s="14">
        <v>45706</v>
      </c>
      <c r="E604" s="5" t="s">
        <v>1338</v>
      </c>
      <c r="F604" s="5" t="s">
        <v>1336</v>
      </c>
      <c r="G604" s="6" t="s">
        <v>696</v>
      </c>
      <c r="H604" s="6"/>
      <c r="I604" s="6"/>
      <c r="J604" s="6"/>
      <c r="K604" s="21" t="s">
        <v>1973</v>
      </c>
      <c r="L604" s="8">
        <v>3762044</v>
      </c>
      <c r="M604" s="8" t="str">
        <f t="shared" si="57"/>
        <v>PEN</v>
      </c>
      <c r="N604" s="13"/>
      <c r="O604" s="13">
        <v>2526.65</v>
      </c>
      <c r="P604" s="3">
        <f t="shared" si="58"/>
        <v>0</v>
      </c>
      <c r="Q604" s="3">
        <f t="shared" si="59"/>
        <v>2526.65</v>
      </c>
      <c r="R604" s="3">
        <f t="shared" si="55"/>
        <v>6023.8399999999929</v>
      </c>
      <c r="S604" s="24" t="s">
        <v>1334</v>
      </c>
      <c r="T604" s="24" t="s">
        <v>1334</v>
      </c>
      <c r="U604" s="53"/>
      <c r="V604" s="25">
        <f>IFERROR(VLOOKUP(BCP_Soles[[#This Row],[destinatario]],CHOOSE({1,2},Clientes_Proveedores[Razon Social],Clientes_Proveedores[Ruc / Dni]),2,0),"")</f>
        <v>0</v>
      </c>
      <c r="W604" s="25" t="s">
        <v>1373</v>
      </c>
      <c r="X604" s="25"/>
      <c r="Y604" s="25"/>
      <c r="Z604" s="75"/>
      <c r="AA604" s="3" t="str">
        <f>IF(BCP_Soles[[#This Row],[fecha]]&gt;0,TEXT(BCP_Soles[[#This Row],[fecha]],"mmmm"),0)</f>
        <v>Febrero</v>
      </c>
    </row>
    <row r="605" spans="1:27" x14ac:dyDescent="0.3">
      <c r="A605" s="2">
        <f>IF(BCP_Soles[[#This Row],[tipo_registro]]="R",COUNTIFS($C$1:$C604,"R")+1,A604)</f>
        <v>425</v>
      </c>
      <c r="B605" s="19" t="str">
        <f t="shared" si="56"/>
        <v>B-BCP - Soles</v>
      </c>
      <c r="C605" s="3" t="s">
        <v>1330</v>
      </c>
      <c r="D605" s="14">
        <v>45707</v>
      </c>
      <c r="E605" s="5" t="s">
        <v>1335</v>
      </c>
      <c r="F605" s="5" t="s">
        <v>1336</v>
      </c>
      <c r="G605" s="6"/>
      <c r="H605" s="6"/>
      <c r="I605" s="6"/>
      <c r="J605" s="6"/>
      <c r="K605" s="7" t="s">
        <v>1337</v>
      </c>
      <c r="L605" s="8"/>
      <c r="M605" s="8" t="str">
        <f t="shared" si="57"/>
        <v>PEN</v>
      </c>
      <c r="N605" s="13"/>
      <c r="O605" s="13">
        <v>0.35</v>
      </c>
      <c r="P605" s="3">
        <f t="shared" si="58"/>
        <v>0</v>
      </c>
      <c r="Q605" s="3">
        <f t="shared" si="59"/>
        <v>0.35</v>
      </c>
      <c r="R605" s="3">
        <f t="shared" si="55"/>
        <v>6023.4899999999925</v>
      </c>
      <c r="S605" s="24"/>
      <c r="T605" s="24" t="s">
        <v>1334</v>
      </c>
      <c r="U605" s="53"/>
      <c r="V605" s="25" t="str">
        <f>IFERROR(VLOOKUP(BCP_Soles[[#This Row],[destinatario]],CHOOSE({1,2},Clientes_Proveedores[Razon Social],Clientes_Proveedores[Ruc / Dni]),2,0),"")</f>
        <v/>
      </c>
      <c r="W605" s="25"/>
      <c r="X605" s="25"/>
      <c r="Y605" s="25"/>
      <c r="Z605" s="75"/>
      <c r="AA605" s="3" t="str">
        <f>IF(BCP_Soles[[#This Row],[fecha]]&gt;0,TEXT(BCP_Soles[[#This Row],[fecha]],"mmmm"),0)</f>
        <v>Febrero</v>
      </c>
    </row>
    <row r="606" spans="1:27" ht="24" x14ac:dyDescent="0.3">
      <c r="A606" s="2">
        <f>IF(BCP_Soles[[#This Row],[tipo_registro]]="R",COUNTIFS($C$1:$C605,"R")+1,A605)</f>
        <v>426</v>
      </c>
      <c r="B606" s="19" t="str">
        <f t="shared" si="56"/>
        <v>B-BCP - Soles</v>
      </c>
      <c r="C606" s="3" t="s">
        <v>1330</v>
      </c>
      <c r="D606" s="14">
        <v>45707</v>
      </c>
      <c r="E606" s="5" t="s">
        <v>1338</v>
      </c>
      <c r="F606" s="5" t="s">
        <v>1336</v>
      </c>
      <c r="G606" s="6" t="s">
        <v>901</v>
      </c>
      <c r="H606" s="6"/>
      <c r="I606" s="6"/>
      <c r="J606" s="6"/>
      <c r="K606" s="7" t="s">
        <v>1974</v>
      </c>
      <c r="L606" s="8">
        <v>1076119</v>
      </c>
      <c r="M606" s="8" t="str">
        <f t="shared" si="57"/>
        <v>PEN</v>
      </c>
      <c r="N606" s="13"/>
      <c r="O606" s="13">
        <v>3000.1</v>
      </c>
      <c r="P606" s="3">
        <f t="shared" si="58"/>
        <v>0</v>
      </c>
      <c r="Q606" s="3">
        <f t="shared" si="59"/>
        <v>3000.1</v>
      </c>
      <c r="R606" s="3">
        <f t="shared" si="55"/>
        <v>3023.3899999999926</v>
      </c>
      <c r="S606" s="24"/>
      <c r="T606" s="24" t="s">
        <v>1334</v>
      </c>
      <c r="U606" s="53"/>
      <c r="V606" s="25">
        <f>IFERROR(VLOOKUP(BCP_Soles[[#This Row],[destinatario]],CHOOSE({1,2},Clientes_Proveedores[Razon Social],Clientes_Proveedores[Ruc / Dni]),2,0),"")</f>
        <v>72131384</v>
      </c>
      <c r="W606" s="25" t="s">
        <v>901</v>
      </c>
      <c r="X606" s="25" t="s">
        <v>1975</v>
      </c>
      <c r="Y606" s="25"/>
      <c r="Z606" s="75"/>
      <c r="AA606" s="3" t="str">
        <f>IF(BCP_Soles[[#This Row],[fecha]]&gt;0,TEXT(BCP_Soles[[#This Row],[fecha]],"mmmm"),0)</f>
        <v>Febrero</v>
      </c>
    </row>
    <row r="607" spans="1:27" ht="24" x14ac:dyDescent="0.3">
      <c r="A607" s="2">
        <f>IF(BCP_Soles[[#This Row],[tipo_registro]]="R",COUNTIFS($C$1:$C606,"R")+1,A606)</f>
        <v>427</v>
      </c>
      <c r="B607" s="19" t="str">
        <f t="shared" si="56"/>
        <v>B-BCP - Soles</v>
      </c>
      <c r="C607" s="3" t="s">
        <v>1330</v>
      </c>
      <c r="D607" s="14">
        <v>45707</v>
      </c>
      <c r="E607" s="5" t="s">
        <v>1338</v>
      </c>
      <c r="F607" s="5" t="s">
        <v>1336</v>
      </c>
      <c r="G607" s="6"/>
      <c r="H607" s="6"/>
      <c r="I607" s="6"/>
      <c r="J607" s="6"/>
      <c r="K607" s="7" t="s">
        <v>1976</v>
      </c>
      <c r="L607" s="8">
        <v>1052859</v>
      </c>
      <c r="M607" s="8" t="str">
        <f t="shared" si="57"/>
        <v>PEN</v>
      </c>
      <c r="N607" s="13"/>
      <c r="O607" s="13">
        <v>1834.6</v>
      </c>
      <c r="P607" s="3">
        <f t="shared" si="58"/>
        <v>0</v>
      </c>
      <c r="Q607" s="3">
        <f t="shared" si="59"/>
        <v>1834.6</v>
      </c>
      <c r="R607" s="3">
        <f t="shared" si="55"/>
        <v>1188.7899999999927</v>
      </c>
      <c r="S607" s="24"/>
      <c r="T607" s="24"/>
      <c r="U607" s="53"/>
      <c r="V607" s="25" t="str">
        <f>IFERROR(VLOOKUP(BCP_Soles[[#This Row],[destinatario]],CHOOSE({1,2},Clientes_Proveedores[Razon Social],Clientes_Proveedores[Ruc / Dni]),2,0),"")</f>
        <v/>
      </c>
      <c r="W607" s="25" t="s">
        <v>1638</v>
      </c>
      <c r="X607" s="25"/>
      <c r="Y607" s="25"/>
      <c r="Z607" s="75"/>
      <c r="AA607" s="3" t="str">
        <f>IF(BCP_Soles[[#This Row],[fecha]]&gt;0,TEXT(BCP_Soles[[#This Row],[fecha]],"mmmm"),0)</f>
        <v>Febrero</v>
      </c>
    </row>
    <row r="608" spans="1:27" ht="24" x14ac:dyDescent="0.3">
      <c r="A608" s="2">
        <f>IF(BCP_Soles[[#This Row],[tipo_registro]]="R",COUNTIFS($C$1:$C607,"R")+1,A607)</f>
        <v>428</v>
      </c>
      <c r="B608" s="19" t="str">
        <f t="shared" si="56"/>
        <v>B-BCP - Soles</v>
      </c>
      <c r="C608" s="3" t="s">
        <v>1330</v>
      </c>
      <c r="D608" s="14">
        <v>45707</v>
      </c>
      <c r="E608" s="5" t="s">
        <v>1338</v>
      </c>
      <c r="F608" s="5" t="s">
        <v>1336</v>
      </c>
      <c r="G608" s="6" t="s">
        <v>267</v>
      </c>
      <c r="H608" s="6" t="s">
        <v>68</v>
      </c>
      <c r="I608" s="6" t="s">
        <v>1977</v>
      </c>
      <c r="J608" s="6">
        <v>25749</v>
      </c>
      <c r="K608" s="7" t="s">
        <v>1978</v>
      </c>
      <c r="L608" s="8">
        <v>1053841</v>
      </c>
      <c r="M608" s="8" t="str">
        <f t="shared" si="57"/>
        <v>PEN</v>
      </c>
      <c r="N608" s="13"/>
      <c r="O608" s="13">
        <v>1651.49</v>
      </c>
      <c r="P608" s="3">
        <f t="shared" si="58"/>
        <v>0</v>
      </c>
      <c r="Q608" s="3">
        <f t="shared" si="59"/>
        <v>1651.49</v>
      </c>
      <c r="R608" s="3">
        <f t="shared" si="55"/>
        <v>-462.70000000000732</v>
      </c>
      <c r="S608" s="24" t="s">
        <v>1334</v>
      </c>
      <c r="T608" s="24" t="s">
        <v>1334</v>
      </c>
      <c r="U608" s="53"/>
      <c r="V608" s="25">
        <f>IFERROR(VLOOKUP(BCP_Soles[[#This Row],[destinatario]],CHOOSE({1,2},Clientes_Proveedores[Razon Social],Clientes_Proveedores[Ruc / Dni]),2,0),"")</f>
        <v>20413666130</v>
      </c>
      <c r="W608" s="25" t="s">
        <v>1979</v>
      </c>
      <c r="X608" s="25" t="s">
        <v>1980</v>
      </c>
      <c r="Y608" s="25"/>
      <c r="Z608" s="75"/>
      <c r="AA608" s="3" t="str">
        <f>IF(BCP_Soles[[#This Row],[fecha]]&gt;0,TEXT(BCP_Soles[[#This Row],[fecha]],"mmmm"),0)</f>
        <v>Febrero</v>
      </c>
    </row>
    <row r="609" spans="1:27" ht="24" x14ac:dyDescent="0.3">
      <c r="A609" s="2">
        <f>IF(BCP_Soles[[#This Row],[tipo_registro]]="R",COUNTIFS($C$1:$C608,"R")+1,A608)</f>
        <v>429</v>
      </c>
      <c r="B609" s="19" t="str">
        <f t="shared" si="56"/>
        <v>B-BCP - Soles</v>
      </c>
      <c r="C609" s="3" t="s">
        <v>1330</v>
      </c>
      <c r="D609" s="14">
        <v>45707</v>
      </c>
      <c r="E609" s="5" t="s">
        <v>1338</v>
      </c>
      <c r="F609" s="5" t="s">
        <v>1336</v>
      </c>
      <c r="G609" s="6" t="s">
        <v>754</v>
      </c>
      <c r="H609" s="6" t="s">
        <v>72</v>
      </c>
      <c r="I609" s="6" t="s">
        <v>1376</v>
      </c>
      <c r="J609" s="6">
        <v>17</v>
      </c>
      <c r="K609" s="7" t="s">
        <v>1981</v>
      </c>
      <c r="L609" s="8">
        <v>1138416</v>
      </c>
      <c r="M609" s="8" t="str">
        <f t="shared" si="57"/>
        <v>PEN</v>
      </c>
      <c r="N609" s="13"/>
      <c r="O609" s="13">
        <v>650</v>
      </c>
      <c r="P609" s="3">
        <f t="shared" si="58"/>
        <v>0</v>
      </c>
      <c r="Q609" s="3">
        <f t="shared" si="59"/>
        <v>650</v>
      </c>
      <c r="R609" s="3">
        <f t="shared" si="55"/>
        <v>-1112.7000000000073</v>
      </c>
      <c r="S609" s="24" t="s">
        <v>1334</v>
      </c>
      <c r="T609" s="24" t="s">
        <v>1334</v>
      </c>
      <c r="U609" s="53"/>
      <c r="V609" s="25">
        <f>IFERROR(VLOOKUP(BCP_Soles[[#This Row],[destinatario]],CHOOSE({1,2},Clientes_Proveedores[Razon Social],Clientes_Proveedores[Ruc / Dni]),2,0),"")</f>
        <v>10723875914</v>
      </c>
      <c r="W609" s="25" t="s">
        <v>754</v>
      </c>
      <c r="X609" s="25" t="s">
        <v>1982</v>
      </c>
      <c r="Y609" s="25"/>
      <c r="Z609" s="75"/>
      <c r="AA609" s="3" t="str">
        <f>IF(BCP_Soles[[#This Row],[fecha]]&gt;0,TEXT(BCP_Soles[[#This Row],[fecha]],"mmmm"),0)</f>
        <v>Febrero</v>
      </c>
    </row>
    <row r="610" spans="1:27" ht="24" x14ac:dyDescent="0.3">
      <c r="A610" s="2">
        <f>IF(BCP_Soles[[#This Row],[tipo_registro]]="R",COUNTIFS($C$1:$C609,"R")+1,A609)</f>
        <v>430</v>
      </c>
      <c r="B610" s="19" t="str">
        <f t="shared" si="56"/>
        <v>B-BCP - Soles</v>
      </c>
      <c r="C610" s="3" t="s">
        <v>1330</v>
      </c>
      <c r="D610" s="14">
        <v>45707</v>
      </c>
      <c r="E610" s="5" t="s">
        <v>1338</v>
      </c>
      <c r="F610" s="5" t="s">
        <v>1336</v>
      </c>
      <c r="G610" s="6" t="s">
        <v>866</v>
      </c>
      <c r="H610" s="6" t="s">
        <v>143</v>
      </c>
      <c r="I610" s="6">
        <v>1</v>
      </c>
      <c r="J610" s="6">
        <v>132025</v>
      </c>
      <c r="K610" s="7" t="s">
        <v>1983</v>
      </c>
      <c r="L610" s="8">
        <v>1137426</v>
      </c>
      <c r="M610" s="8" t="str">
        <f t="shared" si="57"/>
        <v>PEN</v>
      </c>
      <c r="N610" s="13"/>
      <c r="O610" s="13">
        <v>514</v>
      </c>
      <c r="P610" s="3">
        <f t="shared" si="58"/>
        <v>0</v>
      </c>
      <c r="Q610" s="3">
        <f t="shared" si="59"/>
        <v>514</v>
      </c>
      <c r="R610" s="3">
        <f t="shared" si="55"/>
        <v>-1626.7000000000073</v>
      </c>
      <c r="S610" s="24" t="s">
        <v>1334</v>
      </c>
      <c r="T610" s="24" t="s">
        <v>1334</v>
      </c>
      <c r="U610" s="53"/>
      <c r="V610" s="25">
        <f>IFERROR(VLOOKUP(BCP_Soles[[#This Row],[destinatario]],CHOOSE({1,2},Clientes_Proveedores[Razon Social],Clientes_Proveedores[Ruc / Dni]),2,0),"")</f>
        <v>45921913</v>
      </c>
      <c r="W610" s="25"/>
      <c r="X610" s="25"/>
      <c r="Y610" s="25"/>
      <c r="Z610" s="75"/>
      <c r="AA610" s="3" t="str">
        <f>IF(BCP_Soles[[#This Row],[fecha]]&gt;0,TEXT(BCP_Soles[[#This Row],[fecha]],"mmmm"),0)</f>
        <v>Febrero</v>
      </c>
    </row>
    <row r="611" spans="1:27" x14ac:dyDescent="0.3">
      <c r="A611" s="2">
        <f>IF(BCP_Soles[[#This Row],[tipo_registro]]="R",COUNTIFS($C$1:$C610,"R")+1,A610)</f>
        <v>431</v>
      </c>
      <c r="B611" s="19" t="str">
        <f t="shared" si="56"/>
        <v>B-BCP - Soles</v>
      </c>
      <c r="C611" s="3" t="s">
        <v>1330</v>
      </c>
      <c r="D611" s="14">
        <v>45707</v>
      </c>
      <c r="E611" s="5" t="s">
        <v>1338</v>
      </c>
      <c r="F611" s="5" t="s">
        <v>1336</v>
      </c>
      <c r="G611" s="6" t="s">
        <v>928</v>
      </c>
      <c r="H611" s="6" t="s">
        <v>143</v>
      </c>
      <c r="I611" s="6">
        <v>1</v>
      </c>
      <c r="J611" s="6">
        <v>82025</v>
      </c>
      <c r="K611" s="7" t="s">
        <v>1984</v>
      </c>
      <c r="L611" s="8">
        <v>1136453</v>
      </c>
      <c r="M611" s="8" t="str">
        <f t="shared" si="57"/>
        <v>PEN</v>
      </c>
      <c r="N611" s="13"/>
      <c r="O611" s="13">
        <v>400</v>
      </c>
      <c r="P611" s="3">
        <f t="shared" si="58"/>
        <v>0</v>
      </c>
      <c r="Q611" s="3">
        <f t="shared" si="59"/>
        <v>400</v>
      </c>
      <c r="R611" s="3">
        <f t="shared" si="55"/>
        <v>-2026.7000000000073</v>
      </c>
      <c r="S611" s="24" t="s">
        <v>1334</v>
      </c>
      <c r="T611" s="24" t="s">
        <v>1334</v>
      </c>
      <c r="U611" s="53"/>
      <c r="V611" s="25">
        <f>IFERROR(VLOOKUP(BCP_Soles[[#This Row],[destinatario]],CHOOSE({1,2},Clientes_Proveedores[Razon Social],Clientes_Proveedores[Ruc / Dni]),2,0),"")</f>
        <v>46126507</v>
      </c>
      <c r="W611" s="25"/>
      <c r="X611" s="25"/>
      <c r="Y611" s="25"/>
      <c r="Z611" s="75"/>
      <c r="AA611" s="3" t="str">
        <f>IF(BCP_Soles[[#This Row],[fecha]]&gt;0,TEXT(BCP_Soles[[#This Row],[fecha]],"mmmm"),0)</f>
        <v>Febrero</v>
      </c>
    </row>
    <row r="612" spans="1:27" ht="24" x14ac:dyDescent="0.3">
      <c r="A612" s="2">
        <f>IF(BCP_Soles[[#This Row],[tipo_registro]]="R",COUNTIFS($C$1:$C611,"R")+1,A611)</f>
        <v>432</v>
      </c>
      <c r="B612" s="19" t="str">
        <f t="shared" si="56"/>
        <v>B-BCP - Soles</v>
      </c>
      <c r="C612" s="3" t="s">
        <v>1330</v>
      </c>
      <c r="D612" s="14">
        <v>45707</v>
      </c>
      <c r="E612" s="5" t="s">
        <v>1338</v>
      </c>
      <c r="F612" s="5" t="s">
        <v>1336</v>
      </c>
      <c r="G612" s="6" t="s">
        <v>212</v>
      </c>
      <c r="H612" s="6" t="s">
        <v>68</v>
      </c>
      <c r="I612" s="6" t="s">
        <v>1390</v>
      </c>
      <c r="J612" s="6">
        <v>767</v>
      </c>
      <c r="K612" s="7" t="s">
        <v>1985</v>
      </c>
      <c r="L612" s="8">
        <v>1052360</v>
      </c>
      <c r="M612" s="8" t="str">
        <f t="shared" si="57"/>
        <v>PEN</v>
      </c>
      <c r="N612" s="13"/>
      <c r="O612" s="13">
        <v>60.54</v>
      </c>
      <c r="P612" s="3">
        <f t="shared" si="58"/>
        <v>0</v>
      </c>
      <c r="Q612" s="3">
        <f t="shared" si="59"/>
        <v>60.54</v>
      </c>
      <c r="R612" s="3">
        <f t="shared" si="55"/>
        <v>-2087.2400000000075</v>
      </c>
      <c r="S612" s="24" t="s">
        <v>1334</v>
      </c>
      <c r="T612" s="24" t="s">
        <v>1334</v>
      </c>
      <c r="U612" s="53"/>
      <c r="V612" s="25">
        <f>IFERROR(VLOOKUP(BCP_Soles[[#This Row],[destinatario]],CHOOSE({1,2},Clientes_Proveedores[Razon Social],Clientes_Proveedores[Ruc / Dni]),2,0),"")</f>
        <v>20100235138</v>
      </c>
      <c r="W612" s="25" t="s">
        <v>1766</v>
      </c>
      <c r="X612" s="25" t="s">
        <v>1986</v>
      </c>
      <c r="Y612" s="25"/>
      <c r="Z612" s="75"/>
      <c r="AA612" s="3" t="str">
        <f>IF(BCP_Soles[[#This Row],[fecha]]&gt;0,TEXT(BCP_Soles[[#This Row],[fecha]],"mmmm"),0)</f>
        <v>Febrero</v>
      </c>
    </row>
    <row r="613" spans="1:27" ht="36" x14ac:dyDescent="0.3">
      <c r="A613" s="2">
        <f>IF(BCP_Soles[[#This Row],[tipo_registro]]="R",COUNTIFS($C$1:$C612,"R")+1,A612)</f>
        <v>433</v>
      </c>
      <c r="B613" s="19" t="str">
        <f t="shared" si="56"/>
        <v>B-BCP - Soles</v>
      </c>
      <c r="C613" s="3" t="s">
        <v>1330</v>
      </c>
      <c r="D613" s="14">
        <v>45707</v>
      </c>
      <c r="E613" s="5" t="s">
        <v>1628</v>
      </c>
      <c r="F613" s="5" t="s">
        <v>1303</v>
      </c>
      <c r="G613" s="6" t="s">
        <v>425</v>
      </c>
      <c r="H613" s="6" t="s">
        <v>119</v>
      </c>
      <c r="I613" s="6">
        <v>2</v>
      </c>
      <c r="J613" s="6">
        <v>718</v>
      </c>
      <c r="K613" s="7" t="s">
        <v>1356</v>
      </c>
      <c r="L613" s="8">
        <v>1689193</v>
      </c>
      <c r="M613" s="8" t="str">
        <f t="shared" si="57"/>
        <v>PEN</v>
      </c>
      <c r="N613" s="13"/>
      <c r="O613" s="13">
        <v>2960</v>
      </c>
      <c r="P613" s="3">
        <f t="shared" si="58"/>
        <v>2960</v>
      </c>
      <c r="Q613" s="3">
        <f t="shared" si="59"/>
        <v>0</v>
      </c>
      <c r="R613" s="3">
        <f t="shared" si="55"/>
        <v>872.75999999999249</v>
      </c>
      <c r="S613" s="24" t="s">
        <v>1334</v>
      </c>
      <c r="T613" s="24" t="s">
        <v>1334</v>
      </c>
      <c r="U613" s="53"/>
      <c r="V613" s="25">
        <f>IFERROR(VLOOKUP(BCP_Soles[[#This Row],[destinatario]],CHOOSE({1,2},Clientes_Proveedores[Razon Social],Clientes_Proveedores[Ruc / Dni]),2,0),"")</f>
        <v>20558226979</v>
      </c>
      <c r="W613" s="25" t="s">
        <v>1345</v>
      </c>
      <c r="X613" s="25" t="s">
        <v>1987</v>
      </c>
      <c r="Y613" s="25"/>
      <c r="Z613" s="75"/>
      <c r="AA613" s="3" t="str">
        <f>IF(BCP_Soles[[#This Row],[fecha]]&gt;0,TEXT(BCP_Soles[[#This Row],[fecha]],"mmmm"),0)</f>
        <v>Febrero</v>
      </c>
    </row>
    <row r="614" spans="1:27" ht="24" x14ac:dyDescent="0.3">
      <c r="A614" s="2">
        <f>IF(BCP_Soles[[#This Row],[tipo_registro]]="R",COUNTIFS($C$1:$C613,"R")+1,A613)</f>
        <v>434</v>
      </c>
      <c r="B614" s="19" t="str">
        <f t="shared" si="56"/>
        <v>B-BCP - Soles</v>
      </c>
      <c r="C614" s="3" t="s">
        <v>1330</v>
      </c>
      <c r="D614" s="14">
        <v>45707</v>
      </c>
      <c r="E614" s="5" t="s">
        <v>1505</v>
      </c>
      <c r="F614" s="5" t="s">
        <v>1303</v>
      </c>
      <c r="G614" s="6" t="s">
        <v>425</v>
      </c>
      <c r="H614" s="6" t="s">
        <v>119</v>
      </c>
      <c r="I614" s="6">
        <v>2</v>
      </c>
      <c r="J614" s="6">
        <v>722</v>
      </c>
      <c r="K614" s="7" t="s">
        <v>1356</v>
      </c>
      <c r="L614" s="8">
        <v>3632819</v>
      </c>
      <c r="M614" s="8" t="str">
        <f t="shared" si="57"/>
        <v>PEN</v>
      </c>
      <c r="N614" s="13"/>
      <c r="O614" s="13">
        <v>720</v>
      </c>
      <c r="P614" s="3">
        <f t="shared" si="58"/>
        <v>720</v>
      </c>
      <c r="Q614" s="3">
        <f t="shared" si="59"/>
        <v>0</v>
      </c>
      <c r="R614" s="3">
        <f t="shared" si="55"/>
        <v>1592.7599999999925</v>
      </c>
      <c r="S614" s="24" t="s">
        <v>1334</v>
      </c>
      <c r="T614" s="24" t="s">
        <v>1334</v>
      </c>
      <c r="U614" s="53"/>
      <c r="V614" s="25">
        <f>IFERROR(VLOOKUP(BCP_Soles[[#This Row],[destinatario]],CHOOSE({1,2},Clientes_Proveedores[Razon Social],Clientes_Proveedores[Ruc / Dni]),2,0),"")</f>
        <v>20558226979</v>
      </c>
      <c r="W614" s="25" t="s">
        <v>1345</v>
      </c>
      <c r="X614" s="25" t="s">
        <v>1988</v>
      </c>
      <c r="Y614" s="25"/>
      <c r="Z614" s="75"/>
      <c r="AA614" s="3" t="str">
        <f>IF(BCP_Soles[[#This Row],[fecha]]&gt;0,TEXT(BCP_Soles[[#This Row],[fecha]],"mmmm"),0)</f>
        <v>Febrero</v>
      </c>
    </row>
    <row r="615" spans="1:27" x14ac:dyDescent="0.3">
      <c r="A615" s="2">
        <f>IF(BCP_Soles[[#This Row],[tipo_registro]]="R",COUNTIFS($C$1:$C614,"R")+1,A614)</f>
        <v>435</v>
      </c>
      <c r="B615" s="19" t="str">
        <f t="shared" si="56"/>
        <v>B-BCP - Soles</v>
      </c>
      <c r="C615" s="3" t="s">
        <v>1330</v>
      </c>
      <c r="D615" s="14">
        <v>45707</v>
      </c>
      <c r="E615" s="5"/>
      <c r="F615" s="5" t="s">
        <v>1303</v>
      </c>
      <c r="G615" s="6" t="s">
        <v>425</v>
      </c>
      <c r="H615" s="6"/>
      <c r="I615" s="6"/>
      <c r="J615" s="6"/>
      <c r="K615" s="7" t="s">
        <v>1356</v>
      </c>
      <c r="L615" s="8">
        <v>2174234</v>
      </c>
      <c r="M615" s="8" t="str">
        <f t="shared" si="57"/>
        <v>PEN</v>
      </c>
      <c r="N615" s="13"/>
      <c r="O615" s="13">
        <v>167.2</v>
      </c>
      <c r="P615" s="3">
        <f t="shared" si="58"/>
        <v>167.2</v>
      </c>
      <c r="Q615" s="3">
        <f t="shared" si="59"/>
        <v>0</v>
      </c>
      <c r="R615" s="3">
        <f t="shared" si="55"/>
        <v>1759.9599999999925</v>
      </c>
      <c r="S615" s="24"/>
      <c r="T615" s="24"/>
      <c r="U615" s="53"/>
      <c r="V615" s="25">
        <f>IFERROR(VLOOKUP(BCP_Soles[[#This Row],[destinatario]],CHOOSE({1,2},Clientes_Proveedores[Razon Social],Clientes_Proveedores[Ruc / Dni]),2,0),"")</f>
        <v>20558226979</v>
      </c>
      <c r="W615" s="25" t="s">
        <v>1345</v>
      </c>
      <c r="X615" s="25"/>
      <c r="Y615" s="25"/>
      <c r="Z615" s="75"/>
      <c r="AA615" s="3" t="str">
        <f>IF(BCP_Soles[[#This Row],[fecha]]&gt;0,TEXT(BCP_Soles[[#This Row],[fecha]],"mmmm"),0)</f>
        <v>Febrero</v>
      </c>
    </row>
    <row r="616" spans="1:27" x14ac:dyDescent="0.3">
      <c r="A616" s="2">
        <f>IF(BCP_Soles[[#This Row],[tipo_registro]]="R",COUNTIFS($C$1:$C615,"R")+1,A615)</f>
        <v>436</v>
      </c>
      <c r="B616" s="19" t="str">
        <f t="shared" si="56"/>
        <v>B-BCP - Soles</v>
      </c>
      <c r="C616" s="3" t="s">
        <v>1330</v>
      </c>
      <c r="D616" s="14">
        <v>45708</v>
      </c>
      <c r="E616" s="5" t="s">
        <v>1335</v>
      </c>
      <c r="F616" s="5" t="s">
        <v>1336</v>
      </c>
      <c r="G616" s="6"/>
      <c r="H616" s="6"/>
      <c r="I616" s="6"/>
      <c r="J616" s="6"/>
      <c r="K616" s="7" t="s">
        <v>1337</v>
      </c>
      <c r="L616" s="8"/>
      <c r="M616" s="8" t="str">
        <f t="shared" si="57"/>
        <v>PEN</v>
      </c>
      <c r="N616" s="13"/>
      <c r="O616" s="13">
        <v>1.2</v>
      </c>
      <c r="P616" s="3">
        <f t="shared" si="58"/>
        <v>0</v>
      </c>
      <c r="Q616" s="3">
        <f t="shared" si="59"/>
        <v>1.2</v>
      </c>
      <c r="R616" s="3">
        <f t="shared" si="55"/>
        <v>1758.7599999999925</v>
      </c>
      <c r="S616" s="24"/>
      <c r="T616" s="24" t="s">
        <v>1334</v>
      </c>
      <c r="U616" s="53"/>
      <c r="V616" s="25" t="str">
        <f>IFERROR(VLOOKUP(BCP_Soles[[#This Row],[destinatario]],CHOOSE({1,2},Clientes_Proveedores[Razon Social],Clientes_Proveedores[Ruc / Dni]),2,0),"")</f>
        <v/>
      </c>
      <c r="W616" s="25"/>
      <c r="X616" s="25"/>
      <c r="Y616" s="25"/>
      <c r="Z616" s="75"/>
      <c r="AA616" s="3" t="str">
        <f>IF(BCP_Soles[[#This Row],[fecha]]&gt;0,TEXT(BCP_Soles[[#This Row],[fecha]],"mmmm"),0)</f>
        <v>Febrero</v>
      </c>
    </row>
    <row r="617" spans="1:27" x14ac:dyDescent="0.3">
      <c r="A617" s="2">
        <f>IF(BCP_Soles[[#This Row],[tipo_registro]]="R",COUNTIFS($C$1:$C616,"R")+1,A616)</f>
        <v>437</v>
      </c>
      <c r="B617" s="19" t="str">
        <f t="shared" si="56"/>
        <v>B-BCP - Soles</v>
      </c>
      <c r="C617" s="3" t="s">
        <v>1330</v>
      </c>
      <c r="D617" s="14">
        <v>45708</v>
      </c>
      <c r="E617" s="5" t="s">
        <v>1989</v>
      </c>
      <c r="F617" s="5" t="s">
        <v>1336</v>
      </c>
      <c r="G617" s="6"/>
      <c r="H617" s="6"/>
      <c r="I617" s="6"/>
      <c r="J617" s="6"/>
      <c r="K617" s="7" t="s">
        <v>1990</v>
      </c>
      <c r="L617" s="8">
        <v>1013765</v>
      </c>
      <c r="M617" s="8" t="str">
        <f t="shared" si="57"/>
        <v>PEN</v>
      </c>
      <c r="N617" s="13"/>
      <c r="O617" s="13">
        <v>4622</v>
      </c>
      <c r="P617" s="3">
        <f t="shared" si="58"/>
        <v>0</v>
      </c>
      <c r="Q617" s="3">
        <f t="shared" si="59"/>
        <v>4622</v>
      </c>
      <c r="R617" s="3">
        <f t="shared" si="55"/>
        <v>-2863.2400000000075</v>
      </c>
      <c r="S617" s="24"/>
      <c r="T617" s="24"/>
      <c r="U617" s="53"/>
      <c r="V617" s="25" t="str">
        <f>IFERROR(VLOOKUP(BCP_Soles[[#This Row],[destinatario]],CHOOSE({1,2},Clientes_Proveedores[Razon Social],Clientes_Proveedores[Ruc / Dni]),2,0),"")</f>
        <v/>
      </c>
      <c r="W617" s="25" t="s">
        <v>1389</v>
      </c>
      <c r="X617" s="25"/>
      <c r="Y617" s="25"/>
      <c r="Z617" s="75"/>
      <c r="AA617" s="3" t="str">
        <f>IF(BCP_Soles[[#This Row],[fecha]]&gt;0,TEXT(BCP_Soles[[#This Row],[fecha]],"mmmm"),0)</f>
        <v>Febrero</v>
      </c>
    </row>
    <row r="618" spans="1:27" x14ac:dyDescent="0.3">
      <c r="A618" s="2">
        <f>IF(BCP_Soles[[#This Row],[tipo_registro]]="R",COUNTIFS($C$1:$C617,"R")+1,A617)</f>
        <v>438</v>
      </c>
      <c r="B618" s="19" t="str">
        <f t="shared" si="56"/>
        <v>B-BCP - Soles</v>
      </c>
      <c r="C618" s="3" t="s">
        <v>1330</v>
      </c>
      <c r="D618" s="14">
        <v>45708</v>
      </c>
      <c r="E618" s="5" t="s">
        <v>1338</v>
      </c>
      <c r="F618" s="5" t="s">
        <v>1336</v>
      </c>
      <c r="G618" s="6" t="s">
        <v>695</v>
      </c>
      <c r="H618" s="6" t="s">
        <v>68</v>
      </c>
      <c r="I618" s="6" t="s">
        <v>1715</v>
      </c>
      <c r="J618" s="6">
        <v>128977</v>
      </c>
      <c r="K618" s="7" t="s">
        <v>1378</v>
      </c>
      <c r="L618" s="8">
        <v>83480</v>
      </c>
      <c r="M618" s="8" t="str">
        <f t="shared" si="57"/>
        <v>PEN</v>
      </c>
      <c r="N618" s="13"/>
      <c r="O618" s="13">
        <v>2730.65</v>
      </c>
      <c r="P618" s="3">
        <f t="shared" si="58"/>
        <v>0</v>
      </c>
      <c r="Q618" s="3">
        <f t="shared" si="59"/>
        <v>2730.65</v>
      </c>
      <c r="R618" s="3">
        <f t="shared" si="55"/>
        <v>-5593.8900000000076</v>
      </c>
      <c r="S618" s="24" t="s">
        <v>1334</v>
      </c>
      <c r="T618" s="24" t="s">
        <v>1334</v>
      </c>
      <c r="U618" s="53"/>
      <c r="V618" s="25">
        <f>IFERROR(VLOOKUP(BCP_Soles[[#This Row],[destinatario]],CHOOSE({1,2},Clientes_Proveedores[Razon Social],Clientes_Proveedores[Ruc / Dni]),2,0),"")</f>
        <v>20127765279</v>
      </c>
      <c r="W618" s="25" t="s">
        <v>1379</v>
      </c>
      <c r="X618" s="25" t="s">
        <v>1991</v>
      </c>
      <c r="Y618" s="25"/>
      <c r="Z618" s="75"/>
      <c r="AA618" s="3" t="str">
        <f>IF(BCP_Soles[[#This Row],[fecha]]&gt;0,TEXT(BCP_Soles[[#This Row],[fecha]],"mmmm"),0)</f>
        <v>Febrero</v>
      </c>
    </row>
    <row r="619" spans="1:27" ht="36" x14ac:dyDescent="0.3">
      <c r="A619" s="2">
        <f>IF(BCP_Soles[[#This Row],[tipo_registro]]="R",COUNTIFS($C$1:$C618,"R")+1,A618)</f>
        <v>439</v>
      </c>
      <c r="B619" s="19" t="str">
        <f t="shared" si="56"/>
        <v>B-BCP - Soles</v>
      </c>
      <c r="C619" s="3" t="s">
        <v>1330</v>
      </c>
      <c r="D619" s="14">
        <v>45708</v>
      </c>
      <c r="E619" s="5" t="s">
        <v>1338</v>
      </c>
      <c r="F619" s="5" t="s">
        <v>1336</v>
      </c>
      <c r="G619" s="6" t="s">
        <v>277</v>
      </c>
      <c r="H619" s="6" t="s">
        <v>68</v>
      </c>
      <c r="I619" s="6" t="s">
        <v>1390</v>
      </c>
      <c r="J619" s="6">
        <v>1640</v>
      </c>
      <c r="K619" s="7" t="s">
        <v>1992</v>
      </c>
      <c r="L619" s="8">
        <v>1155162</v>
      </c>
      <c r="M619" s="8" t="str">
        <f t="shared" si="57"/>
        <v>PEN</v>
      </c>
      <c r="N619" s="13"/>
      <c r="O619" s="13">
        <v>2544</v>
      </c>
      <c r="P619" s="3">
        <f t="shared" si="58"/>
        <v>0</v>
      </c>
      <c r="Q619" s="3">
        <f t="shared" si="59"/>
        <v>2544</v>
      </c>
      <c r="R619" s="3">
        <f t="shared" si="55"/>
        <v>-8137.8900000000076</v>
      </c>
      <c r="S619" s="24" t="s">
        <v>1334</v>
      </c>
      <c r="T619" s="24" t="s">
        <v>1334</v>
      </c>
      <c r="U619" s="53"/>
      <c r="V619" s="25">
        <f>IFERROR(VLOOKUP(BCP_Soles[[#This Row],[destinatario]],CHOOSE({1,2},Clientes_Proveedores[Razon Social],Clientes_Proveedores[Ruc / Dni]),2,0),"")</f>
        <v>20429640939</v>
      </c>
      <c r="W619" s="25" t="s">
        <v>1408</v>
      </c>
      <c r="X619" s="25" t="s">
        <v>1993</v>
      </c>
      <c r="Y619" s="25"/>
      <c r="Z619" s="75"/>
      <c r="AA619" s="3" t="str">
        <f>IF(BCP_Soles[[#This Row],[fecha]]&gt;0,TEXT(BCP_Soles[[#This Row],[fecha]],"mmmm"),0)</f>
        <v>Febrero</v>
      </c>
    </row>
    <row r="620" spans="1:27" ht="24" x14ac:dyDescent="0.3">
      <c r="A620" s="2">
        <f>IF(BCP_Soles[[#This Row],[tipo_registro]]="R",COUNTIFS($C$1:$C619,"R")+1,A619)</f>
        <v>440</v>
      </c>
      <c r="B620" s="19" t="str">
        <f t="shared" si="56"/>
        <v>B-BCP - Soles</v>
      </c>
      <c r="C620" s="3" t="s">
        <v>1330</v>
      </c>
      <c r="D620" s="14">
        <v>45708</v>
      </c>
      <c r="E620" s="5" t="s">
        <v>1338</v>
      </c>
      <c r="F620" s="5" t="s">
        <v>1336</v>
      </c>
      <c r="G620" s="6" t="s">
        <v>173</v>
      </c>
      <c r="H620" s="6" t="s">
        <v>68</v>
      </c>
      <c r="I620" s="6" t="s">
        <v>1376</v>
      </c>
      <c r="J620" s="6">
        <v>879</v>
      </c>
      <c r="K620" s="7" t="s">
        <v>1994</v>
      </c>
      <c r="L620" s="8">
        <v>1104049</v>
      </c>
      <c r="M620" s="8" t="str">
        <f t="shared" si="57"/>
        <v>PEN</v>
      </c>
      <c r="N620" s="13"/>
      <c r="O620" s="13">
        <v>1074.08</v>
      </c>
      <c r="P620" s="3">
        <f t="shared" si="58"/>
        <v>0</v>
      </c>
      <c r="Q620" s="3">
        <f t="shared" si="59"/>
        <v>1074.08</v>
      </c>
      <c r="R620" s="3">
        <f t="shared" si="55"/>
        <v>-9211.9700000000084</v>
      </c>
      <c r="S620" s="24" t="s">
        <v>1334</v>
      </c>
      <c r="T620" s="24" t="s">
        <v>1334</v>
      </c>
      <c r="U620" s="53"/>
      <c r="V620" s="25">
        <f>IFERROR(VLOOKUP(BCP_Soles[[#This Row],[destinatario]],CHOOSE({1,2},Clientes_Proveedores[Razon Social],Clientes_Proveedores[Ruc / Dni]),2,0),"")</f>
        <v>10459427525</v>
      </c>
      <c r="W620" s="25" t="s">
        <v>173</v>
      </c>
      <c r="X620" s="25" t="s">
        <v>1995</v>
      </c>
      <c r="Y620" s="25"/>
      <c r="Z620" s="75"/>
      <c r="AA620" s="3" t="str">
        <f>IF(BCP_Soles[[#This Row],[fecha]]&gt;0,TEXT(BCP_Soles[[#This Row],[fecha]],"mmmm"),0)</f>
        <v>Febrero</v>
      </c>
    </row>
    <row r="621" spans="1:27" x14ac:dyDescent="0.3">
      <c r="A621" s="2">
        <f>IF(BCP_Soles[[#This Row],[tipo_registro]]="R",COUNTIFS($C$1:$C620,"R")+1,A620)</f>
        <v>441</v>
      </c>
      <c r="B621" s="19" t="str">
        <f t="shared" si="56"/>
        <v>B-BCP - Soles</v>
      </c>
      <c r="C621" s="3" t="s">
        <v>1330</v>
      </c>
      <c r="D621" s="14">
        <v>45708</v>
      </c>
      <c r="E621" s="5" t="s">
        <v>1338</v>
      </c>
      <c r="F621" s="5" t="s">
        <v>1336</v>
      </c>
      <c r="G621" s="6" t="s">
        <v>695</v>
      </c>
      <c r="H621" s="6" t="s">
        <v>68</v>
      </c>
      <c r="I621" s="6" t="s">
        <v>1513</v>
      </c>
      <c r="J621" s="6">
        <v>146808</v>
      </c>
      <c r="K621" s="7" t="s">
        <v>1378</v>
      </c>
      <c r="L621" s="8">
        <v>87459</v>
      </c>
      <c r="M621" s="8" t="str">
        <f t="shared" si="57"/>
        <v>PEN</v>
      </c>
      <c r="N621" s="13"/>
      <c r="O621" s="13">
        <v>925.51</v>
      </c>
      <c r="P621" s="3">
        <f t="shared" si="58"/>
        <v>0</v>
      </c>
      <c r="Q621" s="3">
        <f t="shared" si="59"/>
        <v>925.51</v>
      </c>
      <c r="R621" s="3">
        <f t="shared" si="55"/>
        <v>-10137.480000000009</v>
      </c>
      <c r="S621" s="24" t="s">
        <v>1334</v>
      </c>
      <c r="T621" s="24" t="s">
        <v>1334</v>
      </c>
      <c r="U621" s="53"/>
      <c r="V621" s="25">
        <f>IFERROR(VLOOKUP(BCP_Soles[[#This Row],[destinatario]],CHOOSE({1,2},Clientes_Proveedores[Razon Social],Clientes_Proveedores[Ruc / Dni]),2,0),"")</f>
        <v>20127765279</v>
      </c>
      <c r="W621" s="25" t="s">
        <v>1379</v>
      </c>
      <c r="X621" s="25" t="s">
        <v>1996</v>
      </c>
      <c r="Y621" s="25"/>
      <c r="Z621" s="75"/>
      <c r="AA621" s="3" t="str">
        <f>IF(BCP_Soles[[#This Row],[fecha]]&gt;0,TEXT(BCP_Soles[[#This Row],[fecha]],"mmmm"),0)</f>
        <v>Febrero</v>
      </c>
    </row>
    <row r="622" spans="1:27" ht="36" x14ac:dyDescent="0.3">
      <c r="A622" s="2">
        <f>IF(BCP_Soles[[#This Row],[tipo_registro]]="R",COUNTIFS($C$1:$C621,"R")+1,A621)</f>
        <v>442</v>
      </c>
      <c r="B622" s="19" t="str">
        <f t="shared" si="56"/>
        <v>B-BCP - Soles</v>
      </c>
      <c r="C622" s="3" t="s">
        <v>1330</v>
      </c>
      <c r="D622" s="14">
        <v>45708</v>
      </c>
      <c r="E622" s="5" t="s">
        <v>1338</v>
      </c>
      <c r="F622" s="5" t="s">
        <v>1336</v>
      </c>
      <c r="G622" s="6" t="s">
        <v>683</v>
      </c>
      <c r="H622" s="6" t="s">
        <v>68</v>
      </c>
      <c r="I622" s="6" t="s">
        <v>1374</v>
      </c>
      <c r="J622" s="6">
        <v>1983</v>
      </c>
      <c r="K622" s="7" t="s">
        <v>1997</v>
      </c>
      <c r="L622" s="8">
        <v>1102093</v>
      </c>
      <c r="M622" s="8" t="str">
        <f t="shared" si="57"/>
        <v>PEN</v>
      </c>
      <c r="N622" s="13"/>
      <c r="O622" s="13">
        <v>917.16</v>
      </c>
      <c r="P622" s="3">
        <f t="shared" si="58"/>
        <v>0</v>
      </c>
      <c r="Q622" s="3">
        <f t="shared" si="59"/>
        <v>917.16</v>
      </c>
      <c r="R622" s="3">
        <f t="shared" si="55"/>
        <v>-11054.640000000009</v>
      </c>
      <c r="S622" s="24" t="s">
        <v>1334</v>
      </c>
      <c r="T622" s="24" t="s">
        <v>1334</v>
      </c>
      <c r="U622" s="53"/>
      <c r="V622" s="25">
        <f>IFERROR(VLOOKUP(BCP_Soles[[#This Row],[destinatario]],CHOOSE({1,2},Clientes_Proveedores[Razon Social],Clientes_Proveedores[Ruc / Dni]),2,0),"")</f>
        <v>20512528458</v>
      </c>
      <c r="W622" s="25" t="s">
        <v>1998</v>
      </c>
      <c r="X622" s="25" t="s">
        <v>1999</v>
      </c>
      <c r="Y622" s="25"/>
      <c r="Z622" s="75"/>
      <c r="AA622" s="3" t="str">
        <f>IF(BCP_Soles[[#This Row],[fecha]]&gt;0,TEXT(BCP_Soles[[#This Row],[fecha]],"mmmm"),0)</f>
        <v>Febrero</v>
      </c>
    </row>
    <row r="623" spans="1:27" ht="24" x14ac:dyDescent="0.3">
      <c r="A623" s="2">
        <f>IF(BCP_Soles[[#This Row],[tipo_registro]]="R",COUNTIFS($C$1:$C622,"R")+1,A622)</f>
        <v>443</v>
      </c>
      <c r="B623" s="19" t="str">
        <f t="shared" si="56"/>
        <v>B-BCP - Soles</v>
      </c>
      <c r="C623" s="3" t="s">
        <v>1330</v>
      </c>
      <c r="D623" s="14">
        <v>45708</v>
      </c>
      <c r="E623" s="5" t="s">
        <v>1338</v>
      </c>
      <c r="F623" s="5" t="s">
        <v>1336</v>
      </c>
      <c r="G623" s="6" t="s">
        <v>139</v>
      </c>
      <c r="H623" s="6" t="s">
        <v>68</v>
      </c>
      <c r="I623" s="6" t="s">
        <v>1376</v>
      </c>
      <c r="J623" s="6">
        <v>168</v>
      </c>
      <c r="K623" s="7" t="s">
        <v>2000</v>
      </c>
      <c r="L623" s="8">
        <v>1153698</v>
      </c>
      <c r="M623" s="8" t="str">
        <f t="shared" si="57"/>
        <v>PEN</v>
      </c>
      <c r="N623" s="13"/>
      <c r="O623" s="13">
        <v>300</v>
      </c>
      <c r="P623" s="3">
        <f t="shared" si="58"/>
        <v>0</v>
      </c>
      <c r="Q623" s="3">
        <f t="shared" si="59"/>
        <v>300</v>
      </c>
      <c r="R623" s="3">
        <f t="shared" si="55"/>
        <v>-11354.640000000009</v>
      </c>
      <c r="S623" s="24" t="s">
        <v>1334</v>
      </c>
      <c r="T623" s="24" t="s">
        <v>1334</v>
      </c>
      <c r="U623" s="53"/>
      <c r="V623" s="25">
        <f>IFERROR(VLOOKUP(BCP_Soles[[#This Row],[destinatario]],CHOOSE({1,2},Clientes_Proveedores[Razon Social],Clientes_Proveedores[Ruc / Dni]),2,0),"")</f>
        <v>10297259305</v>
      </c>
      <c r="W623" s="25" t="s">
        <v>139</v>
      </c>
      <c r="X623" s="25" t="s">
        <v>2001</v>
      </c>
      <c r="Y623" s="25"/>
      <c r="Z623" s="75"/>
      <c r="AA623" s="3" t="str">
        <f>IF(BCP_Soles[[#This Row],[fecha]]&gt;0,TEXT(BCP_Soles[[#This Row],[fecha]],"mmmm"),0)</f>
        <v>Febrero</v>
      </c>
    </row>
    <row r="624" spans="1:27" ht="24" x14ac:dyDescent="0.3">
      <c r="A624" s="2">
        <f>IF(BCP_Soles[[#This Row],[tipo_registro]]="R",COUNTIFS($C$1:$C623,"R")+1,A623)</f>
        <v>444</v>
      </c>
      <c r="B624" s="19" t="str">
        <f t="shared" si="56"/>
        <v>B-BCP - Soles</v>
      </c>
      <c r="C624" s="3" t="s">
        <v>1330</v>
      </c>
      <c r="D624" s="14">
        <v>45708</v>
      </c>
      <c r="E624" s="5" t="s">
        <v>1335</v>
      </c>
      <c r="F624" s="5" t="s">
        <v>1336</v>
      </c>
      <c r="G624" s="6" t="s">
        <v>1060</v>
      </c>
      <c r="H624" s="6" t="s">
        <v>68</v>
      </c>
      <c r="I624" s="6" t="s">
        <v>1397</v>
      </c>
      <c r="J624" s="6">
        <v>29842795</v>
      </c>
      <c r="K624" s="7" t="s">
        <v>1400</v>
      </c>
      <c r="L624" s="8">
        <v>404</v>
      </c>
      <c r="M624" s="8" t="str">
        <f t="shared" si="57"/>
        <v>PEN</v>
      </c>
      <c r="N624" s="13"/>
      <c r="O624" s="13">
        <v>10</v>
      </c>
      <c r="P624" s="3">
        <f t="shared" si="58"/>
        <v>0</v>
      </c>
      <c r="Q624" s="3">
        <f t="shared" si="59"/>
        <v>10</v>
      </c>
      <c r="R624" s="3">
        <f t="shared" si="55"/>
        <v>-11364.640000000009</v>
      </c>
      <c r="S624" s="24"/>
      <c r="T624" s="24" t="s">
        <v>1334</v>
      </c>
      <c r="U624" s="53"/>
      <c r="V624" s="25">
        <f>IFERROR(VLOOKUP(BCP_Soles[[#This Row],[destinatario]],CHOOSE({1,2},Clientes_Proveedores[Razon Social],Clientes_Proveedores[Ruc / Dni]),2,0),"")</f>
        <v>20100047218</v>
      </c>
      <c r="W624" s="25" t="s">
        <v>1335</v>
      </c>
      <c r="X624" s="25" t="s">
        <v>2002</v>
      </c>
      <c r="Y624" s="25"/>
      <c r="Z624" s="75"/>
      <c r="AA624" s="3" t="str">
        <f>IF(BCP_Soles[[#This Row],[fecha]]&gt;0,TEXT(BCP_Soles[[#This Row],[fecha]],"mmmm"),0)</f>
        <v>Febrero</v>
      </c>
    </row>
    <row r="625" spans="1:27" ht="24" x14ac:dyDescent="0.3">
      <c r="A625" s="2">
        <f>IF(BCP_Soles[[#This Row],[tipo_registro]]="R",COUNTIFS($C$1:$C624,"R")+1,A624)</f>
        <v>445</v>
      </c>
      <c r="B625" s="19" t="str">
        <f t="shared" si="56"/>
        <v>B-BCP - Soles</v>
      </c>
      <c r="C625" s="3" t="s">
        <v>1330</v>
      </c>
      <c r="D625" s="14">
        <v>45708</v>
      </c>
      <c r="E625" s="5" t="s">
        <v>645</v>
      </c>
      <c r="F625" s="5" t="s">
        <v>1303</v>
      </c>
      <c r="G625" s="6" t="s">
        <v>425</v>
      </c>
      <c r="H625" s="6"/>
      <c r="I625" s="6"/>
      <c r="J625" s="6"/>
      <c r="K625" s="7" t="s">
        <v>2003</v>
      </c>
      <c r="L625" s="8">
        <v>2104788</v>
      </c>
      <c r="M625" s="8" t="str">
        <f t="shared" si="57"/>
        <v>PEN</v>
      </c>
      <c r="N625" s="13"/>
      <c r="O625" s="13">
        <v>17780</v>
      </c>
      <c r="P625" s="3">
        <f t="shared" si="58"/>
        <v>17780</v>
      </c>
      <c r="Q625" s="3">
        <f t="shared" si="59"/>
        <v>0</v>
      </c>
      <c r="R625" s="3">
        <f t="shared" si="55"/>
        <v>6415.3599999999915</v>
      </c>
      <c r="S625" s="24" t="s">
        <v>1334</v>
      </c>
      <c r="T625" s="24" t="s">
        <v>1334</v>
      </c>
      <c r="U625" s="53"/>
      <c r="V625" s="25">
        <f>IFERROR(VLOOKUP(BCP_Soles[[#This Row],[destinatario]],CHOOSE({1,2},Clientes_Proveedores[Razon Social],Clientes_Proveedores[Ruc / Dni]),2,0),"")</f>
        <v>20558226979</v>
      </c>
      <c r="W625" s="25" t="s">
        <v>1345</v>
      </c>
      <c r="X625" s="25" t="s">
        <v>2004</v>
      </c>
      <c r="Y625" s="25"/>
      <c r="Z625" s="75"/>
      <c r="AA625" s="3" t="str">
        <f>IF(BCP_Soles[[#This Row],[fecha]]&gt;0,TEXT(BCP_Soles[[#This Row],[fecha]],"mmmm"),0)</f>
        <v>Febrero</v>
      </c>
    </row>
    <row r="626" spans="1:27" x14ac:dyDescent="0.3">
      <c r="A626" s="2">
        <f>IF(BCP_Soles[[#This Row],[tipo_registro]]="R",COUNTIFS($C$1:$C625,"R")+1,A625)</f>
        <v>446</v>
      </c>
      <c r="B626" s="19" t="str">
        <f t="shared" si="56"/>
        <v>B-BCP - Soles</v>
      </c>
      <c r="C626" s="3" t="s">
        <v>1330</v>
      </c>
      <c r="D626" s="14">
        <v>45708</v>
      </c>
      <c r="E626" s="5" t="s">
        <v>1511</v>
      </c>
      <c r="F626" s="5" t="s">
        <v>1303</v>
      </c>
      <c r="G626" s="6" t="s">
        <v>425</v>
      </c>
      <c r="H626" s="6"/>
      <c r="I626" s="6"/>
      <c r="J626" s="6"/>
      <c r="K626" s="7" t="s">
        <v>1634</v>
      </c>
      <c r="L626" s="8">
        <v>2498905</v>
      </c>
      <c r="M626" s="8" t="str">
        <f t="shared" si="57"/>
        <v>PEN</v>
      </c>
      <c r="N626" s="13"/>
      <c r="O626" s="13">
        <v>13000</v>
      </c>
      <c r="P626" s="3">
        <f t="shared" si="58"/>
        <v>13000</v>
      </c>
      <c r="Q626" s="3">
        <f t="shared" si="59"/>
        <v>0</v>
      </c>
      <c r="R626" s="3">
        <f t="shared" si="55"/>
        <v>19415.359999999993</v>
      </c>
      <c r="S626" s="24"/>
      <c r="T626" s="24"/>
      <c r="U626" s="53"/>
      <c r="V626" s="25">
        <f>IFERROR(VLOOKUP(BCP_Soles[[#This Row],[destinatario]],CHOOSE({1,2},Clientes_Proveedores[Razon Social],Clientes_Proveedores[Ruc / Dni]),2,0),"")</f>
        <v>20558226979</v>
      </c>
      <c r="W626" s="25" t="s">
        <v>1345</v>
      </c>
      <c r="X626" s="25"/>
      <c r="Y626" s="25"/>
      <c r="Z626" s="75"/>
      <c r="AA626" s="3" t="str">
        <f>IF(BCP_Soles[[#This Row],[fecha]]&gt;0,TEXT(BCP_Soles[[#This Row],[fecha]],"mmmm"),0)</f>
        <v>Febrero</v>
      </c>
    </row>
    <row r="627" spans="1:27" ht="24" x14ac:dyDescent="0.3">
      <c r="A627" s="2">
        <f>IF(BCP_Soles[[#This Row],[tipo_registro]]="R",COUNTIFS($C$1:$C626,"R")+1,A626)</f>
        <v>447</v>
      </c>
      <c r="B627" s="19" t="str">
        <f t="shared" si="56"/>
        <v>B-BCP - Soles</v>
      </c>
      <c r="C627" s="3" t="s">
        <v>1330</v>
      </c>
      <c r="D627" s="14">
        <v>45708</v>
      </c>
      <c r="E627" s="5" t="s">
        <v>1696</v>
      </c>
      <c r="F627" s="5" t="s">
        <v>1303</v>
      </c>
      <c r="G627" s="6" t="s">
        <v>425</v>
      </c>
      <c r="H627" s="6" t="s">
        <v>119</v>
      </c>
      <c r="I627" s="6">
        <v>1</v>
      </c>
      <c r="J627" s="6">
        <v>4120</v>
      </c>
      <c r="K627" s="7" t="s">
        <v>1356</v>
      </c>
      <c r="L627" s="8">
        <v>1883536</v>
      </c>
      <c r="M627" s="8" t="str">
        <f t="shared" si="57"/>
        <v>PEN</v>
      </c>
      <c r="N627" s="13"/>
      <c r="O627" s="13">
        <v>64</v>
      </c>
      <c r="P627" s="3">
        <f t="shared" si="58"/>
        <v>64</v>
      </c>
      <c r="Q627" s="3">
        <f t="shared" si="59"/>
        <v>0</v>
      </c>
      <c r="R627" s="3">
        <f t="shared" si="55"/>
        <v>19479.359999999993</v>
      </c>
      <c r="S627" s="24" t="s">
        <v>1334</v>
      </c>
      <c r="T627" s="24" t="s">
        <v>1334</v>
      </c>
      <c r="U627" s="53"/>
      <c r="V627" s="25">
        <f>IFERROR(VLOOKUP(BCP_Soles[[#This Row],[destinatario]],CHOOSE({1,2},Clientes_Proveedores[Razon Social],Clientes_Proveedores[Ruc / Dni]),2,0),"")</f>
        <v>20558226979</v>
      </c>
      <c r="W627" s="25" t="s">
        <v>1345</v>
      </c>
      <c r="X627" s="25" t="s">
        <v>1750</v>
      </c>
      <c r="Y627" s="25"/>
      <c r="Z627" s="75"/>
      <c r="AA627" s="3" t="str">
        <f>IF(BCP_Soles[[#This Row],[fecha]]&gt;0,TEXT(BCP_Soles[[#This Row],[fecha]],"mmmm"),0)</f>
        <v>Febrero</v>
      </c>
    </row>
    <row r="628" spans="1:27" x14ac:dyDescent="0.3">
      <c r="A628" s="2">
        <f>IF(BCP_Soles[[#This Row],[tipo_registro]]="R",COUNTIFS($C$1:$C627,"R")+1,A627)</f>
        <v>448</v>
      </c>
      <c r="B628" s="19" t="str">
        <f t="shared" si="56"/>
        <v>B-BCP - Soles</v>
      </c>
      <c r="C628" s="3" t="s">
        <v>1330</v>
      </c>
      <c r="D628" s="14">
        <v>45709</v>
      </c>
      <c r="E628" s="5" t="s">
        <v>1338</v>
      </c>
      <c r="F628" s="5" t="s">
        <v>1336</v>
      </c>
      <c r="G628" s="6" t="s">
        <v>575</v>
      </c>
      <c r="H628" s="6"/>
      <c r="I628" s="6"/>
      <c r="J628" s="6"/>
      <c r="K628" s="7" t="s">
        <v>1735</v>
      </c>
      <c r="L628" s="8">
        <v>4008646</v>
      </c>
      <c r="M628" s="8" t="str">
        <f t="shared" si="57"/>
        <v>PEN</v>
      </c>
      <c r="N628" s="13"/>
      <c r="O628" s="13">
        <v>600.5</v>
      </c>
      <c r="P628" s="3">
        <f t="shared" si="58"/>
        <v>0</v>
      </c>
      <c r="Q628" s="3">
        <f t="shared" si="59"/>
        <v>600.5</v>
      </c>
      <c r="R628" s="3">
        <f t="shared" si="55"/>
        <v>18878.859999999993</v>
      </c>
      <c r="S628" s="24" t="s">
        <v>1334</v>
      </c>
      <c r="T628" s="24"/>
      <c r="U628" s="53"/>
      <c r="V628" s="25">
        <f>IFERROR(VLOOKUP(BCP_Soles[[#This Row],[destinatario]],CHOOSE({1,2},Clientes_Proveedores[Razon Social],Clientes_Proveedores[Ruc / Dni]),2,0),"")</f>
        <v>20608970909</v>
      </c>
      <c r="W628" s="25" t="s">
        <v>575</v>
      </c>
      <c r="X628" s="25" t="s">
        <v>2005</v>
      </c>
      <c r="Y628" s="130" t="s">
        <v>2006</v>
      </c>
      <c r="Z628" s="75"/>
      <c r="AA628" s="3" t="str">
        <f>IF(BCP_Soles[[#This Row],[fecha]]&gt;0,TEXT(BCP_Soles[[#This Row],[fecha]],"mmmm"),0)</f>
        <v>Febrero</v>
      </c>
    </row>
    <row r="629" spans="1:27" x14ac:dyDescent="0.3">
      <c r="A629" s="2">
        <f>IF(BCP_Soles[[#This Row],[tipo_registro]]="R",COUNTIFS($C$1:$C628,"R")+1,A628)</f>
        <v>448</v>
      </c>
      <c r="B629" s="19" t="str">
        <f t="shared" si="56"/>
        <v>B-BCP - Soles</v>
      </c>
      <c r="C629" s="3" t="s">
        <v>1352</v>
      </c>
      <c r="D629" s="14">
        <v>45709</v>
      </c>
      <c r="E629" s="5" t="s">
        <v>1338</v>
      </c>
      <c r="F629" s="5" t="s">
        <v>1336</v>
      </c>
      <c r="G629" s="6" t="s">
        <v>575</v>
      </c>
      <c r="H629" s="6" t="s">
        <v>68</v>
      </c>
      <c r="I629" s="6" t="s">
        <v>1376</v>
      </c>
      <c r="J629" s="6">
        <v>969</v>
      </c>
      <c r="K629" s="7" t="s">
        <v>1735</v>
      </c>
      <c r="L629" s="8">
        <v>4008646</v>
      </c>
      <c r="M629" s="8" t="str">
        <f t="shared" si="57"/>
        <v>PEN</v>
      </c>
      <c r="N629" s="13">
        <v>590</v>
      </c>
      <c r="O629" s="13"/>
      <c r="P629" s="3">
        <f t="shared" si="58"/>
        <v>0</v>
      </c>
      <c r="Q629" s="3">
        <f t="shared" si="59"/>
        <v>0</v>
      </c>
      <c r="R629" s="3">
        <f t="shared" si="55"/>
        <v>18878.859999999993</v>
      </c>
      <c r="S629" s="24" t="s">
        <v>1334</v>
      </c>
      <c r="T629" s="24"/>
      <c r="U629" s="53"/>
      <c r="V629" s="25">
        <f>IFERROR(VLOOKUP(BCP_Soles[[#This Row],[destinatario]],CHOOSE({1,2},Clientes_Proveedores[Razon Social],Clientes_Proveedores[Ruc / Dni]),2,0),"")</f>
        <v>20608970909</v>
      </c>
      <c r="W629" s="25"/>
      <c r="X629" s="25"/>
      <c r="Y629" s="25"/>
      <c r="Z629" s="75"/>
      <c r="AA629" s="3" t="str">
        <f>IF(BCP_Soles[[#This Row],[fecha]]&gt;0,TEXT(BCP_Soles[[#This Row],[fecha]],"mmmm"),0)</f>
        <v>Febrero</v>
      </c>
    </row>
    <row r="630" spans="1:27" ht="24" x14ac:dyDescent="0.3">
      <c r="A630" s="2">
        <f>IF(BCP_Soles[[#This Row],[tipo_registro]]="R",COUNTIFS($C$1:$C629,"R")+1,A629)</f>
        <v>448</v>
      </c>
      <c r="B630" s="19" t="str">
        <f t="shared" si="56"/>
        <v>B-BCP - Soles</v>
      </c>
      <c r="C630" s="3" t="s">
        <v>1352</v>
      </c>
      <c r="D630" s="14">
        <v>45709</v>
      </c>
      <c r="E630" s="5" t="s">
        <v>1338</v>
      </c>
      <c r="F630" s="5" t="s">
        <v>1336</v>
      </c>
      <c r="G630" s="6" t="s">
        <v>1060</v>
      </c>
      <c r="H630" s="6" t="s">
        <v>68</v>
      </c>
      <c r="I630" s="6" t="s">
        <v>1397</v>
      </c>
      <c r="J630" s="6">
        <v>29883748</v>
      </c>
      <c r="K630" s="7" t="s">
        <v>1735</v>
      </c>
      <c r="L630" s="8">
        <v>4008646</v>
      </c>
      <c r="M630" s="8" t="str">
        <f t="shared" si="57"/>
        <v>PEN</v>
      </c>
      <c r="N630" s="13">
        <v>10.5</v>
      </c>
      <c r="O630" s="13"/>
      <c r="P630" s="3">
        <f t="shared" si="58"/>
        <v>0</v>
      </c>
      <c r="Q630" s="3">
        <f t="shared" si="59"/>
        <v>0</v>
      </c>
      <c r="R630" s="3">
        <f t="shared" si="55"/>
        <v>18878.859999999993</v>
      </c>
      <c r="S630" s="24" t="s">
        <v>1334</v>
      </c>
      <c r="T630" s="24"/>
      <c r="U630" s="53"/>
      <c r="V630" s="25">
        <f>IFERROR(VLOOKUP(BCP_Soles[[#This Row],[destinatario]],CHOOSE({1,2},Clientes_Proveedores[Razon Social],Clientes_Proveedores[Ruc / Dni]),2,0),"")</f>
        <v>20100047218</v>
      </c>
      <c r="W630" s="25"/>
      <c r="X630" s="25"/>
      <c r="Y630" s="25"/>
      <c r="Z630" s="75"/>
      <c r="AA630" s="3" t="str">
        <f>IF(BCP_Soles[[#This Row],[fecha]]&gt;0,TEXT(BCP_Soles[[#This Row],[fecha]],"mmmm"),0)</f>
        <v>Febrero</v>
      </c>
    </row>
    <row r="631" spans="1:27" ht="36" x14ac:dyDescent="0.3">
      <c r="A631" s="2">
        <f>IF(BCP_Soles[[#This Row],[tipo_registro]]="R",COUNTIFS($C$1:$C630,"R")+1,A630)</f>
        <v>449</v>
      </c>
      <c r="B631" s="19" t="str">
        <f t="shared" si="56"/>
        <v>B-BCP - Soles</v>
      </c>
      <c r="C631" s="3" t="s">
        <v>1330</v>
      </c>
      <c r="D631" s="14">
        <v>45709</v>
      </c>
      <c r="E631" s="5" t="s">
        <v>1338</v>
      </c>
      <c r="F631" s="5" t="s">
        <v>1336</v>
      </c>
      <c r="G631" s="6" t="s">
        <v>588</v>
      </c>
      <c r="H631" s="6" t="s">
        <v>68</v>
      </c>
      <c r="I631" s="6" t="s">
        <v>1376</v>
      </c>
      <c r="J631" s="6">
        <v>346</v>
      </c>
      <c r="K631" s="7" t="s">
        <v>2007</v>
      </c>
      <c r="L631" s="8">
        <v>1069283</v>
      </c>
      <c r="M631" s="8" t="str">
        <f t="shared" si="57"/>
        <v>PEN</v>
      </c>
      <c r="N631" s="13"/>
      <c r="O631" s="13">
        <v>70.680000000000007</v>
      </c>
      <c r="P631" s="3">
        <f t="shared" si="58"/>
        <v>0</v>
      </c>
      <c r="Q631" s="3">
        <f t="shared" si="59"/>
        <v>70.680000000000007</v>
      </c>
      <c r="R631" s="3">
        <f t="shared" si="55"/>
        <v>18808.179999999993</v>
      </c>
      <c r="S631" s="24" t="s">
        <v>1334</v>
      </c>
      <c r="T631" s="24" t="s">
        <v>1334</v>
      </c>
      <c r="U631" s="53"/>
      <c r="V631" s="25">
        <f>IFERROR(VLOOKUP(BCP_Soles[[#This Row],[destinatario]],CHOOSE({1,2},Clientes_Proveedores[Razon Social],Clientes_Proveedores[Ruc / Dni]),2,0),"")</f>
        <v>20609368773</v>
      </c>
      <c r="W631" s="25" t="s">
        <v>1439</v>
      </c>
      <c r="X631" s="25" t="s">
        <v>2008</v>
      </c>
      <c r="Y631" s="25"/>
      <c r="Z631" s="75"/>
      <c r="AA631" s="3" t="str">
        <f>IF(BCP_Soles[[#This Row],[fecha]]&gt;0,TEXT(BCP_Soles[[#This Row],[fecha]],"mmmm"),0)</f>
        <v>Febrero</v>
      </c>
    </row>
    <row r="632" spans="1:27" ht="24" x14ac:dyDescent="0.3">
      <c r="A632" s="2">
        <f>IF(BCP_Soles[[#This Row],[tipo_registro]]="R",COUNTIFS($C$1:$C631,"R")+1,A631)</f>
        <v>450</v>
      </c>
      <c r="B632" s="19" t="str">
        <f t="shared" si="56"/>
        <v>B-BCP - Soles</v>
      </c>
      <c r="C632" s="3" t="s">
        <v>1330</v>
      </c>
      <c r="D632" s="14">
        <v>45709</v>
      </c>
      <c r="E632" s="5" t="s">
        <v>2009</v>
      </c>
      <c r="F632" s="5" t="s">
        <v>1303</v>
      </c>
      <c r="G632" s="6" t="s">
        <v>425</v>
      </c>
      <c r="H632" s="6" t="s">
        <v>119</v>
      </c>
      <c r="I632" s="6">
        <v>1</v>
      </c>
      <c r="J632" s="6">
        <v>4185</v>
      </c>
      <c r="K632" s="7" t="s">
        <v>1356</v>
      </c>
      <c r="L632" s="8">
        <v>1499393</v>
      </c>
      <c r="M632" s="8" t="str">
        <f t="shared" si="57"/>
        <v>PEN</v>
      </c>
      <c r="N632" s="13"/>
      <c r="O632" s="13">
        <v>130</v>
      </c>
      <c r="P632" s="3">
        <f t="shared" si="58"/>
        <v>130</v>
      </c>
      <c r="Q632" s="3">
        <f t="shared" si="59"/>
        <v>0</v>
      </c>
      <c r="R632" s="3">
        <f t="shared" si="55"/>
        <v>18938.179999999993</v>
      </c>
      <c r="S632" s="24" t="s">
        <v>1334</v>
      </c>
      <c r="T632" s="24" t="s">
        <v>1334</v>
      </c>
      <c r="U632" s="53"/>
      <c r="V632" s="25">
        <f>IFERROR(VLOOKUP(BCP_Soles[[#This Row],[destinatario]],CHOOSE({1,2},Clientes_Proveedores[Razon Social],Clientes_Proveedores[Ruc / Dni]),2,0),"")</f>
        <v>20558226979</v>
      </c>
      <c r="W632" s="25" t="s">
        <v>1345</v>
      </c>
      <c r="X632" s="25" t="s">
        <v>2010</v>
      </c>
      <c r="Y632" s="25"/>
      <c r="Z632" s="75"/>
      <c r="AA632" s="3" t="str">
        <f>IF(BCP_Soles[[#This Row],[fecha]]&gt;0,TEXT(BCP_Soles[[#This Row],[fecha]],"mmmm"),0)</f>
        <v>Febrero</v>
      </c>
    </row>
    <row r="633" spans="1:27" ht="24" x14ac:dyDescent="0.3">
      <c r="A633" s="2">
        <f>IF(BCP_Soles[[#This Row],[tipo_registro]]="R",COUNTIFS($C$1:$C632,"R")+1,A632)</f>
        <v>451</v>
      </c>
      <c r="B633" s="19" t="str">
        <f t="shared" si="56"/>
        <v>B-BCP - Soles</v>
      </c>
      <c r="C633" s="3" t="s">
        <v>1330</v>
      </c>
      <c r="D633" s="14">
        <v>45709</v>
      </c>
      <c r="E633" s="5" t="s">
        <v>376</v>
      </c>
      <c r="F633" s="5" t="s">
        <v>1303</v>
      </c>
      <c r="G633" s="6" t="s">
        <v>425</v>
      </c>
      <c r="H633" s="6"/>
      <c r="I633" s="6"/>
      <c r="J633" s="6"/>
      <c r="K633" s="7" t="s">
        <v>1382</v>
      </c>
      <c r="L633" s="8">
        <v>6459</v>
      </c>
      <c r="M633" s="8" t="str">
        <f t="shared" si="57"/>
        <v>PEN</v>
      </c>
      <c r="N633" s="13"/>
      <c r="O633" s="13">
        <v>5282.66</v>
      </c>
      <c r="P633" s="3">
        <f t="shared" si="58"/>
        <v>5282.66</v>
      </c>
      <c r="Q633" s="3">
        <f t="shared" si="59"/>
        <v>0</v>
      </c>
      <c r="R633" s="3">
        <f t="shared" si="55"/>
        <v>24220.839999999993</v>
      </c>
      <c r="S633" s="24" t="s">
        <v>1334</v>
      </c>
      <c r="T633" s="24" t="s">
        <v>1334</v>
      </c>
      <c r="U633" s="53"/>
      <c r="V633" s="25">
        <f>IFERROR(VLOOKUP(BCP_Soles[[#This Row],[destinatario]],CHOOSE({1,2},Clientes_Proveedores[Razon Social],Clientes_Proveedores[Ruc / Dni]),2,0),"")</f>
        <v>20558226979</v>
      </c>
      <c r="W633" s="25" t="s">
        <v>1345</v>
      </c>
      <c r="X633" s="25" t="s">
        <v>2011</v>
      </c>
      <c r="Y633" s="25"/>
      <c r="Z633" s="75"/>
      <c r="AA633" s="3" t="str">
        <f>IF(BCP_Soles[[#This Row],[fecha]]&gt;0,TEXT(BCP_Soles[[#This Row],[fecha]],"mmmm"),0)</f>
        <v>Febrero</v>
      </c>
    </row>
    <row r="634" spans="1:27" x14ac:dyDescent="0.3">
      <c r="A634" s="2">
        <f>IF(BCP_Soles[[#This Row],[tipo_registro]]="R",COUNTIFS($C$1:$C633,"R")+1,A633)</f>
        <v>452</v>
      </c>
      <c r="B634" s="19" t="str">
        <f t="shared" si="56"/>
        <v>B-BCP - Soles</v>
      </c>
      <c r="C634" s="3" t="s">
        <v>1330</v>
      </c>
      <c r="D634" s="14">
        <v>45709</v>
      </c>
      <c r="E634" s="5" t="s">
        <v>286</v>
      </c>
      <c r="F634" s="5" t="s">
        <v>1303</v>
      </c>
      <c r="G634" s="6" t="s">
        <v>425</v>
      </c>
      <c r="H634" s="6"/>
      <c r="I634" s="6"/>
      <c r="J634" s="6"/>
      <c r="K634" s="7" t="s">
        <v>1382</v>
      </c>
      <c r="L634" s="8">
        <v>6458</v>
      </c>
      <c r="M634" s="8" t="str">
        <f t="shared" si="57"/>
        <v>PEN</v>
      </c>
      <c r="N634" s="13"/>
      <c r="O634" s="13">
        <v>4151.3999999999996</v>
      </c>
      <c r="P634" s="3">
        <f t="shared" si="58"/>
        <v>4151.3999999999996</v>
      </c>
      <c r="Q634" s="3">
        <f t="shared" si="59"/>
        <v>0</v>
      </c>
      <c r="R634" s="3">
        <f t="shared" si="55"/>
        <v>28372.239999999991</v>
      </c>
      <c r="S634" s="24" t="s">
        <v>1334</v>
      </c>
      <c r="T634" s="24" t="s">
        <v>1334</v>
      </c>
      <c r="U634" s="53"/>
      <c r="V634" s="25">
        <f>IFERROR(VLOOKUP(BCP_Soles[[#This Row],[destinatario]],CHOOSE({1,2},Clientes_Proveedores[Razon Social],Clientes_Proveedores[Ruc / Dni]),2,0),"")</f>
        <v>20558226979</v>
      </c>
      <c r="W634" s="25" t="s">
        <v>1345</v>
      </c>
      <c r="X634" s="25" t="s">
        <v>2012</v>
      </c>
      <c r="Y634" s="25"/>
      <c r="Z634" s="75"/>
      <c r="AA634" s="3" t="str">
        <f>IF(BCP_Soles[[#This Row],[fecha]]&gt;0,TEXT(BCP_Soles[[#This Row],[fecha]],"mmmm"),0)</f>
        <v>Febrero</v>
      </c>
    </row>
    <row r="635" spans="1:27" x14ac:dyDescent="0.3">
      <c r="A635" s="2">
        <f>IF(BCP_Soles[[#This Row],[tipo_registro]]="R",COUNTIFS($C$1:$C634,"R")+1,A634)</f>
        <v>453</v>
      </c>
      <c r="B635" s="19" t="str">
        <f t="shared" si="56"/>
        <v>B-BCP - Soles</v>
      </c>
      <c r="C635" s="3" t="s">
        <v>1330</v>
      </c>
      <c r="D635" s="14">
        <v>45709</v>
      </c>
      <c r="E635" s="5" t="s">
        <v>1335</v>
      </c>
      <c r="F635" s="5" t="s">
        <v>1336</v>
      </c>
      <c r="G635" s="6"/>
      <c r="H635" s="6"/>
      <c r="I635" s="6"/>
      <c r="J635" s="6"/>
      <c r="K635" s="7" t="s">
        <v>1337</v>
      </c>
      <c r="L635" s="8"/>
      <c r="M635" s="8" t="str">
        <f t="shared" si="57"/>
        <v>PEN</v>
      </c>
      <c r="N635" s="13"/>
      <c r="O635" s="13">
        <v>0.5</v>
      </c>
      <c r="P635" s="3">
        <f t="shared" si="58"/>
        <v>0</v>
      </c>
      <c r="Q635" s="3">
        <f t="shared" si="59"/>
        <v>0.5</v>
      </c>
      <c r="R635" s="3">
        <f t="shared" si="55"/>
        <v>28371.739999999991</v>
      </c>
      <c r="S635" s="24"/>
      <c r="T635" s="24" t="s">
        <v>1334</v>
      </c>
      <c r="U635" s="53"/>
      <c r="V635" s="25" t="str">
        <f>IFERROR(VLOOKUP(BCP_Soles[[#This Row],[destinatario]],CHOOSE({1,2},Clientes_Proveedores[Razon Social],Clientes_Proveedores[Ruc / Dni]),2,0),"")</f>
        <v/>
      </c>
      <c r="W635" s="25"/>
      <c r="X635" s="25"/>
      <c r="Y635" s="25"/>
      <c r="Z635" s="75"/>
      <c r="AA635" s="3" t="str">
        <f>IF(BCP_Soles[[#This Row],[fecha]]&gt;0,TEXT(BCP_Soles[[#This Row],[fecha]],"mmmm"),0)</f>
        <v>Febrero</v>
      </c>
    </row>
    <row r="636" spans="1:27" ht="24" x14ac:dyDescent="0.3">
      <c r="A636" s="2">
        <f>IF(BCP_Soles[[#This Row],[tipo_registro]]="R",COUNTIFS($C$1:$C635,"R")+1,A635)</f>
        <v>454</v>
      </c>
      <c r="B636" s="19" t="str">
        <f t="shared" si="56"/>
        <v>B-BCP - Soles</v>
      </c>
      <c r="C636" s="3" t="s">
        <v>1330</v>
      </c>
      <c r="D636" s="14">
        <v>45709</v>
      </c>
      <c r="E636" s="5" t="s">
        <v>1338</v>
      </c>
      <c r="F636" s="5" t="s">
        <v>1336</v>
      </c>
      <c r="G636" s="6" t="s">
        <v>393</v>
      </c>
      <c r="H636" s="6" t="s">
        <v>68</v>
      </c>
      <c r="I636" s="6" t="s">
        <v>1376</v>
      </c>
      <c r="J636" s="6">
        <v>3211</v>
      </c>
      <c r="K636" s="7" t="s">
        <v>2013</v>
      </c>
      <c r="L636" s="8">
        <v>1182356</v>
      </c>
      <c r="M636" s="8" t="str">
        <f t="shared" si="57"/>
        <v>PEN</v>
      </c>
      <c r="N636" s="13"/>
      <c r="O636" s="13">
        <v>1728</v>
      </c>
      <c r="P636" s="3">
        <f t="shared" si="58"/>
        <v>0</v>
      </c>
      <c r="Q636" s="3">
        <f t="shared" si="59"/>
        <v>1728</v>
      </c>
      <c r="R636" s="3">
        <f t="shared" si="55"/>
        <v>26643.739999999991</v>
      </c>
      <c r="S636" s="24" t="s">
        <v>1334</v>
      </c>
      <c r="T636" s="24" t="s">
        <v>1334</v>
      </c>
      <c r="U636" s="53"/>
      <c r="V636" s="25">
        <f>IFERROR(VLOOKUP(BCP_Soles[[#This Row],[destinatario]],CHOOSE({1,2},Clientes_Proveedores[Razon Social],Clientes_Proveedores[Ruc / Dni]),2,0),"")</f>
        <v>20543323943</v>
      </c>
      <c r="W636" s="25" t="s">
        <v>393</v>
      </c>
      <c r="X636" s="25" t="s">
        <v>2014</v>
      </c>
      <c r="Y636" s="25"/>
      <c r="Z636" s="75"/>
      <c r="AA636" s="3" t="str">
        <f>IF(BCP_Soles[[#This Row],[fecha]]&gt;0,TEXT(BCP_Soles[[#This Row],[fecha]],"mmmm"),0)</f>
        <v>Febrero</v>
      </c>
    </row>
    <row r="637" spans="1:27" ht="36" x14ac:dyDescent="0.3">
      <c r="A637" s="2">
        <f>IF(BCP_Soles[[#This Row],[tipo_registro]]="R",COUNTIFS($C$1:$C636,"R")+1,A636)</f>
        <v>455</v>
      </c>
      <c r="B637" s="19" t="str">
        <f t="shared" si="56"/>
        <v>B-BCP - Soles</v>
      </c>
      <c r="C637" s="3" t="s">
        <v>1330</v>
      </c>
      <c r="D637" s="14">
        <v>45709</v>
      </c>
      <c r="E637" s="5" t="s">
        <v>1338</v>
      </c>
      <c r="F637" s="5" t="s">
        <v>1336</v>
      </c>
      <c r="G637" s="6" t="s">
        <v>497</v>
      </c>
      <c r="H637" s="6" t="s">
        <v>68</v>
      </c>
      <c r="I637" s="6" t="s">
        <v>1390</v>
      </c>
      <c r="J637" s="6">
        <v>18416</v>
      </c>
      <c r="K637" s="7" t="s">
        <v>2015</v>
      </c>
      <c r="L637" s="8">
        <v>1195012</v>
      </c>
      <c r="M637" s="8" t="str">
        <f t="shared" si="57"/>
        <v>PEN</v>
      </c>
      <c r="N637" s="13"/>
      <c r="O637" s="13">
        <v>454</v>
      </c>
      <c r="P637" s="3">
        <f t="shared" si="58"/>
        <v>0</v>
      </c>
      <c r="Q637" s="3">
        <f t="shared" si="59"/>
        <v>454</v>
      </c>
      <c r="R637" s="3">
        <f t="shared" si="55"/>
        <v>26189.739999999991</v>
      </c>
      <c r="S637" s="24" t="s">
        <v>1334</v>
      </c>
      <c r="T637" s="24" t="s">
        <v>1334</v>
      </c>
      <c r="U637" s="53"/>
      <c r="V637" s="25">
        <f>IFERROR(VLOOKUP(BCP_Soles[[#This Row],[destinatario]],CHOOSE({1,2},Clientes_Proveedores[Razon Social],Clientes_Proveedores[Ruc / Dni]),2,0),"")</f>
        <v>20602810497</v>
      </c>
      <c r="W637" s="25" t="s">
        <v>1591</v>
      </c>
      <c r="X637" s="25" t="s">
        <v>2016</v>
      </c>
      <c r="Y637" s="25"/>
      <c r="Z637" s="75"/>
      <c r="AA637" s="3" t="str">
        <f>IF(BCP_Soles[[#This Row],[fecha]]&gt;0,TEXT(BCP_Soles[[#This Row],[fecha]],"mmmm"),0)</f>
        <v>Febrero</v>
      </c>
    </row>
    <row r="638" spans="1:27" ht="24" x14ac:dyDescent="0.3">
      <c r="A638" s="2">
        <f>IF(BCP_Soles[[#This Row],[tipo_registro]]="R",COUNTIFS($C$1:$C637,"R")+1,A637)</f>
        <v>456</v>
      </c>
      <c r="B638" s="19" t="str">
        <f t="shared" si="56"/>
        <v>B-BCP - Soles</v>
      </c>
      <c r="C638" s="3" t="s">
        <v>1330</v>
      </c>
      <c r="D638" s="14">
        <v>45709</v>
      </c>
      <c r="E638" s="5" t="s">
        <v>1338</v>
      </c>
      <c r="F638" s="5" t="s">
        <v>1336</v>
      </c>
      <c r="G638" s="6" t="s">
        <v>640</v>
      </c>
      <c r="H638" s="6" t="s">
        <v>68</v>
      </c>
      <c r="I638" s="6" t="s">
        <v>1376</v>
      </c>
      <c r="J638" s="6">
        <v>31</v>
      </c>
      <c r="K638" s="7" t="s">
        <v>2017</v>
      </c>
      <c r="L638" s="8">
        <v>1195011</v>
      </c>
      <c r="M638" s="8" t="str">
        <f t="shared" si="57"/>
        <v>PEN</v>
      </c>
      <c r="N638" s="13"/>
      <c r="O638" s="13">
        <v>334</v>
      </c>
      <c r="P638" s="3">
        <f t="shared" si="58"/>
        <v>0</v>
      </c>
      <c r="Q638" s="3">
        <f t="shared" si="59"/>
        <v>334</v>
      </c>
      <c r="R638" s="3">
        <f t="shared" si="55"/>
        <v>25855.739999999991</v>
      </c>
      <c r="S638" s="24" t="s">
        <v>1334</v>
      </c>
      <c r="T638" s="24" t="s">
        <v>1334</v>
      </c>
      <c r="U638" s="53"/>
      <c r="V638" s="25">
        <f>IFERROR(VLOOKUP(BCP_Soles[[#This Row],[destinatario]],CHOOSE({1,2},Clientes_Proveedores[Razon Social],Clientes_Proveedores[Ruc / Dni]),2,0),"")</f>
        <v>20612298808</v>
      </c>
      <c r="W638" s="25" t="s">
        <v>2018</v>
      </c>
      <c r="X638" s="25" t="s">
        <v>2019</v>
      </c>
      <c r="Y638" s="25"/>
      <c r="Z638" s="75"/>
      <c r="AA638" s="3" t="str">
        <f>IF(BCP_Soles[[#This Row],[fecha]]&gt;0,TEXT(BCP_Soles[[#This Row],[fecha]],"mmmm"),0)</f>
        <v>Febrero</v>
      </c>
    </row>
    <row r="639" spans="1:27" x14ac:dyDescent="0.3">
      <c r="A639" s="2">
        <f>IF(BCP_Soles[[#This Row],[tipo_registro]]="R",COUNTIFS($C$1:$C638,"R")+1,A638)</f>
        <v>457</v>
      </c>
      <c r="B639" s="19" t="str">
        <f t="shared" si="56"/>
        <v>B-BCP - Soles</v>
      </c>
      <c r="C639" s="3" t="s">
        <v>1330</v>
      </c>
      <c r="D639" s="14">
        <v>45710</v>
      </c>
      <c r="E639" s="5" t="s">
        <v>427</v>
      </c>
      <c r="F639" s="5" t="s">
        <v>1303</v>
      </c>
      <c r="G639" s="6" t="s">
        <v>425</v>
      </c>
      <c r="H639" s="6"/>
      <c r="I639" s="6"/>
      <c r="J639" s="6"/>
      <c r="K639" s="7" t="s">
        <v>2020</v>
      </c>
      <c r="L639" s="8">
        <v>262095</v>
      </c>
      <c r="M639" s="8" t="str">
        <f t="shared" si="57"/>
        <v>PEN</v>
      </c>
      <c r="N639" s="13"/>
      <c r="O639" s="13">
        <v>4374.51</v>
      </c>
      <c r="P639" s="3">
        <f t="shared" si="58"/>
        <v>4374.51</v>
      </c>
      <c r="Q639" s="3">
        <f t="shared" si="59"/>
        <v>0</v>
      </c>
      <c r="R639" s="3">
        <f t="shared" si="55"/>
        <v>30230.249999999993</v>
      </c>
      <c r="S639" s="24" t="s">
        <v>1334</v>
      </c>
      <c r="T639" s="24" t="s">
        <v>1334</v>
      </c>
      <c r="U639" s="53"/>
      <c r="V639" s="25">
        <f>IFERROR(VLOOKUP(BCP_Soles[[#This Row],[destinatario]],CHOOSE({1,2},Clientes_Proveedores[Razon Social],Clientes_Proveedores[Ruc / Dni]),2,0),"")</f>
        <v>20558226979</v>
      </c>
      <c r="W639" s="25" t="s">
        <v>1345</v>
      </c>
      <c r="X639" s="25" t="s">
        <v>2021</v>
      </c>
      <c r="Y639" s="25"/>
      <c r="Z639" s="75"/>
      <c r="AA639" s="3" t="str">
        <f>IF(BCP_Soles[[#This Row],[fecha]]&gt;0,TEXT(BCP_Soles[[#This Row],[fecha]],"mmmm"),0)</f>
        <v>Febrero</v>
      </c>
    </row>
    <row r="640" spans="1:27" ht="36" x14ac:dyDescent="0.3">
      <c r="A640" s="2">
        <f>IF(BCP_Soles[[#This Row],[tipo_registro]]="R",COUNTIFS($C$1:$C639,"R")+1,A639)</f>
        <v>458</v>
      </c>
      <c r="B640" s="19" t="str">
        <f t="shared" si="56"/>
        <v>B-BCP - Soles</v>
      </c>
      <c r="C640" s="3" t="s">
        <v>1330</v>
      </c>
      <c r="D640" s="14">
        <v>45710</v>
      </c>
      <c r="E640" s="5" t="s">
        <v>644</v>
      </c>
      <c r="F640" s="5" t="s">
        <v>1303</v>
      </c>
      <c r="G640" s="6" t="s">
        <v>425</v>
      </c>
      <c r="H640" s="6"/>
      <c r="I640" s="6"/>
      <c r="J640" s="6"/>
      <c r="K640" s="7" t="s">
        <v>1356</v>
      </c>
      <c r="L640" s="8">
        <v>506725</v>
      </c>
      <c r="M640" s="8" t="str">
        <f t="shared" si="57"/>
        <v>PEN</v>
      </c>
      <c r="N640" s="13"/>
      <c r="O640" s="13">
        <v>1502.06</v>
      </c>
      <c r="P640" s="3">
        <f t="shared" si="58"/>
        <v>1502.06</v>
      </c>
      <c r="Q640" s="3">
        <f t="shared" si="59"/>
        <v>0</v>
      </c>
      <c r="R640" s="3">
        <f t="shared" si="55"/>
        <v>31732.309999999994</v>
      </c>
      <c r="S640" s="24" t="s">
        <v>1334</v>
      </c>
      <c r="T640" s="24" t="s">
        <v>1334</v>
      </c>
      <c r="U640" s="53"/>
      <c r="V640" s="25">
        <f>IFERROR(VLOOKUP(BCP_Soles[[#This Row],[destinatario]],CHOOSE({1,2},Clientes_Proveedores[Razon Social],Clientes_Proveedores[Ruc / Dni]),2,0),"")</f>
        <v>20558226979</v>
      </c>
      <c r="W640" s="25" t="s">
        <v>1345</v>
      </c>
      <c r="X640" s="25" t="s">
        <v>2022</v>
      </c>
      <c r="Y640" s="25"/>
      <c r="Z640" s="75"/>
      <c r="AA640" s="3" t="str">
        <f>IF(BCP_Soles[[#This Row],[fecha]]&gt;0,TEXT(BCP_Soles[[#This Row],[fecha]],"mmmm"),0)</f>
        <v>Febrero</v>
      </c>
    </row>
    <row r="641" spans="1:27" x14ac:dyDescent="0.3">
      <c r="A641" s="2">
        <f>IF(BCP_Soles[[#This Row],[tipo_registro]]="R",COUNTIFS($C$1:$C640,"R")+1,A640)</f>
        <v>459</v>
      </c>
      <c r="B641" s="19" t="str">
        <f t="shared" si="56"/>
        <v>B-BCP - Soles</v>
      </c>
      <c r="C641" s="3" t="s">
        <v>1330</v>
      </c>
      <c r="D641" s="14">
        <v>45711</v>
      </c>
      <c r="E641" s="5" t="s">
        <v>1335</v>
      </c>
      <c r="F641" s="5" t="s">
        <v>1336</v>
      </c>
      <c r="G641" s="6"/>
      <c r="H641" s="6"/>
      <c r="I641" s="6"/>
      <c r="J641" s="6"/>
      <c r="K641" s="7" t="s">
        <v>1337</v>
      </c>
      <c r="L641" s="8"/>
      <c r="M641" s="8" t="str">
        <f t="shared" si="57"/>
        <v>PEN</v>
      </c>
      <c r="N641" s="13"/>
      <c r="O641" s="13">
        <v>0.25</v>
      </c>
      <c r="P641" s="3">
        <f t="shared" si="58"/>
        <v>0</v>
      </c>
      <c r="Q641" s="3">
        <f t="shared" si="59"/>
        <v>0.25</v>
      </c>
      <c r="R641" s="3">
        <f t="shared" si="55"/>
        <v>31732.059999999994</v>
      </c>
      <c r="S641" s="24"/>
      <c r="T641" s="24" t="s">
        <v>1334</v>
      </c>
      <c r="U641" s="53"/>
      <c r="V641" s="25" t="str">
        <f>IFERROR(VLOOKUP(BCP_Soles[[#This Row],[destinatario]],CHOOSE({1,2},Clientes_Proveedores[Razon Social],Clientes_Proveedores[Ruc / Dni]),2,0),"")</f>
        <v/>
      </c>
      <c r="W641" s="25"/>
      <c r="X641" s="25"/>
      <c r="Y641" s="25"/>
      <c r="Z641" s="75"/>
      <c r="AA641" s="3" t="str">
        <f>IF(BCP_Soles[[#This Row],[fecha]]&gt;0,TEXT(BCP_Soles[[#This Row],[fecha]],"mmmm"),0)</f>
        <v>Febrero</v>
      </c>
    </row>
    <row r="642" spans="1:27" ht="24" x14ac:dyDescent="0.3">
      <c r="A642" s="2">
        <f>IF(BCP_Soles[[#This Row],[tipo_registro]]="R",COUNTIFS($C$1:$C641,"R")+1,A641)</f>
        <v>460</v>
      </c>
      <c r="B642" s="19" t="str">
        <f t="shared" si="56"/>
        <v>B-BCP - Soles</v>
      </c>
      <c r="C642" s="3" t="s">
        <v>1330</v>
      </c>
      <c r="D642" s="14">
        <v>45711</v>
      </c>
      <c r="E642" s="5" t="s">
        <v>1421</v>
      </c>
      <c r="F642" s="5" t="s">
        <v>1336</v>
      </c>
      <c r="G642" s="6" t="s">
        <v>809</v>
      </c>
      <c r="H642" s="6" t="s">
        <v>143</v>
      </c>
      <c r="I642" s="6">
        <v>1</v>
      </c>
      <c r="J642" s="6">
        <v>782025</v>
      </c>
      <c r="K642" s="7" t="s">
        <v>1356</v>
      </c>
      <c r="L642" s="8">
        <v>1430729</v>
      </c>
      <c r="M642" s="8" t="str">
        <f t="shared" si="57"/>
        <v>PEN</v>
      </c>
      <c r="N642" s="13"/>
      <c r="O642" s="13">
        <v>500</v>
      </c>
      <c r="P642" s="3">
        <f t="shared" si="58"/>
        <v>0</v>
      </c>
      <c r="Q642" s="3">
        <f t="shared" si="59"/>
        <v>500</v>
      </c>
      <c r="R642" s="3">
        <f t="shared" si="55"/>
        <v>31232.059999999994</v>
      </c>
      <c r="S642" s="24"/>
      <c r="T642" s="24" t="s">
        <v>1334</v>
      </c>
      <c r="U642" s="53"/>
      <c r="V642" s="25">
        <f>IFERROR(VLOOKUP(BCP_Soles[[#This Row],[destinatario]],CHOOSE({1,2},Clientes_Proveedores[Razon Social],Clientes_Proveedores[Ruc / Dni]),2,0),"")</f>
        <v>45286301</v>
      </c>
      <c r="W642" s="25"/>
      <c r="X642" s="25" t="s">
        <v>1430</v>
      </c>
      <c r="Y642" s="25"/>
      <c r="Z642" s="75"/>
      <c r="AA642" s="3" t="str">
        <f>IF(BCP_Soles[[#This Row],[fecha]]&gt;0,TEXT(BCP_Soles[[#This Row],[fecha]],"mmmm"),0)</f>
        <v>Febrero</v>
      </c>
    </row>
    <row r="643" spans="1:27" x14ac:dyDescent="0.3">
      <c r="A643" s="2">
        <f>IF(BCP_Soles[[#This Row],[tipo_registro]]="R",COUNTIFS($C$1:$C642,"R")+1,A642)</f>
        <v>461</v>
      </c>
      <c r="B643" s="19" t="str">
        <f t="shared" si="56"/>
        <v>B-BCP - Soles</v>
      </c>
      <c r="C643" s="3" t="s">
        <v>1330</v>
      </c>
      <c r="D643" s="14">
        <v>45712</v>
      </c>
      <c r="E643" s="5"/>
      <c r="F643" s="5" t="s">
        <v>1303</v>
      </c>
      <c r="G643" s="6" t="s">
        <v>425</v>
      </c>
      <c r="H643" s="6"/>
      <c r="I643" s="6"/>
      <c r="J643" s="6"/>
      <c r="K643" s="7" t="s">
        <v>1356</v>
      </c>
      <c r="L643" s="8">
        <v>511336</v>
      </c>
      <c r="M643" s="8" t="str">
        <f t="shared" si="57"/>
        <v>PEN</v>
      </c>
      <c r="N643" s="13"/>
      <c r="O643" s="13">
        <v>3957.2</v>
      </c>
      <c r="P643" s="3">
        <f t="shared" si="58"/>
        <v>3957.2</v>
      </c>
      <c r="Q643" s="3">
        <f t="shared" si="59"/>
        <v>0</v>
      </c>
      <c r="R643" s="3">
        <f t="shared" si="55"/>
        <v>35189.259999999995</v>
      </c>
      <c r="S643" s="24" t="s">
        <v>1334</v>
      </c>
      <c r="T643" s="24" t="s">
        <v>1334</v>
      </c>
      <c r="U643" s="53"/>
      <c r="V643" s="25">
        <f>IFERROR(VLOOKUP(BCP_Soles[[#This Row],[destinatario]],CHOOSE({1,2},Clientes_Proveedores[Razon Social],Clientes_Proveedores[Ruc / Dni]),2,0),"")</f>
        <v>20558226979</v>
      </c>
      <c r="W643" s="25" t="s">
        <v>1345</v>
      </c>
      <c r="X643" s="25"/>
      <c r="Y643" s="25"/>
      <c r="Z643" s="75"/>
      <c r="AA643" s="3" t="str">
        <f>IF(BCP_Soles[[#This Row],[fecha]]&gt;0,TEXT(BCP_Soles[[#This Row],[fecha]],"mmmm"),0)</f>
        <v>Febrero</v>
      </c>
    </row>
    <row r="644" spans="1:27" ht="36" x14ac:dyDescent="0.3">
      <c r="A644" s="2">
        <f>IF(BCP_Soles[[#This Row],[tipo_registro]]="R",COUNTIFS($C$1:$C643,"R")+1,A643)</f>
        <v>461</v>
      </c>
      <c r="B644" s="19" t="str">
        <f t="shared" si="56"/>
        <v>B-BCP - Soles</v>
      </c>
      <c r="C644" s="3" t="s">
        <v>1352</v>
      </c>
      <c r="D644" s="14">
        <v>45712</v>
      </c>
      <c r="E644" s="5" t="s">
        <v>1628</v>
      </c>
      <c r="F644" s="5" t="s">
        <v>1303</v>
      </c>
      <c r="G644" s="6" t="s">
        <v>425</v>
      </c>
      <c r="H644" s="6" t="s">
        <v>119</v>
      </c>
      <c r="I644" s="6">
        <v>2</v>
      </c>
      <c r="J644" s="6">
        <v>720</v>
      </c>
      <c r="K644" s="7" t="s">
        <v>1356</v>
      </c>
      <c r="L644" s="8">
        <v>511336</v>
      </c>
      <c r="M644" s="8" t="str">
        <f t="shared" si="57"/>
        <v>PEN</v>
      </c>
      <c r="N644" s="13">
        <v>167.2</v>
      </c>
      <c r="O644" s="13"/>
      <c r="P644" s="3">
        <f t="shared" si="58"/>
        <v>0</v>
      </c>
      <c r="Q644" s="3">
        <f t="shared" si="59"/>
        <v>0</v>
      </c>
      <c r="R644" s="3">
        <f t="shared" si="55"/>
        <v>35189.259999999995</v>
      </c>
      <c r="S644" s="24" t="s">
        <v>1334</v>
      </c>
      <c r="T644" s="24" t="s">
        <v>1334</v>
      </c>
      <c r="U644" s="53"/>
      <c r="V644" s="25">
        <f>IFERROR(VLOOKUP(BCP_Soles[[#This Row],[destinatario]],CHOOSE({1,2},Clientes_Proveedores[Razon Social],Clientes_Proveedores[Ruc / Dni]),2,0),"")</f>
        <v>20558226979</v>
      </c>
      <c r="W644" s="25" t="s">
        <v>1345</v>
      </c>
      <c r="X644" s="25" t="s">
        <v>2023</v>
      </c>
      <c r="Y644" s="25"/>
      <c r="Z644" s="75"/>
      <c r="AA644" s="3" t="str">
        <f>IF(BCP_Soles[[#This Row],[fecha]]&gt;0,TEXT(BCP_Soles[[#This Row],[fecha]],"mmmm"),0)</f>
        <v>Febrero</v>
      </c>
    </row>
    <row r="645" spans="1:27" ht="36" x14ac:dyDescent="0.3">
      <c r="A645" s="2">
        <f>IF(BCP_Soles[[#This Row],[tipo_registro]]="R",COUNTIFS($C$1:$C644,"R")+1,A644)</f>
        <v>461</v>
      </c>
      <c r="B645" s="19" t="str">
        <f t="shared" si="56"/>
        <v>B-BCP - Soles</v>
      </c>
      <c r="C645" s="3" t="s">
        <v>1352</v>
      </c>
      <c r="D645" s="14">
        <v>45712</v>
      </c>
      <c r="E645" s="5" t="s">
        <v>1628</v>
      </c>
      <c r="F645" s="5" t="s">
        <v>1303</v>
      </c>
      <c r="G645" s="6" t="s">
        <v>425</v>
      </c>
      <c r="H645" s="6" t="s">
        <v>119</v>
      </c>
      <c r="I645" s="6">
        <v>2</v>
      </c>
      <c r="J645" s="6">
        <v>721</v>
      </c>
      <c r="K645" s="7" t="s">
        <v>1356</v>
      </c>
      <c r="L645" s="8">
        <v>511336</v>
      </c>
      <c r="M645" s="8" t="str">
        <f t="shared" si="57"/>
        <v>PEN</v>
      </c>
      <c r="N645" s="13">
        <v>3790</v>
      </c>
      <c r="O645" s="13"/>
      <c r="P645" s="3">
        <f t="shared" si="58"/>
        <v>0</v>
      </c>
      <c r="Q645" s="3">
        <f t="shared" si="59"/>
        <v>0</v>
      </c>
      <c r="R645" s="3">
        <f t="shared" si="55"/>
        <v>35189.259999999995</v>
      </c>
      <c r="S645" s="24" t="s">
        <v>1334</v>
      </c>
      <c r="T645" s="24" t="s">
        <v>1334</v>
      </c>
      <c r="U645" s="53"/>
      <c r="V645" s="25">
        <f>IFERROR(VLOOKUP(BCP_Soles[[#This Row],[destinatario]],CHOOSE({1,2},Clientes_Proveedores[Razon Social],Clientes_Proveedores[Ruc / Dni]),2,0),"")</f>
        <v>20558226979</v>
      </c>
      <c r="W645" s="25" t="s">
        <v>1345</v>
      </c>
      <c r="X645" s="25" t="s">
        <v>2024</v>
      </c>
      <c r="Y645" s="25"/>
      <c r="Z645" s="75"/>
      <c r="AA645" s="3" t="str">
        <f>IF(BCP_Soles[[#This Row],[fecha]]&gt;0,TEXT(BCP_Soles[[#This Row],[fecha]],"mmmm"),0)</f>
        <v>Febrero</v>
      </c>
    </row>
    <row r="646" spans="1:27" x14ac:dyDescent="0.3">
      <c r="A646" s="2">
        <f>IF(BCP_Soles[[#This Row],[tipo_registro]]="R",COUNTIFS($C$1:$C645,"R")+1,A645)</f>
        <v>462</v>
      </c>
      <c r="B646" s="19" t="str">
        <f t="shared" si="56"/>
        <v>B-BCP - Soles</v>
      </c>
      <c r="C646" s="3" t="s">
        <v>1330</v>
      </c>
      <c r="D646" s="14">
        <v>45712</v>
      </c>
      <c r="E646" s="5"/>
      <c r="F646" s="5" t="s">
        <v>1303</v>
      </c>
      <c r="G646" s="6" t="s">
        <v>425</v>
      </c>
      <c r="H646" s="6"/>
      <c r="I646" s="6"/>
      <c r="J646" s="6"/>
      <c r="K646" s="7" t="s">
        <v>1356</v>
      </c>
      <c r="L646" s="8">
        <v>806721</v>
      </c>
      <c r="M646" s="8" t="str">
        <f t="shared" si="57"/>
        <v>PEN</v>
      </c>
      <c r="N646" s="13"/>
      <c r="O646" s="13">
        <v>4946</v>
      </c>
      <c r="P646" s="3">
        <f t="shared" si="58"/>
        <v>4946</v>
      </c>
      <c r="Q646" s="3">
        <f t="shared" si="59"/>
        <v>0</v>
      </c>
      <c r="R646" s="3">
        <f t="shared" si="55"/>
        <v>40135.259999999995</v>
      </c>
      <c r="S646" s="24" t="s">
        <v>1334</v>
      </c>
      <c r="T646" s="24" t="s">
        <v>1334</v>
      </c>
      <c r="U646" s="53"/>
      <c r="V646" s="25">
        <f>IFERROR(VLOOKUP(BCP_Soles[[#This Row],[destinatario]],CHOOSE({1,2},Clientes_Proveedores[Razon Social],Clientes_Proveedores[Ruc / Dni]),2,0),"")</f>
        <v>20558226979</v>
      </c>
      <c r="W646" s="25" t="s">
        <v>1345</v>
      </c>
      <c r="X646" s="25"/>
      <c r="Y646" s="25"/>
      <c r="Z646" s="75"/>
      <c r="AA646" s="3" t="str">
        <f>IF(BCP_Soles[[#This Row],[fecha]]&gt;0,TEXT(BCP_Soles[[#This Row],[fecha]],"mmmm"),0)</f>
        <v>Febrero</v>
      </c>
    </row>
    <row r="647" spans="1:27" ht="24" x14ac:dyDescent="0.3">
      <c r="A647" s="2">
        <f>IF(BCP_Soles[[#This Row],[tipo_registro]]="R",COUNTIFS($C$1:$C646,"R")+1,A646)</f>
        <v>462</v>
      </c>
      <c r="B647" s="19" t="str">
        <f t="shared" si="56"/>
        <v>B-BCP - Soles</v>
      </c>
      <c r="C647" s="3" t="s">
        <v>1352</v>
      </c>
      <c r="D647" s="14">
        <v>45712</v>
      </c>
      <c r="E647" s="5" t="s">
        <v>536</v>
      </c>
      <c r="F647" s="5" t="s">
        <v>1303</v>
      </c>
      <c r="G647" s="6" t="s">
        <v>425</v>
      </c>
      <c r="H647" s="6" t="s">
        <v>119</v>
      </c>
      <c r="I647" s="6">
        <v>1</v>
      </c>
      <c r="J647" s="6">
        <v>4163</v>
      </c>
      <c r="K647" s="7" t="s">
        <v>1356</v>
      </c>
      <c r="L647" s="8">
        <v>806721</v>
      </c>
      <c r="M647" s="8" t="str">
        <f t="shared" si="57"/>
        <v>PEN</v>
      </c>
      <c r="N647" s="13">
        <v>825</v>
      </c>
      <c r="O647" s="13"/>
      <c r="P647" s="3">
        <f t="shared" si="58"/>
        <v>0</v>
      </c>
      <c r="Q647" s="3">
        <f t="shared" si="59"/>
        <v>0</v>
      </c>
      <c r="R647" s="3">
        <f t="shared" si="55"/>
        <v>40135.259999999995</v>
      </c>
      <c r="S647" s="24" t="s">
        <v>1334</v>
      </c>
      <c r="T647" s="24" t="s">
        <v>1334</v>
      </c>
      <c r="U647" s="53"/>
      <c r="V647" s="25">
        <f>IFERROR(VLOOKUP(BCP_Soles[[#This Row],[destinatario]],CHOOSE({1,2},Clientes_Proveedores[Razon Social],Clientes_Proveedores[Ruc / Dni]),2,0),"")</f>
        <v>20558226979</v>
      </c>
      <c r="W647" s="25" t="s">
        <v>1345</v>
      </c>
      <c r="X647" s="25" t="s">
        <v>2025</v>
      </c>
      <c r="Y647" s="25"/>
      <c r="Z647" s="75"/>
      <c r="AA647" s="3" t="str">
        <f>IF(BCP_Soles[[#This Row],[fecha]]&gt;0,TEXT(BCP_Soles[[#This Row],[fecha]],"mmmm"),0)</f>
        <v>Febrero</v>
      </c>
    </row>
    <row r="648" spans="1:27" ht="24" x14ac:dyDescent="0.3">
      <c r="A648" s="2">
        <f>IF(BCP_Soles[[#This Row],[tipo_registro]]="R",COUNTIFS($C$1:$C647,"R")+1,A647)</f>
        <v>462</v>
      </c>
      <c r="B648" s="19" t="str">
        <f t="shared" si="56"/>
        <v>B-BCP - Soles</v>
      </c>
      <c r="C648" s="3" t="s">
        <v>1352</v>
      </c>
      <c r="D648" s="14">
        <v>45712</v>
      </c>
      <c r="E648" s="5" t="s">
        <v>536</v>
      </c>
      <c r="F648" s="5" t="s">
        <v>1303</v>
      </c>
      <c r="G648" s="6" t="s">
        <v>425</v>
      </c>
      <c r="H648" s="6" t="s">
        <v>119</v>
      </c>
      <c r="I648" s="6">
        <v>1</v>
      </c>
      <c r="J648" s="6">
        <v>4175</v>
      </c>
      <c r="K648" s="7" t="s">
        <v>1356</v>
      </c>
      <c r="L648" s="8">
        <v>806721</v>
      </c>
      <c r="M648" s="8" t="str">
        <f t="shared" si="57"/>
        <v>PEN</v>
      </c>
      <c r="N648" s="13">
        <v>1105</v>
      </c>
      <c r="O648" s="13"/>
      <c r="P648" s="3">
        <f t="shared" si="58"/>
        <v>0</v>
      </c>
      <c r="Q648" s="3">
        <f t="shared" si="59"/>
        <v>0</v>
      </c>
      <c r="R648" s="3">
        <f t="shared" si="55"/>
        <v>40135.259999999995</v>
      </c>
      <c r="S648" s="24" t="s">
        <v>1334</v>
      </c>
      <c r="T648" s="24" t="s">
        <v>1334</v>
      </c>
      <c r="U648" s="53"/>
      <c r="V648" s="25">
        <f>IFERROR(VLOOKUP(BCP_Soles[[#This Row],[destinatario]],CHOOSE({1,2},Clientes_Proveedores[Razon Social],Clientes_Proveedores[Ruc / Dni]),2,0),"")</f>
        <v>20558226979</v>
      </c>
      <c r="W648" s="25" t="s">
        <v>1345</v>
      </c>
      <c r="X648" s="25" t="s">
        <v>2026</v>
      </c>
      <c r="Y648" s="25"/>
      <c r="Z648" s="75"/>
      <c r="AA648" s="3" t="str">
        <f>IF(BCP_Soles[[#This Row],[fecha]]&gt;0,TEXT(BCP_Soles[[#This Row],[fecha]],"mmmm"),0)</f>
        <v>Febrero</v>
      </c>
    </row>
    <row r="649" spans="1:27" ht="24" x14ac:dyDescent="0.3">
      <c r="A649" s="2">
        <f>IF(BCP_Soles[[#This Row],[tipo_registro]]="R",COUNTIFS($C$1:$C648,"R")+1,A648)</f>
        <v>462</v>
      </c>
      <c r="B649" s="19" t="str">
        <f t="shared" si="56"/>
        <v>B-BCP - Soles</v>
      </c>
      <c r="C649" s="3" t="s">
        <v>1352</v>
      </c>
      <c r="D649" s="14">
        <v>45712</v>
      </c>
      <c r="E649" s="5" t="s">
        <v>536</v>
      </c>
      <c r="F649" s="5" t="s">
        <v>1303</v>
      </c>
      <c r="G649" s="6" t="s">
        <v>425</v>
      </c>
      <c r="H649" s="6" t="s">
        <v>119</v>
      </c>
      <c r="I649" s="6">
        <v>1</v>
      </c>
      <c r="J649" s="6">
        <v>4186</v>
      </c>
      <c r="K649" s="7" t="s">
        <v>1356</v>
      </c>
      <c r="L649" s="8">
        <v>806721</v>
      </c>
      <c r="M649" s="8" t="str">
        <f t="shared" si="57"/>
        <v>PEN</v>
      </c>
      <c r="N649" s="13">
        <v>3016</v>
      </c>
      <c r="O649" s="13"/>
      <c r="P649" s="3">
        <f t="shared" si="58"/>
        <v>0</v>
      </c>
      <c r="Q649" s="3">
        <f t="shared" si="59"/>
        <v>0</v>
      </c>
      <c r="R649" s="3">
        <f t="shared" ref="R649:R712" si="60">IFERROR(IF(F649="SALDO",P649,R648+P649-Q649),0)</f>
        <v>40135.259999999995</v>
      </c>
      <c r="S649" s="24" t="s">
        <v>1334</v>
      </c>
      <c r="T649" s="24" t="s">
        <v>1334</v>
      </c>
      <c r="U649" s="53"/>
      <c r="V649" s="25">
        <f>IFERROR(VLOOKUP(BCP_Soles[[#This Row],[destinatario]],CHOOSE({1,2},Clientes_Proveedores[Razon Social],Clientes_Proveedores[Ruc / Dni]),2,0),"")</f>
        <v>20558226979</v>
      </c>
      <c r="W649" s="25" t="s">
        <v>1345</v>
      </c>
      <c r="X649" s="25" t="s">
        <v>2027</v>
      </c>
      <c r="Y649" s="25"/>
      <c r="Z649" s="75"/>
      <c r="AA649" s="3" t="str">
        <f>IF(BCP_Soles[[#This Row],[fecha]]&gt;0,TEXT(BCP_Soles[[#This Row],[fecha]],"mmmm"),0)</f>
        <v>Febrero</v>
      </c>
    </row>
    <row r="650" spans="1:27" ht="36" x14ac:dyDescent="0.3">
      <c r="A650" s="2">
        <f>IF(BCP_Soles[[#This Row],[tipo_registro]]="R",COUNTIFS($C$1:$C649,"R")+1,A649)</f>
        <v>463</v>
      </c>
      <c r="B650" s="19" t="str">
        <f t="shared" si="56"/>
        <v>B-BCP - Soles</v>
      </c>
      <c r="C650" s="3" t="s">
        <v>1330</v>
      </c>
      <c r="D650" s="14">
        <v>45712</v>
      </c>
      <c r="E650" s="5" t="s">
        <v>324</v>
      </c>
      <c r="F650" s="5" t="s">
        <v>1303</v>
      </c>
      <c r="G650" s="6" t="s">
        <v>425</v>
      </c>
      <c r="H650" s="6"/>
      <c r="I650" s="6"/>
      <c r="J650" s="6"/>
      <c r="K650" s="7" t="s">
        <v>2028</v>
      </c>
      <c r="L650" s="8">
        <v>5453720</v>
      </c>
      <c r="M650" s="8" t="str">
        <f t="shared" si="57"/>
        <v>PEN</v>
      </c>
      <c r="N650" s="13"/>
      <c r="O650" s="13">
        <v>4027.32</v>
      </c>
      <c r="P650" s="3">
        <f t="shared" si="58"/>
        <v>4027.32</v>
      </c>
      <c r="Q650" s="3">
        <f t="shared" si="59"/>
        <v>0</v>
      </c>
      <c r="R650" s="3">
        <f t="shared" si="60"/>
        <v>44162.579999999994</v>
      </c>
      <c r="S650" s="24" t="s">
        <v>1334</v>
      </c>
      <c r="T650" s="24" t="s">
        <v>1334</v>
      </c>
      <c r="U650" s="53"/>
      <c r="V650" s="25">
        <f>IFERROR(VLOOKUP(BCP_Soles[[#This Row],[destinatario]],CHOOSE({1,2},Clientes_Proveedores[Razon Social],Clientes_Proveedores[Ruc / Dni]),2,0),"")</f>
        <v>20558226979</v>
      </c>
      <c r="W650" s="25" t="s">
        <v>1345</v>
      </c>
      <c r="X650" s="25" t="s">
        <v>2029</v>
      </c>
      <c r="Y650" s="25"/>
      <c r="Z650" s="75"/>
      <c r="AA650" s="3" t="str">
        <f>IF(BCP_Soles[[#This Row],[fecha]]&gt;0,TEXT(BCP_Soles[[#This Row],[fecha]],"mmmm"),0)</f>
        <v>Febrero</v>
      </c>
    </row>
    <row r="651" spans="1:27" ht="24" x14ac:dyDescent="0.3">
      <c r="A651" s="2">
        <f>IF(BCP_Soles[[#This Row],[tipo_registro]]="R",COUNTIFS($C$1:$C650,"R")+1,A650)</f>
        <v>464</v>
      </c>
      <c r="B651" s="19" t="str">
        <f t="shared" si="56"/>
        <v>B-BCP - Soles</v>
      </c>
      <c r="C651" s="3" t="s">
        <v>1330</v>
      </c>
      <c r="D651" s="14">
        <v>45712</v>
      </c>
      <c r="E651" s="5" t="s">
        <v>1338</v>
      </c>
      <c r="F651" s="5" t="s">
        <v>1336</v>
      </c>
      <c r="G651" s="6" t="s">
        <v>249</v>
      </c>
      <c r="H651" s="6"/>
      <c r="I651" s="6"/>
      <c r="J651" s="6"/>
      <c r="K651" s="7" t="s">
        <v>2030</v>
      </c>
      <c r="L651" s="8">
        <v>1036965</v>
      </c>
      <c r="M651" s="8" t="str">
        <f t="shared" si="57"/>
        <v>PEN</v>
      </c>
      <c r="N651" s="13"/>
      <c r="O651" s="13">
        <v>656.08</v>
      </c>
      <c r="P651" s="3">
        <f t="shared" si="58"/>
        <v>0</v>
      </c>
      <c r="Q651" s="3">
        <f t="shared" si="59"/>
        <v>656.08</v>
      </c>
      <c r="R651" s="3">
        <f t="shared" si="60"/>
        <v>43506.499999999993</v>
      </c>
      <c r="S651" s="24"/>
      <c r="T651" s="24"/>
      <c r="U651" s="53"/>
      <c r="V651" s="25">
        <f>IFERROR(VLOOKUP(BCP_Soles[[#This Row],[destinatario]],CHOOSE({1,2},Clientes_Proveedores[Razon Social],Clientes_Proveedores[Ruc / Dni]),2,0),"")</f>
        <v>20302891452</v>
      </c>
      <c r="W651" s="25" t="s">
        <v>249</v>
      </c>
      <c r="X651" s="25"/>
      <c r="Y651" s="25"/>
      <c r="Z651" s="75"/>
      <c r="AA651" s="3" t="str">
        <f>IF(BCP_Soles[[#This Row],[fecha]]&gt;0,TEXT(BCP_Soles[[#This Row],[fecha]],"mmmm"),0)</f>
        <v>Febrero</v>
      </c>
    </row>
    <row r="652" spans="1:27" ht="24" x14ac:dyDescent="0.3">
      <c r="A652" s="2">
        <f>IF(BCP_Soles[[#This Row],[tipo_registro]]="R",COUNTIFS($C$1:$C651,"R")+1,A651)</f>
        <v>465</v>
      </c>
      <c r="B652" s="19" t="str">
        <f t="shared" si="56"/>
        <v>B-BCP - Soles</v>
      </c>
      <c r="C652" s="3" t="s">
        <v>1330</v>
      </c>
      <c r="D652" s="14">
        <v>45712</v>
      </c>
      <c r="E652" s="5" t="s">
        <v>1338</v>
      </c>
      <c r="F652" s="5" t="s">
        <v>1336</v>
      </c>
      <c r="G652" s="6" t="s">
        <v>249</v>
      </c>
      <c r="H652" s="6"/>
      <c r="I652" s="6"/>
      <c r="J652" s="6"/>
      <c r="K652" s="7" t="s">
        <v>2031</v>
      </c>
      <c r="L652" s="8">
        <v>1037450</v>
      </c>
      <c r="M652" s="8" t="str">
        <f t="shared" si="57"/>
        <v>PEN</v>
      </c>
      <c r="N652" s="13"/>
      <c r="O652" s="13">
        <v>2836.72</v>
      </c>
      <c r="P652" s="3">
        <f t="shared" si="58"/>
        <v>0</v>
      </c>
      <c r="Q652" s="3">
        <f t="shared" si="59"/>
        <v>2836.72</v>
      </c>
      <c r="R652" s="3">
        <f t="shared" si="60"/>
        <v>40669.779999999992</v>
      </c>
      <c r="S652" s="24"/>
      <c r="T652" s="24"/>
      <c r="U652" s="53"/>
      <c r="V652" s="25">
        <f>IFERROR(VLOOKUP(BCP_Soles[[#This Row],[destinatario]],CHOOSE({1,2},Clientes_Proveedores[Razon Social],Clientes_Proveedores[Ruc / Dni]),2,0),"")</f>
        <v>20302891452</v>
      </c>
      <c r="W652" s="25" t="s">
        <v>249</v>
      </c>
      <c r="X652" s="25"/>
      <c r="Y652" s="25"/>
      <c r="Z652" s="75"/>
      <c r="AA652" s="3" t="str">
        <f>IF(BCP_Soles[[#This Row],[fecha]]&gt;0,TEXT(BCP_Soles[[#This Row],[fecha]],"mmmm"),0)</f>
        <v>Febrero</v>
      </c>
    </row>
    <row r="653" spans="1:27" x14ac:dyDescent="0.3">
      <c r="A653" s="2">
        <f>IF(BCP_Soles[[#This Row],[tipo_registro]]="R",COUNTIFS($C$1:$C652,"R")+1,A652)</f>
        <v>466</v>
      </c>
      <c r="B653" s="19" t="str">
        <f t="shared" si="56"/>
        <v>B-BCP - Soles</v>
      </c>
      <c r="C653" s="3" t="s">
        <v>1330</v>
      </c>
      <c r="D653" s="14">
        <v>45712</v>
      </c>
      <c r="E653" s="5"/>
      <c r="F653" s="5" t="s">
        <v>1303</v>
      </c>
      <c r="G653" s="6" t="s">
        <v>425</v>
      </c>
      <c r="H653" s="6"/>
      <c r="I653" s="6"/>
      <c r="J653" s="6"/>
      <c r="K653" s="7" t="s">
        <v>1356</v>
      </c>
      <c r="L653" s="8">
        <v>3262654</v>
      </c>
      <c r="M653" s="8" t="str">
        <f t="shared" si="57"/>
        <v>PEN</v>
      </c>
      <c r="N653" s="13"/>
      <c r="O653" s="13">
        <v>15870</v>
      </c>
      <c r="P653" s="3">
        <f t="shared" si="58"/>
        <v>15870</v>
      </c>
      <c r="Q653" s="3">
        <f t="shared" si="59"/>
        <v>0</v>
      </c>
      <c r="R653" s="3">
        <f t="shared" si="60"/>
        <v>56539.779999999992</v>
      </c>
      <c r="S653" s="24" t="s">
        <v>1334</v>
      </c>
      <c r="T653" s="24" t="s">
        <v>1334</v>
      </c>
      <c r="U653" s="53"/>
      <c r="V653" s="25">
        <f>IFERROR(VLOOKUP(BCP_Soles[[#This Row],[destinatario]],CHOOSE({1,2},Clientes_Proveedores[Razon Social],Clientes_Proveedores[Ruc / Dni]),2,0),"")</f>
        <v>20558226979</v>
      </c>
      <c r="W653" s="25" t="s">
        <v>1345</v>
      </c>
      <c r="X653" s="25"/>
      <c r="Y653" s="25"/>
      <c r="Z653" s="75"/>
      <c r="AA653" s="3" t="str">
        <f>IF(BCP_Soles[[#This Row],[fecha]]&gt;0,TEXT(BCP_Soles[[#This Row],[fecha]],"mmmm"),0)</f>
        <v>Febrero</v>
      </c>
    </row>
    <row r="654" spans="1:27" ht="24" x14ac:dyDescent="0.3">
      <c r="A654" s="2">
        <f>IF(BCP_Soles[[#This Row],[tipo_registro]]="R",COUNTIFS($C$1:$C653,"R")+1,A653)</f>
        <v>466</v>
      </c>
      <c r="B654" s="19" t="str">
        <f t="shared" si="56"/>
        <v>B-BCP - Soles</v>
      </c>
      <c r="C654" s="3" t="s">
        <v>1352</v>
      </c>
      <c r="D654" s="14">
        <v>45712</v>
      </c>
      <c r="E654" s="5" t="s">
        <v>2032</v>
      </c>
      <c r="F654" s="5" t="s">
        <v>1303</v>
      </c>
      <c r="G654" s="6" t="s">
        <v>425</v>
      </c>
      <c r="H654" s="6" t="s">
        <v>119</v>
      </c>
      <c r="I654" s="6">
        <v>1</v>
      </c>
      <c r="J654" s="6">
        <v>4178</v>
      </c>
      <c r="K654" s="7" t="s">
        <v>1356</v>
      </c>
      <c r="L654" s="8">
        <v>3262654</v>
      </c>
      <c r="M654" s="8" t="str">
        <f t="shared" si="57"/>
        <v>PEN</v>
      </c>
      <c r="N654" s="13">
        <v>13818</v>
      </c>
      <c r="O654" s="13"/>
      <c r="P654" s="3">
        <f t="shared" si="58"/>
        <v>0</v>
      </c>
      <c r="Q654" s="3">
        <f t="shared" si="59"/>
        <v>0</v>
      </c>
      <c r="R654" s="3">
        <f t="shared" si="60"/>
        <v>56539.779999999992</v>
      </c>
      <c r="S654" s="24" t="s">
        <v>1334</v>
      </c>
      <c r="T654" s="24" t="s">
        <v>1334</v>
      </c>
      <c r="U654" s="53"/>
      <c r="V654" s="25">
        <f>IFERROR(VLOOKUP(BCP_Soles[[#This Row],[destinatario]],CHOOSE({1,2},Clientes_Proveedores[Razon Social],Clientes_Proveedores[Ruc / Dni]),2,0),"")</f>
        <v>20558226979</v>
      </c>
      <c r="W654" s="25" t="s">
        <v>1345</v>
      </c>
      <c r="X654" s="25" t="s">
        <v>2033</v>
      </c>
      <c r="Y654" s="25"/>
      <c r="Z654" s="75"/>
      <c r="AA654" s="3" t="str">
        <f>IF(BCP_Soles[[#This Row],[fecha]]&gt;0,TEXT(BCP_Soles[[#This Row],[fecha]],"mmmm"),0)</f>
        <v>Febrero</v>
      </c>
    </row>
    <row r="655" spans="1:27" ht="24" x14ac:dyDescent="0.3">
      <c r="A655" s="2">
        <f>IF(BCP_Soles[[#This Row],[tipo_registro]]="R",COUNTIFS($C$1:$C654,"R")+1,A654)</f>
        <v>466</v>
      </c>
      <c r="B655" s="19" t="str">
        <f t="shared" ref="B655:B718" si="61">"B-BCP - Soles"</f>
        <v>B-BCP - Soles</v>
      </c>
      <c r="C655" s="3" t="s">
        <v>1352</v>
      </c>
      <c r="D655" s="14">
        <v>45712</v>
      </c>
      <c r="E655" s="5" t="s">
        <v>2032</v>
      </c>
      <c r="F655" s="5" t="s">
        <v>1303</v>
      </c>
      <c r="G655" s="6" t="s">
        <v>425</v>
      </c>
      <c r="H655" s="6" t="s">
        <v>119</v>
      </c>
      <c r="I655" s="6">
        <v>1</v>
      </c>
      <c r="J655" s="6">
        <v>4187</v>
      </c>
      <c r="K655" s="7" t="s">
        <v>1356</v>
      </c>
      <c r="L655" s="8">
        <v>3262654</v>
      </c>
      <c r="M655" s="8" t="str">
        <f t="shared" ref="M655:M718" si="62">"PEN"</f>
        <v>PEN</v>
      </c>
      <c r="N655" s="13">
        <v>2052</v>
      </c>
      <c r="O655" s="13"/>
      <c r="P655" s="3">
        <f t="shared" ref="P655:P718" si="63">+IF(OR($F655="SALDO",$F655="INGRESO"),$O655,0)</f>
        <v>0</v>
      </c>
      <c r="Q655" s="3">
        <f t="shared" ref="Q655:Q718" si="64">+IF($F655="EGRESO",$O655,0)</f>
        <v>0</v>
      </c>
      <c r="R655" s="3">
        <f t="shared" si="60"/>
        <v>56539.779999999992</v>
      </c>
      <c r="S655" s="24" t="s">
        <v>1334</v>
      </c>
      <c r="T655" s="24" t="s">
        <v>1334</v>
      </c>
      <c r="U655" s="53"/>
      <c r="V655" s="25">
        <f>IFERROR(VLOOKUP(BCP_Soles[[#This Row],[destinatario]],CHOOSE({1,2},Clientes_Proveedores[Razon Social],Clientes_Proveedores[Ruc / Dni]),2,0),"")</f>
        <v>20558226979</v>
      </c>
      <c r="W655" s="25" t="s">
        <v>1345</v>
      </c>
      <c r="X655" s="25" t="s">
        <v>2034</v>
      </c>
      <c r="Y655" s="25"/>
      <c r="Z655" s="75"/>
      <c r="AA655" s="3" t="str">
        <f>IF(BCP_Soles[[#This Row],[fecha]]&gt;0,TEXT(BCP_Soles[[#This Row],[fecha]],"mmmm"),0)</f>
        <v>Febrero</v>
      </c>
    </row>
    <row r="656" spans="1:27" x14ac:dyDescent="0.3">
      <c r="A656" s="2">
        <f>IF(BCP_Soles[[#This Row],[tipo_registro]]="R",COUNTIFS($C$1:$C655,"R")+1,A655)</f>
        <v>467</v>
      </c>
      <c r="B656" s="19" t="str">
        <f t="shared" si="61"/>
        <v>B-BCP - Soles</v>
      </c>
      <c r="C656" s="3" t="s">
        <v>1330</v>
      </c>
      <c r="D656" s="14">
        <v>45712</v>
      </c>
      <c r="E656" s="5" t="s">
        <v>1335</v>
      </c>
      <c r="F656" s="5" t="s">
        <v>1336</v>
      </c>
      <c r="G656" s="6"/>
      <c r="H656" s="6"/>
      <c r="I656" s="6"/>
      <c r="J656" s="6"/>
      <c r="K656" s="7" t="s">
        <v>1337</v>
      </c>
      <c r="L656" s="8"/>
      <c r="M656" s="8" t="str">
        <f t="shared" si="62"/>
        <v>PEN</v>
      </c>
      <c r="N656" s="13"/>
      <c r="O656" s="13">
        <v>1.85</v>
      </c>
      <c r="P656" s="3">
        <f t="shared" si="63"/>
        <v>0</v>
      </c>
      <c r="Q656" s="3">
        <f t="shared" si="64"/>
        <v>1.85</v>
      </c>
      <c r="R656" s="3">
        <f t="shared" si="60"/>
        <v>56537.929999999993</v>
      </c>
      <c r="S656" s="24"/>
      <c r="T656" s="24" t="s">
        <v>1334</v>
      </c>
      <c r="U656" s="53"/>
      <c r="V656" s="25" t="str">
        <f>IFERROR(VLOOKUP(BCP_Soles[[#This Row],[destinatario]],CHOOSE({1,2},Clientes_Proveedores[Razon Social],Clientes_Proveedores[Ruc / Dni]),2,0),"")</f>
        <v/>
      </c>
      <c r="W656" s="25"/>
      <c r="X656" s="25"/>
      <c r="Y656" s="25"/>
      <c r="Z656" s="75"/>
      <c r="AA656" s="3" t="str">
        <f>IF(BCP_Soles[[#This Row],[fecha]]&gt;0,TEXT(BCP_Soles[[#This Row],[fecha]],"mmmm"),0)</f>
        <v>Febrero</v>
      </c>
    </row>
    <row r="657" spans="1:27" ht="24" x14ac:dyDescent="0.3">
      <c r="A657" s="2">
        <f>IF(BCP_Soles[[#This Row],[tipo_registro]]="R",COUNTIFS($C$1:$C656,"R")+1,A656)</f>
        <v>468</v>
      </c>
      <c r="B657" s="19" t="str">
        <f t="shared" si="61"/>
        <v>B-BCP - Soles</v>
      </c>
      <c r="C657" s="3" t="s">
        <v>1330</v>
      </c>
      <c r="D657" s="14">
        <v>45712</v>
      </c>
      <c r="E657" s="5" t="s">
        <v>1421</v>
      </c>
      <c r="F657" s="5" t="s">
        <v>1336</v>
      </c>
      <c r="G657" s="6" t="s">
        <v>809</v>
      </c>
      <c r="H657" s="6" t="s">
        <v>143</v>
      </c>
      <c r="I657" s="6">
        <v>1</v>
      </c>
      <c r="J657" s="6">
        <v>782025</v>
      </c>
      <c r="K657" s="7" t="s">
        <v>1356</v>
      </c>
      <c r="L657" s="8">
        <v>3725780</v>
      </c>
      <c r="M657" s="8" t="str">
        <f t="shared" si="62"/>
        <v>PEN</v>
      </c>
      <c r="N657" s="13"/>
      <c r="O657" s="13">
        <v>1000</v>
      </c>
      <c r="P657" s="3">
        <f t="shared" si="63"/>
        <v>0</v>
      </c>
      <c r="Q657" s="3">
        <f t="shared" si="64"/>
        <v>1000</v>
      </c>
      <c r="R657" s="3">
        <f t="shared" si="60"/>
        <v>55537.929999999993</v>
      </c>
      <c r="S657" s="24"/>
      <c r="T657" s="24" t="s">
        <v>1334</v>
      </c>
      <c r="U657" s="53"/>
      <c r="V657" s="25">
        <f>IFERROR(VLOOKUP(BCP_Soles[[#This Row],[destinatario]],CHOOSE({1,2},Clientes_Proveedores[Razon Social],Clientes_Proveedores[Ruc / Dni]),2,0),"")</f>
        <v>45286301</v>
      </c>
      <c r="W657" s="25"/>
      <c r="X657" s="25" t="s">
        <v>1430</v>
      </c>
      <c r="Y657" s="25"/>
      <c r="Z657" s="75"/>
      <c r="AA657" s="3" t="str">
        <f>IF(BCP_Soles[[#This Row],[fecha]]&gt;0,TEXT(BCP_Soles[[#This Row],[fecha]],"mmmm"),0)</f>
        <v>Febrero</v>
      </c>
    </row>
    <row r="658" spans="1:27" ht="24" x14ac:dyDescent="0.3">
      <c r="A658" s="2">
        <f>IF(BCP_Soles[[#This Row],[tipo_registro]]="R",COUNTIFS($C$1:$C657,"R")+1,A657)</f>
        <v>469</v>
      </c>
      <c r="B658" s="19" t="str">
        <f t="shared" si="61"/>
        <v>B-BCP - Soles</v>
      </c>
      <c r="C658" s="3" t="s">
        <v>1330</v>
      </c>
      <c r="D658" s="14">
        <v>45712</v>
      </c>
      <c r="E658" s="5" t="s">
        <v>1338</v>
      </c>
      <c r="F658" s="5" t="s">
        <v>1336</v>
      </c>
      <c r="G658" s="6" t="s">
        <v>249</v>
      </c>
      <c r="H658" s="6"/>
      <c r="I658" s="6"/>
      <c r="J658" s="6"/>
      <c r="K658" s="7" t="s">
        <v>2035</v>
      </c>
      <c r="L658" s="8">
        <v>1135499</v>
      </c>
      <c r="M658" s="8" t="str">
        <f t="shared" si="62"/>
        <v>PEN</v>
      </c>
      <c r="N658" s="13"/>
      <c r="O658" s="13">
        <v>1048.78</v>
      </c>
      <c r="P658" s="3">
        <f t="shared" si="63"/>
        <v>0</v>
      </c>
      <c r="Q658" s="3">
        <f t="shared" si="64"/>
        <v>1048.78</v>
      </c>
      <c r="R658" s="3">
        <f t="shared" si="60"/>
        <v>54489.149999999994</v>
      </c>
      <c r="S658" s="24"/>
      <c r="T658" s="24"/>
      <c r="U658" s="53"/>
      <c r="V658" s="25">
        <f>IFERROR(VLOOKUP(BCP_Soles[[#This Row],[destinatario]],CHOOSE({1,2},Clientes_Proveedores[Razon Social],Clientes_Proveedores[Ruc / Dni]),2,0),"")</f>
        <v>20302891452</v>
      </c>
      <c r="W658" s="25" t="s">
        <v>249</v>
      </c>
      <c r="X658" s="25"/>
      <c r="Y658" s="25"/>
      <c r="Z658" s="75"/>
      <c r="AA658" s="3" t="str">
        <f>IF(BCP_Soles[[#This Row],[fecha]]&gt;0,TEXT(BCP_Soles[[#This Row],[fecha]],"mmmm"),0)</f>
        <v>Febrero</v>
      </c>
    </row>
    <row r="659" spans="1:27" x14ac:dyDescent="0.3">
      <c r="A659" s="2">
        <f>IF(BCP_Soles[[#This Row],[tipo_registro]]="R",COUNTIFS($C$1:$C658,"R")+1,A658)</f>
        <v>470</v>
      </c>
      <c r="B659" s="19" t="str">
        <f t="shared" si="61"/>
        <v>B-BCP - Soles</v>
      </c>
      <c r="C659" s="3" t="s">
        <v>1330</v>
      </c>
      <c r="D659" s="14">
        <v>45712</v>
      </c>
      <c r="E659" s="5" t="s">
        <v>1338</v>
      </c>
      <c r="F659" s="5" t="s">
        <v>1336</v>
      </c>
      <c r="G659" s="6" t="s">
        <v>696</v>
      </c>
      <c r="H659" s="6"/>
      <c r="I659" s="6"/>
      <c r="J659" s="6"/>
      <c r="K659" s="7" t="s">
        <v>2036</v>
      </c>
      <c r="L659" s="8">
        <v>5566614</v>
      </c>
      <c r="M659" s="8" t="str">
        <f t="shared" si="62"/>
        <v>PEN</v>
      </c>
      <c r="N659" s="13"/>
      <c r="O659" s="13">
        <v>7268.41</v>
      </c>
      <c r="P659" s="3">
        <f t="shared" si="63"/>
        <v>0</v>
      </c>
      <c r="Q659" s="3">
        <f t="shared" si="64"/>
        <v>7268.41</v>
      </c>
      <c r="R659" s="3">
        <f t="shared" si="60"/>
        <v>47220.739999999991</v>
      </c>
      <c r="S659" s="24" t="s">
        <v>1334</v>
      </c>
      <c r="T659" s="24" t="s">
        <v>1334</v>
      </c>
      <c r="U659" s="53"/>
      <c r="V659" s="25">
        <f>IFERROR(VLOOKUP(BCP_Soles[[#This Row],[destinatario]],CHOOSE({1,2},Clientes_Proveedores[Razon Social],Clientes_Proveedores[Ruc / Dni]),2,0),"")</f>
        <v>0</v>
      </c>
      <c r="W659" s="25" t="s">
        <v>1373</v>
      </c>
      <c r="X659" s="25"/>
      <c r="Y659" s="25"/>
      <c r="Z659" s="75"/>
      <c r="AA659" s="3" t="str">
        <f>IF(BCP_Soles[[#This Row],[fecha]]&gt;0,TEXT(BCP_Soles[[#This Row],[fecha]],"mmmm"),0)</f>
        <v>Febrero</v>
      </c>
    </row>
    <row r="660" spans="1:27" x14ac:dyDescent="0.3">
      <c r="A660" s="2">
        <f>IF(BCP_Soles[[#This Row],[tipo_registro]]="R",COUNTIFS($C$1:$C659,"R")+1,A659)</f>
        <v>471</v>
      </c>
      <c r="B660" s="19" t="str">
        <f t="shared" si="61"/>
        <v>B-BCP - Soles</v>
      </c>
      <c r="C660" s="3" t="s">
        <v>1330</v>
      </c>
      <c r="D660" s="14">
        <v>45713</v>
      </c>
      <c r="E660" s="5" t="s">
        <v>1335</v>
      </c>
      <c r="F660" s="5" t="s">
        <v>1336</v>
      </c>
      <c r="G660" s="6"/>
      <c r="H660" s="6"/>
      <c r="I660" s="6"/>
      <c r="J660" s="6"/>
      <c r="K660" s="7" t="s">
        <v>1337</v>
      </c>
      <c r="L660" s="8"/>
      <c r="M660" s="8" t="str">
        <f t="shared" si="62"/>
        <v>PEN</v>
      </c>
      <c r="N660" s="13"/>
      <c r="O660" s="13">
        <v>0.2</v>
      </c>
      <c r="P660" s="3">
        <f t="shared" si="63"/>
        <v>0</v>
      </c>
      <c r="Q660" s="3">
        <f t="shared" si="64"/>
        <v>0.2</v>
      </c>
      <c r="R660" s="3">
        <f t="shared" si="60"/>
        <v>47220.539999999994</v>
      </c>
      <c r="S660" s="24"/>
      <c r="T660" s="24" t="s">
        <v>1334</v>
      </c>
      <c r="U660" s="53"/>
      <c r="V660" s="25" t="str">
        <f>IFERROR(VLOOKUP(BCP_Soles[[#This Row],[destinatario]],CHOOSE({1,2},Clientes_Proveedores[Razon Social],Clientes_Proveedores[Ruc / Dni]),2,0),"")</f>
        <v/>
      </c>
      <c r="W660" s="25"/>
      <c r="X660" s="25"/>
      <c r="Y660" s="25"/>
      <c r="Z660" s="75"/>
      <c r="AA660" s="3" t="str">
        <f>IF(BCP_Soles[[#This Row],[fecha]]&gt;0,TEXT(BCP_Soles[[#This Row],[fecha]],"mmmm"),0)</f>
        <v>Febrero</v>
      </c>
    </row>
    <row r="661" spans="1:27" x14ac:dyDescent="0.3">
      <c r="A661" s="2">
        <f>IF(BCP_Soles[[#This Row],[tipo_registro]]="R",COUNTIFS($C$1:$C660,"R")+1,A660)</f>
        <v>472</v>
      </c>
      <c r="B661" s="19" t="str">
        <f t="shared" si="61"/>
        <v>B-BCP - Soles</v>
      </c>
      <c r="C661" s="3" t="s">
        <v>1330</v>
      </c>
      <c r="D661" s="14">
        <v>45713</v>
      </c>
      <c r="E661" s="5" t="s">
        <v>1989</v>
      </c>
      <c r="F661" s="5" t="s">
        <v>1336</v>
      </c>
      <c r="G661" s="6"/>
      <c r="H661" s="6"/>
      <c r="I661" s="6"/>
      <c r="J661" s="6"/>
      <c r="K661" s="7" t="s">
        <v>2037</v>
      </c>
      <c r="L661" s="8">
        <v>1010442</v>
      </c>
      <c r="M661" s="8" t="str">
        <f t="shared" si="62"/>
        <v>PEN</v>
      </c>
      <c r="N661" s="13"/>
      <c r="O661" s="13">
        <v>3274</v>
      </c>
      <c r="P661" s="3">
        <f t="shared" si="63"/>
        <v>0</v>
      </c>
      <c r="Q661" s="3">
        <f t="shared" si="64"/>
        <v>3274</v>
      </c>
      <c r="R661" s="3">
        <f t="shared" si="60"/>
        <v>43946.539999999994</v>
      </c>
      <c r="S661" s="24" t="s">
        <v>1334</v>
      </c>
      <c r="T661" s="24" t="s">
        <v>1334</v>
      </c>
      <c r="U661" s="53"/>
      <c r="V661" s="25" t="str">
        <f>IFERROR(VLOOKUP(BCP_Soles[[#This Row],[destinatario]],CHOOSE({1,2},Clientes_Proveedores[Razon Social],Clientes_Proveedores[Ruc / Dni]),2,0),"")</f>
        <v/>
      </c>
      <c r="W661" s="25" t="s">
        <v>1389</v>
      </c>
      <c r="X661" s="25"/>
      <c r="Y661" s="25"/>
      <c r="Z661" s="75"/>
      <c r="AA661" s="3" t="str">
        <f>IF(BCP_Soles[[#This Row],[fecha]]&gt;0,TEXT(BCP_Soles[[#This Row],[fecha]],"mmmm"),0)</f>
        <v>Febrero</v>
      </c>
    </row>
    <row r="662" spans="1:27" ht="24" x14ac:dyDescent="0.3">
      <c r="A662" s="2">
        <f>IF(BCP_Soles[[#This Row],[tipo_registro]]="R",COUNTIFS($C$1:$C661,"R")+1,A661)</f>
        <v>473</v>
      </c>
      <c r="B662" s="19" t="str">
        <f t="shared" si="61"/>
        <v>B-BCP - Soles</v>
      </c>
      <c r="C662" s="3" t="s">
        <v>1330</v>
      </c>
      <c r="D662" s="14">
        <v>45713</v>
      </c>
      <c r="E662" s="5" t="s">
        <v>1421</v>
      </c>
      <c r="F662" s="5" t="s">
        <v>1336</v>
      </c>
      <c r="G662" s="6" t="s">
        <v>809</v>
      </c>
      <c r="H662" s="6" t="s">
        <v>143</v>
      </c>
      <c r="I662" s="6">
        <v>1</v>
      </c>
      <c r="J662" s="6">
        <v>782025</v>
      </c>
      <c r="K662" s="7" t="s">
        <v>1356</v>
      </c>
      <c r="L662" s="8">
        <v>3464074</v>
      </c>
      <c r="M662" s="8" t="str">
        <f t="shared" si="62"/>
        <v>PEN</v>
      </c>
      <c r="N662" s="13"/>
      <c r="O662" s="13">
        <v>1800</v>
      </c>
      <c r="P662" s="3">
        <f t="shared" si="63"/>
        <v>0</v>
      </c>
      <c r="Q662" s="3">
        <f t="shared" si="64"/>
        <v>1800</v>
      </c>
      <c r="R662" s="3">
        <f t="shared" si="60"/>
        <v>42146.539999999994</v>
      </c>
      <c r="S662" s="24"/>
      <c r="T662" s="24" t="s">
        <v>1334</v>
      </c>
      <c r="U662" s="53"/>
      <c r="V662" s="25">
        <f>IFERROR(VLOOKUP(BCP_Soles[[#This Row],[destinatario]],CHOOSE({1,2},Clientes_Proveedores[Razon Social],Clientes_Proveedores[Ruc / Dni]),2,0),"")</f>
        <v>45286301</v>
      </c>
      <c r="W662" s="25"/>
      <c r="X662" s="25" t="s">
        <v>1430</v>
      </c>
      <c r="Y662" s="25"/>
      <c r="Z662" s="75"/>
      <c r="AA662" s="3" t="str">
        <f>IF(BCP_Soles[[#This Row],[fecha]]&gt;0,TEXT(BCP_Soles[[#This Row],[fecha]],"mmmm"),0)</f>
        <v>Febrero</v>
      </c>
    </row>
    <row r="663" spans="1:27" ht="24" x14ac:dyDescent="0.3">
      <c r="A663" s="2">
        <f>IF(BCP_Soles[[#This Row],[tipo_registro]]="R",COUNTIFS($C$1:$C662,"R")+1,A662)</f>
        <v>474</v>
      </c>
      <c r="B663" s="19" t="str">
        <f t="shared" si="61"/>
        <v>B-BCP - Soles</v>
      </c>
      <c r="C663" s="3" t="s">
        <v>1330</v>
      </c>
      <c r="D663" s="14">
        <v>45713</v>
      </c>
      <c r="E663" s="5" t="s">
        <v>1338</v>
      </c>
      <c r="F663" s="5" t="s">
        <v>1336</v>
      </c>
      <c r="G663" s="6" t="s">
        <v>241</v>
      </c>
      <c r="H663" s="6" t="s">
        <v>68</v>
      </c>
      <c r="I663" s="6" t="s">
        <v>1339</v>
      </c>
      <c r="J663" s="6">
        <v>7168</v>
      </c>
      <c r="K663" s="7" t="s">
        <v>2038</v>
      </c>
      <c r="L663" s="8">
        <v>1120177</v>
      </c>
      <c r="M663" s="8" t="str">
        <f t="shared" si="62"/>
        <v>PEN</v>
      </c>
      <c r="N663" s="13"/>
      <c r="O663" s="13">
        <v>533.9</v>
      </c>
      <c r="P663" s="3">
        <f t="shared" si="63"/>
        <v>0</v>
      </c>
      <c r="Q663" s="3">
        <f t="shared" si="64"/>
        <v>533.9</v>
      </c>
      <c r="R663" s="3">
        <f t="shared" si="60"/>
        <v>41612.639999999992</v>
      </c>
      <c r="S663" s="24" t="s">
        <v>1334</v>
      </c>
      <c r="T663" s="24" t="s">
        <v>1334</v>
      </c>
      <c r="U663" s="53"/>
      <c r="V663" s="25">
        <f>IFERROR(VLOOKUP(BCP_Soles[[#This Row],[destinatario]],CHOOSE({1,2},Clientes_Proveedores[Razon Social],Clientes_Proveedores[Ruc / Dni]),2,0),"")</f>
        <v>20170040938</v>
      </c>
      <c r="W663" s="25" t="s">
        <v>1341</v>
      </c>
      <c r="X663" s="25" t="s">
        <v>2039</v>
      </c>
      <c r="Y663" s="25"/>
      <c r="Z663" s="75"/>
      <c r="AA663" s="3" t="str">
        <f>IF(BCP_Soles[[#This Row],[fecha]]&gt;0,TEXT(BCP_Soles[[#This Row],[fecha]],"mmmm"),0)</f>
        <v>Febrero</v>
      </c>
    </row>
    <row r="664" spans="1:27" ht="24" x14ac:dyDescent="0.3">
      <c r="A664" s="2">
        <f>IF(BCP_Soles[[#This Row],[tipo_registro]]="R",COUNTIFS($C$1:$C663,"R")+1,A663)</f>
        <v>475</v>
      </c>
      <c r="B664" s="19" t="str">
        <f t="shared" si="61"/>
        <v>B-BCP - Soles</v>
      </c>
      <c r="C664" s="3" t="s">
        <v>1330</v>
      </c>
      <c r="D664" s="14">
        <v>45713</v>
      </c>
      <c r="E664" s="5" t="s">
        <v>1335</v>
      </c>
      <c r="F664" s="5" t="s">
        <v>1336</v>
      </c>
      <c r="G664" s="6" t="s">
        <v>1060</v>
      </c>
      <c r="H664" s="6" t="s">
        <v>68</v>
      </c>
      <c r="I664" s="6" t="s">
        <v>1397</v>
      </c>
      <c r="J664" s="6">
        <v>29938910</v>
      </c>
      <c r="K664" s="7" t="s">
        <v>1400</v>
      </c>
      <c r="L664" s="8">
        <v>425</v>
      </c>
      <c r="M664" s="8" t="str">
        <f t="shared" si="62"/>
        <v>PEN</v>
      </c>
      <c r="N664" s="13"/>
      <c r="O664" s="13">
        <v>10</v>
      </c>
      <c r="P664" s="3">
        <f t="shared" si="63"/>
        <v>0</v>
      </c>
      <c r="Q664" s="3">
        <f t="shared" si="64"/>
        <v>10</v>
      </c>
      <c r="R664" s="3">
        <f t="shared" si="60"/>
        <v>41602.639999999992</v>
      </c>
      <c r="S664" s="24"/>
      <c r="T664" s="24" t="s">
        <v>1334</v>
      </c>
      <c r="U664" s="53"/>
      <c r="V664" s="25">
        <f>IFERROR(VLOOKUP(BCP_Soles[[#This Row],[destinatario]],CHOOSE({1,2},Clientes_Proveedores[Razon Social],Clientes_Proveedores[Ruc / Dni]),2,0),"")</f>
        <v>20100047218</v>
      </c>
      <c r="W664" s="25" t="s">
        <v>1335</v>
      </c>
      <c r="X664" s="25" t="s">
        <v>2040</v>
      </c>
      <c r="Y664" s="25"/>
      <c r="Z664" s="75"/>
      <c r="AA664" s="3" t="str">
        <f>IF(BCP_Soles[[#This Row],[fecha]]&gt;0,TEXT(BCP_Soles[[#This Row],[fecha]],"mmmm"),0)</f>
        <v>Febrero</v>
      </c>
    </row>
    <row r="665" spans="1:27" ht="24" x14ac:dyDescent="0.3">
      <c r="A665" s="2">
        <f>IF(BCP_Soles[[#This Row],[tipo_registro]]="R",COUNTIFS($C$1:$C664,"R")+1,A664)</f>
        <v>476</v>
      </c>
      <c r="B665" s="19" t="str">
        <f t="shared" si="61"/>
        <v>B-BCP - Soles</v>
      </c>
      <c r="C665" s="3" t="s">
        <v>1330</v>
      </c>
      <c r="D665" s="14">
        <v>45714</v>
      </c>
      <c r="E665" s="5" t="s">
        <v>2009</v>
      </c>
      <c r="F665" s="5" t="s">
        <v>1303</v>
      </c>
      <c r="G665" s="6" t="s">
        <v>425</v>
      </c>
      <c r="H665" s="6" t="s">
        <v>119</v>
      </c>
      <c r="I665" s="6">
        <v>1</v>
      </c>
      <c r="J665" s="6">
        <v>4197</v>
      </c>
      <c r="K665" s="7" t="s">
        <v>1356</v>
      </c>
      <c r="L665" s="8">
        <v>953810</v>
      </c>
      <c r="M665" s="8" t="str">
        <f t="shared" si="62"/>
        <v>PEN</v>
      </c>
      <c r="N665" s="13"/>
      <c r="O665" s="13">
        <v>1460</v>
      </c>
      <c r="P665" s="3">
        <f t="shared" si="63"/>
        <v>1460</v>
      </c>
      <c r="Q665" s="3">
        <f t="shared" si="64"/>
        <v>0</v>
      </c>
      <c r="R665" s="3">
        <f t="shared" si="60"/>
        <v>43062.639999999992</v>
      </c>
      <c r="S665" s="24" t="s">
        <v>1334</v>
      </c>
      <c r="T665" s="24" t="s">
        <v>1334</v>
      </c>
      <c r="U665" s="53"/>
      <c r="V665" s="25">
        <f>IFERROR(VLOOKUP(BCP_Soles[[#This Row],[destinatario]],CHOOSE({1,2},Clientes_Proveedores[Razon Social],Clientes_Proveedores[Ruc / Dni]),2,0),"")</f>
        <v>20558226979</v>
      </c>
      <c r="W665" s="25" t="s">
        <v>1345</v>
      </c>
      <c r="X665" s="25" t="s">
        <v>2041</v>
      </c>
      <c r="Y665" s="25"/>
      <c r="Z665" s="75"/>
      <c r="AA665" s="3" t="str">
        <f>IF(BCP_Soles[[#This Row],[fecha]]&gt;0,TEXT(BCP_Soles[[#This Row],[fecha]],"mmmm"),0)</f>
        <v>Febrero</v>
      </c>
    </row>
    <row r="666" spans="1:27" ht="36" x14ac:dyDescent="0.3">
      <c r="A666" s="2">
        <f>IF(BCP_Soles[[#This Row],[tipo_registro]]="R",COUNTIFS($C$1:$C665,"R")+1,A665)</f>
        <v>477</v>
      </c>
      <c r="B666" s="19" t="str">
        <f t="shared" si="61"/>
        <v>B-BCP - Soles</v>
      </c>
      <c r="C666" s="3" t="s">
        <v>1330</v>
      </c>
      <c r="D666" s="14">
        <v>45714</v>
      </c>
      <c r="E666" s="5" t="s">
        <v>516</v>
      </c>
      <c r="F666" s="5" t="s">
        <v>1303</v>
      </c>
      <c r="G666" s="6" t="s">
        <v>425</v>
      </c>
      <c r="H666" s="6"/>
      <c r="I666" s="6"/>
      <c r="J666" s="6"/>
      <c r="K666" s="7" t="s">
        <v>1736</v>
      </c>
      <c r="L666" s="8">
        <v>2194477</v>
      </c>
      <c r="M666" s="8" t="str">
        <f t="shared" si="62"/>
        <v>PEN</v>
      </c>
      <c r="N666" s="13"/>
      <c r="O666" s="13">
        <v>4126.1400000000003</v>
      </c>
      <c r="P666" s="3">
        <f t="shared" si="63"/>
        <v>4126.1400000000003</v>
      </c>
      <c r="Q666" s="3">
        <f t="shared" si="64"/>
        <v>0</v>
      </c>
      <c r="R666" s="3">
        <f t="shared" si="60"/>
        <v>47188.779999999992</v>
      </c>
      <c r="S666" s="24" t="s">
        <v>1334</v>
      </c>
      <c r="T666" s="24" t="s">
        <v>1334</v>
      </c>
      <c r="U666" s="53"/>
      <c r="V666" s="25">
        <f>IFERROR(VLOOKUP(BCP_Soles[[#This Row],[destinatario]],CHOOSE({1,2},Clientes_Proveedores[Razon Social],Clientes_Proveedores[Ruc / Dni]),2,0),"")</f>
        <v>20558226979</v>
      </c>
      <c r="W666" s="25" t="s">
        <v>1345</v>
      </c>
      <c r="X666" s="25" t="s">
        <v>2042</v>
      </c>
      <c r="Y666" s="25"/>
      <c r="Z666" s="75"/>
      <c r="AA666" s="3" t="str">
        <f>IF(BCP_Soles[[#This Row],[fecha]]&gt;0,TEXT(BCP_Soles[[#This Row],[fecha]],"mmmm"),0)</f>
        <v>Febrero</v>
      </c>
    </row>
    <row r="667" spans="1:27" ht="24" x14ac:dyDescent="0.3">
      <c r="A667" s="2">
        <f>IF(BCP_Soles[[#This Row],[tipo_registro]]="R",COUNTIFS($C$1:$C666,"R")+1,A666)</f>
        <v>478</v>
      </c>
      <c r="B667" s="19" t="str">
        <f t="shared" si="61"/>
        <v>B-BCP - Soles</v>
      </c>
      <c r="C667" s="3" t="s">
        <v>1330</v>
      </c>
      <c r="D667" s="14">
        <v>45714</v>
      </c>
      <c r="E667" s="5" t="s">
        <v>2043</v>
      </c>
      <c r="F667" s="5" t="s">
        <v>1303</v>
      </c>
      <c r="G667" s="6" t="s">
        <v>425</v>
      </c>
      <c r="H667" s="6" t="s">
        <v>119</v>
      </c>
      <c r="I667" s="6">
        <v>1</v>
      </c>
      <c r="J667" s="6">
        <v>4158</v>
      </c>
      <c r="K667" s="7" t="s">
        <v>1356</v>
      </c>
      <c r="L667" s="8">
        <v>1548440</v>
      </c>
      <c r="M667" s="8" t="str">
        <f t="shared" si="62"/>
        <v>PEN</v>
      </c>
      <c r="N667" s="13"/>
      <c r="O667" s="13">
        <v>1500</v>
      </c>
      <c r="P667" s="3">
        <f t="shared" si="63"/>
        <v>1500</v>
      </c>
      <c r="Q667" s="3">
        <f t="shared" si="64"/>
        <v>0</v>
      </c>
      <c r="R667" s="3">
        <f t="shared" si="60"/>
        <v>48688.779999999992</v>
      </c>
      <c r="S667" s="24" t="s">
        <v>1334</v>
      </c>
      <c r="T667" s="24" t="s">
        <v>1334</v>
      </c>
      <c r="U667" s="53"/>
      <c r="V667" s="25">
        <f>IFERROR(VLOOKUP(BCP_Soles[[#This Row],[destinatario]],CHOOSE({1,2},Clientes_Proveedores[Razon Social],Clientes_Proveedores[Ruc / Dni]),2,0),"")</f>
        <v>20558226979</v>
      </c>
      <c r="W667" s="25" t="s">
        <v>1345</v>
      </c>
      <c r="X667" s="25" t="s">
        <v>2044</v>
      </c>
      <c r="Y667" s="25"/>
      <c r="Z667" s="75"/>
      <c r="AA667" s="3" t="str">
        <f>IF(BCP_Soles[[#This Row],[fecha]]&gt;0,TEXT(BCP_Soles[[#This Row],[fecha]],"mmmm"),0)</f>
        <v>Febrero</v>
      </c>
    </row>
    <row r="668" spans="1:27" x14ac:dyDescent="0.3">
      <c r="A668" s="2">
        <f>IF(BCP_Soles[[#This Row],[tipo_registro]]="R",COUNTIFS($C$1:$C667,"R")+1,A667)</f>
        <v>479</v>
      </c>
      <c r="B668" s="19" t="str">
        <f t="shared" si="61"/>
        <v>B-BCP - Soles</v>
      </c>
      <c r="C668" s="3" t="s">
        <v>1330</v>
      </c>
      <c r="D668" s="14">
        <v>45714</v>
      </c>
      <c r="E668" s="5" t="s">
        <v>1335</v>
      </c>
      <c r="F668" s="5" t="s">
        <v>1336</v>
      </c>
      <c r="G668" s="6"/>
      <c r="H668" s="6"/>
      <c r="I668" s="6"/>
      <c r="J668" s="6"/>
      <c r="K668" s="7" t="s">
        <v>1337</v>
      </c>
      <c r="L668" s="8"/>
      <c r="M668" s="8" t="str">
        <f t="shared" si="62"/>
        <v>PEN</v>
      </c>
      <c r="N668" s="13"/>
      <c r="O668" s="13">
        <v>0.5</v>
      </c>
      <c r="P668" s="3">
        <f t="shared" si="63"/>
        <v>0</v>
      </c>
      <c r="Q668" s="3">
        <f t="shared" si="64"/>
        <v>0.5</v>
      </c>
      <c r="R668" s="3">
        <f t="shared" si="60"/>
        <v>48688.279999999992</v>
      </c>
      <c r="S668" s="24"/>
      <c r="T668" s="24" t="s">
        <v>1334</v>
      </c>
      <c r="U668" s="53"/>
      <c r="V668" s="25" t="str">
        <f>IFERROR(VLOOKUP(BCP_Soles[[#This Row],[destinatario]],CHOOSE({1,2},Clientes_Proveedores[Razon Social],Clientes_Proveedores[Ruc / Dni]),2,0),"")</f>
        <v/>
      </c>
      <c r="W668" s="25"/>
      <c r="X668" s="25"/>
      <c r="Y668" s="25"/>
      <c r="Z668" s="75"/>
      <c r="AA668" s="3" t="str">
        <f>IF(BCP_Soles[[#This Row],[fecha]]&gt;0,TEXT(BCP_Soles[[#This Row],[fecha]],"mmmm"),0)</f>
        <v>Febrero</v>
      </c>
    </row>
    <row r="669" spans="1:27" ht="36" x14ac:dyDescent="0.3">
      <c r="A669" s="2">
        <f>IF(BCP_Soles[[#This Row],[tipo_registro]]="R",COUNTIFS($C$1:$C668,"R")+1,A668)</f>
        <v>480</v>
      </c>
      <c r="B669" s="19" t="str">
        <f t="shared" si="61"/>
        <v>B-BCP - Soles</v>
      </c>
      <c r="C669" s="3" t="s">
        <v>1330</v>
      </c>
      <c r="D669" s="14">
        <v>45714</v>
      </c>
      <c r="E669" s="5" t="s">
        <v>1338</v>
      </c>
      <c r="F669" s="5" t="s">
        <v>1336</v>
      </c>
      <c r="G669" s="6" t="s">
        <v>713</v>
      </c>
      <c r="H669" s="6" t="s">
        <v>68</v>
      </c>
      <c r="I669" s="6" t="s">
        <v>1376</v>
      </c>
      <c r="J669" s="6">
        <v>2203</v>
      </c>
      <c r="K669" s="7" t="s">
        <v>2045</v>
      </c>
      <c r="L669" s="8">
        <v>1206093</v>
      </c>
      <c r="M669" s="8" t="str">
        <f t="shared" si="62"/>
        <v>PEN</v>
      </c>
      <c r="N669" s="13"/>
      <c r="O669" s="13">
        <v>45</v>
      </c>
      <c r="P669" s="3">
        <f t="shared" si="63"/>
        <v>0</v>
      </c>
      <c r="Q669" s="3">
        <f t="shared" si="64"/>
        <v>45</v>
      </c>
      <c r="R669" s="3">
        <f t="shared" si="60"/>
        <v>48643.279999999992</v>
      </c>
      <c r="S669" s="24" t="s">
        <v>1334</v>
      </c>
      <c r="T669" s="24" t="s">
        <v>1334</v>
      </c>
      <c r="U669" s="53"/>
      <c r="V669" s="25">
        <f>IFERROR(VLOOKUP(BCP_Soles[[#This Row],[destinatario]],CHOOSE({1,2},Clientes_Proveedores[Razon Social],Clientes_Proveedores[Ruc / Dni]),2,0),"")</f>
        <v>20601981255</v>
      </c>
      <c r="W669" s="25" t="s">
        <v>2046</v>
      </c>
      <c r="X669" s="25" t="s">
        <v>2047</v>
      </c>
      <c r="Y669" s="25"/>
      <c r="Z669" s="75"/>
      <c r="AA669" s="3" t="str">
        <f>IF(BCP_Soles[[#This Row],[fecha]]&gt;0,TEXT(BCP_Soles[[#This Row],[fecha]],"mmmm"),0)</f>
        <v>Febrero</v>
      </c>
    </row>
    <row r="670" spans="1:27" ht="24" x14ac:dyDescent="0.3">
      <c r="A670" s="2">
        <f>IF(BCP_Soles[[#This Row],[tipo_registro]]="R",COUNTIFS($C$1:$C669,"R")+1,A669)</f>
        <v>481</v>
      </c>
      <c r="B670" s="19" t="str">
        <f t="shared" si="61"/>
        <v>B-BCP - Soles</v>
      </c>
      <c r="C670" s="3" t="s">
        <v>1330</v>
      </c>
      <c r="D670" s="14">
        <v>45714</v>
      </c>
      <c r="E670" s="5" t="s">
        <v>1338</v>
      </c>
      <c r="F670" s="5" t="s">
        <v>1336</v>
      </c>
      <c r="G670" s="6" t="s">
        <v>249</v>
      </c>
      <c r="H670" s="6"/>
      <c r="I670" s="6"/>
      <c r="J670" s="6"/>
      <c r="K670" s="7" t="s">
        <v>2048</v>
      </c>
      <c r="L670" s="8">
        <v>1114048</v>
      </c>
      <c r="M670" s="8" t="str">
        <f t="shared" si="62"/>
        <v>PEN</v>
      </c>
      <c r="N670" s="13"/>
      <c r="O670" s="13">
        <v>81.42</v>
      </c>
      <c r="P670" s="3">
        <f t="shared" si="63"/>
        <v>0</v>
      </c>
      <c r="Q670" s="3">
        <f t="shared" si="64"/>
        <v>81.42</v>
      </c>
      <c r="R670" s="3">
        <f t="shared" si="60"/>
        <v>48561.859999999993</v>
      </c>
      <c r="S670" s="24"/>
      <c r="T670" s="24"/>
      <c r="U670" s="53"/>
      <c r="V670" s="25">
        <f>IFERROR(VLOOKUP(BCP_Soles[[#This Row],[destinatario]],CHOOSE({1,2},Clientes_Proveedores[Razon Social],Clientes_Proveedores[Ruc / Dni]),2,0),"")</f>
        <v>20302891452</v>
      </c>
      <c r="W670" s="25" t="s">
        <v>249</v>
      </c>
      <c r="X670" s="25"/>
      <c r="Y670" s="25"/>
      <c r="Z670" s="75"/>
      <c r="AA670" s="3" t="str">
        <f>IF(BCP_Soles[[#This Row],[fecha]]&gt;0,TEXT(BCP_Soles[[#This Row],[fecha]],"mmmm"),0)</f>
        <v>Febrero</v>
      </c>
    </row>
    <row r="671" spans="1:27" ht="24" x14ac:dyDescent="0.3">
      <c r="A671" s="2">
        <f>IF(BCP_Soles[[#This Row],[tipo_registro]]="R",COUNTIFS($C$1:$C670,"R")+1,A670)</f>
        <v>482</v>
      </c>
      <c r="B671" s="19" t="str">
        <f t="shared" si="61"/>
        <v>B-BCP - Soles</v>
      </c>
      <c r="C671" s="3" t="s">
        <v>1330</v>
      </c>
      <c r="D671" s="14">
        <v>45714</v>
      </c>
      <c r="E671" s="5" t="s">
        <v>1338</v>
      </c>
      <c r="F671" s="5" t="s">
        <v>1336</v>
      </c>
      <c r="G671" s="6" t="s">
        <v>756</v>
      </c>
      <c r="H671" s="6" t="s">
        <v>72</v>
      </c>
      <c r="I671" s="6" t="s">
        <v>1376</v>
      </c>
      <c r="J671" s="6">
        <v>1263</v>
      </c>
      <c r="K671" s="7" t="s">
        <v>2049</v>
      </c>
      <c r="L671" s="8">
        <v>1207546</v>
      </c>
      <c r="M671" s="8" t="str">
        <f t="shared" si="62"/>
        <v>PEN</v>
      </c>
      <c r="N671" s="13"/>
      <c r="O671" s="13">
        <v>120</v>
      </c>
      <c r="P671" s="3">
        <f t="shared" si="63"/>
        <v>0</v>
      </c>
      <c r="Q671" s="3">
        <f t="shared" si="64"/>
        <v>120</v>
      </c>
      <c r="R671" s="3">
        <f t="shared" si="60"/>
        <v>48441.859999999993</v>
      </c>
      <c r="S671" s="24"/>
      <c r="T671" s="24" t="s">
        <v>1334</v>
      </c>
      <c r="U671" s="53"/>
      <c r="V671" s="25">
        <f>IFERROR(VLOOKUP(BCP_Soles[[#This Row],[destinatario]],CHOOSE({1,2},Clientes_Proveedores[Razon Social],Clientes_Proveedores[Ruc / Dni]),2,0),"")</f>
        <v>10450776578</v>
      </c>
      <c r="W671" s="25" t="s">
        <v>756</v>
      </c>
      <c r="X671" s="25" t="s">
        <v>2050</v>
      </c>
      <c r="Y671" s="25"/>
      <c r="Z671" s="75"/>
      <c r="AA671" s="3" t="str">
        <f>IF(BCP_Soles[[#This Row],[fecha]]&gt;0,TEXT(BCP_Soles[[#This Row],[fecha]],"mmmm"),0)</f>
        <v>Febrero</v>
      </c>
    </row>
    <row r="672" spans="1:27" ht="36" x14ac:dyDescent="0.3">
      <c r="A672" s="2">
        <f>IF(BCP_Soles[[#This Row],[tipo_registro]]="R",COUNTIFS($C$1:$C671,"R")+1,A671)</f>
        <v>483</v>
      </c>
      <c r="B672" s="19" t="str">
        <f t="shared" si="61"/>
        <v>B-BCP - Soles</v>
      </c>
      <c r="C672" s="3" t="s">
        <v>1330</v>
      </c>
      <c r="D672" s="14">
        <v>45714</v>
      </c>
      <c r="E672" s="5" t="s">
        <v>1338</v>
      </c>
      <c r="F672" s="5" t="s">
        <v>1336</v>
      </c>
      <c r="G672" s="6" t="s">
        <v>646</v>
      </c>
      <c r="H672" s="6" t="s">
        <v>68</v>
      </c>
      <c r="I672" s="6"/>
      <c r="J672" s="6"/>
      <c r="K672" s="7" t="s">
        <v>2051</v>
      </c>
      <c r="L672" s="8">
        <v>1113558</v>
      </c>
      <c r="M672" s="8" t="str">
        <f t="shared" si="62"/>
        <v>PEN</v>
      </c>
      <c r="N672" s="13"/>
      <c r="O672" s="13">
        <v>438.4</v>
      </c>
      <c r="P672" s="3">
        <f t="shared" si="63"/>
        <v>0</v>
      </c>
      <c r="Q672" s="3">
        <f t="shared" si="64"/>
        <v>438.4</v>
      </c>
      <c r="R672" s="3">
        <f t="shared" si="60"/>
        <v>48003.459999999992</v>
      </c>
      <c r="S672" s="24"/>
      <c r="T672" s="24"/>
      <c r="U672" s="53"/>
      <c r="V672" s="25">
        <f>IFERROR(VLOOKUP(BCP_Soles[[#This Row],[destinatario]],CHOOSE({1,2},Clientes_Proveedores[Razon Social],Clientes_Proveedores[Ruc / Dni]),2,0),"")</f>
        <v>20100036101</v>
      </c>
      <c r="W672" s="25" t="s">
        <v>2052</v>
      </c>
      <c r="X672" s="25"/>
      <c r="Y672" s="25"/>
      <c r="Z672" s="75"/>
      <c r="AA672" s="3" t="str">
        <f>IF(BCP_Soles[[#This Row],[fecha]]&gt;0,TEXT(BCP_Soles[[#This Row],[fecha]],"mmmm"),0)</f>
        <v>Febrero</v>
      </c>
    </row>
    <row r="673" spans="1:27" ht="24" x14ac:dyDescent="0.3">
      <c r="A673" s="2">
        <f>IF(BCP_Soles[[#This Row],[tipo_registro]]="R",COUNTIFS($C$1:$C672,"R")+1,A672)</f>
        <v>484</v>
      </c>
      <c r="B673" s="19" t="str">
        <f t="shared" si="61"/>
        <v>B-BCP - Soles</v>
      </c>
      <c r="C673" s="3" t="s">
        <v>1330</v>
      </c>
      <c r="D673" s="14">
        <v>45714</v>
      </c>
      <c r="E673" s="5" t="s">
        <v>1421</v>
      </c>
      <c r="F673" s="5" t="s">
        <v>1336</v>
      </c>
      <c r="G673" s="6" t="s">
        <v>809</v>
      </c>
      <c r="H673" s="6" t="s">
        <v>143</v>
      </c>
      <c r="I673" s="6">
        <v>1</v>
      </c>
      <c r="J673" s="6">
        <v>782025</v>
      </c>
      <c r="K673" s="7" t="s">
        <v>1356</v>
      </c>
      <c r="L673" s="8">
        <v>1758703</v>
      </c>
      <c r="M673" s="8" t="str">
        <f t="shared" si="62"/>
        <v>PEN</v>
      </c>
      <c r="N673" s="13"/>
      <c r="O673" s="13">
        <v>1000</v>
      </c>
      <c r="P673" s="3">
        <f t="shared" si="63"/>
        <v>0</v>
      </c>
      <c r="Q673" s="3">
        <f t="shared" si="64"/>
        <v>1000</v>
      </c>
      <c r="R673" s="3">
        <f t="shared" si="60"/>
        <v>47003.459999999992</v>
      </c>
      <c r="S673" s="24"/>
      <c r="T673" s="24" t="s">
        <v>1334</v>
      </c>
      <c r="U673" s="53"/>
      <c r="V673" s="25">
        <f>IFERROR(VLOOKUP(BCP_Soles[[#This Row],[destinatario]],CHOOSE({1,2},Clientes_Proveedores[Razon Social],Clientes_Proveedores[Ruc / Dni]),2,0),"")</f>
        <v>45286301</v>
      </c>
      <c r="W673" s="25"/>
      <c r="X673" s="25" t="s">
        <v>1430</v>
      </c>
      <c r="Y673" s="25"/>
      <c r="Z673" s="75"/>
      <c r="AA673" s="3" t="str">
        <f>IF(BCP_Soles[[#This Row],[fecha]]&gt;0,TEXT(BCP_Soles[[#This Row],[fecha]],"mmmm"),0)</f>
        <v>Febrero</v>
      </c>
    </row>
    <row r="674" spans="1:27" x14ac:dyDescent="0.3">
      <c r="A674" s="2">
        <f>IF(BCP_Soles[[#This Row],[tipo_registro]]="R",COUNTIFS($C$1:$C673,"R")+1,A673)</f>
        <v>485</v>
      </c>
      <c r="B674" s="19" t="str">
        <f t="shared" si="61"/>
        <v>B-BCP - Soles</v>
      </c>
      <c r="C674" s="3" t="s">
        <v>1330</v>
      </c>
      <c r="D674" s="14">
        <v>45714</v>
      </c>
      <c r="E674" s="5" t="s">
        <v>1338</v>
      </c>
      <c r="F674" s="5" t="s">
        <v>1336</v>
      </c>
      <c r="G674" s="6" t="s">
        <v>696</v>
      </c>
      <c r="H674" s="6"/>
      <c r="I674" s="6"/>
      <c r="J674" s="6"/>
      <c r="K674" s="7" t="s">
        <v>2053</v>
      </c>
      <c r="L674" s="8">
        <v>6319837</v>
      </c>
      <c r="M674" s="8" t="str">
        <f t="shared" si="62"/>
        <v>PEN</v>
      </c>
      <c r="N674" s="13"/>
      <c r="O674" s="13">
        <v>3264.16</v>
      </c>
      <c r="P674" s="3">
        <f t="shared" si="63"/>
        <v>0</v>
      </c>
      <c r="Q674" s="3">
        <f t="shared" si="64"/>
        <v>3264.16</v>
      </c>
      <c r="R674" s="3">
        <f t="shared" si="60"/>
        <v>43739.299999999988</v>
      </c>
      <c r="S674" s="24" t="s">
        <v>1334</v>
      </c>
      <c r="T674" s="24" t="s">
        <v>1334</v>
      </c>
      <c r="U674" s="53"/>
      <c r="V674" s="25">
        <f>IFERROR(VLOOKUP(BCP_Soles[[#This Row],[destinatario]],CHOOSE({1,2},Clientes_Proveedores[Razon Social],Clientes_Proveedores[Ruc / Dni]),2,0),"")</f>
        <v>0</v>
      </c>
      <c r="W674" s="25" t="s">
        <v>1373</v>
      </c>
      <c r="X674" s="25"/>
      <c r="Y674" s="25"/>
      <c r="Z674" s="75"/>
      <c r="AA674" s="3" t="str">
        <f>IF(BCP_Soles[[#This Row],[fecha]]&gt;0,TEXT(BCP_Soles[[#This Row],[fecha]],"mmmm"),0)</f>
        <v>Febrero</v>
      </c>
    </row>
    <row r="675" spans="1:27" ht="24" x14ac:dyDescent="0.3">
      <c r="A675" s="2">
        <f>IF(BCP_Soles[[#This Row],[tipo_registro]]="R",COUNTIFS($C$1:$C674,"R")+1,A674)</f>
        <v>486</v>
      </c>
      <c r="B675" s="19" t="str">
        <f t="shared" si="61"/>
        <v>B-BCP - Soles</v>
      </c>
      <c r="C675" s="3" t="s">
        <v>1330</v>
      </c>
      <c r="D675" s="14">
        <v>45715</v>
      </c>
      <c r="E675" s="5" t="s">
        <v>204</v>
      </c>
      <c r="F675" s="5" t="s">
        <v>1303</v>
      </c>
      <c r="G675" s="6" t="s">
        <v>425</v>
      </c>
      <c r="H675" s="6"/>
      <c r="I675" s="6"/>
      <c r="J675" s="6"/>
      <c r="K675" s="7" t="s">
        <v>1350</v>
      </c>
      <c r="L675" s="8">
        <v>6702794</v>
      </c>
      <c r="M675" s="8" t="str">
        <f t="shared" si="62"/>
        <v>PEN</v>
      </c>
      <c r="N675" s="13"/>
      <c r="O675" s="13">
        <v>11443.19</v>
      </c>
      <c r="P675" s="3">
        <f t="shared" si="63"/>
        <v>11443.19</v>
      </c>
      <c r="Q675" s="3">
        <f t="shared" si="64"/>
        <v>0</v>
      </c>
      <c r="R675" s="3">
        <f t="shared" si="60"/>
        <v>55182.489999999991</v>
      </c>
      <c r="S675" s="24" t="s">
        <v>1334</v>
      </c>
      <c r="T675" s="24" t="s">
        <v>1334</v>
      </c>
      <c r="U675" s="53"/>
      <c r="V675" s="25">
        <f>IFERROR(VLOOKUP(BCP_Soles[[#This Row],[destinatario]],CHOOSE({1,2},Clientes_Proveedores[Razon Social],Clientes_Proveedores[Ruc / Dni]),2,0),"")</f>
        <v>20558226979</v>
      </c>
      <c r="W675" s="25" t="s">
        <v>1345</v>
      </c>
      <c r="X675" s="25" t="s">
        <v>2054</v>
      </c>
      <c r="Y675" s="25"/>
      <c r="Z675" s="75"/>
      <c r="AA675" s="3" t="str">
        <f>IF(BCP_Soles[[#This Row],[fecha]]&gt;0,TEXT(BCP_Soles[[#This Row],[fecha]],"mmmm"),0)</f>
        <v>Febrero</v>
      </c>
    </row>
    <row r="676" spans="1:27" ht="60" x14ac:dyDescent="0.3">
      <c r="A676" s="2">
        <f>IF(BCP_Soles[[#This Row],[tipo_registro]]="R",COUNTIFS($C$1:$C675,"R")+1,A675)</f>
        <v>487</v>
      </c>
      <c r="B676" s="19" t="str">
        <f t="shared" si="61"/>
        <v>B-BCP - Soles</v>
      </c>
      <c r="C676" s="3" t="s">
        <v>1330</v>
      </c>
      <c r="D676" s="14">
        <v>45715</v>
      </c>
      <c r="E676" s="5" t="s">
        <v>295</v>
      </c>
      <c r="F676" s="5" t="s">
        <v>1303</v>
      </c>
      <c r="G676" s="6" t="s">
        <v>425</v>
      </c>
      <c r="H676" s="6"/>
      <c r="I676" s="6"/>
      <c r="J676" s="6"/>
      <c r="K676" s="7" t="s">
        <v>1428</v>
      </c>
      <c r="L676" s="8">
        <v>2235853</v>
      </c>
      <c r="M676" s="8" t="str">
        <f t="shared" si="62"/>
        <v>PEN</v>
      </c>
      <c r="N676" s="13"/>
      <c r="O676" s="13">
        <v>2789.58</v>
      </c>
      <c r="P676" s="3">
        <f t="shared" si="63"/>
        <v>2789.58</v>
      </c>
      <c r="Q676" s="3">
        <f t="shared" si="64"/>
        <v>0</v>
      </c>
      <c r="R676" s="3">
        <f t="shared" si="60"/>
        <v>57972.069999999992</v>
      </c>
      <c r="S676" s="24" t="s">
        <v>1334</v>
      </c>
      <c r="T676" s="24" t="s">
        <v>1334</v>
      </c>
      <c r="U676" s="53"/>
      <c r="V676" s="25">
        <f>IFERROR(VLOOKUP(BCP_Soles[[#This Row],[destinatario]],CHOOSE({1,2},Clientes_Proveedores[Razon Social],Clientes_Proveedores[Ruc / Dni]),2,0),"")</f>
        <v>20558226979</v>
      </c>
      <c r="W676" s="25" t="s">
        <v>1345</v>
      </c>
      <c r="X676" s="25" t="s">
        <v>2055</v>
      </c>
      <c r="Y676" s="25"/>
      <c r="Z676" s="75"/>
      <c r="AA676" s="3" t="str">
        <f>IF(BCP_Soles[[#This Row],[fecha]]&gt;0,TEXT(BCP_Soles[[#This Row],[fecha]],"mmmm"),0)</f>
        <v>Febrero</v>
      </c>
    </row>
    <row r="677" spans="1:27" ht="24" x14ac:dyDescent="0.3">
      <c r="A677" s="2">
        <f>IF(BCP_Soles[[#This Row],[tipo_registro]]="R",COUNTIFS($C$1:$C676,"R")+1,A676)</f>
        <v>488</v>
      </c>
      <c r="B677" s="19" t="str">
        <f t="shared" si="61"/>
        <v>B-BCP - Soles</v>
      </c>
      <c r="C677" s="3" t="s">
        <v>1330</v>
      </c>
      <c r="D677" s="14">
        <v>45715</v>
      </c>
      <c r="E677" s="5" t="s">
        <v>2032</v>
      </c>
      <c r="F677" s="5" t="s">
        <v>1303</v>
      </c>
      <c r="G677" s="6" t="s">
        <v>425</v>
      </c>
      <c r="H677" s="6" t="s">
        <v>119</v>
      </c>
      <c r="I677" s="6">
        <v>1</v>
      </c>
      <c r="J677" s="6">
        <v>4187</v>
      </c>
      <c r="K677" s="7" t="s">
        <v>2056</v>
      </c>
      <c r="L677" s="8">
        <v>543480</v>
      </c>
      <c r="M677" s="8" t="str">
        <f t="shared" si="62"/>
        <v>PEN</v>
      </c>
      <c r="N677" s="13"/>
      <c r="O677" s="13">
        <v>2712.2</v>
      </c>
      <c r="P677" s="3">
        <f t="shared" si="63"/>
        <v>2712.2</v>
      </c>
      <c r="Q677" s="3">
        <f t="shared" si="64"/>
        <v>0</v>
      </c>
      <c r="R677" s="3">
        <f t="shared" si="60"/>
        <v>60684.26999999999</v>
      </c>
      <c r="S677" s="24" t="s">
        <v>1334</v>
      </c>
      <c r="T677" s="24" t="s">
        <v>1334</v>
      </c>
      <c r="U677" s="53"/>
      <c r="V677" s="25">
        <f>IFERROR(VLOOKUP(BCP_Soles[[#This Row],[destinatario]],CHOOSE({1,2},Clientes_Proveedores[Razon Social],Clientes_Proveedores[Ruc / Dni]),2,0),"")</f>
        <v>20558226979</v>
      </c>
      <c r="W677" s="25" t="s">
        <v>1345</v>
      </c>
      <c r="X677" s="25" t="s">
        <v>2034</v>
      </c>
      <c r="Y677" s="25"/>
      <c r="Z677" s="75"/>
      <c r="AA677" s="3" t="str">
        <f>IF(BCP_Soles[[#This Row],[fecha]]&gt;0,TEXT(BCP_Soles[[#This Row],[fecha]],"mmmm"),0)</f>
        <v>Febrero</v>
      </c>
    </row>
    <row r="678" spans="1:27" ht="36" x14ac:dyDescent="0.3">
      <c r="A678" s="2">
        <f>IF(BCP_Soles[[#This Row],[tipo_registro]]="R",COUNTIFS($C$1:$C677,"R")+1,A677)</f>
        <v>489</v>
      </c>
      <c r="B678" s="19" t="str">
        <f t="shared" si="61"/>
        <v>B-BCP - Soles</v>
      </c>
      <c r="C678" s="3" t="s">
        <v>1330</v>
      </c>
      <c r="D678" s="14">
        <v>45715</v>
      </c>
      <c r="E678" s="5" t="s">
        <v>555</v>
      </c>
      <c r="F678" s="5" t="s">
        <v>1303</v>
      </c>
      <c r="G678" s="6" t="s">
        <v>425</v>
      </c>
      <c r="H678" s="6"/>
      <c r="I678" s="6"/>
      <c r="J678" s="6"/>
      <c r="K678" s="7" t="s">
        <v>1348</v>
      </c>
      <c r="L678" s="8">
        <v>2211248</v>
      </c>
      <c r="M678" s="8" t="str">
        <f t="shared" si="62"/>
        <v>PEN</v>
      </c>
      <c r="N678" s="13"/>
      <c r="O678" s="13">
        <v>1877.96</v>
      </c>
      <c r="P678" s="3">
        <f t="shared" si="63"/>
        <v>1877.96</v>
      </c>
      <c r="Q678" s="3">
        <f t="shared" si="64"/>
        <v>0</v>
      </c>
      <c r="R678" s="3">
        <f t="shared" si="60"/>
        <v>62562.229999999989</v>
      </c>
      <c r="S678" s="24" t="s">
        <v>1334</v>
      </c>
      <c r="T678" s="24" t="s">
        <v>1334</v>
      </c>
      <c r="U678" s="53"/>
      <c r="V678" s="25">
        <f>IFERROR(VLOOKUP(BCP_Soles[[#This Row],[destinatario]],CHOOSE({1,2},Clientes_Proveedores[Razon Social],Clientes_Proveedores[Ruc / Dni]),2,0),"")</f>
        <v>20558226979</v>
      </c>
      <c r="W678" s="25" t="s">
        <v>1345</v>
      </c>
      <c r="X678" s="25" t="s">
        <v>2057</v>
      </c>
      <c r="Y678" s="25"/>
      <c r="Z678" s="75"/>
      <c r="AA678" s="3" t="str">
        <f>IF(BCP_Soles[[#This Row],[fecha]]&gt;0,TEXT(BCP_Soles[[#This Row],[fecha]],"mmmm"),0)</f>
        <v>Febrero</v>
      </c>
    </row>
    <row r="679" spans="1:27" ht="36" x14ac:dyDescent="0.3">
      <c r="A679" s="2">
        <f>IF(BCP_Soles[[#This Row],[tipo_registro]]="R",COUNTIFS($C$1:$C678,"R")+1,A678)</f>
        <v>490</v>
      </c>
      <c r="B679" s="19" t="str">
        <f t="shared" si="61"/>
        <v>B-BCP - Soles</v>
      </c>
      <c r="C679" s="3" t="s">
        <v>1330</v>
      </c>
      <c r="D679" s="14">
        <v>45715</v>
      </c>
      <c r="E679" s="5" t="s">
        <v>555</v>
      </c>
      <c r="F679" s="5" t="s">
        <v>1303</v>
      </c>
      <c r="G679" s="6" t="s">
        <v>425</v>
      </c>
      <c r="H679" s="6"/>
      <c r="I679" s="6"/>
      <c r="J679" s="6"/>
      <c r="K679" s="7" t="s">
        <v>1348</v>
      </c>
      <c r="L679" s="8">
        <v>2208662</v>
      </c>
      <c r="M679" s="8" t="str">
        <f t="shared" si="62"/>
        <v>PEN</v>
      </c>
      <c r="N679" s="13"/>
      <c r="O679" s="13">
        <v>1475.96</v>
      </c>
      <c r="P679" s="3">
        <f t="shared" si="63"/>
        <v>1475.96</v>
      </c>
      <c r="Q679" s="3">
        <f t="shared" si="64"/>
        <v>0</v>
      </c>
      <c r="R679" s="3">
        <f t="shared" si="60"/>
        <v>64038.189999999988</v>
      </c>
      <c r="S679" s="24" t="s">
        <v>1334</v>
      </c>
      <c r="T679" s="24" t="s">
        <v>1334</v>
      </c>
      <c r="U679" s="53"/>
      <c r="V679" s="25">
        <f>IFERROR(VLOOKUP(BCP_Soles[[#This Row],[destinatario]],CHOOSE({1,2},Clientes_Proveedores[Razon Social],Clientes_Proveedores[Ruc / Dni]),2,0),"")</f>
        <v>20558226979</v>
      </c>
      <c r="W679" s="25" t="s">
        <v>1345</v>
      </c>
      <c r="X679" s="25" t="s">
        <v>2058</v>
      </c>
      <c r="Y679" s="25"/>
      <c r="Z679" s="75"/>
      <c r="AA679" s="3" t="str">
        <f>IF(BCP_Soles[[#This Row],[fecha]]&gt;0,TEXT(BCP_Soles[[#This Row],[fecha]],"mmmm"),0)</f>
        <v>Febrero</v>
      </c>
    </row>
    <row r="680" spans="1:27" ht="36" x14ac:dyDescent="0.3">
      <c r="A680" s="2">
        <f>IF(BCP_Soles[[#This Row],[tipo_registro]]="R",COUNTIFS($C$1:$C679,"R")+1,A679)</f>
        <v>491</v>
      </c>
      <c r="B680" s="19" t="str">
        <f t="shared" si="61"/>
        <v>B-BCP - Soles</v>
      </c>
      <c r="C680" s="3" t="s">
        <v>1330</v>
      </c>
      <c r="D680" s="14">
        <v>45715</v>
      </c>
      <c r="E680" s="5" t="s">
        <v>555</v>
      </c>
      <c r="F680" s="5" t="s">
        <v>1303</v>
      </c>
      <c r="G680" s="6" t="s">
        <v>425</v>
      </c>
      <c r="H680" s="6"/>
      <c r="I680" s="6"/>
      <c r="J680" s="6"/>
      <c r="K680" s="7" t="s">
        <v>1348</v>
      </c>
      <c r="L680" s="8">
        <v>2206500</v>
      </c>
      <c r="M680" s="8" t="str">
        <f t="shared" si="62"/>
        <v>PEN</v>
      </c>
      <c r="N680" s="13"/>
      <c r="O680" s="13">
        <v>1003</v>
      </c>
      <c r="P680" s="3">
        <f t="shared" si="63"/>
        <v>1003</v>
      </c>
      <c r="Q680" s="3">
        <f t="shared" si="64"/>
        <v>0</v>
      </c>
      <c r="R680" s="3">
        <f t="shared" si="60"/>
        <v>65041.189999999988</v>
      </c>
      <c r="S680" s="24" t="s">
        <v>1334</v>
      </c>
      <c r="T680" s="24" t="s">
        <v>1334</v>
      </c>
      <c r="U680" s="53"/>
      <c r="V680" s="25">
        <f>IFERROR(VLOOKUP(BCP_Soles[[#This Row],[destinatario]],CHOOSE({1,2},Clientes_Proveedores[Razon Social],Clientes_Proveedores[Ruc / Dni]),2,0),"")</f>
        <v>20558226979</v>
      </c>
      <c r="W680" s="25" t="s">
        <v>1345</v>
      </c>
      <c r="X680" s="25" t="s">
        <v>2059</v>
      </c>
      <c r="Y680" s="25"/>
      <c r="Z680" s="75"/>
      <c r="AA680" s="3" t="str">
        <f>IF(BCP_Soles[[#This Row],[fecha]]&gt;0,TEXT(BCP_Soles[[#This Row],[fecha]],"mmmm"),0)</f>
        <v>Febrero</v>
      </c>
    </row>
    <row r="681" spans="1:27" ht="36" x14ac:dyDescent="0.3">
      <c r="A681" s="2">
        <f>IF(BCP_Soles[[#This Row],[tipo_registro]]="R",COUNTIFS($C$1:$C680,"R")+1,A680)</f>
        <v>492</v>
      </c>
      <c r="B681" s="19" t="str">
        <f t="shared" si="61"/>
        <v>B-BCP - Soles</v>
      </c>
      <c r="C681" s="3" t="s">
        <v>1330</v>
      </c>
      <c r="D681" s="14">
        <v>45715</v>
      </c>
      <c r="E681" s="5" t="s">
        <v>555</v>
      </c>
      <c r="F681" s="5" t="s">
        <v>1303</v>
      </c>
      <c r="G681" s="6" t="s">
        <v>425</v>
      </c>
      <c r="H681" s="6"/>
      <c r="I681" s="6"/>
      <c r="J681" s="6"/>
      <c r="K681" s="7" t="s">
        <v>1348</v>
      </c>
      <c r="L681" s="8">
        <v>2204783</v>
      </c>
      <c r="M681" s="8" t="str">
        <f t="shared" si="62"/>
        <v>PEN</v>
      </c>
      <c r="N681" s="13"/>
      <c r="O681" s="13">
        <v>745.92</v>
      </c>
      <c r="P681" s="3">
        <f t="shared" si="63"/>
        <v>745.92</v>
      </c>
      <c r="Q681" s="3">
        <f t="shared" si="64"/>
        <v>0</v>
      </c>
      <c r="R681" s="3">
        <f t="shared" si="60"/>
        <v>65787.109999999986</v>
      </c>
      <c r="S681" s="24" t="s">
        <v>1334</v>
      </c>
      <c r="T681" s="24" t="s">
        <v>1334</v>
      </c>
      <c r="U681" s="53"/>
      <c r="V681" s="25">
        <f>IFERROR(VLOOKUP(BCP_Soles[[#This Row],[destinatario]],CHOOSE({1,2},Clientes_Proveedores[Razon Social],Clientes_Proveedores[Ruc / Dni]),2,0),"")</f>
        <v>20558226979</v>
      </c>
      <c r="W681" s="25" t="s">
        <v>1345</v>
      </c>
      <c r="X681" s="25" t="s">
        <v>2060</v>
      </c>
      <c r="Y681" s="25"/>
      <c r="Z681" s="75"/>
      <c r="AA681" s="3" t="str">
        <f>IF(BCP_Soles[[#This Row],[fecha]]&gt;0,TEXT(BCP_Soles[[#This Row],[fecha]],"mmmm"),0)</f>
        <v>Febrero</v>
      </c>
    </row>
    <row r="682" spans="1:27" ht="24" x14ac:dyDescent="0.3">
      <c r="A682" s="2">
        <f>IF(BCP_Soles[[#This Row],[tipo_registro]]="R",COUNTIFS($C$1:$C681,"R")+1,A681)</f>
        <v>493</v>
      </c>
      <c r="B682" s="19" t="str">
        <f t="shared" si="61"/>
        <v>B-BCP - Soles</v>
      </c>
      <c r="C682" s="3" t="s">
        <v>1330</v>
      </c>
      <c r="D682" s="14">
        <v>45715</v>
      </c>
      <c r="E682" s="5" t="s">
        <v>643</v>
      </c>
      <c r="F682" s="5" t="s">
        <v>1303</v>
      </c>
      <c r="G682" s="6" t="s">
        <v>425</v>
      </c>
      <c r="H682" s="6"/>
      <c r="I682" s="6"/>
      <c r="J682" s="6"/>
      <c r="K682" s="7" t="s">
        <v>2061</v>
      </c>
      <c r="L682" s="8">
        <v>6741716</v>
      </c>
      <c r="M682" s="8" t="str">
        <f t="shared" si="62"/>
        <v>PEN</v>
      </c>
      <c r="N682" s="13"/>
      <c r="O682" s="13">
        <v>362.07</v>
      </c>
      <c r="P682" s="3">
        <f t="shared" si="63"/>
        <v>362.07</v>
      </c>
      <c r="Q682" s="3">
        <f t="shared" si="64"/>
        <v>0</v>
      </c>
      <c r="R682" s="3">
        <f t="shared" si="60"/>
        <v>66149.179999999993</v>
      </c>
      <c r="S682" s="24" t="s">
        <v>1334</v>
      </c>
      <c r="T682" s="24" t="s">
        <v>1334</v>
      </c>
      <c r="U682" s="53"/>
      <c r="V682" s="25">
        <f>IFERROR(VLOOKUP(BCP_Soles[[#This Row],[destinatario]],CHOOSE({1,2},Clientes_Proveedores[Razon Social],Clientes_Proveedores[Ruc / Dni]),2,0),"")</f>
        <v>20558226979</v>
      </c>
      <c r="W682" s="25" t="s">
        <v>1345</v>
      </c>
      <c r="X682" s="25" t="s">
        <v>2062</v>
      </c>
      <c r="Y682" s="25"/>
      <c r="Z682" s="75"/>
      <c r="AA682" s="3" t="str">
        <f>IF(BCP_Soles[[#This Row],[fecha]]&gt;0,TEXT(BCP_Soles[[#This Row],[fecha]],"mmmm"),0)</f>
        <v>Febrero</v>
      </c>
    </row>
    <row r="683" spans="1:27" x14ac:dyDescent="0.3">
      <c r="A683" s="2">
        <f>IF(BCP_Soles[[#This Row],[tipo_registro]]="R",COUNTIFS($C$1:$C682,"R")+1,A682)</f>
        <v>494</v>
      </c>
      <c r="B683" s="19" t="str">
        <f t="shared" si="61"/>
        <v>B-BCP - Soles</v>
      </c>
      <c r="C683" s="3" t="s">
        <v>1330</v>
      </c>
      <c r="D683" s="14">
        <v>45715</v>
      </c>
      <c r="E683" s="5" t="s">
        <v>1335</v>
      </c>
      <c r="F683" s="5" t="s">
        <v>1336</v>
      </c>
      <c r="G683" s="6"/>
      <c r="H683" s="6"/>
      <c r="I683" s="6"/>
      <c r="J683" s="6"/>
      <c r="K683" s="7" t="s">
        <v>1337</v>
      </c>
      <c r="L683" s="8"/>
      <c r="M683" s="8" t="str">
        <f t="shared" si="62"/>
        <v>PEN</v>
      </c>
      <c r="N683" s="13"/>
      <c r="O683" s="13">
        <v>0.95</v>
      </c>
      <c r="P683" s="3">
        <f t="shared" si="63"/>
        <v>0</v>
      </c>
      <c r="Q683" s="3">
        <f t="shared" si="64"/>
        <v>0.95</v>
      </c>
      <c r="R683" s="3">
        <f t="shared" si="60"/>
        <v>66148.23</v>
      </c>
      <c r="S683" s="24"/>
      <c r="T683" s="24" t="s">
        <v>1334</v>
      </c>
      <c r="U683" s="53"/>
      <c r="V683" s="25" t="str">
        <f>IFERROR(VLOOKUP(BCP_Soles[[#This Row],[destinatario]],CHOOSE({1,2},Clientes_Proveedores[Razon Social],Clientes_Proveedores[Ruc / Dni]),2,0),"")</f>
        <v/>
      </c>
      <c r="W683" s="25"/>
      <c r="X683" s="25"/>
      <c r="Y683" s="25"/>
      <c r="Z683" s="75"/>
      <c r="AA683" s="3" t="str">
        <f>IF(BCP_Soles[[#This Row],[fecha]]&gt;0,TEXT(BCP_Soles[[#This Row],[fecha]],"mmmm"),0)</f>
        <v>Febrero</v>
      </c>
    </row>
    <row r="684" spans="1:27" ht="24" x14ac:dyDescent="0.3">
      <c r="A684" s="2">
        <f>IF(BCP_Soles[[#This Row],[tipo_registro]]="R",COUNTIFS($C$1:$C683,"R")+1,A683)</f>
        <v>495</v>
      </c>
      <c r="B684" s="19" t="str">
        <f t="shared" si="61"/>
        <v>B-BCP - Soles</v>
      </c>
      <c r="C684" s="3" t="s">
        <v>1330</v>
      </c>
      <c r="D684" s="14">
        <v>45715</v>
      </c>
      <c r="E684" s="5" t="s">
        <v>1338</v>
      </c>
      <c r="F684" s="5" t="s">
        <v>1336</v>
      </c>
      <c r="G684" s="6" t="s">
        <v>249</v>
      </c>
      <c r="H684" s="6"/>
      <c r="I684" s="6"/>
      <c r="J684" s="6"/>
      <c r="K684" s="7" t="s">
        <v>2048</v>
      </c>
      <c r="L684" s="8">
        <v>1126869</v>
      </c>
      <c r="M684" s="8" t="str">
        <f t="shared" si="62"/>
        <v>PEN</v>
      </c>
      <c r="N684" s="13"/>
      <c r="O684" s="13">
        <v>41.93</v>
      </c>
      <c r="P684" s="3">
        <f t="shared" si="63"/>
        <v>0</v>
      </c>
      <c r="Q684" s="3">
        <f t="shared" si="64"/>
        <v>41.93</v>
      </c>
      <c r="R684" s="3">
        <f t="shared" si="60"/>
        <v>66106.3</v>
      </c>
      <c r="S684" s="24"/>
      <c r="T684" s="24"/>
      <c r="U684" s="53"/>
      <c r="V684" s="25">
        <f>IFERROR(VLOOKUP(BCP_Soles[[#This Row],[destinatario]],CHOOSE({1,2},Clientes_Proveedores[Razon Social],Clientes_Proveedores[Ruc / Dni]),2,0),"")</f>
        <v>20302891452</v>
      </c>
      <c r="W684" s="25" t="s">
        <v>249</v>
      </c>
      <c r="X684" s="25"/>
      <c r="Y684" s="25"/>
      <c r="Z684" s="75"/>
      <c r="AA684" s="3" t="str">
        <f>IF(BCP_Soles[[#This Row],[fecha]]&gt;0,TEXT(BCP_Soles[[#This Row],[fecha]],"mmmm"),0)</f>
        <v>Febrero</v>
      </c>
    </row>
    <row r="685" spans="1:27" ht="24" x14ac:dyDescent="0.3">
      <c r="A685" s="2">
        <f>IF(BCP_Soles[[#This Row],[tipo_registro]]="R",COUNTIFS($C$1:$C684,"R")+1,A684)</f>
        <v>496</v>
      </c>
      <c r="B685" s="19" t="str">
        <f t="shared" si="61"/>
        <v>B-BCP - Soles</v>
      </c>
      <c r="C685" s="3" t="s">
        <v>1330</v>
      </c>
      <c r="D685" s="14">
        <v>45715</v>
      </c>
      <c r="E685" s="5" t="s">
        <v>1338</v>
      </c>
      <c r="F685" s="5" t="s">
        <v>1336</v>
      </c>
      <c r="G685" s="6" t="s">
        <v>888</v>
      </c>
      <c r="H685" s="6" t="s">
        <v>68</v>
      </c>
      <c r="I685" s="6" t="s">
        <v>2063</v>
      </c>
      <c r="J685" s="6">
        <v>1852</v>
      </c>
      <c r="K685" s="7" t="s">
        <v>2064</v>
      </c>
      <c r="L685" s="8">
        <v>1238730</v>
      </c>
      <c r="M685" s="8" t="str">
        <f t="shared" si="62"/>
        <v>PEN</v>
      </c>
      <c r="N685" s="13"/>
      <c r="O685" s="13">
        <v>110</v>
      </c>
      <c r="P685" s="3">
        <f t="shared" si="63"/>
        <v>0</v>
      </c>
      <c r="Q685" s="3">
        <f t="shared" si="64"/>
        <v>110</v>
      </c>
      <c r="R685" s="3">
        <f t="shared" si="60"/>
        <v>65996.3</v>
      </c>
      <c r="S685" s="24" t="s">
        <v>1334</v>
      </c>
      <c r="T685" s="24" t="s">
        <v>1334</v>
      </c>
      <c r="U685" s="53"/>
      <c r="V685" s="25">
        <f>IFERROR(VLOOKUP(BCP_Soles[[#This Row],[destinatario]],CHOOSE({1,2},Clientes_Proveedores[Razon Social],Clientes_Proveedores[Ruc / Dni]),2,0),"")</f>
        <v>47461440</v>
      </c>
      <c r="W685" s="25" t="s">
        <v>888</v>
      </c>
      <c r="X685" s="25" t="s">
        <v>2065</v>
      </c>
      <c r="Y685" s="25"/>
      <c r="Z685" s="75"/>
      <c r="AA685" s="3" t="str">
        <f>IF(BCP_Soles[[#This Row],[fecha]]&gt;0,TEXT(BCP_Soles[[#This Row],[fecha]],"mmmm"),0)</f>
        <v>Febrero</v>
      </c>
    </row>
    <row r="686" spans="1:27" ht="24" x14ac:dyDescent="0.3">
      <c r="A686" s="2">
        <f>IF(BCP_Soles[[#This Row],[tipo_registro]]="R",COUNTIFS($C$1:$C685,"R")+1,A685)</f>
        <v>497</v>
      </c>
      <c r="B686" s="19" t="str">
        <f t="shared" si="61"/>
        <v>B-BCP - Soles</v>
      </c>
      <c r="C686" s="3" t="s">
        <v>1330</v>
      </c>
      <c r="D686" s="14">
        <v>45715</v>
      </c>
      <c r="E686" s="5" t="s">
        <v>1338</v>
      </c>
      <c r="F686" s="5" t="s">
        <v>1336</v>
      </c>
      <c r="G686" s="6" t="s">
        <v>241</v>
      </c>
      <c r="H686" s="6" t="s">
        <v>68</v>
      </c>
      <c r="I686" s="6" t="s">
        <v>1339</v>
      </c>
      <c r="J686" s="6">
        <v>7169</v>
      </c>
      <c r="K686" s="7" t="s">
        <v>2066</v>
      </c>
      <c r="L686" s="8">
        <v>1170618</v>
      </c>
      <c r="M686" s="8" t="str">
        <f t="shared" si="62"/>
        <v>PEN</v>
      </c>
      <c r="N686" s="13"/>
      <c r="O686" s="13">
        <v>682.4</v>
      </c>
      <c r="P686" s="3">
        <f t="shared" si="63"/>
        <v>0</v>
      </c>
      <c r="Q686" s="3">
        <f t="shared" si="64"/>
        <v>682.4</v>
      </c>
      <c r="R686" s="3">
        <f t="shared" si="60"/>
        <v>65313.9</v>
      </c>
      <c r="S686" s="24" t="s">
        <v>1334</v>
      </c>
      <c r="T686" s="24" t="s">
        <v>1334</v>
      </c>
      <c r="U686" s="53"/>
      <c r="V686" s="25">
        <f>IFERROR(VLOOKUP(BCP_Soles[[#This Row],[destinatario]],CHOOSE({1,2},Clientes_Proveedores[Razon Social],Clientes_Proveedores[Ruc / Dni]),2,0),"")</f>
        <v>20170040938</v>
      </c>
      <c r="W686" s="25" t="s">
        <v>1341</v>
      </c>
      <c r="X686" s="25" t="s">
        <v>2067</v>
      </c>
      <c r="Y686" s="25"/>
      <c r="Z686" s="75"/>
      <c r="AA686" s="3" t="str">
        <f>IF(BCP_Soles[[#This Row],[fecha]]&gt;0,TEXT(BCP_Soles[[#This Row],[fecha]],"mmmm"),0)</f>
        <v>Febrero</v>
      </c>
    </row>
    <row r="687" spans="1:27" ht="24" x14ac:dyDescent="0.3">
      <c r="A687" s="2">
        <f>IF(BCP_Soles[[#This Row],[tipo_registro]]="R",COUNTIFS($C$1:$C686,"R")+1,A686)</f>
        <v>498</v>
      </c>
      <c r="B687" s="19" t="str">
        <f t="shared" si="61"/>
        <v>B-BCP - Soles</v>
      </c>
      <c r="C687" s="3" t="s">
        <v>1330</v>
      </c>
      <c r="D687" s="14">
        <v>45715</v>
      </c>
      <c r="E687" s="5" t="s">
        <v>1338</v>
      </c>
      <c r="F687" s="5" t="s">
        <v>1336</v>
      </c>
      <c r="G687" s="6" t="s">
        <v>658</v>
      </c>
      <c r="H687" s="6" t="s">
        <v>68</v>
      </c>
      <c r="I687" s="6" t="s">
        <v>1376</v>
      </c>
      <c r="J687" s="6">
        <v>30</v>
      </c>
      <c r="K687" s="7" t="s">
        <v>2068</v>
      </c>
      <c r="L687" s="8">
        <v>1127856</v>
      </c>
      <c r="M687" s="8" t="str">
        <f t="shared" si="62"/>
        <v>PEN</v>
      </c>
      <c r="N687" s="13"/>
      <c r="O687" s="13">
        <v>1298</v>
      </c>
      <c r="P687" s="3">
        <f t="shared" si="63"/>
        <v>0</v>
      </c>
      <c r="Q687" s="3">
        <f t="shared" si="64"/>
        <v>1298</v>
      </c>
      <c r="R687" s="3">
        <f t="shared" si="60"/>
        <v>64015.9</v>
      </c>
      <c r="S687" s="24" t="s">
        <v>1334</v>
      </c>
      <c r="T687" s="24" t="s">
        <v>1334</v>
      </c>
      <c r="U687" s="53"/>
      <c r="V687" s="25">
        <f>IFERROR(VLOOKUP(BCP_Soles[[#This Row],[destinatario]],CHOOSE({1,2},Clientes_Proveedores[Razon Social],Clientes_Proveedores[Ruc / Dni]),2,0),"")</f>
        <v>15609125303</v>
      </c>
      <c r="W687" s="25" t="s">
        <v>658</v>
      </c>
      <c r="X687" s="25" t="s">
        <v>2069</v>
      </c>
      <c r="Y687" s="25"/>
      <c r="Z687" s="75"/>
      <c r="AA687" s="3" t="str">
        <f>IF(BCP_Soles[[#This Row],[fecha]]&gt;0,TEXT(BCP_Soles[[#This Row],[fecha]],"mmmm"),0)</f>
        <v>Febrero</v>
      </c>
    </row>
    <row r="688" spans="1:27" ht="24" x14ac:dyDescent="0.3">
      <c r="A688" s="2">
        <f>IF(BCP_Soles[[#This Row],[tipo_registro]]="R",COUNTIFS($C$1:$C687,"R")+1,A687)</f>
        <v>499</v>
      </c>
      <c r="B688" s="19" t="str">
        <f t="shared" si="61"/>
        <v>B-BCP - Soles</v>
      </c>
      <c r="C688" s="3" t="s">
        <v>1330</v>
      </c>
      <c r="D688" s="14">
        <v>45716</v>
      </c>
      <c r="E688" s="5" t="s">
        <v>1825</v>
      </c>
      <c r="F688" s="5" t="s">
        <v>1303</v>
      </c>
      <c r="G688" s="6" t="s">
        <v>425</v>
      </c>
      <c r="H688" s="6" t="s">
        <v>119</v>
      </c>
      <c r="I688" s="6">
        <v>1</v>
      </c>
      <c r="J688" s="6">
        <v>4206</v>
      </c>
      <c r="K688" s="7" t="s">
        <v>2070</v>
      </c>
      <c r="L688" s="8">
        <v>2209291</v>
      </c>
      <c r="M688" s="8" t="str">
        <f t="shared" si="62"/>
        <v>PEN</v>
      </c>
      <c r="N688" s="13"/>
      <c r="O688" s="13">
        <v>16000</v>
      </c>
      <c r="P688" s="3">
        <f t="shared" si="63"/>
        <v>16000</v>
      </c>
      <c r="Q688" s="3">
        <f t="shared" si="64"/>
        <v>0</v>
      </c>
      <c r="R688" s="3">
        <f t="shared" si="60"/>
        <v>80015.899999999994</v>
      </c>
      <c r="S688" s="24" t="s">
        <v>1334</v>
      </c>
      <c r="T688" s="24" t="s">
        <v>1334</v>
      </c>
      <c r="U688" s="53"/>
      <c r="V688" s="25">
        <f>IFERROR(VLOOKUP(BCP_Soles[[#This Row],[destinatario]],CHOOSE({1,2},Clientes_Proveedores[Razon Social],Clientes_Proveedores[Ruc / Dni]),2,0),"")</f>
        <v>20558226979</v>
      </c>
      <c r="W688" s="25" t="s">
        <v>1345</v>
      </c>
      <c r="X688" s="25" t="s">
        <v>2071</v>
      </c>
      <c r="Y688" s="25"/>
      <c r="Z688" s="75"/>
      <c r="AA688" s="3" t="str">
        <f>IF(BCP_Soles[[#This Row],[fecha]]&gt;0,TEXT(BCP_Soles[[#This Row],[fecha]],"mmmm"),0)</f>
        <v>Febrero</v>
      </c>
    </row>
    <row r="689" spans="1:27" ht="24" x14ac:dyDescent="0.3">
      <c r="A689" s="2">
        <f>IF(BCP_Soles[[#This Row],[tipo_registro]]="R",COUNTIFS($C$1:$C688,"R")+1,A688)</f>
        <v>500</v>
      </c>
      <c r="B689" s="19" t="str">
        <f t="shared" si="61"/>
        <v>B-BCP - Soles</v>
      </c>
      <c r="C689" s="3" t="s">
        <v>1330</v>
      </c>
      <c r="D689" s="14">
        <v>45716</v>
      </c>
      <c r="E689" s="5" t="s">
        <v>286</v>
      </c>
      <c r="F689" s="5" t="s">
        <v>1303</v>
      </c>
      <c r="G689" s="6" t="s">
        <v>425</v>
      </c>
      <c r="H689" s="6"/>
      <c r="I689" s="6"/>
      <c r="J689" s="6"/>
      <c r="K689" s="7" t="s">
        <v>1382</v>
      </c>
      <c r="L689" s="8">
        <v>15775</v>
      </c>
      <c r="M689" s="8" t="str">
        <f t="shared" si="62"/>
        <v>PEN</v>
      </c>
      <c r="N689" s="13"/>
      <c r="O689" s="13">
        <v>9228.25</v>
      </c>
      <c r="P689" s="3">
        <f t="shared" si="63"/>
        <v>9228.25</v>
      </c>
      <c r="Q689" s="3">
        <f t="shared" si="64"/>
        <v>0</v>
      </c>
      <c r="R689" s="3">
        <f t="shared" si="60"/>
        <v>89244.15</v>
      </c>
      <c r="S689" s="24" t="s">
        <v>1334</v>
      </c>
      <c r="T689" s="24" t="s">
        <v>1334</v>
      </c>
      <c r="U689" s="53"/>
      <c r="V689" s="25">
        <f>IFERROR(VLOOKUP(BCP_Soles[[#This Row],[destinatario]],CHOOSE({1,2},Clientes_Proveedores[Razon Social],Clientes_Proveedores[Ruc / Dni]),2,0),"")</f>
        <v>20558226979</v>
      </c>
      <c r="W689" s="25" t="s">
        <v>1345</v>
      </c>
      <c r="X689" s="25" t="s">
        <v>2072</v>
      </c>
      <c r="Y689" s="25"/>
      <c r="Z689" s="75"/>
      <c r="AA689" s="3" t="str">
        <f>IF(BCP_Soles[[#This Row],[fecha]]&gt;0,TEXT(BCP_Soles[[#This Row],[fecha]],"mmmm"),0)</f>
        <v>Febrero</v>
      </c>
    </row>
    <row r="690" spans="1:27" ht="60" x14ac:dyDescent="0.3">
      <c r="A690" s="2">
        <f>IF(BCP_Soles[[#This Row],[tipo_registro]]="R",COUNTIFS($C$1:$C689,"R")+1,A689)</f>
        <v>501</v>
      </c>
      <c r="B690" s="19" t="str">
        <f t="shared" si="61"/>
        <v>B-BCP - Soles</v>
      </c>
      <c r="C690" s="3" t="s">
        <v>1330</v>
      </c>
      <c r="D690" s="14">
        <v>45716</v>
      </c>
      <c r="E690" s="5" t="s">
        <v>295</v>
      </c>
      <c r="F690" s="5" t="s">
        <v>1303</v>
      </c>
      <c r="G690" s="6" t="s">
        <v>425</v>
      </c>
      <c r="H690" s="6"/>
      <c r="I690" s="6"/>
      <c r="J690" s="6"/>
      <c r="K690" s="7" t="s">
        <v>1428</v>
      </c>
      <c r="L690" s="8">
        <v>2316999</v>
      </c>
      <c r="M690" s="8" t="str">
        <f t="shared" si="62"/>
        <v>PEN</v>
      </c>
      <c r="N690" s="13"/>
      <c r="O690" s="13">
        <v>4469.08</v>
      </c>
      <c r="P690" s="3">
        <f t="shared" si="63"/>
        <v>4469.08</v>
      </c>
      <c r="Q690" s="3">
        <f t="shared" si="64"/>
        <v>0</v>
      </c>
      <c r="R690" s="3">
        <f t="shared" si="60"/>
        <v>93713.23</v>
      </c>
      <c r="S690" s="24" t="s">
        <v>1334</v>
      </c>
      <c r="T690" s="24" t="s">
        <v>1334</v>
      </c>
      <c r="U690" s="53"/>
      <c r="V690" s="25">
        <f>IFERROR(VLOOKUP(BCP_Soles[[#This Row],[destinatario]],CHOOSE({1,2},Clientes_Proveedores[Razon Social],Clientes_Proveedores[Ruc / Dni]),2,0),"")</f>
        <v>20558226979</v>
      </c>
      <c r="W690" s="25" t="s">
        <v>1345</v>
      </c>
      <c r="X690" s="25" t="s">
        <v>2073</v>
      </c>
      <c r="Y690" s="25"/>
      <c r="Z690" s="75"/>
      <c r="AA690" s="3" t="str">
        <f>IF(BCP_Soles[[#This Row],[fecha]]&gt;0,TEXT(BCP_Soles[[#This Row],[fecha]],"mmmm"),0)</f>
        <v>Febrero</v>
      </c>
    </row>
    <row r="691" spans="1:27" x14ac:dyDescent="0.3">
      <c r="A691" s="2">
        <f>IF(BCP_Soles[[#This Row],[tipo_registro]]="R",COUNTIFS($C$1:$C690,"R")+1,A690)</f>
        <v>502</v>
      </c>
      <c r="B691" s="19" t="str">
        <f t="shared" si="61"/>
        <v>B-BCP - Soles</v>
      </c>
      <c r="C691" s="3" t="s">
        <v>1330</v>
      </c>
      <c r="D691" s="14">
        <v>45716</v>
      </c>
      <c r="E691" s="5"/>
      <c r="F691" s="5" t="s">
        <v>1303</v>
      </c>
      <c r="G691" s="6" t="s">
        <v>425</v>
      </c>
      <c r="H691" s="6"/>
      <c r="I691" s="6"/>
      <c r="J691" s="6"/>
      <c r="K691" s="7" t="s">
        <v>2074</v>
      </c>
      <c r="L691" s="8">
        <v>7837636</v>
      </c>
      <c r="M691" s="8" t="str">
        <f t="shared" si="62"/>
        <v>PEN</v>
      </c>
      <c r="N691" s="13"/>
      <c r="O691" s="13">
        <v>1388.59</v>
      </c>
      <c r="P691" s="3">
        <f t="shared" si="63"/>
        <v>1388.59</v>
      </c>
      <c r="Q691" s="3">
        <f t="shared" si="64"/>
        <v>0</v>
      </c>
      <c r="R691" s="3">
        <f t="shared" si="60"/>
        <v>95101.819999999992</v>
      </c>
      <c r="S691" s="24"/>
      <c r="T691" s="24"/>
      <c r="U691" s="53"/>
      <c r="V691" s="25">
        <f>IFERROR(VLOOKUP(BCP_Soles[[#This Row],[destinatario]],CHOOSE({1,2},Clientes_Proveedores[Razon Social],Clientes_Proveedores[Ruc / Dni]),2,0),"")</f>
        <v>20558226979</v>
      </c>
      <c r="W691" s="25" t="s">
        <v>1345</v>
      </c>
      <c r="X691" s="25"/>
      <c r="Y691" s="25"/>
      <c r="Z691" s="75"/>
      <c r="AA691" s="3" t="str">
        <f>IF(BCP_Soles[[#This Row],[fecha]]&gt;0,TEXT(BCP_Soles[[#This Row],[fecha]],"mmmm"),0)</f>
        <v>Febrero</v>
      </c>
    </row>
    <row r="692" spans="1:27" ht="24" x14ac:dyDescent="0.3">
      <c r="A692" s="2">
        <f>IF(BCP_Soles[[#This Row],[tipo_registro]]="R",COUNTIFS($C$1:$C691,"R")+1,A691)</f>
        <v>503</v>
      </c>
      <c r="B692" s="19" t="str">
        <f t="shared" si="61"/>
        <v>B-BCP - Soles</v>
      </c>
      <c r="C692" s="3" t="s">
        <v>1330</v>
      </c>
      <c r="D692" s="14">
        <v>45716</v>
      </c>
      <c r="E692" s="5" t="s">
        <v>212</v>
      </c>
      <c r="F692" s="5" t="s">
        <v>1303</v>
      </c>
      <c r="G692" s="6" t="s">
        <v>425</v>
      </c>
      <c r="H692" s="6"/>
      <c r="I692" s="6"/>
      <c r="J692" s="6"/>
      <c r="K692" s="7" t="s">
        <v>2075</v>
      </c>
      <c r="L692" s="8">
        <v>7782923</v>
      </c>
      <c r="M692" s="8" t="str">
        <f t="shared" si="62"/>
        <v>PEN</v>
      </c>
      <c r="N692" s="13"/>
      <c r="O692" s="13">
        <v>1356.79</v>
      </c>
      <c r="P692" s="3">
        <f t="shared" si="63"/>
        <v>1356.79</v>
      </c>
      <c r="Q692" s="3">
        <f t="shared" si="64"/>
        <v>0</v>
      </c>
      <c r="R692" s="3">
        <f t="shared" si="60"/>
        <v>96458.609999999986</v>
      </c>
      <c r="S692" s="24" t="s">
        <v>1334</v>
      </c>
      <c r="T692" s="24" t="s">
        <v>1334</v>
      </c>
      <c r="U692" s="53"/>
      <c r="V692" s="25">
        <f>IFERROR(VLOOKUP(BCP_Soles[[#This Row],[destinatario]],CHOOSE({1,2},Clientes_Proveedores[Razon Social],Clientes_Proveedores[Ruc / Dni]),2,0),"")</f>
        <v>20558226979</v>
      </c>
      <c r="W692" s="25" t="s">
        <v>1345</v>
      </c>
      <c r="X692" s="25" t="s">
        <v>2076</v>
      </c>
      <c r="Y692" s="25"/>
      <c r="Z692" s="75"/>
      <c r="AA692" s="3" t="str">
        <f>IF(BCP_Soles[[#This Row],[fecha]]&gt;0,TEXT(BCP_Soles[[#This Row],[fecha]],"mmmm"),0)</f>
        <v>Febrero</v>
      </c>
    </row>
    <row r="693" spans="1:27" ht="24" x14ac:dyDescent="0.3">
      <c r="A693" s="2">
        <f>IF(BCP_Soles[[#This Row],[tipo_registro]]="R",COUNTIFS($C$1:$C692,"R")+1,A692)</f>
        <v>504</v>
      </c>
      <c r="B693" s="19" t="str">
        <f t="shared" si="61"/>
        <v>B-BCP - Soles</v>
      </c>
      <c r="C693" s="3" t="s">
        <v>1330</v>
      </c>
      <c r="D693" s="14">
        <v>45716</v>
      </c>
      <c r="E693" s="5" t="s">
        <v>1404</v>
      </c>
      <c r="F693" s="5" t="s">
        <v>1303</v>
      </c>
      <c r="G693" s="6" t="s">
        <v>425</v>
      </c>
      <c r="H693" s="6" t="s">
        <v>119</v>
      </c>
      <c r="I693" s="6">
        <v>1</v>
      </c>
      <c r="J693" s="6">
        <v>3972</v>
      </c>
      <c r="K693" s="7" t="s">
        <v>2077</v>
      </c>
      <c r="L693" s="8">
        <v>33783</v>
      </c>
      <c r="M693" s="8" t="str">
        <f t="shared" si="62"/>
        <v>PEN</v>
      </c>
      <c r="N693" s="13"/>
      <c r="O693" s="13">
        <v>500</v>
      </c>
      <c r="P693" s="3">
        <f t="shared" si="63"/>
        <v>500</v>
      </c>
      <c r="Q693" s="3">
        <f t="shared" si="64"/>
        <v>0</v>
      </c>
      <c r="R693" s="3">
        <f t="shared" si="60"/>
        <v>96958.609999999986</v>
      </c>
      <c r="S693" s="24" t="s">
        <v>1334</v>
      </c>
      <c r="T693" s="24" t="s">
        <v>1334</v>
      </c>
      <c r="U693" s="53"/>
      <c r="V693" s="25">
        <f>IFERROR(VLOOKUP(BCP_Soles[[#This Row],[destinatario]],CHOOSE({1,2},Clientes_Proveedores[Razon Social],Clientes_Proveedores[Ruc / Dni]),2,0),"")</f>
        <v>20558226979</v>
      </c>
      <c r="W693" s="25" t="s">
        <v>1345</v>
      </c>
      <c r="X693" s="25" t="s">
        <v>1405</v>
      </c>
      <c r="Y693" s="25"/>
      <c r="Z693" s="75"/>
      <c r="AA693" s="3" t="str">
        <f>IF(BCP_Soles[[#This Row],[fecha]]&gt;0,TEXT(BCP_Soles[[#This Row],[fecha]],"mmmm"),0)</f>
        <v>Febrero</v>
      </c>
    </row>
    <row r="694" spans="1:27" ht="24" x14ac:dyDescent="0.3">
      <c r="A694" s="2">
        <f>IF(BCP_Soles[[#This Row],[tipo_registro]]="R",COUNTIFS($C$1:$C693,"R")+1,A693)</f>
        <v>505</v>
      </c>
      <c r="B694" s="19" t="str">
        <f t="shared" si="61"/>
        <v>B-BCP - Soles</v>
      </c>
      <c r="C694" s="3" t="s">
        <v>1330</v>
      </c>
      <c r="D694" s="14">
        <v>45716</v>
      </c>
      <c r="E694" s="5" t="s">
        <v>2009</v>
      </c>
      <c r="F694" s="5" t="s">
        <v>1303</v>
      </c>
      <c r="G694" s="6" t="s">
        <v>425</v>
      </c>
      <c r="H694" s="6" t="s">
        <v>119</v>
      </c>
      <c r="I694" s="6">
        <v>1</v>
      </c>
      <c r="J694" s="6">
        <v>4202</v>
      </c>
      <c r="K694" s="7" t="s">
        <v>1356</v>
      </c>
      <c r="L694" s="8">
        <v>4071452</v>
      </c>
      <c r="M694" s="8" t="str">
        <f t="shared" si="62"/>
        <v>PEN</v>
      </c>
      <c r="N694" s="13"/>
      <c r="O694" s="13">
        <v>460</v>
      </c>
      <c r="P694" s="3">
        <f t="shared" si="63"/>
        <v>460</v>
      </c>
      <c r="Q694" s="3">
        <f t="shared" si="64"/>
        <v>0</v>
      </c>
      <c r="R694" s="3">
        <f t="shared" si="60"/>
        <v>97418.609999999986</v>
      </c>
      <c r="S694" s="24" t="s">
        <v>1334</v>
      </c>
      <c r="T694" s="24" t="s">
        <v>1334</v>
      </c>
      <c r="U694" s="53"/>
      <c r="V694" s="25">
        <f>IFERROR(VLOOKUP(BCP_Soles[[#This Row],[destinatario]],CHOOSE({1,2},Clientes_Proveedores[Razon Social],Clientes_Proveedores[Ruc / Dni]),2,0),"")</f>
        <v>20558226979</v>
      </c>
      <c r="W694" s="25" t="s">
        <v>1345</v>
      </c>
      <c r="X694" s="25" t="s">
        <v>2078</v>
      </c>
      <c r="Y694" s="25"/>
      <c r="Z694" s="75"/>
      <c r="AA694" s="3" t="str">
        <f>IF(BCP_Soles[[#This Row],[fecha]]&gt;0,TEXT(BCP_Soles[[#This Row],[fecha]],"mmmm"),0)</f>
        <v>Febrero</v>
      </c>
    </row>
    <row r="695" spans="1:27" ht="24" x14ac:dyDescent="0.3">
      <c r="A695" s="2">
        <f>IF(BCP_Soles[[#This Row],[tipo_registro]]="R",COUNTIFS($C$1:$C694,"R")+1,A694)</f>
        <v>506</v>
      </c>
      <c r="B695" s="19" t="str">
        <f t="shared" si="61"/>
        <v>B-BCP - Soles</v>
      </c>
      <c r="C695" s="3" t="s">
        <v>1330</v>
      </c>
      <c r="D695" s="14">
        <v>45716</v>
      </c>
      <c r="E695" s="5" t="s">
        <v>2079</v>
      </c>
      <c r="F695" s="5" t="s">
        <v>1303</v>
      </c>
      <c r="G695" s="6" t="s">
        <v>425</v>
      </c>
      <c r="H695" s="6" t="s">
        <v>119</v>
      </c>
      <c r="I695" s="6">
        <v>1</v>
      </c>
      <c r="J695" s="6">
        <v>4207</v>
      </c>
      <c r="K695" s="7" t="s">
        <v>1356</v>
      </c>
      <c r="L695" s="8">
        <v>4040780</v>
      </c>
      <c r="M695" s="8" t="str">
        <f t="shared" si="62"/>
        <v>PEN</v>
      </c>
      <c r="N695" s="13"/>
      <c r="O695" s="13">
        <v>370</v>
      </c>
      <c r="P695" s="3">
        <f t="shared" si="63"/>
        <v>370</v>
      </c>
      <c r="Q695" s="3">
        <f t="shared" si="64"/>
        <v>0</v>
      </c>
      <c r="R695" s="3">
        <f t="shared" si="60"/>
        <v>97788.609999999986</v>
      </c>
      <c r="S695" s="24" t="s">
        <v>1334</v>
      </c>
      <c r="T695" s="24" t="s">
        <v>1334</v>
      </c>
      <c r="U695" s="53"/>
      <c r="V695" s="25">
        <f>IFERROR(VLOOKUP(BCP_Soles[[#This Row],[destinatario]],CHOOSE({1,2},Clientes_Proveedores[Razon Social],Clientes_Proveedores[Ruc / Dni]),2,0),"")</f>
        <v>20558226979</v>
      </c>
      <c r="W695" s="25" t="s">
        <v>1345</v>
      </c>
      <c r="X695" s="25" t="s">
        <v>2080</v>
      </c>
      <c r="Y695" s="25"/>
      <c r="Z695" s="75"/>
      <c r="AA695" s="3" t="str">
        <f>IF(BCP_Soles[[#This Row],[fecha]]&gt;0,TEXT(BCP_Soles[[#This Row],[fecha]],"mmmm"),0)</f>
        <v>Febrero</v>
      </c>
    </row>
    <row r="696" spans="1:27" x14ac:dyDescent="0.3">
      <c r="A696" s="2">
        <f>IF(BCP_Soles[[#This Row],[tipo_registro]]="R",COUNTIFS($C$1:$C695,"R")+1,A695)</f>
        <v>507</v>
      </c>
      <c r="B696" s="19" t="str">
        <f t="shared" si="61"/>
        <v>B-BCP - Soles</v>
      </c>
      <c r="C696" s="3" t="s">
        <v>1330</v>
      </c>
      <c r="D696" s="14">
        <v>45716</v>
      </c>
      <c r="E696" s="5" t="s">
        <v>1335</v>
      </c>
      <c r="F696" s="5" t="s">
        <v>1336</v>
      </c>
      <c r="G696" s="6"/>
      <c r="H696" s="6"/>
      <c r="I696" s="6"/>
      <c r="J696" s="6"/>
      <c r="K696" s="7" t="s">
        <v>1337</v>
      </c>
      <c r="L696" s="8"/>
      <c r="M696" s="8" t="str">
        <f t="shared" si="62"/>
        <v>PEN</v>
      </c>
      <c r="N696" s="13"/>
      <c r="O696" s="13">
        <v>5.3</v>
      </c>
      <c r="P696" s="3">
        <f t="shared" si="63"/>
        <v>0</v>
      </c>
      <c r="Q696" s="3">
        <f t="shared" si="64"/>
        <v>5.3</v>
      </c>
      <c r="R696" s="3">
        <f t="shared" si="60"/>
        <v>97783.309999999983</v>
      </c>
      <c r="S696" s="24"/>
      <c r="T696" s="24" t="s">
        <v>1334</v>
      </c>
      <c r="U696" s="53"/>
      <c r="V696" s="25" t="str">
        <f>IFERROR(VLOOKUP(BCP_Soles[[#This Row],[destinatario]],CHOOSE({1,2},Clientes_Proveedores[Razon Social],Clientes_Proveedores[Ruc / Dni]),2,0),"")</f>
        <v/>
      </c>
      <c r="W696" s="25"/>
      <c r="X696" s="25"/>
      <c r="Y696" s="25"/>
      <c r="Z696" s="75"/>
      <c r="AA696" s="3" t="str">
        <f>IF(BCP_Soles[[#This Row],[fecha]]&gt;0,TEXT(BCP_Soles[[#This Row],[fecha]],"mmmm"),0)</f>
        <v>Febrero</v>
      </c>
    </row>
    <row r="697" spans="1:27" ht="24" x14ac:dyDescent="0.3">
      <c r="A697" s="2">
        <f>IF(BCP_Soles[[#This Row],[tipo_registro]]="R",COUNTIFS($C$1:$C696,"R")+1,A696)</f>
        <v>508</v>
      </c>
      <c r="B697" s="19" t="str">
        <f t="shared" si="61"/>
        <v>B-BCP - Soles</v>
      </c>
      <c r="C697" s="3" t="s">
        <v>1330</v>
      </c>
      <c r="D697" s="14">
        <v>45716</v>
      </c>
      <c r="E697" s="5" t="s">
        <v>1335</v>
      </c>
      <c r="F697" s="5" t="s">
        <v>1336</v>
      </c>
      <c r="G697" s="6" t="s">
        <v>1060</v>
      </c>
      <c r="H697" s="6" t="s">
        <v>68</v>
      </c>
      <c r="I697" s="6" t="s">
        <v>2081</v>
      </c>
      <c r="J697" s="6">
        <v>14324556</v>
      </c>
      <c r="K697" s="7" t="s">
        <v>1758</v>
      </c>
      <c r="L697" s="8">
        <v>971767</v>
      </c>
      <c r="M697" s="8" t="str">
        <f t="shared" si="62"/>
        <v>PEN</v>
      </c>
      <c r="N697" s="13"/>
      <c r="O697" s="13">
        <v>5.5</v>
      </c>
      <c r="P697" s="3">
        <f t="shared" si="63"/>
        <v>0</v>
      </c>
      <c r="Q697" s="3">
        <f t="shared" si="64"/>
        <v>5.5</v>
      </c>
      <c r="R697" s="3">
        <f t="shared" si="60"/>
        <v>97777.809999999983</v>
      </c>
      <c r="S697" s="24" t="s">
        <v>1334</v>
      </c>
      <c r="T697" s="24" t="s">
        <v>1334</v>
      </c>
      <c r="U697" s="53"/>
      <c r="V697" s="25">
        <f>IFERROR(VLOOKUP(BCP_Soles[[#This Row],[destinatario]],CHOOSE({1,2},Clientes_Proveedores[Razon Social],Clientes_Proveedores[Ruc / Dni]),2,0),"")</f>
        <v>20100047218</v>
      </c>
      <c r="W697" s="25" t="s">
        <v>1335</v>
      </c>
      <c r="X697" s="25"/>
      <c r="Y697" s="25"/>
      <c r="Z697" s="75"/>
      <c r="AA697" s="3" t="str">
        <f>IF(BCP_Soles[[#This Row],[fecha]]&gt;0,TEXT(BCP_Soles[[#This Row],[fecha]],"mmmm"),0)</f>
        <v>Febrero</v>
      </c>
    </row>
    <row r="698" spans="1:27" ht="24" x14ac:dyDescent="0.3">
      <c r="A698" s="2">
        <f>IF(BCP_Soles[[#This Row],[tipo_registro]]="R",COUNTIFS($C$1:$C697,"R")+1,A697)</f>
        <v>509</v>
      </c>
      <c r="B698" s="19" t="str">
        <f t="shared" si="61"/>
        <v>B-BCP - Soles</v>
      </c>
      <c r="C698" s="3" t="s">
        <v>1330</v>
      </c>
      <c r="D698" s="14">
        <v>45716</v>
      </c>
      <c r="E698" s="5" t="s">
        <v>1335</v>
      </c>
      <c r="F698" s="5" t="s">
        <v>1336</v>
      </c>
      <c r="G698" s="6" t="s">
        <v>1060</v>
      </c>
      <c r="H698" s="6" t="s">
        <v>68</v>
      </c>
      <c r="I698" s="6" t="s">
        <v>1397</v>
      </c>
      <c r="J698" s="6">
        <v>30022058</v>
      </c>
      <c r="K698" s="7" t="s">
        <v>1400</v>
      </c>
      <c r="L698" s="8">
        <v>886</v>
      </c>
      <c r="M698" s="8" t="str">
        <f t="shared" si="62"/>
        <v>PEN</v>
      </c>
      <c r="N698" s="13"/>
      <c r="O698" s="13">
        <v>10</v>
      </c>
      <c r="P698" s="3">
        <f t="shared" si="63"/>
        <v>0</v>
      </c>
      <c r="Q698" s="3">
        <f t="shared" si="64"/>
        <v>10</v>
      </c>
      <c r="R698" s="3">
        <f t="shared" si="60"/>
        <v>97767.809999999983</v>
      </c>
      <c r="S698" s="24"/>
      <c r="T698" s="24" t="s">
        <v>1334</v>
      </c>
      <c r="U698" s="53"/>
      <c r="V698" s="25">
        <f>IFERROR(VLOOKUP(BCP_Soles[[#This Row],[destinatario]],CHOOSE({1,2},Clientes_Proveedores[Razon Social],Clientes_Proveedores[Ruc / Dni]),2,0),"")</f>
        <v>20100047218</v>
      </c>
      <c r="W698" s="25" t="s">
        <v>1335</v>
      </c>
      <c r="X698" s="25" t="s">
        <v>2082</v>
      </c>
      <c r="Y698" s="25"/>
      <c r="Z698" s="75"/>
      <c r="AA698" s="3" t="str">
        <f>IF(BCP_Soles[[#This Row],[fecha]]&gt;0,TEXT(BCP_Soles[[#This Row],[fecha]],"mmmm"),0)</f>
        <v>Febrero</v>
      </c>
    </row>
    <row r="699" spans="1:27" ht="24" x14ac:dyDescent="0.3">
      <c r="A699" s="2">
        <f>IF(BCP_Soles[[#This Row],[tipo_registro]]="R",COUNTIFS($C$1:$C698,"R")+1,A698)</f>
        <v>510</v>
      </c>
      <c r="B699" s="19" t="str">
        <f t="shared" si="61"/>
        <v>B-BCP - Soles</v>
      </c>
      <c r="C699" s="3" t="s">
        <v>1330</v>
      </c>
      <c r="D699" s="14">
        <v>45716</v>
      </c>
      <c r="E699" s="5" t="s">
        <v>1335</v>
      </c>
      <c r="F699" s="5" t="s">
        <v>1336</v>
      </c>
      <c r="G699" s="6" t="s">
        <v>1060</v>
      </c>
      <c r="H699" s="6" t="s">
        <v>68</v>
      </c>
      <c r="I699" s="6" t="s">
        <v>2081</v>
      </c>
      <c r="J699" s="6">
        <v>14324556</v>
      </c>
      <c r="K699" s="7" t="s">
        <v>1756</v>
      </c>
      <c r="L699" s="8" t="s">
        <v>1757</v>
      </c>
      <c r="M699" s="8" t="str">
        <f t="shared" si="62"/>
        <v>PEN</v>
      </c>
      <c r="N699" s="13"/>
      <c r="O699" s="13">
        <v>35</v>
      </c>
      <c r="P699" s="3">
        <f t="shared" si="63"/>
        <v>0</v>
      </c>
      <c r="Q699" s="3">
        <f t="shared" si="64"/>
        <v>35</v>
      </c>
      <c r="R699" s="3">
        <f t="shared" si="60"/>
        <v>97732.809999999983</v>
      </c>
      <c r="S699" s="24" t="s">
        <v>1334</v>
      </c>
      <c r="T699" s="24" t="s">
        <v>1334</v>
      </c>
      <c r="U699" s="53"/>
      <c r="V699" s="25">
        <f>IFERROR(VLOOKUP(BCP_Soles[[#This Row],[destinatario]],CHOOSE({1,2},Clientes_Proveedores[Razon Social],Clientes_Proveedores[Ruc / Dni]),2,0),"")</f>
        <v>20100047218</v>
      </c>
      <c r="W699" s="25" t="s">
        <v>1335</v>
      </c>
      <c r="X699" s="25"/>
      <c r="Y699" s="25"/>
      <c r="Z699" s="75"/>
      <c r="AA699" s="3" t="str">
        <f>IF(BCP_Soles[[#This Row],[fecha]]&gt;0,TEXT(BCP_Soles[[#This Row],[fecha]],"mmmm"),0)</f>
        <v>Febrero</v>
      </c>
    </row>
    <row r="700" spans="1:27" ht="36" x14ac:dyDescent="0.3">
      <c r="A700" s="2">
        <f>IF(BCP_Soles[[#This Row],[tipo_registro]]="R",COUNTIFS($C$1:$C699,"R")+1,A699)</f>
        <v>511</v>
      </c>
      <c r="B700" s="19" t="str">
        <f t="shared" si="61"/>
        <v>B-BCP - Soles</v>
      </c>
      <c r="C700" s="3" t="s">
        <v>1330</v>
      </c>
      <c r="D700" s="14">
        <v>45716</v>
      </c>
      <c r="E700" s="5" t="s">
        <v>1338</v>
      </c>
      <c r="F700" s="5" t="s">
        <v>1336</v>
      </c>
      <c r="G700" s="6" t="s">
        <v>714</v>
      </c>
      <c r="H700" s="6" t="s">
        <v>68</v>
      </c>
      <c r="I700" s="6" t="s">
        <v>1374</v>
      </c>
      <c r="J700" s="6">
        <v>39630</v>
      </c>
      <c r="K700" s="7" t="s">
        <v>2083</v>
      </c>
      <c r="L700" s="8">
        <v>1338643</v>
      </c>
      <c r="M700" s="8" t="str">
        <f t="shared" si="62"/>
        <v>PEN</v>
      </c>
      <c r="N700" s="13"/>
      <c r="O700" s="13">
        <v>145</v>
      </c>
      <c r="P700" s="3">
        <f t="shared" si="63"/>
        <v>0</v>
      </c>
      <c r="Q700" s="3">
        <f t="shared" si="64"/>
        <v>145</v>
      </c>
      <c r="R700" s="3">
        <f t="shared" si="60"/>
        <v>97587.809999999983</v>
      </c>
      <c r="S700" s="24" t="s">
        <v>1334</v>
      </c>
      <c r="T700" s="24" t="s">
        <v>1334</v>
      </c>
      <c r="U700" s="53"/>
      <c r="V700" s="25">
        <f>IFERROR(VLOOKUP(BCP_Soles[[#This Row],[destinatario]],CHOOSE({1,2},Clientes_Proveedores[Razon Social],Clientes_Proveedores[Ruc / Dni]),2,0),"")</f>
        <v>20514464881</v>
      </c>
      <c r="W700" s="25" t="s">
        <v>714</v>
      </c>
      <c r="X700" s="25" t="s">
        <v>2084</v>
      </c>
      <c r="Y700" s="25"/>
      <c r="Z700" s="75"/>
      <c r="AA700" s="3" t="str">
        <f>IF(BCP_Soles[[#This Row],[fecha]]&gt;0,TEXT(BCP_Soles[[#This Row],[fecha]],"mmmm"),0)</f>
        <v>Febrero</v>
      </c>
    </row>
    <row r="701" spans="1:27" ht="24" x14ac:dyDescent="0.3">
      <c r="A701" s="2">
        <f>IF(BCP_Soles[[#This Row],[tipo_registro]]="R",COUNTIFS($C$1:$C700,"R")+1,A700)</f>
        <v>512</v>
      </c>
      <c r="B701" s="19" t="str">
        <f t="shared" si="61"/>
        <v>B-BCP - Soles</v>
      </c>
      <c r="C701" s="3" t="s">
        <v>1330</v>
      </c>
      <c r="D701" s="14">
        <v>45716</v>
      </c>
      <c r="E701" s="5" t="s">
        <v>1338</v>
      </c>
      <c r="F701" s="5" t="s">
        <v>1336</v>
      </c>
      <c r="G701" s="6" t="s">
        <v>790</v>
      </c>
      <c r="H701" s="6" t="s">
        <v>143</v>
      </c>
      <c r="I701" s="6">
        <v>1</v>
      </c>
      <c r="J701" s="6">
        <v>162025</v>
      </c>
      <c r="K701" s="7" t="s">
        <v>2085</v>
      </c>
      <c r="L701" s="8">
        <v>1340111</v>
      </c>
      <c r="M701" s="8" t="str">
        <f t="shared" si="62"/>
        <v>PEN</v>
      </c>
      <c r="N701" s="13"/>
      <c r="O701" s="13">
        <v>180</v>
      </c>
      <c r="P701" s="3">
        <f t="shared" si="63"/>
        <v>0</v>
      </c>
      <c r="Q701" s="3">
        <f t="shared" si="64"/>
        <v>180</v>
      </c>
      <c r="R701" s="3">
        <f t="shared" si="60"/>
        <v>97407.809999999983</v>
      </c>
      <c r="S701" s="24" t="s">
        <v>1334</v>
      </c>
      <c r="T701" s="24" t="s">
        <v>1334</v>
      </c>
      <c r="U701" s="53"/>
      <c r="V701" s="25">
        <f>IFERROR(VLOOKUP(BCP_Soles[[#This Row],[destinatario]],CHOOSE({1,2},Clientes_Proveedores[Razon Social],Clientes_Proveedores[Ruc / Dni]),2,0),"")</f>
        <v>72169020</v>
      </c>
      <c r="W701" s="25"/>
      <c r="X701" s="25"/>
      <c r="Y701" s="25"/>
      <c r="Z701" s="75"/>
      <c r="AA701" s="3" t="str">
        <f>IF(BCP_Soles[[#This Row],[fecha]]&gt;0,TEXT(BCP_Soles[[#This Row],[fecha]],"mmmm"),0)</f>
        <v>Febrero</v>
      </c>
    </row>
    <row r="702" spans="1:27" ht="48" x14ac:dyDescent="0.3">
      <c r="A702" s="2">
        <f>IF(BCP_Soles[[#This Row],[tipo_registro]]="R",COUNTIFS($C$1:$C701,"R")+1,A701)</f>
        <v>513</v>
      </c>
      <c r="B702" s="19" t="str">
        <f t="shared" si="61"/>
        <v>B-BCP - Soles</v>
      </c>
      <c r="C702" s="3" t="s">
        <v>1330</v>
      </c>
      <c r="D702" s="14">
        <v>45716</v>
      </c>
      <c r="E702" s="5" t="s">
        <v>1421</v>
      </c>
      <c r="F702" s="5" t="s">
        <v>1336</v>
      </c>
      <c r="G702" s="6" t="s">
        <v>715</v>
      </c>
      <c r="H702" s="6" t="s">
        <v>68</v>
      </c>
      <c r="I702" s="6" t="s">
        <v>2086</v>
      </c>
      <c r="J702" s="6">
        <v>68</v>
      </c>
      <c r="K702" s="7" t="s">
        <v>2087</v>
      </c>
      <c r="L702" s="8">
        <v>1365319</v>
      </c>
      <c r="M702" s="8" t="str">
        <f t="shared" si="62"/>
        <v>PEN</v>
      </c>
      <c r="N702" s="13"/>
      <c r="O702" s="13">
        <v>400</v>
      </c>
      <c r="P702" s="3">
        <f t="shared" si="63"/>
        <v>0</v>
      </c>
      <c r="Q702" s="3">
        <f t="shared" si="64"/>
        <v>400</v>
      </c>
      <c r="R702" s="3">
        <f t="shared" si="60"/>
        <v>97007.809999999983</v>
      </c>
      <c r="S702" s="24" t="s">
        <v>1334</v>
      </c>
      <c r="T702" s="24" t="s">
        <v>1334</v>
      </c>
      <c r="U702" s="53"/>
      <c r="V702" s="25">
        <f>IFERROR(VLOOKUP(BCP_Soles[[#This Row],[destinatario]],CHOOSE({1,2},Clientes_Proveedores[Razon Social],Clientes_Proveedores[Ruc / Dni]),2,0),"")</f>
        <v>20555236817</v>
      </c>
      <c r="W702" s="25" t="s">
        <v>2088</v>
      </c>
      <c r="X702" s="25" t="s">
        <v>2089</v>
      </c>
      <c r="Y702" s="25"/>
      <c r="Z702" s="75"/>
      <c r="AA702" s="3" t="str">
        <f>IF(BCP_Soles[[#This Row],[fecha]]&gt;0,TEXT(BCP_Soles[[#This Row],[fecha]],"mmmm"),0)</f>
        <v>Febrero</v>
      </c>
    </row>
    <row r="703" spans="1:27" ht="24" x14ac:dyDescent="0.3">
      <c r="A703" s="2">
        <f>IF(BCP_Soles[[#This Row],[tipo_registro]]="R",COUNTIFS($C$1:$C702,"R")+1,A702)</f>
        <v>514</v>
      </c>
      <c r="B703" s="19" t="str">
        <f t="shared" si="61"/>
        <v>B-BCP - Soles</v>
      </c>
      <c r="C703" s="3" t="s">
        <v>1330</v>
      </c>
      <c r="D703" s="14">
        <v>45716</v>
      </c>
      <c r="E703" s="5" t="s">
        <v>1338</v>
      </c>
      <c r="F703" s="5" t="s">
        <v>1336</v>
      </c>
      <c r="G703" s="6" t="s">
        <v>583</v>
      </c>
      <c r="H703" s="6" t="s">
        <v>68</v>
      </c>
      <c r="I703" s="6" t="s">
        <v>1376</v>
      </c>
      <c r="J703" s="6">
        <v>670</v>
      </c>
      <c r="K703" s="7" t="s">
        <v>2090</v>
      </c>
      <c r="L703" s="8">
        <v>1339618</v>
      </c>
      <c r="M703" s="8" t="str">
        <f t="shared" si="62"/>
        <v>PEN</v>
      </c>
      <c r="N703" s="13"/>
      <c r="O703" s="13">
        <v>645.01</v>
      </c>
      <c r="P703" s="3">
        <f t="shared" si="63"/>
        <v>0</v>
      </c>
      <c r="Q703" s="3">
        <f t="shared" si="64"/>
        <v>645.01</v>
      </c>
      <c r="R703" s="3">
        <f t="shared" si="60"/>
        <v>96362.799999999988</v>
      </c>
      <c r="S703" s="24" t="s">
        <v>1334</v>
      </c>
      <c r="T703" s="24" t="s">
        <v>1334</v>
      </c>
      <c r="U703" s="53"/>
      <c r="V703" s="25">
        <f>IFERROR(VLOOKUP(BCP_Soles[[#This Row],[destinatario]],CHOOSE({1,2},Clientes_Proveedores[Razon Social],Clientes_Proveedores[Ruc / Dni]),2,0),"")</f>
        <v>20609155303</v>
      </c>
      <c r="W703" s="25" t="s">
        <v>1896</v>
      </c>
      <c r="X703" s="25" t="s">
        <v>2091</v>
      </c>
      <c r="Y703" s="25"/>
      <c r="Z703" s="75"/>
      <c r="AA703" s="3" t="str">
        <f>IF(BCP_Soles[[#This Row],[fecha]]&gt;0,TEXT(BCP_Soles[[#This Row],[fecha]],"mmmm"),0)</f>
        <v>Febrero</v>
      </c>
    </row>
    <row r="704" spans="1:27" x14ac:dyDescent="0.3">
      <c r="A704" s="2">
        <f>IF(BCP_Soles[[#This Row],[tipo_registro]]="R",COUNTIFS($C$1:$C703,"R")+1,A703)</f>
        <v>515</v>
      </c>
      <c r="B704" s="19" t="str">
        <f t="shared" si="61"/>
        <v>B-BCP - Soles</v>
      </c>
      <c r="C704" s="3" t="s">
        <v>1330</v>
      </c>
      <c r="D704" s="14">
        <v>45716</v>
      </c>
      <c r="E704" s="5" t="s">
        <v>1338</v>
      </c>
      <c r="F704" s="5" t="s">
        <v>1336</v>
      </c>
      <c r="G704" s="6"/>
      <c r="H704" s="6"/>
      <c r="I704" s="6"/>
      <c r="J704" s="6"/>
      <c r="K704" s="7" t="s">
        <v>2092</v>
      </c>
      <c r="L704" s="8">
        <v>1000937</v>
      </c>
      <c r="M704" s="8" t="str">
        <f t="shared" si="62"/>
        <v>PEN</v>
      </c>
      <c r="N704" s="13"/>
      <c r="O704" s="13">
        <v>866</v>
      </c>
      <c r="P704" s="3">
        <f t="shared" si="63"/>
        <v>0</v>
      </c>
      <c r="Q704" s="3">
        <f t="shared" si="64"/>
        <v>866</v>
      </c>
      <c r="R704" s="3">
        <f t="shared" si="60"/>
        <v>95496.799999999988</v>
      </c>
      <c r="S704" s="24"/>
      <c r="T704" s="24"/>
      <c r="U704" s="53"/>
      <c r="V704" s="25" t="str">
        <f>IFERROR(VLOOKUP(BCP_Soles[[#This Row],[destinatario]],CHOOSE({1,2},Clientes_Proveedores[Razon Social],Clientes_Proveedores[Ruc / Dni]),2,0),"")</f>
        <v/>
      </c>
      <c r="W704" s="25" t="s">
        <v>1389</v>
      </c>
      <c r="X704" s="25"/>
      <c r="Y704" s="25"/>
      <c r="Z704" s="75"/>
      <c r="AA704" s="3" t="str">
        <f>IF(BCP_Soles[[#This Row],[fecha]]&gt;0,TEXT(BCP_Soles[[#This Row],[fecha]],"mmmm"),0)</f>
        <v>Febrero</v>
      </c>
    </row>
    <row r="705" spans="1:27" x14ac:dyDescent="0.3">
      <c r="A705" s="2">
        <f>IF(BCP_Soles[[#This Row],[tipo_registro]]="R",COUNTIFS($C$1:$C704,"R")+1,A704)</f>
        <v>516</v>
      </c>
      <c r="B705" s="19" t="str">
        <f t="shared" si="61"/>
        <v>B-BCP - Soles</v>
      </c>
      <c r="C705" s="3" t="s">
        <v>1330</v>
      </c>
      <c r="D705" s="14">
        <v>45716</v>
      </c>
      <c r="E705" s="5" t="s">
        <v>1338</v>
      </c>
      <c r="F705" s="5" t="s">
        <v>1336</v>
      </c>
      <c r="G705" s="6"/>
      <c r="H705" s="6"/>
      <c r="I705" s="6"/>
      <c r="J705" s="6"/>
      <c r="K705" s="7" t="s">
        <v>2093</v>
      </c>
      <c r="L705" s="8">
        <v>339617</v>
      </c>
      <c r="M705" s="8" t="str">
        <f t="shared" si="62"/>
        <v>PEN</v>
      </c>
      <c r="N705" s="13"/>
      <c r="O705" s="13">
        <v>1008.2</v>
      </c>
      <c r="P705" s="3">
        <f t="shared" si="63"/>
        <v>0</v>
      </c>
      <c r="Q705" s="3">
        <f t="shared" si="64"/>
        <v>1008.2</v>
      </c>
      <c r="R705" s="3">
        <f t="shared" si="60"/>
        <v>94488.599999999991</v>
      </c>
      <c r="S705" s="24"/>
      <c r="T705" s="24"/>
      <c r="U705" s="53"/>
      <c r="V705" s="25" t="str">
        <f>IFERROR(VLOOKUP(BCP_Soles[[#This Row],[destinatario]],CHOOSE({1,2},Clientes_Proveedores[Razon Social],Clientes_Proveedores[Ruc / Dni]),2,0),"")</f>
        <v/>
      </c>
      <c r="W705" s="25" t="s">
        <v>1718</v>
      </c>
      <c r="X705" s="25"/>
      <c r="Y705" s="25"/>
      <c r="Z705" s="75"/>
      <c r="AA705" s="3" t="str">
        <f>IF(BCP_Soles[[#This Row],[fecha]]&gt;0,TEXT(BCP_Soles[[#This Row],[fecha]],"mmmm"),0)</f>
        <v>Febrero</v>
      </c>
    </row>
    <row r="706" spans="1:27" x14ac:dyDescent="0.3">
      <c r="A706" s="2">
        <f>IF(BCP_Soles[[#This Row],[tipo_registro]]="R",COUNTIFS($C$1:$C705,"R")+1,A705)</f>
        <v>517</v>
      </c>
      <c r="B706" s="19" t="str">
        <f t="shared" si="61"/>
        <v>B-BCP - Soles</v>
      </c>
      <c r="C706" s="3" t="s">
        <v>1330</v>
      </c>
      <c r="D706" s="14">
        <v>45716</v>
      </c>
      <c r="E706" s="5" t="s">
        <v>1338</v>
      </c>
      <c r="F706" s="5" t="s">
        <v>1336</v>
      </c>
      <c r="G706" s="6"/>
      <c r="H706" s="6"/>
      <c r="I706" s="6"/>
      <c r="J706" s="6"/>
      <c r="K706" s="7" t="s">
        <v>2094</v>
      </c>
      <c r="L706" s="8">
        <v>336776</v>
      </c>
      <c r="M706" s="8" t="str">
        <f t="shared" si="62"/>
        <v>PEN</v>
      </c>
      <c r="N706" s="13"/>
      <c r="O706" s="13">
        <v>1011.98</v>
      </c>
      <c r="P706" s="3">
        <f t="shared" si="63"/>
        <v>0</v>
      </c>
      <c r="Q706" s="3">
        <f t="shared" si="64"/>
        <v>1011.98</v>
      </c>
      <c r="R706" s="3">
        <f t="shared" si="60"/>
        <v>93476.62</v>
      </c>
      <c r="S706" s="24"/>
      <c r="T706" s="24"/>
      <c r="U706" s="53"/>
      <c r="V706" s="25" t="str">
        <f>IFERROR(VLOOKUP(BCP_Soles[[#This Row],[destinatario]],CHOOSE({1,2},Clientes_Proveedores[Razon Social],Clientes_Proveedores[Ruc / Dni]),2,0),"")</f>
        <v/>
      </c>
      <c r="W706" s="25" t="s">
        <v>1718</v>
      </c>
      <c r="X706" s="25"/>
      <c r="Y706" s="25"/>
      <c r="Z706" s="75"/>
      <c r="AA706" s="3" t="str">
        <f>IF(BCP_Soles[[#This Row],[fecha]]&gt;0,TEXT(BCP_Soles[[#This Row],[fecha]],"mmmm"),0)</f>
        <v>Febrero</v>
      </c>
    </row>
    <row r="707" spans="1:27" ht="36" x14ac:dyDescent="0.3">
      <c r="A707" s="2">
        <f>IF(BCP_Soles[[#This Row],[tipo_registro]]="R",COUNTIFS($C$1:$C706,"R")+1,A706)</f>
        <v>518</v>
      </c>
      <c r="B707" s="19" t="str">
        <f t="shared" si="61"/>
        <v>B-BCP - Soles</v>
      </c>
      <c r="C707" s="3" t="s">
        <v>1330</v>
      </c>
      <c r="D707" s="14">
        <v>45716</v>
      </c>
      <c r="E707" s="5" t="s">
        <v>1338</v>
      </c>
      <c r="F707" s="5" t="s">
        <v>1336</v>
      </c>
      <c r="G707" s="6" t="s">
        <v>495</v>
      </c>
      <c r="H707" s="6" t="s">
        <v>68</v>
      </c>
      <c r="I707" s="6" t="s">
        <v>1376</v>
      </c>
      <c r="J707" s="6">
        <v>3741</v>
      </c>
      <c r="K707" s="7" t="s">
        <v>2095</v>
      </c>
      <c r="L707" s="8">
        <v>1337198</v>
      </c>
      <c r="M707" s="8" t="str">
        <f t="shared" si="62"/>
        <v>PEN</v>
      </c>
      <c r="N707" s="13"/>
      <c r="O707" s="13">
        <v>1152</v>
      </c>
      <c r="P707" s="3">
        <f t="shared" si="63"/>
        <v>0</v>
      </c>
      <c r="Q707" s="3">
        <f t="shared" si="64"/>
        <v>1152</v>
      </c>
      <c r="R707" s="3">
        <f t="shared" si="60"/>
        <v>92324.62</v>
      </c>
      <c r="S707" s="24" t="s">
        <v>1334</v>
      </c>
      <c r="T707" s="24" t="s">
        <v>1334</v>
      </c>
      <c r="U707" s="53"/>
      <c r="V707" s="25">
        <f>IFERROR(VLOOKUP(BCP_Soles[[#This Row],[destinatario]],CHOOSE({1,2},Clientes_Proveedores[Razon Social],Clientes_Proveedores[Ruc / Dni]),2,0),"")</f>
        <v>20602778861</v>
      </c>
      <c r="W707" s="25" t="s">
        <v>495</v>
      </c>
      <c r="X707" s="25" t="s">
        <v>2096</v>
      </c>
      <c r="Y707" s="25"/>
      <c r="Z707" s="75"/>
      <c r="AA707" s="3" t="str">
        <f>IF(BCP_Soles[[#This Row],[fecha]]&gt;0,TEXT(BCP_Soles[[#This Row],[fecha]],"mmmm"),0)</f>
        <v>Febrero</v>
      </c>
    </row>
    <row r="708" spans="1:27" x14ac:dyDescent="0.3">
      <c r="A708" s="2">
        <f>IF(BCP_Soles[[#This Row],[tipo_registro]]="R",COUNTIFS($C$1:$C707,"R")+1,A707)</f>
        <v>519</v>
      </c>
      <c r="B708" s="19" t="str">
        <f t="shared" si="61"/>
        <v>B-BCP - Soles</v>
      </c>
      <c r="C708" s="3" t="s">
        <v>1330</v>
      </c>
      <c r="D708" s="14">
        <v>45716</v>
      </c>
      <c r="E708" s="5" t="s">
        <v>1338</v>
      </c>
      <c r="F708" s="5" t="s">
        <v>1336</v>
      </c>
      <c r="G708" s="6" t="s">
        <v>695</v>
      </c>
      <c r="H708" s="6" t="s">
        <v>68</v>
      </c>
      <c r="I708" s="6" t="s">
        <v>1377</v>
      </c>
      <c r="J708" s="6">
        <v>149176</v>
      </c>
      <c r="K708" s="7" t="s">
        <v>1378</v>
      </c>
      <c r="L708" s="8">
        <v>339619</v>
      </c>
      <c r="M708" s="8" t="str">
        <f t="shared" si="62"/>
        <v>PEN</v>
      </c>
      <c r="N708" s="13"/>
      <c r="O708" s="13">
        <v>1716.42</v>
      </c>
      <c r="P708" s="3">
        <f t="shared" si="63"/>
        <v>0</v>
      </c>
      <c r="Q708" s="3">
        <f t="shared" si="64"/>
        <v>1716.42</v>
      </c>
      <c r="R708" s="3">
        <f t="shared" si="60"/>
        <v>90608.2</v>
      </c>
      <c r="S708" s="24" t="s">
        <v>1334</v>
      </c>
      <c r="T708" s="24" t="s">
        <v>1334</v>
      </c>
      <c r="U708" s="53"/>
      <c r="V708" s="25">
        <f>IFERROR(VLOOKUP(BCP_Soles[[#This Row],[destinatario]],CHOOSE({1,2},Clientes_Proveedores[Razon Social],Clientes_Proveedores[Ruc / Dni]),2,0),"")</f>
        <v>20127765279</v>
      </c>
      <c r="W708" s="25" t="s">
        <v>1379</v>
      </c>
      <c r="X708" s="25" t="s">
        <v>2097</v>
      </c>
      <c r="Y708" s="25"/>
      <c r="Z708" s="75"/>
      <c r="AA708" s="3" t="str">
        <f>IF(BCP_Soles[[#This Row],[fecha]]&gt;0,TEXT(BCP_Soles[[#This Row],[fecha]],"mmmm"),0)</f>
        <v>Febrero</v>
      </c>
    </row>
    <row r="709" spans="1:27" x14ac:dyDescent="0.3">
      <c r="A709" s="2">
        <f>IF(BCP_Soles[[#This Row],[tipo_registro]]="R",COUNTIFS($C$1:$C708,"R")+1,A708)</f>
        <v>520</v>
      </c>
      <c r="B709" s="19" t="str">
        <f t="shared" si="61"/>
        <v>B-BCP - Soles</v>
      </c>
      <c r="C709" s="3" t="s">
        <v>1330</v>
      </c>
      <c r="D709" s="14">
        <v>45716</v>
      </c>
      <c r="E709" s="5" t="s">
        <v>1338</v>
      </c>
      <c r="F709" s="5" t="s">
        <v>1336</v>
      </c>
      <c r="G709" s="6" t="s">
        <v>695</v>
      </c>
      <c r="H709" s="6" t="s">
        <v>68</v>
      </c>
      <c r="I709" s="6" t="s">
        <v>1513</v>
      </c>
      <c r="J709" s="6">
        <v>148068</v>
      </c>
      <c r="K709" s="7" t="s">
        <v>1378</v>
      </c>
      <c r="L709" s="8">
        <v>337679</v>
      </c>
      <c r="M709" s="8" t="str">
        <f t="shared" si="62"/>
        <v>PEN</v>
      </c>
      <c r="N709" s="13"/>
      <c r="O709" s="13">
        <v>3805.2</v>
      </c>
      <c r="P709" s="3">
        <f t="shared" si="63"/>
        <v>0</v>
      </c>
      <c r="Q709" s="3">
        <f t="shared" si="64"/>
        <v>3805.2</v>
      </c>
      <c r="R709" s="3">
        <f t="shared" si="60"/>
        <v>86803</v>
      </c>
      <c r="S709" s="24" t="s">
        <v>1334</v>
      </c>
      <c r="T709" s="24" t="s">
        <v>1334</v>
      </c>
      <c r="U709" s="53"/>
      <c r="V709" s="25">
        <f>IFERROR(VLOOKUP(BCP_Soles[[#This Row],[destinatario]],CHOOSE({1,2},Clientes_Proveedores[Razon Social],Clientes_Proveedores[Ruc / Dni]),2,0),"")</f>
        <v>20127765279</v>
      </c>
      <c r="W709" s="25" t="s">
        <v>1379</v>
      </c>
      <c r="X709" s="25" t="s">
        <v>2098</v>
      </c>
      <c r="Y709" s="25"/>
      <c r="Z709" s="75"/>
      <c r="AA709" s="3" t="str">
        <f>IF(BCP_Soles[[#This Row],[fecha]]&gt;0,TEXT(BCP_Soles[[#This Row],[fecha]],"mmmm"),0)</f>
        <v>Febrero</v>
      </c>
    </row>
    <row r="710" spans="1:27" x14ac:dyDescent="0.3">
      <c r="A710" s="2">
        <f>IF(BCP_Soles[[#This Row],[tipo_registro]]="R",COUNTIFS($C$1:$C709,"R")+1,A709)</f>
        <v>521</v>
      </c>
      <c r="B710" s="19" t="str">
        <f t="shared" si="61"/>
        <v>B-BCP - Soles</v>
      </c>
      <c r="C710" s="3" t="s">
        <v>1330</v>
      </c>
      <c r="D710" s="14">
        <v>45716</v>
      </c>
      <c r="E710" s="5" t="s">
        <v>1989</v>
      </c>
      <c r="F710" s="5" t="s">
        <v>1336</v>
      </c>
      <c r="G710" s="6"/>
      <c r="H710" s="6"/>
      <c r="I710" s="6"/>
      <c r="J710" s="6"/>
      <c r="K710" s="7" t="s">
        <v>2099</v>
      </c>
      <c r="L710" s="8">
        <v>1011321</v>
      </c>
      <c r="M710" s="8" t="str">
        <f t="shared" si="62"/>
        <v>PEN</v>
      </c>
      <c r="N710" s="13"/>
      <c r="O710" s="13">
        <v>4245</v>
      </c>
      <c r="P710" s="3">
        <f t="shared" si="63"/>
        <v>0</v>
      </c>
      <c r="Q710" s="3">
        <f t="shared" si="64"/>
        <v>4245</v>
      </c>
      <c r="R710" s="3">
        <f t="shared" si="60"/>
        <v>82558</v>
      </c>
      <c r="S710" s="24"/>
      <c r="T710" s="24"/>
      <c r="U710" s="53"/>
      <c r="V710" s="25" t="str">
        <f>IFERROR(VLOOKUP(BCP_Soles[[#This Row],[destinatario]],CHOOSE({1,2},Clientes_Proveedores[Razon Social],Clientes_Proveedores[Ruc / Dni]),2,0),"")</f>
        <v/>
      </c>
      <c r="W710" s="25" t="s">
        <v>1389</v>
      </c>
      <c r="X710" s="25"/>
      <c r="Y710" s="25"/>
      <c r="Z710" s="75"/>
      <c r="AA710" s="3" t="str">
        <f>IF(BCP_Soles[[#This Row],[fecha]]&gt;0,TEXT(BCP_Soles[[#This Row],[fecha]],"mmmm"),0)</f>
        <v>Febrero</v>
      </c>
    </row>
    <row r="711" spans="1:27" x14ac:dyDescent="0.3">
      <c r="A711" s="2">
        <f>IF(BCP_Soles[[#This Row],[tipo_registro]]="R",COUNTIFS($C$1:$C710,"R")+1,A710)</f>
        <v>522</v>
      </c>
      <c r="B711" s="19" t="str">
        <f t="shared" si="61"/>
        <v>B-BCP - Soles</v>
      </c>
      <c r="C711" s="3" t="s">
        <v>1330</v>
      </c>
      <c r="D711" s="14">
        <v>45716</v>
      </c>
      <c r="E711" s="5" t="s">
        <v>1338</v>
      </c>
      <c r="F711" s="5" t="s">
        <v>1336</v>
      </c>
      <c r="G711" s="6"/>
      <c r="H711" s="6"/>
      <c r="I711" s="6"/>
      <c r="J711" s="6"/>
      <c r="K711" s="7" t="s">
        <v>2100</v>
      </c>
      <c r="L711" s="8">
        <v>7837407</v>
      </c>
      <c r="M711" s="8" t="str">
        <f t="shared" si="62"/>
        <v>PEN</v>
      </c>
      <c r="N711" s="13"/>
      <c r="O711" s="13">
        <v>71573.25</v>
      </c>
      <c r="P711" s="3">
        <f t="shared" si="63"/>
        <v>0</v>
      </c>
      <c r="Q711" s="3">
        <f t="shared" si="64"/>
        <v>71573.25</v>
      </c>
      <c r="R711" s="3">
        <f t="shared" si="60"/>
        <v>10984.75</v>
      </c>
      <c r="S711" s="24"/>
      <c r="T711" s="24"/>
      <c r="U711" s="53"/>
      <c r="V711" s="25" t="str">
        <f>IFERROR(VLOOKUP(BCP_Soles[[#This Row],[destinatario]],CHOOSE({1,2},Clientes_Proveedores[Razon Social],Clientes_Proveedores[Ruc / Dni]),2,0),"")</f>
        <v/>
      </c>
      <c r="W711" s="25" t="s">
        <v>1373</v>
      </c>
      <c r="X711" s="25"/>
      <c r="Y711" s="25"/>
      <c r="Z711" s="75"/>
      <c r="AA711" s="3" t="str">
        <f>IF(BCP_Soles[[#This Row],[fecha]]&gt;0,TEXT(BCP_Soles[[#This Row],[fecha]],"mmmm"),0)</f>
        <v>Febrero</v>
      </c>
    </row>
    <row r="712" spans="1:27" x14ac:dyDescent="0.3">
      <c r="A712" s="2">
        <f>IF(BCP_Soles[[#This Row],[tipo_registro]]="R",COUNTIFS($C$1:$C711,"R")+1,A711)</f>
        <v>523</v>
      </c>
      <c r="B712" s="19" t="str">
        <f t="shared" si="61"/>
        <v>B-BCP - Soles</v>
      </c>
      <c r="C712" s="3" t="s">
        <v>1330</v>
      </c>
      <c r="D712" s="14">
        <v>45717</v>
      </c>
      <c r="E712" s="5" t="s">
        <v>1335</v>
      </c>
      <c r="F712" s="5" t="s">
        <v>1303</v>
      </c>
      <c r="G712" s="6" t="s">
        <v>425</v>
      </c>
      <c r="H712" s="6"/>
      <c r="I712" s="6"/>
      <c r="J712" s="6"/>
      <c r="K712" s="7" t="s">
        <v>2101</v>
      </c>
      <c r="L712" s="8"/>
      <c r="M712" s="8" t="str">
        <f t="shared" si="62"/>
        <v>PEN</v>
      </c>
      <c r="N712" s="13"/>
      <c r="O712" s="13">
        <v>0.05</v>
      </c>
      <c r="P712" s="3">
        <f t="shared" si="63"/>
        <v>0.05</v>
      </c>
      <c r="Q712" s="3">
        <f t="shared" si="64"/>
        <v>0</v>
      </c>
      <c r="R712" s="3">
        <f t="shared" si="60"/>
        <v>10984.8</v>
      </c>
      <c r="S712" s="24"/>
      <c r="T712" s="24" t="s">
        <v>1334</v>
      </c>
      <c r="U712" s="53"/>
      <c r="V712" s="25">
        <f>IFERROR(VLOOKUP(BCP_Soles[[#This Row],[destinatario]],CHOOSE({1,2},Clientes_Proveedores[Razon Social],Clientes_Proveedores[Ruc / Dni]),2,0),"")</f>
        <v>20558226979</v>
      </c>
      <c r="W712" s="25" t="s">
        <v>1345</v>
      </c>
      <c r="X712" s="25"/>
      <c r="Y712" s="25"/>
      <c r="Z712" s="75"/>
      <c r="AA712" s="3" t="str">
        <f>IF(BCP_Soles[[#This Row],[fecha]]&gt;0,TEXT(BCP_Soles[[#This Row],[fecha]],"mmmm"),0)</f>
        <v>Marzo</v>
      </c>
    </row>
    <row r="713" spans="1:27" ht="36" x14ac:dyDescent="0.3">
      <c r="A713" s="2">
        <f>IF(BCP_Soles[[#This Row],[tipo_registro]]="R",COUNTIFS($C$1:$C712,"R")+1,A712)</f>
        <v>524</v>
      </c>
      <c r="B713" s="19" t="str">
        <f t="shared" si="61"/>
        <v>B-BCP - Soles</v>
      </c>
      <c r="C713" s="3" t="s">
        <v>1330</v>
      </c>
      <c r="D713" s="14">
        <v>45719</v>
      </c>
      <c r="E713" s="5" t="s">
        <v>237</v>
      </c>
      <c r="F713" s="5" t="s">
        <v>1303</v>
      </c>
      <c r="G713" s="6" t="s">
        <v>425</v>
      </c>
      <c r="H713" s="6"/>
      <c r="I713" s="6"/>
      <c r="J713" s="6"/>
      <c r="K713" s="7" t="s">
        <v>1382</v>
      </c>
      <c r="L713" s="8">
        <v>26694</v>
      </c>
      <c r="M713" s="8" t="str">
        <f t="shared" si="62"/>
        <v>PEN</v>
      </c>
      <c r="N713" s="13"/>
      <c r="O713" s="13">
        <v>5673.52</v>
      </c>
      <c r="P713" s="3">
        <f t="shared" si="63"/>
        <v>5673.52</v>
      </c>
      <c r="Q713" s="3">
        <f t="shared" si="64"/>
        <v>0</v>
      </c>
      <c r="R713" s="3">
        <f t="shared" ref="R713:R776" si="65">IFERROR(IF(F713="SALDO",P713,R712+P713-Q713),0)</f>
        <v>16658.32</v>
      </c>
      <c r="S713" s="24" t="s">
        <v>1334</v>
      </c>
      <c r="T713" s="24" t="s">
        <v>1334</v>
      </c>
      <c r="U713" s="53"/>
      <c r="V713" s="25">
        <f>IFERROR(VLOOKUP(BCP_Soles[[#This Row],[destinatario]],CHOOSE({1,2},Clientes_Proveedores[Razon Social],Clientes_Proveedores[Ruc / Dni]),2,0),"")</f>
        <v>20558226979</v>
      </c>
      <c r="W713" s="25" t="s">
        <v>1345</v>
      </c>
      <c r="X713" s="25" t="s">
        <v>2102</v>
      </c>
      <c r="Y713" s="25"/>
      <c r="Z713" s="75"/>
      <c r="AA713" s="3" t="str">
        <f>IF(BCP_Soles[[#This Row],[fecha]]&gt;0,TEXT(BCP_Soles[[#This Row],[fecha]],"mmmm"),0)</f>
        <v>Marzo</v>
      </c>
    </row>
    <row r="714" spans="1:27" ht="24" x14ac:dyDescent="0.3">
      <c r="A714" s="2">
        <f>IF(BCP_Soles[[#This Row],[tipo_registro]]="R",COUNTIFS($C$1:$C713,"R")+1,A713)</f>
        <v>525</v>
      </c>
      <c r="B714" s="19" t="str">
        <f t="shared" si="61"/>
        <v>B-BCP - Soles</v>
      </c>
      <c r="C714" s="3" t="s">
        <v>1330</v>
      </c>
      <c r="D714" s="14">
        <v>45719</v>
      </c>
      <c r="E714" s="5" t="s">
        <v>2103</v>
      </c>
      <c r="F714" s="5" t="s">
        <v>1303</v>
      </c>
      <c r="G714" s="6" t="s">
        <v>425</v>
      </c>
      <c r="H714" s="6" t="s">
        <v>119</v>
      </c>
      <c r="I714" s="6">
        <v>1</v>
      </c>
      <c r="J714" s="6">
        <v>4208</v>
      </c>
      <c r="K714" s="7" t="s">
        <v>2003</v>
      </c>
      <c r="L714" s="8">
        <v>2112655</v>
      </c>
      <c r="M714" s="8" t="str">
        <f t="shared" si="62"/>
        <v>PEN</v>
      </c>
      <c r="N714" s="13"/>
      <c r="O714" s="13">
        <v>7590</v>
      </c>
      <c r="P714" s="3">
        <f t="shared" si="63"/>
        <v>7590</v>
      </c>
      <c r="Q714" s="3">
        <f t="shared" si="64"/>
        <v>0</v>
      </c>
      <c r="R714" s="3">
        <f t="shared" si="65"/>
        <v>24248.32</v>
      </c>
      <c r="S714" s="24" t="s">
        <v>1334</v>
      </c>
      <c r="T714" s="24" t="s">
        <v>1334</v>
      </c>
      <c r="U714" s="53"/>
      <c r="V714" s="25">
        <f>IFERROR(VLOOKUP(BCP_Soles[[#This Row],[destinatario]],CHOOSE({1,2},Clientes_Proveedores[Razon Social],Clientes_Proveedores[Ruc / Dni]),2,0),"")</f>
        <v>20558226979</v>
      </c>
      <c r="W714" s="25" t="s">
        <v>1345</v>
      </c>
      <c r="X714" s="25" t="s">
        <v>2104</v>
      </c>
      <c r="Y714" s="25"/>
      <c r="Z714" s="75"/>
      <c r="AA714" s="3" t="str">
        <f>IF(BCP_Soles[[#This Row],[fecha]]&gt;0,TEXT(BCP_Soles[[#This Row],[fecha]],"mmmm"),0)</f>
        <v>Marzo</v>
      </c>
    </row>
    <row r="715" spans="1:27" ht="24" x14ac:dyDescent="0.3">
      <c r="A715" s="2">
        <f>IF(BCP_Soles[[#This Row],[tipo_registro]]="R",COUNTIFS($C$1:$C714,"R")+1,A714)</f>
        <v>526</v>
      </c>
      <c r="B715" s="19" t="str">
        <f t="shared" si="61"/>
        <v>B-BCP - Soles</v>
      </c>
      <c r="C715" s="3" t="s">
        <v>1330</v>
      </c>
      <c r="D715" s="14">
        <v>45719</v>
      </c>
      <c r="E715" s="5" t="s">
        <v>645</v>
      </c>
      <c r="F715" s="5" t="s">
        <v>1303</v>
      </c>
      <c r="G715" s="6" t="s">
        <v>425</v>
      </c>
      <c r="H715" s="6"/>
      <c r="I715" s="6"/>
      <c r="J715" s="6"/>
      <c r="K715" s="7" t="s">
        <v>2003</v>
      </c>
      <c r="L715" s="8">
        <v>2112023</v>
      </c>
      <c r="M715" s="8" t="str">
        <f t="shared" si="62"/>
        <v>PEN</v>
      </c>
      <c r="N715" s="13"/>
      <c r="O715" s="13">
        <v>5060</v>
      </c>
      <c r="P715" s="3">
        <f t="shared" si="63"/>
        <v>5060</v>
      </c>
      <c r="Q715" s="3">
        <f t="shared" si="64"/>
        <v>0</v>
      </c>
      <c r="R715" s="3">
        <f t="shared" si="65"/>
        <v>29308.32</v>
      </c>
      <c r="S715" s="24" t="s">
        <v>1334</v>
      </c>
      <c r="T715" s="24" t="s">
        <v>1334</v>
      </c>
      <c r="U715" s="53"/>
      <c r="V715" s="25">
        <f>IFERROR(VLOOKUP(BCP_Soles[[#This Row],[destinatario]],CHOOSE({1,2},Clientes_Proveedores[Razon Social],Clientes_Proveedores[Ruc / Dni]),2,0),"")</f>
        <v>20558226979</v>
      </c>
      <c r="W715" s="25" t="s">
        <v>1345</v>
      </c>
      <c r="X715" s="25" t="s">
        <v>2105</v>
      </c>
      <c r="Y715" s="25"/>
      <c r="Z715" s="75"/>
      <c r="AA715" s="3" t="str">
        <f>IF(BCP_Soles[[#This Row],[fecha]]&gt;0,TEXT(BCP_Soles[[#This Row],[fecha]],"mmmm"),0)</f>
        <v>Marzo</v>
      </c>
    </row>
    <row r="716" spans="1:27" ht="24" x14ac:dyDescent="0.3">
      <c r="A716" s="2">
        <f>IF(BCP_Soles[[#This Row],[tipo_registro]]="R",COUNTIFS($C$1:$C715,"R")+1,A715)</f>
        <v>527</v>
      </c>
      <c r="B716" s="19" t="str">
        <f t="shared" si="61"/>
        <v>B-BCP - Soles</v>
      </c>
      <c r="C716" s="3" t="s">
        <v>1330</v>
      </c>
      <c r="D716" s="14">
        <v>45719</v>
      </c>
      <c r="E716" s="5" t="s">
        <v>1335</v>
      </c>
      <c r="F716" s="5" t="s">
        <v>1336</v>
      </c>
      <c r="G716" s="6" t="s">
        <v>1060</v>
      </c>
      <c r="H716" s="6" t="s">
        <v>68</v>
      </c>
      <c r="I716" s="6" t="s">
        <v>1397</v>
      </c>
      <c r="J716" s="6">
        <v>30120949</v>
      </c>
      <c r="K716" s="7" t="s">
        <v>2106</v>
      </c>
      <c r="L716" s="8">
        <v>8637699</v>
      </c>
      <c r="M716" s="8" t="str">
        <f t="shared" si="62"/>
        <v>PEN</v>
      </c>
      <c r="N716" s="13"/>
      <c r="O716" s="13">
        <v>7.5</v>
      </c>
      <c r="P716" s="3">
        <f t="shared" si="63"/>
        <v>0</v>
      </c>
      <c r="Q716" s="3">
        <f t="shared" si="64"/>
        <v>7.5</v>
      </c>
      <c r="R716" s="3">
        <f t="shared" si="65"/>
        <v>29300.82</v>
      </c>
      <c r="S716" s="24"/>
      <c r="T716" s="24" t="s">
        <v>1334</v>
      </c>
      <c r="U716" s="53"/>
      <c r="V716" s="25">
        <f>IFERROR(VLOOKUP(BCP_Soles[[#This Row],[destinatario]],CHOOSE({1,2},Clientes_Proveedores[Razon Social],Clientes_Proveedores[Ruc / Dni]),2,0),"")</f>
        <v>20100047218</v>
      </c>
      <c r="W716" s="25" t="s">
        <v>1335</v>
      </c>
      <c r="X716" s="25" t="s">
        <v>2107</v>
      </c>
      <c r="Y716" s="25"/>
      <c r="Z716" s="75"/>
      <c r="AA716" s="3" t="str">
        <f>IF(BCP_Soles[[#This Row],[fecha]]&gt;0,TEXT(BCP_Soles[[#This Row],[fecha]],"mmmm"),0)</f>
        <v>Marzo</v>
      </c>
    </row>
    <row r="717" spans="1:27" x14ac:dyDescent="0.3">
      <c r="A717" s="2">
        <f>IF(BCP_Soles[[#This Row],[tipo_registro]]="R",COUNTIFS($C$1:$C716,"R")+1,A716)</f>
        <v>528</v>
      </c>
      <c r="B717" s="19" t="str">
        <f t="shared" si="61"/>
        <v>B-BCP - Soles</v>
      </c>
      <c r="C717" s="3" t="s">
        <v>1330</v>
      </c>
      <c r="D717" s="14">
        <v>45719</v>
      </c>
      <c r="E717" s="5" t="s">
        <v>1338</v>
      </c>
      <c r="F717" s="5" t="s">
        <v>1336</v>
      </c>
      <c r="G717" s="6" t="s">
        <v>696</v>
      </c>
      <c r="H717" s="6"/>
      <c r="I717" s="6"/>
      <c r="J717" s="6"/>
      <c r="K717" s="7" t="s">
        <v>2108</v>
      </c>
      <c r="L717" s="8">
        <v>8637682</v>
      </c>
      <c r="M717" s="8" t="str">
        <f t="shared" si="62"/>
        <v>PEN</v>
      </c>
      <c r="N717" s="13"/>
      <c r="O717" s="13">
        <v>5724.36</v>
      </c>
      <c r="P717" s="3">
        <f t="shared" si="63"/>
        <v>0</v>
      </c>
      <c r="Q717" s="3">
        <f t="shared" si="64"/>
        <v>5724.36</v>
      </c>
      <c r="R717" s="3">
        <f t="shared" si="65"/>
        <v>23576.46</v>
      </c>
      <c r="S717" s="24" t="s">
        <v>1334</v>
      </c>
      <c r="T717" s="24" t="s">
        <v>1334</v>
      </c>
      <c r="U717" s="53"/>
      <c r="V717" s="25">
        <f>IFERROR(VLOOKUP(BCP_Soles[[#This Row],[destinatario]],CHOOSE({1,2},Clientes_Proveedores[Razon Social],Clientes_Proveedores[Ruc / Dni]),2,0),"")</f>
        <v>0</v>
      </c>
      <c r="W717" s="25" t="s">
        <v>1373</v>
      </c>
      <c r="X717" s="25"/>
      <c r="Y717" s="25"/>
      <c r="Z717" s="75"/>
      <c r="AA717" s="3" t="str">
        <f>IF(BCP_Soles[[#This Row],[fecha]]&gt;0,TEXT(BCP_Soles[[#This Row],[fecha]],"mmmm"),0)</f>
        <v>Marzo</v>
      </c>
    </row>
    <row r="718" spans="1:27" x14ac:dyDescent="0.3">
      <c r="A718" s="2">
        <f>IF(BCP_Soles[[#This Row],[tipo_registro]]="R",COUNTIFS($C$1:$C717,"R")+1,A717)</f>
        <v>528</v>
      </c>
      <c r="B718" s="19" t="str">
        <f t="shared" si="61"/>
        <v>B-BCP - Soles</v>
      </c>
      <c r="C718" s="3" t="s">
        <v>1352</v>
      </c>
      <c r="D718" s="14">
        <v>45719</v>
      </c>
      <c r="E718" s="5" t="s">
        <v>1338</v>
      </c>
      <c r="F718" s="5"/>
      <c r="G718" s="6" t="s">
        <v>302</v>
      </c>
      <c r="H718" s="6" t="s">
        <v>68</v>
      </c>
      <c r="I718" s="6" t="s">
        <v>1374</v>
      </c>
      <c r="J718" s="6">
        <v>18675</v>
      </c>
      <c r="K718" s="7" t="s">
        <v>2108</v>
      </c>
      <c r="L718" s="8">
        <v>8637682</v>
      </c>
      <c r="M718" s="8" t="str">
        <f t="shared" si="62"/>
        <v>PEN</v>
      </c>
      <c r="N718" s="13">
        <v>761.81</v>
      </c>
      <c r="O718" s="13"/>
      <c r="P718" s="3">
        <f t="shared" si="63"/>
        <v>0</v>
      </c>
      <c r="Q718" s="3">
        <f t="shared" si="64"/>
        <v>0</v>
      </c>
      <c r="R718" s="3">
        <f t="shared" si="65"/>
        <v>23576.46</v>
      </c>
      <c r="S718" s="24"/>
      <c r="T718" s="24" t="s">
        <v>1334</v>
      </c>
      <c r="U718" s="53"/>
      <c r="V718" s="25">
        <f>IFERROR(VLOOKUP(BCP_Soles[[#This Row],[destinatario]],CHOOSE({1,2},Clientes_Proveedores[Razon Social],Clientes_Proveedores[Ruc / Dni]),2,0),"")</f>
        <v>20455731926</v>
      </c>
      <c r="W718" s="25"/>
      <c r="X718" s="25"/>
      <c r="Y718" s="25"/>
      <c r="Z718" s="75"/>
      <c r="AA718" s="3" t="str">
        <f>IF(BCP_Soles[[#This Row],[fecha]]&gt;0,TEXT(BCP_Soles[[#This Row],[fecha]],"mmmm"),0)</f>
        <v>Marzo</v>
      </c>
    </row>
    <row r="719" spans="1:27" x14ac:dyDescent="0.3">
      <c r="A719" s="2">
        <f>IF(BCP_Soles[[#This Row],[tipo_registro]]="R",COUNTIFS($C$1:$C718,"R")+1,A718)</f>
        <v>528</v>
      </c>
      <c r="B719" s="19" t="str">
        <f t="shared" ref="B719:B782" si="66">"B-BCP - Soles"</f>
        <v>B-BCP - Soles</v>
      </c>
      <c r="C719" s="3" t="s">
        <v>1352</v>
      </c>
      <c r="D719" s="14">
        <v>45719</v>
      </c>
      <c r="E719" s="5" t="s">
        <v>1338</v>
      </c>
      <c r="F719" s="5"/>
      <c r="G719" s="6" t="s">
        <v>493</v>
      </c>
      <c r="H719" s="6" t="s">
        <v>68</v>
      </c>
      <c r="I719" s="6" t="s">
        <v>1841</v>
      </c>
      <c r="J719" s="6">
        <v>74</v>
      </c>
      <c r="K719" s="7" t="s">
        <v>2108</v>
      </c>
      <c r="L719" s="8">
        <v>8637682</v>
      </c>
      <c r="M719" s="8" t="str">
        <f t="shared" ref="M719:M782" si="67">"PEN"</f>
        <v>PEN</v>
      </c>
      <c r="N719" s="13">
        <v>558.75</v>
      </c>
      <c r="O719" s="13"/>
      <c r="P719" s="3">
        <f t="shared" ref="P719:P782" si="68">+IF(OR($F719="SALDO",$F719="INGRESO"),$O719,0)</f>
        <v>0</v>
      </c>
      <c r="Q719" s="3">
        <f t="shared" ref="Q719:Q782" si="69">+IF($F719="EGRESO",$O719,0)</f>
        <v>0</v>
      </c>
      <c r="R719" s="3">
        <f t="shared" si="65"/>
        <v>23576.46</v>
      </c>
      <c r="S719" s="24"/>
      <c r="T719" s="24" t="s">
        <v>1334</v>
      </c>
      <c r="U719" s="53"/>
      <c r="V719" s="25">
        <f>IFERROR(VLOOKUP(BCP_Soles[[#This Row],[destinatario]],CHOOSE({1,2},Clientes_Proveedores[Razon Social],Clientes_Proveedores[Ruc / Dni]),2,0),"")</f>
        <v>20602751326</v>
      </c>
      <c r="W719" s="25"/>
      <c r="X719" s="25"/>
      <c r="Y719" s="25"/>
      <c r="Z719" s="75"/>
      <c r="AA719" s="3" t="str">
        <f>IF(BCP_Soles[[#This Row],[fecha]]&gt;0,TEXT(BCP_Soles[[#This Row],[fecha]],"mmmm"),0)</f>
        <v>Marzo</v>
      </c>
    </row>
    <row r="720" spans="1:27" ht="24" x14ac:dyDescent="0.3">
      <c r="A720" s="2">
        <f>IF(BCP_Soles[[#This Row],[tipo_registro]]="R",COUNTIFS($C$1:$C719,"R")+1,A719)</f>
        <v>528</v>
      </c>
      <c r="B720" s="19" t="str">
        <f t="shared" si="66"/>
        <v>B-BCP - Soles</v>
      </c>
      <c r="C720" s="3" t="s">
        <v>1352</v>
      </c>
      <c r="D720" s="14">
        <v>45719</v>
      </c>
      <c r="E720" s="5" t="s">
        <v>1338</v>
      </c>
      <c r="F720" s="5"/>
      <c r="G720" s="6" t="s">
        <v>594</v>
      </c>
      <c r="H720" s="6" t="s">
        <v>68</v>
      </c>
      <c r="I720" s="6" t="s">
        <v>1376</v>
      </c>
      <c r="J720" s="6">
        <v>1966</v>
      </c>
      <c r="K720" s="7" t="s">
        <v>2108</v>
      </c>
      <c r="L720" s="8">
        <v>8637682</v>
      </c>
      <c r="M720" s="8" t="str">
        <f t="shared" si="67"/>
        <v>PEN</v>
      </c>
      <c r="N720" s="13">
        <v>283.2</v>
      </c>
      <c r="O720" s="13"/>
      <c r="P720" s="3">
        <f t="shared" si="68"/>
        <v>0</v>
      </c>
      <c r="Q720" s="3">
        <f t="shared" si="69"/>
        <v>0</v>
      </c>
      <c r="R720" s="3">
        <f t="shared" si="65"/>
        <v>23576.46</v>
      </c>
      <c r="S720" s="24"/>
      <c r="T720" s="24" t="s">
        <v>1334</v>
      </c>
      <c r="U720" s="53"/>
      <c r="V720" s="25">
        <f>IFERROR(VLOOKUP(BCP_Soles[[#This Row],[destinatario]],CHOOSE({1,2},Clientes_Proveedores[Razon Social],Clientes_Proveedores[Ruc / Dni]),2,0),"")</f>
        <v>20609764261</v>
      </c>
      <c r="W720" s="25"/>
      <c r="X720" s="25"/>
      <c r="Y720" s="25"/>
      <c r="Z720" s="75"/>
      <c r="AA720" s="3" t="str">
        <f>IF(BCP_Soles[[#This Row],[fecha]]&gt;0,TEXT(BCP_Soles[[#This Row],[fecha]],"mmmm"),0)</f>
        <v>Marzo</v>
      </c>
    </row>
    <row r="721" spans="1:27" ht="24" x14ac:dyDescent="0.3">
      <c r="A721" s="2">
        <f>IF(BCP_Soles[[#This Row],[tipo_registro]]="R",COUNTIFS($C$1:$C720,"R")+1,A720)</f>
        <v>528</v>
      </c>
      <c r="B721" s="19" t="str">
        <f t="shared" si="66"/>
        <v>B-BCP - Soles</v>
      </c>
      <c r="C721" s="3" t="s">
        <v>1352</v>
      </c>
      <c r="D721" s="14">
        <v>45719</v>
      </c>
      <c r="E721" s="5" t="s">
        <v>1338</v>
      </c>
      <c r="F721" s="5"/>
      <c r="G721" s="6" t="s">
        <v>594</v>
      </c>
      <c r="H721" s="6" t="s">
        <v>68</v>
      </c>
      <c r="I721" s="6" t="s">
        <v>1376</v>
      </c>
      <c r="J721" s="6">
        <v>1967</v>
      </c>
      <c r="K721" s="7" t="s">
        <v>2108</v>
      </c>
      <c r="L721" s="8">
        <v>8637682</v>
      </c>
      <c r="M721" s="8" t="str">
        <f t="shared" si="67"/>
        <v>PEN</v>
      </c>
      <c r="N721" s="13">
        <v>118</v>
      </c>
      <c r="O721" s="13"/>
      <c r="P721" s="3">
        <f t="shared" si="68"/>
        <v>0</v>
      </c>
      <c r="Q721" s="3">
        <f t="shared" si="69"/>
        <v>0</v>
      </c>
      <c r="R721" s="3">
        <f t="shared" si="65"/>
        <v>23576.46</v>
      </c>
      <c r="S721" s="24"/>
      <c r="T721" s="24" t="s">
        <v>1334</v>
      </c>
      <c r="U721" s="53"/>
      <c r="V721" s="25">
        <f>IFERROR(VLOOKUP(BCP_Soles[[#This Row],[destinatario]],CHOOSE({1,2},Clientes_Proveedores[Razon Social],Clientes_Proveedores[Ruc / Dni]),2,0),"")</f>
        <v>20609764261</v>
      </c>
      <c r="W721" s="25"/>
      <c r="X721" s="25"/>
      <c r="Y721" s="25"/>
      <c r="Z721" s="75"/>
      <c r="AA721" s="3" t="str">
        <f>IF(BCP_Soles[[#This Row],[fecha]]&gt;0,TEXT(BCP_Soles[[#This Row],[fecha]],"mmmm"),0)</f>
        <v>Marzo</v>
      </c>
    </row>
    <row r="722" spans="1:27" ht="24" x14ac:dyDescent="0.3">
      <c r="A722" s="2">
        <f>IF(BCP_Soles[[#This Row],[tipo_registro]]="R",COUNTIFS($C$1:$C721,"R")+1,A721)</f>
        <v>528</v>
      </c>
      <c r="B722" s="19" t="str">
        <f t="shared" si="66"/>
        <v>B-BCP - Soles</v>
      </c>
      <c r="C722" s="3" t="s">
        <v>1352</v>
      </c>
      <c r="D722" s="14">
        <v>45719</v>
      </c>
      <c r="E722" s="5" t="s">
        <v>1338</v>
      </c>
      <c r="F722" s="5"/>
      <c r="G722" s="6" t="s">
        <v>187</v>
      </c>
      <c r="H722" s="6" t="s">
        <v>68</v>
      </c>
      <c r="I722" s="6" t="s">
        <v>1376</v>
      </c>
      <c r="J722" s="6">
        <v>259</v>
      </c>
      <c r="K722" s="7" t="s">
        <v>2108</v>
      </c>
      <c r="L722" s="8">
        <v>8637682</v>
      </c>
      <c r="M722" s="8" t="str">
        <f t="shared" si="67"/>
        <v>PEN</v>
      </c>
      <c r="N722" s="13">
        <v>70</v>
      </c>
      <c r="O722" s="13"/>
      <c r="P722" s="3">
        <f t="shared" si="68"/>
        <v>0</v>
      </c>
      <c r="Q722" s="3">
        <f t="shared" si="69"/>
        <v>0</v>
      </c>
      <c r="R722" s="3">
        <f t="shared" si="65"/>
        <v>23576.46</v>
      </c>
      <c r="S722" s="24"/>
      <c r="T722" s="24" t="s">
        <v>1334</v>
      </c>
      <c r="U722" s="53"/>
      <c r="V722" s="25">
        <f>IFERROR(VLOOKUP(BCP_Soles[[#This Row],[destinatario]],CHOOSE({1,2},Clientes_Proveedores[Razon Social],Clientes_Proveedores[Ruc / Dni]),2,0),"")</f>
        <v>10706063426</v>
      </c>
      <c r="W722" s="25"/>
      <c r="X722" s="25"/>
      <c r="Y722" s="25"/>
      <c r="Z722" s="75"/>
      <c r="AA722" s="3" t="str">
        <f>IF(BCP_Soles[[#This Row],[fecha]]&gt;0,TEXT(BCP_Soles[[#This Row],[fecha]],"mmmm"),0)</f>
        <v>Marzo</v>
      </c>
    </row>
    <row r="723" spans="1:27" ht="24" x14ac:dyDescent="0.3">
      <c r="A723" s="2">
        <f>IF(BCP_Soles[[#This Row],[tipo_registro]]="R",COUNTIFS($C$1:$C722,"R")+1,A722)</f>
        <v>528</v>
      </c>
      <c r="B723" s="19" t="str">
        <f t="shared" si="66"/>
        <v>B-BCP - Soles</v>
      </c>
      <c r="C723" s="3" t="s">
        <v>1352</v>
      </c>
      <c r="D723" s="14">
        <v>45719</v>
      </c>
      <c r="E723" s="5" t="s">
        <v>1338</v>
      </c>
      <c r="F723" s="5"/>
      <c r="G723" s="6" t="s">
        <v>166</v>
      </c>
      <c r="H723" s="6" t="s">
        <v>68</v>
      </c>
      <c r="I723" s="6" t="s">
        <v>1376</v>
      </c>
      <c r="J723" s="6">
        <v>4475</v>
      </c>
      <c r="K723" s="7" t="s">
        <v>2108</v>
      </c>
      <c r="L723" s="8">
        <v>8637682</v>
      </c>
      <c r="M723" s="8" t="str">
        <f t="shared" si="67"/>
        <v>PEN</v>
      </c>
      <c r="N723" s="13">
        <v>59</v>
      </c>
      <c r="O723" s="13"/>
      <c r="P723" s="3">
        <f t="shared" si="68"/>
        <v>0</v>
      </c>
      <c r="Q723" s="3">
        <f t="shared" si="69"/>
        <v>0</v>
      </c>
      <c r="R723" s="3">
        <f t="shared" si="65"/>
        <v>23576.46</v>
      </c>
      <c r="S723" s="24"/>
      <c r="T723" s="24" t="s">
        <v>1334</v>
      </c>
      <c r="U723" s="53"/>
      <c r="V723" s="25">
        <f>IFERROR(VLOOKUP(BCP_Soles[[#This Row],[destinatario]],CHOOSE({1,2},Clientes_Proveedores[Razon Social],Clientes_Proveedores[Ruc / Dni]),2,0),"")</f>
        <v>10425371652</v>
      </c>
      <c r="W723" s="25"/>
      <c r="X723" s="25"/>
      <c r="Y723" s="25"/>
      <c r="Z723" s="75"/>
      <c r="AA723" s="3" t="str">
        <f>IF(BCP_Soles[[#This Row],[fecha]]&gt;0,TEXT(BCP_Soles[[#This Row],[fecha]],"mmmm"),0)</f>
        <v>Marzo</v>
      </c>
    </row>
    <row r="724" spans="1:27" ht="24" x14ac:dyDescent="0.3">
      <c r="A724" s="2">
        <f>IF(BCP_Soles[[#This Row],[tipo_registro]]="R",COUNTIFS($C$1:$C723,"R")+1,A723)</f>
        <v>528</v>
      </c>
      <c r="B724" s="19" t="str">
        <f t="shared" si="66"/>
        <v>B-BCP - Soles</v>
      </c>
      <c r="C724" s="3" t="s">
        <v>1352</v>
      </c>
      <c r="D724" s="14">
        <v>45719</v>
      </c>
      <c r="E724" s="5" t="s">
        <v>1338</v>
      </c>
      <c r="F724" s="5"/>
      <c r="G724" s="6" t="s">
        <v>166</v>
      </c>
      <c r="H724" s="6" t="s">
        <v>68</v>
      </c>
      <c r="I724" s="6" t="s">
        <v>1376</v>
      </c>
      <c r="J724" s="6">
        <v>4470</v>
      </c>
      <c r="K724" s="7" t="s">
        <v>2108</v>
      </c>
      <c r="L724" s="8">
        <v>8637682</v>
      </c>
      <c r="M724" s="8" t="str">
        <f t="shared" si="67"/>
        <v>PEN</v>
      </c>
      <c r="N724" s="13">
        <v>59</v>
      </c>
      <c r="O724" s="13"/>
      <c r="P724" s="3">
        <f t="shared" si="68"/>
        <v>0</v>
      </c>
      <c r="Q724" s="3">
        <f t="shared" si="69"/>
        <v>0</v>
      </c>
      <c r="R724" s="3">
        <f t="shared" si="65"/>
        <v>23576.46</v>
      </c>
      <c r="S724" s="24"/>
      <c r="T724" s="24" t="s">
        <v>1334</v>
      </c>
      <c r="U724" s="53"/>
      <c r="V724" s="25">
        <f>IFERROR(VLOOKUP(BCP_Soles[[#This Row],[destinatario]],CHOOSE({1,2},Clientes_Proveedores[Razon Social],Clientes_Proveedores[Ruc / Dni]),2,0),"")</f>
        <v>10425371652</v>
      </c>
      <c r="W724" s="25"/>
      <c r="X724" s="25"/>
      <c r="Y724" s="25"/>
      <c r="Z724" s="75"/>
      <c r="AA724" s="3" t="str">
        <f>IF(BCP_Soles[[#This Row],[fecha]]&gt;0,TEXT(BCP_Soles[[#This Row],[fecha]],"mmmm"),0)</f>
        <v>Marzo</v>
      </c>
    </row>
    <row r="725" spans="1:27" x14ac:dyDescent="0.3">
      <c r="A725" s="2">
        <f>IF(BCP_Soles[[#This Row],[tipo_registro]]="R",COUNTIFS($C$1:$C724,"R")+1,A724)</f>
        <v>528</v>
      </c>
      <c r="B725" s="19" t="str">
        <f t="shared" si="66"/>
        <v>B-BCP - Soles</v>
      </c>
      <c r="C725" s="3" t="s">
        <v>1352</v>
      </c>
      <c r="D725" s="14">
        <v>45719</v>
      </c>
      <c r="E725" s="5" t="s">
        <v>1338</v>
      </c>
      <c r="F725" s="5"/>
      <c r="G725" s="6" t="s">
        <v>366</v>
      </c>
      <c r="H725" s="6" t="s">
        <v>68</v>
      </c>
      <c r="I725" s="6" t="s">
        <v>1374</v>
      </c>
      <c r="J725" s="6">
        <v>140</v>
      </c>
      <c r="K725" s="7" t="s">
        <v>2108</v>
      </c>
      <c r="L725" s="8">
        <v>8637682</v>
      </c>
      <c r="M725" s="8" t="str">
        <f t="shared" si="67"/>
        <v>PEN</v>
      </c>
      <c r="N725" s="13">
        <v>264.5</v>
      </c>
      <c r="O725" s="13"/>
      <c r="P725" s="3">
        <f t="shared" si="68"/>
        <v>0</v>
      </c>
      <c r="Q725" s="3">
        <f t="shared" si="69"/>
        <v>0</v>
      </c>
      <c r="R725" s="3">
        <f t="shared" si="65"/>
        <v>23576.46</v>
      </c>
      <c r="S725" s="24"/>
      <c r="T725" s="24" t="s">
        <v>1334</v>
      </c>
      <c r="U725" s="53"/>
      <c r="V725" s="25">
        <f>IFERROR(VLOOKUP(BCP_Soles[[#This Row],[destinatario]],CHOOSE({1,2},Clientes_Proveedores[Razon Social],Clientes_Proveedores[Ruc / Dni]),2,0),"")</f>
        <v>20517355951</v>
      </c>
      <c r="W725" s="25"/>
      <c r="X725" s="25"/>
      <c r="Y725" s="25"/>
      <c r="Z725" s="75"/>
      <c r="AA725" s="3" t="str">
        <f>IF(BCP_Soles[[#This Row],[fecha]]&gt;0,TEXT(BCP_Soles[[#This Row],[fecha]],"mmmm"),0)</f>
        <v>Marzo</v>
      </c>
    </row>
    <row r="726" spans="1:27" ht="36" x14ac:dyDescent="0.3">
      <c r="A726" s="2">
        <f>IF(BCP_Soles[[#This Row],[tipo_registro]]="R",COUNTIFS($C$1:$C725,"R")+1,A725)</f>
        <v>528</v>
      </c>
      <c r="B726" s="19" t="str">
        <f t="shared" si="66"/>
        <v>B-BCP - Soles</v>
      </c>
      <c r="C726" s="3" t="s">
        <v>1352</v>
      </c>
      <c r="D726" s="14">
        <v>45719</v>
      </c>
      <c r="E726" s="5" t="s">
        <v>1338</v>
      </c>
      <c r="F726" s="5"/>
      <c r="G726" s="6" t="s">
        <v>383</v>
      </c>
      <c r="H726" s="6" t="s">
        <v>68</v>
      </c>
      <c r="I726" s="6" t="s">
        <v>1804</v>
      </c>
      <c r="J726" s="6">
        <v>747</v>
      </c>
      <c r="K726" s="7" t="s">
        <v>2108</v>
      </c>
      <c r="L726" s="8">
        <v>8637682</v>
      </c>
      <c r="M726" s="8" t="str">
        <f t="shared" si="67"/>
        <v>PEN</v>
      </c>
      <c r="N726" s="13">
        <v>71</v>
      </c>
      <c r="O726" s="13"/>
      <c r="P726" s="3">
        <f t="shared" si="68"/>
        <v>0</v>
      </c>
      <c r="Q726" s="3">
        <f t="shared" si="69"/>
        <v>0</v>
      </c>
      <c r="R726" s="3">
        <f t="shared" si="65"/>
        <v>23576.46</v>
      </c>
      <c r="S726" s="24"/>
      <c r="T726" s="24" t="s">
        <v>1334</v>
      </c>
      <c r="U726" s="53"/>
      <c r="V726" s="25">
        <f>IFERROR(VLOOKUP(BCP_Soles[[#This Row],[destinatario]],CHOOSE({1,2},Clientes_Proveedores[Razon Social],Clientes_Proveedores[Ruc / Dni]),2,0),"")</f>
        <v>20538593053</v>
      </c>
      <c r="W726" s="25"/>
      <c r="X726" s="25"/>
      <c r="Y726" s="25"/>
      <c r="Z726" s="75"/>
      <c r="AA726" s="3" t="str">
        <f>IF(BCP_Soles[[#This Row],[fecha]]&gt;0,TEXT(BCP_Soles[[#This Row],[fecha]],"mmmm"),0)</f>
        <v>Marzo</v>
      </c>
    </row>
    <row r="727" spans="1:27" x14ac:dyDescent="0.3">
      <c r="A727" s="2">
        <f>IF(BCP_Soles[[#This Row],[tipo_registro]]="R",COUNTIFS($C$1:$C726,"R")+1,A726)</f>
        <v>528</v>
      </c>
      <c r="B727" s="19" t="str">
        <f t="shared" si="66"/>
        <v>B-BCP - Soles</v>
      </c>
      <c r="C727" s="3" t="s">
        <v>1352</v>
      </c>
      <c r="D727" s="14">
        <v>45719</v>
      </c>
      <c r="E727" s="5" t="s">
        <v>1338</v>
      </c>
      <c r="F727" s="5"/>
      <c r="G727" s="6" t="s">
        <v>286</v>
      </c>
      <c r="H727" s="6" t="s">
        <v>68</v>
      </c>
      <c r="I727" s="6" t="s">
        <v>1386</v>
      </c>
      <c r="J727" s="6">
        <v>1682</v>
      </c>
      <c r="K727" s="7" t="s">
        <v>2108</v>
      </c>
      <c r="L727" s="8">
        <v>8637682</v>
      </c>
      <c r="M727" s="8" t="str">
        <f t="shared" si="67"/>
        <v>PEN</v>
      </c>
      <c r="N727" s="13">
        <v>596.1</v>
      </c>
      <c r="O727" s="13"/>
      <c r="P727" s="3">
        <f t="shared" si="68"/>
        <v>0</v>
      </c>
      <c r="Q727" s="3">
        <f t="shared" si="69"/>
        <v>0</v>
      </c>
      <c r="R727" s="3">
        <f t="shared" si="65"/>
        <v>23576.46</v>
      </c>
      <c r="S727" s="24"/>
      <c r="T727" s="24" t="s">
        <v>1334</v>
      </c>
      <c r="U727" s="53"/>
      <c r="V727" s="25">
        <f>IFERROR(VLOOKUP(BCP_Soles[[#This Row],[destinatario]],CHOOSE({1,2},Clientes_Proveedores[Razon Social],Clientes_Proveedores[Ruc / Dni]),2,0),"")</f>
        <v>20454186002</v>
      </c>
      <c r="W727" s="25"/>
      <c r="X727" s="25"/>
      <c r="Y727" s="25"/>
      <c r="Z727" s="75"/>
      <c r="AA727" s="3" t="str">
        <f>IF(BCP_Soles[[#This Row],[fecha]]&gt;0,TEXT(BCP_Soles[[#This Row],[fecha]],"mmmm"),0)</f>
        <v>Marzo</v>
      </c>
    </row>
    <row r="728" spans="1:27" x14ac:dyDescent="0.3">
      <c r="A728" s="2">
        <f>IF(BCP_Soles[[#This Row],[tipo_registro]]="R",COUNTIFS($C$1:$C727,"R")+1,A727)</f>
        <v>528</v>
      </c>
      <c r="B728" s="19" t="str">
        <f t="shared" si="66"/>
        <v>B-BCP - Soles</v>
      </c>
      <c r="C728" s="3" t="s">
        <v>1352</v>
      </c>
      <c r="D728" s="14">
        <v>45719</v>
      </c>
      <c r="E728" s="5" t="s">
        <v>1338</v>
      </c>
      <c r="F728" s="5"/>
      <c r="G728" s="6" t="s">
        <v>286</v>
      </c>
      <c r="H728" s="6" t="s">
        <v>68</v>
      </c>
      <c r="I728" s="6" t="s">
        <v>1390</v>
      </c>
      <c r="J728" s="6">
        <v>614</v>
      </c>
      <c r="K728" s="7" t="s">
        <v>2108</v>
      </c>
      <c r="L728" s="8">
        <v>8637682</v>
      </c>
      <c r="M728" s="8" t="str">
        <f t="shared" si="67"/>
        <v>PEN</v>
      </c>
      <c r="N728" s="13">
        <v>217</v>
      </c>
      <c r="O728" s="13"/>
      <c r="P728" s="3">
        <f t="shared" si="68"/>
        <v>0</v>
      </c>
      <c r="Q728" s="3">
        <f t="shared" si="69"/>
        <v>0</v>
      </c>
      <c r="R728" s="3">
        <f t="shared" si="65"/>
        <v>23576.46</v>
      </c>
      <c r="S728" s="24"/>
      <c r="T728" s="24" t="s">
        <v>1334</v>
      </c>
      <c r="U728" s="53"/>
      <c r="V728" s="25">
        <f>IFERROR(VLOOKUP(BCP_Soles[[#This Row],[destinatario]],CHOOSE({1,2},Clientes_Proveedores[Razon Social],Clientes_Proveedores[Ruc / Dni]),2,0),"")</f>
        <v>20454186002</v>
      </c>
      <c r="W728" s="25"/>
      <c r="X728" s="25"/>
      <c r="Y728" s="25"/>
      <c r="Z728" s="75"/>
      <c r="AA728" s="3" t="str">
        <f>IF(BCP_Soles[[#This Row],[fecha]]&gt;0,TEXT(BCP_Soles[[#This Row],[fecha]],"mmmm"),0)</f>
        <v>Marzo</v>
      </c>
    </row>
    <row r="729" spans="1:27" x14ac:dyDescent="0.3">
      <c r="A729" s="2">
        <f>IF(BCP_Soles[[#This Row],[tipo_registro]]="R",COUNTIFS($C$1:$C728,"R")+1,A728)</f>
        <v>528</v>
      </c>
      <c r="B729" s="19" t="str">
        <f t="shared" si="66"/>
        <v>B-BCP - Soles</v>
      </c>
      <c r="C729" s="3" t="s">
        <v>1352</v>
      </c>
      <c r="D729" s="14">
        <v>45719</v>
      </c>
      <c r="E729" s="5" t="s">
        <v>1338</v>
      </c>
      <c r="F729" s="5"/>
      <c r="G729" s="6" t="s">
        <v>286</v>
      </c>
      <c r="H729" s="6" t="s">
        <v>68</v>
      </c>
      <c r="I729" s="6" t="s">
        <v>1386</v>
      </c>
      <c r="J729" s="6">
        <v>1681</v>
      </c>
      <c r="K729" s="7" t="s">
        <v>2108</v>
      </c>
      <c r="L729" s="8">
        <v>8637682</v>
      </c>
      <c r="M729" s="8" t="str">
        <f t="shared" si="67"/>
        <v>PEN</v>
      </c>
      <c r="N729" s="13">
        <v>735.99</v>
      </c>
      <c r="O729" s="13"/>
      <c r="P729" s="3">
        <f t="shared" si="68"/>
        <v>0</v>
      </c>
      <c r="Q729" s="3">
        <f t="shared" si="69"/>
        <v>0</v>
      </c>
      <c r="R729" s="3">
        <f t="shared" si="65"/>
        <v>23576.46</v>
      </c>
      <c r="S729" s="24"/>
      <c r="T729" s="24" t="s">
        <v>1334</v>
      </c>
      <c r="U729" s="53"/>
      <c r="V729" s="25">
        <f>IFERROR(VLOOKUP(BCP_Soles[[#This Row],[destinatario]],CHOOSE({1,2},Clientes_Proveedores[Razon Social],Clientes_Proveedores[Ruc / Dni]),2,0),"")</f>
        <v>20454186002</v>
      </c>
      <c r="W729" s="25"/>
      <c r="X729" s="25"/>
      <c r="Y729" s="25"/>
      <c r="Z729" s="75"/>
      <c r="AA729" s="3" t="str">
        <f>IF(BCP_Soles[[#This Row],[fecha]]&gt;0,TEXT(BCP_Soles[[#This Row],[fecha]],"mmmm"),0)</f>
        <v>Marzo</v>
      </c>
    </row>
    <row r="730" spans="1:27" ht="24" x14ac:dyDescent="0.3">
      <c r="A730" s="2">
        <f>IF(BCP_Soles[[#This Row],[tipo_registro]]="R",COUNTIFS($C$1:$C729,"R")+1,A729)</f>
        <v>528</v>
      </c>
      <c r="B730" s="19" t="str">
        <f t="shared" si="66"/>
        <v>B-BCP - Soles</v>
      </c>
      <c r="C730" s="3" t="s">
        <v>1352</v>
      </c>
      <c r="D730" s="14">
        <v>45719</v>
      </c>
      <c r="E730" s="5" t="s">
        <v>1338</v>
      </c>
      <c r="F730" s="5"/>
      <c r="G730" s="6" t="s">
        <v>176</v>
      </c>
      <c r="H730" s="6" t="s">
        <v>68</v>
      </c>
      <c r="I730" s="6" t="s">
        <v>1376</v>
      </c>
      <c r="J730" s="6">
        <v>377</v>
      </c>
      <c r="K730" s="7" t="s">
        <v>2108</v>
      </c>
      <c r="L730" s="8">
        <v>8637682</v>
      </c>
      <c r="M730" s="8" t="str">
        <f t="shared" si="67"/>
        <v>PEN</v>
      </c>
      <c r="N730" s="13">
        <v>510</v>
      </c>
      <c r="O730" s="13"/>
      <c r="P730" s="3">
        <f t="shared" si="68"/>
        <v>0</v>
      </c>
      <c r="Q730" s="3">
        <f t="shared" si="69"/>
        <v>0</v>
      </c>
      <c r="R730" s="3">
        <f t="shared" si="65"/>
        <v>23576.46</v>
      </c>
      <c r="S730" s="24"/>
      <c r="T730" s="24" t="s">
        <v>1334</v>
      </c>
      <c r="U730" s="53"/>
      <c r="V730" s="25">
        <f>IFERROR(VLOOKUP(BCP_Soles[[#This Row],[destinatario]],CHOOSE({1,2},Clientes_Proveedores[Razon Social],Clientes_Proveedores[Ruc / Dni]),2,0),"")</f>
        <v>10470065147</v>
      </c>
      <c r="W730" s="25"/>
      <c r="X730" s="25"/>
      <c r="Y730" s="25"/>
      <c r="Z730" s="75"/>
      <c r="AA730" s="3" t="str">
        <f>IF(BCP_Soles[[#This Row],[fecha]]&gt;0,TEXT(BCP_Soles[[#This Row],[fecha]],"mmmm"),0)</f>
        <v>Marzo</v>
      </c>
    </row>
    <row r="731" spans="1:27" ht="36" x14ac:dyDescent="0.3">
      <c r="A731" s="2">
        <f>IF(BCP_Soles[[#This Row],[tipo_registro]]="R",COUNTIFS($C$1:$C730,"R")+1,A730)</f>
        <v>528</v>
      </c>
      <c r="B731" s="19" t="str">
        <f t="shared" si="66"/>
        <v>B-BCP - Soles</v>
      </c>
      <c r="C731" s="3" t="s">
        <v>1352</v>
      </c>
      <c r="D731" s="14">
        <v>45719</v>
      </c>
      <c r="E731" s="5" t="s">
        <v>1338</v>
      </c>
      <c r="F731" s="5"/>
      <c r="G731" s="6" t="s">
        <v>569</v>
      </c>
      <c r="H731" s="6" t="s">
        <v>68</v>
      </c>
      <c r="I731" s="6" t="s">
        <v>1376</v>
      </c>
      <c r="J731" s="6">
        <v>600</v>
      </c>
      <c r="K731" s="7" t="s">
        <v>2108</v>
      </c>
      <c r="L731" s="8">
        <v>8637682</v>
      </c>
      <c r="M731" s="8" t="str">
        <f t="shared" si="67"/>
        <v>PEN</v>
      </c>
      <c r="N731" s="13">
        <v>350.01</v>
      </c>
      <c r="O731" s="13"/>
      <c r="P731" s="3">
        <f t="shared" si="68"/>
        <v>0</v>
      </c>
      <c r="Q731" s="3">
        <f t="shared" si="69"/>
        <v>0</v>
      </c>
      <c r="R731" s="3">
        <f t="shared" si="65"/>
        <v>23576.46</v>
      </c>
      <c r="S731" s="24"/>
      <c r="T731" s="24" t="s">
        <v>1334</v>
      </c>
      <c r="U731" s="53"/>
      <c r="V731" s="25">
        <f>IFERROR(VLOOKUP(BCP_Soles[[#This Row],[destinatario]],CHOOSE({1,2},Clientes_Proveedores[Razon Social],Clientes_Proveedores[Ruc / Dni]),2,0),"")</f>
        <v>20608686747</v>
      </c>
      <c r="W731" s="25"/>
      <c r="X731" s="25"/>
      <c r="Y731" s="25"/>
      <c r="Z731" s="75"/>
      <c r="AA731" s="3" t="str">
        <f>IF(BCP_Soles[[#This Row],[fecha]]&gt;0,TEXT(BCP_Soles[[#This Row],[fecha]],"mmmm"),0)</f>
        <v>Marzo</v>
      </c>
    </row>
    <row r="732" spans="1:27" ht="36" x14ac:dyDescent="0.3">
      <c r="A732" s="2">
        <f>IF(BCP_Soles[[#This Row],[tipo_registro]]="R",COUNTIFS($C$1:$C731,"R")+1,A731)</f>
        <v>528</v>
      </c>
      <c r="B732" s="19" t="str">
        <f t="shared" si="66"/>
        <v>B-BCP - Soles</v>
      </c>
      <c r="C732" s="3" t="s">
        <v>1352</v>
      </c>
      <c r="D732" s="14">
        <v>45719</v>
      </c>
      <c r="E732" s="5" t="s">
        <v>1338</v>
      </c>
      <c r="F732" s="5"/>
      <c r="G732" s="6" t="s">
        <v>474</v>
      </c>
      <c r="H732" s="6" t="s">
        <v>68</v>
      </c>
      <c r="I732" s="6" t="s">
        <v>1376</v>
      </c>
      <c r="J732" s="6">
        <v>716</v>
      </c>
      <c r="K732" s="7" t="s">
        <v>2108</v>
      </c>
      <c r="L732" s="8">
        <v>8637682</v>
      </c>
      <c r="M732" s="8" t="str">
        <f t="shared" si="67"/>
        <v>PEN</v>
      </c>
      <c r="N732" s="13">
        <v>960</v>
      </c>
      <c r="O732" s="13"/>
      <c r="P732" s="3">
        <f t="shared" si="68"/>
        <v>0</v>
      </c>
      <c r="Q732" s="3">
        <f t="shared" si="69"/>
        <v>0</v>
      </c>
      <c r="R732" s="3">
        <f t="shared" si="65"/>
        <v>23576.46</v>
      </c>
      <c r="S732" s="24"/>
      <c r="T732" s="24" t="s">
        <v>1334</v>
      </c>
      <c r="U732" s="53"/>
      <c r="V732" s="25">
        <f>IFERROR(VLOOKUP(BCP_Soles[[#This Row],[destinatario]],CHOOSE({1,2},Clientes_Proveedores[Razon Social],Clientes_Proveedores[Ruc / Dni]),2,0),"")</f>
        <v>20602075177</v>
      </c>
      <c r="W732" s="25"/>
      <c r="X732" s="25"/>
      <c r="Y732" s="25"/>
      <c r="Z732" s="75"/>
      <c r="AA732" s="3" t="str">
        <f>IF(BCP_Soles[[#This Row],[fecha]]&gt;0,TEXT(BCP_Soles[[#This Row],[fecha]],"mmmm"),0)</f>
        <v>Marzo</v>
      </c>
    </row>
    <row r="733" spans="1:27" ht="24" x14ac:dyDescent="0.3">
      <c r="A733" s="2">
        <f>IF(BCP_Soles[[#This Row],[tipo_registro]]="R",COUNTIFS($C$1:$C732,"R")+1,A732)</f>
        <v>528</v>
      </c>
      <c r="B733" s="19" t="str">
        <f t="shared" si="66"/>
        <v>B-BCP - Soles</v>
      </c>
      <c r="C733" s="3" t="s">
        <v>1352</v>
      </c>
      <c r="D733" s="14">
        <v>45719</v>
      </c>
      <c r="E733" s="5" t="s">
        <v>1338</v>
      </c>
      <c r="F733" s="5"/>
      <c r="G733" s="6" t="s">
        <v>503</v>
      </c>
      <c r="H733" s="6" t="s">
        <v>68</v>
      </c>
      <c r="I733" s="6" t="s">
        <v>1376</v>
      </c>
      <c r="J733" s="6">
        <v>614</v>
      </c>
      <c r="K733" s="7" t="s">
        <v>2108</v>
      </c>
      <c r="L733" s="8">
        <v>8637682</v>
      </c>
      <c r="M733" s="8" t="str">
        <f t="shared" si="67"/>
        <v>PEN</v>
      </c>
      <c r="N733" s="13">
        <v>110</v>
      </c>
      <c r="O733" s="13"/>
      <c r="P733" s="3">
        <f t="shared" si="68"/>
        <v>0</v>
      </c>
      <c r="Q733" s="3">
        <f t="shared" si="69"/>
        <v>0</v>
      </c>
      <c r="R733" s="3">
        <f t="shared" si="65"/>
        <v>23576.46</v>
      </c>
      <c r="S733" s="24"/>
      <c r="T733" s="24" t="s">
        <v>1334</v>
      </c>
      <c r="U733" s="53"/>
      <c r="V733" s="25">
        <f>IFERROR(VLOOKUP(BCP_Soles[[#This Row],[destinatario]],CHOOSE({1,2},Clientes_Proveedores[Razon Social],Clientes_Proveedores[Ruc / Dni]),2,0),"")</f>
        <v>20603001461</v>
      </c>
      <c r="W733" s="25"/>
      <c r="X733" s="25"/>
      <c r="Y733" s="25"/>
      <c r="Z733" s="75"/>
      <c r="AA733" s="3" t="str">
        <f>IF(BCP_Soles[[#This Row],[fecha]]&gt;0,TEXT(BCP_Soles[[#This Row],[fecha]],"mmmm"),0)</f>
        <v>Marzo</v>
      </c>
    </row>
    <row r="734" spans="1:27" ht="24" x14ac:dyDescent="0.3">
      <c r="A734" s="2">
        <f>IF(BCP_Soles[[#This Row],[tipo_registro]]="R",COUNTIFS($C$1:$C733,"R")+1,A733)</f>
        <v>529</v>
      </c>
      <c r="B734" s="19" t="str">
        <f t="shared" si="66"/>
        <v>B-BCP - Soles</v>
      </c>
      <c r="C734" s="3" t="s">
        <v>1330</v>
      </c>
      <c r="D734" s="14">
        <v>45719</v>
      </c>
      <c r="E734" s="5" t="s">
        <v>1338</v>
      </c>
      <c r="F734" s="5" t="s">
        <v>1336</v>
      </c>
      <c r="G734" s="6"/>
      <c r="H734" s="6" t="s">
        <v>72</v>
      </c>
      <c r="I734" s="6" t="s">
        <v>1376</v>
      </c>
      <c r="J734" s="6">
        <v>104</v>
      </c>
      <c r="K734" s="7" t="s">
        <v>2109</v>
      </c>
      <c r="L734" s="8">
        <v>1065439</v>
      </c>
      <c r="M734" s="8" t="str">
        <f t="shared" si="67"/>
        <v>PEN</v>
      </c>
      <c r="N734" s="13"/>
      <c r="O734" s="13">
        <v>1061.6300000000001</v>
      </c>
      <c r="P734" s="3">
        <f t="shared" si="68"/>
        <v>0</v>
      </c>
      <c r="Q734" s="3">
        <f t="shared" si="69"/>
        <v>1061.6300000000001</v>
      </c>
      <c r="R734" s="3">
        <f t="shared" si="65"/>
        <v>22514.829999999998</v>
      </c>
      <c r="S734" s="24" t="s">
        <v>1334</v>
      </c>
      <c r="T734" s="24" t="s">
        <v>1334</v>
      </c>
      <c r="U734" s="53"/>
      <c r="V734" s="25" t="str">
        <f>IFERROR(VLOOKUP(BCP_Soles[[#This Row],[destinatario]],CHOOSE({1,2},Clientes_Proveedores[Razon Social],Clientes_Proveedores[Ruc / Dni]),2,0),"")</f>
        <v/>
      </c>
      <c r="W734" s="25" t="s">
        <v>2110</v>
      </c>
      <c r="X734" s="25" t="s">
        <v>2111</v>
      </c>
      <c r="Y734" s="25"/>
      <c r="Z734" s="75"/>
      <c r="AA734" s="3" t="str">
        <f>IF(BCP_Soles[[#This Row],[fecha]]&gt;0,TEXT(BCP_Soles[[#This Row],[fecha]],"mmmm"),0)</f>
        <v>Marzo</v>
      </c>
    </row>
    <row r="735" spans="1:27" ht="24" x14ac:dyDescent="0.3">
      <c r="A735" s="2">
        <f>IF(BCP_Soles[[#This Row],[tipo_registro]]="R",COUNTIFS($C$1:$C734,"R")+1,A734)</f>
        <v>530</v>
      </c>
      <c r="B735" s="19" t="str">
        <f t="shared" si="66"/>
        <v>B-BCP - Soles</v>
      </c>
      <c r="C735" s="3" t="s">
        <v>1330</v>
      </c>
      <c r="D735" s="14">
        <v>45719</v>
      </c>
      <c r="E735" s="5" t="s">
        <v>1338</v>
      </c>
      <c r="F735" s="5" t="s">
        <v>1336</v>
      </c>
      <c r="G735" s="6" t="s">
        <v>328</v>
      </c>
      <c r="H735" s="6" t="s">
        <v>68</v>
      </c>
      <c r="I735" s="6" t="s">
        <v>1374</v>
      </c>
      <c r="J735" s="6">
        <v>7932</v>
      </c>
      <c r="K735" s="7" t="s">
        <v>2112</v>
      </c>
      <c r="L735" s="8">
        <v>1066437</v>
      </c>
      <c r="M735" s="8" t="str">
        <f t="shared" si="67"/>
        <v>PEN</v>
      </c>
      <c r="N735" s="13"/>
      <c r="O735" s="13">
        <v>1207</v>
      </c>
      <c r="P735" s="3">
        <f t="shared" si="68"/>
        <v>0</v>
      </c>
      <c r="Q735" s="3">
        <f t="shared" si="69"/>
        <v>1207</v>
      </c>
      <c r="R735" s="3">
        <f t="shared" si="65"/>
        <v>21307.829999999998</v>
      </c>
      <c r="S735" s="24" t="s">
        <v>1334</v>
      </c>
      <c r="T735" s="24" t="s">
        <v>1334</v>
      </c>
      <c r="U735" s="53"/>
      <c r="V735" s="25">
        <f>IFERROR(VLOOKUP(BCP_Soles[[#This Row],[destinatario]],CHOOSE({1,2},Clientes_Proveedores[Razon Social],Clientes_Proveedores[Ruc / Dni]),2,0),"")</f>
        <v>20498041567</v>
      </c>
      <c r="W735" s="25" t="s">
        <v>328</v>
      </c>
      <c r="X735" s="25" t="s">
        <v>2113</v>
      </c>
      <c r="Y735" s="25"/>
      <c r="Z735" s="75"/>
      <c r="AA735" s="3" t="str">
        <f>IF(BCP_Soles[[#This Row],[fecha]]&gt;0,TEXT(BCP_Soles[[#This Row],[fecha]],"mmmm"),0)</f>
        <v>Marzo</v>
      </c>
    </row>
    <row r="736" spans="1:27" x14ac:dyDescent="0.3">
      <c r="A736" s="2">
        <f>IF(BCP_Soles[[#This Row],[tipo_registro]]="R",COUNTIFS($C$1:$C735,"R")+1,A735)</f>
        <v>531</v>
      </c>
      <c r="B736" s="19" t="str">
        <f t="shared" si="66"/>
        <v>B-BCP - Soles</v>
      </c>
      <c r="C736" s="3" t="s">
        <v>1330</v>
      </c>
      <c r="D736" s="14">
        <v>45719</v>
      </c>
      <c r="E736" s="5" t="s">
        <v>1335</v>
      </c>
      <c r="F736" s="5" t="s">
        <v>1336</v>
      </c>
      <c r="G736" s="6"/>
      <c r="H736" s="6"/>
      <c r="I736" s="6"/>
      <c r="J736" s="6"/>
      <c r="K736" s="7" t="s">
        <v>1337</v>
      </c>
      <c r="L736" s="8"/>
      <c r="M736" s="8" t="str">
        <f t="shared" si="67"/>
        <v>PEN</v>
      </c>
      <c r="N736" s="13"/>
      <c r="O736" s="13">
        <v>1.7</v>
      </c>
      <c r="P736" s="3">
        <f t="shared" si="68"/>
        <v>0</v>
      </c>
      <c r="Q736" s="3">
        <f t="shared" si="69"/>
        <v>1.7</v>
      </c>
      <c r="R736" s="3">
        <f t="shared" si="65"/>
        <v>21306.129999999997</v>
      </c>
      <c r="S736" s="24"/>
      <c r="T736" s="24" t="s">
        <v>1334</v>
      </c>
      <c r="U736" s="53"/>
      <c r="V736" s="25" t="str">
        <f>IFERROR(VLOOKUP(BCP_Soles[[#This Row],[destinatario]],CHOOSE({1,2},Clientes_Proveedores[Razon Social],Clientes_Proveedores[Ruc / Dni]),2,0),"")</f>
        <v/>
      </c>
      <c r="W736" s="25"/>
      <c r="X736" s="25"/>
      <c r="Y736" s="25"/>
      <c r="Z736" s="75"/>
      <c r="AA736" s="3" t="str">
        <f>IF(BCP_Soles[[#This Row],[fecha]]&gt;0,TEXT(BCP_Soles[[#This Row],[fecha]],"mmmm"),0)</f>
        <v>Marzo</v>
      </c>
    </row>
    <row r="737" spans="1:27" ht="24" x14ac:dyDescent="0.3">
      <c r="A737" s="2">
        <f>IF(BCP_Soles[[#This Row],[tipo_registro]]="R",COUNTIFS($C$1:$C736,"R")+1,A736)</f>
        <v>532</v>
      </c>
      <c r="B737" s="19" t="str">
        <f t="shared" si="66"/>
        <v>B-BCP - Soles</v>
      </c>
      <c r="C737" s="3" t="s">
        <v>1330</v>
      </c>
      <c r="D737" s="14">
        <v>45719</v>
      </c>
      <c r="E737" s="5" t="s">
        <v>1335</v>
      </c>
      <c r="F737" s="5" t="s">
        <v>1336</v>
      </c>
      <c r="G737" s="6" t="s">
        <v>1060</v>
      </c>
      <c r="H737" s="6" t="s">
        <v>68</v>
      </c>
      <c r="I737" s="6" t="s">
        <v>1397</v>
      </c>
      <c r="J737" s="6">
        <v>30120949</v>
      </c>
      <c r="K737" s="7" t="s">
        <v>2114</v>
      </c>
      <c r="L737" s="8">
        <v>8760618</v>
      </c>
      <c r="M737" s="8" t="str">
        <f t="shared" si="67"/>
        <v>PEN</v>
      </c>
      <c r="N737" s="13"/>
      <c r="O737" s="13">
        <v>10</v>
      </c>
      <c r="P737" s="3">
        <f t="shared" si="68"/>
        <v>0</v>
      </c>
      <c r="Q737" s="3">
        <f t="shared" si="69"/>
        <v>10</v>
      </c>
      <c r="R737" s="3">
        <f t="shared" si="65"/>
        <v>21296.129999999997</v>
      </c>
      <c r="S737" s="24"/>
      <c r="T737" s="24" t="s">
        <v>1334</v>
      </c>
      <c r="U737" s="53"/>
      <c r="V737" s="25">
        <f>IFERROR(VLOOKUP(BCP_Soles[[#This Row],[destinatario]],CHOOSE({1,2},Clientes_Proveedores[Razon Social],Clientes_Proveedores[Ruc / Dni]),2,0),"")</f>
        <v>20100047218</v>
      </c>
      <c r="W737" s="25" t="s">
        <v>1335</v>
      </c>
      <c r="X737" s="25" t="s">
        <v>2107</v>
      </c>
      <c r="Y737" s="25"/>
      <c r="Z737" s="75"/>
      <c r="AA737" s="3" t="str">
        <f>IF(BCP_Soles[[#This Row],[fecha]]&gt;0,TEXT(BCP_Soles[[#This Row],[fecha]],"mmmm"),0)</f>
        <v>Marzo</v>
      </c>
    </row>
    <row r="738" spans="1:27" ht="24" x14ac:dyDescent="0.3">
      <c r="A738" s="2">
        <f>IF(BCP_Soles[[#This Row],[tipo_registro]]="R",COUNTIFS($C$1:$C737,"R")+1,A737)</f>
        <v>533</v>
      </c>
      <c r="B738" s="19" t="str">
        <f t="shared" si="66"/>
        <v>B-BCP - Soles</v>
      </c>
      <c r="C738" s="3" t="s">
        <v>1330</v>
      </c>
      <c r="D738" s="14">
        <v>45719</v>
      </c>
      <c r="E738" s="5" t="s">
        <v>1338</v>
      </c>
      <c r="F738" s="5" t="s">
        <v>1336</v>
      </c>
      <c r="G738" s="6" t="s">
        <v>705</v>
      </c>
      <c r="H738" s="6" t="s">
        <v>106</v>
      </c>
      <c r="I738" s="6" t="s">
        <v>1563</v>
      </c>
      <c r="J738" s="6">
        <v>65920124</v>
      </c>
      <c r="K738" s="7" t="s">
        <v>1564</v>
      </c>
      <c r="L738" s="8">
        <v>4199695</v>
      </c>
      <c r="M738" s="8" t="str">
        <f t="shared" si="67"/>
        <v>PEN</v>
      </c>
      <c r="N738" s="13"/>
      <c r="O738" s="13">
        <v>79.900000000000006</v>
      </c>
      <c r="P738" s="3">
        <f t="shared" si="68"/>
        <v>0</v>
      </c>
      <c r="Q738" s="3">
        <f t="shared" si="69"/>
        <v>79.900000000000006</v>
      </c>
      <c r="R738" s="3">
        <f t="shared" si="65"/>
        <v>21216.229999999996</v>
      </c>
      <c r="S738" s="24" t="s">
        <v>1334</v>
      </c>
      <c r="T738" s="24" t="s">
        <v>1334</v>
      </c>
      <c r="U738" s="53"/>
      <c r="V738" s="25">
        <f>IFERROR(VLOOKUP(BCP_Soles[[#This Row],[destinatario]],CHOOSE({1,2},Clientes_Proveedores[Razon Social],Clientes_Proveedores[Ruc / Dni]),2,0),"")</f>
        <v>20100017491</v>
      </c>
      <c r="W738" s="25" t="s">
        <v>1565</v>
      </c>
      <c r="X738" s="25" t="s">
        <v>2115</v>
      </c>
      <c r="Y738" s="25"/>
      <c r="Z738" s="75"/>
      <c r="AA738" s="3" t="str">
        <f>IF(BCP_Soles[[#This Row],[fecha]]&gt;0,TEXT(BCP_Soles[[#This Row],[fecha]],"mmmm"),0)</f>
        <v>Marzo</v>
      </c>
    </row>
    <row r="739" spans="1:27" ht="36" x14ac:dyDescent="0.3">
      <c r="A739" s="2">
        <f>IF(BCP_Soles[[#This Row],[tipo_registro]]="R",COUNTIFS($C$1:$C738,"R")+1,A738)</f>
        <v>534</v>
      </c>
      <c r="B739" s="19" t="str">
        <f t="shared" si="66"/>
        <v>B-BCP - Soles</v>
      </c>
      <c r="C739" s="3" t="s">
        <v>1330</v>
      </c>
      <c r="D739" s="14">
        <v>45719</v>
      </c>
      <c r="E739" s="5" t="s">
        <v>1338</v>
      </c>
      <c r="F739" s="5" t="s">
        <v>1336</v>
      </c>
      <c r="G739" s="6" t="s">
        <v>939</v>
      </c>
      <c r="H739" s="6" t="s">
        <v>143</v>
      </c>
      <c r="I739" s="6">
        <v>1</v>
      </c>
      <c r="J739" s="6">
        <v>182025</v>
      </c>
      <c r="K739" s="7" t="s">
        <v>2116</v>
      </c>
      <c r="L739" s="8">
        <v>1199230</v>
      </c>
      <c r="M739" s="8" t="str">
        <f t="shared" si="67"/>
        <v>PEN</v>
      </c>
      <c r="N739" s="13"/>
      <c r="O739" s="13">
        <v>400</v>
      </c>
      <c r="P739" s="3">
        <f t="shared" si="68"/>
        <v>0</v>
      </c>
      <c r="Q739" s="3">
        <f t="shared" si="69"/>
        <v>400</v>
      </c>
      <c r="R739" s="3">
        <f t="shared" si="65"/>
        <v>20816.229999999996</v>
      </c>
      <c r="S739" s="24" t="s">
        <v>1334</v>
      </c>
      <c r="T739" s="24" t="s">
        <v>1334</v>
      </c>
      <c r="U739" s="53"/>
      <c r="V739" s="25">
        <f>IFERROR(VLOOKUP(BCP_Soles[[#This Row],[destinatario]],CHOOSE({1,2},Clientes_Proveedores[Razon Social],Clientes_Proveedores[Ruc / Dni]),2,0),"")</f>
        <v>72531546</v>
      </c>
      <c r="W739" s="25"/>
      <c r="X739" s="25"/>
      <c r="Y739" s="25"/>
      <c r="Z739" s="75"/>
      <c r="AA739" s="3" t="str">
        <f>IF(BCP_Soles[[#This Row],[fecha]]&gt;0,TEXT(BCP_Soles[[#This Row],[fecha]],"mmmm"),0)</f>
        <v>Marzo</v>
      </c>
    </row>
    <row r="740" spans="1:27" ht="24" x14ac:dyDescent="0.3">
      <c r="A740" s="2">
        <f>IF(BCP_Soles[[#This Row],[tipo_registro]]="R",COUNTIFS($C$1:$C739,"R")+1,A739)</f>
        <v>535</v>
      </c>
      <c r="B740" s="19" t="str">
        <f t="shared" si="66"/>
        <v>B-BCP - Soles</v>
      </c>
      <c r="C740" s="3" t="s">
        <v>1330</v>
      </c>
      <c r="D740" s="14">
        <v>45719</v>
      </c>
      <c r="E740" s="5" t="s">
        <v>1416</v>
      </c>
      <c r="F740" s="5" t="s">
        <v>1336</v>
      </c>
      <c r="G740" s="6"/>
      <c r="H740" s="6"/>
      <c r="I740" s="6"/>
      <c r="J740" s="6"/>
      <c r="K740" s="7" t="s">
        <v>2117</v>
      </c>
      <c r="L740" s="8">
        <v>8760598</v>
      </c>
      <c r="M740" s="8" t="str">
        <f t="shared" si="67"/>
        <v>PEN</v>
      </c>
      <c r="N740" s="13"/>
      <c r="O740" s="13">
        <v>401.79</v>
      </c>
      <c r="P740" s="3">
        <f t="shared" si="68"/>
        <v>0</v>
      </c>
      <c r="Q740" s="3">
        <f t="shared" si="69"/>
        <v>401.79</v>
      </c>
      <c r="R740" s="3">
        <f t="shared" si="65"/>
        <v>20414.439999999995</v>
      </c>
      <c r="S740" s="24"/>
      <c r="T740" s="24"/>
      <c r="U740" s="53"/>
      <c r="V740" s="25" t="str">
        <f>IFERROR(VLOOKUP(BCP_Soles[[#This Row],[destinatario]],CHOOSE({1,2},Clientes_Proveedores[Razon Social],Clientes_Proveedores[Ruc / Dni]),2,0),"")</f>
        <v/>
      </c>
      <c r="W740" s="25" t="s">
        <v>1017</v>
      </c>
      <c r="X740" s="25"/>
      <c r="Y740" s="25"/>
      <c r="Z740" s="75"/>
      <c r="AA740" s="3" t="str">
        <f>IF(BCP_Soles[[#This Row],[fecha]]&gt;0,TEXT(BCP_Soles[[#This Row],[fecha]],"mmmm"),0)</f>
        <v>Marzo</v>
      </c>
    </row>
    <row r="741" spans="1:27" ht="24" x14ac:dyDescent="0.3">
      <c r="A741" s="2">
        <f>IF(BCP_Soles[[#This Row],[tipo_registro]]="R",COUNTIFS($C$1:$C740,"R")+1,A740)</f>
        <v>536</v>
      </c>
      <c r="B741" s="19" t="str">
        <f t="shared" si="66"/>
        <v>B-BCP - Soles</v>
      </c>
      <c r="C741" s="3" t="s">
        <v>1330</v>
      </c>
      <c r="D741" s="14">
        <v>45719</v>
      </c>
      <c r="E741" s="5" t="s">
        <v>1338</v>
      </c>
      <c r="F741" s="5" t="s">
        <v>1336</v>
      </c>
      <c r="G741" s="6"/>
      <c r="H741" s="6"/>
      <c r="I741" s="6"/>
      <c r="J741" s="6"/>
      <c r="K741" s="7" t="s">
        <v>2118</v>
      </c>
      <c r="L741" s="8">
        <v>8760596</v>
      </c>
      <c r="M741" s="8" t="str">
        <f t="shared" si="67"/>
        <v>PEN</v>
      </c>
      <c r="N741" s="13"/>
      <c r="O741" s="13">
        <v>1388.6</v>
      </c>
      <c r="P741" s="3">
        <f t="shared" si="68"/>
        <v>0</v>
      </c>
      <c r="Q741" s="3">
        <f t="shared" si="69"/>
        <v>1388.6</v>
      </c>
      <c r="R741" s="3">
        <f t="shared" si="65"/>
        <v>19025.839999999997</v>
      </c>
      <c r="S741" s="24"/>
      <c r="T741" s="24"/>
      <c r="U741" s="53"/>
      <c r="V741" s="25" t="str">
        <f>IFERROR(VLOOKUP(BCP_Soles[[#This Row],[destinatario]],CHOOSE({1,2},Clientes_Proveedores[Razon Social],Clientes_Proveedores[Ruc / Dni]),2,0),"")</f>
        <v/>
      </c>
      <c r="W741" s="25" t="s">
        <v>884</v>
      </c>
      <c r="X741" s="25"/>
      <c r="Y741" s="25"/>
      <c r="Z741" s="75"/>
      <c r="AA741" s="3" t="str">
        <f>IF(BCP_Soles[[#This Row],[fecha]]&gt;0,TEXT(BCP_Soles[[#This Row],[fecha]],"mmmm"),0)</f>
        <v>Marzo</v>
      </c>
    </row>
    <row r="742" spans="1:27" ht="24" x14ac:dyDescent="0.3">
      <c r="A742" s="2">
        <f>IF(BCP_Soles[[#This Row],[tipo_registro]]="R",COUNTIFS($C$1:$C741,"R")+1,A741)</f>
        <v>537</v>
      </c>
      <c r="B742" s="19" t="str">
        <f t="shared" si="66"/>
        <v>B-BCP - Soles</v>
      </c>
      <c r="C742" s="3" t="s">
        <v>1330</v>
      </c>
      <c r="D742" s="14">
        <v>45719</v>
      </c>
      <c r="E742" s="5" t="s">
        <v>1338</v>
      </c>
      <c r="F742" s="5" t="s">
        <v>1336</v>
      </c>
      <c r="G742" s="6" t="s">
        <v>888</v>
      </c>
      <c r="H742" s="6" t="s">
        <v>147</v>
      </c>
      <c r="I742" s="6">
        <v>14</v>
      </c>
      <c r="J742" s="6">
        <v>29</v>
      </c>
      <c r="K742" s="7" t="s">
        <v>2119</v>
      </c>
      <c r="L742" s="8">
        <v>1198738</v>
      </c>
      <c r="M742" s="8" t="str">
        <f t="shared" si="67"/>
        <v>PEN</v>
      </c>
      <c r="N742" s="13"/>
      <c r="O742" s="13">
        <v>1957.54</v>
      </c>
      <c r="P742" s="3">
        <f t="shared" si="68"/>
        <v>0</v>
      </c>
      <c r="Q742" s="3">
        <f t="shared" si="69"/>
        <v>1957.54</v>
      </c>
      <c r="R742" s="3">
        <f t="shared" si="65"/>
        <v>17068.299999999996</v>
      </c>
      <c r="S742" s="24"/>
      <c r="T742" s="24" t="s">
        <v>1334</v>
      </c>
      <c r="U742" s="53"/>
      <c r="V742" s="25">
        <f>IFERROR(VLOOKUP(BCP_Soles[[#This Row],[destinatario]],CHOOSE({1,2},Clientes_Proveedores[Razon Social],Clientes_Proveedores[Ruc / Dni]),2,0),"")</f>
        <v>47461440</v>
      </c>
      <c r="W742" s="25"/>
      <c r="X742" s="25"/>
      <c r="Y742" s="25"/>
      <c r="Z742" s="75"/>
      <c r="AA742" s="3" t="str">
        <f>IF(BCP_Soles[[#This Row],[fecha]]&gt;0,TEXT(BCP_Soles[[#This Row],[fecha]],"mmmm"),0)</f>
        <v>Marzo</v>
      </c>
    </row>
    <row r="743" spans="1:27" ht="36" x14ac:dyDescent="0.3">
      <c r="A743" s="2">
        <f>IF(BCP_Soles[[#This Row],[tipo_registro]]="R",COUNTIFS($C$1:$C742,"R")+1,A742)</f>
        <v>538</v>
      </c>
      <c r="B743" s="19" t="str">
        <f t="shared" si="66"/>
        <v>B-BCP - Soles</v>
      </c>
      <c r="C743" s="3" t="s">
        <v>1330</v>
      </c>
      <c r="D743" s="14">
        <v>45719</v>
      </c>
      <c r="E743" s="5" t="s">
        <v>1338</v>
      </c>
      <c r="F743" s="5" t="s">
        <v>1336</v>
      </c>
      <c r="G743" s="213" t="s">
        <v>948</v>
      </c>
      <c r="H743" s="6"/>
      <c r="I743" s="6"/>
      <c r="J743" s="6"/>
      <c r="K743" s="7" t="s">
        <v>2120</v>
      </c>
      <c r="L743" s="8">
        <v>1196312</v>
      </c>
      <c r="M743" s="8" t="str">
        <f t="shared" si="67"/>
        <v>PEN</v>
      </c>
      <c r="N743" s="13"/>
      <c r="O743" s="13">
        <v>3993.6</v>
      </c>
      <c r="P743" s="3">
        <f t="shared" si="68"/>
        <v>0</v>
      </c>
      <c r="Q743" s="3">
        <f t="shared" si="69"/>
        <v>3993.6</v>
      </c>
      <c r="R743" s="3">
        <f t="shared" si="65"/>
        <v>13074.699999999995</v>
      </c>
      <c r="S743" s="24"/>
      <c r="T743" s="24" t="s">
        <v>1334</v>
      </c>
      <c r="U743" s="53"/>
      <c r="V743" s="25">
        <f>IFERROR(VLOOKUP(BCP_Soles[[#This Row],[destinatario]],CHOOSE({1,2},Clientes_Proveedores[Razon Social],Clientes_Proveedores[Ruc / Dni]),2,0),"")</f>
        <v>71311214</v>
      </c>
      <c r="W743" s="25" t="s">
        <v>948</v>
      </c>
      <c r="X743" s="25"/>
      <c r="Y743" s="25"/>
      <c r="Z743" s="75"/>
      <c r="AA743" s="3" t="str">
        <f>IF(BCP_Soles[[#This Row],[fecha]]&gt;0,TEXT(BCP_Soles[[#This Row],[fecha]],"mmmm"),0)</f>
        <v>Marzo</v>
      </c>
    </row>
    <row r="744" spans="1:27" x14ac:dyDescent="0.3">
      <c r="A744" s="2">
        <f>IF(BCP_Soles[[#This Row],[tipo_registro]]="R",COUNTIFS($C$1:$C743,"R")+1,A743)</f>
        <v>539</v>
      </c>
      <c r="B744" s="19" t="str">
        <f t="shared" si="66"/>
        <v>B-BCP - Soles</v>
      </c>
      <c r="C744" s="3" t="s">
        <v>1330</v>
      </c>
      <c r="D744" s="14">
        <v>45719</v>
      </c>
      <c r="E744" s="5" t="s">
        <v>1338</v>
      </c>
      <c r="F744" s="5" t="s">
        <v>1336</v>
      </c>
      <c r="G744" s="6" t="s">
        <v>696</v>
      </c>
      <c r="H744" s="6"/>
      <c r="I744" s="6"/>
      <c r="J744" s="6"/>
      <c r="K744" s="7" t="s">
        <v>2121</v>
      </c>
      <c r="L744" s="8">
        <v>8760609</v>
      </c>
      <c r="M744" s="8" t="str">
        <f t="shared" si="67"/>
        <v>PEN</v>
      </c>
      <c r="N744" s="13"/>
      <c r="O744" s="13">
        <v>5874.35</v>
      </c>
      <c r="P744" s="3">
        <f t="shared" si="68"/>
        <v>0</v>
      </c>
      <c r="Q744" s="3">
        <f t="shared" si="69"/>
        <v>5874.35</v>
      </c>
      <c r="R744" s="3">
        <f t="shared" si="65"/>
        <v>7200.3499999999949</v>
      </c>
      <c r="S744" s="24" t="s">
        <v>1334</v>
      </c>
      <c r="T744" s="24" t="s">
        <v>1334</v>
      </c>
      <c r="U744" s="53"/>
      <c r="V744" s="25">
        <f>IFERROR(VLOOKUP(BCP_Soles[[#This Row],[destinatario]],CHOOSE({1,2},Clientes_Proveedores[Razon Social],Clientes_Proveedores[Ruc / Dni]),2,0),"")</f>
        <v>0</v>
      </c>
      <c r="W744" s="25" t="s">
        <v>1373</v>
      </c>
      <c r="X744" s="25"/>
      <c r="Y744" s="25"/>
      <c r="Z744" s="75"/>
      <c r="AA744" s="3" t="str">
        <f>IF(BCP_Soles[[#This Row],[fecha]]&gt;0,TEXT(BCP_Soles[[#This Row],[fecha]],"mmmm"),0)</f>
        <v>Marzo</v>
      </c>
    </row>
    <row r="745" spans="1:27" ht="36" x14ac:dyDescent="0.3">
      <c r="A745" s="2">
        <f>IF(BCP_Soles[[#This Row],[tipo_registro]]="R",COUNTIFS($C$1:$C744,"R")+1,A744)</f>
        <v>539</v>
      </c>
      <c r="B745" s="19" t="str">
        <f t="shared" si="66"/>
        <v>B-BCP - Soles</v>
      </c>
      <c r="C745" s="3" t="s">
        <v>1352</v>
      </c>
      <c r="D745" s="14">
        <v>45719</v>
      </c>
      <c r="E745" s="5" t="s">
        <v>1338</v>
      </c>
      <c r="F745" s="5"/>
      <c r="G745" s="6" t="s">
        <v>646</v>
      </c>
      <c r="H745" s="6" t="s">
        <v>68</v>
      </c>
      <c r="I745" s="6" t="s">
        <v>2122</v>
      </c>
      <c r="J745" s="6">
        <v>1736</v>
      </c>
      <c r="K745" s="7" t="s">
        <v>2121</v>
      </c>
      <c r="L745" s="8">
        <v>8760609</v>
      </c>
      <c r="M745" s="8" t="str">
        <f t="shared" si="67"/>
        <v>PEN</v>
      </c>
      <c r="N745" s="13">
        <v>438.4</v>
      </c>
      <c r="O745" s="13"/>
      <c r="P745" s="3">
        <f t="shared" si="68"/>
        <v>0</v>
      </c>
      <c r="Q745" s="3">
        <f t="shared" si="69"/>
        <v>0</v>
      </c>
      <c r="R745" s="3">
        <f t="shared" si="65"/>
        <v>7200.3499999999949</v>
      </c>
      <c r="S745" s="24"/>
      <c r="T745" s="24" t="s">
        <v>1334</v>
      </c>
      <c r="U745" s="53"/>
      <c r="V745" s="25">
        <f>IFERROR(VLOOKUP(BCP_Soles[[#This Row],[destinatario]],CHOOSE({1,2},Clientes_Proveedores[Razon Social],Clientes_Proveedores[Ruc / Dni]),2,0),"")</f>
        <v>20100036101</v>
      </c>
      <c r="W745" s="25"/>
      <c r="X745" s="25"/>
      <c r="Y745" s="25"/>
      <c r="Z745" s="75"/>
      <c r="AA745" s="3" t="str">
        <f>IF(BCP_Soles[[#This Row],[fecha]]&gt;0,TEXT(BCP_Soles[[#This Row],[fecha]],"mmmm"),0)</f>
        <v>Marzo</v>
      </c>
    </row>
    <row r="746" spans="1:27" ht="24" x14ac:dyDescent="0.3">
      <c r="A746" s="2">
        <f>IF(BCP_Soles[[#This Row],[tipo_registro]]="R",COUNTIFS($C$1:$C745,"R")+1,A745)</f>
        <v>539</v>
      </c>
      <c r="B746" s="19" t="str">
        <f t="shared" si="66"/>
        <v>B-BCP - Soles</v>
      </c>
      <c r="C746" s="3" t="s">
        <v>1352</v>
      </c>
      <c r="D746" s="14">
        <v>45719</v>
      </c>
      <c r="E746" s="5" t="s">
        <v>1338</v>
      </c>
      <c r="F746" s="5"/>
      <c r="G746" s="6" t="s">
        <v>537</v>
      </c>
      <c r="H746" s="6" t="s">
        <v>68</v>
      </c>
      <c r="I746" s="6" t="s">
        <v>1376</v>
      </c>
      <c r="J746" s="6">
        <v>789</v>
      </c>
      <c r="K746" s="7" t="s">
        <v>2121</v>
      </c>
      <c r="L746" s="8">
        <v>8760609</v>
      </c>
      <c r="M746" s="8" t="str">
        <f t="shared" si="67"/>
        <v>PEN</v>
      </c>
      <c r="N746" s="13">
        <v>671</v>
      </c>
      <c r="O746" s="13"/>
      <c r="P746" s="3">
        <f t="shared" si="68"/>
        <v>0</v>
      </c>
      <c r="Q746" s="3">
        <f t="shared" si="69"/>
        <v>0</v>
      </c>
      <c r="R746" s="3">
        <f t="shared" si="65"/>
        <v>7200.3499999999949</v>
      </c>
      <c r="S746" s="24"/>
      <c r="T746" s="24" t="s">
        <v>1334</v>
      </c>
      <c r="U746" s="53"/>
      <c r="V746" s="25">
        <f>IFERROR(VLOOKUP(BCP_Soles[[#This Row],[destinatario]],CHOOSE({1,2},Clientes_Proveedores[Razon Social],Clientes_Proveedores[Ruc / Dni]),2,0),"")</f>
        <v>20605447814</v>
      </c>
      <c r="W746" s="25"/>
      <c r="X746" s="25"/>
      <c r="Y746" s="25"/>
      <c r="Z746" s="75"/>
      <c r="AA746" s="3" t="str">
        <f>IF(BCP_Soles[[#This Row],[fecha]]&gt;0,TEXT(BCP_Soles[[#This Row],[fecha]],"mmmm"),0)</f>
        <v>Marzo</v>
      </c>
    </row>
    <row r="747" spans="1:27" x14ac:dyDescent="0.3">
      <c r="A747" s="2">
        <f>IF(BCP_Soles[[#This Row],[tipo_registro]]="R",COUNTIFS($C$1:$C746,"R")+1,A746)</f>
        <v>539</v>
      </c>
      <c r="B747" s="19" t="str">
        <f t="shared" si="66"/>
        <v>B-BCP - Soles</v>
      </c>
      <c r="C747" s="3" t="s">
        <v>1352</v>
      </c>
      <c r="D747" s="14">
        <v>45719</v>
      </c>
      <c r="E747" s="5" t="s">
        <v>1338</v>
      </c>
      <c r="F747" s="5"/>
      <c r="G747" s="6" t="s">
        <v>286</v>
      </c>
      <c r="H747" s="6" t="s">
        <v>68</v>
      </c>
      <c r="I747" s="6" t="s">
        <v>1390</v>
      </c>
      <c r="J747" s="6">
        <v>619</v>
      </c>
      <c r="K747" s="7" t="s">
        <v>2121</v>
      </c>
      <c r="L747" s="8">
        <v>8760609</v>
      </c>
      <c r="M747" s="8" t="str">
        <f t="shared" si="67"/>
        <v>PEN</v>
      </c>
      <c r="N747" s="13">
        <v>916.1</v>
      </c>
      <c r="O747" s="13"/>
      <c r="P747" s="3">
        <f t="shared" si="68"/>
        <v>0</v>
      </c>
      <c r="Q747" s="3">
        <f t="shared" si="69"/>
        <v>0</v>
      </c>
      <c r="R747" s="3">
        <f t="shared" si="65"/>
        <v>7200.3499999999949</v>
      </c>
      <c r="S747" s="24"/>
      <c r="T747" s="24" t="s">
        <v>1334</v>
      </c>
      <c r="U747" s="53"/>
      <c r="V747" s="25">
        <f>IFERROR(VLOOKUP(BCP_Soles[[#This Row],[destinatario]],CHOOSE({1,2},Clientes_Proveedores[Razon Social],Clientes_Proveedores[Ruc / Dni]),2,0),"")</f>
        <v>20454186002</v>
      </c>
      <c r="W747" s="25"/>
      <c r="X747" s="25"/>
      <c r="Y747" s="25"/>
      <c r="Z747" s="75"/>
      <c r="AA747" s="3" t="str">
        <f>IF(BCP_Soles[[#This Row],[fecha]]&gt;0,TEXT(BCP_Soles[[#This Row],[fecha]],"mmmm"),0)</f>
        <v>Marzo</v>
      </c>
    </row>
    <row r="748" spans="1:27" x14ac:dyDescent="0.3">
      <c r="A748" s="2">
        <f>IF(BCP_Soles[[#This Row],[tipo_registro]]="R",COUNTIFS($C$1:$C747,"R")+1,A747)</f>
        <v>539</v>
      </c>
      <c r="B748" s="19" t="str">
        <f t="shared" si="66"/>
        <v>B-BCP - Soles</v>
      </c>
      <c r="C748" s="3" t="s">
        <v>1352</v>
      </c>
      <c r="D748" s="14">
        <v>45719</v>
      </c>
      <c r="E748" s="5" t="s">
        <v>1338</v>
      </c>
      <c r="F748" s="5"/>
      <c r="G748" s="6" t="s">
        <v>286</v>
      </c>
      <c r="H748" s="6" t="s">
        <v>68</v>
      </c>
      <c r="I748" s="6" t="s">
        <v>1390</v>
      </c>
      <c r="J748" s="6">
        <v>616</v>
      </c>
      <c r="K748" s="7" t="s">
        <v>2121</v>
      </c>
      <c r="L748" s="8">
        <v>8760609</v>
      </c>
      <c r="M748" s="8" t="str">
        <f t="shared" si="67"/>
        <v>PEN</v>
      </c>
      <c r="N748" s="13">
        <v>1768</v>
      </c>
      <c r="O748" s="13"/>
      <c r="P748" s="3">
        <f t="shared" si="68"/>
        <v>0</v>
      </c>
      <c r="Q748" s="3">
        <f t="shared" si="69"/>
        <v>0</v>
      </c>
      <c r="R748" s="3">
        <f t="shared" si="65"/>
        <v>7200.3499999999949</v>
      </c>
      <c r="S748" s="24"/>
      <c r="T748" s="24" t="s">
        <v>1334</v>
      </c>
      <c r="U748" s="53"/>
      <c r="V748" s="25">
        <f>IFERROR(VLOOKUP(BCP_Soles[[#This Row],[destinatario]],CHOOSE({1,2},Clientes_Proveedores[Razon Social],Clientes_Proveedores[Ruc / Dni]),2,0),"")</f>
        <v>20454186002</v>
      </c>
      <c r="W748" s="25"/>
      <c r="X748" s="25"/>
      <c r="Y748" s="25"/>
      <c r="Z748" s="75"/>
      <c r="AA748" s="3" t="str">
        <f>IF(BCP_Soles[[#This Row],[fecha]]&gt;0,TEXT(BCP_Soles[[#This Row],[fecha]],"mmmm"),0)</f>
        <v>Marzo</v>
      </c>
    </row>
    <row r="749" spans="1:27" x14ac:dyDescent="0.3">
      <c r="A749" s="2">
        <f>IF(BCP_Soles[[#This Row],[tipo_registro]]="R",COUNTIFS($C$1:$C748,"R")+1,A748)</f>
        <v>539</v>
      </c>
      <c r="B749" s="19" t="str">
        <f t="shared" si="66"/>
        <v>B-BCP - Soles</v>
      </c>
      <c r="C749" s="3" t="s">
        <v>1352</v>
      </c>
      <c r="D749" s="14">
        <v>45719</v>
      </c>
      <c r="E749" s="5" t="s">
        <v>1338</v>
      </c>
      <c r="F749" s="5"/>
      <c r="G749" s="6" t="s">
        <v>286</v>
      </c>
      <c r="H749" s="6" t="s">
        <v>68</v>
      </c>
      <c r="I749" s="6" t="s">
        <v>1386</v>
      </c>
      <c r="J749" s="6">
        <v>1683</v>
      </c>
      <c r="K749" s="7" t="s">
        <v>2121</v>
      </c>
      <c r="L749" s="8">
        <v>8760609</v>
      </c>
      <c r="M749" s="8" t="str">
        <f t="shared" si="67"/>
        <v>PEN</v>
      </c>
      <c r="N749" s="13">
        <v>241</v>
      </c>
      <c r="O749" s="13"/>
      <c r="P749" s="3">
        <f t="shared" si="68"/>
        <v>0</v>
      </c>
      <c r="Q749" s="3">
        <f t="shared" si="69"/>
        <v>0</v>
      </c>
      <c r="R749" s="3">
        <f t="shared" si="65"/>
        <v>7200.3499999999949</v>
      </c>
      <c r="S749" s="24"/>
      <c r="T749" s="24" t="s">
        <v>1334</v>
      </c>
      <c r="U749" s="53"/>
      <c r="V749" s="25">
        <f>IFERROR(VLOOKUP(BCP_Soles[[#This Row],[destinatario]],CHOOSE({1,2},Clientes_Proveedores[Razon Social],Clientes_Proveedores[Ruc / Dni]),2,0),"")</f>
        <v>20454186002</v>
      </c>
      <c r="W749" s="25"/>
      <c r="X749" s="25"/>
      <c r="Y749" s="25"/>
      <c r="Z749" s="75"/>
      <c r="AA749" s="3" t="str">
        <f>IF(BCP_Soles[[#This Row],[fecha]]&gt;0,TEXT(BCP_Soles[[#This Row],[fecha]],"mmmm"),0)</f>
        <v>Marzo</v>
      </c>
    </row>
    <row r="750" spans="1:27" x14ac:dyDescent="0.3">
      <c r="A750" s="2">
        <f>IF(BCP_Soles[[#This Row],[tipo_registro]]="R",COUNTIFS($C$1:$C749,"R")+1,A749)</f>
        <v>539</v>
      </c>
      <c r="B750" s="19" t="str">
        <f t="shared" si="66"/>
        <v>B-BCP - Soles</v>
      </c>
      <c r="C750" s="3" t="s">
        <v>1352</v>
      </c>
      <c r="D750" s="14">
        <v>45719</v>
      </c>
      <c r="E750" s="5" t="s">
        <v>1338</v>
      </c>
      <c r="F750" s="5"/>
      <c r="G750" s="6" t="s">
        <v>286</v>
      </c>
      <c r="H750" s="6" t="s">
        <v>68</v>
      </c>
      <c r="I750" s="6" t="s">
        <v>1390</v>
      </c>
      <c r="J750" s="6">
        <v>617</v>
      </c>
      <c r="K750" s="7" t="s">
        <v>2121</v>
      </c>
      <c r="L750" s="8">
        <v>8760609</v>
      </c>
      <c r="M750" s="8" t="str">
        <f t="shared" si="67"/>
        <v>PEN</v>
      </c>
      <c r="N750" s="13">
        <v>360</v>
      </c>
      <c r="O750" s="13"/>
      <c r="P750" s="3">
        <f t="shared" si="68"/>
        <v>0</v>
      </c>
      <c r="Q750" s="3">
        <f t="shared" si="69"/>
        <v>0</v>
      </c>
      <c r="R750" s="3">
        <f t="shared" si="65"/>
        <v>7200.3499999999949</v>
      </c>
      <c r="S750" s="24"/>
      <c r="T750" s="24" t="s">
        <v>1334</v>
      </c>
      <c r="U750" s="53"/>
      <c r="V750" s="25">
        <f>IFERROR(VLOOKUP(BCP_Soles[[#This Row],[destinatario]],CHOOSE({1,2},Clientes_Proveedores[Razon Social],Clientes_Proveedores[Ruc / Dni]),2,0),"")</f>
        <v>20454186002</v>
      </c>
      <c r="W750" s="25"/>
      <c r="X750" s="25"/>
      <c r="Y750" s="25"/>
      <c r="Z750" s="75"/>
      <c r="AA750" s="3" t="str">
        <f>IF(BCP_Soles[[#This Row],[fecha]]&gt;0,TEXT(BCP_Soles[[#This Row],[fecha]],"mmmm"),0)</f>
        <v>Marzo</v>
      </c>
    </row>
    <row r="751" spans="1:27" ht="24" x14ac:dyDescent="0.3">
      <c r="A751" s="2">
        <f>IF(BCP_Soles[[#This Row],[tipo_registro]]="R",COUNTIFS($C$1:$C750,"R")+1,A750)</f>
        <v>539</v>
      </c>
      <c r="B751" s="19" t="str">
        <f t="shared" si="66"/>
        <v>B-BCP - Soles</v>
      </c>
      <c r="C751" s="3" t="s">
        <v>1352</v>
      </c>
      <c r="D751" s="14">
        <v>45719</v>
      </c>
      <c r="E751" s="5" t="s">
        <v>1338</v>
      </c>
      <c r="F751" s="5"/>
      <c r="G751" s="6" t="s">
        <v>271</v>
      </c>
      <c r="H751" s="6" t="s">
        <v>68</v>
      </c>
      <c r="I751" s="6" t="s">
        <v>1375</v>
      </c>
      <c r="J751" s="6">
        <v>6855</v>
      </c>
      <c r="K751" s="7" t="s">
        <v>2121</v>
      </c>
      <c r="L751" s="8">
        <v>8760609</v>
      </c>
      <c r="M751" s="8" t="str">
        <f t="shared" si="67"/>
        <v>PEN</v>
      </c>
      <c r="N751" s="13">
        <v>917.65</v>
      </c>
      <c r="O751" s="13"/>
      <c r="P751" s="3">
        <f t="shared" si="68"/>
        <v>0</v>
      </c>
      <c r="Q751" s="3">
        <f t="shared" si="69"/>
        <v>0</v>
      </c>
      <c r="R751" s="3">
        <f t="shared" si="65"/>
        <v>7200.3499999999949</v>
      </c>
      <c r="S751" s="24"/>
      <c r="T751" s="24" t="s">
        <v>1334</v>
      </c>
      <c r="U751" s="53"/>
      <c r="V751" s="25">
        <f>IFERROR(VLOOKUP(BCP_Soles[[#This Row],[destinatario]],CHOOSE({1,2},Clientes_Proveedores[Razon Social],Clientes_Proveedores[Ruc / Dni]),2,0),"")</f>
        <v>20419158462</v>
      </c>
      <c r="W751" s="25"/>
      <c r="X751" s="25"/>
      <c r="Y751" s="25"/>
      <c r="Z751" s="75"/>
      <c r="AA751" s="3" t="str">
        <f>IF(BCP_Soles[[#This Row],[fecha]]&gt;0,TEXT(BCP_Soles[[#This Row],[fecha]],"mmmm"),0)</f>
        <v>Marzo</v>
      </c>
    </row>
    <row r="752" spans="1:27" ht="24" x14ac:dyDescent="0.3">
      <c r="A752" s="2">
        <f>IF(BCP_Soles[[#This Row],[tipo_registro]]="R",COUNTIFS($C$1:$C751,"R")+1,A751)</f>
        <v>539</v>
      </c>
      <c r="B752" s="19" t="str">
        <f t="shared" si="66"/>
        <v>B-BCP - Soles</v>
      </c>
      <c r="C752" s="3" t="s">
        <v>1352</v>
      </c>
      <c r="D752" s="14">
        <v>45719</v>
      </c>
      <c r="E752" s="5" t="s">
        <v>1338</v>
      </c>
      <c r="F752" s="5"/>
      <c r="G752" s="6" t="s">
        <v>271</v>
      </c>
      <c r="H752" s="6" t="s">
        <v>68</v>
      </c>
      <c r="I752" s="6" t="s">
        <v>1375</v>
      </c>
      <c r="J752" s="6">
        <v>6860</v>
      </c>
      <c r="K752" s="7" t="s">
        <v>2121</v>
      </c>
      <c r="L752" s="8">
        <v>8760609</v>
      </c>
      <c r="M752" s="8" t="str">
        <f t="shared" si="67"/>
        <v>PEN</v>
      </c>
      <c r="N752" s="13">
        <v>562.20000000000005</v>
      </c>
      <c r="O752" s="13"/>
      <c r="P752" s="3">
        <f t="shared" si="68"/>
        <v>0</v>
      </c>
      <c r="Q752" s="3">
        <f t="shared" si="69"/>
        <v>0</v>
      </c>
      <c r="R752" s="3">
        <f t="shared" si="65"/>
        <v>7200.3499999999949</v>
      </c>
      <c r="S752" s="24"/>
      <c r="T752" s="24" t="s">
        <v>1334</v>
      </c>
      <c r="U752" s="53"/>
      <c r="V752" s="25">
        <f>IFERROR(VLOOKUP(BCP_Soles[[#This Row],[destinatario]],CHOOSE({1,2},Clientes_Proveedores[Razon Social],Clientes_Proveedores[Ruc / Dni]),2,0),"")</f>
        <v>20419158462</v>
      </c>
      <c r="W752" s="25"/>
      <c r="X752" s="25"/>
      <c r="Y752" s="25"/>
      <c r="Z752" s="75"/>
      <c r="AA752" s="3" t="str">
        <f>IF(BCP_Soles[[#This Row],[fecha]]&gt;0,TEXT(BCP_Soles[[#This Row],[fecha]],"mmmm"),0)</f>
        <v>Marzo</v>
      </c>
    </row>
    <row r="753" spans="1:27" x14ac:dyDescent="0.3">
      <c r="A753" s="2">
        <f>IF(BCP_Soles[[#This Row],[tipo_registro]]="R",COUNTIFS($C$1:$C752,"R")+1,A752)</f>
        <v>540</v>
      </c>
      <c r="B753" s="19" t="str">
        <f t="shared" si="66"/>
        <v>B-BCP - Soles</v>
      </c>
      <c r="C753" s="3" t="s">
        <v>1330</v>
      </c>
      <c r="D753" s="14">
        <v>45720</v>
      </c>
      <c r="E753" s="5"/>
      <c r="F753" s="5" t="s">
        <v>1303</v>
      </c>
      <c r="G753" s="6" t="s">
        <v>425</v>
      </c>
      <c r="H753" s="6"/>
      <c r="I753" s="6"/>
      <c r="J753" s="6"/>
      <c r="K753" s="7" t="s">
        <v>1356</v>
      </c>
      <c r="L753" s="8">
        <v>2517689</v>
      </c>
      <c r="M753" s="8" t="str">
        <f t="shared" si="67"/>
        <v>PEN</v>
      </c>
      <c r="N753" s="13"/>
      <c r="O753" s="13">
        <v>4440</v>
      </c>
      <c r="P753" s="3">
        <f t="shared" si="68"/>
        <v>4440</v>
      </c>
      <c r="Q753" s="3">
        <f t="shared" si="69"/>
        <v>0</v>
      </c>
      <c r="R753" s="3">
        <f t="shared" si="65"/>
        <v>11640.349999999995</v>
      </c>
      <c r="S753" s="24" t="s">
        <v>1334</v>
      </c>
      <c r="T753" s="24" t="s">
        <v>1334</v>
      </c>
      <c r="U753" s="53"/>
      <c r="V753" s="25">
        <f>IFERROR(VLOOKUP(BCP_Soles[[#This Row],[destinatario]],CHOOSE({1,2},Clientes_Proveedores[Razon Social],Clientes_Proveedores[Ruc / Dni]),2,0),"")</f>
        <v>20558226979</v>
      </c>
      <c r="W753" s="25" t="s">
        <v>1345</v>
      </c>
      <c r="X753" s="25"/>
      <c r="Y753" s="25"/>
      <c r="Z753" s="75"/>
      <c r="AA753" s="3" t="str">
        <f>IF(BCP_Soles[[#This Row],[fecha]]&gt;0,TEXT(BCP_Soles[[#This Row],[fecha]],"mmmm"),0)</f>
        <v>Marzo</v>
      </c>
    </row>
    <row r="754" spans="1:27" ht="24" x14ac:dyDescent="0.3">
      <c r="A754" s="2">
        <f>IF(BCP_Soles[[#This Row],[tipo_registro]]="R",COUNTIFS($C$1:$C753,"R")+1,A753)</f>
        <v>540</v>
      </c>
      <c r="B754" s="19" t="str">
        <f t="shared" si="66"/>
        <v>B-BCP - Soles</v>
      </c>
      <c r="C754" s="3" t="s">
        <v>1352</v>
      </c>
      <c r="D754" s="14">
        <v>45720</v>
      </c>
      <c r="E754" s="5" t="s">
        <v>536</v>
      </c>
      <c r="F754" s="5" t="s">
        <v>1303</v>
      </c>
      <c r="G754" s="6" t="s">
        <v>425</v>
      </c>
      <c r="H754" s="6" t="s">
        <v>119</v>
      </c>
      <c r="I754" s="6">
        <v>1</v>
      </c>
      <c r="J754" s="6">
        <v>4191</v>
      </c>
      <c r="K754" s="7" t="s">
        <v>1356</v>
      </c>
      <c r="L754" s="8">
        <v>2517689</v>
      </c>
      <c r="M754" s="8" t="str">
        <f t="shared" si="67"/>
        <v>PEN</v>
      </c>
      <c r="N754" s="13">
        <v>2405.5</v>
      </c>
      <c r="O754" s="13"/>
      <c r="P754" s="3">
        <f t="shared" si="68"/>
        <v>0</v>
      </c>
      <c r="Q754" s="3">
        <f t="shared" si="69"/>
        <v>0</v>
      </c>
      <c r="R754" s="3">
        <f t="shared" si="65"/>
        <v>11640.349999999995</v>
      </c>
      <c r="S754" s="24" t="s">
        <v>1334</v>
      </c>
      <c r="T754" s="24" t="s">
        <v>1334</v>
      </c>
      <c r="U754" s="53"/>
      <c r="V754" s="25">
        <f>IFERROR(VLOOKUP(BCP_Soles[[#This Row],[destinatario]],CHOOSE({1,2},Clientes_Proveedores[Razon Social],Clientes_Proveedores[Ruc / Dni]),2,0),"")</f>
        <v>20558226979</v>
      </c>
      <c r="W754" s="25" t="s">
        <v>1345</v>
      </c>
      <c r="X754" s="25" t="s">
        <v>2123</v>
      </c>
      <c r="Y754" s="25"/>
      <c r="Z754" s="75"/>
      <c r="AA754" s="3" t="str">
        <f>IF(BCP_Soles[[#This Row],[fecha]]&gt;0,TEXT(BCP_Soles[[#This Row],[fecha]],"mmmm"),0)</f>
        <v>Marzo</v>
      </c>
    </row>
    <row r="755" spans="1:27" ht="24" x14ac:dyDescent="0.3">
      <c r="A755" s="2">
        <f>IF(BCP_Soles[[#This Row],[tipo_registro]]="R",COUNTIFS($C$1:$C754,"R")+1,A754)</f>
        <v>540</v>
      </c>
      <c r="B755" s="19" t="str">
        <f t="shared" si="66"/>
        <v>B-BCP - Soles</v>
      </c>
      <c r="C755" s="3" t="s">
        <v>1352</v>
      </c>
      <c r="D755" s="14">
        <v>45720</v>
      </c>
      <c r="E755" s="5" t="s">
        <v>536</v>
      </c>
      <c r="F755" s="5" t="s">
        <v>1303</v>
      </c>
      <c r="G755" s="6" t="s">
        <v>425</v>
      </c>
      <c r="H755" s="6" t="s">
        <v>119</v>
      </c>
      <c r="I755" s="6">
        <v>1</v>
      </c>
      <c r="J755" s="6">
        <v>4200</v>
      </c>
      <c r="K755" s="7" t="s">
        <v>1356</v>
      </c>
      <c r="L755" s="8">
        <v>2517689</v>
      </c>
      <c r="M755" s="8" t="str">
        <f t="shared" si="67"/>
        <v>PEN</v>
      </c>
      <c r="N755" s="13">
        <v>1326</v>
      </c>
      <c r="O755" s="13"/>
      <c r="P755" s="3">
        <f t="shared" si="68"/>
        <v>0</v>
      </c>
      <c r="Q755" s="3">
        <f t="shared" si="69"/>
        <v>0</v>
      </c>
      <c r="R755" s="3">
        <f t="shared" si="65"/>
        <v>11640.349999999995</v>
      </c>
      <c r="S755" s="24" t="s">
        <v>1334</v>
      </c>
      <c r="T755" s="24" t="s">
        <v>1334</v>
      </c>
      <c r="U755" s="53"/>
      <c r="V755" s="25">
        <f>IFERROR(VLOOKUP(BCP_Soles[[#This Row],[destinatario]],CHOOSE({1,2},Clientes_Proveedores[Razon Social],Clientes_Proveedores[Ruc / Dni]),2,0),"")</f>
        <v>20558226979</v>
      </c>
      <c r="W755" s="25" t="s">
        <v>1345</v>
      </c>
      <c r="X755" s="25" t="s">
        <v>2124</v>
      </c>
      <c r="Y755" s="25"/>
      <c r="Z755" s="75"/>
      <c r="AA755" s="3" t="str">
        <f>IF(BCP_Soles[[#This Row],[fecha]]&gt;0,TEXT(BCP_Soles[[#This Row],[fecha]],"mmmm"),0)</f>
        <v>Marzo</v>
      </c>
    </row>
    <row r="756" spans="1:27" ht="24" x14ac:dyDescent="0.3">
      <c r="A756" s="2">
        <f>IF(BCP_Soles[[#This Row],[tipo_registro]]="R",COUNTIFS($C$1:$C755,"R")+1,A755)</f>
        <v>540</v>
      </c>
      <c r="B756" s="19" t="str">
        <f t="shared" si="66"/>
        <v>B-BCP - Soles</v>
      </c>
      <c r="C756" s="3" t="s">
        <v>1352</v>
      </c>
      <c r="D756" s="14">
        <v>45720</v>
      </c>
      <c r="E756" s="5" t="s">
        <v>536</v>
      </c>
      <c r="F756" s="5" t="s">
        <v>1303</v>
      </c>
      <c r="G756" s="6" t="s">
        <v>425</v>
      </c>
      <c r="H756" s="6" t="s">
        <v>119</v>
      </c>
      <c r="I756" s="6">
        <v>1</v>
      </c>
      <c r="J756" s="6">
        <v>4205</v>
      </c>
      <c r="K756" s="7" t="s">
        <v>1356</v>
      </c>
      <c r="L756" s="8">
        <v>2517689</v>
      </c>
      <c r="M756" s="8" t="str">
        <f t="shared" si="67"/>
        <v>PEN</v>
      </c>
      <c r="N756" s="13">
        <v>708.5</v>
      </c>
      <c r="O756" s="13"/>
      <c r="P756" s="3">
        <f t="shared" si="68"/>
        <v>0</v>
      </c>
      <c r="Q756" s="3">
        <f t="shared" si="69"/>
        <v>0</v>
      </c>
      <c r="R756" s="3">
        <f t="shared" si="65"/>
        <v>11640.349999999995</v>
      </c>
      <c r="S756" s="24" t="s">
        <v>1334</v>
      </c>
      <c r="T756" s="24" t="s">
        <v>1334</v>
      </c>
      <c r="U756" s="53"/>
      <c r="V756" s="25">
        <f>IFERROR(VLOOKUP(BCP_Soles[[#This Row],[destinatario]],CHOOSE({1,2},Clientes_Proveedores[Razon Social],Clientes_Proveedores[Ruc / Dni]),2,0),"")</f>
        <v>20558226979</v>
      </c>
      <c r="W756" s="25" t="s">
        <v>1345</v>
      </c>
      <c r="X756" s="25" t="s">
        <v>2125</v>
      </c>
      <c r="Y756" s="25"/>
      <c r="Z756" s="75"/>
      <c r="AA756" s="3" t="str">
        <f>IF(BCP_Soles[[#This Row],[fecha]]&gt;0,TEXT(BCP_Soles[[#This Row],[fecha]],"mmmm"),0)</f>
        <v>Marzo</v>
      </c>
    </row>
    <row r="757" spans="1:27" ht="24" x14ac:dyDescent="0.3">
      <c r="A757" s="2">
        <f>IF(BCP_Soles[[#This Row],[tipo_registro]]="R",COUNTIFS($C$1:$C756,"R")+1,A756)</f>
        <v>541</v>
      </c>
      <c r="B757" s="19" t="str">
        <f t="shared" si="66"/>
        <v>B-BCP - Soles</v>
      </c>
      <c r="C757" s="3" t="s">
        <v>1330</v>
      </c>
      <c r="D757" s="14">
        <v>45720</v>
      </c>
      <c r="E757" s="5" t="s">
        <v>1669</v>
      </c>
      <c r="F757" s="5" t="s">
        <v>1303</v>
      </c>
      <c r="G757" s="6" t="s">
        <v>425</v>
      </c>
      <c r="H757" s="6" t="s">
        <v>119</v>
      </c>
      <c r="I757" s="6">
        <v>1</v>
      </c>
      <c r="J757" s="6">
        <v>4214</v>
      </c>
      <c r="K757" s="7" t="s">
        <v>1356</v>
      </c>
      <c r="L757" s="8">
        <v>2194339</v>
      </c>
      <c r="M757" s="8" t="str">
        <f t="shared" si="67"/>
        <v>PEN</v>
      </c>
      <c r="N757" s="13"/>
      <c r="O757" s="13">
        <v>1965</v>
      </c>
      <c r="P757" s="3">
        <f t="shared" si="68"/>
        <v>1965</v>
      </c>
      <c r="Q757" s="3">
        <f t="shared" si="69"/>
        <v>0</v>
      </c>
      <c r="R757" s="3">
        <f t="shared" si="65"/>
        <v>13605.349999999995</v>
      </c>
      <c r="S757" s="24" t="s">
        <v>1334</v>
      </c>
      <c r="T757" s="24" t="s">
        <v>1334</v>
      </c>
      <c r="U757" s="53"/>
      <c r="V757" s="25">
        <f>IFERROR(VLOOKUP(BCP_Soles[[#This Row],[destinatario]],CHOOSE({1,2},Clientes_Proveedores[Razon Social],Clientes_Proveedores[Ruc / Dni]),2,0),"")</f>
        <v>20558226979</v>
      </c>
      <c r="W757" s="25" t="s">
        <v>1345</v>
      </c>
      <c r="X757" s="25" t="s">
        <v>2126</v>
      </c>
      <c r="Y757" s="25"/>
      <c r="Z757" s="75"/>
      <c r="AA757" s="3" t="str">
        <f>IF(BCP_Soles[[#This Row],[fecha]]&gt;0,TEXT(BCP_Soles[[#This Row],[fecha]],"mmmm"),0)</f>
        <v>Marzo</v>
      </c>
    </row>
    <row r="758" spans="1:27" ht="36" x14ac:dyDescent="0.3">
      <c r="A758" s="2">
        <f>IF(BCP_Soles[[#This Row],[tipo_registro]]="R",COUNTIFS($C$1:$C757,"R")+1,A757)</f>
        <v>542</v>
      </c>
      <c r="B758" s="19" t="str">
        <f t="shared" si="66"/>
        <v>B-BCP - Soles</v>
      </c>
      <c r="C758" s="3" t="s">
        <v>1330</v>
      </c>
      <c r="D758" s="14">
        <v>45720</v>
      </c>
      <c r="E758" s="5" t="s">
        <v>555</v>
      </c>
      <c r="F758" s="5" t="s">
        <v>1303</v>
      </c>
      <c r="G758" s="6" t="s">
        <v>425</v>
      </c>
      <c r="H758" s="6"/>
      <c r="I758" s="6"/>
      <c r="J758" s="6"/>
      <c r="K758" s="7" t="s">
        <v>1348</v>
      </c>
      <c r="L758" s="8">
        <v>2175460</v>
      </c>
      <c r="M758" s="8" t="str">
        <f t="shared" si="67"/>
        <v>PEN</v>
      </c>
      <c r="N758" s="13"/>
      <c r="O758" s="13">
        <v>898.28</v>
      </c>
      <c r="P758" s="3">
        <f t="shared" si="68"/>
        <v>898.28</v>
      </c>
      <c r="Q758" s="3">
        <f t="shared" si="69"/>
        <v>0</v>
      </c>
      <c r="R758" s="3">
        <f t="shared" si="65"/>
        <v>14503.629999999996</v>
      </c>
      <c r="S758" s="24" t="s">
        <v>1334</v>
      </c>
      <c r="T758" s="24" t="s">
        <v>1334</v>
      </c>
      <c r="U758" s="53"/>
      <c r="V758" s="25">
        <f>IFERROR(VLOOKUP(BCP_Soles[[#This Row],[destinatario]],CHOOSE({1,2},Clientes_Proveedores[Razon Social],Clientes_Proveedores[Ruc / Dni]),2,0),"")</f>
        <v>20558226979</v>
      </c>
      <c r="W758" s="25" t="s">
        <v>1345</v>
      </c>
      <c r="X758" s="25" t="s">
        <v>2127</v>
      </c>
      <c r="Y758" s="25"/>
      <c r="Z758" s="75"/>
      <c r="AA758" s="3" t="str">
        <f>IF(BCP_Soles[[#This Row],[fecha]]&gt;0,TEXT(BCP_Soles[[#This Row],[fecha]],"mmmm"),0)</f>
        <v>Marzo</v>
      </c>
    </row>
    <row r="759" spans="1:27" ht="36" x14ac:dyDescent="0.3">
      <c r="A759" s="2">
        <f>IF(BCP_Soles[[#This Row],[tipo_registro]]="R",COUNTIFS($C$1:$C758,"R")+1,A758)</f>
        <v>543</v>
      </c>
      <c r="B759" s="19" t="str">
        <f t="shared" si="66"/>
        <v>B-BCP - Soles</v>
      </c>
      <c r="C759" s="3" t="s">
        <v>1330</v>
      </c>
      <c r="D759" s="14">
        <v>45720</v>
      </c>
      <c r="E759" s="5" t="s">
        <v>555</v>
      </c>
      <c r="F759" s="5" t="s">
        <v>1303</v>
      </c>
      <c r="G759" s="6" t="s">
        <v>425</v>
      </c>
      <c r="H759" s="6"/>
      <c r="I759" s="6"/>
      <c r="J759" s="6"/>
      <c r="K759" s="7" t="s">
        <v>1348</v>
      </c>
      <c r="L759" s="8">
        <v>2172964</v>
      </c>
      <c r="M759" s="8" t="str">
        <f t="shared" si="67"/>
        <v>PEN</v>
      </c>
      <c r="N759" s="13"/>
      <c r="O759" s="13">
        <v>649.64</v>
      </c>
      <c r="P759" s="3">
        <f t="shared" si="68"/>
        <v>649.64</v>
      </c>
      <c r="Q759" s="3">
        <f t="shared" si="69"/>
        <v>0</v>
      </c>
      <c r="R759" s="3">
        <f t="shared" si="65"/>
        <v>15153.269999999995</v>
      </c>
      <c r="S759" s="24" t="s">
        <v>1334</v>
      </c>
      <c r="T759" s="24" t="s">
        <v>1334</v>
      </c>
      <c r="U759" s="53"/>
      <c r="V759" s="25">
        <f>IFERROR(VLOOKUP(BCP_Soles[[#This Row],[destinatario]],CHOOSE({1,2},Clientes_Proveedores[Razon Social],Clientes_Proveedores[Ruc / Dni]),2,0),"")</f>
        <v>20558226979</v>
      </c>
      <c r="W759" s="25" t="s">
        <v>1345</v>
      </c>
      <c r="X759" s="25" t="s">
        <v>2128</v>
      </c>
      <c r="Y759" s="25"/>
      <c r="Z759" s="75"/>
      <c r="AA759" s="3" t="str">
        <f>IF(BCP_Soles[[#This Row],[fecha]]&gt;0,TEXT(BCP_Soles[[#This Row],[fecha]],"mmmm"),0)</f>
        <v>Marzo</v>
      </c>
    </row>
    <row r="760" spans="1:27" ht="36" x14ac:dyDescent="0.3">
      <c r="A760" s="2">
        <f>IF(BCP_Soles[[#This Row],[tipo_registro]]="R",COUNTIFS($C$1:$C759,"R")+1,A759)</f>
        <v>544</v>
      </c>
      <c r="B760" s="19" t="str">
        <f t="shared" si="66"/>
        <v>B-BCP - Soles</v>
      </c>
      <c r="C760" s="3" t="s">
        <v>1330</v>
      </c>
      <c r="D760" s="14">
        <v>45720</v>
      </c>
      <c r="E760" s="5" t="s">
        <v>555</v>
      </c>
      <c r="F760" s="5" t="s">
        <v>1303</v>
      </c>
      <c r="G760" s="6" t="s">
        <v>425</v>
      </c>
      <c r="H760" s="6"/>
      <c r="I760" s="6"/>
      <c r="J760" s="6"/>
      <c r="K760" s="7" t="s">
        <v>1348</v>
      </c>
      <c r="L760" s="8">
        <v>2175300</v>
      </c>
      <c r="M760" s="8" t="str">
        <f t="shared" si="67"/>
        <v>PEN</v>
      </c>
      <c r="N760" s="13"/>
      <c r="O760" s="13">
        <v>609.44000000000005</v>
      </c>
      <c r="P760" s="3">
        <f t="shared" si="68"/>
        <v>609.44000000000005</v>
      </c>
      <c r="Q760" s="3">
        <f t="shared" si="69"/>
        <v>0</v>
      </c>
      <c r="R760" s="3">
        <f t="shared" si="65"/>
        <v>15762.709999999995</v>
      </c>
      <c r="S760" s="24" t="s">
        <v>1334</v>
      </c>
      <c r="T760" s="24" t="s">
        <v>1334</v>
      </c>
      <c r="U760" s="53"/>
      <c r="V760" s="25">
        <f>IFERROR(VLOOKUP(BCP_Soles[[#This Row],[destinatario]],CHOOSE({1,2},Clientes_Proveedores[Razon Social],Clientes_Proveedores[Ruc / Dni]),2,0),"")</f>
        <v>20558226979</v>
      </c>
      <c r="W760" s="25" t="s">
        <v>1345</v>
      </c>
      <c r="X760" s="25" t="s">
        <v>2129</v>
      </c>
      <c r="Y760" s="25"/>
      <c r="Z760" s="75"/>
      <c r="AA760" s="3" t="str">
        <f>IF(BCP_Soles[[#This Row],[fecha]]&gt;0,TEXT(BCP_Soles[[#This Row],[fecha]],"mmmm"),0)</f>
        <v>Marzo</v>
      </c>
    </row>
    <row r="761" spans="1:27" x14ac:dyDescent="0.3">
      <c r="A761" s="2">
        <f>IF(BCP_Soles[[#This Row],[tipo_registro]]="R",COUNTIFS($C$1:$C760,"R")+1,A760)</f>
        <v>545</v>
      </c>
      <c r="B761" s="19" t="str">
        <f t="shared" si="66"/>
        <v>B-BCP - Soles</v>
      </c>
      <c r="C761" s="3" t="s">
        <v>1330</v>
      </c>
      <c r="D761" s="14">
        <v>45720</v>
      </c>
      <c r="E761" s="5" t="s">
        <v>1335</v>
      </c>
      <c r="F761" s="5" t="s">
        <v>1336</v>
      </c>
      <c r="G761" s="6"/>
      <c r="H761" s="6"/>
      <c r="I761" s="6"/>
      <c r="J761" s="6"/>
      <c r="K761" s="7" t="s">
        <v>1337</v>
      </c>
      <c r="L761" s="8"/>
      <c r="M761" s="8" t="str">
        <f t="shared" si="67"/>
        <v>PEN</v>
      </c>
      <c r="N761" s="13"/>
      <c r="O761" s="13">
        <v>0.8</v>
      </c>
      <c r="P761" s="3">
        <f t="shared" si="68"/>
        <v>0</v>
      </c>
      <c r="Q761" s="3">
        <f t="shared" si="69"/>
        <v>0.8</v>
      </c>
      <c r="R761" s="3">
        <f t="shared" si="65"/>
        <v>15761.909999999996</v>
      </c>
      <c r="S761" s="24"/>
      <c r="T761" s="24" t="s">
        <v>1334</v>
      </c>
      <c r="U761" s="53"/>
      <c r="V761" s="25" t="str">
        <f>IFERROR(VLOOKUP(BCP_Soles[[#This Row],[destinatario]],CHOOSE({1,2},Clientes_Proveedores[Razon Social],Clientes_Proveedores[Ruc / Dni]),2,0),"")</f>
        <v/>
      </c>
      <c r="W761" s="25"/>
      <c r="X761" s="25"/>
      <c r="Y761" s="25"/>
      <c r="Z761" s="75"/>
      <c r="AA761" s="3" t="str">
        <f>IF(BCP_Soles[[#This Row],[fecha]]&gt;0,TEXT(BCP_Soles[[#This Row],[fecha]],"mmmm"),0)</f>
        <v>Marzo</v>
      </c>
    </row>
    <row r="762" spans="1:27" ht="24" x14ac:dyDescent="0.3">
      <c r="A762" s="2">
        <f>IF(BCP_Soles[[#This Row],[tipo_registro]]="R",COUNTIFS($C$1:$C761,"R")+1,A761)</f>
        <v>546</v>
      </c>
      <c r="B762" s="19" t="str">
        <f t="shared" si="66"/>
        <v>B-BCP - Soles</v>
      </c>
      <c r="C762" s="3" t="s">
        <v>1330</v>
      </c>
      <c r="D762" s="14">
        <v>45720</v>
      </c>
      <c r="E762" s="5" t="s">
        <v>1530</v>
      </c>
      <c r="F762" s="5" t="s">
        <v>1336</v>
      </c>
      <c r="G762" s="6" t="s">
        <v>1060</v>
      </c>
      <c r="H762" s="6" t="s">
        <v>68</v>
      </c>
      <c r="I762" s="6" t="s">
        <v>1397</v>
      </c>
      <c r="J762" s="6">
        <v>30131594</v>
      </c>
      <c r="K762" s="7" t="s">
        <v>1400</v>
      </c>
      <c r="L762" s="8">
        <v>545</v>
      </c>
      <c r="M762" s="8" t="str">
        <f t="shared" si="67"/>
        <v>PEN</v>
      </c>
      <c r="N762" s="13"/>
      <c r="O762" s="13">
        <v>10</v>
      </c>
      <c r="P762" s="3">
        <f t="shared" si="68"/>
        <v>0</v>
      </c>
      <c r="Q762" s="3">
        <f t="shared" si="69"/>
        <v>10</v>
      </c>
      <c r="R762" s="3">
        <f t="shared" si="65"/>
        <v>15751.909999999996</v>
      </c>
      <c r="S762" s="24"/>
      <c r="T762" s="24" t="s">
        <v>1334</v>
      </c>
      <c r="U762" s="53"/>
      <c r="V762" s="25">
        <f>IFERROR(VLOOKUP(BCP_Soles[[#This Row],[destinatario]],CHOOSE({1,2},Clientes_Proveedores[Razon Social],Clientes_Proveedores[Ruc / Dni]),2,0),"")</f>
        <v>20100047218</v>
      </c>
      <c r="W762" s="25" t="s">
        <v>1335</v>
      </c>
      <c r="X762" s="25" t="s">
        <v>2130</v>
      </c>
      <c r="Y762" s="25"/>
      <c r="Z762" s="75"/>
      <c r="AA762" s="3" t="str">
        <f>IF(BCP_Soles[[#This Row],[fecha]]&gt;0,TEXT(BCP_Soles[[#This Row],[fecha]],"mmmm"),0)</f>
        <v>Marzo</v>
      </c>
    </row>
    <row r="763" spans="1:27" ht="24" x14ac:dyDescent="0.3">
      <c r="A763" s="2">
        <f>IF(BCP_Soles[[#This Row],[tipo_registro]]="R",COUNTIFS($C$1:$C762,"R")+1,A762)</f>
        <v>547</v>
      </c>
      <c r="B763" s="19" t="str">
        <f t="shared" si="66"/>
        <v>B-BCP - Soles</v>
      </c>
      <c r="C763" s="3" t="s">
        <v>1330</v>
      </c>
      <c r="D763" s="14">
        <v>45720</v>
      </c>
      <c r="E763" s="5" t="s">
        <v>1338</v>
      </c>
      <c r="F763" s="5" t="s">
        <v>1336</v>
      </c>
      <c r="G763" s="6" t="s">
        <v>195</v>
      </c>
      <c r="H763" s="6" t="s">
        <v>68</v>
      </c>
      <c r="I763" s="6" t="s">
        <v>1374</v>
      </c>
      <c r="J763" s="6">
        <v>66419</v>
      </c>
      <c r="K763" s="7" t="s">
        <v>2131</v>
      </c>
      <c r="L763" s="8">
        <v>201274</v>
      </c>
      <c r="M763" s="8" t="str">
        <f t="shared" si="67"/>
        <v>PEN</v>
      </c>
      <c r="N763" s="13"/>
      <c r="O763" s="13">
        <v>50.5</v>
      </c>
      <c r="P763" s="3">
        <f t="shared" si="68"/>
        <v>0</v>
      </c>
      <c r="Q763" s="3">
        <f t="shared" si="69"/>
        <v>50.5</v>
      </c>
      <c r="R763" s="3">
        <f t="shared" si="65"/>
        <v>15701.409999999996</v>
      </c>
      <c r="S763" s="24" t="s">
        <v>1334</v>
      </c>
      <c r="T763" s="24" t="s">
        <v>1334</v>
      </c>
      <c r="U763" s="53"/>
      <c r="V763" s="25">
        <f>IFERROR(VLOOKUP(BCP_Soles[[#This Row],[destinatario]],CHOOSE({1,2},Clientes_Proveedores[Razon Social],Clientes_Proveedores[Ruc / Dni]),2,0),"")</f>
        <v>20100039207</v>
      </c>
      <c r="W763" s="25" t="s">
        <v>1419</v>
      </c>
      <c r="X763" s="25" t="s">
        <v>2132</v>
      </c>
      <c r="Y763" s="25"/>
      <c r="Z763" s="75"/>
      <c r="AA763" s="3" t="str">
        <f>IF(BCP_Soles[[#This Row],[fecha]]&gt;0,TEXT(BCP_Soles[[#This Row],[fecha]],"mmmm"),0)</f>
        <v>Marzo</v>
      </c>
    </row>
    <row r="764" spans="1:27" ht="36" x14ac:dyDescent="0.3">
      <c r="A764" s="2">
        <f>IF(BCP_Soles[[#This Row],[tipo_registro]]="R",COUNTIFS($C$1:$C763,"R")+1,A763)</f>
        <v>548</v>
      </c>
      <c r="B764" s="19" t="str">
        <f t="shared" si="66"/>
        <v>B-BCP - Soles</v>
      </c>
      <c r="C764" s="3" t="s">
        <v>1330</v>
      </c>
      <c r="D764" s="14">
        <v>45720</v>
      </c>
      <c r="E764" s="5" t="s">
        <v>1338</v>
      </c>
      <c r="F764" s="5" t="s">
        <v>1336</v>
      </c>
      <c r="G764" s="6" t="s">
        <v>588</v>
      </c>
      <c r="H764" s="6" t="s">
        <v>68</v>
      </c>
      <c r="I764" s="6" t="s">
        <v>1376</v>
      </c>
      <c r="J764" s="6">
        <v>357</v>
      </c>
      <c r="K764" s="7" t="s">
        <v>2133</v>
      </c>
      <c r="L764" s="8">
        <v>1143261</v>
      </c>
      <c r="M764" s="8" t="str">
        <f t="shared" si="67"/>
        <v>PEN</v>
      </c>
      <c r="N764" s="13"/>
      <c r="O764" s="13">
        <v>94.28</v>
      </c>
      <c r="P764" s="3">
        <f t="shared" si="68"/>
        <v>0</v>
      </c>
      <c r="Q764" s="3">
        <f t="shared" si="69"/>
        <v>94.28</v>
      </c>
      <c r="R764" s="3">
        <f t="shared" si="65"/>
        <v>15607.129999999996</v>
      </c>
      <c r="S764" s="24" t="s">
        <v>1334</v>
      </c>
      <c r="T764" s="24" t="s">
        <v>1334</v>
      </c>
      <c r="U764" s="53"/>
      <c r="V764" s="25">
        <f>IFERROR(VLOOKUP(BCP_Soles[[#This Row],[destinatario]],CHOOSE({1,2},Clientes_Proveedores[Razon Social],Clientes_Proveedores[Ruc / Dni]),2,0),"")</f>
        <v>20609368773</v>
      </c>
      <c r="W764" s="25" t="s">
        <v>1439</v>
      </c>
      <c r="X764" s="25" t="s">
        <v>2134</v>
      </c>
      <c r="Y764" s="25"/>
      <c r="Z764" s="75"/>
      <c r="AA764" s="3" t="str">
        <f>IF(BCP_Soles[[#This Row],[fecha]]&gt;0,TEXT(BCP_Soles[[#This Row],[fecha]],"mmmm"),0)</f>
        <v>Marzo</v>
      </c>
    </row>
    <row r="765" spans="1:27" ht="24" x14ac:dyDescent="0.3">
      <c r="A765" s="2">
        <f>IF(BCP_Soles[[#This Row],[tipo_registro]]="R",COUNTIFS($C$1:$C764,"R")+1,A764)</f>
        <v>549</v>
      </c>
      <c r="B765" s="19" t="str">
        <f t="shared" si="66"/>
        <v>B-BCP - Soles</v>
      </c>
      <c r="C765" s="3" t="s">
        <v>1330</v>
      </c>
      <c r="D765" s="14">
        <v>45720</v>
      </c>
      <c r="E765" s="5" t="s">
        <v>1338</v>
      </c>
      <c r="F765" s="5" t="s">
        <v>1336</v>
      </c>
      <c r="G765" s="6" t="s">
        <v>241</v>
      </c>
      <c r="H765" s="6" t="s">
        <v>68</v>
      </c>
      <c r="I765" s="6" t="s">
        <v>1339</v>
      </c>
      <c r="J765" s="6">
        <v>7282</v>
      </c>
      <c r="K765" s="7" t="s">
        <v>2131</v>
      </c>
      <c r="L765" s="8">
        <v>1202255</v>
      </c>
      <c r="M765" s="8" t="str">
        <f t="shared" si="67"/>
        <v>PEN</v>
      </c>
      <c r="N765" s="13"/>
      <c r="O765" s="13">
        <v>459.5</v>
      </c>
      <c r="P765" s="3">
        <f t="shared" si="68"/>
        <v>0</v>
      </c>
      <c r="Q765" s="3">
        <f t="shared" si="69"/>
        <v>459.5</v>
      </c>
      <c r="R765" s="3">
        <f t="shared" si="65"/>
        <v>15147.629999999996</v>
      </c>
      <c r="S765" s="24" t="s">
        <v>1334</v>
      </c>
      <c r="T765" s="24" t="s">
        <v>1334</v>
      </c>
      <c r="U765" s="53"/>
      <c r="V765" s="25">
        <f>IFERROR(VLOOKUP(BCP_Soles[[#This Row],[destinatario]],CHOOSE({1,2},Clientes_Proveedores[Razon Social],Clientes_Proveedores[Ruc / Dni]),2,0),"")</f>
        <v>20170040938</v>
      </c>
      <c r="W765" s="25" t="s">
        <v>1341</v>
      </c>
      <c r="X765" s="25" t="s">
        <v>2135</v>
      </c>
      <c r="Y765" s="25"/>
      <c r="Z765" s="75"/>
      <c r="AA765" s="3" t="str">
        <f>IF(BCP_Soles[[#This Row],[fecha]]&gt;0,TEXT(BCP_Soles[[#This Row],[fecha]],"mmmm"),0)</f>
        <v>Marzo</v>
      </c>
    </row>
    <row r="766" spans="1:27" ht="24" x14ac:dyDescent="0.3">
      <c r="A766" s="2">
        <f>IF(BCP_Soles[[#This Row],[tipo_registro]]="R",COUNTIFS($C$1:$C765,"R")+1,A765)</f>
        <v>550</v>
      </c>
      <c r="B766" s="19" t="str">
        <f t="shared" si="66"/>
        <v>B-BCP - Soles</v>
      </c>
      <c r="C766" s="3" t="s">
        <v>1330</v>
      </c>
      <c r="D766" s="14">
        <v>45720</v>
      </c>
      <c r="E766" s="5" t="s">
        <v>1338</v>
      </c>
      <c r="F766" s="5" t="s">
        <v>1336</v>
      </c>
      <c r="G766" s="6" t="s">
        <v>249</v>
      </c>
      <c r="H766" s="6"/>
      <c r="I766" s="6"/>
      <c r="J766" s="6"/>
      <c r="K766" s="7" t="s">
        <v>2136</v>
      </c>
      <c r="L766" s="8">
        <v>1143755</v>
      </c>
      <c r="M766" s="8" t="str">
        <f t="shared" si="67"/>
        <v>PEN</v>
      </c>
      <c r="N766" s="13"/>
      <c r="O766" s="13">
        <v>472</v>
      </c>
      <c r="P766" s="3">
        <f t="shared" si="68"/>
        <v>0</v>
      </c>
      <c r="Q766" s="3">
        <f t="shared" si="69"/>
        <v>472</v>
      </c>
      <c r="R766" s="3">
        <f t="shared" si="65"/>
        <v>14675.629999999996</v>
      </c>
      <c r="S766" s="24"/>
      <c r="T766" s="24"/>
      <c r="U766" s="53"/>
      <c r="V766" s="25">
        <f>IFERROR(VLOOKUP(BCP_Soles[[#This Row],[destinatario]],CHOOSE({1,2},Clientes_Proveedores[Razon Social],Clientes_Proveedores[Ruc / Dni]),2,0),"")</f>
        <v>20302891452</v>
      </c>
      <c r="W766" s="25" t="s">
        <v>249</v>
      </c>
      <c r="X766" s="25"/>
      <c r="Y766" s="25"/>
      <c r="Z766" s="75"/>
      <c r="AA766" s="3" t="str">
        <f>IF(BCP_Soles[[#This Row],[fecha]]&gt;0,TEXT(BCP_Soles[[#This Row],[fecha]],"mmmm"),0)</f>
        <v>Marzo</v>
      </c>
    </row>
    <row r="767" spans="1:27" ht="36" x14ac:dyDescent="0.3">
      <c r="A767" s="2">
        <f>IF(BCP_Soles[[#This Row],[tipo_registro]]="R",COUNTIFS($C$1:$C766,"R")+1,A766)</f>
        <v>551</v>
      </c>
      <c r="B767" s="19" t="str">
        <f t="shared" si="66"/>
        <v>B-BCP - Soles</v>
      </c>
      <c r="C767" s="3" t="s">
        <v>1330</v>
      </c>
      <c r="D767" s="14">
        <v>45720</v>
      </c>
      <c r="E767" s="5" t="s">
        <v>1338</v>
      </c>
      <c r="F767" s="5" t="s">
        <v>1336</v>
      </c>
      <c r="G767" s="6" t="s">
        <v>497</v>
      </c>
      <c r="H767" s="6" t="s">
        <v>68</v>
      </c>
      <c r="I767" s="6" t="s">
        <v>1390</v>
      </c>
      <c r="J767" s="6">
        <v>18499</v>
      </c>
      <c r="K767" s="7" t="s">
        <v>2137</v>
      </c>
      <c r="L767" s="8">
        <v>1144247</v>
      </c>
      <c r="M767" s="8" t="str">
        <f t="shared" si="67"/>
        <v>PEN</v>
      </c>
      <c r="N767" s="13"/>
      <c r="O767" s="13">
        <v>515</v>
      </c>
      <c r="P767" s="3">
        <f t="shared" si="68"/>
        <v>0</v>
      </c>
      <c r="Q767" s="3">
        <f t="shared" si="69"/>
        <v>515</v>
      </c>
      <c r="R767" s="3">
        <f t="shared" si="65"/>
        <v>14160.629999999996</v>
      </c>
      <c r="S767" s="24" t="s">
        <v>1334</v>
      </c>
      <c r="T767" s="24" t="s">
        <v>1334</v>
      </c>
      <c r="U767" s="53"/>
      <c r="V767" s="25">
        <f>IFERROR(VLOOKUP(BCP_Soles[[#This Row],[destinatario]],CHOOSE({1,2},Clientes_Proveedores[Razon Social],Clientes_Proveedores[Ruc / Dni]),2,0),"")</f>
        <v>20602810497</v>
      </c>
      <c r="W767" s="25" t="s">
        <v>1591</v>
      </c>
      <c r="X767" s="25"/>
      <c r="Y767" s="25"/>
      <c r="Z767" s="75"/>
      <c r="AA767" s="3" t="str">
        <f>IF(BCP_Soles[[#This Row],[fecha]]&gt;0,TEXT(BCP_Soles[[#This Row],[fecha]],"mmmm"),0)</f>
        <v>Marzo</v>
      </c>
    </row>
    <row r="768" spans="1:27" ht="24" x14ac:dyDescent="0.3">
      <c r="A768" s="2">
        <f>IF(BCP_Soles[[#This Row],[tipo_registro]]="R",COUNTIFS($C$1:$C767,"R")+1,A767)</f>
        <v>552</v>
      </c>
      <c r="B768" s="19" t="str">
        <f t="shared" si="66"/>
        <v>B-BCP - Soles</v>
      </c>
      <c r="C768" s="3" t="s">
        <v>1330</v>
      </c>
      <c r="D768" s="14">
        <v>45720</v>
      </c>
      <c r="E768" s="5" t="s">
        <v>1338</v>
      </c>
      <c r="F768" s="5" t="s">
        <v>1336</v>
      </c>
      <c r="G768" s="6" t="s">
        <v>866</v>
      </c>
      <c r="H768" s="6" t="s">
        <v>143</v>
      </c>
      <c r="I768" s="6">
        <v>1</v>
      </c>
      <c r="J768" s="6">
        <v>232025</v>
      </c>
      <c r="K768" s="7" t="s">
        <v>2138</v>
      </c>
      <c r="L768" s="8">
        <v>1141819</v>
      </c>
      <c r="M768" s="8" t="str">
        <f t="shared" si="67"/>
        <v>PEN</v>
      </c>
      <c r="N768" s="13"/>
      <c r="O768" s="13">
        <v>960</v>
      </c>
      <c r="P768" s="3">
        <f t="shared" si="68"/>
        <v>0</v>
      </c>
      <c r="Q768" s="3">
        <f t="shared" si="69"/>
        <v>960</v>
      </c>
      <c r="R768" s="3">
        <f t="shared" si="65"/>
        <v>13200.629999999996</v>
      </c>
      <c r="S768" s="24" t="s">
        <v>1334</v>
      </c>
      <c r="T768" s="24" t="s">
        <v>1334</v>
      </c>
      <c r="U768" s="53"/>
      <c r="V768" s="25">
        <f>IFERROR(VLOOKUP(BCP_Soles[[#This Row],[destinatario]],CHOOSE({1,2},Clientes_Proveedores[Razon Social],Clientes_Proveedores[Ruc / Dni]),2,0),"")</f>
        <v>45921913</v>
      </c>
      <c r="W768" s="25"/>
      <c r="X768" s="25"/>
      <c r="Y768" s="25"/>
      <c r="Z768" s="75"/>
      <c r="AA768" s="3" t="str">
        <f>IF(BCP_Soles[[#This Row],[fecha]]&gt;0,TEXT(BCP_Soles[[#This Row],[fecha]],"mmmm"),0)</f>
        <v>Marzo</v>
      </c>
    </row>
    <row r="769" spans="1:27" ht="24" x14ac:dyDescent="0.3">
      <c r="A769" s="2">
        <f>IF(BCP_Soles[[#This Row],[tipo_registro]]="R",COUNTIFS($C$1:$C768,"R")+1,A768)</f>
        <v>553</v>
      </c>
      <c r="B769" s="19" t="str">
        <f t="shared" si="66"/>
        <v>B-BCP - Soles</v>
      </c>
      <c r="C769" s="3" t="s">
        <v>1330</v>
      </c>
      <c r="D769" s="14">
        <v>45720</v>
      </c>
      <c r="E769" s="5" t="s">
        <v>1338</v>
      </c>
      <c r="F769" s="5" t="s">
        <v>1336</v>
      </c>
      <c r="G769" s="6" t="s">
        <v>249</v>
      </c>
      <c r="H769" s="6"/>
      <c r="I769" s="6"/>
      <c r="J769" s="6"/>
      <c r="K769" s="7" t="s">
        <v>2139</v>
      </c>
      <c r="L769" s="8">
        <v>1143754</v>
      </c>
      <c r="M769" s="8" t="str">
        <f t="shared" si="67"/>
        <v>PEN</v>
      </c>
      <c r="N769" s="13"/>
      <c r="O769" s="13">
        <v>1276.29</v>
      </c>
      <c r="P769" s="3">
        <f t="shared" si="68"/>
        <v>0</v>
      </c>
      <c r="Q769" s="3">
        <f t="shared" si="69"/>
        <v>1276.29</v>
      </c>
      <c r="R769" s="3">
        <f t="shared" si="65"/>
        <v>11924.339999999997</v>
      </c>
      <c r="S769" s="24"/>
      <c r="T769" s="24"/>
      <c r="U769" s="53"/>
      <c r="V769" s="25">
        <f>IFERROR(VLOOKUP(BCP_Soles[[#This Row],[destinatario]],CHOOSE({1,2},Clientes_Proveedores[Razon Social],Clientes_Proveedores[Ruc / Dni]),2,0),"")</f>
        <v>20302891452</v>
      </c>
      <c r="W769" s="25" t="s">
        <v>249</v>
      </c>
      <c r="X769" s="25"/>
      <c r="Y769" s="25"/>
      <c r="Z769" s="75"/>
      <c r="AA769" s="3" t="str">
        <f>IF(BCP_Soles[[#This Row],[fecha]]&gt;0,TEXT(BCP_Soles[[#This Row],[fecha]],"mmmm"),0)</f>
        <v>Marzo</v>
      </c>
    </row>
    <row r="770" spans="1:27" x14ac:dyDescent="0.3">
      <c r="A770" s="2">
        <f>IF(BCP_Soles[[#This Row],[tipo_registro]]="R",COUNTIFS($C$1:$C769,"R")+1,A769)</f>
        <v>554</v>
      </c>
      <c r="B770" s="19" t="str">
        <f t="shared" si="66"/>
        <v>B-BCP - Soles</v>
      </c>
      <c r="C770" s="3" t="s">
        <v>1330</v>
      </c>
      <c r="D770" s="14">
        <v>45720</v>
      </c>
      <c r="E770" s="5" t="s">
        <v>1338</v>
      </c>
      <c r="F770" s="5" t="s">
        <v>1336</v>
      </c>
      <c r="G770" s="6"/>
      <c r="H770" s="6"/>
      <c r="I770" s="6"/>
      <c r="J770" s="6"/>
      <c r="K770" s="7" t="s">
        <v>2140</v>
      </c>
      <c r="L770" s="8">
        <v>1008662</v>
      </c>
      <c r="M770" s="8" t="str">
        <f t="shared" si="67"/>
        <v>PEN</v>
      </c>
      <c r="N770" s="13"/>
      <c r="O770" s="13">
        <v>1537</v>
      </c>
      <c r="P770" s="3">
        <f t="shared" si="68"/>
        <v>0</v>
      </c>
      <c r="Q770" s="3">
        <f t="shared" si="69"/>
        <v>1537</v>
      </c>
      <c r="R770" s="3">
        <f t="shared" si="65"/>
        <v>10387.339999999997</v>
      </c>
      <c r="S770" s="24"/>
      <c r="T770" s="24"/>
      <c r="U770" s="53"/>
      <c r="V770" s="25" t="str">
        <f>IFERROR(VLOOKUP(BCP_Soles[[#This Row],[destinatario]],CHOOSE({1,2},Clientes_Proveedores[Razon Social],Clientes_Proveedores[Ruc / Dni]),2,0),"")</f>
        <v/>
      </c>
      <c r="W770" s="25" t="s">
        <v>1389</v>
      </c>
      <c r="X770" s="25"/>
      <c r="Y770" s="25"/>
      <c r="Z770" s="75"/>
      <c r="AA770" s="3" t="str">
        <f>IF(BCP_Soles[[#This Row],[fecha]]&gt;0,TEXT(BCP_Soles[[#This Row],[fecha]],"mmmm"),0)</f>
        <v>Marzo</v>
      </c>
    </row>
    <row r="771" spans="1:27" ht="24" x14ac:dyDescent="0.3">
      <c r="A771" s="2">
        <f>IF(BCP_Soles[[#This Row],[tipo_registro]]="R",COUNTIFS($C$1:$C770,"R")+1,A770)</f>
        <v>555</v>
      </c>
      <c r="B771" s="19" t="str">
        <f t="shared" si="66"/>
        <v>B-BCP - Soles</v>
      </c>
      <c r="C771" s="3" t="s">
        <v>1330</v>
      </c>
      <c r="D771" s="14">
        <v>45720</v>
      </c>
      <c r="E771" s="5" t="s">
        <v>1338</v>
      </c>
      <c r="F771" s="5" t="s">
        <v>1336</v>
      </c>
      <c r="G771" s="6" t="s">
        <v>658</v>
      </c>
      <c r="H771" s="6" t="s">
        <v>68</v>
      </c>
      <c r="I771" s="6" t="s">
        <v>1376</v>
      </c>
      <c r="J771" s="6">
        <v>33</v>
      </c>
      <c r="K771" s="7" t="s">
        <v>2141</v>
      </c>
      <c r="L771" s="8">
        <v>1011017</v>
      </c>
      <c r="M771" s="8" t="str">
        <f t="shared" si="67"/>
        <v>PEN</v>
      </c>
      <c r="N771" s="13"/>
      <c r="O771" s="13">
        <v>4450.96</v>
      </c>
      <c r="P771" s="3">
        <f t="shared" si="68"/>
        <v>0</v>
      </c>
      <c r="Q771" s="3">
        <f t="shared" si="69"/>
        <v>4450.96</v>
      </c>
      <c r="R771" s="3">
        <f t="shared" si="65"/>
        <v>5936.3799999999965</v>
      </c>
      <c r="S771" s="24" t="s">
        <v>1334</v>
      </c>
      <c r="T771" s="24" t="s">
        <v>1334</v>
      </c>
      <c r="U771" s="53"/>
      <c r="V771" s="25">
        <f>IFERROR(VLOOKUP(BCP_Soles[[#This Row],[destinatario]],CHOOSE({1,2},Clientes_Proveedores[Razon Social],Clientes_Proveedores[Ruc / Dni]),2,0),"")</f>
        <v>15609125303</v>
      </c>
      <c r="W771" s="25" t="s">
        <v>658</v>
      </c>
      <c r="X771" s="25" t="s">
        <v>2142</v>
      </c>
      <c r="Y771" s="25"/>
      <c r="Z771" s="75"/>
      <c r="AA771" s="3" t="str">
        <f>IF(BCP_Soles[[#This Row],[fecha]]&gt;0,TEXT(BCP_Soles[[#This Row],[fecha]],"mmmm"),0)</f>
        <v>Marzo</v>
      </c>
    </row>
    <row r="772" spans="1:27" x14ac:dyDescent="0.3">
      <c r="A772" s="2">
        <f>IF(BCP_Soles[[#This Row],[tipo_registro]]="R",COUNTIFS($C$1:$C771,"R")+1,A771)</f>
        <v>556</v>
      </c>
      <c r="B772" s="19" t="str">
        <f t="shared" si="66"/>
        <v>B-BCP - Soles</v>
      </c>
      <c r="C772" s="3" t="s">
        <v>1330</v>
      </c>
      <c r="D772" s="14">
        <v>45720</v>
      </c>
      <c r="E772" s="5" t="s">
        <v>1338</v>
      </c>
      <c r="F772" s="5" t="s">
        <v>1336</v>
      </c>
      <c r="G772" s="6" t="s">
        <v>696</v>
      </c>
      <c r="H772" s="6"/>
      <c r="I772" s="6"/>
      <c r="J772" s="6"/>
      <c r="K772" s="7" t="s">
        <v>2143</v>
      </c>
      <c r="L772" s="8">
        <v>9155997</v>
      </c>
      <c r="M772" s="8" t="str">
        <f t="shared" si="67"/>
        <v>PEN</v>
      </c>
      <c r="N772" s="13"/>
      <c r="O772" s="13">
        <v>5307.75</v>
      </c>
      <c r="P772" s="3">
        <f t="shared" si="68"/>
        <v>0</v>
      </c>
      <c r="Q772" s="3">
        <f t="shared" si="69"/>
        <v>5307.75</v>
      </c>
      <c r="R772" s="3">
        <f t="shared" si="65"/>
        <v>628.62999999999647</v>
      </c>
      <c r="S772" s="24" t="s">
        <v>1334</v>
      </c>
      <c r="T772" s="24" t="s">
        <v>1334</v>
      </c>
      <c r="U772" s="53"/>
      <c r="V772" s="25">
        <f>IFERROR(VLOOKUP(BCP_Soles[[#This Row],[destinatario]],CHOOSE({1,2},Clientes_Proveedores[Razon Social],Clientes_Proveedores[Ruc / Dni]),2,0),"")</f>
        <v>0</v>
      </c>
      <c r="W772" s="25" t="s">
        <v>1373</v>
      </c>
      <c r="X772" s="25"/>
      <c r="Y772" s="25"/>
      <c r="Z772" s="75"/>
      <c r="AA772" s="3" t="str">
        <f>IF(BCP_Soles[[#This Row],[fecha]]&gt;0,TEXT(BCP_Soles[[#This Row],[fecha]],"mmmm"),0)</f>
        <v>Marzo</v>
      </c>
    </row>
    <row r="773" spans="1:27" ht="24" x14ac:dyDescent="0.3">
      <c r="A773" s="2">
        <f>IF(BCP_Soles[[#This Row],[tipo_registro]]="R",COUNTIFS($C$1:$C772,"R")+1,A772)</f>
        <v>556</v>
      </c>
      <c r="B773" s="19" t="str">
        <f t="shared" si="66"/>
        <v>B-BCP - Soles</v>
      </c>
      <c r="C773" s="3" t="s">
        <v>1352</v>
      </c>
      <c r="D773" s="14">
        <v>45720</v>
      </c>
      <c r="E773" s="5" t="s">
        <v>1338</v>
      </c>
      <c r="F773" s="5"/>
      <c r="G773" s="6" t="s">
        <v>464</v>
      </c>
      <c r="H773" s="6" t="s">
        <v>68</v>
      </c>
      <c r="I773" s="6" t="s">
        <v>1376</v>
      </c>
      <c r="J773" s="6">
        <v>778</v>
      </c>
      <c r="K773" s="7" t="s">
        <v>2143</v>
      </c>
      <c r="L773" s="8">
        <v>9155997</v>
      </c>
      <c r="M773" s="8" t="str">
        <f t="shared" si="67"/>
        <v>PEN</v>
      </c>
      <c r="N773" s="13">
        <v>1344</v>
      </c>
      <c r="O773" s="13"/>
      <c r="P773" s="3">
        <f t="shared" si="68"/>
        <v>0</v>
      </c>
      <c r="Q773" s="3">
        <f t="shared" si="69"/>
        <v>0</v>
      </c>
      <c r="R773" s="3">
        <f t="shared" si="65"/>
        <v>628.62999999999647</v>
      </c>
      <c r="S773" s="24"/>
      <c r="T773" s="24" t="s">
        <v>1334</v>
      </c>
      <c r="U773" s="53"/>
      <c r="V773" s="25">
        <f>IFERROR(VLOOKUP(BCP_Soles[[#This Row],[destinatario]],CHOOSE({1,2},Clientes_Proveedores[Razon Social],Clientes_Proveedores[Ruc / Dni]),2,0),"")</f>
        <v>20601279666</v>
      </c>
      <c r="W773" s="25"/>
      <c r="X773" s="25"/>
      <c r="Y773" s="25"/>
      <c r="Z773" s="75"/>
      <c r="AA773" s="3" t="str">
        <f>IF(BCP_Soles[[#This Row],[fecha]]&gt;0,TEXT(BCP_Soles[[#This Row],[fecha]],"mmmm"),0)</f>
        <v>Marzo</v>
      </c>
    </row>
    <row r="774" spans="1:27" ht="36" x14ac:dyDescent="0.3">
      <c r="A774" s="2">
        <f>IF(BCP_Soles[[#This Row],[tipo_registro]]="R",COUNTIFS($C$1:$C773,"R")+1,A773)</f>
        <v>556</v>
      </c>
      <c r="B774" s="19" t="str">
        <f t="shared" si="66"/>
        <v>B-BCP - Soles</v>
      </c>
      <c r="C774" s="3" t="s">
        <v>1352</v>
      </c>
      <c r="D774" s="14">
        <v>45720</v>
      </c>
      <c r="E774" s="5" t="s">
        <v>1338</v>
      </c>
      <c r="F774" s="5"/>
      <c r="G774" s="6" t="s">
        <v>569</v>
      </c>
      <c r="H774" s="6" t="s">
        <v>68</v>
      </c>
      <c r="I774" s="6" t="s">
        <v>1376</v>
      </c>
      <c r="J774" s="6">
        <v>601</v>
      </c>
      <c r="K774" s="7" t="s">
        <v>2143</v>
      </c>
      <c r="L774" s="8">
        <v>9155997</v>
      </c>
      <c r="M774" s="8" t="str">
        <f t="shared" si="67"/>
        <v>PEN</v>
      </c>
      <c r="N774" s="13">
        <v>816</v>
      </c>
      <c r="O774" s="13"/>
      <c r="P774" s="3">
        <f t="shared" si="68"/>
        <v>0</v>
      </c>
      <c r="Q774" s="3">
        <f t="shared" si="69"/>
        <v>0</v>
      </c>
      <c r="R774" s="3">
        <f t="shared" si="65"/>
        <v>628.62999999999647</v>
      </c>
      <c r="S774" s="24"/>
      <c r="T774" s="24" t="s">
        <v>1334</v>
      </c>
      <c r="U774" s="53"/>
      <c r="V774" s="25">
        <f>IFERROR(VLOOKUP(BCP_Soles[[#This Row],[destinatario]],CHOOSE({1,2},Clientes_Proveedores[Razon Social],Clientes_Proveedores[Ruc / Dni]),2,0),"")</f>
        <v>20608686747</v>
      </c>
      <c r="W774" s="25"/>
      <c r="X774" s="25"/>
      <c r="Y774" s="25"/>
      <c r="Z774" s="75"/>
      <c r="AA774" s="3" t="str">
        <f>IF(BCP_Soles[[#This Row],[fecha]]&gt;0,TEXT(BCP_Soles[[#This Row],[fecha]],"mmmm"),0)</f>
        <v>Marzo</v>
      </c>
    </row>
    <row r="775" spans="1:27" ht="36" x14ac:dyDescent="0.3">
      <c r="A775" s="2">
        <f>IF(BCP_Soles[[#This Row],[tipo_registro]]="R",COUNTIFS($C$1:$C774,"R")+1,A774)</f>
        <v>556</v>
      </c>
      <c r="B775" s="19" t="str">
        <f t="shared" si="66"/>
        <v>B-BCP - Soles</v>
      </c>
      <c r="C775" s="3" t="s">
        <v>1352</v>
      </c>
      <c r="D775" s="14">
        <v>45720</v>
      </c>
      <c r="E775" s="5" t="s">
        <v>1338</v>
      </c>
      <c r="F775" s="5"/>
      <c r="G775" s="6" t="s">
        <v>474</v>
      </c>
      <c r="H775" s="6" t="s">
        <v>68</v>
      </c>
      <c r="I775" s="6" t="s">
        <v>1376</v>
      </c>
      <c r="J775" s="6">
        <v>714</v>
      </c>
      <c r="K775" s="7" t="s">
        <v>2143</v>
      </c>
      <c r="L775" s="8">
        <v>9155997</v>
      </c>
      <c r="M775" s="8" t="str">
        <f t="shared" si="67"/>
        <v>PEN</v>
      </c>
      <c r="N775" s="13">
        <v>850</v>
      </c>
      <c r="O775" s="13"/>
      <c r="P775" s="3">
        <f t="shared" si="68"/>
        <v>0</v>
      </c>
      <c r="Q775" s="3">
        <f t="shared" si="69"/>
        <v>0</v>
      </c>
      <c r="R775" s="3">
        <f t="shared" si="65"/>
        <v>628.62999999999647</v>
      </c>
      <c r="S775" s="24"/>
      <c r="T775" s="24" t="s">
        <v>1334</v>
      </c>
      <c r="U775" s="53"/>
      <c r="V775" s="25">
        <f>IFERROR(VLOOKUP(BCP_Soles[[#This Row],[destinatario]],CHOOSE({1,2},Clientes_Proveedores[Razon Social],Clientes_Proveedores[Ruc / Dni]),2,0),"")</f>
        <v>20602075177</v>
      </c>
      <c r="W775" s="25"/>
      <c r="X775" s="25"/>
      <c r="Y775" s="25"/>
      <c r="Z775" s="75"/>
      <c r="AA775" s="3" t="str">
        <f>IF(BCP_Soles[[#This Row],[fecha]]&gt;0,TEXT(BCP_Soles[[#This Row],[fecha]],"mmmm"),0)</f>
        <v>Marzo</v>
      </c>
    </row>
    <row r="776" spans="1:27" ht="36" x14ac:dyDescent="0.3">
      <c r="A776" s="2">
        <f>IF(BCP_Soles[[#This Row],[tipo_registro]]="R",COUNTIFS($C$1:$C775,"R")+1,A775)</f>
        <v>556</v>
      </c>
      <c r="B776" s="19" t="str">
        <f t="shared" si="66"/>
        <v>B-BCP - Soles</v>
      </c>
      <c r="C776" s="3" t="s">
        <v>1352</v>
      </c>
      <c r="D776" s="14">
        <v>45720</v>
      </c>
      <c r="E776" s="5" t="s">
        <v>1338</v>
      </c>
      <c r="F776" s="5"/>
      <c r="G776" s="6" t="s">
        <v>623</v>
      </c>
      <c r="H776" s="6" t="s">
        <v>68</v>
      </c>
      <c r="I776" s="6" t="s">
        <v>1374</v>
      </c>
      <c r="J776" s="6">
        <v>7492</v>
      </c>
      <c r="K776" s="7" t="s">
        <v>2143</v>
      </c>
      <c r="L776" s="8">
        <v>9155997</v>
      </c>
      <c r="M776" s="8" t="str">
        <f t="shared" si="67"/>
        <v>PEN</v>
      </c>
      <c r="N776" s="13">
        <v>2297.75</v>
      </c>
      <c r="O776" s="13"/>
      <c r="P776" s="3">
        <f t="shared" si="68"/>
        <v>0</v>
      </c>
      <c r="Q776" s="3">
        <f t="shared" si="69"/>
        <v>0</v>
      </c>
      <c r="R776" s="3">
        <f t="shared" si="65"/>
        <v>628.62999999999647</v>
      </c>
      <c r="S776" s="24"/>
      <c r="T776" s="24" t="s">
        <v>1334</v>
      </c>
      <c r="U776" s="53"/>
      <c r="V776" s="25">
        <f>IFERROR(VLOOKUP(BCP_Soles[[#This Row],[destinatario]],CHOOSE({1,2},Clientes_Proveedores[Razon Social],Clientes_Proveedores[Ruc / Dni]),2,0),"")</f>
        <v>20454819137</v>
      </c>
      <c r="W776" s="25"/>
      <c r="X776" s="25"/>
      <c r="Y776" s="25"/>
      <c r="Z776" s="75"/>
      <c r="AA776" s="3" t="str">
        <f>IF(BCP_Soles[[#This Row],[fecha]]&gt;0,TEXT(BCP_Soles[[#This Row],[fecha]],"mmmm"),0)</f>
        <v>Marzo</v>
      </c>
    </row>
    <row r="777" spans="1:27" ht="36" x14ac:dyDescent="0.3">
      <c r="A777" s="2">
        <f>IF(BCP_Soles[[#This Row],[tipo_registro]]="R",COUNTIFS($C$1:$C776,"R")+1,A776)</f>
        <v>557</v>
      </c>
      <c r="B777" s="19" t="str">
        <f t="shared" si="66"/>
        <v>B-BCP - Soles</v>
      </c>
      <c r="C777" s="3" t="s">
        <v>1330</v>
      </c>
      <c r="D777" s="14">
        <v>45721</v>
      </c>
      <c r="E777" s="5" t="s">
        <v>255</v>
      </c>
      <c r="F777" s="5" t="s">
        <v>1303</v>
      </c>
      <c r="G777" s="6" t="s">
        <v>425</v>
      </c>
      <c r="H777" s="6"/>
      <c r="I777" s="6"/>
      <c r="J777" s="6"/>
      <c r="K777" s="7" t="s">
        <v>2144</v>
      </c>
      <c r="L777" s="8">
        <v>9497656</v>
      </c>
      <c r="M777" s="8" t="str">
        <f t="shared" si="67"/>
        <v>PEN</v>
      </c>
      <c r="N777" s="13"/>
      <c r="O777" s="13">
        <v>20874.04</v>
      </c>
      <c r="P777" s="3">
        <f t="shared" si="68"/>
        <v>20874.04</v>
      </c>
      <c r="Q777" s="3">
        <f t="shared" si="69"/>
        <v>0</v>
      </c>
      <c r="R777" s="3">
        <f t="shared" ref="R777:R840" si="70">IFERROR(IF(F777="SALDO",P777,R776+P777-Q777),0)</f>
        <v>21502.67</v>
      </c>
      <c r="S777" s="24" t="s">
        <v>1334</v>
      </c>
      <c r="T777" s="24" t="s">
        <v>1334</v>
      </c>
      <c r="U777" s="53"/>
      <c r="V777" s="25">
        <f>IFERROR(VLOOKUP(BCP_Soles[[#This Row],[destinatario]],CHOOSE({1,2},Clientes_Proveedores[Razon Social],Clientes_Proveedores[Ruc / Dni]),2,0),"")</f>
        <v>20558226979</v>
      </c>
      <c r="W777" s="25" t="s">
        <v>1345</v>
      </c>
      <c r="X777" s="25" t="s">
        <v>2145</v>
      </c>
      <c r="Y777" s="25"/>
      <c r="Z777" s="75"/>
      <c r="AA777" s="3" t="str">
        <f>IF(BCP_Soles[[#This Row],[fecha]]&gt;0,TEXT(BCP_Soles[[#This Row],[fecha]],"mmmm"),0)</f>
        <v>Marzo</v>
      </c>
    </row>
    <row r="778" spans="1:27" ht="24" x14ac:dyDescent="0.3">
      <c r="A778" s="2">
        <f>IF(BCP_Soles[[#This Row],[tipo_registro]]="R",COUNTIFS($C$1:$C777,"R")+1,A777)</f>
        <v>558</v>
      </c>
      <c r="B778" s="19" t="str">
        <f t="shared" si="66"/>
        <v>B-BCP - Soles</v>
      </c>
      <c r="C778" s="3" t="s">
        <v>1330</v>
      </c>
      <c r="D778" s="14">
        <v>45721</v>
      </c>
      <c r="E778" s="5" t="s">
        <v>650</v>
      </c>
      <c r="F778" s="5" t="s">
        <v>1303</v>
      </c>
      <c r="G778" s="6" t="s">
        <v>425</v>
      </c>
      <c r="H778" s="6"/>
      <c r="I778" s="6"/>
      <c r="J778" s="6"/>
      <c r="K778" s="7" t="s">
        <v>2146</v>
      </c>
      <c r="L778" s="8">
        <v>864269</v>
      </c>
      <c r="M778" s="8" t="str">
        <f t="shared" si="67"/>
        <v>PEN</v>
      </c>
      <c r="N778" s="13"/>
      <c r="O778" s="13">
        <v>3480</v>
      </c>
      <c r="P778" s="3">
        <f t="shared" si="68"/>
        <v>3480</v>
      </c>
      <c r="Q778" s="3">
        <f t="shared" si="69"/>
        <v>0</v>
      </c>
      <c r="R778" s="3">
        <f t="shared" si="70"/>
        <v>24982.67</v>
      </c>
      <c r="S778" s="24" t="s">
        <v>1334</v>
      </c>
      <c r="T778" s="24" t="s">
        <v>1334</v>
      </c>
      <c r="U778" s="53"/>
      <c r="V778" s="25">
        <f>IFERROR(VLOOKUP(BCP_Soles[[#This Row],[destinatario]],CHOOSE({1,2},Clientes_Proveedores[Razon Social],Clientes_Proveedores[Ruc / Dni]),2,0),"")</f>
        <v>20558226979</v>
      </c>
      <c r="W778" s="25" t="s">
        <v>1345</v>
      </c>
      <c r="X778" s="25" t="s">
        <v>2147</v>
      </c>
      <c r="Y778" s="25"/>
      <c r="Z778" s="75"/>
      <c r="AA778" s="3" t="str">
        <f>IF(BCP_Soles[[#This Row],[fecha]]&gt;0,TEXT(BCP_Soles[[#This Row],[fecha]],"mmmm"),0)</f>
        <v>Marzo</v>
      </c>
    </row>
    <row r="779" spans="1:27" x14ac:dyDescent="0.3">
      <c r="A779" s="2">
        <f>IF(BCP_Soles[[#This Row],[tipo_registro]]="R",COUNTIFS($C$1:$C778,"R")+1,A778)</f>
        <v>559</v>
      </c>
      <c r="B779" s="19" t="str">
        <f t="shared" si="66"/>
        <v>B-BCP - Soles</v>
      </c>
      <c r="C779" s="3" t="s">
        <v>1330</v>
      </c>
      <c r="D779" s="14">
        <v>45721</v>
      </c>
      <c r="E779" s="5"/>
      <c r="F779" s="5" t="s">
        <v>1303</v>
      </c>
      <c r="G779" s="6" t="s">
        <v>425</v>
      </c>
      <c r="H779" s="6"/>
      <c r="I779" s="6"/>
      <c r="J779" s="6"/>
      <c r="K779" s="7" t="s">
        <v>1356</v>
      </c>
      <c r="L779" s="8">
        <v>679451</v>
      </c>
      <c r="M779" s="8" t="str">
        <f t="shared" si="67"/>
        <v>PEN</v>
      </c>
      <c r="N779" s="13"/>
      <c r="O779" s="13">
        <v>739.05</v>
      </c>
      <c r="P779" s="3">
        <f t="shared" si="68"/>
        <v>739.05</v>
      </c>
      <c r="Q779" s="3">
        <f t="shared" si="69"/>
        <v>0</v>
      </c>
      <c r="R779" s="3">
        <f t="shared" si="70"/>
        <v>25721.719999999998</v>
      </c>
      <c r="S779" s="24"/>
      <c r="T779" s="24"/>
      <c r="U779" s="53"/>
      <c r="V779" s="25">
        <f>IFERROR(VLOOKUP(BCP_Soles[[#This Row],[destinatario]],CHOOSE({1,2},Clientes_Proveedores[Razon Social],Clientes_Proveedores[Ruc / Dni]),2,0),"")</f>
        <v>20558226979</v>
      </c>
      <c r="W779" s="25" t="s">
        <v>1345</v>
      </c>
      <c r="X779" s="25"/>
      <c r="Y779" s="25"/>
      <c r="Z779" s="75"/>
      <c r="AA779" s="3" t="str">
        <f>IF(BCP_Soles[[#This Row],[fecha]]&gt;0,TEXT(BCP_Soles[[#This Row],[fecha]],"mmmm"),0)</f>
        <v>Marzo</v>
      </c>
    </row>
    <row r="780" spans="1:27" ht="36" x14ac:dyDescent="0.3">
      <c r="A780" s="2">
        <f>IF(BCP_Soles[[#This Row],[tipo_registro]]="R",COUNTIFS($C$1:$C779,"R")+1,A779)</f>
        <v>560</v>
      </c>
      <c r="B780" s="19" t="str">
        <f t="shared" si="66"/>
        <v>B-BCP - Soles</v>
      </c>
      <c r="C780" s="3" t="s">
        <v>1330</v>
      </c>
      <c r="D780" s="14">
        <v>45721</v>
      </c>
      <c r="E780" s="5" t="s">
        <v>939</v>
      </c>
      <c r="F780" s="5" t="s">
        <v>1303</v>
      </c>
      <c r="G780" s="6" t="s">
        <v>425</v>
      </c>
      <c r="H780" s="6" t="s">
        <v>143</v>
      </c>
      <c r="I780" s="6">
        <v>1</v>
      </c>
      <c r="J780" s="6">
        <v>62025</v>
      </c>
      <c r="K780" s="7" t="s">
        <v>2148</v>
      </c>
      <c r="L780" s="8">
        <v>3031781</v>
      </c>
      <c r="M780" s="8" t="str">
        <f t="shared" si="67"/>
        <v>PEN</v>
      </c>
      <c r="N780" s="13"/>
      <c r="O780" s="13">
        <v>9.3000000000000007</v>
      </c>
      <c r="P780" s="3">
        <f t="shared" si="68"/>
        <v>9.3000000000000007</v>
      </c>
      <c r="Q780" s="3">
        <f t="shared" si="69"/>
        <v>0</v>
      </c>
      <c r="R780" s="3">
        <f t="shared" si="70"/>
        <v>25731.019999999997</v>
      </c>
      <c r="S780" s="24" t="s">
        <v>1334</v>
      </c>
      <c r="T780" s="24" t="s">
        <v>1334</v>
      </c>
      <c r="U780" s="53"/>
      <c r="V780" s="25">
        <f>IFERROR(VLOOKUP(BCP_Soles[[#This Row],[destinatario]],CHOOSE({1,2},Clientes_Proveedores[Razon Social],Clientes_Proveedores[Ruc / Dni]),2,0),"")</f>
        <v>20558226979</v>
      </c>
      <c r="W780" s="25"/>
      <c r="X780" s="25"/>
      <c r="Y780" s="25"/>
      <c r="Z780" s="75"/>
      <c r="AA780" s="3" t="str">
        <f>IF(BCP_Soles[[#This Row],[fecha]]&gt;0,TEXT(BCP_Soles[[#This Row],[fecha]],"mmmm"),0)</f>
        <v>Marzo</v>
      </c>
    </row>
    <row r="781" spans="1:27" x14ac:dyDescent="0.3">
      <c r="A781" s="2">
        <f>IF(BCP_Soles[[#This Row],[tipo_registro]]="R",COUNTIFS($C$1:$C780,"R")+1,A780)</f>
        <v>561</v>
      </c>
      <c r="B781" s="19" t="str">
        <f t="shared" si="66"/>
        <v>B-BCP - Soles</v>
      </c>
      <c r="C781" s="3" t="s">
        <v>1330</v>
      </c>
      <c r="D781" s="14">
        <v>45721</v>
      </c>
      <c r="E781" s="5" t="s">
        <v>1335</v>
      </c>
      <c r="F781" s="5" t="s">
        <v>1336</v>
      </c>
      <c r="G781" s="6"/>
      <c r="H781" s="6"/>
      <c r="I781" s="6"/>
      <c r="J781" s="6"/>
      <c r="K781" s="7" t="s">
        <v>1337</v>
      </c>
      <c r="L781" s="8"/>
      <c r="M781" s="8" t="str">
        <f t="shared" si="67"/>
        <v>PEN</v>
      </c>
      <c r="N781" s="13"/>
      <c r="O781" s="13">
        <v>1.4</v>
      </c>
      <c r="P781" s="3">
        <f t="shared" si="68"/>
        <v>0</v>
      </c>
      <c r="Q781" s="3">
        <f t="shared" si="69"/>
        <v>1.4</v>
      </c>
      <c r="R781" s="3">
        <f t="shared" si="70"/>
        <v>25729.619999999995</v>
      </c>
      <c r="S781" s="24"/>
      <c r="T781" s="24" t="s">
        <v>1334</v>
      </c>
      <c r="U781" s="53"/>
      <c r="V781" s="25" t="str">
        <f>IFERROR(VLOOKUP(BCP_Soles[[#This Row],[destinatario]],CHOOSE({1,2},Clientes_Proveedores[Razon Social],Clientes_Proveedores[Ruc / Dni]),2,0),"")</f>
        <v/>
      </c>
      <c r="W781" s="25"/>
      <c r="X781" s="25"/>
      <c r="Y781" s="25"/>
      <c r="Z781" s="75"/>
      <c r="AA781" s="3" t="str">
        <f>IF(BCP_Soles[[#This Row],[fecha]]&gt;0,TEXT(BCP_Soles[[#This Row],[fecha]],"mmmm"),0)</f>
        <v>Marzo</v>
      </c>
    </row>
    <row r="782" spans="1:27" ht="24" x14ac:dyDescent="0.3">
      <c r="A782" s="2">
        <f>IF(BCP_Soles[[#This Row],[tipo_registro]]="R",COUNTIFS($C$1:$C781,"R")+1,A781)</f>
        <v>562</v>
      </c>
      <c r="B782" s="19" t="str">
        <f t="shared" si="66"/>
        <v>B-BCP - Soles</v>
      </c>
      <c r="C782" s="3" t="s">
        <v>1330</v>
      </c>
      <c r="D782" s="14">
        <v>45721</v>
      </c>
      <c r="E782" s="5" t="s">
        <v>1511</v>
      </c>
      <c r="F782" s="5" t="s">
        <v>1336</v>
      </c>
      <c r="G782" s="6" t="s">
        <v>857</v>
      </c>
      <c r="H782" s="6" t="s">
        <v>143</v>
      </c>
      <c r="I782" s="6">
        <v>1</v>
      </c>
      <c r="J782" s="6">
        <v>92025</v>
      </c>
      <c r="K782" s="7" t="s">
        <v>2149</v>
      </c>
      <c r="L782" s="8">
        <v>1215059</v>
      </c>
      <c r="M782" s="8" t="str">
        <f t="shared" si="67"/>
        <v>PEN</v>
      </c>
      <c r="N782" s="13"/>
      <c r="O782" s="13">
        <v>11</v>
      </c>
      <c r="P782" s="3">
        <f t="shared" si="68"/>
        <v>0</v>
      </c>
      <c r="Q782" s="3">
        <f t="shared" si="69"/>
        <v>11</v>
      </c>
      <c r="R782" s="3">
        <f t="shared" si="70"/>
        <v>25718.619999999995</v>
      </c>
      <c r="S782" s="24" t="s">
        <v>1334</v>
      </c>
      <c r="T782" s="24" t="s">
        <v>1334</v>
      </c>
      <c r="U782" s="53"/>
      <c r="V782" s="25">
        <f>IFERROR(VLOOKUP(BCP_Soles[[#This Row],[destinatario]],CHOOSE({1,2},Clientes_Proveedores[Razon Social],Clientes_Proveedores[Ruc / Dni]),2,0),"")</f>
        <v>70666331</v>
      </c>
      <c r="W782" s="25"/>
      <c r="X782" s="25"/>
      <c r="Y782" s="25"/>
      <c r="Z782" s="75"/>
      <c r="AA782" s="3" t="str">
        <f>IF(BCP_Soles[[#This Row],[fecha]]&gt;0,TEXT(BCP_Soles[[#This Row],[fecha]],"mmmm"),0)</f>
        <v>Marzo</v>
      </c>
    </row>
    <row r="783" spans="1:27" ht="36" x14ac:dyDescent="0.3">
      <c r="A783" s="2">
        <f>IF(BCP_Soles[[#This Row],[tipo_registro]]="R",COUNTIFS($C$1:$C782,"R")+1,A782)</f>
        <v>563</v>
      </c>
      <c r="B783" s="19" t="str">
        <f t="shared" ref="B783:B846" si="71">"B-BCP - Soles"</f>
        <v>B-BCP - Soles</v>
      </c>
      <c r="C783" s="3" t="s">
        <v>1330</v>
      </c>
      <c r="D783" s="14">
        <v>45721</v>
      </c>
      <c r="E783" s="5" t="s">
        <v>1511</v>
      </c>
      <c r="F783" s="5" t="s">
        <v>1336</v>
      </c>
      <c r="G783" s="6" t="s">
        <v>939</v>
      </c>
      <c r="H783" s="6" t="s">
        <v>143</v>
      </c>
      <c r="I783" s="6">
        <v>1</v>
      </c>
      <c r="J783" s="6">
        <v>102025</v>
      </c>
      <c r="K783" s="7" t="s">
        <v>2150</v>
      </c>
      <c r="L783" s="8">
        <v>1215058</v>
      </c>
      <c r="M783" s="8" t="str">
        <f t="shared" ref="M783:M846" si="72">"PEN"</f>
        <v>PEN</v>
      </c>
      <c r="N783" s="13"/>
      <c r="O783" s="13">
        <v>21.5</v>
      </c>
      <c r="P783" s="3">
        <f t="shared" ref="P783:P846" si="73">+IF(OR($F783="SALDO",$F783="INGRESO"),$O783,0)</f>
        <v>0</v>
      </c>
      <c r="Q783" s="3">
        <f t="shared" ref="Q783:Q846" si="74">+IF($F783="EGRESO",$O783,0)</f>
        <v>21.5</v>
      </c>
      <c r="R783" s="3">
        <f t="shared" si="70"/>
        <v>25697.119999999995</v>
      </c>
      <c r="S783" s="24" t="s">
        <v>1334</v>
      </c>
      <c r="T783" s="24" t="s">
        <v>1334</v>
      </c>
      <c r="U783" s="53"/>
      <c r="V783" s="25">
        <f>IFERROR(VLOOKUP(BCP_Soles[[#This Row],[destinatario]],CHOOSE({1,2},Clientes_Proveedores[Razon Social],Clientes_Proveedores[Ruc / Dni]),2,0),"")</f>
        <v>72531546</v>
      </c>
      <c r="W783" s="25"/>
      <c r="X783" s="25"/>
      <c r="Y783" s="25"/>
      <c r="Z783" s="75"/>
      <c r="AA783" s="3" t="str">
        <f>IF(BCP_Soles[[#This Row],[fecha]]&gt;0,TEXT(BCP_Soles[[#This Row],[fecha]],"mmmm"),0)</f>
        <v>Marzo</v>
      </c>
    </row>
    <row r="784" spans="1:27" ht="36" x14ac:dyDescent="0.3">
      <c r="A784" s="2">
        <f>IF(BCP_Soles[[#This Row],[tipo_registro]]="R",COUNTIFS($C$1:$C783,"R")+1,A783)</f>
        <v>564</v>
      </c>
      <c r="B784" s="19" t="str">
        <f t="shared" si="71"/>
        <v>B-BCP - Soles</v>
      </c>
      <c r="C784" s="3" t="s">
        <v>1330</v>
      </c>
      <c r="D784" s="14">
        <v>45721</v>
      </c>
      <c r="E784" s="5" t="s">
        <v>1416</v>
      </c>
      <c r="F784" s="5" t="s">
        <v>1336</v>
      </c>
      <c r="G784" s="6" t="s">
        <v>939</v>
      </c>
      <c r="H784" s="6" t="s">
        <v>143</v>
      </c>
      <c r="I784" s="6">
        <v>1</v>
      </c>
      <c r="J784" s="6">
        <v>142025</v>
      </c>
      <c r="K784" s="7" t="s">
        <v>2151</v>
      </c>
      <c r="L784" s="8">
        <v>1213112</v>
      </c>
      <c r="M784" s="8" t="str">
        <f t="shared" si="72"/>
        <v>PEN</v>
      </c>
      <c r="N784" s="13"/>
      <c r="O784" s="13">
        <v>21.6</v>
      </c>
      <c r="P784" s="3">
        <f t="shared" si="73"/>
        <v>0</v>
      </c>
      <c r="Q784" s="3">
        <f t="shared" si="74"/>
        <v>21.6</v>
      </c>
      <c r="R784" s="3">
        <f t="shared" si="70"/>
        <v>25675.519999999997</v>
      </c>
      <c r="S784" s="24" t="s">
        <v>1334</v>
      </c>
      <c r="T784" s="24" t="s">
        <v>1334</v>
      </c>
      <c r="U784" s="53"/>
      <c r="V784" s="25">
        <f>IFERROR(VLOOKUP(BCP_Soles[[#This Row],[destinatario]],CHOOSE({1,2},Clientes_Proveedores[Razon Social],Clientes_Proveedores[Ruc / Dni]),2,0),"")</f>
        <v>72531546</v>
      </c>
      <c r="W784" s="25"/>
      <c r="X784" s="25"/>
      <c r="Y784" s="25"/>
      <c r="Z784" s="75"/>
      <c r="AA784" s="3" t="str">
        <f>IF(BCP_Soles[[#This Row],[fecha]]&gt;0,TEXT(BCP_Soles[[#This Row],[fecha]],"mmmm"),0)</f>
        <v>Marzo</v>
      </c>
    </row>
    <row r="785" spans="1:27" ht="36" x14ac:dyDescent="0.3">
      <c r="A785" s="2">
        <f>IF(BCP_Soles[[#This Row],[tipo_registro]]="R",COUNTIFS($C$1:$C784,"R")+1,A784)</f>
        <v>565</v>
      </c>
      <c r="B785" s="19" t="str">
        <f t="shared" si="71"/>
        <v>B-BCP - Soles</v>
      </c>
      <c r="C785" s="3" t="s">
        <v>1330</v>
      </c>
      <c r="D785" s="14">
        <v>45721</v>
      </c>
      <c r="E785" s="5" t="s">
        <v>1338</v>
      </c>
      <c r="F785" s="5" t="s">
        <v>1336</v>
      </c>
      <c r="G785" s="6" t="s">
        <v>716</v>
      </c>
      <c r="H785" s="6" t="s">
        <v>68</v>
      </c>
      <c r="I785" s="6" t="s">
        <v>1374</v>
      </c>
      <c r="J785" s="6">
        <v>3573</v>
      </c>
      <c r="K785" s="7" t="s">
        <v>2152</v>
      </c>
      <c r="L785" s="8">
        <v>1081167</v>
      </c>
      <c r="M785" s="8" t="str">
        <f t="shared" si="72"/>
        <v>PEN</v>
      </c>
      <c r="N785" s="13"/>
      <c r="O785" s="13">
        <v>439.92</v>
      </c>
      <c r="P785" s="3">
        <f t="shared" si="73"/>
        <v>0</v>
      </c>
      <c r="Q785" s="3">
        <f t="shared" si="74"/>
        <v>439.92</v>
      </c>
      <c r="R785" s="3">
        <f t="shared" si="70"/>
        <v>25235.599999999999</v>
      </c>
      <c r="S785" s="24" t="s">
        <v>1334</v>
      </c>
      <c r="T785" s="24" t="s">
        <v>1334</v>
      </c>
      <c r="U785" s="53"/>
      <c r="V785" s="25">
        <f>IFERROR(VLOOKUP(BCP_Soles[[#This Row],[destinatario]],CHOOSE({1,2},Clientes_Proveedores[Razon Social],Clientes_Proveedores[Ruc / Dni]),2,0),"")</f>
        <v>20454427301</v>
      </c>
      <c r="W785" s="25" t="s">
        <v>2153</v>
      </c>
      <c r="X785" s="25" t="s">
        <v>2154</v>
      </c>
      <c r="Y785" s="25"/>
      <c r="Z785" s="75"/>
      <c r="AA785" s="3" t="str">
        <f>IF(BCP_Soles[[#This Row],[fecha]]&gt;0,TEXT(BCP_Soles[[#This Row],[fecha]],"mmmm"),0)</f>
        <v>Marzo</v>
      </c>
    </row>
    <row r="786" spans="1:27" ht="24" x14ac:dyDescent="0.3">
      <c r="A786" s="2">
        <f>IF(BCP_Soles[[#This Row],[tipo_registro]]="R",COUNTIFS($C$1:$C785,"R")+1,A785)</f>
        <v>566</v>
      </c>
      <c r="B786" s="19" t="str">
        <f t="shared" si="71"/>
        <v>B-BCP - Soles</v>
      </c>
      <c r="C786" s="3" t="s">
        <v>1330</v>
      </c>
      <c r="D786" s="14">
        <v>45721</v>
      </c>
      <c r="E786" s="5" t="s">
        <v>1338</v>
      </c>
      <c r="F786" s="5" t="s">
        <v>1336</v>
      </c>
      <c r="G786" s="6" t="s">
        <v>583</v>
      </c>
      <c r="H786" s="6" t="s">
        <v>68</v>
      </c>
      <c r="I786" s="6" t="s">
        <v>1376</v>
      </c>
      <c r="J786" s="6">
        <v>671</v>
      </c>
      <c r="K786" s="7" t="s">
        <v>2155</v>
      </c>
      <c r="L786" s="8">
        <v>1215536</v>
      </c>
      <c r="M786" s="8" t="str">
        <f t="shared" si="72"/>
        <v>PEN</v>
      </c>
      <c r="N786" s="13"/>
      <c r="O786" s="13">
        <v>719.99</v>
      </c>
      <c r="P786" s="3">
        <f t="shared" si="73"/>
        <v>0</v>
      </c>
      <c r="Q786" s="3">
        <f t="shared" si="74"/>
        <v>719.99</v>
      </c>
      <c r="R786" s="3">
        <f t="shared" si="70"/>
        <v>24515.609999999997</v>
      </c>
      <c r="S786" s="24" t="s">
        <v>1334</v>
      </c>
      <c r="T786" s="24" t="s">
        <v>1334</v>
      </c>
      <c r="U786" s="53"/>
      <c r="V786" s="25">
        <f>IFERROR(VLOOKUP(BCP_Soles[[#This Row],[destinatario]],CHOOSE({1,2},Clientes_Proveedores[Razon Social],Clientes_Proveedores[Ruc / Dni]),2,0),"")</f>
        <v>20609155303</v>
      </c>
      <c r="W786" s="25" t="s">
        <v>1896</v>
      </c>
      <c r="X786" s="25" t="s">
        <v>1898</v>
      </c>
      <c r="Y786" s="25"/>
      <c r="Z786" s="75"/>
      <c r="AA786" s="3" t="str">
        <f>IF(BCP_Soles[[#This Row],[fecha]]&gt;0,TEXT(BCP_Soles[[#This Row],[fecha]],"mmmm"),0)</f>
        <v>Marzo</v>
      </c>
    </row>
    <row r="787" spans="1:27" ht="24" x14ac:dyDescent="0.3">
      <c r="A787" s="2">
        <f>IF(BCP_Soles[[#This Row],[tipo_registro]]="R",COUNTIFS($C$1:$C786,"R")+1,A786)</f>
        <v>567</v>
      </c>
      <c r="B787" s="19" t="str">
        <f t="shared" si="71"/>
        <v>B-BCP - Soles</v>
      </c>
      <c r="C787" s="3" t="s">
        <v>1330</v>
      </c>
      <c r="D787" s="14">
        <v>45721</v>
      </c>
      <c r="E787" s="5" t="s">
        <v>1338</v>
      </c>
      <c r="F787" s="5" t="s">
        <v>1336</v>
      </c>
      <c r="G787" s="6" t="s">
        <v>759</v>
      </c>
      <c r="H787" s="6" t="s">
        <v>72</v>
      </c>
      <c r="I787" s="6" t="s">
        <v>1376</v>
      </c>
      <c r="J787" s="6">
        <v>15</v>
      </c>
      <c r="K787" s="7" t="s">
        <v>2156</v>
      </c>
      <c r="L787" s="8">
        <v>1215537</v>
      </c>
      <c r="M787" s="8" t="str">
        <f t="shared" si="72"/>
        <v>PEN</v>
      </c>
      <c r="N787" s="13"/>
      <c r="O787" s="13">
        <v>1000</v>
      </c>
      <c r="P787" s="3">
        <f t="shared" si="73"/>
        <v>0</v>
      </c>
      <c r="Q787" s="3">
        <f t="shared" si="74"/>
        <v>1000</v>
      </c>
      <c r="R787" s="3">
        <f t="shared" si="70"/>
        <v>23515.609999999997</v>
      </c>
      <c r="S787" s="24"/>
      <c r="T787" s="24" t="s">
        <v>1334</v>
      </c>
      <c r="U787" s="53"/>
      <c r="V787" s="25">
        <f>IFERROR(VLOOKUP(BCP_Soles[[#This Row],[destinatario]],CHOOSE({1,2},Clientes_Proveedores[Razon Social],Clientes_Proveedores[Ruc / Dni]),2,0),"")</f>
        <v>10108661343</v>
      </c>
      <c r="W787" s="25" t="s">
        <v>2157</v>
      </c>
      <c r="X787" s="25"/>
      <c r="Y787" s="25"/>
      <c r="Z787" s="75"/>
      <c r="AA787" s="3" t="str">
        <f>IF(BCP_Soles[[#This Row],[fecha]]&gt;0,TEXT(BCP_Soles[[#This Row],[fecha]],"mmmm"),0)</f>
        <v>Marzo</v>
      </c>
    </row>
    <row r="788" spans="1:27" ht="24" x14ac:dyDescent="0.3">
      <c r="A788" s="2">
        <f>IF(BCP_Soles[[#This Row],[tipo_registro]]="R",COUNTIFS($C$1:$C787,"R")+1,A787)</f>
        <v>568</v>
      </c>
      <c r="B788" s="19" t="str">
        <f t="shared" si="71"/>
        <v>B-BCP - Soles</v>
      </c>
      <c r="C788" s="3" t="s">
        <v>1330</v>
      </c>
      <c r="D788" s="14">
        <v>45721</v>
      </c>
      <c r="E788" s="5" t="s">
        <v>1338</v>
      </c>
      <c r="F788" s="5" t="s">
        <v>1336</v>
      </c>
      <c r="G788" s="6" t="s">
        <v>758</v>
      </c>
      <c r="H788" s="6" t="s">
        <v>72</v>
      </c>
      <c r="I788" s="6" t="s">
        <v>1376</v>
      </c>
      <c r="J788" s="6">
        <v>235</v>
      </c>
      <c r="K788" s="7" t="s">
        <v>2158</v>
      </c>
      <c r="L788" s="8">
        <v>1213113</v>
      </c>
      <c r="M788" s="8" t="str">
        <f t="shared" si="72"/>
        <v>PEN</v>
      </c>
      <c r="N788" s="13"/>
      <c r="O788" s="13">
        <v>1350</v>
      </c>
      <c r="P788" s="3">
        <f t="shared" si="73"/>
        <v>0</v>
      </c>
      <c r="Q788" s="3">
        <f t="shared" si="74"/>
        <v>1350</v>
      </c>
      <c r="R788" s="3">
        <f t="shared" si="70"/>
        <v>22165.609999999997</v>
      </c>
      <c r="S788" s="24"/>
      <c r="T788" s="24" t="s">
        <v>1334</v>
      </c>
      <c r="U788" s="53"/>
      <c r="V788" s="25">
        <f>IFERROR(VLOOKUP(BCP_Soles[[#This Row],[destinatario]],CHOOSE({1,2},Clientes_Proveedores[Razon Social],Clientes_Proveedores[Ruc / Dni]),2,0),"")</f>
        <v>10107341655</v>
      </c>
      <c r="W788" s="25" t="s">
        <v>2159</v>
      </c>
      <c r="X788" s="25"/>
      <c r="Y788" s="25"/>
      <c r="Z788" s="75"/>
      <c r="AA788" s="3" t="str">
        <f>IF(BCP_Soles[[#This Row],[fecha]]&gt;0,TEXT(BCP_Soles[[#This Row],[fecha]],"mmmm"),0)</f>
        <v>Marzo</v>
      </c>
    </row>
    <row r="789" spans="1:27" ht="36" x14ac:dyDescent="0.3">
      <c r="A789" s="2">
        <f>IF(BCP_Soles[[#This Row],[tipo_registro]]="R",COUNTIFS($C$1:$C788,"R")+1,A788)</f>
        <v>569</v>
      </c>
      <c r="B789" s="19" t="str">
        <f t="shared" si="71"/>
        <v>B-BCP - Soles</v>
      </c>
      <c r="C789" s="3" t="s">
        <v>1330</v>
      </c>
      <c r="D789" s="14">
        <v>45721</v>
      </c>
      <c r="E789" s="5" t="s">
        <v>1338</v>
      </c>
      <c r="F789" s="5" t="s">
        <v>1336</v>
      </c>
      <c r="G789" s="6" t="s">
        <v>277</v>
      </c>
      <c r="H789" s="6" t="s">
        <v>68</v>
      </c>
      <c r="I789" s="6" t="s">
        <v>1390</v>
      </c>
      <c r="J789" s="6">
        <v>1649</v>
      </c>
      <c r="K789" s="7" t="s">
        <v>2160</v>
      </c>
      <c r="L789" s="8">
        <v>1215538</v>
      </c>
      <c r="M789" s="8" t="str">
        <f t="shared" si="72"/>
        <v>PEN</v>
      </c>
      <c r="N789" s="13"/>
      <c r="O789" s="13">
        <v>1728</v>
      </c>
      <c r="P789" s="3">
        <f t="shared" si="73"/>
        <v>0</v>
      </c>
      <c r="Q789" s="3">
        <f t="shared" si="74"/>
        <v>1728</v>
      </c>
      <c r="R789" s="3">
        <f t="shared" si="70"/>
        <v>20437.609999999997</v>
      </c>
      <c r="S789" s="24" t="s">
        <v>1334</v>
      </c>
      <c r="T789" s="24" t="s">
        <v>1334</v>
      </c>
      <c r="U789" s="53"/>
      <c r="V789" s="25">
        <f>IFERROR(VLOOKUP(BCP_Soles[[#This Row],[destinatario]],CHOOSE({1,2},Clientes_Proveedores[Razon Social],Clientes_Proveedores[Ruc / Dni]),2,0),"")</f>
        <v>20429640939</v>
      </c>
      <c r="W789" s="25" t="s">
        <v>1408</v>
      </c>
      <c r="X789" s="25" t="s">
        <v>2161</v>
      </c>
      <c r="Y789" s="25"/>
      <c r="Z789" s="75"/>
      <c r="AA789" s="3" t="str">
        <f>IF(BCP_Soles[[#This Row],[fecha]]&gt;0,TEXT(BCP_Soles[[#This Row],[fecha]],"mmmm"),0)</f>
        <v>Marzo</v>
      </c>
    </row>
    <row r="790" spans="1:27" ht="24" x14ac:dyDescent="0.3">
      <c r="A790" s="2">
        <f>IF(BCP_Soles[[#This Row],[tipo_registro]]="R",COUNTIFS($C$1:$C789,"R")+1,A789)</f>
        <v>570</v>
      </c>
      <c r="B790" s="19" t="str">
        <f t="shared" si="71"/>
        <v>B-BCP - Soles</v>
      </c>
      <c r="C790" s="3" t="s">
        <v>1330</v>
      </c>
      <c r="D790" s="14">
        <v>45721</v>
      </c>
      <c r="E790" s="5" t="s">
        <v>1338</v>
      </c>
      <c r="F790" s="5" t="s">
        <v>1336</v>
      </c>
      <c r="G790" s="6" t="s">
        <v>583</v>
      </c>
      <c r="H790" s="6" t="s">
        <v>68</v>
      </c>
      <c r="I790" s="6" t="s">
        <v>1376</v>
      </c>
      <c r="J790" s="6">
        <v>693</v>
      </c>
      <c r="K790" s="7" t="s">
        <v>2162</v>
      </c>
      <c r="L790" s="8">
        <v>1212647</v>
      </c>
      <c r="M790" s="8" t="str">
        <f t="shared" si="72"/>
        <v>PEN</v>
      </c>
      <c r="N790" s="13"/>
      <c r="O790" s="13">
        <v>2490.19</v>
      </c>
      <c r="P790" s="3">
        <f t="shared" si="73"/>
        <v>0</v>
      </c>
      <c r="Q790" s="3">
        <f t="shared" si="74"/>
        <v>2490.19</v>
      </c>
      <c r="R790" s="3">
        <f t="shared" si="70"/>
        <v>17947.419999999998</v>
      </c>
      <c r="S790" s="24" t="s">
        <v>1334</v>
      </c>
      <c r="T790" s="24" t="s">
        <v>1334</v>
      </c>
      <c r="U790" s="53"/>
      <c r="V790" s="25">
        <f>IFERROR(VLOOKUP(BCP_Soles[[#This Row],[destinatario]],CHOOSE({1,2},Clientes_Proveedores[Razon Social],Clientes_Proveedores[Ruc / Dni]),2,0),"")</f>
        <v>20609155303</v>
      </c>
      <c r="W790" s="25" t="s">
        <v>1896</v>
      </c>
      <c r="X790" s="25" t="s">
        <v>2163</v>
      </c>
      <c r="Y790" s="25"/>
      <c r="Z790" s="75"/>
      <c r="AA790" s="3" t="str">
        <f>IF(BCP_Soles[[#This Row],[fecha]]&gt;0,TEXT(BCP_Soles[[#This Row],[fecha]],"mmmm"),0)</f>
        <v>Marzo</v>
      </c>
    </row>
    <row r="791" spans="1:27" x14ac:dyDescent="0.3">
      <c r="A791" s="2">
        <f>IF(BCP_Soles[[#This Row],[tipo_registro]]="R",COUNTIFS($C$1:$C790,"R")+1,A790)</f>
        <v>571</v>
      </c>
      <c r="B791" s="19" t="str">
        <f t="shared" si="71"/>
        <v>B-BCP - Soles</v>
      </c>
      <c r="C791" s="3" t="s">
        <v>1330</v>
      </c>
      <c r="D791" s="14">
        <v>45722</v>
      </c>
      <c r="E791" s="5" t="s">
        <v>196</v>
      </c>
      <c r="F791" s="5" t="s">
        <v>1303</v>
      </c>
      <c r="G791" s="6" t="s">
        <v>425</v>
      </c>
      <c r="H791" s="6"/>
      <c r="I791" s="6"/>
      <c r="J791" s="6"/>
      <c r="K791" s="7" t="s">
        <v>2164</v>
      </c>
      <c r="L791" s="8">
        <v>13666</v>
      </c>
      <c r="M791" s="8" t="str">
        <f t="shared" si="72"/>
        <v>PEN</v>
      </c>
      <c r="N791" s="13"/>
      <c r="O791" s="13">
        <v>1687.73</v>
      </c>
      <c r="P791" s="3">
        <f t="shared" si="73"/>
        <v>1687.73</v>
      </c>
      <c r="Q791" s="3">
        <f t="shared" si="74"/>
        <v>0</v>
      </c>
      <c r="R791" s="3">
        <f t="shared" si="70"/>
        <v>19635.149999999998</v>
      </c>
      <c r="S791" s="24" t="s">
        <v>1334</v>
      </c>
      <c r="T791" s="24" t="s">
        <v>1334</v>
      </c>
      <c r="U791" s="53"/>
      <c r="V791" s="25">
        <f>IFERROR(VLOOKUP(BCP_Soles[[#This Row],[destinatario]],CHOOSE({1,2},Clientes_Proveedores[Razon Social],Clientes_Proveedores[Ruc / Dni]),2,0),"")</f>
        <v>20558226979</v>
      </c>
      <c r="W791" s="25" t="s">
        <v>1345</v>
      </c>
      <c r="X791" s="25" t="s">
        <v>2165</v>
      </c>
      <c r="Y791" s="25"/>
      <c r="Z791" s="75"/>
      <c r="AA791" s="3" t="str">
        <f>IF(BCP_Soles[[#This Row],[fecha]]&gt;0,TEXT(BCP_Soles[[#This Row],[fecha]],"mmmm"),0)</f>
        <v>Marzo</v>
      </c>
    </row>
    <row r="792" spans="1:27" ht="36" x14ac:dyDescent="0.3">
      <c r="A792" s="2">
        <f>IF(BCP_Soles[[#This Row],[tipo_registro]]="R",COUNTIFS($C$1:$C791,"R")+1,A791)</f>
        <v>572</v>
      </c>
      <c r="B792" s="19" t="str">
        <f t="shared" si="71"/>
        <v>B-BCP - Soles</v>
      </c>
      <c r="C792" s="3" t="s">
        <v>1330</v>
      </c>
      <c r="D792" s="14">
        <v>45722</v>
      </c>
      <c r="E792" s="5" t="s">
        <v>2166</v>
      </c>
      <c r="F792" s="5" t="s">
        <v>1303</v>
      </c>
      <c r="G792" s="6" t="s">
        <v>425</v>
      </c>
      <c r="H792" s="6" t="s">
        <v>143</v>
      </c>
      <c r="I792" s="6">
        <v>1</v>
      </c>
      <c r="J792" s="6">
        <v>162025</v>
      </c>
      <c r="K792" s="7" t="s">
        <v>2167</v>
      </c>
      <c r="L792" s="8">
        <v>2552555</v>
      </c>
      <c r="M792" s="8" t="str">
        <f t="shared" si="72"/>
        <v>PEN</v>
      </c>
      <c r="N792" s="13"/>
      <c r="O792" s="13">
        <v>27.7</v>
      </c>
      <c r="P792" s="3">
        <f t="shared" si="73"/>
        <v>27.7</v>
      </c>
      <c r="Q792" s="3">
        <f t="shared" si="74"/>
        <v>0</v>
      </c>
      <c r="R792" s="3">
        <f t="shared" si="70"/>
        <v>19662.849999999999</v>
      </c>
      <c r="S792" s="24" t="s">
        <v>1334</v>
      </c>
      <c r="T792" s="24" t="s">
        <v>1334</v>
      </c>
      <c r="U792" s="53"/>
      <c r="V792" s="25">
        <f>IFERROR(VLOOKUP(BCP_Soles[[#This Row],[destinatario]],CHOOSE({1,2},Clientes_Proveedores[Razon Social],Clientes_Proveedores[Ruc / Dni]),2,0),"")</f>
        <v>20558226979</v>
      </c>
      <c r="W792" s="25"/>
      <c r="X792" s="25"/>
      <c r="Y792" s="25"/>
      <c r="Z792" s="75"/>
      <c r="AA792" s="3" t="str">
        <f>IF(BCP_Soles[[#This Row],[fecha]]&gt;0,TEXT(BCP_Soles[[#This Row],[fecha]],"mmmm"),0)</f>
        <v>Marzo</v>
      </c>
    </row>
    <row r="793" spans="1:27" x14ac:dyDescent="0.3">
      <c r="A793" s="2">
        <f>IF(BCP_Soles[[#This Row],[tipo_registro]]="R",COUNTIFS($C$1:$C792,"R")+1,A792)</f>
        <v>573</v>
      </c>
      <c r="B793" s="19" t="str">
        <f t="shared" si="71"/>
        <v>B-BCP - Soles</v>
      </c>
      <c r="C793" s="3" t="s">
        <v>1330</v>
      </c>
      <c r="D793" s="14">
        <v>45722</v>
      </c>
      <c r="E793" s="5" t="s">
        <v>1335</v>
      </c>
      <c r="F793" s="5" t="s">
        <v>1336</v>
      </c>
      <c r="G793" s="6"/>
      <c r="H793" s="6"/>
      <c r="I793" s="6"/>
      <c r="J793" s="6"/>
      <c r="K793" s="7" t="s">
        <v>1337</v>
      </c>
      <c r="L793" s="8"/>
      <c r="M793" s="8" t="str">
        <f t="shared" si="72"/>
        <v>PEN</v>
      </c>
      <c r="N793" s="13"/>
      <c r="O793" s="13">
        <v>0.25</v>
      </c>
      <c r="P793" s="3">
        <f t="shared" si="73"/>
        <v>0</v>
      </c>
      <c r="Q793" s="3">
        <f t="shared" si="74"/>
        <v>0.25</v>
      </c>
      <c r="R793" s="3">
        <f t="shared" si="70"/>
        <v>19662.599999999999</v>
      </c>
      <c r="S793" s="24"/>
      <c r="T793" s="24" t="s">
        <v>1334</v>
      </c>
      <c r="U793" s="53"/>
      <c r="V793" s="25" t="str">
        <f>IFERROR(VLOOKUP(BCP_Soles[[#This Row],[destinatario]],CHOOSE({1,2},Clientes_Proveedores[Razon Social],Clientes_Proveedores[Ruc / Dni]),2,0),"")</f>
        <v/>
      </c>
      <c r="W793" s="25"/>
      <c r="X793" s="25"/>
      <c r="Y793" s="25"/>
      <c r="Z793" s="75"/>
      <c r="AA793" s="3" t="str">
        <f>IF(BCP_Soles[[#This Row],[fecha]]&gt;0,TEXT(BCP_Soles[[#This Row],[fecha]],"mmmm"),0)</f>
        <v>Marzo</v>
      </c>
    </row>
    <row r="794" spans="1:27" ht="36" x14ac:dyDescent="0.3">
      <c r="A794" s="2">
        <f>IF(BCP_Soles[[#This Row],[tipo_registro]]="R",COUNTIFS($C$1:$C793,"R")+1,A793)</f>
        <v>574</v>
      </c>
      <c r="B794" s="19" t="str">
        <f t="shared" si="71"/>
        <v>B-BCP - Soles</v>
      </c>
      <c r="C794" s="3" t="s">
        <v>1330</v>
      </c>
      <c r="D794" s="14">
        <v>45722</v>
      </c>
      <c r="E794" s="5" t="s">
        <v>1338</v>
      </c>
      <c r="F794" s="5" t="s">
        <v>1336</v>
      </c>
      <c r="G794" s="6" t="s">
        <v>714</v>
      </c>
      <c r="H794" s="6" t="s">
        <v>68</v>
      </c>
      <c r="I794" s="6" t="s">
        <v>1374</v>
      </c>
      <c r="J794" s="6">
        <v>39862</v>
      </c>
      <c r="K794" s="7" t="s">
        <v>2168</v>
      </c>
      <c r="L794" s="8">
        <v>1095853</v>
      </c>
      <c r="M794" s="8" t="str">
        <f t="shared" si="72"/>
        <v>PEN</v>
      </c>
      <c r="N794" s="13"/>
      <c r="O794" s="13">
        <v>30</v>
      </c>
      <c r="P794" s="3">
        <f t="shared" si="73"/>
        <v>0</v>
      </c>
      <c r="Q794" s="3">
        <f t="shared" si="74"/>
        <v>30</v>
      </c>
      <c r="R794" s="3">
        <f t="shared" si="70"/>
        <v>19632.599999999999</v>
      </c>
      <c r="S794" s="24" t="s">
        <v>1334</v>
      </c>
      <c r="T794" s="24" t="s">
        <v>1334</v>
      </c>
      <c r="U794" s="53"/>
      <c r="V794" s="25">
        <f>IFERROR(VLOOKUP(BCP_Soles[[#This Row],[destinatario]],CHOOSE({1,2},Clientes_Proveedores[Razon Social],Clientes_Proveedores[Ruc / Dni]),2,0),"")</f>
        <v>20514464881</v>
      </c>
      <c r="W794" s="25" t="s">
        <v>714</v>
      </c>
      <c r="X794" s="25" t="s">
        <v>2169</v>
      </c>
      <c r="Y794" s="25"/>
      <c r="Z794" s="75"/>
      <c r="AA794" s="3" t="str">
        <f>IF(BCP_Soles[[#This Row],[fecha]]&gt;0,TEXT(BCP_Soles[[#This Row],[fecha]],"mmmm"),0)</f>
        <v>Marzo</v>
      </c>
    </row>
    <row r="795" spans="1:27" ht="24" x14ac:dyDescent="0.3">
      <c r="A795" s="2">
        <f>IF(BCP_Soles[[#This Row],[tipo_registro]]="R",COUNTIFS($C$1:$C794,"R")+1,A794)</f>
        <v>575</v>
      </c>
      <c r="B795" s="19" t="str">
        <f t="shared" si="71"/>
        <v>B-BCP - Soles</v>
      </c>
      <c r="C795" s="3" t="s">
        <v>1330</v>
      </c>
      <c r="D795" s="14">
        <v>45722</v>
      </c>
      <c r="E795" s="5" t="s">
        <v>1338</v>
      </c>
      <c r="F795" s="5" t="s">
        <v>1336</v>
      </c>
      <c r="G795" s="6" t="s">
        <v>708</v>
      </c>
      <c r="H795" s="6" t="s">
        <v>68</v>
      </c>
      <c r="I795" s="6" t="s">
        <v>1655</v>
      </c>
      <c r="J795" s="6">
        <v>273334</v>
      </c>
      <c r="K795" s="7" t="s">
        <v>2170</v>
      </c>
      <c r="L795" s="8">
        <v>95366</v>
      </c>
      <c r="M795" s="8" t="str">
        <f t="shared" si="72"/>
        <v>PEN</v>
      </c>
      <c r="N795" s="13"/>
      <c r="O795" s="13">
        <v>30.68</v>
      </c>
      <c r="P795" s="3">
        <f t="shared" si="73"/>
        <v>0</v>
      </c>
      <c r="Q795" s="3">
        <f t="shared" si="74"/>
        <v>30.68</v>
      </c>
      <c r="R795" s="3">
        <f t="shared" si="70"/>
        <v>19601.919999999998</v>
      </c>
      <c r="S795" s="24" t="s">
        <v>1334</v>
      </c>
      <c r="T795" s="24" t="s">
        <v>1334</v>
      </c>
      <c r="U795" s="53"/>
      <c r="V795" s="25">
        <f>IFERROR(VLOOKUP(BCP_Soles[[#This Row],[destinatario]],CHOOSE({1,2},Clientes_Proveedores[Razon Social],Clientes_Proveedores[Ruc / Dni]),2,0),"")</f>
        <v>20467534026</v>
      </c>
      <c r="W795" s="25" t="s">
        <v>1657</v>
      </c>
      <c r="X795" s="25" t="s">
        <v>2171</v>
      </c>
      <c r="Y795" s="25"/>
      <c r="Z795" s="75"/>
      <c r="AA795" s="3" t="str">
        <f>IF(BCP_Soles[[#This Row],[fecha]]&gt;0,TEXT(BCP_Soles[[#This Row],[fecha]],"mmmm"),0)</f>
        <v>Marzo</v>
      </c>
    </row>
    <row r="796" spans="1:27" ht="24" x14ac:dyDescent="0.3">
      <c r="A796" s="2">
        <f>IF(BCP_Soles[[#This Row],[tipo_registro]]="R",COUNTIFS($C$1:$C795,"R")+1,A795)</f>
        <v>576</v>
      </c>
      <c r="B796" s="19" t="str">
        <f t="shared" si="71"/>
        <v>B-BCP - Soles</v>
      </c>
      <c r="C796" s="3" t="s">
        <v>1330</v>
      </c>
      <c r="D796" s="14">
        <v>45722</v>
      </c>
      <c r="E796" s="5" t="s">
        <v>1338</v>
      </c>
      <c r="F796" s="5" t="s">
        <v>1336</v>
      </c>
      <c r="G796" s="6" t="s">
        <v>249</v>
      </c>
      <c r="H796" s="6"/>
      <c r="I796" s="6"/>
      <c r="J796" s="6"/>
      <c r="K796" s="7" t="s">
        <v>2172</v>
      </c>
      <c r="L796" s="8">
        <v>1093399</v>
      </c>
      <c r="M796" s="8" t="str">
        <f t="shared" si="72"/>
        <v>PEN</v>
      </c>
      <c r="N796" s="13"/>
      <c r="O796" s="13">
        <v>40.71</v>
      </c>
      <c r="P796" s="3">
        <f t="shared" si="73"/>
        <v>0</v>
      </c>
      <c r="Q796" s="3">
        <f t="shared" si="74"/>
        <v>40.71</v>
      </c>
      <c r="R796" s="3">
        <f t="shared" si="70"/>
        <v>19561.21</v>
      </c>
      <c r="S796" s="24"/>
      <c r="T796" s="24"/>
      <c r="U796" s="53"/>
      <c r="V796" s="25">
        <f>IFERROR(VLOOKUP(BCP_Soles[[#This Row],[destinatario]],CHOOSE({1,2},Clientes_Proveedores[Razon Social],Clientes_Proveedores[Ruc / Dni]),2,0),"")</f>
        <v>20302891452</v>
      </c>
      <c r="W796" s="25" t="s">
        <v>249</v>
      </c>
      <c r="X796" s="25"/>
      <c r="Y796" s="25"/>
      <c r="Z796" s="75"/>
      <c r="AA796" s="3" t="str">
        <f>IF(BCP_Soles[[#This Row],[fecha]]&gt;0,TEXT(BCP_Soles[[#This Row],[fecha]],"mmmm"),0)</f>
        <v>Marzo</v>
      </c>
    </row>
    <row r="797" spans="1:27" ht="24" x14ac:dyDescent="0.3">
      <c r="A797" s="2">
        <f>IF(BCP_Soles[[#This Row],[tipo_registro]]="R",COUNTIFS($C$1:$C796,"R")+1,A796)</f>
        <v>577</v>
      </c>
      <c r="B797" s="19" t="str">
        <f t="shared" si="71"/>
        <v>B-BCP - Soles</v>
      </c>
      <c r="C797" s="3" t="s">
        <v>1330</v>
      </c>
      <c r="D797" s="14">
        <v>45722</v>
      </c>
      <c r="E797" s="5" t="s">
        <v>1338</v>
      </c>
      <c r="F797" s="5" t="s">
        <v>1336</v>
      </c>
      <c r="G797" s="6" t="s">
        <v>857</v>
      </c>
      <c r="H797" s="6" t="s">
        <v>143</v>
      </c>
      <c r="I797" s="6">
        <v>1</v>
      </c>
      <c r="J797" s="6">
        <v>222025</v>
      </c>
      <c r="K797" s="7" t="s">
        <v>2173</v>
      </c>
      <c r="L797" s="8">
        <v>1197275</v>
      </c>
      <c r="M797" s="8" t="str">
        <f t="shared" si="72"/>
        <v>PEN</v>
      </c>
      <c r="N797" s="13"/>
      <c r="O797" s="13">
        <v>140</v>
      </c>
      <c r="P797" s="3">
        <f t="shared" si="73"/>
        <v>0</v>
      </c>
      <c r="Q797" s="3">
        <f t="shared" si="74"/>
        <v>140</v>
      </c>
      <c r="R797" s="3">
        <f t="shared" si="70"/>
        <v>19421.21</v>
      </c>
      <c r="S797" s="24" t="s">
        <v>1334</v>
      </c>
      <c r="T797" s="24" t="s">
        <v>1334</v>
      </c>
      <c r="U797" s="53"/>
      <c r="V797" s="25">
        <f>IFERROR(VLOOKUP(BCP_Soles[[#This Row],[destinatario]],CHOOSE({1,2},Clientes_Proveedores[Razon Social],Clientes_Proveedores[Ruc / Dni]),2,0),"")</f>
        <v>70666331</v>
      </c>
      <c r="W797" s="25"/>
      <c r="X797" s="25"/>
      <c r="Y797" s="25"/>
      <c r="Z797" s="75"/>
      <c r="AA797" s="3" t="str">
        <f>IF(BCP_Soles[[#This Row],[fecha]]&gt;0,TEXT(BCP_Soles[[#This Row],[fecha]],"mmmm"),0)</f>
        <v>Marzo</v>
      </c>
    </row>
    <row r="798" spans="1:27" ht="24" x14ac:dyDescent="0.3">
      <c r="A798" s="2">
        <f>IF(BCP_Soles[[#This Row],[tipo_registro]]="R",COUNTIFS($C$1:$C797,"R")+1,A797)</f>
        <v>578</v>
      </c>
      <c r="B798" s="19" t="str">
        <f t="shared" si="71"/>
        <v>B-BCP - Soles</v>
      </c>
      <c r="C798" s="3" t="s">
        <v>1330</v>
      </c>
      <c r="D798" s="14">
        <v>45722</v>
      </c>
      <c r="E798" s="5" t="s">
        <v>1338</v>
      </c>
      <c r="F798" s="5" t="s">
        <v>1336</v>
      </c>
      <c r="G798" s="6" t="s">
        <v>400</v>
      </c>
      <c r="H798" s="6" t="s">
        <v>68</v>
      </c>
      <c r="I798" s="6" t="s">
        <v>1391</v>
      </c>
      <c r="J798" s="6">
        <v>32983</v>
      </c>
      <c r="K798" s="7" t="s">
        <v>2174</v>
      </c>
      <c r="L798" s="8">
        <v>1100737</v>
      </c>
      <c r="M798" s="8" t="str">
        <f t="shared" si="72"/>
        <v>PEN</v>
      </c>
      <c r="N798" s="13"/>
      <c r="O798" s="13">
        <v>200</v>
      </c>
      <c r="P798" s="3">
        <f t="shared" si="73"/>
        <v>0</v>
      </c>
      <c r="Q798" s="3">
        <f t="shared" si="74"/>
        <v>200</v>
      </c>
      <c r="R798" s="3">
        <f t="shared" si="70"/>
        <v>19221.21</v>
      </c>
      <c r="S798" s="24" t="s">
        <v>1334</v>
      </c>
      <c r="T798" s="24" t="s">
        <v>1334</v>
      </c>
      <c r="U798" s="53"/>
      <c r="V798" s="25">
        <f>IFERROR(VLOOKUP(BCP_Soles[[#This Row],[destinatario]],CHOOSE({1,2},Clientes_Proveedores[Razon Social],Clientes_Proveedores[Ruc / Dni]),2,0),"")</f>
        <v>20546153372</v>
      </c>
      <c r="W798" s="25" t="s">
        <v>1892</v>
      </c>
      <c r="X798" s="25" t="s">
        <v>2175</v>
      </c>
      <c r="Y798" s="25"/>
      <c r="Z798" s="75"/>
      <c r="AA798" s="3" t="str">
        <f>IF(BCP_Soles[[#This Row],[fecha]]&gt;0,TEXT(BCP_Soles[[#This Row],[fecha]],"mmmm"),0)</f>
        <v>Marzo</v>
      </c>
    </row>
    <row r="799" spans="1:27" ht="36" x14ac:dyDescent="0.3">
      <c r="A799" s="2">
        <f>IF(BCP_Soles[[#This Row],[tipo_registro]]="R",COUNTIFS($C$1:$C798,"R")+1,A798)</f>
        <v>579</v>
      </c>
      <c r="B799" s="19" t="str">
        <f t="shared" si="71"/>
        <v>B-BCP - Soles</v>
      </c>
      <c r="C799" s="3" t="s">
        <v>1330</v>
      </c>
      <c r="D799" s="14">
        <v>45722</v>
      </c>
      <c r="E799" s="5" t="s">
        <v>1338</v>
      </c>
      <c r="F799" s="5" t="s">
        <v>1336</v>
      </c>
      <c r="G799" s="6" t="s">
        <v>939</v>
      </c>
      <c r="H799" s="6" t="s">
        <v>143</v>
      </c>
      <c r="I799" s="6">
        <v>1</v>
      </c>
      <c r="J799" s="6">
        <v>192025</v>
      </c>
      <c r="K799" s="7" t="s">
        <v>2176</v>
      </c>
      <c r="L799" s="8">
        <v>1197754</v>
      </c>
      <c r="M799" s="8" t="str">
        <f t="shared" si="72"/>
        <v>PEN</v>
      </c>
      <c r="N799" s="13"/>
      <c r="O799" s="13">
        <v>203</v>
      </c>
      <c r="P799" s="3">
        <f t="shared" si="73"/>
        <v>0</v>
      </c>
      <c r="Q799" s="3">
        <f t="shared" si="74"/>
        <v>203</v>
      </c>
      <c r="R799" s="3">
        <f t="shared" si="70"/>
        <v>19018.21</v>
      </c>
      <c r="S799" s="24" t="s">
        <v>1334</v>
      </c>
      <c r="T799" s="24" t="s">
        <v>1334</v>
      </c>
      <c r="U799" s="53"/>
      <c r="V799" s="25">
        <f>IFERROR(VLOOKUP(BCP_Soles[[#This Row],[destinatario]],CHOOSE({1,2},Clientes_Proveedores[Razon Social],Clientes_Proveedores[Ruc / Dni]),2,0),"")</f>
        <v>72531546</v>
      </c>
      <c r="W799" s="25"/>
      <c r="X799" s="25"/>
      <c r="Y799" s="25"/>
      <c r="Z799" s="75"/>
      <c r="AA799" s="3" t="str">
        <f>IF(BCP_Soles[[#This Row],[fecha]]&gt;0,TEXT(BCP_Soles[[#This Row],[fecha]],"mmmm"),0)</f>
        <v>Marzo</v>
      </c>
    </row>
    <row r="800" spans="1:27" ht="36" x14ac:dyDescent="0.3">
      <c r="A800" s="2">
        <f>IF(BCP_Soles[[#This Row],[tipo_registro]]="R",COUNTIFS($C$1:$C799,"R")+1,A799)</f>
        <v>580</v>
      </c>
      <c r="B800" s="19" t="str">
        <f t="shared" si="71"/>
        <v>B-BCP - Soles</v>
      </c>
      <c r="C800" s="3" t="s">
        <v>1330</v>
      </c>
      <c r="D800" s="14">
        <v>45722</v>
      </c>
      <c r="E800" s="5" t="s">
        <v>1338</v>
      </c>
      <c r="F800" s="5" t="s">
        <v>1336</v>
      </c>
      <c r="G800" s="6" t="s">
        <v>497</v>
      </c>
      <c r="H800" s="6" t="s">
        <v>68</v>
      </c>
      <c r="I800" s="6" t="s">
        <v>1390</v>
      </c>
      <c r="J800" s="6">
        <v>18508</v>
      </c>
      <c r="K800" s="7" t="s">
        <v>2177</v>
      </c>
      <c r="L800" s="8">
        <v>1095852</v>
      </c>
      <c r="M800" s="8" t="str">
        <f t="shared" si="72"/>
        <v>PEN</v>
      </c>
      <c r="N800" s="13"/>
      <c r="O800" s="13">
        <v>440</v>
      </c>
      <c r="P800" s="3">
        <f t="shared" si="73"/>
        <v>0</v>
      </c>
      <c r="Q800" s="3">
        <f t="shared" si="74"/>
        <v>440</v>
      </c>
      <c r="R800" s="3">
        <f t="shared" si="70"/>
        <v>18578.21</v>
      </c>
      <c r="S800" s="24" t="s">
        <v>1334</v>
      </c>
      <c r="T800" s="24" t="s">
        <v>1334</v>
      </c>
      <c r="U800" s="53"/>
      <c r="V800" s="25">
        <f>IFERROR(VLOOKUP(BCP_Soles[[#This Row],[destinatario]],CHOOSE({1,2},Clientes_Proveedores[Razon Social],Clientes_Proveedores[Ruc / Dni]),2,0),"")</f>
        <v>20602810497</v>
      </c>
      <c r="W800" s="25" t="s">
        <v>1591</v>
      </c>
      <c r="X800" s="25" t="s">
        <v>2178</v>
      </c>
      <c r="Y800" s="25"/>
      <c r="Z800" s="75"/>
      <c r="AA800" s="3" t="str">
        <f>IF(BCP_Soles[[#This Row],[fecha]]&gt;0,TEXT(BCP_Soles[[#This Row],[fecha]],"mmmm"),0)</f>
        <v>Marzo</v>
      </c>
    </row>
    <row r="801" spans="1:27" ht="24" x14ac:dyDescent="0.3">
      <c r="A801" s="2">
        <f>IF(BCP_Soles[[#This Row],[tipo_registro]]="R",COUNTIFS($C$1:$C800,"R")+1,A800)</f>
        <v>581</v>
      </c>
      <c r="B801" s="19" t="str">
        <f t="shared" si="71"/>
        <v>B-BCP - Soles</v>
      </c>
      <c r="C801" s="3" t="s">
        <v>1330</v>
      </c>
      <c r="D801" s="14">
        <v>45722</v>
      </c>
      <c r="E801" s="5" t="s">
        <v>1338</v>
      </c>
      <c r="F801" s="5" t="s">
        <v>1336</v>
      </c>
      <c r="G801" s="6" t="s">
        <v>249</v>
      </c>
      <c r="H801" s="6"/>
      <c r="I801" s="6"/>
      <c r="J801" s="6"/>
      <c r="K801" s="7" t="s">
        <v>2172</v>
      </c>
      <c r="L801" s="8">
        <v>1093398</v>
      </c>
      <c r="M801" s="8" t="str">
        <f t="shared" si="72"/>
        <v>PEN</v>
      </c>
      <c r="N801" s="13"/>
      <c r="O801" s="13">
        <v>547.52</v>
      </c>
      <c r="P801" s="3">
        <f t="shared" si="73"/>
        <v>0</v>
      </c>
      <c r="Q801" s="3">
        <f t="shared" si="74"/>
        <v>547.52</v>
      </c>
      <c r="R801" s="3">
        <f t="shared" si="70"/>
        <v>18030.689999999999</v>
      </c>
      <c r="S801" s="24"/>
      <c r="T801" s="24"/>
      <c r="U801" s="53"/>
      <c r="V801" s="25">
        <f>IFERROR(VLOOKUP(BCP_Soles[[#This Row],[destinatario]],CHOOSE({1,2},Clientes_Proveedores[Razon Social],Clientes_Proveedores[Ruc / Dni]),2,0),"")</f>
        <v>20302891452</v>
      </c>
      <c r="W801" s="25" t="s">
        <v>249</v>
      </c>
      <c r="X801" s="25"/>
      <c r="Y801" s="25"/>
      <c r="Z801" s="75"/>
      <c r="AA801" s="3" t="str">
        <f>IF(BCP_Soles[[#This Row],[fecha]]&gt;0,TEXT(BCP_Soles[[#This Row],[fecha]],"mmmm"),0)</f>
        <v>Marzo</v>
      </c>
    </row>
    <row r="802" spans="1:27" ht="24" x14ac:dyDescent="0.3">
      <c r="A802" s="2">
        <f>IF(BCP_Soles[[#This Row],[tipo_registro]]="R",COUNTIFS($C$1:$C801,"R")+1,A801)</f>
        <v>582</v>
      </c>
      <c r="B802" s="19" t="str">
        <f t="shared" si="71"/>
        <v>B-BCP - Soles</v>
      </c>
      <c r="C802" s="3" t="s">
        <v>1330</v>
      </c>
      <c r="D802" s="14">
        <v>45722</v>
      </c>
      <c r="E802" s="5" t="s">
        <v>1338</v>
      </c>
      <c r="F802" s="5" t="s">
        <v>1336</v>
      </c>
      <c r="G802" s="6" t="s">
        <v>241</v>
      </c>
      <c r="H802" s="6" t="s">
        <v>68</v>
      </c>
      <c r="I802" s="6" t="s">
        <v>1339</v>
      </c>
      <c r="J802" s="6">
        <v>7283</v>
      </c>
      <c r="K802" s="7" t="s">
        <v>2179</v>
      </c>
      <c r="L802" s="8">
        <v>1100739</v>
      </c>
      <c r="M802" s="8" t="str">
        <f t="shared" si="72"/>
        <v>PEN</v>
      </c>
      <c r="N802" s="13"/>
      <c r="O802" s="13">
        <v>699.6</v>
      </c>
      <c r="P802" s="3">
        <f t="shared" si="73"/>
        <v>0</v>
      </c>
      <c r="Q802" s="3">
        <f t="shared" si="74"/>
        <v>699.6</v>
      </c>
      <c r="R802" s="3">
        <f t="shared" si="70"/>
        <v>17331.09</v>
      </c>
      <c r="S802" s="24" t="s">
        <v>1334</v>
      </c>
      <c r="T802" s="24" t="s">
        <v>1334</v>
      </c>
      <c r="U802" s="53"/>
      <c r="V802" s="25">
        <f>IFERROR(VLOOKUP(BCP_Soles[[#This Row],[destinatario]],CHOOSE({1,2},Clientes_Proveedores[Razon Social],Clientes_Proveedores[Ruc / Dni]),2,0),"")</f>
        <v>20170040938</v>
      </c>
      <c r="W802" s="25" t="s">
        <v>1341</v>
      </c>
      <c r="X802" s="25" t="s">
        <v>2180</v>
      </c>
      <c r="Y802" s="25"/>
      <c r="Z802" s="75"/>
      <c r="AA802" s="3" t="str">
        <f>IF(BCP_Soles[[#This Row],[fecha]]&gt;0,TEXT(BCP_Soles[[#This Row],[fecha]],"mmmm"),0)</f>
        <v>Marzo</v>
      </c>
    </row>
    <row r="803" spans="1:27" x14ac:dyDescent="0.3">
      <c r="A803" s="2">
        <f>IF(BCP_Soles[[#This Row],[tipo_registro]]="R",COUNTIFS($C$1:$C802,"R")+1,A802)</f>
        <v>583</v>
      </c>
      <c r="B803" s="19" t="str">
        <f t="shared" si="71"/>
        <v>B-BCP - Soles</v>
      </c>
      <c r="C803" s="3" t="s">
        <v>1330</v>
      </c>
      <c r="D803" s="14">
        <v>45722</v>
      </c>
      <c r="E803" s="5" t="s">
        <v>1338</v>
      </c>
      <c r="F803" s="5" t="s">
        <v>1336</v>
      </c>
      <c r="G803" s="6" t="s">
        <v>696</v>
      </c>
      <c r="H803" s="6"/>
      <c r="I803" s="6"/>
      <c r="J803" s="6"/>
      <c r="K803" s="7" t="s">
        <v>2181</v>
      </c>
      <c r="L803" s="8">
        <v>9814031</v>
      </c>
      <c r="M803" s="8" t="str">
        <f t="shared" si="72"/>
        <v>PEN</v>
      </c>
      <c r="N803" s="13"/>
      <c r="O803" s="13">
        <v>1038.95</v>
      </c>
      <c r="P803" s="3">
        <f t="shared" si="73"/>
        <v>0</v>
      </c>
      <c r="Q803" s="3">
        <f t="shared" si="74"/>
        <v>1038.95</v>
      </c>
      <c r="R803" s="3">
        <f t="shared" si="70"/>
        <v>16292.14</v>
      </c>
      <c r="S803" s="24" t="s">
        <v>1334</v>
      </c>
      <c r="T803" s="24" t="s">
        <v>1334</v>
      </c>
      <c r="U803" s="53"/>
      <c r="V803" s="25">
        <f>IFERROR(VLOOKUP(BCP_Soles[[#This Row],[destinatario]],CHOOSE({1,2},Clientes_Proveedores[Razon Social],Clientes_Proveedores[Ruc / Dni]),2,0),"")</f>
        <v>0</v>
      </c>
      <c r="W803" s="25" t="s">
        <v>1373</v>
      </c>
      <c r="X803" s="25"/>
      <c r="Y803" s="25"/>
      <c r="Z803" s="75"/>
      <c r="AA803" s="3" t="str">
        <f>IF(BCP_Soles[[#This Row],[fecha]]&gt;0,TEXT(BCP_Soles[[#This Row],[fecha]],"mmmm"),0)</f>
        <v>Marzo</v>
      </c>
    </row>
    <row r="804" spans="1:27" ht="24" x14ac:dyDescent="0.3">
      <c r="A804" s="2">
        <f>IF(BCP_Soles[[#This Row],[tipo_registro]]="R",COUNTIFS($C$1:$C803,"R")+1,A803)</f>
        <v>583</v>
      </c>
      <c r="B804" s="19" t="str">
        <f t="shared" si="71"/>
        <v>B-BCP - Soles</v>
      </c>
      <c r="C804" s="3" t="s">
        <v>1352</v>
      </c>
      <c r="D804" s="14">
        <v>45722</v>
      </c>
      <c r="E804" s="5" t="s">
        <v>1338</v>
      </c>
      <c r="F804" s="5" t="s">
        <v>1336</v>
      </c>
      <c r="G804" s="6" t="s">
        <v>187</v>
      </c>
      <c r="H804" s="6" t="s">
        <v>68</v>
      </c>
      <c r="I804" s="6" t="s">
        <v>1376</v>
      </c>
      <c r="J804" s="6">
        <v>245</v>
      </c>
      <c r="K804" s="7" t="s">
        <v>2181</v>
      </c>
      <c r="L804" s="8">
        <v>9814031</v>
      </c>
      <c r="M804" s="8" t="str">
        <f t="shared" si="72"/>
        <v>PEN</v>
      </c>
      <c r="N804" s="13">
        <v>120</v>
      </c>
      <c r="O804" s="13"/>
      <c r="P804" s="3">
        <f t="shared" si="73"/>
        <v>0</v>
      </c>
      <c r="Q804" s="3">
        <f t="shared" si="74"/>
        <v>0</v>
      </c>
      <c r="R804" s="3">
        <f t="shared" si="70"/>
        <v>16292.14</v>
      </c>
      <c r="S804" s="24"/>
      <c r="T804" s="24" t="s">
        <v>1334</v>
      </c>
      <c r="U804" s="53"/>
      <c r="V804" s="25">
        <f>IFERROR(VLOOKUP(BCP_Soles[[#This Row],[destinatario]],CHOOSE({1,2},Clientes_Proveedores[Razon Social],Clientes_Proveedores[Ruc / Dni]),2,0),"")</f>
        <v>10706063426</v>
      </c>
      <c r="W804" s="25"/>
      <c r="X804" s="25"/>
      <c r="Y804" s="25"/>
      <c r="Z804" s="75"/>
      <c r="AA804" s="3" t="str">
        <f>IF(BCP_Soles[[#This Row],[fecha]]&gt;0,TEXT(BCP_Soles[[#This Row],[fecha]],"mmmm"),0)</f>
        <v>Marzo</v>
      </c>
    </row>
    <row r="805" spans="1:27" ht="24" x14ac:dyDescent="0.3">
      <c r="A805" s="2">
        <f>IF(BCP_Soles[[#This Row],[tipo_registro]]="R",COUNTIFS($C$1:$C804,"R")+1,A804)</f>
        <v>583</v>
      </c>
      <c r="B805" s="19" t="str">
        <f t="shared" si="71"/>
        <v>B-BCP - Soles</v>
      </c>
      <c r="C805" s="3" t="s">
        <v>1352</v>
      </c>
      <c r="D805" s="14">
        <v>45722</v>
      </c>
      <c r="E805" s="5" t="s">
        <v>1338</v>
      </c>
      <c r="F805" s="5" t="s">
        <v>1336</v>
      </c>
      <c r="G805" s="6" t="s">
        <v>187</v>
      </c>
      <c r="H805" s="6" t="s">
        <v>68</v>
      </c>
      <c r="I805" s="6" t="s">
        <v>1376</v>
      </c>
      <c r="J805" s="6">
        <v>286</v>
      </c>
      <c r="K805" s="7" t="s">
        <v>2181</v>
      </c>
      <c r="L805" s="8">
        <v>9814031</v>
      </c>
      <c r="M805" s="8" t="str">
        <f t="shared" si="72"/>
        <v>PEN</v>
      </c>
      <c r="N805" s="13">
        <v>90</v>
      </c>
      <c r="O805" s="13"/>
      <c r="P805" s="3">
        <f t="shared" si="73"/>
        <v>0</v>
      </c>
      <c r="Q805" s="3">
        <f t="shared" si="74"/>
        <v>0</v>
      </c>
      <c r="R805" s="3">
        <f t="shared" si="70"/>
        <v>16292.14</v>
      </c>
      <c r="S805" s="24"/>
      <c r="T805" s="24" t="s">
        <v>1334</v>
      </c>
      <c r="U805" s="53"/>
      <c r="V805" s="25">
        <f>IFERROR(VLOOKUP(BCP_Soles[[#This Row],[destinatario]],CHOOSE({1,2},Clientes_Proveedores[Razon Social],Clientes_Proveedores[Ruc / Dni]),2,0),"")</f>
        <v>10706063426</v>
      </c>
      <c r="W805" s="25"/>
      <c r="X805" s="25"/>
      <c r="Y805" s="25"/>
      <c r="Z805" s="75"/>
      <c r="AA805" s="3" t="str">
        <f>IF(BCP_Soles[[#This Row],[fecha]]&gt;0,TEXT(BCP_Soles[[#This Row],[fecha]],"mmmm"),0)</f>
        <v>Marzo</v>
      </c>
    </row>
    <row r="806" spans="1:27" x14ac:dyDescent="0.3">
      <c r="A806" s="2">
        <f>IF(BCP_Soles[[#This Row],[tipo_registro]]="R",COUNTIFS($C$1:$C805,"R")+1,A805)</f>
        <v>583</v>
      </c>
      <c r="B806" s="19" t="str">
        <f t="shared" si="71"/>
        <v>B-BCP - Soles</v>
      </c>
      <c r="C806" s="3" t="s">
        <v>1352</v>
      </c>
      <c r="D806" s="14">
        <v>45722</v>
      </c>
      <c r="E806" s="5" t="s">
        <v>1338</v>
      </c>
      <c r="F806" s="5" t="s">
        <v>1336</v>
      </c>
      <c r="G806" s="6" t="s">
        <v>522</v>
      </c>
      <c r="H806" s="6" t="s">
        <v>68</v>
      </c>
      <c r="I806" s="6" t="s">
        <v>1376</v>
      </c>
      <c r="J806" s="6">
        <v>3702</v>
      </c>
      <c r="K806" s="7" t="s">
        <v>2181</v>
      </c>
      <c r="L806" s="8">
        <v>9814031</v>
      </c>
      <c r="M806" s="8" t="str">
        <f t="shared" si="72"/>
        <v>PEN</v>
      </c>
      <c r="N806" s="13">
        <v>150.44999999999999</v>
      </c>
      <c r="O806" s="13"/>
      <c r="P806" s="3">
        <f t="shared" si="73"/>
        <v>0</v>
      </c>
      <c r="Q806" s="3">
        <f t="shared" si="74"/>
        <v>0</v>
      </c>
      <c r="R806" s="3">
        <f t="shared" si="70"/>
        <v>16292.14</v>
      </c>
      <c r="S806" s="24"/>
      <c r="T806" s="24" t="s">
        <v>1334</v>
      </c>
      <c r="U806" s="53"/>
      <c r="V806" s="25">
        <f>IFERROR(VLOOKUP(BCP_Soles[[#This Row],[destinatario]],CHOOSE({1,2},Clientes_Proveedores[Razon Social],Clientes_Proveedores[Ruc / Dni]),2,0),"")</f>
        <v>20603974817</v>
      </c>
      <c r="W806" s="25"/>
      <c r="X806" s="25"/>
      <c r="Y806" s="25"/>
      <c r="Z806" s="75"/>
      <c r="AA806" s="3" t="str">
        <f>IF(BCP_Soles[[#This Row],[fecha]]&gt;0,TEXT(BCP_Soles[[#This Row],[fecha]],"mmmm"),0)</f>
        <v>Marzo</v>
      </c>
    </row>
    <row r="807" spans="1:27" x14ac:dyDescent="0.3">
      <c r="A807" s="2">
        <f>IF(BCP_Soles[[#This Row],[tipo_registro]]="R",COUNTIFS($C$1:$C806,"R")+1,A806)</f>
        <v>583</v>
      </c>
      <c r="B807" s="19" t="str">
        <f t="shared" si="71"/>
        <v>B-BCP - Soles</v>
      </c>
      <c r="C807" s="3" t="s">
        <v>1352</v>
      </c>
      <c r="D807" s="14">
        <v>45722</v>
      </c>
      <c r="E807" s="5" t="s">
        <v>1338</v>
      </c>
      <c r="F807" s="5" t="s">
        <v>1336</v>
      </c>
      <c r="G807" s="6" t="s">
        <v>522</v>
      </c>
      <c r="H807" s="6" t="s">
        <v>68</v>
      </c>
      <c r="I807" s="6" t="s">
        <v>1376</v>
      </c>
      <c r="J807" s="6">
        <v>3709</v>
      </c>
      <c r="K807" s="7" t="s">
        <v>2181</v>
      </c>
      <c r="L807" s="8">
        <v>9814031</v>
      </c>
      <c r="M807" s="8" t="str">
        <f t="shared" si="72"/>
        <v>PEN</v>
      </c>
      <c r="N807" s="13">
        <v>150.44999999999999</v>
      </c>
      <c r="O807" s="13"/>
      <c r="P807" s="3">
        <f t="shared" si="73"/>
        <v>0</v>
      </c>
      <c r="Q807" s="3">
        <f t="shared" si="74"/>
        <v>0</v>
      </c>
      <c r="R807" s="3">
        <f t="shared" si="70"/>
        <v>16292.14</v>
      </c>
      <c r="S807" s="24"/>
      <c r="T807" s="24" t="s">
        <v>1334</v>
      </c>
      <c r="U807" s="53"/>
      <c r="V807" s="25">
        <f>IFERROR(VLOOKUP(BCP_Soles[[#This Row],[destinatario]],CHOOSE({1,2},Clientes_Proveedores[Razon Social],Clientes_Proveedores[Ruc / Dni]),2,0),"")</f>
        <v>20603974817</v>
      </c>
      <c r="W807" s="25"/>
      <c r="X807" s="25"/>
      <c r="Y807" s="25"/>
      <c r="Z807" s="75"/>
      <c r="AA807" s="3" t="str">
        <f>IF(BCP_Soles[[#This Row],[fecha]]&gt;0,TEXT(BCP_Soles[[#This Row],[fecha]],"mmmm"),0)</f>
        <v>Marzo</v>
      </c>
    </row>
    <row r="808" spans="1:27" x14ac:dyDescent="0.3">
      <c r="A808" s="2">
        <f>IF(BCP_Soles[[#This Row],[tipo_registro]]="R",COUNTIFS($C$1:$C807,"R")+1,A807)</f>
        <v>583</v>
      </c>
      <c r="B808" s="19" t="str">
        <f t="shared" si="71"/>
        <v>B-BCP - Soles</v>
      </c>
      <c r="C808" s="3" t="s">
        <v>1352</v>
      </c>
      <c r="D808" s="14">
        <v>45722</v>
      </c>
      <c r="E808" s="5" t="s">
        <v>1338</v>
      </c>
      <c r="F808" s="5" t="s">
        <v>1336</v>
      </c>
      <c r="G808" s="6" t="s">
        <v>522</v>
      </c>
      <c r="H808" s="6" t="s">
        <v>68</v>
      </c>
      <c r="I808" s="6" t="s">
        <v>1376</v>
      </c>
      <c r="J808" s="6">
        <v>3700</v>
      </c>
      <c r="K808" s="7" t="s">
        <v>2181</v>
      </c>
      <c r="L808" s="8">
        <v>9814031</v>
      </c>
      <c r="M808" s="8" t="str">
        <f t="shared" si="72"/>
        <v>PEN</v>
      </c>
      <c r="N808" s="13">
        <v>150.44999999999999</v>
      </c>
      <c r="O808" s="13"/>
      <c r="P808" s="3">
        <f t="shared" si="73"/>
        <v>0</v>
      </c>
      <c r="Q808" s="3">
        <f t="shared" si="74"/>
        <v>0</v>
      </c>
      <c r="R808" s="3">
        <f t="shared" si="70"/>
        <v>16292.14</v>
      </c>
      <c r="S808" s="24"/>
      <c r="T808" s="24" t="s">
        <v>1334</v>
      </c>
      <c r="U808" s="53"/>
      <c r="V808" s="25">
        <f>IFERROR(VLOOKUP(BCP_Soles[[#This Row],[destinatario]],CHOOSE({1,2},Clientes_Proveedores[Razon Social],Clientes_Proveedores[Ruc / Dni]),2,0),"")</f>
        <v>20603974817</v>
      </c>
      <c r="W808" s="25"/>
      <c r="X808" s="25"/>
      <c r="Y808" s="25"/>
      <c r="Z808" s="75"/>
      <c r="AA808" s="3" t="str">
        <f>IF(BCP_Soles[[#This Row],[fecha]]&gt;0,TEXT(BCP_Soles[[#This Row],[fecha]],"mmmm"),0)</f>
        <v>Marzo</v>
      </c>
    </row>
    <row r="809" spans="1:27" ht="24" x14ac:dyDescent="0.3">
      <c r="A809" s="2">
        <f>IF(BCP_Soles[[#This Row],[tipo_registro]]="R",COUNTIFS($C$1:$C808,"R")+1,A808)</f>
        <v>583</v>
      </c>
      <c r="B809" s="19" t="str">
        <f t="shared" si="71"/>
        <v>B-BCP - Soles</v>
      </c>
      <c r="C809" s="3" t="s">
        <v>1352</v>
      </c>
      <c r="D809" s="14">
        <v>45722</v>
      </c>
      <c r="E809" s="5" t="s">
        <v>1338</v>
      </c>
      <c r="F809" s="5" t="s">
        <v>1336</v>
      </c>
      <c r="G809" s="6" t="s">
        <v>166</v>
      </c>
      <c r="H809" s="6" t="s">
        <v>68</v>
      </c>
      <c r="I809" s="6" t="s">
        <v>1376</v>
      </c>
      <c r="J809" s="6">
        <v>4489</v>
      </c>
      <c r="K809" s="7" t="s">
        <v>2181</v>
      </c>
      <c r="L809" s="8">
        <v>9814031</v>
      </c>
      <c r="M809" s="8" t="str">
        <f t="shared" si="72"/>
        <v>PEN</v>
      </c>
      <c r="N809" s="13">
        <v>236</v>
      </c>
      <c r="O809" s="13"/>
      <c r="P809" s="3">
        <f t="shared" si="73"/>
        <v>0</v>
      </c>
      <c r="Q809" s="3">
        <f t="shared" si="74"/>
        <v>0</v>
      </c>
      <c r="R809" s="3">
        <f t="shared" si="70"/>
        <v>16292.14</v>
      </c>
      <c r="S809" s="24"/>
      <c r="T809" s="24" t="s">
        <v>1334</v>
      </c>
      <c r="U809" s="53"/>
      <c r="V809" s="25">
        <f>IFERROR(VLOOKUP(BCP_Soles[[#This Row],[destinatario]],CHOOSE({1,2},Clientes_Proveedores[Razon Social],Clientes_Proveedores[Ruc / Dni]),2,0),"")</f>
        <v>10425371652</v>
      </c>
      <c r="W809" s="25"/>
      <c r="X809" s="25"/>
      <c r="Y809" s="25"/>
      <c r="Z809" s="75"/>
      <c r="AA809" s="3" t="str">
        <f>IF(BCP_Soles[[#This Row],[fecha]]&gt;0,TEXT(BCP_Soles[[#This Row],[fecha]],"mmmm"),0)</f>
        <v>Marzo</v>
      </c>
    </row>
    <row r="810" spans="1:27" ht="24" x14ac:dyDescent="0.3">
      <c r="A810" s="2">
        <f>IF(BCP_Soles[[#This Row],[tipo_registro]]="R",COUNTIFS($C$1:$C809,"R")+1,A809)</f>
        <v>583</v>
      </c>
      <c r="B810" s="19" t="str">
        <f t="shared" si="71"/>
        <v>B-BCP - Soles</v>
      </c>
      <c r="C810" s="3" t="s">
        <v>1352</v>
      </c>
      <c r="D810" s="14">
        <v>45722</v>
      </c>
      <c r="E810" s="5" t="s">
        <v>1338</v>
      </c>
      <c r="F810" s="5" t="s">
        <v>1336</v>
      </c>
      <c r="G810" s="6" t="s">
        <v>594</v>
      </c>
      <c r="H810" s="6" t="s">
        <v>68</v>
      </c>
      <c r="I810" s="6" t="s">
        <v>1376</v>
      </c>
      <c r="J810" s="6">
        <v>1984</v>
      </c>
      <c r="K810" s="7" t="s">
        <v>2181</v>
      </c>
      <c r="L810" s="8">
        <v>9814031</v>
      </c>
      <c r="M810" s="8" t="str">
        <f t="shared" si="72"/>
        <v>PEN</v>
      </c>
      <c r="N810" s="13">
        <v>141.6</v>
      </c>
      <c r="O810" s="13"/>
      <c r="P810" s="3">
        <f t="shared" si="73"/>
        <v>0</v>
      </c>
      <c r="Q810" s="3">
        <f t="shared" si="74"/>
        <v>0</v>
      </c>
      <c r="R810" s="3">
        <f t="shared" si="70"/>
        <v>16292.14</v>
      </c>
      <c r="S810" s="24"/>
      <c r="T810" s="24" t="s">
        <v>1334</v>
      </c>
      <c r="U810" s="53"/>
      <c r="V810" s="25">
        <f>IFERROR(VLOOKUP(BCP_Soles[[#This Row],[destinatario]],CHOOSE({1,2},Clientes_Proveedores[Razon Social],Clientes_Proveedores[Ruc / Dni]),2,0),"")</f>
        <v>20609764261</v>
      </c>
      <c r="W810" s="25"/>
      <c r="X810" s="25"/>
      <c r="Y810" s="25"/>
      <c r="Z810" s="75"/>
      <c r="AA810" s="3" t="str">
        <f>IF(BCP_Soles[[#This Row],[fecha]]&gt;0,TEXT(BCP_Soles[[#This Row],[fecha]],"mmmm"),0)</f>
        <v>Marzo</v>
      </c>
    </row>
    <row r="811" spans="1:27" x14ac:dyDescent="0.3">
      <c r="A811" s="2">
        <f>IF(BCP_Soles[[#This Row],[tipo_registro]]="R",COUNTIFS($C$1:$C810,"R")+1,A810)</f>
        <v>584</v>
      </c>
      <c r="B811" s="19" t="str">
        <f t="shared" si="71"/>
        <v>B-BCP - Soles</v>
      </c>
      <c r="C811" s="3" t="s">
        <v>1330</v>
      </c>
      <c r="D811" s="14">
        <v>45722</v>
      </c>
      <c r="E811" s="5" t="s">
        <v>1338</v>
      </c>
      <c r="F811" s="5" t="s">
        <v>1336</v>
      </c>
      <c r="G811" s="6" t="s">
        <v>695</v>
      </c>
      <c r="H811" s="6" t="s">
        <v>68</v>
      </c>
      <c r="I811" s="6" t="s">
        <v>1715</v>
      </c>
      <c r="J811" s="6">
        <v>130611</v>
      </c>
      <c r="K811" s="7" t="s">
        <v>1378</v>
      </c>
      <c r="L811" s="8">
        <v>95854</v>
      </c>
      <c r="M811" s="8" t="str">
        <f t="shared" si="72"/>
        <v>PEN</v>
      </c>
      <c r="N811" s="13"/>
      <c r="O811" s="13">
        <v>1251.04</v>
      </c>
      <c r="P811" s="3">
        <f t="shared" si="73"/>
        <v>0</v>
      </c>
      <c r="Q811" s="3">
        <f t="shared" si="74"/>
        <v>1251.04</v>
      </c>
      <c r="R811" s="3">
        <f t="shared" si="70"/>
        <v>15041.099999999999</v>
      </c>
      <c r="S811" s="24" t="s">
        <v>1334</v>
      </c>
      <c r="T811" s="24" t="s">
        <v>1334</v>
      </c>
      <c r="U811" s="53"/>
      <c r="V811" s="25">
        <f>IFERROR(VLOOKUP(BCP_Soles[[#This Row],[destinatario]],CHOOSE({1,2},Clientes_Proveedores[Razon Social],Clientes_Proveedores[Ruc / Dni]),2,0),"")</f>
        <v>20127765279</v>
      </c>
      <c r="W811" s="25" t="s">
        <v>1379</v>
      </c>
      <c r="X811" s="25" t="s">
        <v>2182</v>
      </c>
      <c r="Y811" s="25"/>
      <c r="Z811" s="75"/>
      <c r="AA811" s="3" t="str">
        <f>IF(BCP_Soles[[#This Row],[fecha]]&gt;0,TEXT(BCP_Soles[[#This Row],[fecha]],"mmmm"),0)</f>
        <v>Marzo</v>
      </c>
    </row>
    <row r="812" spans="1:27" x14ac:dyDescent="0.3">
      <c r="A812" s="2">
        <f>IF(BCP_Soles[[#This Row],[tipo_registro]]="R",COUNTIFS($C$1:$C811,"R")+1,A811)</f>
        <v>585</v>
      </c>
      <c r="B812" s="19" t="str">
        <f t="shared" si="71"/>
        <v>B-BCP - Soles</v>
      </c>
      <c r="C812" s="3" t="s">
        <v>1330</v>
      </c>
      <c r="D812" s="14">
        <v>45722</v>
      </c>
      <c r="E812" s="5" t="s">
        <v>1338</v>
      </c>
      <c r="F812" s="5" t="s">
        <v>1336</v>
      </c>
      <c r="G812" s="6" t="s">
        <v>695</v>
      </c>
      <c r="H812" s="6" t="s">
        <v>68</v>
      </c>
      <c r="I812" s="6" t="s">
        <v>1377</v>
      </c>
      <c r="J812" s="6">
        <v>150351</v>
      </c>
      <c r="K812" s="7" t="s">
        <v>1378</v>
      </c>
      <c r="L812" s="8">
        <v>96345</v>
      </c>
      <c r="M812" s="8" t="str">
        <f t="shared" si="72"/>
        <v>PEN</v>
      </c>
      <c r="N812" s="13"/>
      <c r="O812" s="13">
        <v>2344.7199999999998</v>
      </c>
      <c r="P812" s="3">
        <f t="shared" si="73"/>
        <v>0</v>
      </c>
      <c r="Q812" s="3">
        <f t="shared" si="74"/>
        <v>2344.7199999999998</v>
      </c>
      <c r="R812" s="3">
        <f t="shared" si="70"/>
        <v>12696.38</v>
      </c>
      <c r="S812" s="24" t="s">
        <v>1334</v>
      </c>
      <c r="T812" s="24" t="s">
        <v>1334</v>
      </c>
      <c r="U812" s="53"/>
      <c r="V812" s="25">
        <f>IFERROR(VLOOKUP(BCP_Soles[[#This Row],[destinatario]],CHOOSE({1,2},Clientes_Proveedores[Razon Social],Clientes_Proveedores[Ruc / Dni]),2,0),"")</f>
        <v>20127765279</v>
      </c>
      <c r="W812" s="25" t="s">
        <v>1379</v>
      </c>
      <c r="X812" s="25" t="s">
        <v>2183</v>
      </c>
      <c r="Y812" s="25"/>
      <c r="Z812" s="75"/>
      <c r="AA812" s="3" t="str">
        <f>IF(BCP_Soles[[#This Row],[fecha]]&gt;0,TEXT(BCP_Soles[[#This Row],[fecha]],"mmmm"),0)</f>
        <v>Marzo</v>
      </c>
    </row>
    <row r="813" spans="1:27" ht="24" x14ac:dyDescent="0.3">
      <c r="A813" s="2">
        <f>IF(BCP_Soles[[#This Row],[tipo_registro]]="R",COUNTIFS($C$1:$C812,"R")+1,A812)</f>
        <v>586</v>
      </c>
      <c r="B813" s="19" t="str">
        <f t="shared" si="71"/>
        <v>B-BCP - Soles</v>
      </c>
      <c r="C813" s="3" t="s">
        <v>1330</v>
      </c>
      <c r="D813" s="14">
        <v>45722</v>
      </c>
      <c r="E813" s="5" t="s">
        <v>1338</v>
      </c>
      <c r="F813" s="5" t="s">
        <v>1336</v>
      </c>
      <c r="G813" s="6" t="s">
        <v>698</v>
      </c>
      <c r="H813" s="6"/>
      <c r="I813" s="6"/>
      <c r="J813" s="6"/>
      <c r="K813" s="7" t="s">
        <v>2184</v>
      </c>
      <c r="L813" s="8">
        <v>4010590</v>
      </c>
      <c r="M813" s="8" t="str">
        <f t="shared" si="72"/>
        <v>PEN</v>
      </c>
      <c r="N813" s="13"/>
      <c r="O813" s="13">
        <v>3219.5</v>
      </c>
      <c r="P813" s="3">
        <f t="shared" si="73"/>
        <v>0</v>
      </c>
      <c r="Q813" s="3">
        <f t="shared" si="74"/>
        <v>3219.5</v>
      </c>
      <c r="R813" s="3">
        <f t="shared" si="70"/>
        <v>9476.8799999999992</v>
      </c>
      <c r="S813" s="24" t="s">
        <v>1334</v>
      </c>
      <c r="T813" s="24"/>
      <c r="U813" s="53"/>
      <c r="V813" s="25">
        <f>IFERROR(VLOOKUP(BCP_Soles[[#This Row],[destinatario]],CHOOSE({1,2},Clientes_Proveedores[Razon Social],Clientes_Proveedores[Ruc / Dni]),2,0),"")</f>
        <v>10296347634</v>
      </c>
      <c r="W813" s="25" t="s">
        <v>698</v>
      </c>
      <c r="X813" s="25"/>
      <c r="Y813" s="25"/>
      <c r="Z813" s="75"/>
      <c r="AA813" s="3" t="str">
        <f>IF(BCP_Soles[[#This Row],[fecha]]&gt;0,TEXT(BCP_Soles[[#This Row],[fecha]],"mmmm"),0)</f>
        <v>Marzo</v>
      </c>
    </row>
    <row r="814" spans="1:27" ht="24" x14ac:dyDescent="0.3">
      <c r="A814" s="2">
        <f>IF(BCP_Soles[[#This Row],[tipo_registro]]="R",COUNTIFS($C$1:$C813,"R")+1,A813)</f>
        <v>586</v>
      </c>
      <c r="B814" s="19" t="str">
        <f t="shared" si="71"/>
        <v>B-BCP - Soles</v>
      </c>
      <c r="C814" s="3" t="s">
        <v>1352</v>
      </c>
      <c r="D814" s="14">
        <v>45722</v>
      </c>
      <c r="E814" s="5" t="s">
        <v>1338</v>
      </c>
      <c r="F814" s="5" t="s">
        <v>1336</v>
      </c>
      <c r="G814" s="6" t="s">
        <v>698</v>
      </c>
      <c r="H814" s="6" t="s">
        <v>64</v>
      </c>
      <c r="I814" s="6"/>
      <c r="J814" s="6"/>
      <c r="K814" s="7" t="s">
        <v>2184</v>
      </c>
      <c r="L814" s="8">
        <v>4010590</v>
      </c>
      <c r="M814" s="8" t="str">
        <f t="shared" si="72"/>
        <v>PEN</v>
      </c>
      <c r="N814" s="13">
        <v>3200</v>
      </c>
      <c r="O814" s="13"/>
      <c r="P814" s="3">
        <f t="shared" si="73"/>
        <v>0</v>
      </c>
      <c r="Q814" s="3">
        <f t="shared" si="74"/>
        <v>0</v>
      </c>
      <c r="R814" s="3">
        <f t="shared" si="70"/>
        <v>9476.8799999999992</v>
      </c>
      <c r="S814" s="24" t="s">
        <v>1334</v>
      </c>
      <c r="T814" s="24"/>
      <c r="U814" s="53"/>
      <c r="V814" s="25">
        <f>IFERROR(VLOOKUP(BCP_Soles[[#This Row],[destinatario]],CHOOSE({1,2},Clientes_Proveedores[Razon Social],Clientes_Proveedores[Ruc / Dni]),2,0),"")</f>
        <v>10296347634</v>
      </c>
      <c r="W814" s="25"/>
      <c r="X814" s="25"/>
      <c r="Y814" s="25"/>
      <c r="Z814" s="75"/>
      <c r="AA814" s="3" t="str">
        <f>IF(BCP_Soles[[#This Row],[fecha]]&gt;0,TEXT(BCP_Soles[[#This Row],[fecha]],"mmmm"),0)</f>
        <v>Marzo</v>
      </c>
    </row>
    <row r="815" spans="1:27" ht="24" x14ac:dyDescent="0.3">
      <c r="A815" s="2">
        <f>IF(BCP_Soles[[#This Row],[tipo_registro]]="R",COUNTIFS($C$1:$C814,"R")+1,A814)</f>
        <v>586</v>
      </c>
      <c r="B815" s="19" t="str">
        <f t="shared" si="71"/>
        <v>B-BCP - Soles</v>
      </c>
      <c r="C815" s="3" t="s">
        <v>1352</v>
      </c>
      <c r="D815" s="14">
        <v>45722</v>
      </c>
      <c r="E815" s="5" t="s">
        <v>1338</v>
      </c>
      <c r="F815" s="5" t="s">
        <v>1336</v>
      </c>
      <c r="G815" s="6" t="s">
        <v>1060</v>
      </c>
      <c r="H815" s="6" t="s">
        <v>68</v>
      </c>
      <c r="I815" s="6" t="s">
        <v>1397</v>
      </c>
      <c r="J815" s="6">
        <v>30206424</v>
      </c>
      <c r="K815" s="7" t="s">
        <v>2184</v>
      </c>
      <c r="L815" s="8">
        <v>4010590</v>
      </c>
      <c r="M815" s="8" t="str">
        <f t="shared" si="72"/>
        <v>PEN</v>
      </c>
      <c r="N815" s="13">
        <v>19.5</v>
      </c>
      <c r="O815" s="13"/>
      <c r="P815" s="3">
        <f t="shared" si="73"/>
        <v>0</v>
      </c>
      <c r="Q815" s="3">
        <f t="shared" si="74"/>
        <v>0</v>
      </c>
      <c r="R815" s="3">
        <f t="shared" si="70"/>
        <v>9476.8799999999992</v>
      </c>
      <c r="S815" s="24" t="s">
        <v>1334</v>
      </c>
      <c r="T815" s="24"/>
      <c r="U815" s="53"/>
      <c r="V815" s="25">
        <f>IFERROR(VLOOKUP(BCP_Soles[[#This Row],[destinatario]],CHOOSE({1,2},Clientes_Proveedores[Razon Social],Clientes_Proveedores[Ruc / Dni]),2,0),"")</f>
        <v>20100047218</v>
      </c>
      <c r="W815" s="25"/>
      <c r="X815" s="25"/>
      <c r="Y815" s="25"/>
      <c r="Z815" s="75"/>
      <c r="AA815" s="3" t="str">
        <f>IF(BCP_Soles[[#This Row],[fecha]]&gt;0,TEXT(BCP_Soles[[#This Row],[fecha]],"mmmm"),0)</f>
        <v>Marzo</v>
      </c>
    </row>
    <row r="816" spans="1:27" x14ac:dyDescent="0.3">
      <c r="A816" s="2">
        <f>IF(BCP_Soles[[#This Row],[tipo_registro]]="R",COUNTIFS($C$1:$C815,"R")+1,A815)</f>
        <v>587</v>
      </c>
      <c r="B816" s="19" t="str">
        <f t="shared" si="71"/>
        <v>B-BCP - Soles</v>
      </c>
      <c r="C816" s="3" t="s">
        <v>1330</v>
      </c>
      <c r="D816" s="14">
        <v>45723</v>
      </c>
      <c r="E816" s="5" t="s">
        <v>286</v>
      </c>
      <c r="F816" s="5" t="s">
        <v>1303</v>
      </c>
      <c r="G816" s="6" t="s">
        <v>425</v>
      </c>
      <c r="H816" s="6"/>
      <c r="I816" s="6"/>
      <c r="J816" s="6"/>
      <c r="K816" s="7" t="s">
        <v>1382</v>
      </c>
      <c r="L816" s="8">
        <v>6197</v>
      </c>
      <c r="M816" s="8" t="str">
        <f t="shared" si="72"/>
        <v>PEN</v>
      </c>
      <c r="N816" s="13"/>
      <c r="O816" s="13">
        <v>4477.54</v>
      </c>
      <c r="P816" s="3">
        <f t="shared" si="73"/>
        <v>4477.54</v>
      </c>
      <c r="Q816" s="3">
        <f t="shared" si="74"/>
        <v>0</v>
      </c>
      <c r="R816" s="3">
        <f t="shared" si="70"/>
        <v>13954.419999999998</v>
      </c>
      <c r="S816" s="24" t="s">
        <v>1334</v>
      </c>
      <c r="T816" s="24" t="s">
        <v>1334</v>
      </c>
      <c r="U816" s="53"/>
      <c r="V816" s="25">
        <f>IFERROR(VLOOKUP(BCP_Soles[[#This Row],[destinatario]],CHOOSE({1,2},Clientes_Proveedores[Razon Social],Clientes_Proveedores[Ruc / Dni]),2,0),"")</f>
        <v>20558226979</v>
      </c>
      <c r="W816" s="25" t="s">
        <v>1345</v>
      </c>
      <c r="X816" s="25" t="s">
        <v>2185</v>
      </c>
      <c r="Y816" s="25"/>
      <c r="Z816" s="75"/>
      <c r="AA816" s="3" t="str">
        <f>IF(BCP_Soles[[#This Row],[fecha]]&gt;0,TEXT(BCP_Soles[[#This Row],[fecha]],"mmmm"),0)</f>
        <v>Marzo</v>
      </c>
    </row>
    <row r="817" spans="1:27" x14ac:dyDescent="0.3">
      <c r="A817" s="2">
        <f>IF(BCP_Soles[[#This Row],[tipo_registro]]="R",COUNTIFS($C$1:$C816,"R")+1,A816)</f>
        <v>588</v>
      </c>
      <c r="B817" s="19" t="str">
        <f t="shared" si="71"/>
        <v>B-BCP - Soles</v>
      </c>
      <c r="C817" s="3" t="s">
        <v>1330</v>
      </c>
      <c r="D817" s="14">
        <v>45723</v>
      </c>
      <c r="E817" s="5" t="s">
        <v>1335</v>
      </c>
      <c r="F817" s="5" t="s">
        <v>1336</v>
      </c>
      <c r="G817" s="6"/>
      <c r="H817" s="6"/>
      <c r="I817" s="6"/>
      <c r="J817" s="6"/>
      <c r="K817" s="7" t="s">
        <v>1337</v>
      </c>
      <c r="L817" s="8"/>
      <c r="M817" s="8" t="str">
        <f t="shared" si="72"/>
        <v>PEN</v>
      </c>
      <c r="N817" s="13"/>
      <c r="O817" s="13">
        <v>0.6</v>
      </c>
      <c r="P817" s="3">
        <f t="shared" si="73"/>
        <v>0</v>
      </c>
      <c r="Q817" s="3">
        <f t="shared" si="74"/>
        <v>0.6</v>
      </c>
      <c r="R817" s="3">
        <f t="shared" si="70"/>
        <v>13953.819999999998</v>
      </c>
      <c r="S817" s="24"/>
      <c r="T817" s="24" t="s">
        <v>1334</v>
      </c>
      <c r="U817" s="53"/>
      <c r="V817" s="25" t="str">
        <f>IFERROR(VLOOKUP(BCP_Soles[[#This Row],[destinatario]],CHOOSE({1,2},Clientes_Proveedores[Razon Social],Clientes_Proveedores[Ruc / Dni]),2,0),"")</f>
        <v/>
      </c>
      <c r="W817" s="25"/>
      <c r="X817" s="25"/>
      <c r="Y817" s="25"/>
      <c r="Z817" s="75"/>
      <c r="AA817" s="3" t="str">
        <f>IF(BCP_Soles[[#This Row],[fecha]]&gt;0,TEXT(BCP_Soles[[#This Row],[fecha]],"mmmm"),0)</f>
        <v>Marzo</v>
      </c>
    </row>
    <row r="818" spans="1:27" ht="24" x14ac:dyDescent="0.3">
      <c r="A818" s="2">
        <f>IF(BCP_Soles[[#This Row],[tipo_registro]]="R",COUNTIFS($C$1:$C817,"R")+1,A817)</f>
        <v>589</v>
      </c>
      <c r="B818" s="19" t="str">
        <f t="shared" si="71"/>
        <v>B-BCP - Soles</v>
      </c>
      <c r="C818" s="3" t="s">
        <v>1330</v>
      </c>
      <c r="D818" s="14">
        <v>45723</v>
      </c>
      <c r="E818" s="5" t="s">
        <v>1335</v>
      </c>
      <c r="F818" s="5" t="s">
        <v>1336</v>
      </c>
      <c r="G818" s="6" t="s">
        <v>1060</v>
      </c>
      <c r="H818" s="6" t="s">
        <v>68</v>
      </c>
      <c r="I818" s="6" t="s">
        <v>1397</v>
      </c>
      <c r="J818" s="6">
        <v>30225567</v>
      </c>
      <c r="K818" s="7" t="s">
        <v>1400</v>
      </c>
      <c r="L818" s="8">
        <v>1639</v>
      </c>
      <c r="M818" s="8" t="str">
        <f t="shared" si="72"/>
        <v>PEN</v>
      </c>
      <c r="N818" s="13"/>
      <c r="O818" s="13">
        <v>10</v>
      </c>
      <c r="P818" s="3">
        <f t="shared" si="73"/>
        <v>0</v>
      </c>
      <c r="Q818" s="3">
        <f t="shared" si="74"/>
        <v>10</v>
      </c>
      <c r="R818" s="3">
        <f t="shared" si="70"/>
        <v>13943.819999999998</v>
      </c>
      <c r="S818" s="24"/>
      <c r="T818" s="24" t="s">
        <v>1334</v>
      </c>
      <c r="U818" s="53"/>
      <c r="V818" s="25">
        <f>IFERROR(VLOOKUP(BCP_Soles[[#This Row],[destinatario]],CHOOSE({1,2},Clientes_Proveedores[Razon Social],Clientes_Proveedores[Ruc / Dni]),2,0),"")</f>
        <v>20100047218</v>
      </c>
      <c r="W818" s="25" t="s">
        <v>1335</v>
      </c>
      <c r="X818" s="25" t="s">
        <v>2186</v>
      </c>
      <c r="Y818" s="25"/>
      <c r="Z818" s="75"/>
      <c r="AA818" s="3" t="str">
        <f>IF(BCP_Soles[[#This Row],[fecha]]&gt;0,TEXT(BCP_Soles[[#This Row],[fecha]],"mmmm"),0)</f>
        <v>Marzo</v>
      </c>
    </row>
    <row r="819" spans="1:27" ht="24" x14ac:dyDescent="0.3">
      <c r="A819" s="2">
        <f>IF(BCP_Soles[[#This Row],[tipo_registro]]="R",COUNTIFS($C$1:$C818,"R")+1,A818)</f>
        <v>590</v>
      </c>
      <c r="B819" s="19" t="str">
        <f t="shared" si="71"/>
        <v>B-BCP - Soles</v>
      </c>
      <c r="C819" s="3" t="s">
        <v>1330</v>
      </c>
      <c r="D819" s="14">
        <v>45723</v>
      </c>
      <c r="E819" s="5" t="s">
        <v>1338</v>
      </c>
      <c r="F819" s="5" t="s">
        <v>1336</v>
      </c>
      <c r="G819" s="6" t="s">
        <v>761</v>
      </c>
      <c r="H819" s="6" t="s">
        <v>72</v>
      </c>
      <c r="I819" s="6" t="s">
        <v>1376</v>
      </c>
      <c r="J819" s="6">
        <v>3</v>
      </c>
      <c r="K819" s="7" t="s">
        <v>2187</v>
      </c>
      <c r="L819" s="8">
        <v>1277104</v>
      </c>
      <c r="M819" s="8" t="str">
        <f t="shared" si="72"/>
        <v>PEN</v>
      </c>
      <c r="N819" s="13"/>
      <c r="O819" s="13">
        <v>350</v>
      </c>
      <c r="P819" s="3">
        <f t="shared" si="73"/>
        <v>0</v>
      </c>
      <c r="Q819" s="3">
        <f t="shared" si="74"/>
        <v>350</v>
      </c>
      <c r="R819" s="3">
        <f t="shared" si="70"/>
        <v>13593.819999999998</v>
      </c>
      <c r="S819" s="24"/>
      <c r="T819" s="24" t="s">
        <v>1334</v>
      </c>
      <c r="U819" s="53"/>
      <c r="V819" s="25">
        <f>IFERROR(VLOOKUP(BCP_Soles[[#This Row],[destinatario]],CHOOSE({1,2},Clientes_Proveedores[Razon Social],Clientes_Proveedores[Ruc / Dni]),2,0),"")</f>
        <v>10100554785</v>
      </c>
      <c r="W819" s="25" t="s">
        <v>2188</v>
      </c>
      <c r="X819" s="25" t="s">
        <v>2189</v>
      </c>
      <c r="Y819" s="25"/>
      <c r="Z819" s="75"/>
      <c r="AA819" s="3" t="str">
        <f>IF(BCP_Soles[[#This Row],[fecha]]&gt;0,TEXT(BCP_Soles[[#This Row],[fecha]],"mmmm"),0)</f>
        <v>Marzo</v>
      </c>
    </row>
    <row r="820" spans="1:27" ht="24" x14ac:dyDescent="0.3">
      <c r="A820" s="2">
        <f>IF(BCP_Soles[[#This Row],[tipo_registro]]="R",COUNTIFS($C$1:$C819,"R")+1,A819)</f>
        <v>591</v>
      </c>
      <c r="B820" s="19" t="str">
        <f t="shared" si="71"/>
        <v>B-BCP - Soles</v>
      </c>
      <c r="C820" s="3" t="s">
        <v>1330</v>
      </c>
      <c r="D820" s="14">
        <v>45723</v>
      </c>
      <c r="E820" s="5" t="s">
        <v>1338</v>
      </c>
      <c r="F820" s="5" t="s">
        <v>1336</v>
      </c>
      <c r="G820" s="6" t="s">
        <v>708</v>
      </c>
      <c r="H820" s="6" t="s">
        <v>68</v>
      </c>
      <c r="I820" s="6" t="s">
        <v>1655</v>
      </c>
      <c r="J820" s="6">
        <v>273333</v>
      </c>
      <c r="K820" s="7" t="s">
        <v>1656</v>
      </c>
      <c r="L820" s="8">
        <v>196608</v>
      </c>
      <c r="M820" s="8" t="str">
        <f t="shared" si="72"/>
        <v>PEN</v>
      </c>
      <c r="N820" s="13"/>
      <c r="O820" s="13">
        <v>518.02</v>
      </c>
      <c r="P820" s="3">
        <f t="shared" si="73"/>
        <v>0</v>
      </c>
      <c r="Q820" s="3">
        <f t="shared" si="74"/>
        <v>518.02</v>
      </c>
      <c r="R820" s="3">
        <f t="shared" si="70"/>
        <v>13075.799999999997</v>
      </c>
      <c r="S820" s="24" t="s">
        <v>1334</v>
      </c>
      <c r="T820" s="24" t="s">
        <v>1334</v>
      </c>
      <c r="U820" s="53"/>
      <c r="V820" s="25">
        <f>IFERROR(VLOOKUP(BCP_Soles[[#This Row],[destinatario]],CHOOSE({1,2},Clientes_Proveedores[Razon Social],Clientes_Proveedores[Ruc / Dni]),2,0),"")</f>
        <v>20467534026</v>
      </c>
      <c r="W820" s="25" t="s">
        <v>1657</v>
      </c>
      <c r="X820" s="25" t="s">
        <v>2190</v>
      </c>
      <c r="Y820" s="181" t="s">
        <v>2191</v>
      </c>
      <c r="Z820" s="75"/>
      <c r="AA820" s="3" t="str">
        <f>IF(BCP_Soles[[#This Row],[fecha]]&gt;0,TEXT(BCP_Soles[[#This Row],[fecha]],"mmmm"),0)</f>
        <v>Marzo</v>
      </c>
    </row>
    <row r="821" spans="1:27" ht="24" x14ac:dyDescent="0.3">
      <c r="A821" s="2">
        <f>IF(BCP_Soles[[#This Row],[tipo_registro]]="R",COUNTIFS($C$1:$C820,"R")+1,A820)</f>
        <v>592</v>
      </c>
      <c r="B821" s="19" t="str">
        <f t="shared" si="71"/>
        <v>B-BCP - Soles</v>
      </c>
      <c r="C821" s="3" t="s">
        <v>1330</v>
      </c>
      <c r="D821" s="14">
        <v>45723</v>
      </c>
      <c r="E821" s="5" t="s">
        <v>1338</v>
      </c>
      <c r="F821" s="5" t="s">
        <v>1336</v>
      </c>
      <c r="G821" s="6" t="s">
        <v>884</v>
      </c>
      <c r="H821" s="6" t="s">
        <v>143</v>
      </c>
      <c r="I821" s="6">
        <v>1</v>
      </c>
      <c r="J821" s="6">
        <v>172025</v>
      </c>
      <c r="K821" s="7" t="s">
        <v>2192</v>
      </c>
      <c r="L821" s="8">
        <v>1277106</v>
      </c>
      <c r="M821" s="8" t="str">
        <f t="shared" si="72"/>
        <v>PEN</v>
      </c>
      <c r="N821" s="13"/>
      <c r="O821" s="13">
        <v>648</v>
      </c>
      <c r="P821" s="3">
        <f t="shared" si="73"/>
        <v>0</v>
      </c>
      <c r="Q821" s="3">
        <f t="shared" si="74"/>
        <v>648</v>
      </c>
      <c r="R821" s="3">
        <f t="shared" si="70"/>
        <v>12427.799999999997</v>
      </c>
      <c r="S821" s="24" t="s">
        <v>1334</v>
      </c>
      <c r="T821" s="24" t="s">
        <v>1334</v>
      </c>
      <c r="U821" s="53"/>
      <c r="V821" s="25">
        <f>IFERROR(VLOOKUP(BCP_Soles[[#This Row],[destinatario]],CHOOSE({1,2},Clientes_Proveedores[Razon Social],Clientes_Proveedores[Ruc / Dni]),2,0),"")</f>
        <v>71979355</v>
      </c>
      <c r="W821" s="25"/>
      <c r="X821" s="25"/>
      <c r="Y821" s="25"/>
      <c r="Z821" s="75"/>
      <c r="AA821" s="3" t="str">
        <f>IF(BCP_Soles[[#This Row],[fecha]]&gt;0,TEXT(BCP_Soles[[#This Row],[fecha]],"mmmm"),0)</f>
        <v>Marzo</v>
      </c>
    </row>
    <row r="822" spans="1:27" ht="24" x14ac:dyDescent="0.3">
      <c r="A822" s="2">
        <f>IF(BCP_Soles[[#This Row],[tipo_registro]]="R",COUNTIFS($C$1:$C821,"R")+1,A821)</f>
        <v>593</v>
      </c>
      <c r="B822" s="19" t="str">
        <f t="shared" si="71"/>
        <v>B-BCP - Soles</v>
      </c>
      <c r="C822" s="3" t="s">
        <v>1330</v>
      </c>
      <c r="D822" s="14">
        <v>45723</v>
      </c>
      <c r="E822" s="5" t="s">
        <v>1338</v>
      </c>
      <c r="F822" s="5" t="s">
        <v>1336</v>
      </c>
      <c r="G822" s="6" t="s">
        <v>657</v>
      </c>
      <c r="H822" s="6" t="s">
        <v>68</v>
      </c>
      <c r="I822" s="6" t="s">
        <v>1374</v>
      </c>
      <c r="J822" s="6">
        <v>9346</v>
      </c>
      <c r="K822" s="7" t="s">
        <v>2193</v>
      </c>
      <c r="L822" s="8">
        <v>1277105</v>
      </c>
      <c r="M822" s="8" t="str">
        <f t="shared" si="72"/>
        <v>PEN</v>
      </c>
      <c r="N822" s="13"/>
      <c r="O822" s="13">
        <v>884</v>
      </c>
      <c r="P822" s="3">
        <f t="shared" si="73"/>
        <v>0</v>
      </c>
      <c r="Q822" s="3">
        <f t="shared" si="74"/>
        <v>884</v>
      </c>
      <c r="R822" s="3">
        <f t="shared" si="70"/>
        <v>11543.799999999997</v>
      </c>
      <c r="S822" s="24" t="s">
        <v>1334</v>
      </c>
      <c r="T822" s="24" t="s">
        <v>1334</v>
      </c>
      <c r="U822" s="53"/>
      <c r="V822" s="25">
        <f>IFERROR(VLOOKUP(BCP_Soles[[#This Row],[destinatario]],CHOOSE({1,2},Clientes_Proveedores[Razon Social],Clientes_Proveedores[Ruc / Dni]),2,0),"")</f>
        <v>20603002190</v>
      </c>
      <c r="W822" s="25" t="s">
        <v>657</v>
      </c>
      <c r="X822" s="25" t="s">
        <v>2194</v>
      </c>
      <c r="Y822" s="25"/>
      <c r="Z822" s="75"/>
      <c r="AA822" s="3" t="str">
        <f>IF(BCP_Soles[[#This Row],[fecha]]&gt;0,TEXT(BCP_Soles[[#This Row],[fecha]],"mmmm"),0)</f>
        <v>Marzo</v>
      </c>
    </row>
    <row r="823" spans="1:27" ht="60" x14ac:dyDescent="0.3">
      <c r="A823" s="2">
        <f>IF(BCP_Soles[[#This Row],[tipo_registro]]="R",COUNTIFS($C$1:$C822,"R")+1,A822)</f>
        <v>594</v>
      </c>
      <c r="B823" s="19" t="str">
        <f t="shared" si="71"/>
        <v>B-BCP - Soles</v>
      </c>
      <c r="C823" s="3" t="s">
        <v>1330</v>
      </c>
      <c r="D823" s="14">
        <v>45723</v>
      </c>
      <c r="E823" s="5" t="s">
        <v>1338</v>
      </c>
      <c r="F823" s="5" t="s">
        <v>1336</v>
      </c>
      <c r="G823" s="6" t="s">
        <v>670</v>
      </c>
      <c r="H823" s="6" t="s">
        <v>68</v>
      </c>
      <c r="I823" s="6" t="s">
        <v>1374</v>
      </c>
      <c r="J823" s="6">
        <v>31</v>
      </c>
      <c r="K823" s="7" t="s">
        <v>2195</v>
      </c>
      <c r="L823" s="8">
        <v>1276623</v>
      </c>
      <c r="M823" s="8" t="str">
        <f t="shared" si="72"/>
        <v>PEN</v>
      </c>
      <c r="N823" s="13"/>
      <c r="O823" s="13">
        <v>1162.5999999999999</v>
      </c>
      <c r="P823" s="3">
        <f t="shared" si="73"/>
        <v>0</v>
      </c>
      <c r="Q823" s="3">
        <f t="shared" si="74"/>
        <v>1162.5999999999999</v>
      </c>
      <c r="R823" s="3">
        <f t="shared" si="70"/>
        <v>10381.199999999997</v>
      </c>
      <c r="S823" s="24" t="s">
        <v>1334</v>
      </c>
      <c r="T823" s="24" t="s">
        <v>1334</v>
      </c>
      <c r="U823" s="53"/>
      <c r="V823" s="25">
        <f>IFERROR(VLOOKUP(BCP_Soles[[#This Row],[destinatario]],CHOOSE({1,2},Clientes_Proveedores[Razon Social],Clientes_Proveedores[Ruc / Dni]),2,0),"")</f>
        <v>20523363337</v>
      </c>
      <c r="W823" s="25" t="s">
        <v>2196</v>
      </c>
      <c r="X823" s="25" t="s">
        <v>2197</v>
      </c>
      <c r="Y823" s="25"/>
      <c r="Z823" s="75"/>
      <c r="AA823" s="3" t="str">
        <f>IF(BCP_Soles[[#This Row],[fecha]]&gt;0,TEXT(BCP_Soles[[#This Row],[fecha]],"mmmm"),0)</f>
        <v>Marzo</v>
      </c>
    </row>
    <row r="824" spans="1:27" ht="24" x14ac:dyDescent="0.3">
      <c r="A824" s="2">
        <f>IF(BCP_Soles[[#This Row],[tipo_registro]]="R",COUNTIFS($C$1:$C823,"R")+1,A823)</f>
        <v>595</v>
      </c>
      <c r="B824" s="19" t="str">
        <f t="shared" si="71"/>
        <v>B-BCP - Soles</v>
      </c>
      <c r="C824" s="3" t="s">
        <v>1330</v>
      </c>
      <c r="D824" s="14">
        <v>45723</v>
      </c>
      <c r="E824" s="5" t="s">
        <v>1421</v>
      </c>
      <c r="F824" s="5" t="s">
        <v>1336</v>
      </c>
      <c r="G824" s="6" t="s">
        <v>809</v>
      </c>
      <c r="H824" s="6" t="s">
        <v>143</v>
      </c>
      <c r="I824" s="6">
        <v>1</v>
      </c>
      <c r="J824" s="6">
        <v>782025</v>
      </c>
      <c r="K824" s="7" t="s">
        <v>1356</v>
      </c>
      <c r="L824" s="8">
        <v>4391530</v>
      </c>
      <c r="M824" s="8" t="str">
        <f t="shared" si="72"/>
        <v>PEN</v>
      </c>
      <c r="N824" s="13"/>
      <c r="O824" s="13">
        <v>1500</v>
      </c>
      <c r="P824" s="3">
        <f t="shared" si="73"/>
        <v>0</v>
      </c>
      <c r="Q824" s="3">
        <f t="shared" si="74"/>
        <v>1500</v>
      </c>
      <c r="R824" s="3">
        <f t="shared" si="70"/>
        <v>8881.1999999999971</v>
      </c>
      <c r="S824" s="24"/>
      <c r="T824" s="24" t="s">
        <v>1334</v>
      </c>
      <c r="U824" s="53"/>
      <c r="V824" s="25">
        <f>IFERROR(VLOOKUP(BCP_Soles[[#This Row],[destinatario]],CHOOSE({1,2},Clientes_Proveedores[Razon Social],Clientes_Proveedores[Ruc / Dni]),2,0),"")</f>
        <v>45286301</v>
      </c>
      <c r="W824" s="25"/>
      <c r="X824" s="25" t="s">
        <v>1430</v>
      </c>
      <c r="Y824" s="25"/>
      <c r="Z824" s="75"/>
      <c r="AA824" s="3" t="str">
        <f>IF(BCP_Soles[[#This Row],[fecha]]&gt;0,TEXT(BCP_Soles[[#This Row],[fecha]],"mmmm"),0)</f>
        <v>Marzo</v>
      </c>
    </row>
    <row r="825" spans="1:27" x14ac:dyDescent="0.3">
      <c r="A825" s="2">
        <f>IF(BCP_Soles[[#This Row],[tipo_registro]]="R",COUNTIFS($C$1:$C824,"R")+1,A824)</f>
        <v>596</v>
      </c>
      <c r="B825" s="19" t="str">
        <f t="shared" si="71"/>
        <v>B-BCP - Soles</v>
      </c>
      <c r="C825" s="3" t="s">
        <v>1330</v>
      </c>
      <c r="D825" s="14">
        <v>45723</v>
      </c>
      <c r="E825" s="5" t="s">
        <v>1338</v>
      </c>
      <c r="F825" s="5" t="s">
        <v>1336</v>
      </c>
      <c r="G825" s="6" t="s">
        <v>696</v>
      </c>
      <c r="H825" s="6"/>
      <c r="I825" s="6"/>
      <c r="J825" s="6"/>
      <c r="K825" s="7" t="s">
        <v>2198</v>
      </c>
      <c r="L825" s="8">
        <v>296456</v>
      </c>
      <c r="M825" s="8" t="str">
        <f t="shared" si="72"/>
        <v>PEN</v>
      </c>
      <c r="N825" s="13"/>
      <c r="O825" s="13">
        <v>2048</v>
      </c>
      <c r="P825" s="3">
        <f t="shared" si="73"/>
        <v>0</v>
      </c>
      <c r="Q825" s="3">
        <f t="shared" si="74"/>
        <v>2048</v>
      </c>
      <c r="R825" s="3">
        <f t="shared" si="70"/>
        <v>6833.1999999999971</v>
      </c>
      <c r="S825" s="24" t="s">
        <v>1334</v>
      </c>
      <c r="T825" s="24" t="s">
        <v>1334</v>
      </c>
      <c r="U825" s="53"/>
      <c r="V825" s="25">
        <f>IFERROR(VLOOKUP(BCP_Soles[[#This Row],[destinatario]],CHOOSE({1,2},Clientes_Proveedores[Razon Social],Clientes_Proveedores[Ruc / Dni]),2,0),"")</f>
        <v>0</v>
      </c>
      <c r="W825" s="25" t="s">
        <v>1373</v>
      </c>
      <c r="X825" s="25"/>
      <c r="Y825" s="25"/>
      <c r="Z825" s="75"/>
      <c r="AA825" s="3" t="str">
        <f>IF(BCP_Soles[[#This Row],[fecha]]&gt;0,TEXT(BCP_Soles[[#This Row],[fecha]],"mmmm"),0)</f>
        <v>Marzo</v>
      </c>
    </row>
    <row r="826" spans="1:27" ht="24" x14ac:dyDescent="0.3">
      <c r="A826" s="2">
        <f>IF(BCP_Soles[[#This Row],[tipo_registro]]="R",COUNTIFS($C$1:$C825,"R")+1,A825)</f>
        <v>596</v>
      </c>
      <c r="B826" s="19" t="str">
        <f t="shared" si="71"/>
        <v>B-BCP - Soles</v>
      </c>
      <c r="C826" s="3" t="s">
        <v>1352</v>
      </c>
      <c r="D826" s="14">
        <v>45723</v>
      </c>
      <c r="E826" s="5" t="s">
        <v>1338</v>
      </c>
      <c r="F826" s="5"/>
      <c r="G826" s="6" t="s">
        <v>651</v>
      </c>
      <c r="H826" s="6" t="s">
        <v>68</v>
      </c>
      <c r="I826" s="6" t="s">
        <v>1376</v>
      </c>
      <c r="J826" s="6">
        <v>9</v>
      </c>
      <c r="K826" s="7" t="s">
        <v>2198</v>
      </c>
      <c r="L826" s="8">
        <v>296456</v>
      </c>
      <c r="M826" s="8" t="str">
        <f t="shared" si="72"/>
        <v>PEN</v>
      </c>
      <c r="N826" s="13">
        <v>1536</v>
      </c>
      <c r="O826" s="13"/>
      <c r="P826" s="3">
        <f t="shared" si="73"/>
        <v>0</v>
      </c>
      <c r="Q826" s="3">
        <f t="shared" si="74"/>
        <v>0</v>
      </c>
      <c r="R826" s="3">
        <f t="shared" si="70"/>
        <v>6833.1999999999971</v>
      </c>
      <c r="S826" s="24"/>
      <c r="T826" s="24" t="s">
        <v>1334</v>
      </c>
      <c r="U826" s="53"/>
      <c r="V826" s="25">
        <f>IFERROR(VLOOKUP(BCP_Soles[[#This Row],[destinatario]],CHOOSE({1,2},Clientes_Proveedores[Razon Social],Clientes_Proveedores[Ruc / Dni]),2,0),"")</f>
        <v>10024073951</v>
      </c>
      <c r="W826" s="25"/>
      <c r="X826" s="25"/>
      <c r="Y826" s="25"/>
      <c r="Z826" s="75"/>
      <c r="AA826" s="3" t="str">
        <f>IF(BCP_Soles[[#This Row],[fecha]]&gt;0,TEXT(BCP_Soles[[#This Row],[fecha]],"mmmm"),0)</f>
        <v>Marzo</v>
      </c>
    </row>
    <row r="827" spans="1:27" ht="36" x14ac:dyDescent="0.3">
      <c r="A827" s="2">
        <f>IF(BCP_Soles[[#This Row],[tipo_registro]]="R",COUNTIFS($C$1:$C826,"R")+1,A826)</f>
        <v>596</v>
      </c>
      <c r="B827" s="19" t="str">
        <f t="shared" si="71"/>
        <v>B-BCP - Soles</v>
      </c>
      <c r="C827" s="3" t="s">
        <v>1352</v>
      </c>
      <c r="D827" s="14">
        <v>45723</v>
      </c>
      <c r="E827" s="5" t="s">
        <v>1338</v>
      </c>
      <c r="F827" s="5"/>
      <c r="G827" s="6" t="s">
        <v>117</v>
      </c>
      <c r="H827" s="6" t="s">
        <v>68</v>
      </c>
      <c r="I827" s="6" t="s">
        <v>1376</v>
      </c>
      <c r="J827" s="6">
        <v>431</v>
      </c>
      <c r="K827" s="7" t="s">
        <v>2198</v>
      </c>
      <c r="L827" s="8">
        <v>296456</v>
      </c>
      <c r="M827" s="8" t="str">
        <f t="shared" si="72"/>
        <v>PEN</v>
      </c>
      <c r="N827" s="13">
        <v>453</v>
      </c>
      <c r="O827" s="13"/>
      <c r="P827" s="3">
        <f t="shared" si="73"/>
        <v>0</v>
      </c>
      <c r="Q827" s="3">
        <f t="shared" si="74"/>
        <v>0</v>
      </c>
      <c r="R827" s="3">
        <f t="shared" si="70"/>
        <v>6833.1999999999971</v>
      </c>
      <c r="S827" s="24"/>
      <c r="T827" s="24" t="s">
        <v>1334</v>
      </c>
      <c r="U827" s="53"/>
      <c r="V827" s="25">
        <f>IFERROR(VLOOKUP(BCP_Soles[[#This Row],[destinatario]],CHOOSE({1,2},Clientes_Proveedores[Razon Social],Clientes_Proveedores[Ruc / Dni]),2,0),"")</f>
        <v>10295492908</v>
      </c>
      <c r="W827" s="25"/>
      <c r="X827" s="25"/>
      <c r="Y827" s="25"/>
      <c r="Z827" s="75"/>
      <c r="AA827" s="3" t="str">
        <f>IF(BCP_Soles[[#This Row],[fecha]]&gt;0,TEXT(BCP_Soles[[#This Row],[fecha]],"mmmm"),0)</f>
        <v>Marzo</v>
      </c>
    </row>
    <row r="828" spans="1:27" ht="24" x14ac:dyDescent="0.3">
      <c r="A828" s="2">
        <f>IF(BCP_Soles[[#This Row],[tipo_registro]]="R",COUNTIFS($C$1:$C827,"R")+1,A827)</f>
        <v>596</v>
      </c>
      <c r="B828" s="19" t="str">
        <f t="shared" si="71"/>
        <v>B-BCP - Soles</v>
      </c>
      <c r="C828" s="3" t="s">
        <v>1352</v>
      </c>
      <c r="D828" s="14">
        <v>45723</v>
      </c>
      <c r="E828" s="5" t="s">
        <v>1338</v>
      </c>
      <c r="F828" s="5"/>
      <c r="G828" s="6" t="s">
        <v>166</v>
      </c>
      <c r="H828" s="6" t="s">
        <v>68</v>
      </c>
      <c r="I828" s="6" t="s">
        <v>1376</v>
      </c>
      <c r="J828" s="6">
        <v>4502</v>
      </c>
      <c r="K828" s="7" t="s">
        <v>2198</v>
      </c>
      <c r="L828" s="8">
        <v>296456</v>
      </c>
      <c r="M828" s="8" t="str">
        <f t="shared" si="72"/>
        <v>PEN</v>
      </c>
      <c r="N828" s="13">
        <v>59</v>
      </c>
      <c r="O828" s="13"/>
      <c r="P828" s="3">
        <f t="shared" si="73"/>
        <v>0</v>
      </c>
      <c r="Q828" s="3">
        <f t="shared" si="74"/>
        <v>0</v>
      </c>
      <c r="R828" s="3">
        <f t="shared" si="70"/>
        <v>6833.1999999999971</v>
      </c>
      <c r="S828" s="24"/>
      <c r="T828" s="24" t="s">
        <v>1334</v>
      </c>
      <c r="U828" s="53"/>
      <c r="V828" s="25">
        <f>IFERROR(VLOOKUP(BCP_Soles[[#This Row],[destinatario]],CHOOSE({1,2},Clientes_Proveedores[Razon Social],Clientes_Proveedores[Ruc / Dni]),2,0),"")</f>
        <v>10425371652</v>
      </c>
      <c r="W828" s="25"/>
      <c r="X828" s="25"/>
      <c r="Y828" s="25"/>
      <c r="Z828" s="75"/>
      <c r="AA828" s="3" t="str">
        <f>IF(BCP_Soles[[#This Row],[fecha]]&gt;0,TEXT(BCP_Soles[[#This Row],[fecha]],"mmmm"),0)</f>
        <v>Marzo</v>
      </c>
    </row>
    <row r="829" spans="1:27" x14ac:dyDescent="0.3">
      <c r="A829" s="2">
        <f>IF(BCP_Soles[[#This Row],[tipo_registro]]="R",COUNTIFS($C$1:$C828,"R")+1,A828)</f>
        <v>597</v>
      </c>
      <c r="B829" s="19" t="str">
        <f t="shared" si="71"/>
        <v>B-BCP - Soles</v>
      </c>
      <c r="C829" s="3" t="s">
        <v>1330</v>
      </c>
      <c r="D829" s="14">
        <v>45723</v>
      </c>
      <c r="E829" s="5" t="s">
        <v>1338</v>
      </c>
      <c r="F829" s="5" t="s">
        <v>1336</v>
      </c>
      <c r="G829" s="6"/>
      <c r="H829" s="6"/>
      <c r="I829" s="6"/>
      <c r="J829" s="6"/>
      <c r="K829" s="7" t="s">
        <v>2199</v>
      </c>
      <c r="L829" s="8">
        <v>1014127</v>
      </c>
      <c r="M829" s="8" t="str">
        <f t="shared" si="72"/>
        <v>PEN</v>
      </c>
      <c r="N829" s="13"/>
      <c r="O829" s="13">
        <v>2385</v>
      </c>
      <c r="P829" s="3">
        <f t="shared" si="73"/>
        <v>0</v>
      </c>
      <c r="Q829" s="3">
        <f t="shared" si="74"/>
        <v>2385</v>
      </c>
      <c r="R829" s="3">
        <f t="shared" si="70"/>
        <v>4448.1999999999971</v>
      </c>
      <c r="S829" s="24"/>
      <c r="T829" s="24"/>
      <c r="U829" s="53"/>
      <c r="V829" s="25" t="str">
        <f>IFERROR(VLOOKUP(BCP_Soles[[#This Row],[destinatario]],CHOOSE({1,2},Clientes_Proveedores[Razon Social],Clientes_Proveedores[Ruc / Dni]),2,0),"")</f>
        <v/>
      </c>
      <c r="W829" s="25" t="s">
        <v>1389</v>
      </c>
      <c r="X829" s="25"/>
      <c r="Y829" s="25"/>
      <c r="Z829" s="75"/>
      <c r="AA829" s="3" t="str">
        <f>IF(BCP_Soles[[#This Row],[fecha]]&gt;0,TEXT(BCP_Soles[[#This Row],[fecha]],"mmmm"),0)</f>
        <v>Marzo</v>
      </c>
    </row>
    <row r="830" spans="1:27" ht="24" x14ac:dyDescent="0.3">
      <c r="A830" s="2">
        <f>IF(BCP_Soles[[#This Row],[tipo_registro]]="R",COUNTIFS($C$1:$C829,"R")+1,A829)</f>
        <v>598</v>
      </c>
      <c r="B830" s="19" t="str">
        <f t="shared" si="71"/>
        <v>B-BCP - Soles</v>
      </c>
      <c r="C830" s="3" t="s">
        <v>1330</v>
      </c>
      <c r="D830" s="14">
        <v>45723</v>
      </c>
      <c r="E830" s="5" t="s">
        <v>1338</v>
      </c>
      <c r="F830" s="5" t="s">
        <v>1336</v>
      </c>
      <c r="G830" s="6" t="s">
        <v>901</v>
      </c>
      <c r="H830" s="6"/>
      <c r="I830" s="6"/>
      <c r="J830" s="6"/>
      <c r="K830" s="7" t="s">
        <v>2200</v>
      </c>
      <c r="L830" s="8">
        <v>1277103</v>
      </c>
      <c r="M830" s="8" t="str">
        <f t="shared" si="72"/>
        <v>PEN</v>
      </c>
      <c r="N830" s="13"/>
      <c r="O830" s="13">
        <v>2604.1</v>
      </c>
      <c r="P830" s="3">
        <f t="shared" si="73"/>
        <v>0</v>
      </c>
      <c r="Q830" s="3">
        <f t="shared" si="74"/>
        <v>2604.1</v>
      </c>
      <c r="R830" s="3">
        <f t="shared" si="70"/>
        <v>1844.0999999999972</v>
      </c>
      <c r="S830" s="24"/>
      <c r="T830" s="24" t="s">
        <v>1334</v>
      </c>
      <c r="U830" s="53"/>
      <c r="V830" s="25">
        <f>IFERROR(VLOOKUP(BCP_Soles[[#This Row],[destinatario]],CHOOSE({1,2},Clientes_Proveedores[Razon Social],Clientes_Proveedores[Ruc / Dni]),2,0),"")</f>
        <v>72131384</v>
      </c>
      <c r="W830" s="25" t="s">
        <v>901</v>
      </c>
      <c r="X830" s="25" t="s">
        <v>1975</v>
      </c>
      <c r="Y830" s="25"/>
      <c r="Z830" s="75"/>
      <c r="AA830" s="3" t="str">
        <f>IF(BCP_Soles[[#This Row],[fecha]]&gt;0,TEXT(BCP_Soles[[#This Row],[fecha]],"mmmm"),0)</f>
        <v>Marzo</v>
      </c>
    </row>
    <row r="831" spans="1:27" ht="24" x14ac:dyDescent="0.3">
      <c r="A831" s="2">
        <f>IF(BCP_Soles[[#This Row],[tipo_registro]]="R",COUNTIFS($C$1:$C830,"R")+1,A830)</f>
        <v>599</v>
      </c>
      <c r="B831" s="19" t="str">
        <f t="shared" si="71"/>
        <v>B-BCP - Soles</v>
      </c>
      <c r="C831" s="3" t="s">
        <v>1330</v>
      </c>
      <c r="D831" s="14">
        <v>45726</v>
      </c>
      <c r="E831" s="5" t="s">
        <v>1505</v>
      </c>
      <c r="F831" s="5" t="s">
        <v>1303</v>
      </c>
      <c r="G831" s="6" t="s">
        <v>425</v>
      </c>
      <c r="H831" s="6" t="s">
        <v>119</v>
      </c>
      <c r="I831" s="6">
        <v>2</v>
      </c>
      <c r="J831" s="6">
        <v>729</v>
      </c>
      <c r="K831" s="7" t="s">
        <v>1356</v>
      </c>
      <c r="L831" s="8">
        <v>851443</v>
      </c>
      <c r="M831" s="8" t="str">
        <f t="shared" si="72"/>
        <v>PEN</v>
      </c>
      <c r="N831" s="13"/>
      <c r="O831" s="13">
        <v>2740</v>
      </c>
      <c r="P831" s="3">
        <f t="shared" si="73"/>
        <v>2740</v>
      </c>
      <c r="Q831" s="3">
        <f t="shared" si="74"/>
        <v>0</v>
      </c>
      <c r="R831" s="3">
        <f t="shared" si="70"/>
        <v>4584.0999999999967</v>
      </c>
      <c r="S831" s="24" t="s">
        <v>1334</v>
      </c>
      <c r="T831" s="24" t="s">
        <v>1334</v>
      </c>
      <c r="U831" s="53"/>
      <c r="V831" s="25">
        <f>IFERROR(VLOOKUP(BCP_Soles[[#This Row],[destinatario]],CHOOSE({1,2},Clientes_Proveedores[Razon Social],Clientes_Proveedores[Ruc / Dni]),2,0),"")</f>
        <v>20558226979</v>
      </c>
      <c r="W831" s="25" t="s">
        <v>1345</v>
      </c>
      <c r="X831" s="25" t="s">
        <v>2201</v>
      </c>
      <c r="Y831" s="25"/>
      <c r="Z831" s="75"/>
      <c r="AA831" s="3" t="str">
        <f>IF(BCP_Soles[[#This Row],[fecha]]&gt;0,TEXT(BCP_Soles[[#This Row],[fecha]],"mmmm"),0)</f>
        <v>Marzo</v>
      </c>
    </row>
    <row r="832" spans="1:27" ht="24" x14ac:dyDescent="0.3">
      <c r="A832" s="2">
        <f>IF(BCP_Soles[[#This Row],[tipo_registro]]="R",COUNTIFS($C$1:$C831,"R")+1,A831)</f>
        <v>600</v>
      </c>
      <c r="B832" s="19" t="str">
        <f t="shared" si="71"/>
        <v>B-BCP - Soles</v>
      </c>
      <c r="C832" s="3" t="s">
        <v>1330</v>
      </c>
      <c r="D832" s="14">
        <v>45726</v>
      </c>
      <c r="E832" s="5" t="s">
        <v>1338</v>
      </c>
      <c r="F832" s="5" t="s">
        <v>1336</v>
      </c>
      <c r="G832" s="6" t="s">
        <v>249</v>
      </c>
      <c r="H832" s="6"/>
      <c r="I832" s="6"/>
      <c r="J832" s="6"/>
      <c r="K832" s="7" t="s">
        <v>2202</v>
      </c>
      <c r="L832" s="8">
        <v>1057229</v>
      </c>
      <c r="M832" s="8" t="str">
        <f t="shared" si="72"/>
        <v>PEN</v>
      </c>
      <c r="N832" s="13"/>
      <c r="O832" s="13">
        <v>212.4</v>
      </c>
      <c r="P832" s="3">
        <f t="shared" si="73"/>
        <v>0</v>
      </c>
      <c r="Q832" s="3">
        <f t="shared" si="74"/>
        <v>212.4</v>
      </c>
      <c r="R832" s="3">
        <f t="shared" si="70"/>
        <v>4371.6999999999971</v>
      </c>
      <c r="S832" s="24"/>
      <c r="T832" s="24"/>
      <c r="U832" s="53"/>
      <c r="V832" s="25">
        <f>IFERROR(VLOOKUP(BCP_Soles[[#This Row],[destinatario]],CHOOSE({1,2},Clientes_Proveedores[Razon Social],Clientes_Proveedores[Ruc / Dni]),2,0),"")</f>
        <v>20302891452</v>
      </c>
      <c r="W832" s="25" t="s">
        <v>249</v>
      </c>
      <c r="X832" s="25"/>
      <c r="Y832" s="25"/>
      <c r="Z832" s="75"/>
      <c r="AA832" s="3" t="str">
        <f>IF(BCP_Soles[[#This Row],[fecha]]&gt;0,TEXT(BCP_Soles[[#This Row],[fecha]],"mmmm"),0)</f>
        <v>Marzo</v>
      </c>
    </row>
    <row r="833" spans="1:27" x14ac:dyDescent="0.3">
      <c r="A833" s="2">
        <f>IF(BCP_Soles[[#This Row],[tipo_registro]]="R",COUNTIFS($C$1:$C832,"R")+1,A832)</f>
        <v>601</v>
      </c>
      <c r="B833" s="19" t="str">
        <f t="shared" si="71"/>
        <v>B-BCP - Soles</v>
      </c>
      <c r="C833" s="3" t="s">
        <v>1330</v>
      </c>
      <c r="D833" s="14">
        <v>45726</v>
      </c>
      <c r="E833" s="5" t="s">
        <v>1338</v>
      </c>
      <c r="F833" s="5" t="s">
        <v>1336</v>
      </c>
      <c r="G833" s="6" t="s">
        <v>575</v>
      </c>
      <c r="H833" s="6"/>
      <c r="I833" s="6"/>
      <c r="J833" s="6"/>
      <c r="K833" s="7" t="s">
        <v>1735</v>
      </c>
      <c r="L833" s="8">
        <v>4005588</v>
      </c>
      <c r="M833" s="8" t="str">
        <f t="shared" si="72"/>
        <v>PEN</v>
      </c>
      <c r="N833" s="13"/>
      <c r="O833" s="13">
        <v>720.5</v>
      </c>
      <c r="P833" s="3">
        <f t="shared" si="73"/>
        <v>0</v>
      </c>
      <c r="Q833" s="3">
        <f t="shared" si="74"/>
        <v>720.5</v>
      </c>
      <c r="R833" s="3">
        <f t="shared" si="70"/>
        <v>3651.1999999999971</v>
      </c>
      <c r="S833" s="24" t="s">
        <v>1334</v>
      </c>
      <c r="T833" s="24"/>
      <c r="U833" s="53"/>
      <c r="V833" s="25">
        <f>IFERROR(VLOOKUP(BCP_Soles[[#This Row],[destinatario]],CHOOSE({1,2},Clientes_Proveedores[Razon Social],Clientes_Proveedores[Ruc / Dni]),2,0),"")</f>
        <v>20608970909</v>
      </c>
      <c r="W833" s="25" t="s">
        <v>575</v>
      </c>
      <c r="X833" s="25" t="s">
        <v>2203</v>
      </c>
      <c r="Y833" s="25"/>
      <c r="Z833" s="75"/>
      <c r="AA833" s="3" t="str">
        <f>IF(BCP_Soles[[#This Row],[fecha]]&gt;0,TEXT(BCP_Soles[[#This Row],[fecha]],"mmmm"),0)</f>
        <v>Marzo</v>
      </c>
    </row>
    <row r="834" spans="1:27" ht="24" x14ac:dyDescent="0.3">
      <c r="A834" s="2">
        <f>IF(BCP_Soles[[#This Row],[tipo_registro]]="R",COUNTIFS($C$1:$C833,"R")+1,A833)</f>
        <v>601</v>
      </c>
      <c r="B834" s="19" t="str">
        <f t="shared" si="71"/>
        <v>B-BCP - Soles</v>
      </c>
      <c r="C834" s="3" t="s">
        <v>1352</v>
      </c>
      <c r="D834" s="14">
        <v>45726</v>
      </c>
      <c r="E834" s="5" t="s">
        <v>1338</v>
      </c>
      <c r="F834" s="5" t="s">
        <v>1336</v>
      </c>
      <c r="G834" s="6" t="s">
        <v>575</v>
      </c>
      <c r="H834" s="6" t="s">
        <v>68</v>
      </c>
      <c r="I834" s="6" t="s">
        <v>1376</v>
      </c>
      <c r="J834" s="6">
        <v>1007</v>
      </c>
      <c r="K834" s="7" t="s">
        <v>1735</v>
      </c>
      <c r="L834" s="8">
        <v>4005588</v>
      </c>
      <c r="M834" s="8" t="str">
        <f t="shared" si="72"/>
        <v>PEN</v>
      </c>
      <c r="N834" s="13">
        <v>710</v>
      </c>
      <c r="O834" s="13"/>
      <c r="P834" s="3">
        <f t="shared" si="73"/>
        <v>0</v>
      </c>
      <c r="Q834" s="3">
        <f t="shared" si="74"/>
        <v>0</v>
      </c>
      <c r="R834" s="3">
        <f t="shared" si="70"/>
        <v>3651.1999999999971</v>
      </c>
      <c r="S834" s="24" t="s">
        <v>1334</v>
      </c>
      <c r="T834" s="24"/>
      <c r="U834" s="53"/>
      <c r="V834" s="25">
        <f>IFERROR(VLOOKUP(BCP_Soles[[#This Row],[destinatario]],CHOOSE({1,2},Clientes_Proveedores[Razon Social],Clientes_Proveedores[Ruc / Dni]),2,0),"")</f>
        <v>20608970909</v>
      </c>
      <c r="W834" s="25"/>
      <c r="X834" s="103" t="s">
        <v>2204</v>
      </c>
      <c r="Y834" s="103"/>
      <c r="Z834" s="75"/>
      <c r="AA834" s="3" t="str">
        <f>IF(BCP_Soles[[#This Row],[fecha]]&gt;0,TEXT(BCP_Soles[[#This Row],[fecha]],"mmmm"),0)</f>
        <v>Marzo</v>
      </c>
    </row>
    <row r="835" spans="1:27" ht="24" x14ac:dyDescent="0.3">
      <c r="A835" s="2">
        <f>IF(BCP_Soles[[#This Row],[tipo_registro]]="R",COUNTIFS($C$1:$C834,"R")+1,A834)</f>
        <v>601</v>
      </c>
      <c r="B835" s="19" t="str">
        <f t="shared" si="71"/>
        <v>B-BCP - Soles</v>
      </c>
      <c r="C835" s="3" t="s">
        <v>1352</v>
      </c>
      <c r="D835" s="14">
        <v>45726</v>
      </c>
      <c r="E835" s="5" t="s">
        <v>1338</v>
      </c>
      <c r="F835" s="5" t="s">
        <v>1336</v>
      </c>
      <c r="G835" s="6" t="s">
        <v>1060</v>
      </c>
      <c r="H835" s="6" t="s">
        <v>68</v>
      </c>
      <c r="I835" s="6" t="s">
        <v>1397</v>
      </c>
      <c r="J835" s="6">
        <v>30270879</v>
      </c>
      <c r="K835" s="7" t="s">
        <v>1735</v>
      </c>
      <c r="L835" s="8">
        <v>4005588</v>
      </c>
      <c r="M835" s="8" t="str">
        <f t="shared" si="72"/>
        <v>PEN</v>
      </c>
      <c r="N835" s="13">
        <v>10.5</v>
      </c>
      <c r="O835" s="13"/>
      <c r="P835" s="3">
        <f t="shared" si="73"/>
        <v>0</v>
      </c>
      <c r="Q835" s="3">
        <f t="shared" si="74"/>
        <v>0</v>
      </c>
      <c r="R835" s="3">
        <f t="shared" si="70"/>
        <v>3651.1999999999971</v>
      </c>
      <c r="S835" s="24" t="s">
        <v>1334</v>
      </c>
      <c r="T835" s="24"/>
      <c r="U835" s="53"/>
      <c r="V835" s="25">
        <f>IFERROR(VLOOKUP(BCP_Soles[[#This Row],[destinatario]],CHOOSE({1,2},Clientes_Proveedores[Razon Social],Clientes_Proveedores[Ruc / Dni]),2,0),"")</f>
        <v>20100047218</v>
      </c>
      <c r="W835" s="25"/>
      <c r="X835" s="25"/>
      <c r="Y835" s="25"/>
      <c r="Z835" s="75"/>
      <c r="AA835" s="3" t="str">
        <f>IF(BCP_Soles[[#This Row],[fecha]]&gt;0,TEXT(BCP_Soles[[#This Row],[fecha]],"mmmm"),0)</f>
        <v>Marzo</v>
      </c>
    </row>
    <row r="836" spans="1:27" ht="24" x14ac:dyDescent="0.3">
      <c r="A836" s="2">
        <f>IF(BCP_Soles[[#This Row],[tipo_registro]]="R",COUNTIFS($C$1:$C835,"R")+1,A835)</f>
        <v>602</v>
      </c>
      <c r="B836" s="19" t="str">
        <f t="shared" si="71"/>
        <v>B-BCP - Soles</v>
      </c>
      <c r="C836" s="3" t="s">
        <v>1330</v>
      </c>
      <c r="D836" s="14">
        <v>45726</v>
      </c>
      <c r="E836" s="5" t="s">
        <v>1338</v>
      </c>
      <c r="F836" s="5" t="s">
        <v>1336</v>
      </c>
      <c r="G836" s="6" t="s">
        <v>249</v>
      </c>
      <c r="H836" s="6"/>
      <c r="I836" s="6"/>
      <c r="J836" s="6"/>
      <c r="K836" s="7" t="s">
        <v>2202</v>
      </c>
      <c r="L836" s="8">
        <v>1059204</v>
      </c>
      <c r="M836" s="8" t="str">
        <f t="shared" si="72"/>
        <v>PEN</v>
      </c>
      <c r="N836" s="13"/>
      <c r="O836" s="13">
        <v>2828.11</v>
      </c>
      <c r="P836" s="3">
        <f t="shared" si="73"/>
        <v>0</v>
      </c>
      <c r="Q836" s="3">
        <f t="shared" si="74"/>
        <v>2828.11</v>
      </c>
      <c r="R836" s="3">
        <f t="shared" si="70"/>
        <v>823.08999999999696</v>
      </c>
      <c r="S836" s="24"/>
      <c r="T836" s="24"/>
      <c r="U836" s="53"/>
      <c r="V836" s="25">
        <f>IFERROR(VLOOKUP(BCP_Soles[[#This Row],[destinatario]],CHOOSE({1,2},Clientes_Proveedores[Razon Social],Clientes_Proveedores[Ruc / Dni]),2,0),"")</f>
        <v>20302891452</v>
      </c>
      <c r="W836" s="25" t="s">
        <v>249</v>
      </c>
      <c r="X836" s="25"/>
      <c r="Y836" s="25"/>
      <c r="Z836" s="75"/>
      <c r="AA836" s="3" t="str">
        <f>IF(BCP_Soles[[#This Row],[fecha]]&gt;0,TEXT(BCP_Soles[[#This Row],[fecha]],"mmmm"),0)</f>
        <v>Marzo</v>
      </c>
    </row>
    <row r="837" spans="1:27" ht="24" x14ac:dyDescent="0.3">
      <c r="A837" s="2">
        <f>IF(BCP_Soles[[#This Row],[tipo_registro]]="R",COUNTIFS($C$1:$C836,"R")+1,A836)</f>
        <v>603</v>
      </c>
      <c r="B837" s="19" t="str">
        <f t="shared" si="71"/>
        <v>B-BCP - Soles</v>
      </c>
      <c r="C837" s="3" t="s">
        <v>1330</v>
      </c>
      <c r="D837" s="14">
        <v>45726</v>
      </c>
      <c r="E837" s="5" t="s">
        <v>2205</v>
      </c>
      <c r="F837" s="5" t="s">
        <v>1303</v>
      </c>
      <c r="G837" s="6" t="s">
        <v>425</v>
      </c>
      <c r="H837" s="6" t="s">
        <v>119</v>
      </c>
      <c r="I837" s="6">
        <v>1</v>
      </c>
      <c r="J837" s="6">
        <v>4230</v>
      </c>
      <c r="K837" s="7" t="s">
        <v>1356</v>
      </c>
      <c r="L837" s="8">
        <v>1802567</v>
      </c>
      <c r="M837" s="8" t="str">
        <f t="shared" si="72"/>
        <v>PEN</v>
      </c>
      <c r="N837" s="13"/>
      <c r="O837" s="13">
        <v>6300</v>
      </c>
      <c r="P837" s="3">
        <f t="shared" si="73"/>
        <v>6300</v>
      </c>
      <c r="Q837" s="3">
        <f t="shared" si="74"/>
        <v>0</v>
      </c>
      <c r="R837" s="3">
        <f t="shared" si="70"/>
        <v>7123.0899999999965</v>
      </c>
      <c r="S837" s="24" t="s">
        <v>1334</v>
      </c>
      <c r="T837" s="24" t="s">
        <v>1334</v>
      </c>
      <c r="U837" s="53"/>
      <c r="V837" s="25">
        <f>IFERROR(VLOOKUP(BCP_Soles[[#This Row],[destinatario]],CHOOSE({1,2},Clientes_Proveedores[Razon Social],Clientes_Proveedores[Ruc / Dni]),2,0),"")</f>
        <v>20558226979</v>
      </c>
      <c r="W837" s="25" t="s">
        <v>1345</v>
      </c>
      <c r="X837" s="25" t="s">
        <v>2206</v>
      </c>
      <c r="Y837" s="25"/>
      <c r="Z837" s="75"/>
      <c r="AA837" s="3" t="str">
        <f>IF(BCP_Soles[[#This Row],[fecha]]&gt;0,TEXT(BCP_Soles[[#This Row],[fecha]],"mmmm"),0)</f>
        <v>Marzo</v>
      </c>
    </row>
    <row r="838" spans="1:27" ht="24" x14ac:dyDescent="0.3">
      <c r="A838" s="2">
        <f>IF(BCP_Soles[[#This Row],[tipo_registro]]="R",COUNTIFS($C$1:$C837,"R")+1,A837)</f>
        <v>604</v>
      </c>
      <c r="B838" s="19" t="str">
        <f t="shared" si="71"/>
        <v>B-BCP - Soles</v>
      </c>
      <c r="C838" s="3" t="s">
        <v>1330</v>
      </c>
      <c r="D838" s="14">
        <v>45726</v>
      </c>
      <c r="E838" s="5" t="s">
        <v>645</v>
      </c>
      <c r="F838" s="5" t="s">
        <v>1303</v>
      </c>
      <c r="G838" s="6" t="s">
        <v>425</v>
      </c>
      <c r="H838" s="6"/>
      <c r="I838" s="6"/>
      <c r="J838" s="6"/>
      <c r="K838" s="7" t="s">
        <v>2003</v>
      </c>
      <c r="L838" s="8">
        <v>2167335</v>
      </c>
      <c r="M838" s="8" t="str">
        <f t="shared" si="72"/>
        <v>PEN</v>
      </c>
      <c r="N838" s="13"/>
      <c r="O838" s="13">
        <v>14800</v>
      </c>
      <c r="P838" s="3">
        <f t="shared" si="73"/>
        <v>14800</v>
      </c>
      <c r="Q838" s="3">
        <f t="shared" si="74"/>
        <v>0</v>
      </c>
      <c r="R838" s="3">
        <f t="shared" si="70"/>
        <v>21923.089999999997</v>
      </c>
      <c r="S838" s="24" t="s">
        <v>1334</v>
      </c>
      <c r="T838" s="24" t="s">
        <v>1334</v>
      </c>
      <c r="U838" s="53"/>
      <c r="V838" s="25">
        <f>IFERROR(VLOOKUP(BCP_Soles[[#This Row],[destinatario]],CHOOSE({1,2},Clientes_Proveedores[Razon Social],Clientes_Proveedores[Ruc / Dni]),2,0),"")</f>
        <v>20558226979</v>
      </c>
      <c r="W838" s="25" t="s">
        <v>1345</v>
      </c>
      <c r="X838" s="25" t="s">
        <v>2207</v>
      </c>
      <c r="Y838" s="25"/>
      <c r="Z838" s="75"/>
      <c r="AA838" s="3" t="str">
        <f>IF(BCP_Soles[[#This Row],[fecha]]&gt;0,TEXT(BCP_Soles[[#This Row],[fecha]],"mmmm"),0)</f>
        <v>Marzo</v>
      </c>
    </row>
    <row r="839" spans="1:27" ht="36" x14ac:dyDescent="0.3">
      <c r="A839" s="2">
        <f>IF(BCP_Soles[[#This Row],[tipo_registro]]="R",COUNTIFS($C$1:$C838,"R")+1,A838)</f>
        <v>605</v>
      </c>
      <c r="B839" s="19" t="str">
        <f t="shared" si="71"/>
        <v>B-BCP - Soles</v>
      </c>
      <c r="C839" s="3" t="s">
        <v>1330</v>
      </c>
      <c r="D839" s="14">
        <v>45726</v>
      </c>
      <c r="E839" s="5" t="s">
        <v>555</v>
      </c>
      <c r="F839" s="5" t="s">
        <v>1303</v>
      </c>
      <c r="G839" s="6" t="s">
        <v>425</v>
      </c>
      <c r="H839" s="6"/>
      <c r="I839" s="6"/>
      <c r="J839" s="6"/>
      <c r="K839" s="7" t="s">
        <v>1348</v>
      </c>
      <c r="L839" s="8">
        <v>2181623</v>
      </c>
      <c r="M839" s="8" t="str">
        <f t="shared" si="72"/>
        <v>PEN</v>
      </c>
      <c r="N839" s="13"/>
      <c r="O839" s="13">
        <v>1051.6400000000001</v>
      </c>
      <c r="P839" s="3">
        <f t="shared" si="73"/>
        <v>1051.6400000000001</v>
      </c>
      <c r="Q839" s="3">
        <f t="shared" si="74"/>
        <v>0</v>
      </c>
      <c r="R839" s="3">
        <f t="shared" si="70"/>
        <v>22974.729999999996</v>
      </c>
      <c r="S839" s="24" t="s">
        <v>1334</v>
      </c>
      <c r="T839" s="24" t="s">
        <v>1334</v>
      </c>
      <c r="U839" s="53"/>
      <c r="V839" s="25">
        <f>IFERROR(VLOOKUP(BCP_Soles[[#This Row],[destinatario]],CHOOSE({1,2},Clientes_Proveedores[Razon Social],Clientes_Proveedores[Ruc / Dni]),2,0),"")</f>
        <v>20558226979</v>
      </c>
      <c r="W839" s="25" t="s">
        <v>1345</v>
      </c>
      <c r="X839" s="25" t="s">
        <v>2208</v>
      </c>
      <c r="Y839" s="25"/>
      <c r="Z839" s="75"/>
      <c r="AA839" s="3" t="str">
        <f>IF(BCP_Soles[[#This Row],[fecha]]&gt;0,TEXT(BCP_Soles[[#This Row],[fecha]],"mmmm"),0)</f>
        <v>Marzo</v>
      </c>
    </row>
    <row r="840" spans="1:27" ht="24" x14ac:dyDescent="0.3">
      <c r="A840" s="2">
        <f>IF(BCP_Soles[[#This Row],[tipo_registro]]="R",COUNTIFS($C$1:$C839,"R")+1,A839)</f>
        <v>606</v>
      </c>
      <c r="B840" s="19" t="str">
        <f t="shared" si="71"/>
        <v>B-BCP - Soles</v>
      </c>
      <c r="C840" s="3" t="s">
        <v>1330</v>
      </c>
      <c r="D840" s="14">
        <v>45726</v>
      </c>
      <c r="E840" s="5" t="s">
        <v>1338</v>
      </c>
      <c r="F840" s="5" t="s">
        <v>1336</v>
      </c>
      <c r="G840" s="6" t="s">
        <v>241</v>
      </c>
      <c r="H840" s="6" t="s">
        <v>68</v>
      </c>
      <c r="I840" s="6" t="s">
        <v>1339</v>
      </c>
      <c r="J840" s="6">
        <v>7284</v>
      </c>
      <c r="K840" s="7" t="s">
        <v>2209</v>
      </c>
      <c r="L840" s="8">
        <v>1178135</v>
      </c>
      <c r="M840" s="8" t="str">
        <f t="shared" si="72"/>
        <v>PEN</v>
      </c>
      <c r="N840" s="13"/>
      <c r="O840" s="13">
        <v>271.60000000000002</v>
      </c>
      <c r="P840" s="3">
        <f t="shared" si="73"/>
        <v>0</v>
      </c>
      <c r="Q840" s="3">
        <f t="shared" si="74"/>
        <v>271.60000000000002</v>
      </c>
      <c r="R840" s="3">
        <f t="shared" si="70"/>
        <v>22703.129999999997</v>
      </c>
      <c r="S840" s="24" t="s">
        <v>1334</v>
      </c>
      <c r="T840" s="24" t="s">
        <v>1334</v>
      </c>
      <c r="U840" s="53"/>
      <c r="V840" s="25">
        <f>IFERROR(VLOOKUP(BCP_Soles[[#This Row],[destinatario]],CHOOSE({1,2},Clientes_Proveedores[Razon Social],Clientes_Proveedores[Ruc / Dni]),2,0),"")</f>
        <v>20170040938</v>
      </c>
      <c r="W840" s="25" t="s">
        <v>1341</v>
      </c>
      <c r="X840" s="25" t="s">
        <v>2210</v>
      </c>
      <c r="Y840" s="25"/>
      <c r="Z840" s="75"/>
      <c r="AA840" s="3" t="str">
        <f>IF(BCP_Soles[[#This Row],[fecha]]&gt;0,TEXT(BCP_Soles[[#This Row],[fecha]],"mmmm"),0)</f>
        <v>Marzo</v>
      </c>
    </row>
    <row r="841" spans="1:27" x14ac:dyDescent="0.3">
      <c r="A841" s="2">
        <f>IF(BCP_Soles[[#This Row],[tipo_registro]]="R",COUNTIFS($C$1:$C840,"R")+1,A840)</f>
        <v>607</v>
      </c>
      <c r="B841" s="19" t="str">
        <f t="shared" si="71"/>
        <v>B-BCP - Soles</v>
      </c>
      <c r="C841" s="3" t="s">
        <v>1330</v>
      </c>
      <c r="D841" s="14">
        <v>45726</v>
      </c>
      <c r="E841" s="5" t="s">
        <v>1338</v>
      </c>
      <c r="F841" s="5" t="s">
        <v>1336</v>
      </c>
      <c r="G841" s="6" t="s">
        <v>696</v>
      </c>
      <c r="H841" s="6"/>
      <c r="I841" s="6"/>
      <c r="J841" s="6"/>
      <c r="K841" s="7" t="s">
        <v>2211</v>
      </c>
      <c r="L841" s="8">
        <v>975178</v>
      </c>
      <c r="M841" s="8" t="str">
        <f t="shared" si="72"/>
        <v>PEN</v>
      </c>
      <c r="N841" s="13"/>
      <c r="O841" s="13">
        <v>3033.11</v>
      </c>
      <c r="P841" s="3">
        <f t="shared" si="73"/>
        <v>0</v>
      </c>
      <c r="Q841" s="3">
        <f t="shared" si="74"/>
        <v>3033.11</v>
      </c>
      <c r="R841" s="3">
        <f t="shared" ref="R841:R904" si="75">IFERROR(IF(F841="SALDO",P841,R840+P841-Q841),0)</f>
        <v>19670.019999999997</v>
      </c>
      <c r="S841" s="24" t="s">
        <v>1334</v>
      </c>
      <c r="T841" s="24" t="s">
        <v>1334</v>
      </c>
      <c r="U841" s="53"/>
      <c r="V841" s="25">
        <f>IFERROR(VLOOKUP(BCP_Soles[[#This Row],[destinatario]],CHOOSE({1,2},Clientes_Proveedores[Razon Social],Clientes_Proveedores[Ruc / Dni]),2,0),"")</f>
        <v>0</v>
      </c>
      <c r="W841" s="25" t="s">
        <v>1373</v>
      </c>
      <c r="X841" s="25"/>
      <c r="Y841" s="25"/>
      <c r="Z841" s="75"/>
      <c r="AA841" s="3" t="str">
        <f>IF(BCP_Soles[[#This Row],[fecha]]&gt;0,TEXT(BCP_Soles[[#This Row],[fecha]],"mmmm"),0)</f>
        <v>Marzo</v>
      </c>
    </row>
    <row r="842" spans="1:27" ht="36" x14ac:dyDescent="0.3">
      <c r="A842" s="2">
        <f>IF(BCP_Soles[[#This Row],[tipo_registro]]="R",COUNTIFS($C$1:$C841,"R")+1,A841)</f>
        <v>608</v>
      </c>
      <c r="B842" s="19" t="str">
        <f t="shared" si="71"/>
        <v>B-BCP - Soles</v>
      </c>
      <c r="C842" s="3" t="s">
        <v>1330</v>
      </c>
      <c r="D842" s="14">
        <v>45726</v>
      </c>
      <c r="E842" s="5" t="s">
        <v>555</v>
      </c>
      <c r="F842" s="5" t="s">
        <v>1303</v>
      </c>
      <c r="G842" s="6" t="s">
        <v>425</v>
      </c>
      <c r="H842" s="6"/>
      <c r="I842" s="6"/>
      <c r="J842" s="6"/>
      <c r="K842" s="7" t="s">
        <v>1348</v>
      </c>
      <c r="L842" s="8">
        <v>2183860</v>
      </c>
      <c r="M842" s="8" t="str">
        <f t="shared" si="72"/>
        <v>PEN</v>
      </c>
      <c r="N842" s="13"/>
      <c r="O842" s="13">
        <v>3671.98</v>
      </c>
      <c r="P842" s="3">
        <f t="shared" si="73"/>
        <v>3671.98</v>
      </c>
      <c r="Q842" s="3">
        <f t="shared" si="74"/>
        <v>0</v>
      </c>
      <c r="R842" s="3">
        <f t="shared" si="75"/>
        <v>23341.999999999996</v>
      </c>
      <c r="S842" s="24" t="s">
        <v>1334</v>
      </c>
      <c r="T842" s="24" t="s">
        <v>1334</v>
      </c>
      <c r="U842" s="53"/>
      <c r="V842" s="25">
        <f>IFERROR(VLOOKUP(BCP_Soles[[#This Row],[destinatario]],CHOOSE({1,2},Clientes_Proveedores[Razon Social],Clientes_Proveedores[Ruc / Dni]),2,0),"")</f>
        <v>20558226979</v>
      </c>
      <c r="W842" s="25" t="s">
        <v>1345</v>
      </c>
      <c r="X842" s="25" t="s">
        <v>2212</v>
      </c>
      <c r="Y842" s="25"/>
      <c r="Z842" s="75"/>
      <c r="AA842" s="3" t="str">
        <f>IF(BCP_Soles[[#This Row],[fecha]]&gt;0,TEXT(BCP_Soles[[#This Row],[fecha]],"mmmm"),0)</f>
        <v>Marzo</v>
      </c>
    </row>
    <row r="843" spans="1:27" x14ac:dyDescent="0.3">
      <c r="A843" s="2">
        <f>IF(BCP_Soles[[#This Row],[tipo_registro]]="R",COUNTIFS($C$1:$C842,"R")+1,A842)</f>
        <v>609</v>
      </c>
      <c r="B843" s="19" t="str">
        <f t="shared" si="71"/>
        <v>B-BCP - Soles</v>
      </c>
      <c r="C843" s="3" t="s">
        <v>1330</v>
      </c>
      <c r="D843" s="14">
        <v>45726</v>
      </c>
      <c r="E843" s="5" t="s">
        <v>1335</v>
      </c>
      <c r="F843" s="5" t="s">
        <v>1336</v>
      </c>
      <c r="G843" s="6"/>
      <c r="H843" s="6"/>
      <c r="I843" s="6"/>
      <c r="J843" s="6"/>
      <c r="K843" s="7" t="s">
        <v>1337</v>
      </c>
      <c r="L843" s="8"/>
      <c r="M843" s="8" t="str">
        <f t="shared" si="72"/>
        <v>PEN</v>
      </c>
      <c r="N843" s="13"/>
      <c r="O843" s="13">
        <v>1.8</v>
      </c>
      <c r="P843" s="3">
        <f t="shared" si="73"/>
        <v>0</v>
      </c>
      <c r="Q843" s="3">
        <f t="shared" si="74"/>
        <v>1.8</v>
      </c>
      <c r="R843" s="3">
        <f t="shared" si="75"/>
        <v>23340.199999999997</v>
      </c>
      <c r="S843" s="24"/>
      <c r="T843" s="24" t="s">
        <v>1334</v>
      </c>
      <c r="U843" s="53"/>
      <c r="V843" s="25" t="str">
        <f>IFERROR(VLOOKUP(BCP_Soles[[#This Row],[destinatario]],CHOOSE({1,2},Clientes_Proveedores[Razon Social],Clientes_Proveedores[Ruc / Dni]),2,0),"")</f>
        <v/>
      </c>
      <c r="W843" s="25"/>
      <c r="X843" s="25"/>
      <c r="Y843" s="25"/>
      <c r="Z843" s="75"/>
      <c r="AA843" s="3" t="str">
        <f>IF(BCP_Soles[[#This Row],[fecha]]&gt;0,TEXT(BCP_Soles[[#This Row],[fecha]],"mmmm"),0)</f>
        <v>Marzo</v>
      </c>
    </row>
    <row r="844" spans="1:27" x14ac:dyDescent="0.3">
      <c r="A844" s="2">
        <f>IF(BCP_Soles[[#This Row],[tipo_registro]]="R",COUNTIFS($C$1:$C843,"R")+1,A843)</f>
        <v>610</v>
      </c>
      <c r="B844" s="19" t="str">
        <f t="shared" si="71"/>
        <v>B-BCP - Soles</v>
      </c>
      <c r="C844" s="3" t="s">
        <v>1330</v>
      </c>
      <c r="D844" s="14">
        <v>45726</v>
      </c>
      <c r="E844" s="5" t="s">
        <v>1511</v>
      </c>
      <c r="F844" s="5" t="s">
        <v>1336</v>
      </c>
      <c r="G844" s="6"/>
      <c r="H844" s="6"/>
      <c r="I844" s="6"/>
      <c r="J844" s="6"/>
      <c r="K844" s="7" t="s">
        <v>2213</v>
      </c>
      <c r="L844" s="8">
        <v>4744</v>
      </c>
      <c r="M844" s="8" t="str">
        <f t="shared" si="72"/>
        <v>PEN</v>
      </c>
      <c r="N844" s="13"/>
      <c r="O844" s="13">
        <v>280.55</v>
      </c>
      <c r="P844" s="3">
        <f t="shared" si="73"/>
        <v>0</v>
      </c>
      <c r="Q844" s="3">
        <f t="shared" si="74"/>
        <v>280.55</v>
      </c>
      <c r="R844" s="3">
        <f t="shared" si="75"/>
        <v>23059.649999999998</v>
      </c>
      <c r="S844" s="24" t="s">
        <v>1334</v>
      </c>
      <c r="T844" s="24" t="s">
        <v>1334</v>
      </c>
      <c r="U844" s="53"/>
      <c r="V844" s="25" t="str">
        <f>IFERROR(VLOOKUP(BCP_Soles[[#This Row],[destinatario]],CHOOSE({1,2},Clientes_Proveedores[Razon Social],Clientes_Proveedores[Ruc / Dni]),2,0),"")</f>
        <v/>
      </c>
      <c r="W844" s="25" t="s">
        <v>1540</v>
      </c>
      <c r="X844" s="25"/>
      <c r="Y844" s="25"/>
      <c r="Z844" s="75"/>
      <c r="AA844" s="3" t="str">
        <f>IF(BCP_Soles[[#This Row],[fecha]]&gt;0,TEXT(BCP_Soles[[#This Row],[fecha]],"mmmm"),0)</f>
        <v>Marzo</v>
      </c>
    </row>
    <row r="845" spans="1:27" x14ac:dyDescent="0.3">
      <c r="A845" s="2">
        <f>IF(BCP_Soles[[#This Row],[tipo_registro]]="R",COUNTIFS($C$1:$C844,"R")+1,A844)</f>
        <v>611</v>
      </c>
      <c r="B845" s="19" t="str">
        <f t="shared" si="71"/>
        <v>B-BCP - Soles</v>
      </c>
      <c r="C845" s="3" t="s">
        <v>1330</v>
      </c>
      <c r="D845" s="14">
        <v>45726</v>
      </c>
      <c r="E845" s="5" t="s">
        <v>1416</v>
      </c>
      <c r="F845" s="5" t="s">
        <v>1336</v>
      </c>
      <c r="G845" s="6"/>
      <c r="H845" s="6"/>
      <c r="I845" s="6"/>
      <c r="J845" s="6"/>
      <c r="K845" s="7" t="s">
        <v>2214</v>
      </c>
      <c r="L845" s="8">
        <v>4739</v>
      </c>
      <c r="M845" s="8" t="str">
        <f t="shared" si="72"/>
        <v>PEN</v>
      </c>
      <c r="N845" s="13"/>
      <c r="O845" s="13">
        <v>813.08</v>
      </c>
      <c r="P845" s="3">
        <f t="shared" si="73"/>
        <v>0</v>
      </c>
      <c r="Q845" s="3">
        <f t="shared" si="74"/>
        <v>813.08</v>
      </c>
      <c r="R845" s="3">
        <f t="shared" si="75"/>
        <v>22246.569999999996</v>
      </c>
      <c r="S845" s="24" t="s">
        <v>1334</v>
      </c>
      <c r="T845" s="24" t="s">
        <v>1334</v>
      </c>
      <c r="U845" s="53"/>
      <c r="V845" s="25" t="str">
        <f>IFERROR(VLOOKUP(BCP_Soles[[#This Row],[destinatario]],CHOOSE({1,2},Clientes_Proveedores[Razon Social],Clientes_Proveedores[Ruc / Dni]),2,0),"")</f>
        <v/>
      </c>
      <c r="W845" s="25" t="s">
        <v>1538</v>
      </c>
      <c r="X845" s="25"/>
      <c r="Y845" s="25"/>
      <c r="Z845" s="75"/>
      <c r="AA845" s="3" t="str">
        <f>IF(BCP_Soles[[#This Row],[fecha]]&gt;0,TEXT(BCP_Soles[[#This Row],[fecha]],"mmmm"),0)</f>
        <v>Marzo</v>
      </c>
    </row>
    <row r="846" spans="1:27" x14ac:dyDescent="0.3">
      <c r="A846" s="2">
        <f>IF(BCP_Soles[[#This Row],[tipo_registro]]="R",COUNTIFS($C$1:$C845,"R")+1,A845)</f>
        <v>612</v>
      </c>
      <c r="B846" s="19" t="str">
        <f t="shared" si="71"/>
        <v>B-BCP - Soles</v>
      </c>
      <c r="C846" s="3" t="s">
        <v>1330</v>
      </c>
      <c r="D846" s="14">
        <v>45726</v>
      </c>
      <c r="E846" s="5" t="s">
        <v>1416</v>
      </c>
      <c r="F846" s="5" t="s">
        <v>1336</v>
      </c>
      <c r="G846" s="6"/>
      <c r="H846" s="6"/>
      <c r="I846" s="6"/>
      <c r="J846" s="6"/>
      <c r="K846" s="7" t="s">
        <v>2215</v>
      </c>
      <c r="L846" s="8">
        <v>4743</v>
      </c>
      <c r="M846" s="8" t="str">
        <f t="shared" si="72"/>
        <v>PEN</v>
      </c>
      <c r="N846" s="13"/>
      <c r="O846" s="13">
        <v>1642.94</v>
      </c>
      <c r="P846" s="3">
        <f t="shared" si="73"/>
        <v>0</v>
      </c>
      <c r="Q846" s="3">
        <f t="shared" si="74"/>
        <v>1642.94</v>
      </c>
      <c r="R846" s="3">
        <f t="shared" si="75"/>
        <v>20603.629999999997</v>
      </c>
      <c r="S846" s="24" t="s">
        <v>1334</v>
      </c>
      <c r="T846" s="24" t="s">
        <v>1334</v>
      </c>
      <c r="U846" s="53"/>
      <c r="V846" s="25" t="str">
        <f>IFERROR(VLOOKUP(BCP_Soles[[#This Row],[destinatario]],CHOOSE({1,2},Clientes_Proveedores[Razon Social],Clientes_Proveedores[Ruc / Dni]),2,0),"")</f>
        <v/>
      </c>
      <c r="W846" s="25" t="s">
        <v>1535</v>
      </c>
      <c r="X846" s="25"/>
      <c r="Y846" s="25"/>
      <c r="Z846" s="75"/>
      <c r="AA846" s="3" t="str">
        <f>IF(BCP_Soles[[#This Row],[fecha]]&gt;0,TEXT(BCP_Soles[[#This Row],[fecha]],"mmmm"),0)</f>
        <v>Marzo</v>
      </c>
    </row>
    <row r="847" spans="1:27" x14ac:dyDescent="0.3">
      <c r="A847" s="2">
        <f>IF(BCP_Soles[[#This Row],[tipo_registro]]="R",COUNTIFS($C$1:$C846,"R")+1,A846)</f>
        <v>613</v>
      </c>
      <c r="B847" s="19" t="str">
        <f t="shared" ref="B847:B910" si="76">"B-BCP - Soles"</f>
        <v>B-BCP - Soles</v>
      </c>
      <c r="C847" s="3" t="s">
        <v>1330</v>
      </c>
      <c r="D847" s="14">
        <v>45726</v>
      </c>
      <c r="E847" s="5" t="s">
        <v>1416</v>
      </c>
      <c r="F847" s="5" t="s">
        <v>1336</v>
      </c>
      <c r="G847" s="6"/>
      <c r="H847" s="6"/>
      <c r="I847" s="6"/>
      <c r="J847" s="6"/>
      <c r="K847" s="7" t="s">
        <v>2216</v>
      </c>
      <c r="L847" s="8">
        <v>4742</v>
      </c>
      <c r="M847" s="8" t="str">
        <f t="shared" ref="M847:M910" si="77">"PEN"</f>
        <v>PEN</v>
      </c>
      <c r="N847" s="13"/>
      <c r="O847" s="13">
        <v>4404.5600000000004</v>
      </c>
      <c r="P847" s="3">
        <f t="shared" ref="P847:P910" si="78">+IF(OR($F847="SALDO",$F847="INGRESO"),$O847,0)</f>
        <v>0</v>
      </c>
      <c r="Q847" s="3">
        <f t="shared" ref="Q847:Q910" si="79">+IF($F847="EGRESO",$O847,0)</f>
        <v>4404.5600000000004</v>
      </c>
      <c r="R847" s="3">
        <f t="shared" si="75"/>
        <v>16199.069999999996</v>
      </c>
      <c r="S847" s="24" t="s">
        <v>1334</v>
      </c>
      <c r="T847" s="24" t="s">
        <v>1334</v>
      </c>
      <c r="U847" s="53"/>
      <c r="V847" s="25" t="str">
        <f>IFERROR(VLOOKUP(BCP_Soles[[#This Row],[destinatario]],CHOOSE({1,2},Clientes_Proveedores[Razon Social],Clientes_Proveedores[Ruc / Dni]),2,0),"")</f>
        <v/>
      </c>
      <c r="W847" s="25" t="s">
        <v>1532</v>
      </c>
      <c r="X847" s="25"/>
      <c r="Y847" s="25"/>
      <c r="Z847" s="75"/>
      <c r="AA847" s="3" t="str">
        <f>IF(BCP_Soles[[#This Row],[fecha]]&gt;0,TEXT(BCP_Soles[[#This Row],[fecha]],"mmmm"),0)</f>
        <v>Marzo</v>
      </c>
    </row>
    <row r="848" spans="1:27" ht="36" x14ac:dyDescent="0.3">
      <c r="A848" s="2">
        <f>IF(BCP_Soles[[#This Row],[tipo_registro]]="R",COUNTIFS($C$1:$C847,"R")+1,A847)</f>
        <v>614</v>
      </c>
      <c r="B848" s="19" t="str">
        <f t="shared" si="76"/>
        <v>B-BCP - Soles</v>
      </c>
      <c r="C848" s="3" t="s">
        <v>1330</v>
      </c>
      <c r="D848" s="14">
        <v>45727</v>
      </c>
      <c r="E848" s="5" t="s">
        <v>232</v>
      </c>
      <c r="F848" s="5" t="s">
        <v>1303</v>
      </c>
      <c r="G848" s="6" t="s">
        <v>425</v>
      </c>
      <c r="H848" s="6"/>
      <c r="I848" s="6"/>
      <c r="J848" s="6"/>
      <c r="K848" s="7" t="s">
        <v>2217</v>
      </c>
      <c r="L848" s="8">
        <v>2096283</v>
      </c>
      <c r="M848" s="8" t="str">
        <f t="shared" si="77"/>
        <v>PEN</v>
      </c>
      <c r="N848" s="13"/>
      <c r="O848" s="13">
        <v>8598.6</v>
      </c>
      <c r="P848" s="3">
        <f t="shared" si="78"/>
        <v>8598.6</v>
      </c>
      <c r="Q848" s="3">
        <f t="shared" si="79"/>
        <v>0</v>
      </c>
      <c r="R848" s="3">
        <f t="shared" si="75"/>
        <v>24797.67</v>
      </c>
      <c r="S848" s="24" t="s">
        <v>1334</v>
      </c>
      <c r="T848" s="24" t="s">
        <v>1334</v>
      </c>
      <c r="U848" s="53"/>
      <c r="V848" s="25">
        <f>IFERROR(VLOOKUP(BCP_Soles[[#This Row],[destinatario]],CHOOSE({1,2},Clientes_Proveedores[Razon Social],Clientes_Proveedores[Ruc / Dni]),2,0),"")</f>
        <v>20558226979</v>
      </c>
      <c r="W848" s="25" t="s">
        <v>1345</v>
      </c>
      <c r="X848" s="25" t="s">
        <v>2218</v>
      </c>
      <c r="Y848" s="25"/>
      <c r="Z848" s="75"/>
      <c r="AA848" s="3" t="str">
        <f>IF(BCP_Soles[[#This Row],[fecha]]&gt;0,TEXT(BCP_Soles[[#This Row],[fecha]],"mmmm"),0)</f>
        <v>Marzo</v>
      </c>
    </row>
    <row r="849" spans="1:27" x14ac:dyDescent="0.3">
      <c r="A849" s="2">
        <f>IF(BCP_Soles[[#This Row],[tipo_registro]]="R",COUNTIFS($C$1:$C848,"R")+1,A848)</f>
        <v>615</v>
      </c>
      <c r="B849" s="19" t="str">
        <f t="shared" si="76"/>
        <v>B-BCP - Soles</v>
      </c>
      <c r="C849" s="3" t="s">
        <v>1330</v>
      </c>
      <c r="D849" s="14">
        <v>45727</v>
      </c>
      <c r="E849" s="5" t="s">
        <v>366</v>
      </c>
      <c r="F849" s="5" t="s">
        <v>1303</v>
      </c>
      <c r="G849" s="6" t="s">
        <v>425</v>
      </c>
      <c r="H849" s="6"/>
      <c r="I849" s="6"/>
      <c r="J849" s="6"/>
      <c r="K849" s="7" t="s">
        <v>2219</v>
      </c>
      <c r="L849" s="8">
        <v>2194003</v>
      </c>
      <c r="M849" s="8" t="str">
        <f t="shared" si="77"/>
        <v>PEN</v>
      </c>
      <c r="N849" s="13"/>
      <c r="O849" s="13">
        <v>3444.2</v>
      </c>
      <c r="P849" s="3">
        <f t="shared" si="78"/>
        <v>3444.2</v>
      </c>
      <c r="Q849" s="3">
        <f t="shared" si="79"/>
        <v>0</v>
      </c>
      <c r="R849" s="3">
        <f t="shared" si="75"/>
        <v>28241.87</v>
      </c>
      <c r="S849" s="24" t="s">
        <v>1334</v>
      </c>
      <c r="T849" s="24" t="s">
        <v>1334</v>
      </c>
      <c r="U849" s="53"/>
      <c r="V849" s="25">
        <f>IFERROR(VLOOKUP(BCP_Soles[[#This Row],[destinatario]],CHOOSE({1,2},Clientes_Proveedores[Razon Social],Clientes_Proveedores[Ruc / Dni]),2,0),"")</f>
        <v>20558226979</v>
      </c>
      <c r="W849" s="25" t="s">
        <v>1345</v>
      </c>
      <c r="X849" s="25" t="s">
        <v>2220</v>
      </c>
      <c r="Y849" s="25"/>
      <c r="Z849" s="75"/>
      <c r="AA849" s="3" t="str">
        <f>IF(BCP_Soles[[#This Row],[fecha]]&gt;0,TEXT(BCP_Soles[[#This Row],[fecha]],"mmmm"),0)</f>
        <v>Marzo</v>
      </c>
    </row>
    <row r="850" spans="1:27" ht="48" x14ac:dyDescent="0.3">
      <c r="A850" s="2">
        <f>IF(BCP_Soles[[#This Row],[tipo_registro]]="R",COUNTIFS($C$1:$C849,"R")+1,A849)</f>
        <v>616</v>
      </c>
      <c r="B850" s="19" t="str">
        <f t="shared" si="76"/>
        <v>B-BCP - Soles</v>
      </c>
      <c r="C850" s="3" t="s">
        <v>1330</v>
      </c>
      <c r="D850" s="14">
        <v>45727</v>
      </c>
      <c r="E850" s="5" t="s">
        <v>320</v>
      </c>
      <c r="F850" s="5" t="s">
        <v>1303</v>
      </c>
      <c r="G850" s="6" t="s">
        <v>425</v>
      </c>
      <c r="H850" s="6"/>
      <c r="I850" s="6"/>
      <c r="J850" s="6"/>
      <c r="K850" s="7" t="s">
        <v>1546</v>
      </c>
      <c r="L850" s="8">
        <v>2805</v>
      </c>
      <c r="M850" s="8" t="str">
        <f t="shared" si="77"/>
        <v>PEN</v>
      </c>
      <c r="N850" s="13"/>
      <c r="O850" s="13">
        <v>1212.3699999999999</v>
      </c>
      <c r="P850" s="3">
        <f t="shared" si="78"/>
        <v>1212.3699999999999</v>
      </c>
      <c r="Q850" s="3">
        <f t="shared" si="79"/>
        <v>0</v>
      </c>
      <c r="R850" s="3">
        <f t="shared" si="75"/>
        <v>29454.239999999998</v>
      </c>
      <c r="S850" s="24" t="s">
        <v>1334</v>
      </c>
      <c r="T850" s="24" t="s">
        <v>1334</v>
      </c>
      <c r="U850" s="53"/>
      <c r="V850" s="25">
        <f>IFERROR(VLOOKUP(BCP_Soles[[#This Row],[destinatario]],CHOOSE({1,2},Clientes_Proveedores[Razon Social],Clientes_Proveedores[Ruc / Dni]),2,0),"")</f>
        <v>20558226979</v>
      </c>
      <c r="W850" s="25" t="s">
        <v>1345</v>
      </c>
      <c r="X850" s="25" t="s">
        <v>1802</v>
      </c>
      <c r="Y850" s="25"/>
      <c r="Z850" s="75"/>
      <c r="AA850" s="3" t="str">
        <f>IF(BCP_Soles[[#This Row],[fecha]]&gt;0,TEXT(BCP_Soles[[#This Row],[fecha]],"mmmm"),0)</f>
        <v>Marzo</v>
      </c>
    </row>
    <row r="851" spans="1:27" ht="36" x14ac:dyDescent="0.3">
      <c r="A851" s="2">
        <f>IF(BCP_Soles[[#This Row],[tipo_registro]]="R",COUNTIFS($C$1:$C850,"R")+1,A850)</f>
        <v>617</v>
      </c>
      <c r="B851" s="19" t="str">
        <f t="shared" si="76"/>
        <v>B-BCP - Soles</v>
      </c>
      <c r="C851" s="3" t="s">
        <v>1330</v>
      </c>
      <c r="D851" s="14">
        <v>45727</v>
      </c>
      <c r="E851" s="5" t="s">
        <v>1880</v>
      </c>
      <c r="F851" s="5" t="s">
        <v>1303</v>
      </c>
      <c r="G851" s="6" t="s">
        <v>425</v>
      </c>
      <c r="H851" s="6"/>
      <c r="I851" s="6"/>
      <c r="J851" s="6"/>
      <c r="K851" s="7" t="s">
        <v>2221</v>
      </c>
      <c r="L851" s="8">
        <v>438197</v>
      </c>
      <c r="M851" s="8" t="str">
        <f t="shared" si="77"/>
        <v>PEN</v>
      </c>
      <c r="N851" s="13"/>
      <c r="O851" s="13">
        <v>93</v>
      </c>
      <c r="P851" s="3">
        <f t="shared" si="78"/>
        <v>93</v>
      </c>
      <c r="Q851" s="3">
        <f t="shared" si="79"/>
        <v>0</v>
      </c>
      <c r="R851" s="3">
        <f t="shared" si="75"/>
        <v>29547.239999999998</v>
      </c>
      <c r="S851" s="24" t="s">
        <v>1334</v>
      </c>
      <c r="T851" s="24" t="s">
        <v>1334</v>
      </c>
      <c r="U851" s="53"/>
      <c r="V851" s="25">
        <f>IFERROR(VLOOKUP(BCP_Soles[[#This Row],[destinatario]],CHOOSE({1,2},Clientes_Proveedores[Razon Social],Clientes_Proveedores[Ruc / Dni]),2,0),"")</f>
        <v>20558226979</v>
      </c>
      <c r="W851" s="25" t="s">
        <v>1345</v>
      </c>
      <c r="X851" s="25" t="s">
        <v>2222</v>
      </c>
      <c r="Y851" s="25"/>
      <c r="Z851" s="75"/>
      <c r="AA851" s="3" t="str">
        <f>IF(BCP_Soles[[#This Row],[fecha]]&gt;0,TEXT(BCP_Soles[[#This Row],[fecha]],"mmmm"),0)</f>
        <v>Marzo</v>
      </c>
    </row>
    <row r="852" spans="1:27" ht="36" x14ac:dyDescent="0.3">
      <c r="A852" s="2">
        <f>IF(BCP_Soles[[#This Row],[tipo_registro]]="R",COUNTIFS($C$1:$C851,"R")+1,A851)</f>
        <v>617</v>
      </c>
      <c r="B852" s="19" t="str">
        <f t="shared" si="76"/>
        <v>B-BCP - Soles</v>
      </c>
      <c r="C852" s="3" t="s">
        <v>1352</v>
      </c>
      <c r="D852" s="14">
        <v>45727</v>
      </c>
      <c r="E852" s="5" t="s">
        <v>1880</v>
      </c>
      <c r="F852" s="5" t="s">
        <v>1303</v>
      </c>
      <c r="G852" s="6" t="s">
        <v>425</v>
      </c>
      <c r="H852" s="6" t="s">
        <v>143</v>
      </c>
      <c r="I852" s="6">
        <v>1</v>
      </c>
      <c r="J852" s="6">
        <v>42025</v>
      </c>
      <c r="K852" s="7" t="s">
        <v>2221</v>
      </c>
      <c r="L852" s="8">
        <v>438197</v>
      </c>
      <c r="M852" s="8" t="str">
        <f t="shared" si="77"/>
        <v>PEN</v>
      </c>
      <c r="N852" s="13">
        <v>26</v>
      </c>
      <c r="O852" s="13"/>
      <c r="P852" s="3">
        <f t="shared" si="78"/>
        <v>0</v>
      </c>
      <c r="Q852" s="3">
        <f t="shared" si="79"/>
        <v>0</v>
      </c>
      <c r="R852" s="3">
        <f t="shared" si="75"/>
        <v>29547.239999999998</v>
      </c>
      <c r="S852" s="24" t="s">
        <v>1334</v>
      </c>
      <c r="T852" s="24" t="s">
        <v>1334</v>
      </c>
      <c r="U852" s="53"/>
      <c r="V852" s="25">
        <f>IFERROR(VLOOKUP(BCP_Soles[[#This Row],[destinatario]],CHOOSE({1,2},Clientes_Proveedores[Razon Social],Clientes_Proveedores[Ruc / Dni]),2,0),"")</f>
        <v>20558226979</v>
      </c>
      <c r="W852" s="25"/>
      <c r="X852" s="25"/>
      <c r="Y852" s="25"/>
      <c r="Z852" s="75"/>
      <c r="AA852" s="3" t="str">
        <f>IF(BCP_Soles[[#This Row],[fecha]]&gt;0,TEXT(BCP_Soles[[#This Row],[fecha]],"mmmm"),0)</f>
        <v>Marzo</v>
      </c>
    </row>
    <row r="853" spans="1:27" ht="36" x14ac:dyDescent="0.3">
      <c r="A853" s="2">
        <f>IF(BCP_Soles[[#This Row],[tipo_registro]]="R",COUNTIFS($C$1:$C852,"R")+1,A852)</f>
        <v>617</v>
      </c>
      <c r="B853" s="19" t="str">
        <f t="shared" si="76"/>
        <v>B-BCP - Soles</v>
      </c>
      <c r="C853" s="3" t="s">
        <v>1352</v>
      </c>
      <c r="D853" s="14">
        <v>45727</v>
      </c>
      <c r="E853" s="5" t="s">
        <v>1880</v>
      </c>
      <c r="F853" s="5" t="s">
        <v>1303</v>
      </c>
      <c r="G853" s="6" t="s">
        <v>425</v>
      </c>
      <c r="H853" s="6" t="s">
        <v>143</v>
      </c>
      <c r="I853" s="6">
        <v>1</v>
      </c>
      <c r="J853" s="6">
        <v>72025</v>
      </c>
      <c r="K853" s="7" t="s">
        <v>2221</v>
      </c>
      <c r="L853" s="8">
        <v>438197</v>
      </c>
      <c r="M853" s="8" t="str">
        <f t="shared" si="77"/>
        <v>PEN</v>
      </c>
      <c r="N853" s="13">
        <v>50</v>
      </c>
      <c r="O853" s="13"/>
      <c r="P853" s="3">
        <f t="shared" si="78"/>
        <v>0</v>
      </c>
      <c r="Q853" s="3">
        <f t="shared" si="79"/>
        <v>0</v>
      </c>
      <c r="R853" s="3">
        <f t="shared" si="75"/>
        <v>29547.239999999998</v>
      </c>
      <c r="S853" s="24" t="s">
        <v>1334</v>
      </c>
      <c r="T853" s="24" t="s">
        <v>1334</v>
      </c>
      <c r="U853" s="53"/>
      <c r="V853" s="25">
        <f>IFERROR(VLOOKUP(BCP_Soles[[#This Row],[destinatario]],CHOOSE({1,2},Clientes_Proveedores[Razon Social],Clientes_Proveedores[Ruc / Dni]),2,0),"")</f>
        <v>20558226979</v>
      </c>
      <c r="W853" s="25"/>
      <c r="X853" s="25"/>
      <c r="Y853" s="25"/>
      <c r="Z853" s="75"/>
      <c r="AA853" s="3" t="str">
        <f>IF(BCP_Soles[[#This Row],[fecha]]&gt;0,TEXT(BCP_Soles[[#This Row],[fecha]],"mmmm"),0)</f>
        <v>Marzo</v>
      </c>
    </row>
    <row r="854" spans="1:27" ht="36" x14ac:dyDescent="0.3">
      <c r="A854" s="2">
        <f>IF(BCP_Soles[[#This Row],[tipo_registro]]="R",COUNTIFS($C$1:$C853,"R")+1,A853)</f>
        <v>617</v>
      </c>
      <c r="B854" s="19" t="str">
        <f t="shared" si="76"/>
        <v>B-BCP - Soles</v>
      </c>
      <c r="C854" s="3" t="s">
        <v>1352</v>
      </c>
      <c r="D854" s="14">
        <v>45727</v>
      </c>
      <c r="E854" s="5" t="s">
        <v>1880</v>
      </c>
      <c r="F854" s="5" t="s">
        <v>1303</v>
      </c>
      <c r="G854" s="6" t="s">
        <v>425</v>
      </c>
      <c r="H854" s="6" t="s">
        <v>143</v>
      </c>
      <c r="I854" s="6">
        <v>1</v>
      </c>
      <c r="J854" s="6">
        <v>82025</v>
      </c>
      <c r="K854" s="7" t="s">
        <v>2221</v>
      </c>
      <c r="L854" s="8">
        <v>438197</v>
      </c>
      <c r="M854" s="8" t="str">
        <f t="shared" si="77"/>
        <v>PEN</v>
      </c>
      <c r="N854" s="13">
        <v>17</v>
      </c>
      <c r="O854" s="13"/>
      <c r="P854" s="3">
        <f t="shared" si="78"/>
        <v>0</v>
      </c>
      <c r="Q854" s="3">
        <f t="shared" si="79"/>
        <v>0</v>
      </c>
      <c r="R854" s="3">
        <f t="shared" si="75"/>
        <v>29547.239999999998</v>
      </c>
      <c r="S854" s="24" t="s">
        <v>1334</v>
      </c>
      <c r="T854" s="24" t="s">
        <v>1334</v>
      </c>
      <c r="U854" s="53"/>
      <c r="V854" s="25">
        <f>IFERROR(VLOOKUP(BCP_Soles[[#This Row],[destinatario]],CHOOSE({1,2},Clientes_Proveedores[Razon Social],Clientes_Proveedores[Ruc / Dni]),2,0),"")</f>
        <v>20558226979</v>
      </c>
      <c r="W854" s="25"/>
      <c r="X854" s="25"/>
      <c r="Y854" s="25"/>
      <c r="Z854" s="75"/>
      <c r="AA854" s="3" t="str">
        <f>IF(BCP_Soles[[#This Row],[fecha]]&gt;0,TEXT(BCP_Soles[[#This Row],[fecha]],"mmmm"),0)</f>
        <v>Marzo</v>
      </c>
    </row>
    <row r="855" spans="1:27" x14ac:dyDescent="0.3">
      <c r="A855" s="2">
        <f>IF(BCP_Soles[[#This Row],[tipo_registro]]="R",COUNTIFS($C$1:$C854,"R")+1,A854)</f>
        <v>618</v>
      </c>
      <c r="B855" s="19" t="str">
        <f t="shared" si="76"/>
        <v>B-BCP - Soles</v>
      </c>
      <c r="C855" s="3" t="s">
        <v>1330</v>
      </c>
      <c r="D855" s="14">
        <v>45727</v>
      </c>
      <c r="E855" s="5" t="s">
        <v>1335</v>
      </c>
      <c r="F855" s="5" t="s">
        <v>1336</v>
      </c>
      <c r="G855" s="6"/>
      <c r="H855" s="6"/>
      <c r="I855" s="6"/>
      <c r="J855" s="6"/>
      <c r="K855" s="7" t="s">
        <v>1337</v>
      </c>
      <c r="L855" s="8"/>
      <c r="M855" s="8" t="str">
        <f t="shared" si="77"/>
        <v>PEN</v>
      </c>
      <c r="N855" s="13"/>
      <c r="O855" s="13">
        <v>0.6</v>
      </c>
      <c r="P855" s="3">
        <f t="shared" si="78"/>
        <v>0</v>
      </c>
      <c r="Q855" s="3">
        <f t="shared" si="79"/>
        <v>0.6</v>
      </c>
      <c r="R855" s="3">
        <f t="shared" si="75"/>
        <v>29546.639999999999</v>
      </c>
      <c r="S855" s="24"/>
      <c r="T855" s="24" t="s">
        <v>1334</v>
      </c>
      <c r="U855" s="53"/>
      <c r="V855" s="25" t="str">
        <f>IFERROR(VLOOKUP(BCP_Soles[[#This Row],[destinatario]],CHOOSE({1,2},Clientes_Proveedores[Razon Social],Clientes_Proveedores[Ruc / Dni]),2,0),"")</f>
        <v/>
      </c>
      <c r="W855" s="25"/>
      <c r="X855" s="25"/>
      <c r="Y855" s="25"/>
      <c r="Z855" s="75"/>
      <c r="AA855" s="3" t="str">
        <f>IF(BCP_Soles[[#This Row],[fecha]]&gt;0,TEXT(BCP_Soles[[#This Row],[fecha]],"mmmm"),0)</f>
        <v>Marzo</v>
      </c>
    </row>
    <row r="856" spans="1:27" ht="36" x14ac:dyDescent="0.3">
      <c r="A856" s="2">
        <f>IF(BCP_Soles[[#This Row],[tipo_registro]]="R",COUNTIFS($C$1:$C855,"R")+1,A855)</f>
        <v>619</v>
      </c>
      <c r="B856" s="19" t="str">
        <f t="shared" si="76"/>
        <v>B-BCP - Soles</v>
      </c>
      <c r="C856" s="3" t="s">
        <v>1330</v>
      </c>
      <c r="D856" s="14">
        <v>45727</v>
      </c>
      <c r="E856" s="5" t="s">
        <v>1338</v>
      </c>
      <c r="F856" s="5" t="s">
        <v>1336</v>
      </c>
      <c r="G856" s="6" t="s">
        <v>714</v>
      </c>
      <c r="H856" s="6"/>
      <c r="I856" s="6"/>
      <c r="J856" s="6"/>
      <c r="K856" s="7" t="s">
        <v>2223</v>
      </c>
      <c r="L856" s="8">
        <v>1197206</v>
      </c>
      <c r="M856" s="8" t="str">
        <f t="shared" si="77"/>
        <v>PEN</v>
      </c>
      <c r="N856" s="13"/>
      <c r="O856" s="13">
        <v>50</v>
      </c>
      <c r="P856" s="3">
        <f t="shared" si="78"/>
        <v>0</v>
      </c>
      <c r="Q856" s="3">
        <f t="shared" si="79"/>
        <v>50</v>
      </c>
      <c r="R856" s="3">
        <f t="shared" si="75"/>
        <v>29496.639999999999</v>
      </c>
      <c r="S856" s="24"/>
      <c r="T856" s="24"/>
      <c r="U856" s="53"/>
      <c r="V856" s="25">
        <f>IFERROR(VLOOKUP(BCP_Soles[[#This Row],[destinatario]],CHOOSE({1,2},Clientes_Proveedores[Razon Social],Clientes_Proveedores[Ruc / Dni]),2,0),"")</f>
        <v>20514464881</v>
      </c>
      <c r="W856" s="25" t="s">
        <v>714</v>
      </c>
      <c r="X856" s="25"/>
      <c r="Y856" s="25"/>
      <c r="Z856" s="75"/>
      <c r="AA856" s="3" t="str">
        <f>IF(BCP_Soles[[#This Row],[fecha]]&gt;0,TEXT(BCP_Soles[[#This Row],[fecha]],"mmmm"),0)</f>
        <v>Marzo</v>
      </c>
    </row>
    <row r="857" spans="1:27" x14ac:dyDescent="0.3">
      <c r="A857" s="2">
        <f>IF(BCP_Soles[[#This Row],[tipo_registro]]="R",COUNTIFS($C$1:$C856,"R")+1,A856)</f>
        <v>620</v>
      </c>
      <c r="B857" s="19" t="str">
        <f t="shared" si="76"/>
        <v>B-BCP - Soles</v>
      </c>
      <c r="C857" s="3" t="s">
        <v>1330</v>
      </c>
      <c r="D857" s="14">
        <v>45727</v>
      </c>
      <c r="E857" s="5" t="s">
        <v>1338</v>
      </c>
      <c r="F857" s="5" t="s">
        <v>1336</v>
      </c>
      <c r="G857" s="6" t="s">
        <v>407</v>
      </c>
      <c r="H857" s="6" t="s">
        <v>68</v>
      </c>
      <c r="I857" s="6" t="s">
        <v>2224</v>
      </c>
      <c r="J857" s="6">
        <v>17585</v>
      </c>
      <c r="K857" s="7" t="s">
        <v>1481</v>
      </c>
      <c r="L857" s="8">
        <v>94932</v>
      </c>
      <c r="M857" s="8" t="str">
        <f t="shared" si="77"/>
        <v>PEN</v>
      </c>
      <c r="N857" s="13"/>
      <c r="O857" s="13">
        <v>196.52</v>
      </c>
      <c r="P857" s="3">
        <f t="shared" si="78"/>
        <v>0</v>
      </c>
      <c r="Q857" s="3">
        <f t="shared" si="79"/>
        <v>196.52</v>
      </c>
      <c r="R857" s="3">
        <f t="shared" si="75"/>
        <v>29300.12</v>
      </c>
      <c r="S857" s="24" t="s">
        <v>1334</v>
      </c>
      <c r="T857" s="24" t="s">
        <v>1334</v>
      </c>
      <c r="U857" s="53"/>
      <c r="V857" s="25">
        <f>IFERROR(VLOOKUP(BCP_Soles[[#This Row],[destinatario]],CHOOSE({1,2},Clientes_Proveedores[Razon Social],Clientes_Proveedores[Ruc / Dni]),2,0),"")</f>
        <v>20549068201</v>
      </c>
      <c r="W857" s="25" t="s">
        <v>1482</v>
      </c>
      <c r="X857" s="25" t="s">
        <v>2225</v>
      </c>
      <c r="Y857" s="25"/>
      <c r="Z857" s="75"/>
      <c r="AA857" s="3" t="str">
        <f>IF(BCP_Soles[[#This Row],[fecha]]&gt;0,TEXT(BCP_Soles[[#This Row],[fecha]],"mmmm"),0)</f>
        <v>Marzo</v>
      </c>
    </row>
    <row r="858" spans="1:27" x14ac:dyDescent="0.3">
      <c r="A858" s="2">
        <f>IF(BCP_Soles[[#This Row],[tipo_registro]]="R",COUNTIFS($C$1:$C857,"R")+1,A857)</f>
        <v>621</v>
      </c>
      <c r="B858" s="19" t="str">
        <f t="shared" si="76"/>
        <v>B-BCP - Soles</v>
      </c>
      <c r="C858" s="3" t="s">
        <v>1330</v>
      </c>
      <c r="D858" s="14">
        <v>45727</v>
      </c>
      <c r="E858" s="5" t="s">
        <v>1338</v>
      </c>
      <c r="F858" s="5" t="s">
        <v>1336</v>
      </c>
      <c r="G858" s="6" t="s">
        <v>196</v>
      </c>
      <c r="H858" s="6" t="s">
        <v>68</v>
      </c>
      <c r="I858" s="6" t="s">
        <v>2226</v>
      </c>
      <c r="J858" s="6">
        <v>6010</v>
      </c>
      <c r="K858" s="7" t="s">
        <v>2227</v>
      </c>
      <c r="L858" s="8">
        <v>95874</v>
      </c>
      <c r="M858" s="8" t="str">
        <f t="shared" si="77"/>
        <v>PEN</v>
      </c>
      <c r="N858" s="13"/>
      <c r="O858" s="13">
        <v>252.3</v>
      </c>
      <c r="P858" s="3">
        <f t="shared" si="78"/>
        <v>0</v>
      </c>
      <c r="Q858" s="3">
        <f t="shared" si="79"/>
        <v>252.3</v>
      </c>
      <c r="R858" s="3">
        <f t="shared" si="75"/>
        <v>29047.82</v>
      </c>
      <c r="S858" s="24" t="s">
        <v>1334</v>
      </c>
      <c r="T858" s="24" t="s">
        <v>1334</v>
      </c>
      <c r="U858" s="53"/>
      <c r="V858" s="25">
        <f>IFERROR(VLOOKUP(BCP_Soles[[#This Row],[destinatario]],CHOOSE({1,2},Clientes_Proveedores[Razon Social],Clientes_Proveedores[Ruc / Dni]),2,0),"")</f>
        <v>20100055237</v>
      </c>
      <c r="W858" s="25" t="s">
        <v>2228</v>
      </c>
      <c r="X858" s="25" t="s">
        <v>2229</v>
      </c>
      <c r="Y858" s="25"/>
      <c r="Z858" s="75"/>
      <c r="AA858" s="3" t="str">
        <f>IF(BCP_Soles[[#This Row],[fecha]]&gt;0,TEXT(BCP_Soles[[#This Row],[fecha]],"mmmm"),0)</f>
        <v>Marzo</v>
      </c>
    </row>
    <row r="859" spans="1:27" ht="24" x14ac:dyDescent="0.3">
      <c r="A859" s="2">
        <f>IF(BCP_Soles[[#This Row],[tipo_registro]]="R",COUNTIFS($C$1:$C858,"R")+1,A858)</f>
        <v>622</v>
      </c>
      <c r="B859" s="19" t="str">
        <f t="shared" si="76"/>
        <v>B-BCP - Soles</v>
      </c>
      <c r="C859" s="3" t="s">
        <v>1330</v>
      </c>
      <c r="D859" s="14">
        <v>45727</v>
      </c>
      <c r="E859" s="5" t="s">
        <v>1338</v>
      </c>
      <c r="F859" s="5" t="s">
        <v>1336</v>
      </c>
      <c r="G859" s="6" t="s">
        <v>884</v>
      </c>
      <c r="H859" s="6"/>
      <c r="I859" s="6"/>
      <c r="J859" s="6"/>
      <c r="K859" s="7" t="s">
        <v>2230</v>
      </c>
      <c r="L859" s="8">
        <v>1199592</v>
      </c>
      <c r="M859" s="8" t="str">
        <f t="shared" si="77"/>
        <v>PEN</v>
      </c>
      <c r="N859" s="13"/>
      <c r="O859" s="13">
        <v>300</v>
      </c>
      <c r="P859" s="3">
        <f t="shared" si="78"/>
        <v>0</v>
      </c>
      <c r="Q859" s="3">
        <f t="shared" si="79"/>
        <v>300</v>
      </c>
      <c r="R859" s="3">
        <f t="shared" si="75"/>
        <v>28747.82</v>
      </c>
      <c r="S859" s="24" t="s">
        <v>1334</v>
      </c>
      <c r="T859" s="24" t="s">
        <v>1334</v>
      </c>
      <c r="U859" s="53"/>
      <c r="V859" s="25">
        <f>IFERROR(VLOOKUP(BCP_Soles[[#This Row],[destinatario]],CHOOSE({1,2},Clientes_Proveedores[Razon Social],Clientes_Proveedores[Ruc / Dni]),2,0),"")</f>
        <v>71979355</v>
      </c>
      <c r="W859" s="25" t="s">
        <v>884</v>
      </c>
      <c r="X859" s="25" t="s">
        <v>2231</v>
      </c>
      <c r="Y859" s="25"/>
      <c r="Z859" s="75"/>
      <c r="AA859" s="3" t="str">
        <f>IF(BCP_Soles[[#This Row],[fecha]]&gt;0,TEXT(BCP_Soles[[#This Row],[fecha]],"mmmm"),0)</f>
        <v>Marzo</v>
      </c>
    </row>
    <row r="860" spans="1:27" ht="24" x14ac:dyDescent="0.3">
      <c r="A860" s="2">
        <f>IF(BCP_Soles[[#This Row],[tipo_registro]]="R",COUNTIFS($C$1:$C859,"R")+1,A859)</f>
        <v>623</v>
      </c>
      <c r="B860" s="19" t="str">
        <f t="shared" si="76"/>
        <v>B-BCP - Soles</v>
      </c>
      <c r="C860" s="3" t="s">
        <v>1330</v>
      </c>
      <c r="D860" s="14">
        <v>45727</v>
      </c>
      <c r="E860" s="5" t="s">
        <v>1338</v>
      </c>
      <c r="F860" s="5" t="s">
        <v>1336</v>
      </c>
      <c r="G860" s="6" t="s">
        <v>703</v>
      </c>
      <c r="H860" s="6" t="s">
        <v>106</v>
      </c>
      <c r="I860" s="6" t="s">
        <v>1484</v>
      </c>
      <c r="J860" s="6">
        <v>29207019</v>
      </c>
      <c r="K860" s="7" t="s">
        <v>1561</v>
      </c>
      <c r="L860" s="8">
        <v>96007</v>
      </c>
      <c r="M860" s="8" t="str">
        <f t="shared" si="77"/>
        <v>PEN</v>
      </c>
      <c r="N860" s="13"/>
      <c r="O860" s="13">
        <v>354.6</v>
      </c>
      <c r="P860" s="3">
        <f t="shared" si="78"/>
        <v>0</v>
      </c>
      <c r="Q860" s="3">
        <f t="shared" si="79"/>
        <v>354.6</v>
      </c>
      <c r="R860" s="3">
        <f t="shared" si="75"/>
        <v>28393.22</v>
      </c>
      <c r="S860" s="24" t="s">
        <v>1334</v>
      </c>
      <c r="T860" s="24" t="s">
        <v>1334</v>
      </c>
      <c r="U860" s="53"/>
      <c r="V860" s="25">
        <f>IFERROR(VLOOKUP(BCP_Soles[[#This Row],[destinatario]],CHOOSE({1,2},Clientes_Proveedores[Razon Social],Clientes_Proveedores[Ruc / Dni]),2,0),"")</f>
        <v>20100188628</v>
      </c>
      <c r="W860" s="25" t="s">
        <v>1486</v>
      </c>
      <c r="X860" s="25" t="s">
        <v>2232</v>
      </c>
      <c r="Y860" s="25"/>
      <c r="Z860" s="75"/>
      <c r="AA860" s="3" t="str">
        <f>IF(BCP_Soles[[#This Row],[fecha]]&gt;0,TEXT(BCP_Soles[[#This Row],[fecha]],"mmmm"),0)</f>
        <v>Marzo</v>
      </c>
    </row>
    <row r="861" spans="1:27" x14ac:dyDescent="0.3">
      <c r="A861" s="2">
        <f>IF(BCP_Soles[[#This Row],[tipo_registro]]="R",COUNTIFS($C$1:$C860,"R")+1,A860)</f>
        <v>624</v>
      </c>
      <c r="B861" s="19" t="str">
        <f t="shared" si="76"/>
        <v>B-BCP - Soles</v>
      </c>
      <c r="C861" s="3" t="s">
        <v>1330</v>
      </c>
      <c r="D861" s="14">
        <v>45727</v>
      </c>
      <c r="E861" s="5" t="s">
        <v>1338</v>
      </c>
      <c r="F861" s="5" t="s">
        <v>1336</v>
      </c>
      <c r="G861" s="6" t="s">
        <v>196</v>
      </c>
      <c r="H861" s="6" t="s">
        <v>68</v>
      </c>
      <c r="I861" s="6" t="s">
        <v>2226</v>
      </c>
      <c r="J861" s="6">
        <v>6011</v>
      </c>
      <c r="K861" s="7" t="s">
        <v>2227</v>
      </c>
      <c r="L861" s="8">
        <v>94933</v>
      </c>
      <c r="M861" s="8" t="str">
        <f t="shared" si="77"/>
        <v>PEN</v>
      </c>
      <c r="N861" s="13"/>
      <c r="O861" s="13">
        <v>415.52</v>
      </c>
      <c r="P861" s="3">
        <f t="shared" si="78"/>
        <v>0</v>
      </c>
      <c r="Q861" s="3">
        <f t="shared" si="79"/>
        <v>415.52</v>
      </c>
      <c r="R861" s="3">
        <f t="shared" si="75"/>
        <v>27977.7</v>
      </c>
      <c r="S861" s="24" t="s">
        <v>1334</v>
      </c>
      <c r="T861" s="24" t="s">
        <v>1334</v>
      </c>
      <c r="U861" s="53"/>
      <c r="V861" s="25">
        <f>IFERROR(VLOOKUP(BCP_Soles[[#This Row],[destinatario]],CHOOSE({1,2},Clientes_Proveedores[Razon Social],Clientes_Proveedores[Ruc / Dni]),2,0),"")</f>
        <v>20100055237</v>
      </c>
      <c r="W861" s="25" t="s">
        <v>2228</v>
      </c>
      <c r="X861" s="25" t="s">
        <v>2233</v>
      </c>
      <c r="Y861" s="25"/>
      <c r="Z861" s="75"/>
      <c r="AA861" s="3" t="str">
        <f>IF(BCP_Soles[[#This Row],[fecha]]&gt;0,TEXT(BCP_Soles[[#This Row],[fecha]],"mmmm"),0)</f>
        <v>Marzo</v>
      </c>
    </row>
    <row r="862" spans="1:27" x14ac:dyDescent="0.3">
      <c r="A862" s="2">
        <f>IF(BCP_Soles[[#This Row],[tipo_registro]]="R",COUNTIFS($C$1:$C861,"R")+1,A861)</f>
        <v>625</v>
      </c>
      <c r="B862" s="19" t="str">
        <f t="shared" si="76"/>
        <v>B-BCP - Soles</v>
      </c>
      <c r="C862" s="3" t="s">
        <v>1330</v>
      </c>
      <c r="D862" s="14">
        <v>45727</v>
      </c>
      <c r="E862" s="5" t="s">
        <v>1338</v>
      </c>
      <c r="F862" s="5" t="s">
        <v>1336</v>
      </c>
      <c r="G862" s="6" t="s">
        <v>196</v>
      </c>
      <c r="H862" s="6" t="s">
        <v>68</v>
      </c>
      <c r="I862" s="6" t="s">
        <v>2226</v>
      </c>
      <c r="J862" s="6">
        <v>6012</v>
      </c>
      <c r="K862" s="7" t="s">
        <v>2227</v>
      </c>
      <c r="L862" s="8">
        <v>93954</v>
      </c>
      <c r="M862" s="8" t="str">
        <f t="shared" si="77"/>
        <v>PEN</v>
      </c>
      <c r="N862" s="13"/>
      <c r="O862" s="13">
        <v>1483.22</v>
      </c>
      <c r="P862" s="3">
        <f t="shared" si="78"/>
        <v>0</v>
      </c>
      <c r="Q862" s="3">
        <f t="shared" si="79"/>
        <v>1483.22</v>
      </c>
      <c r="R862" s="3">
        <f t="shared" si="75"/>
        <v>26494.48</v>
      </c>
      <c r="S862" s="24" t="s">
        <v>1334</v>
      </c>
      <c r="T862" s="24" t="s">
        <v>1334</v>
      </c>
      <c r="U862" s="53"/>
      <c r="V862" s="25">
        <f>IFERROR(VLOOKUP(BCP_Soles[[#This Row],[destinatario]],CHOOSE({1,2},Clientes_Proveedores[Razon Social],Clientes_Proveedores[Ruc / Dni]),2,0),"")</f>
        <v>20100055237</v>
      </c>
      <c r="W862" s="25" t="s">
        <v>2228</v>
      </c>
      <c r="X862" s="25" t="s">
        <v>2234</v>
      </c>
      <c r="Y862" s="25"/>
      <c r="Z862" s="75"/>
      <c r="AA862" s="3" t="str">
        <f>IF(BCP_Soles[[#This Row],[fecha]]&gt;0,TEXT(BCP_Soles[[#This Row],[fecha]],"mmmm"),0)</f>
        <v>Marzo</v>
      </c>
    </row>
    <row r="863" spans="1:27" x14ac:dyDescent="0.3">
      <c r="A863" s="2">
        <f>IF(BCP_Soles[[#This Row],[tipo_registro]]="R",COUNTIFS($C$1:$C862,"R")+1,A862)</f>
        <v>626</v>
      </c>
      <c r="B863" s="19" t="str">
        <f t="shared" si="76"/>
        <v>B-BCP - Soles</v>
      </c>
      <c r="C863" s="3" t="s">
        <v>1330</v>
      </c>
      <c r="D863" s="14">
        <v>45728</v>
      </c>
      <c r="E863" s="5" t="s">
        <v>1442</v>
      </c>
      <c r="F863" s="5" t="s">
        <v>1303</v>
      </c>
      <c r="G863" s="6" t="s">
        <v>425</v>
      </c>
      <c r="H863" s="6" t="s">
        <v>119</v>
      </c>
      <c r="I863" s="6">
        <v>1</v>
      </c>
      <c r="J863" s="6">
        <v>4224</v>
      </c>
      <c r="K863" s="7" t="s">
        <v>1356</v>
      </c>
      <c r="L863" s="8">
        <v>2248471</v>
      </c>
      <c r="M863" s="8" t="str">
        <f t="shared" si="77"/>
        <v>PEN</v>
      </c>
      <c r="N863" s="13"/>
      <c r="O863" s="13">
        <v>7029</v>
      </c>
      <c r="P863" s="3">
        <f t="shared" si="78"/>
        <v>7029</v>
      </c>
      <c r="Q863" s="3">
        <f t="shared" si="79"/>
        <v>0</v>
      </c>
      <c r="R863" s="3">
        <f t="shared" si="75"/>
        <v>33523.479999999996</v>
      </c>
      <c r="S863" s="24" t="s">
        <v>1334</v>
      </c>
      <c r="T863" s="24" t="s">
        <v>1334</v>
      </c>
      <c r="U863" s="53"/>
      <c r="V863" s="25">
        <f>IFERROR(VLOOKUP(BCP_Soles[[#This Row],[destinatario]],CHOOSE({1,2},Clientes_Proveedores[Razon Social],Clientes_Proveedores[Ruc / Dni]),2,0),"")</f>
        <v>20558226979</v>
      </c>
      <c r="W863" s="25" t="s">
        <v>1345</v>
      </c>
      <c r="X863" s="25" t="s">
        <v>2235</v>
      </c>
      <c r="Y863" s="25"/>
      <c r="Z863" s="75"/>
      <c r="AA863" s="3" t="str">
        <f>IF(BCP_Soles[[#This Row],[fecha]]&gt;0,TEXT(BCP_Soles[[#This Row],[fecha]],"mmmm"),0)</f>
        <v>Marzo</v>
      </c>
    </row>
    <row r="864" spans="1:27" x14ac:dyDescent="0.3">
      <c r="A864" s="2">
        <f>IF(BCP_Soles[[#This Row],[tipo_registro]]="R",COUNTIFS($C$1:$C863,"R")+1,A863)</f>
        <v>627</v>
      </c>
      <c r="B864" s="19" t="str">
        <f t="shared" si="76"/>
        <v>B-BCP - Soles</v>
      </c>
      <c r="C864" s="3" t="s">
        <v>1330</v>
      </c>
      <c r="D864" s="14">
        <v>45728</v>
      </c>
      <c r="E864" s="5" t="s">
        <v>1700</v>
      </c>
      <c r="F864" s="5" t="s">
        <v>1303</v>
      </c>
      <c r="G864" s="6" t="s">
        <v>425</v>
      </c>
      <c r="H864" s="6" t="s">
        <v>119</v>
      </c>
      <c r="I864" s="6">
        <v>1</v>
      </c>
      <c r="J864" s="6">
        <v>4237</v>
      </c>
      <c r="K864" s="7" t="s">
        <v>1356</v>
      </c>
      <c r="L864" s="8">
        <v>2015092</v>
      </c>
      <c r="M864" s="8" t="str">
        <f t="shared" si="77"/>
        <v>PEN</v>
      </c>
      <c r="N864" s="13"/>
      <c r="O864" s="13">
        <v>1848</v>
      </c>
      <c r="P864" s="3">
        <f t="shared" si="78"/>
        <v>1848</v>
      </c>
      <c r="Q864" s="3">
        <f t="shared" si="79"/>
        <v>0</v>
      </c>
      <c r="R864" s="3">
        <f t="shared" si="75"/>
        <v>35371.479999999996</v>
      </c>
      <c r="S864" s="24" t="s">
        <v>1334</v>
      </c>
      <c r="T864" s="24" t="s">
        <v>1334</v>
      </c>
      <c r="U864" s="53"/>
      <c r="V864" s="25">
        <f>IFERROR(VLOOKUP(BCP_Soles[[#This Row],[destinatario]],CHOOSE({1,2},Clientes_Proveedores[Razon Social],Clientes_Proveedores[Ruc / Dni]),2,0),"")</f>
        <v>20558226979</v>
      </c>
      <c r="W864" s="25" t="s">
        <v>1345</v>
      </c>
      <c r="X864" s="25" t="s">
        <v>2236</v>
      </c>
      <c r="Y864" s="25"/>
      <c r="Z864" s="75"/>
      <c r="AA864" s="3" t="str">
        <f>IF(BCP_Soles[[#This Row],[fecha]]&gt;0,TEXT(BCP_Soles[[#This Row],[fecha]],"mmmm"),0)</f>
        <v>Marzo</v>
      </c>
    </row>
    <row r="865" spans="1:27" ht="36" x14ac:dyDescent="0.3">
      <c r="A865" s="2">
        <f>IF(BCP_Soles[[#This Row],[tipo_registro]]="R",COUNTIFS($C$1:$C864,"R")+1,A864)</f>
        <v>628</v>
      </c>
      <c r="B865" s="19" t="str">
        <f t="shared" si="76"/>
        <v>B-BCP - Soles</v>
      </c>
      <c r="C865" s="3" t="s">
        <v>1330</v>
      </c>
      <c r="D865" s="14">
        <v>45728</v>
      </c>
      <c r="E865" s="5" t="s">
        <v>255</v>
      </c>
      <c r="F865" s="5" t="s">
        <v>1303</v>
      </c>
      <c r="G865" s="6" t="s">
        <v>425</v>
      </c>
      <c r="H865" s="6"/>
      <c r="I865" s="6"/>
      <c r="J865" s="6"/>
      <c r="K865" s="7" t="s">
        <v>2237</v>
      </c>
      <c r="L865" s="8">
        <v>1554646</v>
      </c>
      <c r="M865" s="8" t="str">
        <f t="shared" si="77"/>
        <v>PEN</v>
      </c>
      <c r="N865" s="13"/>
      <c r="O865" s="13">
        <v>705.78</v>
      </c>
      <c r="P865" s="3">
        <f t="shared" si="78"/>
        <v>705.78</v>
      </c>
      <c r="Q865" s="3">
        <f t="shared" si="79"/>
        <v>0</v>
      </c>
      <c r="R865" s="3">
        <f t="shared" si="75"/>
        <v>36077.259999999995</v>
      </c>
      <c r="S865" s="24" t="s">
        <v>1334</v>
      </c>
      <c r="T865" s="24" t="s">
        <v>1334</v>
      </c>
      <c r="U865" s="53"/>
      <c r="V865" s="25">
        <f>IFERROR(VLOOKUP(BCP_Soles[[#This Row],[destinatario]],CHOOSE({1,2},Clientes_Proveedores[Razon Social],Clientes_Proveedores[Ruc / Dni]),2,0),"")</f>
        <v>20558226979</v>
      </c>
      <c r="W865" s="25" t="s">
        <v>1345</v>
      </c>
      <c r="X865" s="25" t="s">
        <v>2238</v>
      </c>
      <c r="Y865" s="25"/>
      <c r="Z865" s="75"/>
      <c r="AA865" s="3" t="str">
        <f>IF(BCP_Soles[[#This Row],[fecha]]&gt;0,TEXT(BCP_Soles[[#This Row],[fecha]],"mmmm"),0)</f>
        <v>Marzo</v>
      </c>
    </row>
    <row r="866" spans="1:27" ht="24" x14ac:dyDescent="0.3">
      <c r="A866" s="2">
        <f>IF(BCP_Soles[[#This Row],[tipo_registro]]="R",COUNTIFS($C$1:$C865,"R")+1,A865)</f>
        <v>629</v>
      </c>
      <c r="B866" s="19" t="str">
        <f t="shared" si="76"/>
        <v>B-BCP - Soles</v>
      </c>
      <c r="C866" s="3" t="s">
        <v>1330</v>
      </c>
      <c r="D866" s="14">
        <v>45728</v>
      </c>
      <c r="E866" s="5" t="s">
        <v>1338</v>
      </c>
      <c r="F866" s="5" t="s">
        <v>1336</v>
      </c>
      <c r="G866" s="6" t="s">
        <v>249</v>
      </c>
      <c r="H866" s="6"/>
      <c r="I866" s="6"/>
      <c r="J866" s="6"/>
      <c r="K866" s="7" t="s">
        <v>2202</v>
      </c>
      <c r="L866" s="8">
        <v>1095302</v>
      </c>
      <c r="M866" s="8" t="str">
        <f t="shared" si="77"/>
        <v>PEN</v>
      </c>
      <c r="N866" s="13"/>
      <c r="O866" s="13">
        <v>308.19</v>
      </c>
      <c r="P866" s="3">
        <f t="shared" si="78"/>
        <v>0</v>
      </c>
      <c r="Q866" s="3">
        <f t="shared" si="79"/>
        <v>308.19</v>
      </c>
      <c r="R866" s="3">
        <f t="shared" si="75"/>
        <v>35769.069999999992</v>
      </c>
      <c r="S866" s="24"/>
      <c r="T866" s="24"/>
      <c r="U866" s="53"/>
      <c r="V866" s="25">
        <f>IFERROR(VLOOKUP(BCP_Soles[[#This Row],[destinatario]],CHOOSE({1,2},Clientes_Proveedores[Razon Social],Clientes_Proveedores[Ruc / Dni]),2,0),"")</f>
        <v>20302891452</v>
      </c>
      <c r="W866" s="25" t="s">
        <v>249</v>
      </c>
      <c r="X866" s="25"/>
      <c r="Y866" s="25"/>
      <c r="Z866" s="75"/>
      <c r="AA866" s="3" t="str">
        <f>IF(BCP_Soles[[#This Row],[fecha]]&gt;0,TEXT(BCP_Soles[[#This Row],[fecha]],"mmmm"),0)</f>
        <v>Marzo</v>
      </c>
    </row>
    <row r="867" spans="1:27" ht="24" x14ac:dyDescent="0.3">
      <c r="A867" s="2">
        <f>IF(BCP_Soles[[#This Row],[tipo_registro]]="R",COUNTIFS($C$1:$C866,"R")+1,A866)</f>
        <v>630</v>
      </c>
      <c r="B867" s="19" t="str">
        <f t="shared" si="76"/>
        <v>B-BCP - Soles</v>
      </c>
      <c r="C867" s="3" t="s">
        <v>1330</v>
      </c>
      <c r="D867" s="14">
        <v>45728</v>
      </c>
      <c r="E867" s="5" t="s">
        <v>1338</v>
      </c>
      <c r="F867" s="5" t="s">
        <v>1336</v>
      </c>
      <c r="G867" s="6" t="s">
        <v>249</v>
      </c>
      <c r="H867" s="6"/>
      <c r="I867" s="6"/>
      <c r="J867" s="6"/>
      <c r="K867" s="7" t="s">
        <v>2239</v>
      </c>
      <c r="L867" s="8">
        <v>1095796</v>
      </c>
      <c r="M867" s="8" t="str">
        <f t="shared" si="77"/>
        <v>PEN</v>
      </c>
      <c r="N867" s="13"/>
      <c r="O867" s="13">
        <v>377.6</v>
      </c>
      <c r="P867" s="3">
        <f t="shared" si="78"/>
        <v>0</v>
      </c>
      <c r="Q867" s="3">
        <f t="shared" si="79"/>
        <v>377.6</v>
      </c>
      <c r="R867" s="3">
        <f t="shared" si="75"/>
        <v>35391.469999999994</v>
      </c>
      <c r="S867" s="24"/>
      <c r="T867" s="24"/>
      <c r="U867" s="53"/>
      <c r="V867" s="25">
        <f>IFERROR(VLOOKUP(BCP_Soles[[#This Row],[destinatario]],CHOOSE({1,2},Clientes_Proveedores[Razon Social],Clientes_Proveedores[Ruc / Dni]),2,0),"")</f>
        <v>20302891452</v>
      </c>
      <c r="W867" s="25" t="s">
        <v>249</v>
      </c>
      <c r="X867" s="25"/>
      <c r="Y867" s="25"/>
      <c r="Z867" s="75"/>
      <c r="AA867" s="3" t="str">
        <f>IF(BCP_Soles[[#This Row],[fecha]]&gt;0,TEXT(BCP_Soles[[#This Row],[fecha]],"mmmm"),0)</f>
        <v>Marzo</v>
      </c>
    </row>
    <row r="868" spans="1:27" ht="48" x14ac:dyDescent="0.3">
      <c r="A868" s="2">
        <f>IF(BCP_Soles[[#This Row],[tipo_registro]]="R",COUNTIFS($C$1:$C867,"R")+1,A867)</f>
        <v>631</v>
      </c>
      <c r="B868" s="19" t="str">
        <f t="shared" si="76"/>
        <v>B-BCP - Soles</v>
      </c>
      <c r="C868" s="3" t="s">
        <v>1330</v>
      </c>
      <c r="D868" s="14">
        <v>45728</v>
      </c>
      <c r="E868" s="5" t="s">
        <v>1338</v>
      </c>
      <c r="F868" s="5" t="s">
        <v>1336</v>
      </c>
      <c r="G868" s="6" t="s">
        <v>715</v>
      </c>
      <c r="H868" s="6" t="s">
        <v>68</v>
      </c>
      <c r="I868" s="6" t="s">
        <v>2086</v>
      </c>
      <c r="J868" s="6">
        <v>68</v>
      </c>
      <c r="K868" s="7" t="s">
        <v>2240</v>
      </c>
      <c r="L868" s="8">
        <v>1092396</v>
      </c>
      <c r="M868" s="8" t="str">
        <f t="shared" si="77"/>
        <v>PEN</v>
      </c>
      <c r="N868" s="13"/>
      <c r="O868" s="13">
        <v>440</v>
      </c>
      <c r="P868" s="3">
        <f t="shared" si="78"/>
        <v>0</v>
      </c>
      <c r="Q868" s="3">
        <f t="shared" si="79"/>
        <v>440</v>
      </c>
      <c r="R868" s="3">
        <f t="shared" si="75"/>
        <v>34951.469999999994</v>
      </c>
      <c r="S868" s="24" t="s">
        <v>1334</v>
      </c>
      <c r="T868" s="24" t="s">
        <v>1334</v>
      </c>
      <c r="U868" s="53"/>
      <c r="V868" s="25">
        <f>IFERROR(VLOOKUP(BCP_Soles[[#This Row],[destinatario]],CHOOSE({1,2},Clientes_Proveedores[Razon Social],Clientes_Proveedores[Ruc / Dni]),2,0),"")</f>
        <v>20555236817</v>
      </c>
      <c r="W868" s="25" t="s">
        <v>2088</v>
      </c>
      <c r="X868" s="25" t="s">
        <v>2089</v>
      </c>
      <c r="Y868" s="25"/>
      <c r="Z868" s="75"/>
      <c r="AA868" s="3" t="str">
        <f>IF(BCP_Soles[[#This Row],[fecha]]&gt;0,TEXT(BCP_Soles[[#This Row],[fecha]],"mmmm"),0)</f>
        <v>Marzo</v>
      </c>
    </row>
    <row r="869" spans="1:27" ht="24" x14ac:dyDescent="0.3">
      <c r="A869" s="2">
        <f>IF(BCP_Soles[[#This Row],[tipo_registro]]="R",COUNTIFS($C$1:$C868,"R")+1,A868)</f>
        <v>632</v>
      </c>
      <c r="B869" s="19" t="str">
        <f t="shared" si="76"/>
        <v>B-BCP - Soles</v>
      </c>
      <c r="C869" s="3" t="s">
        <v>1330</v>
      </c>
      <c r="D869" s="14">
        <v>45728</v>
      </c>
      <c r="E869" s="5" t="s">
        <v>241</v>
      </c>
      <c r="F869" s="5" t="s">
        <v>1303</v>
      </c>
      <c r="G869" s="6" t="s">
        <v>425</v>
      </c>
      <c r="H869" s="6"/>
      <c r="I869" s="6"/>
      <c r="J869" s="6"/>
      <c r="K869" s="7" t="s">
        <v>2241</v>
      </c>
      <c r="L869" s="8">
        <v>1665678</v>
      </c>
      <c r="M869" s="8" t="str">
        <f t="shared" si="77"/>
        <v>PEN</v>
      </c>
      <c r="N869" s="13"/>
      <c r="O869" s="13">
        <v>11628.64</v>
      </c>
      <c r="P869" s="3">
        <f t="shared" si="78"/>
        <v>11628.64</v>
      </c>
      <c r="Q869" s="3">
        <f t="shared" si="79"/>
        <v>0</v>
      </c>
      <c r="R869" s="3">
        <f t="shared" si="75"/>
        <v>46580.109999999993</v>
      </c>
      <c r="S869" s="24" t="s">
        <v>1334</v>
      </c>
      <c r="T869" s="24" t="s">
        <v>1334</v>
      </c>
      <c r="U869" s="53"/>
      <c r="V869" s="25">
        <f>IFERROR(VLOOKUP(BCP_Soles[[#This Row],[destinatario]],CHOOSE({1,2},Clientes_Proveedores[Razon Social],Clientes_Proveedores[Ruc / Dni]),2,0),"")</f>
        <v>20558226979</v>
      </c>
      <c r="W869" s="25" t="s">
        <v>1345</v>
      </c>
      <c r="X869" s="25" t="s">
        <v>2242</v>
      </c>
      <c r="Y869" s="25"/>
      <c r="Z869" s="75"/>
      <c r="AA869" s="3" t="str">
        <f>IF(BCP_Soles[[#This Row],[fecha]]&gt;0,TEXT(BCP_Soles[[#This Row],[fecha]],"mmmm"),0)</f>
        <v>Marzo</v>
      </c>
    </row>
    <row r="870" spans="1:27" ht="84" x14ac:dyDescent="0.3">
      <c r="A870" s="2">
        <f>IF(BCP_Soles[[#This Row],[tipo_registro]]="R",COUNTIFS($C$1:$C869,"R")+1,A869)</f>
        <v>633</v>
      </c>
      <c r="B870" s="19" t="str">
        <f t="shared" si="76"/>
        <v>B-BCP - Soles</v>
      </c>
      <c r="C870" s="3" t="s">
        <v>1330</v>
      </c>
      <c r="D870" s="14">
        <v>45728</v>
      </c>
      <c r="E870" s="5" t="s">
        <v>358</v>
      </c>
      <c r="F870" s="5" t="s">
        <v>1303</v>
      </c>
      <c r="G870" s="6" t="s">
        <v>425</v>
      </c>
      <c r="H870" s="6"/>
      <c r="I870" s="6"/>
      <c r="J870" s="6"/>
      <c r="K870" s="7" t="s">
        <v>1520</v>
      </c>
      <c r="L870" s="8">
        <v>2226528</v>
      </c>
      <c r="M870" s="8" t="str">
        <f t="shared" si="77"/>
        <v>PEN</v>
      </c>
      <c r="N870" s="13"/>
      <c r="O870" s="13">
        <v>169.89</v>
      </c>
      <c r="P870" s="3">
        <f t="shared" si="78"/>
        <v>169.89</v>
      </c>
      <c r="Q870" s="3">
        <f t="shared" si="79"/>
        <v>0</v>
      </c>
      <c r="R870" s="3">
        <f t="shared" si="75"/>
        <v>46749.999999999993</v>
      </c>
      <c r="S870" s="24" t="s">
        <v>1334</v>
      </c>
      <c r="T870" s="24" t="s">
        <v>1334</v>
      </c>
      <c r="U870" s="53"/>
      <c r="V870" s="25">
        <f>IFERROR(VLOOKUP(BCP_Soles[[#This Row],[destinatario]],CHOOSE({1,2},Clientes_Proveedores[Razon Social],Clientes_Proveedores[Ruc / Dni]),2,0),"")</f>
        <v>20558226979</v>
      </c>
      <c r="W870" s="25" t="s">
        <v>1345</v>
      </c>
      <c r="X870" s="25" t="s">
        <v>2243</v>
      </c>
      <c r="Y870" s="25"/>
      <c r="Z870" s="75"/>
      <c r="AA870" s="3" t="str">
        <f>IF(BCP_Soles[[#This Row],[fecha]]&gt;0,TEXT(BCP_Soles[[#This Row],[fecha]],"mmmm"),0)</f>
        <v>Marzo</v>
      </c>
    </row>
    <row r="871" spans="1:27" x14ac:dyDescent="0.3">
      <c r="A871" s="2">
        <f>IF(BCP_Soles[[#This Row],[tipo_registro]]="R",COUNTIFS($C$1:$C870,"R")+1,A870)</f>
        <v>634</v>
      </c>
      <c r="B871" s="19" t="str">
        <f t="shared" si="76"/>
        <v>B-BCP - Soles</v>
      </c>
      <c r="C871" s="3" t="s">
        <v>1330</v>
      </c>
      <c r="D871" s="14">
        <v>45728</v>
      </c>
      <c r="E871" s="5" t="s">
        <v>1335</v>
      </c>
      <c r="F871" s="5" t="s">
        <v>1336</v>
      </c>
      <c r="G871" s="6"/>
      <c r="H871" s="6"/>
      <c r="I871" s="6"/>
      <c r="J871" s="6"/>
      <c r="K871" s="7" t="s">
        <v>1337</v>
      </c>
      <c r="L871" s="8"/>
      <c r="M871" s="8" t="str">
        <f t="shared" si="77"/>
        <v>PEN</v>
      </c>
      <c r="N871" s="13"/>
      <c r="O871" s="13">
        <v>0.95</v>
      </c>
      <c r="P871" s="3">
        <f t="shared" si="78"/>
        <v>0</v>
      </c>
      <c r="Q871" s="3">
        <f t="shared" si="79"/>
        <v>0.95</v>
      </c>
      <c r="R871" s="3">
        <f t="shared" si="75"/>
        <v>46749.049999999996</v>
      </c>
      <c r="S871" s="24"/>
      <c r="T871" s="24" t="s">
        <v>1334</v>
      </c>
      <c r="U871" s="53"/>
      <c r="V871" s="25" t="str">
        <f>IFERROR(VLOOKUP(BCP_Soles[[#This Row],[destinatario]],CHOOSE({1,2},Clientes_Proveedores[Razon Social],Clientes_Proveedores[Ruc / Dni]),2,0),"")</f>
        <v/>
      </c>
      <c r="W871" s="25"/>
      <c r="X871" s="25"/>
      <c r="Y871" s="25"/>
      <c r="Z871" s="75"/>
      <c r="AA871" s="3" t="str">
        <f>IF(BCP_Soles[[#This Row],[fecha]]&gt;0,TEXT(BCP_Soles[[#This Row],[fecha]],"mmmm"),0)</f>
        <v>Marzo</v>
      </c>
    </row>
    <row r="872" spans="1:27" ht="24" x14ac:dyDescent="0.3">
      <c r="A872" s="2">
        <f>IF(BCP_Soles[[#This Row],[tipo_registro]]="R",COUNTIFS($C$1:$C871,"R")+1,A871)</f>
        <v>635</v>
      </c>
      <c r="B872" s="19" t="str">
        <f t="shared" si="76"/>
        <v>B-BCP - Soles</v>
      </c>
      <c r="C872" s="3" t="s">
        <v>1330</v>
      </c>
      <c r="D872" s="14">
        <v>45728</v>
      </c>
      <c r="E872" s="5" t="s">
        <v>1338</v>
      </c>
      <c r="F872" s="5" t="s">
        <v>1336</v>
      </c>
      <c r="G872" s="6" t="s">
        <v>741</v>
      </c>
      <c r="H872" s="6" t="s">
        <v>68</v>
      </c>
      <c r="I872" s="6" t="s">
        <v>1376</v>
      </c>
      <c r="J872" s="6">
        <v>377</v>
      </c>
      <c r="K872" s="7" t="s">
        <v>2244</v>
      </c>
      <c r="L872" s="8">
        <v>1196835</v>
      </c>
      <c r="M872" s="8" t="str">
        <f t="shared" si="77"/>
        <v>PEN</v>
      </c>
      <c r="N872" s="13"/>
      <c r="O872" s="13">
        <v>70</v>
      </c>
      <c r="P872" s="3">
        <f t="shared" si="78"/>
        <v>0</v>
      </c>
      <c r="Q872" s="3">
        <f t="shared" si="79"/>
        <v>70</v>
      </c>
      <c r="R872" s="3">
        <f t="shared" si="75"/>
        <v>46679.049999999996</v>
      </c>
      <c r="S872" s="24" t="s">
        <v>1334</v>
      </c>
      <c r="T872" s="24" t="s">
        <v>1334</v>
      </c>
      <c r="U872" s="53"/>
      <c r="V872" s="25">
        <f>IFERROR(VLOOKUP(BCP_Soles[[#This Row],[destinatario]],CHOOSE({1,2},Clientes_Proveedores[Razon Social],Clientes_Proveedores[Ruc / Dni]),2,0),"")</f>
        <v>10802636143</v>
      </c>
      <c r="W872" s="25" t="s">
        <v>741</v>
      </c>
      <c r="X872" s="25" t="s">
        <v>2245</v>
      </c>
      <c r="Y872" s="25"/>
      <c r="Z872" s="75"/>
      <c r="AA872" s="3" t="str">
        <f>IF(BCP_Soles[[#This Row],[fecha]]&gt;0,TEXT(BCP_Soles[[#This Row],[fecha]],"mmmm"),0)</f>
        <v>Marzo</v>
      </c>
    </row>
    <row r="873" spans="1:27" ht="24" x14ac:dyDescent="0.3">
      <c r="A873" s="2">
        <f>IF(BCP_Soles[[#This Row],[tipo_registro]]="R",COUNTIFS($C$1:$C872,"R")+1,A872)</f>
        <v>636</v>
      </c>
      <c r="B873" s="19" t="str">
        <f t="shared" si="76"/>
        <v>B-BCP - Soles</v>
      </c>
      <c r="C873" s="3" t="s">
        <v>1330</v>
      </c>
      <c r="D873" s="14">
        <v>45728</v>
      </c>
      <c r="E873" s="5" t="s">
        <v>1338</v>
      </c>
      <c r="F873" s="5" t="s">
        <v>1336</v>
      </c>
      <c r="G873" s="6" t="s">
        <v>249</v>
      </c>
      <c r="H873" s="6"/>
      <c r="I873" s="6"/>
      <c r="J873" s="6"/>
      <c r="K873" s="7" t="s">
        <v>2246</v>
      </c>
      <c r="L873" s="8">
        <v>1196360</v>
      </c>
      <c r="M873" s="8" t="str">
        <f t="shared" si="77"/>
        <v>PEN</v>
      </c>
      <c r="N873" s="13"/>
      <c r="O873" s="13">
        <v>278.01</v>
      </c>
      <c r="P873" s="3">
        <f t="shared" si="78"/>
        <v>0</v>
      </c>
      <c r="Q873" s="3">
        <f t="shared" si="79"/>
        <v>278.01</v>
      </c>
      <c r="R873" s="3">
        <f t="shared" si="75"/>
        <v>46401.039999999994</v>
      </c>
      <c r="S873" s="24"/>
      <c r="T873" s="24"/>
      <c r="U873" s="53"/>
      <c r="V873" s="25">
        <f>IFERROR(VLOOKUP(BCP_Soles[[#This Row],[destinatario]],CHOOSE({1,2},Clientes_Proveedores[Razon Social],Clientes_Proveedores[Ruc / Dni]),2,0),"")</f>
        <v>20302891452</v>
      </c>
      <c r="W873" s="25" t="s">
        <v>249</v>
      </c>
      <c r="X873" s="25"/>
      <c r="Y873" s="25"/>
      <c r="Z873" s="75"/>
      <c r="AA873" s="3" t="str">
        <f>IF(BCP_Soles[[#This Row],[fecha]]&gt;0,TEXT(BCP_Soles[[#This Row],[fecha]],"mmmm"),0)</f>
        <v>Marzo</v>
      </c>
    </row>
    <row r="874" spans="1:27" ht="24" x14ac:dyDescent="0.3">
      <c r="A874" s="2">
        <f>IF(BCP_Soles[[#This Row],[tipo_registro]]="R",COUNTIFS($C$1:$C873,"R")+1,A873)</f>
        <v>637</v>
      </c>
      <c r="B874" s="19" t="str">
        <f t="shared" si="76"/>
        <v>B-BCP - Soles</v>
      </c>
      <c r="C874" s="3" t="s">
        <v>1330</v>
      </c>
      <c r="D874" s="14">
        <v>45728</v>
      </c>
      <c r="E874" s="5" t="s">
        <v>1338</v>
      </c>
      <c r="F874" s="5" t="s">
        <v>1336</v>
      </c>
      <c r="G874" s="6" t="s">
        <v>249</v>
      </c>
      <c r="H874" s="6"/>
      <c r="I874" s="6"/>
      <c r="J874" s="6"/>
      <c r="K874" s="7" t="s">
        <v>2247</v>
      </c>
      <c r="L874" s="8">
        <v>1199775</v>
      </c>
      <c r="M874" s="8" t="str">
        <f t="shared" si="77"/>
        <v>PEN</v>
      </c>
      <c r="N874" s="13"/>
      <c r="O874" s="13">
        <v>388.93</v>
      </c>
      <c r="P874" s="3">
        <f t="shared" si="78"/>
        <v>0</v>
      </c>
      <c r="Q874" s="3">
        <f t="shared" si="79"/>
        <v>388.93</v>
      </c>
      <c r="R874" s="3">
        <f t="shared" si="75"/>
        <v>46012.109999999993</v>
      </c>
      <c r="S874" s="24"/>
      <c r="T874" s="24"/>
      <c r="U874" s="53"/>
      <c r="V874" s="25">
        <f>IFERROR(VLOOKUP(BCP_Soles[[#This Row],[destinatario]],CHOOSE({1,2},Clientes_Proveedores[Razon Social],Clientes_Proveedores[Ruc / Dni]),2,0),"")</f>
        <v>20302891452</v>
      </c>
      <c r="W874" s="25" t="s">
        <v>249</v>
      </c>
      <c r="X874" s="25"/>
      <c r="Y874" s="25"/>
      <c r="Z874" s="75"/>
      <c r="AA874" s="3" t="str">
        <f>IF(BCP_Soles[[#This Row],[fecha]]&gt;0,TEXT(BCP_Soles[[#This Row],[fecha]],"mmmm"),0)</f>
        <v>Marzo</v>
      </c>
    </row>
    <row r="875" spans="1:27" ht="24" x14ac:dyDescent="0.3">
      <c r="A875" s="2">
        <f>IF(BCP_Soles[[#This Row],[tipo_registro]]="R",COUNTIFS($C$1:$C874,"R")+1,A874)</f>
        <v>638</v>
      </c>
      <c r="B875" s="19" t="str">
        <f t="shared" si="76"/>
        <v>B-BCP - Soles</v>
      </c>
      <c r="C875" s="3" t="s">
        <v>1330</v>
      </c>
      <c r="D875" s="14">
        <v>45729</v>
      </c>
      <c r="E875" s="5" t="s">
        <v>1335</v>
      </c>
      <c r="F875" s="5" t="s">
        <v>1336</v>
      </c>
      <c r="G875" s="6" t="s">
        <v>1060</v>
      </c>
      <c r="H875" s="6" t="s">
        <v>68</v>
      </c>
      <c r="I875" s="6" t="s">
        <v>1397</v>
      </c>
      <c r="J875" s="6">
        <v>30882587</v>
      </c>
      <c r="K875" s="7" t="s">
        <v>2248</v>
      </c>
      <c r="L875" s="8">
        <v>1883046</v>
      </c>
      <c r="M875" s="8" t="str">
        <f t="shared" si="77"/>
        <v>PEN</v>
      </c>
      <c r="N875" s="13"/>
      <c r="O875" s="13">
        <v>17.5</v>
      </c>
      <c r="P875" s="3">
        <f t="shared" si="78"/>
        <v>0</v>
      </c>
      <c r="Q875" s="3">
        <f t="shared" si="79"/>
        <v>17.5</v>
      </c>
      <c r="R875" s="3">
        <f t="shared" si="75"/>
        <v>45994.609999999993</v>
      </c>
      <c r="S875" s="24"/>
      <c r="T875" s="24" t="s">
        <v>1334</v>
      </c>
      <c r="U875" s="53"/>
      <c r="V875" s="25">
        <f>IFERROR(VLOOKUP(BCP_Soles[[#This Row],[destinatario]],CHOOSE({1,2},Clientes_Proveedores[Razon Social],Clientes_Proveedores[Ruc / Dni]),2,0),"")</f>
        <v>20100047218</v>
      </c>
      <c r="W875" s="25" t="s">
        <v>1335</v>
      </c>
      <c r="X875" s="25" t="s">
        <v>2249</v>
      </c>
      <c r="Y875" s="25"/>
      <c r="Z875" s="75"/>
      <c r="AA875" s="3" t="str">
        <f>IF(BCP_Soles[[#This Row],[fecha]]&gt;0,TEXT(BCP_Soles[[#This Row],[fecha]],"mmmm"),0)</f>
        <v>Marzo</v>
      </c>
    </row>
    <row r="876" spans="1:27" ht="24" x14ac:dyDescent="0.3">
      <c r="A876" s="2">
        <f>IF(BCP_Soles[[#This Row],[tipo_registro]]="R",COUNTIFS($C$1:$C875,"R")+1,A875)</f>
        <v>639</v>
      </c>
      <c r="B876" s="19" t="str">
        <f t="shared" si="76"/>
        <v>B-BCP - Soles</v>
      </c>
      <c r="C876" s="3" t="s">
        <v>1330</v>
      </c>
      <c r="D876" s="14">
        <v>45729</v>
      </c>
      <c r="E876" s="5" t="s">
        <v>1338</v>
      </c>
      <c r="F876" s="5" t="s">
        <v>1336</v>
      </c>
      <c r="G876" s="6" t="s">
        <v>249</v>
      </c>
      <c r="H876" s="6"/>
      <c r="I876" s="6"/>
      <c r="J876" s="6"/>
      <c r="K876" s="7" t="s">
        <v>2250</v>
      </c>
      <c r="L876" s="8">
        <v>1100431</v>
      </c>
      <c r="M876" s="8" t="str">
        <f t="shared" si="77"/>
        <v>PEN</v>
      </c>
      <c r="N876" s="13"/>
      <c r="O876" s="13">
        <v>81.42</v>
      </c>
      <c r="P876" s="3">
        <f t="shared" si="78"/>
        <v>0</v>
      </c>
      <c r="Q876" s="3">
        <f t="shared" si="79"/>
        <v>81.42</v>
      </c>
      <c r="R876" s="3">
        <f t="shared" si="75"/>
        <v>45913.189999999995</v>
      </c>
      <c r="S876" s="24"/>
      <c r="T876" s="24"/>
      <c r="U876" s="53"/>
      <c r="V876" s="25">
        <f>IFERROR(VLOOKUP(BCP_Soles[[#This Row],[destinatario]],CHOOSE({1,2},Clientes_Proveedores[Razon Social],Clientes_Proveedores[Ruc / Dni]),2,0),"")</f>
        <v>20302891452</v>
      </c>
      <c r="W876" s="25" t="s">
        <v>249</v>
      </c>
      <c r="X876" s="25"/>
      <c r="Y876" s="25"/>
      <c r="Z876" s="75"/>
      <c r="AA876" s="3" t="str">
        <f>IF(BCP_Soles[[#This Row],[fecha]]&gt;0,TEXT(BCP_Soles[[#This Row],[fecha]],"mmmm"),0)</f>
        <v>Marzo</v>
      </c>
    </row>
    <row r="877" spans="1:27" ht="24" x14ac:dyDescent="0.3">
      <c r="A877" s="2">
        <f>IF(BCP_Soles[[#This Row],[tipo_registro]]="R",COUNTIFS($C$1:$C876,"R")+1,A876)</f>
        <v>640</v>
      </c>
      <c r="B877" s="19" t="str">
        <f t="shared" si="76"/>
        <v>B-BCP - Soles</v>
      </c>
      <c r="C877" s="3" t="s">
        <v>1330</v>
      </c>
      <c r="D877" s="14">
        <v>45729</v>
      </c>
      <c r="E877" s="5" t="s">
        <v>1338</v>
      </c>
      <c r="F877" s="5" t="s">
        <v>1336</v>
      </c>
      <c r="G877" s="6" t="s">
        <v>249</v>
      </c>
      <c r="H877" s="6"/>
      <c r="I877" s="6"/>
      <c r="J877" s="6"/>
      <c r="K877" s="7" t="s">
        <v>2251</v>
      </c>
      <c r="L877" s="8">
        <v>1101413</v>
      </c>
      <c r="M877" s="8" t="str">
        <f t="shared" si="77"/>
        <v>PEN</v>
      </c>
      <c r="N877" s="13"/>
      <c r="O877" s="13">
        <v>94.4</v>
      </c>
      <c r="P877" s="3">
        <f t="shared" si="78"/>
        <v>0</v>
      </c>
      <c r="Q877" s="3">
        <f t="shared" si="79"/>
        <v>94.4</v>
      </c>
      <c r="R877" s="3">
        <f t="shared" si="75"/>
        <v>45818.789999999994</v>
      </c>
      <c r="S877" s="24"/>
      <c r="T877" s="24"/>
      <c r="U877" s="53"/>
      <c r="V877" s="25">
        <f>IFERROR(VLOOKUP(BCP_Soles[[#This Row],[destinatario]],CHOOSE({1,2},Clientes_Proveedores[Razon Social],Clientes_Proveedores[Ruc / Dni]),2,0),"")</f>
        <v>20302891452</v>
      </c>
      <c r="W877" s="25" t="s">
        <v>249</v>
      </c>
      <c r="X877" s="25"/>
      <c r="Y877" s="25"/>
      <c r="Z877" s="75"/>
      <c r="AA877" s="3" t="str">
        <f>IF(BCP_Soles[[#This Row],[fecha]]&gt;0,TEXT(BCP_Soles[[#This Row],[fecha]],"mmmm"),0)</f>
        <v>Marzo</v>
      </c>
    </row>
    <row r="878" spans="1:27" x14ac:dyDescent="0.3">
      <c r="A878" s="2">
        <f>IF(BCP_Soles[[#This Row],[tipo_registro]]="R",COUNTIFS($C$1:$C877,"R")+1,A877)</f>
        <v>641</v>
      </c>
      <c r="B878" s="19" t="str">
        <f t="shared" si="76"/>
        <v>B-BCP - Soles</v>
      </c>
      <c r="C878" s="3" t="s">
        <v>1330</v>
      </c>
      <c r="D878" s="14">
        <v>45729</v>
      </c>
      <c r="E878" s="5" t="s">
        <v>1338</v>
      </c>
      <c r="F878" s="5" t="s">
        <v>1336</v>
      </c>
      <c r="G878" s="6" t="s">
        <v>695</v>
      </c>
      <c r="H878" s="6" t="s">
        <v>68</v>
      </c>
      <c r="I878" s="6" t="s">
        <v>1377</v>
      </c>
      <c r="J878" s="6">
        <v>151925</v>
      </c>
      <c r="K878" s="7" t="s">
        <v>1378</v>
      </c>
      <c r="L878" s="8">
        <v>100924</v>
      </c>
      <c r="M878" s="8" t="str">
        <f t="shared" si="77"/>
        <v>PEN</v>
      </c>
      <c r="N878" s="13"/>
      <c r="O878" s="13">
        <v>920.69</v>
      </c>
      <c r="P878" s="3">
        <f t="shared" si="78"/>
        <v>0</v>
      </c>
      <c r="Q878" s="3">
        <f t="shared" si="79"/>
        <v>920.69</v>
      </c>
      <c r="R878" s="3">
        <f t="shared" si="75"/>
        <v>44898.099999999991</v>
      </c>
      <c r="S878" s="24" t="s">
        <v>1334</v>
      </c>
      <c r="T878" s="24" t="s">
        <v>1334</v>
      </c>
      <c r="U878" s="53"/>
      <c r="V878" s="25">
        <f>IFERROR(VLOOKUP(BCP_Soles[[#This Row],[destinatario]],CHOOSE({1,2},Clientes_Proveedores[Razon Social],Clientes_Proveedores[Ruc / Dni]),2,0),"")</f>
        <v>20127765279</v>
      </c>
      <c r="W878" s="25" t="s">
        <v>1379</v>
      </c>
      <c r="X878" s="25" t="s">
        <v>2252</v>
      </c>
      <c r="Y878" s="25"/>
      <c r="Z878" s="75"/>
      <c r="AA878" s="3" t="str">
        <f>IF(BCP_Soles[[#This Row],[fecha]]&gt;0,TEXT(BCP_Soles[[#This Row],[fecha]],"mmmm"),0)</f>
        <v>Marzo</v>
      </c>
    </row>
    <row r="879" spans="1:27" x14ac:dyDescent="0.3">
      <c r="A879" s="2">
        <f>IF(BCP_Soles[[#This Row],[tipo_registro]]="R",COUNTIFS($C$1:$C878,"R")+1,A878)</f>
        <v>642</v>
      </c>
      <c r="B879" s="19" t="str">
        <f t="shared" si="76"/>
        <v>B-BCP - Soles</v>
      </c>
      <c r="C879" s="3" t="s">
        <v>1330</v>
      </c>
      <c r="D879" s="14">
        <v>45729</v>
      </c>
      <c r="E879" s="5" t="s">
        <v>1338</v>
      </c>
      <c r="F879" s="5" t="s">
        <v>1336</v>
      </c>
      <c r="G879" s="6" t="s">
        <v>695</v>
      </c>
      <c r="H879" s="6" t="s">
        <v>68</v>
      </c>
      <c r="I879" s="6" t="s">
        <v>1377</v>
      </c>
      <c r="J879" s="6">
        <v>151883</v>
      </c>
      <c r="K879" s="7" t="s">
        <v>1378</v>
      </c>
      <c r="L879" s="8">
        <v>100432</v>
      </c>
      <c r="M879" s="8" t="str">
        <f t="shared" si="77"/>
        <v>PEN</v>
      </c>
      <c r="N879" s="13"/>
      <c r="O879" s="13">
        <v>1344.94</v>
      </c>
      <c r="P879" s="3">
        <f t="shared" si="78"/>
        <v>0</v>
      </c>
      <c r="Q879" s="3">
        <f t="shared" si="79"/>
        <v>1344.94</v>
      </c>
      <c r="R879" s="3">
        <f t="shared" si="75"/>
        <v>43553.159999999989</v>
      </c>
      <c r="S879" s="24" t="s">
        <v>1334</v>
      </c>
      <c r="T879" s="24" t="s">
        <v>1334</v>
      </c>
      <c r="U879" s="53"/>
      <c r="V879" s="25">
        <f>IFERROR(VLOOKUP(BCP_Soles[[#This Row],[destinatario]],CHOOSE({1,2},Clientes_Proveedores[Razon Social],Clientes_Proveedores[Ruc / Dni]),2,0),"")</f>
        <v>20127765279</v>
      </c>
      <c r="W879" s="25" t="s">
        <v>1379</v>
      </c>
      <c r="X879" s="25" t="s">
        <v>2253</v>
      </c>
      <c r="Y879" s="25"/>
      <c r="Z879" s="75"/>
      <c r="AA879" s="3" t="str">
        <f>IF(BCP_Soles[[#This Row],[fecha]]&gt;0,TEXT(BCP_Soles[[#This Row],[fecha]],"mmmm"),0)</f>
        <v>Marzo</v>
      </c>
    </row>
    <row r="880" spans="1:27" x14ac:dyDescent="0.3">
      <c r="A880" s="2">
        <f>IF(BCP_Soles[[#This Row],[tipo_registro]]="R",COUNTIFS($C$1:$C879,"R")+1,A879)</f>
        <v>643</v>
      </c>
      <c r="B880" s="19" t="str">
        <f t="shared" si="76"/>
        <v>B-BCP - Soles</v>
      </c>
      <c r="C880" s="3" t="s">
        <v>1330</v>
      </c>
      <c r="D880" s="14">
        <v>45729</v>
      </c>
      <c r="E880" s="5" t="s">
        <v>1338</v>
      </c>
      <c r="F880" s="5" t="s">
        <v>1336</v>
      </c>
      <c r="G880" s="6" t="s">
        <v>696</v>
      </c>
      <c r="H880" s="6"/>
      <c r="I880" s="6"/>
      <c r="J880" s="6"/>
      <c r="K880" s="7" t="s">
        <v>2254</v>
      </c>
      <c r="L880" s="8">
        <v>1883025</v>
      </c>
      <c r="M880" s="8" t="str">
        <f t="shared" si="77"/>
        <v>PEN</v>
      </c>
      <c r="N880" s="13"/>
      <c r="O880" s="13">
        <v>8399.85</v>
      </c>
      <c r="P880" s="3">
        <f t="shared" si="78"/>
        <v>0</v>
      </c>
      <c r="Q880" s="3">
        <f t="shared" si="79"/>
        <v>8399.85</v>
      </c>
      <c r="R880" s="3">
        <f t="shared" si="75"/>
        <v>35153.30999999999</v>
      </c>
      <c r="S880" s="24" t="s">
        <v>1334</v>
      </c>
      <c r="T880" s="24" t="s">
        <v>1334</v>
      </c>
      <c r="U880" s="53"/>
      <c r="V880" s="25">
        <f>IFERROR(VLOOKUP(BCP_Soles[[#This Row],[destinatario]],CHOOSE({1,2},Clientes_Proveedores[Razon Social],Clientes_Proveedores[Ruc / Dni]),2,0),"")</f>
        <v>0</v>
      </c>
      <c r="W880" s="25" t="s">
        <v>1373</v>
      </c>
      <c r="X880" s="25"/>
      <c r="Y880" s="25"/>
      <c r="Z880" s="75"/>
      <c r="AA880" s="3" t="str">
        <f>IF(BCP_Soles[[#This Row],[fecha]]&gt;0,TEXT(BCP_Soles[[#This Row],[fecha]],"mmmm"),0)</f>
        <v>Marzo</v>
      </c>
    </row>
    <row r="881" spans="1:27" ht="24" x14ac:dyDescent="0.3">
      <c r="A881" s="2">
        <f>IF(BCP_Soles[[#This Row],[tipo_registro]]="R",COUNTIFS($C$1:$C880,"R")+1,A880)</f>
        <v>643</v>
      </c>
      <c r="B881" s="19" t="str">
        <f t="shared" si="76"/>
        <v>B-BCP - Soles</v>
      </c>
      <c r="C881" s="3" t="s">
        <v>1352</v>
      </c>
      <c r="D881" s="14">
        <v>45729</v>
      </c>
      <c r="E881" s="5" t="s">
        <v>1338</v>
      </c>
      <c r="F881" s="5"/>
      <c r="G881" s="6" t="s">
        <v>233</v>
      </c>
      <c r="H881" s="6" t="s">
        <v>68</v>
      </c>
      <c r="I881" s="6" t="s">
        <v>1374</v>
      </c>
      <c r="J881" s="6">
        <v>40799</v>
      </c>
      <c r="K881" s="7" t="s">
        <v>2254</v>
      </c>
      <c r="L881" s="8">
        <v>1883025</v>
      </c>
      <c r="M881" s="8" t="str">
        <f t="shared" si="77"/>
        <v>PEN</v>
      </c>
      <c r="N881" s="13">
        <v>843.7</v>
      </c>
      <c r="O881" s="13"/>
      <c r="P881" s="3">
        <f t="shared" si="78"/>
        <v>0</v>
      </c>
      <c r="Q881" s="3">
        <f t="shared" si="79"/>
        <v>0</v>
      </c>
      <c r="R881" s="3">
        <f t="shared" si="75"/>
        <v>35153.30999999999</v>
      </c>
      <c r="S881" s="24"/>
      <c r="T881" s="24" t="s">
        <v>1334</v>
      </c>
      <c r="U881" s="53"/>
      <c r="V881" s="25">
        <f>IFERROR(VLOOKUP(BCP_Soles[[#This Row],[destinatario]],CHOOSE({1,2},Clientes_Proveedores[Razon Social],Clientes_Proveedores[Ruc / Dni]),2,0),"")</f>
        <v>20137976171</v>
      </c>
      <c r="W881" s="25"/>
      <c r="X881" s="25"/>
      <c r="Y881" s="25"/>
      <c r="Z881" s="75"/>
      <c r="AA881" s="3" t="str">
        <f>IF(BCP_Soles[[#This Row],[fecha]]&gt;0,TEXT(BCP_Soles[[#This Row],[fecha]],"mmmm"),0)</f>
        <v>Marzo</v>
      </c>
    </row>
    <row r="882" spans="1:27" x14ac:dyDescent="0.3">
      <c r="A882" s="2">
        <f>IF(BCP_Soles[[#This Row],[tipo_registro]]="R",COUNTIFS($C$1:$C881,"R")+1,A881)</f>
        <v>643</v>
      </c>
      <c r="B882" s="19" t="str">
        <f t="shared" si="76"/>
        <v>B-BCP - Soles</v>
      </c>
      <c r="C882" s="3" t="s">
        <v>1352</v>
      </c>
      <c r="D882" s="14">
        <v>45729</v>
      </c>
      <c r="E882" s="5" t="s">
        <v>1338</v>
      </c>
      <c r="F882" s="5"/>
      <c r="G882" s="6" t="s">
        <v>397</v>
      </c>
      <c r="H882" s="6" t="s">
        <v>68</v>
      </c>
      <c r="I882" s="6" t="s">
        <v>1376</v>
      </c>
      <c r="J882" s="6">
        <v>375</v>
      </c>
      <c r="K882" s="7" t="s">
        <v>2254</v>
      </c>
      <c r="L882" s="8">
        <v>1883025</v>
      </c>
      <c r="M882" s="8" t="str">
        <f t="shared" si="77"/>
        <v>PEN</v>
      </c>
      <c r="N882" s="13">
        <v>1038</v>
      </c>
      <c r="O882" s="13"/>
      <c r="P882" s="3">
        <f t="shared" si="78"/>
        <v>0</v>
      </c>
      <c r="Q882" s="3">
        <f t="shared" si="79"/>
        <v>0</v>
      </c>
      <c r="R882" s="3">
        <f t="shared" si="75"/>
        <v>35153.30999999999</v>
      </c>
      <c r="S882" s="24"/>
      <c r="T882" s="24" t="s">
        <v>1334</v>
      </c>
      <c r="U882" s="53"/>
      <c r="V882" s="25">
        <f>IFERROR(VLOOKUP(BCP_Soles[[#This Row],[destinatario]],CHOOSE({1,2},Clientes_Proveedores[Razon Social],Clientes_Proveedores[Ruc / Dni]),2,0),"")</f>
        <v>20545577870</v>
      </c>
      <c r="W882" s="25"/>
      <c r="X882" s="25"/>
      <c r="Y882" s="25"/>
      <c r="Z882" s="75"/>
      <c r="AA882" s="3" t="str">
        <f>IF(BCP_Soles[[#This Row],[fecha]]&gt;0,TEXT(BCP_Soles[[#This Row],[fecha]],"mmmm"),0)</f>
        <v>Marzo</v>
      </c>
    </row>
    <row r="883" spans="1:27" x14ac:dyDescent="0.3">
      <c r="A883" s="2">
        <f>IF(BCP_Soles[[#This Row],[tipo_registro]]="R",COUNTIFS($C$1:$C882,"R")+1,A882)</f>
        <v>643</v>
      </c>
      <c r="B883" s="19" t="str">
        <f t="shared" si="76"/>
        <v>B-BCP - Soles</v>
      </c>
      <c r="C883" s="3" t="s">
        <v>1352</v>
      </c>
      <c r="D883" s="14">
        <v>45729</v>
      </c>
      <c r="E883" s="5" t="s">
        <v>1338</v>
      </c>
      <c r="F883" s="5"/>
      <c r="G883" s="6" t="s">
        <v>522</v>
      </c>
      <c r="H883" s="6" t="s">
        <v>68</v>
      </c>
      <c r="I883" s="6" t="s">
        <v>1376</v>
      </c>
      <c r="J883" s="6">
        <v>3731</v>
      </c>
      <c r="K883" s="7" t="s">
        <v>2254</v>
      </c>
      <c r="L883" s="8">
        <v>1883025</v>
      </c>
      <c r="M883" s="8" t="str">
        <f t="shared" si="77"/>
        <v>PEN</v>
      </c>
      <c r="N883" s="13">
        <v>250.75</v>
      </c>
      <c r="O883" s="13"/>
      <c r="P883" s="3">
        <f t="shared" si="78"/>
        <v>0</v>
      </c>
      <c r="Q883" s="3">
        <f t="shared" si="79"/>
        <v>0</v>
      </c>
      <c r="R883" s="3">
        <f t="shared" si="75"/>
        <v>35153.30999999999</v>
      </c>
      <c r="S883" s="24"/>
      <c r="T883" s="24" t="s">
        <v>1334</v>
      </c>
      <c r="U883" s="53"/>
      <c r="V883" s="25">
        <f>IFERROR(VLOOKUP(BCP_Soles[[#This Row],[destinatario]],CHOOSE({1,2},Clientes_Proveedores[Razon Social],Clientes_Proveedores[Ruc / Dni]),2,0),"")</f>
        <v>20603974817</v>
      </c>
      <c r="W883" s="25"/>
      <c r="X883" s="25"/>
      <c r="Y883" s="25"/>
      <c r="Z883" s="75"/>
      <c r="AA883" s="3" t="str">
        <f>IF(BCP_Soles[[#This Row],[fecha]]&gt;0,TEXT(BCP_Soles[[#This Row],[fecha]],"mmmm"),0)</f>
        <v>Marzo</v>
      </c>
    </row>
    <row r="884" spans="1:27" x14ac:dyDescent="0.3">
      <c r="A884" s="2">
        <f>IF(BCP_Soles[[#This Row],[tipo_registro]]="R",COUNTIFS($C$1:$C883,"R")+1,A883)</f>
        <v>643</v>
      </c>
      <c r="B884" s="19" t="str">
        <f t="shared" si="76"/>
        <v>B-BCP - Soles</v>
      </c>
      <c r="C884" s="3" t="s">
        <v>1352</v>
      </c>
      <c r="D884" s="14">
        <v>45729</v>
      </c>
      <c r="E884" s="5" t="s">
        <v>1338</v>
      </c>
      <c r="F884" s="5"/>
      <c r="G884" s="6" t="s">
        <v>522</v>
      </c>
      <c r="H884" s="6" t="s">
        <v>68</v>
      </c>
      <c r="I884" s="6" t="s">
        <v>1376</v>
      </c>
      <c r="J884" s="6">
        <v>3721</v>
      </c>
      <c r="K884" s="7" t="s">
        <v>2254</v>
      </c>
      <c r="L884" s="8">
        <v>1883025</v>
      </c>
      <c r="M884" s="8" t="str">
        <f t="shared" si="77"/>
        <v>PEN</v>
      </c>
      <c r="N884" s="13">
        <v>150.44999999999999</v>
      </c>
      <c r="O884" s="13"/>
      <c r="P884" s="3">
        <f t="shared" si="78"/>
        <v>0</v>
      </c>
      <c r="Q884" s="3">
        <f t="shared" si="79"/>
        <v>0</v>
      </c>
      <c r="R884" s="3">
        <f t="shared" si="75"/>
        <v>35153.30999999999</v>
      </c>
      <c r="S884" s="24"/>
      <c r="T884" s="24" t="s">
        <v>1334</v>
      </c>
      <c r="U884" s="53"/>
      <c r="V884" s="25">
        <f>IFERROR(VLOOKUP(BCP_Soles[[#This Row],[destinatario]],CHOOSE({1,2},Clientes_Proveedores[Razon Social],Clientes_Proveedores[Ruc / Dni]),2,0),"")</f>
        <v>20603974817</v>
      </c>
      <c r="W884" s="25"/>
      <c r="X884" s="25"/>
      <c r="Y884" s="25"/>
      <c r="Z884" s="75"/>
      <c r="AA884" s="3" t="str">
        <f>IF(BCP_Soles[[#This Row],[fecha]]&gt;0,TEXT(BCP_Soles[[#This Row],[fecha]],"mmmm"),0)</f>
        <v>Marzo</v>
      </c>
    </row>
    <row r="885" spans="1:27" x14ac:dyDescent="0.3">
      <c r="A885" s="2">
        <f>IF(BCP_Soles[[#This Row],[tipo_registro]]="R",COUNTIFS($C$1:$C884,"R")+1,A884)</f>
        <v>643</v>
      </c>
      <c r="B885" s="19" t="str">
        <f t="shared" si="76"/>
        <v>B-BCP - Soles</v>
      </c>
      <c r="C885" s="3" t="s">
        <v>1352</v>
      </c>
      <c r="D885" s="14">
        <v>45729</v>
      </c>
      <c r="E885" s="5" t="s">
        <v>1338</v>
      </c>
      <c r="F885" s="5"/>
      <c r="G885" s="6" t="s">
        <v>522</v>
      </c>
      <c r="H885" s="6" t="s">
        <v>68</v>
      </c>
      <c r="I885" s="6" t="s">
        <v>1376</v>
      </c>
      <c r="J885" s="6">
        <v>3711</v>
      </c>
      <c r="K885" s="7" t="s">
        <v>2254</v>
      </c>
      <c r="L885" s="8">
        <v>1883025</v>
      </c>
      <c r="M885" s="8" t="str">
        <f t="shared" si="77"/>
        <v>PEN</v>
      </c>
      <c r="N885" s="13">
        <v>651.95000000000005</v>
      </c>
      <c r="O885" s="13"/>
      <c r="P885" s="3">
        <f t="shared" si="78"/>
        <v>0</v>
      </c>
      <c r="Q885" s="3">
        <f t="shared" si="79"/>
        <v>0</v>
      </c>
      <c r="R885" s="3">
        <f t="shared" si="75"/>
        <v>35153.30999999999</v>
      </c>
      <c r="S885" s="24"/>
      <c r="T885" s="24" t="s">
        <v>1334</v>
      </c>
      <c r="U885" s="53"/>
      <c r="V885" s="25">
        <f>IFERROR(VLOOKUP(BCP_Soles[[#This Row],[destinatario]],CHOOSE({1,2},Clientes_Proveedores[Razon Social],Clientes_Proveedores[Ruc / Dni]),2,0),"")</f>
        <v>20603974817</v>
      </c>
      <c r="W885" s="25"/>
      <c r="X885" s="25"/>
      <c r="Y885" s="25"/>
      <c r="Z885" s="75"/>
      <c r="AA885" s="3" t="str">
        <f>IF(BCP_Soles[[#This Row],[fecha]]&gt;0,TEXT(BCP_Soles[[#This Row],[fecha]],"mmmm"),0)</f>
        <v>Marzo</v>
      </c>
    </row>
    <row r="886" spans="1:27" ht="24" x14ac:dyDescent="0.3">
      <c r="A886" s="2">
        <f>IF(BCP_Soles[[#This Row],[tipo_registro]]="R",COUNTIFS($C$1:$C885,"R")+1,A885)</f>
        <v>643</v>
      </c>
      <c r="B886" s="19" t="str">
        <f t="shared" si="76"/>
        <v>B-BCP - Soles</v>
      </c>
      <c r="C886" s="3" t="s">
        <v>1352</v>
      </c>
      <c r="D886" s="14">
        <v>45729</v>
      </c>
      <c r="E886" s="5" t="s">
        <v>1338</v>
      </c>
      <c r="F886" s="5"/>
      <c r="G886" s="6" t="s">
        <v>594</v>
      </c>
      <c r="H886" s="6" t="s">
        <v>68</v>
      </c>
      <c r="I886" s="6" t="s">
        <v>1376</v>
      </c>
      <c r="J886" s="6">
        <v>2009</v>
      </c>
      <c r="K886" s="7" t="s">
        <v>2254</v>
      </c>
      <c r="L886" s="8">
        <v>1883025</v>
      </c>
      <c r="M886" s="8" t="str">
        <f t="shared" si="77"/>
        <v>PEN</v>
      </c>
      <c r="N886" s="13">
        <v>94.4</v>
      </c>
      <c r="O886" s="13"/>
      <c r="P886" s="3">
        <f t="shared" si="78"/>
        <v>0</v>
      </c>
      <c r="Q886" s="3">
        <f t="shared" si="79"/>
        <v>0</v>
      </c>
      <c r="R886" s="3">
        <f t="shared" si="75"/>
        <v>35153.30999999999</v>
      </c>
      <c r="S886" s="24"/>
      <c r="T886" s="24" t="s">
        <v>1334</v>
      </c>
      <c r="U886" s="53"/>
      <c r="V886" s="25">
        <f>IFERROR(VLOOKUP(BCP_Soles[[#This Row],[destinatario]],CHOOSE({1,2},Clientes_Proveedores[Razon Social],Clientes_Proveedores[Ruc / Dni]),2,0),"")</f>
        <v>20609764261</v>
      </c>
      <c r="W886" s="25"/>
      <c r="X886" s="25"/>
      <c r="Y886" s="25"/>
      <c r="Z886" s="75"/>
      <c r="AA886" s="3" t="str">
        <f>IF(BCP_Soles[[#This Row],[fecha]]&gt;0,TEXT(BCP_Soles[[#This Row],[fecha]],"mmmm"),0)</f>
        <v>Marzo</v>
      </c>
    </row>
    <row r="887" spans="1:27" ht="24" x14ac:dyDescent="0.3">
      <c r="A887" s="2">
        <f>IF(BCP_Soles[[#This Row],[tipo_registro]]="R",COUNTIFS($C$1:$C886,"R")+1,A886)</f>
        <v>643</v>
      </c>
      <c r="B887" s="19" t="str">
        <f t="shared" si="76"/>
        <v>B-BCP - Soles</v>
      </c>
      <c r="C887" s="3" t="s">
        <v>1352</v>
      </c>
      <c r="D887" s="14">
        <v>45729</v>
      </c>
      <c r="E887" s="5" t="s">
        <v>1338</v>
      </c>
      <c r="F887" s="5"/>
      <c r="G887" s="6" t="s">
        <v>594</v>
      </c>
      <c r="H887" s="6" t="s">
        <v>68</v>
      </c>
      <c r="I887" s="6" t="s">
        <v>1376</v>
      </c>
      <c r="J887" s="6">
        <v>2007</v>
      </c>
      <c r="K887" s="7" t="s">
        <v>2254</v>
      </c>
      <c r="L887" s="8">
        <v>1883025</v>
      </c>
      <c r="M887" s="8" t="str">
        <f t="shared" si="77"/>
        <v>PEN</v>
      </c>
      <c r="N887" s="13">
        <v>70.8</v>
      </c>
      <c r="O887" s="13"/>
      <c r="P887" s="3">
        <f t="shared" si="78"/>
        <v>0</v>
      </c>
      <c r="Q887" s="3">
        <f t="shared" si="79"/>
        <v>0</v>
      </c>
      <c r="R887" s="3">
        <f t="shared" si="75"/>
        <v>35153.30999999999</v>
      </c>
      <c r="S887" s="24"/>
      <c r="T887" s="24" t="s">
        <v>1334</v>
      </c>
      <c r="U887" s="53"/>
      <c r="V887" s="25">
        <f>IFERROR(VLOOKUP(BCP_Soles[[#This Row],[destinatario]],CHOOSE({1,2},Clientes_Proveedores[Razon Social],Clientes_Proveedores[Ruc / Dni]),2,0),"")</f>
        <v>20609764261</v>
      </c>
      <c r="W887" s="25"/>
      <c r="X887" s="25"/>
      <c r="Y887" s="25"/>
      <c r="Z887" s="75"/>
      <c r="AA887" s="3" t="str">
        <f>IF(BCP_Soles[[#This Row],[fecha]]&gt;0,TEXT(BCP_Soles[[#This Row],[fecha]],"mmmm"),0)</f>
        <v>Marzo</v>
      </c>
    </row>
    <row r="888" spans="1:27" ht="24" x14ac:dyDescent="0.3">
      <c r="A888" s="2">
        <f>IF(BCP_Soles[[#This Row],[tipo_registro]]="R",COUNTIFS($C$1:$C887,"R")+1,A887)</f>
        <v>643</v>
      </c>
      <c r="B888" s="19" t="str">
        <f t="shared" si="76"/>
        <v>B-BCP - Soles</v>
      </c>
      <c r="C888" s="3" t="s">
        <v>1352</v>
      </c>
      <c r="D888" s="14">
        <v>45729</v>
      </c>
      <c r="E888" s="5" t="s">
        <v>1338</v>
      </c>
      <c r="F888" s="5"/>
      <c r="G888" s="6" t="s">
        <v>594</v>
      </c>
      <c r="H888" s="6" t="s">
        <v>68</v>
      </c>
      <c r="I888" s="6" t="s">
        <v>1376</v>
      </c>
      <c r="J888" s="6">
        <v>2012</v>
      </c>
      <c r="K888" s="7" t="s">
        <v>2254</v>
      </c>
      <c r="L888" s="8">
        <v>1883025</v>
      </c>
      <c r="M888" s="8" t="str">
        <f t="shared" si="77"/>
        <v>PEN</v>
      </c>
      <c r="N888" s="13">
        <v>283.2</v>
      </c>
      <c r="O888" s="13"/>
      <c r="P888" s="3">
        <f t="shared" si="78"/>
        <v>0</v>
      </c>
      <c r="Q888" s="3">
        <f t="shared" si="79"/>
        <v>0</v>
      </c>
      <c r="R888" s="3">
        <f t="shared" si="75"/>
        <v>35153.30999999999</v>
      </c>
      <c r="S888" s="24"/>
      <c r="T888" s="24" t="s">
        <v>1334</v>
      </c>
      <c r="U888" s="53"/>
      <c r="V888" s="25">
        <f>IFERROR(VLOOKUP(BCP_Soles[[#This Row],[destinatario]],CHOOSE({1,2},Clientes_Proveedores[Razon Social],Clientes_Proveedores[Ruc / Dni]),2,0),"")</f>
        <v>20609764261</v>
      </c>
      <c r="W888" s="25"/>
      <c r="X888" s="25"/>
      <c r="Y888" s="25"/>
      <c r="Z888" s="75"/>
      <c r="AA888" s="3" t="str">
        <f>IF(BCP_Soles[[#This Row],[fecha]]&gt;0,TEXT(BCP_Soles[[#This Row],[fecha]],"mmmm"),0)</f>
        <v>Marzo</v>
      </c>
    </row>
    <row r="889" spans="1:27" ht="24" x14ac:dyDescent="0.3">
      <c r="A889" s="2">
        <f>IF(BCP_Soles[[#This Row],[tipo_registro]]="R",COUNTIFS($C$1:$C888,"R")+1,A888)</f>
        <v>643</v>
      </c>
      <c r="B889" s="19" t="str">
        <f t="shared" si="76"/>
        <v>B-BCP - Soles</v>
      </c>
      <c r="C889" s="3" t="s">
        <v>1352</v>
      </c>
      <c r="D889" s="14">
        <v>45729</v>
      </c>
      <c r="E889" s="5" t="s">
        <v>1338</v>
      </c>
      <c r="F889" s="5"/>
      <c r="G889" s="6" t="s">
        <v>471</v>
      </c>
      <c r="H889" s="6" t="s">
        <v>68</v>
      </c>
      <c r="I889" s="6" t="s">
        <v>1376</v>
      </c>
      <c r="J889" s="6">
        <v>363</v>
      </c>
      <c r="K889" s="7" t="s">
        <v>2254</v>
      </c>
      <c r="L889" s="8">
        <v>1883025</v>
      </c>
      <c r="M889" s="8" t="str">
        <f t="shared" si="77"/>
        <v>PEN</v>
      </c>
      <c r="N889" s="13">
        <v>1812</v>
      </c>
      <c r="O889" s="13"/>
      <c r="P889" s="3">
        <f t="shared" si="78"/>
        <v>0</v>
      </c>
      <c r="Q889" s="3">
        <f t="shared" si="79"/>
        <v>0</v>
      </c>
      <c r="R889" s="3">
        <f t="shared" si="75"/>
        <v>35153.30999999999</v>
      </c>
      <c r="S889" s="24"/>
      <c r="T889" s="24" t="s">
        <v>1334</v>
      </c>
      <c r="U889" s="53"/>
      <c r="V889" s="25">
        <f>IFERROR(VLOOKUP(BCP_Soles[[#This Row],[destinatario]],CHOOSE({1,2},Clientes_Proveedores[Razon Social],Clientes_Proveedores[Ruc / Dni]),2,0),"")</f>
        <v>20601883270</v>
      </c>
      <c r="W889" s="25"/>
      <c r="X889" s="25"/>
      <c r="Y889" s="25"/>
      <c r="Z889" s="75"/>
      <c r="AA889" s="3" t="str">
        <f>IF(BCP_Soles[[#This Row],[fecha]]&gt;0,TEXT(BCP_Soles[[#This Row],[fecha]],"mmmm"),0)</f>
        <v>Marzo</v>
      </c>
    </row>
    <row r="890" spans="1:27" x14ac:dyDescent="0.3">
      <c r="A890" s="2">
        <f>IF(BCP_Soles[[#This Row],[tipo_registro]]="R",COUNTIFS($C$1:$C889,"R")+1,A889)</f>
        <v>643</v>
      </c>
      <c r="B890" s="19" t="str">
        <f t="shared" si="76"/>
        <v>B-BCP - Soles</v>
      </c>
      <c r="C890" s="3" t="s">
        <v>1352</v>
      </c>
      <c r="D890" s="14">
        <v>45729</v>
      </c>
      <c r="E890" s="5" t="s">
        <v>1338</v>
      </c>
      <c r="F890" s="5"/>
      <c r="G890" s="6" t="s">
        <v>522</v>
      </c>
      <c r="H890" s="6" t="s">
        <v>68</v>
      </c>
      <c r="I890" s="6" t="s">
        <v>1376</v>
      </c>
      <c r="J890" s="6">
        <v>3734</v>
      </c>
      <c r="K890" s="7" t="s">
        <v>2254</v>
      </c>
      <c r="L890" s="8">
        <v>1883025</v>
      </c>
      <c r="M890" s="8" t="str">
        <f t="shared" si="77"/>
        <v>PEN</v>
      </c>
      <c r="N890" s="13">
        <v>250.75</v>
      </c>
      <c r="O890" s="13"/>
      <c r="P890" s="3">
        <f t="shared" si="78"/>
        <v>0</v>
      </c>
      <c r="Q890" s="3">
        <f t="shared" si="79"/>
        <v>0</v>
      </c>
      <c r="R890" s="3">
        <f t="shared" si="75"/>
        <v>35153.30999999999</v>
      </c>
      <c r="S890" s="24"/>
      <c r="T890" s="24" t="s">
        <v>1334</v>
      </c>
      <c r="U890" s="53"/>
      <c r="V890" s="25">
        <f>IFERROR(VLOOKUP(BCP_Soles[[#This Row],[destinatario]],CHOOSE({1,2},Clientes_Proveedores[Razon Social],Clientes_Proveedores[Ruc / Dni]),2,0),"")</f>
        <v>20603974817</v>
      </c>
      <c r="W890" s="25"/>
      <c r="X890" s="25"/>
      <c r="Y890" s="25"/>
      <c r="Z890" s="75"/>
      <c r="AA890" s="3" t="str">
        <f>IF(BCP_Soles[[#This Row],[fecha]]&gt;0,TEXT(BCP_Soles[[#This Row],[fecha]],"mmmm"),0)</f>
        <v>Marzo</v>
      </c>
    </row>
    <row r="891" spans="1:27" x14ac:dyDescent="0.3">
      <c r="A891" s="2">
        <f>IF(BCP_Soles[[#This Row],[tipo_registro]]="R",COUNTIFS($C$1:$C890,"R")+1,A890)</f>
        <v>643</v>
      </c>
      <c r="B891" s="19" t="str">
        <f t="shared" si="76"/>
        <v>B-BCP - Soles</v>
      </c>
      <c r="C891" s="3" t="s">
        <v>1352</v>
      </c>
      <c r="D891" s="14">
        <v>45729</v>
      </c>
      <c r="E891" s="5" t="s">
        <v>1338</v>
      </c>
      <c r="F891" s="5"/>
      <c r="G891" s="6" t="s">
        <v>522</v>
      </c>
      <c r="H891" s="6" t="s">
        <v>68</v>
      </c>
      <c r="I891" s="6" t="s">
        <v>1376</v>
      </c>
      <c r="J891" s="6">
        <v>3722</v>
      </c>
      <c r="K891" s="7" t="s">
        <v>2254</v>
      </c>
      <c r="L891" s="8">
        <v>1883025</v>
      </c>
      <c r="M891" s="8" t="str">
        <f t="shared" si="77"/>
        <v>PEN</v>
      </c>
      <c r="N891" s="13">
        <v>501.5</v>
      </c>
      <c r="O891" s="13"/>
      <c r="P891" s="3">
        <f t="shared" si="78"/>
        <v>0</v>
      </c>
      <c r="Q891" s="3">
        <f t="shared" si="79"/>
        <v>0</v>
      </c>
      <c r="R891" s="3">
        <f t="shared" si="75"/>
        <v>35153.30999999999</v>
      </c>
      <c r="S891" s="24"/>
      <c r="T891" s="24" t="s">
        <v>1334</v>
      </c>
      <c r="U891" s="53"/>
      <c r="V891" s="25">
        <f>IFERROR(VLOOKUP(BCP_Soles[[#This Row],[destinatario]],CHOOSE({1,2},Clientes_Proveedores[Razon Social],Clientes_Proveedores[Ruc / Dni]),2,0),"")</f>
        <v>20603974817</v>
      </c>
      <c r="W891" s="25"/>
      <c r="X891" s="25"/>
      <c r="Y891" s="25"/>
      <c r="Z891" s="75"/>
      <c r="AA891" s="3" t="str">
        <f>IF(BCP_Soles[[#This Row],[fecha]]&gt;0,TEXT(BCP_Soles[[#This Row],[fecha]],"mmmm"),0)</f>
        <v>Marzo</v>
      </c>
    </row>
    <row r="892" spans="1:27" x14ac:dyDescent="0.3">
      <c r="A892" s="2">
        <f>IF(BCP_Soles[[#This Row],[tipo_registro]]="R",COUNTIFS($C$1:$C891,"R")+1,A891)</f>
        <v>643</v>
      </c>
      <c r="B892" s="19" t="str">
        <f t="shared" si="76"/>
        <v>B-BCP - Soles</v>
      </c>
      <c r="C892" s="3" t="s">
        <v>1352</v>
      </c>
      <c r="D892" s="14">
        <v>45729</v>
      </c>
      <c r="E892" s="5" t="s">
        <v>1338</v>
      </c>
      <c r="F892" s="5"/>
      <c r="G892" s="6" t="s">
        <v>522</v>
      </c>
      <c r="H892" s="6" t="s">
        <v>68</v>
      </c>
      <c r="I892" s="6" t="s">
        <v>1376</v>
      </c>
      <c r="J892" s="6">
        <v>3729</v>
      </c>
      <c r="K892" s="7" t="s">
        <v>2254</v>
      </c>
      <c r="L892" s="8">
        <v>1883025</v>
      </c>
      <c r="M892" s="8" t="str">
        <f t="shared" si="77"/>
        <v>PEN</v>
      </c>
      <c r="N892" s="13">
        <v>451.35</v>
      </c>
      <c r="O892" s="13"/>
      <c r="P892" s="3">
        <f t="shared" si="78"/>
        <v>0</v>
      </c>
      <c r="Q892" s="3">
        <f t="shared" si="79"/>
        <v>0</v>
      </c>
      <c r="R892" s="3">
        <f t="shared" si="75"/>
        <v>35153.30999999999</v>
      </c>
      <c r="S892" s="24"/>
      <c r="T892" s="24" t="s">
        <v>1334</v>
      </c>
      <c r="U892" s="53"/>
      <c r="V892" s="25">
        <f>IFERROR(VLOOKUP(BCP_Soles[[#This Row],[destinatario]],CHOOSE({1,2},Clientes_Proveedores[Razon Social],Clientes_Proveedores[Ruc / Dni]),2,0),"")</f>
        <v>20603974817</v>
      </c>
      <c r="W892" s="25"/>
      <c r="X892" s="25"/>
      <c r="Y892" s="25"/>
      <c r="Z892" s="75"/>
      <c r="AA892" s="3" t="str">
        <f>IF(BCP_Soles[[#This Row],[fecha]]&gt;0,TEXT(BCP_Soles[[#This Row],[fecha]],"mmmm"),0)</f>
        <v>Marzo</v>
      </c>
    </row>
    <row r="893" spans="1:27" ht="36" x14ac:dyDescent="0.3">
      <c r="A893" s="2">
        <f>IF(BCP_Soles[[#This Row],[tipo_registro]]="R",COUNTIFS($C$1:$C892,"R")+1,A892)</f>
        <v>643</v>
      </c>
      <c r="B893" s="19" t="str">
        <f t="shared" si="76"/>
        <v>B-BCP - Soles</v>
      </c>
      <c r="C893" s="3" t="s">
        <v>1352</v>
      </c>
      <c r="D893" s="14">
        <v>45729</v>
      </c>
      <c r="E893" s="5" t="s">
        <v>1338</v>
      </c>
      <c r="F893" s="5"/>
      <c r="G893" s="6" t="s">
        <v>307</v>
      </c>
      <c r="H893" s="6" t="s">
        <v>68</v>
      </c>
      <c r="I893" s="6" t="s">
        <v>1376</v>
      </c>
      <c r="J893" s="6">
        <v>154</v>
      </c>
      <c r="K893" s="7" t="s">
        <v>2254</v>
      </c>
      <c r="L893" s="8">
        <v>1883025</v>
      </c>
      <c r="M893" s="8" t="str">
        <f t="shared" si="77"/>
        <v>PEN</v>
      </c>
      <c r="N893" s="13">
        <v>1248</v>
      </c>
      <c r="O893" s="13"/>
      <c r="P893" s="3">
        <f t="shared" si="78"/>
        <v>0</v>
      </c>
      <c r="Q893" s="3">
        <f t="shared" si="79"/>
        <v>0</v>
      </c>
      <c r="R893" s="3">
        <f t="shared" si="75"/>
        <v>35153.30999999999</v>
      </c>
      <c r="S893" s="24"/>
      <c r="T893" s="24" t="s">
        <v>1334</v>
      </c>
      <c r="U893" s="53"/>
      <c r="V893" s="25">
        <f>IFERROR(VLOOKUP(BCP_Soles[[#This Row],[destinatario]],CHOOSE({1,2},Clientes_Proveedores[Razon Social],Clientes_Proveedores[Ruc / Dni]),2,0),"")</f>
        <v>20455932824</v>
      </c>
      <c r="W893" s="25"/>
      <c r="X893" s="25"/>
      <c r="Y893" s="25"/>
      <c r="Z893" s="75"/>
      <c r="AA893" s="3" t="str">
        <f>IF(BCP_Soles[[#This Row],[fecha]]&gt;0,TEXT(BCP_Soles[[#This Row],[fecha]],"mmmm"),0)</f>
        <v>Marzo</v>
      </c>
    </row>
    <row r="894" spans="1:27" ht="24" x14ac:dyDescent="0.3">
      <c r="A894" s="2">
        <f>IF(BCP_Soles[[#This Row],[tipo_registro]]="R",COUNTIFS($C$1:$C893,"R")+1,A893)</f>
        <v>643</v>
      </c>
      <c r="B894" s="19" t="str">
        <f t="shared" si="76"/>
        <v>B-BCP - Soles</v>
      </c>
      <c r="C894" s="3" t="s">
        <v>1352</v>
      </c>
      <c r="D894" s="14">
        <v>45729</v>
      </c>
      <c r="E894" s="5" t="s">
        <v>1338</v>
      </c>
      <c r="F894" s="5"/>
      <c r="G894" s="6" t="s">
        <v>139</v>
      </c>
      <c r="H894" s="6" t="s">
        <v>68</v>
      </c>
      <c r="I894" s="6" t="s">
        <v>1376</v>
      </c>
      <c r="J894" s="6">
        <v>170</v>
      </c>
      <c r="K894" s="7" t="s">
        <v>2254</v>
      </c>
      <c r="L894" s="8">
        <v>1883025</v>
      </c>
      <c r="M894" s="8" t="str">
        <f t="shared" si="77"/>
        <v>PEN</v>
      </c>
      <c r="N894" s="13">
        <v>300</v>
      </c>
      <c r="O894" s="13"/>
      <c r="P894" s="3">
        <f t="shared" si="78"/>
        <v>0</v>
      </c>
      <c r="Q894" s="3">
        <f t="shared" si="79"/>
        <v>0</v>
      </c>
      <c r="R894" s="3">
        <f t="shared" si="75"/>
        <v>35153.30999999999</v>
      </c>
      <c r="S894" s="24"/>
      <c r="T894" s="24" t="s">
        <v>1334</v>
      </c>
      <c r="U894" s="53"/>
      <c r="V894" s="25">
        <f>IFERROR(VLOOKUP(BCP_Soles[[#This Row],[destinatario]],CHOOSE({1,2},Clientes_Proveedores[Razon Social],Clientes_Proveedores[Ruc / Dni]),2,0),"")</f>
        <v>10297259305</v>
      </c>
      <c r="W894" s="25"/>
      <c r="X894" s="25"/>
      <c r="Y894" s="25"/>
      <c r="Z894" s="75"/>
      <c r="AA894" s="3" t="str">
        <f>IF(BCP_Soles[[#This Row],[fecha]]&gt;0,TEXT(BCP_Soles[[#This Row],[fecha]],"mmmm"),0)</f>
        <v>Marzo</v>
      </c>
    </row>
    <row r="895" spans="1:27" ht="36" x14ac:dyDescent="0.3">
      <c r="A895" s="2">
        <f>IF(BCP_Soles[[#This Row],[tipo_registro]]="R",COUNTIFS($C$1:$C894,"R")+1,A894)</f>
        <v>643</v>
      </c>
      <c r="B895" s="19" t="str">
        <f t="shared" si="76"/>
        <v>B-BCP - Soles</v>
      </c>
      <c r="C895" s="3" t="s">
        <v>1352</v>
      </c>
      <c r="D895" s="14">
        <v>45729</v>
      </c>
      <c r="E895" s="5" t="s">
        <v>1338</v>
      </c>
      <c r="F895" s="5"/>
      <c r="G895" s="6" t="s">
        <v>655</v>
      </c>
      <c r="H895" s="6" t="s">
        <v>68</v>
      </c>
      <c r="I895" s="6" t="s">
        <v>1376</v>
      </c>
      <c r="J895" s="6">
        <v>171</v>
      </c>
      <c r="K895" s="7" t="s">
        <v>2254</v>
      </c>
      <c r="L895" s="8">
        <v>1883025</v>
      </c>
      <c r="M895" s="8" t="str">
        <f t="shared" si="77"/>
        <v>PEN</v>
      </c>
      <c r="N895" s="13">
        <v>453</v>
      </c>
      <c r="O895" s="13"/>
      <c r="P895" s="3">
        <f t="shared" si="78"/>
        <v>0</v>
      </c>
      <c r="Q895" s="3">
        <f t="shared" si="79"/>
        <v>0</v>
      </c>
      <c r="R895" s="3">
        <f t="shared" si="75"/>
        <v>35153.30999999999</v>
      </c>
      <c r="S895" s="24"/>
      <c r="T895" s="24" t="s">
        <v>1334</v>
      </c>
      <c r="U895" s="53"/>
      <c r="V895" s="25">
        <f>IFERROR(VLOOKUP(BCP_Soles[[#This Row],[destinatario]],CHOOSE({1,2},Clientes_Proveedores[Razon Social],Clientes_Proveedores[Ruc / Dni]),2,0),"")</f>
        <v>10306634351</v>
      </c>
      <c r="W895" s="25"/>
      <c r="X895" s="25"/>
      <c r="Y895" s="25"/>
      <c r="Z895" s="75"/>
      <c r="AA895" s="3" t="str">
        <f>IF(BCP_Soles[[#This Row],[fecha]]&gt;0,TEXT(BCP_Soles[[#This Row],[fecha]],"mmmm"),0)</f>
        <v>Marzo</v>
      </c>
    </row>
    <row r="896" spans="1:27" ht="24" x14ac:dyDescent="0.3">
      <c r="A896" s="2">
        <f>IF(BCP_Soles[[#This Row],[tipo_registro]]="R",COUNTIFS($C$1:$C895,"R")+1,A895)</f>
        <v>644</v>
      </c>
      <c r="B896" s="19" t="str">
        <f t="shared" si="76"/>
        <v>B-BCP - Soles</v>
      </c>
      <c r="C896" s="3" t="s">
        <v>1330</v>
      </c>
      <c r="D896" s="14">
        <v>45729</v>
      </c>
      <c r="E896" s="5" t="s">
        <v>1505</v>
      </c>
      <c r="F896" s="5" t="s">
        <v>1303</v>
      </c>
      <c r="G896" s="6" t="s">
        <v>425</v>
      </c>
      <c r="H896" s="6" t="s">
        <v>119</v>
      </c>
      <c r="I896" s="6">
        <v>1</v>
      </c>
      <c r="J896" s="6">
        <v>4236</v>
      </c>
      <c r="K896" s="7" t="s">
        <v>1356</v>
      </c>
      <c r="L896" s="8">
        <v>3313868</v>
      </c>
      <c r="M896" s="8" t="str">
        <f t="shared" si="77"/>
        <v>PEN</v>
      </c>
      <c r="N896" s="13"/>
      <c r="O896" s="13">
        <v>4732</v>
      </c>
      <c r="P896" s="3">
        <f t="shared" si="78"/>
        <v>4732</v>
      </c>
      <c r="Q896" s="3">
        <f t="shared" si="79"/>
        <v>0</v>
      </c>
      <c r="R896" s="3">
        <f t="shared" si="75"/>
        <v>39885.30999999999</v>
      </c>
      <c r="S896" s="24" t="s">
        <v>1334</v>
      </c>
      <c r="T896" s="24" t="s">
        <v>1334</v>
      </c>
      <c r="U896" s="53"/>
      <c r="V896" s="25">
        <f>IFERROR(VLOOKUP(BCP_Soles[[#This Row],[destinatario]],CHOOSE({1,2},Clientes_Proveedores[Razon Social],Clientes_Proveedores[Ruc / Dni]),2,0),"")</f>
        <v>20558226979</v>
      </c>
      <c r="W896" s="25" t="s">
        <v>1345</v>
      </c>
      <c r="X896" s="25" t="s">
        <v>2255</v>
      </c>
      <c r="Y896" s="25"/>
      <c r="Z896" s="75"/>
      <c r="AA896" s="3" t="str">
        <f>IF(BCP_Soles[[#This Row],[fecha]]&gt;0,TEXT(BCP_Soles[[#This Row],[fecha]],"mmmm"),0)</f>
        <v>Marzo</v>
      </c>
    </row>
    <row r="897" spans="1:27" ht="24" x14ac:dyDescent="0.3">
      <c r="A897" s="2">
        <f>IF(BCP_Soles[[#This Row],[tipo_registro]]="R",COUNTIFS($C$1:$C896,"R")+1,A896)</f>
        <v>645</v>
      </c>
      <c r="B897" s="19" t="str">
        <f t="shared" si="76"/>
        <v>B-BCP - Soles</v>
      </c>
      <c r="C897" s="3" t="s">
        <v>1330</v>
      </c>
      <c r="D897" s="14">
        <v>45729</v>
      </c>
      <c r="E897" s="5" t="s">
        <v>2256</v>
      </c>
      <c r="F897" s="5" t="s">
        <v>1303</v>
      </c>
      <c r="G897" s="6" t="s">
        <v>425</v>
      </c>
      <c r="H897" s="6" t="s">
        <v>119</v>
      </c>
      <c r="I897" s="6">
        <v>1</v>
      </c>
      <c r="J897" s="6">
        <v>4240</v>
      </c>
      <c r="K897" s="7" t="s">
        <v>1356</v>
      </c>
      <c r="L897" s="8">
        <v>2252219</v>
      </c>
      <c r="M897" s="8" t="str">
        <f t="shared" si="77"/>
        <v>PEN</v>
      </c>
      <c r="N897" s="13"/>
      <c r="O897" s="13">
        <v>275</v>
      </c>
      <c r="P897" s="3">
        <f t="shared" si="78"/>
        <v>275</v>
      </c>
      <c r="Q897" s="3">
        <f t="shared" si="79"/>
        <v>0</v>
      </c>
      <c r="R897" s="3">
        <f t="shared" si="75"/>
        <v>40160.30999999999</v>
      </c>
      <c r="S897" s="24" t="s">
        <v>1334</v>
      </c>
      <c r="T897" s="24" t="s">
        <v>1334</v>
      </c>
      <c r="U897" s="53"/>
      <c r="V897" s="25">
        <f>IFERROR(VLOOKUP(BCP_Soles[[#This Row],[destinatario]],CHOOSE({1,2},Clientes_Proveedores[Razon Social],Clientes_Proveedores[Ruc / Dni]),2,0),"")</f>
        <v>20558226979</v>
      </c>
      <c r="W897" s="25" t="s">
        <v>1345</v>
      </c>
      <c r="X897" s="25" t="s">
        <v>2257</v>
      </c>
      <c r="Y897" s="25"/>
      <c r="Z897" s="75"/>
      <c r="AA897" s="3" t="str">
        <f>IF(BCP_Soles[[#This Row],[fecha]]&gt;0,TEXT(BCP_Soles[[#This Row],[fecha]],"mmmm"),0)</f>
        <v>Marzo</v>
      </c>
    </row>
    <row r="898" spans="1:27" x14ac:dyDescent="0.3">
      <c r="A898" s="2">
        <f>IF(BCP_Soles[[#This Row],[tipo_registro]]="R",COUNTIFS($C$1:$C897,"R")+1,A897)</f>
        <v>646</v>
      </c>
      <c r="B898" s="19" t="str">
        <f t="shared" si="76"/>
        <v>B-BCP - Soles</v>
      </c>
      <c r="C898" s="3" t="s">
        <v>1330</v>
      </c>
      <c r="D898" s="14">
        <v>45729</v>
      </c>
      <c r="E898" s="5" t="s">
        <v>1335</v>
      </c>
      <c r="F898" s="5" t="s">
        <v>1336</v>
      </c>
      <c r="G898" s="6"/>
      <c r="H898" s="6"/>
      <c r="I898" s="6"/>
      <c r="J898" s="6"/>
      <c r="K898" s="7" t="s">
        <v>1337</v>
      </c>
      <c r="L898" s="8"/>
      <c r="M898" s="8" t="str">
        <f t="shared" si="77"/>
        <v>PEN</v>
      </c>
      <c r="N898" s="13"/>
      <c r="O898" s="13">
        <v>0.6</v>
      </c>
      <c r="P898" s="3">
        <f t="shared" si="78"/>
        <v>0</v>
      </c>
      <c r="Q898" s="3">
        <f t="shared" si="79"/>
        <v>0.6</v>
      </c>
      <c r="R898" s="3">
        <f t="shared" si="75"/>
        <v>40159.709999999992</v>
      </c>
      <c r="S898" s="24"/>
      <c r="T898" s="24" t="s">
        <v>1334</v>
      </c>
      <c r="U898" s="53"/>
      <c r="V898" s="25" t="str">
        <f>IFERROR(VLOOKUP(BCP_Soles[[#This Row],[destinatario]],CHOOSE({1,2},Clientes_Proveedores[Razon Social],Clientes_Proveedores[Ruc / Dni]),2,0),"")</f>
        <v/>
      </c>
      <c r="W898" s="25"/>
      <c r="X898" s="25"/>
      <c r="Y898" s="25"/>
      <c r="Z898" s="75"/>
      <c r="AA898" s="3" t="str">
        <f>IF(BCP_Soles[[#This Row],[fecha]]&gt;0,TEXT(BCP_Soles[[#This Row],[fecha]],"mmmm"),0)</f>
        <v>Marzo</v>
      </c>
    </row>
    <row r="899" spans="1:27" ht="24" x14ac:dyDescent="0.3">
      <c r="A899" s="2">
        <f>IF(BCP_Soles[[#This Row],[tipo_registro]]="R",COUNTIFS($C$1:$C898,"R")+1,A898)</f>
        <v>647</v>
      </c>
      <c r="B899" s="19" t="str">
        <f t="shared" si="76"/>
        <v>B-BCP - Soles</v>
      </c>
      <c r="C899" s="3" t="s">
        <v>1330</v>
      </c>
      <c r="D899" s="14">
        <v>45729</v>
      </c>
      <c r="E899" s="5" t="s">
        <v>1338</v>
      </c>
      <c r="F899" s="5" t="s">
        <v>1336</v>
      </c>
      <c r="G899" s="6" t="s">
        <v>747</v>
      </c>
      <c r="H899" s="6" t="s">
        <v>72</v>
      </c>
      <c r="I899" s="6" t="s">
        <v>1376</v>
      </c>
      <c r="J899" s="6">
        <v>28</v>
      </c>
      <c r="K899" s="7" t="s">
        <v>2258</v>
      </c>
      <c r="L899" s="8">
        <v>1224243</v>
      </c>
      <c r="M899" s="8" t="str">
        <f t="shared" si="77"/>
        <v>PEN</v>
      </c>
      <c r="N899" s="13"/>
      <c r="O899" s="13">
        <v>200</v>
      </c>
      <c r="P899" s="3">
        <f t="shared" si="78"/>
        <v>0</v>
      </c>
      <c r="Q899" s="3">
        <f t="shared" si="79"/>
        <v>200</v>
      </c>
      <c r="R899" s="3">
        <f t="shared" si="75"/>
        <v>39959.709999999992</v>
      </c>
      <c r="S899" s="24"/>
      <c r="T899" s="24" t="s">
        <v>1334</v>
      </c>
      <c r="U899" s="53"/>
      <c r="V899" s="25">
        <f>IFERROR(VLOOKUP(BCP_Soles[[#This Row],[destinatario]],CHOOSE({1,2},Clientes_Proveedores[Razon Social],Clientes_Proveedores[Ruc / Dni]),2,0),"")</f>
        <v>10446328129</v>
      </c>
      <c r="W899" s="25" t="s">
        <v>1684</v>
      </c>
      <c r="X899" s="25" t="s">
        <v>2259</v>
      </c>
      <c r="Y899" s="25"/>
      <c r="Z899" s="75"/>
      <c r="AA899" s="3" t="str">
        <f>IF(BCP_Soles[[#This Row],[fecha]]&gt;0,TEXT(BCP_Soles[[#This Row],[fecha]],"mmmm"),0)</f>
        <v>Marzo</v>
      </c>
    </row>
    <row r="900" spans="1:27" ht="24" x14ac:dyDescent="0.3">
      <c r="A900" s="2">
        <f>IF(BCP_Soles[[#This Row],[tipo_registro]]="R",COUNTIFS($C$1:$C899,"R")+1,A899)</f>
        <v>648</v>
      </c>
      <c r="B900" s="19" t="str">
        <f t="shared" si="76"/>
        <v>B-BCP - Soles</v>
      </c>
      <c r="C900" s="3" t="s">
        <v>1330</v>
      </c>
      <c r="D900" s="14">
        <v>45729</v>
      </c>
      <c r="E900" s="5" t="s">
        <v>1338</v>
      </c>
      <c r="F900" s="5" t="s">
        <v>1336</v>
      </c>
      <c r="G900" s="6" t="s">
        <v>717</v>
      </c>
      <c r="H900" s="6" t="s">
        <v>68</v>
      </c>
      <c r="I900" s="6" t="s">
        <v>1374</v>
      </c>
      <c r="J900" s="6">
        <v>1017</v>
      </c>
      <c r="K900" s="7" t="s">
        <v>2260</v>
      </c>
      <c r="L900" s="8">
        <v>1227173</v>
      </c>
      <c r="M900" s="8" t="str">
        <f t="shared" si="77"/>
        <v>PEN</v>
      </c>
      <c r="N900" s="13"/>
      <c r="O900" s="13">
        <v>216</v>
      </c>
      <c r="P900" s="3">
        <f t="shared" si="78"/>
        <v>0</v>
      </c>
      <c r="Q900" s="3">
        <f t="shared" si="79"/>
        <v>216</v>
      </c>
      <c r="R900" s="3">
        <f t="shared" si="75"/>
        <v>39743.709999999992</v>
      </c>
      <c r="S900" s="24" t="s">
        <v>1334</v>
      </c>
      <c r="T900" s="24" t="s">
        <v>1334</v>
      </c>
      <c r="U900" s="53"/>
      <c r="V900" s="25">
        <f>IFERROR(VLOOKUP(BCP_Soles[[#This Row],[destinatario]],CHOOSE({1,2},Clientes_Proveedores[Razon Social],Clientes_Proveedores[Ruc / Dni]),2,0),"")</f>
        <v>20609947625</v>
      </c>
      <c r="W900" s="25" t="s">
        <v>2261</v>
      </c>
      <c r="X900" s="25" t="s">
        <v>2262</v>
      </c>
      <c r="Y900" s="25"/>
      <c r="Z900" s="75"/>
      <c r="AA900" s="3" t="str">
        <f>IF(BCP_Soles[[#This Row],[fecha]]&gt;0,TEXT(BCP_Soles[[#This Row],[fecha]],"mmmm"),0)</f>
        <v>Marzo</v>
      </c>
    </row>
    <row r="901" spans="1:27" ht="24" x14ac:dyDescent="0.3">
      <c r="A901" s="2">
        <f>IF(BCP_Soles[[#This Row],[tipo_registro]]="R",COUNTIFS($C$1:$C900,"R")+1,A900)</f>
        <v>649</v>
      </c>
      <c r="B901" s="19" t="str">
        <f t="shared" si="76"/>
        <v>B-BCP - Soles</v>
      </c>
      <c r="C901" s="3" t="s">
        <v>1330</v>
      </c>
      <c r="D901" s="14">
        <v>45729</v>
      </c>
      <c r="E901" s="5" t="s">
        <v>1338</v>
      </c>
      <c r="F901" s="5" t="s">
        <v>1336</v>
      </c>
      <c r="G901" s="6" t="s">
        <v>718</v>
      </c>
      <c r="H901" s="6" t="s">
        <v>68</v>
      </c>
      <c r="I901" s="6" t="s">
        <v>1376</v>
      </c>
      <c r="J901" s="6">
        <v>1</v>
      </c>
      <c r="K901" s="7" t="s">
        <v>2263</v>
      </c>
      <c r="L901" s="8">
        <v>1225234</v>
      </c>
      <c r="M901" s="8" t="str">
        <f t="shared" si="77"/>
        <v>PEN</v>
      </c>
      <c r="N901" s="13"/>
      <c r="O901" s="13">
        <v>650</v>
      </c>
      <c r="P901" s="3">
        <f t="shared" si="78"/>
        <v>0</v>
      </c>
      <c r="Q901" s="3">
        <f t="shared" si="79"/>
        <v>650</v>
      </c>
      <c r="R901" s="3">
        <f t="shared" si="75"/>
        <v>39093.709999999992</v>
      </c>
      <c r="S901" s="24" t="s">
        <v>1334</v>
      </c>
      <c r="T901" s="24" t="s">
        <v>1334</v>
      </c>
      <c r="U901" s="53"/>
      <c r="V901" s="25">
        <f>IFERROR(VLOOKUP(BCP_Soles[[#This Row],[destinatario]],CHOOSE({1,2},Clientes_Proveedores[Razon Social],Clientes_Proveedores[Ruc / Dni]),2,0),"")</f>
        <v>20613022717</v>
      </c>
      <c r="W901" s="25" t="s">
        <v>2264</v>
      </c>
      <c r="X901" s="25" t="s">
        <v>2265</v>
      </c>
      <c r="Y901" s="25"/>
      <c r="Z901" s="75"/>
      <c r="AA901" s="3" t="str">
        <f>IF(BCP_Soles[[#This Row],[fecha]]&gt;0,TEXT(BCP_Soles[[#This Row],[fecha]],"mmmm"),0)</f>
        <v>Marzo</v>
      </c>
    </row>
    <row r="902" spans="1:27" x14ac:dyDescent="0.3">
      <c r="A902" s="2">
        <f>IF(BCP_Soles[[#This Row],[tipo_registro]]="R",COUNTIFS($C$1:$C901,"R")+1,A901)</f>
        <v>650</v>
      </c>
      <c r="B902" s="19" t="str">
        <f t="shared" si="76"/>
        <v>B-BCP - Soles</v>
      </c>
      <c r="C902" s="3" t="s">
        <v>1330</v>
      </c>
      <c r="D902" s="14">
        <v>45730</v>
      </c>
      <c r="E902" s="5" t="s">
        <v>1335</v>
      </c>
      <c r="F902" s="5" t="s">
        <v>1336</v>
      </c>
      <c r="G902" s="6"/>
      <c r="H902" s="6"/>
      <c r="I902" s="6"/>
      <c r="J902" s="6"/>
      <c r="K902" s="7" t="s">
        <v>1337</v>
      </c>
      <c r="L902" s="8"/>
      <c r="M902" s="8" t="str">
        <f t="shared" si="77"/>
        <v>PEN</v>
      </c>
      <c r="N902" s="13"/>
      <c r="O902" s="13">
        <v>2</v>
      </c>
      <c r="P902" s="3">
        <f t="shared" si="78"/>
        <v>0</v>
      </c>
      <c r="Q902" s="3">
        <f t="shared" si="79"/>
        <v>2</v>
      </c>
      <c r="R902" s="3">
        <f t="shared" si="75"/>
        <v>39091.709999999992</v>
      </c>
      <c r="S902" s="24"/>
      <c r="T902" s="24" t="s">
        <v>1334</v>
      </c>
      <c r="U902" s="53"/>
      <c r="V902" s="25" t="str">
        <f>IFERROR(VLOOKUP(BCP_Soles[[#This Row],[destinatario]],CHOOSE({1,2},Clientes_Proveedores[Razon Social],Clientes_Proveedores[Ruc / Dni]),2,0),"")</f>
        <v/>
      </c>
      <c r="W902" s="25"/>
      <c r="X902" s="25"/>
      <c r="Y902" s="25"/>
      <c r="Z902" s="75"/>
      <c r="AA902" s="3" t="str">
        <f>IF(BCP_Soles[[#This Row],[fecha]]&gt;0,TEXT(BCP_Soles[[#This Row],[fecha]],"mmmm"),0)</f>
        <v>Marzo</v>
      </c>
    </row>
    <row r="903" spans="1:27" x14ac:dyDescent="0.3">
      <c r="A903" s="2">
        <f>IF(BCP_Soles[[#This Row],[tipo_registro]]="R",COUNTIFS($C$1:$C902,"R")+1,A902)</f>
        <v>651</v>
      </c>
      <c r="B903" s="19" t="str">
        <f t="shared" si="76"/>
        <v>B-BCP - Soles</v>
      </c>
      <c r="C903" s="3" t="s">
        <v>1330</v>
      </c>
      <c r="D903" s="14">
        <v>45730</v>
      </c>
      <c r="E903" s="5" t="s">
        <v>1338</v>
      </c>
      <c r="F903" s="5" t="s">
        <v>1336</v>
      </c>
      <c r="G903" s="6" t="s">
        <v>696</v>
      </c>
      <c r="H903" s="6"/>
      <c r="I903" s="6"/>
      <c r="J903" s="6"/>
      <c r="K903" s="7" t="s">
        <v>2266</v>
      </c>
      <c r="L903" s="8">
        <v>2694289</v>
      </c>
      <c r="M903" s="8" t="str">
        <f t="shared" si="77"/>
        <v>PEN</v>
      </c>
      <c r="N903" s="13"/>
      <c r="O903" s="13">
        <v>18008.79</v>
      </c>
      <c r="P903" s="3">
        <f t="shared" si="78"/>
        <v>0</v>
      </c>
      <c r="Q903" s="3">
        <f t="shared" si="79"/>
        <v>18008.79</v>
      </c>
      <c r="R903" s="3">
        <f t="shared" si="75"/>
        <v>21082.919999999991</v>
      </c>
      <c r="S903" s="24" t="s">
        <v>1334</v>
      </c>
      <c r="T903" s="24" t="s">
        <v>1334</v>
      </c>
      <c r="U903" s="53"/>
      <c r="V903" s="25">
        <f>IFERROR(VLOOKUP(BCP_Soles[[#This Row],[destinatario]],CHOOSE({1,2},Clientes_Proveedores[Razon Social],Clientes_Proveedores[Ruc / Dni]),2,0),"")</f>
        <v>0</v>
      </c>
      <c r="W903" s="25" t="s">
        <v>1373</v>
      </c>
      <c r="X903" s="25"/>
      <c r="Y903" s="25"/>
      <c r="Z903" s="75"/>
      <c r="AA903" s="3" t="str">
        <f>IF(BCP_Soles[[#This Row],[fecha]]&gt;0,TEXT(BCP_Soles[[#This Row],[fecha]],"mmmm"),0)</f>
        <v>Marzo</v>
      </c>
    </row>
    <row r="904" spans="1:27" x14ac:dyDescent="0.3">
      <c r="A904" s="2">
        <f>IF(BCP_Soles[[#This Row],[tipo_registro]]="R",COUNTIFS($C$1:$C903,"R")+1,A903)</f>
        <v>651</v>
      </c>
      <c r="B904" s="19" t="str">
        <f t="shared" si="76"/>
        <v>B-BCP - Soles</v>
      </c>
      <c r="C904" s="3" t="s">
        <v>1352</v>
      </c>
      <c r="D904" s="14">
        <v>45730</v>
      </c>
      <c r="E904" s="5" t="s">
        <v>1338</v>
      </c>
      <c r="F904" s="5"/>
      <c r="G904" s="6" t="s">
        <v>414</v>
      </c>
      <c r="H904" s="6" t="s">
        <v>68</v>
      </c>
      <c r="I904" s="6" t="s">
        <v>1374</v>
      </c>
      <c r="J904" s="6">
        <v>13605</v>
      </c>
      <c r="K904" s="7" t="s">
        <v>2266</v>
      </c>
      <c r="L904" s="8">
        <v>2694289</v>
      </c>
      <c r="M904" s="8" t="str">
        <f t="shared" si="77"/>
        <v>PEN</v>
      </c>
      <c r="N904" s="13">
        <v>16663.27</v>
      </c>
      <c r="O904" s="13"/>
      <c r="P904" s="3">
        <f t="shared" si="78"/>
        <v>0</v>
      </c>
      <c r="Q904" s="3">
        <f t="shared" si="79"/>
        <v>0</v>
      </c>
      <c r="R904" s="3">
        <f t="shared" si="75"/>
        <v>21082.919999999991</v>
      </c>
      <c r="S904" s="24"/>
      <c r="T904" s="24" t="s">
        <v>1334</v>
      </c>
      <c r="U904" s="53"/>
      <c r="V904" s="25">
        <f>IFERROR(VLOOKUP(BCP_Soles[[#This Row],[destinatario]],CHOOSE({1,2},Clientes_Proveedores[Razon Social],Clientes_Proveedores[Ruc / Dni]),2,0),"")</f>
        <v>20553255709</v>
      </c>
      <c r="W904" s="25"/>
      <c r="X904" s="25"/>
      <c r="Y904" s="25"/>
      <c r="Z904" s="75"/>
      <c r="AA904" s="3" t="str">
        <f>IF(BCP_Soles[[#This Row],[fecha]]&gt;0,TEXT(BCP_Soles[[#This Row],[fecha]],"mmmm"),0)</f>
        <v>Marzo</v>
      </c>
    </row>
    <row r="905" spans="1:27" x14ac:dyDescent="0.3">
      <c r="A905" s="2">
        <f>IF(BCP_Soles[[#This Row],[tipo_registro]]="R",COUNTIFS($C$1:$C904,"R")+1,A904)</f>
        <v>651</v>
      </c>
      <c r="B905" s="19" t="str">
        <f t="shared" si="76"/>
        <v>B-BCP - Soles</v>
      </c>
      <c r="C905" s="3" t="s">
        <v>1352</v>
      </c>
      <c r="D905" s="14">
        <v>45730</v>
      </c>
      <c r="E905" s="5" t="s">
        <v>1338</v>
      </c>
      <c r="F905" s="5"/>
      <c r="G905" s="6" t="s">
        <v>522</v>
      </c>
      <c r="H905" s="6" t="s">
        <v>68</v>
      </c>
      <c r="I905" s="6" t="s">
        <v>1376</v>
      </c>
      <c r="J905" s="6">
        <v>3741</v>
      </c>
      <c r="K905" s="7" t="s">
        <v>2266</v>
      </c>
      <c r="L905" s="8">
        <v>2694289</v>
      </c>
      <c r="M905" s="8" t="str">
        <f t="shared" si="77"/>
        <v>PEN</v>
      </c>
      <c r="N905" s="13">
        <v>250.75</v>
      </c>
      <c r="O905" s="13"/>
      <c r="P905" s="3">
        <f t="shared" si="78"/>
        <v>0</v>
      </c>
      <c r="Q905" s="3">
        <f t="shared" si="79"/>
        <v>0</v>
      </c>
      <c r="R905" s="3">
        <f t="shared" ref="R905:R968" si="80">IFERROR(IF(F905="SALDO",P905,R904+P905-Q905),0)</f>
        <v>21082.919999999991</v>
      </c>
      <c r="S905" s="24"/>
      <c r="T905" s="24" t="s">
        <v>1334</v>
      </c>
      <c r="U905" s="53"/>
      <c r="V905" s="25">
        <f>IFERROR(VLOOKUP(BCP_Soles[[#This Row],[destinatario]],CHOOSE({1,2},Clientes_Proveedores[Razon Social],Clientes_Proveedores[Ruc / Dni]),2,0),"")</f>
        <v>20603974817</v>
      </c>
      <c r="W905" s="25"/>
      <c r="X905" s="25"/>
      <c r="Y905" s="25"/>
      <c r="Z905" s="75"/>
      <c r="AA905" s="3" t="str">
        <f>IF(BCP_Soles[[#This Row],[fecha]]&gt;0,TEXT(BCP_Soles[[#This Row],[fecha]],"mmmm"),0)</f>
        <v>Marzo</v>
      </c>
    </row>
    <row r="906" spans="1:27" x14ac:dyDescent="0.3">
      <c r="A906" s="2">
        <f>IF(BCP_Soles[[#This Row],[tipo_registro]]="R",COUNTIFS($C$1:$C905,"R")+1,A905)</f>
        <v>651</v>
      </c>
      <c r="B906" s="19" t="str">
        <f t="shared" si="76"/>
        <v>B-BCP - Soles</v>
      </c>
      <c r="C906" s="3" t="s">
        <v>1352</v>
      </c>
      <c r="D906" s="14">
        <v>45730</v>
      </c>
      <c r="E906" s="5" t="s">
        <v>1338</v>
      </c>
      <c r="F906" s="5"/>
      <c r="G906" s="6" t="s">
        <v>522</v>
      </c>
      <c r="H906" s="6" t="s">
        <v>68</v>
      </c>
      <c r="I906" s="6" t="s">
        <v>1376</v>
      </c>
      <c r="J906" s="6">
        <v>3738</v>
      </c>
      <c r="K906" s="7" t="s">
        <v>2266</v>
      </c>
      <c r="L906" s="8">
        <v>2694289</v>
      </c>
      <c r="M906" s="8" t="str">
        <f t="shared" si="77"/>
        <v>PEN</v>
      </c>
      <c r="N906" s="13">
        <v>351.05</v>
      </c>
      <c r="O906" s="13"/>
      <c r="P906" s="3">
        <f t="shared" si="78"/>
        <v>0</v>
      </c>
      <c r="Q906" s="3">
        <f t="shared" si="79"/>
        <v>0</v>
      </c>
      <c r="R906" s="3">
        <f t="shared" si="80"/>
        <v>21082.919999999991</v>
      </c>
      <c r="S906" s="24"/>
      <c r="T906" s="24" t="s">
        <v>1334</v>
      </c>
      <c r="U906" s="53"/>
      <c r="V906" s="25">
        <f>IFERROR(VLOOKUP(BCP_Soles[[#This Row],[destinatario]],CHOOSE({1,2},Clientes_Proveedores[Razon Social],Clientes_Proveedores[Ruc / Dni]),2,0),"")</f>
        <v>20603974817</v>
      </c>
      <c r="W906" s="25"/>
      <c r="X906" s="25"/>
      <c r="Y906" s="25"/>
      <c r="Z906" s="75"/>
      <c r="AA906" s="3" t="str">
        <f>IF(BCP_Soles[[#This Row],[fecha]]&gt;0,TEXT(BCP_Soles[[#This Row],[fecha]],"mmmm"),0)</f>
        <v>Marzo</v>
      </c>
    </row>
    <row r="907" spans="1:27" x14ac:dyDescent="0.3">
      <c r="A907" s="2">
        <f>IF(BCP_Soles[[#This Row],[tipo_registro]]="R",COUNTIFS($C$1:$C906,"R")+1,A906)</f>
        <v>651</v>
      </c>
      <c r="B907" s="19" t="str">
        <f t="shared" si="76"/>
        <v>B-BCP - Soles</v>
      </c>
      <c r="C907" s="3" t="s">
        <v>1352</v>
      </c>
      <c r="D907" s="14">
        <v>45730</v>
      </c>
      <c r="E907" s="5" t="s">
        <v>1338</v>
      </c>
      <c r="F907" s="5"/>
      <c r="G907" s="6" t="s">
        <v>522</v>
      </c>
      <c r="H907" s="6" t="s">
        <v>68</v>
      </c>
      <c r="I907" s="6" t="s">
        <v>1376</v>
      </c>
      <c r="J907" s="6">
        <v>3736</v>
      </c>
      <c r="K907" s="7" t="s">
        <v>2266</v>
      </c>
      <c r="L907" s="8">
        <v>2694289</v>
      </c>
      <c r="M907" s="8" t="str">
        <f t="shared" si="77"/>
        <v>PEN</v>
      </c>
      <c r="N907" s="13">
        <v>653.72</v>
      </c>
      <c r="O907" s="13"/>
      <c r="P907" s="3">
        <f t="shared" si="78"/>
        <v>0</v>
      </c>
      <c r="Q907" s="3">
        <f t="shared" si="79"/>
        <v>0</v>
      </c>
      <c r="R907" s="3">
        <f t="shared" si="80"/>
        <v>21082.919999999991</v>
      </c>
      <c r="S907" s="24"/>
      <c r="T907" s="24" t="s">
        <v>1334</v>
      </c>
      <c r="U907" s="53"/>
      <c r="V907" s="25">
        <f>IFERROR(VLOOKUP(BCP_Soles[[#This Row],[destinatario]],CHOOSE({1,2},Clientes_Proveedores[Razon Social],Clientes_Proveedores[Ruc / Dni]),2,0),"")</f>
        <v>20603974817</v>
      </c>
      <c r="W907" s="25"/>
      <c r="X907" s="25"/>
      <c r="Y907" s="25"/>
      <c r="Z907" s="75"/>
      <c r="AA907" s="3" t="str">
        <f>IF(BCP_Soles[[#This Row],[fecha]]&gt;0,TEXT(BCP_Soles[[#This Row],[fecha]],"mmmm"),0)</f>
        <v>Marzo</v>
      </c>
    </row>
    <row r="908" spans="1:27" ht="24" x14ac:dyDescent="0.3">
      <c r="A908" s="2">
        <f>IF(BCP_Soles[[#This Row],[tipo_registro]]="R",COUNTIFS($C$1:$C907,"R")+1,A907)</f>
        <v>651</v>
      </c>
      <c r="B908" s="19" t="str">
        <f t="shared" si="76"/>
        <v>B-BCP - Soles</v>
      </c>
      <c r="C908" s="3" t="s">
        <v>1352</v>
      </c>
      <c r="D908" s="14">
        <v>45730</v>
      </c>
      <c r="E908" s="5" t="s">
        <v>1338</v>
      </c>
      <c r="F908" s="5"/>
      <c r="G908" s="6" t="s">
        <v>187</v>
      </c>
      <c r="H908" s="6" t="s">
        <v>68</v>
      </c>
      <c r="I908" s="6" t="s">
        <v>1376</v>
      </c>
      <c r="J908" s="6">
        <v>299</v>
      </c>
      <c r="K908" s="7" t="s">
        <v>2266</v>
      </c>
      <c r="L908" s="8">
        <v>2694289</v>
      </c>
      <c r="M908" s="8" t="str">
        <f t="shared" si="77"/>
        <v>PEN</v>
      </c>
      <c r="N908" s="13">
        <v>90</v>
      </c>
      <c r="O908" s="13"/>
      <c r="P908" s="3">
        <f t="shared" si="78"/>
        <v>0</v>
      </c>
      <c r="Q908" s="3">
        <f t="shared" si="79"/>
        <v>0</v>
      </c>
      <c r="R908" s="3">
        <f t="shared" si="80"/>
        <v>21082.919999999991</v>
      </c>
      <c r="S908" s="24"/>
      <c r="T908" s="24" t="s">
        <v>1334</v>
      </c>
      <c r="U908" s="53"/>
      <c r="V908" s="25">
        <f>IFERROR(VLOOKUP(BCP_Soles[[#This Row],[destinatario]],CHOOSE({1,2},Clientes_Proveedores[Razon Social],Clientes_Proveedores[Ruc / Dni]),2,0),"")</f>
        <v>10706063426</v>
      </c>
      <c r="W908" s="25"/>
      <c r="X908" s="25"/>
      <c r="Y908" s="25"/>
      <c r="Z908" s="75"/>
      <c r="AA908" s="3" t="str">
        <f>IF(BCP_Soles[[#This Row],[fecha]]&gt;0,TEXT(BCP_Soles[[#This Row],[fecha]],"mmmm"),0)</f>
        <v>Marzo</v>
      </c>
    </row>
    <row r="909" spans="1:27" ht="24" x14ac:dyDescent="0.3">
      <c r="A909" s="2">
        <f>IF(BCP_Soles[[#This Row],[tipo_registro]]="R",COUNTIFS($C$1:$C908,"R")+1,A908)</f>
        <v>652</v>
      </c>
      <c r="B909" s="19" t="str">
        <f t="shared" si="76"/>
        <v>B-BCP - Soles</v>
      </c>
      <c r="C909" s="3" t="s">
        <v>1330</v>
      </c>
      <c r="D909" s="14">
        <v>45730</v>
      </c>
      <c r="E909" s="5" t="s">
        <v>1338</v>
      </c>
      <c r="F909" s="5" t="s">
        <v>1336</v>
      </c>
      <c r="G909" s="6" t="s">
        <v>809</v>
      </c>
      <c r="H909" s="6"/>
      <c r="I909" s="6"/>
      <c r="J909" s="6"/>
      <c r="K909" s="7" t="s">
        <v>2267</v>
      </c>
      <c r="L909" s="8">
        <v>1284909</v>
      </c>
      <c r="M909" s="8" t="str">
        <f t="shared" si="77"/>
        <v>PEN</v>
      </c>
      <c r="N909" s="13"/>
      <c r="O909" s="13">
        <v>3000</v>
      </c>
      <c r="P909" s="3">
        <f t="shared" si="78"/>
        <v>0</v>
      </c>
      <c r="Q909" s="3">
        <f t="shared" si="79"/>
        <v>3000</v>
      </c>
      <c r="R909" s="3">
        <f t="shared" si="80"/>
        <v>18082.919999999991</v>
      </c>
      <c r="S909" s="24"/>
      <c r="T909" s="24"/>
      <c r="U909" s="53"/>
      <c r="V909" s="25">
        <f>IFERROR(VLOOKUP(BCP_Soles[[#This Row],[destinatario]],CHOOSE({1,2},Clientes_Proveedores[Razon Social],Clientes_Proveedores[Ruc / Dni]),2,0),"")</f>
        <v>45286301</v>
      </c>
      <c r="W909" s="25" t="s">
        <v>809</v>
      </c>
      <c r="X909" s="25"/>
      <c r="Y909" s="25"/>
      <c r="Z909" s="75"/>
      <c r="AA909" s="3" t="str">
        <f>IF(BCP_Soles[[#This Row],[fecha]]&gt;0,TEXT(BCP_Soles[[#This Row],[fecha]],"mmmm"),0)</f>
        <v>Marzo</v>
      </c>
    </row>
    <row r="910" spans="1:27" ht="24" x14ac:dyDescent="0.3">
      <c r="A910" s="2">
        <f>IF(BCP_Soles[[#This Row],[tipo_registro]]="R",COUNTIFS($C$1:$C909,"R")+1,A909)</f>
        <v>653</v>
      </c>
      <c r="B910" s="19" t="str">
        <f t="shared" si="76"/>
        <v>B-BCP - Soles</v>
      </c>
      <c r="C910" s="3" t="s">
        <v>1330</v>
      </c>
      <c r="D910" s="14">
        <v>45730</v>
      </c>
      <c r="E910" s="5" t="s">
        <v>1421</v>
      </c>
      <c r="F910" s="5" t="s">
        <v>1336</v>
      </c>
      <c r="G910" s="6" t="s">
        <v>809</v>
      </c>
      <c r="H910" s="6" t="s">
        <v>143</v>
      </c>
      <c r="I910" s="6">
        <v>1</v>
      </c>
      <c r="J910" s="6">
        <v>782025</v>
      </c>
      <c r="K910" s="7" t="s">
        <v>1356</v>
      </c>
      <c r="L910" s="8">
        <v>3507366</v>
      </c>
      <c r="M910" s="8" t="str">
        <f t="shared" si="77"/>
        <v>PEN</v>
      </c>
      <c r="N910" s="13"/>
      <c r="O910" s="13">
        <v>2000</v>
      </c>
      <c r="P910" s="3">
        <f t="shared" si="78"/>
        <v>0</v>
      </c>
      <c r="Q910" s="3">
        <f t="shared" si="79"/>
        <v>2000</v>
      </c>
      <c r="R910" s="3">
        <f t="shared" si="80"/>
        <v>16082.919999999991</v>
      </c>
      <c r="S910" s="24"/>
      <c r="T910" s="24" t="s">
        <v>1334</v>
      </c>
      <c r="U910" s="53"/>
      <c r="V910" s="25">
        <f>IFERROR(VLOOKUP(BCP_Soles[[#This Row],[destinatario]],CHOOSE({1,2},Clientes_Proveedores[Razon Social],Clientes_Proveedores[Ruc / Dni]),2,0),"")</f>
        <v>45286301</v>
      </c>
      <c r="W910" s="25"/>
      <c r="X910" s="25" t="s">
        <v>1430</v>
      </c>
      <c r="Y910" s="25"/>
      <c r="Z910" s="75"/>
      <c r="AA910" s="3" t="str">
        <f>IF(BCP_Soles[[#This Row],[fecha]]&gt;0,TEXT(BCP_Soles[[#This Row],[fecha]],"mmmm"),0)</f>
        <v>Marzo</v>
      </c>
    </row>
    <row r="911" spans="1:27" ht="24" x14ac:dyDescent="0.3">
      <c r="A911" s="2">
        <f>IF(BCP_Soles[[#This Row],[tipo_registro]]="R",COUNTIFS($C$1:$C910,"R")+1,A910)</f>
        <v>654</v>
      </c>
      <c r="B911" s="19" t="str">
        <f t="shared" ref="B911:B976" si="81">"B-BCP - Soles"</f>
        <v>B-BCP - Soles</v>
      </c>
      <c r="C911" s="3" t="s">
        <v>1330</v>
      </c>
      <c r="D911" s="14">
        <v>45730</v>
      </c>
      <c r="E911" s="5" t="s">
        <v>1338</v>
      </c>
      <c r="F911" s="5" t="s">
        <v>1336</v>
      </c>
      <c r="G911" s="6" t="s">
        <v>909</v>
      </c>
      <c r="H911" s="6"/>
      <c r="I911" s="6"/>
      <c r="J911" s="6"/>
      <c r="K911" s="7" t="s">
        <v>2268</v>
      </c>
      <c r="L911" s="8">
        <v>1285401</v>
      </c>
      <c r="M911" s="8" t="str">
        <f t="shared" ref="M911:M976" si="82">"PEN"</f>
        <v>PEN</v>
      </c>
      <c r="N911" s="13"/>
      <c r="O911" s="13">
        <v>1500</v>
      </c>
      <c r="P911" s="3">
        <f t="shared" ref="P911:P976" si="83">+IF(OR($F911="SALDO",$F911="INGRESO"),$O911,0)</f>
        <v>0</v>
      </c>
      <c r="Q911" s="3">
        <f t="shared" ref="Q911:Q976" si="84">+IF($F911="EGRESO",$O911,0)</f>
        <v>1500</v>
      </c>
      <c r="R911" s="3">
        <f t="shared" si="80"/>
        <v>14582.919999999991</v>
      </c>
      <c r="S911" s="24"/>
      <c r="T911" s="24" t="s">
        <v>1334</v>
      </c>
      <c r="U911" s="53"/>
      <c r="V911" s="25">
        <f>IFERROR(VLOOKUP(BCP_Soles[[#This Row],[destinatario]],CHOOSE({1,2},Clientes_Proveedores[Razon Social],Clientes_Proveedores[Ruc / Dni]),2,0),"")</f>
        <v>44314304</v>
      </c>
      <c r="W911" s="25" t="s">
        <v>909</v>
      </c>
      <c r="X911" s="25"/>
      <c r="Y911" s="25"/>
      <c r="Z911" s="75"/>
      <c r="AA911" s="3" t="str">
        <f>IF(BCP_Soles[[#This Row],[fecha]]&gt;0,TEXT(BCP_Soles[[#This Row],[fecha]],"mmmm"),0)</f>
        <v>Marzo</v>
      </c>
    </row>
    <row r="912" spans="1:27" ht="24" x14ac:dyDescent="0.3">
      <c r="A912" s="2">
        <f>IF(BCP_Soles[[#This Row],[tipo_registro]]="R",COUNTIFS($C$1:$C911,"R")+1,A911)</f>
        <v>655</v>
      </c>
      <c r="B912" s="19" t="str">
        <f t="shared" si="81"/>
        <v>B-BCP - Soles</v>
      </c>
      <c r="C912" s="3" t="s">
        <v>1330</v>
      </c>
      <c r="D912" s="14">
        <v>45730</v>
      </c>
      <c r="E912" s="5" t="s">
        <v>2269</v>
      </c>
      <c r="F912" s="5" t="s">
        <v>1336</v>
      </c>
      <c r="G912" s="6" t="s">
        <v>719</v>
      </c>
      <c r="H912" s="6" t="s">
        <v>68</v>
      </c>
      <c r="I912" s="6" t="s">
        <v>2270</v>
      </c>
      <c r="J912" s="6">
        <v>116797</v>
      </c>
      <c r="K912" s="7" t="s">
        <v>2271</v>
      </c>
      <c r="L912" s="8">
        <v>1032909</v>
      </c>
      <c r="M912" s="8" t="str">
        <f t="shared" si="82"/>
        <v>PEN</v>
      </c>
      <c r="N912" s="13"/>
      <c r="O912" s="13">
        <v>1129.8399999999999</v>
      </c>
      <c r="P912" s="3">
        <f t="shared" si="83"/>
        <v>0</v>
      </c>
      <c r="Q912" s="3">
        <f t="shared" si="84"/>
        <v>1129.8399999999999</v>
      </c>
      <c r="R912" s="3">
        <f t="shared" si="80"/>
        <v>13453.079999999991</v>
      </c>
      <c r="S912" s="24" t="s">
        <v>1334</v>
      </c>
      <c r="T912" s="24" t="s">
        <v>1334</v>
      </c>
      <c r="U912" s="53"/>
      <c r="V912" s="25">
        <f>IFERROR(VLOOKUP(BCP_Soles[[#This Row],[destinatario]],CHOOSE({1,2},Clientes_Proveedores[Razon Social],Clientes_Proveedores[Ruc / Dni]),2,0),"")</f>
        <v>20100241022</v>
      </c>
      <c r="W912" s="25" t="s">
        <v>2272</v>
      </c>
      <c r="X912" s="25" t="s">
        <v>2273</v>
      </c>
      <c r="Y912" s="25"/>
      <c r="Z912" s="75"/>
      <c r="AA912" s="3" t="str">
        <f>IF(BCP_Soles[[#This Row],[fecha]]&gt;0,TEXT(BCP_Soles[[#This Row],[fecha]],"mmmm"),0)</f>
        <v>Marzo</v>
      </c>
    </row>
    <row r="913" spans="1:27" ht="24" x14ac:dyDescent="0.3">
      <c r="A913" s="2">
        <f>IF(BCP_Soles[[#This Row],[tipo_registro]]="R",COUNTIFS($C$1:$C912,"R")+1,A912)</f>
        <v>656</v>
      </c>
      <c r="B913" s="19" t="str">
        <f t="shared" si="81"/>
        <v>B-BCP - Soles</v>
      </c>
      <c r="C913" s="3" t="s">
        <v>1330</v>
      </c>
      <c r="D913" s="14">
        <v>45730</v>
      </c>
      <c r="E913" s="5" t="s">
        <v>1338</v>
      </c>
      <c r="F913" s="5" t="s">
        <v>1336</v>
      </c>
      <c r="G913" s="6" t="s">
        <v>1014</v>
      </c>
      <c r="H913" s="6"/>
      <c r="I913" s="6"/>
      <c r="J913" s="6"/>
      <c r="K913" s="7" t="s">
        <v>2274</v>
      </c>
      <c r="L913" s="8">
        <v>1125978</v>
      </c>
      <c r="M913" s="8" t="str">
        <f t="shared" si="82"/>
        <v>PEN</v>
      </c>
      <c r="N913" s="13"/>
      <c r="O913" s="13">
        <v>700</v>
      </c>
      <c r="P913" s="3">
        <f t="shared" si="83"/>
        <v>0</v>
      </c>
      <c r="Q913" s="3">
        <f t="shared" si="84"/>
        <v>700</v>
      </c>
      <c r="R913" s="3">
        <f t="shared" si="80"/>
        <v>12753.079999999991</v>
      </c>
      <c r="S913" s="24"/>
      <c r="T913" s="24" t="s">
        <v>1334</v>
      </c>
      <c r="U913" s="53"/>
      <c r="V913" s="25">
        <f>IFERROR(VLOOKUP(BCP_Soles[[#This Row],[destinatario]],CHOOSE({1,2},Clientes_Proveedores[Razon Social],Clientes_Proveedores[Ruc / Dni]),2,0),"")</f>
        <v>75560789</v>
      </c>
      <c r="W913" s="25" t="s">
        <v>1014</v>
      </c>
      <c r="X913" s="25"/>
      <c r="Y913" s="25"/>
      <c r="Z913" s="75"/>
      <c r="AA913" s="3" t="str">
        <f>IF(BCP_Soles[[#This Row],[fecha]]&gt;0,TEXT(BCP_Soles[[#This Row],[fecha]],"mmmm"),0)</f>
        <v>Marzo</v>
      </c>
    </row>
    <row r="914" spans="1:27" ht="24" x14ac:dyDescent="0.3">
      <c r="A914" s="2">
        <f>IF(BCP_Soles[[#This Row],[tipo_registro]]="R",COUNTIFS($C$1:$C913,"R")+1,A913)</f>
        <v>657</v>
      </c>
      <c r="B914" s="19" t="str">
        <f t="shared" si="81"/>
        <v>B-BCP - Soles</v>
      </c>
      <c r="C914" s="3" t="s">
        <v>1330</v>
      </c>
      <c r="D914" s="14">
        <v>45730</v>
      </c>
      <c r="E914" s="5" t="s">
        <v>1338</v>
      </c>
      <c r="F914" s="5" t="s">
        <v>1336</v>
      </c>
      <c r="G914" s="6" t="s">
        <v>884</v>
      </c>
      <c r="H914" s="6" t="s">
        <v>143</v>
      </c>
      <c r="I914" s="6">
        <v>1</v>
      </c>
      <c r="J914" s="6">
        <v>202025</v>
      </c>
      <c r="K914" s="7" t="s">
        <v>2275</v>
      </c>
      <c r="L914" s="8">
        <v>1284417</v>
      </c>
      <c r="M914" s="8" t="str">
        <f t="shared" si="82"/>
        <v>PEN</v>
      </c>
      <c r="N914" s="13"/>
      <c r="O914" s="13">
        <v>631.5</v>
      </c>
      <c r="P914" s="3">
        <f t="shared" si="83"/>
        <v>0</v>
      </c>
      <c r="Q914" s="3">
        <f t="shared" si="84"/>
        <v>631.5</v>
      </c>
      <c r="R914" s="3">
        <f t="shared" si="80"/>
        <v>12121.579999999991</v>
      </c>
      <c r="S914" s="24" t="s">
        <v>1334</v>
      </c>
      <c r="T914" s="24" t="s">
        <v>1334</v>
      </c>
      <c r="U914" s="53"/>
      <c r="V914" s="25">
        <f>IFERROR(VLOOKUP(BCP_Soles[[#This Row],[destinatario]],CHOOSE({1,2},Clientes_Proveedores[Razon Social],Clientes_Proveedores[Ruc / Dni]),2,0),"")</f>
        <v>71979355</v>
      </c>
      <c r="W914" s="25"/>
      <c r="X914" s="25"/>
      <c r="Y914" s="25"/>
      <c r="Z914" s="75"/>
      <c r="AA914" s="3" t="str">
        <f>IF(BCP_Soles[[#This Row],[fecha]]&gt;0,TEXT(BCP_Soles[[#This Row],[fecha]],"mmmm"),0)</f>
        <v>Marzo</v>
      </c>
    </row>
    <row r="915" spans="1:27" ht="24" x14ac:dyDescent="0.3">
      <c r="A915" s="2">
        <f>IF(BCP_Soles[[#This Row],[tipo_registro]]="R",COUNTIFS($C$1:$C914,"R")+1,A914)</f>
        <v>658</v>
      </c>
      <c r="B915" s="19" t="str">
        <f t="shared" si="81"/>
        <v>B-BCP - Soles</v>
      </c>
      <c r="C915" s="3" t="s">
        <v>1330</v>
      </c>
      <c r="D915" s="14">
        <v>45730</v>
      </c>
      <c r="E915" s="5" t="s">
        <v>1338</v>
      </c>
      <c r="F915" s="5" t="s">
        <v>1336</v>
      </c>
      <c r="G915" s="6" t="s">
        <v>918</v>
      </c>
      <c r="H915" s="6"/>
      <c r="I915" s="6"/>
      <c r="J915" s="6"/>
      <c r="K915" s="7" t="s">
        <v>2276</v>
      </c>
      <c r="L915" s="8">
        <v>1285402</v>
      </c>
      <c r="M915" s="8" t="str">
        <f t="shared" si="82"/>
        <v>PEN</v>
      </c>
      <c r="N915" s="13"/>
      <c r="O915" s="13">
        <v>630</v>
      </c>
      <c r="P915" s="3">
        <f t="shared" si="83"/>
        <v>0</v>
      </c>
      <c r="Q915" s="3">
        <f t="shared" si="84"/>
        <v>630</v>
      </c>
      <c r="R915" s="3">
        <f t="shared" si="80"/>
        <v>11491.579999999991</v>
      </c>
      <c r="S915" s="24"/>
      <c r="T915" s="24" t="s">
        <v>1334</v>
      </c>
      <c r="U915" s="53"/>
      <c r="V915" s="25">
        <f>IFERROR(VLOOKUP(BCP_Soles[[#This Row],[destinatario]],CHOOSE({1,2},Clientes_Proveedores[Razon Social],Clientes_Proveedores[Ruc / Dni]),2,0),"")</f>
        <v>48536654</v>
      </c>
      <c r="W915" s="25" t="s">
        <v>918</v>
      </c>
      <c r="X915" s="25"/>
      <c r="Y915" s="25"/>
      <c r="Z915" s="75"/>
      <c r="AA915" s="3" t="str">
        <f>IF(BCP_Soles[[#This Row],[fecha]]&gt;0,TEXT(BCP_Soles[[#This Row],[fecha]],"mmmm"),0)</f>
        <v>Marzo</v>
      </c>
    </row>
    <row r="916" spans="1:27" ht="24" x14ac:dyDescent="0.3">
      <c r="A916" s="2">
        <f>IF(BCP_Soles[[#This Row],[tipo_registro]]="R",COUNTIFS($C$1:$C915,"R")+1,A915)</f>
        <v>659</v>
      </c>
      <c r="B916" s="19" t="str">
        <f t="shared" si="81"/>
        <v>B-BCP - Soles</v>
      </c>
      <c r="C916" s="3" t="s">
        <v>1330</v>
      </c>
      <c r="D916" s="14">
        <v>45730</v>
      </c>
      <c r="E916" s="5" t="s">
        <v>1338</v>
      </c>
      <c r="F916" s="5" t="s">
        <v>1336</v>
      </c>
      <c r="G916" s="6" t="s">
        <v>876</v>
      </c>
      <c r="H916" s="6"/>
      <c r="I916" s="6"/>
      <c r="J916" s="6"/>
      <c r="K916" s="7" t="s">
        <v>2277</v>
      </c>
      <c r="L916" s="8">
        <v>1286381</v>
      </c>
      <c r="M916" s="8" t="str">
        <f t="shared" si="82"/>
        <v>PEN</v>
      </c>
      <c r="N916" s="13"/>
      <c r="O916" s="13">
        <v>600</v>
      </c>
      <c r="P916" s="3">
        <f t="shared" si="83"/>
        <v>0</v>
      </c>
      <c r="Q916" s="3">
        <f t="shared" si="84"/>
        <v>600</v>
      </c>
      <c r="R916" s="3">
        <f t="shared" si="80"/>
        <v>10891.579999999991</v>
      </c>
      <c r="S916" s="24"/>
      <c r="T916" s="24" t="s">
        <v>1334</v>
      </c>
      <c r="U916" s="53"/>
      <c r="V916" s="25">
        <f>IFERROR(VLOOKUP(BCP_Soles[[#This Row],[destinatario]],CHOOSE({1,2},Clientes_Proveedores[Razon Social],Clientes_Proveedores[Ruc / Dni]),2,0),"")</f>
        <v>1829028</v>
      </c>
      <c r="W916" s="25" t="s">
        <v>1594</v>
      </c>
      <c r="X916" s="25"/>
      <c r="Y916" s="25"/>
      <c r="Z916" s="75"/>
      <c r="AA916" s="3" t="str">
        <f>IF(BCP_Soles[[#This Row],[fecha]]&gt;0,TEXT(BCP_Soles[[#This Row],[fecha]],"mmmm"),0)</f>
        <v>Marzo</v>
      </c>
    </row>
    <row r="917" spans="1:27" ht="24" x14ac:dyDescent="0.3">
      <c r="A917" s="2">
        <f>IF(BCP_Soles[[#This Row],[tipo_registro]]="R",COUNTIFS($C$1:$C916,"R")+1,A916)</f>
        <v>660</v>
      </c>
      <c r="B917" s="19" t="str">
        <f t="shared" si="81"/>
        <v>B-BCP - Soles</v>
      </c>
      <c r="C917" s="3" t="s">
        <v>1330</v>
      </c>
      <c r="D917" s="14">
        <v>45730</v>
      </c>
      <c r="E917" s="5" t="s">
        <v>1338</v>
      </c>
      <c r="F917" s="5" t="s">
        <v>1336</v>
      </c>
      <c r="G917" s="6" t="s">
        <v>873</v>
      </c>
      <c r="H917" s="6"/>
      <c r="I917" s="6"/>
      <c r="J917" s="6"/>
      <c r="K917" s="7" t="s">
        <v>2278</v>
      </c>
      <c r="L917" s="8">
        <v>1287805</v>
      </c>
      <c r="M917" s="8" t="str">
        <f t="shared" si="82"/>
        <v>PEN</v>
      </c>
      <c r="N917" s="13"/>
      <c r="O917" s="13">
        <v>400</v>
      </c>
      <c r="P917" s="3">
        <f t="shared" si="83"/>
        <v>0</v>
      </c>
      <c r="Q917" s="3">
        <f t="shared" si="84"/>
        <v>400</v>
      </c>
      <c r="R917" s="3">
        <f t="shared" si="80"/>
        <v>10491.579999999991</v>
      </c>
      <c r="S917" s="24"/>
      <c r="T917" s="24" t="s">
        <v>1334</v>
      </c>
      <c r="U917" s="53"/>
      <c r="V917" s="25">
        <f>IFERROR(VLOOKUP(BCP_Soles[[#This Row],[destinatario]],CHOOSE({1,2},Clientes_Proveedores[Razon Social],Clientes_Proveedores[Ruc / Dni]),2,0),"")</f>
        <v>80355193</v>
      </c>
      <c r="W917" s="25" t="s">
        <v>1598</v>
      </c>
      <c r="X917" s="25"/>
      <c r="Y917" s="25"/>
      <c r="Z917" s="75"/>
      <c r="AA917" s="3" t="str">
        <f>IF(BCP_Soles[[#This Row],[fecha]]&gt;0,TEXT(BCP_Soles[[#This Row],[fecha]],"mmmm"),0)</f>
        <v>Marzo</v>
      </c>
    </row>
    <row r="918" spans="1:27" ht="24" x14ac:dyDescent="0.3">
      <c r="A918" s="2">
        <f>IF(BCP_Soles[[#This Row],[tipo_registro]]="R",COUNTIFS($C$1:$C917,"R")+1,A917)</f>
        <v>661</v>
      </c>
      <c r="B918" s="19" t="str">
        <f t="shared" si="81"/>
        <v>B-BCP - Soles</v>
      </c>
      <c r="C918" s="3" t="s">
        <v>1330</v>
      </c>
      <c r="D918" s="14">
        <v>45730</v>
      </c>
      <c r="E918" s="5" t="s">
        <v>1338</v>
      </c>
      <c r="F918" s="5" t="s">
        <v>1336</v>
      </c>
      <c r="G918" s="6" t="s">
        <v>338</v>
      </c>
      <c r="H918" s="6" t="s">
        <v>68</v>
      </c>
      <c r="I918" s="6" t="s">
        <v>1376</v>
      </c>
      <c r="J918" s="6">
        <v>460</v>
      </c>
      <c r="K918" s="7" t="s">
        <v>2279</v>
      </c>
      <c r="L918" s="8">
        <v>1285400</v>
      </c>
      <c r="M918" s="8" t="str">
        <f t="shared" si="82"/>
        <v>PEN</v>
      </c>
      <c r="N918" s="13"/>
      <c r="O918" s="13">
        <v>354</v>
      </c>
      <c r="P918" s="3">
        <f t="shared" si="83"/>
        <v>0</v>
      </c>
      <c r="Q918" s="3">
        <f t="shared" si="84"/>
        <v>354</v>
      </c>
      <c r="R918" s="3">
        <f t="shared" si="80"/>
        <v>10137.579999999991</v>
      </c>
      <c r="S918" s="24" t="s">
        <v>1334</v>
      </c>
      <c r="T918" s="24" t="s">
        <v>1334</v>
      </c>
      <c r="U918" s="53"/>
      <c r="V918" s="25">
        <f>IFERROR(VLOOKUP(BCP_Soles[[#This Row],[destinatario]],CHOOSE({1,2},Clientes_Proveedores[Razon Social],Clientes_Proveedores[Ruc / Dni]),2,0),"")</f>
        <v>20498380931</v>
      </c>
      <c r="W918" s="25" t="s">
        <v>338</v>
      </c>
      <c r="X918" s="25" t="s">
        <v>2280</v>
      </c>
      <c r="Y918" s="25"/>
      <c r="Z918" s="75"/>
      <c r="AA918" s="3" t="str">
        <f>IF(BCP_Soles[[#This Row],[fecha]]&gt;0,TEXT(BCP_Soles[[#This Row],[fecha]],"mmmm"),0)</f>
        <v>Marzo</v>
      </c>
    </row>
    <row r="919" spans="1:27" ht="24" x14ac:dyDescent="0.3">
      <c r="A919" s="2">
        <f>IF(BCP_Soles[[#This Row],[tipo_registro]]="R",COUNTIFS($C$1:$C918,"R")+1,A918)</f>
        <v>662</v>
      </c>
      <c r="B919" s="19" t="str">
        <f t="shared" si="81"/>
        <v>B-BCP - Soles</v>
      </c>
      <c r="C919" s="3" t="s">
        <v>1330</v>
      </c>
      <c r="D919" s="14">
        <v>45730</v>
      </c>
      <c r="E919" s="5" t="s">
        <v>1338</v>
      </c>
      <c r="F919" s="5" t="s">
        <v>1336</v>
      </c>
      <c r="G919" s="6" t="s">
        <v>249</v>
      </c>
      <c r="H919" s="6"/>
      <c r="I919" s="6"/>
      <c r="J919" s="6"/>
      <c r="K919" s="7" t="s">
        <v>2281</v>
      </c>
      <c r="L919" s="8">
        <v>1286862</v>
      </c>
      <c r="M919" s="8" t="str">
        <f t="shared" si="82"/>
        <v>PEN</v>
      </c>
      <c r="N919" s="13"/>
      <c r="O919" s="13">
        <v>304.51</v>
      </c>
      <c r="P919" s="3">
        <f t="shared" si="83"/>
        <v>0</v>
      </c>
      <c r="Q919" s="3">
        <f t="shared" si="84"/>
        <v>304.51</v>
      </c>
      <c r="R919" s="3">
        <f t="shared" si="80"/>
        <v>9833.0699999999906</v>
      </c>
      <c r="S919" s="24"/>
      <c r="T919" s="24"/>
      <c r="U919" s="53"/>
      <c r="V919" s="25">
        <f>IFERROR(VLOOKUP(BCP_Soles[[#This Row],[destinatario]],CHOOSE({1,2},Clientes_Proveedores[Razon Social],Clientes_Proveedores[Ruc / Dni]),2,0),"")</f>
        <v>20302891452</v>
      </c>
      <c r="W919" s="25" t="s">
        <v>249</v>
      </c>
      <c r="X919" s="25"/>
      <c r="Y919" s="25"/>
      <c r="Z919" s="75"/>
      <c r="AA919" s="3" t="str">
        <f>IF(BCP_Soles[[#This Row],[fecha]]&gt;0,TEXT(BCP_Soles[[#This Row],[fecha]],"mmmm"),0)</f>
        <v>Marzo</v>
      </c>
    </row>
    <row r="920" spans="1:27" ht="24" x14ac:dyDescent="0.3">
      <c r="A920" s="2">
        <f>IF(BCP_Soles[[#This Row],[tipo_registro]]="R",COUNTIFS($C$1:$C919,"R")+1,A919)</f>
        <v>663</v>
      </c>
      <c r="B920" s="19" t="str">
        <f t="shared" si="81"/>
        <v>B-BCP - Soles</v>
      </c>
      <c r="C920" s="3" t="s">
        <v>1330</v>
      </c>
      <c r="D920" s="14">
        <v>45730</v>
      </c>
      <c r="E920" s="5" t="s">
        <v>1338</v>
      </c>
      <c r="F920" s="5" t="s">
        <v>1336</v>
      </c>
      <c r="G920" s="6" t="s">
        <v>249</v>
      </c>
      <c r="H920" s="6"/>
      <c r="I920" s="6"/>
      <c r="J920" s="6"/>
      <c r="K920" s="7" t="s">
        <v>2282</v>
      </c>
      <c r="L920" s="8">
        <v>1125977</v>
      </c>
      <c r="M920" s="8" t="str">
        <f t="shared" si="82"/>
        <v>PEN</v>
      </c>
      <c r="N920" s="13"/>
      <c r="O920" s="13">
        <v>293.58999999999997</v>
      </c>
      <c r="P920" s="3">
        <f t="shared" si="83"/>
        <v>0</v>
      </c>
      <c r="Q920" s="3">
        <f t="shared" si="84"/>
        <v>293.58999999999997</v>
      </c>
      <c r="R920" s="3">
        <f t="shared" si="80"/>
        <v>9539.4799999999905</v>
      </c>
      <c r="S920" s="24"/>
      <c r="T920" s="24"/>
      <c r="U920" s="53"/>
      <c r="V920" s="25">
        <f>IFERROR(VLOOKUP(BCP_Soles[[#This Row],[destinatario]],CHOOSE({1,2},Clientes_Proveedores[Razon Social],Clientes_Proveedores[Ruc / Dni]),2,0),"")</f>
        <v>20302891452</v>
      </c>
      <c r="W920" s="25" t="s">
        <v>249</v>
      </c>
      <c r="X920" s="25"/>
      <c r="Y920" s="25"/>
      <c r="Z920" s="75"/>
      <c r="AA920" s="3" t="str">
        <f>IF(BCP_Soles[[#This Row],[fecha]]&gt;0,TEXT(BCP_Soles[[#This Row],[fecha]],"mmmm"),0)</f>
        <v>Marzo</v>
      </c>
    </row>
    <row r="921" spans="1:27" x14ac:dyDescent="0.3">
      <c r="A921" s="2">
        <f>IF(BCP_Soles[[#This Row],[tipo_registro]]="R",COUNTIFS($C$1:$C920,"R")+1,A920)</f>
        <v>664</v>
      </c>
      <c r="B921" s="19" t="str">
        <f t="shared" si="81"/>
        <v>B-BCP - Soles</v>
      </c>
      <c r="C921" s="3" t="s">
        <v>1330</v>
      </c>
      <c r="D921" s="14">
        <v>45730</v>
      </c>
      <c r="E921" s="5" t="s">
        <v>2269</v>
      </c>
      <c r="F921" s="5" t="s">
        <v>1336</v>
      </c>
      <c r="G921" s="6" t="s">
        <v>565</v>
      </c>
      <c r="H921" s="6" t="s">
        <v>68</v>
      </c>
      <c r="I921" s="6" t="s">
        <v>1432</v>
      </c>
      <c r="J921" s="6">
        <v>129</v>
      </c>
      <c r="K921" s="7" t="s">
        <v>2283</v>
      </c>
      <c r="L921" s="8">
        <v>1127454</v>
      </c>
      <c r="M921" s="8" t="str">
        <f t="shared" si="82"/>
        <v>PEN</v>
      </c>
      <c r="N921" s="13"/>
      <c r="O921" s="13">
        <v>180</v>
      </c>
      <c r="P921" s="3">
        <f t="shared" si="83"/>
        <v>0</v>
      </c>
      <c r="Q921" s="3">
        <f t="shared" si="84"/>
        <v>180</v>
      </c>
      <c r="R921" s="3">
        <f t="shared" si="80"/>
        <v>9359.4799999999905</v>
      </c>
      <c r="S921" s="24" t="s">
        <v>1334</v>
      </c>
      <c r="T921" s="24" t="s">
        <v>1334</v>
      </c>
      <c r="U921" s="53"/>
      <c r="V921" s="25">
        <f>IFERROR(VLOOKUP(BCP_Soles[[#This Row],[destinatario]],CHOOSE({1,2},Clientes_Proveedores[Razon Social],Clientes_Proveedores[Ruc / Dni]),2,0),"")</f>
        <v>20608587803</v>
      </c>
      <c r="W921" s="25" t="s">
        <v>565</v>
      </c>
      <c r="X921" s="25" t="s">
        <v>2284</v>
      </c>
      <c r="Y921" s="25"/>
      <c r="Z921" s="75"/>
      <c r="AA921" s="3" t="str">
        <f>IF(BCP_Soles[[#This Row],[fecha]]&gt;0,TEXT(BCP_Soles[[#This Row],[fecha]],"mmmm"),0)</f>
        <v>Marzo</v>
      </c>
    </row>
    <row r="922" spans="1:27" ht="24" x14ac:dyDescent="0.3">
      <c r="A922" s="2">
        <f>IF(BCP_Soles[[#This Row],[tipo_registro]]="R",COUNTIFS($C$1:$C921,"R")+1,A921)</f>
        <v>665</v>
      </c>
      <c r="B922" s="19" t="str">
        <f t="shared" si="81"/>
        <v>B-BCP - Soles</v>
      </c>
      <c r="C922" s="3" t="s">
        <v>1330</v>
      </c>
      <c r="D922" s="14">
        <v>45730</v>
      </c>
      <c r="E922" s="5" t="s">
        <v>1338</v>
      </c>
      <c r="F922" s="5" t="s">
        <v>1336</v>
      </c>
      <c r="G922" s="6" t="s">
        <v>866</v>
      </c>
      <c r="H922" s="6"/>
      <c r="I922" s="6"/>
      <c r="J922" s="6"/>
      <c r="K922" s="7" t="s">
        <v>2285</v>
      </c>
      <c r="L922" s="8">
        <v>1287806</v>
      </c>
      <c r="M922" s="8" t="str">
        <f t="shared" si="82"/>
        <v>PEN</v>
      </c>
      <c r="N922" s="13"/>
      <c r="O922" s="13">
        <v>100</v>
      </c>
      <c r="P922" s="3">
        <f t="shared" si="83"/>
        <v>0</v>
      </c>
      <c r="Q922" s="3">
        <f t="shared" si="84"/>
        <v>100</v>
      </c>
      <c r="R922" s="3">
        <f t="shared" si="80"/>
        <v>9259.4799999999905</v>
      </c>
      <c r="S922" s="24"/>
      <c r="T922" s="24" t="s">
        <v>1334</v>
      </c>
      <c r="U922" s="53"/>
      <c r="V922" s="25">
        <f>IFERROR(VLOOKUP(BCP_Soles[[#This Row],[destinatario]],CHOOSE({1,2},Clientes_Proveedores[Razon Social],Clientes_Proveedores[Ruc / Dni]),2,0),"")</f>
        <v>45921913</v>
      </c>
      <c r="W922" s="25" t="s">
        <v>866</v>
      </c>
      <c r="X922" s="25"/>
      <c r="Y922" s="25"/>
      <c r="Z922" s="75"/>
      <c r="AA922" s="3" t="str">
        <f>IF(BCP_Soles[[#This Row],[fecha]]&gt;0,TEXT(BCP_Soles[[#This Row],[fecha]],"mmmm"),0)</f>
        <v>Marzo</v>
      </c>
    </row>
    <row r="923" spans="1:27" ht="36" x14ac:dyDescent="0.3">
      <c r="A923" s="2">
        <f>IF(BCP_Soles[[#This Row],[tipo_registro]]="R",COUNTIFS($C$1:$C922,"R")+1,A922)</f>
        <v>666</v>
      </c>
      <c r="B923" s="19" t="str">
        <f t="shared" si="81"/>
        <v>B-BCP - Soles</v>
      </c>
      <c r="C923" s="3" t="s">
        <v>1330</v>
      </c>
      <c r="D923" s="14">
        <v>45730</v>
      </c>
      <c r="E923" s="5" t="s">
        <v>286</v>
      </c>
      <c r="F923" s="5" t="s">
        <v>1303</v>
      </c>
      <c r="G923" s="6" t="s">
        <v>425</v>
      </c>
      <c r="H923" s="6"/>
      <c r="I923" s="6"/>
      <c r="J923" s="6"/>
      <c r="K923" s="7" t="s">
        <v>1382</v>
      </c>
      <c r="L923" s="8">
        <v>11210</v>
      </c>
      <c r="M923" s="8" t="str">
        <f t="shared" si="82"/>
        <v>PEN</v>
      </c>
      <c r="N923" s="13"/>
      <c r="O923" s="13">
        <v>12374.53</v>
      </c>
      <c r="P923" s="3">
        <f t="shared" si="83"/>
        <v>12374.53</v>
      </c>
      <c r="Q923" s="3">
        <f t="shared" si="84"/>
        <v>0</v>
      </c>
      <c r="R923" s="3">
        <f t="shared" si="80"/>
        <v>21634.009999999991</v>
      </c>
      <c r="S923" s="24" t="s">
        <v>1334</v>
      </c>
      <c r="T923" s="24" t="s">
        <v>1334</v>
      </c>
      <c r="U923" s="53"/>
      <c r="V923" s="25">
        <f>IFERROR(VLOOKUP(BCP_Soles[[#This Row],[destinatario]],CHOOSE({1,2},Clientes_Proveedores[Razon Social],Clientes_Proveedores[Ruc / Dni]),2,0),"")</f>
        <v>20558226979</v>
      </c>
      <c r="W923" s="25" t="s">
        <v>1345</v>
      </c>
      <c r="X923" s="25" t="s">
        <v>2286</v>
      </c>
      <c r="Y923" s="25"/>
      <c r="Z923" s="75"/>
      <c r="AA923" s="3" t="str">
        <f>IF(BCP_Soles[[#This Row],[fecha]]&gt;0,TEXT(BCP_Soles[[#This Row],[fecha]],"mmmm"),0)</f>
        <v>Marzo</v>
      </c>
    </row>
    <row r="924" spans="1:27" ht="24" x14ac:dyDescent="0.3">
      <c r="A924" s="2">
        <f>IF(BCP_Soles[[#This Row],[tipo_registro]]="R",COUNTIFS($C$1:$C923,"R")+1,A923)</f>
        <v>667</v>
      </c>
      <c r="B924" s="19" t="str">
        <f t="shared" si="81"/>
        <v>B-BCP - Soles</v>
      </c>
      <c r="C924" s="3" t="s">
        <v>1330</v>
      </c>
      <c r="D924" s="14">
        <v>45730</v>
      </c>
      <c r="E924" s="5" t="s">
        <v>1505</v>
      </c>
      <c r="F924" s="5" t="s">
        <v>1303</v>
      </c>
      <c r="G924" s="6" t="s">
        <v>425</v>
      </c>
      <c r="H924" s="6" t="s">
        <v>119</v>
      </c>
      <c r="I924" s="6">
        <v>1</v>
      </c>
      <c r="J924" s="6">
        <v>4236</v>
      </c>
      <c r="K924" s="7" t="s">
        <v>1356</v>
      </c>
      <c r="L924" s="8">
        <v>4379579</v>
      </c>
      <c r="M924" s="8" t="str">
        <f t="shared" si="82"/>
        <v>PEN</v>
      </c>
      <c r="N924" s="13"/>
      <c r="O924" s="13">
        <v>2159</v>
      </c>
      <c r="P924" s="3">
        <f t="shared" si="83"/>
        <v>2159</v>
      </c>
      <c r="Q924" s="3">
        <f t="shared" si="84"/>
        <v>0</v>
      </c>
      <c r="R924" s="3">
        <f t="shared" si="80"/>
        <v>23793.009999999991</v>
      </c>
      <c r="S924" s="24" t="s">
        <v>1334</v>
      </c>
      <c r="T924" s="24" t="s">
        <v>1334</v>
      </c>
      <c r="U924" s="53"/>
      <c r="V924" s="25">
        <f>IFERROR(VLOOKUP(BCP_Soles[[#This Row],[destinatario]],CHOOSE({1,2},Clientes_Proveedores[Razon Social],Clientes_Proveedores[Ruc / Dni]),2,0),"")</f>
        <v>20558226979</v>
      </c>
      <c r="W924" s="25" t="s">
        <v>1345</v>
      </c>
      <c r="X924" s="25" t="s">
        <v>2255</v>
      </c>
      <c r="Y924" s="25"/>
      <c r="Z924" s="75"/>
      <c r="AA924" s="3" t="str">
        <f>IF(BCP_Soles[[#This Row],[fecha]]&gt;0,TEXT(BCP_Soles[[#This Row],[fecha]],"mmmm"),0)</f>
        <v>Marzo</v>
      </c>
    </row>
    <row r="925" spans="1:27" ht="24" x14ac:dyDescent="0.3">
      <c r="A925" s="2">
        <f>IF(BCP_Soles[[#This Row],[tipo_registro]]="R",COUNTIFS($C$1:$C924,"R")+1,A924)</f>
        <v>668</v>
      </c>
      <c r="B925" s="19" t="str">
        <f t="shared" si="81"/>
        <v>B-BCP - Soles</v>
      </c>
      <c r="C925" s="3" t="s">
        <v>1330</v>
      </c>
      <c r="D925" s="14">
        <v>45730</v>
      </c>
      <c r="E925" s="5" t="s">
        <v>462</v>
      </c>
      <c r="F925" s="5" t="s">
        <v>1303</v>
      </c>
      <c r="G925" s="6" t="s">
        <v>425</v>
      </c>
      <c r="H925" s="6"/>
      <c r="I925" s="6"/>
      <c r="J925" s="6"/>
      <c r="K925" s="7" t="s">
        <v>1356</v>
      </c>
      <c r="L925" s="8">
        <v>3070921</v>
      </c>
      <c r="M925" s="8" t="str">
        <f t="shared" si="82"/>
        <v>PEN</v>
      </c>
      <c r="N925" s="13"/>
      <c r="O925" s="13">
        <v>564</v>
      </c>
      <c r="P925" s="3">
        <f t="shared" si="83"/>
        <v>564</v>
      </c>
      <c r="Q925" s="3">
        <f t="shared" si="84"/>
        <v>0</v>
      </c>
      <c r="R925" s="3">
        <f t="shared" si="80"/>
        <v>24357.009999999991</v>
      </c>
      <c r="S925" s="24" t="s">
        <v>1334</v>
      </c>
      <c r="T925" s="24" t="s">
        <v>1334</v>
      </c>
      <c r="U925" s="53"/>
      <c r="V925" s="25">
        <f>IFERROR(VLOOKUP(BCP_Soles[[#This Row],[destinatario]],CHOOSE({1,2},Clientes_Proveedores[Razon Social],Clientes_Proveedores[Ruc / Dni]),2,0),"")</f>
        <v>20558226979</v>
      </c>
      <c r="W925" s="25" t="s">
        <v>1345</v>
      </c>
      <c r="X925" s="25" t="s">
        <v>1685</v>
      </c>
      <c r="Y925" s="25"/>
      <c r="Z925" s="75"/>
      <c r="AA925" s="3" t="str">
        <f>IF(BCP_Soles[[#This Row],[fecha]]&gt;0,TEXT(BCP_Soles[[#This Row],[fecha]],"mmmm"),0)</f>
        <v>Marzo</v>
      </c>
    </row>
    <row r="926" spans="1:27" ht="24" x14ac:dyDescent="0.3">
      <c r="A926" s="2">
        <f>IF(BCP_Soles[[#This Row],[tipo_registro]]="R",COUNTIFS($C$1:$C925,"R")+1,A925)</f>
        <v>669</v>
      </c>
      <c r="B926" s="19" t="str">
        <f t="shared" si="81"/>
        <v>B-BCP - Soles</v>
      </c>
      <c r="C926" s="3" t="s">
        <v>1330</v>
      </c>
      <c r="D926" s="14">
        <v>45730</v>
      </c>
      <c r="E926" s="5" t="s">
        <v>212</v>
      </c>
      <c r="F926" s="5" t="s">
        <v>1303</v>
      </c>
      <c r="G926" s="6" t="s">
        <v>425</v>
      </c>
      <c r="H926" s="6"/>
      <c r="I926" s="6"/>
      <c r="J926" s="6"/>
      <c r="K926" s="7" t="s">
        <v>2287</v>
      </c>
      <c r="L926" s="8">
        <v>2587777</v>
      </c>
      <c r="M926" s="8" t="str">
        <f t="shared" si="82"/>
        <v>PEN</v>
      </c>
      <c r="N926" s="13"/>
      <c r="O926" s="13">
        <v>76</v>
      </c>
      <c r="P926" s="3">
        <f t="shared" si="83"/>
        <v>76</v>
      </c>
      <c r="Q926" s="3">
        <f t="shared" si="84"/>
        <v>0</v>
      </c>
      <c r="R926" s="3">
        <f t="shared" si="80"/>
        <v>24433.009999999991</v>
      </c>
      <c r="S926" s="24" t="s">
        <v>1334</v>
      </c>
      <c r="T926" s="24" t="s">
        <v>1334</v>
      </c>
      <c r="U926" s="53"/>
      <c r="V926" s="25">
        <f>IFERROR(VLOOKUP(BCP_Soles[[#This Row],[destinatario]],CHOOSE({1,2},Clientes_Proveedores[Razon Social],Clientes_Proveedores[Ruc / Dni]),2,0),"")</f>
        <v>20558226979</v>
      </c>
      <c r="W926" s="25" t="s">
        <v>1345</v>
      </c>
      <c r="X926" s="25" t="s">
        <v>2288</v>
      </c>
      <c r="Y926" s="25"/>
      <c r="Z926" s="75"/>
      <c r="AA926" s="3" t="str">
        <f>IF(BCP_Soles[[#This Row],[fecha]]&gt;0,TEXT(BCP_Soles[[#This Row],[fecha]],"mmmm"),0)</f>
        <v>Marzo</v>
      </c>
    </row>
    <row r="927" spans="1:27" ht="24" x14ac:dyDescent="0.3">
      <c r="A927" s="2">
        <f>IF(BCP_Soles[[#This Row],[tipo_registro]]="R",COUNTIFS($C$1:$C926,"R")+1,A926)</f>
        <v>670</v>
      </c>
      <c r="B927" s="19" t="str">
        <f t="shared" si="81"/>
        <v>B-BCP - Soles</v>
      </c>
      <c r="C927" s="3" t="s">
        <v>1330</v>
      </c>
      <c r="D927" s="14">
        <v>45730</v>
      </c>
      <c r="E927" s="5" t="s">
        <v>1617</v>
      </c>
      <c r="F927" s="5" t="s">
        <v>1303</v>
      </c>
      <c r="G927" s="6" t="s">
        <v>425</v>
      </c>
      <c r="H927" s="6" t="s">
        <v>119</v>
      </c>
      <c r="I927" s="6">
        <v>1</v>
      </c>
      <c r="J927" s="6">
        <v>4215</v>
      </c>
      <c r="K927" s="7" t="s">
        <v>1618</v>
      </c>
      <c r="L927" s="8">
        <v>59243</v>
      </c>
      <c r="M927" s="8" t="str">
        <f t="shared" si="82"/>
        <v>PEN</v>
      </c>
      <c r="N927" s="13"/>
      <c r="O927" s="13">
        <v>36.799999999999997</v>
      </c>
      <c r="P927" s="3">
        <f t="shared" si="83"/>
        <v>36.799999999999997</v>
      </c>
      <c r="Q927" s="3">
        <f t="shared" si="84"/>
        <v>0</v>
      </c>
      <c r="R927" s="3">
        <f t="shared" si="80"/>
        <v>24469.80999999999</v>
      </c>
      <c r="S927" s="24" t="s">
        <v>1334</v>
      </c>
      <c r="T927" s="24" t="s">
        <v>1334</v>
      </c>
      <c r="U927" s="53"/>
      <c r="V927" s="25">
        <f>IFERROR(VLOOKUP(BCP_Soles[[#This Row],[destinatario]],CHOOSE({1,2},Clientes_Proveedores[Razon Social],Clientes_Proveedores[Ruc / Dni]),2,0),"")</f>
        <v>20558226979</v>
      </c>
      <c r="W927" s="25" t="s">
        <v>1345</v>
      </c>
      <c r="X927" s="25" t="s">
        <v>2289</v>
      </c>
      <c r="Y927" s="25"/>
      <c r="Z927" s="75"/>
      <c r="AA927" s="3" t="str">
        <f>IF(BCP_Soles[[#This Row],[fecha]]&gt;0,TEXT(BCP_Soles[[#This Row],[fecha]],"mmmm"),0)</f>
        <v>Marzo</v>
      </c>
    </row>
    <row r="928" spans="1:27" ht="24" x14ac:dyDescent="0.3">
      <c r="A928" s="2">
        <f>IF(BCP_Soles[[#This Row],[tipo_registro]]="R",COUNTIFS($C$1:$C927,"R")+1,A927)</f>
        <v>671</v>
      </c>
      <c r="B928" s="19" t="str">
        <f t="shared" si="81"/>
        <v>B-BCP - Soles</v>
      </c>
      <c r="C928" s="3" t="s">
        <v>1330</v>
      </c>
      <c r="D928" s="14">
        <v>45730</v>
      </c>
      <c r="E928" s="5" t="s">
        <v>1617</v>
      </c>
      <c r="F928" s="5" t="s">
        <v>1303</v>
      </c>
      <c r="G928" s="6" t="s">
        <v>425</v>
      </c>
      <c r="H928" s="6" t="s">
        <v>119</v>
      </c>
      <c r="I928" s="6">
        <v>1</v>
      </c>
      <c r="J928" s="6">
        <v>4215</v>
      </c>
      <c r="K928" s="7" t="s">
        <v>1618</v>
      </c>
      <c r="L928" s="8">
        <v>59238</v>
      </c>
      <c r="M928" s="8" t="str">
        <f t="shared" si="82"/>
        <v>PEN</v>
      </c>
      <c r="N928" s="13"/>
      <c r="O928" s="13">
        <v>1000</v>
      </c>
      <c r="P928" s="3">
        <f t="shared" si="83"/>
        <v>1000</v>
      </c>
      <c r="Q928" s="3">
        <f t="shared" si="84"/>
        <v>0</v>
      </c>
      <c r="R928" s="3">
        <f t="shared" si="80"/>
        <v>25469.80999999999</v>
      </c>
      <c r="S928" s="24" t="s">
        <v>1334</v>
      </c>
      <c r="T928" s="24" t="s">
        <v>1334</v>
      </c>
      <c r="U928" s="53"/>
      <c r="V928" s="25">
        <f>IFERROR(VLOOKUP(BCP_Soles[[#This Row],[destinatario]],CHOOSE({1,2},Clientes_Proveedores[Razon Social],Clientes_Proveedores[Ruc / Dni]),2,0),"")</f>
        <v>20558226979</v>
      </c>
      <c r="W928" s="25" t="s">
        <v>1345</v>
      </c>
      <c r="X928" s="25" t="s">
        <v>2289</v>
      </c>
      <c r="Y928" s="25"/>
      <c r="Z928" s="75"/>
      <c r="AA928" s="3" t="str">
        <f>IF(BCP_Soles[[#This Row],[fecha]]&gt;0,TEXT(BCP_Soles[[#This Row],[fecha]],"mmmm"),0)</f>
        <v>Marzo</v>
      </c>
    </row>
    <row r="929" spans="1:27" ht="24" x14ac:dyDescent="0.3">
      <c r="A929" s="2">
        <f>IF(BCP_Soles[[#This Row],[tipo_registro]]="R",COUNTIFS($C$1:$C928,"R")+1,A928)</f>
        <v>672</v>
      </c>
      <c r="B929" s="19" t="str">
        <f t="shared" si="81"/>
        <v>B-BCP - Soles</v>
      </c>
      <c r="C929" s="3" t="s">
        <v>1330</v>
      </c>
      <c r="D929" s="14">
        <v>45731</v>
      </c>
      <c r="E929" s="5" t="s">
        <v>1421</v>
      </c>
      <c r="F929" s="5" t="s">
        <v>1336</v>
      </c>
      <c r="G929" s="6" t="s">
        <v>809</v>
      </c>
      <c r="H929" s="6" t="s">
        <v>143</v>
      </c>
      <c r="I929" s="6">
        <v>1</v>
      </c>
      <c r="J929" s="6">
        <v>782025</v>
      </c>
      <c r="K929" s="7" t="s">
        <v>1356</v>
      </c>
      <c r="L929" s="8">
        <v>5131433</v>
      </c>
      <c r="M929" s="8" t="str">
        <f t="shared" si="82"/>
        <v>PEN</v>
      </c>
      <c r="N929" s="13"/>
      <c r="O929" s="13">
        <v>1000</v>
      </c>
      <c r="P929" s="3">
        <f t="shared" si="83"/>
        <v>0</v>
      </c>
      <c r="Q929" s="3">
        <f t="shared" si="84"/>
        <v>1000</v>
      </c>
      <c r="R929" s="3">
        <f t="shared" si="80"/>
        <v>24469.80999999999</v>
      </c>
      <c r="S929" s="24"/>
      <c r="T929" s="24" t="s">
        <v>1334</v>
      </c>
      <c r="U929" s="53"/>
      <c r="V929" s="25">
        <f>IFERROR(VLOOKUP(BCP_Soles[[#This Row],[destinatario]],CHOOSE({1,2},Clientes_Proveedores[Razon Social],Clientes_Proveedores[Ruc / Dni]),2,0),"")</f>
        <v>45286301</v>
      </c>
      <c r="W929" s="25"/>
      <c r="X929" s="25" t="s">
        <v>1430</v>
      </c>
      <c r="Y929" s="25"/>
      <c r="Z929" s="75"/>
      <c r="AA929" s="3" t="str">
        <f>IF(BCP_Soles[[#This Row],[fecha]]&gt;0,TEXT(BCP_Soles[[#This Row],[fecha]],"mmmm"),0)</f>
        <v>Marzo</v>
      </c>
    </row>
    <row r="930" spans="1:27" x14ac:dyDescent="0.3">
      <c r="A930" s="2">
        <f>IF(BCP_Soles[[#This Row],[tipo_registro]]="R",COUNTIFS($C$1:$C929,"R")+1,A929)</f>
        <v>673</v>
      </c>
      <c r="B930" s="19" t="str">
        <f t="shared" si="81"/>
        <v>B-BCP - Soles</v>
      </c>
      <c r="C930" s="3" t="s">
        <v>1330</v>
      </c>
      <c r="D930" s="14">
        <v>45732</v>
      </c>
      <c r="E930" s="5" t="s">
        <v>1335</v>
      </c>
      <c r="F930" s="5" t="s">
        <v>1336</v>
      </c>
      <c r="G930" s="6"/>
      <c r="H930" s="6"/>
      <c r="I930" s="6"/>
      <c r="J930" s="6"/>
      <c r="K930" s="7" t="s">
        <v>1337</v>
      </c>
      <c r="L930" s="8"/>
      <c r="M930" s="8" t="str">
        <f t="shared" si="82"/>
        <v>PEN</v>
      </c>
      <c r="N930" s="13"/>
      <c r="O930" s="13">
        <v>0.05</v>
      </c>
      <c r="P930" s="3">
        <f t="shared" si="83"/>
        <v>0</v>
      </c>
      <c r="Q930" s="3">
        <f t="shared" si="84"/>
        <v>0.05</v>
      </c>
      <c r="R930" s="3">
        <f t="shared" si="80"/>
        <v>24469.759999999991</v>
      </c>
      <c r="S930" s="24"/>
      <c r="T930" s="24" t="s">
        <v>1334</v>
      </c>
      <c r="U930" s="53"/>
      <c r="V930" s="25" t="str">
        <f>IFERROR(VLOOKUP(BCP_Soles[[#This Row],[destinatario]],CHOOSE({1,2},Clientes_Proveedores[Razon Social],Clientes_Proveedores[Ruc / Dni]),2,0),"")</f>
        <v/>
      </c>
      <c r="W930" s="25"/>
      <c r="X930" s="25"/>
      <c r="Y930" s="25"/>
      <c r="Z930" s="75"/>
      <c r="AA930" s="3" t="str">
        <f>IF(BCP_Soles[[#This Row],[fecha]]&gt;0,TEXT(BCP_Soles[[#This Row],[fecha]],"mmmm"),0)</f>
        <v>Marzo</v>
      </c>
    </row>
    <row r="931" spans="1:27" ht="36" x14ac:dyDescent="0.3">
      <c r="A931" s="2">
        <f>IF(BCP_Soles[[#This Row],[tipo_registro]]="R",COUNTIFS($C$1:$C930,"R")+1,A930)</f>
        <v>674</v>
      </c>
      <c r="B931" s="19" t="str">
        <f t="shared" si="81"/>
        <v>B-BCP - Soles</v>
      </c>
      <c r="C931" s="3" t="s">
        <v>1330</v>
      </c>
      <c r="D931" s="14">
        <v>45733</v>
      </c>
      <c r="E931" s="5" t="s">
        <v>2269</v>
      </c>
      <c r="F931" s="5" t="s">
        <v>1336</v>
      </c>
      <c r="G931" s="6" t="s">
        <v>495</v>
      </c>
      <c r="H931" s="6" t="s">
        <v>68</v>
      </c>
      <c r="I931" s="6" t="s">
        <v>1376</v>
      </c>
      <c r="J931" s="6">
        <v>3764</v>
      </c>
      <c r="K931" s="7" t="s">
        <v>2290</v>
      </c>
      <c r="L931" s="8">
        <v>1001765</v>
      </c>
      <c r="M931" s="8" t="str">
        <f t="shared" si="82"/>
        <v>PEN</v>
      </c>
      <c r="N931" s="13"/>
      <c r="O931" s="13">
        <v>2400</v>
      </c>
      <c r="P931" s="3">
        <f t="shared" si="83"/>
        <v>0</v>
      </c>
      <c r="Q931" s="3">
        <f t="shared" si="84"/>
        <v>2400</v>
      </c>
      <c r="R931" s="3">
        <f t="shared" si="80"/>
        <v>22069.759999999991</v>
      </c>
      <c r="S931" s="24" t="s">
        <v>1334</v>
      </c>
      <c r="T931" s="24" t="s">
        <v>1334</v>
      </c>
      <c r="U931" s="53"/>
      <c r="V931" s="25">
        <f>IFERROR(VLOOKUP(BCP_Soles[[#This Row],[destinatario]],CHOOSE({1,2},Clientes_Proveedores[Razon Social],Clientes_Proveedores[Ruc / Dni]),2,0),"")</f>
        <v>20602778861</v>
      </c>
      <c r="W931" s="25" t="s">
        <v>495</v>
      </c>
      <c r="X931" s="25" t="s">
        <v>2291</v>
      </c>
      <c r="Y931" s="25"/>
      <c r="Z931" s="75"/>
      <c r="AA931" s="3" t="str">
        <f>IF(BCP_Soles[[#This Row],[fecha]]&gt;0,TEXT(BCP_Soles[[#This Row],[fecha]],"mmmm"),0)</f>
        <v>Marzo</v>
      </c>
    </row>
    <row r="932" spans="1:27" x14ac:dyDescent="0.3">
      <c r="A932" s="2">
        <f>IF(BCP_Soles[[#This Row],[tipo_registro]]="R",COUNTIFS($C$1:$C931,"R")+1,A931)</f>
        <v>675</v>
      </c>
      <c r="B932" s="19" t="str">
        <f t="shared" si="81"/>
        <v>B-BCP - Soles</v>
      </c>
      <c r="C932" s="3" t="s">
        <v>1330</v>
      </c>
      <c r="D932" s="14">
        <v>45733</v>
      </c>
      <c r="E932" s="5" t="s">
        <v>1335</v>
      </c>
      <c r="F932" s="5" t="s">
        <v>1336</v>
      </c>
      <c r="G932" s="6"/>
      <c r="H932" s="6"/>
      <c r="I932" s="6"/>
      <c r="J932" s="6"/>
      <c r="K932" s="7" t="s">
        <v>1337</v>
      </c>
      <c r="L932" s="8"/>
      <c r="M932" s="8" t="str">
        <f t="shared" si="82"/>
        <v>PEN</v>
      </c>
      <c r="N932" s="13"/>
      <c r="O932" s="13">
        <v>0.2</v>
      </c>
      <c r="P932" s="3">
        <f t="shared" si="83"/>
        <v>0</v>
      </c>
      <c r="Q932" s="3">
        <f t="shared" si="84"/>
        <v>0.2</v>
      </c>
      <c r="R932" s="3">
        <f t="shared" si="80"/>
        <v>22069.55999999999</v>
      </c>
      <c r="S932" s="24"/>
      <c r="T932" s="24" t="s">
        <v>1334</v>
      </c>
      <c r="U932" s="53"/>
      <c r="V932" s="25" t="str">
        <f>IFERROR(VLOOKUP(BCP_Soles[[#This Row],[destinatario]],CHOOSE({1,2},Clientes_Proveedores[Razon Social],Clientes_Proveedores[Ruc / Dni]),2,0),"")</f>
        <v/>
      </c>
      <c r="W932" s="25"/>
      <c r="X932" s="25"/>
      <c r="Y932" s="25"/>
      <c r="Z932" s="75"/>
      <c r="AA932" s="3" t="str">
        <f>IF(BCP_Soles[[#This Row],[fecha]]&gt;0,TEXT(BCP_Soles[[#This Row],[fecha]],"mmmm"),0)</f>
        <v>Marzo</v>
      </c>
    </row>
    <row r="933" spans="1:27" ht="24" x14ac:dyDescent="0.3">
      <c r="A933" s="2">
        <f>IF(BCP_Soles[[#This Row],[tipo_registro]]="R",COUNTIFS($C$1:$C932,"R")+1,A932)</f>
        <v>676</v>
      </c>
      <c r="B933" s="19" t="str">
        <f t="shared" si="81"/>
        <v>B-BCP - Soles</v>
      </c>
      <c r="C933" s="3" t="s">
        <v>1330</v>
      </c>
      <c r="D933" s="14">
        <v>45733</v>
      </c>
      <c r="E933" s="5" t="s">
        <v>1335</v>
      </c>
      <c r="F933" s="5" t="s">
        <v>1336</v>
      </c>
      <c r="G933" s="6" t="s">
        <v>1060</v>
      </c>
      <c r="H933" s="6"/>
      <c r="I933" s="6"/>
      <c r="J933" s="6"/>
      <c r="K933" s="7" t="s">
        <v>1552</v>
      </c>
      <c r="L933" s="8">
        <v>962962</v>
      </c>
      <c r="M933" s="8" t="str">
        <f t="shared" si="82"/>
        <v>PEN</v>
      </c>
      <c r="N933" s="13"/>
      <c r="O933" s="13">
        <v>10</v>
      </c>
      <c r="P933" s="3">
        <f t="shared" si="83"/>
        <v>0</v>
      </c>
      <c r="Q933" s="3">
        <f t="shared" si="84"/>
        <v>10</v>
      </c>
      <c r="R933" s="3">
        <f t="shared" si="80"/>
        <v>22059.55999999999</v>
      </c>
      <c r="S933" s="24"/>
      <c r="T933" s="24" t="s">
        <v>1334</v>
      </c>
      <c r="U933" s="53"/>
      <c r="V933" s="25">
        <f>IFERROR(VLOOKUP(BCP_Soles[[#This Row],[destinatario]],CHOOSE({1,2},Clientes_Proveedores[Razon Social],Clientes_Proveedores[Ruc / Dni]),2,0),"")</f>
        <v>20100047218</v>
      </c>
      <c r="W933" s="25" t="s">
        <v>1335</v>
      </c>
      <c r="X933" s="25" t="s">
        <v>2292</v>
      </c>
      <c r="Y933" s="25"/>
      <c r="Z933" s="75"/>
      <c r="AA933" s="3" t="str">
        <f>IF(BCP_Soles[[#This Row],[fecha]]&gt;0,TEXT(BCP_Soles[[#This Row],[fecha]],"mmmm"),0)</f>
        <v>Marzo</v>
      </c>
    </row>
    <row r="934" spans="1:27" ht="24" x14ac:dyDescent="0.3">
      <c r="A934" s="2">
        <f>IF(BCP_Soles[[#This Row],[tipo_registro]]="R",COUNTIFS($C$1:$C933,"R")+1,A933)</f>
        <v>677</v>
      </c>
      <c r="B934" s="19" t="str">
        <f t="shared" si="81"/>
        <v>B-BCP - Soles</v>
      </c>
      <c r="C934" s="3" t="s">
        <v>1330</v>
      </c>
      <c r="D934" s="14">
        <v>45733</v>
      </c>
      <c r="E934" s="5" t="s">
        <v>2269</v>
      </c>
      <c r="F934" s="5" t="s">
        <v>1336</v>
      </c>
      <c r="G934" s="6" t="s">
        <v>185</v>
      </c>
      <c r="H934" s="6" t="s">
        <v>68</v>
      </c>
      <c r="I934" s="6" t="s">
        <v>1376</v>
      </c>
      <c r="J934" s="6">
        <v>127</v>
      </c>
      <c r="K934" s="7" t="s">
        <v>2293</v>
      </c>
      <c r="L934" s="8">
        <v>1207423</v>
      </c>
      <c r="M934" s="8" t="str">
        <f t="shared" si="82"/>
        <v>PEN</v>
      </c>
      <c r="N934" s="13"/>
      <c r="O934" s="13">
        <v>1359</v>
      </c>
      <c r="P934" s="3">
        <f t="shared" si="83"/>
        <v>0</v>
      </c>
      <c r="Q934" s="3">
        <f t="shared" si="84"/>
        <v>1359</v>
      </c>
      <c r="R934" s="3">
        <f t="shared" si="80"/>
        <v>20700.55999999999</v>
      </c>
      <c r="S934" s="24" t="s">
        <v>1334</v>
      </c>
      <c r="T934" s="24" t="s">
        <v>1334</v>
      </c>
      <c r="U934" s="53"/>
      <c r="V934" s="25">
        <f>IFERROR(VLOOKUP(BCP_Soles[[#This Row],[destinatario]],CHOOSE({1,2},Clientes_Proveedores[Razon Social],Clientes_Proveedores[Ruc / Dni]),2,0),"")</f>
        <v>10489531963</v>
      </c>
      <c r="W934" s="25" t="s">
        <v>185</v>
      </c>
      <c r="X934" s="25" t="s">
        <v>2294</v>
      </c>
      <c r="Y934" s="25"/>
      <c r="Z934" s="75"/>
      <c r="AA934" s="3" t="str">
        <f>IF(BCP_Soles[[#This Row],[fecha]]&gt;0,TEXT(BCP_Soles[[#This Row],[fecha]],"mmmm"),0)</f>
        <v>Marzo</v>
      </c>
    </row>
    <row r="935" spans="1:27" ht="24" x14ac:dyDescent="0.3">
      <c r="A935" s="2">
        <f>IF(BCP_Soles[[#This Row],[tipo_registro]]="R",COUNTIFS($C$1:$C934,"R")+1,A934)</f>
        <v>678</v>
      </c>
      <c r="B935" s="19" t="str">
        <f t="shared" si="81"/>
        <v>B-BCP - Soles</v>
      </c>
      <c r="C935" s="3" t="s">
        <v>1330</v>
      </c>
      <c r="D935" s="14">
        <v>45733</v>
      </c>
      <c r="E935" s="5" t="s">
        <v>2269</v>
      </c>
      <c r="F935" s="5" t="s">
        <v>1336</v>
      </c>
      <c r="G935" s="6" t="s">
        <v>888</v>
      </c>
      <c r="H935" s="6" t="s">
        <v>147</v>
      </c>
      <c r="I935" s="6">
        <v>13</v>
      </c>
      <c r="J935" s="6">
        <v>29</v>
      </c>
      <c r="K935" s="7" t="s">
        <v>2295</v>
      </c>
      <c r="L935" s="8">
        <v>1139529</v>
      </c>
      <c r="M935" s="8" t="str">
        <f t="shared" si="82"/>
        <v>PEN</v>
      </c>
      <c r="N935" s="13"/>
      <c r="O935" s="13">
        <v>1165</v>
      </c>
      <c r="P935" s="3">
        <f t="shared" si="83"/>
        <v>0</v>
      </c>
      <c r="Q935" s="3">
        <f t="shared" si="84"/>
        <v>1165</v>
      </c>
      <c r="R935" s="3">
        <f t="shared" si="80"/>
        <v>19535.55999999999</v>
      </c>
      <c r="S935" s="24"/>
      <c r="T935" s="24" t="s">
        <v>1334</v>
      </c>
      <c r="U935" s="53"/>
      <c r="V935" s="25">
        <f>IFERROR(VLOOKUP(BCP_Soles[[#This Row],[destinatario]],CHOOSE({1,2},Clientes_Proveedores[Razon Social],Clientes_Proveedores[Ruc / Dni]),2,0),"")</f>
        <v>47461440</v>
      </c>
      <c r="W935" s="25"/>
      <c r="X935" s="25"/>
      <c r="Y935" s="25"/>
      <c r="Z935" s="75"/>
      <c r="AA935" s="3" t="str">
        <f>IF(BCP_Soles[[#This Row],[fecha]]&gt;0,TEXT(BCP_Soles[[#This Row],[fecha]],"mmmm"),0)</f>
        <v>Marzo</v>
      </c>
    </row>
    <row r="936" spans="1:27" ht="24" x14ac:dyDescent="0.3">
      <c r="A936" s="2">
        <f>IF(BCP_Soles[[#This Row],[tipo_registro]]="R",COUNTIFS($C$1:$C935,"R")+1,A935)</f>
        <v>679</v>
      </c>
      <c r="B936" s="19" t="str">
        <f t="shared" si="81"/>
        <v>B-BCP - Soles</v>
      </c>
      <c r="C936" s="3" t="s">
        <v>1330</v>
      </c>
      <c r="D936" s="14">
        <v>45733</v>
      </c>
      <c r="E936" s="5" t="s">
        <v>1338</v>
      </c>
      <c r="F936" s="5" t="s">
        <v>1336</v>
      </c>
      <c r="G936" s="6" t="s">
        <v>328</v>
      </c>
      <c r="H936" s="6" t="s">
        <v>68</v>
      </c>
      <c r="I936" s="6" t="s">
        <v>1374</v>
      </c>
      <c r="J936" s="6">
        <v>7994</v>
      </c>
      <c r="K936" s="7" t="s">
        <v>2296</v>
      </c>
      <c r="L936" s="8">
        <v>1106112</v>
      </c>
      <c r="M936" s="8" t="str">
        <f t="shared" si="82"/>
        <v>PEN</v>
      </c>
      <c r="N936" s="13"/>
      <c r="O936" s="13">
        <v>613</v>
      </c>
      <c r="P936" s="3">
        <f t="shared" si="83"/>
        <v>0</v>
      </c>
      <c r="Q936" s="3">
        <f t="shared" si="84"/>
        <v>613</v>
      </c>
      <c r="R936" s="3">
        <f t="shared" si="80"/>
        <v>18922.55999999999</v>
      </c>
      <c r="S936" s="24" t="s">
        <v>1334</v>
      </c>
      <c r="T936" s="24" t="s">
        <v>1334</v>
      </c>
      <c r="U936" s="53"/>
      <c r="V936" s="25">
        <f>IFERROR(VLOOKUP(BCP_Soles[[#This Row],[destinatario]],CHOOSE({1,2},Clientes_Proveedores[Razon Social],Clientes_Proveedores[Ruc / Dni]),2,0),"")</f>
        <v>20498041567</v>
      </c>
      <c r="W936" s="25" t="s">
        <v>328</v>
      </c>
      <c r="X936" s="25" t="s">
        <v>2297</v>
      </c>
      <c r="Y936" s="25"/>
      <c r="Z936" s="75"/>
      <c r="AA936" s="3" t="str">
        <f>IF(BCP_Soles[[#This Row],[fecha]]&gt;0,TEXT(BCP_Soles[[#This Row],[fecha]],"mmmm"),0)</f>
        <v>Marzo</v>
      </c>
    </row>
    <row r="937" spans="1:27" ht="24" x14ac:dyDescent="0.3">
      <c r="A937" s="2">
        <f>IF(BCP_Soles[[#This Row],[tipo_registro]]="R",COUNTIFS($C$1:$C936,"R")+1,A936)</f>
        <v>680</v>
      </c>
      <c r="B937" s="19" t="str">
        <f t="shared" si="81"/>
        <v>B-BCP - Soles</v>
      </c>
      <c r="C937" s="3" t="s">
        <v>1330</v>
      </c>
      <c r="D937" s="14">
        <v>45733</v>
      </c>
      <c r="E937" s="5" t="s">
        <v>1338</v>
      </c>
      <c r="F937" s="5" t="s">
        <v>1336</v>
      </c>
      <c r="G937" s="6" t="s">
        <v>249</v>
      </c>
      <c r="H937" s="6"/>
      <c r="I937" s="6"/>
      <c r="J937" s="6"/>
      <c r="K937" s="7" t="s">
        <v>2298</v>
      </c>
      <c r="L937" s="8">
        <v>1139043</v>
      </c>
      <c r="M937" s="8" t="str">
        <f t="shared" si="82"/>
        <v>PEN</v>
      </c>
      <c r="N937" s="13"/>
      <c r="O937" s="13">
        <v>573.95000000000005</v>
      </c>
      <c r="P937" s="3">
        <f t="shared" si="83"/>
        <v>0</v>
      </c>
      <c r="Q937" s="3">
        <f t="shared" si="84"/>
        <v>573.95000000000005</v>
      </c>
      <c r="R937" s="3">
        <f t="shared" si="80"/>
        <v>18348.60999999999</v>
      </c>
      <c r="S937" s="24"/>
      <c r="T937" s="24"/>
      <c r="U937" s="53"/>
      <c r="V937" s="25">
        <f>IFERROR(VLOOKUP(BCP_Soles[[#This Row],[destinatario]],CHOOSE({1,2},Clientes_Proveedores[Razon Social],Clientes_Proveedores[Ruc / Dni]),2,0),"")</f>
        <v>20302891452</v>
      </c>
      <c r="W937" s="25" t="s">
        <v>249</v>
      </c>
      <c r="X937" s="25"/>
      <c r="Y937" s="25"/>
      <c r="Z937" s="75"/>
      <c r="AA937" s="3" t="str">
        <f>IF(BCP_Soles[[#This Row],[fecha]]&gt;0,TEXT(BCP_Soles[[#This Row],[fecha]],"mmmm"),0)</f>
        <v>Marzo</v>
      </c>
    </row>
    <row r="938" spans="1:27" ht="24" x14ac:dyDescent="0.3">
      <c r="A938" s="2">
        <f>IF(BCP_Soles[[#This Row],[tipo_registro]]="R",COUNTIFS($C$1:$C937,"R")+1,A937)</f>
        <v>681</v>
      </c>
      <c r="B938" s="19" t="str">
        <f t="shared" si="81"/>
        <v>B-BCP - Soles</v>
      </c>
      <c r="C938" s="3" t="s">
        <v>1330</v>
      </c>
      <c r="D938" s="14">
        <v>45733</v>
      </c>
      <c r="E938" s="5" t="s">
        <v>1338</v>
      </c>
      <c r="F938" s="5" t="s">
        <v>1336</v>
      </c>
      <c r="G938" s="6" t="s">
        <v>720</v>
      </c>
      <c r="H938" s="6" t="s">
        <v>68</v>
      </c>
      <c r="I938" s="6" t="s">
        <v>1376</v>
      </c>
      <c r="J938" s="6">
        <v>2795</v>
      </c>
      <c r="K938" s="7" t="s">
        <v>2299</v>
      </c>
      <c r="L938" s="8">
        <v>1107103</v>
      </c>
      <c r="M938" s="8" t="str">
        <f t="shared" si="82"/>
        <v>PEN</v>
      </c>
      <c r="N938" s="13"/>
      <c r="O938" s="13">
        <v>283.2</v>
      </c>
      <c r="P938" s="3">
        <f t="shared" si="83"/>
        <v>0</v>
      </c>
      <c r="Q938" s="3">
        <f t="shared" si="84"/>
        <v>283.2</v>
      </c>
      <c r="R938" s="3">
        <f t="shared" si="80"/>
        <v>18065.409999999989</v>
      </c>
      <c r="S938" s="24" t="s">
        <v>1334</v>
      </c>
      <c r="T938" s="24" t="s">
        <v>1334</v>
      </c>
      <c r="U938" s="53"/>
      <c r="V938" s="25">
        <f>IFERROR(VLOOKUP(BCP_Soles[[#This Row],[destinatario]],CHOOSE({1,2},Clientes_Proveedores[Razon Social],Clientes_Proveedores[Ruc / Dni]),2,0),"")</f>
        <v>20455690715</v>
      </c>
      <c r="W938" s="25" t="s">
        <v>2300</v>
      </c>
      <c r="X938" s="25" t="s">
        <v>2301</v>
      </c>
      <c r="Y938" s="25"/>
      <c r="Z938" s="75"/>
      <c r="AA938" s="3" t="str">
        <f>IF(BCP_Soles[[#This Row],[fecha]]&gt;0,TEXT(BCP_Soles[[#This Row],[fecha]],"mmmm"),0)</f>
        <v>Marzo</v>
      </c>
    </row>
    <row r="939" spans="1:27" ht="36" x14ac:dyDescent="0.3">
      <c r="A939" s="2">
        <f>IF(BCP_Soles[[#This Row],[tipo_registro]]="R",COUNTIFS($C$1:$C938,"R")+1,A938)</f>
        <v>682</v>
      </c>
      <c r="B939" s="19" t="str">
        <f t="shared" si="81"/>
        <v>B-BCP - Soles</v>
      </c>
      <c r="C939" s="3" t="s">
        <v>1330</v>
      </c>
      <c r="D939" s="14">
        <v>45733</v>
      </c>
      <c r="E939" s="5" t="s">
        <v>1338</v>
      </c>
      <c r="F939" s="5" t="s">
        <v>1336</v>
      </c>
      <c r="G939" s="6" t="s">
        <v>442</v>
      </c>
      <c r="H939" s="6" t="s">
        <v>68</v>
      </c>
      <c r="I939" s="6" t="s">
        <v>1376</v>
      </c>
      <c r="J939" s="6">
        <v>5541</v>
      </c>
      <c r="K939" s="7" t="s">
        <v>2302</v>
      </c>
      <c r="L939" s="8">
        <v>1104620</v>
      </c>
      <c r="M939" s="8" t="str">
        <f t="shared" si="82"/>
        <v>PEN</v>
      </c>
      <c r="N939" s="13"/>
      <c r="O939" s="13">
        <v>100.3</v>
      </c>
      <c r="P939" s="3">
        <f t="shared" si="83"/>
        <v>0</v>
      </c>
      <c r="Q939" s="3">
        <f t="shared" si="84"/>
        <v>100.3</v>
      </c>
      <c r="R939" s="3">
        <f t="shared" si="80"/>
        <v>17965.10999999999</v>
      </c>
      <c r="S939" s="24" t="s">
        <v>1334</v>
      </c>
      <c r="T939" s="24" t="s">
        <v>1334</v>
      </c>
      <c r="U939" s="53"/>
      <c r="V939" s="25">
        <f>IFERROR(VLOOKUP(BCP_Soles[[#This Row],[destinatario]],CHOOSE({1,2},Clientes_Proveedores[Razon Social],Clientes_Proveedores[Ruc / Dni]),2,0),"")</f>
        <v>20563371995</v>
      </c>
      <c r="W939" s="25" t="s">
        <v>2303</v>
      </c>
      <c r="X939" s="25" t="s">
        <v>2304</v>
      </c>
      <c r="Y939" s="25"/>
      <c r="Z939" s="75"/>
      <c r="AA939" s="3" t="str">
        <f>IF(BCP_Soles[[#This Row],[fecha]]&gt;0,TEXT(BCP_Soles[[#This Row],[fecha]],"mmmm"),0)</f>
        <v>Marzo</v>
      </c>
    </row>
    <row r="940" spans="1:27" ht="24" x14ac:dyDescent="0.3">
      <c r="A940" s="2">
        <f>IF(BCP_Soles[[#This Row],[tipo_registro]]="R",COUNTIFS($C$1:$C939,"R")+1,A939)</f>
        <v>683</v>
      </c>
      <c r="B940" s="19" t="str">
        <f t="shared" si="81"/>
        <v>B-BCP - Soles</v>
      </c>
      <c r="C940" s="3" t="s">
        <v>1330</v>
      </c>
      <c r="D940" s="14">
        <v>45733</v>
      </c>
      <c r="E940" s="5" t="s">
        <v>1338</v>
      </c>
      <c r="F940" s="5" t="s">
        <v>1336</v>
      </c>
      <c r="G940" s="6" t="s">
        <v>249</v>
      </c>
      <c r="H940" s="6"/>
      <c r="I940" s="6"/>
      <c r="J940" s="6"/>
      <c r="K940" s="7" t="s">
        <v>2305</v>
      </c>
      <c r="L940" s="8">
        <v>1207930</v>
      </c>
      <c r="M940" s="8" t="str">
        <f t="shared" si="82"/>
        <v>PEN</v>
      </c>
      <c r="N940" s="13"/>
      <c r="O940" s="13">
        <v>40.71</v>
      </c>
      <c r="P940" s="3">
        <f t="shared" si="83"/>
        <v>0</v>
      </c>
      <c r="Q940" s="3">
        <f t="shared" si="84"/>
        <v>40.71</v>
      </c>
      <c r="R940" s="3">
        <f t="shared" si="80"/>
        <v>17924.399999999991</v>
      </c>
      <c r="S940" s="24"/>
      <c r="T940" s="24"/>
      <c r="U940" s="53"/>
      <c r="V940" s="25">
        <f>IFERROR(VLOOKUP(BCP_Soles[[#This Row],[destinatario]],CHOOSE({1,2},Clientes_Proveedores[Razon Social],Clientes_Proveedores[Ruc / Dni]),2,0),"")</f>
        <v>20302891452</v>
      </c>
      <c r="W940" s="25" t="s">
        <v>249</v>
      </c>
      <c r="X940" s="25"/>
      <c r="Y940" s="25"/>
      <c r="Z940" s="75"/>
      <c r="AA940" s="3" t="str">
        <f>IF(BCP_Soles[[#This Row],[fecha]]&gt;0,TEXT(BCP_Soles[[#This Row],[fecha]],"mmmm"),0)</f>
        <v>Marzo</v>
      </c>
    </row>
    <row r="941" spans="1:27" x14ac:dyDescent="0.3">
      <c r="A941" s="2">
        <f>IF(BCP_Soles[[#This Row],[tipo_registro]]="R",COUNTIFS($C$1:$C940,"R")+1,A940)</f>
        <v>684</v>
      </c>
      <c r="B941" s="19" t="str">
        <f t="shared" si="81"/>
        <v>B-BCP - Soles</v>
      </c>
      <c r="C941" s="3" t="s">
        <v>1330</v>
      </c>
      <c r="D941" s="14">
        <v>45734</v>
      </c>
      <c r="E941" s="5" t="s">
        <v>1421</v>
      </c>
      <c r="F941" s="5" t="s">
        <v>1336</v>
      </c>
      <c r="G941" s="6" t="s">
        <v>809</v>
      </c>
      <c r="H941" s="6" t="s">
        <v>143</v>
      </c>
      <c r="I941" s="6">
        <v>1</v>
      </c>
      <c r="J941" s="6">
        <v>782025</v>
      </c>
      <c r="K941" s="7" t="s">
        <v>1582</v>
      </c>
      <c r="L941" s="8">
        <v>1000444</v>
      </c>
      <c r="M941" s="8" t="str">
        <f t="shared" si="82"/>
        <v>PEN</v>
      </c>
      <c r="N941" s="13"/>
      <c r="O941" s="13">
        <v>2800.56</v>
      </c>
      <c r="P941" s="3">
        <f t="shared" si="83"/>
        <v>0</v>
      </c>
      <c r="Q941" s="3">
        <f t="shared" si="84"/>
        <v>2800.56</v>
      </c>
      <c r="R941" s="3">
        <f t="shared" si="80"/>
        <v>15123.839999999991</v>
      </c>
      <c r="S941" s="24"/>
      <c r="T941" s="24" t="s">
        <v>1334</v>
      </c>
      <c r="U941" s="53"/>
      <c r="V941" s="25">
        <f>IFERROR(VLOOKUP(BCP_Soles[[#This Row],[destinatario]],CHOOSE({1,2},Clientes_Proveedores[Razon Social],Clientes_Proveedores[Ruc / Dni]),2,0),"")</f>
        <v>45286301</v>
      </c>
      <c r="W941" s="25"/>
      <c r="X941" s="25"/>
      <c r="Y941" s="25"/>
      <c r="Z941" s="75"/>
      <c r="AA941" s="3" t="str">
        <f>IF(BCP_Soles[[#This Row],[fecha]]&gt;0,TEXT(BCP_Soles[[#This Row],[fecha]],"mmmm"),0)</f>
        <v>Marzo</v>
      </c>
    </row>
    <row r="942" spans="1:27" ht="24" x14ac:dyDescent="0.3">
      <c r="A942" s="2">
        <f>IF(BCP_Soles[[#This Row],[tipo_registro]]="R",COUNTIFS($C$1:$C941,"R")+1,A941)</f>
        <v>685</v>
      </c>
      <c r="B942" s="19" t="str">
        <f t="shared" si="81"/>
        <v>B-BCP - Soles</v>
      </c>
      <c r="C942" s="3" t="s">
        <v>1330</v>
      </c>
      <c r="D942" s="14">
        <v>45734</v>
      </c>
      <c r="E942" s="5" t="s">
        <v>2043</v>
      </c>
      <c r="F942" s="5" t="s">
        <v>1303</v>
      </c>
      <c r="G942" s="6" t="s">
        <v>425</v>
      </c>
      <c r="H942" s="6" t="s">
        <v>119</v>
      </c>
      <c r="I942" s="6">
        <v>1</v>
      </c>
      <c r="J942" s="6">
        <v>4158</v>
      </c>
      <c r="K942" s="7" t="s">
        <v>1356</v>
      </c>
      <c r="L942" s="8">
        <v>705868</v>
      </c>
      <c r="M942" s="8" t="str">
        <f t="shared" si="82"/>
        <v>PEN</v>
      </c>
      <c r="N942" s="13"/>
      <c r="O942" s="13">
        <v>1500</v>
      </c>
      <c r="P942" s="3">
        <f t="shared" si="83"/>
        <v>1500</v>
      </c>
      <c r="Q942" s="3">
        <f t="shared" si="84"/>
        <v>0</v>
      </c>
      <c r="R942" s="3">
        <f t="shared" si="80"/>
        <v>16623.839999999989</v>
      </c>
      <c r="S942" s="24" t="s">
        <v>1334</v>
      </c>
      <c r="T942" s="24" t="s">
        <v>1334</v>
      </c>
      <c r="U942" s="53"/>
      <c r="V942" s="25">
        <f>IFERROR(VLOOKUP(BCP_Soles[[#This Row],[destinatario]],CHOOSE({1,2},Clientes_Proveedores[Razon Social],Clientes_Proveedores[Ruc / Dni]),2,0),"")</f>
        <v>20558226979</v>
      </c>
      <c r="W942" s="25" t="s">
        <v>1345</v>
      </c>
      <c r="X942" s="25" t="s">
        <v>2044</v>
      </c>
      <c r="Y942" s="25"/>
      <c r="Z942" s="75"/>
      <c r="AA942" s="3" t="str">
        <f>IF(BCP_Soles[[#This Row],[fecha]]&gt;0,TEXT(BCP_Soles[[#This Row],[fecha]],"mmmm"),0)</f>
        <v>Marzo</v>
      </c>
    </row>
    <row r="943" spans="1:27" ht="48" x14ac:dyDescent="0.3">
      <c r="A943" s="2">
        <f>IF(BCP_Soles[[#This Row],[tipo_registro]]="R",COUNTIFS($C$1:$C942,"R")+1,A942)</f>
        <v>686</v>
      </c>
      <c r="B943" s="19" t="str">
        <f t="shared" si="81"/>
        <v>B-BCP - Soles</v>
      </c>
      <c r="C943" s="3" t="s">
        <v>1330</v>
      </c>
      <c r="D943" s="14">
        <v>45734</v>
      </c>
      <c r="E943" s="5" t="s">
        <v>620</v>
      </c>
      <c r="F943" s="5" t="s">
        <v>1303</v>
      </c>
      <c r="G943" s="6" t="s">
        <v>425</v>
      </c>
      <c r="H943" s="6"/>
      <c r="I943" s="6"/>
      <c r="J943" s="6"/>
      <c r="K943" s="7" t="s">
        <v>2306</v>
      </c>
      <c r="L943" s="8">
        <v>2244876</v>
      </c>
      <c r="M943" s="8" t="str">
        <f t="shared" si="82"/>
        <v>PEN</v>
      </c>
      <c r="N943" s="13"/>
      <c r="O943" s="13">
        <v>6299.81</v>
      </c>
      <c r="P943" s="3">
        <f t="shared" si="83"/>
        <v>6299.81</v>
      </c>
      <c r="Q943" s="3">
        <f t="shared" si="84"/>
        <v>0</v>
      </c>
      <c r="R943" s="3">
        <f t="shared" si="80"/>
        <v>22923.649999999991</v>
      </c>
      <c r="S943" s="24" t="s">
        <v>1334</v>
      </c>
      <c r="T943" s="24" t="s">
        <v>1334</v>
      </c>
      <c r="U943" s="53"/>
      <c r="V943" s="25">
        <f>IFERROR(VLOOKUP(BCP_Soles[[#This Row],[destinatario]],CHOOSE({1,2},Clientes_Proveedores[Razon Social],Clientes_Proveedores[Ruc / Dni]),2,0),"")</f>
        <v>20558226979</v>
      </c>
      <c r="W943" s="25" t="s">
        <v>1345</v>
      </c>
      <c r="X943" s="25" t="s">
        <v>2307</v>
      </c>
      <c r="Y943" s="25"/>
      <c r="Z943" s="75"/>
      <c r="AA943" s="3" t="str">
        <f>IF(BCP_Soles[[#This Row],[fecha]]&gt;0,TEXT(BCP_Soles[[#This Row],[fecha]],"mmmm"),0)</f>
        <v>Marzo</v>
      </c>
    </row>
    <row r="944" spans="1:27" ht="24" x14ac:dyDescent="0.3">
      <c r="A944" s="2">
        <f>IF(BCP_Soles[[#This Row],[tipo_registro]]="R",COUNTIFS($C$1:$C943,"R")+1,A943)</f>
        <v>687</v>
      </c>
      <c r="B944" s="19" t="str">
        <f t="shared" si="81"/>
        <v>B-BCP - Soles</v>
      </c>
      <c r="C944" s="3" t="s">
        <v>1330</v>
      </c>
      <c r="D944" s="14">
        <v>45734</v>
      </c>
      <c r="E944" s="5" t="s">
        <v>462</v>
      </c>
      <c r="F944" s="5" t="s">
        <v>1303</v>
      </c>
      <c r="G944" s="6" t="s">
        <v>425</v>
      </c>
      <c r="H944" s="6"/>
      <c r="I944" s="6"/>
      <c r="J944" s="6"/>
      <c r="K944" s="7" t="s">
        <v>1356</v>
      </c>
      <c r="L944" s="8">
        <v>2772996</v>
      </c>
      <c r="M944" s="8" t="str">
        <f t="shared" si="82"/>
        <v>PEN</v>
      </c>
      <c r="N944" s="13"/>
      <c r="O944" s="13">
        <v>1719.98</v>
      </c>
      <c r="P944" s="3">
        <f t="shared" si="83"/>
        <v>1719.98</v>
      </c>
      <c r="Q944" s="3">
        <f t="shared" si="84"/>
        <v>0</v>
      </c>
      <c r="R944" s="3">
        <f t="shared" si="80"/>
        <v>24643.62999999999</v>
      </c>
      <c r="S944" s="24" t="s">
        <v>1334</v>
      </c>
      <c r="T944" s="24" t="s">
        <v>1334</v>
      </c>
      <c r="U944" s="53"/>
      <c r="V944" s="25">
        <f>IFERROR(VLOOKUP(BCP_Soles[[#This Row],[destinatario]],CHOOSE({1,2},Clientes_Proveedores[Razon Social],Clientes_Proveedores[Ruc / Dni]),2,0),"")</f>
        <v>20558226979</v>
      </c>
      <c r="W944" s="25" t="s">
        <v>1345</v>
      </c>
      <c r="X944" s="25" t="s">
        <v>2069</v>
      </c>
      <c r="Y944" s="25"/>
      <c r="Z944" s="75"/>
      <c r="AA944" s="3" t="str">
        <f>IF(BCP_Soles[[#This Row],[fecha]]&gt;0,TEXT(BCP_Soles[[#This Row],[fecha]],"mmmm"),0)</f>
        <v>Marzo</v>
      </c>
    </row>
    <row r="945" spans="1:27" ht="24" x14ac:dyDescent="0.3">
      <c r="A945" s="2">
        <f>IF(BCP_Soles[[#This Row],[tipo_registro]]="R",COUNTIFS($C$1:$C944,"R")+1,A944)</f>
        <v>688</v>
      </c>
      <c r="B945" s="19" t="str">
        <f t="shared" si="81"/>
        <v>B-BCP - Soles</v>
      </c>
      <c r="C945" s="3" t="s">
        <v>1330</v>
      </c>
      <c r="D945" s="14">
        <v>45734</v>
      </c>
      <c r="E945" s="5" t="s">
        <v>462</v>
      </c>
      <c r="F945" s="5" t="s">
        <v>1303</v>
      </c>
      <c r="G945" s="6" t="s">
        <v>425</v>
      </c>
      <c r="H945" s="6"/>
      <c r="I945" s="6"/>
      <c r="J945" s="6"/>
      <c r="K945" s="7" t="s">
        <v>1356</v>
      </c>
      <c r="L945" s="8">
        <v>2787035</v>
      </c>
      <c r="M945" s="8" t="str">
        <f t="shared" si="82"/>
        <v>PEN</v>
      </c>
      <c r="N945" s="13"/>
      <c r="O945" s="13">
        <v>1553.5</v>
      </c>
      <c r="P945" s="3">
        <f t="shared" si="83"/>
        <v>1553.5</v>
      </c>
      <c r="Q945" s="3">
        <f t="shared" si="84"/>
        <v>0</v>
      </c>
      <c r="R945" s="3">
        <f t="shared" si="80"/>
        <v>26197.12999999999</v>
      </c>
      <c r="S945" s="24" t="s">
        <v>1334</v>
      </c>
      <c r="T945" s="24" t="s">
        <v>1334</v>
      </c>
      <c r="U945" s="53"/>
      <c r="V945" s="25">
        <f>IFERROR(VLOOKUP(BCP_Soles[[#This Row],[destinatario]],CHOOSE({1,2},Clientes_Proveedores[Razon Social],Clientes_Proveedores[Ruc / Dni]),2,0),"")</f>
        <v>20558226979</v>
      </c>
      <c r="W945" s="25" t="s">
        <v>1345</v>
      </c>
      <c r="X945" s="25" t="s">
        <v>2308</v>
      </c>
      <c r="Y945" s="25"/>
      <c r="Z945" s="75"/>
      <c r="AA945" s="3" t="str">
        <f>IF(BCP_Soles[[#This Row],[fecha]]&gt;0,TEXT(BCP_Soles[[#This Row],[fecha]],"mmmm"),0)</f>
        <v>Marzo</v>
      </c>
    </row>
    <row r="946" spans="1:27" ht="24" x14ac:dyDescent="0.3">
      <c r="A946" s="2">
        <f>IF(BCP_Soles[[#This Row],[tipo_registro]]="R",COUNTIFS($C$1:$C945,"R")+1,A945)</f>
        <v>689</v>
      </c>
      <c r="B946" s="19" t="str">
        <f t="shared" si="81"/>
        <v>B-BCP - Soles</v>
      </c>
      <c r="C946" s="3" t="s">
        <v>1330</v>
      </c>
      <c r="D946" s="14">
        <v>45734</v>
      </c>
      <c r="E946" s="5" t="s">
        <v>1338</v>
      </c>
      <c r="F946" s="5" t="s">
        <v>1336</v>
      </c>
      <c r="G946" s="6" t="s">
        <v>909</v>
      </c>
      <c r="H946" s="6"/>
      <c r="I946" s="6"/>
      <c r="J946" s="6"/>
      <c r="K946" s="7" t="s">
        <v>2309</v>
      </c>
      <c r="L946" s="8">
        <v>1139962</v>
      </c>
      <c r="M946" s="8" t="str">
        <f t="shared" si="82"/>
        <v>PEN</v>
      </c>
      <c r="N946" s="13"/>
      <c r="O946" s="13">
        <v>1500</v>
      </c>
      <c r="P946" s="3">
        <f t="shared" si="83"/>
        <v>0</v>
      </c>
      <c r="Q946" s="3">
        <f t="shared" si="84"/>
        <v>1500</v>
      </c>
      <c r="R946" s="3">
        <f t="shared" si="80"/>
        <v>24697.12999999999</v>
      </c>
      <c r="S946" s="24"/>
      <c r="T946" s="24"/>
      <c r="U946" s="53"/>
      <c r="V946" s="25">
        <f>IFERROR(VLOOKUP(BCP_Soles[[#This Row],[destinatario]],CHOOSE({1,2},Clientes_Proveedores[Razon Social],Clientes_Proveedores[Ruc / Dni]),2,0),"")</f>
        <v>44314304</v>
      </c>
      <c r="W946" s="25" t="s">
        <v>909</v>
      </c>
      <c r="X946" s="25"/>
      <c r="Y946" s="25"/>
      <c r="Z946" s="75"/>
      <c r="AA946" s="3" t="str">
        <f>IF(BCP_Soles[[#This Row],[fecha]]&gt;0,TEXT(BCP_Soles[[#This Row],[fecha]],"mmmm"),0)</f>
        <v>Marzo</v>
      </c>
    </row>
    <row r="947" spans="1:27" x14ac:dyDescent="0.3">
      <c r="A947" s="2">
        <f>IF(BCP_Soles[[#This Row],[tipo_registro]]="R",COUNTIFS($C$1:$C946,"R")+1,A946)</f>
        <v>690</v>
      </c>
      <c r="B947" s="19" t="str">
        <f t="shared" si="81"/>
        <v>B-BCP - Soles</v>
      </c>
      <c r="C947" s="3" t="s">
        <v>1330</v>
      </c>
      <c r="D947" s="14">
        <v>45734</v>
      </c>
      <c r="E947" s="5" t="s">
        <v>1335</v>
      </c>
      <c r="F947" s="5" t="s">
        <v>1336</v>
      </c>
      <c r="G947" s="6"/>
      <c r="H947" s="6"/>
      <c r="I947" s="6"/>
      <c r="J947" s="6"/>
      <c r="K947" s="7" t="s">
        <v>1337</v>
      </c>
      <c r="L947" s="8"/>
      <c r="M947" s="8" t="str">
        <f t="shared" si="82"/>
        <v>PEN</v>
      </c>
      <c r="N947" s="13"/>
      <c r="O947" s="13">
        <v>0.75</v>
      </c>
      <c r="P947" s="3">
        <f t="shared" si="83"/>
        <v>0</v>
      </c>
      <c r="Q947" s="3">
        <f t="shared" si="84"/>
        <v>0.75</v>
      </c>
      <c r="R947" s="3">
        <f t="shared" si="80"/>
        <v>24696.37999999999</v>
      </c>
      <c r="S947" s="24"/>
      <c r="T947" s="24" t="s">
        <v>1334</v>
      </c>
      <c r="U947" s="53"/>
      <c r="V947" s="25" t="str">
        <f>IFERROR(VLOOKUP(BCP_Soles[[#This Row],[destinatario]],CHOOSE({1,2},Clientes_Proveedores[Razon Social],Clientes_Proveedores[Ruc / Dni]),2,0),"")</f>
        <v/>
      </c>
      <c r="W947" s="25"/>
      <c r="X947" s="25"/>
      <c r="Y947" s="25"/>
      <c r="Z947" s="75"/>
      <c r="AA947" s="3" t="str">
        <f>IF(BCP_Soles[[#This Row],[fecha]]&gt;0,TEXT(BCP_Soles[[#This Row],[fecha]],"mmmm"),0)</f>
        <v>Marzo</v>
      </c>
    </row>
    <row r="948" spans="1:27" ht="24" x14ac:dyDescent="0.3">
      <c r="A948" s="2">
        <f>IF(BCP_Soles[[#This Row],[tipo_registro]]="R",COUNTIFS($C$1:$C947,"R")+1,A947)</f>
        <v>691</v>
      </c>
      <c r="B948" s="19" t="str">
        <f t="shared" si="81"/>
        <v>B-BCP - Soles</v>
      </c>
      <c r="C948" s="3" t="s">
        <v>1330</v>
      </c>
      <c r="D948" s="14">
        <v>45734</v>
      </c>
      <c r="E948" s="5" t="s">
        <v>1335</v>
      </c>
      <c r="F948" s="5" t="s">
        <v>1336</v>
      </c>
      <c r="G948" s="6" t="s">
        <v>1060</v>
      </c>
      <c r="H948" s="6" t="s">
        <v>68</v>
      </c>
      <c r="I948" s="6" t="s">
        <v>1397</v>
      </c>
      <c r="J948" s="6">
        <v>30756070</v>
      </c>
      <c r="K948" s="7" t="s">
        <v>1400</v>
      </c>
      <c r="L948" s="8">
        <v>426</v>
      </c>
      <c r="M948" s="8" t="str">
        <f t="shared" si="82"/>
        <v>PEN</v>
      </c>
      <c r="N948" s="13"/>
      <c r="O948" s="13">
        <v>10</v>
      </c>
      <c r="P948" s="3">
        <f t="shared" si="83"/>
        <v>0</v>
      </c>
      <c r="Q948" s="3">
        <f t="shared" si="84"/>
        <v>10</v>
      </c>
      <c r="R948" s="3">
        <f t="shared" si="80"/>
        <v>24686.37999999999</v>
      </c>
      <c r="S948" s="24"/>
      <c r="T948" s="24" t="s">
        <v>1334</v>
      </c>
      <c r="U948" s="53"/>
      <c r="V948" s="25">
        <f>IFERROR(VLOOKUP(BCP_Soles[[#This Row],[destinatario]],CHOOSE({1,2},Clientes_Proveedores[Razon Social],Clientes_Proveedores[Ruc / Dni]),2,0),"")</f>
        <v>20100047218</v>
      </c>
      <c r="W948" s="25" t="s">
        <v>1335</v>
      </c>
      <c r="X948" s="25" t="s">
        <v>2310</v>
      </c>
      <c r="Y948" s="25"/>
      <c r="Z948" s="75"/>
      <c r="AA948" s="3" t="str">
        <f>IF(BCP_Soles[[#This Row],[fecha]]&gt;0,TEXT(BCP_Soles[[#This Row],[fecha]],"mmmm"),0)</f>
        <v>Marzo</v>
      </c>
    </row>
    <row r="949" spans="1:27" x14ac:dyDescent="0.3">
      <c r="A949" s="2">
        <f>IF(BCP_Soles[[#This Row],[tipo_registro]]="R",COUNTIFS($C$1:$C948,"R")+1,A948)</f>
        <v>692</v>
      </c>
      <c r="B949" s="19" t="str">
        <f t="shared" si="81"/>
        <v>B-BCP - Soles</v>
      </c>
      <c r="C949" s="3" t="s">
        <v>1330</v>
      </c>
      <c r="D949" s="14">
        <v>45734</v>
      </c>
      <c r="E949" s="5" t="s">
        <v>1338</v>
      </c>
      <c r="F949" s="5" t="s">
        <v>1336</v>
      </c>
      <c r="G949" s="6"/>
      <c r="H949" s="6"/>
      <c r="I949" s="6"/>
      <c r="J949" s="6"/>
      <c r="K949" s="7" t="s">
        <v>2311</v>
      </c>
      <c r="L949" s="8">
        <v>1015303</v>
      </c>
      <c r="M949" s="8" t="str">
        <f t="shared" si="82"/>
        <v>PEN</v>
      </c>
      <c r="N949" s="13"/>
      <c r="O949" s="13">
        <v>3157</v>
      </c>
      <c r="P949" s="3">
        <f t="shared" si="83"/>
        <v>0</v>
      </c>
      <c r="Q949" s="3">
        <f t="shared" si="84"/>
        <v>3157</v>
      </c>
      <c r="R949" s="3">
        <f t="shared" si="80"/>
        <v>21529.37999999999</v>
      </c>
      <c r="S949" s="24"/>
      <c r="T949" s="24"/>
      <c r="U949" s="53"/>
      <c r="V949" s="25" t="str">
        <f>IFERROR(VLOOKUP(BCP_Soles[[#This Row],[destinatario]],CHOOSE({1,2},Clientes_Proveedores[Razon Social],Clientes_Proveedores[Ruc / Dni]),2,0),"")</f>
        <v/>
      </c>
      <c r="W949" s="25" t="s">
        <v>1389</v>
      </c>
      <c r="X949" s="25"/>
      <c r="Y949" s="25"/>
      <c r="Z949" s="75"/>
      <c r="AA949" s="3" t="str">
        <f>IF(BCP_Soles[[#This Row],[fecha]]&gt;0,TEXT(BCP_Soles[[#This Row],[fecha]],"mmmm"),0)</f>
        <v>Marzo</v>
      </c>
    </row>
    <row r="950" spans="1:27" x14ac:dyDescent="0.3">
      <c r="A950" s="2">
        <f>IF(BCP_Soles[[#This Row],[tipo_registro]]="R",COUNTIFS($C$1:$C949,"R")+1,A949)</f>
        <v>693</v>
      </c>
      <c r="B950" s="19" t="str">
        <f t="shared" si="81"/>
        <v>B-BCP - Soles</v>
      </c>
      <c r="C950" s="3" t="s">
        <v>1330</v>
      </c>
      <c r="D950" s="14">
        <v>45735</v>
      </c>
      <c r="E950" s="5"/>
      <c r="F950" s="5" t="s">
        <v>1303</v>
      </c>
      <c r="G950" s="6" t="s">
        <v>425</v>
      </c>
      <c r="H950" s="6"/>
      <c r="I950" s="6"/>
      <c r="J950" s="6"/>
      <c r="K950" s="7" t="s">
        <v>1356</v>
      </c>
      <c r="L950" s="8">
        <v>1932483</v>
      </c>
      <c r="M950" s="8" t="str">
        <f t="shared" si="82"/>
        <v>PEN</v>
      </c>
      <c r="N950" s="13"/>
      <c r="O950" s="13">
        <v>4000</v>
      </c>
      <c r="P950" s="3">
        <f t="shared" si="83"/>
        <v>4000</v>
      </c>
      <c r="Q950" s="3">
        <f t="shared" si="84"/>
        <v>0</v>
      </c>
      <c r="R950" s="3">
        <f t="shared" si="80"/>
        <v>25529.37999999999</v>
      </c>
      <c r="S950" s="24" t="s">
        <v>1334</v>
      </c>
      <c r="T950" s="24" t="s">
        <v>1334</v>
      </c>
      <c r="U950" s="53"/>
      <c r="V950" s="25">
        <f>IFERROR(VLOOKUP(BCP_Soles[[#This Row],[destinatario]],CHOOSE({1,2},Clientes_Proveedores[Razon Social],Clientes_Proveedores[Ruc / Dni]),2,0),"")</f>
        <v>20558226979</v>
      </c>
      <c r="W950" s="25" t="s">
        <v>1345</v>
      </c>
      <c r="X950" s="25"/>
      <c r="Y950" s="25"/>
      <c r="Z950" s="75"/>
      <c r="AA950" s="3" t="str">
        <f>IF(BCP_Soles[[#This Row],[fecha]]&gt;0,TEXT(BCP_Soles[[#This Row],[fecha]],"mmmm"),0)</f>
        <v>Marzo</v>
      </c>
    </row>
    <row r="951" spans="1:27" x14ac:dyDescent="0.3">
      <c r="A951" s="2">
        <f>IF(BCP_Soles[[#This Row],[tipo_registro]]="R",COUNTIFS($C$1:$C950,"R")+1,A950)</f>
        <v>693</v>
      </c>
      <c r="B951" s="19" t="str">
        <f t="shared" si="81"/>
        <v>B-BCP - Soles</v>
      </c>
      <c r="C951" s="3" t="s">
        <v>1352</v>
      </c>
      <c r="D951" s="14">
        <v>45735</v>
      </c>
      <c r="E951" s="5" t="s">
        <v>1522</v>
      </c>
      <c r="F951" s="5" t="s">
        <v>1303</v>
      </c>
      <c r="G951" s="6" t="s">
        <v>425</v>
      </c>
      <c r="H951" s="6" t="s">
        <v>119</v>
      </c>
      <c r="I951" s="6">
        <v>1</v>
      </c>
      <c r="J951" s="6">
        <v>4133</v>
      </c>
      <c r="K951" s="7" t="s">
        <v>1356</v>
      </c>
      <c r="L951" s="8">
        <v>1932483</v>
      </c>
      <c r="M951" s="8" t="str">
        <f t="shared" si="82"/>
        <v>PEN</v>
      </c>
      <c r="N951" s="13">
        <v>3009</v>
      </c>
      <c r="O951" s="13"/>
      <c r="P951" s="3">
        <f t="shared" si="83"/>
        <v>0</v>
      </c>
      <c r="Q951" s="3">
        <f t="shared" si="84"/>
        <v>0</v>
      </c>
      <c r="R951" s="3">
        <f t="shared" si="80"/>
        <v>25529.37999999999</v>
      </c>
      <c r="S951" s="24" t="s">
        <v>1334</v>
      </c>
      <c r="T951" s="24" t="s">
        <v>1334</v>
      </c>
      <c r="U951" s="53"/>
      <c r="V951" s="25">
        <f>IFERROR(VLOOKUP(BCP_Soles[[#This Row],[destinatario]],CHOOSE({1,2},Clientes_Proveedores[Razon Social],Clientes_Proveedores[Ruc / Dni]),2,0),"")</f>
        <v>20558226979</v>
      </c>
      <c r="W951" s="25" t="s">
        <v>1345</v>
      </c>
      <c r="X951" s="25" t="s">
        <v>2312</v>
      </c>
      <c r="Y951" s="25"/>
      <c r="Z951" s="75"/>
      <c r="AA951" s="3" t="str">
        <f>IF(BCP_Soles[[#This Row],[fecha]]&gt;0,TEXT(BCP_Soles[[#This Row],[fecha]],"mmmm"),0)</f>
        <v>Marzo</v>
      </c>
    </row>
    <row r="952" spans="1:27" x14ac:dyDescent="0.3">
      <c r="A952" s="2">
        <f>IF(BCP_Soles[[#This Row],[tipo_registro]]="R",COUNTIFS($C$1:$C951,"R")+1,A951)</f>
        <v>693</v>
      </c>
      <c r="B952" s="19" t="str">
        <f t="shared" si="81"/>
        <v>B-BCP - Soles</v>
      </c>
      <c r="C952" s="3" t="s">
        <v>1352</v>
      </c>
      <c r="D952" s="14">
        <v>45735</v>
      </c>
      <c r="E952" s="5" t="s">
        <v>1522</v>
      </c>
      <c r="F952" s="5" t="s">
        <v>1303</v>
      </c>
      <c r="G952" s="6" t="s">
        <v>425</v>
      </c>
      <c r="H952" s="6" t="s">
        <v>119</v>
      </c>
      <c r="I952" s="6">
        <v>1</v>
      </c>
      <c r="J952" s="6">
        <v>4144</v>
      </c>
      <c r="K952" s="7" t="s">
        <v>1356</v>
      </c>
      <c r="L952" s="8">
        <v>1932483</v>
      </c>
      <c r="M952" s="8" t="str">
        <f t="shared" si="82"/>
        <v>PEN</v>
      </c>
      <c r="N952" s="13">
        <v>991</v>
      </c>
      <c r="O952" s="13"/>
      <c r="P952" s="3">
        <f t="shared" si="83"/>
        <v>0</v>
      </c>
      <c r="Q952" s="3">
        <f t="shared" si="84"/>
        <v>0</v>
      </c>
      <c r="R952" s="3">
        <f t="shared" si="80"/>
        <v>25529.37999999999</v>
      </c>
      <c r="S952" s="24" t="s">
        <v>1334</v>
      </c>
      <c r="T952" s="24" t="s">
        <v>1334</v>
      </c>
      <c r="U952" s="53"/>
      <c r="V952" s="25">
        <f>IFERROR(VLOOKUP(BCP_Soles[[#This Row],[destinatario]],CHOOSE({1,2},Clientes_Proveedores[Razon Social],Clientes_Proveedores[Ruc / Dni]),2,0),"")</f>
        <v>20558226979</v>
      </c>
      <c r="W952" s="25" t="s">
        <v>1345</v>
      </c>
      <c r="X952" s="25" t="s">
        <v>2313</v>
      </c>
      <c r="Y952" s="25"/>
      <c r="Z952" s="75"/>
      <c r="AA952" s="3" t="str">
        <f>IF(BCP_Soles[[#This Row],[fecha]]&gt;0,TEXT(BCP_Soles[[#This Row],[fecha]],"mmmm"),0)</f>
        <v>Marzo</v>
      </c>
    </row>
    <row r="953" spans="1:27" ht="24" x14ac:dyDescent="0.3">
      <c r="A953" s="2">
        <f>IF(BCP_Soles[[#This Row],[tipo_registro]]="R",COUNTIFS($C$1:$C952,"R")+1,A952)</f>
        <v>694</v>
      </c>
      <c r="B953" s="19" t="str">
        <f t="shared" si="81"/>
        <v>B-BCP - Soles</v>
      </c>
      <c r="C953" s="3" t="s">
        <v>1330</v>
      </c>
      <c r="D953" s="14">
        <v>45735</v>
      </c>
      <c r="E953" s="5" t="s">
        <v>1338</v>
      </c>
      <c r="F953" s="5" t="s">
        <v>1336</v>
      </c>
      <c r="G953" s="6" t="s">
        <v>249</v>
      </c>
      <c r="H953" s="6"/>
      <c r="I953" s="6"/>
      <c r="J953" s="6"/>
      <c r="K953" s="7" t="s">
        <v>2314</v>
      </c>
      <c r="L953" s="8">
        <v>1112087</v>
      </c>
      <c r="M953" s="8" t="str">
        <f t="shared" si="82"/>
        <v>PEN</v>
      </c>
      <c r="N953" s="13"/>
      <c r="O953" s="13">
        <v>40.71</v>
      </c>
      <c r="P953" s="3">
        <f t="shared" si="83"/>
        <v>0</v>
      </c>
      <c r="Q953" s="3">
        <f t="shared" si="84"/>
        <v>40.71</v>
      </c>
      <c r="R953" s="3">
        <f t="shared" si="80"/>
        <v>25488.669999999991</v>
      </c>
      <c r="S953" s="24"/>
      <c r="T953" s="24"/>
      <c r="U953" s="53"/>
      <c r="V953" s="25">
        <f>IFERROR(VLOOKUP(BCP_Soles[[#This Row],[destinatario]],CHOOSE({1,2},Clientes_Proveedores[Razon Social],Clientes_Proveedores[Ruc / Dni]),2,0),"")</f>
        <v>20302891452</v>
      </c>
      <c r="W953" s="25" t="s">
        <v>249</v>
      </c>
      <c r="X953" s="25"/>
      <c r="Y953" s="25"/>
      <c r="Z953" s="75"/>
      <c r="AA953" s="3" t="str">
        <f>IF(BCP_Soles[[#This Row],[fecha]]&gt;0,TEXT(BCP_Soles[[#This Row],[fecha]],"mmmm"),0)</f>
        <v>Marzo</v>
      </c>
    </row>
    <row r="954" spans="1:27" ht="24" x14ac:dyDescent="0.3">
      <c r="A954" s="2">
        <f>IF(BCP_Soles[[#This Row],[tipo_registro]]="R",COUNTIFS($C$1:$C953,"R")+1,A953)</f>
        <v>695</v>
      </c>
      <c r="B954" s="19" t="str">
        <f t="shared" si="81"/>
        <v>B-BCP - Soles</v>
      </c>
      <c r="C954" s="3" t="s">
        <v>1330</v>
      </c>
      <c r="D954" s="14">
        <v>45735</v>
      </c>
      <c r="E954" s="5" t="s">
        <v>1338</v>
      </c>
      <c r="F954" s="5" t="s">
        <v>1336</v>
      </c>
      <c r="G954" s="6" t="s">
        <v>249</v>
      </c>
      <c r="H954" s="6"/>
      <c r="I954" s="6"/>
      <c r="J954" s="6"/>
      <c r="K954" s="7" t="s">
        <v>2315</v>
      </c>
      <c r="L954" s="8">
        <v>1113065</v>
      </c>
      <c r="M954" s="8" t="str">
        <f t="shared" si="82"/>
        <v>PEN</v>
      </c>
      <c r="N954" s="13"/>
      <c r="O954" s="13">
        <v>40.71</v>
      </c>
      <c r="P954" s="3">
        <f t="shared" si="83"/>
        <v>0</v>
      </c>
      <c r="Q954" s="3">
        <f t="shared" si="84"/>
        <v>40.71</v>
      </c>
      <c r="R954" s="3">
        <f t="shared" si="80"/>
        <v>25447.959999999992</v>
      </c>
      <c r="S954" s="24"/>
      <c r="T954" s="24"/>
      <c r="U954" s="53"/>
      <c r="V954" s="25">
        <f>IFERROR(VLOOKUP(BCP_Soles[[#This Row],[destinatario]],CHOOSE({1,2},Clientes_Proveedores[Razon Social],Clientes_Proveedores[Ruc / Dni]),2,0),"")</f>
        <v>20302891452</v>
      </c>
      <c r="W954" s="25" t="s">
        <v>249</v>
      </c>
      <c r="X954" s="25"/>
      <c r="Y954" s="25"/>
      <c r="Z954" s="75"/>
      <c r="AA954" s="3" t="str">
        <f>IF(BCP_Soles[[#This Row],[fecha]]&gt;0,TEXT(BCP_Soles[[#This Row],[fecha]],"mmmm"),0)</f>
        <v>Marzo</v>
      </c>
    </row>
    <row r="955" spans="1:27" ht="24" x14ac:dyDescent="0.3">
      <c r="A955" s="2">
        <f>IF(BCP_Soles[[#This Row],[tipo_registro]]="R",COUNTIFS($C$1:$C954,"R")+1,A954)</f>
        <v>696</v>
      </c>
      <c r="B955" s="19" t="str">
        <f t="shared" si="81"/>
        <v>B-BCP - Soles</v>
      </c>
      <c r="C955" s="3" t="s">
        <v>1330</v>
      </c>
      <c r="D955" s="14">
        <v>45735</v>
      </c>
      <c r="E955" s="5" t="s">
        <v>1338</v>
      </c>
      <c r="F955" s="5" t="s">
        <v>1336</v>
      </c>
      <c r="G955" s="6" t="s">
        <v>705</v>
      </c>
      <c r="H955" s="6" t="s">
        <v>106</v>
      </c>
      <c r="I955" s="6" t="s">
        <v>1563</v>
      </c>
      <c r="J955" s="6">
        <v>67066289</v>
      </c>
      <c r="K955" s="7" t="s">
        <v>2316</v>
      </c>
      <c r="L955" s="8">
        <v>4113066</v>
      </c>
      <c r="M955" s="8" t="str">
        <f t="shared" si="82"/>
        <v>PEN</v>
      </c>
      <c r="N955" s="13"/>
      <c r="O955" s="13">
        <v>79.900000000000006</v>
      </c>
      <c r="P955" s="3">
        <f t="shared" si="83"/>
        <v>0</v>
      </c>
      <c r="Q955" s="3">
        <f t="shared" si="84"/>
        <v>79.900000000000006</v>
      </c>
      <c r="R955" s="3">
        <f t="shared" si="80"/>
        <v>25368.05999999999</v>
      </c>
      <c r="S955" s="24" t="s">
        <v>1334</v>
      </c>
      <c r="T955" s="24" t="s">
        <v>1334</v>
      </c>
      <c r="U955" s="53"/>
      <c r="V955" s="25">
        <f>IFERROR(VLOOKUP(BCP_Soles[[#This Row],[destinatario]],CHOOSE({1,2},Clientes_Proveedores[Razon Social],Clientes_Proveedores[Ruc / Dni]),2,0),"")</f>
        <v>20100017491</v>
      </c>
      <c r="W955" s="25" t="s">
        <v>1565</v>
      </c>
      <c r="X955" s="25" t="s">
        <v>2317</v>
      </c>
      <c r="Y955" s="25"/>
      <c r="Z955" s="75"/>
      <c r="AA955" s="3" t="str">
        <f>IF(BCP_Soles[[#This Row],[fecha]]&gt;0,TEXT(BCP_Soles[[#This Row],[fecha]],"mmmm"),0)</f>
        <v>Marzo</v>
      </c>
    </row>
    <row r="956" spans="1:27" x14ac:dyDescent="0.3">
      <c r="A956" s="2">
        <f>IF(BCP_Soles[[#This Row],[tipo_registro]]="R",COUNTIFS($C$1:$C955,"R")+1,A955)</f>
        <v>697</v>
      </c>
      <c r="B956" s="19" t="str">
        <f t="shared" si="81"/>
        <v>B-BCP - Soles</v>
      </c>
      <c r="C956" s="3" t="s">
        <v>1330</v>
      </c>
      <c r="D956" s="14">
        <v>45735</v>
      </c>
      <c r="E956" s="5" t="s">
        <v>1345</v>
      </c>
      <c r="F956" s="5" t="s">
        <v>1303</v>
      </c>
      <c r="G956" s="6" t="s">
        <v>425</v>
      </c>
      <c r="H956" s="6"/>
      <c r="I956" s="6"/>
      <c r="J956" s="6"/>
      <c r="K956" s="7" t="s">
        <v>2318</v>
      </c>
      <c r="L956" s="8">
        <v>2146343</v>
      </c>
      <c r="M956" s="8" t="str">
        <f t="shared" si="82"/>
        <v>PEN</v>
      </c>
      <c r="N956" s="13"/>
      <c r="O956" s="13">
        <v>36130</v>
      </c>
      <c r="P956" s="3">
        <f t="shared" si="83"/>
        <v>36130</v>
      </c>
      <c r="Q956" s="3">
        <f t="shared" si="84"/>
        <v>0</v>
      </c>
      <c r="R956" s="3">
        <f t="shared" si="80"/>
        <v>61498.05999999999</v>
      </c>
      <c r="S956" s="24"/>
      <c r="T956" s="24"/>
      <c r="U956" s="53"/>
      <c r="V956" s="25">
        <f>IFERROR(VLOOKUP(BCP_Soles[[#This Row],[destinatario]],CHOOSE({1,2},Clientes_Proveedores[Razon Social],Clientes_Proveedores[Ruc / Dni]),2,0),"")</f>
        <v>20558226979</v>
      </c>
      <c r="W956" s="25" t="s">
        <v>1345</v>
      </c>
      <c r="X956" s="25"/>
      <c r="Y956" s="25"/>
      <c r="Z956" s="75"/>
      <c r="AA956" s="3" t="str">
        <f>IF(BCP_Soles[[#This Row],[fecha]]&gt;0,TEXT(BCP_Soles[[#This Row],[fecha]],"mmmm"),0)</f>
        <v>Marzo</v>
      </c>
    </row>
    <row r="957" spans="1:27" x14ac:dyDescent="0.3">
      <c r="A957" s="2">
        <f>IF(BCP_Soles[[#This Row],[tipo_registro]]="R",COUNTIFS($C$1:$C956,"R")+1,A956)</f>
        <v>698</v>
      </c>
      <c r="B957" s="19" t="str">
        <f t="shared" si="81"/>
        <v>B-BCP - Soles</v>
      </c>
      <c r="C957" s="3" t="s">
        <v>1330</v>
      </c>
      <c r="D957" s="14">
        <v>45735</v>
      </c>
      <c r="E957" s="5"/>
      <c r="F957" s="5" t="s">
        <v>1303</v>
      </c>
      <c r="G957" s="6" t="s">
        <v>425</v>
      </c>
      <c r="H957" s="6"/>
      <c r="I957" s="6"/>
      <c r="J957" s="6"/>
      <c r="K957" s="7" t="s">
        <v>1356</v>
      </c>
      <c r="L957" s="8">
        <v>2505511</v>
      </c>
      <c r="M957" s="8" t="str">
        <f t="shared" si="82"/>
        <v>PEN</v>
      </c>
      <c r="N957" s="13"/>
      <c r="O957" s="13">
        <v>2951</v>
      </c>
      <c r="P957" s="3">
        <f t="shared" si="83"/>
        <v>2951</v>
      </c>
      <c r="Q957" s="3">
        <f t="shared" si="84"/>
        <v>0</v>
      </c>
      <c r="R957" s="3">
        <f t="shared" si="80"/>
        <v>64449.05999999999</v>
      </c>
      <c r="S957" s="24" t="s">
        <v>1334</v>
      </c>
      <c r="T957" s="24" t="s">
        <v>1334</v>
      </c>
      <c r="U957" s="53"/>
      <c r="V957" s="25">
        <f>IFERROR(VLOOKUP(BCP_Soles[[#This Row],[destinatario]],CHOOSE({1,2},Clientes_Proveedores[Razon Social],Clientes_Proveedores[Ruc / Dni]),2,0),"")</f>
        <v>20558226979</v>
      </c>
      <c r="W957" s="25" t="s">
        <v>1345</v>
      </c>
      <c r="X957" s="25"/>
      <c r="Y957" s="25"/>
      <c r="Z957" s="75"/>
      <c r="AA957" s="3" t="str">
        <f>IF(BCP_Soles[[#This Row],[fecha]]&gt;0,TEXT(BCP_Soles[[#This Row],[fecha]],"mmmm"),0)</f>
        <v>Marzo</v>
      </c>
    </row>
    <row r="958" spans="1:27" ht="24" x14ac:dyDescent="0.3">
      <c r="A958" s="2">
        <f>IF(BCP_Soles[[#This Row],[tipo_registro]]="R",COUNTIFS($C$1:$C957,"R")+1,A957)</f>
        <v>698</v>
      </c>
      <c r="B958" s="19" t="str">
        <f t="shared" si="81"/>
        <v>B-BCP - Soles</v>
      </c>
      <c r="C958" s="3" t="s">
        <v>1352</v>
      </c>
      <c r="D958" s="14">
        <v>45735</v>
      </c>
      <c r="E958" s="5" t="s">
        <v>536</v>
      </c>
      <c r="F958" s="5" t="s">
        <v>1303</v>
      </c>
      <c r="G958" s="6" t="s">
        <v>425</v>
      </c>
      <c r="H958" s="6" t="s">
        <v>119</v>
      </c>
      <c r="I958" s="6">
        <v>1</v>
      </c>
      <c r="J958" s="6">
        <v>4225</v>
      </c>
      <c r="K958" s="7" t="s">
        <v>1356</v>
      </c>
      <c r="L958" s="8">
        <v>2505511</v>
      </c>
      <c r="M958" s="8" t="str">
        <f t="shared" si="82"/>
        <v>PEN</v>
      </c>
      <c r="N958" s="13">
        <v>727</v>
      </c>
      <c r="O958" s="13"/>
      <c r="P958" s="3">
        <f t="shared" si="83"/>
        <v>0</v>
      </c>
      <c r="Q958" s="3">
        <f t="shared" si="84"/>
        <v>0</v>
      </c>
      <c r="R958" s="3">
        <f t="shared" si="80"/>
        <v>64449.05999999999</v>
      </c>
      <c r="S958" s="24" t="s">
        <v>1334</v>
      </c>
      <c r="T958" s="24" t="s">
        <v>1334</v>
      </c>
      <c r="U958" s="53"/>
      <c r="V958" s="25">
        <f>IFERROR(VLOOKUP(BCP_Soles[[#This Row],[destinatario]],CHOOSE({1,2},Clientes_Proveedores[Razon Social],Clientes_Proveedores[Ruc / Dni]),2,0),"")</f>
        <v>20558226979</v>
      </c>
      <c r="W958" s="25" t="s">
        <v>1345</v>
      </c>
      <c r="X958" s="25" t="s">
        <v>2319</v>
      </c>
      <c r="Y958" s="25"/>
      <c r="Z958" s="75"/>
      <c r="AA958" s="3" t="str">
        <f>IF(BCP_Soles[[#This Row],[fecha]]&gt;0,TEXT(BCP_Soles[[#This Row],[fecha]],"mmmm"),0)</f>
        <v>Marzo</v>
      </c>
    </row>
    <row r="959" spans="1:27" ht="24" x14ac:dyDescent="0.3">
      <c r="A959" s="2">
        <f>IF(BCP_Soles[[#This Row],[tipo_registro]]="R",COUNTIFS($C$1:$C958,"R")+1,A958)</f>
        <v>698</v>
      </c>
      <c r="B959" s="19" t="str">
        <f t="shared" si="81"/>
        <v>B-BCP - Soles</v>
      </c>
      <c r="C959" s="3" t="s">
        <v>1352</v>
      </c>
      <c r="D959" s="14">
        <v>45735</v>
      </c>
      <c r="E959" s="5" t="s">
        <v>536</v>
      </c>
      <c r="F959" s="5" t="s">
        <v>1303</v>
      </c>
      <c r="G959" s="6" t="s">
        <v>425</v>
      </c>
      <c r="H959" s="6" t="s">
        <v>119</v>
      </c>
      <c r="I959" s="6">
        <v>1</v>
      </c>
      <c r="J959" s="6">
        <v>4226</v>
      </c>
      <c r="K959" s="7" t="s">
        <v>1356</v>
      </c>
      <c r="L959" s="8">
        <v>2505511</v>
      </c>
      <c r="M959" s="8" t="str">
        <f t="shared" si="82"/>
        <v>PEN</v>
      </c>
      <c r="N959" s="13">
        <v>992</v>
      </c>
      <c r="O959" s="13"/>
      <c r="P959" s="3">
        <f t="shared" si="83"/>
        <v>0</v>
      </c>
      <c r="Q959" s="3">
        <f t="shared" si="84"/>
        <v>0</v>
      </c>
      <c r="R959" s="3">
        <f t="shared" si="80"/>
        <v>64449.05999999999</v>
      </c>
      <c r="S959" s="24" t="s">
        <v>1334</v>
      </c>
      <c r="T959" s="24" t="s">
        <v>1334</v>
      </c>
      <c r="U959" s="53"/>
      <c r="V959" s="25">
        <f>IFERROR(VLOOKUP(BCP_Soles[[#This Row],[destinatario]],CHOOSE({1,2},Clientes_Proveedores[Razon Social],Clientes_Proveedores[Ruc / Dni]),2,0),"")</f>
        <v>20558226979</v>
      </c>
      <c r="W959" s="25" t="s">
        <v>1345</v>
      </c>
      <c r="X959" s="25" t="s">
        <v>2320</v>
      </c>
      <c r="Y959" s="25"/>
      <c r="Z959" s="75"/>
      <c r="AA959" s="3" t="str">
        <f>IF(BCP_Soles[[#This Row],[fecha]]&gt;0,TEXT(BCP_Soles[[#This Row],[fecha]],"mmmm"),0)</f>
        <v>Marzo</v>
      </c>
    </row>
    <row r="960" spans="1:27" ht="24" x14ac:dyDescent="0.3">
      <c r="A960" s="2">
        <f>IF(BCP_Soles[[#This Row],[tipo_registro]]="R",COUNTIFS($C$1:$C959,"R")+1,A959)</f>
        <v>698</v>
      </c>
      <c r="B960" s="19" t="str">
        <f t="shared" si="81"/>
        <v>B-BCP - Soles</v>
      </c>
      <c r="C960" s="3" t="s">
        <v>1352</v>
      </c>
      <c r="D960" s="14">
        <v>45735</v>
      </c>
      <c r="E960" s="5" t="s">
        <v>536</v>
      </c>
      <c r="F960" s="5" t="s">
        <v>1303</v>
      </c>
      <c r="G960" s="6" t="s">
        <v>425</v>
      </c>
      <c r="H960" s="6" t="s">
        <v>119</v>
      </c>
      <c r="I960" s="6">
        <v>1</v>
      </c>
      <c r="J960" s="6">
        <v>4229</v>
      </c>
      <c r="K960" s="7" t="s">
        <v>1356</v>
      </c>
      <c r="L960" s="8">
        <v>2505511</v>
      </c>
      <c r="M960" s="8" t="str">
        <f t="shared" si="82"/>
        <v>PEN</v>
      </c>
      <c r="N960" s="13">
        <v>1232</v>
      </c>
      <c r="O960" s="13"/>
      <c r="P960" s="3">
        <f t="shared" si="83"/>
        <v>0</v>
      </c>
      <c r="Q960" s="3">
        <f t="shared" si="84"/>
        <v>0</v>
      </c>
      <c r="R960" s="3">
        <f t="shared" si="80"/>
        <v>64449.05999999999</v>
      </c>
      <c r="S960" s="24" t="s">
        <v>1334</v>
      </c>
      <c r="T960" s="24" t="s">
        <v>1334</v>
      </c>
      <c r="U960" s="53"/>
      <c r="V960" s="25">
        <f>IFERROR(VLOOKUP(BCP_Soles[[#This Row],[destinatario]],CHOOSE({1,2},Clientes_Proveedores[Razon Social],Clientes_Proveedores[Ruc / Dni]),2,0),"")</f>
        <v>20558226979</v>
      </c>
      <c r="W960" s="25" t="s">
        <v>1345</v>
      </c>
      <c r="X960" s="25" t="s">
        <v>2321</v>
      </c>
      <c r="Y960" s="25"/>
      <c r="Z960" s="75"/>
      <c r="AA960" s="3" t="str">
        <f>IF(BCP_Soles[[#This Row],[fecha]]&gt;0,TEXT(BCP_Soles[[#This Row],[fecha]],"mmmm"),0)</f>
        <v>Marzo</v>
      </c>
    </row>
    <row r="961" spans="1:27" x14ac:dyDescent="0.3">
      <c r="A961" s="2">
        <f>IF(BCP_Soles[[#This Row],[tipo_registro]]="R",COUNTIFS($C$1:$C960,"R")+1,A960)</f>
        <v>699</v>
      </c>
      <c r="B961" s="19" t="str">
        <f t="shared" si="81"/>
        <v>B-BCP - Soles</v>
      </c>
      <c r="C961" s="3" t="s">
        <v>1330</v>
      </c>
      <c r="D961" s="14">
        <v>45735</v>
      </c>
      <c r="E961" s="5" t="s">
        <v>335</v>
      </c>
      <c r="F961" s="5" t="s">
        <v>1303</v>
      </c>
      <c r="G961" s="6" t="s">
        <v>425</v>
      </c>
      <c r="H961" s="6"/>
      <c r="I961" s="6"/>
      <c r="J961" s="6"/>
      <c r="K961" s="7" t="s">
        <v>1912</v>
      </c>
      <c r="L961" s="8">
        <v>2215336</v>
      </c>
      <c r="M961" s="8" t="str">
        <f t="shared" si="82"/>
        <v>PEN</v>
      </c>
      <c r="N961" s="13"/>
      <c r="O961" s="13">
        <v>670.73</v>
      </c>
      <c r="P961" s="3">
        <f t="shared" si="83"/>
        <v>670.73</v>
      </c>
      <c r="Q961" s="3">
        <f t="shared" si="84"/>
        <v>0</v>
      </c>
      <c r="R961" s="3">
        <f t="shared" si="80"/>
        <v>65119.789999999994</v>
      </c>
      <c r="S961" s="24" t="s">
        <v>1334</v>
      </c>
      <c r="T961" s="24" t="s">
        <v>1334</v>
      </c>
      <c r="U961" s="53"/>
      <c r="V961" s="25">
        <f>IFERROR(VLOOKUP(BCP_Soles[[#This Row],[destinatario]],CHOOSE({1,2},Clientes_Proveedores[Razon Social],Clientes_Proveedores[Ruc / Dni]),2,0),"")</f>
        <v>20558226979</v>
      </c>
      <c r="W961" s="25" t="s">
        <v>1345</v>
      </c>
      <c r="X961" s="25" t="s">
        <v>2322</v>
      </c>
      <c r="Y961" s="25"/>
      <c r="Z961" s="75"/>
      <c r="AA961" s="3" t="str">
        <f>IF(BCP_Soles[[#This Row],[fecha]]&gt;0,TEXT(BCP_Soles[[#This Row],[fecha]],"mmmm"),0)</f>
        <v>Marzo</v>
      </c>
    </row>
    <row r="962" spans="1:27" x14ac:dyDescent="0.3">
      <c r="A962" s="2">
        <f>IF(BCP_Soles[[#This Row],[tipo_registro]]="R",COUNTIFS($C$1:$C961,"R")+1,A961)</f>
        <v>700</v>
      </c>
      <c r="B962" s="19" t="str">
        <f t="shared" si="81"/>
        <v>B-BCP - Soles</v>
      </c>
      <c r="C962" s="3" t="s">
        <v>1330</v>
      </c>
      <c r="D962" s="14">
        <v>45735</v>
      </c>
      <c r="E962" s="5" t="s">
        <v>1335</v>
      </c>
      <c r="F962" s="5" t="s">
        <v>1336</v>
      </c>
      <c r="G962" s="6"/>
      <c r="H962" s="6"/>
      <c r="I962" s="6"/>
      <c r="J962" s="6"/>
      <c r="K962" s="7" t="s">
        <v>1337</v>
      </c>
      <c r="L962" s="8"/>
      <c r="M962" s="8" t="str">
        <f t="shared" si="82"/>
        <v>PEN</v>
      </c>
      <c r="N962" s="13"/>
      <c r="O962" s="13">
        <v>0.8</v>
      </c>
      <c r="P962" s="3">
        <f t="shared" si="83"/>
        <v>0</v>
      </c>
      <c r="Q962" s="3">
        <f t="shared" si="84"/>
        <v>0.8</v>
      </c>
      <c r="R962" s="3">
        <f t="shared" si="80"/>
        <v>65118.989999999991</v>
      </c>
      <c r="S962" s="24"/>
      <c r="T962" s="24" t="s">
        <v>1334</v>
      </c>
      <c r="U962" s="53"/>
      <c r="V962" s="25" t="str">
        <f>IFERROR(VLOOKUP(BCP_Soles[[#This Row],[destinatario]],CHOOSE({1,2},Clientes_Proveedores[Razon Social],Clientes_Proveedores[Ruc / Dni]),2,0),"")</f>
        <v/>
      </c>
      <c r="W962" s="25"/>
      <c r="X962" s="25"/>
      <c r="Y962" s="25"/>
      <c r="Z962" s="75"/>
      <c r="AA962" s="3" t="str">
        <f>IF(BCP_Soles[[#This Row],[fecha]]&gt;0,TEXT(BCP_Soles[[#This Row],[fecha]],"mmmm"),0)</f>
        <v>Marzo</v>
      </c>
    </row>
    <row r="963" spans="1:27" ht="24" x14ac:dyDescent="0.3">
      <c r="A963" s="2">
        <f>IF(BCP_Soles[[#This Row],[tipo_registro]]="R",COUNTIFS($C$1:$C962,"R")+1,A962)</f>
        <v>701</v>
      </c>
      <c r="B963" s="19" t="str">
        <f t="shared" si="81"/>
        <v>B-BCP - Soles</v>
      </c>
      <c r="C963" s="3" t="s">
        <v>1330</v>
      </c>
      <c r="D963" s="14">
        <v>45735</v>
      </c>
      <c r="E963" s="5" t="s">
        <v>1335</v>
      </c>
      <c r="F963" s="5" t="s">
        <v>1336</v>
      </c>
      <c r="G963" s="6" t="s">
        <v>1060</v>
      </c>
      <c r="H963" s="6" t="s">
        <v>68</v>
      </c>
      <c r="I963" s="6" t="s">
        <v>1397</v>
      </c>
      <c r="J963" s="6">
        <v>30799573</v>
      </c>
      <c r="K963" s="7" t="s">
        <v>2323</v>
      </c>
      <c r="L963" s="8">
        <v>4392964</v>
      </c>
      <c r="M963" s="8" t="str">
        <f t="shared" si="82"/>
        <v>PEN</v>
      </c>
      <c r="N963" s="13"/>
      <c r="O963" s="13">
        <v>2.5</v>
      </c>
      <c r="P963" s="3">
        <f t="shared" si="83"/>
        <v>0</v>
      </c>
      <c r="Q963" s="3">
        <f t="shared" si="84"/>
        <v>2.5</v>
      </c>
      <c r="R963" s="3">
        <f t="shared" si="80"/>
        <v>65116.489999999991</v>
      </c>
      <c r="S963" s="24"/>
      <c r="T963" s="24" t="s">
        <v>1334</v>
      </c>
      <c r="U963" s="53"/>
      <c r="V963" s="25">
        <f>IFERROR(VLOOKUP(BCP_Soles[[#This Row],[destinatario]],CHOOSE({1,2},Clientes_Proveedores[Razon Social],Clientes_Proveedores[Ruc / Dni]),2,0),"")</f>
        <v>20100047218</v>
      </c>
      <c r="W963" s="25" t="s">
        <v>1335</v>
      </c>
      <c r="X963" s="25" t="s">
        <v>2324</v>
      </c>
      <c r="Y963" s="25"/>
      <c r="Z963" s="75"/>
      <c r="AA963" s="3" t="str">
        <f>IF(BCP_Soles[[#This Row],[fecha]]&gt;0,TEXT(BCP_Soles[[#This Row],[fecha]],"mmmm"),0)</f>
        <v>Marzo</v>
      </c>
    </row>
    <row r="964" spans="1:27" ht="24" x14ac:dyDescent="0.3">
      <c r="A964" s="2">
        <f>IF(BCP_Soles[[#This Row],[tipo_registro]]="R",COUNTIFS($C$1:$C963,"R")+1,A963)</f>
        <v>702</v>
      </c>
      <c r="B964" s="19" t="str">
        <f t="shared" si="81"/>
        <v>B-BCP - Soles</v>
      </c>
      <c r="C964" s="3" t="s">
        <v>1330</v>
      </c>
      <c r="D964" s="14">
        <v>45735</v>
      </c>
      <c r="E964" s="5" t="s">
        <v>2269</v>
      </c>
      <c r="F964" s="5" t="s">
        <v>1336</v>
      </c>
      <c r="G964" s="6" t="s">
        <v>704</v>
      </c>
      <c r="H964" s="6" t="s">
        <v>106</v>
      </c>
      <c r="I964" s="6" t="s">
        <v>1559</v>
      </c>
      <c r="J964" s="6">
        <v>3935844</v>
      </c>
      <c r="K964" s="7" t="s">
        <v>1490</v>
      </c>
      <c r="L964" s="8">
        <v>4206704</v>
      </c>
      <c r="M964" s="8" t="str">
        <f t="shared" si="82"/>
        <v>PEN</v>
      </c>
      <c r="N964" s="13"/>
      <c r="O964" s="13">
        <v>15.2</v>
      </c>
      <c r="P964" s="3">
        <f t="shared" si="83"/>
        <v>0</v>
      </c>
      <c r="Q964" s="3">
        <f t="shared" si="84"/>
        <v>15.2</v>
      </c>
      <c r="R964" s="3">
        <f t="shared" si="80"/>
        <v>65101.289999999994</v>
      </c>
      <c r="S964" s="24" t="s">
        <v>1334</v>
      </c>
      <c r="T964" s="24" t="s">
        <v>1334</v>
      </c>
      <c r="U964" s="53"/>
      <c r="V964" s="25">
        <f>IFERROR(VLOOKUP(BCP_Soles[[#This Row],[destinatario]],CHOOSE({1,2},Clientes_Proveedores[Razon Social],Clientes_Proveedores[Ruc / Dni]),2,0),"")</f>
        <v>20100152356</v>
      </c>
      <c r="W964" s="25" t="s">
        <v>704</v>
      </c>
      <c r="X964" s="25" t="s">
        <v>2325</v>
      </c>
      <c r="Y964" s="25"/>
      <c r="Z964" s="75"/>
      <c r="AA964" s="3" t="str">
        <f>IF(BCP_Soles[[#This Row],[fecha]]&gt;0,TEXT(BCP_Soles[[#This Row],[fecha]],"mmmm"),0)</f>
        <v>Marzo</v>
      </c>
    </row>
    <row r="965" spans="1:27" ht="24" x14ac:dyDescent="0.3">
      <c r="A965" s="2">
        <f>IF(BCP_Soles[[#This Row],[tipo_registro]]="R",COUNTIFS($C$1:$C964,"R")+1,A964)</f>
        <v>703</v>
      </c>
      <c r="B965" s="19" t="str">
        <f t="shared" si="81"/>
        <v>B-BCP - Soles</v>
      </c>
      <c r="C965" s="3" t="s">
        <v>1330</v>
      </c>
      <c r="D965" s="14">
        <v>45735</v>
      </c>
      <c r="E965" s="5" t="s">
        <v>1338</v>
      </c>
      <c r="F965" s="5" t="s">
        <v>1336</v>
      </c>
      <c r="G965" s="6" t="s">
        <v>706</v>
      </c>
      <c r="H965" s="6" t="s">
        <v>106</v>
      </c>
      <c r="I965" s="6" t="s">
        <v>1570</v>
      </c>
      <c r="J965" s="6">
        <v>69619855</v>
      </c>
      <c r="K965" s="7" t="s">
        <v>1567</v>
      </c>
      <c r="L965" s="8">
        <v>4207649</v>
      </c>
      <c r="M965" s="8" t="str">
        <f t="shared" si="82"/>
        <v>PEN</v>
      </c>
      <c r="N965" s="13"/>
      <c r="O965" s="13">
        <v>18.3</v>
      </c>
      <c r="P965" s="3">
        <f t="shared" si="83"/>
        <v>0</v>
      </c>
      <c r="Q965" s="3">
        <f t="shared" si="84"/>
        <v>18.3</v>
      </c>
      <c r="R965" s="3">
        <f t="shared" si="80"/>
        <v>65082.989999999991</v>
      </c>
      <c r="S965" s="24" t="s">
        <v>1334</v>
      </c>
      <c r="T965" s="24" t="s">
        <v>1334</v>
      </c>
      <c r="U965" s="53"/>
      <c r="V965" s="25">
        <f>IFERROR(VLOOKUP(BCP_Soles[[#This Row],[destinatario]],CHOOSE({1,2},Clientes_Proveedores[Razon Social],Clientes_Proveedores[Ruc / Dni]),2,0),"")</f>
        <v>20331898008</v>
      </c>
      <c r="W965" s="25" t="s">
        <v>1568</v>
      </c>
      <c r="X965" s="25" t="s">
        <v>2326</v>
      </c>
      <c r="Y965" s="25"/>
      <c r="Z965" s="75"/>
      <c r="AA965" s="3" t="str">
        <f>IF(BCP_Soles[[#This Row],[fecha]]&gt;0,TEXT(BCP_Soles[[#This Row],[fecha]],"mmmm"),0)</f>
        <v>Marzo</v>
      </c>
    </row>
    <row r="966" spans="1:27" ht="36" x14ac:dyDescent="0.3">
      <c r="A966" s="2">
        <f>IF(BCP_Soles[[#This Row],[tipo_registro]]="R",COUNTIFS($C$1:$C965,"R")+1,A965)</f>
        <v>704</v>
      </c>
      <c r="B966" s="19" t="str">
        <f t="shared" si="81"/>
        <v>B-BCP - Soles</v>
      </c>
      <c r="C966" s="3" t="s">
        <v>1330</v>
      </c>
      <c r="D966" s="14">
        <v>45735</v>
      </c>
      <c r="E966" s="5" t="s">
        <v>2269</v>
      </c>
      <c r="F966" s="5" t="s">
        <v>1336</v>
      </c>
      <c r="G966" s="6" t="s">
        <v>588</v>
      </c>
      <c r="H966" s="6" t="s">
        <v>68</v>
      </c>
      <c r="I966" s="6" t="s">
        <v>1376</v>
      </c>
      <c r="J966" s="6">
        <v>367</v>
      </c>
      <c r="K966" s="7" t="s">
        <v>2327</v>
      </c>
      <c r="L966" s="8">
        <v>1205719</v>
      </c>
      <c r="M966" s="8" t="str">
        <f t="shared" si="82"/>
        <v>PEN</v>
      </c>
      <c r="N966" s="13"/>
      <c r="O966" s="13">
        <v>70.680000000000007</v>
      </c>
      <c r="P966" s="3">
        <f t="shared" si="83"/>
        <v>0</v>
      </c>
      <c r="Q966" s="3">
        <f t="shared" si="84"/>
        <v>70.680000000000007</v>
      </c>
      <c r="R966" s="3">
        <f t="shared" si="80"/>
        <v>65012.30999999999</v>
      </c>
      <c r="S966" s="24" t="s">
        <v>1334</v>
      </c>
      <c r="T966" s="24" t="s">
        <v>1334</v>
      </c>
      <c r="U966" s="53"/>
      <c r="V966" s="25">
        <f>IFERROR(VLOOKUP(BCP_Soles[[#This Row],[destinatario]],CHOOSE({1,2},Clientes_Proveedores[Razon Social],Clientes_Proveedores[Ruc / Dni]),2,0),"")</f>
        <v>20609368773</v>
      </c>
      <c r="W966" s="25" t="s">
        <v>1439</v>
      </c>
      <c r="X966" s="25" t="s">
        <v>2328</v>
      </c>
      <c r="Y966" s="25"/>
      <c r="Z966" s="75"/>
      <c r="AA966" s="3" t="str">
        <f>IF(BCP_Soles[[#This Row],[fecha]]&gt;0,TEXT(BCP_Soles[[#This Row],[fecha]],"mmmm"),0)</f>
        <v>Marzo</v>
      </c>
    </row>
    <row r="967" spans="1:27" ht="24" x14ac:dyDescent="0.3">
      <c r="A967" s="2">
        <f>IF(BCP_Soles[[#This Row],[tipo_registro]]="R",COUNTIFS($C$1:$C966,"R")+1,A966)</f>
        <v>705</v>
      </c>
      <c r="B967" s="19" t="str">
        <f t="shared" si="81"/>
        <v>B-BCP - Soles</v>
      </c>
      <c r="C967" s="3" t="s">
        <v>1330</v>
      </c>
      <c r="D967" s="14">
        <v>45735</v>
      </c>
      <c r="E967" s="5" t="s">
        <v>2269</v>
      </c>
      <c r="F967" s="5" t="s">
        <v>1336</v>
      </c>
      <c r="G967" s="6" t="s">
        <v>703</v>
      </c>
      <c r="H967" s="6" t="s">
        <v>106</v>
      </c>
      <c r="I967" s="6" t="s">
        <v>1484</v>
      </c>
      <c r="J967" s="6">
        <v>29206866</v>
      </c>
      <c r="K967" s="7" t="s">
        <v>2329</v>
      </c>
      <c r="L967" s="8">
        <v>207193</v>
      </c>
      <c r="M967" s="8" t="str">
        <f t="shared" si="82"/>
        <v>PEN</v>
      </c>
      <c r="N967" s="13"/>
      <c r="O967" s="13">
        <v>114</v>
      </c>
      <c r="P967" s="3">
        <f t="shared" si="83"/>
        <v>0</v>
      </c>
      <c r="Q967" s="3">
        <f t="shared" si="84"/>
        <v>114</v>
      </c>
      <c r="R967" s="3">
        <f t="shared" si="80"/>
        <v>64898.30999999999</v>
      </c>
      <c r="S967" s="24" t="s">
        <v>1334</v>
      </c>
      <c r="T967" s="24" t="s">
        <v>1334</v>
      </c>
      <c r="U967" s="53"/>
      <c r="V967" s="25">
        <f>IFERROR(VLOOKUP(BCP_Soles[[#This Row],[destinatario]],CHOOSE({1,2},Clientes_Proveedores[Razon Social],Clientes_Proveedores[Ruc / Dni]),2,0),"")</f>
        <v>20100188628</v>
      </c>
      <c r="W967" s="25" t="s">
        <v>1486</v>
      </c>
      <c r="X967" s="25" t="s">
        <v>2330</v>
      </c>
      <c r="Y967" s="25"/>
      <c r="Z967" s="75"/>
      <c r="AA967" s="3" t="str">
        <f>IF(BCP_Soles[[#This Row],[fecha]]&gt;0,TEXT(BCP_Soles[[#This Row],[fecha]],"mmmm"),0)</f>
        <v>Marzo</v>
      </c>
    </row>
    <row r="968" spans="1:27" ht="24" x14ac:dyDescent="0.3">
      <c r="A968" s="2">
        <f>IF(BCP_Soles[[#This Row],[tipo_registro]]="R",COUNTIFS($C$1:$C967,"R")+1,A967)</f>
        <v>706</v>
      </c>
      <c r="B968" s="19" t="str">
        <f t="shared" si="81"/>
        <v>B-BCP - Soles</v>
      </c>
      <c r="C968" s="3" t="s">
        <v>1330</v>
      </c>
      <c r="D968" s="14">
        <v>45735</v>
      </c>
      <c r="E968" s="5" t="s">
        <v>2269</v>
      </c>
      <c r="F968" s="5" t="s">
        <v>1336</v>
      </c>
      <c r="G968" s="6" t="s">
        <v>721</v>
      </c>
      <c r="H968" s="6" t="s">
        <v>68</v>
      </c>
      <c r="I968" s="6" t="s">
        <v>2331</v>
      </c>
      <c r="J968" s="6">
        <v>4611</v>
      </c>
      <c r="K968" s="7" t="s">
        <v>2332</v>
      </c>
      <c r="L968" s="8">
        <v>1207192</v>
      </c>
      <c r="M968" s="8" t="str">
        <f t="shared" si="82"/>
        <v>PEN</v>
      </c>
      <c r="N968" s="13"/>
      <c r="O968" s="13">
        <v>240</v>
      </c>
      <c r="P968" s="3">
        <f t="shared" si="83"/>
        <v>0</v>
      </c>
      <c r="Q968" s="3">
        <f t="shared" si="84"/>
        <v>240</v>
      </c>
      <c r="R968" s="3">
        <f t="shared" si="80"/>
        <v>64658.30999999999</v>
      </c>
      <c r="S968" s="24" t="s">
        <v>1334</v>
      </c>
      <c r="T968" s="24" t="s">
        <v>1334</v>
      </c>
      <c r="U968" s="53"/>
      <c r="V968" s="25">
        <f>IFERROR(VLOOKUP(BCP_Soles[[#This Row],[destinatario]],CHOOSE({1,2},Clientes_Proveedores[Razon Social],Clientes_Proveedores[Ruc / Dni]),2,0),"")</f>
        <v>20603100710</v>
      </c>
      <c r="W968" s="25" t="s">
        <v>922</v>
      </c>
      <c r="X968" s="25" t="s">
        <v>2333</v>
      </c>
      <c r="Y968" s="25"/>
      <c r="Z968" s="75"/>
      <c r="AA968" s="3" t="str">
        <f>IF(BCP_Soles[[#This Row],[fecha]]&gt;0,TEXT(BCP_Soles[[#This Row],[fecha]],"mmmm"),0)</f>
        <v>Marzo</v>
      </c>
    </row>
    <row r="969" spans="1:27" ht="24" x14ac:dyDescent="0.3">
      <c r="A969" s="2">
        <f>IF(BCP_Soles[[#This Row],[tipo_registro]]="R",COUNTIFS($C$1:$C968,"R")+1,A968)</f>
        <v>707</v>
      </c>
      <c r="B969" s="19" t="str">
        <f t="shared" si="81"/>
        <v>B-BCP - Soles</v>
      </c>
      <c r="C969" s="3" t="s">
        <v>1330</v>
      </c>
      <c r="D969" s="14">
        <v>45735</v>
      </c>
      <c r="E969" s="5" t="s">
        <v>1338</v>
      </c>
      <c r="F969" s="5" t="s">
        <v>1336</v>
      </c>
      <c r="G969" s="6" t="s">
        <v>710</v>
      </c>
      <c r="H969" s="6" t="s">
        <v>106</v>
      </c>
      <c r="I969" s="6"/>
      <c r="J969" s="6">
        <v>58494881</v>
      </c>
      <c r="K969" s="7" t="s">
        <v>1477</v>
      </c>
      <c r="L969" s="8">
        <v>204250</v>
      </c>
      <c r="M969" s="8" t="str">
        <f t="shared" si="82"/>
        <v>PEN</v>
      </c>
      <c r="N969" s="13"/>
      <c r="O969" s="13">
        <v>245.3</v>
      </c>
      <c r="P969" s="3">
        <f t="shared" si="83"/>
        <v>0</v>
      </c>
      <c r="Q969" s="3">
        <f t="shared" si="84"/>
        <v>245.3</v>
      </c>
      <c r="R969" s="3">
        <f t="shared" ref="R969:R1032" si="85">IFERROR(IF(F969="SALDO",P969,R968+P969-Q969),0)</f>
        <v>64413.009999999987</v>
      </c>
      <c r="S969" s="24" t="s">
        <v>1334</v>
      </c>
      <c r="T969" s="24" t="s">
        <v>1334</v>
      </c>
      <c r="U969" s="53"/>
      <c r="V969" s="25">
        <f>IFERROR(VLOOKUP(BCP_Soles[[#This Row],[destinatario]],CHOOSE({1,2},Clientes_Proveedores[Razon Social],Clientes_Proveedores[Ruc / Dni]),2,0),"")</f>
        <v>20100211034</v>
      </c>
      <c r="W969" s="25" t="s">
        <v>1478</v>
      </c>
      <c r="X969" s="25" t="s">
        <v>2334</v>
      </c>
      <c r="Y969" s="25"/>
      <c r="Z969" s="75"/>
      <c r="AA969" s="3" t="str">
        <f>IF(BCP_Soles[[#This Row],[fecha]]&gt;0,TEXT(BCP_Soles[[#This Row],[fecha]],"mmmm"),0)</f>
        <v>Marzo</v>
      </c>
    </row>
    <row r="970" spans="1:27" ht="24" x14ac:dyDescent="0.3">
      <c r="A970" s="2">
        <f>IF(BCP_Soles[[#This Row],[tipo_registro]]="R",COUNTIFS($C$1:$C969,"R")+1,A969)</f>
        <v>708</v>
      </c>
      <c r="B970" s="19" t="str">
        <f t="shared" si="81"/>
        <v>B-BCP - Soles</v>
      </c>
      <c r="C970" s="3" t="s">
        <v>1330</v>
      </c>
      <c r="D970" s="14">
        <v>45735</v>
      </c>
      <c r="E970" s="5" t="s">
        <v>2269</v>
      </c>
      <c r="F970" s="5" t="s">
        <v>1336</v>
      </c>
      <c r="G970" s="6" t="s">
        <v>610</v>
      </c>
      <c r="H970" s="6" t="s">
        <v>68</v>
      </c>
      <c r="I970" s="6" t="s">
        <v>2335</v>
      </c>
      <c r="J970" s="6">
        <v>146</v>
      </c>
      <c r="K970" s="7" t="s">
        <v>2336</v>
      </c>
      <c r="L970" s="8">
        <v>1205229</v>
      </c>
      <c r="M970" s="8" t="str">
        <f t="shared" si="82"/>
        <v>PEN</v>
      </c>
      <c r="N970" s="13"/>
      <c r="O970" s="13">
        <v>252</v>
      </c>
      <c r="P970" s="3">
        <f t="shared" si="83"/>
        <v>0</v>
      </c>
      <c r="Q970" s="3">
        <f t="shared" si="84"/>
        <v>252</v>
      </c>
      <c r="R970" s="3">
        <f t="shared" si="85"/>
        <v>64161.009999999987</v>
      </c>
      <c r="S970" s="24" t="s">
        <v>1334</v>
      </c>
      <c r="T970" s="24" t="s">
        <v>1334</v>
      </c>
      <c r="U970" s="53"/>
      <c r="V970" s="25">
        <f>IFERROR(VLOOKUP(BCP_Soles[[#This Row],[destinatario]],CHOOSE({1,2},Clientes_Proveedores[Razon Social],Clientes_Proveedores[Ruc / Dni]),2,0),"")</f>
        <v>20612094862</v>
      </c>
      <c r="W970" s="25" t="s">
        <v>2337</v>
      </c>
      <c r="X970" s="25" t="s">
        <v>2338</v>
      </c>
      <c r="Y970" s="25"/>
      <c r="Z970" s="75"/>
      <c r="AA970" s="3" t="str">
        <f>IF(BCP_Soles[[#This Row],[fecha]]&gt;0,TEXT(BCP_Soles[[#This Row],[fecha]],"mmmm"),0)</f>
        <v>Marzo</v>
      </c>
    </row>
    <row r="971" spans="1:27" ht="24" x14ac:dyDescent="0.3">
      <c r="A971" s="2">
        <f>IF(BCP_Soles[[#This Row],[tipo_registro]]="R",COUNTIFS($C$1:$C970,"R")+1,A970)</f>
        <v>709</v>
      </c>
      <c r="B971" s="19" t="str">
        <f t="shared" si="81"/>
        <v>B-BCP - Soles</v>
      </c>
      <c r="C971" s="3" t="s">
        <v>1330</v>
      </c>
      <c r="D971" s="14">
        <v>45735</v>
      </c>
      <c r="E971" s="5" t="s">
        <v>2269</v>
      </c>
      <c r="F971" s="5" t="s">
        <v>1336</v>
      </c>
      <c r="G971" s="6" t="s">
        <v>610</v>
      </c>
      <c r="H971" s="6" t="s">
        <v>68</v>
      </c>
      <c r="I971" s="6" t="s">
        <v>2335</v>
      </c>
      <c r="J971" s="6">
        <v>147</v>
      </c>
      <c r="K971" s="7" t="s">
        <v>2339</v>
      </c>
      <c r="L971" s="8">
        <v>1204744</v>
      </c>
      <c r="M971" s="8" t="str">
        <f t="shared" si="82"/>
        <v>PEN</v>
      </c>
      <c r="N971" s="13"/>
      <c r="O971" s="13">
        <v>284</v>
      </c>
      <c r="P971" s="3">
        <f t="shared" si="83"/>
        <v>0</v>
      </c>
      <c r="Q971" s="3">
        <f t="shared" si="84"/>
        <v>284</v>
      </c>
      <c r="R971" s="3">
        <f t="shared" si="85"/>
        <v>63877.009999999987</v>
      </c>
      <c r="S971" s="24" t="s">
        <v>1334</v>
      </c>
      <c r="T971" s="24" t="s">
        <v>1334</v>
      </c>
      <c r="U971" s="53"/>
      <c r="V971" s="25">
        <f>IFERROR(VLOOKUP(BCP_Soles[[#This Row],[destinatario]],CHOOSE({1,2},Clientes_Proveedores[Razon Social],Clientes_Proveedores[Ruc / Dni]),2,0),"")</f>
        <v>20612094862</v>
      </c>
      <c r="W971" s="25" t="s">
        <v>2337</v>
      </c>
      <c r="X971" s="25" t="s">
        <v>2340</v>
      </c>
      <c r="Y971" s="25"/>
      <c r="Z971" s="75"/>
      <c r="AA971" s="3" t="str">
        <f>IF(BCP_Soles[[#This Row],[fecha]]&gt;0,TEXT(BCP_Soles[[#This Row],[fecha]],"mmmm"),0)</f>
        <v>Marzo</v>
      </c>
    </row>
    <row r="972" spans="1:27" ht="36" x14ac:dyDescent="0.3">
      <c r="A972" s="2">
        <f>IF(BCP_Soles[[#This Row],[tipo_registro]]="R",COUNTIFS($C$1:$C971,"R")+1,A971)</f>
        <v>710</v>
      </c>
      <c r="B972" s="19" t="str">
        <f t="shared" si="81"/>
        <v>B-BCP - Soles</v>
      </c>
      <c r="C972" s="3" t="s">
        <v>1330</v>
      </c>
      <c r="D972" s="14">
        <v>45735</v>
      </c>
      <c r="E972" s="5" t="s">
        <v>1338</v>
      </c>
      <c r="F972" s="5" t="s">
        <v>1336</v>
      </c>
      <c r="G972" s="6" t="s">
        <v>325</v>
      </c>
      <c r="H972" s="6" t="s">
        <v>68</v>
      </c>
      <c r="I972" s="6" t="s">
        <v>1376</v>
      </c>
      <c r="J972" s="6">
        <v>4505</v>
      </c>
      <c r="K972" s="7" t="s">
        <v>2341</v>
      </c>
      <c r="L972" s="8">
        <v>1207648</v>
      </c>
      <c r="M972" s="8" t="str">
        <f t="shared" si="82"/>
        <v>PEN</v>
      </c>
      <c r="N972" s="13"/>
      <c r="O972" s="13">
        <v>413</v>
      </c>
      <c r="P972" s="3">
        <f t="shared" si="83"/>
        <v>0</v>
      </c>
      <c r="Q972" s="3">
        <f t="shared" si="84"/>
        <v>413</v>
      </c>
      <c r="R972" s="3">
        <f t="shared" si="85"/>
        <v>63464.009999999987</v>
      </c>
      <c r="S972" s="24" t="s">
        <v>1334</v>
      </c>
      <c r="T972" s="24" t="s">
        <v>1334</v>
      </c>
      <c r="U972" s="53"/>
      <c r="V972" s="25">
        <f>IFERROR(VLOOKUP(BCP_Soles[[#This Row],[destinatario]],CHOOSE({1,2},Clientes_Proveedores[Razon Social],Clientes_Proveedores[Ruc / Dni]),2,0),"")</f>
        <v>20497262101</v>
      </c>
      <c r="W972" s="25" t="s">
        <v>325</v>
      </c>
      <c r="X972" s="25" t="s">
        <v>2342</v>
      </c>
      <c r="Y972" s="25"/>
      <c r="Z972" s="75"/>
      <c r="AA972" s="3" t="str">
        <f>IF(BCP_Soles[[#This Row],[fecha]]&gt;0,TEXT(BCP_Soles[[#This Row],[fecha]],"mmmm"),0)</f>
        <v>Marzo</v>
      </c>
    </row>
    <row r="973" spans="1:27" ht="24" x14ac:dyDescent="0.3">
      <c r="A973" s="2">
        <f>IF(BCP_Soles[[#This Row],[tipo_registro]]="R",COUNTIFS($C$1:$C972,"R")+1,A972)</f>
        <v>711</v>
      </c>
      <c r="B973" s="19" t="str">
        <f t="shared" si="81"/>
        <v>B-BCP - Soles</v>
      </c>
      <c r="C973" s="3" t="s">
        <v>1330</v>
      </c>
      <c r="D973" s="14">
        <v>45735</v>
      </c>
      <c r="E973" s="5" t="s">
        <v>2269</v>
      </c>
      <c r="F973" s="5" t="s">
        <v>1336</v>
      </c>
      <c r="G973" s="6" t="s">
        <v>708</v>
      </c>
      <c r="H973" s="6"/>
      <c r="I973" s="6"/>
      <c r="J973" s="6"/>
      <c r="K973" s="7" t="s">
        <v>2343</v>
      </c>
      <c r="L973" s="8">
        <v>204745</v>
      </c>
      <c r="M973" s="8" t="str">
        <f t="shared" si="82"/>
        <v>PEN</v>
      </c>
      <c r="N973" s="13"/>
      <c r="O973" s="13">
        <v>1069.33</v>
      </c>
      <c r="P973" s="3">
        <f t="shared" si="83"/>
        <v>0</v>
      </c>
      <c r="Q973" s="3">
        <f t="shared" si="84"/>
        <v>1069.33</v>
      </c>
      <c r="R973" s="3">
        <f t="shared" si="85"/>
        <v>62394.679999999986</v>
      </c>
      <c r="S973" s="24" t="s">
        <v>1334</v>
      </c>
      <c r="T973" s="24" t="s">
        <v>1334</v>
      </c>
      <c r="U973" s="53"/>
      <c r="V973" s="25">
        <f>IFERROR(VLOOKUP(BCP_Soles[[#This Row],[destinatario]],CHOOSE({1,2},Clientes_Proveedores[Razon Social],Clientes_Proveedores[Ruc / Dni]),2,0),"")</f>
        <v>20467534026</v>
      </c>
      <c r="W973" s="25" t="s">
        <v>1657</v>
      </c>
      <c r="X973" s="25" t="s">
        <v>2344</v>
      </c>
      <c r="Y973" s="25"/>
      <c r="Z973" s="75"/>
      <c r="AA973" s="3" t="str">
        <f>IF(BCP_Soles[[#This Row],[fecha]]&gt;0,TEXT(BCP_Soles[[#This Row],[fecha]],"mmmm"),0)</f>
        <v>Marzo</v>
      </c>
    </row>
    <row r="974" spans="1:27" ht="24" x14ac:dyDescent="0.3">
      <c r="A974" s="2">
        <f>IF(BCP_Soles[[#This Row],[tipo_registro]]="R",COUNTIFS($C$1:$C973,"R")+1,A973)</f>
        <v>711</v>
      </c>
      <c r="B974" s="19" t="str">
        <f>"B-BCP - Soles"</f>
        <v>B-BCP - Soles</v>
      </c>
      <c r="C974" s="3" t="s">
        <v>1352</v>
      </c>
      <c r="D974" s="14">
        <v>45735</v>
      </c>
      <c r="E974" s="5" t="s">
        <v>2269</v>
      </c>
      <c r="F974" s="5" t="s">
        <v>1336</v>
      </c>
      <c r="G974" s="6" t="s">
        <v>708</v>
      </c>
      <c r="H974" s="6" t="s">
        <v>106</v>
      </c>
      <c r="I974" s="6" t="s">
        <v>1661</v>
      </c>
      <c r="J974" s="6">
        <v>526492956</v>
      </c>
      <c r="K974" s="7" t="s">
        <v>2343</v>
      </c>
      <c r="L974" s="8">
        <v>204745</v>
      </c>
      <c r="M974" s="8" t="str">
        <f>"PEN"</f>
        <v>PEN</v>
      </c>
      <c r="N974" s="13">
        <v>776.11</v>
      </c>
      <c r="O974" s="167"/>
      <c r="P974" s="3">
        <f>+IF(OR($F974="SALDO",$F974="INGRESO"),$O974,0)</f>
        <v>0</v>
      </c>
      <c r="Q974" s="3">
        <f>+IF($F974="EGRESO",$O974,0)</f>
        <v>0</v>
      </c>
      <c r="R974" s="3">
        <f t="shared" si="85"/>
        <v>62394.679999999986</v>
      </c>
      <c r="S974" s="24" t="s">
        <v>1334</v>
      </c>
      <c r="T974" s="24" t="s">
        <v>1334</v>
      </c>
      <c r="U974" s="53"/>
      <c r="V974" s="25">
        <f>IFERROR(VLOOKUP(BCP_Soles[[#This Row],[destinatario]],CHOOSE({1,2},Clientes_Proveedores[Razon Social],Clientes_Proveedores[Ruc / Dni]),2,0),"")</f>
        <v>20467534026</v>
      </c>
      <c r="W974" s="25"/>
      <c r="X974" s="25"/>
      <c r="Y974" s="25"/>
      <c r="Z974" s="75"/>
      <c r="AA974" s="3" t="str">
        <f>IF(BCP_Soles[[#This Row],[fecha]]&gt;0,TEXT(BCP_Soles[[#This Row],[fecha]],"mmmm"),0)</f>
        <v>Marzo</v>
      </c>
    </row>
    <row r="975" spans="1:27" ht="24" x14ac:dyDescent="0.3">
      <c r="A975" s="2">
        <f>IF(BCP_Soles[[#This Row],[tipo_registro]]="R",COUNTIFS($C$1:$C974,"R")+1,A974)</f>
        <v>711</v>
      </c>
      <c r="B975" s="19" t="str">
        <f>"B-BCP - Soles"</f>
        <v>B-BCP - Soles</v>
      </c>
      <c r="C975" s="3" t="s">
        <v>1352</v>
      </c>
      <c r="D975" s="14">
        <v>45735</v>
      </c>
      <c r="E975" s="5" t="s">
        <v>2269</v>
      </c>
      <c r="F975" s="5" t="s">
        <v>1336</v>
      </c>
      <c r="G975" s="6" t="s">
        <v>708</v>
      </c>
      <c r="H975" s="6" t="s">
        <v>68</v>
      </c>
      <c r="I975" s="6" t="s">
        <v>1662</v>
      </c>
      <c r="J975" s="6">
        <v>88790</v>
      </c>
      <c r="K975" s="7" t="s">
        <v>2345</v>
      </c>
      <c r="L975" s="8">
        <v>204745</v>
      </c>
      <c r="M975" s="8" t="str">
        <f>"PEN"</f>
        <v>PEN</v>
      </c>
      <c r="N975" s="13">
        <v>293.22000000000003</v>
      </c>
      <c r="O975" s="167"/>
      <c r="P975" s="3">
        <f>+IF(OR($F975="SALDO",$F975="INGRESO"),$O975,0)</f>
        <v>0</v>
      </c>
      <c r="Q975" s="3">
        <f>+IF($F975="EGRESO",$O975,0)</f>
        <v>0</v>
      </c>
      <c r="R975" s="3">
        <f t="shared" si="85"/>
        <v>62394.679999999986</v>
      </c>
      <c r="S975" s="24" t="s">
        <v>1334</v>
      </c>
      <c r="T975" s="24" t="s">
        <v>1334</v>
      </c>
      <c r="U975" s="53"/>
      <c r="V975" s="25">
        <f>IFERROR(VLOOKUP(BCP_Soles[[#This Row],[destinatario]],CHOOSE({1,2},Clientes_Proveedores[Razon Social],Clientes_Proveedores[Ruc / Dni]),2,0),"")</f>
        <v>20467534026</v>
      </c>
      <c r="W975" s="25"/>
      <c r="X975" s="25"/>
      <c r="Y975" s="25"/>
      <c r="Z975" s="75"/>
      <c r="AA975" s="3" t="str">
        <f>IF(BCP_Soles[[#This Row],[fecha]]&gt;0,TEXT(BCP_Soles[[#This Row],[fecha]],"mmmm"),0)</f>
        <v>Marzo</v>
      </c>
    </row>
    <row r="976" spans="1:27" ht="14.25" customHeight="1" x14ac:dyDescent="0.3">
      <c r="A976" s="2">
        <f>IF(BCP_Soles[[#This Row],[tipo_registro]]="R",COUNTIFS($C$1:$C975,"R")+1,A975)</f>
        <v>712</v>
      </c>
      <c r="B976" s="19" t="str">
        <f t="shared" si="81"/>
        <v>B-BCP - Soles</v>
      </c>
      <c r="C976" s="3" t="s">
        <v>1330</v>
      </c>
      <c r="D976" s="14">
        <v>45735</v>
      </c>
      <c r="E976" s="5" t="s">
        <v>1338</v>
      </c>
      <c r="F976" s="5" t="s">
        <v>1336</v>
      </c>
      <c r="G976" s="6" t="s">
        <v>696</v>
      </c>
      <c r="H976" s="6"/>
      <c r="I976" s="6"/>
      <c r="J976" s="6"/>
      <c r="K976" s="7" t="s">
        <v>2346</v>
      </c>
      <c r="L976" s="8">
        <v>4392959</v>
      </c>
      <c r="M976" s="8" t="str">
        <f t="shared" si="82"/>
        <v>PEN</v>
      </c>
      <c r="N976" s="13"/>
      <c r="O976" s="13">
        <v>4031.8</v>
      </c>
      <c r="P976" s="3">
        <f t="shared" si="83"/>
        <v>0</v>
      </c>
      <c r="Q976" s="3">
        <f t="shared" si="84"/>
        <v>4031.8</v>
      </c>
      <c r="R976" s="3">
        <f t="shared" si="85"/>
        <v>58362.879999999983</v>
      </c>
      <c r="S976" s="24" t="s">
        <v>1334</v>
      </c>
      <c r="T976" s="24" t="s">
        <v>1334</v>
      </c>
      <c r="U976" s="53"/>
      <c r="V976" s="25">
        <f>IFERROR(VLOOKUP(BCP_Soles[[#This Row],[destinatario]],CHOOSE({1,2},Clientes_Proveedores[Razon Social],Clientes_Proveedores[Ruc / Dni]),2,0),"")</f>
        <v>0</v>
      </c>
      <c r="W976" s="25" t="s">
        <v>1373</v>
      </c>
      <c r="X976" s="25"/>
      <c r="Y976" s="25"/>
      <c r="Z976" s="75"/>
      <c r="AA976" s="3" t="str">
        <f>IF(BCP_Soles[[#This Row],[fecha]]&gt;0,TEXT(BCP_Soles[[#This Row],[fecha]],"mmmm"),0)</f>
        <v>Marzo</v>
      </c>
    </row>
    <row r="977" spans="1:27" ht="36" x14ac:dyDescent="0.3">
      <c r="A977" s="2">
        <f>IF(BCP_Soles[[#This Row],[tipo_registro]]="R",COUNTIFS($C$1:$C976,"R")+1,A976)</f>
        <v>712</v>
      </c>
      <c r="B977" s="19" t="str">
        <f t="shared" ref="B977:B1040" si="86">"B-BCP - Soles"</f>
        <v>B-BCP - Soles</v>
      </c>
      <c r="C977" s="3" t="s">
        <v>1352</v>
      </c>
      <c r="D977" s="14">
        <v>45735</v>
      </c>
      <c r="E977" s="5" t="s">
        <v>1338</v>
      </c>
      <c r="F977" s="5"/>
      <c r="G977" s="6" t="s">
        <v>277</v>
      </c>
      <c r="H977" s="6" t="s">
        <v>68</v>
      </c>
      <c r="I977" s="6" t="s">
        <v>1390</v>
      </c>
      <c r="J977" s="6">
        <v>1670</v>
      </c>
      <c r="K977" s="7" t="s">
        <v>2346</v>
      </c>
      <c r="L977" s="8">
        <v>4392959</v>
      </c>
      <c r="M977" s="8" t="str">
        <f t="shared" ref="M977:M1040" si="87">"PEN"</f>
        <v>PEN</v>
      </c>
      <c r="N977" s="13">
        <v>1056</v>
      </c>
      <c r="O977" s="13"/>
      <c r="P977" s="3">
        <f t="shared" ref="P977:P1040" si="88">+IF(OR($F977="SALDO",$F977="INGRESO"),$O977,0)</f>
        <v>0</v>
      </c>
      <c r="Q977" s="3">
        <f t="shared" ref="Q977:Q1040" si="89">+IF($F977="EGRESO",$O977,0)</f>
        <v>0</v>
      </c>
      <c r="R977" s="3">
        <f t="shared" si="85"/>
        <v>58362.879999999983</v>
      </c>
      <c r="S977" s="24"/>
      <c r="T977" s="24" t="s">
        <v>1334</v>
      </c>
      <c r="U977" s="53"/>
      <c r="V977" s="25">
        <f>IFERROR(VLOOKUP(BCP_Soles[[#This Row],[destinatario]],CHOOSE({1,2},Clientes_Proveedores[Razon Social],Clientes_Proveedores[Ruc / Dni]),2,0),"")</f>
        <v>20429640939</v>
      </c>
      <c r="W977" s="25"/>
      <c r="X977" s="25"/>
      <c r="Y977" s="25"/>
      <c r="Z977" s="75"/>
      <c r="AA977" s="3" t="str">
        <f>IF(BCP_Soles[[#This Row],[fecha]]&gt;0,TEXT(BCP_Soles[[#This Row],[fecha]],"mmmm"),0)</f>
        <v>Marzo</v>
      </c>
    </row>
    <row r="978" spans="1:27" ht="36" x14ac:dyDescent="0.3">
      <c r="A978" s="2">
        <f>IF(BCP_Soles[[#This Row],[tipo_registro]]="R",COUNTIFS($C$1:$C977,"R")+1,A977)</f>
        <v>712</v>
      </c>
      <c r="B978" s="19" t="str">
        <f t="shared" si="86"/>
        <v>B-BCP - Soles</v>
      </c>
      <c r="C978" s="3" t="s">
        <v>1352</v>
      </c>
      <c r="D978" s="14">
        <v>45735</v>
      </c>
      <c r="E978" s="5" t="s">
        <v>1338</v>
      </c>
      <c r="F978" s="5"/>
      <c r="G978" s="6" t="s">
        <v>277</v>
      </c>
      <c r="H978" s="6" t="s">
        <v>68</v>
      </c>
      <c r="I978" s="6" t="s">
        <v>1390</v>
      </c>
      <c r="J978" s="6">
        <v>1668</v>
      </c>
      <c r="K978" s="7" t="s">
        <v>2346</v>
      </c>
      <c r="L978" s="8">
        <v>4392959</v>
      </c>
      <c r="M978" s="8" t="str">
        <f t="shared" si="87"/>
        <v>PEN</v>
      </c>
      <c r="N978" s="13">
        <v>2544</v>
      </c>
      <c r="O978" s="13"/>
      <c r="P978" s="3">
        <f t="shared" si="88"/>
        <v>0</v>
      </c>
      <c r="Q978" s="3">
        <f t="shared" si="89"/>
        <v>0</v>
      </c>
      <c r="R978" s="3">
        <f t="shared" si="85"/>
        <v>58362.879999999983</v>
      </c>
      <c r="S978" s="24"/>
      <c r="T978" s="24" t="s">
        <v>1334</v>
      </c>
      <c r="U978" s="53"/>
      <c r="V978" s="25">
        <f>IFERROR(VLOOKUP(BCP_Soles[[#This Row],[destinatario]],CHOOSE({1,2},Clientes_Proveedores[Razon Social],Clientes_Proveedores[Ruc / Dni]),2,0),"")</f>
        <v>20429640939</v>
      </c>
      <c r="W978" s="25"/>
      <c r="X978" s="25"/>
      <c r="Y978" s="25"/>
      <c r="Z978" s="75"/>
      <c r="AA978" s="3" t="str">
        <f>IF(BCP_Soles[[#This Row],[fecha]]&gt;0,TEXT(BCP_Soles[[#This Row],[fecha]],"mmmm"),0)</f>
        <v>Marzo</v>
      </c>
    </row>
    <row r="979" spans="1:27" ht="36" x14ac:dyDescent="0.3">
      <c r="A979" s="2">
        <f>IF(BCP_Soles[[#This Row],[tipo_registro]]="R",COUNTIFS($C$1:$C978,"R")+1,A978)</f>
        <v>712</v>
      </c>
      <c r="B979" s="19" t="str">
        <f t="shared" si="86"/>
        <v>B-BCP - Soles</v>
      </c>
      <c r="C979" s="3" t="s">
        <v>1352</v>
      </c>
      <c r="D979" s="14">
        <v>45735</v>
      </c>
      <c r="E979" s="5" t="s">
        <v>1338</v>
      </c>
      <c r="F979" s="5"/>
      <c r="G979" s="6" t="s">
        <v>315</v>
      </c>
      <c r="H979" s="6" t="s">
        <v>68</v>
      </c>
      <c r="I979" s="6" t="s">
        <v>1376</v>
      </c>
      <c r="J979" s="6">
        <v>2310</v>
      </c>
      <c r="K979" s="7" t="s">
        <v>2346</v>
      </c>
      <c r="L979" s="8">
        <v>4392959</v>
      </c>
      <c r="M979" s="8" t="str">
        <f t="shared" si="87"/>
        <v>PEN</v>
      </c>
      <c r="N979" s="13">
        <v>58.9</v>
      </c>
      <c r="O979" s="13"/>
      <c r="P979" s="3">
        <f t="shared" si="88"/>
        <v>0</v>
      </c>
      <c r="Q979" s="3">
        <f t="shared" si="89"/>
        <v>0</v>
      </c>
      <c r="R979" s="3">
        <f t="shared" si="85"/>
        <v>58362.879999999983</v>
      </c>
      <c r="S979" s="24"/>
      <c r="T979" s="24" t="s">
        <v>1334</v>
      </c>
      <c r="U979" s="53"/>
      <c r="V979" s="25">
        <f>IFERROR(VLOOKUP(BCP_Soles[[#This Row],[destinatario]],CHOOSE({1,2},Clientes_Proveedores[Razon Social],Clientes_Proveedores[Ruc / Dni]),2,0),"")</f>
        <v>20456565353</v>
      </c>
      <c r="W979" s="25"/>
      <c r="X979" s="25"/>
      <c r="Y979" s="25"/>
      <c r="Z979" s="75"/>
      <c r="AA979" s="3" t="str">
        <f>IF(BCP_Soles[[#This Row],[fecha]]&gt;0,TEXT(BCP_Soles[[#This Row],[fecha]],"mmmm"),0)</f>
        <v>Marzo</v>
      </c>
    </row>
    <row r="980" spans="1:27" x14ac:dyDescent="0.3">
      <c r="A980" s="2">
        <f>IF(BCP_Soles[[#This Row],[tipo_registro]]="R",COUNTIFS($C$1:$C979,"R")+1,A979)</f>
        <v>712</v>
      </c>
      <c r="B980" s="19" t="str">
        <f t="shared" si="86"/>
        <v>B-BCP - Soles</v>
      </c>
      <c r="C980" s="3" t="s">
        <v>1352</v>
      </c>
      <c r="D980" s="14">
        <v>45735</v>
      </c>
      <c r="E980" s="5" t="s">
        <v>1338</v>
      </c>
      <c r="F980" s="5"/>
      <c r="G980" s="6" t="s">
        <v>286</v>
      </c>
      <c r="H980" s="6" t="s">
        <v>68</v>
      </c>
      <c r="I980" s="6" t="s">
        <v>1390</v>
      </c>
      <c r="J980" s="6">
        <v>620</v>
      </c>
      <c r="K980" s="7" t="s">
        <v>2346</v>
      </c>
      <c r="L980" s="8">
        <v>4392959</v>
      </c>
      <c r="M980" s="8" t="str">
        <f t="shared" si="87"/>
        <v>PEN</v>
      </c>
      <c r="N980" s="13">
        <v>372.9</v>
      </c>
      <c r="O980" s="13"/>
      <c r="P980" s="3">
        <f t="shared" si="88"/>
        <v>0</v>
      </c>
      <c r="Q980" s="3">
        <f t="shared" si="89"/>
        <v>0</v>
      </c>
      <c r="R980" s="3">
        <f t="shared" si="85"/>
        <v>58362.879999999983</v>
      </c>
      <c r="S980" s="24"/>
      <c r="T980" s="24" t="s">
        <v>1334</v>
      </c>
      <c r="U980" s="53"/>
      <c r="V980" s="25">
        <f>IFERROR(VLOOKUP(BCP_Soles[[#This Row],[destinatario]],CHOOSE({1,2},Clientes_Proveedores[Razon Social],Clientes_Proveedores[Ruc / Dni]),2,0),"")</f>
        <v>20454186002</v>
      </c>
      <c r="W980" s="25"/>
      <c r="X980" s="25"/>
      <c r="Y980" s="25"/>
      <c r="Z980" s="75"/>
      <c r="AA980" s="3" t="str">
        <f>IF(BCP_Soles[[#This Row],[fecha]]&gt;0,TEXT(BCP_Soles[[#This Row],[fecha]],"mmmm"),0)</f>
        <v>Marzo</v>
      </c>
    </row>
    <row r="981" spans="1:27" ht="24" x14ac:dyDescent="0.3">
      <c r="A981" s="2">
        <f>IF(BCP_Soles[[#This Row],[tipo_registro]]="R",COUNTIFS($C$1:$C980,"R")+1,A980)</f>
        <v>713</v>
      </c>
      <c r="B981" s="19" t="str">
        <f t="shared" si="86"/>
        <v>B-BCP - Soles</v>
      </c>
      <c r="C981" s="3" t="s">
        <v>1330</v>
      </c>
      <c r="D981" s="14">
        <v>45735</v>
      </c>
      <c r="E981" s="5" t="s">
        <v>1338</v>
      </c>
      <c r="F981" s="5" t="s">
        <v>1336</v>
      </c>
      <c r="G981" s="6" t="s">
        <v>809</v>
      </c>
      <c r="H981" s="6"/>
      <c r="I981" s="6"/>
      <c r="J981" s="6"/>
      <c r="K981" s="7" t="s">
        <v>2347</v>
      </c>
      <c r="L981" s="8">
        <v>1207650</v>
      </c>
      <c r="M981" s="8" t="str">
        <f t="shared" si="87"/>
        <v>PEN</v>
      </c>
      <c r="N981" s="13"/>
      <c r="O981" s="13">
        <v>6000</v>
      </c>
      <c r="P981" s="3">
        <f t="shared" si="88"/>
        <v>0</v>
      </c>
      <c r="Q981" s="3">
        <f t="shared" si="89"/>
        <v>6000</v>
      </c>
      <c r="R981" s="3">
        <f t="shared" si="85"/>
        <v>52362.879999999983</v>
      </c>
      <c r="S981" s="24"/>
      <c r="T981" s="24"/>
      <c r="U981" s="53"/>
      <c r="V981" s="25">
        <f>IFERROR(VLOOKUP(BCP_Soles[[#This Row],[destinatario]],CHOOSE({1,2},Clientes_Proveedores[Razon Social],Clientes_Proveedores[Ruc / Dni]),2,0),"")</f>
        <v>45286301</v>
      </c>
      <c r="W981" s="25" t="s">
        <v>809</v>
      </c>
      <c r="X981" s="25"/>
      <c r="Y981" s="25"/>
      <c r="Z981" s="75"/>
      <c r="AA981" s="3" t="str">
        <f>IF(BCP_Soles[[#This Row],[fecha]]&gt;0,TEXT(BCP_Soles[[#This Row],[fecha]],"mmmm"),0)</f>
        <v>Marzo</v>
      </c>
    </row>
    <row r="982" spans="1:27" ht="36" x14ac:dyDescent="0.3">
      <c r="A982" s="2">
        <f>IF(BCP_Soles[[#This Row],[tipo_registro]]="R",COUNTIFS($C$1:$C981,"R")+1,A981)</f>
        <v>714</v>
      </c>
      <c r="B982" s="19" t="str">
        <f t="shared" si="86"/>
        <v>B-BCP - Soles</v>
      </c>
      <c r="C982" s="3" t="s">
        <v>1330</v>
      </c>
      <c r="D982" s="14">
        <v>45736</v>
      </c>
      <c r="E982" s="5" t="s">
        <v>2269</v>
      </c>
      <c r="F982" s="5" t="s">
        <v>1336</v>
      </c>
      <c r="G982" s="6" t="s">
        <v>702</v>
      </c>
      <c r="H982" s="6" t="s">
        <v>68</v>
      </c>
      <c r="I982" s="6" t="s">
        <v>1463</v>
      </c>
      <c r="J982" s="6">
        <v>629327</v>
      </c>
      <c r="K982" s="7" t="s">
        <v>2348</v>
      </c>
      <c r="L982" s="8">
        <v>140995</v>
      </c>
      <c r="M982" s="8" t="str">
        <f t="shared" si="87"/>
        <v>PEN</v>
      </c>
      <c r="N982" s="13"/>
      <c r="O982" s="13">
        <v>35.4</v>
      </c>
      <c r="P982" s="3">
        <f t="shared" si="88"/>
        <v>0</v>
      </c>
      <c r="Q982" s="3">
        <f t="shared" si="89"/>
        <v>35.4</v>
      </c>
      <c r="R982" s="3">
        <f t="shared" si="85"/>
        <v>52327.479999999981</v>
      </c>
      <c r="S982" s="24" t="s">
        <v>1334</v>
      </c>
      <c r="T982" s="24" t="s">
        <v>1334</v>
      </c>
      <c r="U982" s="53"/>
      <c r="V982" s="25">
        <f>IFERROR(VLOOKUP(BCP_Soles[[#This Row],[destinatario]],CHOOSE({1,2},Clientes_Proveedores[Razon Social],Clientes_Proveedores[Ruc / Dni]),2,0),"")</f>
        <v>20454073143</v>
      </c>
      <c r="W982" s="25" t="s">
        <v>1465</v>
      </c>
      <c r="X982" s="25" t="s">
        <v>2349</v>
      </c>
      <c r="Y982" s="25"/>
      <c r="Z982" s="75"/>
      <c r="AA982" s="3" t="str">
        <f>IF(BCP_Soles[[#This Row],[fecha]]&gt;0,TEXT(BCP_Soles[[#This Row],[fecha]],"mmmm"),0)</f>
        <v>Marzo</v>
      </c>
    </row>
    <row r="983" spans="1:27" ht="36" x14ac:dyDescent="0.3">
      <c r="A983" s="2">
        <f>IF(BCP_Soles[[#This Row],[tipo_registro]]="R",COUNTIFS($C$1:$C982,"R")+1,A982)</f>
        <v>715</v>
      </c>
      <c r="B983" s="19" t="str">
        <f t="shared" si="86"/>
        <v>B-BCP - Soles</v>
      </c>
      <c r="C983" s="3" t="s">
        <v>1330</v>
      </c>
      <c r="D983" s="14">
        <v>45736</v>
      </c>
      <c r="E983" s="5" t="s">
        <v>2269</v>
      </c>
      <c r="F983" s="5" t="s">
        <v>1336</v>
      </c>
      <c r="G983" s="6" t="s">
        <v>702</v>
      </c>
      <c r="H983" s="6" t="s">
        <v>68</v>
      </c>
      <c r="I983" s="6" t="s">
        <v>1463</v>
      </c>
      <c r="J983" s="6">
        <v>496180</v>
      </c>
      <c r="K983" s="7" t="s">
        <v>1810</v>
      </c>
      <c r="L983" s="8">
        <v>144007</v>
      </c>
      <c r="M983" s="8" t="str">
        <f t="shared" si="87"/>
        <v>PEN</v>
      </c>
      <c r="N983" s="13"/>
      <c r="O983" s="13">
        <v>59</v>
      </c>
      <c r="P983" s="3">
        <f t="shared" si="88"/>
        <v>0</v>
      </c>
      <c r="Q983" s="3">
        <f t="shared" si="89"/>
        <v>59</v>
      </c>
      <c r="R983" s="3">
        <f t="shared" si="85"/>
        <v>52268.479999999981</v>
      </c>
      <c r="S983" s="24" t="s">
        <v>1334</v>
      </c>
      <c r="T983" s="24" t="s">
        <v>1334</v>
      </c>
      <c r="U983" s="53"/>
      <c r="V983" s="25">
        <f>IFERROR(VLOOKUP(BCP_Soles[[#This Row],[destinatario]],CHOOSE({1,2},Clientes_Proveedores[Razon Social],Clientes_Proveedores[Ruc / Dni]),2,0),"")</f>
        <v>20454073143</v>
      </c>
      <c r="W983" s="25" t="s">
        <v>1465</v>
      </c>
      <c r="X983" s="25" t="s">
        <v>2350</v>
      </c>
      <c r="Y983" s="25"/>
      <c r="Z983" s="75"/>
      <c r="AA983" s="3" t="str">
        <f>IF(BCP_Soles[[#This Row],[fecha]]&gt;0,TEXT(BCP_Soles[[#This Row],[fecha]],"mmmm"),0)</f>
        <v>Marzo</v>
      </c>
    </row>
    <row r="984" spans="1:27" ht="24" x14ac:dyDescent="0.3">
      <c r="A984" s="2">
        <f>IF(BCP_Soles[[#This Row],[tipo_registro]]="R",COUNTIFS($C$1:$C983,"R")+1,A983)</f>
        <v>716</v>
      </c>
      <c r="B984" s="19" t="str">
        <f t="shared" si="86"/>
        <v>B-BCP - Soles</v>
      </c>
      <c r="C984" s="3" t="s">
        <v>1330</v>
      </c>
      <c r="D984" s="14">
        <v>45736</v>
      </c>
      <c r="E984" s="5" t="s">
        <v>2269</v>
      </c>
      <c r="F984" s="5" t="s">
        <v>1336</v>
      </c>
      <c r="G984" s="6" t="s">
        <v>866</v>
      </c>
      <c r="H984" s="6" t="s">
        <v>143</v>
      </c>
      <c r="I984" s="6">
        <v>1</v>
      </c>
      <c r="J984" s="6">
        <v>242025</v>
      </c>
      <c r="K984" s="7" t="s">
        <v>2351</v>
      </c>
      <c r="L984" s="8">
        <v>1144006</v>
      </c>
      <c r="M984" s="8" t="str">
        <f t="shared" si="87"/>
        <v>PEN</v>
      </c>
      <c r="N984" s="13"/>
      <c r="O984" s="13">
        <v>400</v>
      </c>
      <c r="P984" s="3">
        <f t="shared" si="88"/>
        <v>0</v>
      </c>
      <c r="Q984" s="3">
        <f t="shared" si="89"/>
        <v>400</v>
      </c>
      <c r="R984" s="3">
        <f t="shared" si="85"/>
        <v>51868.479999999981</v>
      </c>
      <c r="S984" s="24" t="s">
        <v>1334</v>
      </c>
      <c r="T984" s="24" t="s">
        <v>1334</v>
      </c>
      <c r="U984" s="53"/>
      <c r="V984" s="25">
        <f>IFERROR(VLOOKUP(BCP_Soles[[#This Row],[destinatario]],CHOOSE({1,2},Clientes_Proveedores[Razon Social],Clientes_Proveedores[Ruc / Dni]),2,0),"")</f>
        <v>45921913</v>
      </c>
      <c r="W984" s="25"/>
      <c r="X984" s="25"/>
      <c r="Y984" s="25"/>
      <c r="Z984" s="75"/>
      <c r="AA984" s="3" t="str">
        <f>IF(BCP_Soles[[#This Row],[fecha]]&gt;0,TEXT(BCP_Soles[[#This Row],[fecha]],"mmmm"),0)</f>
        <v>Marzo</v>
      </c>
    </row>
    <row r="985" spans="1:27" ht="24" x14ac:dyDescent="0.3">
      <c r="A985" s="2">
        <f>IF(BCP_Soles[[#This Row],[tipo_registro]]="R",COUNTIFS($C$1:$C984,"R")+1,A984)</f>
        <v>717</v>
      </c>
      <c r="B985" s="19" t="str">
        <f t="shared" si="86"/>
        <v>B-BCP - Soles</v>
      </c>
      <c r="C985" s="3" t="s">
        <v>1330</v>
      </c>
      <c r="D985" s="14">
        <v>45736</v>
      </c>
      <c r="E985" s="5" t="s">
        <v>204</v>
      </c>
      <c r="F985" s="5" t="s">
        <v>1303</v>
      </c>
      <c r="G985" s="6" t="s">
        <v>425</v>
      </c>
      <c r="H985" s="6"/>
      <c r="I985" s="6"/>
      <c r="J985" s="6"/>
      <c r="K985" s="7" t="s">
        <v>2352</v>
      </c>
      <c r="L985" s="8">
        <v>4726440</v>
      </c>
      <c r="M985" s="8" t="str">
        <f t="shared" si="87"/>
        <v>PEN</v>
      </c>
      <c r="N985" s="13"/>
      <c r="O985" s="13">
        <v>1888.59</v>
      </c>
      <c r="P985" s="3">
        <f t="shared" si="88"/>
        <v>1888.59</v>
      </c>
      <c r="Q985" s="3">
        <f t="shared" si="89"/>
        <v>0</v>
      </c>
      <c r="R985" s="3">
        <f t="shared" si="85"/>
        <v>53757.069999999978</v>
      </c>
      <c r="S985" s="24" t="s">
        <v>1334</v>
      </c>
      <c r="T985" s="24" t="s">
        <v>1334</v>
      </c>
      <c r="U985" s="53"/>
      <c r="V985" s="25">
        <f>IFERROR(VLOOKUP(BCP_Soles[[#This Row],[destinatario]],CHOOSE({1,2},Clientes_Proveedores[Razon Social],Clientes_Proveedores[Ruc / Dni]),2,0),"")</f>
        <v>20558226979</v>
      </c>
      <c r="W985" s="25" t="s">
        <v>1345</v>
      </c>
      <c r="X985" s="25" t="s">
        <v>2353</v>
      </c>
      <c r="Y985" s="25"/>
      <c r="Z985" s="75"/>
      <c r="AA985" s="3" t="str">
        <f>IF(BCP_Soles[[#This Row],[fecha]]&gt;0,TEXT(BCP_Soles[[#This Row],[fecha]],"mmmm"),0)</f>
        <v>Marzo</v>
      </c>
    </row>
    <row r="986" spans="1:27" ht="36" x14ac:dyDescent="0.3">
      <c r="A986" s="2">
        <f>IF(BCP_Soles[[#This Row],[tipo_registro]]="R",COUNTIFS($C$1:$C985,"R")+1,A985)</f>
        <v>718</v>
      </c>
      <c r="B986" s="19" t="str">
        <f t="shared" si="86"/>
        <v>B-BCP - Soles</v>
      </c>
      <c r="C986" s="3" t="s">
        <v>1330</v>
      </c>
      <c r="D986" s="14">
        <v>45736</v>
      </c>
      <c r="E986" s="5" t="s">
        <v>2269</v>
      </c>
      <c r="F986" s="5" t="s">
        <v>1336</v>
      </c>
      <c r="G986" s="6" t="s">
        <v>939</v>
      </c>
      <c r="H986" s="6" t="s">
        <v>143</v>
      </c>
      <c r="I986" s="6">
        <v>1</v>
      </c>
      <c r="J986" s="6">
        <v>192025</v>
      </c>
      <c r="K986" s="7" t="s">
        <v>2354</v>
      </c>
      <c r="L986" s="8">
        <v>1210329</v>
      </c>
      <c r="M986" s="8" t="str">
        <f t="shared" si="87"/>
        <v>PEN</v>
      </c>
      <c r="N986" s="13"/>
      <c r="O986" s="13">
        <v>17.100000000000001</v>
      </c>
      <c r="P986" s="3">
        <f t="shared" si="88"/>
        <v>0</v>
      </c>
      <c r="Q986" s="3">
        <f t="shared" si="89"/>
        <v>17.100000000000001</v>
      </c>
      <c r="R986" s="3">
        <f t="shared" si="85"/>
        <v>53739.969999999979</v>
      </c>
      <c r="S986" s="24" t="s">
        <v>1334</v>
      </c>
      <c r="T986" s="24" t="s">
        <v>1334</v>
      </c>
      <c r="U986" s="53"/>
      <c r="V986" s="25">
        <f>IFERROR(VLOOKUP(BCP_Soles[[#This Row],[destinatario]],CHOOSE({1,2},Clientes_Proveedores[Razon Social],Clientes_Proveedores[Ruc / Dni]),2,0),"")</f>
        <v>72531546</v>
      </c>
      <c r="W986" s="25"/>
      <c r="X986" s="25"/>
      <c r="Y986" s="25"/>
      <c r="Z986" s="75"/>
      <c r="AA986" s="3" t="str">
        <f>IF(BCP_Soles[[#This Row],[fecha]]&gt;0,TEXT(BCP_Soles[[#This Row],[fecha]],"mmmm"),0)</f>
        <v>Marzo</v>
      </c>
    </row>
    <row r="987" spans="1:27" ht="36" x14ac:dyDescent="0.3">
      <c r="A987" s="2">
        <f>IF(BCP_Soles[[#This Row],[tipo_registro]]="R",COUNTIFS($C$1:$C986,"R")+1,A986)</f>
        <v>719</v>
      </c>
      <c r="B987" s="19" t="str">
        <f t="shared" si="86"/>
        <v>B-BCP - Soles</v>
      </c>
      <c r="C987" s="3" t="s">
        <v>1330</v>
      </c>
      <c r="D987" s="14">
        <v>45736</v>
      </c>
      <c r="E987" s="5" t="s">
        <v>2269</v>
      </c>
      <c r="F987" s="5" t="s">
        <v>1336</v>
      </c>
      <c r="G987" s="6" t="s">
        <v>939</v>
      </c>
      <c r="H987" s="6" t="s">
        <v>143</v>
      </c>
      <c r="I987" s="6">
        <v>1</v>
      </c>
      <c r="J987" s="6">
        <v>182025</v>
      </c>
      <c r="K987" s="7" t="s">
        <v>2355</v>
      </c>
      <c r="L987" s="8">
        <v>1208858</v>
      </c>
      <c r="M987" s="8" t="str">
        <f t="shared" si="87"/>
        <v>PEN</v>
      </c>
      <c r="N987" s="13"/>
      <c r="O987" s="13">
        <v>101</v>
      </c>
      <c r="P987" s="3">
        <f t="shared" si="88"/>
        <v>0</v>
      </c>
      <c r="Q987" s="3">
        <f t="shared" si="89"/>
        <v>101</v>
      </c>
      <c r="R987" s="3">
        <f t="shared" si="85"/>
        <v>53638.969999999979</v>
      </c>
      <c r="S987" s="24" t="s">
        <v>1334</v>
      </c>
      <c r="T987" s="24" t="s">
        <v>1334</v>
      </c>
      <c r="U987" s="53"/>
      <c r="V987" s="25">
        <f>IFERROR(VLOOKUP(BCP_Soles[[#This Row],[destinatario]],CHOOSE({1,2},Clientes_Proveedores[Razon Social],Clientes_Proveedores[Ruc / Dni]),2,0),"")</f>
        <v>72531546</v>
      </c>
      <c r="W987" s="25"/>
      <c r="X987" s="25"/>
      <c r="Y987" s="25"/>
      <c r="Z987" s="75"/>
      <c r="AA987" s="3" t="str">
        <f>IF(BCP_Soles[[#This Row],[fecha]]&gt;0,TEXT(BCP_Soles[[#This Row],[fecha]],"mmmm"),0)</f>
        <v>Marzo</v>
      </c>
    </row>
    <row r="988" spans="1:27" x14ac:dyDescent="0.3">
      <c r="A988" s="2">
        <f>IF(BCP_Soles[[#This Row],[tipo_registro]]="R",COUNTIFS($C$1:$C987,"R")+1,A987)</f>
        <v>720</v>
      </c>
      <c r="B988" s="19" t="str">
        <f t="shared" si="86"/>
        <v>B-BCP - Soles</v>
      </c>
      <c r="C988" s="3" t="s">
        <v>1330</v>
      </c>
      <c r="D988" s="14">
        <v>45736</v>
      </c>
      <c r="E988" s="5" t="s">
        <v>196</v>
      </c>
      <c r="F988" s="5" t="s">
        <v>1303</v>
      </c>
      <c r="G988" s="6" t="s">
        <v>425</v>
      </c>
      <c r="H988" s="6"/>
      <c r="I988" s="6"/>
      <c r="J988" s="6"/>
      <c r="K988" s="7" t="s">
        <v>2356</v>
      </c>
      <c r="L988" s="8">
        <v>12639</v>
      </c>
      <c r="M988" s="8" t="str">
        <f t="shared" si="87"/>
        <v>PEN</v>
      </c>
      <c r="N988" s="13"/>
      <c r="O988" s="13">
        <v>3036.91</v>
      </c>
      <c r="P988" s="3">
        <f t="shared" si="88"/>
        <v>3036.91</v>
      </c>
      <c r="Q988" s="3">
        <f t="shared" si="89"/>
        <v>0</v>
      </c>
      <c r="R988" s="3">
        <f t="shared" si="85"/>
        <v>56675.879999999976</v>
      </c>
      <c r="S988" s="24" t="s">
        <v>1334</v>
      </c>
      <c r="T988" s="24" t="s">
        <v>1334</v>
      </c>
      <c r="U988" s="53"/>
      <c r="V988" s="25">
        <f>IFERROR(VLOOKUP(BCP_Soles[[#This Row],[destinatario]],CHOOSE({1,2},Clientes_Proveedores[Razon Social],Clientes_Proveedores[Ruc / Dni]),2,0),"")</f>
        <v>20558226979</v>
      </c>
      <c r="W988" s="25" t="s">
        <v>1345</v>
      </c>
      <c r="X988" s="25" t="s">
        <v>2357</v>
      </c>
      <c r="Y988" s="25"/>
      <c r="Z988" s="75"/>
      <c r="AA988" s="3" t="str">
        <f>IF(BCP_Soles[[#This Row],[fecha]]&gt;0,TEXT(BCP_Soles[[#This Row],[fecha]],"mmmm"),0)</f>
        <v>Marzo</v>
      </c>
    </row>
    <row r="989" spans="1:27" x14ac:dyDescent="0.3">
      <c r="A989" s="2">
        <f>IF(BCP_Soles[[#This Row],[tipo_registro]]="R",COUNTIFS($C$1:$C988,"R")+1,A988)</f>
        <v>721</v>
      </c>
      <c r="B989" s="19" t="str">
        <f t="shared" si="86"/>
        <v>B-BCP - Soles</v>
      </c>
      <c r="C989" s="3" t="s">
        <v>1330</v>
      </c>
      <c r="D989" s="14">
        <v>45736</v>
      </c>
      <c r="E989" s="5" t="s">
        <v>1335</v>
      </c>
      <c r="F989" s="5" t="s">
        <v>1336</v>
      </c>
      <c r="G989" s="6"/>
      <c r="H989" s="6"/>
      <c r="I989" s="6"/>
      <c r="J989" s="6"/>
      <c r="K989" s="7" t="s">
        <v>1337</v>
      </c>
      <c r="L989" s="8"/>
      <c r="M989" s="8" t="str">
        <f t="shared" si="87"/>
        <v>PEN</v>
      </c>
      <c r="N989" s="13"/>
      <c r="O989" s="13">
        <v>0.2</v>
      </c>
      <c r="P989" s="3">
        <f t="shared" si="88"/>
        <v>0</v>
      </c>
      <c r="Q989" s="3">
        <f t="shared" si="89"/>
        <v>0.2</v>
      </c>
      <c r="R989" s="3">
        <f t="shared" si="85"/>
        <v>56675.679999999978</v>
      </c>
      <c r="S989" s="24"/>
      <c r="T989" s="24" t="s">
        <v>1334</v>
      </c>
      <c r="U989" s="53"/>
      <c r="V989" s="25" t="str">
        <f>IFERROR(VLOOKUP(BCP_Soles[[#This Row],[destinatario]],CHOOSE({1,2},Clientes_Proveedores[Razon Social],Clientes_Proveedores[Ruc / Dni]),2,0),"")</f>
        <v/>
      </c>
      <c r="W989" s="25"/>
      <c r="X989" s="25"/>
      <c r="Y989" s="25"/>
      <c r="Z989" s="75"/>
      <c r="AA989" s="3" t="str">
        <f>IF(BCP_Soles[[#This Row],[fecha]]&gt;0,TEXT(BCP_Soles[[#This Row],[fecha]],"mmmm"),0)</f>
        <v>Marzo</v>
      </c>
    </row>
    <row r="990" spans="1:27" ht="36" x14ac:dyDescent="0.3">
      <c r="A990" s="2">
        <f>IF(BCP_Soles[[#This Row],[tipo_registro]]="R",COUNTIFS($C$1:$C989,"R")+1,A989)</f>
        <v>722</v>
      </c>
      <c r="B990" s="19" t="str">
        <f t="shared" si="86"/>
        <v>B-BCP - Soles</v>
      </c>
      <c r="C990" s="3" t="s">
        <v>1330</v>
      </c>
      <c r="D990" s="14">
        <v>45737</v>
      </c>
      <c r="E990" s="5" t="s">
        <v>516</v>
      </c>
      <c r="F990" s="5" t="s">
        <v>1303</v>
      </c>
      <c r="G990" s="6" t="s">
        <v>425</v>
      </c>
      <c r="H990" s="6"/>
      <c r="I990" s="6"/>
      <c r="J990" s="6"/>
      <c r="K990" s="7" t="s">
        <v>1736</v>
      </c>
      <c r="L990" s="8">
        <v>2261211</v>
      </c>
      <c r="M990" s="8" t="str">
        <f t="shared" si="87"/>
        <v>PEN</v>
      </c>
      <c r="N990" s="13"/>
      <c r="O990" s="13">
        <v>9317.49</v>
      </c>
      <c r="P990" s="3">
        <f t="shared" si="88"/>
        <v>9317.49</v>
      </c>
      <c r="Q990" s="3">
        <f t="shared" si="89"/>
        <v>0</v>
      </c>
      <c r="R990" s="3">
        <f t="shared" si="85"/>
        <v>65993.169999999984</v>
      </c>
      <c r="S990" s="24" t="s">
        <v>1334</v>
      </c>
      <c r="T990" s="24" t="s">
        <v>1334</v>
      </c>
      <c r="U990" s="53"/>
      <c r="V990" s="25">
        <f>IFERROR(VLOOKUP(BCP_Soles[[#This Row],[destinatario]],CHOOSE({1,2},Clientes_Proveedores[Razon Social],Clientes_Proveedores[Ruc / Dni]),2,0),"")</f>
        <v>20558226979</v>
      </c>
      <c r="W990" s="25" t="s">
        <v>1345</v>
      </c>
      <c r="X990" s="25" t="s">
        <v>2358</v>
      </c>
      <c r="Y990" s="25"/>
      <c r="Z990" s="75"/>
      <c r="AA990" s="3" t="str">
        <f>IF(BCP_Soles[[#This Row],[fecha]]&gt;0,TEXT(BCP_Soles[[#This Row],[fecha]],"mmmm"),0)</f>
        <v>Marzo</v>
      </c>
    </row>
    <row r="991" spans="1:27" x14ac:dyDescent="0.3">
      <c r="A991" s="2">
        <f>IF(BCP_Soles[[#This Row],[tipo_registro]]="R",COUNTIFS($C$1:$C990,"R")+1,A990)</f>
        <v>723</v>
      </c>
      <c r="B991" s="19" t="str">
        <f t="shared" si="86"/>
        <v>B-BCP - Soles</v>
      </c>
      <c r="C991" s="3" t="s">
        <v>1330</v>
      </c>
      <c r="D991" s="14">
        <v>45737</v>
      </c>
      <c r="E991" s="5" t="s">
        <v>286</v>
      </c>
      <c r="F991" s="5" t="s">
        <v>1303</v>
      </c>
      <c r="G991" s="6" t="s">
        <v>425</v>
      </c>
      <c r="H991" s="6"/>
      <c r="I991" s="6"/>
      <c r="J991" s="6"/>
      <c r="K991" s="7" t="s">
        <v>1382</v>
      </c>
      <c r="L991" s="8">
        <v>4557</v>
      </c>
      <c r="M991" s="8" t="str">
        <f t="shared" si="87"/>
        <v>PEN</v>
      </c>
      <c r="N991" s="13"/>
      <c r="O991" s="13">
        <v>4459.87</v>
      </c>
      <c r="P991" s="3">
        <f t="shared" si="88"/>
        <v>4459.87</v>
      </c>
      <c r="Q991" s="3">
        <f t="shared" si="89"/>
        <v>0</v>
      </c>
      <c r="R991" s="3">
        <f t="shared" si="85"/>
        <v>70453.039999999979</v>
      </c>
      <c r="S991" s="24" t="s">
        <v>1334</v>
      </c>
      <c r="T991" s="24" t="s">
        <v>1334</v>
      </c>
      <c r="U991" s="53"/>
      <c r="V991" s="25">
        <f>IFERROR(VLOOKUP(BCP_Soles[[#This Row],[destinatario]],CHOOSE({1,2},Clientes_Proveedores[Razon Social],Clientes_Proveedores[Ruc / Dni]),2,0),"")</f>
        <v>20558226979</v>
      </c>
      <c r="W991" s="25" t="s">
        <v>1345</v>
      </c>
      <c r="X991" s="25" t="s">
        <v>2359</v>
      </c>
      <c r="Y991" s="25"/>
      <c r="Z991" s="75"/>
      <c r="AA991" s="3" t="str">
        <f>IF(BCP_Soles[[#This Row],[fecha]]&gt;0,TEXT(BCP_Soles[[#This Row],[fecha]],"mmmm"),0)</f>
        <v>Marzo</v>
      </c>
    </row>
    <row r="992" spans="1:27" ht="24" x14ac:dyDescent="0.3">
      <c r="A992" s="2">
        <f>IF(BCP_Soles[[#This Row],[tipo_registro]]="R",COUNTIFS($C$1:$C991,"R")+1,A991)</f>
        <v>724</v>
      </c>
      <c r="B992" s="19" t="str">
        <f t="shared" si="86"/>
        <v>B-BCP - Soles</v>
      </c>
      <c r="C992" s="3" t="s">
        <v>1330</v>
      </c>
      <c r="D992" s="14">
        <v>45737</v>
      </c>
      <c r="E992" s="5" t="s">
        <v>279</v>
      </c>
      <c r="F992" s="5" t="s">
        <v>1303</v>
      </c>
      <c r="G992" s="6" t="s">
        <v>425</v>
      </c>
      <c r="H992" s="6"/>
      <c r="I992" s="6"/>
      <c r="J992" s="6"/>
      <c r="K992" s="7" t="s">
        <v>2360</v>
      </c>
      <c r="L992" s="8">
        <v>5276577</v>
      </c>
      <c r="M992" s="8" t="str">
        <f t="shared" si="87"/>
        <v>PEN</v>
      </c>
      <c r="N992" s="13"/>
      <c r="O992" s="13">
        <v>1146.01</v>
      </c>
      <c r="P992" s="3">
        <f t="shared" si="88"/>
        <v>1146.01</v>
      </c>
      <c r="Q992" s="3">
        <f t="shared" si="89"/>
        <v>0</v>
      </c>
      <c r="R992" s="3">
        <f t="shared" si="85"/>
        <v>71599.049999999974</v>
      </c>
      <c r="S992" s="24" t="s">
        <v>1334</v>
      </c>
      <c r="T992" s="24" t="s">
        <v>1334</v>
      </c>
      <c r="U992" s="53"/>
      <c r="V992" s="25">
        <f>IFERROR(VLOOKUP(BCP_Soles[[#This Row],[destinatario]],CHOOSE({1,2},Clientes_Proveedores[Razon Social],Clientes_Proveedores[Ruc / Dni]),2,0),"")</f>
        <v>20558226979</v>
      </c>
      <c r="W992" s="25" t="s">
        <v>1345</v>
      </c>
      <c r="X992" s="25" t="s">
        <v>2361</v>
      </c>
      <c r="Y992" s="25"/>
      <c r="Z992" s="75"/>
      <c r="AA992" s="3" t="str">
        <f>IF(BCP_Soles[[#This Row],[fecha]]&gt;0,TEXT(BCP_Soles[[#This Row],[fecha]],"mmmm"),0)</f>
        <v>Marzo</v>
      </c>
    </row>
    <row r="993" spans="1:27" x14ac:dyDescent="0.3">
      <c r="A993" s="2">
        <f>IF(BCP_Soles[[#This Row],[tipo_registro]]="R",COUNTIFS($C$1:$C992,"R")+1,A992)</f>
        <v>725</v>
      </c>
      <c r="B993" s="19" t="str">
        <f t="shared" si="86"/>
        <v>B-BCP - Soles</v>
      </c>
      <c r="C993" s="3" t="s">
        <v>1330</v>
      </c>
      <c r="D993" s="14">
        <v>45737</v>
      </c>
      <c r="E993" s="5" t="s">
        <v>1335</v>
      </c>
      <c r="F993" s="5" t="s">
        <v>1336</v>
      </c>
      <c r="G993" s="6"/>
      <c r="H993" s="6"/>
      <c r="I993" s="6"/>
      <c r="J993" s="6"/>
      <c r="K993" s="7" t="s">
        <v>1337</v>
      </c>
      <c r="L993" s="8"/>
      <c r="M993" s="8" t="str">
        <f t="shared" si="87"/>
        <v>PEN</v>
      </c>
      <c r="N993" s="13"/>
      <c r="O993" s="13">
        <v>1</v>
      </c>
      <c r="P993" s="3">
        <f t="shared" si="88"/>
        <v>0</v>
      </c>
      <c r="Q993" s="3">
        <f t="shared" si="89"/>
        <v>1</v>
      </c>
      <c r="R993" s="3">
        <f t="shared" si="85"/>
        <v>71598.049999999974</v>
      </c>
      <c r="S993" s="24"/>
      <c r="T993" s="24" t="s">
        <v>1334</v>
      </c>
      <c r="U993" s="53"/>
      <c r="V993" s="25" t="str">
        <f>IFERROR(VLOOKUP(BCP_Soles[[#This Row],[destinatario]],CHOOSE({1,2},Clientes_Proveedores[Razon Social],Clientes_Proveedores[Ruc / Dni]),2,0),"")</f>
        <v/>
      </c>
      <c r="W993" s="25"/>
      <c r="X993" s="25"/>
      <c r="Y993" s="25"/>
      <c r="Z993" s="75"/>
      <c r="AA993" s="3" t="str">
        <f>IF(BCP_Soles[[#This Row],[fecha]]&gt;0,TEXT(BCP_Soles[[#This Row],[fecha]],"mmmm"),0)</f>
        <v>Marzo</v>
      </c>
    </row>
    <row r="994" spans="1:27" ht="24" x14ac:dyDescent="0.3">
      <c r="A994" s="2">
        <f>IF(BCP_Soles[[#This Row],[tipo_registro]]="R",COUNTIFS($C$1:$C993,"R")+1,A993)</f>
        <v>726</v>
      </c>
      <c r="B994" s="19" t="str">
        <f t="shared" si="86"/>
        <v>B-BCP - Soles</v>
      </c>
      <c r="C994" s="3" t="s">
        <v>1330</v>
      </c>
      <c r="D994" s="14">
        <v>45737</v>
      </c>
      <c r="E994" s="5" t="s">
        <v>1335</v>
      </c>
      <c r="F994" s="5" t="s">
        <v>1336</v>
      </c>
      <c r="G994" s="6" t="s">
        <v>1060</v>
      </c>
      <c r="H994" s="6" t="s">
        <v>68</v>
      </c>
      <c r="I994" s="6" t="s">
        <v>1397</v>
      </c>
      <c r="J994" s="6">
        <v>30838061</v>
      </c>
      <c r="K994" s="7" t="s">
        <v>1400</v>
      </c>
      <c r="L994" s="8">
        <v>517</v>
      </c>
      <c r="M994" s="8" t="str">
        <f t="shared" si="87"/>
        <v>PEN</v>
      </c>
      <c r="N994" s="13"/>
      <c r="O994" s="13">
        <v>10</v>
      </c>
      <c r="P994" s="3">
        <f t="shared" si="88"/>
        <v>0</v>
      </c>
      <c r="Q994" s="3">
        <f t="shared" si="89"/>
        <v>10</v>
      </c>
      <c r="R994" s="3">
        <f t="shared" si="85"/>
        <v>71588.049999999974</v>
      </c>
      <c r="S994" s="24"/>
      <c r="T994" s="24" t="s">
        <v>1334</v>
      </c>
      <c r="U994" s="53"/>
      <c r="V994" s="25">
        <f>IFERROR(VLOOKUP(BCP_Soles[[#This Row],[destinatario]],CHOOSE({1,2},Clientes_Proveedores[Razon Social],Clientes_Proveedores[Ruc / Dni]),2,0),"")</f>
        <v>20100047218</v>
      </c>
      <c r="W994" s="25" t="s">
        <v>1335</v>
      </c>
      <c r="X994" s="25" t="s">
        <v>2362</v>
      </c>
      <c r="Y994" s="25"/>
      <c r="Z994" s="75"/>
      <c r="AA994" s="3" t="str">
        <f>IF(BCP_Soles[[#This Row],[fecha]]&gt;0,TEXT(BCP_Soles[[#This Row],[fecha]],"mmmm"),0)</f>
        <v>Marzo</v>
      </c>
    </row>
    <row r="995" spans="1:27" ht="36" x14ac:dyDescent="0.3">
      <c r="A995" s="2">
        <f>IF(BCP_Soles[[#This Row],[tipo_registro]]="R",COUNTIFS($C$1:$C994,"R")+1,A994)</f>
        <v>727</v>
      </c>
      <c r="B995" s="19" t="str">
        <f t="shared" si="86"/>
        <v>B-BCP - Soles</v>
      </c>
      <c r="C995" s="3" t="s">
        <v>1330</v>
      </c>
      <c r="D995" s="14">
        <v>45737</v>
      </c>
      <c r="E995" s="5" t="s">
        <v>1338</v>
      </c>
      <c r="F995" s="5" t="s">
        <v>1336</v>
      </c>
      <c r="G995" s="6" t="s">
        <v>610</v>
      </c>
      <c r="H995" s="6" t="s">
        <v>68</v>
      </c>
      <c r="I995" s="6" t="s">
        <v>2335</v>
      </c>
      <c r="J995" s="6">
        <v>148</v>
      </c>
      <c r="K995" s="7" t="s">
        <v>2363</v>
      </c>
      <c r="L995" s="8">
        <v>1279112</v>
      </c>
      <c r="M995" s="8" t="str">
        <f t="shared" si="87"/>
        <v>PEN</v>
      </c>
      <c r="N995" s="13"/>
      <c r="O995" s="13">
        <v>224</v>
      </c>
      <c r="P995" s="3">
        <f t="shared" si="88"/>
        <v>0</v>
      </c>
      <c r="Q995" s="3">
        <f t="shared" si="89"/>
        <v>224</v>
      </c>
      <c r="R995" s="3">
        <f t="shared" si="85"/>
        <v>71364.049999999974</v>
      </c>
      <c r="S995" s="24" t="s">
        <v>1334</v>
      </c>
      <c r="T995" s="24" t="s">
        <v>1334</v>
      </c>
      <c r="U995" s="53"/>
      <c r="V995" s="25">
        <f>IFERROR(VLOOKUP(BCP_Soles[[#This Row],[destinatario]],CHOOSE({1,2},Clientes_Proveedores[Razon Social],Clientes_Proveedores[Ruc / Dni]),2,0),"")</f>
        <v>20612094862</v>
      </c>
      <c r="W995" s="25" t="s">
        <v>2337</v>
      </c>
      <c r="X995" s="25" t="s">
        <v>2364</v>
      </c>
      <c r="Y995" s="25"/>
      <c r="Z995" s="75"/>
      <c r="AA995" s="3" t="str">
        <f>IF(BCP_Soles[[#This Row],[fecha]]&gt;0,TEXT(BCP_Soles[[#This Row],[fecha]],"mmmm"),0)</f>
        <v>Marzo</v>
      </c>
    </row>
    <row r="996" spans="1:27" ht="24" x14ac:dyDescent="0.3">
      <c r="A996" s="2">
        <f>IF(BCP_Soles[[#This Row],[tipo_registro]]="R",COUNTIFS($C$1:$C995,"R")+1,A995)</f>
        <v>728</v>
      </c>
      <c r="B996" s="19" t="str">
        <f t="shared" si="86"/>
        <v>B-BCP - Soles</v>
      </c>
      <c r="C996" s="3" t="s">
        <v>1330</v>
      </c>
      <c r="D996" s="14">
        <v>45737</v>
      </c>
      <c r="E996" s="5" t="s">
        <v>2269</v>
      </c>
      <c r="F996" s="5" t="s">
        <v>1336</v>
      </c>
      <c r="G996" s="6" t="s">
        <v>722</v>
      </c>
      <c r="H996" s="6" t="s">
        <v>68</v>
      </c>
      <c r="I996" s="6" t="s">
        <v>1376</v>
      </c>
      <c r="J996" s="6">
        <v>3046</v>
      </c>
      <c r="K996" s="7" t="s">
        <v>2365</v>
      </c>
      <c r="L996" s="8">
        <v>1276734</v>
      </c>
      <c r="M996" s="8" t="str">
        <f t="shared" si="87"/>
        <v>PEN</v>
      </c>
      <c r="N996" s="13"/>
      <c r="O996" s="13">
        <v>450</v>
      </c>
      <c r="P996" s="3">
        <f t="shared" si="88"/>
        <v>0</v>
      </c>
      <c r="Q996" s="3">
        <f t="shared" si="89"/>
        <v>450</v>
      </c>
      <c r="R996" s="3">
        <f t="shared" si="85"/>
        <v>70914.049999999974</v>
      </c>
      <c r="S996" s="24" t="s">
        <v>1334</v>
      </c>
      <c r="T996" s="24" t="s">
        <v>1334</v>
      </c>
      <c r="U996" s="53"/>
      <c r="V996" s="25">
        <f>IFERROR(VLOOKUP(BCP_Soles[[#This Row],[destinatario]],CHOOSE({1,2},Clientes_Proveedores[Razon Social],Clientes_Proveedores[Ruc / Dni]),2,0),"")</f>
        <v>10402383548</v>
      </c>
      <c r="W996" s="25" t="s">
        <v>722</v>
      </c>
      <c r="X996" s="25" t="s">
        <v>2366</v>
      </c>
      <c r="Y996" s="25"/>
      <c r="Z996" s="75"/>
      <c r="AA996" s="3" t="str">
        <f>IF(BCP_Soles[[#This Row],[fecha]]&gt;0,TEXT(BCP_Soles[[#This Row],[fecha]],"mmmm"),0)</f>
        <v>Marzo</v>
      </c>
    </row>
    <row r="997" spans="1:27" x14ac:dyDescent="0.3">
      <c r="A997" s="2">
        <f>IF(BCP_Soles[[#This Row],[tipo_registro]]="R",COUNTIFS($C$1:$C996,"R")+1,A996)</f>
        <v>729</v>
      </c>
      <c r="B997" s="19" t="str">
        <f t="shared" si="86"/>
        <v>B-BCP - Soles</v>
      </c>
      <c r="C997" s="3" t="s">
        <v>1330</v>
      </c>
      <c r="D997" s="14">
        <v>45737</v>
      </c>
      <c r="E997" s="5" t="s">
        <v>2269</v>
      </c>
      <c r="F997" s="5" t="s">
        <v>1336</v>
      </c>
      <c r="G997" s="6" t="s">
        <v>695</v>
      </c>
      <c r="H997" s="6" t="s">
        <v>68</v>
      </c>
      <c r="I997" s="6" t="s">
        <v>1377</v>
      </c>
      <c r="J997" s="6">
        <v>153158</v>
      </c>
      <c r="K997" s="7" t="s">
        <v>1378</v>
      </c>
      <c r="L997" s="8">
        <v>176860</v>
      </c>
      <c r="M997" s="8" t="str">
        <f t="shared" si="87"/>
        <v>PEN</v>
      </c>
      <c r="N997" s="13"/>
      <c r="O997" s="13">
        <v>1382.34</v>
      </c>
      <c r="P997" s="3">
        <f t="shared" si="88"/>
        <v>0</v>
      </c>
      <c r="Q997" s="3">
        <f t="shared" si="89"/>
        <v>1382.34</v>
      </c>
      <c r="R997" s="3">
        <f t="shared" si="85"/>
        <v>69531.709999999977</v>
      </c>
      <c r="S997" s="24" t="s">
        <v>1334</v>
      </c>
      <c r="T997" s="24" t="s">
        <v>1334</v>
      </c>
      <c r="U997" s="53"/>
      <c r="V997" s="25">
        <f>IFERROR(VLOOKUP(BCP_Soles[[#This Row],[destinatario]],CHOOSE({1,2},Clientes_Proveedores[Razon Social],Clientes_Proveedores[Ruc / Dni]),2,0),"")</f>
        <v>20127765279</v>
      </c>
      <c r="W997" s="25" t="s">
        <v>1379</v>
      </c>
      <c r="X997" s="25" t="s">
        <v>2367</v>
      </c>
      <c r="Y997" s="25"/>
      <c r="Z997" s="75"/>
      <c r="AA997" s="3" t="str">
        <f>IF(BCP_Soles[[#This Row],[fecha]]&gt;0,TEXT(BCP_Soles[[#This Row],[fecha]],"mmmm"),0)</f>
        <v>Marzo</v>
      </c>
    </row>
    <row r="998" spans="1:27" x14ac:dyDescent="0.3">
      <c r="A998" s="2">
        <f>IF(BCP_Soles[[#This Row],[tipo_registro]]="R",COUNTIFS($C$1:$C997,"R")+1,A997)</f>
        <v>730</v>
      </c>
      <c r="B998" s="19" t="str">
        <f t="shared" si="86"/>
        <v>B-BCP - Soles</v>
      </c>
      <c r="C998" s="3" t="s">
        <v>1330</v>
      </c>
      <c r="D998" s="14">
        <v>45737</v>
      </c>
      <c r="E998" s="5" t="s">
        <v>2269</v>
      </c>
      <c r="F998" s="5" t="s">
        <v>1336</v>
      </c>
      <c r="G998" s="6" t="s">
        <v>695</v>
      </c>
      <c r="H998" s="6" t="s">
        <v>68</v>
      </c>
      <c r="I998" s="6" t="s">
        <v>1513</v>
      </c>
      <c r="J998" s="6">
        <v>152179</v>
      </c>
      <c r="K998" s="7" t="s">
        <v>1378</v>
      </c>
      <c r="L998" s="8">
        <v>178295</v>
      </c>
      <c r="M998" s="8" t="str">
        <f t="shared" si="87"/>
        <v>PEN</v>
      </c>
      <c r="N998" s="13"/>
      <c r="O998" s="13">
        <v>1632.58</v>
      </c>
      <c r="P998" s="3">
        <f t="shared" si="88"/>
        <v>0</v>
      </c>
      <c r="Q998" s="3">
        <f t="shared" si="89"/>
        <v>1632.58</v>
      </c>
      <c r="R998" s="3">
        <f t="shared" si="85"/>
        <v>67899.129999999976</v>
      </c>
      <c r="S998" s="24" t="s">
        <v>1334</v>
      </c>
      <c r="T998" s="24" t="s">
        <v>1334</v>
      </c>
      <c r="U998" s="53"/>
      <c r="V998" s="25">
        <f>IFERROR(VLOOKUP(BCP_Soles[[#This Row],[destinatario]],CHOOSE({1,2},Clientes_Proveedores[Razon Social],Clientes_Proveedores[Ruc / Dni]),2,0),"")</f>
        <v>20127765279</v>
      </c>
      <c r="W998" s="25" t="s">
        <v>1379</v>
      </c>
      <c r="X998" s="25" t="s">
        <v>2368</v>
      </c>
      <c r="Y998" s="25"/>
      <c r="Z998" s="75"/>
      <c r="AA998" s="3" t="str">
        <f>IF(BCP_Soles[[#This Row],[fecha]]&gt;0,TEXT(BCP_Soles[[#This Row],[fecha]],"mmmm"),0)</f>
        <v>Marzo</v>
      </c>
    </row>
    <row r="999" spans="1:27" ht="24" x14ac:dyDescent="0.3">
      <c r="A999" s="2">
        <f>IF(BCP_Soles[[#This Row],[tipo_registro]]="R",COUNTIFS($C$1:$C998,"R")+1,A998)</f>
        <v>731</v>
      </c>
      <c r="B999" s="19" t="str">
        <f t="shared" si="86"/>
        <v>B-BCP - Soles</v>
      </c>
      <c r="C999" s="3" t="s">
        <v>1330</v>
      </c>
      <c r="D999" s="14">
        <v>45737</v>
      </c>
      <c r="E999" s="5" t="s">
        <v>2269</v>
      </c>
      <c r="F999" s="5" t="s">
        <v>1336</v>
      </c>
      <c r="G999" s="6"/>
      <c r="H999" s="6"/>
      <c r="I999" s="6"/>
      <c r="J999" s="6"/>
      <c r="K999" s="7" t="s">
        <v>2369</v>
      </c>
      <c r="L999" s="8">
        <v>1178296</v>
      </c>
      <c r="M999" s="8" t="str">
        <f t="shared" si="87"/>
        <v>PEN</v>
      </c>
      <c r="N999" s="13"/>
      <c r="O999" s="13">
        <v>1834.6</v>
      </c>
      <c r="P999" s="3">
        <f t="shared" si="88"/>
        <v>0</v>
      </c>
      <c r="Q999" s="3">
        <f t="shared" si="89"/>
        <v>1834.6</v>
      </c>
      <c r="R999" s="3">
        <f t="shared" si="85"/>
        <v>66064.52999999997</v>
      </c>
      <c r="S999" s="24"/>
      <c r="T999" s="24"/>
      <c r="U999" s="53"/>
      <c r="V999" s="25" t="str">
        <f>IFERROR(VLOOKUP(BCP_Soles[[#This Row],[destinatario]],CHOOSE({1,2},Clientes_Proveedores[Razon Social],Clientes_Proveedores[Ruc / Dni]),2,0),"")</f>
        <v/>
      </c>
      <c r="W999" s="25" t="s">
        <v>1638</v>
      </c>
      <c r="X999" s="25"/>
      <c r="Y999" s="25"/>
      <c r="Z999" s="75"/>
      <c r="AA999" s="3" t="str">
        <f>IF(BCP_Soles[[#This Row],[fecha]]&gt;0,TEXT(BCP_Soles[[#This Row],[fecha]],"mmmm"),0)</f>
        <v>Marzo</v>
      </c>
    </row>
    <row r="1000" spans="1:27" ht="36" x14ac:dyDescent="0.3">
      <c r="A1000" s="2">
        <f>IF(BCP_Soles[[#This Row],[tipo_registro]]="R",COUNTIFS($C$1:$C999,"R")+1,A999)</f>
        <v>732</v>
      </c>
      <c r="B1000" s="19" t="str">
        <f t="shared" si="86"/>
        <v>B-BCP - Soles</v>
      </c>
      <c r="C1000" s="3" t="s">
        <v>1330</v>
      </c>
      <c r="D1000" s="14">
        <v>45737</v>
      </c>
      <c r="E1000" s="5" t="s">
        <v>2269</v>
      </c>
      <c r="F1000" s="5" t="s">
        <v>1336</v>
      </c>
      <c r="G1000" s="6" t="s">
        <v>277</v>
      </c>
      <c r="H1000" s="6" t="s">
        <v>68</v>
      </c>
      <c r="I1000" s="6" t="s">
        <v>1390</v>
      </c>
      <c r="J1000" s="6">
        <v>1669</v>
      </c>
      <c r="K1000" s="7" t="s">
        <v>2370</v>
      </c>
      <c r="L1000" s="8">
        <v>1277657</v>
      </c>
      <c r="M1000" s="8" t="str">
        <f t="shared" si="87"/>
        <v>PEN</v>
      </c>
      <c r="N1000" s="13"/>
      <c r="O1000" s="13">
        <v>2688</v>
      </c>
      <c r="P1000" s="3">
        <f t="shared" si="88"/>
        <v>0</v>
      </c>
      <c r="Q1000" s="3">
        <f t="shared" si="89"/>
        <v>2688</v>
      </c>
      <c r="R1000" s="3">
        <f t="shared" si="85"/>
        <v>63376.52999999997</v>
      </c>
      <c r="S1000" s="24" t="s">
        <v>1334</v>
      </c>
      <c r="T1000" s="24" t="s">
        <v>1334</v>
      </c>
      <c r="U1000" s="53"/>
      <c r="V1000" s="25">
        <f>IFERROR(VLOOKUP(BCP_Soles[[#This Row],[destinatario]],CHOOSE({1,2},Clientes_Proveedores[Razon Social],Clientes_Proveedores[Ruc / Dni]),2,0),"")</f>
        <v>20429640939</v>
      </c>
      <c r="W1000" s="25" t="s">
        <v>1408</v>
      </c>
      <c r="X1000" s="25" t="s">
        <v>2371</v>
      </c>
      <c r="Y1000" s="25"/>
      <c r="Z1000" s="75"/>
      <c r="AA1000" s="3" t="str">
        <f>IF(BCP_Soles[[#This Row],[fecha]]&gt;0,TEXT(BCP_Soles[[#This Row],[fecha]],"mmmm"),0)</f>
        <v>Marzo</v>
      </c>
    </row>
    <row r="1001" spans="1:27" x14ac:dyDescent="0.3">
      <c r="A1001" s="2">
        <f>IF(BCP_Soles[[#This Row],[tipo_registro]]="R",COUNTIFS($C$1:$C1000,"R")+1,A1000)</f>
        <v>733</v>
      </c>
      <c r="B1001" s="19" t="str">
        <f t="shared" si="86"/>
        <v>B-BCP - Soles</v>
      </c>
      <c r="C1001" s="3" t="s">
        <v>1330</v>
      </c>
      <c r="D1001" s="14">
        <v>45737</v>
      </c>
      <c r="E1001" s="5" t="s">
        <v>2269</v>
      </c>
      <c r="F1001" s="5" t="s">
        <v>1336</v>
      </c>
      <c r="G1001" s="6"/>
      <c r="H1001" s="6"/>
      <c r="I1001" s="6"/>
      <c r="J1001" s="6"/>
      <c r="K1001" s="7" t="s">
        <v>2372</v>
      </c>
      <c r="L1001" s="8">
        <v>1011662</v>
      </c>
      <c r="M1001" s="8" t="str">
        <f t="shared" si="87"/>
        <v>PEN</v>
      </c>
      <c r="N1001" s="13"/>
      <c r="O1001" s="13">
        <v>3750</v>
      </c>
      <c r="P1001" s="3">
        <f t="shared" si="88"/>
        <v>0</v>
      </c>
      <c r="Q1001" s="3">
        <f t="shared" si="89"/>
        <v>3750</v>
      </c>
      <c r="R1001" s="3">
        <f t="shared" si="85"/>
        <v>59626.52999999997</v>
      </c>
      <c r="S1001" s="24" t="s">
        <v>1334</v>
      </c>
      <c r="T1001" s="24" t="s">
        <v>1334</v>
      </c>
      <c r="U1001" s="53"/>
      <c r="V1001" s="25" t="str">
        <f>IFERROR(VLOOKUP(BCP_Soles[[#This Row],[destinatario]],CHOOSE({1,2},Clientes_Proveedores[Razon Social],Clientes_Proveedores[Ruc / Dni]),2,0),"")</f>
        <v/>
      </c>
      <c r="W1001" s="25" t="s">
        <v>1389</v>
      </c>
      <c r="X1001" s="25"/>
      <c r="Y1001" s="25"/>
      <c r="Z1001" s="75"/>
      <c r="AA1001" s="3" t="str">
        <f>IF(BCP_Soles[[#This Row],[fecha]]&gt;0,TEXT(BCP_Soles[[#This Row],[fecha]],"mmmm"),0)</f>
        <v>Marzo</v>
      </c>
    </row>
    <row r="1002" spans="1:27" x14ac:dyDescent="0.3">
      <c r="A1002" s="2">
        <f>IF(BCP_Soles[[#This Row],[tipo_registro]]="R",COUNTIFS($C$1:$C1001,"R")+1,A1001)</f>
        <v>734</v>
      </c>
      <c r="B1002" s="19" t="str">
        <f t="shared" si="86"/>
        <v>B-BCP - Soles</v>
      </c>
      <c r="C1002" s="3" t="s">
        <v>1330</v>
      </c>
      <c r="D1002" s="14">
        <v>45740</v>
      </c>
      <c r="E1002" s="5" t="s">
        <v>2269</v>
      </c>
      <c r="F1002" s="5" t="s">
        <v>1336</v>
      </c>
      <c r="G1002" s="6" t="s">
        <v>696</v>
      </c>
      <c r="H1002" s="6"/>
      <c r="I1002" s="6"/>
      <c r="J1002" s="6"/>
      <c r="K1002" s="7" t="s">
        <v>2373</v>
      </c>
      <c r="L1002" s="8">
        <v>5940574</v>
      </c>
      <c r="M1002" s="8" t="str">
        <f t="shared" si="87"/>
        <v>PEN</v>
      </c>
      <c r="N1002" s="13"/>
      <c r="O1002" s="13">
        <v>10852.17</v>
      </c>
      <c r="P1002" s="3">
        <f t="shared" si="88"/>
        <v>0</v>
      </c>
      <c r="Q1002" s="3">
        <f t="shared" si="89"/>
        <v>10852.17</v>
      </c>
      <c r="R1002" s="3">
        <f t="shared" si="85"/>
        <v>48774.359999999971</v>
      </c>
      <c r="S1002" s="24" t="s">
        <v>1334</v>
      </c>
      <c r="T1002" s="24" t="s">
        <v>1334</v>
      </c>
      <c r="U1002" s="53"/>
      <c r="V1002" s="25">
        <f>IFERROR(VLOOKUP(BCP_Soles[[#This Row],[destinatario]],CHOOSE({1,2},Clientes_Proveedores[Razon Social],Clientes_Proveedores[Ruc / Dni]),2,0),"")</f>
        <v>0</v>
      </c>
      <c r="W1002" s="25" t="s">
        <v>1373</v>
      </c>
      <c r="X1002" s="25"/>
      <c r="Y1002" s="25"/>
      <c r="Z1002" s="75"/>
      <c r="AA1002" s="3" t="str">
        <f>IF(BCP_Soles[[#This Row],[fecha]]&gt;0,TEXT(BCP_Soles[[#This Row],[fecha]],"mmmm"),0)</f>
        <v>Marzo</v>
      </c>
    </row>
    <row r="1003" spans="1:27" ht="24" x14ac:dyDescent="0.3">
      <c r="A1003" s="2">
        <f>IF(BCP_Soles[[#This Row],[tipo_registro]]="R",COUNTIFS($C$1:$C1002,"R")+1,A1002)</f>
        <v>735</v>
      </c>
      <c r="B1003" s="19" t="str">
        <f t="shared" si="86"/>
        <v>B-BCP - Soles</v>
      </c>
      <c r="C1003" s="3" t="s">
        <v>1330</v>
      </c>
      <c r="D1003" s="14">
        <v>45740</v>
      </c>
      <c r="E1003" s="5" t="s">
        <v>2374</v>
      </c>
      <c r="F1003" s="5" t="s">
        <v>1303</v>
      </c>
      <c r="G1003" s="6" t="s">
        <v>425</v>
      </c>
      <c r="H1003" s="6" t="s">
        <v>119</v>
      </c>
      <c r="I1003" s="6">
        <v>1</v>
      </c>
      <c r="J1003" s="6">
        <v>4266</v>
      </c>
      <c r="K1003" s="7" t="s">
        <v>1356</v>
      </c>
      <c r="L1003" s="8">
        <v>3401470</v>
      </c>
      <c r="M1003" s="8" t="str">
        <f t="shared" si="87"/>
        <v>PEN</v>
      </c>
      <c r="N1003" s="13"/>
      <c r="O1003" s="13">
        <v>780</v>
      </c>
      <c r="P1003" s="3">
        <f t="shared" si="88"/>
        <v>780</v>
      </c>
      <c r="Q1003" s="3">
        <f t="shared" si="89"/>
        <v>0</v>
      </c>
      <c r="R1003" s="3">
        <f t="shared" si="85"/>
        <v>49554.359999999971</v>
      </c>
      <c r="S1003" s="24" t="s">
        <v>1334</v>
      </c>
      <c r="T1003" s="24" t="s">
        <v>1334</v>
      </c>
      <c r="U1003" s="53"/>
      <c r="V1003" s="25">
        <f>IFERROR(VLOOKUP(BCP_Soles[[#This Row],[destinatario]],CHOOSE({1,2},Clientes_Proveedores[Razon Social],Clientes_Proveedores[Ruc / Dni]),2,0),"")</f>
        <v>20558226979</v>
      </c>
      <c r="W1003" s="25" t="s">
        <v>1345</v>
      </c>
      <c r="X1003" s="25" t="s">
        <v>2375</v>
      </c>
      <c r="Y1003" s="25"/>
      <c r="Z1003" s="75"/>
      <c r="AA1003" s="3" t="str">
        <f>IF(BCP_Soles[[#This Row],[fecha]]&gt;0,TEXT(BCP_Soles[[#This Row],[fecha]],"mmmm"),0)</f>
        <v>Marzo</v>
      </c>
    </row>
    <row r="1004" spans="1:27" x14ac:dyDescent="0.3">
      <c r="A1004" s="2">
        <f>IF(BCP_Soles[[#This Row],[tipo_registro]]="R",COUNTIFS($C$1:$C1003,"R")+1,A1003)</f>
        <v>736</v>
      </c>
      <c r="B1004" s="19" t="str">
        <f t="shared" si="86"/>
        <v>B-BCP - Soles</v>
      </c>
      <c r="C1004" s="3" t="s">
        <v>1330</v>
      </c>
      <c r="D1004" s="14">
        <v>45740</v>
      </c>
      <c r="E1004" s="5" t="s">
        <v>1335</v>
      </c>
      <c r="F1004" s="5" t="s">
        <v>1336</v>
      </c>
      <c r="G1004" s="6"/>
      <c r="H1004" s="6"/>
      <c r="I1004" s="6"/>
      <c r="J1004" s="6"/>
      <c r="K1004" s="7" t="s">
        <v>1337</v>
      </c>
      <c r="L1004" s="8"/>
      <c r="M1004" s="8" t="str">
        <f t="shared" si="87"/>
        <v>PEN</v>
      </c>
      <c r="N1004" s="13"/>
      <c r="O1004" s="13">
        <v>0.65</v>
      </c>
      <c r="P1004" s="3">
        <f t="shared" si="88"/>
        <v>0</v>
      </c>
      <c r="Q1004" s="3">
        <f t="shared" si="89"/>
        <v>0.65</v>
      </c>
      <c r="R1004" s="3">
        <f t="shared" si="85"/>
        <v>49553.70999999997</v>
      </c>
      <c r="S1004" s="24"/>
      <c r="T1004" s="24" t="s">
        <v>1334</v>
      </c>
      <c r="U1004" s="53"/>
      <c r="V1004" s="25" t="str">
        <f>IFERROR(VLOOKUP(BCP_Soles[[#This Row],[destinatario]],CHOOSE({1,2},Clientes_Proveedores[Razon Social],Clientes_Proveedores[Ruc / Dni]),2,0),"")</f>
        <v/>
      </c>
      <c r="W1004" s="25"/>
      <c r="X1004" s="25"/>
      <c r="Y1004" s="25"/>
      <c r="Z1004" s="75"/>
      <c r="AA1004" s="3" t="str">
        <f>IF(BCP_Soles[[#This Row],[fecha]]&gt;0,TEXT(BCP_Soles[[#This Row],[fecha]],"mmmm"),0)</f>
        <v>Marzo</v>
      </c>
    </row>
    <row r="1005" spans="1:27" x14ac:dyDescent="0.3">
      <c r="A1005" s="2">
        <f>IF(BCP_Soles[[#This Row],[tipo_registro]]="R",COUNTIFS($C$1:$C1004,"R")+1,A1004)</f>
        <v>737</v>
      </c>
      <c r="B1005" s="19" t="str">
        <f t="shared" si="86"/>
        <v>B-BCP - Soles</v>
      </c>
      <c r="C1005" s="3" t="s">
        <v>1330</v>
      </c>
      <c r="D1005" s="14">
        <v>45740</v>
      </c>
      <c r="E1005" s="5" t="s">
        <v>1338</v>
      </c>
      <c r="F1005" s="5" t="s">
        <v>1336</v>
      </c>
      <c r="G1005" s="6" t="s">
        <v>196</v>
      </c>
      <c r="H1005" s="6" t="s">
        <v>68</v>
      </c>
      <c r="I1005" s="6" t="s">
        <v>2226</v>
      </c>
      <c r="J1005" s="6">
        <v>6114</v>
      </c>
      <c r="K1005" s="7" t="s">
        <v>2227</v>
      </c>
      <c r="L1005" s="8">
        <v>201129</v>
      </c>
      <c r="M1005" s="8" t="str">
        <f t="shared" si="87"/>
        <v>PEN</v>
      </c>
      <c r="N1005" s="13"/>
      <c r="O1005" s="13">
        <v>15.05</v>
      </c>
      <c r="P1005" s="3">
        <f t="shared" si="88"/>
        <v>0</v>
      </c>
      <c r="Q1005" s="3">
        <f t="shared" si="89"/>
        <v>15.05</v>
      </c>
      <c r="R1005" s="3">
        <f t="shared" si="85"/>
        <v>49538.659999999967</v>
      </c>
      <c r="S1005" s="24" t="s">
        <v>1334</v>
      </c>
      <c r="T1005" s="24" t="s">
        <v>1334</v>
      </c>
      <c r="U1005" s="53"/>
      <c r="V1005" s="25">
        <f>IFERROR(VLOOKUP(BCP_Soles[[#This Row],[destinatario]],CHOOSE({1,2},Clientes_Proveedores[Razon Social],Clientes_Proveedores[Ruc / Dni]),2,0),"")</f>
        <v>20100055237</v>
      </c>
      <c r="W1005" s="25" t="s">
        <v>2228</v>
      </c>
      <c r="X1005" s="25" t="s">
        <v>2376</v>
      </c>
      <c r="Y1005" s="25"/>
      <c r="Z1005" s="75"/>
      <c r="AA1005" s="3" t="str">
        <f>IF(BCP_Soles[[#This Row],[fecha]]&gt;0,TEXT(BCP_Soles[[#This Row],[fecha]],"mmmm"),0)</f>
        <v>Marzo</v>
      </c>
    </row>
    <row r="1006" spans="1:27" x14ac:dyDescent="0.3">
      <c r="A1006" s="2">
        <f>IF(BCP_Soles[[#This Row],[tipo_registro]]="R",COUNTIFS($C$1:$C1005,"R")+1,A1005)</f>
        <v>738</v>
      </c>
      <c r="B1006" s="19" t="str">
        <f t="shared" si="86"/>
        <v>B-BCP - Soles</v>
      </c>
      <c r="C1006" s="3" t="s">
        <v>1330</v>
      </c>
      <c r="D1006" s="14">
        <v>45740</v>
      </c>
      <c r="E1006" s="5" t="s">
        <v>1338</v>
      </c>
      <c r="F1006" s="5" t="s">
        <v>1336</v>
      </c>
      <c r="G1006" s="6" t="s">
        <v>196</v>
      </c>
      <c r="H1006" s="6" t="s">
        <v>68</v>
      </c>
      <c r="I1006" s="6" t="s">
        <v>2226</v>
      </c>
      <c r="J1006" s="6">
        <v>6121</v>
      </c>
      <c r="K1006" s="7" t="s">
        <v>2227</v>
      </c>
      <c r="L1006" s="8">
        <v>200131</v>
      </c>
      <c r="M1006" s="8" t="str">
        <f t="shared" si="87"/>
        <v>PEN</v>
      </c>
      <c r="N1006" s="13"/>
      <c r="O1006" s="13">
        <v>17.89</v>
      </c>
      <c r="P1006" s="3">
        <f t="shared" si="88"/>
        <v>0</v>
      </c>
      <c r="Q1006" s="3">
        <f t="shared" si="89"/>
        <v>17.89</v>
      </c>
      <c r="R1006" s="3">
        <f t="shared" si="85"/>
        <v>49520.769999999968</v>
      </c>
      <c r="S1006" s="24" t="s">
        <v>1334</v>
      </c>
      <c r="T1006" s="24" t="s">
        <v>1334</v>
      </c>
      <c r="U1006" s="53"/>
      <c r="V1006" s="25">
        <f>IFERROR(VLOOKUP(BCP_Soles[[#This Row],[destinatario]],CHOOSE({1,2},Clientes_Proveedores[Razon Social],Clientes_Proveedores[Ruc / Dni]),2,0),"")</f>
        <v>20100055237</v>
      </c>
      <c r="W1006" s="25" t="s">
        <v>2228</v>
      </c>
      <c r="X1006" s="25" t="s">
        <v>2377</v>
      </c>
      <c r="Y1006" s="25"/>
      <c r="Z1006" s="75"/>
      <c r="AA1006" s="3" t="str">
        <f>IF(BCP_Soles[[#This Row],[fecha]]&gt;0,TEXT(BCP_Soles[[#This Row],[fecha]],"mmmm"),0)</f>
        <v>Marzo</v>
      </c>
    </row>
    <row r="1007" spans="1:27" x14ac:dyDescent="0.3">
      <c r="A1007" s="2">
        <f>IF(BCP_Soles[[#This Row],[tipo_registro]]="R",COUNTIFS($C$1:$C1006,"R")+1,A1006)</f>
        <v>739</v>
      </c>
      <c r="B1007" s="19" t="str">
        <f t="shared" si="86"/>
        <v>B-BCP - Soles</v>
      </c>
      <c r="C1007" s="3" t="s">
        <v>1330</v>
      </c>
      <c r="D1007" s="14">
        <v>45740</v>
      </c>
      <c r="E1007" s="5" t="s">
        <v>1338</v>
      </c>
      <c r="F1007" s="5" t="s">
        <v>1336</v>
      </c>
      <c r="G1007" s="6" t="s">
        <v>196</v>
      </c>
      <c r="H1007" s="6" t="s">
        <v>68</v>
      </c>
      <c r="I1007" s="6" t="s">
        <v>2226</v>
      </c>
      <c r="J1007" s="6">
        <v>6112</v>
      </c>
      <c r="K1007" s="7" t="s">
        <v>2227</v>
      </c>
      <c r="L1007" s="8">
        <v>202106</v>
      </c>
      <c r="M1007" s="8" t="str">
        <f t="shared" si="87"/>
        <v>PEN</v>
      </c>
      <c r="N1007" s="13"/>
      <c r="O1007" s="13">
        <v>211.51</v>
      </c>
      <c r="P1007" s="3">
        <f t="shared" si="88"/>
        <v>0</v>
      </c>
      <c r="Q1007" s="3">
        <f t="shared" si="89"/>
        <v>211.51</v>
      </c>
      <c r="R1007" s="3">
        <f t="shared" si="85"/>
        <v>49309.259999999966</v>
      </c>
      <c r="S1007" s="24" t="s">
        <v>1334</v>
      </c>
      <c r="T1007" s="24" t="s">
        <v>1334</v>
      </c>
      <c r="U1007" s="53"/>
      <c r="V1007" s="25">
        <f>IFERROR(VLOOKUP(BCP_Soles[[#This Row],[destinatario]],CHOOSE({1,2},Clientes_Proveedores[Razon Social],Clientes_Proveedores[Ruc / Dni]),2,0),"")</f>
        <v>20100055237</v>
      </c>
      <c r="W1007" s="25" t="s">
        <v>2228</v>
      </c>
      <c r="X1007" s="25" t="s">
        <v>2378</v>
      </c>
      <c r="Y1007" s="25"/>
      <c r="Z1007" s="75"/>
      <c r="AA1007" s="3" t="str">
        <f>IF(BCP_Soles[[#This Row],[fecha]]&gt;0,TEXT(BCP_Soles[[#This Row],[fecha]],"mmmm"),0)</f>
        <v>Marzo</v>
      </c>
    </row>
    <row r="1008" spans="1:27" x14ac:dyDescent="0.3">
      <c r="A1008" s="2">
        <f>IF(BCP_Soles[[#This Row],[tipo_registro]]="R",COUNTIFS($C$1:$C1007,"R")+1,A1007)</f>
        <v>740</v>
      </c>
      <c r="B1008" s="19" t="str">
        <f t="shared" si="86"/>
        <v>B-BCP - Soles</v>
      </c>
      <c r="C1008" s="3" t="s">
        <v>1330</v>
      </c>
      <c r="D1008" s="14">
        <v>45740</v>
      </c>
      <c r="E1008" s="5" t="s">
        <v>1338</v>
      </c>
      <c r="F1008" s="5" t="s">
        <v>1336</v>
      </c>
      <c r="G1008" s="6" t="s">
        <v>196</v>
      </c>
      <c r="H1008" s="6" t="s">
        <v>68</v>
      </c>
      <c r="I1008" s="6" t="s">
        <v>2379</v>
      </c>
      <c r="J1008" s="6">
        <v>6113</v>
      </c>
      <c r="K1008" s="7" t="s">
        <v>2227</v>
      </c>
      <c r="L1008" s="8">
        <v>201609</v>
      </c>
      <c r="M1008" s="8" t="str">
        <f t="shared" si="87"/>
        <v>PEN</v>
      </c>
      <c r="N1008" s="13"/>
      <c r="O1008" s="13">
        <v>243.74</v>
      </c>
      <c r="P1008" s="3">
        <f t="shared" si="88"/>
        <v>0</v>
      </c>
      <c r="Q1008" s="3">
        <f t="shared" si="89"/>
        <v>243.74</v>
      </c>
      <c r="R1008" s="3">
        <f t="shared" si="85"/>
        <v>49065.519999999968</v>
      </c>
      <c r="S1008" s="24" t="s">
        <v>1334</v>
      </c>
      <c r="T1008" s="24" t="s">
        <v>1334</v>
      </c>
      <c r="U1008" s="53"/>
      <c r="V1008" s="25">
        <f>IFERROR(VLOOKUP(BCP_Soles[[#This Row],[destinatario]],CHOOSE({1,2},Clientes_Proveedores[Razon Social],Clientes_Proveedores[Ruc / Dni]),2,0),"")</f>
        <v>20100055237</v>
      </c>
      <c r="W1008" s="25" t="s">
        <v>2228</v>
      </c>
      <c r="X1008" s="25" t="s">
        <v>2380</v>
      </c>
      <c r="Y1008" s="25"/>
      <c r="Z1008" s="75"/>
      <c r="AA1008" s="3" t="str">
        <f>IF(BCP_Soles[[#This Row],[fecha]]&gt;0,TEXT(BCP_Soles[[#This Row],[fecha]],"mmmm"),0)</f>
        <v>Marzo</v>
      </c>
    </row>
    <row r="1009" spans="1:27" x14ac:dyDescent="0.3">
      <c r="A1009" s="2">
        <f>IF(BCP_Soles[[#This Row],[tipo_registro]]="R",COUNTIFS($C$1:$C1008,"R")+1,A1008)</f>
        <v>741</v>
      </c>
      <c r="B1009" s="19" t="str">
        <f t="shared" si="86"/>
        <v>B-BCP - Soles</v>
      </c>
      <c r="C1009" s="3" t="s">
        <v>1330</v>
      </c>
      <c r="D1009" s="14">
        <v>45740</v>
      </c>
      <c r="E1009" s="5" t="s">
        <v>1338</v>
      </c>
      <c r="F1009" s="5" t="s">
        <v>1336</v>
      </c>
      <c r="G1009" s="6" t="s">
        <v>196</v>
      </c>
      <c r="H1009" s="6" t="s">
        <v>68</v>
      </c>
      <c r="I1009" s="6" t="s">
        <v>2226</v>
      </c>
      <c r="J1009" s="6">
        <v>6119</v>
      </c>
      <c r="K1009" s="7" t="s">
        <v>2227</v>
      </c>
      <c r="L1009" s="8">
        <v>201127</v>
      </c>
      <c r="M1009" s="8" t="str">
        <f t="shared" si="87"/>
        <v>PEN</v>
      </c>
      <c r="N1009" s="13"/>
      <c r="O1009" s="13">
        <v>395.16</v>
      </c>
      <c r="P1009" s="3">
        <f t="shared" si="88"/>
        <v>0</v>
      </c>
      <c r="Q1009" s="3">
        <f t="shared" si="89"/>
        <v>395.16</v>
      </c>
      <c r="R1009" s="3">
        <f t="shared" si="85"/>
        <v>48670.359999999964</v>
      </c>
      <c r="S1009" s="24" t="s">
        <v>1334</v>
      </c>
      <c r="T1009" s="24" t="s">
        <v>1334</v>
      </c>
      <c r="U1009" s="53"/>
      <c r="V1009" s="25">
        <f>IFERROR(VLOOKUP(BCP_Soles[[#This Row],[destinatario]],CHOOSE({1,2},Clientes_Proveedores[Razon Social],Clientes_Proveedores[Ruc / Dni]),2,0),"")</f>
        <v>20100055237</v>
      </c>
      <c r="W1009" s="25" t="s">
        <v>2228</v>
      </c>
      <c r="X1009" s="25" t="s">
        <v>2381</v>
      </c>
      <c r="Y1009" s="25"/>
      <c r="Z1009" s="75"/>
      <c r="AA1009" s="3" t="str">
        <f>IF(BCP_Soles[[#This Row],[fecha]]&gt;0,TEXT(BCP_Soles[[#This Row],[fecha]],"mmmm"),0)</f>
        <v>Marzo</v>
      </c>
    </row>
    <row r="1010" spans="1:27" x14ac:dyDescent="0.3">
      <c r="A1010" s="2">
        <f>IF(BCP_Soles[[#This Row],[tipo_registro]]="R",COUNTIFS($C$1:$C1009,"R")+1,A1009)</f>
        <v>742</v>
      </c>
      <c r="B1010" s="19" t="str">
        <f t="shared" si="86"/>
        <v>B-BCP - Soles</v>
      </c>
      <c r="C1010" s="3" t="s">
        <v>1330</v>
      </c>
      <c r="D1010" s="14">
        <v>45740</v>
      </c>
      <c r="E1010" s="5" t="s">
        <v>1338</v>
      </c>
      <c r="F1010" s="5" t="s">
        <v>1336</v>
      </c>
      <c r="G1010" s="6" t="s">
        <v>196</v>
      </c>
      <c r="H1010" s="6" t="s">
        <v>68</v>
      </c>
      <c r="I1010" s="6" t="s">
        <v>2226</v>
      </c>
      <c r="J1010" s="6">
        <v>6115</v>
      </c>
      <c r="K1010" s="7" t="s">
        <v>2227</v>
      </c>
      <c r="L1010" s="8">
        <v>203085</v>
      </c>
      <c r="M1010" s="8" t="str">
        <f t="shared" si="87"/>
        <v>PEN</v>
      </c>
      <c r="N1010" s="13"/>
      <c r="O1010" s="13">
        <v>505.72</v>
      </c>
      <c r="P1010" s="3">
        <f t="shared" si="88"/>
        <v>0</v>
      </c>
      <c r="Q1010" s="3">
        <f t="shared" si="89"/>
        <v>505.72</v>
      </c>
      <c r="R1010" s="3">
        <f t="shared" si="85"/>
        <v>48164.639999999963</v>
      </c>
      <c r="S1010" s="24" t="s">
        <v>1334</v>
      </c>
      <c r="T1010" s="24" t="s">
        <v>1334</v>
      </c>
      <c r="U1010" s="53"/>
      <c r="V1010" s="25">
        <f>IFERROR(VLOOKUP(BCP_Soles[[#This Row],[destinatario]],CHOOSE({1,2},Clientes_Proveedores[Razon Social],Clientes_Proveedores[Ruc / Dni]),2,0),"")</f>
        <v>20100055237</v>
      </c>
      <c r="W1010" s="25" t="s">
        <v>2228</v>
      </c>
      <c r="X1010" s="25" t="s">
        <v>2382</v>
      </c>
      <c r="Y1010" s="25"/>
      <c r="Z1010" s="75"/>
      <c r="AA1010" s="3" t="str">
        <f>IF(BCP_Soles[[#This Row],[fecha]]&gt;0,TEXT(BCP_Soles[[#This Row],[fecha]],"mmmm"),0)</f>
        <v>Marzo</v>
      </c>
    </row>
    <row r="1011" spans="1:27" ht="24" x14ac:dyDescent="0.3">
      <c r="A1011" s="2">
        <f>IF(BCP_Soles[[#This Row],[tipo_registro]]="R",COUNTIFS($C$1:$C1010,"R")+1,A1010)</f>
        <v>743</v>
      </c>
      <c r="B1011" s="19" t="str">
        <f t="shared" si="86"/>
        <v>B-BCP - Soles</v>
      </c>
      <c r="C1011" s="3" t="s">
        <v>1330</v>
      </c>
      <c r="D1011" s="14">
        <v>45740</v>
      </c>
      <c r="E1011" s="5" t="s">
        <v>1338</v>
      </c>
      <c r="F1011" s="5" t="s">
        <v>1336</v>
      </c>
      <c r="G1011" s="6" t="s">
        <v>241</v>
      </c>
      <c r="H1011" s="6" t="s">
        <v>68</v>
      </c>
      <c r="I1011" s="6" t="s">
        <v>1339</v>
      </c>
      <c r="J1011" s="6">
        <v>7320</v>
      </c>
      <c r="K1011" s="7" t="s">
        <v>2383</v>
      </c>
      <c r="L1011" s="8">
        <v>1134156</v>
      </c>
      <c r="M1011" s="8" t="str">
        <f t="shared" si="87"/>
        <v>PEN</v>
      </c>
      <c r="N1011" s="13"/>
      <c r="O1011" s="13">
        <v>513.20000000000005</v>
      </c>
      <c r="P1011" s="3">
        <f t="shared" si="88"/>
        <v>0</v>
      </c>
      <c r="Q1011" s="3">
        <f t="shared" si="89"/>
        <v>513.20000000000005</v>
      </c>
      <c r="R1011" s="3">
        <f t="shared" si="85"/>
        <v>47651.439999999966</v>
      </c>
      <c r="S1011" s="24" t="s">
        <v>1334</v>
      </c>
      <c r="T1011" s="24" t="s">
        <v>1334</v>
      </c>
      <c r="U1011" s="53"/>
      <c r="V1011" s="25">
        <f>IFERROR(VLOOKUP(BCP_Soles[[#This Row],[destinatario]],CHOOSE({1,2},Clientes_Proveedores[Razon Social],Clientes_Proveedores[Ruc / Dni]),2,0),"")</f>
        <v>20170040938</v>
      </c>
      <c r="W1011" s="25" t="s">
        <v>1341</v>
      </c>
      <c r="X1011" s="25" t="s">
        <v>2384</v>
      </c>
      <c r="Y1011" s="25"/>
      <c r="Z1011" s="75"/>
      <c r="AA1011" s="3" t="str">
        <f>IF(BCP_Soles[[#This Row],[fecha]]&gt;0,TEXT(BCP_Soles[[#This Row],[fecha]],"mmmm"),0)</f>
        <v>Marzo</v>
      </c>
    </row>
    <row r="1012" spans="1:27" x14ac:dyDescent="0.3">
      <c r="A1012" s="2">
        <f>IF(BCP_Soles[[#This Row],[tipo_registro]]="R",COUNTIFS($C$1:$C1011,"R")+1,A1011)</f>
        <v>744</v>
      </c>
      <c r="B1012" s="19" t="str">
        <f t="shared" si="86"/>
        <v>B-BCP - Soles</v>
      </c>
      <c r="C1012" s="3" t="s">
        <v>1330</v>
      </c>
      <c r="D1012" s="14">
        <v>45740</v>
      </c>
      <c r="E1012" s="5" t="s">
        <v>1338</v>
      </c>
      <c r="F1012" s="5" t="s">
        <v>1336</v>
      </c>
      <c r="G1012" s="6" t="s">
        <v>196</v>
      </c>
      <c r="H1012" s="6" t="s">
        <v>68</v>
      </c>
      <c r="I1012" s="6" t="s">
        <v>2226</v>
      </c>
      <c r="J1012" s="6">
        <v>6122</v>
      </c>
      <c r="K1012" s="7" t="s">
        <v>2227</v>
      </c>
      <c r="L1012" s="8">
        <v>202104</v>
      </c>
      <c r="M1012" s="8" t="str">
        <f t="shared" si="87"/>
        <v>PEN</v>
      </c>
      <c r="N1012" s="13"/>
      <c r="O1012" s="13">
        <v>589.25</v>
      </c>
      <c r="P1012" s="3">
        <f t="shared" si="88"/>
        <v>0</v>
      </c>
      <c r="Q1012" s="3">
        <f t="shared" si="89"/>
        <v>589.25</v>
      </c>
      <c r="R1012" s="3">
        <f t="shared" si="85"/>
        <v>47062.189999999966</v>
      </c>
      <c r="S1012" s="24" t="s">
        <v>1334</v>
      </c>
      <c r="T1012" s="24" t="s">
        <v>1334</v>
      </c>
      <c r="U1012" s="53"/>
      <c r="V1012" s="25">
        <f>IFERROR(VLOOKUP(BCP_Soles[[#This Row],[destinatario]],CHOOSE({1,2},Clientes_Proveedores[Razon Social],Clientes_Proveedores[Ruc / Dni]),2,0),"")</f>
        <v>20100055237</v>
      </c>
      <c r="W1012" s="25" t="s">
        <v>2228</v>
      </c>
      <c r="X1012" s="25" t="s">
        <v>2385</v>
      </c>
      <c r="Y1012" s="25"/>
      <c r="Z1012" s="75"/>
      <c r="AA1012" s="3" t="str">
        <f>IF(BCP_Soles[[#This Row],[fecha]]&gt;0,TEXT(BCP_Soles[[#This Row],[fecha]],"mmmm"),0)</f>
        <v>Marzo</v>
      </c>
    </row>
    <row r="1013" spans="1:27" x14ac:dyDescent="0.3">
      <c r="A1013" s="2">
        <f>IF(BCP_Soles[[#This Row],[tipo_registro]]="R",COUNTIFS($C$1:$C1012,"R")+1,A1012)</f>
        <v>745</v>
      </c>
      <c r="B1013" s="19" t="str">
        <f t="shared" si="86"/>
        <v>B-BCP - Soles</v>
      </c>
      <c r="C1013" s="3" t="s">
        <v>1330</v>
      </c>
      <c r="D1013" s="14">
        <v>45740</v>
      </c>
      <c r="E1013" s="5" t="s">
        <v>1338</v>
      </c>
      <c r="F1013" s="5" t="s">
        <v>1336</v>
      </c>
      <c r="G1013" s="6" t="s">
        <v>196</v>
      </c>
      <c r="H1013" s="6" t="s">
        <v>68</v>
      </c>
      <c r="I1013" s="6" t="s">
        <v>2226</v>
      </c>
      <c r="J1013" s="6">
        <v>6120</v>
      </c>
      <c r="K1013" s="7" t="s">
        <v>2227</v>
      </c>
      <c r="L1013" s="8">
        <v>201128</v>
      </c>
      <c r="M1013" s="8" t="str">
        <f t="shared" si="87"/>
        <v>PEN</v>
      </c>
      <c r="N1013" s="13"/>
      <c r="O1013" s="13">
        <v>622.78</v>
      </c>
      <c r="P1013" s="3">
        <f t="shared" si="88"/>
        <v>0</v>
      </c>
      <c r="Q1013" s="3">
        <f t="shared" si="89"/>
        <v>622.78</v>
      </c>
      <c r="R1013" s="3">
        <f t="shared" si="85"/>
        <v>46439.409999999967</v>
      </c>
      <c r="S1013" s="24" t="s">
        <v>1334</v>
      </c>
      <c r="T1013" s="24" t="s">
        <v>1334</v>
      </c>
      <c r="U1013" s="53"/>
      <c r="V1013" s="25">
        <f>IFERROR(VLOOKUP(BCP_Soles[[#This Row],[destinatario]],CHOOSE({1,2},Clientes_Proveedores[Razon Social],Clientes_Proveedores[Ruc / Dni]),2,0),"")</f>
        <v>20100055237</v>
      </c>
      <c r="W1013" s="25" t="s">
        <v>2228</v>
      </c>
      <c r="X1013" s="25" t="s">
        <v>2386</v>
      </c>
      <c r="Y1013" s="25"/>
      <c r="Z1013" s="75"/>
      <c r="AA1013" s="3" t="str">
        <f>IF(BCP_Soles[[#This Row],[fecha]]&gt;0,TEXT(BCP_Soles[[#This Row],[fecha]],"mmmm"),0)</f>
        <v>Marzo</v>
      </c>
    </row>
    <row r="1014" spans="1:27" x14ac:dyDescent="0.3">
      <c r="A1014" s="2">
        <f>IF(BCP_Soles[[#This Row],[tipo_registro]]="R",COUNTIFS($C$1:$C1013,"R")+1,A1013)</f>
        <v>746</v>
      </c>
      <c r="B1014" s="19" t="str">
        <f t="shared" si="86"/>
        <v>B-BCP - Soles</v>
      </c>
      <c r="C1014" s="3" t="s">
        <v>1330</v>
      </c>
      <c r="D1014" s="14">
        <v>45740</v>
      </c>
      <c r="E1014" s="5" t="s">
        <v>1338</v>
      </c>
      <c r="F1014" s="5" t="s">
        <v>1336</v>
      </c>
      <c r="G1014" s="6" t="s">
        <v>196</v>
      </c>
      <c r="H1014" s="6" t="s">
        <v>68</v>
      </c>
      <c r="I1014" s="6" t="s">
        <v>2226</v>
      </c>
      <c r="J1014" s="6">
        <v>6123</v>
      </c>
      <c r="K1014" s="7" t="s">
        <v>2227</v>
      </c>
      <c r="L1014" s="8">
        <v>202598</v>
      </c>
      <c r="M1014" s="8" t="str">
        <f t="shared" si="87"/>
        <v>PEN</v>
      </c>
      <c r="N1014" s="13"/>
      <c r="O1014" s="13">
        <v>776.32</v>
      </c>
      <c r="P1014" s="3">
        <f t="shared" si="88"/>
        <v>0</v>
      </c>
      <c r="Q1014" s="3">
        <f t="shared" si="89"/>
        <v>776.32</v>
      </c>
      <c r="R1014" s="3">
        <f t="shared" si="85"/>
        <v>45663.089999999967</v>
      </c>
      <c r="S1014" s="24" t="s">
        <v>1334</v>
      </c>
      <c r="T1014" s="24" t="s">
        <v>1334</v>
      </c>
      <c r="U1014" s="53"/>
      <c r="V1014" s="25">
        <f>IFERROR(VLOOKUP(BCP_Soles[[#This Row],[destinatario]],CHOOSE({1,2},Clientes_Proveedores[Razon Social],Clientes_Proveedores[Ruc / Dni]),2,0),"")</f>
        <v>20100055237</v>
      </c>
      <c r="W1014" s="25" t="s">
        <v>2228</v>
      </c>
      <c r="X1014" s="25" t="s">
        <v>2387</v>
      </c>
      <c r="Y1014" s="25"/>
      <c r="Z1014" s="75"/>
      <c r="AA1014" s="3" t="str">
        <f>IF(BCP_Soles[[#This Row],[fecha]]&gt;0,TEXT(BCP_Soles[[#This Row],[fecha]],"mmmm"),0)</f>
        <v>Marzo</v>
      </c>
    </row>
    <row r="1015" spans="1:27" x14ac:dyDescent="0.3">
      <c r="A1015" s="2">
        <f>IF(BCP_Soles[[#This Row],[tipo_registro]]="R",COUNTIFS($C$1:$C1014,"R")+1,A1014)</f>
        <v>747</v>
      </c>
      <c r="B1015" s="19" t="str">
        <f t="shared" si="86"/>
        <v>B-BCP - Soles</v>
      </c>
      <c r="C1015" s="3" t="s">
        <v>1330</v>
      </c>
      <c r="D1015" s="14">
        <v>45740</v>
      </c>
      <c r="E1015" s="5" t="s">
        <v>1338</v>
      </c>
      <c r="F1015" s="5" t="s">
        <v>1336</v>
      </c>
      <c r="G1015" s="6" t="s">
        <v>196</v>
      </c>
      <c r="H1015" s="6" t="s">
        <v>68</v>
      </c>
      <c r="I1015" s="6" t="s">
        <v>2226</v>
      </c>
      <c r="J1015" s="6">
        <v>6116</v>
      </c>
      <c r="K1015" s="7" t="s">
        <v>2227</v>
      </c>
      <c r="L1015" s="8">
        <v>203551</v>
      </c>
      <c r="M1015" s="8" t="str">
        <f t="shared" si="87"/>
        <v>PEN</v>
      </c>
      <c r="N1015" s="13"/>
      <c r="O1015" s="13">
        <v>776.32</v>
      </c>
      <c r="P1015" s="3">
        <f t="shared" si="88"/>
        <v>0</v>
      </c>
      <c r="Q1015" s="3">
        <f t="shared" si="89"/>
        <v>776.32</v>
      </c>
      <c r="R1015" s="3">
        <f t="shared" si="85"/>
        <v>44886.769999999968</v>
      </c>
      <c r="S1015" s="24" t="s">
        <v>1334</v>
      </c>
      <c r="T1015" s="24" t="s">
        <v>1334</v>
      </c>
      <c r="U1015" s="53"/>
      <c r="V1015" s="25">
        <f>IFERROR(VLOOKUP(BCP_Soles[[#This Row],[destinatario]],CHOOSE({1,2},Clientes_Proveedores[Razon Social],Clientes_Proveedores[Ruc / Dni]),2,0),"")</f>
        <v>20100055237</v>
      </c>
      <c r="W1015" s="25" t="s">
        <v>2228</v>
      </c>
      <c r="X1015" s="25" t="s">
        <v>2388</v>
      </c>
      <c r="Y1015" s="25"/>
      <c r="Z1015" s="75"/>
      <c r="AA1015" s="3" t="str">
        <f>IF(BCP_Soles[[#This Row],[fecha]]&gt;0,TEXT(BCP_Soles[[#This Row],[fecha]],"mmmm"),0)</f>
        <v>Marzo</v>
      </c>
    </row>
    <row r="1016" spans="1:27" x14ac:dyDescent="0.3">
      <c r="A1016" s="2">
        <f>IF(BCP_Soles[[#This Row],[tipo_registro]]="R",COUNTIFS($C$1:$C1015,"R")+1,A1015)</f>
        <v>748</v>
      </c>
      <c r="B1016" s="19" t="str">
        <f t="shared" si="86"/>
        <v>B-BCP - Soles</v>
      </c>
      <c r="C1016" s="3" t="s">
        <v>1330</v>
      </c>
      <c r="D1016" s="14">
        <v>45740</v>
      </c>
      <c r="E1016" s="5" t="s">
        <v>1338</v>
      </c>
      <c r="F1016" s="5" t="s">
        <v>1336</v>
      </c>
      <c r="G1016" s="6" t="s">
        <v>196</v>
      </c>
      <c r="H1016" s="6" t="s">
        <v>68</v>
      </c>
      <c r="I1016" s="6" t="s">
        <v>2226</v>
      </c>
      <c r="J1016" s="6">
        <v>6118</v>
      </c>
      <c r="K1016" s="7" t="s">
        <v>2227</v>
      </c>
      <c r="L1016" s="8">
        <v>202105</v>
      </c>
      <c r="M1016" s="8" t="str">
        <f t="shared" si="87"/>
        <v>PEN</v>
      </c>
      <c r="N1016" s="13"/>
      <c r="O1016" s="13">
        <v>1059.08</v>
      </c>
      <c r="P1016" s="3">
        <f t="shared" si="88"/>
        <v>0</v>
      </c>
      <c r="Q1016" s="3">
        <f t="shared" si="89"/>
        <v>1059.08</v>
      </c>
      <c r="R1016" s="3">
        <f t="shared" si="85"/>
        <v>43827.689999999966</v>
      </c>
      <c r="S1016" s="24" t="s">
        <v>1334</v>
      </c>
      <c r="T1016" s="24" t="s">
        <v>1334</v>
      </c>
      <c r="U1016" s="53"/>
      <c r="V1016" s="25">
        <f>IFERROR(VLOOKUP(BCP_Soles[[#This Row],[destinatario]],CHOOSE({1,2},Clientes_Proveedores[Razon Social],Clientes_Proveedores[Ruc / Dni]),2,0),"")</f>
        <v>20100055237</v>
      </c>
      <c r="W1016" s="25" t="s">
        <v>2228</v>
      </c>
      <c r="X1016" s="25" t="s">
        <v>2389</v>
      </c>
      <c r="Y1016" s="25"/>
      <c r="Z1016" s="75"/>
      <c r="AA1016" s="3" t="str">
        <f>IF(BCP_Soles[[#This Row],[fecha]]&gt;0,TEXT(BCP_Soles[[#This Row],[fecha]],"mmmm"),0)</f>
        <v>Marzo</v>
      </c>
    </row>
    <row r="1017" spans="1:27" x14ac:dyDescent="0.3">
      <c r="A1017" s="2">
        <f>IF(BCP_Soles[[#This Row],[tipo_registro]]="R",COUNTIFS($C$1:$C1016,"R")+1,A1016)</f>
        <v>749</v>
      </c>
      <c r="B1017" s="19" t="str">
        <f t="shared" si="86"/>
        <v>B-BCP - Soles</v>
      </c>
      <c r="C1017" s="3" t="s">
        <v>1330</v>
      </c>
      <c r="D1017" s="14">
        <v>45740</v>
      </c>
      <c r="E1017" s="5" t="s">
        <v>1338</v>
      </c>
      <c r="F1017" s="5" t="s">
        <v>1336</v>
      </c>
      <c r="G1017" s="6" t="s">
        <v>196</v>
      </c>
      <c r="H1017" s="6" t="s">
        <v>68</v>
      </c>
      <c r="I1017" s="6" t="s">
        <v>2226</v>
      </c>
      <c r="J1017" s="6">
        <v>6111</v>
      </c>
      <c r="K1017" s="7" t="s">
        <v>2227</v>
      </c>
      <c r="L1017" s="8">
        <v>201130</v>
      </c>
      <c r="M1017" s="8" t="str">
        <f t="shared" si="87"/>
        <v>PEN</v>
      </c>
      <c r="N1017" s="13"/>
      <c r="O1017" s="13">
        <v>1111.44</v>
      </c>
      <c r="P1017" s="3">
        <f t="shared" si="88"/>
        <v>0</v>
      </c>
      <c r="Q1017" s="3">
        <f t="shared" si="89"/>
        <v>1111.44</v>
      </c>
      <c r="R1017" s="3">
        <f t="shared" si="85"/>
        <v>42716.249999999964</v>
      </c>
      <c r="S1017" s="24" t="s">
        <v>1334</v>
      </c>
      <c r="T1017" s="24" t="s">
        <v>1334</v>
      </c>
      <c r="U1017" s="53"/>
      <c r="V1017" s="25">
        <f>IFERROR(VLOOKUP(BCP_Soles[[#This Row],[destinatario]],CHOOSE({1,2},Clientes_Proveedores[Razon Social],Clientes_Proveedores[Ruc / Dni]),2,0),"")</f>
        <v>20100055237</v>
      </c>
      <c r="W1017" s="25" t="s">
        <v>2228</v>
      </c>
      <c r="X1017" s="25" t="s">
        <v>2390</v>
      </c>
      <c r="Y1017" s="25"/>
      <c r="Z1017" s="75"/>
      <c r="AA1017" s="3" t="str">
        <f>IF(BCP_Soles[[#This Row],[fecha]]&gt;0,TEXT(BCP_Soles[[#This Row],[fecha]],"mmmm"),0)</f>
        <v>Marzo</v>
      </c>
    </row>
    <row r="1018" spans="1:27" x14ac:dyDescent="0.3">
      <c r="A1018" s="2">
        <f>IF(BCP_Soles[[#This Row],[tipo_registro]]="R",COUNTIFS($C$1:$C1017,"R")+1,A1017)</f>
        <v>750</v>
      </c>
      <c r="B1018" s="19" t="str">
        <f t="shared" si="86"/>
        <v>B-BCP - Soles</v>
      </c>
      <c r="C1018" s="3" t="s">
        <v>1330</v>
      </c>
      <c r="D1018" s="14">
        <v>45740</v>
      </c>
      <c r="E1018" s="5" t="s">
        <v>1338</v>
      </c>
      <c r="F1018" s="5" t="s">
        <v>1336</v>
      </c>
      <c r="G1018" s="6" t="s">
        <v>196</v>
      </c>
      <c r="H1018" s="6" t="s">
        <v>68</v>
      </c>
      <c r="I1018" s="6" t="s">
        <v>2226</v>
      </c>
      <c r="J1018" s="6">
        <v>6117</v>
      </c>
      <c r="K1018" s="7" t="s">
        <v>2227</v>
      </c>
      <c r="L1018" s="8">
        <v>203084</v>
      </c>
      <c r="M1018" s="8" t="str">
        <f t="shared" si="87"/>
        <v>PEN</v>
      </c>
      <c r="N1018" s="13"/>
      <c r="O1018" s="13">
        <v>1640.48</v>
      </c>
      <c r="P1018" s="3">
        <f t="shared" si="88"/>
        <v>0</v>
      </c>
      <c r="Q1018" s="3">
        <f t="shared" si="89"/>
        <v>1640.48</v>
      </c>
      <c r="R1018" s="3">
        <f t="shared" si="85"/>
        <v>41075.76999999996</v>
      </c>
      <c r="S1018" s="24" t="s">
        <v>1334</v>
      </c>
      <c r="T1018" s="24" t="s">
        <v>1334</v>
      </c>
      <c r="U1018" s="53"/>
      <c r="V1018" s="25">
        <f>IFERROR(VLOOKUP(BCP_Soles[[#This Row],[destinatario]],CHOOSE({1,2},Clientes_Proveedores[Razon Social],Clientes_Proveedores[Ruc / Dni]),2,0),"")</f>
        <v>20100055237</v>
      </c>
      <c r="W1018" s="25" t="s">
        <v>2228</v>
      </c>
      <c r="X1018" s="25" t="s">
        <v>2391</v>
      </c>
      <c r="Y1018" s="25"/>
      <c r="Z1018" s="75"/>
      <c r="AA1018" s="3" t="str">
        <f>IF(BCP_Soles[[#This Row],[fecha]]&gt;0,TEXT(BCP_Soles[[#This Row],[fecha]],"mmmm"),0)</f>
        <v>Marzo</v>
      </c>
    </row>
    <row r="1019" spans="1:27" ht="24" x14ac:dyDescent="0.3">
      <c r="A1019" s="2">
        <f>IF(BCP_Soles[[#This Row],[tipo_registro]]="R",COUNTIFS($C$1:$C1018,"R")+1,A1018)</f>
        <v>751</v>
      </c>
      <c r="B1019" s="19" t="str">
        <f t="shared" si="86"/>
        <v>B-BCP - Soles</v>
      </c>
      <c r="C1019" s="3" t="s">
        <v>1330</v>
      </c>
      <c r="D1019" s="14">
        <v>45740</v>
      </c>
      <c r="E1019" s="5" t="s">
        <v>2269</v>
      </c>
      <c r="F1019" s="5" t="s">
        <v>1336</v>
      </c>
      <c r="G1019" s="6" t="s">
        <v>901</v>
      </c>
      <c r="H1019" s="6"/>
      <c r="I1019" s="6"/>
      <c r="J1019" s="6"/>
      <c r="K1019" s="7" t="s">
        <v>2392</v>
      </c>
      <c r="L1019" s="8">
        <v>1200132</v>
      </c>
      <c r="M1019" s="8" t="str">
        <f t="shared" si="87"/>
        <v>PEN</v>
      </c>
      <c r="N1019" s="13"/>
      <c r="O1019" s="13">
        <v>3200.2</v>
      </c>
      <c r="P1019" s="3">
        <f t="shared" si="88"/>
        <v>0</v>
      </c>
      <c r="Q1019" s="3">
        <f t="shared" si="89"/>
        <v>3200.2</v>
      </c>
      <c r="R1019" s="3">
        <f t="shared" si="85"/>
        <v>37875.569999999963</v>
      </c>
      <c r="S1019" s="24"/>
      <c r="T1019" s="24" t="s">
        <v>1334</v>
      </c>
      <c r="U1019" s="53"/>
      <c r="V1019" s="25">
        <f>IFERROR(VLOOKUP(BCP_Soles[[#This Row],[destinatario]],CHOOSE({1,2},Clientes_Proveedores[Razon Social],Clientes_Proveedores[Ruc / Dni]),2,0),"")</f>
        <v>72131384</v>
      </c>
      <c r="W1019" s="25" t="s">
        <v>901</v>
      </c>
      <c r="X1019" s="25" t="s">
        <v>2393</v>
      </c>
      <c r="Y1019" s="25"/>
      <c r="Z1019" s="75"/>
      <c r="AA1019" s="3" t="str">
        <f>IF(BCP_Soles[[#This Row],[fecha]]&gt;0,TEXT(BCP_Soles[[#This Row],[fecha]],"mmmm"),0)</f>
        <v>Marzo</v>
      </c>
    </row>
    <row r="1020" spans="1:27" ht="24" x14ac:dyDescent="0.3">
      <c r="A1020" s="2">
        <f>IF(BCP_Soles[[#This Row],[tipo_registro]]="R",COUNTIFS($C$1:$C1019,"R")+1,A1019)</f>
        <v>752</v>
      </c>
      <c r="B1020" s="19" t="str">
        <f t="shared" si="86"/>
        <v>B-BCP - Soles</v>
      </c>
      <c r="C1020" s="3" t="s">
        <v>1330</v>
      </c>
      <c r="D1020" s="14">
        <v>45741</v>
      </c>
      <c r="E1020" s="5" t="s">
        <v>2103</v>
      </c>
      <c r="F1020" s="5" t="s">
        <v>1303</v>
      </c>
      <c r="G1020" s="6" t="s">
        <v>425</v>
      </c>
      <c r="H1020" s="6" t="s">
        <v>119</v>
      </c>
      <c r="I1020" s="6">
        <v>1</v>
      </c>
      <c r="J1020" s="6">
        <v>4269</v>
      </c>
      <c r="K1020" s="7" t="s">
        <v>2394</v>
      </c>
      <c r="L1020" s="8">
        <v>2011978</v>
      </c>
      <c r="M1020" s="8" t="str">
        <f t="shared" si="87"/>
        <v>PEN</v>
      </c>
      <c r="N1020" s="13"/>
      <c r="O1020" s="13">
        <v>17650</v>
      </c>
      <c r="P1020" s="3">
        <f t="shared" si="88"/>
        <v>17650</v>
      </c>
      <c r="Q1020" s="3">
        <f t="shared" si="89"/>
        <v>0</v>
      </c>
      <c r="R1020" s="3">
        <f t="shared" si="85"/>
        <v>55525.569999999963</v>
      </c>
      <c r="S1020" s="24" t="s">
        <v>1334</v>
      </c>
      <c r="T1020" s="24" t="s">
        <v>1334</v>
      </c>
      <c r="U1020" s="53"/>
      <c r="V1020" s="25">
        <f>IFERROR(VLOOKUP(BCP_Soles[[#This Row],[destinatario]],CHOOSE({1,2},Clientes_Proveedores[Razon Social],Clientes_Proveedores[Ruc / Dni]),2,0),"")</f>
        <v>20558226979</v>
      </c>
      <c r="W1020" s="25" t="s">
        <v>1345</v>
      </c>
      <c r="X1020" s="25" t="s">
        <v>2395</v>
      </c>
      <c r="Y1020" s="25"/>
      <c r="Z1020" s="75"/>
      <c r="AA1020" s="3" t="str">
        <f>IF(BCP_Soles[[#This Row],[fecha]]&gt;0,TEXT(BCP_Soles[[#This Row],[fecha]],"mmmm"),0)</f>
        <v>Marzo</v>
      </c>
    </row>
    <row r="1021" spans="1:27" x14ac:dyDescent="0.3">
      <c r="A1021" s="2">
        <f>IF(BCP_Soles[[#This Row],[tipo_registro]]="R",COUNTIFS($C$1:$C1020,"R")+1,A1020)</f>
        <v>753</v>
      </c>
      <c r="B1021" s="19" t="str">
        <f t="shared" si="86"/>
        <v>B-BCP - Soles</v>
      </c>
      <c r="C1021" s="3" t="s">
        <v>1330</v>
      </c>
      <c r="D1021" s="14">
        <v>45741</v>
      </c>
      <c r="E1021" s="5" t="s">
        <v>427</v>
      </c>
      <c r="F1021" s="5" t="s">
        <v>1303</v>
      </c>
      <c r="G1021" s="6" t="s">
        <v>425</v>
      </c>
      <c r="H1021" s="6"/>
      <c r="I1021" s="6"/>
      <c r="J1021" s="6"/>
      <c r="K1021" s="7" t="s">
        <v>2396</v>
      </c>
      <c r="L1021" s="8">
        <v>528289</v>
      </c>
      <c r="M1021" s="8" t="str">
        <f t="shared" si="87"/>
        <v>PEN</v>
      </c>
      <c r="N1021" s="13"/>
      <c r="O1021" s="13">
        <v>2118.1999999999998</v>
      </c>
      <c r="P1021" s="3">
        <f t="shared" si="88"/>
        <v>2118.1999999999998</v>
      </c>
      <c r="Q1021" s="3">
        <f t="shared" si="89"/>
        <v>0</v>
      </c>
      <c r="R1021" s="3">
        <f t="shared" si="85"/>
        <v>57643.76999999996</v>
      </c>
      <c r="S1021" s="24" t="s">
        <v>1334</v>
      </c>
      <c r="T1021" s="24" t="s">
        <v>1334</v>
      </c>
      <c r="U1021" s="53"/>
      <c r="V1021" s="25">
        <f>IFERROR(VLOOKUP(BCP_Soles[[#This Row],[destinatario]],CHOOSE({1,2},Clientes_Proveedores[Razon Social],Clientes_Proveedores[Ruc / Dni]),2,0),"")</f>
        <v>20558226979</v>
      </c>
      <c r="W1021" s="25" t="s">
        <v>1345</v>
      </c>
      <c r="X1021" s="25" t="s">
        <v>2397</v>
      </c>
      <c r="Y1021" s="25"/>
      <c r="Z1021" s="75"/>
      <c r="AA1021" s="3" t="str">
        <f>IF(BCP_Soles[[#This Row],[fecha]]&gt;0,TEXT(BCP_Soles[[#This Row],[fecha]],"mmmm"),0)</f>
        <v>Marzo</v>
      </c>
    </row>
    <row r="1022" spans="1:27" ht="24" x14ac:dyDescent="0.3">
      <c r="A1022" s="2">
        <f>IF(BCP_Soles[[#This Row],[tipo_registro]]="R",COUNTIFS($C$1:$C1021,"R")+1,A1021)</f>
        <v>754</v>
      </c>
      <c r="B1022" s="19" t="str">
        <f t="shared" si="86"/>
        <v>B-BCP - Soles</v>
      </c>
      <c r="C1022" s="3" t="s">
        <v>1330</v>
      </c>
      <c r="D1022" s="14">
        <v>45741</v>
      </c>
      <c r="E1022" s="5" t="s">
        <v>2043</v>
      </c>
      <c r="F1022" s="5" t="s">
        <v>1303</v>
      </c>
      <c r="G1022" s="6" t="s">
        <v>425</v>
      </c>
      <c r="H1022" s="6" t="s">
        <v>119</v>
      </c>
      <c r="I1022" s="6">
        <v>1</v>
      </c>
      <c r="J1022" s="6">
        <v>4158</v>
      </c>
      <c r="K1022" s="7" t="s">
        <v>1356</v>
      </c>
      <c r="L1022" s="8">
        <v>1921478</v>
      </c>
      <c r="M1022" s="8" t="str">
        <f t="shared" si="87"/>
        <v>PEN</v>
      </c>
      <c r="N1022" s="13"/>
      <c r="O1022" s="13">
        <v>932</v>
      </c>
      <c r="P1022" s="3">
        <f t="shared" si="88"/>
        <v>932</v>
      </c>
      <c r="Q1022" s="3">
        <f t="shared" si="89"/>
        <v>0</v>
      </c>
      <c r="R1022" s="3">
        <f t="shared" si="85"/>
        <v>58575.76999999996</v>
      </c>
      <c r="S1022" s="24" t="s">
        <v>1334</v>
      </c>
      <c r="T1022" s="24" t="s">
        <v>1334</v>
      </c>
      <c r="U1022" s="53"/>
      <c r="V1022" s="25">
        <f>IFERROR(VLOOKUP(BCP_Soles[[#This Row],[destinatario]],CHOOSE({1,2},Clientes_Proveedores[Razon Social],Clientes_Proveedores[Ruc / Dni]),2,0),"")</f>
        <v>20558226979</v>
      </c>
      <c r="W1022" s="25" t="s">
        <v>1345</v>
      </c>
      <c r="X1022" s="25" t="s">
        <v>2044</v>
      </c>
      <c r="Y1022" s="25"/>
      <c r="Z1022" s="75"/>
      <c r="AA1022" s="3" t="str">
        <f>IF(BCP_Soles[[#This Row],[fecha]]&gt;0,TEXT(BCP_Soles[[#This Row],[fecha]],"mmmm"),0)</f>
        <v>Marzo</v>
      </c>
    </row>
    <row r="1023" spans="1:27" x14ac:dyDescent="0.3">
      <c r="A1023" s="2">
        <f>IF(BCP_Soles[[#This Row],[tipo_registro]]="R",COUNTIFS($C$1:$C1022,"R")+1,A1022)</f>
        <v>755</v>
      </c>
      <c r="B1023" s="19" t="str">
        <f t="shared" si="86"/>
        <v>B-BCP - Soles</v>
      </c>
      <c r="C1023" s="3" t="s">
        <v>1330</v>
      </c>
      <c r="D1023" s="14">
        <v>45741</v>
      </c>
      <c r="E1023" s="5" t="s">
        <v>1442</v>
      </c>
      <c r="F1023" s="5" t="s">
        <v>1303</v>
      </c>
      <c r="G1023" s="6" t="s">
        <v>425</v>
      </c>
      <c r="H1023" s="6" t="s">
        <v>119</v>
      </c>
      <c r="I1023" s="6">
        <v>1</v>
      </c>
      <c r="J1023" s="6">
        <v>4270</v>
      </c>
      <c r="K1023" s="7" t="s">
        <v>1356</v>
      </c>
      <c r="L1023" s="8">
        <v>1845380</v>
      </c>
      <c r="M1023" s="8" t="str">
        <f t="shared" si="87"/>
        <v>PEN</v>
      </c>
      <c r="N1023" s="13"/>
      <c r="O1023" s="13">
        <v>370</v>
      </c>
      <c r="P1023" s="3">
        <f t="shared" si="88"/>
        <v>370</v>
      </c>
      <c r="Q1023" s="3">
        <f t="shared" si="89"/>
        <v>0</v>
      </c>
      <c r="R1023" s="3">
        <f t="shared" si="85"/>
        <v>58945.76999999996</v>
      </c>
      <c r="S1023" s="24" t="s">
        <v>1334</v>
      </c>
      <c r="T1023" s="24" t="s">
        <v>1334</v>
      </c>
      <c r="U1023" s="53"/>
      <c r="V1023" s="25">
        <f>IFERROR(VLOOKUP(BCP_Soles[[#This Row],[destinatario]],CHOOSE({1,2},Clientes_Proveedores[Razon Social],Clientes_Proveedores[Ruc / Dni]),2,0),"")</f>
        <v>20558226979</v>
      </c>
      <c r="W1023" s="25" t="s">
        <v>1345</v>
      </c>
      <c r="X1023" s="25" t="s">
        <v>2398</v>
      </c>
      <c r="Y1023" s="25"/>
      <c r="Z1023" s="75"/>
      <c r="AA1023" s="3" t="str">
        <f>IF(BCP_Soles[[#This Row],[fecha]]&gt;0,TEXT(BCP_Soles[[#This Row],[fecha]],"mmmm"),0)</f>
        <v>Marzo</v>
      </c>
    </row>
    <row r="1024" spans="1:27" ht="24" x14ac:dyDescent="0.3">
      <c r="A1024" s="2">
        <f>IF(BCP_Soles[[#This Row],[tipo_registro]]="R",COUNTIFS($C$1:$C1023,"R")+1,A1023)</f>
        <v>756</v>
      </c>
      <c r="B1024" s="19" t="str">
        <f t="shared" si="86"/>
        <v>B-BCP - Soles</v>
      </c>
      <c r="C1024" s="3" t="s">
        <v>1330</v>
      </c>
      <c r="D1024" s="14">
        <v>45741</v>
      </c>
      <c r="E1024" s="5" t="s">
        <v>2269</v>
      </c>
      <c r="F1024" s="5" t="s">
        <v>1336</v>
      </c>
      <c r="G1024" s="6" t="s">
        <v>241</v>
      </c>
      <c r="H1024" s="6" t="s">
        <v>68</v>
      </c>
      <c r="I1024" s="6" t="s">
        <v>1339</v>
      </c>
      <c r="J1024" s="6">
        <v>7321</v>
      </c>
      <c r="K1024" s="7" t="s">
        <v>2399</v>
      </c>
      <c r="L1024" s="8">
        <v>1137720</v>
      </c>
      <c r="M1024" s="8" t="str">
        <f t="shared" si="87"/>
        <v>PEN</v>
      </c>
      <c r="N1024" s="13"/>
      <c r="O1024" s="13">
        <v>56.6</v>
      </c>
      <c r="P1024" s="3">
        <f t="shared" si="88"/>
        <v>0</v>
      </c>
      <c r="Q1024" s="3">
        <f t="shared" si="89"/>
        <v>56.6</v>
      </c>
      <c r="R1024" s="3">
        <f t="shared" si="85"/>
        <v>58889.169999999962</v>
      </c>
      <c r="S1024" s="24" t="s">
        <v>1334</v>
      </c>
      <c r="T1024" s="24" t="s">
        <v>1334</v>
      </c>
      <c r="U1024" s="53"/>
      <c r="V1024" s="25">
        <f>IFERROR(VLOOKUP(BCP_Soles[[#This Row],[destinatario]],CHOOSE({1,2},Clientes_Proveedores[Razon Social],Clientes_Proveedores[Ruc / Dni]),2,0),"")</f>
        <v>20170040938</v>
      </c>
      <c r="W1024" s="25" t="s">
        <v>1341</v>
      </c>
      <c r="X1024" s="25" t="s">
        <v>2400</v>
      </c>
      <c r="Y1024" s="25"/>
      <c r="Z1024" s="75"/>
      <c r="AA1024" s="3" t="str">
        <f>IF(BCP_Soles[[#This Row],[fecha]]&gt;0,TEXT(BCP_Soles[[#This Row],[fecha]],"mmmm"),0)</f>
        <v>Marzo</v>
      </c>
    </row>
    <row r="1025" spans="1:27" ht="24" x14ac:dyDescent="0.3">
      <c r="A1025" s="2">
        <f>IF(BCP_Soles[[#This Row],[tipo_registro]]="R",COUNTIFS($C$1:$C1024,"R")+1,A1024)</f>
        <v>757</v>
      </c>
      <c r="B1025" s="19" t="str">
        <f t="shared" si="86"/>
        <v>B-BCP - Soles</v>
      </c>
      <c r="C1025" s="3" t="s">
        <v>1330</v>
      </c>
      <c r="D1025" s="14">
        <v>45741</v>
      </c>
      <c r="E1025" s="5" t="s">
        <v>2269</v>
      </c>
      <c r="F1025" s="5" t="s">
        <v>1336</v>
      </c>
      <c r="G1025" s="6" t="s">
        <v>754</v>
      </c>
      <c r="H1025" s="6" t="s">
        <v>72</v>
      </c>
      <c r="I1025" s="6" t="s">
        <v>1376</v>
      </c>
      <c r="J1025" s="6">
        <v>18</v>
      </c>
      <c r="K1025" s="7" t="s">
        <v>2401</v>
      </c>
      <c r="L1025" s="8">
        <v>1107020</v>
      </c>
      <c r="M1025" s="8" t="str">
        <f t="shared" si="87"/>
        <v>PEN</v>
      </c>
      <c r="N1025" s="13"/>
      <c r="O1025" s="13">
        <v>1800</v>
      </c>
      <c r="P1025" s="3">
        <f t="shared" si="88"/>
        <v>0</v>
      </c>
      <c r="Q1025" s="3">
        <f t="shared" si="89"/>
        <v>1800</v>
      </c>
      <c r="R1025" s="3">
        <f t="shared" si="85"/>
        <v>57089.169999999962</v>
      </c>
      <c r="S1025" s="24"/>
      <c r="T1025" s="24" t="s">
        <v>1334</v>
      </c>
      <c r="U1025" s="53"/>
      <c r="V1025" s="25">
        <f>IFERROR(VLOOKUP(BCP_Soles[[#This Row],[destinatario]],CHOOSE({1,2},Clientes_Proveedores[Razon Social],Clientes_Proveedores[Ruc / Dni]),2,0),"")</f>
        <v>10723875914</v>
      </c>
      <c r="W1025" s="25" t="s">
        <v>754</v>
      </c>
      <c r="X1025" s="25" t="s">
        <v>2402</v>
      </c>
      <c r="Y1025" s="25"/>
      <c r="Z1025" s="75"/>
      <c r="AA1025" s="3" t="str">
        <f>IF(BCP_Soles[[#This Row],[fecha]]&gt;0,TEXT(BCP_Soles[[#This Row],[fecha]],"mmmm"),0)</f>
        <v>Marzo</v>
      </c>
    </row>
    <row r="1026" spans="1:27" ht="24" x14ac:dyDescent="0.3">
      <c r="A1026" s="2">
        <f>IF(BCP_Soles[[#This Row],[tipo_registro]]="R",COUNTIFS($C$1:$C1025,"R")+1,A1025)</f>
        <v>758</v>
      </c>
      <c r="B1026" s="19" t="str">
        <f t="shared" si="86"/>
        <v>B-BCP - Soles</v>
      </c>
      <c r="C1026" s="3" t="s">
        <v>1330</v>
      </c>
      <c r="D1026" s="14">
        <v>45741</v>
      </c>
      <c r="E1026" s="5" t="s">
        <v>2269</v>
      </c>
      <c r="F1026" s="5" t="s">
        <v>1336</v>
      </c>
      <c r="G1026" s="6" t="s">
        <v>696</v>
      </c>
      <c r="H1026" s="6"/>
      <c r="I1026" s="6"/>
      <c r="J1026" s="6"/>
      <c r="K1026" s="21" t="s">
        <v>2403</v>
      </c>
      <c r="L1026" s="8">
        <v>6397551</v>
      </c>
      <c r="M1026" s="8" t="str">
        <f t="shared" si="87"/>
        <v>PEN</v>
      </c>
      <c r="N1026" s="13"/>
      <c r="O1026" s="13">
        <v>14874.08</v>
      </c>
      <c r="P1026" s="3">
        <f t="shared" si="88"/>
        <v>0</v>
      </c>
      <c r="Q1026" s="3">
        <f t="shared" si="89"/>
        <v>14874.08</v>
      </c>
      <c r="R1026" s="3">
        <f t="shared" si="85"/>
        <v>42215.08999999996</v>
      </c>
      <c r="S1026" s="24" t="s">
        <v>1334</v>
      </c>
      <c r="T1026" s="24" t="s">
        <v>2404</v>
      </c>
      <c r="U1026" s="53"/>
      <c r="V1026" s="25">
        <f>IFERROR(VLOOKUP(BCP_Soles[[#This Row],[destinatario]],CHOOSE({1,2},Clientes_Proveedores[Razon Social],Clientes_Proveedores[Ruc / Dni]),2,0),"")</f>
        <v>0</v>
      </c>
      <c r="W1026" s="25" t="s">
        <v>1373</v>
      </c>
      <c r="X1026" s="25"/>
      <c r="Y1026" s="25"/>
      <c r="Z1026" s="75"/>
      <c r="AA1026" s="3" t="str">
        <f>IF(BCP_Soles[[#This Row],[fecha]]&gt;0,TEXT(BCP_Soles[[#This Row],[fecha]],"mmmm"),0)</f>
        <v>Marzo</v>
      </c>
    </row>
    <row r="1027" spans="1:27" ht="24" x14ac:dyDescent="0.3">
      <c r="A1027" s="2">
        <f>IF(BCP_Soles[[#This Row],[tipo_registro]]="R",COUNTIFS($C$1:$C1026,"R")+1,A1026)</f>
        <v>759</v>
      </c>
      <c r="B1027" s="19" t="str">
        <f t="shared" si="86"/>
        <v>B-BCP - Soles</v>
      </c>
      <c r="C1027" s="3" t="s">
        <v>1330</v>
      </c>
      <c r="D1027" s="14">
        <v>45741</v>
      </c>
      <c r="E1027" s="5" t="s">
        <v>536</v>
      </c>
      <c r="F1027" s="5" t="s">
        <v>1303</v>
      </c>
      <c r="G1027" s="6" t="s">
        <v>425</v>
      </c>
      <c r="H1027" s="6" t="s">
        <v>119</v>
      </c>
      <c r="I1027" s="6">
        <v>1</v>
      </c>
      <c r="J1027" s="6">
        <v>4271</v>
      </c>
      <c r="K1027" s="7" t="s">
        <v>1356</v>
      </c>
      <c r="L1027" s="8">
        <v>3243145</v>
      </c>
      <c r="M1027" s="8" t="str">
        <f t="shared" si="87"/>
        <v>PEN</v>
      </c>
      <c r="N1027" s="13"/>
      <c r="O1027" s="13">
        <v>4536</v>
      </c>
      <c r="P1027" s="3">
        <f t="shared" si="88"/>
        <v>4536</v>
      </c>
      <c r="Q1027" s="3">
        <f t="shared" si="89"/>
        <v>0</v>
      </c>
      <c r="R1027" s="3">
        <f t="shared" si="85"/>
        <v>46751.08999999996</v>
      </c>
      <c r="S1027" s="24" t="s">
        <v>1334</v>
      </c>
      <c r="T1027" s="24" t="s">
        <v>1334</v>
      </c>
      <c r="U1027" s="53"/>
      <c r="V1027" s="25">
        <f>IFERROR(VLOOKUP(BCP_Soles[[#This Row],[destinatario]],CHOOSE({1,2},Clientes_Proveedores[Razon Social],Clientes_Proveedores[Ruc / Dni]),2,0),"")</f>
        <v>20558226979</v>
      </c>
      <c r="W1027" s="25" t="s">
        <v>1345</v>
      </c>
      <c r="X1027" s="25" t="s">
        <v>2405</v>
      </c>
      <c r="Y1027" s="25"/>
      <c r="Z1027" s="75"/>
      <c r="AA1027" s="3" t="str">
        <f>IF(BCP_Soles[[#This Row],[fecha]]&gt;0,TEXT(BCP_Soles[[#This Row],[fecha]],"mmmm"),0)</f>
        <v>Marzo</v>
      </c>
    </row>
    <row r="1028" spans="1:27" ht="24" x14ac:dyDescent="0.3">
      <c r="A1028" s="2">
        <f>IF(BCP_Soles[[#This Row],[tipo_registro]]="R",COUNTIFS($C$1:$C1027,"R")+1,A1027)</f>
        <v>760</v>
      </c>
      <c r="B1028" s="19" t="str">
        <f t="shared" si="86"/>
        <v>B-BCP - Soles</v>
      </c>
      <c r="C1028" s="3" t="s">
        <v>1330</v>
      </c>
      <c r="D1028" s="14">
        <v>45741</v>
      </c>
      <c r="E1028" s="5" t="s">
        <v>1335</v>
      </c>
      <c r="F1028" s="5" t="s">
        <v>1336</v>
      </c>
      <c r="G1028" s="6"/>
      <c r="H1028" s="6" t="s">
        <v>72</v>
      </c>
      <c r="I1028" s="6"/>
      <c r="J1028" s="6"/>
      <c r="K1028" s="7" t="s">
        <v>1337</v>
      </c>
      <c r="L1028" s="8"/>
      <c r="M1028" s="8" t="str">
        <f t="shared" si="87"/>
        <v>PEN</v>
      </c>
      <c r="N1028" s="13"/>
      <c r="O1028" s="13">
        <v>2</v>
      </c>
      <c r="P1028" s="3">
        <f t="shared" si="88"/>
        <v>0</v>
      </c>
      <c r="Q1028" s="3">
        <f t="shared" si="89"/>
        <v>2</v>
      </c>
      <c r="R1028" s="3">
        <f t="shared" si="85"/>
        <v>46749.08999999996</v>
      </c>
      <c r="S1028" s="24"/>
      <c r="T1028" s="24" t="s">
        <v>1334</v>
      </c>
      <c r="U1028" s="53"/>
      <c r="V1028" s="25" t="str">
        <f>IFERROR(VLOOKUP(BCP_Soles[[#This Row],[destinatario]],CHOOSE({1,2},Clientes_Proveedores[Razon Social],Clientes_Proveedores[Ruc / Dni]),2,0),"")</f>
        <v/>
      </c>
      <c r="W1028" s="25"/>
      <c r="X1028" s="25"/>
      <c r="Y1028" s="25"/>
      <c r="Z1028" s="75"/>
      <c r="AA1028" s="3" t="str">
        <f>IF(BCP_Soles[[#This Row],[fecha]]&gt;0,TEXT(BCP_Soles[[#This Row],[fecha]],"mmmm"),0)</f>
        <v>Marzo</v>
      </c>
    </row>
    <row r="1029" spans="1:27" ht="24" x14ac:dyDescent="0.3">
      <c r="A1029" s="2">
        <f>IF(BCP_Soles[[#This Row],[tipo_registro]]="R",COUNTIFS($C$1:$C1028,"R")+1,A1028)</f>
        <v>761</v>
      </c>
      <c r="B1029" s="19" t="str">
        <f t="shared" si="86"/>
        <v>B-BCP - Soles</v>
      </c>
      <c r="C1029" s="3" t="s">
        <v>1330</v>
      </c>
      <c r="D1029" s="14">
        <v>45741</v>
      </c>
      <c r="E1029" s="5" t="s">
        <v>1335</v>
      </c>
      <c r="F1029" s="5" t="s">
        <v>1336</v>
      </c>
      <c r="G1029" s="6" t="s">
        <v>1060</v>
      </c>
      <c r="H1029" s="6" t="s">
        <v>68</v>
      </c>
      <c r="I1029" s="6" t="s">
        <v>1397</v>
      </c>
      <c r="J1029" s="6">
        <v>30934819</v>
      </c>
      <c r="K1029" s="7" t="s">
        <v>1400</v>
      </c>
      <c r="L1029" s="8">
        <v>420</v>
      </c>
      <c r="M1029" s="8" t="str">
        <f t="shared" si="87"/>
        <v>PEN</v>
      </c>
      <c r="N1029" s="13"/>
      <c r="O1029" s="13">
        <v>10</v>
      </c>
      <c r="P1029" s="3">
        <f t="shared" si="88"/>
        <v>0</v>
      </c>
      <c r="Q1029" s="3">
        <f t="shared" si="89"/>
        <v>10</v>
      </c>
      <c r="R1029" s="3">
        <f t="shared" si="85"/>
        <v>46739.08999999996</v>
      </c>
      <c r="S1029" s="24"/>
      <c r="T1029" s="24" t="s">
        <v>1334</v>
      </c>
      <c r="U1029" s="53"/>
      <c r="V1029" s="25">
        <f>IFERROR(VLOOKUP(BCP_Soles[[#This Row],[destinatario]],CHOOSE({1,2},Clientes_Proveedores[Razon Social],Clientes_Proveedores[Ruc / Dni]),2,0),"")</f>
        <v>20100047218</v>
      </c>
      <c r="W1029" s="25" t="s">
        <v>1335</v>
      </c>
      <c r="X1029" s="25" t="s">
        <v>2406</v>
      </c>
      <c r="Y1029" s="25"/>
      <c r="Z1029" s="75"/>
      <c r="AA1029" s="3" t="str">
        <f>IF(BCP_Soles[[#This Row],[fecha]]&gt;0,TEXT(BCP_Soles[[#This Row],[fecha]],"mmmm"),0)</f>
        <v>Marzo</v>
      </c>
    </row>
    <row r="1030" spans="1:27" x14ac:dyDescent="0.3">
      <c r="A1030" s="2">
        <f>IF(BCP_Soles[[#This Row],[tipo_registro]]="R",COUNTIFS($C$1:$C1029,"R")+1,A1029)</f>
        <v>762</v>
      </c>
      <c r="B1030" s="19" t="str">
        <f t="shared" si="86"/>
        <v>B-BCP - Soles</v>
      </c>
      <c r="C1030" s="3" t="s">
        <v>1330</v>
      </c>
      <c r="D1030" s="14">
        <v>45741</v>
      </c>
      <c r="E1030" s="5" t="s">
        <v>2269</v>
      </c>
      <c r="F1030" s="5" t="s">
        <v>1336</v>
      </c>
      <c r="G1030" s="6"/>
      <c r="H1030" s="6"/>
      <c r="I1030" s="6"/>
      <c r="J1030" s="6"/>
      <c r="K1030" s="7" t="s">
        <v>2407</v>
      </c>
      <c r="L1030" s="8">
        <v>1008447</v>
      </c>
      <c r="M1030" s="8" t="str">
        <f t="shared" si="87"/>
        <v>PEN</v>
      </c>
      <c r="N1030" s="13"/>
      <c r="O1030" s="13">
        <v>2450</v>
      </c>
      <c r="P1030" s="3">
        <f t="shared" si="88"/>
        <v>0</v>
      </c>
      <c r="Q1030" s="3">
        <f t="shared" si="89"/>
        <v>2450</v>
      </c>
      <c r="R1030" s="3">
        <f t="shared" si="85"/>
        <v>44289.08999999996</v>
      </c>
      <c r="S1030" s="24"/>
      <c r="T1030" s="24"/>
      <c r="U1030" s="53"/>
      <c r="V1030" s="25" t="str">
        <f>IFERROR(VLOOKUP(BCP_Soles[[#This Row],[destinatario]],CHOOSE({1,2},Clientes_Proveedores[Razon Social],Clientes_Proveedores[Ruc / Dni]),2,0),"")</f>
        <v/>
      </c>
      <c r="W1030" s="25" t="s">
        <v>1389</v>
      </c>
      <c r="X1030" s="25"/>
      <c r="Y1030" s="25"/>
      <c r="Z1030" s="75"/>
      <c r="AA1030" s="3" t="str">
        <f>IF(BCP_Soles[[#This Row],[fecha]]&gt;0,TEXT(BCP_Soles[[#This Row],[fecha]],"mmmm"),0)</f>
        <v>Marzo</v>
      </c>
    </row>
    <row r="1031" spans="1:27" ht="24" x14ac:dyDescent="0.3">
      <c r="A1031" s="2">
        <f>IF(BCP_Soles[[#This Row],[tipo_registro]]="R",COUNTIFS($C$1:$C1030,"R")+1,A1030)</f>
        <v>763</v>
      </c>
      <c r="B1031" s="19" t="str">
        <f t="shared" si="86"/>
        <v>B-BCP - Soles</v>
      </c>
      <c r="C1031" s="3" t="s">
        <v>1330</v>
      </c>
      <c r="D1031" s="14">
        <v>45742</v>
      </c>
      <c r="E1031" s="5" t="s">
        <v>346</v>
      </c>
      <c r="F1031" s="5" t="s">
        <v>1303</v>
      </c>
      <c r="G1031" s="6" t="s">
        <v>425</v>
      </c>
      <c r="H1031" s="6"/>
      <c r="I1031" s="6"/>
      <c r="J1031" s="6"/>
      <c r="K1031" s="7" t="s">
        <v>1453</v>
      </c>
      <c r="L1031" s="8">
        <v>6894789</v>
      </c>
      <c r="M1031" s="8" t="str">
        <f t="shared" si="87"/>
        <v>PEN</v>
      </c>
      <c r="N1031" s="13"/>
      <c r="O1031" s="13">
        <v>47517.09</v>
      </c>
      <c r="P1031" s="3">
        <f t="shared" si="88"/>
        <v>47517.09</v>
      </c>
      <c r="Q1031" s="3">
        <f t="shared" si="89"/>
        <v>0</v>
      </c>
      <c r="R1031" s="3">
        <f t="shared" si="85"/>
        <v>91806.179999999964</v>
      </c>
      <c r="S1031" s="24" t="s">
        <v>1334</v>
      </c>
      <c r="T1031" s="24" t="s">
        <v>1334</v>
      </c>
      <c r="U1031" s="53"/>
      <c r="V1031" s="25">
        <f>IFERROR(VLOOKUP(BCP_Soles[[#This Row],[destinatario]],CHOOSE({1,2},Clientes_Proveedores[Razon Social],Clientes_Proveedores[Ruc / Dni]),2,0),"")</f>
        <v>20558226979</v>
      </c>
      <c r="W1031" s="25" t="s">
        <v>1345</v>
      </c>
      <c r="X1031" s="25" t="s">
        <v>2408</v>
      </c>
      <c r="Y1031" s="25"/>
      <c r="Z1031" s="75"/>
      <c r="AA1031" s="3" t="str">
        <f>IF(BCP_Soles[[#This Row],[fecha]]&gt;0,TEXT(BCP_Soles[[#This Row],[fecha]],"mmmm"),0)</f>
        <v>Marzo</v>
      </c>
    </row>
    <row r="1032" spans="1:27" ht="24" x14ac:dyDescent="0.3">
      <c r="A1032" s="2">
        <f>IF(BCP_Soles[[#This Row],[tipo_registro]]="R",COUNTIFS($C$1:$C1031,"R")+1,A1031)</f>
        <v>764</v>
      </c>
      <c r="B1032" s="19" t="str">
        <f t="shared" si="86"/>
        <v>B-BCP - Soles</v>
      </c>
      <c r="C1032" s="3" t="s">
        <v>1330</v>
      </c>
      <c r="D1032" s="14">
        <v>45742</v>
      </c>
      <c r="E1032" s="5" t="s">
        <v>2409</v>
      </c>
      <c r="F1032" s="5" t="s">
        <v>1303</v>
      </c>
      <c r="G1032" s="6" t="s">
        <v>425</v>
      </c>
      <c r="H1032" s="6" t="s">
        <v>119</v>
      </c>
      <c r="I1032" s="6">
        <v>1</v>
      </c>
      <c r="J1032" s="6">
        <v>4276</v>
      </c>
      <c r="K1032" s="7" t="s">
        <v>1356</v>
      </c>
      <c r="L1032" s="8">
        <v>2789461</v>
      </c>
      <c r="M1032" s="8" t="str">
        <f t="shared" si="87"/>
        <v>PEN</v>
      </c>
      <c r="N1032" s="13"/>
      <c r="O1032" s="13">
        <v>4647.5</v>
      </c>
      <c r="P1032" s="3">
        <f t="shared" si="88"/>
        <v>4647.5</v>
      </c>
      <c r="Q1032" s="3">
        <f t="shared" si="89"/>
        <v>0</v>
      </c>
      <c r="R1032" s="3">
        <f t="shared" si="85"/>
        <v>96453.679999999964</v>
      </c>
      <c r="S1032" s="24" t="s">
        <v>1334</v>
      </c>
      <c r="T1032" s="24" t="s">
        <v>1334</v>
      </c>
      <c r="U1032" s="53"/>
      <c r="V1032" s="25">
        <f>IFERROR(VLOOKUP(BCP_Soles[[#This Row],[destinatario]],CHOOSE({1,2},Clientes_Proveedores[Razon Social],Clientes_Proveedores[Ruc / Dni]),2,0),"")</f>
        <v>20558226979</v>
      </c>
      <c r="W1032" s="25" t="s">
        <v>1345</v>
      </c>
      <c r="X1032" s="25" t="s">
        <v>2410</v>
      </c>
      <c r="Y1032" s="25"/>
      <c r="Z1032" s="75"/>
      <c r="AA1032" s="3" t="str">
        <f>IF(BCP_Soles[[#This Row],[fecha]]&gt;0,TEXT(BCP_Soles[[#This Row],[fecha]],"mmmm"),0)</f>
        <v>Marzo</v>
      </c>
    </row>
    <row r="1033" spans="1:27" ht="24" x14ac:dyDescent="0.3">
      <c r="A1033" s="2">
        <f>IF(BCP_Soles[[#This Row],[tipo_registro]]="R",COUNTIFS($C$1:$C1032,"R")+1,A1032)</f>
        <v>765</v>
      </c>
      <c r="B1033" s="19" t="str">
        <f t="shared" si="86"/>
        <v>B-BCP - Soles</v>
      </c>
      <c r="C1033" s="3" t="s">
        <v>1330</v>
      </c>
      <c r="D1033" s="14">
        <v>45742</v>
      </c>
      <c r="E1033" s="5" t="s">
        <v>2411</v>
      </c>
      <c r="F1033" s="5" t="s">
        <v>1303</v>
      </c>
      <c r="G1033" s="6" t="s">
        <v>425</v>
      </c>
      <c r="H1033" s="6" t="s">
        <v>119</v>
      </c>
      <c r="I1033" s="6">
        <v>1</v>
      </c>
      <c r="J1033" s="6">
        <v>4189</v>
      </c>
      <c r="K1033" s="7" t="s">
        <v>2412</v>
      </c>
      <c r="L1033" s="8">
        <v>912716</v>
      </c>
      <c r="M1033" s="8" t="str">
        <f t="shared" si="87"/>
        <v>PEN</v>
      </c>
      <c r="N1033" s="13"/>
      <c r="O1033" s="13">
        <v>2000</v>
      </c>
      <c r="P1033" s="3">
        <f t="shared" si="88"/>
        <v>2000</v>
      </c>
      <c r="Q1033" s="3">
        <f t="shared" si="89"/>
        <v>0</v>
      </c>
      <c r="R1033" s="3">
        <f t="shared" ref="R1033:R1096" si="90">IFERROR(IF(F1033="SALDO",P1033,R1032+P1033-Q1033),0)</f>
        <v>98453.679999999964</v>
      </c>
      <c r="S1033" s="24" t="s">
        <v>1334</v>
      </c>
      <c r="T1033" s="24" t="s">
        <v>1334</v>
      </c>
      <c r="U1033" s="53"/>
      <c r="V1033" s="25">
        <f>IFERROR(VLOOKUP(BCP_Soles[[#This Row],[destinatario]],CHOOSE({1,2},Clientes_Proveedores[Razon Social],Clientes_Proveedores[Ruc / Dni]),2,0),"")</f>
        <v>20558226979</v>
      </c>
      <c r="W1033" s="25" t="s">
        <v>1345</v>
      </c>
      <c r="X1033" s="25" t="s">
        <v>2413</v>
      </c>
      <c r="Y1033" s="25"/>
      <c r="Z1033" s="75"/>
      <c r="AA1033" s="3" t="str">
        <f>IF(BCP_Soles[[#This Row],[fecha]]&gt;0,TEXT(BCP_Soles[[#This Row],[fecha]],"mmmm"),0)</f>
        <v>Marzo</v>
      </c>
    </row>
    <row r="1034" spans="1:27" ht="24" x14ac:dyDescent="0.3">
      <c r="A1034" s="2">
        <f>IF(BCP_Soles[[#This Row],[tipo_registro]]="R",COUNTIFS($C$1:$C1033,"R")+1,A1033)</f>
        <v>766</v>
      </c>
      <c r="B1034" s="19" t="str">
        <f t="shared" si="86"/>
        <v>B-BCP - Soles</v>
      </c>
      <c r="C1034" s="3" t="s">
        <v>1330</v>
      </c>
      <c r="D1034" s="14">
        <v>45742</v>
      </c>
      <c r="E1034" s="5" t="s">
        <v>2374</v>
      </c>
      <c r="F1034" s="5" t="s">
        <v>1303</v>
      </c>
      <c r="G1034" s="6" t="s">
        <v>425</v>
      </c>
      <c r="H1034" s="6" t="s">
        <v>119</v>
      </c>
      <c r="I1034" s="6">
        <v>1</v>
      </c>
      <c r="J1034" s="6">
        <v>4266</v>
      </c>
      <c r="K1034" s="7" t="s">
        <v>2414</v>
      </c>
      <c r="L1034" s="8">
        <v>10332</v>
      </c>
      <c r="M1034" s="8" t="str">
        <f t="shared" si="87"/>
        <v>PEN</v>
      </c>
      <c r="N1034" s="13"/>
      <c r="O1034" s="13">
        <v>600</v>
      </c>
      <c r="P1034" s="3">
        <f t="shared" si="88"/>
        <v>600</v>
      </c>
      <c r="Q1034" s="3">
        <f t="shared" si="89"/>
        <v>0</v>
      </c>
      <c r="R1034" s="3">
        <f t="shared" si="90"/>
        <v>99053.679999999964</v>
      </c>
      <c r="S1034" s="24" t="s">
        <v>1334</v>
      </c>
      <c r="T1034" s="24" t="s">
        <v>1334</v>
      </c>
      <c r="U1034" s="53"/>
      <c r="V1034" s="25">
        <f>IFERROR(VLOOKUP(BCP_Soles[[#This Row],[destinatario]],CHOOSE({1,2},Clientes_Proveedores[Razon Social],Clientes_Proveedores[Ruc / Dni]),2,0),"")</f>
        <v>20558226979</v>
      </c>
      <c r="W1034" s="25" t="s">
        <v>1345</v>
      </c>
      <c r="X1034" s="25" t="s">
        <v>2375</v>
      </c>
      <c r="Y1034" s="25"/>
      <c r="Z1034" s="75"/>
      <c r="AA1034" s="3" t="str">
        <f>IF(BCP_Soles[[#This Row],[fecha]]&gt;0,TEXT(BCP_Soles[[#This Row],[fecha]],"mmmm"),0)</f>
        <v>Marzo</v>
      </c>
    </row>
    <row r="1035" spans="1:27" x14ac:dyDescent="0.3">
      <c r="A1035" s="2">
        <f>IF(BCP_Soles[[#This Row],[tipo_registro]]="R",COUNTIFS($C$1:$C1034,"R")+1,A1034)</f>
        <v>767</v>
      </c>
      <c r="B1035" s="19" t="str">
        <f t="shared" si="86"/>
        <v>B-BCP - Soles</v>
      </c>
      <c r="C1035" s="3" t="s">
        <v>1330</v>
      </c>
      <c r="D1035" s="14">
        <v>45742</v>
      </c>
      <c r="E1035" s="5" t="s">
        <v>1498</v>
      </c>
      <c r="F1035" s="5" t="s">
        <v>1303</v>
      </c>
      <c r="G1035" s="6" t="s">
        <v>425</v>
      </c>
      <c r="H1035" s="6" t="s">
        <v>119</v>
      </c>
      <c r="I1035" s="6">
        <v>1</v>
      </c>
      <c r="J1035" s="6">
        <v>4277</v>
      </c>
      <c r="K1035" s="7" t="s">
        <v>1356</v>
      </c>
      <c r="L1035" s="8">
        <v>2918466</v>
      </c>
      <c r="M1035" s="8" t="str">
        <f t="shared" si="87"/>
        <v>PEN</v>
      </c>
      <c r="N1035" s="13"/>
      <c r="O1035" s="13">
        <v>75</v>
      </c>
      <c r="P1035" s="3">
        <f t="shared" si="88"/>
        <v>75</v>
      </c>
      <c r="Q1035" s="3">
        <f t="shared" si="89"/>
        <v>0</v>
      </c>
      <c r="R1035" s="3">
        <f t="shared" si="90"/>
        <v>99128.679999999964</v>
      </c>
      <c r="S1035" s="24" t="s">
        <v>1334</v>
      </c>
      <c r="T1035" s="24" t="s">
        <v>1334</v>
      </c>
      <c r="U1035" s="53"/>
      <c r="V1035" s="25">
        <f>IFERROR(VLOOKUP(BCP_Soles[[#This Row],[destinatario]],CHOOSE({1,2},Clientes_Proveedores[Razon Social],Clientes_Proveedores[Ruc / Dni]),2,0),"")</f>
        <v>20558226979</v>
      </c>
      <c r="W1035" s="25" t="s">
        <v>1345</v>
      </c>
      <c r="X1035" s="25" t="s">
        <v>2415</v>
      </c>
      <c r="Y1035" s="25"/>
      <c r="Z1035" s="75"/>
      <c r="AA1035" s="3" t="str">
        <f>IF(BCP_Soles[[#This Row],[fecha]]&gt;0,TEXT(BCP_Soles[[#This Row],[fecha]],"mmmm"),0)</f>
        <v>Marzo</v>
      </c>
    </row>
    <row r="1036" spans="1:27" x14ac:dyDescent="0.3">
      <c r="A1036" s="2">
        <f>IF(BCP_Soles[[#This Row],[tipo_registro]]="R",COUNTIFS($C$1:$C1035,"R")+1,A1035)</f>
        <v>768</v>
      </c>
      <c r="B1036" s="19" t="str">
        <f t="shared" si="86"/>
        <v>B-BCP - Soles</v>
      </c>
      <c r="C1036" s="3" t="s">
        <v>1330</v>
      </c>
      <c r="D1036" s="14">
        <v>45742</v>
      </c>
      <c r="E1036" s="5" t="s">
        <v>1335</v>
      </c>
      <c r="F1036" s="5" t="s">
        <v>1336</v>
      </c>
      <c r="G1036" s="6"/>
      <c r="H1036" s="6"/>
      <c r="I1036" s="6"/>
      <c r="J1036" s="6"/>
      <c r="K1036" s="7" t="s">
        <v>1337</v>
      </c>
      <c r="L1036" s="8"/>
      <c r="M1036" s="8" t="str">
        <f t="shared" si="87"/>
        <v>PEN</v>
      </c>
      <c r="N1036" s="13"/>
      <c r="O1036" s="13">
        <v>2.8</v>
      </c>
      <c r="P1036" s="3">
        <f t="shared" si="88"/>
        <v>0</v>
      </c>
      <c r="Q1036" s="3">
        <f t="shared" si="89"/>
        <v>2.8</v>
      </c>
      <c r="R1036" s="3">
        <f t="shared" si="90"/>
        <v>99125.879999999961</v>
      </c>
      <c r="S1036" s="24"/>
      <c r="T1036" s="24" t="s">
        <v>1334</v>
      </c>
      <c r="U1036" s="53"/>
      <c r="V1036" s="25" t="str">
        <f>IFERROR(VLOOKUP(BCP_Soles[[#This Row],[destinatario]],CHOOSE({1,2},Clientes_Proveedores[Razon Social],Clientes_Proveedores[Ruc / Dni]),2,0),"")</f>
        <v/>
      </c>
      <c r="W1036" s="25"/>
      <c r="X1036" s="25"/>
      <c r="Y1036" s="25"/>
      <c r="Z1036" s="75"/>
      <c r="AA1036" s="3" t="str">
        <f>IF(BCP_Soles[[#This Row],[fecha]]&gt;0,TEXT(BCP_Soles[[#This Row],[fecha]],"mmmm"),0)</f>
        <v>Marzo</v>
      </c>
    </row>
    <row r="1037" spans="1:27" ht="36" x14ac:dyDescent="0.3">
      <c r="A1037" s="2">
        <f>IF(BCP_Soles[[#This Row],[tipo_registro]]="R",COUNTIFS($C$1:$C1036,"R")+1,A1036)</f>
        <v>769</v>
      </c>
      <c r="B1037" s="19" t="str">
        <f t="shared" si="86"/>
        <v>B-BCP - Soles</v>
      </c>
      <c r="C1037" s="3" t="s">
        <v>1330</v>
      </c>
      <c r="D1037" s="14">
        <v>45742</v>
      </c>
      <c r="E1037" s="5" t="s">
        <v>2269</v>
      </c>
      <c r="F1037" s="5" t="s">
        <v>1336</v>
      </c>
      <c r="G1037" s="6" t="s">
        <v>132</v>
      </c>
      <c r="H1037" s="6"/>
      <c r="I1037" s="6"/>
      <c r="J1037" s="6"/>
      <c r="K1037" s="7" t="s">
        <v>2416</v>
      </c>
      <c r="L1037" s="8">
        <v>1199564</v>
      </c>
      <c r="M1037" s="8" t="str">
        <f t="shared" si="87"/>
        <v>PEN</v>
      </c>
      <c r="N1037" s="13"/>
      <c r="O1037" s="13">
        <v>175</v>
      </c>
      <c r="P1037" s="3">
        <f t="shared" si="88"/>
        <v>0</v>
      </c>
      <c r="Q1037" s="3">
        <f t="shared" si="89"/>
        <v>175</v>
      </c>
      <c r="R1037" s="3">
        <f t="shared" si="90"/>
        <v>98950.879999999961</v>
      </c>
      <c r="S1037" s="24" t="s">
        <v>1334</v>
      </c>
      <c r="T1037" s="24" t="s">
        <v>1334</v>
      </c>
      <c r="U1037" s="53"/>
      <c r="V1037" s="25">
        <f>IFERROR(VLOOKUP(BCP_Soles[[#This Row],[destinatario]],CHOOSE({1,2},Clientes_Proveedores[Razon Social],Clientes_Proveedores[Ruc / Dni]),2,0),"")</f>
        <v>10296695781</v>
      </c>
      <c r="W1037" s="25" t="s">
        <v>132</v>
      </c>
      <c r="X1037" s="25" t="s">
        <v>2417</v>
      </c>
      <c r="Y1037" s="25"/>
      <c r="Z1037" s="75"/>
      <c r="AA1037" s="3" t="str">
        <f>IF(BCP_Soles[[#This Row],[fecha]]&gt;0,TEXT(BCP_Soles[[#This Row],[fecha]],"mmmm"),0)</f>
        <v>Marzo</v>
      </c>
    </row>
    <row r="1038" spans="1:27" ht="24" x14ac:dyDescent="0.3">
      <c r="A1038" s="2">
        <f>IF(BCP_Soles[[#This Row],[tipo_registro]]="R",COUNTIFS($C$1:$C1037,"R")+1,A1037)</f>
        <v>770</v>
      </c>
      <c r="B1038" s="19" t="str">
        <f t="shared" si="86"/>
        <v>B-BCP - Soles</v>
      </c>
      <c r="C1038" s="3" t="s">
        <v>1330</v>
      </c>
      <c r="D1038" s="14">
        <v>45742</v>
      </c>
      <c r="E1038" s="5" t="s">
        <v>1338</v>
      </c>
      <c r="F1038" s="5" t="s">
        <v>1336</v>
      </c>
      <c r="G1038" s="6" t="s">
        <v>249</v>
      </c>
      <c r="H1038" s="6"/>
      <c r="I1038" s="6"/>
      <c r="J1038" s="6"/>
      <c r="K1038" s="7" t="s">
        <v>2418</v>
      </c>
      <c r="L1038" s="8">
        <v>1116477</v>
      </c>
      <c r="M1038" s="8" t="str">
        <f t="shared" si="87"/>
        <v>PEN</v>
      </c>
      <c r="N1038" s="13"/>
      <c r="O1038" s="13">
        <v>188.8</v>
      </c>
      <c r="P1038" s="3">
        <f t="shared" si="88"/>
        <v>0</v>
      </c>
      <c r="Q1038" s="3">
        <f t="shared" si="89"/>
        <v>188.8</v>
      </c>
      <c r="R1038" s="3">
        <f t="shared" si="90"/>
        <v>98762.079999999958</v>
      </c>
      <c r="S1038" s="24"/>
      <c r="T1038" s="24"/>
      <c r="U1038" s="53"/>
      <c r="V1038" s="25">
        <f>IFERROR(VLOOKUP(BCP_Soles[[#This Row],[destinatario]],CHOOSE({1,2},Clientes_Proveedores[Razon Social],Clientes_Proveedores[Ruc / Dni]),2,0),"")</f>
        <v>20302891452</v>
      </c>
      <c r="W1038" s="25" t="s">
        <v>249</v>
      </c>
      <c r="X1038" s="25"/>
      <c r="Y1038" s="25"/>
      <c r="Z1038" s="75"/>
      <c r="AA1038" s="3" t="str">
        <f>IF(BCP_Soles[[#This Row],[fecha]]&gt;0,TEXT(BCP_Soles[[#This Row],[fecha]],"mmmm"),0)</f>
        <v>Marzo</v>
      </c>
    </row>
    <row r="1039" spans="1:27" ht="36" x14ac:dyDescent="0.3">
      <c r="A1039" s="2">
        <f>IF(BCP_Soles[[#This Row],[tipo_registro]]="R",COUNTIFS($C$1:$C1038,"R")+1,A1038)</f>
        <v>771</v>
      </c>
      <c r="B1039" s="19" t="str">
        <f t="shared" si="86"/>
        <v>B-BCP - Soles</v>
      </c>
      <c r="C1039" s="3" t="s">
        <v>1330</v>
      </c>
      <c r="D1039" s="14">
        <v>45742</v>
      </c>
      <c r="E1039" s="5" t="s">
        <v>2269</v>
      </c>
      <c r="F1039" s="5" t="s">
        <v>1336</v>
      </c>
      <c r="G1039" s="6" t="s">
        <v>569</v>
      </c>
      <c r="H1039" s="6" t="s">
        <v>68</v>
      </c>
      <c r="I1039" s="6" t="s">
        <v>1376</v>
      </c>
      <c r="J1039" s="6">
        <v>608</v>
      </c>
      <c r="K1039" s="7" t="s">
        <v>2419</v>
      </c>
      <c r="L1039" s="8">
        <v>1200065</v>
      </c>
      <c r="M1039" s="8" t="str">
        <f t="shared" si="87"/>
        <v>PEN</v>
      </c>
      <c r="N1039" s="13"/>
      <c r="O1039" s="13">
        <v>680</v>
      </c>
      <c r="P1039" s="3">
        <f t="shared" si="88"/>
        <v>0</v>
      </c>
      <c r="Q1039" s="3">
        <f t="shared" si="89"/>
        <v>680</v>
      </c>
      <c r="R1039" s="3">
        <f t="shared" si="90"/>
        <v>98082.079999999958</v>
      </c>
      <c r="S1039" s="24" t="s">
        <v>1334</v>
      </c>
      <c r="T1039" s="24" t="s">
        <v>1334</v>
      </c>
      <c r="U1039" s="53"/>
      <c r="V1039" s="25">
        <f>IFERROR(VLOOKUP(BCP_Soles[[#This Row],[destinatario]],CHOOSE({1,2},Clientes_Proveedores[Razon Social],Clientes_Proveedores[Ruc / Dni]),2,0),"")</f>
        <v>20608686747</v>
      </c>
      <c r="W1039" s="25" t="s">
        <v>2420</v>
      </c>
      <c r="X1039" s="25" t="s">
        <v>2421</v>
      </c>
      <c r="Y1039" s="25"/>
      <c r="Z1039" s="75"/>
      <c r="AA1039" s="3" t="str">
        <f>IF(BCP_Soles[[#This Row],[fecha]]&gt;0,TEXT(BCP_Soles[[#This Row],[fecha]],"mmmm"),0)</f>
        <v>Marzo</v>
      </c>
    </row>
    <row r="1040" spans="1:27" ht="36" x14ac:dyDescent="0.3">
      <c r="A1040" s="2">
        <f>IF(BCP_Soles[[#This Row],[tipo_registro]]="R",COUNTIFS($C$1:$C1039,"R")+1,A1039)</f>
        <v>772</v>
      </c>
      <c r="B1040" s="19" t="str">
        <f t="shared" si="86"/>
        <v>B-BCP - Soles</v>
      </c>
      <c r="C1040" s="3" t="s">
        <v>1330</v>
      </c>
      <c r="D1040" s="14">
        <v>45742</v>
      </c>
      <c r="E1040" s="5" t="s">
        <v>2269</v>
      </c>
      <c r="F1040" s="5" t="s">
        <v>1336</v>
      </c>
      <c r="G1040" s="213" t="s">
        <v>948</v>
      </c>
      <c r="H1040" s="6"/>
      <c r="I1040" s="6"/>
      <c r="J1040" s="6"/>
      <c r="K1040" s="7" t="s">
        <v>2422</v>
      </c>
      <c r="L1040" s="8">
        <v>1210968</v>
      </c>
      <c r="M1040" s="8" t="str">
        <f t="shared" si="87"/>
        <v>PEN</v>
      </c>
      <c r="N1040" s="13"/>
      <c r="O1040" s="13">
        <v>1896.4</v>
      </c>
      <c r="P1040" s="3">
        <f t="shared" si="88"/>
        <v>0</v>
      </c>
      <c r="Q1040" s="3">
        <f t="shared" si="89"/>
        <v>1896.4</v>
      </c>
      <c r="R1040" s="3">
        <f t="shared" si="90"/>
        <v>96185.679999999964</v>
      </c>
      <c r="S1040" s="24"/>
      <c r="T1040" s="24" t="s">
        <v>1334</v>
      </c>
      <c r="U1040" s="53"/>
      <c r="V1040" s="25">
        <f>IFERROR(VLOOKUP(BCP_Soles[[#This Row],[destinatario]],CHOOSE({1,2},Clientes_Proveedores[Razon Social],Clientes_Proveedores[Ruc / Dni]),2,0),"")</f>
        <v>71311214</v>
      </c>
      <c r="W1040" s="25" t="s">
        <v>948</v>
      </c>
      <c r="X1040" s="25"/>
      <c r="Y1040" s="25"/>
      <c r="Z1040" s="75"/>
      <c r="AA1040" s="3" t="str">
        <f>IF(BCP_Soles[[#This Row],[fecha]]&gt;0,TEXT(BCP_Soles[[#This Row],[fecha]],"mmmm"),0)</f>
        <v>Marzo</v>
      </c>
    </row>
    <row r="1041" spans="1:27" ht="48" x14ac:dyDescent="0.3">
      <c r="A1041" s="2">
        <f>IF(BCP_Soles[[#This Row],[tipo_registro]]="R",COUNTIFS($C$1:$C1040,"R")+1,A1040)</f>
        <v>773</v>
      </c>
      <c r="B1041" s="19" t="str">
        <f t="shared" ref="B1041:B1104" si="91">"B-BCP - Soles"</f>
        <v>B-BCP - Soles</v>
      </c>
      <c r="C1041" s="3" t="s">
        <v>1330</v>
      </c>
      <c r="D1041" s="14">
        <v>45742</v>
      </c>
      <c r="E1041" s="5" t="s">
        <v>1338</v>
      </c>
      <c r="F1041" s="5" t="s">
        <v>1336</v>
      </c>
      <c r="G1041" s="6" t="s">
        <v>719</v>
      </c>
      <c r="H1041" s="6" t="s">
        <v>68</v>
      </c>
      <c r="I1041" s="6" t="s">
        <v>2423</v>
      </c>
      <c r="J1041" s="6">
        <v>106078</v>
      </c>
      <c r="K1041" s="7" t="s">
        <v>2424</v>
      </c>
      <c r="L1041" s="8">
        <v>1115990</v>
      </c>
      <c r="M1041" s="8" t="str">
        <f t="shared" ref="M1041:M1104" si="92">"PEN"</f>
        <v>PEN</v>
      </c>
      <c r="N1041" s="13"/>
      <c r="O1041" s="13">
        <v>2206.88</v>
      </c>
      <c r="P1041" s="3">
        <f t="shared" ref="P1041:P1104" si="93">+IF(OR($F1041="SALDO",$F1041="INGRESO"),$O1041,0)</f>
        <v>0</v>
      </c>
      <c r="Q1041" s="3">
        <f t="shared" ref="Q1041:Q1104" si="94">+IF($F1041="EGRESO",$O1041,0)</f>
        <v>2206.88</v>
      </c>
      <c r="R1041" s="3">
        <f t="shared" si="90"/>
        <v>93978.799999999959</v>
      </c>
      <c r="S1041" s="24" t="s">
        <v>1334</v>
      </c>
      <c r="T1041" s="24" t="s">
        <v>1334</v>
      </c>
      <c r="U1041" s="53"/>
      <c r="V1041" s="25">
        <f>IFERROR(VLOOKUP(BCP_Soles[[#This Row],[destinatario]],CHOOSE({1,2},Clientes_Proveedores[Razon Social],Clientes_Proveedores[Ruc / Dni]),2,0),"")</f>
        <v>20100241022</v>
      </c>
      <c r="W1041" s="25" t="s">
        <v>2272</v>
      </c>
      <c r="X1041" s="25" t="s">
        <v>2425</v>
      </c>
      <c r="Y1041" s="25"/>
      <c r="Z1041" s="75"/>
      <c r="AA1041" s="3" t="str">
        <f>IF(BCP_Soles[[#This Row],[fecha]]&gt;0,TEXT(BCP_Soles[[#This Row],[fecha]],"mmmm"),0)</f>
        <v>Marzo</v>
      </c>
    </row>
    <row r="1042" spans="1:27" ht="48" x14ac:dyDescent="0.3">
      <c r="A1042" s="2">
        <f>IF(BCP_Soles[[#This Row],[tipo_registro]]="R",COUNTIFS($C$1:$C1041,"R")+1,A1041)</f>
        <v>774</v>
      </c>
      <c r="B1042" s="19" t="str">
        <f t="shared" si="91"/>
        <v>B-BCP - Soles</v>
      </c>
      <c r="C1042" s="3" t="s">
        <v>1330</v>
      </c>
      <c r="D1042" s="14">
        <v>45743</v>
      </c>
      <c r="E1042" s="5" t="s">
        <v>2269</v>
      </c>
      <c r="F1042" s="5" t="s">
        <v>1336</v>
      </c>
      <c r="G1042" s="6" t="s">
        <v>501</v>
      </c>
      <c r="H1042" s="6" t="s">
        <v>68</v>
      </c>
      <c r="I1042" s="6" t="s">
        <v>1526</v>
      </c>
      <c r="J1042" s="6">
        <v>9840</v>
      </c>
      <c r="K1042" s="7" t="s">
        <v>2426</v>
      </c>
      <c r="L1042" s="8">
        <v>1010111</v>
      </c>
      <c r="M1042" s="8" t="str">
        <f t="shared" si="92"/>
        <v>PEN</v>
      </c>
      <c r="N1042" s="13"/>
      <c r="O1042" s="13">
        <v>266.43</v>
      </c>
      <c r="P1042" s="3">
        <f t="shared" si="93"/>
        <v>0</v>
      </c>
      <c r="Q1042" s="3">
        <f t="shared" si="94"/>
        <v>266.43</v>
      </c>
      <c r="R1042" s="3">
        <f t="shared" si="90"/>
        <v>93712.369999999966</v>
      </c>
      <c r="S1042" s="24" t="s">
        <v>1334</v>
      </c>
      <c r="T1042" s="24" t="s">
        <v>1334</v>
      </c>
      <c r="U1042" s="53"/>
      <c r="V1042" s="25">
        <f>IFERROR(VLOOKUP(BCP_Soles[[#This Row],[destinatario]],CHOOSE({1,2},Clientes_Proveedores[Razon Social],Clientes_Proveedores[Ruc / Dni]),2,0),"")</f>
        <v>20602978274</v>
      </c>
      <c r="W1042" s="25" t="s">
        <v>1528</v>
      </c>
      <c r="X1042" s="25" t="s">
        <v>2427</v>
      </c>
      <c r="Y1042" s="25"/>
      <c r="Z1042" s="75"/>
      <c r="AA1042" s="3" t="str">
        <f>IF(BCP_Soles[[#This Row],[fecha]]&gt;0,TEXT(BCP_Soles[[#This Row],[fecha]],"mmmm"),0)</f>
        <v>Marzo</v>
      </c>
    </row>
    <row r="1043" spans="1:27" ht="24" x14ac:dyDescent="0.3">
      <c r="A1043" s="2">
        <f>IF(BCP_Soles[[#This Row],[tipo_registro]]="R",COUNTIFS($C$1:$C1042,"R")+1,A1042)</f>
        <v>775</v>
      </c>
      <c r="B1043" s="19" t="str">
        <f t="shared" si="91"/>
        <v>B-BCP - Soles</v>
      </c>
      <c r="C1043" s="3" t="s">
        <v>1330</v>
      </c>
      <c r="D1043" s="14">
        <v>45743</v>
      </c>
      <c r="E1043" s="5" t="s">
        <v>1696</v>
      </c>
      <c r="F1043" s="5" t="s">
        <v>1303</v>
      </c>
      <c r="G1043" s="6" t="s">
        <v>425</v>
      </c>
      <c r="H1043" s="6" t="s">
        <v>119</v>
      </c>
      <c r="I1043" s="6">
        <v>1</v>
      </c>
      <c r="J1043" s="6">
        <v>4275</v>
      </c>
      <c r="K1043" s="7" t="s">
        <v>1356</v>
      </c>
      <c r="L1043" s="8">
        <v>1188348</v>
      </c>
      <c r="M1043" s="8" t="str">
        <f t="shared" si="92"/>
        <v>PEN</v>
      </c>
      <c r="N1043" s="13"/>
      <c r="O1043" s="13">
        <v>1210</v>
      </c>
      <c r="P1043" s="3">
        <f t="shared" si="93"/>
        <v>1210</v>
      </c>
      <c r="Q1043" s="3">
        <f t="shared" si="94"/>
        <v>0</v>
      </c>
      <c r="R1043" s="3">
        <f t="shared" si="90"/>
        <v>94922.369999999966</v>
      </c>
      <c r="S1043" s="24" t="s">
        <v>1334</v>
      </c>
      <c r="T1043" s="24" t="s">
        <v>1334</v>
      </c>
      <c r="U1043" s="53"/>
      <c r="V1043" s="25">
        <f>IFERROR(VLOOKUP(BCP_Soles[[#This Row],[destinatario]],CHOOSE({1,2},Clientes_Proveedores[Razon Social],Clientes_Proveedores[Ruc / Dni]),2,0),"")</f>
        <v>20558226979</v>
      </c>
      <c r="W1043" s="25" t="s">
        <v>1345</v>
      </c>
      <c r="X1043" s="25" t="s">
        <v>2428</v>
      </c>
      <c r="Y1043" s="25"/>
      <c r="Z1043" s="75"/>
      <c r="AA1043" s="3" t="str">
        <f>IF(BCP_Soles[[#This Row],[fecha]]&gt;0,TEXT(BCP_Soles[[#This Row],[fecha]],"mmmm"),0)</f>
        <v>Marzo</v>
      </c>
    </row>
    <row r="1044" spans="1:27" ht="24" x14ac:dyDescent="0.3">
      <c r="A1044" s="2">
        <f>IF(BCP_Soles[[#This Row],[tipo_registro]]="R",COUNTIFS($C$1:$C1043,"R")+1,A1043)</f>
        <v>776</v>
      </c>
      <c r="B1044" s="19" t="str">
        <f t="shared" si="91"/>
        <v>B-BCP - Soles</v>
      </c>
      <c r="C1044" s="3" t="s">
        <v>1330</v>
      </c>
      <c r="D1044" s="14">
        <v>45743</v>
      </c>
      <c r="E1044" s="5" t="s">
        <v>204</v>
      </c>
      <c r="F1044" s="5" t="s">
        <v>1303</v>
      </c>
      <c r="G1044" s="6" t="s">
        <v>425</v>
      </c>
      <c r="H1044" s="6"/>
      <c r="I1044" s="6"/>
      <c r="J1044" s="6"/>
      <c r="K1044" s="7" t="s">
        <v>2429</v>
      </c>
      <c r="L1044" s="8">
        <v>7257707</v>
      </c>
      <c r="M1044" s="8" t="str">
        <f t="shared" si="92"/>
        <v>PEN</v>
      </c>
      <c r="N1044" s="13"/>
      <c r="O1044" s="13">
        <v>16108.98</v>
      </c>
      <c r="P1044" s="3">
        <f t="shared" si="93"/>
        <v>16108.98</v>
      </c>
      <c r="Q1044" s="3">
        <f t="shared" si="94"/>
        <v>0</v>
      </c>
      <c r="R1044" s="3">
        <f t="shared" si="90"/>
        <v>111031.34999999996</v>
      </c>
      <c r="S1044" s="24" t="s">
        <v>1334</v>
      </c>
      <c r="T1044" s="24" t="s">
        <v>1334</v>
      </c>
      <c r="U1044" s="53"/>
      <c r="V1044" s="25">
        <f>IFERROR(VLOOKUP(BCP_Soles[[#This Row],[destinatario]],CHOOSE({1,2},Clientes_Proveedores[Razon Social],Clientes_Proveedores[Ruc / Dni]),2,0),"")</f>
        <v>20558226979</v>
      </c>
      <c r="W1044" s="25" t="s">
        <v>1345</v>
      </c>
      <c r="X1044" s="25" t="s">
        <v>2430</v>
      </c>
      <c r="Y1044" s="25"/>
      <c r="Z1044" s="75"/>
      <c r="AA1044" s="3" t="str">
        <f>IF(BCP_Soles[[#This Row],[fecha]]&gt;0,TEXT(BCP_Soles[[#This Row],[fecha]],"mmmm"),0)</f>
        <v>Marzo</v>
      </c>
    </row>
    <row r="1045" spans="1:27" x14ac:dyDescent="0.3">
      <c r="A1045" s="2">
        <f>IF(BCP_Soles[[#This Row],[tipo_registro]]="R",COUNTIFS($C$1:$C1044,"R")+1,A1044)</f>
        <v>777</v>
      </c>
      <c r="B1045" s="19" t="str">
        <f t="shared" si="91"/>
        <v>B-BCP - Soles</v>
      </c>
      <c r="C1045" s="3" t="s">
        <v>1330</v>
      </c>
      <c r="D1045" s="14">
        <v>45743</v>
      </c>
      <c r="E1045" s="5"/>
      <c r="F1045" s="5" t="s">
        <v>1303</v>
      </c>
      <c r="G1045" s="6" t="s">
        <v>425</v>
      </c>
      <c r="H1045" s="6"/>
      <c r="I1045" s="6"/>
      <c r="J1045" s="6"/>
      <c r="K1045" s="7" t="s">
        <v>2431</v>
      </c>
      <c r="L1045" s="8">
        <v>158209</v>
      </c>
      <c r="M1045" s="8" t="str">
        <f t="shared" si="92"/>
        <v>PEN</v>
      </c>
      <c r="N1045" s="13"/>
      <c r="O1045" s="13">
        <v>1970.6</v>
      </c>
      <c r="P1045" s="3">
        <f t="shared" si="93"/>
        <v>1970.6</v>
      </c>
      <c r="Q1045" s="3">
        <f t="shared" si="94"/>
        <v>0</v>
      </c>
      <c r="R1045" s="3">
        <f t="shared" si="90"/>
        <v>113001.94999999997</v>
      </c>
      <c r="S1045" s="24"/>
      <c r="T1045" s="24"/>
      <c r="U1045" s="53"/>
      <c r="V1045" s="25">
        <f>IFERROR(VLOOKUP(BCP_Soles[[#This Row],[destinatario]],CHOOSE({1,2},Clientes_Proveedores[Razon Social],Clientes_Proveedores[Ruc / Dni]),2,0),"")</f>
        <v>20558226979</v>
      </c>
      <c r="W1045" s="25" t="s">
        <v>1345</v>
      </c>
      <c r="X1045" s="25"/>
      <c r="Y1045" s="25"/>
      <c r="Z1045" s="75"/>
      <c r="AA1045" s="3" t="str">
        <f>IF(BCP_Soles[[#This Row],[fecha]]&gt;0,TEXT(BCP_Soles[[#This Row],[fecha]],"mmmm"),0)</f>
        <v>Marzo</v>
      </c>
    </row>
    <row r="1046" spans="1:27" x14ac:dyDescent="0.3">
      <c r="A1046" s="2">
        <f>IF(BCP_Soles[[#This Row],[tipo_registro]]="R",COUNTIFS($C$1:$C1045,"R")+1,A1045)</f>
        <v>778</v>
      </c>
      <c r="B1046" s="19" t="str">
        <f t="shared" si="91"/>
        <v>B-BCP - Soles</v>
      </c>
      <c r="C1046" s="3" t="s">
        <v>1330</v>
      </c>
      <c r="D1046" s="14">
        <v>45743</v>
      </c>
      <c r="E1046" s="5"/>
      <c r="F1046" s="5" t="s">
        <v>1303</v>
      </c>
      <c r="G1046" s="6" t="s">
        <v>425</v>
      </c>
      <c r="H1046" s="6"/>
      <c r="I1046" s="6"/>
      <c r="J1046" s="6"/>
      <c r="K1046" s="7" t="s">
        <v>2432</v>
      </c>
      <c r="L1046" s="8">
        <v>158414</v>
      </c>
      <c r="M1046" s="8" t="str">
        <f t="shared" si="92"/>
        <v>PEN</v>
      </c>
      <c r="N1046" s="13"/>
      <c r="O1046" s="13">
        <v>394.71</v>
      </c>
      <c r="P1046" s="3">
        <f t="shared" si="93"/>
        <v>394.71</v>
      </c>
      <c r="Q1046" s="3">
        <f t="shared" si="94"/>
        <v>0</v>
      </c>
      <c r="R1046" s="3">
        <f t="shared" si="90"/>
        <v>113396.65999999997</v>
      </c>
      <c r="S1046" s="24"/>
      <c r="T1046" s="24"/>
      <c r="U1046" s="53"/>
      <c r="V1046" s="25">
        <f>IFERROR(VLOOKUP(BCP_Soles[[#This Row],[destinatario]],CHOOSE({1,2},Clientes_Proveedores[Razon Social],Clientes_Proveedores[Ruc / Dni]),2,0),"")</f>
        <v>20558226979</v>
      </c>
      <c r="W1046" s="25" t="s">
        <v>1345</v>
      </c>
      <c r="X1046" s="25"/>
      <c r="Y1046" s="25"/>
      <c r="Z1046" s="75"/>
      <c r="AA1046" s="3" t="str">
        <f>IF(BCP_Soles[[#This Row],[fecha]]&gt;0,TEXT(BCP_Soles[[#This Row],[fecha]],"mmmm"),0)</f>
        <v>Marzo</v>
      </c>
    </row>
    <row r="1047" spans="1:27" x14ac:dyDescent="0.3">
      <c r="A1047" s="2">
        <f>IF(BCP_Soles[[#This Row],[tipo_registro]]="R",COUNTIFS($C$1:$C1046,"R")+1,A1046)</f>
        <v>779</v>
      </c>
      <c r="B1047" s="19" t="str">
        <f t="shared" si="91"/>
        <v>B-BCP - Soles</v>
      </c>
      <c r="C1047" s="3" t="s">
        <v>1330</v>
      </c>
      <c r="D1047" s="14">
        <v>45743</v>
      </c>
      <c r="E1047" s="5" t="s">
        <v>1335</v>
      </c>
      <c r="F1047" s="5" t="s">
        <v>1336</v>
      </c>
      <c r="G1047" s="6"/>
      <c r="H1047" s="6"/>
      <c r="I1047" s="6"/>
      <c r="J1047" s="6"/>
      <c r="K1047" s="7" t="s">
        <v>1337</v>
      </c>
      <c r="L1047" s="8"/>
      <c r="M1047" s="8" t="str">
        <f t="shared" si="92"/>
        <v>PEN</v>
      </c>
      <c r="N1047" s="13"/>
      <c r="O1047" s="13">
        <v>0.95</v>
      </c>
      <c r="P1047" s="3">
        <f t="shared" si="93"/>
        <v>0</v>
      </c>
      <c r="Q1047" s="3">
        <f t="shared" si="94"/>
        <v>0.95</v>
      </c>
      <c r="R1047" s="3">
        <f t="shared" si="90"/>
        <v>113395.70999999998</v>
      </c>
      <c r="S1047" s="24"/>
      <c r="T1047" s="24" t="s">
        <v>1334</v>
      </c>
      <c r="U1047" s="53"/>
      <c r="V1047" s="25" t="str">
        <f>IFERROR(VLOOKUP(BCP_Soles[[#This Row],[destinatario]],CHOOSE({1,2},Clientes_Proveedores[Razon Social],Clientes_Proveedores[Ruc / Dni]),2,0),"")</f>
        <v/>
      </c>
      <c r="W1047" s="25"/>
      <c r="X1047" s="25"/>
      <c r="Y1047" s="25"/>
      <c r="Z1047" s="75"/>
      <c r="AA1047" s="3" t="str">
        <f>IF(BCP_Soles[[#This Row],[fecha]]&gt;0,TEXT(BCP_Soles[[#This Row],[fecha]],"mmmm"),0)</f>
        <v>Marzo</v>
      </c>
    </row>
    <row r="1048" spans="1:27" ht="36" x14ac:dyDescent="0.3">
      <c r="A1048" s="2">
        <f>IF(BCP_Soles[[#This Row],[tipo_registro]]="R",COUNTIFS($C$1:$C1047,"R")+1,A1047)</f>
        <v>780</v>
      </c>
      <c r="B1048" s="19" t="str">
        <f t="shared" si="91"/>
        <v>B-BCP - Soles</v>
      </c>
      <c r="C1048" s="3" t="s">
        <v>1330</v>
      </c>
      <c r="D1048" s="14">
        <v>45743</v>
      </c>
      <c r="E1048" s="5" t="s">
        <v>1338</v>
      </c>
      <c r="F1048" s="5" t="s">
        <v>1336</v>
      </c>
      <c r="G1048" s="6" t="s">
        <v>325</v>
      </c>
      <c r="H1048" s="6" t="s">
        <v>68</v>
      </c>
      <c r="I1048" s="6" t="s">
        <v>1376</v>
      </c>
      <c r="J1048" s="6">
        <v>4534</v>
      </c>
      <c r="K1048" s="7" t="s">
        <v>2433</v>
      </c>
      <c r="L1048" s="8">
        <v>1211966</v>
      </c>
      <c r="M1048" s="8" t="str">
        <f t="shared" si="92"/>
        <v>PEN</v>
      </c>
      <c r="N1048" s="13"/>
      <c r="O1048" s="13">
        <v>94.4</v>
      </c>
      <c r="P1048" s="3">
        <f t="shared" si="93"/>
        <v>0</v>
      </c>
      <c r="Q1048" s="3">
        <f t="shared" si="94"/>
        <v>94.4</v>
      </c>
      <c r="R1048" s="3">
        <f t="shared" si="90"/>
        <v>113301.30999999998</v>
      </c>
      <c r="S1048" s="24" t="s">
        <v>1334</v>
      </c>
      <c r="T1048" s="24" t="s">
        <v>1334</v>
      </c>
      <c r="U1048" s="53"/>
      <c r="V1048" s="25">
        <f>IFERROR(VLOOKUP(BCP_Soles[[#This Row],[destinatario]],CHOOSE({1,2},Clientes_Proveedores[Razon Social],Clientes_Proveedores[Ruc / Dni]),2,0),"")</f>
        <v>20497262101</v>
      </c>
      <c r="W1048" s="25" t="s">
        <v>325</v>
      </c>
      <c r="X1048" s="25" t="s">
        <v>2434</v>
      </c>
      <c r="Y1048" s="25"/>
      <c r="Z1048" s="75"/>
      <c r="AA1048" s="3" t="str">
        <f>IF(BCP_Soles[[#This Row],[fecha]]&gt;0,TEXT(BCP_Soles[[#This Row],[fecha]],"mmmm"),0)</f>
        <v>Marzo</v>
      </c>
    </row>
    <row r="1049" spans="1:27" ht="60" x14ac:dyDescent="0.3">
      <c r="A1049" s="2">
        <f>IF(BCP_Soles[[#This Row],[tipo_registro]]="R",COUNTIFS($C$1:$C1048,"R")+1,A1048)</f>
        <v>781</v>
      </c>
      <c r="B1049" s="19" t="str">
        <f t="shared" si="91"/>
        <v>B-BCP - Soles</v>
      </c>
      <c r="C1049" s="3" t="s">
        <v>1330</v>
      </c>
      <c r="D1049" s="14">
        <v>45743</v>
      </c>
      <c r="E1049" s="5" t="s">
        <v>1338</v>
      </c>
      <c r="F1049" s="5" t="s">
        <v>1336</v>
      </c>
      <c r="G1049" s="6" t="s">
        <v>670</v>
      </c>
      <c r="H1049" s="6" t="s">
        <v>68</v>
      </c>
      <c r="I1049" s="6" t="s">
        <v>1374</v>
      </c>
      <c r="J1049" s="6">
        <v>50</v>
      </c>
      <c r="K1049" s="7" t="s">
        <v>2435</v>
      </c>
      <c r="L1049" s="8">
        <v>1214502</v>
      </c>
      <c r="M1049" s="8" t="str">
        <f t="shared" si="92"/>
        <v>PEN</v>
      </c>
      <c r="N1049" s="13"/>
      <c r="O1049" s="13">
        <v>188.8</v>
      </c>
      <c r="P1049" s="3">
        <f t="shared" si="93"/>
        <v>0</v>
      </c>
      <c r="Q1049" s="3">
        <f t="shared" si="94"/>
        <v>188.8</v>
      </c>
      <c r="R1049" s="3">
        <f t="shared" si="90"/>
        <v>113112.50999999998</v>
      </c>
      <c r="S1049" s="24" t="s">
        <v>1334</v>
      </c>
      <c r="T1049" s="24" t="s">
        <v>1334</v>
      </c>
      <c r="U1049" s="53"/>
      <c r="V1049" s="25">
        <f>IFERROR(VLOOKUP(BCP_Soles[[#This Row],[destinatario]],CHOOSE({1,2},Clientes_Proveedores[Razon Social],Clientes_Proveedores[Ruc / Dni]),2,0),"")</f>
        <v>20523363337</v>
      </c>
      <c r="W1049" s="25" t="s">
        <v>2196</v>
      </c>
      <c r="X1049" s="25" t="s">
        <v>2436</v>
      </c>
      <c r="Y1049" s="25"/>
      <c r="Z1049" s="75"/>
      <c r="AA1049" s="3" t="str">
        <f>IF(BCP_Soles[[#This Row],[fecha]]&gt;0,TEXT(BCP_Soles[[#This Row],[fecha]],"mmmm"),0)</f>
        <v>Marzo</v>
      </c>
    </row>
    <row r="1050" spans="1:27" x14ac:dyDescent="0.3">
      <c r="A1050" s="2">
        <f>IF(BCP_Soles[[#This Row],[tipo_registro]]="R",COUNTIFS($C$1:$C1049,"R")+1,A1049)</f>
        <v>782</v>
      </c>
      <c r="B1050" s="19" t="str">
        <f t="shared" si="91"/>
        <v>B-BCP - Soles</v>
      </c>
      <c r="C1050" s="3" t="s">
        <v>1330</v>
      </c>
      <c r="D1050" s="14">
        <v>45743</v>
      </c>
      <c r="E1050" s="5" t="s">
        <v>2269</v>
      </c>
      <c r="F1050" s="5" t="s">
        <v>1336</v>
      </c>
      <c r="G1050" s="6" t="s">
        <v>648</v>
      </c>
      <c r="H1050" s="6" t="s">
        <v>68</v>
      </c>
      <c r="I1050" s="6" t="s">
        <v>1374</v>
      </c>
      <c r="J1050" s="6">
        <v>1012207</v>
      </c>
      <c r="K1050" s="7" t="s">
        <v>1848</v>
      </c>
      <c r="L1050" s="8">
        <v>212521</v>
      </c>
      <c r="M1050" s="8" t="str">
        <f t="shared" si="92"/>
        <v>PEN</v>
      </c>
      <c r="N1050" s="13"/>
      <c r="O1050" s="13">
        <v>198.83</v>
      </c>
      <c r="P1050" s="3">
        <f t="shared" si="93"/>
        <v>0</v>
      </c>
      <c r="Q1050" s="3">
        <f t="shared" si="94"/>
        <v>198.83</v>
      </c>
      <c r="R1050" s="3">
        <f t="shared" si="90"/>
        <v>112913.67999999998</v>
      </c>
      <c r="S1050" s="24" t="s">
        <v>1334</v>
      </c>
      <c r="T1050" s="24" t="s">
        <v>1334</v>
      </c>
      <c r="U1050" s="53"/>
      <c r="V1050" s="25">
        <f>IFERROR(VLOOKUP(BCP_Soles[[#This Row],[destinatario]],CHOOSE({1,2},Clientes_Proveedores[Razon Social],Clientes_Proveedores[Ruc / Dni]),2,0),"")</f>
        <v>20265681299</v>
      </c>
      <c r="W1050" s="25" t="s">
        <v>648</v>
      </c>
      <c r="X1050" s="25" t="s">
        <v>2437</v>
      </c>
      <c r="Y1050" s="25"/>
      <c r="Z1050" s="75"/>
      <c r="AA1050" s="3" t="str">
        <f>IF(BCP_Soles[[#This Row],[fecha]]&gt;0,TEXT(BCP_Soles[[#This Row],[fecha]],"mmmm"),0)</f>
        <v>Marzo</v>
      </c>
    </row>
    <row r="1051" spans="1:27" ht="24" x14ac:dyDescent="0.3">
      <c r="A1051" s="2">
        <f>IF(BCP_Soles[[#This Row],[tipo_registro]]="R",COUNTIFS($C$1:$C1050,"R")+1,A1050)</f>
        <v>783</v>
      </c>
      <c r="B1051" s="19" t="str">
        <f t="shared" si="91"/>
        <v>B-BCP - Soles</v>
      </c>
      <c r="C1051" s="3" t="s">
        <v>1330</v>
      </c>
      <c r="D1051" s="14">
        <v>45743</v>
      </c>
      <c r="E1051" s="5" t="s">
        <v>1338</v>
      </c>
      <c r="F1051" s="5" t="s">
        <v>1336</v>
      </c>
      <c r="G1051" s="6"/>
      <c r="H1051" s="6"/>
      <c r="I1051" s="6"/>
      <c r="J1051" s="6"/>
      <c r="K1051" s="7" t="s">
        <v>2438</v>
      </c>
      <c r="L1051" s="8">
        <v>1211967</v>
      </c>
      <c r="M1051" s="8" t="str">
        <f t="shared" si="92"/>
        <v>PEN</v>
      </c>
      <c r="N1051" s="13"/>
      <c r="O1051" s="13">
        <v>490</v>
      </c>
      <c r="P1051" s="3">
        <f t="shared" si="93"/>
        <v>0</v>
      </c>
      <c r="Q1051" s="3">
        <f t="shared" si="94"/>
        <v>490</v>
      </c>
      <c r="R1051" s="3">
        <f t="shared" si="90"/>
        <v>112423.67999999998</v>
      </c>
      <c r="S1051" s="24" t="s">
        <v>1334</v>
      </c>
      <c r="T1051" s="24" t="s">
        <v>1334</v>
      </c>
      <c r="U1051" s="53"/>
      <c r="V1051" s="25" t="str">
        <f>IFERROR(VLOOKUP(BCP_Soles[[#This Row],[destinatario]],CHOOSE({1,2},Clientes_Proveedores[Razon Social],Clientes_Proveedores[Ruc / Dni]),2,0),"")</f>
        <v/>
      </c>
      <c r="W1051" s="25" t="s">
        <v>2439</v>
      </c>
      <c r="X1051" s="25" t="s">
        <v>2440</v>
      </c>
      <c r="Y1051" s="25"/>
      <c r="Z1051" s="75"/>
      <c r="AA1051" s="3" t="str">
        <f>IF(BCP_Soles[[#This Row],[fecha]]&gt;0,TEXT(BCP_Soles[[#This Row],[fecha]],"mmmm"),0)</f>
        <v>Marzo</v>
      </c>
    </row>
    <row r="1052" spans="1:27" x14ac:dyDescent="0.3">
      <c r="A1052" s="2">
        <f>IF(BCP_Soles[[#This Row],[tipo_registro]]="R",COUNTIFS($C$1:$C1051,"R")+1,A1051)</f>
        <v>784</v>
      </c>
      <c r="B1052" s="19" t="str">
        <f t="shared" si="91"/>
        <v>B-BCP - Soles</v>
      </c>
      <c r="C1052" s="3" t="s">
        <v>1330</v>
      </c>
      <c r="D1052" s="14">
        <v>45743</v>
      </c>
      <c r="E1052" s="5" t="s">
        <v>1338</v>
      </c>
      <c r="F1052" s="5" t="s">
        <v>1336</v>
      </c>
      <c r="G1052" s="6" t="s">
        <v>695</v>
      </c>
      <c r="H1052" s="6" t="s">
        <v>68</v>
      </c>
      <c r="I1052" s="6" t="s">
        <v>1377</v>
      </c>
      <c r="J1052" s="6">
        <v>154433</v>
      </c>
      <c r="K1052" s="7" t="s">
        <v>1378</v>
      </c>
      <c r="L1052" s="8">
        <v>212522</v>
      </c>
      <c r="M1052" s="8" t="str">
        <f t="shared" si="92"/>
        <v>PEN</v>
      </c>
      <c r="N1052" s="13"/>
      <c r="O1052" s="13">
        <v>969.9</v>
      </c>
      <c r="P1052" s="3">
        <f t="shared" si="93"/>
        <v>0</v>
      </c>
      <c r="Q1052" s="3">
        <f t="shared" si="94"/>
        <v>969.9</v>
      </c>
      <c r="R1052" s="3">
        <f t="shared" si="90"/>
        <v>111453.77999999998</v>
      </c>
      <c r="S1052" s="24" t="s">
        <v>1334</v>
      </c>
      <c r="T1052" s="24" t="s">
        <v>1334</v>
      </c>
      <c r="U1052" s="53"/>
      <c r="V1052" s="25">
        <f>IFERROR(VLOOKUP(BCP_Soles[[#This Row],[destinatario]],CHOOSE({1,2},Clientes_Proveedores[Razon Social],Clientes_Proveedores[Ruc / Dni]),2,0),"")</f>
        <v>20127765279</v>
      </c>
      <c r="W1052" s="25" t="s">
        <v>1379</v>
      </c>
      <c r="X1052" s="25" t="s">
        <v>2441</v>
      </c>
      <c r="Y1052" s="25"/>
      <c r="Z1052" s="75"/>
      <c r="AA1052" s="3" t="str">
        <f>IF(BCP_Soles[[#This Row],[fecha]]&gt;0,TEXT(BCP_Soles[[#This Row],[fecha]],"mmmm"),0)</f>
        <v>Marzo</v>
      </c>
    </row>
    <row r="1053" spans="1:27" x14ac:dyDescent="0.3">
      <c r="A1053" s="2">
        <f>IF(BCP_Soles[[#This Row],[tipo_registro]]="R",COUNTIFS($C$1:$C1052,"R")+1,A1052)</f>
        <v>785</v>
      </c>
      <c r="B1053" s="19" t="str">
        <f t="shared" si="91"/>
        <v>B-BCP - Soles</v>
      </c>
      <c r="C1053" s="3" t="s">
        <v>1330</v>
      </c>
      <c r="D1053" s="14">
        <v>45743</v>
      </c>
      <c r="E1053" s="5" t="s">
        <v>1338</v>
      </c>
      <c r="F1053" s="5" t="s">
        <v>1336</v>
      </c>
      <c r="G1053" s="6" t="s">
        <v>695</v>
      </c>
      <c r="H1053" s="6" t="s">
        <v>68</v>
      </c>
      <c r="I1053" s="6" t="s">
        <v>1377</v>
      </c>
      <c r="J1053" s="6">
        <v>154450</v>
      </c>
      <c r="K1053" s="7" t="s">
        <v>1378</v>
      </c>
      <c r="L1053" s="8">
        <v>214503</v>
      </c>
      <c r="M1053" s="8" t="str">
        <f t="shared" si="92"/>
        <v>PEN</v>
      </c>
      <c r="N1053" s="13"/>
      <c r="O1053" s="13">
        <v>1619.8</v>
      </c>
      <c r="P1053" s="3">
        <f t="shared" si="93"/>
        <v>0</v>
      </c>
      <c r="Q1053" s="3">
        <f t="shared" si="94"/>
        <v>1619.8</v>
      </c>
      <c r="R1053" s="3">
        <f t="shared" si="90"/>
        <v>109833.97999999998</v>
      </c>
      <c r="S1053" s="24" t="s">
        <v>1334</v>
      </c>
      <c r="T1053" s="24" t="s">
        <v>1334</v>
      </c>
      <c r="U1053" s="53"/>
      <c r="V1053" s="25">
        <f>IFERROR(VLOOKUP(BCP_Soles[[#This Row],[destinatario]],CHOOSE({1,2},Clientes_Proveedores[Razon Social],Clientes_Proveedores[Ruc / Dni]),2,0),"")</f>
        <v>20127765279</v>
      </c>
      <c r="W1053" s="25" t="s">
        <v>1379</v>
      </c>
      <c r="X1053" s="25" t="s">
        <v>2442</v>
      </c>
      <c r="Y1053" s="25"/>
      <c r="Z1053" s="75"/>
      <c r="AA1053" s="3" t="str">
        <f>IF(BCP_Soles[[#This Row],[fecha]]&gt;0,TEXT(BCP_Soles[[#This Row],[fecha]],"mmmm"),0)</f>
        <v>Marzo</v>
      </c>
    </row>
    <row r="1054" spans="1:27" ht="36" x14ac:dyDescent="0.3">
      <c r="A1054" s="2">
        <f>IF(BCP_Soles[[#This Row],[tipo_registro]]="R",COUNTIFS($C$1:$C1053,"R")+1,A1053)</f>
        <v>786</v>
      </c>
      <c r="B1054" s="19" t="str">
        <f t="shared" si="91"/>
        <v>B-BCP - Soles</v>
      </c>
      <c r="C1054" s="3" t="s">
        <v>1330</v>
      </c>
      <c r="D1054" s="14">
        <v>45743</v>
      </c>
      <c r="E1054" s="5" t="s">
        <v>2269</v>
      </c>
      <c r="F1054" s="5" t="s">
        <v>1336</v>
      </c>
      <c r="G1054" s="6" t="s">
        <v>638</v>
      </c>
      <c r="H1054" s="6" t="s">
        <v>68</v>
      </c>
      <c r="I1054" s="6" t="s">
        <v>1374</v>
      </c>
      <c r="J1054" s="6">
        <v>15822</v>
      </c>
      <c r="K1054" s="7" t="s">
        <v>2443</v>
      </c>
      <c r="L1054" s="8">
        <v>1211968</v>
      </c>
      <c r="M1054" s="8" t="str">
        <f t="shared" si="92"/>
        <v>PEN</v>
      </c>
      <c r="N1054" s="13"/>
      <c r="O1054" s="13">
        <v>1877.99</v>
      </c>
      <c r="P1054" s="3">
        <f t="shared" si="93"/>
        <v>0</v>
      </c>
      <c r="Q1054" s="3">
        <f t="shared" si="94"/>
        <v>1877.99</v>
      </c>
      <c r="R1054" s="3">
        <f t="shared" si="90"/>
        <v>107955.98999999998</v>
      </c>
      <c r="S1054" s="24" t="s">
        <v>1334</v>
      </c>
      <c r="T1054" s="24" t="s">
        <v>1334</v>
      </c>
      <c r="U1054" s="53"/>
      <c r="V1054" s="25">
        <f>IFERROR(VLOOKUP(BCP_Soles[[#This Row],[destinatario]],CHOOSE({1,2},Clientes_Proveedores[Razon Social],Clientes_Proveedores[Ruc / Dni]),2,0),"")</f>
        <v>20602484344</v>
      </c>
      <c r="W1054" s="25" t="s">
        <v>2444</v>
      </c>
      <c r="X1054" s="25" t="s">
        <v>2445</v>
      </c>
      <c r="Y1054" s="25"/>
      <c r="Z1054" s="75"/>
      <c r="AA1054" s="3" t="str">
        <f>IF(BCP_Soles[[#This Row],[fecha]]&gt;0,TEXT(BCP_Soles[[#This Row],[fecha]],"mmmm"),0)</f>
        <v>Marzo</v>
      </c>
    </row>
    <row r="1055" spans="1:27" x14ac:dyDescent="0.3">
      <c r="A1055" s="2">
        <f>IF(BCP_Soles[[#This Row],[tipo_registro]]="R",COUNTIFS($C$1:$C1054,"R")+1,A1054)</f>
        <v>787</v>
      </c>
      <c r="B1055" s="19" t="str">
        <f t="shared" si="91"/>
        <v>B-BCP - Soles</v>
      </c>
      <c r="C1055" s="3" t="s">
        <v>1330</v>
      </c>
      <c r="D1055" s="14">
        <v>45744</v>
      </c>
      <c r="E1055" s="5" t="s">
        <v>1335</v>
      </c>
      <c r="F1055" s="5" t="s">
        <v>1336</v>
      </c>
      <c r="G1055" s="6"/>
      <c r="H1055" s="6"/>
      <c r="I1055" s="6"/>
      <c r="J1055" s="6"/>
      <c r="K1055" s="7" t="s">
        <v>1337</v>
      </c>
      <c r="L1055" s="8"/>
      <c r="M1055" s="8" t="str">
        <f t="shared" si="92"/>
        <v>PEN</v>
      </c>
      <c r="N1055" s="13"/>
      <c r="O1055" s="13">
        <v>0.3</v>
      </c>
      <c r="P1055" s="3">
        <f t="shared" si="93"/>
        <v>0</v>
      </c>
      <c r="Q1055" s="3">
        <f t="shared" si="94"/>
        <v>0.3</v>
      </c>
      <c r="R1055" s="3">
        <f t="shared" si="90"/>
        <v>107955.68999999997</v>
      </c>
      <c r="S1055" s="24"/>
      <c r="T1055" s="24" t="s">
        <v>1334</v>
      </c>
      <c r="U1055" s="53"/>
      <c r="V1055" s="25" t="str">
        <f>IFERROR(VLOOKUP(BCP_Soles[[#This Row],[destinatario]],CHOOSE({1,2},Clientes_Proveedores[Razon Social],Clientes_Proveedores[Ruc / Dni]),2,0),"")</f>
        <v/>
      </c>
      <c r="W1055" s="25"/>
      <c r="X1055" s="25"/>
      <c r="Y1055" s="25"/>
      <c r="Z1055" s="75"/>
      <c r="AA1055" s="3" t="str">
        <f>IF(BCP_Soles[[#This Row],[fecha]]&gt;0,TEXT(BCP_Soles[[#This Row],[fecha]],"mmmm"),0)</f>
        <v>Marzo</v>
      </c>
    </row>
    <row r="1056" spans="1:27" x14ac:dyDescent="0.3">
      <c r="A1056" s="2">
        <f>IF(BCP_Soles[[#This Row],[tipo_registro]]="R",COUNTIFS($C$1:$C1055,"R")+1,A1055)</f>
        <v>788</v>
      </c>
      <c r="B1056" s="19" t="str">
        <f t="shared" si="91"/>
        <v>B-BCP - Soles</v>
      </c>
      <c r="C1056" s="3" t="s">
        <v>1330</v>
      </c>
      <c r="D1056" s="14">
        <v>45744</v>
      </c>
      <c r="E1056" s="5" t="s">
        <v>2269</v>
      </c>
      <c r="F1056" s="5" t="s">
        <v>1336</v>
      </c>
      <c r="G1056" s="6" t="s">
        <v>696</v>
      </c>
      <c r="H1056" s="6"/>
      <c r="I1056" s="6"/>
      <c r="J1056" s="6"/>
      <c r="K1056" s="7" t="s">
        <v>2446</v>
      </c>
      <c r="L1056" s="8">
        <v>8042022</v>
      </c>
      <c r="M1056" s="8" t="str">
        <f t="shared" si="92"/>
        <v>PEN</v>
      </c>
      <c r="N1056" s="13"/>
      <c r="O1056" s="13">
        <v>3075.05</v>
      </c>
      <c r="P1056" s="3">
        <f t="shared" si="93"/>
        <v>0</v>
      </c>
      <c r="Q1056" s="3">
        <f t="shared" si="94"/>
        <v>3075.05</v>
      </c>
      <c r="R1056" s="3">
        <f t="shared" si="90"/>
        <v>104880.63999999997</v>
      </c>
      <c r="S1056" s="24" t="s">
        <v>1334</v>
      </c>
      <c r="T1056" s="24" t="s">
        <v>1334</v>
      </c>
      <c r="U1056" s="53"/>
      <c r="V1056" s="25">
        <f>IFERROR(VLOOKUP(BCP_Soles[[#This Row],[destinatario]],CHOOSE({1,2},Clientes_Proveedores[Razon Social],Clientes_Proveedores[Ruc / Dni]),2,0),"")</f>
        <v>0</v>
      </c>
      <c r="W1056" s="25" t="s">
        <v>1373</v>
      </c>
      <c r="X1056" s="25"/>
      <c r="Y1056" s="25"/>
      <c r="Z1056" s="75"/>
      <c r="AA1056" s="3" t="str">
        <f>IF(BCP_Soles[[#This Row],[fecha]]&gt;0,TEXT(BCP_Soles[[#This Row],[fecha]],"mmmm"),0)</f>
        <v>Marzo</v>
      </c>
    </row>
    <row r="1057" spans="1:27" x14ac:dyDescent="0.3">
      <c r="A1057" s="2">
        <f>IF(BCP_Soles[[#This Row],[tipo_registro]]="R",COUNTIFS($C$1:$C1056,"R")+1,A1056)</f>
        <v>788</v>
      </c>
      <c r="B1057" s="19" t="str">
        <f t="shared" si="91"/>
        <v>B-BCP - Soles</v>
      </c>
      <c r="C1057" s="3" t="s">
        <v>1352</v>
      </c>
      <c r="D1057" s="14">
        <v>45744</v>
      </c>
      <c r="E1057" s="5" t="s">
        <v>2269</v>
      </c>
      <c r="F1057" s="5"/>
      <c r="G1057" s="6" t="s">
        <v>522</v>
      </c>
      <c r="H1057" s="6" t="s">
        <v>68</v>
      </c>
      <c r="I1057" s="6" t="s">
        <v>1376</v>
      </c>
      <c r="J1057" s="6">
        <v>3759</v>
      </c>
      <c r="K1057" s="7" t="s">
        <v>2446</v>
      </c>
      <c r="L1057" s="8">
        <v>8042022</v>
      </c>
      <c r="M1057" s="8" t="str">
        <f t="shared" si="92"/>
        <v>PEN</v>
      </c>
      <c r="N1057" s="13">
        <v>351.05</v>
      </c>
      <c r="O1057" s="13"/>
      <c r="P1057" s="3">
        <f t="shared" si="93"/>
        <v>0</v>
      </c>
      <c r="Q1057" s="3">
        <f t="shared" si="94"/>
        <v>0</v>
      </c>
      <c r="R1057" s="3">
        <f t="shared" si="90"/>
        <v>104880.63999999997</v>
      </c>
      <c r="S1057" s="24"/>
      <c r="T1057" s="24" t="s">
        <v>1334</v>
      </c>
      <c r="U1057" s="53"/>
      <c r="V1057" s="25">
        <f>IFERROR(VLOOKUP(BCP_Soles[[#This Row],[destinatario]],CHOOSE({1,2},Clientes_Proveedores[Razon Social],Clientes_Proveedores[Ruc / Dni]),2,0),"")</f>
        <v>20603974817</v>
      </c>
      <c r="W1057" s="25"/>
      <c r="X1057" s="25"/>
      <c r="Y1057" s="25"/>
      <c r="Z1057" s="75"/>
      <c r="AA1057" s="3" t="str">
        <f>IF(BCP_Soles[[#This Row],[fecha]]&gt;0,TEXT(BCP_Soles[[#This Row],[fecha]],"mmmm"),0)</f>
        <v>Marzo</v>
      </c>
    </row>
    <row r="1058" spans="1:27" x14ac:dyDescent="0.3">
      <c r="A1058" s="2">
        <f>IF(BCP_Soles[[#This Row],[tipo_registro]]="R",COUNTIFS($C$1:$C1057,"R")+1,A1057)</f>
        <v>788</v>
      </c>
      <c r="B1058" s="19" t="str">
        <f t="shared" si="91"/>
        <v>B-BCP - Soles</v>
      </c>
      <c r="C1058" s="3" t="s">
        <v>1352</v>
      </c>
      <c r="D1058" s="14">
        <v>45744</v>
      </c>
      <c r="E1058" s="5" t="s">
        <v>2269</v>
      </c>
      <c r="F1058" s="5"/>
      <c r="G1058" s="6" t="s">
        <v>522</v>
      </c>
      <c r="H1058" s="6" t="s">
        <v>68</v>
      </c>
      <c r="I1058" s="6" t="s">
        <v>1376</v>
      </c>
      <c r="J1058" s="6">
        <v>3757</v>
      </c>
      <c r="K1058" s="7" t="s">
        <v>2446</v>
      </c>
      <c r="L1058" s="8">
        <v>8042022</v>
      </c>
      <c r="M1058" s="8" t="str">
        <f t="shared" si="92"/>
        <v>PEN</v>
      </c>
      <c r="N1058" s="13">
        <v>250.75</v>
      </c>
      <c r="O1058" s="13"/>
      <c r="P1058" s="3">
        <f t="shared" si="93"/>
        <v>0</v>
      </c>
      <c r="Q1058" s="3">
        <f t="shared" si="94"/>
        <v>0</v>
      </c>
      <c r="R1058" s="3">
        <f t="shared" si="90"/>
        <v>104880.63999999997</v>
      </c>
      <c r="S1058" s="24"/>
      <c r="T1058" s="24" t="s">
        <v>1334</v>
      </c>
      <c r="U1058" s="53"/>
      <c r="V1058" s="25">
        <f>IFERROR(VLOOKUP(BCP_Soles[[#This Row],[destinatario]],CHOOSE({1,2},Clientes_Proveedores[Razon Social],Clientes_Proveedores[Ruc / Dni]),2,0),"")</f>
        <v>20603974817</v>
      </c>
      <c r="W1058" s="25"/>
      <c r="X1058" s="25"/>
      <c r="Y1058" s="25"/>
      <c r="Z1058" s="75"/>
      <c r="AA1058" s="3" t="str">
        <f>IF(BCP_Soles[[#This Row],[fecha]]&gt;0,TEXT(BCP_Soles[[#This Row],[fecha]],"mmmm"),0)</f>
        <v>Marzo</v>
      </c>
    </row>
    <row r="1059" spans="1:27" x14ac:dyDescent="0.3">
      <c r="A1059" s="2">
        <f>IF(BCP_Soles[[#This Row],[tipo_registro]]="R",COUNTIFS($C$1:$C1058,"R")+1,A1058)</f>
        <v>788</v>
      </c>
      <c r="B1059" s="19" t="str">
        <f t="shared" si="91"/>
        <v>B-BCP - Soles</v>
      </c>
      <c r="C1059" s="3" t="s">
        <v>1352</v>
      </c>
      <c r="D1059" s="14">
        <v>45744</v>
      </c>
      <c r="E1059" s="5" t="s">
        <v>2269</v>
      </c>
      <c r="F1059" s="5"/>
      <c r="G1059" s="6" t="s">
        <v>522</v>
      </c>
      <c r="H1059" s="6" t="s">
        <v>68</v>
      </c>
      <c r="I1059" s="6" t="s">
        <v>1376</v>
      </c>
      <c r="J1059" s="6">
        <v>3762</v>
      </c>
      <c r="K1059" s="7" t="s">
        <v>2446</v>
      </c>
      <c r="L1059" s="8">
        <v>8042022</v>
      </c>
      <c r="M1059" s="8" t="str">
        <f t="shared" si="92"/>
        <v>PEN</v>
      </c>
      <c r="N1059" s="13">
        <v>200.6</v>
      </c>
      <c r="O1059" s="13"/>
      <c r="P1059" s="3">
        <f t="shared" si="93"/>
        <v>0</v>
      </c>
      <c r="Q1059" s="3">
        <f t="shared" si="94"/>
        <v>0</v>
      </c>
      <c r="R1059" s="3">
        <f t="shared" si="90"/>
        <v>104880.63999999997</v>
      </c>
      <c r="S1059" s="24"/>
      <c r="T1059" s="24" t="s">
        <v>1334</v>
      </c>
      <c r="U1059" s="53"/>
      <c r="V1059" s="25">
        <f>IFERROR(VLOOKUP(BCP_Soles[[#This Row],[destinatario]],CHOOSE({1,2},Clientes_Proveedores[Razon Social],Clientes_Proveedores[Ruc / Dni]),2,0),"")</f>
        <v>20603974817</v>
      </c>
      <c r="W1059" s="25"/>
      <c r="X1059" s="25"/>
      <c r="Y1059" s="25"/>
      <c r="Z1059" s="75"/>
      <c r="AA1059" s="3" t="str">
        <f>IF(BCP_Soles[[#This Row],[fecha]]&gt;0,TEXT(BCP_Soles[[#This Row],[fecha]],"mmmm"),0)</f>
        <v>Marzo</v>
      </c>
    </row>
    <row r="1060" spans="1:27" x14ac:dyDescent="0.3">
      <c r="A1060" s="2">
        <f>IF(BCP_Soles[[#This Row],[tipo_registro]]="R",COUNTIFS($C$1:$C1059,"R")+1,A1059)</f>
        <v>788</v>
      </c>
      <c r="B1060" s="19" t="str">
        <f t="shared" si="91"/>
        <v>B-BCP - Soles</v>
      </c>
      <c r="C1060" s="3" t="s">
        <v>1352</v>
      </c>
      <c r="D1060" s="14">
        <v>45744</v>
      </c>
      <c r="E1060" s="5" t="s">
        <v>2269</v>
      </c>
      <c r="F1060" s="5"/>
      <c r="G1060" s="6" t="s">
        <v>522</v>
      </c>
      <c r="H1060" s="6" t="s">
        <v>68</v>
      </c>
      <c r="I1060" s="6" t="s">
        <v>1376</v>
      </c>
      <c r="J1060" s="6">
        <v>3755</v>
      </c>
      <c r="K1060" s="7" t="s">
        <v>2446</v>
      </c>
      <c r="L1060" s="8">
        <v>8042022</v>
      </c>
      <c r="M1060" s="8" t="str">
        <f t="shared" si="92"/>
        <v>PEN</v>
      </c>
      <c r="N1060" s="13">
        <v>651.95000000000005</v>
      </c>
      <c r="O1060" s="13"/>
      <c r="P1060" s="3">
        <f t="shared" si="93"/>
        <v>0</v>
      </c>
      <c r="Q1060" s="3">
        <f t="shared" si="94"/>
        <v>0</v>
      </c>
      <c r="R1060" s="3">
        <f t="shared" si="90"/>
        <v>104880.63999999997</v>
      </c>
      <c r="S1060" s="24"/>
      <c r="T1060" s="24" t="s">
        <v>1334</v>
      </c>
      <c r="U1060" s="53"/>
      <c r="V1060" s="25">
        <f>IFERROR(VLOOKUP(BCP_Soles[[#This Row],[destinatario]],CHOOSE({1,2},Clientes_Proveedores[Razon Social],Clientes_Proveedores[Ruc / Dni]),2,0),"")</f>
        <v>20603974817</v>
      </c>
      <c r="W1060" s="25"/>
      <c r="X1060" s="25"/>
      <c r="Y1060" s="25"/>
      <c r="Z1060" s="75"/>
      <c r="AA1060" s="3" t="str">
        <f>IF(BCP_Soles[[#This Row],[fecha]]&gt;0,TEXT(BCP_Soles[[#This Row],[fecha]],"mmmm"),0)</f>
        <v>Marzo</v>
      </c>
    </row>
    <row r="1061" spans="1:27" x14ac:dyDescent="0.3">
      <c r="A1061" s="2">
        <f>IF(BCP_Soles[[#This Row],[tipo_registro]]="R",COUNTIFS($C$1:$C1060,"R")+1,A1060)</f>
        <v>788</v>
      </c>
      <c r="B1061" s="19" t="str">
        <f t="shared" si="91"/>
        <v>B-BCP - Soles</v>
      </c>
      <c r="C1061" s="3" t="s">
        <v>1352</v>
      </c>
      <c r="D1061" s="14">
        <v>45744</v>
      </c>
      <c r="E1061" s="5" t="s">
        <v>2269</v>
      </c>
      <c r="F1061" s="5"/>
      <c r="G1061" s="6" t="s">
        <v>522</v>
      </c>
      <c r="H1061" s="6" t="s">
        <v>68</v>
      </c>
      <c r="I1061" s="6" t="s">
        <v>1376</v>
      </c>
      <c r="J1061" s="6">
        <v>3754</v>
      </c>
      <c r="K1061" s="7" t="s">
        <v>2446</v>
      </c>
      <c r="L1061" s="8">
        <v>8042022</v>
      </c>
      <c r="M1061" s="8" t="str">
        <f t="shared" si="92"/>
        <v>PEN</v>
      </c>
      <c r="N1061" s="13">
        <v>677.25</v>
      </c>
      <c r="O1061" s="13"/>
      <c r="P1061" s="3">
        <f t="shared" si="93"/>
        <v>0</v>
      </c>
      <c r="Q1061" s="3">
        <f t="shared" si="94"/>
        <v>0</v>
      </c>
      <c r="R1061" s="3">
        <f t="shared" si="90"/>
        <v>104880.63999999997</v>
      </c>
      <c r="S1061" s="24"/>
      <c r="T1061" s="24" t="s">
        <v>1334</v>
      </c>
      <c r="U1061" s="53"/>
      <c r="V1061" s="25">
        <f>IFERROR(VLOOKUP(BCP_Soles[[#This Row],[destinatario]],CHOOSE({1,2},Clientes_Proveedores[Razon Social],Clientes_Proveedores[Ruc / Dni]),2,0),"")</f>
        <v>20603974817</v>
      </c>
      <c r="W1061" s="25"/>
      <c r="X1061" s="25"/>
      <c r="Y1061" s="25"/>
      <c r="Z1061" s="75"/>
      <c r="AA1061" s="3" t="str">
        <f>IF(BCP_Soles[[#This Row],[fecha]]&gt;0,TEXT(BCP_Soles[[#This Row],[fecha]],"mmmm"),0)</f>
        <v>Marzo</v>
      </c>
    </row>
    <row r="1062" spans="1:27" x14ac:dyDescent="0.3">
      <c r="A1062" s="2">
        <f>IF(BCP_Soles[[#This Row],[tipo_registro]]="R",COUNTIFS($C$1:$C1061,"R")+1,A1061)</f>
        <v>788</v>
      </c>
      <c r="B1062" s="19" t="str">
        <f t="shared" si="91"/>
        <v>B-BCP - Soles</v>
      </c>
      <c r="C1062" s="3" t="s">
        <v>1352</v>
      </c>
      <c r="D1062" s="14">
        <v>45744</v>
      </c>
      <c r="E1062" s="5" t="s">
        <v>2269</v>
      </c>
      <c r="F1062" s="5"/>
      <c r="G1062" s="6" t="s">
        <v>522</v>
      </c>
      <c r="H1062" s="6" t="s">
        <v>68</v>
      </c>
      <c r="I1062" s="6" t="s">
        <v>1376</v>
      </c>
      <c r="J1062" s="6">
        <v>3761</v>
      </c>
      <c r="K1062" s="7" t="s">
        <v>2446</v>
      </c>
      <c r="L1062" s="8">
        <v>8042022</v>
      </c>
      <c r="M1062" s="8" t="str">
        <f t="shared" si="92"/>
        <v>PEN</v>
      </c>
      <c r="N1062" s="13">
        <v>150.44999999999999</v>
      </c>
      <c r="O1062" s="13"/>
      <c r="P1062" s="3">
        <f t="shared" si="93"/>
        <v>0</v>
      </c>
      <c r="Q1062" s="3">
        <f t="shared" si="94"/>
        <v>0</v>
      </c>
      <c r="R1062" s="3">
        <f t="shared" si="90"/>
        <v>104880.63999999997</v>
      </c>
      <c r="S1062" s="24"/>
      <c r="T1062" s="24" t="s">
        <v>1334</v>
      </c>
      <c r="U1062" s="53"/>
      <c r="V1062" s="25">
        <f>IFERROR(VLOOKUP(BCP_Soles[[#This Row],[destinatario]],CHOOSE({1,2},Clientes_Proveedores[Razon Social],Clientes_Proveedores[Ruc / Dni]),2,0),"")</f>
        <v>20603974817</v>
      </c>
      <c r="W1062" s="25"/>
      <c r="X1062" s="25"/>
      <c r="Y1062" s="25"/>
      <c r="Z1062" s="75"/>
      <c r="AA1062" s="3" t="str">
        <f>IF(BCP_Soles[[#This Row],[fecha]]&gt;0,TEXT(BCP_Soles[[#This Row],[fecha]],"mmmm"),0)</f>
        <v>Marzo</v>
      </c>
    </row>
    <row r="1063" spans="1:27" ht="36" x14ac:dyDescent="0.3">
      <c r="A1063" s="2">
        <f>IF(BCP_Soles[[#This Row],[tipo_registro]]="R",COUNTIFS($C$1:$C1062,"R")+1,A1062)</f>
        <v>788</v>
      </c>
      <c r="B1063" s="19" t="str">
        <f t="shared" si="91"/>
        <v>B-BCP - Soles</v>
      </c>
      <c r="C1063" s="3" t="s">
        <v>1352</v>
      </c>
      <c r="D1063" s="14">
        <v>45744</v>
      </c>
      <c r="E1063" s="5" t="s">
        <v>2269</v>
      </c>
      <c r="F1063" s="5"/>
      <c r="G1063" s="6" t="s">
        <v>474</v>
      </c>
      <c r="H1063" s="6" t="s">
        <v>68</v>
      </c>
      <c r="I1063" s="6" t="s">
        <v>1376</v>
      </c>
      <c r="J1063" s="6">
        <v>724</v>
      </c>
      <c r="K1063" s="7" t="s">
        <v>2446</v>
      </c>
      <c r="L1063" s="8">
        <v>8042022</v>
      </c>
      <c r="M1063" s="8" t="str">
        <f t="shared" si="92"/>
        <v>PEN</v>
      </c>
      <c r="N1063" s="13">
        <v>793</v>
      </c>
      <c r="O1063" s="13"/>
      <c r="P1063" s="3">
        <f t="shared" si="93"/>
        <v>0</v>
      </c>
      <c r="Q1063" s="3">
        <f t="shared" si="94"/>
        <v>0</v>
      </c>
      <c r="R1063" s="3">
        <f t="shared" si="90"/>
        <v>104880.63999999997</v>
      </c>
      <c r="S1063" s="24"/>
      <c r="T1063" s="24" t="s">
        <v>1334</v>
      </c>
      <c r="U1063" s="53"/>
      <c r="V1063" s="25">
        <f>IFERROR(VLOOKUP(BCP_Soles[[#This Row],[destinatario]],CHOOSE({1,2},Clientes_Proveedores[Razon Social],Clientes_Proveedores[Ruc / Dni]),2,0),"")</f>
        <v>20602075177</v>
      </c>
      <c r="W1063" s="25"/>
      <c r="X1063" s="25"/>
      <c r="Y1063" s="25"/>
      <c r="Z1063" s="75"/>
      <c r="AA1063" s="3" t="str">
        <f>IF(BCP_Soles[[#This Row],[fecha]]&gt;0,TEXT(BCP_Soles[[#This Row],[fecha]],"mmmm"),0)</f>
        <v>Marzo</v>
      </c>
    </row>
    <row r="1064" spans="1:27" ht="36" x14ac:dyDescent="0.3">
      <c r="A1064" s="2">
        <f>IF(BCP_Soles[[#This Row],[tipo_registro]]="R",COUNTIFS($C$1:$C1063,"R")+1,A1063)</f>
        <v>789</v>
      </c>
      <c r="B1064" s="19" t="str">
        <f t="shared" si="91"/>
        <v>B-BCP - Soles</v>
      </c>
      <c r="C1064" s="3" t="s">
        <v>1330</v>
      </c>
      <c r="D1064" s="14">
        <v>45744</v>
      </c>
      <c r="E1064" s="5" t="s">
        <v>2269</v>
      </c>
      <c r="F1064" s="5" t="s">
        <v>1336</v>
      </c>
      <c r="G1064" s="6" t="s">
        <v>683</v>
      </c>
      <c r="H1064" s="6" t="s">
        <v>68</v>
      </c>
      <c r="I1064" s="6" t="s">
        <v>1374</v>
      </c>
      <c r="J1064" s="6">
        <v>2107</v>
      </c>
      <c r="K1064" s="7" t="s">
        <v>2447</v>
      </c>
      <c r="L1064" s="8">
        <v>1132513</v>
      </c>
      <c r="M1064" s="8" t="str">
        <f t="shared" si="92"/>
        <v>PEN</v>
      </c>
      <c r="N1064" s="13"/>
      <c r="O1064" s="13">
        <v>799</v>
      </c>
      <c r="P1064" s="3">
        <f t="shared" si="93"/>
        <v>0</v>
      </c>
      <c r="Q1064" s="3">
        <f t="shared" si="94"/>
        <v>799</v>
      </c>
      <c r="R1064" s="3">
        <f t="shared" si="90"/>
        <v>104081.63999999997</v>
      </c>
      <c r="S1064" s="24" t="s">
        <v>1334</v>
      </c>
      <c r="T1064" s="24" t="s">
        <v>1334</v>
      </c>
      <c r="U1064" s="53"/>
      <c r="V1064" s="25">
        <f>IFERROR(VLOOKUP(BCP_Soles[[#This Row],[destinatario]],CHOOSE({1,2},Clientes_Proveedores[Razon Social],Clientes_Proveedores[Ruc / Dni]),2,0),"")</f>
        <v>20512528458</v>
      </c>
      <c r="W1064" s="25" t="s">
        <v>1998</v>
      </c>
      <c r="X1064" s="25" t="s">
        <v>2448</v>
      </c>
      <c r="Y1064" s="25"/>
      <c r="Z1064" s="75"/>
      <c r="AA1064" s="3" t="str">
        <f>IF(BCP_Soles[[#This Row],[fecha]]&gt;0,TEXT(BCP_Soles[[#This Row],[fecha]],"mmmm"),0)</f>
        <v>Marzo</v>
      </c>
    </row>
    <row r="1065" spans="1:27" ht="24" x14ac:dyDescent="0.3">
      <c r="A1065" s="2">
        <f>IF(BCP_Soles[[#This Row],[tipo_registro]]="R",COUNTIFS($C$1:$C1064,"R")+1,A1064)</f>
        <v>790</v>
      </c>
      <c r="B1065" s="19" t="str">
        <f t="shared" si="91"/>
        <v>B-BCP - Soles</v>
      </c>
      <c r="C1065" s="3" t="s">
        <v>1330</v>
      </c>
      <c r="D1065" s="14">
        <v>45744</v>
      </c>
      <c r="E1065" s="5" t="s">
        <v>1338</v>
      </c>
      <c r="F1065" s="5" t="s">
        <v>1336</v>
      </c>
      <c r="G1065" s="6" t="s">
        <v>1123</v>
      </c>
      <c r="H1065" s="6" t="s">
        <v>68</v>
      </c>
      <c r="I1065" s="6" t="s">
        <v>1376</v>
      </c>
      <c r="J1065" s="6">
        <v>528</v>
      </c>
      <c r="K1065" s="7" t="s">
        <v>2449</v>
      </c>
      <c r="L1065" s="8">
        <v>1130457</v>
      </c>
      <c r="M1065" s="8" t="str">
        <f t="shared" si="92"/>
        <v>PEN</v>
      </c>
      <c r="N1065" s="13"/>
      <c r="O1065" s="13">
        <v>576</v>
      </c>
      <c r="P1065" s="3">
        <f t="shared" si="93"/>
        <v>0</v>
      </c>
      <c r="Q1065" s="3">
        <f t="shared" si="94"/>
        <v>576</v>
      </c>
      <c r="R1065" s="3">
        <f t="shared" si="90"/>
        <v>103505.63999999997</v>
      </c>
      <c r="S1065" s="24" t="s">
        <v>1334</v>
      </c>
      <c r="T1065" s="24" t="s">
        <v>1334</v>
      </c>
      <c r="U1065" s="53"/>
      <c r="V1065" s="25">
        <f>IFERROR(VLOOKUP(BCP_Soles[[#This Row],[destinatario]],CHOOSE({1,2},Clientes_Proveedores[Razon Social],Clientes_Proveedores[Ruc / Dni]),2,0),"")</f>
        <v>20492269264</v>
      </c>
      <c r="W1065" s="25" t="s">
        <v>2450</v>
      </c>
      <c r="X1065" s="25" t="s">
        <v>2451</v>
      </c>
      <c r="Y1065" s="25"/>
      <c r="Z1065" s="75"/>
      <c r="AA1065" s="3" t="str">
        <f>IF(BCP_Soles[[#This Row],[fecha]]&gt;0,TEXT(BCP_Soles[[#This Row],[fecha]],"mmmm"),0)</f>
        <v>Marzo</v>
      </c>
    </row>
    <row r="1066" spans="1:27" ht="24" x14ac:dyDescent="0.3">
      <c r="A1066" s="2">
        <f>IF(BCP_Soles[[#This Row],[tipo_registro]]="R",COUNTIFS($C$1:$C1065,"R")+1,A1065)</f>
        <v>791</v>
      </c>
      <c r="B1066" s="19" t="str">
        <f t="shared" si="91"/>
        <v>B-BCP - Soles</v>
      </c>
      <c r="C1066" s="3" t="s">
        <v>1330</v>
      </c>
      <c r="D1066" s="14">
        <v>45744</v>
      </c>
      <c r="E1066" s="5" t="s">
        <v>2269</v>
      </c>
      <c r="F1066" s="5" t="s">
        <v>1336</v>
      </c>
      <c r="G1066" s="6" t="s">
        <v>723</v>
      </c>
      <c r="H1066" s="6" t="s">
        <v>68</v>
      </c>
      <c r="I1066" s="6" t="s">
        <v>1374</v>
      </c>
      <c r="J1066" s="6">
        <v>996</v>
      </c>
      <c r="K1066" s="7" t="s">
        <v>2452</v>
      </c>
      <c r="L1066" s="8">
        <v>1132512</v>
      </c>
      <c r="M1066" s="8" t="str">
        <f t="shared" si="92"/>
        <v>PEN</v>
      </c>
      <c r="N1066" s="13"/>
      <c r="O1066" s="13">
        <v>562</v>
      </c>
      <c r="P1066" s="3">
        <f t="shared" si="93"/>
        <v>0</v>
      </c>
      <c r="Q1066" s="3">
        <f t="shared" si="94"/>
        <v>562</v>
      </c>
      <c r="R1066" s="3">
        <f t="shared" si="90"/>
        <v>102943.63999999997</v>
      </c>
      <c r="S1066" s="24" t="s">
        <v>1334</v>
      </c>
      <c r="T1066" s="24" t="s">
        <v>1334</v>
      </c>
      <c r="U1066" s="53"/>
      <c r="V1066" s="25">
        <f>IFERROR(VLOOKUP(BCP_Soles[[#This Row],[destinatario]],CHOOSE({1,2},Clientes_Proveedores[Razon Social],Clientes_Proveedores[Ruc / Dni]),2,0),"")</f>
        <v>20613579941</v>
      </c>
      <c r="W1066" s="25" t="s">
        <v>2453</v>
      </c>
      <c r="X1066" s="25" t="s">
        <v>2454</v>
      </c>
      <c r="Y1066" s="25"/>
      <c r="Z1066" s="75"/>
      <c r="AA1066" s="3" t="str">
        <f>IF(BCP_Soles[[#This Row],[fecha]]&gt;0,TEXT(BCP_Soles[[#This Row],[fecha]],"mmmm"),0)</f>
        <v>Marzo</v>
      </c>
    </row>
    <row r="1067" spans="1:27" ht="24" x14ac:dyDescent="0.3">
      <c r="A1067" s="2">
        <f>IF(BCP_Soles[[#This Row],[tipo_registro]]="R",COUNTIFS($C$1:$C1066,"R")+1,A1066)</f>
        <v>792</v>
      </c>
      <c r="B1067" s="19" t="str">
        <f t="shared" si="91"/>
        <v>B-BCP - Soles</v>
      </c>
      <c r="C1067" s="3" t="s">
        <v>1330</v>
      </c>
      <c r="D1067" s="14">
        <v>45744</v>
      </c>
      <c r="E1067" s="5" t="s">
        <v>2269</v>
      </c>
      <c r="F1067" s="5" t="s">
        <v>1336</v>
      </c>
      <c r="G1067" s="6" t="s">
        <v>583</v>
      </c>
      <c r="H1067" s="6" t="s">
        <v>68</v>
      </c>
      <c r="I1067" s="6" t="s">
        <v>1376</v>
      </c>
      <c r="J1067" s="6">
        <v>728</v>
      </c>
      <c r="K1067" s="7" t="s">
        <v>2455</v>
      </c>
      <c r="L1067" s="8">
        <v>1129956</v>
      </c>
      <c r="M1067" s="8" t="str">
        <f t="shared" si="92"/>
        <v>PEN</v>
      </c>
      <c r="N1067" s="13"/>
      <c r="O1067" s="13">
        <v>450</v>
      </c>
      <c r="P1067" s="3">
        <f t="shared" si="93"/>
        <v>0</v>
      </c>
      <c r="Q1067" s="3">
        <f t="shared" si="94"/>
        <v>450</v>
      </c>
      <c r="R1067" s="3">
        <f t="shared" si="90"/>
        <v>102493.63999999997</v>
      </c>
      <c r="S1067" s="24" t="s">
        <v>1334</v>
      </c>
      <c r="T1067" s="24" t="s">
        <v>1334</v>
      </c>
      <c r="U1067" s="53"/>
      <c r="V1067" s="25">
        <f>IFERROR(VLOOKUP(BCP_Soles[[#This Row],[destinatario]],CHOOSE({1,2},Clientes_Proveedores[Razon Social],Clientes_Proveedores[Ruc / Dni]),2,0),"")</f>
        <v>20609155303</v>
      </c>
      <c r="W1067" s="25" t="s">
        <v>1896</v>
      </c>
      <c r="X1067" s="25" t="s">
        <v>2456</v>
      </c>
      <c r="Y1067" s="25"/>
      <c r="Z1067" s="75"/>
      <c r="AA1067" s="3" t="str">
        <f>IF(BCP_Soles[[#This Row],[fecha]]&gt;0,TEXT(BCP_Soles[[#This Row],[fecha]],"mmmm"),0)</f>
        <v>Marzo</v>
      </c>
    </row>
    <row r="1068" spans="1:27" ht="24" x14ac:dyDescent="0.3">
      <c r="A1068" s="2">
        <f>IF(BCP_Soles[[#This Row],[tipo_registro]]="R",COUNTIFS($C$1:$C1067,"R")+1,A1067)</f>
        <v>793</v>
      </c>
      <c r="B1068" s="19" t="str">
        <f t="shared" si="91"/>
        <v>B-BCP - Soles</v>
      </c>
      <c r="C1068" s="3" t="s">
        <v>1330</v>
      </c>
      <c r="D1068" s="14">
        <v>45744</v>
      </c>
      <c r="E1068" s="5" t="s">
        <v>1338</v>
      </c>
      <c r="F1068" s="5" t="s">
        <v>1336</v>
      </c>
      <c r="G1068" s="6" t="s">
        <v>583</v>
      </c>
      <c r="H1068" s="6" t="s">
        <v>68</v>
      </c>
      <c r="I1068" s="6" t="s">
        <v>1376</v>
      </c>
      <c r="J1068" s="6">
        <v>729</v>
      </c>
      <c r="K1068" s="7" t="s">
        <v>2457</v>
      </c>
      <c r="L1068" s="8">
        <v>1131441</v>
      </c>
      <c r="M1068" s="8" t="str">
        <f t="shared" si="92"/>
        <v>PEN</v>
      </c>
      <c r="N1068" s="13"/>
      <c r="O1068" s="13">
        <v>300</v>
      </c>
      <c r="P1068" s="3">
        <f t="shared" si="93"/>
        <v>0</v>
      </c>
      <c r="Q1068" s="3">
        <f t="shared" si="94"/>
        <v>300</v>
      </c>
      <c r="R1068" s="3">
        <f t="shared" si="90"/>
        <v>102193.63999999997</v>
      </c>
      <c r="S1068" s="24" t="s">
        <v>1334</v>
      </c>
      <c r="T1068" s="24" t="s">
        <v>1334</v>
      </c>
      <c r="U1068" s="53"/>
      <c r="V1068" s="25">
        <f>IFERROR(VLOOKUP(BCP_Soles[[#This Row],[destinatario]],CHOOSE({1,2},Clientes_Proveedores[Razon Social],Clientes_Proveedores[Ruc / Dni]),2,0),"")</f>
        <v>20609155303</v>
      </c>
      <c r="W1068" s="25" t="s">
        <v>1896</v>
      </c>
      <c r="X1068" s="25" t="s">
        <v>2458</v>
      </c>
      <c r="Y1068" s="25"/>
      <c r="Z1068" s="75"/>
      <c r="AA1068" s="3" t="str">
        <f>IF(BCP_Soles[[#This Row],[fecha]]&gt;0,TEXT(BCP_Soles[[#This Row],[fecha]],"mmmm"),0)</f>
        <v>Marzo</v>
      </c>
    </row>
    <row r="1069" spans="1:27" ht="36" x14ac:dyDescent="0.3">
      <c r="A1069" s="2">
        <f>IF(BCP_Soles[[#This Row],[tipo_registro]]="R",COUNTIFS($C$1:$C1068,"R")+1,A1068)</f>
        <v>794</v>
      </c>
      <c r="B1069" s="19" t="str">
        <f t="shared" si="91"/>
        <v>B-BCP - Soles</v>
      </c>
      <c r="C1069" s="3" t="s">
        <v>1330</v>
      </c>
      <c r="D1069" s="14">
        <v>45744</v>
      </c>
      <c r="E1069" s="5" t="s">
        <v>2269</v>
      </c>
      <c r="F1069" s="5" t="s">
        <v>1336</v>
      </c>
      <c r="G1069" s="6" t="s">
        <v>683</v>
      </c>
      <c r="H1069" s="6" t="s">
        <v>68</v>
      </c>
      <c r="I1069" s="6" t="s">
        <v>1374</v>
      </c>
      <c r="J1069" s="6">
        <v>2108</v>
      </c>
      <c r="K1069" s="7" t="s">
        <v>2459</v>
      </c>
      <c r="L1069" s="8">
        <v>1129467</v>
      </c>
      <c r="M1069" s="8" t="str">
        <f t="shared" si="92"/>
        <v>PEN</v>
      </c>
      <c r="N1069" s="13"/>
      <c r="O1069" s="13">
        <v>298</v>
      </c>
      <c r="P1069" s="3">
        <f t="shared" si="93"/>
        <v>0</v>
      </c>
      <c r="Q1069" s="3">
        <f t="shared" si="94"/>
        <v>298</v>
      </c>
      <c r="R1069" s="3">
        <f t="shared" si="90"/>
        <v>101895.63999999997</v>
      </c>
      <c r="S1069" s="24" t="s">
        <v>1334</v>
      </c>
      <c r="T1069" s="24" t="s">
        <v>1334</v>
      </c>
      <c r="U1069" s="53"/>
      <c r="V1069" s="25">
        <f>IFERROR(VLOOKUP(BCP_Soles[[#This Row],[destinatario]],CHOOSE({1,2},Clientes_Proveedores[Razon Social],Clientes_Proveedores[Ruc / Dni]),2,0),"")</f>
        <v>20512528458</v>
      </c>
      <c r="W1069" s="25" t="s">
        <v>1998</v>
      </c>
      <c r="X1069" s="25" t="s">
        <v>2460</v>
      </c>
      <c r="Y1069" s="25"/>
      <c r="Z1069" s="75"/>
      <c r="AA1069" s="3" t="str">
        <f>IF(BCP_Soles[[#This Row],[fecha]]&gt;0,TEXT(BCP_Soles[[#This Row],[fecha]],"mmmm"),0)</f>
        <v>Marzo</v>
      </c>
    </row>
    <row r="1070" spans="1:27" ht="24" x14ac:dyDescent="0.3">
      <c r="A1070" s="2">
        <f>IF(BCP_Soles[[#This Row],[tipo_registro]]="R",COUNTIFS($C$1:$C1069,"R")+1,A1069)</f>
        <v>795</v>
      </c>
      <c r="B1070" s="19" t="str">
        <f t="shared" si="91"/>
        <v>B-BCP - Soles</v>
      </c>
      <c r="C1070" s="3" t="s">
        <v>1330</v>
      </c>
      <c r="D1070" s="14">
        <v>45744</v>
      </c>
      <c r="E1070" s="5" t="s">
        <v>2269</v>
      </c>
      <c r="F1070" s="5" t="s">
        <v>1336</v>
      </c>
      <c r="G1070" s="6" t="s">
        <v>857</v>
      </c>
      <c r="H1070" s="6" t="s">
        <v>143</v>
      </c>
      <c r="I1070" s="6">
        <v>1</v>
      </c>
      <c r="J1070" s="6">
        <v>362025</v>
      </c>
      <c r="K1070" s="7" t="s">
        <v>2461</v>
      </c>
      <c r="L1070" s="8">
        <v>1287271</v>
      </c>
      <c r="M1070" s="8" t="str">
        <f t="shared" si="92"/>
        <v>PEN</v>
      </c>
      <c r="N1070" s="13"/>
      <c r="O1070" s="13">
        <v>268</v>
      </c>
      <c r="P1070" s="3">
        <f t="shared" si="93"/>
        <v>0</v>
      </c>
      <c r="Q1070" s="3">
        <f t="shared" si="94"/>
        <v>268</v>
      </c>
      <c r="R1070" s="3">
        <f t="shared" si="90"/>
        <v>101627.63999999997</v>
      </c>
      <c r="S1070" s="24" t="s">
        <v>1334</v>
      </c>
      <c r="T1070" s="24" t="s">
        <v>1334</v>
      </c>
      <c r="U1070" s="53"/>
      <c r="V1070" s="25">
        <f>IFERROR(VLOOKUP(BCP_Soles[[#This Row],[destinatario]],CHOOSE({1,2},Clientes_Proveedores[Razon Social],Clientes_Proveedores[Ruc / Dni]),2,0),"")</f>
        <v>70666331</v>
      </c>
      <c r="W1070" s="25"/>
      <c r="X1070" s="25"/>
      <c r="Y1070" s="25"/>
      <c r="Z1070" s="75"/>
      <c r="AA1070" s="3" t="str">
        <f>IF(BCP_Soles[[#This Row],[fecha]]&gt;0,TEXT(BCP_Soles[[#This Row],[fecha]],"mmmm"),0)</f>
        <v>Marzo</v>
      </c>
    </row>
    <row r="1071" spans="1:27" ht="36" x14ac:dyDescent="0.3">
      <c r="A1071" s="2">
        <f>IF(BCP_Soles[[#This Row],[tipo_registro]]="R",COUNTIFS($C$1:$C1070,"R")+1,A1070)</f>
        <v>796</v>
      </c>
      <c r="B1071" s="19" t="str">
        <f t="shared" si="91"/>
        <v>B-BCP - Soles</v>
      </c>
      <c r="C1071" s="3" t="s">
        <v>1330</v>
      </c>
      <c r="D1071" s="14">
        <v>45744</v>
      </c>
      <c r="E1071" s="5" t="s">
        <v>2269</v>
      </c>
      <c r="F1071" s="5" t="s">
        <v>1336</v>
      </c>
      <c r="G1071" s="6" t="s">
        <v>683</v>
      </c>
      <c r="H1071" s="6" t="s">
        <v>68</v>
      </c>
      <c r="I1071" s="6" t="s">
        <v>1374</v>
      </c>
      <c r="J1071" s="6">
        <v>2105</v>
      </c>
      <c r="K1071" s="7" t="s">
        <v>2462</v>
      </c>
      <c r="L1071" s="8">
        <v>1132514</v>
      </c>
      <c r="M1071" s="8" t="str">
        <f t="shared" si="92"/>
        <v>PEN</v>
      </c>
      <c r="N1071" s="13"/>
      <c r="O1071" s="13">
        <v>120</v>
      </c>
      <c r="P1071" s="3">
        <f t="shared" si="93"/>
        <v>0</v>
      </c>
      <c r="Q1071" s="3">
        <f t="shared" si="94"/>
        <v>120</v>
      </c>
      <c r="R1071" s="3">
        <f t="shared" si="90"/>
        <v>101507.63999999997</v>
      </c>
      <c r="S1071" s="24" t="s">
        <v>1334</v>
      </c>
      <c r="T1071" s="24" t="s">
        <v>1334</v>
      </c>
      <c r="U1071" s="53"/>
      <c r="V1071" s="25">
        <f>IFERROR(VLOOKUP(BCP_Soles[[#This Row],[destinatario]],CHOOSE({1,2},Clientes_Proveedores[Razon Social],Clientes_Proveedores[Ruc / Dni]),2,0),"")</f>
        <v>20512528458</v>
      </c>
      <c r="W1071" s="25" t="s">
        <v>1998</v>
      </c>
      <c r="X1071" s="25" t="s">
        <v>2463</v>
      </c>
      <c r="Y1071" s="25"/>
      <c r="Z1071" s="75"/>
      <c r="AA1071" s="3" t="str">
        <f>IF(BCP_Soles[[#This Row],[fecha]]&gt;0,TEXT(BCP_Soles[[#This Row],[fecha]],"mmmm"),0)</f>
        <v>Marzo</v>
      </c>
    </row>
    <row r="1072" spans="1:27" ht="24" x14ac:dyDescent="0.3">
      <c r="A1072" s="2">
        <f>IF(BCP_Soles[[#This Row],[tipo_registro]]="R",COUNTIFS($C$1:$C1071,"R")+1,A1071)</f>
        <v>797</v>
      </c>
      <c r="B1072" s="19" t="str">
        <f t="shared" si="91"/>
        <v>B-BCP - Soles</v>
      </c>
      <c r="C1072" s="3" t="s">
        <v>1330</v>
      </c>
      <c r="D1072" s="14">
        <v>45744</v>
      </c>
      <c r="E1072" s="5" t="s">
        <v>2269</v>
      </c>
      <c r="F1072" s="5" t="s">
        <v>1336</v>
      </c>
      <c r="G1072" s="6" t="s">
        <v>723</v>
      </c>
      <c r="H1072" s="6" t="s">
        <v>68</v>
      </c>
      <c r="I1072" s="6" t="s">
        <v>1374</v>
      </c>
      <c r="J1072" s="6">
        <v>1001</v>
      </c>
      <c r="K1072" s="7" t="s">
        <v>2464</v>
      </c>
      <c r="L1072" s="8">
        <v>1130456</v>
      </c>
      <c r="M1072" s="8" t="str">
        <f t="shared" si="92"/>
        <v>PEN</v>
      </c>
      <c r="N1072" s="13"/>
      <c r="O1072" s="13">
        <v>84</v>
      </c>
      <c r="P1072" s="3">
        <f t="shared" si="93"/>
        <v>0</v>
      </c>
      <c r="Q1072" s="3">
        <f t="shared" si="94"/>
        <v>84</v>
      </c>
      <c r="R1072" s="3">
        <f t="shared" si="90"/>
        <v>101423.63999999997</v>
      </c>
      <c r="S1072" s="24" t="s">
        <v>1334</v>
      </c>
      <c r="T1072" s="24" t="s">
        <v>1334</v>
      </c>
      <c r="U1072" s="53"/>
      <c r="V1072" s="25">
        <f>IFERROR(VLOOKUP(BCP_Soles[[#This Row],[destinatario]],CHOOSE({1,2},Clientes_Proveedores[Razon Social],Clientes_Proveedores[Ruc / Dni]),2,0),"")</f>
        <v>20613579941</v>
      </c>
      <c r="W1072" s="25" t="s">
        <v>2453</v>
      </c>
      <c r="X1072" s="25" t="s">
        <v>2465</v>
      </c>
      <c r="Y1072" s="25"/>
      <c r="Z1072" s="75"/>
      <c r="AA1072" s="3" t="str">
        <f>IF(BCP_Soles[[#This Row],[fecha]]&gt;0,TEXT(BCP_Soles[[#This Row],[fecha]],"mmmm"),0)</f>
        <v>Marzo</v>
      </c>
    </row>
    <row r="1073" spans="1:27" ht="36" x14ac:dyDescent="0.3">
      <c r="A1073" s="2">
        <f>IF(BCP_Soles[[#This Row],[tipo_registro]]="R",COUNTIFS($C$1:$C1072,"R")+1,A1072)</f>
        <v>798</v>
      </c>
      <c r="B1073" s="19" t="str">
        <f t="shared" si="91"/>
        <v>B-BCP - Soles</v>
      </c>
      <c r="C1073" s="3" t="s">
        <v>1330</v>
      </c>
      <c r="D1073" s="14">
        <v>45744</v>
      </c>
      <c r="E1073" s="5" t="s">
        <v>2269</v>
      </c>
      <c r="F1073" s="5" t="s">
        <v>1336</v>
      </c>
      <c r="G1073" s="6" t="s">
        <v>683</v>
      </c>
      <c r="H1073" s="6" t="s">
        <v>68</v>
      </c>
      <c r="I1073" s="6" t="s">
        <v>1374</v>
      </c>
      <c r="J1073" s="6">
        <v>2106</v>
      </c>
      <c r="K1073" s="7" t="s">
        <v>2466</v>
      </c>
      <c r="L1073" s="8">
        <v>1131938</v>
      </c>
      <c r="M1073" s="8" t="str">
        <f t="shared" si="92"/>
        <v>PEN</v>
      </c>
      <c r="N1073" s="13"/>
      <c r="O1073" s="13">
        <v>46</v>
      </c>
      <c r="P1073" s="3">
        <f t="shared" si="93"/>
        <v>0</v>
      </c>
      <c r="Q1073" s="3">
        <f t="shared" si="94"/>
        <v>46</v>
      </c>
      <c r="R1073" s="3">
        <f t="shared" si="90"/>
        <v>101377.63999999997</v>
      </c>
      <c r="S1073" s="24" t="s">
        <v>1334</v>
      </c>
      <c r="T1073" s="24" t="s">
        <v>1334</v>
      </c>
      <c r="U1073" s="53"/>
      <c r="V1073" s="25">
        <f>IFERROR(VLOOKUP(BCP_Soles[[#This Row],[destinatario]],CHOOSE({1,2},Clientes_Proveedores[Razon Social],Clientes_Proveedores[Ruc / Dni]),2,0),"")</f>
        <v>20512528458</v>
      </c>
      <c r="W1073" s="25" t="s">
        <v>1998</v>
      </c>
      <c r="X1073" s="25" t="s">
        <v>2467</v>
      </c>
      <c r="Y1073" s="25"/>
      <c r="Z1073" s="75"/>
      <c r="AA1073" s="3" t="str">
        <f>IF(BCP_Soles[[#This Row],[fecha]]&gt;0,TEXT(BCP_Soles[[#This Row],[fecha]],"mmmm"),0)</f>
        <v>Marzo</v>
      </c>
    </row>
    <row r="1074" spans="1:27" ht="24" x14ac:dyDescent="0.3">
      <c r="A1074" s="2">
        <f>IF(BCP_Soles[[#This Row],[tipo_registro]]="R",COUNTIFS($C$1:$C1073,"R")+1,A1073)</f>
        <v>799</v>
      </c>
      <c r="B1074" s="19" t="str">
        <f t="shared" si="91"/>
        <v>B-BCP - Soles</v>
      </c>
      <c r="C1074" s="3" t="s">
        <v>1330</v>
      </c>
      <c r="D1074" s="14">
        <v>45744</v>
      </c>
      <c r="E1074" s="5" t="s">
        <v>2269</v>
      </c>
      <c r="F1074" s="5" t="s">
        <v>1336</v>
      </c>
      <c r="G1074" s="6" t="s">
        <v>708</v>
      </c>
      <c r="H1074" s="6" t="s">
        <v>68</v>
      </c>
      <c r="I1074" s="6" t="s">
        <v>1655</v>
      </c>
      <c r="J1074" s="6">
        <v>273333</v>
      </c>
      <c r="K1074" s="7" t="s">
        <v>2468</v>
      </c>
      <c r="L1074" s="8">
        <v>284846</v>
      </c>
      <c r="M1074" s="8" t="str">
        <f t="shared" si="92"/>
        <v>PEN</v>
      </c>
      <c r="N1074" s="13"/>
      <c r="O1074" s="13">
        <v>30.68</v>
      </c>
      <c r="P1074" s="3">
        <f t="shared" si="93"/>
        <v>0</v>
      </c>
      <c r="Q1074" s="3">
        <f t="shared" si="94"/>
        <v>30.68</v>
      </c>
      <c r="R1074" s="3">
        <f t="shared" si="90"/>
        <v>101346.95999999998</v>
      </c>
      <c r="S1074" s="24"/>
      <c r="T1074" s="24" t="s">
        <v>1334</v>
      </c>
      <c r="U1074" s="53"/>
      <c r="V1074" s="25">
        <f>IFERROR(VLOOKUP(BCP_Soles[[#This Row],[destinatario]],CHOOSE({1,2},Clientes_Proveedores[Razon Social],Clientes_Proveedores[Ruc / Dni]),2,0),"")</f>
        <v>20467534026</v>
      </c>
      <c r="W1074" s="25" t="s">
        <v>1657</v>
      </c>
      <c r="X1074" s="25" t="s">
        <v>2469</v>
      </c>
      <c r="Y1074" s="25"/>
      <c r="Z1074" s="75"/>
      <c r="AA1074" s="3" t="str">
        <f>IF(BCP_Soles[[#This Row],[fecha]]&gt;0,TEXT(BCP_Soles[[#This Row],[fecha]],"mmmm"),0)</f>
        <v>Marzo</v>
      </c>
    </row>
    <row r="1075" spans="1:27" x14ac:dyDescent="0.3">
      <c r="A1075" s="2">
        <f>IF(BCP_Soles[[#This Row],[tipo_registro]]="R",COUNTIFS($C$1:$C1074,"R")+1,A1074)</f>
        <v>800</v>
      </c>
      <c r="B1075" s="19" t="str">
        <f t="shared" si="91"/>
        <v>B-BCP - Soles</v>
      </c>
      <c r="C1075" s="3" t="s">
        <v>1330</v>
      </c>
      <c r="D1075" s="14">
        <v>45744</v>
      </c>
      <c r="E1075" s="5" t="s">
        <v>286</v>
      </c>
      <c r="F1075" s="5" t="s">
        <v>1303</v>
      </c>
      <c r="G1075" s="6" t="s">
        <v>425</v>
      </c>
      <c r="H1075" s="6"/>
      <c r="I1075" s="6"/>
      <c r="J1075" s="6"/>
      <c r="K1075" s="7" t="s">
        <v>1382</v>
      </c>
      <c r="L1075" s="8">
        <v>6233</v>
      </c>
      <c r="M1075" s="8" t="str">
        <f t="shared" si="92"/>
        <v>PEN</v>
      </c>
      <c r="N1075" s="13"/>
      <c r="O1075" s="13">
        <v>2111.91</v>
      </c>
      <c r="P1075" s="3">
        <f t="shared" si="93"/>
        <v>2111.91</v>
      </c>
      <c r="Q1075" s="3">
        <f t="shared" si="94"/>
        <v>0</v>
      </c>
      <c r="R1075" s="3">
        <f t="shared" si="90"/>
        <v>103458.86999999998</v>
      </c>
      <c r="S1075" s="24" t="s">
        <v>1334</v>
      </c>
      <c r="T1075" s="24" t="s">
        <v>1334</v>
      </c>
      <c r="U1075" s="53"/>
      <c r="V1075" s="25">
        <f>IFERROR(VLOOKUP(BCP_Soles[[#This Row],[destinatario]],CHOOSE({1,2},Clientes_Proveedores[Razon Social],Clientes_Proveedores[Ruc / Dni]),2,0),"")</f>
        <v>20558226979</v>
      </c>
      <c r="W1075" s="25" t="s">
        <v>1345</v>
      </c>
      <c r="X1075" s="25" t="s">
        <v>2470</v>
      </c>
      <c r="Y1075" s="25"/>
      <c r="Z1075" s="75"/>
      <c r="AA1075" s="3" t="str">
        <f>IF(BCP_Soles[[#This Row],[fecha]]&gt;0,TEXT(BCP_Soles[[#This Row],[fecha]],"mmmm"),0)</f>
        <v>Marzo</v>
      </c>
    </row>
    <row r="1076" spans="1:27" ht="36" x14ac:dyDescent="0.3">
      <c r="A1076" s="2">
        <f>IF(BCP_Soles[[#This Row],[tipo_registro]]="R",COUNTIFS($C$1:$C1075,"R")+1,A1075)</f>
        <v>801</v>
      </c>
      <c r="B1076" s="19" t="str">
        <f t="shared" si="91"/>
        <v>B-BCP - Soles</v>
      </c>
      <c r="C1076" s="3" t="s">
        <v>1330</v>
      </c>
      <c r="D1076" s="14">
        <v>45744</v>
      </c>
      <c r="E1076" s="5" t="s">
        <v>237</v>
      </c>
      <c r="F1076" s="5" t="s">
        <v>1303</v>
      </c>
      <c r="G1076" s="6" t="s">
        <v>425</v>
      </c>
      <c r="H1076" s="6"/>
      <c r="I1076" s="6"/>
      <c r="J1076" s="6"/>
      <c r="K1076" s="7" t="s">
        <v>1546</v>
      </c>
      <c r="L1076" s="8">
        <v>10375</v>
      </c>
      <c r="M1076" s="8" t="str">
        <f t="shared" si="92"/>
        <v>PEN</v>
      </c>
      <c r="N1076" s="13"/>
      <c r="O1076" s="13">
        <v>1285.8399999999999</v>
      </c>
      <c r="P1076" s="3">
        <f t="shared" si="93"/>
        <v>1285.8399999999999</v>
      </c>
      <c r="Q1076" s="3">
        <f t="shared" si="94"/>
        <v>0</v>
      </c>
      <c r="R1076" s="3">
        <f t="shared" si="90"/>
        <v>104744.70999999998</v>
      </c>
      <c r="S1076" s="24" t="s">
        <v>1334</v>
      </c>
      <c r="T1076" s="24" t="s">
        <v>1334</v>
      </c>
      <c r="U1076" s="53"/>
      <c r="V1076" s="25">
        <f>IFERROR(VLOOKUP(BCP_Soles[[#This Row],[destinatario]],CHOOSE({1,2},Clientes_Proveedores[Razon Social],Clientes_Proveedores[Ruc / Dni]),2,0),"")</f>
        <v>20558226979</v>
      </c>
      <c r="W1076" s="25" t="s">
        <v>1345</v>
      </c>
      <c r="X1076" s="25" t="s">
        <v>2471</v>
      </c>
      <c r="Y1076" s="25"/>
      <c r="Z1076" s="75"/>
      <c r="AA1076" s="3" t="str">
        <f>IF(BCP_Soles[[#This Row],[fecha]]&gt;0,TEXT(BCP_Soles[[#This Row],[fecha]],"mmmm"),0)</f>
        <v>Marzo</v>
      </c>
    </row>
    <row r="1077" spans="1:27" ht="36" x14ac:dyDescent="0.3">
      <c r="A1077" s="2">
        <f>IF(BCP_Soles[[#This Row],[tipo_registro]]="R",COUNTIFS($C$1:$C1076,"R")+1,A1076)</f>
        <v>802</v>
      </c>
      <c r="B1077" s="19" t="str">
        <f t="shared" si="91"/>
        <v>B-BCP - Soles</v>
      </c>
      <c r="C1077" s="3" t="s">
        <v>1330</v>
      </c>
      <c r="D1077" s="14">
        <v>45744</v>
      </c>
      <c r="E1077" s="5" t="s">
        <v>237</v>
      </c>
      <c r="F1077" s="5" t="s">
        <v>1303</v>
      </c>
      <c r="G1077" s="6" t="s">
        <v>425</v>
      </c>
      <c r="H1077" s="6"/>
      <c r="I1077" s="6"/>
      <c r="J1077" s="6"/>
      <c r="K1077" s="7" t="s">
        <v>1546</v>
      </c>
      <c r="L1077" s="8">
        <v>10889</v>
      </c>
      <c r="M1077" s="8" t="str">
        <f t="shared" si="92"/>
        <v>PEN</v>
      </c>
      <c r="N1077" s="13"/>
      <c r="O1077" s="13">
        <v>692.66</v>
      </c>
      <c r="P1077" s="3">
        <f t="shared" si="93"/>
        <v>692.66</v>
      </c>
      <c r="Q1077" s="3">
        <f t="shared" si="94"/>
        <v>0</v>
      </c>
      <c r="R1077" s="3">
        <f t="shared" si="90"/>
        <v>105437.36999999998</v>
      </c>
      <c r="S1077" s="24" t="s">
        <v>1334</v>
      </c>
      <c r="T1077" s="24" t="s">
        <v>1334</v>
      </c>
      <c r="U1077" s="53"/>
      <c r="V1077" s="25">
        <f>IFERROR(VLOOKUP(BCP_Soles[[#This Row],[destinatario]],CHOOSE({1,2},Clientes_Proveedores[Razon Social],Clientes_Proveedores[Ruc / Dni]),2,0),"")</f>
        <v>20558226979</v>
      </c>
      <c r="W1077" s="25" t="s">
        <v>1345</v>
      </c>
      <c r="X1077" s="25" t="s">
        <v>2472</v>
      </c>
      <c r="Y1077" s="25"/>
      <c r="Z1077" s="75"/>
      <c r="AA1077" s="3" t="str">
        <f>IF(BCP_Soles[[#This Row],[fecha]]&gt;0,TEXT(BCP_Soles[[#This Row],[fecha]],"mmmm"),0)</f>
        <v>Marzo</v>
      </c>
    </row>
    <row r="1078" spans="1:27" ht="24" x14ac:dyDescent="0.3">
      <c r="A1078" s="2">
        <f>IF(BCP_Soles[[#This Row],[tipo_registro]]="R",COUNTIFS($C$1:$C1077,"R")+1,A1077)</f>
        <v>803</v>
      </c>
      <c r="B1078" s="19" t="str">
        <f t="shared" si="91"/>
        <v>B-BCP - Soles</v>
      </c>
      <c r="C1078" s="3" t="s">
        <v>1330</v>
      </c>
      <c r="D1078" s="14">
        <v>45744</v>
      </c>
      <c r="E1078" s="5" t="s">
        <v>212</v>
      </c>
      <c r="F1078" s="5" t="s">
        <v>1303</v>
      </c>
      <c r="G1078" s="6" t="s">
        <v>425</v>
      </c>
      <c r="H1078" s="6"/>
      <c r="I1078" s="6"/>
      <c r="J1078" s="6"/>
      <c r="K1078" s="7" t="s">
        <v>2473</v>
      </c>
      <c r="L1078" s="8">
        <v>7902654</v>
      </c>
      <c r="M1078" s="8" t="str">
        <f t="shared" si="92"/>
        <v>PEN</v>
      </c>
      <c r="N1078" s="13"/>
      <c r="O1078" s="13">
        <v>246.15</v>
      </c>
      <c r="P1078" s="3">
        <f t="shared" si="93"/>
        <v>246.15</v>
      </c>
      <c r="Q1078" s="3">
        <f t="shared" si="94"/>
        <v>0</v>
      </c>
      <c r="R1078" s="3">
        <f t="shared" si="90"/>
        <v>105683.51999999997</v>
      </c>
      <c r="S1078" s="24" t="s">
        <v>1334</v>
      </c>
      <c r="T1078" s="24" t="s">
        <v>1334</v>
      </c>
      <c r="U1078" s="53"/>
      <c r="V1078" s="25">
        <f>IFERROR(VLOOKUP(BCP_Soles[[#This Row],[destinatario]],CHOOSE({1,2},Clientes_Proveedores[Razon Social],Clientes_Proveedores[Ruc / Dni]),2,0),"")</f>
        <v>20558226979</v>
      </c>
      <c r="W1078" s="25" t="s">
        <v>1345</v>
      </c>
      <c r="X1078" s="25" t="s">
        <v>1862</v>
      </c>
      <c r="Y1078" s="25"/>
      <c r="Z1078" s="75"/>
      <c r="AA1078" s="3" t="str">
        <f>IF(BCP_Soles[[#This Row],[fecha]]&gt;0,TEXT(BCP_Soles[[#This Row],[fecha]],"mmmm"),0)</f>
        <v>Marzo</v>
      </c>
    </row>
    <row r="1079" spans="1:27" ht="24" x14ac:dyDescent="0.3">
      <c r="A1079" s="2">
        <f>IF(BCP_Soles[[#This Row],[tipo_registro]]="R",COUNTIFS($C$1:$C1078,"R")+1,A1078)</f>
        <v>804</v>
      </c>
      <c r="B1079" s="19" t="str">
        <f t="shared" si="91"/>
        <v>B-BCP - Soles</v>
      </c>
      <c r="C1079" s="3" t="s">
        <v>1330</v>
      </c>
      <c r="D1079" s="14">
        <v>45745</v>
      </c>
      <c r="E1079" s="5" t="s">
        <v>1421</v>
      </c>
      <c r="F1079" s="5" t="s">
        <v>1336</v>
      </c>
      <c r="G1079" s="6" t="s">
        <v>809</v>
      </c>
      <c r="H1079" s="6" t="s">
        <v>143</v>
      </c>
      <c r="I1079" s="6">
        <v>1</v>
      </c>
      <c r="J1079" s="6">
        <v>782025</v>
      </c>
      <c r="K1079" s="7" t="s">
        <v>1356</v>
      </c>
      <c r="L1079" s="8">
        <v>3980061</v>
      </c>
      <c r="M1079" s="8" t="str">
        <f t="shared" si="92"/>
        <v>PEN</v>
      </c>
      <c r="N1079" s="13"/>
      <c r="O1079" s="13">
        <v>2000</v>
      </c>
      <c r="P1079" s="3">
        <f t="shared" si="93"/>
        <v>0</v>
      </c>
      <c r="Q1079" s="3">
        <f t="shared" si="94"/>
        <v>2000</v>
      </c>
      <c r="R1079" s="3">
        <f t="shared" si="90"/>
        <v>103683.51999999997</v>
      </c>
      <c r="S1079" s="24"/>
      <c r="T1079" s="24" t="s">
        <v>1334</v>
      </c>
      <c r="U1079" s="53"/>
      <c r="V1079" s="25">
        <f>IFERROR(VLOOKUP(BCP_Soles[[#This Row],[destinatario]],CHOOSE({1,2},Clientes_Proveedores[Razon Social],Clientes_Proveedores[Ruc / Dni]),2,0),"")</f>
        <v>45286301</v>
      </c>
      <c r="W1079" s="25"/>
      <c r="X1079" s="25" t="s">
        <v>1430</v>
      </c>
      <c r="Y1079" s="25"/>
      <c r="Z1079" s="75"/>
      <c r="AA1079" s="3" t="str">
        <f>IF(BCP_Soles[[#This Row],[fecha]]&gt;0,TEXT(BCP_Soles[[#This Row],[fecha]],"mmmm"),0)</f>
        <v>Marzo</v>
      </c>
    </row>
    <row r="1080" spans="1:27" ht="24" x14ac:dyDescent="0.3">
      <c r="A1080" s="2">
        <f>IF(BCP_Soles[[#This Row],[tipo_registro]]="R",COUNTIFS($C$1:$C1079,"R")+1,A1079)</f>
        <v>805</v>
      </c>
      <c r="B1080" s="19" t="str">
        <f t="shared" si="91"/>
        <v>B-BCP - Soles</v>
      </c>
      <c r="C1080" s="3" t="s">
        <v>1330</v>
      </c>
      <c r="D1080" s="14">
        <v>45745</v>
      </c>
      <c r="E1080" s="5" t="s">
        <v>462</v>
      </c>
      <c r="F1080" s="5" t="s">
        <v>1303</v>
      </c>
      <c r="G1080" s="6" t="s">
        <v>425</v>
      </c>
      <c r="H1080" s="6"/>
      <c r="I1080" s="6"/>
      <c r="J1080" s="6"/>
      <c r="K1080" s="7" t="s">
        <v>1356</v>
      </c>
      <c r="L1080" s="8">
        <v>1825550</v>
      </c>
      <c r="M1080" s="8" t="str">
        <f t="shared" si="92"/>
        <v>PEN</v>
      </c>
      <c r="N1080" s="13"/>
      <c r="O1080" s="13">
        <v>801.49</v>
      </c>
      <c r="P1080" s="3">
        <f t="shared" si="93"/>
        <v>801.49</v>
      </c>
      <c r="Q1080" s="3">
        <f t="shared" si="94"/>
        <v>0</v>
      </c>
      <c r="R1080" s="3">
        <f t="shared" si="90"/>
        <v>104485.00999999998</v>
      </c>
      <c r="S1080" s="24" t="s">
        <v>1334</v>
      </c>
      <c r="T1080" s="24" t="s">
        <v>1334</v>
      </c>
      <c r="U1080" s="53"/>
      <c r="V1080" s="25">
        <f>IFERROR(VLOOKUP(BCP_Soles[[#This Row],[destinatario]],CHOOSE({1,2},Clientes_Proveedores[Razon Social],Clientes_Proveedores[Ruc / Dni]),2,0),"")</f>
        <v>20558226979</v>
      </c>
      <c r="W1080" s="25" t="s">
        <v>1345</v>
      </c>
      <c r="X1080" s="25" t="s">
        <v>2474</v>
      </c>
      <c r="Y1080" s="25"/>
      <c r="Z1080" s="75"/>
      <c r="AA1080" s="3" t="str">
        <f>IF(BCP_Soles[[#This Row],[fecha]]&gt;0,TEXT(BCP_Soles[[#This Row],[fecha]],"mmmm"),0)</f>
        <v>Marzo</v>
      </c>
    </row>
    <row r="1081" spans="1:27" ht="36" x14ac:dyDescent="0.3">
      <c r="A1081" s="2">
        <f>IF(BCP_Soles[[#This Row],[tipo_registro]]="R",COUNTIFS($C$1:$C1080,"R")+1,A1080)</f>
        <v>806</v>
      </c>
      <c r="B1081" s="19" t="str">
        <f t="shared" si="91"/>
        <v>B-BCP - Soles</v>
      </c>
      <c r="C1081" s="3" t="s">
        <v>1330</v>
      </c>
      <c r="D1081" s="14">
        <v>45745</v>
      </c>
      <c r="E1081" s="5" t="s">
        <v>660</v>
      </c>
      <c r="F1081" s="5" t="s">
        <v>1303</v>
      </c>
      <c r="G1081" s="6" t="s">
        <v>425</v>
      </c>
      <c r="H1081" s="6"/>
      <c r="I1081" s="6"/>
      <c r="J1081" s="6"/>
      <c r="K1081" s="7" t="s">
        <v>1356</v>
      </c>
      <c r="L1081" s="8">
        <v>4650714</v>
      </c>
      <c r="M1081" s="8" t="str">
        <f t="shared" si="92"/>
        <v>PEN</v>
      </c>
      <c r="N1081" s="13"/>
      <c r="O1081" s="13">
        <v>660.8</v>
      </c>
      <c r="P1081" s="3">
        <f t="shared" si="93"/>
        <v>660.8</v>
      </c>
      <c r="Q1081" s="3">
        <f t="shared" si="94"/>
        <v>0</v>
      </c>
      <c r="R1081" s="3">
        <f t="shared" si="90"/>
        <v>105145.80999999998</v>
      </c>
      <c r="S1081" s="24" t="s">
        <v>1334</v>
      </c>
      <c r="T1081" s="24" t="s">
        <v>1334</v>
      </c>
      <c r="U1081" s="53"/>
      <c r="V1081" s="25">
        <f>IFERROR(VLOOKUP(BCP_Soles[[#This Row],[destinatario]],CHOOSE({1,2},Clientes_Proveedores[Razon Social],Clientes_Proveedores[Ruc / Dni]),2,0),"")</f>
        <v>20558226979</v>
      </c>
      <c r="W1081" s="25" t="s">
        <v>1345</v>
      </c>
      <c r="X1081" s="25" t="s">
        <v>2475</v>
      </c>
      <c r="Y1081" s="25"/>
      <c r="Z1081" s="75"/>
      <c r="AA1081" s="3" t="str">
        <f>IF(BCP_Soles[[#This Row],[fecha]]&gt;0,TEXT(BCP_Soles[[#This Row],[fecha]],"mmmm"),0)</f>
        <v>Marzo</v>
      </c>
    </row>
    <row r="1082" spans="1:27" ht="24" x14ac:dyDescent="0.3">
      <c r="A1082" s="2">
        <f>IF(BCP_Soles[[#This Row],[tipo_registro]]="R",COUNTIFS($C$1:$C1081,"R")+1,A1081)</f>
        <v>807</v>
      </c>
      <c r="B1082" s="19" t="str">
        <f t="shared" si="91"/>
        <v>B-BCP - Soles</v>
      </c>
      <c r="C1082" s="3" t="s">
        <v>1330</v>
      </c>
      <c r="D1082" s="14">
        <v>45745</v>
      </c>
      <c r="E1082" s="5" t="s">
        <v>462</v>
      </c>
      <c r="F1082" s="5" t="s">
        <v>1303</v>
      </c>
      <c r="G1082" s="6" t="s">
        <v>425</v>
      </c>
      <c r="H1082" s="6"/>
      <c r="I1082" s="6"/>
      <c r="J1082" s="6"/>
      <c r="K1082" s="7" t="s">
        <v>1356</v>
      </c>
      <c r="L1082" s="8">
        <v>1834420</v>
      </c>
      <c r="M1082" s="8" t="str">
        <f t="shared" si="92"/>
        <v>PEN</v>
      </c>
      <c r="N1082" s="13"/>
      <c r="O1082" s="13">
        <v>498.5</v>
      </c>
      <c r="P1082" s="3">
        <f t="shared" si="93"/>
        <v>498.5</v>
      </c>
      <c r="Q1082" s="3">
        <f t="shared" si="94"/>
        <v>0</v>
      </c>
      <c r="R1082" s="3">
        <f t="shared" si="90"/>
        <v>105644.30999999998</v>
      </c>
      <c r="S1082" s="24" t="s">
        <v>1334</v>
      </c>
      <c r="T1082" s="24" t="s">
        <v>1334</v>
      </c>
      <c r="U1082" s="53"/>
      <c r="V1082" s="25">
        <f>IFERROR(VLOOKUP(BCP_Soles[[#This Row],[destinatario]],CHOOSE({1,2},Clientes_Proveedores[Razon Social],Clientes_Proveedores[Ruc / Dni]),2,0),"")</f>
        <v>20558226979</v>
      </c>
      <c r="W1082" s="25" t="s">
        <v>1345</v>
      </c>
      <c r="X1082" s="25" t="s">
        <v>2476</v>
      </c>
      <c r="Y1082" s="25"/>
      <c r="Z1082" s="75"/>
      <c r="AA1082" s="3" t="str">
        <f>IF(BCP_Soles[[#This Row],[fecha]]&gt;0,TEXT(BCP_Soles[[#This Row],[fecha]],"mmmm"),0)</f>
        <v>Marzo</v>
      </c>
    </row>
    <row r="1083" spans="1:27" ht="24" x14ac:dyDescent="0.3">
      <c r="A1083" s="2">
        <f>IF(BCP_Soles[[#This Row],[tipo_registro]]="R",COUNTIFS($C$1:$C1082,"R")+1,A1082)</f>
        <v>808</v>
      </c>
      <c r="B1083" s="19" t="str">
        <f t="shared" si="91"/>
        <v>B-BCP - Soles</v>
      </c>
      <c r="C1083" s="3" t="s">
        <v>1330</v>
      </c>
      <c r="D1083" s="14">
        <v>45745</v>
      </c>
      <c r="E1083" s="5" t="s">
        <v>462</v>
      </c>
      <c r="F1083" s="5" t="s">
        <v>1303</v>
      </c>
      <c r="G1083" s="6" t="s">
        <v>425</v>
      </c>
      <c r="H1083" s="6"/>
      <c r="I1083" s="6"/>
      <c r="J1083" s="6"/>
      <c r="K1083" s="7" t="s">
        <v>1356</v>
      </c>
      <c r="L1083" s="8">
        <v>1819730</v>
      </c>
      <c r="M1083" s="8" t="str">
        <f t="shared" si="92"/>
        <v>PEN</v>
      </c>
      <c r="N1083" s="13"/>
      <c r="O1083" s="13">
        <v>448</v>
      </c>
      <c r="P1083" s="3">
        <f t="shared" si="93"/>
        <v>448</v>
      </c>
      <c r="Q1083" s="3">
        <f t="shared" si="94"/>
        <v>0</v>
      </c>
      <c r="R1083" s="3">
        <f t="shared" si="90"/>
        <v>106092.30999999998</v>
      </c>
      <c r="S1083" s="24" t="s">
        <v>1334</v>
      </c>
      <c r="T1083" s="24" t="s">
        <v>1334</v>
      </c>
      <c r="U1083" s="53"/>
      <c r="V1083" s="25">
        <f>IFERROR(VLOOKUP(BCP_Soles[[#This Row],[destinatario]],CHOOSE({1,2},Clientes_Proveedores[Razon Social],Clientes_Proveedores[Ruc / Dni]),2,0),"")</f>
        <v>20558226979</v>
      </c>
      <c r="W1083" s="25" t="s">
        <v>1345</v>
      </c>
      <c r="X1083" s="25" t="s">
        <v>2477</v>
      </c>
      <c r="Y1083" s="25"/>
      <c r="Z1083" s="75"/>
      <c r="AA1083" s="3" t="str">
        <f>IF(BCP_Soles[[#This Row],[fecha]]&gt;0,TEXT(BCP_Soles[[#This Row],[fecha]],"mmmm"),0)</f>
        <v>Marzo</v>
      </c>
    </row>
    <row r="1084" spans="1:27" x14ac:dyDescent="0.3">
      <c r="A1084" s="2">
        <f>IF(BCP_Soles[[#This Row],[tipo_registro]]="R",COUNTIFS($C$1:$C1083,"R")+1,A1083)</f>
        <v>809</v>
      </c>
      <c r="B1084" s="19" t="str">
        <f t="shared" si="91"/>
        <v>B-BCP - Soles</v>
      </c>
      <c r="C1084" s="3" t="s">
        <v>1330</v>
      </c>
      <c r="D1084" s="14">
        <v>45746</v>
      </c>
      <c r="E1084" s="5" t="s">
        <v>1335</v>
      </c>
      <c r="F1084" s="5" t="s">
        <v>1336</v>
      </c>
      <c r="G1084" s="6"/>
      <c r="H1084" s="6"/>
      <c r="I1084" s="6"/>
      <c r="J1084" s="6"/>
      <c r="K1084" s="7" t="s">
        <v>1337</v>
      </c>
      <c r="L1084" s="8"/>
      <c r="M1084" s="8" t="str">
        <f t="shared" si="92"/>
        <v>PEN</v>
      </c>
      <c r="N1084" s="13"/>
      <c r="O1084" s="13">
        <v>0.1</v>
      </c>
      <c r="P1084" s="3">
        <f t="shared" si="93"/>
        <v>0</v>
      </c>
      <c r="Q1084" s="3">
        <f t="shared" si="94"/>
        <v>0.1</v>
      </c>
      <c r="R1084" s="3">
        <f t="shared" si="90"/>
        <v>106092.20999999998</v>
      </c>
      <c r="S1084" s="24"/>
      <c r="T1084" s="24" t="s">
        <v>1334</v>
      </c>
      <c r="U1084" s="53"/>
      <c r="V1084" s="25" t="str">
        <f>IFERROR(VLOOKUP(BCP_Soles[[#This Row],[destinatario]],CHOOSE({1,2},Clientes_Proveedores[Razon Social],Clientes_Proveedores[Ruc / Dni]),2,0),"")</f>
        <v/>
      </c>
      <c r="W1084" s="25"/>
      <c r="X1084" s="25"/>
      <c r="Y1084" s="25"/>
      <c r="Z1084" s="75"/>
      <c r="AA1084" s="3" t="str">
        <f>IF(BCP_Soles[[#This Row],[fecha]]&gt;0,TEXT(BCP_Soles[[#This Row],[fecha]],"mmmm"),0)</f>
        <v>Marzo</v>
      </c>
    </row>
    <row r="1085" spans="1:27" ht="24" x14ac:dyDescent="0.3">
      <c r="A1085" s="2">
        <f>IF(BCP_Soles[[#This Row],[tipo_registro]]="R",COUNTIFS($C$1:$C1084,"R")+1,A1084)</f>
        <v>810</v>
      </c>
      <c r="B1085" s="19" t="str">
        <f t="shared" si="91"/>
        <v>B-BCP - Soles</v>
      </c>
      <c r="C1085" s="3" t="s">
        <v>1330</v>
      </c>
      <c r="D1085" s="14">
        <v>45747</v>
      </c>
      <c r="E1085" s="5" t="s">
        <v>1505</v>
      </c>
      <c r="F1085" s="5" t="s">
        <v>1303</v>
      </c>
      <c r="G1085" s="6" t="s">
        <v>425</v>
      </c>
      <c r="H1085" s="6" t="s">
        <v>119</v>
      </c>
      <c r="I1085" s="6">
        <v>2</v>
      </c>
      <c r="J1085" s="6">
        <v>736</v>
      </c>
      <c r="K1085" s="7" t="s">
        <v>1356</v>
      </c>
      <c r="L1085" s="8">
        <v>663013</v>
      </c>
      <c r="M1085" s="8" t="str">
        <f t="shared" si="92"/>
        <v>PEN</v>
      </c>
      <c r="N1085" s="13"/>
      <c r="O1085" s="13">
        <v>2397.5</v>
      </c>
      <c r="P1085" s="3">
        <f t="shared" si="93"/>
        <v>2397.5</v>
      </c>
      <c r="Q1085" s="3">
        <f t="shared" si="94"/>
        <v>0</v>
      </c>
      <c r="R1085" s="3">
        <f t="shared" si="90"/>
        <v>108489.70999999998</v>
      </c>
      <c r="S1085" s="24" t="s">
        <v>1334</v>
      </c>
      <c r="T1085" s="24" t="s">
        <v>1334</v>
      </c>
      <c r="U1085" s="53"/>
      <c r="V1085" s="25">
        <f>IFERROR(VLOOKUP(BCP_Soles[[#This Row],[destinatario]],CHOOSE({1,2},Clientes_Proveedores[Razon Social],Clientes_Proveedores[Ruc / Dni]),2,0),"")</f>
        <v>20558226979</v>
      </c>
      <c r="W1085" s="25" t="s">
        <v>1345</v>
      </c>
      <c r="X1085" s="25" t="s">
        <v>2478</v>
      </c>
      <c r="Y1085" s="25"/>
      <c r="Z1085" s="75"/>
      <c r="AA1085" s="3" t="str">
        <f>IF(BCP_Soles[[#This Row],[fecha]]&gt;0,TEXT(BCP_Soles[[#This Row],[fecha]],"mmmm"),0)</f>
        <v>Marzo</v>
      </c>
    </row>
    <row r="1086" spans="1:27" ht="36" x14ac:dyDescent="0.3">
      <c r="A1086" s="2">
        <f>IF(BCP_Soles[[#This Row],[tipo_registro]]="R",COUNTIFS($C$1:$C1085,"R")+1,A1085)</f>
        <v>811</v>
      </c>
      <c r="B1086" s="19" t="str">
        <f t="shared" si="91"/>
        <v>B-BCP - Soles</v>
      </c>
      <c r="C1086" s="3" t="s">
        <v>1330</v>
      </c>
      <c r="D1086" s="14">
        <v>45747</v>
      </c>
      <c r="E1086" s="5" t="s">
        <v>237</v>
      </c>
      <c r="F1086" s="5" t="s">
        <v>1303</v>
      </c>
      <c r="G1086" s="6" t="s">
        <v>425</v>
      </c>
      <c r="H1086" s="6"/>
      <c r="I1086" s="6"/>
      <c r="J1086" s="6"/>
      <c r="K1086" s="7" t="s">
        <v>1546</v>
      </c>
      <c r="L1086" s="8">
        <v>20379</v>
      </c>
      <c r="M1086" s="8" t="str">
        <f t="shared" si="92"/>
        <v>PEN</v>
      </c>
      <c r="N1086" s="13"/>
      <c r="O1086" s="13">
        <v>2673.32</v>
      </c>
      <c r="P1086" s="3">
        <f t="shared" si="93"/>
        <v>2673.32</v>
      </c>
      <c r="Q1086" s="3">
        <f t="shared" si="94"/>
        <v>0</v>
      </c>
      <c r="R1086" s="3">
        <f t="shared" si="90"/>
        <v>111163.02999999998</v>
      </c>
      <c r="S1086" s="24" t="s">
        <v>1334</v>
      </c>
      <c r="T1086" s="24" t="s">
        <v>1334</v>
      </c>
      <c r="U1086" s="53"/>
      <c r="V1086" s="25">
        <f>IFERROR(VLOOKUP(BCP_Soles[[#This Row],[destinatario]],CHOOSE({1,2},Clientes_Proveedores[Razon Social],Clientes_Proveedores[Ruc / Dni]),2,0),"")</f>
        <v>20558226979</v>
      </c>
      <c r="W1086" s="25" t="s">
        <v>1345</v>
      </c>
      <c r="X1086" s="25" t="s">
        <v>2479</v>
      </c>
      <c r="Y1086" s="25"/>
      <c r="Z1086" s="75"/>
      <c r="AA1086" s="3" t="str">
        <f>IF(BCP_Soles[[#This Row],[fecha]]&gt;0,TEXT(BCP_Soles[[#This Row],[fecha]],"mmmm"),0)</f>
        <v>Marzo</v>
      </c>
    </row>
    <row r="1087" spans="1:27" ht="36" x14ac:dyDescent="0.3">
      <c r="A1087" s="2">
        <f>IF(BCP_Soles[[#This Row],[tipo_registro]]="R",COUNTIFS($C$1:$C1086,"R")+1,A1086)</f>
        <v>812</v>
      </c>
      <c r="B1087" s="19" t="str">
        <f t="shared" si="91"/>
        <v>B-BCP - Soles</v>
      </c>
      <c r="C1087" s="3" t="s">
        <v>1330</v>
      </c>
      <c r="D1087" s="14">
        <v>45747</v>
      </c>
      <c r="E1087" s="5" t="s">
        <v>555</v>
      </c>
      <c r="F1087" s="5" t="s">
        <v>1303</v>
      </c>
      <c r="G1087" s="6" t="s">
        <v>425</v>
      </c>
      <c r="H1087" s="6"/>
      <c r="I1087" s="6"/>
      <c r="J1087" s="6"/>
      <c r="K1087" s="7" t="s">
        <v>1348</v>
      </c>
      <c r="L1087" s="8">
        <v>2197440</v>
      </c>
      <c r="M1087" s="8" t="str">
        <f t="shared" si="92"/>
        <v>PEN</v>
      </c>
      <c r="N1087" s="13"/>
      <c r="O1087" s="13">
        <v>1236.3499999999999</v>
      </c>
      <c r="P1087" s="3">
        <f t="shared" si="93"/>
        <v>1236.3499999999999</v>
      </c>
      <c r="Q1087" s="3">
        <f t="shared" si="94"/>
        <v>0</v>
      </c>
      <c r="R1087" s="3">
        <f t="shared" si="90"/>
        <v>112399.37999999999</v>
      </c>
      <c r="S1087" s="24" t="s">
        <v>1334</v>
      </c>
      <c r="T1087" s="24" t="s">
        <v>1334</v>
      </c>
      <c r="U1087" s="53"/>
      <c r="V1087" s="25">
        <f>IFERROR(VLOOKUP(BCP_Soles[[#This Row],[destinatario]],CHOOSE({1,2},Clientes_Proveedores[Razon Social],Clientes_Proveedores[Ruc / Dni]),2,0),"")</f>
        <v>20558226979</v>
      </c>
      <c r="W1087" s="25" t="s">
        <v>1345</v>
      </c>
      <c r="X1087" s="25" t="s">
        <v>2480</v>
      </c>
      <c r="Y1087" s="25"/>
      <c r="Z1087" s="75"/>
      <c r="AA1087" s="3" t="str">
        <f>IF(BCP_Soles[[#This Row],[fecha]]&gt;0,TEXT(BCP_Soles[[#This Row],[fecha]],"mmmm"),0)</f>
        <v>Marzo</v>
      </c>
    </row>
    <row r="1088" spans="1:27" ht="24" x14ac:dyDescent="0.3">
      <c r="A1088" s="2">
        <f>IF(BCP_Soles[[#This Row],[tipo_registro]]="R",COUNTIFS($C$1:$C1087,"R")+1,A1087)</f>
        <v>813</v>
      </c>
      <c r="B1088" s="19" t="str">
        <f t="shared" si="91"/>
        <v>B-BCP - Soles</v>
      </c>
      <c r="C1088" s="3" t="s">
        <v>1330</v>
      </c>
      <c r="D1088" s="14">
        <v>45747</v>
      </c>
      <c r="E1088" s="5" t="s">
        <v>1617</v>
      </c>
      <c r="F1088" s="5" t="s">
        <v>1303</v>
      </c>
      <c r="G1088" s="6" t="s">
        <v>425</v>
      </c>
      <c r="H1088" s="6" t="s">
        <v>119</v>
      </c>
      <c r="I1088" s="6">
        <v>1</v>
      </c>
      <c r="J1088" s="6">
        <v>4247</v>
      </c>
      <c r="K1088" s="7" t="s">
        <v>1618</v>
      </c>
      <c r="L1088" s="8">
        <v>89096</v>
      </c>
      <c r="M1088" s="8" t="str">
        <f t="shared" si="92"/>
        <v>PEN</v>
      </c>
      <c r="N1088" s="13"/>
      <c r="O1088" s="13">
        <v>1000</v>
      </c>
      <c r="P1088" s="3">
        <f t="shared" si="93"/>
        <v>1000</v>
      </c>
      <c r="Q1088" s="3">
        <f t="shared" si="94"/>
        <v>0</v>
      </c>
      <c r="R1088" s="3">
        <f t="shared" si="90"/>
        <v>113399.37999999999</v>
      </c>
      <c r="S1088" s="24" t="s">
        <v>1334</v>
      </c>
      <c r="T1088" s="24" t="s">
        <v>1334</v>
      </c>
      <c r="U1088" s="53"/>
      <c r="V1088" s="25">
        <f>IFERROR(VLOOKUP(BCP_Soles[[#This Row],[destinatario]],CHOOSE({1,2},Clientes_Proveedores[Razon Social],Clientes_Proveedores[Ruc / Dni]),2,0),"")</f>
        <v>20558226979</v>
      </c>
      <c r="W1088" s="25" t="s">
        <v>1345</v>
      </c>
      <c r="X1088" s="25" t="s">
        <v>2481</v>
      </c>
      <c r="Y1088" s="25"/>
      <c r="Z1088" s="75"/>
      <c r="AA1088" s="3" t="str">
        <f>IF(BCP_Soles[[#This Row],[fecha]]&gt;0,TEXT(BCP_Soles[[#This Row],[fecha]],"mmmm"),0)</f>
        <v>Marzo</v>
      </c>
    </row>
    <row r="1089" spans="1:27" ht="36" x14ac:dyDescent="0.3">
      <c r="A1089" s="2">
        <f>IF(BCP_Soles[[#This Row],[tipo_registro]]="R",COUNTIFS($C$1:$C1088,"R")+1,A1088)</f>
        <v>814</v>
      </c>
      <c r="B1089" s="19" t="str">
        <f t="shared" si="91"/>
        <v>B-BCP - Soles</v>
      </c>
      <c r="C1089" s="3" t="s">
        <v>1330</v>
      </c>
      <c r="D1089" s="14">
        <v>45747</v>
      </c>
      <c r="E1089" s="5" t="s">
        <v>555</v>
      </c>
      <c r="F1089" s="5" t="s">
        <v>1303</v>
      </c>
      <c r="G1089" s="6" t="s">
        <v>425</v>
      </c>
      <c r="H1089" s="6"/>
      <c r="I1089" s="6"/>
      <c r="J1089" s="6"/>
      <c r="K1089" s="7" t="s">
        <v>1348</v>
      </c>
      <c r="L1089" s="8">
        <v>2200033</v>
      </c>
      <c r="M1089" s="8" t="str">
        <f t="shared" si="92"/>
        <v>PEN</v>
      </c>
      <c r="N1089" s="13"/>
      <c r="O1089" s="13">
        <v>722.6</v>
      </c>
      <c r="P1089" s="3">
        <f t="shared" si="93"/>
        <v>722.6</v>
      </c>
      <c r="Q1089" s="3">
        <f t="shared" si="94"/>
        <v>0</v>
      </c>
      <c r="R1089" s="3">
        <f t="shared" si="90"/>
        <v>114121.98</v>
      </c>
      <c r="S1089" s="24" t="s">
        <v>1334</v>
      </c>
      <c r="T1089" s="24" t="s">
        <v>1334</v>
      </c>
      <c r="U1089" s="53"/>
      <c r="V1089" s="25">
        <f>IFERROR(VLOOKUP(BCP_Soles[[#This Row],[destinatario]],CHOOSE({1,2},Clientes_Proveedores[Razon Social],Clientes_Proveedores[Ruc / Dni]),2,0),"")</f>
        <v>20558226979</v>
      </c>
      <c r="W1089" s="25" t="s">
        <v>1345</v>
      </c>
      <c r="X1089" s="25" t="s">
        <v>2482</v>
      </c>
      <c r="Y1089" s="25"/>
      <c r="Z1089" s="75"/>
      <c r="AA1089" s="3" t="str">
        <f>IF(BCP_Soles[[#This Row],[fecha]]&gt;0,TEXT(BCP_Soles[[#This Row],[fecha]],"mmmm"),0)</f>
        <v>Marzo</v>
      </c>
    </row>
    <row r="1090" spans="1:27" ht="36" x14ac:dyDescent="0.3">
      <c r="A1090" s="2">
        <f>IF(BCP_Soles[[#This Row],[tipo_registro]]="R",COUNTIFS($C$1:$C1089,"R")+1,A1089)</f>
        <v>815</v>
      </c>
      <c r="B1090" s="19" t="str">
        <f t="shared" si="91"/>
        <v>B-BCP - Soles</v>
      </c>
      <c r="C1090" s="3" t="s">
        <v>1330</v>
      </c>
      <c r="D1090" s="14">
        <v>45747</v>
      </c>
      <c r="E1090" s="5" t="s">
        <v>237</v>
      </c>
      <c r="F1090" s="5" t="s">
        <v>1303</v>
      </c>
      <c r="G1090" s="6" t="s">
        <v>425</v>
      </c>
      <c r="H1090" s="6"/>
      <c r="I1090" s="6"/>
      <c r="J1090" s="6"/>
      <c r="K1090" s="7" t="s">
        <v>1546</v>
      </c>
      <c r="L1090" s="8">
        <v>22235</v>
      </c>
      <c r="M1090" s="8" t="str">
        <f t="shared" si="92"/>
        <v>PEN</v>
      </c>
      <c r="N1090" s="13"/>
      <c r="O1090" s="13">
        <v>648.32000000000005</v>
      </c>
      <c r="P1090" s="3">
        <f t="shared" si="93"/>
        <v>648.32000000000005</v>
      </c>
      <c r="Q1090" s="3">
        <f t="shared" si="94"/>
        <v>0</v>
      </c>
      <c r="R1090" s="3">
        <f t="shared" si="90"/>
        <v>114770.3</v>
      </c>
      <c r="S1090" s="24" t="s">
        <v>1334</v>
      </c>
      <c r="T1090" s="24" t="s">
        <v>1334</v>
      </c>
      <c r="U1090" s="53"/>
      <c r="V1090" s="25">
        <f>IFERROR(VLOOKUP(BCP_Soles[[#This Row],[destinatario]],CHOOSE({1,2},Clientes_Proveedores[Razon Social],Clientes_Proveedores[Ruc / Dni]),2,0),"")</f>
        <v>20558226979</v>
      </c>
      <c r="W1090" s="25" t="s">
        <v>1345</v>
      </c>
      <c r="X1090" s="25" t="s">
        <v>2483</v>
      </c>
      <c r="Y1090" s="25"/>
      <c r="Z1090" s="75"/>
      <c r="AA1090" s="3" t="str">
        <f>IF(BCP_Soles[[#This Row],[fecha]]&gt;0,TEXT(BCP_Soles[[#This Row],[fecha]],"mmmm"),0)</f>
        <v>Marzo</v>
      </c>
    </row>
    <row r="1091" spans="1:27" ht="24" x14ac:dyDescent="0.3">
      <c r="A1091" s="2">
        <f>IF(BCP_Soles[[#This Row],[tipo_registro]]="R",COUNTIFS($C$1:$C1090,"R")+1,A1090)</f>
        <v>816</v>
      </c>
      <c r="B1091" s="19" t="str">
        <f t="shared" si="91"/>
        <v>B-BCP - Soles</v>
      </c>
      <c r="C1091" s="3" t="s">
        <v>1330</v>
      </c>
      <c r="D1091" s="14">
        <v>45747</v>
      </c>
      <c r="E1091" s="5" t="s">
        <v>1617</v>
      </c>
      <c r="F1091" s="5" t="s">
        <v>1303</v>
      </c>
      <c r="G1091" s="6" t="s">
        <v>425</v>
      </c>
      <c r="H1091" s="6" t="s">
        <v>119</v>
      </c>
      <c r="I1091" s="6">
        <v>1</v>
      </c>
      <c r="J1091" s="6">
        <v>4247</v>
      </c>
      <c r="K1091" s="7" t="s">
        <v>1618</v>
      </c>
      <c r="L1091" s="8">
        <v>89103</v>
      </c>
      <c r="M1091" s="8" t="str">
        <f t="shared" si="92"/>
        <v>PEN</v>
      </c>
      <c r="N1091" s="13"/>
      <c r="O1091" s="13">
        <v>444.8</v>
      </c>
      <c r="P1091" s="3">
        <f t="shared" si="93"/>
        <v>444.8</v>
      </c>
      <c r="Q1091" s="3">
        <f t="shared" si="94"/>
        <v>0</v>
      </c>
      <c r="R1091" s="3">
        <f t="shared" si="90"/>
        <v>115215.1</v>
      </c>
      <c r="S1091" s="24" t="s">
        <v>1334</v>
      </c>
      <c r="T1091" s="24" t="s">
        <v>1334</v>
      </c>
      <c r="U1091" s="53"/>
      <c r="V1091" s="25">
        <f>IFERROR(VLOOKUP(BCP_Soles[[#This Row],[destinatario]],CHOOSE({1,2},Clientes_Proveedores[Razon Social],Clientes_Proveedores[Ruc / Dni]),2,0),"")</f>
        <v>20558226979</v>
      </c>
      <c r="W1091" s="25" t="s">
        <v>1345</v>
      </c>
      <c r="X1091" s="25" t="s">
        <v>2481</v>
      </c>
      <c r="Y1091" s="25"/>
      <c r="Z1091" s="75"/>
      <c r="AA1091" s="3" t="str">
        <f>IF(BCP_Soles[[#This Row],[fecha]]&gt;0,TEXT(BCP_Soles[[#This Row],[fecha]],"mmmm"),0)</f>
        <v>Marzo</v>
      </c>
    </row>
    <row r="1092" spans="1:27" x14ac:dyDescent="0.3">
      <c r="A1092" s="2">
        <f>IF(BCP_Soles[[#This Row],[tipo_registro]]="R",COUNTIFS($C$1:$C1091,"R")+1,A1091)</f>
        <v>817</v>
      </c>
      <c r="B1092" s="19" t="str">
        <f t="shared" si="91"/>
        <v>B-BCP - Soles</v>
      </c>
      <c r="C1092" s="3" t="s">
        <v>1330</v>
      </c>
      <c r="D1092" s="14">
        <v>45747</v>
      </c>
      <c r="E1092" s="5" t="s">
        <v>1335</v>
      </c>
      <c r="F1092" s="5" t="s">
        <v>1336</v>
      </c>
      <c r="G1092" s="6"/>
      <c r="H1092" s="6"/>
      <c r="I1092" s="6"/>
      <c r="J1092" s="6"/>
      <c r="K1092" s="7" t="s">
        <v>1337</v>
      </c>
      <c r="L1092" s="8"/>
      <c r="M1092" s="8" t="str">
        <f t="shared" si="92"/>
        <v>PEN</v>
      </c>
      <c r="N1092" s="13"/>
      <c r="O1092" s="13">
        <v>0.5</v>
      </c>
      <c r="P1092" s="3">
        <f t="shared" si="93"/>
        <v>0</v>
      </c>
      <c r="Q1092" s="3">
        <f t="shared" si="94"/>
        <v>0.5</v>
      </c>
      <c r="R1092" s="3">
        <f t="shared" si="90"/>
        <v>115214.6</v>
      </c>
      <c r="S1092" s="24"/>
      <c r="T1092" s="24" t="s">
        <v>1334</v>
      </c>
      <c r="U1092" s="53"/>
      <c r="V1092" s="25" t="str">
        <f>IFERROR(VLOOKUP(BCP_Soles[[#This Row],[destinatario]],CHOOSE({1,2},Clientes_Proveedores[Razon Social],Clientes_Proveedores[Ruc / Dni]),2,0),"")</f>
        <v/>
      </c>
      <c r="W1092" s="25"/>
      <c r="X1092" s="25"/>
      <c r="Y1092" s="25"/>
      <c r="Z1092" s="75"/>
      <c r="AA1092" s="3" t="str">
        <f>IF(BCP_Soles[[#This Row],[fecha]]&gt;0,TEXT(BCP_Soles[[#This Row],[fecha]],"mmmm"),0)</f>
        <v>Marzo</v>
      </c>
    </row>
    <row r="1093" spans="1:27" ht="24" x14ac:dyDescent="0.3">
      <c r="A1093" s="2">
        <f>IF(BCP_Soles[[#This Row],[tipo_registro]]="R",COUNTIFS($C$1:$C1092,"R")+1,A1092)</f>
        <v>818</v>
      </c>
      <c r="B1093" s="19" t="str">
        <f t="shared" si="91"/>
        <v>B-BCP - Soles</v>
      </c>
      <c r="C1093" s="3" t="s">
        <v>1330</v>
      </c>
      <c r="D1093" s="14">
        <v>45747</v>
      </c>
      <c r="E1093" s="5" t="s">
        <v>1335</v>
      </c>
      <c r="F1093" s="5" t="s">
        <v>1336</v>
      </c>
      <c r="G1093" s="6" t="s">
        <v>1060</v>
      </c>
      <c r="H1093" s="6" t="s">
        <v>68</v>
      </c>
      <c r="I1093" s="6" t="s">
        <v>2081</v>
      </c>
      <c r="J1093" s="6">
        <v>14461828</v>
      </c>
      <c r="K1093" s="7" t="s">
        <v>1758</v>
      </c>
      <c r="L1093" s="8">
        <v>972127</v>
      </c>
      <c r="M1093" s="8" t="str">
        <f t="shared" si="92"/>
        <v>PEN</v>
      </c>
      <c r="N1093" s="13"/>
      <c r="O1093" s="13">
        <v>5.5</v>
      </c>
      <c r="P1093" s="3">
        <f t="shared" si="93"/>
        <v>0</v>
      </c>
      <c r="Q1093" s="3">
        <f t="shared" si="94"/>
        <v>5.5</v>
      </c>
      <c r="R1093" s="3">
        <f t="shared" si="90"/>
        <v>115209.1</v>
      </c>
      <c r="S1093" s="24" t="s">
        <v>1334</v>
      </c>
      <c r="T1093" s="24" t="s">
        <v>1334</v>
      </c>
      <c r="U1093" s="53"/>
      <c r="V1093" s="25">
        <f>IFERROR(VLOOKUP(BCP_Soles[[#This Row],[destinatario]],CHOOSE({1,2},Clientes_Proveedores[Razon Social],Clientes_Proveedores[Ruc / Dni]),2,0),"")</f>
        <v>20100047218</v>
      </c>
      <c r="W1093" s="25" t="s">
        <v>1335</v>
      </c>
      <c r="X1093" s="25" t="s">
        <v>2484</v>
      </c>
      <c r="Y1093" s="25"/>
      <c r="Z1093" s="75"/>
      <c r="AA1093" s="3" t="str">
        <f>IF(BCP_Soles[[#This Row],[fecha]]&gt;0,TEXT(BCP_Soles[[#This Row],[fecha]],"mmmm"),0)</f>
        <v>Marzo</v>
      </c>
    </row>
    <row r="1094" spans="1:27" ht="24" x14ac:dyDescent="0.3">
      <c r="A1094" s="2">
        <f>IF(BCP_Soles[[#This Row],[tipo_registro]]="R",COUNTIFS($C$1:$C1093,"R")+1,A1093)</f>
        <v>819</v>
      </c>
      <c r="B1094" s="19" t="str">
        <f t="shared" si="91"/>
        <v>B-BCP - Soles</v>
      </c>
      <c r="C1094" s="3" t="s">
        <v>1330</v>
      </c>
      <c r="D1094" s="14">
        <v>45747</v>
      </c>
      <c r="E1094" s="5" t="s">
        <v>1335</v>
      </c>
      <c r="F1094" s="5" t="s">
        <v>1336</v>
      </c>
      <c r="G1094" s="6" t="s">
        <v>1060</v>
      </c>
      <c r="H1094" s="6" t="s">
        <v>68</v>
      </c>
      <c r="I1094" s="6" t="s">
        <v>2081</v>
      </c>
      <c r="J1094" s="6">
        <v>14461828</v>
      </c>
      <c r="K1094" s="7" t="s">
        <v>1756</v>
      </c>
      <c r="L1094" s="8" t="s">
        <v>1757</v>
      </c>
      <c r="M1094" s="8" t="str">
        <f t="shared" si="92"/>
        <v>PEN</v>
      </c>
      <c r="N1094" s="13"/>
      <c r="O1094" s="13">
        <v>35</v>
      </c>
      <c r="P1094" s="3">
        <f t="shared" si="93"/>
        <v>0</v>
      </c>
      <c r="Q1094" s="3">
        <f t="shared" si="94"/>
        <v>35</v>
      </c>
      <c r="R1094" s="3">
        <f t="shared" si="90"/>
        <v>115174.1</v>
      </c>
      <c r="S1094" s="24" t="s">
        <v>1334</v>
      </c>
      <c r="T1094" s="24" t="s">
        <v>1334</v>
      </c>
      <c r="U1094" s="53"/>
      <c r="V1094" s="25">
        <f>IFERROR(VLOOKUP(BCP_Soles[[#This Row],[destinatario]],CHOOSE({1,2},Clientes_Proveedores[Razon Social],Clientes_Proveedores[Ruc / Dni]),2,0),"")</f>
        <v>20100047218</v>
      </c>
      <c r="W1094" s="25" t="s">
        <v>1335</v>
      </c>
      <c r="X1094" s="25" t="s">
        <v>2484</v>
      </c>
      <c r="Y1094" s="25"/>
      <c r="Z1094" s="75"/>
      <c r="AA1094" s="3" t="str">
        <f>IF(BCP_Soles[[#This Row],[fecha]]&gt;0,TEXT(BCP_Soles[[#This Row],[fecha]],"mmmm"),0)</f>
        <v>Marzo</v>
      </c>
    </row>
    <row r="1095" spans="1:27" ht="24" x14ac:dyDescent="0.3">
      <c r="A1095" s="2">
        <f>IF(BCP_Soles[[#This Row],[tipo_registro]]="R",COUNTIFS($C$1:$C1094,"R")+1,A1094)</f>
        <v>820</v>
      </c>
      <c r="B1095" s="19" t="str">
        <f t="shared" si="91"/>
        <v>B-BCP - Soles</v>
      </c>
      <c r="C1095" s="3" t="s">
        <v>1330</v>
      </c>
      <c r="D1095" s="14">
        <v>45747</v>
      </c>
      <c r="E1095" s="5" t="s">
        <v>2269</v>
      </c>
      <c r="F1095" s="5" t="s">
        <v>1336</v>
      </c>
      <c r="G1095" s="6" t="s">
        <v>719</v>
      </c>
      <c r="H1095" s="6" t="s">
        <v>68</v>
      </c>
      <c r="I1095" s="6" t="s">
        <v>2270</v>
      </c>
      <c r="J1095" s="6">
        <v>117692</v>
      </c>
      <c r="K1095" s="7" t="s">
        <v>2485</v>
      </c>
      <c r="L1095" s="8">
        <v>1067928</v>
      </c>
      <c r="M1095" s="8" t="str">
        <f t="shared" si="92"/>
        <v>PEN</v>
      </c>
      <c r="N1095" s="13"/>
      <c r="O1095" s="13">
        <v>84.73</v>
      </c>
      <c r="P1095" s="3">
        <f t="shared" si="93"/>
        <v>0</v>
      </c>
      <c r="Q1095" s="3">
        <f t="shared" si="94"/>
        <v>84.73</v>
      </c>
      <c r="R1095" s="3">
        <f t="shared" si="90"/>
        <v>115089.37000000001</v>
      </c>
      <c r="S1095" s="24" t="s">
        <v>1334</v>
      </c>
      <c r="T1095" s="24" t="s">
        <v>1334</v>
      </c>
      <c r="U1095" s="53"/>
      <c r="V1095" s="25">
        <f>IFERROR(VLOOKUP(BCP_Soles[[#This Row],[destinatario]],CHOOSE({1,2},Clientes_Proveedores[Razon Social],Clientes_Proveedores[Ruc / Dni]),2,0),"")</f>
        <v>20100241022</v>
      </c>
      <c r="W1095" s="25" t="s">
        <v>2272</v>
      </c>
      <c r="X1095" s="25" t="s">
        <v>2486</v>
      </c>
      <c r="Y1095" s="25"/>
      <c r="Z1095" s="75"/>
      <c r="AA1095" s="3" t="str">
        <f>IF(BCP_Soles[[#This Row],[fecha]]&gt;0,TEXT(BCP_Soles[[#This Row],[fecha]],"mmmm"),0)</f>
        <v>Marzo</v>
      </c>
    </row>
    <row r="1096" spans="1:27" ht="24" x14ac:dyDescent="0.3">
      <c r="A1096" s="2">
        <f>IF(BCP_Soles[[#This Row],[tipo_registro]]="R",COUNTIFS($C$1:$C1095,"R")+1,A1095)</f>
        <v>821</v>
      </c>
      <c r="B1096" s="19" t="str">
        <f t="shared" si="91"/>
        <v>B-BCP - Soles</v>
      </c>
      <c r="C1096" s="3" t="s">
        <v>1330</v>
      </c>
      <c r="D1096" s="14">
        <v>45747</v>
      </c>
      <c r="E1096" s="5" t="s">
        <v>2269</v>
      </c>
      <c r="F1096" s="5" t="s">
        <v>1336</v>
      </c>
      <c r="G1096" s="6" t="s">
        <v>249</v>
      </c>
      <c r="H1096" s="6"/>
      <c r="I1096" s="6"/>
      <c r="J1096" s="6"/>
      <c r="K1096" s="7" t="s">
        <v>2487</v>
      </c>
      <c r="L1096" s="8">
        <v>1129291</v>
      </c>
      <c r="M1096" s="8" t="str">
        <f t="shared" si="92"/>
        <v>PEN</v>
      </c>
      <c r="N1096" s="13"/>
      <c r="O1096" s="13">
        <v>134.34</v>
      </c>
      <c r="P1096" s="3">
        <f t="shared" si="93"/>
        <v>0</v>
      </c>
      <c r="Q1096" s="3">
        <f t="shared" si="94"/>
        <v>134.34</v>
      </c>
      <c r="R1096" s="3">
        <f t="shared" si="90"/>
        <v>114955.03000000001</v>
      </c>
      <c r="S1096" s="24"/>
      <c r="T1096" s="24"/>
      <c r="U1096" s="53"/>
      <c r="V1096" s="25">
        <f>IFERROR(VLOOKUP(BCP_Soles[[#This Row],[destinatario]],CHOOSE({1,2},Clientes_Proveedores[Razon Social],Clientes_Proveedores[Ruc / Dni]),2,0),"")</f>
        <v>20302891452</v>
      </c>
      <c r="W1096" s="25" t="s">
        <v>249</v>
      </c>
      <c r="X1096" s="25"/>
      <c r="Y1096" s="25"/>
      <c r="Z1096" s="75"/>
      <c r="AA1096" s="3" t="str">
        <f>IF(BCP_Soles[[#This Row],[fecha]]&gt;0,TEXT(BCP_Soles[[#This Row],[fecha]],"mmmm"),0)</f>
        <v>Marzo</v>
      </c>
    </row>
    <row r="1097" spans="1:27" ht="24" x14ac:dyDescent="0.3">
      <c r="A1097" s="2">
        <f>IF(BCP_Soles[[#This Row],[tipo_registro]]="R",COUNTIFS($C$1:$C1096,"R")+1,A1096)</f>
        <v>822</v>
      </c>
      <c r="B1097" s="19" t="str">
        <f t="shared" si="91"/>
        <v>B-BCP - Soles</v>
      </c>
      <c r="C1097" s="3" t="s">
        <v>1330</v>
      </c>
      <c r="D1097" s="14">
        <v>45747</v>
      </c>
      <c r="E1097" s="5" t="s">
        <v>2269</v>
      </c>
      <c r="F1097" s="5" t="s">
        <v>1336</v>
      </c>
      <c r="G1097" s="6" t="s">
        <v>705</v>
      </c>
      <c r="H1097" s="6" t="s">
        <v>106</v>
      </c>
      <c r="I1097" s="6" t="s">
        <v>2488</v>
      </c>
      <c r="J1097" s="6">
        <v>608855304</v>
      </c>
      <c r="K1097" s="7" t="s">
        <v>2489</v>
      </c>
      <c r="L1097" s="8">
        <v>4129292</v>
      </c>
      <c r="M1097" s="8" t="str">
        <f t="shared" si="92"/>
        <v>PEN</v>
      </c>
      <c r="N1097" s="13"/>
      <c r="O1097" s="13">
        <v>203</v>
      </c>
      <c r="P1097" s="3">
        <f t="shared" si="93"/>
        <v>0</v>
      </c>
      <c r="Q1097" s="3">
        <f t="shared" si="94"/>
        <v>203</v>
      </c>
      <c r="R1097" s="3">
        <f t="shared" ref="R1097:R1160" si="95">IFERROR(IF(F1097="SALDO",P1097,R1096+P1097-Q1097),0)</f>
        <v>114752.03000000001</v>
      </c>
      <c r="S1097" s="24" t="s">
        <v>1334</v>
      </c>
      <c r="T1097" s="24" t="s">
        <v>1334</v>
      </c>
      <c r="U1097" s="53"/>
      <c r="V1097" s="25">
        <f>IFERROR(VLOOKUP(BCP_Soles[[#This Row],[destinatario]],CHOOSE({1,2},Clientes_Proveedores[Razon Social],Clientes_Proveedores[Ruc / Dni]),2,0),"")</f>
        <v>20100017491</v>
      </c>
      <c r="W1097" s="25" t="s">
        <v>1565</v>
      </c>
      <c r="X1097" s="25" t="s">
        <v>2490</v>
      </c>
      <c r="Y1097" s="25"/>
      <c r="Z1097" s="75"/>
      <c r="AA1097" s="3" t="str">
        <f>IF(BCP_Soles[[#This Row],[fecha]]&gt;0,TEXT(BCP_Soles[[#This Row],[fecha]],"mmmm"),0)</f>
        <v>Marzo</v>
      </c>
    </row>
    <row r="1098" spans="1:27" ht="24" x14ac:dyDescent="0.3">
      <c r="A1098" s="2">
        <f>IF(BCP_Soles[[#This Row],[tipo_registro]]="R",COUNTIFS($C$1:$C1097,"R")+1,A1097)</f>
        <v>823</v>
      </c>
      <c r="B1098" s="19" t="str">
        <f t="shared" si="91"/>
        <v>B-BCP - Soles</v>
      </c>
      <c r="C1098" s="3" t="s">
        <v>1330</v>
      </c>
      <c r="D1098" s="14">
        <v>45747</v>
      </c>
      <c r="E1098" s="5" t="s">
        <v>2269</v>
      </c>
      <c r="F1098" s="5" t="s">
        <v>1336</v>
      </c>
      <c r="G1098" s="6" t="s">
        <v>241</v>
      </c>
      <c r="H1098" s="6" t="s">
        <v>68</v>
      </c>
      <c r="I1098" s="6" t="s">
        <v>1339</v>
      </c>
      <c r="J1098" s="6">
        <v>7322</v>
      </c>
      <c r="K1098" s="7" t="s">
        <v>2491</v>
      </c>
      <c r="L1098" s="8">
        <v>1195972</v>
      </c>
      <c r="M1098" s="8" t="str">
        <f t="shared" si="92"/>
        <v>PEN</v>
      </c>
      <c r="N1098" s="13"/>
      <c r="O1098" s="13">
        <v>345.1</v>
      </c>
      <c r="P1098" s="3">
        <f t="shared" si="93"/>
        <v>0</v>
      </c>
      <c r="Q1098" s="3">
        <f t="shared" si="94"/>
        <v>345.1</v>
      </c>
      <c r="R1098" s="3">
        <f t="shared" si="95"/>
        <v>114406.93000000001</v>
      </c>
      <c r="S1098" s="24" t="s">
        <v>1334</v>
      </c>
      <c r="T1098" s="24" t="s">
        <v>1334</v>
      </c>
      <c r="U1098" s="53"/>
      <c r="V1098" s="25">
        <f>IFERROR(VLOOKUP(BCP_Soles[[#This Row],[destinatario]],CHOOSE({1,2},Clientes_Proveedores[Razon Social],Clientes_Proveedores[Ruc / Dni]),2,0),"")</f>
        <v>20170040938</v>
      </c>
      <c r="W1098" s="25" t="s">
        <v>1341</v>
      </c>
      <c r="X1098" s="25" t="s">
        <v>2492</v>
      </c>
      <c r="Y1098" s="25"/>
      <c r="Z1098" s="75"/>
      <c r="AA1098" s="3" t="str">
        <f>IF(BCP_Soles[[#This Row],[fecha]]&gt;0,TEXT(BCP_Soles[[#This Row],[fecha]],"mmmm"),0)</f>
        <v>Marzo</v>
      </c>
    </row>
    <row r="1099" spans="1:27" ht="24" x14ac:dyDescent="0.3">
      <c r="A1099" s="2">
        <f>IF(BCP_Soles[[#This Row],[tipo_registro]]="R",COUNTIFS($C$1:$C1098,"R")+1,A1098)</f>
        <v>824</v>
      </c>
      <c r="B1099" s="19" t="str">
        <f t="shared" si="91"/>
        <v>B-BCP - Soles</v>
      </c>
      <c r="C1099" s="3" t="s">
        <v>1330</v>
      </c>
      <c r="D1099" s="14">
        <v>45747</v>
      </c>
      <c r="E1099" s="5" t="s">
        <v>2269</v>
      </c>
      <c r="F1099" s="5" t="s">
        <v>1336</v>
      </c>
      <c r="G1099" s="6" t="s">
        <v>708</v>
      </c>
      <c r="H1099" s="6" t="s">
        <v>68</v>
      </c>
      <c r="I1099" s="6" t="s">
        <v>1655</v>
      </c>
      <c r="J1099" s="6">
        <v>281847</v>
      </c>
      <c r="K1099" s="7" t="s">
        <v>2493</v>
      </c>
      <c r="L1099" s="8">
        <v>64980</v>
      </c>
      <c r="M1099" s="8" t="str">
        <f t="shared" si="92"/>
        <v>PEN</v>
      </c>
      <c r="N1099" s="13"/>
      <c r="O1099" s="13">
        <v>548.70000000000005</v>
      </c>
      <c r="P1099" s="3">
        <f t="shared" si="93"/>
        <v>0</v>
      </c>
      <c r="Q1099" s="3">
        <f t="shared" si="94"/>
        <v>548.70000000000005</v>
      </c>
      <c r="R1099" s="3">
        <f t="shared" si="95"/>
        <v>113858.23000000001</v>
      </c>
      <c r="S1099" s="24" t="s">
        <v>1334</v>
      </c>
      <c r="T1099" s="24" t="s">
        <v>1334</v>
      </c>
      <c r="U1099" s="53"/>
      <c r="V1099" s="25">
        <f>IFERROR(VLOOKUP(BCP_Soles[[#This Row],[destinatario]],CHOOSE({1,2},Clientes_Proveedores[Razon Social],Clientes_Proveedores[Ruc / Dni]),2,0),"")</f>
        <v>20467534026</v>
      </c>
      <c r="W1099" s="25" t="s">
        <v>1657</v>
      </c>
      <c r="X1099" s="25" t="s">
        <v>2494</v>
      </c>
      <c r="Y1099" s="25"/>
      <c r="Z1099" s="75"/>
      <c r="AA1099" s="3" t="str">
        <f>IF(BCP_Soles[[#This Row],[fecha]]&gt;0,TEXT(BCP_Soles[[#This Row],[fecha]],"mmmm"),0)</f>
        <v>Marzo</v>
      </c>
    </row>
    <row r="1100" spans="1:27" ht="24" x14ac:dyDescent="0.3">
      <c r="A1100" s="2">
        <f>IF(BCP_Soles[[#This Row],[tipo_registro]]="R",COUNTIFS($C$1:$C1099,"R")+1,A1099)</f>
        <v>825</v>
      </c>
      <c r="B1100" s="19" t="str">
        <f t="shared" si="91"/>
        <v>B-BCP - Soles</v>
      </c>
      <c r="C1100" s="3" t="s">
        <v>1330</v>
      </c>
      <c r="D1100" s="14">
        <v>45747</v>
      </c>
      <c r="E1100" s="5" t="s">
        <v>1338</v>
      </c>
      <c r="F1100" s="5" t="s">
        <v>1336</v>
      </c>
      <c r="G1100" s="6" t="s">
        <v>719</v>
      </c>
      <c r="H1100" s="6" t="s">
        <v>68</v>
      </c>
      <c r="I1100" s="6" t="s">
        <v>2270</v>
      </c>
      <c r="J1100" s="6">
        <v>117691</v>
      </c>
      <c r="K1100" s="7" t="s">
        <v>2495</v>
      </c>
      <c r="L1100" s="8">
        <v>1065458</v>
      </c>
      <c r="M1100" s="8" t="str">
        <f t="shared" si="92"/>
        <v>PEN</v>
      </c>
      <c r="N1100" s="13"/>
      <c r="O1100" s="13">
        <v>840.2</v>
      </c>
      <c r="P1100" s="3">
        <f t="shared" si="93"/>
        <v>0</v>
      </c>
      <c r="Q1100" s="3">
        <f t="shared" si="94"/>
        <v>840.2</v>
      </c>
      <c r="R1100" s="3">
        <f t="shared" si="95"/>
        <v>113018.03000000001</v>
      </c>
      <c r="S1100" s="24"/>
      <c r="T1100" s="24" t="s">
        <v>1334</v>
      </c>
      <c r="U1100" s="53"/>
      <c r="V1100" s="25">
        <f>IFERROR(VLOOKUP(BCP_Soles[[#This Row],[destinatario]],CHOOSE({1,2},Clientes_Proveedores[Razon Social],Clientes_Proveedores[Ruc / Dni]),2,0),"")</f>
        <v>20100241022</v>
      </c>
      <c r="W1100" s="25" t="s">
        <v>2272</v>
      </c>
      <c r="X1100" s="25" t="s">
        <v>2496</v>
      </c>
      <c r="Y1100" s="25"/>
      <c r="Z1100" s="75"/>
      <c r="AA1100" s="3" t="str">
        <f>IF(BCP_Soles[[#This Row],[fecha]]&gt;0,TEXT(BCP_Soles[[#This Row],[fecha]],"mmmm"),0)</f>
        <v>Marzo</v>
      </c>
    </row>
    <row r="1101" spans="1:27" ht="24" x14ac:dyDescent="0.3">
      <c r="A1101" s="2">
        <f>IF(BCP_Soles[[#This Row],[tipo_registro]]="R",COUNTIFS($C$1:$C1100,"R")+1,A1100)</f>
        <v>826</v>
      </c>
      <c r="B1101" s="19" t="str">
        <f t="shared" si="91"/>
        <v>B-BCP - Soles</v>
      </c>
      <c r="C1101" s="3" t="s">
        <v>1330</v>
      </c>
      <c r="D1101" s="14">
        <v>45747</v>
      </c>
      <c r="E1101" s="5" t="s">
        <v>2269</v>
      </c>
      <c r="F1101" s="5" t="s">
        <v>1336</v>
      </c>
      <c r="G1101" s="6" t="s">
        <v>664</v>
      </c>
      <c r="H1101" s="6" t="s">
        <v>68</v>
      </c>
      <c r="I1101" s="6" t="s">
        <v>1376</v>
      </c>
      <c r="J1101" s="6">
        <v>1279</v>
      </c>
      <c r="K1101" s="7" t="s">
        <v>2497</v>
      </c>
      <c r="L1101" s="8">
        <v>1300726</v>
      </c>
      <c r="M1101" s="8" t="str">
        <f t="shared" si="92"/>
        <v>PEN</v>
      </c>
      <c r="N1101" s="13"/>
      <c r="O1101" s="13">
        <v>864</v>
      </c>
      <c r="P1101" s="3">
        <f t="shared" si="93"/>
        <v>0</v>
      </c>
      <c r="Q1101" s="3">
        <f t="shared" si="94"/>
        <v>864</v>
      </c>
      <c r="R1101" s="3">
        <f t="shared" si="95"/>
        <v>112154.03000000001</v>
      </c>
      <c r="S1101" s="24" t="s">
        <v>1334</v>
      </c>
      <c r="T1101" s="24" t="s">
        <v>1334</v>
      </c>
      <c r="U1101" s="53"/>
      <c r="V1101" s="25">
        <f>IFERROR(VLOOKUP(BCP_Soles[[#This Row],[destinatario]],CHOOSE({1,2},Clientes_Proveedores[Razon Social],Clientes_Proveedores[Ruc / Dni]),2,0),"")</f>
        <v>20556254177</v>
      </c>
      <c r="W1101" s="25" t="s">
        <v>664</v>
      </c>
      <c r="X1101" s="25" t="s">
        <v>2498</v>
      </c>
      <c r="Y1101" s="25"/>
      <c r="Z1101" s="75"/>
      <c r="AA1101" s="3" t="str">
        <f>IF(BCP_Soles[[#This Row],[fecha]]&gt;0,TEXT(BCP_Soles[[#This Row],[fecha]],"mmmm"),0)</f>
        <v>Marzo</v>
      </c>
    </row>
    <row r="1102" spans="1:27" x14ac:dyDescent="0.3">
      <c r="A1102" s="2">
        <f>IF(BCP_Soles[[#This Row],[tipo_registro]]="R",COUNTIFS($C$1:$C1101,"R")+1,A1101)</f>
        <v>827</v>
      </c>
      <c r="B1102" s="19" t="str">
        <f t="shared" si="91"/>
        <v>B-BCP - Soles</v>
      </c>
      <c r="C1102" s="3" t="s">
        <v>1330</v>
      </c>
      <c r="D1102" s="14">
        <v>45747</v>
      </c>
      <c r="E1102" s="5" t="s">
        <v>1338</v>
      </c>
      <c r="F1102" s="5" t="s">
        <v>1336</v>
      </c>
      <c r="G1102" s="6"/>
      <c r="H1102" s="6"/>
      <c r="I1102" s="6"/>
      <c r="J1102" s="6"/>
      <c r="K1102" s="7" t="s">
        <v>2499</v>
      </c>
      <c r="L1102" s="8">
        <v>1003161</v>
      </c>
      <c r="M1102" s="8" t="str">
        <f t="shared" si="92"/>
        <v>PEN</v>
      </c>
      <c r="N1102" s="13"/>
      <c r="O1102" s="13">
        <v>866</v>
      </c>
      <c r="P1102" s="3">
        <f t="shared" si="93"/>
        <v>0</v>
      </c>
      <c r="Q1102" s="3">
        <f t="shared" si="94"/>
        <v>866</v>
      </c>
      <c r="R1102" s="3">
        <f t="shared" si="95"/>
        <v>111288.03000000001</v>
      </c>
      <c r="S1102" s="24"/>
      <c r="T1102" s="24"/>
      <c r="U1102" s="53"/>
      <c r="V1102" s="25" t="str">
        <f>IFERROR(VLOOKUP(BCP_Soles[[#This Row],[destinatario]],CHOOSE({1,2},Clientes_Proveedores[Razon Social],Clientes_Proveedores[Ruc / Dni]),2,0),"")</f>
        <v/>
      </c>
      <c r="W1102" s="25" t="s">
        <v>1389</v>
      </c>
      <c r="X1102" s="25"/>
      <c r="Y1102" s="25"/>
      <c r="Z1102" s="75"/>
      <c r="AA1102" s="3" t="str">
        <f>IF(BCP_Soles[[#This Row],[fecha]]&gt;0,TEXT(BCP_Soles[[#This Row],[fecha]],"mmmm"),0)</f>
        <v>Marzo</v>
      </c>
    </row>
    <row r="1103" spans="1:27" ht="24" x14ac:dyDescent="0.3">
      <c r="A1103" s="2">
        <f>IF(BCP_Soles[[#This Row],[tipo_registro]]="R",COUNTIFS($C$1:$C1102,"R")+1,A1102)</f>
        <v>828</v>
      </c>
      <c r="B1103" s="19" t="str">
        <f t="shared" si="91"/>
        <v>B-BCP - Soles</v>
      </c>
      <c r="C1103" s="3" t="s">
        <v>1330</v>
      </c>
      <c r="D1103" s="14">
        <v>45747</v>
      </c>
      <c r="E1103" s="5" t="s">
        <v>2269</v>
      </c>
      <c r="F1103" s="5" t="s">
        <v>1336</v>
      </c>
      <c r="G1103" s="6" t="s">
        <v>249</v>
      </c>
      <c r="H1103" s="6"/>
      <c r="I1103" s="6"/>
      <c r="J1103" s="6"/>
      <c r="K1103" s="7" t="s">
        <v>2500</v>
      </c>
      <c r="L1103" s="8">
        <v>1302140</v>
      </c>
      <c r="M1103" s="8" t="str">
        <f t="shared" si="92"/>
        <v>PEN</v>
      </c>
      <c r="N1103" s="13"/>
      <c r="O1103" s="13">
        <v>975.15</v>
      </c>
      <c r="P1103" s="3">
        <f t="shared" si="93"/>
        <v>0</v>
      </c>
      <c r="Q1103" s="3">
        <f t="shared" si="94"/>
        <v>975.15</v>
      </c>
      <c r="R1103" s="3">
        <f t="shared" si="95"/>
        <v>110312.88000000002</v>
      </c>
      <c r="S1103" s="24"/>
      <c r="T1103" s="24"/>
      <c r="U1103" s="53"/>
      <c r="V1103" s="25">
        <f>IFERROR(VLOOKUP(BCP_Soles[[#This Row],[destinatario]],CHOOSE({1,2},Clientes_Proveedores[Razon Social],Clientes_Proveedores[Ruc / Dni]),2,0),"")</f>
        <v>20302891452</v>
      </c>
      <c r="W1103" s="25" t="s">
        <v>249</v>
      </c>
      <c r="X1103" s="25"/>
      <c r="Y1103" s="25"/>
      <c r="Z1103" s="75"/>
      <c r="AA1103" s="3" t="str">
        <f>IF(BCP_Soles[[#This Row],[fecha]]&gt;0,TEXT(BCP_Soles[[#This Row],[fecha]],"mmmm"),0)</f>
        <v>Marzo</v>
      </c>
    </row>
    <row r="1104" spans="1:27" x14ac:dyDescent="0.3">
      <c r="A1104" s="2">
        <f>IF(BCP_Soles[[#This Row],[tipo_registro]]="R",COUNTIFS($C$1:$C1103,"R")+1,A1103)</f>
        <v>829</v>
      </c>
      <c r="B1104" s="19" t="str">
        <f t="shared" si="91"/>
        <v>B-BCP - Soles</v>
      </c>
      <c r="C1104" s="3" t="s">
        <v>1330</v>
      </c>
      <c r="D1104" s="14">
        <v>45747</v>
      </c>
      <c r="E1104" s="5" t="s">
        <v>2269</v>
      </c>
      <c r="F1104" s="5" t="s">
        <v>1336</v>
      </c>
      <c r="G1104" s="6"/>
      <c r="H1104" s="6"/>
      <c r="I1104" s="6"/>
      <c r="J1104" s="6"/>
      <c r="K1104" s="7" t="s">
        <v>2501</v>
      </c>
      <c r="L1104" s="8">
        <v>8884305</v>
      </c>
      <c r="M1104" s="8" t="str">
        <f t="shared" si="92"/>
        <v>PEN</v>
      </c>
      <c r="N1104" s="13"/>
      <c r="O1104" s="13">
        <v>4455.2</v>
      </c>
      <c r="P1104" s="3">
        <f t="shared" si="93"/>
        <v>0</v>
      </c>
      <c r="Q1104" s="3">
        <f t="shared" si="94"/>
        <v>4455.2</v>
      </c>
      <c r="R1104" s="3">
        <f t="shared" si="95"/>
        <v>105857.68000000002</v>
      </c>
      <c r="S1104" s="24" t="s">
        <v>1334</v>
      </c>
      <c r="T1104" s="24" t="s">
        <v>1334</v>
      </c>
      <c r="U1104" s="53"/>
      <c r="V1104" s="25" t="str">
        <f>IFERROR(VLOOKUP(BCP_Soles[[#This Row],[destinatario]],CHOOSE({1,2},Clientes_Proveedores[Razon Social],Clientes_Proveedores[Ruc / Dni]),2,0),"")</f>
        <v/>
      </c>
      <c r="W1104" s="25" t="s">
        <v>1373</v>
      </c>
      <c r="X1104" s="25"/>
      <c r="Y1104" s="25"/>
      <c r="Z1104" s="75"/>
      <c r="AA1104" s="3" t="str">
        <f>IF(BCP_Soles[[#This Row],[fecha]]&gt;0,TEXT(BCP_Soles[[#This Row],[fecha]],"mmmm"),0)</f>
        <v>Marzo</v>
      </c>
    </row>
    <row r="1105" spans="1:27" ht="36" x14ac:dyDescent="0.3">
      <c r="A1105" s="2">
        <f>IF(BCP_Soles[[#This Row],[tipo_registro]]="R",COUNTIFS($C$1:$C1104,"R")+1,A1104)</f>
        <v>829</v>
      </c>
      <c r="B1105" s="19" t="str">
        <f t="shared" ref="B1105:B1168" si="96">"B-BCP - Soles"</f>
        <v>B-BCP - Soles</v>
      </c>
      <c r="C1105" s="3" t="s">
        <v>1352</v>
      </c>
      <c r="D1105" s="14">
        <v>45747</v>
      </c>
      <c r="E1105" s="5" t="s">
        <v>2269</v>
      </c>
      <c r="F1105" s="5"/>
      <c r="G1105" s="6" t="s">
        <v>383</v>
      </c>
      <c r="H1105" s="6" t="s">
        <v>68</v>
      </c>
      <c r="I1105" s="6" t="s">
        <v>1804</v>
      </c>
      <c r="J1105" s="6">
        <v>647</v>
      </c>
      <c r="K1105" s="7" t="s">
        <v>2501</v>
      </c>
      <c r="L1105" s="8">
        <v>8884305</v>
      </c>
      <c r="M1105" s="8" t="str">
        <f t="shared" ref="M1105:M1168" si="97">"PEN"</f>
        <v>PEN</v>
      </c>
      <c r="N1105" s="13">
        <v>183.2</v>
      </c>
      <c r="O1105" s="13"/>
      <c r="P1105" s="3">
        <f t="shared" ref="P1105:P1168" si="98">+IF(OR($F1105="SALDO",$F1105="INGRESO"),$O1105,0)</f>
        <v>0</v>
      </c>
      <c r="Q1105" s="3">
        <f t="shared" ref="Q1105:Q1168" si="99">+IF($F1105="EGRESO",$O1105,0)</f>
        <v>0</v>
      </c>
      <c r="R1105" s="3">
        <f t="shared" si="95"/>
        <v>105857.68000000002</v>
      </c>
      <c r="S1105" s="24"/>
      <c r="T1105" s="24" t="s">
        <v>1334</v>
      </c>
      <c r="U1105" s="53"/>
      <c r="V1105" s="25">
        <f>IFERROR(VLOOKUP(BCP_Soles[[#This Row],[destinatario]],CHOOSE({1,2},Clientes_Proveedores[Razon Social],Clientes_Proveedores[Ruc / Dni]),2,0),"")</f>
        <v>20538593053</v>
      </c>
      <c r="W1105" s="25"/>
      <c r="X1105" s="25" t="s">
        <v>383</v>
      </c>
      <c r="Y1105" s="25"/>
      <c r="Z1105" s="75"/>
      <c r="AA1105" s="3" t="str">
        <f>IF(BCP_Soles[[#This Row],[fecha]]&gt;0,TEXT(BCP_Soles[[#This Row],[fecha]],"mmmm"),0)</f>
        <v>Marzo</v>
      </c>
    </row>
    <row r="1106" spans="1:27" ht="48" x14ac:dyDescent="0.3">
      <c r="A1106" s="2">
        <f>IF(BCP_Soles[[#This Row],[tipo_registro]]="R",COUNTIFS($C$1:$C1105,"R")+1,A1105)</f>
        <v>829</v>
      </c>
      <c r="B1106" s="19" t="str">
        <f t="shared" si="96"/>
        <v>B-BCP - Soles</v>
      </c>
      <c r="C1106" s="3" t="s">
        <v>1352</v>
      </c>
      <c r="D1106" s="14">
        <v>45747</v>
      </c>
      <c r="E1106" s="5" t="s">
        <v>2269</v>
      </c>
      <c r="F1106" s="5"/>
      <c r="G1106" s="6" t="s">
        <v>277</v>
      </c>
      <c r="H1106" s="6" t="s">
        <v>68</v>
      </c>
      <c r="I1106" s="6" t="s">
        <v>1390</v>
      </c>
      <c r="J1106" s="6">
        <v>1683</v>
      </c>
      <c r="K1106" s="7" t="s">
        <v>2501</v>
      </c>
      <c r="L1106" s="8">
        <v>8884305</v>
      </c>
      <c r="M1106" s="8" t="str">
        <f t="shared" si="97"/>
        <v>PEN</v>
      </c>
      <c r="N1106" s="13">
        <v>1728</v>
      </c>
      <c r="O1106" s="13"/>
      <c r="P1106" s="3">
        <f t="shared" si="98"/>
        <v>0</v>
      </c>
      <c r="Q1106" s="3">
        <f t="shared" si="99"/>
        <v>0</v>
      </c>
      <c r="R1106" s="3">
        <f t="shared" si="95"/>
        <v>105857.68000000002</v>
      </c>
      <c r="S1106" s="24"/>
      <c r="T1106" s="24" t="s">
        <v>1334</v>
      </c>
      <c r="U1106" s="53"/>
      <c r="V1106" s="25">
        <f>IFERROR(VLOOKUP(BCP_Soles[[#This Row],[destinatario]],CHOOSE({1,2},Clientes_Proveedores[Razon Social],Clientes_Proveedores[Ruc / Dni]),2,0),"")</f>
        <v>20429640939</v>
      </c>
      <c r="W1106" s="25"/>
      <c r="X1106" s="25" t="s">
        <v>277</v>
      </c>
      <c r="Y1106" s="25"/>
      <c r="Z1106" s="75"/>
      <c r="AA1106" s="3" t="str">
        <f>IF(BCP_Soles[[#This Row],[fecha]]&gt;0,TEXT(BCP_Soles[[#This Row],[fecha]],"mmmm"),0)</f>
        <v>Marzo</v>
      </c>
    </row>
    <row r="1107" spans="1:27" ht="48" x14ac:dyDescent="0.3">
      <c r="A1107" s="2">
        <f>IF(BCP_Soles[[#This Row],[tipo_registro]]="R",COUNTIFS($C$1:$C1106,"R")+1,A1106)</f>
        <v>829</v>
      </c>
      <c r="B1107" s="19" t="str">
        <f t="shared" si="96"/>
        <v>B-BCP - Soles</v>
      </c>
      <c r="C1107" s="3" t="s">
        <v>1352</v>
      </c>
      <c r="D1107" s="14">
        <v>45747</v>
      </c>
      <c r="E1107" s="5" t="s">
        <v>2269</v>
      </c>
      <c r="F1107" s="5"/>
      <c r="G1107" s="6" t="s">
        <v>277</v>
      </c>
      <c r="H1107" s="6" t="s">
        <v>68</v>
      </c>
      <c r="I1107" s="6" t="s">
        <v>1390</v>
      </c>
      <c r="J1107" s="6">
        <v>1684</v>
      </c>
      <c r="K1107" s="7" t="s">
        <v>2501</v>
      </c>
      <c r="L1107" s="8">
        <v>8884305</v>
      </c>
      <c r="M1107" s="8" t="str">
        <f t="shared" si="97"/>
        <v>PEN</v>
      </c>
      <c r="N1107" s="13">
        <v>2544</v>
      </c>
      <c r="O1107" s="13"/>
      <c r="P1107" s="3">
        <f t="shared" si="98"/>
        <v>0</v>
      </c>
      <c r="Q1107" s="3">
        <f t="shared" si="99"/>
        <v>0</v>
      </c>
      <c r="R1107" s="3">
        <f t="shared" si="95"/>
        <v>105857.68000000002</v>
      </c>
      <c r="S1107" s="24"/>
      <c r="T1107" s="24" t="s">
        <v>1334</v>
      </c>
      <c r="U1107" s="53"/>
      <c r="V1107" s="25">
        <f>IFERROR(VLOOKUP(BCP_Soles[[#This Row],[destinatario]],CHOOSE({1,2},Clientes_Proveedores[Razon Social],Clientes_Proveedores[Ruc / Dni]),2,0),"")</f>
        <v>20429640939</v>
      </c>
      <c r="W1107" s="25"/>
      <c r="X1107" s="25" t="s">
        <v>277</v>
      </c>
      <c r="Y1107" s="25"/>
      <c r="Z1107" s="75"/>
      <c r="AA1107" s="3" t="str">
        <f>IF(BCP_Soles[[#This Row],[fecha]]&gt;0,TEXT(BCP_Soles[[#This Row],[fecha]],"mmmm"),0)</f>
        <v>Marzo</v>
      </c>
    </row>
    <row r="1108" spans="1:27" ht="24" x14ac:dyDescent="0.3">
      <c r="A1108" s="2">
        <f>IF(BCP_Soles[[#This Row],[tipo_registro]]="R",COUNTIFS($C$1:$C1107,"R")+1,A1107)</f>
        <v>830</v>
      </c>
      <c r="B1108" s="19" t="str">
        <f t="shared" si="96"/>
        <v>B-BCP - Soles</v>
      </c>
      <c r="C1108" s="3" t="s">
        <v>1330</v>
      </c>
      <c r="D1108" s="14">
        <v>45748</v>
      </c>
      <c r="E1108" s="5" t="s">
        <v>2502</v>
      </c>
      <c r="F1108" s="5" t="s">
        <v>1303</v>
      </c>
      <c r="G1108" s="6" t="s">
        <v>425</v>
      </c>
      <c r="H1108" s="6" t="s">
        <v>119</v>
      </c>
      <c r="I1108" s="6">
        <v>1</v>
      </c>
      <c r="J1108" s="6">
        <v>4289</v>
      </c>
      <c r="K1108" s="7" t="s">
        <v>1356</v>
      </c>
      <c r="L1108" s="8">
        <v>3303408</v>
      </c>
      <c r="M1108" s="8" t="str">
        <f t="shared" si="97"/>
        <v>PEN</v>
      </c>
      <c r="N1108" s="13"/>
      <c r="O1108" s="13">
        <v>1000</v>
      </c>
      <c r="P1108" s="3">
        <f t="shared" si="98"/>
        <v>1000</v>
      </c>
      <c r="Q1108" s="3">
        <f t="shared" si="99"/>
        <v>0</v>
      </c>
      <c r="R1108" s="3">
        <f t="shared" si="95"/>
        <v>106857.68000000002</v>
      </c>
      <c r="S1108" s="24" t="s">
        <v>1334</v>
      </c>
      <c r="T1108" s="24" t="s">
        <v>1334</v>
      </c>
      <c r="U1108" s="53"/>
      <c r="V1108" s="25">
        <f>IFERROR(VLOOKUP(BCP_Soles[[#This Row],[destinatario]],CHOOSE({1,2},Clientes_Proveedores[Razon Social],Clientes_Proveedores[Ruc / Dni]),2,0),"")</f>
        <v>20558226979</v>
      </c>
      <c r="W1108" s="25" t="s">
        <v>1345</v>
      </c>
      <c r="X1108" s="25" t="s">
        <v>2503</v>
      </c>
      <c r="Y1108" s="25"/>
      <c r="Z1108" s="75"/>
      <c r="AA1108" s="3" t="str">
        <f>IF(BCP_Soles[[#This Row],[fecha]]&gt;0,TEXT(BCP_Soles[[#This Row],[fecha]],"mmmm"),0)</f>
        <v>Abril</v>
      </c>
    </row>
    <row r="1109" spans="1:27" ht="24" x14ac:dyDescent="0.3">
      <c r="A1109" s="2">
        <f>IF(BCP_Soles[[#This Row],[tipo_registro]]="R",COUNTIFS($C$1:$C1108,"R")+1,A1108)</f>
        <v>831</v>
      </c>
      <c r="B1109" s="19" t="str">
        <f t="shared" si="96"/>
        <v>B-BCP - Soles</v>
      </c>
      <c r="C1109" s="3" t="s">
        <v>1330</v>
      </c>
      <c r="D1109" s="14">
        <v>45748</v>
      </c>
      <c r="E1109" s="5" t="s">
        <v>1335</v>
      </c>
      <c r="F1109" s="5" t="s">
        <v>1336</v>
      </c>
      <c r="G1109" s="6" t="s">
        <v>1060</v>
      </c>
      <c r="H1109" s="6" t="s">
        <v>68</v>
      </c>
      <c r="I1109" s="6" t="s">
        <v>1397</v>
      </c>
      <c r="J1109" s="6">
        <v>31118618</v>
      </c>
      <c r="K1109" s="7" t="s">
        <v>2504</v>
      </c>
      <c r="L1109" s="8">
        <v>9805972</v>
      </c>
      <c r="M1109" s="8" t="str">
        <f t="shared" si="97"/>
        <v>PEN</v>
      </c>
      <c r="N1109" s="13"/>
      <c r="O1109" s="13">
        <v>2.5</v>
      </c>
      <c r="P1109" s="3">
        <f t="shared" si="98"/>
        <v>0</v>
      </c>
      <c r="Q1109" s="3">
        <f t="shared" si="99"/>
        <v>2.5</v>
      </c>
      <c r="R1109" s="3">
        <f t="shared" si="95"/>
        <v>106855.18000000002</v>
      </c>
      <c r="S1109" s="24" t="s">
        <v>1334</v>
      </c>
      <c r="T1109" s="24" t="s">
        <v>1334</v>
      </c>
      <c r="U1109" s="53"/>
      <c r="V1109" s="25">
        <f>IFERROR(VLOOKUP(BCP_Soles[[#This Row],[destinatario]],CHOOSE({1,2},Clientes_Proveedores[Razon Social],Clientes_Proveedores[Ruc / Dni]),2,0),"")</f>
        <v>20100047218</v>
      </c>
      <c r="W1109" s="25" t="s">
        <v>1335</v>
      </c>
      <c r="X1109" s="25" t="s">
        <v>2505</v>
      </c>
      <c r="Y1109" s="25"/>
      <c r="Z1109" s="75"/>
      <c r="AA1109" s="3" t="str">
        <f>IF(BCP_Soles[[#This Row],[fecha]]&gt;0,TEXT(BCP_Soles[[#This Row],[fecha]],"mmmm"),0)</f>
        <v>Abril</v>
      </c>
    </row>
    <row r="1110" spans="1:27" x14ac:dyDescent="0.3">
      <c r="A1110" s="2">
        <f>IF(BCP_Soles[[#This Row],[tipo_registro]]="R",COUNTIFS($C$1:$C1109,"R")+1,A1109)</f>
        <v>832</v>
      </c>
      <c r="B1110" s="19" t="str">
        <f t="shared" si="96"/>
        <v>B-BCP - Soles</v>
      </c>
      <c r="C1110" s="3" t="s">
        <v>1330</v>
      </c>
      <c r="D1110" s="14">
        <v>45748</v>
      </c>
      <c r="E1110" s="5" t="s">
        <v>1335</v>
      </c>
      <c r="F1110" s="5" t="s">
        <v>1336</v>
      </c>
      <c r="G1110" s="6"/>
      <c r="H1110" s="6"/>
      <c r="I1110" s="6"/>
      <c r="J1110" s="6"/>
      <c r="K1110" s="7" t="s">
        <v>1337</v>
      </c>
      <c r="L1110" s="8"/>
      <c r="M1110" s="8" t="str">
        <f t="shared" si="97"/>
        <v>PEN</v>
      </c>
      <c r="N1110" s="13"/>
      <c r="O1110" s="13">
        <v>3.9</v>
      </c>
      <c r="P1110" s="3">
        <f t="shared" si="98"/>
        <v>0</v>
      </c>
      <c r="Q1110" s="3">
        <f t="shared" si="99"/>
        <v>3.9</v>
      </c>
      <c r="R1110" s="3">
        <f t="shared" si="95"/>
        <v>106851.28000000003</v>
      </c>
      <c r="S1110" s="24"/>
      <c r="T1110" s="24" t="s">
        <v>1334</v>
      </c>
      <c r="U1110" s="53"/>
      <c r="V1110" s="25" t="str">
        <f>IFERROR(VLOOKUP(BCP_Soles[[#This Row],[destinatario]],CHOOSE({1,2},Clientes_Proveedores[Razon Social],Clientes_Proveedores[Ruc / Dni]),2,0),"")</f>
        <v/>
      </c>
      <c r="W1110" s="25"/>
      <c r="X1110" s="25"/>
      <c r="Y1110" s="25"/>
      <c r="Z1110" s="75"/>
      <c r="AA1110" s="3" t="str">
        <f>IF(BCP_Soles[[#This Row],[fecha]]&gt;0,TEXT(BCP_Soles[[#This Row],[fecha]],"mmmm"),0)</f>
        <v>Abril</v>
      </c>
    </row>
    <row r="1111" spans="1:27" x14ac:dyDescent="0.3">
      <c r="A1111" s="2">
        <f>IF(BCP_Soles[[#This Row],[tipo_registro]]="R",COUNTIFS($C$1:$C1110,"R")+1,A1110)</f>
        <v>833</v>
      </c>
      <c r="B1111" s="19" t="str">
        <f t="shared" si="96"/>
        <v>B-BCP - Soles</v>
      </c>
      <c r="C1111" s="3" t="s">
        <v>1330</v>
      </c>
      <c r="D1111" s="14">
        <v>45748</v>
      </c>
      <c r="E1111" s="5" t="s">
        <v>1338</v>
      </c>
      <c r="F1111" s="5" t="s">
        <v>1336</v>
      </c>
      <c r="G1111" s="6" t="s">
        <v>196</v>
      </c>
      <c r="H1111" s="6" t="s">
        <v>68</v>
      </c>
      <c r="I1111" s="6" t="s">
        <v>2226</v>
      </c>
      <c r="J1111" s="6">
        <v>6148</v>
      </c>
      <c r="K1111" s="7" t="s">
        <v>2227</v>
      </c>
      <c r="L1111" s="8">
        <v>12870</v>
      </c>
      <c r="M1111" s="8" t="str">
        <f t="shared" si="97"/>
        <v>PEN</v>
      </c>
      <c r="N1111" s="13"/>
      <c r="O1111" s="13">
        <v>6.79</v>
      </c>
      <c r="P1111" s="3">
        <f t="shared" si="98"/>
        <v>0</v>
      </c>
      <c r="Q1111" s="3">
        <f t="shared" si="99"/>
        <v>6.79</v>
      </c>
      <c r="R1111" s="3">
        <f t="shared" si="95"/>
        <v>106844.49000000003</v>
      </c>
      <c r="S1111" s="24" t="s">
        <v>1334</v>
      </c>
      <c r="T1111" s="24" t="s">
        <v>1334</v>
      </c>
      <c r="U1111" s="53"/>
      <c r="V1111" s="25">
        <f>IFERROR(VLOOKUP(BCP_Soles[[#This Row],[destinatario]],CHOOSE({1,2},Clientes_Proveedores[Razon Social],Clientes_Proveedores[Ruc / Dni]),2,0),"")</f>
        <v>20100055237</v>
      </c>
      <c r="W1111" s="25" t="s">
        <v>2228</v>
      </c>
      <c r="X1111" s="25" t="s">
        <v>2506</v>
      </c>
      <c r="Y1111" s="25"/>
      <c r="Z1111" s="75"/>
      <c r="AA1111" s="3" t="str">
        <f>IF(BCP_Soles[[#This Row],[fecha]]&gt;0,TEXT(BCP_Soles[[#This Row],[fecha]],"mmmm"),0)</f>
        <v>Abril</v>
      </c>
    </row>
    <row r="1112" spans="1:27" ht="24" x14ac:dyDescent="0.3">
      <c r="A1112" s="2">
        <f>IF(BCP_Soles[[#This Row],[tipo_registro]]="R",COUNTIFS($C$1:$C1111,"R")+1,A1111)</f>
        <v>834</v>
      </c>
      <c r="B1112" s="19" t="str">
        <f t="shared" si="96"/>
        <v>B-BCP - Soles</v>
      </c>
      <c r="C1112" s="3" t="s">
        <v>1330</v>
      </c>
      <c r="D1112" s="14">
        <v>45748</v>
      </c>
      <c r="E1112" s="5" t="s">
        <v>1335</v>
      </c>
      <c r="F1112" s="5" t="s">
        <v>1336</v>
      </c>
      <c r="G1112" s="6" t="s">
        <v>1060</v>
      </c>
      <c r="H1112" s="6" t="s">
        <v>68</v>
      </c>
      <c r="I1112" s="6" t="s">
        <v>1397</v>
      </c>
      <c r="J1112" s="6">
        <v>31110149</v>
      </c>
      <c r="K1112" s="7" t="s">
        <v>1400</v>
      </c>
      <c r="L1112" s="8">
        <v>527</v>
      </c>
      <c r="M1112" s="8" t="str">
        <f t="shared" si="97"/>
        <v>PEN</v>
      </c>
      <c r="N1112" s="13"/>
      <c r="O1112" s="13">
        <v>10</v>
      </c>
      <c r="P1112" s="3">
        <f t="shared" si="98"/>
        <v>0</v>
      </c>
      <c r="Q1112" s="3">
        <f t="shared" si="99"/>
        <v>10</v>
      </c>
      <c r="R1112" s="3">
        <f t="shared" si="95"/>
        <v>106834.49000000003</v>
      </c>
      <c r="S1112" s="24" t="s">
        <v>1334</v>
      </c>
      <c r="T1112" s="24" t="s">
        <v>1334</v>
      </c>
      <c r="U1112" s="53"/>
      <c r="V1112" s="25">
        <f>IFERROR(VLOOKUP(BCP_Soles[[#This Row],[destinatario]],CHOOSE({1,2},Clientes_Proveedores[Razon Social],Clientes_Proveedores[Ruc / Dni]),2,0),"")</f>
        <v>20100047218</v>
      </c>
      <c r="W1112" s="25" t="s">
        <v>1335</v>
      </c>
      <c r="X1112" s="25" t="s">
        <v>2507</v>
      </c>
      <c r="Y1112" s="25"/>
      <c r="Z1112" s="75"/>
      <c r="AA1112" s="3" t="str">
        <f>IF(BCP_Soles[[#This Row],[fecha]]&gt;0,TEXT(BCP_Soles[[#This Row],[fecha]],"mmmm"),0)</f>
        <v>Abril</v>
      </c>
    </row>
    <row r="1113" spans="1:27" x14ac:dyDescent="0.3">
      <c r="A1113" s="2">
        <f>IF(BCP_Soles[[#This Row],[tipo_registro]]="R",COUNTIFS($C$1:$C1112,"R")+1,A1112)</f>
        <v>835</v>
      </c>
      <c r="B1113" s="19" t="str">
        <f t="shared" si="96"/>
        <v>B-BCP - Soles</v>
      </c>
      <c r="C1113" s="3" t="s">
        <v>1330</v>
      </c>
      <c r="D1113" s="14">
        <v>45748</v>
      </c>
      <c r="E1113" s="5" t="s">
        <v>1338</v>
      </c>
      <c r="F1113" s="5" t="s">
        <v>1336</v>
      </c>
      <c r="G1113" s="6" t="s">
        <v>196</v>
      </c>
      <c r="H1113" s="6" t="s">
        <v>68</v>
      </c>
      <c r="I1113" s="6" t="s">
        <v>2226</v>
      </c>
      <c r="J1113" s="6">
        <v>6149</v>
      </c>
      <c r="K1113" s="7" t="s">
        <v>2227</v>
      </c>
      <c r="L1113" s="8">
        <v>15848</v>
      </c>
      <c r="M1113" s="8" t="str">
        <f t="shared" si="97"/>
        <v>PEN</v>
      </c>
      <c r="N1113" s="13"/>
      <c r="O1113" s="13">
        <v>55.49</v>
      </c>
      <c r="P1113" s="3">
        <f t="shared" si="98"/>
        <v>0</v>
      </c>
      <c r="Q1113" s="3">
        <f t="shared" si="99"/>
        <v>55.49</v>
      </c>
      <c r="R1113" s="3">
        <f t="shared" si="95"/>
        <v>106779.00000000003</v>
      </c>
      <c r="S1113" s="24" t="s">
        <v>1334</v>
      </c>
      <c r="T1113" s="24" t="s">
        <v>1334</v>
      </c>
      <c r="U1113" s="53"/>
      <c r="V1113" s="25">
        <f>IFERROR(VLOOKUP(BCP_Soles[[#This Row],[destinatario]],CHOOSE({1,2},Clientes_Proveedores[Razon Social],Clientes_Proveedores[Ruc / Dni]),2,0),"")</f>
        <v>20100055237</v>
      </c>
      <c r="W1113" s="25" t="s">
        <v>2228</v>
      </c>
      <c r="X1113" s="25" t="s">
        <v>2508</v>
      </c>
      <c r="Y1113" s="25"/>
      <c r="Z1113" s="75"/>
      <c r="AA1113" s="3" t="str">
        <f>IF(BCP_Soles[[#This Row],[fecha]]&gt;0,TEXT(BCP_Soles[[#This Row],[fecha]],"mmmm"),0)</f>
        <v>Abril</v>
      </c>
    </row>
    <row r="1114" spans="1:27" ht="24" x14ac:dyDescent="0.3">
      <c r="A1114" s="2">
        <f>IF(BCP_Soles[[#This Row],[tipo_registro]]="R",COUNTIFS($C$1:$C1113,"R")+1,A1113)</f>
        <v>836</v>
      </c>
      <c r="B1114" s="19" t="str">
        <f t="shared" si="96"/>
        <v>B-BCP - Soles</v>
      </c>
      <c r="C1114" s="3" t="s">
        <v>1330</v>
      </c>
      <c r="D1114" s="14">
        <v>45748</v>
      </c>
      <c r="E1114" s="5" t="s">
        <v>1338</v>
      </c>
      <c r="F1114" s="5" t="s">
        <v>1336</v>
      </c>
      <c r="G1114" s="6" t="s">
        <v>857</v>
      </c>
      <c r="H1114" s="6" t="s">
        <v>143</v>
      </c>
      <c r="I1114" s="6">
        <v>1</v>
      </c>
      <c r="J1114" s="6">
        <v>212025</v>
      </c>
      <c r="K1114" s="7" t="s">
        <v>2509</v>
      </c>
      <c r="L1114" s="8">
        <v>1220477</v>
      </c>
      <c r="M1114" s="8" t="str">
        <f t="shared" si="97"/>
        <v>PEN</v>
      </c>
      <c r="N1114" s="13"/>
      <c r="O1114" s="13">
        <v>145</v>
      </c>
      <c r="P1114" s="3">
        <f t="shared" si="98"/>
        <v>0</v>
      </c>
      <c r="Q1114" s="3">
        <f t="shared" si="99"/>
        <v>145</v>
      </c>
      <c r="R1114" s="3">
        <f t="shared" si="95"/>
        <v>106634.00000000003</v>
      </c>
      <c r="S1114" s="24" t="s">
        <v>1334</v>
      </c>
      <c r="T1114" s="24" t="s">
        <v>1334</v>
      </c>
      <c r="U1114" s="53"/>
      <c r="V1114" s="25">
        <f>IFERROR(VLOOKUP(BCP_Soles[[#This Row],[destinatario]],CHOOSE({1,2},Clientes_Proveedores[Razon Social],Clientes_Proveedores[Ruc / Dni]),2,0),"")</f>
        <v>70666331</v>
      </c>
      <c r="W1114" s="25"/>
      <c r="X1114" s="25"/>
      <c r="Y1114" s="25"/>
      <c r="Z1114" s="75"/>
      <c r="AA1114" s="3" t="str">
        <f>IF(BCP_Soles[[#This Row],[fecha]]&gt;0,TEXT(BCP_Soles[[#This Row],[fecha]],"mmmm"),0)</f>
        <v>Abril</v>
      </c>
    </row>
    <row r="1115" spans="1:27" x14ac:dyDescent="0.3">
      <c r="A1115" s="2">
        <f>IF(BCP_Soles[[#This Row],[tipo_registro]]="R",COUNTIFS($C$1:$C1114,"R")+1,A1114)</f>
        <v>837</v>
      </c>
      <c r="B1115" s="19" t="str">
        <f t="shared" si="96"/>
        <v>B-BCP - Soles</v>
      </c>
      <c r="C1115" s="3" t="s">
        <v>1330</v>
      </c>
      <c r="D1115" s="14">
        <v>45748</v>
      </c>
      <c r="E1115" s="5" t="s">
        <v>1338</v>
      </c>
      <c r="F1115" s="5" t="s">
        <v>1336</v>
      </c>
      <c r="G1115" s="6" t="s">
        <v>196</v>
      </c>
      <c r="H1115" s="6" t="s">
        <v>68</v>
      </c>
      <c r="I1115" s="6" t="s">
        <v>2226</v>
      </c>
      <c r="J1115" s="6">
        <v>6147</v>
      </c>
      <c r="K1115" s="7" t="s">
        <v>2227</v>
      </c>
      <c r="L1115" s="8">
        <v>15348</v>
      </c>
      <c r="M1115" s="8" t="str">
        <f t="shared" si="97"/>
        <v>PEN</v>
      </c>
      <c r="N1115" s="13"/>
      <c r="O1115" s="13">
        <v>167.53</v>
      </c>
      <c r="P1115" s="3">
        <f t="shared" si="98"/>
        <v>0</v>
      </c>
      <c r="Q1115" s="3">
        <f t="shared" si="99"/>
        <v>167.53</v>
      </c>
      <c r="R1115" s="3">
        <f t="shared" si="95"/>
        <v>106466.47000000003</v>
      </c>
      <c r="S1115" s="24" t="s">
        <v>1334</v>
      </c>
      <c r="T1115" s="24" t="s">
        <v>1334</v>
      </c>
      <c r="U1115" s="53"/>
      <c r="V1115" s="25">
        <f>IFERROR(VLOOKUP(BCP_Soles[[#This Row],[destinatario]],CHOOSE({1,2},Clientes_Proveedores[Razon Social],Clientes_Proveedores[Ruc / Dni]),2,0),"")</f>
        <v>20100055237</v>
      </c>
      <c r="W1115" s="25" t="s">
        <v>2228</v>
      </c>
      <c r="X1115" s="25" t="s">
        <v>2510</v>
      </c>
      <c r="Y1115" s="25"/>
      <c r="Z1115" s="75"/>
      <c r="AA1115" s="3" t="str">
        <f>IF(BCP_Soles[[#This Row],[fecha]]&gt;0,TEXT(BCP_Soles[[#This Row],[fecha]],"mmmm"),0)</f>
        <v>Abril</v>
      </c>
    </row>
    <row r="1116" spans="1:27" ht="24" x14ac:dyDescent="0.3">
      <c r="A1116" s="2">
        <f>IF(BCP_Soles[[#This Row],[tipo_registro]]="R",COUNTIFS($C$1:$C1115,"R")+1,A1115)</f>
        <v>838</v>
      </c>
      <c r="B1116" s="19" t="str">
        <f t="shared" si="96"/>
        <v>B-BCP - Soles</v>
      </c>
      <c r="C1116" s="3" t="s">
        <v>1330</v>
      </c>
      <c r="D1116" s="14">
        <v>45748</v>
      </c>
      <c r="E1116" s="5" t="s">
        <v>1338</v>
      </c>
      <c r="F1116" s="5" t="s">
        <v>1336</v>
      </c>
      <c r="G1116" s="6" t="s">
        <v>249</v>
      </c>
      <c r="H1116" s="6"/>
      <c r="I1116" s="6"/>
      <c r="J1116" s="6"/>
      <c r="K1116" s="7" t="s">
        <v>2511</v>
      </c>
      <c r="L1116" s="8">
        <v>1015347</v>
      </c>
      <c r="M1116" s="8" t="str">
        <f t="shared" si="97"/>
        <v>PEN</v>
      </c>
      <c r="N1116" s="13"/>
      <c r="O1116" s="13">
        <v>245.72</v>
      </c>
      <c r="P1116" s="3">
        <f t="shared" si="98"/>
        <v>0</v>
      </c>
      <c r="Q1116" s="3">
        <f t="shared" si="99"/>
        <v>245.72</v>
      </c>
      <c r="R1116" s="3">
        <f t="shared" si="95"/>
        <v>106220.75000000003</v>
      </c>
      <c r="S1116" s="24"/>
      <c r="T1116" s="24"/>
      <c r="U1116" s="53"/>
      <c r="V1116" s="25">
        <f>IFERROR(VLOOKUP(BCP_Soles[[#This Row],[destinatario]],CHOOSE({1,2},Clientes_Proveedores[Razon Social],Clientes_Proveedores[Ruc / Dni]),2,0),"")</f>
        <v>20302891452</v>
      </c>
      <c r="W1116" s="25" t="s">
        <v>249</v>
      </c>
      <c r="X1116" s="25"/>
      <c r="Y1116" s="25"/>
      <c r="Z1116" s="75"/>
      <c r="AA1116" s="3" t="str">
        <f>IF(BCP_Soles[[#This Row],[fecha]]&gt;0,TEXT(BCP_Soles[[#This Row],[fecha]],"mmmm"),0)</f>
        <v>Abril</v>
      </c>
    </row>
    <row r="1117" spans="1:27" x14ac:dyDescent="0.3">
      <c r="A1117" s="2">
        <f>IF(BCP_Soles[[#This Row],[tipo_registro]]="R",COUNTIFS($C$1:$C1116,"R")+1,A1116)</f>
        <v>839</v>
      </c>
      <c r="B1117" s="19" t="str">
        <f t="shared" si="96"/>
        <v>B-BCP - Soles</v>
      </c>
      <c r="C1117" s="3" t="s">
        <v>1330</v>
      </c>
      <c r="D1117" s="14">
        <v>45748</v>
      </c>
      <c r="E1117" s="5" t="s">
        <v>1338</v>
      </c>
      <c r="F1117" s="5" t="s">
        <v>1336</v>
      </c>
      <c r="G1117" s="6" t="s">
        <v>196</v>
      </c>
      <c r="H1117" s="6" t="s">
        <v>68</v>
      </c>
      <c r="I1117" s="6" t="s">
        <v>2226</v>
      </c>
      <c r="J1117" s="6">
        <v>6145</v>
      </c>
      <c r="K1117" s="7" t="s">
        <v>2227</v>
      </c>
      <c r="L1117" s="8">
        <v>12360</v>
      </c>
      <c r="M1117" s="8" t="str">
        <f t="shared" si="97"/>
        <v>PEN</v>
      </c>
      <c r="N1117" s="13"/>
      <c r="O1117" s="13">
        <v>887.12</v>
      </c>
      <c r="P1117" s="3">
        <f t="shared" si="98"/>
        <v>0</v>
      </c>
      <c r="Q1117" s="3">
        <f t="shared" si="99"/>
        <v>887.12</v>
      </c>
      <c r="R1117" s="3">
        <f t="shared" si="95"/>
        <v>105333.63000000003</v>
      </c>
      <c r="S1117" s="24" t="s">
        <v>1334</v>
      </c>
      <c r="T1117" s="24" t="s">
        <v>1334</v>
      </c>
      <c r="U1117" s="53"/>
      <c r="V1117" s="25">
        <f>IFERROR(VLOOKUP(BCP_Soles[[#This Row],[destinatario]],CHOOSE({1,2},Clientes_Proveedores[Razon Social],Clientes_Proveedores[Ruc / Dni]),2,0),"")</f>
        <v>20100055237</v>
      </c>
      <c r="W1117" s="25" t="s">
        <v>2228</v>
      </c>
      <c r="X1117" s="25" t="s">
        <v>2512</v>
      </c>
      <c r="Y1117" s="25"/>
      <c r="Z1117" s="75"/>
      <c r="AA1117" s="3" t="str">
        <f>IF(BCP_Soles[[#This Row],[fecha]]&gt;0,TEXT(BCP_Soles[[#This Row],[fecha]],"mmmm"),0)</f>
        <v>Abril</v>
      </c>
    </row>
    <row r="1118" spans="1:27" x14ac:dyDescent="0.3">
      <c r="A1118" s="2">
        <f>IF(BCP_Soles[[#This Row],[tipo_registro]]="R",COUNTIFS($C$1:$C1117,"R")+1,A1117)</f>
        <v>840</v>
      </c>
      <c r="B1118" s="19" t="str">
        <f t="shared" si="96"/>
        <v>B-BCP - Soles</v>
      </c>
      <c r="C1118" s="3" t="s">
        <v>1330</v>
      </c>
      <c r="D1118" s="14">
        <v>45748</v>
      </c>
      <c r="E1118" s="5" t="s">
        <v>1338</v>
      </c>
      <c r="F1118" s="5" t="s">
        <v>1336</v>
      </c>
      <c r="G1118" s="6" t="s">
        <v>696</v>
      </c>
      <c r="H1118" s="6"/>
      <c r="I1118" s="6"/>
      <c r="J1118" s="6"/>
      <c r="K1118" s="7" t="s">
        <v>2513</v>
      </c>
      <c r="L1118" s="8">
        <v>9805965</v>
      </c>
      <c r="M1118" s="8" t="str">
        <f t="shared" si="97"/>
        <v>PEN</v>
      </c>
      <c r="N1118" s="13"/>
      <c r="O1118" s="13">
        <v>894.08</v>
      </c>
      <c r="P1118" s="3">
        <f t="shared" si="98"/>
        <v>0</v>
      </c>
      <c r="Q1118" s="3">
        <f t="shared" si="99"/>
        <v>894.08</v>
      </c>
      <c r="R1118" s="3">
        <f t="shared" si="95"/>
        <v>104439.55000000003</v>
      </c>
      <c r="S1118" s="24" t="s">
        <v>1334</v>
      </c>
      <c r="T1118" s="24" t="s">
        <v>1334</v>
      </c>
      <c r="U1118" s="53"/>
      <c r="V1118" s="25">
        <f>IFERROR(VLOOKUP(BCP_Soles[[#This Row],[destinatario]],CHOOSE({1,2},Clientes_Proveedores[Razon Social],Clientes_Proveedores[Ruc / Dni]),2,0),"")</f>
        <v>0</v>
      </c>
      <c r="W1118" s="25" t="s">
        <v>1373</v>
      </c>
      <c r="X1118" s="25"/>
      <c r="Y1118" s="25"/>
      <c r="Z1118" s="75"/>
      <c r="AA1118" s="3" t="str">
        <f>IF(BCP_Soles[[#This Row],[fecha]]&gt;0,TEXT(BCP_Soles[[#This Row],[fecha]],"mmmm"),0)</f>
        <v>Abril</v>
      </c>
    </row>
    <row r="1119" spans="1:27" ht="24" x14ac:dyDescent="0.3">
      <c r="A1119" s="2">
        <f>IF(BCP_Soles[[#This Row],[tipo_registro]]="R",COUNTIFS($C$1:$C1118,"R")+1,A1118)</f>
        <v>840</v>
      </c>
      <c r="B1119" s="19" t="str">
        <f t="shared" si="96"/>
        <v>B-BCP - Soles</v>
      </c>
      <c r="C1119" s="3" t="s">
        <v>1352</v>
      </c>
      <c r="D1119" s="14">
        <v>45748</v>
      </c>
      <c r="E1119" s="5" t="s">
        <v>1338</v>
      </c>
      <c r="F1119" s="5"/>
      <c r="G1119" s="6" t="s">
        <v>661</v>
      </c>
      <c r="H1119" s="6" t="s">
        <v>68</v>
      </c>
      <c r="I1119" s="6" t="s">
        <v>2514</v>
      </c>
      <c r="J1119" s="6">
        <v>143</v>
      </c>
      <c r="K1119" s="7" t="s">
        <v>2513</v>
      </c>
      <c r="L1119" s="8">
        <v>9805965</v>
      </c>
      <c r="M1119" s="8" t="str">
        <f t="shared" si="97"/>
        <v>PEN</v>
      </c>
      <c r="N1119" s="13">
        <v>146.80000000000001</v>
      </c>
      <c r="O1119" s="13"/>
      <c r="P1119" s="3">
        <f t="shared" si="98"/>
        <v>0</v>
      </c>
      <c r="Q1119" s="3">
        <f t="shared" si="99"/>
        <v>0</v>
      </c>
      <c r="R1119" s="3">
        <f t="shared" si="95"/>
        <v>104439.55000000003</v>
      </c>
      <c r="S1119" s="24"/>
      <c r="T1119" s="24" t="s">
        <v>1334</v>
      </c>
      <c r="U1119" s="53"/>
      <c r="V1119" s="25">
        <f>IFERROR(VLOOKUP(BCP_Soles[[#This Row],[destinatario]],CHOOSE({1,2},Clientes_Proveedores[Razon Social],Clientes_Proveedores[Ruc / Dni]),2,0),"")</f>
        <v>20510942559</v>
      </c>
      <c r="W1119" s="25"/>
      <c r="X1119" s="25"/>
      <c r="Y1119" s="25"/>
      <c r="Z1119" s="75"/>
      <c r="AA1119" s="3" t="str">
        <f>IF(BCP_Soles[[#This Row],[fecha]]&gt;0,TEXT(BCP_Soles[[#This Row],[fecha]],"mmmm"),0)</f>
        <v>Abril</v>
      </c>
    </row>
    <row r="1120" spans="1:27" x14ac:dyDescent="0.3">
      <c r="A1120" s="2">
        <f>IF(BCP_Soles[[#This Row],[tipo_registro]]="R",COUNTIFS($C$1:$C1119,"R")+1,A1119)</f>
        <v>840</v>
      </c>
      <c r="B1120" s="19" t="str">
        <f t="shared" si="96"/>
        <v>B-BCP - Soles</v>
      </c>
      <c r="C1120" s="3" t="s">
        <v>1352</v>
      </c>
      <c r="D1120" s="14">
        <v>45748</v>
      </c>
      <c r="E1120" s="5" t="s">
        <v>1338</v>
      </c>
      <c r="F1120" s="5"/>
      <c r="G1120" s="6" t="s">
        <v>286</v>
      </c>
      <c r="H1120" s="6" t="s">
        <v>68</v>
      </c>
      <c r="I1120" s="6" t="s">
        <v>1386</v>
      </c>
      <c r="J1120" s="6">
        <v>1685</v>
      </c>
      <c r="K1120" s="7" t="s">
        <v>2513</v>
      </c>
      <c r="L1120" s="8">
        <v>9805965</v>
      </c>
      <c r="M1120" s="8" t="str">
        <f t="shared" si="97"/>
        <v>PEN</v>
      </c>
      <c r="N1120" s="13">
        <v>711.61</v>
      </c>
      <c r="O1120" s="13"/>
      <c r="P1120" s="3">
        <f t="shared" si="98"/>
        <v>0</v>
      </c>
      <c r="Q1120" s="3">
        <f t="shared" si="99"/>
        <v>0</v>
      </c>
      <c r="R1120" s="3">
        <f t="shared" si="95"/>
        <v>104439.55000000003</v>
      </c>
      <c r="S1120" s="24"/>
      <c r="T1120" s="24" t="s">
        <v>1334</v>
      </c>
      <c r="U1120" s="53"/>
      <c r="V1120" s="25">
        <f>IFERROR(VLOOKUP(BCP_Soles[[#This Row],[destinatario]],CHOOSE({1,2},Clientes_Proveedores[Razon Social],Clientes_Proveedores[Ruc / Dni]),2,0),"")</f>
        <v>20454186002</v>
      </c>
      <c r="W1120" s="25"/>
      <c r="X1120" s="25"/>
      <c r="Y1120" s="25"/>
      <c r="Z1120" s="75"/>
      <c r="AA1120" s="3" t="str">
        <f>IF(BCP_Soles[[#This Row],[fecha]]&gt;0,TEXT(BCP_Soles[[#This Row],[fecha]],"mmmm"),0)</f>
        <v>Abril</v>
      </c>
    </row>
    <row r="1121" spans="1:27" ht="36" x14ac:dyDescent="0.3">
      <c r="A1121" s="2">
        <f>IF(BCP_Soles[[#This Row],[tipo_registro]]="R",COUNTIFS($C$1:$C1120,"R")+1,A1120)</f>
        <v>840</v>
      </c>
      <c r="B1121" s="19" t="str">
        <f t="shared" si="96"/>
        <v>B-BCP - Soles</v>
      </c>
      <c r="C1121" s="3" t="s">
        <v>1352</v>
      </c>
      <c r="D1121" s="14">
        <v>45748</v>
      </c>
      <c r="E1121" s="5" t="s">
        <v>1338</v>
      </c>
      <c r="F1121" s="5"/>
      <c r="G1121" s="6" t="s">
        <v>383</v>
      </c>
      <c r="H1121" s="6" t="s">
        <v>68</v>
      </c>
      <c r="I1121" s="6" t="s">
        <v>1804</v>
      </c>
      <c r="J1121" s="6">
        <v>777</v>
      </c>
      <c r="K1121" s="7" t="s">
        <v>2513</v>
      </c>
      <c r="L1121" s="8">
        <v>9805965</v>
      </c>
      <c r="M1121" s="8" t="str">
        <f t="shared" si="97"/>
        <v>PEN</v>
      </c>
      <c r="N1121" s="13">
        <v>35.67</v>
      </c>
      <c r="O1121" s="13"/>
      <c r="P1121" s="3">
        <f t="shared" si="98"/>
        <v>0</v>
      </c>
      <c r="Q1121" s="3">
        <f t="shared" si="99"/>
        <v>0</v>
      </c>
      <c r="R1121" s="3">
        <f t="shared" si="95"/>
        <v>104439.55000000003</v>
      </c>
      <c r="S1121" s="24"/>
      <c r="T1121" s="24" t="s">
        <v>1334</v>
      </c>
      <c r="U1121" s="53"/>
      <c r="V1121" s="25">
        <f>IFERROR(VLOOKUP(BCP_Soles[[#This Row],[destinatario]],CHOOSE({1,2},Clientes_Proveedores[Razon Social],Clientes_Proveedores[Ruc / Dni]),2,0),"")</f>
        <v>20538593053</v>
      </c>
      <c r="W1121" s="25"/>
      <c r="X1121" s="25"/>
      <c r="Y1121" s="25"/>
      <c r="Z1121" s="75"/>
      <c r="AA1121" s="3" t="str">
        <f>IF(BCP_Soles[[#This Row],[fecha]]&gt;0,TEXT(BCP_Soles[[#This Row],[fecha]],"mmmm"),0)</f>
        <v>Abril</v>
      </c>
    </row>
    <row r="1122" spans="1:27" ht="24" x14ac:dyDescent="0.3">
      <c r="A1122" s="2">
        <f>IF(BCP_Soles[[#This Row],[tipo_registro]]="R",COUNTIFS($C$1:$C1121,"R")+1,A1121)</f>
        <v>841</v>
      </c>
      <c r="B1122" s="19" t="str">
        <f t="shared" si="96"/>
        <v>B-BCP - Soles</v>
      </c>
      <c r="C1122" s="3" t="s">
        <v>1330</v>
      </c>
      <c r="D1122" s="14">
        <v>45748</v>
      </c>
      <c r="E1122" s="5" t="s">
        <v>2269</v>
      </c>
      <c r="F1122" s="5" t="s">
        <v>1336</v>
      </c>
      <c r="G1122" s="6" t="s">
        <v>249</v>
      </c>
      <c r="H1122" s="6"/>
      <c r="I1122" s="6"/>
      <c r="J1122" s="6"/>
      <c r="K1122" s="7" t="s">
        <v>2511</v>
      </c>
      <c r="L1122" s="8">
        <v>1015350</v>
      </c>
      <c r="M1122" s="8" t="str">
        <f t="shared" si="97"/>
        <v>PEN</v>
      </c>
      <c r="N1122" s="13"/>
      <c r="O1122" s="13">
        <v>1371.4</v>
      </c>
      <c r="P1122" s="3">
        <f t="shared" si="98"/>
        <v>0</v>
      </c>
      <c r="Q1122" s="3">
        <f t="shared" si="99"/>
        <v>1371.4</v>
      </c>
      <c r="R1122" s="3">
        <f t="shared" si="95"/>
        <v>103068.15000000004</v>
      </c>
      <c r="S1122" s="24"/>
      <c r="T1122" s="24"/>
      <c r="U1122" s="53"/>
      <c r="V1122" s="25">
        <f>IFERROR(VLOOKUP(BCP_Soles[[#This Row],[destinatario]],CHOOSE({1,2},Clientes_Proveedores[Razon Social],Clientes_Proveedores[Ruc / Dni]),2,0),"")</f>
        <v>20302891452</v>
      </c>
      <c r="W1122" s="25" t="s">
        <v>249</v>
      </c>
      <c r="X1122" s="25"/>
      <c r="Y1122" s="25"/>
      <c r="Z1122" s="75"/>
      <c r="AA1122" s="3" t="str">
        <f>IF(BCP_Soles[[#This Row],[fecha]]&gt;0,TEXT(BCP_Soles[[#This Row],[fecha]],"mmmm"),0)</f>
        <v>Abril</v>
      </c>
    </row>
    <row r="1123" spans="1:27" x14ac:dyDescent="0.3">
      <c r="A1123" s="2">
        <f>IF(BCP_Soles[[#This Row],[tipo_registro]]="R",COUNTIFS($C$1:$C1122,"R")+1,A1122)</f>
        <v>842</v>
      </c>
      <c r="B1123" s="19" t="str">
        <f t="shared" si="96"/>
        <v>B-BCP - Soles</v>
      </c>
      <c r="C1123" s="3" t="s">
        <v>1330</v>
      </c>
      <c r="D1123" s="14">
        <v>45748</v>
      </c>
      <c r="E1123" s="5" t="s">
        <v>1338</v>
      </c>
      <c r="F1123" s="5" t="s">
        <v>1336</v>
      </c>
      <c r="G1123" s="6" t="s">
        <v>196</v>
      </c>
      <c r="H1123" s="6" t="s">
        <v>68</v>
      </c>
      <c r="I1123" s="6" t="s">
        <v>2226</v>
      </c>
      <c r="J1123" s="6">
        <v>6146</v>
      </c>
      <c r="K1123" s="7" t="s">
        <v>2227</v>
      </c>
      <c r="L1123" s="8">
        <v>15349</v>
      </c>
      <c r="M1123" s="8" t="str">
        <f t="shared" si="97"/>
        <v>PEN</v>
      </c>
      <c r="N1123" s="13"/>
      <c r="O1123" s="13">
        <v>1558.72</v>
      </c>
      <c r="P1123" s="3">
        <f t="shared" si="98"/>
        <v>0</v>
      </c>
      <c r="Q1123" s="3">
        <f t="shared" si="99"/>
        <v>1558.72</v>
      </c>
      <c r="R1123" s="3">
        <f t="shared" si="95"/>
        <v>101509.43000000004</v>
      </c>
      <c r="S1123" s="24" t="s">
        <v>1334</v>
      </c>
      <c r="T1123" s="24" t="s">
        <v>1334</v>
      </c>
      <c r="U1123" s="53"/>
      <c r="V1123" s="25">
        <f>IFERROR(VLOOKUP(BCP_Soles[[#This Row],[destinatario]],CHOOSE({1,2},Clientes_Proveedores[Razon Social],Clientes_Proveedores[Ruc / Dni]),2,0),"")</f>
        <v>20100055237</v>
      </c>
      <c r="W1123" s="25" t="s">
        <v>2228</v>
      </c>
      <c r="X1123" s="25" t="s">
        <v>2515</v>
      </c>
      <c r="Y1123" s="25"/>
      <c r="Z1123" s="75"/>
      <c r="AA1123" s="3" t="str">
        <f>IF(BCP_Soles[[#This Row],[fecha]]&gt;0,TEXT(BCP_Soles[[#This Row],[fecha]],"mmmm"),0)</f>
        <v>Abril</v>
      </c>
    </row>
    <row r="1124" spans="1:27" x14ac:dyDescent="0.3">
      <c r="A1124" s="2">
        <f>IF(BCP_Soles[[#This Row],[tipo_registro]]="R",COUNTIFS($C$1:$C1123,"R")+1,A1123)</f>
        <v>843</v>
      </c>
      <c r="B1124" s="19" t="str">
        <f t="shared" si="96"/>
        <v>B-BCP - Soles</v>
      </c>
      <c r="C1124" s="3" t="s">
        <v>1330</v>
      </c>
      <c r="D1124" s="14">
        <v>45748</v>
      </c>
      <c r="E1124" s="5" t="s">
        <v>1338</v>
      </c>
      <c r="F1124" s="5" t="s">
        <v>1336</v>
      </c>
      <c r="G1124" s="6"/>
      <c r="H1124" s="6"/>
      <c r="I1124" s="6"/>
      <c r="J1124" s="6"/>
      <c r="K1124" s="7" t="s">
        <v>2516</v>
      </c>
      <c r="L1124" s="8">
        <v>9714329</v>
      </c>
      <c r="M1124" s="8" t="str">
        <f t="shared" si="97"/>
        <v>PEN</v>
      </c>
      <c r="N1124" s="13"/>
      <c r="O1124" s="13">
        <v>2786.84</v>
      </c>
      <c r="P1124" s="3">
        <f t="shared" si="98"/>
        <v>0</v>
      </c>
      <c r="Q1124" s="3">
        <f t="shared" si="99"/>
        <v>2786.84</v>
      </c>
      <c r="R1124" s="3">
        <f t="shared" si="95"/>
        <v>98722.59000000004</v>
      </c>
      <c r="S1124" s="24"/>
      <c r="T1124" s="24"/>
      <c r="U1124" s="53"/>
      <c r="V1124" s="25" t="str">
        <f>IFERROR(VLOOKUP(BCP_Soles[[#This Row],[destinatario]],CHOOSE({1,2},Clientes_Proveedores[Razon Social],Clientes_Proveedores[Ruc / Dni]),2,0),"")</f>
        <v/>
      </c>
      <c r="W1124" s="25" t="s">
        <v>1373</v>
      </c>
      <c r="X1124" s="25"/>
      <c r="Y1124" s="25"/>
      <c r="Z1124" s="75"/>
      <c r="AA1124" s="3" t="str">
        <f>IF(BCP_Soles[[#This Row],[fecha]]&gt;0,TEXT(BCP_Soles[[#This Row],[fecha]],"mmmm"),0)</f>
        <v>Abril</v>
      </c>
    </row>
    <row r="1125" spans="1:27" x14ac:dyDescent="0.3">
      <c r="A1125" s="2">
        <f>IF(BCP_Soles[[#This Row],[tipo_registro]]="R",COUNTIFS($C$1:$C1124,"R")+1,A1124)</f>
        <v>844</v>
      </c>
      <c r="B1125" s="19" t="str">
        <f t="shared" si="96"/>
        <v>B-BCP - Soles</v>
      </c>
      <c r="C1125" s="3" t="s">
        <v>1330</v>
      </c>
      <c r="D1125" s="14">
        <v>45748</v>
      </c>
      <c r="E1125" s="5" t="s">
        <v>1338</v>
      </c>
      <c r="F1125" s="5" t="s">
        <v>1336</v>
      </c>
      <c r="G1125" s="6"/>
      <c r="H1125" s="6"/>
      <c r="I1125" s="6"/>
      <c r="J1125" s="6"/>
      <c r="K1125" s="7" t="s">
        <v>2517</v>
      </c>
      <c r="L1125" s="8">
        <v>1009918</v>
      </c>
      <c r="M1125" s="8" t="str">
        <f t="shared" si="97"/>
        <v>PEN</v>
      </c>
      <c r="N1125" s="13"/>
      <c r="O1125" s="13">
        <v>2868</v>
      </c>
      <c r="P1125" s="3">
        <f t="shared" si="98"/>
        <v>0</v>
      </c>
      <c r="Q1125" s="3">
        <f t="shared" si="99"/>
        <v>2868</v>
      </c>
      <c r="R1125" s="3">
        <f t="shared" si="95"/>
        <v>95854.59000000004</v>
      </c>
      <c r="S1125" s="24"/>
      <c r="T1125" s="24"/>
      <c r="U1125" s="53"/>
      <c r="V1125" s="25" t="str">
        <f>IFERROR(VLOOKUP(BCP_Soles[[#This Row],[destinatario]],CHOOSE({1,2},Clientes_Proveedores[Razon Social],Clientes_Proveedores[Ruc / Dni]),2,0),"")</f>
        <v/>
      </c>
      <c r="W1125" s="25" t="s">
        <v>1389</v>
      </c>
      <c r="X1125" s="25"/>
      <c r="Y1125" s="25"/>
      <c r="Z1125" s="75"/>
      <c r="AA1125" s="3" t="str">
        <f>IF(BCP_Soles[[#This Row],[fecha]]&gt;0,TEXT(BCP_Soles[[#This Row],[fecha]],"mmmm"),0)</f>
        <v>Abril</v>
      </c>
    </row>
    <row r="1126" spans="1:27" x14ac:dyDescent="0.3">
      <c r="A1126" s="2">
        <f>IF(BCP_Soles[[#This Row],[tipo_registro]]="R",COUNTIFS($C$1:$C1125,"R")+1,A1125)</f>
        <v>845</v>
      </c>
      <c r="B1126" s="19" t="str">
        <f t="shared" si="96"/>
        <v>B-BCP - Soles</v>
      </c>
      <c r="C1126" s="3" t="s">
        <v>1330</v>
      </c>
      <c r="D1126" s="14">
        <v>45748</v>
      </c>
      <c r="E1126" s="5" t="s">
        <v>2269</v>
      </c>
      <c r="F1126" s="5" t="s">
        <v>1336</v>
      </c>
      <c r="G1126" s="6"/>
      <c r="H1126" s="6"/>
      <c r="I1126" s="6"/>
      <c r="J1126" s="6"/>
      <c r="K1126" s="7" t="s">
        <v>2518</v>
      </c>
      <c r="L1126" s="8">
        <v>9805995</v>
      </c>
      <c r="M1126" s="8" t="str">
        <f t="shared" si="97"/>
        <v>PEN</v>
      </c>
      <c r="N1126" s="13"/>
      <c r="O1126" s="13">
        <v>71141.45</v>
      </c>
      <c r="P1126" s="3">
        <f t="shared" si="98"/>
        <v>0</v>
      </c>
      <c r="Q1126" s="3">
        <f t="shared" si="99"/>
        <v>71141.45</v>
      </c>
      <c r="R1126" s="3">
        <f t="shared" si="95"/>
        <v>24713.140000000043</v>
      </c>
      <c r="S1126" s="24"/>
      <c r="T1126" s="24"/>
      <c r="U1126" s="53"/>
      <c r="V1126" s="25" t="str">
        <f>IFERROR(VLOOKUP(BCP_Soles[[#This Row],[destinatario]],CHOOSE({1,2},Clientes_Proveedores[Razon Social],Clientes_Proveedores[Ruc / Dni]),2,0),"")</f>
        <v/>
      </c>
      <c r="W1126" s="25" t="s">
        <v>1373</v>
      </c>
      <c r="X1126" s="25"/>
      <c r="Y1126" s="25"/>
      <c r="Z1126" s="75"/>
      <c r="AA1126" s="3" t="str">
        <f>IF(BCP_Soles[[#This Row],[fecha]]&gt;0,TEXT(BCP_Soles[[#This Row],[fecha]],"mmmm"),0)</f>
        <v>Abril</v>
      </c>
    </row>
    <row r="1127" spans="1:27" ht="36" x14ac:dyDescent="0.3">
      <c r="A1127" s="2">
        <f>IF(BCP_Soles[[#This Row],[tipo_registro]]="R",COUNTIFS($C$1:$C1126,"R")+1,A1126)</f>
        <v>846</v>
      </c>
      <c r="B1127" s="19" t="str">
        <f t="shared" si="96"/>
        <v>B-BCP - Soles</v>
      </c>
      <c r="C1127" s="3" t="s">
        <v>1330</v>
      </c>
      <c r="D1127" s="14">
        <v>45749</v>
      </c>
      <c r="E1127" s="5" t="s">
        <v>663</v>
      </c>
      <c r="F1127" s="5" t="s">
        <v>1303</v>
      </c>
      <c r="G1127" s="6" t="s">
        <v>425</v>
      </c>
      <c r="H1127" s="6"/>
      <c r="I1127" s="6"/>
      <c r="J1127" s="6"/>
      <c r="K1127" s="7" t="s">
        <v>1382</v>
      </c>
      <c r="L1127" s="8">
        <v>1937</v>
      </c>
      <c r="M1127" s="8" t="str">
        <f t="shared" si="97"/>
        <v>PEN</v>
      </c>
      <c r="N1127" s="13"/>
      <c r="O1127" s="13">
        <v>4400</v>
      </c>
      <c r="P1127" s="3">
        <f t="shared" si="98"/>
        <v>4400</v>
      </c>
      <c r="Q1127" s="3">
        <f t="shared" si="99"/>
        <v>0</v>
      </c>
      <c r="R1127" s="3">
        <f t="shared" si="95"/>
        <v>29113.140000000043</v>
      </c>
      <c r="S1127" s="24" t="s">
        <v>1334</v>
      </c>
      <c r="T1127" s="24" t="s">
        <v>1334</v>
      </c>
      <c r="U1127" s="53"/>
      <c r="V1127" s="25">
        <f>IFERROR(VLOOKUP(BCP_Soles[[#This Row],[destinatario]],CHOOSE({1,2},Clientes_Proveedores[Razon Social],Clientes_Proveedores[Ruc / Dni]),2,0),"")</f>
        <v>20558226979</v>
      </c>
      <c r="W1127" s="25" t="s">
        <v>1345</v>
      </c>
      <c r="X1127" s="25" t="s">
        <v>2519</v>
      </c>
      <c r="Y1127" s="25"/>
      <c r="Z1127" s="75"/>
      <c r="AA1127" s="3" t="str">
        <f>IF(BCP_Soles[[#This Row],[fecha]]&gt;0,TEXT(BCP_Soles[[#This Row],[fecha]],"mmmm"),0)</f>
        <v>Abril</v>
      </c>
    </row>
    <row r="1128" spans="1:27" ht="36" x14ac:dyDescent="0.3">
      <c r="A1128" s="2">
        <f>IF(BCP_Soles[[#This Row],[tipo_registro]]="R",COUNTIFS($C$1:$C1127,"R")+1,A1127)</f>
        <v>847</v>
      </c>
      <c r="B1128" s="19" t="str">
        <f t="shared" si="96"/>
        <v>B-BCP - Soles</v>
      </c>
      <c r="C1128" s="3" t="s">
        <v>1330</v>
      </c>
      <c r="D1128" s="14">
        <v>45749</v>
      </c>
      <c r="E1128" s="5" t="s">
        <v>245</v>
      </c>
      <c r="F1128" s="5" t="s">
        <v>1303</v>
      </c>
      <c r="G1128" s="6" t="s">
        <v>425</v>
      </c>
      <c r="H1128" s="6"/>
      <c r="I1128" s="6"/>
      <c r="J1128" s="6"/>
      <c r="K1128" s="7" t="s">
        <v>2520</v>
      </c>
      <c r="L1128" s="8">
        <v>625207</v>
      </c>
      <c r="M1128" s="8" t="str">
        <f t="shared" si="97"/>
        <v>PEN</v>
      </c>
      <c r="N1128" s="13"/>
      <c r="O1128" s="13">
        <v>2349.69</v>
      </c>
      <c r="P1128" s="3">
        <f t="shared" si="98"/>
        <v>2349.69</v>
      </c>
      <c r="Q1128" s="3">
        <f t="shared" si="99"/>
        <v>0</v>
      </c>
      <c r="R1128" s="3">
        <f t="shared" si="95"/>
        <v>31462.830000000042</v>
      </c>
      <c r="S1128" s="24" t="s">
        <v>1334</v>
      </c>
      <c r="T1128" s="24" t="s">
        <v>1334</v>
      </c>
      <c r="U1128" s="53"/>
      <c r="V1128" s="25">
        <f>IFERROR(VLOOKUP(BCP_Soles[[#This Row],[destinatario]],CHOOSE({1,2},Clientes_Proveedores[Razon Social],Clientes_Proveedores[Ruc / Dni]),2,0),"")</f>
        <v>20558226979</v>
      </c>
      <c r="W1128" s="25" t="s">
        <v>1345</v>
      </c>
      <c r="X1128" s="25" t="s">
        <v>2521</v>
      </c>
      <c r="Y1128" s="25"/>
      <c r="Z1128" s="75"/>
      <c r="AA1128" s="3" t="str">
        <f>IF(BCP_Soles[[#This Row],[fecha]]&gt;0,TEXT(BCP_Soles[[#This Row],[fecha]],"mmmm"),0)</f>
        <v>Abril</v>
      </c>
    </row>
    <row r="1129" spans="1:27" ht="24" x14ac:dyDescent="0.3">
      <c r="A1129" s="2">
        <f>IF(BCP_Soles[[#This Row],[tipo_registro]]="R",COUNTIFS($C$1:$C1128,"R")+1,A1128)</f>
        <v>848</v>
      </c>
      <c r="B1129" s="19" t="str">
        <f t="shared" si="96"/>
        <v>B-BCP - Soles</v>
      </c>
      <c r="C1129" s="3" t="s">
        <v>1330</v>
      </c>
      <c r="D1129" s="14">
        <v>45749</v>
      </c>
      <c r="E1129" s="5" t="s">
        <v>1908</v>
      </c>
      <c r="F1129" s="5" t="s">
        <v>1303</v>
      </c>
      <c r="G1129" s="6" t="s">
        <v>425</v>
      </c>
      <c r="H1129" s="6" t="s">
        <v>119</v>
      </c>
      <c r="I1129" s="6">
        <v>1</v>
      </c>
      <c r="J1129" s="6">
        <v>4292</v>
      </c>
      <c r="K1129" s="7" t="s">
        <v>1356</v>
      </c>
      <c r="L1129" s="8">
        <v>2051986</v>
      </c>
      <c r="M1129" s="8" t="str">
        <f t="shared" si="97"/>
        <v>PEN</v>
      </c>
      <c r="N1129" s="13"/>
      <c r="O1129" s="13">
        <v>1350</v>
      </c>
      <c r="P1129" s="3">
        <f t="shared" si="98"/>
        <v>1350</v>
      </c>
      <c r="Q1129" s="3">
        <f t="shared" si="99"/>
        <v>0</v>
      </c>
      <c r="R1129" s="3">
        <f t="shared" si="95"/>
        <v>32812.830000000045</v>
      </c>
      <c r="S1129" s="24" t="s">
        <v>1334</v>
      </c>
      <c r="T1129" s="24" t="s">
        <v>1334</v>
      </c>
      <c r="U1129" s="53"/>
      <c r="V1129" s="25">
        <f>IFERROR(VLOOKUP(BCP_Soles[[#This Row],[destinatario]],CHOOSE({1,2},Clientes_Proveedores[Razon Social],Clientes_Proveedores[Ruc / Dni]),2,0),"")</f>
        <v>20558226979</v>
      </c>
      <c r="W1129" s="25" t="s">
        <v>1345</v>
      </c>
      <c r="X1129" s="25" t="s">
        <v>2522</v>
      </c>
      <c r="Y1129" s="25"/>
      <c r="Z1129" s="75"/>
      <c r="AA1129" s="3" t="str">
        <f>IF(BCP_Soles[[#This Row],[fecha]]&gt;0,TEXT(BCP_Soles[[#This Row],[fecha]],"mmmm"),0)</f>
        <v>Abril</v>
      </c>
    </row>
    <row r="1130" spans="1:27" ht="24" x14ac:dyDescent="0.3">
      <c r="A1130" s="2">
        <f>IF(BCP_Soles[[#This Row],[tipo_registro]]="R",COUNTIFS($C$1:$C1129,"R")+1,A1129)</f>
        <v>849</v>
      </c>
      <c r="B1130" s="19" t="str">
        <f t="shared" si="96"/>
        <v>B-BCP - Soles</v>
      </c>
      <c r="C1130" s="3" t="s">
        <v>1330</v>
      </c>
      <c r="D1130" s="14">
        <v>45749</v>
      </c>
      <c r="E1130" s="5" t="s">
        <v>2009</v>
      </c>
      <c r="F1130" s="5" t="s">
        <v>1303</v>
      </c>
      <c r="G1130" s="6" t="s">
        <v>425</v>
      </c>
      <c r="H1130" s="6" t="s">
        <v>119</v>
      </c>
      <c r="I1130" s="6">
        <v>1</v>
      </c>
      <c r="J1130" s="6">
        <v>4294</v>
      </c>
      <c r="K1130" s="7" t="s">
        <v>1356</v>
      </c>
      <c r="L1130" s="8">
        <v>2085744</v>
      </c>
      <c r="M1130" s="8" t="str">
        <f t="shared" si="97"/>
        <v>PEN</v>
      </c>
      <c r="N1130" s="13"/>
      <c r="O1130" s="13">
        <v>1300</v>
      </c>
      <c r="P1130" s="3">
        <f t="shared" si="98"/>
        <v>1300</v>
      </c>
      <c r="Q1130" s="3">
        <f t="shared" si="99"/>
        <v>0</v>
      </c>
      <c r="R1130" s="3">
        <f t="shared" si="95"/>
        <v>34112.830000000045</v>
      </c>
      <c r="S1130" s="24" t="s">
        <v>1334</v>
      </c>
      <c r="T1130" s="24" t="s">
        <v>1334</v>
      </c>
      <c r="U1130" s="53"/>
      <c r="V1130" s="25">
        <f>IFERROR(VLOOKUP(BCP_Soles[[#This Row],[destinatario]],CHOOSE({1,2},Clientes_Proveedores[Razon Social],Clientes_Proveedores[Ruc / Dni]),2,0),"")</f>
        <v>20558226979</v>
      </c>
      <c r="W1130" s="25" t="s">
        <v>1345</v>
      </c>
      <c r="X1130" s="25" t="s">
        <v>2523</v>
      </c>
      <c r="Y1130" s="25"/>
      <c r="Z1130" s="75"/>
      <c r="AA1130" s="3" t="str">
        <f>IF(BCP_Soles[[#This Row],[fecha]]&gt;0,TEXT(BCP_Soles[[#This Row],[fecha]],"mmmm"),0)</f>
        <v>Abril</v>
      </c>
    </row>
    <row r="1131" spans="1:27" ht="24" x14ac:dyDescent="0.3">
      <c r="A1131" s="2">
        <f>IF(BCP_Soles[[#This Row],[tipo_registro]]="R",COUNTIFS($C$1:$C1130,"R")+1,A1130)</f>
        <v>850</v>
      </c>
      <c r="B1131" s="19" t="str">
        <f t="shared" si="96"/>
        <v>B-BCP - Soles</v>
      </c>
      <c r="C1131" s="3" t="s">
        <v>1330</v>
      </c>
      <c r="D1131" s="14">
        <v>45749</v>
      </c>
      <c r="E1131" s="5" t="s">
        <v>2409</v>
      </c>
      <c r="F1131" s="5" t="s">
        <v>1303</v>
      </c>
      <c r="G1131" s="6" t="s">
        <v>425</v>
      </c>
      <c r="H1131" s="6" t="s">
        <v>119</v>
      </c>
      <c r="I1131" s="6">
        <v>1</v>
      </c>
      <c r="J1131" s="6">
        <v>4295</v>
      </c>
      <c r="K1131" s="7" t="s">
        <v>1356</v>
      </c>
      <c r="L1131" s="8">
        <v>2054628</v>
      </c>
      <c r="M1131" s="8" t="str">
        <f t="shared" si="97"/>
        <v>PEN</v>
      </c>
      <c r="N1131" s="13"/>
      <c r="O1131" s="13">
        <v>150</v>
      </c>
      <c r="P1131" s="3">
        <f t="shared" si="98"/>
        <v>150</v>
      </c>
      <c r="Q1131" s="3">
        <f t="shared" si="99"/>
        <v>0</v>
      </c>
      <c r="R1131" s="3">
        <f t="shared" si="95"/>
        <v>34262.830000000045</v>
      </c>
      <c r="S1131" s="24" t="s">
        <v>1334</v>
      </c>
      <c r="T1131" s="24" t="s">
        <v>1334</v>
      </c>
      <c r="U1131" s="53"/>
      <c r="V1131" s="25">
        <f>IFERROR(VLOOKUP(BCP_Soles[[#This Row],[destinatario]],CHOOSE({1,2},Clientes_Proveedores[Razon Social],Clientes_Proveedores[Ruc / Dni]),2,0),"")</f>
        <v>20558226979</v>
      </c>
      <c r="W1131" s="25" t="s">
        <v>1345</v>
      </c>
      <c r="X1131" s="25" t="s">
        <v>2524</v>
      </c>
      <c r="Y1131" s="25"/>
      <c r="Z1131" s="75"/>
      <c r="AA1131" s="3" t="str">
        <f>IF(BCP_Soles[[#This Row],[fecha]]&gt;0,TEXT(BCP_Soles[[#This Row],[fecha]],"mmmm"),0)</f>
        <v>Abril</v>
      </c>
    </row>
    <row r="1132" spans="1:27" ht="36" x14ac:dyDescent="0.3">
      <c r="A1132" s="2">
        <f>IF(BCP_Soles[[#This Row],[tipo_registro]]="R",COUNTIFS($C$1:$C1131,"R")+1,A1131)</f>
        <v>851</v>
      </c>
      <c r="B1132" s="19" t="str">
        <f t="shared" si="96"/>
        <v>B-BCP - Soles</v>
      </c>
      <c r="C1132" s="3" t="s">
        <v>1330</v>
      </c>
      <c r="D1132" s="14">
        <v>45749</v>
      </c>
      <c r="E1132" s="5" t="s">
        <v>714</v>
      </c>
      <c r="F1132" s="5" t="s">
        <v>1303</v>
      </c>
      <c r="G1132" s="6" t="s">
        <v>425</v>
      </c>
      <c r="H1132" s="6"/>
      <c r="I1132" s="6"/>
      <c r="J1132" s="6"/>
      <c r="K1132" s="7" t="s">
        <v>2525</v>
      </c>
      <c r="L1132" s="8">
        <v>2229787</v>
      </c>
      <c r="M1132" s="8" t="str">
        <f t="shared" si="97"/>
        <v>PEN</v>
      </c>
      <c r="N1132" s="13"/>
      <c r="O1132" s="13">
        <v>50</v>
      </c>
      <c r="P1132" s="3">
        <f t="shared" si="98"/>
        <v>50</v>
      </c>
      <c r="Q1132" s="3">
        <f t="shared" si="99"/>
        <v>0</v>
      </c>
      <c r="R1132" s="3">
        <f t="shared" si="95"/>
        <v>34312.830000000045</v>
      </c>
      <c r="S1132" s="24"/>
      <c r="T1132" s="24"/>
      <c r="U1132" s="53"/>
      <c r="V1132" s="25">
        <f>IFERROR(VLOOKUP(BCP_Soles[[#This Row],[destinatario]],CHOOSE({1,2},Clientes_Proveedores[Razon Social],Clientes_Proveedores[Ruc / Dni]),2,0),"")</f>
        <v>20558226979</v>
      </c>
      <c r="W1132" s="25" t="s">
        <v>1345</v>
      </c>
      <c r="X1132" s="25"/>
      <c r="Y1132" s="25"/>
      <c r="Z1132" s="75"/>
      <c r="AA1132" s="3" t="str">
        <f>IF(BCP_Soles[[#This Row],[fecha]]&gt;0,TEXT(BCP_Soles[[#This Row],[fecha]],"mmmm"),0)</f>
        <v>Abril</v>
      </c>
    </row>
    <row r="1133" spans="1:27" x14ac:dyDescent="0.3">
      <c r="A1133" s="2">
        <f>IF(BCP_Soles[[#This Row],[tipo_registro]]="R",COUNTIFS($C$1:$C1132,"R")+1,A1132)</f>
        <v>852</v>
      </c>
      <c r="B1133" s="19" t="str">
        <f t="shared" si="96"/>
        <v>B-BCP - Soles</v>
      </c>
      <c r="C1133" s="3" t="s">
        <v>1330</v>
      </c>
      <c r="D1133" s="14">
        <v>45749</v>
      </c>
      <c r="E1133" s="5" t="s">
        <v>1335</v>
      </c>
      <c r="F1133" s="5" t="s">
        <v>1336</v>
      </c>
      <c r="G1133" s="6"/>
      <c r="H1133" s="6"/>
      <c r="I1133" s="6"/>
      <c r="J1133" s="6"/>
      <c r="K1133" s="7" t="s">
        <v>1337</v>
      </c>
      <c r="L1133" s="8"/>
      <c r="M1133" s="8" t="str">
        <f t="shared" si="97"/>
        <v>PEN</v>
      </c>
      <c r="N1133" s="13"/>
      <c r="O1133" s="13">
        <v>0.55000000000000004</v>
      </c>
      <c r="P1133" s="3">
        <f t="shared" si="98"/>
        <v>0</v>
      </c>
      <c r="Q1133" s="3">
        <f t="shared" si="99"/>
        <v>0.55000000000000004</v>
      </c>
      <c r="R1133" s="3">
        <f t="shared" si="95"/>
        <v>34312.280000000042</v>
      </c>
      <c r="S1133" s="24"/>
      <c r="T1133" s="24" t="s">
        <v>1334</v>
      </c>
      <c r="U1133" s="53"/>
      <c r="V1133" s="25" t="str">
        <f>IFERROR(VLOOKUP(BCP_Soles[[#This Row],[destinatario]],CHOOSE({1,2},Clientes_Proveedores[Razon Social],Clientes_Proveedores[Ruc / Dni]),2,0),"")</f>
        <v/>
      </c>
      <c r="W1133" s="25"/>
      <c r="X1133" s="25"/>
      <c r="Y1133" s="25"/>
      <c r="Z1133" s="75"/>
      <c r="AA1133" s="3" t="str">
        <f>IF(BCP_Soles[[#This Row],[fecha]]&gt;0,TEXT(BCP_Soles[[#This Row],[fecha]],"mmmm"),0)</f>
        <v>Abril</v>
      </c>
    </row>
    <row r="1134" spans="1:27" ht="24" x14ac:dyDescent="0.3">
      <c r="A1134" s="2">
        <f>IF(BCP_Soles[[#This Row],[tipo_registro]]="R",COUNTIFS($C$1:$C1133,"R")+1,A1133)</f>
        <v>853</v>
      </c>
      <c r="B1134" s="19" t="str">
        <f t="shared" si="96"/>
        <v>B-BCP - Soles</v>
      </c>
      <c r="C1134" s="3" t="s">
        <v>1330</v>
      </c>
      <c r="D1134" s="14">
        <v>45749</v>
      </c>
      <c r="E1134" s="5" t="s">
        <v>1338</v>
      </c>
      <c r="F1134" s="5" t="s">
        <v>1336</v>
      </c>
      <c r="G1134" s="6" t="s">
        <v>249</v>
      </c>
      <c r="H1134" s="6"/>
      <c r="I1134" s="6"/>
      <c r="J1134" s="6"/>
      <c r="K1134" s="7" t="s">
        <v>2526</v>
      </c>
      <c r="L1134" s="8">
        <v>1106709</v>
      </c>
      <c r="M1134" s="8" t="str">
        <f t="shared" si="97"/>
        <v>PEN</v>
      </c>
      <c r="N1134" s="13"/>
      <c r="O1134" s="13">
        <v>82.64</v>
      </c>
      <c r="P1134" s="3">
        <f t="shared" si="98"/>
        <v>0</v>
      </c>
      <c r="Q1134" s="3">
        <f t="shared" si="99"/>
        <v>82.64</v>
      </c>
      <c r="R1134" s="3">
        <f t="shared" si="95"/>
        <v>34229.640000000043</v>
      </c>
      <c r="S1134" s="24"/>
      <c r="T1134" s="24"/>
      <c r="U1134" s="53"/>
      <c r="V1134" s="25">
        <f>IFERROR(VLOOKUP(BCP_Soles[[#This Row],[destinatario]],CHOOSE({1,2},Clientes_Proveedores[Razon Social],Clientes_Proveedores[Ruc / Dni]),2,0),"")</f>
        <v>20302891452</v>
      </c>
      <c r="W1134" s="25" t="s">
        <v>249</v>
      </c>
      <c r="X1134" s="25"/>
      <c r="Y1134" s="25"/>
      <c r="Z1134" s="75"/>
      <c r="AA1134" s="3" t="str">
        <f>IF(BCP_Soles[[#This Row],[fecha]]&gt;0,TEXT(BCP_Soles[[#This Row],[fecha]],"mmmm"),0)</f>
        <v>Abril</v>
      </c>
    </row>
    <row r="1135" spans="1:27" ht="24" x14ac:dyDescent="0.3">
      <c r="A1135" s="2">
        <f>IF(BCP_Soles[[#This Row],[tipo_registro]]="R",COUNTIFS($C$1:$C1134,"R")+1,A1134)</f>
        <v>854</v>
      </c>
      <c r="B1135" s="19" t="str">
        <f t="shared" si="96"/>
        <v>B-BCP - Soles</v>
      </c>
      <c r="C1135" s="3" t="s">
        <v>1330</v>
      </c>
      <c r="D1135" s="14">
        <v>45749</v>
      </c>
      <c r="E1135" s="5" t="s">
        <v>2269</v>
      </c>
      <c r="F1135" s="5" t="s">
        <v>1336</v>
      </c>
      <c r="G1135" s="6" t="s">
        <v>720</v>
      </c>
      <c r="H1135" s="6" t="s">
        <v>68</v>
      </c>
      <c r="I1135" s="6" t="s">
        <v>1376</v>
      </c>
      <c r="J1135" s="6">
        <v>2821</v>
      </c>
      <c r="K1135" s="7" t="s">
        <v>2527</v>
      </c>
      <c r="L1135" s="8">
        <v>1201988</v>
      </c>
      <c r="M1135" s="8" t="str">
        <f t="shared" si="97"/>
        <v>PEN</v>
      </c>
      <c r="N1135" s="13"/>
      <c r="O1135" s="13">
        <v>188.8</v>
      </c>
      <c r="P1135" s="3">
        <f t="shared" si="98"/>
        <v>0</v>
      </c>
      <c r="Q1135" s="3">
        <f t="shared" si="99"/>
        <v>188.8</v>
      </c>
      <c r="R1135" s="3">
        <f t="shared" si="95"/>
        <v>34040.84000000004</v>
      </c>
      <c r="S1135" s="24" t="s">
        <v>1334</v>
      </c>
      <c r="T1135" s="24" t="s">
        <v>1334</v>
      </c>
      <c r="U1135" s="53"/>
      <c r="V1135" s="25">
        <f>IFERROR(VLOOKUP(BCP_Soles[[#This Row],[destinatario]],CHOOSE({1,2},Clientes_Proveedores[Razon Social],Clientes_Proveedores[Ruc / Dni]),2,0),"")</f>
        <v>20455690715</v>
      </c>
      <c r="W1135" s="25" t="s">
        <v>2300</v>
      </c>
      <c r="X1135" s="25" t="s">
        <v>2528</v>
      </c>
      <c r="Y1135" s="25"/>
      <c r="Z1135" s="75"/>
      <c r="AA1135" s="3" t="str">
        <f>IF(BCP_Soles[[#This Row],[fecha]]&gt;0,TEXT(BCP_Soles[[#This Row],[fecha]],"mmmm"),0)</f>
        <v>Abril</v>
      </c>
    </row>
    <row r="1136" spans="1:27" ht="24" x14ac:dyDescent="0.3">
      <c r="A1136" s="2">
        <f>IF(BCP_Soles[[#This Row],[tipo_registro]]="R",COUNTIFS($C$1:$C1135,"R")+1,A1135)</f>
        <v>855</v>
      </c>
      <c r="B1136" s="19" t="str">
        <f t="shared" si="96"/>
        <v>B-BCP - Soles</v>
      </c>
      <c r="C1136" s="3" t="s">
        <v>1330</v>
      </c>
      <c r="D1136" s="14">
        <v>45749</v>
      </c>
      <c r="E1136" s="5" t="s">
        <v>1338</v>
      </c>
      <c r="F1136" s="5" t="s">
        <v>1336</v>
      </c>
      <c r="G1136" s="6" t="s">
        <v>857</v>
      </c>
      <c r="H1136" s="6" t="s">
        <v>143</v>
      </c>
      <c r="I1136" s="6">
        <v>1</v>
      </c>
      <c r="J1136" s="6">
        <v>272025</v>
      </c>
      <c r="K1136" s="7" t="s">
        <v>2529</v>
      </c>
      <c r="L1136" s="8">
        <v>1200999</v>
      </c>
      <c r="M1136" s="8" t="str">
        <f t="shared" si="97"/>
        <v>PEN</v>
      </c>
      <c r="N1136" s="13"/>
      <c r="O1136" s="13">
        <v>394</v>
      </c>
      <c r="P1136" s="3">
        <f t="shared" si="98"/>
        <v>0</v>
      </c>
      <c r="Q1136" s="3">
        <f t="shared" si="99"/>
        <v>394</v>
      </c>
      <c r="R1136" s="3">
        <f t="shared" si="95"/>
        <v>33646.84000000004</v>
      </c>
      <c r="S1136" s="24" t="s">
        <v>1334</v>
      </c>
      <c r="T1136" s="24" t="s">
        <v>1334</v>
      </c>
      <c r="U1136" s="53"/>
      <c r="V1136" s="25">
        <f>IFERROR(VLOOKUP(BCP_Soles[[#This Row],[destinatario]],CHOOSE({1,2},Clientes_Proveedores[Razon Social],Clientes_Proveedores[Ruc / Dni]),2,0),"")</f>
        <v>70666331</v>
      </c>
      <c r="W1136" s="25"/>
      <c r="X1136" s="25"/>
      <c r="Y1136" s="25"/>
      <c r="Z1136" s="75"/>
      <c r="AA1136" s="3" t="str">
        <f>IF(BCP_Soles[[#This Row],[fecha]]&gt;0,TEXT(BCP_Soles[[#This Row],[fecha]],"mmmm"),0)</f>
        <v>Abril</v>
      </c>
    </row>
    <row r="1137" spans="1:27" ht="24" x14ac:dyDescent="0.3">
      <c r="A1137" s="2">
        <f>IF(BCP_Soles[[#This Row],[tipo_registro]]="R",COUNTIFS($C$1:$C1136,"R")+1,A1136)</f>
        <v>856</v>
      </c>
      <c r="B1137" s="19" t="str">
        <f t="shared" si="96"/>
        <v>B-BCP - Soles</v>
      </c>
      <c r="C1137" s="3" t="s">
        <v>1330</v>
      </c>
      <c r="D1137" s="14">
        <v>45749</v>
      </c>
      <c r="E1137" s="5" t="s">
        <v>1338</v>
      </c>
      <c r="F1137" s="5" t="s">
        <v>1336</v>
      </c>
      <c r="G1137" s="6" t="s">
        <v>827</v>
      </c>
      <c r="H1137" s="6" t="s">
        <v>143</v>
      </c>
      <c r="I1137" s="6">
        <v>1</v>
      </c>
      <c r="J1137" s="6">
        <v>262025</v>
      </c>
      <c r="K1137" s="7" t="s">
        <v>2530</v>
      </c>
      <c r="L1137" s="8">
        <v>1202947</v>
      </c>
      <c r="M1137" s="8" t="str">
        <f t="shared" si="97"/>
        <v>PEN</v>
      </c>
      <c r="N1137" s="13"/>
      <c r="O1137" s="13">
        <v>748</v>
      </c>
      <c r="P1137" s="3">
        <f t="shared" si="98"/>
        <v>0</v>
      </c>
      <c r="Q1137" s="3">
        <f t="shared" si="99"/>
        <v>748</v>
      </c>
      <c r="R1137" s="3">
        <f t="shared" si="95"/>
        <v>32898.84000000004</v>
      </c>
      <c r="S1137" s="24" t="s">
        <v>1334</v>
      </c>
      <c r="T1137" s="24" t="s">
        <v>1334</v>
      </c>
      <c r="U1137" s="53"/>
      <c r="V1137" s="25">
        <f>IFERROR(VLOOKUP(BCP_Soles[[#This Row],[destinatario]],CHOOSE({1,2},Clientes_Proveedores[Razon Social],Clientes_Proveedores[Ruc / Dni]),2,0),"")</f>
        <v>74600892</v>
      </c>
      <c r="W1137" s="25"/>
      <c r="X1137" s="25"/>
      <c r="Y1137" s="25"/>
      <c r="Z1137" s="75"/>
      <c r="AA1137" s="3" t="str">
        <f>IF(BCP_Soles[[#This Row],[fecha]]&gt;0,TEXT(BCP_Soles[[#This Row],[fecha]],"mmmm"),0)</f>
        <v>Abril</v>
      </c>
    </row>
    <row r="1138" spans="1:27" ht="24" x14ac:dyDescent="0.3">
      <c r="A1138" s="2">
        <f>IF(BCP_Soles[[#This Row],[tipo_registro]]="R",COUNTIFS($C$1:$C1137,"R")+1,A1137)</f>
        <v>857</v>
      </c>
      <c r="B1138" s="19" t="str">
        <f t="shared" si="96"/>
        <v>B-BCP - Soles</v>
      </c>
      <c r="C1138" s="3" t="s">
        <v>1330</v>
      </c>
      <c r="D1138" s="14">
        <v>45749</v>
      </c>
      <c r="E1138" s="5" t="s">
        <v>1338</v>
      </c>
      <c r="F1138" s="5" t="s">
        <v>1336</v>
      </c>
      <c r="G1138" s="6" t="s">
        <v>658</v>
      </c>
      <c r="H1138" s="6" t="s">
        <v>68</v>
      </c>
      <c r="I1138" s="6" t="s">
        <v>1376</v>
      </c>
      <c r="J1138" s="6">
        <v>30</v>
      </c>
      <c r="K1138" s="7" t="s">
        <v>2531</v>
      </c>
      <c r="L1138" s="8">
        <v>1201989</v>
      </c>
      <c r="M1138" s="8" t="str">
        <f t="shared" si="97"/>
        <v>PEN</v>
      </c>
      <c r="N1138" s="13"/>
      <c r="O1138" s="13">
        <v>832</v>
      </c>
      <c r="P1138" s="3">
        <f t="shared" si="98"/>
        <v>0</v>
      </c>
      <c r="Q1138" s="3">
        <f t="shared" si="99"/>
        <v>832</v>
      </c>
      <c r="R1138" s="3">
        <f t="shared" si="95"/>
        <v>32066.84000000004</v>
      </c>
      <c r="S1138" s="24" t="s">
        <v>1334</v>
      </c>
      <c r="T1138" s="24" t="s">
        <v>1334</v>
      </c>
      <c r="U1138" s="53"/>
      <c r="V1138" s="25">
        <f>IFERROR(VLOOKUP(BCP_Soles[[#This Row],[destinatario]],CHOOSE({1,2},Clientes_Proveedores[Razon Social],Clientes_Proveedores[Ruc / Dni]),2,0),"")</f>
        <v>15609125303</v>
      </c>
      <c r="W1138" s="25" t="s">
        <v>658</v>
      </c>
      <c r="X1138" s="25" t="s">
        <v>2069</v>
      </c>
      <c r="Y1138" s="25"/>
      <c r="Z1138" s="75"/>
      <c r="AA1138" s="3" t="str">
        <f>IF(BCP_Soles[[#This Row],[fecha]]&gt;0,TEXT(BCP_Soles[[#This Row],[fecha]],"mmmm"),0)</f>
        <v>Abril</v>
      </c>
    </row>
    <row r="1139" spans="1:27" x14ac:dyDescent="0.3">
      <c r="A1139" s="2">
        <f>IF(BCP_Soles[[#This Row],[tipo_registro]]="R",COUNTIFS($C$1:$C1138,"R")+1,A1138)</f>
        <v>858</v>
      </c>
      <c r="B1139" s="19" t="str">
        <f t="shared" si="96"/>
        <v>B-BCP - Soles</v>
      </c>
      <c r="C1139" s="3" t="s">
        <v>1330</v>
      </c>
      <c r="D1139" s="14">
        <v>45749</v>
      </c>
      <c r="E1139" s="5" t="s">
        <v>2269</v>
      </c>
      <c r="F1139" s="5" t="s">
        <v>1336</v>
      </c>
      <c r="G1139" s="6" t="s">
        <v>695</v>
      </c>
      <c r="H1139" s="6" t="s">
        <v>68</v>
      </c>
      <c r="I1139" s="6" t="s">
        <v>1715</v>
      </c>
      <c r="J1139" s="6">
        <v>133436</v>
      </c>
      <c r="K1139" s="7" t="s">
        <v>1378</v>
      </c>
      <c r="L1139" s="8">
        <v>105234</v>
      </c>
      <c r="M1139" s="8" t="str">
        <f t="shared" si="97"/>
        <v>PEN</v>
      </c>
      <c r="N1139" s="13"/>
      <c r="O1139" s="13">
        <v>1667.77</v>
      </c>
      <c r="P1139" s="3">
        <f t="shared" si="98"/>
        <v>0</v>
      </c>
      <c r="Q1139" s="3">
        <f t="shared" si="99"/>
        <v>1667.77</v>
      </c>
      <c r="R1139" s="3">
        <f t="shared" si="95"/>
        <v>30399.07000000004</v>
      </c>
      <c r="S1139" s="24" t="s">
        <v>1334</v>
      </c>
      <c r="T1139" s="24" t="s">
        <v>1334</v>
      </c>
      <c r="U1139" s="53"/>
      <c r="V1139" s="25">
        <f>IFERROR(VLOOKUP(BCP_Soles[[#This Row],[destinatario]],CHOOSE({1,2},Clientes_Proveedores[Razon Social],Clientes_Proveedores[Ruc / Dni]),2,0),"")</f>
        <v>20127765279</v>
      </c>
      <c r="W1139" s="25" t="s">
        <v>1379</v>
      </c>
      <c r="X1139" s="25" t="s">
        <v>2532</v>
      </c>
      <c r="Y1139" s="25"/>
      <c r="Z1139" s="75"/>
      <c r="AA1139" s="3" t="str">
        <f>IF(BCP_Soles[[#This Row],[fecha]]&gt;0,TEXT(BCP_Soles[[#This Row],[fecha]],"mmmm"),0)</f>
        <v>Abril</v>
      </c>
    </row>
    <row r="1140" spans="1:27" x14ac:dyDescent="0.3">
      <c r="A1140" s="2">
        <f>IF(BCP_Soles[[#This Row],[tipo_registro]]="R",COUNTIFS($C$1:$C1139,"R")+1,A1139)</f>
        <v>859</v>
      </c>
      <c r="B1140" s="19" t="str">
        <f t="shared" si="96"/>
        <v>B-BCP - Soles</v>
      </c>
      <c r="C1140" s="3" t="s">
        <v>1330</v>
      </c>
      <c r="D1140" s="14">
        <v>45749</v>
      </c>
      <c r="E1140" s="5" t="s">
        <v>2269</v>
      </c>
      <c r="F1140" s="5" t="s">
        <v>1336</v>
      </c>
      <c r="G1140" s="6" t="s">
        <v>695</v>
      </c>
      <c r="H1140" s="6" t="s">
        <v>68</v>
      </c>
      <c r="I1140" s="6" t="s">
        <v>1715</v>
      </c>
      <c r="J1140" s="6">
        <v>133442</v>
      </c>
      <c r="K1140" s="7" t="s">
        <v>1378</v>
      </c>
      <c r="L1140" s="8">
        <v>105719</v>
      </c>
      <c r="M1140" s="8" t="str">
        <f t="shared" si="97"/>
        <v>PEN</v>
      </c>
      <c r="N1140" s="13"/>
      <c r="O1140" s="13">
        <v>2661.37</v>
      </c>
      <c r="P1140" s="3">
        <f t="shared" si="98"/>
        <v>0</v>
      </c>
      <c r="Q1140" s="3">
        <f t="shared" si="99"/>
        <v>2661.37</v>
      </c>
      <c r="R1140" s="3">
        <f t="shared" si="95"/>
        <v>27737.700000000041</v>
      </c>
      <c r="S1140" s="24" t="s">
        <v>1334</v>
      </c>
      <c r="T1140" s="24" t="s">
        <v>1334</v>
      </c>
      <c r="U1140" s="53"/>
      <c r="V1140" s="25">
        <f>IFERROR(VLOOKUP(BCP_Soles[[#This Row],[destinatario]],CHOOSE({1,2},Clientes_Proveedores[Razon Social],Clientes_Proveedores[Ruc / Dni]),2,0),"")</f>
        <v>20127765279</v>
      </c>
      <c r="W1140" s="25" t="s">
        <v>1379</v>
      </c>
      <c r="X1140" s="25" t="s">
        <v>2533</v>
      </c>
      <c r="Y1140" s="25"/>
      <c r="Z1140" s="75"/>
      <c r="AA1140" s="3" t="str">
        <f>IF(BCP_Soles[[#This Row],[fecha]]&gt;0,TEXT(BCP_Soles[[#This Row],[fecha]],"mmmm"),0)</f>
        <v>Abril</v>
      </c>
    </row>
    <row r="1141" spans="1:27" ht="24" x14ac:dyDescent="0.3">
      <c r="A1141" s="2">
        <f>IF(BCP_Soles[[#This Row],[tipo_registro]]="R",COUNTIFS($C$1:$C1140,"R")+1,A1140)</f>
        <v>860</v>
      </c>
      <c r="B1141" s="19" t="str">
        <f t="shared" si="96"/>
        <v>B-BCP - Soles</v>
      </c>
      <c r="C1141" s="3" t="s">
        <v>1330</v>
      </c>
      <c r="D1141" s="14">
        <v>45750</v>
      </c>
      <c r="E1141" s="5" t="s">
        <v>536</v>
      </c>
      <c r="F1141" s="5" t="s">
        <v>1303</v>
      </c>
      <c r="G1141" s="6" t="s">
        <v>425</v>
      </c>
      <c r="H1141" s="6" t="s">
        <v>119</v>
      </c>
      <c r="I1141" s="6">
        <v>1</v>
      </c>
      <c r="J1141" s="6">
        <v>4287</v>
      </c>
      <c r="K1141" s="7" t="s">
        <v>1356</v>
      </c>
      <c r="L1141" s="8">
        <v>3242070</v>
      </c>
      <c r="M1141" s="8" t="str">
        <f t="shared" si="97"/>
        <v>PEN</v>
      </c>
      <c r="N1141" s="13"/>
      <c r="O1141" s="13">
        <v>1606.5</v>
      </c>
      <c r="P1141" s="3">
        <f t="shared" si="98"/>
        <v>1606.5</v>
      </c>
      <c r="Q1141" s="3">
        <f t="shared" si="99"/>
        <v>0</v>
      </c>
      <c r="R1141" s="3">
        <f t="shared" si="95"/>
        <v>29344.200000000041</v>
      </c>
      <c r="S1141" s="24" t="s">
        <v>1334</v>
      </c>
      <c r="T1141" s="24" t="s">
        <v>1334</v>
      </c>
      <c r="U1141" s="53"/>
      <c r="V1141" s="25">
        <f>IFERROR(VLOOKUP(BCP_Soles[[#This Row],[destinatario]],CHOOSE({1,2},Clientes_Proveedores[Razon Social],Clientes_Proveedores[Ruc / Dni]),2,0),"")</f>
        <v>20558226979</v>
      </c>
      <c r="W1141" s="25" t="s">
        <v>1345</v>
      </c>
      <c r="X1141" s="25" t="s">
        <v>2534</v>
      </c>
      <c r="Y1141" s="25"/>
      <c r="Z1141" s="75"/>
      <c r="AA1141" s="3" t="str">
        <f>IF(BCP_Soles[[#This Row],[fecha]]&gt;0,TEXT(BCP_Soles[[#This Row],[fecha]],"mmmm"),0)</f>
        <v>Abril</v>
      </c>
    </row>
    <row r="1142" spans="1:27" ht="24" x14ac:dyDescent="0.3">
      <c r="A1142" s="2">
        <f>IF(BCP_Soles[[#This Row],[tipo_registro]]="R",COUNTIFS($C$1:$C1141,"R")+1,A1141)</f>
        <v>861</v>
      </c>
      <c r="B1142" s="19" t="str">
        <f t="shared" si="96"/>
        <v>B-BCP - Soles</v>
      </c>
      <c r="C1142" s="3" t="s">
        <v>1330</v>
      </c>
      <c r="D1142" s="14">
        <v>45750</v>
      </c>
      <c r="E1142" s="5" t="s">
        <v>204</v>
      </c>
      <c r="F1142" s="5" t="s">
        <v>1303</v>
      </c>
      <c r="G1142" s="6" t="s">
        <v>425</v>
      </c>
      <c r="H1142" s="6"/>
      <c r="I1142" s="6"/>
      <c r="J1142" s="6"/>
      <c r="K1142" s="7" t="s">
        <v>2535</v>
      </c>
      <c r="L1142" s="8">
        <v>532846</v>
      </c>
      <c r="M1142" s="8" t="str">
        <f t="shared" si="97"/>
        <v>PEN</v>
      </c>
      <c r="N1142" s="13"/>
      <c r="O1142" s="13">
        <v>1007.25</v>
      </c>
      <c r="P1142" s="3">
        <f t="shared" si="98"/>
        <v>1007.25</v>
      </c>
      <c r="Q1142" s="3">
        <f t="shared" si="99"/>
        <v>0</v>
      </c>
      <c r="R1142" s="3">
        <f t="shared" si="95"/>
        <v>30351.450000000041</v>
      </c>
      <c r="S1142" s="24" t="s">
        <v>1334</v>
      </c>
      <c r="T1142" s="24" t="s">
        <v>1334</v>
      </c>
      <c r="U1142" s="53"/>
      <c r="V1142" s="25">
        <f>IFERROR(VLOOKUP(BCP_Soles[[#This Row],[destinatario]],CHOOSE({1,2},Clientes_Proveedores[Razon Social],Clientes_Proveedores[Ruc / Dni]),2,0),"")</f>
        <v>20558226979</v>
      </c>
      <c r="W1142" s="25" t="s">
        <v>1345</v>
      </c>
      <c r="X1142" s="25" t="s">
        <v>2536</v>
      </c>
      <c r="Y1142" s="25"/>
      <c r="Z1142" s="75"/>
      <c r="AA1142" s="3" t="str">
        <f>IF(BCP_Soles[[#This Row],[fecha]]&gt;0,TEXT(BCP_Soles[[#This Row],[fecha]],"mmmm"),0)</f>
        <v>Abril</v>
      </c>
    </row>
    <row r="1143" spans="1:27" x14ac:dyDescent="0.3">
      <c r="A1143" s="2">
        <f>IF(BCP_Soles[[#This Row],[tipo_registro]]="R",COUNTIFS($C$1:$C1142,"R")+1,A1142)</f>
        <v>862</v>
      </c>
      <c r="B1143" s="19" t="str">
        <f t="shared" si="96"/>
        <v>B-BCP - Soles</v>
      </c>
      <c r="C1143" s="3" t="s">
        <v>1330</v>
      </c>
      <c r="D1143" s="14">
        <v>45750</v>
      </c>
      <c r="E1143" s="5"/>
      <c r="F1143" s="5" t="s">
        <v>1303</v>
      </c>
      <c r="G1143" s="6" t="s">
        <v>425</v>
      </c>
      <c r="H1143" s="6"/>
      <c r="I1143" s="6"/>
      <c r="J1143" s="6"/>
      <c r="K1143" s="7" t="s">
        <v>1356</v>
      </c>
      <c r="L1143" s="8">
        <v>3479204</v>
      </c>
      <c r="M1143" s="8" t="str">
        <f t="shared" si="97"/>
        <v>PEN</v>
      </c>
      <c r="N1143" s="13"/>
      <c r="O1143" s="13">
        <v>688</v>
      </c>
      <c r="P1143" s="3">
        <f t="shared" si="98"/>
        <v>688</v>
      </c>
      <c r="Q1143" s="3">
        <f t="shared" si="99"/>
        <v>0</v>
      </c>
      <c r="R1143" s="3">
        <f t="shared" si="95"/>
        <v>31039.450000000041</v>
      </c>
      <c r="S1143" s="24" t="s">
        <v>1334</v>
      </c>
      <c r="T1143" s="24" t="s">
        <v>1334</v>
      </c>
      <c r="U1143" s="53"/>
      <c r="V1143" s="25">
        <f>IFERROR(VLOOKUP(BCP_Soles[[#This Row],[destinatario]],CHOOSE({1,2},Clientes_Proveedores[Razon Social],Clientes_Proveedores[Ruc / Dni]),2,0),"")</f>
        <v>20558226979</v>
      </c>
      <c r="W1143" s="25" t="s">
        <v>1345</v>
      </c>
      <c r="X1143" s="25"/>
      <c r="Y1143" s="25"/>
      <c r="Z1143" s="75"/>
      <c r="AA1143" s="3" t="str">
        <f>IF(BCP_Soles[[#This Row],[fecha]]&gt;0,TEXT(BCP_Soles[[#This Row],[fecha]],"mmmm"),0)</f>
        <v>Abril</v>
      </c>
    </row>
    <row r="1144" spans="1:27" ht="24" x14ac:dyDescent="0.3">
      <c r="A1144" s="2">
        <f>IF(BCP_Soles[[#This Row],[tipo_registro]]="R",COUNTIFS($C$1:$C1143,"R")+1,A1143)</f>
        <v>862</v>
      </c>
      <c r="B1144" s="19" t="str">
        <f t="shared" si="96"/>
        <v>B-BCP - Soles</v>
      </c>
      <c r="C1144" s="3" t="s">
        <v>1352</v>
      </c>
      <c r="D1144" s="14">
        <v>45750</v>
      </c>
      <c r="E1144" s="5" t="s">
        <v>536</v>
      </c>
      <c r="F1144" s="5" t="s">
        <v>1303</v>
      </c>
      <c r="G1144" s="6" t="s">
        <v>425</v>
      </c>
      <c r="H1144" s="6" t="s">
        <v>119</v>
      </c>
      <c r="I1144" s="6">
        <v>1</v>
      </c>
      <c r="J1144" s="6">
        <v>4297</v>
      </c>
      <c r="K1144" s="7" t="s">
        <v>1356</v>
      </c>
      <c r="L1144" s="8">
        <v>3479204</v>
      </c>
      <c r="M1144" s="8" t="str">
        <f t="shared" si="97"/>
        <v>PEN</v>
      </c>
      <c r="N1144" s="13">
        <v>664</v>
      </c>
      <c r="O1144" s="13"/>
      <c r="P1144" s="3">
        <f t="shared" si="98"/>
        <v>0</v>
      </c>
      <c r="Q1144" s="3">
        <f t="shared" si="99"/>
        <v>0</v>
      </c>
      <c r="R1144" s="3">
        <f t="shared" si="95"/>
        <v>31039.450000000041</v>
      </c>
      <c r="S1144" s="24" t="s">
        <v>1334</v>
      </c>
      <c r="T1144" s="24" t="s">
        <v>1334</v>
      </c>
      <c r="U1144" s="53"/>
      <c r="V1144" s="25">
        <f>IFERROR(VLOOKUP(BCP_Soles[[#This Row],[destinatario]],CHOOSE({1,2},Clientes_Proveedores[Razon Social],Clientes_Proveedores[Ruc / Dni]),2,0),"")</f>
        <v>20558226979</v>
      </c>
      <c r="W1144" s="25" t="s">
        <v>1345</v>
      </c>
      <c r="X1144" s="25" t="s">
        <v>2537</v>
      </c>
      <c r="Y1144" s="25"/>
      <c r="Z1144" s="75"/>
      <c r="AA1144" s="3" t="str">
        <f>IF(BCP_Soles[[#This Row],[fecha]]&gt;0,TEXT(BCP_Soles[[#This Row],[fecha]],"mmmm"),0)</f>
        <v>Abril</v>
      </c>
    </row>
    <row r="1145" spans="1:27" ht="24" x14ac:dyDescent="0.3">
      <c r="A1145" s="2">
        <f>IF(BCP_Soles[[#This Row],[tipo_registro]]="R",COUNTIFS($C$1:$C1144,"R")+1,A1144)</f>
        <v>862</v>
      </c>
      <c r="B1145" s="19" t="str">
        <f t="shared" si="96"/>
        <v>B-BCP - Soles</v>
      </c>
      <c r="C1145" s="3" t="s">
        <v>1352</v>
      </c>
      <c r="D1145" s="14">
        <v>45750</v>
      </c>
      <c r="E1145" s="5" t="s">
        <v>536</v>
      </c>
      <c r="F1145" s="5" t="s">
        <v>1303</v>
      </c>
      <c r="G1145" s="6" t="s">
        <v>425</v>
      </c>
      <c r="H1145" s="6" t="s">
        <v>119</v>
      </c>
      <c r="I1145" s="6">
        <v>1</v>
      </c>
      <c r="J1145" s="6">
        <v>4298</v>
      </c>
      <c r="K1145" s="7" t="s">
        <v>1356</v>
      </c>
      <c r="L1145" s="8">
        <v>3479204</v>
      </c>
      <c r="M1145" s="8" t="str">
        <f t="shared" si="97"/>
        <v>PEN</v>
      </c>
      <c r="N1145" s="13">
        <v>24</v>
      </c>
      <c r="O1145" s="13"/>
      <c r="P1145" s="3">
        <f t="shared" si="98"/>
        <v>0</v>
      </c>
      <c r="Q1145" s="3">
        <f t="shared" si="99"/>
        <v>0</v>
      </c>
      <c r="R1145" s="3">
        <f t="shared" si="95"/>
        <v>31039.450000000041</v>
      </c>
      <c r="S1145" s="24" t="s">
        <v>1334</v>
      </c>
      <c r="T1145" s="24" t="s">
        <v>1334</v>
      </c>
      <c r="U1145" s="53"/>
      <c r="V1145" s="25">
        <f>IFERROR(VLOOKUP(BCP_Soles[[#This Row],[destinatario]],CHOOSE({1,2},Clientes_Proveedores[Razon Social],Clientes_Proveedores[Ruc / Dni]),2,0),"")</f>
        <v>20558226979</v>
      </c>
      <c r="W1145" s="25" t="s">
        <v>1345</v>
      </c>
      <c r="X1145" s="25" t="s">
        <v>2538</v>
      </c>
      <c r="Y1145" s="25"/>
      <c r="Z1145" s="75"/>
      <c r="AA1145" s="3" t="str">
        <f>IF(BCP_Soles[[#This Row],[fecha]]&gt;0,TEXT(BCP_Soles[[#This Row],[fecha]],"mmmm"),0)</f>
        <v>Abril</v>
      </c>
    </row>
    <row r="1146" spans="1:27" ht="24" x14ac:dyDescent="0.3">
      <c r="A1146" s="2">
        <f>IF(BCP_Soles[[#This Row],[tipo_registro]]="R",COUNTIFS($C$1:$C1145,"R")+1,A1145)</f>
        <v>863</v>
      </c>
      <c r="B1146" s="19" t="str">
        <f t="shared" si="96"/>
        <v>B-BCP - Soles</v>
      </c>
      <c r="C1146" s="3" t="s">
        <v>1330</v>
      </c>
      <c r="D1146" s="14">
        <v>45750</v>
      </c>
      <c r="E1146" s="5" t="s">
        <v>2009</v>
      </c>
      <c r="F1146" s="5" t="s">
        <v>1303</v>
      </c>
      <c r="G1146" s="6" t="s">
        <v>425</v>
      </c>
      <c r="H1146" s="6" t="s">
        <v>119</v>
      </c>
      <c r="I1146" s="6">
        <v>1</v>
      </c>
      <c r="J1146" s="6">
        <v>4294</v>
      </c>
      <c r="K1146" s="7" t="s">
        <v>1356</v>
      </c>
      <c r="L1146" s="8">
        <v>2063162</v>
      </c>
      <c r="M1146" s="8" t="str">
        <f t="shared" si="97"/>
        <v>PEN</v>
      </c>
      <c r="N1146" s="13"/>
      <c r="O1146" s="13">
        <v>450</v>
      </c>
      <c r="P1146" s="3">
        <f t="shared" si="98"/>
        <v>450</v>
      </c>
      <c r="Q1146" s="3">
        <f t="shared" si="99"/>
        <v>0</v>
      </c>
      <c r="R1146" s="3">
        <f t="shared" si="95"/>
        <v>31489.450000000041</v>
      </c>
      <c r="S1146" s="24" t="s">
        <v>1334</v>
      </c>
      <c r="T1146" s="24" t="s">
        <v>1334</v>
      </c>
      <c r="U1146" s="53"/>
      <c r="V1146" s="25">
        <f>IFERROR(VLOOKUP(BCP_Soles[[#This Row],[destinatario]],CHOOSE({1,2},Clientes_Proveedores[Razon Social],Clientes_Proveedores[Ruc / Dni]),2,0),"")</f>
        <v>20558226979</v>
      </c>
      <c r="W1146" s="25" t="s">
        <v>1345</v>
      </c>
      <c r="X1146" s="25" t="s">
        <v>2523</v>
      </c>
      <c r="Y1146" s="25"/>
      <c r="Z1146" s="75"/>
      <c r="AA1146" s="3" t="str">
        <f>IF(BCP_Soles[[#This Row],[fecha]]&gt;0,TEXT(BCP_Soles[[#This Row],[fecha]],"mmmm"),0)</f>
        <v>Abril</v>
      </c>
    </row>
    <row r="1147" spans="1:27" x14ac:dyDescent="0.3">
      <c r="A1147" s="2">
        <f>IF(BCP_Soles[[#This Row],[tipo_registro]]="R",COUNTIFS($C$1:$C1146,"R")+1,A1146)</f>
        <v>864</v>
      </c>
      <c r="B1147" s="19" t="str">
        <f t="shared" si="96"/>
        <v>B-BCP - Soles</v>
      </c>
      <c r="C1147" s="3" t="s">
        <v>1330</v>
      </c>
      <c r="D1147" s="14">
        <v>45750</v>
      </c>
      <c r="E1147" s="5" t="s">
        <v>1335</v>
      </c>
      <c r="F1147" s="5" t="s">
        <v>1336</v>
      </c>
      <c r="G1147" s="6"/>
      <c r="H1147" s="6"/>
      <c r="I1147" s="6"/>
      <c r="J1147" s="6"/>
      <c r="K1147" s="7" t="s">
        <v>1337</v>
      </c>
      <c r="L1147" s="8"/>
      <c r="M1147" s="8" t="str">
        <f t="shared" si="97"/>
        <v>PEN</v>
      </c>
      <c r="N1147" s="13"/>
      <c r="O1147" s="13">
        <v>0.45</v>
      </c>
      <c r="P1147" s="3">
        <f t="shared" si="98"/>
        <v>0</v>
      </c>
      <c r="Q1147" s="3">
        <f t="shared" si="99"/>
        <v>0.45</v>
      </c>
      <c r="R1147" s="3">
        <f t="shared" si="95"/>
        <v>31489.00000000004</v>
      </c>
      <c r="S1147" s="24"/>
      <c r="T1147" s="24" t="s">
        <v>1334</v>
      </c>
      <c r="U1147" s="53"/>
      <c r="V1147" s="25" t="str">
        <f>IFERROR(VLOOKUP(BCP_Soles[[#This Row],[destinatario]],CHOOSE({1,2},Clientes_Proveedores[Razon Social],Clientes_Proveedores[Ruc / Dni]),2,0),"")</f>
        <v/>
      </c>
      <c r="W1147" s="25"/>
      <c r="X1147" s="25"/>
      <c r="Y1147" s="25"/>
      <c r="Z1147" s="75"/>
      <c r="AA1147" s="3" t="str">
        <f>IF(BCP_Soles[[#This Row],[fecha]]&gt;0,TEXT(BCP_Soles[[#This Row],[fecha]],"mmmm"),0)</f>
        <v>Abril</v>
      </c>
    </row>
    <row r="1148" spans="1:27" ht="24" x14ac:dyDescent="0.3">
      <c r="A1148" s="2">
        <f>IF(BCP_Soles[[#This Row],[tipo_registro]]="R",COUNTIFS($C$1:$C1147,"R")+1,A1147)</f>
        <v>865</v>
      </c>
      <c r="B1148" s="19" t="str">
        <f t="shared" si="96"/>
        <v>B-BCP - Soles</v>
      </c>
      <c r="C1148" s="3" t="s">
        <v>1330</v>
      </c>
      <c r="D1148" s="14">
        <v>45750</v>
      </c>
      <c r="E1148" s="5" t="s">
        <v>1335</v>
      </c>
      <c r="F1148" s="5" t="s">
        <v>1336</v>
      </c>
      <c r="G1148" s="6" t="s">
        <v>1060</v>
      </c>
      <c r="H1148" s="6" t="s">
        <v>68</v>
      </c>
      <c r="I1148" s="6" t="s">
        <v>1397</v>
      </c>
      <c r="J1148" s="6">
        <v>31184478</v>
      </c>
      <c r="K1148" s="7" t="s">
        <v>2539</v>
      </c>
      <c r="L1148" s="8">
        <v>598526</v>
      </c>
      <c r="M1148" s="8" t="str">
        <f t="shared" si="97"/>
        <v>PEN</v>
      </c>
      <c r="N1148" s="13"/>
      <c r="O1148" s="13">
        <v>5</v>
      </c>
      <c r="P1148" s="3">
        <f t="shared" si="98"/>
        <v>0</v>
      </c>
      <c r="Q1148" s="3">
        <f t="shared" si="99"/>
        <v>5</v>
      </c>
      <c r="R1148" s="3">
        <f t="shared" si="95"/>
        <v>31484.00000000004</v>
      </c>
      <c r="S1148" s="24" t="s">
        <v>1334</v>
      </c>
      <c r="T1148" s="24" t="s">
        <v>1334</v>
      </c>
      <c r="U1148" s="53"/>
      <c r="V1148" s="25">
        <f>IFERROR(VLOOKUP(BCP_Soles[[#This Row],[destinatario]],CHOOSE({1,2},Clientes_Proveedores[Razon Social],Clientes_Proveedores[Ruc / Dni]),2,0),"")</f>
        <v>20100047218</v>
      </c>
      <c r="W1148" s="25" t="s">
        <v>1335</v>
      </c>
      <c r="X1148" s="25"/>
      <c r="Y1148" s="25"/>
      <c r="Z1148" s="75"/>
      <c r="AA1148" s="3" t="str">
        <f>IF(BCP_Soles[[#This Row],[fecha]]&gt;0,TEXT(BCP_Soles[[#This Row],[fecha]],"mmmm"),0)</f>
        <v>Abril</v>
      </c>
    </row>
    <row r="1149" spans="1:27" x14ac:dyDescent="0.3">
      <c r="A1149" s="2">
        <f>IF(BCP_Soles[[#This Row],[tipo_registro]]="R",COUNTIFS($C$1:$C1148,"R")+1,A1148)</f>
        <v>866</v>
      </c>
      <c r="B1149" s="19" t="str">
        <f t="shared" si="96"/>
        <v>B-BCP - Soles</v>
      </c>
      <c r="C1149" s="3" t="s">
        <v>1330</v>
      </c>
      <c r="D1149" s="14">
        <v>45750</v>
      </c>
      <c r="E1149" s="5" t="s">
        <v>2269</v>
      </c>
      <c r="F1149" s="5" t="s">
        <v>1336</v>
      </c>
      <c r="G1149" s="6" t="s">
        <v>196</v>
      </c>
      <c r="H1149" s="6" t="s">
        <v>68</v>
      </c>
      <c r="I1149" s="6" t="s">
        <v>2226</v>
      </c>
      <c r="J1149" s="6">
        <v>6180</v>
      </c>
      <c r="K1149" s="7" t="s">
        <v>2227</v>
      </c>
      <c r="L1149" s="8">
        <v>231552</v>
      </c>
      <c r="M1149" s="8" t="str">
        <f t="shared" si="97"/>
        <v>PEN</v>
      </c>
      <c r="N1149" s="13"/>
      <c r="O1149" s="13">
        <v>45.1</v>
      </c>
      <c r="P1149" s="3">
        <f t="shared" si="98"/>
        <v>0</v>
      </c>
      <c r="Q1149" s="3">
        <f t="shared" si="99"/>
        <v>45.1</v>
      </c>
      <c r="R1149" s="3">
        <f t="shared" si="95"/>
        <v>31438.900000000041</v>
      </c>
      <c r="S1149" s="24" t="s">
        <v>1334</v>
      </c>
      <c r="T1149" s="24" t="s">
        <v>1334</v>
      </c>
      <c r="U1149" s="53"/>
      <c r="V1149" s="25">
        <f>IFERROR(VLOOKUP(BCP_Soles[[#This Row],[destinatario]],CHOOSE({1,2},Clientes_Proveedores[Razon Social],Clientes_Proveedores[Ruc / Dni]),2,0),"")</f>
        <v>20100055237</v>
      </c>
      <c r="W1149" s="25" t="s">
        <v>2228</v>
      </c>
      <c r="X1149" s="25" t="s">
        <v>2540</v>
      </c>
      <c r="Y1149" s="25"/>
      <c r="Z1149" s="75"/>
      <c r="AA1149" s="3" t="str">
        <f>IF(BCP_Soles[[#This Row],[fecha]]&gt;0,TEXT(BCP_Soles[[#This Row],[fecha]],"mmmm"),0)</f>
        <v>Abril</v>
      </c>
    </row>
    <row r="1150" spans="1:27" ht="36" x14ac:dyDescent="0.3">
      <c r="A1150" s="2">
        <f>IF(BCP_Soles[[#This Row],[tipo_registro]]="R",COUNTIFS($C$1:$C1149,"R")+1,A1149)</f>
        <v>867</v>
      </c>
      <c r="B1150" s="19" t="str">
        <f t="shared" si="96"/>
        <v>B-BCP - Soles</v>
      </c>
      <c r="C1150" s="3" t="s">
        <v>1330</v>
      </c>
      <c r="D1150" s="14">
        <v>45750</v>
      </c>
      <c r="E1150" s="5" t="s">
        <v>2269</v>
      </c>
      <c r="F1150" s="5" t="s">
        <v>1336</v>
      </c>
      <c r="G1150" s="6" t="s">
        <v>588</v>
      </c>
      <c r="H1150" s="6" t="s">
        <v>68</v>
      </c>
      <c r="I1150" s="6" t="s">
        <v>1376</v>
      </c>
      <c r="J1150" s="6">
        <v>380</v>
      </c>
      <c r="K1150" s="7" t="s">
        <v>2541</v>
      </c>
      <c r="L1150" s="8">
        <v>1228590</v>
      </c>
      <c r="M1150" s="8" t="str">
        <f t="shared" si="97"/>
        <v>PEN</v>
      </c>
      <c r="N1150" s="13"/>
      <c r="O1150" s="13">
        <v>94.28</v>
      </c>
      <c r="P1150" s="3">
        <f t="shared" si="98"/>
        <v>0</v>
      </c>
      <c r="Q1150" s="3">
        <f t="shared" si="99"/>
        <v>94.28</v>
      </c>
      <c r="R1150" s="3">
        <f t="shared" si="95"/>
        <v>31344.620000000043</v>
      </c>
      <c r="S1150" s="24" t="s">
        <v>1334</v>
      </c>
      <c r="T1150" s="24" t="s">
        <v>1334</v>
      </c>
      <c r="U1150" s="53"/>
      <c r="V1150" s="25">
        <f>IFERROR(VLOOKUP(BCP_Soles[[#This Row],[destinatario]],CHOOSE({1,2},Clientes_Proveedores[Razon Social],Clientes_Proveedores[Ruc / Dni]),2,0),"")</f>
        <v>20609368773</v>
      </c>
      <c r="W1150" s="25" t="s">
        <v>1439</v>
      </c>
      <c r="X1150" s="25" t="s">
        <v>2542</v>
      </c>
      <c r="Y1150" s="25"/>
      <c r="Z1150" s="75"/>
      <c r="AA1150" s="3" t="str">
        <f>IF(BCP_Soles[[#This Row],[fecha]]&gt;0,TEXT(BCP_Soles[[#This Row],[fecha]],"mmmm"),0)</f>
        <v>Abril</v>
      </c>
    </row>
    <row r="1151" spans="1:27" x14ac:dyDescent="0.3">
      <c r="A1151" s="2">
        <f>IF(BCP_Soles[[#This Row],[tipo_registro]]="R",COUNTIFS($C$1:$C1150,"R")+1,A1150)</f>
        <v>868</v>
      </c>
      <c r="B1151" s="19" t="str">
        <f t="shared" si="96"/>
        <v>B-BCP - Soles</v>
      </c>
      <c r="C1151" s="3" t="s">
        <v>1330</v>
      </c>
      <c r="D1151" s="14">
        <v>45750</v>
      </c>
      <c r="E1151" s="5" t="s">
        <v>2269</v>
      </c>
      <c r="F1151" s="5" t="s">
        <v>1336</v>
      </c>
      <c r="G1151" s="6" t="s">
        <v>196</v>
      </c>
      <c r="H1151" s="6" t="s">
        <v>68</v>
      </c>
      <c r="I1151" s="6" t="s">
        <v>2226</v>
      </c>
      <c r="J1151" s="6">
        <v>6179</v>
      </c>
      <c r="K1151" s="7" t="s">
        <v>2227</v>
      </c>
      <c r="L1151" s="8">
        <v>228592</v>
      </c>
      <c r="M1151" s="8" t="str">
        <f t="shared" si="97"/>
        <v>PEN</v>
      </c>
      <c r="N1151" s="13"/>
      <c r="O1151" s="13">
        <v>99.88</v>
      </c>
      <c r="P1151" s="3">
        <f t="shared" si="98"/>
        <v>0</v>
      </c>
      <c r="Q1151" s="3">
        <f t="shared" si="99"/>
        <v>99.88</v>
      </c>
      <c r="R1151" s="3">
        <f t="shared" si="95"/>
        <v>31244.740000000042</v>
      </c>
      <c r="S1151" s="24" t="s">
        <v>1334</v>
      </c>
      <c r="T1151" s="24" t="s">
        <v>1334</v>
      </c>
      <c r="U1151" s="53"/>
      <c r="V1151" s="25">
        <f>IFERROR(VLOOKUP(BCP_Soles[[#This Row],[destinatario]],CHOOSE({1,2},Clientes_Proveedores[Razon Social],Clientes_Proveedores[Ruc / Dni]),2,0),"")</f>
        <v>20100055237</v>
      </c>
      <c r="W1151" s="25" t="s">
        <v>2228</v>
      </c>
      <c r="X1151" s="25" t="s">
        <v>2543</v>
      </c>
      <c r="Y1151" s="25"/>
      <c r="Z1151" s="75"/>
      <c r="AA1151" s="3" t="str">
        <f>IF(BCP_Soles[[#This Row],[fecha]]&gt;0,TEXT(BCP_Soles[[#This Row],[fecha]],"mmmm"),0)</f>
        <v>Abril</v>
      </c>
    </row>
    <row r="1152" spans="1:27" x14ac:dyDescent="0.3">
      <c r="A1152" s="2">
        <f>IF(BCP_Soles[[#This Row],[tipo_registro]]="R",COUNTIFS($C$1:$C1151,"R")+1,A1151)</f>
        <v>869</v>
      </c>
      <c r="B1152" s="19" t="str">
        <f t="shared" si="96"/>
        <v>B-BCP - Soles</v>
      </c>
      <c r="C1152" s="3" t="s">
        <v>1330</v>
      </c>
      <c r="D1152" s="14">
        <v>45750</v>
      </c>
      <c r="E1152" s="5" t="s">
        <v>2269</v>
      </c>
      <c r="F1152" s="5" t="s">
        <v>1336</v>
      </c>
      <c r="G1152" s="6" t="s">
        <v>196</v>
      </c>
      <c r="H1152" s="6" t="s">
        <v>68</v>
      </c>
      <c r="I1152" s="6" t="s">
        <v>2226</v>
      </c>
      <c r="J1152" s="6">
        <v>6183</v>
      </c>
      <c r="K1152" s="7" t="s">
        <v>2227</v>
      </c>
      <c r="L1152" s="8">
        <v>228591</v>
      </c>
      <c r="M1152" s="8" t="str">
        <f t="shared" si="97"/>
        <v>PEN</v>
      </c>
      <c r="N1152" s="13"/>
      <c r="O1152" s="13">
        <v>101.77</v>
      </c>
      <c r="P1152" s="3">
        <f t="shared" si="98"/>
        <v>0</v>
      </c>
      <c r="Q1152" s="3">
        <f t="shared" si="99"/>
        <v>101.77</v>
      </c>
      <c r="R1152" s="3">
        <f t="shared" si="95"/>
        <v>31142.970000000041</v>
      </c>
      <c r="S1152" s="24" t="s">
        <v>1334</v>
      </c>
      <c r="T1152" s="24" t="s">
        <v>1334</v>
      </c>
      <c r="U1152" s="53"/>
      <c r="V1152" s="25">
        <f>IFERROR(VLOOKUP(BCP_Soles[[#This Row],[destinatario]],CHOOSE({1,2},Clientes_Proveedores[Razon Social],Clientes_Proveedores[Ruc / Dni]),2,0),"")</f>
        <v>20100055237</v>
      </c>
      <c r="W1152" s="25" t="s">
        <v>2228</v>
      </c>
      <c r="X1152" s="25" t="s">
        <v>2544</v>
      </c>
      <c r="Y1152" s="25"/>
      <c r="Z1152" s="75"/>
      <c r="AA1152" s="3" t="str">
        <f>IF(BCP_Soles[[#This Row],[fecha]]&gt;0,TEXT(BCP_Soles[[#This Row],[fecha]],"mmmm"),0)</f>
        <v>Abril</v>
      </c>
    </row>
    <row r="1153" spans="1:27" x14ac:dyDescent="0.3">
      <c r="A1153" s="2">
        <f>IF(BCP_Soles[[#This Row],[tipo_registro]]="R",COUNTIFS($C$1:$C1152,"R")+1,A1152)</f>
        <v>870</v>
      </c>
      <c r="B1153" s="19" t="str">
        <f t="shared" si="96"/>
        <v>B-BCP - Soles</v>
      </c>
      <c r="C1153" s="3" t="s">
        <v>1330</v>
      </c>
      <c r="D1153" s="14">
        <v>45750</v>
      </c>
      <c r="E1153" s="5" t="s">
        <v>2269</v>
      </c>
      <c r="F1153" s="5" t="s">
        <v>1336</v>
      </c>
      <c r="G1153" s="6" t="s">
        <v>196</v>
      </c>
      <c r="H1153" s="6" t="s">
        <v>68</v>
      </c>
      <c r="I1153" s="6" t="s">
        <v>2226</v>
      </c>
      <c r="J1153" s="6">
        <v>6181</v>
      </c>
      <c r="K1153" s="7" t="s">
        <v>2227</v>
      </c>
      <c r="L1153" s="8">
        <v>231046</v>
      </c>
      <c r="M1153" s="8" t="str">
        <f t="shared" si="97"/>
        <v>PEN</v>
      </c>
      <c r="N1153" s="13"/>
      <c r="O1153" s="13">
        <v>104.61</v>
      </c>
      <c r="P1153" s="3">
        <f t="shared" si="98"/>
        <v>0</v>
      </c>
      <c r="Q1153" s="3">
        <f t="shared" si="99"/>
        <v>104.61</v>
      </c>
      <c r="R1153" s="3">
        <f t="shared" si="95"/>
        <v>31038.360000000041</v>
      </c>
      <c r="S1153" s="24" t="s">
        <v>1334</v>
      </c>
      <c r="T1153" s="24" t="s">
        <v>1334</v>
      </c>
      <c r="U1153" s="53"/>
      <c r="V1153" s="25">
        <f>IFERROR(VLOOKUP(BCP_Soles[[#This Row],[destinatario]],CHOOSE({1,2},Clientes_Proveedores[Razon Social],Clientes_Proveedores[Ruc / Dni]),2,0),"")</f>
        <v>20100055237</v>
      </c>
      <c r="W1153" s="25" t="s">
        <v>2228</v>
      </c>
      <c r="X1153" s="25" t="s">
        <v>2545</v>
      </c>
      <c r="Y1153" s="25"/>
      <c r="Z1153" s="75"/>
      <c r="AA1153" s="3" t="str">
        <f>IF(BCP_Soles[[#This Row],[fecha]]&gt;0,TEXT(BCP_Soles[[#This Row],[fecha]],"mmmm"),0)</f>
        <v>Abril</v>
      </c>
    </row>
    <row r="1154" spans="1:27" ht="48" x14ac:dyDescent="0.3">
      <c r="A1154" s="2">
        <f>IF(BCP_Soles[[#This Row],[tipo_registro]]="R",COUNTIFS($C$1:$C1153,"R")+1,A1153)</f>
        <v>871</v>
      </c>
      <c r="B1154" s="19" t="str">
        <f t="shared" si="96"/>
        <v>B-BCP - Soles</v>
      </c>
      <c r="C1154" s="3" t="s">
        <v>1330</v>
      </c>
      <c r="D1154" s="14">
        <v>45750</v>
      </c>
      <c r="E1154" s="5" t="s">
        <v>2269</v>
      </c>
      <c r="F1154" s="5" t="s">
        <v>1336</v>
      </c>
      <c r="G1154" s="6" t="s">
        <v>501</v>
      </c>
      <c r="H1154" s="6" t="s">
        <v>68</v>
      </c>
      <c r="I1154" s="6" t="s">
        <v>1650</v>
      </c>
      <c r="J1154" s="6">
        <v>7223</v>
      </c>
      <c r="K1154" s="7" t="s">
        <v>2546</v>
      </c>
      <c r="L1154" s="8">
        <v>1013427</v>
      </c>
      <c r="M1154" s="8" t="str">
        <f t="shared" si="97"/>
        <v>PEN</v>
      </c>
      <c r="N1154" s="13"/>
      <c r="O1154" s="13">
        <v>170.46</v>
      </c>
      <c r="P1154" s="3">
        <f t="shared" si="98"/>
        <v>0</v>
      </c>
      <c r="Q1154" s="3">
        <f t="shared" si="99"/>
        <v>170.46</v>
      </c>
      <c r="R1154" s="3">
        <f t="shared" si="95"/>
        <v>30867.900000000041</v>
      </c>
      <c r="S1154" s="24" t="s">
        <v>1334</v>
      </c>
      <c r="T1154" s="24" t="s">
        <v>1334</v>
      </c>
      <c r="U1154" s="53"/>
      <c r="V1154" s="25">
        <f>IFERROR(VLOOKUP(BCP_Soles[[#This Row],[destinatario]],CHOOSE({1,2},Clientes_Proveedores[Razon Social],Clientes_Proveedores[Ruc / Dni]),2,0),"")</f>
        <v>20602978274</v>
      </c>
      <c r="W1154" s="25" t="s">
        <v>1528</v>
      </c>
      <c r="X1154" s="25" t="s">
        <v>2547</v>
      </c>
      <c r="Y1154" s="25"/>
      <c r="Z1154" s="75"/>
      <c r="AA1154" s="3" t="str">
        <f>IF(BCP_Soles[[#This Row],[fecha]]&gt;0,TEXT(BCP_Soles[[#This Row],[fecha]],"mmmm"),0)</f>
        <v>Abril</v>
      </c>
    </row>
    <row r="1155" spans="1:27" ht="48" x14ac:dyDescent="0.3">
      <c r="A1155" s="2">
        <f>IF(BCP_Soles[[#This Row],[tipo_registro]]="R",COUNTIFS($C$1:$C1154,"R")+1,A1154)</f>
        <v>872</v>
      </c>
      <c r="B1155" s="19" t="str">
        <f t="shared" si="96"/>
        <v>B-BCP - Soles</v>
      </c>
      <c r="C1155" s="3" t="s">
        <v>1330</v>
      </c>
      <c r="D1155" s="14">
        <v>45750</v>
      </c>
      <c r="E1155" s="5" t="s">
        <v>2269</v>
      </c>
      <c r="F1155" s="5" t="s">
        <v>1336</v>
      </c>
      <c r="G1155" s="6" t="s">
        <v>501</v>
      </c>
      <c r="H1155" s="6" t="s">
        <v>68</v>
      </c>
      <c r="I1155" s="6" t="s">
        <v>1526</v>
      </c>
      <c r="J1155" s="6">
        <v>9894</v>
      </c>
      <c r="K1155" s="7" t="s">
        <v>2548</v>
      </c>
      <c r="L1155" s="8">
        <v>1012927</v>
      </c>
      <c r="M1155" s="8" t="str">
        <f t="shared" si="97"/>
        <v>PEN</v>
      </c>
      <c r="N1155" s="13"/>
      <c r="O1155" s="13">
        <v>226.92</v>
      </c>
      <c r="P1155" s="3">
        <f t="shared" si="98"/>
        <v>0</v>
      </c>
      <c r="Q1155" s="3">
        <f t="shared" si="99"/>
        <v>226.92</v>
      </c>
      <c r="R1155" s="3">
        <f t="shared" si="95"/>
        <v>30640.980000000043</v>
      </c>
      <c r="S1155" s="24" t="s">
        <v>1334</v>
      </c>
      <c r="T1155" s="24" t="s">
        <v>1334</v>
      </c>
      <c r="U1155" s="53"/>
      <c r="V1155" s="25">
        <f>IFERROR(VLOOKUP(BCP_Soles[[#This Row],[destinatario]],CHOOSE({1,2},Clientes_Proveedores[Razon Social],Clientes_Proveedores[Ruc / Dni]),2,0),"")</f>
        <v>20602978274</v>
      </c>
      <c r="W1155" s="25" t="s">
        <v>1528</v>
      </c>
      <c r="X1155" s="25" t="s">
        <v>2549</v>
      </c>
      <c r="Y1155" s="25"/>
      <c r="Z1155" s="75"/>
      <c r="AA1155" s="3" t="str">
        <f>IF(BCP_Soles[[#This Row],[fecha]]&gt;0,TEXT(BCP_Soles[[#This Row],[fecha]],"mmmm"),0)</f>
        <v>Abril</v>
      </c>
    </row>
    <row r="1156" spans="1:27" x14ac:dyDescent="0.3">
      <c r="A1156" s="2">
        <f>IF(BCP_Soles[[#This Row],[tipo_registro]]="R",COUNTIFS($C$1:$C1155,"R")+1,A1155)</f>
        <v>873</v>
      </c>
      <c r="B1156" s="19" t="str">
        <f t="shared" si="96"/>
        <v>B-BCP - Soles</v>
      </c>
      <c r="C1156" s="3" t="s">
        <v>1330</v>
      </c>
      <c r="D1156" s="14">
        <v>45750</v>
      </c>
      <c r="E1156" s="5" t="s">
        <v>2269</v>
      </c>
      <c r="F1156" s="5" t="s">
        <v>1336</v>
      </c>
      <c r="G1156" s="6" t="s">
        <v>196</v>
      </c>
      <c r="H1156" s="6" t="s">
        <v>68</v>
      </c>
      <c r="I1156" s="6" t="s">
        <v>2226</v>
      </c>
      <c r="J1156" s="6">
        <v>6178</v>
      </c>
      <c r="K1156" s="7" t="s">
        <v>2227</v>
      </c>
      <c r="L1156" s="8">
        <v>228138</v>
      </c>
      <c r="M1156" s="8" t="str">
        <f t="shared" si="97"/>
        <v>PEN</v>
      </c>
      <c r="N1156" s="13"/>
      <c r="O1156" s="13">
        <v>327.86</v>
      </c>
      <c r="P1156" s="3">
        <f t="shared" si="98"/>
        <v>0</v>
      </c>
      <c r="Q1156" s="3">
        <f t="shared" si="99"/>
        <v>327.86</v>
      </c>
      <c r="R1156" s="3">
        <f t="shared" si="95"/>
        <v>30313.120000000043</v>
      </c>
      <c r="S1156" s="24" t="s">
        <v>1334</v>
      </c>
      <c r="T1156" s="24" t="s">
        <v>1334</v>
      </c>
      <c r="U1156" s="53"/>
      <c r="V1156" s="25">
        <f>IFERROR(VLOOKUP(BCP_Soles[[#This Row],[destinatario]],CHOOSE({1,2},Clientes_Proveedores[Razon Social],Clientes_Proveedores[Ruc / Dni]),2,0),"")</f>
        <v>20100055237</v>
      </c>
      <c r="W1156" s="25" t="s">
        <v>2228</v>
      </c>
      <c r="X1156" s="25" t="s">
        <v>2550</v>
      </c>
      <c r="Y1156" s="25"/>
      <c r="Z1156" s="75"/>
      <c r="AA1156" s="3" t="str">
        <f>IF(BCP_Soles[[#This Row],[fecha]]&gt;0,TEXT(BCP_Soles[[#This Row],[fecha]],"mmmm"),0)</f>
        <v>Abril</v>
      </c>
    </row>
    <row r="1157" spans="1:27" x14ac:dyDescent="0.3">
      <c r="A1157" s="2">
        <f>IF(BCP_Soles[[#This Row],[tipo_registro]]="R",COUNTIFS($C$1:$C1156,"R")+1,A1156)</f>
        <v>874</v>
      </c>
      <c r="B1157" s="19" t="str">
        <f t="shared" si="96"/>
        <v>B-BCP - Soles</v>
      </c>
      <c r="C1157" s="3" t="s">
        <v>1330</v>
      </c>
      <c r="D1157" s="14">
        <v>45750</v>
      </c>
      <c r="E1157" s="5" t="s">
        <v>2269</v>
      </c>
      <c r="F1157" s="5" t="s">
        <v>1336</v>
      </c>
      <c r="G1157" s="6" t="s">
        <v>196</v>
      </c>
      <c r="H1157" s="6" t="s">
        <v>68</v>
      </c>
      <c r="I1157" s="6" t="s">
        <v>2226</v>
      </c>
      <c r="J1157" s="6">
        <v>6182</v>
      </c>
      <c r="K1157" s="7" t="s">
        <v>2227</v>
      </c>
      <c r="L1157" s="8">
        <v>229583</v>
      </c>
      <c r="M1157" s="8" t="str">
        <f t="shared" si="97"/>
        <v>PEN</v>
      </c>
      <c r="N1157" s="13"/>
      <c r="O1157" s="13">
        <v>541.20000000000005</v>
      </c>
      <c r="P1157" s="3">
        <f t="shared" si="98"/>
        <v>0</v>
      </c>
      <c r="Q1157" s="3">
        <f t="shared" si="99"/>
        <v>541.20000000000005</v>
      </c>
      <c r="R1157" s="3">
        <f t="shared" si="95"/>
        <v>29771.920000000042</v>
      </c>
      <c r="S1157" s="24" t="s">
        <v>1334</v>
      </c>
      <c r="T1157" s="24" t="s">
        <v>1334</v>
      </c>
      <c r="U1157" s="53"/>
      <c r="V1157" s="25">
        <f>IFERROR(VLOOKUP(BCP_Soles[[#This Row],[destinatario]],CHOOSE({1,2},Clientes_Proveedores[Razon Social],Clientes_Proveedores[Ruc / Dni]),2,0),"")</f>
        <v>20100055237</v>
      </c>
      <c r="W1157" s="25" t="s">
        <v>2228</v>
      </c>
      <c r="X1157" s="25" t="s">
        <v>2551</v>
      </c>
      <c r="Y1157" s="25"/>
      <c r="Z1157" s="75"/>
      <c r="AA1157" s="3" t="str">
        <f>IF(BCP_Soles[[#This Row],[fecha]]&gt;0,TEXT(BCP_Soles[[#This Row],[fecha]],"mmmm"),0)</f>
        <v>Abril</v>
      </c>
    </row>
    <row r="1158" spans="1:27" ht="48" x14ac:dyDescent="0.3">
      <c r="A1158" s="2">
        <f>IF(BCP_Soles[[#This Row],[tipo_registro]]="R",COUNTIFS($C$1:$C1157,"R")+1,A1157)</f>
        <v>875</v>
      </c>
      <c r="B1158" s="19" t="str">
        <f t="shared" si="96"/>
        <v>B-BCP - Soles</v>
      </c>
      <c r="C1158" s="3" t="s">
        <v>1330</v>
      </c>
      <c r="D1158" s="14">
        <v>45750</v>
      </c>
      <c r="E1158" s="5" t="s">
        <v>2269</v>
      </c>
      <c r="F1158" s="5" t="s">
        <v>1336</v>
      </c>
      <c r="G1158" s="6" t="s">
        <v>665</v>
      </c>
      <c r="H1158" s="6"/>
      <c r="I1158" s="6"/>
      <c r="J1158" s="6"/>
      <c r="K1158" s="7" t="s">
        <v>2552</v>
      </c>
      <c r="L1158" s="8">
        <v>4021130</v>
      </c>
      <c r="M1158" s="8" t="str">
        <f t="shared" si="97"/>
        <v>PEN</v>
      </c>
      <c r="N1158" s="13"/>
      <c r="O1158" s="13">
        <v>1180.51</v>
      </c>
      <c r="P1158" s="3">
        <f t="shared" si="98"/>
        <v>0</v>
      </c>
      <c r="Q1158" s="3">
        <f t="shared" si="99"/>
        <v>1180.51</v>
      </c>
      <c r="R1158" s="3">
        <f t="shared" si="95"/>
        <v>28591.410000000044</v>
      </c>
      <c r="S1158" s="24" t="s">
        <v>1334</v>
      </c>
      <c r="T1158" s="24" t="s">
        <v>1334</v>
      </c>
      <c r="U1158" s="53"/>
      <c r="V1158" s="25">
        <f>IFERROR(VLOOKUP(BCP_Soles[[#This Row],[destinatario]],CHOOSE({1,2},Clientes_Proveedores[Razon Social],Clientes_Proveedores[Ruc / Dni]),2,0),"")</f>
        <v>20601649315</v>
      </c>
      <c r="W1158" s="25" t="s">
        <v>2553</v>
      </c>
      <c r="X1158" s="25" t="s">
        <v>2554</v>
      </c>
      <c r="Y1158" s="25"/>
      <c r="Z1158" s="75"/>
      <c r="AA1158" s="3" t="str">
        <f>IF(BCP_Soles[[#This Row],[fecha]]&gt;0,TEXT(BCP_Soles[[#This Row],[fecha]],"mmmm"),0)</f>
        <v>Abril</v>
      </c>
    </row>
    <row r="1159" spans="1:27" ht="48" x14ac:dyDescent="0.3">
      <c r="A1159" s="2">
        <f>IF(BCP_Soles[[#This Row],[tipo_registro]]="R",COUNTIFS($C$1:$C1158,"R")+1,A1158)</f>
        <v>875</v>
      </c>
      <c r="B1159" s="19" t="str">
        <f t="shared" si="96"/>
        <v>B-BCP - Soles</v>
      </c>
      <c r="C1159" s="3" t="s">
        <v>1352</v>
      </c>
      <c r="D1159" s="14">
        <v>45750</v>
      </c>
      <c r="E1159" s="5" t="s">
        <v>2269</v>
      </c>
      <c r="F1159" s="5" t="s">
        <v>1336</v>
      </c>
      <c r="G1159" s="6" t="s">
        <v>665</v>
      </c>
      <c r="H1159" s="6" t="s">
        <v>68</v>
      </c>
      <c r="I1159" s="6" t="s">
        <v>1376</v>
      </c>
      <c r="J1159" s="6">
        <v>350</v>
      </c>
      <c r="K1159" s="7" t="s">
        <v>2552</v>
      </c>
      <c r="L1159" s="8">
        <v>4021130</v>
      </c>
      <c r="M1159" s="8" t="str">
        <f t="shared" si="97"/>
        <v>PEN</v>
      </c>
      <c r="N1159" s="13">
        <v>1170.01</v>
      </c>
      <c r="O1159" s="13"/>
      <c r="P1159" s="3">
        <f t="shared" si="98"/>
        <v>0</v>
      </c>
      <c r="Q1159" s="3">
        <f t="shared" si="99"/>
        <v>0</v>
      </c>
      <c r="R1159" s="3">
        <f t="shared" si="95"/>
        <v>28591.410000000044</v>
      </c>
      <c r="S1159" s="24" t="s">
        <v>1334</v>
      </c>
      <c r="T1159" s="24" t="s">
        <v>1334</v>
      </c>
      <c r="U1159" s="53"/>
      <c r="V1159" s="25">
        <f>IFERROR(VLOOKUP(BCP_Soles[[#This Row],[destinatario]],CHOOSE({1,2},Clientes_Proveedores[Razon Social],Clientes_Proveedores[Ruc / Dni]),2,0),"")</f>
        <v>20601649315</v>
      </c>
      <c r="W1159" s="25"/>
      <c r="X1159" s="25"/>
      <c r="Y1159" s="25"/>
      <c r="Z1159" s="75"/>
      <c r="AA1159" s="3" t="str">
        <f>IF(BCP_Soles[[#This Row],[fecha]]&gt;0,TEXT(BCP_Soles[[#This Row],[fecha]],"mmmm"),0)</f>
        <v>Abril</v>
      </c>
    </row>
    <row r="1160" spans="1:27" ht="24" x14ac:dyDescent="0.3">
      <c r="A1160" s="2">
        <f>IF(BCP_Soles[[#This Row],[tipo_registro]]="R",COUNTIFS($C$1:$C1159,"R")+1,A1159)</f>
        <v>875</v>
      </c>
      <c r="B1160" s="19" t="str">
        <f t="shared" si="96"/>
        <v>B-BCP - Soles</v>
      </c>
      <c r="C1160" s="3" t="s">
        <v>1352</v>
      </c>
      <c r="D1160" s="14">
        <v>45750</v>
      </c>
      <c r="E1160" s="5" t="s">
        <v>2269</v>
      </c>
      <c r="F1160" s="5" t="s">
        <v>1336</v>
      </c>
      <c r="G1160" s="6" t="s">
        <v>1060</v>
      </c>
      <c r="H1160" s="6" t="s">
        <v>68</v>
      </c>
      <c r="I1160" s="6" t="s">
        <v>1397</v>
      </c>
      <c r="J1160" s="6">
        <v>31184478</v>
      </c>
      <c r="K1160" s="7" t="s">
        <v>2552</v>
      </c>
      <c r="L1160" s="8">
        <v>4021130</v>
      </c>
      <c r="M1160" s="8" t="str">
        <f t="shared" si="97"/>
        <v>PEN</v>
      </c>
      <c r="N1160" s="13">
        <v>10.5</v>
      </c>
      <c r="O1160" s="13"/>
      <c r="P1160" s="3">
        <f t="shared" si="98"/>
        <v>0</v>
      </c>
      <c r="Q1160" s="3">
        <f t="shared" si="99"/>
        <v>0</v>
      </c>
      <c r="R1160" s="3">
        <f t="shared" si="95"/>
        <v>28591.410000000044</v>
      </c>
      <c r="S1160" s="24" t="s">
        <v>1334</v>
      </c>
      <c r="T1160" s="24" t="s">
        <v>1334</v>
      </c>
      <c r="U1160" s="53"/>
      <c r="V1160" s="25">
        <f>IFERROR(VLOOKUP(BCP_Soles[[#This Row],[destinatario]],CHOOSE({1,2},Clientes_Proveedores[Razon Social],Clientes_Proveedores[Ruc / Dni]),2,0),"")</f>
        <v>20100047218</v>
      </c>
      <c r="W1160" s="25"/>
      <c r="X1160" s="25"/>
      <c r="Y1160" s="25"/>
      <c r="Z1160" s="75"/>
      <c r="AA1160" s="3" t="str">
        <f>IF(BCP_Soles[[#This Row],[fecha]]&gt;0,TEXT(BCP_Soles[[#This Row],[fecha]],"mmmm"),0)</f>
        <v>Abril</v>
      </c>
    </row>
    <row r="1161" spans="1:27" x14ac:dyDescent="0.3">
      <c r="A1161" s="2">
        <f>IF(BCP_Soles[[#This Row],[tipo_registro]]="R",COUNTIFS($C$1:$C1160,"R")+1,A1160)</f>
        <v>876</v>
      </c>
      <c r="B1161" s="19" t="str">
        <f t="shared" si="96"/>
        <v>B-BCP - Soles</v>
      </c>
      <c r="C1161" s="3" t="s">
        <v>1330</v>
      </c>
      <c r="D1161" s="14">
        <v>45750</v>
      </c>
      <c r="E1161" s="5" t="s">
        <v>2269</v>
      </c>
      <c r="F1161" s="5" t="s">
        <v>1336</v>
      </c>
      <c r="G1161" s="6" t="s">
        <v>696</v>
      </c>
      <c r="H1161" s="6"/>
      <c r="I1161" s="6"/>
      <c r="J1161" s="6"/>
      <c r="K1161" s="7" t="s">
        <v>2555</v>
      </c>
      <c r="L1161" s="8">
        <v>598502</v>
      </c>
      <c r="M1161" s="8" t="str">
        <f t="shared" si="97"/>
        <v>PEN</v>
      </c>
      <c r="N1161" s="13"/>
      <c r="O1161" s="13">
        <v>6808.15</v>
      </c>
      <c r="P1161" s="3">
        <f t="shared" si="98"/>
        <v>0</v>
      </c>
      <c r="Q1161" s="3">
        <f t="shared" si="99"/>
        <v>6808.15</v>
      </c>
      <c r="R1161" s="3">
        <f t="shared" ref="R1161:R1224" si="100">IFERROR(IF(F1161="SALDO",P1161,R1160+P1161-Q1161),0)</f>
        <v>21783.260000000046</v>
      </c>
      <c r="S1161" s="24" t="s">
        <v>1334</v>
      </c>
      <c r="T1161" s="24" t="s">
        <v>1334</v>
      </c>
      <c r="U1161" s="53"/>
      <c r="V1161" s="25">
        <f>IFERROR(VLOOKUP(BCP_Soles[[#This Row],[destinatario]],CHOOSE({1,2},Clientes_Proveedores[Razon Social],Clientes_Proveedores[Ruc / Dni]),2,0),"")</f>
        <v>0</v>
      </c>
      <c r="W1161" s="25" t="s">
        <v>1373</v>
      </c>
      <c r="X1161" s="25"/>
      <c r="Y1161" s="25"/>
      <c r="Z1161" s="75"/>
      <c r="AA1161" s="3" t="str">
        <f>IF(BCP_Soles[[#This Row],[fecha]]&gt;0,TEXT(BCP_Soles[[#This Row],[fecha]],"mmmm"),0)</f>
        <v>Abril</v>
      </c>
    </row>
    <row r="1162" spans="1:27" x14ac:dyDescent="0.3">
      <c r="A1162" s="2">
        <f>IF(BCP_Soles[[#This Row],[tipo_registro]]="R",COUNTIFS($C$1:$C1161,"R")+1,A1161)</f>
        <v>876</v>
      </c>
      <c r="B1162" s="19" t="str">
        <f t="shared" si="96"/>
        <v>B-BCP - Soles</v>
      </c>
      <c r="C1162" s="3" t="s">
        <v>1352</v>
      </c>
      <c r="D1162" s="14">
        <v>45750</v>
      </c>
      <c r="E1162" s="5" t="s">
        <v>2269</v>
      </c>
      <c r="F1162" s="5"/>
      <c r="G1162" s="6" t="s">
        <v>346</v>
      </c>
      <c r="H1162" s="6" t="s">
        <v>68</v>
      </c>
      <c r="I1162" s="6" t="s">
        <v>1461</v>
      </c>
      <c r="J1162" s="6">
        <v>40132</v>
      </c>
      <c r="K1162" s="7" t="s">
        <v>2555</v>
      </c>
      <c r="L1162" s="8">
        <v>598502</v>
      </c>
      <c r="M1162" s="8" t="str">
        <f t="shared" si="97"/>
        <v>PEN</v>
      </c>
      <c r="N1162" s="13">
        <v>603.99</v>
      </c>
      <c r="O1162" s="13"/>
      <c r="P1162" s="3">
        <f t="shared" si="98"/>
        <v>0</v>
      </c>
      <c r="Q1162" s="3">
        <f t="shared" si="99"/>
        <v>0</v>
      </c>
      <c r="R1162" s="3">
        <f t="shared" si="100"/>
        <v>21783.260000000046</v>
      </c>
      <c r="S1162" s="24"/>
      <c r="T1162" s="24" t="s">
        <v>1334</v>
      </c>
      <c r="U1162" s="53"/>
      <c r="V1162" s="25">
        <f>IFERROR(VLOOKUP(BCP_Soles[[#This Row],[destinatario]],CHOOSE({1,2},Clientes_Proveedores[Razon Social],Clientes_Proveedores[Ruc / Dni]),2,0),"")</f>
        <v>20505675836</v>
      </c>
      <c r="W1162" s="25"/>
      <c r="X1162" s="25"/>
      <c r="Y1162" s="25"/>
      <c r="Z1162" s="75"/>
      <c r="AA1162" s="3" t="str">
        <f>IF(BCP_Soles[[#This Row],[fecha]]&gt;0,TEXT(BCP_Soles[[#This Row],[fecha]],"mmmm"),0)</f>
        <v>Abril</v>
      </c>
    </row>
    <row r="1163" spans="1:27" x14ac:dyDescent="0.3">
      <c r="A1163" s="2">
        <f>IF(BCP_Soles[[#This Row],[tipo_registro]]="R",COUNTIFS($C$1:$C1162,"R")+1,A1162)</f>
        <v>876</v>
      </c>
      <c r="B1163" s="19" t="str">
        <f t="shared" si="96"/>
        <v>B-BCP - Soles</v>
      </c>
      <c r="C1163" s="3" t="s">
        <v>1352</v>
      </c>
      <c r="D1163" s="14">
        <v>45750</v>
      </c>
      <c r="E1163" s="5" t="s">
        <v>2269</v>
      </c>
      <c r="F1163" s="5"/>
      <c r="G1163" s="6" t="s">
        <v>346</v>
      </c>
      <c r="H1163" s="6" t="s">
        <v>68</v>
      </c>
      <c r="I1163" s="6" t="s">
        <v>1461</v>
      </c>
      <c r="J1163" s="6">
        <v>40133</v>
      </c>
      <c r="K1163" s="7" t="s">
        <v>2555</v>
      </c>
      <c r="L1163" s="8">
        <v>598502</v>
      </c>
      <c r="M1163" s="8" t="str">
        <f t="shared" si="97"/>
        <v>PEN</v>
      </c>
      <c r="N1163" s="13">
        <v>1732.99</v>
      </c>
      <c r="O1163" s="13"/>
      <c r="P1163" s="3">
        <f t="shared" si="98"/>
        <v>0</v>
      </c>
      <c r="Q1163" s="3">
        <f t="shared" si="99"/>
        <v>0</v>
      </c>
      <c r="R1163" s="3">
        <f t="shared" si="100"/>
        <v>21783.260000000046</v>
      </c>
      <c r="S1163" s="24"/>
      <c r="T1163" s="24" t="s">
        <v>1334</v>
      </c>
      <c r="U1163" s="53"/>
      <c r="V1163" s="25">
        <f>IFERROR(VLOOKUP(BCP_Soles[[#This Row],[destinatario]],CHOOSE({1,2},Clientes_Proveedores[Razon Social],Clientes_Proveedores[Ruc / Dni]),2,0),"")</f>
        <v>20505675836</v>
      </c>
      <c r="W1163" s="25"/>
      <c r="X1163" s="25"/>
      <c r="Y1163" s="25"/>
      <c r="Z1163" s="75"/>
      <c r="AA1163" s="3" t="str">
        <f>IF(BCP_Soles[[#This Row],[fecha]]&gt;0,TEXT(BCP_Soles[[#This Row],[fecha]],"mmmm"),0)</f>
        <v>Abril</v>
      </c>
    </row>
    <row r="1164" spans="1:27" ht="24" x14ac:dyDescent="0.3">
      <c r="A1164" s="2">
        <f>IF(BCP_Soles[[#This Row],[tipo_registro]]="R",COUNTIFS($C$1:$C1163,"R")+1,A1163)</f>
        <v>876</v>
      </c>
      <c r="B1164" s="19" t="str">
        <f t="shared" si="96"/>
        <v>B-BCP - Soles</v>
      </c>
      <c r="C1164" s="3" t="s">
        <v>1352</v>
      </c>
      <c r="D1164" s="14">
        <v>45750</v>
      </c>
      <c r="E1164" s="5" t="s">
        <v>2269</v>
      </c>
      <c r="F1164" s="5"/>
      <c r="G1164" s="6" t="s">
        <v>271</v>
      </c>
      <c r="H1164" s="6" t="s">
        <v>68</v>
      </c>
      <c r="I1164" s="6" t="s">
        <v>1375</v>
      </c>
      <c r="J1164" s="6">
        <v>6876</v>
      </c>
      <c r="K1164" s="7" t="s">
        <v>2555</v>
      </c>
      <c r="L1164" s="8">
        <v>598502</v>
      </c>
      <c r="M1164" s="8" t="str">
        <f t="shared" si="97"/>
        <v>PEN</v>
      </c>
      <c r="N1164" s="13">
        <v>244.95</v>
      </c>
      <c r="O1164" s="13"/>
      <c r="P1164" s="3">
        <f t="shared" si="98"/>
        <v>0</v>
      </c>
      <c r="Q1164" s="3">
        <f t="shared" si="99"/>
        <v>0</v>
      </c>
      <c r="R1164" s="3">
        <f t="shared" si="100"/>
        <v>21783.260000000046</v>
      </c>
      <c r="S1164" s="24"/>
      <c r="T1164" s="24" t="s">
        <v>1334</v>
      </c>
      <c r="U1164" s="53"/>
      <c r="V1164" s="25">
        <f>IFERROR(VLOOKUP(BCP_Soles[[#This Row],[destinatario]],CHOOSE({1,2},Clientes_Proveedores[Razon Social],Clientes_Proveedores[Ruc / Dni]),2,0),"")</f>
        <v>20419158462</v>
      </c>
      <c r="W1164" s="25"/>
      <c r="X1164" s="25"/>
      <c r="Y1164" s="25"/>
      <c r="Z1164" s="75"/>
      <c r="AA1164" s="3" t="str">
        <f>IF(BCP_Soles[[#This Row],[fecha]]&gt;0,TEXT(BCP_Soles[[#This Row],[fecha]],"mmmm"),0)</f>
        <v>Abril</v>
      </c>
    </row>
    <row r="1165" spans="1:27" ht="24" x14ac:dyDescent="0.3">
      <c r="A1165" s="2">
        <f>IF(BCP_Soles[[#This Row],[tipo_registro]]="R",COUNTIFS($C$1:$C1164,"R")+1,A1164)</f>
        <v>876</v>
      </c>
      <c r="B1165" s="19" t="str">
        <f t="shared" si="96"/>
        <v>B-BCP - Soles</v>
      </c>
      <c r="C1165" s="3" t="s">
        <v>1352</v>
      </c>
      <c r="D1165" s="14">
        <v>45750</v>
      </c>
      <c r="E1165" s="5" t="s">
        <v>2269</v>
      </c>
      <c r="F1165" s="5"/>
      <c r="G1165" s="6" t="s">
        <v>271</v>
      </c>
      <c r="H1165" s="6" t="s">
        <v>68</v>
      </c>
      <c r="I1165" s="6" t="s">
        <v>1375</v>
      </c>
      <c r="J1165" s="6">
        <v>6882</v>
      </c>
      <c r="K1165" s="7" t="s">
        <v>2555</v>
      </c>
      <c r="L1165" s="8">
        <v>598502</v>
      </c>
      <c r="M1165" s="8" t="str">
        <f t="shared" si="97"/>
        <v>PEN</v>
      </c>
      <c r="N1165" s="13">
        <v>948.85</v>
      </c>
      <c r="O1165" s="13"/>
      <c r="P1165" s="3">
        <f t="shared" si="98"/>
        <v>0</v>
      </c>
      <c r="Q1165" s="3">
        <f t="shared" si="99"/>
        <v>0</v>
      </c>
      <c r="R1165" s="3">
        <f t="shared" si="100"/>
        <v>21783.260000000046</v>
      </c>
      <c r="S1165" s="24"/>
      <c r="T1165" s="24" t="s">
        <v>1334</v>
      </c>
      <c r="U1165" s="53"/>
      <c r="V1165" s="25">
        <f>IFERROR(VLOOKUP(BCP_Soles[[#This Row],[destinatario]],CHOOSE({1,2},Clientes_Proveedores[Razon Social],Clientes_Proveedores[Ruc / Dni]),2,0),"")</f>
        <v>20419158462</v>
      </c>
      <c r="W1165" s="25"/>
      <c r="X1165" s="25"/>
      <c r="Y1165" s="25"/>
      <c r="Z1165" s="75"/>
      <c r="AA1165" s="3" t="str">
        <f>IF(BCP_Soles[[#This Row],[fecha]]&gt;0,TEXT(BCP_Soles[[#This Row],[fecha]],"mmmm"),0)</f>
        <v>Abril</v>
      </c>
    </row>
    <row r="1166" spans="1:27" ht="24" x14ac:dyDescent="0.3">
      <c r="A1166" s="2">
        <f>IF(BCP_Soles[[#This Row],[tipo_registro]]="R",COUNTIFS($C$1:$C1165,"R")+1,A1165)</f>
        <v>876</v>
      </c>
      <c r="B1166" s="19" t="str">
        <f t="shared" si="96"/>
        <v>B-BCP - Soles</v>
      </c>
      <c r="C1166" s="3" t="s">
        <v>1352</v>
      </c>
      <c r="D1166" s="14">
        <v>45750</v>
      </c>
      <c r="E1166" s="5" t="s">
        <v>2269</v>
      </c>
      <c r="F1166" s="5"/>
      <c r="G1166" s="6" t="s">
        <v>271</v>
      </c>
      <c r="H1166" s="6" t="s">
        <v>68</v>
      </c>
      <c r="I1166" s="6" t="s">
        <v>1375</v>
      </c>
      <c r="J1166" s="6">
        <v>6883</v>
      </c>
      <c r="K1166" s="7" t="s">
        <v>2555</v>
      </c>
      <c r="L1166" s="8">
        <v>598502</v>
      </c>
      <c r="M1166" s="8" t="str">
        <f t="shared" si="97"/>
        <v>PEN</v>
      </c>
      <c r="N1166" s="13">
        <v>204.7</v>
      </c>
      <c r="O1166" s="13"/>
      <c r="P1166" s="3">
        <f t="shared" si="98"/>
        <v>0</v>
      </c>
      <c r="Q1166" s="3">
        <f t="shared" si="99"/>
        <v>0</v>
      </c>
      <c r="R1166" s="3">
        <f t="shared" si="100"/>
        <v>21783.260000000046</v>
      </c>
      <c r="S1166" s="24"/>
      <c r="T1166" s="24" t="s">
        <v>1334</v>
      </c>
      <c r="U1166" s="53"/>
      <c r="V1166" s="25">
        <f>IFERROR(VLOOKUP(BCP_Soles[[#This Row],[destinatario]],CHOOSE({1,2},Clientes_Proveedores[Razon Social],Clientes_Proveedores[Ruc / Dni]),2,0),"")</f>
        <v>20419158462</v>
      </c>
      <c r="W1166" s="25"/>
      <c r="X1166" s="25"/>
      <c r="Y1166" s="25"/>
      <c r="Z1166" s="75"/>
      <c r="AA1166" s="3" t="str">
        <f>IF(BCP_Soles[[#This Row],[fecha]]&gt;0,TEXT(BCP_Soles[[#This Row],[fecha]],"mmmm"),0)</f>
        <v>Abril</v>
      </c>
    </row>
    <row r="1167" spans="1:27" x14ac:dyDescent="0.3">
      <c r="A1167" s="2">
        <f>IF(BCP_Soles[[#This Row],[tipo_registro]]="R",COUNTIFS($C$1:$C1166,"R")+1,A1166)</f>
        <v>876</v>
      </c>
      <c r="B1167" s="19" t="str">
        <f t="shared" si="96"/>
        <v>B-BCP - Soles</v>
      </c>
      <c r="C1167" s="3" t="s">
        <v>1352</v>
      </c>
      <c r="D1167" s="14">
        <v>45750</v>
      </c>
      <c r="E1167" s="5" t="s">
        <v>2269</v>
      </c>
      <c r="F1167" s="5"/>
      <c r="G1167" s="6" t="s">
        <v>286</v>
      </c>
      <c r="H1167" s="6" t="s">
        <v>68</v>
      </c>
      <c r="I1167" s="6" t="s">
        <v>1386</v>
      </c>
      <c r="J1167" s="6">
        <v>1686</v>
      </c>
      <c r="K1167" s="7" t="s">
        <v>2555</v>
      </c>
      <c r="L1167" s="8">
        <v>598502</v>
      </c>
      <c r="M1167" s="8" t="str">
        <f t="shared" si="97"/>
        <v>PEN</v>
      </c>
      <c r="N1167" s="13">
        <v>978.99</v>
      </c>
      <c r="O1167" s="13"/>
      <c r="P1167" s="3">
        <f t="shared" si="98"/>
        <v>0</v>
      </c>
      <c r="Q1167" s="3">
        <f t="shared" si="99"/>
        <v>0</v>
      </c>
      <c r="R1167" s="3">
        <f t="shared" si="100"/>
        <v>21783.260000000046</v>
      </c>
      <c r="S1167" s="24"/>
      <c r="T1167" s="24" t="s">
        <v>1334</v>
      </c>
      <c r="U1167" s="53"/>
      <c r="V1167" s="25">
        <f>IFERROR(VLOOKUP(BCP_Soles[[#This Row],[destinatario]],CHOOSE({1,2},Clientes_Proveedores[Razon Social],Clientes_Proveedores[Ruc / Dni]),2,0),"")</f>
        <v>20454186002</v>
      </c>
      <c r="W1167" s="25"/>
      <c r="X1167" s="25"/>
      <c r="Y1167" s="25"/>
      <c r="Z1167" s="75"/>
      <c r="AA1167" s="3" t="str">
        <f>IF(BCP_Soles[[#This Row],[fecha]]&gt;0,TEXT(BCP_Soles[[#This Row],[fecha]],"mmmm"),0)</f>
        <v>Abril</v>
      </c>
    </row>
    <row r="1168" spans="1:27" x14ac:dyDescent="0.3">
      <c r="A1168" s="2">
        <f>IF(BCP_Soles[[#This Row],[tipo_registro]]="R",COUNTIFS($C$1:$C1167,"R")+1,A1167)</f>
        <v>876</v>
      </c>
      <c r="B1168" s="19" t="str">
        <f t="shared" si="96"/>
        <v>B-BCP - Soles</v>
      </c>
      <c r="C1168" s="3" t="s">
        <v>1352</v>
      </c>
      <c r="D1168" s="14">
        <v>45750</v>
      </c>
      <c r="E1168" s="5" t="s">
        <v>2269</v>
      </c>
      <c r="F1168" s="5"/>
      <c r="G1168" s="6" t="s">
        <v>286</v>
      </c>
      <c r="H1168" s="6" t="s">
        <v>68</v>
      </c>
      <c r="I1168" s="6" t="s">
        <v>1386</v>
      </c>
      <c r="J1168" s="6">
        <v>1687</v>
      </c>
      <c r="K1168" s="7" t="s">
        <v>2555</v>
      </c>
      <c r="L1168" s="8">
        <v>598502</v>
      </c>
      <c r="M1168" s="8" t="str">
        <f t="shared" si="97"/>
        <v>PEN</v>
      </c>
      <c r="N1168" s="13">
        <v>184</v>
      </c>
      <c r="O1168" s="13"/>
      <c r="P1168" s="3">
        <f t="shared" si="98"/>
        <v>0</v>
      </c>
      <c r="Q1168" s="3">
        <f t="shared" si="99"/>
        <v>0</v>
      </c>
      <c r="R1168" s="3">
        <f t="shared" si="100"/>
        <v>21783.260000000046</v>
      </c>
      <c r="S1168" s="24"/>
      <c r="T1168" s="24" t="s">
        <v>1334</v>
      </c>
      <c r="U1168" s="53"/>
      <c r="V1168" s="25">
        <f>IFERROR(VLOOKUP(BCP_Soles[[#This Row],[destinatario]],CHOOSE({1,2},Clientes_Proveedores[Razon Social],Clientes_Proveedores[Ruc / Dni]),2,0),"")</f>
        <v>20454186002</v>
      </c>
      <c r="W1168" s="25"/>
      <c r="X1168" s="25"/>
      <c r="Y1168" s="25"/>
      <c r="Z1168" s="75"/>
      <c r="AA1168" s="3" t="str">
        <f>IF(BCP_Soles[[#This Row],[fecha]]&gt;0,TEXT(BCP_Soles[[#This Row],[fecha]],"mmmm"),0)</f>
        <v>Abril</v>
      </c>
    </row>
    <row r="1169" spans="1:27" ht="24" x14ac:dyDescent="0.3">
      <c r="A1169" s="2">
        <f>IF(BCP_Soles[[#This Row],[tipo_registro]]="R",COUNTIFS($C$1:$C1168,"R")+1,A1168)</f>
        <v>876</v>
      </c>
      <c r="B1169" s="19" t="str">
        <f t="shared" ref="B1169:B1232" si="101">"B-BCP - Soles"</f>
        <v>B-BCP - Soles</v>
      </c>
      <c r="C1169" s="3" t="s">
        <v>1352</v>
      </c>
      <c r="D1169" s="14">
        <v>45750</v>
      </c>
      <c r="E1169" s="5" t="s">
        <v>2269</v>
      </c>
      <c r="F1169" s="5"/>
      <c r="G1169" s="6" t="s">
        <v>537</v>
      </c>
      <c r="H1169" s="6" t="s">
        <v>68</v>
      </c>
      <c r="I1169" s="6" t="s">
        <v>1376</v>
      </c>
      <c r="J1169" s="6">
        <v>806</v>
      </c>
      <c r="K1169" s="7" t="s">
        <v>2555</v>
      </c>
      <c r="L1169" s="8">
        <v>598502</v>
      </c>
      <c r="M1169" s="8" t="str">
        <f t="shared" ref="M1169:M1232" si="102">"PEN"</f>
        <v>PEN</v>
      </c>
      <c r="N1169" s="13">
        <v>555</v>
      </c>
      <c r="O1169" s="13"/>
      <c r="P1169" s="3">
        <f t="shared" ref="P1169:P1232" si="103">+IF(OR($F1169="SALDO",$F1169="INGRESO"),$O1169,0)</f>
        <v>0</v>
      </c>
      <c r="Q1169" s="3">
        <f t="shared" ref="Q1169:Q1232" si="104">+IF($F1169="EGRESO",$O1169,0)</f>
        <v>0</v>
      </c>
      <c r="R1169" s="3">
        <f t="shared" si="100"/>
        <v>21783.260000000046</v>
      </c>
      <c r="S1169" s="24"/>
      <c r="T1169" s="24" t="s">
        <v>1334</v>
      </c>
      <c r="U1169" s="53"/>
      <c r="V1169" s="25">
        <f>IFERROR(VLOOKUP(BCP_Soles[[#This Row],[destinatario]],CHOOSE({1,2},Clientes_Proveedores[Razon Social],Clientes_Proveedores[Ruc / Dni]),2,0),"")</f>
        <v>20605447814</v>
      </c>
      <c r="W1169" s="25"/>
      <c r="X1169" s="25"/>
      <c r="Y1169" s="25"/>
      <c r="Z1169" s="75"/>
      <c r="AA1169" s="3" t="str">
        <f>IF(BCP_Soles[[#This Row],[fecha]]&gt;0,TEXT(BCP_Soles[[#This Row],[fecha]],"mmmm"),0)</f>
        <v>Abril</v>
      </c>
    </row>
    <row r="1170" spans="1:27" ht="24" x14ac:dyDescent="0.3">
      <c r="A1170" s="2">
        <f>IF(BCP_Soles[[#This Row],[tipo_registro]]="R",COUNTIFS($C$1:$C1169,"R")+1,A1169)</f>
        <v>876</v>
      </c>
      <c r="B1170" s="19" t="str">
        <f t="shared" si="101"/>
        <v>B-BCP - Soles</v>
      </c>
      <c r="C1170" s="3" t="s">
        <v>1352</v>
      </c>
      <c r="D1170" s="14">
        <v>45750</v>
      </c>
      <c r="E1170" s="5" t="s">
        <v>2269</v>
      </c>
      <c r="F1170" s="5"/>
      <c r="G1170" s="6" t="s">
        <v>271</v>
      </c>
      <c r="H1170" s="6" t="s">
        <v>68</v>
      </c>
      <c r="I1170" s="6" t="s">
        <v>1375</v>
      </c>
      <c r="J1170" s="6">
        <v>6885</v>
      </c>
      <c r="K1170" s="7" t="s">
        <v>2555</v>
      </c>
      <c r="L1170" s="8">
        <v>598502</v>
      </c>
      <c r="M1170" s="8" t="str">
        <f t="shared" si="102"/>
        <v>PEN</v>
      </c>
      <c r="N1170" s="13">
        <v>409.99</v>
      </c>
      <c r="O1170" s="13"/>
      <c r="P1170" s="3">
        <f t="shared" si="103"/>
        <v>0</v>
      </c>
      <c r="Q1170" s="3">
        <f t="shared" si="104"/>
        <v>0</v>
      </c>
      <c r="R1170" s="3">
        <f t="shared" si="100"/>
        <v>21783.260000000046</v>
      </c>
      <c r="S1170" s="24"/>
      <c r="T1170" s="24" t="s">
        <v>1334</v>
      </c>
      <c r="U1170" s="53"/>
      <c r="V1170" s="25">
        <f>IFERROR(VLOOKUP(BCP_Soles[[#This Row],[destinatario]],CHOOSE({1,2},Clientes_Proveedores[Razon Social],Clientes_Proveedores[Ruc / Dni]),2,0),"")</f>
        <v>20419158462</v>
      </c>
      <c r="W1170" s="25"/>
      <c r="X1170" s="25"/>
      <c r="Y1170" s="25"/>
      <c r="Z1170" s="75"/>
      <c r="AA1170" s="3" t="str">
        <f>IF(BCP_Soles[[#This Row],[fecha]]&gt;0,TEXT(BCP_Soles[[#This Row],[fecha]],"mmmm"),0)</f>
        <v>Abril</v>
      </c>
    </row>
    <row r="1171" spans="1:27" ht="24" x14ac:dyDescent="0.3">
      <c r="A1171" s="2">
        <f>IF(BCP_Soles[[#This Row],[tipo_registro]]="R",COUNTIFS($C$1:$C1170,"R")+1,A1170)</f>
        <v>876</v>
      </c>
      <c r="B1171" s="19" t="str">
        <f t="shared" si="101"/>
        <v>B-BCP - Soles</v>
      </c>
      <c r="C1171" s="3" t="s">
        <v>1352</v>
      </c>
      <c r="D1171" s="14">
        <v>45750</v>
      </c>
      <c r="E1171" s="5" t="s">
        <v>2269</v>
      </c>
      <c r="F1171" s="5"/>
      <c r="G1171" s="6" t="s">
        <v>271</v>
      </c>
      <c r="H1171" s="6" t="s">
        <v>68</v>
      </c>
      <c r="I1171" s="6" t="s">
        <v>1375</v>
      </c>
      <c r="J1171" s="6">
        <v>6886</v>
      </c>
      <c r="K1171" s="7" t="s">
        <v>2555</v>
      </c>
      <c r="L1171" s="8">
        <v>598502</v>
      </c>
      <c r="M1171" s="8" t="str">
        <f t="shared" si="102"/>
        <v>PEN</v>
      </c>
      <c r="N1171" s="13">
        <v>944.69</v>
      </c>
      <c r="O1171" s="13"/>
      <c r="P1171" s="3">
        <f t="shared" si="103"/>
        <v>0</v>
      </c>
      <c r="Q1171" s="3">
        <f t="shared" si="104"/>
        <v>0</v>
      </c>
      <c r="R1171" s="3">
        <f t="shared" si="100"/>
        <v>21783.260000000046</v>
      </c>
      <c r="S1171" s="24"/>
      <c r="T1171" s="24" t="s">
        <v>1334</v>
      </c>
      <c r="U1171" s="53"/>
      <c r="V1171" s="25">
        <f>IFERROR(VLOOKUP(BCP_Soles[[#This Row],[destinatario]],CHOOSE({1,2},Clientes_Proveedores[Razon Social],Clientes_Proveedores[Ruc / Dni]),2,0),"")</f>
        <v>20419158462</v>
      </c>
      <c r="W1171" s="25"/>
      <c r="X1171" s="25"/>
      <c r="Y1171" s="25"/>
      <c r="Z1171" s="75"/>
      <c r="AA1171" s="3" t="str">
        <f>IF(BCP_Soles[[#This Row],[fecha]]&gt;0,TEXT(BCP_Soles[[#This Row],[fecha]],"mmmm"),0)</f>
        <v>Abril</v>
      </c>
    </row>
    <row r="1172" spans="1:27" ht="36" x14ac:dyDescent="0.3">
      <c r="A1172" s="2">
        <f>IF(BCP_Soles[[#This Row],[tipo_registro]]="R",COUNTIFS($C$1:$C1171,"R")+1,A1171)</f>
        <v>877</v>
      </c>
      <c r="B1172" s="19" t="str">
        <f t="shared" si="101"/>
        <v>B-BCP - Soles</v>
      </c>
      <c r="C1172" s="3" t="s">
        <v>1330</v>
      </c>
      <c r="D1172" s="14">
        <v>45751</v>
      </c>
      <c r="E1172" s="5" t="s">
        <v>255</v>
      </c>
      <c r="F1172" s="5" t="s">
        <v>1303</v>
      </c>
      <c r="G1172" s="6" t="s">
        <v>425</v>
      </c>
      <c r="H1172" s="6"/>
      <c r="I1172" s="6"/>
      <c r="J1172" s="6"/>
      <c r="K1172" s="7" t="s">
        <v>2556</v>
      </c>
      <c r="L1172" s="8">
        <v>1017772</v>
      </c>
      <c r="M1172" s="8" t="str">
        <f t="shared" si="102"/>
        <v>PEN</v>
      </c>
      <c r="N1172" s="13"/>
      <c r="O1172" s="13">
        <v>21808.32</v>
      </c>
      <c r="P1172" s="3">
        <f t="shared" si="103"/>
        <v>21808.32</v>
      </c>
      <c r="Q1172" s="3">
        <f t="shared" si="104"/>
        <v>0</v>
      </c>
      <c r="R1172" s="3">
        <f t="shared" si="100"/>
        <v>43591.580000000045</v>
      </c>
      <c r="S1172" s="24" t="s">
        <v>1334</v>
      </c>
      <c r="T1172" s="24" t="s">
        <v>1334</v>
      </c>
      <c r="U1172" s="53"/>
      <c r="V1172" s="25">
        <f>IFERROR(VLOOKUP(BCP_Soles[[#This Row],[destinatario]],CHOOSE({1,2},Clientes_Proveedores[Razon Social],Clientes_Proveedores[Ruc / Dni]),2,0),"")</f>
        <v>20558226979</v>
      </c>
      <c r="W1172" s="25" t="s">
        <v>1345</v>
      </c>
      <c r="X1172" s="25" t="s">
        <v>2557</v>
      </c>
      <c r="Y1172" s="25"/>
      <c r="Z1172" s="75"/>
      <c r="AA1172" s="3" t="str">
        <f>IF(BCP_Soles[[#This Row],[fecha]]&gt;0,TEXT(BCP_Soles[[#This Row],[fecha]],"mmmm"),0)</f>
        <v>Abril</v>
      </c>
    </row>
    <row r="1173" spans="1:27" ht="24" x14ac:dyDescent="0.3">
      <c r="A1173" s="2">
        <f>IF(BCP_Soles[[#This Row],[tipo_registro]]="R",COUNTIFS($C$1:$C1172,"R")+1,A1172)</f>
        <v>878</v>
      </c>
      <c r="B1173" s="19" t="str">
        <f t="shared" si="101"/>
        <v>B-BCP - Soles</v>
      </c>
      <c r="C1173" s="3" t="s">
        <v>1330</v>
      </c>
      <c r="D1173" s="14">
        <v>45751</v>
      </c>
      <c r="E1173" s="5" t="s">
        <v>2043</v>
      </c>
      <c r="F1173" s="5" t="s">
        <v>1303</v>
      </c>
      <c r="G1173" s="6" t="s">
        <v>425</v>
      </c>
      <c r="H1173" s="6" t="s">
        <v>119</v>
      </c>
      <c r="I1173" s="6">
        <v>1</v>
      </c>
      <c r="J1173" s="6">
        <v>4293</v>
      </c>
      <c r="K1173" s="7" t="s">
        <v>1356</v>
      </c>
      <c r="L1173" s="8">
        <v>434268</v>
      </c>
      <c r="M1173" s="8" t="str">
        <f t="shared" si="102"/>
        <v>PEN</v>
      </c>
      <c r="N1173" s="13"/>
      <c r="O1173" s="13">
        <v>1500</v>
      </c>
      <c r="P1173" s="3">
        <f t="shared" si="103"/>
        <v>1500</v>
      </c>
      <c r="Q1173" s="3">
        <f t="shared" si="104"/>
        <v>0</v>
      </c>
      <c r="R1173" s="3">
        <f t="shared" si="100"/>
        <v>45091.580000000045</v>
      </c>
      <c r="S1173" s="24" t="s">
        <v>1334</v>
      </c>
      <c r="T1173" s="24" t="s">
        <v>1334</v>
      </c>
      <c r="U1173" s="53"/>
      <c r="V1173" s="25">
        <f>IFERROR(VLOOKUP(BCP_Soles[[#This Row],[destinatario]],CHOOSE({1,2},Clientes_Proveedores[Razon Social],Clientes_Proveedores[Ruc / Dni]),2,0),"")</f>
        <v>20558226979</v>
      </c>
      <c r="W1173" s="25" t="s">
        <v>1345</v>
      </c>
      <c r="X1173" s="25" t="s">
        <v>2558</v>
      </c>
      <c r="Y1173" s="25"/>
      <c r="Z1173" s="75"/>
      <c r="AA1173" s="3" t="str">
        <f>IF(BCP_Soles[[#This Row],[fecha]]&gt;0,TEXT(BCP_Soles[[#This Row],[fecha]],"mmmm"),0)</f>
        <v>Abril</v>
      </c>
    </row>
    <row r="1174" spans="1:27" ht="24" x14ac:dyDescent="0.3">
      <c r="A1174" s="2">
        <f>IF(BCP_Soles[[#This Row],[tipo_registro]]="R",COUNTIFS($C$1:$C1173,"R")+1,A1173)</f>
        <v>879</v>
      </c>
      <c r="B1174" s="19" t="str">
        <f t="shared" si="101"/>
        <v>B-BCP - Soles</v>
      </c>
      <c r="C1174" s="3" t="s">
        <v>1330</v>
      </c>
      <c r="D1174" s="14">
        <v>45751</v>
      </c>
      <c r="E1174" s="5" t="s">
        <v>2559</v>
      </c>
      <c r="F1174" s="5" t="s">
        <v>1303</v>
      </c>
      <c r="G1174" s="6" t="s">
        <v>425</v>
      </c>
      <c r="H1174" s="6" t="s">
        <v>119</v>
      </c>
      <c r="I1174" s="6">
        <v>1</v>
      </c>
      <c r="J1174" s="6">
        <v>4301</v>
      </c>
      <c r="K1174" s="7" t="s">
        <v>1356</v>
      </c>
      <c r="L1174" s="8">
        <v>1298068</v>
      </c>
      <c r="M1174" s="8" t="str">
        <f t="shared" si="102"/>
        <v>PEN</v>
      </c>
      <c r="N1174" s="13"/>
      <c r="O1174" s="13">
        <v>136</v>
      </c>
      <c r="P1174" s="3">
        <f t="shared" si="103"/>
        <v>136</v>
      </c>
      <c r="Q1174" s="3">
        <f t="shared" si="104"/>
        <v>0</v>
      </c>
      <c r="R1174" s="3">
        <f t="shared" si="100"/>
        <v>45227.580000000045</v>
      </c>
      <c r="S1174" s="24" t="s">
        <v>1334</v>
      </c>
      <c r="T1174" s="24" t="s">
        <v>1334</v>
      </c>
      <c r="U1174" s="53"/>
      <c r="V1174" s="25">
        <f>IFERROR(VLOOKUP(BCP_Soles[[#This Row],[destinatario]],CHOOSE({1,2},Clientes_Proveedores[Razon Social],Clientes_Proveedores[Ruc / Dni]),2,0),"")</f>
        <v>20558226979</v>
      </c>
      <c r="W1174" s="25" t="s">
        <v>1345</v>
      </c>
      <c r="X1174" s="25" t="s">
        <v>2560</v>
      </c>
      <c r="Y1174" s="25"/>
      <c r="Z1174" s="75"/>
      <c r="AA1174" s="3" t="str">
        <f>IF(BCP_Soles[[#This Row],[fecha]]&gt;0,TEXT(BCP_Soles[[#This Row],[fecha]],"mmmm"),0)</f>
        <v>Abril</v>
      </c>
    </row>
    <row r="1175" spans="1:27" x14ac:dyDescent="0.3">
      <c r="A1175" s="2">
        <f>IF(BCP_Soles[[#This Row],[tipo_registro]]="R",COUNTIFS($C$1:$C1174,"R")+1,A1174)</f>
        <v>880</v>
      </c>
      <c r="B1175" s="19" t="str">
        <f t="shared" si="101"/>
        <v>B-BCP - Soles</v>
      </c>
      <c r="C1175" s="3" t="s">
        <v>1330</v>
      </c>
      <c r="D1175" s="14">
        <v>45751</v>
      </c>
      <c r="E1175" s="5"/>
      <c r="F1175" s="5" t="s">
        <v>1303</v>
      </c>
      <c r="G1175" s="6" t="s">
        <v>425</v>
      </c>
      <c r="H1175" s="6"/>
      <c r="I1175" s="6"/>
      <c r="J1175" s="6"/>
      <c r="K1175" s="7" t="s">
        <v>1356</v>
      </c>
      <c r="L1175" s="8">
        <v>449137</v>
      </c>
      <c r="M1175" s="8" t="str">
        <f t="shared" si="102"/>
        <v>PEN</v>
      </c>
      <c r="N1175" s="13"/>
      <c r="O1175" s="13">
        <v>40</v>
      </c>
      <c r="P1175" s="3">
        <f t="shared" si="103"/>
        <v>40</v>
      </c>
      <c r="Q1175" s="3">
        <f t="shared" si="104"/>
        <v>0</v>
      </c>
      <c r="R1175" s="3">
        <f t="shared" si="100"/>
        <v>45267.580000000045</v>
      </c>
      <c r="S1175" s="24" t="s">
        <v>1334</v>
      </c>
      <c r="T1175" s="24" t="s">
        <v>1334</v>
      </c>
      <c r="U1175" s="53"/>
      <c r="V1175" s="25">
        <f>IFERROR(VLOOKUP(BCP_Soles[[#This Row],[destinatario]],CHOOSE({1,2},Clientes_Proveedores[Razon Social],Clientes_Proveedores[Ruc / Dni]),2,0),"")</f>
        <v>20558226979</v>
      </c>
      <c r="W1175" s="25" t="s">
        <v>1345</v>
      </c>
      <c r="X1175" s="25"/>
      <c r="Y1175" s="25"/>
      <c r="Z1175" s="75"/>
      <c r="AA1175" s="3" t="str">
        <f>IF(BCP_Soles[[#This Row],[fecha]]&gt;0,TEXT(BCP_Soles[[#This Row],[fecha]],"mmmm"),0)</f>
        <v>Abril</v>
      </c>
    </row>
    <row r="1176" spans="1:27" x14ac:dyDescent="0.3">
      <c r="A1176" s="2">
        <f>IF(BCP_Soles[[#This Row],[tipo_registro]]="R",COUNTIFS($C$1:$C1175,"R")+1,A1175)</f>
        <v>880</v>
      </c>
      <c r="B1176" s="19" t="str">
        <f t="shared" si="101"/>
        <v>B-BCP - Soles</v>
      </c>
      <c r="C1176" s="3" t="s">
        <v>1352</v>
      </c>
      <c r="D1176" s="14">
        <v>45751</v>
      </c>
      <c r="E1176" s="5" t="s">
        <v>1498</v>
      </c>
      <c r="F1176" s="5" t="s">
        <v>1303</v>
      </c>
      <c r="G1176" s="6" t="s">
        <v>425</v>
      </c>
      <c r="H1176" s="6" t="s">
        <v>119</v>
      </c>
      <c r="I1176" s="6">
        <v>1</v>
      </c>
      <c r="J1176" s="6">
        <v>4299</v>
      </c>
      <c r="K1176" s="7" t="s">
        <v>1356</v>
      </c>
      <c r="L1176" s="8">
        <v>449137</v>
      </c>
      <c r="M1176" s="8" t="str">
        <f t="shared" si="102"/>
        <v>PEN</v>
      </c>
      <c r="N1176" s="13">
        <v>20</v>
      </c>
      <c r="O1176" s="13"/>
      <c r="P1176" s="3">
        <f t="shared" si="103"/>
        <v>0</v>
      </c>
      <c r="Q1176" s="3">
        <f t="shared" si="104"/>
        <v>0</v>
      </c>
      <c r="R1176" s="3">
        <f t="shared" si="100"/>
        <v>45267.580000000045</v>
      </c>
      <c r="S1176" s="24" t="s">
        <v>1334</v>
      </c>
      <c r="T1176" s="24" t="s">
        <v>1334</v>
      </c>
      <c r="U1176" s="53"/>
      <c r="V1176" s="25">
        <f>IFERROR(VLOOKUP(BCP_Soles[[#This Row],[destinatario]],CHOOSE({1,2},Clientes_Proveedores[Razon Social],Clientes_Proveedores[Ruc / Dni]),2,0),"")</f>
        <v>20558226979</v>
      </c>
      <c r="W1176" s="25" t="s">
        <v>1345</v>
      </c>
      <c r="X1176" s="25" t="s">
        <v>2561</v>
      </c>
      <c r="Y1176" s="25"/>
      <c r="Z1176" s="75"/>
      <c r="AA1176" s="3" t="str">
        <f>IF(BCP_Soles[[#This Row],[fecha]]&gt;0,TEXT(BCP_Soles[[#This Row],[fecha]],"mmmm"),0)</f>
        <v>Abril</v>
      </c>
    </row>
    <row r="1177" spans="1:27" x14ac:dyDescent="0.3">
      <c r="A1177" s="2">
        <f>IF(BCP_Soles[[#This Row],[tipo_registro]]="R",COUNTIFS($C$1:$C1176,"R")+1,A1176)</f>
        <v>880</v>
      </c>
      <c r="B1177" s="19" t="str">
        <f t="shared" si="101"/>
        <v>B-BCP - Soles</v>
      </c>
      <c r="C1177" s="3" t="s">
        <v>1352</v>
      </c>
      <c r="D1177" s="14">
        <v>45751</v>
      </c>
      <c r="E1177" s="5" t="s">
        <v>1498</v>
      </c>
      <c r="F1177" s="5" t="s">
        <v>1303</v>
      </c>
      <c r="G1177" s="6" t="s">
        <v>425</v>
      </c>
      <c r="H1177" s="6" t="s">
        <v>119</v>
      </c>
      <c r="I1177" s="6">
        <v>1</v>
      </c>
      <c r="J1177" s="6">
        <v>4300</v>
      </c>
      <c r="K1177" s="7" t="s">
        <v>1356</v>
      </c>
      <c r="L1177" s="8">
        <v>449137</v>
      </c>
      <c r="M1177" s="8" t="str">
        <f t="shared" si="102"/>
        <v>PEN</v>
      </c>
      <c r="N1177" s="13">
        <v>20</v>
      </c>
      <c r="O1177" s="13"/>
      <c r="P1177" s="3">
        <f t="shared" si="103"/>
        <v>0</v>
      </c>
      <c r="Q1177" s="3">
        <f t="shared" si="104"/>
        <v>0</v>
      </c>
      <c r="R1177" s="3">
        <f t="shared" si="100"/>
        <v>45267.580000000045</v>
      </c>
      <c r="S1177" s="24" t="s">
        <v>1334</v>
      </c>
      <c r="T1177" s="24" t="s">
        <v>1334</v>
      </c>
      <c r="U1177" s="53"/>
      <c r="V1177" s="25">
        <f>IFERROR(VLOOKUP(BCP_Soles[[#This Row],[destinatario]],CHOOSE({1,2},Clientes_Proveedores[Razon Social],Clientes_Proveedores[Ruc / Dni]),2,0),"")</f>
        <v>20558226979</v>
      </c>
      <c r="W1177" s="25" t="s">
        <v>1345</v>
      </c>
      <c r="X1177" s="25" t="s">
        <v>2562</v>
      </c>
      <c r="Y1177" s="25"/>
      <c r="Z1177" s="75"/>
      <c r="AA1177" s="3" t="str">
        <f>IF(BCP_Soles[[#This Row],[fecha]]&gt;0,TEXT(BCP_Soles[[#This Row],[fecha]],"mmmm"),0)</f>
        <v>Abril</v>
      </c>
    </row>
    <row r="1178" spans="1:27" x14ac:dyDescent="0.3">
      <c r="A1178" s="2">
        <f>IF(BCP_Soles[[#This Row],[tipo_registro]]="R",COUNTIFS($C$1:$C1177,"R")+1,A1177)</f>
        <v>881</v>
      </c>
      <c r="B1178" s="19" t="str">
        <f t="shared" si="101"/>
        <v>B-BCP - Soles</v>
      </c>
      <c r="C1178" s="3" t="s">
        <v>1330</v>
      </c>
      <c r="D1178" s="14">
        <v>45751</v>
      </c>
      <c r="E1178" s="5" t="s">
        <v>1335</v>
      </c>
      <c r="F1178" s="5" t="s">
        <v>1336</v>
      </c>
      <c r="G1178" s="6"/>
      <c r="H1178" s="6"/>
      <c r="I1178" s="6"/>
      <c r="J1178" s="6"/>
      <c r="K1178" s="7" t="s">
        <v>1337</v>
      </c>
      <c r="L1178" s="8"/>
      <c r="M1178" s="8" t="str">
        <f t="shared" si="102"/>
        <v>PEN</v>
      </c>
      <c r="N1178" s="13"/>
      <c r="O1178" s="13">
        <v>2.2000000000000002</v>
      </c>
      <c r="P1178" s="3">
        <f t="shared" si="103"/>
        <v>0</v>
      </c>
      <c r="Q1178" s="3">
        <f t="shared" si="104"/>
        <v>2.2000000000000002</v>
      </c>
      <c r="R1178" s="3">
        <f t="shared" si="100"/>
        <v>45265.380000000048</v>
      </c>
      <c r="S1178" s="24"/>
      <c r="T1178" s="24" t="s">
        <v>1334</v>
      </c>
      <c r="U1178" s="53"/>
      <c r="V1178" s="25" t="str">
        <f>IFERROR(VLOOKUP(BCP_Soles[[#This Row],[destinatario]],CHOOSE({1,2},Clientes_Proveedores[Razon Social],Clientes_Proveedores[Ruc / Dni]),2,0),"")</f>
        <v/>
      </c>
      <c r="W1178" s="25"/>
      <c r="X1178" s="25"/>
      <c r="Y1178" s="25"/>
      <c r="Z1178" s="75"/>
      <c r="AA1178" s="3" t="str">
        <f>IF(BCP_Soles[[#This Row],[fecha]]&gt;0,TEXT(BCP_Soles[[#This Row],[fecha]],"mmmm"),0)</f>
        <v>Abril</v>
      </c>
    </row>
    <row r="1179" spans="1:27" ht="24" x14ac:dyDescent="0.3">
      <c r="A1179" s="2">
        <f>IF(BCP_Soles[[#This Row],[tipo_registro]]="R",COUNTIFS($C$1:$C1178,"R")+1,A1178)</f>
        <v>882</v>
      </c>
      <c r="B1179" s="19" t="str">
        <f t="shared" si="101"/>
        <v>B-BCP - Soles</v>
      </c>
      <c r="C1179" s="3" t="s">
        <v>1330</v>
      </c>
      <c r="D1179" s="14">
        <v>45751</v>
      </c>
      <c r="E1179" s="5" t="s">
        <v>1335</v>
      </c>
      <c r="F1179" s="5" t="s">
        <v>1336</v>
      </c>
      <c r="G1179" s="6" t="s">
        <v>1060</v>
      </c>
      <c r="H1179" s="6" t="s">
        <v>68</v>
      </c>
      <c r="I1179" s="6" t="s">
        <v>1397</v>
      </c>
      <c r="J1179" s="6">
        <v>31207049</v>
      </c>
      <c r="K1179" s="7" t="s">
        <v>1400</v>
      </c>
      <c r="L1179" s="8">
        <v>896</v>
      </c>
      <c r="M1179" s="8" t="str">
        <f t="shared" si="102"/>
        <v>PEN</v>
      </c>
      <c r="N1179" s="13"/>
      <c r="O1179" s="13">
        <v>10</v>
      </c>
      <c r="P1179" s="3">
        <f t="shared" si="103"/>
        <v>0</v>
      </c>
      <c r="Q1179" s="3">
        <f t="shared" si="104"/>
        <v>10</v>
      </c>
      <c r="R1179" s="3">
        <f t="shared" si="100"/>
        <v>45255.380000000048</v>
      </c>
      <c r="S1179" s="24"/>
      <c r="T1179" s="24" t="s">
        <v>1334</v>
      </c>
      <c r="U1179" s="53"/>
      <c r="V1179" s="25">
        <f>IFERROR(VLOOKUP(BCP_Soles[[#This Row],[destinatario]],CHOOSE({1,2},Clientes_Proveedores[Razon Social],Clientes_Proveedores[Ruc / Dni]),2,0),"")</f>
        <v>20100047218</v>
      </c>
      <c r="W1179" s="25" t="s">
        <v>1335</v>
      </c>
      <c r="X1179" s="25" t="s">
        <v>2563</v>
      </c>
      <c r="Y1179" s="25"/>
      <c r="Z1179" s="75"/>
      <c r="AA1179" s="3" t="str">
        <f>IF(BCP_Soles[[#This Row],[fecha]]&gt;0,TEXT(BCP_Soles[[#This Row],[fecha]],"mmmm"),0)</f>
        <v>Abril</v>
      </c>
    </row>
    <row r="1180" spans="1:27" ht="24" x14ac:dyDescent="0.3">
      <c r="A1180" s="2">
        <f>IF(BCP_Soles[[#This Row],[tipo_registro]]="R",COUNTIFS($C$1:$C1179,"R")+1,A1179)</f>
        <v>883</v>
      </c>
      <c r="B1180" s="19" t="str">
        <f t="shared" si="101"/>
        <v>B-BCP - Soles</v>
      </c>
      <c r="C1180" s="3" t="s">
        <v>1330</v>
      </c>
      <c r="D1180" s="14">
        <v>45751</v>
      </c>
      <c r="E1180" s="5" t="s">
        <v>2269</v>
      </c>
      <c r="F1180" s="5" t="s">
        <v>1336</v>
      </c>
      <c r="G1180" s="6"/>
      <c r="H1180" s="6"/>
      <c r="I1180" s="6"/>
      <c r="J1180" s="6"/>
      <c r="K1180" s="7" t="s">
        <v>2564</v>
      </c>
      <c r="L1180" s="8">
        <v>1284754</v>
      </c>
      <c r="M1180" s="8" t="str">
        <f t="shared" si="102"/>
        <v>PEN</v>
      </c>
      <c r="N1180" s="13"/>
      <c r="O1180" s="13">
        <v>34</v>
      </c>
      <c r="P1180" s="3">
        <f t="shared" si="103"/>
        <v>0</v>
      </c>
      <c r="Q1180" s="3">
        <f t="shared" si="104"/>
        <v>34</v>
      </c>
      <c r="R1180" s="3">
        <f t="shared" si="100"/>
        <v>45221.380000000048</v>
      </c>
      <c r="S1180" s="24" t="s">
        <v>1334</v>
      </c>
      <c r="T1180" s="24" t="s">
        <v>1334</v>
      </c>
      <c r="U1180" s="53"/>
      <c r="V1180" s="25" t="str">
        <f>IFERROR(VLOOKUP(BCP_Soles[[#This Row],[destinatario]],CHOOSE({1,2},Clientes_Proveedores[Razon Social],Clientes_Proveedores[Ruc / Dni]),2,0),"")</f>
        <v/>
      </c>
      <c r="W1180" s="25" t="s">
        <v>884</v>
      </c>
      <c r="X1180" s="25" t="s">
        <v>2565</v>
      </c>
      <c r="Y1180" s="25"/>
      <c r="Z1180" s="75"/>
      <c r="AA1180" s="3" t="str">
        <f>IF(BCP_Soles[[#This Row],[fecha]]&gt;0,TEXT(BCP_Soles[[#This Row],[fecha]],"mmmm"),0)</f>
        <v>Abril</v>
      </c>
    </row>
    <row r="1181" spans="1:27" ht="36" x14ac:dyDescent="0.3">
      <c r="A1181" s="2">
        <f>IF(BCP_Soles[[#This Row],[tipo_registro]]="R",COUNTIFS($C$1:$C1180,"R")+1,A1180)</f>
        <v>884</v>
      </c>
      <c r="B1181" s="19" t="str">
        <f t="shared" si="101"/>
        <v>B-BCP - Soles</v>
      </c>
      <c r="C1181" s="3" t="s">
        <v>1330</v>
      </c>
      <c r="D1181" s="14">
        <v>45751</v>
      </c>
      <c r="E1181" s="5" t="s">
        <v>1338</v>
      </c>
      <c r="F1181" s="5" t="s">
        <v>1336</v>
      </c>
      <c r="G1181" s="6" t="s">
        <v>702</v>
      </c>
      <c r="H1181" s="6" t="s">
        <v>68</v>
      </c>
      <c r="I1181" s="6" t="s">
        <v>1463</v>
      </c>
      <c r="J1181" s="6">
        <v>637086</v>
      </c>
      <c r="K1181" s="7" t="s">
        <v>1693</v>
      </c>
      <c r="L1181" s="8">
        <v>207238</v>
      </c>
      <c r="M1181" s="8" t="str">
        <f t="shared" si="102"/>
        <v>PEN</v>
      </c>
      <c r="N1181" s="13"/>
      <c r="O1181" s="13">
        <v>51.77</v>
      </c>
      <c r="P1181" s="3">
        <f t="shared" si="103"/>
        <v>0</v>
      </c>
      <c r="Q1181" s="3">
        <f t="shared" si="104"/>
        <v>51.77</v>
      </c>
      <c r="R1181" s="3">
        <f t="shared" si="100"/>
        <v>45169.610000000052</v>
      </c>
      <c r="S1181" s="24" t="s">
        <v>1334</v>
      </c>
      <c r="T1181" s="24" t="s">
        <v>1334</v>
      </c>
      <c r="U1181" s="53"/>
      <c r="V1181" s="25">
        <f>IFERROR(VLOOKUP(BCP_Soles[[#This Row],[destinatario]],CHOOSE({1,2},Clientes_Proveedores[Razon Social],Clientes_Proveedores[Ruc / Dni]),2,0),"")</f>
        <v>20454073143</v>
      </c>
      <c r="W1181" s="25" t="s">
        <v>1465</v>
      </c>
      <c r="X1181" s="25" t="s">
        <v>2566</v>
      </c>
      <c r="Y1181" s="25"/>
      <c r="Z1181" s="75"/>
      <c r="AA1181" s="3" t="str">
        <f>IF(BCP_Soles[[#This Row],[fecha]]&gt;0,TEXT(BCP_Soles[[#This Row],[fecha]],"mmmm"),0)</f>
        <v>Abril</v>
      </c>
    </row>
    <row r="1182" spans="1:27" ht="36" x14ac:dyDescent="0.3">
      <c r="A1182" s="2">
        <f>IF(BCP_Soles[[#This Row],[tipo_registro]]="R",COUNTIFS($C$1:$C1181,"R")+1,A1181)</f>
        <v>885</v>
      </c>
      <c r="B1182" s="19" t="str">
        <f t="shared" si="101"/>
        <v>B-BCP - Soles</v>
      </c>
      <c r="C1182" s="3" t="s">
        <v>1330</v>
      </c>
      <c r="D1182" s="14">
        <v>45751</v>
      </c>
      <c r="E1182" s="5" t="s">
        <v>2269</v>
      </c>
      <c r="F1182" s="5" t="s">
        <v>1336</v>
      </c>
      <c r="G1182" s="6" t="s">
        <v>787</v>
      </c>
      <c r="H1182" s="6"/>
      <c r="I1182" s="6"/>
      <c r="J1182" s="6"/>
      <c r="K1182" s="7" t="s">
        <v>2567</v>
      </c>
      <c r="L1182" s="8">
        <v>1205255</v>
      </c>
      <c r="M1182" s="8" t="str">
        <f t="shared" si="102"/>
        <v>PEN</v>
      </c>
      <c r="N1182" s="13"/>
      <c r="O1182" s="13">
        <v>64</v>
      </c>
      <c r="P1182" s="3">
        <f t="shared" si="103"/>
        <v>0</v>
      </c>
      <c r="Q1182" s="3">
        <f t="shared" si="104"/>
        <v>64</v>
      </c>
      <c r="R1182" s="3">
        <f t="shared" si="100"/>
        <v>45105.610000000052</v>
      </c>
      <c r="S1182" s="24" t="s">
        <v>1334</v>
      </c>
      <c r="T1182" s="24" t="s">
        <v>1334</v>
      </c>
      <c r="U1182" s="53"/>
      <c r="V1182" s="25">
        <f>IFERROR(VLOOKUP(BCP_Soles[[#This Row],[destinatario]],CHOOSE({1,2},Clientes_Proveedores[Razon Social],Clientes_Proveedores[Ruc / Dni]),2,0),"")</f>
        <v>75839230</v>
      </c>
      <c r="W1182" s="25" t="s">
        <v>884</v>
      </c>
      <c r="X1182" s="25" t="s">
        <v>2568</v>
      </c>
      <c r="Y1182" s="25"/>
      <c r="Z1182" s="75"/>
      <c r="AA1182" s="3" t="str">
        <f>IF(BCP_Soles[[#This Row],[fecha]]&gt;0,TEXT(BCP_Soles[[#This Row],[fecha]],"mmmm"),0)</f>
        <v>Abril</v>
      </c>
    </row>
    <row r="1183" spans="1:27" ht="36" x14ac:dyDescent="0.3">
      <c r="A1183" s="2">
        <f>IF(BCP_Soles[[#This Row],[tipo_registro]]="R",COUNTIFS($C$1:$C1182,"R")+1,A1182)</f>
        <v>886</v>
      </c>
      <c r="B1183" s="19" t="str">
        <f t="shared" si="101"/>
        <v>B-BCP - Soles</v>
      </c>
      <c r="C1183" s="3" t="s">
        <v>1330</v>
      </c>
      <c r="D1183" s="14">
        <v>45751</v>
      </c>
      <c r="E1183" s="5" t="s">
        <v>2269</v>
      </c>
      <c r="F1183" s="5" t="s">
        <v>1336</v>
      </c>
      <c r="G1183" s="6" t="s">
        <v>702</v>
      </c>
      <c r="H1183" s="6" t="s">
        <v>68</v>
      </c>
      <c r="I1183" s="6" t="s">
        <v>1463</v>
      </c>
      <c r="J1183" s="6">
        <v>501651</v>
      </c>
      <c r="K1183" s="7" t="s">
        <v>1810</v>
      </c>
      <c r="L1183" s="8">
        <v>166283</v>
      </c>
      <c r="M1183" s="8" t="str">
        <f t="shared" si="102"/>
        <v>PEN</v>
      </c>
      <c r="N1183" s="13"/>
      <c r="O1183" s="13">
        <v>100.01</v>
      </c>
      <c r="P1183" s="3">
        <f t="shared" si="103"/>
        <v>0</v>
      </c>
      <c r="Q1183" s="3">
        <f t="shared" si="104"/>
        <v>100.01</v>
      </c>
      <c r="R1183" s="3">
        <f t="shared" si="100"/>
        <v>45005.600000000049</v>
      </c>
      <c r="S1183" s="24" t="s">
        <v>1334</v>
      </c>
      <c r="T1183" s="24" t="s">
        <v>1334</v>
      </c>
      <c r="U1183" s="53"/>
      <c r="V1183" s="25">
        <f>IFERROR(VLOOKUP(BCP_Soles[[#This Row],[destinatario]],CHOOSE({1,2},Clientes_Proveedores[Razon Social],Clientes_Proveedores[Ruc / Dni]),2,0),"")</f>
        <v>20454073143</v>
      </c>
      <c r="W1183" s="25" t="s">
        <v>1465</v>
      </c>
      <c r="X1183" s="25" t="s">
        <v>2569</v>
      </c>
      <c r="Y1183" s="25"/>
      <c r="Z1183" s="75"/>
      <c r="AA1183" s="3" t="str">
        <f>IF(BCP_Soles[[#This Row],[fecha]]&gt;0,TEXT(BCP_Soles[[#This Row],[fecha]],"mmmm"),0)</f>
        <v>Abril</v>
      </c>
    </row>
    <row r="1184" spans="1:27" ht="36" x14ac:dyDescent="0.3">
      <c r="A1184" s="2">
        <f>IF(BCP_Soles[[#This Row],[tipo_registro]]="R",COUNTIFS($C$1:$C1183,"R")+1,A1183)</f>
        <v>887</v>
      </c>
      <c r="B1184" s="19" t="str">
        <f t="shared" si="101"/>
        <v>B-BCP - Soles</v>
      </c>
      <c r="C1184" s="3" t="s">
        <v>1330</v>
      </c>
      <c r="D1184" s="14">
        <v>45751</v>
      </c>
      <c r="E1184" s="5" t="s">
        <v>2269</v>
      </c>
      <c r="F1184" s="5" t="s">
        <v>1336</v>
      </c>
      <c r="G1184" s="6" t="s">
        <v>712</v>
      </c>
      <c r="H1184" s="6"/>
      <c r="I1184" s="6"/>
      <c r="J1184" s="6"/>
      <c r="K1184" s="7" t="s">
        <v>2570</v>
      </c>
      <c r="L1184" s="8">
        <v>1207239</v>
      </c>
      <c r="M1184" s="8" t="str">
        <f t="shared" si="102"/>
        <v>PEN</v>
      </c>
      <c r="N1184" s="13"/>
      <c r="O1184" s="13">
        <v>215.65</v>
      </c>
      <c r="P1184" s="3">
        <f t="shared" si="103"/>
        <v>0</v>
      </c>
      <c r="Q1184" s="3">
        <f t="shared" si="104"/>
        <v>215.65</v>
      </c>
      <c r="R1184" s="3">
        <f t="shared" si="100"/>
        <v>44789.950000000048</v>
      </c>
      <c r="S1184" s="24" t="s">
        <v>1334</v>
      </c>
      <c r="T1184" s="24" t="s">
        <v>1334</v>
      </c>
      <c r="U1184" s="53"/>
      <c r="V1184" s="25">
        <f>IFERROR(VLOOKUP(BCP_Soles[[#This Row],[destinatario]],CHOOSE({1,2},Clientes_Proveedores[Razon Social],Clientes_Proveedores[Ruc / Dni]),2,0),"")</f>
        <v>10413461761</v>
      </c>
      <c r="W1184" s="25" t="s">
        <v>884</v>
      </c>
      <c r="X1184" s="25" t="s">
        <v>2571</v>
      </c>
      <c r="Y1184" s="25"/>
      <c r="Z1184" s="75"/>
      <c r="AA1184" s="3" t="str">
        <f>IF(BCP_Soles[[#This Row],[fecha]]&gt;0,TEXT(BCP_Soles[[#This Row],[fecha]],"mmmm"),0)</f>
        <v>Abril</v>
      </c>
    </row>
    <row r="1185" spans="1:27" x14ac:dyDescent="0.3">
      <c r="A1185" s="2">
        <f>IF(BCP_Soles[[#This Row],[tipo_registro]]="R",COUNTIFS($C$1:$C1184,"R")+1,A1184)</f>
        <v>888</v>
      </c>
      <c r="B1185" s="19" t="str">
        <f t="shared" si="101"/>
        <v>B-BCP - Soles</v>
      </c>
      <c r="C1185" s="3" t="s">
        <v>1330</v>
      </c>
      <c r="D1185" s="14">
        <v>45751</v>
      </c>
      <c r="E1185" s="5" t="s">
        <v>2269</v>
      </c>
      <c r="F1185" s="5" t="s">
        <v>1336</v>
      </c>
      <c r="G1185" s="6"/>
      <c r="H1185" s="6"/>
      <c r="I1185" s="6"/>
      <c r="J1185" s="6"/>
      <c r="K1185" s="7" t="s">
        <v>2572</v>
      </c>
      <c r="L1185" s="8">
        <v>164361</v>
      </c>
      <c r="M1185" s="8" t="str">
        <f t="shared" si="102"/>
        <v>PEN</v>
      </c>
      <c r="N1185" s="13"/>
      <c r="O1185" s="13">
        <v>582.88</v>
      </c>
      <c r="P1185" s="3">
        <f t="shared" si="103"/>
        <v>0</v>
      </c>
      <c r="Q1185" s="3">
        <f t="shared" si="104"/>
        <v>582.88</v>
      </c>
      <c r="R1185" s="3">
        <f t="shared" si="100"/>
        <v>44207.070000000051</v>
      </c>
      <c r="S1185" s="24" t="s">
        <v>1334</v>
      </c>
      <c r="T1185" s="24" t="s">
        <v>1334</v>
      </c>
      <c r="U1185" s="53"/>
      <c r="V1185" s="25" t="str">
        <f>IFERROR(VLOOKUP(BCP_Soles[[#This Row],[destinatario]],CHOOSE({1,2},Clientes_Proveedores[Razon Social],Clientes_Proveedores[Ruc / Dni]),2,0),"")</f>
        <v/>
      </c>
      <c r="W1185" s="25" t="s">
        <v>1943</v>
      </c>
      <c r="X1185" s="25" t="s">
        <v>2573</v>
      </c>
      <c r="Y1185" s="25"/>
      <c r="Z1185" s="75"/>
      <c r="AA1185" s="3" t="str">
        <f>IF(BCP_Soles[[#This Row],[fecha]]&gt;0,TEXT(BCP_Soles[[#This Row],[fecha]],"mmmm"),0)</f>
        <v>Abril</v>
      </c>
    </row>
    <row r="1186" spans="1:27" ht="24" x14ac:dyDescent="0.3">
      <c r="A1186" s="2">
        <f>IF(BCP_Soles[[#This Row],[tipo_registro]]="R",COUNTIFS($C$1:$C1185,"R")+1,A1185)</f>
        <v>889</v>
      </c>
      <c r="B1186" s="19" t="str">
        <f t="shared" si="101"/>
        <v>B-BCP - Soles</v>
      </c>
      <c r="C1186" s="3" t="s">
        <v>1330</v>
      </c>
      <c r="D1186" s="14">
        <v>45751</v>
      </c>
      <c r="E1186" s="5" t="s">
        <v>1338</v>
      </c>
      <c r="F1186" s="5" t="s">
        <v>1336</v>
      </c>
      <c r="G1186" s="6" t="s">
        <v>267</v>
      </c>
      <c r="H1186" s="6" t="s">
        <v>68</v>
      </c>
      <c r="I1186" s="6" t="s">
        <v>1977</v>
      </c>
      <c r="J1186" s="6">
        <v>26094</v>
      </c>
      <c r="K1186" s="7" t="s">
        <v>2574</v>
      </c>
      <c r="L1186" s="8">
        <v>1205253</v>
      </c>
      <c r="M1186" s="8" t="str">
        <f t="shared" si="102"/>
        <v>PEN</v>
      </c>
      <c r="N1186" s="13"/>
      <c r="O1186" s="13">
        <v>710.01</v>
      </c>
      <c r="P1186" s="3">
        <f t="shared" si="103"/>
        <v>0</v>
      </c>
      <c r="Q1186" s="3">
        <f t="shared" si="104"/>
        <v>710.01</v>
      </c>
      <c r="R1186" s="3">
        <f t="shared" si="100"/>
        <v>43497.060000000049</v>
      </c>
      <c r="S1186" s="24" t="s">
        <v>1334</v>
      </c>
      <c r="T1186" s="24" t="s">
        <v>1334</v>
      </c>
      <c r="U1186" s="53"/>
      <c r="V1186" s="25">
        <f>IFERROR(VLOOKUP(BCP_Soles[[#This Row],[destinatario]],CHOOSE({1,2},Clientes_Proveedores[Razon Social],Clientes_Proveedores[Ruc / Dni]),2,0),"")</f>
        <v>20413666130</v>
      </c>
      <c r="W1186" s="25" t="s">
        <v>1979</v>
      </c>
      <c r="X1186" s="25" t="s">
        <v>2575</v>
      </c>
      <c r="Y1186" s="25"/>
      <c r="Z1186" s="75"/>
      <c r="AA1186" s="3" t="str">
        <f>IF(BCP_Soles[[#This Row],[fecha]]&gt;0,TEXT(BCP_Soles[[#This Row],[fecha]],"mmmm"),0)</f>
        <v>Abril</v>
      </c>
    </row>
    <row r="1187" spans="1:27" ht="24" x14ac:dyDescent="0.3">
      <c r="A1187" s="2">
        <f>IF(BCP_Soles[[#This Row],[tipo_registro]]="R",COUNTIFS($C$1:$C1186,"R")+1,A1186)</f>
        <v>890</v>
      </c>
      <c r="B1187" s="19" t="str">
        <f t="shared" si="101"/>
        <v>B-BCP - Soles</v>
      </c>
      <c r="C1187" s="3" t="s">
        <v>1330</v>
      </c>
      <c r="D1187" s="14">
        <v>45751</v>
      </c>
      <c r="E1187" s="5" t="s">
        <v>1338</v>
      </c>
      <c r="F1187" s="5" t="s">
        <v>1336</v>
      </c>
      <c r="G1187" s="6" t="s">
        <v>598</v>
      </c>
      <c r="H1187" s="6" t="s">
        <v>68</v>
      </c>
      <c r="I1187" s="6"/>
      <c r="J1187" s="6"/>
      <c r="K1187" s="7" t="s">
        <v>2576</v>
      </c>
      <c r="L1187" s="8">
        <v>1166284</v>
      </c>
      <c r="M1187" s="8" t="str">
        <f t="shared" si="102"/>
        <v>PEN</v>
      </c>
      <c r="N1187" s="13"/>
      <c r="O1187" s="13">
        <v>1250</v>
      </c>
      <c r="P1187" s="3">
        <f t="shared" si="103"/>
        <v>0</v>
      </c>
      <c r="Q1187" s="3">
        <f t="shared" si="104"/>
        <v>1250</v>
      </c>
      <c r="R1187" s="3">
        <f t="shared" si="100"/>
        <v>42247.060000000049</v>
      </c>
      <c r="S1187" s="24" t="s">
        <v>1334</v>
      </c>
      <c r="T1187" s="24" t="s">
        <v>1334</v>
      </c>
      <c r="U1187" s="53"/>
      <c r="V1187" s="25">
        <f>IFERROR(VLOOKUP(BCP_Soles[[#This Row],[destinatario]],CHOOSE({1,2},Clientes_Proveedores[Razon Social],Clientes_Proveedores[Ruc / Dni]),2,0),"")</f>
        <v>20609908492</v>
      </c>
      <c r="W1187" s="25" t="s">
        <v>2577</v>
      </c>
      <c r="X1187" s="25" t="s">
        <v>2578</v>
      </c>
      <c r="Y1187" s="25"/>
      <c r="Z1187" s="75"/>
      <c r="AA1187" s="3" t="str">
        <f>IF(BCP_Soles[[#This Row],[fecha]]&gt;0,TEXT(BCP_Soles[[#This Row],[fecha]],"mmmm"),0)</f>
        <v>Abril</v>
      </c>
    </row>
    <row r="1188" spans="1:27" ht="24" x14ac:dyDescent="0.3">
      <c r="A1188" s="2">
        <f>IF(BCP_Soles[[#This Row],[tipo_registro]]="R",COUNTIFS($C$1:$C1187,"R")+1,A1187)</f>
        <v>890</v>
      </c>
      <c r="B1188" s="19" t="str">
        <f t="shared" si="101"/>
        <v>B-BCP - Soles</v>
      </c>
      <c r="C1188" s="3" t="s">
        <v>1352</v>
      </c>
      <c r="D1188" s="14">
        <v>45751</v>
      </c>
      <c r="E1188" s="5" t="s">
        <v>1338</v>
      </c>
      <c r="F1188" s="5"/>
      <c r="G1188" s="6" t="s">
        <v>598</v>
      </c>
      <c r="H1188" s="6" t="s">
        <v>68</v>
      </c>
      <c r="I1188" s="6" t="s">
        <v>1376</v>
      </c>
      <c r="J1188" s="6">
        <v>273</v>
      </c>
      <c r="K1188" s="7" t="s">
        <v>2576</v>
      </c>
      <c r="L1188" s="8">
        <v>1166284</v>
      </c>
      <c r="M1188" s="8" t="str">
        <f t="shared" si="102"/>
        <v>PEN</v>
      </c>
      <c r="N1188" s="13"/>
      <c r="O1188" s="13"/>
      <c r="P1188" s="3">
        <f t="shared" si="103"/>
        <v>0</v>
      </c>
      <c r="Q1188" s="3">
        <f t="shared" si="104"/>
        <v>0</v>
      </c>
      <c r="R1188" s="3">
        <f t="shared" si="100"/>
        <v>42247.060000000049</v>
      </c>
      <c r="S1188" s="24"/>
      <c r="T1188" s="24" t="s">
        <v>1334</v>
      </c>
      <c r="U1188" s="53"/>
      <c r="V1188" s="25">
        <f>IFERROR(VLOOKUP(BCP_Soles[[#This Row],[destinatario]],CHOOSE({1,2},Clientes_Proveedores[Razon Social],Clientes_Proveedores[Ruc / Dni]),2,0),"")</f>
        <v>20609908492</v>
      </c>
      <c r="W1188" s="25"/>
      <c r="X1188" s="25"/>
      <c r="Y1188" s="25"/>
      <c r="Z1188" s="75"/>
      <c r="AA1188" s="3" t="str">
        <f>IF(BCP_Soles[[#This Row],[fecha]]&gt;0,TEXT(BCP_Soles[[#This Row],[fecha]],"mmmm"),0)</f>
        <v>Abril</v>
      </c>
    </row>
    <row r="1189" spans="1:27" ht="24" x14ac:dyDescent="0.3">
      <c r="A1189" s="2">
        <f>IF(BCP_Soles[[#This Row],[tipo_registro]]="R",COUNTIFS($C$1:$C1188,"R")+1,A1188)</f>
        <v>890</v>
      </c>
      <c r="B1189" s="19" t="str">
        <f t="shared" si="101"/>
        <v>B-BCP - Soles</v>
      </c>
      <c r="C1189" s="3" t="s">
        <v>1352</v>
      </c>
      <c r="D1189" s="14">
        <v>45751</v>
      </c>
      <c r="E1189" s="5" t="s">
        <v>1338</v>
      </c>
      <c r="F1189" s="5"/>
      <c r="G1189" s="6" t="s">
        <v>598</v>
      </c>
      <c r="H1189" s="6" t="s">
        <v>68</v>
      </c>
      <c r="I1189" s="6" t="s">
        <v>1376</v>
      </c>
      <c r="J1189" s="6">
        <v>274</v>
      </c>
      <c r="K1189" s="7" t="s">
        <v>2576</v>
      </c>
      <c r="L1189" s="8">
        <v>1166284</v>
      </c>
      <c r="M1189" s="8" t="str">
        <f t="shared" si="102"/>
        <v>PEN</v>
      </c>
      <c r="N1189" s="13"/>
      <c r="O1189" s="13"/>
      <c r="P1189" s="3">
        <f t="shared" si="103"/>
        <v>0</v>
      </c>
      <c r="Q1189" s="3">
        <f t="shared" si="104"/>
        <v>0</v>
      </c>
      <c r="R1189" s="3">
        <f t="shared" si="100"/>
        <v>42247.060000000049</v>
      </c>
      <c r="S1189" s="24"/>
      <c r="T1189" s="24" t="s">
        <v>1334</v>
      </c>
      <c r="U1189" s="53"/>
      <c r="V1189" s="25">
        <f>IFERROR(VLOOKUP(BCP_Soles[[#This Row],[destinatario]],CHOOSE({1,2},Clientes_Proveedores[Razon Social],Clientes_Proveedores[Ruc / Dni]),2,0),"")</f>
        <v>20609908492</v>
      </c>
      <c r="W1189" s="25"/>
      <c r="X1189" s="25"/>
      <c r="Y1189" s="25"/>
      <c r="Z1189" s="75"/>
      <c r="AA1189" s="3" t="str">
        <f>IF(BCP_Soles[[#This Row],[fecha]]&gt;0,TEXT(BCP_Soles[[#This Row],[fecha]],"mmmm"),0)</f>
        <v>Abril</v>
      </c>
    </row>
    <row r="1190" spans="1:27" x14ac:dyDescent="0.3">
      <c r="A1190" s="2">
        <f>IF(BCP_Soles[[#This Row],[tipo_registro]]="R",COUNTIFS($C$1:$C1189,"R")+1,A1189)</f>
        <v>891</v>
      </c>
      <c r="B1190" s="19" t="str">
        <f t="shared" si="101"/>
        <v>B-BCP - Soles</v>
      </c>
      <c r="C1190" s="3" t="s">
        <v>1330</v>
      </c>
      <c r="D1190" s="14">
        <v>45751</v>
      </c>
      <c r="E1190" s="5" t="s">
        <v>2269</v>
      </c>
      <c r="F1190" s="5" t="s">
        <v>1336</v>
      </c>
      <c r="G1190" s="6"/>
      <c r="H1190" s="6"/>
      <c r="I1190" s="6"/>
      <c r="J1190" s="6"/>
      <c r="K1190" s="7" t="s">
        <v>2579</v>
      </c>
      <c r="L1190" s="8">
        <v>1011220</v>
      </c>
      <c r="M1190" s="8" t="str">
        <f t="shared" si="102"/>
        <v>PEN</v>
      </c>
      <c r="N1190" s="13"/>
      <c r="O1190" s="13">
        <v>1319</v>
      </c>
      <c r="P1190" s="3">
        <f t="shared" si="103"/>
        <v>0</v>
      </c>
      <c r="Q1190" s="3">
        <f t="shared" si="104"/>
        <v>1319</v>
      </c>
      <c r="R1190" s="3">
        <f t="shared" si="100"/>
        <v>40928.060000000049</v>
      </c>
      <c r="S1190" s="24"/>
      <c r="T1190" s="24"/>
      <c r="U1190" s="53"/>
      <c r="V1190" s="25" t="str">
        <f>IFERROR(VLOOKUP(BCP_Soles[[#This Row],[destinatario]],CHOOSE({1,2},Clientes_Proveedores[Razon Social],Clientes_Proveedores[Ruc / Dni]),2,0),"")</f>
        <v/>
      </c>
      <c r="W1190" s="25" t="s">
        <v>1389</v>
      </c>
      <c r="X1190" s="25"/>
      <c r="Y1190" s="25"/>
      <c r="Z1190" s="75"/>
      <c r="AA1190" s="3" t="str">
        <f>IF(BCP_Soles[[#This Row],[fecha]]&gt;0,TEXT(BCP_Soles[[#This Row],[fecha]],"mmmm"),0)</f>
        <v>Abril</v>
      </c>
    </row>
    <row r="1191" spans="1:27" ht="24" x14ac:dyDescent="0.3">
      <c r="A1191" s="2">
        <f>IF(BCP_Soles[[#This Row],[tipo_registro]]="R",COUNTIFS($C$1:$C1190,"R")+1,A1190)</f>
        <v>892</v>
      </c>
      <c r="B1191" s="19" t="str">
        <f t="shared" si="101"/>
        <v>B-BCP - Soles</v>
      </c>
      <c r="C1191" s="3" t="s">
        <v>1330</v>
      </c>
      <c r="D1191" s="14">
        <v>45751</v>
      </c>
      <c r="E1191" s="5" t="s">
        <v>2269</v>
      </c>
      <c r="F1191" s="5" t="s">
        <v>1336</v>
      </c>
      <c r="G1191" s="6" t="s">
        <v>763</v>
      </c>
      <c r="H1191" s="6" t="s">
        <v>72</v>
      </c>
      <c r="I1191" s="6" t="s">
        <v>1376</v>
      </c>
      <c r="J1191" s="6">
        <v>15</v>
      </c>
      <c r="K1191" s="7" t="s">
        <v>2580</v>
      </c>
      <c r="L1191" s="8">
        <v>1287195</v>
      </c>
      <c r="M1191" s="8" t="str">
        <f t="shared" si="102"/>
        <v>PEN</v>
      </c>
      <c r="N1191" s="13"/>
      <c r="O1191" s="13">
        <v>1340</v>
      </c>
      <c r="P1191" s="3">
        <f t="shared" si="103"/>
        <v>0</v>
      </c>
      <c r="Q1191" s="3">
        <f t="shared" si="104"/>
        <v>1340</v>
      </c>
      <c r="R1191" s="3">
        <f t="shared" si="100"/>
        <v>39588.060000000049</v>
      </c>
      <c r="S1191" s="24" t="s">
        <v>1334</v>
      </c>
      <c r="T1191" s="24" t="s">
        <v>1334</v>
      </c>
      <c r="U1191" s="53"/>
      <c r="V1191" s="25">
        <f>IFERROR(VLOOKUP(BCP_Soles[[#This Row],[destinatario]],CHOOSE({1,2},Clientes_Proveedores[Razon Social],Clientes_Proveedores[Ruc / Dni]),2,0),"")</f>
        <v>10763176024</v>
      </c>
      <c r="W1191" s="25" t="s">
        <v>2581</v>
      </c>
      <c r="X1191" s="25" t="s">
        <v>2582</v>
      </c>
      <c r="Y1191" s="25"/>
      <c r="Z1191" s="75"/>
      <c r="AA1191" s="3" t="str">
        <f>IF(BCP_Soles[[#This Row],[fecha]]&gt;0,TEXT(BCP_Soles[[#This Row],[fecha]],"mmmm"),0)</f>
        <v>Abril</v>
      </c>
    </row>
    <row r="1192" spans="1:27" ht="24" x14ac:dyDescent="0.3">
      <c r="A1192" s="2">
        <f>IF(BCP_Soles[[#This Row],[tipo_registro]]="R",COUNTIFS($C$1:$C1191,"R")+1,A1191)</f>
        <v>893</v>
      </c>
      <c r="B1192" s="19" t="str">
        <f t="shared" si="101"/>
        <v>B-BCP - Soles</v>
      </c>
      <c r="C1192" s="3" t="s">
        <v>1330</v>
      </c>
      <c r="D1192" s="14">
        <v>45751</v>
      </c>
      <c r="E1192" s="5" t="s">
        <v>2269</v>
      </c>
      <c r="F1192" s="5" t="s">
        <v>1336</v>
      </c>
      <c r="G1192" s="6" t="s">
        <v>763</v>
      </c>
      <c r="H1192" s="6" t="s">
        <v>72</v>
      </c>
      <c r="I1192" s="6" t="s">
        <v>1376</v>
      </c>
      <c r="J1192" s="6">
        <v>16</v>
      </c>
      <c r="K1192" s="7" t="s">
        <v>2583</v>
      </c>
      <c r="L1192" s="8">
        <v>1287682</v>
      </c>
      <c r="M1192" s="8" t="str">
        <f t="shared" si="102"/>
        <v>PEN</v>
      </c>
      <c r="N1192" s="13"/>
      <c r="O1192" s="13">
        <v>1353.12</v>
      </c>
      <c r="P1192" s="3">
        <f t="shared" si="103"/>
        <v>0</v>
      </c>
      <c r="Q1192" s="3">
        <f t="shared" si="104"/>
        <v>1353.12</v>
      </c>
      <c r="R1192" s="3">
        <f t="shared" si="100"/>
        <v>38234.940000000046</v>
      </c>
      <c r="S1192" s="24" t="s">
        <v>1334</v>
      </c>
      <c r="T1192" s="24" t="s">
        <v>1334</v>
      </c>
      <c r="U1192" s="53"/>
      <c r="V1192" s="25">
        <f>IFERROR(VLOOKUP(BCP_Soles[[#This Row],[destinatario]],CHOOSE({1,2},Clientes_Proveedores[Razon Social],Clientes_Proveedores[Ruc / Dni]),2,0),"")</f>
        <v>10763176024</v>
      </c>
      <c r="W1192" s="25" t="s">
        <v>2581</v>
      </c>
      <c r="X1192" s="25" t="s">
        <v>2584</v>
      </c>
      <c r="Y1192" s="25"/>
      <c r="Z1192" s="75"/>
      <c r="AA1192" s="3" t="str">
        <f>IF(BCP_Soles[[#This Row],[fecha]]&gt;0,TEXT(BCP_Soles[[#This Row],[fecha]],"mmmm"),0)</f>
        <v>Abril</v>
      </c>
    </row>
    <row r="1193" spans="1:27" ht="24" x14ac:dyDescent="0.3">
      <c r="A1193" s="2">
        <f>IF(BCP_Soles[[#This Row],[tipo_registro]]="R",COUNTIFS($C$1:$C1192,"R")+1,A1192)</f>
        <v>894</v>
      </c>
      <c r="B1193" s="19" t="str">
        <f t="shared" si="101"/>
        <v>B-BCP - Soles</v>
      </c>
      <c r="C1193" s="3" t="s">
        <v>1330</v>
      </c>
      <c r="D1193" s="14">
        <v>45751</v>
      </c>
      <c r="E1193" s="5" t="s">
        <v>2269</v>
      </c>
      <c r="F1193" s="5" t="s">
        <v>1336</v>
      </c>
      <c r="G1193" s="6" t="s">
        <v>888</v>
      </c>
      <c r="H1193" s="6" t="s">
        <v>147</v>
      </c>
      <c r="I1193" s="6">
        <v>14</v>
      </c>
      <c r="J1193" s="6">
        <v>30</v>
      </c>
      <c r="K1193" s="7" t="s">
        <v>2585</v>
      </c>
      <c r="L1193" s="8">
        <v>1164360</v>
      </c>
      <c r="M1193" s="8" t="str">
        <f t="shared" si="102"/>
        <v>PEN</v>
      </c>
      <c r="N1193" s="13"/>
      <c r="O1193" s="13">
        <v>1957.54</v>
      </c>
      <c r="P1193" s="3">
        <f t="shared" si="103"/>
        <v>0</v>
      </c>
      <c r="Q1193" s="3">
        <f t="shared" si="104"/>
        <v>1957.54</v>
      </c>
      <c r="R1193" s="3">
        <f t="shared" si="100"/>
        <v>36277.400000000045</v>
      </c>
      <c r="S1193" s="24"/>
      <c r="T1193" s="24" t="s">
        <v>1334</v>
      </c>
      <c r="U1193" s="53"/>
      <c r="V1193" s="25">
        <f>IFERROR(VLOOKUP(BCP_Soles[[#This Row],[destinatario]],CHOOSE({1,2},Clientes_Proveedores[Razon Social],Clientes_Proveedores[Ruc / Dni]),2,0),"")</f>
        <v>47461440</v>
      </c>
      <c r="W1193" s="25"/>
      <c r="X1193" s="25"/>
      <c r="Y1193" s="25"/>
      <c r="Z1193" s="75"/>
      <c r="AA1193" s="3" t="str">
        <f>IF(BCP_Soles[[#This Row],[fecha]]&gt;0,TEXT(BCP_Soles[[#This Row],[fecha]],"mmmm"),0)</f>
        <v>Abril</v>
      </c>
    </row>
    <row r="1194" spans="1:27" ht="36" x14ac:dyDescent="0.3">
      <c r="A1194" s="2">
        <f>IF(BCP_Soles[[#This Row],[tipo_registro]]="R",COUNTIFS($C$1:$C1193,"R")+1,A1193)</f>
        <v>895</v>
      </c>
      <c r="B1194" s="19" t="str">
        <f t="shared" si="101"/>
        <v>B-BCP - Soles</v>
      </c>
      <c r="C1194" s="3" t="s">
        <v>1330</v>
      </c>
      <c r="D1194" s="14">
        <v>45751</v>
      </c>
      <c r="E1194" s="5" t="s">
        <v>1338</v>
      </c>
      <c r="F1194" s="5" t="s">
        <v>1336</v>
      </c>
      <c r="G1194" s="6" t="s">
        <v>702</v>
      </c>
      <c r="H1194" s="6" t="s">
        <v>68</v>
      </c>
      <c r="I1194" s="6" t="s">
        <v>1463</v>
      </c>
      <c r="J1194" s="6">
        <v>501704</v>
      </c>
      <c r="K1194" s="7" t="s">
        <v>1810</v>
      </c>
      <c r="L1194" s="8">
        <v>204790</v>
      </c>
      <c r="M1194" s="8" t="str">
        <f t="shared" si="102"/>
        <v>PEN</v>
      </c>
      <c r="N1194" s="13"/>
      <c r="O1194" s="13">
        <v>2196.11</v>
      </c>
      <c r="P1194" s="3">
        <f t="shared" si="103"/>
        <v>0</v>
      </c>
      <c r="Q1194" s="3">
        <f t="shared" si="104"/>
        <v>2196.11</v>
      </c>
      <c r="R1194" s="3">
        <f t="shared" si="100"/>
        <v>34081.290000000045</v>
      </c>
      <c r="S1194" s="24" t="s">
        <v>1334</v>
      </c>
      <c r="T1194" s="24" t="s">
        <v>1334</v>
      </c>
      <c r="U1194" s="53"/>
      <c r="V1194" s="25">
        <f>IFERROR(VLOOKUP(BCP_Soles[[#This Row],[destinatario]],CHOOSE({1,2},Clientes_Proveedores[Razon Social],Clientes_Proveedores[Ruc / Dni]),2,0),"")</f>
        <v>20454073143</v>
      </c>
      <c r="W1194" s="25" t="s">
        <v>1465</v>
      </c>
      <c r="X1194" s="25" t="s">
        <v>2586</v>
      </c>
      <c r="Y1194" s="25"/>
      <c r="Z1194" s="75"/>
      <c r="AA1194" s="3" t="str">
        <f>IF(BCP_Soles[[#This Row],[fecha]]&gt;0,TEXT(BCP_Soles[[#This Row],[fecha]],"mmmm"),0)</f>
        <v>Abril</v>
      </c>
    </row>
    <row r="1195" spans="1:27" ht="24" x14ac:dyDescent="0.3">
      <c r="A1195" s="2">
        <f>IF(BCP_Soles[[#This Row],[tipo_registro]]="R",COUNTIFS($C$1:$C1194,"R")+1,A1194)</f>
        <v>896</v>
      </c>
      <c r="B1195" s="19" t="str">
        <f t="shared" si="101"/>
        <v>B-BCP - Soles</v>
      </c>
      <c r="C1195" s="3" t="s">
        <v>1330</v>
      </c>
      <c r="D1195" s="14">
        <v>45751</v>
      </c>
      <c r="E1195" s="5" t="s">
        <v>2269</v>
      </c>
      <c r="F1195" s="5" t="s">
        <v>1336</v>
      </c>
      <c r="G1195" s="6"/>
      <c r="H1195" s="6"/>
      <c r="I1195" s="6"/>
      <c r="J1195" s="6"/>
      <c r="K1195" s="7" t="s">
        <v>2587</v>
      </c>
      <c r="L1195" s="8">
        <v>1164822</v>
      </c>
      <c r="M1195" s="8" t="str">
        <f t="shared" si="102"/>
        <v>PEN</v>
      </c>
      <c r="N1195" s="13"/>
      <c r="O1195" s="13">
        <v>2365.31</v>
      </c>
      <c r="P1195" s="3">
        <f t="shared" si="103"/>
        <v>0</v>
      </c>
      <c r="Q1195" s="3">
        <f t="shared" si="104"/>
        <v>2365.31</v>
      </c>
      <c r="R1195" s="3">
        <f t="shared" si="100"/>
        <v>31715.980000000043</v>
      </c>
      <c r="S1195" s="24"/>
      <c r="T1195" s="24"/>
      <c r="U1195" s="53"/>
      <c r="V1195" s="25" t="str">
        <f>IFERROR(VLOOKUP(BCP_Soles[[#This Row],[destinatario]],CHOOSE({1,2},Clientes_Proveedores[Razon Social],Clientes_Proveedores[Ruc / Dni]),2,0),"")</f>
        <v/>
      </c>
      <c r="W1195" s="25" t="s">
        <v>2588</v>
      </c>
      <c r="X1195" s="25"/>
      <c r="Y1195" s="25"/>
      <c r="Z1195" s="75"/>
      <c r="AA1195" s="3" t="str">
        <f>IF(BCP_Soles[[#This Row],[fecha]]&gt;0,TEXT(BCP_Soles[[#This Row],[fecha]],"mmmm"),0)</f>
        <v>Abril</v>
      </c>
    </row>
    <row r="1196" spans="1:27" ht="36" x14ac:dyDescent="0.3">
      <c r="A1196" s="2">
        <f>IF(BCP_Soles[[#This Row],[tipo_registro]]="R",COUNTIFS($C$1:$C1195,"R")+1,A1195)</f>
        <v>897</v>
      </c>
      <c r="B1196" s="19" t="str">
        <f t="shared" si="101"/>
        <v>B-BCP - Soles</v>
      </c>
      <c r="C1196" s="3" t="s">
        <v>1330</v>
      </c>
      <c r="D1196" s="14">
        <v>45751</v>
      </c>
      <c r="E1196" s="5" t="s">
        <v>2269</v>
      </c>
      <c r="F1196" s="5" t="s">
        <v>1336</v>
      </c>
      <c r="G1196" s="6" t="s">
        <v>495</v>
      </c>
      <c r="H1196" s="6" t="s">
        <v>68</v>
      </c>
      <c r="I1196" s="6" t="s">
        <v>1376</v>
      </c>
      <c r="J1196" s="6">
        <v>3793</v>
      </c>
      <c r="K1196" s="7" t="s">
        <v>2589</v>
      </c>
      <c r="L1196" s="8">
        <v>1205254</v>
      </c>
      <c r="M1196" s="8" t="str">
        <f t="shared" si="102"/>
        <v>PEN</v>
      </c>
      <c r="N1196" s="13"/>
      <c r="O1196" s="13">
        <v>2880</v>
      </c>
      <c r="P1196" s="3">
        <f t="shared" si="103"/>
        <v>0</v>
      </c>
      <c r="Q1196" s="3">
        <f t="shared" si="104"/>
        <v>2880</v>
      </c>
      <c r="R1196" s="3">
        <f t="shared" si="100"/>
        <v>28835.980000000043</v>
      </c>
      <c r="S1196" s="24" t="s">
        <v>1334</v>
      </c>
      <c r="T1196" s="24" t="s">
        <v>1334</v>
      </c>
      <c r="U1196" s="53"/>
      <c r="V1196" s="25">
        <f>IFERROR(VLOOKUP(BCP_Soles[[#This Row],[destinatario]],CHOOSE({1,2},Clientes_Proveedores[Razon Social],Clientes_Proveedores[Ruc / Dni]),2,0),"")</f>
        <v>20602778861</v>
      </c>
      <c r="W1196" s="25" t="s">
        <v>495</v>
      </c>
      <c r="X1196" s="25" t="s">
        <v>2590</v>
      </c>
      <c r="Y1196" s="25"/>
      <c r="Z1196" s="75"/>
      <c r="AA1196" s="3" t="str">
        <f>IF(BCP_Soles[[#This Row],[fecha]]&gt;0,TEXT(BCP_Soles[[#This Row],[fecha]],"mmmm"),0)</f>
        <v>Abril</v>
      </c>
    </row>
    <row r="1197" spans="1:27" ht="24" x14ac:dyDescent="0.3">
      <c r="A1197" s="2">
        <f>IF(BCP_Soles[[#This Row],[tipo_registro]]="R",COUNTIFS($C$1:$C1196,"R")+1,A1196)</f>
        <v>898</v>
      </c>
      <c r="B1197" s="19" t="str">
        <f t="shared" si="101"/>
        <v>B-BCP - Soles</v>
      </c>
      <c r="C1197" s="3" t="s">
        <v>1330</v>
      </c>
      <c r="D1197" s="14">
        <v>45751</v>
      </c>
      <c r="E1197" s="5" t="s">
        <v>2269</v>
      </c>
      <c r="F1197" s="5" t="s">
        <v>1336</v>
      </c>
      <c r="G1197" s="6" t="s">
        <v>698</v>
      </c>
      <c r="H1197" s="6"/>
      <c r="I1197" s="6"/>
      <c r="J1197" s="6"/>
      <c r="K1197" s="7" t="s">
        <v>2591</v>
      </c>
      <c r="L1197" s="8">
        <v>4018079</v>
      </c>
      <c r="M1197" s="8" t="str">
        <f t="shared" si="102"/>
        <v>PEN</v>
      </c>
      <c r="N1197" s="13"/>
      <c r="O1197" s="13">
        <v>3219.5</v>
      </c>
      <c r="P1197" s="3">
        <f t="shared" si="103"/>
        <v>0</v>
      </c>
      <c r="Q1197" s="3">
        <f t="shared" si="104"/>
        <v>3219.5</v>
      </c>
      <c r="R1197" s="3">
        <f t="shared" si="100"/>
        <v>25616.480000000043</v>
      </c>
      <c r="S1197" s="24" t="s">
        <v>1334</v>
      </c>
      <c r="T1197" s="24"/>
      <c r="U1197" s="53"/>
      <c r="V1197" s="25">
        <f>IFERROR(VLOOKUP(BCP_Soles[[#This Row],[destinatario]],CHOOSE({1,2},Clientes_Proveedores[Razon Social],Clientes_Proveedores[Ruc / Dni]),2,0),"")</f>
        <v>10296347634</v>
      </c>
      <c r="W1197" s="25" t="s">
        <v>698</v>
      </c>
      <c r="X1197" s="25"/>
      <c r="Y1197" s="25"/>
      <c r="Z1197" s="75"/>
      <c r="AA1197" s="3" t="str">
        <f>IF(BCP_Soles[[#This Row],[fecha]]&gt;0,TEXT(BCP_Soles[[#This Row],[fecha]],"mmmm"),0)</f>
        <v>Abril</v>
      </c>
    </row>
    <row r="1198" spans="1:27" ht="24" x14ac:dyDescent="0.3">
      <c r="A1198" s="2">
        <f>IF(BCP_Soles[[#This Row],[tipo_registro]]="R",COUNTIFS($C$1:$C1197,"R")+1,A1197)</f>
        <v>898</v>
      </c>
      <c r="B1198" s="19" t="str">
        <f t="shared" si="101"/>
        <v>B-BCP - Soles</v>
      </c>
      <c r="C1198" s="3" t="s">
        <v>1352</v>
      </c>
      <c r="D1198" s="14">
        <v>45751</v>
      </c>
      <c r="E1198" s="5" t="s">
        <v>2269</v>
      </c>
      <c r="F1198" s="5" t="s">
        <v>1336</v>
      </c>
      <c r="G1198" s="6" t="s">
        <v>698</v>
      </c>
      <c r="H1198" s="6" t="s">
        <v>64</v>
      </c>
      <c r="I1198" s="6"/>
      <c r="J1198" s="6"/>
      <c r="K1198" s="7" t="s">
        <v>2591</v>
      </c>
      <c r="L1198" s="8">
        <v>4018079</v>
      </c>
      <c r="M1198" s="8" t="str">
        <f t="shared" si="102"/>
        <v>PEN</v>
      </c>
      <c r="N1198" s="13">
        <v>3200</v>
      </c>
      <c r="O1198" s="13"/>
      <c r="P1198" s="3">
        <f t="shared" si="103"/>
        <v>0</v>
      </c>
      <c r="Q1198" s="3">
        <f t="shared" si="104"/>
        <v>0</v>
      </c>
      <c r="R1198" s="3">
        <f t="shared" si="100"/>
        <v>25616.480000000043</v>
      </c>
      <c r="S1198" s="24" t="s">
        <v>1334</v>
      </c>
      <c r="T1198" s="24"/>
      <c r="U1198" s="53"/>
      <c r="V1198" s="25">
        <f>IFERROR(VLOOKUP(BCP_Soles[[#This Row],[destinatario]],CHOOSE({1,2},Clientes_Proveedores[Razon Social],Clientes_Proveedores[Ruc / Dni]),2,0),"")</f>
        <v>10296347634</v>
      </c>
      <c r="W1198" s="25"/>
      <c r="X1198" s="25"/>
      <c r="Y1198" s="25"/>
      <c r="Z1198" s="75"/>
      <c r="AA1198" s="3" t="str">
        <f>IF(BCP_Soles[[#This Row],[fecha]]&gt;0,TEXT(BCP_Soles[[#This Row],[fecha]],"mmmm"),0)</f>
        <v>Abril</v>
      </c>
    </row>
    <row r="1199" spans="1:27" ht="24" x14ac:dyDescent="0.3">
      <c r="A1199" s="2">
        <f>IF(BCP_Soles[[#This Row],[tipo_registro]]="R",COUNTIFS($C$1:$C1198,"R")+1,A1198)</f>
        <v>898</v>
      </c>
      <c r="B1199" s="19" t="str">
        <f t="shared" si="101"/>
        <v>B-BCP - Soles</v>
      </c>
      <c r="C1199" s="3" t="s">
        <v>1352</v>
      </c>
      <c r="D1199" s="14">
        <v>45751</v>
      </c>
      <c r="E1199" s="5" t="s">
        <v>2269</v>
      </c>
      <c r="F1199" s="5" t="s">
        <v>1336</v>
      </c>
      <c r="G1199" s="6" t="s">
        <v>1060</v>
      </c>
      <c r="H1199" s="6" t="s">
        <v>68</v>
      </c>
      <c r="I1199" s="6" t="s">
        <v>1397</v>
      </c>
      <c r="J1199" s="6">
        <v>31215250</v>
      </c>
      <c r="K1199" s="7" t="s">
        <v>2591</v>
      </c>
      <c r="L1199" s="8">
        <v>4018079</v>
      </c>
      <c r="M1199" s="8" t="str">
        <f t="shared" si="102"/>
        <v>PEN</v>
      </c>
      <c r="N1199" s="13">
        <v>19.5</v>
      </c>
      <c r="O1199" s="13"/>
      <c r="P1199" s="3">
        <f t="shared" si="103"/>
        <v>0</v>
      </c>
      <c r="Q1199" s="3">
        <f t="shared" si="104"/>
        <v>0</v>
      </c>
      <c r="R1199" s="3">
        <f t="shared" si="100"/>
        <v>25616.480000000043</v>
      </c>
      <c r="S1199" s="24" t="s">
        <v>1334</v>
      </c>
      <c r="T1199" s="24"/>
      <c r="U1199" s="53"/>
      <c r="V1199" s="25">
        <f>IFERROR(VLOOKUP(BCP_Soles[[#This Row],[destinatario]],CHOOSE({1,2},Clientes_Proveedores[Razon Social],Clientes_Proveedores[Ruc / Dni]),2,0),"")</f>
        <v>20100047218</v>
      </c>
      <c r="W1199" s="25"/>
      <c r="X1199" s="25"/>
      <c r="Y1199" s="25"/>
      <c r="Z1199" s="75"/>
      <c r="AA1199" s="3" t="str">
        <f>IF(BCP_Soles[[#This Row],[fecha]]&gt;0,TEXT(BCP_Soles[[#This Row],[fecha]],"mmmm"),0)</f>
        <v>Abril</v>
      </c>
    </row>
    <row r="1200" spans="1:27" ht="24" x14ac:dyDescent="0.3">
      <c r="A1200" s="2">
        <f>IF(BCP_Soles[[#This Row],[tipo_registro]]="R",COUNTIFS($C$1:$C1199,"R")+1,A1199)</f>
        <v>899</v>
      </c>
      <c r="B1200" s="19" t="str">
        <f t="shared" si="101"/>
        <v>B-BCP - Soles</v>
      </c>
      <c r="C1200" s="3" t="s">
        <v>1330</v>
      </c>
      <c r="D1200" s="14">
        <v>45751</v>
      </c>
      <c r="E1200" s="5" t="s">
        <v>2269</v>
      </c>
      <c r="F1200" s="5" t="s">
        <v>1336</v>
      </c>
      <c r="G1200" s="6" t="s">
        <v>724</v>
      </c>
      <c r="H1200" s="6" t="s">
        <v>68</v>
      </c>
      <c r="I1200" s="6" t="s">
        <v>1376</v>
      </c>
      <c r="J1200" s="6">
        <v>4088</v>
      </c>
      <c r="K1200" s="7" t="s">
        <v>2592</v>
      </c>
      <c r="L1200" s="8">
        <v>1284753</v>
      </c>
      <c r="M1200" s="8" t="str">
        <f t="shared" si="102"/>
        <v>PEN</v>
      </c>
      <c r="N1200" s="13"/>
      <c r="O1200" s="13">
        <v>8614</v>
      </c>
      <c r="P1200" s="3">
        <f t="shared" si="103"/>
        <v>0</v>
      </c>
      <c r="Q1200" s="3">
        <f t="shared" si="104"/>
        <v>8614</v>
      </c>
      <c r="R1200" s="3">
        <f t="shared" si="100"/>
        <v>17002.480000000043</v>
      </c>
      <c r="S1200" s="24" t="s">
        <v>1334</v>
      </c>
      <c r="T1200" s="24" t="s">
        <v>1334</v>
      </c>
      <c r="U1200" s="53"/>
      <c r="V1200" s="25">
        <f>IFERROR(VLOOKUP(BCP_Soles[[#This Row],[destinatario]],CHOOSE({1,2},Clientes_Proveedores[Razon Social],Clientes_Proveedores[Ruc / Dni]),2,0),"")</f>
        <v>20558275082</v>
      </c>
      <c r="W1200" s="25" t="s">
        <v>724</v>
      </c>
      <c r="X1200" s="25" t="s">
        <v>2593</v>
      </c>
      <c r="Y1200" s="25"/>
      <c r="Z1200" s="75"/>
      <c r="AA1200" s="3" t="str">
        <f>IF(BCP_Soles[[#This Row],[fecha]]&gt;0,TEXT(BCP_Soles[[#This Row],[fecha]],"mmmm"),0)</f>
        <v>Abril</v>
      </c>
    </row>
    <row r="1201" spans="1:27" ht="60" x14ac:dyDescent="0.3">
      <c r="A1201" s="2">
        <f>IF(BCP_Soles[[#This Row],[tipo_registro]]="R",COUNTIFS($C$1:$C1200,"R")+1,A1200)</f>
        <v>900</v>
      </c>
      <c r="B1201" s="19" t="str">
        <f t="shared" si="101"/>
        <v>B-BCP - Soles</v>
      </c>
      <c r="C1201" s="3" t="s">
        <v>1330</v>
      </c>
      <c r="D1201" s="14">
        <v>45752</v>
      </c>
      <c r="E1201" s="5" t="s">
        <v>295</v>
      </c>
      <c r="F1201" s="5" t="s">
        <v>1303</v>
      </c>
      <c r="G1201" s="6" t="s">
        <v>425</v>
      </c>
      <c r="H1201" s="6"/>
      <c r="I1201" s="6"/>
      <c r="J1201" s="6"/>
      <c r="K1201" s="7" t="s">
        <v>1428</v>
      </c>
      <c r="L1201" s="8">
        <v>2062956</v>
      </c>
      <c r="M1201" s="8" t="str">
        <f t="shared" si="102"/>
        <v>PEN</v>
      </c>
      <c r="N1201" s="13"/>
      <c r="O1201" s="13">
        <v>1837.17</v>
      </c>
      <c r="P1201" s="3">
        <f t="shared" si="103"/>
        <v>1837.17</v>
      </c>
      <c r="Q1201" s="3">
        <f t="shared" si="104"/>
        <v>0</v>
      </c>
      <c r="R1201" s="3">
        <f t="shared" si="100"/>
        <v>18839.650000000045</v>
      </c>
      <c r="S1201" s="24" t="s">
        <v>1334</v>
      </c>
      <c r="T1201" s="24" t="s">
        <v>1334</v>
      </c>
      <c r="U1201" s="53"/>
      <c r="V1201" s="25">
        <f>IFERROR(VLOOKUP(BCP_Soles[[#This Row],[destinatario]],CHOOSE({1,2},Clientes_Proveedores[Razon Social],Clientes_Proveedores[Ruc / Dni]),2,0),"")</f>
        <v>20558226979</v>
      </c>
      <c r="W1201" s="25" t="s">
        <v>1345</v>
      </c>
      <c r="X1201" s="25" t="s">
        <v>2594</v>
      </c>
      <c r="Y1201" s="25"/>
      <c r="Z1201" s="75"/>
      <c r="AA1201" s="3" t="str">
        <f>IF(BCP_Soles[[#This Row],[fecha]]&gt;0,TEXT(BCP_Soles[[#This Row],[fecha]],"mmmm"),0)</f>
        <v>Abril</v>
      </c>
    </row>
    <row r="1202" spans="1:27" ht="60" x14ac:dyDescent="0.3">
      <c r="A1202" s="2">
        <f>IF(BCP_Soles[[#This Row],[tipo_registro]]="R",COUNTIFS($C$1:$C1201,"R")+1,A1201)</f>
        <v>901</v>
      </c>
      <c r="B1202" s="19" t="str">
        <f t="shared" si="101"/>
        <v>B-BCP - Soles</v>
      </c>
      <c r="C1202" s="3" t="s">
        <v>1330</v>
      </c>
      <c r="D1202" s="14">
        <v>45752</v>
      </c>
      <c r="E1202" s="5" t="s">
        <v>295</v>
      </c>
      <c r="F1202" s="5" t="s">
        <v>1303</v>
      </c>
      <c r="G1202" s="6" t="s">
        <v>425</v>
      </c>
      <c r="H1202" s="6"/>
      <c r="I1202" s="6"/>
      <c r="J1202" s="6"/>
      <c r="K1202" s="7" t="s">
        <v>1428</v>
      </c>
      <c r="L1202" s="8">
        <v>2044157</v>
      </c>
      <c r="M1202" s="8" t="str">
        <f t="shared" si="102"/>
        <v>PEN</v>
      </c>
      <c r="N1202" s="13"/>
      <c r="O1202" s="13">
        <v>1746.38</v>
      </c>
      <c r="P1202" s="3">
        <f t="shared" si="103"/>
        <v>1746.38</v>
      </c>
      <c r="Q1202" s="3">
        <f t="shared" si="104"/>
        <v>0</v>
      </c>
      <c r="R1202" s="3">
        <f t="shared" si="100"/>
        <v>20586.030000000046</v>
      </c>
      <c r="S1202" s="24" t="s">
        <v>1334</v>
      </c>
      <c r="T1202" s="24" t="s">
        <v>1334</v>
      </c>
      <c r="U1202" s="53"/>
      <c r="V1202" s="25">
        <f>IFERROR(VLOOKUP(BCP_Soles[[#This Row],[destinatario]],CHOOSE({1,2},Clientes_Proveedores[Razon Social],Clientes_Proveedores[Ruc / Dni]),2,0),"")</f>
        <v>20558226979</v>
      </c>
      <c r="W1202" s="25" t="s">
        <v>1345</v>
      </c>
      <c r="X1202" s="25" t="s">
        <v>2595</v>
      </c>
      <c r="Y1202" s="25"/>
      <c r="Z1202" s="75"/>
      <c r="AA1202" s="3" t="str">
        <f>IF(BCP_Soles[[#This Row],[fecha]]&gt;0,TEXT(BCP_Soles[[#This Row],[fecha]],"mmmm"),0)</f>
        <v>Abril</v>
      </c>
    </row>
    <row r="1203" spans="1:27" ht="60" x14ac:dyDescent="0.3">
      <c r="A1203" s="2">
        <f>IF(BCP_Soles[[#This Row],[tipo_registro]]="R",COUNTIFS($C$1:$C1202,"R")+1,A1202)</f>
        <v>902</v>
      </c>
      <c r="B1203" s="19" t="str">
        <f t="shared" si="101"/>
        <v>B-BCP - Soles</v>
      </c>
      <c r="C1203" s="3" t="s">
        <v>1330</v>
      </c>
      <c r="D1203" s="14">
        <v>45752</v>
      </c>
      <c r="E1203" s="5" t="s">
        <v>295</v>
      </c>
      <c r="F1203" s="5" t="s">
        <v>1303</v>
      </c>
      <c r="G1203" s="6" t="s">
        <v>425</v>
      </c>
      <c r="H1203" s="6"/>
      <c r="I1203" s="6"/>
      <c r="J1203" s="6"/>
      <c r="K1203" s="7" t="s">
        <v>1428</v>
      </c>
      <c r="L1203" s="8">
        <v>2047393</v>
      </c>
      <c r="M1203" s="8" t="str">
        <f t="shared" si="102"/>
        <v>PEN</v>
      </c>
      <c r="N1203" s="13"/>
      <c r="O1203" s="13">
        <v>1159.67</v>
      </c>
      <c r="P1203" s="3">
        <f t="shared" si="103"/>
        <v>1159.67</v>
      </c>
      <c r="Q1203" s="3">
        <f t="shared" si="104"/>
        <v>0</v>
      </c>
      <c r="R1203" s="3">
        <f t="shared" si="100"/>
        <v>21745.700000000048</v>
      </c>
      <c r="S1203" s="24" t="s">
        <v>1334</v>
      </c>
      <c r="T1203" s="24" t="s">
        <v>1334</v>
      </c>
      <c r="U1203" s="53"/>
      <c r="V1203" s="25">
        <f>IFERROR(VLOOKUP(BCP_Soles[[#This Row],[destinatario]],CHOOSE({1,2},Clientes_Proveedores[Razon Social],Clientes_Proveedores[Ruc / Dni]),2,0),"")</f>
        <v>20558226979</v>
      </c>
      <c r="W1203" s="25" t="s">
        <v>1345</v>
      </c>
      <c r="X1203" s="25" t="s">
        <v>2596</v>
      </c>
      <c r="Y1203" s="25"/>
      <c r="Z1203" s="75"/>
      <c r="AA1203" s="3" t="str">
        <f>IF(BCP_Soles[[#This Row],[fecha]]&gt;0,TEXT(BCP_Soles[[#This Row],[fecha]],"mmmm"),0)</f>
        <v>Abril</v>
      </c>
    </row>
    <row r="1204" spans="1:27" ht="60" x14ac:dyDescent="0.3">
      <c r="A1204" s="2">
        <f>IF(BCP_Soles[[#This Row],[tipo_registro]]="R",COUNTIFS($C$1:$C1203,"R")+1,A1203)</f>
        <v>903</v>
      </c>
      <c r="B1204" s="19" t="str">
        <f t="shared" si="101"/>
        <v>B-BCP - Soles</v>
      </c>
      <c r="C1204" s="3" t="s">
        <v>1330</v>
      </c>
      <c r="D1204" s="14">
        <v>45752</v>
      </c>
      <c r="E1204" s="5" t="s">
        <v>295</v>
      </c>
      <c r="F1204" s="5" t="s">
        <v>1303</v>
      </c>
      <c r="G1204" s="6" t="s">
        <v>425</v>
      </c>
      <c r="H1204" s="6"/>
      <c r="I1204" s="6"/>
      <c r="J1204" s="6"/>
      <c r="K1204" s="7" t="s">
        <v>1428</v>
      </c>
      <c r="L1204" s="8">
        <v>2060187</v>
      </c>
      <c r="M1204" s="8" t="str">
        <f t="shared" si="102"/>
        <v>PEN</v>
      </c>
      <c r="N1204" s="13"/>
      <c r="O1204" s="13">
        <v>672.19</v>
      </c>
      <c r="P1204" s="3">
        <f t="shared" si="103"/>
        <v>672.19</v>
      </c>
      <c r="Q1204" s="3">
        <f t="shared" si="104"/>
        <v>0</v>
      </c>
      <c r="R1204" s="3">
        <f t="shared" si="100"/>
        <v>22417.890000000047</v>
      </c>
      <c r="S1204" s="24" t="s">
        <v>1334</v>
      </c>
      <c r="T1204" s="24" t="s">
        <v>1334</v>
      </c>
      <c r="U1204" s="53"/>
      <c r="V1204" s="25">
        <f>IFERROR(VLOOKUP(BCP_Soles[[#This Row],[destinatario]],CHOOSE({1,2},Clientes_Proveedores[Razon Social],Clientes_Proveedores[Ruc / Dni]),2,0),"")</f>
        <v>20558226979</v>
      </c>
      <c r="W1204" s="25" t="s">
        <v>1345</v>
      </c>
      <c r="X1204" s="25" t="s">
        <v>2597</v>
      </c>
      <c r="Y1204" s="25"/>
      <c r="Z1204" s="75"/>
      <c r="AA1204" s="3" t="str">
        <f>IF(BCP_Soles[[#This Row],[fecha]]&gt;0,TEXT(BCP_Soles[[#This Row],[fecha]],"mmmm"),0)</f>
        <v>Abril</v>
      </c>
    </row>
    <row r="1205" spans="1:27" ht="60" x14ac:dyDescent="0.3">
      <c r="A1205" s="2">
        <f>IF(BCP_Soles[[#This Row],[tipo_registro]]="R",COUNTIFS($C$1:$C1204,"R")+1,A1204)</f>
        <v>904</v>
      </c>
      <c r="B1205" s="19" t="str">
        <f t="shared" si="101"/>
        <v>B-BCP - Soles</v>
      </c>
      <c r="C1205" s="3" t="s">
        <v>1330</v>
      </c>
      <c r="D1205" s="14">
        <v>45752</v>
      </c>
      <c r="E1205" s="5" t="s">
        <v>295</v>
      </c>
      <c r="F1205" s="5" t="s">
        <v>1303</v>
      </c>
      <c r="G1205" s="6" t="s">
        <v>425</v>
      </c>
      <c r="H1205" s="6"/>
      <c r="I1205" s="6"/>
      <c r="J1205" s="6"/>
      <c r="K1205" s="7" t="s">
        <v>1428</v>
      </c>
      <c r="L1205" s="8">
        <v>2060549</v>
      </c>
      <c r="M1205" s="8" t="str">
        <f t="shared" si="102"/>
        <v>PEN</v>
      </c>
      <c r="N1205" s="13"/>
      <c r="O1205" s="13">
        <v>670.83</v>
      </c>
      <c r="P1205" s="3">
        <f t="shared" si="103"/>
        <v>670.83</v>
      </c>
      <c r="Q1205" s="3">
        <f t="shared" si="104"/>
        <v>0</v>
      </c>
      <c r="R1205" s="3">
        <f t="shared" si="100"/>
        <v>23088.720000000048</v>
      </c>
      <c r="S1205" s="24" t="s">
        <v>1334</v>
      </c>
      <c r="T1205" s="24" t="s">
        <v>1334</v>
      </c>
      <c r="U1205" s="53"/>
      <c r="V1205" s="25">
        <f>IFERROR(VLOOKUP(BCP_Soles[[#This Row],[destinatario]],CHOOSE({1,2},Clientes_Proveedores[Razon Social],Clientes_Proveedores[Ruc / Dni]),2,0),"")</f>
        <v>20558226979</v>
      </c>
      <c r="W1205" s="25" t="s">
        <v>1345</v>
      </c>
      <c r="X1205" s="25" t="s">
        <v>2598</v>
      </c>
      <c r="Y1205" s="25"/>
      <c r="Z1205" s="75"/>
      <c r="AA1205" s="3" t="str">
        <f>IF(BCP_Soles[[#This Row],[fecha]]&gt;0,TEXT(BCP_Soles[[#This Row],[fecha]],"mmmm"),0)</f>
        <v>Abril</v>
      </c>
    </row>
    <row r="1206" spans="1:27" ht="60" x14ac:dyDescent="0.3">
      <c r="A1206" s="2">
        <f>IF(BCP_Soles[[#This Row],[tipo_registro]]="R",COUNTIFS($C$1:$C1205,"R")+1,A1205)</f>
        <v>905</v>
      </c>
      <c r="B1206" s="19" t="str">
        <f t="shared" si="101"/>
        <v>B-BCP - Soles</v>
      </c>
      <c r="C1206" s="3" t="s">
        <v>1330</v>
      </c>
      <c r="D1206" s="14">
        <v>45752</v>
      </c>
      <c r="E1206" s="5" t="s">
        <v>295</v>
      </c>
      <c r="F1206" s="5" t="s">
        <v>1303</v>
      </c>
      <c r="G1206" s="6" t="s">
        <v>425</v>
      </c>
      <c r="H1206" s="6"/>
      <c r="I1206" s="6"/>
      <c r="J1206" s="6"/>
      <c r="K1206" s="7" t="s">
        <v>1428</v>
      </c>
      <c r="L1206" s="8">
        <v>2057749</v>
      </c>
      <c r="M1206" s="8" t="str">
        <f t="shared" si="102"/>
        <v>PEN</v>
      </c>
      <c r="N1206" s="13"/>
      <c r="O1206" s="13">
        <v>612.39</v>
      </c>
      <c r="P1206" s="3">
        <f t="shared" si="103"/>
        <v>612.39</v>
      </c>
      <c r="Q1206" s="3">
        <f t="shared" si="104"/>
        <v>0</v>
      </c>
      <c r="R1206" s="3">
        <f t="shared" si="100"/>
        <v>23701.110000000048</v>
      </c>
      <c r="S1206" s="24" t="s">
        <v>1334</v>
      </c>
      <c r="T1206" s="24" t="s">
        <v>1334</v>
      </c>
      <c r="U1206" s="53"/>
      <c r="V1206" s="25">
        <f>IFERROR(VLOOKUP(BCP_Soles[[#This Row],[destinatario]],CHOOSE({1,2},Clientes_Proveedores[Razon Social],Clientes_Proveedores[Ruc / Dni]),2,0),"")</f>
        <v>20558226979</v>
      </c>
      <c r="W1206" s="25" t="s">
        <v>1345</v>
      </c>
      <c r="X1206" s="25" t="s">
        <v>2599</v>
      </c>
      <c r="Y1206" s="25"/>
      <c r="Z1206" s="75"/>
      <c r="AA1206" s="3" t="str">
        <f>IF(BCP_Soles[[#This Row],[fecha]]&gt;0,TEXT(BCP_Soles[[#This Row],[fecha]],"mmmm"),0)</f>
        <v>Abril</v>
      </c>
    </row>
    <row r="1207" spans="1:27" ht="60" x14ac:dyDescent="0.3">
      <c r="A1207" s="2">
        <f>IF(BCP_Soles[[#This Row],[tipo_registro]]="R",COUNTIFS($C$1:$C1206,"R")+1,A1206)</f>
        <v>906</v>
      </c>
      <c r="B1207" s="19" t="str">
        <f t="shared" si="101"/>
        <v>B-BCP - Soles</v>
      </c>
      <c r="C1207" s="3" t="s">
        <v>1330</v>
      </c>
      <c r="D1207" s="14">
        <v>45752</v>
      </c>
      <c r="E1207" s="5" t="s">
        <v>295</v>
      </c>
      <c r="F1207" s="5" t="s">
        <v>1303</v>
      </c>
      <c r="G1207" s="6" t="s">
        <v>425</v>
      </c>
      <c r="H1207" s="6"/>
      <c r="I1207" s="6"/>
      <c r="J1207" s="6"/>
      <c r="K1207" s="7" t="s">
        <v>1428</v>
      </c>
      <c r="L1207" s="8">
        <v>2058427</v>
      </c>
      <c r="M1207" s="8" t="str">
        <f t="shared" si="102"/>
        <v>PEN</v>
      </c>
      <c r="N1207" s="13"/>
      <c r="O1207" s="13">
        <v>541.20000000000005</v>
      </c>
      <c r="P1207" s="3">
        <f t="shared" si="103"/>
        <v>541.20000000000005</v>
      </c>
      <c r="Q1207" s="3">
        <f t="shared" si="104"/>
        <v>0</v>
      </c>
      <c r="R1207" s="3">
        <f t="shared" si="100"/>
        <v>24242.310000000049</v>
      </c>
      <c r="S1207" s="24" t="s">
        <v>1334</v>
      </c>
      <c r="T1207" s="24" t="s">
        <v>1334</v>
      </c>
      <c r="U1207" s="53"/>
      <c r="V1207" s="25">
        <f>IFERROR(VLOOKUP(BCP_Soles[[#This Row],[destinatario]],CHOOSE({1,2},Clientes_Proveedores[Razon Social],Clientes_Proveedores[Ruc / Dni]),2,0),"")</f>
        <v>20558226979</v>
      </c>
      <c r="W1207" s="25" t="s">
        <v>1345</v>
      </c>
      <c r="X1207" s="25" t="s">
        <v>2600</v>
      </c>
      <c r="Y1207" s="25"/>
      <c r="Z1207" s="75"/>
      <c r="AA1207" s="3" t="str">
        <f>IF(BCP_Soles[[#This Row],[fecha]]&gt;0,TEXT(BCP_Soles[[#This Row],[fecha]],"mmmm"),0)</f>
        <v>Abril</v>
      </c>
    </row>
    <row r="1208" spans="1:27" ht="60" x14ac:dyDescent="0.3">
      <c r="A1208" s="2">
        <f>IF(BCP_Soles[[#This Row],[tipo_registro]]="R",COUNTIFS($C$1:$C1207,"R")+1,A1207)</f>
        <v>907</v>
      </c>
      <c r="B1208" s="19" t="str">
        <f t="shared" si="101"/>
        <v>B-BCP - Soles</v>
      </c>
      <c r="C1208" s="3" t="s">
        <v>1330</v>
      </c>
      <c r="D1208" s="14">
        <v>45752</v>
      </c>
      <c r="E1208" s="5" t="s">
        <v>295</v>
      </c>
      <c r="F1208" s="5" t="s">
        <v>1303</v>
      </c>
      <c r="G1208" s="6" t="s">
        <v>425</v>
      </c>
      <c r="H1208" s="6"/>
      <c r="I1208" s="6"/>
      <c r="J1208" s="6"/>
      <c r="K1208" s="7" t="s">
        <v>1428</v>
      </c>
      <c r="L1208" s="8">
        <v>2053519</v>
      </c>
      <c r="M1208" s="8" t="str">
        <f t="shared" si="102"/>
        <v>PEN</v>
      </c>
      <c r="N1208" s="13"/>
      <c r="O1208" s="13">
        <v>501.59</v>
      </c>
      <c r="P1208" s="3">
        <f t="shared" si="103"/>
        <v>501.59</v>
      </c>
      <c r="Q1208" s="3">
        <f t="shared" si="104"/>
        <v>0</v>
      </c>
      <c r="R1208" s="3">
        <f t="shared" si="100"/>
        <v>24743.900000000049</v>
      </c>
      <c r="S1208" s="24" t="s">
        <v>1334</v>
      </c>
      <c r="T1208" s="24" t="s">
        <v>1334</v>
      </c>
      <c r="U1208" s="53"/>
      <c r="V1208" s="25">
        <f>IFERROR(VLOOKUP(BCP_Soles[[#This Row],[destinatario]],CHOOSE({1,2},Clientes_Proveedores[Razon Social],Clientes_Proveedores[Ruc / Dni]),2,0),"")</f>
        <v>20558226979</v>
      </c>
      <c r="W1208" s="25" t="s">
        <v>1345</v>
      </c>
      <c r="X1208" s="25" t="s">
        <v>1688</v>
      </c>
      <c r="Y1208" s="25"/>
      <c r="Z1208" s="75"/>
      <c r="AA1208" s="3" t="str">
        <f>IF(BCP_Soles[[#This Row],[fecha]]&gt;0,TEXT(BCP_Soles[[#This Row],[fecha]],"mmmm"),0)</f>
        <v>Abril</v>
      </c>
    </row>
    <row r="1209" spans="1:27" ht="60" x14ac:dyDescent="0.3">
      <c r="A1209" s="2">
        <f>IF(BCP_Soles[[#This Row],[tipo_registro]]="R",COUNTIFS($C$1:$C1208,"R")+1,A1208)</f>
        <v>908</v>
      </c>
      <c r="B1209" s="19" t="str">
        <f t="shared" si="101"/>
        <v>B-BCP - Soles</v>
      </c>
      <c r="C1209" s="3" t="s">
        <v>1330</v>
      </c>
      <c r="D1209" s="14">
        <v>45752</v>
      </c>
      <c r="E1209" s="5" t="s">
        <v>295</v>
      </c>
      <c r="F1209" s="5" t="s">
        <v>1303</v>
      </c>
      <c r="G1209" s="6" t="s">
        <v>425</v>
      </c>
      <c r="H1209" s="6"/>
      <c r="I1209" s="6"/>
      <c r="J1209" s="6"/>
      <c r="K1209" s="7" t="s">
        <v>1428</v>
      </c>
      <c r="L1209" s="8">
        <v>2059317</v>
      </c>
      <c r="M1209" s="8" t="str">
        <f t="shared" si="102"/>
        <v>PEN</v>
      </c>
      <c r="N1209" s="13"/>
      <c r="O1209" s="13">
        <v>216.88</v>
      </c>
      <c r="P1209" s="3">
        <f t="shared" si="103"/>
        <v>216.88</v>
      </c>
      <c r="Q1209" s="3">
        <f t="shared" si="104"/>
        <v>0</v>
      </c>
      <c r="R1209" s="3">
        <f t="shared" si="100"/>
        <v>24960.78000000005</v>
      </c>
      <c r="S1209" s="24" t="s">
        <v>1334</v>
      </c>
      <c r="T1209" s="24" t="s">
        <v>1334</v>
      </c>
      <c r="U1209" s="53"/>
      <c r="V1209" s="25">
        <f>IFERROR(VLOOKUP(BCP_Soles[[#This Row],[destinatario]],CHOOSE({1,2},Clientes_Proveedores[Razon Social],Clientes_Proveedores[Ruc / Dni]),2,0),"")</f>
        <v>20558226979</v>
      </c>
      <c r="W1209" s="25" t="s">
        <v>1345</v>
      </c>
      <c r="X1209" s="25" t="s">
        <v>2601</v>
      </c>
      <c r="Y1209" s="25"/>
      <c r="Z1209" s="75"/>
      <c r="AA1209" s="3" t="str">
        <f>IF(BCP_Soles[[#This Row],[fecha]]&gt;0,TEXT(BCP_Soles[[#This Row],[fecha]],"mmmm"),0)</f>
        <v>Abril</v>
      </c>
    </row>
    <row r="1210" spans="1:27" ht="60" x14ac:dyDescent="0.3">
      <c r="A1210" s="2">
        <f>IF(BCP_Soles[[#This Row],[tipo_registro]]="R",COUNTIFS($C$1:$C1209,"R")+1,A1209)</f>
        <v>909</v>
      </c>
      <c r="B1210" s="19" t="str">
        <f t="shared" si="101"/>
        <v>B-BCP - Soles</v>
      </c>
      <c r="C1210" s="3" t="s">
        <v>1330</v>
      </c>
      <c r="D1210" s="14">
        <v>45752</v>
      </c>
      <c r="E1210" s="5" t="s">
        <v>295</v>
      </c>
      <c r="F1210" s="5" t="s">
        <v>1303</v>
      </c>
      <c r="G1210" s="6" t="s">
        <v>425</v>
      </c>
      <c r="H1210" s="6"/>
      <c r="I1210" s="6"/>
      <c r="J1210" s="6"/>
      <c r="K1210" s="7" t="s">
        <v>1428</v>
      </c>
      <c r="L1210" s="8">
        <v>2051378</v>
      </c>
      <c r="M1210" s="8" t="str">
        <f t="shared" si="102"/>
        <v>PEN</v>
      </c>
      <c r="N1210" s="13"/>
      <c r="O1210" s="13">
        <v>202.95</v>
      </c>
      <c r="P1210" s="3">
        <f t="shared" si="103"/>
        <v>202.95</v>
      </c>
      <c r="Q1210" s="3">
        <f t="shared" si="104"/>
        <v>0</v>
      </c>
      <c r="R1210" s="3">
        <f t="shared" si="100"/>
        <v>25163.73000000005</v>
      </c>
      <c r="S1210" s="24" t="s">
        <v>1334</v>
      </c>
      <c r="T1210" s="24" t="s">
        <v>1334</v>
      </c>
      <c r="U1210" s="53"/>
      <c r="V1210" s="25">
        <f>IFERROR(VLOOKUP(BCP_Soles[[#This Row],[destinatario]],CHOOSE({1,2},Clientes_Proveedores[Razon Social],Clientes_Proveedores[Ruc / Dni]),2,0),"")</f>
        <v>20558226979</v>
      </c>
      <c r="W1210" s="25" t="s">
        <v>1345</v>
      </c>
      <c r="X1210" s="25" t="s">
        <v>2602</v>
      </c>
      <c r="Y1210" s="25"/>
      <c r="Z1210" s="75"/>
      <c r="AA1210" s="3" t="str">
        <f>IF(BCP_Soles[[#This Row],[fecha]]&gt;0,TEXT(BCP_Soles[[#This Row],[fecha]],"mmmm"),0)</f>
        <v>Abril</v>
      </c>
    </row>
    <row r="1211" spans="1:27" ht="24" x14ac:dyDescent="0.3">
      <c r="A1211" s="2">
        <f>IF(BCP_Soles[[#This Row],[tipo_registro]]="R",COUNTIFS($C$1:$C1210,"R")+1,A1210)</f>
        <v>910</v>
      </c>
      <c r="B1211" s="19" t="str">
        <f t="shared" si="101"/>
        <v>B-BCP - Soles</v>
      </c>
      <c r="C1211" s="3" t="s">
        <v>1330</v>
      </c>
      <c r="D1211" s="14">
        <v>45752</v>
      </c>
      <c r="E1211" s="5" t="s">
        <v>1421</v>
      </c>
      <c r="F1211" s="5" t="s">
        <v>1336</v>
      </c>
      <c r="G1211" s="6" t="s">
        <v>809</v>
      </c>
      <c r="H1211" s="6" t="s">
        <v>143</v>
      </c>
      <c r="I1211" s="6">
        <v>1</v>
      </c>
      <c r="J1211" s="6">
        <v>782025</v>
      </c>
      <c r="K1211" s="7" t="s">
        <v>1356</v>
      </c>
      <c r="L1211" s="8">
        <v>4846827</v>
      </c>
      <c r="M1211" s="8" t="str">
        <f t="shared" si="102"/>
        <v>PEN</v>
      </c>
      <c r="N1211" s="13"/>
      <c r="O1211" s="13">
        <v>500</v>
      </c>
      <c r="P1211" s="3">
        <f t="shared" si="103"/>
        <v>0</v>
      </c>
      <c r="Q1211" s="3">
        <f t="shared" si="104"/>
        <v>500</v>
      </c>
      <c r="R1211" s="3">
        <f t="shared" si="100"/>
        <v>24663.73000000005</v>
      </c>
      <c r="S1211" s="24"/>
      <c r="T1211" s="24" t="s">
        <v>1334</v>
      </c>
      <c r="U1211" s="53"/>
      <c r="V1211" s="25">
        <f>IFERROR(VLOOKUP(BCP_Soles[[#This Row],[destinatario]],CHOOSE({1,2},Clientes_Proveedores[Razon Social],Clientes_Proveedores[Ruc / Dni]),2,0),"")</f>
        <v>45286301</v>
      </c>
      <c r="W1211" s="25"/>
      <c r="X1211" s="25" t="s">
        <v>1430</v>
      </c>
      <c r="Y1211" s="25"/>
      <c r="Z1211" s="75"/>
      <c r="AA1211" s="3" t="str">
        <f>IF(BCP_Soles[[#This Row],[fecha]]&gt;0,TEXT(BCP_Soles[[#This Row],[fecha]],"mmmm"),0)</f>
        <v>Abril</v>
      </c>
    </row>
    <row r="1212" spans="1:27" x14ac:dyDescent="0.3">
      <c r="A1212" s="2">
        <f>IF(BCP_Soles[[#This Row],[tipo_registro]]="R",COUNTIFS($C$1:$C1211,"R")+1,A1211)</f>
        <v>911</v>
      </c>
      <c r="B1212" s="19" t="str">
        <f t="shared" si="101"/>
        <v>B-BCP - Soles</v>
      </c>
      <c r="C1212" s="3" t="s">
        <v>1330</v>
      </c>
      <c r="D1212" s="14">
        <v>45753</v>
      </c>
      <c r="E1212" s="5" t="s">
        <v>1335</v>
      </c>
      <c r="F1212" s="5" t="s">
        <v>1336</v>
      </c>
      <c r="G1212" s="6"/>
      <c r="H1212" s="6"/>
      <c r="I1212" s="6"/>
      <c r="J1212" s="6"/>
      <c r="K1212" s="7" t="s">
        <v>1337</v>
      </c>
      <c r="L1212" s="8"/>
      <c r="M1212" s="8" t="str">
        <f t="shared" si="102"/>
        <v>PEN</v>
      </c>
      <c r="N1212" s="13"/>
      <c r="O1212" s="13">
        <v>0.15</v>
      </c>
      <c r="P1212" s="3">
        <f t="shared" si="103"/>
        <v>0</v>
      </c>
      <c r="Q1212" s="3">
        <f t="shared" si="104"/>
        <v>0.15</v>
      </c>
      <c r="R1212" s="3">
        <f t="shared" si="100"/>
        <v>24663.580000000049</v>
      </c>
      <c r="S1212" s="24"/>
      <c r="T1212" s="24" t="s">
        <v>1334</v>
      </c>
      <c r="U1212" s="53"/>
      <c r="V1212" s="25" t="str">
        <f>IFERROR(VLOOKUP(BCP_Soles[[#This Row],[destinatario]],CHOOSE({1,2},Clientes_Proveedores[Razon Social],Clientes_Proveedores[Ruc / Dni]),2,0),"")</f>
        <v/>
      </c>
      <c r="W1212" s="25"/>
      <c r="X1212" s="25"/>
      <c r="Y1212" s="25"/>
      <c r="Z1212" s="75"/>
      <c r="AA1212" s="3" t="str">
        <f>IF(BCP_Soles[[#This Row],[fecha]]&gt;0,TEXT(BCP_Soles[[#This Row],[fecha]],"mmmm"),0)</f>
        <v>Abril</v>
      </c>
    </row>
    <row r="1213" spans="1:27" ht="24" x14ac:dyDescent="0.3">
      <c r="A1213" s="2">
        <f>IF(BCP_Soles[[#This Row],[tipo_registro]]="R",COUNTIFS($C$1:$C1212,"R")+1,A1212)</f>
        <v>912</v>
      </c>
      <c r="B1213" s="19" t="str">
        <f t="shared" si="101"/>
        <v>B-BCP - Soles</v>
      </c>
      <c r="C1213" s="3" t="s">
        <v>1330</v>
      </c>
      <c r="D1213" s="14">
        <v>45754</v>
      </c>
      <c r="E1213" s="5" t="s">
        <v>332</v>
      </c>
      <c r="F1213" s="5" t="s">
        <v>1303</v>
      </c>
      <c r="G1213" s="6" t="s">
        <v>425</v>
      </c>
      <c r="H1213" s="6"/>
      <c r="I1213" s="6"/>
      <c r="J1213" s="6"/>
      <c r="K1213" s="7" t="s">
        <v>2603</v>
      </c>
      <c r="L1213" s="8">
        <v>2092179</v>
      </c>
      <c r="M1213" s="8" t="str">
        <f t="shared" si="102"/>
        <v>PEN</v>
      </c>
      <c r="N1213" s="13"/>
      <c r="O1213" s="13">
        <v>2071.27</v>
      </c>
      <c r="P1213" s="3">
        <f t="shared" si="103"/>
        <v>2071.27</v>
      </c>
      <c r="Q1213" s="3">
        <f t="shared" si="104"/>
        <v>0</v>
      </c>
      <c r="R1213" s="3">
        <f t="shared" si="100"/>
        <v>26734.850000000049</v>
      </c>
      <c r="S1213" s="24" t="s">
        <v>1334</v>
      </c>
      <c r="T1213" s="24" t="s">
        <v>1334</v>
      </c>
      <c r="U1213" s="53"/>
      <c r="V1213" s="25">
        <f>IFERROR(VLOOKUP(BCP_Soles[[#This Row],[destinatario]],CHOOSE({1,2},Clientes_Proveedores[Razon Social],Clientes_Proveedores[Ruc / Dni]),2,0),"")</f>
        <v>20558226979</v>
      </c>
      <c r="W1213" s="25" t="s">
        <v>1345</v>
      </c>
      <c r="X1213" s="25" t="s">
        <v>2604</v>
      </c>
      <c r="Y1213" s="25"/>
      <c r="Z1213" s="75"/>
      <c r="AA1213" s="3" t="str">
        <f>IF(BCP_Soles[[#This Row],[fecha]]&gt;0,TEXT(BCP_Soles[[#This Row],[fecha]],"mmmm"),0)</f>
        <v>Abril</v>
      </c>
    </row>
    <row r="1214" spans="1:27" ht="24" x14ac:dyDescent="0.3">
      <c r="A1214" s="2">
        <f>IF(BCP_Soles[[#This Row],[tipo_registro]]="R",COUNTIFS($C$1:$C1213,"R")+1,A1213)</f>
        <v>913</v>
      </c>
      <c r="B1214" s="19" t="str">
        <f t="shared" si="101"/>
        <v>B-BCP - Soles</v>
      </c>
      <c r="C1214" s="3" t="s">
        <v>1330</v>
      </c>
      <c r="D1214" s="14">
        <v>45754</v>
      </c>
      <c r="E1214" s="5" t="s">
        <v>1505</v>
      </c>
      <c r="F1214" s="5" t="s">
        <v>1303</v>
      </c>
      <c r="G1214" s="6" t="s">
        <v>425</v>
      </c>
      <c r="H1214" s="6" t="s">
        <v>119</v>
      </c>
      <c r="I1214" s="6">
        <v>2</v>
      </c>
      <c r="J1214" s="6">
        <v>751</v>
      </c>
      <c r="K1214" s="7" t="s">
        <v>1356</v>
      </c>
      <c r="L1214" s="8">
        <v>785893</v>
      </c>
      <c r="M1214" s="8" t="str">
        <f t="shared" si="102"/>
        <v>PEN</v>
      </c>
      <c r="N1214" s="13"/>
      <c r="O1214" s="13">
        <v>1800</v>
      </c>
      <c r="P1214" s="3">
        <f t="shared" si="103"/>
        <v>1800</v>
      </c>
      <c r="Q1214" s="3">
        <f t="shared" si="104"/>
        <v>0</v>
      </c>
      <c r="R1214" s="3">
        <f t="shared" si="100"/>
        <v>28534.850000000049</v>
      </c>
      <c r="S1214" s="24" t="s">
        <v>1334</v>
      </c>
      <c r="T1214" s="24" t="s">
        <v>1334</v>
      </c>
      <c r="U1214" s="53"/>
      <c r="V1214" s="25">
        <f>IFERROR(VLOOKUP(BCP_Soles[[#This Row],[destinatario]],CHOOSE({1,2},Clientes_Proveedores[Razon Social],Clientes_Proveedores[Ruc / Dni]),2,0),"")</f>
        <v>20558226979</v>
      </c>
      <c r="W1214" s="25" t="s">
        <v>1345</v>
      </c>
      <c r="X1214" s="25" t="s">
        <v>2605</v>
      </c>
      <c r="Y1214" s="25"/>
      <c r="Z1214" s="75"/>
      <c r="AA1214" s="3" t="str">
        <f>IF(BCP_Soles[[#This Row],[fecha]]&gt;0,TEXT(BCP_Soles[[#This Row],[fecha]],"mmmm"),0)</f>
        <v>Abril</v>
      </c>
    </row>
    <row r="1215" spans="1:27" ht="24" x14ac:dyDescent="0.3">
      <c r="A1215" s="2">
        <f>IF(BCP_Soles[[#This Row],[tipo_registro]]="R",COUNTIFS($C$1:$C1214,"R")+1,A1214)</f>
        <v>914</v>
      </c>
      <c r="B1215" s="19" t="str">
        <f t="shared" si="101"/>
        <v>B-BCP - Soles</v>
      </c>
      <c r="C1215" s="3" t="s">
        <v>1330</v>
      </c>
      <c r="D1215" s="14">
        <v>45754</v>
      </c>
      <c r="E1215" s="5" t="s">
        <v>2205</v>
      </c>
      <c r="F1215" s="5" t="s">
        <v>1303</v>
      </c>
      <c r="G1215" s="6" t="s">
        <v>425</v>
      </c>
      <c r="H1215" s="6" t="s">
        <v>119</v>
      </c>
      <c r="I1215" s="6">
        <v>1</v>
      </c>
      <c r="J1215" s="6">
        <v>4230</v>
      </c>
      <c r="K1215" s="7" t="s">
        <v>1356</v>
      </c>
      <c r="L1215" s="8">
        <v>1096448</v>
      </c>
      <c r="M1215" s="8" t="str">
        <f t="shared" si="102"/>
        <v>PEN</v>
      </c>
      <c r="N1215" s="13"/>
      <c r="O1215" s="13">
        <v>159.5</v>
      </c>
      <c r="P1215" s="3">
        <f t="shared" si="103"/>
        <v>159.5</v>
      </c>
      <c r="Q1215" s="3">
        <f t="shared" si="104"/>
        <v>0</v>
      </c>
      <c r="R1215" s="3">
        <f t="shared" si="100"/>
        <v>28694.350000000049</v>
      </c>
      <c r="S1215" s="24" t="s">
        <v>1334</v>
      </c>
      <c r="T1215" s="24" t="s">
        <v>1334</v>
      </c>
      <c r="U1215" s="53"/>
      <c r="V1215" s="25">
        <f>IFERROR(VLOOKUP(BCP_Soles[[#This Row],[destinatario]],CHOOSE({1,2},Clientes_Proveedores[Razon Social],Clientes_Proveedores[Ruc / Dni]),2,0),"")</f>
        <v>20558226979</v>
      </c>
      <c r="W1215" s="25" t="s">
        <v>1345</v>
      </c>
      <c r="X1215" s="25" t="s">
        <v>2206</v>
      </c>
      <c r="Y1215" s="25"/>
      <c r="Z1215" s="75"/>
      <c r="AA1215" s="3" t="str">
        <f>IF(BCP_Soles[[#This Row],[fecha]]&gt;0,TEXT(BCP_Soles[[#This Row],[fecha]],"mmmm"),0)</f>
        <v>Abril</v>
      </c>
    </row>
    <row r="1216" spans="1:27" x14ac:dyDescent="0.3">
      <c r="A1216" s="2">
        <f>IF(BCP_Soles[[#This Row],[tipo_registro]]="R",COUNTIFS($C$1:$C1215,"R")+1,A1215)</f>
        <v>915</v>
      </c>
      <c r="B1216" s="19" t="str">
        <f t="shared" si="101"/>
        <v>B-BCP - Soles</v>
      </c>
      <c r="C1216" s="3" t="s">
        <v>1330</v>
      </c>
      <c r="D1216" s="14">
        <v>45754</v>
      </c>
      <c r="E1216" s="5" t="s">
        <v>1335</v>
      </c>
      <c r="F1216" s="5" t="s">
        <v>1336</v>
      </c>
      <c r="G1216" s="6"/>
      <c r="H1216" s="6"/>
      <c r="I1216" s="6"/>
      <c r="J1216" s="6"/>
      <c r="K1216" s="7" t="s">
        <v>1337</v>
      </c>
      <c r="L1216" s="8"/>
      <c r="M1216" s="8" t="str">
        <f t="shared" si="102"/>
        <v>PEN</v>
      </c>
      <c r="N1216" s="13"/>
      <c r="O1216" s="13">
        <v>0.4</v>
      </c>
      <c r="P1216" s="3">
        <f t="shared" si="103"/>
        <v>0</v>
      </c>
      <c r="Q1216" s="3">
        <f t="shared" si="104"/>
        <v>0.4</v>
      </c>
      <c r="R1216" s="3">
        <f t="shared" si="100"/>
        <v>28693.950000000048</v>
      </c>
      <c r="S1216" s="24"/>
      <c r="T1216" s="24" t="s">
        <v>1334</v>
      </c>
      <c r="U1216" s="53"/>
      <c r="V1216" s="25" t="str">
        <f>IFERROR(VLOOKUP(BCP_Soles[[#This Row],[destinatario]],CHOOSE({1,2},Clientes_Proveedores[Razon Social],Clientes_Proveedores[Ruc / Dni]),2,0),"")</f>
        <v/>
      </c>
      <c r="W1216" s="25"/>
      <c r="X1216" s="25"/>
      <c r="Y1216" s="25"/>
      <c r="Z1216" s="75"/>
      <c r="AA1216" s="3" t="str">
        <f>IF(BCP_Soles[[#This Row],[fecha]]&gt;0,TEXT(BCP_Soles[[#This Row],[fecha]],"mmmm"),0)</f>
        <v>Abril</v>
      </c>
    </row>
    <row r="1217" spans="1:27" ht="24" x14ac:dyDescent="0.3">
      <c r="A1217" s="2">
        <f>IF(BCP_Soles[[#This Row],[tipo_registro]]="R",COUNTIFS($C$1:$C1216,"R")+1,A1216)</f>
        <v>916</v>
      </c>
      <c r="B1217" s="19" t="str">
        <f t="shared" si="101"/>
        <v>B-BCP - Soles</v>
      </c>
      <c r="C1217" s="3" t="s">
        <v>1330</v>
      </c>
      <c r="D1217" s="14">
        <v>45754</v>
      </c>
      <c r="E1217" s="5" t="s">
        <v>2269</v>
      </c>
      <c r="F1217" s="5" t="s">
        <v>1336</v>
      </c>
      <c r="G1217" s="6" t="s">
        <v>884</v>
      </c>
      <c r="H1217" s="6" t="s">
        <v>143</v>
      </c>
      <c r="I1217" s="6">
        <v>1</v>
      </c>
      <c r="J1217" s="6">
        <v>282025</v>
      </c>
      <c r="K1217" s="7" t="s">
        <v>2606</v>
      </c>
      <c r="L1217" s="8">
        <v>1207646</v>
      </c>
      <c r="M1217" s="8" t="str">
        <f t="shared" si="102"/>
        <v>PEN</v>
      </c>
      <c r="N1217" s="13"/>
      <c r="O1217" s="13">
        <v>984.5</v>
      </c>
      <c r="P1217" s="3">
        <f t="shared" si="103"/>
        <v>0</v>
      </c>
      <c r="Q1217" s="3">
        <f t="shared" si="104"/>
        <v>984.5</v>
      </c>
      <c r="R1217" s="3">
        <f t="shared" si="100"/>
        <v>27709.450000000048</v>
      </c>
      <c r="S1217" s="24" t="s">
        <v>1334</v>
      </c>
      <c r="T1217" s="24" t="s">
        <v>1334</v>
      </c>
      <c r="U1217" s="53"/>
      <c r="V1217" s="25">
        <f>IFERROR(VLOOKUP(BCP_Soles[[#This Row],[destinatario]],CHOOSE({1,2},Clientes_Proveedores[Razon Social],Clientes_Proveedores[Ruc / Dni]),2,0),"")</f>
        <v>71979355</v>
      </c>
      <c r="W1217" s="25"/>
      <c r="X1217" s="25"/>
      <c r="Y1217" s="25"/>
      <c r="Z1217" s="75"/>
      <c r="AA1217" s="3" t="str">
        <f>IF(BCP_Soles[[#This Row],[fecha]]&gt;0,TEXT(BCP_Soles[[#This Row],[fecha]],"mmmm"),0)</f>
        <v>Abril</v>
      </c>
    </row>
    <row r="1218" spans="1:27" ht="24" x14ac:dyDescent="0.3">
      <c r="A1218" s="2">
        <f>IF(BCP_Soles[[#This Row],[tipo_registro]]="R",COUNTIFS($C$1:$C1217,"R")+1,A1217)</f>
        <v>917</v>
      </c>
      <c r="B1218" s="19" t="str">
        <f t="shared" si="101"/>
        <v>B-BCP - Soles</v>
      </c>
      <c r="C1218" s="3" t="s">
        <v>1330</v>
      </c>
      <c r="D1218" s="14">
        <v>45754</v>
      </c>
      <c r="E1218" s="5" t="s">
        <v>2269</v>
      </c>
      <c r="F1218" s="5" t="s">
        <v>1336</v>
      </c>
      <c r="G1218" s="6" t="s">
        <v>809</v>
      </c>
      <c r="H1218" s="6"/>
      <c r="I1218" s="6"/>
      <c r="J1218" s="6"/>
      <c r="K1218" s="7" t="s">
        <v>2607</v>
      </c>
      <c r="L1218" s="8">
        <v>1163081</v>
      </c>
      <c r="M1218" s="8" t="str">
        <f t="shared" si="102"/>
        <v>PEN</v>
      </c>
      <c r="N1218" s="13"/>
      <c r="O1218" s="13">
        <v>1500</v>
      </c>
      <c r="P1218" s="3">
        <f t="shared" si="103"/>
        <v>0</v>
      </c>
      <c r="Q1218" s="3">
        <f t="shared" si="104"/>
        <v>1500</v>
      </c>
      <c r="R1218" s="3">
        <f t="shared" si="100"/>
        <v>26209.450000000048</v>
      </c>
      <c r="S1218" s="24"/>
      <c r="T1218" s="24"/>
      <c r="U1218" s="53"/>
      <c r="V1218" s="25">
        <f>IFERROR(VLOOKUP(BCP_Soles[[#This Row],[destinatario]],CHOOSE({1,2},Clientes_Proveedores[Razon Social],Clientes_Proveedores[Ruc / Dni]),2,0),"")</f>
        <v>45286301</v>
      </c>
      <c r="W1218" s="25" t="s">
        <v>809</v>
      </c>
      <c r="X1218" s="25"/>
      <c r="Y1218" s="25"/>
      <c r="Z1218" s="75"/>
      <c r="AA1218" s="3" t="str">
        <f>IF(BCP_Soles[[#This Row],[fecha]]&gt;0,TEXT(BCP_Soles[[#This Row],[fecha]],"mmmm"),0)</f>
        <v>Abril</v>
      </c>
    </row>
    <row r="1219" spans="1:27" x14ac:dyDescent="0.3">
      <c r="A1219" s="2">
        <f>IF(BCP_Soles[[#This Row],[tipo_registro]]="R",COUNTIFS($C$1:$C1218,"R")+1,A1218)</f>
        <v>918</v>
      </c>
      <c r="B1219" s="19" t="str">
        <f t="shared" si="101"/>
        <v>B-BCP - Soles</v>
      </c>
      <c r="C1219" s="3" t="s">
        <v>1330</v>
      </c>
      <c r="D1219" s="14">
        <v>45754</v>
      </c>
      <c r="E1219" s="5" t="s">
        <v>2269</v>
      </c>
      <c r="F1219" s="5" t="s">
        <v>1336</v>
      </c>
      <c r="G1219" s="6" t="s">
        <v>696</v>
      </c>
      <c r="H1219" s="6"/>
      <c r="I1219" s="6"/>
      <c r="J1219" s="6"/>
      <c r="K1219" s="7" t="s">
        <v>2608</v>
      </c>
      <c r="L1219" s="8">
        <v>1748686</v>
      </c>
      <c r="M1219" s="8" t="str">
        <f t="shared" si="102"/>
        <v>PEN</v>
      </c>
      <c r="N1219" s="13"/>
      <c r="O1219" s="13">
        <v>4609.1499999999996</v>
      </c>
      <c r="P1219" s="3">
        <f t="shared" si="103"/>
        <v>0</v>
      </c>
      <c r="Q1219" s="3">
        <f t="shared" si="104"/>
        <v>4609.1499999999996</v>
      </c>
      <c r="R1219" s="3">
        <f t="shared" si="100"/>
        <v>21600.300000000047</v>
      </c>
      <c r="S1219" s="24" t="s">
        <v>1334</v>
      </c>
      <c r="T1219" s="24" t="s">
        <v>1334</v>
      </c>
      <c r="U1219" s="53"/>
      <c r="V1219" s="25">
        <f>IFERROR(VLOOKUP(BCP_Soles[[#This Row],[destinatario]],CHOOSE({1,2},Clientes_Proveedores[Razon Social],Clientes_Proveedores[Ruc / Dni]),2,0),"")</f>
        <v>0</v>
      </c>
      <c r="W1219" s="25" t="s">
        <v>1373</v>
      </c>
      <c r="X1219" s="25"/>
      <c r="Y1219" s="25"/>
      <c r="Z1219" s="75"/>
      <c r="AA1219" s="3" t="str">
        <f>IF(BCP_Soles[[#This Row],[fecha]]&gt;0,TEXT(BCP_Soles[[#This Row],[fecha]],"mmmm"),0)</f>
        <v>Abril</v>
      </c>
    </row>
    <row r="1220" spans="1:27" ht="24" x14ac:dyDescent="0.3">
      <c r="A1220" s="2">
        <f>IF(BCP_Soles[[#This Row],[tipo_registro]]="R",COUNTIFS($C$1:$C1219,"R")+1,A1219)</f>
        <v>918</v>
      </c>
      <c r="B1220" s="19" t="str">
        <f t="shared" si="101"/>
        <v>B-BCP - Soles</v>
      </c>
      <c r="C1220" s="3" t="s">
        <v>1352</v>
      </c>
      <c r="D1220" s="14">
        <v>45754</v>
      </c>
      <c r="E1220" s="5" t="s">
        <v>2269</v>
      </c>
      <c r="F1220" s="5"/>
      <c r="G1220" s="6" t="s">
        <v>187</v>
      </c>
      <c r="H1220" s="6" t="s">
        <v>68</v>
      </c>
      <c r="I1220" s="6" t="s">
        <v>1376</v>
      </c>
      <c r="J1220" s="6">
        <v>335</v>
      </c>
      <c r="K1220" s="7" t="s">
        <v>2608</v>
      </c>
      <c r="L1220" s="8">
        <v>1748686</v>
      </c>
      <c r="M1220" s="8" t="str">
        <f t="shared" si="102"/>
        <v>PEN</v>
      </c>
      <c r="N1220" s="13">
        <v>90</v>
      </c>
      <c r="O1220" s="13"/>
      <c r="P1220" s="3">
        <f t="shared" si="103"/>
        <v>0</v>
      </c>
      <c r="Q1220" s="3">
        <f t="shared" si="104"/>
        <v>0</v>
      </c>
      <c r="R1220" s="3">
        <f t="shared" si="100"/>
        <v>21600.300000000047</v>
      </c>
      <c r="S1220" s="24"/>
      <c r="T1220" s="24" t="s">
        <v>1334</v>
      </c>
      <c r="U1220" s="53"/>
      <c r="V1220" s="25">
        <f>IFERROR(VLOOKUP(BCP_Soles[[#This Row],[destinatario]],CHOOSE({1,2},Clientes_Proveedores[Razon Social],Clientes_Proveedores[Ruc / Dni]),2,0),"")</f>
        <v>10706063426</v>
      </c>
      <c r="W1220" s="25"/>
      <c r="X1220" s="25"/>
      <c r="Y1220" s="25"/>
      <c r="Z1220" s="75"/>
      <c r="AA1220" s="3" t="str">
        <f>IF(BCP_Soles[[#This Row],[fecha]]&gt;0,TEXT(BCP_Soles[[#This Row],[fecha]],"mmmm"),0)</f>
        <v>Abril</v>
      </c>
    </row>
    <row r="1221" spans="1:27" ht="24" x14ac:dyDescent="0.3">
      <c r="A1221" s="2">
        <f>IF(BCP_Soles[[#This Row],[tipo_registro]]="R",COUNTIFS($C$1:$C1220,"R")+1,A1220)</f>
        <v>918</v>
      </c>
      <c r="B1221" s="19" t="str">
        <f t="shared" si="101"/>
        <v>B-BCP - Soles</v>
      </c>
      <c r="C1221" s="3" t="s">
        <v>1352</v>
      </c>
      <c r="D1221" s="14">
        <v>45754</v>
      </c>
      <c r="E1221" s="5" t="s">
        <v>2269</v>
      </c>
      <c r="F1221" s="5"/>
      <c r="G1221" s="6" t="s">
        <v>187</v>
      </c>
      <c r="H1221" s="6" t="s">
        <v>68</v>
      </c>
      <c r="I1221" s="6" t="s">
        <v>1376</v>
      </c>
      <c r="J1221" s="6">
        <v>322</v>
      </c>
      <c r="K1221" s="7" t="s">
        <v>2608</v>
      </c>
      <c r="L1221" s="8">
        <v>1748686</v>
      </c>
      <c r="M1221" s="8" t="str">
        <f t="shared" si="102"/>
        <v>PEN</v>
      </c>
      <c r="N1221" s="13">
        <v>110</v>
      </c>
      <c r="O1221" s="13"/>
      <c r="P1221" s="3">
        <f t="shared" si="103"/>
        <v>0</v>
      </c>
      <c r="Q1221" s="3">
        <f t="shared" si="104"/>
        <v>0</v>
      </c>
      <c r="R1221" s="3">
        <f t="shared" si="100"/>
        <v>21600.300000000047</v>
      </c>
      <c r="S1221" s="24"/>
      <c r="T1221" s="24" t="s">
        <v>1334</v>
      </c>
      <c r="U1221" s="53"/>
      <c r="V1221" s="25">
        <f>IFERROR(VLOOKUP(BCP_Soles[[#This Row],[destinatario]],CHOOSE({1,2},Clientes_Proveedores[Razon Social],Clientes_Proveedores[Ruc / Dni]),2,0),"")</f>
        <v>10706063426</v>
      </c>
      <c r="W1221" s="25"/>
      <c r="X1221" s="25"/>
      <c r="Y1221" s="25"/>
      <c r="Z1221" s="75"/>
      <c r="AA1221" s="3" t="str">
        <f>IF(BCP_Soles[[#This Row],[fecha]]&gt;0,TEXT(BCP_Soles[[#This Row],[fecha]],"mmmm"),0)</f>
        <v>Abril</v>
      </c>
    </row>
    <row r="1222" spans="1:27" ht="24" x14ac:dyDescent="0.3">
      <c r="A1222" s="2">
        <f>IF(BCP_Soles[[#This Row],[tipo_registro]]="R",COUNTIFS($C$1:$C1221,"R")+1,A1221)</f>
        <v>918</v>
      </c>
      <c r="B1222" s="19" t="str">
        <f t="shared" si="101"/>
        <v>B-BCP - Soles</v>
      </c>
      <c r="C1222" s="3" t="s">
        <v>1352</v>
      </c>
      <c r="D1222" s="14">
        <v>45754</v>
      </c>
      <c r="E1222" s="5" t="s">
        <v>2269</v>
      </c>
      <c r="F1222" s="5"/>
      <c r="G1222" s="6" t="s">
        <v>187</v>
      </c>
      <c r="H1222" s="6" t="s">
        <v>68</v>
      </c>
      <c r="I1222" s="6" t="s">
        <v>1376</v>
      </c>
      <c r="J1222" s="6">
        <v>307</v>
      </c>
      <c r="K1222" s="7" t="s">
        <v>2608</v>
      </c>
      <c r="L1222" s="8">
        <v>1748686</v>
      </c>
      <c r="M1222" s="8" t="str">
        <f t="shared" si="102"/>
        <v>PEN</v>
      </c>
      <c r="N1222" s="13">
        <v>80</v>
      </c>
      <c r="O1222" s="13"/>
      <c r="P1222" s="3">
        <f t="shared" si="103"/>
        <v>0</v>
      </c>
      <c r="Q1222" s="3">
        <f t="shared" si="104"/>
        <v>0</v>
      </c>
      <c r="R1222" s="3">
        <f t="shared" si="100"/>
        <v>21600.300000000047</v>
      </c>
      <c r="S1222" s="24"/>
      <c r="T1222" s="24" t="s">
        <v>1334</v>
      </c>
      <c r="U1222" s="53"/>
      <c r="V1222" s="25">
        <f>IFERROR(VLOOKUP(BCP_Soles[[#This Row],[destinatario]],CHOOSE({1,2},Clientes_Proveedores[Razon Social],Clientes_Proveedores[Ruc / Dni]),2,0),"")</f>
        <v>10706063426</v>
      </c>
      <c r="W1222" s="25"/>
      <c r="X1222" s="25"/>
      <c r="Y1222" s="25"/>
      <c r="Z1222" s="75"/>
      <c r="AA1222" s="3" t="str">
        <f>IF(BCP_Soles[[#This Row],[fecha]]&gt;0,TEXT(BCP_Soles[[#This Row],[fecha]],"mmmm"),0)</f>
        <v>Abril</v>
      </c>
    </row>
    <row r="1223" spans="1:27" ht="24" x14ac:dyDescent="0.3">
      <c r="A1223" s="2">
        <f>IF(BCP_Soles[[#This Row],[tipo_registro]]="R",COUNTIFS($C$1:$C1222,"R")+1,A1222)</f>
        <v>918</v>
      </c>
      <c r="B1223" s="19" t="str">
        <f t="shared" si="101"/>
        <v>B-BCP - Soles</v>
      </c>
      <c r="C1223" s="3" t="s">
        <v>1352</v>
      </c>
      <c r="D1223" s="14">
        <v>45754</v>
      </c>
      <c r="E1223" s="5" t="s">
        <v>2269</v>
      </c>
      <c r="F1223" s="5"/>
      <c r="G1223" s="6" t="s">
        <v>176</v>
      </c>
      <c r="H1223" s="6" t="s">
        <v>68</v>
      </c>
      <c r="I1223" s="6" t="s">
        <v>1376</v>
      </c>
      <c r="J1223" s="6">
        <v>306</v>
      </c>
      <c r="K1223" s="7" t="s">
        <v>2608</v>
      </c>
      <c r="L1223" s="8">
        <v>1748686</v>
      </c>
      <c r="M1223" s="8" t="str">
        <f t="shared" si="102"/>
        <v>PEN</v>
      </c>
      <c r="N1223" s="13">
        <v>566</v>
      </c>
      <c r="O1223" s="13"/>
      <c r="P1223" s="3">
        <f t="shared" si="103"/>
        <v>0</v>
      </c>
      <c r="Q1223" s="3">
        <f t="shared" si="104"/>
        <v>0</v>
      </c>
      <c r="R1223" s="3">
        <f t="shared" si="100"/>
        <v>21600.300000000047</v>
      </c>
      <c r="S1223" s="24"/>
      <c r="T1223" s="24" t="s">
        <v>1334</v>
      </c>
      <c r="U1223" s="53"/>
      <c r="V1223" s="25">
        <f>IFERROR(VLOOKUP(BCP_Soles[[#This Row],[destinatario]],CHOOSE({1,2},Clientes_Proveedores[Razon Social],Clientes_Proveedores[Ruc / Dni]),2,0),"")</f>
        <v>10470065147</v>
      </c>
      <c r="W1223" s="25"/>
      <c r="X1223" s="25"/>
      <c r="Y1223" s="25"/>
      <c r="Z1223" s="75"/>
      <c r="AA1223" s="3" t="str">
        <f>IF(BCP_Soles[[#This Row],[fecha]]&gt;0,TEXT(BCP_Soles[[#This Row],[fecha]],"mmmm"),0)</f>
        <v>Abril</v>
      </c>
    </row>
    <row r="1224" spans="1:27" ht="24" x14ac:dyDescent="0.3">
      <c r="A1224" s="2">
        <f>IF(BCP_Soles[[#This Row],[tipo_registro]]="R",COUNTIFS($C$1:$C1223,"R")+1,A1223)</f>
        <v>918</v>
      </c>
      <c r="B1224" s="19" t="str">
        <f t="shared" si="101"/>
        <v>B-BCP - Soles</v>
      </c>
      <c r="C1224" s="3" t="s">
        <v>1352</v>
      </c>
      <c r="D1224" s="14">
        <v>45754</v>
      </c>
      <c r="E1224" s="5" t="s">
        <v>2269</v>
      </c>
      <c r="F1224" s="5"/>
      <c r="G1224" s="6" t="s">
        <v>176</v>
      </c>
      <c r="H1224" s="6" t="s">
        <v>68</v>
      </c>
      <c r="I1224" s="6" t="s">
        <v>1376</v>
      </c>
      <c r="J1224" s="6">
        <v>339</v>
      </c>
      <c r="K1224" s="7" t="s">
        <v>2608</v>
      </c>
      <c r="L1224" s="8">
        <v>1748686</v>
      </c>
      <c r="M1224" s="8" t="str">
        <f t="shared" si="102"/>
        <v>PEN</v>
      </c>
      <c r="N1224" s="13">
        <v>510</v>
      </c>
      <c r="O1224" s="13"/>
      <c r="P1224" s="3">
        <f t="shared" si="103"/>
        <v>0</v>
      </c>
      <c r="Q1224" s="3">
        <f t="shared" si="104"/>
        <v>0</v>
      </c>
      <c r="R1224" s="3">
        <f t="shared" si="100"/>
        <v>21600.300000000047</v>
      </c>
      <c r="S1224" s="24"/>
      <c r="T1224" s="24" t="s">
        <v>1334</v>
      </c>
      <c r="U1224" s="53"/>
      <c r="V1224" s="25">
        <f>IFERROR(VLOOKUP(BCP_Soles[[#This Row],[destinatario]],CHOOSE({1,2},Clientes_Proveedores[Razon Social],Clientes_Proveedores[Ruc / Dni]),2,0),"")</f>
        <v>10470065147</v>
      </c>
      <c r="W1224" s="25"/>
      <c r="X1224" s="25"/>
      <c r="Y1224" s="25"/>
      <c r="Z1224" s="75"/>
      <c r="AA1224" s="3" t="str">
        <f>IF(BCP_Soles[[#This Row],[fecha]]&gt;0,TEXT(BCP_Soles[[#This Row],[fecha]],"mmmm"),0)</f>
        <v>Abril</v>
      </c>
    </row>
    <row r="1225" spans="1:27" ht="24" x14ac:dyDescent="0.3">
      <c r="A1225" s="2">
        <f>IF(BCP_Soles[[#This Row],[tipo_registro]]="R",COUNTIFS($C$1:$C1224,"R")+1,A1224)</f>
        <v>918</v>
      </c>
      <c r="B1225" s="19" t="str">
        <f t="shared" si="101"/>
        <v>B-BCP - Soles</v>
      </c>
      <c r="C1225" s="3" t="s">
        <v>1352</v>
      </c>
      <c r="D1225" s="14">
        <v>45754</v>
      </c>
      <c r="E1225" s="5" t="s">
        <v>2269</v>
      </c>
      <c r="F1225" s="5"/>
      <c r="G1225" s="6" t="s">
        <v>503</v>
      </c>
      <c r="H1225" s="6" t="s">
        <v>68</v>
      </c>
      <c r="I1225" s="6" t="s">
        <v>1376</v>
      </c>
      <c r="J1225" s="6">
        <v>646</v>
      </c>
      <c r="K1225" s="7" t="s">
        <v>2608</v>
      </c>
      <c r="L1225" s="8">
        <v>1748686</v>
      </c>
      <c r="M1225" s="8" t="str">
        <f t="shared" si="102"/>
        <v>PEN</v>
      </c>
      <c r="N1225" s="13">
        <v>120</v>
      </c>
      <c r="O1225" s="13"/>
      <c r="P1225" s="3">
        <f t="shared" si="103"/>
        <v>0</v>
      </c>
      <c r="Q1225" s="3">
        <f t="shared" si="104"/>
        <v>0</v>
      </c>
      <c r="R1225" s="3">
        <f t="shared" ref="R1225:R1288" si="105">IFERROR(IF(F1225="SALDO",P1225,R1224+P1225-Q1225),0)</f>
        <v>21600.300000000047</v>
      </c>
      <c r="S1225" s="24"/>
      <c r="T1225" s="24" t="s">
        <v>1334</v>
      </c>
      <c r="U1225" s="53"/>
      <c r="V1225" s="25">
        <f>IFERROR(VLOOKUP(BCP_Soles[[#This Row],[destinatario]],CHOOSE({1,2},Clientes_Proveedores[Razon Social],Clientes_Proveedores[Ruc / Dni]),2,0),"")</f>
        <v>20603001461</v>
      </c>
      <c r="W1225" s="25"/>
      <c r="X1225" s="25"/>
      <c r="Y1225" s="25"/>
      <c r="Z1225" s="75"/>
      <c r="AA1225" s="3" t="str">
        <f>IF(BCP_Soles[[#This Row],[fecha]]&gt;0,TEXT(BCP_Soles[[#This Row],[fecha]],"mmmm"),0)</f>
        <v>Abril</v>
      </c>
    </row>
    <row r="1226" spans="1:27" ht="36" x14ac:dyDescent="0.3">
      <c r="A1226" s="2">
        <f>IF(BCP_Soles[[#This Row],[tipo_registro]]="R",COUNTIFS($C$1:$C1225,"R")+1,A1225)</f>
        <v>918</v>
      </c>
      <c r="B1226" s="19" t="str">
        <f t="shared" si="101"/>
        <v>B-BCP - Soles</v>
      </c>
      <c r="C1226" s="3" t="s">
        <v>1352</v>
      </c>
      <c r="D1226" s="14">
        <v>45754</v>
      </c>
      <c r="E1226" s="5" t="s">
        <v>2269</v>
      </c>
      <c r="F1226" s="5"/>
      <c r="G1226" s="6" t="s">
        <v>569</v>
      </c>
      <c r="H1226" s="6" t="s">
        <v>68</v>
      </c>
      <c r="I1226" s="6" t="s">
        <v>1376</v>
      </c>
      <c r="J1226" s="6">
        <v>610</v>
      </c>
      <c r="K1226" s="7" t="s">
        <v>2608</v>
      </c>
      <c r="L1226" s="8">
        <v>1748686</v>
      </c>
      <c r="M1226" s="8" t="str">
        <f t="shared" si="102"/>
        <v>PEN</v>
      </c>
      <c r="N1226" s="13">
        <v>680</v>
      </c>
      <c r="O1226" s="13"/>
      <c r="P1226" s="3">
        <f t="shared" si="103"/>
        <v>0</v>
      </c>
      <c r="Q1226" s="3">
        <f t="shared" si="104"/>
        <v>0</v>
      </c>
      <c r="R1226" s="3">
        <f t="shared" si="105"/>
        <v>21600.300000000047</v>
      </c>
      <c r="S1226" s="24"/>
      <c r="T1226" s="24" t="s">
        <v>1334</v>
      </c>
      <c r="U1226" s="53"/>
      <c r="V1226" s="25">
        <f>IFERROR(VLOOKUP(BCP_Soles[[#This Row],[destinatario]],CHOOSE({1,2},Clientes_Proveedores[Razon Social],Clientes_Proveedores[Ruc / Dni]),2,0),"")</f>
        <v>20608686747</v>
      </c>
      <c r="W1226" s="25"/>
      <c r="X1226" s="25"/>
      <c r="Y1226" s="25"/>
      <c r="Z1226" s="75"/>
      <c r="AA1226" s="3" t="str">
        <f>IF(BCP_Soles[[#This Row],[fecha]]&gt;0,TEXT(BCP_Soles[[#This Row],[fecha]],"mmmm"),0)</f>
        <v>Abril</v>
      </c>
    </row>
    <row r="1227" spans="1:27" ht="24" x14ac:dyDescent="0.3">
      <c r="A1227" s="2">
        <f>IF(BCP_Soles[[#This Row],[tipo_registro]]="R",COUNTIFS($C$1:$C1226,"R")+1,A1226)</f>
        <v>918</v>
      </c>
      <c r="B1227" s="19" t="str">
        <f t="shared" si="101"/>
        <v>B-BCP - Soles</v>
      </c>
      <c r="C1227" s="3" t="s">
        <v>1352</v>
      </c>
      <c r="D1227" s="14">
        <v>45754</v>
      </c>
      <c r="E1227" s="5" t="s">
        <v>2269</v>
      </c>
      <c r="F1227" s="5"/>
      <c r="G1227" s="6" t="s">
        <v>667</v>
      </c>
      <c r="H1227" s="6" t="s">
        <v>68</v>
      </c>
      <c r="I1227" s="6" t="s">
        <v>1376</v>
      </c>
      <c r="J1227" s="6">
        <v>5</v>
      </c>
      <c r="K1227" s="7" t="s">
        <v>2608</v>
      </c>
      <c r="L1227" s="8">
        <v>1748686</v>
      </c>
      <c r="M1227" s="8" t="str">
        <f t="shared" si="102"/>
        <v>PEN</v>
      </c>
      <c r="N1227" s="13">
        <v>510</v>
      </c>
      <c r="O1227" s="13"/>
      <c r="P1227" s="3">
        <f t="shared" si="103"/>
        <v>0</v>
      </c>
      <c r="Q1227" s="3">
        <f t="shared" si="104"/>
        <v>0</v>
      </c>
      <c r="R1227" s="3">
        <f t="shared" si="105"/>
        <v>21600.300000000047</v>
      </c>
      <c r="S1227" s="24"/>
      <c r="T1227" s="24" t="s">
        <v>1334</v>
      </c>
      <c r="U1227" s="53"/>
      <c r="V1227" s="25">
        <f>IFERROR(VLOOKUP(BCP_Soles[[#This Row],[destinatario]],CHOOSE({1,2},Clientes_Proveedores[Razon Social],Clientes_Proveedores[Ruc / Dni]),2,0),"")</f>
        <v>10410687491</v>
      </c>
      <c r="W1227" s="25"/>
      <c r="X1227" s="25"/>
      <c r="Y1227" s="25"/>
      <c r="Z1227" s="75"/>
      <c r="AA1227" s="3" t="str">
        <f>IF(BCP_Soles[[#This Row],[fecha]]&gt;0,TEXT(BCP_Soles[[#This Row],[fecha]],"mmmm"),0)</f>
        <v>Abril</v>
      </c>
    </row>
    <row r="1228" spans="1:27" ht="24" x14ac:dyDescent="0.3">
      <c r="A1228" s="2">
        <f>IF(BCP_Soles[[#This Row],[tipo_registro]]="R",COUNTIFS($C$1:$C1227,"R")+1,A1227)</f>
        <v>918</v>
      </c>
      <c r="B1228" s="19" t="str">
        <f t="shared" si="101"/>
        <v>B-BCP - Soles</v>
      </c>
      <c r="C1228" s="3" t="s">
        <v>1352</v>
      </c>
      <c r="D1228" s="14">
        <v>45754</v>
      </c>
      <c r="E1228" s="5" t="s">
        <v>2269</v>
      </c>
      <c r="F1228" s="5"/>
      <c r="G1228" s="6" t="s">
        <v>667</v>
      </c>
      <c r="H1228" s="6" t="s">
        <v>68</v>
      </c>
      <c r="I1228" s="6" t="s">
        <v>1376</v>
      </c>
      <c r="J1228" s="6">
        <v>9</v>
      </c>
      <c r="K1228" s="7" t="s">
        <v>2608</v>
      </c>
      <c r="L1228" s="8">
        <v>1748686</v>
      </c>
      <c r="M1228" s="8" t="str">
        <f t="shared" si="102"/>
        <v>PEN</v>
      </c>
      <c r="N1228" s="13">
        <v>510</v>
      </c>
      <c r="O1228" s="13"/>
      <c r="P1228" s="3">
        <f t="shared" si="103"/>
        <v>0</v>
      </c>
      <c r="Q1228" s="3">
        <f t="shared" si="104"/>
        <v>0</v>
      </c>
      <c r="R1228" s="3">
        <f t="shared" si="105"/>
        <v>21600.300000000047</v>
      </c>
      <c r="S1228" s="24"/>
      <c r="T1228" s="24" t="s">
        <v>1334</v>
      </c>
      <c r="U1228" s="53"/>
      <c r="V1228" s="25">
        <f>IFERROR(VLOOKUP(BCP_Soles[[#This Row],[destinatario]],CHOOSE({1,2},Clientes_Proveedores[Razon Social],Clientes_Proveedores[Ruc / Dni]),2,0),"")</f>
        <v>10410687491</v>
      </c>
      <c r="W1228" s="25"/>
      <c r="X1228" s="25"/>
      <c r="Y1228" s="25"/>
      <c r="Z1228" s="75"/>
      <c r="AA1228" s="3" t="str">
        <f>IF(BCP_Soles[[#This Row],[fecha]]&gt;0,TEXT(BCP_Soles[[#This Row],[fecha]],"mmmm"),0)</f>
        <v>Abril</v>
      </c>
    </row>
    <row r="1229" spans="1:27" ht="24" x14ac:dyDescent="0.3">
      <c r="A1229" s="2">
        <f>IF(BCP_Soles[[#This Row],[tipo_registro]]="R",COUNTIFS($C$1:$C1228,"R")+1,A1228)</f>
        <v>918</v>
      </c>
      <c r="B1229" s="19" t="str">
        <f t="shared" si="101"/>
        <v>B-BCP - Soles</v>
      </c>
      <c r="C1229" s="3" t="s">
        <v>1352</v>
      </c>
      <c r="D1229" s="14">
        <v>45754</v>
      </c>
      <c r="E1229" s="5" t="s">
        <v>2269</v>
      </c>
      <c r="F1229" s="5"/>
      <c r="G1229" s="6" t="s">
        <v>594</v>
      </c>
      <c r="H1229" s="6" t="s">
        <v>68</v>
      </c>
      <c r="I1229" s="6" t="s">
        <v>1376</v>
      </c>
      <c r="J1229" s="6">
        <v>2055</v>
      </c>
      <c r="K1229" s="7" t="s">
        <v>2608</v>
      </c>
      <c r="L1229" s="8">
        <v>1748686</v>
      </c>
      <c r="M1229" s="8" t="str">
        <f t="shared" si="102"/>
        <v>PEN</v>
      </c>
      <c r="N1229" s="13">
        <v>106.2</v>
      </c>
      <c r="O1229" s="13"/>
      <c r="P1229" s="3">
        <f t="shared" si="103"/>
        <v>0</v>
      </c>
      <c r="Q1229" s="3">
        <f t="shared" si="104"/>
        <v>0</v>
      </c>
      <c r="R1229" s="3">
        <f t="shared" si="105"/>
        <v>21600.300000000047</v>
      </c>
      <c r="S1229" s="24"/>
      <c r="T1229" s="24" t="s">
        <v>1334</v>
      </c>
      <c r="U1229" s="53"/>
      <c r="V1229" s="25">
        <f>IFERROR(VLOOKUP(BCP_Soles[[#This Row],[destinatario]],CHOOSE({1,2},Clientes_Proveedores[Razon Social],Clientes_Proveedores[Ruc / Dni]),2,0),"")</f>
        <v>20609764261</v>
      </c>
      <c r="W1229" s="25"/>
      <c r="X1229" s="25"/>
      <c r="Y1229" s="25"/>
      <c r="Z1229" s="75"/>
      <c r="AA1229" s="3" t="str">
        <f>IF(BCP_Soles[[#This Row],[fecha]]&gt;0,TEXT(BCP_Soles[[#This Row],[fecha]],"mmmm"),0)</f>
        <v>Abril</v>
      </c>
    </row>
    <row r="1230" spans="1:27" ht="24" x14ac:dyDescent="0.3">
      <c r="A1230" s="2">
        <f>IF(BCP_Soles[[#This Row],[tipo_registro]]="R",COUNTIFS($C$1:$C1229,"R")+1,A1229)</f>
        <v>918</v>
      </c>
      <c r="B1230" s="19" t="str">
        <f t="shared" si="101"/>
        <v>B-BCP - Soles</v>
      </c>
      <c r="C1230" s="3" t="s">
        <v>1352</v>
      </c>
      <c r="D1230" s="14">
        <v>45754</v>
      </c>
      <c r="E1230" s="5" t="s">
        <v>2269</v>
      </c>
      <c r="F1230" s="5"/>
      <c r="G1230" s="6" t="s">
        <v>594</v>
      </c>
      <c r="H1230" s="6" t="s">
        <v>68</v>
      </c>
      <c r="I1230" s="6" t="s">
        <v>1376</v>
      </c>
      <c r="J1230" s="6">
        <v>2056</v>
      </c>
      <c r="K1230" s="7" t="s">
        <v>2608</v>
      </c>
      <c r="L1230" s="8">
        <v>1748686</v>
      </c>
      <c r="M1230" s="8" t="str">
        <f t="shared" si="102"/>
        <v>PEN</v>
      </c>
      <c r="N1230" s="13">
        <v>106.2</v>
      </c>
      <c r="O1230" s="13"/>
      <c r="P1230" s="3">
        <f t="shared" si="103"/>
        <v>0</v>
      </c>
      <c r="Q1230" s="3">
        <f t="shared" si="104"/>
        <v>0</v>
      </c>
      <c r="R1230" s="3">
        <f t="shared" si="105"/>
        <v>21600.300000000047</v>
      </c>
      <c r="S1230" s="24"/>
      <c r="T1230" s="24" t="s">
        <v>1334</v>
      </c>
      <c r="U1230" s="53"/>
      <c r="V1230" s="25">
        <f>IFERROR(VLOOKUP(BCP_Soles[[#This Row],[destinatario]],CHOOSE({1,2},Clientes_Proveedores[Razon Social],Clientes_Proveedores[Ruc / Dni]),2,0),"")</f>
        <v>20609764261</v>
      </c>
      <c r="W1230" s="25"/>
      <c r="X1230" s="25"/>
      <c r="Y1230" s="25"/>
      <c r="Z1230" s="75"/>
      <c r="AA1230" s="3" t="str">
        <f>IF(BCP_Soles[[#This Row],[fecha]]&gt;0,TEXT(BCP_Soles[[#This Row],[fecha]],"mmmm"),0)</f>
        <v>Abril</v>
      </c>
    </row>
    <row r="1231" spans="1:27" x14ac:dyDescent="0.3">
      <c r="A1231" s="2">
        <f>IF(BCP_Soles[[#This Row],[tipo_registro]]="R",COUNTIFS($C$1:$C1230,"R")+1,A1230)</f>
        <v>918</v>
      </c>
      <c r="B1231" s="19" t="str">
        <f t="shared" si="101"/>
        <v>B-BCP - Soles</v>
      </c>
      <c r="C1231" s="3" t="s">
        <v>1352</v>
      </c>
      <c r="D1231" s="14">
        <v>45754</v>
      </c>
      <c r="E1231" s="5" t="s">
        <v>2269</v>
      </c>
      <c r="F1231" s="5"/>
      <c r="G1231" s="6" t="s">
        <v>522</v>
      </c>
      <c r="H1231" s="6" t="s">
        <v>68</v>
      </c>
      <c r="I1231" s="6" t="s">
        <v>1376</v>
      </c>
      <c r="J1231" s="6">
        <v>3771</v>
      </c>
      <c r="K1231" s="7" t="s">
        <v>2608</v>
      </c>
      <c r="L1231" s="8">
        <v>1748686</v>
      </c>
      <c r="M1231" s="8" t="str">
        <f t="shared" si="102"/>
        <v>PEN</v>
      </c>
      <c r="N1231" s="13">
        <v>250.75</v>
      </c>
      <c r="O1231" s="13"/>
      <c r="P1231" s="3">
        <f t="shared" si="103"/>
        <v>0</v>
      </c>
      <c r="Q1231" s="3">
        <f t="shared" si="104"/>
        <v>0</v>
      </c>
      <c r="R1231" s="3">
        <f t="shared" si="105"/>
        <v>21600.300000000047</v>
      </c>
      <c r="S1231" s="24"/>
      <c r="T1231" s="24" t="s">
        <v>1334</v>
      </c>
      <c r="U1231" s="53"/>
      <c r="V1231" s="25">
        <f>IFERROR(VLOOKUP(BCP_Soles[[#This Row],[destinatario]],CHOOSE({1,2},Clientes_Proveedores[Razon Social],Clientes_Proveedores[Ruc / Dni]),2,0),"")</f>
        <v>20603974817</v>
      </c>
      <c r="W1231" s="25"/>
      <c r="X1231" s="25"/>
      <c r="Y1231" s="25"/>
      <c r="Z1231" s="75"/>
      <c r="AA1231" s="3" t="str">
        <f>IF(BCP_Soles[[#This Row],[fecha]]&gt;0,TEXT(BCP_Soles[[#This Row],[fecha]],"mmmm"),0)</f>
        <v>Abril</v>
      </c>
    </row>
    <row r="1232" spans="1:27" ht="24" x14ac:dyDescent="0.3">
      <c r="A1232" s="2">
        <f>IF(BCP_Soles[[#This Row],[tipo_registro]]="R",COUNTIFS($C$1:$C1231,"R")+1,A1231)</f>
        <v>918</v>
      </c>
      <c r="B1232" s="19" t="str">
        <f t="shared" si="101"/>
        <v>B-BCP - Soles</v>
      </c>
      <c r="C1232" s="3" t="s">
        <v>1352</v>
      </c>
      <c r="D1232" s="14">
        <v>45754</v>
      </c>
      <c r="E1232" s="5" t="s">
        <v>2269</v>
      </c>
      <c r="F1232" s="5"/>
      <c r="G1232" s="6" t="s">
        <v>594</v>
      </c>
      <c r="H1232" s="6" t="s">
        <v>68</v>
      </c>
      <c r="I1232" s="6" t="s">
        <v>1376</v>
      </c>
      <c r="J1232" s="6">
        <v>2054</v>
      </c>
      <c r="K1232" s="7" t="s">
        <v>2608</v>
      </c>
      <c r="L1232" s="8">
        <v>1748686</v>
      </c>
      <c r="M1232" s="8" t="str">
        <f t="shared" si="102"/>
        <v>PEN</v>
      </c>
      <c r="N1232" s="13">
        <v>177</v>
      </c>
      <c r="O1232" s="13"/>
      <c r="P1232" s="3">
        <f t="shared" si="103"/>
        <v>0</v>
      </c>
      <c r="Q1232" s="3">
        <f t="shared" si="104"/>
        <v>0</v>
      </c>
      <c r="R1232" s="3">
        <f t="shared" si="105"/>
        <v>21600.300000000047</v>
      </c>
      <c r="S1232" s="24"/>
      <c r="T1232" s="24" t="s">
        <v>1334</v>
      </c>
      <c r="U1232" s="53"/>
      <c r="V1232" s="25">
        <f>IFERROR(VLOOKUP(BCP_Soles[[#This Row],[destinatario]],CHOOSE({1,2},Clientes_Proveedores[Razon Social],Clientes_Proveedores[Ruc / Dni]),2,0),"")</f>
        <v>20609764261</v>
      </c>
      <c r="W1232" s="25"/>
      <c r="X1232" s="25"/>
      <c r="Y1232" s="25"/>
      <c r="Z1232" s="75"/>
      <c r="AA1232" s="3" t="str">
        <f>IF(BCP_Soles[[#This Row],[fecha]]&gt;0,TEXT(BCP_Soles[[#This Row],[fecha]],"mmmm"),0)</f>
        <v>Abril</v>
      </c>
    </row>
    <row r="1233" spans="1:27" ht="36" x14ac:dyDescent="0.3">
      <c r="A1233" s="2">
        <f>IF(BCP_Soles[[#This Row],[tipo_registro]]="R",COUNTIFS($C$1:$C1232,"R")+1,A1232)</f>
        <v>918</v>
      </c>
      <c r="B1233" s="19" t="str">
        <f t="shared" ref="B1233:B1296" si="106">"B-BCP - Soles"</f>
        <v>B-BCP - Soles</v>
      </c>
      <c r="C1233" s="3" t="s">
        <v>1352</v>
      </c>
      <c r="D1233" s="14">
        <v>45754</v>
      </c>
      <c r="E1233" s="5" t="s">
        <v>2269</v>
      </c>
      <c r="F1233" s="5"/>
      <c r="G1233" s="6" t="s">
        <v>474</v>
      </c>
      <c r="H1233" s="6" t="s">
        <v>68</v>
      </c>
      <c r="I1233" s="6" t="s">
        <v>1376</v>
      </c>
      <c r="J1233" s="6">
        <v>734</v>
      </c>
      <c r="K1233" s="7" t="s">
        <v>2608</v>
      </c>
      <c r="L1233" s="8">
        <v>1748686</v>
      </c>
      <c r="M1233" s="8" t="str">
        <f t="shared" ref="M1233:M1296" si="107">"PEN"</f>
        <v>PEN</v>
      </c>
      <c r="N1233" s="13">
        <v>793</v>
      </c>
      <c r="O1233" s="13"/>
      <c r="P1233" s="3">
        <f t="shared" ref="P1233:P1296" si="108">+IF(OR($F1233="SALDO",$F1233="INGRESO"),$O1233,0)</f>
        <v>0</v>
      </c>
      <c r="Q1233" s="3">
        <f t="shared" ref="Q1233:Q1296" si="109">+IF($F1233="EGRESO",$O1233,0)</f>
        <v>0</v>
      </c>
      <c r="R1233" s="3">
        <f t="shared" si="105"/>
        <v>21600.300000000047</v>
      </c>
      <c r="S1233" s="24"/>
      <c r="T1233" s="24" t="s">
        <v>1334</v>
      </c>
      <c r="U1233" s="53"/>
      <c r="V1233" s="25">
        <f>IFERROR(VLOOKUP(BCP_Soles[[#This Row],[destinatario]],CHOOSE({1,2},Clientes_Proveedores[Razon Social],Clientes_Proveedores[Ruc / Dni]),2,0),"")</f>
        <v>20602075177</v>
      </c>
      <c r="W1233" s="25"/>
      <c r="X1233" s="25"/>
      <c r="Y1233" s="25"/>
      <c r="Z1233" s="75"/>
      <c r="AA1233" s="3" t="str">
        <f>IF(BCP_Soles[[#This Row],[fecha]]&gt;0,TEXT(BCP_Soles[[#This Row],[fecha]],"mmmm"),0)</f>
        <v>Abril</v>
      </c>
    </row>
    <row r="1234" spans="1:27" ht="24" x14ac:dyDescent="0.3">
      <c r="A1234" s="2">
        <f>IF(BCP_Soles[[#This Row],[tipo_registro]]="R",COUNTIFS($C$1:$C1233,"R")+1,A1233)</f>
        <v>919</v>
      </c>
      <c r="B1234" s="19" t="str">
        <f t="shared" si="106"/>
        <v>B-BCP - Soles</v>
      </c>
      <c r="C1234" s="3" t="s">
        <v>1330</v>
      </c>
      <c r="D1234" s="14">
        <v>45755</v>
      </c>
      <c r="E1234" s="5" t="s">
        <v>2103</v>
      </c>
      <c r="F1234" s="5" t="s">
        <v>1303</v>
      </c>
      <c r="G1234" s="6" t="s">
        <v>425</v>
      </c>
      <c r="H1234" s="6" t="s">
        <v>119</v>
      </c>
      <c r="I1234" s="6">
        <v>1</v>
      </c>
      <c r="J1234" s="6">
        <v>4305</v>
      </c>
      <c r="K1234" s="7" t="s">
        <v>2003</v>
      </c>
      <c r="L1234" s="8">
        <v>2008112</v>
      </c>
      <c r="M1234" s="8" t="str">
        <f t="shared" si="107"/>
        <v>PEN</v>
      </c>
      <c r="N1234" s="13"/>
      <c r="O1234" s="13">
        <v>24400</v>
      </c>
      <c r="P1234" s="3">
        <f t="shared" si="108"/>
        <v>24400</v>
      </c>
      <c r="Q1234" s="3">
        <f t="shared" si="109"/>
        <v>0</v>
      </c>
      <c r="R1234" s="3">
        <f t="shared" si="105"/>
        <v>46000.300000000047</v>
      </c>
      <c r="S1234" s="24" t="s">
        <v>1334</v>
      </c>
      <c r="T1234" s="24" t="s">
        <v>1334</v>
      </c>
      <c r="U1234" s="53"/>
      <c r="V1234" s="25">
        <f>IFERROR(VLOOKUP(BCP_Soles[[#This Row],[destinatario]],CHOOSE({1,2},Clientes_Proveedores[Razon Social],Clientes_Proveedores[Ruc / Dni]),2,0),"")</f>
        <v>20558226979</v>
      </c>
      <c r="W1234" s="25" t="s">
        <v>1345</v>
      </c>
      <c r="X1234" s="25" t="s">
        <v>2609</v>
      </c>
      <c r="Y1234" s="25"/>
      <c r="Z1234" s="75"/>
      <c r="AA1234" s="3" t="str">
        <f>IF(BCP_Soles[[#This Row],[fecha]]&gt;0,TEXT(BCP_Soles[[#This Row],[fecha]],"mmmm"),0)</f>
        <v>Abril</v>
      </c>
    </row>
    <row r="1235" spans="1:27" ht="36" x14ac:dyDescent="0.3">
      <c r="A1235" s="2">
        <f>IF(BCP_Soles[[#This Row],[tipo_registro]]="R",COUNTIFS($C$1:$C1234,"R")+1,A1234)</f>
        <v>920</v>
      </c>
      <c r="B1235" s="19" t="str">
        <f t="shared" si="106"/>
        <v>B-BCP - Soles</v>
      </c>
      <c r="C1235" s="3" t="s">
        <v>1330</v>
      </c>
      <c r="D1235" s="14">
        <v>45755</v>
      </c>
      <c r="E1235" s="5" t="s">
        <v>237</v>
      </c>
      <c r="F1235" s="5" t="s">
        <v>1303</v>
      </c>
      <c r="G1235" s="6" t="s">
        <v>425</v>
      </c>
      <c r="H1235" s="6"/>
      <c r="I1235" s="6"/>
      <c r="J1235" s="6"/>
      <c r="K1235" s="7" t="s">
        <v>1546</v>
      </c>
      <c r="L1235" s="8">
        <v>8080</v>
      </c>
      <c r="M1235" s="8" t="str">
        <f t="shared" si="107"/>
        <v>PEN</v>
      </c>
      <c r="N1235" s="13"/>
      <c r="O1235" s="13">
        <v>700.32</v>
      </c>
      <c r="P1235" s="3">
        <f t="shared" si="108"/>
        <v>700.32</v>
      </c>
      <c r="Q1235" s="3">
        <f t="shared" si="109"/>
        <v>0</v>
      </c>
      <c r="R1235" s="3">
        <f t="shared" si="105"/>
        <v>46700.620000000046</v>
      </c>
      <c r="S1235" s="24" t="s">
        <v>1334</v>
      </c>
      <c r="T1235" s="24" t="s">
        <v>1334</v>
      </c>
      <c r="U1235" s="53"/>
      <c r="V1235" s="25">
        <f>IFERROR(VLOOKUP(BCP_Soles[[#This Row],[destinatario]],CHOOSE({1,2},Clientes_Proveedores[Razon Social],Clientes_Proveedores[Ruc / Dni]),2,0),"")</f>
        <v>20558226979</v>
      </c>
      <c r="W1235" s="25" t="s">
        <v>1345</v>
      </c>
      <c r="X1235" s="25" t="s">
        <v>2142</v>
      </c>
      <c r="Y1235" s="25"/>
      <c r="Z1235" s="75"/>
      <c r="AA1235" s="3" t="str">
        <f>IF(BCP_Soles[[#This Row],[fecha]]&gt;0,TEXT(BCP_Soles[[#This Row],[fecha]],"mmmm"),0)</f>
        <v>Abril</v>
      </c>
    </row>
    <row r="1236" spans="1:27" x14ac:dyDescent="0.3">
      <c r="A1236" s="2">
        <f>IF(BCP_Soles[[#This Row],[tipo_registro]]="R",COUNTIFS($C$1:$C1235,"R")+1,A1235)</f>
        <v>921</v>
      </c>
      <c r="B1236" s="19" t="str">
        <f t="shared" si="106"/>
        <v>B-BCP - Soles</v>
      </c>
      <c r="C1236" s="3" t="s">
        <v>1330</v>
      </c>
      <c r="D1236" s="14">
        <v>45755</v>
      </c>
      <c r="E1236" s="5" t="s">
        <v>1335</v>
      </c>
      <c r="F1236" s="5" t="s">
        <v>1336</v>
      </c>
      <c r="G1236" s="6"/>
      <c r="H1236" s="6"/>
      <c r="I1236" s="6"/>
      <c r="J1236" s="6"/>
      <c r="K1236" s="7" t="s">
        <v>1337</v>
      </c>
      <c r="L1236" s="8"/>
      <c r="M1236" s="8" t="str">
        <f t="shared" si="107"/>
        <v>PEN</v>
      </c>
      <c r="N1236" s="13"/>
      <c r="O1236" s="13">
        <v>1.8</v>
      </c>
      <c r="P1236" s="3">
        <f t="shared" si="108"/>
        <v>0</v>
      </c>
      <c r="Q1236" s="3">
        <f t="shared" si="109"/>
        <v>1.8</v>
      </c>
      <c r="R1236" s="3">
        <f t="shared" si="105"/>
        <v>46698.820000000043</v>
      </c>
      <c r="S1236" s="24"/>
      <c r="T1236" s="24" t="s">
        <v>1334</v>
      </c>
      <c r="U1236" s="53"/>
      <c r="V1236" s="25" t="str">
        <f>IFERROR(VLOOKUP(BCP_Soles[[#This Row],[destinatario]],CHOOSE({1,2},Clientes_Proveedores[Razon Social],Clientes_Proveedores[Ruc / Dni]),2,0),"")</f>
        <v/>
      </c>
      <c r="W1236" s="25"/>
      <c r="X1236" s="25"/>
      <c r="Y1236" s="25"/>
      <c r="Z1236" s="75"/>
      <c r="AA1236" s="3" t="str">
        <f>IF(BCP_Soles[[#This Row],[fecha]]&gt;0,TEXT(BCP_Soles[[#This Row],[fecha]],"mmmm"),0)</f>
        <v>Abril</v>
      </c>
    </row>
    <row r="1237" spans="1:27" ht="24" x14ac:dyDescent="0.3">
      <c r="A1237" s="2">
        <f>IF(BCP_Soles[[#This Row],[tipo_registro]]="R",COUNTIFS($C$1:$C1236,"R")+1,A1236)</f>
        <v>922</v>
      </c>
      <c r="B1237" s="19" t="str">
        <f t="shared" si="106"/>
        <v>B-BCP - Soles</v>
      </c>
      <c r="C1237" s="3" t="s">
        <v>1330</v>
      </c>
      <c r="D1237" s="14">
        <v>45755</v>
      </c>
      <c r="E1237" s="5" t="s">
        <v>2269</v>
      </c>
      <c r="F1237" s="5" t="s">
        <v>1336</v>
      </c>
      <c r="G1237" s="6" t="s">
        <v>857</v>
      </c>
      <c r="H1237" s="6" t="s">
        <v>143</v>
      </c>
      <c r="I1237" s="6">
        <v>1</v>
      </c>
      <c r="J1237" s="6">
        <v>222025</v>
      </c>
      <c r="K1237" s="7" t="s">
        <v>2610</v>
      </c>
      <c r="L1237" s="8">
        <v>1202302</v>
      </c>
      <c r="M1237" s="8" t="str">
        <f t="shared" si="107"/>
        <v>PEN</v>
      </c>
      <c r="N1237" s="13"/>
      <c r="O1237" s="13">
        <v>3.4</v>
      </c>
      <c r="P1237" s="3">
        <f t="shared" si="108"/>
        <v>0</v>
      </c>
      <c r="Q1237" s="3">
        <f t="shared" si="109"/>
        <v>3.4</v>
      </c>
      <c r="R1237" s="3">
        <f t="shared" si="105"/>
        <v>46695.420000000042</v>
      </c>
      <c r="S1237" s="24" t="s">
        <v>1334</v>
      </c>
      <c r="T1237" s="24" t="s">
        <v>1334</v>
      </c>
      <c r="U1237" s="53"/>
      <c r="V1237" s="25">
        <f>IFERROR(VLOOKUP(BCP_Soles[[#This Row],[destinatario]],CHOOSE({1,2},Clientes_Proveedores[Razon Social],Clientes_Proveedores[Ruc / Dni]),2,0),"")</f>
        <v>70666331</v>
      </c>
      <c r="W1237" s="25" t="s">
        <v>857</v>
      </c>
      <c r="X1237" s="25" t="s">
        <v>2611</v>
      </c>
      <c r="Y1237" s="25"/>
      <c r="Z1237" s="75"/>
      <c r="AA1237" s="3" t="str">
        <f>IF(BCP_Soles[[#This Row],[fecha]]&gt;0,TEXT(BCP_Soles[[#This Row],[fecha]],"mmmm"),0)</f>
        <v>Abril</v>
      </c>
    </row>
    <row r="1238" spans="1:27" x14ac:dyDescent="0.3">
      <c r="A1238" s="2">
        <f>IF(BCP_Soles[[#This Row],[tipo_registro]]="R",COUNTIFS($C$1:$C1237,"R")+1,A1237)</f>
        <v>923</v>
      </c>
      <c r="B1238" s="19" t="str">
        <f t="shared" si="106"/>
        <v>B-BCP - Soles</v>
      </c>
      <c r="C1238" s="3" t="s">
        <v>1330</v>
      </c>
      <c r="D1238" s="14">
        <v>45755</v>
      </c>
      <c r="E1238" s="5" t="s">
        <v>2269</v>
      </c>
      <c r="F1238" s="5" t="s">
        <v>1336</v>
      </c>
      <c r="G1238" s="6" t="s">
        <v>196</v>
      </c>
      <c r="H1238" s="6" t="s">
        <v>68</v>
      </c>
      <c r="I1238" s="6" t="s">
        <v>2226</v>
      </c>
      <c r="J1238" s="6">
        <v>6195</v>
      </c>
      <c r="K1238" s="7" t="s">
        <v>2227</v>
      </c>
      <c r="L1238" s="8">
        <v>202787</v>
      </c>
      <c r="M1238" s="8" t="str">
        <f t="shared" si="107"/>
        <v>PEN</v>
      </c>
      <c r="N1238" s="13"/>
      <c r="O1238" s="13">
        <v>8.56</v>
      </c>
      <c r="P1238" s="3">
        <f t="shared" si="108"/>
        <v>0</v>
      </c>
      <c r="Q1238" s="3">
        <f t="shared" si="109"/>
        <v>8.56</v>
      </c>
      <c r="R1238" s="3">
        <f t="shared" si="105"/>
        <v>46686.860000000044</v>
      </c>
      <c r="S1238" s="24" t="s">
        <v>1334</v>
      </c>
      <c r="T1238" s="24" t="s">
        <v>1334</v>
      </c>
      <c r="U1238" s="53"/>
      <c r="V1238" s="25">
        <f>IFERROR(VLOOKUP(BCP_Soles[[#This Row],[destinatario]],CHOOSE({1,2},Clientes_Proveedores[Razon Social],Clientes_Proveedores[Ruc / Dni]),2,0),"")</f>
        <v>20100055237</v>
      </c>
      <c r="W1238" s="25" t="s">
        <v>2228</v>
      </c>
      <c r="X1238" s="25" t="s">
        <v>2612</v>
      </c>
      <c r="Y1238" s="25"/>
      <c r="Z1238" s="75"/>
      <c r="AA1238" s="3" t="str">
        <f>IF(BCP_Soles[[#This Row],[fecha]]&gt;0,TEXT(BCP_Soles[[#This Row],[fecha]],"mmmm"),0)</f>
        <v>Abril</v>
      </c>
    </row>
    <row r="1239" spans="1:27" ht="24" x14ac:dyDescent="0.3">
      <c r="A1239" s="2">
        <f>IF(BCP_Soles[[#This Row],[tipo_registro]]="R",COUNTIFS($C$1:$C1238,"R")+1,A1238)</f>
        <v>924</v>
      </c>
      <c r="B1239" s="19" t="str">
        <f t="shared" si="106"/>
        <v>B-BCP - Soles</v>
      </c>
      <c r="C1239" s="3" t="s">
        <v>1330</v>
      </c>
      <c r="D1239" s="14">
        <v>45755</v>
      </c>
      <c r="E1239" s="5" t="s">
        <v>2269</v>
      </c>
      <c r="F1239" s="5" t="s">
        <v>1336</v>
      </c>
      <c r="G1239" s="6" t="s">
        <v>857</v>
      </c>
      <c r="H1239" s="6" t="s">
        <v>143</v>
      </c>
      <c r="I1239" s="6">
        <v>1</v>
      </c>
      <c r="J1239" s="6">
        <v>212025</v>
      </c>
      <c r="K1239" s="7" t="s">
        <v>2613</v>
      </c>
      <c r="L1239" s="8">
        <v>1203730</v>
      </c>
      <c r="M1239" s="8" t="str">
        <f t="shared" si="107"/>
        <v>PEN</v>
      </c>
      <c r="N1239" s="13"/>
      <c r="O1239" s="13">
        <v>9.5</v>
      </c>
      <c r="P1239" s="3">
        <f t="shared" si="108"/>
        <v>0</v>
      </c>
      <c r="Q1239" s="3">
        <f t="shared" si="109"/>
        <v>9.5</v>
      </c>
      <c r="R1239" s="3">
        <f t="shared" si="105"/>
        <v>46677.360000000044</v>
      </c>
      <c r="S1239" s="24" t="s">
        <v>1334</v>
      </c>
      <c r="T1239" s="24" t="s">
        <v>1334</v>
      </c>
      <c r="U1239" s="53"/>
      <c r="V1239" s="25">
        <f>IFERROR(VLOOKUP(BCP_Soles[[#This Row],[destinatario]],CHOOSE({1,2},Clientes_Proveedores[Razon Social],Clientes_Proveedores[Ruc / Dni]),2,0),"")</f>
        <v>70666331</v>
      </c>
      <c r="W1239" s="25" t="s">
        <v>857</v>
      </c>
      <c r="X1239" s="25" t="s">
        <v>2614</v>
      </c>
      <c r="Y1239" s="25"/>
      <c r="Z1239" s="75"/>
      <c r="AA1239" s="3" t="str">
        <f>IF(BCP_Soles[[#This Row],[fecha]]&gt;0,TEXT(BCP_Soles[[#This Row],[fecha]],"mmmm"),0)</f>
        <v>Abril</v>
      </c>
    </row>
    <row r="1240" spans="1:27" x14ac:dyDescent="0.3">
      <c r="A1240" s="2">
        <f>IF(BCP_Soles[[#This Row],[tipo_registro]]="R",COUNTIFS($C$1:$C1239,"R")+1,A1239)</f>
        <v>925</v>
      </c>
      <c r="B1240" s="19" t="str">
        <f t="shared" si="106"/>
        <v>B-BCP - Soles</v>
      </c>
      <c r="C1240" s="3" t="s">
        <v>1330</v>
      </c>
      <c r="D1240" s="14">
        <v>45755</v>
      </c>
      <c r="E1240" s="5" t="s">
        <v>1335</v>
      </c>
      <c r="F1240" s="5" t="s">
        <v>1336</v>
      </c>
      <c r="G1240" s="6"/>
      <c r="H1240" s="6" t="s">
        <v>68</v>
      </c>
      <c r="I1240" s="6" t="s">
        <v>1397</v>
      </c>
      <c r="J1240" s="6">
        <v>31301994</v>
      </c>
      <c r="K1240" s="7" t="s">
        <v>1400</v>
      </c>
      <c r="L1240" s="8">
        <v>531</v>
      </c>
      <c r="M1240" s="8" t="str">
        <f t="shared" si="107"/>
        <v>PEN</v>
      </c>
      <c r="N1240" s="13"/>
      <c r="O1240" s="13">
        <v>10</v>
      </c>
      <c r="P1240" s="3">
        <f t="shared" si="108"/>
        <v>0</v>
      </c>
      <c r="Q1240" s="3">
        <f t="shared" si="109"/>
        <v>10</v>
      </c>
      <c r="R1240" s="3">
        <f t="shared" si="105"/>
        <v>46667.360000000044</v>
      </c>
      <c r="S1240" s="24" t="s">
        <v>1334</v>
      </c>
      <c r="T1240" s="24" t="s">
        <v>1334</v>
      </c>
      <c r="U1240" s="53"/>
      <c r="V1240" s="25" t="str">
        <f>IFERROR(VLOOKUP(BCP_Soles[[#This Row],[destinatario]],CHOOSE({1,2},Clientes_Proveedores[Razon Social],Clientes_Proveedores[Ruc / Dni]),2,0),"")</f>
        <v/>
      </c>
      <c r="W1240" s="25" t="s">
        <v>1335</v>
      </c>
      <c r="X1240" s="25" t="s">
        <v>2615</v>
      </c>
      <c r="Y1240" s="25"/>
      <c r="Z1240" s="75"/>
      <c r="AA1240" s="3" t="str">
        <f>IF(BCP_Soles[[#This Row],[fecha]]&gt;0,TEXT(BCP_Soles[[#This Row],[fecha]],"mmmm"),0)</f>
        <v>Abril</v>
      </c>
    </row>
    <row r="1241" spans="1:27" x14ac:dyDescent="0.3">
      <c r="A1241" s="2">
        <f>IF(BCP_Soles[[#This Row],[tipo_registro]]="R",COUNTIFS($C$1:$C1240,"R")+1,A1240)</f>
        <v>926</v>
      </c>
      <c r="B1241" s="19" t="str">
        <f t="shared" si="106"/>
        <v>B-BCP - Soles</v>
      </c>
      <c r="C1241" s="3" t="s">
        <v>1330</v>
      </c>
      <c r="D1241" s="14">
        <v>45755</v>
      </c>
      <c r="E1241" s="5" t="s">
        <v>2269</v>
      </c>
      <c r="F1241" s="5" t="s">
        <v>1336</v>
      </c>
      <c r="G1241" s="6" t="s">
        <v>196</v>
      </c>
      <c r="H1241" s="6" t="s">
        <v>68</v>
      </c>
      <c r="I1241" s="6" t="s">
        <v>2226</v>
      </c>
      <c r="J1241" s="6">
        <v>6196</v>
      </c>
      <c r="K1241" s="7" t="s">
        <v>2227</v>
      </c>
      <c r="L1241" s="8">
        <v>202789</v>
      </c>
      <c r="M1241" s="8" t="str">
        <f t="shared" si="107"/>
        <v>PEN</v>
      </c>
      <c r="N1241" s="13"/>
      <c r="O1241" s="13">
        <v>81.760000000000005</v>
      </c>
      <c r="P1241" s="3">
        <f t="shared" si="108"/>
        <v>0</v>
      </c>
      <c r="Q1241" s="3">
        <f t="shared" si="109"/>
        <v>81.760000000000005</v>
      </c>
      <c r="R1241" s="3">
        <f t="shared" si="105"/>
        <v>46585.600000000042</v>
      </c>
      <c r="S1241" s="24" t="s">
        <v>1334</v>
      </c>
      <c r="T1241" s="24" t="s">
        <v>1334</v>
      </c>
      <c r="U1241" s="53"/>
      <c r="V1241" s="25">
        <f>IFERROR(VLOOKUP(BCP_Soles[[#This Row],[destinatario]],CHOOSE({1,2},Clientes_Proveedores[Razon Social],Clientes_Proveedores[Ruc / Dni]),2,0),"")</f>
        <v>20100055237</v>
      </c>
      <c r="W1241" s="25" t="s">
        <v>2228</v>
      </c>
      <c r="X1241" s="25" t="s">
        <v>2616</v>
      </c>
      <c r="Y1241" s="25"/>
      <c r="Z1241" s="75"/>
      <c r="AA1241" s="3" t="str">
        <f>IF(BCP_Soles[[#This Row],[fecha]]&gt;0,TEXT(BCP_Soles[[#This Row],[fecha]],"mmmm"),0)</f>
        <v>Abril</v>
      </c>
    </row>
    <row r="1242" spans="1:27" x14ac:dyDescent="0.3">
      <c r="A1242" s="2">
        <f>IF(BCP_Soles[[#This Row],[tipo_registro]]="R",COUNTIFS($C$1:$C1241,"R")+1,A1241)</f>
        <v>927</v>
      </c>
      <c r="B1242" s="19" t="str">
        <f t="shared" si="106"/>
        <v>B-BCP - Soles</v>
      </c>
      <c r="C1242" s="3" t="s">
        <v>1330</v>
      </c>
      <c r="D1242" s="14">
        <v>45755</v>
      </c>
      <c r="E1242" s="5" t="s">
        <v>2269</v>
      </c>
      <c r="F1242" s="5" t="s">
        <v>1336</v>
      </c>
      <c r="G1242" s="6" t="s">
        <v>196</v>
      </c>
      <c r="H1242" s="6" t="s">
        <v>68</v>
      </c>
      <c r="I1242" s="6" t="s">
        <v>2226</v>
      </c>
      <c r="J1242" s="6">
        <v>6198</v>
      </c>
      <c r="K1242" s="7" t="s">
        <v>2227</v>
      </c>
      <c r="L1242" s="8">
        <v>201819</v>
      </c>
      <c r="M1242" s="8" t="str">
        <f t="shared" si="107"/>
        <v>PEN</v>
      </c>
      <c r="N1242" s="13"/>
      <c r="O1242" s="13">
        <v>112.16</v>
      </c>
      <c r="P1242" s="3">
        <f t="shared" si="108"/>
        <v>0</v>
      </c>
      <c r="Q1242" s="3">
        <f t="shared" si="109"/>
        <v>112.16</v>
      </c>
      <c r="R1242" s="3">
        <f t="shared" si="105"/>
        <v>46473.440000000039</v>
      </c>
      <c r="S1242" s="24" t="s">
        <v>1334</v>
      </c>
      <c r="T1242" s="24" t="s">
        <v>1334</v>
      </c>
      <c r="U1242" s="53"/>
      <c r="V1242" s="25">
        <f>IFERROR(VLOOKUP(BCP_Soles[[#This Row],[destinatario]],CHOOSE({1,2},Clientes_Proveedores[Razon Social],Clientes_Proveedores[Ruc / Dni]),2,0),"")</f>
        <v>20100055237</v>
      </c>
      <c r="W1242" s="25" t="s">
        <v>2228</v>
      </c>
      <c r="X1242" s="25" t="s">
        <v>2617</v>
      </c>
      <c r="Y1242" s="25"/>
      <c r="Z1242" s="75"/>
      <c r="AA1242" s="3" t="str">
        <f>IF(BCP_Soles[[#This Row],[fecha]]&gt;0,TEXT(BCP_Soles[[#This Row],[fecha]],"mmmm"),0)</f>
        <v>Abril</v>
      </c>
    </row>
    <row r="1243" spans="1:27" x14ac:dyDescent="0.3">
      <c r="A1243" s="2">
        <f>IF(BCP_Soles[[#This Row],[tipo_registro]]="R",COUNTIFS($C$1:$C1242,"R")+1,A1242)</f>
        <v>928</v>
      </c>
      <c r="B1243" s="19" t="str">
        <f t="shared" si="106"/>
        <v>B-BCP - Soles</v>
      </c>
      <c r="C1243" s="3" t="s">
        <v>1330</v>
      </c>
      <c r="D1243" s="14">
        <v>45755</v>
      </c>
      <c r="E1243" s="5" t="s">
        <v>2269</v>
      </c>
      <c r="F1243" s="5" t="s">
        <v>1336</v>
      </c>
      <c r="G1243" s="6" t="s">
        <v>196</v>
      </c>
      <c r="H1243" s="6" t="s">
        <v>68</v>
      </c>
      <c r="I1243" s="6" t="s">
        <v>2226</v>
      </c>
      <c r="J1243" s="6">
        <v>6194</v>
      </c>
      <c r="K1243" s="7" t="s">
        <v>2227</v>
      </c>
      <c r="L1243" s="8">
        <v>201349</v>
      </c>
      <c r="M1243" s="8" t="str">
        <f t="shared" si="107"/>
        <v>PEN</v>
      </c>
      <c r="N1243" s="13"/>
      <c r="O1243" s="13">
        <v>117.06</v>
      </c>
      <c r="P1243" s="3">
        <f t="shared" si="108"/>
        <v>0</v>
      </c>
      <c r="Q1243" s="3">
        <f t="shared" si="109"/>
        <v>117.06</v>
      </c>
      <c r="R1243" s="3">
        <f t="shared" si="105"/>
        <v>46356.380000000041</v>
      </c>
      <c r="S1243" s="24" t="s">
        <v>1334</v>
      </c>
      <c r="T1243" s="24" t="s">
        <v>1334</v>
      </c>
      <c r="U1243" s="53"/>
      <c r="V1243" s="25">
        <f>IFERROR(VLOOKUP(BCP_Soles[[#This Row],[destinatario]],CHOOSE({1,2},Clientes_Proveedores[Razon Social],Clientes_Proveedores[Ruc / Dni]),2,0),"")</f>
        <v>20100055237</v>
      </c>
      <c r="W1243" s="25" t="s">
        <v>2228</v>
      </c>
      <c r="X1243" s="25" t="s">
        <v>2618</v>
      </c>
      <c r="Y1243" s="25"/>
      <c r="Z1243" s="75"/>
      <c r="AA1243" s="3" t="str">
        <f>IF(BCP_Soles[[#This Row],[fecha]]&gt;0,TEXT(BCP_Soles[[#This Row],[fecha]],"mmmm"),0)</f>
        <v>Abril</v>
      </c>
    </row>
    <row r="1244" spans="1:27" x14ac:dyDescent="0.3">
      <c r="A1244" s="2">
        <f>IF(BCP_Soles[[#This Row],[tipo_registro]]="R",COUNTIFS($C$1:$C1243,"R")+1,A1243)</f>
        <v>929</v>
      </c>
      <c r="B1244" s="19" t="str">
        <f t="shared" si="106"/>
        <v>B-BCP - Soles</v>
      </c>
      <c r="C1244" s="3" t="s">
        <v>1330</v>
      </c>
      <c r="D1244" s="14">
        <v>45755</v>
      </c>
      <c r="E1244" s="5" t="s">
        <v>2269</v>
      </c>
      <c r="F1244" s="5" t="s">
        <v>1336</v>
      </c>
      <c r="G1244" s="6" t="s">
        <v>695</v>
      </c>
      <c r="H1244" s="6" t="s">
        <v>68</v>
      </c>
      <c r="I1244" s="6" t="s">
        <v>1377</v>
      </c>
      <c r="J1244" s="6">
        <v>156120</v>
      </c>
      <c r="K1244" s="7" t="s">
        <v>1378</v>
      </c>
      <c r="L1244" s="8">
        <v>96389</v>
      </c>
      <c r="M1244" s="8" t="str">
        <f t="shared" si="107"/>
        <v>PEN</v>
      </c>
      <c r="N1244" s="13"/>
      <c r="O1244" s="13">
        <v>166.34</v>
      </c>
      <c r="P1244" s="3">
        <f t="shared" si="108"/>
        <v>0</v>
      </c>
      <c r="Q1244" s="3">
        <f t="shared" si="109"/>
        <v>166.34</v>
      </c>
      <c r="R1244" s="3">
        <f t="shared" si="105"/>
        <v>46190.040000000045</v>
      </c>
      <c r="S1244" s="24" t="s">
        <v>1334</v>
      </c>
      <c r="T1244" s="24" t="s">
        <v>1334</v>
      </c>
      <c r="U1244" s="53"/>
      <c r="V1244" s="25">
        <f>IFERROR(VLOOKUP(BCP_Soles[[#This Row],[destinatario]],CHOOSE({1,2},Clientes_Proveedores[Razon Social],Clientes_Proveedores[Ruc / Dni]),2,0),"")</f>
        <v>20127765279</v>
      </c>
      <c r="W1244" s="25" t="s">
        <v>1379</v>
      </c>
      <c r="X1244" s="25" t="s">
        <v>2619</v>
      </c>
      <c r="Y1244" s="25"/>
      <c r="Z1244" s="75"/>
      <c r="AA1244" s="3" t="str">
        <f>IF(BCP_Soles[[#This Row],[fecha]]&gt;0,TEXT(BCP_Soles[[#This Row],[fecha]],"mmmm"),0)</f>
        <v>Abril</v>
      </c>
    </row>
    <row r="1245" spans="1:27" x14ac:dyDescent="0.3">
      <c r="A1245" s="2">
        <f>IF(BCP_Soles[[#This Row],[tipo_registro]]="R",COUNTIFS($C$1:$C1244,"R")+1,A1244)</f>
        <v>930</v>
      </c>
      <c r="B1245" s="19" t="str">
        <f t="shared" si="106"/>
        <v>B-BCP - Soles</v>
      </c>
      <c r="C1245" s="3" t="s">
        <v>1330</v>
      </c>
      <c r="D1245" s="14">
        <v>45755</v>
      </c>
      <c r="E1245" s="5" t="s">
        <v>2269</v>
      </c>
      <c r="F1245" s="5" t="s">
        <v>1336</v>
      </c>
      <c r="G1245" s="6" t="s">
        <v>695</v>
      </c>
      <c r="H1245" s="6" t="s">
        <v>68</v>
      </c>
      <c r="I1245" s="6" t="s">
        <v>1513</v>
      </c>
      <c r="J1245" s="6">
        <v>155112</v>
      </c>
      <c r="K1245" s="7" t="s">
        <v>1378</v>
      </c>
      <c r="L1245" s="8">
        <v>97345</v>
      </c>
      <c r="M1245" s="8" t="str">
        <f t="shared" si="107"/>
        <v>PEN</v>
      </c>
      <c r="N1245" s="13"/>
      <c r="O1245" s="13">
        <v>187.1</v>
      </c>
      <c r="P1245" s="3">
        <f t="shared" si="108"/>
        <v>0</v>
      </c>
      <c r="Q1245" s="3">
        <f t="shared" si="109"/>
        <v>187.1</v>
      </c>
      <c r="R1245" s="3">
        <f t="shared" si="105"/>
        <v>46002.940000000046</v>
      </c>
      <c r="S1245" s="24" t="s">
        <v>1334</v>
      </c>
      <c r="T1245" s="24" t="s">
        <v>1334</v>
      </c>
      <c r="U1245" s="53"/>
      <c r="V1245" s="25">
        <f>IFERROR(VLOOKUP(BCP_Soles[[#This Row],[destinatario]],CHOOSE({1,2},Clientes_Proveedores[Razon Social],Clientes_Proveedores[Ruc / Dni]),2,0),"")</f>
        <v>20127765279</v>
      </c>
      <c r="W1245" s="25" t="s">
        <v>1379</v>
      </c>
      <c r="X1245" s="25" t="s">
        <v>2620</v>
      </c>
      <c r="Y1245" s="25"/>
      <c r="Z1245" s="75"/>
      <c r="AA1245" s="3" t="str">
        <f>IF(BCP_Soles[[#This Row],[fecha]]&gt;0,TEXT(BCP_Soles[[#This Row],[fecha]],"mmmm"),0)</f>
        <v>Abril</v>
      </c>
    </row>
    <row r="1246" spans="1:27" x14ac:dyDescent="0.3">
      <c r="A1246" s="2">
        <f>IF(BCP_Soles[[#This Row],[tipo_registro]]="R",COUNTIFS($C$1:$C1245,"R")+1,A1245)</f>
        <v>931</v>
      </c>
      <c r="B1246" s="19" t="str">
        <f t="shared" si="106"/>
        <v>B-BCP - Soles</v>
      </c>
      <c r="C1246" s="3" t="s">
        <v>1330</v>
      </c>
      <c r="D1246" s="14">
        <v>45755</v>
      </c>
      <c r="E1246" s="5" t="s">
        <v>2269</v>
      </c>
      <c r="F1246" s="5" t="s">
        <v>1336</v>
      </c>
      <c r="G1246" s="6" t="s">
        <v>196</v>
      </c>
      <c r="H1246" s="6" t="s">
        <v>68</v>
      </c>
      <c r="I1246" s="6" t="s">
        <v>2226</v>
      </c>
      <c r="J1246" s="6">
        <v>6193</v>
      </c>
      <c r="K1246" s="7" t="s">
        <v>2227</v>
      </c>
      <c r="L1246" s="8">
        <v>97345</v>
      </c>
      <c r="M1246" s="8" t="str">
        <f t="shared" si="107"/>
        <v>PEN</v>
      </c>
      <c r="N1246" s="13"/>
      <c r="O1246" s="13">
        <v>200.76</v>
      </c>
      <c r="P1246" s="3">
        <f t="shared" si="108"/>
        <v>0</v>
      </c>
      <c r="Q1246" s="3">
        <f t="shared" si="109"/>
        <v>200.76</v>
      </c>
      <c r="R1246" s="3">
        <f t="shared" si="105"/>
        <v>45802.180000000044</v>
      </c>
      <c r="S1246" s="24" t="s">
        <v>1334</v>
      </c>
      <c r="T1246" s="24" t="s">
        <v>1334</v>
      </c>
      <c r="U1246" s="53"/>
      <c r="V1246" s="25">
        <f>IFERROR(VLOOKUP(BCP_Soles[[#This Row],[destinatario]],CHOOSE({1,2},Clientes_Proveedores[Razon Social],Clientes_Proveedores[Ruc / Dni]),2,0),"")</f>
        <v>20100055237</v>
      </c>
      <c r="W1246" s="25" t="s">
        <v>2228</v>
      </c>
      <c r="X1246" s="25" t="s">
        <v>2621</v>
      </c>
      <c r="Y1246" s="25"/>
      <c r="Z1246" s="75"/>
      <c r="AA1246" s="3" t="str">
        <f>IF(BCP_Soles[[#This Row],[fecha]]&gt;0,TEXT(BCP_Soles[[#This Row],[fecha]],"mmmm"),0)</f>
        <v>Abril</v>
      </c>
    </row>
    <row r="1247" spans="1:27" x14ac:dyDescent="0.3">
      <c r="A1247" s="2">
        <f>IF(BCP_Soles[[#This Row],[tipo_registro]]="R",COUNTIFS($C$1:$C1246,"R")+1,A1246)</f>
        <v>932</v>
      </c>
      <c r="B1247" s="19" t="str">
        <f t="shared" si="106"/>
        <v>B-BCP - Soles</v>
      </c>
      <c r="C1247" s="3" t="s">
        <v>1330</v>
      </c>
      <c r="D1247" s="14">
        <v>45755</v>
      </c>
      <c r="E1247" s="5" t="s">
        <v>1416</v>
      </c>
      <c r="F1247" s="5" t="s">
        <v>1336</v>
      </c>
      <c r="G1247" s="6"/>
      <c r="H1247" s="6"/>
      <c r="I1247" s="6"/>
      <c r="J1247" s="6"/>
      <c r="K1247" s="7" t="s">
        <v>2622</v>
      </c>
      <c r="L1247" s="8">
        <v>1866</v>
      </c>
      <c r="M1247" s="8" t="str">
        <f t="shared" si="107"/>
        <v>PEN</v>
      </c>
      <c r="N1247" s="13"/>
      <c r="O1247" s="13">
        <v>252.31</v>
      </c>
      <c r="P1247" s="3">
        <f t="shared" si="108"/>
        <v>0</v>
      </c>
      <c r="Q1247" s="3">
        <f t="shared" si="109"/>
        <v>252.31</v>
      </c>
      <c r="R1247" s="3">
        <f t="shared" si="105"/>
        <v>45549.870000000046</v>
      </c>
      <c r="S1247" s="24" t="s">
        <v>1334</v>
      </c>
      <c r="T1247" s="24" t="s">
        <v>1334</v>
      </c>
      <c r="U1247" s="53"/>
      <c r="V1247" s="25" t="str">
        <f>IFERROR(VLOOKUP(BCP_Soles[[#This Row],[destinatario]],CHOOSE({1,2},Clientes_Proveedores[Razon Social],Clientes_Proveedores[Ruc / Dni]),2,0),"")</f>
        <v/>
      </c>
      <c r="W1247" s="25" t="s">
        <v>1540</v>
      </c>
      <c r="X1247" s="25"/>
      <c r="Y1247" s="25"/>
      <c r="Z1247" s="75"/>
      <c r="AA1247" s="3" t="str">
        <f>IF(BCP_Soles[[#This Row],[fecha]]&gt;0,TEXT(BCP_Soles[[#This Row],[fecha]],"mmmm"),0)</f>
        <v>Abril</v>
      </c>
    </row>
    <row r="1248" spans="1:27" x14ac:dyDescent="0.3">
      <c r="A1248" s="2">
        <f>IF(BCP_Soles[[#This Row],[tipo_registro]]="R",COUNTIFS($C$1:$C1247,"R")+1,A1247)</f>
        <v>933</v>
      </c>
      <c r="B1248" s="19" t="str">
        <f t="shared" si="106"/>
        <v>B-BCP - Soles</v>
      </c>
      <c r="C1248" s="3" t="s">
        <v>1330</v>
      </c>
      <c r="D1248" s="14">
        <v>45755</v>
      </c>
      <c r="E1248" s="5" t="s">
        <v>2269</v>
      </c>
      <c r="F1248" s="5" t="s">
        <v>1336</v>
      </c>
      <c r="G1248" s="6" t="s">
        <v>196</v>
      </c>
      <c r="H1248" s="6" t="s">
        <v>68</v>
      </c>
      <c r="I1248" s="6" t="s">
        <v>2226</v>
      </c>
      <c r="J1248" s="6">
        <v>6197</v>
      </c>
      <c r="K1248" s="7" t="s">
        <v>2227</v>
      </c>
      <c r="L1248" s="8">
        <v>203729</v>
      </c>
      <c r="M1248" s="8" t="str">
        <f t="shared" si="107"/>
        <v>PEN</v>
      </c>
      <c r="N1248" s="13"/>
      <c r="O1248" s="13">
        <v>603.36</v>
      </c>
      <c r="P1248" s="3">
        <f t="shared" si="108"/>
        <v>0</v>
      </c>
      <c r="Q1248" s="3">
        <f t="shared" si="109"/>
        <v>603.36</v>
      </c>
      <c r="R1248" s="3">
        <f t="shared" si="105"/>
        <v>44946.510000000046</v>
      </c>
      <c r="S1248" s="24" t="s">
        <v>1334</v>
      </c>
      <c r="T1248" s="24" t="s">
        <v>1334</v>
      </c>
      <c r="U1248" s="53"/>
      <c r="V1248" s="25">
        <f>IFERROR(VLOOKUP(BCP_Soles[[#This Row],[destinatario]],CHOOSE({1,2},Clientes_Proveedores[Razon Social],Clientes_Proveedores[Ruc / Dni]),2,0),"")</f>
        <v>20100055237</v>
      </c>
      <c r="W1248" s="25" t="s">
        <v>2228</v>
      </c>
      <c r="X1248" s="25" t="s">
        <v>2623</v>
      </c>
      <c r="Y1248" s="25"/>
      <c r="Z1248" s="75"/>
      <c r="AA1248" s="3" t="str">
        <f>IF(BCP_Soles[[#This Row],[fecha]]&gt;0,TEXT(BCP_Soles[[#This Row],[fecha]],"mmmm"),0)</f>
        <v>Abril</v>
      </c>
    </row>
    <row r="1249" spans="1:27" ht="24" x14ac:dyDescent="0.3">
      <c r="A1249" s="2">
        <f>IF(BCP_Soles[[#This Row],[tipo_registro]]="R",COUNTIFS($C$1:$C1248,"R")+1,A1248)</f>
        <v>934</v>
      </c>
      <c r="B1249" s="19" t="str">
        <f t="shared" si="106"/>
        <v>B-BCP - Soles</v>
      </c>
      <c r="C1249" s="3" t="s">
        <v>1330</v>
      </c>
      <c r="D1249" s="14">
        <v>45755</v>
      </c>
      <c r="E1249" s="5" t="s">
        <v>2269</v>
      </c>
      <c r="F1249" s="5" t="s">
        <v>1336</v>
      </c>
      <c r="G1249" s="6" t="s">
        <v>249</v>
      </c>
      <c r="H1249" s="6"/>
      <c r="I1249" s="6"/>
      <c r="J1249" s="6"/>
      <c r="K1249" s="7" t="s">
        <v>2624</v>
      </c>
      <c r="L1249" s="8">
        <v>1201350</v>
      </c>
      <c r="M1249" s="8" t="str">
        <f t="shared" si="107"/>
        <v>PEN</v>
      </c>
      <c r="N1249" s="13"/>
      <c r="O1249" s="13">
        <v>737.92</v>
      </c>
      <c r="P1249" s="3">
        <f t="shared" si="108"/>
        <v>0</v>
      </c>
      <c r="Q1249" s="3">
        <f t="shared" si="109"/>
        <v>737.92</v>
      </c>
      <c r="R1249" s="3">
        <f t="shared" si="105"/>
        <v>44208.590000000047</v>
      </c>
      <c r="S1249" s="24"/>
      <c r="T1249" s="24"/>
      <c r="U1249" s="53"/>
      <c r="V1249" s="25">
        <f>IFERROR(VLOOKUP(BCP_Soles[[#This Row],[destinatario]],CHOOSE({1,2},Clientes_Proveedores[Razon Social],Clientes_Proveedores[Ruc / Dni]),2,0),"")</f>
        <v>20302891452</v>
      </c>
      <c r="W1249" s="25" t="s">
        <v>249</v>
      </c>
      <c r="X1249" s="25"/>
      <c r="Y1249" s="25"/>
      <c r="Z1249" s="75"/>
      <c r="AA1249" s="3" t="str">
        <f>IF(BCP_Soles[[#This Row],[fecha]]&gt;0,TEXT(BCP_Soles[[#This Row],[fecha]],"mmmm"),0)</f>
        <v>Abril</v>
      </c>
    </row>
    <row r="1250" spans="1:27" x14ac:dyDescent="0.3">
      <c r="A1250" s="2">
        <f>IF(BCP_Soles[[#This Row],[tipo_registro]]="R",COUNTIFS($C$1:$C1249,"R")+1,A1249)</f>
        <v>935</v>
      </c>
      <c r="B1250" s="19" t="str">
        <f t="shared" si="106"/>
        <v>B-BCP - Soles</v>
      </c>
      <c r="C1250" s="3" t="s">
        <v>1330</v>
      </c>
      <c r="D1250" s="14">
        <v>45755</v>
      </c>
      <c r="E1250" s="5" t="s">
        <v>1416</v>
      </c>
      <c r="F1250" s="5" t="s">
        <v>1336</v>
      </c>
      <c r="G1250" s="6"/>
      <c r="H1250" s="6"/>
      <c r="I1250" s="6"/>
      <c r="J1250" s="6"/>
      <c r="K1250" s="7" t="s">
        <v>2625</v>
      </c>
      <c r="L1250" s="8">
        <v>1852</v>
      </c>
      <c r="M1250" s="8" t="str">
        <f t="shared" si="107"/>
        <v>PEN</v>
      </c>
      <c r="N1250" s="13"/>
      <c r="O1250" s="13">
        <v>792.81</v>
      </c>
      <c r="P1250" s="3">
        <f t="shared" si="108"/>
        <v>0</v>
      </c>
      <c r="Q1250" s="3">
        <f t="shared" si="109"/>
        <v>792.81</v>
      </c>
      <c r="R1250" s="3">
        <f t="shared" si="105"/>
        <v>43415.78000000005</v>
      </c>
      <c r="S1250" s="24" t="s">
        <v>1334</v>
      </c>
      <c r="T1250" s="24" t="s">
        <v>1334</v>
      </c>
      <c r="U1250" s="53"/>
      <c r="V1250" s="25" t="str">
        <f>IFERROR(VLOOKUP(BCP_Soles[[#This Row],[destinatario]],CHOOSE({1,2},Clientes_Proveedores[Razon Social],Clientes_Proveedores[Ruc / Dni]),2,0),"")</f>
        <v/>
      </c>
      <c r="W1250" s="25" t="s">
        <v>1538</v>
      </c>
      <c r="X1250" s="25"/>
      <c r="Y1250" s="25"/>
      <c r="Z1250" s="75"/>
      <c r="AA1250" s="3" t="str">
        <f>IF(BCP_Soles[[#This Row],[fecha]]&gt;0,TEXT(BCP_Soles[[#This Row],[fecha]],"mmmm"),0)</f>
        <v>Abril</v>
      </c>
    </row>
    <row r="1251" spans="1:27" ht="36" x14ac:dyDescent="0.3">
      <c r="A1251" s="2">
        <f>IF(BCP_Soles[[#This Row],[tipo_registro]]="R",COUNTIFS($C$1:$C1250,"R")+1,A1250)</f>
        <v>936</v>
      </c>
      <c r="B1251" s="19" t="str">
        <f t="shared" si="106"/>
        <v>B-BCP - Soles</v>
      </c>
      <c r="C1251" s="3" t="s">
        <v>1330</v>
      </c>
      <c r="D1251" s="14">
        <v>45755</v>
      </c>
      <c r="E1251" s="5" t="s">
        <v>1338</v>
      </c>
      <c r="F1251" s="5" t="s">
        <v>1336</v>
      </c>
      <c r="G1251" s="6" t="s">
        <v>702</v>
      </c>
      <c r="H1251" s="6" t="s">
        <v>68</v>
      </c>
      <c r="I1251" s="6" t="s">
        <v>1463</v>
      </c>
      <c r="J1251" s="6">
        <v>638474</v>
      </c>
      <c r="K1251" s="7" t="s">
        <v>2626</v>
      </c>
      <c r="L1251" s="8">
        <v>98801</v>
      </c>
      <c r="M1251" s="8" t="str">
        <f t="shared" si="107"/>
        <v>PEN</v>
      </c>
      <c r="N1251" s="13"/>
      <c r="O1251" s="13">
        <v>990.55</v>
      </c>
      <c r="P1251" s="3">
        <f t="shared" si="108"/>
        <v>0</v>
      </c>
      <c r="Q1251" s="3">
        <f t="shared" si="109"/>
        <v>990.55</v>
      </c>
      <c r="R1251" s="3">
        <f t="shared" si="105"/>
        <v>42425.230000000047</v>
      </c>
      <c r="S1251" s="24" t="s">
        <v>1334</v>
      </c>
      <c r="T1251" s="24" t="s">
        <v>1334</v>
      </c>
      <c r="U1251" s="53"/>
      <c r="V1251" s="25">
        <f>IFERROR(VLOOKUP(BCP_Soles[[#This Row],[destinatario]],CHOOSE({1,2},Clientes_Proveedores[Razon Social],Clientes_Proveedores[Ruc / Dni]),2,0),"")</f>
        <v>20454073143</v>
      </c>
      <c r="W1251" s="25" t="s">
        <v>1465</v>
      </c>
      <c r="X1251" s="25" t="s">
        <v>2627</v>
      </c>
      <c r="Y1251" s="25"/>
      <c r="Z1251" s="75"/>
      <c r="AA1251" s="3" t="str">
        <f>IF(BCP_Soles[[#This Row],[fecha]]&gt;0,TEXT(BCP_Soles[[#This Row],[fecha]],"mmmm"),0)</f>
        <v>Abril</v>
      </c>
    </row>
    <row r="1252" spans="1:27" x14ac:dyDescent="0.3">
      <c r="A1252" s="2">
        <f>IF(BCP_Soles[[#This Row],[tipo_registro]]="R",COUNTIFS($C$1:$C1251,"R")+1,A1251)</f>
        <v>937</v>
      </c>
      <c r="B1252" s="19" t="str">
        <f t="shared" si="106"/>
        <v>B-BCP - Soles</v>
      </c>
      <c r="C1252" s="3" t="s">
        <v>1330</v>
      </c>
      <c r="D1252" s="14">
        <v>45755</v>
      </c>
      <c r="E1252" s="5" t="s">
        <v>1338</v>
      </c>
      <c r="F1252" s="5" t="s">
        <v>1336</v>
      </c>
      <c r="G1252" s="6"/>
      <c r="H1252" s="6"/>
      <c r="I1252" s="6"/>
      <c r="J1252" s="6"/>
      <c r="K1252" s="7" t="s">
        <v>2628</v>
      </c>
      <c r="L1252" s="8">
        <v>1008408</v>
      </c>
      <c r="M1252" s="8" t="str">
        <f t="shared" si="107"/>
        <v>PEN</v>
      </c>
      <c r="N1252" s="13"/>
      <c r="O1252" s="13">
        <v>1183</v>
      </c>
      <c r="P1252" s="3">
        <f t="shared" si="108"/>
        <v>0</v>
      </c>
      <c r="Q1252" s="3">
        <f t="shared" si="109"/>
        <v>1183</v>
      </c>
      <c r="R1252" s="3">
        <f t="shared" si="105"/>
        <v>41242.230000000047</v>
      </c>
      <c r="S1252" s="24"/>
      <c r="T1252" s="24"/>
      <c r="U1252" s="53"/>
      <c r="V1252" s="25" t="str">
        <f>IFERROR(VLOOKUP(BCP_Soles[[#This Row],[destinatario]],CHOOSE({1,2},Clientes_Proveedores[Razon Social],Clientes_Proveedores[Ruc / Dni]),2,0),"")</f>
        <v/>
      </c>
      <c r="W1252" s="25" t="s">
        <v>1389</v>
      </c>
      <c r="X1252" s="25"/>
      <c r="Y1252" s="25"/>
      <c r="Z1252" s="75"/>
      <c r="AA1252" s="3" t="str">
        <f>IF(BCP_Soles[[#This Row],[fecha]]&gt;0,TEXT(BCP_Soles[[#This Row],[fecha]],"mmmm"),0)</f>
        <v>Abril</v>
      </c>
    </row>
    <row r="1253" spans="1:27" x14ac:dyDescent="0.3">
      <c r="A1253" s="2">
        <f>IF(BCP_Soles[[#This Row],[tipo_registro]]="R",COUNTIFS($C$1:$C1252,"R")+1,A1252)</f>
        <v>938</v>
      </c>
      <c r="B1253" s="19" t="str">
        <f t="shared" si="106"/>
        <v>B-BCP - Soles</v>
      </c>
      <c r="C1253" s="3" t="s">
        <v>1330</v>
      </c>
      <c r="D1253" s="14">
        <v>45755</v>
      </c>
      <c r="E1253" s="5" t="s">
        <v>1416</v>
      </c>
      <c r="F1253" s="5" t="s">
        <v>1336</v>
      </c>
      <c r="G1253" s="6"/>
      <c r="H1253" s="6"/>
      <c r="I1253" s="6"/>
      <c r="J1253" s="6"/>
      <c r="K1253" s="7" t="s">
        <v>2629</v>
      </c>
      <c r="L1253" s="8">
        <v>1863</v>
      </c>
      <c r="M1253" s="8" t="str">
        <f t="shared" si="107"/>
        <v>PEN</v>
      </c>
      <c r="N1253" s="13"/>
      <c r="O1253" s="13">
        <v>1784.27</v>
      </c>
      <c r="P1253" s="3">
        <f t="shared" si="108"/>
        <v>0</v>
      </c>
      <c r="Q1253" s="3">
        <f t="shared" si="109"/>
        <v>1784.27</v>
      </c>
      <c r="R1253" s="3">
        <f t="shared" si="105"/>
        <v>39457.96000000005</v>
      </c>
      <c r="S1253" s="24" t="s">
        <v>1334</v>
      </c>
      <c r="T1253" s="24" t="s">
        <v>1334</v>
      </c>
      <c r="U1253" s="53"/>
      <c r="V1253" s="25" t="str">
        <f>IFERROR(VLOOKUP(BCP_Soles[[#This Row],[destinatario]],CHOOSE({1,2},Clientes_Proveedores[Razon Social],Clientes_Proveedores[Ruc / Dni]),2,0),"")</f>
        <v/>
      </c>
      <c r="W1253" s="25" t="s">
        <v>1535</v>
      </c>
      <c r="X1253" s="25"/>
      <c r="Y1253" s="25"/>
      <c r="Z1253" s="75"/>
      <c r="AA1253" s="3" t="str">
        <f>IF(BCP_Soles[[#This Row],[fecha]]&gt;0,TEXT(BCP_Soles[[#This Row],[fecha]],"mmmm"),0)</f>
        <v>Abril</v>
      </c>
    </row>
    <row r="1254" spans="1:27" ht="24" x14ac:dyDescent="0.3">
      <c r="A1254" s="2">
        <f>IF(BCP_Soles[[#This Row],[tipo_registro]]="R",COUNTIFS($C$1:$C1253,"R")+1,A1253)</f>
        <v>939</v>
      </c>
      <c r="B1254" s="19" t="str">
        <f t="shared" si="106"/>
        <v>B-BCP - Soles</v>
      </c>
      <c r="C1254" s="3" t="s">
        <v>1330</v>
      </c>
      <c r="D1254" s="14">
        <v>45755</v>
      </c>
      <c r="E1254" s="5" t="s">
        <v>2269</v>
      </c>
      <c r="F1254" s="5" t="s">
        <v>1336</v>
      </c>
      <c r="G1254" s="6" t="s">
        <v>249</v>
      </c>
      <c r="H1254" s="6"/>
      <c r="I1254" s="6"/>
      <c r="J1254" s="6"/>
      <c r="K1254" s="7" t="s">
        <v>2630</v>
      </c>
      <c r="L1254" s="8">
        <v>1202788</v>
      </c>
      <c r="M1254" s="8" t="str">
        <f t="shared" si="107"/>
        <v>PEN</v>
      </c>
      <c r="N1254" s="13"/>
      <c r="O1254" s="13">
        <v>1967.3</v>
      </c>
      <c r="P1254" s="3">
        <f t="shared" si="108"/>
        <v>0</v>
      </c>
      <c r="Q1254" s="3">
        <f t="shared" si="109"/>
        <v>1967.3</v>
      </c>
      <c r="R1254" s="3">
        <f t="shared" si="105"/>
        <v>37490.660000000047</v>
      </c>
      <c r="S1254" s="24"/>
      <c r="T1254" s="24"/>
      <c r="U1254" s="53"/>
      <c r="V1254" s="25">
        <f>IFERROR(VLOOKUP(BCP_Soles[[#This Row],[destinatario]],CHOOSE({1,2},Clientes_Proveedores[Razon Social],Clientes_Proveedores[Ruc / Dni]),2,0),"")</f>
        <v>20302891452</v>
      </c>
      <c r="W1254" s="25" t="s">
        <v>249</v>
      </c>
      <c r="X1254" s="25"/>
      <c r="Y1254" s="25"/>
      <c r="Z1254" s="75"/>
      <c r="AA1254" s="3" t="str">
        <f>IF(BCP_Soles[[#This Row],[fecha]]&gt;0,TEXT(BCP_Soles[[#This Row],[fecha]],"mmmm"),0)</f>
        <v>Abril</v>
      </c>
    </row>
    <row r="1255" spans="1:27" x14ac:dyDescent="0.3">
      <c r="A1255" s="2">
        <f>IF(BCP_Soles[[#This Row],[tipo_registro]]="R",COUNTIFS($C$1:$C1254,"R")+1,A1254)</f>
        <v>940</v>
      </c>
      <c r="B1255" s="19" t="str">
        <f t="shared" si="106"/>
        <v>B-BCP - Soles</v>
      </c>
      <c r="C1255" s="3" t="s">
        <v>1330</v>
      </c>
      <c r="D1255" s="14">
        <v>45755</v>
      </c>
      <c r="E1255" s="5" t="s">
        <v>1416</v>
      </c>
      <c r="F1255" s="5" t="s">
        <v>1336</v>
      </c>
      <c r="G1255" s="6"/>
      <c r="H1255" s="6"/>
      <c r="I1255" s="6"/>
      <c r="J1255" s="6"/>
      <c r="K1255" s="7" t="s">
        <v>2631</v>
      </c>
      <c r="L1255" s="8">
        <v>1857</v>
      </c>
      <c r="M1255" s="8" t="str">
        <f t="shared" si="107"/>
        <v>PEN</v>
      </c>
      <c r="N1255" s="13"/>
      <c r="O1255" s="13">
        <v>4768.7</v>
      </c>
      <c r="P1255" s="3">
        <f t="shared" si="108"/>
        <v>0</v>
      </c>
      <c r="Q1255" s="3">
        <f t="shared" si="109"/>
        <v>4768.7</v>
      </c>
      <c r="R1255" s="3">
        <f t="shared" si="105"/>
        <v>32721.960000000046</v>
      </c>
      <c r="S1255" s="24" t="s">
        <v>1334</v>
      </c>
      <c r="T1255" s="24" t="s">
        <v>1334</v>
      </c>
      <c r="U1255" s="53"/>
      <c r="V1255" s="25" t="str">
        <f>IFERROR(VLOOKUP(BCP_Soles[[#This Row],[destinatario]],CHOOSE({1,2},Clientes_Proveedores[Razon Social],Clientes_Proveedores[Ruc / Dni]),2,0),"")</f>
        <v/>
      </c>
      <c r="W1255" s="25" t="s">
        <v>1532</v>
      </c>
      <c r="X1255" s="25"/>
      <c r="Y1255" s="25"/>
      <c r="Z1255" s="75"/>
      <c r="AA1255" s="3" t="str">
        <f>IF(BCP_Soles[[#This Row],[fecha]]&gt;0,TEXT(BCP_Soles[[#This Row],[fecha]],"mmmm"),0)</f>
        <v>Abril</v>
      </c>
    </row>
    <row r="1256" spans="1:27" x14ac:dyDescent="0.3">
      <c r="A1256" s="2">
        <f>IF(BCP_Soles[[#This Row],[tipo_registro]]="R",COUNTIFS($C$1:$C1255,"R")+1,A1255)</f>
        <v>941</v>
      </c>
      <c r="B1256" s="19" t="str">
        <f t="shared" si="106"/>
        <v>B-BCP - Soles</v>
      </c>
      <c r="C1256" s="3" t="s">
        <v>1330</v>
      </c>
      <c r="D1256" s="14">
        <v>45755</v>
      </c>
      <c r="E1256" s="5" t="s">
        <v>2269</v>
      </c>
      <c r="F1256" s="5" t="s">
        <v>1336</v>
      </c>
      <c r="G1256" s="6"/>
      <c r="H1256" s="6"/>
      <c r="I1256" s="6"/>
      <c r="J1256" s="6"/>
      <c r="K1256" s="7" t="s">
        <v>2632</v>
      </c>
      <c r="L1256" s="8">
        <v>2093319</v>
      </c>
      <c r="M1256" s="8" t="str">
        <f t="shared" si="107"/>
        <v>PEN</v>
      </c>
      <c r="N1256" s="13"/>
      <c r="O1256" s="13">
        <v>5793.25</v>
      </c>
      <c r="P1256" s="3">
        <f t="shared" si="108"/>
        <v>0</v>
      </c>
      <c r="Q1256" s="3">
        <f t="shared" si="109"/>
        <v>5793.25</v>
      </c>
      <c r="R1256" s="3">
        <f t="shared" si="105"/>
        <v>26928.710000000046</v>
      </c>
      <c r="S1256" s="24" t="s">
        <v>1334</v>
      </c>
      <c r="T1256" s="24" t="s">
        <v>1334</v>
      </c>
      <c r="U1256" s="53"/>
      <c r="V1256" s="25" t="str">
        <f>IFERROR(VLOOKUP(BCP_Soles[[#This Row],[destinatario]],CHOOSE({1,2},Clientes_Proveedores[Razon Social],Clientes_Proveedores[Ruc / Dni]),2,0),"")</f>
        <v/>
      </c>
      <c r="W1256" s="25" t="s">
        <v>1373</v>
      </c>
      <c r="X1256" s="25"/>
      <c r="Y1256" s="25"/>
      <c r="Z1256" s="75"/>
      <c r="AA1256" s="3" t="str">
        <f>IF(BCP_Soles[[#This Row],[fecha]]&gt;0,TEXT(BCP_Soles[[#This Row],[fecha]],"mmmm"),0)</f>
        <v>Abril</v>
      </c>
    </row>
    <row r="1257" spans="1:27" ht="36" x14ac:dyDescent="0.3">
      <c r="A1257" s="2">
        <f>IF(BCP_Soles[[#This Row],[tipo_registro]]="R",COUNTIFS($C$1:$C1256,"R")+1,A1256)</f>
        <v>941</v>
      </c>
      <c r="B1257" s="19" t="str">
        <f t="shared" si="106"/>
        <v>B-BCP - Soles</v>
      </c>
      <c r="C1257" s="3" t="s">
        <v>1352</v>
      </c>
      <c r="D1257" s="14">
        <v>45755</v>
      </c>
      <c r="E1257" s="5" t="s">
        <v>2269</v>
      </c>
      <c r="F1257" s="5"/>
      <c r="G1257" s="6" t="s">
        <v>307</v>
      </c>
      <c r="H1257" s="6" t="s">
        <v>68</v>
      </c>
      <c r="I1257" s="6" t="s">
        <v>1376</v>
      </c>
      <c r="J1257" s="6">
        <v>157</v>
      </c>
      <c r="K1257" s="7" t="s">
        <v>2632</v>
      </c>
      <c r="L1257" s="8">
        <v>2093319</v>
      </c>
      <c r="M1257" s="8" t="str">
        <f t="shared" si="107"/>
        <v>PEN</v>
      </c>
      <c r="N1257" s="13">
        <v>1248</v>
      </c>
      <c r="O1257" s="13"/>
      <c r="P1257" s="3">
        <f t="shared" si="108"/>
        <v>0</v>
      </c>
      <c r="Q1257" s="3">
        <f t="shared" si="109"/>
        <v>0</v>
      </c>
      <c r="R1257" s="3">
        <f t="shared" si="105"/>
        <v>26928.710000000046</v>
      </c>
      <c r="S1257" s="24"/>
      <c r="T1257" s="24" t="s">
        <v>1334</v>
      </c>
      <c r="U1257" s="53"/>
      <c r="V1257" s="25">
        <f>IFERROR(VLOOKUP(BCP_Soles[[#This Row],[destinatario]],CHOOSE({1,2},Clientes_Proveedores[Razon Social],Clientes_Proveedores[Ruc / Dni]),2,0),"")</f>
        <v>20455932824</v>
      </c>
      <c r="W1257" s="25"/>
      <c r="X1257" s="25"/>
      <c r="Y1257" s="25"/>
      <c r="Z1257" s="75"/>
      <c r="AA1257" s="3" t="str">
        <f>IF(BCP_Soles[[#This Row],[fecha]]&gt;0,TEXT(BCP_Soles[[#This Row],[fecha]],"mmmm"),0)</f>
        <v>Abril</v>
      </c>
    </row>
    <row r="1258" spans="1:27" ht="24" x14ac:dyDescent="0.3">
      <c r="A1258" s="2">
        <f>IF(BCP_Soles[[#This Row],[tipo_registro]]="R",COUNTIFS($C$1:$C1257,"R")+1,A1257)</f>
        <v>941</v>
      </c>
      <c r="B1258" s="19" t="str">
        <f t="shared" si="106"/>
        <v>B-BCP - Soles</v>
      </c>
      <c r="C1258" s="3" t="s">
        <v>1352</v>
      </c>
      <c r="D1258" s="14">
        <v>45755</v>
      </c>
      <c r="E1258" s="5" t="s">
        <v>2269</v>
      </c>
      <c r="F1258" s="5"/>
      <c r="G1258" s="6" t="s">
        <v>271</v>
      </c>
      <c r="H1258" s="6" t="s">
        <v>68</v>
      </c>
      <c r="I1258" s="6" t="s">
        <v>1375</v>
      </c>
      <c r="J1258" s="6">
        <v>6888</v>
      </c>
      <c r="K1258" s="7" t="s">
        <v>2632</v>
      </c>
      <c r="L1258" s="8">
        <v>2093319</v>
      </c>
      <c r="M1258" s="8" t="str">
        <f t="shared" si="107"/>
        <v>PEN</v>
      </c>
      <c r="N1258" s="13">
        <v>229.5</v>
      </c>
      <c r="O1258" s="13"/>
      <c r="P1258" s="3">
        <f t="shared" si="108"/>
        <v>0</v>
      </c>
      <c r="Q1258" s="3">
        <f t="shared" si="109"/>
        <v>0</v>
      </c>
      <c r="R1258" s="3">
        <f t="shared" si="105"/>
        <v>26928.710000000046</v>
      </c>
      <c r="S1258" s="24"/>
      <c r="T1258" s="24" t="s">
        <v>1334</v>
      </c>
      <c r="U1258" s="53"/>
      <c r="V1258" s="25">
        <f>IFERROR(VLOOKUP(BCP_Soles[[#This Row],[destinatario]],CHOOSE({1,2},Clientes_Proveedores[Razon Social],Clientes_Proveedores[Ruc / Dni]),2,0),"")</f>
        <v>20419158462</v>
      </c>
      <c r="W1258" s="25"/>
      <c r="X1258" s="25"/>
      <c r="Y1258" s="25"/>
      <c r="Z1258" s="75"/>
      <c r="AA1258" s="3" t="str">
        <f>IF(BCP_Soles[[#This Row],[fecha]]&gt;0,TEXT(BCP_Soles[[#This Row],[fecha]],"mmmm"),0)</f>
        <v>Abril</v>
      </c>
    </row>
    <row r="1259" spans="1:27" x14ac:dyDescent="0.3">
      <c r="A1259" s="2">
        <f>IF(BCP_Soles[[#This Row],[tipo_registro]]="R",COUNTIFS($C$1:$C1258,"R")+1,A1258)</f>
        <v>941</v>
      </c>
      <c r="B1259" s="19" t="str">
        <f t="shared" si="106"/>
        <v>B-BCP - Soles</v>
      </c>
      <c r="C1259" s="3" t="s">
        <v>1352</v>
      </c>
      <c r="D1259" s="14">
        <v>45755</v>
      </c>
      <c r="E1259" s="5" t="s">
        <v>2269</v>
      </c>
      <c r="F1259" s="5"/>
      <c r="G1259" s="6" t="s">
        <v>522</v>
      </c>
      <c r="H1259" s="6" t="s">
        <v>68</v>
      </c>
      <c r="I1259" s="6" t="s">
        <v>1376</v>
      </c>
      <c r="J1259" s="6">
        <v>3785</v>
      </c>
      <c r="K1259" s="7" t="s">
        <v>2632</v>
      </c>
      <c r="L1259" s="8">
        <v>2093319</v>
      </c>
      <c r="M1259" s="8" t="str">
        <f t="shared" si="107"/>
        <v>PEN</v>
      </c>
      <c r="N1259" s="13">
        <v>250.75</v>
      </c>
      <c r="O1259" s="13"/>
      <c r="P1259" s="3">
        <f t="shared" si="108"/>
        <v>0</v>
      </c>
      <c r="Q1259" s="3">
        <f t="shared" si="109"/>
        <v>0</v>
      </c>
      <c r="R1259" s="3">
        <f t="shared" si="105"/>
        <v>26928.710000000046</v>
      </c>
      <c r="S1259" s="24"/>
      <c r="T1259" s="24" t="s">
        <v>1334</v>
      </c>
      <c r="U1259" s="53"/>
      <c r="V1259" s="25">
        <f>IFERROR(VLOOKUP(BCP_Soles[[#This Row],[destinatario]],CHOOSE({1,2},Clientes_Proveedores[Razon Social],Clientes_Proveedores[Ruc / Dni]),2,0),"")</f>
        <v>20603974817</v>
      </c>
      <c r="W1259" s="25"/>
      <c r="X1259" s="25"/>
      <c r="Y1259" s="25"/>
      <c r="Z1259" s="75"/>
      <c r="AA1259" s="3" t="str">
        <f>IF(BCP_Soles[[#This Row],[fecha]]&gt;0,TEXT(BCP_Soles[[#This Row],[fecha]],"mmmm"),0)</f>
        <v>Abril</v>
      </c>
    </row>
    <row r="1260" spans="1:27" ht="24" x14ac:dyDescent="0.3">
      <c r="A1260" s="2">
        <f>IF(BCP_Soles[[#This Row],[tipo_registro]]="R",COUNTIFS($C$1:$C1259,"R")+1,A1259)</f>
        <v>941</v>
      </c>
      <c r="B1260" s="19" t="str">
        <f t="shared" si="106"/>
        <v>B-BCP - Soles</v>
      </c>
      <c r="C1260" s="3" t="s">
        <v>1352</v>
      </c>
      <c r="D1260" s="14">
        <v>45755</v>
      </c>
      <c r="E1260" s="5" t="s">
        <v>2269</v>
      </c>
      <c r="F1260" s="5"/>
      <c r="G1260" s="6" t="s">
        <v>464</v>
      </c>
      <c r="H1260" s="6" t="s">
        <v>68</v>
      </c>
      <c r="I1260" s="6" t="s">
        <v>1376</v>
      </c>
      <c r="J1260" s="6">
        <v>796</v>
      </c>
      <c r="K1260" s="7" t="s">
        <v>2632</v>
      </c>
      <c r="L1260" s="8">
        <v>2093319</v>
      </c>
      <c r="M1260" s="8" t="str">
        <f t="shared" si="107"/>
        <v>PEN</v>
      </c>
      <c r="N1260" s="13">
        <v>2800</v>
      </c>
      <c r="O1260" s="13"/>
      <c r="P1260" s="3">
        <f t="shared" si="108"/>
        <v>0</v>
      </c>
      <c r="Q1260" s="3">
        <f t="shared" si="109"/>
        <v>0</v>
      </c>
      <c r="R1260" s="3">
        <f t="shared" si="105"/>
        <v>26928.710000000046</v>
      </c>
      <c r="S1260" s="24"/>
      <c r="T1260" s="24" t="s">
        <v>1334</v>
      </c>
      <c r="U1260" s="53"/>
      <c r="V1260" s="25">
        <f>IFERROR(VLOOKUP(BCP_Soles[[#This Row],[destinatario]],CHOOSE({1,2},Clientes_Proveedores[Razon Social],Clientes_Proveedores[Ruc / Dni]),2,0),"")</f>
        <v>20601279666</v>
      </c>
      <c r="W1260" s="25"/>
      <c r="X1260" s="25"/>
      <c r="Y1260" s="25"/>
      <c r="Z1260" s="75"/>
      <c r="AA1260" s="3" t="str">
        <f>IF(BCP_Soles[[#This Row],[fecha]]&gt;0,TEXT(BCP_Soles[[#This Row],[fecha]],"mmmm"),0)</f>
        <v>Abril</v>
      </c>
    </row>
    <row r="1261" spans="1:27" ht="36" x14ac:dyDescent="0.3">
      <c r="A1261" s="2">
        <f>IF(BCP_Soles[[#This Row],[tipo_registro]]="R",COUNTIFS($C$1:$C1260,"R")+1,A1260)</f>
        <v>941</v>
      </c>
      <c r="B1261" s="19" t="str">
        <f t="shared" si="106"/>
        <v>B-BCP - Soles</v>
      </c>
      <c r="C1261" s="3" t="s">
        <v>1352</v>
      </c>
      <c r="D1261" s="14">
        <v>45755</v>
      </c>
      <c r="E1261" s="5" t="s">
        <v>2269</v>
      </c>
      <c r="F1261" s="5"/>
      <c r="G1261" s="6" t="s">
        <v>474</v>
      </c>
      <c r="H1261" s="6" t="s">
        <v>68</v>
      </c>
      <c r="I1261" s="6" t="s">
        <v>1376</v>
      </c>
      <c r="J1261" s="6">
        <v>732</v>
      </c>
      <c r="K1261" s="7" t="s">
        <v>2632</v>
      </c>
      <c r="L1261" s="8">
        <v>2093319</v>
      </c>
      <c r="M1261" s="8" t="str">
        <f t="shared" si="107"/>
        <v>PEN</v>
      </c>
      <c r="N1261" s="13">
        <v>793</v>
      </c>
      <c r="O1261" s="13"/>
      <c r="P1261" s="3">
        <f t="shared" si="108"/>
        <v>0</v>
      </c>
      <c r="Q1261" s="3">
        <f t="shared" si="109"/>
        <v>0</v>
      </c>
      <c r="R1261" s="3">
        <f t="shared" si="105"/>
        <v>26928.710000000046</v>
      </c>
      <c r="S1261" s="24"/>
      <c r="T1261" s="24" t="s">
        <v>1334</v>
      </c>
      <c r="U1261" s="53"/>
      <c r="V1261" s="25">
        <f>IFERROR(VLOOKUP(BCP_Soles[[#This Row],[destinatario]],CHOOSE({1,2},Clientes_Proveedores[Razon Social],Clientes_Proveedores[Ruc / Dni]),2,0),"")</f>
        <v>20602075177</v>
      </c>
      <c r="W1261" s="25"/>
      <c r="X1261" s="25"/>
      <c r="Y1261" s="25"/>
      <c r="Z1261" s="75"/>
      <c r="AA1261" s="3" t="str">
        <f>IF(BCP_Soles[[#This Row],[fecha]]&gt;0,TEXT(BCP_Soles[[#This Row],[fecha]],"mmmm"),0)</f>
        <v>Abril</v>
      </c>
    </row>
    <row r="1262" spans="1:27" x14ac:dyDescent="0.3">
      <c r="A1262" s="2">
        <f>IF(BCP_Soles[[#This Row],[tipo_registro]]="R",COUNTIFS($C$1:$C1261,"R")+1,A1261)</f>
        <v>941</v>
      </c>
      <c r="B1262" s="19" t="str">
        <f t="shared" si="106"/>
        <v>B-BCP - Soles</v>
      </c>
      <c r="C1262" s="3" t="s">
        <v>1352</v>
      </c>
      <c r="D1262" s="14">
        <v>45755</v>
      </c>
      <c r="E1262" s="5" t="s">
        <v>2269</v>
      </c>
      <c r="F1262" s="5"/>
      <c r="G1262" s="6" t="s">
        <v>522</v>
      </c>
      <c r="H1262" s="6" t="s">
        <v>68</v>
      </c>
      <c r="I1262" s="6" t="s">
        <v>1376</v>
      </c>
      <c r="J1262" s="6">
        <v>3780</v>
      </c>
      <c r="K1262" s="7" t="s">
        <v>2632</v>
      </c>
      <c r="L1262" s="8">
        <v>2093319</v>
      </c>
      <c r="M1262" s="8" t="str">
        <f t="shared" si="107"/>
        <v>PEN</v>
      </c>
      <c r="N1262" s="13">
        <v>200.6</v>
      </c>
      <c r="O1262" s="13"/>
      <c r="P1262" s="3">
        <f t="shared" si="108"/>
        <v>0</v>
      </c>
      <c r="Q1262" s="3">
        <f t="shared" si="109"/>
        <v>0</v>
      </c>
      <c r="R1262" s="3">
        <f t="shared" si="105"/>
        <v>26928.710000000046</v>
      </c>
      <c r="S1262" s="24"/>
      <c r="T1262" s="24" t="s">
        <v>1334</v>
      </c>
      <c r="U1262" s="53"/>
      <c r="V1262" s="25">
        <f>IFERROR(VLOOKUP(BCP_Soles[[#This Row],[destinatario]],CHOOSE({1,2},Clientes_Proveedores[Razon Social],Clientes_Proveedores[Ruc / Dni]),2,0),"")</f>
        <v>20603974817</v>
      </c>
      <c r="W1262" s="25"/>
      <c r="X1262" s="25"/>
      <c r="Y1262" s="25"/>
      <c r="Z1262" s="75"/>
      <c r="AA1262" s="3" t="str">
        <f>IF(BCP_Soles[[#This Row],[fecha]]&gt;0,TEXT(BCP_Soles[[#This Row],[fecha]],"mmmm"),0)</f>
        <v>Abril</v>
      </c>
    </row>
    <row r="1263" spans="1:27" ht="24" x14ac:dyDescent="0.3">
      <c r="A1263" s="2">
        <f>IF(BCP_Soles[[#This Row],[tipo_registro]]="R",COUNTIFS($C$1:$C1262,"R")+1,A1262)</f>
        <v>941</v>
      </c>
      <c r="B1263" s="19" t="str">
        <f t="shared" si="106"/>
        <v>B-BCP - Soles</v>
      </c>
      <c r="C1263" s="3" t="s">
        <v>1352</v>
      </c>
      <c r="D1263" s="14">
        <v>45755</v>
      </c>
      <c r="E1263" s="5" t="s">
        <v>2269</v>
      </c>
      <c r="F1263" s="5"/>
      <c r="G1263" s="6" t="s">
        <v>594</v>
      </c>
      <c r="H1263" s="6" t="s">
        <v>68</v>
      </c>
      <c r="I1263" s="6" t="s">
        <v>1376</v>
      </c>
      <c r="J1263" s="6">
        <v>2063</v>
      </c>
      <c r="K1263" s="7" t="s">
        <v>2632</v>
      </c>
      <c r="L1263" s="8">
        <v>2093319</v>
      </c>
      <c r="M1263" s="8" t="str">
        <f t="shared" si="107"/>
        <v>PEN</v>
      </c>
      <c r="N1263" s="13">
        <v>70.8</v>
      </c>
      <c r="O1263" s="13"/>
      <c r="P1263" s="3">
        <f t="shared" si="108"/>
        <v>0</v>
      </c>
      <c r="Q1263" s="3">
        <f t="shared" si="109"/>
        <v>0</v>
      </c>
      <c r="R1263" s="3">
        <f t="shared" si="105"/>
        <v>26928.710000000046</v>
      </c>
      <c r="S1263" s="24"/>
      <c r="T1263" s="24" t="s">
        <v>1334</v>
      </c>
      <c r="U1263" s="53"/>
      <c r="V1263" s="25">
        <f>IFERROR(VLOOKUP(BCP_Soles[[#This Row],[destinatario]],CHOOSE({1,2},Clientes_Proveedores[Razon Social],Clientes_Proveedores[Ruc / Dni]),2,0),"")</f>
        <v>20609764261</v>
      </c>
      <c r="W1263" s="25"/>
      <c r="X1263" s="25"/>
      <c r="Y1263" s="25"/>
      <c r="Z1263" s="75"/>
      <c r="AA1263" s="3" t="str">
        <f>IF(BCP_Soles[[#This Row],[fecha]]&gt;0,TEXT(BCP_Soles[[#This Row],[fecha]],"mmmm"),0)</f>
        <v>Abril</v>
      </c>
    </row>
    <row r="1264" spans="1:27" x14ac:dyDescent="0.3">
      <c r="A1264" s="2">
        <f>IF(BCP_Soles[[#This Row],[tipo_registro]]="R",COUNTIFS($C$1:$C1263,"R")+1,A1263)</f>
        <v>941</v>
      </c>
      <c r="B1264" s="19" t="str">
        <f t="shared" si="106"/>
        <v>B-BCP - Soles</v>
      </c>
      <c r="C1264" s="3" t="s">
        <v>1352</v>
      </c>
      <c r="D1264" s="14">
        <v>45755</v>
      </c>
      <c r="E1264" s="5" t="s">
        <v>2269</v>
      </c>
      <c r="F1264" s="5"/>
      <c r="G1264" s="6" t="s">
        <v>522</v>
      </c>
      <c r="H1264" s="6" t="s">
        <v>68</v>
      </c>
      <c r="I1264" s="6" t="s">
        <v>1376</v>
      </c>
      <c r="J1264" s="6">
        <v>3772</v>
      </c>
      <c r="K1264" s="7" t="s">
        <v>2632</v>
      </c>
      <c r="L1264" s="8">
        <v>2093319</v>
      </c>
      <c r="M1264" s="8" t="str">
        <f t="shared" si="107"/>
        <v>PEN</v>
      </c>
      <c r="N1264" s="13">
        <v>200.6</v>
      </c>
      <c r="O1264" s="13"/>
      <c r="P1264" s="3">
        <f t="shared" si="108"/>
        <v>0</v>
      </c>
      <c r="Q1264" s="3">
        <f t="shared" si="109"/>
        <v>0</v>
      </c>
      <c r="R1264" s="3">
        <f t="shared" si="105"/>
        <v>26928.710000000046</v>
      </c>
      <c r="S1264" s="24"/>
      <c r="T1264" s="24" t="s">
        <v>1334</v>
      </c>
      <c r="U1264" s="53"/>
      <c r="V1264" s="25">
        <f>IFERROR(VLOOKUP(BCP_Soles[[#This Row],[destinatario]],CHOOSE({1,2},Clientes_Proveedores[Razon Social],Clientes_Proveedores[Ruc / Dni]),2,0),"")</f>
        <v>20603974817</v>
      </c>
      <c r="W1264" s="25"/>
      <c r="X1264" s="25"/>
      <c r="Y1264" s="25"/>
      <c r="Z1264" s="75"/>
      <c r="AA1264" s="3" t="str">
        <f>IF(BCP_Soles[[#This Row],[fecha]]&gt;0,TEXT(BCP_Soles[[#This Row],[fecha]],"mmmm"),0)</f>
        <v>Abril</v>
      </c>
    </row>
    <row r="1265" spans="1:27" x14ac:dyDescent="0.3">
      <c r="A1265" s="2">
        <f>IF(BCP_Soles[[#This Row],[tipo_registro]]="R",COUNTIFS($C$1:$C1264,"R")+1,A1264)</f>
        <v>942</v>
      </c>
      <c r="B1265" s="19" t="str">
        <f t="shared" si="106"/>
        <v>B-BCP - Soles</v>
      </c>
      <c r="C1265" s="3" t="s">
        <v>1330</v>
      </c>
      <c r="D1265" s="14">
        <v>45756</v>
      </c>
      <c r="E1265" s="5" t="s">
        <v>1335</v>
      </c>
      <c r="F1265" s="5" t="s">
        <v>1336</v>
      </c>
      <c r="G1265" s="6"/>
      <c r="H1265" s="6"/>
      <c r="I1265" s="6"/>
      <c r="J1265" s="6"/>
      <c r="K1265" s="7" t="s">
        <v>1337</v>
      </c>
      <c r="L1265" s="8"/>
      <c r="M1265" s="8" t="str">
        <f t="shared" si="107"/>
        <v>PEN</v>
      </c>
      <c r="N1265" s="13"/>
      <c r="O1265" s="13">
        <v>0.65</v>
      </c>
      <c r="P1265" s="3">
        <f t="shared" si="108"/>
        <v>0</v>
      </c>
      <c r="Q1265" s="3">
        <f t="shared" si="109"/>
        <v>0.65</v>
      </c>
      <c r="R1265" s="3">
        <f t="shared" si="105"/>
        <v>26928.060000000045</v>
      </c>
      <c r="S1265" s="24"/>
      <c r="T1265" s="24" t="s">
        <v>1334</v>
      </c>
      <c r="U1265" s="53"/>
      <c r="V1265" s="25" t="str">
        <f>IFERROR(VLOOKUP(BCP_Soles[[#This Row],[destinatario]],CHOOSE({1,2},Clientes_Proveedores[Razon Social],Clientes_Proveedores[Ruc / Dni]),2,0),"")</f>
        <v/>
      </c>
      <c r="W1265" s="25"/>
      <c r="X1265" s="25"/>
      <c r="Y1265" s="25"/>
      <c r="Z1265" s="75"/>
      <c r="AA1265" s="3" t="str">
        <f>IF(BCP_Soles[[#This Row],[fecha]]&gt;0,TEXT(BCP_Soles[[#This Row],[fecha]],"mmmm"),0)</f>
        <v>Abril</v>
      </c>
    </row>
    <row r="1266" spans="1:27" ht="24" x14ac:dyDescent="0.3">
      <c r="A1266" s="2">
        <f>IF(BCP_Soles[[#This Row],[tipo_registro]]="R",COUNTIFS($C$1:$C1265,"R")+1,A1265)</f>
        <v>943</v>
      </c>
      <c r="B1266" s="19" t="str">
        <f t="shared" si="106"/>
        <v>B-BCP - Soles</v>
      </c>
      <c r="C1266" s="3" t="s">
        <v>1330</v>
      </c>
      <c r="D1266" s="14">
        <v>45756</v>
      </c>
      <c r="E1266" s="5" t="s">
        <v>1338</v>
      </c>
      <c r="F1266" s="5" t="s">
        <v>1336</v>
      </c>
      <c r="G1266" s="6" t="s">
        <v>249</v>
      </c>
      <c r="H1266" s="6"/>
      <c r="I1266" s="6"/>
      <c r="J1266" s="6"/>
      <c r="K1266" s="7" t="s">
        <v>2624</v>
      </c>
      <c r="L1266" s="8">
        <v>1131461</v>
      </c>
      <c r="M1266" s="8" t="str">
        <f t="shared" si="107"/>
        <v>PEN</v>
      </c>
      <c r="N1266" s="13"/>
      <c r="O1266" s="13">
        <v>2104.1799999999998</v>
      </c>
      <c r="P1266" s="3">
        <f t="shared" si="108"/>
        <v>0</v>
      </c>
      <c r="Q1266" s="3">
        <f t="shared" si="109"/>
        <v>2104.1799999999998</v>
      </c>
      <c r="R1266" s="3">
        <f t="shared" si="105"/>
        <v>24823.880000000045</v>
      </c>
      <c r="S1266" s="24"/>
      <c r="T1266" s="24"/>
      <c r="U1266" s="53"/>
      <c r="V1266" s="25">
        <f>IFERROR(VLOOKUP(BCP_Soles[[#This Row],[destinatario]],CHOOSE({1,2},Clientes_Proveedores[Razon Social],Clientes_Proveedores[Ruc / Dni]),2,0),"")</f>
        <v>20302891452</v>
      </c>
      <c r="W1266" s="25" t="s">
        <v>249</v>
      </c>
      <c r="X1266" s="25"/>
      <c r="Y1266" s="25"/>
      <c r="Z1266" s="75"/>
      <c r="AA1266" s="3" t="str">
        <f>IF(BCP_Soles[[#This Row],[fecha]]&gt;0,TEXT(BCP_Soles[[#This Row],[fecha]],"mmmm"),0)</f>
        <v>Abril</v>
      </c>
    </row>
    <row r="1267" spans="1:27" ht="24" x14ac:dyDescent="0.3">
      <c r="A1267" s="2">
        <f>IF(BCP_Soles[[#This Row],[tipo_registro]]="R",COUNTIFS($C$1:$C1266,"R")+1,A1266)</f>
        <v>944</v>
      </c>
      <c r="B1267" s="19" t="str">
        <f t="shared" si="106"/>
        <v>B-BCP - Soles</v>
      </c>
      <c r="C1267" s="3" t="s">
        <v>1330</v>
      </c>
      <c r="D1267" s="14">
        <v>45756</v>
      </c>
      <c r="E1267" s="5" t="s">
        <v>2269</v>
      </c>
      <c r="F1267" s="5" t="s">
        <v>1336</v>
      </c>
      <c r="G1267" s="6"/>
      <c r="H1267" s="6"/>
      <c r="I1267" s="6"/>
      <c r="J1267" s="6"/>
      <c r="K1267" s="7" t="s">
        <v>2633</v>
      </c>
      <c r="L1267" s="8">
        <v>1146829</v>
      </c>
      <c r="M1267" s="8" t="str">
        <f t="shared" si="107"/>
        <v>PEN</v>
      </c>
      <c r="N1267" s="13"/>
      <c r="O1267" s="13">
        <v>1939.92</v>
      </c>
      <c r="P1267" s="3">
        <f t="shared" si="108"/>
        <v>0</v>
      </c>
      <c r="Q1267" s="3">
        <f t="shared" si="109"/>
        <v>1939.92</v>
      </c>
      <c r="R1267" s="3">
        <f t="shared" si="105"/>
        <v>22883.960000000043</v>
      </c>
      <c r="S1267" s="24" t="s">
        <v>1334</v>
      </c>
      <c r="T1267" s="24" t="s">
        <v>1334</v>
      </c>
      <c r="U1267" s="53"/>
      <c r="V1267" s="25" t="str">
        <f>IFERROR(VLOOKUP(BCP_Soles[[#This Row],[destinatario]],CHOOSE({1,2},Clientes_Proveedores[Razon Social],Clientes_Proveedores[Ruc / Dni]),2,0),"")</f>
        <v/>
      </c>
      <c r="W1267" s="25" t="s">
        <v>658</v>
      </c>
      <c r="X1267" s="25" t="s">
        <v>2634</v>
      </c>
      <c r="Y1267" s="25"/>
      <c r="Z1267" s="75"/>
      <c r="AA1267" s="3" t="str">
        <f>IF(BCP_Soles[[#This Row],[fecha]]&gt;0,TEXT(BCP_Soles[[#This Row],[fecha]],"mmmm"),0)</f>
        <v>Abril</v>
      </c>
    </row>
    <row r="1268" spans="1:27" ht="24" x14ac:dyDescent="0.3">
      <c r="A1268" s="2">
        <f>IF(BCP_Soles[[#This Row],[tipo_registro]]="R",COUNTIFS($C$1:$C1267,"R")+1,A1267)</f>
        <v>945</v>
      </c>
      <c r="B1268" s="19" t="str">
        <f t="shared" si="106"/>
        <v>B-BCP - Soles</v>
      </c>
      <c r="C1268" s="3" t="s">
        <v>1330</v>
      </c>
      <c r="D1268" s="14">
        <v>45756</v>
      </c>
      <c r="E1268" s="5" t="s">
        <v>2269</v>
      </c>
      <c r="F1268" s="5" t="s">
        <v>1336</v>
      </c>
      <c r="G1268" s="6" t="s">
        <v>249</v>
      </c>
      <c r="H1268" s="6"/>
      <c r="I1268" s="6"/>
      <c r="J1268" s="6"/>
      <c r="K1268" s="7" t="s">
        <v>2624</v>
      </c>
      <c r="L1268" s="8">
        <v>1131951</v>
      </c>
      <c r="M1268" s="8" t="str">
        <f t="shared" si="107"/>
        <v>PEN</v>
      </c>
      <c r="N1268" s="13"/>
      <c r="O1268" s="13">
        <v>1559.96</v>
      </c>
      <c r="P1268" s="3">
        <f t="shared" si="108"/>
        <v>0</v>
      </c>
      <c r="Q1268" s="3">
        <f t="shared" si="109"/>
        <v>1559.96</v>
      </c>
      <c r="R1268" s="3">
        <f t="shared" si="105"/>
        <v>21324.000000000044</v>
      </c>
      <c r="S1268" s="24"/>
      <c r="T1268" s="24"/>
      <c r="U1268" s="53"/>
      <c r="V1268" s="25">
        <f>IFERROR(VLOOKUP(BCP_Soles[[#This Row],[destinatario]],CHOOSE({1,2},Clientes_Proveedores[Razon Social],Clientes_Proveedores[Ruc / Dni]),2,0),"")</f>
        <v>20302891452</v>
      </c>
      <c r="W1268" s="25" t="s">
        <v>249</v>
      </c>
      <c r="X1268" s="25"/>
      <c r="Y1268" s="25"/>
      <c r="Z1268" s="75"/>
      <c r="AA1268" s="3" t="str">
        <f>IF(BCP_Soles[[#This Row],[fecha]]&gt;0,TEXT(BCP_Soles[[#This Row],[fecha]],"mmmm"),0)</f>
        <v>Abril</v>
      </c>
    </row>
    <row r="1269" spans="1:27" ht="24" x14ac:dyDescent="0.3">
      <c r="A1269" s="2">
        <f>IF(BCP_Soles[[#This Row],[tipo_registro]]="R",COUNTIFS($C$1:$C1268,"R")+1,A1268)</f>
        <v>946</v>
      </c>
      <c r="B1269" s="19" t="str">
        <f t="shared" si="106"/>
        <v>B-BCP - Soles</v>
      </c>
      <c r="C1269" s="3" t="s">
        <v>1330</v>
      </c>
      <c r="D1269" s="14">
        <v>45756</v>
      </c>
      <c r="E1269" s="5" t="s">
        <v>1338</v>
      </c>
      <c r="F1269" s="5" t="s">
        <v>1336</v>
      </c>
      <c r="G1269" s="6"/>
      <c r="H1269" s="6" t="s">
        <v>68</v>
      </c>
      <c r="I1269" s="6" t="s">
        <v>1376</v>
      </c>
      <c r="J1269" s="6">
        <v>1707</v>
      </c>
      <c r="K1269" s="7" t="s">
        <v>2635</v>
      </c>
      <c r="L1269" s="8">
        <v>1146336</v>
      </c>
      <c r="M1269" s="8" t="str">
        <f t="shared" si="107"/>
        <v>PEN</v>
      </c>
      <c r="N1269" s="13"/>
      <c r="O1269" s="13">
        <v>1085.5999999999999</v>
      </c>
      <c r="P1269" s="3">
        <f t="shared" si="108"/>
        <v>0</v>
      </c>
      <c r="Q1269" s="3">
        <f t="shared" si="109"/>
        <v>1085.5999999999999</v>
      </c>
      <c r="R1269" s="3">
        <f t="shared" si="105"/>
        <v>20238.400000000045</v>
      </c>
      <c r="S1269" s="24" t="s">
        <v>1334</v>
      </c>
      <c r="T1269" s="24" t="s">
        <v>1334</v>
      </c>
      <c r="U1269" s="53"/>
      <c r="V1269" s="25" t="str">
        <f>IFERROR(VLOOKUP(BCP_Soles[[#This Row],[destinatario]],CHOOSE({1,2},Clientes_Proveedores[Razon Social],Clientes_Proveedores[Ruc / Dni]),2,0),"")</f>
        <v/>
      </c>
      <c r="W1269" s="25" t="s">
        <v>2636</v>
      </c>
      <c r="X1269" s="25" t="s">
        <v>2637</v>
      </c>
      <c r="Y1269" s="25"/>
      <c r="Z1269" s="75"/>
      <c r="AA1269" s="3" t="str">
        <f>IF(BCP_Soles[[#This Row],[fecha]]&gt;0,TEXT(BCP_Soles[[#This Row],[fecha]],"mmmm"),0)</f>
        <v>Abril</v>
      </c>
    </row>
    <row r="1270" spans="1:27" ht="36" x14ac:dyDescent="0.3">
      <c r="A1270" s="2">
        <f>IF(BCP_Soles[[#This Row],[tipo_registro]]="R",COUNTIFS($C$1:$C1269,"R")+1,A1269)</f>
        <v>947</v>
      </c>
      <c r="B1270" s="19" t="str">
        <f t="shared" si="106"/>
        <v>B-BCP - Soles</v>
      </c>
      <c r="C1270" s="3" t="s">
        <v>1330</v>
      </c>
      <c r="D1270" s="14">
        <v>45756</v>
      </c>
      <c r="E1270" s="5" t="s">
        <v>1338</v>
      </c>
      <c r="F1270" s="5" t="s">
        <v>1336</v>
      </c>
      <c r="G1270" s="6" t="s">
        <v>497</v>
      </c>
      <c r="H1270" s="6" t="s">
        <v>68</v>
      </c>
      <c r="I1270" s="6" t="s">
        <v>1390</v>
      </c>
      <c r="J1270" s="6">
        <v>18973</v>
      </c>
      <c r="K1270" s="7" t="s">
        <v>2638</v>
      </c>
      <c r="L1270" s="8">
        <v>1130957</v>
      </c>
      <c r="M1270" s="8" t="str">
        <f t="shared" si="107"/>
        <v>PEN</v>
      </c>
      <c r="N1270" s="13"/>
      <c r="O1270" s="13">
        <v>565</v>
      </c>
      <c r="P1270" s="3">
        <f t="shared" si="108"/>
        <v>0</v>
      </c>
      <c r="Q1270" s="3">
        <f t="shared" si="109"/>
        <v>565</v>
      </c>
      <c r="R1270" s="3">
        <f t="shared" si="105"/>
        <v>19673.400000000045</v>
      </c>
      <c r="S1270" s="24" t="s">
        <v>1334</v>
      </c>
      <c r="T1270" s="24" t="s">
        <v>1334</v>
      </c>
      <c r="U1270" s="53"/>
      <c r="V1270" s="25">
        <f>IFERROR(VLOOKUP(BCP_Soles[[#This Row],[destinatario]],CHOOSE({1,2},Clientes_Proveedores[Razon Social],Clientes_Proveedores[Ruc / Dni]),2,0),"")</f>
        <v>20602810497</v>
      </c>
      <c r="W1270" s="25" t="s">
        <v>1591</v>
      </c>
      <c r="X1270" s="25" t="s">
        <v>2639</v>
      </c>
      <c r="Y1270" s="25"/>
      <c r="Z1270" s="75"/>
      <c r="AA1270" s="3" t="str">
        <f>IF(BCP_Soles[[#This Row],[fecha]]&gt;0,TEXT(BCP_Soles[[#This Row],[fecha]],"mmmm"),0)</f>
        <v>Abril</v>
      </c>
    </row>
    <row r="1271" spans="1:27" ht="24" x14ac:dyDescent="0.3">
      <c r="A1271" s="2">
        <f>IF(BCP_Soles[[#This Row],[tipo_registro]]="R",COUNTIFS($C$1:$C1270,"R")+1,A1270)</f>
        <v>948</v>
      </c>
      <c r="B1271" s="19" t="str">
        <f t="shared" si="106"/>
        <v>B-BCP - Soles</v>
      </c>
      <c r="C1271" s="3" t="s">
        <v>1330</v>
      </c>
      <c r="D1271" s="14">
        <v>45756</v>
      </c>
      <c r="E1271" s="5" t="s">
        <v>1338</v>
      </c>
      <c r="F1271" s="5" t="s">
        <v>1336</v>
      </c>
      <c r="G1271" s="6"/>
      <c r="H1271" s="6" t="s">
        <v>68</v>
      </c>
      <c r="I1271" s="6" t="s">
        <v>1376</v>
      </c>
      <c r="J1271" s="6">
        <v>157</v>
      </c>
      <c r="K1271" s="7" t="s">
        <v>2640</v>
      </c>
      <c r="L1271" s="8">
        <v>1226743</v>
      </c>
      <c r="M1271" s="8" t="str">
        <f t="shared" si="107"/>
        <v>PEN</v>
      </c>
      <c r="N1271" s="13"/>
      <c r="O1271" s="13">
        <v>249.99</v>
      </c>
      <c r="P1271" s="3">
        <f t="shared" si="108"/>
        <v>0</v>
      </c>
      <c r="Q1271" s="3">
        <f t="shared" si="109"/>
        <v>249.99</v>
      </c>
      <c r="R1271" s="3">
        <f t="shared" si="105"/>
        <v>19423.410000000044</v>
      </c>
      <c r="S1271" s="24" t="s">
        <v>1334</v>
      </c>
      <c r="T1271" s="24" t="s">
        <v>1334</v>
      </c>
      <c r="U1271" s="53"/>
      <c r="V1271" s="25" t="str">
        <f>IFERROR(VLOOKUP(BCP_Soles[[#This Row],[destinatario]],CHOOSE({1,2},Clientes_Proveedores[Razon Social],Clientes_Proveedores[Ruc / Dni]),2,0),"")</f>
        <v/>
      </c>
      <c r="W1271" s="25" t="s">
        <v>2641</v>
      </c>
      <c r="X1271" s="25" t="s">
        <v>2642</v>
      </c>
      <c r="Y1271" s="25"/>
      <c r="Z1271" s="75"/>
      <c r="AA1271" s="3" t="str">
        <f>IF(BCP_Soles[[#This Row],[fecha]]&gt;0,TEXT(BCP_Soles[[#This Row],[fecha]],"mmmm"),0)</f>
        <v>Abril</v>
      </c>
    </row>
    <row r="1272" spans="1:27" ht="24" x14ac:dyDescent="0.3">
      <c r="A1272" s="2">
        <f>IF(BCP_Soles[[#This Row],[tipo_registro]]="R",COUNTIFS($C$1:$C1271,"R")+1,A1271)</f>
        <v>949</v>
      </c>
      <c r="B1272" s="19" t="str">
        <f t="shared" si="106"/>
        <v>B-BCP - Soles</v>
      </c>
      <c r="C1272" s="3" t="s">
        <v>1330</v>
      </c>
      <c r="D1272" s="14">
        <v>45756</v>
      </c>
      <c r="E1272" s="5" t="s">
        <v>1505</v>
      </c>
      <c r="F1272" s="5" t="s">
        <v>1303</v>
      </c>
      <c r="G1272" s="6" t="s">
        <v>425</v>
      </c>
      <c r="H1272" s="6" t="s">
        <v>119</v>
      </c>
      <c r="I1272" s="6">
        <v>1</v>
      </c>
      <c r="J1272" s="6">
        <v>4315</v>
      </c>
      <c r="K1272" s="7" t="s">
        <v>1356</v>
      </c>
      <c r="L1272" s="8">
        <v>2752584</v>
      </c>
      <c r="M1272" s="8" t="str">
        <f t="shared" si="107"/>
        <v>PEN</v>
      </c>
      <c r="N1272" s="13"/>
      <c r="O1272" s="13">
        <v>8587</v>
      </c>
      <c r="P1272" s="3">
        <f t="shared" si="108"/>
        <v>8587</v>
      </c>
      <c r="Q1272" s="3">
        <f t="shared" si="109"/>
        <v>0</v>
      </c>
      <c r="R1272" s="3">
        <f t="shared" si="105"/>
        <v>28010.410000000044</v>
      </c>
      <c r="S1272" s="24" t="s">
        <v>1334</v>
      </c>
      <c r="T1272" s="24" t="s">
        <v>1334</v>
      </c>
      <c r="U1272" s="53"/>
      <c r="V1272" s="25">
        <f>IFERROR(VLOOKUP(BCP_Soles[[#This Row],[destinatario]],CHOOSE({1,2},Clientes_Proveedores[Razon Social],Clientes_Proveedores[Ruc / Dni]),2,0),"")</f>
        <v>20558226979</v>
      </c>
      <c r="W1272" s="25" t="s">
        <v>1345</v>
      </c>
      <c r="X1272" s="25" t="s">
        <v>2643</v>
      </c>
      <c r="Y1272" s="25"/>
      <c r="Z1272" s="75"/>
      <c r="AA1272" s="3" t="str">
        <f>IF(BCP_Soles[[#This Row],[fecha]]&gt;0,TEXT(BCP_Soles[[#This Row],[fecha]],"mmmm"),0)</f>
        <v>Abril</v>
      </c>
    </row>
    <row r="1273" spans="1:27" ht="24" x14ac:dyDescent="0.3">
      <c r="A1273" s="2">
        <f>IF(BCP_Soles[[#This Row],[tipo_registro]]="R",COUNTIFS($C$1:$C1272,"R")+1,A1272)</f>
        <v>950</v>
      </c>
      <c r="B1273" s="19" t="str">
        <f t="shared" si="106"/>
        <v>B-BCP - Soles</v>
      </c>
      <c r="C1273" s="3" t="s">
        <v>1330</v>
      </c>
      <c r="D1273" s="14">
        <v>45756</v>
      </c>
      <c r="E1273" s="5" t="s">
        <v>671</v>
      </c>
      <c r="F1273" s="5" t="s">
        <v>1303</v>
      </c>
      <c r="G1273" s="6" t="s">
        <v>425</v>
      </c>
      <c r="H1273" s="6"/>
      <c r="I1273" s="6"/>
      <c r="J1273" s="6"/>
      <c r="K1273" s="7" t="s">
        <v>1930</v>
      </c>
      <c r="L1273" s="8">
        <v>6025112</v>
      </c>
      <c r="M1273" s="8" t="str">
        <f t="shared" si="107"/>
        <v>PEN</v>
      </c>
      <c r="N1273" s="13"/>
      <c r="O1273" s="13">
        <v>964.06</v>
      </c>
      <c r="P1273" s="3">
        <f t="shared" si="108"/>
        <v>964.06</v>
      </c>
      <c r="Q1273" s="3">
        <f t="shared" si="109"/>
        <v>0</v>
      </c>
      <c r="R1273" s="3">
        <f t="shared" si="105"/>
        <v>28974.470000000045</v>
      </c>
      <c r="S1273" s="24" t="s">
        <v>1334</v>
      </c>
      <c r="T1273" s="24" t="s">
        <v>1334</v>
      </c>
      <c r="U1273" s="53"/>
      <c r="V1273" s="25">
        <f>IFERROR(VLOOKUP(BCP_Soles[[#This Row],[destinatario]],CHOOSE({1,2},Clientes_Proveedores[Razon Social],Clientes_Proveedores[Ruc / Dni]),2,0),"")</f>
        <v>20558226979</v>
      </c>
      <c r="W1273" s="25" t="s">
        <v>1345</v>
      </c>
      <c r="X1273" s="25" t="s">
        <v>2644</v>
      </c>
      <c r="Y1273" s="25"/>
      <c r="Z1273" s="75"/>
      <c r="AA1273" s="3" t="str">
        <f>IF(BCP_Soles[[#This Row],[fecha]]&gt;0,TEXT(BCP_Soles[[#This Row],[fecha]],"mmmm"),0)</f>
        <v>Abril</v>
      </c>
    </row>
    <row r="1274" spans="1:27" x14ac:dyDescent="0.3">
      <c r="A1274" s="2">
        <f>IF(BCP_Soles[[#This Row],[tipo_registro]]="R",COUNTIFS($C$1:$C1273,"R")+1,A1273)</f>
        <v>951</v>
      </c>
      <c r="B1274" s="19" t="str">
        <f t="shared" si="106"/>
        <v>B-BCP - Soles</v>
      </c>
      <c r="C1274" s="3" t="s">
        <v>1330</v>
      </c>
      <c r="D1274" s="14">
        <v>45757</v>
      </c>
      <c r="E1274" s="5" t="s">
        <v>1335</v>
      </c>
      <c r="F1274" s="5" t="s">
        <v>1336</v>
      </c>
      <c r="G1274" s="6"/>
      <c r="H1274" s="6"/>
      <c r="I1274" s="6"/>
      <c r="J1274" s="6"/>
      <c r="K1274" s="7" t="s">
        <v>1337</v>
      </c>
      <c r="L1274" s="8"/>
      <c r="M1274" s="8" t="str">
        <f t="shared" si="107"/>
        <v>PEN</v>
      </c>
      <c r="N1274" s="13"/>
      <c r="O1274" s="13">
        <v>1.05</v>
      </c>
      <c r="P1274" s="3">
        <f t="shared" si="108"/>
        <v>0</v>
      </c>
      <c r="Q1274" s="3">
        <f t="shared" si="109"/>
        <v>1.05</v>
      </c>
      <c r="R1274" s="3">
        <f t="shared" si="105"/>
        <v>28973.420000000046</v>
      </c>
      <c r="S1274" s="24"/>
      <c r="T1274" s="24" t="s">
        <v>1334</v>
      </c>
      <c r="U1274" s="53"/>
      <c r="V1274" s="25" t="str">
        <f>IFERROR(VLOOKUP(BCP_Soles[[#This Row],[destinatario]],CHOOSE({1,2},Clientes_Proveedores[Razon Social],Clientes_Proveedores[Ruc / Dni]),2,0),"")</f>
        <v/>
      </c>
      <c r="W1274" s="25"/>
      <c r="X1274" s="25"/>
      <c r="Y1274" s="25"/>
      <c r="Z1274" s="75"/>
      <c r="AA1274" s="3" t="str">
        <f>IF(BCP_Soles[[#This Row],[fecha]]&gt;0,TEXT(BCP_Soles[[#This Row],[fecha]],"mmmm"),0)</f>
        <v>Abril</v>
      </c>
    </row>
    <row r="1275" spans="1:27" x14ac:dyDescent="0.3">
      <c r="A1275" s="2">
        <f>IF(BCP_Soles[[#This Row],[tipo_registro]]="R",COUNTIFS($C$1:$C1274,"R")+1,A1274)</f>
        <v>952</v>
      </c>
      <c r="B1275" s="19" t="str">
        <f t="shared" si="106"/>
        <v>B-BCP - Soles</v>
      </c>
      <c r="C1275" s="3" t="s">
        <v>1330</v>
      </c>
      <c r="D1275" s="14">
        <v>45757</v>
      </c>
      <c r="E1275" s="5" t="s">
        <v>1421</v>
      </c>
      <c r="F1275" s="5" t="s">
        <v>1336</v>
      </c>
      <c r="G1275" s="6" t="s">
        <v>809</v>
      </c>
      <c r="H1275" s="6" t="s">
        <v>143</v>
      </c>
      <c r="I1275" s="6">
        <v>1</v>
      </c>
      <c r="J1275" s="6">
        <v>782025</v>
      </c>
      <c r="K1275" s="7" t="s">
        <v>2645</v>
      </c>
      <c r="L1275" s="8">
        <v>394385</v>
      </c>
      <c r="M1275" s="8" t="str">
        <f t="shared" si="107"/>
        <v>PEN</v>
      </c>
      <c r="N1275" s="13"/>
      <c r="O1275" s="13">
        <v>1825</v>
      </c>
      <c r="P1275" s="3">
        <f t="shared" si="108"/>
        <v>0</v>
      </c>
      <c r="Q1275" s="3">
        <f t="shared" si="109"/>
        <v>1825</v>
      </c>
      <c r="R1275" s="3">
        <f t="shared" si="105"/>
        <v>27148.420000000046</v>
      </c>
      <c r="S1275" s="24"/>
      <c r="T1275" s="24" t="s">
        <v>1334</v>
      </c>
      <c r="U1275" s="53"/>
      <c r="V1275" s="25">
        <f>IFERROR(VLOOKUP(BCP_Soles[[#This Row],[destinatario]],CHOOSE({1,2},Clientes_Proveedores[Razon Social],Clientes_Proveedores[Ruc / Dni]),2,0),"")</f>
        <v>45286301</v>
      </c>
      <c r="W1275" s="25"/>
      <c r="X1275" s="25"/>
      <c r="Y1275" s="25"/>
      <c r="Z1275" s="75"/>
      <c r="AA1275" s="3" t="str">
        <f>IF(BCP_Soles[[#This Row],[fecha]]&gt;0,TEXT(BCP_Soles[[#This Row],[fecha]],"mmmm"),0)</f>
        <v>Abril</v>
      </c>
    </row>
    <row r="1276" spans="1:27" ht="24" x14ac:dyDescent="0.3">
      <c r="A1276" s="2">
        <f>IF(BCP_Soles[[#This Row],[tipo_registro]]="R",COUNTIFS($C$1:$C1275,"R")+1,A1275)</f>
        <v>953</v>
      </c>
      <c r="B1276" s="19" t="str">
        <f t="shared" si="106"/>
        <v>B-BCP - Soles</v>
      </c>
      <c r="C1276" s="3" t="s">
        <v>1330</v>
      </c>
      <c r="D1276" s="14">
        <v>45757</v>
      </c>
      <c r="E1276" s="5" t="s">
        <v>659</v>
      </c>
      <c r="F1276" s="5" t="s">
        <v>1303</v>
      </c>
      <c r="G1276" s="6" t="s">
        <v>659</v>
      </c>
      <c r="H1276" s="6" t="s">
        <v>68</v>
      </c>
      <c r="I1276" s="6" t="s">
        <v>1376</v>
      </c>
      <c r="J1276" s="6">
        <v>50</v>
      </c>
      <c r="K1276" s="7" t="s">
        <v>2646</v>
      </c>
      <c r="L1276" s="8">
        <v>2655855</v>
      </c>
      <c r="M1276" s="8" t="str">
        <f t="shared" si="107"/>
        <v>PEN</v>
      </c>
      <c r="N1276" s="13"/>
      <c r="O1276" s="13">
        <v>7137.74</v>
      </c>
      <c r="P1276" s="3">
        <f t="shared" si="108"/>
        <v>7137.74</v>
      </c>
      <c r="Q1276" s="3">
        <f t="shared" si="109"/>
        <v>0</v>
      </c>
      <c r="R1276" s="3">
        <f t="shared" si="105"/>
        <v>34286.160000000047</v>
      </c>
      <c r="S1276" s="24" t="s">
        <v>1334</v>
      </c>
      <c r="T1276" s="24" t="s">
        <v>1334</v>
      </c>
      <c r="U1276" s="53"/>
      <c r="V1276" s="25">
        <f>IFERROR(VLOOKUP(BCP_Soles[[#This Row],[destinatario]],CHOOSE({1,2},Clientes_Proveedores[Razon Social],Clientes_Proveedores[Ruc / Dni]),2,0),"")</f>
        <v>20159473148</v>
      </c>
      <c r="W1276" s="25" t="s">
        <v>1345</v>
      </c>
      <c r="X1276" s="25" t="s">
        <v>2647</v>
      </c>
      <c r="Y1276" s="25"/>
      <c r="Z1276" s="75"/>
      <c r="AA1276" s="3" t="str">
        <f>IF(BCP_Soles[[#This Row],[fecha]]&gt;0,TEXT(BCP_Soles[[#This Row],[fecha]],"mmmm"),0)</f>
        <v>Abril</v>
      </c>
    </row>
    <row r="1277" spans="1:27" x14ac:dyDescent="0.3">
      <c r="A1277" s="2">
        <f>IF(BCP_Soles[[#This Row],[tipo_registro]]="R",COUNTIFS($C$1:$C1276,"R")+1,A1276)</f>
        <v>954</v>
      </c>
      <c r="B1277" s="19" t="str">
        <f t="shared" si="106"/>
        <v>B-BCP - Soles</v>
      </c>
      <c r="C1277" s="3" t="s">
        <v>1330</v>
      </c>
      <c r="D1277" s="14">
        <v>45757</v>
      </c>
      <c r="E1277" s="5" t="s">
        <v>270</v>
      </c>
      <c r="F1277" s="5" t="s">
        <v>1303</v>
      </c>
      <c r="G1277" s="6" t="s">
        <v>270</v>
      </c>
      <c r="H1277" s="6" t="s">
        <v>68</v>
      </c>
      <c r="I1277" s="6" t="s">
        <v>1343</v>
      </c>
      <c r="J1277" s="6">
        <v>448</v>
      </c>
      <c r="K1277" s="7" t="s">
        <v>2648</v>
      </c>
      <c r="L1277" s="8">
        <v>2743689</v>
      </c>
      <c r="M1277" s="8" t="str">
        <f t="shared" si="107"/>
        <v>PEN</v>
      </c>
      <c r="N1277" s="13"/>
      <c r="O1277" s="13">
        <v>4213.83</v>
      </c>
      <c r="P1277" s="3">
        <f t="shared" si="108"/>
        <v>4213.83</v>
      </c>
      <c r="Q1277" s="3">
        <f t="shared" si="109"/>
        <v>0</v>
      </c>
      <c r="R1277" s="3">
        <f t="shared" si="105"/>
        <v>38499.990000000049</v>
      </c>
      <c r="S1277" s="24" t="s">
        <v>1334</v>
      </c>
      <c r="T1277" s="24" t="s">
        <v>1334</v>
      </c>
      <c r="U1277" s="53"/>
      <c r="V1277" s="25">
        <f>IFERROR(VLOOKUP(BCP_Soles[[#This Row],[destinatario]],CHOOSE({1,2},Clientes_Proveedores[Razon Social],Clientes_Proveedores[Ruc / Dni]),2,0),"")</f>
        <v>20417573705</v>
      </c>
      <c r="W1277" s="25" t="s">
        <v>1345</v>
      </c>
      <c r="X1277" s="25" t="s">
        <v>2649</v>
      </c>
      <c r="Y1277" s="25"/>
      <c r="Z1277" s="75"/>
      <c r="AA1277" s="3" t="str">
        <f>IF(BCP_Soles[[#This Row],[fecha]]&gt;0,TEXT(BCP_Soles[[#This Row],[fecha]],"mmmm"),0)</f>
        <v>Abril</v>
      </c>
    </row>
    <row r="1278" spans="1:27" ht="36" x14ac:dyDescent="0.3">
      <c r="A1278" s="2">
        <f>IF(BCP_Soles[[#This Row],[tipo_registro]]="R",COUNTIFS($C$1:$C1277,"R")+1,A1277)</f>
        <v>955</v>
      </c>
      <c r="B1278" s="19" t="str">
        <f t="shared" si="106"/>
        <v>B-BCP - Soles</v>
      </c>
      <c r="C1278" s="3" t="s">
        <v>1330</v>
      </c>
      <c r="D1278" s="14">
        <v>45757</v>
      </c>
      <c r="E1278" s="5" t="s">
        <v>324</v>
      </c>
      <c r="F1278" s="5" t="s">
        <v>1303</v>
      </c>
      <c r="G1278" s="6" t="s">
        <v>425</v>
      </c>
      <c r="H1278" s="6"/>
      <c r="I1278" s="6"/>
      <c r="J1278" s="6"/>
      <c r="K1278" s="7" t="s">
        <v>2650</v>
      </c>
      <c r="L1278" s="8">
        <v>2760485</v>
      </c>
      <c r="M1278" s="8" t="str">
        <f t="shared" si="107"/>
        <v>PEN</v>
      </c>
      <c r="N1278" s="13"/>
      <c r="O1278" s="13">
        <v>4181.3900000000003</v>
      </c>
      <c r="P1278" s="3">
        <f t="shared" si="108"/>
        <v>4181.3900000000003</v>
      </c>
      <c r="Q1278" s="3">
        <f t="shared" si="109"/>
        <v>0</v>
      </c>
      <c r="R1278" s="3">
        <f t="shared" si="105"/>
        <v>42681.380000000048</v>
      </c>
      <c r="S1278" s="24" t="s">
        <v>1334</v>
      </c>
      <c r="T1278" s="24" t="s">
        <v>1334</v>
      </c>
      <c r="U1278" s="53"/>
      <c r="V1278" s="25">
        <f>IFERROR(VLOOKUP(BCP_Soles[[#This Row],[destinatario]],CHOOSE({1,2},Clientes_Proveedores[Razon Social],Clientes_Proveedores[Ruc / Dni]),2,0),"")</f>
        <v>20558226979</v>
      </c>
      <c r="W1278" s="25" t="s">
        <v>1345</v>
      </c>
      <c r="X1278" s="25" t="s">
        <v>2019</v>
      </c>
      <c r="Y1278" s="25"/>
      <c r="Z1278" s="75"/>
      <c r="AA1278" s="3" t="str">
        <f>IF(BCP_Soles[[#This Row],[fecha]]&gt;0,TEXT(BCP_Soles[[#This Row],[fecha]],"mmmm"),0)</f>
        <v>Abril</v>
      </c>
    </row>
    <row r="1279" spans="1:27" x14ac:dyDescent="0.3">
      <c r="A1279" s="2">
        <f>IF(BCP_Soles[[#This Row],[tipo_registro]]="R",COUNTIFS($C$1:$C1278,"R")+1,A1278)</f>
        <v>956</v>
      </c>
      <c r="B1279" s="19" t="str">
        <f t="shared" si="106"/>
        <v>B-BCP - Soles</v>
      </c>
      <c r="C1279" s="3" t="s">
        <v>1330</v>
      </c>
      <c r="D1279" s="14">
        <v>45757</v>
      </c>
      <c r="E1279" s="5" t="s">
        <v>196</v>
      </c>
      <c r="F1279" s="5" t="s">
        <v>1303</v>
      </c>
      <c r="G1279" s="6" t="s">
        <v>425</v>
      </c>
      <c r="H1279" s="6"/>
      <c r="I1279" s="6"/>
      <c r="J1279" s="6"/>
      <c r="K1279" s="7" t="s">
        <v>2651</v>
      </c>
      <c r="L1279" s="8">
        <v>2271</v>
      </c>
      <c r="M1279" s="8" t="str">
        <f t="shared" si="107"/>
        <v>PEN</v>
      </c>
      <c r="N1279" s="13"/>
      <c r="O1279" s="13">
        <v>2700.36</v>
      </c>
      <c r="P1279" s="3">
        <f t="shared" si="108"/>
        <v>2700.36</v>
      </c>
      <c r="Q1279" s="3">
        <f t="shared" si="109"/>
        <v>0</v>
      </c>
      <c r="R1279" s="3">
        <f t="shared" si="105"/>
        <v>45381.740000000049</v>
      </c>
      <c r="S1279" s="24" t="s">
        <v>1334</v>
      </c>
      <c r="T1279" s="24" t="s">
        <v>1334</v>
      </c>
      <c r="U1279" s="53"/>
      <c r="V1279" s="25">
        <f>IFERROR(VLOOKUP(BCP_Soles[[#This Row],[destinatario]],CHOOSE({1,2},Clientes_Proveedores[Razon Social],Clientes_Proveedores[Ruc / Dni]),2,0),"")</f>
        <v>20558226979</v>
      </c>
      <c r="W1279" s="25" t="s">
        <v>1345</v>
      </c>
      <c r="X1279" s="25" t="s">
        <v>2652</v>
      </c>
      <c r="Y1279" s="25"/>
      <c r="Z1279" s="75"/>
      <c r="AA1279" s="3" t="str">
        <f>IF(BCP_Soles[[#This Row],[fecha]]&gt;0,TEXT(BCP_Soles[[#This Row],[fecha]],"mmmm"),0)</f>
        <v>Abril</v>
      </c>
    </row>
    <row r="1280" spans="1:27" x14ac:dyDescent="0.3">
      <c r="A1280" s="2">
        <f>IF(BCP_Soles[[#This Row],[tipo_registro]]="R",COUNTIFS($C$1:$C1279,"R")+1,A1279)</f>
        <v>957</v>
      </c>
      <c r="B1280" s="19" t="str">
        <f t="shared" si="106"/>
        <v>B-BCP - Soles</v>
      </c>
      <c r="C1280" s="3" t="s">
        <v>1330</v>
      </c>
      <c r="D1280" s="14">
        <v>45757</v>
      </c>
      <c r="E1280" s="5" t="s">
        <v>427</v>
      </c>
      <c r="F1280" s="5" t="s">
        <v>1303</v>
      </c>
      <c r="G1280" s="6" t="s">
        <v>425</v>
      </c>
      <c r="H1280" s="6"/>
      <c r="I1280" s="6"/>
      <c r="J1280" s="6"/>
      <c r="K1280" s="7" t="s">
        <v>2653</v>
      </c>
      <c r="L1280" s="8">
        <v>7398</v>
      </c>
      <c r="M1280" s="8" t="str">
        <f t="shared" si="107"/>
        <v>PEN</v>
      </c>
      <c r="N1280" s="13"/>
      <c r="O1280" s="13">
        <v>2611.1</v>
      </c>
      <c r="P1280" s="3">
        <f t="shared" si="108"/>
        <v>2611.1</v>
      </c>
      <c r="Q1280" s="3">
        <f t="shared" si="109"/>
        <v>0</v>
      </c>
      <c r="R1280" s="3">
        <f t="shared" si="105"/>
        <v>47992.840000000047</v>
      </c>
      <c r="S1280" s="24" t="s">
        <v>1334</v>
      </c>
      <c r="T1280" s="24" t="s">
        <v>1334</v>
      </c>
      <c r="U1280" s="53"/>
      <c r="V1280" s="25">
        <f>IFERROR(VLOOKUP(BCP_Soles[[#This Row],[destinatario]],CHOOSE({1,2},Clientes_Proveedores[Razon Social],Clientes_Proveedores[Ruc / Dni]),2,0),"")</f>
        <v>20558226979</v>
      </c>
      <c r="W1280" s="25" t="s">
        <v>1345</v>
      </c>
      <c r="X1280" s="25" t="s">
        <v>2654</v>
      </c>
      <c r="Y1280" s="25"/>
      <c r="Z1280" s="75"/>
      <c r="AA1280" s="3" t="str">
        <f>IF(BCP_Soles[[#This Row],[fecha]]&gt;0,TEXT(BCP_Soles[[#This Row],[fecha]],"mmmm"),0)</f>
        <v>Abril</v>
      </c>
    </row>
    <row r="1281" spans="1:27" ht="24" x14ac:dyDescent="0.3">
      <c r="A1281" s="2">
        <f>IF(BCP_Soles[[#This Row],[tipo_registro]]="R",COUNTIFS($C$1:$C1280,"R")+1,A1280)</f>
        <v>958</v>
      </c>
      <c r="B1281" s="19" t="str">
        <f t="shared" si="106"/>
        <v>B-BCP - Soles</v>
      </c>
      <c r="C1281" s="3" t="s">
        <v>1330</v>
      </c>
      <c r="D1281" s="14">
        <v>45757</v>
      </c>
      <c r="E1281" s="5" t="s">
        <v>462</v>
      </c>
      <c r="F1281" s="5" t="s">
        <v>1303</v>
      </c>
      <c r="G1281" s="6" t="s">
        <v>425</v>
      </c>
      <c r="H1281" s="6"/>
      <c r="I1281" s="6"/>
      <c r="J1281" s="6"/>
      <c r="K1281" s="7" t="s">
        <v>1356</v>
      </c>
      <c r="L1281" s="8">
        <v>2911210</v>
      </c>
      <c r="M1281" s="8" t="str">
        <f t="shared" si="107"/>
        <v>PEN</v>
      </c>
      <c r="N1281" s="13"/>
      <c r="O1281" s="13">
        <v>1076.49</v>
      </c>
      <c r="P1281" s="3">
        <f t="shared" si="108"/>
        <v>1076.49</v>
      </c>
      <c r="Q1281" s="3">
        <f t="shared" si="109"/>
        <v>0</v>
      </c>
      <c r="R1281" s="3">
        <f t="shared" si="105"/>
        <v>49069.330000000045</v>
      </c>
      <c r="S1281" s="24" t="s">
        <v>1334</v>
      </c>
      <c r="T1281" s="24" t="s">
        <v>1334</v>
      </c>
      <c r="U1281" s="53"/>
      <c r="V1281" s="25">
        <f>IFERROR(VLOOKUP(BCP_Soles[[#This Row],[destinatario]],CHOOSE({1,2},Clientes_Proveedores[Razon Social],Clientes_Proveedores[Ruc / Dni]),2,0),"")</f>
        <v>20558226979</v>
      </c>
      <c r="W1281" s="25" t="s">
        <v>1345</v>
      </c>
      <c r="X1281" s="25" t="s">
        <v>2655</v>
      </c>
      <c r="Y1281" s="25"/>
      <c r="Z1281" s="75"/>
      <c r="AA1281" s="3" t="str">
        <f>IF(BCP_Soles[[#This Row],[fecha]]&gt;0,TEXT(BCP_Soles[[#This Row],[fecha]],"mmmm"),0)</f>
        <v>Abril</v>
      </c>
    </row>
    <row r="1282" spans="1:27" ht="84" x14ac:dyDescent="0.3">
      <c r="A1282" s="2">
        <f>IF(BCP_Soles[[#This Row],[tipo_registro]]="R",COUNTIFS($C$1:$C1281,"R")+1,A1281)</f>
        <v>959</v>
      </c>
      <c r="B1282" s="19" t="str">
        <f t="shared" si="106"/>
        <v>B-BCP - Soles</v>
      </c>
      <c r="C1282" s="3" t="s">
        <v>1330</v>
      </c>
      <c r="D1282" s="14">
        <v>45757</v>
      </c>
      <c r="E1282" s="5" t="s">
        <v>358</v>
      </c>
      <c r="F1282" s="5" t="s">
        <v>1303</v>
      </c>
      <c r="G1282" s="6" t="s">
        <v>425</v>
      </c>
      <c r="H1282" s="6"/>
      <c r="I1282" s="6"/>
      <c r="J1282" s="6"/>
      <c r="K1282" s="7" t="s">
        <v>1520</v>
      </c>
      <c r="L1282" s="8">
        <v>2236680</v>
      </c>
      <c r="M1282" s="8" t="str">
        <f t="shared" si="107"/>
        <v>PEN</v>
      </c>
      <c r="N1282" s="13"/>
      <c r="O1282" s="13">
        <v>904.83</v>
      </c>
      <c r="P1282" s="3">
        <f t="shared" si="108"/>
        <v>904.83</v>
      </c>
      <c r="Q1282" s="3">
        <f t="shared" si="109"/>
        <v>0</v>
      </c>
      <c r="R1282" s="3">
        <f t="shared" si="105"/>
        <v>49974.160000000047</v>
      </c>
      <c r="S1282" s="24" t="s">
        <v>1334</v>
      </c>
      <c r="T1282" s="24" t="s">
        <v>1334</v>
      </c>
      <c r="U1282" s="53"/>
      <c r="V1282" s="25">
        <f>IFERROR(VLOOKUP(BCP_Soles[[#This Row],[destinatario]],CHOOSE({1,2},Clientes_Proveedores[Razon Social],Clientes_Proveedores[Ruc / Dni]),2,0),"")</f>
        <v>20558226979</v>
      </c>
      <c r="W1282" s="25" t="s">
        <v>1345</v>
      </c>
      <c r="X1282" s="25" t="s">
        <v>2656</v>
      </c>
      <c r="Y1282" s="25"/>
      <c r="Z1282" s="75"/>
      <c r="AA1282" s="3" t="str">
        <f>IF(BCP_Soles[[#This Row],[fecha]]&gt;0,TEXT(BCP_Soles[[#This Row],[fecha]],"mmmm"),0)</f>
        <v>Abril</v>
      </c>
    </row>
    <row r="1283" spans="1:27" ht="36" x14ac:dyDescent="0.3">
      <c r="A1283" s="2">
        <f>IF(BCP_Soles[[#This Row],[tipo_registro]]="R",COUNTIFS($C$1:$C1282,"R")+1,A1282)</f>
        <v>960</v>
      </c>
      <c r="B1283" s="19" t="str">
        <f t="shared" si="106"/>
        <v>B-BCP - Soles</v>
      </c>
      <c r="C1283" s="3" t="s">
        <v>1330</v>
      </c>
      <c r="D1283" s="14">
        <v>45757</v>
      </c>
      <c r="E1283" s="5" t="s">
        <v>660</v>
      </c>
      <c r="F1283" s="5" t="s">
        <v>1303</v>
      </c>
      <c r="G1283" s="6" t="s">
        <v>425</v>
      </c>
      <c r="H1283" s="6"/>
      <c r="I1283" s="6"/>
      <c r="J1283" s="6"/>
      <c r="K1283" s="7" t="s">
        <v>1356</v>
      </c>
      <c r="L1283" s="8">
        <v>600938</v>
      </c>
      <c r="M1283" s="8" t="str">
        <f t="shared" si="107"/>
        <v>PEN</v>
      </c>
      <c r="N1283" s="13"/>
      <c r="O1283" s="13">
        <v>678.5</v>
      </c>
      <c r="P1283" s="3">
        <f t="shared" si="108"/>
        <v>678.5</v>
      </c>
      <c r="Q1283" s="3">
        <f t="shared" si="109"/>
        <v>0</v>
      </c>
      <c r="R1283" s="3">
        <f t="shared" si="105"/>
        <v>50652.660000000047</v>
      </c>
      <c r="S1283" s="24" t="s">
        <v>1334</v>
      </c>
      <c r="T1283" s="24" t="s">
        <v>1334</v>
      </c>
      <c r="U1283" s="53"/>
      <c r="V1283" s="25">
        <f>IFERROR(VLOOKUP(BCP_Soles[[#This Row],[destinatario]],CHOOSE({1,2},Clientes_Proveedores[Razon Social],Clientes_Proveedores[Ruc / Dni]),2,0),"")</f>
        <v>20558226979</v>
      </c>
      <c r="W1283" s="25" t="s">
        <v>1345</v>
      </c>
      <c r="X1283" s="25" t="s">
        <v>2657</v>
      </c>
      <c r="Y1283" s="25"/>
      <c r="Z1283" s="75"/>
      <c r="AA1283" s="3" t="str">
        <f>IF(BCP_Soles[[#This Row],[fecha]]&gt;0,TEXT(BCP_Soles[[#This Row],[fecha]],"mmmm"),0)</f>
        <v>Abril</v>
      </c>
    </row>
    <row r="1284" spans="1:27" ht="24" x14ac:dyDescent="0.3">
      <c r="A1284" s="2">
        <f>IF(BCP_Soles[[#This Row],[tipo_registro]]="R",COUNTIFS($C$1:$C1283,"R")+1,A1283)</f>
        <v>961</v>
      </c>
      <c r="B1284" s="19" t="str">
        <f t="shared" si="106"/>
        <v>B-BCP - Soles</v>
      </c>
      <c r="C1284" s="3" t="s">
        <v>1330</v>
      </c>
      <c r="D1284" s="14">
        <v>45757</v>
      </c>
      <c r="E1284" s="5" t="s">
        <v>1875</v>
      </c>
      <c r="F1284" s="5" t="s">
        <v>1303</v>
      </c>
      <c r="G1284" s="6" t="s">
        <v>425</v>
      </c>
      <c r="H1284" s="6" t="s">
        <v>119</v>
      </c>
      <c r="I1284" s="6">
        <v>1</v>
      </c>
      <c r="J1284" s="6">
        <v>4321</v>
      </c>
      <c r="K1284" s="7" t="s">
        <v>1356</v>
      </c>
      <c r="L1284" s="8">
        <v>506685</v>
      </c>
      <c r="M1284" s="8" t="str">
        <f t="shared" si="107"/>
        <v>PEN</v>
      </c>
      <c r="N1284" s="13"/>
      <c r="O1284" s="13">
        <v>145</v>
      </c>
      <c r="P1284" s="3">
        <f t="shared" si="108"/>
        <v>145</v>
      </c>
      <c r="Q1284" s="3">
        <f t="shared" si="109"/>
        <v>0</v>
      </c>
      <c r="R1284" s="3">
        <f t="shared" si="105"/>
        <v>50797.660000000047</v>
      </c>
      <c r="S1284" s="24" t="s">
        <v>1334</v>
      </c>
      <c r="T1284" s="24" t="s">
        <v>1334</v>
      </c>
      <c r="U1284" s="53"/>
      <c r="V1284" s="25">
        <f>IFERROR(VLOOKUP(BCP_Soles[[#This Row],[destinatario]],CHOOSE({1,2},Clientes_Proveedores[Razon Social],Clientes_Proveedores[Ruc / Dni]),2,0),"")</f>
        <v>20558226979</v>
      </c>
      <c r="W1284" s="25" t="s">
        <v>1345</v>
      </c>
      <c r="X1284" s="25" t="s">
        <v>2658</v>
      </c>
      <c r="Y1284" s="25"/>
      <c r="Z1284" s="75"/>
      <c r="AA1284" s="3" t="str">
        <f>IF(BCP_Soles[[#This Row],[fecha]]&gt;0,TEXT(BCP_Soles[[#This Row],[fecha]],"mmmm"),0)</f>
        <v>Abril</v>
      </c>
    </row>
    <row r="1285" spans="1:27" ht="24" x14ac:dyDescent="0.3">
      <c r="A1285" s="2">
        <f>IF(BCP_Soles[[#This Row],[tipo_registro]]="R",COUNTIFS($C$1:$C1284,"R")+1,A1284)</f>
        <v>962</v>
      </c>
      <c r="B1285" s="19" t="str">
        <f t="shared" si="106"/>
        <v>B-BCP - Soles</v>
      </c>
      <c r="C1285" s="3" t="s">
        <v>1330</v>
      </c>
      <c r="D1285" s="14">
        <v>45758</v>
      </c>
      <c r="E1285" s="5" t="s">
        <v>2043</v>
      </c>
      <c r="F1285" s="5" t="s">
        <v>1303</v>
      </c>
      <c r="G1285" s="6" t="s">
        <v>425</v>
      </c>
      <c r="H1285" s="6" t="s">
        <v>119</v>
      </c>
      <c r="I1285" s="6">
        <v>1</v>
      </c>
      <c r="J1285" s="6">
        <v>4293</v>
      </c>
      <c r="K1285" s="7" t="s">
        <v>1356</v>
      </c>
      <c r="L1285" s="8">
        <v>1134571</v>
      </c>
      <c r="M1285" s="8" t="str">
        <f t="shared" si="107"/>
        <v>PEN</v>
      </c>
      <c r="N1285" s="13"/>
      <c r="O1285" s="13">
        <v>500</v>
      </c>
      <c r="P1285" s="3">
        <f t="shared" si="108"/>
        <v>500</v>
      </c>
      <c r="Q1285" s="3">
        <f t="shared" si="109"/>
        <v>0</v>
      </c>
      <c r="R1285" s="3">
        <f t="shared" si="105"/>
        <v>51297.660000000047</v>
      </c>
      <c r="S1285" s="24" t="s">
        <v>1334</v>
      </c>
      <c r="T1285" s="24" t="s">
        <v>1334</v>
      </c>
      <c r="U1285" s="53"/>
      <c r="V1285" s="25">
        <f>IFERROR(VLOOKUP(BCP_Soles[[#This Row],[destinatario]],CHOOSE({1,2},Clientes_Proveedores[Razon Social],Clientes_Proveedores[Ruc / Dni]),2,0),"")</f>
        <v>20558226979</v>
      </c>
      <c r="W1285" s="25" t="s">
        <v>1345</v>
      </c>
      <c r="X1285" s="25" t="s">
        <v>2558</v>
      </c>
      <c r="Y1285" s="25"/>
      <c r="Z1285" s="75"/>
      <c r="AA1285" s="3" t="str">
        <f>IF(BCP_Soles[[#This Row],[fecha]]&gt;0,TEXT(BCP_Soles[[#This Row],[fecha]],"mmmm"),0)</f>
        <v>Abril</v>
      </c>
    </row>
    <row r="1286" spans="1:27" x14ac:dyDescent="0.3">
      <c r="A1286" s="2">
        <f>IF(BCP_Soles[[#This Row],[tipo_registro]]="R",COUNTIFS($C$1:$C1285,"R")+1,A1285)</f>
        <v>963</v>
      </c>
      <c r="B1286" s="19" t="str">
        <f t="shared" si="106"/>
        <v>B-BCP - Soles</v>
      </c>
      <c r="C1286" s="3" t="s">
        <v>1330</v>
      </c>
      <c r="D1286" s="14">
        <v>45758</v>
      </c>
      <c r="E1286" s="5" t="s">
        <v>1335</v>
      </c>
      <c r="F1286" s="5" t="s">
        <v>1336</v>
      </c>
      <c r="G1286" s="6"/>
      <c r="H1286" s="6"/>
      <c r="I1286" s="6"/>
      <c r="J1286" s="6"/>
      <c r="K1286" s="7" t="s">
        <v>1337</v>
      </c>
      <c r="L1286" s="8"/>
      <c r="M1286" s="8" t="str">
        <f t="shared" si="107"/>
        <v>PEN</v>
      </c>
      <c r="N1286" s="13"/>
      <c r="O1286" s="13">
        <v>0.8</v>
      </c>
      <c r="P1286" s="3">
        <f t="shared" si="108"/>
        <v>0</v>
      </c>
      <c r="Q1286" s="3">
        <f t="shared" si="109"/>
        <v>0.8</v>
      </c>
      <c r="R1286" s="3">
        <f t="shared" si="105"/>
        <v>51296.860000000044</v>
      </c>
      <c r="S1286" s="24"/>
      <c r="T1286" s="24" t="s">
        <v>1334</v>
      </c>
      <c r="U1286" s="53"/>
      <c r="V1286" s="25" t="str">
        <f>IFERROR(VLOOKUP(BCP_Soles[[#This Row],[destinatario]],CHOOSE({1,2},Clientes_Proveedores[Razon Social],Clientes_Proveedores[Ruc / Dni]),2,0),"")</f>
        <v/>
      </c>
      <c r="W1286" s="25"/>
      <c r="X1286" s="25"/>
      <c r="Y1286" s="25"/>
      <c r="Z1286" s="75"/>
      <c r="AA1286" s="3" t="str">
        <f>IF(BCP_Soles[[#This Row],[fecha]]&gt;0,TEXT(BCP_Soles[[#This Row],[fecha]],"mmmm"),0)</f>
        <v>Abril</v>
      </c>
    </row>
    <row r="1287" spans="1:27" ht="24" x14ac:dyDescent="0.3">
      <c r="A1287" s="2">
        <f>IF(BCP_Soles[[#This Row],[tipo_registro]]="R",COUNTIFS($C$1:$C1286,"R")+1,A1286)</f>
        <v>964</v>
      </c>
      <c r="B1287" s="19" t="str">
        <f t="shared" si="106"/>
        <v>B-BCP - Soles</v>
      </c>
      <c r="C1287" s="3" t="s">
        <v>1330</v>
      </c>
      <c r="D1287" s="14">
        <v>45758</v>
      </c>
      <c r="E1287" s="5" t="s">
        <v>2269</v>
      </c>
      <c r="F1287" s="5" t="s">
        <v>1336</v>
      </c>
      <c r="G1287" s="6" t="s">
        <v>806</v>
      </c>
      <c r="H1287" s="6"/>
      <c r="I1287" s="6"/>
      <c r="J1287" s="6"/>
      <c r="K1287" s="7" t="s">
        <v>2659</v>
      </c>
      <c r="L1287" s="8">
        <v>1287039</v>
      </c>
      <c r="M1287" s="8" t="str">
        <f t="shared" si="107"/>
        <v>PEN</v>
      </c>
      <c r="N1287" s="13"/>
      <c r="O1287" s="13">
        <v>8000</v>
      </c>
      <c r="P1287" s="3">
        <f t="shared" si="108"/>
        <v>0</v>
      </c>
      <c r="Q1287" s="3">
        <f t="shared" si="109"/>
        <v>8000</v>
      </c>
      <c r="R1287" s="3">
        <f t="shared" si="105"/>
        <v>43296.860000000044</v>
      </c>
      <c r="S1287" s="24"/>
      <c r="T1287" s="24"/>
      <c r="U1287" s="53"/>
      <c r="V1287" s="25">
        <f>IFERROR(VLOOKUP(BCP_Soles[[#This Row],[destinatario]],CHOOSE({1,2},Clientes_Proveedores[Razon Social],Clientes_Proveedores[Ruc / Dni]),2,0),"")</f>
        <v>44162989</v>
      </c>
      <c r="W1287" s="25" t="s">
        <v>2660</v>
      </c>
      <c r="X1287" s="25"/>
      <c r="Y1287" s="25"/>
      <c r="Z1287" s="75"/>
      <c r="AA1287" s="3" t="str">
        <f>IF(BCP_Soles[[#This Row],[fecha]]&gt;0,TEXT(BCP_Soles[[#This Row],[fecha]],"mmmm"),0)</f>
        <v>Abril</v>
      </c>
    </row>
    <row r="1288" spans="1:27" x14ac:dyDescent="0.3">
      <c r="A1288" s="2">
        <f>IF(BCP_Soles[[#This Row],[tipo_registro]]="R",COUNTIFS($C$1:$C1287,"R")+1,A1287)</f>
        <v>965</v>
      </c>
      <c r="B1288" s="19" t="str">
        <f t="shared" si="106"/>
        <v>B-BCP - Soles</v>
      </c>
      <c r="C1288" s="3" t="s">
        <v>1330</v>
      </c>
      <c r="D1288" s="14">
        <v>45758</v>
      </c>
      <c r="E1288" s="5" t="s">
        <v>2269</v>
      </c>
      <c r="F1288" s="5" t="s">
        <v>1336</v>
      </c>
      <c r="G1288" s="6" t="s">
        <v>696</v>
      </c>
      <c r="H1288" s="6"/>
      <c r="I1288" s="6"/>
      <c r="J1288" s="6"/>
      <c r="K1288" s="7" t="s">
        <v>2661</v>
      </c>
      <c r="L1288" s="8">
        <v>3114067</v>
      </c>
      <c r="M1288" s="8" t="str">
        <f t="shared" si="107"/>
        <v>PEN</v>
      </c>
      <c r="N1288" s="13"/>
      <c r="O1288" s="13">
        <v>7894.66</v>
      </c>
      <c r="P1288" s="3">
        <f t="shared" si="108"/>
        <v>0</v>
      </c>
      <c r="Q1288" s="3">
        <f t="shared" si="109"/>
        <v>7894.66</v>
      </c>
      <c r="R1288" s="3">
        <f t="shared" si="105"/>
        <v>35402.200000000041</v>
      </c>
      <c r="S1288" s="24" t="s">
        <v>1334</v>
      </c>
      <c r="T1288" s="24" t="s">
        <v>1334</v>
      </c>
      <c r="U1288" s="53"/>
      <c r="V1288" s="25">
        <f>IFERROR(VLOOKUP(BCP_Soles[[#This Row],[destinatario]],CHOOSE({1,2},Clientes_Proveedores[Razon Social],Clientes_Proveedores[Ruc / Dni]),2,0),"")</f>
        <v>0</v>
      </c>
      <c r="W1288" s="25" t="s">
        <v>1373</v>
      </c>
      <c r="X1288" s="25"/>
      <c r="Y1288" s="25"/>
      <c r="Z1288" s="75"/>
      <c r="AA1288" s="3" t="str">
        <f>IF(BCP_Soles[[#This Row],[fecha]]&gt;0,TEXT(BCP_Soles[[#This Row],[fecha]],"mmmm"),0)</f>
        <v>Abril</v>
      </c>
    </row>
    <row r="1289" spans="1:27" x14ac:dyDescent="0.3">
      <c r="A1289" s="2">
        <f>IF(BCP_Soles[[#This Row],[tipo_registro]]="R",COUNTIFS($C$1:$C1288,"R")+1,A1288)</f>
        <v>965</v>
      </c>
      <c r="B1289" s="19" t="str">
        <f t="shared" si="106"/>
        <v>B-BCP - Soles</v>
      </c>
      <c r="C1289" s="3" t="s">
        <v>1352</v>
      </c>
      <c r="D1289" s="14">
        <v>45758</v>
      </c>
      <c r="E1289" s="5" t="s">
        <v>2269</v>
      </c>
      <c r="F1289" s="5"/>
      <c r="G1289" s="6" t="s">
        <v>286</v>
      </c>
      <c r="H1289" s="6" t="s">
        <v>68</v>
      </c>
      <c r="I1289" s="6" t="s">
        <v>1386</v>
      </c>
      <c r="J1289" s="6">
        <v>1690</v>
      </c>
      <c r="K1289" s="7" t="s">
        <v>2661</v>
      </c>
      <c r="L1289" s="8">
        <v>3114067</v>
      </c>
      <c r="M1289" s="8" t="str">
        <f t="shared" si="107"/>
        <v>PEN</v>
      </c>
      <c r="N1289" s="13">
        <v>1452.1</v>
      </c>
      <c r="O1289" s="13"/>
      <c r="P1289" s="3">
        <f t="shared" si="108"/>
        <v>0</v>
      </c>
      <c r="Q1289" s="3">
        <f t="shared" si="109"/>
        <v>0</v>
      </c>
      <c r="R1289" s="3">
        <f t="shared" ref="R1289:R1352" si="110">IFERROR(IF(F1289="SALDO",P1289,R1288+P1289-Q1289),0)</f>
        <v>35402.200000000041</v>
      </c>
      <c r="S1289" s="24"/>
      <c r="T1289" s="24" t="s">
        <v>1334</v>
      </c>
      <c r="U1289" s="53"/>
      <c r="V1289" s="25">
        <f>IFERROR(VLOOKUP(BCP_Soles[[#This Row],[destinatario]],CHOOSE({1,2},Clientes_Proveedores[Razon Social],Clientes_Proveedores[Ruc / Dni]),2,0),"")</f>
        <v>20454186002</v>
      </c>
      <c r="W1289" s="25"/>
      <c r="X1289" s="25"/>
      <c r="Y1289" s="25"/>
      <c r="Z1289" s="75"/>
      <c r="AA1289" s="3" t="str">
        <f>IF(BCP_Soles[[#This Row],[fecha]]&gt;0,TEXT(BCP_Soles[[#This Row],[fecha]],"mmmm"),0)</f>
        <v>Abril</v>
      </c>
    </row>
    <row r="1290" spans="1:27" x14ac:dyDescent="0.3">
      <c r="A1290" s="2">
        <f>IF(BCP_Soles[[#This Row],[tipo_registro]]="R",COUNTIFS($C$1:$C1289,"R")+1,A1289)</f>
        <v>965</v>
      </c>
      <c r="B1290" s="19" t="str">
        <f t="shared" si="106"/>
        <v>B-BCP - Soles</v>
      </c>
      <c r="C1290" s="3" t="s">
        <v>1352</v>
      </c>
      <c r="D1290" s="14">
        <v>45758</v>
      </c>
      <c r="E1290" s="5" t="s">
        <v>2269</v>
      </c>
      <c r="F1290" s="5"/>
      <c r="G1290" s="6" t="s">
        <v>286</v>
      </c>
      <c r="H1290" s="6" t="s">
        <v>68</v>
      </c>
      <c r="I1290" s="6" t="s">
        <v>1386</v>
      </c>
      <c r="J1290" s="6">
        <v>1691</v>
      </c>
      <c r="K1290" s="7" t="s">
        <v>2661</v>
      </c>
      <c r="L1290" s="8">
        <v>3114067</v>
      </c>
      <c r="M1290" s="8" t="str">
        <f t="shared" si="107"/>
        <v>PEN</v>
      </c>
      <c r="N1290" s="13">
        <v>795.89</v>
      </c>
      <c r="O1290" s="13"/>
      <c r="P1290" s="3">
        <f t="shared" si="108"/>
        <v>0</v>
      </c>
      <c r="Q1290" s="3">
        <f t="shared" si="109"/>
        <v>0</v>
      </c>
      <c r="R1290" s="3">
        <f t="shared" si="110"/>
        <v>35402.200000000041</v>
      </c>
      <c r="S1290" s="24"/>
      <c r="T1290" s="24" t="s">
        <v>1334</v>
      </c>
      <c r="U1290" s="53"/>
      <c r="V1290" s="25">
        <f>IFERROR(VLOOKUP(BCP_Soles[[#This Row],[destinatario]],CHOOSE({1,2},Clientes_Proveedores[Razon Social],Clientes_Proveedores[Ruc / Dni]),2,0),"")</f>
        <v>20454186002</v>
      </c>
      <c r="W1290" s="25"/>
      <c r="X1290" s="25"/>
      <c r="Y1290" s="25"/>
      <c r="Z1290" s="75"/>
      <c r="AA1290" s="3" t="str">
        <f>IF(BCP_Soles[[#This Row],[fecha]]&gt;0,TEXT(BCP_Soles[[#This Row],[fecha]],"mmmm"),0)</f>
        <v>Abril</v>
      </c>
    </row>
    <row r="1291" spans="1:27" ht="36" x14ac:dyDescent="0.3">
      <c r="A1291" s="2">
        <f>IF(BCP_Soles[[#This Row],[tipo_registro]]="R",COUNTIFS($C$1:$C1290,"R")+1,A1290)</f>
        <v>965</v>
      </c>
      <c r="B1291" s="19" t="str">
        <f t="shared" si="106"/>
        <v>B-BCP - Soles</v>
      </c>
      <c r="C1291" s="3" t="s">
        <v>1352</v>
      </c>
      <c r="D1291" s="14">
        <v>45758</v>
      </c>
      <c r="E1291" s="5" t="s">
        <v>2269</v>
      </c>
      <c r="F1291" s="5"/>
      <c r="G1291" s="6" t="s">
        <v>583</v>
      </c>
      <c r="H1291" s="6" t="s">
        <v>68</v>
      </c>
      <c r="I1291" s="6" t="s">
        <v>1376</v>
      </c>
      <c r="J1291" s="6">
        <v>728</v>
      </c>
      <c r="K1291" s="7" t="s">
        <v>2661</v>
      </c>
      <c r="L1291" s="8">
        <v>3114067</v>
      </c>
      <c r="M1291" s="8" t="str">
        <f t="shared" si="107"/>
        <v>PEN</v>
      </c>
      <c r="N1291" s="13">
        <v>450</v>
      </c>
      <c r="O1291" s="13"/>
      <c r="P1291" s="3">
        <f t="shared" si="108"/>
        <v>0</v>
      </c>
      <c r="Q1291" s="3">
        <f t="shared" si="109"/>
        <v>0</v>
      </c>
      <c r="R1291" s="3">
        <f t="shared" si="110"/>
        <v>35402.200000000041</v>
      </c>
      <c r="S1291" s="24"/>
      <c r="T1291" s="24" t="s">
        <v>1334</v>
      </c>
      <c r="U1291" s="53"/>
      <c r="V1291" s="25">
        <f>IFERROR(VLOOKUP(BCP_Soles[[#This Row],[destinatario]],CHOOSE({1,2},Clientes_Proveedores[Razon Social],Clientes_Proveedores[Ruc / Dni]),2,0),"")</f>
        <v>20609155303</v>
      </c>
      <c r="W1291" s="25"/>
      <c r="X1291" s="25"/>
      <c r="Y1291" s="25"/>
      <c r="Z1291" s="75"/>
      <c r="AA1291" s="3" t="str">
        <f>IF(BCP_Soles[[#This Row],[fecha]]&gt;0,TEXT(BCP_Soles[[#This Row],[fecha]],"mmmm"),0)</f>
        <v>Abril</v>
      </c>
    </row>
    <row r="1292" spans="1:27" ht="36" x14ac:dyDescent="0.3">
      <c r="A1292" s="2">
        <f>IF(BCP_Soles[[#This Row],[tipo_registro]]="R",COUNTIFS($C$1:$C1291,"R")+1,A1291)</f>
        <v>965</v>
      </c>
      <c r="B1292" s="19" t="str">
        <f t="shared" si="106"/>
        <v>B-BCP - Soles</v>
      </c>
      <c r="C1292" s="3" t="s">
        <v>1352</v>
      </c>
      <c r="D1292" s="14">
        <v>45758</v>
      </c>
      <c r="E1292" s="5" t="s">
        <v>2269</v>
      </c>
      <c r="F1292" s="5"/>
      <c r="G1292" s="6" t="s">
        <v>583</v>
      </c>
      <c r="H1292" s="6" t="s">
        <v>68</v>
      </c>
      <c r="I1292" s="6" t="s">
        <v>1376</v>
      </c>
      <c r="J1292" s="6">
        <v>729</v>
      </c>
      <c r="K1292" s="7" t="s">
        <v>2661</v>
      </c>
      <c r="L1292" s="8">
        <v>3114067</v>
      </c>
      <c r="M1292" s="8" t="str">
        <f t="shared" si="107"/>
        <v>PEN</v>
      </c>
      <c r="N1292" s="13">
        <v>300</v>
      </c>
      <c r="O1292" s="13"/>
      <c r="P1292" s="3">
        <f t="shared" si="108"/>
        <v>0</v>
      </c>
      <c r="Q1292" s="3">
        <f t="shared" si="109"/>
        <v>0</v>
      </c>
      <c r="R1292" s="3">
        <f t="shared" si="110"/>
        <v>35402.200000000041</v>
      </c>
      <c r="S1292" s="24"/>
      <c r="T1292" s="24" t="s">
        <v>1334</v>
      </c>
      <c r="U1292" s="53"/>
      <c r="V1292" s="25">
        <f>IFERROR(VLOOKUP(BCP_Soles[[#This Row],[destinatario]],CHOOSE({1,2},Clientes_Proveedores[Razon Social],Clientes_Proveedores[Ruc / Dni]),2,0),"")</f>
        <v>20609155303</v>
      </c>
      <c r="W1292" s="25"/>
      <c r="X1292" s="25"/>
      <c r="Y1292" s="25"/>
      <c r="Z1292" s="75"/>
      <c r="AA1292" s="3" t="str">
        <f>IF(BCP_Soles[[#This Row],[fecha]]&gt;0,TEXT(BCP_Soles[[#This Row],[fecha]],"mmmm"),0)</f>
        <v>Abril</v>
      </c>
    </row>
    <row r="1293" spans="1:27" x14ac:dyDescent="0.3">
      <c r="A1293" s="2">
        <f>IF(BCP_Soles[[#This Row],[tipo_registro]]="R",COUNTIFS($C$1:$C1292,"R")+1,A1292)</f>
        <v>965</v>
      </c>
      <c r="B1293" s="19" t="str">
        <f t="shared" si="106"/>
        <v>B-BCP - Soles</v>
      </c>
      <c r="C1293" s="3" t="s">
        <v>1352</v>
      </c>
      <c r="D1293" s="14">
        <v>45758</v>
      </c>
      <c r="E1293" s="5" t="s">
        <v>2269</v>
      </c>
      <c r="F1293" s="5"/>
      <c r="G1293" s="6" t="s">
        <v>183</v>
      </c>
      <c r="H1293" s="6" t="s">
        <v>68</v>
      </c>
      <c r="I1293" s="6" t="s">
        <v>1376</v>
      </c>
      <c r="J1293" s="6">
        <v>102</v>
      </c>
      <c r="K1293" s="7" t="s">
        <v>2661</v>
      </c>
      <c r="L1293" s="8">
        <v>3114067</v>
      </c>
      <c r="M1293" s="8" t="str">
        <f t="shared" si="107"/>
        <v>PEN</v>
      </c>
      <c r="N1293" s="13">
        <v>1172.92</v>
      </c>
      <c r="O1293" s="13"/>
      <c r="P1293" s="3">
        <f t="shared" si="108"/>
        <v>0</v>
      </c>
      <c r="Q1293" s="3">
        <f t="shared" si="109"/>
        <v>0</v>
      </c>
      <c r="R1293" s="3">
        <f t="shared" si="110"/>
        <v>35402.200000000041</v>
      </c>
      <c r="S1293" s="24"/>
      <c r="T1293" s="24" t="s">
        <v>1334</v>
      </c>
      <c r="U1293" s="53"/>
      <c r="V1293" s="25">
        <f>IFERROR(VLOOKUP(BCP_Soles[[#This Row],[destinatario]],CHOOSE({1,2},Clientes_Proveedores[Razon Social],Clientes_Proveedores[Ruc / Dni]),2,0),"")</f>
        <v>10486253725</v>
      </c>
      <c r="W1293" s="25"/>
      <c r="X1293" s="25"/>
      <c r="Y1293" s="25"/>
      <c r="Z1293" s="75"/>
      <c r="AA1293" s="3" t="str">
        <f>IF(BCP_Soles[[#This Row],[fecha]]&gt;0,TEXT(BCP_Soles[[#This Row],[fecha]],"mmmm"),0)</f>
        <v>Abril</v>
      </c>
    </row>
    <row r="1294" spans="1:27" ht="24" x14ac:dyDescent="0.3">
      <c r="A1294" s="2">
        <f>IF(BCP_Soles[[#This Row],[tipo_registro]]="R",COUNTIFS($C$1:$C1293,"R")+1,A1293)</f>
        <v>965</v>
      </c>
      <c r="B1294" s="19" t="str">
        <f t="shared" si="106"/>
        <v>B-BCP - Soles</v>
      </c>
      <c r="C1294" s="3" t="s">
        <v>1352</v>
      </c>
      <c r="D1294" s="14">
        <v>45758</v>
      </c>
      <c r="E1294" s="5" t="s">
        <v>2269</v>
      </c>
      <c r="F1294" s="5"/>
      <c r="G1294" s="6" t="s">
        <v>667</v>
      </c>
      <c r="H1294" s="6" t="s">
        <v>68</v>
      </c>
      <c r="I1294" s="6" t="s">
        <v>1376</v>
      </c>
      <c r="J1294" s="6">
        <v>13</v>
      </c>
      <c r="K1294" s="7" t="s">
        <v>2661</v>
      </c>
      <c r="L1294" s="8">
        <v>3114067</v>
      </c>
      <c r="M1294" s="8" t="str">
        <f t="shared" si="107"/>
        <v>PEN</v>
      </c>
      <c r="N1294" s="13">
        <v>510</v>
      </c>
      <c r="O1294" s="13"/>
      <c r="P1294" s="3">
        <f t="shared" si="108"/>
        <v>0</v>
      </c>
      <c r="Q1294" s="3">
        <f t="shared" si="109"/>
        <v>0</v>
      </c>
      <c r="R1294" s="3">
        <f t="shared" si="110"/>
        <v>35402.200000000041</v>
      </c>
      <c r="S1294" s="24"/>
      <c r="T1294" s="24" t="s">
        <v>1334</v>
      </c>
      <c r="U1294" s="53"/>
      <c r="V1294" s="25">
        <f>IFERROR(VLOOKUP(BCP_Soles[[#This Row],[destinatario]],CHOOSE({1,2},Clientes_Proveedores[Razon Social],Clientes_Proveedores[Ruc / Dni]),2,0),"")</f>
        <v>10410687491</v>
      </c>
      <c r="W1294" s="25"/>
      <c r="X1294" s="25"/>
      <c r="Y1294" s="25"/>
      <c r="Z1294" s="75"/>
      <c r="AA1294" s="3" t="str">
        <f>IF(BCP_Soles[[#This Row],[fecha]]&gt;0,TEXT(BCP_Soles[[#This Row],[fecha]],"mmmm"),0)</f>
        <v>Abril</v>
      </c>
    </row>
    <row r="1295" spans="1:27" ht="24" x14ac:dyDescent="0.3">
      <c r="A1295" s="2">
        <f>IF(BCP_Soles[[#This Row],[tipo_registro]]="R",COUNTIFS($C$1:$C1294,"R")+1,A1294)</f>
        <v>965</v>
      </c>
      <c r="B1295" s="19" t="str">
        <f t="shared" si="106"/>
        <v>B-BCP - Soles</v>
      </c>
      <c r="C1295" s="3" t="s">
        <v>1352</v>
      </c>
      <c r="D1295" s="14">
        <v>45758</v>
      </c>
      <c r="E1295" s="5" t="s">
        <v>2269</v>
      </c>
      <c r="F1295" s="5"/>
      <c r="G1295" s="6" t="s">
        <v>667</v>
      </c>
      <c r="H1295" s="6" t="s">
        <v>68</v>
      </c>
      <c r="I1295" s="6" t="s">
        <v>1376</v>
      </c>
      <c r="J1295" s="6">
        <v>11</v>
      </c>
      <c r="K1295" s="7" t="s">
        <v>2661</v>
      </c>
      <c r="L1295" s="8">
        <v>3114067</v>
      </c>
      <c r="M1295" s="8" t="str">
        <f t="shared" si="107"/>
        <v>PEN</v>
      </c>
      <c r="N1295" s="13">
        <v>510</v>
      </c>
      <c r="O1295" s="13"/>
      <c r="P1295" s="3">
        <f t="shared" si="108"/>
        <v>0</v>
      </c>
      <c r="Q1295" s="3">
        <f t="shared" si="109"/>
        <v>0</v>
      </c>
      <c r="R1295" s="3">
        <f t="shared" si="110"/>
        <v>35402.200000000041</v>
      </c>
      <c r="S1295" s="24"/>
      <c r="T1295" s="24" t="s">
        <v>1334</v>
      </c>
      <c r="U1295" s="53"/>
      <c r="V1295" s="25">
        <f>IFERROR(VLOOKUP(BCP_Soles[[#This Row],[destinatario]],CHOOSE({1,2},Clientes_Proveedores[Razon Social],Clientes_Proveedores[Ruc / Dni]),2,0),"")</f>
        <v>10410687491</v>
      </c>
      <c r="W1295" s="25"/>
      <c r="X1295" s="25"/>
      <c r="Y1295" s="25"/>
      <c r="Z1295" s="75"/>
      <c r="AA1295" s="3" t="str">
        <f>IF(BCP_Soles[[#This Row],[fecha]]&gt;0,TEXT(BCP_Soles[[#This Row],[fecha]],"mmmm"),0)</f>
        <v>Abril</v>
      </c>
    </row>
    <row r="1296" spans="1:27" ht="24" x14ac:dyDescent="0.3">
      <c r="A1296" s="2">
        <f>IF(BCP_Soles[[#This Row],[tipo_registro]]="R",COUNTIFS($C$1:$C1295,"R")+1,A1295)</f>
        <v>965</v>
      </c>
      <c r="B1296" s="19" t="str">
        <f t="shared" si="106"/>
        <v>B-BCP - Soles</v>
      </c>
      <c r="C1296" s="3" t="s">
        <v>1352</v>
      </c>
      <c r="D1296" s="14">
        <v>45758</v>
      </c>
      <c r="E1296" s="5" t="s">
        <v>2269</v>
      </c>
      <c r="F1296" s="5"/>
      <c r="G1296" s="6" t="s">
        <v>667</v>
      </c>
      <c r="H1296" s="6" t="s">
        <v>68</v>
      </c>
      <c r="I1296" s="6" t="s">
        <v>1376</v>
      </c>
      <c r="J1296" s="6">
        <v>10</v>
      </c>
      <c r="K1296" s="7" t="s">
        <v>2661</v>
      </c>
      <c r="L1296" s="8">
        <v>3114067</v>
      </c>
      <c r="M1296" s="8" t="str">
        <f t="shared" si="107"/>
        <v>PEN</v>
      </c>
      <c r="N1296" s="13">
        <v>1020</v>
      </c>
      <c r="O1296" s="13"/>
      <c r="P1296" s="3">
        <f t="shared" si="108"/>
        <v>0</v>
      </c>
      <c r="Q1296" s="3">
        <f t="shared" si="109"/>
        <v>0</v>
      </c>
      <c r="R1296" s="3">
        <f t="shared" si="110"/>
        <v>35402.200000000041</v>
      </c>
      <c r="S1296" s="24"/>
      <c r="T1296" s="24" t="s">
        <v>1334</v>
      </c>
      <c r="U1296" s="53"/>
      <c r="V1296" s="25">
        <f>IFERROR(VLOOKUP(BCP_Soles[[#This Row],[destinatario]],CHOOSE({1,2},Clientes_Proveedores[Razon Social],Clientes_Proveedores[Ruc / Dni]),2,0),"")</f>
        <v>10410687491</v>
      </c>
      <c r="W1296" s="25"/>
      <c r="X1296" s="25"/>
      <c r="Y1296" s="25"/>
      <c r="Z1296" s="75"/>
      <c r="AA1296" s="3" t="str">
        <f>IF(BCP_Soles[[#This Row],[fecha]]&gt;0,TEXT(BCP_Soles[[#This Row],[fecha]],"mmmm"),0)</f>
        <v>Abril</v>
      </c>
    </row>
    <row r="1297" spans="1:27" ht="24" x14ac:dyDescent="0.3">
      <c r="A1297" s="2">
        <f>IF(BCP_Soles[[#This Row],[tipo_registro]]="R",COUNTIFS($C$1:$C1296,"R")+1,A1296)</f>
        <v>965</v>
      </c>
      <c r="B1297" s="19" t="str">
        <f t="shared" ref="B1297:B1362" si="111">"B-BCP - Soles"</f>
        <v>B-BCP - Soles</v>
      </c>
      <c r="C1297" s="3" t="s">
        <v>1352</v>
      </c>
      <c r="D1297" s="14">
        <v>45758</v>
      </c>
      <c r="E1297" s="5" t="s">
        <v>2269</v>
      </c>
      <c r="F1297" s="5"/>
      <c r="G1297" s="6" t="s">
        <v>667</v>
      </c>
      <c r="H1297" s="6" t="s">
        <v>68</v>
      </c>
      <c r="I1297" s="6" t="s">
        <v>1376</v>
      </c>
      <c r="J1297" s="6">
        <v>8</v>
      </c>
      <c r="K1297" s="7" t="s">
        <v>2661</v>
      </c>
      <c r="L1297" s="8">
        <v>3114067</v>
      </c>
      <c r="M1297" s="8" t="str">
        <f t="shared" ref="M1297:M1362" si="112">"PEN"</f>
        <v>PEN</v>
      </c>
      <c r="N1297" s="13">
        <v>510</v>
      </c>
      <c r="O1297" s="13"/>
      <c r="P1297" s="3">
        <f t="shared" ref="P1297:P1362" si="113">+IF(OR($F1297="SALDO",$F1297="INGRESO"),$O1297,0)</f>
        <v>0</v>
      </c>
      <c r="Q1297" s="3">
        <f t="shared" ref="Q1297:Q1362" si="114">+IF($F1297="EGRESO",$O1297,0)</f>
        <v>0</v>
      </c>
      <c r="R1297" s="3">
        <f t="shared" si="110"/>
        <v>35402.200000000041</v>
      </c>
      <c r="S1297" s="24"/>
      <c r="T1297" s="24" t="s">
        <v>1334</v>
      </c>
      <c r="U1297" s="53"/>
      <c r="V1297" s="25">
        <f>IFERROR(VLOOKUP(BCP_Soles[[#This Row],[destinatario]],CHOOSE({1,2},Clientes_Proveedores[Razon Social],Clientes_Proveedores[Ruc / Dni]),2,0),"")</f>
        <v>10410687491</v>
      </c>
      <c r="W1297" s="25"/>
      <c r="X1297" s="25"/>
      <c r="Y1297" s="25"/>
      <c r="Z1297" s="75"/>
      <c r="AA1297" s="3" t="str">
        <f>IF(BCP_Soles[[#This Row],[fecha]]&gt;0,TEXT(BCP_Soles[[#This Row],[fecha]],"mmmm"),0)</f>
        <v>Abril</v>
      </c>
    </row>
    <row r="1298" spans="1:27" x14ac:dyDescent="0.3">
      <c r="A1298" s="2">
        <f>IF(BCP_Soles[[#This Row],[tipo_registro]]="R",COUNTIFS($C$1:$C1297,"R")+1,A1297)</f>
        <v>965</v>
      </c>
      <c r="B1298" s="19" t="str">
        <f t="shared" si="111"/>
        <v>B-BCP - Soles</v>
      </c>
      <c r="C1298" s="3" t="s">
        <v>1352</v>
      </c>
      <c r="D1298" s="14">
        <v>45758</v>
      </c>
      <c r="E1298" s="5" t="s">
        <v>2269</v>
      </c>
      <c r="F1298" s="5"/>
      <c r="G1298" s="6" t="s">
        <v>522</v>
      </c>
      <c r="H1298" s="6" t="s">
        <v>68</v>
      </c>
      <c r="I1298" s="6" t="s">
        <v>1376</v>
      </c>
      <c r="J1298" s="6">
        <v>3774</v>
      </c>
      <c r="K1298" s="7" t="s">
        <v>2661</v>
      </c>
      <c r="L1298" s="8">
        <v>3114067</v>
      </c>
      <c r="M1298" s="8" t="str">
        <f t="shared" si="112"/>
        <v>PEN</v>
      </c>
      <c r="N1298" s="13">
        <v>200.6</v>
      </c>
      <c r="O1298" s="13"/>
      <c r="P1298" s="3">
        <f t="shared" si="113"/>
        <v>0</v>
      </c>
      <c r="Q1298" s="3">
        <f t="shared" si="114"/>
        <v>0</v>
      </c>
      <c r="R1298" s="3">
        <f t="shared" si="110"/>
        <v>35402.200000000041</v>
      </c>
      <c r="S1298" s="24"/>
      <c r="T1298" s="24" t="s">
        <v>1334</v>
      </c>
      <c r="U1298" s="53"/>
      <c r="V1298" s="25">
        <f>IFERROR(VLOOKUP(BCP_Soles[[#This Row],[destinatario]],CHOOSE({1,2},Clientes_Proveedores[Razon Social],Clientes_Proveedores[Ruc / Dni]),2,0),"")</f>
        <v>20603974817</v>
      </c>
      <c r="W1298" s="25"/>
      <c r="X1298" s="25"/>
      <c r="Y1298" s="25"/>
      <c r="Z1298" s="75"/>
      <c r="AA1298" s="3" t="str">
        <f>IF(BCP_Soles[[#This Row],[fecha]]&gt;0,TEXT(BCP_Soles[[#This Row],[fecha]],"mmmm"),0)</f>
        <v>Abril</v>
      </c>
    </row>
    <row r="1299" spans="1:27" x14ac:dyDescent="0.3">
      <c r="A1299" s="2">
        <f>IF(BCP_Soles[[#This Row],[tipo_registro]]="R",COUNTIFS($C$1:$C1298,"R")+1,A1298)</f>
        <v>965</v>
      </c>
      <c r="B1299" s="19" t="str">
        <f t="shared" si="111"/>
        <v>B-BCP - Soles</v>
      </c>
      <c r="C1299" s="3" t="s">
        <v>1352</v>
      </c>
      <c r="D1299" s="14">
        <v>45758</v>
      </c>
      <c r="E1299" s="5" t="s">
        <v>2269</v>
      </c>
      <c r="F1299" s="5"/>
      <c r="G1299" s="6" t="s">
        <v>522</v>
      </c>
      <c r="H1299" s="6" t="s">
        <v>68</v>
      </c>
      <c r="I1299" s="6" t="s">
        <v>1376</v>
      </c>
      <c r="J1299" s="6">
        <v>3787</v>
      </c>
      <c r="K1299" s="7" t="s">
        <v>2661</v>
      </c>
      <c r="L1299" s="8">
        <v>3114067</v>
      </c>
      <c r="M1299" s="8" t="str">
        <f t="shared" si="112"/>
        <v>PEN</v>
      </c>
      <c r="N1299" s="13">
        <v>722.4</v>
      </c>
      <c r="O1299" s="13"/>
      <c r="P1299" s="3">
        <f t="shared" si="113"/>
        <v>0</v>
      </c>
      <c r="Q1299" s="3">
        <f t="shared" si="114"/>
        <v>0</v>
      </c>
      <c r="R1299" s="3">
        <f t="shared" si="110"/>
        <v>35402.200000000041</v>
      </c>
      <c r="S1299" s="24"/>
      <c r="T1299" s="24" t="s">
        <v>1334</v>
      </c>
      <c r="U1299" s="53"/>
      <c r="V1299" s="25">
        <f>IFERROR(VLOOKUP(BCP_Soles[[#This Row],[destinatario]],CHOOSE({1,2},Clientes_Proveedores[Razon Social],Clientes_Proveedores[Ruc / Dni]),2,0),"")</f>
        <v>20603974817</v>
      </c>
      <c r="W1299" s="25"/>
      <c r="X1299" s="25"/>
      <c r="Y1299" s="25"/>
      <c r="Z1299" s="75"/>
      <c r="AA1299" s="3" t="str">
        <f>IF(BCP_Soles[[#This Row],[fecha]]&gt;0,TEXT(BCP_Soles[[#This Row],[fecha]],"mmmm"),0)</f>
        <v>Abril</v>
      </c>
    </row>
    <row r="1300" spans="1:27" x14ac:dyDescent="0.3">
      <c r="A1300" s="2">
        <f>IF(BCP_Soles[[#This Row],[tipo_registro]]="R",COUNTIFS($C$1:$C1299,"R")+1,A1299)</f>
        <v>965</v>
      </c>
      <c r="B1300" s="19" t="str">
        <f t="shared" si="111"/>
        <v>B-BCP - Soles</v>
      </c>
      <c r="C1300" s="3" t="s">
        <v>1352</v>
      </c>
      <c r="D1300" s="14">
        <v>45758</v>
      </c>
      <c r="E1300" s="5" t="s">
        <v>2269</v>
      </c>
      <c r="F1300" s="5"/>
      <c r="G1300" s="6" t="s">
        <v>522</v>
      </c>
      <c r="H1300" s="6" t="s">
        <v>68</v>
      </c>
      <c r="I1300" s="6" t="s">
        <v>1376</v>
      </c>
      <c r="J1300" s="6">
        <v>3784</v>
      </c>
      <c r="K1300" s="7" t="s">
        <v>2661</v>
      </c>
      <c r="L1300" s="8">
        <v>3114067</v>
      </c>
      <c r="M1300" s="8" t="str">
        <f t="shared" si="112"/>
        <v>PEN</v>
      </c>
      <c r="N1300" s="13">
        <v>250.75</v>
      </c>
      <c r="O1300" s="13"/>
      <c r="P1300" s="3">
        <f t="shared" si="113"/>
        <v>0</v>
      </c>
      <c r="Q1300" s="3">
        <f t="shared" si="114"/>
        <v>0</v>
      </c>
      <c r="R1300" s="3">
        <f t="shared" si="110"/>
        <v>35402.200000000041</v>
      </c>
      <c r="S1300" s="24"/>
      <c r="T1300" s="24" t="s">
        <v>1334</v>
      </c>
      <c r="U1300" s="53"/>
      <c r="V1300" s="25">
        <f>IFERROR(VLOOKUP(BCP_Soles[[#This Row],[destinatario]],CHOOSE({1,2},Clientes_Proveedores[Razon Social],Clientes_Proveedores[Ruc / Dni]),2,0),"")</f>
        <v>20603974817</v>
      </c>
      <c r="W1300" s="25"/>
      <c r="X1300" s="25"/>
      <c r="Y1300" s="25"/>
      <c r="Z1300" s="75"/>
      <c r="AA1300" s="3" t="str">
        <f>IF(BCP_Soles[[#This Row],[fecha]]&gt;0,TEXT(BCP_Soles[[#This Row],[fecha]],"mmmm"),0)</f>
        <v>Abril</v>
      </c>
    </row>
    <row r="1301" spans="1:27" x14ac:dyDescent="0.3">
      <c r="A1301" s="2">
        <f>IF(BCP_Soles[[#This Row],[tipo_registro]]="R",COUNTIFS($C$1:$C1300,"R")+1,A1300)</f>
        <v>966</v>
      </c>
      <c r="B1301" s="19" t="str">
        <f t="shared" si="111"/>
        <v>B-BCP - Soles</v>
      </c>
      <c r="C1301" s="3" t="s">
        <v>1330</v>
      </c>
      <c r="D1301" s="14">
        <v>45758</v>
      </c>
      <c r="E1301" s="5" t="s">
        <v>2662</v>
      </c>
      <c r="F1301" s="5" t="s">
        <v>1336</v>
      </c>
      <c r="G1301" s="6" t="s">
        <v>695</v>
      </c>
      <c r="H1301" s="6" t="s">
        <v>68</v>
      </c>
      <c r="I1301" s="6" t="s">
        <v>1715</v>
      </c>
      <c r="J1301" s="6">
        <v>134658</v>
      </c>
      <c r="K1301" s="7" t="s">
        <v>1378</v>
      </c>
      <c r="L1301" s="8">
        <v>198802</v>
      </c>
      <c r="M1301" s="8" t="str">
        <f t="shared" si="112"/>
        <v>PEN</v>
      </c>
      <c r="N1301" s="13"/>
      <c r="O1301" s="13">
        <v>1007.03</v>
      </c>
      <c r="P1301" s="3">
        <f t="shared" si="113"/>
        <v>0</v>
      </c>
      <c r="Q1301" s="3">
        <f t="shared" si="114"/>
        <v>1007.03</v>
      </c>
      <c r="R1301" s="3">
        <f t="shared" si="110"/>
        <v>34395.170000000042</v>
      </c>
      <c r="S1301" s="24" t="s">
        <v>1334</v>
      </c>
      <c r="T1301" s="24" t="s">
        <v>1334</v>
      </c>
      <c r="U1301" s="53"/>
      <c r="V1301" s="25">
        <f>IFERROR(VLOOKUP(BCP_Soles[[#This Row],[destinatario]],CHOOSE({1,2},Clientes_Proveedores[Razon Social],Clientes_Proveedores[Ruc / Dni]),2,0),"")</f>
        <v>20127765279</v>
      </c>
      <c r="W1301" s="25" t="s">
        <v>1379</v>
      </c>
      <c r="X1301" s="25" t="s">
        <v>2663</v>
      </c>
      <c r="Y1301" s="25"/>
      <c r="Z1301" s="75"/>
      <c r="AA1301" s="3" t="str">
        <f>IF(BCP_Soles[[#This Row],[fecha]]&gt;0,TEXT(BCP_Soles[[#This Row],[fecha]],"mmmm"),0)</f>
        <v>Abril</v>
      </c>
    </row>
    <row r="1302" spans="1:27" x14ac:dyDescent="0.3">
      <c r="A1302" s="2">
        <f>IF(BCP_Soles[[#This Row],[tipo_registro]]="R",COUNTIFS($C$1:$C1301,"R")+1,A1301)</f>
        <v>967</v>
      </c>
      <c r="B1302" s="19" t="str">
        <f t="shared" si="111"/>
        <v>B-BCP - Soles</v>
      </c>
      <c r="C1302" s="3" t="s">
        <v>1330</v>
      </c>
      <c r="D1302" s="14">
        <v>45758</v>
      </c>
      <c r="E1302" s="5" t="s">
        <v>2269</v>
      </c>
      <c r="F1302" s="5" t="s">
        <v>1336</v>
      </c>
      <c r="G1302" s="6" t="s">
        <v>695</v>
      </c>
      <c r="H1302" s="6" t="s">
        <v>68</v>
      </c>
      <c r="I1302" s="6" t="s">
        <v>1377</v>
      </c>
      <c r="J1302" s="6">
        <v>157558</v>
      </c>
      <c r="K1302" s="7" t="s">
        <v>1378</v>
      </c>
      <c r="L1302" s="8">
        <v>199797</v>
      </c>
      <c r="M1302" s="8" t="str">
        <f t="shared" si="112"/>
        <v>PEN</v>
      </c>
      <c r="N1302" s="13"/>
      <c r="O1302" s="13">
        <v>972.07</v>
      </c>
      <c r="P1302" s="3">
        <f t="shared" si="113"/>
        <v>0</v>
      </c>
      <c r="Q1302" s="3">
        <f t="shared" si="114"/>
        <v>972.07</v>
      </c>
      <c r="R1302" s="3">
        <f t="shared" si="110"/>
        <v>33423.100000000042</v>
      </c>
      <c r="S1302" s="24" t="s">
        <v>1334</v>
      </c>
      <c r="T1302" s="24" t="s">
        <v>1334</v>
      </c>
      <c r="U1302" s="53"/>
      <c r="V1302" s="25">
        <f>IFERROR(VLOOKUP(BCP_Soles[[#This Row],[destinatario]],CHOOSE({1,2},Clientes_Proveedores[Razon Social],Clientes_Proveedores[Ruc / Dni]),2,0),"")</f>
        <v>20127765279</v>
      </c>
      <c r="W1302" s="25" t="s">
        <v>1379</v>
      </c>
      <c r="X1302" s="25" t="s">
        <v>2664</v>
      </c>
      <c r="Y1302" s="25"/>
      <c r="Z1302" s="75"/>
      <c r="AA1302" s="3" t="str">
        <f>IF(BCP_Soles[[#This Row],[fecha]]&gt;0,TEXT(BCP_Soles[[#This Row],[fecha]],"mmmm"),0)</f>
        <v>Abril</v>
      </c>
    </row>
    <row r="1303" spans="1:27" x14ac:dyDescent="0.3">
      <c r="A1303" s="2">
        <f>IF(BCP_Soles[[#This Row],[tipo_registro]]="R",COUNTIFS($C$1:$C1302,"R")+1,A1302)</f>
        <v>968</v>
      </c>
      <c r="B1303" s="19" t="str">
        <f t="shared" si="111"/>
        <v>B-BCP - Soles</v>
      </c>
      <c r="C1303" s="3" t="s">
        <v>1330</v>
      </c>
      <c r="D1303" s="14">
        <v>45758</v>
      </c>
      <c r="E1303" s="5" t="s">
        <v>1338</v>
      </c>
      <c r="F1303" s="5" t="s">
        <v>1336</v>
      </c>
      <c r="G1303" s="6"/>
      <c r="H1303" s="6"/>
      <c r="I1303" s="6"/>
      <c r="J1303" s="6"/>
      <c r="K1303" s="7" t="s">
        <v>2665</v>
      </c>
      <c r="L1303" s="8">
        <v>1007963</v>
      </c>
      <c r="M1303" s="8" t="str">
        <f t="shared" si="112"/>
        <v>PEN</v>
      </c>
      <c r="N1303" s="13"/>
      <c r="O1303" s="13">
        <v>913</v>
      </c>
      <c r="P1303" s="3">
        <f t="shared" si="113"/>
        <v>0</v>
      </c>
      <c r="Q1303" s="3">
        <f t="shared" si="114"/>
        <v>913</v>
      </c>
      <c r="R1303" s="3">
        <f t="shared" si="110"/>
        <v>32510.100000000042</v>
      </c>
      <c r="S1303" s="24"/>
      <c r="T1303" s="24"/>
      <c r="U1303" s="53"/>
      <c r="V1303" s="25" t="str">
        <f>IFERROR(VLOOKUP(BCP_Soles[[#This Row],[destinatario]],CHOOSE({1,2},Clientes_Proveedores[Razon Social],Clientes_Proveedores[Ruc / Dni]),2,0),"")</f>
        <v/>
      </c>
      <c r="W1303" s="25" t="s">
        <v>2666</v>
      </c>
      <c r="X1303" s="25"/>
      <c r="Y1303" s="25"/>
      <c r="Z1303" s="75"/>
      <c r="AA1303" s="3" t="str">
        <f>IF(BCP_Soles[[#This Row],[fecha]]&gt;0,TEXT(BCP_Soles[[#This Row],[fecha]],"mmmm"),0)</f>
        <v>Abril</v>
      </c>
    </row>
    <row r="1304" spans="1:27" ht="24" x14ac:dyDescent="0.3">
      <c r="A1304" s="2">
        <f>IF(BCP_Soles[[#This Row],[tipo_registro]]="R",COUNTIFS($C$1:$C1303,"R")+1,A1303)</f>
        <v>969</v>
      </c>
      <c r="B1304" s="19" t="str">
        <f t="shared" si="111"/>
        <v>B-BCP - Soles</v>
      </c>
      <c r="C1304" s="3" t="s">
        <v>1330</v>
      </c>
      <c r="D1304" s="14">
        <v>45758</v>
      </c>
      <c r="E1304" s="5" t="s">
        <v>2269</v>
      </c>
      <c r="F1304" s="5" t="s">
        <v>1336</v>
      </c>
      <c r="G1304" s="6" t="s">
        <v>658</v>
      </c>
      <c r="H1304" s="6" t="s">
        <v>68</v>
      </c>
      <c r="I1304" s="6" t="s">
        <v>1376</v>
      </c>
      <c r="J1304" s="6">
        <v>39</v>
      </c>
      <c r="K1304" s="7" t="s">
        <v>2667</v>
      </c>
      <c r="L1304" s="8">
        <v>1198309</v>
      </c>
      <c r="M1304" s="8" t="str">
        <f t="shared" si="112"/>
        <v>PEN</v>
      </c>
      <c r="N1304" s="13"/>
      <c r="O1304" s="13">
        <v>826</v>
      </c>
      <c r="P1304" s="3">
        <f t="shared" si="113"/>
        <v>0</v>
      </c>
      <c r="Q1304" s="3">
        <f t="shared" si="114"/>
        <v>826</v>
      </c>
      <c r="R1304" s="3">
        <f t="shared" si="110"/>
        <v>31684.100000000042</v>
      </c>
      <c r="S1304" s="24" t="s">
        <v>1334</v>
      </c>
      <c r="T1304" s="24" t="s">
        <v>1334</v>
      </c>
      <c r="U1304" s="53"/>
      <c r="V1304" s="25">
        <f>IFERROR(VLOOKUP(BCP_Soles[[#This Row],[destinatario]],CHOOSE({1,2},Clientes_Proveedores[Razon Social],Clientes_Proveedores[Ruc / Dni]),2,0),"")</f>
        <v>15609125303</v>
      </c>
      <c r="W1304" s="25" t="s">
        <v>658</v>
      </c>
      <c r="X1304" s="25" t="s">
        <v>2668</v>
      </c>
      <c r="Y1304" s="25"/>
      <c r="Z1304" s="75"/>
      <c r="AA1304" s="3" t="str">
        <f>IF(BCP_Soles[[#This Row],[fecha]]&gt;0,TEXT(BCP_Soles[[#This Row],[fecha]],"mmmm"),0)</f>
        <v>Abril</v>
      </c>
    </row>
    <row r="1305" spans="1:27" ht="24" x14ac:dyDescent="0.3">
      <c r="A1305" s="2">
        <f>IF(BCP_Soles[[#This Row],[tipo_registro]]="R",COUNTIFS($C$1:$C1304,"R")+1,A1304)</f>
        <v>970</v>
      </c>
      <c r="B1305" s="19" t="str">
        <f t="shared" si="111"/>
        <v>B-BCP - Soles</v>
      </c>
      <c r="C1305" s="3" t="s">
        <v>1330</v>
      </c>
      <c r="D1305" s="14">
        <v>45758</v>
      </c>
      <c r="E1305" s="5" t="s">
        <v>2269</v>
      </c>
      <c r="F1305" s="5" t="s">
        <v>1336</v>
      </c>
      <c r="G1305" s="6" t="s">
        <v>249</v>
      </c>
      <c r="H1305" s="6"/>
      <c r="I1305" s="6"/>
      <c r="J1305" s="6"/>
      <c r="K1305" s="7" t="s">
        <v>2669</v>
      </c>
      <c r="L1305" s="8">
        <v>1285060</v>
      </c>
      <c r="M1305" s="8" t="str">
        <f t="shared" si="112"/>
        <v>PEN</v>
      </c>
      <c r="N1305" s="13"/>
      <c r="O1305" s="13">
        <v>300.19</v>
      </c>
      <c r="P1305" s="3">
        <f t="shared" si="113"/>
        <v>0</v>
      </c>
      <c r="Q1305" s="3">
        <f t="shared" si="114"/>
        <v>300.19</v>
      </c>
      <c r="R1305" s="3">
        <f t="shared" si="110"/>
        <v>31383.910000000044</v>
      </c>
      <c r="S1305" s="24"/>
      <c r="T1305" s="24"/>
      <c r="U1305" s="53"/>
      <c r="V1305" s="25">
        <f>IFERROR(VLOOKUP(BCP_Soles[[#This Row],[destinatario]],CHOOSE({1,2},Clientes_Proveedores[Razon Social],Clientes_Proveedores[Ruc / Dni]),2,0),"")</f>
        <v>20302891452</v>
      </c>
      <c r="W1305" s="25" t="s">
        <v>249</v>
      </c>
      <c r="X1305" s="25"/>
      <c r="Y1305" s="25"/>
      <c r="Z1305" s="75"/>
      <c r="AA1305" s="3" t="str">
        <f>IF(BCP_Soles[[#This Row],[fecha]]&gt;0,TEXT(BCP_Soles[[#This Row],[fecha]],"mmmm"),0)</f>
        <v>Abril</v>
      </c>
    </row>
    <row r="1306" spans="1:27" x14ac:dyDescent="0.3">
      <c r="A1306" s="2">
        <f>IF(BCP_Soles[[#This Row],[tipo_registro]]="R",COUNTIFS($C$1:$C1305,"R")+1,A1305)</f>
        <v>971</v>
      </c>
      <c r="B1306" s="19" t="str">
        <f t="shared" si="111"/>
        <v>B-BCP - Soles</v>
      </c>
      <c r="C1306" s="3" t="s">
        <v>1330</v>
      </c>
      <c r="D1306" s="14">
        <v>45758</v>
      </c>
      <c r="E1306" s="5" t="s">
        <v>2269</v>
      </c>
      <c r="F1306" s="5" t="s">
        <v>1336</v>
      </c>
      <c r="G1306" s="6" t="s">
        <v>565</v>
      </c>
      <c r="H1306" s="6" t="s">
        <v>68</v>
      </c>
      <c r="I1306" s="6" t="s">
        <v>1432</v>
      </c>
      <c r="J1306" s="6">
        <v>154</v>
      </c>
      <c r="K1306" s="7" t="s">
        <v>2670</v>
      </c>
      <c r="L1306" s="8">
        <v>1199305</v>
      </c>
      <c r="M1306" s="8" t="str">
        <f t="shared" si="112"/>
        <v>PEN</v>
      </c>
      <c r="N1306" s="13"/>
      <c r="O1306" s="13">
        <v>180</v>
      </c>
      <c r="P1306" s="3">
        <f t="shared" si="113"/>
        <v>0</v>
      </c>
      <c r="Q1306" s="3">
        <f t="shared" si="114"/>
        <v>180</v>
      </c>
      <c r="R1306" s="3">
        <f t="shared" si="110"/>
        <v>31203.910000000044</v>
      </c>
      <c r="S1306" s="24" t="s">
        <v>1334</v>
      </c>
      <c r="T1306" s="24" t="s">
        <v>1334</v>
      </c>
      <c r="U1306" s="53"/>
      <c r="V1306" s="25">
        <f>IFERROR(VLOOKUP(BCP_Soles[[#This Row],[destinatario]],CHOOSE({1,2},Clientes_Proveedores[Razon Social],Clientes_Proveedores[Ruc / Dni]),2,0),"")</f>
        <v>20608587803</v>
      </c>
      <c r="W1306" s="25" t="s">
        <v>565</v>
      </c>
      <c r="X1306" s="25" t="s">
        <v>2671</v>
      </c>
      <c r="Y1306" s="25"/>
      <c r="Z1306" s="75"/>
      <c r="AA1306" s="3" t="str">
        <f>IF(BCP_Soles[[#This Row],[fecha]]&gt;0,TEXT(BCP_Soles[[#This Row],[fecha]],"mmmm"),0)</f>
        <v>Abril</v>
      </c>
    </row>
    <row r="1307" spans="1:27" ht="24" x14ac:dyDescent="0.3">
      <c r="A1307" s="2">
        <f>IF(BCP_Soles[[#This Row],[tipo_registro]]="R",COUNTIFS($C$1:$C1306,"R")+1,A1306)</f>
        <v>972</v>
      </c>
      <c r="B1307" s="19" t="str">
        <f t="shared" si="111"/>
        <v>B-BCP - Soles</v>
      </c>
      <c r="C1307" s="3" t="s">
        <v>1330</v>
      </c>
      <c r="D1307" s="14">
        <v>45758</v>
      </c>
      <c r="E1307" s="5" t="s">
        <v>1335</v>
      </c>
      <c r="F1307" s="5" t="s">
        <v>1336</v>
      </c>
      <c r="G1307" s="6" t="s">
        <v>1060</v>
      </c>
      <c r="H1307" s="6" t="s">
        <v>68</v>
      </c>
      <c r="I1307" s="6" t="s">
        <v>1397</v>
      </c>
      <c r="J1307" s="6">
        <v>31379756</v>
      </c>
      <c r="K1307" s="7" t="s">
        <v>1400</v>
      </c>
      <c r="L1307" s="8">
        <v>433</v>
      </c>
      <c r="M1307" s="8" t="str">
        <f t="shared" si="112"/>
        <v>PEN</v>
      </c>
      <c r="N1307" s="13"/>
      <c r="O1307" s="13">
        <v>10</v>
      </c>
      <c r="P1307" s="3">
        <f t="shared" si="113"/>
        <v>0</v>
      </c>
      <c r="Q1307" s="3">
        <f t="shared" si="114"/>
        <v>10</v>
      </c>
      <c r="R1307" s="3">
        <f t="shared" si="110"/>
        <v>31193.910000000044</v>
      </c>
      <c r="S1307" s="24" t="s">
        <v>1334</v>
      </c>
      <c r="T1307" s="24" t="s">
        <v>1334</v>
      </c>
      <c r="U1307" s="53"/>
      <c r="V1307" s="25">
        <f>IFERROR(VLOOKUP(BCP_Soles[[#This Row],[destinatario]],CHOOSE({1,2},Clientes_Proveedores[Razon Social],Clientes_Proveedores[Ruc / Dni]),2,0),"")</f>
        <v>20100047218</v>
      </c>
      <c r="W1307" s="25" t="s">
        <v>1335</v>
      </c>
      <c r="X1307" s="25" t="s">
        <v>2672</v>
      </c>
      <c r="Y1307" s="25"/>
      <c r="Z1307" s="75"/>
      <c r="AA1307" s="3" t="str">
        <f>IF(BCP_Soles[[#This Row],[fecha]]&gt;0,TEXT(BCP_Soles[[#This Row],[fecha]],"mmmm"),0)</f>
        <v>Abril</v>
      </c>
    </row>
    <row r="1308" spans="1:27" ht="24" x14ac:dyDescent="0.3">
      <c r="A1308" s="2">
        <f>IF(BCP_Soles[[#This Row],[tipo_registro]]="R",COUNTIFS($C$1:$C1307,"R")+1,A1307)</f>
        <v>973</v>
      </c>
      <c r="B1308" s="19" t="str">
        <f t="shared" si="111"/>
        <v>B-BCP - Soles</v>
      </c>
      <c r="C1308" s="3" t="s">
        <v>1330</v>
      </c>
      <c r="D1308" s="14">
        <v>45758</v>
      </c>
      <c r="E1308" s="5" t="s">
        <v>1335</v>
      </c>
      <c r="F1308" s="5" t="s">
        <v>1336</v>
      </c>
      <c r="G1308" s="6" t="s">
        <v>1060</v>
      </c>
      <c r="H1308" s="6" t="s">
        <v>68</v>
      </c>
      <c r="I1308" s="6" t="s">
        <v>1397</v>
      </c>
      <c r="J1308" s="6">
        <v>31394115</v>
      </c>
      <c r="K1308" s="7" t="s">
        <v>2673</v>
      </c>
      <c r="L1308" s="8">
        <v>3114088</v>
      </c>
      <c r="M1308" s="8" t="str">
        <f t="shared" si="112"/>
        <v>PEN</v>
      </c>
      <c r="N1308" s="13"/>
      <c r="O1308" s="13">
        <v>5</v>
      </c>
      <c r="P1308" s="3">
        <f t="shared" si="113"/>
        <v>0</v>
      </c>
      <c r="Q1308" s="3">
        <f t="shared" si="114"/>
        <v>5</v>
      </c>
      <c r="R1308" s="3">
        <f t="shared" si="110"/>
        <v>31188.910000000044</v>
      </c>
      <c r="S1308" s="24" t="s">
        <v>1334</v>
      </c>
      <c r="T1308" s="24" t="s">
        <v>1334</v>
      </c>
      <c r="U1308" s="53"/>
      <c r="V1308" s="25">
        <f>IFERROR(VLOOKUP(BCP_Soles[[#This Row],[destinatario]],CHOOSE({1,2},Clientes_Proveedores[Razon Social],Clientes_Proveedores[Ruc / Dni]),2,0),"")</f>
        <v>20100047218</v>
      </c>
      <c r="W1308" s="25" t="s">
        <v>1335</v>
      </c>
      <c r="X1308" s="25" t="s">
        <v>2674</v>
      </c>
      <c r="Y1308" s="25"/>
      <c r="Z1308" s="75"/>
      <c r="AA1308" s="3" t="str">
        <f>IF(BCP_Soles[[#This Row],[fecha]]&gt;0,TEXT(BCP_Soles[[#This Row],[fecha]],"mmmm"),0)</f>
        <v>Abril</v>
      </c>
    </row>
    <row r="1309" spans="1:27" ht="24" x14ac:dyDescent="0.3">
      <c r="A1309" s="2">
        <f>IF(BCP_Soles[[#This Row],[tipo_registro]]="R",COUNTIFS($C$1:$C1308,"R")+1,A1308)</f>
        <v>974</v>
      </c>
      <c r="B1309" s="19" t="str">
        <f t="shared" si="111"/>
        <v>B-BCP - Soles</v>
      </c>
      <c r="C1309" s="3" t="s">
        <v>1330</v>
      </c>
      <c r="D1309" s="14">
        <v>45758</v>
      </c>
      <c r="E1309" s="5" t="s">
        <v>2043</v>
      </c>
      <c r="F1309" s="5" t="s">
        <v>1303</v>
      </c>
      <c r="G1309" s="6" t="s">
        <v>425</v>
      </c>
      <c r="H1309" s="6" t="s">
        <v>119</v>
      </c>
      <c r="I1309" s="6">
        <v>1</v>
      </c>
      <c r="J1309" s="6">
        <v>4293</v>
      </c>
      <c r="K1309" s="7" t="s">
        <v>1356</v>
      </c>
      <c r="L1309" s="8">
        <v>3694949</v>
      </c>
      <c r="M1309" s="8" t="str">
        <f t="shared" si="112"/>
        <v>PEN</v>
      </c>
      <c r="N1309" s="13"/>
      <c r="O1309" s="13">
        <v>500</v>
      </c>
      <c r="P1309" s="3">
        <f t="shared" si="113"/>
        <v>500</v>
      </c>
      <c r="Q1309" s="3">
        <f t="shared" si="114"/>
        <v>0</v>
      </c>
      <c r="R1309" s="3">
        <f t="shared" si="110"/>
        <v>31688.910000000044</v>
      </c>
      <c r="S1309" s="24" t="s">
        <v>1334</v>
      </c>
      <c r="T1309" s="24" t="s">
        <v>1334</v>
      </c>
      <c r="U1309" s="53"/>
      <c r="V1309" s="25">
        <f>IFERROR(VLOOKUP(BCP_Soles[[#This Row],[destinatario]],CHOOSE({1,2},Clientes_Proveedores[Razon Social],Clientes_Proveedores[Ruc / Dni]),2,0),"")</f>
        <v>20558226979</v>
      </c>
      <c r="W1309" s="25" t="s">
        <v>1345</v>
      </c>
      <c r="X1309" s="25" t="s">
        <v>2558</v>
      </c>
      <c r="Y1309" s="25"/>
      <c r="Z1309" s="75"/>
      <c r="AA1309" s="3" t="str">
        <f>IF(BCP_Soles[[#This Row],[fecha]]&gt;0,TEXT(BCP_Soles[[#This Row],[fecha]],"mmmm"),0)</f>
        <v>Abril</v>
      </c>
    </row>
    <row r="1310" spans="1:27" ht="24" x14ac:dyDescent="0.3">
      <c r="A1310" s="2">
        <f>IF(BCP_Soles[[#This Row],[tipo_registro]]="R",COUNTIFS($C$1:$C1309,"R")+1,A1309)</f>
        <v>975</v>
      </c>
      <c r="B1310" s="19" t="str">
        <f t="shared" si="111"/>
        <v>B-BCP - Soles</v>
      </c>
      <c r="C1310" s="3" t="s">
        <v>1330</v>
      </c>
      <c r="D1310" s="14">
        <v>45759</v>
      </c>
      <c r="E1310" s="5" t="s">
        <v>462</v>
      </c>
      <c r="F1310" s="5" t="s">
        <v>1303</v>
      </c>
      <c r="G1310" s="6" t="s">
        <v>425</v>
      </c>
      <c r="H1310" s="6"/>
      <c r="I1310" s="6"/>
      <c r="J1310" s="6"/>
      <c r="K1310" s="7" t="s">
        <v>1356</v>
      </c>
      <c r="L1310" s="8">
        <v>2322705</v>
      </c>
      <c r="M1310" s="8" t="str">
        <f t="shared" si="112"/>
        <v>PEN</v>
      </c>
      <c r="N1310" s="13"/>
      <c r="O1310" s="13">
        <v>700.49</v>
      </c>
      <c r="P1310" s="3">
        <f t="shared" si="113"/>
        <v>700.49</v>
      </c>
      <c r="Q1310" s="3">
        <f t="shared" si="114"/>
        <v>0</v>
      </c>
      <c r="R1310" s="3">
        <f t="shared" si="110"/>
        <v>32389.400000000045</v>
      </c>
      <c r="S1310" s="24" t="s">
        <v>1334</v>
      </c>
      <c r="T1310" s="24" t="s">
        <v>1334</v>
      </c>
      <c r="U1310" s="53"/>
      <c r="V1310" s="25">
        <f>IFERROR(VLOOKUP(BCP_Soles[[#This Row],[destinatario]],CHOOSE({1,2},Clientes_Proveedores[Razon Social],Clientes_Proveedores[Ruc / Dni]),2,0),"")</f>
        <v>20558226979</v>
      </c>
      <c r="W1310" s="25" t="s">
        <v>1345</v>
      </c>
      <c r="X1310" s="25" t="s">
        <v>2675</v>
      </c>
      <c r="Y1310" s="25"/>
      <c r="Z1310" s="75"/>
      <c r="AA1310" s="3" t="str">
        <f>IF(BCP_Soles[[#This Row],[fecha]]&gt;0,TEXT(BCP_Soles[[#This Row],[fecha]],"mmmm"),0)</f>
        <v>Abril</v>
      </c>
    </row>
    <row r="1311" spans="1:27" ht="36" x14ac:dyDescent="0.3">
      <c r="A1311" s="2">
        <f>IF(BCP_Soles[[#This Row],[tipo_registro]]="R",COUNTIFS($C$1:$C1310,"R")+1,A1310)</f>
        <v>976</v>
      </c>
      <c r="B1311" s="19" t="str">
        <f t="shared" si="111"/>
        <v>B-BCP - Soles</v>
      </c>
      <c r="C1311" s="3" t="s">
        <v>1330</v>
      </c>
      <c r="D1311" s="14">
        <v>45761</v>
      </c>
      <c r="E1311" s="5" t="s">
        <v>481</v>
      </c>
      <c r="F1311" s="5" t="s">
        <v>1303</v>
      </c>
      <c r="G1311" s="6" t="s">
        <v>425</v>
      </c>
      <c r="H1311" s="6"/>
      <c r="I1311" s="6"/>
      <c r="J1311" s="6"/>
      <c r="K1311" s="7" t="s">
        <v>2676</v>
      </c>
      <c r="L1311" s="8">
        <v>1109</v>
      </c>
      <c r="M1311" s="8" t="str">
        <f t="shared" si="112"/>
        <v>PEN</v>
      </c>
      <c r="N1311" s="13"/>
      <c r="O1311" s="13">
        <v>6589.28</v>
      </c>
      <c r="P1311" s="3">
        <f t="shared" si="113"/>
        <v>6589.28</v>
      </c>
      <c r="Q1311" s="3">
        <f t="shared" si="114"/>
        <v>0</v>
      </c>
      <c r="R1311" s="3">
        <f t="shared" si="110"/>
        <v>38978.680000000044</v>
      </c>
      <c r="S1311" s="24" t="s">
        <v>1334</v>
      </c>
      <c r="T1311" s="24" t="s">
        <v>1334</v>
      </c>
      <c r="U1311" s="53"/>
      <c r="V1311" s="25">
        <f>IFERROR(VLOOKUP(BCP_Soles[[#This Row],[destinatario]],CHOOSE({1,2},Clientes_Proveedores[Razon Social],Clientes_Proveedores[Ruc / Dni]),2,0),"")</f>
        <v>20558226979</v>
      </c>
      <c r="W1311" s="25" t="s">
        <v>1345</v>
      </c>
      <c r="X1311" s="25" t="s">
        <v>2677</v>
      </c>
      <c r="Y1311" s="25"/>
      <c r="Z1311" s="75"/>
      <c r="AA1311" s="3" t="str">
        <f>IF(BCP_Soles[[#This Row],[fecha]]&gt;0,TEXT(BCP_Soles[[#This Row],[fecha]],"mmmm"),0)</f>
        <v>Abril</v>
      </c>
    </row>
    <row r="1312" spans="1:27" ht="36" x14ac:dyDescent="0.3">
      <c r="A1312" s="2">
        <f>IF(BCP_Soles[[#This Row],[tipo_registro]]="R",COUNTIFS($C$1:$C1311,"R")+1,A1311)</f>
        <v>977</v>
      </c>
      <c r="B1312" s="19" t="str">
        <f t="shared" si="111"/>
        <v>B-BCP - Soles</v>
      </c>
      <c r="C1312" s="3" t="s">
        <v>1330</v>
      </c>
      <c r="D1312" s="14">
        <v>45761</v>
      </c>
      <c r="E1312" s="5" t="s">
        <v>555</v>
      </c>
      <c r="F1312" s="5" t="s">
        <v>1303</v>
      </c>
      <c r="G1312" s="6" t="s">
        <v>425</v>
      </c>
      <c r="H1312" s="6"/>
      <c r="I1312" s="6"/>
      <c r="J1312" s="6"/>
      <c r="K1312" s="7" t="s">
        <v>1348</v>
      </c>
      <c r="L1312" s="8">
        <v>2095448</v>
      </c>
      <c r="M1312" s="8" t="str">
        <f t="shared" si="112"/>
        <v>PEN</v>
      </c>
      <c r="N1312" s="13"/>
      <c r="O1312" s="13">
        <v>4179.6499999999996</v>
      </c>
      <c r="P1312" s="3">
        <f t="shared" si="113"/>
        <v>4179.6499999999996</v>
      </c>
      <c r="Q1312" s="3">
        <f t="shared" si="114"/>
        <v>0</v>
      </c>
      <c r="R1312" s="3">
        <f t="shared" si="110"/>
        <v>43158.330000000045</v>
      </c>
      <c r="S1312" s="24" t="s">
        <v>1334</v>
      </c>
      <c r="T1312" s="24" t="s">
        <v>1334</v>
      </c>
      <c r="U1312" s="53"/>
      <c r="V1312" s="25">
        <f>IFERROR(VLOOKUP(BCP_Soles[[#This Row],[destinatario]],CHOOSE({1,2},Clientes_Proveedores[Razon Social],Clientes_Proveedores[Ruc / Dni]),2,0),"")</f>
        <v>20558226979</v>
      </c>
      <c r="W1312" s="25" t="s">
        <v>1345</v>
      </c>
      <c r="X1312" s="25" t="s">
        <v>2678</v>
      </c>
      <c r="Y1312" s="25"/>
      <c r="Z1312" s="75"/>
      <c r="AA1312" s="3" t="str">
        <f>IF(BCP_Soles[[#This Row],[fecha]]&gt;0,TEXT(BCP_Soles[[#This Row],[fecha]],"mmmm"),0)</f>
        <v>Abril</v>
      </c>
    </row>
    <row r="1313" spans="1:27" ht="36" x14ac:dyDescent="0.3">
      <c r="A1313" s="2">
        <f>IF(BCP_Soles[[#This Row],[tipo_registro]]="R",COUNTIFS($C$1:$C1312,"R")+1,A1312)</f>
        <v>978</v>
      </c>
      <c r="B1313" s="19" t="str">
        <f t="shared" si="111"/>
        <v>B-BCP - Soles</v>
      </c>
      <c r="C1313" s="3" t="s">
        <v>1330</v>
      </c>
      <c r="D1313" s="14">
        <v>45761</v>
      </c>
      <c r="E1313" s="5" t="s">
        <v>555</v>
      </c>
      <c r="F1313" s="5" t="s">
        <v>1303</v>
      </c>
      <c r="G1313" s="6" t="s">
        <v>425</v>
      </c>
      <c r="H1313" s="6"/>
      <c r="I1313" s="6"/>
      <c r="J1313" s="6"/>
      <c r="K1313" s="7" t="s">
        <v>1348</v>
      </c>
      <c r="L1313" s="8">
        <v>2096971</v>
      </c>
      <c r="M1313" s="8" t="str">
        <f t="shared" si="112"/>
        <v>PEN</v>
      </c>
      <c r="N1313" s="13"/>
      <c r="O1313" s="13">
        <v>1734.81</v>
      </c>
      <c r="P1313" s="3">
        <f t="shared" si="113"/>
        <v>1734.81</v>
      </c>
      <c r="Q1313" s="3">
        <f t="shared" si="114"/>
        <v>0</v>
      </c>
      <c r="R1313" s="3">
        <f t="shared" si="110"/>
        <v>44893.140000000043</v>
      </c>
      <c r="S1313" s="24" t="s">
        <v>1334</v>
      </c>
      <c r="T1313" s="24" t="s">
        <v>1334</v>
      </c>
      <c r="U1313" s="53"/>
      <c r="V1313" s="25">
        <f>IFERROR(VLOOKUP(BCP_Soles[[#This Row],[destinatario]],CHOOSE({1,2},Clientes_Proveedores[Razon Social],Clientes_Proveedores[Ruc / Dni]),2,0),"")</f>
        <v>20558226979</v>
      </c>
      <c r="W1313" s="25" t="s">
        <v>1345</v>
      </c>
      <c r="X1313" s="25" t="s">
        <v>2679</v>
      </c>
      <c r="Y1313" s="25"/>
      <c r="Z1313" s="75"/>
      <c r="AA1313" s="3" t="str">
        <f>IF(BCP_Soles[[#This Row],[fecha]]&gt;0,TEXT(BCP_Soles[[#This Row],[fecha]],"mmmm"),0)</f>
        <v>Abril</v>
      </c>
    </row>
    <row r="1314" spans="1:27" ht="36" x14ac:dyDescent="0.3">
      <c r="A1314" s="2">
        <f>IF(BCP_Soles[[#This Row],[tipo_registro]]="R",COUNTIFS($C$1:$C1313,"R")+1,A1313)</f>
        <v>979</v>
      </c>
      <c r="B1314" s="19" t="str">
        <f t="shared" si="111"/>
        <v>B-BCP - Soles</v>
      </c>
      <c r="C1314" s="3" t="s">
        <v>1330</v>
      </c>
      <c r="D1314" s="14">
        <v>45761</v>
      </c>
      <c r="E1314" s="5" t="s">
        <v>555</v>
      </c>
      <c r="F1314" s="5" t="s">
        <v>1303</v>
      </c>
      <c r="G1314" s="6" t="s">
        <v>425</v>
      </c>
      <c r="H1314" s="6"/>
      <c r="I1314" s="6"/>
      <c r="J1314" s="6"/>
      <c r="K1314" s="7" t="s">
        <v>1348</v>
      </c>
      <c r="L1314" s="8">
        <v>2099642</v>
      </c>
      <c r="M1314" s="8" t="str">
        <f t="shared" si="112"/>
        <v>PEN</v>
      </c>
      <c r="N1314" s="13"/>
      <c r="O1314" s="13">
        <v>1668.52</v>
      </c>
      <c r="P1314" s="3">
        <f t="shared" si="113"/>
        <v>1668.52</v>
      </c>
      <c r="Q1314" s="3">
        <f t="shared" si="114"/>
        <v>0</v>
      </c>
      <c r="R1314" s="3">
        <f t="shared" si="110"/>
        <v>46561.66000000004</v>
      </c>
      <c r="S1314" s="24" t="s">
        <v>1334</v>
      </c>
      <c r="T1314" s="24" t="s">
        <v>1334</v>
      </c>
      <c r="U1314" s="53"/>
      <c r="V1314" s="25">
        <f>IFERROR(VLOOKUP(BCP_Soles[[#This Row],[destinatario]],CHOOSE({1,2},Clientes_Proveedores[Razon Social],Clientes_Proveedores[Ruc / Dni]),2,0),"")</f>
        <v>20558226979</v>
      </c>
      <c r="W1314" s="25" t="s">
        <v>1345</v>
      </c>
      <c r="X1314" s="25" t="s">
        <v>2680</v>
      </c>
      <c r="Y1314" s="25"/>
      <c r="Z1314" s="75"/>
      <c r="AA1314" s="3" t="str">
        <f>IF(BCP_Soles[[#This Row],[fecha]]&gt;0,TEXT(BCP_Soles[[#This Row],[fecha]],"mmmm"),0)</f>
        <v>Abril</v>
      </c>
    </row>
    <row r="1315" spans="1:27" ht="24" x14ac:dyDescent="0.3">
      <c r="A1315" s="2">
        <f>IF(BCP_Soles[[#This Row],[tipo_registro]]="R",COUNTIFS($C$1:$C1314,"R")+1,A1314)</f>
        <v>980</v>
      </c>
      <c r="B1315" s="19" t="str">
        <f t="shared" si="111"/>
        <v>B-BCP - Soles</v>
      </c>
      <c r="C1315" s="3" t="s">
        <v>1330</v>
      </c>
      <c r="D1315" s="14">
        <v>45761</v>
      </c>
      <c r="E1315" s="5" t="s">
        <v>2269</v>
      </c>
      <c r="F1315" s="5" t="s">
        <v>1336</v>
      </c>
      <c r="G1315" s="6" t="s">
        <v>338</v>
      </c>
      <c r="H1315" s="6" t="s">
        <v>68</v>
      </c>
      <c r="I1315" s="6" t="s">
        <v>1376</v>
      </c>
      <c r="J1315" s="6">
        <v>467</v>
      </c>
      <c r="K1315" s="7" t="s">
        <v>2681</v>
      </c>
      <c r="L1315" s="8">
        <v>1095314</v>
      </c>
      <c r="M1315" s="8" t="str">
        <f t="shared" si="112"/>
        <v>PEN</v>
      </c>
      <c r="N1315" s="13"/>
      <c r="O1315" s="13">
        <v>354</v>
      </c>
      <c r="P1315" s="3">
        <f t="shared" si="113"/>
        <v>0</v>
      </c>
      <c r="Q1315" s="3">
        <f t="shared" si="114"/>
        <v>354</v>
      </c>
      <c r="R1315" s="3">
        <f t="shared" si="110"/>
        <v>46207.66000000004</v>
      </c>
      <c r="S1315" s="24" t="s">
        <v>1334</v>
      </c>
      <c r="T1315" s="24" t="s">
        <v>1334</v>
      </c>
      <c r="U1315" s="53"/>
      <c r="V1315" s="25">
        <f>IFERROR(VLOOKUP(BCP_Soles[[#This Row],[destinatario]],CHOOSE({1,2},Clientes_Proveedores[Razon Social],Clientes_Proveedores[Ruc / Dni]),2,0),"")</f>
        <v>20498380931</v>
      </c>
      <c r="W1315" s="25" t="s">
        <v>338</v>
      </c>
      <c r="X1315" s="25" t="s">
        <v>2682</v>
      </c>
      <c r="Y1315" s="25"/>
      <c r="Z1315" s="75"/>
      <c r="AA1315" s="3" t="str">
        <f>IF(BCP_Soles[[#This Row],[fecha]]&gt;0,TEXT(BCP_Soles[[#This Row],[fecha]],"mmmm"),0)</f>
        <v>Abril</v>
      </c>
    </row>
    <row r="1316" spans="1:27" ht="24" x14ac:dyDescent="0.3">
      <c r="A1316" s="2">
        <f>IF(BCP_Soles[[#This Row],[tipo_registro]]="R",COUNTIFS($C$1:$C1315,"R")+1,A1315)</f>
        <v>981</v>
      </c>
      <c r="B1316" s="19" t="str">
        <f t="shared" si="111"/>
        <v>B-BCP - Soles</v>
      </c>
      <c r="C1316" s="3" t="s">
        <v>1330</v>
      </c>
      <c r="D1316" s="14">
        <v>45761</v>
      </c>
      <c r="E1316" s="5" t="s">
        <v>2269</v>
      </c>
      <c r="F1316" s="5" t="s">
        <v>1336</v>
      </c>
      <c r="G1316" s="6" t="s">
        <v>728</v>
      </c>
      <c r="H1316" s="6" t="s">
        <v>68</v>
      </c>
      <c r="I1316" s="6" t="s">
        <v>1376</v>
      </c>
      <c r="J1316" s="6">
        <v>4548</v>
      </c>
      <c r="K1316" s="7" t="s">
        <v>2683</v>
      </c>
      <c r="L1316" s="8">
        <v>1092856</v>
      </c>
      <c r="M1316" s="8" t="str">
        <f t="shared" si="112"/>
        <v>PEN</v>
      </c>
      <c r="N1316" s="13"/>
      <c r="O1316" s="13">
        <v>990</v>
      </c>
      <c r="P1316" s="3">
        <f t="shared" si="113"/>
        <v>0</v>
      </c>
      <c r="Q1316" s="3">
        <f t="shared" si="114"/>
        <v>990</v>
      </c>
      <c r="R1316" s="3">
        <f t="shared" si="110"/>
        <v>45217.66000000004</v>
      </c>
      <c r="S1316" s="24" t="s">
        <v>1334</v>
      </c>
      <c r="T1316" s="24" t="s">
        <v>1334</v>
      </c>
      <c r="U1316" s="53"/>
      <c r="V1316" s="25">
        <f>IFERROR(VLOOKUP(BCP_Soles[[#This Row],[destinatario]],CHOOSE({1,2},Clientes_Proveedores[Razon Social],Clientes_Proveedores[Ruc / Dni]),2,0),"")</f>
        <v>20602258964</v>
      </c>
      <c r="W1316" s="25" t="s">
        <v>728</v>
      </c>
      <c r="X1316" s="25"/>
      <c r="Y1316" s="25"/>
      <c r="Z1316" s="75"/>
      <c r="AA1316" s="3" t="str">
        <f>IF(BCP_Soles[[#This Row],[fecha]]&gt;0,TEXT(BCP_Soles[[#This Row],[fecha]],"mmmm"),0)</f>
        <v>Abril</v>
      </c>
    </row>
    <row r="1317" spans="1:27" ht="24" x14ac:dyDescent="0.3">
      <c r="A1317" s="2">
        <f>IF(BCP_Soles[[#This Row],[tipo_registro]]="R",COUNTIFS($C$1:$C1316,"R")+1,A1316)</f>
        <v>982</v>
      </c>
      <c r="B1317" s="19" t="str">
        <f t="shared" si="111"/>
        <v>B-BCP - Soles</v>
      </c>
      <c r="C1317" s="3" t="s">
        <v>1330</v>
      </c>
      <c r="D1317" s="14">
        <v>45761</v>
      </c>
      <c r="E1317" s="5" t="s">
        <v>2269</v>
      </c>
      <c r="F1317" s="5" t="s">
        <v>1336</v>
      </c>
      <c r="G1317" s="6" t="s">
        <v>185</v>
      </c>
      <c r="H1317" s="6" t="s">
        <v>68</v>
      </c>
      <c r="I1317" s="6" t="s">
        <v>1376</v>
      </c>
      <c r="J1317" s="6">
        <v>129</v>
      </c>
      <c r="K1317" s="7" t="s">
        <v>2684</v>
      </c>
      <c r="L1317" s="8">
        <v>1094823</v>
      </c>
      <c r="M1317" s="8" t="str">
        <f t="shared" si="112"/>
        <v>PEN</v>
      </c>
      <c r="N1317" s="13"/>
      <c r="O1317" s="13">
        <v>1359</v>
      </c>
      <c r="P1317" s="3">
        <f t="shared" si="113"/>
        <v>0</v>
      </c>
      <c r="Q1317" s="3">
        <f t="shared" si="114"/>
        <v>1359</v>
      </c>
      <c r="R1317" s="3">
        <f t="shared" si="110"/>
        <v>43858.66000000004</v>
      </c>
      <c r="S1317" s="24" t="s">
        <v>1334</v>
      </c>
      <c r="T1317" s="24" t="s">
        <v>1334</v>
      </c>
      <c r="U1317" s="53"/>
      <c r="V1317" s="25">
        <f>IFERROR(VLOOKUP(BCP_Soles[[#This Row],[destinatario]],CHOOSE({1,2},Clientes_Proveedores[Razon Social],Clientes_Proveedores[Ruc / Dni]),2,0),"")</f>
        <v>10489531963</v>
      </c>
      <c r="W1317" s="25" t="s">
        <v>185</v>
      </c>
      <c r="X1317" s="25" t="s">
        <v>2685</v>
      </c>
      <c r="Y1317" s="25"/>
      <c r="Z1317" s="75"/>
      <c r="AA1317" s="3" t="str">
        <f>IF(BCP_Soles[[#This Row],[fecha]]&gt;0,TEXT(BCP_Soles[[#This Row],[fecha]],"mmmm"),0)</f>
        <v>Abril</v>
      </c>
    </row>
    <row r="1318" spans="1:27" ht="36" x14ac:dyDescent="0.3">
      <c r="A1318" s="2">
        <f>IF(BCP_Soles[[#This Row],[tipo_registro]]="R",COUNTIFS($C$1:$C1317,"R")+1,A1317)</f>
        <v>983</v>
      </c>
      <c r="B1318" s="19" t="str">
        <f t="shared" si="111"/>
        <v>B-BCP - Soles</v>
      </c>
      <c r="C1318" s="3" t="s">
        <v>1330</v>
      </c>
      <c r="D1318" s="14">
        <v>45761</v>
      </c>
      <c r="E1318" s="5" t="s">
        <v>2269</v>
      </c>
      <c r="F1318" s="5" t="s">
        <v>1336</v>
      </c>
      <c r="G1318" s="6" t="s">
        <v>495</v>
      </c>
      <c r="H1318" s="6" t="s">
        <v>68</v>
      </c>
      <c r="I1318" s="6" t="s">
        <v>1376</v>
      </c>
      <c r="J1318" s="6">
        <v>3800</v>
      </c>
      <c r="K1318" s="7" t="s">
        <v>2686</v>
      </c>
      <c r="L1318" s="8">
        <v>1093343</v>
      </c>
      <c r="M1318" s="8" t="str">
        <f t="shared" si="112"/>
        <v>PEN</v>
      </c>
      <c r="N1318" s="13"/>
      <c r="O1318" s="13">
        <v>1440</v>
      </c>
      <c r="P1318" s="3">
        <f t="shared" si="113"/>
        <v>0</v>
      </c>
      <c r="Q1318" s="3">
        <f t="shared" si="114"/>
        <v>1440</v>
      </c>
      <c r="R1318" s="3">
        <f t="shared" si="110"/>
        <v>42418.66000000004</v>
      </c>
      <c r="S1318" s="24" t="s">
        <v>1334</v>
      </c>
      <c r="T1318" s="24" t="s">
        <v>1334</v>
      </c>
      <c r="U1318" s="53"/>
      <c r="V1318" s="25">
        <f>IFERROR(VLOOKUP(BCP_Soles[[#This Row],[destinatario]],CHOOSE({1,2},Clientes_Proveedores[Razon Social],Clientes_Proveedores[Ruc / Dni]),2,0),"")</f>
        <v>20602778861</v>
      </c>
      <c r="W1318" s="25" t="s">
        <v>495</v>
      </c>
      <c r="X1318" s="25" t="s">
        <v>2687</v>
      </c>
      <c r="Y1318" s="25"/>
      <c r="Z1318" s="75"/>
      <c r="AA1318" s="3" t="str">
        <f>IF(BCP_Soles[[#This Row],[fecha]]&gt;0,TEXT(BCP_Soles[[#This Row],[fecha]],"mmmm"),0)</f>
        <v>Abril</v>
      </c>
    </row>
    <row r="1319" spans="1:27" ht="24" x14ac:dyDescent="0.3">
      <c r="A1319" s="2">
        <f>IF(BCP_Soles[[#This Row],[tipo_registro]]="R",COUNTIFS($C$1:$C1318,"R")+1,A1318)</f>
        <v>984</v>
      </c>
      <c r="B1319" s="19" t="str">
        <f t="shared" si="111"/>
        <v>B-BCP - Soles</v>
      </c>
      <c r="C1319" s="3" t="s">
        <v>1330</v>
      </c>
      <c r="D1319" s="14">
        <v>45761</v>
      </c>
      <c r="E1319" s="5" t="s">
        <v>2269</v>
      </c>
      <c r="F1319" s="5" t="s">
        <v>1336</v>
      </c>
      <c r="G1319" s="6" t="s">
        <v>729</v>
      </c>
      <c r="H1319" s="6" t="s">
        <v>68</v>
      </c>
      <c r="I1319" s="6" t="s">
        <v>1390</v>
      </c>
      <c r="J1319" s="6">
        <v>4203</v>
      </c>
      <c r="K1319" s="7" t="s">
        <v>2688</v>
      </c>
      <c r="L1319" s="8">
        <v>1014835</v>
      </c>
      <c r="M1319" s="8" t="str">
        <f t="shared" si="112"/>
        <v>PEN</v>
      </c>
      <c r="N1319" s="13"/>
      <c r="O1319" s="13">
        <v>2540</v>
      </c>
      <c r="P1319" s="3">
        <f t="shared" si="113"/>
        <v>0</v>
      </c>
      <c r="Q1319" s="3">
        <f t="shared" si="114"/>
        <v>2540</v>
      </c>
      <c r="R1319" s="3">
        <f t="shared" si="110"/>
        <v>39878.66000000004</v>
      </c>
      <c r="S1319" s="24" t="s">
        <v>1334</v>
      </c>
      <c r="T1319" s="24" t="s">
        <v>1334</v>
      </c>
      <c r="U1319" s="53"/>
      <c r="V1319" s="25">
        <f>IFERROR(VLOOKUP(BCP_Soles[[#This Row],[destinatario]],CHOOSE({1,2},Clientes_Proveedores[Razon Social],Clientes_Proveedores[Ruc / Dni]),2,0),"")</f>
        <v>20456141235</v>
      </c>
      <c r="W1319" s="25" t="s">
        <v>2689</v>
      </c>
      <c r="X1319" s="25" t="s">
        <v>2690</v>
      </c>
      <c r="Y1319" s="25"/>
      <c r="Z1319" s="75"/>
      <c r="AA1319" s="3" t="str">
        <f>IF(BCP_Soles[[#This Row],[fecha]]&gt;0,TEXT(BCP_Soles[[#This Row],[fecha]],"mmmm"),0)</f>
        <v>Abril</v>
      </c>
    </row>
    <row r="1320" spans="1:27" ht="24" x14ac:dyDescent="0.3">
      <c r="A1320" s="2">
        <f>IF(BCP_Soles[[#This Row],[tipo_registro]]="R",COUNTIFS($C$1:$C1319,"R")+1,A1319)</f>
        <v>985</v>
      </c>
      <c r="B1320" s="19" t="str">
        <f t="shared" si="111"/>
        <v>B-BCP - Soles</v>
      </c>
      <c r="C1320" s="3" t="s">
        <v>1330</v>
      </c>
      <c r="D1320" s="14">
        <v>45761</v>
      </c>
      <c r="E1320" s="5" t="s">
        <v>2269</v>
      </c>
      <c r="F1320" s="5" t="s">
        <v>1336</v>
      </c>
      <c r="G1320" s="6" t="s">
        <v>901</v>
      </c>
      <c r="H1320" s="6"/>
      <c r="I1320" s="6"/>
      <c r="J1320" s="6"/>
      <c r="K1320" s="7" t="s">
        <v>2691</v>
      </c>
      <c r="L1320" s="8">
        <v>1094319</v>
      </c>
      <c r="M1320" s="8" t="str">
        <f t="shared" si="112"/>
        <v>PEN</v>
      </c>
      <c r="N1320" s="13"/>
      <c r="O1320" s="13">
        <v>3634.15</v>
      </c>
      <c r="P1320" s="3">
        <f t="shared" si="113"/>
        <v>0</v>
      </c>
      <c r="Q1320" s="3">
        <f t="shared" si="114"/>
        <v>3634.15</v>
      </c>
      <c r="R1320" s="3">
        <f t="shared" si="110"/>
        <v>36244.510000000038</v>
      </c>
      <c r="S1320" s="24"/>
      <c r="T1320" s="24" t="s">
        <v>1334</v>
      </c>
      <c r="U1320" s="53"/>
      <c r="V1320" s="25">
        <f>IFERROR(VLOOKUP(BCP_Soles[[#This Row],[destinatario]],CHOOSE({1,2},Clientes_Proveedores[Razon Social],Clientes_Proveedores[Ruc / Dni]),2,0),"")</f>
        <v>72131384</v>
      </c>
      <c r="W1320" s="25" t="s">
        <v>901</v>
      </c>
      <c r="X1320" s="25" t="s">
        <v>2692</v>
      </c>
      <c r="Y1320" s="25"/>
      <c r="Z1320" s="75"/>
      <c r="AA1320" s="3" t="str">
        <f>IF(BCP_Soles[[#This Row],[fecha]]&gt;0,TEXT(BCP_Soles[[#This Row],[fecha]],"mmmm"),0)</f>
        <v>Abril</v>
      </c>
    </row>
    <row r="1321" spans="1:27" x14ac:dyDescent="0.3">
      <c r="A1321" s="2">
        <f>IF(BCP_Soles[[#This Row],[tipo_registro]]="R",COUNTIFS($C$1:$C1320,"R")+1,A1320)</f>
        <v>986</v>
      </c>
      <c r="B1321" s="19" t="str">
        <f t="shared" si="111"/>
        <v>B-BCP - Soles</v>
      </c>
      <c r="C1321" s="3" t="s">
        <v>1330</v>
      </c>
      <c r="D1321" s="14">
        <v>45761</v>
      </c>
      <c r="E1321" s="5" t="s">
        <v>1335</v>
      </c>
      <c r="F1321" s="5" t="s">
        <v>1336</v>
      </c>
      <c r="G1321" s="6"/>
      <c r="H1321" s="6"/>
      <c r="I1321" s="6"/>
      <c r="J1321" s="6"/>
      <c r="K1321" s="7" t="s">
        <v>1337</v>
      </c>
      <c r="L1321" s="8"/>
      <c r="M1321" s="8" t="str">
        <f t="shared" si="112"/>
        <v>PEN</v>
      </c>
      <c r="N1321" s="13"/>
      <c r="O1321" s="13">
        <v>0.95</v>
      </c>
      <c r="P1321" s="3">
        <f t="shared" si="113"/>
        <v>0</v>
      </c>
      <c r="Q1321" s="3">
        <f t="shared" si="114"/>
        <v>0.95</v>
      </c>
      <c r="R1321" s="3">
        <f t="shared" si="110"/>
        <v>36243.560000000041</v>
      </c>
      <c r="S1321" s="24"/>
      <c r="T1321" s="24" t="s">
        <v>1334</v>
      </c>
      <c r="U1321" s="53"/>
      <c r="V1321" s="25" t="str">
        <f>IFERROR(VLOOKUP(BCP_Soles[[#This Row],[destinatario]],CHOOSE({1,2},Clientes_Proveedores[Razon Social],Clientes_Proveedores[Ruc / Dni]),2,0),"")</f>
        <v/>
      </c>
      <c r="W1321" s="25"/>
      <c r="X1321" s="25"/>
      <c r="Y1321" s="25"/>
      <c r="Z1321" s="75"/>
      <c r="AA1321" s="3" t="str">
        <f>IF(BCP_Soles[[#This Row],[fecha]]&gt;0,TEXT(BCP_Soles[[#This Row],[fecha]],"mmmm"),0)</f>
        <v>Abril</v>
      </c>
    </row>
    <row r="1322" spans="1:27" ht="24" x14ac:dyDescent="0.3">
      <c r="A1322" s="2">
        <f>IF(BCP_Soles[[#This Row],[tipo_registro]]="R",COUNTIFS($C$1:$C1321,"R")+1,A1321)</f>
        <v>987</v>
      </c>
      <c r="B1322" s="19" t="str">
        <f t="shared" si="111"/>
        <v>B-BCP - Soles</v>
      </c>
      <c r="C1322" s="3" t="s">
        <v>1330</v>
      </c>
      <c r="D1322" s="14">
        <v>45761</v>
      </c>
      <c r="E1322" s="5" t="s">
        <v>2269</v>
      </c>
      <c r="F1322" s="5" t="s">
        <v>1336</v>
      </c>
      <c r="G1322" s="6" t="s">
        <v>866</v>
      </c>
      <c r="H1322" s="6" t="s">
        <v>143</v>
      </c>
      <c r="I1322" s="6">
        <v>1</v>
      </c>
      <c r="J1322" s="6">
        <v>602025</v>
      </c>
      <c r="K1322" s="7" t="s">
        <v>2693</v>
      </c>
      <c r="L1322" s="8">
        <v>1238123</v>
      </c>
      <c r="M1322" s="8" t="str">
        <f t="shared" si="112"/>
        <v>PEN</v>
      </c>
      <c r="N1322" s="13"/>
      <c r="O1322" s="13">
        <v>400</v>
      </c>
      <c r="P1322" s="3">
        <f t="shared" si="113"/>
        <v>0</v>
      </c>
      <c r="Q1322" s="3">
        <f t="shared" si="114"/>
        <v>400</v>
      </c>
      <c r="R1322" s="3">
        <f t="shared" si="110"/>
        <v>35843.560000000041</v>
      </c>
      <c r="S1322" s="24" t="s">
        <v>1334</v>
      </c>
      <c r="T1322" s="24" t="s">
        <v>1334</v>
      </c>
      <c r="U1322" s="53"/>
      <c r="V1322" s="25">
        <f>IFERROR(VLOOKUP(BCP_Soles[[#This Row],[destinatario]],CHOOSE({1,2},Clientes_Proveedores[Razon Social],Clientes_Proveedores[Ruc / Dni]),2,0),"")</f>
        <v>45921913</v>
      </c>
      <c r="W1322" s="25" t="s">
        <v>866</v>
      </c>
      <c r="X1322" s="25" t="s">
        <v>2694</v>
      </c>
      <c r="Y1322" s="25"/>
      <c r="Z1322" s="75"/>
      <c r="AA1322" s="3" t="str">
        <f>IF(BCP_Soles[[#This Row],[fecha]]&gt;0,TEXT(BCP_Soles[[#This Row],[fecha]],"mmmm"),0)</f>
        <v>Abril</v>
      </c>
    </row>
    <row r="1323" spans="1:27" ht="24" x14ac:dyDescent="0.3">
      <c r="A1323" s="2">
        <f>IF(BCP_Soles[[#This Row],[tipo_registro]]="R",COUNTIFS($C$1:$C1322,"R")+1,A1322)</f>
        <v>988</v>
      </c>
      <c r="B1323" s="19" t="str">
        <f t="shared" si="111"/>
        <v>B-BCP - Soles</v>
      </c>
      <c r="C1323" s="3" t="s">
        <v>1330</v>
      </c>
      <c r="D1323" s="14">
        <v>45762</v>
      </c>
      <c r="E1323" s="5" t="s">
        <v>1505</v>
      </c>
      <c r="F1323" s="5" t="s">
        <v>1303</v>
      </c>
      <c r="G1323" s="6" t="s">
        <v>425</v>
      </c>
      <c r="H1323" s="6" t="s">
        <v>119</v>
      </c>
      <c r="I1323" s="6">
        <v>1</v>
      </c>
      <c r="J1323" s="6">
        <v>4327</v>
      </c>
      <c r="K1323" s="7" t="s">
        <v>1356</v>
      </c>
      <c r="L1323" s="8">
        <v>2836877</v>
      </c>
      <c r="M1323" s="8" t="str">
        <f t="shared" si="112"/>
        <v>PEN</v>
      </c>
      <c r="N1323" s="13"/>
      <c r="O1323" s="13">
        <v>6826.5</v>
      </c>
      <c r="P1323" s="3">
        <f t="shared" si="113"/>
        <v>6826.5</v>
      </c>
      <c r="Q1323" s="3">
        <f t="shared" si="114"/>
        <v>0</v>
      </c>
      <c r="R1323" s="3">
        <f t="shared" si="110"/>
        <v>42670.060000000041</v>
      </c>
      <c r="S1323" s="24" t="s">
        <v>1334</v>
      </c>
      <c r="T1323" s="24" t="s">
        <v>1334</v>
      </c>
      <c r="U1323" s="53"/>
      <c r="V1323" s="25">
        <f>IFERROR(VLOOKUP(BCP_Soles[[#This Row],[destinatario]],CHOOSE({1,2},Clientes_Proveedores[Razon Social],Clientes_Proveedores[Ruc / Dni]),2,0),"")</f>
        <v>20558226979</v>
      </c>
      <c r="W1323" s="25" t="s">
        <v>1345</v>
      </c>
      <c r="X1323" s="25" t="s">
        <v>2695</v>
      </c>
      <c r="Y1323" s="25"/>
      <c r="Z1323" s="75"/>
      <c r="AA1323" s="3" t="str">
        <f>IF(BCP_Soles[[#This Row],[fecha]]&gt;0,TEXT(BCP_Soles[[#This Row],[fecha]],"mmmm"),0)</f>
        <v>Abril</v>
      </c>
    </row>
    <row r="1324" spans="1:27" x14ac:dyDescent="0.3">
      <c r="A1324" s="2">
        <f>IF(BCP_Soles[[#This Row],[tipo_registro]]="R",COUNTIFS($C$1:$C1323,"R")+1,A1323)</f>
        <v>989</v>
      </c>
      <c r="B1324" s="19" t="str">
        <f t="shared" si="111"/>
        <v>B-BCP - Soles</v>
      </c>
      <c r="C1324" s="3" t="s">
        <v>1330</v>
      </c>
      <c r="D1324" s="14">
        <v>45762</v>
      </c>
      <c r="E1324" s="5"/>
      <c r="F1324" s="5" t="s">
        <v>1303</v>
      </c>
      <c r="G1324" s="6" t="s">
        <v>425</v>
      </c>
      <c r="H1324" s="6"/>
      <c r="I1324" s="6"/>
      <c r="J1324" s="6"/>
      <c r="K1324" s="7" t="s">
        <v>1356</v>
      </c>
      <c r="L1324" s="8">
        <v>1193463</v>
      </c>
      <c r="M1324" s="8" t="str">
        <f t="shared" si="112"/>
        <v>PEN</v>
      </c>
      <c r="N1324" s="13"/>
      <c r="O1324" s="13">
        <v>4007.6</v>
      </c>
      <c r="P1324" s="3">
        <f t="shared" si="113"/>
        <v>4007.6</v>
      </c>
      <c r="Q1324" s="3">
        <f t="shared" si="114"/>
        <v>0</v>
      </c>
      <c r="R1324" s="3">
        <f t="shared" si="110"/>
        <v>46677.66000000004</v>
      </c>
      <c r="S1324" s="24" t="s">
        <v>1334</v>
      </c>
      <c r="T1324" s="24" t="s">
        <v>1334</v>
      </c>
      <c r="U1324" s="53"/>
      <c r="V1324" s="25">
        <f>IFERROR(VLOOKUP(BCP_Soles[[#This Row],[destinatario]],CHOOSE({1,2},Clientes_Proveedores[Razon Social],Clientes_Proveedores[Ruc / Dni]),2,0),"")</f>
        <v>20558226979</v>
      </c>
      <c r="W1324" s="25" t="s">
        <v>1345</v>
      </c>
      <c r="X1324" s="25"/>
      <c r="Y1324" s="25"/>
      <c r="Z1324" s="75"/>
      <c r="AA1324" s="3" t="str">
        <f>IF(BCP_Soles[[#This Row],[fecha]]&gt;0,TEXT(BCP_Soles[[#This Row],[fecha]],"mmmm"),0)</f>
        <v>Abril</v>
      </c>
    </row>
    <row r="1325" spans="1:27" ht="24" x14ac:dyDescent="0.3">
      <c r="A1325" s="2">
        <f>IF(BCP_Soles[[#This Row],[tipo_registro]]="R",COUNTIFS($C$1:$C1324,"R")+1,A1324)</f>
        <v>989</v>
      </c>
      <c r="B1325" s="19" t="str">
        <f t="shared" si="111"/>
        <v>B-BCP - Soles</v>
      </c>
      <c r="C1325" s="3" t="s">
        <v>1352</v>
      </c>
      <c r="D1325" s="14">
        <v>45762</v>
      </c>
      <c r="E1325" s="5" t="s">
        <v>536</v>
      </c>
      <c r="F1325" s="5" t="s">
        <v>1303</v>
      </c>
      <c r="G1325" s="6" t="s">
        <v>425</v>
      </c>
      <c r="H1325" s="6" t="s">
        <v>119</v>
      </c>
      <c r="I1325" s="6">
        <v>1</v>
      </c>
      <c r="J1325" s="6">
        <v>4225</v>
      </c>
      <c r="K1325" s="7" t="s">
        <v>1356</v>
      </c>
      <c r="L1325" s="8">
        <v>1193463</v>
      </c>
      <c r="M1325" s="8" t="str">
        <f t="shared" si="112"/>
        <v>PEN</v>
      </c>
      <c r="N1325" s="13">
        <v>0.5</v>
      </c>
      <c r="O1325" s="13"/>
      <c r="P1325" s="3">
        <f t="shared" si="113"/>
        <v>0</v>
      </c>
      <c r="Q1325" s="3">
        <f t="shared" si="114"/>
        <v>0</v>
      </c>
      <c r="R1325" s="3">
        <f t="shared" si="110"/>
        <v>46677.66000000004</v>
      </c>
      <c r="S1325" s="24" t="s">
        <v>1334</v>
      </c>
      <c r="T1325" s="24" t="s">
        <v>1334</v>
      </c>
      <c r="U1325" s="53"/>
      <c r="V1325" s="25">
        <f>IFERROR(VLOOKUP(BCP_Soles[[#This Row],[destinatario]],CHOOSE({1,2},Clientes_Proveedores[Razon Social],Clientes_Proveedores[Ruc / Dni]),2,0),"")</f>
        <v>20558226979</v>
      </c>
      <c r="W1325" s="25" t="s">
        <v>1345</v>
      </c>
      <c r="X1325" s="25" t="s">
        <v>2319</v>
      </c>
      <c r="Y1325" s="25"/>
      <c r="Z1325" s="75"/>
      <c r="AA1325" s="3" t="str">
        <f>IF(BCP_Soles[[#This Row],[fecha]]&gt;0,TEXT(BCP_Soles[[#This Row],[fecha]],"mmmm"),0)</f>
        <v>Abril</v>
      </c>
    </row>
    <row r="1326" spans="1:27" ht="24" x14ac:dyDescent="0.3">
      <c r="A1326" s="2">
        <f>IF(BCP_Soles[[#This Row],[tipo_registro]]="R",COUNTIFS($C$1:$C1325,"R")+1,A1325)</f>
        <v>989</v>
      </c>
      <c r="B1326" s="19" t="str">
        <f t="shared" si="111"/>
        <v>B-BCP - Soles</v>
      </c>
      <c r="C1326" s="3" t="s">
        <v>1352</v>
      </c>
      <c r="D1326" s="14">
        <v>45762</v>
      </c>
      <c r="E1326" s="5" t="s">
        <v>2103</v>
      </c>
      <c r="F1326" s="5" t="s">
        <v>1303</v>
      </c>
      <c r="G1326" s="6" t="s">
        <v>425</v>
      </c>
      <c r="H1326" s="6" t="s">
        <v>119</v>
      </c>
      <c r="I1326" s="6">
        <v>1</v>
      </c>
      <c r="J1326" s="6">
        <v>4305</v>
      </c>
      <c r="K1326" s="7" t="s">
        <v>1356</v>
      </c>
      <c r="L1326" s="8">
        <v>1193463</v>
      </c>
      <c r="M1326" s="8" t="str">
        <f t="shared" si="112"/>
        <v>PEN</v>
      </c>
      <c r="N1326" s="13">
        <v>2465.6</v>
      </c>
      <c r="O1326" s="13"/>
      <c r="P1326" s="3">
        <f t="shared" si="113"/>
        <v>0</v>
      </c>
      <c r="Q1326" s="3">
        <f t="shared" si="114"/>
        <v>0</v>
      </c>
      <c r="R1326" s="3">
        <f t="shared" si="110"/>
        <v>46677.66000000004</v>
      </c>
      <c r="S1326" s="24" t="s">
        <v>1334</v>
      </c>
      <c r="T1326" s="24" t="s">
        <v>1334</v>
      </c>
      <c r="U1326" s="53"/>
      <c r="V1326" s="25">
        <f>IFERROR(VLOOKUP(BCP_Soles[[#This Row],[destinatario]],CHOOSE({1,2},Clientes_Proveedores[Razon Social],Clientes_Proveedores[Ruc / Dni]),2,0),"")</f>
        <v>20558226979</v>
      </c>
      <c r="W1326" s="25" t="s">
        <v>1345</v>
      </c>
      <c r="X1326" s="25" t="s">
        <v>2609</v>
      </c>
      <c r="Y1326" s="25"/>
      <c r="Z1326" s="75"/>
      <c r="AA1326" s="3" t="str">
        <f>IF(BCP_Soles[[#This Row],[fecha]]&gt;0,TEXT(BCP_Soles[[#This Row],[fecha]],"mmmm"),0)</f>
        <v>Abril</v>
      </c>
    </row>
    <row r="1327" spans="1:27" ht="24" x14ac:dyDescent="0.3">
      <c r="A1327" s="2">
        <f>IF(BCP_Soles[[#This Row],[tipo_registro]]="R",COUNTIFS($C$1:$C1326,"R")+1,A1326)</f>
        <v>989</v>
      </c>
      <c r="B1327" s="19" t="str">
        <f t="shared" si="111"/>
        <v>B-BCP - Soles</v>
      </c>
      <c r="C1327" s="3" t="s">
        <v>1352</v>
      </c>
      <c r="D1327" s="14">
        <v>45762</v>
      </c>
      <c r="E1327" s="5" t="s">
        <v>536</v>
      </c>
      <c r="F1327" s="5" t="s">
        <v>1303</v>
      </c>
      <c r="G1327" s="6" t="s">
        <v>425</v>
      </c>
      <c r="H1327" s="6" t="s">
        <v>119</v>
      </c>
      <c r="I1327" s="6">
        <v>1</v>
      </c>
      <c r="J1327" s="6">
        <v>4308</v>
      </c>
      <c r="K1327" s="7" t="s">
        <v>1356</v>
      </c>
      <c r="L1327" s="8">
        <v>1193463</v>
      </c>
      <c r="M1327" s="8" t="str">
        <f t="shared" si="112"/>
        <v>PEN</v>
      </c>
      <c r="N1327" s="13">
        <v>496</v>
      </c>
      <c r="O1327" s="13"/>
      <c r="P1327" s="3">
        <f t="shared" si="113"/>
        <v>0</v>
      </c>
      <c r="Q1327" s="3">
        <f t="shared" si="114"/>
        <v>0</v>
      </c>
      <c r="R1327" s="3">
        <f t="shared" si="110"/>
        <v>46677.66000000004</v>
      </c>
      <c r="S1327" s="24" t="s">
        <v>1334</v>
      </c>
      <c r="T1327" s="24" t="s">
        <v>1334</v>
      </c>
      <c r="U1327" s="53"/>
      <c r="V1327" s="25">
        <f>IFERROR(VLOOKUP(BCP_Soles[[#This Row],[destinatario]],CHOOSE({1,2},Clientes_Proveedores[Razon Social],Clientes_Proveedores[Ruc / Dni]),2,0),"")</f>
        <v>20558226979</v>
      </c>
      <c r="W1327" s="25" t="s">
        <v>1345</v>
      </c>
      <c r="X1327" s="25" t="s">
        <v>2696</v>
      </c>
      <c r="Y1327" s="25"/>
      <c r="Z1327" s="75"/>
      <c r="AA1327" s="3" t="str">
        <f>IF(BCP_Soles[[#This Row],[fecha]]&gt;0,TEXT(BCP_Soles[[#This Row],[fecha]],"mmmm"),0)</f>
        <v>Abril</v>
      </c>
    </row>
    <row r="1328" spans="1:27" ht="24" x14ac:dyDescent="0.3">
      <c r="A1328" s="2">
        <f>IF(BCP_Soles[[#This Row],[tipo_registro]]="R",COUNTIFS($C$1:$C1327,"R")+1,A1327)</f>
        <v>989</v>
      </c>
      <c r="B1328" s="19" t="str">
        <f t="shared" si="111"/>
        <v>B-BCP - Soles</v>
      </c>
      <c r="C1328" s="3" t="s">
        <v>1352</v>
      </c>
      <c r="D1328" s="14">
        <v>45762</v>
      </c>
      <c r="E1328" s="5" t="s">
        <v>536</v>
      </c>
      <c r="F1328" s="5" t="s">
        <v>1303</v>
      </c>
      <c r="G1328" s="6" t="s">
        <v>425</v>
      </c>
      <c r="H1328" s="6" t="s">
        <v>119</v>
      </c>
      <c r="I1328" s="6">
        <v>1</v>
      </c>
      <c r="J1328" s="6">
        <v>4314</v>
      </c>
      <c r="K1328" s="7" t="s">
        <v>1356</v>
      </c>
      <c r="L1328" s="8">
        <v>1193463</v>
      </c>
      <c r="M1328" s="8" t="str">
        <f t="shared" si="112"/>
        <v>PEN</v>
      </c>
      <c r="N1328" s="13">
        <v>1045.5</v>
      </c>
      <c r="O1328" s="13"/>
      <c r="P1328" s="3">
        <f t="shared" si="113"/>
        <v>0</v>
      </c>
      <c r="Q1328" s="3">
        <f t="shared" si="114"/>
        <v>0</v>
      </c>
      <c r="R1328" s="3">
        <f t="shared" si="110"/>
        <v>46677.66000000004</v>
      </c>
      <c r="S1328" s="24" t="s">
        <v>1334</v>
      </c>
      <c r="T1328" s="24" t="s">
        <v>1334</v>
      </c>
      <c r="U1328" s="53"/>
      <c r="V1328" s="25">
        <f>IFERROR(VLOOKUP(BCP_Soles[[#This Row],[destinatario]],CHOOSE({1,2},Clientes_Proveedores[Razon Social],Clientes_Proveedores[Ruc / Dni]),2,0),"")</f>
        <v>20558226979</v>
      </c>
      <c r="W1328" s="25" t="s">
        <v>1345</v>
      </c>
      <c r="X1328" s="25" t="s">
        <v>2697</v>
      </c>
      <c r="Y1328" s="25"/>
      <c r="Z1328" s="75"/>
      <c r="AA1328" s="3" t="str">
        <f>IF(BCP_Soles[[#This Row],[fecha]]&gt;0,TEXT(BCP_Soles[[#This Row],[fecha]],"mmmm"),0)</f>
        <v>Abril</v>
      </c>
    </row>
    <row r="1329" spans="1:27" ht="60" x14ac:dyDescent="0.3">
      <c r="A1329" s="2">
        <f>IF(BCP_Soles[[#This Row],[tipo_registro]]="R",COUNTIFS($C$1:$C1328,"R")+1,A1328)</f>
        <v>990</v>
      </c>
      <c r="B1329" s="19" t="str">
        <f t="shared" si="111"/>
        <v>B-BCP - Soles</v>
      </c>
      <c r="C1329" s="3" t="s">
        <v>1330</v>
      </c>
      <c r="D1329" s="14">
        <v>45762</v>
      </c>
      <c r="E1329" s="5" t="s">
        <v>295</v>
      </c>
      <c r="F1329" s="5" t="s">
        <v>1303</v>
      </c>
      <c r="G1329" s="6" t="s">
        <v>425</v>
      </c>
      <c r="H1329" s="6"/>
      <c r="I1329" s="6"/>
      <c r="J1329" s="6"/>
      <c r="K1329" s="7" t="s">
        <v>1428</v>
      </c>
      <c r="L1329" s="8">
        <v>2049519</v>
      </c>
      <c r="M1329" s="8" t="str">
        <f t="shared" si="112"/>
        <v>PEN</v>
      </c>
      <c r="N1329" s="13"/>
      <c r="O1329" s="13">
        <v>1868.59</v>
      </c>
      <c r="P1329" s="3">
        <f t="shared" si="113"/>
        <v>1868.59</v>
      </c>
      <c r="Q1329" s="3">
        <f t="shared" si="114"/>
        <v>0</v>
      </c>
      <c r="R1329" s="3">
        <f t="shared" si="110"/>
        <v>48546.250000000036</v>
      </c>
      <c r="S1329" s="24" t="s">
        <v>1334</v>
      </c>
      <c r="T1329" s="24" t="s">
        <v>1334</v>
      </c>
      <c r="U1329" s="53"/>
      <c r="V1329" s="25">
        <f>IFERROR(VLOOKUP(BCP_Soles[[#This Row],[destinatario]],CHOOSE({1,2},Clientes_Proveedores[Razon Social],Clientes_Proveedores[Ruc / Dni]),2,0),"")</f>
        <v>20558226979</v>
      </c>
      <c r="W1329" s="25" t="s">
        <v>1345</v>
      </c>
      <c r="X1329" s="25" t="s">
        <v>2698</v>
      </c>
      <c r="Y1329" s="25"/>
      <c r="Z1329" s="75"/>
      <c r="AA1329" s="3" t="str">
        <f>IF(BCP_Soles[[#This Row],[fecha]]&gt;0,TEXT(BCP_Soles[[#This Row],[fecha]],"mmmm"),0)</f>
        <v>Abril</v>
      </c>
    </row>
    <row r="1330" spans="1:27" x14ac:dyDescent="0.3">
      <c r="A1330" s="2">
        <f>IF(BCP_Soles[[#This Row],[tipo_registro]]="R",COUNTIFS($C$1:$C1329,"R")+1,A1329)</f>
        <v>991</v>
      </c>
      <c r="B1330" s="19" t="str">
        <f t="shared" si="111"/>
        <v>B-BCP - Soles</v>
      </c>
      <c r="C1330" s="3" t="s">
        <v>1330</v>
      </c>
      <c r="D1330" s="14">
        <v>45762</v>
      </c>
      <c r="E1330" s="5" t="s">
        <v>203</v>
      </c>
      <c r="F1330" s="5" t="s">
        <v>1303</v>
      </c>
      <c r="G1330" s="6" t="s">
        <v>425</v>
      </c>
      <c r="H1330" s="6"/>
      <c r="I1330" s="6"/>
      <c r="J1330" s="6"/>
      <c r="K1330" s="7" t="s">
        <v>1641</v>
      </c>
      <c r="L1330" s="8">
        <v>2302312</v>
      </c>
      <c r="M1330" s="8" t="str">
        <f t="shared" si="112"/>
        <v>PEN</v>
      </c>
      <c r="N1330" s="13"/>
      <c r="O1330" s="13">
        <v>1087.25</v>
      </c>
      <c r="P1330" s="3">
        <f t="shared" si="113"/>
        <v>1087.25</v>
      </c>
      <c r="Q1330" s="3">
        <f t="shared" si="114"/>
        <v>0</v>
      </c>
      <c r="R1330" s="3">
        <f t="shared" si="110"/>
        <v>49633.500000000036</v>
      </c>
      <c r="S1330" s="24" t="s">
        <v>1334</v>
      </c>
      <c r="T1330" s="24" t="s">
        <v>1334</v>
      </c>
      <c r="U1330" s="53"/>
      <c r="V1330" s="25">
        <f>IFERROR(VLOOKUP(BCP_Soles[[#This Row],[destinatario]],CHOOSE({1,2},Clientes_Proveedores[Razon Social],Clientes_Proveedores[Ruc / Dni]),2,0),"")</f>
        <v>20558226979</v>
      </c>
      <c r="W1330" s="25" t="s">
        <v>1345</v>
      </c>
      <c r="X1330" s="25" t="s">
        <v>2699</v>
      </c>
      <c r="Y1330" s="25"/>
      <c r="Z1330" s="75"/>
      <c r="AA1330" s="3" t="str">
        <f>IF(BCP_Soles[[#This Row],[fecha]]&gt;0,TEXT(BCP_Soles[[#This Row],[fecha]],"mmmm"),0)</f>
        <v>Abril</v>
      </c>
    </row>
    <row r="1331" spans="1:27" ht="24" x14ac:dyDescent="0.3">
      <c r="A1331" s="2">
        <f>IF(BCP_Soles[[#This Row],[tipo_registro]]="R",COUNTIFS($C$1:$C1330,"R")+1,A1330)</f>
        <v>992</v>
      </c>
      <c r="B1331" s="19" t="str">
        <f t="shared" si="111"/>
        <v>B-BCP - Soles</v>
      </c>
      <c r="C1331" s="3" t="s">
        <v>1330</v>
      </c>
      <c r="D1331" s="14">
        <v>45762</v>
      </c>
      <c r="E1331" s="5" t="s">
        <v>666</v>
      </c>
      <c r="F1331" s="5" t="s">
        <v>1303</v>
      </c>
      <c r="G1331" s="6" t="s">
        <v>425</v>
      </c>
      <c r="H1331" s="6"/>
      <c r="I1331" s="6"/>
      <c r="J1331" s="6"/>
      <c r="K1331" s="7" t="s">
        <v>2700</v>
      </c>
      <c r="L1331" s="8">
        <v>4270184</v>
      </c>
      <c r="M1331" s="8" t="str">
        <f t="shared" si="112"/>
        <v>PEN</v>
      </c>
      <c r="N1331" s="13"/>
      <c r="O1331" s="13">
        <v>696.11</v>
      </c>
      <c r="P1331" s="3">
        <f t="shared" si="113"/>
        <v>696.11</v>
      </c>
      <c r="Q1331" s="3">
        <f t="shared" si="114"/>
        <v>0</v>
      </c>
      <c r="R1331" s="3">
        <f t="shared" si="110"/>
        <v>50329.610000000037</v>
      </c>
      <c r="S1331" s="24" t="s">
        <v>1334</v>
      </c>
      <c r="T1331" s="24" t="s">
        <v>1334</v>
      </c>
      <c r="U1331" s="53"/>
      <c r="V1331" s="25">
        <f>IFERROR(VLOOKUP(BCP_Soles[[#This Row],[destinatario]],CHOOSE({1,2},Clientes_Proveedores[Razon Social],Clientes_Proveedores[Ruc / Dni]),2,0),"")</f>
        <v>20558226979</v>
      </c>
      <c r="W1331" s="25" t="s">
        <v>1345</v>
      </c>
      <c r="X1331" s="25" t="s">
        <v>2701</v>
      </c>
      <c r="Y1331" s="25"/>
      <c r="Z1331" s="75"/>
      <c r="AA1331" s="3" t="str">
        <f>IF(BCP_Soles[[#This Row],[fecha]]&gt;0,TEXT(BCP_Soles[[#This Row],[fecha]],"mmmm"),0)</f>
        <v>Abril</v>
      </c>
    </row>
    <row r="1332" spans="1:27" x14ac:dyDescent="0.3">
      <c r="A1332" s="2">
        <f>IF(BCP_Soles[[#This Row],[tipo_registro]]="R",COUNTIFS($C$1:$C1331,"R")+1,A1331)</f>
        <v>993</v>
      </c>
      <c r="B1332" s="19" t="str">
        <f t="shared" si="111"/>
        <v>B-BCP - Soles</v>
      </c>
      <c r="C1332" s="3" t="s">
        <v>1330</v>
      </c>
      <c r="D1332" s="14">
        <v>45762</v>
      </c>
      <c r="E1332" s="5" t="s">
        <v>1335</v>
      </c>
      <c r="F1332" s="5" t="s">
        <v>1336</v>
      </c>
      <c r="G1332" s="6"/>
      <c r="H1332" s="6"/>
      <c r="I1332" s="6"/>
      <c r="J1332" s="6"/>
      <c r="K1332" s="7" t="s">
        <v>1337</v>
      </c>
      <c r="L1332" s="8"/>
      <c r="M1332" s="8" t="str">
        <f t="shared" si="112"/>
        <v>PEN</v>
      </c>
      <c r="N1332" s="13"/>
      <c r="O1332" s="13">
        <v>0.9</v>
      </c>
      <c r="P1332" s="3">
        <f t="shared" si="113"/>
        <v>0</v>
      </c>
      <c r="Q1332" s="3">
        <f t="shared" si="114"/>
        <v>0.9</v>
      </c>
      <c r="R1332" s="3">
        <f t="shared" si="110"/>
        <v>50328.710000000036</v>
      </c>
      <c r="S1332" s="24"/>
      <c r="T1332" s="24" t="s">
        <v>1334</v>
      </c>
      <c r="U1332" s="53"/>
      <c r="V1332" s="25" t="str">
        <f>IFERROR(VLOOKUP(BCP_Soles[[#This Row],[destinatario]],CHOOSE({1,2},Clientes_Proveedores[Razon Social],Clientes_Proveedores[Ruc / Dni]),2,0),"")</f>
        <v/>
      </c>
      <c r="W1332" s="25"/>
      <c r="X1332" s="25"/>
      <c r="Y1332" s="25"/>
      <c r="Z1332" s="75"/>
      <c r="AA1332" s="3" t="str">
        <f>IF(BCP_Soles[[#This Row],[fecha]]&gt;0,TEXT(BCP_Soles[[#This Row],[fecha]],"mmmm"),0)</f>
        <v>Abril</v>
      </c>
    </row>
    <row r="1333" spans="1:27" ht="24" x14ac:dyDescent="0.3">
      <c r="A1333" s="2">
        <f>IF(BCP_Soles[[#This Row],[tipo_registro]]="R",COUNTIFS($C$1:$C1332,"R")+1,A1332)</f>
        <v>994</v>
      </c>
      <c r="B1333" s="19" t="str">
        <f t="shared" si="111"/>
        <v>B-BCP - Soles</v>
      </c>
      <c r="C1333" s="3" t="s">
        <v>1330</v>
      </c>
      <c r="D1333" s="14">
        <v>45762</v>
      </c>
      <c r="E1333" s="5" t="s">
        <v>1335</v>
      </c>
      <c r="F1333" s="5" t="s">
        <v>1336</v>
      </c>
      <c r="G1333" s="6" t="s">
        <v>1060</v>
      </c>
      <c r="H1333" s="6" t="s">
        <v>68</v>
      </c>
      <c r="I1333" s="6" t="s">
        <v>1397</v>
      </c>
      <c r="J1333" s="6">
        <v>31493887</v>
      </c>
      <c r="K1333" s="7" t="s">
        <v>2702</v>
      </c>
      <c r="L1333" s="8">
        <v>4724569</v>
      </c>
      <c r="M1333" s="8" t="str">
        <f t="shared" si="112"/>
        <v>PEN</v>
      </c>
      <c r="N1333" s="13"/>
      <c r="O1333" s="13">
        <v>2.5</v>
      </c>
      <c r="P1333" s="3">
        <f t="shared" si="113"/>
        <v>0</v>
      </c>
      <c r="Q1333" s="3">
        <f t="shared" si="114"/>
        <v>2.5</v>
      </c>
      <c r="R1333" s="3">
        <f t="shared" si="110"/>
        <v>50326.210000000036</v>
      </c>
      <c r="S1333" s="24" t="s">
        <v>1334</v>
      </c>
      <c r="T1333" s="24" t="s">
        <v>1334</v>
      </c>
      <c r="U1333" s="53"/>
      <c r="V1333" s="25">
        <f>IFERROR(VLOOKUP(BCP_Soles[[#This Row],[destinatario]],CHOOSE({1,2},Clientes_Proveedores[Razon Social],Clientes_Proveedores[Ruc / Dni]),2,0),"")</f>
        <v>20100047218</v>
      </c>
      <c r="W1333" s="25" t="s">
        <v>1335</v>
      </c>
      <c r="X1333" s="25" t="s">
        <v>2703</v>
      </c>
      <c r="Y1333" s="25"/>
      <c r="Z1333" s="75"/>
      <c r="AA1333" s="3" t="str">
        <f>IF(BCP_Soles[[#This Row],[fecha]]&gt;0,TEXT(BCP_Soles[[#This Row],[fecha]],"mmmm"),0)</f>
        <v>Abril</v>
      </c>
    </row>
    <row r="1334" spans="1:27" ht="24" x14ac:dyDescent="0.3">
      <c r="A1334" s="2">
        <f>IF(BCP_Soles[[#This Row],[tipo_registro]]="R",COUNTIFS($C$1:$C1333,"R")+1,A1333)</f>
        <v>995</v>
      </c>
      <c r="B1334" s="19" t="str">
        <f t="shared" si="111"/>
        <v>B-BCP - Soles</v>
      </c>
      <c r="C1334" s="3" t="s">
        <v>1330</v>
      </c>
      <c r="D1334" s="14">
        <v>45762</v>
      </c>
      <c r="E1334" s="5" t="s">
        <v>1335</v>
      </c>
      <c r="F1334" s="5" t="s">
        <v>1336</v>
      </c>
      <c r="G1334" s="6" t="s">
        <v>1060</v>
      </c>
      <c r="H1334" s="6" t="s">
        <v>68</v>
      </c>
      <c r="I1334" s="6" t="s">
        <v>1397</v>
      </c>
      <c r="J1334" s="6">
        <v>31598334</v>
      </c>
      <c r="K1334" s="7" t="s">
        <v>1552</v>
      </c>
      <c r="L1334" s="8">
        <v>959325</v>
      </c>
      <c r="M1334" s="8" t="str">
        <f t="shared" si="112"/>
        <v>PEN</v>
      </c>
      <c r="N1334" s="13"/>
      <c r="O1334" s="13">
        <v>10</v>
      </c>
      <c r="P1334" s="3">
        <f t="shared" si="113"/>
        <v>0</v>
      </c>
      <c r="Q1334" s="3">
        <f t="shared" si="114"/>
        <v>10</v>
      </c>
      <c r="R1334" s="3">
        <f t="shared" si="110"/>
        <v>50316.210000000036</v>
      </c>
      <c r="S1334" s="24" t="s">
        <v>1334</v>
      </c>
      <c r="T1334" s="24" t="s">
        <v>1334</v>
      </c>
      <c r="U1334" s="53"/>
      <c r="V1334" s="25">
        <f>IFERROR(VLOOKUP(BCP_Soles[[#This Row],[destinatario]],CHOOSE({1,2},Clientes_Proveedores[Razon Social],Clientes_Proveedores[Ruc / Dni]),2,0),"")</f>
        <v>20100047218</v>
      </c>
      <c r="W1334" s="25" t="s">
        <v>1335</v>
      </c>
      <c r="X1334" s="25" t="s">
        <v>2704</v>
      </c>
      <c r="Y1334" s="25"/>
      <c r="Z1334" s="75"/>
      <c r="AA1334" s="3" t="str">
        <f>IF(BCP_Soles[[#This Row],[fecha]]&gt;0,TEXT(BCP_Soles[[#This Row],[fecha]],"mmmm"),0)</f>
        <v>Abril</v>
      </c>
    </row>
    <row r="1335" spans="1:27" ht="24" x14ac:dyDescent="0.3">
      <c r="A1335" s="2">
        <f>IF(BCP_Soles[[#This Row],[tipo_registro]]="R",COUNTIFS($C$1:$C1334,"R")+1,A1334)</f>
        <v>996</v>
      </c>
      <c r="B1335" s="19" t="str">
        <f t="shared" si="111"/>
        <v>B-BCP - Soles</v>
      </c>
      <c r="C1335" s="3" t="s">
        <v>1330</v>
      </c>
      <c r="D1335" s="14">
        <v>45762</v>
      </c>
      <c r="E1335" s="5" t="s">
        <v>1335</v>
      </c>
      <c r="F1335" s="5" t="s">
        <v>1336</v>
      </c>
      <c r="G1335" s="6" t="s">
        <v>1060</v>
      </c>
      <c r="H1335" s="6" t="s">
        <v>68</v>
      </c>
      <c r="I1335" s="6" t="s">
        <v>1397</v>
      </c>
      <c r="J1335" s="6">
        <v>31455661</v>
      </c>
      <c r="K1335" s="7" t="s">
        <v>1400</v>
      </c>
      <c r="L1335" s="8">
        <v>454</v>
      </c>
      <c r="M1335" s="8" t="str">
        <f t="shared" si="112"/>
        <v>PEN</v>
      </c>
      <c r="N1335" s="13"/>
      <c r="O1335" s="13">
        <v>10</v>
      </c>
      <c r="P1335" s="3">
        <f t="shared" si="113"/>
        <v>0</v>
      </c>
      <c r="Q1335" s="3">
        <f t="shared" si="114"/>
        <v>10</v>
      </c>
      <c r="R1335" s="3">
        <f t="shared" si="110"/>
        <v>50306.210000000036</v>
      </c>
      <c r="S1335" s="24"/>
      <c r="T1335" s="24" t="s">
        <v>1334</v>
      </c>
      <c r="U1335" s="53"/>
      <c r="V1335" s="25">
        <f>IFERROR(VLOOKUP(BCP_Soles[[#This Row],[destinatario]],CHOOSE({1,2},Clientes_Proveedores[Razon Social],Clientes_Proveedores[Ruc / Dni]),2,0),"")</f>
        <v>20100047218</v>
      </c>
      <c r="W1335" s="25" t="s">
        <v>1335</v>
      </c>
      <c r="X1335" s="25" t="s">
        <v>2705</v>
      </c>
      <c r="Y1335" s="25"/>
      <c r="Z1335" s="75"/>
      <c r="AA1335" s="3" t="str">
        <f>IF(BCP_Soles[[#This Row],[fecha]]&gt;0,TEXT(BCP_Soles[[#This Row],[fecha]],"mmmm"),0)</f>
        <v>Abril</v>
      </c>
    </row>
    <row r="1336" spans="1:27" ht="24" x14ac:dyDescent="0.3">
      <c r="A1336" s="2">
        <f>IF(BCP_Soles[[#This Row],[tipo_registro]]="R",COUNTIFS($C$1:$C1335,"R")+1,A1335)</f>
        <v>997</v>
      </c>
      <c r="B1336" s="19" t="str">
        <f t="shared" si="111"/>
        <v>B-BCP - Soles</v>
      </c>
      <c r="C1336" s="3" t="s">
        <v>1330</v>
      </c>
      <c r="D1336" s="14">
        <v>45762</v>
      </c>
      <c r="E1336" s="5" t="s">
        <v>1335</v>
      </c>
      <c r="F1336" s="5" t="s">
        <v>1336</v>
      </c>
      <c r="G1336" s="6" t="s">
        <v>1060</v>
      </c>
      <c r="H1336" s="6" t="s">
        <v>68</v>
      </c>
      <c r="I1336" s="6" t="s">
        <v>1397</v>
      </c>
      <c r="J1336" s="6">
        <v>31455661</v>
      </c>
      <c r="K1336" s="7" t="s">
        <v>1400</v>
      </c>
      <c r="L1336" s="8">
        <v>454</v>
      </c>
      <c r="M1336" s="8" t="str">
        <f t="shared" si="112"/>
        <v>PEN</v>
      </c>
      <c r="N1336" s="13"/>
      <c r="O1336" s="13">
        <v>10</v>
      </c>
      <c r="P1336" s="3">
        <f t="shared" si="113"/>
        <v>0</v>
      </c>
      <c r="Q1336" s="3">
        <f t="shared" si="114"/>
        <v>10</v>
      </c>
      <c r="R1336" s="3">
        <f t="shared" si="110"/>
        <v>50296.210000000036</v>
      </c>
      <c r="S1336" s="24"/>
      <c r="T1336" s="24" t="s">
        <v>1334</v>
      </c>
      <c r="U1336" s="53"/>
      <c r="V1336" s="25">
        <f>IFERROR(VLOOKUP(BCP_Soles[[#This Row],[destinatario]],CHOOSE({1,2},Clientes_Proveedores[Razon Social],Clientes_Proveedores[Ruc / Dni]),2,0),"")</f>
        <v>20100047218</v>
      </c>
      <c r="W1336" s="25" t="s">
        <v>1335</v>
      </c>
      <c r="X1336" s="25" t="s">
        <v>2705</v>
      </c>
      <c r="Y1336" s="25"/>
      <c r="Z1336" s="75"/>
      <c r="AA1336" s="3" t="str">
        <f>IF(BCP_Soles[[#This Row],[fecha]]&gt;0,TEXT(BCP_Soles[[#This Row],[fecha]],"mmmm"),0)</f>
        <v>Abril</v>
      </c>
    </row>
    <row r="1337" spans="1:27" x14ac:dyDescent="0.3">
      <c r="A1337" s="2">
        <f>IF(BCP_Soles[[#This Row],[tipo_registro]]="R",COUNTIFS($C$1:$C1336,"R")+1,A1336)</f>
        <v>998</v>
      </c>
      <c r="B1337" s="19" t="str">
        <f t="shared" si="111"/>
        <v>B-BCP - Soles</v>
      </c>
      <c r="C1337" s="3" t="s">
        <v>1330</v>
      </c>
      <c r="D1337" s="14">
        <v>45762</v>
      </c>
      <c r="E1337" s="5" t="s">
        <v>2269</v>
      </c>
      <c r="F1337" s="5" t="s">
        <v>1336</v>
      </c>
      <c r="G1337" s="6" t="s">
        <v>196</v>
      </c>
      <c r="H1337" s="6" t="s">
        <v>68</v>
      </c>
      <c r="I1337" s="6" t="s">
        <v>2226</v>
      </c>
      <c r="J1337" s="6">
        <v>6230</v>
      </c>
      <c r="K1337" s="7" t="s">
        <v>2227</v>
      </c>
      <c r="L1337" s="8">
        <v>278629</v>
      </c>
      <c r="M1337" s="8" t="str">
        <f t="shared" si="112"/>
        <v>PEN</v>
      </c>
      <c r="N1337" s="13"/>
      <c r="O1337" s="13">
        <v>20.78</v>
      </c>
      <c r="P1337" s="3">
        <f t="shared" si="113"/>
        <v>0</v>
      </c>
      <c r="Q1337" s="3">
        <f t="shared" si="114"/>
        <v>20.78</v>
      </c>
      <c r="R1337" s="3">
        <f t="shared" si="110"/>
        <v>50275.430000000037</v>
      </c>
      <c r="S1337" s="24" t="s">
        <v>1334</v>
      </c>
      <c r="T1337" s="24" t="s">
        <v>1334</v>
      </c>
      <c r="U1337" s="53"/>
      <c r="V1337" s="25">
        <f>IFERROR(VLOOKUP(BCP_Soles[[#This Row],[destinatario]],CHOOSE({1,2},Clientes_Proveedores[Razon Social],Clientes_Proveedores[Ruc / Dni]),2,0),"")</f>
        <v>20100055237</v>
      </c>
      <c r="W1337" s="25" t="s">
        <v>2228</v>
      </c>
      <c r="X1337" s="25" t="s">
        <v>2706</v>
      </c>
      <c r="Y1337" s="25"/>
      <c r="Z1337" s="75"/>
      <c r="AA1337" s="3" t="str">
        <f>IF(BCP_Soles[[#This Row],[fecha]]&gt;0,TEXT(BCP_Soles[[#This Row],[fecha]],"mmmm"),0)</f>
        <v>Abril</v>
      </c>
    </row>
    <row r="1338" spans="1:27" x14ac:dyDescent="0.3">
      <c r="A1338" s="2">
        <f>IF(BCP_Soles[[#This Row],[tipo_registro]]="R",COUNTIFS($C$1:$C1337,"R")+1,A1337)</f>
        <v>999</v>
      </c>
      <c r="B1338" s="19" t="str">
        <f t="shared" si="111"/>
        <v>B-BCP - Soles</v>
      </c>
      <c r="C1338" s="3" t="s">
        <v>1330</v>
      </c>
      <c r="D1338" s="14">
        <v>45762</v>
      </c>
      <c r="E1338" s="5" t="s">
        <v>2269</v>
      </c>
      <c r="F1338" s="5" t="s">
        <v>1336</v>
      </c>
      <c r="G1338" s="6" t="s">
        <v>196</v>
      </c>
      <c r="H1338" s="6" t="s">
        <v>68</v>
      </c>
      <c r="I1338" s="6" t="s">
        <v>2226</v>
      </c>
      <c r="J1338" s="6">
        <v>6228</v>
      </c>
      <c r="K1338" s="7" t="s">
        <v>2227</v>
      </c>
      <c r="L1338" s="8">
        <v>279102</v>
      </c>
      <c r="M1338" s="8" t="str">
        <f t="shared" si="112"/>
        <v>PEN</v>
      </c>
      <c r="N1338" s="13"/>
      <c r="O1338" s="13">
        <v>73.02</v>
      </c>
      <c r="P1338" s="3">
        <f t="shared" si="113"/>
        <v>0</v>
      </c>
      <c r="Q1338" s="3">
        <f t="shared" si="114"/>
        <v>73.02</v>
      </c>
      <c r="R1338" s="3">
        <f t="shared" si="110"/>
        <v>50202.41000000004</v>
      </c>
      <c r="S1338" s="24" t="s">
        <v>1334</v>
      </c>
      <c r="T1338" s="24" t="s">
        <v>1334</v>
      </c>
      <c r="U1338" s="53"/>
      <c r="V1338" s="25">
        <f>IFERROR(VLOOKUP(BCP_Soles[[#This Row],[destinatario]],CHOOSE({1,2},Clientes_Proveedores[Razon Social],Clientes_Proveedores[Ruc / Dni]),2,0),"")</f>
        <v>20100055237</v>
      </c>
      <c r="W1338" s="25" t="s">
        <v>2228</v>
      </c>
      <c r="X1338" s="25" t="s">
        <v>2707</v>
      </c>
      <c r="Y1338" s="25"/>
      <c r="Z1338" s="75"/>
      <c r="AA1338" s="3" t="str">
        <f>IF(BCP_Soles[[#This Row],[fecha]]&gt;0,TEXT(BCP_Soles[[#This Row],[fecha]],"mmmm"),0)</f>
        <v>Abril</v>
      </c>
    </row>
    <row r="1339" spans="1:27" ht="24" x14ac:dyDescent="0.3">
      <c r="A1339" s="2">
        <f>IF(BCP_Soles[[#This Row],[tipo_registro]]="R",COUNTIFS($C$1:$C1338,"R")+1,A1338)</f>
        <v>1000</v>
      </c>
      <c r="B1339" s="19" t="str">
        <f t="shared" si="111"/>
        <v>B-BCP - Soles</v>
      </c>
      <c r="C1339" s="3" t="s">
        <v>1330</v>
      </c>
      <c r="D1339" s="14">
        <v>45762</v>
      </c>
      <c r="E1339" s="5" t="s">
        <v>2269</v>
      </c>
      <c r="F1339" s="5" t="s">
        <v>1336</v>
      </c>
      <c r="G1339" s="6" t="s">
        <v>857</v>
      </c>
      <c r="H1339" s="6" t="s">
        <v>143</v>
      </c>
      <c r="I1339" s="6">
        <v>1</v>
      </c>
      <c r="J1339" s="6">
        <v>312025</v>
      </c>
      <c r="K1339" s="7" t="s">
        <v>2708</v>
      </c>
      <c r="L1339" s="8">
        <v>1277174</v>
      </c>
      <c r="M1339" s="8" t="str">
        <f t="shared" si="112"/>
        <v>PEN</v>
      </c>
      <c r="N1339" s="13"/>
      <c r="O1339" s="13">
        <v>165</v>
      </c>
      <c r="P1339" s="3">
        <f t="shared" si="113"/>
        <v>0</v>
      </c>
      <c r="Q1339" s="3">
        <f t="shared" si="114"/>
        <v>165</v>
      </c>
      <c r="R1339" s="3">
        <f t="shared" si="110"/>
        <v>50037.41000000004</v>
      </c>
      <c r="S1339" s="24" t="s">
        <v>1334</v>
      </c>
      <c r="T1339" s="24" t="s">
        <v>1334</v>
      </c>
      <c r="U1339" s="53"/>
      <c r="V1339" s="25">
        <f>IFERROR(VLOOKUP(BCP_Soles[[#This Row],[destinatario]],CHOOSE({1,2},Clientes_Proveedores[Razon Social],Clientes_Proveedores[Ruc / Dni]),2,0),"")</f>
        <v>70666331</v>
      </c>
      <c r="W1339" s="25" t="s">
        <v>857</v>
      </c>
      <c r="X1339" s="25" t="s">
        <v>2709</v>
      </c>
      <c r="Y1339" s="25"/>
      <c r="Z1339" s="75"/>
      <c r="AA1339" s="3" t="str">
        <f>IF(BCP_Soles[[#This Row],[fecha]]&gt;0,TEXT(BCP_Soles[[#This Row],[fecha]],"mmmm"),0)</f>
        <v>Abril</v>
      </c>
    </row>
    <row r="1340" spans="1:27" ht="48" x14ac:dyDescent="0.3">
      <c r="A1340" s="2">
        <f>IF(BCP_Soles[[#This Row],[tipo_registro]]="R",COUNTIFS($C$1:$C1339,"R")+1,A1339)</f>
        <v>1001</v>
      </c>
      <c r="B1340" s="19" t="str">
        <f t="shared" si="111"/>
        <v>B-BCP - Soles</v>
      </c>
      <c r="C1340" s="3" t="s">
        <v>1330</v>
      </c>
      <c r="D1340" s="14">
        <v>45762</v>
      </c>
      <c r="E1340" s="5" t="s">
        <v>2269</v>
      </c>
      <c r="F1340" s="5" t="s">
        <v>1336</v>
      </c>
      <c r="G1340" s="6" t="s">
        <v>501</v>
      </c>
      <c r="H1340" s="6" t="s">
        <v>68</v>
      </c>
      <c r="I1340" s="6" t="s">
        <v>1650</v>
      </c>
      <c r="J1340" s="6">
        <v>7345</v>
      </c>
      <c r="K1340" s="7" t="s">
        <v>2710</v>
      </c>
      <c r="L1340" s="8">
        <v>1143818</v>
      </c>
      <c r="M1340" s="8" t="str">
        <f t="shared" si="112"/>
        <v>PEN</v>
      </c>
      <c r="N1340" s="13"/>
      <c r="O1340" s="13">
        <v>167.31</v>
      </c>
      <c r="P1340" s="3">
        <f t="shared" si="113"/>
        <v>0</v>
      </c>
      <c r="Q1340" s="3">
        <f t="shared" si="114"/>
        <v>167.31</v>
      </c>
      <c r="R1340" s="3">
        <f t="shared" si="110"/>
        <v>49870.100000000042</v>
      </c>
      <c r="S1340" s="24" t="s">
        <v>1334</v>
      </c>
      <c r="T1340" s="24" t="s">
        <v>1334</v>
      </c>
      <c r="U1340" s="53"/>
      <c r="V1340" s="25">
        <f>IFERROR(VLOOKUP(BCP_Soles[[#This Row],[destinatario]],CHOOSE({1,2},Clientes_Proveedores[Razon Social],Clientes_Proveedores[Ruc / Dni]),2,0),"")</f>
        <v>20602978274</v>
      </c>
      <c r="W1340" s="25" t="s">
        <v>1528</v>
      </c>
      <c r="X1340" s="25" t="s">
        <v>2711</v>
      </c>
      <c r="Y1340" s="25"/>
      <c r="Z1340" s="75"/>
      <c r="AA1340" s="3" t="str">
        <f>IF(BCP_Soles[[#This Row],[fecha]]&gt;0,TEXT(BCP_Soles[[#This Row],[fecha]],"mmmm"),0)</f>
        <v>Abril</v>
      </c>
    </row>
    <row r="1341" spans="1:27" x14ac:dyDescent="0.3">
      <c r="A1341" s="2">
        <f>IF(BCP_Soles[[#This Row],[tipo_registro]]="R",COUNTIFS($C$1:$C1340,"R")+1,A1340)</f>
        <v>1002</v>
      </c>
      <c r="B1341" s="19" t="str">
        <f t="shared" si="111"/>
        <v>B-BCP - Soles</v>
      </c>
      <c r="C1341" s="3" t="s">
        <v>1330</v>
      </c>
      <c r="D1341" s="14">
        <v>45762</v>
      </c>
      <c r="E1341" s="5" t="s">
        <v>2269</v>
      </c>
      <c r="F1341" s="5" t="s">
        <v>1336</v>
      </c>
      <c r="G1341" s="6" t="s">
        <v>196</v>
      </c>
      <c r="H1341" s="6" t="s">
        <v>68</v>
      </c>
      <c r="I1341" s="6" t="s">
        <v>2226</v>
      </c>
      <c r="J1341" s="6">
        <v>6231</v>
      </c>
      <c r="K1341" s="7" t="s">
        <v>2227</v>
      </c>
      <c r="L1341" s="8">
        <v>279587</v>
      </c>
      <c r="M1341" s="8" t="str">
        <f t="shared" si="112"/>
        <v>PEN</v>
      </c>
      <c r="N1341" s="13"/>
      <c r="O1341" s="13">
        <v>235.3</v>
      </c>
      <c r="P1341" s="3">
        <f t="shared" si="113"/>
        <v>0</v>
      </c>
      <c r="Q1341" s="3">
        <f t="shared" si="114"/>
        <v>235.3</v>
      </c>
      <c r="R1341" s="3">
        <f t="shared" si="110"/>
        <v>49634.800000000039</v>
      </c>
      <c r="S1341" s="24" t="s">
        <v>1334</v>
      </c>
      <c r="T1341" s="24" t="s">
        <v>1334</v>
      </c>
      <c r="U1341" s="53"/>
      <c r="V1341" s="25">
        <f>IFERROR(VLOOKUP(BCP_Soles[[#This Row],[destinatario]],CHOOSE({1,2},Clientes_Proveedores[Razon Social],Clientes_Proveedores[Ruc / Dni]),2,0),"")</f>
        <v>20100055237</v>
      </c>
      <c r="W1341" s="25" t="s">
        <v>2228</v>
      </c>
      <c r="X1341" s="25" t="s">
        <v>2712</v>
      </c>
      <c r="Y1341" s="25"/>
      <c r="Z1341" s="75"/>
      <c r="AA1341" s="3" t="str">
        <f>IF(BCP_Soles[[#This Row],[fecha]]&gt;0,TEXT(BCP_Soles[[#This Row],[fecha]],"mmmm"),0)</f>
        <v>Abril</v>
      </c>
    </row>
    <row r="1342" spans="1:27" ht="48" x14ac:dyDescent="0.3">
      <c r="A1342" s="2">
        <f>IF(BCP_Soles[[#This Row],[tipo_registro]]="R",COUNTIFS($C$1:$C1341,"R")+1,A1341)</f>
        <v>1003</v>
      </c>
      <c r="B1342" s="19" t="str">
        <f t="shared" si="111"/>
        <v>B-BCP - Soles</v>
      </c>
      <c r="C1342" s="3" t="s">
        <v>1330</v>
      </c>
      <c r="D1342" s="14">
        <v>45762</v>
      </c>
      <c r="E1342" s="5" t="s">
        <v>2269</v>
      </c>
      <c r="F1342" s="5" t="s">
        <v>1336</v>
      </c>
      <c r="G1342" s="6" t="s">
        <v>501</v>
      </c>
      <c r="H1342" s="6" t="s">
        <v>68</v>
      </c>
      <c r="I1342" s="6" t="s">
        <v>1526</v>
      </c>
      <c r="J1342" s="6">
        <v>9991</v>
      </c>
      <c r="K1342" s="7" t="s">
        <v>2713</v>
      </c>
      <c r="L1342" s="8">
        <v>1140897</v>
      </c>
      <c r="M1342" s="8" t="str">
        <f t="shared" si="112"/>
        <v>PEN</v>
      </c>
      <c r="N1342" s="13"/>
      <c r="O1342" s="13">
        <v>240</v>
      </c>
      <c r="P1342" s="3">
        <f t="shared" si="113"/>
        <v>0</v>
      </c>
      <c r="Q1342" s="3">
        <f t="shared" si="114"/>
        <v>240</v>
      </c>
      <c r="R1342" s="3">
        <f t="shared" si="110"/>
        <v>49394.800000000039</v>
      </c>
      <c r="S1342" s="24" t="s">
        <v>1334</v>
      </c>
      <c r="T1342" s="24" t="s">
        <v>1334</v>
      </c>
      <c r="U1342" s="53"/>
      <c r="V1342" s="25">
        <f>IFERROR(VLOOKUP(BCP_Soles[[#This Row],[destinatario]],CHOOSE({1,2},Clientes_Proveedores[Razon Social],Clientes_Proveedores[Ruc / Dni]),2,0),"")</f>
        <v>20602978274</v>
      </c>
      <c r="W1342" s="25" t="s">
        <v>1528</v>
      </c>
      <c r="X1342" s="25" t="s">
        <v>2714</v>
      </c>
      <c r="Y1342" s="25"/>
      <c r="Z1342" s="75"/>
      <c r="AA1342" s="3" t="str">
        <f>IF(BCP_Soles[[#This Row],[fecha]]&gt;0,TEXT(BCP_Soles[[#This Row],[fecha]],"mmmm"),0)</f>
        <v>Abril</v>
      </c>
    </row>
    <row r="1343" spans="1:27" x14ac:dyDescent="0.3">
      <c r="A1343" s="2">
        <f>IF(BCP_Soles[[#This Row],[tipo_registro]]="R",COUNTIFS($C$1:$C1342,"R")+1,A1342)</f>
        <v>1004</v>
      </c>
      <c r="B1343" s="19" t="str">
        <f t="shared" si="111"/>
        <v>B-BCP - Soles</v>
      </c>
      <c r="C1343" s="3" t="s">
        <v>1330</v>
      </c>
      <c r="D1343" s="14">
        <v>45762</v>
      </c>
      <c r="E1343" s="5" t="s">
        <v>2269</v>
      </c>
      <c r="F1343" s="5" t="s">
        <v>1336</v>
      </c>
      <c r="G1343" s="6"/>
      <c r="H1343" s="6"/>
      <c r="I1343" s="6"/>
      <c r="J1343" s="6"/>
      <c r="K1343" s="7" t="s">
        <v>2715</v>
      </c>
      <c r="L1343" s="8">
        <v>1014099</v>
      </c>
      <c r="M1343" s="8" t="str">
        <f t="shared" si="112"/>
        <v>PEN</v>
      </c>
      <c r="N1343" s="13"/>
      <c r="O1343" s="13">
        <v>358</v>
      </c>
      <c r="P1343" s="3">
        <f t="shared" si="113"/>
        <v>0</v>
      </c>
      <c r="Q1343" s="3">
        <f t="shared" si="114"/>
        <v>358</v>
      </c>
      <c r="R1343" s="3">
        <f t="shared" si="110"/>
        <v>49036.800000000039</v>
      </c>
      <c r="S1343" s="24" t="s">
        <v>1334</v>
      </c>
      <c r="T1343" s="24" t="s">
        <v>1334</v>
      </c>
      <c r="U1343" s="53"/>
      <c r="V1343" s="25" t="str">
        <f>IFERROR(VLOOKUP(BCP_Soles[[#This Row],[destinatario]],CHOOSE({1,2},Clientes_Proveedores[Razon Social],Clientes_Proveedores[Ruc / Dni]),2,0),"")</f>
        <v/>
      </c>
      <c r="W1343" s="25" t="s">
        <v>2666</v>
      </c>
      <c r="X1343" s="25"/>
      <c r="Y1343" s="25"/>
      <c r="Z1343" s="75"/>
      <c r="AA1343" s="3" t="str">
        <f>IF(BCP_Soles[[#This Row],[fecha]]&gt;0,TEXT(BCP_Soles[[#This Row],[fecha]],"mmmm"),0)</f>
        <v>Abril</v>
      </c>
    </row>
    <row r="1344" spans="1:27" ht="24" x14ac:dyDescent="0.3">
      <c r="A1344" s="2">
        <f>IF(BCP_Soles[[#This Row],[tipo_registro]]="R",COUNTIFS($C$1:$C1343,"R")+1,A1343)</f>
        <v>1005</v>
      </c>
      <c r="B1344" s="19" t="str">
        <f t="shared" si="111"/>
        <v>B-BCP - Soles</v>
      </c>
      <c r="C1344" s="3" t="s">
        <v>1330</v>
      </c>
      <c r="D1344" s="14">
        <v>45762</v>
      </c>
      <c r="E1344" s="5" t="s">
        <v>2269</v>
      </c>
      <c r="F1344" s="5" t="s">
        <v>1336</v>
      </c>
      <c r="G1344" s="6" t="s">
        <v>249</v>
      </c>
      <c r="H1344" s="6"/>
      <c r="I1344" s="6"/>
      <c r="J1344" s="6"/>
      <c r="K1344" s="7" t="s">
        <v>2716</v>
      </c>
      <c r="L1344" s="8">
        <v>1279586</v>
      </c>
      <c r="M1344" s="8" t="str">
        <f t="shared" si="112"/>
        <v>PEN</v>
      </c>
      <c r="N1344" s="13"/>
      <c r="O1344" s="13">
        <v>387.04</v>
      </c>
      <c r="P1344" s="3">
        <f t="shared" si="113"/>
        <v>0</v>
      </c>
      <c r="Q1344" s="3">
        <f t="shared" si="114"/>
        <v>387.04</v>
      </c>
      <c r="R1344" s="3">
        <f t="shared" si="110"/>
        <v>48649.760000000038</v>
      </c>
      <c r="S1344" s="24"/>
      <c r="T1344" s="24"/>
      <c r="U1344" s="53"/>
      <c r="V1344" s="25">
        <f>IFERROR(VLOOKUP(BCP_Soles[[#This Row],[destinatario]],CHOOSE({1,2},Clientes_Proveedores[Razon Social],Clientes_Proveedores[Ruc / Dni]),2,0),"")</f>
        <v>20302891452</v>
      </c>
      <c r="W1344" s="25" t="s">
        <v>249</v>
      </c>
      <c r="X1344" s="25"/>
      <c r="Y1344" s="25"/>
      <c r="Z1344" s="75"/>
      <c r="AA1344" s="3" t="str">
        <f>IF(BCP_Soles[[#This Row],[fecha]]&gt;0,TEXT(BCP_Soles[[#This Row],[fecha]],"mmmm"),0)</f>
        <v>Abril</v>
      </c>
    </row>
    <row r="1345" spans="1:27" x14ac:dyDescent="0.3">
      <c r="A1345" s="2">
        <f>IF(BCP_Soles[[#This Row],[tipo_registro]]="R",COUNTIFS($C$1:$C1344,"R")+1,A1344)</f>
        <v>1006</v>
      </c>
      <c r="B1345" s="19" t="str">
        <f t="shared" si="111"/>
        <v>B-BCP - Soles</v>
      </c>
      <c r="C1345" s="3" t="s">
        <v>1330</v>
      </c>
      <c r="D1345" s="14">
        <v>45762</v>
      </c>
      <c r="E1345" s="5" t="s">
        <v>2269</v>
      </c>
      <c r="F1345" s="5" t="s">
        <v>1336</v>
      </c>
      <c r="G1345" s="6" t="s">
        <v>196</v>
      </c>
      <c r="H1345" s="6" t="s">
        <v>68</v>
      </c>
      <c r="I1345" s="6" t="s">
        <v>2226</v>
      </c>
      <c r="J1345" s="6">
        <v>6229</v>
      </c>
      <c r="K1345" s="7" t="s">
        <v>2227</v>
      </c>
      <c r="L1345" s="8">
        <v>277653</v>
      </c>
      <c r="M1345" s="8" t="str">
        <f t="shared" si="112"/>
        <v>PEN</v>
      </c>
      <c r="N1345" s="13"/>
      <c r="O1345" s="13">
        <v>397.28</v>
      </c>
      <c r="P1345" s="3">
        <f t="shared" si="113"/>
        <v>0</v>
      </c>
      <c r="Q1345" s="3">
        <f t="shared" si="114"/>
        <v>397.28</v>
      </c>
      <c r="R1345" s="3">
        <f t="shared" si="110"/>
        <v>48252.48000000004</v>
      </c>
      <c r="S1345" s="24" t="s">
        <v>1334</v>
      </c>
      <c r="T1345" s="24" t="s">
        <v>1334</v>
      </c>
      <c r="U1345" s="53"/>
      <c r="V1345" s="25">
        <f>IFERROR(VLOOKUP(BCP_Soles[[#This Row],[destinatario]],CHOOSE({1,2},Clientes_Proveedores[Razon Social],Clientes_Proveedores[Ruc / Dni]),2,0),"")</f>
        <v>20100055237</v>
      </c>
      <c r="W1345" s="25" t="s">
        <v>2228</v>
      </c>
      <c r="X1345" s="25" t="s">
        <v>2717</v>
      </c>
      <c r="Y1345" s="25"/>
      <c r="Z1345" s="75"/>
      <c r="AA1345" s="3" t="str">
        <f>IF(BCP_Soles[[#This Row],[fecha]]&gt;0,TEXT(BCP_Soles[[#This Row],[fecha]],"mmmm"),0)</f>
        <v>Abril</v>
      </c>
    </row>
    <row r="1346" spans="1:27" x14ac:dyDescent="0.3">
      <c r="A1346" s="2">
        <f>IF(BCP_Soles[[#This Row],[tipo_registro]]="R",COUNTIFS($C$1:$C1345,"R")+1,A1345)</f>
        <v>1007</v>
      </c>
      <c r="B1346" s="19" t="str">
        <f t="shared" si="111"/>
        <v>B-BCP - Soles</v>
      </c>
      <c r="C1346" s="3" t="s">
        <v>1330</v>
      </c>
      <c r="D1346" s="14">
        <v>45762</v>
      </c>
      <c r="E1346" s="5" t="s">
        <v>2269</v>
      </c>
      <c r="F1346" s="5" t="s">
        <v>1336</v>
      </c>
      <c r="G1346" s="6" t="s">
        <v>196</v>
      </c>
      <c r="H1346" s="6" t="s">
        <v>68</v>
      </c>
      <c r="I1346" s="6" t="s">
        <v>2226</v>
      </c>
      <c r="J1346" s="6">
        <v>6232</v>
      </c>
      <c r="K1346" s="7" t="s">
        <v>2227</v>
      </c>
      <c r="L1346" s="8">
        <v>279585</v>
      </c>
      <c r="M1346" s="8" t="str">
        <f t="shared" si="112"/>
        <v>PEN</v>
      </c>
      <c r="N1346" s="13"/>
      <c r="O1346" s="13">
        <v>431.4</v>
      </c>
      <c r="P1346" s="3">
        <f t="shared" si="113"/>
        <v>0</v>
      </c>
      <c r="Q1346" s="3">
        <f t="shared" si="114"/>
        <v>431.4</v>
      </c>
      <c r="R1346" s="3">
        <f t="shared" si="110"/>
        <v>47821.080000000038</v>
      </c>
      <c r="S1346" s="24" t="s">
        <v>1334</v>
      </c>
      <c r="T1346" s="24" t="s">
        <v>1334</v>
      </c>
      <c r="U1346" s="53"/>
      <c r="V1346" s="25">
        <f>IFERROR(VLOOKUP(BCP_Soles[[#This Row],[destinatario]],CHOOSE({1,2},Clientes_Proveedores[Razon Social],Clientes_Proveedores[Ruc / Dni]),2,0),"")</f>
        <v>20100055237</v>
      </c>
      <c r="W1346" s="25" t="s">
        <v>2228</v>
      </c>
      <c r="X1346" s="25" t="s">
        <v>2718</v>
      </c>
      <c r="Y1346" s="25"/>
      <c r="Z1346" s="75"/>
      <c r="AA1346" s="3" t="str">
        <f>IF(BCP_Soles[[#This Row],[fecha]]&gt;0,TEXT(BCP_Soles[[#This Row],[fecha]],"mmmm"),0)</f>
        <v>Abril</v>
      </c>
    </row>
    <row r="1347" spans="1:27" x14ac:dyDescent="0.3">
      <c r="A1347" s="2">
        <f>IF(BCP_Soles[[#This Row],[tipo_registro]]="R",COUNTIFS($C$1:$C1346,"R")+1,A1346)</f>
        <v>1008</v>
      </c>
      <c r="B1347" s="19" t="str">
        <f t="shared" si="111"/>
        <v>B-BCP - Soles</v>
      </c>
      <c r="C1347" s="3" t="s">
        <v>1330</v>
      </c>
      <c r="D1347" s="14">
        <v>45762</v>
      </c>
      <c r="E1347" s="5" t="s">
        <v>2269</v>
      </c>
      <c r="F1347" s="5" t="s">
        <v>1336</v>
      </c>
      <c r="G1347" s="6" t="s">
        <v>196</v>
      </c>
      <c r="H1347" s="6" t="s">
        <v>68</v>
      </c>
      <c r="I1347" s="6" t="s">
        <v>2226</v>
      </c>
      <c r="J1347" s="6">
        <v>6226</v>
      </c>
      <c r="K1347" s="7" t="s">
        <v>2227</v>
      </c>
      <c r="L1347" s="8">
        <v>277173</v>
      </c>
      <c r="M1347" s="8" t="str">
        <f t="shared" si="112"/>
        <v>PEN</v>
      </c>
      <c r="N1347" s="13"/>
      <c r="O1347" s="13">
        <v>621.6</v>
      </c>
      <c r="P1347" s="3">
        <f t="shared" si="113"/>
        <v>0</v>
      </c>
      <c r="Q1347" s="3">
        <f t="shared" si="114"/>
        <v>621.6</v>
      </c>
      <c r="R1347" s="3">
        <f t="shared" si="110"/>
        <v>47199.48000000004</v>
      </c>
      <c r="S1347" s="24" t="s">
        <v>1334</v>
      </c>
      <c r="T1347" s="24" t="s">
        <v>1334</v>
      </c>
      <c r="U1347" s="53"/>
      <c r="V1347" s="25">
        <f>IFERROR(VLOOKUP(BCP_Soles[[#This Row],[destinatario]],CHOOSE({1,2},Clientes_Proveedores[Razon Social],Clientes_Proveedores[Ruc / Dni]),2,0),"")</f>
        <v>20100055237</v>
      </c>
      <c r="W1347" s="25" t="s">
        <v>2228</v>
      </c>
      <c r="X1347" s="25" t="s">
        <v>2719</v>
      </c>
      <c r="Y1347" s="25"/>
      <c r="Z1347" s="75"/>
      <c r="AA1347" s="3" t="str">
        <f>IF(BCP_Soles[[#This Row],[fecha]]&gt;0,TEXT(BCP_Soles[[#This Row],[fecha]],"mmmm"),0)</f>
        <v>Abril</v>
      </c>
    </row>
    <row r="1348" spans="1:27" x14ac:dyDescent="0.3">
      <c r="A1348" s="2">
        <f>IF(BCP_Soles[[#This Row],[tipo_registro]]="R",COUNTIFS($C$1:$C1347,"R")+1,A1347)</f>
        <v>1009</v>
      </c>
      <c r="B1348" s="19" t="str">
        <f t="shared" si="111"/>
        <v>B-BCP - Soles</v>
      </c>
      <c r="C1348" s="3" t="s">
        <v>1330</v>
      </c>
      <c r="D1348" s="14">
        <v>45762</v>
      </c>
      <c r="E1348" s="5" t="s">
        <v>2269</v>
      </c>
      <c r="F1348" s="5" t="s">
        <v>1336</v>
      </c>
      <c r="G1348" s="6" t="s">
        <v>196</v>
      </c>
      <c r="H1348" s="6" t="s">
        <v>68</v>
      </c>
      <c r="I1348" s="6" t="s">
        <v>2226</v>
      </c>
      <c r="J1348" s="6">
        <v>6227</v>
      </c>
      <c r="K1348" s="7" t="s">
        <v>2227</v>
      </c>
      <c r="L1348" s="8">
        <v>278159</v>
      </c>
      <c r="M1348" s="8" t="str">
        <f t="shared" si="112"/>
        <v>PEN</v>
      </c>
      <c r="N1348" s="13"/>
      <c r="O1348" s="13">
        <v>978.68</v>
      </c>
      <c r="P1348" s="3">
        <f t="shared" si="113"/>
        <v>0</v>
      </c>
      <c r="Q1348" s="3">
        <f t="shared" si="114"/>
        <v>978.68</v>
      </c>
      <c r="R1348" s="3">
        <f t="shared" si="110"/>
        <v>46220.800000000039</v>
      </c>
      <c r="S1348" s="24" t="s">
        <v>1334</v>
      </c>
      <c r="T1348" s="24" t="s">
        <v>1334</v>
      </c>
      <c r="U1348" s="53"/>
      <c r="V1348" s="25">
        <f>IFERROR(VLOOKUP(BCP_Soles[[#This Row],[destinatario]],CHOOSE({1,2},Clientes_Proveedores[Razon Social],Clientes_Proveedores[Ruc / Dni]),2,0),"")</f>
        <v>20100055237</v>
      </c>
      <c r="W1348" s="25" t="s">
        <v>2228</v>
      </c>
      <c r="X1348" s="25" t="s">
        <v>2720</v>
      </c>
      <c r="Y1348" s="25"/>
      <c r="Z1348" s="75"/>
      <c r="AA1348" s="3" t="str">
        <f>IF(BCP_Soles[[#This Row],[fecha]]&gt;0,TEXT(BCP_Soles[[#This Row],[fecha]],"mmmm"),0)</f>
        <v>Abril</v>
      </c>
    </row>
    <row r="1349" spans="1:27" x14ac:dyDescent="0.3">
      <c r="A1349" s="2">
        <f>IF(BCP_Soles[[#This Row],[tipo_registro]]="R",COUNTIFS($C$1:$C1348,"R")+1,A1348)</f>
        <v>1010</v>
      </c>
      <c r="B1349" s="19" t="str">
        <f t="shared" si="111"/>
        <v>B-BCP - Soles</v>
      </c>
      <c r="C1349" s="3" t="s">
        <v>1330</v>
      </c>
      <c r="D1349" s="14">
        <v>45762</v>
      </c>
      <c r="E1349" s="5" t="s">
        <v>2269</v>
      </c>
      <c r="F1349" s="5" t="s">
        <v>1336</v>
      </c>
      <c r="G1349" s="6"/>
      <c r="H1349" s="6"/>
      <c r="I1349" s="6"/>
      <c r="J1349" s="6"/>
      <c r="K1349" s="7" t="s">
        <v>2721</v>
      </c>
      <c r="L1349" s="8">
        <v>1013572</v>
      </c>
      <c r="M1349" s="8" t="str">
        <f t="shared" si="112"/>
        <v>PEN</v>
      </c>
      <c r="N1349" s="13"/>
      <c r="O1349" s="13">
        <v>1329</v>
      </c>
      <c r="P1349" s="3">
        <f t="shared" si="113"/>
        <v>0</v>
      </c>
      <c r="Q1349" s="3">
        <f t="shared" si="114"/>
        <v>1329</v>
      </c>
      <c r="R1349" s="3">
        <f t="shared" si="110"/>
        <v>44891.800000000039</v>
      </c>
      <c r="S1349" s="24"/>
      <c r="T1349" s="24"/>
      <c r="U1349" s="53"/>
      <c r="V1349" s="25" t="str">
        <f>IFERROR(VLOOKUP(BCP_Soles[[#This Row],[destinatario]],CHOOSE({1,2},Clientes_Proveedores[Razon Social],Clientes_Proveedores[Ruc / Dni]),2,0),"")</f>
        <v/>
      </c>
      <c r="W1349" s="25" t="s">
        <v>2666</v>
      </c>
      <c r="X1349" s="25"/>
      <c r="Y1349" s="25"/>
      <c r="Z1349" s="75"/>
      <c r="AA1349" s="3" t="str">
        <f>IF(BCP_Soles[[#This Row],[fecha]]&gt;0,TEXT(BCP_Soles[[#This Row],[fecha]],"mmmm"),0)</f>
        <v>Abril</v>
      </c>
    </row>
    <row r="1350" spans="1:27" x14ac:dyDescent="0.3">
      <c r="A1350" s="2">
        <f>IF(BCP_Soles[[#This Row],[tipo_registro]]="R",COUNTIFS($C$1:$C1349,"R")+1,A1349)</f>
        <v>1011</v>
      </c>
      <c r="B1350" s="19" t="str">
        <f t="shared" si="111"/>
        <v>B-BCP - Soles</v>
      </c>
      <c r="C1350" s="3" t="s">
        <v>1330</v>
      </c>
      <c r="D1350" s="14">
        <v>45762</v>
      </c>
      <c r="E1350" s="5" t="s">
        <v>1421</v>
      </c>
      <c r="F1350" s="5" t="s">
        <v>1336</v>
      </c>
      <c r="G1350" s="6" t="s">
        <v>809</v>
      </c>
      <c r="H1350" s="6" t="s">
        <v>143</v>
      </c>
      <c r="I1350" s="6">
        <v>1</v>
      </c>
      <c r="J1350" s="6">
        <v>782025</v>
      </c>
      <c r="K1350" s="7" t="s">
        <v>1582</v>
      </c>
      <c r="L1350" s="8">
        <v>1000465</v>
      </c>
      <c r="M1350" s="8" t="str">
        <f t="shared" si="112"/>
        <v>PEN</v>
      </c>
      <c r="N1350" s="13"/>
      <c r="O1350" s="13">
        <v>2796.19</v>
      </c>
      <c r="P1350" s="3">
        <f t="shared" si="113"/>
        <v>0</v>
      </c>
      <c r="Q1350" s="3">
        <f t="shared" si="114"/>
        <v>2796.19</v>
      </c>
      <c r="R1350" s="3">
        <f t="shared" si="110"/>
        <v>42095.610000000037</v>
      </c>
      <c r="S1350" s="24"/>
      <c r="T1350" s="24" t="s">
        <v>1334</v>
      </c>
      <c r="U1350" s="53"/>
      <c r="V1350" s="25">
        <f>IFERROR(VLOOKUP(BCP_Soles[[#This Row],[destinatario]],CHOOSE({1,2},Clientes_Proveedores[Razon Social],Clientes_Proveedores[Ruc / Dni]),2,0),"")</f>
        <v>45286301</v>
      </c>
      <c r="W1350" s="25"/>
      <c r="X1350" s="25"/>
      <c r="Y1350" s="25"/>
      <c r="Z1350" s="75"/>
      <c r="AA1350" s="3" t="str">
        <f>IF(BCP_Soles[[#This Row],[fecha]]&gt;0,TEXT(BCP_Soles[[#This Row],[fecha]],"mmmm"),0)</f>
        <v>Abril</v>
      </c>
    </row>
    <row r="1351" spans="1:27" x14ac:dyDescent="0.3">
      <c r="A1351" s="2">
        <f>IF(BCP_Soles[[#This Row],[tipo_registro]]="R",COUNTIFS($C$1:$C1350,"R")+1,A1350)</f>
        <v>1012</v>
      </c>
      <c r="B1351" s="19" t="str">
        <f t="shared" si="111"/>
        <v>B-BCP - Soles</v>
      </c>
      <c r="C1351" s="3" t="s">
        <v>1330</v>
      </c>
      <c r="D1351" s="14">
        <v>45762</v>
      </c>
      <c r="E1351" s="5" t="s">
        <v>2269</v>
      </c>
      <c r="F1351" s="5" t="s">
        <v>1336</v>
      </c>
      <c r="G1351" s="6" t="s">
        <v>696</v>
      </c>
      <c r="H1351" s="6"/>
      <c r="I1351" s="6"/>
      <c r="J1351" s="6"/>
      <c r="K1351" s="7" t="s">
        <v>2722</v>
      </c>
      <c r="L1351" s="8">
        <v>4724563</v>
      </c>
      <c r="M1351" s="8" t="str">
        <f t="shared" si="112"/>
        <v>PEN</v>
      </c>
      <c r="N1351" s="13"/>
      <c r="O1351" s="13">
        <v>3604.26</v>
      </c>
      <c r="P1351" s="3">
        <f t="shared" si="113"/>
        <v>0</v>
      </c>
      <c r="Q1351" s="3">
        <f t="shared" si="114"/>
        <v>3604.26</v>
      </c>
      <c r="R1351" s="3">
        <f t="shared" si="110"/>
        <v>38491.350000000035</v>
      </c>
      <c r="S1351" s="24" t="s">
        <v>1334</v>
      </c>
      <c r="T1351" s="24" t="s">
        <v>1334</v>
      </c>
      <c r="U1351" s="53"/>
      <c r="V1351" s="25">
        <f>IFERROR(VLOOKUP(BCP_Soles[[#This Row],[destinatario]],CHOOSE({1,2},Clientes_Proveedores[Razon Social],Clientes_Proveedores[Ruc / Dni]),2,0),"")</f>
        <v>0</v>
      </c>
      <c r="W1351" s="25" t="s">
        <v>1373</v>
      </c>
      <c r="X1351" s="25"/>
      <c r="Y1351" s="25"/>
      <c r="Z1351" s="75"/>
      <c r="AA1351" s="3" t="str">
        <f>IF(BCP_Soles[[#This Row],[fecha]]&gt;0,TEXT(BCP_Soles[[#This Row],[fecha]],"mmmm"),0)</f>
        <v>Abril</v>
      </c>
    </row>
    <row r="1352" spans="1:27" x14ac:dyDescent="0.3">
      <c r="A1352" s="2">
        <f>IF(BCP_Soles[[#This Row],[tipo_registro]]="R",COUNTIFS($C$1:$C1351,"R")+1,A1351)</f>
        <v>1013</v>
      </c>
      <c r="B1352" s="19" t="str">
        <f t="shared" si="111"/>
        <v>B-BCP - Soles</v>
      </c>
      <c r="C1352" s="3" t="s">
        <v>1330</v>
      </c>
      <c r="D1352" s="14">
        <v>45763</v>
      </c>
      <c r="E1352" s="5" t="s">
        <v>1335</v>
      </c>
      <c r="F1352" s="5" t="s">
        <v>1336</v>
      </c>
      <c r="G1352" s="6"/>
      <c r="H1352" s="6"/>
      <c r="I1352" s="6"/>
      <c r="J1352" s="6"/>
      <c r="K1352" s="7" t="s">
        <v>1337</v>
      </c>
      <c r="L1352" s="8"/>
      <c r="M1352" s="8" t="str">
        <f t="shared" si="112"/>
        <v>PEN</v>
      </c>
      <c r="N1352" s="13"/>
      <c r="O1352" s="13">
        <v>0.4</v>
      </c>
      <c r="P1352" s="3">
        <f t="shared" si="113"/>
        <v>0</v>
      </c>
      <c r="Q1352" s="3">
        <f t="shared" si="114"/>
        <v>0.4</v>
      </c>
      <c r="R1352" s="3">
        <f t="shared" si="110"/>
        <v>38490.950000000033</v>
      </c>
      <c r="S1352" s="24"/>
      <c r="T1352" s="24" t="s">
        <v>1334</v>
      </c>
      <c r="U1352" s="53"/>
      <c r="V1352" s="25" t="str">
        <f>IFERROR(VLOOKUP(BCP_Soles[[#This Row],[destinatario]],CHOOSE({1,2},Clientes_Proveedores[Razon Social],Clientes_Proveedores[Ruc / Dni]),2,0),"")</f>
        <v/>
      </c>
      <c r="W1352" s="25"/>
      <c r="X1352" s="25"/>
      <c r="Y1352" s="25"/>
      <c r="Z1352" s="75"/>
      <c r="AA1352" s="3" t="str">
        <f>IF(BCP_Soles[[#This Row],[fecha]]&gt;0,TEXT(BCP_Soles[[#This Row],[fecha]],"mmmm"),0)</f>
        <v>Abril</v>
      </c>
    </row>
    <row r="1353" spans="1:27" ht="24" x14ac:dyDescent="0.3">
      <c r="A1353" s="2">
        <f>IF(BCP_Soles[[#This Row],[tipo_registro]]="R",COUNTIFS($C$1:$C1352,"R")+1,A1352)</f>
        <v>1014</v>
      </c>
      <c r="B1353" s="19" t="str">
        <f t="shared" si="111"/>
        <v>B-BCP - Soles</v>
      </c>
      <c r="C1353" s="3" t="s">
        <v>1330</v>
      </c>
      <c r="D1353" s="14">
        <v>45763</v>
      </c>
      <c r="E1353" s="5" t="s">
        <v>2269</v>
      </c>
      <c r="F1353" s="5" t="s">
        <v>1336</v>
      </c>
      <c r="G1353" s="6" t="s">
        <v>726</v>
      </c>
      <c r="H1353" s="6" t="s">
        <v>68</v>
      </c>
      <c r="I1353" s="6" t="s">
        <v>1376</v>
      </c>
      <c r="J1353" s="6">
        <v>1716</v>
      </c>
      <c r="K1353" s="7" t="s">
        <v>2723</v>
      </c>
      <c r="L1353" s="8">
        <v>1120482</v>
      </c>
      <c r="M1353" s="8" t="str">
        <f t="shared" si="112"/>
        <v>PEN</v>
      </c>
      <c r="N1353" s="13"/>
      <c r="O1353" s="13">
        <v>5900</v>
      </c>
      <c r="P1353" s="3">
        <f t="shared" si="113"/>
        <v>0</v>
      </c>
      <c r="Q1353" s="3">
        <f t="shared" si="114"/>
        <v>5900</v>
      </c>
      <c r="R1353" s="3">
        <f t="shared" ref="R1353:R1416" si="115">IFERROR(IF(F1353="SALDO",P1353,R1352+P1353-Q1353),0)</f>
        <v>32590.950000000033</v>
      </c>
      <c r="S1353" s="24" t="s">
        <v>1334</v>
      </c>
      <c r="T1353" s="24" t="s">
        <v>1334</v>
      </c>
      <c r="U1353" s="53"/>
      <c r="V1353" s="25">
        <f>IFERROR(VLOOKUP(BCP_Soles[[#This Row],[destinatario]],CHOOSE({1,2},Clientes_Proveedores[Razon Social],Clientes_Proveedores[Ruc / Dni]),2,0),"")</f>
        <v>20601423058</v>
      </c>
      <c r="W1353" s="25" t="s">
        <v>2636</v>
      </c>
      <c r="X1353" s="25" t="s">
        <v>2724</v>
      </c>
      <c r="Y1353" s="25"/>
      <c r="Z1353" s="75"/>
      <c r="AA1353" s="3" t="str">
        <f>IF(BCP_Soles[[#This Row],[fecha]]&gt;0,TEXT(BCP_Soles[[#This Row],[fecha]],"mmmm"),0)</f>
        <v>Abril</v>
      </c>
    </row>
    <row r="1354" spans="1:27" ht="24" x14ac:dyDescent="0.3">
      <c r="A1354" s="2">
        <f>IF(BCP_Soles[[#This Row],[tipo_registro]]="R",COUNTIFS($C$1:$C1353,"R")+1,A1353)</f>
        <v>1015</v>
      </c>
      <c r="B1354" s="19" t="str">
        <f t="shared" si="111"/>
        <v>B-BCP - Soles</v>
      </c>
      <c r="C1354" s="3" t="s">
        <v>1330</v>
      </c>
      <c r="D1354" s="14">
        <v>45763</v>
      </c>
      <c r="E1354" s="5" t="s">
        <v>2269</v>
      </c>
      <c r="F1354" s="5" t="s">
        <v>1336</v>
      </c>
      <c r="G1354" s="148" t="s">
        <v>895</v>
      </c>
      <c r="H1354" s="6"/>
      <c r="I1354" s="6"/>
      <c r="J1354" s="6"/>
      <c r="K1354" s="7" t="s">
        <v>2725</v>
      </c>
      <c r="L1354" s="8">
        <v>1287812</v>
      </c>
      <c r="M1354" s="8" t="str">
        <f t="shared" si="112"/>
        <v>PEN</v>
      </c>
      <c r="N1354" s="13"/>
      <c r="O1354" s="13">
        <v>1967.1</v>
      </c>
      <c r="P1354" s="3">
        <f t="shared" si="113"/>
        <v>0</v>
      </c>
      <c r="Q1354" s="3">
        <f t="shared" si="114"/>
        <v>1967.1</v>
      </c>
      <c r="R1354" s="3">
        <f t="shared" si="115"/>
        <v>30623.850000000035</v>
      </c>
      <c r="S1354" s="24"/>
      <c r="T1354" s="24" t="s">
        <v>1334</v>
      </c>
      <c r="U1354" s="53"/>
      <c r="V1354" s="25">
        <f>IFERROR(VLOOKUP(BCP_Soles[[#This Row],[destinatario]],CHOOSE({1,2},Clientes_Proveedores[Razon Social],Clientes_Proveedores[Ruc / Dni]),2,0),"")</f>
        <v>72144092</v>
      </c>
      <c r="W1354" s="25" t="s">
        <v>895</v>
      </c>
      <c r="X1354" s="25"/>
      <c r="Y1354" s="25"/>
      <c r="Z1354" s="75"/>
      <c r="AA1354" s="3" t="str">
        <f>IF(BCP_Soles[[#This Row],[fecha]]&gt;0,TEXT(BCP_Soles[[#This Row],[fecha]],"mmmm"),0)</f>
        <v>Abril</v>
      </c>
    </row>
    <row r="1355" spans="1:27" ht="24" x14ac:dyDescent="0.3">
      <c r="A1355" s="2">
        <f>IF(BCP_Soles[[#This Row],[tipo_registro]]="R",COUNTIFS($C$1:$C1354,"R")+1,A1354)</f>
        <v>1016</v>
      </c>
      <c r="B1355" s="19" t="str">
        <f t="shared" si="111"/>
        <v>B-BCP - Soles</v>
      </c>
      <c r="C1355" s="3" t="s">
        <v>1330</v>
      </c>
      <c r="D1355" s="14">
        <v>45763</v>
      </c>
      <c r="E1355" s="5" t="s">
        <v>2269</v>
      </c>
      <c r="F1355" s="5" t="s">
        <v>1336</v>
      </c>
      <c r="G1355" s="6" t="s">
        <v>888</v>
      </c>
      <c r="H1355" s="6" t="s">
        <v>147</v>
      </c>
      <c r="I1355" s="6">
        <v>13</v>
      </c>
      <c r="J1355" s="6">
        <v>30</v>
      </c>
      <c r="K1355" s="7" t="s">
        <v>2726</v>
      </c>
      <c r="L1355" s="8">
        <v>1120967</v>
      </c>
      <c r="M1355" s="8" t="str">
        <f t="shared" si="112"/>
        <v>PEN</v>
      </c>
      <c r="N1355" s="13"/>
      <c r="O1355" s="13">
        <v>1165</v>
      </c>
      <c r="P1355" s="3">
        <f t="shared" si="113"/>
        <v>0</v>
      </c>
      <c r="Q1355" s="3">
        <f t="shared" si="114"/>
        <v>1165</v>
      </c>
      <c r="R1355" s="3">
        <f t="shared" si="115"/>
        <v>29458.850000000035</v>
      </c>
      <c r="S1355" s="24"/>
      <c r="T1355" s="24" t="s">
        <v>1334</v>
      </c>
      <c r="U1355" s="53"/>
      <c r="V1355" s="25">
        <f>IFERROR(VLOOKUP(BCP_Soles[[#This Row],[destinatario]],CHOOSE({1,2},Clientes_Proveedores[Razon Social],Clientes_Proveedores[Ruc / Dni]),2,0),"")</f>
        <v>47461440</v>
      </c>
      <c r="W1355" s="25"/>
      <c r="X1355" s="25"/>
      <c r="Y1355" s="25"/>
      <c r="Z1355" s="75"/>
      <c r="AA1355" s="3" t="str">
        <f>IF(BCP_Soles[[#This Row],[fecha]]&gt;0,TEXT(BCP_Soles[[#This Row],[fecha]],"mmmm"),0)</f>
        <v>Abril</v>
      </c>
    </row>
    <row r="1356" spans="1:27" ht="24" x14ac:dyDescent="0.3">
      <c r="A1356" s="2">
        <f>IF(BCP_Soles[[#This Row],[tipo_registro]]="R",COUNTIFS($C$1:$C1355,"R")+1,A1355)</f>
        <v>1017</v>
      </c>
      <c r="B1356" s="19" t="str">
        <f t="shared" si="111"/>
        <v>B-BCP - Soles</v>
      </c>
      <c r="C1356" s="3" t="s">
        <v>1330</v>
      </c>
      <c r="D1356" s="14">
        <v>45763</v>
      </c>
      <c r="E1356" s="5" t="s">
        <v>2269</v>
      </c>
      <c r="F1356" s="5" t="s">
        <v>1336</v>
      </c>
      <c r="G1356" s="6" t="s">
        <v>708</v>
      </c>
      <c r="H1356" s="6" t="s">
        <v>106</v>
      </c>
      <c r="I1356" s="6" t="s">
        <v>1661</v>
      </c>
      <c r="J1356" s="6">
        <v>532989532</v>
      </c>
      <c r="K1356" s="7" t="s">
        <v>1659</v>
      </c>
      <c r="L1356" s="168">
        <v>122948</v>
      </c>
      <c r="M1356" s="8" t="str">
        <f t="shared" si="112"/>
        <v>PEN</v>
      </c>
      <c r="N1356" s="13"/>
      <c r="O1356" s="169">
        <v>1071.47</v>
      </c>
      <c r="P1356" s="3">
        <f t="shared" si="113"/>
        <v>0</v>
      </c>
      <c r="Q1356" s="3">
        <f t="shared" si="114"/>
        <v>1071.47</v>
      </c>
      <c r="R1356" s="3">
        <f t="shared" si="115"/>
        <v>28387.380000000034</v>
      </c>
      <c r="S1356" s="24" t="s">
        <v>1334</v>
      </c>
      <c r="T1356" s="24" t="s">
        <v>1334</v>
      </c>
      <c r="U1356" s="53"/>
      <c r="V1356" s="25">
        <f>IFERROR(VLOOKUP(BCP_Soles[[#This Row],[destinatario]],CHOOSE({1,2},Clientes_Proveedores[Razon Social],Clientes_Proveedores[Ruc / Dni]),2,0),"")</f>
        <v>20467534026</v>
      </c>
      <c r="W1356" s="25" t="s">
        <v>1657</v>
      </c>
      <c r="X1356" s="25" t="s">
        <v>2727</v>
      </c>
      <c r="Y1356" s="25"/>
      <c r="Z1356" s="75"/>
      <c r="AA1356" s="3" t="str">
        <f>IF(BCP_Soles[[#This Row],[fecha]]&gt;0,TEXT(BCP_Soles[[#This Row],[fecha]],"mmmm"),0)</f>
        <v>Abril</v>
      </c>
    </row>
    <row r="1357" spans="1:27" ht="24" x14ac:dyDescent="0.3">
      <c r="A1357" s="2">
        <f>IF(BCP_Soles[[#This Row],[tipo_registro]]="R",COUNTIFS($C$1:$C1356,"R")+1,A1356)</f>
        <v>1017</v>
      </c>
      <c r="B1357" s="19" t="str">
        <f>"B-BCP - Soles"</f>
        <v>B-BCP - Soles</v>
      </c>
      <c r="C1357" s="3" t="s">
        <v>1352</v>
      </c>
      <c r="D1357" s="14">
        <v>45763</v>
      </c>
      <c r="E1357" s="5" t="s">
        <v>2269</v>
      </c>
      <c r="F1357" s="5" t="s">
        <v>1336</v>
      </c>
      <c r="G1357" s="6" t="s">
        <v>708</v>
      </c>
      <c r="H1357" s="6" t="s">
        <v>106</v>
      </c>
      <c r="I1357" s="6" t="s">
        <v>1661</v>
      </c>
      <c r="J1357" s="6">
        <v>532989532</v>
      </c>
      <c r="K1357" s="7" t="s">
        <v>1659</v>
      </c>
      <c r="L1357" s="8">
        <v>122948</v>
      </c>
      <c r="M1357" s="8" t="str">
        <f>"PEN"</f>
        <v>PEN</v>
      </c>
      <c r="N1357" s="3">
        <v>778.25</v>
      </c>
      <c r="O1357" s="3"/>
      <c r="P1357" s="3">
        <f>+IF(OR($F1357="SALDO",$F1357="INGRESO"),$O1357,0)</f>
        <v>0</v>
      </c>
      <c r="Q1357" s="3">
        <f>+IF($F1357="EGRESO",$O1357,0)</f>
        <v>0</v>
      </c>
      <c r="R1357" s="3">
        <f t="shared" si="115"/>
        <v>28387.380000000034</v>
      </c>
      <c r="S1357" s="24" t="s">
        <v>1334</v>
      </c>
      <c r="T1357" s="24" t="s">
        <v>1334</v>
      </c>
      <c r="U1357" s="53"/>
      <c r="V1357" s="25">
        <f>IFERROR(VLOOKUP(BCP_Soles[[#This Row],[destinatario]],CHOOSE({1,2},Clientes_Proveedores[Razon Social],Clientes_Proveedores[Ruc / Dni]),2,0),"")</f>
        <v>20467534026</v>
      </c>
      <c r="W1357" s="25"/>
      <c r="X1357" s="25"/>
      <c r="Y1357" s="25"/>
      <c r="Z1357" s="75"/>
      <c r="AA1357" s="3" t="str">
        <f>IF(BCP_Soles[[#This Row],[fecha]]&gt;0,TEXT(BCP_Soles[[#This Row],[fecha]],"mmmm"),0)</f>
        <v>Abril</v>
      </c>
    </row>
    <row r="1358" spans="1:27" ht="24" x14ac:dyDescent="0.3">
      <c r="A1358" s="2">
        <f>IF(BCP_Soles[[#This Row],[tipo_registro]]="R",COUNTIFS($C$1:$C1357,"R")+1,A1357)</f>
        <v>1017</v>
      </c>
      <c r="B1358" s="19" t="str">
        <f>"B-BCP - Soles"</f>
        <v>B-BCP - Soles</v>
      </c>
      <c r="C1358" s="3" t="s">
        <v>1352</v>
      </c>
      <c r="D1358" s="14">
        <v>45763</v>
      </c>
      <c r="E1358" s="5" t="s">
        <v>2269</v>
      </c>
      <c r="F1358" s="5" t="s">
        <v>1336</v>
      </c>
      <c r="G1358" s="6" t="s">
        <v>708</v>
      </c>
      <c r="H1358" s="6" t="s">
        <v>68</v>
      </c>
      <c r="I1358" s="6" t="s">
        <v>1662</v>
      </c>
      <c r="J1358" s="6">
        <v>88790</v>
      </c>
      <c r="K1358" s="7" t="s">
        <v>2728</v>
      </c>
      <c r="L1358" s="8">
        <v>122948</v>
      </c>
      <c r="M1358" s="8" t="str">
        <f>"PEN"</f>
        <v>PEN</v>
      </c>
      <c r="N1358" s="3">
        <v>293.22000000000003</v>
      </c>
      <c r="O1358" s="3"/>
      <c r="P1358" s="3">
        <f>+IF(OR($F1358="SALDO",$F1358="INGRESO"),$O1358,0)</f>
        <v>0</v>
      </c>
      <c r="Q1358" s="3">
        <f>+IF($F1358="EGRESO",$O1358,0)</f>
        <v>0</v>
      </c>
      <c r="R1358" s="3">
        <f t="shared" si="115"/>
        <v>28387.380000000034</v>
      </c>
      <c r="S1358" s="24" t="s">
        <v>1334</v>
      </c>
      <c r="T1358" s="24" t="s">
        <v>1334</v>
      </c>
      <c r="U1358" s="53"/>
      <c r="V1358" s="25">
        <f>IFERROR(VLOOKUP(BCP_Soles[[#This Row],[destinatario]],CHOOSE({1,2},Clientes_Proveedores[Razon Social],Clientes_Proveedores[Ruc / Dni]),2,0),"")</f>
        <v>20467534026</v>
      </c>
      <c r="W1358" s="25"/>
      <c r="X1358" s="25"/>
      <c r="Y1358" s="25"/>
      <c r="Z1358" s="75"/>
      <c r="AA1358" s="3" t="str">
        <f>IF(BCP_Soles[[#This Row],[fecha]]&gt;0,TEXT(BCP_Soles[[#This Row],[fecha]],"mmmm"),0)</f>
        <v>Abril</v>
      </c>
    </row>
    <row r="1359" spans="1:27" ht="24" x14ac:dyDescent="0.3">
      <c r="A1359" s="2">
        <f>IF(BCP_Soles[[#This Row],[tipo_registro]]="R",COUNTIFS($C$1:$C1358,"R")+1,A1358)</f>
        <v>1018</v>
      </c>
      <c r="B1359" s="19" t="str">
        <f t="shared" si="111"/>
        <v>B-BCP - Soles</v>
      </c>
      <c r="C1359" s="3" t="s">
        <v>1330</v>
      </c>
      <c r="D1359" s="14">
        <v>45763</v>
      </c>
      <c r="E1359" s="5" t="s">
        <v>2269</v>
      </c>
      <c r="F1359" s="5" t="s">
        <v>1336</v>
      </c>
      <c r="G1359" s="6" t="s">
        <v>918</v>
      </c>
      <c r="H1359" s="6"/>
      <c r="I1359" s="6"/>
      <c r="J1359" s="6"/>
      <c r="K1359" s="7" t="s">
        <v>2729</v>
      </c>
      <c r="L1359" s="8">
        <v>1123889</v>
      </c>
      <c r="M1359" s="8" t="str">
        <f t="shared" si="112"/>
        <v>PEN</v>
      </c>
      <c r="N1359" s="13"/>
      <c r="O1359" s="13">
        <v>630</v>
      </c>
      <c r="P1359" s="3">
        <f t="shared" si="113"/>
        <v>0</v>
      </c>
      <c r="Q1359" s="3">
        <f t="shared" si="114"/>
        <v>630</v>
      </c>
      <c r="R1359" s="3">
        <f t="shared" si="115"/>
        <v>27757.380000000034</v>
      </c>
      <c r="S1359" s="24"/>
      <c r="T1359" s="24" t="s">
        <v>1334</v>
      </c>
      <c r="U1359" s="53"/>
      <c r="V1359" s="25">
        <f>IFERROR(VLOOKUP(BCP_Soles[[#This Row],[destinatario]],CHOOSE({1,2},Clientes_Proveedores[Razon Social],Clientes_Proveedores[Ruc / Dni]),2,0),"")</f>
        <v>48536654</v>
      </c>
      <c r="W1359" s="25" t="s">
        <v>918</v>
      </c>
      <c r="X1359" s="25"/>
      <c r="Y1359" s="25"/>
      <c r="Z1359" s="75"/>
      <c r="AA1359" s="3" t="str">
        <f>IF(BCP_Soles[[#This Row],[fecha]]&gt;0,TEXT(BCP_Soles[[#This Row],[fecha]],"mmmm"),0)</f>
        <v>Abril</v>
      </c>
    </row>
    <row r="1360" spans="1:27" ht="24" x14ac:dyDescent="0.3">
      <c r="A1360" s="2">
        <f>IF(BCP_Soles[[#This Row],[tipo_registro]]="R",COUNTIFS($C$1:$C1359,"R")+1,A1359)</f>
        <v>1019</v>
      </c>
      <c r="B1360" s="19" t="str">
        <f t="shared" si="111"/>
        <v>B-BCP - Soles</v>
      </c>
      <c r="C1360" s="3" t="s">
        <v>1330</v>
      </c>
      <c r="D1360" s="14">
        <v>45763</v>
      </c>
      <c r="E1360" s="5" t="s">
        <v>2269</v>
      </c>
      <c r="F1360" s="5" t="s">
        <v>1336</v>
      </c>
      <c r="G1360" s="6" t="s">
        <v>876</v>
      </c>
      <c r="H1360" s="6"/>
      <c r="I1360" s="6"/>
      <c r="J1360" s="6"/>
      <c r="K1360" s="7" t="s">
        <v>2730</v>
      </c>
      <c r="L1360" s="8">
        <v>1123888</v>
      </c>
      <c r="M1360" s="8" t="str">
        <f t="shared" si="112"/>
        <v>PEN</v>
      </c>
      <c r="N1360" s="13"/>
      <c r="O1360" s="13">
        <v>600</v>
      </c>
      <c r="P1360" s="3">
        <f t="shared" si="113"/>
        <v>0</v>
      </c>
      <c r="Q1360" s="3">
        <f t="shared" si="114"/>
        <v>600</v>
      </c>
      <c r="R1360" s="3">
        <f t="shared" si="115"/>
        <v>27157.380000000034</v>
      </c>
      <c r="S1360" s="24"/>
      <c r="T1360" s="24" t="s">
        <v>1334</v>
      </c>
      <c r="U1360" s="53"/>
      <c r="V1360" s="25">
        <f>IFERROR(VLOOKUP(BCP_Soles[[#This Row],[destinatario]],CHOOSE({1,2},Clientes_Proveedores[Razon Social],Clientes_Proveedores[Ruc / Dni]),2,0),"")</f>
        <v>1829028</v>
      </c>
      <c r="W1360" s="25" t="s">
        <v>1594</v>
      </c>
      <c r="X1360" s="25"/>
      <c r="Y1360" s="25"/>
      <c r="Z1360" s="75"/>
      <c r="AA1360" s="3" t="str">
        <f>IF(BCP_Soles[[#This Row],[fecha]]&gt;0,TEXT(BCP_Soles[[#This Row],[fecha]],"mmmm"),0)</f>
        <v>Abril</v>
      </c>
    </row>
    <row r="1361" spans="1:27" ht="24" x14ac:dyDescent="0.3">
      <c r="A1361" s="2">
        <f>IF(BCP_Soles[[#This Row],[tipo_registro]]="R",COUNTIFS($C$1:$C1360,"R")+1,A1360)</f>
        <v>1020</v>
      </c>
      <c r="B1361" s="19" t="str">
        <f t="shared" si="111"/>
        <v>B-BCP - Soles</v>
      </c>
      <c r="C1361" s="3" t="s">
        <v>1330</v>
      </c>
      <c r="D1361" s="14">
        <v>45763</v>
      </c>
      <c r="E1361" s="5" t="s">
        <v>1338</v>
      </c>
      <c r="F1361" s="5" t="s">
        <v>1336</v>
      </c>
      <c r="G1361" s="6" t="s">
        <v>672</v>
      </c>
      <c r="H1361" s="6" t="s">
        <v>68</v>
      </c>
      <c r="I1361" s="6" t="s">
        <v>1376</v>
      </c>
      <c r="J1361" s="6">
        <v>511</v>
      </c>
      <c r="K1361" s="7" t="s">
        <v>2731</v>
      </c>
      <c r="L1361" s="8">
        <v>1121462</v>
      </c>
      <c r="M1361" s="8" t="str">
        <f t="shared" si="112"/>
        <v>PEN</v>
      </c>
      <c r="N1361" s="13"/>
      <c r="O1361" s="13">
        <v>566</v>
      </c>
      <c r="P1361" s="3">
        <f t="shared" si="113"/>
        <v>0</v>
      </c>
      <c r="Q1361" s="3">
        <f t="shared" si="114"/>
        <v>566</v>
      </c>
      <c r="R1361" s="3">
        <f t="shared" si="115"/>
        <v>26591.380000000034</v>
      </c>
      <c r="S1361" s="24" t="s">
        <v>1334</v>
      </c>
      <c r="T1361" s="24" t="s">
        <v>1334</v>
      </c>
      <c r="U1361" s="53"/>
      <c r="V1361" s="25">
        <f>IFERROR(VLOOKUP(BCP_Soles[[#This Row],[destinatario]],CHOOSE({1,2},Clientes_Proveedores[Razon Social],Clientes_Proveedores[Ruc / Dni]),2,0),"")</f>
        <v>10439205666</v>
      </c>
      <c r="W1361" s="25" t="s">
        <v>672</v>
      </c>
      <c r="X1361" s="25" t="s">
        <v>2732</v>
      </c>
      <c r="Y1361" s="25"/>
      <c r="Z1361" s="75"/>
      <c r="AA1361" s="3" t="str">
        <f>IF(BCP_Soles[[#This Row],[fecha]]&gt;0,TEXT(BCP_Soles[[#This Row],[fecha]],"mmmm"),0)</f>
        <v>Abril</v>
      </c>
    </row>
    <row r="1362" spans="1:27" ht="24" x14ac:dyDescent="0.3">
      <c r="A1362" s="2">
        <f>IF(BCP_Soles[[#This Row],[tipo_registro]]="R",COUNTIFS($C$1:$C1361,"R")+1,A1361)</f>
        <v>1021</v>
      </c>
      <c r="B1362" s="19" t="str">
        <f t="shared" si="111"/>
        <v>B-BCP - Soles</v>
      </c>
      <c r="C1362" s="3" t="s">
        <v>1330</v>
      </c>
      <c r="D1362" s="14">
        <v>45763</v>
      </c>
      <c r="E1362" s="5" t="s">
        <v>2269</v>
      </c>
      <c r="F1362" s="5" t="s">
        <v>1336</v>
      </c>
      <c r="G1362" s="6" t="s">
        <v>1022</v>
      </c>
      <c r="H1362" s="6"/>
      <c r="I1362" s="6"/>
      <c r="J1362" s="6"/>
      <c r="K1362" s="7" t="s">
        <v>2733</v>
      </c>
      <c r="L1362" s="8">
        <v>1123437</v>
      </c>
      <c r="M1362" s="8" t="str">
        <f t="shared" si="112"/>
        <v>PEN</v>
      </c>
      <c r="N1362" s="13"/>
      <c r="O1362" s="13">
        <v>400</v>
      </c>
      <c r="P1362" s="3">
        <f t="shared" si="113"/>
        <v>0</v>
      </c>
      <c r="Q1362" s="3">
        <f t="shared" si="114"/>
        <v>400</v>
      </c>
      <c r="R1362" s="3">
        <f t="shared" si="115"/>
        <v>26191.380000000034</v>
      </c>
      <c r="S1362" s="24"/>
      <c r="T1362" s="24" t="s">
        <v>1334</v>
      </c>
      <c r="U1362" s="53"/>
      <c r="V1362" s="25">
        <f>IFERROR(VLOOKUP(BCP_Soles[[#This Row],[destinatario]],CHOOSE({1,2},Clientes_Proveedores[Razon Social],Clientes_Proveedores[Ruc / Dni]),2,0),"")</f>
        <v>73376012</v>
      </c>
      <c r="W1362" s="25" t="s">
        <v>1022</v>
      </c>
      <c r="X1362" s="25"/>
      <c r="Y1362" s="25"/>
      <c r="Z1362" s="75"/>
      <c r="AA1362" s="3" t="str">
        <f>IF(BCP_Soles[[#This Row],[fecha]]&gt;0,TEXT(BCP_Soles[[#This Row],[fecha]],"mmmm"),0)</f>
        <v>Abril</v>
      </c>
    </row>
    <row r="1363" spans="1:27" ht="24" x14ac:dyDescent="0.3">
      <c r="A1363" s="2">
        <f>IF(BCP_Soles[[#This Row],[tipo_registro]]="R",COUNTIFS($C$1:$C1362,"R")+1,A1362)</f>
        <v>1022</v>
      </c>
      <c r="B1363" s="19" t="str">
        <f t="shared" ref="B1363:B1426" si="116">"B-BCP - Soles"</f>
        <v>B-BCP - Soles</v>
      </c>
      <c r="C1363" s="3" t="s">
        <v>1330</v>
      </c>
      <c r="D1363" s="14">
        <v>45763</v>
      </c>
      <c r="E1363" s="5" t="s">
        <v>2269</v>
      </c>
      <c r="F1363" s="5" t="s">
        <v>1336</v>
      </c>
      <c r="G1363" s="6" t="s">
        <v>703</v>
      </c>
      <c r="H1363" s="6" t="s">
        <v>106</v>
      </c>
      <c r="I1363" s="6" t="s">
        <v>1484</v>
      </c>
      <c r="J1363" s="6">
        <v>29714126</v>
      </c>
      <c r="K1363" s="7" t="s">
        <v>1561</v>
      </c>
      <c r="L1363" s="8">
        <v>120965</v>
      </c>
      <c r="M1363" s="8" t="str">
        <f t="shared" ref="M1363:M1426" si="117">"PEN"</f>
        <v>PEN</v>
      </c>
      <c r="N1363" s="13"/>
      <c r="O1363" s="13">
        <v>363.9</v>
      </c>
      <c r="P1363" s="3">
        <f t="shared" ref="P1363:P1426" si="118">+IF(OR($F1363="SALDO",$F1363="INGRESO"),$O1363,0)</f>
        <v>0</v>
      </c>
      <c r="Q1363" s="3">
        <f t="shared" ref="Q1363:Q1426" si="119">+IF($F1363="EGRESO",$O1363,0)</f>
        <v>363.9</v>
      </c>
      <c r="R1363" s="3">
        <f t="shared" si="115"/>
        <v>25827.480000000032</v>
      </c>
      <c r="S1363" s="24" t="s">
        <v>1334</v>
      </c>
      <c r="T1363" s="24" t="s">
        <v>1334</v>
      </c>
      <c r="U1363" s="53"/>
      <c r="V1363" s="25">
        <f>IFERROR(VLOOKUP(BCP_Soles[[#This Row],[destinatario]],CHOOSE({1,2},Clientes_Proveedores[Razon Social],Clientes_Proveedores[Ruc / Dni]),2,0),"")</f>
        <v>20100188628</v>
      </c>
      <c r="W1363" s="25" t="s">
        <v>1486</v>
      </c>
      <c r="X1363" s="25" t="s">
        <v>2734</v>
      </c>
      <c r="Y1363" s="25"/>
      <c r="Z1363" s="75"/>
      <c r="AA1363" s="3" t="str">
        <f>IF(BCP_Soles[[#This Row],[fecha]]&gt;0,TEXT(BCP_Soles[[#This Row],[fecha]],"mmmm"),0)</f>
        <v>Abril</v>
      </c>
    </row>
    <row r="1364" spans="1:27" ht="24" x14ac:dyDescent="0.3">
      <c r="A1364" s="2">
        <f>IF(BCP_Soles[[#This Row],[tipo_registro]]="R",COUNTIFS($C$1:$C1363,"R")+1,A1363)</f>
        <v>1023</v>
      </c>
      <c r="B1364" s="19" t="str">
        <f t="shared" si="116"/>
        <v>B-BCP - Soles</v>
      </c>
      <c r="C1364" s="3" t="s">
        <v>1330</v>
      </c>
      <c r="D1364" s="14">
        <v>45763</v>
      </c>
      <c r="E1364" s="5" t="s">
        <v>2269</v>
      </c>
      <c r="F1364" s="5" t="s">
        <v>1336</v>
      </c>
      <c r="G1364" s="6" t="s">
        <v>866</v>
      </c>
      <c r="H1364" s="6"/>
      <c r="I1364" s="6"/>
      <c r="J1364" s="6"/>
      <c r="K1364" s="7" t="s">
        <v>2735</v>
      </c>
      <c r="L1364" s="8">
        <v>1123439</v>
      </c>
      <c r="M1364" s="8" t="str">
        <f t="shared" si="117"/>
        <v>PEN</v>
      </c>
      <c r="N1364" s="13"/>
      <c r="O1364" s="13">
        <v>200</v>
      </c>
      <c r="P1364" s="3">
        <f t="shared" si="118"/>
        <v>0</v>
      </c>
      <c r="Q1364" s="3">
        <f t="shared" si="119"/>
        <v>200</v>
      </c>
      <c r="R1364" s="3">
        <f t="shared" si="115"/>
        <v>25627.480000000032</v>
      </c>
      <c r="S1364" s="24"/>
      <c r="T1364" s="24" t="s">
        <v>1334</v>
      </c>
      <c r="U1364" s="53"/>
      <c r="V1364" s="25">
        <f>IFERROR(VLOOKUP(BCP_Soles[[#This Row],[destinatario]],CHOOSE({1,2},Clientes_Proveedores[Razon Social],Clientes_Proveedores[Ruc / Dni]),2,0),"")</f>
        <v>45921913</v>
      </c>
      <c r="W1364" s="25" t="s">
        <v>866</v>
      </c>
      <c r="X1364" s="25"/>
      <c r="Y1364" s="25"/>
      <c r="Z1364" s="75"/>
      <c r="AA1364" s="3" t="str">
        <f>IF(BCP_Soles[[#This Row],[fecha]]&gt;0,TEXT(BCP_Soles[[#This Row],[fecha]],"mmmm"),0)</f>
        <v>Abril</v>
      </c>
    </row>
    <row r="1365" spans="1:27" ht="24" x14ac:dyDescent="0.3">
      <c r="A1365" s="2">
        <f>IF(BCP_Soles[[#This Row],[tipo_registro]]="R",COUNTIFS($C$1:$C1364,"R")+1,A1364)</f>
        <v>1024</v>
      </c>
      <c r="B1365" s="19" t="str">
        <f t="shared" si="116"/>
        <v>B-BCP - Soles</v>
      </c>
      <c r="C1365" s="3" t="s">
        <v>1330</v>
      </c>
      <c r="D1365" s="14">
        <v>45763</v>
      </c>
      <c r="E1365" s="5" t="s">
        <v>1338</v>
      </c>
      <c r="F1365" s="5" t="s">
        <v>1336</v>
      </c>
      <c r="G1365" s="6" t="s">
        <v>1014</v>
      </c>
      <c r="H1365" s="6"/>
      <c r="I1365" s="6"/>
      <c r="J1365" s="6"/>
      <c r="K1365" s="7" t="s">
        <v>2736</v>
      </c>
      <c r="L1365" s="8">
        <v>1120483</v>
      </c>
      <c r="M1365" s="8" t="str">
        <f t="shared" si="117"/>
        <v>PEN</v>
      </c>
      <c r="N1365" s="13"/>
      <c r="O1365" s="13">
        <v>200</v>
      </c>
      <c r="P1365" s="3">
        <f t="shared" si="118"/>
        <v>0</v>
      </c>
      <c r="Q1365" s="3">
        <f t="shared" si="119"/>
        <v>200</v>
      </c>
      <c r="R1365" s="3">
        <f t="shared" si="115"/>
        <v>25427.480000000032</v>
      </c>
      <c r="S1365" s="24"/>
      <c r="T1365" s="24" t="s">
        <v>1334</v>
      </c>
      <c r="U1365" s="53"/>
      <c r="V1365" s="25">
        <f>IFERROR(VLOOKUP(BCP_Soles[[#This Row],[destinatario]],CHOOSE({1,2},Clientes_Proveedores[Razon Social],Clientes_Proveedores[Ruc / Dni]),2,0),"")</f>
        <v>75560789</v>
      </c>
      <c r="W1365" s="25" t="s">
        <v>1014</v>
      </c>
      <c r="X1365" s="25"/>
      <c r="Y1365" s="25"/>
      <c r="Z1365" s="75"/>
      <c r="AA1365" s="3" t="str">
        <f>IF(BCP_Soles[[#This Row],[fecha]]&gt;0,TEXT(BCP_Soles[[#This Row],[fecha]],"mmmm"),0)</f>
        <v>Abril</v>
      </c>
    </row>
    <row r="1366" spans="1:27" ht="24" x14ac:dyDescent="0.3">
      <c r="A1366" s="2">
        <f>IF(BCP_Soles[[#This Row],[tipo_registro]]="R",COUNTIFS($C$1:$C1365,"R")+1,A1365)</f>
        <v>1025</v>
      </c>
      <c r="B1366" s="19" t="str">
        <f t="shared" si="116"/>
        <v>B-BCP - Soles</v>
      </c>
      <c r="C1366" s="3" t="s">
        <v>1330</v>
      </c>
      <c r="D1366" s="14">
        <v>45763</v>
      </c>
      <c r="E1366" s="5" t="s">
        <v>1338</v>
      </c>
      <c r="F1366" s="5" t="s">
        <v>1336</v>
      </c>
      <c r="G1366" s="6" t="s">
        <v>873</v>
      </c>
      <c r="H1366" s="6"/>
      <c r="I1366" s="6"/>
      <c r="J1366" s="6"/>
      <c r="K1366" s="7" t="s">
        <v>2737</v>
      </c>
      <c r="L1366" s="8">
        <v>1121461</v>
      </c>
      <c r="M1366" s="8" t="str">
        <f t="shared" si="117"/>
        <v>PEN</v>
      </c>
      <c r="N1366" s="13"/>
      <c r="O1366" s="13">
        <v>150</v>
      </c>
      <c r="P1366" s="3">
        <f t="shared" si="118"/>
        <v>0</v>
      </c>
      <c r="Q1366" s="3">
        <f t="shared" si="119"/>
        <v>150</v>
      </c>
      <c r="R1366" s="3">
        <f t="shared" si="115"/>
        <v>25277.480000000032</v>
      </c>
      <c r="S1366" s="24"/>
      <c r="T1366" s="24" t="s">
        <v>1334</v>
      </c>
      <c r="U1366" s="53"/>
      <c r="V1366" s="25">
        <f>IFERROR(VLOOKUP(BCP_Soles[[#This Row],[destinatario]],CHOOSE({1,2},Clientes_Proveedores[Razon Social],Clientes_Proveedores[Ruc / Dni]),2,0),"")</f>
        <v>80355193</v>
      </c>
      <c r="W1366" s="25" t="s">
        <v>1598</v>
      </c>
      <c r="X1366" s="25"/>
      <c r="Y1366" s="25"/>
      <c r="Z1366" s="75"/>
      <c r="AA1366" s="3" t="str">
        <f>IF(BCP_Soles[[#This Row],[fecha]]&gt;0,TEXT(BCP_Soles[[#This Row],[fecha]],"mmmm"),0)</f>
        <v>Abril</v>
      </c>
    </row>
    <row r="1367" spans="1:27" ht="24" x14ac:dyDescent="0.3">
      <c r="A1367" s="2">
        <f>IF(BCP_Soles[[#This Row],[tipo_registro]]="R",COUNTIFS($C$1:$C1366,"R")+1,A1366)</f>
        <v>1026</v>
      </c>
      <c r="B1367" s="19" t="str">
        <f t="shared" si="116"/>
        <v>B-BCP - Soles</v>
      </c>
      <c r="C1367" s="3" t="s">
        <v>1330</v>
      </c>
      <c r="D1367" s="14">
        <v>45763</v>
      </c>
      <c r="E1367" s="5" t="s">
        <v>1338</v>
      </c>
      <c r="F1367" s="5" t="s">
        <v>1336</v>
      </c>
      <c r="G1367" s="6" t="s">
        <v>703</v>
      </c>
      <c r="H1367" s="6" t="s">
        <v>106</v>
      </c>
      <c r="I1367" s="6" t="s">
        <v>1484</v>
      </c>
      <c r="J1367" s="6">
        <v>29714066</v>
      </c>
      <c r="K1367" s="7" t="s">
        <v>1485</v>
      </c>
      <c r="L1367" s="8">
        <v>120966</v>
      </c>
      <c r="M1367" s="8" t="str">
        <f t="shared" si="117"/>
        <v>PEN</v>
      </c>
      <c r="N1367" s="13"/>
      <c r="O1367" s="13">
        <v>136.6</v>
      </c>
      <c r="P1367" s="3">
        <f t="shared" si="118"/>
        <v>0</v>
      </c>
      <c r="Q1367" s="3">
        <f t="shared" si="119"/>
        <v>136.6</v>
      </c>
      <c r="R1367" s="3">
        <f t="shared" si="115"/>
        <v>25140.880000000034</v>
      </c>
      <c r="S1367" s="24" t="s">
        <v>1334</v>
      </c>
      <c r="T1367" s="24" t="s">
        <v>1334</v>
      </c>
      <c r="U1367" s="53"/>
      <c r="V1367" s="25">
        <f>IFERROR(VLOOKUP(BCP_Soles[[#This Row],[destinatario]],CHOOSE({1,2},Clientes_Proveedores[Razon Social],Clientes_Proveedores[Ruc / Dni]),2,0),"")</f>
        <v>20100188628</v>
      </c>
      <c r="W1367" s="25" t="s">
        <v>1486</v>
      </c>
      <c r="X1367" s="25" t="s">
        <v>2738</v>
      </c>
      <c r="Y1367" s="25"/>
      <c r="Z1367" s="75"/>
      <c r="AA1367" s="3" t="str">
        <f>IF(BCP_Soles[[#This Row],[fecha]]&gt;0,TEXT(BCP_Soles[[#This Row],[fecha]],"mmmm"),0)</f>
        <v>Abril</v>
      </c>
    </row>
    <row r="1368" spans="1:27" ht="24" x14ac:dyDescent="0.3">
      <c r="A1368" s="2">
        <f>IF(BCP_Soles[[#This Row],[tipo_registro]]="R",COUNTIFS($C$1:$C1367,"R")+1,A1367)</f>
        <v>1027</v>
      </c>
      <c r="B1368" s="19" t="str">
        <f t="shared" si="116"/>
        <v>B-BCP - Soles</v>
      </c>
      <c r="C1368" s="3" t="s">
        <v>1330</v>
      </c>
      <c r="D1368" s="14">
        <v>45763</v>
      </c>
      <c r="E1368" s="5" t="s">
        <v>2269</v>
      </c>
      <c r="F1368" s="5" t="s">
        <v>1336</v>
      </c>
      <c r="G1368" s="6" t="s">
        <v>249</v>
      </c>
      <c r="H1368" s="6"/>
      <c r="I1368" s="6"/>
      <c r="J1368" s="6"/>
      <c r="K1368" s="7" t="s">
        <v>2716</v>
      </c>
      <c r="L1368" s="8">
        <v>1287378</v>
      </c>
      <c r="M1368" s="8" t="str">
        <f t="shared" si="117"/>
        <v>PEN</v>
      </c>
      <c r="N1368" s="13"/>
      <c r="O1368" s="13">
        <v>125.55</v>
      </c>
      <c r="P1368" s="3">
        <f t="shared" si="118"/>
        <v>0</v>
      </c>
      <c r="Q1368" s="3">
        <f t="shared" si="119"/>
        <v>125.55</v>
      </c>
      <c r="R1368" s="3">
        <f t="shared" si="115"/>
        <v>25015.330000000034</v>
      </c>
      <c r="S1368" s="24"/>
      <c r="T1368" s="24"/>
      <c r="U1368" s="53"/>
      <c r="V1368" s="25">
        <f>IFERROR(VLOOKUP(BCP_Soles[[#This Row],[destinatario]],CHOOSE({1,2},Clientes_Proveedores[Razon Social],Clientes_Proveedores[Ruc / Dni]),2,0),"")</f>
        <v>20302891452</v>
      </c>
      <c r="W1368" s="25" t="s">
        <v>249</v>
      </c>
      <c r="X1368" s="25"/>
      <c r="Y1368" s="25"/>
      <c r="Z1368" s="75"/>
      <c r="AA1368" s="3" t="str">
        <f>IF(BCP_Soles[[#This Row],[fecha]]&gt;0,TEXT(BCP_Soles[[#This Row],[fecha]],"mmmm"),0)</f>
        <v>Abril</v>
      </c>
    </row>
    <row r="1369" spans="1:27" ht="24" x14ac:dyDescent="0.3">
      <c r="A1369" s="2">
        <f>IF(BCP_Soles[[#This Row],[tipo_registro]]="R",COUNTIFS($C$1:$C1368,"R")+1,A1368)</f>
        <v>1028</v>
      </c>
      <c r="B1369" s="19" t="str">
        <f t="shared" si="116"/>
        <v>B-BCP - Soles</v>
      </c>
      <c r="C1369" s="3" t="s">
        <v>1330</v>
      </c>
      <c r="D1369" s="14">
        <v>45763</v>
      </c>
      <c r="E1369" s="5" t="s">
        <v>1338</v>
      </c>
      <c r="F1369" s="5" t="s">
        <v>1336</v>
      </c>
      <c r="G1369" s="6" t="s">
        <v>163</v>
      </c>
      <c r="H1369" s="6" t="s">
        <v>68</v>
      </c>
      <c r="I1369" s="6" t="s">
        <v>1376</v>
      </c>
      <c r="J1369" s="6">
        <v>265</v>
      </c>
      <c r="K1369" s="7" t="s">
        <v>2739</v>
      </c>
      <c r="L1369" s="8">
        <v>1285405</v>
      </c>
      <c r="M1369" s="8" t="str">
        <f t="shared" si="117"/>
        <v>PEN</v>
      </c>
      <c r="N1369" s="13"/>
      <c r="O1369" s="13">
        <v>60</v>
      </c>
      <c r="P1369" s="3">
        <f t="shared" si="118"/>
        <v>0</v>
      </c>
      <c r="Q1369" s="3">
        <f t="shared" si="119"/>
        <v>60</v>
      </c>
      <c r="R1369" s="3">
        <f t="shared" si="115"/>
        <v>24955.330000000034</v>
      </c>
      <c r="S1369" s="24" t="s">
        <v>1334</v>
      </c>
      <c r="T1369" s="24" t="s">
        <v>1334</v>
      </c>
      <c r="U1369" s="53"/>
      <c r="V1369" s="25">
        <f>IFERROR(VLOOKUP(BCP_Soles[[#This Row],[destinatario]],CHOOSE({1,2},Clientes_Proveedores[Razon Social],Clientes_Proveedores[Ruc / Dni]),2,0),"")</f>
        <v>10416031679</v>
      </c>
      <c r="W1369" s="25" t="s">
        <v>163</v>
      </c>
      <c r="X1369" s="25" t="s">
        <v>2740</v>
      </c>
      <c r="Y1369" s="25"/>
      <c r="Z1369" s="75"/>
      <c r="AA1369" s="3" t="str">
        <f>IF(BCP_Soles[[#This Row],[fecha]]&gt;0,TEXT(BCP_Soles[[#This Row],[fecha]],"mmmm"),0)</f>
        <v>Abril</v>
      </c>
    </row>
    <row r="1370" spans="1:27" ht="24" x14ac:dyDescent="0.3">
      <c r="A1370" s="2">
        <f>IF(BCP_Soles[[#This Row],[tipo_registro]]="R",COUNTIFS($C$1:$C1369,"R")+1,A1369)</f>
        <v>1029</v>
      </c>
      <c r="B1370" s="19" t="str">
        <f t="shared" si="116"/>
        <v>B-BCP - Soles</v>
      </c>
      <c r="C1370" s="3" t="s">
        <v>1330</v>
      </c>
      <c r="D1370" s="14">
        <v>45763</v>
      </c>
      <c r="E1370" s="5" t="s">
        <v>2269</v>
      </c>
      <c r="F1370" s="5" t="s">
        <v>1336</v>
      </c>
      <c r="G1370" s="6" t="s">
        <v>249</v>
      </c>
      <c r="H1370" s="6"/>
      <c r="I1370" s="6"/>
      <c r="J1370" s="6"/>
      <c r="K1370" s="7" t="s">
        <v>2741</v>
      </c>
      <c r="L1370" s="8">
        <v>1287377</v>
      </c>
      <c r="M1370" s="8" t="str">
        <f t="shared" si="117"/>
        <v>PEN</v>
      </c>
      <c r="N1370" s="13"/>
      <c r="O1370" s="13">
        <v>40.71</v>
      </c>
      <c r="P1370" s="3">
        <f t="shared" si="118"/>
        <v>0</v>
      </c>
      <c r="Q1370" s="3">
        <f t="shared" si="119"/>
        <v>40.71</v>
      </c>
      <c r="R1370" s="3">
        <f t="shared" si="115"/>
        <v>24914.620000000035</v>
      </c>
      <c r="S1370" s="24"/>
      <c r="T1370" s="24"/>
      <c r="U1370" s="53"/>
      <c r="V1370" s="25">
        <f>IFERROR(VLOOKUP(BCP_Soles[[#This Row],[destinatario]],CHOOSE({1,2},Clientes_Proveedores[Razon Social],Clientes_Proveedores[Ruc / Dni]),2,0),"")</f>
        <v>20302891452</v>
      </c>
      <c r="W1370" s="25" t="s">
        <v>249</v>
      </c>
      <c r="X1370" s="25"/>
      <c r="Y1370" s="25"/>
      <c r="Z1370" s="75"/>
      <c r="AA1370" s="3" t="str">
        <f>IF(BCP_Soles[[#This Row],[fecha]]&gt;0,TEXT(BCP_Soles[[#This Row],[fecha]],"mmmm"),0)</f>
        <v>Abril</v>
      </c>
    </row>
    <row r="1371" spans="1:27" ht="24" x14ac:dyDescent="0.3">
      <c r="A1371" s="2">
        <f>IF(BCP_Soles[[#This Row],[tipo_registro]]="R",COUNTIFS($C$1:$C1370,"R")+1,A1370)</f>
        <v>1030</v>
      </c>
      <c r="B1371" s="19" t="str">
        <f t="shared" si="116"/>
        <v>B-BCP - Soles</v>
      </c>
      <c r="C1371" s="3" t="s">
        <v>1330</v>
      </c>
      <c r="D1371" s="14">
        <v>45763</v>
      </c>
      <c r="E1371" s="5" t="s">
        <v>2269</v>
      </c>
      <c r="F1371" s="5" t="s">
        <v>1336</v>
      </c>
      <c r="G1371" s="6" t="s">
        <v>708</v>
      </c>
      <c r="H1371" s="6" t="s">
        <v>68</v>
      </c>
      <c r="I1371" s="6" t="s">
        <v>1655</v>
      </c>
      <c r="J1371" s="6">
        <v>281848</v>
      </c>
      <c r="K1371" s="7" t="s">
        <v>2742</v>
      </c>
      <c r="L1371" s="8">
        <v>122465</v>
      </c>
      <c r="M1371" s="8" t="str">
        <f t="shared" si="117"/>
        <v>PEN</v>
      </c>
      <c r="N1371" s="13"/>
      <c r="O1371" s="13">
        <v>36.58</v>
      </c>
      <c r="P1371" s="3">
        <f t="shared" si="118"/>
        <v>0</v>
      </c>
      <c r="Q1371" s="3">
        <f t="shared" si="119"/>
        <v>36.58</v>
      </c>
      <c r="R1371" s="3">
        <f t="shared" si="115"/>
        <v>24878.040000000034</v>
      </c>
      <c r="S1371" s="24" t="s">
        <v>1334</v>
      </c>
      <c r="T1371" s="24" t="s">
        <v>1334</v>
      </c>
      <c r="U1371" s="53"/>
      <c r="V1371" s="25">
        <f>IFERROR(VLOOKUP(BCP_Soles[[#This Row],[destinatario]],CHOOSE({1,2},Clientes_Proveedores[Razon Social],Clientes_Proveedores[Ruc / Dni]),2,0),"")</f>
        <v>20467534026</v>
      </c>
      <c r="W1371" s="25" t="s">
        <v>1657</v>
      </c>
      <c r="X1371" s="25" t="s">
        <v>2469</v>
      </c>
      <c r="Y1371" s="25"/>
      <c r="Z1371" s="75"/>
      <c r="AA1371" s="3" t="str">
        <f>IF(BCP_Soles[[#This Row],[fecha]]&gt;0,TEXT(BCP_Soles[[#This Row],[fecha]],"mmmm"),0)</f>
        <v>Abril</v>
      </c>
    </row>
    <row r="1372" spans="1:27" ht="24" x14ac:dyDescent="0.3">
      <c r="A1372" s="2">
        <f>IF(BCP_Soles[[#This Row],[tipo_registro]]="R",COUNTIFS($C$1:$C1371,"R")+1,A1371)</f>
        <v>1031</v>
      </c>
      <c r="B1372" s="19" t="str">
        <f t="shared" si="116"/>
        <v>B-BCP - Soles</v>
      </c>
      <c r="C1372" s="3" t="s">
        <v>1330</v>
      </c>
      <c r="D1372" s="14">
        <v>45763</v>
      </c>
      <c r="E1372" s="5" t="s">
        <v>2269</v>
      </c>
      <c r="F1372" s="5" t="s">
        <v>1336</v>
      </c>
      <c r="G1372" s="6" t="s">
        <v>706</v>
      </c>
      <c r="H1372" s="6" t="s">
        <v>106</v>
      </c>
      <c r="I1372" s="6" t="s">
        <v>1489</v>
      </c>
      <c r="J1372" s="6">
        <v>58049</v>
      </c>
      <c r="K1372" s="7" t="s">
        <v>1567</v>
      </c>
      <c r="L1372" s="8">
        <v>4122947</v>
      </c>
      <c r="M1372" s="8" t="str">
        <f t="shared" si="117"/>
        <v>PEN</v>
      </c>
      <c r="N1372" s="13"/>
      <c r="O1372" s="13">
        <v>18.899999999999999</v>
      </c>
      <c r="P1372" s="3">
        <f t="shared" si="118"/>
        <v>0</v>
      </c>
      <c r="Q1372" s="3">
        <f t="shared" si="119"/>
        <v>18.899999999999999</v>
      </c>
      <c r="R1372" s="3">
        <f t="shared" si="115"/>
        <v>24859.140000000032</v>
      </c>
      <c r="S1372" s="24" t="s">
        <v>1334</v>
      </c>
      <c r="T1372" s="24" t="s">
        <v>1334</v>
      </c>
      <c r="U1372" s="53"/>
      <c r="V1372" s="25">
        <f>IFERROR(VLOOKUP(BCP_Soles[[#This Row],[destinatario]],CHOOSE({1,2},Clientes_Proveedores[Razon Social],Clientes_Proveedores[Ruc / Dni]),2,0),"")</f>
        <v>20331898008</v>
      </c>
      <c r="W1372" s="25" t="s">
        <v>1568</v>
      </c>
      <c r="X1372" s="25" t="s">
        <v>2743</v>
      </c>
      <c r="Y1372" s="25"/>
      <c r="Z1372" s="75"/>
      <c r="AA1372" s="3" t="str">
        <f>IF(BCP_Soles[[#This Row],[fecha]]&gt;0,TEXT(BCP_Soles[[#This Row],[fecha]],"mmmm"),0)</f>
        <v>Abril</v>
      </c>
    </row>
    <row r="1373" spans="1:27" ht="24" x14ac:dyDescent="0.3">
      <c r="A1373" s="2">
        <f>IF(BCP_Soles[[#This Row],[tipo_registro]]="R",COUNTIFS($C$1:$C1372,"R")+1,A1372)</f>
        <v>1032</v>
      </c>
      <c r="B1373" s="19" t="str">
        <f t="shared" si="116"/>
        <v>B-BCP - Soles</v>
      </c>
      <c r="C1373" s="3" t="s">
        <v>1330</v>
      </c>
      <c r="D1373" s="14">
        <v>45763</v>
      </c>
      <c r="E1373" s="5" t="s">
        <v>2269</v>
      </c>
      <c r="F1373" s="5" t="s">
        <v>1336</v>
      </c>
      <c r="G1373" s="6" t="s">
        <v>704</v>
      </c>
      <c r="H1373" s="6" t="s">
        <v>106</v>
      </c>
      <c r="I1373" s="6" t="s">
        <v>1559</v>
      </c>
      <c r="J1373" s="6">
        <v>5595813</v>
      </c>
      <c r="K1373" s="7" t="s">
        <v>1490</v>
      </c>
      <c r="L1373" s="8">
        <v>4123887</v>
      </c>
      <c r="M1373" s="8" t="str">
        <f t="shared" si="117"/>
        <v>PEN</v>
      </c>
      <c r="N1373" s="13"/>
      <c r="O1373" s="13">
        <v>11.3</v>
      </c>
      <c r="P1373" s="3">
        <f t="shared" si="118"/>
        <v>0</v>
      </c>
      <c r="Q1373" s="3">
        <f t="shared" si="119"/>
        <v>11.3</v>
      </c>
      <c r="R1373" s="3">
        <f t="shared" si="115"/>
        <v>24847.840000000033</v>
      </c>
      <c r="S1373" s="24" t="s">
        <v>1334</v>
      </c>
      <c r="T1373" s="24" t="s">
        <v>1334</v>
      </c>
      <c r="U1373" s="53"/>
      <c r="V1373" s="25">
        <f>IFERROR(VLOOKUP(BCP_Soles[[#This Row],[destinatario]],CHOOSE({1,2},Clientes_Proveedores[Razon Social],Clientes_Proveedores[Ruc / Dni]),2,0),"")</f>
        <v>20100152356</v>
      </c>
      <c r="W1373" s="25" t="s">
        <v>704</v>
      </c>
      <c r="X1373" s="25" t="s">
        <v>2744</v>
      </c>
      <c r="Y1373" s="25"/>
      <c r="Z1373" s="75"/>
      <c r="AA1373" s="3" t="str">
        <f>IF(BCP_Soles[[#This Row],[fecha]]&gt;0,TEXT(BCP_Soles[[#This Row],[fecha]],"mmmm"),0)</f>
        <v>Abril</v>
      </c>
    </row>
    <row r="1374" spans="1:27" x14ac:dyDescent="0.3">
      <c r="A1374" s="2">
        <f>IF(BCP_Soles[[#This Row],[tipo_registro]]="R",COUNTIFS($C$1:$C1373,"R")+1,A1373)</f>
        <v>1033</v>
      </c>
      <c r="B1374" s="19" t="str">
        <f t="shared" si="116"/>
        <v>B-BCP - Soles</v>
      </c>
      <c r="C1374" s="3" t="s">
        <v>1330</v>
      </c>
      <c r="D1374" s="14">
        <v>45763</v>
      </c>
      <c r="E1374" s="5" t="s">
        <v>376</v>
      </c>
      <c r="F1374" s="5" t="s">
        <v>1303</v>
      </c>
      <c r="G1374" s="6" t="s">
        <v>425</v>
      </c>
      <c r="H1374" s="6"/>
      <c r="I1374" s="6"/>
      <c r="J1374" s="6"/>
      <c r="K1374" s="7" t="s">
        <v>1382</v>
      </c>
      <c r="L1374" s="8">
        <v>7438</v>
      </c>
      <c r="M1374" s="8" t="str">
        <f t="shared" si="117"/>
        <v>PEN</v>
      </c>
      <c r="N1374" s="13"/>
      <c r="O1374" s="13">
        <v>839.49</v>
      </c>
      <c r="P1374" s="3">
        <f t="shared" si="118"/>
        <v>839.49</v>
      </c>
      <c r="Q1374" s="3">
        <f t="shared" si="119"/>
        <v>0</v>
      </c>
      <c r="R1374" s="3">
        <f t="shared" si="115"/>
        <v>25687.330000000034</v>
      </c>
      <c r="S1374" s="24" t="s">
        <v>1334</v>
      </c>
      <c r="T1374" s="24" t="s">
        <v>1334</v>
      </c>
      <c r="U1374" s="53"/>
      <c r="V1374" s="25">
        <f>IFERROR(VLOOKUP(BCP_Soles[[#This Row],[destinatario]],CHOOSE({1,2},Clientes_Proveedores[Razon Social],Clientes_Proveedores[Ruc / Dni]),2,0),"")</f>
        <v>20558226979</v>
      </c>
      <c r="W1374" s="25" t="s">
        <v>1345</v>
      </c>
      <c r="X1374" s="25" t="s">
        <v>2745</v>
      </c>
      <c r="Y1374" s="25"/>
      <c r="Z1374" s="75"/>
      <c r="AA1374" s="3" t="str">
        <f>IF(BCP_Soles[[#This Row],[fecha]]&gt;0,TEXT(BCP_Soles[[#This Row],[fecha]],"mmmm"),0)</f>
        <v>Abril</v>
      </c>
    </row>
    <row r="1375" spans="1:27" ht="36" x14ac:dyDescent="0.3">
      <c r="A1375" s="2">
        <f>IF(BCP_Soles[[#This Row],[tipo_registro]]="R",COUNTIFS($C$1:$C1374,"R")+1,A1374)</f>
        <v>1034</v>
      </c>
      <c r="B1375" s="19" t="str">
        <f t="shared" si="116"/>
        <v>B-BCP - Soles</v>
      </c>
      <c r="C1375" s="3" t="s">
        <v>1330</v>
      </c>
      <c r="D1375" s="14">
        <v>45763</v>
      </c>
      <c r="E1375" s="5" t="s">
        <v>1628</v>
      </c>
      <c r="F1375" s="5" t="s">
        <v>1303</v>
      </c>
      <c r="G1375" s="6" t="s">
        <v>425</v>
      </c>
      <c r="H1375" s="6" t="s">
        <v>119</v>
      </c>
      <c r="I1375" s="6">
        <v>2</v>
      </c>
      <c r="J1375" s="6">
        <v>743</v>
      </c>
      <c r="K1375" s="7" t="s">
        <v>1356</v>
      </c>
      <c r="L1375" s="8">
        <v>1451400</v>
      </c>
      <c r="M1375" s="8" t="str">
        <f t="shared" si="117"/>
        <v>PEN</v>
      </c>
      <c r="N1375" s="13"/>
      <c r="O1375" s="13">
        <v>300.7</v>
      </c>
      <c r="P1375" s="3">
        <f t="shared" si="118"/>
        <v>300.7</v>
      </c>
      <c r="Q1375" s="3">
        <f t="shared" si="119"/>
        <v>0</v>
      </c>
      <c r="R1375" s="3">
        <f t="shared" si="115"/>
        <v>25988.030000000035</v>
      </c>
      <c r="S1375" s="24" t="s">
        <v>1334</v>
      </c>
      <c r="T1375" s="24" t="s">
        <v>1334</v>
      </c>
      <c r="U1375" s="53"/>
      <c r="V1375" s="25">
        <f>IFERROR(VLOOKUP(BCP_Soles[[#This Row],[destinatario]],CHOOSE({1,2},Clientes_Proveedores[Razon Social],Clientes_Proveedores[Ruc / Dni]),2,0),"")</f>
        <v>20558226979</v>
      </c>
      <c r="W1375" s="25" t="s">
        <v>1345</v>
      </c>
      <c r="X1375" s="25" t="s">
        <v>2746</v>
      </c>
      <c r="Y1375" s="25"/>
      <c r="Z1375" s="75"/>
      <c r="AA1375" s="3" t="str">
        <f>IF(BCP_Soles[[#This Row],[fecha]]&gt;0,TEXT(BCP_Soles[[#This Row],[fecha]],"mmmm"),0)</f>
        <v>Abril</v>
      </c>
    </row>
    <row r="1376" spans="1:27" ht="24" x14ac:dyDescent="0.3">
      <c r="A1376" s="2">
        <f>IF(BCP_Soles[[#This Row],[tipo_registro]]="R",COUNTIFS($C$1:$C1375,"R")+1,A1375)</f>
        <v>1035</v>
      </c>
      <c r="B1376" s="19" t="str">
        <f t="shared" si="116"/>
        <v>B-BCP - Soles</v>
      </c>
      <c r="C1376" s="3" t="s">
        <v>1330</v>
      </c>
      <c r="D1376" s="14">
        <v>45765</v>
      </c>
      <c r="E1376" s="5" t="s">
        <v>1421</v>
      </c>
      <c r="F1376" s="5" t="s">
        <v>1336</v>
      </c>
      <c r="G1376" s="6" t="s">
        <v>809</v>
      </c>
      <c r="H1376" s="6" t="s">
        <v>143</v>
      </c>
      <c r="I1376" s="6">
        <v>1</v>
      </c>
      <c r="J1376" s="6">
        <v>782025</v>
      </c>
      <c r="K1376" s="7" t="s">
        <v>2747</v>
      </c>
      <c r="L1376" s="8">
        <v>851140</v>
      </c>
      <c r="M1376" s="8" t="str">
        <f t="shared" si="117"/>
        <v>PEN</v>
      </c>
      <c r="N1376" s="13"/>
      <c r="O1376" s="13">
        <v>122</v>
      </c>
      <c r="P1376" s="3">
        <f t="shared" si="118"/>
        <v>0</v>
      </c>
      <c r="Q1376" s="3">
        <f t="shared" si="119"/>
        <v>122</v>
      </c>
      <c r="R1376" s="3">
        <f t="shared" si="115"/>
        <v>25866.030000000035</v>
      </c>
      <c r="S1376" s="24"/>
      <c r="T1376" s="24" t="s">
        <v>1334</v>
      </c>
      <c r="U1376" s="53"/>
      <c r="V1376" s="25">
        <f>IFERROR(VLOOKUP(BCP_Soles[[#This Row],[destinatario]],CHOOSE({1,2},Clientes_Proveedores[Razon Social],Clientes_Proveedores[Ruc / Dni]),2,0),"")</f>
        <v>45286301</v>
      </c>
      <c r="W1376" s="25"/>
      <c r="X1376" s="25" t="s">
        <v>1430</v>
      </c>
      <c r="Y1376" s="25"/>
      <c r="Z1376" s="75"/>
      <c r="AA1376" s="3" t="str">
        <f>IF(BCP_Soles[[#This Row],[fecha]]&gt;0,TEXT(BCP_Soles[[#This Row],[fecha]],"mmmm"),0)</f>
        <v>Abril</v>
      </c>
    </row>
    <row r="1377" spans="1:27" ht="24" x14ac:dyDescent="0.3">
      <c r="A1377" s="2">
        <f>IF(BCP_Soles[[#This Row],[tipo_registro]]="R",COUNTIFS($C$1:$C1376,"R")+1,A1376)</f>
        <v>1036</v>
      </c>
      <c r="B1377" s="19" t="str">
        <f t="shared" si="116"/>
        <v>B-BCP - Soles</v>
      </c>
      <c r="C1377" s="3" t="s">
        <v>1330</v>
      </c>
      <c r="D1377" s="14">
        <v>45768</v>
      </c>
      <c r="E1377" s="5" t="s">
        <v>2748</v>
      </c>
      <c r="F1377" s="5" t="s">
        <v>1303</v>
      </c>
      <c r="G1377" s="6" t="s">
        <v>425</v>
      </c>
      <c r="H1377" s="6" t="s">
        <v>119</v>
      </c>
      <c r="I1377" s="6">
        <v>1</v>
      </c>
      <c r="J1377" s="6">
        <v>4293</v>
      </c>
      <c r="K1377" s="7" t="s">
        <v>1356</v>
      </c>
      <c r="L1377" s="8">
        <v>292978</v>
      </c>
      <c r="M1377" s="8" t="str">
        <f t="shared" si="117"/>
        <v>PEN</v>
      </c>
      <c r="N1377" s="13"/>
      <c r="O1377" s="13">
        <v>200</v>
      </c>
      <c r="P1377" s="3">
        <f t="shared" si="118"/>
        <v>200</v>
      </c>
      <c r="Q1377" s="3">
        <f t="shared" si="119"/>
        <v>0</v>
      </c>
      <c r="R1377" s="3">
        <f t="shared" si="115"/>
        <v>26066.030000000035</v>
      </c>
      <c r="S1377" s="24" t="s">
        <v>1334</v>
      </c>
      <c r="T1377" s="24" t="s">
        <v>1334</v>
      </c>
      <c r="U1377" s="53"/>
      <c r="V1377" s="25">
        <f>IFERROR(VLOOKUP(BCP_Soles[[#This Row],[destinatario]],CHOOSE({1,2},Clientes_Proveedores[Razon Social],Clientes_Proveedores[Ruc / Dni]),2,0),"")</f>
        <v>20558226979</v>
      </c>
      <c r="W1377" s="25" t="s">
        <v>1345</v>
      </c>
      <c r="X1377" s="25" t="s">
        <v>2558</v>
      </c>
      <c r="Y1377" s="25"/>
      <c r="Z1377" s="75"/>
      <c r="AA1377" s="3" t="str">
        <f>IF(BCP_Soles[[#This Row],[fecha]]&gt;0,TEXT(BCP_Soles[[#This Row],[fecha]],"mmmm"),0)</f>
        <v>Abril</v>
      </c>
    </row>
    <row r="1378" spans="1:27" ht="36" x14ac:dyDescent="0.3">
      <c r="A1378" s="2">
        <f>IF(BCP_Soles[[#This Row],[tipo_registro]]="R",COUNTIFS($C$1:$C1377,"R")+1,A1377)</f>
        <v>1037</v>
      </c>
      <c r="B1378" s="19" t="str">
        <f t="shared" si="116"/>
        <v>B-BCP - Soles</v>
      </c>
      <c r="C1378" s="3" t="s">
        <v>1330</v>
      </c>
      <c r="D1378" s="14">
        <v>45768</v>
      </c>
      <c r="E1378" s="5" t="s">
        <v>555</v>
      </c>
      <c r="F1378" s="5" t="s">
        <v>1303</v>
      </c>
      <c r="G1378" s="6" t="s">
        <v>425</v>
      </c>
      <c r="H1378" s="6"/>
      <c r="I1378" s="6"/>
      <c r="J1378" s="6"/>
      <c r="K1378" s="7" t="s">
        <v>1348</v>
      </c>
      <c r="L1378" s="8">
        <v>2158400</v>
      </c>
      <c r="M1378" s="8" t="str">
        <f t="shared" si="117"/>
        <v>PEN</v>
      </c>
      <c r="N1378" s="13"/>
      <c r="O1378" s="13">
        <v>946.92</v>
      </c>
      <c r="P1378" s="3">
        <f t="shared" si="118"/>
        <v>946.92</v>
      </c>
      <c r="Q1378" s="3">
        <f t="shared" si="119"/>
        <v>0</v>
      </c>
      <c r="R1378" s="3">
        <f t="shared" si="115"/>
        <v>27012.950000000033</v>
      </c>
      <c r="S1378" s="24" t="s">
        <v>1334</v>
      </c>
      <c r="T1378" s="24" t="s">
        <v>1334</v>
      </c>
      <c r="U1378" s="53"/>
      <c r="V1378" s="25">
        <f>IFERROR(VLOOKUP(BCP_Soles[[#This Row],[destinatario]],CHOOSE({1,2},Clientes_Proveedores[Razon Social],Clientes_Proveedores[Ruc / Dni]),2,0),"")</f>
        <v>20558226979</v>
      </c>
      <c r="W1378" s="25" t="s">
        <v>1345</v>
      </c>
      <c r="X1378" s="25" t="s">
        <v>2749</v>
      </c>
      <c r="Y1378" s="25"/>
      <c r="Z1378" s="75"/>
      <c r="AA1378" s="3" t="str">
        <f>IF(BCP_Soles[[#This Row],[fecha]]&gt;0,TEXT(BCP_Soles[[#This Row],[fecha]],"mmmm"),0)</f>
        <v>Abril</v>
      </c>
    </row>
    <row r="1379" spans="1:27" x14ac:dyDescent="0.3">
      <c r="A1379" s="2">
        <f>IF(BCP_Soles[[#This Row],[tipo_registro]]="R",COUNTIFS($C$1:$C1378,"R")+1,A1378)</f>
        <v>1038</v>
      </c>
      <c r="B1379" s="19" t="str">
        <f t="shared" si="116"/>
        <v>B-BCP - Soles</v>
      </c>
      <c r="C1379" s="3" t="s">
        <v>1330</v>
      </c>
      <c r="D1379" s="14">
        <v>45768</v>
      </c>
      <c r="E1379" s="5" t="s">
        <v>1335</v>
      </c>
      <c r="F1379" s="5" t="s">
        <v>1336</v>
      </c>
      <c r="G1379" s="6"/>
      <c r="H1379" s="6"/>
      <c r="I1379" s="6"/>
      <c r="J1379" s="6"/>
      <c r="K1379" s="7" t="s">
        <v>1337</v>
      </c>
      <c r="L1379" s="8"/>
      <c r="M1379" s="8" t="str">
        <f t="shared" si="117"/>
        <v>PEN</v>
      </c>
      <c r="N1379" s="13"/>
      <c r="O1379" s="13">
        <v>0.1</v>
      </c>
      <c r="P1379" s="3">
        <f t="shared" si="118"/>
        <v>0</v>
      </c>
      <c r="Q1379" s="3">
        <f t="shared" si="119"/>
        <v>0.1</v>
      </c>
      <c r="R1379" s="3">
        <f t="shared" si="115"/>
        <v>27012.850000000035</v>
      </c>
      <c r="S1379" s="24"/>
      <c r="T1379" s="24" t="s">
        <v>1334</v>
      </c>
      <c r="U1379" s="53"/>
      <c r="V1379" s="25" t="str">
        <f>IFERROR(VLOOKUP(BCP_Soles[[#This Row],[destinatario]],CHOOSE({1,2},Clientes_Proveedores[Razon Social],Clientes_Proveedores[Ruc / Dni]),2,0),"")</f>
        <v/>
      </c>
      <c r="W1379" s="25"/>
      <c r="X1379" s="25"/>
      <c r="Y1379" s="25"/>
      <c r="Z1379" s="75"/>
      <c r="AA1379" s="3" t="str">
        <f>IF(BCP_Soles[[#This Row],[fecha]]&gt;0,TEXT(BCP_Soles[[#This Row],[fecha]],"mmmm"),0)</f>
        <v>Abril</v>
      </c>
    </row>
    <row r="1380" spans="1:27" x14ac:dyDescent="0.3">
      <c r="A1380" s="2">
        <f>IF(BCP_Soles[[#This Row],[tipo_registro]]="R",COUNTIFS($C$1:$C1379,"R")+1,A1379)</f>
        <v>1039</v>
      </c>
      <c r="B1380" s="19" t="str">
        <f t="shared" si="116"/>
        <v>B-BCP - Soles</v>
      </c>
      <c r="C1380" s="3" t="s">
        <v>1330</v>
      </c>
      <c r="D1380" s="14">
        <v>45768</v>
      </c>
      <c r="E1380" s="5" t="s">
        <v>2269</v>
      </c>
      <c r="F1380" s="5" t="s">
        <v>1336</v>
      </c>
      <c r="G1380" s="6" t="s">
        <v>695</v>
      </c>
      <c r="H1380" s="6" t="s">
        <v>68</v>
      </c>
      <c r="I1380" s="6" t="s">
        <v>1715</v>
      </c>
      <c r="J1380" s="6">
        <v>135419</v>
      </c>
      <c r="K1380" s="7" t="s">
        <v>1378</v>
      </c>
      <c r="L1380" s="8">
        <v>241368</v>
      </c>
      <c r="M1380" s="8" t="str">
        <f t="shared" si="117"/>
        <v>PEN</v>
      </c>
      <c r="N1380" s="13"/>
      <c r="O1380" s="13">
        <v>1194.94</v>
      </c>
      <c r="P1380" s="3">
        <f t="shared" si="118"/>
        <v>0</v>
      </c>
      <c r="Q1380" s="3">
        <f t="shared" si="119"/>
        <v>1194.94</v>
      </c>
      <c r="R1380" s="3">
        <f t="shared" si="115"/>
        <v>25817.910000000036</v>
      </c>
      <c r="S1380" s="24" t="s">
        <v>1334</v>
      </c>
      <c r="T1380" s="24" t="s">
        <v>1334</v>
      </c>
      <c r="U1380" s="53"/>
      <c r="V1380" s="25">
        <f>IFERROR(VLOOKUP(BCP_Soles[[#This Row],[destinatario]],CHOOSE({1,2},Clientes_Proveedores[Razon Social],Clientes_Proveedores[Ruc / Dni]),2,0),"")</f>
        <v>20127765279</v>
      </c>
      <c r="W1380" s="25" t="s">
        <v>1379</v>
      </c>
      <c r="X1380" s="25" t="s">
        <v>2750</v>
      </c>
      <c r="Y1380" s="25"/>
      <c r="Z1380" s="75"/>
      <c r="AA1380" s="3" t="str">
        <f>IF(BCP_Soles[[#This Row],[fecha]]&gt;0,TEXT(BCP_Soles[[#This Row],[fecha]],"mmmm"),0)</f>
        <v>Abril</v>
      </c>
    </row>
    <row r="1381" spans="1:27" x14ac:dyDescent="0.3">
      <c r="A1381" s="2">
        <f>IF(BCP_Soles[[#This Row],[tipo_registro]]="R",COUNTIFS($C$1:$C1380,"R")+1,A1380)</f>
        <v>1040</v>
      </c>
      <c r="B1381" s="19" t="str">
        <f t="shared" si="116"/>
        <v>B-BCP - Soles</v>
      </c>
      <c r="C1381" s="3" t="s">
        <v>1330</v>
      </c>
      <c r="D1381" s="14">
        <v>45768</v>
      </c>
      <c r="E1381" s="5" t="s">
        <v>2269</v>
      </c>
      <c r="F1381" s="5" t="s">
        <v>1336</v>
      </c>
      <c r="G1381" s="6" t="s">
        <v>695</v>
      </c>
      <c r="H1381" s="6" t="s">
        <v>68</v>
      </c>
      <c r="I1381" s="6" t="s">
        <v>1377</v>
      </c>
      <c r="J1381" s="6">
        <v>158516</v>
      </c>
      <c r="K1381" s="7" t="s">
        <v>1378</v>
      </c>
      <c r="L1381" s="8">
        <v>242827</v>
      </c>
      <c r="M1381" s="8" t="str">
        <f t="shared" si="117"/>
        <v>PEN</v>
      </c>
      <c r="N1381" s="13"/>
      <c r="O1381" s="13">
        <v>1490.86</v>
      </c>
      <c r="P1381" s="3">
        <f t="shared" si="118"/>
        <v>0</v>
      </c>
      <c r="Q1381" s="3">
        <f t="shared" si="119"/>
        <v>1490.86</v>
      </c>
      <c r="R1381" s="3">
        <f t="shared" si="115"/>
        <v>24327.050000000036</v>
      </c>
      <c r="S1381" s="24" t="s">
        <v>1334</v>
      </c>
      <c r="T1381" s="24" t="s">
        <v>1334</v>
      </c>
      <c r="U1381" s="53"/>
      <c r="V1381" s="25">
        <f>IFERROR(VLOOKUP(BCP_Soles[[#This Row],[destinatario]],CHOOSE({1,2},Clientes_Proveedores[Razon Social],Clientes_Proveedores[Ruc / Dni]),2,0),"")</f>
        <v>20127765279</v>
      </c>
      <c r="W1381" s="25" t="s">
        <v>1379</v>
      </c>
      <c r="X1381" s="25" t="s">
        <v>2751</v>
      </c>
      <c r="Y1381" s="25"/>
      <c r="Z1381" s="75"/>
      <c r="AA1381" s="3" t="str">
        <f>IF(BCP_Soles[[#This Row],[fecha]]&gt;0,TEXT(BCP_Soles[[#This Row],[fecha]],"mmmm"),0)</f>
        <v>Abril</v>
      </c>
    </row>
    <row r="1382" spans="1:27" x14ac:dyDescent="0.3">
      <c r="A1382" s="2">
        <f>IF(BCP_Soles[[#This Row],[tipo_registro]]="R",COUNTIFS($C$1:$C1381,"R")+1,A1381)</f>
        <v>1041</v>
      </c>
      <c r="B1382" s="19" t="str">
        <f t="shared" si="116"/>
        <v>B-BCP - Soles</v>
      </c>
      <c r="C1382" s="3" t="s">
        <v>1330</v>
      </c>
      <c r="D1382" s="14">
        <v>45769</v>
      </c>
      <c r="E1382" s="5" t="s">
        <v>1335</v>
      </c>
      <c r="F1382" s="5" t="s">
        <v>1336</v>
      </c>
      <c r="G1382" s="6"/>
      <c r="H1382" s="6"/>
      <c r="I1382" s="6"/>
      <c r="J1382" s="6"/>
      <c r="K1382" s="7" t="s">
        <v>1337</v>
      </c>
      <c r="L1382" s="8"/>
      <c r="M1382" s="8" t="str">
        <f t="shared" si="117"/>
        <v>PEN</v>
      </c>
      <c r="N1382" s="13"/>
      <c r="O1382" s="13">
        <v>3.1</v>
      </c>
      <c r="P1382" s="3">
        <f t="shared" si="118"/>
        <v>0</v>
      </c>
      <c r="Q1382" s="3">
        <f t="shared" si="119"/>
        <v>3.1</v>
      </c>
      <c r="R1382" s="3">
        <f t="shared" si="115"/>
        <v>24323.950000000037</v>
      </c>
      <c r="S1382" s="24"/>
      <c r="T1382" s="24" t="s">
        <v>1334</v>
      </c>
      <c r="U1382" s="53"/>
      <c r="V1382" s="25" t="str">
        <f>IFERROR(VLOOKUP(BCP_Soles[[#This Row],[destinatario]],CHOOSE({1,2},Clientes_Proveedores[Razon Social],Clientes_Proveedores[Ruc / Dni]),2,0),"")</f>
        <v/>
      </c>
      <c r="W1382" s="25"/>
      <c r="X1382" s="25"/>
      <c r="Y1382" s="25"/>
      <c r="Z1382" s="75"/>
      <c r="AA1382" s="3" t="str">
        <f>IF(BCP_Soles[[#This Row],[fecha]]&gt;0,TEXT(BCP_Soles[[#This Row],[fecha]],"mmmm"),0)</f>
        <v>Abril</v>
      </c>
    </row>
    <row r="1383" spans="1:27" ht="24" x14ac:dyDescent="0.3">
      <c r="A1383" s="2">
        <f>IF(BCP_Soles[[#This Row],[tipo_registro]]="R",COUNTIFS($C$1:$C1382,"R")+1,A1382)</f>
        <v>1042</v>
      </c>
      <c r="B1383" s="19" t="str">
        <f t="shared" si="116"/>
        <v>B-BCP - Soles</v>
      </c>
      <c r="C1383" s="3" t="s">
        <v>1330</v>
      </c>
      <c r="D1383" s="14">
        <v>45769</v>
      </c>
      <c r="E1383" s="5" t="s">
        <v>2269</v>
      </c>
      <c r="F1383" s="5" t="s">
        <v>1336</v>
      </c>
      <c r="G1383" s="6" t="s">
        <v>249</v>
      </c>
      <c r="H1383" s="6"/>
      <c r="I1383" s="6"/>
      <c r="J1383" s="6"/>
      <c r="K1383" s="7" t="s">
        <v>2752</v>
      </c>
      <c r="L1383" s="8">
        <v>1225212</v>
      </c>
      <c r="M1383" s="8" t="str">
        <f t="shared" si="117"/>
        <v>PEN</v>
      </c>
      <c r="N1383" s="13"/>
      <c r="O1383" s="13">
        <v>490.88</v>
      </c>
      <c r="P1383" s="3">
        <f t="shared" si="118"/>
        <v>0</v>
      </c>
      <c r="Q1383" s="3">
        <f t="shared" si="119"/>
        <v>490.88</v>
      </c>
      <c r="R1383" s="3">
        <f t="shared" si="115"/>
        <v>23833.070000000036</v>
      </c>
      <c r="S1383" s="24"/>
      <c r="T1383" s="24"/>
      <c r="U1383" s="53"/>
      <c r="V1383" s="25">
        <f>IFERROR(VLOOKUP(BCP_Soles[[#This Row],[destinatario]],CHOOSE({1,2},Clientes_Proveedores[Razon Social],Clientes_Proveedores[Ruc / Dni]),2,0),"")</f>
        <v>20302891452</v>
      </c>
      <c r="W1383" s="25" t="s">
        <v>249</v>
      </c>
      <c r="X1383" s="25"/>
      <c r="Y1383" s="25"/>
      <c r="Z1383" s="75"/>
      <c r="AA1383" s="3" t="str">
        <f>IF(BCP_Soles[[#This Row],[fecha]]&gt;0,TEXT(BCP_Soles[[#This Row],[fecha]],"mmmm"),0)</f>
        <v>Abril</v>
      </c>
    </row>
    <row r="1384" spans="1:27" ht="24" x14ac:dyDescent="0.3">
      <c r="A1384" s="2">
        <f>IF(BCP_Soles[[#This Row],[tipo_registro]]="R",COUNTIFS($C$1:$C1383,"R")+1,A1383)</f>
        <v>1043</v>
      </c>
      <c r="B1384" s="19" t="str">
        <f t="shared" si="116"/>
        <v>B-BCP - Soles</v>
      </c>
      <c r="C1384" s="3" t="s">
        <v>1330</v>
      </c>
      <c r="D1384" s="14">
        <v>45769</v>
      </c>
      <c r="E1384" s="5" t="s">
        <v>2269</v>
      </c>
      <c r="F1384" s="5" t="s">
        <v>1336</v>
      </c>
      <c r="G1384" s="6" t="s">
        <v>249</v>
      </c>
      <c r="H1384" s="6"/>
      <c r="I1384" s="6"/>
      <c r="J1384" s="6"/>
      <c r="K1384" s="7" t="s">
        <v>2753</v>
      </c>
      <c r="L1384" s="8">
        <v>1225700</v>
      </c>
      <c r="M1384" s="8" t="str">
        <f t="shared" si="117"/>
        <v>PEN</v>
      </c>
      <c r="N1384" s="13"/>
      <c r="O1384" s="13">
        <v>472</v>
      </c>
      <c r="P1384" s="3">
        <f t="shared" si="118"/>
        <v>0</v>
      </c>
      <c r="Q1384" s="3">
        <f t="shared" si="119"/>
        <v>472</v>
      </c>
      <c r="R1384" s="3">
        <f t="shared" si="115"/>
        <v>23361.070000000036</v>
      </c>
      <c r="S1384" s="24"/>
      <c r="T1384" s="24"/>
      <c r="U1384" s="53"/>
      <c r="V1384" s="25">
        <f>IFERROR(VLOOKUP(BCP_Soles[[#This Row],[destinatario]],CHOOSE({1,2},Clientes_Proveedores[Razon Social],Clientes_Proveedores[Ruc / Dni]),2,0),"")</f>
        <v>20302891452</v>
      </c>
      <c r="W1384" s="25" t="s">
        <v>249</v>
      </c>
      <c r="X1384" s="25"/>
      <c r="Y1384" s="25"/>
      <c r="Z1384" s="75"/>
      <c r="AA1384" s="3" t="str">
        <f>IF(BCP_Soles[[#This Row],[fecha]]&gt;0,TEXT(BCP_Soles[[#This Row],[fecha]],"mmmm"),0)</f>
        <v>Abril</v>
      </c>
    </row>
    <row r="1385" spans="1:27" ht="24" x14ac:dyDescent="0.3">
      <c r="A1385" s="2">
        <f>IF(BCP_Soles[[#This Row],[tipo_registro]]="R",COUNTIFS($C$1:$C1384,"R")+1,A1384)</f>
        <v>1044</v>
      </c>
      <c r="B1385" s="19" t="str">
        <f t="shared" si="116"/>
        <v>B-BCP - Soles</v>
      </c>
      <c r="C1385" s="3" t="s">
        <v>1330</v>
      </c>
      <c r="D1385" s="14">
        <v>45769</v>
      </c>
      <c r="E1385" s="5" t="s">
        <v>2269</v>
      </c>
      <c r="F1385" s="5" t="s">
        <v>1336</v>
      </c>
      <c r="G1385" s="6" t="s">
        <v>866</v>
      </c>
      <c r="H1385" s="6" t="s">
        <v>143</v>
      </c>
      <c r="I1385" s="6">
        <v>1</v>
      </c>
      <c r="J1385" s="6">
        <v>302025</v>
      </c>
      <c r="K1385" s="7" t="s">
        <v>2754</v>
      </c>
      <c r="L1385" s="8">
        <v>1096873</v>
      </c>
      <c r="M1385" s="8" t="str">
        <f t="shared" si="117"/>
        <v>PEN</v>
      </c>
      <c r="N1385" s="13"/>
      <c r="O1385" s="13">
        <v>300</v>
      </c>
      <c r="P1385" s="3">
        <f t="shared" si="118"/>
        <v>0</v>
      </c>
      <c r="Q1385" s="3">
        <f t="shared" si="119"/>
        <v>300</v>
      </c>
      <c r="R1385" s="3">
        <f t="shared" si="115"/>
        <v>23061.070000000036</v>
      </c>
      <c r="S1385" s="24" t="s">
        <v>1334</v>
      </c>
      <c r="T1385" s="24" t="s">
        <v>1334</v>
      </c>
      <c r="U1385" s="53"/>
      <c r="V1385" s="25">
        <f>IFERROR(VLOOKUP(BCP_Soles[[#This Row],[destinatario]],CHOOSE({1,2},Clientes_Proveedores[Razon Social],Clientes_Proveedores[Ruc / Dni]),2,0),"")</f>
        <v>45921913</v>
      </c>
      <c r="W1385" s="25" t="s">
        <v>866</v>
      </c>
      <c r="X1385" s="25" t="s">
        <v>2755</v>
      </c>
      <c r="Y1385" s="25"/>
      <c r="Z1385" s="75"/>
      <c r="AA1385" s="3" t="str">
        <f>IF(BCP_Soles[[#This Row],[fecha]]&gt;0,TEXT(BCP_Soles[[#This Row],[fecha]],"mmmm"),0)</f>
        <v>Abril</v>
      </c>
    </row>
    <row r="1386" spans="1:27" ht="24" x14ac:dyDescent="0.3">
      <c r="A1386" s="2">
        <f>IF(BCP_Soles[[#This Row],[tipo_registro]]="R",COUNTIFS($C$1:$C1385,"R")+1,A1385)</f>
        <v>1045</v>
      </c>
      <c r="B1386" s="19" t="str">
        <f t="shared" si="116"/>
        <v>B-BCP - Soles</v>
      </c>
      <c r="C1386" s="3" t="s">
        <v>1330</v>
      </c>
      <c r="D1386" s="14">
        <v>45769</v>
      </c>
      <c r="E1386" s="5" t="s">
        <v>2269</v>
      </c>
      <c r="F1386" s="5" t="s">
        <v>1336</v>
      </c>
      <c r="G1386" s="6" t="s">
        <v>249</v>
      </c>
      <c r="H1386" s="6"/>
      <c r="I1386" s="6"/>
      <c r="J1386" s="6"/>
      <c r="K1386" s="7" t="s">
        <v>2756</v>
      </c>
      <c r="L1386" s="8">
        <v>1225699</v>
      </c>
      <c r="M1386" s="8" t="str">
        <f t="shared" si="117"/>
        <v>PEN</v>
      </c>
      <c r="N1386" s="13"/>
      <c r="O1386" s="13">
        <v>265.5</v>
      </c>
      <c r="P1386" s="3">
        <f t="shared" si="118"/>
        <v>0</v>
      </c>
      <c r="Q1386" s="3">
        <f t="shared" si="119"/>
        <v>265.5</v>
      </c>
      <c r="R1386" s="3">
        <f t="shared" si="115"/>
        <v>22795.570000000036</v>
      </c>
      <c r="S1386" s="24"/>
      <c r="T1386" s="24"/>
      <c r="U1386" s="53"/>
      <c r="V1386" s="25">
        <f>IFERROR(VLOOKUP(BCP_Soles[[#This Row],[destinatario]],CHOOSE({1,2},Clientes_Proveedores[Razon Social],Clientes_Proveedores[Ruc / Dni]),2,0),"")</f>
        <v>20302891452</v>
      </c>
      <c r="W1386" s="25" t="s">
        <v>249</v>
      </c>
      <c r="X1386" s="25"/>
      <c r="Y1386" s="25"/>
      <c r="Z1386" s="75"/>
      <c r="AA1386" s="3" t="str">
        <f>IF(BCP_Soles[[#This Row],[fecha]]&gt;0,TEXT(BCP_Soles[[#This Row],[fecha]],"mmmm"),0)</f>
        <v>Abril</v>
      </c>
    </row>
    <row r="1387" spans="1:27" x14ac:dyDescent="0.3">
      <c r="A1387" s="2">
        <f>IF(BCP_Soles[[#This Row],[tipo_registro]]="R",COUNTIFS($C$1:$C1386,"R")+1,A1386)</f>
        <v>1046</v>
      </c>
      <c r="B1387" s="19" t="str">
        <f t="shared" si="116"/>
        <v>B-BCP - Soles</v>
      </c>
      <c r="C1387" s="3" t="s">
        <v>1330</v>
      </c>
      <c r="D1387" s="14">
        <v>45769</v>
      </c>
      <c r="E1387" s="5" t="s">
        <v>2269</v>
      </c>
      <c r="F1387" s="5" t="s">
        <v>1336</v>
      </c>
      <c r="G1387" s="6" t="s">
        <v>407</v>
      </c>
      <c r="H1387" s="6" t="s">
        <v>68</v>
      </c>
      <c r="I1387" s="6" t="s">
        <v>2757</v>
      </c>
      <c r="J1387" s="6">
        <v>1118</v>
      </c>
      <c r="K1387" s="7" t="s">
        <v>1481</v>
      </c>
      <c r="L1387" s="8">
        <v>224714</v>
      </c>
      <c r="M1387" s="8" t="str">
        <f t="shared" si="117"/>
        <v>PEN</v>
      </c>
      <c r="N1387" s="13"/>
      <c r="O1387" s="13">
        <v>196.52</v>
      </c>
      <c r="P1387" s="3">
        <f t="shared" si="118"/>
        <v>0</v>
      </c>
      <c r="Q1387" s="3">
        <f t="shared" si="119"/>
        <v>196.52</v>
      </c>
      <c r="R1387" s="3">
        <f t="shared" si="115"/>
        <v>22599.050000000036</v>
      </c>
      <c r="S1387" s="24" t="s">
        <v>1334</v>
      </c>
      <c r="T1387" s="24" t="s">
        <v>1334</v>
      </c>
      <c r="U1387" s="53"/>
      <c r="V1387" s="25">
        <f>IFERROR(VLOOKUP(BCP_Soles[[#This Row],[destinatario]],CHOOSE({1,2},Clientes_Proveedores[Razon Social],Clientes_Proveedores[Ruc / Dni]),2,0),"")</f>
        <v>20549068201</v>
      </c>
      <c r="W1387" s="25" t="s">
        <v>1482</v>
      </c>
      <c r="X1387" s="25" t="s">
        <v>2758</v>
      </c>
      <c r="Y1387" s="25"/>
      <c r="Z1387" s="75"/>
      <c r="AA1387" s="3" t="str">
        <f>IF(BCP_Soles[[#This Row],[fecha]]&gt;0,TEXT(BCP_Soles[[#This Row],[fecha]],"mmmm"),0)</f>
        <v>Abril</v>
      </c>
    </row>
    <row r="1388" spans="1:27" ht="36" x14ac:dyDescent="0.3">
      <c r="A1388" s="2">
        <f>IF(BCP_Soles[[#This Row],[tipo_registro]]="R",COUNTIFS($C$1:$C1387,"R")+1,A1387)</f>
        <v>1047</v>
      </c>
      <c r="B1388" s="19" t="str">
        <f t="shared" si="116"/>
        <v>B-BCP - Soles</v>
      </c>
      <c r="C1388" s="3" t="s">
        <v>1330</v>
      </c>
      <c r="D1388" s="14">
        <v>45769</v>
      </c>
      <c r="E1388" s="5" t="s">
        <v>2269</v>
      </c>
      <c r="F1388" s="5" t="s">
        <v>1336</v>
      </c>
      <c r="G1388" s="6" t="s">
        <v>588</v>
      </c>
      <c r="H1388" s="6" t="s">
        <v>68</v>
      </c>
      <c r="I1388" s="6" t="s">
        <v>1376</v>
      </c>
      <c r="J1388" s="6">
        <v>391</v>
      </c>
      <c r="K1388" s="7" t="s">
        <v>2759</v>
      </c>
      <c r="L1388" s="8">
        <v>1098850</v>
      </c>
      <c r="M1388" s="8" t="str">
        <f t="shared" si="117"/>
        <v>PEN</v>
      </c>
      <c r="N1388" s="13"/>
      <c r="O1388" s="13">
        <v>70.680000000000007</v>
      </c>
      <c r="P1388" s="3">
        <f t="shared" si="118"/>
        <v>0</v>
      </c>
      <c r="Q1388" s="3">
        <f t="shared" si="119"/>
        <v>70.680000000000007</v>
      </c>
      <c r="R1388" s="3">
        <f t="shared" si="115"/>
        <v>22528.370000000035</v>
      </c>
      <c r="S1388" s="24" t="s">
        <v>1334</v>
      </c>
      <c r="T1388" s="24" t="s">
        <v>1334</v>
      </c>
      <c r="U1388" s="53"/>
      <c r="V1388" s="25">
        <f>IFERROR(VLOOKUP(BCP_Soles[[#This Row],[destinatario]],CHOOSE({1,2},Clientes_Proveedores[Razon Social],Clientes_Proveedores[Ruc / Dni]),2,0),"")</f>
        <v>20609368773</v>
      </c>
      <c r="W1388" s="25" t="s">
        <v>1439</v>
      </c>
      <c r="X1388" s="25" t="s">
        <v>2760</v>
      </c>
      <c r="Y1388" s="25"/>
      <c r="Z1388" s="75"/>
      <c r="AA1388" s="3" t="str">
        <f>IF(BCP_Soles[[#This Row],[fecha]]&gt;0,TEXT(BCP_Soles[[#This Row],[fecha]],"mmmm"),0)</f>
        <v>Abril</v>
      </c>
    </row>
    <row r="1389" spans="1:27" ht="36" x14ac:dyDescent="0.3">
      <c r="A1389" s="2">
        <f>IF(BCP_Soles[[#This Row],[tipo_registro]]="R",COUNTIFS($C$1:$C1388,"R")+1,A1388)</f>
        <v>1048</v>
      </c>
      <c r="B1389" s="19" t="str">
        <f t="shared" si="116"/>
        <v>B-BCP - Soles</v>
      </c>
      <c r="C1389" s="3" t="s">
        <v>1330</v>
      </c>
      <c r="D1389" s="14">
        <v>45769</v>
      </c>
      <c r="E1389" s="5" t="s">
        <v>261</v>
      </c>
      <c r="F1389" s="5" t="s">
        <v>1303</v>
      </c>
      <c r="G1389" s="6" t="s">
        <v>425</v>
      </c>
      <c r="H1389" s="6"/>
      <c r="I1389" s="6"/>
      <c r="J1389" s="6"/>
      <c r="K1389" s="7" t="s">
        <v>2761</v>
      </c>
      <c r="L1389" s="8">
        <v>6768277</v>
      </c>
      <c r="M1389" s="8" t="str">
        <f t="shared" si="117"/>
        <v>PEN</v>
      </c>
      <c r="N1389" s="13"/>
      <c r="O1389" s="13">
        <v>27848.76</v>
      </c>
      <c r="P1389" s="3">
        <f t="shared" si="118"/>
        <v>27848.76</v>
      </c>
      <c r="Q1389" s="3">
        <f t="shared" si="119"/>
        <v>0</v>
      </c>
      <c r="R1389" s="3">
        <f t="shared" si="115"/>
        <v>50377.130000000034</v>
      </c>
      <c r="S1389" s="24" t="s">
        <v>1334</v>
      </c>
      <c r="T1389" s="24" t="s">
        <v>1334</v>
      </c>
      <c r="U1389" s="53"/>
      <c r="V1389" s="25">
        <f>IFERROR(VLOOKUP(BCP_Soles[[#This Row],[destinatario]],CHOOSE({1,2},Clientes_Proveedores[Razon Social],Clientes_Proveedores[Ruc / Dni]),2,0),"")</f>
        <v>20558226979</v>
      </c>
      <c r="W1389" s="25" t="s">
        <v>1345</v>
      </c>
      <c r="X1389" s="25" t="s">
        <v>2762</v>
      </c>
      <c r="Y1389" s="25"/>
      <c r="Z1389" s="75"/>
      <c r="AA1389" s="3" t="str">
        <f>IF(BCP_Soles[[#This Row],[fecha]]&gt;0,TEXT(BCP_Soles[[#This Row],[fecha]],"mmmm"),0)</f>
        <v>Abril</v>
      </c>
    </row>
    <row r="1390" spans="1:27" ht="36" x14ac:dyDescent="0.3">
      <c r="A1390" s="2">
        <f>IF(BCP_Soles[[#This Row],[tipo_registro]]="R",COUNTIFS($C$1:$C1389,"R")+1,A1389)</f>
        <v>1049</v>
      </c>
      <c r="B1390" s="19" t="str">
        <f t="shared" si="116"/>
        <v>B-BCP - Soles</v>
      </c>
      <c r="C1390" s="3" t="s">
        <v>1330</v>
      </c>
      <c r="D1390" s="14">
        <v>45769</v>
      </c>
      <c r="E1390" s="5" t="s">
        <v>261</v>
      </c>
      <c r="F1390" s="5" t="s">
        <v>1303</v>
      </c>
      <c r="G1390" s="6" t="s">
        <v>425</v>
      </c>
      <c r="H1390" s="6"/>
      <c r="I1390" s="6"/>
      <c r="J1390" s="6"/>
      <c r="K1390" s="7" t="s">
        <v>2763</v>
      </c>
      <c r="L1390" s="8">
        <v>6768275</v>
      </c>
      <c r="M1390" s="8" t="str">
        <f t="shared" si="117"/>
        <v>PEN</v>
      </c>
      <c r="N1390" s="13"/>
      <c r="O1390" s="13">
        <v>20487.509999999998</v>
      </c>
      <c r="P1390" s="3">
        <f t="shared" si="118"/>
        <v>20487.509999999998</v>
      </c>
      <c r="Q1390" s="3">
        <f t="shared" si="119"/>
        <v>0</v>
      </c>
      <c r="R1390" s="3">
        <f t="shared" si="115"/>
        <v>70864.640000000029</v>
      </c>
      <c r="S1390" s="24" t="s">
        <v>1334</v>
      </c>
      <c r="T1390" s="24" t="s">
        <v>1334</v>
      </c>
      <c r="U1390" s="53"/>
      <c r="V1390" s="25">
        <f>IFERROR(VLOOKUP(BCP_Soles[[#This Row],[destinatario]],CHOOSE({1,2},Clientes_Proveedores[Razon Social],Clientes_Proveedores[Ruc / Dni]),2,0),"")</f>
        <v>20558226979</v>
      </c>
      <c r="W1390" s="25" t="s">
        <v>1345</v>
      </c>
      <c r="X1390" s="25" t="s">
        <v>2764</v>
      </c>
      <c r="Y1390" s="25"/>
      <c r="Z1390" s="75"/>
      <c r="AA1390" s="3" t="str">
        <f>IF(BCP_Soles[[#This Row],[fecha]]&gt;0,TEXT(BCP_Soles[[#This Row],[fecha]],"mmmm"),0)</f>
        <v>Abril</v>
      </c>
    </row>
    <row r="1391" spans="1:27" ht="36" x14ac:dyDescent="0.3">
      <c r="A1391" s="2">
        <f>IF(BCP_Soles[[#This Row],[tipo_registro]]="R",COUNTIFS($C$1:$C1390,"R")+1,A1390)</f>
        <v>1050</v>
      </c>
      <c r="B1391" s="19" t="str">
        <f t="shared" si="116"/>
        <v>B-BCP - Soles</v>
      </c>
      <c r="C1391" s="3" t="s">
        <v>1330</v>
      </c>
      <c r="D1391" s="14">
        <v>45769</v>
      </c>
      <c r="E1391" s="5" t="s">
        <v>261</v>
      </c>
      <c r="F1391" s="5" t="s">
        <v>1303</v>
      </c>
      <c r="G1391" s="6" t="s">
        <v>425</v>
      </c>
      <c r="H1391" s="6"/>
      <c r="I1391" s="6"/>
      <c r="J1391" s="6"/>
      <c r="K1391" s="7" t="s">
        <v>2765</v>
      </c>
      <c r="L1391" s="8">
        <v>6768276</v>
      </c>
      <c r="M1391" s="8" t="str">
        <f t="shared" si="117"/>
        <v>PEN</v>
      </c>
      <c r="N1391" s="13"/>
      <c r="O1391" s="13">
        <v>15806.62</v>
      </c>
      <c r="P1391" s="3">
        <f t="shared" si="118"/>
        <v>15806.62</v>
      </c>
      <c r="Q1391" s="3">
        <f t="shared" si="119"/>
        <v>0</v>
      </c>
      <c r="R1391" s="3">
        <f t="shared" si="115"/>
        <v>86671.260000000024</v>
      </c>
      <c r="S1391" s="24" t="s">
        <v>1334</v>
      </c>
      <c r="T1391" s="24" t="s">
        <v>1334</v>
      </c>
      <c r="U1391" s="53"/>
      <c r="V1391" s="25">
        <f>IFERROR(VLOOKUP(BCP_Soles[[#This Row],[destinatario]],CHOOSE({1,2},Clientes_Proveedores[Razon Social],Clientes_Proveedores[Ruc / Dni]),2,0),"")</f>
        <v>20558226979</v>
      </c>
      <c r="W1391" s="25" t="s">
        <v>1345</v>
      </c>
      <c r="X1391" s="25" t="s">
        <v>2766</v>
      </c>
      <c r="Y1391" s="25"/>
      <c r="Z1391" s="75"/>
      <c r="AA1391" s="3" t="str">
        <f>IF(BCP_Soles[[#This Row],[fecha]]&gt;0,TEXT(BCP_Soles[[#This Row],[fecha]],"mmmm"),0)</f>
        <v>Abril</v>
      </c>
    </row>
    <row r="1392" spans="1:27" x14ac:dyDescent="0.3">
      <c r="A1392" s="2">
        <f>IF(BCP_Soles[[#This Row],[tipo_registro]]="R",COUNTIFS($C$1:$C1391,"R")+1,A1391)</f>
        <v>1051</v>
      </c>
      <c r="B1392" s="19" t="str">
        <f t="shared" si="116"/>
        <v>B-BCP - Soles</v>
      </c>
      <c r="C1392" s="3" t="s">
        <v>1330</v>
      </c>
      <c r="D1392" s="14">
        <v>45769</v>
      </c>
      <c r="E1392" s="5" t="s">
        <v>1498</v>
      </c>
      <c r="F1392" s="5" t="s">
        <v>1303</v>
      </c>
      <c r="G1392" s="6" t="s">
        <v>425</v>
      </c>
      <c r="H1392" s="6" t="s">
        <v>119</v>
      </c>
      <c r="I1392" s="6">
        <v>1</v>
      </c>
      <c r="J1392" s="6">
        <v>4341</v>
      </c>
      <c r="K1392" s="7" t="s">
        <v>1356</v>
      </c>
      <c r="L1392" s="8">
        <v>2860975</v>
      </c>
      <c r="M1392" s="8" t="str">
        <f t="shared" si="117"/>
        <v>PEN</v>
      </c>
      <c r="N1392" s="13"/>
      <c r="O1392" s="13">
        <v>87.5</v>
      </c>
      <c r="P1392" s="3">
        <f t="shared" si="118"/>
        <v>87.5</v>
      </c>
      <c r="Q1392" s="3">
        <f t="shared" si="119"/>
        <v>0</v>
      </c>
      <c r="R1392" s="3">
        <f t="shared" si="115"/>
        <v>86758.760000000024</v>
      </c>
      <c r="S1392" s="24" t="s">
        <v>1334</v>
      </c>
      <c r="T1392" s="24" t="s">
        <v>1334</v>
      </c>
      <c r="U1392" s="53"/>
      <c r="V1392" s="25">
        <f>IFERROR(VLOOKUP(BCP_Soles[[#This Row],[destinatario]],CHOOSE({1,2},Clientes_Proveedores[Razon Social],Clientes_Proveedores[Ruc / Dni]),2,0),"")</f>
        <v>20558226979</v>
      </c>
      <c r="W1392" s="25" t="s">
        <v>1345</v>
      </c>
      <c r="X1392" s="25" t="s">
        <v>2767</v>
      </c>
      <c r="Y1392" s="25"/>
      <c r="Z1392" s="75"/>
      <c r="AA1392" s="3" t="str">
        <f>IF(BCP_Soles[[#This Row],[fecha]]&gt;0,TEXT(BCP_Soles[[#This Row],[fecha]],"mmmm"),0)</f>
        <v>Abril</v>
      </c>
    </row>
    <row r="1393" spans="1:27" ht="24" x14ac:dyDescent="0.3">
      <c r="A1393" s="2">
        <f>IF(BCP_Soles[[#This Row],[tipo_registro]]="R",COUNTIFS($C$1:$C1392,"R")+1,A1392)</f>
        <v>1052</v>
      </c>
      <c r="B1393" s="19" t="str">
        <f t="shared" si="116"/>
        <v>B-BCP - Soles</v>
      </c>
      <c r="C1393" s="3" t="s">
        <v>1330</v>
      </c>
      <c r="D1393" s="14">
        <v>45770</v>
      </c>
      <c r="E1393" s="5" t="s">
        <v>346</v>
      </c>
      <c r="F1393" s="5" t="s">
        <v>1303</v>
      </c>
      <c r="G1393" s="6" t="s">
        <v>425</v>
      </c>
      <c r="H1393" s="6"/>
      <c r="I1393" s="6"/>
      <c r="J1393" s="6"/>
      <c r="K1393" s="7" t="s">
        <v>1453</v>
      </c>
      <c r="L1393" s="8">
        <v>7181810</v>
      </c>
      <c r="M1393" s="8" t="str">
        <f t="shared" si="117"/>
        <v>PEN</v>
      </c>
      <c r="N1393" s="13"/>
      <c r="O1393" s="13">
        <v>9843.94</v>
      </c>
      <c r="P1393" s="3">
        <f t="shared" si="118"/>
        <v>9843.94</v>
      </c>
      <c r="Q1393" s="3">
        <f t="shared" si="119"/>
        <v>0</v>
      </c>
      <c r="R1393" s="3">
        <f t="shared" si="115"/>
        <v>96602.700000000026</v>
      </c>
      <c r="S1393" s="24" t="s">
        <v>1334</v>
      </c>
      <c r="T1393" s="24" t="s">
        <v>1334</v>
      </c>
      <c r="U1393" s="53"/>
      <c r="V1393" s="25">
        <f>IFERROR(VLOOKUP(BCP_Soles[[#This Row],[destinatario]],CHOOSE({1,2},Clientes_Proveedores[Razon Social],Clientes_Proveedores[Ruc / Dni]),2,0),"")</f>
        <v>20558226979</v>
      </c>
      <c r="W1393" s="25" t="s">
        <v>1345</v>
      </c>
      <c r="X1393" s="25" t="s">
        <v>2768</v>
      </c>
      <c r="Y1393" s="25"/>
      <c r="Z1393" s="75"/>
      <c r="AA1393" s="3" t="str">
        <f>IF(BCP_Soles[[#This Row],[fecha]]&gt;0,TEXT(BCP_Soles[[#This Row],[fecha]],"mmmm"),0)</f>
        <v>Abril</v>
      </c>
    </row>
    <row r="1394" spans="1:27" ht="24" x14ac:dyDescent="0.3">
      <c r="A1394" s="2">
        <f>IF(BCP_Soles[[#This Row],[tipo_registro]]="R",COUNTIFS($C$1:$C1393,"R")+1,A1393)</f>
        <v>1053</v>
      </c>
      <c r="B1394" s="19" t="str">
        <f t="shared" si="116"/>
        <v>B-BCP - Soles</v>
      </c>
      <c r="C1394" s="3" t="s">
        <v>1330</v>
      </c>
      <c r="D1394" s="14">
        <v>45770</v>
      </c>
      <c r="E1394" s="5" t="s">
        <v>462</v>
      </c>
      <c r="F1394" s="5" t="s">
        <v>1303</v>
      </c>
      <c r="G1394" s="6" t="s">
        <v>425</v>
      </c>
      <c r="H1394" s="6"/>
      <c r="I1394" s="6"/>
      <c r="J1394" s="6"/>
      <c r="K1394" s="7" t="s">
        <v>1356</v>
      </c>
      <c r="L1394" s="8">
        <v>3313836</v>
      </c>
      <c r="M1394" s="8" t="str">
        <f t="shared" si="117"/>
        <v>PEN</v>
      </c>
      <c r="N1394" s="13"/>
      <c r="O1394" s="13">
        <v>1611.48</v>
      </c>
      <c r="P1394" s="3">
        <f t="shared" si="118"/>
        <v>1611.48</v>
      </c>
      <c r="Q1394" s="3">
        <f t="shared" si="119"/>
        <v>0</v>
      </c>
      <c r="R1394" s="3">
        <f t="shared" si="115"/>
        <v>98214.180000000022</v>
      </c>
      <c r="S1394" s="24" t="s">
        <v>1334</v>
      </c>
      <c r="T1394" s="24" t="s">
        <v>1334</v>
      </c>
      <c r="U1394" s="53"/>
      <c r="V1394" s="25">
        <f>IFERROR(VLOOKUP(BCP_Soles[[#This Row],[destinatario]],CHOOSE({1,2},Clientes_Proveedores[Razon Social],Clientes_Proveedores[Ruc / Dni]),2,0),"")</f>
        <v>20558226979</v>
      </c>
      <c r="W1394" s="25" t="s">
        <v>1345</v>
      </c>
      <c r="X1394" s="25" t="s">
        <v>2769</v>
      </c>
      <c r="Y1394" s="25"/>
      <c r="Z1394" s="75"/>
      <c r="AA1394" s="3" t="str">
        <f>IF(BCP_Soles[[#This Row],[fecha]]&gt;0,TEXT(BCP_Soles[[#This Row],[fecha]],"mmmm"),0)</f>
        <v>Abril</v>
      </c>
    </row>
    <row r="1395" spans="1:27" ht="24" x14ac:dyDescent="0.3">
      <c r="A1395" s="2">
        <f>IF(BCP_Soles[[#This Row],[tipo_registro]]="R",COUNTIFS($C$1:$C1394,"R")+1,A1394)</f>
        <v>1054</v>
      </c>
      <c r="B1395" s="19" t="str">
        <f t="shared" si="116"/>
        <v>B-BCP - Soles</v>
      </c>
      <c r="C1395" s="3" t="s">
        <v>1330</v>
      </c>
      <c r="D1395" s="14">
        <v>45770</v>
      </c>
      <c r="E1395" s="5" t="s">
        <v>462</v>
      </c>
      <c r="F1395" s="5" t="s">
        <v>1303</v>
      </c>
      <c r="G1395" s="6" t="s">
        <v>425</v>
      </c>
      <c r="H1395" s="6"/>
      <c r="I1395" s="6"/>
      <c r="J1395" s="6"/>
      <c r="K1395" s="7" t="s">
        <v>1356</v>
      </c>
      <c r="L1395" s="8">
        <v>3317399</v>
      </c>
      <c r="M1395" s="8" t="str">
        <f t="shared" si="117"/>
        <v>PEN</v>
      </c>
      <c r="N1395" s="13"/>
      <c r="O1395" s="13">
        <v>823.99</v>
      </c>
      <c r="P1395" s="3">
        <f t="shared" si="118"/>
        <v>823.99</v>
      </c>
      <c r="Q1395" s="3">
        <f t="shared" si="119"/>
        <v>0</v>
      </c>
      <c r="R1395" s="3">
        <f t="shared" si="115"/>
        <v>99038.170000000027</v>
      </c>
      <c r="S1395" s="24" t="s">
        <v>1334</v>
      </c>
      <c r="T1395" s="24" t="s">
        <v>1334</v>
      </c>
      <c r="U1395" s="53"/>
      <c r="V1395" s="25">
        <f>IFERROR(VLOOKUP(BCP_Soles[[#This Row],[destinatario]],CHOOSE({1,2},Clientes_Proveedores[Razon Social],Clientes_Proveedores[Ruc / Dni]),2,0),"")</f>
        <v>20558226979</v>
      </c>
      <c r="W1395" s="25" t="s">
        <v>1345</v>
      </c>
      <c r="X1395" s="25" t="s">
        <v>2770</v>
      </c>
      <c r="Y1395" s="25"/>
      <c r="Z1395" s="75"/>
      <c r="AA1395" s="3" t="str">
        <f>IF(BCP_Soles[[#This Row],[fecha]]&gt;0,TEXT(BCP_Soles[[#This Row],[fecha]],"mmmm"),0)</f>
        <v>Abril</v>
      </c>
    </row>
    <row r="1396" spans="1:27" ht="24" x14ac:dyDescent="0.3">
      <c r="A1396" s="2">
        <f>IF(BCP_Soles[[#This Row],[tipo_registro]]="R",COUNTIFS($C$1:$C1395,"R")+1,A1395)</f>
        <v>1055</v>
      </c>
      <c r="B1396" s="19" t="str">
        <f t="shared" si="116"/>
        <v>B-BCP - Soles</v>
      </c>
      <c r="C1396" s="3" t="s">
        <v>1330</v>
      </c>
      <c r="D1396" s="14">
        <v>45770</v>
      </c>
      <c r="E1396" s="5" t="s">
        <v>462</v>
      </c>
      <c r="F1396" s="5" t="s">
        <v>1303</v>
      </c>
      <c r="G1396" s="6" t="s">
        <v>425</v>
      </c>
      <c r="H1396" s="6"/>
      <c r="I1396" s="6"/>
      <c r="J1396" s="6"/>
      <c r="K1396" s="7" t="s">
        <v>1356</v>
      </c>
      <c r="L1396" s="8">
        <v>3317990</v>
      </c>
      <c r="M1396" s="8" t="str">
        <f t="shared" si="117"/>
        <v>PEN</v>
      </c>
      <c r="N1396" s="13"/>
      <c r="O1396" s="13">
        <v>715.49</v>
      </c>
      <c r="P1396" s="3">
        <f t="shared" si="118"/>
        <v>715.49</v>
      </c>
      <c r="Q1396" s="3">
        <f t="shared" si="119"/>
        <v>0</v>
      </c>
      <c r="R1396" s="3">
        <f t="shared" si="115"/>
        <v>99753.660000000033</v>
      </c>
      <c r="S1396" s="24" t="s">
        <v>1334</v>
      </c>
      <c r="T1396" s="24" t="s">
        <v>1334</v>
      </c>
      <c r="U1396" s="53"/>
      <c r="V1396" s="25">
        <f>IFERROR(VLOOKUP(BCP_Soles[[#This Row],[destinatario]],CHOOSE({1,2},Clientes_Proveedores[Razon Social],Clientes_Proveedores[Ruc / Dni]),2,0),"")</f>
        <v>20558226979</v>
      </c>
      <c r="W1396" s="25" t="s">
        <v>1345</v>
      </c>
      <c r="X1396" s="25" t="s">
        <v>2771</v>
      </c>
      <c r="Y1396" s="25"/>
      <c r="Z1396" s="75"/>
      <c r="AA1396" s="3" t="str">
        <f>IF(BCP_Soles[[#This Row],[fecha]]&gt;0,TEXT(BCP_Soles[[#This Row],[fecha]],"mmmm"),0)</f>
        <v>Abril</v>
      </c>
    </row>
    <row r="1397" spans="1:27" x14ac:dyDescent="0.3">
      <c r="A1397" s="2">
        <f>IF(BCP_Soles[[#This Row],[tipo_registro]]="R",COUNTIFS($C$1:$C1396,"R")+1,A1396)</f>
        <v>1056</v>
      </c>
      <c r="B1397" s="19" t="str">
        <f t="shared" si="116"/>
        <v>B-BCP - Soles</v>
      </c>
      <c r="C1397" s="3" t="s">
        <v>1330</v>
      </c>
      <c r="D1397" s="14">
        <v>45770</v>
      </c>
      <c r="E1397" s="5" t="s">
        <v>1335</v>
      </c>
      <c r="F1397" s="5" t="s">
        <v>1336</v>
      </c>
      <c r="G1397" s="6"/>
      <c r="H1397" s="6"/>
      <c r="I1397" s="6"/>
      <c r="J1397" s="6"/>
      <c r="K1397" s="7" t="s">
        <v>1337</v>
      </c>
      <c r="L1397" s="8"/>
      <c r="M1397" s="8" t="str">
        <f t="shared" si="117"/>
        <v>PEN</v>
      </c>
      <c r="N1397" s="13"/>
      <c r="O1397" s="13">
        <v>0.85</v>
      </c>
      <c r="P1397" s="3">
        <f t="shared" si="118"/>
        <v>0</v>
      </c>
      <c r="Q1397" s="3">
        <f t="shared" si="119"/>
        <v>0.85</v>
      </c>
      <c r="R1397" s="3">
        <f t="shared" si="115"/>
        <v>99752.810000000027</v>
      </c>
      <c r="S1397" s="24"/>
      <c r="T1397" s="24" t="s">
        <v>1334</v>
      </c>
      <c r="U1397" s="53"/>
      <c r="V1397" s="25" t="str">
        <f>IFERROR(VLOOKUP(BCP_Soles[[#This Row],[destinatario]],CHOOSE({1,2},Clientes_Proveedores[Razon Social],Clientes_Proveedores[Ruc / Dni]),2,0),"")</f>
        <v/>
      </c>
      <c r="W1397" s="25"/>
      <c r="X1397" s="25"/>
      <c r="Y1397" s="25"/>
      <c r="Z1397" s="75"/>
      <c r="AA1397" s="3" t="str">
        <f>IF(BCP_Soles[[#This Row],[fecha]]&gt;0,TEXT(BCP_Soles[[#This Row],[fecha]],"mmmm"),0)</f>
        <v>Abril</v>
      </c>
    </row>
    <row r="1398" spans="1:27" ht="24" x14ac:dyDescent="0.3">
      <c r="A1398" s="2">
        <f>IF(BCP_Soles[[#This Row],[tipo_registro]]="R",COUNTIFS($C$1:$C1397,"R")+1,A1397)</f>
        <v>1057</v>
      </c>
      <c r="B1398" s="19" t="str">
        <f t="shared" si="116"/>
        <v>B-BCP - Soles</v>
      </c>
      <c r="C1398" s="3" t="s">
        <v>1330</v>
      </c>
      <c r="D1398" s="14">
        <v>45770</v>
      </c>
      <c r="E1398" s="5" t="s">
        <v>1338</v>
      </c>
      <c r="F1398" s="5" t="s">
        <v>1336</v>
      </c>
      <c r="G1398" s="6" t="s">
        <v>249</v>
      </c>
      <c r="H1398" s="6"/>
      <c r="I1398" s="6"/>
      <c r="J1398" s="6"/>
      <c r="K1398" s="7" t="s">
        <v>2753</v>
      </c>
      <c r="L1398" s="8">
        <v>1104959</v>
      </c>
      <c r="M1398" s="8" t="str">
        <f t="shared" si="117"/>
        <v>PEN</v>
      </c>
      <c r="N1398" s="13"/>
      <c r="O1398" s="13">
        <v>81.42</v>
      </c>
      <c r="P1398" s="3">
        <f t="shared" si="118"/>
        <v>0</v>
      </c>
      <c r="Q1398" s="3">
        <f t="shared" si="119"/>
        <v>81.42</v>
      </c>
      <c r="R1398" s="3">
        <f t="shared" si="115"/>
        <v>99671.390000000029</v>
      </c>
      <c r="S1398" s="24"/>
      <c r="T1398" s="24"/>
      <c r="U1398" s="53"/>
      <c r="V1398" s="25">
        <f>IFERROR(VLOOKUP(BCP_Soles[[#This Row],[destinatario]],CHOOSE({1,2},Clientes_Proveedores[Razon Social],Clientes_Proveedores[Ruc / Dni]),2,0),"")</f>
        <v>20302891452</v>
      </c>
      <c r="W1398" s="25" t="s">
        <v>249</v>
      </c>
      <c r="X1398" s="25"/>
      <c r="Y1398" s="25"/>
      <c r="Z1398" s="75"/>
      <c r="AA1398" s="3" t="str">
        <f>IF(BCP_Soles[[#This Row],[fecha]]&gt;0,TEXT(BCP_Soles[[#This Row],[fecha]],"mmmm"),0)</f>
        <v>Abril</v>
      </c>
    </row>
    <row r="1399" spans="1:27" ht="24" x14ac:dyDescent="0.3">
      <c r="A1399" s="2">
        <f>IF(BCP_Soles[[#This Row],[tipo_registro]]="R",COUNTIFS($C$1:$C1398,"R")+1,A1398)</f>
        <v>1058</v>
      </c>
      <c r="B1399" s="19" t="str">
        <f t="shared" si="116"/>
        <v>B-BCP - Soles</v>
      </c>
      <c r="C1399" s="3" t="s">
        <v>1330</v>
      </c>
      <c r="D1399" s="14">
        <v>45770</v>
      </c>
      <c r="E1399" s="5" t="s">
        <v>1338</v>
      </c>
      <c r="F1399" s="5" t="s">
        <v>1336</v>
      </c>
      <c r="G1399" s="6" t="s">
        <v>163</v>
      </c>
      <c r="H1399" s="6" t="s">
        <v>68</v>
      </c>
      <c r="I1399" s="6" t="s">
        <v>1376</v>
      </c>
      <c r="J1399" s="6">
        <v>267</v>
      </c>
      <c r="K1399" s="7" t="s">
        <v>2772</v>
      </c>
      <c r="L1399" s="8">
        <v>1105939</v>
      </c>
      <c r="M1399" s="8" t="str">
        <f t="shared" si="117"/>
        <v>PEN</v>
      </c>
      <c r="N1399" s="13"/>
      <c r="O1399" s="13">
        <v>96</v>
      </c>
      <c r="P1399" s="3">
        <f t="shared" si="118"/>
        <v>0</v>
      </c>
      <c r="Q1399" s="3">
        <f t="shared" si="119"/>
        <v>96</v>
      </c>
      <c r="R1399" s="3">
        <f t="shared" si="115"/>
        <v>99575.390000000029</v>
      </c>
      <c r="S1399" s="24" t="s">
        <v>1334</v>
      </c>
      <c r="T1399" s="24" t="s">
        <v>1334</v>
      </c>
      <c r="U1399" s="53"/>
      <c r="V1399" s="25">
        <f>IFERROR(VLOOKUP(BCP_Soles[[#This Row],[destinatario]],CHOOSE({1,2},Clientes_Proveedores[Razon Social],Clientes_Proveedores[Ruc / Dni]),2,0),"")</f>
        <v>10416031679</v>
      </c>
      <c r="W1399" s="25" t="s">
        <v>163</v>
      </c>
      <c r="X1399" s="25" t="s">
        <v>2773</v>
      </c>
      <c r="Y1399" s="25"/>
      <c r="Z1399" s="75"/>
      <c r="AA1399" s="3" t="str">
        <f>IF(BCP_Soles[[#This Row],[fecha]]&gt;0,TEXT(BCP_Soles[[#This Row],[fecha]],"mmmm"),0)</f>
        <v>Abril</v>
      </c>
    </row>
    <row r="1400" spans="1:27" ht="36" x14ac:dyDescent="0.3">
      <c r="A1400" s="2">
        <f>IF(BCP_Soles[[#This Row],[tipo_registro]]="R",COUNTIFS($C$1:$C1399,"R")+1,A1399)</f>
        <v>1059</v>
      </c>
      <c r="B1400" s="19" t="str">
        <f t="shared" si="116"/>
        <v>B-BCP - Soles</v>
      </c>
      <c r="C1400" s="3" t="s">
        <v>1330</v>
      </c>
      <c r="D1400" s="14">
        <v>45770</v>
      </c>
      <c r="E1400" s="5" t="s">
        <v>1338</v>
      </c>
      <c r="F1400" s="5" t="s">
        <v>1336</v>
      </c>
      <c r="G1400" s="6" t="s">
        <v>610</v>
      </c>
      <c r="H1400" s="6" t="s">
        <v>68</v>
      </c>
      <c r="I1400" s="6" t="s">
        <v>2335</v>
      </c>
      <c r="J1400" s="6">
        <v>232</v>
      </c>
      <c r="K1400" s="7" t="s">
        <v>2774</v>
      </c>
      <c r="L1400" s="8">
        <v>1204211</v>
      </c>
      <c r="M1400" s="8" t="str">
        <f t="shared" si="117"/>
        <v>PEN</v>
      </c>
      <c r="N1400" s="13"/>
      <c r="O1400" s="13">
        <v>242</v>
      </c>
      <c r="P1400" s="3">
        <f t="shared" si="118"/>
        <v>0</v>
      </c>
      <c r="Q1400" s="3">
        <f t="shared" si="119"/>
        <v>242</v>
      </c>
      <c r="R1400" s="3">
        <f t="shared" si="115"/>
        <v>99333.390000000029</v>
      </c>
      <c r="S1400" s="24" t="s">
        <v>1334</v>
      </c>
      <c r="T1400" s="24" t="s">
        <v>1334</v>
      </c>
      <c r="U1400" s="53"/>
      <c r="V1400" s="25">
        <f>IFERROR(VLOOKUP(BCP_Soles[[#This Row],[destinatario]],CHOOSE({1,2},Clientes_Proveedores[Razon Social],Clientes_Proveedores[Ruc / Dni]),2,0),"")</f>
        <v>20612094862</v>
      </c>
      <c r="W1400" s="25" t="s">
        <v>2337</v>
      </c>
      <c r="X1400" s="25" t="s">
        <v>2775</v>
      </c>
      <c r="Y1400" s="25"/>
      <c r="Z1400" s="75"/>
      <c r="AA1400" s="3" t="str">
        <f>IF(BCP_Soles[[#This Row],[fecha]]&gt;0,TEXT(BCP_Soles[[#This Row],[fecha]],"mmmm"),0)</f>
        <v>Abril</v>
      </c>
    </row>
    <row r="1401" spans="1:27" ht="24" x14ac:dyDescent="0.3">
      <c r="A1401" s="2">
        <f>IF(BCP_Soles[[#This Row],[tipo_registro]]="R",COUNTIFS($C$1:$C1400,"R")+1,A1400)</f>
        <v>1060</v>
      </c>
      <c r="B1401" s="19" t="str">
        <f t="shared" si="116"/>
        <v>B-BCP - Soles</v>
      </c>
      <c r="C1401" s="3" t="s">
        <v>1330</v>
      </c>
      <c r="D1401" s="14">
        <v>45770</v>
      </c>
      <c r="E1401" s="5" t="s">
        <v>2269</v>
      </c>
      <c r="F1401" s="5" t="s">
        <v>1336</v>
      </c>
      <c r="G1401" s="6" t="s">
        <v>866</v>
      </c>
      <c r="H1401" s="6" t="s">
        <v>143</v>
      </c>
      <c r="I1401" s="6">
        <v>1</v>
      </c>
      <c r="J1401" s="6">
        <v>302025</v>
      </c>
      <c r="K1401" s="7" t="s">
        <v>2776</v>
      </c>
      <c r="L1401" s="8">
        <v>1204661</v>
      </c>
      <c r="M1401" s="8" t="str">
        <f t="shared" si="117"/>
        <v>PEN</v>
      </c>
      <c r="N1401" s="13"/>
      <c r="O1401" s="13">
        <v>300</v>
      </c>
      <c r="P1401" s="3">
        <f t="shared" si="118"/>
        <v>0</v>
      </c>
      <c r="Q1401" s="3">
        <f t="shared" si="119"/>
        <v>300</v>
      </c>
      <c r="R1401" s="3">
        <f t="shared" si="115"/>
        <v>99033.390000000029</v>
      </c>
      <c r="S1401" s="24" t="s">
        <v>1334</v>
      </c>
      <c r="T1401" s="24" t="s">
        <v>1334</v>
      </c>
      <c r="U1401" s="53"/>
      <c r="V1401" s="25">
        <f>IFERROR(VLOOKUP(BCP_Soles[[#This Row],[destinatario]],CHOOSE({1,2},Clientes_Proveedores[Razon Social],Clientes_Proveedores[Ruc / Dni]),2,0),"")</f>
        <v>45921913</v>
      </c>
      <c r="W1401" s="25" t="s">
        <v>866</v>
      </c>
      <c r="X1401" s="25" t="s">
        <v>2755</v>
      </c>
      <c r="Y1401" s="25"/>
      <c r="Z1401" s="75"/>
      <c r="AA1401" s="3" t="str">
        <f>IF(BCP_Soles[[#This Row],[fecha]]&gt;0,TEXT(BCP_Soles[[#This Row],[fecha]],"mmmm"),0)</f>
        <v>Abril</v>
      </c>
    </row>
    <row r="1402" spans="1:27" ht="24" x14ac:dyDescent="0.3">
      <c r="A1402" s="2">
        <f>IF(BCP_Soles[[#This Row],[tipo_registro]]="R",COUNTIFS($C$1:$C1401,"R")+1,A1401)</f>
        <v>1061</v>
      </c>
      <c r="B1402" s="19" t="str">
        <f t="shared" si="116"/>
        <v>B-BCP - Soles</v>
      </c>
      <c r="C1402" s="3" t="s">
        <v>1330</v>
      </c>
      <c r="D1402" s="14">
        <v>45770</v>
      </c>
      <c r="E1402" s="5" t="s">
        <v>1338</v>
      </c>
      <c r="F1402" s="5" t="s">
        <v>1336</v>
      </c>
      <c r="G1402" s="6" t="s">
        <v>249</v>
      </c>
      <c r="H1402" s="6"/>
      <c r="I1402" s="6"/>
      <c r="J1402" s="6"/>
      <c r="K1402" s="7" t="s">
        <v>2753</v>
      </c>
      <c r="L1402" s="8">
        <v>1108026</v>
      </c>
      <c r="M1402" s="8" t="str">
        <f t="shared" si="117"/>
        <v>PEN</v>
      </c>
      <c r="N1402" s="13"/>
      <c r="O1402" s="13">
        <v>2934.9</v>
      </c>
      <c r="P1402" s="3">
        <f t="shared" si="118"/>
        <v>0</v>
      </c>
      <c r="Q1402" s="3">
        <f t="shared" si="119"/>
        <v>2934.9</v>
      </c>
      <c r="R1402" s="3">
        <f t="shared" si="115"/>
        <v>96098.490000000034</v>
      </c>
      <c r="S1402" s="24"/>
      <c r="T1402" s="24"/>
      <c r="U1402" s="53"/>
      <c r="V1402" s="25">
        <f>IFERROR(VLOOKUP(BCP_Soles[[#This Row],[destinatario]],CHOOSE({1,2},Clientes_Proveedores[Razon Social],Clientes_Proveedores[Ruc / Dni]),2,0),"")</f>
        <v>20302891452</v>
      </c>
      <c r="W1402" s="25" t="s">
        <v>249</v>
      </c>
      <c r="X1402" s="25"/>
      <c r="Y1402" s="25"/>
      <c r="Z1402" s="75"/>
      <c r="AA1402" s="3" t="str">
        <f>IF(BCP_Soles[[#This Row],[fecha]]&gt;0,TEXT(BCP_Soles[[#This Row],[fecha]],"mmmm"),0)</f>
        <v>Abril</v>
      </c>
    </row>
    <row r="1403" spans="1:27" x14ac:dyDescent="0.3">
      <c r="A1403" s="2">
        <f>IF(BCP_Soles[[#This Row],[tipo_registro]]="R",COUNTIFS($C$1:$C1402,"R")+1,A1402)</f>
        <v>1062</v>
      </c>
      <c r="B1403" s="19" t="str">
        <f t="shared" si="116"/>
        <v>B-BCP - Soles</v>
      </c>
      <c r="C1403" s="3" t="s">
        <v>1330</v>
      </c>
      <c r="D1403" s="14">
        <v>45770</v>
      </c>
      <c r="E1403" s="5" t="s">
        <v>2269</v>
      </c>
      <c r="F1403" s="5" t="s">
        <v>1336</v>
      </c>
      <c r="G1403" s="6" t="s">
        <v>696</v>
      </c>
      <c r="H1403" s="6"/>
      <c r="I1403" s="6"/>
      <c r="J1403" s="6"/>
      <c r="K1403" s="7" t="s">
        <v>2777</v>
      </c>
      <c r="L1403" s="8">
        <v>7187777</v>
      </c>
      <c r="M1403" s="8" t="str">
        <f t="shared" si="117"/>
        <v>PEN</v>
      </c>
      <c r="N1403" s="13"/>
      <c r="O1403" s="13">
        <v>5975.99</v>
      </c>
      <c r="P1403" s="3">
        <f t="shared" si="118"/>
        <v>0</v>
      </c>
      <c r="Q1403" s="3">
        <f t="shared" si="119"/>
        <v>5975.99</v>
      </c>
      <c r="R1403" s="3">
        <f t="shared" si="115"/>
        <v>90122.500000000029</v>
      </c>
      <c r="S1403" s="24" t="s">
        <v>1334</v>
      </c>
      <c r="T1403" s="24" t="s">
        <v>1334</v>
      </c>
      <c r="U1403" s="53"/>
      <c r="V1403" s="25">
        <f>IFERROR(VLOOKUP(BCP_Soles[[#This Row],[destinatario]],CHOOSE({1,2},Clientes_Proveedores[Razon Social],Clientes_Proveedores[Ruc / Dni]),2,0),"")</f>
        <v>0</v>
      </c>
      <c r="W1403" s="25" t="s">
        <v>1373</v>
      </c>
      <c r="X1403" s="25"/>
      <c r="Y1403" s="25"/>
      <c r="Z1403" s="75"/>
      <c r="AA1403" s="3" t="str">
        <f>IF(BCP_Soles[[#This Row],[fecha]]&gt;0,TEXT(BCP_Soles[[#This Row],[fecha]],"mmmm"),0)</f>
        <v>Abril</v>
      </c>
    </row>
    <row r="1404" spans="1:27" ht="24" x14ac:dyDescent="0.3">
      <c r="A1404" s="2">
        <f>IF(BCP_Soles[[#This Row],[tipo_registro]]="R",COUNTIFS($C$1:$C1403,"R")+1,A1403)</f>
        <v>1062</v>
      </c>
      <c r="B1404" s="19" t="str">
        <f t="shared" si="116"/>
        <v>B-BCP - Soles</v>
      </c>
      <c r="C1404" s="3" t="s">
        <v>1352</v>
      </c>
      <c r="D1404" s="14">
        <v>45770</v>
      </c>
      <c r="E1404" s="5" t="s">
        <v>2269</v>
      </c>
      <c r="F1404" s="5"/>
      <c r="G1404" s="6" t="s">
        <v>187</v>
      </c>
      <c r="H1404" s="6" t="s">
        <v>68</v>
      </c>
      <c r="I1404" s="6" t="s">
        <v>1376</v>
      </c>
      <c r="J1404" s="6">
        <v>355</v>
      </c>
      <c r="K1404" s="7" t="s">
        <v>2777</v>
      </c>
      <c r="L1404" s="8">
        <v>7187777</v>
      </c>
      <c r="M1404" s="8" t="str">
        <f t="shared" si="117"/>
        <v>PEN</v>
      </c>
      <c r="N1404" s="13">
        <v>120</v>
      </c>
      <c r="O1404" s="13"/>
      <c r="P1404" s="3">
        <f t="shared" si="118"/>
        <v>0</v>
      </c>
      <c r="Q1404" s="3">
        <f t="shared" si="119"/>
        <v>0</v>
      </c>
      <c r="R1404" s="3">
        <f t="shared" si="115"/>
        <v>90122.500000000029</v>
      </c>
      <c r="S1404" s="24"/>
      <c r="T1404" s="24" t="s">
        <v>1334</v>
      </c>
      <c r="U1404" s="53"/>
      <c r="V1404" s="25">
        <f>IFERROR(VLOOKUP(BCP_Soles[[#This Row],[destinatario]],CHOOSE({1,2},Clientes_Proveedores[Razon Social],Clientes_Proveedores[Ruc / Dni]),2,0),"")</f>
        <v>10706063426</v>
      </c>
      <c r="W1404" s="25"/>
      <c r="X1404" s="25"/>
      <c r="Y1404" s="25"/>
      <c r="Z1404" s="75"/>
      <c r="AA1404" s="3" t="str">
        <f>IF(BCP_Soles[[#This Row],[fecha]]&gt;0,TEXT(BCP_Soles[[#This Row],[fecha]],"mmmm"),0)</f>
        <v>Abril</v>
      </c>
    </row>
    <row r="1405" spans="1:27" ht="24" x14ac:dyDescent="0.3">
      <c r="A1405" s="2">
        <f>IF(BCP_Soles[[#This Row],[tipo_registro]]="R",COUNTIFS($C$1:$C1404,"R")+1,A1404)</f>
        <v>1062</v>
      </c>
      <c r="B1405" s="19" t="str">
        <f t="shared" si="116"/>
        <v>B-BCP - Soles</v>
      </c>
      <c r="C1405" s="3" t="s">
        <v>1352</v>
      </c>
      <c r="D1405" s="14">
        <v>45770</v>
      </c>
      <c r="E1405" s="5" t="s">
        <v>2269</v>
      </c>
      <c r="F1405" s="5"/>
      <c r="G1405" s="6" t="s">
        <v>464</v>
      </c>
      <c r="H1405" s="6" t="s">
        <v>68</v>
      </c>
      <c r="I1405" s="6" t="s">
        <v>1376</v>
      </c>
      <c r="J1405" s="6">
        <v>805</v>
      </c>
      <c r="K1405" s="7" t="s">
        <v>2777</v>
      </c>
      <c r="L1405" s="8">
        <v>7187777</v>
      </c>
      <c r="M1405" s="8" t="str">
        <f t="shared" si="117"/>
        <v>PEN</v>
      </c>
      <c r="N1405" s="13">
        <v>1104</v>
      </c>
      <c r="O1405" s="13"/>
      <c r="P1405" s="3">
        <f t="shared" si="118"/>
        <v>0</v>
      </c>
      <c r="Q1405" s="3">
        <f t="shared" si="119"/>
        <v>0</v>
      </c>
      <c r="R1405" s="3">
        <f t="shared" si="115"/>
        <v>90122.500000000029</v>
      </c>
      <c r="S1405" s="24"/>
      <c r="T1405" s="24" t="s">
        <v>1334</v>
      </c>
      <c r="U1405" s="53"/>
      <c r="V1405" s="25">
        <f>IFERROR(VLOOKUP(BCP_Soles[[#This Row],[destinatario]],CHOOSE({1,2},Clientes_Proveedores[Razon Social],Clientes_Proveedores[Ruc / Dni]),2,0),"")</f>
        <v>20601279666</v>
      </c>
      <c r="W1405" s="25"/>
      <c r="X1405" s="25"/>
      <c r="Y1405" s="25"/>
      <c r="Z1405" s="75"/>
      <c r="AA1405" s="3" t="str">
        <f>IF(BCP_Soles[[#This Row],[fecha]]&gt;0,TEXT(BCP_Soles[[#This Row],[fecha]],"mmmm"),0)</f>
        <v>Abril</v>
      </c>
    </row>
    <row r="1406" spans="1:27" ht="24" x14ac:dyDescent="0.3">
      <c r="A1406" s="2">
        <f>IF(BCP_Soles[[#This Row],[tipo_registro]]="R",COUNTIFS($C$1:$C1405,"R")+1,A1405)</f>
        <v>1062</v>
      </c>
      <c r="B1406" s="19" t="str">
        <f t="shared" si="116"/>
        <v>B-BCP - Soles</v>
      </c>
      <c r="C1406" s="3" t="s">
        <v>1352</v>
      </c>
      <c r="D1406" s="14">
        <v>45770</v>
      </c>
      <c r="E1406" s="5" t="s">
        <v>2269</v>
      </c>
      <c r="F1406" s="5"/>
      <c r="G1406" s="6" t="s">
        <v>464</v>
      </c>
      <c r="H1406" s="6" t="s">
        <v>68</v>
      </c>
      <c r="I1406" s="6" t="s">
        <v>1376</v>
      </c>
      <c r="J1406" s="6">
        <v>799</v>
      </c>
      <c r="K1406" s="7" t="s">
        <v>2777</v>
      </c>
      <c r="L1406" s="8">
        <v>7187777</v>
      </c>
      <c r="M1406" s="8" t="str">
        <f t="shared" si="117"/>
        <v>PEN</v>
      </c>
      <c r="N1406" s="13">
        <v>960</v>
      </c>
      <c r="O1406" s="13"/>
      <c r="P1406" s="3">
        <f t="shared" si="118"/>
        <v>0</v>
      </c>
      <c r="Q1406" s="3">
        <f t="shared" si="119"/>
        <v>0</v>
      </c>
      <c r="R1406" s="3">
        <f t="shared" si="115"/>
        <v>90122.500000000029</v>
      </c>
      <c r="S1406" s="24"/>
      <c r="T1406" s="24" t="s">
        <v>1334</v>
      </c>
      <c r="U1406" s="53"/>
      <c r="V1406" s="25">
        <f>IFERROR(VLOOKUP(BCP_Soles[[#This Row],[destinatario]],CHOOSE({1,2},Clientes_Proveedores[Razon Social],Clientes_Proveedores[Ruc / Dni]),2,0),"")</f>
        <v>20601279666</v>
      </c>
      <c r="W1406" s="25"/>
      <c r="X1406" s="25"/>
      <c r="Y1406" s="25"/>
      <c r="Z1406" s="75"/>
      <c r="AA1406" s="3" t="str">
        <f>IF(BCP_Soles[[#This Row],[fecha]]&gt;0,TEXT(BCP_Soles[[#This Row],[fecha]],"mmmm"),0)</f>
        <v>Abril</v>
      </c>
    </row>
    <row r="1407" spans="1:27" ht="36" x14ac:dyDescent="0.3">
      <c r="A1407" s="2">
        <f>IF(BCP_Soles[[#This Row],[tipo_registro]]="R",COUNTIFS($C$1:$C1406,"R")+1,A1406)</f>
        <v>1062</v>
      </c>
      <c r="B1407" s="19" t="str">
        <f t="shared" si="116"/>
        <v>B-BCP - Soles</v>
      </c>
      <c r="C1407" s="3" t="s">
        <v>1352</v>
      </c>
      <c r="D1407" s="14">
        <v>45770</v>
      </c>
      <c r="E1407" s="5" t="s">
        <v>2269</v>
      </c>
      <c r="F1407" s="5"/>
      <c r="G1407" s="6" t="s">
        <v>277</v>
      </c>
      <c r="H1407" s="6" t="s">
        <v>68</v>
      </c>
      <c r="I1407" s="6" t="s">
        <v>1390</v>
      </c>
      <c r="J1407" s="6">
        <v>1695</v>
      </c>
      <c r="K1407" s="7" t="s">
        <v>2777</v>
      </c>
      <c r="L1407" s="8">
        <v>7187777</v>
      </c>
      <c r="M1407" s="8" t="str">
        <f t="shared" si="117"/>
        <v>PEN</v>
      </c>
      <c r="N1407" s="13">
        <v>2544</v>
      </c>
      <c r="O1407" s="13"/>
      <c r="P1407" s="3">
        <f t="shared" si="118"/>
        <v>0</v>
      </c>
      <c r="Q1407" s="3">
        <f t="shared" si="119"/>
        <v>0</v>
      </c>
      <c r="R1407" s="3">
        <f t="shared" si="115"/>
        <v>90122.500000000029</v>
      </c>
      <c r="S1407" s="24"/>
      <c r="T1407" s="24" t="s">
        <v>1334</v>
      </c>
      <c r="U1407" s="53"/>
      <c r="V1407" s="25">
        <f>IFERROR(VLOOKUP(BCP_Soles[[#This Row],[destinatario]],CHOOSE({1,2},Clientes_Proveedores[Razon Social],Clientes_Proveedores[Ruc / Dni]),2,0),"")</f>
        <v>20429640939</v>
      </c>
      <c r="W1407" s="25"/>
      <c r="X1407" s="25"/>
      <c r="Y1407" s="25"/>
      <c r="Z1407" s="75"/>
      <c r="AA1407" s="3" t="str">
        <f>IF(BCP_Soles[[#This Row],[fecha]]&gt;0,TEXT(BCP_Soles[[#This Row],[fecha]],"mmmm"),0)</f>
        <v>Abril</v>
      </c>
    </row>
    <row r="1408" spans="1:27" ht="36" x14ac:dyDescent="0.3">
      <c r="A1408" s="2">
        <f>IF(BCP_Soles[[#This Row],[tipo_registro]]="R",COUNTIFS($C$1:$C1407,"R")+1,A1407)</f>
        <v>1062</v>
      </c>
      <c r="B1408" s="19" t="str">
        <f t="shared" si="116"/>
        <v>B-BCP - Soles</v>
      </c>
      <c r="C1408" s="3" t="s">
        <v>1352</v>
      </c>
      <c r="D1408" s="14">
        <v>45770</v>
      </c>
      <c r="E1408" s="5" t="s">
        <v>2269</v>
      </c>
      <c r="F1408" s="5"/>
      <c r="G1408" s="6" t="s">
        <v>277</v>
      </c>
      <c r="H1408" s="6" t="s">
        <v>68</v>
      </c>
      <c r="I1408" s="6" t="s">
        <v>1390</v>
      </c>
      <c r="J1408" s="6">
        <v>1698</v>
      </c>
      <c r="K1408" s="7" t="s">
        <v>2777</v>
      </c>
      <c r="L1408" s="8">
        <v>7187777</v>
      </c>
      <c r="M1408" s="8" t="str">
        <f t="shared" si="117"/>
        <v>PEN</v>
      </c>
      <c r="N1408" s="13">
        <v>1247.99</v>
      </c>
      <c r="O1408" s="13"/>
      <c r="P1408" s="3">
        <f t="shared" si="118"/>
        <v>0</v>
      </c>
      <c r="Q1408" s="3">
        <f t="shared" si="119"/>
        <v>0</v>
      </c>
      <c r="R1408" s="3">
        <f t="shared" si="115"/>
        <v>90122.500000000029</v>
      </c>
      <c r="S1408" s="24"/>
      <c r="T1408" s="24" t="s">
        <v>1334</v>
      </c>
      <c r="U1408" s="53"/>
      <c r="V1408" s="25">
        <f>IFERROR(VLOOKUP(BCP_Soles[[#This Row],[destinatario]],CHOOSE({1,2},Clientes_Proveedores[Razon Social],Clientes_Proveedores[Ruc / Dni]),2,0),"")</f>
        <v>20429640939</v>
      </c>
      <c r="W1408" s="25"/>
      <c r="X1408" s="25"/>
      <c r="Y1408" s="25"/>
      <c r="Z1408" s="75"/>
      <c r="AA1408" s="3" t="str">
        <f>IF(BCP_Soles[[#This Row],[fecha]]&gt;0,TEXT(BCP_Soles[[#This Row],[fecha]],"mmmm"),0)</f>
        <v>Abril</v>
      </c>
    </row>
    <row r="1409" spans="1:27" ht="36" x14ac:dyDescent="0.3">
      <c r="A1409" s="2">
        <f>IF(BCP_Soles[[#This Row],[tipo_registro]]="R",COUNTIFS($C$1:$C1408,"R")+1,A1408)</f>
        <v>1063</v>
      </c>
      <c r="B1409" s="19" t="str">
        <f t="shared" si="116"/>
        <v>B-BCP - Soles</v>
      </c>
      <c r="C1409" s="3" t="s">
        <v>1330</v>
      </c>
      <c r="D1409" s="14">
        <v>45771</v>
      </c>
      <c r="E1409" s="5" t="s">
        <v>271</v>
      </c>
      <c r="F1409" s="5" t="s">
        <v>1303</v>
      </c>
      <c r="G1409" s="6" t="s">
        <v>425</v>
      </c>
      <c r="H1409" s="6"/>
      <c r="I1409" s="6"/>
      <c r="J1409" s="6"/>
      <c r="K1409" s="7" t="s">
        <v>2778</v>
      </c>
      <c r="L1409" s="8">
        <v>7434989</v>
      </c>
      <c r="M1409" s="8" t="str">
        <f t="shared" si="117"/>
        <v>PEN</v>
      </c>
      <c r="N1409" s="13"/>
      <c r="O1409" s="13">
        <v>13487.43</v>
      </c>
      <c r="P1409" s="3">
        <f t="shared" si="118"/>
        <v>13487.43</v>
      </c>
      <c r="Q1409" s="3">
        <f t="shared" si="119"/>
        <v>0</v>
      </c>
      <c r="R1409" s="3">
        <f t="shared" si="115"/>
        <v>103609.93000000002</v>
      </c>
      <c r="S1409" s="24" t="s">
        <v>1334</v>
      </c>
      <c r="T1409" s="24" t="s">
        <v>1334</v>
      </c>
      <c r="U1409" s="53"/>
      <c r="V1409" s="25">
        <f>IFERROR(VLOOKUP(BCP_Soles[[#This Row],[destinatario]],CHOOSE({1,2},Clientes_Proveedores[Razon Social],Clientes_Proveedores[Ruc / Dni]),2,0),"")</f>
        <v>20558226979</v>
      </c>
      <c r="W1409" s="25" t="s">
        <v>1345</v>
      </c>
      <c r="X1409" s="25" t="s">
        <v>2779</v>
      </c>
      <c r="Y1409" s="25"/>
      <c r="Z1409" s="75"/>
      <c r="AA1409" s="3" t="str">
        <f>IF(BCP_Soles[[#This Row],[fecha]]&gt;0,TEXT(BCP_Soles[[#This Row],[fecha]],"mmmm"),0)</f>
        <v>Abril</v>
      </c>
    </row>
    <row r="1410" spans="1:27" ht="24" x14ac:dyDescent="0.3">
      <c r="A1410" s="2">
        <f>IF(BCP_Soles[[#This Row],[tipo_registro]]="R",COUNTIFS($C$1:$C1409,"R")+1,A1409)</f>
        <v>1064</v>
      </c>
      <c r="B1410" s="19" t="str">
        <f t="shared" si="116"/>
        <v>B-BCP - Soles</v>
      </c>
      <c r="C1410" s="3" t="s">
        <v>1330</v>
      </c>
      <c r="D1410" s="14">
        <v>45771</v>
      </c>
      <c r="E1410" s="5" t="s">
        <v>659</v>
      </c>
      <c r="F1410" s="5" t="s">
        <v>1303</v>
      </c>
      <c r="G1410" s="6" t="s">
        <v>425</v>
      </c>
      <c r="H1410" s="6"/>
      <c r="I1410" s="6"/>
      <c r="J1410" s="6"/>
      <c r="K1410" s="7" t="s">
        <v>2780</v>
      </c>
      <c r="L1410" s="8">
        <v>7487395</v>
      </c>
      <c r="M1410" s="8" t="str">
        <f t="shared" si="117"/>
        <v>PEN</v>
      </c>
      <c r="N1410" s="13"/>
      <c r="O1410" s="13">
        <v>3087.03</v>
      </c>
      <c r="P1410" s="3">
        <f t="shared" si="118"/>
        <v>3087.03</v>
      </c>
      <c r="Q1410" s="3">
        <f t="shared" si="119"/>
        <v>0</v>
      </c>
      <c r="R1410" s="3">
        <f t="shared" si="115"/>
        <v>106696.96000000002</v>
      </c>
      <c r="S1410" s="24" t="s">
        <v>1334</v>
      </c>
      <c r="T1410" s="24" t="s">
        <v>1334</v>
      </c>
      <c r="U1410" s="53"/>
      <c r="V1410" s="25">
        <f>IFERROR(VLOOKUP(BCP_Soles[[#This Row],[destinatario]],CHOOSE({1,2},Clientes_Proveedores[Razon Social],Clientes_Proveedores[Ruc / Dni]),2,0),"")</f>
        <v>20558226979</v>
      </c>
      <c r="W1410" s="25" t="s">
        <v>1345</v>
      </c>
      <c r="X1410" s="25" t="s">
        <v>2781</v>
      </c>
      <c r="Y1410" s="25"/>
      <c r="Z1410" s="75"/>
      <c r="AA1410" s="3" t="str">
        <f>IF(BCP_Soles[[#This Row],[fecha]]&gt;0,TEXT(BCP_Soles[[#This Row],[fecha]],"mmmm"),0)</f>
        <v>Abril</v>
      </c>
    </row>
    <row r="1411" spans="1:27" x14ac:dyDescent="0.3">
      <c r="A1411" s="2">
        <f>IF(BCP_Soles[[#This Row],[tipo_registro]]="R",COUNTIFS($C$1:$C1410,"R")+1,A1410)</f>
        <v>1065</v>
      </c>
      <c r="B1411" s="19" t="str">
        <f t="shared" si="116"/>
        <v>B-BCP - Soles</v>
      </c>
      <c r="C1411" s="3" t="s">
        <v>1330</v>
      </c>
      <c r="D1411" s="14">
        <v>45771</v>
      </c>
      <c r="E1411" s="5" t="s">
        <v>439</v>
      </c>
      <c r="F1411" s="5" t="s">
        <v>1303</v>
      </c>
      <c r="G1411" s="6" t="s">
        <v>425</v>
      </c>
      <c r="H1411" s="6" t="s">
        <v>119</v>
      </c>
      <c r="I1411" s="6">
        <v>1</v>
      </c>
      <c r="J1411" s="6">
        <v>4351</v>
      </c>
      <c r="K1411" s="7" t="s">
        <v>1356</v>
      </c>
      <c r="L1411" s="8">
        <v>2996977</v>
      </c>
      <c r="M1411" s="8" t="str">
        <f t="shared" si="117"/>
        <v>PEN</v>
      </c>
      <c r="N1411" s="13"/>
      <c r="O1411" s="13">
        <v>1160</v>
      </c>
      <c r="P1411" s="3">
        <f t="shared" si="118"/>
        <v>1160</v>
      </c>
      <c r="Q1411" s="3">
        <f t="shared" si="119"/>
        <v>0</v>
      </c>
      <c r="R1411" s="3">
        <f t="shared" si="115"/>
        <v>107856.96000000002</v>
      </c>
      <c r="S1411" s="24" t="s">
        <v>1334</v>
      </c>
      <c r="T1411" s="24" t="s">
        <v>1334</v>
      </c>
      <c r="U1411" s="53"/>
      <c r="V1411" s="25">
        <f>IFERROR(VLOOKUP(BCP_Soles[[#This Row],[destinatario]],CHOOSE({1,2},Clientes_Proveedores[Razon Social],Clientes_Proveedores[Ruc / Dni]),2,0),"")</f>
        <v>20558226979</v>
      </c>
      <c r="W1411" s="25" t="s">
        <v>1345</v>
      </c>
      <c r="X1411" s="25" t="s">
        <v>2782</v>
      </c>
      <c r="Y1411" s="25"/>
      <c r="Z1411" s="75"/>
      <c r="AA1411" s="3" t="str">
        <f>IF(BCP_Soles[[#This Row],[fecha]]&gt;0,TEXT(BCP_Soles[[#This Row],[fecha]],"mmmm"),0)</f>
        <v>Abril</v>
      </c>
    </row>
    <row r="1412" spans="1:27" ht="24" x14ac:dyDescent="0.3">
      <c r="A1412" s="2">
        <f>IF(BCP_Soles[[#This Row],[tipo_registro]]="R",COUNTIFS($C$1:$C1411,"R")+1,A1411)</f>
        <v>1066</v>
      </c>
      <c r="B1412" s="19" t="str">
        <f t="shared" si="116"/>
        <v>B-BCP - Soles</v>
      </c>
      <c r="C1412" s="3" t="s">
        <v>1330</v>
      </c>
      <c r="D1412" s="14">
        <v>45771</v>
      </c>
      <c r="E1412" s="5" t="s">
        <v>204</v>
      </c>
      <c r="F1412" s="5" t="s">
        <v>1303</v>
      </c>
      <c r="G1412" s="6" t="s">
        <v>425</v>
      </c>
      <c r="H1412" s="6"/>
      <c r="I1412" s="6"/>
      <c r="J1412" s="6"/>
      <c r="K1412" s="7" t="s">
        <v>2783</v>
      </c>
      <c r="L1412" s="8">
        <v>7556704</v>
      </c>
      <c r="M1412" s="8" t="str">
        <f t="shared" si="117"/>
        <v>PEN</v>
      </c>
      <c r="N1412" s="13"/>
      <c r="O1412" s="13">
        <v>881.34</v>
      </c>
      <c r="P1412" s="3">
        <f t="shared" si="118"/>
        <v>881.34</v>
      </c>
      <c r="Q1412" s="3">
        <f t="shared" si="119"/>
        <v>0</v>
      </c>
      <c r="R1412" s="3">
        <f t="shared" si="115"/>
        <v>108738.30000000002</v>
      </c>
      <c r="S1412" s="24" t="s">
        <v>1334</v>
      </c>
      <c r="T1412" s="24" t="s">
        <v>1334</v>
      </c>
      <c r="U1412" s="53"/>
      <c r="V1412" s="25">
        <f>IFERROR(VLOOKUP(BCP_Soles[[#This Row],[destinatario]],CHOOSE({1,2},Clientes_Proveedores[Razon Social],Clientes_Proveedores[Ruc / Dni]),2,0),"")</f>
        <v>20558226979</v>
      </c>
      <c r="W1412" s="25" t="s">
        <v>1345</v>
      </c>
      <c r="X1412" s="25" t="s">
        <v>2784</v>
      </c>
      <c r="Y1412" s="25"/>
      <c r="Z1412" s="75"/>
      <c r="AA1412" s="3" t="str">
        <f>IF(BCP_Soles[[#This Row],[fecha]]&gt;0,TEXT(BCP_Soles[[#This Row],[fecha]],"mmmm"),0)</f>
        <v>Abril</v>
      </c>
    </row>
    <row r="1413" spans="1:27" x14ac:dyDescent="0.3">
      <c r="A1413" s="2">
        <f>IF(BCP_Soles[[#This Row],[tipo_registro]]="R",COUNTIFS($C$1:$C1412,"R")+1,A1412)</f>
        <v>1067</v>
      </c>
      <c r="B1413" s="19" t="str">
        <f t="shared" si="116"/>
        <v>B-BCP - Soles</v>
      </c>
      <c r="C1413" s="3" t="s">
        <v>1330</v>
      </c>
      <c r="D1413" s="14">
        <v>45771</v>
      </c>
      <c r="E1413" s="5" t="s">
        <v>1335</v>
      </c>
      <c r="F1413" s="5" t="s">
        <v>1336</v>
      </c>
      <c r="G1413" s="6"/>
      <c r="H1413" s="6"/>
      <c r="I1413" s="6"/>
      <c r="J1413" s="6"/>
      <c r="K1413" s="7" t="s">
        <v>1337</v>
      </c>
      <c r="L1413" s="8"/>
      <c r="M1413" s="8" t="str">
        <f t="shared" si="117"/>
        <v>PEN</v>
      </c>
      <c r="N1413" s="13"/>
      <c r="O1413" s="13">
        <v>0.85</v>
      </c>
      <c r="P1413" s="3">
        <f t="shared" si="118"/>
        <v>0</v>
      </c>
      <c r="Q1413" s="3">
        <f t="shared" si="119"/>
        <v>0.85</v>
      </c>
      <c r="R1413" s="3">
        <f t="shared" si="115"/>
        <v>108737.45000000001</v>
      </c>
      <c r="S1413" s="24"/>
      <c r="T1413" s="24" t="s">
        <v>1334</v>
      </c>
      <c r="U1413" s="53"/>
      <c r="V1413" s="25" t="str">
        <f>IFERROR(VLOOKUP(BCP_Soles[[#This Row],[destinatario]],CHOOSE({1,2},Clientes_Proveedores[Razon Social],Clientes_Proveedores[Ruc / Dni]),2,0),"")</f>
        <v/>
      </c>
      <c r="W1413" s="25"/>
      <c r="X1413" s="25"/>
      <c r="Y1413" s="25"/>
      <c r="Z1413" s="75"/>
      <c r="AA1413" s="3" t="str">
        <f>IF(BCP_Soles[[#This Row],[fecha]]&gt;0,TEXT(BCP_Soles[[#This Row],[fecha]],"mmmm"),0)</f>
        <v>Abril</v>
      </c>
    </row>
    <row r="1414" spans="1:27" ht="48" x14ac:dyDescent="0.3">
      <c r="A1414" s="2">
        <f>IF(BCP_Soles[[#This Row],[tipo_registro]]="R",COUNTIFS($C$1:$C1413,"R")+1,A1413)</f>
        <v>1068</v>
      </c>
      <c r="B1414" s="19" t="str">
        <f t="shared" si="116"/>
        <v>B-BCP - Soles</v>
      </c>
      <c r="C1414" s="3" t="s">
        <v>1330</v>
      </c>
      <c r="D1414" s="14">
        <v>45771</v>
      </c>
      <c r="E1414" s="5" t="s">
        <v>1338</v>
      </c>
      <c r="F1414" s="5" t="s">
        <v>1336</v>
      </c>
      <c r="G1414" s="6" t="s">
        <v>501</v>
      </c>
      <c r="H1414" s="6" t="s">
        <v>68</v>
      </c>
      <c r="I1414" s="6" t="s">
        <v>1650</v>
      </c>
      <c r="J1414" s="6">
        <v>7453</v>
      </c>
      <c r="K1414" s="7" t="s">
        <v>2785</v>
      </c>
      <c r="L1414" s="8">
        <v>1052748</v>
      </c>
      <c r="M1414" s="8" t="str">
        <f t="shared" si="117"/>
        <v>PEN</v>
      </c>
      <c r="N1414" s="13"/>
      <c r="O1414" s="13">
        <v>160.02000000000001</v>
      </c>
      <c r="P1414" s="3">
        <f t="shared" si="118"/>
        <v>0</v>
      </c>
      <c r="Q1414" s="3">
        <f t="shared" si="119"/>
        <v>160.02000000000001</v>
      </c>
      <c r="R1414" s="3">
        <f t="shared" si="115"/>
        <v>108577.43000000001</v>
      </c>
      <c r="S1414" s="24" t="s">
        <v>1334</v>
      </c>
      <c r="T1414" s="24" t="s">
        <v>1334</v>
      </c>
      <c r="U1414" s="53"/>
      <c r="V1414" s="25">
        <f>IFERROR(VLOOKUP(BCP_Soles[[#This Row],[destinatario]],CHOOSE({1,2},Clientes_Proveedores[Razon Social],Clientes_Proveedores[Ruc / Dni]),2,0),"")</f>
        <v>20602978274</v>
      </c>
      <c r="W1414" s="25" t="s">
        <v>1528</v>
      </c>
      <c r="X1414" s="25" t="s">
        <v>2786</v>
      </c>
      <c r="Y1414" s="25"/>
      <c r="Z1414" s="75"/>
      <c r="AA1414" s="3" t="str">
        <f>IF(BCP_Soles[[#This Row],[fecha]]&gt;0,TEXT(BCP_Soles[[#This Row],[fecha]],"mmmm"),0)</f>
        <v>Abril</v>
      </c>
    </row>
    <row r="1415" spans="1:27" ht="48" x14ac:dyDescent="0.3">
      <c r="A1415" s="2">
        <f>IF(BCP_Soles[[#This Row],[tipo_registro]]="R",COUNTIFS($C$1:$C1414,"R")+1,A1414)</f>
        <v>1069</v>
      </c>
      <c r="B1415" s="19" t="str">
        <f t="shared" si="116"/>
        <v>B-BCP - Soles</v>
      </c>
      <c r="C1415" s="3" t="s">
        <v>1330</v>
      </c>
      <c r="D1415" s="14">
        <v>45771</v>
      </c>
      <c r="E1415" s="5" t="s">
        <v>1338</v>
      </c>
      <c r="F1415" s="5" t="s">
        <v>1336</v>
      </c>
      <c r="G1415" s="6" t="s">
        <v>732</v>
      </c>
      <c r="H1415" s="6" t="s">
        <v>64</v>
      </c>
      <c r="I1415" s="6" t="s">
        <v>1376</v>
      </c>
      <c r="J1415" s="6">
        <v>1</v>
      </c>
      <c r="K1415" s="7" t="s">
        <v>2787</v>
      </c>
      <c r="L1415" s="8">
        <v>4040018</v>
      </c>
      <c r="M1415" s="8" t="str">
        <f t="shared" si="117"/>
        <v>PEN</v>
      </c>
      <c r="N1415" s="13"/>
      <c r="O1415" s="13">
        <v>884.3</v>
      </c>
      <c r="P1415" s="3">
        <f t="shared" si="118"/>
        <v>0</v>
      </c>
      <c r="Q1415" s="3">
        <f t="shared" si="119"/>
        <v>884.3</v>
      </c>
      <c r="R1415" s="3">
        <f t="shared" si="115"/>
        <v>107693.13</v>
      </c>
      <c r="S1415" s="24" t="s">
        <v>1334</v>
      </c>
      <c r="T1415" s="24" t="s">
        <v>1334</v>
      </c>
      <c r="U1415" s="53"/>
      <c r="V1415" s="25">
        <f>IFERROR(VLOOKUP(BCP_Soles[[#This Row],[destinatario]],CHOOSE({1,2},Clientes_Proveedores[Razon Social],Clientes_Proveedores[Ruc / Dni]),2,0),"")</f>
        <v>20613845080</v>
      </c>
      <c r="W1415" s="25" t="s">
        <v>2788</v>
      </c>
      <c r="X1415" s="25" t="s">
        <v>2265</v>
      </c>
      <c r="Y1415" s="25"/>
      <c r="Z1415" s="75"/>
      <c r="AA1415" s="3" t="str">
        <f>IF(BCP_Soles[[#This Row],[fecha]]&gt;0,TEXT(BCP_Soles[[#This Row],[fecha]],"mmmm"),0)</f>
        <v>Abril</v>
      </c>
    </row>
    <row r="1416" spans="1:27" x14ac:dyDescent="0.3">
      <c r="A1416" s="2">
        <f>IF(BCP_Soles[[#This Row],[tipo_registro]]="R",COUNTIFS($C$1:$C1415,"R")+1,A1415)</f>
        <v>1070</v>
      </c>
      <c r="B1416" s="19" t="str">
        <f t="shared" si="116"/>
        <v>B-BCP - Soles</v>
      </c>
      <c r="C1416" s="3" t="s">
        <v>1330</v>
      </c>
      <c r="D1416" s="14">
        <v>45771</v>
      </c>
      <c r="E1416" s="5" t="s">
        <v>1511</v>
      </c>
      <c r="F1416" s="5" t="s">
        <v>1336</v>
      </c>
      <c r="G1416" s="6"/>
      <c r="H1416" s="6"/>
      <c r="I1416" s="6"/>
      <c r="J1416" s="6"/>
      <c r="K1416" s="7" t="s">
        <v>2789</v>
      </c>
      <c r="L1416" s="8">
        <v>1019143</v>
      </c>
      <c r="M1416" s="8" t="str">
        <f t="shared" si="117"/>
        <v>PEN</v>
      </c>
      <c r="N1416" s="13"/>
      <c r="O1416" s="13">
        <v>2000</v>
      </c>
      <c r="P1416" s="3">
        <f t="shared" si="118"/>
        <v>0</v>
      </c>
      <c r="Q1416" s="3">
        <f t="shared" si="119"/>
        <v>2000</v>
      </c>
      <c r="R1416" s="3">
        <f t="shared" si="115"/>
        <v>105693.13</v>
      </c>
      <c r="S1416" s="24"/>
      <c r="T1416" s="24"/>
      <c r="U1416" s="53"/>
      <c r="V1416" s="25" t="str">
        <f>IFERROR(VLOOKUP(BCP_Soles[[#This Row],[destinatario]],CHOOSE({1,2},Clientes_Proveedores[Razon Social],Clientes_Proveedores[Ruc / Dni]),2,0),"")</f>
        <v/>
      </c>
      <c r="W1416" s="25"/>
      <c r="X1416" s="25"/>
      <c r="Y1416" s="25"/>
      <c r="Z1416" s="75"/>
      <c r="AA1416" s="3" t="str">
        <f>IF(BCP_Soles[[#This Row],[fecha]]&gt;0,TEXT(BCP_Soles[[#This Row],[fecha]],"mmmm"),0)</f>
        <v>Abril</v>
      </c>
    </row>
    <row r="1417" spans="1:27" x14ac:dyDescent="0.3">
      <c r="A1417" s="2">
        <f>IF(BCP_Soles[[#This Row],[tipo_registro]]="R",COUNTIFS($C$1:$C1416,"R")+1,A1416)</f>
        <v>1071</v>
      </c>
      <c r="B1417" s="19" t="str">
        <f t="shared" si="116"/>
        <v>B-BCP - Soles</v>
      </c>
      <c r="C1417" s="3" t="s">
        <v>1330</v>
      </c>
      <c r="D1417" s="14">
        <v>45772</v>
      </c>
      <c r="E1417" s="5"/>
      <c r="F1417" s="5" t="s">
        <v>1303</v>
      </c>
      <c r="G1417" s="6" t="s">
        <v>425</v>
      </c>
      <c r="H1417" s="6"/>
      <c r="I1417" s="6"/>
      <c r="J1417" s="6"/>
      <c r="K1417" s="7" t="s">
        <v>1356</v>
      </c>
      <c r="L1417" s="8">
        <v>1078316</v>
      </c>
      <c r="M1417" s="8" t="str">
        <f t="shared" si="117"/>
        <v>PEN</v>
      </c>
      <c r="N1417" s="13"/>
      <c r="O1417" s="13">
        <v>4853</v>
      </c>
      <c r="P1417" s="3">
        <f t="shared" si="118"/>
        <v>4853</v>
      </c>
      <c r="Q1417" s="3">
        <f t="shared" si="119"/>
        <v>0</v>
      </c>
      <c r="R1417" s="3">
        <f t="shared" ref="R1417:R1480" si="120">IFERROR(IF(F1417="SALDO",P1417,R1416+P1417-Q1417),0)</f>
        <v>110546.13</v>
      </c>
      <c r="S1417" s="24" t="s">
        <v>1334</v>
      </c>
      <c r="T1417" s="24" t="s">
        <v>1334</v>
      </c>
      <c r="U1417" s="53"/>
      <c r="V1417" s="25">
        <f>IFERROR(VLOOKUP(BCP_Soles[[#This Row],[destinatario]],CHOOSE({1,2},Clientes_Proveedores[Razon Social],Clientes_Proveedores[Ruc / Dni]),2,0),"")</f>
        <v>20558226979</v>
      </c>
      <c r="W1417" s="25" t="s">
        <v>1345</v>
      </c>
      <c r="X1417" s="25"/>
      <c r="Y1417" s="25"/>
      <c r="Z1417" s="75"/>
      <c r="AA1417" s="3" t="str">
        <f>IF(BCP_Soles[[#This Row],[fecha]]&gt;0,TEXT(BCP_Soles[[#This Row],[fecha]],"mmmm"),0)</f>
        <v>Abril</v>
      </c>
    </row>
    <row r="1418" spans="1:27" x14ac:dyDescent="0.3">
      <c r="A1418" s="2">
        <f>IF(BCP_Soles[[#This Row],[tipo_registro]]="R",COUNTIFS($C$1:$C1417,"R")+1,A1417)</f>
        <v>1071</v>
      </c>
      <c r="B1418" s="19" t="str">
        <f t="shared" si="116"/>
        <v>B-BCP - Soles</v>
      </c>
      <c r="C1418" s="3" t="s">
        <v>1352</v>
      </c>
      <c r="D1418" s="14">
        <v>45772</v>
      </c>
      <c r="E1418" s="5" t="s">
        <v>1522</v>
      </c>
      <c r="F1418" s="5" t="s">
        <v>1303</v>
      </c>
      <c r="G1418" s="6" t="s">
        <v>425</v>
      </c>
      <c r="H1418" s="6" t="s">
        <v>119</v>
      </c>
      <c r="I1418" s="6">
        <v>1</v>
      </c>
      <c r="J1418" s="6">
        <v>4144</v>
      </c>
      <c r="K1418" s="7" t="s">
        <v>1356</v>
      </c>
      <c r="L1418" s="8">
        <v>1078316</v>
      </c>
      <c r="M1418" s="8" t="str">
        <f t="shared" si="117"/>
        <v>PEN</v>
      </c>
      <c r="N1418" s="13">
        <v>1349</v>
      </c>
      <c r="O1418" s="13"/>
      <c r="P1418" s="3">
        <f t="shared" si="118"/>
        <v>0</v>
      </c>
      <c r="Q1418" s="3">
        <f t="shared" si="119"/>
        <v>0</v>
      </c>
      <c r="R1418" s="3">
        <f t="shared" si="120"/>
        <v>110546.13</v>
      </c>
      <c r="S1418" s="24" t="s">
        <v>1334</v>
      </c>
      <c r="T1418" s="24" t="s">
        <v>1334</v>
      </c>
      <c r="U1418" s="53"/>
      <c r="V1418" s="25">
        <f>IFERROR(VLOOKUP(BCP_Soles[[#This Row],[destinatario]],CHOOSE({1,2},Clientes_Proveedores[Razon Social],Clientes_Proveedores[Ruc / Dni]),2,0),"")</f>
        <v>20558226979</v>
      </c>
      <c r="W1418" s="25" t="s">
        <v>1345</v>
      </c>
      <c r="X1418" s="25" t="s">
        <v>2313</v>
      </c>
      <c r="Y1418" s="25"/>
      <c r="Z1418" s="75"/>
      <c r="AA1418" s="3" t="str">
        <f>IF(BCP_Soles[[#This Row],[fecha]]&gt;0,TEXT(BCP_Soles[[#This Row],[fecha]],"mmmm"),0)</f>
        <v>Abril</v>
      </c>
    </row>
    <row r="1419" spans="1:27" x14ac:dyDescent="0.3">
      <c r="A1419" s="2">
        <f>IF(BCP_Soles[[#This Row],[tipo_registro]]="R",COUNTIFS($C$1:$C1418,"R")+1,A1418)</f>
        <v>1071</v>
      </c>
      <c r="B1419" s="19" t="str">
        <f t="shared" si="116"/>
        <v>B-BCP - Soles</v>
      </c>
      <c r="C1419" s="3" t="s">
        <v>1352</v>
      </c>
      <c r="D1419" s="14">
        <v>45772</v>
      </c>
      <c r="E1419" s="5" t="s">
        <v>1522</v>
      </c>
      <c r="F1419" s="5" t="s">
        <v>1303</v>
      </c>
      <c r="G1419" s="6" t="s">
        <v>425</v>
      </c>
      <c r="H1419" s="6" t="s">
        <v>119</v>
      </c>
      <c r="I1419" s="6">
        <v>1</v>
      </c>
      <c r="J1419" s="6">
        <v>4153</v>
      </c>
      <c r="K1419" s="7" t="s">
        <v>1356</v>
      </c>
      <c r="L1419" s="8">
        <v>1078316</v>
      </c>
      <c r="M1419" s="8" t="str">
        <f t="shared" si="117"/>
        <v>PEN</v>
      </c>
      <c r="N1419" s="13">
        <v>2100</v>
      </c>
      <c r="O1419" s="13"/>
      <c r="P1419" s="3">
        <f t="shared" si="118"/>
        <v>0</v>
      </c>
      <c r="Q1419" s="3">
        <f t="shared" si="119"/>
        <v>0</v>
      </c>
      <c r="R1419" s="3">
        <f t="shared" si="120"/>
        <v>110546.13</v>
      </c>
      <c r="S1419" s="24" t="s">
        <v>1334</v>
      </c>
      <c r="T1419" s="24" t="s">
        <v>1334</v>
      </c>
      <c r="U1419" s="53"/>
      <c r="V1419" s="25">
        <f>IFERROR(VLOOKUP(BCP_Soles[[#This Row],[destinatario]],CHOOSE({1,2},Clientes_Proveedores[Razon Social],Clientes_Proveedores[Ruc / Dni]),2,0),"")</f>
        <v>20558226979</v>
      </c>
      <c r="W1419" s="25" t="s">
        <v>1345</v>
      </c>
      <c r="X1419" s="25" t="s">
        <v>2790</v>
      </c>
      <c r="Y1419" s="25"/>
      <c r="Z1419" s="75"/>
      <c r="AA1419" s="3" t="str">
        <f>IF(BCP_Soles[[#This Row],[fecha]]&gt;0,TEXT(BCP_Soles[[#This Row],[fecha]],"mmmm"),0)</f>
        <v>Abril</v>
      </c>
    </row>
    <row r="1420" spans="1:27" x14ac:dyDescent="0.3">
      <c r="A1420" s="2">
        <f>IF(BCP_Soles[[#This Row],[tipo_registro]]="R",COUNTIFS($C$1:$C1419,"R")+1,A1419)</f>
        <v>1071</v>
      </c>
      <c r="B1420" s="19" t="str">
        <f t="shared" si="116"/>
        <v>B-BCP - Soles</v>
      </c>
      <c r="C1420" s="3" t="s">
        <v>1352</v>
      </c>
      <c r="D1420" s="14">
        <v>45772</v>
      </c>
      <c r="E1420" s="5" t="s">
        <v>1522</v>
      </c>
      <c r="F1420" s="5" t="s">
        <v>1303</v>
      </c>
      <c r="G1420" s="6" t="s">
        <v>425</v>
      </c>
      <c r="H1420" s="6" t="s">
        <v>119</v>
      </c>
      <c r="I1420" s="6">
        <v>1</v>
      </c>
      <c r="J1420" s="6">
        <v>4162</v>
      </c>
      <c r="K1420" s="7" t="s">
        <v>1356</v>
      </c>
      <c r="L1420" s="8">
        <v>1078316</v>
      </c>
      <c r="M1420" s="8" t="str">
        <f t="shared" si="117"/>
        <v>PEN</v>
      </c>
      <c r="N1420" s="13">
        <v>1404</v>
      </c>
      <c r="O1420" s="13"/>
      <c r="P1420" s="3">
        <f t="shared" si="118"/>
        <v>0</v>
      </c>
      <c r="Q1420" s="3">
        <f t="shared" si="119"/>
        <v>0</v>
      </c>
      <c r="R1420" s="3">
        <f t="shared" si="120"/>
        <v>110546.13</v>
      </c>
      <c r="S1420" s="24" t="s">
        <v>1334</v>
      </c>
      <c r="T1420" s="24" t="s">
        <v>1334</v>
      </c>
      <c r="U1420" s="53"/>
      <c r="V1420" s="25">
        <f>IFERROR(VLOOKUP(BCP_Soles[[#This Row],[destinatario]],CHOOSE({1,2},Clientes_Proveedores[Razon Social],Clientes_Proveedores[Ruc / Dni]),2,0),"")</f>
        <v>20558226979</v>
      </c>
      <c r="W1420" s="25" t="s">
        <v>1345</v>
      </c>
      <c r="X1420" s="25" t="s">
        <v>2791</v>
      </c>
      <c r="Y1420" s="25"/>
      <c r="Z1420" s="75"/>
      <c r="AA1420" s="3" t="str">
        <f>IF(BCP_Soles[[#This Row],[fecha]]&gt;0,TEXT(BCP_Soles[[#This Row],[fecha]],"mmmm"),0)</f>
        <v>Abril</v>
      </c>
    </row>
    <row r="1421" spans="1:27" x14ac:dyDescent="0.3">
      <c r="A1421" s="2">
        <f>IF(BCP_Soles[[#This Row],[tipo_registro]]="R",COUNTIFS($C$1:$C1420,"R")+1,A1420)</f>
        <v>1072</v>
      </c>
      <c r="B1421" s="19" t="str">
        <f t="shared" si="116"/>
        <v>B-BCP - Soles</v>
      </c>
      <c r="C1421" s="3" t="s">
        <v>1330</v>
      </c>
      <c r="D1421" s="14">
        <v>45772</v>
      </c>
      <c r="E1421" s="5" t="s">
        <v>439</v>
      </c>
      <c r="F1421" s="5" t="s">
        <v>1303</v>
      </c>
      <c r="G1421" s="6" t="s">
        <v>425</v>
      </c>
      <c r="H1421" s="6" t="s">
        <v>119</v>
      </c>
      <c r="I1421" s="6">
        <v>1</v>
      </c>
      <c r="J1421" s="6">
        <v>4309</v>
      </c>
      <c r="K1421" s="7" t="s">
        <v>1356</v>
      </c>
      <c r="L1421" s="8">
        <v>672217</v>
      </c>
      <c r="M1421" s="8" t="str">
        <f t="shared" si="117"/>
        <v>PEN</v>
      </c>
      <c r="N1421" s="13"/>
      <c r="O1421" s="13">
        <v>889</v>
      </c>
      <c r="P1421" s="3">
        <f t="shared" si="118"/>
        <v>889</v>
      </c>
      <c r="Q1421" s="3">
        <f t="shared" si="119"/>
        <v>0</v>
      </c>
      <c r="R1421" s="3">
        <f t="shared" si="120"/>
        <v>111435.13</v>
      </c>
      <c r="S1421" s="24" t="s">
        <v>1334</v>
      </c>
      <c r="T1421" s="24" t="s">
        <v>1334</v>
      </c>
      <c r="U1421" s="53"/>
      <c r="V1421" s="25">
        <f>IFERROR(VLOOKUP(BCP_Soles[[#This Row],[destinatario]],CHOOSE({1,2},Clientes_Proveedores[Razon Social],Clientes_Proveedores[Ruc / Dni]),2,0),"")</f>
        <v>20558226979</v>
      </c>
      <c r="W1421" s="25" t="s">
        <v>1345</v>
      </c>
      <c r="X1421" s="25" t="s">
        <v>2792</v>
      </c>
      <c r="Y1421" s="25"/>
      <c r="Z1421" s="75"/>
      <c r="AA1421" s="3" t="str">
        <f>IF(BCP_Soles[[#This Row],[fecha]]&gt;0,TEXT(BCP_Soles[[#This Row],[fecha]],"mmmm"),0)</f>
        <v>Abril</v>
      </c>
    </row>
    <row r="1422" spans="1:27" ht="36" x14ac:dyDescent="0.3">
      <c r="A1422" s="2">
        <f>IF(BCP_Soles[[#This Row],[tipo_registro]]="R",COUNTIFS($C$1:$C1421,"R")+1,A1421)</f>
        <v>1073</v>
      </c>
      <c r="B1422" s="19" t="str">
        <f t="shared" si="116"/>
        <v>B-BCP - Soles</v>
      </c>
      <c r="C1422" s="3" t="s">
        <v>1330</v>
      </c>
      <c r="D1422" s="14">
        <v>45772</v>
      </c>
      <c r="E1422" s="5" t="s">
        <v>660</v>
      </c>
      <c r="F1422" s="5" t="s">
        <v>1303</v>
      </c>
      <c r="G1422" s="6" t="s">
        <v>425</v>
      </c>
      <c r="H1422" s="6"/>
      <c r="I1422" s="6"/>
      <c r="J1422" s="6"/>
      <c r="K1422" s="7" t="s">
        <v>1356</v>
      </c>
      <c r="L1422" s="8">
        <v>421012</v>
      </c>
      <c r="M1422" s="8" t="str">
        <f t="shared" si="117"/>
        <v>PEN</v>
      </c>
      <c r="N1422" s="13"/>
      <c r="O1422" s="13">
        <v>619.5</v>
      </c>
      <c r="P1422" s="3">
        <f t="shared" si="118"/>
        <v>619.5</v>
      </c>
      <c r="Q1422" s="3">
        <f t="shared" si="119"/>
        <v>0</v>
      </c>
      <c r="R1422" s="3">
        <f t="shared" si="120"/>
        <v>112054.63</v>
      </c>
      <c r="S1422" s="24" t="s">
        <v>1334</v>
      </c>
      <c r="T1422" s="24" t="s">
        <v>1334</v>
      </c>
      <c r="U1422" s="53"/>
      <c r="V1422" s="25">
        <f>IFERROR(VLOOKUP(BCP_Soles[[#This Row],[destinatario]],CHOOSE({1,2},Clientes_Proveedores[Razon Social],Clientes_Proveedores[Ruc / Dni]),2,0),"")</f>
        <v>20558226979</v>
      </c>
      <c r="W1422" s="25" t="s">
        <v>1345</v>
      </c>
      <c r="X1422" s="25" t="s">
        <v>2793</v>
      </c>
      <c r="Y1422" s="25"/>
      <c r="Z1422" s="75"/>
      <c r="AA1422" s="3" t="str">
        <f>IF(BCP_Soles[[#This Row],[fecha]]&gt;0,TEXT(BCP_Soles[[#This Row],[fecha]],"mmmm"),0)</f>
        <v>Abril</v>
      </c>
    </row>
    <row r="1423" spans="1:27" ht="24" x14ac:dyDescent="0.3">
      <c r="A1423" s="2">
        <f>IF(BCP_Soles[[#This Row],[tipo_registro]]="R",COUNTIFS($C$1:$C1422,"R")+1,A1422)</f>
        <v>1074</v>
      </c>
      <c r="B1423" s="19" t="str">
        <f t="shared" si="116"/>
        <v>B-BCP - Soles</v>
      </c>
      <c r="C1423" s="3" t="s">
        <v>1330</v>
      </c>
      <c r="D1423" s="14">
        <v>45772</v>
      </c>
      <c r="E1423" s="5" t="s">
        <v>2103</v>
      </c>
      <c r="F1423" s="5" t="s">
        <v>1303</v>
      </c>
      <c r="G1423" s="6" t="s">
        <v>425</v>
      </c>
      <c r="H1423" s="6" t="s">
        <v>119</v>
      </c>
      <c r="I1423" s="6">
        <v>1</v>
      </c>
      <c r="J1423" s="6">
        <v>4311</v>
      </c>
      <c r="K1423" s="7" t="s">
        <v>2003</v>
      </c>
      <c r="L1423" s="8">
        <v>2257731</v>
      </c>
      <c r="M1423" s="8" t="str">
        <f t="shared" si="117"/>
        <v>PEN</v>
      </c>
      <c r="N1423" s="13"/>
      <c r="O1423" s="13">
        <v>7500</v>
      </c>
      <c r="P1423" s="3">
        <f t="shared" si="118"/>
        <v>7500</v>
      </c>
      <c r="Q1423" s="3">
        <f t="shared" si="119"/>
        <v>0</v>
      </c>
      <c r="R1423" s="3">
        <f t="shared" si="120"/>
        <v>119554.63</v>
      </c>
      <c r="S1423" s="24" t="s">
        <v>1334</v>
      </c>
      <c r="T1423" s="24" t="s">
        <v>1334</v>
      </c>
      <c r="U1423" s="53"/>
      <c r="V1423" s="25">
        <f>IFERROR(VLOOKUP(BCP_Soles[[#This Row],[destinatario]],CHOOSE({1,2},Clientes_Proveedores[Razon Social],Clientes_Proveedores[Ruc / Dni]),2,0),"")</f>
        <v>20558226979</v>
      </c>
      <c r="W1423" s="25" t="s">
        <v>1345</v>
      </c>
      <c r="X1423" s="25" t="s">
        <v>2794</v>
      </c>
      <c r="Y1423" s="25"/>
      <c r="Z1423" s="75"/>
      <c r="AA1423" s="3" t="str">
        <f>IF(BCP_Soles[[#This Row],[fecha]]&gt;0,TEXT(BCP_Soles[[#This Row],[fecha]],"mmmm"),0)</f>
        <v>Abril</v>
      </c>
    </row>
    <row r="1424" spans="1:27" ht="24" x14ac:dyDescent="0.3">
      <c r="A1424" s="2">
        <f>IF(BCP_Soles[[#This Row],[tipo_registro]]="R",COUNTIFS($C$1:$C1423,"R")+1,A1423)</f>
        <v>1075</v>
      </c>
      <c r="B1424" s="19" t="str">
        <f t="shared" si="116"/>
        <v>B-BCP - Soles</v>
      </c>
      <c r="C1424" s="3" t="s">
        <v>1330</v>
      </c>
      <c r="D1424" s="14">
        <v>45772</v>
      </c>
      <c r="E1424" s="5" t="s">
        <v>536</v>
      </c>
      <c r="F1424" s="5" t="s">
        <v>1303</v>
      </c>
      <c r="G1424" s="6" t="s">
        <v>425</v>
      </c>
      <c r="H1424" s="6" t="s">
        <v>119</v>
      </c>
      <c r="I1424" s="6">
        <v>1</v>
      </c>
      <c r="J1424" s="6">
        <v>4383</v>
      </c>
      <c r="K1424" s="7" t="s">
        <v>2795</v>
      </c>
      <c r="L1424" s="8">
        <v>65208</v>
      </c>
      <c r="M1424" s="8" t="str">
        <f t="shared" si="117"/>
        <v>PEN</v>
      </c>
      <c r="N1424" s="13"/>
      <c r="O1424" s="13">
        <v>3985</v>
      </c>
      <c r="P1424" s="3">
        <f t="shared" si="118"/>
        <v>3985</v>
      </c>
      <c r="Q1424" s="3">
        <f t="shared" si="119"/>
        <v>0</v>
      </c>
      <c r="R1424" s="3">
        <f t="shared" si="120"/>
        <v>123539.63</v>
      </c>
      <c r="S1424" s="24" t="s">
        <v>1334</v>
      </c>
      <c r="T1424" s="24" t="s">
        <v>1334</v>
      </c>
      <c r="U1424" s="53"/>
      <c r="V1424" s="25">
        <f>IFERROR(VLOOKUP(BCP_Soles[[#This Row],[destinatario]],CHOOSE({1,2},Clientes_Proveedores[Razon Social],Clientes_Proveedores[Ruc / Dni]),2,0),"")</f>
        <v>20558226979</v>
      </c>
      <c r="W1424" s="25" t="s">
        <v>1345</v>
      </c>
      <c r="X1424" s="25" t="s">
        <v>2796</v>
      </c>
      <c r="Y1424" s="25"/>
      <c r="Z1424" s="75"/>
      <c r="AA1424" s="3" t="str">
        <f>IF(BCP_Soles[[#This Row],[fecha]]&gt;0,TEXT(BCP_Soles[[#This Row],[fecha]],"mmmm"),0)</f>
        <v>Abril</v>
      </c>
    </row>
    <row r="1425" spans="1:27" ht="24" x14ac:dyDescent="0.3">
      <c r="A1425" s="2">
        <f>IF(BCP_Soles[[#This Row],[tipo_registro]]="R",COUNTIFS($C$1:$C1424,"R")+1,A1424)</f>
        <v>1076</v>
      </c>
      <c r="B1425" s="19" t="str">
        <f t="shared" si="116"/>
        <v>B-BCP - Soles</v>
      </c>
      <c r="C1425" s="3" t="s">
        <v>1330</v>
      </c>
      <c r="D1425" s="14">
        <v>45772</v>
      </c>
      <c r="E1425" s="5" t="s">
        <v>2009</v>
      </c>
      <c r="F1425" s="5" t="s">
        <v>1303</v>
      </c>
      <c r="G1425" s="6" t="s">
        <v>425</v>
      </c>
      <c r="H1425" s="6" t="s">
        <v>119</v>
      </c>
      <c r="I1425" s="6">
        <v>1</v>
      </c>
      <c r="J1425" s="6">
        <v>4357</v>
      </c>
      <c r="K1425" s="7" t="s">
        <v>1356</v>
      </c>
      <c r="L1425" s="8">
        <v>3413163</v>
      </c>
      <c r="M1425" s="8" t="str">
        <f t="shared" si="117"/>
        <v>PEN</v>
      </c>
      <c r="N1425" s="13"/>
      <c r="O1425" s="13">
        <v>800</v>
      </c>
      <c r="P1425" s="3">
        <f t="shared" si="118"/>
        <v>800</v>
      </c>
      <c r="Q1425" s="3">
        <f t="shared" si="119"/>
        <v>0</v>
      </c>
      <c r="R1425" s="3">
        <f t="shared" si="120"/>
        <v>124339.63</v>
      </c>
      <c r="S1425" s="24" t="s">
        <v>1334</v>
      </c>
      <c r="T1425" s="24" t="s">
        <v>1334</v>
      </c>
      <c r="U1425" s="53"/>
      <c r="V1425" s="25">
        <f>IFERROR(VLOOKUP(BCP_Soles[[#This Row],[destinatario]],CHOOSE({1,2},Clientes_Proveedores[Razon Social],Clientes_Proveedores[Ruc / Dni]),2,0),"")</f>
        <v>20558226979</v>
      </c>
      <c r="W1425" s="25" t="s">
        <v>1345</v>
      </c>
      <c r="X1425" s="25" t="s">
        <v>2797</v>
      </c>
      <c r="Y1425" s="25"/>
      <c r="Z1425" s="75"/>
      <c r="AA1425" s="3" t="str">
        <f>IF(BCP_Soles[[#This Row],[fecha]]&gt;0,TEXT(BCP_Soles[[#This Row],[fecha]],"mmmm"),0)</f>
        <v>Abril</v>
      </c>
    </row>
    <row r="1426" spans="1:27" ht="48" x14ac:dyDescent="0.3">
      <c r="A1426" s="2">
        <f>IF(BCP_Soles[[#This Row],[tipo_registro]]="R",COUNTIFS($C$1:$C1425,"R")+1,A1425)</f>
        <v>1077</v>
      </c>
      <c r="B1426" s="19" t="str">
        <f t="shared" si="116"/>
        <v>B-BCP - Soles</v>
      </c>
      <c r="C1426" s="3" t="s">
        <v>1330</v>
      </c>
      <c r="D1426" s="14">
        <v>45772</v>
      </c>
      <c r="E1426" s="5" t="s">
        <v>646</v>
      </c>
      <c r="F1426" s="5" t="s">
        <v>1303</v>
      </c>
      <c r="G1426" s="6" t="s">
        <v>425</v>
      </c>
      <c r="H1426" s="6"/>
      <c r="I1426" s="6"/>
      <c r="J1426" s="6"/>
      <c r="K1426" s="7" t="s">
        <v>2798</v>
      </c>
      <c r="L1426" s="8">
        <v>8107954</v>
      </c>
      <c r="M1426" s="8" t="str">
        <f t="shared" si="117"/>
        <v>PEN</v>
      </c>
      <c r="N1426" s="13"/>
      <c r="O1426" s="13">
        <v>438.4</v>
      </c>
      <c r="P1426" s="3">
        <f t="shared" si="118"/>
        <v>438.4</v>
      </c>
      <c r="Q1426" s="3">
        <f t="shared" si="119"/>
        <v>0</v>
      </c>
      <c r="R1426" s="3">
        <f t="shared" si="120"/>
        <v>124778.03</v>
      </c>
      <c r="S1426" s="24"/>
      <c r="T1426" s="24"/>
      <c r="U1426" s="53"/>
      <c r="V1426" s="25">
        <f>IFERROR(VLOOKUP(BCP_Soles[[#This Row],[destinatario]],CHOOSE({1,2},Clientes_Proveedores[Razon Social],Clientes_Proveedores[Ruc / Dni]),2,0),"")</f>
        <v>20558226979</v>
      </c>
      <c r="W1426" s="25" t="s">
        <v>1345</v>
      </c>
      <c r="X1426" s="25" t="s">
        <v>2799</v>
      </c>
      <c r="Y1426" s="25"/>
      <c r="Z1426" s="75"/>
      <c r="AA1426" s="3" t="str">
        <f>IF(BCP_Soles[[#This Row],[fecha]]&gt;0,TEXT(BCP_Soles[[#This Row],[fecha]],"mmmm"),0)</f>
        <v>Abril</v>
      </c>
    </row>
    <row r="1427" spans="1:27" x14ac:dyDescent="0.3">
      <c r="A1427" s="2">
        <f>IF(BCP_Soles[[#This Row],[tipo_registro]]="R",COUNTIFS($C$1:$C1426,"R")+1,A1426)</f>
        <v>1078</v>
      </c>
      <c r="B1427" s="19" t="str">
        <f t="shared" ref="B1427:B1490" si="121">"B-BCP - Soles"</f>
        <v>B-BCP - Soles</v>
      </c>
      <c r="C1427" s="3" t="s">
        <v>1330</v>
      </c>
      <c r="D1427" s="14">
        <v>45772</v>
      </c>
      <c r="E1427" s="5" t="s">
        <v>2800</v>
      </c>
      <c r="F1427" s="5" t="s">
        <v>1303</v>
      </c>
      <c r="G1427" s="6" t="s">
        <v>425</v>
      </c>
      <c r="H1427" s="6" t="s">
        <v>119</v>
      </c>
      <c r="I1427" s="6">
        <v>1</v>
      </c>
      <c r="J1427" s="6">
        <v>4358</v>
      </c>
      <c r="K1427" s="7" t="s">
        <v>1356</v>
      </c>
      <c r="L1427" s="8">
        <v>3006485</v>
      </c>
      <c r="M1427" s="8" t="str">
        <f t="shared" ref="M1427:M1490" si="122">"PEN"</f>
        <v>PEN</v>
      </c>
      <c r="N1427" s="13"/>
      <c r="O1427" s="13">
        <v>260</v>
      </c>
      <c r="P1427" s="3">
        <f t="shared" ref="P1427:P1490" si="123">+IF(OR($F1427="SALDO",$F1427="INGRESO"),$O1427,0)</f>
        <v>260</v>
      </c>
      <c r="Q1427" s="3">
        <f t="shared" ref="Q1427:Q1490" si="124">+IF($F1427="EGRESO",$O1427,0)</f>
        <v>0</v>
      </c>
      <c r="R1427" s="3">
        <f t="shared" si="120"/>
        <v>125038.03</v>
      </c>
      <c r="S1427" s="24" t="s">
        <v>1334</v>
      </c>
      <c r="T1427" s="24" t="s">
        <v>1334</v>
      </c>
      <c r="U1427" s="53"/>
      <c r="V1427" s="25">
        <f>IFERROR(VLOOKUP(BCP_Soles[[#This Row],[destinatario]],CHOOSE({1,2},Clientes_Proveedores[Razon Social],Clientes_Proveedores[Ruc / Dni]),2,0),"")</f>
        <v>20558226979</v>
      </c>
      <c r="W1427" s="25" t="s">
        <v>1345</v>
      </c>
      <c r="X1427" s="25" t="s">
        <v>2801</v>
      </c>
      <c r="Y1427" s="25"/>
      <c r="Z1427" s="75"/>
      <c r="AA1427" s="3" t="str">
        <f>IF(BCP_Soles[[#This Row],[fecha]]&gt;0,TEXT(BCP_Soles[[#This Row],[fecha]],"mmmm"),0)</f>
        <v>Abril</v>
      </c>
    </row>
    <row r="1428" spans="1:27" x14ac:dyDescent="0.3">
      <c r="A1428" s="2">
        <f>IF(BCP_Soles[[#This Row],[tipo_registro]]="R",COUNTIFS($C$1:$C1427,"R")+1,A1427)</f>
        <v>1079</v>
      </c>
      <c r="B1428" s="19" t="str">
        <f t="shared" si="121"/>
        <v>B-BCP - Soles</v>
      </c>
      <c r="C1428" s="3" t="s">
        <v>1330</v>
      </c>
      <c r="D1428" s="14">
        <v>45772</v>
      </c>
      <c r="E1428" s="5" t="s">
        <v>2802</v>
      </c>
      <c r="F1428" s="5" t="s">
        <v>1303</v>
      </c>
      <c r="G1428" s="6" t="s">
        <v>425</v>
      </c>
      <c r="H1428" s="6" t="s">
        <v>119</v>
      </c>
      <c r="I1428" s="6">
        <v>1</v>
      </c>
      <c r="J1428" s="6">
        <v>4359</v>
      </c>
      <c r="K1428" s="7" t="s">
        <v>1356</v>
      </c>
      <c r="L1428" s="8">
        <v>3386669</v>
      </c>
      <c r="M1428" s="8" t="str">
        <f t="shared" si="122"/>
        <v>PEN</v>
      </c>
      <c r="N1428" s="13"/>
      <c r="O1428" s="13">
        <v>75.599999999999994</v>
      </c>
      <c r="P1428" s="3">
        <f t="shared" si="123"/>
        <v>75.599999999999994</v>
      </c>
      <c r="Q1428" s="3">
        <f t="shared" si="124"/>
        <v>0</v>
      </c>
      <c r="R1428" s="3">
        <f t="shared" si="120"/>
        <v>125113.63</v>
      </c>
      <c r="S1428" s="24" t="s">
        <v>1334</v>
      </c>
      <c r="T1428" s="24" t="s">
        <v>1334</v>
      </c>
      <c r="U1428" s="53"/>
      <c r="V1428" s="25">
        <f>IFERROR(VLOOKUP(BCP_Soles[[#This Row],[destinatario]],CHOOSE({1,2},Clientes_Proveedores[Razon Social],Clientes_Proveedores[Ruc / Dni]),2,0),"")</f>
        <v>20558226979</v>
      </c>
      <c r="W1428" s="25" t="s">
        <v>1345</v>
      </c>
      <c r="X1428" s="25" t="s">
        <v>2803</v>
      </c>
      <c r="Y1428" s="25"/>
      <c r="Z1428" s="75"/>
      <c r="AA1428" s="3" t="str">
        <f>IF(BCP_Soles[[#This Row],[fecha]]&gt;0,TEXT(BCP_Soles[[#This Row],[fecha]],"mmmm"),0)</f>
        <v>Abril</v>
      </c>
    </row>
    <row r="1429" spans="1:27" x14ac:dyDescent="0.3">
      <c r="A1429" s="2">
        <f>IF(BCP_Soles[[#This Row],[tipo_registro]]="R",COUNTIFS($C$1:$C1428,"R")+1,A1428)</f>
        <v>1080</v>
      </c>
      <c r="B1429" s="19" t="str">
        <f t="shared" si="121"/>
        <v>B-BCP - Soles</v>
      </c>
      <c r="C1429" s="3" t="s">
        <v>1330</v>
      </c>
      <c r="D1429" s="14">
        <v>45772</v>
      </c>
      <c r="E1429" s="5" t="s">
        <v>1335</v>
      </c>
      <c r="F1429" s="5" t="s">
        <v>1336</v>
      </c>
      <c r="G1429" s="6"/>
      <c r="H1429" s="6"/>
      <c r="I1429" s="6"/>
      <c r="J1429" s="6"/>
      <c r="K1429" s="7" t="s">
        <v>1337</v>
      </c>
      <c r="L1429" s="8"/>
      <c r="M1429" s="8" t="str">
        <f t="shared" si="122"/>
        <v>PEN</v>
      </c>
      <c r="N1429" s="13"/>
      <c r="O1429" s="13">
        <v>0.75</v>
      </c>
      <c r="P1429" s="3">
        <f t="shared" si="123"/>
        <v>0</v>
      </c>
      <c r="Q1429" s="3">
        <f t="shared" si="124"/>
        <v>0.75</v>
      </c>
      <c r="R1429" s="3">
        <f t="shared" si="120"/>
        <v>125112.88</v>
      </c>
      <c r="S1429" s="24"/>
      <c r="T1429" s="24" t="s">
        <v>1334</v>
      </c>
      <c r="U1429" s="53"/>
      <c r="V1429" s="25" t="str">
        <f>IFERROR(VLOOKUP(BCP_Soles[[#This Row],[destinatario]],CHOOSE({1,2},Clientes_Proveedores[Razon Social],Clientes_Proveedores[Ruc / Dni]),2,0),"")</f>
        <v/>
      </c>
      <c r="W1429" s="25"/>
      <c r="X1429" s="25"/>
      <c r="Y1429" s="25"/>
      <c r="Z1429" s="75"/>
      <c r="AA1429" s="3" t="str">
        <f>IF(BCP_Soles[[#This Row],[fecha]]&gt;0,TEXT(BCP_Soles[[#This Row],[fecha]],"mmmm"),0)</f>
        <v>Abril</v>
      </c>
    </row>
    <row r="1430" spans="1:27" ht="24" x14ac:dyDescent="0.3">
      <c r="A1430" s="2">
        <f>IF(BCP_Soles[[#This Row],[tipo_registro]]="R",COUNTIFS($C$1:$C1429,"R")+1,A1429)</f>
        <v>1081</v>
      </c>
      <c r="B1430" s="19" t="str">
        <f t="shared" si="121"/>
        <v>B-BCP - Soles</v>
      </c>
      <c r="C1430" s="3" t="s">
        <v>1330</v>
      </c>
      <c r="D1430" s="14">
        <v>45772</v>
      </c>
      <c r="E1430" s="5" t="s">
        <v>1335</v>
      </c>
      <c r="F1430" s="5" t="s">
        <v>1336</v>
      </c>
      <c r="G1430" s="6" t="s">
        <v>1060</v>
      </c>
      <c r="H1430" s="6" t="s">
        <v>68</v>
      </c>
      <c r="I1430" s="6" t="s">
        <v>1397</v>
      </c>
      <c r="J1430" s="6">
        <v>31978920</v>
      </c>
      <c r="K1430" s="7" t="s">
        <v>1400</v>
      </c>
      <c r="L1430" s="8">
        <v>566</v>
      </c>
      <c r="M1430" s="8" t="str">
        <f t="shared" si="122"/>
        <v>PEN</v>
      </c>
      <c r="N1430" s="13"/>
      <c r="O1430" s="13">
        <v>10</v>
      </c>
      <c r="P1430" s="3">
        <f t="shared" si="123"/>
        <v>0</v>
      </c>
      <c r="Q1430" s="3">
        <f t="shared" si="124"/>
        <v>10</v>
      </c>
      <c r="R1430" s="3">
        <f t="shared" si="120"/>
        <v>125102.88</v>
      </c>
      <c r="S1430" s="24"/>
      <c r="T1430" s="24" t="s">
        <v>1334</v>
      </c>
      <c r="U1430" s="53"/>
      <c r="V1430" s="25">
        <f>IFERROR(VLOOKUP(BCP_Soles[[#This Row],[destinatario]],CHOOSE({1,2},Clientes_Proveedores[Razon Social],Clientes_Proveedores[Ruc / Dni]),2,0),"")</f>
        <v>20100047218</v>
      </c>
      <c r="W1430" s="25" t="s">
        <v>1335</v>
      </c>
      <c r="X1430" s="25" t="s">
        <v>2804</v>
      </c>
      <c r="Y1430" s="25"/>
      <c r="Z1430" s="75"/>
      <c r="AA1430" s="3" t="str">
        <f>IF(BCP_Soles[[#This Row],[fecha]]&gt;0,TEXT(BCP_Soles[[#This Row],[fecha]],"mmmm"),0)</f>
        <v>Abril</v>
      </c>
    </row>
    <row r="1431" spans="1:27" x14ac:dyDescent="0.3">
      <c r="A1431" s="2">
        <f>IF(BCP_Soles[[#This Row],[tipo_registro]]="R",COUNTIFS($C$1:$C1430,"R")+1,A1430)</f>
        <v>1082</v>
      </c>
      <c r="B1431" s="19" t="str">
        <f t="shared" si="121"/>
        <v>B-BCP - Soles</v>
      </c>
      <c r="C1431" s="3" t="s">
        <v>1330</v>
      </c>
      <c r="D1431" s="14">
        <v>45772</v>
      </c>
      <c r="E1431" s="5" t="s">
        <v>2269</v>
      </c>
      <c r="F1431" s="5" t="s">
        <v>1336</v>
      </c>
      <c r="G1431" s="6" t="s">
        <v>196</v>
      </c>
      <c r="H1431" s="6" t="s">
        <v>68</v>
      </c>
      <c r="I1431" s="6" t="s">
        <v>2226</v>
      </c>
      <c r="J1431" s="6">
        <v>6263</v>
      </c>
      <c r="K1431" s="7" t="s">
        <v>2227</v>
      </c>
      <c r="L1431" s="8">
        <v>291716</v>
      </c>
      <c r="M1431" s="8" t="str">
        <f t="shared" si="122"/>
        <v>PEN</v>
      </c>
      <c r="N1431" s="13"/>
      <c r="O1431" s="13">
        <v>25.5</v>
      </c>
      <c r="P1431" s="3">
        <f t="shared" si="123"/>
        <v>0</v>
      </c>
      <c r="Q1431" s="3">
        <f t="shared" si="124"/>
        <v>25.5</v>
      </c>
      <c r="R1431" s="3">
        <f t="shared" si="120"/>
        <v>125077.38</v>
      </c>
      <c r="S1431" s="24" t="s">
        <v>1334</v>
      </c>
      <c r="T1431" s="24" t="s">
        <v>1334</v>
      </c>
      <c r="U1431" s="53"/>
      <c r="V1431" s="25">
        <f>IFERROR(VLOOKUP(BCP_Soles[[#This Row],[destinatario]],CHOOSE({1,2},Clientes_Proveedores[Razon Social],Clientes_Proveedores[Ruc / Dni]),2,0),"")</f>
        <v>20100055237</v>
      </c>
      <c r="W1431" s="25" t="s">
        <v>2228</v>
      </c>
      <c r="X1431" s="25" t="s">
        <v>2805</v>
      </c>
      <c r="Y1431" s="25"/>
      <c r="Z1431" s="75"/>
      <c r="AA1431" s="3" t="str">
        <f>IF(BCP_Soles[[#This Row],[fecha]]&gt;0,TEXT(BCP_Soles[[#This Row],[fecha]],"mmmm"),0)</f>
        <v>Abril</v>
      </c>
    </row>
    <row r="1432" spans="1:27" x14ac:dyDescent="0.3">
      <c r="A1432" s="2">
        <f>IF(BCP_Soles[[#This Row],[tipo_registro]]="R",COUNTIFS($C$1:$C1431,"R")+1,A1431)</f>
        <v>1083</v>
      </c>
      <c r="B1432" s="19" t="str">
        <f t="shared" si="121"/>
        <v>B-BCP - Soles</v>
      </c>
      <c r="C1432" s="3" t="s">
        <v>1330</v>
      </c>
      <c r="D1432" s="14">
        <v>45772</v>
      </c>
      <c r="E1432" s="5" t="s">
        <v>2269</v>
      </c>
      <c r="F1432" s="5" t="s">
        <v>1336</v>
      </c>
      <c r="G1432" s="6" t="s">
        <v>196</v>
      </c>
      <c r="H1432" s="6" t="s">
        <v>68</v>
      </c>
      <c r="I1432" s="6" t="s">
        <v>2226</v>
      </c>
      <c r="J1432" s="6">
        <v>6262</v>
      </c>
      <c r="K1432" s="7" t="s">
        <v>2227</v>
      </c>
      <c r="L1432" s="8">
        <v>291716</v>
      </c>
      <c r="M1432" s="8" t="str">
        <f t="shared" si="122"/>
        <v>PEN</v>
      </c>
      <c r="N1432" s="13"/>
      <c r="O1432" s="13">
        <v>36.479999999999997</v>
      </c>
      <c r="P1432" s="3">
        <f t="shared" si="123"/>
        <v>0</v>
      </c>
      <c r="Q1432" s="3">
        <f t="shared" si="124"/>
        <v>36.479999999999997</v>
      </c>
      <c r="R1432" s="3">
        <f t="shared" si="120"/>
        <v>125040.90000000001</v>
      </c>
      <c r="S1432" s="24" t="s">
        <v>1334</v>
      </c>
      <c r="T1432" s="24" t="s">
        <v>1334</v>
      </c>
      <c r="U1432" s="53"/>
      <c r="V1432" s="25">
        <f>IFERROR(VLOOKUP(BCP_Soles[[#This Row],[destinatario]],CHOOSE({1,2},Clientes_Proveedores[Razon Social],Clientes_Proveedores[Ruc / Dni]),2,0),"")</f>
        <v>20100055237</v>
      </c>
      <c r="W1432" s="25" t="s">
        <v>2228</v>
      </c>
      <c r="X1432" s="25" t="s">
        <v>2806</v>
      </c>
      <c r="Y1432" s="25"/>
      <c r="Z1432" s="75"/>
      <c r="AA1432" s="3" t="str">
        <f>IF(BCP_Soles[[#This Row],[fecha]]&gt;0,TEXT(BCP_Soles[[#This Row],[fecha]],"mmmm"),0)</f>
        <v>Abril</v>
      </c>
    </row>
    <row r="1433" spans="1:27" x14ac:dyDescent="0.3">
      <c r="A1433" s="2">
        <f>IF(BCP_Soles[[#This Row],[tipo_registro]]="R",COUNTIFS($C$1:$C1432,"R")+1,A1432)</f>
        <v>1084</v>
      </c>
      <c r="B1433" s="19" t="str">
        <f t="shared" si="121"/>
        <v>B-BCP - Soles</v>
      </c>
      <c r="C1433" s="3" t="s">
        <v>1330</v>
      </c>
      <c r="D1433" s="14">
        <v>45772</v>
      </c>
      <c r="E1433" s="5" t="s">
        <v>2269</v>
      </c>
      <c r="F1433" s="5" t="s">
        <v>1336</v>
      </c>
      <c r="G1433" s="6" t="s">
        <v>196</v>
      </c>
      <c r="H1433" s="6" t="s">
        <v>68</v>
      </c>
      <c r="I1433" s="6" t="s">
        <v>2226</v>
      </c>
      <c r="J1433" s="6">
        <v>6265</v>
      </c>
      <c r="K1433" s="7" t="s">
        <v>2227</v>
      </c>
      <c r="L1433" s="8">
        <v>290260</v>
      </c>
      <c r="M1433" s="8" t="str">
        <f t="shared" si="122"/>
        <v>PEN</v>
      </c>
      <c r="N1433" s="13"/>
      <c r="O1433" s="13">
        <v>40.79</v>
      </c>
      <c r="P1433" s="3">
        <f t="shared" si="123"/>
        <v>0</v>
      </c>
      <c r="Q1433" s="3">
        <f t="shared" si="124"/>
        <v>40.79</v>
      </c>
      <c r="R1433" s="3">
        <f t="shared" si="120"/>
        <v>125000.11000000002</v>
      </c>
      <c r="S1433" s="24" t="s">
        <v>1334</v>
      </c>
      <c r="T1433" s="24" t="s">
        <v>1334</v>
      </c>
      <c r="U1433" s="53"/>
      <c r="V1433" s="25">
        <f>IFERROR(VLOOKUP(BCP_Soles[[#This Row],[destinatario]],CHOOSE({1,2},Clientes_Proveedores[Razon Social],Clientes_Proveedores[Ruc / Dni]),2,0),"")</f>
        <v>20100055237</v>
      </c>
      <c r="W1433" s="25" t="s">
        <v>2228</v>
      </c>
      <c r="X1433" s="25" t="s">
        <v>2807</v>
      </c>
      <c r="Y1433" s="25"/>
      <c r="Z1433" s="75"/>
      <c r="AA1433" s="3" t="str">
        <f>IF(BCP_Soles[[#This Row],[fecha]]&gt;0,TEXT(BCP_Soles[[#This Row],[fecha]],"mmmm"),0)</f>
        <v>Abril</v>
      </c>
    </row>
    <row r="1434" spans="1:27" x14ac:dyDescent="0.3">
      <c r="A1434" s="2">
        <f>IF(BCP_Soles[[#This Row],[tipo_registro]]="R",COUNTIFS($C$1:$C1433,"R")+1,A1433)</f>
        <v>1085</v>
      </c>
      <c r="B1434" s="19" t="str">
        <f t="shared" si="121"/>
        <v>B-BCP - Soles</v>
      </c>
      <c r="C1434" s="3" t="s">
        <v>1330</v>
      </c>
      <c r="D1434" s="14">
        <v>45772</v>
      </c>
      <c r="E1434" s="5" t="s">
        <v>2269</v>
      </c>
      <c r="F1434" s="5" t="s">
        <v>1336</v>
      </c>
      <c r="G1434" s="6" t="s">
        <v>196</v>
      </c>
      <c r="H1434" s="6" t="s">
        <v>68</v>
      </c>
      <c r="I1434" s="6" t="s">
        <v>2226</v>
      </c>
      <c r="J1434" s="6">
        <v>6261</v>
      </c>
      <c r="K1434" s="7" t="s">
        <v>2227</v>
      </c>
      <c r="L1434" s="8">
        <v>291218</v>
      </c>
      <c r="M1434" s="8" t="str">
        <f t="shared" si="122"/>
        <v>PEN</v>
      </c>
      <c r="N1434" s="13"/>
      <c r="O1434" s="13">
        <v>56.91</v>
      </c>
      <c r="P1434" s="3">
        <f t="shared" si="123"/>
        <v>0</v>
      </c>
      <c r="Q1434" s="3">
        <f t="shared" si="124"/>
        <v>56.91</v>
      </c>
      <c r="R1434" s="3">
        <f t="shared" si="120"/>
        <v>124943.20000000001</v>
      </c>
      <c r="S1434" s="24" t="s">
        <v>1334</v>
      </c>
      <c r="T1434" s="24" t="s">
        <v>1334</v>
      </c>
      <c r="U1434" s="53"/>
      <c r="V1434" s="25">
        <f>IFERROR(VLOOKUP(BCP_Soles[[#This Row],[destinatario]],CHOOSE({1,2},Clientes_Proveedores[Razon Social],Clientes_Proveedores[Ruc / Dni]),2,0),"")</f>
        <v>20100055237</v>
      </c>
      <c r="W1434" s="25" t="s">
        <v>2228</v>
      </c>
      <c r="X1434" s="25" t="s">
        <v>2808</v>
      </c>
      <c r="Y1434" s="25"/>
      <c r="Z1434" s="75"/>
      <c r="AA1434" s="3" t="str">
        <f>IF(BCP_Soles[[#This Row],[fecha]]&gt;0,TEXT(BCP_Soles[[#This Row],[fecha]],"mmmm"),0)</f>
        <v>Abril</v>
      </c>
    </row>
    <row r="1435" spans="1:27" x14ac:dyDescent="0.3">
      <c r="A1435" s="2">
        <f>IF(BCP_Soles[[#This Row],[tipo_registro]]="R",COUNTIFS($C$1:$C1434,"R")+1,A1434)</f>
        <v>1086</v>
      </c>
      <c r="B1435" s="19" t="str">
        <f t="shared" si="121"/>
        <v>B-BCP - Soles</v>
      </c>
      <c r="C1435" s="3" t="s">
        <v>1330</v>
      </c>
      <c r="D1435" s="14">
        <v>45772</v>
      </c>
      <c r="E1435" s="5" t="s">
        <v>2269</v>
      </c>
      <c r="F1435" s="5" t="s">
        <v>1336</v>
      </c>
      <c r="G1435" s="6" t="s">
        <v>196</v>
      </c>
      <c r="H1435" s="6" t="s">
        <v>68</v>
      </c>
      <c r="I1435" s="6" t="s">
        <v>2226</v>
      </c>
      <c r="J1435" s="6">
        <v>6267</v>
      </c>
      <c r="K1435" s="7" t="s">
        <v>2227</v>
      </c>
      <c r="L1435" s="8">
        <v>292198</v>
      </c>
      <c r="M1435" s="8" t="str">
        <f t="shared" si="122"/>
        <v>PEN</v>
      </c>
      <c r="N1435" s="13"/>
      <c r="O1435" s="13">
        <v>135.30000000000001</v>
      </c>
      <c r="P1435" s="3">
        <f t="shared" si="123"/>
        <v>0</v>
      </c>
      <c r="Q1435" s="3">
        <f t="shared" si="124"/>
        <v>135.30000000000001</v>
      </c>
      <c r="R1435" s="3">
        <f t="shared" si="120"/>
        <v>124807.90000000001</v>
      </c>
      <c r="S1435" s="24" t="s">
        <v>1334</v>
      </c>
      <c r="T1435" s="24" t="s">
        <v>1334</v>
      </c>
      <c r="U1435" s="53"/>
      <c r="V1435" s="25">
        <f>IFERROR(VLOOKUP(BCP_Soles[[#This Row],[destinatario]],CHOOSE({1,2},Clientes_Proveedores[Razon Social],Clientes_Proveedores[Ruc / Dni]),2,0),"")</f>
        <v>20100055237</v>
      </c>
      <c r="W1435" s="25" t="s">
        <v>2228</v>
      </c>
      <c r="X1435" s="25" t="s">
        <v>2809</v>
      </c>
      <c r="Y1435" s="25"/>
      <c r="Z1435" s="75"/>
      <c r="AA1435" s="3" t="str">
        <f>IF(BCP_Soles[[#This Row],[fecha]]&gt;0,TEXT(BCP_Soles[[#This Row],[fecha]],"mmmm"),0)</f>
        <v>Abril</v>
      </c>
    </row>
    <row r="1436" spans="1:27" x14ac:dyDescent="0.3">
      <c r="A1436" s="2">
        <f>IF(BCP_Soles[[#This Row],[tipo_registro]]="R",COUNTIFS($C$1:$C1435,"R")+1,A1435)</f>
        <v>1087</v>
      </c>
      <c r="B1436" s="19" t="str">
        <f t="shared" si="121"/>
        <v>B-BCP - Soles</v>
      </c>
      <c r="C1436" s="3" t="s">
        <v>1330</v>
      </c>
      <c r="D1436" s="14">
        <v>45772</v>
      </c>
      <c r="E1436" s="5" t="s">
        <v>2269</v>
      </c>
      <c r="F1436" s="5" t="s">
        <v>1336</v>
      </c>
      <c r="G1436" s="6" t="s">
        <v>196</v>
      </c>
      <c r="H1436" s="6" t="s">
        <v>68</v>
      </c>
      <c r="I1436" s="6" t="s">
        <v>2226</v>
      </c>
      <c r="J1436" s="6">
        <v>6266</v>
      </c>
      <c r="K1436" s="7" t="s">
        <v>2227</v>
      </c>
      <c r="L1436" s="8">
        <v>288803</v>
      </c>
      <c r="M1436" s="8" t="str">
        <f t="shared" si="122"/>
        <v>PEN</v>
      </c>
      <c r="N1436" s="13"/>
      <c r="O1436" s="13">
        <v>333.94</v>
      </c>
      <c r="P1436" s="3">
        <f t="shared" si="123"/>
        <v>0</v>
      </c>
      <c r="Q1436" s="3">
        <f t="shared" si="124"/>
        <v>333.94</v>
      </c>
      <c r="R1436" s="3">
        <f t="shared" si="120"/>
        <v>124473.96</v>
      </c>
      <c r="S1436" s="24" t="s">
        <v>1334</v>
      </c>
      <c r="T1436" s="24" t="s">
        <v>1334</v>
      </c>
      <c r="U1436" s="53"/>
      <c r="V1436" s="25">
        <f>IFERROR(VLOOKUP(BCP_Soles[[#This Row],[destinatario]],CHOOSE({1,2},Clientes_Proveedores[Razon Social],Clientes_Proveedores[Ruc / Dni]),2,0),"")</f>
        <v>20100055237</v>
      </c>
      <c r="W1436" s="25" t="s">
        <v>2228</v>
      </c>
      <c r="X1436" s="25" t="s">
        <v>2810</v>
      </c>
      <c r="Y1436" s="25"/>
      <c r="Z1436" s="75"/>
      <c r="AA1436" s="3" t="str">
        <f>IF(BCP_Soles[[#This Row],[fecha]]&gt;0,TEXT(BCP_Soles[[#This Row],[fecha]],"mmmm"),0)</f>
        <v>Abril</v>
      </c>
    </row>
    <row r="1437" spans="1:27" ht="24" x14ac:dyDescent="0.3">
      <c r="A1437" s="2">
        <f>IF(BCP_Soles[[#This Row],[tipo_registro]]="R",COUNTIFS($C$1:$C1436,"R")+1,A1436)</f>
        <v>1088</v>
      </c>
      <c r="B1437" s="19" t="str">
        <f t="shared" si="121"/>
        <v>B-BCP - Soles</v>
      </c>
      <c r="C1437" s="3" t="s">
        <v>1330</v>
      </c>
      <c r="D1437" s="14">
        <v>45772</v>
      </c>
      <c r="E1437" s="5" t="s">
        <v>1338</v>
      </c>
      <c r="F1437" s="5" t="s">
        <v>1336</v>
      </c>
      <c r="G1437" s="6" t="s">
        <v>997</v>
      </c>
      <c r="H1437" s="6" t="s">
        <v>143</v>
      </c>
      <c r="I1437" s="6">
        <v>1</v>
      </c>
      <c r="J1437" s="6">
        <v>382025</v>
      </c>
      <c r="K1437" s="7" t="s">
        <v>2811</v>
      </c>
      <c r="L1437" s="8">
        <v>1187583</v>
      </c>
      <c r="M1437" s="8" t="str">
        <f t="shared" si="122"/>
        <v>PEN</v>
      </c>
      <c r="N1437" s="13"/>
      <c r="O1437" s="13">
        <v>458</v>
      </c>
      <c r="P1437" s="3">
        <f t="shared" si="123"/>
        <v>0</v>
      </c>
      <c r="Q1437" s="3">
        <f t="shared" si="124"/>
        <v>458</v>
      </c>
      <c r="R1437" s="3">
        <f t="shared" si="120"/>
        <v>124015.96</v>
      </c>
      <c r="S1437" s="24" t="s">
        <v>1334</v>
      </c>
      <c r="T1437" s="24" t="s">
        <v>1334</v>
      </c>
      <c r="U1437" s="53"/>
      <c r="V1437" s="25">
        <f>IFERROR(VLOOKUP(BCP_Soles[[#This Row],[destinatario]],CHOOSE({1,2},Clientes_Proveedores[Razon Social],Clientes_Proveedores[Ruc / Dni]),2,0),"")</f>
        <v>71334789</v>
      </c>
      <c r="W1437" s="25" t="s">
        <v>997</v>
      </c>
      <c r="X1437" s="25" t="s">
        <v>2812</v>
      </c>
      <c r="Y1437" s="25"/>
      <c r="Z1437" s="75"/>
      <c r="AA1437" s="3" t="str">
        <f>IF(BCP_Soles[[#This Row],[fecha]]&gt;0,TEXT(BCP_Soles[[#This Row],[fecha]],"mmmm"),0)</f>
        <v>Abril</v>
      </c>
    </row>
    <row r="1438" spans="1:27" x14ac:dyDescent="0.3">
      <c r="A1438" s="2">
        <f>IF(BCP_Soles[[#This Row],[tipo_registro]]="R",COUNTIFS($C$1:$C1437,"R")+1,A1437)</f>
        <v>1089</v>
      </c>
      <c r="B1438" s="19" t="str">
        <f t="shared" si="121"/>
        <v>B-BCP - Soles</v>
      </c>
      <c r="C1438" s="3" t="s">
        <v>1330</v>
      </c>
      <c r="D1438" s="14">
        <v>45772</v>
      </c>
      <c r="E1438" s="5" t="s">
        <v>1338</v>
      </c>
      <c r="F1438" s="5" t="s">
        <v>1336</v>
      </c>
      <c r="G1438" s="6"/>
      <c r="H1438" s="6"/>
      <c r="I1438" s="6"/>
      <c r="J1438" s="6"/>
      <c r="K1438" s="7" t="s">
        <v>2813</v>
      </c>
      <c r="L1438" s="8">
        <v>1011503</v>
      </c>
      <c r="M1438" s="8" t="str">
        <f t="shared" si="122"/>
        <v>PEN</v>
      </c>
      <c r="N1438" s="13"/>
      <c r="O1438" s="13">
        <v>668</v>
      </c>
      <c r="P1438" s="3">
        <f t="shared" si="123"/>
        <v>0</v>
      </c>
      <c r="Q1438" s="3">
        <f t="shared" si="124"/>
        <v>668</v>
      </c>
      <c r="R1438" s="3">
        <f t="shared" si="120"/>
        <v>123347.96</v>
      </c>
      <c r="S1438" s="24"/>
      <c r="T1438" s="24"/>
      <c r="U1438" s="53"/>
      <c r="V1438" s="25" t="str">
        <f>IFERROR(VLOOKUP(BCP_Soles[[#This Row],[destinatario]],CHOOSE({1,2},Clientes_Proveedores[Razon Social],Clientes_Proveedores[Ruc / Dni]),2,0),"")</f>
        <v/>
      </c>
      <c r="W1438" s="25" t="s">
        <v>2666</v>
      </c>
      <c r="X1438" s="25"/>
      <c r="Y1438" s="25"/>
      <c r="Z1438" s="75"/>
      <c r="AA1438" s="3" t="str">
        <f>IF(BCP_Soles[[#This Row],[fecha]]&gt;0,TEXT(BCP_Soles[[#This Row],[fecha]],"mmmm"),0)</f>
        <v>Abril</v>
      </c>
    </row>
    <row r="1439" spans="1:27" x14ac:dyDescent="0.3">
      <c r="A1439" s="2">
        <f>IF(BCP_Soles[[#This Row],[tipo_registro]]="R",COUNTIFS($C$1:$C1438,"R")+1,A1438)</f>
        <v>1090</v>
      </c>
      <c r="B1439" s="19" t="str">
        <f t="shared" si="121"/>
        <v>B-BCP - Soles</v>
      </c>
      <c r="C1439" s="3" t="s">
        <v>1330</v>
      </c>
      <c r="D1439" s="14">
        <v>45772</v>
      </c>
      <c r="E1439" s="5" t="s">
        <v>2269</v>
      </c>
      <c r="F1439" s="5" t="s">
        <v>1336</v>
      </c>
      <c r="G1439" s="6" t="s">
        <v>196</v>
      </c>
      <c r="H1439" s="6" t="s">
        <v>68</v>
      </c>
      <c r="I1439" s="6" t="s">
        <v>2226</v>
      </c>
      <c r="J1439" s="6">
        <v>6264</v>
      </c>
      <c r="K1439" s="7" t="s">
        <v>2227</v>
      </c>
      <c r="L1439" s="8">
        <v>291220</v>
      </c>
      <c r="M1439" s="8" t="str">
        <f t="shared" si="122"/>
        <v>PEN</v>
      </c>
      <c r="N1439" s="13"/>
      <c r="O1439" s="13">
        <v>673.96</v>
      </c>
      <c r="P1439" s="3">
        <f t="shared" si="123"/>
        <v>0</v>
      </c>
      <c r="Q1439" s="3">
        <f t="shared" si="124"/>
        <v>673.96</v>
      </c>
      <c r="R1439" s="3">
        <f t="shared" si="120"/>
        <v>122674</v>
      </c>
      <c r="S1439" s="24" t="s">
        <v>1334</v>
      </c>
      <c r="T1439" s="24" t="s">
        <v>1334</v>
      </c>
      <c r="U1439" s="53"/>
      <c r="V1439" s="25">
        <f>IFERROR(VLOOKUP(BCP_Soles[[#This Row],[destinatario]],CHOOSE({1,2},Clientes_Proveedores[Razon Social],Clientes_Proveedores[Ruc / Dni]),2,0),"")</f>
        <v>20100055237</v>
      </c>
      <c r="W1439" s="25" t="s">
        <v>2228</v>
      </c>
      <c r="X1439" s="25" t="s">
        <v>2814</v>
      </c>
      <c r="Y1439" s="25"/>
      <c r="Z1439" s="75"/>
      <c r="AA1439" s="3" t="str">
        <f>IF(BCP_Soles[[#This Row],[fecha]]&gt;0,TEXT(BCP_Soles[[#This Row],[fecha]],"mmmm"),0)</f>
        <v>Abril</v>
      </c>
    </row>
    <row r="1440" spans="1:27" x14ac:dyDescent="0.3">
      <c r="A1440" s="2">
        <f>IF(BCP_Soles[[#This Row],[tipo_registro]]="R",COUNTIFS($C$1:$C1439,"R")+1,A1439)</f>
        <v>1091</v>
      </c>
      <c r="B1440" s="19" t="str">
        <f t="shared" si="121"/>
        <v>B-BCP - Soles</v>
      </c>
      <c r="C1440" s="3" t="s">
        <v>1330</v>
      </c>
      <c r="D1440" s="14">
        <v>45772</v>
      </c>
      <c r="E1440" s="5" t="s">
        <v>2269</v>
      </c>
      <c r="F1440" s="5" t="s">
        <v>1336</v>
      </c>
      <c r="G1440" s="6" t="s">
        <v>696</v>
      </c>
      <c r="H1440" s="6"/>
      <c r="I1440" s="6"/>
      <c r="J1440" s="6"/>
      <c r="K1440" s="7" t="s">
        <v>2815</v>
      </c>
      <c r="L1440" s="8">
        <v>8100259</v>
      </c>
      <c r="M1440" s="8" t="str">
        <f t="shared" si="122"/>
        <v>PEN</v>
      </c>
      <c r="N1440" s="13"/>
      <c r="O1440" s="13">
        <v>1728</v>
      </c>
      <c r="P1440" s="3">
        <f t="shared" si="123"/>
        <v>0</v>
      </c>
      <c r="Q1440" s="3">
        <f t="shared" si="124"/>
        <v>1728</v>
      </c>
      <c r="R1440" s="3">
        <f t="shared" si="120"/>
        <v>120946</v>
      </c>
      <c r="S1440" s="24" t="s">
        <v>1334</v>
      </c>
      <c r="T1440" s="24" t="s">
        <v>1334</v>
      </c>
      <c r="U1440" s="53"/>
      <c r="V1440" s="25">
        <f>IFERROR(VLOOKUP(BCP_Soles[[#This Row],[destinatario]],CHOOSE({1,2},Clientes_Proveedores[Razon Social],Clientes_Proveedores[Ruc / Dni]),2,0),"")</f>
        <v>0</v>
      </c>
      <c r="W1440" s="25" t="s">
        <v>1373</v>
      </c>
      <c r="X1440" s="25"/>
      <c r="Y1440" s="25"/>
      <c r="Z1440" s="75"/>
      <c r="AA1440" s="3" t="str">
        <f>IF(BCP_Soles[[#This Row],[fecha]]&gt;0,TEXT(BCP_Soles[[#This Row],[fecha]],"mmmm"),0)</f>
        <v>Abril</v>
      </c>
    </row>
    <row r="1441" spans="1:27" ht="36" x14ac:dyDescent="0.3">
      <c r="A1441" s="2">
        <f>IF(BCP_Soles[[#This Row],[tipo_registro]]="R",COUNTIFS($C$1:$C1440,"R")+1,A1440)</f>
        <v>1091</v>
      </c>
      <c r="B1441" s="19" t="str">
        <f t="shared" si="121"/>
        <v>B-BCP - Soles</v>
      </c>
      <c r="C1441" s="3" t="s">
        <v>1352</v>
      </c>
      <c r="D1441" s="14">
        <v>45772</v>
      </c>
      <c r="E1441" s="5" t="s">
        <v>2269</v>
      </c>
      <c r="F1441" s="5"/>
      <c r="G1441" s="6" t="s">
        <v>569</v>
      </c>
      <c r="H1441" s="6" t="s">
        <v>68</v>
      </c>
      <c r="I1441" s="6" t="s">
        <v>1376</v>
      </c>
      <c r="J1441" s="6">
        <v>617</v>
      </c>
      <c r="K1441" s="7" t="s">
        <v>2815</v>
      </c>
      <c r="L1441" s="8">
        <v>8100259</v>
      </c>
      <c r="M1441" s="8" t="str">
        <f t="shared" si="122"/>
        <v>PEN</v>
      </c>
      <c r="N1441" s="13">
        <v>864</v>
      </c>
      <c r="O1441" s="13"/>
      <c r="P1441" s="3">
        <f t="shared" si="123"/>
        <v>0</v>
      </c>
      <c r="Q1441" s="3">
        <f t="shared" si="124"/>
        <v>0</v>
      </c>
      <c r="R1441" s="3">
        <f t="shared" si="120"/>
        <v>120946</v>
      </c>
      <c r="S1441" s="24"/>
      <c r="T1441" s="24" t="s">
        <v>1334</v>
      </c>
      <c r="U1441" s="53"/>
      <c r="V1441" s="25">
        <f>IFERROR(VLOOKUP(BCP_Soles[[#This Row],[destinatario]],CHOOSE({1,2},Clientes_Proveedores[Razon Social],Clientes_Proveedores[Ruc / Dni]),2,0),"")</f>
        <v>20608686747</v>
      </c>
      <c r="W1441" s="25"/>
      <c r="X1441" s="25"/>
      <c r="Y1441" s="25"/>
      <c r="Z1441" s="75"/>
      <c r="AA1441" s="3" t="str">
        <f>IF(BCP_Soles[[#This Row],[fecha]]&gt;0,TEXT(BCP_Soles[[#This Row],[fecha]],"mmmm"),0)</f>
        <v>Abril</v>
      </c>
    </row>
    <row r="1442" spans="1:27" ht="36" x14ac:dyDescent="0.3">
      <c r="A1442" s="2">
        <f>IF(BCP_Soles[[#This Row],[tipo_registro]]="R",COUNTIFS($C$1:$C1441,"R")+1,A1441)</f>
        <v>1091</v>
      </c>
      <c r="B1442" s="19" t="str">
        <f t="shared" si="121"/>
        <v>B-BCP - Soles</v>
      </c>
      <c r="C1442" s="3" t="s">
        <v>1352</v>
      </c>
      <c r="D1442" s="14">
        <v>45772</v>
      </c>
      <c r="E1442" s="5" t="s">
        <v>2269</v>
      </c>
      <c r="F1442" s="5"/>
      <c r="G1442" s="6" t="s">
        <v>569</v>
      </c>
      <c r="H1442" s="6" t="s">
        <v>68</v>
      </c>
      <c r="I1442" s="6" t="s">
        <v>1376</v>
      </c>
      <c r="J1442" s="6">
        <v>621</v>
      </c>
      <c r="K1442" s="7" t="s">
        <v>2815</v>
      </c>
      <c r="L1442" s="8">
        <v>8100259</v>
      </c>
      <c r="M1442" s="8" t="str">
        <f t="shared" si="122"/>
        <v>PEN</v>
      </c>
      <c r="N1442" s="13">
        <v>864</v>
      </c>
      <c r="O1442" s="13"/>
      <c r="P1442" s="3">
        <f t="shared" si="123"/>
        <v>0</v>
      </c>
      <c r="Q1442" s="3">
        <f t="shared" si="124"/>
        <v>0</v>
      </c>
      <c r="R1442" s="3">
        <f t="shared" si="120"/>
        <v>120946</v>
      </c>
      <c r="S1442" s="24"/>
      <c r="T1442" s="24" t="s">
        <v>1334</v>
      </c>
      <c r="U1442" s="53"/>
      <c r="V1442" s="25">
        <f>IFERROR(VLOOKUP(BCP_Soles[[#This Row],[destinatario]],CHOOSE({1,2},Clientes_Proveedores[Razon Social],Clientes_Proveedores[Ruc / Dni]),2,0),"")</f>
        <v>20608686747</v>
      </c>
      <c r="W1442" s="25"/>
      <c r="X1442" s="25"/>
      <c r="Y1442" s="25"/>
      <c r="Z1442" s="75"/>
      <c r="AA1442" s="3" t="str">
        <f>IF(BCP_Soles[[#This Row],[fecha]]&gt;0,TEXT(BCP_Soles[[#This Row],[fecha]],"mmmm"),0)</f>
        <v>Abril</v>
      </c>
    </row>
    <row r="1443" spans="1:27" x14ac:dyDescent="0.3">
      <c r="A1443" s="22">
        <f>IF(BCP_Soles[[#This Row],[tipo_registro]]="R",COUNTIFS($C$1:$C1442,"R")+1,A1442)</f>
        <v>1092</v>
      </c>
      <c r="B1443" s="19" t="str">
        <f t="shared" si="121"/>
        <v>B-BCP - Soles</v>
      </c>
      <c r="C1443" s="3" t="s">
        <v>1330</v>
      </c>
      <c r="D1443" s="14">
        <v>45772</v>
      </c>
      <c r="E1443" s="5"/>
      <c r="F1443" s="5" t="s">
        <v>1336</v>
      </c>
      <c r="G1443" s="6"/>
      <c r="H1443" s="6"/>
      <c r="I1443" s="6"/>
      <c r="J1443" s="6"/>
      <c r="K1443" s="7"/>
      <c r="L1443" s="8"/>
      <c r="M1443" s="8" t="str">
        <f t="shared" si="122"/>
        <v>PEN</v>
      </c>
      <c r="N1443" s="13"/>
      <c r="O1443" s="13"/>
      <c r="P1443" s="3">
        <f t="shared" si="123"/>
        <v>0</v>
      </c>
      <c r="Q1443" s="3">
        <f t="shared" si="124"/>
        <v>0</v>
      </c>
      <c r="R1443" s="3">
        <f t="shared" si="120"/>
        <v>120946</v>
      </c>
      <c r="S1443" s="24"/>
      <c r="T1443" s="24"/>
      <c r="U1443" s="53"/>
      <c r="V1443" s="25" t="str">
        <f>IFERROR(VLOOKUP(BCP_Soles[[#This Row],[destinatario]],CHOOSE({1,2},Clientes_Proveedores[Razon Social],Clientes_Proveedores[Ruc / Dni]),2,0),"")</f>
        <v/>
      </c>
      <c r="W1443" s="25"/>
      <c r="X1443" s="25"/>
      <c r="Y1443" s="25"/>
      <c r="Z1443" s="75"/>
      <c r="AA1443" s="3" t="str">
        <f>IF(BCP_Soles[[#This Row],[fecha]]&gt;0,TEXT(BCP_Soles[[#This Row],[fecha]],"mmmm"),0)</f>
        <v>Abril</v>
      </c>
    </row>
    <row r="1444" spans="1:27" ht="60" x14ac:dyDescent="0.3">
      <c r="A1444" s="2">
        <f>IF(BCP_Soles[[#This Row],[tipo_registro]]="R",COUNTIFS($C$1:$C1443,"R")+1,A1443)</f>
        <v>1093</v>
      </c>
      <c r="B1444" s="19" t="str">
        <f t="shared" si="121"/>
        <v>B-BCP - Soles</v>
      </c>
      <c r="C1444" s="3" t="s">
        <v>1330</v>
      </c>
      <c r="D1444" s="14">
        <v>45773</v>
      </c>
      <c r="E1444" s="5" t="s">
        <v>295</v>
      </c>
      <c r="F1444" s="5" t="s">
        <v>1303</v>
      </c>
      <c r="G1444" s="6" t="s">
        <v>425</v>
      </c>
      <c r="H1444" s="6"/>
      <c r="I1444" s="6"/>
      <c r="J1444" s="6"/>
      <c r="K1444" s="7" t="s">
        <v>1428</v>
      </c>
      <c r="L1444" s="8">
        <v>2108684</v>
      </c>
      <c r="M1444" s="8" t="str">
        <f t="shared" si="122"/>
        <v>PEN</v>
      </c>
      <c r="N1444" s="13"/>
      <c r="O1444" s="13">
        <v>2005.41</v>
      </c>
      <c r="P1444" s="3">
        <f t="shared" si="123"/>
        <v>2005.41</v>
      </c>
      <c r="Q1444" s="3">
        <f t="shared" si="124"/>
        <v>0</v>
      </c>
      <c r="R1444" s="3">
        <f t="shared" si="120"/>
        <v>122951.41</v>
      </c>
      <c r="S1444" s="24" t="s">
        <v>1334</v>
      </c>
      <c r="T1444" s="24" t="s">
        <v>1334</v>
      </c>
      <c r="U1444" s="53"/>
      <c r="V1444" s="25">
        <f>IFERROR(VLOOKUP(BCP_Soles[[#This Row],[destinatario]],CHOOSE({1,2},Clientes_Proveedores[Razon Social],Clientes_Proveedores[Ruc / Dni]),2,0),"")</f>
        <v>20558226979</v>
      </c>
      <c r="W1444" s="25" t="s">
        <v>1345</v>
      </c>
      <c r="X1444" s="25" t="s">
        <v>2816</v>
      </c>
      <c r="Y1444" s="25"/>
      <c r="Z1444" s="75"/>
      <c r="AA1444" s="3" t="str">
        <f>IF(BCP_Soles[[#This Row],[fecha]]&gt;0,TEXT(BCP_Soles[[#This Row],[fecha]],"mmmm"),0)</f>
        <v>Abril</v>
      </c>
    </row>
    <row r="1445" spans="1:27" ht="60" x14ac:dyDescent="0.3">
      <c r="A1445" s="2">
        <f>IF(BCP_Soles[[#This Row],[tipo_registro]]="R",COUNTIFS($C$1:$C1444,"R")+1,A1444)</f>
        <v>1094</v>
      </c>
      <c r="B1445" s="19" t="str">
        <f t="shared" si="121"/>
        <v>B-BCP - Soles</v>
      </c>
      <c r="C1445" s="3" t="s">
        <v>1330</v>
      </c>
      <c r="D1445" s="14">
        <v>45773</v>
      </c>
      <c r="E1445" s="5" t="s">
        <v>295</v>
      </c>
      <c r="F1445" s="5" t="s">
        <v>1303</v>
      </c>
      <c r="G1445" s="6" t="s">
        <v>425</v>
      </c>
      <c r="H1445" s="6"/>
      <c r="I1445" s="6"/>
      <c r="J1445" s="6"/>
      <c r="K1445" s="7" t="s">
        <v>1428</v>
      </c>
      <c r="L1445" s="8">
        <v>2107904</v>
      </c>
      <c r="M1445" s="8" t="str">
        <f t="shared" si="122"/>
        <v>PEN</v>
      </c>
      <c r="N1445" s="13"/>
      <c r="O1445" s="13">
        <v>167.47</v>
      </c>
      <c r="P1445" s="3">
        <f t="shared" si="123"/>
        <v>167.47</v>
      </c>
      <c r="Q1445" s="3">
        <f t="shared" si="124"/>
        <v>0</v>
      </c>
      <c r="R1445" s="3">
        <f t="shared" si="120"/>
        <v>123118.88</v>
      </c>
      <c r="S1445" s="24" t="s">
        <v>1334</v>
      </c>
      <c r="T1445" s="24" t="s">
        <v>1334</v>
      </c>
      <c r="U1445" s="53"/>
      <c r="V1445" s="25">
        <f>IFERROR(VLOOKUP(BCP_Soles[[#This Row],[destinatario]],CHOOSE({1,2},Clientes_Proveedores[Razon Social],Clientes_Proveedores[Ruc / Dni]),2,0),"")</f>
        <v>20558226979</v>
      </c>
      <c r="W1445" s="25" t="s">
        <v>1345</v>
      </c>
      <c r="X1445" s="25" t="s">
        <v>2817</v>
      </c>
      <c r="Y1445" s="25"/>
      <c r="Z1445" s="75"/>
      <c r="AA1445" s="3" t="str">
        <f>IF(BCP_Soles[[#This Row],[fecha]]&gt;0,TEXT(BCP_Soles[[#This Row],[fecha]],"mmmm"),0)</f>
        <v>Abril</v>
      </c>
    </row>
    <row r="1446" spans="1:27" x14ac:dyDescent="0.3">
      <c r="A1446" s="2">
        <f>IF(BCP_Soles[[#This Row],[tipo_registro]]="R",COUNTIFS($C$1:$C1445,"R")+1,A1445)</f>
        <v>1095</v>
      </c>
      <c r="B1446" s="19" t="str">
        <f t="shared" si="121"/>
        <v>B-BCP - Soles</v>
      </c>
      <c r="C1446" s="3" t="s">
        <v>1330</v>
      </c>
      <c r="D1446" s="14">
        <v>45774</v>
      </c>
      <c r="E1446" s="5" t="s">
        <v>1335</v>
      </c>
      <c r="F1446" s="5" t="s">
        <v>1336</v>
      </c>
      <c r="G1446" s="6"/>
      <c r="H1446" s="6"/>
      <c r="I1446" s="6"/>
      <c r="J1446" s="6"/>
      <c r="K1446" s="7" t="s">
        <v>1337</v>
      </c>
      <c r="L1446" s="8"/>
      <c r="M1446" s="8" t="str">
        <f t="shared" si="122"/>
        <v>PEN</v>
      </c>
      <c r="N1446" s="13"/>
      <c r="O1446" s="13">
        <v>0.1</v>
      </c>
      <c r="P1446" s="3">
        <f t="shared" si="123"/>
        <v>0</v>
      </c>
      <c r="Q1446" s="3">
        <f t="shared" si="124"/>
        <v>0.1</v>
      </c>
      <c r="R1446" s="3">
        <f t="shared" si="120"/>
        <v>123118.78</v>
      </c>
      <c r="S1446" s="24"/>
      <c r="T1446" s="24" t="s">
        <v>1334</v>
      </c>
      <c r="U1446" s="53"/>
      <c r="V1446" s="25" t="str">
        <f>IFERROR(VLOOKUP(BCP_Soles[[#This Row],[destinatario]],CHOOSE({1,2},Clientes_Proveedores[Razon Social],Clientes_Proveedores[Ruc / Dni]),2,0),"")</f>
        <v/>
      </c>
      <c r="W1446" s="25"/>
      <c r="X1446" s="25"/>
      <c r="Y1446" s="25"/>
      <c r="Z1446" s="75"/>
      <c r="AA1446" s="3" t="str">
        <f>IF(BCP_Soles[[#This Row],[fecha]]&gt;0,TEXT(BCP_Soles[[#This Row],[fecha]],"mmmm"),0)</f>
        <v>Abril</v>
      </c>
    </row>
    <row r="1447" spans="1:27" ht="24" x14ac:dyDescent="0.3">
      <c r="A1447" s="2">
        <f>IF(BCP_Soles[[#This Row],[tipo_registro]]="R",COUNTIFS($C$1:$C1446,"R")+1,A1446)</f>
        <v>1096</v>
      </c>
      <c r="B1447" s="19" t="str">
        <f t="shared" si="121"/>
        <v>B-BCP - Soles</v>
      </c>
      <c r="C1447" s="3" t="s">
        <v>1330</v>
      </c>
      <c r="D1447" s="14">
        <v>45775</v>
      </c>
      <c r="E1447" s="5" t="s">
        <v>857</v>
      </c>
      <c r="F1447" s="5" t="s">
        <v>1303</v>
      </c>
      <c r="G1447" s="6" t="s">
        <v>425</v>
      </c>
      <c r="H1447" s="6" t="s">
        <v>143</v>
      </c>
      <c r="I1447" s="6">
        <v>1</v>
      </c>
      <c r="J1447" s="6"/>
      <c r="K1447" s="7" t="s">
        <v>2818</v>
      </c>
      <c r="L1447" s="8">
        <v>31194</v>
      </c>
      <c r="M1447" s="8" t="str">
        <f t="shared" si="122"/>
        <v>PEN</v>
      </c>
      <c r="N1447" s="13"/>
      <c r="O1447" s="13">
        <v>323.2</v>
      </c>
      <c r="P1447" s="3">
        <f t="shared" si="123"/>
        <v>323.2</v>
      </c>
      <c r="Q1447" s="3">
        <f t="shared" si="124"/>
        <v>0</v>
      </c>
      <c r="R1447" s="3">
        <f t="shared" si="120"/>
        <v>123441.98</v>
      </c>
      <c r="S1447" s="24"/>
      <c r="T1447" s="24"/>
      <c r="U1447" s="53"/>
      <c r="V1447" s="25">
        <f>IFERROR(VLOOKUP(BCP_Soles[[#This Row],[destinatario]],CHOOSE({1,2},Clientes_Proveedores[Razon Social],Clientes_Proveedores[Ruc / Dni]),2,0),"")</f>
        <v>20558226979</v>
      </c>
      <c r="W1447" s="25" t="s">
        <v>1345</v>
      </c>
      <c r="X1447" s="25"/>
      <c r="Y1447" s="25"/>
      <c r="Z1447" s="75"/>
      <c r="AA1447" s="3" t="str">
        <f>IF(BCP_Soles[[#This Row],[fecha]]&gt;0,TEXT(BCP_Soles[[#This Row],[fecha]],"mmmm"),0)</f>
        <v>Abril</v>
      </c>
    </row>
    <row r="1448" spans="1:27" ht="24" x14ac:dyDescent="0.3">
      <c r="A1448" s="2">
        <f>IF(BCP_Soles[[#This Row],[tipo_registro]]="R",COUNTIFS($C$1:$C1447,"R")+1,A1447)</f>
        <v>1097</v>
      </c>
      <c r="B1448" s="19" t="str">
        <f t="shared" si="121"/>
        <v>B-BCP - Soles</v>
      </c>
      <c r="C1448" s="3" t="s">
        <v>1330</v>
      </c>
      <c r="D1448" s="14">
        <v>45775</v>
      </c>
      <c r="E1448" s="5" t="s">
        <v>464</v>
      </c>
      <c r="F1448" s="5" t="s">
        <v>1303</v>
      </c>
      <c r="G1448" s="6" t="s">
        <v>425</v>
      </c>
      <c r="H1448" s="6"/>
      <c r="I1448" s="6"/>
      <c r="J1448" s="6"/>
      <c r="K1448" s="7" t="s">
        <v>2819</v>
      </c>
      <c r="L1448" s="8">
        <v>6011126</v>
      </c>
      <c r="M1448" s="8" t="str">
        <f t="shared" si="122"/>
        <v>PEN</v>
      </c>
      <c r="N1448" s="13"/>
      <c r="O1448" s="13">
        <v>112</v>
      </c>
      <c r="P1448" s="3">
        <f t="shared" si="123"/>
        <v>112</v>
      </c>
      <c r="Q1448" s="3">
        <f t="shared" si="124"/>
        <v>0</v>
      </c>
      <c r="R1448" s="3">
        <f t="shared" si="120"/>
        <v>123553.98</v>
      </c>
      <c r="S1448" s="24"/>
      <c r="T1448" s="24"/>
      <c r="U1448" s="53"/>
      <c r="V1448" s="25">
        <f>IFERROR(VLOOKUP(BCP_Soles[[#This Row],[destinatario]],CHOOSE({1,2},Clientes_Proveedores[Razon Social],Clientes_Proveedores[Ruc / Dni]),2,0),"")</f>
        <v>20558226979</v>
      </c>
      <c r="W1448" s="25" t="s">
        <v>1345</v>
      </c>
      <c r="X1448" s="25" t="s">
        <v>2799</v>
      </c>
      <c r="Y1448" s="25"/>
      <c r="Z1448" s="75"/>
      <c r="AA1448" s="3" t="str">
        <f>IF(BCP_Soles[[#This Row],[fecha]]&gt;0,TEXT(BCP_Soles[[#This Row],[fecha]],"mmmm"),0)</f>
        <v>Abril</v>
      </c>
    </row>
    <row r="1449" spans="1:27" ht="96" x14ac:dyDescent="0.3">
      <c r="A1449" s="22">
        <f>IF(BCP_Soles[[#This Row],[tipo_registro]]="R",COUNTIFS($C$1:$C1448,"R")+1,A1448)</f>
        <v>1098</v>
      </c>
      <c r="B1449" s="19" t="str">
        <f t="shared" si="121"/>
        <v>B-BCP - Soles</v>
      </c>
      <c r="C1449" s="3" t="s">
        <v>1330</v>
      </c>
      <c r="D1449" s="14">
        <v>45775</v>
      </c>
      <c r="E1449" s="5" t="s">
        <v>271</v>
      </c>
      <c r="F1449" s="5" t="s">
        <v>1303</v>
      </c>
      <c r="G1449" s="6" t="s">
        <v>425</v>
      </c>
      <c r="H1449" s="6"/>
      <c r="I1449" s="6"/>
      <c r="J1449" s="6"/>
      <c r="K1449" s="7" t="s">
        <v>2820</v>
      </c>
      <c r="L1449" s="8">
        <v>8768660</v>
      </c>
      <c r="M1449" s="8" t="str">
        <f t="shared" si="122"/>
        <v>PEN</v>
      </c>
      <c r="N1449" s="13"/>
      <c r="O1449" s="13">
        <v>11990.89</v>
      </c>
      <c r="P1449" s="3">
        <f t="shared" si="123"/>
        <v>11990.89</v>
      </c>
      <c r="Q1449" s="3">
        <f t="shared" si="124"/>
        <v>0</v>
      </c>
      <c r="R1449" s="3">
        <f t="shared" si="120"/>
        <v>135544.87</v>
      </c>
      <c r="S1449" s="24" t="s">
        <v>1334</v>
      </c>
      <c r="T1449" s="24"/>
      <c r="U1449" s="53"/>
      <c r="V1449" s="25">
        <f>IFERROR(VLOOKUP(BCP_Soles[[#This Row],[destinatario]],CHOOSE({1,2},Clientes_Proveedores[Razon Social],Clientes_Proveedores[Ruc / Dni]),2,0),"")</f>
        <v>20558226979</v>
      </c>
      <c r="W1449" s="25" t="s">
        <v>1345</v>
      </c>
      <c r="X1449" s="25" t="s">
        <v>2821</v>
      </c>
      <c r="Y1449" s="147" t="s">
        <v>2822</v>
      </c>
      <c r="Z1449" s="75"/>
      <c r="AA1449" s="3" t="str">
        <f>IF(BCP_Soles[[#This Row],[fecha]]&gt;0,TEXT(BCP_Soles[[#This Row],[fecha]],"mmmm"),0)</f>
        <v>Abril</v>
      </c>
    </row>
    <row r="1450" spans="1:27" x14ac:dyDescent="0.3">
      <c r="A1450" s="2">
        <f>IF(BCP_Soles[[#This Row],[tipo_registro]]="R",COUNTIFS($C$1:$C1449,"R")+1,A1449)</f>
        <v>1099</v>
      </c>
      <c r="B1450" s="19" t="str">
        <f t="shared" si="121"/>
        <v>B-BCP - Soles</v>
      </c>
      <c r="C1450" s="3" t="s">
        <v>1330</v>
      </c>
      <c r="D1450" s="14">
        <v>45775</v>
      </c>
      <c r="E1450" s="5" t="s">
        <v>1335</v>
      </c>
      <c r="F1450" s="5" t="s">
        <v>1336</v>
      </c>
      <c r="G1450" s="6"/>
      <c r="H1450" s="6"/>
      <c r="I1450" s="6"/>
      <c r="J1450" s="6"/>
      <c r="K1450" s="7" t="s">
        <v>1337</v>
      </c>
      <c r="L1450" s="8"/>
      <c r="M1450" s="8" t="str">
        <f t="shared" si="122"/>
        <v>PEN</v>
      </c>
      <c r="N1450" s="13"/>
      <c r="O1450" s="13">
        <v>0.65</v>
      </c>
      <c r="P1450" s="3">
        <f t="shared" si="123"/>
        <v>0</v>
      </c>
      <c r="Q1450" s="3">
        <f t="shared" si="124"/>
        <v>0.65</v>
      </c>
      <c r="R1450" s="3">
        <f t="shared" si="120"/>
        <v>135544.22</v>
      </c>
      <c r="S1450" s="24"/>
      <c r="T1450" s="24" t="s">
        <v>1334</v>
      </c>
      <c r="U1450" s="53"/>
      <c r="V1450" s="25" t="str">
        <f>IFERROR(VLOOKUP(BCP_Soles[[#This Row],[destinatario]],CHOOSE({1,2},Clientes_Proveedores[Razon Social],Clientes_Proveedores[Ruc / Dni]),2,0),"")</f>
        <v/>
      </c>
      <c r="W1450" s="25"/>
      <c r="X1450" s="25"/>
      <c r="Y1450" s="25"/>
      <c r="Z1450" s="75"/>
      <c r="AA1450" s="3" t="str">
        <f>IF(BCP_Soles[[#This Row],[fecha]]&gt;0,TEXT(BCP_Soles[[#This Row],[fecha]],"mmmm"),0)</f>
        <v>Abril</v>
      </c>
    </row>
    <row r="1451" spans="1:27" x14ac:dyDescent="0.3">
      <c r="A1451" s="2">
        <f>IF(BCP_Soles[[#This Row],[tipo_registro]]="R",COUNTIFS($C$1:$C1450,"R")+1,A1450)</f>
        <v>1100</v>
      </c>
      <c r="B1451" s="19" t="str">
        <f t="shared" si="121"/>
        <v>B-BCP - Soles</v>
      </c>
      <c r="C1451" s="3" t="s">
        <v>1330</v>
      </c>
      <c r="D1451" s="14">
        <v>45775</v>
      </c>
      <c r="E1451" s="5" t="s">
        <v>1338</v>
      </c>
      <c r="F1451" s="5" t="s">
        <v>1336</v>
      </c>
      <c r="G1451" s="6" t="s">
        <v>695</v>
      </c>
      <c r="H1451" s="6" t="s">
        <v>68</v>
      </c>
      <c r="I1451" s="6" t="s">
        <v>1513</v>
      </c>
      <c r="J1451" s="6">
        <v>158438</v>
      </c>
      <c r="K1451" s="7" t="s">
        <v>1378</v>
      </c>
      <c r="L1451" s="8">
        <v>98300</v>
      </c>
      <c r="M1451" s="8" t="str">
        <f t="shared" si="122"/>
        <v>PEN</v>
      </c>
      <c r="N1451" s="13"/>
      <c r="O1451" s="13">
        <v>849.93</v>
      </c>
      <c r="P1451" s="3">
        <f t="shared" si="123"/>
        <v>0</v>
      </c>
      <c r="Q1451" s="3">
        <f t="shared" si="124"/>
        <v>849.93</v>
      </c>
      <c r="R1451" s="3">
        <f t="shared" si="120"/>
        <v>134694.29</v>
      </c>
      <c r="S1451" s="24" t="s">
        <v>1334</v>
      </c>
      <c r="T1451" s="24" t="s">
        <v>1334</v>
      </c>
      <c r="U1451" s="53"/>
      <c r="V1451" s="25">
        <f>IFERROR(VLOOKUP(BCP_Soles[[#This Row],[destinatario]],CHOOSE({1,2},Clientes_Proveedores[Razon Social],Clientes_Proveedores[Ruc / Dni]),2,0),"")</f>
        <v>20127765279</v>
      </c>
      <c r="W1451" s="25" t="s">
        <v>1379</v>
      </c>
      <c r="X1451" s="25" t="s">
        <v>2823</v>
      </c>
      <c r="Y1451" s="25"/>
      <c r="Z1451" s="75"/>
      <c r="AA1451" s="3" t="str">
        <f>IF(BCP_Soles[[#This Row],[fecha]]&gt;0,TEXT(BCP_Soles[[#This Row],[fecha]],"mmmm"),0)</f>
        <v>Abril</v>
      </c>
    </row>
    <row r="1452" spans="1:27" ht="24" x14ac:dyDescent="0.3">
      <c r="A1452" s="2">
        <f>IF(BCP_Soles[[#This Row],[tipo_registro]]="R",COUNTIFS($C$1:$C1451,"R")+1,A1451)</f>
        <v>1101</v>
      </c>
      <c r="B1452" s="19" t="str">
        <f t="shared" si="121"/>
        <v>B-BCP - Soles</v>
      </c>
      <c r="C1452" s="3" t="s">
        <v>1330</v>
      </c>
      <c r="D1452" s="14">
        <v>45775</v>
      </c>
      <c r="E1452" s="5" t="s">
        <v>1338</v>
      </c>
      <c r="F1452" s="5" t="s">
        <v>1336</v>
      </c>
      <c r="G1452" s="6" t="s">
        <v>709</v>
      </c>
      <c r="H1452" s="6" t="s">
        <v>68</v>
      </c>
      <c r="I1452" s="6" t="s">
        <v>1784</v>
      </c>
      <c r="J1452" s="6">
        <v>12521</v>
      </c>
      <c r="K1452" s="7" t="s">
        <v>2824</v>
      </c>
      <c r="L1452" s="8">
        <v>1096335</v>
      </c>
      <c r="M1452" s="8" t="str">
        <f t="shared" si="122"/>
        <v>PEN</v>
      </c>
      <c r="N1452" s="13"/>
      <c r="O1452" s="13">
        <v>950</v>
      </c>
      <c r="P1452" s="3">
        <f t="shared" si="123"/>
        <v>0</v>
      </c>
      <c r="Q1452" s="3">
        <f t="shared" si="124"/>
        <v>950</v>
      </c>
      <c r="R1452" s="3">
        <f t="shared" si="120"/>
        <v>133744.29</v>
      </c>
      <c r="S1452" s="24" t="s">
        <v>1334</v>
      </c>
      <c r="T1452" s="24" t="s">
        <v>1334</v>
      </c>
      <c r="U1452" s="53"/>
      <c r="V1452" s="25">
        <f>IFERROR(VLOOKUP(BCP_Soles[[#This Row],[destinatario]],CHOOSE({1,2},Clientes_Proveedores[Razon Social],Clientes_Proveedores[Ruc / Dni]),2,0),"")</f>
        <v>20497420378</v>
      </c>
      <c r="W1452" s="25" t="s">
        <v>709</v>
      </c>
      <c r="X1452" s="25" t="s">
        <v>2825</v>
      </c>
      <c r="Y1452" s="25"/>
      <c r="Z1452" s="75"/>
      <c r="AA1452" s="3" t="str">
        <f>IF(BCP_Soles[[#This Row],[fecha]]&gt;0,TEXT(BCP_Soles[[#This Row],[fecha]],"mmmm"),0)</f>
        <v>Abril</v>
      </c>
    </row>
    <row r="1453" spans="1:27" x14ac:dyDescent="0.3">
      <c r="A1453" s="2">
        <f>IF(BCP_Soles[[#This Row],[tipo_registro]]="R",COUNTIFS($C$1:$C1452,"R")+1,A1452)</f>
        <v>1102</v>
      </c>
      <c r="B1453" s="19" t="str">
        <f t="shared" si="121"/>
        <v>B-BCP - Soles</v>
      </c>
      <c r="C1453" s="3" t="s">
        <v>1330</v>
      </c>
      <c r="D1453" s="14">
        <v>45775</v>
      </c>
      <c r="E1453" s="5" t="s">
        <v>1338</v>
      </c>
      <c r="F1453" s="5" t="s">
        <v>1336</v>
      </c>
      <c r="G1453" s="6" t="s">
        <v>695</v>
      </c>
      <c r="H1453" s="6" t="s">
        <v>68</v>
      </c>
      <c r="I1453" s="6" t="s">
        <v>1377</v>
      </c>
      <c r="J1453" s="6">
        <v>159470</v>
      </c>
      <c r="K1453" s="7" t="s">
        <v>1378</v>
      </c>
      <c r="L1453" s="8">
        <v>97304</v>
      </c>
      <c r="M1453" s="8" t="str">
        <f t="shared" si="122"/>
        <v>PEN</v>
      </c>
      <c r="N1453" s="13"/>
      <c r="O1453" s="13">
        <v>2321.58</v>
      </c>
      <c r="P1453" s="3">
        <f t="shared" si="123"/>
        <v>0</v>
      </c>
      <c r="Q1453" s="3">
        <f t="shared" si="124"/>
        <v>2321.58</v>
      </c>
      <c r="R1453" s="3">
        <f t="shared" si="120"/>
        <v>131422.71000000002</v>
      </c>
      <c r="S1453" s="24" t="s">
        <v>1334</v>
      </c>
      <c r="T1453" s="24" t="s">
        <v>1334</v>
      </c>
      <c r="U1453" s="53"/>
      <c r="V1453" s="25">
        <f>IFERROR(VLOOKUP(BCP_Soles[[#This Row],[destinatario]],CHOOSE({1,2},Clientes_Proveedores[Razon Social],Clientes_Proveedores[Ruc / Dni]),2,0),"")</f>
        <v>20127765279</v>
      </c>
      <c r="W1453" s="25" t="s">
        <v>1379</v>
      </c>
      <c r="X1453" s="25" t="s">
        <v>2826</v>
      </c>
      <c r="Y1453" s="25"/>
      <c r="Z1453" s="75"/>
      <c r="AA1453" s="3" t="str">
        <f>IF(BCP_Soles[[#This Row],[fecha]]&gt;0,TEXT(BCP_Soles[[#This Row],[fecha]],"mmmm"),0)</f>
        <v>Abril</v>
      </c>
    </row>
    <row r="1454" spans="1:27" ht="24" x14ac:dyDescent="0.3">
      <c r="A1454" s="2">
        <f>IF(BCP_Soles[[#This Row],[tipo_registro]]="R",COUNTIFS($C$1:$C1453,"R")+1,A1453)</f>
        <v>1103</v>
      </c>
      <c r="B1454" s="19" t="str">
        <f t="shared" si="121"/>
        <v>B-BCP - Soles</v>
      </c>
      <c r="C1454" s="3" t="s">
        <v>1330</v>
      </c>
      <c r="D1454" s="14">
        <v>45776</v>
      </c>
      <c r="E1454" s="5" t="s">
        <v>2103</v>
      </c>
      <c r="F1454" s="5" t="s">
        <v>1303</v>
      </c>
      <c r="G1454" s="6" t="s">
        <v>425</v>
      </c>
      <c r="H1454" s="6" t="s">
        <v>119</v>
      </c>
      <c r="I1454" s="6">
        <v>1</v>
      </c>
      <c r="J1454" s="6">
        <v>4355</v>
      </c>
      <c r="K1454" s="7" t="s">
        <v>2003</v>
      </c>
      <c r="L1454" s="8">
        <v>2068735</v>
      </c>
      <c r="M1454" s="8" t="str">
        <f t="shared" si="122"/>
        <v>PEN</v>
      </c>
      <c r="N1454" s="13"/>
      <c r="O1454" s="13">
        <v>16950</v>
      </c>
      <c r="P1454" s="3">
        <f t="shared" si="123"/>
        <v>16950</v>
      </c>
      <c r="Q1454" s="3">
        <f t="shared" si="124"/>
        <v>0</v>
      </c>
      <c r="R1454" s="3">
        <f t="shared" si="120"/>
        <v>148372.71000000002</v>
      </c>
      <c r="S1454" s="24" t="s">
        <v>1334</v>
      </c>
      <c r="T1454" s="24" t="s">
        <v>1334</v>
      </c>
      <c r="U1454" s="53"/>
      <c r="V1454" s="25">
        <f>IFERROR(VLOOKUP(BCP_Soles[[#This Row],[destinatario]],CHOOSE({1,2},Clientes_Proveedores[Razon Social],Clientes_Proveedores[Ruc / Dni]),2,0),"")</f>
        <v>20558226979</v>
      </c>
      <c r="W1454" s="25" t="s">
        <v>1345</v>
      </c>
      <c r="X1454" s="25" t="s">
        <v>2827</v>
      </c>
      <c r="Y1454" s="25"/>
      <c r="Z1454" s="75"/>
      <c r="AA1454" s="3" t="str">
        <f>IF(BCP_Soles[[#This Row],[fecha]]&gt;0,TEXT(BCP_Soles[[#This Row],[fecha]],"mmmm"),0)</f>
        <v>Abril</v>
      </c>
    </row>
    <row r="1455" spans="1:27" ht="24" x14ac:dyDescent="0.3">
      <c r="A1455" s="2">
        <f>IF(BCP_Soles[[#This Row],[tipo_registro]]="R",COUNTIFS($C$1:$C1454,"R")+1,A1454)</f>
        <v>1104</v>
      </c>
      <c r="B1455" s="19" t="str">
        <f t="shared" si="121"/>
        <v>B-BCP - Soles</v>
      </c>
      <c r="C1455" s="3" t="s">
        <v>1330</v>
      </c>
      <c r="D1455" s="14">
        <v>45776</v>
      </c>
      <c r="E1455" s="5" t="s">
        <v>410</v>
      </c>
      <c r="F1455" s="5" t="s">
        <v>1303</v>
      </c>
      <c r="G1455" s="6" t="s">
        <v>425</v>
      </c>
      <c r="H1455" s="6"/>
      <c r="I1455" s="6"/>
      <c r="J1455" s="6"/>
      <c r="K1455" s="7" t="s">
        <v>1356</v>
      </c>
      <c r="L1455" s="8">
        <v>3121730</v>
      </c>
      <c r="M1455" s="8" t="str">
        <f t="shared" si="122"/>
        <v>PEN</v>
      </c>
      <c r="N1455" s="13"/>
      <c r="O1455" s="13">
        <v>5193.75</v>
      </c>
      <c r="P1455" s="3">
        <f t="shared" si="123"/>
        <v>5193.75</v>
      </c>
      <c r="Q1455" s="3">
        <f t="shared" si="124"/>
        <v>0</v>
      </c>
      <c r="R1455" s="3">
        <f t="shared" si="120"/>
        <v>153566.46000000002</v>
      </c>
      <c r="S1455" s="24" t="s">
        <v>1334</v>
      </c>
      <c r="T1455" s="24" t="s">
        <v>1334</v>
      </c>
      <c r="U1455" s="53"/>
      <c r="V1455" s="25">
        <f>IFERROR(VLOOKUP(BCP_Soles[[#This Row],[destinatario]],CHOOSE({1,2},Clientes_Proveedores[Razon Social],Clientes_Proveedores[Ruc / Dni]),2,0),"")</f>
        <v>20558226979</v>
      </c>
      <c r="W1455" s="25" t="s">
        <v>1345</v>
      </c>
      <c r="X1455" s="25" t="s">
        <v>2828</v>
      </c>
      <c r="Y1455" s="25"/>
      <c r="Z1455" s="75"/>
      <c r="AA1455" s="3" t="str">
        <f>IF(BCP_Soles[[#This Row],[fecha]]&gt;0,TEXT(BCP_Soles[[#This Row],[fecha]],"mmmm"),0)</f>
        <v>Abril</v>
      </c>
    </row>
    <row r="1456" spans="1:27" ht="24" x14ac:dyDescent="0.3">
      <c r="A1456" s="2">
        <f>IF(BCP_Soles[[#This Row],[tipo_registro]]="R",COUNTIFS($C$1:$C1455,"R")+1,A1455)</f>
        <v>1105</v>
      </c>
      <c r="B1456" s="19" t="str">
        <f t="shared" si="121"/>
        <v>B-BCP - Soles</v>
      </c>
      <c r="C1456" s="3" t="s">
        <v>1330</v>
      </c>
      <c r="D1456" s="14">
        <v>45776</v>
      </c>
      <c r="E1456" s="5" t="s">
        <v>1505</v>
      </c>
      <c r="F1456" s="5" t="s">
        <v>1303</v>
      </c>
      <c r="G1456" s="6" t="s">
        <v>425</v>
      </c>
      <c r="H1456" s="6" t="s">
        <v>119</v>
      </c>
      <c r="I1456" s="6">
        <v>2</v>
      </c>
      <c r="J1456" s="6">
        <v>763</v>
      </c>
      <c r="K1456" s="7" t="s">
        <v>1356</v>
      </c>
      <c r="L1456" s="8">
        <v>2046061</v>
      </c>
      <c r="M1456" s="8" t="str">
        <f t="shared" si="122"/>
        <v>PEN</v>
      </c>
      <c r="N1456" s="13"/>
      <c r="O1456" s="13">
        <v>2842</v>
      </c>
      <c r="P1456" s="3">
        <f t="shared" si="123"/>
        <v>2842</v>
      </c>
      <c r="Q1456" s="3">
        <f t="shared" si="124"/>
        <v>0</v>
      </c>
      <c r="R1456" s="3">
        <f t="shared" si="120"/>
        <v>156408.46000000002</v>
      </c>
      <c r="S1456" s="24" t="s">
        <v>1334</v>
      </c>
      <c r="T1456" s="24" t="s">
        <v>1334</v>
      </c>
      <c r="U1456" s="53"/>
      <c r="V1456" s="25">
        <f>IFERROR(VLOOKUP(BCP_Soles[[#This Row],[destinatario]],CHOOSE({1,2},Clientes_Proveedores[Razon Social],Clientes_Proveedores[Ruc / Dni]),2,0),"")</f>
        <v>20558226979</v>
      </c>
      <c r="W1456" s="25" t="s">
        <v>1345</v>
      </c>
      <c r="X1456" s="25" t="s">
        <v>2829</v>
      </c>
      <c r="Y1456" s="25"/>
      <c r="Z1456" s="75"/>
      <c r="AA1456" s="3" t="str">
        <f>IF(BCP_Soles[[#This Row],[fecha]]&gt;0,TEXT(BCP_Soles[[#This Row],[fecha]],"mmmm"),0)</f>
        <v>Abril</v>
      </c>
    </row>
    <row r="1457" spans="1:27" ht="36" x14ac:dyDescent="0.3">
      <c r="A1457" s="2">
        <f>IF(BCP_Soles[[#This Row],[tipo_registro]]="R",COUNTIFS($C$1:$C1456,"R")+1,A1456)</f>
        <v>1106</v>
      </c>
      <c r="B1457" s="19" t="str">
        <f t="shared" si="121"/>
        <v>B-BCP - Soles</v>
      </c>
      <c r="C1457" s="3" t="s">
        <v>1330</v>
      </c>
      <c r="D1457" s="14">
        <v>45776</v>
      </c>
      <c r="E1457" s="5" t="s">
        <v>663</v>
      </c>
      <c r="F1457" s="5" t="s">
        <v>1303</v>
      </c>
      <c r="G1457" s="6" t="s">
        <v>425</v>
      </c>
      <c r="H1457" s="6"/>
      <c r="I1457" s="6"/>
      <c r="J1457" s="6"/>
      <c r="K1457" s="7" t="s">
        <v>1382</v>
      </c>
      <c r="L1457" s="8">
        <v>17346</v>
      </c>
      <c r="M1457" s="8" t="str">
        <f t="shared" si="122"/>
        <v>PEN</v>
      </c>
      <c r="N1457" s="13"/>
      <c r="O1457" s="13">
        <v>1096.47</v>
      </c>
      <c r="P1457" s="3">
        <f t="shared" si="123"/>
        <v>1096.47</v>
      </c>
      <c r="Q1457" s="3">
        <f t="shared" si="124"/>
        <v>0</v>
      </c>
      <c r="R1457" s="3">
        <f t="shared" si="120"/>
        <v>157504.93000000002</v>
      </c>
      <c r="S1457" s="24" t="s">
        <v>1334</v>
      </c>
      <c r="T1457" s="24" t="s">
        <v>1334</v>
      </c>
      <c r="U1457" s="53"/>
      <c r="V1457" s="25">
        <f>IFERROR(VLOOKUP(BCP_Soles[[#This Row],[destinatario]],CHOOSE({1,2},Clientes_Proveedores[Razon Social],Clientes_Proveedores[Ruc / Dni]),2,0),"")</f>
        <v>20558226979</v>
      </c>
      <c r="W1457" s="25" t="s">
        <v>1345</v>
      </c>
      <c r="X1457" s="25" t="s">
        <v>2830</v>
      </c>
      <c r="Y1457" s="25"/>
      <c r="Z1457" s="75"/>
      <c r="AA1457" s="3" t="str">
        <f>IF(BCP_Soles[[#This Row],[fecha]]&gt;0,TEXT(BCP_Soles[[#This Row],[fecha]],"mmmm"),0)</f>
        <v>Abril</v>
      </c>
    </row>
    <row r="1458" spans="1:27" x14ac:dyDescent="0.3">
      <c r="A1458" s="2">
        <f>IF(BCP_Soles[[#This Row],[tipo_registro]]="R",COUNTIFS($C$1:$C1457,"R")+1,A1457)</f>
        <v>1107</v>
      </c>
      <c r="B1458" s="19" t="str">
        <f t="shared" si="121"/>
        <v>B-BCP - Soles</v>
      </c>
      <c r="C1458" s="3" t="s">
        <v>1330</v>
      </c>
      <c r="D1458" s="14">
        <v>45776</v>
      </c>
      <c r="E1458" s="5" t="s">
        <v>346</v>
      </c>
      <c r="F1458" s="5" t="s">
        <v>1303</v>
      </c>
      <c r="G1458" s="6" t="s">
        <v>425</v>
      </c>
      <c r="H1458" s="6"/>
      <c r="I1458" s="6"/>
      <c r="J1458" s="6"/>
      <c r="K1458" s="7" t="s">
        <v>2831</v>
      </c>
      <c r="L1458" s="8">
        <v>9516892</v>
      </c>
      <c r="M1458" s="8" t="str">
        <f t="shared" si="122"/>
        <v>PEN</v>
      </c>
      <c r="N1458" s="13"/>
      <c r="O1458" s="13">
        <v>468.1</v>
      </c>
      <c r="P1458" s="3">
        <f t="shared" si="123"/>
        <v>468.1</v>
      </c>
      <c r="Q1458" s="3">
        <f t="shared" si="124"/>
        <v>0</v>
      </c>
      <c r="R1458" s="3">
        <f t="shared" si="120"/>
        <v>157973.03000000003</v>
      </c>
      <c r="S1458" s="24" t="s">
        <v>1334</v>
      </c>
      <c r="T1458" s="24" t="s">
        <v>1334</v>
      </c>
      <c r="U1458" s="53"/>
      <c r="V1458" s="25">
        <f>IFERROR(VLOOKUP(BCP_Soles[[#This Row],[destinatario]],CHOOSE({1,2},Clientes_Proveedores[Razon Social],Clientes_Proveedores[Ruc / Dni]),2,0),"")</f>
        <v>20558226979</v>
      </c>
      <c r="W1458" s="25" t="s">
        <v>1345</v>
      </c>
      <c r="X1458" s="25" t="s">
        <v>2832</v>
      </c>
      <c r="Y1458" s="25"/>
      <c r="Z1458" s="75"/>
      <c r="AA1458" s="3" t="str">
        <f>IF(BCP_Soles[[#This Row],[fecha]]&gt;0,TEXT(BCP_Soles[[#This Row],[fecha]],"mmmm"),0)</f>
        <v>Abril</v>
      </c>
    </row>
    <row r="1459" spans="1:27" x14ac:dyDescent="0.3">
      <c r="A1459" s="2">
        <f>IF(BCP_Soles[[#This Row],[tipo_registro]]="R",COUNTIFS($C$1:$C1458,"R")+1,A1458)</f>
        <v>1108</v>
      </c>
      <c r="B1459" s="19" t="str">
        <f t="shared" si="121"/>
        <v>B-BCP - Soles</v>
      </c>
      <c r="C1459" s="3" t="s">
        <v>1330</v>
      </c>
      <c r="D1459" s="14">
        <v>45776</v>
      </c>
      <c r="E1459" s="5" t="s">
        <v>1335</v>
      </c>
      <c r="F1459" s="5" t="s">
        <v>1336</v>
      </c>
      <c r="G1459" s="6"/>
      <c r="H1459" s="6"/>
      <c r="I1459" s="6"/>
      <c r="J1459" s="6"/>
      <c r="K1459" s="7" t="s">
        <v>1337</v>
      </c>
      <c r="L1459" s="8"/>
      <c r="M1459" s="8" t="str">
        <f t="shared" si="122"/>
        <v>PEN</v>
      </c>
      <c r="N1459" s="13"/>
      <c r="O1459" s="13">
        <v>1.55</v>
      </c>
      <c r="P1459" s="3">
        <f t="shared" si="123"/>
        <v>0</v>
      </c>
      <c r="Q1459" s="3">
        <f t="shared" si="124"/>
        <v>1.55</v>
      </c>
      <c r="R1459" s="3">
        <f t="shared" si="120"/>
        <v>157971.48000000004</v>
      </c>
      <c r="S1459" s="24"/>
      <c r="T1459" s="24" t="s">
        <v>1334</v>
      </c>
      <c r="U1459" s="53"/>
      <c r="V1459" s="25" t="str">
        <f>IFERROR(VLOOKUP(BCP_Soles[[#This Row],[destinatario]],CHOOSE({1,2},Clientes_Proveedores[Razon Social],Clientes_Proveedores[Ruc / Dni]),2,0),"")</f>
        <v/>
      </c>
      <c r="W1459" s="25"/>
      <c r="X1459" s="25"/>
      <c r="Y1459" s="25"/>
      <c r="Z1459" s="75"/>
      <c r="AA1459" s="3" t="str">
        <f>IF(BCP_Soles[[#This Row],[fecha]]&gt;0,TEXT(BCP_Soles[[#This Row],[fecha]],"mmmm"),0)</f>
        <v>Abril</v>
      </c>
    </row>
    <row r="1460" spans="1:27" ht="24" x14ac:dyDescent="0.3">
      <c r="A1460" s="2">
        <f>IF(BCP_Soles[[#This Row],[tipo_registro]]="R",COUNTIFS($C$1:$C1459,"R")+1,A1459)</f>
        <v>1109</v>
      </c>
      <c r="B1460" s="19" t="str">
        <f t="shared" si="121"/>
        <v>B-BCP - Soles</v>
      </c>
      <c r="C1460" s="3" t="s">
        <v>1330</v>
      </c>
      <c r="D1460" s="14">
        <v>45776</v>
      </c>
      <c r="E1460" s="5" t="s">
        <v>1338</v>
      </c>
      <c r="F1460" s="5" t="s">
        <v>1336</v>
      </c>
      <c r="G1460" s="6" t="s">
        <v>249</v>
      </c>
      <c r="H1460" s="6"/>
      <c r="I1460" s="6"/>
      <c r="J1460" s="6"/>
      <c r="K1460" s="7" t="s">
        <v>2833</v>
      </c>
      <c r="L1460" s="8">
        <v>1006819</v>
      </c>
      <c r="M1460" s="8" t="str">
        <f t="shared" si="122"/>
        <v>PEN</v>
      </c>
      <c r="N1460" s="13"/>
      <c r="O1460" s="13">
        <v>547.24</v>
      </c>
      <c r="P1460" s="3">
        <f t="shared" si="123"/>
        <v>0</v>
      </c>
      <c r="Q1460" s="3">
        <f t="shared" si="124"/>
        <v>547.24</v>
      </c>
      <c r="R1460" s="3">
        <f t="shared" si="120"/>
        <v>157424.24000000005</v>
      </c>
      <c r="S1460" s="24"/>
      <c r="T1460" s="24"/>
      <c r="U1460" s="53"/>
      <c r="V1460" s="25">
        <f>IFERROR(VLOOKUP(BCP_Soles[[#This Row],[destinatario]],CHOOSE({1,2},Clientes_Proveedores[Razon Social],Clientes_Proveedores[Ruc / Dni]),2,0),"")</f>
        <v>20302891452</v>
      </c>
      <c r="W1460" s="25" t="s">
        <v>249</v>
      </c>
      <c r="X1460" s="25"/>
      <c r="Y1460" s="25"/>
      <c r="Z1460" s="75"/>
      <c r="AA1460" s="3" t="str">
        <f>IF(BCP_Soles[[#This Row],[fecha]]&gt;0,TEXT(BCP_Soles[[#This Row],[fecha]],"mmmm"),0)</f>
        <v>Abril</v>
      </c>
    </row>
    <row r="1461" spans="1:27" ht="24" x14ac:dyDescent="0.3">
      <c r="A1461" s="2">
        <f>IF(BCP_Soles[[#This Row],[tipo_registro]]="R",COUNTIFS($C$1:$C1460,"R")+1,A1460)</f>
        <v>1110</v>
      </c>
      <c r="B1461" s="19" t="str">
        <f t="shared" si="121"/>
        <v>B-BCP - Soles</v>
      </c>
      <c r="C1461" s="3" t="s">
        <v>1330</v>
      </c>
      <c r="D1461" s="14">
        <v>45776</v>
      </c>
      <c r="E1461" s="5" t="s">
        <v>1338</v>
      </c>
      <c r="F1461" s="5" t="s">
        <v>1336</v>
      </c>
      <c r="G1461" s="6" t="s">
        <v>673</v>
      </c>
      <c r="H1461" s="6" t="s">
        <v>68</v>
      </c>
      <c r="I1461" s="6" t="s">
        <v>1374</v>
      </c>
      <c r="J1461" s="6">
        <v>154</v>
      </c>
      <c r="K1461" s="7" t="s">
        <v>2834</v>
      </c>
      <c r="L1461" s="8">
        <v>1219132</v>
      </c>
      <c r="M1461" s="8" t="str">
        <f t="shared" si="122"/>
        <v>PEN</v>
      </c>
      <c r="N1461" s="13"/>
      <c r="O1461" s="13">
        <v>850</v>
      </c>
      <c r="P1461" s="3">
        <f t="shared" si="123"/>
        <v>0</v>
      </c>
      <c r="Q1461" s="3">
        <f t="shared" si="124"/>
        <v>850</v>
      </c>
      <c r="R1461" s="3">
        <f t="shared" si="120"/>
        <v>156574.24000000005</v>
      </c>
      <c r="S1461" s="24" t="s">
        <v>1334</v>
      </c>
      <c r="T1461" s="24" t="s">
        <v>1334</v>
      </c>
      <c r="U1461" s="53"/>
      <c r="V1461" s="25">
        <f>IFERROR(VLOOKUP(BCP_Soles[[#This Row],[destinatario]],CHOOSE({1,2},Clientes_Proveedores[Razon Social],Clientes_Proveedores[Ruc / Dni]),2,0),"")</f>
        <v>20613809261</v>
      </c>
      <c r="W1461" s="25" t="s">
        <v>673</v>
      </c>
      <c r="X1461" s="25" t="s">
        <v>2835</v>
      </c>
      <c r="Y1461" s="25"/>
      <c r="Z1461" s="75"/>
      <c r="AA1461" s="3" t="str">
        <f>IF(BCP_Soles[[#This Row],[fecha]]&gt;0,TEXT(BCP_Soles[[#This Row],[fecha]],"mmmm"),0)</f>
        <v>Abril</v>
      </c>
    </row>
    <row r="1462" spans="1:27" ht="24" x14ac:dyDescent="0.3">
      <c r="A1462" s="2">
        <f>IF(BCP_Soles[[#This Row],[tipo_registro]]="R",COUNTIFS($C$1:$C1461,"R")+1,A1461)</f>
        <v>1111</v>
      </c>
      <c r="B1462" s="19" t="str">
        <f t="shared" si="121"/>
        <v>B-BCP - Soles</v>
      </c>
      <c r="C1462" s="3" t="s">
        <v>1330</v>
      </c>
      <c r="D1462" s="14">
        <v>45776</v>
      </c>
      <c r="E1462" s="5" t="s">
        <v>1338</v>
      </c>
      <c r="F1462" s="5" t="s">
        <v>1336</v>
      </c>
      <c r="G1462" s="6" t="s">
        <v>753</v>
      </c>
      <c r="H1462" s="6" t="s">
        <v>72</v>
      </c>
      <c r="I1462" s="6" t="s">
        <v>1376</v>
      </c>
      <c r="J1462" s="6">
        <v>37</v>
      </c>
      <c r="K1462" s="7" t="s">
        <v>2836</v>
      </c>
      <c r="L1462" s="8">
        <v>1131747</v>
      </c>
      <c r="M1462" s="8" t="str">
        <f t="shared" si="122"/>
        <v>PEN</v>
      </c>
      <c r="N1462" s="13"/>
      <c r="O1462" s="13">
        <v>1000</v>
      </c>
      <c r="P1462" s="3">
        <f t="shared" si="123"/>
        <v>0</v>
      </c>
      <c r="Q1462" s="3">
        <f t="shared" si="124"/>
        <v>1000</v>
      </c>
      <c r="R1462" s="3">
        <f t="shared" si="120"/>
        <v>155574.24000000005</v>
      </c>
      <c r="S1462" s="24" t="s">
        <v>1334</v>
      </c>
      <c r="T1462" s="24" t="s">
        <v>1334</v>
      </c>
      <c r="U1462" s="53"/>
      <c r="V1462" s="25">
        <f>IFERROR(VLOOKUP(BCP_Soles[[#This Row],[destinatario]],CHOOSE({1,2},Clientes_Proveedores[Razon Social],Clientes_Proveedores[Ruc / Dni]),2,0),"")</f>
        <v>10295272771</v>
      </c>
      <c r="W1462" s="25" t="s">
        <v>753</v>
      </c>
      <c r="X1462" s="25" t="s">
        <v>2837</v>
      </c>
      <c r="Y1462" s="25"/>
      <c r="Z1462" s="75"/>
      <c r="AA1462" s="3" t="str">
        <f>IF(BCP_Soles[[#This Row],[fecha]]&gt;0,TEXT(BCP_Soles[[#This Row],[fecha]],"mmmm"),0)</f>
        <v>Abril</v>
      </c>
    </row>
    <row r="1463" spans="1:27" ht="36" x14ac:dyDescent="0.3">
      <c r="A1463" s="2">
        <f>IF(BCP_Soles[[#This Row],[tipo_registro]]="R",COUNTIFS($C$1:$C1462,"R")+1,A1462)</f>
        <v>1112</v>
      </c>
      <c r="B1463" s="19" t="str">
        <f t="shared" si="121"/>
        <v>B-BCP - Soles</v>
      </c>
      <c r="C1463" s="3" t="s">
        <v>1330</v>
      </c>
      <c r="D1463" s="14">
        <v>45776</v>
      </c>
      <c r="E1463" s="5" t="s">
        <v>1338</v>
      </c>
      <c r="F1463" s="5" t="s">
        <v>1336</v>
      </c>
      <c r="G1463" s="6" t="s">
        <v>939</v>
      </c>
      <c r="H1463" s="6" t="s">
        <v>143</v>
      </c>
      <c r="I1463" s="6">
        <v>1</v>
      </c>
      <c r="J1463" s="6">
        <v>292025</v>
      </c>
      <c r="K1463" s="7" t="s">
        <v>2838</v>
      </c>
      <c r="L1463" s="8">
        <v>1006319</v>
      </c>
      <c r="M1463" s="8" t="str">
        <f t="shared" si="122"/>
        <v>PEN</v>
      </c>
      <c r="N1463" s="13"/>
      <c r="O1463" s="13">
        <v>3257.5</v>
      </c>
      <c r="P1463" s="3">
        <f t="shared" si="123"/>
        <v>0</v>
      </c>
      <c r="Q1463" s="3">
        <f t="shared" si="124"/>
        <v>3257.5</v>
      </c>
      <c r="R1463" s="3">
        <f t="shared" si="120"/>
        <v>152316.74000000005</v>
      </c>
      <c r="S1463" s="24" t="s">
        <v>1334</v>
      </c>
      <c r="T1463" s="24" t="s">
        <v>1334</v>
      </c>
      <c r="U1463" s="53"/>
      <c r="V1463" s="25">
        <f>IFERROR(VLOOKUP(BCP_Soles[[#This Row],[destinatario]],CHOOSE({1,2},Clientes_Proveedores[Razon Social],Clientes_Proveedores[Ruc / Dni]),2,0),"")</f>
        <v>72531546</v>
      </c>
      <c r="W1463" s="25" t="s">
        <v>939</v>
      </c>
      <c r="X1463" s="25" t="s">
        <v>2839</v>
      </c>
      <c r="Y1463" s="25"/>
      <c r="Z1463" s="75"/>
      <c r="AA1463" s="3" t="str">
        <f>IF(BCP_Soles[[#This Row],[fecha]]&gt;0,TEXT(BCP_Soles[[#This Row],[fecha]],"mmmm"),0)</f>
        <v>Abril</v>
      </c>
    </row>
    <row r="1464" spans="1:27" ht="24" x14ac:dyDescent="0.3">
      <c r="A1464" s="2">
        <f>IF(BCP_Soles[[#This Row],[tipo_registro]]="R",COUNTIFS($C$1:$C1463,"R")+1,A1463)</f>
        <v>1113</v>
      </c>
      <c r="B1464" s="19" t="str">
        <f t="shared" si="121"/>
        <v>B-BCP - Soles</v>
      </c>
      <c r="C1464" s="3" t="s">
        <v>1330</v>
      </c>
      <c r="D1464" s="14">
        <v>45776</v>
      </c>
      <c r="E1464" s="5" t="s">
        <v>1338</v>
      </c>
      <c r="F1464" s="5" t="s">
        <v>1336</v>
      </c>
      <c r="G1464" s="6" t="s">
        <v>901</v>
      </c>
      <c r="H1464" s="6"/>
      <c r="I1464" s="6"/>
      <c r="J1464" s="6"/>
      <c r="K1464" s="7" t="s">
        <v>2840</v>
      </c>
      <c r="L1464" s="8">
        <v>1129793</v>
      </c>
      <c r="M1464" s="8" t="str">
        <f t="shared" si="122"/>
        <v>PEN</v>
      </c>
      <c r="N1464" s="13"/>
      <c r="O1464" s="13">
        <v>3981.15</v>
      </c>
      <c r="P1464" s="3">
        <f t="shared" si="123"/>
        <v>0</v>
      </c>
      <c r="Q1464" s="3">
        <f t="shared" si="124"/>
        <v>3981.15</v>
      </c>
      <c r="R1464" s="3">
        <f t="shared" si="120"/>
        <v>148335.59000000005</v>
      </c>
      <c r="S1464" s="24"/>
      <c r="T1464" s="24" t="s">
        <v>1334</v>
      </c>
      <c r="U1464" s="53"/>
      <c r="V1464" s="25">
        <f>IFERROR(VLOOKUP(BCP_Soles[[#This Row],[destinatario]],CHOOSE({1,2},Clientes_Proveedores[Razon Social],Clientes_Proveedores[Ruc / Dni]),2,0),"")</f>
        <v>72131384</v>
      </c>
      <c r="W1464" s="25" t="s">
        <v>901</v>
      </c>
      <c r="X1464" s="25" t="s">
        <v>2841</v>
      </c>
      <c r="Y1464" s="25"/>
      <c r="Z1464" s="75"/>
      <c r="AA1464" s="3" t="str">
        <f>IF(BCP_Soles[[#This Row],[fecha]]&gt;0,TEXT(BCP_Soles[[#This Row],[fecha]],"mmmm"),0)</f>
        <v>Abril</v>
      </c>
    </row>
    <row r="1465" spans="1:27" ht="24" x14ac:dyDescent="0.3">
      <c r="A1465" s="2">
        <f>IF(BCP_Soles[[#This Row],[tipo_registro]]="R",COUNTIFS($C$1:$C1464,"R")+1,A1464)</f>
        <v>1114</v>
      </c>
      <c r="B1465" s="19" t="str">
        <f t="shared" si="121"/>
        <v>B-BCP - Soles</v>
      </c>
      <c r="C1465" s="3" t="s">
        <v>1330</v>
      </c>
      <c r="D1465" s="14">
        <v>45777</v>
      </c>
      <c r="E1465" s="5" t="s">
        <v>1505</v>
      </c>
      <c r="F1465" s="5" t="s">
        <v>1303</v>
      </c>
      <c r="G1465" s="6" t="s">
        <v>425</v>
      </c>
      <c r="H1465" s="6" t="s">
        <v>119</v>
      </c>
      <c r="I1465" s="6">
        <v>2</v>
      </c>
      <c r="J1465" s="6">
        <v>764</v>
      </c>
      <c r="K1465" s="7" t="s">
        <v>1356</v>
      </c>
      <c r="L1465" s="8">
        <v>1177606</v>
      </c>
      <c r="M1465" s="8" t="str">
        <f t="shared" si="122"/>
        <v>PEN</v>
      </c>
      <c r="N1465" s="13"/>
      <c r="O1465" s="13">
        <v>1345</v>
      </c>
      <c r="P1465" s="3">
        <f t="shared" si="123"/>
        <v>1345</v>
      </c>
      <c r="Q1465" s="3">
        <f t="shared" si="124"/>
        <v>0</v>
      </c>
      <c r="R1465" s="3">
        <f t="shared" si="120"/>
        <v>149680.59000000005</v>
      </c>
      <c r="S1465" s="24" t="s">
        <v>1334</v>
      </c>
      <c r="T1465" s="24" t="s">
        <v>1334</v>
      </c>
      <c r="U1465" s="53"/>
      <c r="V1465" s="25">
        <f>IFERROR(VLOOKUP(BCP_Soles[[#This Row],[destinatario]],CHOOSE({1,2},Clientes_Proveedores[Razon Social],Clientes_Proveedores[Ruc / Dni]),2,0),"")</f>
        <v>20558226979</v>
      </c>
      <c r="W1465" s="25" t="s">
        <v>1345</v>
      </c>
      <c r="X1465" s="25" t="s">
        <v>2842</v>
      </c>
      <c r="Y1465" s="25"/>
      <c r="Z1465" s="75"/>
      <c r="AA1465" s="3" t="str">
        <f>IF(BCP_Soles[[#This Row],[fecha]]&gt;0,TEXT(BCP_Soles[[#This Row],[fecha]],"mmmm"),0)</f>
        <v>Abril</v>
      </c>
    </row>
    <row r="1466" spans="1:27" ht="24" x14ac:dyDescent="0.3">
      <c r="A1466" s="2">
        <f>IF(BCP_Soles[[#This Row],[tipo_registro]]="R",COUNTIFS($C$1:$C1465,"R")+1,A1465)</f>
        <v>1115</v>
      </c>
      <c r="B1466" s="19" t="str">
        <f t="shared" si="121"/>
        <v>B-BCP - Soles</v>
      </c>
      <c r="C1466" s="3" t="s">
        <v>1330</v>
      </c>
      <c r="D1466" s="14">
        <v>45777</v>
      </c>
      <c r="E1466" s="5" t="s">
        <v>462</v>
      </c>
      <c r="F1466" s="5" t="s">
        <v>1303</v>
      </c>
      <c r="G1466" s="6" t="s">
        <v>425</v>
      </c>
      <c r="H1466" s="6"/>
      <c r="I1466" s="6"/>
      <c r="J1466" s="6"/>
      <c r="K1466" s="7" t="s">
        <v>1356</v>
      </c>
      <c r="L1466" s="8">
        <v>2671814</v>
      </c>
      <c r="M1466" s="8" t="str">
        <f t="shared" si="122"/>
        <v>PEN</v>
      </c>
      <c r="N1466" s="13"/>
      <c r="O1466" s="13">
        <v>1271.99</v>
      </c>
      <c r="P1466" s="3">
        <f t="shared" si="123"/>
        <v>1271.99</v>
      </c>
      <c r="Q1466" s="3">
        <f t="shared" si="124"/>
        <v>0</v>
      </c>
      <c r="R1466" s="3">
        <f t="shared" si="120"/>
        <v>150952.58000000005</v>
      </c>
      <c r="S1466" s="24" t="s">
        <v>1334</v>
      </c>
      <c r="T1466" s="24" t="s">
        <v>1334</v>
      </c>
      <c r="U1466" s="53"/>
      <c r="V1466" s="25">
        <f>IFERROR(VLOOKUP(BCP_Soles[[#This Row],[destinatario]],CHOOSE({1,2},Clientes_Proveedores[Razon Social],Clientes_Proveedores[Ruc / Dni]),2,0),"")</f>
        <v>20558226979</v>
      </c>
      <c r="W1466" s="25" t="s">
        <v>1345</v>
      </c>
      <c r="X1466" s="25" t="s">
        <v>2843</v>
      </c>
      <c r="Y1466" s="25"/>
      <c r="Z1466" s="75"/>
      <c r="AA1466" s="3" t="str">
        <f>IF(BCP_Soles[[#This Row],[fecha]]&gt;0,TEXT(BCP_Soles[[#This Row],[fecha]],"mmmm"),0)</f>
        <v>Abril</v>
      </c>
    </row>
    <row r="1467" spans="1:27" ht="24" x14ac:dyDescent="0.3">
      <c r="A1467" s="2">
        <f>IF(BCP_Soles[[#This Row],[tipo_registro]]="R",COUNTIFS($C$1:$C1466,"R")+1,A1466)</f>
        <v>1116</v>
      </c>
      <c r="B1467" s="19" t="str">
        <f t="shared" si="121"/>
        <v>B-BCP - Soles</v>
      </c>
      <c r="C1467" s="3" t="s">
        <v>1330</v>
      </c>
      <c r="D1467" s="14">
        <v>45777</v>
      </c>
      <c r="E1467" s="5" t="s">
        <v>462</v>
      </c>
      <c r="F1467" s="5" t="s">
        <v>1303</v>
      </c>
      <c r="G1467" s="6" t="s">
        <v>425</v>
      </c>
      <c r="H1467" s="6"/>
      <c r="I1467" s="6"/>
      <c r="J1467" s="6"/>
      <c r="K1467" s="7" t="s">
        <v>1356</v>
      </c>
      <c r="L1467" s="8">
        <v>2670949</v>
      </c>
      <c r="M1467" s="8" t="str">
        <f t="shared" si="122"/>
        <v>PEN</v>
      </c>
      <c r="N1467" s="13"/>
      <c r="O1467" s="13">
        <v>570.77</v>
      </c>
      <c r="P1467" s="3">
        <f t="shared" si="123"/>
        <v>570.77</v>
      </c>
      <c r="Q1467" s="3">
        <f t="shared" si="124"/>
        <v>0</v>
      </c>
      <c r="R1467" s="3">
        <f t="shared" si="120"/>
        <v>151523.35000000003</v>
      </c>
      <c r="S1467" s="24" t="s">
        <v>1334</v>
      </c>
      <c r="T1467" s="24" t="s">
        <v>1334</v>
      </c>
      <c r="U1467" s="53"/>
      <c r="V1467" s="25">
        <f>IFERROR(VLOOKUP(BCP_Soles[[#This Row],[destinatario]],CHOOSE({1,2},Clientes_Proveedores[Razon Social],Clientes_Proveedores[Ruc / Dni]),2,0),"")</f>
        <v>20558226979</v>
      </c>
      <c r="W1467" s="25" t="s">
        <v>1345</v>
      </c>
      <c r="X1467" s="25" t="s">
        <v>2844</v>
      </c>
      <c r="Y1467" s="25"/>
      <c r="Z1467" s="75"/>
      <c r="AA1467" s="3" t="str">
        <f>IF(BCP_Soles[[#This Row],[fecha]]&gt;0,TEXT(BCP_Soles[[#This Row],[fecha]],"mmmm"),0)</f>
        <v>Abril</v>
      </c>
    </row>
    <row r="1468" spans="1:27" ht="24" x14ac:dyDescent="0.3">
      <c r="A1468" s="2">
        <f>IF(BCP_Soles[[#This Row],[tipo_registro]]="R",COUNTIFS($C$1:$C1467,"R")+1,A1467)</f>
        <v>1117</v>
      </c>
      <c r="B1468" s="19" t="str">
        <f t="shared" si="121"/>
        <v>B-BCP - Soles</v>
      </c>
      <c r="C1468" s="3" t="s">
        <v>1330</v>
      </c>
      <c r="D1468" s="14">
        <v>45777</v>
      </c>
      <c r="E1468" s="6" t="s">
        <v>827</v>
      </c>
      <c r="F1468" s="5" t="s">
        <v>1303</v>
      </c>
      <c r="G1468" s="6" t="s">
        <v>425</v>
      </c>
      <c r="H1468" s="6" t="s">
        <v>143</v>
      </c>
      <c r="I1468" s="6">
        <v>1</v>
      </c>
      <c r="J1468" s="6">
        <v>262025</v>
      </c>
      <c r="K1468" s="7" t="s">
        <v>2845</v>
      </c>
      <c r="L1468" s="8">
        <v>5377220</v>
      </c>
      <c r="M1468" s="8" t="str">
        <f t="shared" si="122"/>
        <v>PEN</v>
      </c>
      <c r="N1468" s="13"/>
      <c r="O1468" s="13">
        <v>292</v>
      </c>
      <c r="P1468" s="3">
        <f t="shared" si="123"/>
        <v>292</v>
      </c>
      <c r="Q1468" s="3">
        <f t="shared" si="124"/>
        <v>0</v>
      </c>
      <c r="R1468" s="3">
        <f t="shared" si="120"/>
        <v>151815.35000000003</v>
      </c>
      <c r="S1468" s="24" t="s">
        <v>1334</v>
      </c>
      <c r="T1468" s="24" t="s">
        <v>1334</v>
      </c>
      <c r="U1468" s="53"/>
      <c r="V1468" s="25">
        <f>IFERROR(VLOOKUP(BCP_Soles[[#This Row],[destinatario]],CHOOSE({1,2},Clientes_Proveedores[Razon Social],Clientes_Proveedores[Ruc / Dni]),2,0),"")</f>
        <v>20558226979</v>
      </c>
      <c r="W1468" s="25" t="s">
        <v>1345</v>
      </c>
      <c r="X1468" s="25" t="s">
        <v>2846</v>
      </c>
      <c r="Y1468" s="25"/>
      <c r="Z1468" s="75"/>
      <c r="AA1468" s="3" t="str">
        <f>IF(BCP_Soles[[#This Row],[fecha]]&gt;0,TEXT(BCP_Soles[[#This Row],[fecha]],"mmmm"),0)</f>
        <v>Abril</v>
      </c>
    </row>
    <row r="1469" spans="1:27" x14ac:dyDescent="0.3">
      <c r="A1469" s="2">
        <f>IF(BCP_Soles[[#This Row],[tipo_registro]]="R",COUNTIFS($C$1:$C1468,"R")+1,A1468)</f>
        <v>1118</v>
      </c>
      <c r="B1469" s="19" t="str">
        <f t="shared" si="121"/>
        <v>B-BCP - Soles</v>
      </c>
      <c r="C1469" s="3" t="s">
        <v>1330</v>
      </c>
      <c r="D1469" s="14">
        <v>45777</v>
      </c>
      <c r="E1469" s="5" t="s">
        <v>1511</v>
      </c>
      <c r="F1469" s="5" t="s">
        <v>1336</v>
      </c>
      <c r="G1469" s="6"/>
      <c r="H1469" s="6"/>
      <c r="I1469" s="6"/>
      <c r="J1469" s="6"/>
      <c r="K1469" s="7" t="s">
        <v>2847</v>
      </c>
      <c r="L1469" s="8">
        <v>69793</v>
      </c>
      <c r="M1469" s="8" t="str">
        <f t="shared" si="122"/>
        <v>PEN</v>
      </c>
      <c r="N1469" s="13"/>
      <c r="O1469" s="13">
        <v>78076.570000000007</v>
      </c>
      <c r="P1469" s="3">
        <f t="shared" si="123"/>
        <v>0</v>
      </c>
      <c r="Q1469" s="3">
        <f t="shared" si="124"/>
        <v>78076.570000000007</v>
      </c>
      <c r="R1469" s="3">
        <f t="shared" si="120"/>
        <v>73738.780000000028</v>
      </c>
      <c r="S1469" s="24"/>
      <c r="T1469" s="24"/>
      <c r="U1469" s="53"/>
      <c r="V1469" s="25" t="str">
        <f>IFERROR(VLOOKUP(BCP_Soles[[#This Row],[destinatario]],CHOOSE({1,2},Clientes_Proveedores[Razon Social],Clientes_Proveedores[Ruc / Dni]),2,0),"")</f>
        <v/>
      </c>
      <c r="W1469" s="25"/>
      <c r="X1469" s="25"/>
      <c r="Y1469" s="25"/>
      <c r="Z1469" s="75"/>
      <c r="AA1469" s="3" t="str">
        <f>IF(BCP_Soles[[#This Row],[fecha]]&gt;0,TEXT(BCP_Soles[[#This Row],[fecha]],"mmmm"),0)</f>
        <v>Abril</v>
      </c>
    </row>
    <row r="1470" spans="1:27" x14ac:dyDescent="0.3">
      <c r="A1470" s="2">
        <f>IF(BCP_Soles[[#This Row],[tipo_registro]]="R",COUNTIFS($C$1:$C1469,"R")+1,A1469)</f>
        <v>1119</v>
      </c>
      <c r="B1470" s="19" t="str">
        <f t="shared" si="121"/>
        <v>B-BCP - Soles</v>
      </c>
      <c r="C1470" s="3" t="s">
        <v>1330</v>
      </c>
      <c r="D1470" s="14">
        <v>45777</v>
      </c>
      <c r="E1470" s="5" t="s">
        <v>1338</v>
      </c>
      <c r="F1470" s="5" t="s">
        <v>1336</v>
      </c>
      <c r="G1470" s="6" t="s">
        <v>696</v>
      </c>
      <c r="H1470" s="6"/>
      <c r="I1470" s="6"/>
      <c r="J1470" s="6"/>
      <c r="K1470" s="7" t="s">
        <v>2848</v>
      </c>
      <c r="L1470" s="8">
        <v>69711</v>
      </c>
      <c r="M1470" s="8" t="str">
        <f t="shared" si="122"/>
        <v>PEN</v>
      </c>
      <c r="N1470" s="13"/>
      <c r="O1470" s="13">
        <v>7365.7</v>
      </c>
      <c r="P1470" s="3">
        <f t="shared" si="123"/>
        <v>0</v>
      </c>
      <c r="Q1470" s="3">
        <f t="shared" si="124"/>
        <v>7365.7</v>
      </c>
      <c r="R1470" s="3">
        <f t="shared" si="120"/>
        <v>66373.080000000031</v>
      </c>
      <c r="S1470" s="24" t="s">
        <v>1334</v>
      </c>
      <c r="T1470" s="24" t="s">
        <v>1334</v>
      </c>
      <c r="U1470" s="53"/>
      <c r="V1470" s="25">
        <f>IFERROR(VLOOKUP(BCP_Soles[[#This Row],[destinatario]],CHOOSE({1,2},Clientes_Proveedores[Razon Social],Clientes_Proveedores[Ruc / Dni]),2,0),"")</f>
        <v>0</v>
      </c>
      <c r="W1470" s="25" t="s">
        <v>1373</v>
      </c>
      <c r="X1470" s="25"/>
      <c r="Y1470" s="25"/>
      <c r="Z1470" s="75"/>
      <c r="AA1470" s="3" t="str">
        <f>IF(BCP_Soles[[#This Row],[fecha]]&gt;0,TEXT(BCP_Soles[[#This Row],[fecha]],"mmmm"),0)</f>
        <v>Abril</v>
      </c>
    </row>
    <row r="1471" spans="1:27" ht="24" x14ac:dyDescent="0.3">
      <c r="A1471" s="2">
        <f>IF(BCP_Soles[[#This Row],[tipo_registro]]="R",COUNTIFS($C$1:$C1470,"R")+1,A1470)</f>
        <v>1119</v>
      </c>
      <c r="B1471" s="19" t="str">
        <f t="shared" si="121"/>
        <v>B-BCP - Soles</v>
      </c>
      <c r="C1471" s="3" t="s">
        <v>1352</v>
      </c>
      <c r="D1471" s="14">
        <v>45777</v>
      </c>
      <c r="E1471" s="5" t="s">
        <v>1338</v>
      </c>
      <c r="F1471" s="5"/>
      <c r="G1471" s="6" t="s">
        <v>393</v>
      </c>
      <c r="H1471" s="6" t="s">
        <v>68</v>
      </c>
      <c r="I1471" s="6" t="s">
        <v>1376</v>
      </c>
      <c r="J1471" s="6">
        <v>3265</v>
      </c>
      <c r="K1471" s="7" t="s">
        <v>2848</v>
      </c>
      <c r="L1471" s="8">
        <v>69711</v>
      </c>
      <c r="M1471" s="8" t="str">
        <f t="shared" si="122"/>
        <v>PEN</v>
      </c>
      <c r="N1471" s="13">
        <v>1728</v>
      </c>
      <c r="O1471" s="13"/>
      <c r="P1471" s="3">
        <f t="shared" si="123"/>
        <v>0</v>
      </c>
      <c r="Q1471" s="3">
        <f t="shared" si="124"/>
        <v>0</v>
      </c>
      <c r="R1471" s="3">
        <f t="shared" si="120"/>
        <v>66373.080000000031</v>
      </c>
      <c r="S1471" s="24"/>
      <c r="T1471" s="24" t="s">
        <v>1334</v>
      </c>
      <c r="U1471" s="53"/>
      <c r="V1471" s="25">
        <f>IFERROR(VLOOKUP(BCP_Soles[[#This Row],[destinatario]],CHOOSE({1,2},Clientes_Proveedores[Razon Social],Clientes_Proveedores[Ruc / Dni]),2,0),"")</f>
        <v>20543323943</v>
      </c>
      <c r="W1471" s="25"/>
      <c r="X1471" s="25"/>
      <c r="Y1471" s="25"/>
      <c r="Z1471" s="75"/>
      <c r="AA1471" s="3" t="str">
        <f>IF(BCP_Soles[[#This Row],[fecha]]&gt;0,TEXT(BCP_Soles[[#This Row],[fecha]],"mmmm"),0)</f>
        <v>Abril</v>
      </c>
    </row>
    <row r="1472" spans="1:27" ht="36" x14ac:dyDescent="0.3">
      <c r="A1472" s="2">
        <f>IF(BCP_Soles[[#This Row],[tipo_registro]]="R",COUNTIFS($C$1:$C1471,"R")+1,A1471)</f>
        <v>1119</v>
      </c>
      <c r="B1472" s="19" t="str">
        <f t="shared" si="121"/>
        <v>B-BCP - Soles</v>
      </c>
      <c r="C1472" s="3" t="s">
        <v>1352</v>
      </c>
      <c r="D1472" s="14">
        <v>45777</v>
      </c>
      <c r="E1472" s="5" t="s">
        <v>1338</v>
      </c>
      <c r="F1472" s="5"/>
      <c r="G1472" s="6" t="s">
        <v>474</v>
      </c>
      <c r="H1472" s="6" t="s">
        <v>68</v>
      </c>
      <c r="I1472" s="6" t="s">
        <v>1376</v>
      </c>
      <c r="J1472" s="6">
        <v>738</v>
      </c>
      <c r="K1472" s="7" t="s">
        <v>2848</v>
      </c>
      <c r="L1472" s="8">
        <v>69711</v>
      </c>
      <c r="M1472" s="8" t="str">
        <f t="shared" si="122"/>
        <v>PEN</v>
      </c>
      <c r="N1472" s="13">
        <v>793</v>
      </c>
      <c r="O1472" s="13"/>
      <c r="P1472" s="3">
        <f t="shared" si="123"/>
        <v>0</v>
      </c>
      <c r="Q1472" s="3">
        <f t="shared" si="124"/>
        <v>0</v>
      </c>
      <c r="R1472" s="3">
        <f t="shared" si="120"/>
        <v>66373.080000000031</v>
      </c>
      <c r="S1472" s="24"/>
      <c r="T1472" s="24" t="s">
        <v>1334</v>
      </c>
      <c r="U1472" s="53"/>
      <c r="V1472" s="25">
        <f>IFERROR(VLOOKUP(BCP_Soles[[#This Row],[destinatario]],CHOOSE({1,2},Clientes_Proveedores[Razon Social],Clientes_Proveedores[Ruc / Dni]),2,0),"")</f>
        <v>20602075177</v>
      </c>
      <c r="W1472" s="25"/>
      <c r="X1472" s="25"/>
      <c r="Y1472" s="25"/>
      <c r="Z1472" s="75"/>
      <c r="AA1472" s="3" t="str">
        <f>IF(BCP_Soles[[#This Row],[fecha]]&gt;0,TEXT(BCP_Soles[[#This Row],[fecha]],"mmmm"),0)</f>
        <v>Abril</v>
      </c>
    </row>
    <row r="1473" spans="1:27" ht="36" x14ac:dyDescent="0.3">
      <c r="A1473" s="2">
        <f>IF(BCP_Soles[[#This Row],[tipo_registro]]="R",COUNTIFS($C$1:$C1472,"R")+1,A1472)</f>
        <v>1119</v>
      </c>
      <c r="B1473" s="19" t="str">
        <f t="shared" si="121"/>
        <v>B-BCP - Soles</v>
      </c>
      <c r="C1473" s="3" t="s">
        <v>1352</v>
      </c>
      <c r="D1473" s="14">
        <v>45777</v>
      </c>
      <c r="E1473" s="5" t="s">
        <v>1338</v>
      </c>
      <c r="F1473" s="5"/>
      <c r="G1473" s="6" t="s">
        <v>474</v>
      </c>
      <c r="H1473" s="6" t="s">
        <v>68</v>
      </c>
      <c r="I1473" s="6" t="s">
        <v>1376</v>
      </c>
      <c r="J1473" s="6">
        <v>737</v>
      </c>
      <c r="K1473" s="7" t="s">
        <v>2848</v>
      </c>
      <c r="L1473" s="8">
        <v>69711</v>
      </c>
      <c r="M1473" s="8" t="str">
        <f t="shared" si="122"/>
        <v>PEN</v>
      </c>
      <c r="N1473" s="13">
        <v>623</v>
      </c>
      <c r="O1473" s="13"/>
      <c r="P1473" s="3">
        <f t="shared" si="123"/>
        <v>0</v>
      </c>
      <c r="Q1473" s="3">
        <f t="shared" si="124"/>
        <v>0</v>
      </c>
      <c r="R1473" s="3">
        <f t="shared" si="120"/>
        <v>66373.080000000031</v>
      </c>
      <c r="S1473" s="24"/>
      <c r="T1473" s="24" t="s">
        <v>1334</v>
      </c>
      <c r="U1473" s="53"/>
      <c r="V1473" s="25">
        <f>IFERROR(VLOOKUP(BCP_Soles[[#This Row],[destinatario]],CHOOSE({1,2},Clientes_Proveedores[Razon Social],Clientes_Proveedores[Ruc / Dni]),2,0),"")</f>
        <v>20602075177</v>
      </c>
      <c r="W1473" s="25"/>
      <c r="X1473" s="25"/>
      <c r="Y1473" s="25"/>
      <c r="Z1473" s="75"/>
      <c r="AA1473" s="3" t="str">
        <f>IF(BCP_Soles[[#This Row],[fecha]]&gt;0,TEXT(BCP_Soles[[#This Row],[fecha]],"mmmm"),0)</f>
        <v>Abril</v>
      </c>
    </row>
    <row r="1474" spans="1:27" ht="24" x14ac:dyDescent="0.3">
      <c r="A1474" s="2">
        <f>IF(BCP_Soles[[#This Row],[tipo_registro]]="R",COUNTIFS($C$1:$C1473,"R")+1,A1473)</f>
        <v>1119</v>
      </c>
      <c r="B1474" s="19" t="str">
        <f t="shared" si="121"/>
        <v>B-BCP - Soles</v>
      </c>
      <c r="C1474" s="3" t="s">
        <v>1352</v>
      </c>
      <c r="D1474" s="14">
        <v>45777</v>
      </c>
      <c r="E1474" s="5" t="s">
        <v>1338</v>
      </c>
      <c r="F1474" s="5"/>
      <c r="G1474" s="6" t="s">
        <v>166</v>
      </c>
      <c r="H1474" s="6" t="s">
        <v>68</v>
      </c>
      <c r="I1474" s="6" t="s">
        <v>1376</v>
      </c>
      <c r="J1474" s="6">
        <v>4713</v>
      </c>
      <c r="K1474" s="7" t="s">
        <v>2848</v>
      </c>
      <c r="L1474" s="8">
        <v>69711</v>
      </c>
      <c r="M1474" s="8" t="str">
        <f t="shared" si="122"/>
        <v>PEN</v>
      </c>
      <c r="N1474" s="13">
        <v>59</v>
      </c>
      <c r="O1474" s="13"/>
      <c r="P1474" s="3">
        <f t="shared" si="123"/>
        <v>0</v>
      </c>
      <c r="Q1474" s="3">
        <f t="shared" si="124"/>
        <v>0</v>
      </c>
      <c r="R1474" s="3">
        <f t="shared" si="120"/>
        <v>66373.080000000031</v>
      </c>
      <c r="S1474" s="24"/>
      <c r="T1474" s="24" t="s">
        <v>1334</v>
      </c>
      <c r="U1474" s="53"/>
      <c r="V1474" s="25">
        <f>IFERROR(VLOOKUP(BCP_Soles[[#This Row],[destinatario]],CHOOSE({1,2},Clientes_Proveedores[Razon Social],Clientes_Proveedores[Ruc / Dni]),2,0),"")</f>
        <v>10425371652</v>
      </c>
      <c r="W1474" s="25"/>
      <c r="X1474" s="25"/>
      <c r="Y1474" s="25"/>
      <c r="Z1474" s="75"/>
      <c r="AA1474" s="3" t="str">
        <f>IF(BCP_Soles[[#This Row],[fecha]]&gt;0,TEXT(BCP_Soles[[#This Row],[fecha]],"mmmm"),0)</f>
        <v>Abril</v>
      </c>
    </row>
    <row r="1475" spans="1:27" ht="36" x14ac:dyDescent="0.3">
      <c r="A1475" s="2">
        <f>IF(BCP_Soles[[#This Row],[tipo_registro]]="R",COUNTIFS($C$1:$C1474,"R")+1,A1474)</f>
        <v>1119</v>
      </c>
      <c r="B1475" s="19" t="str">
        <f t="shared" si="121"/>
        <v>B-BCP - Soles</v>
      </c>
      <c r="C1475" s="3" t="s">
        <v>1352</v>
      </c>
      <c r="D1475" s="14">
        <v>45777</v>
      </c>
      <c r="E1475" s="5" t="s">
        <v>1338</v>
      </c>
      <c r="F1475" s="5"/>
      <c r="G1475" s="6" t="s">
        <v>153</v>
      </c>
      <c r="H1475" s="6" t="s">
        <v>68</v>
      </c>
      <c r="I1475" s="6" t="s">
        <v>1376</v>
      </c>
      <c r="J1475" s="6">
        <v>392</v>
      </c>
      <c r="K1475" s="7" t="s">
        <v>2848</v>
      </c>
      <c r="L1475" s="8">
        <v>69711</v>
      </c>
      <c r="M1475" s="8" t="str">
        <f t="shared" si="122"/>
        <v>PEN</v>
      </c>
      <c r="N1475" s="13">
        <v>290</v>
      </c>
      <c r="O1475" s="13"/>
      <c r="P1475" s="3">
        <f t="shared" si="123"/>
        <v>0</v>
      </c>
      <c r="Q1475" s="3">
        <f t="shared" si="124"/>
        <v>0</v>
      </c>
      <c r="R1475" s="3">
        <f t="shared" si="120"/>
        <v>66373.080000000031</v>
      </c>
      <c r="S1475" s="24"/>
      <c r="T1475" s="24" t="s">
        <v>1334</v>
      </c>
      <c r="U1475" s="53"/>
      <c r="V1475" s="25">
        <f>IFERROR(VLOOKUP(BCP_Soles[[#This Row],[destinatario]],CHOOSE({1,2},Clientes_Proveedores[Razon Social],Clientes_Proveedores[Ruc / Dni]),2,0),"")</f>
        <v>10405211179</v>
      </c>
      <c r="W1475" s="25"/>
      <c r="X1475" s="25"/>
      <c r="Y1475" s="25"/>
      <c r="Z1475" s="75"/>
      <c r="AA1475" s="3" t="str">
        <f>IF(BCP_Soles[[#This Row],[fecha]]&gt;0,TEXT(BCP_Soles[[#This Row],[fecha]],"mmmm"),0)</f>
        <v>Abril</v>
      </c>
    </row>
    <row r="1476" spans="1:27" x14ac:dyDescent="0.3">
      <c r="A1476" s="2">
        <f>IF(BCP_Soles[[#This Row],[tipo_registro]]="R",COUNTIFS($C$1:$C1475,"R")+1,A1475)</f>
        <v>1119</v>
      </c>
      <c r="B1476" s="19" t="str">
        <f t="shared" si="121"/>
        <v>B-BCP - Soles</v>
      </c>
      <c r="C1476" s="3" t="s">
        <v>1352</v>
      </c>
      <c r="D1476" s="14">
        <v>45777</v>
      </c>
      <c r="E1476" s="5" t="s">
        <v>1338</v>
      </c>
      <c r="F1476" s="5"/>
      <c r="G1476" s="6" t="s">
        <v>522</v>
      </c>
      <c r="H1476" s="6" t="s">
        <v>68</v>
      </c>
      <c r="I1476" s="6" t="s">
        <v>1376</v>
      </c>
      <c r="J1476" s="6">
        <v>3807</v>
      </c>
      <c r="K1476" s="7" t="s">
        <v>2848</v>
      </c>
      <c r="L1476" s="8">
        <v>69711</v>
      </c>
      <c r="M1476" s="8" t="str">
        <f t="shared" si="122"/>
        <v>PEN</v>
      </c>
      <c r="N1476" s="13">
        <v>501.5</v>
      </c>
      <c r="O1476" s="13"/>
      <c r="P1476" s="3">
        <f t="shared" si="123"/>
        <v>0</v>
      </c>
      <c r="Q1476" s="3">
        <f t="shared" si="124"/>
        <v>0</v>
      </c>
      <c r="R1476" s="3">
        <f t="shared" si="120"/>
        <v>66373.080000000031</v>
      </c>
      <c r="S1476" s="24"/>
      <c r="T1476" s="24" t="s">
        <v>1334</v>
      </c>
      <c r="U1476" s="53"/>
      <c r="V1476" s="25">
        <f>IFERROR(VLOOKUP(BCP_Soles[[#This Row],[destinatario]],CHOOSE({1,2},Clientes_Proveedores[Razon Social],Clientes_Proveedores[Ruc / Dni]),2,0),"")</f>
        <v>20603974817</v>
      </c>
      <c r="W1476" s="25"/>
      <c r="X1476" s="25"/>
      <c r="Y1476" s="25"/>
      <c r="Z1476" s="75"/>
      <c r="AA1476" s="3" t="str">
        <f>IF(BCP_Soles[[#This Row],[fecha]]&gt;0,TEXT(BCP_Soles[[#This Row],[fecha]],"mmmm"),0)</f>
        <v>Abril</v>
      </c>
    </row>
    <row r="1477" spans="1:27" x14ac:dyDescent="0.3">
      <c r="A1477" s="2">
        <f>IF(BCP_Soles[[#This Row],[tipo_registro]]="R",COUNTIFS($C$1:$C1476,"R")+1,A1476)</f>
        <v>1119</v>
      </c>
      <c r="B1477" s="19" t="str">
        <f t="shared" si="121"/>
        <v>B-BCP - Soles</v>
      </c>
      <c r="C1477" s="3" t="s">
        <v>1352</v>
      </c>
      <c r="D1477" s="14">
        <v>45777</v>
      </c>
      <c r="E1477" s="5" t="s">
        <v>1338</v>
      </c>
      <c r="F1477" s="5"/>
      <c r="G1477" s="6" t="s">
        <v>522</v>
      </c>
      <c r="H1477" s="6" t="s">
        <v>68</v>
      </c>
      <c r="I1477" s="6" t="s">
        <v>1376</v>
      </c>
      <c r="J1477" s="6">
        <v>3788</v>
      </c>
      <c r="K1477" s="7" t="s">
        <v>2848</v>
      </c>
      <c r="L1477" s="8">
        <v>69711</v>
      </c>
      <c r="M1477" s="8" t="str">
        <f t="shared" si="122"/>
        <v>PEN</v>
      </c>
      <c r="N1477" s="13">
        <v>632.1</v>
      </c>
      <c r="O1477" s="13"/>
      <c r="P1477" s="3">
        <f t="shared" si="123"/>
        <v>0</v>
      </c>
      <c r="Q1477" s="3">
        <f t="shared" si="124"/>
        <v>0</v>
      </c>
      <c r="R1477" s="3">
        <f t="shared" si="120"/>
        <v>66373.080000000031</v>
      </c>
      <c r="S1477" s="24"/>
      <c r="T1477" s="24" t="s">
        <v>1334</v>
      </c>
      <c r="U1477" s="53"/>
      <c r="V1477" s="25">
        <f>IFERROR(VLOOKUP(BCP_Soles[[#This Row],[destinatario]],CHOOSE({1,2},Clientes_Proveedores[Razon Social],Clientes_Proveedores[Ruc / Dni]),2,0),"")</f>
        <v>20603974817</v>
      </c>
      <c r="W1477" s="25"/>
      <c r="X1477" s="25"/>
      <c r="Y1477" s="25"/>
      <c r="Z1477" s="75"/>
      <c r="AA1477" s="3" t="str">
        <f>IF(BCP_Soles[[#This Row],[fecha]]&gt;0,TEXT(BCP_Soles[[#This Row],[fecha]],"mmmm"),0)</f>
        <v>Abril</v>
      </c>
    </row>
    <row r="1478" spans="1:27" x14ac:dyDescent="0.3">
      <c r="A1478" s="2">
        <f>IF(BCP_Soles[[#This Row],[tipo_registro]]="R",COUNTIFS($C$1:$C1477,"R")+1,A1477)</f>
        <v>1119</v>
      </c>
      <c r="B1478" s="19" t="str">
        <f t="shared" si="121"/>
        <v>B-BCP - Soles</v>
      </c>
      <c r="C1478" s="3" t="s">
        <v>1352</v>
      </c>
      <c r="D1478" s="14">
        <v>45777</v>
      </c>
      <c r="E1478" s="5" t="s">
        <v>1338</v>
      </c>
      <c r="F1478" s="5"/>
      <c r="G1478" s="6" t="s">
        <v>522</v>
      </c>
      <c r="H1478" s="6" t="s">
        <v>68</v>
      </c>
      <c r="I1478" s="6" t="s">
        <v>1376</v>
      </c>
      <c r="J1478" s="6">
        <v>3798</v>
      </c>
      <c r="K1478" s="7" t="s">
        <v>2848</v>
      </c>
      <c r="L1478" s="8">
        <v>69711</v>
      </c>
      <c r="M1478" s="8" t="str">
        <f t="shared" si="122"/>
        <v>PEN</v>
      </c>
      <c r="N1478" s="13">
        <v>200.6</v>
      </c>
      <c r="O1478" s="13"/>
      <c r="P1478" s="3">
        <f t="shared" si="123"/>
        <v>0</v>
      </c>
      <c r="Q1478" s="3">
        <f t="shared" si="124"/>
        <v>0</v>
      </c>
      <c r="R1478" s="3">
        <f t="shared" si="120"/>
        <v>66373.080000000031</v>
      </c>
      <c r="S1478" s="24"/>
      <c r="T1478" s="24" t="s">
        <v>1334</v>
      </c>
      <c r="U1478" s="53"/>
      <c r="V1478" s="25">
        <f>IFERROR(VLOOKUP(BCP_Soles[[#This Row],[destinatario]],CHOOSE({1,2},Clientes_Proveedores[Razon Social],Clientes_Proveedores[Ruc / Dni]),2,0),"")</f>
        <v>20603974817</v>
      </c>
      <c r="W1478" s="25"/>
      <c r="X1478" s="25"/>
      <c r="Y1478" s="25"/>
      <c r="Z1478" s="75"/>
      <c r="AA1478" s="3" t="str">
        <f>IF(BCP_Soles[[#This Row],[fecha]]&gt;0,TEXT(BCP_Soles[[#This Row],[fecha]],"mmmm"),0)</f>
        <v>Abril</v>
      </c>
    </row>
    <row r="1479" spans="1:27" x14ac:dyDescent="0.3">
      <c r="A1479" s="2">
        <f>IF(BCP_Soles[[#This Row],[tipo_registro]]="R",COUNTIFS($C$1:$C1478,"R")+1,A1478)</f>
        <v>1119</v>
      </c>
      <c r="B1479" s="19" t="str">
        <f t="shared" si="121"/>
        <v>B-BCP - Soles</v>
      </c>
      <c r="C1479" s="3" t="s">
        <v>1352</v>
      </c>
      <c r="D1479" s="14">
        <v>45777</v>
      </c>
      <c r="E1479" s="5" t="s">
        <v>1338</v>
      </c>
      <c r="F1479" s="5"/>
      <c r="G1479" s="6" t="s">
        <v>522</v>
      </c>
      <c r="H1479" s="6" t="s">
        <v>68</v>
      </c>
      <c r="I1479" s="6" t="s">
        <v>1376</v>
      </c>
      <c r="J1479" s="6">
        <v>3804</v>
      </c>
      <c r="K1479" s="7" t="s">
        <v>2848</v>
      </c>
      <c r="L1479" s="8">
        <v>69711</v>
      </c>
      <c r="M1479" s="8" t="str">
        <f t="shared" si="122"/>
        <v>PEN</v>
      </c>
      <c r="N1479" s="13">
        <v>300.89999999999998</v>
      </c>
      <c r="O1479" s="13"/>
      <c r="P1479" s="3">
        <f t="shared" si="123"/>
        <v>0</v>
      </c>
      <c r="Q1479" s="3">
        <f t="shared" si="124"/>
        <v>0</v>
      </c>
      <c r="R1479" s="3">
        <f t="shared" si="120"/>
        <v>66373.080000000031</v>
      </c>
      <c r="S1479" s="24"/>
      <c r="T1479" s="24" t="s">
        <v>1334</v>
      </c>
      <c r="U1479" s="53"/>
      <c r="V1479" s="25">
        <f>IFERROR(VLOOKUP(BCP_Soles[[#This Row],[destinatario]],CHOOSE({1,2},Clientes_Proveedores[Razon Social],Clientes_Proveedores[Ruc / Dni]),2,0),"")</f>
        <v>20603974817</v>
      </c>
      <c r="W1479" s="25"/>
      <c r="X1479" s="25"/>
      <c r="Y1479" s="25"/>
      <c r="Z1479" s="75"/>
      <c r="AA1479" s="3" t="str">
        <f>IF(BCP_Soles[[#This Row],[fecha]]&gt;0,TEXT(BCP_Soles[[#This Row],[fecha]],"mmmm"),0)</f>
        <v>Abril</v>
      </c>
    </row>
    <row r="1480" spans="1:27" ht="24" x14ac:dyDescent="0.3">
      <c r="A1480" s="2">
        <f>IF(BCP_Soles[[#This Row],[tipo_registro]]="R",COUNTIFS($C$1:$C1479,"R")+1,A1479)</f>
        <v>1119</v>
      </c>
      <c r="B1480" s="19" t="str">
        <f t="shared" si="121"/>
        <v>B-BCP - Soles</v>
      </c>
      <c r="C1480" s="3" t="s">
        <v>1352</v>
      </c>
      <c r="D1480" s="14">
        <v>45777</v>
      </c>
      <c r="E1480" s="5" t="s">
        <v>1338</v>
      </c>
      <c r="F1480" s="5"/>
      <c r="G1480" s="6" t="s">
        <v>594</v>
      </c>
      <c r="H1480" s="6" t="s">
        <v>68</v>
      </c>
      <c r="I1480" s="6" t="s">
        <v>1376</v>
      </c>
      <c r="J1480" s="6">
        <v>2129</v>
      </c>
      <c r="K1480" s="7" t="s">
        <v>2848</v>
      </c>
      <c r="L1480" s="8">
        <v>69711</v>
      </c>
      <c r="M1480" s="8" t="str">
        <f t="shared" si="122"/>
        <v>PEN</v>
      </c>
      <c r="N1480" s="13">
        <v>70.8</v>
      </c>
      <c r="O1480" s="13"/>
      <c r="P1480" s="3">
        <f t="shared" si="123"/>
        <v>0</v>
      </c>
      <c r="Q1480" s="3">
        <f t="shared" si="124"/>
        <v>0</v>
      </c>
      <c r="R1480" s="3">
        <f t="shared" si="120"/>
        <v>66373.080000000031</v>
      </c>
      <c r="S1480" s="24"/>
      <c r="T1480" s="24" t="s">
        <v>1334</v>
      </c>
      <c r="U1480" s="53"/>
      <c r="V1480" s="25">
        <f>IFERROR(VLOOKUP(BCP_Soles[[#This Row],[destinatario]],CHOOSE({1,2},Clientes_Proveedores[Razon Social],Clientes_Proveedores[Ruc / Dni]),2,0),"")</f>
        <v>20609764261</v>
      </c>
      <c r="W1480" s="25"/>
      <c r="X1480" s="25"/>
      <c r="Y1480" s="25"/>
      <c r="Z1480" s="75"/>
      <c r="AA1480" s="3" t="str">
        <f>IF(BCP_Soles[[#This Row],[fecha]]&gt;0,TEXT(BCP_Soles[[#This Row],[fecha]],"mmmm"),0)</f>
        <v>Abril</v>
      </c>
    </row>
    <row r="1481" spans="1:27" ht="24" x14ac:dyDescent="0.3">
      <c r="A1481" s="2">
        <f>IF(BCP_Soles[[#This Row],[tipo_registro]]="R",COUNTIFS($C$1:$C1480,"R")+1,A1480)</f>
        <v>1119</v>
      </c>
      <c r="B1481" s="19" t="str">
        <f t="shared" si="121"/>
        <v>B-BCP - Soles</v>
      </c>
      <c r="C1481" s="3" t="s">
        <v>1352</v>
      </c>
      <c r="D1481" s="14">
        <v>45777</v>
      </c>
      <c r="E1481" s="5" t="s">
        <v>1338</v>
      </c>
      <c r="F1481" s="5"/>
      <c r="G1481" s="6" t="s">
        <v>594</v>
      </c>
      <c r="H1481" s="6" t="s">
        <v>68</v>
      </c>
      <c r="I1481" s="6" t="s">
        <v>1376</v>
      </c>
      <c r="J1481" s="6">
        <v>2085</v>
      </c>
      <c r="K1481" s="7" t="s">
        <v>2848</v>
      </c>
      <c r="L1481" s="8">
        <v>69711</v>
      </c>
      <c r="M1481" s="8" t="str">
        <f t="shared" si="122"/>
        <v>PEN</v>
      </c>
      <c r="N1481" s="13">
        <v>70.8</v>
      </c>
      <c r="O1481" s="13"/>
      <c r="P1481" s="3">
        <f t="shared" si="123"/>
        <v>0</v>
      </c>
      <c r="Q1481" s="3">
        <f t="shared" si="124"/>
        <v>0</v>
      </c>
      <c r="R1481" s="3">
        <f t="shared" ref="R1481:R1544" si="125">IFERROR(IF(F1481="SALDO",P1481,R1480+P1481-Q1481),0)</f>
        <v>66373.080000000031</v>
      </c>
      <c r="S1481" s="24"/>
      <c r="T1481" s="24" t="s">
        <v>1334</v>
      </c>
      <c r="U1481" s="53"/>
      <c r="V1481" s="25">
        <f>IFERROR(VLOOKUP(BCP_Soles[[#This Row],[destinatario]],CHOOSE({1,2},Clientes_Proveedores[Razon Social],Clientes_Proveedores[Ruc / Dni]),2,0),"")</f>
        <v>20609764261</v>
      </c>
      <c r="W1481" s="25"/>
      <c r="X1481" s="25"/>
      <c r="Y1481" s="25"/>
      <c r="Z1481" s="75"/>
      <c r="AA1481" s="3" t="str">
        <f>IF(BCP_Soles[[#This Row],[fecha]]&gt;0,TEXT(BCP_Soles[[#This Row],[fecha]],"mmmm"),0)</f>
        <v>Abril</v>
      </c>
    </row>
    <row r="1482" spans="1:27" ht="24" x14ac:dyDescent="0.3">
      <c r="A1482" s="2">
        <f>IF(BCP_Soles[[#This Row],[tipo_registro]]="R",COUNTIFS($C$1:$C1481,"R")+1,A1481)</f>
        <v>1119</v>
      </c>
      <c r="B1482" s="19" t="str">
        <f t="shared" si="121"/>
        <v>B-BCP - Soles</v>
      </c>
      <c r="C1482" s="3" t="s">
        <v>1352</v>
      </c>
      <c r="D1482" s="14">
        <v>45777</v>
      </c>
      <c r="E1482" s="5" t="s">
        <v>1338</v>
      </c>
      <c r="F1482" s="5"/>
      <c r="G1482" s="6" t="s">
        <v>667</v>
      </c>
      <c r="H1482" s="6" t="s">
        <v>68</v>
      </c>
      <c r="I1482" s="6" t="s">
        <v>1376</v>
      </c>
      <c r="J1482" s="6">
        <v>17</v>
      </c>
      <c r="K1482" s="7" t="s">
        <v>2848</v>
      </c>
      <c r="L1482" s="8">
        <v>69711</v>
      </c>
      <c r="M1482" s="8" t="str">
        <f t="shared" si="122"/>
        <v>PEN</v>
      </c>
      <c r="N1482" s="13">
        <v>510</v>
      </c>
      <c r="O1482" s="13"/>
      <c r="P1482" s="3">
        <f t="shared" si="123"/>
        <v>0</v>
      </c>
      <c r="Q1482" s="3">
        <f t="shared" si="124"/>
        <v>0</v>
      </c>
      <c r="R1482" s="3">
        <f t="shared" si="125"/>
        <v>66373.080000000031</v>
      </c>
      <c r="S1482" s="24"/>
      <c r="T1482" s="24" t="s">
        <v>1334</v>
      </c>
      <c r="U1482" s="53"/>
      <c r="V1482" s="25">
        <f>IFERROR(VLOOKUP(BCP_Soles[[#This Row],[destinatario]],CHOOSE({1,2},Clientes_Proveedores[Razon Social],Clientes_Proveedores[Ruc / Dni]),2,0),"")</f>
        <v>10410687491</v>
      </c>
      <c r="W1482" s="25"/>
      <c r="X1482" s="25"/>
      <c r="Y1482" s="25"/>
      <c r="Z1482" s="75"/>
      <c r="AA1482" s="3" t="str">
        <f>IF(BCP_Soles[[#This Row],[fecha]]&gt;0,TEXT(BCP_Soles[[#This Row],[fecha]],"mmmm"),0)</f>
        <v>Abril</v>
      </c>
    </row>
    <row r="1483" spans="1:27" ht="24" x14ac:dyDescent="0.3">
      <c r="A1483" s="2">
        <f>IF(BCP_Soles[[#This Row],[tipo_registro]]="R",COUNTIFS($C$1:$C1482,"R")+1,A1482)</f>
        <v>1119</v>
      </c>
      <c r="B1483" s="19" t="str">
        <f t="shared" si="121"/>
        <v>B-BCP - Soles</v>
      </c>
      <c r="C1483" s="3" t="s">
        <v>1352</v>
      </c>
      <c r="D1483" s="14">
        <v>45777</v>
      </c>
      <c r="E1483" s="5" t="s">
        <v>1338</v>
      </c>
      <c r="F1483" s="5"/>
      <c r="G1483" s="6" t="s">
        <v>667</v>
      </c>
      <c r="H1483" s="6" t="s">
        <v>68</v>
      </c>
      <c r="I1483" s="6" t="s">
        <v>1376</v>
      </c>
      <c r="J1483" s="6">
        <v>15</v>
      </c>
      <c r="K1483" s="7" t="s">
        <v>2848</v>
      </c>
      <c r="L1483" s="8">
        <v>69711</v>
      </c>
      <c r="M1483" s="8" t="str">
        <f t="shared" si="122"/>
        <v>PEN</v>
      </c>
      <c r="N1483" s="13">
        <v>510</v>
      </c>
      <c r="O1483" s="13"/>
      <c r="P1483" s="3">
        <f t="shared" si="123"/>
        <v>0</v>
      </c>
      <c r="Q1483" s="3">
        <f t="shared" si="124"/>
        <v>0</v>
      </c>
      <c r="R1483" s="3">
        <f t="shared" si="125"/>
        <v>66373.080000000031</v>
      </c>
      <c r="S1483" s="24"/>
      <c r="T1483" s="24" t="s">
        <v>1334</v>
      </c>
      <c r="U1483" s="53"/>
      <c r="V1483" s="25">
        <f>IFERROR(VLOOKUP(BCP_Soles[[#This Row],[destinatario]],CHOOSE({1,2},Clientes_Proveedores[Razon Social],Clientes_Proveedores[Ruc / Dni]),2,0),"")</f>
        <v>10410687491</v>
      </c>
      <c r="W1483" s="25"/>
      <c r="X1483" s="25"/>
      <c r="Y1483" s="25"/>
      <c r="Z1483" s="75"/>
      <c r="AA1483" s="3" t="str">
        <f>IF(BCP_Soles[[#This Row],[fecha]]&gt;0,TEXT(BCP_Soles[[#This Row],[fecha]],"mmmm"),0)</f>
        <v>Abril</v>
      </c>
    </row>
    <row r="1484" spans="1:27" ht="24" x14ac:dyDescent="0.3">
      <c r="A1484" s="2">
        <f>IF(BCP_Soles[[#This Row],[tipo_registro]]="R",COUNTIFS($C$1:$C1483,"R")+1,A1483)</f>
        <v>1119</v>
      </c>
      <c r="B1484" s="19" t="str">
        <f t="shared" si="121"/>
        <v>B-BCP - Soles</v>
      </c>
      <c r="C1484" s="3" t="s">
        <v>1352</v>
      </c>
      <c r="D1484" s="14">
        <v>45777</v>
      </c>
      <c r="E1484" s="5" t="s">
        <v>1338</v>
      </c>
      <c r="F1484" s="5"/>
      <c r="G1484" s="6" t="s">
        <v>667</v>
      </c>
      <c r="H1484" s="6" t="s">
        <v>68</v>
      </c>
      <c r="I1484" s="6" t="s">
        <v>1376</v>
      </c>
      <c r="J1484" s="6">
        <v>18</v>
      </c>
      <c r="K1484" s="7" t="s">
        <v>2848</v>
      </c>
      <c r="L1484" s="8">
        <v>69711</v>
      </c>
      <c r="M1484" s="8" t="str">
        <f t="shared" si="122"/>
        <v>PEN</v>
      </c>
      <c r="N1484" s="13">
        <v>566</v>
      </c>
      <c r="O1484" s="13"/>
      <c r="P1484" s="3">
        <f t="shared" si="123"/>
        <v>0</v>
      </c>
      <c r="Q1484" s="3">
        <f t="shared" si="124"/>
        <v>0</v>
      </c>
      <c r="R1484" s="3">
        <f t="shared" si="125"/>
        <v>66373.080000000031</v>
      </c>
      <c r="S1484" s="24"/>
      <c r="T1484" s="24" t="s">
        <v>1334</v>
      </c>
      <c r="U1484" s="53"/>
      <c r="V1484" s="25">
        <f>IFERROR(VLOOKUP(BCP_Soles[[#This Row],[destinatario]],CHOOSE({1,2},Clientes_Proveedores[Razon Social],Clientes_Proveedores[Ruc / Dni]),2,0),"")</f>
        <v>10410687491</v>
      </c>
      <c r="W1484" s="25"/>
      <c r="X1484" s="25"/>
      <c r="Y1484" s="25"/>
      <c r="Z1484" s="75"/>
      <c r="AA1484" s="3" t="str">
        <f>IF(BCP_Soles[[#This Row],[fecha]]&gt;0,TEXT(BCP_Soles[[#This Row],[fecha]],"mmmm"),0)</f>
        <v>Abril</v>
      </c>
    </row>
    <row r="1485" spans="1:27" ht="24" x14ac:dyDescent="0.3">
      <c r="A1485" s="2">
        <f>IF(BCP_Soles[[#This Row],[tipo_registro]]="R",COUNTIFS($C$1:$C1484,"R")+1,A1484)</f>
        <v>1119</v>
      </c>
      <c r="B1485" s="19" t="str">
        <f t="shared" si="121"/>
        <v>B-BCP - Soles</v>
      </c>
      <c r="C1485" s="3" t="s">
        <v>1352</v>
      </c>
      <c r="D1485" s="14">
        <v>45777</v>
      </c>
      <c r="E1485" s="5" t="s">
        <v>1338</v>
      </c>
      <c r="F1485" s="5"/>
      <c r="G1485" s="6" t="s">
        <v>667</v>
      </c>
      <c r="H1485" s="6" t="s">
        <v>68</v>
      </c>
      <c r="I1485" s="6" t="s">
        <v>1376</v>
      </c>
      <c r="J1485" s="6">
        <v>16</v>
      </c>
      <c r="K1485" s="7" t="s">
        <v>2848</v>
      </c>
      <c r="L1485" s="8">
        <v>69711</v>
      </c>
      <c r="M1485" s="8" t="str">
        <f t="shared" si="122"/>
        <v>PEN</v>
      </c>
      <c r="N1485" s="13">
        <v>510</v>
      </c>
      <c r="O1485" s="13"/>
      <c r="P1485" s="3">
        <f t="shared" si="123"/>
        <v>0</v>
      </c>
      <c r="Q1485" s="3">
        <f t="shared" si="124"/>
        <v>0</v>
      </c>
      <c r="R1485" s="3">
        <f t="shared" si="125"/>
        <v>66373.080000000031</v>
      </c>
      <c r="S1485" s="24"/>
      <c r="T1485" s="24" t="s">
        <v>1334</v>
      </c>
      <c r="U1485" s="53"/>
      <c r="V1485" s="25">
        <f>IFERROR(VLOOKUP(BCP_Soles[[#This Row],[destinatario]],CHOOSE({1,2},Clientes_Proveedores[Razon Social],Clientes_Proveedores[Ruc / Dni]),2,0),"")</f>
        <v>10410687491</v>
      </c>
      <c r="W1485" s="25"/>
      <c r="X1485" s="25"/>
      <c r="Y1485" s="25"/>
      <c r="Z1485" s="75"/>
      <c r="AA1485" s="3" t="str">
        <f>IF(BCP_Soles[[#This Row],[fecha]]&gt;0,TEXT(BCP_Soles[[#This Row],[fecha]],"mmmm"),0)</f>
        <v>Abril</v>
      </c>
    </row>
    <row r="1486" spans="1:27" ht="24" x14ac:dyDescent="0.3">
      <c r="A1486" s="2">
        <f>IF(BCP_Soles[[#This Row],[tipo_registro]]="R",COUNTIFS($C$1:$C1485,"R")+1,A1485)</f>
        <v>1120</v>
      </c>
      <c r="B1486" s="19" t="str">
        <f t="shared" si="121"/>
        <v>B-BCP - Soles</v>
      </c>
      <c r="C1486" s="3" t="s">
        <v>1330</v>
      </c>
      <c r="D1486" s="14">
        <v>45777</v>
      </c>
      <c r="E1486" s="5" t="s">
        <v>1338</v>
      </c>
      <c r="F1486" s="5" t="s">
        <v>1336</v>
      </c>
      <c r="G1486" s="6" t="s">
        <v>185</v>
      </c>
      <c r="H1486" s="6" t="s">
        <v>68</v>
      </c>
      <c r="I1486" s="6" t="s">
        <v>1376</v>
      </c>
      <c r="J1486" s="6">
        <v>132</v>
      </c>
      <c r="K1486" s="7" t="s">
        <v>2849</v>
      </c>
      <c r="L1486" s="8">
        <v>1182559</v>
      </c>
      <c r="M1486" s="8" t="str">
        <f t="shared" si="122"/>
        <v>PEN</v>
      </c>
      <c r="N1486" s="13"/>
      <c r="O1486" s="13">
        <v>1473</v>
      </c>
      <c r="P1486" s="3">
        <f t="shared" si="123"/>
        <v>0</v>
      </c>
      <c r="Q1486" s="3">
        <f t="shared" si="124"/>
        <v>1473</v>
      </c>
      <c r="R1486" s="3">
        <f t="shared" si="125"/>
        <v>64900.080000000031</v>
      </c>
      <c r="S1486" s="24" t="s">
        <v>1334</v>
      </c>
      <c r="T1486" s="24" t="s">
        <v>1334</v>
      </c>
      <c r="U1486" s="53"/>
      <c r="V1486" s="25">
        <f>IFERROR(VLOOKUP(BCP_Soles[[#This Row],[destinatario]],CHOOSE({1,2},Clientes_Proveedores[Razon Social],Clientes_Proveedores[Ruc / Dni]),2,0),"")</f>
        <v>10489531963</v>
      </c>
      <c r="W1486" s="25" t="s">
        <v>185</v>
      </c>
      <c r="X1486" s="25" t="s">
        <v>2850</v>
      </c>
      <c r="Y1486" s="25"/>
      <c r="Z1486" s="75"/>
      <c r="AA1486" s="3" t="str">
        <f>IF(BCP_Soles[[#This Row],[fecha]]&gt;0,TEXT(BCP_Soles[[#This Row],[fecha]],"mmmm"),0)</f>
        <v>Abril</v>
      </c>
    </row>
    <row r="1487" spans="1:27" ht="24" x14ac:dyDescent="0.3">
      <c r="A1487" s="2">
        <f>IF(BCP_Soles[[#This Row],[tipo_registro]]="R",COUNTIFS($C$1:$C1486,"R")+1,A1486)</f>
        <v>1121</v>
      </c>
      <c r="B1487" s="19" t="str">
        <f t="shared" si="121"/>
        <v>B-BCP - Soles</v>
      </c>
      <c r="C1487" s="3" t="s">
        <v>1330</v>
      </c>
      <c r="D1487" s="14">
        <v>45777</v>
      </c>
      <c r="E1487" s="5" t="s">
        <v>1338</v>
      </c>
      <c r="F1487" s="5" t="s">
        <v>1336</v>
      </c>
      <c r="G1487" s="6" t="s">
        <v>708</v>
      </c>
      <c r="H1487" s="6" t="s">
        <v>68</v>
      </c>
      <c r="I1487" s="6" t="s">
        <v>1655</v>
      </c>
      <c r="J1487" s="6">
        <v>287518</v>
      </c>
      <c r="K1487" s="7" t="s">
        <v>2851</v>
      </c>
      <c r="L1487" s="8">
        <v>208584</v>
      </c>
      <c r="M1487" s="8" t="str">
        <f t="shared" si="122"/>
        <v>PEN</v>
      </c>
      <c r="N1487" s="13"/>
      <c r="O1487" s="13">
        <v>512.12</v>
      </c>
      <c r="P1487" s="3">
        <f t="shared" si="123"/>
        <v>0</v>
      </c>
      <c r="Q1487" s="3">
        <f t="shared" si="124"/>
        <v>512.12</v>
      </c>
      <c r="R1487" s="3">
        <f t="shared" si="125"/>
        <v>64387.960000000028</v>
      </c>
      <c r="S1487" s="24" t="s">
        <v>1334</v>
      </c>
      <c r="T1487" s="24" t="s">
        <v>1334</v>
      </c>
      <c r="U1487" s="53"/>
      <c r="V1487" s="25">
        <f>IFERROR(VLOOKUP(BCP_Soles[[#This Row],[destinatario]],CHOOSE({1,2},Clientes_Proveedores[Razon Social],Clientes_Proveedores[Ruc / Dni]),2,0),"")</f>
        <v>20467534026</v>
      </c>
      <c r="W1487" s="25" t="s">
        <v>1657</v>
      </c>
      <c r="X1487" s="25" t="s">
        <v>2852</v>
      </c>
      <c r="Y1487" s="181" t="s">
        <v>2853</v>
      </c>
      <c r="Z1487" s="75"/>
      <c r="AA1487" s="3" t="str">
        <f>IF(BCP_Soles[[#This Row],[fecha]]&gt;0,TEXT(BCP_Soles[[#This Row],[fecha]],"mmmm"),0)</f>
        <v>Abril</v>
      </c>
    </row>
    <row r="1488" spans="1:27" ht="24" x14ac:dyDescent="0.3">
      <c r="A1488" s="2">
        <f>IF(BCP_Soles[[#This Row],[tipo_registro]]="R",COUNTIFS($C$1:$C1487,"R")+1,A1487)</f>
        <v>1122</v>
      </c>
      <c r="B1488" s="19" t="str">
        <f t="shared" si="121"/>
        <v>B-BCP - Soles</v>
      </c>
      <c r="C1488" s="3" t="s">
        <v>1330</v>
      </c>
      <c r="D1488" s="14">
        <v>45777</v>
      </c>
      <c r="E1488" s="5" t="s">
        <v>1338</v>
      </c>
      <c r="F1488" s="5" t="s">
        <v>1336</v>
      </c>
      <c r="G1488" s="6" t="s">
        <v>187</v>
      </c>
      <c r="H1488" s="6" t="s">
        <v>68</v>
      </c>
      <c r="I1488" s="6" t="s">
        <v>1376</v>
      </c>
      <c r="J1488" s="6">
        <v>384</v>
      </c>
      <c r="K1488" s="7" t="s">
        <v>2854</v>
      </c>
      <c r="L1488" s="8">
        <v>1181569</v>
      </c>
      <c r="M1488" s="8" t="str">
        <f t="shared" si="122"/>
        <v>PEN</v>
      </c>
      <c r="N1488" s="13"/>
      <c r="O1488" s="13">
        <v>150</v>
      </c>
      <c r="P1488" s="3">
        <f t="shared" si="123"/>
        <v>0</v>
      </c>
      <c r="Q1488" s="3">
        <f t="shared" si="124"/>
        <v>150</v>
      </c>
      <c r="R1488" s="3">
        <f t="shared" si="125"/>
        <v>64237.960000000028</v>
      </c>
      <c r="S1488" s="24" t="s">
        <v>1334</v>
      </c>
      <c r="T1488" s="24" t="s">
        <v>1334</v>
      </c>
      <c r="U1488" s="53"/>
      <c r="V1488" s="25">
        <f>IFERROR(VLOOKUP(BCP_Soles[[#This Row],[destinatario]],CHOOSE({1,2},Clientes_Proveedores[Razon Social],Clientes_Proveedores[Ruc / Dni]),2,0),"")</f>
        <v>10706063426</v>
      </c>
      <c r="W1488" s="25" t="s">
        <v>187</v>
      </c>
      <c r="X1488" s="25" t="s">
        <v>2855</v>
      </c>
      <c r="Y1488" s="25"/>
      <c r="Z1488" s="75"/>
      <c r="AA1488" s="3" t="str">
        <f>IF(BCP_Soles[[#This Row],[fecha]]&gt;0,TEXT(BCP_Soles[[#This Row],[fecha]],"mmmm"),0)</f>
        <v>Abril</v>
      </c>
    </row>
    <row r="1489" spans="1:27" ht="24" x14ac:dyDescent="0.3">
      <c r="A1489" s="2">
        <f>IF(BCP_Soles[[#This Row],[tipo_registro]]="R",COUNTIFS($C$1:$C1488,"R")+1,A1488)</f>
        <v>1123</v>
      </c>
      <c r="B1489" s="19" t="str">
        <f t="shared" si="121"/>
        <v>B-BCP - Soles</v>
      </c>
      <c r="C1489" s="3" t="s">
        <v>1330</v>
      </c>
      <c r="D1489" s="14">
        <v>45777</v>
      </c>
      <c r="E1489" s="5" t="s">
        <v>1338</v>
      </c>
      <c r="F1489" s="5" t="s">
        <v>1336</v>
      </c>
      <c r="G1489" s="6" t="s">
        <v>187</v>
      </c>
      <c r="H1489" s="6" t="s">
        <v>68</v>
      </c>
      <c r="I1489" s="6" t="s">
        <v>1376</v>
      </c>
      <c r="J1489" s="6">
        <v>367</v>
      </c>
      <c r="K1489" s="7" t="s">
        <v>2856</v>
      </c>
      <c r="L1489" s="8">
        <v>1182558</v>
      </c>
      <c r="M1489" s="8" t="str">
        <f t="shared" si="122"/>
        <v>PEN</v>
      </c>
      <c r="N1489" s="13"/>
      <c r="O1489" s="13">
        <v>122</v>
      </c>
      <c r="P1489" s="3">
        <f t="shared" si="123"/>
        <v>0</v>
      </c>
      <c r="Q1489" s="3">
        <f t="shared" si="124"/>
        <v>122</v>
      </c>
      <c r="R1489" s="3">
        <f t="shared" si="125"/>
        <v>64115.960000000028</v>
      </c>
      <c r="S1489" s="24" t="s">
        <v>1334</v>
      </c>
      <c r="T1489" s="24" t="s">
        <v>1334</v>
      </c>
      <c r="U1489" s="53"/>
      <c r="V1489" s="25">
        <f>IFERROR(VLOOKUP(BCP_Soles[[#This Row],[destinatario]],CHOOSE({1,2},Clientes_Proveedores[Razon Social],Clientes_Proveedores[Ruc / Dni]),2,0),"")</f>
        <v>10706063426</v>
      </c>
      <c r="W1489" s="25" t="s">
        <v>187</v>
      </c>
      <c r="X1489" s="25" t="s">
        <v>2328</v>
      </c>
      <c r="Y1489" s="25"/>
      <c r="Z1489" s="75"/>
      <c r="AA1489" s="3" t="str">
        <f>IF(BCP_Soles[[#This Row],[fecha]]&gt;0,TEXT(BCP_Soles[[#This Row],[fecha]],"mmmm"),0)</f>
        <v>Abril</v>
      </c>
    </row>
    <row r="1490" spans="1:27" ht="24" x14ac:dyDescent="0.3">
      <c r="A1490" s="2">
        <f>IF(BCP_Soles[[#This Row],[tipo_registro]]="R",COUNTIFS($C$1:$C1489,"R")+1,A1489)</f>
        <v>1124</v>
      </c>
      <c r="B1490" s="19" t="str">
        <f t="shared" si="121"/>
        <v>B-BCP - Soles</v>
      </c>
      <c r="C1490" s="3" t="s">
        <v>1330</v>
      </c>
      <c r="D1490" s="14">
        <v>45777</v>
      </c>
      <c r="E1490" s="5" t="s">
        <v>1338</v>
      </c>
      <c r="F1490" s="5" t="s">
        <v>1336</v>
      </c>
      <c r="G1490" s="6" t="s">
        <v>249</v>
      </c>
      <c r="H1490" s="6"/>
      <c r="I1490" s="6"/>
      <c r="J1490" s="6"/>
      <c r="K1490" s="7" t="s">
        <v>2857</v>
      </c>
      <c r="L1490" s="8">
        <v>1181077</v>
      </c>
      <c r="M1490" s="8" t="str">
        <f t="shared" si="122"/>
        <v>PEN</v>
      </c>
      <c r="N1490" s="13"/>
      <c r="O1490" s="13">
        <v>94.4</v>
      </c>
      <c r="P1490" s="3">
        <f t="shared" si="123"/>
        <v>0</v>
      </c>
      <c r="Q1490" s="3">
        <f t="shared" si="124"/>
        <v>94.4</v>
      </c>
      <c r="R1490" s="3">
        <f t="shared" si="125"/>
        <v>64021.560000000027</v>
      </c>
      <c r="S1490" s="24"/>
      <c r="T1490" s="24"/>
      <c r="U1490" s="53"/>
      <c r="V1490" s="25">
        <f>IFERROR(VLOOKUP(BCP_Soles[[#This Row],[destinatario]],CHOOSE({1,2},Clientes_Proveedores[Razon Social],Clientes_Proveedores[Ruc / Dni]),2,0),"")</f>
        <v>20302891452</v>
      </c>
      <c r="W1490" s="25" t="s">
        <v>249</v>
      </c>
      <c r="X1490" s="25"/>
      <c r="Y1490" s="25"/>
      <c r="Z1490" s="75"/>
      <c r="AA1490" s="3" t="str">
        <f>IF(BCP_Soles[[#This Row],[fecha]]&gt;0,TEXT(BCP_Soles[[#This Row],[fecha]],"mmmm"),0)</f>
        <v>Abril</v>
      </c>
    </row>
    <row r="1491" spans="1:27" ht="24" x14ac:dyDescent="0.3">
      <c r="A1491" s="2">
        <f>IF(BCP_Soles[[#This Row],[tipo_registro]]="R",COUNTIFS($C$1:$C1490,"R")+1,A1490)</f>
        <v>1125</v>
      </c>
      <c r="B1491" s="19" t="str">
        <f t="shared" ref="B1491:B1554" si="126">"B-BCP - Soles"</f>
        <v>B-BCP - Soles</v>
      </c>
      <c r="C1491" s="3" t="s">
        <v>1330</v>
      </c>
      <c r="D1491" s="14">
        <v>45777</v>
      </c>
      <c r="E1491" s="5" t="s">
        <v>1338</v>
      </c>
      <c r="F1491" s="5" t="s">
        <v>1336</v>
      </c>
      <c r="G1491" s="6" t="s">
        <v>249</v>
      </c>
      <c r="H1491" s="6"/>
      <c r="I1491" s="6"/>
      <c r="J1491" s="6"/>
      <c r="K1491" s="7" t="s">
        <v>2858</v>
      </c>
      <c r="L1491" s="8">
        <v>1182564</v>
      </c>
      <c r="M1491" s="8" t="str">
        <f t="shared" ref="M1491:M1554" si="127">"PEN"</f>
        <v>PEN</v>
      </c>
      <c r="N1491" s="13"/>
      <c r="O1491" s="13">
        <v>81.42</v>
      </c>
      <c r="P1491" s="3">
        <f t="shared" ref="P1491:P1554" si="128">+IF(OR($F1491="SALDO",$F1491="INGRESO"),$O1491,0)</f>
        <v>0</v>
      </c>
      <c r="Q1491" s="3">
        <f t="shared" ref="Q1491:Q1554" si="129">+IF($F1491="EGRESO",$O1491,0)</f>
        <v>81.42</v>
      </c>
      <c r="R1491" s="3">
        <f t="shared" si="125"/>
        <v>63940.140000000029</v>
      </c>
      <c r="S1491" s="24"/>
      <c r="T1491" s="24"/>
      <c r="U1491" s="53"/>
      <c r="V1491" s="25">
        <f>IFERROR(VLOOKUP(BCP_Soles[[#This Row],[destinatario]],CHOOSE({1,2},Clientes_Proveedores[Razon Social],Clientes_Proveedores[Ruc / Dni]),2,0),"")</f>
        <v>20302891452</v>
      </c>
      <c r="W1491" s="25" t="s">
        <v>249</v>
      </c>
      <c r="X1491" s="25"/>
      <c r="Y1491" s="25"/>
      <c r="Z1491" s="75"/>
      <c r="AA1491" s="3" t="str">
        <f>IF(BCP_Soles[[#This Row],[fecha]]&gt;0,TEXT(BCP_Soles[[#This Row],[fecha]],"mmmm"),0)</f>
        <v>Abril</v>
      </c>
    </row>
    <row r="1492" spans="1:27" ht="24" x14ac:dyDescent="0.3">
      <c r="A1492" s="2">
        <f>IF(BCP_Soles[[#This Row],[tipo_registro]]="R",COUNTIFS($C$1:$C1491,"R")+1,A1491)</f>
        <v>1126</v>
      </c>
      <c r="B1492" s="19" t="str">
        <f t="shared" si="126"/>
        <v>B-BCP - Soles</v>
      </c>
      <c r="C1492" s="3" t="s">
        <v>1330</v>
      </c>
      <c r="D1492" s="14">
        <v>45777</v>
      </c>
      <c r="E1492" s="5" t="s">
        <v>1338</v>
      </c>
      <c r="F1492" s="5" t="s">
        <v>1336</v>
      </c>
      <c r="G1492" s="6" t="s">
        <v>708</v>
      </c>
      <c r="H1492" s="6" t="s">
        <v>68</v>
      </c>
      <c r="I1492" s="6" t="s">
        <v>1655</v>
      </c>
      <c r="J1492" s="6">
        <v>287519</v>
      </c>
      <c r="K1492" s="7" t="s">
        <v>2859</v>
      </c>
      <c r="L1492" s="8">
        <v>182560</v>
      </c>
      <c r="M1492" s="8" t="str">
        <f t="shared" si="127"/>
        <v>PEN</v>
      </c>
      <c r="N1492" s="13"/>
      <c r="O1492" s="13">
        <v>36.58</v>
      </c>
      <c r="P1492" s="3">
        <f t="shared" si="128"/>
        <v>0</v>
      </c>
      <c r="Q1492" s="3">
        <f t="shared" si="129"/>
        <v>36.58</v>
      </c>
      <c r="R1492" s="3">
        <f t="shared" si="125"/>
        <v>63903.560000000027</v>
      </c>
      <c r="S1492" s="24" t="s">
        <v>1334</v>
      </c>
      <c r="T1492" s="24" t="s">
        <v>1334</v>
      </c>
      <c r="U1492" s="53"/>
      <c r="V1492" s="25">
        <f>IFERROR(VLOOKUP(BCP_Soles[[#This Row],[destinatario]],CHOOSE({1,2},Clientes_Proveedores[Razon Social],Clientes_Proveedores[Ruc / Dni]),2,0),"")</f>
        <v>20467534026</v>
      </c>
      <c r="W1492" s="25" t="s">
        <v>1657</v>
      </c>
      <c r="X1492" s="25" t="s">
        <v>2852</v>
      </c>
      <c r="Y1492" s="25"/>
      <c r="Z1492" s="75"/>
      <c r="AA1492" s="3" t="str">
        <f>IF(BCP_Soles[[#This Row],[fecha]]&gt;0,TEXT(BCP_Soles[[#This Row],[fecha]],"mmmm"),0)</f>
        <v>Abril</v>
      </c>
    </row>
    <row r="1493" spans="1:27" ht="24" x14ac:dyDescent="0.3">
      <c r="A1493" s="2">
        <f>IF(BCP_Soles[[#This Row],[tipo_registro]]="R",COUNTIFS($C$1:$C1492,"R")+1,A1492)</f>
        <v>1127</v>
      </c>
      <c r="B1493" s="19" t="str">
        <f t="shared" si="126"/>
        <v>B-BCP - Soles</v>
      </c>
      <c r="C1493" s="3" t="s">
        <v>1330</v>
      </c>
      <c r="D1493" s="14">
        <v>45777</v>
      </c>
      <c r="E1493" s="5" t="s">
        <v>1335</v>
      </c>
      <c r="F1493" s="5" t="s">
        <v>1336</v>
      </c>
      <c r="G1493" s="6" t="s">
        <v>1060</v>
      </c>
      <c r="H1493" s="6"/>
      <c r="I1493" s="6"/>
      <c r="J1493" s="6"/>
      <c r="K1493" s="7" t="s">
        <v>1756</v>
      </c>
      <c r="L1493" s="8"/>
      <c r="M1493" s="8" t="str">
        <f t="shared" si="127"/>
        <v>PEN</v>
      </c>
      <c r="N1493" s="13"/>
      <c r="O1493" s="13">
        <v>35</v>
      </c>
      <c r="P1493" s="3">
        <f t="shared" si="128"/>
        <v>0</v>
      </c>
      <c r="Q1493" s="3">
        <f t="shared" si="129"/>
        <v>35</v>
      </c>
      <c r="R1493" s="3">
        <f t="shared" si="125"/>
        <v>63868.560000000027</v>
      </c>
      <c r="S1493" s="24"/>
      <c r="T1493" s="24"/>
      <c r="U1493" s="53"/>
      <c r="V1493" s="25">
        <f>IFERROR(VLOOKUP(BCP_Soles[[#This Row],[destinatario]],CHOOSE({1,2},Clientes_Proveedores[Razon Social],Clientes_Proveedores[Ruc / Dni]),2,0),"")</f>
        <v>20100047218</v>
      </c>
      <c r="W1493" s="25" t="s">
        <v>1335</v>
      </c>
      <c r="X1493" s="25"/>
      <c r="Y1493" s="25"/>
      <c r="Z1493" s="75"/>
      <c r="AA1493" s="3" t="str">
        <f>IF(BCP_Soles[[#This Row],[fecha]]&gt;0,TEXT(BCP_Soles[[#This Row],[fecha]],"mmmm"),0)</f>
        <v>Abril</v>
      </c>
    </row>
    <row r="1494" spans="1:27" ht="24" x14ac:dyDescent="0.3">
      <c r="A1494" s="2">
        <f>IF(BCP_Soles[[#This Row],[tipo_registro]]="R",COUNTIFS($C$1:$C1493,"R")+1,A1493)</f>
        <v>1128</v>
      </c>
      <c r="B1494" s="19" t="str">
        <f t="shared" si="126"/>
        <v>B-BCP - Soles</v>
      </c>
      <c r="C1494" s="3" t="s">
        <v>1330</v>
      </c>
      <c r="D1494" s="14">
        <v>45777</v>
      </c>
      <c r="E1494" s="5" t="s">
        <v>1335</v>
      </c>
      <c r="F1494" s="5" t="s">
        <v>1336</v>
      </c>
      <c r="G1494" s="6" t="s">
        <v>1060</v>
      </c>
      <c r="H1494" s="6"/>
      <c r="I1494" s="6"/>
      <c r="J1494" s="6"/>
      <c r="K1494" s="7" t="s">
        <v>1758</v>
      </c>
      <c r="L1494" s="8">
        <v>972709</v>
      </c>
      <c r="M1494" s="8" t="str">
        <f t="shared" si="127"/>
        <v>PEN</v>
      </c>
      <c r="N1494" s="13"/>
      <c r="O1494" s="13">
        <v>5.5</v>
      </c>
      <c r="P1494" s="3">
        <f t="shared" si="128"/>
        <v>0</v>
      </c>
      <c r="Q1494" s="3">
        <f t="shared" si="129"/>
        <v>5.5</v>
      </c>
      <c r="R1494" s="3">
        <f t="shared" si="125"/>
        <v>63863.060000000027</v>
      </c>
      <c r="S1494" s="24"/>
      <c r="T1494" s="24"/>
      <c r="U1494" s="53"/>
      <c r="V1494" s="25">
        <f>IFERROR(VLOOKUP(BCP_Soles[[#This Row],[destinatario]],CHOOSE({1,2},Clientes_Proveedores[Razon Social],Clientes_Proveedores[Ruc / Dni]),2,0),"")</f>
        <v>20100047218</v>
      </c>
      <c r="W1494" s="25" t="s">
        <v>1335</v>
      </c>
      <c r="X1494" s="25"/>
      <c r="Y1494" s="25"/>
      <c r="Z1494" s="75"/>
      <c r="AA1494" s="3" t="str">
        <f>IF(BCP_Soles[[#This Row],[fecha]]&gt;0,TEXT(BCP_Soles[[#This Row],[fecha]],"mmmm"),0)</f>
        <v>Abril</v>
      </c>
    </row>
    <row r="1495" spans="1:27" x14ac:dyDescent="0.3">
      <c r="A1495" s="2">
        <f>IF(BCP_Soles[[#This Row],[tipo_registro]]="R",COUNTIFS($C$1:$C1494,"R")+1,A1494)</f>
        <v>1129</v>
      </c>
      <c r="B1495" s="19" t="str">
        <f t="shared" si="126"/>
        <v>B-BCP - Soles</v>
      </c>
      <c r="C1495" s="3" t="s">
        <v>1330</v>
      </c>
      <c r="D1495" s="14">
        <v>45777</v>
      </c>
      <c r="E1495" s="5" t="s">
        <v>1335</v>
      </c>
      <c r="F1495" s="5" t="s">
        <v>1336</v>
      </c>
      <c r="G1495" s="6"/>
      <c r="H1495" s="6"/>
      <c r="I1495" s="6"/>
      <c r="J1495" s="6"/>
      <c r="K1495" s="7" t="s">
        <v>1337</v>
      </c>
      <c r="L1495" s="8"/>
      <c r="M1495" s="8" t="str">
        <f t="shared" si="127"/>
        <v>PEN</v>
      </c>
      <c r="N1495" s="13"/>
      <c r="O1495" s="13">
        <v>4.4000000000000004</v>
      </c>
      <c r="P1495" s="3">
        <f t="shared" si="128"/>
        <v>0</v>
      </c>
      <c r="Q1495" s="3">
        <f t="shared" si="129"/>
        <v>4.4000000000000004</v>
      </c>
      <c r="R1495" s="3">
        <f t="shared" si="125"/>
        <v>63858.660000000025</v>
      </c>
      <c r="S1495" s="24"/>
      <c r="T1495" s="24" t="s">
        <v>1334</v>
      </c>
      <c r="U1495" s="53"/>
      <c r="V1495" s="25" t="str">
        <f>IFERROR(VLOOKUP(BCP_Soles[[#This Row],[destinatario]],CHOOSE({1,2},Clientes_Proveedores[Razon Social],Clientes_Proveedores[Ruc / Dni]),2,0),"")</f>
        <v/>
      </c>
      <c r="W1495" s="25"/>
      <c r="X1495" s="25"/>
      <c r="Y1495" s="25"/>
      <c r="Z1495" s="75"/>
      <c r="AA1495" s="3" t="str">
        <f>IF(BCP_Soles[[#This Row],[fecha]]&gt;0,TEXT(BCP_Soles[[#This Row],[fecha]],"mmmm"),0)</f>
        <v>Abril</v>
      </c>
    </row>
    <row r="1496" spans="1:27" ht="24" x14ac:dyDescent="0.3">
      <c r="A1496" s="2">
        <f>IF(BCP_Soles[[#This Row],[tipo_registro]]="R",COUNTIFS($C$1:$C1495,"R")+1,A1495)</f>
        <v>1130</v>
      </c>
      <c r="B1496" s="19" t="str">
        <f t="shared" si="126"/>
        <v>B-BCP - Soles</v>
      </c>
      <c r="C1496" s="3" t="s">
        <v>1330</v>
      </c>
      <c r="D1496" s="14">
        <v>45779</v>
      </c>
      <c r="E1496" s="5" t="s">
        <v>286</v>
      </c>
      <c r="F1496" s="5" t="s">
        <v>1303</v>
      </c>
      <c r="G1496" s="6" t="s">
        <v>425</v>
      </c>
      <c r="H1496" s="6"/>
      <c r="I1496" s="6"/>
      <c r="J1496" s="6"/>
      <c r="K1496" s="7" t="s">
        <v>1382</v>
      </c>
      <c r="L1496" s="8">
        <v>4533</v>
      </c>
      <c r="M1496" s="8" t="str">
        <f t="shared" si="127"/>
        <v>PEN</v>
      </c>
      <c r="N1496" s="13"/>
      <c r="O1496" s="13">
        <v>5103</v>
      </c>
      <c r="P1496" s="3">
        <f t="shared" si="128"/>
        <v>5103</v>
      </c>
      <c r="Q1496" s="3">
        <f t="shared" si="129"/>
        <v>0</v>
      </c>
      <c r="R1496" s="3">
        <f t="shared" si="125"/>
        <v>68961.660000000033</v>
      </c>
      <c r="S1496" s="24" t="s">
        <v>1334</v>
      </c>
      <c r="T1496" s="24" t="s">
        <v>1334</v>
      </c>
      <c r="U1496" s="53"/>
      <c r="V1496" s="25">
        <f>IFERROR(VLOOKUP(BCP_Soles[[#This Row],[destinatario]],CHOOSE({1,2},Clientes_Proveedores[Razon Social],Clientes_Proveedores[Ruc / Dni]),2,0),"")</f>
        <v>20558226979</v>
      </c>
      <c r="W1496" s="25" t="s">
        <v>1345</v>
      </c>
      <c r="X1496" s="25" t="s">
        <v>2860</v>
      </c>
      <c r="Y1496" s="25"/>
      <c r="Z1496" s="75"/>
      <c r="AA1496" s="3" t="str">
        <f>IF(BCP_Soles[[#This Row],[fecha]]&gt;0,TEXT(BCP_Soles[[#This Row],[fecha]],"mmmm"),0)</f>
        <v>Mayo</v>
      </c>
    </row>
    <row r="1497" spans="1:27" ht="24" x14ac:dyDescent="0.3">
      <c r="A1497" s="2">
        <f>IF(BCP_Soles[[#This Row],[tipo_registro]]="R",COUNTIFS($C$1:$C1496,"R")+1,A1496)</f>
        <v>1131</v>
      </c>
      <c r="B1497" s="19" t="str">
        <f t="shared" si="126"/>
        <v>B-BCP - Soles</v>
      </c>
      <c r="C1497" s="3" t="s">
        <v>1330</v>
      </c>
      <c r="D1497" s="14">
        <v>45779</v>
      </c>
      <c r="E1497" s="5" t="s">
        <v>433</v>
      </c>
      <c r="F1497" s="5" t="s">
        <v>1303</v>
      </c>
      <c r="G1497" s="6" t="s">
        <v>425</v>
      </c>
      <c r="H1497" s="6"/>
      <c r="I1497" s="6"/>
      <c r="J1497" s="6"/>
      <c r="K1497" s="7" t="s">
        <v>1356</v>
      </c>
      <c r="L1497" s="8">
        <v>572101</v>
      </c>
      <c r="M1497" s="8" t="str">
        <f t="shared" si="127"/>
        <v>PEN</v>
      </c>
      <c r="N1497" s="13"/>
      <c r="O1497" s="13">
        <v>2632.5</v>
      </c>
      <c r="P1497" s="3">
        <f t="shared" si="128"/>
        <v>2632.5</v>
      </c>
      <c r="Q1497" s="3">
        <f t="shared" si="129"/>
        <v>0</v>
      </c>
      <c r="R1497" s="3">
        <f t="shared" si="125"/>
        <v>71594.160000000033</v>
      </c>
      <c r="S1497" s="24" t="s">
        <v>1334</v>
      </c>
      <c r="T1497" s="24" t="s">
        <v>1334</v>
      </c>
      <c r="U1497" s="53"/>
      <c r="V1497" s="25">
        <f>IFERROR(VLOOKUP(BCP_Soles[[#This Row],[destinatario]],CHOOSE({1,2},Clientes_Proveedores[Razon Social],Clientes_Proveedores[Ruc / Dni]),2,0),"")</f>
        <v>20558226979</v>
      </c>
      <c r="W1497" s="25" t="s">
        <v>1345</v>
      </c>
      <c r="X1497" s="25" t="s">
        <v>2861</v>
      </c>
      <c r="Y1497" s="25"/>
      <c r="Z1497" s="75"/>
      <c r="AA1497" s="3" t="str">
        <f>IF(BCP_Soles[[#This Row],[fecha]]&gt;0,TEXT(BCP_Soles[[#This Row],[fecha]],"mmmm"),0)</f>
        <v>Mayo</v>
      </c>
    </row>
    <row r="1498" spans="1:27" ht="24" x14ac:dyDescent="0.3">
      <c r="A1498" s="2">
        <f>IF(BCP_Soles[[#This Row],[tipo_registro]]="R",COUNTIFS($C$1:$C1497,"R")+1,A1497)</f>
        <v>1132</v>
      </c>
      <c r="B1498" s="19" t="str">
        <f t="shared" si="126"/>
        <v>B-BCP - Soles</v>
      </c>
      <c r="C1498" s="3" t="s">
        <v>1330</v>
      </c>
      <c r="D1498" s="14">
        <v>45779</v>
      </c>
      <c r="E1498" s="5" t="s">
        <v>2862</v>
      </c>
      <c r="F1498" s="5" t="s">
        <v>1303</v>
      </c>
      <c r="G1498" s="6" t="s">
        <v>425</v>
      </c>
      <c r="H1498" s="6" t="s">
        <v>119</v>
      </c>
      <c r="I1498" s="6">
        <v>1</v>
      </c>
      <c r="J1498" s="6">
        <v>766</v>
      </c>
      <c r="K1498" s="7" t="s">
        <v>2003</v>
      </c>
      <c r="L1498" s="8">
        <v>2051284</v>
      </c>
      <c r="M1498" s="8" t="str">
        <f t="shared" si="127"/>
        <v>PEN</v>
      </c>
      <c r="N1498" s="13"/>
      <c r="O1498" s="13">
        <v>2550</v>
      </c>
      <c r="P1498" s="3">
        <f t="shared" si="128"/>
        <v>2550</v>
      </c>
      <c r="Q1498" s="3">
        <f t="shared" si="129"/>
        <v>0</v>
      </c>
      <c r="R1498" s="3">
        <f t="shared" si="125"/>
        <v>74144.160000000033</v>
      </c>
      <c r="S1498" s="24" t="s">
        <v>1334</v>
      </c>
      <c r="T1498" s="24" t="s">
        <v>1334</v>
      </c>
      <c r="U1498" s="53"/>
      <c r="V1498" s="25">
        <f>IFERROR(VLOOKUP(BCP_Soles[[#This Row],[destinatario]],CHOOSE({1,2},Clientes_Proveedores[Razon Social],Clientes_Proveedores[Ruc / Dni]),2,0),"")</f>
        <v>20558226979</v>
      </c>
      <c r="W1498" s="25" t="s">
        <v>1345</v>
      </c>
      <c r="X1498" s="25" t="s">
        <v>2863</v>
      </c>
      <c r="Y1498" s="25"/>
      <c r="Z1498" s="75"/>
      <c r="AA1498" s="3" t="str">
        <f>IF(BCP_Soles[[#This Row],[fecha]]&gt;0,TEXT(BCP_Soles[[#This Row],[fecha]],"mmmm"),0)</f>
        <v>Mayo</v>
      </c>
    </row>
    <row r="1499" spans="1:27" ht="48" x14ac:dyDescent="0.3">
      <c r="A1499" s="2">
        <f>IF(BCP_Soles[[#This Row],[tipo_registro]]="R",COUNTIFS($C$1:$C1498,"R")+1,A1498)</f>
        <v>1133</v>
      </c>
      <c r="B1499" s="19" t="str">
        <f t="shared" si="126"/>
        <v>B-BCP - Soles</v>
      </c>
      <c r="C1499" s="3" t="s">
        <v>1330</v>
      </c>
      <c r="D1499" s="14">
        <v>45779</v>
      </c>
      <c r="E1499" s="5" t="s">
        <v>262</v>
      </c>
      <c r="F1499" s="5" t="s">
        <v>1303</v>
      </c>
      <c r="G1499" s="6" t="s">
        <v>425</v>
      </c>
      <c r="H1499" s="6"/>
      <c r="I1499" s="6"/>
      <c r="J1499" s="6"/>
      <c r="K1499" s="7" t="s">
        <v>1546</v>
      </c>
      <c r="L1499" s="8">
        <v>7813</v>
      </c>
      <c r="M1499" s="8" t="str">
        <f t="shared" si="127"/>
        <v>PEN</v>
      </c>
      <c r="N1499" s="13"/>
      <c r="O1499" s="13">
        <v>2386.35</v>
      </c>
      <c r="P1499" s="3">
        <f t="shared" si="128"/>
        <v>2386.35</v>
      </c>
      <c r="Q1499" s="3">
        <f t="shared" si="129"/>
        <v>0</v>
      </c>
      <c r="R1499" s="3">
        <f t="shared" si="125"/>
        <v>76530.510000000038</v>
      </c>
      <c r="S1499" s="24" t="s">
        <v>1334</v>
      </c>
      <c r="T1499" s="24" t="s">
        <v>1334</v>
      </c>
      <c r="U1499" s="53"/>
      <c r="V1499" s="25">
        <f>IFERROR(VLOOKUP(BCP_Soles[[#This Row],[destinatario]],CHOOSE({1,2},Clientes_Proveedores[Razon Social],Clientes_Proveedores[Ruc / Dni]),2,0),"")</f>
        <v>20558226979</v>
      </c>
      <c r="W1499" s="25" t="s">
        <v>1345</v>
      </c>
      <c r="X1499" s="25" t="s">
        <v>2864</v>
      </c>
      <c r="Y1499" s="25"/>
      <c r="Z1499" s="75"/>
      <c r="AA1499" s="3" t="str">
        <f>IF(BCP_Soles[[#This Row],[fecha]]&gt;0,TEXT(BCP_Soles[[#This Row],[fecha]],"mmmm"),0)</f>
        <v>Mayo</v>
      </c>
    </row>
    <row r="1500" spans="1:27" ht="24" x14ac:dyDescent="0.3">
      <c r="A1500" s="2">
        <f>IF(BCP_Soles[[#This Row],[tipo_registro]]="R",COUNTIFS($C$1:$C1499,"R")+1,A1499)</f>
        <v>1134</v>
      </c>
      <c r="B1500" s="19" t="str">
        <f t="shared" si="126"/>
        <v>B-BCP - Soles</v>
      </c>
      <c r="C1500" s="3" t="s">
        <v>1330</v>
      </c>
      <c r="D1500" s="14">
        <v>45779</v>
      </c>
      <c r="E1500" s="5" t="s">
        <v>1505</v>
      </c>
      <c r="F1500" s="5" t="s">
        <v>1303</v>
      </c>
      <c r="G1500" s="6" t="s">
        <v>425</v>
      </c>
      <c r="H1500" s="6" t="s">
        <v>119</v>
      </c>
      <c r="I1500" s="6">
        <v>2</v>
      </c>
      <c r="J1500" s="6">
        <v>742</v>
      </c>
      <c r="K1500" s="7" t="s">
        <v>1356</v>
      </c>
      <c r="L1500" s="8">
        <v>1573622</v>
      </c>
      <c r="M1500" s="8" t="str">
        <f t="shared" si="127"/>
        <v>PEN</v>
      </c>
      <c r="N1500" s="13"/>
      <c r="O1500" s="13">
        <v>1014</v>
      </c>
      <c r="P1500" s="3">
        <f t="shared" si="128"/>
        <v>1014</v>
      </c>
      <c r="Q1500" s="3">
        <f t="shared" si="129"/>
        <v>0</v>
      </c>
      <c r="R1500" s="3">
        <f t="shared" si="125"/>
        <v>77544.510000000038</v>
      </c>
      <c r="S1500" s="24" t="s">
        <v>1334</v>
      </c>
      <c r="T1500" s="24" t="s">
        <v>1334</v>
      </c>
      <c r="U1500" s="53"/>
      <c r="V1500" s="25">
        <f>IFERROR(VLOOKUP(BCP_Soles[[#This Row],[destinatario]],CHOOSE({1,2},Clientes_Proveedores[Razon Social],Clientes_Proveedores[Ruc / Dni]),2,0),"")</f>
        <v>20558226979</v>
      </c>
      <c r="W1500" s="25" t="s">
        <v>1345</v>
      </c>
      <c r="X1500" s="25" t="s">
        <v>2865</v>
      </c>
      <c r="Y1500" s="25"/>
      <c r="Z1500" s="75"/>
      <c r="AA1500" s="3" t="str">
        <f>IF(BCP_Soles[[#This Row],[fecha]]&gt;0,TEXT(BCP_Soles[[#This Row],[fecha]],"mmmm"),0)</f>
        <v>Mayo</v>
      </c>
    </row>
    <row r="1501" spans="1:27" ht="24" x14ac:dyDescent="0.3">
      <c r="A1501" s="2">
        <f>IF(BCP_Soles[[#This Row],[tipo_registro]]="R",COUNTIFS($C$1:$C1500,"R")+1,A1500)</f>
        <v>1135</v>
      </c>
      <c r="B1501" s="19" t="str">
        <f t="shared" si="126"/>
        <v>B-BCP - Soles</v>
      </c>
      <c r="C1501" s="3" t="s">
        <v>1330</v>
      </c>
      <c r="D1501" s="14">
        <v>45779</v>
      </c>
      <c r="E1501" s="5" t="s">
        <v>1617</v>
      </c>
      <c r="F1501" s="5" t="s">
        <v>1303</v>
      </c>
      <c r="G1501" s="6" t="s">
        <v>425</v>
      </c>
      <c r="H1501" s="6" t="s">
        <v>119</v>
      </c>
      <c r="I1501" s="6">
        <v>1</v>
      </c>
      <c r="J1501" s="6">
        <v>4335</v>
      </c>
      <c r="K1501" s="7" t="s">
        <v>1356</v>
      </c>
      <c r="L1501" s="8">
        <v>3932741</v>
      </c>
      <c r="M1501" s="8" t="str">
        <f t="shared" si="127"/>
        <v>PEN</v>
      </c>
      <c r="N1501" s="13"/>
      <c r="O1501" s="13">
        <v>1000</v>
      </c>
      <c r="P1501" s="3">
        <f t="shared" si="128"/>
        <v>1000</v>
      </c>
      <c r="Q1501" s="3">
        <f t="shared" si="129"/>
        <v>0</v>
      </c>
      <c r="R1501" s="3">
        <f t="shared" si="125"/>
        <v>78544.510000000038</v>
      </c>
      <c r="S1501" s="24" t="s">
        <v>1334</v>
      </c>
      <c r="T1501" s="24" t="s">
        <v>1334</v>
      </c>
      <c r="U1501" s="53"/>
      <c r="V1501" s="25">
        <f>IFERROR(VLOOKUP(BCP_Soles[[#This Row],[destinatario]],CHOOSE({1,2},Clientes_Proveedores[Razon Social],Clientes_Proveedores[Ruc / Dni]),2,0),"")</f>
        <v>20558226979</v>
      </c>
      <c r="W1501" s="25" t="s">
        <v>1345</v>
      </c>
      <c r="X1501" s="25" t="s">
        <v>2866</v>
      </c>
      <c r="Y1501" s="25"/>
      <c r="Z1501" s="75"/>
      <c r="AA1501" s="3" t="str">
        <f>IF(BCP_Soles[[#This Row],[fecha]]&gt;0,TEXT(BCP_Soles[[#This Row],[fecha]],"mmmm"),0)</f>
        <v>Mayo</v>
      </c>
    </row>
    <row r="1502" spans="1:27" ht="36" x14ac:dyDescent="0.3">
      <c r="A1502" s="2">
        <f>IF(BCP_Soles[[#This Row],[tipo_registro]]="R",COUNTIFS($C$1:$C1501,"R")+1,A1501)</f>
        <v>1136</v>
      </c>
      <c r="B1502" s="19" t="str">
        <f t="shared" si="126"/>
        <v>B-BCP - Soles</v>
      </c>
      <c r="C1502" s="3" t="s">
        <v>1330</v>
      </c>
      <c r="D1502" s="14">
        <v>45779</v>
      </c>
      <c r="E1502" s="5" t="s">
        <v>255</v>
      </c>
      <c r="F1502" s="5" t="s">
        <v>1303</v>
      </c>
      <c r="G1502" s="6" t="s">
        <v>425</v>
      </c>
      <c r="H1502" s="6"/>
      <c r="I1502" s="6"/>
      <c r="J1502" s="6"/>
      <c r="K1502" s="7" t="s">
        <v>2867</v>
      </c>
      <c r="L1502" s="8">
        <v>1342196</v>
      </c>
      <c r="M1502" s="8" t="str">
        <f t="shared" si="127"/>
        <v>PEN</v>
      </c>
      <c r="N1502" s="13"/>
      <c r="O1502" s="13">
        <v>724</v>
      </c>
      <c r="P1502" s="3">
        <f t="shared" si="128"/>
        <v>724</v>
      </c>
      <c r="Q1502" s="3">
        <f t="shared" si="129"/>
        <v>0</v>
      </c>
      <c r="R1502" s="3">
        <f t="shared" si="125"/>
        <v>79268.510000000038</v>
      </c>
      <c r="S1502" s="24" t="s">
        <v>1334</v>
      </c>
      <c r="T1502" s="24" t="s">
        <v>1334</v>
      </c>
      <c r="U1502" s="53"/>
      <c r="V1502" s="25">
        <f>IFERROR(VLOOKUP(BCP_Soles[[#This Row],[destinatario]],CHOOSE({1,2},Clientes_Proveedores[Razon Social],Clientes_Proveedores[Ruc / Dni]),2,0),"")</f>
        <v>20558226979</v>
      </c>
      <c r="W1502" s="25" t="s">
        <v>1345</v>
      </c>
      <c r="X1502" s="25" t="s">
        <v>2868</v>
      </c>
      <c r="Y1502" s="25"/>
      <c r="Z1502" s="75"/>
      <c r="AA1502" s="3" t="str">
        <f>IF(BCP_Soles[[#This Row],[fecha]]&gt;0,TEXT(BCP_Soles[[#This Row],[fecha]],"mmmm"),0)</f>
        <v>Mayo</v>
      </c>
    </row>
    <row r="1503" spans="1:27" x14ac:dyDescent="0.3">
      <c r="A1503" s="2">
        <f>IF(BCP_Soles[[#This Row],[tipo_registro]]="R",COUNTIFS($C$1:$C1502,"R")+1,A1502)</f>
        <v>1137</v>
      </c>
      <c r="B1503" s="19" t="str">
        <f t="shared" si="126"/>
        <v>B-BCP - Soles</v>
      </c>
      <c r="C1503" s="3" t="s">
        <v>1330</v>
      </c>
      <c r="D1503" s="14">
        <v>45779</v>
      </c>
      <c r="E1503" s="5"/>
      <c r="F1503" s="5" t="s">
        <v>1303</v>
      </c>
      <c r="G1503" s="6" t="s">
        <v>425</v>
      </c>
      <c r="H1503" s="6"/>
      <c r="I1503" s="6"/>
      <c r="J1503" s="6"/>
      <c r="K1503" s="7" t="s">
        <v>1356</v>
      </c>
      <c r="L1503" s="8">
        <v>3238206</v>
      </c>
      <c r="M1503" s="8" t="str">
        <f t="shared" si="127"/>
        <v>PEN</v>
      </c>
      <c r="N1503" s="13"/>
      <c r="O1503" s="13">
        <v>200</v>
      </c>
      <c r="P1503" s="3">
        <f t="shared" si="128"/>
        <v>200</v>
      </c>
      <c r="Q1503" s="3">
        <f t="shared" si="129"/>
        <v>0</v>
      </c>
      <c r="R1503" s="3">
        <f t="shared" si="125"/>
        <v>79468.510000000038</v>
      </c>
      <c r="S1503" s="24"/>
      <c r="T1503" s="24"/>
      <c r="U1503" s="53"/>
      <c r="V1503" s="25">
        <f>IFERROR(VLOOKUP(BCP_Soles[[#This Row],[destinatario]],CHOOSE({1,2},Clientes_Proveedores[Razon Social],Clientes_Proveedores[Ruc / Dni]),2,0),"")</f>
        <v>20558226979</v>
      </c>
      <c r="W1503" s="25" t="s">
        <v>1345</v>
      </c>
      <c r="X1503" s="25"/>
      <c r="Y1503" s="25"/>
      <c r="Z1503" s="75"/>
      <c r="AA1503" s="3" t="str">
        <f>IF(BCP_Soles[[#This Row],[fecha]]&gt;0,TEXT(BCP_Soles[[#This Row],[fecha]],"mmmm"),0)</f>
        <v>Mayo</v>
      </c>
    </row>
    <row r="1504" spans="1:27" x14ac:dyDescent="0.3">
      <c r="A1504" s="2">
        <f>IF(BCP_Soles[[#This Row],[tipo_registro]]="R",COUNTIFS($C$1:$C1503,"R")+1,A1503)</f>
        <v>1138</v>
      </c>
      <c r="B1504" s="19" t="str">
        <f t="shared" si="126"/>
        <v>B-BCP - Soles</v>
      </c>
      <c r="C1504" s="3" t="s">
        <v>1330</v>
      </c>
      <c r="D1504" s="14">
        <v>45779</v>
      </c>
      <c r="E1504" s="5" t="s">
        <v>1335</v>
      </c>
      <c r="F1504" s="5" t="s">
        <v>1336</v>
      </c>
      <c r="G1504" s="6"/>
      <c r="H1504" s="6"/>
      <c r="I1504" s="6"/>
      <c r="J1504" s="6"/>
      <c r="K1504" s="7" t="s">
        <v>1337</v>
      </c>
      <c r="L1504" s="8"/>
      <c r="M1504" s="8" t="str">
        <f t="shared" si="127"/>
        <v>PEN</v>
      </c>
      <c r="N1504" s="13"/>
      <c r="O1504" s="13">
        <v>1.7</v>
      </c>
      <c r="P1504" s="3">
        <f t="shared" si="128"/>
        <v>0</v>
      </c>
      <c r="Q1504" s="3">
        <f t="shared" si="129"/>
        <v>1.7</v>
      </c>
      <c r="R1504" s="3">
        <f t="shared" si="125"/>
        <v>79466.810000000041</v>
      </c>
      <c r="S1504" s="24"/>
      <c r="T1504" s="24" t="s">
        <v>1334</v>
      </c>
      <c r="U1504" s="53"/>
      <c r="V1504" s="25" t="str">
        <f>IFERROR(VLOOKUP(BCP_Soles[[#This Row],[destinatario]],CHOOSE({1,2},Clientes_Proveedores[Razon Social],Clientes_Proveedores[Ruc / Dni]),2,0),"")</f>
        <v/>
      </c>
      <c r="W1504" s="25"/>
      <c r="X1504" s="25"/>
      <c r="Y1504" s="25"/>
      <c r="Z1504" s="75"/>
      <c r="AA1504" s="3" t="str">
        <f>IF(BCP_Soles[[#This Row],[fecha]]&gt;0,TEXT(BCP_Soles[[#This Row],[fecha]],"mmmm"),0)</f>
        <v>Mayo</v>
      </c>
    </row>
    <row r="1505" spans="1:27" x14ac:dyDescent="0.3">
      <c r="A1505" s="2">
        <f>IF(BCP_Soles[[#This Row],[tipo_registro]]="R",COUNTIFS($C$1:$C1504,"R")+1,A1504)</f>
        <v>1139</v>
      </c>
      <c r="B1505" s="19" t="str">
        <f t="shared" si="126"/>
        <v>B-BCP - Soles</v>
      </c>
      <c r="C1505" s="3" t="s">
        <v>1330</v>
      </c>
      <c r="D1505" s="14">
        <v>45779</v>
      </c>
      <c r="E1505" s="5" t="s">
        <v>2269</v>
      </c>
      <c r="F1505" s="5" t="s">
        <v>1336</v>
      </c>
      <c r="G1505" s="6" t="s">
        <v>196</v>
      </c>
      <c r="H1505" s="6" t="s">
        <v>68</v>
      </c>
      <c r="I1505" s="6" t="s">
        <v>2226</v>
      </c>
      <c r="J1505" s="6">
        <v>6279</v>
      </c>
      <c r="K1505" s="7" t="s">
        <v>2227</v>
      </c>
      <c r="L1505" s="8">
        <v>133295</v>
      </c>
      <c r="M1505" s="8" t="str">
        <f t="shared" si="127"/>
        <v>PEN</v>
      </c>
      <c r="N1505" s="13"/>
      <c r="O1505" s="13">
        <v>8.6199999999999992</v>
      </c>
      <c r="P1505" s="3">
        <f t="shared" si="128"/>
        <v>0</v>
      </c>
      <c r="Q1505" s="3">
        <f t="shared" si="129"/>
        <v>8.6199999999999992</v>
      </c>
      <c r="R1505" s="3">
        <f t="shared" si="125"/>
        <v>79458.190000000046</v>
      </c>
      <c r="S1505" s="24" t="s">
        <v>1334</v>
      </c>
      <c r="T1505" s="24" t="s">
        <v>1334</v>
      </c>
      <c r="U1505" s="53"/>
      <c r="V1505" s="25">
        <f>IFERROR(VLOOKUP(BCP_Soles[[#This Row],[destinatario]],CHOOSE({1,2},Clientes_Proveedores[Razon Social],Clientes_Proveedores[Ruc / Dni]),2,0),"")</f>
        <v>20100055237</v>
      </c>
      <c r="W1505" s="25" t="s">
        <v>2228</v>
      </c>
      <c r="X1505" s="25" t="s">
        <v>2869</v>
      </c>
      <c r="Y1505" s="25"/>
      <c r="Z1505" s="75"/>
      <c r="AA1505" s="3" t="str">
        <f>IF(BCP_Soles[[#This Row],[fecha]]&gt;0,TEXT(BCP_Soles[[#This Row],[fecha]],"mmmm"),0)</f>
        <v>Mayo</v>
      </c>
    </row>
    <row r="1506" spans="1:27" x14ac:dyDescent="0.3">
      <c r="A1506" s="2">
        <f>IF(BCP_Soles[[#This Row],[tipo_registro]]="R",COUNTIFS($C$1:$C1505,"R")+1,A1505)</f>
        <v>1140</v>
      </c>
      <c r="B1506" s="19" t="str">
        <f t="shared" si="126"/>
        <v>B-BCP - Soles</v>
      </c>
      <c r="C1506" s="3" t="s">
        <v>1330</v>
      </c>
      <c r="D1506" s="14">
        <v>45779</v>
      </c>
      <c r="E1506" s="5" t="s">
        <v>2269</v>
      </c>
      <c r="F1506" s="5" t="s">
        <v>1336</v>
      </c>
      <c r="G1506" s="6" t="s">
        <v>196</v>
      </c>
      <c r="H1506" s="6" t="s">
        <v>68</v>
      </c>
      <c r="I1506" s="6" t="s">
        <v>2226</v>
      </c>
      <c r="J1506" s="6">
        <v>6283</v>
      </c>
      <c r="K1506" s="7" t="s">
        <v>2227</v>
      </c>
      <c r="L1506" s="8">
        <v>133801</v>
      </c>
      <c r="M1506" s="8" t="str">
        <f t="shared" si="127"/>
        <v>PEN</v>
      </c>
      <c r="N1506" s="13"/>
      <c r="O1506" s="13">
        <v>9.33</v>
      </c>
      <c r="P1506" s="3">
        <f t="shared" si="128"/>
        <v>0</v>
      </c>
      <c r="Q1506" s="3">
        <f t="shared" si="129"/>
        <v>9.33</v>
      </c>
      <c r="R1506" s="3">
        <f t="shared" si="125"/>
        <v>79448.860000000044</v>
      </c>
      <c r="S1506" s="24" t="s">
        <v>1334</v>
      </c>
      <c r="T1506" s="24" t="s">
        <v>1334</v>
      </c>
      <c r="U1506" s="53"/>
      <c r="V1506" s="25">
        <f>IFERROR(VLOOKUP(BCP_Soles[[#This Row],[destinatario]],CHOOSE({1,2},Clientes_Proveedores[Razon Social],Clientes_Proveedores[Ruc / Dni]),2,0),"")</f>
        <v>20100055237</v>
      </c>
      <c r="W1506" s="25" t="s">
        <v>2228</v>
      </c>
      <c r="X1506" s="25" t="s">
        <v>2870</v>
      </c>
      <c r="Y1506" s="25"/>
      <c r="Z1506" s="75"/>
      <c r="AA1506" s="3" t="str">
        <f>IF(BCP_Soles[[#This Row],[fecha]]&gt;0,TEXT(BCP_Soles[[#This Row],[fecha]],"mmmm"),0)</f>
        <v>Mayo</v>
      </c>
    </row>
    <row r="1507" spans="1:27" ht="24" x14ac:dyDescent="0.3">
      <c r="A1507" s="2">
        <f>IF(BCP_Soles[[#This Row],[tipo_registro]]="R",COUNTIFS($C$1:$C1506,"R")+1,A1506)</f>
        <v>1141</v>
      </c>
      <c r="B1507" s="19" t="str">
        <f t="shared" si="126"/>
        <v>B-BCP - Soles</v>
      </c>
      <c r="C1507" s="3" t="s">
        <v>1330</v>
      </c>
      <c r="D1507" s="14">
        <v>45779</v>
      </c>
      <c r="E1507" s="5" t="s">
        <v>1335</v>
      </c>
      <c r="F1507" s="5" t="s">
        <v>1336</v>
      </c>
      <c r="G1507" s="6" t="s">
        <v>1060</v>
      </c>
      <c r="H1507" s="6" t="s">
        <v>68</v>
      </c>
      <c r="I1507" s="6" t="s">
        <v>1397</v>
      </c>
      <c r="J1507" s="6">
        <v>32141023</v>
      </c>
      <c r="K1507" s="7" t="s">
        <v>1400</v>
      </c>
      <c r="L1507" s="8">
        <v>579</v>
      </c>
      <c r="M1507" s="8" t="str">
        <f t="shared" si="127"/>
        <v>PEN</v>
      </c>
      <c r="N1507" s="13"/>
      <c r="O1507" s="13">
        <v>10</v>
      </c>
      <c r="P1507" s="3">
        <f t="shared" si="128"/>
        <v>0</v>
      </c>
      <c r="Q1507" s="3">
        <f t="shared" si="129"/>
        <v>10</v>
      </c>
      <c r="R1507" s="3">
        <f t="shared" si="125"/>
        <v>79438.860000000044</v>
      </c>
      <c r="S1507" s="24"/>
      <c r="T1507" s="24" t="s">
        <v>1334</v>
      </c>
      <c r="U1507" s="53"/>
      <c r="V1507" s="25">
        <f>IFERROR(VLOOKUP(BCP_Soles[[#This Row],[destinatario]],CHOOSE({1,2},Clientes_Proveedores[Razon Social],Clientes_Proveedores[Ruc / Dni]),2,0),"")</f>
        <v>20100047218</v>
      </c>
      <c r="W1507" s="25" t="s">
        <v>1335</v>
      </c>
      <c r="X1507" s="25"/>
      <c r="Y1507" s="25"/>
      <c r="Z1507" s="75"/>
      <c r="AA1507" s="3" t="str">
        <f>IF(BCP_Soles[[#This Row],[fecha]]&gt;0,TEXT(BCP_Soles[[#This Row],[fecha]],"mmmm"),0)</f>
        <v>Mayo</v>
      </c>
    </row>
    <row r="1508" spans="1:27" ht="24" x14ac:dyDescent="0.3">
      <c r="A1508" s="2">
        <f>IF(BCP_Soles[[#This Row],[tipo_registro]]="R",COUNTIFS($C$1:$C1507,"R")+1,A1507)</f>
        <v>1142</v>
      </c>
      <c r="B1508" s="19" t="str">
        <f t="shared" si="126"/>
        <v>B-BCP - Soles</v>
      </c>
      <c r="C1508" s="3" t="s">
        <v>1330</v>
      </c>
      <c r="D1508" s="14">
        <v>45779</v>
      </c>
      <c r="E1508" s="5" t="s">
        <v>1335</v>
      </c>
      <c r="F1508" s="5" t="s">
        <v>1336</v>
      </c>
      <c r="G1508" s="6" t="s">
        <v>1060</v>
      </c>
      <c r="H1508" s="6"/>
      <c r="I1508" s="6"/>
      <c r="J1508" s="6"/>
      <c r="K1508" s="7" t="s">
        <v>2871</v>
      </c>
      <c r="L1508" s="8">
        <v>1263931</v>
      </c>
      <c r="M1508" s="8" t="str">
        <f t="shared" si="127"/>
        <v>PEN</v>
      </c>
      <c r="N1508" s="13"/>
      <c r="O1508" s="13">
        <v>10</v>
      </c>
      <c r="P1508" s="3">
        <f t="shared" si="128"/>
        <v>0</v>
      </c>
      <c r="Q1508" s="3">
        <f t="shared" si="129"/>
        <v>10</v>
      </c>
      <c r="R1508" s="3">
        <f t="shared" si="125"/>
        <v>79428.860000000044</v>
      </c>
      <c r="S1508" s="24"/>
      <c r="T1508" s="24"/>
      <c r="U1508" s="53"/>
      <c r="V1508" s="25">
        <f>IFERROR(VLOOKUP(BCP_Soles[[#This Row],[destinatario]],CHOOSE({1,2},Clientes_Proveedores[Razon Social],Clientes_Proveedores[Ruc / Dni]),2,0),"")</f>
        <v>20100047218</v>
      </c>
      <c r="W1508" s="25" t="s">
        <v>1335</v>
      </c>
      <c r="X1508" s="25"/>
      <c r="Y1508" s="25"/>
      <c r="Z1508" s="75"/>
      <c r="AA1508" s="3" t="str">
        <f>IF(BCP_Soles[[#This Row],[fecha]]&gt;0,TEXT(BCP_Soles[[#This Row],[fecha]],"mmmm"),0)</f>
        <v>Mayo</v>
      </c>
    </row>
    <row r="1509" spans="1:27" x14ac:dyDescent="0.3">
      <c r="A1509" s="2">
        <f>IF(BCP_Soles[[#This Row],[tipo_registro]]="R",COUNTIFS($C$1:$C1508,"R")+1,A1508)</f>
        <v>1143</v>
      </c>
      <c r="B1509" s="19" t="str">
        <f t="shared" si="126"/>
        <v>B-BCP - Soles</v>
      </c>
      <c r="C1509" s="3" t="s">
        <v>1330</v>
      </c>
      <c r="D1509" s="14">
        <v>45779</v>
      </c>
      <c r="E1509" s="5" t="s">
        <v>2269</v>
      </c>
      <c r="F1509" s="5" t="s">
        <v>1336</v>
      </c>
      <c r="G1509" s="6" t="s">
        <v>196</v>
      </c>
      <c r="H1509" s="6" t="s">
        <v>68</v>
      </c>
      <c r="I1509" s="6" t="s">
        <v>2226</v>
      </c>
      <c r="J1509" s="6">
        <v>6278</v>
      </c>
      <c r="K1509" s="7" t="s">
        <v>2227</v>
      </c>
      <c r="L1509" s="8">
        <v>133296</v>
      </c>
      <c r="M1509" s="8" t="str">
        <f t="shared" si="127"/>
        <v>PEN</v>
      </c>
      <c r="N1509" s="13"/>
      <c r="O1509" s="13">
        <v>16.12</v>
      </c>
      <c r="P1509" s="3">
        <f t="shared" si="128"/>
        <v>0</v>
      </c>
      <c r="Q1509" s="3">
        <f t="shared" si="129"/>
        <v>16.12</v>
      </c>
      <c r="R1509" s="3">
        <f t="shared" si="125"/>
        <v>79412.740000000049</v>
      </c>
      <c r="S1509" s="24" t="s">
        <v>1334</v>
      </c>
      <c r="T1509" s="24" t="s">
        <v>1334</v>
      </c>
      <c r="U1509" s="53"/>
      <c r="V1509" s="25">
        <f>IFERROR(VLOOKUP(BCP_Soles[[#This Row],[destinatario]],CHOOSE({1,2},Clientes_Proveedores[Razon Social],Clientes_Proveedores[Ruc / Dni]),2,0),"")</f>
        <v>20100055237</v>
      </c>
      <c r="W1509" s="25" t="s">
        <v>2228</v>
      </c>
      <c r="X1509" s="25" t="s">
        <v>2872</v>
      </c>
      <c r="Y1509" s="25"/>
      <c r="Z1509" s="75"/>
      <c r="AA1509" s="3" t="str">
        <f>IF(BCP_Soles[[#This Row],[fecha]]&gt;0,TEXT(BCP_Soles[[#This Row],[fecha]],"mmmm"),0)</f>
        <v>Mayo</v>
      </c>
    </row>
    <row r="1510" spans="1:27" x14ac:dyDescent="0.3">
      <c r="A1510" s="2">
        <f>IF(BCP_Soles[[#This Row],[tipo_registro]]="R",COUNTIFS($C$1:$C1509,"R")+1,A1509)</f>
        <v>1144</v>
      </c>
      <c r="B1510" s="19" t="str">
        <f t="shared" si="126"/>
        <v>B-BCP - Soles</v>
      </c>
      <c r="C1510" s="3" t="s">
        <v>1330</v>
      </c>
      <c r="D1510" s="14">
        <v>45779</v>
      </c>
      <c r="E1510" s="5" t="s">
        <v>2269</v>
      </c>
      <c r="F1510" s="5" t="s">
        <v>1336</v>
      </c>
      <c r="G1510" s="6" t="s">
        <v>196</v>
      </c>
      <c r="H1510" s="6" t="s">
        <v>68</v>
      </c>
      <c r="I1510" s="6" t="s">
        <v>2226</v>
      </c>
      <c r="J1510" s="6">
        <v>6284</v>
      </c>
      <c r="K1510" s="7" t="s">
        <v>2227</v>
      </c>
      <c r="L1510" s="8">
        <v>135750</v>
      </c>
      <c r="M1510" s="8" t="str">
        <f t="shared" si="127"/>
        <v>PEN</v>
      </c>
      <c r="N1510" s="13"/>
      <c r="O1510" s="13">
        <v>64.52</v>
      </c>
      <c r="P1510" s="3">
        <f t="shared" si="128"/>
        <v>0</v>
      </c>
      <c r="Q1510" s="3">
        <f t="shared" si="129"/>
        <v>64.52</v>
      </c>
      <c r="R1510" s="3">
        <f t="shared" si="125"/>
        <v>79348.220000000045</v>
      </c>
      <c r="S1510" s="24" t="s">
        <v>1334</v>
      </c>
      <c r="T1510" s="24" t="s">
        <v>1334</v>
      </c>
      <c r="U1510" s="53"/>
      <c r="V1510" s="25">
        <f>IFERROR(VLOOKUP(BCP_Soles[[#This Row],[destinatario]],CHOOSE({1,2},Clientes_Proveedores[Razon Social],Clientes_Proveedores[Ruc / Dni]),2,0),"")</f>
        <v>20100055237</v>
      </c>
      <c r="W1510" s="25" t="s">
        <v>2228</v>
      </c>
      <c r="X1510" s="25" t="s">
        <v>2873</v>
      </c>
      <c r="Y1510" s="25"/>
      <c r="Z1510" s="75"/>
      <c r="AA1510" s="3" t="str">
        <f>IF(BCP_Soles[[#This Row],[fecha]]&gt;0,TEXT(BCP_Soles[[#This Row],[fecha]],"mmmm"),0)</f>
        <v>Mayo</v>
      </c>
    </row>
    <row r="1511" spans="1:27" x14ac:dyDescent="0.3">
      <c r="A1511" s="2">
        <f>IF(BCP_Soles[[#This Row],[tipo_registro]]="R",COUNTIFS($C$1:$C1510,"R")+1,A1510)</f>
        <v>1145</v>
      </c>
      <c r="B1511" s="19" t="str">
        <f t="shared" si="126"/>
        <v>B-BCP - Soles</v>
      </c>
      <c r="C1511" s="3" t="s">
        <v>1330</v>
      </c>
      <c r="D1511" s="14">
        <v>45779</v>
      </c>
      <c r="E1511" s="5" t="s">
        <v>2269</v>
      </c>
      <c r="F1511" s="5" t="s">
        <v>1336</v>
      </c>
      <c r="G1511" s="6" t="s">
        <v>196</v>
      </c>
      <c r="H1511" s="6" t="s">
        <v>68</v>
      </c>
      <c r="I1511" s="6" t="s">
        <v>2226</v>
      </c>
      <c r="J1511" s="6">
        <v>6282</v>
      </c>
      <c r="K1511" s="7" t="s">
        <v>2227</v>
      </c>
      <c r="L1511" s="8">
        <v>133294</v>
      </c>
      <c r="M1511" s="8" t="str">
        <f t="shared" si="127"/>
        <v>PEN</v>
      </c>
      <c r="N1511" s="13"/>
      <c r="O1511" s="13">
        <v>87.66</v>
      </c>
      <c r="P1511" s="3">
        <f t="shared" si="128"/>
        <v>0</v>
      </c>
      <c r="Q1511" s="3">
        <f t="shared" si="129"/>
        <v>87.66</v>
      </c>
      <c r="R1511" s="3">
        <f t="shared" si="125"/>
        <v>79260.560000000041</v>
      </c>
      <c r="S1511" s="24" t="s">
        <v>1334</v>
      </c>
      <c r="T1511" s="24" t="s">
        <v>1334</v>
      </c>
      <c r="U1511" s="53"/>
      <c r="V1511" s="25">
        <f>IFERROR(VLOOKUP(BCP_Soles[[#This Row],[destinatario]],CHOOSE({1,2},Clientes_Proveedores[Razon Social],Clientes_Proveedores[Ruc / Dni]),2,0),"")</f>
        <v>20100055237</v>
      </c>
      <c r="W1511" s="25" t="s">
        <v>2228</v>
      </c>
      <c r="X1511" s="25" t="s">
        <v>2874</v>
      </c>
      <c r="Y1511" s="25"/>
      <c r="Z1511" s="75"/>
      <c r="AA1511" s="3" t="str">
        <f>IF(BCP_Soles[[#This Row],[fecha]]&gt;0,TEXT(BCP_Soles[[#This Row],[fecha]],"mmmm"),0)</f>
        <v>Mayo</v>
      </c>
    </row>
    <row r="1512" spans="1:27" ht="24" x14ac:dyDescent="0.3">
      <c r="A1512" s="2">
        <f>IF(BCP_Soles[[#This Row],[tipo_registro]]="R",COUNTIFS($C$1:$C1511,"R")+1,A1511)</f>
        <v>1146</v>
      </c>
      <c r="B1512" s="19" t="str">
        <f t="shared" si="126"/>
        <v>B-BCP - Soles</v>
      </c>
      <c r="C1512" s="3" t="s">
        <v>1330</v>
      </c>
      <c r="D1512" s="14">
        <v>45779</v>
      </c>
      <c r="E1512" s="5" t="s">
        <v>1338</v>
      </c>
      <c r="F1512" s="5" t="s">
        <v>1336</v>
      </c>
      <c r="G1512" s="6" t="s">
        <v>970</v>
      </c>
      <c r="H1512" s="6"/>
      <c r="I1512" s="6"/>
      <c r="J1512" s="6"/>
      <c r="K1512" s="7" t="s">
        <v>2875</v>
      </c>
      <c r="L1512" s="8">
        <v>1134759</v>
      </c>
      <c r="M1512" s="8" t="str">
        <f t="shared" si="127"/>
        <v>PEN</v>
      </c>
      <c r="N1512" s="13"/>
      <c r="O1512" s="13">
        <v>90</v>
      </c>
      <c r="P1512" s="3">
        <f t="shared" si="128"/>
        <v>0</v>
      </c>
      <c r="Q1512" s="3">
        <f t="shared" si="129"/>
        <v>90</v>
      </c>
      <c r="R1512" s="3">
        <f t="shared" si="125"/>
        <v>79170.560000000041</v>
      </c>
      <c r="S1512" s="24" t="s">
        <v>1334</v>
      </c>
      <c r="T1512" s="24" t="s">
        <v>1334</v>
      </c>
      <c r="U1512" s="53"/>
      <c r="V1512" s="25">
        <f>IFERROR(VLOOKUP(BCP_Soles[[#This Row],[destinatario]],CHOOSE({1,2},Clientes_Proveedores[Razon Social],Clientes_Proveedores[Ruc / Dni]),2,0),"")</f>
        <v>10297207330</v>
      </c>
      <c r="W1512" s="25" t="s">
        <v>2876</v>
      </c>
      <c r="X1512" s="25" t="s">
        <v>2877</v>
      </c>
      <c r="Y1512" s="25"/>
      <c r="Z1512" s="75"/>
      <c r="AA1512" s="3" t="str">
        <f>IF(BCP_Soles[[#This Row],[fecha]]&gt;0,TEXT(BCP_Soles[[#This Row],[fecha]],"mmmm"),0)</f>
        <v>Mayo</v>
      </c>
    </row>
    <row r="1513" spans="1:27" ht="24" x14ac:dyDescent="0.3">
      <c r="A1513" s="2">
        <f>IF(BCP_Soles[[#This Row],[tipo_registro]]="R",COUNTIFS($C$1:$C1512,"R")+1,A1512)</f>
        <v>1147</v>
      </c>
      <c r="B1513" s="19" t="str">
        <f t="shared" si="126"/>
        <v>B-BCP - Soles</v>
      </c>
      <c r="C1513" s="3" t="s">
        <v>1330</v>
      </c>
      <c r="D1513" s="14">
        <v>45779</v>
      </c>
      <c r="E1513" s="5" t="s">
        <v>1338</v>
      </c>
      <c r="F1513" s="5" t="s">
        <v>1336</v>
      </c>
      <c r="G1513" s="6" t="s">
        <v>249</v>
      </c>
      <c r="H1513" s="6"/>
      <c r="I1513" s="6"/>
      <c r="J1513" s="6"/>
      <c r="K1513" s="7" t="s">
        <v>2878</v>
      </c>
      <c r="L1513" s="8">
        <v>1133800</v>
      </c>
      <c r="M1513" s="8" t="str">
        <f t="shared" si="127"/>
        <v>PEN</v>
      </c>
      <c r="N1513" s="13"/>
      <c r="O1513" s="13">
        <v>109.1</v>
      </c>
      <c r="P1513" s="3">
        <f t="shared" si="128"/>
        <v>0</v>
      </c>
      <c r="Q1513" s="3">
        <f t="shared" si="129"/>
        <v>109.1</v>
      </c>
      <c r="R1513" s="3">
        <f t="shared" si="125"/>
        <v>79061.460000000036</v>
      </c>
      <c r="S1513" s="24"/>
      <c r="T1513" s="24"/>
      <c r="U1513" s="53"/>
      <c r="V1513" s="25">
        <f>IFERROR(VLOOKUP(BCP_Soles[[#This Row],[destinatario]],CHOOSE({1,2},Clientes_Proveedores[Razon Social],Clientes_Proveedores[Ruc / Dni]),2,0),"")</f>
        <v>20302891452</v>
      </c>
      <c r="W1513" s="25" t="s">
        <v>249</v>
      </c>
      <c r="X1513" s="25"/>
      <c r="Y1513" s="25"/>
      <c r="Z1513" s="75"/>
      <c r="AA1513" s="3" t="str">
        <f>IF(BCP_Soles[[#This Row],[fecha]]&gt;0,TEXT(BCP_Soles[[#This Row],[fecha]],"mmmm"),0)</f>
        <v>Mayo</v>
      </c>
    </row>
    <row r="1514" spans="1:27" x14ac:dyDescent="0.3">
      <c r="A1514" s="2">
        <f>IF(BCP_Soles[[#This Row],[tipo_registro]]="R",COUNTIFS($C$1:$C1513,"R")+1,A1513)</f>
        <v>1148</v>
      </c>
      <c r="B1514" s="19" t="str">
        <f t="shared" si="126"/>
        <v>B-BCP - Soles</v>
      </c>
      <c r="C1514" s="3" t="s">
        <v>1330</v>
      </c>
      <c r="D1514" s="14">
        <v>45779</v>
      </c>
      <c r="E1514" s="5" t="s">
        <v>2269</v>
      </c>
      <c r="F1514" s="5" t="s">
        <v>1336</v>
      </c>
      <c r="G1514" s="6" t="s">
        <v>196</v>
      </c>
      <c r="H1514" s="6" t="s">
        <v>68</v>
      </c>
      <c r="I1514" s="6" t="s">
        <v>2226</v>
      </c>
      <c r="J1514" s="6">
        <v>6280</v>
      </c>
      <c r="K1514" s="7" t="s">
        <v>2227</v>
      </c>
      <c r="L1514" s="8">
        <v>135751</v>
      </c>
      <c r="M1514" s="8" t="str">
        <f t="shared" si="127"/>
        <v>PEN</v>
      </c>
      <c r="N1514" s="13"/>
      <c r="O1514" s="13">
        <v>140.66999999999999</v>
      </c>
      <c r="P1514" s="3">
        <f t="shared" si="128"/>
        <v>0</v>
      </c>
      <c r="Q1514" s="3">
        <f t="shared" si="129"/>
        <v>140.66999999999999</v>
      </c>
      <c r="R1514" s="3">
        <f t="shared" si="125"/>
        <v>78920.790000000037</v>
      </c>
      <c r="S1514" s="24" t="s">
        <v>1334</v>
      </c>
      <c r="T1514" s="24" t="s">
        <v>1334</v>
      </c>
      <c r="U1514" s="53"/>
      <c r="V1514" s="25">
        <f>IFERROR(VLOOKUP(BCP_Soles[[#This Row],[destinatario]],CHOOSE({1,2},Clientes_Proveedores[Razon Social],Clientes_Proveedores[Ruc / Dni]),2,0),"")</f>
        <v>20100055237</v>
      </c>
      <c r="W1514" s="25" t="s">
        <v>2228</v>
      </c>
      <c r="X1514" s="25" t="s">
        <v>2879</v>
      </c>
      <c r="Y1514" s="25"/>
      <c r="Z1514" s="75"/>
      <c r="AA1514" s="3" t="str">
        <f>IF(BCP_Soles[[#This Row],[fecha]]&gt;0,TEXT(BCP_Soles[[#This Row],[fecha]],"mmmm"),0)</f>
        <v>Mayo</v>
      </c>
    </row>
    <row r="1515" spans="1:27" x14ac:dyDescent="0.3">
      <c r="A1515" s="2">
        <f>IF(BCP_Soles[[#This Row],[tipo_registro]]="R",COUNTIFS($C$1:$C1514,"R")+1,A1514)</f>
        <v>1149</v>
      </c>
      <c r="B1515" s="19" t="str">
        <f t="shared" si="126"/>
        <v>B-BCP - Soles</v>
      </c>
      <c r="C1515" s="3" t="s">
        <v>1330</v>
      </c>
      <c r="D1515" s="14">
        <v>45779</v>
      </c>
      <c r="E1515" s="5" t="s">
        <v>2269</v>
      </c>
      <c r="F1515" s="5" t="s">
        <v>1336</v>
      </c>
      <c r="G1515" s="6" t="s">
        <v>196</v>
      </c>
      <c r="H1515" s="6" t="s">
        <v>68</v>
      </c>
      <c r="I1515" s="6" t="s">
        <v>2226</v>
      </c>
      <c r="J1515" s="6">
        <v>6285</v>
      </c>
      <c r="K1515" s="7" t="s">
        <v>2227</v>
      </c>
      <c r="L1515" s="8">
        <v>134760</v>
      </c>
      <c r="M1515" s="8" t="str">
        <f t="shared" si="127"/>
        <v>PEN</v>
      </c>
      <c r="N1515" s="13"/>
      <c r="O1515" s="13">
        <v>344.92</v>
      </c>
      <c r="P1515" s="3">
        <f t="shared" si="128"/>
        <v>0</v>
      </c>
      <c r="Q1515" s="3">
        <f t="shared" si="129"/>
        <v>344.92</v>
      </c>
      <c r="R1515" s="3">
        <f t="shared" si="125"/>
        <v>78575.870000000039</v>
      </c>
      <c r="S1515" s="24" t="s">
        <v>1334</v>
      </c>
      <c r="T1515" s="24" t="s">
        <v>1334</v>
      </c>
      <c r="U1515" s="53"/>
      <c r="V1515" s="25">
        <f>IFERROR(VLOOKUP(BCP_Soles[[#This Row],[destinatario]],CHOOSE({1,2},Clientes_Proveedores[Razon Social],Clientes_Proveedores[Ruc / Dni]),2,0),"")</f>
        <v>20100055237</v>
      </c>
      <c r="W1515" s="25" t="s">
        <v>2228</v>
      </c>
      <c r="X1515" s="25" t="s">
        <v>2880</v>
      </c>
      <c r="Y1515" s="25"/>
      <c r="Z1515" s="75"/>
      <c r="AA1515" s="3" t="str">
        <f>IF(BCP_Soles[[#This Row],[fecha]]&gt;0,TEXT(BCP_Soles[[#This Row],[fecha]],"mmmm"),0)</f>
        <v>Mayo</v>
      </c>
    </row>
    <row r="1516" spans="1:27" x14ac:dyDescent="0.3">
      <c r="A1516" s="2">
        <f>IF(BCP_Soles[[#This Row],[tipo_registro]]="R",COUNTIFS($C$1:$C1515,"R")+1,A1515)</f>
        <v>1150</v>
      </c>
      <c r="B1516" s="19" t="str">
        <f t="shared" si="126"/>
        <v>B-BCP - Soles</v>
      </c>
      <c r="C1516" s="3" t="s">
        <v>1330</v>
      </c>
      <c r="D1516" s="14">
        <v>45779</v>
      </c>
      <c r="E1516" s="5" t="s">
        <v>2269</v>
      </c>
      <c r="F1516" s="5" t="s">
        <v>1336</v>
      </c>
      <c r="G1516" s="6" t="s">
        <v>196</v>
      </c>
      <c r="H1516" s="6" t="s">
        <v>68</v>
      </c>
      <c r="I1516" s="6" t="s">
        <v>2226</v>
      </c>
      <c r="J1516" s="6">
        <v>6281</v>
      </c>
      <c r="K1516" s="7" t="s">
        <v>2227</v>
      </c>
      <c r="L1516" s="8">
        <v>134758</v>
      </c>
      <c r="M1516" s="8" t="str">
        <f t="shared" si="127"/>
        <v>PEN</v>
      </c>
      <c r="N1516" s="13"/>
      <c r="O1516" s="13">
        <v>379.04</v>
      </c>
      <c r="P1516" s="3">
        <f t="shared" si="128"/>
        <v>0</v>
      </c>
      <c r="Q1516" s="3">
        <f t="shared" si="129"/>
        <v>379.04</v>
      </c>
      <c r="R1516" s="3">
        <f t="shared" si="125"/>
        <v>78196.830000000045</v>
      </c>
      <c r="S1516" s="24" t="s">
        <v>1334</v>
      </c>
      <c r="T1516" s="24" t="s">
        <v>1334</v>
      </c>
      <c r="U1516" s="53"/>
      <c r="V1516" s="25">
        <f>IFERROR(VLOOKUP(BCP_Soles[[#This Row],[destinatario]],CHOOSE({1,2},Clientes_Proveedores[Razon Social],Clientes_Proveedores[Ruc / Dni]),2,0),"")</f>
        <v>20100055237</v>
      </c>
      <c r="W1516" s="25" t="s">
        <v>2228</v>
      </c>
      <c r="X1516" s="25" t="s">
        <v>2881</v>
      </c>
      <c r="Y1516" s="25"/>
      <c r="Z1516" s="75"/>
      <c r="AA1516" s="3" t="str">
        <f>IF(BCP_Soles[[#This Row],[fecha]]&gt;0,TEXT(BCP_Soles[[#This Row],[fecha]],"mmmm"),0)</f>
        <v>Mayo</v>
      </c>
    </row>
    <row r="1517" spans="1:27" x14ac:dyDescent="0.3">
      <c r="A1517" s="2">
        <f>IF(BCP_Soles[[#This Row],[tipo_registro]]="R",COUNTIFS($C$1:$C1516,"R")+1,A1516)</f>
        <v>1151</v>
      </c>
      <c r="B1517" s="19" t="str">
        <f t="shared" si="126"/>
        <v>B-BCP - Soles</v>
      </c>
      <c r="C1517" s="3" t="s">
        <v>1330</v>
      </c>
      <c r="D1517" s="14">
        <v>45779</v>
      </c>
      <c r="E1517" s="5" t="s">
        <v>1511</v>
      </c>
      <c r="F1517" s="5" t="s">
        <v>1336</v>
      </c>
      <c r="G1517" s="6"/>
      <c r="H1517" s="6"/>
      <c r="I1517" s="6"/>
      <c r="J1517" s="6"/>
      <c r="K1517" s="7" t="s">
        <v>2882</v>
      </c>
      <c r="L1517" s="8">
        <v>1008523</v>
      </c>
      <c r="M1517" s="8" t="str">
        <f t="shared" si="127"/>
        <v>PEN</v>
      </c>
      <c r="N1517" s="13"/>
      <c r="O1517" s="13">
        <v>866</v>
      </c>
      <c r="P1517" s="3">
        <f t="shared" si="128"/>
        <v>0</v>
      </c>
      <c r="Q1517" s="3">
        <f t="shared" si="129"/>
        <v>866</v>
      </c>
      <c r="R1517" s="3">
        <f t="shared" si="125"/>
        <v>77330.830000000045</v>
      </c>
      <c r="S1517" s="24"/>
      <c r="T1517" s="24"/>
      <c r="U1517" s="53"/>
      <c r="V1517" s="25" t="str">
        <f>IFERROR(VLOOKUP(BCP_Soles[[#This Row],[destinatario]],CHOOSE({1,2},Clientes_Proveedores[Razon Social],Clientes_Proveedores[Ruc / Dni]),2,0),"")</f>
        <v/>
      </c>
      <c r="W1517" s="25" t="s">
        <v>2666</v>
      </c>
      <c r="X1517" s="25"/>
      <c r="Y1517" s="25"/>
      <c r="Z1517" s="75"/>
      <c r="AA1517" s="3" t="str">
        <f>IF(BCP_Soles[[#This Row],[fecha]]&gt;0,TEXT(BCP_Soles[[#This Row],[fecha]],"mmmm"),0)</f>
        <v>Mayo</v>
      </c>
    </row>
    <row r="1518" spans="1:27" ht="36" x14ac:dyDescent="0.3">
      <c r="A1518" s="2">
        <f>IF(BCP_Soles[[#This Row],[tipo_registro]]="R",COUNTIFS($C$1:$C1517,"R")+1,A1517)</f>
        <v>1152</v>
      </c>
      <c r="B1518" s="19" t="str">
        <f t="shared" si="126"/>
        <v>B-BCP - Soles</v>
      </c>
      <c r="C1518" s="3" t="s">
        <v>1330</v>
      </c>
      <c r="D1518" s="14">
        <v>45779</v>
      </c>
      <c r="E1518" s="5" t="s">
        <v>1338</v>
      </c>
      <c r="F1518" s="5" t="s">
        <v>1336</v>
      </c>
      <c r="G1518" s="6" t="s">
        <v>754</v>
      </c>
      <c r="H1518" s="6" t="s">
        <v>72</v>
      </c>
      <c r="I1518" s="6" t="s">
        <v>1376</v>
      </c>
      <c r="J1518" s="6">
        <v>20</v>
      </c>
      <c r="K1518" s="7" t="s">
        <v>2883</v>
      </c>
      <c r="L1518" s="8">
        <v>1265702</v>
      </c>
      <c r="M1518" s="8" t="str">
        <f t="shared" si="127"/>
        <v>PEN</v>
      </c>
      <c r="N1518" s="13"/>
      <c r="O1518" s="13">
        <v>950</v>
      </c>
      <c r="P1518" s="3">
        <f t="shared" si="128"/>
        <v>0</v>
      </c>
      <c r="Q1518" s="3">
        <f t="shared" si="129"/>
        <v>950</v>
      </c>
      <c r="R1518" s="3">
        <f t="shared" si="125"/>
        <v>76380.830000000045</v>
      </c>
      <c r="S1518" s="24" t="s">
        <v>1334</v>
      </c>
      <c r="T1518" s="24" t="s">
        <v>1334</v>
      </c>
      <c r="U1518" s="53"/>
      <c r="V1518" s="25">
        <f>IFERROR(VLOOKUP(BCP_Soles[[#This Row],[destinatario]],CHOOSE({1,2},Clientes_Proveedores[Razon Social],Clientes_Proveedores[Ruc / Dni]),2,0),"")</f>
        <v>10723875914</v>
      </c>
      <c r="W1518" s="25" t="s">
        <v>754</v>
      </c>
      <c r="X1518" s="25" t="s">
        <v>2884</v>
      </c>
      <c r="Y1518" s="25"/>
      <c r="Z1518" s="75"/>
      <c r="AA1518" s="3" t="str">
        <f>IF(BCP_Soles[[#This Row],[fecha]]&gt;0,TEXT(BCP_Soles[[#This Row],[fecha]],"mmmm"),0)</f>
        <v>Mayo</v>
      </c>
    </row>
    <row r="1519" spans="1:27" x14ac:dyDescent="0.3">
      <c r="A1519" s="2">
        <f>IF(BCP_Soles[[#This Row],[tipo_registro]]="R",COUNTIFS($C$1:$C1518,"R")+1,A1518)</f>
        <v>1153</v>
      </c>
      <c r="B1519" s="19" t="str">
        <f t="shared" si="126"/>
        <v>B-BCP - Soles</v>
      </c>
      <c r="C1519" s="3" t="s">
        <v>1330</v>
      </c>
      <c r="D1519" s="14">
        <v>45779</v>
      </c>
      <c r="E1519" s="5" t="s">
        <v>1338</v>
      </c>
      <c r="F1519" s="5" t="s">
        <v>1336</v>
      </c>
      <c r="G1519" s="6" t="s">
        <v>695</v>
      </c>
      <c r="H1519" s="6" t="s">
        <v>68</v>
      </c>
      <c r="I1519" s="6" t="s">
        <v>1513</v>
      </c>
      <c r="J1519" s="6">
        <v>159159</v>
      </c>
      <c r="K1519" s="7" t="s">
        <v>1378</v>
      </c>
      <c r="L1519" s="8">
        <v>264753</v>
      </c>
      <c r="M1519" s="8" t="str">
        <f t="shared" si="127"/>
        <v>PEN</v>
      </c>
      <c r="N1519" s="13"/>
      <c r="O1519" s="13">
        <v>1115.08</v>
      </c>
      <c r="P1519" s="3">
        <f t="shared" si="128"/>
        <v>0</v>
      </c>
      <c r="Q1519" s="3">
        <f t="shared" si="129"/>
        <v>1115.08</v>
      </c>
      <c r="R1519" s="3">
        <f t="shared" si="125"/>
        <v>75265.750000000044</v>
      </c>
      <c r="S1519" s="24" t="s">
        <v>1334</v>
      </c>
      <c r="T1519" s="24" t="s">
        <v>1334</v>
      </c>
      <c r="U1519" s="53"/>
      <c r="V1519" s="25">
        <f>IFERROR(VLOOKUP(BCP_Soles[[#This Row],[destinatario]],CHOOSE({1,2},Clientes_Proveedores[Razon Social],Clientes_Proveedores[Ruc / Dni]),2,0),"")</f>
        <v>20127765279</v>
      </c>
      <c r="W1519" s="25" t="s">
        <v>1379</v>
      </c>
      <c r="X1519" s="25" t="s">
        <v>2885</v>
      </c>
      <c r="Y1519" s="25"/>
      <c r="Z1519" s="75"/>
      <c r="AA1519" s="3" t="str">
        <f>IF(BCP_Soles[[#This Row],[fecha]]&gt;0,TEXT(BCP_Soles[[#This Row],[fecha]],"mmmm"),0)</f>
        <v>Mayo</v>
      </c>
    </row>
    <row r="1520" spans="1:27" x14ac:dyDescent="0.3">
      <c r="A1520" s="2">
        <f>IF(BCP_Soles[[#This Row],[tipo_registro]]="R",COUNTIFS($C$1:$C1519,"R")+1,A1519)</f>
        <v>1154</v>
      </c>
      <c r="B1520" s="19" t="str">
        <f t="shared" si="126"/>
        <v>B-BCP - Soles</v>
      </c>
      <c r="C1520" s="3" t="s">
        <v>1330</v>
      </c>
      <c r="D1520" s="14">
        <v>45779</v>
      </c>
      <c r="E1520" s="5" t="s">
        <v>1338</v>
      </c>
      <c r="F1520" s="5" t="s">
        <v>1336</v>
      </c>
      <c r="G1520" s="6" t="s">
        <v>196</v>
      </c>
      <c r="H1520" s="6" t="s">
        <v>68</v>
      </c>
      <c r="I1520" s="6" t="s">
        <v>2226</v>
      </c>
      <c r="J1520" s="6">
        <v>6277</v>
      </c>
      <c r="K1520" s="7" t="s">
        <v>2227</v>
      </c>
      <c r="L1520" s="8">
        <v>133802</v>
      </c>
      <c r="M1520" s="8" t="str">
        <f t="shared" si="127"/>
        <v>PEN</v>
      </c>
      <c r="N1520" s="13"/>
      <c r="O1520" s="13">
        <v>1474.6</v>
      </c>
      <c r="P1520" s="3">
        <f t="shared" si="128"/>
        <v>0</v>
      </c>
      <c r="Q1520" s="3">
        <f t="shared" si="129"/>
        <v>1474.6</v>
      </c>
      <c r="R1520" s="3">
        <f t="shared" si="125"/>
        <v>73791.150000000038</v>
      </c>
      <c r="S1520" s="24" t="s">
        <v>1334</v>
      </c>
      <c r="T1520" s="24" t="s">
        <v>1334</v>
      </c>
      <c r="U1520" s="53"/>
      <c r="V1520" s="25">
        <f>IFERROR(VLOOKUP(BCP_Soles[[#This Row],[destinatario]],CHOOSE({1,2},Clientes_Proveedores[Razon Social],Clientes_Proveedores[Ruc / Dni]),2,0),"")</f>
        <v>20100055237</v>
      </c>
      <c r="W1520" s="25" t="s">
        <v>2228</v>
      </c>
      <c r="X1520" s="25" t="s">
        <v>2886</v>
      </c>
      <c r="Y1520" s="25"/>
      <c r="Z1520" s="75"/>
      <c r="AA1520" s="3" t="str">
        <f>IF(BCP_Soles[[#This Row],[fecha]]&gt;0,TEXT(BCP_Soles[[#This Row],[fecha]],"mmmm"),0)</f>
        <v>Mayo</v>
      </c>
    </row>
    <row r="1521" spans="1:27" ht="24" x14ac:dyDescent="0.3">
      <c r="A1521" s="2">
        <f>IF(BCP_Soles[[#This Row],[tipo_registro]]="R",COUNTIFS($C$1:$C1520,"R")+1,A1520)</f>
        <v>1155</v>
      </c>
      <c r="B1521" s="19" t="str">
        <f t="shared" si="126"/>
        <v>B-BCP - Soles</v>
      </c>
      <c r="C1521" s="3" t="s">
        <v>1330</v>
      </c>
      <c r="D1521" s="14">
        <v>45779</v>
      </c>
      <c r="E1521" s="5" t="s">
        <v>1338</v>
      </c>
      <c r="F1521" s="5" t="s">
        <v>1336</v>
      </c>
      <c r="G1521" s="6" t="s">
        <v>754</v>
      </c>
      <c r="H1521" s="6" t="s">
        <v>72</v>
      </c>
      <c r="I1521" s="6" t="s">
        <v>1376</v>
      </c>
      <c r="J1521" s="6">
        <v>19</v>
      </c>
      <c r="K1521" s="7" t="s">
        <v>2887</v>
      </c>
      <c r="L1521" s="8">
        <v>1265231</v>
      </c>
      <c r="M1521" s="8" t="str">
        <f t="shared" si="127"/>
        <v>PEN</v>
      </c>
      <c r="N1521" s="13"/>
      <c r="O1521" s="13">
        <v>1800</v>
      </c>
      <c r="P1521" s="3">
        <f t="shared" si="128"/>
        <v>0</v>
      </c>
      <c r="Q1521" s="3">
        <f t="shared" si="129"/>
        <v>1800</v>
      </c>
      <c r="R1521" s="3">
        <f t="shared" si="125"/>
        <v>71991.150000000038</v>
      </c>
      <c r="S1521" s="24" t="s">
        <v>1334</v>
      </c>
      <c r="T1521" s="24" t="s">
        <v>1334</v>
      </c>
      <c r="U1521" s="53"/>
      <c r="V1521" s="25">
        <f>IFERROR(VLOOKUP(BCP_Soles[[#This Row],[destinatario]],CHOOSE({1,2},Clientes_Proveedores[Razon Social],Clientes_Proveedores[Ruc / Dni]),2,0),"")</f>
        <v>10723875914</v>
      </c>
      <c r="W1521" s="25" t="s">
        <v>754</v>
      </c>
      <c r="X1521" s="25" t="s">
        <v>2888</v>
      </c>
      <c r="Y1521" s="25"/>
      <c r="Z1521" s="75"/>
      <c r="AA1521" s="3" t="str">
        <f>IF(BCP_Soles[[#This Row],[fecha]]&gt;0,TEXT(BCP_Soles[[#This Row],[fecha]],"mmmm"),0)</f>
        <v>Mayo</v>
      </c>
    </row>
    <row r="1522" spans="1:27" x14ac:dyDescent="0.3">
      <c r="A1522" s="2">
        <f>IF(BCP_Soles[[#This Row],[tipo_registro]]="R",COUNTIFS($C$1:$C1521,"R")+1,A1521)</f>
        <v>1156</v>
      </c>
      <c r="B1522" s="19" t="str">
        <f t="shared" si="126"/>
        <v>B-BCP - Soles</v>
      </c>
      <c r="C1522" s="3" t="s">
        <v>1330</v>
      </c>
      <c r="D1522" s="14">
        <v>45779</v>
      </c>
      <c r="E1522" s="5" t="s">
        <v>1511</v>
      </c>
      <c r="F1522" s="5" t="s">
        <v>1336</v>
      </c>
      <c r="G1522" s="6"/>
      <c r="H1522" s="6"/>
      <c r="I1522" s="6"/>
      <c r="J1522" s="6"/>
      <c r="K1522" s="7" t="s">
        <v>2889</v>
      </c>
      <c r="L1522" s="8">
        <v>1008435</v>
      </c>
      <c r="M1522" s="8" t="str">
        <f t="shared" si="127"/>
        <v>PEN</v>
      </c>
      <c r="N1522" s="13"/>
      <c r="O1522" s="13">
        <v>2000</v>
      </c>
      <c r="P1522" s="3">
        <f t="shared" si="128"/>
        <v>0</v>
      </c>
      <c r="Q1522" s="3">
        <f t="shared" si="129"/>
        <v>2000</v>
      </c>
      <c r="R1522" s="3">
        <f t="shared" si="125"/>
        <v>69991.150000000038</v>
      </c>
      <c r="S1522" s="24"/>
      <c r="T1522" s="24"/>
      <c r="U1522" s="53"/>
      <c r="V1522" s="25" t="str">
        <f>IFERROR(VLOOKUP(BCP_Soles[[#This Row],[destinatario]],CHOOSE({1,2},Clientes_Proveedores[Razon Social],Clientes_Proveedores[Ruc / Dni]),2,0),"")</f>
        <v/>
      </c>
      <c r="W1522" s="25"/>
      <c r="X1522" s="25"/>
      <c r="Y1522" s="25"/>
      <c r="Z1522" s="75"/>
      <c r="AA1522" s="3" t="str">
        <f>IF(BCP_Soles[[#This Row],[fecha]]&gt;0,TEXT(BCP_Soles[[#This Row],[fecha]],"mmmm"),0)</f>
        <v>Mayo</v>
      </c>
    </row>
    <row r="1523" spans="1:27" x14ac:dyDescent="0.3">
      <c r="A1523" s="2">
        <f>IF(BCP_Soles[[#This Row],[tipo_registro]]="R",COUNTIFS($C$1:$C1522,"R")+1,A1522)</f>
        <v>1157</v>
      </c>
      <c r="B1523" s="19" t="str">
        <f t="shared" si="126"/>
        <v>B-BCP - Soles</v>
      </c>
      <c r="C1523" s="3" t="s">
        <v>1330</v>
      </c>
      <c r="D1523" s="14">
        <v>45779</v>
      </c>
      <c r="E1523" s="5" t="s">
        <v>1338</v>
      </c>
      <c r="F1523" s="5" t="s">
        <v>1336</v>
      </c>
      <c r="G1523" s="6" t="s">
        <v>695</v>
      </c>
      <c r="H1523" s="6" t="s">
        <v>68</v>
      </c>
      <c r="I1523" s="6" t="s">
        <v>1377</v>
      </c>
      <c r="J1523" s="6">
        <v>160391</v>
      </c>
      <c r="K1523" s="7" t="s">
        <v>1378</v>
      </c>
      <c r="L1523" s="8">
        <v>266693</v>
      </c>
      <c r="M1523" s="8" t="str">
        <f t="shared" si="127"/>
        <v>PEN</v>
      </c>
      <c r="N1523" s="13"/>
      <c r="O1523" s="13">
        <v>2130.9</v>
      </c>
      <c r="P1523" s="3">
        <f t="shared" si="128"/>
        <v>0</v>
      </c>
      <c r="Q1523" s="3">
        <f t="shared" si="129"/>
        <v>2130.9</v>
      </c>
      <c r="R1523" s="3">
        <f t="shared" si="125"/>
        <v>67860.250000000044</v>
      </c>
      <c r="S1523" s="24" t="s">
        <v>1334</v>
      </c>
      <c r="T1523" s="24" t="s">
        <v>1334</v>
      </c>
      <c r="U1523" s="53"/>
      <c r="V1523" s="25">
        <f>IFERROR(VLOOKUP(BCP_Soles[[#This Row],[destinatario]],CHOOSE({1,2},Clientes_Proveedores[Razon Social],Clientes_Proveedores[Ruc / Dni]),2,0),"")</f>
        <v>20127765279</v>
      </c>
      <c r="W1523" s="25" t="s">
        <v>1379</v>
      </c>
      <c r="X1523" s="25" t="s">
        <v>2890</v>
      </c>
      <c r="Y1523" s="25"/>
      <c r="Z1523" s="75"/>
      <c r="AA1523" s="3" t="str">
        <f>IF(BCP_Soles[[#This Row],[fecha]]&gt;0,TEXT(BCP_Soles[[#This Row],[fecha]],"mmmm"),0)</f>
        <v>Mayo</v>
      </c>
    </row>
    <row r="1524" spans="1:27" x14ac:dyDescent="0.3">
      <c r="A1524" s="2">
        <f>IF(BCP_Soles[[#This Row],[tipo_registro]]="R",COUNTIFS($C$1:$C1523,"R")+1,A1523)</f>
        <v>1158</v>
      </c>
      <c r="B1524" s="19" t="str">
        <f t="shared" si="126"/>
        <v>B-BCP - Soles</v>
      </c>
      <c r="C1524" s="3" t="s">
        <v>1330</v>
      </c>
      <c r="D1524" s="14">
        <v>45779</v>
      </c>
      <c r="E1524" s="5" t="s">
        <v>1338</v>
      </c>
      <c r="F1524" s="5" t="s">
        <v>1336</v>
      </c>
      <c r="G1524" s="6" t="s">
        <v>286</v>
      </c>
      <c r="H1524" s="6" t="s">
        <v>68</v>
      </c>
      <c r="I1524" s="6" t="s">
        <v>1390</v>
      </c>
      <c r="J1524" s="6">
        <v>624</v>
      </c>
      <c r="K1524" s="7" t="s">
        <v>2891</v>
      </c>
      <c r="L1524" s="8">
        <v>4026557</v>
      </c>
      <c r="M1524" s="8" t="str">
        <f t="shared" si="127"/>
        <v>PEN</v>
      </c>
      <c r="N1524" s="13"/>
      <c r="O1524" s="13">
        <v>2806.3</v>
      </c>
      <c r="P1524" s="3">
        <f t="shared" si="128"/>
        <v>0</v>
      </c>
      <c r="Q1524" s="3">
        <f t="shared" si="129"/>
        <v>2806.3</v>
      </c>
      <c r="R1524" s="3">
        <f t="shared" si="125"/>
        <v>65053.950000000041</v>
      </c>
      <c r="S1524" s="24" t="s">
        <v>1334</v>
      </c>
      <c r="T1524" s="24" t="s">
        <v>1334</v>
      </c>
      <c r="U1524" s="53"/>
      <c r="V1524" s="25">
        <f>IFERROR(VLOOKUP(BCP_Soles[[#This Row],[destinatario]],CHOOSE({1,2},Clientes_Proveedores[Razon Social],Clientes_Proveedores[Ruc / Dni]),2,0),"")</f>
        <v>20454186002</v>
      </c>
      <c r="W1524" s="25" t="s">
        <v>2892</v>
      </c>
      <c r="X1524" s="25" t="s">
        <v>2893</v>
      </c>
      <c r="Y1524" s="25"/>
      <c r="Z1524" s="75"/>
      <c r="AA1524" s="3" t="str">
        <f>IF(BCP_Soles[[#This Row],[fecha]]&gt;0,TEXT(BCP_Soles[[#This Row],[fecha]],"mmmm"),0)</f>
        <v>Mayo</v>
      </c>
    </row>
    <row r="1525" spans="1:27" x14ac:dyDescent="0.3">
      <c r="A1525" s="2">
        <f>IF(BCP_Soles[[#This Row],[tipo_registro]]="R",COUNTIFS($C$1:$C1524,"R")+1,A1524)</f>
        <v>1159</v>
      </c>
      <c r="B1525" s="19" t="str">
        <f t="shared" si="126"/>
        <v>B-BCP - Soles</v>
      </c>
      <c r="C1525" s="3" t="s">
        <v>1330</v>
      </c>
      <c r="D1525" s="14">
        <v>45779</v>
      </c>
      <c r="E1525" s="5" t="s">
        <v>1338</v>
      </c>
      <c r="F1525" s="5" t="s">
        <v>1336</v>
      </c>
      <c r="G1525" s="6"/>
      <c r="H1525" s="6"/>
      <c r="I1525" s="6"/>
      <c r="J1525" s="6"/>
      <c r="K1525" s="7" t="s">
        <v>2894</v>
      </c>
      <c r="L1525" s="8">
        <v>1012282</v>
      </c>
      <c r="M1525" s="8" t="str">
        <f t="shared" si="127"/>
        <v>PEN</v>
      </c>
      <c r="N1525" s="13"/>
      <c r="O1525" s="13">
        <v>2974</v>
      </c>
      <c r="P1525" s="3">
        <f t="shared" si="128"/>
        <v>0</v>
      </c>
      <c r="Q1525" s="3">
        <f t="shared" si="129"/>
        <v>2974</v>
      </c>
      <c r="R1525" s="3">
        <f t="shared" si="125"/>
        <v>62079.950000000041</v>
      </c>
      <c r="S1525" s="24"/>
      <c r="T1525" s="24"/>
      <c r="U1525" s="53"/>
      <c r="V1525" s="25" t="str">
        <f>IFERROR(VLOOKUP(BCP_Soles[[#This Row],[destinatario]],CHOOSE({1,2},Clientes_Proveedores[Razon Social],Clientes_Proveedores[Ruc / Dni]),2,0),"")</f>
        <v/>
      </c>
      <c r="W1525" s="25" t="s">
        <v>2666</v>
      </c>
      <c r="X1525" s="25"/>
      <c r="Y1525" s="25"/>
      <c r="Z1525" s="75"/>
      <c r="AA1525" s="3" t="str">
        <f>IF(BCP_Soles[[#This Row],[fecha]]&gt;0,TEXT(BCP_Soles[[#This Row],[fecha]],"mmmm"),0)</f>
        <v>Mayo</v>
      </c>
    </row>
    <row r="1526" spans="1:27" x14ac:dyDescent="0.3">
      <c r="A1526" s="2">
        <f>IF(BCP_Soles[[#This Row],[tipo_registro]]="R",COUNTIFS($C$1:$C1525,"R")+1,A1525)</f>
        <v>1160</v>
      </c>
      <c r="B1526" s="19" t="str">
        <f t="shared" si="126"/>
        <v>B-BCP - Soles</v>
      </c>
      <c r="C1526" s="3" t="s">
        <v>1330</v>
      </c>
      <c r="D1526" s="14">
        <v>45779</v>
      </c>
      <c r="E1526" s="5" t="s">
        <v>1511</v>
      </c>
      <c r="F1526" s="5" t="s">
        <v>1336</v>
      </c>
      <c r="G1526" s="6"/>
      <c r="H1526" s="6"/>
      <c r="I1526" s="6"/>
      <c r="J1526" s="6"/>
      <c r="K1526" s="7" t="s">
        <v>2895</v>
      </c>
      <c r="L1526" s="8">
        <v>1008403</v>
      </c>
      <c r="M1526" s="8" t="str">
        <f t="shared" si="127"/>
        <v>PEN</v>
      </c>
      <c r="N1526" s="13"/>
      <c r="O1526" s="13">
        <v>6000</v>
      </c>
      <c r="P1526" s="3">
        <f t="shared" si="128"/>
        <v>0</v>
      </c>
      <c r="Q1526" s="3">
        <f t="shared" si="129"/>
        <v>6000</v>
      </c>
      <c r="R1526" s="3">
        <f t="shared" si="125"/>
        <v>56079.950000000041</v>
      </c>
      <c r="S1526" s="24"/>
      <c r="T1526" s="24"/>
      <c r="U1526" s="53"/>
      <c r="V1526" s="25" t="str">
        <f>IFERROR(VLOOKUP(BCP_Soles[[#This Row],[destinatario]],CHOOSE({1,2},Clientes_Proveedores[Razon Social],Clientes_Proveedores[Ruc / Dni]),2,0),"")</f>
        <v/>
      </c>
      <c r="W1526" s="25"/>
      <c r="X1526" s="25"/>
      <c r="Y1526" s="25"/>
      <c r="Z1526" s="75"/>
      <c r="AA1526" s="3" t="str">
        <f>IF(BCP_Soles[[#This Row],[fecha]]&gt;0,TEXT(BCP_Soles[[#This Row],[fecha]],"mmmm"),0)</f>
        <v>Mayo</v>
      </c>
    </row>
    <row r="1527" spans="1:27" x14ac:dyDescent="0.3">
      <c r="A1527" s="2">
        <f>IF(BCP_Soles[[#This Row],[tipo_registro]]="R",COUNTIFS($C$1:$C1526,"R")+1,A1526)</f>
        <v>1161</v>
      </c>
      <c r="B1527" s="19" t="str">
        <f t="shared" si="126"/>
        <v>B-BCP - Soles</v>
      </c>
      <c r="C1527" s="3" t="s">
        <v>1330</v>
      </c>
      <c r="D1527" s="14">
        <v>45779</v>
      </c>
      <c r="E1527" s="5" t="s">
        <v>1338</v>
      </c>
      <c r="F1527" s="5" t="s">
        <v>1336</v>
      </c>
      <c r="G1527" s="6" t="s">
        <v>696</v>
      </c>
      <c r="H1527" s="6"/>
      <c r="I1527" s="6"/>
      <c r="J1527" s="6"/>
      <c r="K1527" s="7" t="s">
        <v>2896</v>
      </c>
      <c r="L1527" s="8">
        <v>1263913</v>
      </c>
      <c r="M1527" s="8" t="str">
        <f t="shared" si="127"/>
        <v>PEN</v>
      </c>
      <c r="N1527" s="13"/>
      <c r="O1527" s="13">
        <v>12368.11</v>
      </c>
      <c r="P1527" s="3">
        <f t="shared" si="128"/>
        <v>0</v>
      </c>
      <c r="Q1527" s="3">
        <f t="shared" si="129"/>
        <v>12368.11</v>
      </c>
      <c r="R1527" s="3">
        <f t="shared" si="125"/>
        <v>43711.84000000004</v>
      </c>
      <c r="S1527" s="24" t="s">
        <v>1334</v>
      </c>
      <c r="T1527" s="24" t="s">
        <v>1334</v>
      </c>
      <c r="U1527" s="53"/>
      <c r="V1527" s="25">
        <f>IFERROR(VLOOKUP(BCP_Soles[[#This Row],[destinatario]],CHOOSE({1,2},Clientes_Proveedores[Razon Social],Clientes_Proveedores[Ruc / Dni]),2,0),"")</f>
        <v>0</v>
      </c>
      <c r="W1527" s="25" t="s">
        <v>1373</v>
      </c>
      <c r="X1527" s="25"/>
      <c r="Y1527" s="25"/>
      <c r="Z1527" s="75"/>
      <c r="AA1527" s="3" t="str">
        <f>IF(BCP_Soles[[#This Row],[fecha]]&gt;0,TEXT(BCP_Soles[[#This Row],[fecha]],"mmmm"),0)</f>
        <v>Mayo</v>
      </c>
    </row>
    <row r="1528" spans="1:27" ht="36" x14ac:dyDescent="0.3">
      <c r="A1528" s="2">
        <f>IF(BCP_Soles[[#This Row],[tipo_registro]]="R",COUNTIFS($C$1:$C1527,"R")+1,A1527)</f>
        <v>1161</v>
      </c>
      <c r="B1528" s="19" t="str">
        <f t="shared" si="126"/>
        <v>B-BCP - Soles</v>
      </c>
      <c r="C1528" s="3" t="s">
        <v>1352</v>
      </c>
      <c r="D1528" s="14">
        <v>45779</v>
      </c>
      <c r="E1528" s="5" t="s">
        <v>1338</v>
      </c>
      <c r="F1528" s="5"/>
      <c r="G1528" s="6" t="s">
        <v>277</v>
      </c>
      <c r="H1528" s="6" t="s">
        <v>68</v>
      </c>
      <c r="I1528" s="6" t="s">
        <v>1390</v>
      </c>
      <c r="J1528" s="6">
        <v>1710</v>
      </c>
      <c r="K1528" s="7" t="s">
        <v>2896</v>
      </c>
      <c r="L1528" s="8">
        <v>1263913</v>
      </c>
      <c r="M1528" s="8" t="str">
        <f t="shared" si="127"/>
        <v>PEN</v>
      </c>
      <c r="N1528" s="13">
        <v>2688</v>
      </c>
      <c r="O1528" s="13"/>
      <c r="P1528" s="3">
        <f t="shared" si="128"/>
        <v>0</v>
      </c>
      <c r="Q1528" s="3">
        <f t="shared" si="129"/>
        <v>0</v>
      </c>
      <c r="R1528" s="3">
        <f t="shared" si="125"/>
        <v>43711.84000000004</v>
      </c>
      <c r="S1528" s="24"/>
      <c r="T1528" s="24" t="s">
        <v>1334</v>
      </c>
      <c r="U1528" s="53"/>
      <c r="V1528" s="25">
        <f>IFERROR(VLOOKUP(BCP_Soles[[#This Row],[destinatario]],CHOOSE({1,2},Clientes_Proveedores[Razon Social],Clientes_Proveedores[Ruc / Dni]),2,0),"")</f>
        <v>20429640939</v>
      </c>
      <c r="W1528" s="25"/>
      <c r="X1528" s="25"/>
      <c r="Y1528" s="25"/>
      <c r="Z1528" s="75"/>
      <c r="AA1528" s="3" t="str">
        <f>IF(BCP_Soles[[#This Row],[fecha]]&gt;0,TEXT(BCP_Soles[[#This Row],[fecha]],"mmmm"),0)</f>
        <v>Mayo</v>
      </c>
    </row>
    <row r="1529" spans="1:27" ht="36" x14ac:dyDescent="0.3">
      <c r="A1529" s="2">
        <f>IF(BCP_Soles[[#This Row],[tipo_registro]]="R",COUNTIFS($C$1:$C1528,"R")+1,A1528)</f>
        <v>1161</v>
      </c>
      <c r="B1529" s="19" t="str">
        <f t="shared" si="126"/>
        <v>B-BCP - Soles</v>
      </c>
      <c r="C1529" s="3" t="s">
        <v>1352</v>
      </c>
      <c r="D1529" s="14">
        <v>45779</v>
      </c>
      <c r="E1529" s="5" t="s">
        <v>1338</v>
      </c>
      <c r="F1529" s="5"/>
      <c r="G1529" s="6" t="s">
        <v>277</v>
      </c>
      <c r="H1529" s="6" t="s">
        <v>68</v>
      </c>
      <c r="I1529" s="6" t="s">
        <v>1390</v>
      </c>
      <c r="J1529" s="6">
        <v>1711</v>
      </c>
      <c r="K1529" s="7" t="s">
        <v>2896</v>
      </c>
      <c r="L1529" s="8">
        <v>1263913</v>
      </c>
      <c r="M1529" s="8" t="str">
        <f t="shared" si="127"/>
        <v>PEN</v>
      </c>
      <c r="N1529" s="13">
        <v>2544</v>
      </c>
      <c r="O1529" s="13"/>
      <c r="P1529" s="3">
        <f t="shared" si="128"/>
        <v>0</v>
      </c>
      <c r="Q1529" s="3">
        <f t="shared" si="129"/>
        <v>0</v>
      </c>
      <c r="R1529" s="3">
        <f t="shared" si="125"/>
        <v>43711.84000000004</v>
      </c>
      <c r="S1529" s="24"/>
      <c r="T1529" s="24" t="s">
        <v>1334</v>
      </c>
      <c r="U1529" s="53"/>
      <c r="V1529" s="25">
        <f>IFERROR(VLOOKUP(BCP_Soles[[#This Row],[destinatario]],CHOOSE({1,2},Clientes_Proveedores[Razon Social],Clientes_Proveedores[Ruc / Dni]),2,0),"")</f>
        <v>20429640939</v>
      </c>
      <c r="W1529" s="25"/>
      <c r="X1529" s="25"/>
      <c r="Y1529" s="25"/>
      <c r="Z1529" s="75"/>
      <c r="AA1529" s="3" t="str">
        <f>IF(BCP_Soles[[#This Row],[fecha]]&gt;0,TEXT(BCP_Soles[[#This Row],[fecha]],"mmmm"),0)</f>
        <v>Mayo</v>
      </c>
    </row>
    <row r="1530" spans="1:27" ht="24" x14ac:dyDescent="0.3">
      <c r="A1530" s="2">
        <f>IF(BCP_Soles[[#This Row],[tipo_registro]]="R",COUNTIFS($C$1:$C1529,"R")+1,A1529)</f>
        <v>1161</v>
      </c>
      <c r="B1530" s="19" t="str">
        <f t="shared" si="126"/>
        <v>B-BCP - Soles</v>
      </c>
      <c r="C1530" s="3" t="s">
        <v>1352</v>
      </c>
      <c r="D1530" s="14">
        <v>45779</v>
      </c>
      <c r="E1530" s="5" t="s">
        <v>1338</v>
      </c>
      <c r="F1530" s="5"/>
      <c r="G1530" s="6" t="s">
        <v>667</v>
      </c>
      <c r="H1530" s="6" t="s">
        <v>68</v>
      </c>
      <c r="I1530" s="6" t="s">
        <v>1376</v>
      </c>
      <c r="J1530" s="6">
        <v>21</v>
      </c>
      <c r="K1530" s="7" t="s">
        <v>2896</v>
      </c>
      <c r="L1530" s="8">
        <v>1263913</v>
      </c>
      <c r="M1530" s="8" t="str">
        <f t="shared" si="127"/>
        <v>PEN</v>
      </c>
      <c r="N1530" s="13">
        <v>510</v>
      </c>
      <c r="O1530" s="13"/>
      <c r="P1530" s="3">
        <f t="shared" si="128"/>
        <v>0</v>
      </c>
      <c r="Q1530" s="3">
        <f t="shared" si="129"/>
        <v>0</v>
      </c>
      <c r="R1530" s="3">
        <f t="shared" si="125"/>
        <v>43711.84000000004</v>
      </c>
      <c r="S1530" s="24"/>
      <c r="T1530" s="24" t="s">
        <v>1334</v>
      </c>
      <c r="U1530" s="53"/>
      <c r="V1530" s="25">
        <f>IFERROR(VLOOKUP(BCP_Soles[[#This Row],[destinatario]],CHOOSE({1,2},Clientes_Proveedores[Razon Social],Clientes_Proveedores[Ruc / Dni]),2,0),"")</f>
        <v>10410687491</v>
      </c>
      <c r="W1530" s="25"/>
      <c r="X1530" s="25"/>
      <c r="Y1530" s="25"/>
      <c r="Z1530" s="75"/>
      <c r="AA1530" s="3" t="str">
        <f>IF(BCP_Soles[[#This Row],[fecha]]&gt;0,TEXT(BCP_Soles[[#This Row],[fecha]],"mmmm"),0)</f>
        <v>Mayo</v>
      </c>
    </row>
    <row r="1531" spans="1:27" x14ac:dyDescent="0.3">
      <c r="A1531" s="2">
        <f>IF(BCP_Soles[[#This Row],[tipo_registro]]="R",COUNTIFS($C$1:$C1530,"R")+1,A1530)</f>
        <v>1161</v>
      </c>
      <c r="B1531" s="19" t="str">
        <f t="shared" si="126"/>
        <v>B-BCP - Soles</v>
      </c>
      <c r="C1531" s="3" t="s">
        <v>1352</v>
      </c>
      <c r="D1531" s="14">
        <v>45779</v>
      </c>
      <c r="E1531" s="5" t="s">
        <v>1338</v>
      </c>
      <c r="F1531" s="5"/>
      <c r="G1531" s="6" t="s">
        <v>522</v>
      </c>
      <c r="H1531" s="6" t="s">
        <v>68</v>
      </c>
      <c r="I1531" s="6" t="s">
        <v>1376</v>
      </c>
      <c r="J1531" s="6">
        <v>3812</v>
      </c>
      <c r="K1531" s="7" t="s">
        <v>2896</v>
      </c>
      <c r="L1531" s="8">
        <v>1263913</v>
      </c>
      <c r="M1531" s="8" t="str">
        <f t="shared" si="127"/>
        <v>PEN</v>
      </c>
      <c r="N1531" s="13">
        <v>212.4</v>
      </c>
      <c r="O1531" s="13"/>
      <c r="P1531" s="3">
        <f t="shared" si="128"/>
        <v>0</v>
      </c>
      <c r="Q1531" s="3">
        <f t="shared" si="129"/>
        <v>0</v>
      </c>
      <c r="R1531" s="3">
        <f t="shared" si="125"/>
        <v>43711.84000000004</v>
      </c>
      <c r="S1531" s="24"/>
      <c r="T1531" s="24" t="s">
        <v>1334</v>
      </c>
      <c r="U1531" s="53"/>
      <c r="V1531" s="25">
        <f>IFERROR(VLOOKUP(BCP_Soles[[#This Row],[destinatario]],CHOOSE({1,2},Clientes_Proveedores[Razon Social],Clientes_Proveedores[Ruc / Dni]),2,0),"")</f>
        <v>20603974817</v>
      </c>
      <c r="W1531" s="25"/>
      <c r="X1531" s="25"/>
      <c r="Y1531" s="25"/>
      <c r="Z1531" s="75"/>
      <c r="AA1531" s="3" t="str">
        <f>IF(BCP_Soles[[#This Row],[fecha]]&gt;0,TEXT(BCP_Soles[[#This Row],[fecha]],"mmmm"),0)</f>
        <v>Mayo</v>
      </c>
    </row>
    <row r="1532" spans="1:27" x14ac:dyDescent="0.3">
      <c r="A1532" s="2">
        <f>IF(BCP_Soles[[#This Row],[tipo_registro]]="R",COUNTIFS($C$1:$C1531,"R")+1,A1531)</f>
        <v>1161</v>
      </c>
      <c r="B1532" s="19" t="str">
        <f t="shared" si="126"/>
        <v>B-BCP - Soles</v>
      </c>
      <c r="C1532" s="3" t="s">
        <v>1352</v>
      </c>
      <c r="D1532" s="14">
        <v>45779</v>
      </c>
      <c r="E1532" s="5" t="s">
        <v>1338</v>
      </c>
      <c r="F1532" s="5"/>
      <c r="G1532" s="6" t="s">
        <v>522</v>
      </c>
      <c r="H1532" s="6" t="s">
        <v>68</v>
      </c>
      <c r="I1532" s="6" t="s">
        <v>1376</v>
      </c>
      <c r="J1532" s="6">
        <v>3811</v>
      </c>
      <c r="K1532" s="7" t="s">
        <v>2896</v>
      </c>
      <c r="L1532" s="8">
        <v>1263913</v>
      </c>
      <c r="M1532" s="8" t="str">
        <f t="shared" si="127"/>
        <v>PEN</v>
      </c>
      <c r="N1532" s="13">
        <v>150.44999999999999</v>
      </c>
      <c r="O1532" s="13"/>
      <c r="P1532" s="3">
        <f t="shared" si="128"/>
        <v>0</v>
      </c>
      <c r="Q1532" s="3">
        <f t="shared" si="129"/>
        <v>0</v>
      </c>
      <c r="R1532" s="3">
        <f t="shared" si="125"/>
        <v>43711.84000000004</v>
      </c>
      <c r="S1532" s="24"/>
      <c r="T1532" s="24" t="s">
        <v>1334</v>
      </c>
      <c r="U1532" s="53"/>
      <c r="V1532" s="25">
        <f>IFERROR(VLOOKUP(BCP_Soles[[#This Row],[destinatario]],CHOOSE({1,2},Clientes_Proveedores[Razon Social],Clientes_Proveedores[Ruc / Dni]),2,0),"")</f>
        <v>20603974817</v>
      </c>
      <c r="W1532" s="25"/>
      <c r="X1532" s="25"/>
      <c r="Y1532" s="25"/>
      <c r="Z1532" s="75"/>
      <c r="AA1532" s="3" t="str">
        <f>IF(BCP_Soles[[#This Row],[fecha]]&gt;0,TEXT(BCP_Soles[[#This Row],[fecha]],"mmmm"),0)</f>
        <v>Mayo</v>
      </c>
    </row>
    <row r="1533" spans="1:27" x14ac:dyDescent="0.3">
      <c r="A1533" s="2">
        <f>IF(BCP_Soles[[#This Row],[tipo_registro]]="R",COUNTIFS($C$1:$C1532,"R")+1,A1532)</f>
        <v>1161</v>
      </c>
      <c r="B1533" s="19" t="str">
        <f t="shared" si="126"/>
        <v>B-BCP - Soles</v>
      </c>
      <c r="C1533" s="3" t="s">
        <v>1352</v>
      </c>
      <c r="D1533" s="14">
        <v>45779</v>
      </c>
      <c r="E1533" s="5" t="s">
        <v>1338</v>
      </c>
      <c r="F1533" s="5"/>
      <c r="G1533" s="6" t="s">
        <v>522</v>
      </c>
      <c r="H1533" s="6" t="s">
        <v>68</v>
      </c>
      <c r="I1533" s="6" t="s">
        <v>1376</v>
      </c>
      <c r="J1533" s="6">
        <v>3824</v>
      </c>
      <c r="K1533" s="7" t="s">
        <v>2896</v>
      </c>
      <c r="L1533" s="8">
        <v>1263913</v>
      </c>
      <c r="M1533" s="8" t="str">
        <f t="shared" si="127"/>
        <v>PEN</v>
      </c>
      <c r="N1533" s="13">
        <v>150.44999999999999</v>
      </c>
      <c r="O1533" s="13"/>
      <c r="P1533" s="3">
        <f t="shared" si="128"/>
        <v>0</v>
      </c>
      <c r="Q1533" s="3">
        <f t="shared" si="129"/>
        <v>0</v>
      </c>
      <c r="R1533" s="3">
        <f t="shared" si="125"/>
        <v>43711.84000000004</v>
      </c>
      <c r="S1533" s="24"/>
      <c r="T1533" s="24" t="s">
        <v>1334</v>
      </c>
      <c r="U1533" s="53"/>
      <c r="V1533" s="25">
        <f>IFERROR(VLOOKUP(BCP_Soles[[#This Row],[destinatario]],CHOOSE({1,2},Clientes_Proveedores[Razon Social],Clientes_Proveedores[Ruc / Dni]),2,0),"")</f>
        <v>20603974817</v>
      </c>
      <c r="W1533" s="25"/>
      <c r="X1533" s="25"/>
      <c r="Y1533" s="25"/>
      <c r="Z1533" s="75"/>
      <c r="AA1533" s="3" t="str">
        <f>IF(BCP_Soles[[#This Row],[fecha]]&gt;0,TEXT(BCP_Soles[[#This Row],[fecha]],"mmmm"),0)</f>
        <v>Mayo</v>
      </c>
    </row>
    <row r="1534" spans="1:27" x14ac:dyDescent="0.3">
      <c r="A1534" s="2">
        <f>IF(BCP_Soles[[#This Row],[tipo_registro]]="R",COUNTIFS($C$1:$C1533,"R")+1,A1533)</f>
        <v>1161</v>
      </c>
      <c r="B1534" s="19" t="str">
        <f t="shared" si="126"/>
        <v>B-BCP - Soles</v>
      </c>
      <c r="C1534" s="3" t="s">
        <v>1352</v>
      </c>
      <c r="D1534" s="14">
        <v>45779</v>
      </c>
      <c r="E1534" s="5" t="s">
        <v>1338</v>
      </c>
      <c r="F1534" s="5"/>
      <c r="G1534" s="6" t="s">
        <v>522</v>
      </c>
      <c r="H1534" s="6" t="s">
        <v>68</v>
      </c>
      <c r="I1534" s="6" t="s">
        <v>1376</v>
      </c>
      <c r="J1534" s="6">
        <v>3836</v>
      </c>
      <c r="K1534" s="7" t="s">
        <v>2896</v>
      </c>
      <c r="L1534" s="8">
        <v>1263913</v>
      </c>
      <c r="M1534" s="8" t="str">
        <f t="shared" si="127"/>
        <v>PEN</v>
      </c>
      <c r="N1534" s="13">
        <v>722.4</v>
      </c>
      <c r="O1534" s="13"/>
      <c r="P1534" s="3">
        <f t="shared" si="128"/>
        <v>0</v>
      </c>
      <c r="Q1534" s="3">
        <f t="shared" si="129"/>
        <v>0</v>
      </c>
      <c r="R1534" s="3">
        <f t="shared" si="125"/>
        <v>43711.84000000004</v>
      </c>
      <c r="S1534" s="24"/>
      <c r="T1534" s="24" t="s">
        <v>1334</v>
      </c>
      <c r="U1534" s="53"/>
      <c r="V1534" s="25">
        <f>IFERROR(VLOOKUP(BCP_Soles[[#This Row],[destinatario]],CHOOSE({1,2},Clientes_Proveedores[Razon Social],Clientes_Proveedores[Ruc / Dni]),2,0),"")</f>
        <v>20603974817</v>
      </c>
      <c r="W1534" s="25"/>
      <c r="X1534" s="25"/>
      <c r="Y1534" s="25"/>
      <c r="Z1534" s="75"/>
      <c r="AA1534" s="3" t="str">
        <f>IF(BCP_Soles[[#This Row],[fecha]]&gt;0,TEXT(BCP_Soles[[#This Row],[fecha]],"mmmm"),0)</f>
        <v>Mayo</v>
      </c>
    </row>
    <row r="1535" spans="1:27" ht="24" x14ac:dyDescent="0.3">
      <c r="A1535" s="2">
        <f>IF(BCP_Soles[[#This Row],[tipo_registro]]="R",COUNTIFS($C$1:$C1534,"R")+1,A1534)</f>
        <v>1161</v>
      </c>
      <c r="B1535" s="19" t="str">
        <f t="shared" si="126"/>
        <v>B-BCP - Soles</v>
      </c>
      <c r="C1535" s="3" t="s">
        <v>1352</v>
      </c>
      <c r="D1535" s="14">
        <v>45779</v>
      </c>
      <c r="E1535" s="5" t="s">
        <v>1338</v>
      </c>
      <c r="F1535" s="5"/>
      <c r="G1535" s="6" t="s">
        <v>166</v>
      </c>
      <c r="H1535" s="6" t="s">
        <v>68</v>
      </c>
      <c r="I1535" s="6" t="s">
        <v>1376</v>
      </c>
      <c r="J1535" s="6">
        <v>4731</v>
      </c>
      <c r="K1535" s="7" t="s">
        <v>2896</v>
      </c>
      <c r="L1535" s="8">
        <v>1263913</v>
      </c>
      <c r="M1535" s="8" t="str">
        <f t="shared" si="127"/>
        <v>PEN</v>
      </c>
      <c r="N1535" s="13">
        <v>236</v>
      </c>
      <c r="O1535" s="13"/>
      <c r="P1535" s="3">
        <f t="shared" si="128"/>
        <v>0</v>
      </c>
      <c r="Q1535" s="3">
        <f t="shared" si="129"/>
        <v>0</v>
      </c>
      <c r="R1535" s="3">
        <f t="shared" si="125"/>
        <v>43711.84000000004</v>
      </c>
      <c r="S1535" s="24"/>
      <c r="T1535" s="24" t="s">
        <v>1334</v>
      </c>
      <c r="U1535" s="53"/>
      <c r="V1535" s="25">
        <f>IFERROR(VLOOKUP(BCP_Soles[[#This Row],[destinatario]],CHOOSE({1,2},Clientes_Proveedores[Razon Social],Clientes_Proveedores[Ruc / Dni]),2,0),"")</f>
        <v>10425371652</v>
      </c>
      <c r="W1535" s="25"/>
      <c r="X1535" s="25"/>
      <c r="Y1535" s="25"/>
      <c r="Z1535" s="75"/>
      <c r="AA1535" s="3" t="str">
        <f>IF(BCP_Soles[[#This Row],[fecha]]&gt;0,TEXT(BCP_Soles[[#This Row],[fecha]],"mmmm"),0)</f>
        <v>Mayo</v>
      </c>
    </row>
    <row r="1536" spans="1:27" ht="24" x14ac:dyDescent="0.3">
      <c r="A1536" s="2">
        <f>IF(BCP_Soles[[#This Row],[tipo_registro]]="R",COUNTIFS($C$1:$C1535,"R")+1,A1535)</f>
        <v>1161</v>
      </c>
      <c r="B1536" s="19" t="str">
        <f t="shared" si="126"/>
        <v>B-BCP - Soles</v>
      </c>
      <c r="C1536" s="3" t="s">
        <v>1352</v>
      </c>
      <c r="D1536" s="14">
        <v>45779</v>
      </c>
      <c r="E1536" s="5" t="s">
        <v>1338</v>
      </c>
      <c r="F1536" s="5"/>
      <c r="G1536" s="6" t="s">
        <v>537</v>
      </c>
      <c r="H1536" s="6" t="s">
        <v>68</v>
      </c>
      <c r="I1536" s="6" t="s">
        <v>1376</v>
      </c>
      <c r="J1536" s="6">
        <v>830</v>
      </c>
      <c r="K1536" s="7" t="s">
        <v>2896</v>
      </c>
      <c r="L1536" s="8">
        <v>1263913</v>
      </c>
      <c r="M1536" s="8" t="str">
        <f t="shared" si="127"/>
        <v>PEN</v>
      </c>
      <c r="N1536" s="13">
        <v>642</v>
      </c>
      <c r="O1536" s="13"/>
      <c r="P1536" s="3">
        <f t="shared" si="128"/>
        <v>0</v>
      </c>
      <c r="Q1536" s="3">
        <f t="shared" si="129"/>
        <v>0</v>
      </c>
      <c r="R1536" s="3">
        <f t="shared" si="125"/>
        <v>43711.84000000004</v>
      </c>
      <c r="S1536" s="24"/>
      <c r="T1536" s="24" t="s">
        <v>1334</v>
      </c>
      <c r="U1536" s="53"/>
      <c r="V1536" s="25">
        <f>IFERROR(VLOOKUP(BCP_Soles[[#This Row],[destinatario]],CHOOSE({1,2},Clientes_Proveedores[Razon Social],Clientes_Proveedores[Ruc / Dni]),2,0),"")</f>
        <v>20605447814</v>
      </c>
      <c r="W1536" s="25"/>
      <c r="X1536" s="25"/>
      <c r="Y1536" s="25"/>
      <c r="Z1536" s="75"/>
      <c r="AA1536" s="3" t="str">
        <f>IF(BCP_Soles[[#This Row],[fecha]]&gt;0,TEXT(BCP_Soles[[#This Row],[fecha]],"mmmm"),0)</f>
        <v>Mayo</v>
      </c>
    </row>
    <row r="1537" spans="1:27" ht="36" x14ac:dyDescent="0.3">
      <c r="A1537" s="2">
        <f>IF(BCP_Soles[[#This Row],[tipo_registro]]="R",COUNTIFS($C$1:$C1536,"R")+1,A1536)</f>
        <v>1161</v>
      </c>
      <c r="B1537" s="19" t="str">
        <f t="shared" si="126"/>
        <v>B-BCP - Soles</v>
      </c>
      <c r="C1537" s="3" t="s">
        <v>1352</v>
      </c>
      <c r="D1537" s="14">
        <v>45779</v>
      </c>
      <c r="E1537" s="5" t="s">
        <v>1338</v>
      </c>
      <c r="F1537" s="5"/>
      <c r="G1537" s="6" t="s">
        <v>315</v>
      </c>
      <c r="H1537" s="6" t="s">
        <v>68</v>
      </c>
      <c r="I1537" s="6" t="s">
        <v>1376</v>
      </c>
      <c r="J1537" s="6">
        <v>2496</v>
      </c>
      <c r="K1537" s="7" t="s">
        <v>2896</v>
      </c>
      <c r="L1537" s="8">
        <v>1263913</v>
      </c>
      <c r="M1537" s="8" t="str">
        <f t="shared" si="127"/>
        <v>PEN</v>
      </c>
      <c r="N1537" s="13">
        <v>82.2</v>
      </c>
      <c r="O1537" s="13"/>
      <c r="P1537" s="3">
        <f t="shared" si="128"/>
        <v>0</v>
      </c>
      <c r="Q1537" s="3">
        <f t="shared" si="129"/>
        <v>0</v>
      </c>
      <c r="R1537" s="3">
        <f t="shared" si="125"/>
        <v>43711.84000000004</v>
      </c>
      <c r="S1537" s="24"/>
      <c r="T1537" s="24" t="s">
        <v>1334</v>
      </c>
      <c r="U1537" s="53"/>
      <c r="V1537" s="25">
        <f>IFERROR(VLOOKUP(BCP_Soles[[#This Row],[destinatario]],CHOOSE({1,2},Clientes_Proveedores[Razon Social],Clientes_Proveedores[Ruc / Dni]),2,0),"")</f>
        <v>20456565353</v>
      </c>
      <c r="W1537" s="25"/>
      <c r="X1537" s="25"/>
      <c r="Y1537" s="25"/>
      <c r="Z1537" s="75"/>
      <c r="AA1537" s="3" t="str">
        <f>IF(BCP_Soles[[#This Row],[fecha]]&gt;0,TEXT(BCP_Soles[[#This Row],[fecha]],"mmmm"),0)</f>
        <v>Mayo</v>
      </c>
    </row>
    <row r="1538" spans="1:27" x14ac:dyDescent="0.3">
      <c r="A1538" s="2">
        <f>IF(BCP_Soles[[#This Row],[tipo_registro]]="R",COUNTIFS($C$1:$C1537,"R")+1,A1537)</f>
        <v>1161</v>
      </c>
      <c r="B1538" s="19" t="str">
        <f t="shared" si="126"/>
        <v>B-BCP - Soles</v>
      </c>
      <c r="C1538" s="3" t="s">
        <v>1352</v>
      </c>
      <c r="D1538" s="14">
        <v>45779</v>
      </c>
      <c r="E1538" s="5" t="s">
        <v>1338</v>
      </c>
      <c r="F1538" s="5"/>
      <c r="G1538" s="6" t="s">
        <v>286</v>
      </c>
      <c r="H1538" s="6" t="s">
        <v>68</v>
      </c>
      <c r="I1538" s="6" t="s">
        <v>1386</v>
      </c>
      <c r="J1538" s="6">
        <v>1692</v>
      </c>
      <c r="K1538" s="7" t="s">
        <v>2896</v>
      </c>
      <c r="L1538" s="8">
        <v>1263913</v>
      </c>
      <c r="M1538" s="8" t="str">
        <f t="shared" si="127"/>
        <v>PEN</v>
      </c>
      <c r="N1538" s="13">
        <v>738.8</v>
      </c>
      <c r="O1538" s="13"/>
      <c r="P1538" s="3">
        <f t="shared" si="128"/>
        <v>0</v>
      </c>
      <c r="Q1538" s="3">
        <f t="shared" si="129"/>
        <v>0</v>
      </c>
      <c r="R1538" s="3">
        <f t="shared" si="125"/>
        <v>43711.84000000004</v>
      </c>
      <c r="S1538" s="24"/>
      <c r="T1538" s="24" t="s">
        <v>1334</v>
      </c>
      <c r="U1538" s="53"/>
      <c r="V1538" s="25">
        <f>IFERROR(VLOOKUP(BCP_Soles[[#This Row],[destinatario]],CHOOSE({1,2},Clientes_Proveedores[Razon Social],Clientes_Proveedores[Ruc / Dni]),2,0),"")</f>
        <v>20454186002</v>
      </c>
      <c r="W1538" s="25"/>
      <c r="X1538" s="25"/>
      <c r="Y1538" s="25"/>
      <c r="Z1538" s="75"/>
      <c r="AA1538" s="3" t="str">
        <f>IF(BCP_Soles[[#This Row],[fecha]]&gt;0,TEXT(BCP_Soles[[#This Row],[fecha]],"mmmm"),0)</f>
        <v>Mayo</v>
      </c>
    </row>
    <row r="1539" spans="1:27" x14ac:dyDescent="0.3">
      <c r="A1539" s="2">
        <f>IF(BCP_Soles[[#This Row],[tipo_registro]]="R",COUNTIFS($C$1:$C1538,"R")+1,A1538)</f>
        <v>1161</v>
      </c>
      <c r="B1539" s="19" t="str">
        <f t="shared" si="126"/>
        <v>B-BCP - Soles</v>
      </c>
      <c r="C1539" s="3" t="s">
        <v>1352</v>
      </c>
      <c r="D1539" s="14">
        <v>45779</v>
      </c>
      <c r="E1539" s="5" t="s">
        <v>1338</v>
      </c>
      <c r="F1539" s="5"/>
      <c r="G1539" s="6" t="s">
        <v>286</v>
      </c>
      <c r="H1539" s="6" t="s">
        <v>68</v>
      </c>
      <c r="I1539" s="6" t="s">
        <v>1390</v>
      </c>
      <c r="J1539" s="6">
        <v>625</v>
      </c>
      <c r="K1539" s="7" t="s">
        <v>2896</v>
      </c>
      <c r="L1539" s="8">
        <v>1263913</v>
      </c>
      <c r="M1539" s="8" t="str">
        <f t="shared" si="127"/>
        <v>PEN</v>
      </c>
      <c r="N1539" s="13">
        <v>3244</v>
      </c>
      <c r="O1539" s="13"/>
      <c r="P1539" s="3">
        <f t="shared" si="128"/>
        <v>0</v>
      </c>
      <c r="Q1539" s="3">
        <f t="shared" si="129"/>
        <v>0</v>
      </c>
      <c r="R1539" s="3">
        <f t="shared" si="125"/>
        <v>43711.84000000004</v>
      </c>
      <c r="S1539" s="24"/>
      <c r="T1539" s="24" t="s">
        <v>1334</v>
      </c>
      <c r="U1539" s="53"/>
      <c r="V1539" s="25">
        <f>IFERROR(VLOOKUP(BCP_Soles[[#This Row],[destinatario]],CHOOSE({1,2},Clientes_Proveedores[Razon Social],Clientes_Proveedores[Ruc / Dni]),2,0),"")</f>
        <v>20454186002</v>
      </c>
      <c r="W1539" s="25"/>
      <c r="X1539" s="25"/>
      <c r="Y1539" s="25"/>
      <c r="Z1539" s="75"/>
      <c r="AA1539" s="3" t="str">
        <f>IF(BCP_Soles[[#This Row],[fecha]]&gt;0,TEXT(BCP_Soles[[#This Row],[fecha]],"mmmm"),0)</f>
        <v>Mayo</v>
      </c>
    </row>
    <row r="1540" spans="1:27" x14ac:dyDescent="0.3">
      <c r="A1540" s="2">
        <f>IF(BCP_Soles[[#This Row],[tipo_registro]]="R",COUNTIFS($C$1:$C1539,"R")+1,A1539)</f>
        <v>1161</v>
      </c>
      <c r="B1540" s="19" t="str">
        <f t="shared" si="126"/>
        <v>B-BCP - Soles</v>
      </c>
      <c r="C1540" s="3" t="s">
        <v>1352</v>
      </c>
      <c r="D1540" s="14">
        <v>45779</v>
      </c>
      <c r="E1540" s="5" t="s">
        <v>1338</v>
      </c>
      <c r="F1540" s="5"/>
      <c r="G1540" s="6" t="s">
        <v>286</v>
      </c>
      <c r="H1540" s="6" t="s">
        <v>68</v>
      </c>
      <c r="I1540" s="6" t="s">
        <v>1390</v>
      </c>
      <c r="J1540" s="6">
        <v>623</v>
      </c>
      <c r="K1540" s="7" t="s">
        <v>2896</v>
      </c>
      <c r="L1540" s="8">
        <v>1263913</v>
      </c>
      <c r="M1540" s="8" t="str">
        <f t="shared" si="127"/>
        <v>PEN</v>
      </c>
      <c r="N1540" s="13">
        <v>133</v>
      </c>
      <c r="O1540" s="13"/>
      <c r="P1540" s="3">
        <f t="shared" si="128"/>
        <v>0</v>
      </c>
      <c r="Q1540" s="3">
        <f t="shared" si="129"/>
        <v>0</v>
      </c>
      <c r="R1540" s="3">
        <f t="shared" si="125"/>
        <v>43711.84000000004</v>
      </c>
      <c r="S1540" s="24"/>
      <c r="T1540" s="24" t="s">
        <v>1334</v>
      </c>
      <c r="U1540" s="53"/>
      <c r="V1540" s="25">
        <f>IFERROR(VLOOKUP(BCP_Soles[[#This Row],[destinatario]],CHOOSE({1,2},Clientes_Proveedores[Razon Social],Clientes_Proveedores[Ruc / Dni]),2,0),"")</f>
        <v>20454186002</v>
      </c>
      <c r="W1540" s="25"/>
      <c r="X1540" s="25"/>
      <c r="Y1540" s="25"/>
      <c r="Z1540" s="75"/>
      <c r="AA1540" s="3" t="str">
        <f>IF(BCP_Soles[[#This Row],[fecha]]&gt;0,TEXT(BCP_Soles[[#This Row],[fecha]],"mmmm"),0)</f>
        <v>Mayo</v>
      </c>
    </row>
    <row r="1541" spans="1:27" x14ac:dyDescent="0.3">
      <c r="A1541" s="2">
        <f>IF(BCP_Soles[[#This Row],[tipo_registro]]="R",COUNTIFS($C$1:$C1540,"R")+1,A1540)</f>
        <v>1161</v>
      </c>
      <c r="B1541" s="19" t="str">
        <f t="shared" si="126"/>
        <v>B-BCP - Soles</v>
      </c>
      <c r="C1541" s="3" t="s">
        <v>1352</v>
      </c>
      <c r="D1541" s="14">
        <v>45779</v>
      </c>
      <c r="E1541" s="5" t="s">
        <v>1338</v>
      </c>
      <c r="F1541" s="5"/>
      <c r="G1541" s="6" t="s">
        <v>286</v>
      </c>
      <c r="H1541" s="6" t="s">
        <v>68</v>
      </c>
      <c r="I1541" s="6" t="s">
        <v>1386</v>
      </c>
      <c r="J1541" s="6">
        <v>1695</v>
      </c>
      <c r="K1541" s="7" t="s">
        <v>2896</v>
      </c>
      <c r="L1541" s="8">
        <v>1263913</v>
      </c>
      <c r="M1541" s="8" t="str">
        <f t="shared" si="127"/>
        <v>PEN</v>
      </c>
      <c r="N1541" s="13">
        <v>314.41000000000003</v>
      </c>
      <c r="O1541" s="13"/>
      <c r="P1541" s="3">
        <f t="shared" si="128"/>
        <v>0</v>
      </c>
      <c r="Q1541" s="3">
        <f t="shared" si="129"/>
        <v>0</v>
      </c>
      <c r="R1541" s="3">
        <f t="shared" si="125"/>
        <v>43711.84000000004</v>
      </c>
      <c r="S1541" s="24"/>
      <c r="T1541" s="24" t="s">
        <v>1334</v>
      </c>
      <c r="U1541" s="53"/>
      <c r="V1541" s="25">
        <f>IFERROR(VLOOKUP(BCP_Soles[[#This Row],[destinatario]],CHOOSE({1,2},Clientes_Proveedores[Razon Social],Clientes_Proveedores[Ruc / Dni]),2,0),"")</f>
        <v>20454186002</v>
      </c>
      <c r="W1541" s="25"/>
      <c r="X1541" s="25"/>
      <c r="Y1541" s="25"/>
      <c r="Z1541" s="75"/>
      <c r="AA1541" s="3" t="str">
        <f>IF(BCP_Soles[[#This Row],[fecha]]&gt;0,TEXT(BCP_Soles[[#This Row],[fecha]],"mmmm"),0)</f>
        <v>Mayo</v>
      </c>
    </row>
    <row r="1542" spans="1:27" x14ac:dyDescent="0.3">
      <c r="A1542" s="2">
        <f>IF(BCP_Soles[[#This Row],[tipo_registro]]="R",COUNTIFS($C$1:$C1541,"R")+1,A1541)</f>
        <v>1162</v>
      </c>
      <c r="B1542" s="19" t="str">
        <f t="shared" si="126"/>
        <v>B-BCP - Soles</v>
      </c>
      <c r="C1542" s="3" t="s">
        <v>1330</v>
      </c>
      <c r="D1542" s="14">
        <v>45782</v>
      </c>
      <c r="E1542" s="5" t="s">
        <v>203</v>
      </c>
      <c r="F1542" s="5" t="s">
        <v>1303</v>
      </c>
      <c r="G1542" s="6" t="s">
        <v>425</v>
      </c>
      <c r="H1542" s="6"/>
      <c r="I1542" s="6"/>
      <c r="J1542" s="6"/>
      <c r="K1542" s="7" t="s">
        <v>1356</v>
      </c>
      <c r="L1542" s="8">
        <v>4225055</v>
      </c>
      <c r="M1542" s="8" t="str">
        <f t="shared" si="127"/>
        <v>PEN</v>
      </c>
      <c r="N1542" s="13"/>
      <c r="O1542" s="13">
        <v>460.2</v>
      </c>
      <c r="P1542" s="3">
        <f t="shared" si="128"/>
        <v>460.2</v>
      </c>
      <c r="Q1542" s="3">
        <f t="shared" si="129"/>
        <v>0</v>
      </c>
      <c r="R1542" s="3">
        <f t="shared" si="125"/>
        <v>44172.040000000037</v>
      </c>
      <c r="S1542" s="24" t="s">
        <v>1334</v>
      </c>
      <c r="T1542" s="24" t="s">
        <v>1334</v>
      </c>
      <c r="U1542" s="53"/>
      <c r="V1542" s="25">
        <f>IFERROR(VLOOKUP(BCP_Soles[[#This Row],[destinatario]],CHOOSE({1,2},Clientes_Proveedores[Razon Social],Clientes_Proveedores[Ruc / Dni]),2,0),"")</f>
        <v>20558226979</v>
      </c>
      <c r="W1542" s="25" t="s">
        <v>1345</v>
      </c>
      <c r="X1542" s="25" t="s">
        <v>2897</v>
      </c>
      <c r="Y1542" s="25"/>
      <c r="Z1542" s="75"/>
      <c r="AA1542" s="3" t="str">
        <f>IF(BCP_Soles[[#This Row],[fecha]]&gt;0,TEXT(BCP_Soles[[#This Row],[fecha]],"mmmm"),0)</f>
        <v>Mayo</v>
      </c>
    </row>
    <row r="1543" spans="1:27" x14ac:dyDescent="0.3">
      <c r="A1543" s="2">
        <f>IF(BCP_Soles[[#This Row],[tipo_registro]]="R",COUNTIFS($C$1:$C1542,"R")+1,A1542)</f>
        <v>1163</v>
      </c>
      <c r="B1543" s="19" t="str">
        <f t="shared" si="126"/>
        <v>B-BCP - Soles</v>
      </c>
      <c r="C1543" s="3" t="s">
        <v>1330</v>
      </c>
      <c r="D1543" s="14">
        <v>45782</v>
      </c>
      <c r="E1543" s="5" t="s">
        <v>1498</v>
      </c>
      <c r="F1543" s="5" t="s">
        <v>1303</v>
      </c>
      <c r="G1543" s="6" t="s">
        <v>425</v>
      </c>
      <c r="H1543" s="6" t="s">
        <v>119</v>
      </c>
      <c r="I1543" s="6">
        <v>1</v>
      </c>
      <c r="J1543" s="6">
        <v>4385</v>
      </c>
      <c r="K1543" s="7" t="s">
        <v>1356</v>
      </c>
      <c r="L1543" s="8">
        <v>2230353</v>
      </c>
      <c r="M1543" s="8" t="str">
        <f t="shared" si="127"/>
        <v>PEN</v>
      </c>
      <c r="N1543" s="13"/>
      <c r="O1543" s="13">
        <v>240</v>
      </c>
      <c r="P1543" s="3">
        <f t="shared" si="128"/>
        <v>240</v>
      </c>
      <c r="Q1543" s="3">
        <f t="shared" si="129"/>
        <v>0</v>
      </c>
      <c r="R1543" s="3">
        <f t="shared" si="125"/>
        <v>44412.040000000037</v>
      </c>
      <c r="S1543" s="24" t="s">
        <v>1334</v>
      </c>
      <c r="T1543" s="24" t="s">
        <v>1334</v>
      </c>
      <c r="U1543" s="53"/>
      <c r="V1543" s="25">
        <f>IFERROR(VLOOKUP(BCP_Soles[[#This Row],[destinatario]],CHOOSE({1,2},Clientes_Proveedores[Razon Social],Clientes_Proveedores[Ruc / Dni]),2,0),"")</f>
        <v>20558226979</v>
      </c>
      <c r="W1543" s="25" t="s">
        <v>1345</v>
      </c>
      <c r="X1543" s="25" t="s">
        <v>2898</v>
      </c>
      <c r="Y1543" s="25"/>
      <c r="Z1543" s="75"/>
      <c r="AA1543" s="3" t="str">
        <f>IF(BCP_Soles[[#This Row],[fecha]]&gt;0,TEXT(BCP_Soles[[#This Row],[fecha]],"mmmm"),0)</f>
        <v>Mayo</v>
      </c>
    </row>
    <row r="1544" spans="1:27" ht="24" x14ac:dyDescent="0.3">
      <c r="A1544" s="2">
        <f>IF(BCP_Soles[[#This Row],[tipo_registro]]="R",COUNTIFS($C$1:$C1543,"R")+1,A1543)</f>
        <v>1164</v>
      </c>
      <c r="B1544" s="19" t="str">
        <f t="shared" si="126"/>
        <v>B-BCP - Soles</v>
      </c>
      <c r="C1544" s="3" t="s">
        <v>1330</v>
      </c>
      <c r="D1544" s="14">
        <v>45782</v>
      </c>
      <c r="E1544" s="5" t="s">
        <v>2899</v>
      </c>
      <c r="F1544" s="5" t="s">
        <v>1303</v>
      </c>
      <c r="G1544" s="6" t="s">
        <v>425</v>
      </c>
      <c r="H1544" s="6" t="s">
        <v>119</v>
      </c>
      <c r="I1544" s="6">
        <v>1</v>
      </c>
      <c r="J1544" s="6">
        <v>4368</v>
      </c>
      <c r="K1544" s="7" t="s">
        <v>1356</v>
      </c>
      <c r="L1544" s="8">
        <v>1650508</v>
      </c>
      <c r="M1544" s="8" t="str">
        <f t="shared" si="127"/>
        <v>PEN</v>
      </c>
      <c r="N1544" s="13"/>
      <c r="O1544" s="13">
        <v>84.7</v>
      </c>
      <c r="P1544" s="3">
        <f t="shared" si="128"/>
        <v>84.7</v>
      </c>
      <c r="Q1544" s="3">
        <f t="shared" si="129"/>
        <v>0</v>
      </c>
      <c r="R1544" s="3">
        <f t="shared" si="125"/>
        <v>44496.740000000034</v>
      </c>
      <c r="S1544" s="24" t="s">
        <v>1334</v>
      </c>
      <c r="T1544" s="24" t="s">
        <v>1334</v>
      </c>
      <c r="U1544" s="53"/>
      <c r="V1544" s="25">
        <f>IFERROR(VLOOKUP(BCP_Soles[[#This Row],[destinatario]],CHOOSE({1,2},Clientes_Proveedores[Razon Social],Clientes_Proveedores[Ruc / Dni]),2,0),"")</f>
        <v>20558226979</v>
      </c>
      <c r="W1544" s="25" t="s">
        <v>1345</v>
      </c>
      <c r="X1544" s="25" t="s">
        <v>2900</v>
      </c>
      <c r="Y1544" s="25"/>
      <c r="Z1544" s="75"/>
      <c r="AA1544" s="3" t="str">
        <f>IF(BCP_Soles[[#This Row],[fecha]]&gt;0,TEXT(BCP_Soles[[#This Row],[fecha]],"mmmm"),0)</f>
        <v>Mayo</v>
      </c>
    </row>
    <row r="1545" spans="1:27" x14ac:dyDescent="0.3">
      <c r="A1545" s="2">
        <f>IF(BCP_Soles[[#This Row],[tipo_registro]]="R",COUNTIFS($C$1:$C1544,"R")+1,A1544)</f>
        <v>1165</v>
      </c>
      <c r="B1545" s="19" t="str">
        <f t="shared" si="126"/>
        <v>B-BCP - Soles</v>
      </c>
      <c r="C1545" s="3" t="s">
        <v>1330</v>
      </c>
      <c r="D1545" s="14">
        <v>45782</v>
      </c>
      <c r="E1545" s="5" t="s">
        <v>1335</v>
      </c>
      <c r="F1545" s="5" t="s">
        <v>1336</v>
      </c>
      <c r="G1545" s="6"/>
      <c r="H1545" s="6"/>
      <c r="I1545" s="6"/>
      <c r="J1545" s="6"/>
      <c r="K1545" s="7" t="s">
        <v>1337</v>
      </c>
      <c r="L1545" s="8"/>
      <c r="M1545" s="8" t="str">
        <f t="shared" si="127"/>
        <v>PEN</v>
      </c>
      <c r="N1545" s="13"/>
      <c r="O1545" s="13">
        <v>0.1</v>
      </c>
      <c r="P1545" s="3">
        <f t="shared" si="128"/>
        <v>0</v>
      </c>
      <c r="Q1545" s="3">
        <f t="shared" si="129"/>
        <v>0.1</v>
      </c>
      <c r="R1545" s="3">
        <f t="shared" ref="R1545:R1608" si="130">IFERROR(IF(F1545="SALDO",P1545,R1544+P1545-Q1545),0)</f>
        <v>44496.640000000036</v>
      </c>
      <c r="S1545" s="24"/>
      <c r="T1545" s="24" t="s">
        <v>1334</v>
      </c>
      <c r="U1545" s="53"/>
      <c r="V1545" s="25" t="str">
        <f>IFERROR(VLOOKUP(BCP_Soles[[#This Row],[destinatario]],CHOOSE({1,2},Clientes_Proveedores[Razon Social],Clientes_Proveedores[Ruc / Dni]),2,0),"")</f>
        <v/>
      </c>
      <c r="W1545" s="25"/>
      <c r="X1545" s="25"/>
      <c r="Y1545" s="25"/>
      <c r="Z1545" s="75"/>
      <c r="AA1545" s="3" t="str">
        <f>IF(BCP_Soles[[#This Row],[fecha]]&gt;0,TEXT(BCP_Soles[[#This Row],[fecha]],"mmmm"),0)</f>
        <v>Mayo</v>
      </c>
    </row>
    <row r="1546" spans="1:27" ht="36" x14ac:dyDescent="0.3">
      <c r="A1546" s="2">
        <f>IF(BCP_Soles[[#This Row],[tipo_registro]]="R",COUNTIFS($C$1:$C1545,"R")+1,A1545)</f>
        <v>1166</v>
      </c>
      <c r="B1546" s="19" t="str">
        <f t="shared" si="126"/>
        <v>B-BCP - Soles</v>
      </c>
      <c r="C1546" s="3" t="s">
        <v>1330</v>
      </c>
      <c r="D1546" s="14">
        <v>45782</v>
      </c>
      <c r="E1546" s="5" t="s">
        <v>1338</v>
      </c>
      <c r="F1546" s="5" t="s">
        <v>1336</v>
      </c>
      <c r="G1546" s="6" t="s">
        <v>588</v>
      </c>
      <c r="H1546" s="6" t="s">
        <v>68</v>
      </c>
      <c r="I1546" s="6" t="s">
        <v>1376</v>
      </c>
      <c r="J1546" s="6">
        <v>405</v>
      </c>
      <c r="K1546" s="7" t="s">
        <v>2901</v>
      </c>
      <c r="L1546" s="8">
        <v>1108333</v>
      </c>
      <c r="M1546" s="8" t="str">
        <f t="shared" si="127"/>
        <v>PEN</v>
      </c>
      <c r="N1546" s="13"/>
      <c r="O1546" s="13">
        <v>94.28</v>
      </c>
      <c r="P1546" s="3">
        <f t="shared" si="128"/>
        <v>0</v>
      </c>
      <c r="Q1546" s="3">
        <f t="shared" si="129"/>
        <v>94.28</v>
      </c>
      <c r="R1546" s="3">
        <f t="shared" si="130"/>
        <v>44402.360000000037</v>
      </c>
      <c r="S1546" s="24" t="s">
        <v>1334</v>
      </c>
      <c r="T1546" s="24" t="s">
        <v>1334</v>
      </c>
      <c r="U1546" s="53"/>
      <c r="V1546" s="25">
        <f>IFERROR(VLOOKUP(BCP_Soles[[#This Row],[destinatario]],CHOOSE({1,2},Clientes_Proveedores[Razon Social],Clientes_Proveedores[Ruc / Dni]),2,0),"")</f>
        <v>20609368773</v>
      </c>
      <c r="W1546" s="25" t="s">
        <v>1439</v>
      </c>
      <c r="X1546" s="25" t="s">
        <v>2902</v>
      </c>
      <c r="Y1546" s="25"/>
      <c r="Z1546" s="75"/>
      <c r="AA1546" s="3" t="str">
        <f>IF(BCP_Soles[[#This Row],[fecha]]&gt;0,TEXT(BCP_Soles[[#This Row],[fecha]],"mmmm"),0)</f>
        <v>Mayo</v>
      </c>
    </row>
    <row r="1547" spans="1:27" ht="48" x14ac:dyDescent="0.3">
      <c r="A1547" s="2">
        <f>IF(BCP_Soles[[#This Row],[tipo_registro]]="R",COUNTIFS($C$1:$C1546,"R")+1,A1546)</f>
        <v>1167</v>
      </c>
      <c r="B1547" s="19" t="str">
        <f t="shared" si="126"/>
        <v>B-BCP - Soles</v>
      </c>
      <c r="C1547" s="3" t="s">
        <v>1330</v>
      </c>
      <c r="D1547" s="14">
        <v>45782</v>
      </c>
      <c r="E1547" s="5" t="s">
        <v>1416</v>
      </c>
      <c r="F1547" s="5" t="s">
        <v>1336</v>
      </c>
      <c r="G1547" s="6" t="s">
        <v>501</v>
      </c>
      <c r="H1547" s="6" t="s">
        <v>68</v>
      </c>
      <c r="I1547" s="6" t="s">
        <v>1650</v>
      </c>
      <c r="J1547" s="6">
        <v>7597</v>
      </c>
      <c r="K1547" s="7" t="s">
        <v>2903</v>
      </c>
      <c r="L1547" s="8">
        <v>1170309</v>
      </c>
      <c r="M1547" s="8" t="str">
        <f t="shared" si="127"/>
        <v>PEN</v>
      </c>
      <c r="N1547" s="13"/>
      <c r="O1547" s="13">
        <v>166.63</v>
      </c>
      <c r="P1547" s="3">
        <f t="shared" si="128"/>
        <v>0</v>
      </c>
      <c r="Q1547" s="3">
        <f t="shared" si="129"/>
        <v>166.63</v>
      </c>
      <c r="R1547" s="3">
        <f t="shared" si="130"/>
        <v>44235.73000000004</v>
      </c>
      <c r="S1547" s="24" t="s">
        <v>1334</v>
      </c>
      <c r="T1547" s="24" t="s">
        <v>1334</v>
      </c>
      <c r="U1547" s="53"/>
      <c r="V1547" s="25">
        <f>IFERROR(VLOOKUP(BCP_Soles[[#This Row],[destinatario]],CHOOSE({1,2},Clientes_Proveedores[Razon Social],Clientes_Proveedores[Ruc / Dni]),2,0),"")</f>
        <v>20602978274</v>
      </c>
      <c r="W1547" s="25" t="s">
        <v>1528</v>
      </c>
      <c r="X1547" s="25" t="s">
        <v>2904</v>
      </c>
      <c r="Y1547" s="25"/>
      <c r="Z1547" s="75"/>
      <c r="AA1547" s="3" t="str">
        <f>IF(BCP_Soles[[#This Row],[fecha]]&gt;0,TEXT(BCP_Soles[[#This Row],[fecha]],"mmmm"),0)</f>
        <v>Mayo</v>
      </c>
    </row>
    <row r="1548" spans="1:27" ht="48" x14ac:dyDescent="0.3">
      <c r="A1548" s="2">
        <f>IF(BCP_Soles[[#This Row],[tipo_registro]]="R",COUNTIFS($C$1:$C1547,"R")+1,A1547)</f>
        <v>1168</v>
      </c>
      <c r="B1548" s="19" t="str">
        <f t="shared" si="126"/>
        <v>B-BCP - Soles</v>
      </c>
      <c r="C1548" s="3" t="s">
        <v>1330</v>
      </c>
      <c r="D1548" s="14">
        <v>45782</v>
      </c>
      <c r="E1548" s="5" t="s">
        <v>1416</v>
      </c>
      <c r="F1548" s="5" t="s">
        <v>1336</v>
      </c>
      <c r="G1548" s="6" t="s">
        <v>501</v>
      </c>
      <c r="H1548" s="6" t="s">
        <v>68</v>
      </c>
      <c r="I1548" s="6" t="s">
        <v>1526</v>
      </c>
      <c r="J1548" s="6">
        <v>10219</v>
      </c>
      <c r="K1548" s="7" t="s">
        <v>2905</v>
      </c>
      <c r="L1548" s="8">
        <v>1168837</v>
      </c>
      <c r="M1548" s="8" t="str">
        <f t="shared" si="127"/>
        <v>PEN</v>
      </c>
      <c r="N1548" s="13"/>
      <c r="O1548" s="13">
        <v>276.48</v>
      </c>
      <c r="P1548" s="3">
        <f t="shared" si="128"/>
        <v>0</v>
      </c>
      <c r="Q1548" s="3">
        <f t="shared" si="129"/>
        <v>276.48</v>
      </c>
      <c r="R1548" s="3">
        <f t="shared" si="130"/>
        <v>43959.250000000036</v>
      </c>
      <c r="S1548" s="24" t="s">
        <v>1334</v>
      </c>
      <c r="T1548" s="24" t="s">
        <v>1334</v>
      </c>
      <c r="U1548" s="53"/>
      <c r="V1548" s="25">
        <f>IFERROR(VLOOKUP(BCP_Soles[[#This Row],[destinatario]],CHOOSE({1,2},Clientes_Proveedores[Razon Social],Clientes_Proveedores[Ruc / Dni]),2,0),"")</f>
        <v>20602978274</v>
      </c>
      <c r="W1548" s="25" t="s">
        <v>1528</v>
      </c>
      <c r="X1548" s="25" t="s">
        <v>2906</v>
      </c>
      <c r="Y1548" s="25"/>
      <c r="Z1548" s="75"/>
      <c r="AA1548" s="3" t="str">
        <f>IF(BCP_Soles[[#This Row],[fecha]]&gt;0,TEXT(BCP_Soles[[#This Row],[fecha]],"mmmm"),0)</f>
        <v>Mayo</v>
      </c>
    </row>
    <row r="1549" spans="1:27" ht="36" x14ac:dyDescent="0.3">
      <c r="A1549" s="2">
        <f>IF(BCP_Soles[[#This Row],[tipo_registro]]="R",COUNTIFS($C$1:$C1548,"R")+1,A1548)</f>
        <v>1169</v>
      </c>
      <c r="B1549" s="19" t="str">
        <f t="shared" si="126"/>
        <v>B-BCP - Soles</v>
      </c>
      <c r="C1549" s="3" t="s">
        <v>1330</v>
      </c>
      <c r="D1549" s="14">
        <v>45782</v>
      </c>
      <c r="E1549" s="5" t="s">
        <v>1338</v>
      </c>
      <c r="F1549" s="5" t="s">
        <v>1336</v>
      </c>
      <c r="G1549" s="6" t="s">
        <v>497</v>
      </c>
      <c r="H1549" s="6" t="s">
        <v>68</v>
      </c>
      <c r="I1549" s="6" t="s">
        <v>1390</v>
      </c>
      <c r="J1549" s="6">
        <v>19253</v>
      </c>
      <c r="K1549" s="7" t="s">
        <v>2907</v>
      </c>
      <c r="L1549" s="8">
        <v>1109796</v>
      </c>
      <c r="M1549" s="8" t="str">
        <f t="shared" si="127"/>
        <v>PEN</v>
      </c>
      <c r="N1549" s="13"/>
      <c r="O1549" s="13">
        <v>364</v>
      </c>
      <c r="P1549" s="3">
        <f t="shared" si="128"/>
        <v>0</v>
      </c>
      <c r="Q1549" s="3">
        <f t="shared" si="129"/>
        <v>364</v>
      </c>
      <c r="R1549" s="3">
        <f t="shared" si="130"/>
        <v>43595.250000000036</v>
      </c>
      <c r="S1549" s="24" t="s">
        <v>1334</v>
      </c>
      <c r="T1549" s="24" t="s">
        <v>1334</v>
      </c>
      <c r="U1549" s="53"/>
      <c r="V1549" s="25">
        <f>IFERROR(VLOOKUP(BCP_Soles[[#This Row],[destinatario]],CHOOSE({1,2},Clientes_Proveedores[Razon Social],Clientes_Proveedores[Ruc / Dni]),2,0),"")</f>
        <v>20602810497</v>
      </c>
      <c r="W1549" s="25" t="s">
        <v>1591</v>
      </c>
      <c r="X1549" s="25" t="s">
        <v>2908</v>
      </c>
      <c r="Y1549" s="25"/>
      <c r="Z1549" s="75"/>
      <c r="AA1549" s="3" t="str">
        <f>IF(BCP_Soles[[#This Row],[fecha]]&gt;0,TEXT(BCP_Soles[[#This Row],[fecha]],"mmmm"),0)</f>
        <v>Mayo</v>
      </c>
    </row>
    <row r="1550" spans="1:27" ht="24" x14ac:dyDescent="0.3">
      <c r="A1550" s="2">
        <f>IF(BCP_Soles[[#This Row],[tipo_registro]]="R",COUNTIFS($C$1:$C1549,"R")+1,A1549)</f>
        <v>1170</v>
      </c>
      <c r="B1550" s="19" t="str">
        <f t="shared" si="126"/>
        <v>B-BCP - Soles</v>
      </c>
      <c r="C1550" s="3" t="s">
        <v>1330</v>
      </c>
      <c r="D1550" s="14">
        <v>45782</v>
      </c>
      <c r="E1550" s="5" t="s">
        <v>1338</v>
      </c>
      <c r="F1550" s="5" t="s">
        <v>1336</v>
      </c>
      <c r="G1550" s="6" t="s">
        <v>1069</v>
      </c>
      <c r="H1550" s="6" t="s">
        <v>143</v>
      </c>
      <c r="I1550" s="6">
        <v>1</v>
      </c>
      <c r="J1550" s="6">
        <v>332025</v>
      </c>
      <c r="K1550" s="7" t="s">
        <v>2909</v>
      </c>
      <c r="L1550" s="8">
        <v>1109294</v>
      </c>
      <c r="M1550" s="8" t="str">
        <f t="shared" si="127"/>
        <v>PEN</v>
      </c>
      <c r="N1550" s="13"/>
      <c r="O1550" s="13">
        <v>540</v>
      </c>
      <c r="P1550" s="3">
        <f t="shared" si="128"/>
        <v>0</v>
      </c>
      <c r="Q1550" s="3">
        <f t="shared" si="129"/>
        <v>540</v>
      </c>
      <c r="R1550" s="3">
        <f t="shared" si="130"/>
        <v>43055.250000000036</v>
      </c>
      <c r="S1550" s="24" t="s">
        <v>1334</v>
      </c>
      <c r="T1550" s="24" t="s">
        <v>1334</v>
      </c>
      <c r="U1550" s="53"/>
      <c r="V1550" s="25">
        <f>IFERROR(VLOOKUP(BCP_Soles[[#This Row],[destinatario]],CHOOSE({1,2},Clientes_Proveedores[Razon Social],Clientes_Proveedores[Ruc / Dni]),2,0),"")</f>
        <v>72378581</v>
      </c>
      <c r="W1550" s="25" t="s">
        <v>2910</v>
      </c>
      <c r="X1550" s="25" t="s">
        <v>2911</v>
      </c>
      <c r="Y1550" s="25"/>
      <c r="Z1550" s="75"/>
      <c r="AA1550" s="3" t="str">
        <f>IF(BCP_Soles[[#This Row],[fecha]]&gt;0,TEXT(BCP_Soles[[#This Row],[fecha]],"mmmm"),0)</f>
        <v>Mayo</v>
      </c>
    </row>
    <row r="1551" spans="1:27" ht="36" x14ac:dyDescent="0.3">
      <c r="A1551" s="2">
        <f>IF(BCP_Soles[[#This Row],[tipo_registro]]="R",COUNTIFS($C$1:$C1550,"R")+1,A1550)</f>
        <v>1171</v>
      </c>
      <c r="B1551" s="19" t="str">
        <f t="shared" si="126"/>
        <v>B-BCP - Soles</v>
      </c>
      <c r="C1551" s="3" t="s">
        <v>1330</v>
      </c>
      <c r="D1551" s="14">
        <v>45782</v>
      </c>
      <c r="E1551" s="5" t="s">
        <v>1338</v>
      </c>
      <c r="F1551" s="5" t="s">
        <v>1336</v>
      </c>
      <c r="G1551" s="6" t="s">
        <v>675</v>
      </c>
      <c r="H1551" s="6" t="s">
        <v>68</v>
      </c>
      <c r="I1551" s="6" t="s">
        <v>2912</v>
      </c>
      <c r="J1551" s="6">
        <v>1123</v>
      </c>
      <c r="K1551" s="7" t="s">
        <v>2913</v>
      </c>
      <c r="L1551" s="8">
        <v>1109293</v>
      </c>
      <c r="M1551" s="8" t="str">
        <f t="shared" si="127"/>
        <v>PEN</v>
      </c>
      <c r="N1551" s="13"/>
      <c r="O1551" s="13">
        <v>1028.2</v>
      </c>
      <c r="P1551" s="3">
        <f t="shared" si="128"/>
        <v>0</v>
      </c>
      <c r="Q1551" s="3">
        <f t="shared" si="129"/>
        <v>1028.2</v>
      </c>
      <c r="R1551" s="3">
        <f t="shared" si="130"/>
        <v>42027.050000000039</v>
      </c>
      <c r="S1551" s="24" t="s">
        <v>1334</v>
      </c>
      <c r="T1551" s="24" t="s">
        <v>1334</v>
      </c>
      <c r="U1551" s="53"/>
      <c r="V1551" s="25">
        <f>IFERROR(VLOOKUP(BCP_Soles[[#This Row],[destinatario]],CHOOSE({1,2},Clientes_Proveedores[Razon Social],Clientes_Proveedores[Ruc / Dni]),2,0),"")</f>
        <v>20455911401</v>
      </c>
      <c r="W1551" s="25" t="s">
        <v>2914</v>
      </c>
      <c r="X1551" s="25" t="s">
        <v>2915</v>
      </c>
      <c r="Y1551" s="25"/>
      <c r="Z1551" s="75"/>
      <c r="AA1551" s="3" t="str">
        <f>IF(BCP_Soles[[#This Row],[fecha]]&gt;0,TEXT(BCP_Soles[[#This Row],[fecha]],"mmmm"),0)</f>
        <v>Mayo</v>
      </c>
    </row>
    <row r="1552" spans="1:27" ht="24" x14ac:dyDescent="0.3">
      <c r="A1552" s="2">
        <f>IF(BCP_Soles[[#This Row],[tipo_registro]]="R",COUNTIFS($C$1:$C1551,"R")+1,A1551)</f>
        <v>1172</v>
      </c>
      <c r="B1552" s="19" t="str">
        <f t="shared" si="126"/>
        <v>B-BCP - Soles</v>
      </c>
      <c r="C1552" s="3" t="s">
        <v>1330</v>
      </c>
      <c r="D1552" s="14">
        <v>45782</v>
      </c>
      <c r="E1552" s="5" t="s">
        <v>1338</v>
      </c>
      <c r="F1552" s="5" t="s">
        <v>1336</v>
      </c>
      <c r="G1552" s="6" t="s">
        <v>888</v>
      </c>
      <c r="H1552" s="6" t="s">
        <v>147</v>
      </c>
      <c r="I1552" s="6">
        <v>14</v>
      </c>
      <c r="J1552" s="6">
        <v>31</v>
      </c>
      <c r="K1552" s="7" t="s">
        <v>2916</v>
      </c>
      <c r="L1552" s="8">
        <v>1109295</v>
      </c>
      <c r="M1552" s="8" t="str">
        <f t="shared" si="127"/>
        <v>PEN</v>
      </c>
      <c r="N1552" s="13"/>
      <c r="O1552" s="13">
        <v>1975.54</v>
      </c>
      <c r="P1552" s="3">
        <f t="shared" si="128"/>
        <v>0</v>
      </c>
      <c r="Q1552" s="3">
        <f t="shared" si="129"/>
        <v>1975.54</v>
      </c>
      <c r="R1552" s="3">
        <f t="shared" si="130"/>
        <v>40051.510000000038</v>
      </c>
      <c r="S1552" s="24"/>
      <c r="T1552" s="24" t="s">
        <v>1334</v>
      </c>
      <c r="U1552" s="53"/>
      <c r="V1552" s="25">
        <f>IFERROR(VLOOKUP(BCP_Soles[[#This Row],[destinatario]],CHOOSE({1,2},Clientes_Proveedores[Razon Social],Clientes_Proveedores[Ruc / Dni]),2,0),"")</f>
        <v>47461440</v>
      </c>
      <c r="W1552" s="25"/>
      <c r="X1552" s="25"/>
      <c r="Y1552" s="25"/>
      <c r="Z1552" s="75"/>
      <c r="AA1552" s="3" t="str">
        <f>IF(BCP_Soles[[#This Row],[fecha]]&gt;0,TEXT(BCP_Soles[[#This Row],[fecha]],"mmmm"),0)</f>
        <v>Mayo</v>
      </c>
    </row>
    <row r="1553" spans="1:27" x14ac:dyDescent="0.3">
      <c r="A1553" s="2">
        <f>IF(BCP_Soles[[#This Row],[tipo_registro]]="R",COUNTIFS($C$1:$C1552,"R")+1,A1552)</f>
        <v>1173</v>
      </c>
      <c r="B1553" s="19" t="str">
        <f t="shared" si="126"/>
        <v>B-BCP - Soles</v>
      </c>
      <c r="C1553" s="3" t="s">
        <v>1330</v>
      </c>
      <c r="D1553" s="14">
        <v>45783</v>
      </c>
      <c r="E1553" s="5"/>
      <c r="F1553" s="5" t="s">
        <v>1303</v>
      </c>
      <c r="G1553" s="6" t="s">
        <v>425</v>
      </c>
      <c r="H1553" s="6"/>
      <c r="I1553" s="6"/>
      <c r="J1553" s="6"/>
      <c r="K1553" s="7" t="s">
        <v>1356</v>
      </c>
      <c r="L1553" s="8">
        <v>1849507</v>
      </c>
      <c r="M1553" s="8" t="str">
        <f t="shared" si="127"/>
        <v>PEN</v>
      </c>
      <c r="N1553" s="13"/>
      <c r="O1553" s="13">
        <v>5000</v>
      </c>
      <c r="P1553" s="3">
        <f t="shared" si="128"/>
        <v>5000</v>
      </c>
      <c r="Q1553" s="3">
        <f t="shared" si="129"/>
        <v>0</v>
      </c>
      <c r="R1553" s="3">
        <f t="shared" si="130"/>
        <v>45051.510000000038</v>
      </c>
      <c r="S1553" s="24" t="s">
        <v>1334</v>
      </c>
      <c r="T1553" s="24" t="s">
        <v>1334</v>
      </c>
      <c r="U1553" s="53"/>
      <c r="V1553" s="25">
        <f>IFERROR(VLOOKUP(BCP_Soles[[#This Row],[destinatario]],CHOOSE({1,2},Clientes_Proveedores[Razon Social],Clientes_Proveedores[Ruc / Dni]),2,0),"")</f>
        <v>20558226979</v>
      </c>
      <c r="W1553" s="25" t="s">
        <v>1345</v>
      </c>
      <c r="X1553" s="25"/>
      <c r="Y1553" s="25"/>
      <c r="Z1553" s="75"/>
      <c r="AA1553" s="3" t="str">
        <f>IF(BCP_Soles[[#This Row],[fecha]]&gt;0,TEXT(BCP_Soles[[#This Row],[fecha]],"mmmm"),0)</f>
        <v>Mayo</v>
      </c>
    </row>
    <row r="1554" spans="1:27" ht="24" x14ac:dyDescent="0.3">
      <c r="A1554" s="2">
        <f>IF(BCP_Soles[[#This Row],[tipo_registro]]="R",COUNTIFS($C$1:$C1553,"R")+1,A1553)</f>
        <v>1173</v>
      </c>
      <c r="B1554" s="19" t="str">
        <f t="shared" si="126"/>
        <v>B-BCP - Soles</v>
      </c>
      <c r="C1554" s="3" t="s">
        <v>1352</v>
      </c>
      <c r="D1554" s="14">
        <v>45783</v>
      </c>
      <c r="E1554" s="5" t="s">
        <v>536</v>
      </c>
      <c r="F1554" s="5" t="s">
        <v>1303</v>
      </c>
      <c r="G1554" s="6" t="s">
        <v>425</v>
      </c>
      <c r="H1554" s="6" t="s">
        <v>119</v>
      </c>
      <c r="I1554" s="6">
        <v>1</v>
      </c>
      <c r="J1554" s="6">
        <v>4332</v>
      </c>
      <c r="K1554" s="7" t="s">
        <v>1356</v>
      </c>
      <c r="L1554" s="8">
        <v>1849507</v>
      </c>
      <c r="M1554" s="8" t="str">
        <f t="shared" si="127"/>
        <v>PEN</v>
      </c>
      <c r="N1554" s="13">
        <v>3985</v>
      </c>
      <c r="O1554" s="13"/>
      <c r="P1554" s="3">
        <f t="shared" si="128"/>
        <v>0</v>
      </c>
      <c r="Q1554" s="3">
        <f t="shared" si="129"/>
        <v>0</v>
      </c>
      <c r="R1554" s="3">
        <f t="shared" si="130"/>
        <v>45051.510000000038</v>
      </c>
      <c r="S1554" s="24" t="s">
        <v>1334</v>
      </c>
      <c r="T1554" s="24" t="s">
        <v>1334</v>
      </c>
      <c r="U1554" s="53"/>
      <c r="V1554" s="25">
        <f>IFERROR(VLOOKUP(BCP_Soles[[#This Row],[destinatario]],CHOOSE({1,2},Clientes_Proveedores[Razon Social],Clientes_Proveedores[Ruc / Dni]),2,0),"")</f>
        <v>20558226979</v>
      </c>
      <c r="W1554" s="25" t="s">
        <v>1345</v>
      </c>
      <c r="X1554" s="25" t="s">
        <v>2917</v>
      </c>
      <c r="Y1554" s="25"/>
      <c r="Z1554" s="75"/>
      <c r="AA1554" s="3" t="str">
        <f>IF(BCP_Soles[[#This Row],[fecha]]&gt;0,TEXT(BCP_Soles[[#This Row],[fecha]],"mmmm"),0)</f>
        <v>Mayo</v>
      </c>
    </row>
    <row r="1555" spans="1:27" ht="24" x14ac:dyDescent="0.3">
      <c r="A1555" s="2">
        <f>IF(BCP_Soles[[#This Row],[tipo_registro]]="R",COUNTIFS($C$1:$C1554,"R")+1,A1554)</f>
        <v>1173</v>
      </c>
      <c r="B1555" s="19" t="str">
        <f t="shared" ref="B1555:B1618" si="131">"B-BCP - Soles"</f>
        <v>B-BCP - Soles</v>
      </c>
      <c r="C1555" s="3" t="s">
        <v>1352</v>
      </c>
      <c r="D1555" s="14">
        <v>45783</v>
      </c>
      <c r="E1555" s="5" t="s">
        <v>536</v>
      </c>
      <c r="F1555" s="5" t="s">
        <v>1303</v>
      </c>
      <c r="G1555" s="6" t="s">
        <v>425</v>
      </c>
      <c r="H1555" s="6" t="s">
        <v>119</v>
      </c>
      <c r="I1555" s="6">
        <v>1</v>
      </c>
      <c r="J1555" s="6">
        <v>4361</v>
      </c>
      <c r="K1555" s="7" t="s">
        <v>1356</v>
      </c>
      <c r="L1555" s="8">
        <v>1849507</v>
      </c>
      <c r="M1555" s="8" t="str">
        <f t="shared" ref="M1555:M1618" si="132">"PEN"</f>
        <v>PEN</v>
      </c>
      <c r="N1555" s="13">
        <v>1015</v>
      </c>
      <c r="O1555" s="13"/>
      <c r="P1555" s="3">
        <f t="shared" ref="P1555:P1618" si="133">+IF(OR($F1555="SALDO",$F1555="INGRESO"),$O1555,0)</f>
        <v>0</v>
      </c>
      <c r="Q1555" s="3">
        <f t="shared" ref="Q1555:Q1618" si="134">+IF($F1555="EGRESO",$O1555,0)</f>
        <v>0</v>
      </c>
      <c r="R1555" s="3">
        <f t="shared" si="130"/>
        <v>45051.510000000038</v>
      </c>
      <c r="S1555" s="24" t="s">
        <v>1334</v>
      </c>
      <c r="T1555" s="24" t="s">
        <v>1334</v>
      </c>
      <c r="U1555" s="53"/>
      <c r="V1555" s="25">
        <f>IFERROR(VLOOKUP(BCP_Soles[[#This Row],[destinatario]],CHOOSE({1,2},Clientes_Proveedores[Razon Social],Clientes_Proveedores[Ruc / Dni]),2,0),"")</f>
        <v>20558226979</v>
      </c>
      <c r="W1555" s="25" t="s">
        <v>1345</v>
      </c>
      <c r="X1555" s="25" t="s">
        <v>2918</v>
      </c>
      <c r="Y1555" s="25"/>
      <c r="Z1555" s="75"/>
      <c r="AA1555" s="3" t="str">
        <f>IF(BCP_Soles[[#This Row],[fecha]]&gt;0,TEXT(BCP_Soles[[#This Row],[fecha]],"mmmm"),0)</f>
        <v>Mayo</v>
      </c>
    </row>
    <row r="1556" spans="1:27" x14ac:dyDescent="0.3">
      <c r="A1556" s="2">
        <f>IF(BCP_Soles[[#This Row],[tipo_registro]]="R",COUNTIFS($C$1:$C1555,"R")+1,A1555)</f>
        <v>1174</v>
      </c>
      <c r="B1556" s="19" t="str">
        <f t="shared" si="131"/>
        <v>B-BCP - Soles</v>
      </c>
      <c r="C1556" s="3" t="s">
        <v>1330</v>
      </c>
      <c r="D1556" s="14">
        <v>45783</v>
      </c>
      <c r="E1556" s="5"/>
      <c r="F1556" s="5" t="s">
        <v>1303</v>
      </c>
      <c r="G1556" s="6" t="s">
        <v>425</v>
      </c>
      <c r="H1556" s="6"/>
      <c r="I1556" s="6"/>
      <c r="J1556" s="6"/>
      <c r="K1556" s="7" t="s">
        <v>1356</v>
      </c>
      <c r="L1556" s="8">
        <v>1856251</v>
      </c>
      <c r="M1556" s="8" t="str">
        <f t="shared" si="132"/>
        <v>PEN</v>
      </c>
      <c r="N1556" s="13"/>
      <c r="O1556" s="13">
        <v>1905</v>
      </c>
      <c r="P1556" s="3">
        <f t="shared" si="133"/>
        <v>1905</v>
      </c>
      <c r="Q1556" s="3">
        <f t="shared" si="134"/>
        <v>0</v>
      </c>
      <c r="R1556" s="3">
        <f t="shared" si="130"/>
        <v>46956.510000000038</v>
      </c>
      <c r="S1556" s="24" t="s">
        <v>1334</v>
      </c>
      <c r="T1556" s="24" t="s">
        <v>1334</v>
      </c>
      <c r="U1556" s="53"/>
      <c r="V1556" s="25">
        <f>IFERROR(VLOOKUP(BCP_Soles[[#This Row],[destinatario]],CHOOSE({1,2},Clientes_Proveedores[Razon Social],Clientes_Proveedores[Ruc / Dni]),2,0),"")</f>
        <v>20558226979</v>
      </c>
      <c r="W1556" s="25" t="s">
        <v>1345</v>
      </c>
      <c r="X1556" s="25"/>
      <c r="Y1556" s="25"/>
      <c r="Z1556" s="75"/>
      <c r="AA1556" s="3" t="str">
        <f>IF(BCP_Soles[[#This Row],[fecha]]&gt;0,TEXT(BCP_Soles[[#This Row],[fecha]],"mmmm"),0)</f>
        <v>Mayo</v>
      </c>
    </row>
    <row r="1557" spans="1:27" ht="24" x14ac:dyDescent="0.3">
      <c r="A1557" s="2">
        <f>IF(BCP_Soles[[#This Row],[tipo_registro]]="R",COUNTIFS($C$1:$C1556,"R")+1,A1556)</f>
        <v>1174</v>
      </c>
      <c r="B1557" s="19" t="str">
        <f t="shared" si="131"/>
        <v>B-BCP - Soles</v>
      </c>
      <c r="C1557" s="3" t="s">
        <v>1352</v>
      </c>
      <c r="D1557" s="14">
        <v>45783</v>
      </c>
      <c r="E1557" s="5" t="s">
        <v>536</v>
      </c>
      <c r="F1557" s="5" t="s">
        <v>1303</v>
      </c>
      <c r="G1557" s="6" t="s">
        <v>425</v>
      </c>
      <c r="H1557" s="6" t="s">
        <v>119</v>
      </c>
      <c r="I1557" s="6">
        <v>1</v>
      </c>
      <c r="J1557" s="6">
        <v>4361</v>
      </c>
      <c r="K1557" s="7" t="s">
        <v>1356</v>
      </c>
      <c r="L1557" s="8">
        <v>1856251</v>
      </c>
      <c r="M1557" s="8" t="str">
        <f t="shared" si="132"/>
        <v>PEN</v>
      </c>
      <c r="N1557" s="13">
        <v>873</v>
      </c>
      <c r="O1557" s="13"/>
      <c r="P1557" s="3">
        <f t="shared" si="133"/>
        <v>0</v>
      </c>
      <c r="Q1557" s="3">
        <f t="shared" si="134"/>
        <v>0</v>
      </c>
      <c r="R1557" s="3">
        <f t="shared" si="130"/>
        <v>46956.510000000038</v>
      </c>
      <c r="S1557" s="24" t="s">
        <v>1334</v>
      </c>
      <c r="T1557" s="24" t="s">
        <v>1334</v>
      </c>
      <c r="U1557" s="53"/>
      <c r="V1557" s="25">
        <f>IFERROR(VLOOKUP(BCP_Soles[[#This Row],[destinatario]],CHOOSE({1,2},Clientes_Proveedores[Razon Social],Clientes_Proveedores[Ruc / Dni]),2,0),"")</f>
        <v>20558226979</v>
      </c>
      <c r="W1557" s="25" t="s">
        <v>1345</v>
      </c>
      <c r="X1557" s="25" t="s">
        <v>2918</v>
      </c>
      <c r="Y1557" s="25"/>
      <c r="Z1557" s="75"/>
      <c r="AA1557" s="3" t="str">
        <f>IF(BCP_Soles[[#This Row],[fecha]]&gt;0,TEXT(BCP_Soles[[#This Row],[fecha]],"mmmm"),0)</f>
        <v>Mayo</v>
      </c>
    </row>
    <row r="1558" spans="1:27" ht="24" x14ac:dyDescent="0.3">
      <c r="A1558" s="2">
        <f>IF(BCP_Soles[[#This Row],[tipo_registro]]="R",COUNTIFS($C$1:$C1557,"R")+1,A1557)</f>
        <v>1174</v>
      </c>
      <c r="B1558" s="19" t="str">
        <f t="shared" si="131"/>
        <v>B-BCP - Soles</v>
      </c>
      <c r="C1558" s="3" t="s">
        <v>1352</v>
      </c>
      <c r="D1558" s="14">
        <v>45783</v>
      </c>
      <c r="E1558" s="5" t="s">
        <v>536</v>
      </c>
      <c r="F1558" s="5" t="s">
        <v>1303</v>
      </c>
      <c r="G1558" s="6" t="s">
        <v>425</v>
      </c>
      <c r="H1558" s="6" t="s">
        <v>119</v>
      </c>
      <c r="I1558" s="6">
        <v>1</v>
      </c>
      <c r="J1558" s="6">
        <v>4365</v>
      </c>
      <c r="K1558" s="7" t="s">
        <v>1356</v>
      </c>
      <c r="L1558" s="8">
        <v>1856251</v>
      </c>
      <c r="M1558" s="8" t="str">
        <f t="shared" si="132"/>
        <v>PEN</v>
      </c>
      <c r="N1558" s="13">
        <v>1032</v>
      </c>
      <c r="O1558" s="13"/>
      <c r="P1558" s="3">
        <f t="shared" si="133"/>
        <v>0</v>
      </c>
      <c r="Q1558" s="3">
        <f t="shared" si="134"/>
        <v>0</v>
      </c>
      <c r="R1558" s="3">
        <f t="shared" si="130"/>
        <v>46956.510000000038</v>
      </c>
      <c r="S1558" s="24" t="s">
        <v>1334</v>
      </c>
      <c r="T1558" s="24" t="s">
        <v>1334</v>
      </c>
      <c r="U1558" s="53"/>
      <c r="V1558" s="25">
        <f>IFERROR(VLOOKUP(BCP_Soles[[#This Row],[destinatario]],CHOOSE({1,2},Clientes_Proveedores[Razon Social],Clientes_Proveedores[Ruc / Dni]),2,0),"")</f>
        <v>20558226979</v>
      </c>
      <c r="W1558" s="25" t="s">
        <v>1345</v>
      </c>
      <c r="X1558" s="25" t="s">
        <v>2919</v>
      </c>
      <c r="Y1558" s="25"/>
      <c r="Z1558" s="75"/>
      <c r="AA1558" s="3" t="str">
        <f>IF(BCP_Soles[[#This Row],[fecha]]&gt;0,TEXT(BCP_Soles[[#This Row],[fecha]],"mmmm"),0)</f>
        <v>Mayo</v>
      </c>
    </row>
    <row r="1559" spans="1:27" ht="24" x14ac:dyDescent="0.3">
      <c r="A1559" s="2">
        <f>IF(BCP_Soles[[#This Row],[tipo_registro]]="R",COUNTIFS($C$1:$C1558,"R")+1,A1558)</f>
        <v>1175</v>
      </c>
      <c r="B1559" s="19" t="str">
        <f t="shared" si="131"/>
        <v>B-BCP - Soles</v>
      </c>
      <c r="C1559" s="3" t="s">
        <v>1330</v>
      </c>
      <c r="D1559" s="14">
        <v>45783</v>
      </c>
      <c r="E1559" s="5" t="s">
        <v>1338</v>
      </c>
      <c r="F1559" s="5" t="s">
        <v>1336</v>
      </c>
      <c r="G1559" s="6" t="s">
        <v>1069</v>
      </c>
      <c r="H1559" s="6" t="s">
        <v>143</v>
      </c>
      <c r="I1559" s="6">
        <v>1</v>
      </c>
      <c r="J1559" s="6">
        <v>332025</v>
      </c>
      <c r="K1559" s="7" t="s">
        <v>2909</v>
      </c>
      <c r="L1559" s="8">
        <v>1094669</v>
      </c>
      <c r="M1559" s="8" t="str">
        <f t="shared" si="132"/>
        <v>PEN</v>
      </c>
      <c r="N1559" s="13"/>
      <c r="O1559" s="13">
        <v>100</v>
      </c>
      <c r="P1559" s="3">
        <f t="shared" si="133"/>
        <v>0</v>
      </c>
      <c r="Q1559" s="3">
        <f t="shared" si="134"/>
        <v>100</v>
      </c>
      <c r="R1559" s="3">
        <f t="shared" si="130"/>
        <v>46856.510000000038</v>
      </c>
      <c r="S1559" s="24" t="s">
        <v>1334</v>
      </c>
      <c r="T1559" s="24" t="s">
        <v>1334</v>
      </c>
      <c r="U1559" s="53"/>
      <c r="V1559" s="25">
        <f>IFERROR(VLOOKUP(BCP_Soles[[#This Row],[destinatario]],CHOOSE({1,2},Clientes_Proveedores[Razon Social],Clientes_Proveedores[Ruc / Dni]),2,0),"")</f>
        <v>72378581</v>
      </c>
      <c r="W1559" s="25" t="s">
        <v>2910</v>
      </c>
      <c r="X1559" s="25" t="s">
        <v>2911</v>
      </c>
      <c r="Y1559" s="25"/>
      <c r="Z1559" s="75"/>
      <c r="AA1559" s="3" t="str">
        <f>IF(BCP_Soles[[#This Row],[fecha]]&gt;0,TEXT(BCP_Soles[[#This Row],[fecha]],"mmmm"),0)</f>
        <v>Mayo</v>
      </c>
    </row>
    <row r="1560" spans="1:27" ht="24" x14ac:dyDescent="0.3">
      <c r="A1560" s="2">
        <f>IF(BCP_Soles[[#This Row],[tipo_registro]]="R",COUNTIFS($C$1:$C1559,"R")+1,A1559)</f>
        <v>1176</v>
      </c>
      <c r="B1560" s="19" t="str">
        <f t="shared" si="131"/>
        <v>B-BCP - Soles</v>
      </c>
      <c r="C1560" s="3" t="s">
        <v>1330</v>
      </c>
      <c r="D1560" s="14">
        <v>45783</v>
      </c>
      <c r="E1560" s="5" t="s">
        <v>1338</v>
      </c>
      <c r="F1560" s="5" t="s">
        <v>1336</v>
      </c>
      <c r="G1560" s="6" t="s">
        <v>768</v>
      </c>
      <c r="H1560" s="6" t="s">
        <v>72</v>
      </c>
      <c r="I1560" s="6" t="s">
        <v>1376</v>
      </c>
      <c r="J1560" s="6">
        <v>26</v>
      </c>
      <c r="K1560" s="7" t="s">
        <v>2920</v>
      </c>
      <c r="L1560" s="8">
        <v>1095176</v>
      </c>
      <c r="M1560" s="8" t="str">
        <f t="shared" si="132"/>
        <v>PEN</v>
      </c>
      <c r="N1560" s="13"/>
      <c r="O1560" s="13">
        <v>200</v>
      </c>
      <c r="P1560" s="3">
        <f t="shared" si="133"/>
        <v>0</v>
      </c>
      <c r="Q1560" s="3">
        <f t="shared" si="134"/>
        <v>200</v>
      </c>
      <c r="R1560" s="3">
        <f t="shared" si="130"/>
        <v>46656.510000000038</v>
      </c>
      <c r="S1560" s="24" t="s">
        <v>1334</v>
      </c>
      <c r="T1560" s="24" t="s">
        <v>1334</v>
      </c>
      <c r="U1560" s="53"/>
      <c r="V1560" s="25">
        <f>IFERROR(VLOOKUP(BCP_Soles[[#This Row],[destinatario]],CHOOSE({1,2},Clientes_Proveedores[Razon Social],Clientes_Proveedores[Ruc / Dni]),2,0),"")</f>
        <v>10461331977</v>
      </c>
      <c r="W1560" s="25" t="s">
        <v>768</v>
      </c>
      <c r="X1560" s="25" t="s">
        <v>2921</v>
      </c>
      <c r="Y1560" s="25"/>
      <c r="Z1560" s="75"/>
      <c r="AA1560" s="3" t="str">
        <f>IF(BCP_Soles[[#This Row],[fecha]]&gt;0,TEXT(BCP_Soles[[#This Row],[fecha]],"mmmm"),0)</f>
        <v>Mayo</v>
      </c>
    </row>
    <row r="1561" spans="1:27" ht="24" x14ac:dyDescent="0.3">
      <c r="A1561" s="2">
        <f>IF(BCP_Soles[[#This Row],[tipo_registro]]="R",COUNTIFS($C$1:$C1560,"R")+1,A1560)</f>
        <v>1177</v>
      </c>
      <c r="B1561" s="19" t="str">
        <f t="shared" si="131"/>
        <v>B-BCP - Soles</v>
      </c>
      <c r="C1561" s="3" t="s">
        <v>1330</v>
      </c>
      <c r="D1561" s="14">
        <v>45783</v>
      </c>
      <c r="E1561" s="5" t="s">
        <v>1338</v>
      </c>
      <c r="F1561" s="5" t="s">
        <v>1336</v>
      </c>
      <c r="G1561" s="6" t="s">
        <v>710</v>
      </c>
      <c r="H1561" s="6" t="s">
        <v>106</v>
      </c>
      <c r="I1561" s="20"/>
      <c r="J1561" s="6"/>
      <c r="K1561" s="7" t="s">
        <v>1477</v>
      </c>
      <c r="L1561" s="8">
        <v>92212</v>
      </c>
      <c r="M1561" s="8" t="str">
        <f t="shared" si="132"/>
        <v>PEN</v>
      </c>
      <c r="N1561" s="13"/>
      <c r="O1561" s="13">
        <v>604.9</v>
      </c>
      <c r="P1561" s="3">
        <f t="shared" si="133"/>
        <v>0</v>
      </c>
      <c r="Q1561" s="3">
        <f t="shared" si="134"/>
        <v>604.9</v>
      </c>
      <c r="R1561" s="3">
        <f t="shared" si="130"/>
        <v>46051.610000000037</v>
      </c>
      <c r="S1561" s="24" t="s">
        <v>1334</v>
      </c>
      <c r="T1561" s="24" t="s">
        <v>1334</v>
      </c>
      <c r="U1561" s="53"/>
      <c r="V1561" s="25">
        <f>IFERROR(VLOOKUP(BCP_Soles[[#This Row],[destinatario]],CHOOSE({1,2},Clientes_Proveedores[Razon Social],Clientes_Proveedores[Ruc / Dni]),2,0),"")</f>
        <v>20100211034</v>
      </c>
      <c r="W1561" s="25" t="s">
        <v>1478</v>
      </c>
      <c r="X1561" s="25" t="s">
        <v>2922</v>
      </c>
      <c r="Y1561" s="25"/>
      <c r="Z1561" s="75"/>
      <c r="AA1561" s="3" t="str">
        <f>IF(BCP_Soles[[#This Row],[fecha]]&gt;0,TEXT(BCP_Soles[[#This Row],[fecha]],"mmmm"),0)</f>
        <v>Mayo</v>
      </c>
    </row>
    <row r="1562" spans="1:27" ht="24" x14ac:dyDescent="0.3">
      <c r="A1562" s="2">
        <f>IF(BCP_Soles[[#This Row],[tipo_registro]]="R",COUNTIFS($C$1:$C1561,"R")+1,A1561)</f>
        <v>1177</v>
      </c>
      <c r="B1562" s="19" t="str">
        <f t="shared" si="131"/>
        <v>B-BCP - Soles</v>
      </c>
      <c r="C1562" s="3" t="s">
        <v>1352</v>
      </c>
      <c r="D1562" s="14">
        <v>45783</v>
      </c>
      <c r="E1562" s="5" t="s">
        <v>1338</v>
      </c>
      <c r="F1562" s="5"/>
      <c r="G1562" s="6" t="s">
        <v>710</v>
      </c>
      <c r="H1562" s="6" t="s">
        <v>106</v>
      </c>
      <c r="I1562" s="20">
        <v>1</v>
      </c>
      <c r="J1562" s="6">
        <v>58775686</v>
      </c>
      <c r="K1562" s="7" t="s">
        <v>1477</v>
      </c>
      <c r="L1562" s="8">
        <v>92212</v>
      </c>
      <c r="M1562" s="8" t="str">
        <f t="shared" si="132"/>
        <v>PEN</v>
      </c>
      <c r="N1562" s="13">
        <v>323.2</v>
      </c>
      <c r="O1562" s="13"/>
      <c r="P1562" s="3">
        <f t="shared" si="133"/>
        <v>0</v>
      </c>
      <c r="Q1562" s="3">
        <f t="shared" si="134"/>
        <v>0</v>
      </c>
      <c r="R1562" s="3">
        <f t="shared" si="130"/>
        <v>46051.610000000037</v>
      </c>
      <c r="S1562" s="24"/>
      <c r="T1562" s="24" t="s">
        <v>1334</v>
      </c>
      <c r="U1562" s="53"/>
      <c r="V1562" s="25">
        <f>IFERROR(VLOOKUP(BCP_Soles[[#This Row],[destinatario]],CHOOSE({1,2},Clientes_Proveedores[Razon Social],Clientes_Proveedores[Ruc / Dni]),2,0),"")</f>
        <v>20100211034</v>
      </c>
      <c r="W1562" s="25"/>
      <c r="X1562" s="25"/>
      <c r="Y1562" s="25"/>
      <c r="Z1562" s="75"/>
      <c r="AA1562" s="3" t="str">
        <f>IF(BCP_Soles[[#This Row],[fecha]]&gt;0,TEXT(BCP_Soles[[#This Row],[fecha]],"mmmm"),0)</f>
        <v>Mayo</v>
      </c>
    </row>
    <row r="1563" spans="1:27" ht="24" x14ac:dyDescent="0.3">
      <c r="A1563" s="2">
        <f>IF(BCP_Soles[[#This Row],[tipo_registro]]="R",COUNTIFS($C$1:$C1562,"R")+1,A1562)</f>
        <v>1177</v>
      </c>
      <c r="B1563" s="19" t="str">
        <f t="shared" si="131"/>
        <v>B-BCP - Soles</v>
      </c>
      <c r="C1563" s="3" t="s">
        <v>1352</v>
      </c>
      <c r="D1563" s="14">
        <v>45783</v>
      </c>
      <c r="E1563" s="5" t="s">
        <v>1338</v>
      </c>
      <c r="F1563" s="5"/>
      <c r="G1563" s="6" t="s">
        <v>710</v>
      </c>
      <c r="H1563" s="6" t="s">
        <v>106</v>
      </c>
      <c r="I1563" s="20">
        <v>1</v>
      </c>
      <c r="J1563" s="6">
        <v>59049417</v>
      </c>
      <c r="K1563" s="7" t="s">
        <v>1477</v>
      </c>
      <c r="L1563" s="8">
        <v>92212</v>
      </c>
      <c r="M1563" s="8" t="str">
        <f t="shared" si="132"/>
        <v>PEN</v>
      </c>
      <c r="N1563" s="13">
        <v>281.7</v>
      </c>
      <c r="O1563" s="13"/>
      <c r="P1563" s="3">
        <f t="shared" si="133"/>
        <v>0</v>
      </c>
      <c r="Q1563" s="3">
        <f t="shared" si="134"/>
        <v>0</v>
      </c>
      <c r="R1563" s="3">
        <f t="shared" si="130"/>
        <v>46051.610000000037</v>
      </c>
      <c r="S1563" s="24"/>
      <c r="T1563" s="24" t="s">
        <v>1334</v>
      </c>
      <c r="U1563" s="53"/>
      <c r="V1563" s="25">
        <f>IFERROR(VLOOKUP(BCP_Soles[[#This Row],[destinatario]],CHOOSE({1,2},Clientes_Proveedores[Razon Social],Clientes_Proveedores[Ruc / Dni]),2,0),"")</f>
        <v>20100211034</v>
      </c>
      <c r="W1563" s="25"/>
      <c r="X1563" s="25"/>
      <c r="Y1563" s="25"/>
      <c r="Z1563" s="75"/>
      <c r="AA1563" s="3" t="str">
        <f>IF(BCP_Soles[[#This Row],[fecha]]&gt;0,TEXT(BCP_Soles[[#This Row],[fecha]],"mmmm"),0)</f>
        <v>Mayo</v>
      </c>
    </row>
    <row r="1564" spans="1:27" ht="36" x14ac:dyDescent="0.3">
      <c r="A1564" s="2">
        <f>IF(BCP_Soles[[#This Row],[tipo_registro]]="R",COUNTIFS($C$1:$C1563,"R")+1,A1563)</f>
        <v>1178</v>
      </c>
      <c r="B1564" s="19" t="str">
        <f t="shared" si="131"/>
        <v>B-BCP - Soles</v>
      </c>
      <c r="C1564" s="3" t="s">
        <v>1330</v>
      </c>
      <c r="D1564" s="14">
        <v>45783</v>
      </c>
      <c r="E1564" s="5" t="s">
        <v>1338</v>
      </c>
      <c r="F1564" s="5" t="s">
        <v>1336</v>
      </c>
      <c r="G1564" s="6" t="s">
        <v>733</v>
      </c>
      <c r="H1564" s="6" t="s">
        <v>68</v>
      </c>
      <c r="I1564" s="6" t="s">
        <v>1374</v>
      </c>
      <c r="J1564" s="6">
        <v>2457</v>
      </c>
      <c r="K1564" s="7" t="s">
        <v>2923</v>
      </c>
      <c r="L1564" s="8">
        <v>1092706</v>
      </c>
      <c r="M1564" s="8" t="str">
        <f t="shared" si="132"/>
        <v>PEN</v>
      </c>
      <c r="N1564" s="13"/>
      <c r="O1564" s="13">
        <v>672.6</v>
      </c>
      <c r="P1564" s="3">
        <f t="shared" si="133"/>
        <v>0</v>
      </c>
      <c r="Q1564" s="3">
        <f t="shared" si="134"/>
        <v>672.6</v>
      </c>
      <c r="R1564" s="3">
        <f t="shared" si="130"/>
        <v>45379.010000000038</v>
      </c>
      <c r="S1564" s="24" t="s">
        <v>1334</v>
      </c>
      <c r="T1564" s="24" t="s">
        <v>1334</v>
      </c>
      <c r="U1564" s="53"/>
      <c r="V1564" s="25">
        <f>IFERROR(VLOOKUP(BCP_Soles[[#This Row],[destinatario]],CHOOSE({1,2},Clientes_Proveedores[Razon Social],Clientes_Proveedores[Ruc / Dni]),2,0),"")</f>
        <v>20600781708</v>
      </c>
      <c r="W1564" s="25" t="s">
        <v>2924</v>
      </c>
      <c r="X1564" s="25" t="s">
        <v>2925</v>
      </c>
      <c r="Y1564" s="25"/>
      <c r="Z1564" s="75"/>
      <c r="AA1564" s="3" t="str">
        <f>IF(BCP_Soles[[#This Row],[fecha]]&gt;0,TEXT(BCP_Soles[[#This Row],[fecha]],"mmmm"),0)</f>
        <v>Mayo</v>
      </c>
    </row>
    <row r="1565" spans="1:27" x14ac:dyDescent="0.3">
      <c r="A1565" s="2">
        <f>IF(BCP_Soles[[#This Row],[tipo_registro]]="R",COUNTIFS($C$1:$C1564,"R")+1,A1564)</f>
        <v>1179</v>
      </c>
      <c r="B1565" s="19" t="str">
        <f t="shared" si="131"/>
        <v>B-BCP - Soles</v>
      </c>
      <c r="C1565" s="3" t="s">
        <v>1330</v>
      </c>
      <c r="D1565" s="14">
        <v>45783</v>
      </c>
      <c r="E1565" s="5" t="s">
        <v>1338</v>
      </c>
      <c r="F1565" s="5" t="s">
        <v>1336</v>
      </c>
      <c r="G1565" s="6"/>
      <c r="H1565" s="6"/>
      <c r="I1565" s="6"/>
      <c r="J1565" s="6"/>
      <c r="K1565" s="7" t="s">
        <v>2926</v>
      </c>
      <c r="L1565" s="8">
        <v>1008556</v>
      </c>
      <c r="M1565" s="8" t="str">
        <f t="shared" si="132"/>
        <v>PEN</v>
      </c>
      <c r="N1565" s="13"/>
      <c r="O1565" s="13">
        <v>1796</v>
      </c>
      <c r="P1565" s="3">
        <f t="shared" si="133"/>
        <v>0</v>
      </c>
      <c r="Q1565" s="3">
        <f t="shared" si="134"/>
        <v>1796</v>
      </c>
      <c r="R1565" s="3">
        <f t="shared" si="130"/>
        <v>43583.010000000038</v>
      </c>
      <c r="S1565" s="24"/>
      <c r="T1565" s="24"/>
      <c r="U1565" s="53"/>
      <c r="V1565" s="25" t="str">
        <f>IFERROR(VLOOKUP(BCP_Soles[[#This Row],[destinatario]],CHOOSE({1,2},Clientes_Proveedores[Razon Social],Clientes_Proveedores[Ruc / Dni]),2,0),"")</f>
        <v/>
      </c>
      <c r="W1565" s="25" t="s">
        <v>2666</v>
      </c>
      <c r="X1565" s="25"/>
      <c r="Y1565" s="25"/>
      <c r="Z1565" s="75"/>
      <c r="AA1565" s="3" t="str">
        <f>IF(BCP_Soles[[#This Row],[fecha]]&gt;0,TEXT(BCP_Soles[[#This Row],[fecha]],"mmmm"),0)</f>
        <v>Mayo</v>
      </c>
    </row>
    <row r="1566" spans="1:27" ht="24" x14ac:dyDescent="0.3">
      <c r="A1566" s="2">
        <f>IF(BCP_Soles[[#This Row],[tipo_registro]]="R",COUNTIFS($C$1:$C1565,"R")+1,A1565)</f>
        <v>1180</v>
      </c>
      <c r="B1566" s="19" t="str">
        <f t="shared" si="131"/>
        <v>B-BCP - Soles</v>
      </c>
      <c r="C1566" s="3" t="s">
        <v>1330</v>
      </c>
      <c r="D1566" s="14">
        <v>45783</v>
      </c>
      <c r="E1566" s="5" t="s">
        <v>1338</v>
      </c>
      <c r="F1566" s="5" t="s">
        <v>1336</v>
      </c>
      <c r="G1566" s="6" t="s">
        <v>249</v>
      </c>
      <c r="H1566" s="6"/>
      <c r="I1566" s="6"/>
      <c r="J1566" s="6"/>
      <c r="K1566" s="7" t="s">
        <v>2927</v>
      </c>
      <c r="L1566" s="8">
        <v>1092705</v>
      </c>
      <c r="M1566" s="8" t="str">
        <f t="shared" si="132"/>
        <v>PEN</v>
      </c>
      <c r="N1566" s="13"/>
      <c r="O1566" s="13">
        <v>3438.05</v>
      </c>
      <c r="P1566" s="3">
        <f t="shared" si="133"/>
        <v>0</v>
      </c>
      <c r="Q1566" s="3">
        <f t="shared" si="134"/>
        <v>3438.05</v>
      </c>
      <c r="R1566" s="3">
        <f t="shared" si="130"/>
        <v>40144.960000000036</v>
      </c>
      <c r="S1566" s="24"/>
      <c r="T1566" s="24"/>
      <c r="U1566" s="53"/>
      <c r="V1566" s="25">
        <f>IFERROR(VLOOKUP(BCP_Soles[[#This Row],[destinatario]],CHOOSE({1,2},Clientes_Proveedores[Razon Social],Clientes_Proveedores[Ruc / Dni]),2,0),"")</f>
        <v>20302891452</v>
      </c>
      <c r="W1566" s="25" t="s">
        <v>249</v>
      </c>
      <c r="X1566" s="25"/>
      <c r="Y1566" s="25"/>
      <c r="Z1566" s="75"/>
      <c r="AA1566" s="3" t="str">
        <f>IF(BCP_Soles[[#This Row],[fecha]]&gt;0,TEXT(BCP_Soles[[#This Row],[fecha]],"mmmm"),0)</f>
        <v>Mayo</v>
      </c>
    </row>
    <row r="1567" spans="1:27" ht="24" x14ac:dyDescent="0.3">
      <c r="A1567" s="2">
        <f>IF(BCP_Soles[[#This Row],[tipo_registro]]="R",COUNTIFS($C$1:$C1566,"R")+1,A1566)</f>
        <v>1181</v>
      </c>
      <c r="B1567" s="19" t="str">
        <f t="shared" si="131"/>
        <v>B-BCP - Soles</v>
      </c>
      <c r="C1567" s="3" t="s">
        <v>1330</v>
      </c>
      <c r="D1567" s="14">
        <v>45783</v>
      </c>
      <c r="E1567" s="5" t="s">
        <v>1511</v>
      </c>
      <c r="F1567" s="5" t="s">
        <v>1336</v>
      </c>
      <c r="G1567" s="6" t="s">
        <v>806</v>
      </c>
      <c r="H1567" s="6"/>
      <c r="I1567" s="6"/>
      <c r="J1567" s="6"/>
      <c r="K1567" s="7" t="s">
        <v>2928</v>
      </c>
      <c r="L1567" s="8">
        <v>1094670</v>
      </c>
      <c r="M1567" s="8" t="str">
        <f t="shared" si="132"/>
        <v>PEN</v>
      </c>
      <c r="N1567" s="13"/>
      <c r="O1567" s="13">
        <v>8000</v>
      </c>
      <c r="P1567" s="3">
        <f t="shared" si="133"/>
        <v>0</v>
      </c>
      <c r="Q1567" s="3">
        <f t="shared" si="134"/>
        <v>8000</v>
      </c>
      <c r="R1567" s="3">
        <f t="shared" si="130"/>
        <v>32144.960000000036</v>
      </c>
      <c r="S1567" s="24"/>
      <c r="T1567" s="24"/>
      <c r="U1567" s="53"/>
      <c r="V1567" s="25">
        <f>IFERROR(VLOOKUP(BCP_Soles[[#This Row],[destinatario]],CHOOSE({1,2},Clientes_Proveedores[Razon Social],Clientes_Proveedores[Ruc / Dni]),2,0),"")</f>
        <v>44162989</v>
      </c>
      <c r="W1567" s="25" t="s">
        <v>2660</v>
      </c>
      <c r="X1567" s="25"/>
      <c r="Y1567" s="25"/>
      <c r="Z1567" s="75"/>
      <c r="AA1567" s="3" t="str">
        <f>IF(BCP_Soles[[#This Row],[fecha]]&gt;0,TEXT(BCP_Soles[[#This Row],[fecha]],"mmmm"),0)</f>
        <v>Mayo</v>
      </c>
    </row>
    <row r="1568" spans="1:27" ht="60" x14ac:dyDescent="0.3">
      <c r="A1568" s="2">
        <f>IF(BCP_Soles[[#This Row],[tipo_registro]]="R",COUNTIFS($C$1:$C1567,"R")+1,A1567)</f>
        <v>1182</v>
      </c>
      <c r="B1568" s="19" t="str">
        <f t="shared" si="131"/>
        <v>B-BCP - Soles</v>
      </c>
      <c r="C1568" s="3" t="s">
        <v>1330</v>
      </c>
      <c r="D1568" s="14">
        <v>45783</v>
      </c>
      <c r="E1568" s="5" t="s">
        <v>295</v>
      </c>
      <c r="F1568" s="5" t="s">
        <v>1303</v>
      </c>
      <c r="G1568" s="6" t="s">
        <v>425</v>
      </c>
      <c r="H1568" s="6"/>
      <c r="I1568" s="6"/>
      <c r="J1568" s="6"/>
      <c r="K1568" s="7" t="s">
        <v>1428</v>
      </c>
      <c r="L1568" s="8">
        <v>2252227</v>
      </c>
      <c r="M1568" s="8" t="str">
        <f t="shared" si="132"/>
        <v>PEN</v>
      </c>
      <c r="N1568" s="13"/>
      <c r="O1568" s="13">
        <v>1759.84</v>
      </c>
      <c r="P1568" s="3">
        <f t="shared" si="133"/>
        <v>1759.84</v>
      </c>
      <c r="Q1568" s="3">
        <f t="shared" si="134"/>
        <v>0</v>
      </c>
      <c r="R1568" s="3">
        <f t="shared" si="130"/>
        <v>33904.800000000032</v>
      </c>
      <c r="S1568" s="24" t="s">
        <v>1334</v>
      </c>
      <c r="T1568" s="24" t="s">
        <v>1334</v>
      </c>
      <c r="U1568" s="53"/>
      <c r="V1568" s="25">
        <f>IFERROR(VLOOKUP(BCP_Soles[[#This Row],[destinatario]],CHOOSE({1,2},Clientes_Proveedores[Razon Social],Clientes_Proveedores[Ruc / Dni]),2,0),"")</f>
        <v>20558226979</v>
      </c>
      <c r="W1568" s="25" t="s">
        <v>1345</v>
      </c>
      <c r="X1568" s="25" t="s">
        <v>2929</v>
      </c>
      <c r="Y1568" s="25"/>
      <c r="Z1568" s="75"/>
      <c r="AA1568" s="3" t="str">
        <f>IF(BCP_Soles[[#This Row],[fecha]]&gt;0,TEXT(BCP_Soles[[#This Row],[fecha]],"mmmm"),0)</f>
        <v>Mayo</v>
      </c>
    </row>
    <row r="1569" spans="1:27" ht="60" x14ac:dyDescent="0.3">
      <c r="A1569" s="2">
        <f>IF(BCP_Soles[[#This Row],[tipo_registro]]="R",COUNTIFS($C$1:$C1568,"R")+1,A1568)</f>
        <v>1183</v>
      </c>
      <c r="B1569" s="19" t="str">
        <f t="shared" si="131"/>
        <v>B-BCP - Soles</v>
      </c>
      <c r="C1569" s="3" t="s">
        <v>1330</v>
      </c>
      <c r="D1569" s="14">
        <v>45783</v>
      </c>
      <c r="E1569" s="5" t="s">
        <v>295</v>
      </c>
      <c r="F1569" s="5" t="s">
        <v>1303</v>
      </c>
      <c r="G1569" s="6" t="s">
        <v>425</v>
      </c>
      <c r="H1569" s="6"/>
      <c r="I1569" s="6"/>
      <c r="J1569" s="6"/>
      <c r="K1569" s="7" t="s">
        <v>1428</v>
      </c>
      <c r="L1569" s="8">
        <v>2217040</v>
      </c>
      <c r="M1569" s="8" t="str">
        <f t="shared" si="132"/>
        <v>PEN</v>
      </c>
      <c r="N1569" s="13"/>
      <c r="O1569" s="13">
        <v>825.97</v>
      </c>
      <c r="P1569" s="3">
        <f t="shared" si="133"/>
        <v>825.97</v>
      </c>
      <c r="Q1569" s="3">
        <f t="shared" si="134"/>
        <v>0</v>
      </c>
      <c r="R1569" s="3">
        <f t="shared" si="130"/>
        <v>34730.770000000033</v>
      </c>
      <c r="S1569" s="24" t="s">
        <v>1334</v>
      </c>
      <c r="T1569" s="24" t="s">
        <v>1334</v>
      </c>
      <c r="U1569" s="53"/>
      <c r="V1569" s="25">
        <f>IFERROR(VLOOKUP(BCP_Soles[[#This Row],[destinatario]],CHOOSE({1,2},Clientes_Proveedores[Razon Social],Clientes_Proveedores[Ruc / Dni]),2,0),"")</f>
        <v>20558226979</v>
      </c>
      <c r="W1569" s="25" t="s">
        <v>1345</v>
      </c>
      <c r="X1569" s="25" t="s">
        <v>2930</v>
      </c>
      <c r="Y1569" s="25"/>
      <c r="Z1569" s="75"/>
      <c r="AA1569" s="3" t="str">
        <f>IF(BCP_Soles[[#This Row],[fecha]]&gt;0,TEXT(BCP_Soles[[#This Row],[fecha]],"mmmm"),0)</f>
        <v>Mayo</v>
      </c>
    </row>
    <row r="1570" spans="1:27" ht="36" x14ac:dyDescent="0.3">
      <c r="A1570" s="2">
        <f>IF(BCP_Soles[[#This Row],[tipo_registro]]="R",COUNTIFS($C$1:$C1569,"R")+1,A1569)</f>
        <v>1184</v>
      </c>
      <c r="B1570" s="19" t="str">
        <f t="shared" si="131"/>
        <v>B-BCP - Soles</v>
      </c>
      <c r="C1570" s="3" t="s">
        <v>1330</v>
      </c>
      <c r="D1570" s="14">
        <v>45783</v>
      </c>
      <c r="E1570" s="5" t="s">
        <v>255</v>
      </c>
      <c r="F1570" s="5" t="s">
        <v>1303</v>
      </c>
      <c r="G1570" s="6" t="s">
        <v>425</v>
      </c>
      <c r="H1570" s="6"/>
      <c r="I1570" s="6"/>
      <c r="J1570" s="6"/>
      <c r="K1570" s="7" t="s">
        <v>2931</v>
      </c>
      <c r="L1570" s="8">
        <v>2410365</v>
      </c>
      <c r="M1570" s="8" t="str">
        <f t="shared" si="132"/>
        <v>PEN</v>
      </c>
      <c r="N1570" s="13"/>
      <c r="O1570" s="13">
        <v>756.81</v>
      </c>
      <c r="P1570" s="3">
        <f t="shared" si="133"/>
        <v>756.81</v>
      </c>
      <c r="Q1570" s="3">
        <f t="shared" si="134"/>
        <v>0</v>
      </c>
      <c r="R1570" s="3">
        <f t="shared" si="130"/>
        <v>35487.580000000031</v>
      </c>
      <c r="S1570" s="24" t="s">
        <v>1334</v>
      </c>
      <c r="T1570" s="24" t="s">
        <v>1334</v>
      </c>
      <c r="U1570" s="53"/>
      <c r="V1570" s="25">
        <f>IFERROR(VLOOKUP(BCP_Soles[[#This Row],[destinatario]],CHOOSE({1,2},Clientes_Proveedores[Razon Social],Clientes_Proveedores[Ruc / Dni]),2,0),"")</f>
        <v>20558226979</v>
      </c>
      <c r="W1570" s="25" t="s">
        <v>1345</v>
      </c>
      <c r="X1570" s="25" t="s">
        <v>2932</v>
      </c>
      <c r="Y1570" s="25"/>
      <c r="Z1570" s="75"/>
      <c r="AA1570" s="3" t="str">
        <f>IF(BCP_Soles[[#This Row],[fecha]]&gt;0,TEXT(BCP_Soles[[#This Row],[fecha]],"mmmm"),0)</f>
        <v>Mayo</v>
      </c>
    </row>
    <row r="1571" spans="1:27" ht="60" x14ac:dyDescent="0.3">
      <c r="A1571" s="2">
        <f>IF(BCP_Soles[[#This Row],[tipo_registro]]="R",COUNTIFS($C$1:$C1570,"R")+1,A1570)</f>
        <v>1185</v>
      </c>
      <c r="B1571" s="19" t="str">
        <f t="shared" si="131"/>
        <v>B-BCP - Soles</v>
      </c>
      <c r="C1571" s="3" t="s">
        <v>1330</v>
      </c>
      <c r="D1571" s="14">
        <v>45783</v>
      </c>
      <c r="E1571" s="5" t="s">
        <v>295</v>
      </c>
      <c r="F1571" s="5" t="s">
        <v>1303</v>
      </c>
      <c r="G1571" s="6" t="s">
        <v>425</v>
      </c>
      <c r="H1571" s="6"/>
      <c r="I1571" s="6"/>
      <c r="J1571" s="6"/>
      <c r="K1571" s="7" t="s">
        <v>1428</v>
      </c>
      <c r="L1571" s="8">
        <v>2250272</v>
      </c>
      <c r="M1571" s="8" t="str">
        <f t="shared" si="132"/>
        <v>PEN</v>
      </c>
      <c r="N1571" s="13"/>
      <c r="O1571" s="13">
        <v>505.51</v>
      </c>
      <c r="P1571" s="3">
        <f t="shared" si="133"/>
        <v>505.51</v>
      </c>
      <c r="Q1571" s="3">
        <f t="shared" si="134"/>
        <v>0</v>
      </c>
      <c r="R1571" s="3">
        <f t="shared" si="130"/>
        <v>35993.090000000033</v>
      </c>
      <c r="S1571" s="24" t="s">
        <v>1334</v>
      </c>
      <c r="T1571" s="24" t="s">
        <v>1334</v>
      </c>
      <c r="U1571" s="53"/>
      <c r="V1571" s="25">
        <f>IFERROR(VLOOKUP(BCP_Soles[[#This Row],[destinatario]],CHOOSE({1,2},Clientes_Proveedores[Razon Social],Clientes_Proveedores[Ruc / Dni]),2,0),"")</f>
        <v>20558226979</v>
      </c>
      <c r="W1571" s="25" t="s">
        <v>1345</v>
      </c>
      <c r="X1571" s="25" t="s">
        <v>2933</v>
      </c>
      <c r="Y1571" s="25"/>
      <c r="Z1571" s="75"/>
      <c r="AA1571" s="3" t="str">
        <f>IF(BCP_Soles[[#This Row],[fecha]]&gt;0,TEXT(BCP_Soles[[#This Row],[fecha]],"mmmm"),0)</f>
        <v>Mayo</v>
      </c>
    </row>
    <row r="1572" spans="1:27" ht="60" x14ac:dyDescent="0.3">
      <c r="A1572" s="2">
        <f>IF(BCP_Soles[[#This Row],[tipo_registro]]="R",COUNTIFS($C$1:$C1571,"R")+1,A1571)</f>
        <v>1186</v>
      </c>
      <c r="B1572" s="19" t="str">
        <f t="shared" si="131"/>
        <v>B-BCP - Soles</v>
      </c>
      <c r="C1572" s="3" t="s">
        <v>1330</v>
      </c>
      <c r="D1572" s="14">
        <v>45783</v>
      </c>
      <c r="E1572" s="5" t="s">
        <v>295</v>
      </c>
      <c r="F1572" s="5" t="s">
        <v>1303</v>
      </c>
      <c r="G1572" s="6" t="s">
        <v>425</v>
      </c>
      <c r="H1572" s="6"/>
      <c r="I1572" s="6"/>
      <c r="J1572" s="6"/>
      <c r="K1572" s="7" t="s">
        <v>1428</v>
      </c>
      <c r="L1572" s="8">
        <v>2255756</v>
      </c>
      <c r="M1572" s="8" t="str">
        <f t="shared" si="132"/>
        <v>PEN</v>
      </c>
      <c r="N1572" s="13"/>
      <c r="O1572" s="13">
        <v>487.48</v>
      </c>
      <c r="P1572" s="3">
        <f t="shared" si="133"/>
        <v>487.48</v>
      </c>
      <c r="Q1572" s="3">
        <f t="shared" si="134"/>
        <v>0</v>
      </c>
      <c r="R1572" s="3">
        <f t="shared" si="130"/>
        <v>36480.570000000036</v>
      </c>
      <c r="S1572" s="24" t="s">
        <v>1334</v>
      </c>
      <c r="T1572" s="24" t="s">
        <v>1334</v>
      </c>
      <c r="U1572" s="53"/>
      <c r="V1572" s="25">
        <f>IFERROR(VLOOKUP(BCP_Soles[[#This Row],[destinatario]],CHOOSE({1,2},Clientes_Proveedores[Razon Social],Clientes_Proveedores[Ruc / Dni]),2,0),"")</f>
        <v>20558226979</v>
      </c>
      <c r="W1572" s="25" t="s">
        <v>1345</v>
      </c>
      <c r="X1572" s="25" t="s">
        <v>2934</v>
      </c>
      <c r="Y1572" s="25"/>
      <c r="Z1572" s="75"/>
      <c r="AA1572" s="3" t="str">
        <f>IF(BCP_Soles[[#This Row],[fecha]]&gt;0,TEXT(BCP_Soles[[#This Row],[fecha]],"mmmm"),0)</f>
        <v>Mayo</v>
      </c>
    </row>
    <row r="1573" spans="1:27" ht="36" x14ac:dyDescent="0.3">
      <c r="A1573" s="2">
        <f>IF(BCP_Soles[[#This Row],[tipo_registro]]="R",COUNTIFS($C$1:$C1572,"R")+1,A1572)</f>
        <v>1187</v>
      </c>
      <c r="B1573" s="19" t="str">
        <f t="shared" si="131"/>
        <v>B-BCP - Soles</v>
      </c>
      <c r="C1573" s="3" t="s">
        <v>1330</v>
      </c>
      <c r="D1573" s="14">
        <v>45783</v>
      </c>
      <c r="E1573" s="5" t="s">
        <v>674</v>
      </c>
      <c r="F1573" s="5" t="s">
        <v>1303</v>
      </c>
      <c r="G1573" s="6" t="s">
        <v>425</v>
      </c>
      <c r="H1573" s="6"/>
      <c r="I1573" s="6"/>
      <c r="J1573" s="6"/>
      <c r="K1573" s="7" t="s">
        <v>1634</v>
      </c>
      <c r="L1573" s="8">
        <v>2899777</v>
      </c>
      <c r="M1573" s="8" t="str">
        <f t="shared" si="132"/>
        <v>PEN</v>
      </c>
      <c r="N1573" s="13"/>
      <c r="O1573" s="13">
        <v>450</v>
      </c>
      <c r="P1573" s="3">
        <f t="shared" si="133"/>
        <v>450</v>
      </c>
      <c r="Q1573" s="3">
        <f t="shared" si="134"/>
        <v>0</v>
      </c>
      <c r="R1573" s="3">
        <f t="shared" si="130"/>
        <v>36930.570000000036</v>
      </c>
      <c r="S1573" s="24" t="s">
        <v>1334</v>
      </c>
      <c r="T1573" s="24" t="s">
        <v>1334</v>
      </c>
      <c r="U1573" s="53"/>
      <c r="V1573" s="25">
        <f>IFERROR(VLOOKUP(BCP_Soles[[#This Row],[destinatario]],CHOOSE({1,2},Clientes_Proveedores[Razon Social],Clientes_Proveedores[Ruc / Dni]),2,0),"")</f>
        <v>20558226979</v>
      </c>
      <c r="W1573" s="25" t="s">
        <v>1345</v>
      </c>
      <c r="X1573" s="25" t="s">
        <v>2935</v>
      </c>
      <c r="Y1573" s="25"/>
      <c r="Z1573" s="75"/>
      <c r="AA1573" s="3" t="str">
        <f>IF(BCP_Soles[[#This Row],[fecha]]&gt;0,TEXT(BCP_Soles[[#This Row],[fecha]],"mmmm"),0)</f>
        <v>Mayo</v>
      </c>
    </row>
    <row r="1574" spans="1:27" ht="60" x14ac:dyDescent="0.3">
      <c r="A1574" s="2">
        <f>IF(BCP_Soles[[#This Row],[tipo_registro]]="R",COUNTIFS($C$1:$C1573,"R")+1,A1573)</f>
        <v>1188</v>
      </c>
      <c r="B1574" s="19" t="str">
        <f t="shared" si="131"/>
        <v>B-BCP - Soles</v>
      </c>
      <c r="C1574" s="3" t="s">
        <v>1330</v>
      </c>
      <c r="D1574" s="14">
        <v>45783</v>
      </c>
      <c r="E1574" s="5" t="s">
        <v>295</v>
      </c>
      <c r="F1574" s="5" t="s">
        <v>1303</v>
      </c>
      <c r="G1574" s="6" t="s">
        <v>425</v>
      </c>
      <c r="H1574" s="6"/>
      <c r="I1574" s="6"/>
      <c r="J1574" s="6"/>
      <c r="K1574" s="7" t="s">
        <v>1428</v>
      </c>
      <c r="L1574" s="8">
        <v>2248901</v>
      </c>
      <c r="M1574" s="8" t="str">
        <f t="shared" si="132"/>
        <v>PEN</v>
      </c>
      <c r="N1574" s="13"/>
      <c r="O1574" s="13">
        <v>338.25</v>
      </c>
      <c r="P1574" s="3">
        <f t="shared" si="133"/>
        <v>338.25</v>
      </c>
      <c r="Q1574" s="3">
        <f t="shared" si="134"/>
        <v>0</v>
      </c>
      <c r="R1574" s="3">
        <f t="shared" si="130"/>
        <v>37268.820000000036</v>
      </c>
      <c r="S1574" s="24" t="s">
        <v>1334</v>
      </c>
      <c r="T1574" s="24" t="s">
        <v>1334</v>
      </c>
      <c r="U1574" s="53"/>
      <c r="V1574" s="25">
        <f>IFERROR(VLOOKUP(BCP_Soles[[#This Row],[destinatario]],CHOOSE({1,2},Clientes_Proveedores[Razon Social],Clientes_Proveedores[Ruc / Dni]),2,0),"")</f>
        <v>20558226979</v>
      </c>
      <c r="W1574" s="25" t="s">
        <v>1345</v>
      </c>
      <c r="X1574" s="25" t="s">
        <v>2936</v>
      </c>
      <c r="Y1574" s="25"/>
      <c r="Z1574" s="75"/>
      <c r="AA1574" s="3" t="str">
        <f>IF(BCP_Soles[[#This Row],[fecha]]&gt;0,TEXT(BCP_Soles[[#This Row],[fecha]],"mmmm"),0)</f>
        <v>Mayo</v>
      </c>
    </row>
    <row r="1575" spans="1:27" ht="60" x14ac:dyDescent="0.3">
      <c r="A1575" s="2">
        <f>IF(BCP_Soles[[#This Row],[tipo_registro]]="R",COUNTIFS($C$1:$C1574,"R")+1,A1574)</f>
        <v>1189</v>
      </c>
      <c r="B1575" s="19" t="str">
        <f t="shared" si="131"/>
        <v>B-BCP - Soles</v>
      </c>
      <c r="C1575" s="3" t="s">
        <v>1330</v>
      </c>
      <c r="D1575" s="14">
        <v>45783</v>
      </c>
      <c r="E1575" s="5" t="s">
        <v>295</v>
      </c>
      <c r="F1575" s="5" t="s">
        <v>1303</v>
      </c>
      <c r="G1575" s="6" t="s">
        <v>425</v>
      </c>
      <c r="H1575" s="6"/>
      <c r="I1575" s="6"/>
      <c r="J1575" s="6"/>
      <c r="K1575" s="7" t="s">
        <v>1428</v>
      </c>
      <c r="L1575" s="8">
        <v>2253657</v>
      </c>
      <c r="M1575" s="8" t="str">
        <f t="shared" si="132"/>
        <v>PEN</v>
      </c>
      <c r="N1575" s="13"/>
      <c r="O1575" s="13">
        <v>337.48</v>
      </c>
      <c r="P1575" s="3">
        <f t="shared" si="133"/>
        <v>337.48</v>
      </c>
      <c r="Q1575" s="3">
        <f t="shared" si="134"/>
        <v>0</v>
      </c>
      <c r="R1575" s="3">
        <f t="shared" si="130"/>
        <v>37606.300000000039</v>
      </c>
      <c r="S1575" s="24" t="s">
        <v>1334</v>
      </c>
      <c r="T1575" s="24" t="s">
        <v>1334</v>
      </c>
      <c r="U1575" s="53"/>
      <c r="V1575" s="25">
        <f>IFERROR(VLOOKUP(BCP_Soles[[#This Row],[destinatario]],CHOOSE({1,2},Clientes_Proveedores[Razon Social],Clientes_Proveedores[Ruc / Dni]),2,0),"")</f>
        <v>20558226979</v>
      </c>
      <c r="W1575" s="25" t="s">
        <v>1345</v>
      </c>
      <c r="X1575" s="25" t="s">
        <v>2937</v>
      </c>
      <c r="Y1575" s="25"/>
      <c r="Z1575" s="75"/>
      <c r="AA1575" s="3" t="str">
        <f>IF(BCP_Soles[[#This Row],[fecha]]&gt;0,TEXT(BCP_Soles[[#This Row],[fecha]],"mmmm"),0)</f>
        <v>Mayo</v>
      </c>
    </row>
    <row r="1576" spans="1:27" ht="24" x14ac:dyDescent="0.3">
      <c r="A1576" s="2">
        <f>IF(BCP_Soles[[#This Row],[tipo_registro]]="R",COUNTIFS($C$1:$C1575,"R")+1,A1575)</f>
        <v>1190</v>
      </c>
      <c r="B1576" s="19" t="str">
        <f t="shared" si="131"/>
        <v>B-BCP - Soles</v>
      </c>
      <c r="C1576" s="3" t="s">
        <v>1330</v>
      </c>
      <c r="D1576" s="14">
        <v>45783</v>
      </c>
      <c r="E1576" s="5" t="s">
        <v>2938</v>
      </c>
      <c r="F1576" s="5" t="s">
        <v>1303</v>
      </c>
      <c r="G1576" s="6" t="s">
        <v>425</v>
      </c>
      <c r="H1576" s="6" t="s">
        <v>119</v>
      </c>
      <c r="I1576" s="6">
        <v>1</v>
      </c>
      <c r="J1576" s="6">
        <v>4393</v>
      </c>
      <c r="K1576" s="7" t="s">
        <v>1356</v>
      </c>
      <c r="L1576" s="8">
        <v>3825055</v>
      </c>
      <c r="M1576" s="8" t="str">
        <f t="shared" si="132"/>
        <v>PEN</v>
      </c>
      <c r="N1576" s="13"/>
      <c r="O1576" s="13">
        <v>300</v>
      </c>
      <c r="P1576" s="3">
        <f t="shared" si="133"/>
        <v>300</v>
      </c>
      <c r="Q1576" s="3">
        <f t="shared" si="134"/>
        <v>0</v>
      </c>
      <c r="R1576" s="3">
        <f t="shared" si="130"/>
        <v>37906.300000000039</v>
      </c>
      <c r="S1576" s="24" t="s">
        <v>1334</v>
      </c>
      <c r="T1576" s="24" t="s">
        <v>1334</v>
      </c>
      <c r="U1576" s="53"/>
      <c r="V1576" s="25">
        <f>IFERROR(VLOOKUP(BCP_Soles[[#This Row],[destinatario]],CHOOSE({1,2},Clientes_Proveedores[Razon Social],Clientes_Proveedores[Ruc / Dni]),2,0),"")</f>
        <v>20558226979</v>
      </c>
      <c r="W1576" s="25" t="s">
        <v>1345</v>
      </c>
      <c r="X1576" s="25" t="s">
        <v>2939</v>
      </c>
      <c r="Y1576" s="25"/>
      <c r="Z1576" s="75"/>
      <c r="AA1576" s="3" t="str">
        <f>IF(BCP_Soles[[#This Row],[fecha]]&gt;0,TEXT(BCP_Soles[[#This Row],[fecha]],"mmmm"),0)</f>
        <v>Mayo</v>
      </c>
    </row>
    <row r="1577" spans="1:27" x14ac:dyDescent="0.3">
      <c r="A1577" s="2">
        <f>IF(BCP_Soles[[#This Row],[tipo_registro]]="R",COUNTIFS($C$1:$C1576,"R")+1,A1576)</f>
        <v>1191</v>
      </c>
      <c r="B1577" s="19" t="str">
        <f t="shared" si="131"/>
        <v>B-BCP - Soles</v>
      </c>
      <c r="C1577" s="3" t="s">
        <v>1330</v>
      </c>
      <c r="D1577" s="14">
        <v>45783</v>
      </c>
      <c r="E1577" s="5" t="s">
        <v>1335</v>
      </c>
      <c r="F1577" s="5" t="s">
        <v>1336</v>
      </c>
      <c r="G1577" s="6"/>
      <c r="H1577" s="6"/>
      <c r="I1577" s="6"/>
      <c r="J1577" s="6"/>
      <c r="K1577" s="7" t="s">
        <v>1337</v>
      </c>
      <c r="L1577" s="8"/>
      <c r="M1577" s="8" t="str">
        <f t="shared" si="132"/>
        <v>PEN</v>
      </c>
      <c r="N1577" s="13"/>
      <c r="O1577" s="13">
        <v>2.0499999999999998</v>
      </c>
      <c r="P1577" s="3">
        <f t="shared" si="133"/>
        <v>0</v>
      </c>
      <c r="Q1577" s="3">
        <f t="shared" si="134"/>
        <v>2.0499999999999998</v>
      </c>
      <c r="R1577" s="3">
        <f t="shared" si="130"/>
        <v>37904.250000000036</v>
      </c>
      <c r="S1577" s="24"/>
      <c r="T1577" s="24" t="s">
        <v>1334</v>
      </c>
      <c r="U1577" s="53"/>
      <c r="V1577" s="25" t="str">
        <f>IFERROR(VLOOKUP(BCP_Soles[[#This Row],[destinatario]],CHOOSE({1,2},Clientes_Proveedores[Razon Social],Clientes_Proveedores[Ruc / Dni]),2,0),"")</f>
        <v/>
      </c>
      <c r="W1577" s="25"/>
      <c r="X1577" s="25"/>
      <c r="Y1577" s="25"/>
      <c r="Z1577" s="75"/>
      <c r="AA1577" s="3" t="str">
        <f>IF(BCP_Soles[[#This Row],[fecha]]&gt;0,TEXT(BCP_Soles[[#This Row],[fecha]],"mmmm"),0)</f>
        <v>Mayo</v>
      </c>
    </row>
    <row r="1578" spans="1:27" ht="24" x14ac:dyDescent="0.3">
      <c r="A1578" s="2">
        <f>IF(BCP_Soles[[#This Row],[tipo_registro]]="R",COUNTIFS($C$1:$C1577,"R")+1,A1577)</f>
        <v>1192</v>
      </c>
      <c r="B1578" s="19" t="str">
        <f t="shared" si="131"/>
        <v>B-BCP - Soles</v>
      </c>
      <c r="C1578" s="3" t="s">
        <v>1330</v>
      </c>
      <c r="D1578" s="14">
        <v>45783</v>
      </c>
      <c r="E1578" s="5" t="s">
        <v>1335</v>
      </c>
      <c r="F1578" s="5" t="s">
        <v>1336</v>
      </c>
      <c r="G1578" s="6" t="s">
        <v>1060</v>
      </c>
      <c r="H1578" s="6" t="s">
        <v>68</v>
      </c>
      <c r="I1578" s="6" t="s">
        <v>1397</v>
      </c>
      <c r="J1578" s="6">
        <v>32253060</v>
      </c>
      <c r="K1578" s="7" t="s">
        <v>1400</v>
      </c>
      <c r="L1578" s="8">
        <v>773</v>
      </c>
      <c r="M1578" s="8" t="str">
        <f t="shared" si="132"/>
        <v>PEN</v>
      </c>
      <c r="N1578" s="13"/>
      <c r="O1578" s="13">
        <v>10</v>
      </c>
      <c r="P1578" s="3">
        <f t="shared" si="133"/>
        <v>0</v>
      </c>
      <c r="Q1578" s="3">
        <f t="shared" si="134"/>
        <v>10</v>
      </c>
      <c r="R1578" s="3">
        <f t="shared" si="130"/>
        <v>37894.250000000036</v>
      </c>
      <c r="S1578" s="24"/>
      <c r="T1578" s="24" t="s">
        <v>1334</v>
      </c>
      <c r="U1578" s="53"/>
      <c r="V1578" s="25">
        <f>IFERROR(VLOOKUP(BCP_Soles[[#This Row],[destinatario]],CHOOSE({1,2},Clientes_Proveedores[Razon Social],Clientes_Proveedores[Ruc / Dni]),2,0),"")</f>
        <v>20100047218</v>
      </c>
      <c r="W1578" s="25" t="s">
        <v>1335</v>
      </c>
      <c r="X1578" s="25"/>
      <c r="Y1578" s="25"/>
      <c r="Z1578" s="75"/>
      <c r="AA1578" s="3" t="str">
        <f>IF(BCP_Soles[[#This Row],[fecha]]&gt;0,TEXT(BCP_Soles[[#This Row],[fecha]],"mmmm"),0)</f>
        <v>Mayo</v>
      </c>
    </row>
    <row r="1579" spans="1:27" x14ac:dyDescent="0.3">
      <c r="A1579" s="2">
        <f>IF(BCP_Soles[[#This Row],[tipo_registro]]="R",COUNTIFS($C$1:$C1578,"R")+1,A1578)</f>
        <v>1193</v>
      </c>
      <c r="B1579" s="19" t="str">
        <f t="shared" si="131"/>
        <v>B-BCP - Soles</v>
      </c>
      <c r="C1579" s="3" t="s">
        <v>1330</v>
      </c>
      <c r="D1579" s="14">
        <v>45783</v>
      </c>
      <c r="E1579" s="5" t="s">
        <v>1338</v>
      </c>
      <c r="F1579" s="5" t="s">
        <v>1336</v>
      </c>
      <c r="G1579" s="6" t="s">
        <v>695</v>
      </c>
      <c r="H1579" s="6" t="s">
        <v>68</v>
      </c>
      <c r="I1579" s="6" t="s">
        <v>1377</v>
      </c>
      <c r="J1579" s="6">
        <v>160914</v>
      </c>
      <c r="K1579" s="7" t="s">
        <v>1378</v>
      </c>
      <c r="L1579" s="8">
        <v>226590</v>
      </c>
      <c r="M1579" s="8" t="str">
        <f t="shared" si="132"/>
        <v>PEN</v>
      </c>
      <c r="N1579" s="13"/>
      <c r="O1579" s="13">
        <v>179.8</v>
      </c>
      <c r="P1579" s="3">
        <f t="shared" si="133"/>
        <v>0</v>
      </c>
      <c r="Q1579" s="3">
        <f t="shared" si="134"/>
        <v>179.8</v>
      </c>
      <c r="R1579" s="3">
        <f t="shared" si="130"/>
        <v>37714.450000000033</v>
      </c>
      <c r="S1579" s="24" t="s">
        <v>1334</v>
      </c>
      <c r="T1579" s="24" t="s">
        <v>1334</v>
      </c>
      <c r="U1579" s="53"/>
      <c r="V1579" s="25">
        <f>IFERROR(VLOOKUP(BCP_Soles[[#This Row],[destinatario]],CHOOSE({1,2},Clientes_Proveedores[Razon Social],Clientes_Proveedores[Ruc / Dni]),2,0),"")</f>
        <v>20127765279</v>
      </c>
      <c r="W1579" s="25" t="s">
        <v>1379</v>
      </c>
      <c r="X1579" s="25" t="s">
        <v>2940</v>
      </c>
      <c r="Y1579" s="25"/>
      <c r="Z1579" s="75"/>
      <c r="AA1579" s="3" t="str">
        <f>IF(BCP_Soles[[#This Row],[fecha]]&gt;0,TEXT(BCP_Soles[[#This Row],[fecha]],"mmmm"),0)</f>
        <v>Mayo</v>
      </c>
    </row>
    <row r="1580" spans="1:27" ht="24" x14ac:dyDescent="0.3">
      <c r="A1580" s="2">
        <f>IF(BCP_Soles[[#This Row],[tipo_registro]]="R",COUNTIFS($C$1:$C1579,"R")+1,A1579)</f>
        <v>1194</v>
      </c>
      <c r="B1580" s="19" t="str">
        <f t="shared" si="131"/>
        <v>B-BCP - Soles</v>
      </c>
      <c r="C1580" s="3" t="s">
        <v>1330</v>
      </c>
      <c r="D1580" s="14">
        <v>45783</v>
      </c>
      <c r="E1580" s="5" t="s">
        <v>1338</v>
      </c>
      <c r="F1580" s="5" t="s">
        <v>1336</v>
      </c>
      <c r="G1580" s="6" t="s">
        <v>249</v>
      </c>
      <c r="H1580" s="6"/>
      <c r="I1580" s="6"/>
      <c r="J1580" s="6"/>
      <c r="K1580" s="7" t="s">
        <v>2927</v>
      </c>
      <c r="L1580" s="8">
        <v>1224641</v>
      </c>
      <c r="M1580" s="8" t="str">
        <f t="shared" si="132"/>
        <v>PEN</v>
      </c>
      <c r="N1580" s="13"/>
      <c r="O1580" s="13">
        <v>330.4</v>
      </c>
      <c r="P1580" s="3">
        <f t="shared" si="133"/>
        <v>0</v>
      </c>
      <c r="Q1580" s="3">
        <f t="shared" si="134"/>
        <v>330.4</v>
      </c>
      <c r="R1580" s="3">
        <f t="shared" si="130"/>
        <v>37384.050000000032</v>
      </c>
      <c r="S1580" s="24"/>
      <c r="T1580" s="24"/>
      <c r="U1580" s="53"/>
      <c r="V1580" s="25">
        <f>IFERROR(VLOOKUP(BCP_Soles[[#This Row],[destinatario]],CHOOSE({1,2},Clientes_Proveedores[Razon Social],Clientes_Proveedores[Ruc / Dni]),2,0),"")</f>
        <v>20302891452</v>
      </c>
      <c r="W1580" s="25" t="s">
        <v>249</v>
      </c>
      <c r="X1580" s="25"/>
      <c r="Y1580" s="25"/>
      <c r="Z1580" s="75"/>
      <c r="AA1580" s="3" t="str">
        <f>IF(BCP_Soles[[#This Row],[fecha]]&gt;0,TEXT(BCP_Soles[[#This Row],[fecha]],"mmmm"),0)</f>
        <v>Mayo</v>
      </c>
    </row>
    <row r="1581" spans="1:27" x14ac:dyDescent="0.3">
      <c r="A1581" s="2">
        <f>IF(BCP_Soles[[#This Row],[tipo_registro]]="R",COUNTIFS($C$1:$C1580,"R")+1,A1580)</f>
        <v>1195</v>
      </c>
      <c r="B1581" s="19" t="str">
        <f t="shared" si="131"/>
        <v>B-BCP - Soles</v>
      </c>
      <c r="C1581" s="3" t="s">
        <v>1330</v>
      </c>
      <c r="D1581" s="14">
        <v>45783</v>
      </c>
      <c r="E1581" s="5" t="s">
        <v>1338</v>
      </c>
      <c r="F1581" s="5" t="s">
        <v>1336</v>
      </c>
      <c r="G1581" s="6" t="s">
        <v>695</v>
      </c>
      <c r="H1581" s="6" t="s">
        <v>68</v>
      </c>
      <c r="I1581" s="6" t="s">
        <v>1377</v>
      </c>
      <c r="J1581" s="6">
        <v>160908</v>
      </c>
      <c r="K1581" s="7" t="s">
        <v>1378</v>
      </c>
      <c r="L1581" s="8">
        <v>227569</v>
      </c>
      <c r="M1581" s="8" t="str">
        <f t="shared" si="132"/>
        <v>PEN</v>
      </c>
      <c r="N1581" s="13"/>
      <c r="O1581" s="13">
        <v>842.87</v>
      </c>
      <c r="P1581" s="3">
        <f t="shared" si="133"/>
        <v>0</v>
      </c>
      <c r="Q1581" s="3">
        <f t="shared" si="134"/>
        <v>842.87</v>
      </c>
      <c r="R1581" s="3">
        <f t="shared" si="130"/>
        <v>36541.180000000029</v>
      </c>
      <c r="S1581" s="24" t="s">
        <v>1334</v>
      </c>
      <c r="T1581" s="24" t="s">
        <v>1334</v>
      </c>
      <c r="U1581" s="53"/>
      <c r="V1581" s="25">
        <f>IFERROR(VLOOKUP(BCP_Soles[[#This Row],[destinatario]],CHOOSE({1,2},Clientes_Proveedores[Razon Social],Clientes_Proveedores[Ruc / Dni]),2,0),"")</f>
        <v>20127765279</v>
      </c>
      <c r="W1581" s="25" t="s">
        <v>1379</v>
      </c>
      <c r="X1581" s="25" t="s">
        <v>2941</v>
      </c>
      <c r="Y1581" s="25"/>
      <c r="Z1581" s="75"/>
      <c r="AA1581" s="3" t="str">
        <f>IF(BCP_Soles[[#This Row],[fecha]]&gt;0,TEXT(BCP_Soles[[#This Row],[fecha]],"mmmm"),0)</f>
        <v>Mayo</v>
      </c>
    </row>
    <row r="1582" spans="1:27" ht="24" x14ac:dyDescent="0.3">
      <c r="A1582" s="2">
        <f>IF(BCP_Soles[[#This Row],[tipo_registro]]="R",COUNTIFS($C$1:$C1581,"R")+1,A1581)</f>
        <v>1196</v>
      </c>
      <c r="B1582" s="19" t="str">
        <f t="shared" si="131"/>
        <v>B-BCP - Soles</v>
      </c>
      <c r="C1582" s="3" t="s">
        <v>1330</v>
      </c>
      <c r="D1582" s="14">
        <v>45783</v>
      </c>
      <c r="E1582" s="5" t="s">
        <v>1338</v>
      </c>
      <c r="F1582" s="5" t="s">
        <v>1336</v>
      </c>
      <c r="G1582" s="6" t="s">
        <v>1060</v>
      </c>
      <c r="H1582" s="6"/>
      <c r="I1582" s="6"/>
      <c r="J1582" s="6"/>
      <c r="K1582" s="7" t="s">
        <v>2942</v>
      </c>
      <c r="L1582" s="8">
        <v>2393330</v>
      </c>
      <c r="M1582" s="8" t="str">
        <f t="shared" si="132"/>
        <v>PEN</v>
      </c>
      <c r="N1582" s="13"/>
      <c r="O1582" s="13">
        <v>4326.7700000000004</v>
      </c>
      <c r="P1582" s="3">
        <f t="shared" si="133"/>
        <v>0</v>
      </c>
      <c r="Q1582" s="3">
        <f t="shared" si="134"/>
        <v>4326.7700000000004</v>
      </c>
      <c r="R1582" s="3">
        <f t="shared" si="130"/>
        <v>32214.410000000029</v>
      </c>
      <c r="S1582" s="24" t="s">
        <v>1334</v>
      </c>
      <c r="T1582" s="24" t="s">
        <v>1334</v>
      </c>
      <c r="U1582" s="53"/>
      <c r="V1582" s="25">
        <f>IFERROR(VLOOKUP(BCP_Soles[[#This Row],[destinatario]],CHOOSE({1,2},Clientes_Proveedores[Razon Social],Clientes_Proveedores[Ruc / Dni]),2,0),"")</f>
        <v>20100047218</v>
      </c>
      <c r="W1582" s="25" t="s">
        <v>1373</v>
      </c>
      <c r="X1582" s="25"/>
      <c r="Y1582" s="25"/>
      <c r="Z1582" s="75"/>
      <c r="AA1582" s="3" t="str">
        <f>IF(BCP_Soles[[#This Row],[fecha]]&gt;0,TEXT(BCP_Soles[[#This Row],[fecha]],"mmmm"),0)</f>
        <v>Mayo</v>
      </c>
    </row>
    <row r="1583" spans="1:27" ht="24" x14ac:dyDescent="0.3">
      <c r="A1583" s="2">
        <f>IF(BCP_Soles[[#This Row],[tipo_registro]]="R",COUNTIFS($C$1:$C1582,"R")+1,A1582)</f>
        <v>1196</v>
      </c>
      <c r="B1583" s="19" t="str">
        <f t="shared" si="131"/>
        <v>B-BCP - Soles</v>
      </c>
      <c r="C1583" s="3" t="s">
        <v>1352</v>
      </c>
      <c r="D1583" s="14">
        <v>45783</v>
      </c>
      <c r="E1583" s="5" t="s">
        <v>1338</v>
      </c>
      <c r="F1583" s="5"/>
      <c r="G1583" s="6" t="s">
        <v>271</v>
      </c>
      <c r="H1583" s="6" t="s">
        <v>68</v>
      </c>
      <c r="I1583" s="6" t="s">
        <v>1375</v>
      </c>
      <c r="J1583" s="6">
        <v>6906</v>
      </c>
      <c r="K1583" s="7" t="s">
        <v>2942</v>
      </c>
      <c r="L1583" s="8">
        <v>2393330</v>
      </c>
      <c r="M1583" s="8" t="str">
        <f t="shared" si="132"/>
        <v>PEN</v>
      </c>
      <c r="N1583" s="13">
        <v>660.7</v>
      </c>
      <c r="O1583" s="13"/>
      <c r="P1583" s="3">
        <f t="shared" si="133"/>
        <v>0</v>
      </c>
      <c r="Q1583" s="3">
        <f t="shared" si="134"/>
        <v>0</v>
      </c>
      <c r="R1583" s="3">
        <f t="shared" si="130"/>
        <v>32214.410000000029</v>
      </c>
      <c r="S1583" s="24"/>
      <c r="T1583" s="24" t="s">
        <v>1334</v>
      </c>
      <c r="U1583" s="53"/>
      <c r="V1583" s="25">
        <f>IFERROR(VLOOKUP(BCP_Soles[[#This Row],[destinatario]],CHOOSE({1,2},Clientes_Proveedores[Razon Social],Clientes_Proveedores[Ruc / Dni]),2,0),"")</f>
        <v>20419158462</v>
      </c>
      <c r="W1583" s="25"/>
      <c r="X1583" s="25"/>
      <c r="Y1583" s="25"/>
      <c r="Z1583" s="75"/>
      <c r="AA1583" s="3" t="str">
        <f>IF(BCP_Soles[[#This Row],[fecha]]&gt;0,TEXT(BCP_Soles[[#This Row],[fecha]],"mmmm"),0)</f>
        <v>Mayo</v>
      </c>
    </row>
    <row r="1584" spans="1:27" ht="24" x14ac:dyDescent="0.3">
      <c r="A1584" s="2">
        <f>IF(BCP_Soles[[#This Row],[tipo_registro]]="R",COUNTIFS($C$1:$C1583,"R")+1,A1583)</f>
        <v>1196</v>
      </c>
      <c r="B1584" s="19" t="str">
        <f t="shared" si="131"/>
        <v>B-BCP - Soles</v>
      </c>
      <c r="C1584" s="3" t="s">
        <v>1352</v>
      </c>
      <c r="D1584" s="14">
        <v>45783</v>
      </c>
      <c r="E1584" s="5" t="s">
        <v>1338</v>
      </c>
      <c r="F1584" s="5"/>
      <c r="G1584" s="6" t="s">
        <v>271</v>
      </c>
      <c r="H1584" s="6" t="s">
        <v>68</v>
      </c>
      <c r="I1584" s="6" t="s">
        <v>1375</v>
      </c>
      <c r="J1584" s="6">
        <v>6903</v>
      </c>
      <c r="K1584" s="7" t="s">
        <v>2942</v>
      </c>
      <c r="L1584" s="8">
        <v>2393330</v>
      </c>
      <c r="M1584" s="8" t="str">
        <f t="shared" si="132"/>
        <v>PEN</v>
      </c>
      <c r="N1584" s="13">
        <v>388.1</v>
      </c>
      <c r="O1584" s="13"/>
      <c r="P1584" s="3">
        <f t="shared" si="133"/>
        <v>0</v>
      </c>
      <c r="Q1584" s="3">
        <f t="shared" si="134"/>
        <v>0</v>
      </c>
      <c r="R1584" s="3">
        <f t="shared" si="130"/>
        <v>32214.410000000029</v>
      </c>
      <c r="S1584" s="24"/>
      <c r="T1584" s="24" t="s">
        <v>1334</v>
      </c>
      <c r="U1584" s="53"/>
      <c r="V1584" s="25">
        <f>IFERROR(VLOOKUP(BCP_Soles[[#This Row],[destinatario]],CHOOSE({1,2},Clientes_Proveedores[Razon Social],Clientes_Proveedores[Ruc / Dni]),2,0),"")</f>
        <v>20419158462</v>
      </c>
      <c r="W1584" s="25"/>
      <c r="X1584" s="25"/>
      <c r="Y1584" s="25"/>
      <c r="Z1584" s="75"/>
      <c r="AA1584" s="3" t="str">
        <f>IF(BCP_Soles[[#This Row],[fecha]]&gt;0,TEXT(BCP_Soles[[#This Row],[fecha]],"mmmm"),0)</f>
        <v>Mayo</v>
      </c>
    </row>
    <row r="1585" spans="1:27" ht="24" x14ac:dyDescent="0.3">
      <c r="A1585" s="2">
        <f>IF(BCP_Soles[[#This Row],[tipo_registro]]="R",COUNTIFS($C$1:$C1584,"R")+1,A1584)</f>
        <v>1196</v>
      </c>
      <c r="B1585" s="19" t="str">
        <f t="shared" si="131"/>
        <v>B-BCP - Soles</v>
      </c>
      <c r="C1585" s="3" t="s">
        <v>1352</v>
      </c>
      <c r="D1585" s="14">
        <v>45783</v>
      </c>
      <c r="E1585" s="5" t="s">
        <v>1338</v>
      </c>
      <c r="F1585" s="5"/>
      <c r="G1585" s="6" t="s">
        <v>271</v>
      </c>
      <c r="H1585" s="6" t="s">
        <v>68</v>
      </c>
      <c r="I1585" s="6" t="s">
        <v>1375</v>
      </c>
      <c r="J1585" s="6">
        <v>6902</v>
      </c>
      <c r="K1585" s="7" t="s">
        <v>2942</v>
      </c>
      <c r="L1585" s="8">
        <v>2393330</v>
      </c>
      <c r="M1585" s="8" t="str">
        <f t="shared" si="132"/>
        <v>PEN</v>
      </c>
      <c r="N1585" s="13">
        <v>455.19</v>
      </c>
      <c r="O1585" s="13"/>
      <c r="P1585" s="3">
        <f t="shared" si="133"/>
        <v>0</v>
      </c>
      <c r="Q1585" s="3">
        <f t="shared" si="134"/>
        <v>0</v>
      </c>
      <c r="R1585" s="3">
        <f t="shared" si="130"/>
        <v>32214.410000000029</v>
      </c>
      <c r="S1585" s="24"/>
      <c r="T1585" s="24" t="s">
        <v>1334</v>
      </c>
      <c r="U1585" s="53"/>
      <c r="V1585" s="25">
        <f>IFERROR(VLOOKUP(BCP_Soles[[#This Row],[destinatario]],CHOOSE({1,2},Clientes_Proveedores[Razon Social],Clientes_Proveedores[Ruc / Dni]),2,0),"")</f>
        <v>20419158462</v>
      </c>
      <c r="W1585" s="25"/>
      <c r="X1585" s="25"/>
      <c r="Y1585" s="25"/>
      <c r="Z1585" s="75"/>
      <c r="AA1585" s="3" t="str">
        <f>IF(BCP_Soles[[#This Row],[fecha]]&gt;0,TEXT(BCP_Soles[[#This Row],[fecha]],"mmmm"),0)</f>
        <v>Mayo</v>
      </c>
    </row>
    <row r="1586" spans="1:27" ht="24" x14ac:dyDescent="0.3">
      <c r="A1586" s="2">
        <f>IF(BCP_Soles[[#This Row],[tipo_registro]]="R",COUNTIFS($C$1:$C1585,"R")+1,A1585)</f>
        <v>1196</v>
      </c>
      <c r="B1586" s="19" t="str">
        <f t="shared" si="131"/>
        <v>B-BCP - Soles</v>
      </c>
      <c r="C1586" s="3" t="s">
        <v>1352</v>
      </c>
      <c r="D1586" s="14">
        <v>45783</v>
      </c>
      <c r="E1586" s="5" t="s">
        <v>1338</v>
      </c>
      <c r="F1586" s="5"/>
      <c r="G1586" s="6" t="s">
        <v>271</v>
      </c>
      <c r="H1586" s="6" t="s">
        <v>68</v>
      </c>
      <c r="I1586" s="6" t="s">
        <v>1375</v>
      </c>
      <c r="J1586" s="6">
        <v>6904</v>
      </c>
      <c r="K1586" s="7" t="s">
        <v>2942</v>
      </c>
      <c r="L1586" s="8">
        <v>2393330</v>
      </c>
      <c r="M1586" s="8" t="str">
        <f t="shared" si="132"/>
        <v>PEN</v>
      </c>
      <c r="N1586" s="13">
        <v>163</v>
      </c>
      <c r="O1586" s="13"/>
      <c r="P1586" s="3">
        <f t="shared" si="133"/>
        <v>0</v>
      </c>
      <c r="Q1586" s="3">
        <f t="shared" si="134"/>
        <v>0</v>
      </c>
      <c r="R1586" s="3">
        <f t="shared" si="130"/>
        <v>32214.410000000029</v>
      </c>
      <c r="S1586" s="24"/>
      <c r="T1586" s="24" t="s">
        <v>1334</v>
      </c>
      <c r="U1586" s="53"/>
      <c r="V1586" s="25">
        <f>IFERROR(VLOOKUP(BCP_Soles[[#This Row],[destinatario]],CHOOSE({1,2},Clientes_Proveedores[Razon Social],Clientes_Proveedores[Ruc / Dni]),2,0),"")</f>
        <v>20419158462</v>
      </c>
      <c r="W1586" s="25"/>
      <c r="X1586" s="25"/>
      <c r="Y1586" s="25"/>
      <c r="Z1586" s="75"/>
      <c r="AA1586" s="3" t="str">
        <f>IF(BCP_Soles[[#This Row],[fecha]]&gt;0,TEXT(BCP_Soles[[#This Row],[fecha]],"mmmm"),0)</f>
        <v>Mayo</v>
      </c>
    </row>
    <row r="1587" spans="1:27" ht="24" x14ac:dyDescent="0.3">
      <c r="A1587" s="2">
        <f>IF(BCP_Soles[[#This Row],[tipo_registro]]="R",COUNTIFS($C$1:$C1586,"R")+1,A1586)</f>
        <v>1196</v>
      </c>
      <c r="B1587" s="19" t="str">
        <f t="shared" si="131"/>
        <v>B-BCP - Soles</v>
      </c>
      <c r="C1587" s="3" t="s">
        <v>1352</v>
      </c>
      <c r="D1587" s="14">
        <v>45783</v>
      </c>
      <c r="E1587" s="5" t="s">
        <v>1338</v>
      </c>
      <c r="F1587" s="5"/>
      <c r="G1587" s="6" t="s">
        <v>271</v>
      </c>
      <c r="H1587" s="6" t="s">
        <v>68</v>
      </c>
      <c r="I1587" s="6" t="s">
        <v>1375</v>
      </c>
      <c r="J1587" s="6">
        <v>6905</v>
      </c>
      <c r="K1587" s="7" t="s">
        <v>2942</v>
      </c>
      <c r="L1587" s="8">
        <v>2393330</v>
      </c>
      <c r="M1587" s="8" t="str">
        <f t="shared" si="132"/>
        <v>PEN</v>
      </c>
      <c r="N1587" s="13">
        <v>155</v>
      </c>
      <c r="O1587" s="13"/>
      <c r="P1587" s="3">
        <f t="shared" si="133"/>
        <v>0</v>
      </c>
      <c r="Q1587" s="3">
        <f t="shared" si="134"/>
        <v>0</v>
      </c>
      <c r="R1587" s="3">
        <f t="shared" si="130"/>
        <v>32214.410000000029</v>
      </c>
      <c r="S1587" s="24"/>
      <c r="T1587" s="24" t="s">
        <v>1334</v>
      </c>
      <c r="U1587" s="53"/>
      <c r="V1587" s="25">
        <f>IFERROR(VLOOKUP(BCP_Soles[[#This Row],[destinatario]],CHOOSE({1,2},Clientes_Proveedores[Razon Social],Clientes_Proveedores[Ruc / Dni]),2,0),"")</f>
        <v>20419158462</v>
      </c>
      <c r="W1587" s="25"/>
      <c r="X1587" s="25"/>
      <c r="Y1587" s="25"/>
      <c r="Z1587" s="75"/>
      <c r="AA1587" s="3" t="str">
        <f>IF(BCP_Soles[[#This Row],[fecha]]&gt;0,TEXT(BCP_Soles[[#This Row],[fecha]],"mmmm"),0)</f>
        <v>Mayo</v>
      </c>
    </row>
    <row r="1588" spans="1:27" ht="24" x14ac:dyDescent="0.3">
      <c r="A1588" s="2">
        <f>IF(BCP_Soles[[#This Row],[tipo_registro]]="R",COUNTIFS($C$1:$C1587,"R")+1,A1587)</f>
        <v>1196</v>
      </c>
      <c r="B1588" s="19" t="str">
        <f t="shared" si="131"/>
        <v>B-BCP - Soles</v>
      </c>
      <c r="C1588" s="3" t="s">
        <v>1352</v>
      </c>
      <c r="D1588" s="14">
        <v>45783</v>
      </c>
      <c r="E1588" s="5" t="s">
        <v>1338</v>
      </c>
      <c r="F1588" s="5"/>
      <c r="G1588" s="6" t="s">
        <v>464</v>
      </c>
      <c r="H1588" s="6" t="s">
        <v>68</v>
      </c>
      <c r="I1588" s="6" t="s">
        <v>1376</v>
      </c>
      <c r="J1588" s="6">
        <v>814</v>
      </c>
      <c r="K1588" s="7" t="s">
        <v>2942</v>
      </c>
      <c r="L1588" s="8">
        <v>2393330</v>
      </c>
      <c r="M1588" s="8" t="str">
        <f t="shared" si="132"/>
        <v>PEN</v>
      </c>
      <c r="N1588" s="13">
        <v>1536</v>
      </c>
      <c r="O1588" s="13"/>
      <c r="P1588" s="3">
        <f t="shared" si="133"/>
        <v>0</v>
      </c>
      <c r="Q1588" s="3">
        <f t="shared" si="134"/>
        <v>0</v>
      </c>
      <c r="R1588" s="3">
        <f t="shared" si="130"/>
        <v>32214.410000000029</v>
      </c>
      <c r="S1588" s="24"/>
      <c r="T1588" s="24" t="s">
        <v>1334</v>
      </c>
      <c r="U1588" s="53"/>
      <c r="V1588" s="25">
        <f>IFERROR(VLOOKUP(BCP_Soles[[#This Row],[destinatario]],CHOOSE({1,2},Clientes_Proveedores[Razon Social],Clientes_Proveedores[Ruc / Dni]),2,0),"")</f>
        <v>20601279666</v>
      </c>
      <c r="W1588" s="25"/>
      <c r="X1588" s="25"/>
      <c r="Y1588" s="25"/>
      <c r="Z1588" s="75"/>
      <c r="AA1588" s="3" t="str">
        <f>IF(BCP_Soles[[#This Row],[fecha]]&gt;0,TEXT(BCP_Soles[[#This Row],[fecha]],"mmmm"),0)</f>
        <v>Mayo</v>
      </c>
    </row>
    <row r="1589" spans="1:27" ht="36" x14ac:dyDescent="0.3">
      <c r="A1589" s="2">
        <f>IF(BCP_Soles[[#This Row],[tipo_registro]]="R",COUNTIFS($C$1:$C1588,"R")+1,A1588)</f>
        <v>1196</v>
      </c>
      <c r="B1589" s="19" t="str">
        <f t="shared" si="131"/>
        <v>B-BCP - Soles</v>
      </c>
      <c r="C1589" s="3" t="s">
        <v>1352</v>
      </c>
      <c r="D1589" s="14">
        <v>45783</v>
      </c>
      <c r="E1589" s="5" t="s">
        <v>1338</v>
      </c>
      <c r="F1589" s="5"/>
      <c r="G1589" s="6" t="s">
        <v>474</v>
      </c>
      <c r="H1589" s="6" t="s">
        <v>68</v>
      </c>
      <c r="I1589" s="6" t="s">
        <v>1376</v>
      </c>
      <c r="J1589" s="6">
        <v>746</v>
      </c>
      <c r="K1589" s="7" t="s">
        <v>2942</v>
      </c>
      <c r="L1589" s="8">
        <v>2393330</v>
      </c>
      <c r="M1589" s="8" t="str">
        <f t="shared" si="132"/>
        <v>PEN</v>
      </c>
      <c r="N1589" s="13">
        <v>177</v>
      </c>
      <c r="O1589" s="13"/>
      <c r="P1589" s="3">
        <f t="shared" si="133"/>
        <v>0</v>
      </c>
      <c r="Q1589" s="3">
        <f t="shared" si="134"/>
        <v>0</v>
      </c>
      <c r="R1589" s="3">
        <f t="shared" si="130"/>
        <v>32214.410000000029</v>
      </c>
      <c r="S1589" s="24"/>
      <c r="T1589" s="24" t="s">
        <v>1334</v>
      </c>
      <c r="U1589" s="53"/>
      <c r="V1589" s="25">
        <f>IFERROR(VLOOKUP(BCP_Soles[[#This Row],[destinatario]],CHOOSE({1,2},Clientes_Proveedores[Razon Social],Clientes_Proveedores[Ruc / Dni]),2,0),"")</f>
        <v>20602075177</v>
      </c>
      <c r="W1589" s="25"/>
      <c r="X1589" s="25"/>
      <c r="Y1589" s="25"/>
      <c r="Z1589" s="75"/>
      <c r="AA1589" s="3" t="str">
        <f>IF(BCP_Soles[[#This Row],[fecha]]&gt;0,TEXT(BCP_Soles[[#This Row],[fecha]],"mmmm"),0)</f>
        <v>Mayo</v>
      </c>
    </row>
    <row r="1590" spans="1:27" x14ac:dyDescent="0.3">
      <c r="A1590" s="2">
        <f>IF(BCP_Soles[[#This Row],[tipo_registro]]="R",COUNTIFS($C$1:$C1589,"R")+1,A1589)</f>
        <v>1196</v>
      </c>
      <c r="B1590" s="19" t="str">
        <f t="shared" si="131"/>
        <v>B-BCP - Soles</v>
      </c>
      <c r="C1590" s="3" t="s">
        <v>1352</v>
      </c>
      <c r="D1590" s="14">
        <v>45783</v>
      </c>
      <c r="E1590" s="5" t="s">
        <v>1338</v>
      </c>
      <c r="F1590" s="5"/>
      <c r="G1590" s="6" t="s">
        <v>522</v>
      </c>
      <c r="H1590" s="6" t="s">
        <v>68</v>
      </c>
      <c r="I1590" s="6" t="s">
        <v>1376</v>
      </c>
      <c r="J1590" s="6">
        <v>3790</v>
      </c>
      <c r="K1590" s="7" t="s">
        <v>2942</v>
      </c>
      <c r="L1590" s="8">
        <v>2393330</v>
      </c>
      <c r="M1590" s="8" t="str">
        <f t="shared" si="132"/>
        <v>PEN</v>
      </c>
      <c r="N1590" s="13">
        <v>300.89999999999998</v>
      </c>
      <c r="O1590" s="13"/>
      <c r="P1590" s="3">
        <f t="shared" si="133"/>
        <v>0</v>
      </c>
      <c r="Q1590" s="3">
        <f t="shared" si="134"/>
        <v>0</v>
      </c>
      <c r="R1590" s="3">
        <f t="shared" si="130"/>
        <v>32214.410000000029</v>
      </c>
      <c r="S1590" s="24"/>
      <c r="T1590" s="24" t="s">
        <v>1334</v>
      </c>
      <c r="U1590" s="53"/>
      <c r="V1590" s="25">
        <f>IFERROR(VLOOKUP(BCP_Soles[[#This Row],[destinatario]],CHOOSE({1,2},Clientes_Proveedores[Razon Social],Clientes_Proveedores[Ruc / Dni]),2,0),"")</f>
        <v>20603974817</v>
      </c>
      <c r="W1590" s="25"/>
      <c r="X1590" s="25"/>
      <c r="Y1590" s="25"/>
      <c r="Z1590" s="75"/>
      <c r="AA1590" s="3" t="str">
        <f>IF(BCP_Soles[[#This Row],[fecha]]&gt;0,TEXT(BCP_Soles[[#This Row],[fecha]],"mmmm"),0)</f>
        <v>Mayo</v>
      </c>
    </row>
    <row r="1591" spans="1:27" ht="24" x14ac:dyDescent="0.3">
      <c r="A1591" s="2">
        <f>IF(BCP_Soles[[#This Row],[tipo_registro]]="R",COUNTIFS($C$1:$C1590,"R")+1,A1590)</f>
        <v>1196</v>
      </c>
      <c r="B1591" s="19" t="str">
        <f t="shared" si="131"/>
        <v>B-BCP - Soles</v>
      </c>
      <c r="C1591" s="3" t="s">
        <v>1352</v>
      </c>
      <c r="D1591" s="14">
        <v>45783</v>
      </c>
      <c r="E1591" s="5" t="s">
        <v>1338</v>
      </c>
      <c r="F1591" s="5"/>
      <c r="G1591" s="6" t="s">
        <v>594</v>
      </c>
      <c r="H1591" s="6" t="s">
        <v>68</v>
      </c>
      <c r="I1591" s="6" t="s">
        <v>1376</v>
      </c>
      <c r="J1591" s="6">
        <v>2087</v>
      </c>
      <c r="K1591" s="7" t="s">
        <v>2942</v>
      </c>
      <c r="L1591" s="8">
        <v>2393330</v>
      </c>
      <c r="M1591" s="8" t="str">
        <f t="shared" si="132"/>
        <v>PEN</v>
      </c>
      <c r="N1591" s="13">
        <v>212.4</v>
      </c>
      <c r="O1591" s="13"/>
      <c r="P1591" s="3">
        <f t="shared" si="133"/>
        <v>0</v>
      </c>
      <c r="Q1591" s="3">
        <f t="shared" si="134"/>
        <v>0</v>
      </c>
      <c r="R1591" s="3">
        <f t="shared" si="130"/>
        <v>32214.410000000029</v>
      </c>
      <c r="S1591" s="24"/>
      <c r="T1591" s="24" t="s">
        <v>1334</v>
      </c>
      <c r="U1591" s="53"/>
      <c r="V1591" s="25">
        <f>IFERROR(VLOOKUP(BCP_Soles[[#This Row],[destinatario]],CHOOSE({1,2},Clientes_Proveedores[Razon Social],Clientes_Proveedores[Ruc / Dni]),2,0),"")</f>
        <v>20609764261</v>
      </c>
      <c r="W1591" s="25"/>
      <c r="X1591" s="25"/>
      <c r="Y1591" s="25"/>
      <c r="Z1591" s="75"/>
      <c r="AA1591" s="3" t="str">
        <f>IF(BCP_Soles[[#This Row],[fecha]]&gt;0,TEXT(BCP_Soles[[#This Row],[fecha]],"mmmm"),0)</f>
        <v>Mayo</v>
      </c>
    </row>
    <row r="1592" spans="1:27" ht="24" x14ac:dyDescent="0.3">
      <c r="A1592" s="2">
        <f>IF(BCP_Soles[[#This Row],[tipo_registro]]="R",COUNTIFS($C$1:$C1591,"R")+1,A1591)</f>
        <v>1196</v>
      </c>
      <c r="B1592" s="19" t="str">
        <f t="shared" si="131"/>
        <v>B-BCP - Soles</v>
      </c>
      <c r="C1592" s="3" t="s">
        <v>1352</v>
      </c>
      <c r="D1592" s="14">
        <v>45783</v>
      </c>
      <c r="E1592" s="5" t="s">
        <v>1338</v>
      </c>
      <c r="F1592" s="5"/>
      <c r="G1592" s="6" t="s">
        <v>594</v>
      </c>
      <c r="H1592" s="6" t="s">
        <v>68</v>
      </c>
      <c r="I1592" s="6" t="s">
        <v>1376</v>
      </c>
      <c r="J1592" s="6">
        <v>2086</v>
      </c>
      <c r="K1592" s="7" t="s">
        <v>2942</v>
      </c>
      <c r="L1592" s="8">
        <v>2393330</v>
      </c>
      <c r="M1592" s="8" t="str">
        <f t="shared" si="132"/>
        <v>PEN</v>
      </c>
      <c r="N1592" s="13">
        <v>106.2</v>
      </c>
      <c r="O1592" s="13"/>
      <c r="P1592" s="3">
        <f t="shared" si="133"/>
        <v>0</v>
      </c>
      <c r="Q1592" s="3">
        <f t="shared" si="134"/>
        <v>0</v>
      </c>
      <c r="R1592" s="3">
        <f t="shared" si="130"/>
        <v>32214.410000000029</v>
      </c>
      <c r="S1592" s="24"/>
      <c r="T1592" s="24" t="s">
        <v>1334</v>
      </c>
      <c r="U1592" s="53"/>
      <c r="V1592" s="25">
        <f>IFERROR(VLOOKUP(BCP_Soles[[#This Row],[destinatario]],CHOOSE({1,2},Clientes_Proveedores[Razon Social],Clientes_Proveedores[Ruc / Dni]),2,0),"")</f>
        <v>20609764261</v>
      </c>
      <c r="W1592" s="25"/>
      <c r="X1592" s="25"/>
      <c r="Y1592" s="25"/>
      <c r="Z1592" s="75"/>
      <c r="AA1592" s="3" t="str">
        <f>IF(BCP_Soles[[#This Row],[fecha]]&gt;0,TEXT(BCP_Soles[[#This Row],[fecha]],"mmmm"),0)</f>
        <v>Mayo</v>
      </c>
    </row>
    <row r="1593" spans="1:27" ht="24" x14ac:dyDescent="0.3">
      <c r="A1593" s="2">
        <f>IF(BCP_Soles[[#This Row],[tipo_registro]]="R",COUNTIFS($C$1:$C1592,"R")+1,A1592)</f>
        <v>1196</v>
      </c>
      <c r="B1593" s="19" t="str">
        <f t="shared" si="131"/>
        <v>B-BCP - Soles</v>
      </c>
      <c r="C1593" s="3" t="s">
        <v>1352</v>
      </c>
      <c r="D1593" s="14">
        <v>45783</v>
      </c>
      <c r="E1593" s="5" t="s">
        <v>1338</v>
      </c>
      <c r="F1593" s="5"/>
      <c r="G1593" s="6" t="s">
        <v>166</v>
      </c>
      <c r="H1593" s="6" t="s">
        <v>68</v>
      </c>
      <c r="I1593" s="6" t="s">
        <v>1376</v>
      </c>
      <c r="J1593" s="6">
        <v>4682</v>
      </c>
      <c r="K1593" s="7" t="s">
        <v>2942</v>
      </c>
      <c r="L1593" s="8">
        <v>2393330</v>
      </c>
      <c r="M1593" s="8" t="str">
        <f t="shared" si="132"/>
        <v>PEN</v>
      </c>
      <c r="N1593" s="13">
        <v>59</v>
      </c>
      <c r="O1593" s="13"/>
      <c r="P1593" s="3">
        <f t="shared" si="133"/>
        <v>0</v>
      </c>
      <c r="Q1593" s="3">
        <f t="shared" si="134"/>
        <v>0</v>
      </c>
      <c r="R1593" s="3">
        <f t="shared" si="130"/>
        <v>32214.410000000029</v>
      </c>
      <c r="S1593" s="24"/>
      <c r="T1593" s="24" t="s">
        <v>1334</v>
      </c>
      <c r="U1593" s="53"/>
      <c r="V1593" s="25">
        <f>IFERROR(VLOOKUP(BCP_Soles[[#This Row],[destinatario]],CHOOSE({1,2},Clientes_Proveedores[Razon Social],Clientes_Proveedores[Ruc / Dni]),2,0),"")</f>
        <v>10425371652</v>
      </c>
      <c r="W1593" s="25"/>
      <c r="X1593" s="25"/>
      <c r="Y1593" s="25"/>
      <c r="Z1593" s="75"/>
      <c r="AA1593" s="3" t="str">
        <f>IF(BCP_Soles[[#This Row],[fecha]]&gt;0,TEXT(BCP_Soles[[#This Row],[fecha]],"mmmm"),0)</f>
        <v>Mayo</v>
      </c>
    </row>
    <row r="1594" spans="1:27" x14ac:dyDescent="0.3">
      <c r="A1594" s="2">
        <f>IF(BCP_Soles[[#This Row],[tipo_registro]]="R",COUNTIFS($C$1:$C1593,"R")+1,A1593)</f>
        <v>1196</v>
      </c>
      <c r="B1594" s="19" t="str">
        <f t="shared" si="131"/>
        <v>B-BCP - Soles</v>
      </c>
      <c r="C1594" s="3" t="s">
        <v>1352</v>
      </c>
      <c r="D1594" s="14">
        <v>45783</v>
      </c>
      <c r="E1594" s="5" t="s">
        <v>1338</v>
      </c>
      <c r="F1594" s="5"/>
      <c r="G1594" s="6" t="s">
        <v>493</v>
      </c>
      <c r="H1594" s="6" t="s">
        <v>68</v>
      </c>
      <c r="I1594" s="6" t="s">
        <v>1841</v>
      </c>
      <c r="J1594" s="6">
        <v>806</v>
      </c>
      <c r="K1594" s="7" t="s">
        <v>2942</v>
      </c>
      <c r="L1594" s="8">
        <v>2393330</v>
      </c>
      <c r="M1594" s="8" t="str">
        <f t="shared" si="132"/>
        <v>PEN</v>
      </c>
      <c r="N1594" s="13">
        <v>113.28</v>
      </c>
      <c r="O1594" s="13"/>
      <c r="P1594" s="3">
        <f t="shared" si="133"/>
        <v>0</v>
      </c>
      <c r="Q1594" s="3">
        <f t="shared" si="134"/>
        <v>0</v>
      </c>
      <c r="R1594" s="3">
        <f t="shared" si="130"/>
        <v>32214.410000000029</v>
      </c>
      <c r="S1594" s="24"/>
      <c r="T1594" s="24" t="s">
        <v>1334</v>
      </c>
      <c r="U1594" s="53"/>
      <c r="V1594" s="25">
        <f>IFERROR(VLOOKUP(BCP_Soles[[#This Row],[destinatario]],CHOOSE({1,2},Clientes_Proveedores[Razon Social],Clientes_Proveedores[Ruc / Dni]),2,0),"")</f>
        <v>20602751326</v>
      </c>
      <c r="W1594" s="25"/>
      <c r="X1594" s="25"/>
      <c r="Y1594" s="25"/>
      <c r="Z1594" s="75"/>
      <c r="AA1594" s="3" t="str">
        <f>IF(BCP_Soles[[#This Row],[fecha]]&gt;0,TEXT(BCP_Soles[[#This Row],[fecha]],"mmmm"),0)</f>
        <v>Mayo</v>
      </c>
    </row>
    <row r="1595" spans="1:27" ht="24" x14ac:dyDescent="0.3">
      <c r="A1595" s="2">
        <f>IF(BCP_Soles[[#This Row],[tipo_registro]]="R",COUNTIFS($C$1:$C1594,"R")+1,A1594)</f>
        <v>1197</v>
      </c>
      <c r="B1595" s="19" t="str">
        <f t="shared" si="131"/>
        <v>B-BCP - Soles</v>
      </c>
      <c r="C1595" s="3" t="s">
        <v>1330</v>
      </c>
      <c r="D1595" s="14">
        <v>45783</v>
      </c>
      <c r="E1595" s="5" t="s">
        <v>1338</v>
      </c>
      <c r="F1595" s="5" t="s">
        <v>1336</v>
      </c>
      <c r="G1595" s="6" t="s">
        <v>1060</v>
      </c>
      <c r="H1595" s="6"/>
      <c r="I1595" s="6"/>
      <c r="J1595" s="6"/>
      <c r="K1595" s="7" t="s">
        <v>2943</v>
      </c>
      <c r="L1595" s="8">
        <v>2393349</v>
      </c>
      <c r="M1595" s="8" t="str">
        <f t="shared" si="132"/>
        <v>PEN</v>
      </c>
      <c r="N1595" s="13"/>
      <c r="O1595" s="13">
        <v>18660.490000000002</v>
      </c>
      <c r="P1595" s="3">
        <f t="shared" si="133"/>
        <v>0</v>
      </c>
      <c r="Q1595" s="3">
        <f t="shared" si="134"/>
        <v>18660.490000000002</v>
      </c>
      <c r="R1595" s="3">
        <f t="shared" si="130"/>
        <v>13553.920000000027</v>
      </c>
      <c r="S1595" s="24" t="s">
        <v>1334</v>
      </c>
      <c r="T1595" s="24" t="s">
        <v>1334</v>
      </c>
      <c r="U1595" s="53"/>
      <c r="V1595" s="25">
        <f>IFERROR(VLOOKUP(BCP_Soles[[#This Row],[destinatario]],CHOOSE({1,2},Clientes_Proveedores[Razon Social],Clientes_Proveedores[Ruc / Dni]),2,0),"")</f>
        <v>20100047218</v>
      </c>
      <c r="W1595" s="25" t="s">
        <v>1373</v>
      </c>
      <c r="X1595" s="25"/>
      <c r="Y1595" s="25"/>
      <c r="Z1595" s="75"/>
      <c r="AA1595" s="3" t="str">
        <f>IF(BCP_Soles[[#This Row],[fecha]]&gt;0,TEXT(BCP_Soles[[#This Row],[fecha]],"mmmm"),0)</f>
        <v>Mayo</v>
      </c>
    </row>
    <row r="1596" spans="1:27" x14ac:dyDescent="0.3">
      <c r="A1596" s="2">
        <f>IF(BCP_Soles[[#This Row],[tipo_registro]]="R",COUNTIFS($C$1:$C1595,"R")+1,A1595)</f>
        <v>1197</v>
      </c>
      <c r="B1596" s="19" t="str">
        <f t="shared" si="131"/>
        <v>B-BCP - Soles</v>
      </c>
      <c r="C1596" s="3" t="s">
        <v>1352</v>
      </c>
      <c r="D1596" s="14">
        <v>45783</v>
      </c>
      <c r="E1596" s="5" t="s">
        <v>1338</v>
      </c>
      <c r="F1596" s="5"/>
      <c r="G1596" s="6" t="s">
        <v>380</v>
      </c>
      <c r="H1596" s="6" t="s">
        <v>68</v>
      </c>
      <c r="I1596" s="6" t="s">
        <v>1390</v>
      </c>
      <c r="J1596" s="6">
        <v>20940</v>
      </c>
      <c r="K1596" s="7" t="s">
        <v>2943</v>
      </c>
      <c r="L1596" s="8">
        <v>2393349</v>
      </c>
      <c r="M1596" s="8" t="str">
        <f t="shared" si="132"/>
        <v>PEN</v>
      </c>
      <c r="N1596" s="13"/>
      <c r="O1596" s="13"/>
      <c r="P1596" s="3">
        <f t="shared" si="133"/>
        <v>0</v>
      </c>
      <c r="Q1596" s="3">
        <f t="shared" si="134"/>
        <v>0</v>
      </c>
      <c r="R1596" s="3">
        <f t="shared" si="130"/>
        <v>13553.920000000027</v>
      </c>
      <c r="S1596" s="24"/>
      <c r="T1596" s="24" t="s">
        <v>1334</v>
      </c>
      <c r="U1596" s="53"/>
      <c r="V1596" s="25">
        <f>IFERROR(VLOOKUP(BCP_Soles[[#This Row],[destinatario]],CHOOSE({1,2},Clientes_Proveedores[Razon Social],Clientes_Proveedores[Ruc / Dni]),2,0),"")</f>
        <v>20537921464</v>
      </c>
      <c r="W1596" s="25"/>
      <c r="X1596" s="25"/>
      <c r="Y1596" s="25"/>
      <c r="Z1596" s="75"/>
      <c r="AA1596" s="3" t="str">
        <f>IF(BCP_Soles[[#This Row],[fecha]]&gt;0,TEXT(BCP_Soles[[#This Row],[fecha]],"mmmm"),0)</f>
        <v>Mayo</v>
      </c>
    </row>
    <row r="1597" spans="1:27" x14ac:dyDescent="0.3">
      <c r="A1597" s="2">
        <f>IF(BCP_Soles[[#This Row],[tipo_registro]]="R",COUNTIFS($C$1:$C1596,"R")+1,A1596)</f>
        <v>1197</v>
      </c>
      <c r="B1597" s="19" t="str">
        <f t="shared" si="131"/>
        <v>B-BCP - Soles</v>
      </c>
      <c r="C1597" s="3" t="s">
        <v>1352</v>
      </c>
      <c r="D1597" s="14">
        <v>45783</v>
      </c>
      <c r="E1597" s="5" t="s">
        <v>1338</v>
      </c>
      <c r="F1597" s="5"/>
      <c r="G1597" s="6" t="s">
        <v>380</v>
      </c>
      <c r="H1597" s="6" t="s">
        <v>68</v>
      </c>
      <c r="I1597" s="6" t="s">
        <v>1390</v>
      </c>
      <c r="J1597" s="6">
        <v>20939</v>
      </c>
      <c r="K1597" s="7" t="s">
        <v>2943</v>
      </c>
      <c r="L1597" s="8">
        <v>2393349</v>
      </c>
      <c r="M1597" s="8" t="str">
        <f t="shared" si="132"/>
        <v>PEN</v>
      </c>
      <c r="N1597" s="13"/>
      <c r="O1597" s="13"/>
      <c r="P1597" s="3">
        <f t="shared" si="133"/>
        <v>0</v>
      </c>
      <c r="Q1597" s="3">
        <f t="shared" si="134"/>
        <v>0</v>
      </c>
      <c r="R1597" s="3">
        <f t="shared" si="130"/>
        <v>13553.920000000027</v>
      </c>
      <c r="S1597" s="24"/>
      <c r="T1597" s="24" t="s">
        <v>1334</v>
      </c>
      <c r="U1597" s="53"/>
      <c r="V1597" s="25">
        <f>IFERROR(VLOOKUP(BCP_Soles[[#This Row],[destinatario]],CHOOSE({1,2},Clientes_Proveedores[Razon Social],Clientes_Proveedores[Ruc / Dni]),2,0),"")</f>
        <v>20537921464</v>
      </c>
      <c r="W1597" s="25"/>
      <c r="X1597" s="25"/>
      <c r="Y1597" s="25"/>
      <c r="Z1597" s="75"/>
      <c r="AA1597" s="3" t="str">
        <f>IF(BCP_Soles[[#This Row],[fecha]]&gt;0,TEXT(BCP_Soles[[#This Row],[fecha]],"mmmm"),0)</f>
        <v>Mayo</v>
      </c>
    </row>
    <row r="1598" spans="1:27" x14ac:dyDescent="0.3">
      <c r="A1598" s="2">
        <f>IF(BCP_Soles[[#This Row],[tipo_registro]]="R",COUNTIFS($C$1:$C1597,"R")+1,A1597)</f>
        <v>1197</v>
      </c>
      <c r="B1598" s="19" t="str">
        <f t="shared" si="131"/>
        <v>B-BCP - Soles</v>
      </c>
      <c r="C1598" s="3" t="s">
        <v>1352</v>
      </c>
      <c r="D1598" s="14">
        <v>45783</v>
      </c>
      <c r="E1598" s="5" t="s">
        <v>1338</v>
      </c>
      <c r="F1598" s="5"/>
      <c r="G1598" s="6" t="s">
        <v>380</v>
      </c>
      <c r="H1598" s="6" t="s">
        <v>68</v>
      </c>
      <c r="I1598" s="6" t="s">
        <v>1390</v>
      </c>
      <c r="J1598" s="6">
        <v>20938</v>
      </c>
      <c r="K1598" s="7" t="s">
        <v>2943</v>
      </c>
      <c r="L1598" s="8">
        <v>2393349</v>
      </c>
      <c r="M1598" s="8" t="str">
        <f t="shared" si="132"/>
        <v>PEN</v>
      </c>
      <c r="N1598" s="13"/>
      <c r="O1598" s="13"/>
      <c r="P1598" s="3">
        <f t="shared" si="133"/>
        <v>0</v>
      </c>
      <c r="Q1598" s="3">
        <f t="shared" si="134"/>
        <v>0</v>
      </c>
      <c r="R1598" s="3">
        <f t="shared" si="130"/>
        <v>13553.920000000027</v>
      </c>
      <c r="S1598" s="24"/>
      <c r="T1598" s="24" t="s">
        <v>1334</v>
      </c>
      <c r="U1598" s="53"/>
      <c r="V1598" s="25">
        <f>IFERROR(VLOOKUP(BCP_Soles[[#This Row],[destinatario]],CHOOSE({1,2},Clientes_Proveedores[Razon Social],Clientes_Proveedores[Ruc / Dni]),2,0),"")</f>
        <v>20537921464</v>
      </c>
      <c r="W1598" s="25"/>
      <c r="X1598" s="25"/>
      <c r="Y1598" s="25"/>
      <c r="Z1598" s="75"/>
      <c r="AA1598" s="3" t="str">
        <f>IF(BCP_Soles[[#This Row],[fecha]]&gt;0,TEXT(BCP_Soles[[#This Row],[fecha]],"mmmm"),0)</f>
        <v>Mayo</v>
      </c>
    </row>
    <row r="1599" spans="1:27" x14ac:dyDescent="0.3">
      <c r="A1599" s="2">
        <f>IF(BCP_Soles[[#This Row],[tipo_registro]]="R",COUNTIFS($C$1:$C1598,"R")+1,A1598)</f>
        <v>1198</v>
      </c>
      <c r="B1599" s="19" t="str">
        <f t="shared" si="131"/>
        <v>B-BCP - Soles</v>
      </c>
      <c r="C1599" s="3" t="s">
        <v>1330</v>
      </c>
      <c r="D1599" s="14">
        <v>45784</v>
      </c>
      <c r="E1599" s="5" t="s">
        <v>551</v>
      </c>
      <c r="F1599" s="5" t="s">
        <v>1303</v>
      </c>
      <c r="G1599" s="6" t="s">
        <v>425</v>
      </c>
      <c r="H1599" s="6"/>
      <c r="I1599" s="6"/>
      <c r="J1599" s="6"/>
      <c r="K1599" s="7" t="s">
        <v>1356</v>
      </c>
      <c r="L1599" s="8">
        <v>2726770</v>
      </c>
      <c r="M1599" s="8" t="str">
        <f t="shared" si="132"/>
        <v>PEN</v>
      </c>
      <c r="N1599" s="13"/>
      <c r="O1599" s="13">
        <v>15340</v>
      </c>
      <c r="P1599" s="3">
        <f t="shared" si="133"/>
        <v>15340</v>
      </c>
      <c r="Q1599" s="3">
        <f t="shared" si="134"/>
        <v>0</v>
      </c>
      <c r="R1599" s="3">
        <f t="shared" si="130"/>
        <v>28893.920000000027</v>
      </c>
      <c r="S1599" s="24" t="s">
        <v>1334</v>
      </c>
      <c r="T1599" s="24" t="s">
        <v>1334</v>
      </c>
      <c r="U1599" s="53"/>
      <c r="V1599" s="25">
        <f>IFERROR(VLOOKUP(BCP_Soles[[#This Row],[destinatario]],CHOOSE({1,2},Clientes_Proveedores[Razon Social],Clientes_Proveedores[Ruc / Dni]),2,0),"")</f>
        <v>20558226979</v>
      </c>
      <c r="W1599" s="25" t="s">
        <v>1345</v>
      </c>
      <c r="X1599" s="25" t="s">
        <v>2944</v>
      </c>
      <c r="Y1599" s="25"/>
      <c r="Z1599" s="75"/>
      <c r="AA1599" s="3" t="str">
        <f>IF(BCP_Soles[[#This Row],[fecha]]&gt;0,TEXT(BCP_Soles[[#This Row],[fecha]],"mmmm"),0)</f>
        <v>Mayo</v>
      </c>
    </row>
    <row r="1600" spans="1:27" ht="24" x14ac:dyDescent="0.3">
      <c r="A1600" s="2">
        <f>IF(BCP_Soles[[#This Row],[tipo_registro]]="R",COUNTIFS($C$1:$C1599,"R")+1,A1599)</f>
        <v>1199</v>
      </c>
      <c r="B1600" s="19" t="str">
        <f t="shared" si="131"/>
        <v>B-BCP - Soles</v>
      </c>
      <c r="C1600" s="3" t="s">
        <v>1330</v>
      </c>
      <c r="D1600" s="14">
        <v>45784</v>
      </c>
      <c r="E1600" s="5" t="s">
        <v>2103</v>
      </c>
      <c r="F1600" s="5" t="s">
        <v>1303</v>
      </c>
      <c r="G1600" s="6" t="s">
        <v>425</v>
      </c>
      <c r="H1600" s="6" t="s">
        <v>119</v>
      </c>
      <c r="I1600" s="6">
        <v>1</v>
      </c>
      <c r="J1600" s="6">
        <v>4397</v>
      </c>
      <c r="K1600" s="7" t="s">
        <v>2003</v>
      </c>
      <c r="L1600" s="8">
        <v>2148759</v>
      </c>
      <c r="M1600" s="8" t="str">
        <f t="shared" si="132"/>
        <v>PEN</v>
      </c>
      <c r="N1600" s="13"/>
      <c r="O1600" s="13">
        <v>12500</v>
      </c>
      <c r="P1600" s="3">
        <f t="shared" si="133"/>
        <v>12500</v>
      </c>
      <c r="Q1600" s="3">
        <f t="shared" si="134"/>
        <v>0</v>
      </c>
      <c r="R1600" s="3">
        <f t="shared" si="130"/>
        <v>41393.920000000027</v>
      </c>
      <c r="S1600" s="24" t="s">
        <v>1334</v>
      </c>
      <c r="T1600" s="24" t="s">
        <v>1334</v>
      </c>
      <c r="U1600" s="53"/>
      <c r="V1600" s="25">
        <f>IFERROR(VLOOKUP(BCP_Soles[[#This Row],[destinatario]],CHOOSE({1,2},Clientes_Proveedores[Razon Social],Clientes_Proveedores[Ruc / Dni]),2,0),"")</f>
        <v>20558226979</v>
      </c>
      <c r="W1600" s="25" t="s">
        <v>1345</v>
      </c>
      <c r="X1600" s="25" t="s">
        <v>2945</v>
      </c>
      <c r="Y1600" s="25"/>
      <c r="Z1600" s="75"/>
      <c r="AA1600" s="3" t="str">
        <f>IF(BCP_Soles[[#This Row],[fecha]]&gt;0,TEXT(BCP_Soles[[#This Row],[fecha]],"mmmm"),0)</f>
        <v>Mayo</v>
      </c>
    </row>
    <row r="1601" spans="1:27" ht="36" x14ac:dyDescent="0.3">
      <c r="A1601" s="2">
        <f>IF(BCP_Soles[[#This Row],[tipo_registro]]="R",COUNTIFS($C$1:$C1600,"R")+1,A1600)</f>
        <v>1200</v>
      </c>
      <c r="B1601" s="19" t="str">
        <f t="shared" si="131"/>
        <v>B-BCP - Soles</v>
      </c>
      <c r="C1601" s="3" t="s">
        <v>1330</v>
      </c>
      <c r="D1601" s="14">
        <v>45784</v>
      </c>
      <c r="E1601" s="5" t="s">
        <v>237</v>
      </c>
      <c r="F1601" s="5" t="s">
        <v>1303</v>
      </c>
      <c r="G1601" s="6" t="s">
        <v>425</v>
      </c>
      <c r="H1601" s="6"/>
      <c r="I1601" s="6"/>
      <c r="J1601" s="6"/>
      <c r="K1601" s="7" t="s">
        <v>2946</v>
      </c>
      <c r="L1601" s="8">
        <v>2757043</v>
      </c>
      <c r="M1601" s="8" t="str">
        <f t="shared" si="132"/>
        <v>PEN</v>
      </c>
      <c r="N1601" s="13"/>
      <c r="O1601" s="13">
        <v>2988.87</v>
      </c>
      <c r="P1601" s="3">
        <f t="shared" si="133"/>
        <v>2988.87</v>
      </c>
      <c r="Q1601" s="3">
        <f t="shared" si="134"/>
        <v>0</v>
      </c>
      <c r="R1601" s="3">
        <f t="shared" si="130"/>
        <v>44382.79000000003</v>
      </c>
      <c r="S1601" s="24" t="s">
        <v>1334</v>
      </c>
      <c r="T1601" s="24" t="s">
        <v>1334</v>
      </c>
      <c r="U1601" s="53"/>
      <c r="V1601" s="25">
        <f>IFERROR(VLOOKUP(BCP_Soles[[#This Row],[destinatario]],CHOOSE({1,2},Clientes_Proveedores[Razon Social],Clientes_Proveedores[Ruc / Dni]),2,0),"")</f>
        <v>20558226979</v>
      </c>
      <c r="W1601" s="25" t="s">
        <v>1345</v>
      </c>
      <c r="X1601" s="25" t="s">
        <v>2947</v>
      </c>
      <c r="Y1601" s="25"/>
      <c r="Z1601" s="75"/>
      <c r="AA1601" s="3" t="str">
        <f>IF(BCP_Soles[[#This Row],[fecha]]&gt;0,TEXT(BCP_Soles[[#This Row],[fecha]],"mmmm"),0)</f>
        <v>Mayo</v>
      </c>
    </row>
    <row r="1602" spans="1:27" x14ac:dyDescent="0.3">
      <c r="A1602" s="2">
        <f>IF(BCP_Soles[[#This Row],[tipo_registro]]="R",COUNTIFS($C$1:$C1601,"R")+1,A1601)</f>
        <v>1201</v>
      </c>
      <c r="B1602" s="19" t="str">
        <f t="shared" si="131"/>
        <v>B-BCP - Soles</v>
      </c>
      <c r="C1602" s="3" t="s">
        <v>1330</v>
      </c>
      <c r="D1602" s="14">
        <v>45784</v>
      </c>
      <c r="E1602" s="5" t="s">
        <v>304</v>
      </c>
      <c r="F1602" s="5" t="s">
        <v>1303</v>
      </c>
      <c r="G1602" s="6" t="s">
        <v>425</v>
      </c>
      <c r="H1602" s="6"/>
      <c r="I1602" s="6"/>
      <c r="J1602" s="6"/>
      <c r="K1602" s="7" t="s">
        <v>2948</v>
      </c>
      <c r="L1602" s="8">
        <v>2179429</v>
      </c>
      <c r="M1602" s="8" t="str">
        <f t="shared" si="132"/>
        <v>PEN</v>
      </c>
      <c r="N1602" s="13"/>
      <c r="O1602" s="13">
        <v>2762.27</v>
      </c>
      <c r="P1602" s="3">
        <f t="shared" si="133"/>
        <v>2762.27</v>
      </c>
      <c r="Q1602" s="3">
        <f t="shared" si="134"/>
        <v>0</v>
      </c>
      <c r="R1602" s="3">
        <f t="shared" si="130"/>
        <v>47145.060000000027</v>
      </c>
      <c r="S1602" s="24" t="s">
        <v>1334</v>
      </c>
      <c r="T1602" s="24" t="s">
        <v>1334</v>
      </c>
      <c r="U1602" s="53"/>
      <c r="V1602" s="25">
        <f>IFERROR(VLOOKUP(BCP_Soles[[#This Row],[destinatario]],CHOOSE({1,2},Clientes_Proveedores[Razon Social],Clientes_Proveedores[Ruc / Dni]),2,0),"")</f>
        <v>20558226979</v>
      </c>
      <c r="W1602" s="25" t="s">
        <v>1345</v>
      </c>
      <c r="X1602" s="25" t="s">
        <v>2949</v>
      </c>
      <c r="Y1602" s="25"/>
      <c r="Z1602" s="75"/>
      <c r="AA1602" s="3" t="str">
        <f>IF(BCP_Soles[[#This Row],[fecha]]&gt;0,TEXT(BCP_Soles[[#This Row],[fecha]],"mmmm"),0)</f>
        <v>Mayo</v>
      </c>
    </row>
    <row r="1603" spans="1:27" x14ac:dyDescent="0.3">
      <c r="A1603" s="2">
        <f>IF(BCP_Soles[[#This Row],[tipo_registro]]="R",COUNTIFS($C$1:$C1602,"R")+1,A1602)</f>
        <v>1202</v>
      </c>
      <c r="B1603" s="19" t="str">
        <f t="shared" si="131"/>
        <v>B-BCP - Soles</v>
      </c>
      <c r="C1603" s="3" t="s">
        <v>1330</v>
      </c>
      <c r="D1603" s="14">
        <v>45784</v>
      </c>
      <c r="E1603" s="5" t="s">
        <v>551</v>
      </c>
      <c r="F1603" s="5" t="s">
        <v>1303</v>
      </c>
      <c r="G1603" s="6" t="s">
        <v>425</v>
      </c>
      <c r="H1603" s="6"/>
      <c r="I1603" s="6"/>
      <c r="J1603" s="6"/>
      <c r="K1603" s="7" t="s">
        <v>1356</v>
      </c>
      <c r="L1603" s="8">
        <v>2749051</v>
      </c>
      <c r="M1603" s="8" t="str">
        <f t="shared" si="132"/>
        <v>PEN</v>
      </c>
      <c r="N1603" s="13"/>
      <c r="O1603" s="13">
        <v>2124</v>
      </c>
      <c r="P1603" s="3">
        <f t="shared" si="133"/>
        <v>2124</v>
      </c>
      <c r="Q1603" s="3">
        <f t="shared" si="134"/>
        <v>0</v>
      </c>
      <c r="R1603" s="3">
        <f t="shared" si="130"/>
        <v>49269.060000000027</v>
      </c>
      <c r="S1603" s="24" t="s">
        <v>1334</v>
      </c>
      <c r="T1603" s="24" t="s">
        <v>1334</v>
      </c>
      <c r="U1603" s="53"/>
      <c r="V1603" s="25">
        <f>IFERROR(VLOOKUP(BCP_Soles[[#This Row],[destinatario]],CHOOSE({1,2},Clientes_Proveedores[Razon Social],Clientes_Proveedores[Ruc / Dni]),2,0),"")</f>
        <v>20558226979</v>
      </c>
      <c r="W1603" s="25" t="s">
        <v>1345</v>
      </c>
      <c r="X1603" s="25" t="s">
        <v>2950</v>
      </c>
      <c r="Y1603" s="25"/>
      <c r="Z1603" s="75"/>
      <c r="AA1603" s="3" t="str">
        <f>IF(BCP_Soles[[#This Row],[fecha]]&gt;0,TEXT(BCP_Soles[[#This Row],[fecha]],"mmmm"),0)</f>
        <v>Mayo</v>
      </c>
    </row>
    <row r="1604" spans="1:27" ht="60" x14ac:dyDescent="0.3">
      <c r="A1604" s="2">
        <f>IF(BCP_Soles[[#This Row],[tipo_registro]]="R",COUNTIFS($C$1:$C1603,"R")+1,A1603)</f>
        <v>1203</v>
      </c>
      <c r="B1604" s="19" t="str">
        <f t="shared" si="131"/>
        <v>B-BCP - Soles</v>
      </c>
      <c r="C1604" s="3" t="s">
        <v>1330</v>
      </c>
      <c r="D1604" s="14">
        <v>45784</v>
      </c>
      <c r="E1604" s="5" t="s">
        <v>295</v>
      </c>
      <c r="F1604" s="5" t="s">
        <v>1303</v>
      </c>
      <c r="G1604" s="6" t="s">
        <v>425</v>
      </c>
      <c r="H1604" s="6"/>
      <c r="I1604" s="6"/>
      <c r="J1604" s="6"/>
      <c r="K1604" s="7" t="s">
        <v>1428</v>
      </c>
      <c r="L1604" s="8">
        <v>2167997</v>
      </c>
      <c r="M1604" s="8" t="str">
        <f t="shared" si="132"/>
        <v>PEN</v>
      </c>
      <c r="N1604" s="13"/>
      <c r="O1604" s="13">
        <v>1114.54</v>
      </c>
      <c r="P1604" s="3">
        <f t="shared" si="133"/>
        <v>1114.54</v>
      </c>
      <c r="Q1604" s="3">
        <f t="shared" si="134"/>
        <v>0</v>
      </c>
      <c r="R1604" s="3">
        <f t="shared" si="130"/>
        <v>50383.600000000028</v>
      </c>
      <c r="S1604" s="24" t="s">
        <v>1334</v>
      </c>
      <c r="T1604" s="24" t="s">
        <v>1334</v>
      </c>
      <c r="U1604" s="53"/>
      <c r="V1604" s="25">
        <f>IFERROR(VLOOKUP(BCP_Soles[[#This Row],[destinatario]],CHOOSE({1,2},Clientes_Proveedores[Razon Social],Clientes_Proveedores[Ruc / Dni]),2,0),"")</f>
        <v>20558226979</v>
      </c>
      <c r="W1604" s="25" t="s">
        <v>1345</v>
      </c>
      <c r="X1604" s="25" t="s">
        <v>2951</v>
      </c>
      <c r="Y1604" s="25"/>
      <c r="Z1604" s="75"/>
      <c r="AA1604" s="3" t="str">
        <f>IF(BCP_Soles[[#This Row],[fecha]]&gt;0,TEXT(BCP_Soles[[#This Row],[fecha]],"mmmm"),0)</f>
        <v>Mayo</v>
      </c>
    </row>
    <row r="1605" spans="1:27" x14ac:dyDescent="0.3">
      <c r="A1605" s="2">
        <f>IF(BCP_Soles[[#This Row],[tipo_registro]]="R",COUNTIFS($C$1:$C1604,"R")+1,A1604)</f>
        <v>1204</v>
      </c>
      <c r="B1605" s="19" t="str">
        <f t="shared" si="131"/>
        <v>B-BCP - Soles</v>
      </c>
      <c r="C1605" s="3" t="s">
        <v>1330</v>
      </c>
      <c r="D1605" s="14">
        <v>45784</v>
      </c>
      <c r="E1605" s="5" t="s">
        <v>1335</v>
      </c>
      <c r="F1605" s="5" t="s">
        <v>1336</v>
      </c>
      <c r="G1605" s="6"/>
      <c r="H1605" s="6"/>
      <c r="I1605" s="6"/>
      <c r="J1605" s="6"/>
      <c r="K1605" s="7" t="s">
        <v>1337</v>
      </c>
      <c r="L1605" s="8"/>
      <c r="M1605" s="8" t="str">
        <f t="shared" si="132"/>
        <v>PEN</v>
      </c>
      <c r="N1605" s="13"/>
      <c r="O1605" s="13">
        <v>2.0499999999999998</v>
      </c>
      <c r="P1605" s="3">
        <f t="shared" si="133"/>
        <v>0</v>
      </c>
      <c r="Q1605" s="3">
        <f t="shared" si="134"/>
        <v>2.0499999999999998</v>
      </c>
      <c r="R1605" s="3">
        <f t="shared" si="130"/>
        <v>50381.550000000025</v>
      </c>
      <c r="S1605" s="24"/>
      <c r="T1605" s="24" t="s">
        <v>1334</v>
      </c>
      <c r="U1605" s="53"/>
      <c r="V1605" s="25" t="str">
        <f>IFERROR(VLOOKUP(BCP_Soles[[#This Row],[destinatario]],CHOOSE({1,2},Clientes_Proveedores[Razon Social],Clientes_Proveedores[Ruc / Dni]),2,0),"")</f>
        <v/>
      </c>
      <c r="W1605" s="25"/>
      <c r="X1605" s="25"/>
      <c r="Y1605" s="25"/>
      <c r="Z1605" s="75"/>
      <c r="AA1605" s="3" t="str">
        <f>IF(BCP_Soles[[#This Row],[fecha]]&gt;0,TEXT(BCP_Soles[[#This Row],[fecha]],"mmmm"),0)</f>
        <v>Mayo</v>
      </c>
    </row>
    <row r="1606" spans="1:27" ht="24" x14ac:dyDescent="0.3">
      <c r="A1606" s="2">
        <f>IF(BCP_Soles[[#This Row],[tipo_registro]]="R",COUNTIFS($C$1:$C1605,"R")+1,A1605)</f>
        <v>1205</v>
      </c>
      <c r="B1606" s="19" t="str">
        <f t="shared" si="131"/>
        <v>B-BCP - Soles</v>
      </c>
      <c r="C1606" s="3" t="s">
        <v>1330</v>
      </c>
      <c r="D1606" s="14">
        <v>45784</v>
      </c>
      <c r="E1606" s="5" t="s">
        <v>1335</v>
      </c>
      <c r="F1606" s="5" t="s">
        <v>1336</v>
      </c>
      <c r="G1606" s="6" t="s">
        <v>1060</v>
      </c>
      <c r="H1606" s="6" t="s">
        <v>68</v>
      </c>
      <c r="I1606" s="6" t="s">
        <v>1397</v>
      </c>
      <c r="J1606" s="6">
        <v>32285962</v>
      </c>
      <c r="K1606" s="7" t="s">
        <v>1400</v>
      </c>
      <c r="L1606" s="8">
        <v>863</v>
      </c>
      <c r="M1606" s="8" t="str">
        <f t="shared" si="132"/>
        <v>PEN</v>
      </c>
      <c r="N1606" s="13"/>
      <c r="O1606" s="13">
        <v>3.5</v>
      </c>
      <c r="P1606" s="3">
        <f t="shared" si="133"/>
        <v>0</v>
      </c>
      <c r="Q1606" s="3">
        <f t="shared" si="134"/>
        <v>3.5</v>
      </c>
      <c r="R1606" s="3">
        <f t="shared" si="130"/>
        <v>50378.050000000025</v>
      </c>
      <c r="S1606" s="24"/>
      <c r="T1606" s="24" t="s">
        <v>1334</v>
      </c>
      <c r="U1606" s="53"/>
      <c r="V1606" s="25">
        <f>IFERROR(VLOOKUP(BCP_Soles[[#This Row],[destinatario]],CHOOSE({1,2},Clientes_Proveedores[Razon Social],Clientes_Proveedores[Ruc / Dni]),2,0),"")</f>
        <v>20100047218</v>
      </c>
      <c r="W1606" s="25" t="s">
        <v>1335</v>
      </c>
      <c r="X1606" s="25"/>
      <c r="Y1606" s="25"/>
      <c r="Z1606" s="75"/>
      <c r="AA1606" s="3" t="str">
        <f>IF(BCP_Soles[[#This Row],[fecha]]&gt;0,TEXT(BCP_Soles[[#This Row],[fecha]],"mmmm"),0)</f>
        <v>Mayo</v>
      </c>
    </row>
    <row r="1607" spans="1:27" ht="24" x14ac:dyDescent="0.3">
      <c r="A1607" s="2">
        <f>IF(BCP_Soles[[#This Row],[tipo_registro]]="R",COUNTIFS($C$1:$C1606,"R")+1,A1606)</f>
        <v>1206</v>
      </c>
      <c r="B1607" s="19" t="str">
        <f t="shared" si="131"/>
        <v>B-BCP - Soles</v>
      </c>
      <c r="C1607" s="3" t="s">
        <v>1330</v>
      </c>
      <c r="D1607" s="14">
        <v>45784</v>
      </c>
      <c r="E1607" s="5" t="s">
        <v>1335</v>
      </c>
      <c r="F1607" s="5" t="s">
        <v>1336</v>
      </c>
      <c r="G1607" s="6" t="s">
        <v>1060</v>
      </c>
      <c r="H1607" s="6" t="s">
        <v>68</v>
      </c>
      <c r="I1607" s="6" t="s">
        <v>1397</v>
      </c>
      <c r="J1607" s="6">
        <v>32285962</v>
      </c>
      <c r="K1607" s="7" t="s">
        <v>1400</v>
      </c>
      <c r="L1607" s="8">
        <v>862</v>
      </c>
      <c r="M1607" s="8" t="str">
        <f t="shared" si="132"/>
        <v>PEN</v>
      </c>
      <c r="N1607" s="13"/>
      <c r="O1607" s="13">
        <v>3.5</v>
      </c>
      <c r="P1607" s="3">
        <f t="shared" si="133"/>
        <v>0</v>
      </c>
      <c r="Q1607" s="3">
        <f t="shared" si="134"/>
        <v>3.5</v>
      </c>
      <c r="R1607" s="3">
        <f t="shared" si="130"/>
        <v>50374.550000000025</v>
      </c>
      <c r="S1607" s="24"/>
      <c r="T1607" s="24" t="s">
        <v>1334</v>
      </c>
      <c r="U1607" s="53"/>
      <c r="V1607" s="25">
        <f>IFERROR(VLOOKUP(BCP_Soles[[#This Row],[destinatario]],CHOOSE({1,2},Clientes_Proveedores[Razon Social],Clientes_Proveedores[Ruc / Dni]),2,0),"")</f>
        <v>20100047218</v>
      </c>
      <c r="W1607" s="25" t="s">
        <v>1335</v>
      </c>
      <c r="X1607" s="25"/>
      <c r="Y1607" s="25"/>
      <c r="Z1607" s="75"/>
      <c r="AA1607" s="3" t="str">
        <f>IF(BCP_Soles[[#This Row],[fecha]]&gt;0,TEXT(BCP_Soles[[#This Row],[fecha]],"mmmm"),0)</f>
        <v>Mayo</v>
      </c>
    </row>
    <row r="1608" spans="1:27" ht="24" x14ac:dyDescent="0.3">
      <c r="A1608" s="2">
        <f>IF(BCP_Soles[[#This Row],[tipo_registro]]="R",COUNTIFS($C$1:$C1607,"R")+1,A1607)</f>
        <v>1207</v>
      </c>
      <c r="B1608" s="19" t="str">
        <f t="shared" si="131"/>
        <v>B-BCP - Soles</v>
      </c>
      <c r="C1608" s="3" t="s">
        <v>1330</v>
      </c>
      <c r="D1608" s="14">
        <v>45784</v>
      </c>
      <c r="E1608" s="5" t="s">
        <v>1335</v>
      </c>
      <c r="F1608" s="5" t="s">
        <v>1336</v>
      </c>
      <c r="G1608" s="6" t="s">
        <v>1060</v>
      </c>
      <c r="H1608" s="6" t="s">
        <v>68</v>
      </c>
      <c r="I1608" s="6" t="s">
        <v>1397</v>
      </c>
      <c r="J1608" s="6">
        <v>32285962</v>
      </c>
      <c r="K1608" s="7" t="s">
        <v>1400</v>
      </c>
      <c r="L1608" s="8">
        <v>862</v>
      </c>
      <c r="M1608" s="8" t="str">
        <f t="shared" si="132"/>
        <v>PEN</v>
      </c>
      <c r="N1608" s="13"/>
      <c r="O1608" s="13">
        <v>3.5</v>
      </c>
      <c r="P1608" s="3">
        <f t="shared" si="133"/>
        <v>0</v>
      </c>
      <c r="Q1608" s="3">
        <f t="shared" si="134"/>
        <v>3.5</v>
      </c>
      <c r="R1608" s="3">
        <f t="shared" si="130"/>
        <v>50371.050000000025</v>
      </c>
      <c r="S1608" s="24"/>
      <c r="T1608" s="24" t="s">
        <v>1334</v>
      </c>
      <c r="U1608" s="53"/>
      <c r="V1608" s="25">
        <f>IFERROR(VLOOKUP(BCP_Soles[[#This Row],[destinatario]],CHOOSE({1,2},Clientes_Proveedores[Razon Social],Clientes_Proveedores[Ruc / Dni]),2,0),"")</f>
        <v>20100047218</v>
      </c>
      <c r="W1608" s="25" t="s">
        <v>1335</v>
      </c>
      <c r="X1608" s="25"/>
      <c r="Y1608" s="25"/>
      <c r="Z1608" s="75"/>
      <c r="AA1608" s="3" t="str">
        <f>IF(BCP_Soles[[#This Row],[fecha]]&gt;0,TEXT(BCP_Soles[[#This Row],[fecha]],"mmmm"),0)</f>
        <v>Mayo</v>
      </c>
    </row>
    <row r="1609" spans="1:27" ht="24" x14ac:dyDescent="0.3">
      <c r="A1609" s="2">
        <f>IF(BCP_Soles[[#This Row],[tipo_registro]]="R",COUNTIFS($C$1:$C1608,"R")+1,A1608)</f>
        <v>1208</v>
      </c>
      <c r="B1609" s="19" t="str">
        <f t="shared" si="131"/>
        <v>B-BCP - Soles</v>
      </c>
      <c r="C1609" s="3" t="s">
        <v>1330</v>
      </c>
      <c r="D1609" s="14">
        <v>45784</v>
      </c>
      <c r="E1609" s="5" t="s">
        <v>1335</v>
      </c>
      <c r="F1609" s="5" t="s">
        <v>1336</v>
      </c>
      <c r="G1609" s="6" t="s">
        <v>1060</v>
      </c>
      <c r="H1609" s="6" t="s">
        <v>68</v>
      </c>
      <c r="I1609" s="6" t="s">
        <v>1397</v>
      </c>
      <c r="J1609" s="6">
        <v>32285962</v>
      </c>
      <c r="K1609" s="7" t="s">
        <v>1400</v>
      </c>
      <c r="L1609" s="8">
        <v>862</v>
      </c>
      <c r="M1609" s="8" t="str">
        <f t="shared" si="132"/>
        <v>PEN</v>
      </c>
      <c r="N1609" s="13"/>
      <c r="O1609" s="13">
        <v>3.5</v>
      </c>
      <c r="P1609" s="3">
        <f t="shared" si="133"/>
        <v>0</v>
      </c>
      <c r="Q1609" s="3">
        <f t="shared" si="134"/>
        <v>3.5</v>
      </c>
      <c r="R1609" s="3">
        <f t="shared" ref="R1609:R1672" si="135">IFERROR(IF(F1609="SALDO",P1609,R1608+P1609-Q1609),0)</f>
        <v>50367.550000000025</v>
      </c>
      <c r="S1609" s="24"/>
      <c r="T1609" s="24" t="s">
        <v>1334</v>
      </c>
      <c r="U1609" s="53"/>
      <c r="V1609" s="25">
        <f>IFERROR(VLOOKUP(BCP_Soles[[#This Row],[destinatario]],CHOOSE({1,2},Clientes_Proveedores[Razon Social],Clientes_Proveedores[Ruc / Dni]),2,0),"")</f>
        <v>20100047218</v>
      </c>
      <c r="W1609" s="25" t="s">
        <v>1335</v>
      </c>
      <c r="X1609" s="25"/>
      <c r="Y1609" s="25"/>
      <c r="Z1609" s="75"/>
      <c r="AA1609" s="3" t="str">
        <f>IF(BCP_Soles[[#This Row],[fecha]]&gt;0,TEXT(BCP_Soles[[#This Row],[fecha]],"mmmm"),0)</f>
        <v>Mayo</v>
      </c>
    </row>
    <row r="1610" spans="1:27" ht="24" x14ac:dyDescent="0.3">
      <c r="A1610" s="2">
        <f>IF(BCP_Soles[[#This Row],[tipo_registro]]="R",COUNTIFS($C$1:$C1609,"R")+1,A1609)</f>
        <v>1209</v>
      </c>
      <c r="B1610" s="19" t="str">
        <f t="shared" si="131"/>
        <v>B-BCP - Soles</v>
      </c>
      <c r="C1610" s="3" t="s">
        <v>1330</v>
      </c>
      <c r="D1610" s="14">
        <v>45784</v>
      </c>
      <c r="E1610" s="5" t="s">
        <v>1338</v>
      </c>
      <c r="F1610" s="5" t="s">
        <v>1336</v>
      </c>
      <c r="G1610" s="6" t="s">
        <v>166</v>
      </c>
      <c r="H1610" s="6" t="s">
        <v>68</v>
      </c>
      <c r="I1610" s="6" t="s">
        <v>1376</v>
      </c>
      <c r="J1610" s="6">
        <v>4660</v>
      </c>
      <c r="K1610" s="7" t="s">
        <v>2952</v>
      </c>
      <c r="L1610" s="8">
        <v>1205030</v>
      </c>
      <c r="M1610" s="8" t="str">
        <f t="shared" si="132"/>
        <v>PEN</v>
      </c>
      <c r="N1610" s="13"/>
      <c r="O1610" s="13">
        <v>59</v>
      </c>
      <c r="P1610" s="3">
        <f t="shared" si="133"/>
        <v>0</v>
      </c>
      <c r="Q1610" s="3">
        <f t="shared" si="134"/>
        <v>59</v>
      </c>
      <c r="R1610" s="3">
        <f t="shared" si="135"/>
        <v>50308.550000000025</v>
      </c>
      <c r="S1610" s="24" t="s">
        <v>1334</v>
      </c>
      <c r="T1610" s="24" t="s">
        <v>1334</v>
      </c>
      <c r="U1610" s="53"/>
      <c r="V1610" s="25">
        <f>IFERROR(VLOOKUP(BCP_Soles[[#This Row],[destinatario]],CHOOSE({1,2},Clientes_Proveedores[Razon Social],Clientes_Proveedores[Ruc / Dni]),2,0),"")</f>
        <v>10425371652</v>
      </c>
      <c r="W1610" s="25" t="s">
        <v>166</v>
      </c>
      <c r="X1610" s="25" t="s">
        <v>2953</v>
      </c>
      <c r="Y1610" s="25"/>
      <c r="Z1610" s="75"/>
      <c r="AA1610" s="3" t="str">
        <f>IF(BCP_Soles[[#This Row],[fecha]]&gt;0,TEXT(BCP_Soles[[#This Row],[fecha]],"mmmm"),0)</f>
        <v>Mayo</v>
      </c>
    </row>
    <row r="1611" spans="1:27" x14ac:dyDescent="0.3">
      <c r="A1611" s="2">
        <f>IF(BCP_Soles[[#This Row],[tipo_registro]]="R",COUNTIFS($C$1:$C1610,"R")+1,A1610)</f>
        <v>1210</v>
      </c>
      <c r="B1611" s="19" t="str">
        <f t="shared" si="131"/>
        <v>B-BCP - Soles</v>
      </c>
      <c r="C1611" s="3" t="s">
        <v>1330</v>
      </c>
      <c r="D1611" s="14">
        <v>45784</v>
      </c>
      <c r="E1611" s="5" t="s">
        <v>1416</v>
      </c>
      <c r="F1611" s="5" t="s">
        <v>1336</v>
      </c>
      <c r="G1611" s="6"/>
      <c r="H1611" s="6"/>
      <c r="I1611" s="6"/>
      <c r="J1611" s="6"/>
      <c r="K1611" s="7" t="s">
        <v>2954</v>
      </c>
      <c r="L1611" s="8">
        <v>1012898</v>
      </c>
      <c r="M1611" s="8" t="str">
        <f t="shared" si="132"/>
        <v>PEN</v>
      </c>
      <c r="N1611" s="13"/>
      <c r="O1611" s="13">
        <v>319</v>
      </c>
      <c r="P1611" s="3">
        <f t="shared" si="133"/>
        <v>0</v>
      </c>
      <c r="Q1611" s="3">
        <f t="shared" si="134"/>
        <v>319</v>
      </c>
      <c r="R1611" s="3">
        <f t="shared" si="135"/>
        <v>49989.550000000025</v>
      </c>
      <c r="S1611" s="24"/>
      <c r="T1611" s="24"/>
      <c r="U1611" s="53"/>
      <c r="V1611" s="25" t="str">
        <f>IFERROR(VLOOKUP(BCP_Soles[[#This Row],[destinatario]],CHOOSE({1,2},Clientes_Proveedores[Razon Social],Clientes_Proveedores[Ruc / Dni]),2,0),"")</f>
        <v/>
      </c>
      <c r="W1611" s="25" t="s">
        <v>2666</v>
      </c>
      <c r="X1611" s="25"/>
      <c r="Y1611" s="25"/>
      <c r="Z1611" s="75"/>
      <c r="AA1611" s="3" t="str">
        <f>IF(BCP_Soles[[#This Row],[fecha]]&gt;0,TEXT(BCP_Soles[[#This Row],[fecha]],"mmmm"),0)</f>
        <v>Mayo</v>
      </c>
    </row>
    <row r="1612" spans="1:27" ht="24" x14ac:dyDescent="0.3">
      <c r="A1612" s="2">
        <f>IF(BCP_Soles[[#This Row],[tipo_registro]]="R",COUNTIFS($C$1:$C1611,"R")+1,A1611)</f>
        <v>1211</v>
      </c>
      <c r="B1612" s="19" t="str">
        <f t="shared" si="131"/>
        <v>B-BCP - Soles</v>
      </c>
      <c r="C1612" s="3" t="s">
        <v>1330</v>
      </c>
      <c r="D1612" s="14">
        <v>45784</v>
      </c>
      <c r="E1612" s="5" t="s">
        <v>2269</v>
      </c>
      <c r="F1612" s="5" t="s">
        <v>1336</v>
      </c>
      <c r="G1612" s="6" t="s">
        <v>788</v>
      </c>
      <c r="H1612" s="6" t="s">
        <v>143</v>
      </c>
      <c r="I1612" s="6">
        <v>1</v>
      </c>
      <c r="J1612" s="6">
        <v>342025</v>
      </c>
      <c r="K1612" s="7" t="s">
        <v>2955</v>
      </c>
      <c r="L1612" s="8">
        <v>1103411</v>
      </c>
      <c r="M1612" s="8" t="str">
        <f t="shared" si="132"/>
        <v>PEN</v>
      </c>
      <c r="N1612" s="13"/>
      <c r="O1612" s="13">
        <v>448</v>
      </c>
      <c r="P1612" s="3">
        <f t="shared" si="133"/>
        <v>0</v>
      </c>
      <c r="Q1612" s="3">
        <f t="shared" si="134"/>
        <v>448</v>
      </c>
      <c r="R1612" s="3">
        <f t="shared" si="135"/>
        <v>49541.550000000025</v>
      </c>
      <c r="S1612" s="24" t="s">
        <v>1334</v>
      </c>
      <c r="T1612" s="24" t="s">
        <v>1334</v>
      </c>
      <c r="U1612" s="53"/>
      <c r="V1612" s="25">
        <f>IFERROR(VLOOKUP(BCP_Soles[[#This Row],[destinatario]],CHOOSE({1,2},Clientes_Proveedores[Razon Social],Clientes_Proveedores[Ruc / Dni]),2,0),"")</f>
        <v>73238347</v>
      </c>
      <c r="W1612" s="25" t="s">
        <v>788</v>
      </c>
      <c r="X1612" s="25" t="s">
        <v>2956</v>
      </c>
      <c r="Y1612" s="25"/>
      <c r="Z1612" s="75"/>
      <c r="AA1612" s="3" t="str">
        <f>IF(BCP_Soles[[#This Row],[fecha]]&gt;0,TEXT(BCP_Soles[[#This Row],[fecha]],"mmmm"),0)</f>
        <v>Mayo</v>
      </c>
    </row>
    <row r="1613" spans="1:27" x14ac:dyDescent="0.3">
      <c r="A1613" s="2">
        <f>IF(BCP_Soles[[#This Row],[tipo_registro]]="R",COUNTIFS($C$1:$C1612,"R")+1,A1612)</f>
        <v>1212</v>
      </c>
      <c r="B1613" s="19" t="str">
        <f t="shared" si="131"/>
        <v>B-BCP - Soles</v>
      </c>
      <c r="C1613" s="3" t="s">
        <v>1330</v>
      </c>
      <c r="D1613" s="14">
        <v>45784</v>
      </c>
      <c r="E1613" s="5" t="s">
        <v>1416</v>
      </c>
      <c r="F1613" s="5" t="s">
        <v>1336</v>
      </c>
      <c r="G1613" s="6"/>
      <c r="H1613" s="6"/>
      <c r="I1613" s="6"/>
      <c r="J1613" s="6"/>
      <c r="K1613" s="7" t="s">
        <v>2957</v>
      </c>
      <c r="L1613" s="8">
        <v>1013362</v>
      </c>
      <c r="M1613" s="8" t="str">
        <f t="shared" si="132"/>
        <v>PEN</v>
      </c>
      <c r="N1613" s="13"/>
      <c r="O1613" s="13">
        <v>531</v>
      </c>
      <c r="P1613" s="3">
        <f t="shared" si="133"/>
        <v>0</v>
      </c>
      <c r="Q1613" s="3">
        <f t="shared" si="134"/>
        <v>531</v>
      </c>
      <c r="R1613" s="3">
        <f t="shared" si="135"/>
        <v>49010.550000000025</v>
      </c>
      <c r="S1613" s="24"/>
      <c r="T1613" s="24"/>
      <c r="U1613" s="53"/>
      <c r="V1613" s="25" t="str">
        <f>IFERROR(VLOOKUP(BCP_Soles[[#This Row],[destinatario]],CHOOSE({1,2},Clientes_Proveedores[Razon Social],Clientes_Proveedores[Ruc / Dni]),2,0),"")</f>
        <v/>
      </c>
      <c r="W1613" s="25" t="s">
        <v>2666</v>
      </c>
      <c r="X1613" s="25"/>
      <c r="Y1613" s="25"/>
      <c r="Z1613" s="75"/>
      <c r="AA1613" s="3" t="str">
        <f>IF(BCP_Soles[[#This Row],[fecha]]&gt;0,TEXT(BCP_Soles[[#This Row],[fecha]],"mmmm"),0)</f>
        <v>Mayo</v>
      </c>
    </row>
    <row r="1614" spans="1:27" x14ac:dyDescent="0.3">
      <c r="A1614" s="2">
        <f>IF(BCP_Soles[[#This Row],[tipo_registro]]="R",COUNTIFS($C$1:$C1613,"R")+1,A1613)</f>
        <v>1213</v>
      </c>
      <c r="B1614" s="19" t="str">
        <f t="shared" si="131"/>
        <v>B-BCP - Soles</v>
      </c>
      <c r="C1614" s="3" t="s">
        <v>1330</v>
      </c>
      <c r="D1614" s="14">
        <v>45784</v>
      </c>
      <c r="E1614" s="5" t="s">
        <v>1416</v>
      </c>
      <c r="F1614" s="5" t="s">
        <v>1336</v>
      </c>
      <c r="G1614" s="6"/>
      <c r="H1614" s="6"/>
      <c r="I1614" s="6"/>
      <c r="J1614" s="6"/>
      <c r="K1614" s="7" t="s">
        <v>2958</v>
      </c>
      <c r="L1614" s="8">
        <v>1013319</v>
      </c>
      <c r="M1614" s="8" t="str">
        <f t="shared" si="132"/>
        <v>PEN</v>
      </c>
      <c r="N1614" s="13"/>
      <c r="O1614" s="13">
        <v>743</v>
      </c>
      <c r="P1614" s="3">
        <f t="shared" si="133"/>
        <v>0</v>
      </c>
      <c r="Q1614" s="3">
        <f t="shared" si="134"/>
        <v>743</v>
      </c>
      <c r="R1614" s="3">
        <f t="shared" si="135"/>
        <v>48267.550000000025</v>
      </c>
      <c r="S1614" s="24"/>
      <c r="T1614" s="24"/>
      <c r="U1614" s="53"/>
      <c r="V1614" s="25" t="str">
        <f>IFERROR(VLOOKUP(BCP_Soles[[#This Row],[destinatario]],CHOOSE({1,2},Clientes_Proveedores[Razon Social],Clientes_Proveedores[Ruc / Dni]),2,0),"")</f>
        <v/>
      </c>
      <c r="W1614" s="25" t="s">
        <v>2666</v>
      </c>
      <c r="X1614" s="25"/>
      <c r="Y1614" s="25"/>
      <c r="Z1614" s="75"/>
      <c r="AA1614" s="3" t="str">
        <f>IF(BCP_Soles[[#This Row],[fecha]]&gt;0,TEXT(BCP_Soles[[#This Row],[fecha]],"mmmm"),0)</f>
        <v>Mayo</v>
      </c>
    </row>
    <row r="1615" spans="1:27" ht="24" x14ac:dyDescent="0.3">
      <c r="A1615" s="2">
        <f>IF(BCP_Soles[[#This Row],[tipo_registro]]="R",COUNTIFS($C$1:$C1614,"R")+1,A1614)</f>
        <v>1214</v>
      </c>
      <c r="B1615" s="19" t="str">
        <f t="shared" si="131"/>
        <v>B-BCP - Soles</v>
      </c>
      <c r="C1615" s="3" t="s">
        <v>1330</v>
      </c>
      <c r="D1615" s="14">
        <v>45784</v>
      </c>
      <c r="E1615" s="5" t="s">
        <v>1338</v>
      </c>
      <c r="F1615" s="5" t="s">
        <v>1336</v>
      </c>
      <c r="G1615" s="6" t="s">
        <v>249</v>
      </c>
      <c r="H1615" s="6"/>
      <c r="I1615" s="6"/>
      <c r="J1615" s="6"/>
      <c r="K1615" s="7" t="s">
        <v>2959</v>
      </c>
      <c r="L1615" s="8">
        <v>1207002</v>
      </c>
      <c r="M1615" s="8" t="str">
        <f t="shared" si="132"/>
        <v>PEN</v>
      </c>
      <c r="N1615" s="13"/>
      <c r="O1615" s="13">
        <v>1095.98</v>
      </c>
      <c r="P1615" s="3">
        <f t="shared" si="133"/>
        <v>0</v>
      </c>
      <c r="Q1615" s="3">
        <f t="shared" si="134"/>
        <v>1095.98</v>
      </c>
      <c r="R1615" s="3">
        <f t="shared" si="135"/>
        <v>47171.570000000022</v>
      </c>
      <c r="S1615" s="24"/>
      <c r="T1615" s="24"/>
      <c r="U1615" s="53"/>
      <c r="V1615" s="25">
        <f>IFERROR(VLOOKUP(BCP_Soles[[#This Row],[destinatario]],CHOOSE({1,2},Clientes_Proveedores[Razon Social],Clientes_Proveedores[Ruc / Dni]),2,0),"")</f>
        <v>20302891452</v>
      </c>
      <c r="W1615" s="25" t="s">
        <v>249</v>
      </c>
      <c r="X1615" s="25"/>
      <c r="Y1615" s="25"/>
      <c r="Z1615" s="75"/>
      <c r="AA1615" s="3" t="str">
        <f>IF(BCP_Soles[[#This Row],[fecha]]&gt;0,TEXT(BCP_Soles[[#This Row],[fecha]],"mmmm"),0)</f>
        <v>Mayo</v>
      </c>
    </row>
    <row r="1616" spans="1:27" ht="36" x14ac:dyDescent="0.3">
      <c r="A1616" s="2">
        <f>IF(BCP_Soles[[#This Row],[tipo_registro]]="R",COUNTIFS($C$1:$C1615,"R")+1,A1615)</f>
        <v>1215</v>
      </c>
      <c r="B1616" s="19" t="str">
        <f t="shared" si="131"/>
        <v>B-BCP - Soles</v>
      </c>
      <c r="C1616" s="3" t="s">
        <v>1330</v>
      </c>
      <c r="D1616" s="14">
        <v>45784</v>
      </c>
      <c r="E1616" s="5" t="s">
        <v>1338</v>
      </c>
      <c r="F1616" s="5" t="s">
        <v>1336</v>
      </c>
      <c r="G1616" s="6" t="s">
        <v>495</v>
      </c>
      <c r="H1616" s="6" t="s">
        <v>68</v>
      </c>
      <c r="I1616" s="6" t="s">
        <v>1376</v>
      </c>
      <c r="J1616" s="6">
        <v>3821</v>
      </c>
      <c r="K1616" s="7" t="s">
        <v>2960</v>
      </c>
      <c r="L1616" s="8">
        <v>1101947</v>
      </c>
      <c r="M1616" s="8" t="str">
        <f t="shared" si="132"/>
        <v>PEN</v>
      </c>
      <c r="N1616" s="13"/>
      <c r="O1616" s="13">
        <v>1593</v>
      </c>
      <c r="P1616" s="3">
        <f t="shared" si="133"/>
        <v>0</v>
      </c>
      <c r="Q1616" s="3">
        <f t="shared" si="134"/>
        <v>1593</v>
      </c>
      <c r="R1616" s="3">
        <f t="shared" si="135"/>
        <v>45578.570000000022</v>
      </c>
      <c r="S1616" s="24" t="s">
        <v>1334</v>
      </c>
      <c r="T1616" s="24" t="s">
        <v>1334</v>
      </c>
      <c r="U1616" s="53"/>
      <c r="V1616" s="25">
        <f>IFERROR(VLOOKUP(BCP_Soles[[#This Row],[destinatario]],CHOOSE({1,2},Clientes_Proveedores[Razon Social],Clientes_Proveedores[Ruc / Dni]),2,0),"")</f>
        <v>20602778861</v>
      </c>
      <c r="W1616" s="25" t="s">
        <v>495</v>
      </c>
      <c r="X1616" s="25" t="s">
        <v>2961</v>
      </c>
      <c r="Y1616" s="25"/>
      <c r="Z1616" s="75"/>
      <c r="AA1616" s="3" t="str">
        <f>IF(BCP_Soles[[#This Row],[fecha]]&gt;0,TEXT(BCP_Soles[[#This Row],[fecha]],"mmmm"),0)</f>
        <v>Mayo</v>
      </c>
    </row>
    <row r="1617" spans="1:27" x14ac:dyDescent="0.3">
      <c r="A1617" s="2">
        <f>IF(BCP_Soles[[#This Row],[tipo_registro]]="R",COUNTIFS($C$1:$C1616,"R")+1,A1616)</f>
        <v>1216</v>
      </c>
      <c r="B1617" s="19" t="str">
        <f t="shared" si="131"/>
        <v>B-BCP - Soles</v>
      </c>
      <c r="C1617" s="3" t="s">
        <v>1330</v>
      </c>
      <c r="D1617" s="14">
        <v>45784</v>
      </c>
      <c r="E1617" s="5" t="s">
        <v>1416</v>
      </c>
      <c r="F1617" s="5" t="s">
        <v>1336</v>
      </c>
      <c r="G1617" s="6"/>
      <c r="H1617" s="6"/>
      <c r="I1617" s="6"/>
      <c r="J1617" s="6"/>
      <c r="K1617" s="7" t="s">
        <v>2962</v>
      </c>
      <c r="L1617" s="8">
        <v>1012786</v>
      </c>
      <c r="M1617" s="8" t="str">
        <f t="shared" si="132"/>
        <v>PEN</v>
      </c>
      <c r="N1617" s="13"/>
      <c r="O1617" s="13">
        <v>2301</v>
      </c>
      <c r="P1617" s="3">
        <f t="shared" si="133"/>
        <v>0</v>
      </c>
      <c r="Q1617" s="3">
        <f t="shared" si="134"/>
        <v>2301</v>
      </c>
      <c r="R1617" s="3">
        <f t="shared" si="135"/>
        <v>43277.570000000022</v>
      </c>
      <c r="S1617" s="24"/>
      <c r="T1617" s="24"/>
      <c r="U1617" s="53"/>
      <c r="V1617" s="25" t="str">
        <f>IFERROR(VLOOKUP(BCP_Soles[[#This Row],[destinatario]],CHOOSE({1,2},Clientes_Proveedores[Razon Social],Clientes_Proveedores[Ruc / Dni]),2,0),"")</f>
        <v/>
      </c>
      <c r="W1617" s="25" t="s">
        <v>2666</v>
      </c>
      <c r="X1617" s="25"/>
      <c r="Y1617" s="25"/>
      <c r="Z1617" s="75"/>
      <c r="AA1617" s="3" t="str">
        <f>IF(BCP_Soles[[#This Row],[fecha]]&gt;0,TEXT(BCP_Soles[[#This Row],[fecha]],"mmmm"),0)</f>
        <v>Mayo</v>
      </c>
    </row>
    <row r="1618" spans="1:27" ht="24" x14ac:dyDescent="0.3">
      <c r="A1618" s="2">
        <f>IF(BCP_Soles[[#This Row],[tipo_registro]]="R",COUNTIFS($C$1:$C1617,"R")+1,A1617)</f>
        <v>1217</v>
      </c>
      <c r="B1618" s="19" t="str">
        <f t="shared" si="131"/>
        <v>B-BCP - Soles</v>
      </c>
      <c r="C1618" s="3" t="s">
        <v>1330</v>
      </c>
      <c r="D1618" s="14">
        <v>45784</v>
      </c>
      <c r="E1618" s="5" t="s">
        <v>1338</v>
      </c>
      <c r="F1618" s="5" t="s">
        <v>1336</v>
      </c>
      <c r="G1618" s="6" t="s">
        <v>698</v>
      </c>
      <c r="H1618" s="6"/>
      <c r="I1618" s="6"/>
      <c r="J1618" s="6"/>
      <c r="K1618" s="7" t="s">
        <v>2963</v>
      </c>
      <c r="L1618" s="8">
        <v>4010674</v>
      </c>
      <c r="M1618" s="8" t="str">
        <f t="shared" si="132"/>
        <v>PEN</v>
      </c>
      <c r="N1618" s="13"/>
      <c r="O1618" s="13">
        <v>3219.5</v>
      </c>
      <c r="P1618" s="3">
        <f t="shared" si="133"/>
        <v>0</v>
      </c>
      <c r="Q1618" s="3">
        <f t="shared" si="134"/>
        <v>3219.5</v>
      </c>
      <c r="R1618" s="3">
        <f t="shared" si="135"/>
        <v>40058.070000000022</v>
      </c>
      <c r="S1618" s="24"/>
      <c r="T1618" s="24"/>
      <c r="U1618" s="53"/>
      <c r="V1618" s="25">
        <f>IFERROR(VLOOKUP(BCP_Soles[[#This Row],[destinatario]],CHOOSE({1,2},Clientes_Proveedores[Razon Social],Clientes_Proveedores[Ruc / Dni]),2,0),"")</f>
        <v>10296347634</v>
      </c>
      <c r="W1618" s="25" t="s">
        <v>698</v>
      </c>
      <c r="X1618" s="25"/>
      <c r="Y1618" s="25"/>
      <c r="Z1618" s="75"/>
      <c r="AA1618" s="3" t="str">
        <f>IF(BCP_Soles[[#This Row],[fecha]]&gt;0,TEXT(BCP_Soles[[#This Row],[fecha]],"mmmm"),0)</f>
        <v>Mayo</v>
      </c>
    </row>
    <row r="1619" spans="1:27" ht="24" x14ac:dyDescent="0.3">
      <c r="A1619" s="2">
        <f>IF(BCP_Soles[[#This Row],[tipo_registro]]="R",COUNTIFS($C$1:$C1618,"R")+1,A1618)</f>
        <v>1217</v>
      </c>
      <c r="B1619" s="19" t="str">
        <f t="shared" ref="B1619:B1682" si="136">"B-BCP - Soles"</f>
        <v>B-BCP - Soles</v>
      </c>
      <c r="C1619" s="3" t="s">
        <v>1352</v>
      </c>
      <c r="D1619" s="14">
        <v>45784</v>
      </c>
      <c r="E1619" s="5" t="s">
        <v>1338</v>
      </c>
      <c r="F1619" s="5" t="s">
        <v>1336</v>
      </c>
      <c r="G1619" s="6" t="s">
        <v>698</v>
      </c>
      <c r="H1619" s="6" t="s">
        <v>64</v>
      </c>
      <c r="I1619" s="6"/>
      <c r="J1619" s="6"/>
      <c r="K1619" s="7" t="s">
        <v>2963</v>
      </c>
      <c r="L1619" s="8">
        <v>4010674</v>
      </c>
      <c r="M1619" s="8" t="str">
        <f t="shared" ref="M1619:M1682" si="137">"PEN"</f>
        <v>PEN</v>
      </c>
      <c r="N1619" s="13">
        <v>3200</v>
      </c>
      <c r="O1619" s="13"/>
      <c r="P1619" s="3">
        <f t="shared" ref="P1619:P1682" si="138">+IF(OR($F1619="SALDO",$F1619="INGRESO"),$O1619,0)</f>
        <v>0</v>
      </c>
      <c r="Q1619" s="3">
        <f t="shared" ref="Q1619:Q1682" si="139">+IF($F1619="EGRESO",$O1619,0)</f>
        <v>0</v>
      </c>
      <c r="R1619" s="3">
        <f t="shared" si="135"/>
        <v>40058.070000000022</v>
      </c>
      <c r="S1619" s="24"/>
      <c r="T1619" s="24"/>
      <c r="U1619" s="53"/>
      <c r="V1619" s="25">
        <f>IFERROR(VLOOKUP(BCP_Soles[[#This Row],[destinatario]],CHOOSE({1,2},Clientes_Proveedores[Razon Social],Clientes_Proveedores[Ruc / Dni]),2,0),"")</f>
        <v>10296347634</v>
      </c>
      <c r="W1619" s="25"/>
      <c r="X1619" s="25"/>
      <c r="Y1619" s="25"/>
      <c r="Z1619" s="75"/>
      <c r="AA1619" s="3" t="str">
        <f>IF(BCP_Soles[[#This Row],[fecha]]&gt;0,TEXT(BCP_Soles[[#This Row],[fecha]],"mmmm"),0)</f>
        <v>Mayo</v>
      </c>
    </row>
    <row r="1620" spans="1:27" ht="24" x14ac:dyDescent="0.3">
      <c r="A1620" s="2">
        <f>IF(BCP_Soles[[#This Row],[tipo_registro]]="R",COUNTIFS($C$1:$C1619,"R")+1,A1619)</f>
        <v>1217</v>
      </c>
      <c r="B1620" s="19" t="str">
        <f t="shared" si="136"/>
        <v>B-BCP - Soles</v>
      </c>
      <c r="C1620" s="3" t="s">
        <v>1352</v>
      </c>
      <c r="D1620" s="14">
        <v>45784</v>
      </c>
      <c r="E1620" s="5" t="s">
        <v>1338</v>
      </c>
      <c r="F1620" s="5" t="s">
        <v>1336</v>
      </c>
      <c r="G1620" s="6" t="s">
        <v>1060</v>
      </c>
      <c r="H1620" s="6" t="s">
        <v>68</v>
      </c>
      <c r="I1620" s="6" t="s">
        <v>1397</v>
      </c>
      <c r="J1620" s="6">
        <v>32298278</v>
      </c>
      <c r="K1620" s="7" t="s">
        <v>2963</v>
      </c>
      <c r="L1620" s="8">
        <v>4010674</v>
      </c>
      <c r="M1620" s="8" t="str">
        <f t="shared" si="137"/>
        <v>PEN</v>
      </c>
      <c r="N1620" s="13">
        <v>19.5</v>
      </c>
      <c r="O1620" s="13"/>
      <c r="P1620" s="3">
        <f t="shared" si="138"/>
        <v>0</v>
      </c>
      <c r="Q1620" s="3">
        <f t="shared" si="139"/>
        <v>0</v>
      </c>
      <c r="R1620" s="3">
        <f t="shared" si="135"/>
        <v>40058.070000000022</v>
      </c>
      <c r="S1620" s="24"/>
      <c r="T1620" s="24"/>
      <c r="U1620" s="53"/>
      <c r="V1620" s="25">
        <f>IFERROR(VLOOKUP(BCP_Soles[[#This Row],[destinatario]],CHOOSE({1,2},Clientes_Proveedores[Razon Social],Clientes_Proveedores[Ruc / Dni]),2,0),"")</f>
        <v>20100047218</v>
      </c>
      <c r="W1620" s="25"/>
      <c r="X1620" s="25"/>
      <c r="Y1620" s="25"/>
      <c r="Z1620" s="75"/>
      <c r="AA1620" s="3" t="str">
        <f>IF(BCP_Soles[[#This Row],[fecha]]&gt;0,TEXT(BCP_Soles[[#This Row],[fecha]],"mmmm"),0)</f>
        <v>Mayo</v>
      </c>
    </row>
    <row r="1621" spans="1:27" ht="24" x14ac:dyDescent="0.3">
      <c r="A1621" s="2">
        <f>IF(BCP_Soles[[#This Row],[tipo_registro]]="R",COUNTIFS($C$1:$C1620,"R")+1,A1620)</f>
        <v>1218</v>
      </c>
      <c r="B1621" s="19" t="str">
        <f t="shared" si="136"/>
        <v>B-BCP - Soles</v>
      </c>
      <c r="C1621" s="3" t="s">
        <v>1330</v>
      </c>
      <c r="D1621" s="14">
        <v>45785</v>
      </c>
      <c r="E1621" s="5" t="s">
        <v>1617</v>
      </c>
      <c r="F1621" s="5" t="s">
        <v>1303</v>
      </c>
      <c r="G1621" s="6" t="s">
        <v>425</v>
      </c>
      <c r="H1621" s="6" t="s">
        <v>119</v>
      </c>
      <c r="I1621" s="6">
        <v>1</v>
      </c>
      <c r="J1621" s="6">
        <v>4335</v>
      </c>
      <c r="K1621" s="7" t="s">
        <v>1356</v>
      </c>
      <c r="L1621" s="8">
        <v>2529894</v>
      </c>
      <c r="M1621" s="8" t="str">
        <f t="shared" si="137"/>
        <v>PEN</v>
      </c>
      <c r="N1621" s="13"/>
      <c r="O1621" s="13">
        <v>1000</v>
      </c>
      <c r="P1621" s="3">
        <f t="shared" si="138"/>
        <v>1000</v>
      </c>
      <c r="Q1621" s="3">
        <f t="shared" si="139"/>
        <v>0</v>
      </c>
      <c r="R1621" s="3">
        <f t="shared" si="135"/>
        <v>41058.070000000022</v>
      </c>
      <c r="S1621" s="24" t="s">
        <v>1334</v>
      </c>
      <c r="T1621" s="24" t="s">
        <v>1334</v>
      </c>
      <c r="U1621" s="53"/>
      <c r="V1621" s="25">
        <f>IFERROR(VLOOKUP(BCP_Soles[[#This Row],[destinatario]],CHOOSE({1,2},Clientes_Proveedores[Razon Social],Clientes_Proveedores[Ruc / Dni]),2,0),"")</f>
        <v>20558226979</v>
      </c>
      <c r="W1621" s="25" t="s">
        <v>1345</v>
      </c>
      <c r="X1621" s="25" t="s">
        <v>2866</v>
      </c>
      <c r="Y1621" s="25"/>
      <c r="Z1621" s="75"/>
      <c r="AA1621" s="3" t="str">
        <f>IF(BCP_Soles[[#This Row],[fecha]]&gt;0,TEXT(BCP_Soles[[#This Row],[fecha]],"mmmm"),0)</f>
        <v>Mayo</v>
      </c>
    </row>
    <row r="1622" spans="1:27" x14ac:dyDescent="0.3">
      <c r="A1622" s="2">
        <f>IF(BCP_Soles[[#This Row],[tipo_registro]]="R",COUNTIFS($C$1:$C1621,"R")+1,A1621)</f>
        <v>1219</v>
      </c>
      <c r="B1622" s="19" t="str">
        <f t="shared" si="136"/>
        <v>B-BCP - Soles</v>
      </c>
      <c r="C1622" s="3" t="s">
        <v>1330</v>
      </c>
      <c r="D1622" s="14">
        <v>45785</v>
      </c>
      <c r="E1622" s="5" t="s">
        <v>551</v>
      </c>
      <c r="F1622" s="5" t="s">
        <v>1303</v>
      </c>
      <c r="G1622" s="6" t="s">
        <v>425</v>
      </c>
      <c r="H1622" s="6"/>
      <c r="I1622" s="6"/>
      <c r="J1622" s="6"/>
      <c r="K1622" s="7" t="s">
        <v>1356</v>
      </c>
      <c r="L1622" s="8">
        <v>5108678</v>
      </c>
      <c r="M1622" s="8" t="str">
        <f t="shared" si="137"/>
        <v>PEN</v>
      </c>
      <c r="N1622" s="13"/>
      <c r="O1622" s="13">
        <v>3540</v>
      </c>
      <c r="P1622" s="3">
        <f t="shared" si="138"/>
        <v>3540</v>
      </c>
      <c r="Q1622" s="3">
        <f t="shared" si="139"/>
        <v>0</v>
      </c>
      <c r="R1622" s="3">
        <f t="shared" si="135"/>
        <v>44598.070000000022</v>
      </c>
      <c r="S1622" s="24" t="s">
        <v>1334</v>
      </c>
      <c r="T1622" s="24" t="s">
        <v>1334</v>
      </c>
      <c r="U1622" s="53"/>
      <c r="V1622" s="25">
        <f>IFERROR(VLOOKUP(BCP_Soles[[#This Row],[destinatario]],CHOOSE({1,2},Clientes_Proveedores[Razon Social],Clientes_Proveedores[Ruc / Dni]),2,0),"")</f>
        <v>20558226979</v>
      </c>
      <c r="W1622" s="25" t="s">
        <v>1345</v>
      </c>
      <c r="X1622" s="25" t="s">
        <v>2964</v>
      </c>
      <c r="Y1622" s="25"/>
      <c r="Z1622" s="75"/>
      <c r="AA1622" s="3" t="str">
        <f>IF(BCP_Soles[[#This Row],[fecha]]&gt;0,TEXT(BCP_Soles[[#This Row],[fecha]],"mmmm"),0)</f>
        <v>Mayo</v>
      </c>
    </row>
    <row r="1623" spans="1:27" x14ac:dyDescent="0.3">
      <c r="A1623" s="2">
        <f>IF(BCP_Soles[[#This Row],[tipo_registro]]="R",COUNTIFS($C$1:$C1622,"R")+1,A1622)</f>
        <v>1220</v>
      </c>
      <c r="B1623" s="19" t="str">
        <f t="shared" si="136"/>
        <v>B-BCP - Soles</v>
      </c>
      <c r="C1623" s="3" t="s">
        <v>1330</v>
      </c>
      <c r="D1623" s="14">
        <v>45785</v>
      </c>
      <c r="E1623" s="5" t="s">
        <v>551</v>
      </c>
      <c r="F1623" s="5" t="s">
        <v>1303</v>
      </c>
      <c r="G1623" s="6" t="s">
        <v>425</v>
      </c>
      <c r="H1623" s="6"/>
      <c r="I1623" s="6"/>
      <c r="J1623" s="6"/>
      <c r="K1623" s="7" t="s">
        <v>1356</v>
      </c>
      <c r="L1623" s="8">
        <v>5111260</v>
      </c>
      <c r="M1623" s="8" t="str">
        <f t="shared" si="137"/>
        <v>PEN</v>
      </c>
      <c r="N1623" s="13"/>
      <c r="O1623" s="13">
        <v>4956</v>
      </c>
      <c r="P1623" s="3">
        <f t="shared" si="138"/>
        <v>4956</v>
      </c>
      <c r="Q1623" s="3">
        <f t="shared" si="139"/>
        <v>0</v>
      </c>
      <c r="R1623" s="3">
        <f t="shared" si="135"/>
        <v>49554.070000000022</v>
      </c>
      <c r="S1623" s="24" t="s">
        <v>1334</v>
      </c>
      <c r="T1623" s="24" t="s">
        <v>1334</v>
      </c>
      <c r="U1623" s="53"/>
      <c r="V1623" s="25">
        <f>IFERROR(VLOOKUP(BCP_Soles[[#This Row],[destinatario]],CHOOSE({1,2},Clientes_Proveedores[Razon Social],Clientes_Proveedores[Ruc / Dni]),2,0),"")</f>
        <v>20558226979</v>
      </c>
      <c r="W1623" s="25" t="s">
        <v>1345</v>
      </c>
      <c r="X1623" s="25" t="s">
        <v>2965</v>
      </c>
      <c r="Y1623" s="25"/>
      <c r="Z1623" s="75"/>
      <c r="AA1623" s="3" t="str">
        <f>IF(BCP_Soles[[#This Row],[fecha]]&gt;0,TEXT(BCP_Soles[[#This Row],[fecha]],"mmmm"),0)</f>
        <v>Mayo</v>
      </c>
    </row>
    <row r="1624" spans="1:27" x14ac:dyDescent="0.3">
      <c r="A1624" s="2">
        <f>IF(BCP_Soles[[#This Row],[tipo_registro]]="R",COUNTIFS($C$1:$C1623,"R")+1,A1623)</f>
        <v>1221</v>
      </c>
      <c r="B1624" s="19" t="str">
        <f t="shared" si="136"/>
        <v>B-BCP - Soles</v>
      </c>
      <c r="C1624" s="3" t="s">
        <v>1330</v>
      </c>
      <c r="D1624" s="14">
        <v>45785</v>
      </c>
      <c r="E1624" s="5" t="s">
        <v>1335</v>
      </c>
      <c r="F1624" s="5" t="s">
        <v>1336</v>
      </c>
      <c r="G1624" s="6"/>
      <c r="H1624" s="6"/>
      <c r="I1624" s="6"/>
      <c r="J1624" s="6"/>
      <c r="K1624" s="7" t="s">
        <v>1337</v>
      </c>
      <c r="L1624" s="8"/>
      <c r="M1624" s="8" t="str">
        <f t="shared" si="137"/>
        <v>PEN</v>
      </c>
      <c r="N1624" s="13"/>
      <c r="O1624" s="13">
        <v>0.7</v>
      </c>
      <c r="P1624" s="3">
        <f t="shared" si="138"/>
        <v>0</v>
      </c>
      <c r="Q1624" s="3">
        <f t="shared" si="139"/>
        <v>0.7</v>
      </c>
      <c r="R1624" s="3">
        <f t="shared" si="135"/>
        <v>49553.370000000024</v>
      </c>
      <c r="S1624" s="24"/>
      <c r="T1624" s="24" t="s">
        <v>1334</v>
      </c>
      <c r="U1624" s="53"/>
      <c r="V1624" s="25" t="str">
        <f>IFERROR(VLOOKUP(BCP_Soles[[#This Row],[destinatario]],CHOOSE({1,2},Clientes_Proveedores[Razon Social],Clientes_Proveedores[Ruc / Dni]),2,0),"")</f>
        <v/>
      </c>
      <c r="W1624" s="25"/>
      <c r="X1624" s="25"/>
      <c r="Y1624" s="25"/>
      <c r="Z1624" s="75"/>
      <c r="AA1624" s="3" t="str">
        <f>IF(BCP_Soles[[#This Row],[fecha]]&gt;0,TEXT(BCP_Soles[[#This Row],[fecha]],"mmmm"),0)</f>
        <v>Mayo</v>
      </c>
    </row>
    <row r="1625" spans="1:27" x14ac:dyDescent="0.3">
      <c r="A1625" s="2">
        <f>IF(BCP_Soles[[#This Row],[tipo_registro]]="R",COUNTIFS($C$1:$C1624,"R")+1,A1624)</f>
        <v>1222</v>
      </c>
      <c r="B1625" s="19" t="str">
        <f t="shared" si="136"/>
        <v>B-BCP - Soles</v>
      </c>
      <c r="C1625" s="3" t="s">
        <v>1330</v>
      </c>
      <c r="D1625" s="14">
        <v>45785</v>
      </c>
      <c r="E1625" s="5" t="s">
        <v>1338</v>
      </c>
      <c r="F1625" s="5" t="s">
        <v>1336</v>
      </c>
      <c r="G1625" s="6" t="s">
        <v>196</v>
      </c>
      <c r="H1625" s="6" t="s">
        <v>68</v>
      </c>
      <c r="I1625" s="6" t="s">
        <v>2226</v>
      </c>
      <c r="J1625" s="6">
        <v>6299</v>
      </c>
      <c r="K1625" s="7" t="s">
        <v>2227</v>
      </c>
      <c r="L1625" s="8">
        <v>99935</v>
      </c>
      <c r="M1625" s="8" t="str">
        <f t="shared" si="137"/>
        <v>PEN</v>
      </c>
      <c r="N1625" s="13"/>
      <c r="O1625" s="13">
        <v>3.96</v>
      </c>
      <c r="P1625" s="3">
        <f t="shared" si="138"/>
        <v>0</v>
      </c>
      <c r="Q1625" s="3">
        <f t="shared" si="139"/>
        <v>3.96</v>
      </c>
      <c r="R1625" s="3">
        <f t="shared" si="135"/>
        <v>49549.410000000025</v>
      </c>
      <c r="S1625" s="24" t="s">
        <v>1334</v>
      </c>
      <c r="T1625" s="24" t="s">
        <v>1334</v>
      </c>
      <c r="U1625" s="53"/>
      <c r="V1625" s="25">
        <f>IFERROR(VLOOKUP(BCP_Soles[[#This Row],[destinatario]],CHOOSE({1,2},Clientes_Proveedores[Razon Social],Clientes_Proveedores[Ruc / Dni]),2,0),"")</f>
        <v>20100055237</v>
      </c>
      <c r="W1625" s="25" t="s">
        <v>2228</v>
      </c>
      <c r="X1625" s="25" t="s">
        <v>2966</v>
      </c>
      <c r="Y1625" s="25"/>
      <c r="Z1625" s="75"/>
      <c r="AA1625" s="3" t="str">
        <f>IF(BCP_Soles[[#This Row],[fecha]]&gt;0,TEXT(BCP_Soles[[#This Row],[fecha]],"mmmm"),0)</f>
        <v>Mayo</v>
      </c>
    </row>
    <row r="1626" spans="1:27" x14ac:dyDescent="0.3">
      <c r="A1626" s="2">
        <f>IF(BCP_Soles[[#This Row],[tipo_registro]]="R",COUNTIFS($C$1:$C1625,"R")+1,A1625)</f>
        <v>1223</v>
      </c>
      <c r="B1626" s="19" t="str">
        <f t="shared" si="136"/>
        <v>B-BCP - Soles</v>
      </c>
      <c r="C1626" s="3" t="s">
        <v>1330</v>
      </c>
      <c r="D1626" s="14">
        <v>45785</v>
      </c>
      <c r="E1626" s="5" t="s">
        <v>1338</v>
      </c>
      <c r="F1626" s="5" t="s">
        <v>1336</v>
      </c>
      <c r="G1626" s="6" t="s">
        <v>196</v>
      </c>
      <c r="H1626" s="6" t="s">
        <v>68</v>
      </c>
      <c r="I1626" s="6" t="s">
        <v>2226</v>
      </c>
      <c r="J1626" s="6">
        <v>6301</v>
      </c>
      <c r="K1626" s="7" t="s">
        <v>2227</v>
      </c>
      <c r="L1626" s="8">
        <v>100012</v>
      </c>
      <c r="M1626" s="8" t="str">
        <f t="shared" si="137"/>
        <v>PEN</v>
      </c>
      <c r="N1626" s="13"/>
      <c r="O1626" s="13">
        <v>46.28</v>
      </c>
      <c r="P1626" s="3">
        <f t="shared" si="138"/>
        <v>0</v>
      </c>
      <c r="Q1626" s="3">
        <f t="shared" si="139"/>
        <v>46.28</v>
      </c>
      <c r="R1626" s="3">
        <f t="shared" si="135"/>
        <v>49503.130000000026</v>
      </c>
      <c r="S1626" s="24" t="s">
        <v>1334</v>
      </c>
      <c r="T1626" s="24" t="s">
        <v>1334</v>
      </c>
      <c r="U1626" s="53"/>
      <c r="V1626" s="25">
        <f>IFERROR(VLOOKUP(BCP_Soles[[#This Row],[destinatario]],CHOOSE({1,2},Clientes_Proveedores[Razon Social],Clientes_Proveedores[Ruc / Dni]),2,0),"")</f>
        <v>20100055237</v>
      </c>
      <c r="W1626" s="25" t="s">
        <v>2228</v>
      </c>
      <c r="X1626" s="25" t="s">
        <v>2967</v>
      </c>
      <c r="Y1626" s="25"/>
      <c r="Z1626" s="75"/>
      <c r="AA1626" s="3" t="str">
        <f>IF(BCP_Soles[[#This Row],[fecha]]&gt;0,TEXT(BCP_Soles[[#This Row],[fecha]],"mmmm"),0)</f>
        <v>Mayo</v>
      </c>
    </row>
    <row r="1627" spans="1:27" x14ac:dyDescent="0.3">
      <c r="A1627" s="2">
        <f>IF(BCP_Soles[[#This Row],[tipo_registro]]="R",COUNTIFS($C$1:$C1626,"R")+1,A1626)</f>
        <v>1224</v>
      </c>
      <c r="B1627" s="19" t="str">
        <f t="shared" si="136"/>
        <v>B-BCP - Soles</v>
      </c>
      <c r="C1627" s="3" t="s">
        <v>1330</v>
      </c>
      <c r="D1627" s="14">
        <v>45785</v>
      </c>
      <c r="E1627" s="5" t="s">
        <v>1338</v>
      </c>
      <c r="F1627" s="5" t="s">
        <v>1336</v>
      </c>
      <c r="G1627" s="6" t="s">
        <v>196</v>
      </c>
      <c r="H1627" s="6" t="s">
        <v>68</v>
      </c>
      <c r="I1627" s="6" t="s">
        <v>2226</v>
      </c>
      <c r="J1627" s="6">
        <v>6297</v>
      </c>
      <c r="K1627" s="7" t="s">
        <v>2227</v>
      </c>
      <c r="L1627" s="8">
        <v>98473</v>
      </c>
      <c r="M1627" s="8" t="str">
        <f t="shared" si="137"/>
        <v>PEN</v>
      </c>
      <c r="N1627" s="13"/>
      <c r="O1627" s="13">
        <v>146.04</v>
      </c>
      <c r="P1627" s="3">
        <f t="shared" si="138"/>
        <v>0</v>
      </c>
      <c r="Q1627" s="3">
        <f t="shared" si="139"/>
        <v>146.04</v>
      </c>
      <c r="R1627" s="3">
        <f t="shared" si="135"/>
        <v>49357.090000000026</v>
      </c>
      <c r="S1627" s="24" t="s">
        <v>1334</v>
      </c>
      <c r="T1627" s="24" t="s">
        <v>1334</v>
      </c>
      <c r="U1627" s="53"/>
      <c r="V1627" s="25">
        <f>IFERROR(VLOOKUP(BCP_Soles[[#This Row],[destinatario]],CHOOSE({1,2},Clientes_Proveedores[Razon Social],Clientes_Proveedores[Ruc / Dni]),2,0),"")</f>
        <v>20100055237</v>
      </c>
      <c r="W1627" s="25" t="s">
        <v>2228</v>
      </c>
      <c r="X1627" s="25" t="s">
        <v>2968</v>
      </c>
      <c r="Y1627" s="25"/>
      <c r="Z1627" s="75"/>
      <c r="AA1627" s="3" t="str">
        <f>IF(BCP_Soles[[#This Row],[fecha]]&gt;0,TEXT(BCP_Soles[[#This Row],[fecha]],"mmmm"),0)</f>
        <v>Mayo</v>
      </c>
    </row>
    <row r="1628" spans="1:27" ht="24" x14ac:dyDescent="0.3">
      <c r="A1628" s="2">
        <f>IF(BCP_Soles[[#This Row],[tipo_registro]]="R",COUNTIFS($C$1:$C1627,"R")+1,A1627)</f>
        <v>1225</v>
      </c>
      <c r="B1628" s="19" t="str">
        <f t="shared" si="136"/>
        <v>B-BCP - Soles</v>
      </c>
      <c r="C1628" s="3" t="s">
        <v>1330</v>
      </c>
      <c r="D1628" s="14">
        <v>45785</v>
      </c>
      <c r="E1628" s="5" t="s">
        <v>1338</v>
      </c>
      <c r="F1628" s="5" t="s">
        <v>1336</v>
      </c>
      <c r="G1628" s="6" t="s">
        <v>249</v>
      </c>
      <c r="H1628" s="6"/>
      <c r="I1628" s="6"/>
      <c r="J1628" s="6"/>
      <c r="K1628" s="7" t="s">
        <v>2969</v>
      </c>
      <c r="L1628" s="8">
        <v>1217310</v>
      </c>
      <c r="M1628" s="8" t="str">
        <f t="shared" si="137"/>
        <v>PEN</v>
      </c>
      <c r="N1628" s="13"/>
      <c r="O1628" s="13">
        <v>243.04</v>
      </c>
      <c r="P1628" s="3">
        <f t="shared" si="138"/>
        <v>0</v>
      </c>
      <c r="Q1628" s="3">
        <f t="shared" si="139"/>
        <v>243.04</v>
      </c>
      <c r="R1628" s="3">
        <f t="shared" si="135"/>
        <v>49114.050000000025</v>
      </c>
      <c r="S1628" s="24"/>
      <c r="T1628" s="24"/>
      <c r="U1628" s="53"/>
      <c r="V1628" s="25">
        <f>IFERROR(VLOOKUP(BCP_Soles[[#This Row],[destinatario]],CHOOSE({1,2},Clientes_Proveedores[Razon Social],Clientes_Proveedores[Ruc / Dni]),2,0),"")</f>
        <v>20302891452</v>
      </c>
      <c r="W1628" s="25" t="s">
        <v>249</v>
      </c>
      <c r="X1628" s="25"/>
      <c r="Y1628" s="25"/>
      <c r="Z1628" s="75"/>
      <c r="AA1628" s="3" t="str">
        <f>IF(BCP_Soles[[#This Row],[fecha]]&gt;0,TEXT(BCP_Soles[[#This Row],[fecha]],"mmmm"),0)</f>
        <v>Mayo</v>
      </c>
    </row>
    <row r="1629" spans="1:27" x14ac:dyDescent="0.3">
      <c r="A1629" s="2">
        <f>IF(BCP_Soles[[#This Row],[tipo_registro]]="R",COUNTIFS($C$1:$C1628,"R")+1,A1628)</f>
        <v>1226</v>
      </c>
      <c r="B1629" s="19" t="str">
        <f t="shared" si="136"/>
        <v>B-BCP - Soles</v>
      </c>
      <c r="C1629" s="3" t="s">
        <v>1330</v>
      </c>
      <c r="D1629" s="14">
        <v>45785</v>
      </c>
      <c r="E1629" s="5" t="s">
        <v>1338</v>
      </c>
      <c r="F1629" s="5" t="s">
        <v>1336</v>
      </c>
      <c r="G1629" s="6" t="s">
        <v>196</v>
      </c>
      <c r="H1629" s="6" t="s">
        <v>68</v>
      </c>
      <c r="I1629" s="6" t="s">
        <v>2226</v>
      </c>
      <c r="J1629" s="6">
        <v>6300</v>
      </c>
      <c r="K1629" s="7" t="s">
        <v>2227</v>
      </c>
      <c r="L1629" s="8">
        <v>96991</v>
      </c>
      <c r="M1629" s="8" t="str">
        <f t="shared" si="137"/>
        <v>PEN</v>
      </c>
      <c r="N1629" s="13"/>
      <c r="O1629" s="13">
        <v>258.44</v>
      </c>
      <c r="P1629" s="3">
        <f t="shared" si="138"/>
        <v>0</v>
      </c>
      <c r="Q1629" s="3">
        <f t="shared" si="139"/>
        <v>258.44</v>
      </c>
      <c r="R1629" s="3">
        <f t="shared" si="135"/>
        <v>48855.610000000022</v>
      </c>
      <c r="S1629" s="24" t="s">
        <v>1334</v>
      </c>
      <c r="T1629" s="24" t="s">
        <v>1334</v>
      </c>
      <c r="U1629" s="53"/>
      <c r="V1629" s="25">
        <f>IFERROR(VLOOKUP(BCP_Soles[[#This Row],[destinatario]],CHOOSE({1,2},Clientes_Proveedores[Razon Social],Clientes_Proveedores[Ruc / Dni]),2,0),"")</f>
        <v>20100055237</v>
      </c>
      <c r="W1629" s="25" t="s">
        <v>2228</v>
      </c>
      <c r="X1629" s="25" t="s">
        <v>2970</v>
      </c>
      <c r="Y1629" s="25"/>
      <c r="Z1629" s="75"/>
      <c r="AA1629" s="3" t="str">
        <f>IF(BCP_Soles[[#This Row],[fecha]]&gt;0,TEXT(BCP_Soles[[#This Row],[fecha]],"mmmm"),0)</f>
        <v>Mayo</v>
      </c>
    </row>
    <row r="1630" spans="1:27" ht="24" x14ac:dyDescent="0.3">
      <c r="A1630" s="2">
        <f>IF(BCP_Soles[[#This Row],[tipo_registro]]="R",COUNTIFS($C$1:$C1629,"R")+1,A1629)</f>
        <v>1227</v>
      </c>
      <c r="B1630" s="19" t="str">
        <f t="shared" si="136"/>
        <v>B-BCP - Soles</v>
      </c>
      <c r="C1630" s="3" t="s">
        <v>1330</v>
      </c>
      <c r="D1630" s="14">
        <v>45785</v>
      </c>
      <c r="E1630" s="5" t="s">
        <v>1338</v>
      </c>
      <c r="F1630" s="5" t="s">
        <v>1336</v>
      </c>
      <c r="G1630" s="6" t="s">
        <v>249</v>
      </c>
      <c r="H1630" s="6"/>
      <c r="I1630" s="6"/>
      <c r="J1630" s="6"/>
      <c r="K1630" s="7" t="s">
        <v>2971</v>
      </c>
      <c r="L1630" s="8">
        <v>1217902</v>
      </c>
      <c r="M1630" s="8" t="str">
        <f t="shared" si="137"/>
        <v>PEN</v>
      </c>
      <c r="N1630" s="13"/>
      <c r="O1630" s="13">
        <v>283.2</v>
      </c>
      <c r="P1630" s="3">
        <f t="shared" si="138"/>
        <v>0</v>
      </c>
      <c r="Q1630" s="3">
        <f t="shared" si="139"/>
        <v>283.2</v>
      </c>
      <c r="R1630" s="3">
        <f t="shared" si="135"/>
        <v>48572.410000000025</v>
      </c>
      <c r="S1630" s="24"/>
      <c r="T1630" s="24"/>
      <c r="U1630" s="53"/>
      <c r="V1630" s="25">
        <f>IFERROR(VLOOKUP(BCP_Soles[[#This Row],[destinatario]],CHOOSE({1,2},Clientes_Proveedores[Razon Social],Clientes_Proveedores[Ruc / Dni]),2,0),"")</f>
        <v>20302891452</v>
      </c>
      <c r="W1630" s="25" t="s">
        <v>249</v>
      </c>
      <c r="X1630" s="25"/>
      <c r="Y1630" s="25"/>
      <c r="Z1630" s="75"/>
      <c r="AA1630" s="3" t="str">
        <f>IF(BCP_Soles[[#This Row],[fecha]]&gt;0,TEXT(BCP_Soles[[#This Row],[fecha]],"mmmm"),0)</f>
        <v>Mayo</v>
      </c>
    </row>
    <row r="1631" spans="1:27" x14ac:dyDescent="0.3">
      <c r="A1631" s="2">
        <f>IF(BCP_Soles[[#This Row],[tipo_registro]]="R",COUNTIFS($C$1:$C1630,"R")+1,A1630)</f>
        <v>1228</v>
      </c>
      <c r="B1631" s="19" t="str">
        <f t="shared" si="136"/>
        <v>B-BCP - Soles</v>
      </c>
      <c r="C1631" s="3" t="s">
        <v>1330</v>
      </c>
      <c r="D1631" s="14">
        <v>45785</v>
      </c>
      <c r="E1631" s="5" t="s">
        <v>1338</v>
      </c>
      <c r="F1631" s="5" t="s">
        <v>1336</v>
      </c>
      <c r="G1631" s="6" t="s">
        <v>196</v>
      </c>
      <c r="H1631" s="6" t="s">
        <v>68</v>
      </c>
      <c r="I1631" s="6" t="s">
        <v>2226</v>
      </c>
      <c r="J1631" s="6">
        <v>6298</v>
      </c>
      <c r="K1631" s="7" t="s">
        <v>2227</v>
      </c>
      <c r="L1631" s="8">
        <v>97970</v>
      </c>
      <c r="M1631" s="8" t="str">
        <f t="shared" si="137"/>
        <v>PEN</v>
      </c>
      <c r="N1631" s="13"/>
      <c r="O1631" s="13">
        <v>333.94</v>
      </c>
      <c r="P1631" s="3">
        <f t="shared" si="138"/>
        <v>0</v>
      </c>
      <c r="Q1631" s="3">
        <f t="shared" si="139"/>
        <v>333.94</v>
      </c>
      <c r="R1631" s="3">
        <f t="shared" si="135"/>
        <v>48238.470000000023</v>
      </c>
      <c r="S1631" s="24" t="s">
        <v>1334</v>
      </c>
      <c r="T1631" s="24" t="s">
        <v>1334</v>
      </c>
      <c r="U1631" s="53"/>
      <c r="V1631" s="25">
        <f>IFERROR(VLOOKUP(BCP_Soles[[#This Row],[destinatario]],CHOOSE({1,2},Clientes_Proveedores[Razon Social],Clientes_Proveedores[Ruc / Dni]),2,0),"")</f>
        <v>20100055237</v>
      </c>
      <c r="W1631" s="25" t="s">
        <v>2228</v>
      </c>
      <c r="X1631" s="25" t="s">
        <v>2972</v>
      </c>
      <c r="Y1631" s="25"/>
      <c r="Z1631" s="75"/>
      <c r="AA1631" s="3" t="str">
        <f>IF(BCP_Soles[[#This Row],[fecha]]&gt;0,TEXT(BCP_Soles[[#This Row],[fecha]],"mmmm"),0)</f>
        <v>Mayo</v>
      </c>
    </row>
    <row r="1632" spans="1:27" ht="24" x14ac:dyDescent="0.3">
      <c r="A1632" s="2">
        <f>IF(BCP_Soles[[#This Row],[tipo_registro]]="R",COUNTIFS($C$1:$C1631,"R")+1,A1631)</f>
        <v>1229</v>
      </c>
      <c r="B1632" s="19" t="str">
        <f t="shared" si="136"/>
        <v>B-BCP - Soles</v>
      </c>
      <c r="C1632" s="3" t="s">
        <v>1330</v>
      </c>
      <c r="D1632" s="14">
        <v>45785</v>
      </c>
      <c r="E1632" s="5" t="s">
        <v>2269</v>
      </c>
      <c r="F1632" s="5" t="s">
        <v>1336</v>
      </c>
      <c r="G1632" s="6" t="s">
        <v>249</v>
      </c>
      <c r="H1632" s="6"/>
      <c r="I1632" s="6"/>
      <c r="J1632" s="6"/>
      <c r="K1632" s="7" t="s">
        <v>2973</v>
      </c>
      <c r="L1632" s="8">
        <v>1009631</v>
      </c>
      <c r="M1632" s="8" t="str">
        <f t="shared" si="137"/>
        <v>PEN</v>
      </c>
      <c r="N1632" s="13"/>
      <c r="O1632" s="13">
        <v>871.88</v>
      </c>
      <c r="P1632" s="3">
        <f t="shared" si="138"/>
        <v>0</v>
      </c>
      <c r="Q1632" s="3">
        <f t="shared" si="139"/>
        <v>871.88</v>
      </c>
      <c r="R1632" s="3">
        <f t="shared" si="135"/>
        <v>47366.590000000026</v>
      </c>
      <c r="S1632" s="24"/>
      <c r="T1632" s="24"/>
      <c r="U1632" s="53"/>
      <c r="V1632" s="25">
        <f>IFERROR(VLOOKUP(BCP_Soles[[#This Row],[destinatario]],CHOOSE({1,2},Clientes_Proveedores[Razon Social],Clientes_Proveedores[Ruc / Dni]),2,0),"")</f>
        <v>20302891452</v>
      </c>
      <c r="W1632" s="25" t="s">
        <v>249</v>
      </c>
      <c r="X1632" s="25"/>
      <c r="Y1632" s="25"/>
      <c r="Z1632" s="75"/>
      <c r="AA1632" s="3" t="str">
        <f>IF(BCP_Soles[[#This Row],[fecha]]&gt;0,TEXT(BCP_Soles[[#This Row],[fecha]],"mmmm"),0)</f>
        <v>Mayo</v>
      </c>
    </row>
    <row r="1633" spans="1:27" ht="24" x14ac:dyDescent="0.3">
      <c r="A1633" s="2">
        <f>IF(BCP_Soles[[#This Row],[tipo_registro]]="R",COUNTIFS($C$1:$C1632,"R")+1,A1632)</f>
        <v>1230</v>
      </c>
      <c r="B1633" s="19" t="str">
        <f t="shared" si="136"/>
        <v>B-BCP - Soles</v>
      </c>
      <c r="C1633" s="3" t="s">
        <v>1330</v>
      </c>
      <c r="D1633" s="14">
        <v>45785</v>
      </c>
      <c r="E1633" s="5" t="s">
        <v>1338</v>
      </c>
      <c r="F1633" s="5" t="s">
        <v>1336</v>
      </c>
      <c r="G1633" s="6" t="s">
        <v>759</v>
      </c>
      <c r="H1633" s="6" t="s">
        <v>72</v>
      </c>
      <c r="I1633" s="6" t="s">
        <v>1376</v>
      </c>
      <c r="J1633" s="6">
        <v>19</v>
      </c>
      <c r="K1633" s="7" t="s">
        <v>2974</v>
      </c>
      <c r="L1633" s="8">
        <v>1099441</v>
      </c>
      <c r="M1633" s="8" t="str">
        <f t="shared" si="137"/>
        <v>PEN</v>
      </c>
      <c r="N1633" s="13"/>
      <c r="O1633" s="13">
        <v>1000</v>
      </c>
      <c r="P1633" s="3">
        <f t="shared" si="138"/>
        <v>0</v>
      </c>
      <c r="Q1633" s="3">
        <f t="shared" si="139"/>
        <v>1000</v>
      </c>
      <c r="R1633" s="3">
        <f t="shared" si="135"/>
        <v>46366.590000000026</v>
      </c>
      <c r="S1633" s="24" t="s">
        <v>1334</v>
      </c>
      <c r="T1633" s="24" t="s">
        <v>1334</v>
      </c>
      <c r="U1633" s="53"/>
      <c r="V1633" s="25">
        <f>IFERROR(VLOOKUP(BCP_Soles[[#This Row],[destinatario]],CHOOSE({1,2},Clientes_Proveedores[Razon Social],Clientes_Proveedores[Ruc / Dni]),2,0),"")</f>
        <v>10108661343</v>
      </c>
      <c r="W1633" s="25" t="s">
        <v>2157</v>
      </c>
      <c r="X1633" s="25" t="s">
        <v>2975</v>
      </c>
      <c r="Y1633" s="25"/>
      <c r="Z1633" s="75"/>
      <c r="AA1633" s="3" t="str">
        <f>IF(BCP_Soles[[#This Row],[fecha]]&gt;0,TEXT(BCP_Soles[[#This Row],[fecha]],"mmmm"),0)</f>
        <v>Mayo</v>
      </c>
    </row>
    <row r="1634" spans="1:27" ht="36" x14ac:dyDescent="0.3">
      <c r="A1634" s="2">
        <f>IF(BCP_Soles[[#This Row],[tipo_registro]]="R",COUNTIFS($C$1:$C1633,"R")+1,A1633)</f>
        <v>1231</v>
      </c>
      <c r="B1634" s="19" t="str">
        <f t="shared" si="136"/>
        <v>B-BCP - Soles</v>
      </c>
      <c r="C1634" s="3" t="s">
        <v>1330</v>
      </c>
      <c r="D1634" s="14">
        <v>45785</v>
      </c>
      <c r="E1634" s="5" t="s">
        <v>1338</v>
      </c>
      <c r="F1634" s="5" t="s">
        <v>1336</v>
      </c>
      <c r="G1634" s="6" t="s">
        <v>503</v>
      </c>
      <c r="H1634" s="6" t="s">
        <v>68</v>
      </c>
      <c r="I1634" s="6" t="s">
        <v>1376</v>
      </c>
      <c r="J1634" s="6">
        <v>666</v>
      </c>
      <c r="K1634" s="7" t="s">
        <v>2976</v>
      </c>
      <c r="L1634" s="8">
        <v>1097478</v>
      </c>
      <c r="M1634" s="8" t="str">
        <f t="shared" si="137"/>
        <v>PEN</v>
      </c>
      <c r="N1634" s="13"/>
      <c r="O1634" s="13">
        <v>1030</v>
      </c>
      <c r="P1634" s="3">
        <f t="shared" si="138"/>
        <v>0</v>
      </c>
      <c r="Q1634" s="3">
        <f t="shared" si="139"/>
        <v>1030</v>
      </c>
      <c r="R1634" s="3">
        <f t="shared" si="135"/>
        <v>45336.590000000026</v>
      </c>
      <c r="S1634" s="24" t="s">
        <v>1334</v>
      </c>
      <c r="T1634" s="24" t="s">
        <v>1334</v>
      </c>
      <c r="U1634" s="53"/>
      <c r="V1634" s="25">
        <f>IFERROR(VLOOKUP(BCP_Soles[[#This Row],[destinatario]],CHOOSE({1,2},Clientes_Proveedores[Razon Social],Clientes_Proveedores[Ruc / Dni]),2,0),"")</f>
        <v>20603001461</v>
      </c>
      <c r="W1634" s="25" t="s">
        <v>2977</v>
      </c>
      <c r="X1634" s="25" t="s">
        <v>2978</v>
      </c>
      <c r="Y1634" s="25"/>
      <c r="Z1634" s="75"/>
      <c r="AA1634" s="3" t="str">
        <f>IF(BCP_Soles[[#This Row],[fecha]]&gt;0,TEXT(BCP_Soles[[#This Row],[fecha]],"mmmm"),0)</f>
        <v>Mayo</v>
      </c>
    </row>
    <row r="1635" spans="1:27" ht="24" x14ac:dyDescent="0.3">
      <c r="A1635" s="2">
        <f>IF(BCP_Soles[[#This Row],[tipo_registro]]="R",COUNTIFS($C$1:$C1634,"R")+1,A1634)</f>
        <v>1232</v>
      </c>
      <c r="B1635" s="19" t="str">
        <f t="shared" si="136"/>
        <v>B-BCP - Soles</v>
      </c>
      <c r="C1635" s="3" t="s">
        <v>1330</v>
      </c>
      <c r="D1635" s="14">
        <v>45785</v>
      </c>
      <c r="E1635" s="5" t="s">
        <v>1338</v>
      </c>
      <c r="F1635" s="5" t="s">
        <v>1336</v>
      </c>
      <c r="G1635" s="6"/>
      <c r="H1635" s="6"/>
      <c r="I1635" s="6"/>
      <c r="J1635" s="6"/>
      <c r="K1635" s="7" t="s">
        <v>2979</v>
      </c>
      <c r="L1635" s="8">
        <v>1219045</v>
      </c>
      <c r="M1635" s="8" t="str">
        <f t="shared" si="137"/>
        <v>PEN</v>
      </c>
      <c r="N1635" s="13"/>
      <c r="O1635" s="13">
        <v>1230</v>
      </c>
      <c r="P1635" s="3">
        <f t="shared" si="138"/>
        <v>0</v>
      </c>
      <c r="Q1635" s="3">
        <f t="shared" si="139"/>
        <v>1230</v>
      </c>
      <c r="R1635" s="3">
        <f t="shared" si="135"/>
        <v>44106.590000000026</v>
      </c>
      <c r="S1635" s="24" t="s">
        <v>1334</v>
      </c>
      <c r="T1635" s="24" t="s">
        <v>1334</v>
      </c>
      <c r="U1635" s="53"/>
      <c r="V1635" s="25" t="str">
        <f>IFERROR(VLOOKUP(BCP_Soles[[#This Row],[destinatario]],CHOOSE({1,2},Clientes_Proveedores[Razon Social],Clientes_Proveedores[Ruc / Dni]),2,0),"")</f>
        <v/>
      </c>
      <c r="W1635" s="25" t="s">
        <v>2980</v>
      </c>
      <c r="X1635" s="25" t="s">
        <v>2981</v>
      </c>
      <c r="Y1635" s="25"/>
      <c r="Z1635" s="75"/>
      <c r="AA1635" s="3" t="str">
        <f>IF(BCP_Soles[[#This Row],[fecha]]&gt;0,TEXT(BCP_Soles[[#This Row],[fecha]],"mmmm"),0)</f>
        <v>Mayo</v>
      </c>
    </row>
    <row r="1636" spans="1:27" ht="24" x14ac:dyDescent="0.3">
      <c r="A1636" s="2">
        <f>IF(BCP_Soles[[#This Row],[tipo_registro]]="R",COUNTIFS($C$1:$C1635,"R")+1,A1635)</f>
        <v>1233</v>
      </c>
      <c r="B1636" s="19" t="str">
        <f t="shared" si="136"/>
        <v>B-BCP - Soles</v>
      </c>
      <c r="C1636" s="3" t="s">
        <v>1330</v>
      </c>
      <c r="D1636" s="14">
        <v>45785</v>
      </c>
      <c r="E1636" s="5" t="s">
        <v>1338</v>
      </c>
      <c r="F1636" s="5" t="s">
        <v>1336</v>
      </c>
      <c r="G1636" s="6"/>
      <c r="H1636" s="6"/>
      <c r="I1636" s="6"/>
      <c r="J1636" s="6"/>
      <c r="K1636" s="7" t="s">
        <v>2982</v>
      </c>
      <c r="L1636" s="8">
        <v>1219046</v>
      </c>
      <c r="M1636" s="8" t="str">
        <f t="shared" si="137"/>
        <v>PEN</v>
      </c>
      <c r="N1636" s="13"/>
      <c r="O1636" s="13">
        <v>1250</v>
      </c>
      <c r="P1636" s="3">
        <f t="shared" si="138"/>
        <v>0</v>
      </c>
      <c r="Q1636" s="3">
        <f t="shared" si="139"/>
        <v>1250</v>
      </c>
      <c r="R1636" s="3">
        <f t="shared" si="135"/>
        <v>42856.590000000026</v>
      </c>
      <c r="S1636" s="24" t="s">
        <v>1334</v>
      </c>
      <c r="T1636" s="24" t="s">
        <v>1334</v>
      </c>
      <c r="U1636" s="53"/>
      <c r="V1636" s="25" t="str">
        <f>IFERROR(VLOOKUP(BCP_Soles[[#This Row],[destinatario]],CHOOSE({1,2},Clientes_Proveedores[Razon Social],Clientes_Proveedores[Ruc / Dni]),2,0),"")</f>
        <v/>
      </c>
      <c r="W1636" s="25" t="s">
        <v>2980</v>
      </c>
      <c r="X1636" s="25" t="s">
        <v>2265</v>
      </c>
      <c r="Y1636" s="25"/>
      <c r="Z1636" s="75"/>
      <c r="AA1636" s="3" t="str">
        <f>IF(BCP_Soles[[#This Row],[fecha]]&gt;0,TEXT(BCP_Soles[[#This Row],[fecha]],"mmmm"),0)</f>
        <v>Mayo</v>
      </c>
    </row>
    <row r="1637" spans="1:27" ht="24" x14ac:dyDescent="0.3">
      <c r="A1637" s="2">
        <f>IF(BCP_Soles[[#This Row],[tipo_registro]]="R",COUNTIFS($C$1:$C1636,"R")+1,A1636)</f>
        <v>1234</v>
      </c>
      <c r="B1637" s="19" t="str">
        <f t="shared" si="136"/>
        <v>B-BCP - Soles</v>
      </c>
      <c r="C1637" s="3" t="s">
        <v>1330</v>
      </c>
      <c r="D1637" s="14">
        <v>45785</v>
      </c>
      <c r="E1637" s="5" t="s">
        <v>1338</v>
      </c>
      <c r="F1637" s="5" t="s">
        <v>1336</v>
      </c>
      <c r="G1637" s="6"/>
      <c r="H1637" s="6"/>
      <c r="I1637" s="6"/>
      <c r="J1637" s="6"/>
      <c r="K1637" s="7" t="s">
        <v>2983</v>
      </c>
      <c r="L1637" s="8">
        <v>1216449</v>
      </c>
      <c r="M1637" s="8" t="str">
        <f t="shared" si="137"/>
        <v>PEN</v>
      </c>
      <c r="N1637" s="13"/>
      <c r="O1637" s="13">
        <v>1320</v>
      </c>
      <c r="P1637" s="3">
        <f t="shared" si="138"/>
        <v>0</v>
      </c>
      <c r="Q1637" s="3">
        <f t="shared" si="139"/>
        <v>1320</v>
      </c>
      <c r="R1637" s="3">
        <f t="shared" si="135"/>
        <v>41536.590000000026</v>
      </c>
      <c r="S1637" s="24" t="s">
        <v>1334</v>
      </c>
      <c r="T1637" s="24" t="s">
        <v>1334</v>
      </c>
      <c r="U1637" s="53"/>
      <c r="V1637" s="25" t="str">
        <f>IFERROR(VLOOKUP(BCP_Soles[[#This Row],[destinatario]],CHOOSE({1,2},Clientes_Proveedores[Razon Social],Clientes_Proveedores[Ruc / Dni]),2,0),"")</f>
        <v/>
      </c>
      <c r="W1637" s="25" t="s">
        <v>2980</v>
      </c>
      <c r="X1637" s="25" t="s">
        <v>2984</v>
      </c>
      <c r="Y1637" s="25"/>
      <c r="Z1637" s="75"/>
      <c r="AA1637" s="3" t="str">
        <f>IF(BCP_Soles[[#This Row],[fecha]]&gt;0,TEXT(BCP_Soles[[#This Row],[fecha]],"mmmm"),0)</f>
        <v>Mayo</v>
      </c>
    </row>
    <row r="1638" spans="1:27" ht="24" x14ac:dyDescent="0.3">
      <c r="A1638" s="2">
        <f>IF(BCP_Soles[[#This Row],[tipo_registro]]="R",COUNTIFS($C$1:$C1637,"R")+1,A1637)</f>
        <v>1235</v>
      </c>
      <c r="B1638" s="19" t="str">
        <f t="shared" si="136"/>
        <v>B-BCP - Soles</v>
      </c>
      <c r="C1638" s="3" t="s">
        <v>1330</v>
      </c>
      <c r="D1638" s="14">
        <v>45785</v>
      </c>
      <c r="E1638" s="5" t="s">
        <v>1338</v>
      </c>
      <c r="F1638" s="5" t="s">
        <v>1336</v>
      </c>
      <c r="G1638" s="6" t="s">
        <v>249</v>
      </c>
      <c r="H1638" s="6"/>
      <c r="I1638" s="6"/>
      <c r="J1638" s="6"/>
      <c r="K1638" s="7" t="s">
        <v>2985</v>
      </c>
      <c r="L1638" s="8">
        <v>1218884</v>
      </c>
      <c r="M1638" s="8" t="str">
        <f t="shared" si="137"/>
        <v>PEN</v>
      </c>
      <c r="N1638" s="13"/>
      <c r="O1638" s="13">
        <v>2603.08</v>
      </c>
      <c r="P1638" s="3">
        <f t="shared" si="138"/>
        <v>0</v>
      </c>
      <c r="Q1638" s="3">
        <f t="shared" si="139"/>
        <v>2603.08</v>
      </c>
      <c r="R1638" s="3">
        <f t="shared" si="135"/>
        <v>38933.510000000024</v>
      </c>
      <c r="S1638" s="24"/>
      <c r="T1638" s="24"/>
      <c r="U1638" s="53"/>
      <c r="V1638" s="25">
        <f>IFERROR(VLOOKUP(BCP_Soles[[#This Row],[destinatario]],CHOOSE({1,2},Clientes_Proveedores[Razon Social],Clientes_Proveedores[Ruc / Dni]),2,0),"")</f>
        <v>20302891452</v>
      </c>
      <c r="W1638" s="25" t="s">
        <v>249</v>
      </c>
      <c r="X1638" s="25"/>
      <c r="Y1638" s="25"/>
      <c r="Z1638" s="75"/>
      <c r="AA1638" s="3" t="str">
        <f>IF(BCP_Soles[[#This Row],[fecha]]&gt;0,TEXT(BCP_Soles[[#This Row],[fecha]],"mmmm"),0)</f>
        <v>Mayo</v>
      </c>
    </row>
    <row r="1639" spans="1:27" ht="24" x14ac:dyDescent="0.3">
      <c r="A1639" s="2">
        <f>IF(BCP_Soles[[#This Row],[tipo_registro]]="R",COUNTIFS($C$1:$C1638,"R")+1,A1638)</f>
        <v>1236</v>
      </c>
      <c r="B1639" s="19" t="str">
        <f t="shared" si="136"/>
        <v>B-BCP - Soles</v>
      </c>
      <c r="C1639" s="3" t="s">
        <v>1330</v>
      </c>
      <c r="D1639" s="14">
        <v>45785</v>
      </c>
      <c r="E1639" s="5" t="s">
        <v>1338</v>
      </c>
      <c r="F1639" s="5" t="s">
        <v>1336</v>
      </c>
      <c r="G1639" s="6" t="s">
        <v>249</v>
      </c>
      <c r="H1639" s="6"/>
      <c r="I1639" s="6"/>
      <c r="J1639" s="6"/>
      <c r="K1639" s="7" t="s">
        <v>2986</v>
      </c>
      <c r="L1639" s="8">
        <v>1234288</v>
      </c>
      <c r="M1639" s="8" t="str">
        <f t="shared" si="137"/>
        <v>PEN</v>
      </c>
      <c r="N1639" s="13"/>
      <c r="O1639" s="13">
        <v>2911.3</v>
      </c>
      <c r="P1639" s="3">
        <f t="shared" si="138"/>
        <v>0</v>
      </c>
      <c r="Q1639" s="3">
        <f t="shared" si="139"/>
        <v>2911.3</v>
      </c>
      <c r="R1639" s="3">
        <f t="shared" si="135"/>
        <v>36022.210000000021</v>
      </c>
      <c r="S1639" s="24"/>
      <c r="T1639" s="24"/>
      <c r="U1639" s="53"/>
      <c r="V1639" s="25">
        <f>IFERROR(VLOOKUP(BCP_Soles[[#This Row],[destinatario]],CHOOSE({1,2},Clientes_Proveedores[Razon Social],Clientes_Proveedores[Ruc / Dni]),2,0),"")</f>
        <v>20302891452</v>
      </c>
      <c r="W1639" s="25" t="s">
        <v>249</v>
      </c>
      <c r="X1639" s="25"/>
      <c r="Y1639" s="25"/>
      <c r="Z1639" s="75"/>
      <c r="AA1639" s="3" t="str">
        <f>IF(BCP_Soles[[#This Row],[fecha]]&gt;0,TEXT(BCP_Soles[[#This Row],[fecha]],"mmmm"),0)</f>
        <v>Mayo</v>
      </c>
    </row>
    <row r="1640" spans="1:27" x14ac:dyDescent="0.3">
      <c r="A1640" s="2">
        <f>IF(BCP_Soles[[#This Row],[tipo_registro]]="R",COUNTIFS($C$1:$C1639,"R")+1,A1639)</f>
        <v>1237</v>
      </c>
      <c r="B1640" s="19" t="str">
        <f t="shared" si="136"/>
        <v>B-BCP - Soles</v>
      </c>
      <c r="C1640" s="3" t="s">
        <v>1330</v>
      </c>
      <c r="D1640" s="14">
        <v>45785</v>
      </c>
      <c r="E1640" s="5" t="s">
        <v>1338</v>
      </c>
      <c r="F1640" s="5" t="s">
        <v>1336</v>
      </c>
      <c r="G1640" s="6" t="s">
        <v>696</v>
      </c>
      <c r="H1640" s="6"/>
      <c r="I1640" s="6"/>
      <c r="J1640" s="6"/>
      <c r="K1640" s="7" t="s">
        <v>2987</v>
      </c>
      <c r="L1640" s="8">
        <v>3135088</v>
      </c>
      <c r="M1640" s="8" t="str">
        <f t="shared" si="137"/>
        <v>PEN</v>
      </c>
      <c r="N1640" s="13"/>
      <c r="O1640" s="13">
        <v>4573</v>
      </c>
      <c r="P1640" s="3">
        <f t="shared" si="138"/>
        <v>0</v>
      </c>
      <c r="Q1640" s="3">
        <f t="shared" si="139"/>
        <v>4573</v>
      </c>
      <c r="R1640" s="3">
        <f t="shared" si="135"/>
        <v>31449.210000000021</v>
      </c>
      <c r="S1640" s="24" t="s">
        <v>1334</v>
      </c>
      <c r="T1640" s="24" t="s">
        <v>1334</v>
      </c>
      <c r="U1640" s="53"/>
      <c r="V1640" s="25">
        <f>IFERROR(VLOOKUP(BCP_Soles[[#This Row],[destinatario]],CHOOSE({1,2},Clientes_Proveedores[Razon Social],Clientes_Proveedores[Ruc / Dni]),2,0),"")</f>
        <v>0</v>
      </c>
      <c r="W1640" s="25" t="s">
        <v>1373</v>
      </c>
      <c r="X1640" s="25"/>
      <c r="Y1640" s="25"/>
      <c r="Z1640" s="75"/>
      <c r="AA1640" s="3" t="str">
        <f>IF(BCP_Soles[[#This Row],[fecha]]&gt;0,TEXT(BCP_Soles[[#This Row],[fecha]],"mmmm"),0)</f>
        <v>Mayo</v>
      </c>
    </row>
    <row r="1641" spans="1:27" x14ac:dyDescent="0.3">
      <c r="A1641" s="2">
        <f>IF(BCP_Soles[[#This Row],[tipo_registro]]="R",COUNTIFS($C$1:$C1640,"R")+1,A1640)</f>
        <v>1237</v>
      </c>
      <c r="B1641" s="19" t="str">
        <f t="shared" si="136"/>
        <v>B-BCP - Soles</v>
      </c>
      <c r="C1641" s="3" t="s">
        <v>1352</v>
      </c>
      <c r="D1641" s="14">
        <v>45785</v>
      </c>
      <c r="E1641" s="5" t="s">
        <v>1338</v>
      </c>
      <c r="F1641" s="5"/>
      <c r="G1641" s="6" t="s">
        <v>522</v>
      </c>
      <c r="H1641" s="6" t="s">
        <v>68</v>
      </c>
      <c r="I1641" s="6" t="s">
        <v>1376</v>
      </c>
      <c r="J1641" s="6">
        <v>3849</v>
      </c>
      <c r="K1641" s="7" t="s">
        <v>2987</v>
      </c>
      <c r="L1641" s="8">
        <v>3135088</v>
      </c>
      <c r="M1641" s="8" t="str">
        <f t="shared" si="137"/>
        <v>PEN</v>
      </c>
      <c r="N1641" s="13">
        <v>424.8</v>
      </c>
      <c r="O1641" s="13"/>
      <c r="P1641" s="3">
        <f t="shared" si="138"/>
        <v>0</v>
      </c>
      <c r="Q1641" s="3">
        <f t="shared" si="139"/>
        <v>0</v>
      </c>
      <c r="R1641" s="3">
        <f t="shared" si="135"/>
        <v>31449.210000000021</v>
      </c>
      <c r="S1641" s="24"/>
      <c r="T1641" s="24" t="s">
        <v>1334</v>
      </c>
      <c r="U1641" s="53"/>
      <c r="V1641" s="25">
        <f>IFERROR(VLOOKUP(BCP_Soles[[#This Row],[destinatario]],CHOOSE({1,2},Clientes_Proveedores[Razon Social],Clientes_Proveedores[Ruc / Dni]),2,0),"")</f>
        <v>20603974817</v>
      </c>
      <c r="W1641" s="25"/>
      <c r="X1641" s="25"/>
      <c r="Y1641" s="25"/>
      <c r="Z1641" s="75"/>
      <c r="AA1641" s="3" t="str">
        <f>IF(BCP_Soles[[#This Row],[fecha]]&gt;0,TEXT(BCP_Soles[[#This Row],[fecha]],"mmmm"),0)</f>
        <v>Mayo</v>
      </c>
    </row>
    <row r="1642" spans="1:27" x14ac:dyDescent="0.3">
      <c r="A1642" s="2">
        <f>IF(BCP_Soles[[#This Row],[tipo_registro]]="R",COUNTIFS($C$1:$C1641,"R")+1,A1641)</f>
        <v>1237</v>
      </c>
      <c r="B1642" s="19" t="str">
        <f t="shared" si="136"/>
        <v>B-BCP - Soles</v>
      </c>
      <c r="C1642" s="3" t="s">
        <v>1352</v>
      </c>
      <c r="D1642" s="14">
        <v>45785</v>
      </c>
      <c r="E1642" s="5" t="s">
        <v>1338</v>
      </c>
      <c r="F1642" s="5"/>
      <c r="G1642" s="6" t="s">
        <v>522</v>
      </c>
      <c r="H1642" s="6" t="s">
        <v>68</v>
      </c>
      <c r="I1642" s="6" t="s">
        <v>1376</v>
      </c>
      <c r="J1642" s="6">
        <v>3851</v>
      </c>
      <c r="K1642" s="7" t="s">
        <v>2987</v>
      </c>
      <c r="L1642" s="8">
        <v>3135088</v>
      </c>
      <c r="M1642" s="8" t="str">
        <f t="shared" si="137"/>
        <v>PEN</v>
      </c>
      <c r="N1642" s="13">
        <v>200.6</v>
      </c>
      <c r="O1642" s="13"/>
      <c r="P1642" s="3">
        <f t="shared" si="138"/>
        <v>0</v>
      </c>
      <c r="Q1642" s="3">
        <f t="shared" si="139"/>
        <v>0</v>
      </c>
      <c r="R1642" s="3">
        <f t="shared" si="135"/>
        <v>31449.210000000021</v>
      </c>
      <c r="S1642" s="24"/>
      <c r="T1642" s="24" t="s">
        <v>1334</v>
      </c>
      <c r="U1642" s="53"/>
      <c r="V1642" s="25">
        <f>IFERROR(VLOOKUP(BCP_Soles[[#This Row],[destinatario]],CHOOSE({1,2},Clientes_Proveedores[Razon Social],Clientes_Proveedores[Ruc / Dni]),2,0),"")</f>
        <v>20603974817</v>
      </c>
      <c r="W1642" s="25"/>
      <c r="X1642" s="25"/>
      <c r="Y1642" s="25"/>
      <c r="Z1642" s="75"/>
      <c r="AA1642" s="3" t="str">
        <f>IF(BCP_Soles[[#This Row],[fecha]]&gt;0,TEXT(BCP_Soles[[#This Row],[fecha]],"mmmm"),0)</f>
        <v>Mayo</v>
      </c>
    </row>
    <row r="1643" spans="1:27" x14ac:dyDescent="0.3">
      <c r="A1643" s="2">
        <f>IF(BCP_Soles[[#This Row],[tipo_registro]]="R",COUNTIFS($C$1:$C1642,"R")+1,A1642)</f>
        <v>1237</v>
      </c>
      <c r="B1643" s="19" t="str">
        <f t="shared" si="136"/>
        <v>B-BCP - Soles</v>
      </c>
      <c r="C1643" s="3" t="s">
        <v>1352</v>
      </c>
      <c r="D1643" s="14">
        <v>45785</v>
      </c>
      <c r="E1643" s="5" t="s">
        <v>1338</v>
      </c>
      <c r="F1643" s="5"/>
      <c r="G1643" s="6" t="s">
        <v>522</v>
      </c>
      <c r="H1643" s="6" t="s">
        <v>68</v>
      </c>
      <c r="I1643" s="6" t="s">
        <v>1376</v>
      </c>
      <c r="J1643" s="6">
        <v>3845</v>
      </c>
      <c r="K1643" s="7" t="s">
        <v>2987</v>
      </c>
      <c r="L1643" s="8">
        <v>3135088</v>
      </c>
      <c r="M1643" s="8" t="str">
        <f t="shared" si="137"/>
        <v>PEN</v>
      </c>
      <c r="N1643" s="13">
        <v>212.4</v>
      </c>
      <c r="O1643" s="13"/>
      <c r="P1643" s="3">
        <f t="shared" si="138"/>
        <v>0</v>
      </c>
      <c r="Q1643" s="3">
        <f t="shared" si="139"/>
        <v>0</v>
      </c>
      <c r="R1643" s="3">
        <f t="shared" si="135"/>
        <v>31449.210000000021</v>
      </c>
      <c r="S1643" s="24"/>
      <c r="T1643" s="24" t="s">
        <v>1334</v>
      </c>
      <c r="U1643" s="53"/>
      <c r="V1643" s="25">
        <f>IFERROR(VLOOKUP(BCP_Soles[[#This Row],[destinatario]],CHOOSE({1,2},Clientes_Proveedores[Razon Social],Clientes_Proveedores[Ruc / Dni]),2,0),"")</f>
        <v>20603974817</v>
      </c>
      <c r="W1643" s="25"/>
      <c r="X1643" s="25"/>
      <c r="Y1643" s="25"/>
      <c r="Z1643" s="75"/>
      <c r="AA1643" s="3" t="str">
        <f>IF(BCP_Soles[[#This Row],[fecha]]&gt;0,TEXT(BCP_Soles[[#This Row],[fecha]],"mmmm"),0)</f>
        <v>Mayo</v>
      </c>
    </row>
    <row r="1644" spans="1:27" x14ac:dyDescent="0.3">
      <c r="A1644" s="2">
        <f>IF(BCP_Soles[[#This Row],[tipo_registro]]="R",COUNTIFS($C$1:$C1643,"R")+1,A1643)</f>
        <v>1237</v>
      </c>
      <c r="B1644" s="19" t="str">
        <f t="shared" si="136"/>
        <v>B-BCP - Soles</v>
      </c>
      <c r="C1644" s="3" t="s">
        <v>1352</v>
      </c>
      <c r="D1644" s="14">
        <v>45785</v>
      </c>
      <c r="E1644" s="5" t="s">
        <v>1338</v>
      </c>
      <c r="F1644" s="5"/>
      <c r="G1644" s="6" t="s">
        <v>522</v>
      </c>
      <c r="H1644" s="6" t="s">
        <v>68</v>
      </c>
      <c r="I1644" s="6" t="s">
        <v>1376</v>
      </c>
      <c r="J1644" s="6">
        <v>3856</v>
      </c>
      <c r="K1644" s="7" t="s">
        <v>2987</v>
      </c>
      <c r="L1644" s="8">
        <v>3135088</v>
      </c>
      <c r="M1644" s="8" t="str">
        <f t="shared" si="137"/>
        <v>PEN</v>
      </c>
      <c r="N1644" s="13">
        <v>250.75</v>
      </c>
      <c r="O1644" s="13"/>
      <c r="P1644" s="3">
        <f t="shared" si="138"/>
        <v>0</v>
      </c>
      <c r="Q1644" s="3">
        <f t="shared" si="139"/>
        <v>0</v>
      </c>
      <c r="R1644" s="3">
        <f t="shared" si="135"/>
        <v>31449.210000000021</v>
      </c>
      <c r="S1644" s="24"/>
      <c r="T1644" s="24" t="s">
        <v>1334</v>
      </c>
      <c r="U1644" s="53"/>
      <c r="V1644" s="25">
        <f>IFERROR(VLOOKUP(BCP_Soles[[#This Row],[destinatario]],CHOOSE({1,2},Clientes_Proveedores[Razon Social],Clientes_Proveedores[Ruc / Dni]),2,0),"")</f>
        <v>20603974817</v>
      </c>
      <c r="W1644" s="25"/>
      <c r="X1644" s="25"/>
      <c r="Y1644" s="25"/>
      <c r="Z1644" s="75"/>
      <c r="AA1644" s="3" t="str">
        <f>IF(BCP_Soles[[#This Row],[fecha]]&gt;0,TEXT(BCP_Soles[[#This Row],[fecha]],"mmmm"),0)</f>
        <v>Mayo</v>
      </c>
    </row>
    <row r="1645" spans="1:27" x14ac:dyDescent="0.3">
      <c r="A1645" s="2">
        <f>IF(BCP_Soles[[#This Row],[tipo_registro]]="R",COUNTIFS($C$1:$C1644,"R")+1,A1644)</f>
        <v>1237</v>
      </c>
      <c r="B1645" s="19" t="str">
        <f t="shared" si="136"/>
        <v>B-BCP - Soles</v>
      </c>
      <c r="C1645" s="3" t="s">
        <v>1352</v>
      </c>
      <c r="D1645" s="14">
        <v>45785</v>
      </c>
      <c r="E1645" s="5" t="s">
        <v>1338</v>
      </c>
      <c r="F1645" s="5"/>
      <c r="G1645" s="6" t="s">
        <v>522</v>
      </c>
      <c r="H1645" s="6" t="s">
        <v>68</v>
      </c>
      <c r="I1645" s="6" t="s">
        <v>1376</v>
      </c>
      <c r="J1645" s="6">
        <v>3840</v>
      </c>
      <c r="K1645" s="7" t="s">
        <v>2987</v>
      </c>
      <c r="L1645" s="8">
        <v>3135088</v>
      </c>
      <c r="M1645" s="8" t="str">
        <f t="shared" si="137"/>
        <v>PEN</v>
      </c>
      <c r="N1645" s="13">
        <v>150.44999999999999</v>
      </c>
      <c r="O1645" s="13"/>
      <c r="P1645" s="3">
        <f t="shared" si="138"/>
        <v>0</v>
      </c>
      <c r="Q1645" s="3">
        <f t="shared" si="139"/>
        <v>0</v>
      </c>
      <c r="R1645" s="3">
        <f t="shared" si="135"/>
        <v>31449.210000000021</v>
      </c>
      <c r="S1645" s="24"/>
      <c r="T1645" s="24" t="s">
        <v>1334</v>
      </c>
      <c r="U1645" s="53"/>
      <c r="V1645" s="25">
        <f>IFERROR(VLOOKUP(BCP_Soles[[#This Row],[destinatario]],CHOOSE({1,2},Clientes_Proveedores[Razon Social],Clientes_Proveedores[Ruc / Dni]),2,0),"")</f>
        <v>20603974817</v>
      </c>
      <c r="W1645" s="25"/>
      <c r="X1645" s="25"/>
      <c r="Y1645" s="25"/>
      <c r="Z1645" s="75"/>
      <c r="AA1645" s="3" t="str">
        <f>IF(BCP_Soles[[#This Row],[fecha]]&gt;0,TEXT(BCP_Soles[[#This Row],[fecha]],"mmmm"),0)</f>
        <v>Mayo</v>
      </c>
    </row>
    <row r="1646" spans="1:27" x14ac:dyDescent="0.3">
      <c r="A1646" s="2">
        <f>IF(BCP_Soles[[#This Row],[tipo_registro]]="R",COUNTIFS($C$1:$C1645,"R")+1,A1645)</f>
        <v>1237</v>
      </c>
      <c r="B1646" s="19" t="str">
        <f t="shared" si="136"/>
        <v>B-BCP - Soles</v>
      </c>
      <c r="C1646" s="3" t="s">
        <v>1352</v>
      </c>
      <c r="D1646" s="14">
        <v>45785</v>
      </c>
      <c r="E1646" s="5" t="s">
        <v>1338</v>
      </c>
      <c r="F1646" s="5"/>
      <c r="G1646" s="6" t="s">
        <v>522</v>
      </c>
      <c r="H1646" s="6" t="s">
        <v>68</v>
      </c>
      <c r="I1646" s="6" t="s">
        <v>1376</v>
      </c>
      <c r="J1646" s="6">
        <v>3839</v>
      </c>
      <c r="K1646" s="7" t="s">
        <v>2987</v>
      </c>
      <c r="L1646" s="8">
        <v>3135088</v>
      </c>
      <c r="M1646" s="8" t="str">
        <f t="shared" si="137"/>
        <v>PEN</v>
      </c>
      <c r="N1646" s="13">
        <v>451.35</v>
      </c>
      <c r="O1646" s="13"/>
      <c r="P1646" s="3">
        <f t="shared" si="138"/>
        <v>0</v>
      </c>
      <c r="Q1646" s="3">
        <f t="shared" si="139"/>
        <v>0</v>
      </c>
      <c r="R1646" s="3">
        <f t="shared" si="135"/>
        <v>31449.210000000021</v>
      </c>
      <c r="S1646" s="24"/>
      <c r="T1646" s="24" t="s">
        <v>1334</v>
      </c>
      <c r="U1646" s="53"/>
      <c r="V1646" s="25">
        <f>IFERROR(VLOOKUP(BCP_Soles[[#This Row],[destinatario]],CHOOSE({1,2},Clientes_Proveedores[Razon Social],Clientes_Proveedores[Ruc / Dni]),2,0),"")</f>
        <v>20603974817</v>
      </c>
      <c r="W1646" s="25"/>
      <c r="X1646" s="25"/>
      <c r="Y1646" s="25"/>
      <c r="Z1646" s="75"/>
      <c r="AA1646" s="3" t="str">
        <f>IF(BCP_Soles[[#This Row],[fecha]]&gt;0,TEXT(BCP_Soles[[#This Row],[fecha]],"mmmm"),0)</f>
        <v>Mayo</v>
      </c>
    </row>
    <row r="1647" spans="1:27" x14ac:dyDescent="0.3">
      <c r="A1647" s="2">
        <f>IF(BCP_Soles[[#This Row],[tipo_registro]]="R",COUNTIFS($C$1:$C1646,"R")+1,A1646)</f>
        <v>1237</v>
      </c>
      <c r="B1647" s="19" t="str">
        <f t="shared" si="136"/>
        <v>B-BCP - Soles</v>
      </c>
      <c r="C1647" s="3" t="s">
        <v>1352</v>
      </c>
      <c r="D1647" s="14">
        <v>45785</v>
      </c>
      <c r="E1647" s="5" t="s">
        <v>1338</v>
      </c>
      <c r="F1647" s="5"/>
      <c r="G1647" s="6" t="s">
        <v>522</v>
      </c>
      <c r="H1647" s="6" t="s">
        <v>68</v>
      </c>
      <c r="I1647" s="6" t="s">
        <v>1376</v>
      </c>
      <c r="J1647" s="6">
        <v>3828</v>
      </c>
      <c r="K1647" s="7" t="s">
        <v>2987</v>
      </c>
      <c r="L1647" s="8">
        <v>3135088</v>
      </c>
      <c r="M1647" s="8" t="str">
        <f t="shared" si="137"/>
        <v>PEN</v>
      </c>
      <c r="N1647" s="13">
        <v>150.44999999999999</v>
      </c>
      <c r="O1647" s="13"/>
      <c r="P1647" s="3">
        <f t="shared" si="138"/>
        <v>0</v>
      </c>
      <c r="Q1647" s="3">
        <f t="shared" si="139"/>
        <v>0</v>
      </c>
      <c r="R1647" s="3">
        <f t="shared" si="135"/>
        <v>31449.210000000021</v>
      </c>
      <c r="S1647" s="24"/>
      <c r="T1647" s="24" t="s">
        <v>1334</v>
      </c>
      <c r="U1647" s="53"/>
      <c r="V1647" s="25">
        <f>IFERROR(VLOOKUP(BCP_Soles[[#This Row],[destinatario]],CHOOSE({1,2},Clientes_Proveedores[Razon Social],Clientes_Proveedores[Ruc / Dni]),2,0),"")</f>
        <v>20603974817</v>
      </c>
      <c r="W1647" s="25"/>
      <c r="X1647" s="25"/>
      <c r="Y1647" s="25"/>
      <c r="Z1647" s="75"/>
      <c r="AA1647" s="3" t="str">
        <f>IF(BCP_Soles[[#This Row],[fecha]]&gt;0,TEXT(BCP_Soles[[#This Row],[fecha]],"mmmm"),0)</f>
        <v>Mayo</v>
      </c>
    </row>
    <row r="1648" spans="1:27" ht="36" x14ac:dyDescent="0.3">
      <c r="A1648" s="2">
        <f>IF(BCP_Soles[[#This Row],[tipo_registro]]="R",COUNTIFS($C$1:$C1647,"R")+1,A1647)</f>
        <v>1237</v>
      </c>
      <c r="B1648" s="19" t="str">
        <f t="shared" si="136"/>
        <v>B-BCP - Soles</v>
      </c>
      <c r="C1648" s="3" t="s">
        <v>1352</v>
      </c>
      <c r="D1648" s="14">
        <v>45785</v>
      </c>
      <c r="E1648" s="5" t="s">
        <v>1338</v>
      </c>
      <c r="F1648" s="5"/>
      <c r="G1648" s="6" t="s">
        <v>495</v>
      </c>
      <c r="H1648" s="6" t="s">
        <v>68</v>
      </c>
      <c r="I1648" s="6" t="s">
        <v>1376</v>
      </c>
      <c r="J1648" s="6">
        <v>3809</v>
      </c>
      <c r="K1648" s="7" t="s">
        <v>2987</v>
      </c>
      <c r="L1648" s="8">
        <v>3135088</v>
      </c>
      <c r="M1648" s="8" t="str">
        <f t="shared" si="137"/>
        <v>PEN</v>
      </c>
      <c r="N1648" s="13">
        <v>1529</v>
      </c>
      <c r="O1648" s="13"/>
      <c r="P1648" s="3">
        <f t="shared" si="138"/>
        <v>0</v>
      </c>
      <c r="Q1648" s="3">
        <f t="shared" si="139"/>
        <v>0</v>
      </c>
      <c r="R1648" s="3">
        <f t="shared" si="135"/>
        <v>31449.210000000021</v>
      </c>
      <c r="S1648" s="24"/>
      <c r="T1648" s="24" t="s">
        <v>1334</v>
      </c>
      <c r="U1648" s="53"/>
      <c r="V1648" s="25">
        <f>IFERROR(VLOOKUP(BCP_Soles[[#This Row],[destinatario]],CHOOSE({1,2},Clientes_Proveedores[Razon Social],Clientes_Proveedores[Ruc / Dni]),2,0),"")</f>
        <v>20602778861</v>
      </c>
      <c r="W1648" s="25"/>
      <c r="X1648" s="25"/>
      <c r="Y1648" s="25"/>
      <c r="Z1648" s="75"/>
      <c r="AA1648" s="3" t="str">
        <f>IF(BCP_Soles[[#This Row],[fecha]]&gt;0,TEXT(BCP_Soles[[#This Row],[fecha]],"mmmm"),0)</f>
        <v>Mayo</v>
      </c>
    </row>
    <row r="1649" spans="1:27" ht="24" x14ac:dyDescent="0.3">
      <c r="A1649" s="2">
        <f>IF(BCP_Soles[[#This Row],[tipo_registro]]="R",COUNTIFS($C$1:$C1648,"R")+1,A1648)</f>
        <v>1237</v>
      </c>
      <c r="B1649" s="19" t="str">
        <f t="shared" si="136"/>
        <v>B-BCP - Soles</v>
      </c>
      <c r="C1649" s="3" t="s">
        <v>1352</v>
      </c>
      <c r="D1649" s="14">
        <v>45785</v>
      </c>
      <c r="E1649" s="5" t="s">
        <v>1338</v>
      </c>
      <c r="F1649" s="5"/>
      <c r="G1649" s="6" t="s">
        <v>594</v>
      </c>
      <c r="H1649" s="6" t="s">
        <v>68</v>
      </c>
      <c r="I1649" s="6" t="s">
        <v>1376</v>
      </c>
      <c r="J1649" s="6">
        <v>2143</v>
      </c>
      <c r="K1649" s="7" t="s">
        <v>2987</v>
      </c>
      <c r="L1649" s="8">
        <v>3135088</v>
      </c>
      <c r="M1649" s="8" t="str">
        <f t="shared" si="137"/>
        <v>PEN</v>
      </c>
      <c r="N1649" s="13">
        <v>106.2</v>
      </c>
      <c r="O1649" s="13"/>
      <c r="P1649" s="3">
        <f t="shared" si="138"/>
        <v>0</v>
      </c>
      <c r="Q1649" s="3">
        <f t="shared" si="139"/>
        <v>0</v>
      </c>
      <c r="R1649" s="3">
        <f t="shared" si="135"/>
        <v>31449.210000000021</v>
      </c>
      <c r="S1649" s="24"/>
      <c r="T1649" s="24" t="s">
        <v>1334</v>
      </c>
      <c r="U1649" s="53"/>
      <c r="V1649" s="25">
        <f>IFERROR(VLOOKUP(BCP_Soles[[#This Row],[destinatario]],CHOOSE({1,2},Clientes_Proveedores[Razon Social],Clientes_Proveedores[Ruc / Dni]),2,0),"")</f>
        <v>20609764261</v>
      </c>
      <c r="W1649" s="25"/>
      <c r="X1649" s="25"/>
      <c r="Y1649" s="25"/>
      <c r="Z1649" s="75"/>
      <c r="AA1649" s="3" t="str">
        <f>IF(BCP_Soles[[#This Row],[fecha]]&gt;0,TEXT(BCP_Soles[[#This Row],[fecha]],"mmmm"),0)</f>
        <v>Mayo</v>
      </c>
    </row>
    <row r="1650" spans="1:27" ht="24" x14ac:dyDescent="0.3">
      <c r="A1650" s="2">
        <f>IF(BCP_Soles[[#This Row],[tipo_registro]]="R",COUNTIFS($C$1:$C1649,"R")+1,A1649)</f>
        <v>1237</v>
      </c>
      <c r="B1650" s="19" t="str">
        <f t="shared" si="136"/>
        <v>B-BCP - Soles</v>
      </c>
      <c r="C1650" s="3" t="s">
        <v>1352</v>
      </c>
      <c r="D1650" s="14">
        <v>45785</v>
      </c>
      <c r="E1650" s="5" t="s">
        <v>1338</v>
      </c>
      <c r="F1650" s="5"/>
      <c r="G1650" s="6" t="s">
        <v>166</v>
      </c>
      <c r="H1650" s="6" t="s">
        <v>68</v>
      </c>
      <c r="I1650" s="6" t="s">
        <v>1376</v>
      </c>
      <c r="J1650" s="6">
        <v>4780</v>
      </c>
      <c r="K1650" s="7" t="s">
        <v>2987</v>
      </c>
      <c r="L1650" s="8">
        <v>3135088</v>
      </c>
      <c r="M1650" s="8" t="str">
        <f t="shared" si="137"/>
        <v>PEN</v>
      </c>
      <c r="N1650" s="13">
        <v>59</v>
      </c>
      <c r="O1650" s="13"/>
      <c r="P1650" s="3">
        <f t="shared" si="138"/>
        <v>0</v>
      </c>
      <c r="Q1650" s="3">
        <f t="shared" si="139"/>
        <v>0</v>
      </c>
      <c r="R1650" s="3">
        <f t="shared" si="135"/>
        <v>31449.210000000021</v>
      </c>
      <c r="S1650" s="24"/>
      <c r="T1650" s="24" t="s">
        <v>1334</v>
      </c>
      <c r="U1650" s="53"/>
      <c r="V1650" s="25">
        <f>IFERROR(VLOOKUP(BCP_Soles[[#This Row],[destinatario]],CHOOSE({1,2},Clientes_Proveedores[Razon Social],Clientes_Proveedores[Ruc / Dni]),2,0),"")</f>
        <v>10425371652</v>
      </c>
      <c r="W1650" s="25"/>
      <c r="X1650" s="25"/>
      <c r="Y1650" s="25"/>
      <c r="Z1650" s="75"/>
      <c r="AA1650" s="3" t="str">
        <f>IF(BCP_Soles[[#This Row],[fecha]]&gt;0,TEXT(BCP_Soles[[#This Row],[fecha]],"mmmm"),0)</f>
        <v>Mayo</v>
      </c>
    </row>
    <row r="1651" spans="1:27" ht="36" x14ac:dyDescent="0.3">
      <c r="A1651" s="2">
        <f>IF(BCP_Soles[[#This Row],[tipo_registro]]="R",COUNTIFS($C$1:$C1650,"R")+1,A1650)</f>
        <v>1237</v>
      </c>
      <c r="B1651" s="19" t="str">
        <f t="shared" si="136"/>
        <v>B-BCP - Soles</v>
      </c>
      <c r="C1651" s="3" t="s">
        <v>1352</v>
      </c>
      <c r="D1651" s="14">
        <v>45785</v>
      </c>
      <c r="E1651" s="5" t="s">
        <v>1338</v>
      </c>
      <c r="F1651" s="5"/>
      <c r="G1651" s="6" t="s">
        <v>569</v>
      </c>
      <c r="H1651" s="6" t="s">
        <v>68</v>
      </c>
      <c r="I1651" s="6" t="s">
        <v>1376</v>
      </c>
      <c r="J1651" s="6">
        <v>622</v>
      </c>
      <c r="K1651" s="7" t="s">
        <v>2987</v>
      </c>
      <c r="L1651" s="8">
        <v>3135088</v>
      </c>
      <c r="M1651" s="8" t="str">
        <f t="shared" si="137"/>
        <v>PEN</v>
      </c>
      <c r="N1651" s="13">
        <v>528</v>
      </c>
      <c r="O1651" s="13"/>
      <c r="P1651" s="3">
        <f t="shared" si="138"/>
        <v>0</v>
      </c>
      <c r="Q1651" s="3">
        <f t="shared" si="139"/>
        <v>0</v>
      </c>
      <c r="R1651" s="3">
        <f t="shared" si="135"/>
        <v>31449.210000000021</v>
      </c>
      <c r="S1651" s="24"/>
      <c r="T1651" s="24" t="s">
        <v>1334</v>
      </c>
      <c r="U1651" s="53"/>
      <c r="V1651" s="25">
        <f>IFERROR(VLOOKUP(BCP_Soles[[#This Row],[destinatario]],CHOOSE({1,2},Clientes_Proveedores[Razon Social],Clientes_Proveedores[Ruc / Dni]),2,0),"")</f>
        <v>20608686747</v>
      </c>
      <c r="W1651" s="25"/>
      <c r="X1651" s="25"/>
      <c r="Y1651" s="25"/>
      <c r="Z1651" s="75"/>
      <c r="AA1651" s="3" t="str">
        <f>IF(BCP_Soles[[#This Row],[fecha]]&gt;0,TEXT(BCP_Soles[[#This Row],[fecha]],"mmmm"),0)</f>
        <v>Mayo</v>
      </c>
    </row>
    <row r="1652" spans="1:27" ht="24" x14ac:dyDescent="0.3">
      <c r="A1652" s="2">
        <f>IF(BCP_Soles[[#This Row],[tipo_registro]]="R",COUNTIFS($C$1:$C1651,"R")+1,A1651)</f>
        <v>1237</v>
      </c>
      <c r="B1652" s="19" t="str">
        <f t="shared" si="136"/>
        <v>B-BCP - Soles</v>
      </c>
      <c r="C1652" s="3" t="s">
        <v>1352</v>
      </c>
      <c r="D1652" s="14">
        <v>45785</v>
      </c>
      <c r="E1652" s="5" t="s">
        <v>1338</v>
      </c>
      <c r="F1652" s="5"/>
      <c r="G1652" s="6" t="s">
        <v>667</v>
      </c>
      <c r="H1652" s="6" t="s">
        <v>68</v>
      </c>
      <c r="I1652" s="6" t="s">
        <v>1376</v>
      </c>
      <c r="J1652" s="6">
        <v>23</v>
      </c>
      <c r="K1652" s="7" t="s">
        <v>2987</v>
      </c>
      <c r="L1652" s="8">
        <v>3135088</v>
      </c>
      <c r="M1652" s="8" t="str">
        <f t="shared" si="137"/>
        <v>PEN</v>
      </c>
      <c r="N1652" s="13">
        <v>510</v>
      </c>
      <c r="O1652" s="13"/>
      <c r="P1652" s="3">
        <f t="shared" si="138"/>
        <v>0</v>
      </c>
      <c r="Q1652" s="3">
        <f t="shared" si="139"/>
        <v>0</v>
      </c>
      <c r="R1652" s="3">
        <f t="shared" si="135"/>
        <v>31449.210000000021</v>
      </c>
      <c r="S1652" s="24"/>
      <c r="T1652" s="24" t="s">
        <v>1334</v>
      </c>
      <c r="U1652" s="53"/>
      <c r="V1652" s="25">
        <f>IFERROR(VLOOKUP(BCP_Soles[[#This Row],[destinatario]],CHOOSE({1,2},Clientes_Proveedores[Razon Social],Clientes_Proveedores[Ruc / Dni]),2,0),"")</f>
        <v>10410687491</v>
      </c>
      <c r="W1652" s="25"/>
      <c r="X1652" s="25"/>
      <c r="Y1652" s="25"/>
      <c r="Z1652" s="75"/>
      <c r="AA1652" s="3" t="str">
        <f>IF(BCP_Soles[[#This Row],[fecha]]&gt;0,TEXT(BCP_Soles[[#This Row],[fecha]],"mmmm"),0)</f>
        <v>Mayo</v>
      </c>
    </row>
    <row r="1653" spans="1:27" ht="14.25" customHeight="1" x14ac:dyDescent="0.3">
      <c r="A1653" s="2">
        <f>IF(BCP_Soles[[#This Row],[tipo_registro]]="R",COUNTIFS($C$1:$C1652,"R")+1,A1652)</f>
        <v>1238</v>
      </c>
      <c r="B1653" s="19" t="str">
        <f t="shared" si="136"/>
        <v>B-BCP - Soles</v>
      </c>
      <c r="C1653" s="3" t="s">
        <v>1330</v>
      </c>
      <c r="D1653" s="14">
        <v>45786</v>
      </c>
      <c r="E1653" s="5"/>
      <c r="F1653" s="5" t="s">
        <v>1303</v>
      </c>
      <c r="G1653" s="6" t="s">
        <v>425</v>
      </c>
      <c r="H1653" s="6"/>
      <c r="I1653" s="6"/>
      <c r="J1653" s="6"/>
      <c r="K1653" s="7" t="s">
        <v>2988</v>
      </c>
      <c r="L1653" s="8">
        <v>16867</v>
      </c>
      <c r="M1653" s="8" t="str">
        <f t="shared" si="137"/>
        <v>PEN</v>
      </c>
      <c r="N1653" s="13"/>
      <c r="O1653" s="13">
        <v>36511</v>
      </c>
      <c r="P1653" s="3">
        <f t="shared" si="138"/>
        <v>36511</v>
      </c>
      <c r="Q1653" s="3">
        <f t="shared" si="139"/>
        <v>0</v>
      </c>
      <c r="R1653" s="3">
        <f t="shared" si="135"/>
        <v>67960.210000000021</v>
      </c>
      <c r="S1653" s="24"/>
      <c r="T1653" s="24"/>
      <c r="U1653" s="53"/>
      <c r="V1653" s="25">
        <f>IFERROR(VLOOKUP(BCP_Soles[[#This Row],[destinatario]],CHOOSE({1,2},Clientes_Proveedores[Razon Social],Clientes_Proveedores[Ruc / Dni]),2,0),"")</f>
        <v>20558226979</v>
      </c>
      <c r="W1653" s="25" t="s">
        <v>1345</v>
      </c>
      <c r="X1653" s="25"/>
      <c r="Y1653" s="25"/>
      <c r="Z1653" s="75"/>
      <c r="AA1653" s="3" t="str">
        <f>IF(BCP_Soles[[#This Row],[fecha]]&gt;0,TEXT(BCP_Soles[[#This Row],[fecha]],"mmmm"),0)</f>
        <v>Mayo</v>
      </c>
    </row>
    <row r="1654" spans="1:27" x14ac:dyDescent="0.3">
      <c r="A1654" s="2">
        <f>IF(BCP_Soles[[#This Row],[tipo_registro]]="R",COUNTIFS($C$1:$C1653,"R")+1,A1653)</f>
        <v>1239</v>
      </c>
      <c r="B1654" s="19" t="str">
        <f t="shared" si="136"/>
        <v>B-BCP - Soles</v>
      </c>
      <c r="C1654" s="3" t="s">
        <v>1330</v>
      </c>
      <c r="D1654" s="14">
        <v>45786</v>
      </c>
      <c r="E1654" s="5"/>
      <c r="F1654" s="5" t="s">
        <v>1303</v>
      </c>
      <c r="G1654" s="6" t="s">
        <v>425</v>
      </c>
      <c r="H1654" s="6"/>
      <c r="I1654" s="6"/>
      <c r="J1654" s="6"/>
      <c r="K1654" s="7" t="s">
        <v>1356</v>
      </c>
      <c r="L1654" s="8">
        <v>1415067</v>
      </c>
      <c r="M1654" s="8" t="str">
        <f t="shared" si="137"/>
        <v>PEN</v>
      </c>
      <c r="N1654" s="13"/>
      <c r="O1654" s="13">
        <v>36511</v>
      </c>
      <c r="P1654" s="3">
        <f t="shared" si="138"/>
        <v>36511</v>
      </c>
      <c r="Q1654" s="3">
        <f t="shared" si="139"/>
        <v>0</v>
      </c>
      <c r="R1654" s="3">
        <f t="shared" si="135"/>
        <v>104471.21000000002</v>
      </c>
      <c r="S1654" s="24"/>
      <c r="T1654" s="24"/>
      <c r="U1654" s="53"/>
      <c r="V1654" s="25">
        <f>IFERROR(VLOOKUP(BCP_Soles[[#This Row],[destinatario]],CHOOSE({1,2},Clientes_Proveedores[Razon Social],Clientes_Proveedores[Ruc / Dni]),2,0),"")</f>
        <v>20558226979</v>
      </c>
      <c r="W1654" s="25" t="s">
        <v>1345</v>
      </c>
      <c r="X1654" s="25"/>
      <c r="Y1654" s="25"/>
      <c r="Z1654" s="75"/>
      <c r="AA1654" s="3" t="str">
        <f>IF(BCP_Soles[[#This Row],[fecha]]&gt;0,TEXT(BCP_Soles[[#This Row],[fecha]],"mmmm"),0)</f>
        <v>Mayo</v>
      </c>
    </row>
    <row r="1655" spans="1:27" ht="36" x14ac:dyDescent="0.3">
      <c r="A1655" s="2">
        <f>IF(BCP_Soles[[#This Row],[tipo_registro]]="R",COUNTIFS($C$1:$C1654,"R")+1,A1654)</f>
        <v>1240</v>
      </c>
      <c r="B1655" s="19" t="str">
        <f t="shared" si="136"/>
        <v>B-BCP - Soles</v>
      </c>
      <c r="C1655" s="3" t="s">
        <v>1330</v>
      </c>
      <c r="D1655" s="14">
        <v>45786</v>
      </c>
      <c r="E1655" s="5" t="s">
        <v>271</v>
      </c>
      <c r="F1655" s="5" t="s">
        <v>1303</v>
      </c>
      <c r="G1655" s="6" t="s">
        <v>425</v>
      </c>
      <c r="H1655" s="6"/>
      <c r="I1655" s="6"/>
      <c r="J1655" s="6"/>
      <c r="K1655" s="7" t="s">
        <v>2989</v>
      </c>
      <c r="L1655" s="8">
        <v>3476570</v>
      </c>
      <c r="M1655" s="8" t="str">
        <f t="shared" si="137"/>
        <v>PEN</v>
      </c>
      <c r="N1655" s="13"/>
      <c r="O1655" s="13">
        <v>16091.04</v>
      </c>
      <c r="P1655" s="3">
        <f t="shared" si="138"/>
        <v>16091.04</v>
      </c>
      <c r="Q1655" s="3">
        <f t="shared" si="139"/>
        <v>0</v>
      </c>
      <c r="R1655" s="3">
        <f t="shared" si="135"/>
        <v>120562.25000000003</v>
      </c>
      <c r="S1655" s="24" t="s">
        <v>1334</v>
      </c>
      <c r="T1655" s="24" t="s">
        <v>1334</v>
      </c>
      <c r="U1655" s="53"/>
      <c r="V1655" s="25">
        <f>IFERROR(VLOOKUP(BCP_Soles[[#This Row],[destinatario]],CHOOSE({1,2},Clientes_Proveedores[Razon Social],Clientes_Proveedores[Ruc / Dni]),2,0),"")</f>
        <v>20558226979</v>
      </c>
      <c r="W1655" s="25" t="s">
        <v>1345</v>
      </c>
      <c r="X1655" s="25" t="s">
        <v>2990</v>
      </c>
      <c r="Y1655" s="25"/>
      <c r="Z1655" s="75"/>
      <c r="AA1655" s="3" t="str">
        <f>IF(BCP_Soles[[#This Row],[fecha]]&gt;0,TEXT(BCP_Soles[[#This Row],[fecha]],"mmmm"),0)</f>
        <v>Mayo</v>
      </c>
    </row>
    <row r="1656" spans="1:27" x14ac:dyDescent="0.3">
      <c r="A1656" s="2">
        <f>IF(BCP_Soles[[#This Row],[tipo_registro]]="R",COUNTIFS($C$1:$C1655,"R")+1,A1655)</f>
        <v>1241</v>
      </c>
      <c r="B1656" s="19" t="str">
        <f t="shared" si="136"/>
        <v>B-BCP - Soles</v>
      </c>
      <c r="C1656" s="3" t="s">
        <v>1330</v>
      </c>
      <c r="D1656" s="14">
        <v>45786</v>
      </c>
      <c r="E1656" s="5" t="s">
        <v>286</v>
      </c>
      <c r="F1656" s="5" t="s">
        <v>1303</v>
      </c>
      <c r="G1656" s="6" t="s">
        <v>425</v>
      </c>
      <c r="H1656" s="6"/>
      <c r="I1656" s="6"/>
      <c r="J1656" s="6"/>
      <c r="K1656" s="7" t="s">
        <v>1382</v>
      </c>
      <c r="L1656" s="8">
        <v>7313</v>
      </c>
      <c r="M1656" s="8" t="str">
        <f t="shared" si="137"/>
        <v>PEN</v>
      </c>
      <c r="N1656" s="13"/>
      <c r="O1656" s="13">
        <v>2725.35</v>
      </c>
      <c r="P1656" s="3">
        <f t="shared" si="138"/>
        <v>2725.35</v>
      </c>
      <c r="Q1656" s="3">
        <f t="shared" si="139"/>
        <v>0</v>
      </c>
      <c r="R1656" s="3">
        <f t="shared" si="135"/>
        <v>123287.60000000003</v>
      </c>
      <c r="S1656" s="24" t="s">
        <v>1334</v>
      </c>
      <c r="T1656" s="24" t="s">
        <v>1334</v>
      </c>
      <c r="U1656" s="53"/>
      <c r="V1656" s="25">
        <f>IFERROR(VLOOKUP(BCP_Soles[[#This Row],[destinatario]],CHOOSE({1,2},Clientes_Proveedores[Razon Social],Clientes_Proveedores[Ruc / Dni]),2,0),"")</f>
        <v>20558226979</v>
      </c>
      <c r="W1656" s="25" t="s">
        <v>1345</v>
      </c>
      <c r="X1656" s="25" t="s">
        <v>2991</v>
      </c>
      <c r="Y1656" s="25"/>
      <c r="Z1656" s="75"/>
      <c r="AA1656" s="3" t="str">
        <f>IF(BCP_Soles[[#This Row],[fecha]]&gt;0,TEXT(BCP_Soles[[#This Row],[fecha]],"mmmm"),0)</f>
        <v>Mayo</v>
      </c>
    </row>
    <row r="1657" spans="1:27" x14ac:dyDescent="0.3">
      <c r="A1657" s="2">
        <f>IF(BCP_Soles[[#This Row],[tipo_registro]]="R",COUNTIFS($C$1:$C1656,"R")+1,A1656)</f>
        <v>1242</v>
      </c>
      <c r="B1657" s="19" t="str">
        <f t="shared" si="136"/>
        <v>B-BCP - Soles</v>
      </c>
      <c r="C1657" s="3" t="s">
        <v>1330</v>
      </c>
      <c r="D1657" s="14">
        <v>45786</v>
      </c>
      <c r="E1657" s="5" t="s">
        <v>335</v>
      </c>
      <c r="F1657" s="5" t="s">
        <v>1303</v>
      </c>
      <c r="G1657" s="6" t="s">
        <v>425</v>
      </c>
      <c r="H1657" s="6"/>
      <c r="I1657" s="6"/>
      <c r="J1657" s="6"/>
      <c r="K1657" s="7" t="s">
        <v>1912</v>
      </c>
      <c r="L1657" s="8">
        <v>2256416</v>
      </c>
      <c r="M1657" s="8" t="str">
        <f t="shared" si="137"/>
        <v>PEN</v>
      </c>
      <c r="N1657" s="13"/>
      <c r="O1657" s="13">
        <v>1515.45</v>
      </c>
      <c r="P1657" s="3">
        <f t="shared" si="138"/>
        <v>1515.45</v>
      </c>
      <c r="Q1657" s="3">
        <f t="shared" si="139"/>
        <v>0</v>
      </c>
      <c r="R1657" s="3">
        <f t="shared" si="135"/>
        <v>124803.05000000003</v>
      </c>
      <c r="S1657" s="24" t="s">
        <v>1334</v>
      </c>
      <c r="T1657" s="24" t="s">
        <v>1334</v>
      </c>
      <c r="U1657" s="53"/>
      <c r="V1657" s="25">
        <f>IFERROR(VLOOKUP(BCP_Soles[[#This Row],[destinatario]],CHOOSE({1,2},Clientes_Proveedores[Razon Social],Clientes_Proveedores[Ruc / Dni]),2,0),"")</f>
        <v>20558226979</v>
      </c>
      <c r="W1657" s="25" t="s">
        <v>1345</v>
      </c>
      <c r="X1657" s="25" t="s">
        <v>2992</v>
      </c>
      <c r="Y1657" s="25"/>
      <c r="Z1657" s="75"/>
      <c r="AA1657" s="3" t="str">
        <f>IF(BCP_Soles[[#This Row],[fecha]]&gt;0,TEXT(BCP_Soles[[#This Row],[fecha]],"mmmm"),0)</f>
        <v>Mayo</v>
      </c>
    </row>
    <row r="1658" spans="1:27" x14ac:dyDescent="0.3">
      <c r="A1658" s="2">
        <f>IF(BCP_Soles[[#This Row],[tipo_registro]]="R",COUNTIFS($C$1:$C1657,"R")+1,A1657)</f>
        <v>1243</v>
      </c>
      <c r="B1658" s="19" t="str">
        <f t="shared" si="136"/>
        <v>B-BCP - Soles</v>
      </c>
      <c r="C1658" s="3" t="s">
        <v>1330</v>
      </c>
      <c r="D1658" s="14">
        <v>45786</v>
      </c>
      <c r="E1658" s="5" t="s">
        <v>216</v>
      </c>
      <c r="F1658" s="5" t="s">
        <v>1303</v>
      </c>
      <c r="G1658" s="6" t="s">
        <v>425</v>
      </c>
      <c r="H1658" s="6"/>
      <c r="I1658" s="6"/>
      <c r="J1658" s="6"/>
      <c r="K1658" s="7" t="s">
        <v>2993</v>
      </c>
      <c r="L1658" s="8">
        <v>3674513</v>
      </c>
      <c r="M1658" s="8" t="str">
        <f t="shared" si="137"/>
        <v>PEN</v>
      </c>
      <c r="N1658" s="13"/>
      <c r="O1658" s="13">
        <v>1159</v>
      </c>
      <c r="P1658" s="3">
        <f t="shared" si="138"/>
        <v>1159</v>
      </c>
      <c r="Q1658" s="3">
        <f t="shared" si="139"/>
        <v>0</v>
      </c>
      <c r="R1658" s="3">
        <f t="shared" si="135"/>
        <v>125962.05000000003</v>
      </c>
      <c r="S1658" s="24" t="s">
        <v>1334</v>
      </c>
      <c r="T1658" s="24" t="s">
        <v>1334</v>
      </c>
      <c r="U1658" s="53"/>
      <c r="V1658" s="25">
        <f>IFERROR(VLOOKUP(BCP_Soles[[#This Row],[destinatario]],CHOOSE({1,2},Clientes_Proveedores[Razon Social],Clientes_Proveedores[Ruc / Dni]),2,0),"")</f>
        <v>20558226979</v>
      </c>
      <c r="W1658" s="25" t="s">
        <v>1345</v>
      </c>
      <c r="X1658" s="25" t="s">
        <v>2994</v>
      </c>
      <c r="Y1658" s="25"/>
      <c r="Z1658" s="75"/>
      <c r="AA1658" s="3" t="str">
        <f>IF(BCP_Soles[[#This Row],[fecha]]&gt;0,TEXT(BCP_Soles[[#This Row],[fecha]],"mmmm"),0)</f>
        <v>Mayo</v>
      </c>
    </row>
    <row r="1659" spans="1:27" ht="24" x14ac:dyDescent="0.3">
      <c r="A1659" s="2">
        <f>IF(BCP_Soles[[#This Row],[tipo_registro]]="R",COUNTIFS($C$1:$C1658,"R")+1,A1658)</f>
        <v>1244</v>
      </c>
      <c r="B1659" s="19" t="str">
        <f t="shared" si="136"/>
        <v>B-BCP - Soles</v>
      </c>
      <c r="C1659" s="3" t="s">
        <v>1330</v>
      </c>
      <c r="D1659" s="14">
        <v>45786</v>
      </c>
      <c r="E1659" s="5" t="s">
        <v>1698</v>
      </c>
      <c r="F1659" s="5" t="s">
        <v>1303</v>
      </c>
      <c r="G1659" s="6" t="s">
        <v>425</v>
      </c>
      <c r="H1659" s="6" t="s">
        <v>143</v>
      </c>
      <c r="I1659" s="6">
        <v>1</v>
      </c>
      <c r="J1659" s="6">
        <v>312025</v>
      </c>
      <c r="K1659" s="7" t="s">
        <v>2995</v>
      </c>
      <c r="L1659" s="8">
        <v>3237768</v>
      </c>
      <c r="M1659" s="8" t="str">
        <f t="shared" si="137"/>
        <v>PEN</v>
      </c>
      <c r="N1659" s="13"/>
      <c r="O1659" s="13">
        <v>34.1</v>
      </c>
      <c r="P1659" s="3">
        <f t="shared" si="138"/>
        <v>34.1</v>
      </c>
      <c r="Q1659" s="3">
        <f t="shared" si="139"/>
        <v>0</v>
      </c>
      <c r="R1659" s="3">
        <f t="shared" si="135"/>
        <v>125996.15000000004</v>
      </c>
      <c r="S1659" s="24" t="s">
        <v>1334</v>
      </c>
      <c r="T1659" s="24" t="s">
        <v>1334</v>
      </c>
      <c r="U1659" s="53"/>
      <c r="V1659" s="25">
        <f>IFERROR(VLOOKUP(BCP_Soles[[#This Row],[destinatario]],CHOOSE({1,2},Clientes_Proveedores[Razon Social],Clientes_Proveedores[Ruc / Dni]),2,0),"")</f>
        <v>20558226979</v>
      </c>
      <c r="W1659" s="25" t="s">
        <v>1345</v>
      </c>
      <c r="X1659" s="25" t="s">
        <v>2709</v>
      </c>
      <c r="Y1659" s="25"/>
      <c r="Z1659" s="75"/>
      <c r="AA1659" s="3" t="str">
        <f>IF(BCP_Soles[[#This Row],[fecha]]&gt;0,TEXT(BCP_Soles[[#This Row],[fecha]],"mmmm"),0)</f>
        <v>Mayo</v>
      </c>
    </row>
    <row r="1660" spans="1:27" x14ac:dyDescent="0.3">
      <c r="A1660" s="2">
        <f>IF(BCP_Soles[[#This Row],[tipo_registro]]="R",COUNTIFS($C$1:$C1659,"R")+1,A1659)</f>
        <v>1245</v>
      </c>
      <c r="B1660" s="19" t="str">
        <f t="shared" si="136"/>
        <v>B-BCP - Soles</v>
      </c>
      <c r="C1660" s="3" t="s">
        <v>1330</v>
      </c>
      <c r="D1660" s="14">
        <v>45786</v>
      </c>
      <c r="E1660" s="5" t="s">
        <v>1335</v>
      </c>
      <c r="F1660" s="5" t="s">
        <v>1336</v>
      </c>
      <c r="G1660" s="6"/>
      <c r="H1660" s="6"/>
      <c r="I1660" s="6"/>
      <c r="J1660" s="6"/>
      <c r="K1660" s="7" t="s">
        <v>1337</v>
      </c>
      <c r="L1660" s="8"/>
      <c r="M1660" s="8" t="str">
        <f t="shared" si="137"/>
        <v>PEN</v>
      </c>
      <c r="N1660" s="13"/>
      <c r="O1660" s="13">
        <v>5.7</v>
      </c>
      <c r="P1660" s="3">
        <f t="shared" si="138"/>
        <v>0</v>
      </c>
      <c r="Q1660" s="3">
        <f t="shared" si="139"/>
        <v>5.7</v>
      </c>
      <c r="R1660" s="3">
        <f t="shared" si="135"/>
        <v>125990.45000000004</v>
      </c>
      <c r="S1660" s="24"/>
      <c r="T1660" s="24" t="s">
        <v>1334</v>
      </c>
      <c r="U1660" s="53"/>
      <c r="V1660" s="25" t="str">
        <f>IFERROR(VLOOKUP(BCP_Soles[[#This Row],[destinatario]],CHOOSE({1,2},Clientes_Proveedores[Razon Social],Clientes_Proveedores[Ruc / Dni]),2,0),"")</f>
        <v/>
      </c>
      <c r="W1660" s="25"/>
      <c r="X1660" s="25"/>
      <c r="Y1660" s="25"/>
      <c r="Z1660" s="75"/>
      <c r="AA1660" s="3" t="str">
        <f>IF(BCP_Soles[[#This Row],[fecha]]&gt;0,TEXT(BCP_Soles[[#This Row],[fecha]],"mmmm"),0)</f>
        <v>Mayo</v>
      </c>
    </row>
    <row r="1661" spans="1:27" ht="24" x14ac:dyDescent="0.3">
      <c r="A1661" s="2">
        <f>IF(BCP_Soles[[#This Row],[tipo_registro]]="R",COUNTIFS($C$1:$C1660,"R")+1,A1660)</f>
        <v>1246</v>
      </c>
      <c r="B1661" s="19" t="str">
        <f t="shared" si="136"/>
        <v>B-BCP - Soles</v>
      </c>
      <c r="C1661" s="3" t="s">
        <v>1330</v>
      </c>
      <c r="D1661" s="14">
        <v>45786</v>
      </c>
      <c r="E1661" s="5" t="s">
        <v>1335</v>
      </c>
      <c r="F1661" s="5" t="s">
        <v>1336</v>
      </c>
      <c r="G1661" s="6" t="s">
        <v>1060</v>
      </c>
      <c r="H1661" s="6" t="s">
        <v>68</v>
      </c>
      <c r="I1661" s="6" t="s">
        <v>1397</v>
      </c>
      <c r="J1661" s="6">
        <v>32349245</v>
      </c>
      <c r="K1661" s="7" t="s">
        <v>1400</v>
      </c>
      <c r="L1661" s="8">
        <v>527</v>
      </c>
      <c r="M1661" s="8" t="str">
        <f t="shared" si="137"/>
        <v>PEN</v>
      </c>
      <c r="N1661" s="13"/>
      <c r="O1661" s="13">
        <v>10</v>
      </c>
      <c r="P1661" s="3">
        <f t="shared" si="138"/>
        <v>0</v>
      </c>
      <c r="Q1661" s="3">
        <f t="shared" si="139"/>
        <v>10</v>
      </c>
      <c r="R1661" s="3">
        <f t="shared" si="135"/>
        <v>125980.45000000004</v>
      </c>
      <c r="S1661" s="24"/>
      <c r="T1661" s="24" t="s">
        <v>1334</v>
      </c>
      <c r="U1661" s="53"/>
      <c r="V1661" s="25">
        <f>IFERROR(VLOOKUP(BCP_Soles[[#This Row],[destinatario]],CHOOSE({1,2},Clientes_Proveedores[Razon Social],Clientes_Proveedores[Ruc / Dni]),2,0),"")</f>
        <v>20100047218</v>
      </c>
      <c r="W1661" s="25" t="s">
        <v>1335</v>
      </c>
      <c r="X1661" s="25"/>
      <c r="Y1661" s="25"/>
      <c r="Z1661" s="75"/>
      <c r="AA1661" s="3" t="str">
        <f>IF(BCP_Soles[[#This Row],[fecha]]&gt;0,TEXT(BCP_Soles[[#This Row],[fecha]],"mmmm"),0)</f>
        <v>Mayo</v>
      </c>
    </row>
    <row r="1662" spans="1:27" ht="24" x14ac:dyDescent="0.3">
      <c r="A1662" s="2">
        <f>IF(BCP_Soles[[#This Row],[tipo_registro]]="R",COUNTIFS($C$1:$C1661,"R")+1,A1661)</f>
        <v>1247</v>
      </c>
      <c r="B1662" s="19" t="str">
        <f t="shared" si="136"/>
        <v>B-BCP - Soles</v>
      </c>
      <c r="C1662" s="3" t="s">
        <v>1330</v>
      </c>
      <c r="D1662" s="14">
        <v>45786</v>
      </c>
      <c r="E1662" s="5" t="s">
        <v>1338</v>
      </c>
      <c r="F1662" s="5" t="s">
        <v>1336</v>
      </c>
      <c r="G1662" s="6" t="s">
        <v>857</v>
      </c>
      <c r="H1662" s="6" t="s">
        <v>143</v>
      </c>
      <c r="I1662" s="6">
        <v>1</v>
      </c>
      <c r="J1662" s="6">
        <v>372025</v>
      </c>
      <c r="K1662" s="7" t="s">
        <v>2996</v>
      </c>
      <c r="L1662" s="8">
        <v>1285478</v>
      </c>
      <c r="M1662" s="8" t="str">
        <f t="shared" si="137"/>
        <v>PEN</v>
      </c>
      <c r="N1662" s="13"/>
      <c r="O1662" s="13">
        <v>140</v>
      </c>
      <c r="P1662" s="3">
        <f t="shared" si="138"/>
        <v>0</v>
      </c>
      <c r="Q1662" s="3">
        <f t="shared" si="139"/>
        <v>140</v>
      </c>
      <c r="R1662" s="3">
        <f t="shared" si="135"/>
        <v>125840.45000000004</v>
      </c>
      <c r="S1662" s="24" t="s">
        <v>1334</v>
      </c>
      <c r="T1662" s="24" t="s">
        <v>1334</v>
      </c>
      <c r="U1662" s="53"/>
      <c r="V1662" s="25">
        <f>IFERROR(VLOOKUP(BCP_Soles[[#This Row],[destinatario]],CHOOSE({1,2},Clientes_Proveedores[Razon Social],Clientes_Proveedores[Ruc / Dni]),2,0),"")</f>
        <v>70666331</v>
      </c>
      <c r="W1662" s="25" t="s">
        <v>857</v>
      </c>
      <c r="X1662" s="25" t="s">
        <v>2997</v>
      </c>
      <c r="Y1662" s="25"/>
      <c r="Z1662" s="75"/>
      <c r="AA1662" s="3" t="str">
        <f>IF(BCP_Soles[[#This Row],[fecha]]&gt;0,TEXT(BCP_Soles[[#This Row],[fecha]],"mmmm"),0)</f>
        <v>Mayo</v>
      </c>
    </row>
    <row r="1663" spans="1:27" x14ac:dyDescent="0.3">
      <c r="A1663" s="2">
        <f>IF(BCP_Soles[[#This Row],[tipo_registro]]="R",COUNTIFS($C$1:$C1662,"R")+1,A1662)</f>
        <v>1248</v>
      </c>
      <c r="B1663" s="19" t="str">
        <f t="shared" si="136"/>
        <v>B-BCP - Soles</v>
      </c>
      <c r="C1663" s="3" t="s">
        <v>1330</v>
      </c>
      <c r="D1663" s="14">
        <v>45786</v>
      </c>
      <c r="E1663" s="5" t="s">
        <v>1338</v>
      </c>
      <c r="F1663" s="5" t="s">
        <v>1336</v>
      </c>
      <c r="G1663" s="6" t="s">
        <v>565</v>
      </c>
      <c r="H1663" s="6" t="s">
        <v>68</v>
      </c>
      <c r="I1663" s="6" t="s">
        <v>1432</v>
      </c>
      <c r="J1663" s="6">
        <v>181</v>
      </c>
      <c r="K1663" s="7" t="s">
        <v>2998</v>
      </c>
      <c r="L1663" s="8">
        <v>1124354</v>
      </c>
      <c r="M1663" s="8" t="str">
        <f t="shared" si="137"/>
        <v>PEN</v>
      </c>
      <c r="N1663" s="13"/>
      <c r="O1663" s="13">
        <v>180</v>
      </c>
      <c r="P1663" s="3">
        <f t="shared" si="138"/>
        <v>0</v>
      </c>
      <c r="Q1663" s="3">
        <f t="shared" si="139"/>
        <v>180</v>
      </c>
      <c r="R1663" s="3">
        <f t="shared" si="135"/>
        <v>125660.45000000004</v>
      </c>
      <c r="S1663" s="24" t="s">
        <v>1334</v>
      </c>
      <c r="T1663" s="24" t="s">
        <v>1334</v>
      </c>
      <c r="U1663" s="53"/>
      <c r="V1663" s="25">
        <f>IFERROR(VLOOKUP(BCP_Soles[[#This Row],[destinatario]],CHOOSE({1,2},Clientes_Proveedores[Razon Social],Clientes_Proveedores[Ruc / Dni]),2,0),"")</f>
        <v>20608587803</v>
      </c>
      <c r="W1663" s="25" t="s">
        <v>565</v>
      </c>
      <c r="X1663" s="25" t="s">
        <v>2999</v>
      </c>
      <c r="Y1663" s="25"/>
      <c r="Z1663" s="75"/>
      <c r="AA1663" s="3" t="str">
        <f>IF(BCP_Soles[[#This Row],[fecha]]&gt;0,TEXT(BCP_Soles[[#This Row],[fecha]],"mmmm"),0)</f>
        <v>Mayo</v>
      </c>
    </row>
    <row r="1664" spans="1:27" x14ac:dyDescent="0.3">
      <c r="A1664" s="2">
        <f>IF(BCP_Soles[[#This Row],[tipo_registro]]="R",COUNTIFS($C$1:$C1663,"R")+1,A1663)</f>
        <v>1249</v>
      </c>
      <c r="B1664" s="19" t="str">
        <f t="shared" si="136"/>
        <v>B-BCP - Soles</v>
      </c>
      <c r="C1664" s="3" t="s">
        <v>1330</v>
      </c>
      <c r="D1664" s="14">
        <v>45786</v>
      </c>
      <c r="E1664" s="5" t="s">
        <v>1338</v>
      </c>
      <c r="F1664" s="5" t="s">
        <v>1336</v>
      </c>
      <c r="G1664" s="6" t="s">
        <v>575</v>
      </c>
      <c r="H1664" s="6"/>
      <c r="I1664" s="6"/>
      <c r="J1664" s="6"/>
      <c r="K1664" s="7" t="s">
        <v>1735</v>
      </c>
      <c r="L1664" s="8">
        <v>4015063</v>
      </c>
      <c r="M1664" s="8" t="str">
        <f t="shared" si="137"/>
        <v>PEN</v>
      </c>
      <c r="N1664" s="13"/>
      <c r="O1664" s="13">
        <v>600.5</v>
      </c>
      <c r="P1664" s="3">
        <f t="shared" si="138"/>
        <v>0</v>
      </c>
      <c r="Q1664" s="3">
        <f t="shared" si="139"/>
        <v>600.5</v>
      </c>
      <c r="R1664" s="3">
        <f t="shared" si="135"/>
        <v>125059.95000000004</v>
      </c>
      <c r="S1664" s="24" t="s">
        <v>1334</v>
      </c>
      <c r="T1664" s="24" t="s">
        <v>1334</v>
      </c>
      <c r="U1664" s="53"/>
      <c r="V1664" s="25">
        <f>IFERROR(VLOOKUP(BCP_Soles[[#This Row],[destinatario]],CHOOSE({1,2},Clientes_Proveedores[Razon Social],Clientes_Proveedores[Ruc / Dni]),2,0),"")</f>
        <v>20608970909</v>
      </c>
      <c r="W1664" s="25" t="s">
        <v>575</v>
      </c>
      <c r="X1664" s="25" t="s">
        <v>3000</v>
      </c>
      <c r="Y1664" s="25"/>
      <c r="Z1664" s="75"/>
      <c r="AA1664" s="3" t="str">
        <f>IF(BCP_Soles[[#This Row],[fecha]]&gt;0,TEXT(BCP_Soles[[#This Row],[fecha]],"mmmm"),0)</f>
        <v>Mayo</v>
      </c>
    </row>
    <row r="1665" spans="1:27" x14ac:dyDescent="0.3">
      <c r="A1665" s="2">
        <f>IF(BCP_Soles[[#This Row],[tipo_registro]]="R",COUNTIFS($C$1:$C1664,"R")+1,A1664)</f>
        <v>1249</v>
      </c>
      <c r="B1665" s="19" t="str">
        <f t="shared" si="136"/>
        <v>B-BCP - Soles</v>
      </c>
      <c r="C1665" s="3" t="s">
        <v>1352</v>
      </c>
      <c r="D1665" s="14">
        <v>45786</v>
      </c>
      <c r="E1665" s="5" t="s">
        <v>1338</v>
      </c>
      <c r="F1665" s="5"/>
      <c r="G1665" s="6" t="s">
        <v>575</v>
      </c>
      <c r="H1665" s="6" t="s">
        <v>68</v>
      </c>
      <c r="I1665" s="6" t="s">
        <v>1376</v>
      </c>
      <c r="J1665" s="6">
        <v>1174</v>
      </c>
      <c r="K1665" s="7" t="s">
        <v>1735</v>
      </c>
      <c r="L1665" s="8">
        <v>4015063</v>
      </c>
      <c r="M1665" s="8" t="str">
        <f t="shared" si="137"/>
        <v>PEN</v>
      </c>
      <c r="N1665" s="13">
        <v>590</v>
      </c>
      <c r="O1665" s="13"/>
      <c r="P1665" s="3">
        <f t="shared" si="138"/>
        <v>0</v>
      </c>
      <c r="Q1665" s="3">
        <f t="shared" si="139"/>
        <v>0</v>
      </c>
      <c r="R1665" s="3">
        <f t="shared" si="135"/>
        <v>125059.95000000004</v>
      </c>
      <c r="S1665" s="24" t="s">
        <v>1334</v>
      </c>
      <c r="T1665" s="24" t="s">
        <v>1334</v>
      </c>
      <c r="U1665" s="53"/>
      <c r="V1665" s="25">
        <f>IFERROR(VLOOKUP(BCP_Soles[[#This Row],[destinatario]],CHOOSE({1,2},Clientes_Proveedores[Razon Social],Clientes_Proveedores[Ruc / Dni]),2,0),"")</f>
        <v>20608970909</v>
      </c>
      <c r="W1665" s="25"/>
      <c r="X1665" s="25"/>
      <c r="Y1665" s="25"/>
      <c r="Z1665" s="75"/>
      <c r="AA1665" s="3" t="str">
        <f>IF(BCP_Soles[[#This Row],[fecha]]&gt;0,TEXT(BCP_Soles[[#This Row],[fecha]],"mmmm"),0)</f>
        <v>Mayo</v>
      </c>
    </row>
    <row r="1666" spans="1:27" ht="24" x14ac:dyDescent="0.3">
      <c r="A1666" s="2">
        <f>IF(BCP_Soles[[#This Row],[tipo_registro]]="R",COUNTIFS($C$1:$C1665,"R")+1,A1665)</f>
        <v>1249</v>
      </c>
      <c r="B1666" s="19" t="str">
        <f t="shared" si="136"/>
        <v>B-BCP - Soles</v>
      </c>
      <c r="C1666" s="3" t="s">
        <v>1352</v>
      </c>
      <c r="D1666" s="14">
        <v>45786</v>
      </c>
      <c r="E1666" s="5" t="s">
        <v>1338</v>
      </c>
      <c r="F1666" s="5"/>
      <c r="G1666" s="6" t="s">
        <v>1060</v>
      </c>
      <c r="H1666" s="6" t="s">
        <v>68</v>
      </c>
      <c r="I1666" s="6" t="s">
        <v>1397</v>
      </c>
      <c r="J1666" s="6">
        <v>32353129</v>
      </c>
      <c r="K1666" s="7" t="s">
        <v>1735</v>
      </c>
      <c r="L1666" s="8">
        <v>4015063</v>
      </c>
      <c r="M1666" s="8" t="str">
        <f t="shared" si="137"/>
        <v>PEN</v>
      </c>
      <c r="N1666" s="13">
        <v>10.5</v>
      </c>
      <c r="O1666" s="13"/>
      <c r="P1666" s="3">
        <f t="shared" si="138"/>
        <v>0</v>
      </c>
      <c r="Q1666" s="3">
        <f t="shared" si="139"/>
        <v>0</v>
      </c>
      <c r="R1666" s="3">
        <f t="shared" si="135"/>
        <v>125059.95000000004</v>
      </c>
      <c r="S1666" s="24" t="s">
        <v>1334</v>
      </c>
      <c r="T1666" s="24" t="s">
        <v>1334</v>
      </c>
      <c r="U1666" s="53"/>
      <c r="V1666" s="25">
        <f>IFERROR(VLOOKUP(BCP_Soles[[#This Row],[destinatario]],CHOOSE({1,2},Clientes_Proveedores[Razon Social],Clientes_Proveedores[Ruc / Dni]),2,0),"")</f>
        <v>20100047218</v>
      </c>
      <c r="W1666" s="25"/>
      <c r="X1666" s="25"/>
      <c r="Y1666" s="25"/>
      <c r="Z1666" s="75"/>
      <c r="AA1666" s="3" t="str">
        <f>IF(BCP_Soles[[#This Row],[fecha]]&gt;0,TEXT(BCP_Soles[[#This Row],[fecha]],"mmmm"),0)</f>
        <v>Mayo</v>
      </c>
    </row>
    <row r="1667" spans="1:27" ht="36" x14ac:dyDescent="0.3">
      <c r="A1667" s="2">
        <f>IF(BCP_Soles[[#This Row],[tipo_registro]]="R",COUNTIFS($C$1:$C1666,"R")+1,A1666)</f>
        <v>1250</v>
      </c>
      <c r="B1667" s="19" t="str">
        <f t="shared" si="136"/>
        <v>B-BCP - Soles</v>
      </c>
      <c r="C1667" s="3" t="s">
        <v>1330</v>
      </c>
      <c r="D1667" s="14">
        <v>45786</v>
      </c>
      <c r="E1667" s="5" t="s">
        <v>1338</v>
      </c>
      <c r="F1667" s="5" t="s">
        <v>1336</v>
      </c>
      <c r="G1667" s="6" t="s">
        <v>675</v>
      </c>
      <c r="H1667" s="6"/>
      <c r="I1667" s="6"/>
      <c r="J1667" s="6"/>
      <c r="K1667" s="7" t="s">
        <v>3001</v>
      </c>
      <c r="L1667" s="8">
        <v>1127244</v>
      </c>
      <c r="M1667" s="8" t="str">
        <f t="shared" si="137"/>
        <v>PEN</v>
      </c>
      <c r="N1667" s="13"/>
      <c r="O1667" s="13">
        <v>1028.2</v>
      </c>
      <c r="P1667" s="3">
        <f t="shared" si="138"/>
        <v>0</v>
      </c>
      <c r="Q1667" s="3">
        <f t="shared" si="139"/>
        <v>1028.2</v>
      </c>
      <c r="R1667" s="3">
        <f t="shared" si="135"/>
        <v>124031.75000000004</v>
      </c>
      <c r="S1667" s="24" t="s">
        <v>1334</v>
      </c>
      <c r="T1667" s="24" t="s">
        <v>1334</v>
      </c>
      <c r="U1667" s="53"/>
      <c r="V1667" s="25">
        <f>IFERROR(VLOOKUP(BCP_Soles[[#This Row],[destinatario]],CHOOSE({1,2},Clientes_Proveedores[Razon Social],Clientes_Proveedores[Ruc / Dni]),2,0),"")</f>
        <v>20455911401</v>
      </c>
      <c r="W1667" s="25" t="s">
        <v>2914</v>
      </c>
      <c r="X1667" s="25" t="s">
        <v>2915</v>
      </c>
      <c r="Y1667" s="25"/>
      <c r="Z1667" s="75"/>
      <c r="AA1667" s="3" t="str">
        <f>IF(BCP_Soles[[#This Row],[fecha]]&gt;0,TEXT(BCP_Soles[[#This Row],[fecha]],"mmmm"),0)</f>
        <v>Mayo</v>
      </c>
    </row>
    <row r="1668" spans="1:27" ht="36" x14ac:dyDescent="0.3">
      <c r="A1668" s="2">
        <f>IF(BCP_Soles[[#This Row],[tipo_registro]]="R",COUNTIFS($C$1:$C1667,"R")+1,A1667)</f>
        <v>1250</v>
      </c>
      <c r="B1668" s="19" t="str">
        <f t="shared" si="136"/>
        <v>B-BCP - Soles</v>
      </c>
      <c r="C1668" s="3" t="s">
        <v>1352</v>
      </c>
      <c r="D1668" s="14">
        <v>45786</v>
      </c>
      <c r="E1668" s="5" t="s">
        <v>1338</v>
      </c>
      <c r="F1668" s="5"/>
      <c r="G1668" s="6" t="s">
        <v>675</v>
      </c>
      <c r="H1668" s="6" t="s">
        <v>68</v>
      </c>
      <c r="I1668" s="6" t="s">
        <v>2912</v>
      </c>
      <c r="J1668" s="6">
        <v>1123</v>
      </c>
      <c r="K1668" s="7" t="s">
        <v>3001</v>
      </c>
      <c r="L1668" s="8"/>
      <c r="M1668" s="8" t="str">
        <f t="shared" si="137"/>
        <v>PEN</v>
      </c>
      <c r="N1668" s="13">
        <v>121.12</v>
      </c>
      <c r="O1668" s="13"/>
      <c r="P1668" s="3">
        <f t="shared" si="138"/>
        <v>0</v>
      </c>
      <c r="Q1668" s="3">
        <f t="shared" si="139"/>
        <v>0</v>
      </c>
      <c r="R1668" s="3">
        <f t="shared" si="135"/>
        <v>124031.75000000004</v>
      </c>
      <c r="S1668" s="24"/>
      <c r="T1668" s="24" t="s">
        <v>1334</v>
      </c>
      <c r="U1668" s="53"/>
      <c r="V1668" s="25">
        <f>IFERROR(VLOOKUP(BCP_Soles[[#This Row],[destinatario]],CHOOSE({1,2},Clientes_Proveedores[Razon Social],Clientes_Proveedores[Ruc / Dni]),2,0),"")</f>
        <v>20455911401</v>
      </c>
      <c r="W1668" s="25"/>
      <c r="X1668" s="25"/>
      <c r="Y1668" s="25"/>
      <c r="Z1668" s="75"/>
      <c r="AA1668" s="3" t="str">
        <f>IF(BCP_Soles[[#This Row],[fecha]]&gt;0,TEXT(BCP_Soles[[#This Row],[fecha]],"mmmm"),0)</f>
        <v>Mayo</v>
      </c>
    </row>
    <row r="1669" spans="1:27" ht="36" x14ac:dyDescent="0.3">
      <c r="A1669" s="2">
        <f>IF(BCP_Soles[[#This Row],[tipo_registro]]="R",COUNTIFS($C$1:$C1668,"R")+1,A1668)</f>
        <v>1250</v>
      </c>
      <c r="B1669" s="19" t="str">
        <f t="shared" si="136"/>
        <v>B-BCP - Soles</v>
      </c>
      <c r="C1669" s="3" t="s">
        <v>1352</v>
      </c>
      <c r="D1669" s="14">
        <v>45786</v>
      </c>
      <c r="E1669" s="5" t="s">
        <v>1338</v>
      </c>
      <c r="F1669" s="5"/>
      <c r="G1669" s="6" t="s">
        <v>675</v>
      </c>
      <c r="H1669" s="6" t="s">
        <v>68</v>
      </c>
      <c r="I1669" s="6" t="s">
        <v>2912</v>
      </c>
      <c r="J1669" s="6">
        <v>1322</v>
      </c>
      <c r="K1669" s="7" t="s">
        <v>3001</v>
      </c>
      <c r="L1669" s="8"/>
      <c r="M1669" s="8" t="str">
        <f t="shared" si="137"/>
        <v>PEN</v>
      </c>
      <c r="N1669" s="13">
        <v>907.08</v>
      </c>
      <c r="O1669" s="13"/>
      <c r="P1669" s="3">
        <f t="shared" si="138"/>
        <v>0</v>
      </c>
      <c r="Q1669" s="3">
        <f t="shared" si="139"/>
        <v>0</v>
      </c>
      <c r="R1669" s="3">
        <f t="shared" si="135"/>
        <v>124031.75000000004</v>
      </c>
      <c r="S1669" s="24"/>
      <c r="T1669" s="24" t="s">
        <v>1334</v>
      </c>
      <c r="U1669" s="53"/>
      <c r="V1669" s="25">
        <f>IFERROR(VLOOKUP(BCP_Soles[[#This Row],[destinatario]],CHOOSE({1,2},Clientes_Proveedores[Razon Social],Clientes_Proveedores[Ruc / Dni]),2,0),"")</f>
        <v>20455911401</v>
      </c>
      <c r="W1669" s="25"/>
      <c r="X1669" s="25"/>
      <c r="Y1669" s="25"/>
      <c r="Z1669" s="75"/>
      <c r="AA1669" s="3" t="str">
        <f>IF(BCP_Soles[[#This Row],[fecha]]&gt;0,TEXT(BCP_Soles[[#This Row],[fecha]],"mmmm"),0)</f>
        <v>Mayo</v>
      </c>
    </row>
    <row r="1670" spans="1:27" x14ac:dyDescent="0.3">
      <c r="A1670" s="2">
        <f>IF(BCP_Soles[[#This Row],[tipo_registro]]="R",COUNTIFS($C$1:$C1669,"R")+1,A1669)</f>
        <v>1251</v>
      </c>
      <c r="B1670" s="19" t="str">
        <f t="shared" si="136"/>
        <v>B-BCP - Soles</v>
      </c>
      <c r="C1670" s="3" t="s">
        <v>1330</v>
      </c>
      <c r="D1670" s="14">
        <v>45786</v>
      </c>
      <c r="E1670" s="5" t="s">
        <v>1338</v>
      </c>
      <c r="F1670" s="5" t="s">
        <v>1336</v>
      </c>
      <c r="G1670" s="6"/>
      <c r="H1670" s="6"/>
      <c r="I1670" s="6"/>
      <c r="J1670" s="6"/>
      <c r="K1670" s="7" t="s">
        <v>3002</v>
      </c>
      <c r="L1670" s="8">
        <v>1010176</v>
      </c>
      <c r="M1670" s="8" t="str">
        <f t="shared" si="137"/>
        <v>PEN</v>
      </c>
      <c r="N1670" s="13"/>
      <c r="O1670" s="13">
        <v>5331</v>
      </c>
      <c r="P1670" s="3">
        <f t="shared" si="138"/>
        <v>0</v>
      </c>
      <c r="Q1670" s="3">
        <f t="shared" si="139"/>
        <v>5331</v>
      </c>
      <c r="R1670" s="3">
        <f t="shared" si="135"/>
        <v>118700.75000000004</v>
      </c>
      <c r="S1670" s="24"/>
      <c r="T1670" s="24"/>
      <c r="U1670" s="53"/>
      <c r="V1670" s="25" t="str">
        <f>IFERROR(VLOOKUP(BCP_Soles[[#This Row],[destinatario]],CHOOSE({1,2},Clientes_Proveedores[Razon Social],Clientes_Proveedores[Ruc / Dni]),2,0),"")</f>
        <v/>
      </c>
      <c r="W1670" s="25" t="s">
        <v>2666</v>
      </c>
      <c r="X1670" s="25"/>
      <c r="Y1670" s="25"/>
      <c r="Z1670" s="75"/>
      <c r="AA1670" s="3" t="str">
        <f>IF(BCP_Soles[[#This Row],[fecha]]&gt;0,TEXT(BCP_Soles[[#This Row],[fecha]],"mmmm"),0)</f>
        <v>Mayo</v>
      </c>
    </row>
    <row r="1671" spans="1:27" x14ac:dyDescent="0.3">
      <c r="A1671" s="2">
        <f>IF(BCP_Soles[[#This Row],[tipo_registro]]="R",COUNTIFS($C$1:$C1670,"R")+1,A1670)</f>
        <v>1252</v>
      </c>
      <c r="B1671" s="19" t="str">
        <f t="shared" si="136"/>
        <v>B-BCP - Soles</v>
      </c>
      <c r="C1671" s="3" t="s">
        <v>1330</v>
      </c>
      <c r="D1671" s="14">
        <v>45786</v>
      </c>
      <c r="E1671" s="5" t="s">
        <v>1338</v>
      </c>
      <c r="F1671" s="5" t="s">
        <v>1336</v>
      </c>
      <c r="G1671" s="6" t="s">
        <v>696</v>
      </c>
      <c r="H1671" s="6"/>
      <c r="I1671" s="6"/>
      <c r="J1671" s="6"/>
      <c r="K1671" s="7" t="s">
        <v>3003</v>
      </c>
      <c r="L1671" s="8">
        <v>3648766</v>
      </c>
      <c r="M1671" s="8" t="str">
        <f t="shared" si="137"/>
        <v>PEN</v>
      </c>
      <c r="N1671" s="13"/>
      <c r="O1671" s="13">
        <v>9603.86</v>
      </c>
      <c r="P1671" s="3">
        <f t="shared" si="138"/>
        <v>0</v>
      </c>
      <c r="Q1671" s="3">
        <f t="shared" si="139"/>
        <v>9603.86</v>
      </c>
      <c r="R1671" s="3">
        <f t="shared" si="135"/>
        <v>109096.89000000004</v>
      </c>
      <c r="S1671" s="24" t="s">
        <v>1334</v>
      </c>
      <c r="T1671" s="24" t="s">
        <v>1334</v>
      </c>
      <c r="U1671" s="53"/>
      <c r="V1671" s="25">
        <f>IFERROR(VLOOKUP(BCP_Soles[[#This Row],[destinatario]],CHOOSE({1,2},Clientes_Proveedores[Razon Social],Clientes_Proveedores[Ruc / Dni]),2,0),"")</f>
        <v>0</v>
      </c>
      <c r="W1671" s="25" t="s">
        <v>1373</v>
      </c>
      <c r="X1671" s="25"/>
      <c r="Y1671" s="25"/>
      <c r="Z1671" s="75"/>
      <c r="AA1671" s="3" t="str">
        <f>IF(BCP_Soles[[#This Row],[fecha]]&gt;0,TEXT(BCP_Soles[[#This Row],[fecha]],"mmmm"),0)</f>
        <v>Mayo</v>
      </c>
    </row>
    <row r="1672" spans="1:27" ht="24" x14ac:dyDescent="0.3">
      <c r="A1672" s="2">
        <f>IF(BCP_Soles[[#This Row],[tipo_registro]]="R",COUNTIFS($C$1:$C1671,"R")+1,A1671)</f>
        <v>1252</v>
      </c>
      <c r="B1672" s="19" t="str">
        <f t="shared" si="136"/>
        <v>B-BCP - Soles</v>
      </c>
      <c r="C1672" s="3" t="s">
        <v>1352</v>
      </c>
      <c r="D1672" s="14">
        <v>45786</v>
      </c>
      <c r="E1672" s="5" t="s">
        <v>1338</v>
      </c>
      <c r="F1672" s="5"/>
      <c r="G1672" s="6" t="s">
        <v>667</v>
      </c>
      <c r="H1672" s="6" t="s">
        <v>68</v>
      </c>
      <c r="I1672" s="6" t="s">
        <v>1376</v>
      </c>
      <c r="J1672" s="6">
        <v>24</v>
      </c>
      <c r="K1672" s="7" t="s">
        <v>3003</v>
      </c>
      <c r="L1672" s="8">
        <v>3648766</v>
      </c>
      <c r="M1672" s="8" t="str">
        <f t="shared" si="137"/>
        <v>PEN</v>
      </c>
      <c r="N1672" s="13">
        <v>510</v>
      </c>
      <c r="O1672" s="13"/>
      <c r="P1672" s="3">
        <f t="shared" si="138"/>
        <v>0</v>
      </c>
      <c r="Q1672" s="3">
        <f t="shared" si="139"/>
        <v>0</v>
      </c>
      <c r="R1672" s="3">
        <f t="shared" si="135"/>
        <v>109096.89000000004</v>
      </c>
      <c r="S1672" s="24"/>
      <c r="T1672" s="24" t="s">
        <v>1334</v>
      </c>
      <c r="U1672" s="53"/>
      <c r="V1672" s="25">
        <f>IFERROR(VLOOKUP(BCP_Soles[[#This Row],[destinatario]],CHOOSE({1,2},Clientes_Proveedores[Razon Social],Clientes_Proveedores[Ruc / Dni]),2,0),"")</f>
        <v>10410687491</v>
      </c>
      <c r="W1672" s="25"/>
      <c r="X1672" s="25"/>
      <c r="Y1672" s="25"/>
      <c r="Z1672" s="75"/>
      <c r="AA1672" s="3" t="str">
        <f>IF(BCP_Soles[[#This Row],[fecha]]&gt;0,TEXT(BCP_Soles[[#This Row],[fecha]],"mmmm"),0)</f>
        <v>Mayo</v>
      </c>
    </row>
    <row r="1673" spans="1:27" x14ac:dyDescent="0.3">
      <c r="A1673" s="2">
        <f>IF(BCP_Soles[[#This Row],[tipo_registro]]="R",COUNTIFS($C$1:$C1672,"R")+1,A1672)</f>
        <v>1252</v>
      </c>
      <c r="B1673" s="19" t="str">
        <f t="shared" si="136"/>
        <v>B-BCP - Soles</v>
      </c>
      <c r="C1673" s="3" t="s">
        <v>1352</v>
      </c>
      <c r="D1673" s="14">
        <v>45786</v>
      </c>
      <c r="E1673" s="5" t="s">
        <v>1338</v>
      </c>
      <c r="F1673" s="5"/>
      <c r="G1673" s="6" t="s">
        <v>414</v>
      </c>
      <c r="H1673" s="6" t="s">
        <v>68</v>
      </c>
      <c r="I1673" s="6" t="s">
        <v>1374</v>
      </c>
      <c r="J1673" s="6">
        <v>13996</v>
      </c>
      <c r="K1673" s="7" t="s">
        <v>3003</v>
      </c>
      <c r="L1673" s="8">
        <v>3648766</v>
      </c>
      <c r="M1673" s="8" t="str">
        <f t="shared" si="137"/>
        <v>PEN</v>
      </c>
      <c r="N1673" s="13">
        <v>5445.01</v>
      </c>
      <c r="O1673" s="13"/>
      <c r="P1673" s="3">
        <f t="shared" si="138"/>
        <v>0</v>
      </c>
      <c r="Q1673" s="3">
        <f t="shared" si="139"/>
        <v>0</v>
      </c>
      <c r="R1673" s="3">
        <f t="shared" ref="R1673:R1736" si="140">IFERROR(IF(F1673="SALDO",P1673,R1672+P1673-Q1673),0)</f>
        <v>109096.89000000004</v>
      </c>
      <c r="S1673" s="24"/>
      <c r="T1673" s="24" t="s">
        <v>1334</v>
      </c>
      <c r="U1673" s="53"/>
      <c r="V1673" s="25">
        <f>IFERROR(VLOOKUP(BCP_Soles[[#This Row],[destinatario]],CHOOSE({1,2},Clientes_Proveedores[Razon Social],Clientes_Proveedores[Ruc / Dni]),2,0),"")</f>
        <v>20553255709</v>
      </c>
      <c r="W1673" s="25"/>
      <c r="X1673" s="25"/>
      <c r="Y1673" s="25"/>
      <c r="Z1673" s="75"/>
      <c r="AA1673" s="3" t="str">
        <f>IF(BCP_Soles[[#This Row],[fecha]]&gt;0,TEXT(BCP_Soles[[#This Row],[fecha]],"mmmm"),0)</f>
        <v>Mayo</v>
      </c>
    </row>
    <row r="1674" spans="1:27" ht="36" x14ac:dyDescent="0.3">
      <c r="A1674" s="2">
        <f>IF(BCP_Soles[[#This Row],[tipo_registro]]="R",COUNTIFS($C$1:$C1673,"R")+1,A1673)</f>
        <v>1252</v>
      </c>
      <c r="B1674" s="19" t="str">
        <f t="shared" si="136"/>
        <v>B-BCP - Soles</v>
      </c>
      <c r="C1674" s="3" t="s">
        <v>1352</v>
      </c>
      <c r="D1674" s="14">
        <v>45786</v>
      </c>
      <c r="E1674" s="5" t="s">
        <v>1338</v>
      </c>
      <c r="F1674" s="5"/>
      <c r="G1674" s="6" t="s">
        <v>265</v>
      </c>
      <c r="H1674" s="6" t="s">
        <v>68</v>
      </c>
      <c r="I1674" s="6" t="s">
        <v>3004</v>
      </c>
      <c r="J1674" s="6">
        <v>18815</v>
      </c>
      <c r="K1674" s="7" t="s">
        <v>3003</v>
      </c>
      <c r="L1674" s="8">
        <v>3648766</v>
      </c>
      <c r="M1674" s="8" t="str">
        <f t="shared" si="137"/>
        <v>PEN</v>
      </c>
      <c r="N1674" s="13">
        <v>865.4</v>
      </c>
      <c r="O1674" s="13"/>
      <c r="P1674" s="3">
        <f t="shared" si="138"/>
        <v>0</v>
      </c>
      <c r="Q1674" s="3">
        <f t="shared" si="139"/>
        <v>0</v>
      </c>
      <c r="R1674" s="3">
        <f t="shared" si="140"/>
        <v>109096.89000000004</v>
      </c>
      <c r="S1674" s="24"/>
      <c r="T1674" s="24" t="s">
        <v>1334</v>
      </c>
      <c r="U1674" s="53"/>
      <c r="V1674" s="25">
        <f>IFERROR(VLOOKUP(BCP_Soles[[#This Row],[destinatario]],CHOOSE({1,2},Clientes_Proveedores[Razon Social],Clientes_Proveedores[Ruc / Dni]),2,0),"")</f>
        <v>20412524218</v>
      </c>
      <c r="W1674" s="25"/>
      <c r="X1674" s="25"/>
      <c r="Y1674" s="25"/>
      <c r="Z1674" s="75"/>
      <c r="AA1674" s="3" t="str">
        <f>IF(BCP_Soles[[#This Row],[fecha]]&gt;0,TEXT(BCP_Soles[[#This Row],[fecha]],"mmmm"),0)</f>
        <v>Mayo</v>
      </c>
    </row>
    <row r="1675" spans="1:27" x14ac:dyDescent="0.3">
      <c r="A1675" s="2">
        <f>IF(BCP_Soles[[#This Row],[tipo_registro]]="R",COUNTIFS($C$1:$C1674,"R")+1,A1674)</f>
        <v>1252</v>
      </c>
      <c r="B1675" s="19" t="str">
        <f t="shared" si="136"/>
        <v>B-BCP - Soles</v>
      </c>
      <c r="C1675" s="3" t="s">
        <v>1352</v>
      </c>
      <c r="D1675" s="14">
        <v>45786</v>
      </c>
      <c r="E1675" s="5" t="s">
        <v>1338</v>
      </c>
      <c r="F1675" s="5"/>
      <c r="G1675" s="6" t="s">
        <v>522</v>
      </c>
      <c r="H1675" s="6" t="s">
        <v>68</v>
      </c>
      <c r="I1675" s="6" t="s">
        <v>1376</v>
      </c>
      <c r="J1675" s="6">
        <v>3775</v>
      </c>
      <c r="K1675" s="7" t="s">
        <v>3003</v>
      </c>
      <c r="L1675" s="8">
        <v>3648766</v>
      </c>
      <c r="M1675" s="8" t="str">
        <f t="shared" si="137"/>
        <v>PEN</v>
      </c>
      <c r="N1675" s="13">
        <v>551.65</v>
      </c>
      <c r="O1675" s="13"/>
      <c r="P1675" s="3">
        <f t="shared" si="138"/>
        <v>0</v>
      </c>
      <c r="Q1675" s="3">
        <f t="shared" si="139"/>
        <v>0</v>
      </c>
      <c r="R1675" s="3">
        <f t="shared" si="140"/>
        <v>109096.89000000004</v>
      </c>
      <c r="S1675" s="24"/>
      <c r="T1675" s="24" t="s">
        <v>1334</v>
      </c>
      <c r="U1675" s="53"/>
      <c r="V1675" s="25">
        <f>IFERROR(VLOOKUP(BCP_Soles[[#This Row],[destinatario]],CHOOSE({1,2},Clientes_Proveedores[Razon Social],Clientes_Proveedores[Ruc / Dni]),2,0),"")</f>
        <v>20603974817</v>
      </c>
      <c r="W1675" s="25"/>
      <c r="X1675" s="25"/>
      <c r="Y1675" s="25"/>
      <c r="Z1675" s="75"/>
      <c r="AA1675" s="3" t="str">
        <f>IF(BCP_Soles[[#This Row],[fecha]]&gt;0,TEXT(BCP_Soles[[#This Row],[fecha]],"mmmm"),0)</f>
        <v>Mayo</v>
      </c>
    </row>
    <row r="1676" spans="1:27" x14ac:dyDescent="0.3">
      <c r="A1676" s="2">
        <f>IF(BCP_Soles[[#This Row],[tipo_registro]]="R",COUNTIFS($C$1:$C1675,"R")+1,A1675)</f>
        <v>1252</v>
      </c>
      <c r="B1676" s="19" t="str">
        <f t="shared" si="136"/>
        <v>B-BCP - Soles</v>
      </c>
      <c r="C1676" s="3" t="s">
        <v>1352</v>
      </c>
      <c r="D1676" s="14">
        <v>45786</v>
      </c>
      <c r="E1676" s="5" t="s">
        <v>1338</v>
      </c>
      <c r="F1676" s="5"/>
      <c r="G1676" s="6" t="s">
        <v>346</v>
      </c>
      <c r="H1676" s="6" t="s">
        <v>68</v>
      </c>
      <c r="I1676" s="6" t="s">
        <v>1461</v>
      </c>
      <c r="J1676" s="6">
        <v>40717</v>
      </c>
      <c r="K1676" s="7" t="s">
        <v>3003</v>
      </c>
      <c r="L1676" s="8">
        <v>3648766</v>
      </c>
      <c r="M1676" s="8" t="str">
        <f t="shared" si="137"/>
        <v>PEN</v>
      </c>
      <c r="N1676" s="13">
        <v>1157.8</v>
      </c>
      <c r="O1676" s="13"/>
      <c r="P1676" s="3">
        <f t="shared" si="138"/>
        <v>0</v>
      </c>
      <c r="Q1676" s="3">
        <f t="shared" si="139"/>
        <v>0</v>
      </c>
      <c r="R1676" s="3">
        <f t="shared" si="140"/>
        <v>109096.89000000004</v>
      </c>
      <c r="S1676" s="24"/>
      <c r="T1676" s="24" t="s">
        <v>1334</v>
      </c>
      <c r="U1676" s="53"/>
      <c r="V1676" s="25">
        <f>IFERROR(VLOOKUP(BCP_Soles[[#This Row],[destinatario]],CHOOSE({1,2},Clientes_Proveedores[Razon Social],Clientes_Proveedores[Ruc / Dni]),2,0),"")</f>
        <v>20505675836</v>
      </c>
      <c r="W1676" s="25"/>
      <c r="X1676" s="25"/>
      <c r="Y1676" s="25"/>
      <c r="Z1676" s="75"/>
      <c r="AA1676" s="3" t="str">
        <f>IF(BCP_Soles[[#This Row],[fecha]]&gt;0,TEXT(BCP_Soles[[#This Row],[fecha]],"mmmm"),0)</f>
        <v>Mayo</v>
      </c>
    </row>
    <row r="1677" spans="1:27" x14ac:dyDescent="0.3">
      <c r="A1677" s="2">
        <f>IF(BCP_Soles[[#This Row],[tipo_registro]]="R",COUNTIFS($C$1:$C1676,"R")+1,A1676)</f>
        <v>1252</v>
      </c>
      <c r="B1677" s="19" t="str">
        <f t="shared" si="136"/>
        <v>B-BCP - Soles</v>
      </c>
      <c r="C1677" s="3" t="s">
        <v>1352</v>
      </c>
      <c r="D1677" s="14">
        <v>45786</v>
      </c>
      <c r="E1677" s="5" t="s">
        <v>1338</v>
      </c>
      <c r="F1677" s="5"/>
      <c r="G1677" s="6" t="s">
        <v>346</v>
      </c>
      <c r="H1677" s="6" t="s">
        <v>68</v>
      </c>
      <c r="I1677" s="6" t="s">
        <v>1461</v>
      </c>
      <c r="J1677" s="6">
        <v>40713</v>
      </c>
      <c r="K1677" s="7" t="s">
        <v>3003</v>
      </c>
      <c r="L1677" s="8">
        <v>3648766</v>
      </c>
      <c r="M1677" s="8" t="str">
        <f t="shared" si="137"/>
        <v>PEN</v>
      </c>
      <c r="N1677" s="13">
        <v>1020.6</v>
      </c>
      <c r="O1677" s="13"/>
      <c r="P1677" s="3">
        <f t="shared" si="138"/>
        <v>0</v>
      </c>
      <c r="Q1677" s="3">
        <f t="shared" si="139"/>
        <v>0</v>
      </c>
      <c r="R1677" s="3">
        <f t="shared" si="140"/>
        <v>109096.89000000004</v>
      </c>
      <c r="S1677" s="24"/>
      <c r="T1677" s="24" t="s">
        <v>1334</v>
      </c>
      <c r="U1677" s="53"/>
      <c r="V1677" s="25">
        <f>IFERROR(VLOOKUP(BCP_Soles[[#This Row],[destinatario]],CHOOSE({1,2},Clientes_Proveedores[Razon Social],Clientes_Proveedores[Ruc / Dni]),2,0),"")</f>
        <v>20505675836</v>
      </c>
      <c r="W1677" s="25"/>
      <c r="X1677" s="25"/>
      <c r="Y1677" s="25"/>
      <c r="Z1677" s="75"/>
      <c r="AA1677" s="3" t="str">
        <f>IF(BCP_Soles[[#This Row],[fecha]]&gt;0,TEXT(BCP_Soles[[#This Row],[fecha]],"mmmm"),0)</f>
        <v>Mayo</v>
      </c>
    </row>
    <row r="1678" spans="1:27" ht="36" x14ac:dyDescent="0.3">
      <c r="A1678" s="2">
        <f>IF(BCP_Soles[[#This Row],[tipo_registro]]="R",COUNTIFS($C$1:$C1677,"R")+1,A1677)</f>
        <v>1252</v>
      </c>
      <c r="B1678" s="19" t="str">
        <f t="shared" si="136"/>
        <v>B-BCP - Soles</v>
      </c>
      <c r="C1678" s="3" t="s">
        <v>1352</v>
      </c>
      <c r="D1678" s="14">
        <v>45786</v>
      </c>
      <c r="E1678" s="5" t="s">
        <v>1338</v>
      </c>
      <c r="F1678" s="5"/>
      <c r="G1678" s="6" t="s">
        <v>315</v>
      </c>
      <c r="H1678" s="6" t="s">
        <v>68</v>
      </c>
      <c r="I1678" s="6" t="s">
        <v>1376</v>
      </c>
      <c r="J1678" s="6">
        <v>2374</v>
      </c>
      <c r="K1678" s="7" t="s">
        <v>3003</v>
      </c>
      <c r="L1678" s="8">
        <v>3648766</v>
      </c>
      <c r="M1678" s="8" t="str">
        <f t="shared" si="137"/>
        <v>PEN</v>
      </c>
      <c r="N1678" s="13">
        <v>53.4</v>
      </c>
      <c r="O1678" s="13"/>
      <c r="P1678" s="3">
        <f t="shared" si="138"/>
        <v>0</v>
      </c>
      <c r="Q1678" s="3">
        <f t="shared" si="139"/>
        <v>0</v>
      </c>
      <c r="R1678" s="3">
        <f t="shared" si="140"/>
        <v>109096.89000000004</v>
      </c>
      <c r="S1678" s="24"/>
      <c r="T1678" s="24" t="s">
        <v>1334</v>
      </c>
      <c r="U1678" s="53"/>
      <c r="V1678" s="25">
        <f>IFERROR(VLOOKUP(BCP_Soles[[#This Row],[destinatario]],CHOOSE({1,2},Clientes_Proveedores[Razon Social],Clientes_Proveedores[Ruc / Dni]),2,0),"")</f>
        <v>20456565353</v>
      </c>
      <c r="W1678" s="25"/>
      <c r="X1678" s="25"/>
      <c r="Y1678" s="25"/>
      <c r="Z1678" s="75"/>
      <c r="AA1678" s="3" t="str">
        <f>IF(BCP_Soles[[#This Row],[fecha]]&gt;0,TEXT(BCP_Soles[[#This Row],[fecha]],"mmmm"),0)</f>
        <v>Mayo</v>
      </c>
    </row>
    <row r="1679" spans="1:27" ht="24" x14ac:dyDescent="0.3">
      <c r="A1679" s="2">
        <f>IF(BCP_Soles[[#This Row],[tipo_registro]]="R",COUNTIFS($C$1:$C1678,"R")+1,A1678)</f>
        <v>1253</v>
      </c>
      <c r="B1679" s="19" t="str">
        <f t="shared" si="136"/>
        <v>B-BCP - Soles</v>
      </c>
      <c r="C1679" s="3" t="s">
        <v>1330</v>
      </c>
      <c r="D1679" s="14">
        <v>45787</v>
      </c>
      <c r="E1679" s="5" t="s">
        <v>2009</v>
      </c>
      <c r="F1679" s="5" t="s">
        <v>1303</v>
      </c>
      <c r="G1679" s="6" t="s">
        <v>425</v>
      </c>
      <c r="H1679" s="6" t="s">
        <v>119</v>
      </c>
      <c r="I1679" s="6">
        <v>1</v>
      </c>
      <c r="J1679" s="6">
        <v>4406</v>
      </c>
      <c r="K1679" s="7" t="s">
        <v>1356</v>
      </c>
      <c r="L1679" s="8">
        <v>1962765</v>
      </c>
      <c r="M1679" s="8" t="str">
        <f t="shared" si="137"/>
        <v>PEN</v>
      </c>
      <c r="N1679" s="13"/>
      <c r="O1679" s="13">
        <v>1400</v>
      </c>
      <c r="P1679" s="3">
        <f t="shared" si="138"/>
        <v>1400</v>
      </c>
      <c r="Q1679" s="3">
        <f t="shared" si="139"/>
        <v>0</v>
      </c>
      <c r="R1679" s="3">
        <f t="shared" si="140"/>
        <v>110496.89000000004</v>
      </c>
      <c r="S1679" s="24" t="s">
        <v>1334</v>
      </c>
      <c r="T1679" s="24" t="s">
        <v>1334</v>
      </c>
      <c r="U1679" s="53"/>
      <c r="V1679" s="25">
        <f>IFERROR(VLOOKUP(BCP_Soles[[#This Row],[destinatario]],CHOOSE({1,2},Clientes_Proveedores[Razon Social],Clientes_Proveedores[Ruc / Dni]),2,0),"")</f>
        <v>20558226979</v>
      </c>
      <c r="W1679" s="25" t="s">
        <v>1345</v>
      </c>
      <c r="X1679" s="25" t="s">
        <v>3005</v>
      </c>
      <c r="Y1679" s="25"/>
      <c r="Z1679" s="75"/>
      <c r="AA1679" s="3" t="str">
        <f>IF(BCP_Soles[[#This Row],[fecha]]&gt;0,TEXT(BCP_Soles[[#This Row],[fecha]],"mmmm"),0)</f>
        <v>Mayo</v>
      </c>
    </row>
    <row r="1680" spans="1:27" ht="24" x14ac:dyDescent="0.3">
      <c r="A1680" s="2">
        <f>IF(BCP_Soles[[#This Row],[tipo_registro]]="R",COUNTIFS($C$1:$C1679,"R")+1,A1679)</f>
        <v>1254</v>
      </c>
      <c r="B1680" s="19" t="str">
        <f t="shared" si="136"/>
        <v>B-BCP - Soles</v>
      </c>
      <c r="C1680" s="3" t="s">
        <v>1330</v>
      </c>
      <c r="D1680" s="14">
        <v>45787</v>
      </c>
      <c r="E1680" s="5" t="s">
        <v>1617</v>
      </c>
      <c r="F1680" s="5" t="s">
        <v>1303</v>
      </c>
      <c r="G1680" s="6" t="s">
        <v>425</v>
      </c>
      <c r="H1680" s="6" t="s">
        <v>119</v>
      </c>
      <c r="I1680" s="6">
        <v>1</v>
      </c>
      <c r="J1680" s="6">
        <v>4335</v>
      </c>
      <c r="K1680" s="7" t="s">
        <v>1356</v>
      </c>
      <c r="L1680" s="8">
        <v>1953540</v>
      </c>
      <c r="M1680" s="8" t="str">
        <f t="shared" si="137"/>
        <v>PEN</v>
      </c>
      <c r="N1680" s="13"/>
      <c r="O1680" s="13">
        <v>443.2</v>
      </c>
      <c r="P1680" s="3">
        <f t="shared" si="138"/>
        <v>443.2</v>
      </c>
      <c r="Q1680" s="3">
        <f t="shared" si="139"/>
        <v>0</v>
      </c>
      <c r="R1680" s="3">
        <f t="shared" si="140"/>
        <v>110940.09000000004</v>
      </c>
      <c r="S1680" s="24" t="s">
        <v>1334</v>
      </c>
      <c r="T1680" s="24" t="s">
        <v>1334</v>
      </c>
      <c r="U1680" s="53"/>
      <c r="V1680" s="25">
        <f>IFERROR(VLOOKUP(BCP_Soles[[#This Row],[destinatario]],CHOOSE({1,2},Clientes_Proveedores[Razon Social],Clientes_Proveedores[Ruc / Dni]),2,0),"")</f>
        <v>20558226979</v>
      </c>
      <c r="W1680" s="25" t="s">
        <v>1345</v>
      </c>
      <c r="X1680" s="25" t="s">
        <v>2866</v>
      </c>
      <c r="Y1680" s="25"/>
      <c r="Z1680" s="75"/>
      <c r="AA1680" s="3" t="str">
        <f>IF(BCP_Soles[[#This Row],[fecha]]&gt;0,TEXT(BCP_Soles[[#This Row],[fecha]],"mmmm"),0)</f>
        <v>Mayo</v>
      </c>
    </row>
    <row r="1681" spans="1:27" x14ac:dyDescent="0.3">
      <c r="A1681" s="2">
        <f>IF(BCP_Soles[[#This Row],[tipo_registro]]="R",COUNTIFS($C$1:$C1680,"R")+1,A1680)</f>
        <v>1255</v>
      </c>
      <c r="B1681" s="19" t="str">
        <f t="shared" si="136"/>
        <v>B-BCP - Soles</v>
      </c>
      <c r="C1681" s="3" t="s">
        <v>1330</v>
      </c>
      <c r="D1681" s="14">
        <v>45788</v>
      </c>
      <c r="E1681" s="5" t="s">
        <v>1335</v>
      </c>
      <c r="F1681" s="5" t="s">
        <v>1336</v>
      </c>
      <c r="G1681" s="6"/>
      <c r="H1681" s="6"/>
      <c r="I1681" s="6"/>
      <c r="J1681" s="6"/>
      <c r="K1681" s="7" t="s">
        <v>1337</v>
      </c>
      <c r="L1681" s="8"/>
      <c r="M1681" s="8" t="str">
        <f t="shared" si="137"/>
        <v>PEN</v>
      </c>
      <c r="N1681" s="13"/>
      <c r="O1681" s="13">
        <v>0.05</v>
      </c>
      <c r="P1681" s="3">
        <f t="shared" si="138"/>
        <v>0</v>
      </c>
      <c r="Q1681" s="3">
        <f t="shared" si="139"/>
        <v>0.05</v>
      </c>
      <c r="R1681" s="3">
        <f t="shared" si="140"/>
        <v>110940.04000000004</v>
      </c>
      <c r="S1681" s="24"/>
      <c r="T1681" s="24" t="s">
        <v>1334</v>
      </c>
      <c r="U1681" s="53"/>
      <c r="V1681" s="25" t="str">
        <f>IFERROR(VLOOKUP(BCP_Soles[[#This Row],[destinatario]],CHOOSE({1,2},Clientes_Proveedores[Razon Social],Clientes_Proveedores[Ruc / Dni]),2,0),"")</f>
        <v/>
      </c>
      <c r="W1681" s="25"/>
      <c r="X1681" s="25"/>
      <c r="Y1681" s="25"/>
      <c r="Z1681" s="75"/>
      <c r="AA1681" s="3" t="str">
        <f>IF(BCP_Soles[[#This Row],[fecha]]&gt;0,TEXT(BCP_Soles[[#This Row],[fecha]],"mmmm"),0)</f>
        <v>Mayo</v>
      </c>
    </row>
    <row r="1682" spans="1:27" x14ac:dyDescent="0.3">
      <c r="A1682" s="2">
        <f>IF(BCP_Soles[[#This Row],[tipo_registro]]="R",COUNTIFS($C$1:$C1681,"R")+1,A1681)</f>
        <v>1256</v>
      </c>
      <c r="B1682" s="19" t="str">
        <f t="shared" si="136"/>
        <v>B-BCP - Soles</v>
      </c>
      <c r="C1682" s="3" t="s">
        <v>1330</v>
      </c>
      <c r="D1682" s="14">
        <v>45789</v>
      </c>
      <c r="E1682" s="5" t="s">
        <v>2800</v>
      </c>
      <c r="F1682" s="5" t="s">
        <v>1303</v>
      </c>
      <c r="G1682" s="6" t="s">
        <v>425</v>
      </c>
      <c r="H1682" s="6" t="s">
        <v>119</v>
      </c>
      <c r="I1682" s="6">
        <v>1</v>
      </c>
      <c r="J1682" s="6">
        <v>4407</v>
      </c>
      <c r="K1682" s="7" t="s">
        <v>1356</v>
      </c>
      <c r="L1682" s="8">
        <v>355450</v>
      </c>
      <c r="M1682" s="8" t="str">
        <f t="shared" si="137"/>
        <v>PEN</v>
      </c>
      <c r="N1682" s="13"/>
      <c r="O1682" s="13">
        <v>265</v>
      </c>
      <c r="P1682" s="3">
        <f t="shared" si="138"/>
        <v>265</v>
      </c>
      <c r="Q1682" s="3">
        <f t="shared" si="139"/>
        <v>0</v>
      </c>
      <c r="R1682" s="3">
        <f t="shared" si="140"/>
        <v>111205.04000000004</v>
      </c>
      <c r="S1682" s="24" t="s">
        <v>1334</v>
      </c>
      <c r="T1682" s="24" t="s">
        <v>1334</v>
      </c>
      <c r="U1682" s="53"/>
      <c r="V1682" s="25">
        <f>IFERROR(VLOOKUP(BCP_Soles[[#This Row],[destinatario]],CHOOSE({1,2},Clientes_Proveedores[Razon Social],Clientes_Proveedores[Ruc / Dni]),2,0),"")</f>
        <v>20558226979</v>
      </c>
      <c r="W1682" s="25" t="s">
        <v>1345</v>
      </c>
      <c r="X1682" s="25" t="s">
        <v>3006</v>
      </c>
      <c r="Y1682" s="25"/>
      <c r="Z1682" s="75"/>
      <c r="AA1682" s="3" t="str">
        <f>IF(BCP_Soles[[#This Row],[fecha]]&gt;0,TEXT(BCP_Soles[[#This Row],[fecha]],"mmmm"),0)</f>
        <v>Mayo</v>
      </c>
    </row>
    <row r="1683" spans="1:27" x14ac:dyDescent="0.3">
      <c r="A1683" s="2">
        <f>IF(BCP_Soles[[#This Row],[tipo_registro]]="R",COUNTIFS($C$1:$C1682,"R")+1,A1682)</f>
        <v>1257</v>
      </c>
      <c r="B1683" s="19" t="str">
        <f t="shared" ref="B1683:B1749" si="141">"B-BCP - Soles"</f>
        <v>B-BCP - Soles</v>
      </c>
      <c r="C1683" s="3" t="s">
        <v>1330</v>
      </c>
      <c r="D1683" s="14">
        <v>45789</v>
      </c>
      <c r="E1683" s="5" t="s">
        <v>1739</v>
      </c>
      <c r="F1683" s="5" t="s">
        <v>1303</v>
      </c>
      <c r="G1683" s="6" t="s">
        <v>425</v>
      </c>
      <c r="H1683" s="6" t="s">
        <v>119</v>
      </c>
      <c r="I1683" s="6">
        <v>1</v>
      </c>
      <c r="J1683" s="6">
        <v>4325</v>
      </c>
      <c r="K1683" s="7" t="s">
        <v>1356</v>
      </c>
      <c r="L1683" s="8">
        <v>352454</v>
      </c>
      <c r="M1683" s="8" t="str">
        <f t="shared" ref="M1683:M1749" si="142">"PEN"</f>
        <v>PEN</v>
      </c>
      <c r="N1683" s="13"/>
      <c r="O1683" s="13">
        <v>48.8</v>
      </c>
      <c r="P1683" s="3">
        <f t="shared" ref="P1683:P1749" si="143">+IF(OR($F1683="SALDO",$F1683="INGRESO"),$O1683,0)</f>
        <v>48.8</v>
      </c>
      <c r="Q1683" s="3">
        <f t="shared" ref="Q1683:Q1749" si="144">+IF($F1683="EGRESO",$O1683,0)</f>
        <v>0</v>
      </c>
      <c r="R1683" s="3">
        <f t="shared" si="140"/>
        <v>111253.84000000004</v>
      </c>
      <c r="S1683" s="24" t="s">
        <v>1334</v>
      </c>
      <c r="T1683" s="24" t="s">
        <v>1334</v>
      </c>
      <c r="U1683" s="53"/>
      <c r="V1683" s="25">
        <f>IFERROR(VLOOKUP(BCP_Soles[[#This Row],[destinatario]],CHOOSE({1,2},Clientes_Proveedores[Razon Social],Clientes_Proveedores[Ruc / Dni]),2,0),"")</f>
        <v>20558226979</v>
      </c>
      <c r="W1683" s="25" t="s">
        <v>1345</v>
      </c>
      <c r="X1683" s="25" t="s">
        <v>3007</v>
      </c>
      <c r="Y1683" s="25"/>
      <c r="Z1683" s="75"/>
      <c r="AA1683" s="3" t="str">
        <f>IF(BCP_Soles[[#This Row],[fecha]]&gt;0,TEXT(BCP_Soles[[#This Row],[fecha]],"mmmm"),0)</f>
        <v>Mayo</v>
      </c>
    </row>
    <row r="1684" spans="1:27" ht="24" x14ac:dyDescent="0.3">
      <c r="A1684" s="2">
        <f>IF(BCP_Soles[[#This Row],[tipo_registro]]="R",COUNTIFS($C$1:$C1683,"R")+1,A1683)</f>
        <v>1258</v>
      </c>
      <c r="B1684" s="19" t="str">
        <f t="shared" si="141"/>
        <v>B-BCP - Soles</v>
      </c>
      <c r="C1684" s="3" t="s">
        <v>1330</v>
      </c>
      <c r="D1684" s="14">
        <v>45789</v>
      </c>
      <c r="E1684" s="5" t="s">
        <v>2009</v>
      </c>
      <c r="F1684" s="5" t="s">
        <v>1303</v>
      </c>
      <c r="G1684" s="6" t="s">
        <v>425</v>
      </c>
      <c r="H1684" s="6" t="s">
        <v>119</v>
      </c>
      <c r="I1684" s="6">
        <v>1</v>
      </c>
      <c r="J1684" s="6">
        <v>4406</v>
      </c>
      <c r="K1684" s="7" t="s">
        <v>1356</v>
      </c>
      <c r="L1684" s="8">
        <v>427513</v>
      </c>
      <c r="M1684" s="8" t="str">
        <f t="shared" si="142"/>
        <v>PEN</v>
      </c>
      <c r="N1684" s="13"/>
      <c r="O1684" s="13">
        <v>1009</v>
      </c>
      <c r="P1684" s="3">
        <f t="shared" si="143"/>
        <v>1009</v>
      </c>
      <c r="Q1684" s="3">
        <f t="shared" si="144"/>
        <v>0</v>
      </c>
      <c r="R1684" s="3">
        <f t="shared" si="140"/>
        <v>112262.84000000004</v>
      </c>
      <c r="S1684" s="24" t="s">
        <v>1334</v>
      </c>
      <c r="T1684" s="24" t="s">
        <v>1334</v>
      </c>
      <c r="U1684" s="53"/>
      <c r="V1684" s="25">
        <f>IFERROR(VLOOKUP(BCP_Soles[[#This Row],[destinatario]],CHOOSE({1,2},Clientes_Proveedores[Razon Social],Clientes_Proveedores[Ruc / Dni]),2,0),"")</f>
        <v>20558226979</v>
      </c>
      <c r="W1684" s="25" t="s">
        <v>1345</v>
      </c>
      <c r="X1684" s="25" t="s">
        <v>3005</v>
      </c>
      <c r="Y1684" s="25"/>
      <c r="Z1684" s="75"/>
      <c r="AA1684" s="3" t="str">
        <f>IF(BCP_Soles[[#This Row],[fecha]]&gt;0,TEXT(BCP_Soles[[#This Row],[fecha]],"mmmm"),0)</f>
        <v>Mayo</v>
      </c>
    </row>
    <row r="1685" spans="1:27" ht="48" x14ac:dyDescent="0.3">
      <c r="A1685" s="2">
        <f>IF(BCP_Soles[[#This Row],[tipo_registro]]="R",COUNTIFS($C$1:$C1684,"R")+1,A1684)</f>
        <v>1259</v>
      </c>
      <c r="B1685" s="19" t="str">
        <f t="shared" si="141"/>
        <v>B-BCP - Soles</v>
      </c>
      <c r="C1685" s="3" t="s">
        <v>1330</v>
      </c>
      <c r="D1685" s="14">
        <v>45789</v>
      </c>
      <c r="E1685" s="5" t="s">
        <v>505</v>
      </c>
      <c r="F1685" s="5" t="s">
        <v>1303</v>
      </c>
      <c r="G1685" s="6" t="s">
        <v>425</v>
      </c>
      <c r="H1685" s="6"/>
      <c r="I1685" s="6"/>
      <c r="J1685" s="6"/>
      <c r="K1685" s="7" t="s">
        <v>3008</v>
      </c>
      <c r="L1685" s="8">
        <v>520029</v>
      </c>
      <c r="M1685" s="8" t="str">
        <f t="shared" si="142"/>
        <v>PEN</v>
      </c>
      <c r="N1685" s="13"/>
      <c r="O1685" s="13">
        <v>5359.63</v>
      </c>
      <c r="P1685" s="3">
        <f t="shared" si="143"/>
        <v>5359.63</v>
      </c>
      <c r="Q1685" s="3">
        <f t="shared" si="144"/>
        <v>0</v>
      </c>
      <c r="R1685" s="3">
        <f t="shared" si="140"/>
        <v>117622.47000000004</v>
      </c>
      <c r="S1685" s="24" t="s">
        <v>1334</v>
      </c>
      <c r="T1685" s="24" t="s">
        <v>1334</v>
      </c>
      <c r="U1685" s="53"/>
      <c r="V1685" s="25">
        <f>IFERROR(VLOOKUP(BCP_Soles[[#This Row],[destinatario]],CHOOSE({1,2},Clientes_Proveedores[Razon Social],Clientes_Proveedores[Ruc / Dni]),2,0),"")</f>
        <v>20558226979</v>
      </c>
      <c r="W1685" s="25" t="s">
        <v>1345</v>
      </c>
      <c r="X1685" s="25" t="s">
        <v>3009</v>
      </c>
      <c r="Y1685" s="25"/>
      <c r="Z1685" s="75"/>
      <c r="AA1685" s="3" t="str">
        <f>IF(BCP_Soles[[#This Row],[fecha]]&gt;0,TEXT(BCP_Soles[[#This Row],[fecha]],"mmmm"),0)</f>
        <v>Mayo</v>
      </c>
    </row>
    <row r="1686" spans="1:27" x14ac:dyDescent="0.3">
      <c r="A1686" s="2">
        <f>IF(BCP_Soles[[#This Row],[tipo_registro]]="R",COUNTIFS($C$1:$C1685,"R")+1,A1685)</f>
        <v>1260</v>
      </c>
      <c r="B1686" s="19" t="str">
        <f t="shared" si="141"/>
        <v>B-BCP - Soles</v>
      </c>
      <c r="C1686" s="3" t="s">
        <v>1330</v>
      </c>
      <c r="D1686" s="14">
        <v>45789</v>
      </c>
      <c r="E1686" s="5" t="s">
        <v>1498</v>
      </c>
      <c r="F1686" s="5" t="s">
        <v>1303</v>
      </c>
      <c r="G1686" s="6" t="s">
        <v>425</v>
      </c>
      <c r="H1686" s="6" t="s">
        <v>119</v>
      </c>
      <c r="I1686" s="6">
        <v>1</v>
      </c>
      <c r="J1686" s="6">
        <v>4411</v>
      </c>
      <c r="K1686" s="7" t="s">
        <v>1356</v>
      </c>
      <c r="L1686" s="8">
        <v>2825036</v>
      </c>
      <c r="M1686" s="8" t="str">
        <f t="shared" si="142"/>
        <v>PEN</v>
      </c>
      <c r="N1686" s="13"/>
      <c r="O1686" s="13">
        <v>120</v>
      </c>
      <c r="P1686" s="3">
        <f t="shared" si="143"/>
        <v>120</v>
      </c>
      <c r="Q1686" s="3">
        <f t="shared" si="144"/>
        <v>0</v>
      </c>
      <c r="R1686" s="3">
        <f t="shared" si="140"/>
        <v>117742.47000000004</v>
      </c>
      <c r="S1686" s="24" t="s">
        <v>1334</v>
      </c>
      <c r="T1686" s="24" t="s">
        <v>1334</v>
      </c>
      <c r="U1686" s="53"/>
      <c r="V1686" s="25">
        <f>IFERROR(VLOOKUP(BCP_Soles[[#This Row],[destinatario]],CHOOSE({1,2},Clientes_Proveedores[Razon Social],Clientes_Proveedores[Ruc / Dni]),2,0),"")</f>
        <v>20558226979</v>
      </c>
      <c r="W1686" s="25" t="s">
        <v>1345</v>
      </c>
      <c r="X1686" s="25" t="s">
        <v>3010</v>
      </c>
      <c r="Y1686" s="25"/>
      <c r="Z1686" s="75"/>
      <c r="AA1686" s="3" t="str">
        <f>IF(BCP_Soles[[#This Row],[fecha]]&gt;0,TEXT(BCP_Soles[[#This Row],[fecha]],"mmmm"),0)</f>
        <v>Mayo</v>
      </c>
    </row>
    <row r="1687" spans="1:27" ht="24" x14ac:dyDescent="0.3">
      <c r="A1687" s="2">
        <f>IF(BCP_Soles[[#This Row],[tipo_registro]]="R",COUNTIFS($C$1:$C1686,"R")+1,A1686)</f>
        <v>1261</v>
      </c>
      <c r="B1687" s="19" t="str">
        <f t="shared" si="141"/>
        <v>B-BCP - Soles</v>
      </c>
      <c r="C1687" s="3" t="s">
        <v>1330</v>
      </c>
      <c r="D1687" s="14">
        <v>45789</v>
      </c>
      <c r="E1687" s="5" t="s">
        <v>3011</v>
      </c>
      <c r="F1687" s="5" t="s">
        <v>1303</v>
      </c>
      <c r="G1687" s="6" t="s">
        <v>425</v>
      </c>
      <c r="H1687" s="6" t="s">
        <v>119</v>
      </c>
      <c r="I1687" s="6">
        <v>1</v>
      </c>
      <c r="J1687" s="6">
        <v>4408</v>
      </c>
      <c r="K1687" s="7" t="s">
        <v>1356</v>
      </c>
      <c r="L1687" s="8">
        <v>2804316</v>
      </c>
      <c r="M1687" s="8" t="str">
        <f t="shared" si="142"/>
        <v>PEN</v>
      </c>
      <c r="N1687" s="13"/>
      <c r="O1687" s="13">
        <v>15</v>
      </c>
      <c r="P1687" s="3">
        <f t="shared" si="143"/>
        <v>15</v>
      </c>
      <c r="Q1687" s="3">
        <f t="shared" si="144"/>
        <v>0</v>
      </c>
      <c r="R1687" s="3">
        <f t="shared" si="140"/>
        <v>117757.47000000004</v>
      </c>
      <c r="S1687" s="24" t="s">
        <v>1334</v>
      </c>
      <c r="T1687" s="24" t="s">
        <v>1334</v>
      </c>
      <c r="U1687" s="53"/>
      <c r="V1687" s="25">
        <f>IFERROR(VLOOKUP(BCP_Soles[[#This Row],[destinatario]],CHOOSE({1,2},Clientes_Proveedores[Razon Social],Clientes_Proveedores[Ruc / Dni]),2,0),"")</f>
        <v>20558226979</v>
      </c>
      <c r="W1687" s="25" t="s">
        <v>1345</v>
      </c>
      <c r="X1687" s="25" t="s">
        <v>3012</v>
      </c>
      <c r="Y1687" s="25"/>
      <c r="Z1687" s="75"/>
      <c r="AA1687" s="3" t="str">
        <f>IF(BCP_Soles[[#This Row],[fecha]]&gt;0,TEXT(BCP_Soles[[#This Row],[fecha]],"mmmm"),0)</f>
        <v>Mayo</v>
      </c>
    </row>
    <row r="1688" spans="1:27" ht="24" x14ac:dyDescent="0.3">
      <c r="A1688" s="2">
        <f>IF(BCP_Soles[[#This Row],[tipo_registro]]="R",COUNTIFS($C$1:$C1687,"R")+1,A1687)</f>
        <v>1262</v>
      </c>
      <c r="B1688" s="19" t="str">
        <f t="shared" si="141"/>
        <v>B-BCP - Soles</v>
      </c>
      <c r="C1688" s="3" t="s">
        <v>1330</v>
      </c>
      <c r="D1688" s="14">
        <v>45789</v>
      </c>
      <c r="E1688" s="5" t="s">
        <v>1338</v>
      </c>
      <c r="F1688" s="5" t="s">
        <v>1336</v>
      </c>
      <c r="G1688" s="6" t="s">
        <v>187</v>
      </c>
      <c r="H1688" s="6" t="s">
        <v>68</v>
      </c>
      <c r="I1688" s="6" t="s">
        <v>1376</v>
      </c>
      <c r="J1688" s="6">
        <v>402</v>
      </c>
      <c r="K1688" s="7" t="s">
        <v>3013</v>
      </c>
      <c r="L1688" s="8">
        <v>1219109</v>
      </c>
      <c r="M1688" s="8" t="str">
        <f t="shared" si="142"/>
        <v>PEN</v>
      </c>
      <c r="N1688" s="13"/>
      <c r="O1688" s="13">
        <v>120</v>
      </c>
      <c r="P1688" s="3">
        <f t="shared" si="143"/>
        <v>0</v>
      </c>
      <c r="Q1688" s="3">
        <f t="shared" si="144"/>
        <v>120</v>
      </c>
      <c r="R1688" s="3">
        <f t="shared" si="140"/>
        <v>117637.47000000004</v>
      </c>
      <c r="S1688" s="24" t="s">
        <v>1334</v>
      </c>
      <c r="T1688" s="24" t="s">
        <v>1334</v>
      </c>
      <c r="U1688" s="53"/>
      <c r="V1688" s="25">
        <f>IFERROR(VLOOKUP(BCP_Soles[[#This Row],[destinatario]],CHOOSE({1,2},Clientes_Proveedores[Razon Social],Clientes_Proveedores[Ruc / Dni]),2,0),"")</f>
        <v>10706063426</v>
      </c>
      <c r="W1688" s="25" t="s">
        <v>187</v>
      </c>
      <c r="X1688" s="25" t="s">
        <v>3014</v>
      </c>
      <c r="Y1688" s="25"/>
      <c r="Z1688" s="75"/>
      <c r="AA1688" s="3" t="str">
        <f>IF(BCP_Soles[[#This Row],[fecha]]&gt;0,TEXT(BCP_Soles[[#This Row],[fecha]],"mmmm"),0)</f>
        <v>Mayo</v>
      </c>
    </row>
    <row r="1689" spans="1:27" ht="24" x14ac:dyDescent="0.3">
      <c r="A1689" s="2">
        <f>IF(BCP_Soles[[#This Row],[tipo_registro]]="R",COUNTIFS($C$1:$C1688,"R")+1,A1688)</f>
        <v>1263</v>
      </c>
      <c r="B1689" s="19" t="str">
        <f t="shared" si="141"/>
        <v>B-BCP - Soles</v>
      </c>
      <c r="C1689" s="3" t="s">
        <v>1330</v>
      </c>
      <c r="D1689" s="14">
        <v>45789</v>
      </c>
      <c r="E1689" s="5" t="s">
        <v>1338</v>
      </c>
      <c r="F1689" s="5" t="s">
        <v>1336</v>
      </c>
      <c r="G1689" s="6" t="s">
        <v>703</v>
      </c>
      <c r="H1689" s="6" t="s">
        <v>106</v>
      </c>
      <c r="I1689" s="6" t="s">
        <v>1484</v>
      </c>
      <c r="J1689" s="6">
        <v>30222675</v>
      </c>
      <c r="K1689" s="7" t="s">
        <v>1485</v>
      </c>
      <c r="L1689" s="8">
        <v>101681</v>
      </c>
      <c r="M1689" s="8" t="str">
        <f t="shared" si="142"/>
        <v>PEN</v>
      </c>
      <c r="N1689" s="13"/>
      <c r="O1689" s="13">
        <v>141.30000000000001</v>
      </c>
      <c r="P1689" s="3">
        <f t="shared" si="143"/>
        <v>0</v>
      </c>
      <c r="Q1689" s="3">
        <f t="shared" si="144"/>
        <v>141.30000000000001</v>
      </c>
      <c r="R1689" s="3">
        <f t="shared" si="140"/>
        <v>117496.17000000004</v>
      </c>
      <c r="S1689" s="24" t="s">
        <v>1334</v>
      </c>
      <c r="T1689" s="24" t="s">
        <v>1334</v>
      </c>
      <c r="U1689" s="53"/>
      <c r="V1689" s="25">
        <f>IFERROR(VLOOKUP(BCP_Soles[[#This Row],[destinatario]],CHOOSE({1,2},Clientes_Proveedores[Razon Social],Clientes_Proveedores[Ruc / Dni]),2,0),"")</f>
        <v>20100188628</v>
      </c>
      <c r="W1689" s="25" t="s">
        <v>1486</v>
      </c>
      <c r="X1689" s="25" t="s">
        <v>3015</v>
      </c>
      <c r="Y1689" s="25"/>
      <c r="Z1689" s="75"/>
      <c r="AA1689" s="3" t="str">
        <f>IF(BCP_Soles[[#This Row],[fecha]]&gt;0,TEXT(BCP_Soles[[#This Row],[fecha]],"mmmm"),0)</f>
        <v>Mayo</v>
      </c>
    </row>
    <row r="1690" spans="1:27" x14ac:dyDescent="0.3">
      <c r="A1690" s="2">
        <f>IF(BCP_Soles[[#This Row],[tipo_registro]]="R",COUNTIFS($C$1:$C1689,"R")+1,A1689)</f>
        <v>1264</v>
      </c>
      <c r="B1690" s="19" t="str">
        <f t="shared" si="141"/>
        <v>B-BCP - Soles</v>
      </c>
      <c r="C1690" s="3" t="s">
        <v>1330</v>
      </c>
      <c r="D1690" s="14">
        <v>45789</v>
      </c>
      <c r="E1690" s="5" t="s">
        <v>2269</v>
      </c>
      <c r="F1690" s="5" t="s">
        <v>1336</v>
      </c>
      <c r="G1690" s="6" t="s">
        <v>407</v>
      </c>
      <c r="H1690" s="6" t="s">
        <v>68</v>
      </c>
      <c r="I1690" s="6" t="s">
        <v>3016</v>
      </c>
      <c r="J1690" s="6">
        <v>12096</v>
      </c>
      <c r="K1690" s="7" t="s">
        <v>1481</v>
      </c>
      <c r="L1690" s="8">
        <v>102160</v>
      </c>
      <c r="M1690" s="8" t="str">
        <f t="shared" si="142"/>
        <v>PEN</v>
      </c>
      <c r="N1690" s="13"/>
      <c r="O1690" s="13">
        <v>196.52</v>
      </c>
      <c r="P1690" s="3">
        <f t="shared" si="143"/>
        <v>0</v>
      </c>
      <c r="Q1690" s="3">
        <f t="shared" si="144"/>
        <v>196.52</v>
      </c>
      <c r="R1690" s="3">
        <f t="shared" si="140"/>
        <v>117299.65000000004</v>
      </c>
      <c r="S1690" s="24" t="s">
        <v>1334</v>
      </c>
      <c r="T1690" s="24" t="s">
        <v>1334</v>
      </c>
      <c r="U1690" s="53"/>
      <c r="V1690" s="25">
        <f>IFERROR(VLOOKUP(BCP_Soles[[#This Row],[destinatario]],CHOOSE({1,2},Clientes_Proveedores[Razon Social],Clientes_Proveedores[Ruc / Dni]),2,0),"")</f>
        <v>20549068201</v>
      </c>
      <c r="W1690" s="25" t="s">
        <v>1482</v>
      </c>
      <c r="X1690" s="25" t="s">
        <v>3017</v>
      </c>
      <c r="Y1690" s="25"/>
      <c r="Z1690" s="75"/>
      <c r="AA1690" s="3" t="str">
        <f>IF(BCP_Soles[[#This Row],[fecha]]&gt;0,TEXT(BCP_Soles[[#This Row],[fecha]],"mmmm"),0)</f>
        <v>Mayo</v>
      </c>
    </row>
    <row r="1691" spans="1:27" ht="24" x14ac:dyDescent="0.3">
      <c r="A1691" s="2">
        <f>IF(BCP_Soles[[#This Row],[tipo_registro]]="R",COUNTIFS($C$1:$C1690,"R")+1,A1690)</f>
        <v>1265</v>
      </c>
      <c r="B1691" s="19" t="str">
        <f t="shared" si="141"/>
        <v>B-BCP - Soles</v>
      </c>
      <c r="C1691" s="3" t="s">
        <v>1330</v>
      </c>
      <c r="D1691" s="14">
        <v>45789</v>
      </c>
      <c r="E1691" s="5" t="s">
        <v>1338</v>
      </c>
      <c r="F1691" s="5" t="s">
        <v>1336</v>
      </c>
      <c r="G1691" s="6" t="s">
        <v>703</v>
      </c>
      <c r="H1691" s="6" t="s">
        <v>106</v>
      </c>
      <c r="I1691" s="6" t="s">
        <v>1484</v>
      </c>
      <c r="J1691" s="6">
        <v>30222735</v>
      </c>
      <c r="K1691" s="7" t="s">
        <v>1561</v>
      </c>
      <c r="L1691" s="8">
        <v>101680</v>
      </c>
      <c r="M1691" s="8" t="str">
        <f t="shared" si="142"/>
        <v>PEN</v>
      </c>
      <c r="N1691" s="13"/>
      <c r="O1691" s="13">
        <v>359.4</v>
      </c>
      <c r="P1691" s="3">
        <f t="shared" si="143"/>
        <v>0</v>
      </c>
      <c r="Q1691" s="3">
        <f t="shared" si="144"/>
        <v>359.4</v>
      </c>
      <c r="R1691" s="3">
        <f t="shared" si="140"/>
        <v>116940.25000000004</v>
      </c>
      <c r="S1691" s="24" t="s">
        <v>1334</v>
      </c>
      <c r="T1691" s="24" t="s">
        <v>1334</v>
      </c>
      <c r="U1691" s="53"/>
      <c r="V1691" s="25">
        <f>IFERROR(VLOOKUP(BCP_Soles[[#This Row],[destinatario]],CHOOSE({1,2},Clientes_Proveedores[Razon Social],Clientes_Proveedores[Ruc / Dni]),2,0),"")</f>
        <v>20100188628</v>
      </c>
      <c r="W1691" s="25" t="s">
        <v>1486</v>
      </c>
      <c r="X1691" s="25" t="s">
        <v>3018</v>
      </c>
      <c r="Y1691" s="25"/>
      <c r="Z1691" s="75"/>
      <c r="AA1691" s="3" t="str">
        <f>IF(BCP_Soles[[#This Row],[fecha]]&gt;0,TEXT(BCP_Soles[[#This Row],[fecha]],"mmmm"),0)</f>
        <v>Mayo</v>
      </c>
    </row>
    <row r="1692" spans="1:27" x14ac:dyDescent="0.3">
      <c r="A1692" s="2">
        <f>IF(BCP_Soles[[#This Row],[tipo_registro]]="R",COUNTIFS($C$1:$C1691,"R")+1,A1691)</f>
        <v>1266</v>
      </c>
      <c r="B1692" s="19" t="str">
        <f t="shared" si="141"/>
        <v>B-BCP - Soles</v>
      </c>
      <c r="C1692" s="3" t="s">
        <v>1330</v>
      </c>
      <c r="D1692" s="14">
        <v>45789</v>
      </c>
      <c r="E1692" s="5" t="s">
        <v>1338</v>
      </c>
      <c r="F1692" s="5" t="s">
        <v>1336</v>
      </c>
      <c r="G1692" s="6" t="s">
        <v>695</v>
      </c>
      <c r="H1692" s="6" t="s">
        <v>68</v>
      </c>
      <c r="I1692" s="6" t="s">
        <v>1715</v>
      </c>
      <c r="J1692" s="6">
        <v>138448</v>
      </c>
      <c r="K1692" s="7" t="s">
        <v>1378</v>
      </c>
      <c r="L1692" s="8">
        <v>102660</v>
      </c>
      <c r="M1692" s="8" t="str">
        <f t="shared" si="142"/>
        <v>PEN</v>
      </c>
      <c r="N1692" s="13"/>
      <c r="O1692" s="13">
        <v>599.72</v>
      </c>
      <c r="P1692" s="3">
        <f t="shared" si="143"/>
        <v>0</v>
      </c>
      <c r="Q1692" s="3">
        <f t="shared" si="144"/>
        <v>599.72</v>
      </c>
      <c r="R1692" s="3">
        <f t="shared" si="140"/>
        <v>116340.53000000004</v>
      </c>
      <c r="S1692" s="24" t="s">
        <v>1334</v>
      </c>
      <c r="T1692" s="24" t="s">
        <v>1334</v>
      </c>
      <c r="U1692" s="53"/>
      <c r="V1692" s="25">
        <f>IFERROR(VLOOKUP(BCP_Soles[[#This Row],[destinatario]],CHOOSE({1,2},Clientes_Proveedores[Razon Social],Clientes_Proveedores[Ruc / Dni]),2,0),"")</f>
        <v>20127765279</v>
      </c>
      <c r="W1692" s="25" t="s">
        <v>1379</v>
      </c>
      <c r="X1692" s="25" t="s">
        <v>3019</v>
      </c>
      <c r="Y1692" s="25"/>
      <c r="Z1692" s="75"/>
      <c r="AA1692" s="3" t="str">
        <f>IF(BCP_Soles[[#This Row],[fecha]]&gt;0,TEXT(BCP_Soles[[#This Row],[fecha]],"mmmm"),0)</f>
        <v>Mayo</v>
      </c>
    </row>
    <row r="1693" spans="1:27" x14ac:dyDescent="0.3">
      <c r="A1693" s="2">
        <f>IF(BCP_Soles[[#This Row],[tipo_registro]]="R",COUNTIFS($C$1:$C1692,"R")+1,A1692)</f>
        <v>1267</v>
      </c>
      <c r="B1693" s="19" t="str">
        <f t="shared" si="141"/>
        <v>B-BCP - Soles</v>
      </c>
      <c r="C1693" s="3" t="s">
        <v>1330</v>
      </c>
      <c r="D1693" s="14">
        <v>45789</v>
      </c>
      <c r="E1693" s="5" t="s">
        <v>1338</v>
      </c>
      <c r="F1693" s="5" t="s">
        <v>1336</v>
      </c>
      <c r="G1693" s="6" t="s">
        <v>695</v>
      </c>
      <c r="H1693" s="6" t="s">
        <v>68</v>
      </c>
      <c r="I1693" s="6" t="s">
        <v>1513</v>
      </c>
      <c r="J1693" s="6">
        <v>160575</v>
      </c>
      <c r="K1693" s="7" t="s">
        <v>1378</v>
      </c>
      <c r="L1693" s="8">
        <v>100215</v>
      </c>
      <c r="M1693" s="8" t="str">
        <f t="shared" si="142"/>
        <v>PEN</v>
      </c>
      <c r="N1693" s="13"/>
      <c r="O1693" s="13">
        <v>821.82</v>
      </c>
      <c r="P1693" s="3">
        <f t="shared" si="143"/>
        <v>0</v>
      </c>
      <c r="Q1693" s="3">
        <f t="shared" si="144"/>
        <v>821.82</v>
      </c>
      <c r="R1693" s="3">
        <f t="shared" si="140"/>
        <v>115518.71000000004</v>
      </c>
      <c r="S1693" s="24" t="s">
        <v>1334</v>
      </c>
      <c r="T1693" s="24" t="s">
        <v>1334</v>
      </c>
      <c r="U1693" s="53"/>
      <c r="V1693" s="25">
        <f>IFERROR(VLOOKUP(BCP_Soles[[#This Row],[destinatario]],CHOOSE({1,2},Clientes_Proveedores[Razon Social],Clientes_Proveedores[Ruc / Dni]),2,0),"")</f>
        <v>20127765279</v>
      </c>
      <c r="W1693" s="25" t="s">
        <v>1379</v>
      </c>
      <c r="X1693" s="25" t="s">
        <v>3020</v>
      </c>
      <c r="Y1693" s="25"/>
      <c r="Z1693" s="75"/>
      <c r="AA1693" s="3" t="str">
        <f>IF(BCP_Soles[[#This Row],[fecha]]&gt;0,TEXT(BCP_Soles[[#This Row],[fecha]],"mmmm"),0)</f>
        <v>Mayo</v>
      </c>
    </row>
    <row r="1694" spans="1:27" x14ac:dyDescent="0.3">
      <c r="A1694" s="2">
        <f>IF(BCP_Soles[[#This Row],[tipo_registro]]="R",COUNTIFS($C$1:$C1693,"R")+1,A1693)</f>
        <v>1268</v>
      </c>
      <c r="B1694" s="19" t="str">
        <f t="shared" si="141"/>
        <v>B-BCP - Soles</v>
      </c>
      <c r="C1694" s="3" t="s">
        <v>1330</v>
      </c>
      <c r="D1694" s="14">
        <v>45789</v>
      </c>
      <c r="E1694" s="5" t="s">
        <v>1335</v>
      </c>
      <c r="F1694" s="5" t="s">
        <v>1336</v>
      </c>
      <c r="G1694" s="6"/>
      <c r="H1694" s="6"/>
      <c r="I1694" s="6"/>
      <c r="J1694" s="6"/>
      <c r="K1694" s="7" t="s">
        <v>1337</v>
      </c>
      <c r="L1694" s="8"/>
      <c r="M1694" s="8" t="str">
        <f t="shared" si="142"/>
        <v>PEN</v>
      </c>
      <c r="N1694" s="13"/>
      <c r="O1694" s="13">
        <v>0.3</v>
      </c>
      <c r="P1694" s="3">
        <f t="shared" si="143"/>
        <v>0</v>
      </c>
      <c r="Q1694" s="3">
        <f t="shared" si="144"/>
        <v>0.3</v>
      </c>
      <c r="R1694" s="3">
        <f t="shared" si="140"/>
        <v>115518.41000000003</v>
      </c>
      <c r="S1694" s="24"/>
      <c r="T1694" s="24" t="s">
        <v>1334</v>
      </c>
      <c r="U1694" s="53"/>
      <c r="V1694" s="25" t="str">
        <f>IFERROR(VLOOKUP(BCP_Soles[[#This Row],[destinatario]],CHOOSE({1,2},Clientes_Proveedores[Razon Social],Clientes_Proveedores[Ruc / Dni]),2,0),"")</f>
        <v/>
      </c>
      <c r="W1694" s="25"/>
      <c r="X1694" s="25"/>
      <c r="Y1694" s="25"/>
      <c r="Z1694" s="75"/>
      <c r="AA1694" s="3" t="str">
        <f>IF(BCP_Soles[[#This Row],[fecha]]&gt;0,TEXT(BCP_Soles[[#This Row],[fecha]],"mmmm"),0)</f>
        <v>Mayo</v>
      </c>
    </row>
    <row r="1695" spans="1:27" ht="36" x14ac:dyDescent="0.3">
      <c r="A1695" s="2">
        <f>IF(BCP_Soles[[#This Row],[tipo_registro]]="R",COUNTIFS($C$1:$C1694,"R")+1,A1694)</f>
        <v>1269</v>
      </c>
      <c r="B1695" s="19" t="str">
        <f t="shared" si="141"/>
        <v>B-BCP - Soles</v>
      </c>
      <c r="C1695" s="3" t="s">
        <v>1330</v>
      </c>
      <c r="D1695" s="14">
        <v>45790</v>
      </c>
      <c r="E1695" s="5" t="s">
        <v>351</v>
      </c>
      <c r="F1695" s="5" t="s">
        <v>1303</v>
      </c>
      <c r="G1695" s="6" t="s">
        <v>425</v>
      </c>
      <c r="H1695" s="6"/>
      <c r="I1695" s="6"/>
      <c r="J1695" s="6"/>
      <c r="K1695" s="7" t="s">
        <v>3021</v>
      </c>
      <c r="L1695" s="8">
        <v>2204255</v>
      </c>
      <c r="M1695" s="8" t="str">
        <f t="shared" si="142"/>
        <v>PEN</v>
      </c>
      <c r="N1695" s="13"/>
      <c r="O1695" s="13">
        <v>9960.77</v>
      </c>
      <c r="P1695" s="3">
        <f t="shared" si="143"/>
        <v>9960.77</v>
      </c>
      <c r="Q1695" s="3">
        <f t="shared" si="144"/>
        <v>0</v>
      </c>
      <c r="R1695" s="3">
        <f t="shared" si="140"/>
        <v>125479.18000000004</v>
      </c>
      <c r="S1695" s="24" t="s">
        <v>1334</v>
      </c>
      <c r="T1695" s="24" t="s">
        <v>1334</v>
      </c>
      <c r="U1695" s="53"/>
      <c r="V1695" s="25">
        <f>IFERROR(VLOOKUP(BCP_Soles[[#This Row],[destinatario]],CHOOSE({1,2},Clientes_Proveedores[Razon Social],Clientes_Proveedores[Ruc / Dni]),2,0),"")</f>
        <v>20558226979</v>
      </c>
      <c r="W1695" s="25" t="s">
        <v>1345</v>
      </c>
      <c r="X1695" s="25" t="s">
        <v>3022</v>
      </c>
      <c r="Y1695" s="25"/>
      <c r="Z1695" s="75"/>
      <c r="AA1695" s="3" t="str">
        <f>IF(BCP_Soles[[#This Row],[fecha]]&gt;0,TEXT(BCP_Soles[[#This Row],[fecha]],"mmmm"),0)</f>
        <v>Mayo</v>
      </c>
    </row>
    <row r="1696" spans="1:27" x14ac:dyDescent="0.3">
      <c r="A1696" s="2">
        <f>IF(BCP_Soles[[#This Row],[tipo_registro]]="R",COUNTIFS($C$1:$C1695,"R")+1,A1695)</f>
        <v>1270</v>
      </c>
      <c r="B1696" s="19" t="str">
        <f t="shared" si="141"/>
        <v>B-BCP - Soles</v>
      </c>
      <c r="C1696" s="3" t="s">
        <v>1330</v>
      </c>
      <c r="D1696" s="14">
        <v>45790</v>
      </c>
      <c r="E1696" s="5"/>
      <c r="F1696" s="5" t="s">
        <v>1303</v>
      </c>
      <c r="G1696" s="6" t="s">
        <v>425</v>
      </c>
      <c r="H1696" s="6"/>
      <c r="I1696" s="6"/>
      <c r="J1696" s="6"/>
      <c r="K1696" s="7" t="s">
        <v>1356</v>
      </c>
      <c r="L1696" s="8">
        <v>3310673</v>
      </c>
      <c r="M1696" s="8" t="str">
        <f t="shared" si="142"/>
        <v>PEN</v>
      </c>
      <c r="N1696" s="13"/>
      <c r="O1696" s="13">
        <v>4127</v>
      </c>
      <c r="P1696" s="3">
        <f t="shared" si="143"/>
        <v>4127</v>
      </c>
      <c r="Q1696" s="3">
        <f t="shared" si="144"/>
        <v>0</v>
      </c>
      <c r="R1696" s="3">
        <f t="shared" si="140"/>
        <v>129606.18000000004</v>
      </c>
      <c r="S1696" s="24" t="s">
        <v>1334</v>
      </c>
      <c r="T1696" s="24" t="s">
        <v>1334</v>
      </c>
      <c r="U1696" s="53"/>
      <c r="V1696" s="25">
        <f>IFERROR(VLOOKUP(BCP_Soles[[#This Row],[destinatario]],CHOOSE({1,2},Clientes_Proveedores[Razon Social],Clientes_Proveedores[Ruc / Dni]),2,0),"")</f>
        <v>20558226979</v>
      </c>
      <c r="W1696" s="25" t="s">
        <v>1345</v>
      </c>
      <c r="X1696" s="25"/>
      <c r="Y1696" s="25"/>
      <c r="Z1696" s="75"/>
      <c r="AA1696" s="3" t="str">
        <f>IF(BCP_Soles[[#This Row],[fecha]]&gt;0,TEXT(BCP_Soles[[#This Row],[fecha]],"mmmm"),0)</f>
        <v>Mayo</v>
      </c>
    </row>
    <row r="1697" spans="1:27" ht="24" x14ac:dyDescent="0.3">
      <c r="A1697" s="2">
        <f>IF(BCP_Soles[[#This Row],[tipo_registro]]="R",COUNTIFS($C$1:$C1696,"R")+1,A1696)</f>
        <v>1270</v>
      </c>
      <c r="B1697" s="19" t="str">
        <f t="shared" si="141"/>
        <v>B-BCP - Soles</v>
      </c>
      <c r="C1697" s="3" t="s">
        <v>1352</v>
      </c>
      <c r="D1697" s="14">
        <v>45790</v>
      </c>
      <c r="E1697" s="5" t="s">
        <v>536</v>
      </c>
      <c r="F1697" s="5" t="s">
        <v>1303</v>
      </c>
      <c r="G1697" s="6" t="s">
        <v>425</v>
      </c>
      <c r="H1697" s="6" t="s">
        <v>119</v>
      </c>
      <c r="I1697" s="6">
        <v>1</v>
      </c>
      <c r="J1697" s="6">
        <v>4383</v>
      </c>
      <c r="K1697" s="7" t="s">
        <v>1356</v>
      </c>
      <c r="L1697" s="8">
        <v>3310673</v>
      </c>
      <c r="M1697" s="8" t="str">
        <f t="shared" si="142"/>
        <v>PEN</v>
      </c>
      <c r="N1697" s="13">
        <v>1335</v>
      </c>
      <c r="O1697" s="13"/>
      <c r="P1697" s="3">
        <f t="shared" si="143"/>
        <v>0</v>
      </c>
      <c r="Q1697" s="3">
        <f t="shared" si="144"/>
        <v>0</v>
      </c>
      <c r="R1697" s="3">
        <f t="shared" si="140"/>
        <v>129606.18000000004</v>
      </c>
      <c r="S1697" s="24" t="s">
        <v>1334</v>
      </c>
      <c r="T1697" s="24" t="s">
        <v>1334</v>
      </c>
      <c r="U1697" s="53"/>
      <c r="V1697" s="25">
        <f>IFERROR(VLOOKUP(BCP_Soles[[#This Row],[destinatario]],CHOOSE({1,2},Clientes_Proveedores[Razon Social],Clientes_Proveedores[Ruc / Dni]),2,0),"")</f>
        <v>20558226979</v>
      </c>
      <c r="W1697" s="25" t="s">
        <v>1345</v>
      </c>
      <c r="X1697" s="25" t="s">
        <v>2796</v>
      </c>
      <c r="Y1697" s="25"/>
      <c r="Z1697" s="75"/>
      <c r="AA1697" s="3" t="str">
        <f>IF(BCP_Soles[[#This Row],[fecha]]&gt;0,TEXT(BCP_Soles[[#This Row],[fecha]],"mmmm"),0)</f>
        <v>Mayo</v>
      </c>
    </row>
    <row r="1698" spans="1:27" ht="24" x14ac:dyDescent="0.3">
      <c r="A1698" s="2">
        <f>IF(BCP_Soles[[#This Row],[tipo_registro]]="R",COUNTIFS($C$1:$C1697,"R")+1,A1697)</f>
        <v>1270</v>
      </c>
      <c r="B1698" s="19" t="str">
        <f t="shared" si="141"/>
        <v>B-BCP - Soles</v>
      </c>
      <c r="C1698" s="3" t="s">
        <v>1352</v>
      </c>
      <c r="D1698" s="14">
        <v>45790</v>
      </c>
      <c r="E1698" s="5" t="s">
        <v>536</v>
      </c>
      <c r="F1698" s="5" t="s">
        <v>1303</v>
      </c>
      <c r="G1698" s="6" t="s">
        <v>425</v>
      </c>
      <c r="H1698" s="6" t="s">
        <v>119</v>
      </c>
      <c r="I1698" s="6">
        <v>1</v>
      </c>
      <c r="J1698" s="6">
        <v>4395</v>
      </c>
      <c r="K1698" s="7" t="s">
        <v>1356</v>
      </c>
      <c r="L1698" s="8">
        <v>3310673</v>
      </c>
      <c r="M1698" s="8" t="str">
        <f t="shared" si="142"/>
        <v>PEN</v>
      </c>
      <c r="N1698" s="13">
        <v>1768</v>
      </c>
      <c r="O1698" s="13"/>
      <c r="P1698" s="3">
        <f t="shared" si="143"/>
        <v>0</v>
      </c>
      <c r="Q1698" s="3">
        <f t="shared" si="144"/>
        <v>0</v>
      </c>
      <c r="R1698" s="3">
        <f t="shared" si="140"/>
        <v>129606.18000000004</v>
      </c>
      <c r="S1698" s="24" t="s">
        <v>1334</v>
      </c>
      <c r="T1698" s="24" t="s">
        <v>1334</v>
      </c>
      <c r="U1698" s="53"/>
      <c r="V1698" s="25">
        <f>IFERROR(VLOOKUP(BCP_Soles[[#This Row],[destinatario]],CHOOSE({1,2},Clientes_Proveedores[Razon Social],Clientes_Proveedores[Ruc / Dni]),2,0),"")</f>
        <v>20558226979</v>
      </c>
      <c r="W1698" s="25" t="s">
        <v>1345</v>
      </c>
      <c r="X1698" s="25" t="s">
        <v>3023</v>
      </c>
      <c r="Y1698" s="25"/>
      <c r="Z1698" s="75"/>
      <c r="AA1698" s="3" t="str">
        <f>IF(BCP_Soles[[#This Row],[fecha]]&gt;0,TEXT(BCP_Soles[[#This Row],[fecha]],"mmmm"),0)</f>
        <v>Mayo</v>
      </c>
    </row>
    <row r="1699" spans="1:27" ht="24" x14ac:dyDescent="0.3">
      <c r="A1699" s="2">
        <f>IF(BCP_Soles[[#This Row],[tipo_registro]]="R",COUNTIFS($C$1:$C1698,"R")+1,A1698)</f>
        <v>1270</v>
      </c>
      <c r="B1699" s="19" t="str">
        <f t="shared" si="141"/>
        <v>B-BCP - Soles</v>
      </c>
      <c r="C1699" s="3" t="s">
        <v>1352</v>
      </c>
      <c r="D1699" s="14">
        <v>45790</v>
      </c>
      <c r="E1699" s="5" t="s">
        <v>536</v>
      </c>
      <c r="F1699" s="5" t="s">
        <v>1303</v>
      </c>
      <c r="G1699" s="6" t="s">
        <v>425</v>
      </c>
      <c r="H1699" s="6" t="s">
        <v>119</v>
      </c>
      <c r="I1699" s="6">
        <v>1</v>
      </c>
      <c r="J1699" s="6">
        <v>4399</v>
      </c>
      <c r="K1699" s="7" t="s">
        <v>1356</v>
      </c>
      <c r="L1699" s="8">
        <v>3310673</v>
      </c>
      <c r="M1699" s="8" t="str">
        <f t="shared" si="142"/>
        <v>PEN</v>
      </c>
      <c r="N1699" s="13">
        <v>1024</v>
      </c>
      <c r="O1699" s="13"/>
      <c r="P1699" s="3">
        <f t="shared" si="143"/>
        <v>0</v>
      </c>
      <c r="Q1699" s="3">
        <f t="shared" si="144"/>
        <v>0</v>
      </c>
      <c r="R1699" s="3">
        <f t="shared" si="140"/>
        <v>129606.18000000004</v>
      </c>
      <c r="S1699" s="24" t="s">
        <v>1334</v>
      </c>
      <c r="T1699" s="24" t="s">
        <v>1334</v>
      </c>
      <c r="U1699" s="53"/>
      <c r="V1699" s="25">
        <f>IFERROR(VLOOKUP(BCP_Soles[[#This Row],[destinatario]],CHOOSE({1,2},Clientes_Proveedores[Razon Social],Clientes_Proveedores[Ruc / Dni]),2,0),"")</f>
        <v>20558226979</v>
      </c>
      <c r="W1699" s="25" t="s">
        <v>1345</v>
      </c>
      <c r="X1699" s="25" t="s">
        <v>3024</v>
      </c>
      <c r="Y1699" s="25"/>
      <c r="Z1699" s="75"/>
      <c r="AA1699" s="3" t="str">
        <f>IF(BCP_Soles[[#This Row],[fecha]]&gt;0,TEXT(BCP_Soles[[#This Row],[fecha]],"mmmm"),0)</f>
        <v>Mayo</v>
      </c>
    </row>
    <row r="1700" spans="1:27" x14ac:dyDescent="0.3">
      <c r="A1700" s="2">
        <f>IF(BCP_Soles[[#This Row],[tipo_registro]]="R",COUNTIFS($C$1:$C1699,"R")+1,A1699)</f>
        <v>1271</v>
      </c>
      <c r="B1700" s="19" t="str">
        <f t="shared" si="141"/>
        <v>B-BCP - Soles</v>
      </c>
      <c r="C1700" s="3" t="s">
        <v>1330</v>
      </c>
      <c r="D1700" s="14">
        <v>45790</v>
      </c>
      <c r="E1700" s="5" t="s">
        <v>427</v>
      </c>
      <c r="F1700" s="5" t="s">
        <v>1303</v>
      </c>
      <c r="G1700" s="6" t="s">
        <v>425</v>
      </c>
      <c r="H1700" s="6"/>
      <c r="I1700" s="6"/>
      <c r="J1700" s="6"/>
      <c r="K1700" s="7" t="s">
        <v>3025</v>
      </c>
      <c r="L1700" s="8">
        <v>766176</v>
      </c>
      <c r="M1700" s="8" t="str">
        <f t="shared" si="142"/>
        <v>PEN</v>
      </c>
      <c r="N1700" s="13"/>
      <c r="O1700" s="13">
        <v>2492.16</v>
      </c>
      <c r="P1700" s="3">
        <f t="shared" si="143"/>
        <v>2492.16</v>
      </c>
      <c r="Q1700" s="3">
        <f t="shared" si="144"/>
        <v>0</v>
      </c>
      <c r="R1700" s="3">
        <f t="shared" si="140"/>
        <v>132098.34000000003</v>
      </c>
      <c r="S1700" s="24" t="s">
        <v>1334</v>
      </c>
      <c r="T1700" s="24" t="s">
        <v>1334</v>
      </c>
      <c r="U1700" s="53"/>
      <c r="V1700" s="25">
        <f>IFERROR(VLOOKUP(BCP_Soles[[#This Row],[destinatario]],CHOOSE({1,2},Clientes_Proveedores[Razon Social],Clientes_Proveedores[Ruc / Dni]),2,0),"")</f>
        <v>20558226979</v>
      </c>
      <c r="W1700" s="25" t="s">
        <v>1345</v>
      </c>
      <c r="X1700" s="25" t="s">
        <v>3026</v>
      </c>
      <c r="Y1700" s="25"/>
      <c r="Z1700" s="75"/>
      <c r="AA1700" s="3" t="str">
        <f>IF(BCP_Soles[[#This Row],[fecha]]&gt;0,TEXT(BCP_Soles[[#This Row],[fecha]],"mmmm"),0)</f>
        <v>Mayo</v>
      </c>
    </row>
    <row r="1701" spans="1:27" x14ac:dyDescent="0.3">
      <c r="A1701" s="2">
        <f>IF(BCP_Soles[[#This Row],[tipo_registro]]="R",COUNTIFS($C$1:$C1700,"R")+1,A1700)</f>
        <v>1272</v>
      </c>
      <c r="B1701" s="19" t="str">
        <f t="shared" si="141"/>
        <v>B-BCP - Soles</v>
      </c>
      <c r="C1701" s="3" t="s">
        <v>1330</v>
      </c>
      <c r="D1701" s="14">
        <v>45790</v>
      </c>
      <c r="E1701" s="5" t="s">
        <v>439</v>
      </c>
      <c r="F1701" s="5" t="s">
        <v>1303</v>
      </c>
      <c r="G1701" s="6" t="s">
        <v>425</v>
      </c>
      <c r="H1701" s="6" t="s">
        <v>119</v>
      </c>
      <c r="I1701" s="6">
        <v>1</v>
      </c>
      <c r="J1701" s="6">
        <v>4412</v>
      </c>
      <c r="K1701" s="7" t="s">
        <v>1356</v>
      </c>
      <c r="L1701" s="8">
        <v>1827386</v>
      </c>
      <c r="M1701" s="8" t="str">
        <f t="shared" si="142"/>
        <v>PEN</v>
      </c>
      <c r="N1701" s="13"/>
      <c r="O1701" s="13">
        <v>1040</v>
      </c>
      <c r="P1701" s="3">
        <f t="shared" si="143"/>
        <v>1040</v>
      </c>
      <c r="Q1701" s="3">
        <f t="shared" si="144"/>
        <v>0</v>
      </c>
      <c r="R1701" s="3">
        <f t="shared" si="140"/>
        <v>133138.34000000003</v>
      </c>
      <c r="S1701" s="24" t="s">
        <v>1334</v>
      </c>
      <c r="T1701" s="24" t="s">
        <v>1334</v>
      </c>
      <c r="U1701" s="53"/>
      <c r="V1701" s="25">
        <f>IFERROR(VLOOKUP(BCP_Soles[[#This Row],[destinatario]],CHOOSE({1,2},Clientes_Proveedores[Razon Social],Clientes_Proveedores[Ruc / Dni]),2,0),"")</f>
        <v>20558226979</v>
      </c>
      <c r="W1701" s="25" t="s">
        <v>1345</v>
      </c>
      <c r="X1701" s="25" t="s">
        <v>3027</v>
      </c>
      <c r="Y1701" s="25"/>
      <c r="Z1701" s="75"/>
      <c r="AA1701" s="3" t="str">
        <f>IF(BCP_Soles[[#This Row],[fecha]]&gt;0,TEXT(BCP_Soles[[#This Row],[fecha]],"mmmm"),0)</f>
        <v>Mayo</v>
      </c>
    </row>
    <row r="1702" spans="1:27" ht="36" x14ac:dyDescent="0.3">
      <c r="A1702" s="2">
        <f>IF(BCP_Soles[[#This Row],[tipo_registro]]="R",COUNTIFS($C$1:$C1701,"R")+1,A1701)</f>
        <v>1273</v>
      </c>
      <c r="B1702" s="19" t="str">
        <f t="shared" si="141"/>
        <v>B-BCP - Soles</v>
      </c>
      <c r="C1702" s="3" t="s">
        <v>1330</v>
      </c>
      <c r="D1702" s="14">
        <v>45790</v>
      </c>
      <c r="E1702" s="5" t="s">
        <v>660</v>
      </c>
      <c r="F1702" s="5" t="s">
        <v>1303</v>
      </c>
      <c r="G1702" s="6" t="s">
        <v>425</v>
      </c>
      <c r="H1702" s="6"/>
      <c r="I1702" s="6"/>
      <c r="J1702" s="6"/>
      <c r="K1702" s="7" t="s">
        <v>1356</v>
      </c>
      <c r="L1702" s="8">
        <v>766623</v>
      </c>
      <c r="M1702" s="8" t="str">
        <f t="shared" si="142"/>
        <v>PEN</v>
      </c>
      <c r="N1702" s="13"/>
      <c r="O1702" s="13">
        <v>531</v>
      </c>
      <c r="P1702" s="3">
        <f t="shared" si="143"/>
        <v>531</v>
      </c>
      <c r="Q1702" s="3">
        <f t="shared" si="144"/>
        <v>0</v>
      </c>
      <c r="R1702" s="3">
        <f t="shared" si="140"/>
        <v>133669.34000000003</v>
      </c>
      <c r="S1702" s="24" t="s">
        <v>1334</v>
      </c>
      <c r="T1702" s="24" t="s">
        <v>1334</v>
      </c>
      <c r="U1702" s="53"/>
      <c r="V1702" s="25">
        <f>IFERROR(VLOOKUP(BCP_Soles[[#This Row],[destinatario]],CHOOSE({1,2},Clientes_Proveedores[Razon Social],Clientes_Proveedores[Ruc / Dni]),2,0),"")</f>
        <v>20558226979</v>
      </c>
      <c r="W1702" s="25" t="s">
        <v>1345</v>
      </c>
      <c r="X1702" s="25" t="s">
        <v>3028</v>
      </c>
      <c r="Y1702" s="25"/>
      <c r="Z1702" s="75"/>
      <c r="AA1702" s="3" t="str">
        <f>IF(BCP_Soles[[#This Row],[fecha]]&gt;0,TEXT(BCP_Soles[[#This Row],[fecha]],"mmmm"),0)</f>
        <v>Mayo</v>
      </c>
    </row>
    <row r="1703" spans="1:27" ht="24" x14ac:dyDescent="0.3">
      <c r="A1703" s="2">
        <f>IF(BCP_Soles[[#This Row],[tipo_registro]]="R",COUNTIFS($C$1:$C1702,"R")+1,A1702)</f>
        <v>1274</v>
      </c>
      <c r="B1703" s="19" t="str">
        <f t="shared" si="141"/>
        <v>B-BCP - Soles</v>
      </c>
      <c r="C1703" s="3" t="s">
        <v>1330</v>
      </c>
      <c r="D1703" s="14">
        <v>45790</v>
      </c>
      <c r="E1703" s="5" t="s">
        <v>2269</v>
      </c>
      <c r="F1703" s="5" t="s">
        <v>1336</v>
      </c>
      <c r="G1703" s="6" t="s">
        <v>185</v>
      </c>
      <c r="H1703" s="6" t="s">
        <v>68</v>
      </c>
      <c r="I1703" s="6" t="s">
        <v>1376</v>
      </c>
      <c r="J1703" s="6">
        <v>134</v>
      </c>
      <c r="K1703" s="7" t="s">
        <v>3029</v>
      </c>
      <c r="L1703" s="8">
        <v>1214395</v>
      </c>
      <c r="M1703" s="8" t="str">
        <f t="shared" si="142"/>
        <v>PEN</v>
      </c>
      <c r="N1703" s="13"/>
      <c r="O1703" s="13">
        <v>1721.6</v>
      </c>
      <c r="P1703" s="3">
        <f t="shared" si="143"/>
        <v>0</v>
      </c>
      <c r="Q1703" s="3">
        <f t="shared" si="144"/>
        <v>1721.6</v>
      </c>
      <c r="R1703" s="3">
        <f t="shared" si="140"/>
        <v>131947.74000000002</v>
      </c>
      <c r="S1703" s="24" t="s">
        <v>1334</v>
      </c>
      <c r="T1703" s="24" t="s">
        <v>1334</v>
      </c>
      <c r="U1703" s="53"/>
      <c r="V1703" s="25">
        <f>IFERROR(VLOOKUP(BCP_Soles[[#This Row],[destinatario]],CHOOSE({1,2},Clientes_Proveedores[Razon Social],Clientes_Proveedores[Ruc / Dni]),2,0),"")</f>
        <v>10489531963</v>
      </c>
      <c r="W1703" s="25" t="s">
        <v>185</v>
      </c>
      <c r="X1703" s="25" t="s">
        <v>3030</v>
      </c>
      <c r="Y1703" s="25"/>
      <c r="Z1703" s="75"/>
      <c r="AA1703" s="3" t="str">
        <f>IF(BCP_Soles[[#This Row],[fecha]]&gt;0,TEXT(BCP_Soles[[#This Row],[fecha]],"mmmm"),0)</f>
        <v>Mayo</v>
      </c>
    </row>
    <row r="1704" spans="1:27" ht="24" x14ac:dyDescent="0.3">
      <c r="A1704" s="2">
        <f>IF(BCP_Soles[[#This Row],[tipo_registro]]="R",COUNTIFS($C$1:$C1703,"R")+1,A1703)</f>
        <v>1275</v>
      </c>
      <c r="B1704" s="19" t="str">
        <f t="shared" si="141"/>
        <v>B-BCP - Soles</v>
      </c>
      <c r="C1704" s="3" t="s">
        <v>1330</v>
      </c>
      <c r="D1704" s="14">
        <v>45790</v>
      </c>
      <c r="E1704" s="5" t="s">
        <v>2269</v>
      </c>
      <c r="F1704" s="5" t="s">
        <v>1336</v>
      </c>
      <c r="G1704" s="6" t="s">
        <v>249</v>
      </c>
      <c r="H1704" s="6"/>
      <c r="I1704" s="6"/>
      <c r="J1704" s="6"/>
      <c r="K1704" s="7" t="s">
        <v>3031</v>
      </c>
      <c r="L1704" s="8">
        <v>1214394</v>
      </c>
      <c r="M1704" s="8" t="str">
        <f t="shared" si="142"/>
        <v>PEN</v>
      </c>
      <c r="N1704" s="13"/>
      <c r="O1704" s="13">
        <v>1894.38</v>
      </c>
      <c r="P1704" s="3">
        <f t="shared" si="143"/>
        <v>0</v>
      </c>
      <c r="Q1704" s="3">
        <f t="shared" si="144"/>
        <v>1894.38</v>
      </c>
      <c r="R1704" s="3">
        <f t="shared" si="140"/>
        <v>130053.36000000002</v>
      </c>
      <c r="S1704" s="24"/>
      <c r="T1704" s="24"/>
      <c r="U1704" s="53"/>
      <c r="V1704" s="25">
        <f>IFERROR(VLOOKUP(BCP_Soles[[#This Row],[destinatario]],CHOOSE({1,2},Clientes_Proveedores[Razon Social],Clientes_Proveedores[Ruc / Dni]),2,0),"")</f>
        <v>20302891452</v>
      </c>
      <c r="W1704" s="25" t="s">
        <v>249</v>
      </c>
      <c r="X1704" s="25"/>
      <c r="Y1704" s="25"/>
      <c r="Z1704" s="75"/>
      <c r="AA1704" s="3" t="str">
        <f>IF(BCP_Soles[[#This Row],[fecha]]&gt;0,TEXT(BCP_Soles[[#This Row],[fecha]],"mmmm"),0)</f>
        <v>Mayo</v>
      </c>
    </row>
    <row r="1705" spans="1:27" ht="24" x14ac:dyDescent="0.3">
      <c r="A1705" s="2">
        <f>IF(BCP_Soles[[#This Row],[tipo_registro]]="R",COUNTIFS($C$1:$C1704,"R")+1,A1704)</f>
        <v>1276</v>
      </c>
      <c r="B1705" s="19" t="str">
        <f t="shared" si="141"/>
        <v>B-BCP - Soles</v>
      </c>
      <c r="C1705" s="3" t="s">
        <v>1330</v>
      </c>
      <c r="D1705" s="14">
        <v>45790</v>
      </c>
      <c r="E1705" s="5" t="s">
        <v>2269</v>
      </c>
      <c r="F1705" s="5" t="s">
        <v>1336</v>
      </c>
      <c r="G1705" s="6" t="s">
        <v>901</v>
      </c>
      <c r="H1705" s="6"/>
      <c r="I1705" s="6"/>
      <c r="J1705" s="6"/>
      <c r="K1705" s="7" t="s">
        <v>3032</v>
      </c>
      <c r="L1705" s="8">
        <v>1112266</v>
      </c>
      <c r="M1705" s="8" t="str">
        <f t="shared" si="142"/>
        <v>PEN</v>
      </c>
      <c r="N1705" s="13"/>
      <c r="O1705" s="13">
        <v>3000.15</v>
      </c>
      <c r="P1705" s="3">
        <f t="shared" si="143"/>
        <v>0</v>
      </c>
      <c r="Q1705" s="3">
        <f t="shared" si="144"/>
        <v>3000.15</v>
      </c>
      <c r="R1705" s="3">
        <f t="shared" si="140"/>
        <v>127053.21000000002</v>
      </c>
      <c r="S1705" s="24"/>
      <c r="T1705" s="24" t="s">
        <v>1334</v>
      </c>
      <c r="U1705" s="53"/>
      <c r="V1705" s="25">
        <f>IFERROR(VLOOKUP(BCP_Soles[[#This Row],[destinatario]],CHOOSE({1,2},Clientes_Proveedores[Razon Social],Clientes_Proveedores[Ruc / Dni]),2,0),"")</f>
        <v>72131384</v>
      </c>
      <c r="W1705" s="25" t="s">
        <v>901</v>
      </c>
      <c r="X1705" s="25" t="s">
        <v>3033</v>
      </c>
      <c r="Y1705" s="25"/>
      <c r="Z1705" s="75"/>
      <c r="AA1705" s="3" t="str">
        <f>IF(BCP_Soles[[#This Row],[fecha]]&gt;0,TEXT(BCP_Soles[[#This Row],[fecha]],"mmmm"),0)</f>
        <v>Mayo</v>
      </c>
    </row>
    <row r="1706" spans="1:27" ht="36" x14ac:dyDescent="0.3">
      <c r="A1706" s="2">
        <f>IF(BCP_Soles[[#This Row],[tipo_registro]]="R",COUNTIFS($C$1:$C1705,"R")+1,A1705)</f>
        <v>1277</v>
      </c>
      <c r="B1706" s="19" t="str">
        <f t="shared" si="141"/>
        <v>B-BCP - Soles</v>
      </c>
      <c r="C1706" s="3" t="s">
        <v>1330</v>
      </c>
      <c r="D1706" s="14">
        <v>45790</v>
      </c>
      <c r="E1706" s="5" t="s">
        <v>2269</v>
      </c>
      <c r="F1706" s="5" t="s">
        <v>1336</v>
      </c>
      <c r="G1706" s="6" t="s">
        <v>939</v>
      </c>
      <c r="H1706" s="6" t="s">
        <v>143</v>
      </c>
      <c r="I1706" s="6">
        <v>1</v>
      </c>
      <c r="J1706" s="6">
        <v>322025</v>
      </c>
      <c r="K1706" s="7" t="s">
        <v>3034</v>
      </c>
      <c r="L1706" s="8">
        <v>1112267</v>
      </c>
      <c r="M1706" s="8" t="str">
        <f t="shared" si="142"/>
        <v>PEN</v>
      </c>
      <c r="N1706" s="13"/>
      <c r="O1706" s="13">
        <v>11335</v>
      </c>
      <c r="P1706" s="3">
        <f t="shared" si="143"/>
        <v>0</v>
      </c>
      <c r="Q1706" s="3">
        <f t="shared" si="144"/>
        <v>11335</v>
      </c>
      <c r="R1706" s="3">
        <f t="shared" si="140"/>
        <v>115718.21000000002</v>
      </c>
      <c r="S1706" s="24" t="s">
        <v>1334</v>
      </c>
      <c r="T1706" s="24" t="s">
        <v>1334</v>
      </c>
      <c r="U1706" s="53"/>
      <c r="V1706" s="25">
        <f>IFERROR(VLOOKUP(BCP_Soles[[#This Row],[destinatario]],CHOOSE({1,2},Clientes_Proveedores[Razon Social],Clientes_Proveedores[Ruc / Dni]),2,0),"")</f>
        <v>72531546</v>
      </c>
      <c r="W1706" s="25" t="s">
        <v>939</v>
      </c>
      <c r="X1706" s="25" t="s">
        <v>3035</v>
      </c>
      <c r="Y1706" s="25"/>
      <c r="Z1706" s="75"/>
      <c r="AA1706" s="3" t="str">
        <f>IF(BCP_Soles[[#This Row],[fecha]]&gt;0,TEXT(BCP_Soles[[#This Row],[fecha]],"mmmm"),0)</f>
        <v>Mayo</v>
      </c>
    </row>
    <row r="1707" spans="1:27" ht="36" x14ac:dyDescent="0.3">
      <c r="A1707" s="2">
        <f>IF(BCP_Soles[[#This Row],[tipo_registro]]="R",COUNTIFS($C$1:$C1706,"R")+1,A1706)</f>
        <v>1278</v>
      </c>
      <c r="B1707" s="19" t="str">
        <f t="shared" si="141"/>
        <v>B-BCP - Soles</v>
      </c>
      <c r="C1707" s="3" t="s">
        <v>1330</v>
      </c>
      <c r="D1707" s="14">
        <v>45790</v>
      </c>
      <c r="E1707" s="5" t="s">
        <v>261</v>
      </c>
      <c r="F1707" s="5" t="s">
        <v>1303</v>
      </c>
      <c r="G1707" s="6" t="s">
        <v>425</v>
      </c>
      <c r="H1707" s="6"/>
      <c r="I1707" s="6"/>
      <c r="J1707" s="6"/>
      <c r="K1707" s="7" t="s">
        <v>3036</v>
      </c>
      <c r="L1707" s="8">
        <v>4926802</v>
      </c>
      <c r="M1707" s="8" t="str">
        <f t="shared" si="142"/>
        <v>PEN</v>
      </c>
      <c r="N1707" s="13"/>
      <c r="O1707" s="13">
        <v>23592.02</v>
      </c>
      <c r="P1707" s="3">
        <f t="shared" si="143"/>
        <v>23592.02</v>
      </c>
      <c r="Q1707" s="3">
        <f t="shared" si="144"/>
        <v>0</v>
      </c>
      <c r="R1707" s="3">
        <f t="shared" si="140"/>
        <v>139310.23000000001</v>
      </c>
      <c r="S1707" s="24" t="s">
        <v>1334</v>
      </c>
      <c r="T1707" s="24" t="s">
        <v>1334</v>
      </c>
      <c r="U1707" s="53"/>
      <c r="V1707" s="25">
        <f>IFERROR(VLOOKUP(BCP_Soles[[#This Row],[destinatario]],CHOOSE({1,2},Clientes_Proveedores[Razon Social],Clientes_Proveedores[Ruc / Dni]),2,0),"")</f>
        <v>20558226979</v>
      </c>
      <c r="W1707" s="25" t="s">
        <v>1345</v>
      </c>
      <c r="X1707" s="25" t="s">
        <v>3037</v>
      </c>
      <c r="Y1707" s="25"/>
      <c r="Z1707" s="75"/>
      <c r="AA1707" s="3" t="str">
        <f>IF(BCP_Soles[[#This Row],[fecha]]&gt;0,TEXT(BCP_Soles[[#This Row],[fecha]],"mmmm"),0)</f>
        <v>Mayo</v>
      </c>
    </row>
    <row r="1708" spans="1:27" x14ac:dyDescent="0.3">
      <c r="A1708" s="2">
        <f>IF(BCP_Soles[[#This Row],[tipo_registro]]="R",COUNTIFS($C$1:$C1707,"R")+1,A1707)</f>
        <v>1279</v>
      </c>
      <c r="B1708" s="19" t="str">
        <f t="shared" si="141"/>
        <v>B-BCP - Soles</v>
      </c>
      <c r="C1708" s="3" t="s">
        <v>1330</v>
      </c>
      <c r="D1708" s="14">
        <v>45790</v>
      </c>
      <c r="E1708" s="5" t="s">
        <v>1335</v>
      </c>
      <c r="F1708" s="5" t="s">
        <v>1336</v>
      </c>
      <c r="G1708" s="6"/>
      <c r="H1708" s="6"/>
      <c r="I1708" s="6"/>
      <c r="J1708" s="6"/>
      <c r="K1708" s="7" t="s">
        <v>1337</v>
      </c>
      <c r="L1708" s="8"/>
      <c r="M1708" s="8" t="str">
        <f t="shared" si="142"/>
        <v>PEN</v>
      </c>
      <c r="N1708" s="13"/>
      <c r="O1708" s="13">
        <v>2.75</v>
      </c>
      <c r="P1708" s="3">
        <f t="shared" si="143"/>
        <v>0</v>
      </c>
      <c r="Q1708" s="3">
        <f t="shared" si="144"/>
        <v>2.75</v>
      </c>
      <c r="R1708" s="3">
        <f t="shared" si="140"/>
        <v>139307.48000000001</v>
      </c>
      <c r="S1708" s="24"/>
      <c r="T1708" s="24" t="s">
        <v>1334</v>
      </c>
      <c r="U1708" s="53"/>
      <c r="V1708" s="25" t="str">
        <f>IFERROR(VLOOKUP(BCP_Soles[[#This Row],[destinatario]],CHOOSE({1,2},Clientes_Proveedores[Razon Social],Clientes_Proveedores[Ruc / Dni]),2,0),"")</f>
        <v/>
      </c>
      <c r="W1708" s="25"/>
      <c r="X1708" s="25"/>
      <c r="Y1708" s="25"/>
      <c r="Z1708" s="75"/>
      <c r="AA1708" s="3" t="str">
        <f>IF(BCP_Soles[[#This Row],[fecha]]&gt;0,TEXT(BCP_Soles[[#This Row],[fecha]],"mmmm"),0)</f>
        <v>Mayo</v>
      </c>
    </row>
    <row r="1709" spans="1:27" ht="24" x14ac:dyDescent="0.3">
      <c r="A1709" s="2">
        <f>IF(BCP_Soles[[#This Row],[tipo_registro]]="R",COUNTIFS($C$1:$C1708,"R")+1,A1708)</f>
        <v>1280</v>
      </c>
      <c r="B1709" s="19" t="str">
        <f t="shared" si="141"/>
        <v>B-BCP - Soles</v>
      </c>
      <c r="C1709" s="3" t="s">
        <v>1330</v>
      </c>
      <c r="D1709" s="14">
        <v>45791</v>
      </c>
      <c r="E1709" s="5" t="s">
        <v>677</v>
      </c>
      <c r="F1709" s="5" t="s">
        <v>1303</v>
      </c>
      <c r="G1709" s="6" t="s">
        <v>425</v>
      </c>
      <c r="H1709" s="6"/>
      <c r="I1709" s="6"/>
      <c r="J1709" s="6"/>
      <c r="K1709" s="7" t="s">
        <v>1634</v>
      </c>
      <c r="L1709" s="8">
        <v>2553328</v>
      </c>
      <c r="M1709" s="8" t="str">
        <f t="shared" si="142"/>
        <v>PEN</v>
      </c>
      <c r="N1709" s="13"/>
      <c r="O1709" s="13">
        <v>3318.16</v>
      </c>
      <c r="P1709" s="3">
        <f t="shared" si="143"/>
        <v>3318.16</v>
      </c>
      <c r="Q1709" s="3">
        <f t="shared" si="144"/>
        <v>0</v>
      </c>
      <c r="R1709" s="3">
        <f t="shared" si="140"/>
        <v>142625.64000000001</v>
      </c>
      <c r="S1709" s="24" t="s">
        <v>1334</v>
      </c>
      <c r="T1709" s="24" t="s">
        <v>1334</v>
      </c>
      <c r="U1709" s="53"/>
      <c r="V1709" s="25">
        <f>IFERROR(VLOOKUP(BCP_Soles[[#This Row],[destinatario]],CHOOSE({1,2},Clientes_Proveedores[Razon Social],Clientes_Proveedores[Ruc / Dni]),2,0),"")</f>
        <v>20558226979</v>
      </c>
      <c r="W1709" s="25" t="s">
        <v>1345</v>
      </c>
      <c r="X1709" s="25" t="s">
        <v>3038</v>
      </c>
      <c r="Y1709" s="25"/>
      <c r="Z1709" s="75"/>
      <c r="AA1709" s="3" t="str">
        <f>IF(BCP_Soles[[#This Row],[fecha]]&gt;0,TEXT(BCP_Soles[[#This Row],[fecha]],"mmmm"),0)</f>
        <v>Mayo</v>
      </c>
    </row>
    <row r="1710" spans="1:27" ht="24" x14ac:dyDescent="0.3">
      <c r="A1710" s="2">
        <f>IF(BCP_Soles[[#This Row],[tipo_registro]]="R",COUNTIFS($C$1:$C1709,"R")+1,A1709)</f>
        <v>1281</v>
      </c>
      <c r="B1710" s="19" t="str">
        <f t="shared" si="141"/>
        <v>B-BCP - Soles</v>
      </c>
      <c r="C1710" s="3" t="s">
        <v>1330</v>
      </c>
      <c r="D1710" s="14">
        <v>45791</v>
      </c>
      <c r="E1710" s="5" t="s">
        <v>1698</v>
      </c>
      <c r="F1710" s="5" t="s">
        <v>1303</v>
      </c>
      <c r="G1710" s="6" t="s">
        <v>425</v>
      </c>
      <c r="H1710" s="6" t="s">
        <v>143</v>
      </c>
      <c r="I1710" s="6">
        <v>1</v>
      </c>
      <c r="J1710" s="6">
        <v>282025</v>
      </c>
      <c r="K1710" s="7" t="s">
        <v>3039</v>
      </c>
      <c r="L1710" s="8">
        <v>2872326</v>
      </c>
      <c r="M1710" s="8" t="str">
        <f t="shared" si="142"/>
        <v>PEN</v>
      </c>
      <c r="N1710" s="13"/>
      <c r="O1710" s="13">
        <v>143.62</v>
      </c>
      <c r="P1710" s="3">
        <f t="shared" si="143"/>
        <v>143.62</v>
      </c>
      <c r="Q1710" s="3">
        <f t="shared" si="144"/>
        <v>0</v>
      </c>
      <c r="R1710" s="3">
        <f t="shared" si="140"/>
        <v>142769.26</v>
      </c>
      <c r="S1710" s="24" t="s">
        <v>1334</v>
      </c>
      <c r="T1710" s="24" t="s">
        <v>1334</v>
      </c>
      <c r="U1710" s="53"/>
      <c r="V1710" s="25">
        <f>IFERROR(VLOOKUP(BCP_Soles[[#This Row],[destinatario]],CHOOSE({1,2},Clientes_Proveedores[Razon Social],Clientes_Proveedores[Ruc / Dni]),2,0),"")</f>
        <v>20558226979</v>
      </c>
      <c r="W1710" s="25" t="s">
        <v>1345</v>
      </c>
      <c r="X1710" s="25" t="s">
        <v>3040</v>
      </c>
      <c r="Y1710" s="25"/>
      <c r="Z1710" s="75"/>
      <c r="AA1710" s="3" t="str">
        <f>IF(BCP_Soles[[#This Row],[fecha]]&gt;0,TEXT(BCP_Soles[[#This Row],[fecha]],"mmmm"),0)</f>
        <v>Mayo</v>
      </c>
    </row>
    <row r="1711" spans="1:27" ht="24" x14ac:dyDescent="0.3">
      <c r="A1711" s="2">
        <f>IF(BCP_Soles[[#This Row],[tipo_registro]]="R",COUNTIFS($C$1:$C1710,"R")+1,A1710)</f>
        <v>1282</v>
      </c>
      <c r="B1711" s="19" t="str">
        <f t="shared" si="141"/>
        <v>B-BCP - Soles</v>
      </c>
      <c r="C1711" s="3" t="s">
        <v>1330</v>
      </c>
      <c r="D1711" s="14">
        <v>45791</v>
      </c>
      <c r="E1711" s="5" t="s">
        <v>1698</v>
      </c>
      <c r="F1711" s="5" t="s">
        <v>1303</v>
      </c>
      <c r="G1711" s="6" t="s">
        <v>425</v>
      </c>
      <c r="H1711" s="6" t="s">
        <v>143</v>
      </c>
      <c r="I1711" s="6">
        <v>1</v>
      </c>
      <c r="J1711" s="6"/>
      <c r="K1711" s="7" t="s">
        <v>3041</v>
      </c>
      <c r="L1711" s="8">
        <v>2867064</v>
      </c>
      <c r="M1711" s="8" t="str">
        <f t="shared" si="142"/>
        <v>PEN</v>
      </c>
      <c r="N1711" s="13"/>
      <c r="O1711" s="13">
        <v>19</v>
      </c>
      <c r="P1711" s="3">
        <f t="shared" si="143"/>
        <v>19</v>
      </c>
      <c r="Q1711" s="3">
        <f t="shared" si="144"/>
        <v>0</v>
      </c>
      <c r="R1711" s="3">
        <f t="shared" si="140"/>
        <v>142788.26</v>
      </c>
      <c r="S1711" s="24"/>
      <c r="T1711" s="24"/>
      <c r="U1711" s="53"/>
      <c r="V1711" s="25">
        <f>IFERROR(VLOOKUP(BCP_Soles[[#This Row],[destinatario]],CHOOSE({1,2},Clientes_Proveedores[Razon Social],Clientes_Proveedores[Ruc / Dni]),2,0),"")</f>
        <v>20558226979</v>
      </c>
      <c r="W1711" s="25" t="s">
        <v>1345</v>
      </c>
      <c r="X1711" s="25" t="s">
        <v>2694</v>
      </c>
      <c r="Y1711" s="25"/>
      <c r="Z1711" s="75"/>
      <c r="AA1711" s="3" t="str">
        <f>IF(BCP_Soles[[#This Row],[fecha]]&gt;0,TEXT(BCP_Soles[[#This Row],[fecha]],"mmmm"),0)</f>
        <v>Mayo</v>
      </c>
    </row>
    <row r="1712" spans="1:27" x14ac:dyDescent="0.3">
      <c r="A1712" s="2">
        <f>IF(BCP_Soles[[#This Row],[tipo_registro]]="R",COUNTIFS($C$1:$C1711,"R")+1,A1711)</f>
        <v>1283</v>
      </c>
      <c r="B1712" s="19" t="str">
        <f t="shared" si="141"/>
        <v>B-BCP - Soles</v>
      </c>
      <c r="C1712" s="3" t="s">
        <v>1330</v>
      </c>
      <c r="D1712" s="14">
        <v>45791</v>
      </c>
      <c r="E1712" s="5" t="s">
        <v>1335</v>
      </c>
      <c r="F1712" s="5" t="s">
        <v>1336</v>
      </c>
      <c r="G1712" s="6"/>
      <c r="H1712" s="6"/>
      <c r="I1712" s="6"/>
      <c r="J1712" s="6"/>
      <c r="K1712" s="7" t="s">
        <v>1337</v>
      </c>
      <c r="L1712" s="8"/>
      <c r="M1712" s="8" t="str">
        <f t="shared" si="142"/>
        <v>PEN</v>
      </c>
      <c r="N1712" s="13"/>
      <c r="O1712" s="13">
        <v>0.6</v>
      </c>
      <c r="P1712" s="3">
        <f t="shared" si="143"/>
        <v>0</v>
      </c>
      <c r="Q1712" s="3">
        <f t="shared" si="144"/>
        <v>0.6</v>
      </c>
      <c r="R1712" s="3">
        <f t="shared" si="140"/>
        <v>142787.66</v>
      </c>
      <c r="S1712" s="24"/>
      <c r="T1712" s="24" t="s">
        <v>1334</v>
      </c>
      <c r="U1712" s="53"/>
      <c r="V1712" s="25" t="str">
        <f>IFERROR(VLOOKUP(BCP_Soles[[#This Row],[destinatario]],CHOOSE({1,2},Clientes_Proveedores[Razon Social],Clientes_Proveedores[Ruc / Dni]),2,0),"")</f>
        <v/>
      </c>
      <c r="W1712" s="25"/>
      <c r="X1712" s="25"/>
      <c r="Y1712" s="25"/>
      <c r="Z1712" s="75"/>
      <c r="AA1712" s="3" t="str">
        <f>IF(BCP_Soles[[#This Row],[fecha]]&gt;0,TEXT(BCP_Soles[[#This Row],[fecha]],"mmmm"),0)</f>
        <v>Mayo</v>
      </c>
    </row>
    <row r="1713" spans="1:27" ht="24" x14ac:dyDescent="0.3">
      <c r="A1713" s="2">
        <f>IF(BCP_Soles[[#This Row],[tipo_registro]]="R",COUNTIFS($C$1:$C1712,"R")+1,A1712)</f>
        <v>1284</v>
      </c>
      <c r="B1713" s="19" t="str">
        <f t="shared" si="141"/>
        <v>B-BCP - Soles</v>
      </c>
      <c r="C1713" s="3" t="s">
        <v>1330</v>
      </c>
      <c r="D1713" s="14">
        <v>45791</v>
      </c>
      <c r="E1713" s="5" t="s">
        <v>1335</v>
      </c>
      <c r="F1713" s="5" t="s">
        <v>1336</v>
      </c>
      <c r="G1713" s="6" t="s">
        <v>1060</v>
      </c>
      <c r="H1713" s="6" t="s">
        <v>68</v>
      </c>
      <c r="I1713" s="6" t="s">
        <v>1397</v>
      </c>
      <c r="J1713" s="6">
        <v>32464171</v>
      </c>
      <c r="K1713" s="7" t="s">
        <v>3042</v>
      </c>
      <c r="L1713" s="8">
        <v>5454110</v>
      </c>
      <c r="M1713" s="8" t="str">
        <f t="shared" si="142"/>
        <v>PEN</v>
      </c>
      <c r="N1713" s="13"/>
      <c r="O1713" s="13">
        <v>5</v>
      </c>
      <c r="P1713" s="3">
        <f t="shared" si="143"/>
        <v>0</v>
      </c>
      <c r="Q1713" s="3">
        <f t="shared" si="144"/>
        <v>5</v>
      </c>
      <c r="R1713" s="3">
        <f t="shared" si="140"/>
        <v>142782.66</v>
      </c>
      <c r="S1713" s="24" t="s">
        <v>1334</v>
      </c>
      <c r="T1713" s="24" t="s">
        <v>1334</v>
      </c>
      <c r="U1713" s="53"/>
      <c r="V1713" s="25">
        <f>IFERROR(VLOOKUP(BCP_Soles[[#This Row],[destinatario]],CHOOSE({1,2},Clientes_Proveedores[Razon Social],Clientes_Proveedores[Ruc / Dni]),2,0),"")</f>
        <v>20100047218</v>
      </c>
      <c r="W1713" s="25" t="s">
        <v>1335</v>
      </c>
      <c r="X1713" s="25" t="s">
        <v>3043</v>
      </c>
      <c r="Y1713" s="25"/>
      <c r="Z1713" s="75"/>
      <c r="AA1713" s="3" t="str">
        <f>IF(BCP_Soles[[#This Row],[fecha]]&gt;0,TEXT(BCP_Soles[[#This Row],[fecha]],"mmmm"),0)</f>
        <v>Mayo</v>
      </c>
    </row>
    <row r="1714" spans="1:27" x14ac:dyDescent="0.3">
      <c r="A1714" s="2">
        <f>IF(BCP_Soles[[#This Row],[tipo_registro]]="R",COUNTIFS($C$1:$C1713,"R")+1,A1713)</f>
        <v>1285</v>
      </c>
      <c r="B1714" s="19" t="str">
        <f t="shared" si="141"/>
        <v>B-BCP - Soles</v>
      </c>
      <c r="C1714" s="3" t="s">
        <v>1330</v>
      </c>
      <c r="D1714" s="14">
        <v>45791</v>
      </c>
      <c r="E1714" s="5" t="s">
        <v>2269</v>
      </c>
      <c r="F1714" s="5" t="s">
        <v>1336</v>
      </c>
      <c r="G1714" s="6" t="s">
        <v>196</v>
      </c>
      <c r="H1714" s="6" t="s">
        <v>68</v>
      </c>
      <c r="I1714" s="6" t="s">
        <v>2226</v>
      </c>
      <c r="J1714" s="6">
        <v>6324</v>
      </c>
      <c r="K1714" s="7" t="s">
        <v>2227</v>
      </c>
      <c r="L1714" s="8">
        <v>216342</v>
      </c>
      <c r="M1714" s="8" t="str">
        <f t="shared" si="142"/>
        <v>PEN</v>
      </c>
      <c r="N1714" s="13"/>
      <c r="O1714" s="13">
        <v>6.79</v>
      </c>
      <c r="P1714" s="3">
        <f t="shared" si="143"/>
        <v>0</v>
      </c>
      <c r="Q1714" s="3">
        <f t="shared" si="144"/>
        <v>6.79</v>
      </c>
      <c r="R1714" s="3">
        <f t="shared" si="140"/>
        <v>142775.87</v>
      </c>
      <c r="S1714" s="24" t="s">
        <v>1334</v>
      </c>
      <c r="T1714" s="24" t="s">
        <v>1334</v>
      </c>
      <c r="U1714" s="53"/>
      <c r="V1714" s="25">
        <f>IFERROR(VLOOKUP(BCP_Soles[[#This Row],[destinatario]],CHOOSE({1,2},Clientes_Proveedores[Razon Social],Clientes_Proveedores[Ruc / Dni]),2,0),"")</f>
        <v>20100055237</v>
      </c>
      <c r="W1714" s="25" t="s">
        <v>2228</v>
      </c>
      <c r="X1714" s="25" t="s">
        <v>3044</v>
      </c>
      <c r="Y1714" s="25"/>
      <c r="Z1714" s="75"/>
      <c r="AA1714" s="3" t="str">
        <f>IF(BCP_Soles[[#This Row],[fecha]]&gt;0,TEXT(BCP_Soles[[#This Row],[fecha]],"mmmm"),0)</f>
        <v>Mayo</v>
      </c>
    </row>
    <row r="1715" spans="1:27" ht="24" x14ac:dyDescent="0.3">
      <c r="A1715" s="2">
        <f>IF(BCP_Soles[[#This Row],[tipo_registro]]="R",COUNTIFS($C$1:$C1714,"R")+1,A1714)</f>
        <v>1286</v>
      </c>
      <c r="B1715" s="19" t="str">
        <f t="shared" si="141"/>
        <v>B-BCP - Soles</v>
      </c>
      <c r="C1715" s="3" t="s">
        <v>1330</v>
      </c>
      <c r="D1715" s="14">
        <v>45791</v>
      </c>
      <c r="E1715" s="5" t="s">
        <v>2269</v>
      </c>
      <c r="F1715" s="5" t="s">
        <v>1336</v>
      </c>
      <c r="G1715" s="6" t="s">
        <v>704</v>
      </c>
      <c r="H1715" s="6" t="s">
        <v>106</v>
      </c>
      <c r="I1715" s="6" t="s">
        <v>1559</v>
      </c>
      <c r="J1715" s="6">
        <v>727094</v>
      </c>
      <c r="K1715" s="7" t="s">
        <v>1490</v>
      </c>
      <c r="L1715" s="8">
        <v>4216341</v>
      </c>
      <c r="M1715" s="8" t="str">
        <f t="shared" si="142"/>
        <v>PEN</v>
      </c>
      <c r="N1715" s="13"/>
      <c r="O1715" s="13">
        <v>15.3</v>
      </c>
      <c r="P1715" s="3">
        <f t="shared" si="143"/>
        <v>0</v>
      </c>
      <c r="Q1715" s="3">
        <f t="shared" si="144"/>
        <v>15.3</v>
      </c>
      <c r="R1715" s="3">
        <f t="shared" si="140"/>
        <v>142760.57</v>
      </c>
      <c r="S1715" s="24" t="s">
        <v>1334</v>
      </c>
      <c r="T1715" s="24" t="s">
        <v>1334</v>
      </c>
      <c r="U1715" s="53"/>
      <c r="V1715" s="25">
        <f>IFERROR(VLOOKUP(BCP_Soles[[#This Row],[destinatario]],CHOOSE({1,2},Clientes_Proveedores[Razon Social],Clientes_Proveedores[Ruc / Dni]),2,0),"")</f>
        <v>20100152356</v>
      </c>
      <c r="W1715" s="25" t="s">
        <v>704</v>
      </c>
      <c r="X1715" s="25" t="s">
        <v>3045</v>
      </c>
      <c r="Y1715" s="25"/>
      <c r="Z1715" s="75"/>
      <c r="AA1715" s="3" t="str">
        <f>IF(BCP_Soles[[#This Row],[fecha]]&gt;0,TEXT(BCP_Soles[[#This Row],[fecha]],"mmmm"),0)</f>
        <v>Mayo</v>
      </c>
    </row>
    <row r="1716" spans="1:27" ht="24" x14ac:dyDescent="0.3">
      <c r="A1716" s="2">
        <f>IF(BCP_Soles[[#This Row],[tipo_registro]]="R",COUNTIFS($C$1:$C1715,"R")+1,A1715)</f>
        <v>1287</v>
      </c>
      <c r="B1716" s="19" t="str">
        <f t="shared" si="141"/>
        <v>B-BCP - Soles</v>
      </c>
      <c r="C1716" s="3" t="s">
        <v>1330</v>
      </c>
      <c r="D1716" s="14">
        <v>45791</v>
      </c>
      <c r="E1716" s="5" t="s">
        <v>2269</v>
      </c>
      <c r="F1716" s="5" t="s">
        <v>1336</v>
      </c>
      <c r="G1716" s="6" t="s">
        <v>706</v>
      </c>
      <c r="H1716" s="6" t="s">
        <v>106</v>
      </c>
      <c r="I1716" s="6" t="s">
        <v>1489</v>
      </c>
      <c r="J1716" s="6">
        <v>124201</v>
      </c>
      <c r="K1716" s="7" t="s">
        <v>1567</v>
      </c>
      <c r="L1716" s="8">
        <v>4217332</v>
      </c>
      <c r="M1716" s="8" t="str">
        <f t="shared" si="142"/>
        <v>PEN</v>
      </c>
      <c r="N1716" s="13"/>
      <c r="O1716" s="13">
        <v>16.5</v>
      </c>
      <c r="P1716" s="3">
        <f t="shared" si="143"/>
        <v>0</v>
      </c>
      <c r="Q1716" s="3">
        <f t="shared" si="144"/>
        <v>16.5</v>
      </c>
      <c r="R1716" s="3">
        <f t="shared" si="140"/>
        <v>142744.07</v>
      </c>
      <c r="S1716" s="24" t="s">
        <v>1334</v>
      </c>
      <c r="T1716" s="24" t="s">
        <v>1334</v>
      </c>
      <c r="U1716" s="53"/>
      <c r="V1716" s="25">
        <f>IFERROR(VLOOKUP(BCP_Soles[[#This Row],[destinatario]],CHOOSE({1,2},Clientes_Proveedores[Razon Social],Clientes_Proveedores[Ruc / Dni]),2,0),"")</f>
        <v>20331898008</v>
      </c>
      <c r="W1716" s="25" t="s">
        <v>1568</v>
      </c>
      <c r="X1716" s="25" t="s">
        <v>3046</v>
      </c>
      <c r="Y1716" s="25"/>
      <c r="Z1716" s="75"/>
      <c r="AA1716" s="3" t="str">
        <f>IF(BCP_Soles[[#This Row],[fecha]]&gt;0,TEXT(BCP_Soles[[#This Row],[fecha]],"mmmm"),0)</f>
        <v>Mayo</v>
      </c>
    </row>
    <row r="1717" spans="1:27" x14ac:dyDescent="0.3">
      <c r="A1717" s="2">
        <f>IF(BCP_Soles[[#This Row],[tipo_registro]]="R",COUNTIFS($C$1:$C1716,"R")+1,A1716)</f>
        <v>1288</v>
      </c>
      <c r="B1717" s="19" t="str">
        <f t="shared" si="141"/>
        <v>B-BCP - Soles</v>
      </c>
      <c r="C1717" s="3" t="s">
        <v>1330</v>
      </c>
      <c r="D1717" s="14">
        <v>45791</v>
      </c>
      <c r="E1717" s="5" t="s">
        <v>2269</v>
      </c>
      <c r="F1717" s="5" t="s">
        <v>1336</v>
      </c>
      <c r="G1717" s="6" t="s">
        <v>196</v>
      </c>
      <c r="H1717" s="6" t="s">
        <v>68</v>
      </c>
      <c r="I1717" s="6" t="s">
        <v>2226</v>
      </c>
      <c r="J1717" s="6">
        <v>6323</v>
      </c>
      <c r="K1717" s="7" t="s">
        <v>2227</v>
      </c>
      <c r="L1717" s="8">
        <v>217807</v>
      </c>
      <c r="M1717" s="8" t="str">
        <f t="shared" si="142"/>
        <v>PEN</v>
      </c>
      <c r="N1717" s="13"/>
      <c r="O1717" s="13">
        <v>195.1</v>
      </c>
      <c r="P1717" s="3">
        <f t="shared" si="143"/>
        <v>0</v>
      </c>
      <c r="Q1717" s="3">
        <f t="shared" si="144"/>
        <v>195.1</v>
      </c>
      <c r="R1717" s="3">
        <f t="shared" si="140"/>
        <v>142548.97</v>
      </c>
      <c r="S1717" s="24" t="s">
        <v>1334</v>
      </c>
      <c r="T1717" s="24" t="s">
        <v>1334</v>
      </c>
      <c r="U1717" s="53"/>
      <c r="V1717" s="25">
        <f>IFERROR(VLOOKUP(BCP_Soles[[#This Row],[destinatario]],CHOOSE({1,2},Clientes_Proveedores[Razon Social],Clientes_Proveedores[Ruc / Dni]),2,0),"")</f>
        <v>20100055237</v>
      </c>
      <c r="W1717" s="25" t="s">
        <v>2228</v>
      </c>
      <c r="X1717" s="25" t="s">
        <v>3047</v>
      </c>
      <c r="Y1717" s="25"/>
      <c r="Z1717" s="75"/>
      <c r="AA1717" s="3" t="str">
        <f>IF(BCP_Soles[[#This Row],[fecha]]&gt;0,TEXT(BCP_Soles[[#This Row],[fecha]],"mmmm"),0)</f>
        <v>Mayo</v>
      </c>
    </row>
    <row r="1718" spans="1:27" x14ac:dyDescent="0.3">
      <c r="A1718" s="2">
        <f>IF(BCP_Soles[[#This Row],[tipo_registro]]="R",COUNTIFS($C$1:$C1717,"R")+1,A1717)</f>
        <v>1289</v>
      </c>
      <c r="B1718" s="19" t="str">
        <f t="shared" si="141"/>
        <v>B-BCP - Soles</v>
      </c>
      <c r="C1718" s="3" t="s">
        <v>1330</v>
      </c>
      <c r="D1718" s="14">
        <v>45791</v>
      </c>
      <c r="E1718" s="5" t="s">
        <v>2269</v>
      </c>
      <c r="F1718" s="5" t="s">
        <v>1336</v>
      </c>
      <c r="G1718" s="6" t="s">
        <v>196</v>
      </c>
      <c r="H1718" s="6" t="s">
        <v>68</v>
      </c>
      <c r="I1718" s="6" t="s">
        <v>2226</v>
      </c>
      <c r="J1718" s="6">
        <v>6321</v>
      </c>
      <c r="K1718" s="7" t="s">
        <v>2227</v>
      </c>
      <c r="L1718" s="8">
        <v>219290</v>
      </c>
      <c r="M1718" s="8" t="str">
        <f t="shared" si="142"/>
        <v>PEN</v>
      </c>
      <c r="N1718" s="13"/>
      <c r="O1718" s="13">
        <v>238.37</v>
      </c>
      <c r="P1718" s="3">
        <f t="shared" si="143"/>
        <v>0</v>
      </c>
      <c r="Q1718" s="3">
        <f t="shared" si="144"/>
        <v>238.37</v>
      </c>
      <c r="R1718" s="3">
        <f t="shared" si="140"/>
        <v>142310.6</v>
      </c>
      <c r="S1718" s="24" t="s">
        <v>1334</v>
      </c>
      <c r="T1718" s="24" t="s">
        <v>1334</v>
      </c>
      <c r="U1718" s="53"/>
      <c r="V1718" s="25">
        <f>IFERROR(VLOOKUP(BCP_Soles[[#This Row],[destinatario]],CHOOSE({1,2},Clientes_Proveedores[Razon Social],Clientes_Proveedores[Ruc / Dni]),2,0),"")</f>
        <v>20100055237</v>
      </c>
      <c r="W1718" s="25" t="s">
        <v>2228</v>
      </c>
      <c r="X1718" s="25" t="s">
        <v>3048</v>
      </c>
      <c r="Y1718" s="25"/>
      <c r="Z1718" s="75"/>
      <c r="AA1718" s="3" t="str">
        <f>IF(BCP_Soles[[#This Row],[fecha]]&gt;0,TEXT(BCP_Soles[[#This Row],[fecha]],"mmmm"),0)</f>
        <v>Mayo</v>
      </c>
    </row>
    <row r="1719" spans="1:27" x14ac:dyDescent="0.3">
      <c r="A1719" s="2">
        <f>IF(BCP_Soles[[#This Row],[tipo_registro]]="R",COUNTIFS($C$1:$C1718,"R")+1,A1718)</f>
        <v>1290</v>
      </c>
      <c r="B1719" s="19" t="str">
        <f t="shared" si="141"/>
        <v>B-BCP - Soles</v>
      </c>
      <c r="C1719" s="3" t="s">
        <v>1330</v>
      </c>
      <c r="D1719" s="14">
        <v>45791</v>
      </c>
      <c r="E1719" s="5" t="s">
        <v>2269</v>
      </c>
      <c r="F1719" s="5" t="s">
        <v>1336</v>
      </c>
      <c r="G1719" s="6" t="s">
        <v>196</v>
      </c>
      <c r="H1719" s="6" t="s">
        <v>68</v>
      </c>
      <c r="I1719" s="6" t="s">
        <v>2226</v>
      </c>
      <c r="J1719" s="6">
        <v>6325</v>
      </c>
      <c r="K1719" s="7" t="s">
        <v>2227</v>
      </c>
      <c r="L1719" s="8">
        <v>216845</v>
      </c>
      <c r="M1719" s="8" t="str">
        <f t="shared" si="142"/>
        <v>PEN</v>
      </c>
      <c r="N1719" s="13"/>
      <c r="O1719" s="13">
        <v>258.44</v>
      </c>
      <c r="P1719" s="3">
        <f t="shared" si="143"/>
        <v>0</v>
      </c>
      <c r="Q1719" s="3">
        <f t="shared" si="144"/>
        <v>258.44</v>
      </c>
      <c r="R1719" s="3">
        <f t="shared" si="140"/>
        <v>142052.16</v>
      </c>
      <c r="S1719" s="24" t="s">
        <v>1334</v>
      </c>
      <c r="T1719" s="24" t="s">
        <v>1334</v>
      </c>
      <c r="U1719" s="53"/>
      <c r="V1719" s="25">
        <f>IFERROR(VLOOKUP(BCP_Soles[[#This Row],[destinatario]],CHOOSE({1,2},Clientes_Proveedores[Razon Social],Clientes_Proveedores[Ruc / Dni]),2,0),"")</f>
        <v>20100055237</v>
      </c>
      <c r="W1719" s="25" t="s">
        <v>2228</v>
      </c>
      <c r="X1719" s="25" t="s">
        <v>3049</v>
      </c>
      <c r="Y1719" s="25"/>
      <c r="Z1719" s="75"/>
      <c r="AA1719" s="3" t="str">
        <f>IF(BCP_Soles[[#This Row],[fecha]]&gt;0,TEXT(BCP_Soles[[#This Row],[fecha]],"mmmm"),0)</f>
        <v>Mayo</v>
      </c>
    </row>
    <row r="1720" spans="1:27" x14ac:dyDescent="0.3">
      <c r="A1720" s="2">
        <f>IF(BCP_Soles[[#This Row],[tipo_registro]]="R",COUNTIFS($C$1:$C1719,"R")+1,A1719)</f>
        <v>1291</v>
      </c>
      <c r="B1720" s="19" t="str">
        <f t="shared" si="141"/>
        <v>B-BCP - Soles</v>
      </c>
      <c r="C1720" s="3" t="s">
        <v>1330</v>
      </c>
      <c r="D1720" s="14">
        <v>45791</v>
      </c>
      <c r="E1720" s="5" t="s">
        <v>2269</v>
      </c>
      <c r="F1720" s="5" t="s">
        <v>1336</v>
      </c>
      <c r="G1720" s="6" t="s">
        <v>196</v>
      </c>
      <c r="H1720" s="6" t="s">
        <v>68</v>
      </c>
      <c r="I1720" s="6" t="s">
        <v>2226</v>
      </c>
      <c r="J1720" s="6">
        <v>6322</v>
      </c>
      <c r="K1720" s="7" t="s">
        <v>2227</v>
      </c>
      <c r="L1720" s="8">
        <v>219790</v>
      </c>
      <c r="M1720" s="8" t="str">
        <f t="shared" si="142"/>
        <v>PEN</v>
      </c>
      <c r="N1720" s="13"/>
      <c r="O1720" s="13">
        <v>370.42</v>
      </c>
      <c r="P1720" s="3">
        <f t="shared" si="143"/>
        <v>0</v>
      </c>
      <c r="Q1720" s="3">
        <f t="shared" si="144"/>
        <v>370.42</v>
      </c>
      <c r="R1720" s="3">
        <f t="shared" si="140"/>
        <v>141681.74</v>
      </c>
      <c r="S1720" s="24" t="s">
        <v>1334</v>
      </c>
      <c r="T1720" s="24" t="s">
        <v>1334</v>
      </c>
      <c r="U1720" s="53"/>
      <c r="V1720" s="25">
        <f>IFERROR(VLOOKUP(BCP_Soles[[#This Row],[destinatario]],CHOOSE({1,2},Clientes_Proveedores[Razon Social],Clientes_Proveedores[Ruc / Dni]),2,0),"")</f>
        <v>20100055237</v>
      </c>
      <c r="W1720" s="25" t="s">
        <v>2228</v>
      </c>
      <c r="X1720" s="25" t="s">
        <v>3050</v>
      </c>
      <c r="Y1720" s="25"/>
      <c r="Z1720" s="75"/>
      <c r="AA1720" s="3" t="str">
        <f>IF(BCP_Soles[[#This Row],[fecha]]&gt;0,TEXT(BCP_Soles[[#This Row],[fecha]],"mmmm"),0)</f>
        <v>Mayo</v>
      </c>
    </row>
    <row r="1721" spans="1:27" x14ac:dyDescent="0.3">
      <c r="A1721" s="2">
        <f>IF(BCP_Soles[[#This Row],[tipo_registro]]="R",COUNTIFS($C$1:$C1720,"R")+1,A1720)</f>
        <v>1292</v>
      </c>
      <c r="B1721" s="19" t="str">
        <f t="shared" si="141"/>
        <v>B-BCP - Soles</v>
      </c>
      <c r="C1721" s="3" t="s">
        <v>1330</v>
      </c>
      <c r="D1721" s="14">
        <v>45791</v>
      </c>
      <c r="E1721" s="5" t="s">
        <v>2269</v>
      </c>
      <c r="F1721" s="5" t="s">
        <v>1336</v>
      </c>
      <c r="G1721" s="6" t="s">
        <v>196</v>
      </c>
      <c r="H1721" s="6" t="s">
        <v>68</v>
      </c>
      <c r="I1721" s="6" t="s">
        <v>2226</v>
      </c>
      <c r="J1721" s="6">
        <v>6327</v>
      </c>
      <c r="K1721" s="7" t="s">
        <v>2227</v>
      </c>
      <c r="L1721" s="8">
        <v>216842</v>
      </c>
      <c r="M1721" s="8" t="str">
        <f t="shared" si="142"/>
        <v>PEN</v>
      </c>
      <c r="N1721" s="13"/>
      <c r="O1721" s="13">
        <v>409.44</v>
      </c>
      <c r="P1721" s="3">
        <f t="shared" si="143"/>
        <v>0</v>
      </c>
      <c r="Q1721" s="3">
        <f t="shared" si="144"/>
        <v>409.44</v>
      </c>
      <c r="R1721" s="3">
        <f t="shared" si="140"/>
        <v>141272.29999999999</v>
      </c>
      <c r="S1721" s="24" t="s">
        <v>1334</v>
      </c>
      <c r="T1721" s="24" t="s">
        <v>1334</v>
      </c>
      <c r="U1721" s="53"/>
      <c r="V1721" s="25">
        <f>IFERROR(VLOOKUP(BCP_Soles[[#This Row],[destinatario]],CHOOSE({1,2},Clientes_Proveedores[Razon Social],Clientes_Proveedores[Ruc / Dni]),2,0),"")</f>
        <v>20100055237</v>
      </c>
      <c r="W1721" s="25" t="s">
        <v>2228</v>
      </c>
      <c r="X1721" s="25" t="s">
        <v>3051</v>
      </c>
      <c r="Y1721" s="25"/>
      <c r="Z1721" s="75"/>
      <c r="AA1721" s="3" t="str">
        <f>IF(BCP_Soles[[#This Row],[fecha]]&gt;0,TEXT(BCP_Soles[[#This Row],[fecha]],"mmmm"),0)</f>
        <v>Mayo</v>
      </c>
    </row>
    <row r="1722" spans="1:27" x14ac:dyDescent="0.3">
      <c r="A1722" s="2">
        <f>IF(BCP_Soles[[#This Row],[tipo_registro]]="R",COUNTIFS($C$1:$C1721,"R")+1,A1721)</f>
        <v>1293</v>
      </c>
      <c r="B1722" s="19" t="str">
        <f t="shared" si="141"/>
        <v>B-BCP - Soles</v>
      </c>
      <c r="C1722" s="3" t="s">
        <v>1330</v>
      </c>
      <c r="D1722" s="14">
        <v>45791</v>
      </c>
      <c r="E1722" s="5" t="s">
        <v>2269</v>
      </c>
      <c r="F1722" s="5" t="s">
        <v>1336</v>
      </c>
      <c r="G1722" s="6" t="s">
        <v>196</v>
      </c>
      <c r="H1722" s="6" t="s">
        <v>68</v>
      </c>
      <c r="I1722" s="6" t="s">
        <v>2226</v>
      </c>
      <c r="J1722" s="6">
        <v>6328</v>
      </c>
      <c r="K1722" s="7" t="s">
        <v>2227</v>
      </c>
      <c r="L1722" s="8">
        <v>219784</v>
      </c>
      <c r="M1722" s="8" t="str">
        <f t="shared" si="142"/>
        <v>PEN</v>
      </c>
      <c r="N1722" s="13"/>
      <c r="O1722" s="13">
        <v>497.28</v>
      </c>
      <c r="P1722" s="3">
        <f t="shared" si="143"/>
        <v>0</v>
      </c>
      <c r="Q1722" s="3">
        <f t="shared" si="144"/>
        <v>497.28</v>
      </c>
      <c r="R1722" s="3">
        <f t="shared" si="140"/>
        <v>140775.01999999999</v>
      </c>
      <c r="S1722" s="24" t="s">
        <v>1334</v>
      </c>
      <c r="T1722" s="24" t="s">
        <v>1334</v>
      </c>
      <c r="U1722" s="53"/>
      <c r="V1722" s="25">
        <f>IFERROR(VLOOKUP(BCP_Soles[[#This Row],[destinatario]],CHOOSE({1,2},Clientes_Proveedores[Razon Social],Clientes_Proveedores[Ruc / Dni]),2,0),"")</f>
        <v>20100055237</v>
      </c>
      <c r="W1722" s="25" t="s">
        <v>2228</v>
      </c>
      <c r="X1722" s="25" t="s">
        <v>3052</v>
      </c>
      <c r="Y1722" s="25"/>
      <c r="Z1722" s="75"/>
      <c r="AA1722" s="3" t="str">
        <f>IF(BCP_Soles[[#This Row],[fecha]]&gt;0,TEXT(BCP_Soles[[#This Row],[fecha]],"mmmm"),0)</f>
        <v>Mayo</v>
      </c>
    </row>
    <row r="1723" spans="1:27" x14ac:dyDescent="0.3">
      <c r="A1723" s="2">
        <f>IF(BCP_Soles[[#This Row],[tipo_registro]]="R",COUNTIFS($C$1:$C1722,"R")+1,A1722)</f>
        <v>1294</v>
      </c>
      <c r="B1723" s="19" t="str">
        <f t="shared" si="141"/>
        <v>B-BCP - Soles</v>
      </c>
      <c r="C1723" s="3" t="s">
        <v>1330</v>
      </c>
      <c r="D1723" s="14">
        <v>45791</v>
      </c>
      <c r="E1723" s="5" t="s">
        <v>2269</v>
      </c>
      <c r="F1723" s="5" t="s">
        <v>1336</v>
      </c>
      <c r="G1723" s="6" t="s">
        <v>196</v>
      </c>
      <c r="H1723" s="6" t="s">
        <v>68</v>
      </c>
      <c r="I1723" s="6" t="s">
        <v>2226</v>
      </c>
      <c r="J1723" s="6">
        <v>6326</v>
      </c>
      <c r="K1723" s="7" t="s">
        <v>2227</v>
      </c>
      <c r="L1723" s="8">
        <v>216343</v>
      </c>
      <c r="M1723" s="8" t="str">
        <f t="shared" si="142"/>
        <v>PEN</v>
      </c>
      <c r="N1723" s="13"/>
      <c r="O1723" s="13">
        <v>898.28</v>
      </c>
      <c r="P1723" s="3">
        <f t="shared" si="143"/>
        <v>0</v>
      </c>
      <c r="Q1723" s="3">
        <f t="shared" si="144"/>
        <v>898.28</v>
      </c>
      <c r="R1723" s="3">
        <f t="shared" si="140"/>
        <v>139876.74</v>
      </c>
      <c r="S1723" s="24" t="s">
        <v>1334</v>
      </c>
      <c r="T1723" s="24" t="s">
        <v>1334</v>
      </c>
      <c r="U1723" s="53"/>
      <c r="V1723" s="25">
        <f>IFERROR(VLOOKUP(BCP_Soles[[#This Row],[destinatario]],CHOOSE({1,2},Clientes_Proveedores[Razon Social],Clientes_Proveedores[Ruc / Dni]),2,0),"")</f>
        <v>20100055237</v>
      </c>
      <c r="W1723" s="25" t="s">
        <v>2228</v>
      </c>
      <c r="X1723" s="25" t="s">
        <v>3053</v>
      </c>
      <c r="Y1723" s="25"/>
      <c r="Z1723" s="75"/>
      <c r="AA1723" s="3" t="str">
        <f>IF(BCP_Soles[[#This Row],[fecha]]&gt;0,TEXT(BCP_Soles[[#This Row],[fecha]],"mmmm"),0)</f>
        <v>Mayo</v>
      </c>
    </row>
    <row r="1724" spans="1:27" ht="24" x14ac:dyDescent="0.3">
      <c r="A1724" s="2">
        <f>IF(BCP_Soles[[#This Row],[tipo_registro]]="R",COUNTIFS($C$1:$C1723,"R")+1,A1723)</f>
        <v>1295</v>
      </c>
      <c r="B1724" s="19" t="str">
        <f t="shared" si="141"/>
        <v>B-BCP - Soles</v>
      </c>
      <c r="C1724" s="3" t="s">
        <v>1330</v>
      </c>
      <c r="D1724" s="14">
        <v>45791</v>
      </c>
      <c r="E1724" s="5" t="s">
        <v>2269</v>
      </c>
      <c r="F1724" s="5" t="s">
        <v>1336</v>
      </c>
      <c r="G1724" s="6" t="s">
        <v>708</v>
      </c>
      <c r="H1724" s="6"/>
      <c r="I1724" s="6"/>
      <c r="J1724" s="6"/>
      <c r="K1724" s="7" t="s">
        <v>1659</v>
      </c>
      <c r="L1724" s="8">
        <v>218289</v>
      </c>
      <c r="M1724" s="8" t="str">
        <f t="shared" si="142"/>
        <v>PEN</v>
      </c>
      <c r="N1724" s="13"/>
      <c r="O1724" s="13">
        <v>1458.57</v>
      </c>
      <c r="P1724" s="3">
        <f t="shared" si="143"/>
        <v>0</v>
      </c>
      <c r="Q1724" s="3">
        <f t="shared" si="144"/>
        <v>1458.57</v>
      </c>
      <c r="R1724" s="3">
        <f t="shared" si="140"/>
        <v>138418.16999999998</v>
      </c>
      <c r="S1724" s="24" t="s">
        <v>1334</v>
      </c>
      <c r="T1724" s="24" t="s">
        <v>1334</v>
      </c>
      <c r="U1724" s="53"/>
      <c r="V1724" s="25">
        <f>IFERROR(VLOOKUP(BCP_Soles[[#This Row],[destinatario]],CHOOSE({1,2},Clientes_Proveedores[Razon Social],Clientes_Proveedores[Ruc / Dni]),2,0),"")</f>
        <v>20467534026</v>
      </c>
      <c r="W1724" s="25" t="s">
        <v>1657</v>
      </c>
      <c r="X1724" s="25" t="s">
        <v>3054</v>
      </c>
      <c r="Y1724" s="25"/>
      <c r="Z1724" s="75"/>
      <c r="AA1724" s="3" t="str">
        <f>IF(BCP_Soles[[#This Row],[fecha]]&gt;0,TEXT(BCP_Soles[[#This Row],[fecha]],"mmmm"),0)</f>
        <v>Mayo</v>
      </c>
    </row>
    <row r="1725" spans="1:27" ht="24" x14ac:dyDescent="0.3">
      <c r="A1725" s="2">
        <f>IF(BCP_Soles[[#This Row],[tipo_registro]]="R",COUNTIFS($C$1:$C1724,"R")+1,A1724)</f>
        <v>1295</v>
      </c>
      <c r="B1725" s="19" t="str">
        <f>"B-BCP - Soles"</f>
        <v>B-BCP - Soles</v>
      </c>
      <c r="C1725" s="3" t="s">
        <v>1352</v>
      </c>
      <c r="D1725" s="14">
        <v>45791</v>
      </c>
      <c r="E1725" s="5" t="s">
        <v>2269</v>
      </c>
      <c r="F1725" s="5" t="s">
        <v>1336</v>
      </c>
      <c r="G1725" s="6" t="s">
        <v>708</v>
      </c>
      <c r="H1725" s="6" t="s">
        <v>106</v>
      </c>
      <c r="I1725" s="6" t="s">
        <v>1661</v>
      </c>
      <c r="J1725" s="6">
        <v>539540161</v>
      </c>
      <c r="K1725" s="7" t="s">
        <v>1659</v>
      </c>
      <c r="L1725" s="8">
        <v>218289</v>
      </c>
      <c r="M1725" s="8" t="str">
        <f>"PEN"</f>
        <v>PEN</v>
      </c>
      <c r="N1725" s="13">
        <v>1151.3499999999999</v>
      </c>
      <c r="O1725" s="13"/>
      <c r="P1725" s="3">
        <f>+IF(OR($F1725="SALDO",$F1725="INGRESO"),$O1725,0)</f>
        <v>0</v>
      </c>
      <c r="Q1725" s="3">
        <f>+IF($F1725="EGRESO",$O1725,0)</f>
        <v>0</v>
      </c>
      <c r="R1725" s="3">
        <f t="shared" si="140"/>
        <v>138418.16999999998</v>
      </c>
      <c r="S1725" s="24" t="s">
        <v>1334</v>
      </c>
      <c r="T1725" s="24" t="s">
        <v>1334</v>
      </c>
      <c r="U1725" s="53"/>
      <c r="V1725" s="25">
        <f>IFERROR(VLOOKUP(BCP_Soles[[#This Row],[destinatario]],CHOOSE({1,2},Clientes_Proveedores[Razon Social],Clientes_Proveedores[Ruc / Dni]),2,0),"")</f>
        <v>20467534026</v>
      </c>
      <c r="W1725" s="25"/>
      <c r="X1725" s="25"/>
      <c r="Y1725" s="25"/>
      <c r="Z1725" s="75"/>
      <c r="AA1725" s="3" t="str">
        <f>IF(BCP_Soles[[#This Row],[fecha]]&gt;0,TEXT(BCP_Soles[[#This Row],[fecha]],"mmmm"),0)</f>
        <v>Mayo</v>
      </c>
    </row>
    <row r="1726" spans="1:27" ht="24" x14ac:dyDescent="0.3">
      <c r="A1726" s="2">
        <f>IF(BCP_Soles[[#This Row],[tipo_registro]]="R",COUNTIFS($C$1:$C1725,"R")+1,A1725)</f>
        <v>1295</v>
      </c>
      <c r="B1726" s="19" t="str">
        <f>"B-BCP - Soles"</f>
        <v>B-BCP - Soles</v>
      </c>
      <c r="C1726" s="3" t="s">
        <v>1352</v>
      </c>
      <c r="D1726" s="14">
        <v>45791</v>
      </c>
      <c r="E1726" s="5" t="s">
        <v>2269</v>
      </c>
      <c r="F1726" s="5" t="s">
        <v>1336</v>
      </c>
      <c r="G1726" s="6" t="s">
        <v>708</v>
      </c>
      <c r="H1726" s="6" t="s">
        <v>68</v>
      </c>
      <c r="I1726" s="6" t="s">
        <v>1662</v>
      </c>
      <c r="J1726" s="6">
        <v>88790</v>
      </c>
      <c r="K1726" s="7" t="s">
        <v>3055</v>
      </c>
      <c r="L1726" s="8">
        <v>218289</v>
      </c>
      <c r="M1726" s="8" t="str">
        <f>"PEN"</f>
        <v>PEN</v>
      </c>
      <c r="N1726" s="13">
        <v>293.22000000000003</v>
      </c>
      <c r="O1726" s="13"/>
      <c r="P1726" s="3">
        <f>+IF(OR($F1726="SALDO",$F1726="INGRESO"),$O1726,0)</f>
        <v>0</v>
      </c>
      <c r="Q1726" s="3">
        <f>+IF($F1726="EGRESO",$O1726,0)</f>
        <v>0</v>
      </c>
      <c r="R1726" s="3">
        <f t="shared" si="140"/>
        <v>138418.16999999998</v>
      </c>
      <c r="S1726" s="24" t="s">
        <v>1334</v>
      </c>
      <c r="T1726" s="24" t="s">
        <v>1334</v>
      </c>
      <c r="U1726" s="53"/>
      <c r="V1726" s="25">
        <f>IFERROR(VLOOKUP(BCP_Soles[[#This Row],[destinatario]],CHOOSE({1,2},Clientes_Proveedores[Razon Social],Clientes_Proveedores[Ruc / Dni]),2,0),"")</f>
        <v>20467534026</v>
      </c>
      <c r="W1726" s="25"/>
      <c r="X1726" s="25"/>
      <c r="Y1726" s="25"/>
      <c r="Z1726" s="75"/>
      <c r="AA1726" s="3" t="str">
        <f>IF(BCP_Soles[[#This Row],[fecha]]&gt;0,TEXT(BCP_Soles[[#This Row],[fecha]],"mmmm"),0)</f>
        <v>Mayo</v>
      </c>
    </row>
    <row r="1727" spans="1:27" ht="24" x14ac:dyDescent="0.3">
      <c r="A1727" s="2">
        <f>IF(BCP_Soles[[#This Row],[tipo_registro]]="R",COUNTIFS($C$1:$C1726,"R")+1,A1726)</f>
        <v>1295</v>
      </c>
      <c r="B1727" s="19" t="str">
        <f>"B-BCP - Soles"</f>
        <v>B-BCP - Soles</v>
      </c>
      <c r="C1727" s="3" t="s">
        <v>1352</v>
      </c>
      <c r="D1727" s="14">
        <v>45791</v>
      </c>
      <c r="E1727" s="5" t="s">
        <v>2269</v>
      </c>
      <c r="F1727" s="5" t="s">
        <v>1336</v>
      </c>
      <c r="G1727" s="6" t="s">
        <v>708</v>
      </c>
      <c r="H1727" s="6" t="s">
        <v>68</v>
      </c>
      <c r="I1727" s="6" t="s">
        <v>1662</v>
      </c>
      <c r="J1727" s="6">
        <v>90949</v>
      </c>
      <c r="K1727" s="7" t="s">
        <v>1659</v>
      </c>
      <c r="L1727" s="8">
        <v>218289</v>
      </c>
      <c r="M1727" s="8" t="str">
        <f>"PEN"</f>
        <v>PEN</v>
      </c>
      <c r="N1727" s="13">
        <v>14</v>
      </c>
      <c r="O1727" s="13"/>
      <c r="P1727" s="3">
        <f>+IF(OR($F1727="SALDO",$F1727="INGRESO"),$O1727,0)</f>
        <v>0</v>
      </c>
      <c r="Q1727" s="3">
        <f>+IF($F1727="EGRESO",$O1727,0)</f>
        <v>0</v>
      </c>
      <c r="R1727" s="3">
        <f t="shared" si="140"/>
        <v>138418.16999999998</v>
      </c>
      <c r="S1727" s="24" t="s">
        <v>1334</v>
      </c>
      <c r="T1727" s="24" t="s">
        <v>1334</v>
      </c>
      <c r="U1727" s="53"/>
      <c r="V1727" s="25">
        <f>IFERROR(VLOOKUP(BCP_Soles[[#This Row],[destinatario]],CHOOSE({1,2},Clientes_Proveedores[Razon Social],Clientes_Proveedores[Ruc / Dni]),2,0),"")</f>
        <v>20467534026</v>
      </c>
      <c r="W1727" s="25"/>
      <c r="X1727" s="25"/>
      <c r="Y1727" s="25"/>
      <c r="Z1727" s="75"/>
      <c r="AA1727" s="3" t="str">
        <f>IF(BCP_Soles[[#This Row],[fecha]]&gt;0,TEXT(BCP_Soles[[#This Row],[fecha]],"mmmm"),0)</f>
        <v>Mayo</v>
      </c>
    </row>
    <row r="1728" spans="1:27" ht="24" x14ac:dyDescent="0.3">
      <c r="A1728" s="2">
        <f>IF(BCP_Soles[[#This Row],[tipo_registro]]="R",COUNTIFS($C$1:$C1727,"R")+1,A1727)</f>
        <v>1296</v>
      </c>
      <c r="B1728" s="19" t="str">
        <f t="shared" si="141"/>
        <v>B-BCP - Soles</v>
      </c>
      <c r="C1728" s="3" t="s">
        <v>1330</v>
      </c>
      <c r="D1728" s="14">
        <v>45791</v>
      </c>
      <c r="E1728" s="5" t="s">
        <v>2269</v>
      </c>
      <c r="F1728" s="5" t="s">
        <v>1336</v>
      </c>
      <c r="G1728" s="6" t="s">
        <v>696</v>
      </c>
      <c r="H1728" s="6"/>
      <c r="I1728" s="6"/>
      <c r="J1728" s="6"/>
      <c r="K1728" s="7" t="s">
        <v>3056</v>
      </c>
      <c r="L1728" s="8">
        <v>5454095</v>
      </c>
      <c r="M1728" s="8" t="str">
        <f t="shared" si="142"/>
        <v>PEN</v>
      </c>
      <c r="N1728" s="13"/>
      <c r="O1728" s="13">
        <v>8047.97</v>
      </c>
      <c r="P1728" s="3">
        <f t="shared" si="143"/>
        <v>0</v>
      </c>
      <c r="Q1728" s="3">
        <f t="shared" si="144"/>
        <v>8047.97</v>
      </c>
      <c r="R1728" s="3">
        <f t="shared" si="140"/>
        <v>130370.19999999998</v>
      </c>
      <c r="S1728" s="24" t="s">
        <v>1334</v>
      </c>
      <c r="T1728" s="24" t="s">
        <v>2404</v>
      </c>
      <c r="U1728" s="53"/>
      <c r="V1728" s="25">
        <f>IFERROR(VLOOKUP(BCP_Soles[[#This Row],[destinatario]],CHOOSE({1,2},Clientes_Proveedores[Razon Social],Clientes_Proveedores[Ruc / Dni]),2,0),"")</f>
        <v>0</v>
      </c>
      <c r="W1728" s="25" t="s">
        <v>1373</v>
      </c>
      <c r="X1728" s="25"/>
      <c r="Y1728" s="25"/>
      <c r="Z1728" s="75"/>
      <c r="AA1728" s="3" t="str">
        <f>IF(BCP_Soles[[#This Row],[fecha]]&gt;0,TEXT(BCP_Soles[[#This Row],[fecha]],"mmmm"),0)</f>
        <v>Mayo</v>
      </c>
    </row>
    <row r="1729" spans="1:27" ht="24" x14ac:dyDescent="0.3">
      <c r="A1729" s="2">
        <f>IF(BCP_Soles[[#This Row],[tipo_registro]]="R",COUNTIFS($C$1:$C1728,"R")+1,A1728)</f>
        <v>1296</v>
      </c>
      <c r="B1729" s="19" t="str">
        <f t="shared" si="141"/>
        <v>B-BCP - Soles</v>
      </c>
      <c r="C1729" s="3" t="s">
        <v>1352</v>
      </c>
      <c r="D1729" s="14">
        <v>45791</v>
      </c>
      <c r="E1729" s="5" t="s">
        <v>2269</v>
      </c>
      <c r="F1729" s="5"/>
      <c r="G1729" s="6" t="s">
        <v>594</v>
      </c>
      <c r="H1729" s="6" t="s">
        <v>68</v>
      </c>
      <c r="I1729" s="6" t="s">
        <v>1376</v>
      </c>
      <c r="J1729" s="6">
        <v>2151</v>
      </c>
      <c r="K1729" s="7" t="s">
        <v>3056</v>
      </c>
      <c r="L1729" s="8">
        <v>5454095</v>
      </c>
      <c r="M1729" s="8" t="str">
        <f t="shared" si="142"/>
        <v>PEN</v>
      </c>
      <c r="N1729" s="13">
        <v>70.8</v>
      </c>
      <c r="O1729" s="13"/>
      <c r="P1729" s="3">
        <f t="shared" si="143"/>
        <v>0</v>
      </c>
      <c r="Q1729" s="3">
        <f t="shared" si="144"/>
        <v>0</v>
      </c>
      <c r="R1729" s="3">
        <f t="shared" si="140"/>
        <v>130370.19999999998</v>
      </c>
      <c r="S1729" s="24"/>
      <c r="T1729" s="24"/>
      <c r="U1729" s="53"/>
      <c r="V1729" s="25">
        <f>IFERROR(VLOOKUP(BCP_Soles[[#This Row],[destinatario]],CHOOSE({1,2},Clientes_Proveedores[Razon Social],Clientes_Proveedores[Ruc / Dni]),2,0),"")</f>
        <v>20609764261</v>
      </c>
      <c r="W1729" s="25"/>
      <c r="X1729" s="25"/>
      <c r="Y1729" s="25"/>
      <c r="Z1729" s="75"/>
      <c r="AA1729" s="3" t="str">
        <f>IF(BCP_Soles[[#This Row],[fecha]]&gt;0,TEXT(BCP_Soles[[#This Row],[fecha]],"mmmm"),0)</f>
        <v>Mayo</v>
      </c>
    </row>
    <row r="1730" spans="1:27" ht="24" x14ac:dyDescent="0.3">
      <c r="A1730" s="2">
        <f>IF(BCP_Soles[[#This Row],[tipo_registro]]="R",COUNTIFS($C$1:$C1729,"R")+1,A1729)</f>
        <v>1296</v>
      </c>
      <c r="B1730" s="19" t="str">
        <f t="shared" si="141"/>
        <v>B-BCP - Soles</v>
      </c>
      <c r="C1730" s="3" t="s">
        <v>1352</v>
      </c>
      <c r="D1730" s="14">
        <v>45791</v>
      </c>
      <c r="E1730" s="5" t="s">
        <v>2269</v>
      </c>
      <c r="F1730" s="5"/>
      <c r="G1730" s="6" t="s">
        <v>667</v>
      </c>
      <c r="H1730" s="6" t="s">
        <v>68</v>
      </c>
      <c r="I1730" s="6" t="s">
        <v>1376</v>
      </c>
      <c r="J1730" s="6">
        <v>25</v>
      </c>
      <c r="K1730" s="7" t="s">
        <v>3056</v>
      </c>
      <c r="L1730" s="8">
        <v>5454095</v>
      </c>
      <c r="M1730" s="8" t="str">
        <f t="shared" si="142"/>
        <v>PEN</v>
      </c>
      <c r="N1730" s="13">
        <v>510</v>
      </c>
      <c r="O1730" s="13"/>
      <c r="P1730" s="3">
        <f t="shared" si="143"/>
        <v>0</v>
      </c>
      <c r="Q1730" s="3">
        <f t="shared" si="144"/>
        <v>0</v>
      </c>
      <c r="R1730" s="3">
        <f t="shared" si="140"/>
        <v>130370.19999999998</v>
      </c>
      <c r="S1730" s="24"/>
      <c r="T1730" s="24"/>
      <c r="U1730" s="53"/>
      <c r="V1730" s="25">
        <f>IFERROR(VLOOKUP(BCP_Soles[[#This Row],[destinatario]],CHOOSE({1,2},Clientes_Proveedores[Razon Social],Clientes_Proveedores[Ruc / Dni]),2,0),"")</f>
        <v>10410687491</v>
      </c>
      <c r="W1730" s="25"/>
      <c r="X1730" s="25"/>
      <c r="Y1730" s="25"/>
      <c r="Z1730" s="75"/>
      <c r="AA1730" s="3" t="str">
        <f>IF(BCP_Soles[[#This Row],[fecha]]&gt;0,TEXT(BCP_Soles[[#This Row],[fecha]],"mmmm"),0)</f>
        <v>Mayo</v>
      </c>
    </row>
    <row r="1731" spans="1:27" x14ac:dyDescent="0.3">
      <c r="A1731" s="2">
        <f>IF(BCP_Soles[[#This Row],[tipo_registro]]="R",COUNTIFS($C$1:$C1730,"R")+1,A1730)</f>
        <v>1296</v>
      </c>
      <c r="B1731" s="19" t="str">
        <f t="shared" si="141"/>
        <v>B-BCP - Soles</v>
      </c>
      <c r="C1731" s="3" t="s">
        <v>1352</v>
      </c>
      <c r="D1731" s="14">
        <v>45791</v>
      </c>
      <c r="E1731" s="5" t="s">
        <v>2269</v>
      </c>
      <c r="F1731" s="5"/>
      <c r="G1731" s="6" t="s">
        <v>522</v>
      </c>
      <c r="H1731" s="6" t="s">
        <v>68</v>
      </c>
      <c r="I1731" s="6" t="s">
        <v>1376</v>
      </c>
      <c r="J1731" s="6">
        <v>3881</v>
      </c>
      <c r="K1731" s="7" t="s">
        <v>3056</v>
      </c>
      <c r="L1731" s="8">
        <v>5454095</v>
      </c>
      <c r="M1731" s="8" t="str">
        <f t="shared" si="142"/>
        <v>PEN</v>
      </c>
      <c r="N1731" s="13">
        <v>150.44999999999999</v>
      </c>
      <c r="O1731" s="13"/>
      <c r="P1731" s="3">
        <f t="shared" si="143"/>
        <v>0</v>
      </c>
      <c r="Q1731" s="3">
        <f t="shared" si="144"/>
        <v>0</v>
      </c>
      <c r="R1731" s="3">
        <f t="shared" si="140"/>
        <v>130370.19999999998</v>
      </c>
      <c r="S1731" s="24"/>
      <c r="T1731" s="24"/>
      <c r="U1731" s="53"/>
      <c r="V1731" s="25">
        <f>IFERROR(VLOOKUP(BCP_Soles[[#This Row],[destinatario]],CHOOSE({1,2},Clientes_Proveedores[Razon Social],Clientes_Proveedores[Ruc / Dni]),2,0),"")</f>
        <v>20603974817</v>
      </c>
      <c r="W1731" s="25"/>
      <c r="X1731" s="25"/>
      <c r="Y1731" s="25"/>
      <c r="Z1731" s="75"/>
      <c r="AA1731" s="3" t="str">
        <f>IF(BCP_Soles[[#This Row],[fecha]]&gt;0,TEXT(BCP_Soles[[#This Row],[fecha]],"mmmm"),0)</f>
        <v>Mayo</v>
      </c>
    </row>
    <row r="1732" spans="1:27" x14ac:dyDescent="0.3">
      <c r="A1732" s="2">
        <f>IF(BCP_Soles[[#This Row],[tipo_registro]]="R",COUNTIFS($C$1:$C1731,"R")+1,A1731)</f>
        <v>1296</v>
      </c>
      <c r="B1732" s="19" t="str">
        <f t="shared" si="141"/>
        <v>B-BCP - Soles</v>
      </c>
      <c r="C1732" s="3" t="s">
        <v>1352</v>
      </c>
      <c r="D1732" s="14">
        <v>45791</v>
      </c>
      <c r="E1732" s="5" t="s">
        <v>2269</v>
      </c>
      <c r="F1732" s="5"/>
      <c r="G1732" s="6" t="s">
        <v>522</v>
      </c>
      <c r="H1732" s="6" t="s">
        <v>68</v>
      </c>
      <c r="I1732" s="6" t="s">
        <v>1376</v>
      </c>
      <c r="J1732" s="6">
        <v>3874</v>
      </c>
      <c r="K1732" s="7" t="s">
        <v>3056</v>
      </c>
      <c r="L1732" s="8">
        <v>5454095</v>
      </c>
      <c r="M1732" s="8" t="str">
        <f t="shared" si="142"/>
        <v>PEN</v>
      </c>
      <c r="N1732" s="13">
        <v>351.05</v>
      </c>
      <c r="O1732" s="13"/>
      <c r="P1732" s="3">
        <f t="shared" si="143"/>
        <v>0</v>
      </c>
      <c r="Q1732" s="3">
        <f t="shared" si="144"/>
        <v>0</v>
      </c>
      <c r="R1732" s="3">
        <f t="shared" si="140"/>
        <v>130370.19999999998</v>
      </c>
      <c r="S1732" s="24"/>
      <c r="T1732" s="24"/>
      <c r="U1732" s="53"/>
      <c r="V1732" s="25">
        <f>IFERROR(VLOOKUP(BCP_Soles[[#This Row],[destinatario]],CHOOSE({1,2},Clientes_Proveedores[Razon Social],Clientes_Proveedores[Ruc / Dni]),2,0),"")</f>
        <v>20603974817</v>
      </c>
      <c r="W1732" s="25"/>
      <c r="X1732" s="25"/>
      <c r="Y1732" s="25"/>
      <c r="Z1732" s="75"/>
      <c r="AA1732" s="3" t="str">
        <f>IF(BCP_Soles[[#This Row],[fecha]]&gt;0,TEXT(BCP_Soles[[#This Row],[fecha]],"mmmm"),0)</f>
        <v>Mayo</v>
      </c>
    </row>
    <row r="1733" spans="1:27" ht="24" x14ac:dyDescent="0.3">
      <c r="A1733" s="2">
        <f>IF(BCP_Soles[[#This Row],[tipo_registro]]="R",COUNTIFS($C$1:$C1732,"R")+1,A1732)</f>
        <v>1296</v>
      </c>
      <c r="B1733" s="19" t="str">
        <f t="shared" si="141"/>
        <v>B-BCP - Soles</v>
      </c>
      <c r="C1733" s="3" t="s">
        <v>1352</v>
      </c>
      <c r="D1733" s="14">
        <v>45791</v>
      </c>
      <c r="E1733" s="5" t="s">
        <v>2269</v>
      </c>
      <c r="F1733" s="5"/>
      <c r="G1733" s="6" t="s">
        <v>166</v>
      </c>
      <c r="H1733" s="6" t="s">
        <v>68</v>
      </c>
      <c r="I1733" s="6" t="s">
        <v>1376</v>
      </c>
      <c r="J1733" s="6">
        <v>4808</v>
      </c>
      <c r="K1733" s="7" t="s">
        <v>3056</v>
      </c>
      <c r="L1733" s="8">
        <v>5454095</v>
      </c>
      <c r="M1733" s="8" t="str">
        <f t="shared" si="142"/>
        <v>PEN</v>
      </c>
      <c r="N1733" s="13">
        <v>59</v>
      </c>
      <c r="O1733" s="13"/>
      <c r="P1733" s="3">
        <f t="shared" si="143"/>
        <v>0</v>
      </c>
      <c r="Q1733" s="3">
        <f t="shared" si="144"/>
        <v>0</v>
      </c>
      <c r="R1733" s="3">
        <f t="shared" si="140"/>
        <v>130370.19999999998</v>
      </c>
      <c r="S1733" s="24"/>
      <c r="T1733" s="24"/>
      <c r="U1733" s="53"/>
      <c r="V1733" s="25">
        <f>IFERROR(VLOOKUP(BCP_Soles[[#This Row],[destinatario]],CHOOSE({1,2},Clientes_Proveedores[Razon Social],Clientes_Proveedores[Ruc / Dni]),2,0),"")</f>
        <v>10425371652</v>
      </c>
      <c r="W1733" s="25"/>
      <c r="X1733" s="25"/>
      <c r="Y1733" s="25"/>
      <c r="Z1733" s="75"/>
      <c r="AA1733" s="3" t="str">
        <f>IF(BCP_Soles[[#This Row],[fecha]]&gt;0,TEXT(BCP_Soles[[#This Row],[fecha]],"mmmm"),0)</f>
        <v>Mayo</v>
      </c>
    </row>
    <row r="1734" spans="1:27" ht="24" x14ac:dyDescent="0.3">
      <c r="A1734" s="2">
        <f>IF(BCP_Soles[[#This Row],[tipo_registro]]="R",COUNTIFS($C$1:$C1733,"R")+1,A1733)</f>
        <v>1296</v>
      </c>
      <c r="B1734" s="19" t="str">
        <f t="shared" si="141"/>
        <v>B-BCP - Soles</v>
      </c>
      <c r="C1734" s="3" t="s">
        <v>1352</v>
      </c>
      <c r="D1734" s="14">
        <v>45791</v>
      </c>
      <c r="E1734" s="5" t="s">
        <v>2269</v>
      </c>
      <c r="F1734" s="5"/>
      <c r="G1734" s="6" t="s">
        <v>176</v>
      </c>
      <c r="H1734" s="6" t="s">
        <v>68</v>
      </c>
      <c r="I1734" s="6" t="s">
        <v>1376</v>
      </c>
      <c r="J1734" s="6">
        <v>300</v>
      </c>
      <c r="K1734" s="7" t="s">
        <v>3056</v>
      </c>
      <c r="L1734" s="8">
        <v>5454095</v>
      </c>
      <c r="M1734" s="8" t="str">
        <f t="shared" si="142"/>
        <v>PEN</v>
      </c>
      <c r="N1734" s="13">
        <v>510</v>
      </c>
      <c r="O1734" s="13"/>
      <c r="P1734" s="3">
        <f t="shared" si="143"/>
        <v>0</v>
      </c>
      <c r="Q1734" s="3">
        <f t="shared" si="144"/>
        <v>0</v>
      </c>
      <c r="R1734" s="3">
        <f t="shared" si="140"/>
        <v>130370.19999999998</v>
      </c>
      <c r="S1734" s="24"/>
      <c r="T1734" s="24"/>
      <c r="U1734" s="53"/>
      <c r="V1734" s="25">
        <f>IFERROR(VLOOKUP(BCP_Soles[[#This Row],[destinatario]],CHOOSE({1,2},Clientes_Proveedores[Razon Social],Clientes_Proveedores[Ruc / Dni]),2,0),"")</f>
        <v>10470065147</v>
      </c>
      <c r="W1734" s="25"/>
      <c r="X1734" s="25"/>
      <c r="Y1734" s="25"/>
      <c r="Z1734" s="75"/>
      <c r="AA1734" s="3" t="str">
        <f>IF(BCP_Soles[[#This Row],[fecha]]&gt;0,TEXT(BCP_Soles[[#This Row],[fecha]],"mmmm"),0)</f>
        <v>Mayo</v>
      </c>
    </row>
    <row r="1735" spans="1:27" x14ac:dyDescent="0.3">
      <c r="A1735" s="2">
        <f>IF(BCP_Soles[[#This Row],[tipo_registro]]="R",COUNTIFS($C$1:$C1734,"R")+1,A1734)</f>
        <v>1296</v>
      </c>
      <c r="B1735" s="19" t="str">
        <f t="shared" si="141"/>
        <v>B-BCP - Soles</v>
      </c>
      <c r="C1735" s="3" t="s">
        <v>1352</v>
      </c>
      <c r="D1735" s="14">
        <v>45791</v>
      </c>
      <c r="E1735" s="5" t="s">
        <v>2269</v>
      </c>
      <c r="F1735" s="5"/>
      <c r="G1735" s="6" t="s">
        <v>286</v>
      </c>
      <c r="H1735" s="6" t="s">
        <v>68</v>
      </c>
      <c r="I1735" s="6" t="s">
        <v>1386</v>
      </c>
      <c r="J1735" s="6">
        <v>1697</v>
      </c>
      <c r="K1735" s="7" t="s">
        <v>3056</v>
      </c>
      <c r="L1735" s="8">
        <v>5454095</v>
      </c>
      <c r="M1735" s="8" t="str">
        <f t="shared" si="142"/>
        <v>PEN</v>
      </c>
      <c r="N1735" s="13">
        <v>126.5</v>
      </c>
      <c r="O1735" s="13"/>
      <c r="P1735" s="3">
        <f t="shared" si="143"/>
        <v>0</v>
      </c>
      <c r="Q1735" s="3">
        <f t="shared" si="144"/>
        <v>0</v>
      </c>
      <c r="R1735" s="3">
        <f t="shared" si="140"/>
        <v>130370.19999999998</v>
      </c>
      <c r="S1735" s="24"/>
      <c r="T1735" s="24"/>
      <c r="U1735" s="53"/>
      <c r="V1735" s="25">
        <f>IFERROR(VLOOKUP(BCP_Soles[[#This Row],[destinatario]],CHOOSE({1,2},Clientes_Proveedores[Razon Social],Clientes_Proveedores[Ruc / Dni]),2,0),"")</f>
        <v>20454186002</v>
      </c>
      <c r="W1735" s="25"/>
      <c r="X1735" s="25"/>
      <c r="Y1735" s="25"/>
      <c r="Z1735" s="75"/>
      <c r="AA1735" s="3" t="str">
        <f>IF(BCP_Soles[[#This Row],[fecha]]&gt;0,TEXT(BCP_Soles[[#This Row],[fecha]],"mmmm"),0)</f>
        <v>Mayo</v>
      </c>
    </row>
    <row r="1736" spans="1:27" x14ac:dyDescent="0.3">
      <c r="A1736" s="2">
        <f>IF(BCP_Soles[[#This Row],[tipo_registro]]="R",COUNTIFS($C$1:$C1735,"R")+1,A1735)</f>
        <v>1296</v>
      </c>
      <c r="B1736" s="19" t="str">
        <f t="shared" si="141"/>
        <v>B-BCP - Soles</v>
      </c>
      <c r="C1736" s="3" t="s">
        <v>1352</v>
      </c>
      <c r="D1736" s="14">
        <v>45791</v>
      </c>
      <c r="E1736" s="5" t="s">
        <v>2269</v>
      </c>
      <c r="F1736" s="5"/>
      <c r="G1736" s="6" t="s">
        <v>286</v>
      </c>
      <c r="H1736" s="6" t="s">
        <v>68</v>
      </c>
      <c r="I1736" s="6" t="s">
        <v>1386</v>
      </c>
      <c r="J1736" s="6">
        <v>1696</v>
      </c>
      <c r="K1736" s="7" t="s">
        <v>3056</v>
      </c>
      <c r="L1736" s="8">
        <v>5454095</v>
      </c>
      <c r="M1736" s="8" t="str">
        <f t="shared" si="142"/>
        <v>PEN</v>
      </c>
      <c r="N1736" s="13">
        <v>978.4</v>
      </c>
      <c r="O1736" s="13"/>
      <c r="P1736" s="3">
        <f t="shared" si="143"/>
        <v>0</v>
      </c>
      <c r="Q1736" s="3">
        <f t="shared" si="144"/>
        <v>0</v>
      </c>
      <c r="R1736" s="3">
        <f t="shared" si="140"/>
        <v>130370.19999999998</v>
      </c>
      <c r="S1736" s="24"/>
      <c r="T1736" s="24"/>
      <c r="U1736" s="53"/>
      <c r="V1736" s="25">
        <f>IFERROR(VLOOKUP(BCP_Soles[[#This Row],[destinatario]],CHOOSE({1,2},Clientes_Proveedores[Razon Social],Clientes_Proveedores[Ruc / Dni]),2,0),"")</f>
        <v>20454186002</v>
      </c>
      <c r="W1736" s="25"/>
      <c r="X1736" s="25"/>
      <c r="Y1736" s="25"/>
      <c r="Z1736" s="75"/>
      <c r="AA1736" s="3" t="str">
        <f>IF(BCP_Soles[[#This Row],[fecha]]&gt;0,TEXT(BCP_Soles[[#This Row],[fecha]],"mmmm"),0)</f>
        <v>Mayo</v>
      </c>
    </row>
    <row r="1737" spans="1:27" ht="36" x14ac:dyDescent="0.3">
      <c r="A1737" s="2">
        <f>IF(BCP_Soles[[#This Row],[tipo_registro]]="R",COUNTIFS($C$1:$C1736,"R")+1,A1736)</f>
        <v>1296</v>
      </c>
      <c r="B1737" s="19" t="str">
        <f t="shared" si="141"/>
        <v>B-BCP - Soles</v>
      </c>
      <c r="C1737" s="3" t="s">
        <v>1352</v>
      </c>
      <c r="D1737" s="14">
        <v>45791</v>
      </c>
      <c r="E1737" s="5" t="s">
        <v>2269</v>
      </c>
      <c r="F1737" s="5"/>
      <c r="G1737" s="6" t="s">
        <v>383</v>
      </c>
      <c r="H1737" s="6" t="s">
        <v>68</v>
      </c>
      <c r="I1737" s="6" t="s">
        <v>1804</v>
      </c>
      <c r="J1737" s="6">
        <v>826</v>
      </c>
      <c r="K1737" s="7" t="s">
        <v>3056</v>
      </c>
      <c r="L1737" s="8">
        <v>5454095</v>
      </c>
      <c r="M1737" s="8" t="str">
        <f t="shared" si="142"/>
        <v>PEN</v>
      </c>
      <c r="N1737" s="13">
        <v>87.57</v>
      </c>
      <c r="O1737" s="13"/>
      <c r="P1737" s="3">
        <f t="shared" si="143"/>
        <v>0</v>
      </c>
      <c r="Q1737" s="3">
        <f t="shared" si="144"/>
        <v>0</v>
      </c>
      <c r="R1737" s="3">
        <f t="shared" ref="R1737:R1800" si="145">IFERROR(IF(F1737="SALDO",P1737,R1736+P1737-Q1737),0)</f>
        <v>130370.19999999998</v>
      </c>
      <c r="S1737" s="24"/>
      <c r="T1737" s="24"/>
      <c r="U1737" s="53"/>
      <c r="V1737" s="25">
        <f>IFERROR(VLOOKUP(BCP_Soles[[#This Row],[destinatario]],CHOOSE({1,2},Clientes_Proveedores[Razon Social],Clientes_Proveedores[Ruc / Dni]),2,0),"")</f>
        <v>20538593053</v>
      </c>
      <c r="W1737" s="25"/>
      <c r="X1737" s="25"/>
      <c r="Y1737" s="25"/>
      <c r="Z1737" s="75"/>
      <c r="AA1737" s="3" t="str">
        <f>IF(BCP_Soles[[#This Row],[fecha]]&gt;0,TEXT(BCP_Soles[[#This Row],[fecha]],"mmmm"),0)</f>
        <v>Mayo</v>
      </c>
    </row>
    <row r="1738" spans="1:27" ht="24" x14ac:dyDescent="0.3">
      <c r="A1738" s="2">
        <f>IF(BCP_Soles[[#This Row],[tipo_registro]]="R",COUNTIFS($C$1:$C1737,"R")+1,A1737)</f>
        <v>1296</v>
      </c>
      <c r="B1738" s="19" t="str">
        <f t="shared" si="141"/>
        <v>B-BCP - Soles</v>
      </c>
      <c r="C1738" s="3" t="s">
        <v>1352</v>
      </c>
      <c r="D1738" s="14">
        <v>45791</v>
      </c>
      <c r="E1738" s="5" t="s">
        <v>2269</v>
      </c>
      <c r="F1738" s="5"/>
      <c r="G1738" s="149" t="s">
        <v>209</v>
      </c>
      <c r="H1738" s="148" t="s">
        <v>68</v>
      </c>
      <c r="I1738" s="148" t="s">
        <v>2086</v>
      </c>
      <c r="J1738" s="148">
        <v>35090</v>
      </c>
      <c r="K1738" s="7" t="s">
        <v>3056</v>
      </c>
      <c r="L1738" s="8">
        <v>5454095</v>
      </c>
      <c r="M1738" s="8" t="str">
        <f t="shared" si="142"/>
        <v>PEN</v>
      </c>
      <c r="N1738" s="13">
        <v>4855.2</v>
      </c>
      <c r="O1738" s="13"/>
      <c r="P1738" s="3">
        <f t="shared" si="143"/>
        <v>0</v>
      </c>
      <c r="Q1738" s="3">
        <f t="shared" si="144"/>
        <v>0</v>
      </c>
      <c r="R1738" s="3">
        <f t="shared" si="145"/>
        <v>130370.19999999998</v>
      </c>
      <c r="S1738" s="24"/>
      <c r="T1738" s="24" t="s">
        <v>3057</v>
      </c>
      <c r="U1738" s="53"/>
      <c r="V1738" s="25">
        <f>IFERROR(VLOOKUP(BCP_Soles[[#This Row],[destinatario]],CHOOSE({1,2},Clientes_Proveedores[Razon Social],Clientes_Proveedores[Ruc / Dni]),2,0),"")</f>
        <v>20100226902</v>
      </c>
      <c r="W1738" s="25"/>
      <c r="X1738" s="25"/>
      <c r="Y1738" s="25"/>
      <c r="Z1738" s="75"/>
      <c r="AA1738" s="3" t="str">
        <f>IF(BCP_Soles[[#This Row],[fecha]]&gt;0,TEXT(BCP_Soles[[#This Row],[fecha]],"mmmm"),0)</f>
        <v>Mayo</v>
      </c>
    </row>
    <row r="1739" spans="1:27" ht="24" x14ac:dyDescent="0.3">
      <c r="A1739" s="2">
        <f>IF(BCP_Soles[[#This Row],[tipo_registro]]="R",COUNTIFS($C$1:$C1738,"R")+1,A1738)</f>
        <v>1296</v>
      </c>
      <c r="B1739" s="19" t="str">
        <f t="shared" si="141"/>
        <v>B-BCP - Soles</v>
      </c>
      <c r="C1739" s="3" t="s">
        <v>1352</v>
      </c>
      <c r="D1739" s="14">
        <v>45791</v>
      </c>
      <c r="E1739" s="5" t="s">
        <v>2269</v>
      </c>
      <c r="F1739" s="5"/>
      <c r="G1739" s="6" t="s">
        <v>166</v>
      </c>
      <c r="H1739" s="6" t="s">
        <v>68</v>
      </c>
      <c r="I1739" s="6" t="s">
        <v>1376</v>
      </c>
      <c r="J1739" s="6">
        <v>4822</v>
      </c>
      <c r="K1739" s="7" t="s">
        <v>3056</v>
      </c>
      <c r="L1739" s="8">
        <v>5454095</v>
      </c>
      <c r="M1739" s="8" t="str">
        <f t="shared" si="142"/>
        <v>PEN</v>
      </c>
      <c r="N1739" s="13">
        <v>59</v>
      </c>
      <c r="O1739" s="13"/>
      <c r="P1739" s="3">
        <f t="shared" si="143"/>
        <v>0</v>
      </c>
      <c r="Q1739" s="3">
        <f t="shared" si="144"/>
        <v>0</v>
      </c>
      <c r="R1739" s="3">
        <f t="shared" si="145"/>
        <v>130370.19999999998</v>
      </c>
      <c r="S1739" s="24"/>
      <c r="T1739" s="24"/>
      <c r="U1739" s="53"/>
      <c r="V1739" s="25">
        <f>IFERROR(VLOOKUP(BCP_Soles[[#This Row],[destinatario]],CHOOSE({1,2},Clientes_Proveedores[Razon Social],Clientes_Proveedores[Ruc / Dni]),2,0),"")</f>
        <v>10425371652</v>
      </c>
      <c r="W1739" s="25"/>
      <c r="X1739" s="25"/>
      <c r="Y1739" s="25"/>
      <c r="Z1739" s="75"/>
      <c r="AA1739" s="3" t="str">
        <f>IF(BCP_Soles[[#This Row],[fecha]]&gt;0,TEXT(BCP_Soles[[#This Row],[fecha]],"mmmm"),0)</f>
        <v>Mayo</v>
      </c>
    </row>
    <row r="1740" spans="1:27" ht="36" x14ac:dyDescent="0.3">
      <c r="A1740" s="2">
        <f>IF(BCP_Soles[[#This Row],[tipo_registro]]="R",COUNTIFS($C$1:$C1739,"R")+1,A1739)</f>
        <v>1296</v>
      </c>
      <c r="B1740" s="19" t="str">
        <f t="shared" si="141"/>
        <v>B-BCP - Soles</v>
      </c>
      <c r="C1740" s="3" t="s">
        <v>1352</v>
      </c>
      <c r="D1740" s="14">
        <v>45791</v>
      </c>
      <c r="E1740" s="5" t="s">
        <v>2269</v>
      </c>
      <c r="F1740" s="5"/>
      <c r="G1740" s="6" t="s">
        <v>153</v>
      </c>
      <c r="H1740" s="6" t="s">
        <v>68</v>
      </c>
      <c r="I1740" s="6" t="s">
        <v>1376</v>
      </c>
      <c r="J1740" s="6">
        <v>396</v>
      </c>
      <c r="K1740" s="7" t="s">
        <v>3056</v>
      </c>
      <c r="L1740" s="8">
        <v>5454095</v>
      </c>
      <c r="M1740" s="8" t="str">
        <f t="shared" si="142"/>
        <v>PEN</v>
      </c>
      <c r="N1740" s="13">
        <v>290</v>
      </c>
      <c r="O1740" s="13"/>
      <c r="P1740" s="3">
        <f t="shared" si="143"/>
        <v>0</v>
      </c>
      <c r="Q1740" s="3">
        <f t="shared" si="144"/>
        <v>0</v>
      </c>
      <c r="R1740" s="3">
        <f t="shared" si="145"/>
        <v>130370.19999999998</v>
      </c>
      <c r="S1740" s="24"/>
      <c r="T1740" s="24"/>
      <c r="U1740" s="53"/>
      <c r="V1740" s="25">
        <f>IFERROR(VLOOKUP(BCP_Soles[[#This Row],[destinatario]],CHOOSE({1,2},Clientes_Proveedores[Razon Social],Clientes_Proveedores[Ruc / Dni]),2,0),"")</f>
        <v>10405211179</v>
      </c>
      <c r="W1740" s="25"/>
      <c r="X1740" s="25"/>
      <c r="Y1740" s="25"/>
      <c r="Z1740" s="75"/>
      <c r="AA1740" s="3" t="str">
        <f>IF(BCP_Soles[[#This Row],[fecha]]&gt;0,TEXT(BCP_Soles[[#This Row],[fecha]],"mmmm"),0)</f>
        <v>Mayo</v>
      </c>
    </row>
    <row r="1741" spans="1:27" ht="36" x14ac:dyDescent="0.3">
      <c r="A1741" s="2">
        <f>IF(BCP_Soles[[#This Row],[tipo_registro]]="R",COUNTIFS($C$1:$C1740,"R")+1,A1740)</f>
        <v>1297</v>
      </c>
      <c r="B1741" s="19" t="str">
        <f t="shared" si="141"/>
        <v>B-BCP - Soles</v>
      </c>
      <c r="C1741" s="3" t="s">
        <v>1330</v>
      </c>
      <c r="D1741" s="14">
        <v>45792</v>
      </c>
      <c r="E1741" s="5" t="s">
        <v>271</v>
      </c>
      <c r="F1741" s="5" t="s">
        <v>1303</v>
      </c>
      <c r="G1741" s="6" t="s">
        <v>425</v>
      </c>
      <c r="H1741" s="6"/>
      <c r="I1741" s="6"/>
      <c r="J1741" s="6"/>
      <c r="K1741" s="7" t="s">
        <v>3058</v>
      </c>
      <c r="L1741" s="8">
        <v>6220206</v>
      </c>
      <c r="M1741" s="8" t="str">
        <f t="shared" si="142"/>
        <v>PEN</v>
      </c>
      <c r="N1741" s="13"/>
      <c r="O1741" s="13">
        <v>4105.72</v>
      </c>
      <c r="P1741" s="3">
        <f t="shared" si="143"/>
        <v>4105.72</v>
      </c>
      <c r="Q1741" s="3">
        <f t="shared" si="144"/>
        <v>0</v>
      </c>
      <c r="R1741" s="3">
        <f t="shared" si="145"/>
        <v>134475.91999999998</v>
      </c>
      <c r="S1741" s="24" t="s">
        <v>1334</v>
      </c>
      <c r="T1741" s="24" t="s">
        <v>1334</v>
      </c>
      <c r="U1741" s="53"/>
      <c r="V1741" s="25">
        <f>IFERROR(VLOOKUP(BCP_Soles[[#This Row],[destinatario]],CHOOSE({1,2},Clientes_Proveedores[Razon Social],Clientes_Proveedores[Ruc / Dni]),2,0),"")</f>
        <v>20558226979</v>
      </c>
      <c r="W1741" s="25" t="s">
        <v>1345</v>
      </c>
      <c r="X1741" s="25" t="s">
        <v>3059</v>
      </c>
      <c r="Y1741" s="25"/>
      <c r="Z1741" s="75"/>
      <c r="AA1741" s="3" t="str">
        <f>IF(BCP_Soles[[#This Row],[fecha]]&gt;0,TEXT(BCP_Soles[[#This Row],[fecha]],"mmmm"),0)</f>
        <v>Mayo</v>
      </c>
    </row>
    <row r="1742" spans="1:27" ht="36" x14ac:dyDescent="0.3">
      <c r="A1742" s="2">
        <f>IF(BCP_Soles[[#This Row],[tipo_registro]]="R",COUNTIFS($C$1:$C1741,"R")+1,A1741)</f>
        <v>1298</v>
      </c>
      <c r="B1742" s="19" t="str">
        <f t="shared" si="141"/>
        <v>B-BCP - Soles</v>
      </c>
      <c r="C1742" s="3" t="s">
        <v>1330</v>
      </c>
      <c r="D1742" s="14">
        <v>45792</v>
      </c>
      <c r="E1742" s="5" t="s">
        <v>232</v>
      </c>
      <c r="F1742" s="5" t="s">
        <v>1303</v>
      </c>
      <c r="G1742" s="6" t="s">
        <v>425</v>
      </c>
      <c r="H1742" s="6"/>
      <c r="I1742" s="6"/>
      <c r="J1742" s="6"/>
      <c r="K1742" s="7" t="s">
        <v>2217</v>
      </c>
      <c r="L1742" s="8">
        <v>2134997</v>
      </c>
      <c r="M1742" s="8" t="str">
        <f t="shared" si="142"/>
        <v>PEN</v>
      </c>
      <c r="N1742" s="13"/>
      <c r="O1742" s="13">
        <v>3000</v>
      </c>
      <c r="P1742" s="3">
        <f t="shared" si="143"/>
        <v>3000</v>
      </c>
      <c r="Q1742" s="3">
        <f t="shared" si="144"/>
        <v>0</v>
      </c>
      <c r="R1742" s="3">
        <f t="shared" si="145"/>
        <v>137475.91999999998</v>
      </c>
      <c r="S1742" s="24" t="s">
        <v>1334</v>
      </c>
      <c r="T1742" s="24" t="s">
        <v>1334</v>
      </c>
      <c r="U1742" s="53"/>
      <c r="V1742" s="25">
        <f>IFERROR(VLOOKUP(BCP_Soles[[#This Row],[destinatario]],CHOOSE({1,2},Clientes_Proveedores[Razon Social],Clientes_Proveedores[Ruc / Dni]),2,0),"")</f>
        <v>20558226979</v>
      </c>
      <c r="W1742" s="25" t="s">
        <v>1345</v>
      </c>
      <c r="X1742" s="25" t="s">
        <v>3060</v>
      </c>
      <c r="Y1742" s="25"/>
      <c r="Z1742" s="75"/>
      <c r="AA1742" s="3" t="str">
        <f>IF(BCP_Soles[[#This Row],[fecha]]&gt;0,TEXT(BCP_Soles[[#This Row],[fecha]],"mmmm"),0)</f>
        <v>Mayo</v>
      </c>
    </row>
    <row r="1743" spans="1:27" x14ac:dyDescent="0.3">
      <c r="A1743" s="2">
        <f>IF(BCP_Soles[[#This Row],[tipo_registro]]="R",COUNTIFS($C$1:$C1742,"R")+1,A1742)</f>
        <v>1299</v>
      </c>
      <c r="B1743" s="19" t="str">
        <f t="shared" si="141"/>
        <v>B-BCP - Soles</v>
      </c>
      <c r="C1743" s="3" t="s">
        <v>1330</v>
      </c>
      <c r="D1743" s="14">
        <v>45792</v>
      </c>
      <c r="E1743" s="5" t="s">
        <v>1335</v>
      </c>
      <c r="F1743" s="5" t="s">
        <v>1336</v>
      </c>
      <c r="G1743" s="6"/>
      <c r="H1743" s="6"/>
      <c r="I1743" s="6"/>
      <c r="J1743" s="6"/>
      <c r="K1743" s="7" t="s">
        <v>1337</v>
      </c>
      <c r="L1743" s="8"/>
      <c r="M1743" s="8" t="str">
        <f t="shared" si="142"/>
        <v>PEN</v>
      </c>
      <c r="N1743" s="13"/>
      <c r="O1743" s="13">
        <v>0.7</v>
      </c>
      <c r="P1743" s="3">
        <f t="shared" si="143"/>
        <v>0</v>
      </c>
      <c r="Q1743" s="3">
        <f t="shared" si="144"/>
        <v>0.7</v>
      </c>
      <c r="R1743" s="3">
        <f t="shared" si="145"/>
        <v>137475.21999999997</v>
      </c>
      <c r="S1743" s="24"/>
      <c r="T1743" s="24" t="s">
        <v>1334</v>
      </c>
      <c r="U1743" s="53"/>
      <c r="V1743" s="25" t="str">
        <f>IFERROR(VLOOKUP(BCP_Soles[[#This Row],[destinatario]],CHOOSE({1,2},Clientes_Proveedores[Razon Social],Clientes_Proveedores[Ruc / Dni]),2,0),"")</f>
        <v/>
      </c>
      <c r="W1743" s="25"/>
      <c r="X1743" s="25"/>
      <c r="Y1743" s="25"/>
      <c r="Z1743" s="75"/>
      <c r="AA1743" s="3" t="str">
        <f>IF(BCP_Soles[[#This Row],[fecha]]&gt;0,TEXT(BCP_Soles[[#This Row],[fecha]],"mmmm"),0)</f>
        <v>Mayo</v>
      </c>
    </row>
    <row r="1744" spans="1:27" ht="24" x14ac:dyDescent="0.3">
      <c r="A1744" s="2">
        <f>IF(BCP_Soles[[#This Row],[tipo_registro]]="R",COUNTIFS($C$1:$C1743,"R")+1,A1743)</f>
        <v>1300</v>
      </c>
      <c r="B1744" s="19" t="str">
        <f t="shared" si="141"/>
        <v>B-BCP - Soles</v>
      </c>
      <c r="C1744" s="3" t="s">
        <v>1330</v>
      </c>
      <c r="D1744" s="14">
        <v>45792</v>
      </c>
      <c r="E1744" s="5" t="s">
        <v>1335</v>
      </c>
      <c r="F1744" s="5" t="s">
        <v>1336</v>
      </c>
      <c r="G1744" s="6" t="s">
        <v>1060</v>
      </c>
      <c r="H1744" s="6" t="s">
        <v>68</v>
      </c>
      <c r="I1744" s="6" t="s">
        <v>1397</v>
      </c>
      <c r="J1744" s="6">
        <v>32740807</v>
      </c>
      <c r="K1744" s="7" t="s">
        <v>1552</v>
      </c>
      <c r="L1744" s="8">
        <v>959580</v>
      </c>
      <c r="M1744" s="8" t="str">
        <f t="shared" si="142"/>
        <v>PEN</v>
      </c>
      <c r="N1744" s="13"/>
      <c r="O1744" s="13">
        <v>10</v>
      </c>
      <c r="P1744" s="3">
        <f t="shared" si="143"/>
        <v>0</v>
      </c>
      <c r="Q1744" s="3">
        <f t="shared" si="144"/>
        <v>10</v>
      </c>
      <c r="R1744" s="3">
        <f t="shared" si="145"/>
        <v>137465.21999999997</v>
      </c>
      <c r="S1744" s="24" t="s">
        <v>1334</v>
      </c>
      <c r="T1744" s="24" t="s">
        <v>1334</v>
      </c>
      <c r="U1744" s="53"/>
      <c r="V1744" s="25">
        <f>IFERROR(VLOOKUP(BCP_Soles[[#This Row],[destinatario]],CHOOSE({1,2},Clientes_Proveedores[Razon Social],Clientes_Proveedores[Ruc / Dni]),2,0),"")</f>
        <v>20100047218</v>
      </c>
      <c r="W1744" s="25" t="s">
        <v>1335</v>
      </c>
      <c r="X1744" s="25" t="s">
        <v>3061</v>
      </c>
      <c r="Y1744" s="25"/>
      <c r="Z1744" s="75"/>
      <c r="AA1744" s="3" t="str">
        <f>IF(BCP_Soles[[#This Row],[fecha]]&gt;0,TEXT(BCP_Soles[[#This Row],[fecha]],"mmmm"),0)</f>
        <v>Mayo</v>
      </c>
    </row>
    <row r="1745" spans="1:27" ht="24" x14ac:dyDescent="0.3">
      <c r="A1745" s="2">
        <f>IF(BCP_Soles[[#This Row],[tipo_registro]]="R",COUNTIFS($C$1:$C1744,"R")+1,A1744)</f>
        <v>1301</v>
      </c>
      <c r="B1745" s="19" t="str">
        <f t="shared" si="141"/>
        <v>B-BCP - Soles</v>
      </c>
      <c r="C1745" s="3" t="s">
        <v>1330</v>
      </c>
      <c r="D1745" s="14">
        <v>45792</v>
      </c>
      <c r="E1745" s="5" t="s">
        <v>1338</v>
      </c>
      <c r="F1745" s="5" t="s">
        <v>1336</v>
      </c>
      <c r="G1745" s="6"/>
      <c r="H1745" s="6"/>
      <c r="I1745" s="6"/>
      <c r="J1745" s="6"/>
      <c r="K1745" s="7" t="s">
        <v>3062</v>
      </c>
      <c r="L1745" s="8">
        <v>1161903</v>
      </c>
      <c r="M1745" s="8" t="str">
        <f t="shared" si="142"/>
        <v>PEN</v>
      </c>
      <c r="N1745" s="13"/>
      <c r="O1745" s="13">
        <v>1500</v>
      </c>
      <c r="P1745" s="3">
        <f t="shared" si="143"/>
        <v>0</v>
      </c>
      <c r="Q1745" s="3">
        <f t="shared" si="144"/>
        <v>1500</v>
      </c>
      <c r="R1745" s="3">
        <f t="shared" si="145"/>
        <v>135965.21999999997</v>
      </c>
      <c r="S1745" s="24"/>
      <c r="T1745" s="24"/>
      <c r="U1745" s="53"/>
      <c r="V1745" s="25" t="str">
        <f>IFERROR(VLOOKUP(BCP_Soles[[#This Row],[destinatario]],CHOOSE({1,2},Clientes_Proveedores[Razon Social],Clientes_Proveedores[Ruc / Dni]),2,0),"")</f>
        <v/>
      </c>
      <c r="W1745" s="25" t="s">
        <v>895</v>
      </c>
      <c r="X1745" s="25"/>
      <c r="Y1745" s="25"/>
      <c r="Z1745" s="75"/>
      <c r="AA1745" s="3" t="str">
        <f>IF(BCP_Soles[[#This Row],[fecha]]&gt;0,TEXT(BCP_Soles[[#This Row],[fecha]],"mmmm"),0)</f>
        <v>Mayo</v>
      </c>
    </row>
    <row r="1746" spans="1:27" ht="24" x14ac:dyDescent="0.3">
      <c r="A1746" s="2">
        <f>IF(BCP_Soles[[#This Row],[tipo_registro]]="R",COUNTIFS($C$1:$C1745,"R")+1,A1745)</f>
        <v>1302</v>
      </c>
      <c r="B1746" s="19" t="str">
        <f t="shared" si="141"/>
        <v>B-BCP - Soles</v>
      </c>
      <c r="C1746" s="3" t="s">
        <v>1330</v>
      </c>
      <c r="D1746" s="14">
        <v>45792</v>
      </c>
      <c r="E1746" s="5" t="s">
        <v>1338</v>
      </c>
      <c r="F1746" s="5" t="s">
        <v>1336</v>
      </c>
      <c r="G1746" s="6" t="s">
        <v>836</v>
      </c>
      <c r="H1746" s="6"/>
      <c r="I1746" s="6"/>
      <c r="J1746" s="6"/>
      <c r="K1746" s="7" t="s">
        <v>3063</v>
      </c>
      <c r="L1746" s="8">
        <v>1163817</v>
      </c>
      <c r="M1746" s="8" t="str">
        <f t="shared" si="142"/>
        <v>PEN</v>
      </c>
      <c r="N1746" s="13"/>
      <c r="O1746" s="13">
        <v>3000</v>
      </c>
      <c r="P1746" s="3">
        <f t="shared" si="143"/>
        <v>0</v>
      </c>
      <c r="Q1746" s="3">
        <f t="shared" si="144"/>
        <v>3000</v>
      </c>
      <c r="R1746" s="3">
        <f t="shared" si="145"/>
        <v>132965.21999999997</v>
      </c>
      <c r="S1746" s="24"/>
      <c r="T1746" s="24"/>
      <c r="U1746" s="53"/>
      <c r="V1746" s="25">
        <f>IFERROR(VLOOKUP(BCP_Soles[[#This Row],[destinatario]],CHOOSE({1,2},Clientes_Proveedores[Razon Social],Clientes_Proveedores[Ruc / Dni]),2,0),"")</f>
        <v>44468346</v>
      </c>
      <c r="W1746" s="25" t="s">
        <v>836</v>
      </c>
      <c r="X1746" s="25"/>
      <c r="Y1746" s="25"/>
      <c r="Z1746" s="75"/>
      <c r="AA1746" s="3" t="str">
        <f>IF(BCP_Soles[[#This Row],[fecha]]&gt;0,TEXT(BCP_Soles[[#This Row],[fecha]],"mmmm"),0)</f>
        <v>Mayo</v>
      </c>
    </row>
    <row r="1747" spans="1:27" ht="36" x14ac:dyDescent="0.3">
      <c r="A1747" s="2">
        <f>IF(BCP_Soles[[#This Row],[tipo_registro]]="R",COUNTIFS($C$1:$C1746,"R")+1,A1746)</f>
        <v>1303</v>
      </c>
      <c r="B1747" s="19" t="str">
        <f t="shared" si="141"/>
        <v>B-BCP - Soles</v>
      </c>
      <c r="C1747" s="3" t="s">
        <v>1330</v>
      </c>
      <c r="D1747" s="14">
        <v>45792</v>
      </c>
      <c r="E1747" s="5" t="s">
        <v>1338</v>
      </c>
      <c r="F1747" s="5" t="s">
        <v>1336</v>
      </c>
      <c r="G1747" s="6" t="s">
        <v>948</v>
      </c>
      <c r="H1747" s="6"/>
      <c r="I1747" s="6"/>
      <c r="J1747" s="6"/>
      <c r="K1747" s="7" t="s">
        <v>3063</v>
      </c>
      <c r="L1747" s="8">
        <v>1163360</v>
      </c>
      <c r="M1747" s="8" t="str">
        <f t="shared" si="142"/>
        <v>PEN</v>
      </c>
      <c r="N1747" s="13"/>
      <c r="O1747" s="13">
        <v>3000</v>
      </c>
      <c r="P1747" s="3">
        <f t="shared" si="143"/>
        <v>0</v>
      </c>
      <c r="Q1747" s="3">
        <f t="shared" si="144"/>
        <v>3000</v>
      </c>
      <c r="R1747" s="3">
        <f t="shared" si="145"/>
        <v>129965.21999999997</v>
      </c>
      <c r="S1747" s="24"/>
      <c r="T1747" s="24"/>
      <c r="U1747" s="53"/>
      <c r="V1747" s="25">
        <f>IFERROR(VLOOKUP(BCP_Soles[[#This Row],[destinatario]],CHOOSE({1,2},Clientes_Proveedores[Razon Social],Clientes_Proveedores[Ruc / Dni]),2,0),"")</f>
        <v>71311214</v>
      </c>
      <c r="W1747" s="25" t="s">
        <v>948</v>
      </c>
      <c r="X1747" s="25"/>
      <c r="Y1747" s="25"/>
      <c r="Z1747" s="75"/>
      <c r="AA1747" s="3" t="str">
        <f>IF(BCP_Soles[[#This Row],[fecha]]&gt;0,TEXT(BCP_Soles[[#This Row],[fecha]],"mmmm"),0)</f>
        <v>Mayo</v>
      </c>
    </row>
    <row r="1748" spans="1:27" x14ac:dyDescent="0.3">
      <c r="A1748" s="2">
        <f>IF(BCP_Soles[[#This Row],[tipo_registro]]="R",COUNTIFS($C$1:$C1747,"R")+1,A1747)</f>
        <v>1304</v>
      </c>
      <c r="B1748" s="19" t="str">
        <f t="shared" si="141"/>
        <v>B-BCP - Soles</v>
      </c>
      <c r="C1748" s="3" t="s">
        <v>1330</v>
      </c>
      <c r="D1748" s="14">
        <v>45793</v>
      </c>
      <c r="E1748" s="5" t="s">
        <v>1416</v>
      </c>
      <c r="F1748" s="5" t="s">
        <v>1336</v>
      </c>
      <c r="G1748" s="6"/>
      <c r="H1748" s="6"/>
      <c r="I1748" s="6"/>
      <c r="J1748" s="6"/>
      <c r="K1748" s="7" t="s">
        <v>3064</v>
      </c>
      <c r="L1748" s="8">
        <v>73</v>
      </c>
      <c r="M1748" s="8" t="str">
        <f t="shared" si="142"/>
        <v>PEN</v>
      </c>
      <c r="N1748" s="13"/>
      <c r="O1748" s="13">
        <v>263.85000000000002</v>
      </c>
      <c r="P1748" s="3">
        <f t="shared" si="143"/>
        <v>0</v>
      </c>
      <c r="Q1748" s="3">
        <f t="shared" si="144"/>
        <v>263.85000000000002</v>
      </c>
      <c r="R1748" s="3">
        <f t="shared" si="145"/>
        <v>129701.36999999997</v>
      </c>
      <c r="S1748" s="24" t="s">
        <v>1334</v>
      </c>
      <c r="T1748" s="24" t="s">
        <v>1334</v>
      </c>
      <c r="U1748" s="53"/>
      <c r="V1748" s="25" t="str">
        <f>IFERROR(VLOOKUP(BCP_Soles[[#This Row],[destinatario]],CHOOSE({1,2},Clientes_Proveedores[Razon Social],Clientes_Proveedores[Ruc / Dni]),2,0),"")</f>
        <v/>
      </c>
      <c r="W1748" s="25" t="s">
        <v>1540</v>
      </c>
      <c r="X1748" s="25"/>
      <c r="Y1748" s="25"/>
      <c r="Z1748" s="75"/>
      <c r="AA1748" s="3" t="str">
        <f>IF(BCP_Soles[[#This Row],[fecha]]&gt;0,TEXT(BCP_Soles[[#This Row],[fecha]],"mmmm"),0)</f>
        <v>Mayo</v>
      </c>
    </row>
    <row r="1749" spans="1:27" x14ac:dyDescent="0.3">
      <c r="A1749" s="2">
        <f>IF(BCP_Soles[[#This Row],[tipo_registro]]="R",COUNTIFS($C$1:$C1748,"R")+1,A1748)</f>
        <v>1305</v>
      </c>
      <c r="B1749" s="19" t="str">
        <f t="shared" si="141"/>
        <v>B-BCP - Soles</v>
      </c>
      <c r="C1749" s="3" t="s">
        <v>1330</v>
      </c>
      <c r="D1749" s="14">
        <v>45793</v>
      </c>
      <c r="E1749" s="5" t="s">
        <v>1416</v>
      </c>
      <c r="F1749" s="5" t="s">
        <v>1336</v>
      </c>
      <c r="G1749" s="6"/>
      <c r="H1749" s="6"/>
      <c r="I1749" s="6"/>
      <c r="J1749" s="6"/>
      <c r="K1749" s="7" t="s">
        <v>3065</v>
      </c>
      <c r="L1749" s="8">
        <v>72</v>
      </c>
      <c r="M1749" s="8" t="str">
        <f t="shared" si="142"/>
        <v>PEN</v>
      </c>
      <c r="N1749" s="13"/>
      <c r="O1749" s="13">
        <v>1919.04</v>
      </c>
      <c r="P1749" s="3">
        <f t="shared" si="143"/>
        <v>0</v>
      </c>
      <c r="Q1749" s="3">
        <f t="shared" si="144"/>
        <v>1919.04</v>
      </c>
      <c r="R1749" s="3">
        <f t="shared" si="145"/>
        <v>127782.32999999997</v>
      </c>
      <c r="S1749" s="24" t="s">
        <v>1334</v>
      </c>
      <c r="T1749" s="24" t="s">
        <v>1334</v>
      </c>
      <c r="U1749" s="53"/>
      <c r="V1749" s="25" t="str">
        <f>IFERROR(VLOOKUP(BCP_Soles[[#This Row],[destinatario]],CHOOSE({1,2},Clientes_Proveedores[Razon Social],Clientes_Proveedores[Ruc / Dni]),2,0),"")</f>
        <v/>
      </c>
      <c r="W1749" s="25" t="s">
        <v>1535</v>
      </c>
      <c r="X1749" s="25"/>
      <c r="Y1749" s="25"/>
      <c r="Z1749" s="75"/>
      <c r="AA1749" s="3" t="str">
        <f>IF(BCP_Soles[[#This Row],[fecha]]&gt;0,TEXT(BCP_Soles[[#This Row],[fecha]],"mmmm"),0)</f>
        <v>Mayo</v>
      </c>
    </row>
    <row r="1750" spans="1:27" x14ac:dyDescent="0.3">
      <c r="A1750" s="2">
        <f>IF(BCP_Soles[[#This Row],[tipo_registro]]="R",COUNTIFS($C$1:$C1749,"R")+1,A1749)</f>
        <v>1306</v>
      </c>
      <c r="B1750" s="19" t="str">
        <f t="shared" ref="B1750:B1813" si="146">"B-BCP - Soles"</f>
        <v>B-BCP - Soles</v>
      </c>
      <c r="C1750" s="3" t="s">
        <v>1330</v>
      </c>
      <c r="D1750" s="14">
        <v>45793</v>
      </c>
      <c r="E1750" s="5" t="s">
        <v>1416</v>
      </c>
      <c r="F1750" s="5" t="s">
        <v>1336</v>
      </c>
      <c r="G1750" s="6"/>
      <c r="H1750" s="6"/>
      <c r="I1750" s="6"/>
      <c r="J1750" s="6"/>
      <c r="K1750" s="7" t="s">
        <v>3066</v>
      </c>
      <c r="L1750" s="8">
        <v>70</v>
      </c>
      <c r="M1750" s="8" t="str">
        <f t="shared" ref="M1750:M1813" si="147">"PEN"</f>
        <v>PEN</v>
      </c>
      <c r="N1750" s="13"/>
      <c r="O1750" s="13">
        <v>5281.92</v>
      </c>
      <c r="P1750" s="3">
        <f t="shared" ref="P1750:P1813" si="148">+IF(OR($F1750="SALDO",$F1750="INGRESO"),$O1750,0)</f>
        <v>0</v>
      </c>
      <c r="Q1750" s="3">
        <f t="shared" ref="Q1750:Q1813" si="149">+IF($F1750="EGRESO",$O1750,0)</f>
        <v>5281.92</v>
      </c>
      <c r="R1750" s="3">
        <f t="shared" si="145"/>
        <v>122500.40999999997</v>
      </c>
      <c r="S1750" s="24" t="s">
        <v>1334</v>
      </c>
      <c r="T1750" s="24" t="s">
        <v>1334</v>
      </c>
      <c r="U1750" s="53"/>
      <c r="V1750" s="25" t="str">
        <f>IFERROR(VLOOKUP(BCP_Soles[[#This Row],[destinatario]],CHOOSE({1,2},Clientes_Proveedores[Razon Social],Clientes_Proveedores[Ruc / Dni]),2,0),"")</f>
        <v/>
      </c>
      <c r="W1750" s="25" t="s">
        <v>1532</v>
      </c>
      <c r="X1750" s="25"/>
      <c r="Y1750" s="25"/>
      <c r="Z1750" s="75"/>
      <c r="AA1750" s="3" t="str">
        <f>IF(BCP_Soles[[#This Row],[fecha]]&gt;0,TEXT(BCP_Soles[[#This Row],[fecha]],"mmmm"),0)</f>
        <v>Mayo</v>
      </c>
    </row>
    <row r="1751" spans="1:27" x14ac:dyDescent="0.3">
      <c r="A1751" s="2">
        <f>IF(BCP_Soles[[#This Row],[tipo_registro]]="R",COUNTIFS($C$1:$C1750,"R")+1,A1750)</f>
        <v>1307</v>
      </c>
      <c r="B1751" s="19" t="str">
        <f t="shared" si="146"/>
        <v>B-BCP - Soles</v>
      </c>
      <c r="C1751" s="3" t="s">
        <v>1330</v>
      </c>
      <c r="D1751" s="14">
        <v>45793</v>
      </c>
      <c r="E1751" s="5" t="s">
        <v>1416</v>
      </c>
      <c r="F1751" s="5" t="s">
        <v>1336</v>
      </c>
      <c r="G1751" s="6"/>
      <c r="H1751" s="6"/>
      <c r="I1751" s="6"/>
      <c r="J1751" s="6"/>
      <c r="K1751" s="7" t="s">
        <v>3067</v>
      </c>
      <c r="L1751" s="8">
        <v>69</v>
      </c>
      <c r="M1751" s="8" t="str">
        <f t="shared" si="147"/>
        <v>PEN</v>
      </c>
      <c r="N1751" s="13"/>
      <c r="O1751" s="13">
        <v>851.89</v>
      </c>
      <c r="P1751" s="3">
        <f t="shared" si="148"/>
        <v>0</v>
      </c>
      <c r="Q1751" s="3">
        <f t="shared" si="149"/>
        <v>851.89</v>
      </c>
      <c r="R1751" s="3">
        <f t="shared" si="145"/>
        <v>121648.51999999997</v>
      </c>
      <c r="S1751" s="24" t="s">
        <v>1334</v>
      </c>
      <c r="T1751" s="24" t="s">
        <v>1334</v>
      </c>
      <c r="U1751" s="53"/>
      <c r="V1751" s="25" t="str">
        <f>IFERROR(VLOOKUP(BCP_Soles[[#This Row],[destinatario]],CHOOSE({1,2},Clientes_Proveedores[Razon Social],Clientes_Proveedores[Ruc / Dni]),2,0),"")</f>
        <v/>
      </c>
      <c r="W1751" s="25" t="s">
        <v>1538</v>
      </c>
      <c r="X1751" s="25"/>
      <c r="Y1751" s="25"/>
      <c r="Z1751" s="75"/>
      <c r="AA1751" s="3" t="str">
        <f>IF(BCP_Soles[[#This Row],[fecha]]&gt;0,TEXT(BCP_Soles[[#This Row],[fecha]],"mmmm"),0)</f>
        <v>Mayo</v>
      </c>
    </row>
    <row r="1752" spans="1:27" x14ac:dyDescent="0.3">
      <c r="A1752" s="2">
        <f>IF(BCP_Soles[[#This Row],[tipo_registro]]="R",COUNTIFS($C$1:$C1751,"R")+1,A1751)</f>
        <v>1308</v>
      </c>
      <c r="B1752" s="19" t="str">
        <f t="shared" si="146"/>
        <v>B-BCP - Soles</v>
      </c>
      <c r="C1752" s="3" t="s">
        <v>1330</v>
      </c>
      <c r="D1752" s="14">
        <v>45793</v>
      </c>
      <c r="E1752" s="5" t="s">
        <v>286</v>
      </c>
      <c r="F1752" s="5" t="s">
        <v>1303</v>
      </c>
      <c r="G1752" s="6" t="s">
        <v>425</v>
      </c>
      <c r="H1752" s="6"/>
      <c r="I1752" s="6"/>
      <c r="J1752" s="6"/>
      <c r="K1752" s="7" t="s">
        <v>1382</v>
      </c>
      <c r="L1752" s="8">
        <v>1917</v>
      </c>
      <c r="M1752" s="8" t="str">
        <f t="shared" si="147"/>
        <v>PEN</v>
      </c>
      <c r="N1752" s="13"/>
      <c r="O1752" s="13">
        <v>2661.36</v>
      </c>
      <c r="P1752" s="3">
        <f t="shared" si="148"/>
        <v>2661.36</v>
      </c>
      <c r="Q1752" s="3">
        <f t="shared" si="149"/>
        <v>0</v>
      </c>
      <c r="R1752" s="3">
        <f t="shared" si="145"/>
        <v>124309.87999999998</v>
      </c>
      <c r="S1752" s="24" t="s">
        <v>1334</v>
      </c>
      <c r="T1752" s="24" t="s">
        <v>1334</v>
      </c>
      <c r="U1752" s="53"/>
      <c r="V1752" s="25">
        <f>IFERROR(VLOOKUP(BCP_Soles[[#This Row],[destinatario]],CHOOSE({1,2},Clientes_Proveedores[Razon Social],Clientes_Proveedores[Ruc / Dni]),2,0),"")</f>
        <v>20558226979</v>
      </c>
      <c r="W1752" s="25" t="s">
        <v>1345</v>
      </c>
      <c r="X1752" s="25" t="s">
        <v>3068</v>
      </c>
      <c r="Y1752" s="25"/>
      <c r="Z1752" s="75"/>
      <c r="AA1752" s="3" t="str">
        <f>IF(BCP_Soles[[#This Row],[fecha]]&gt;0,TEXT(BCP_Soles[[#This Row],[fecha]],"mmmm"),0)</f>
        <v>Mayo</v>
      </c>
    </row>
    <row r="1753" spans="1:27" x14ac:dyDescent="0.3">
      <c r="A1753" s="2">
        <f>IF(BCP_Soles[[#This Row],[tipo_registro]]="R",COUNTIFS($C$1:$C1752,"R")+1,A1752)</f>
        <v>1309</v>
      </c>
      <c r="B1753" s="19" t="str">
        <f t="shared" si="146"/>
        <v>B-BCP - Soles</v>
      </c>
      <c r="C1753" s="3" t="s">
        <v>1330</v>
      </c>
      <c r="D1753" s="14">
        <v>45793</v>
      </c>
      <c r="E1753" s="5" t="s">
        <v>439</v>
      </c>
      <c r="F1753" s="5" t="s">
        <v>1303</v>
      </c>
      <c r="G1753" s="6" t="s">
        <v>425</v>
      </c>
      <c r="H1753" s="6" t="s">
        <v>119</v>
      </c>
      <c r="I1753" s="6">
        <v>1</v>
      </c>
      <c r="J1753" s="6">
        <v>4413</v>
      </c>
      <c r="K1753" s="7" t="s">
        <v>1356</v>
      </c>
      <c r="L1753" s="8">
        <v>3206680</v>
      </c>
      <c r="M1753" s="8" t="str">
        <f t="shared" si="147"/>
        <v>PEN</v>
      </c>
      <c r="N1753" s="13"/>
      <c r="O1753" s="13">
        <v>910</v>
      </c>
      <c r="P1753" s="3">
        <f t="shared" si="148"/>
        <v>910</v>
      </c>
      <c r="Q1753" s="3">
        <f t="shared" si="149"/>
        <v>0</v>
      </c>
      <c r="R1753" s="3">
        <f t="shared" si="145"/>
        <v>125219.87999999998</v>
      </c>
      <c r="S1753" s="24" t="s">
        <v>1334</v>
      </c>
      <c r="T1753" s="24" t="s">
        <v>1334</v>
      </c>
      <c r="U1753" s="53"/>
      <c r="V1753" s="25">
        <f>IFERROR(VLOOKUP(BCP_Soles[[#This Row],[destinatario]],CHOOSE({1,2},Clientes_Proveedores[Razon Social],Clientes_Proveedores[Ruc / Dni]),2,0),"")</f>
        <v>20558226979</v>
      </c>
      <c r="W1753" s="25" t="s">
        <v>1345</v>
      </c>
      <c r="X1753" s="25" t="s">
        <v>3069</v>
      </c>
      <c r="Y1753" s="25"/>
      <c r="Z1753" s="75"/>
      <c r="AA1753" s="3" t="str">
        <f>IF(BCP_Soles[[#This Row],[fecha]]&gt;0,TEXT(BCP_Soles[[#This Row],[fecha]],"mmmm"),0)</f>
        <v>Mayo</v>
      </c>
    </row>
    <row r="1754" spans="1:27" ht="24" x14ac:dyDescent="0.3">
      <c r="A1754" s="2">
        <f>IF(BCP_Soles[[#This Row],[tipo_registro]]="R",COUNTIFS($C$1:$C1753,"R")+1,A1753)</f>
        <v>1310</v>
      </c>
      <c r="B1754" s="19" t="str">
        <f t="shared" si="146"/>
        <v>B-BCP - Soles</v>
      </c>
      <c r="C1754" s="3" t="s">
        <v>1330</v>
      </c>
      <c r="D1754" s="14">
        <v>45793</v>
      </c>
      <c r="E1754" s="5" t="s">
        <v>274</v>
      </c>
      <c r="F1754" s="5" t="s">
        <v>1303</v>
      </c>
      <c r="G1754" s="6" t="s">
        <v>425</v>
      </c>
      <c r="H1754" s="6"/>
      <c r="I1754" s="6"/>
      <c r="J1754" s="6"/>
      <c r="K1754" s="7" t="s">
        <v>1356</v>
      </c>
      <c r="L1754" s="8">
        <v>3206089</v>
      </c>
      <c r="M1754" s="8" t="str">
        <f t="shared" si="147"/>
        <v>PEN</v>
      </c>
      <c r="N1754" s="13"/>
      <c r="O1754" s="13">
        <v>209.96</v>
      </c>
      <c r="P1754" s="3">
        <f t="shared" si="148"/>
        <v>209.96</v>
      </c>
      <c r="Q1754" s="3">
        <f t="shared" si="149"/>
        <v>0</v>
      </c>
      <c r="R1754" s="3">
        <f t="shared" si="145"/>
        <v>125429.83999999998</v>
      </c>
      <c r="S1754" s="24" t="s">
        <v>1334</v>
      </c>
      <c r="T1754" s="24" t="s">
        <v>1334</v>
      </c>
      <c r="U1754" s="53"/>
      <c r="V1754" s="25">
        <f>IFERROR(VLOOKUP(BCP_Soles[[#This Row],[destinatario]],CHOOSE({1,2},Clientes_Proveedores[Razon Social],Clientes_Proveedores[Ruc / Dni]),2,0),"")</f>
        <v>20558226979</v>
      </c>
      <c r="W1754" s="25" t="s">
        <v>1345</v>
      </c>
      <c r="X1754" s="25" t="s">
        <v>3070</v>
      </c>
      <c r="Y1754" s="25"/>
      <c r="Z1754" s="75"/>
      <c r="AA1754" s="3" t="str">
        <f>IF(BCP_Soles[[#This Row],[fecha]]&gt;0,TEXT(BCP_Soles[[#This Row],[fecha]],"mmmm"),0)</f>
        <v>Mayo</v>
      </c>
    </row>
    <row r="1755" spans="1:27" ht="60" x14ac:dyDescent="0.3">
      <c r="A1755" s="2">
        <f>IF(BCP_Soles[[#This Row],[tipo_registro]]="R",COUNTIFS($C$1:$C1754,"R")+1,A1754)</f>
        <v>1311</v>
      </c>
      <c r="B1755" s="19" t="str">
        <f t="shared" si="146"/>
        <v>B-BCP - Soles</v>
      </c>
      <c r="C1755" s="3" t="s">
        <v>1330</v>
      </c>
      <c r="D1755" s="14">
        <v>45793</v>
      </c>
      <c r="E1755" s="5" t="s">
        <v>295</v>
      </c>
      <c r="F1755" s="5" t="s">
        <v>1303</v>
      </c>
      <c r="G1755" s="6" t="s">
        <v>425</v>
      </c>
      <c r="H1755" s="6"/>
      <c r="I1755" s="6"/>
      <c r="J1755" s="6"/>
      <c r="K1755" s="7" t="s">
        <v>1428</v>
      </c>
      <c r="L1755" s="8">
        <v>2256631</v>
      </c>
      <c r="M1755" s="8" t="str">
        <f t="shared" si="147"/>
        <v>PEN</v>
      </c>
      <c r="N1755" s="13"/>
      <c r="O1755" s="13">
        <v>943.79</v>
      </c>
      <c r="P1755" s="3">
        <f t="shared" si="148"/>
        <v>943.79</v>
      </c>
      <c r="Q1755" s="3">
        <f t="shared" si="149"/>
        <v>0</v>
      </c>
      <c r="R1755" s="3">
        <f t="shared" si="145"/>
        <v>126373.62999999998</v>
      </c>
      <c r="S1755" s="24" t="s">
        <v>1334</v>
      </c>
      <c r="T1755" s="24" t="s">
        <v>1334</v>
      </c>
      <c r="U1755" s="53"/>
      <c r="V1755" s="25">
        <f>IFERROR(VLOOKUP(BCP_Soles[[#This Row],[destinatario]],CHOOSE({1,2},Clientes_Proveedores[Razon Social],Clientes_Proveedores[Ruc / Dni]),2,0),"")</f>
        <v>20558226979</v>
      </c>
      <c r="W1755" s="25" t="s">
        <v>1345</v>
      </c>
      <c r="X1755" s="25" t="s">
        <v>3071</v>
      </c>
      <c r="Y1755" s="25"/>
      <c r="Z1755" s="75"/>
      <c r="AA1755" s="3" t="str">
        <f>IF(BCP_Soles[[#This Row],[fecha]]&gt;0,TEXT(BCP_Soles[[#This Row],[fecha]],"mmmm"),0)</f>
        <v>Mayo</v>
      </c>
    </row>
    <row r="1756" spans="1:27" ht="60" x14ac:dyDescent="0.3">
      <c r="A1756" s="2">
        <f>IF(BCP_Soles[[#This Row],[tipo_registro]]="R",COUNTIFS($C$1:$C1755,"R")+1,A1755)</f>
        <v>1312</v>
      </c>
      <c r="B1756" s="19" t="str">
        <f t="shared" si="146"/>
        <v>B-BCP - Soles</v>
      </c>
      <c r="C1756" s="3" t="s">
        <v>1330</v>
      </c>
      <c r="D1756" s="14">
        <v>45793</v>
      </c>
      <c r="E1756" s="5" t="s">
        <v>295</v>
      </c>
      <c r="F1756" s="5" t="s">
        <v>1303</v>
      </c>
      <c r="G1756" s="6" t="s">
        <v>425</v>
      </c>
      <c r="H1756" s="6"/>
      <c r="I1756" s="6"/>
      <c r="J1756" s="6"/>
      <c r="K1756" s="7" t="s">
        <v>1428</v>
      </c>
      <c r="L1756" s="8">
        <v>2253921</v>
      </c>
      <c r="M1756" s="8" t="str">
        <f t="shared" si="147"/>
        <v>PEN</v>
      </c>
      <c r="N1756" s="13"/>
      <c r="O1756" s="13">
        <v>338.25</v>
      </c>
      <c r="P1756" s="3">
        <f t="shared" si="148"/>
        <v>338.25</v>
      </c>
      <c r="Q1756" s="3">
        <f t="shared" si="149"/>
        <v>0</v>
      </c>
      <c r="R1756" s="3">
        <f t="shared" si="145"/>
        <v>126711.87999999998</v>
      </c>
      <c r="S1756" s="24" t="s">
        <v>1334</v>
      </c>
      <c r="T1756" s="24" t="s">
        <v>1334</v>
      </c>
      <c r="U1756" s="53"/>
      <c r="V1756" s="25">
        <f>IFERROR(VLOOKUP(BCP_Soles[[#This Row],[destinatario]],CHOOSE({1,2},Clientes_Proveedores[Razon Social],Clientes_Proveedores[Ruc / Dni]),2,0),"")</f>
        <v>20558226979</v>
      </c>
      <c r="W1756" s="25" t="s">
        <v>1345</v>
      </c>
      <c r="X1756" s="25" t="s">
        <v>3072</v>
      </c>
      <c r="Y1756" s="25"/>
      <c r="Z1756" s="75"/>
      <c r="AA1756" s="3" t="str">
        <f>IF(BCP_Soles[[#This Row],[fecha]]&gt;0,TEXT(BCP_Soles[[#This Row],[fecha]],"mmmm"),0)</f>
        <v>Mayo</v>
      </c>
    </row>
    <row r="1757" spans="1:27" x14ac:dyDescent="0.3">
      <c r="A1757" s="2">
        <f>IF(BCP_Soles[[#This Row],[tipo_registro]]="R",COUNTIFS($C$1:$C1756,"R")+1,A1756)</f>
        <v>1313</v>
      </c>
      <c r="B1757" s="19" t="str">
        <f t="shared" si="146"/>
        <v>B-BCP - Soles</v>
      </c>
      <c r="C1757" s="3" t="s">
        <v>1330</v>
      </c>
      <c r="D1757" s="14">
        <v>45793</v>
      </c>
      <c r="E1757" s="5" t="s">
        <v>2269</v>
      </c>
      <c r="F1757" s="5" t="s">
        <v>1336</v>
      </c>
      <c r="G1757" s="6" t="s">
        <v>648</v>
      </c>
      <c r="H1757" s="6" t="s">
        <v>68</v>
      </c>
      <c r="I1757" s="6" t="s">
        <v>1374</v>
      </c>
      <c r="J1757" s="6">
        <v>1022366</v>
      </c>
      <c r="K1757" s="7" t="s">
        <v>1848</v>
      </c>
      <c r="L1757" s="8">
        <v>27326</v>
      </c>
      <c r="M1757" s="8" t="str">
        <f t="shared" si="147"/>
        <v>PEN</v>
      </c>
      <c r="N1757" s="13"/>
      <c r="O1757" s="13">
        <v>120.36</v>
      </c>
      <c r="P1757" s="3">
        <f t="shared" si="148"/>
        <v>0</v>
      </c>
      <c r="Q1757" s="3">
        <f t="shared" si="149"/>
        <v>120.36</v>
      </c>
      <c r="R1757" s="3">
        <f t="shared" si="145"/>
        <v>126591.51999999997</v>
      </c>
      <c r="S1757" s="24" t="s">
        <v>1334</v>
      </c>
      <c r="T1757" s="24" t="s">
        <v>1334</v>
      </c>
      <c r="U1757" s="53"/>
      <c r="V1757" s="25">
        <f>IFERROR(VLOOKUP(BCP_Soles[[#This Row],[destinatario]],CHOOSE({1,2},Clientes_Proveedores[Razon Social],Clientes_Proveedores[Ruc / Dni]),2,0),"")</f>
        <v>20265681299</v>
      </c>
      <c r="W1757" s="25" t="s">
        <v>648</v>
      </c>
      <c r="X1757" s="25" t="s">
        <v>3073</v>
      </c>
      <c r="Y1757" s="25"/>
      <c r="Z1757" s="75"/>
      <c r="AA1757" s="3" t="str">
        <f>IF(BCP_Soles[[#This Row],[fecha]]&gt;0,TEXT(BCP_Soles[[#This Row],[fecha]],"mmmm"),0)</f>
        <v>Mayo</v>
      </c>
    </row>
    <row r="1758" spans="1:27" x14ac:dyDescent="0.3">
      <c r="A1758" s="2">
        <f>IF(BCP_Soles[[#This Row],[tipo_registro]]="R",COUNTIFS($C$1:$C1757,"R")+1,A1757)</f>
        <v>1314</v>
      </c>
      <c r="B1758" s="19" t="str">
        <f t="shared" si="146"/>
        <v>B-BCP - Soles</v>
      </c>
      <c r="C1758" s="3" t="s">
        <v>1330</v>
      </c>
      <c r="D1758" s="14">
        <v>45793</v>
      </c>
      <c r="E1758" s="5" t="s">
        <v>2269</v>
      </c>
      <c r="F1758" s="5" t="s">
        <v>1336</v>
      </c>
      <c r="G1758" s="6" t="s">
        <v>648</v>
      </c>
      <c r="H1758" s="6" t="s">
        <v>68</v>
      </c>
      <c r="I1758" s="6" t="s">
        <v>1374</v>
      </c>
      <c r="J1758" s="6">
        <v>1032039</v>
      </c>
      <c r="K1758" s="7" t="s">
        <v>1848</v>
      </c>
      <c r="L1758" s="8">
        <v>26340</v>
      </c>
      <c r="M1758" s="8" t="str">
        <f t="shared" si="147"/>
        <v>PEN</v>
      </c>
      <c r="N1758" s="13"/>
      <c r="O1758" s="13">
        <v>120.36</v>
      </c>
      <c r="P1758" s="3">
        <f t="shared" si="148"/>
        <v>0</v>
      </c>
      <c r="Q1758" s="3">
        <f t="shared" si="149"/>
        <v>120.36</v>
      </c>
      <c r="R1758" s="3">
        <f t="shared" si="145"/>
        <v>126471.15999999997</v>
      </c>
      <c r="S1758" s="24" t="s">
        <v>1334</v>
      </c>
      <c r="T1758" s="24" t="s">
        <v>1334</v>
      </c>
      <c r="U1758" s="53"/>
      <c r="V1758" s="25">
        <f>IFERROR(VLOOKUP(BCP_Soles[[#This Row],[destinatario]],CHOOSE({1,2},Clientes_Proveedores[Razon Social],Clientes_Proveedores[Ruc / Dni]),2,0),"")</f>
        <v>20265681299</v>
      </c>
      <c r="W1758" s="25" t="s">
        <v>648</v>
      </c>
      <c r="X1758" s="25" t="s">
        <v>3074</v>
      </c>
      <c r="Y1758" s="25"/>
      <c r="Z1758" s="75"/>
      <c r="AA1758" s="3" t="str">
        <f>IF(BCP_Soles[[#This Row],[fecha]]&gt;0,TEXT(BCP_Soles[[#This Row],[fecha]],"mmmm"),0)</f>
        <v>Mayo</v>
      </c>
    </row>
    <row r="1759" spans="1:27" x14ac:dyDescent="0.3">
      <c r="A1759" s="2">
        <f>IF(BCP_Soles[[#This Row],[tipo_registro]]="R",COUNTIFS($C$1:$C1758,"R")+1,A1758)</f>
        <v>1315</v>
      </c>
      <c r="B1759" s="19" t="str">
        <f t="shared" si="146"/>
        <v>B-BCP - Soles</v>
      </c>
      <c r="C1759" s="3" t="s">
        <v>1330</v>
      </c>
      <c r="D1759" s="14">
        <v>45793</v>
      </c>
      <c r="E1759" s="5" t="s">
        <v>2269</v>
      </c>
      <c r="F1759" s="5" t="s">
        <v>1336</v>
      </c>
      <c r="G1759" s="6"/>
      <c r="H1759" s="6"/>
      <c r="I1759" s="6"/>
      <c r="J1759" s="6"/>
      <c r="K1759" s="7" t="s">
        <v>3075</v>
      </c>
      <c r="L1759" s="8">
        <v>1010809</v>
      </c>
      <c r="M1759" s="8" t="str">
        <f t="shared" si="147"/>
        <v>PEN</v>
      </c>
      <c r="N1759" s="13"/>
      <c r="O1759" s="13">
        <v>832</v>
      </c>
      <c r="P1759" s="3">
        <f t="shared" si="148"/>
        <v>0</v>
      </c>
      <c r="Q1759" s="3">
        <f t="shared" si="149"/>
        <v>832</v>
      </c>
      <c r="R1759" s="3">
        <f t="shared" si="145"/>
        <v>125639.15999999997</v>
      </c>
      <c r="S1759" s="24"/>
      <c r="T1759" s="24"/>
      <c r="U1759" s="53"/>
      <c r="V1759" s="25" t="str">
        <f>IFERROR(VLOOKUP(BCP_Soles[[#This Row],[destinatario]],CHOOSE({1,2},Clientes_Proveedores[Razon Social],Clientes_Proveedores[Ruc / Dni]),2,0),"")</f>
        <v/>
      </c>
      <c r="W1759" s="25" t="s">
        <v>2666</v>
      </c>
      <c r="X1759" s="25"/>
      <c r="Y1759" s="25"/>
      <c r="Z1759" s="75"/>
      <c r="AA1759" s="3" t="str">
        <f>IF(BCP_Soles[[#This Row],[fecha]]&gt;0,TEXT(BCP_Soles[[#This Row],[fecha]],"mmmm"),0)</f>
        <v>Mayo</v>
      </c>
    </row>
    <row r="1760" spans="1:27" x14ac:dyDescent="0.3">
      <c r="A1760" s="2">
        <f>IF(BCP_Soles[[#This Row],[tipo_registro]]="R",COUNTIFS($C$1:$C1759,"R")+1,A1759)</f>
        <v>1316</v>
      </c>
      <c r="B1760" s="19" t="str">
        <f t="shared" si="146"/>
        <v>B-BCP - Soles</v>
      </c>
      <c r="C1760" s="3" t="s">
        <v>1330</v>
      </c>
      <c r="D1760" s="14">
        <v>45793</v>
      </c>
      <c r="E1760" s="5" t="s">
        <v>2269</v>
      </c>
      <c r="F1760" s="5" t="s">
        <v>1336</v>
      </c>
      <c r="G1760" s="6" t="s">
        <v>695</v>
      </c>
      <c r="H1760" s="6" t="s">
        <v>68</v>
      </c>
      <c r="I1760" s="6" t="s">
        <v>1377</v>
      </c>
      <c r="J1760" s="6">
        <v>162711</v>
      </c>
      <c r="K1760" s="7" t="s">
        <v>1378</v>
      </c>
      <c r="L1760" s="8">
        <v>26841</v>
      </c>
      <c r="M1760" s="8" t="str">
        <f t="shared" si="147"/>
        <v>PEN</v>
      </c>
      <c r="N1760" s="13"/>
      <c r="O1760" s="13">
        <v>1401.75</v>
      </c>
      <c r="P1760" s="3">
        <f t="shared" si="148"/>
        <v>0</v>
      </c>
      <c r="Q1760" s="3">
        <f t="shared" si="149"/>
        <v>1401.75</v>
      </c>
      <c r="R1760" s="3">
        <f t="shared" si="145"/>
        <v>124237.40999999997</v>
      </c>
      <c r="S1760" s="24" t="s">
        <v>1334</v>
      </c>
      <c r="T1760" s="24" t="s">
        <v>1334</v>
      </c>
      <c r="U1760" s="53"/>
      <c r="V1760" s="25">
        <f>IFERROR(VLOOKUP(BCP_Soles[[#This Row],[destinatario]],CHOOSE({1,2},Clientes_Proveedores[Razon Social],Clientes_Proveedores[Ruc / Dni]),2,0),"")</f>
        <v>20127765279</v>
      </c>
      <c r="W1760" s="25" t="s">
        <v>1379</v>
      </c>
      <c r="X1760" s="25" t="s">
        <v>3076</v>
      </c>
      <c r="Y1760" s="25"/>
      <c r="Z1760" s="75"/>
      <c r="AA1760" s="3" t="str">
        <f>IF(BCP_Soles[[#This Row],[fecha]]&gt;0,TEXT(BCP_Soles[[#This Row],[fecha]],"mmmm"),0)</f>
        <v>Mayo</v>
      </c>
    </row>
    <row r="1761" spans="1:27" x14ac:dyDescent="0.3">
      <c r="A1761" s="2">
        <f>IF(BCP_Soles[[#This Row],[tipo_registro]]="R",COUNTIFS($C$1:$C1760,"R")+1,A1760)</f>
        <v>1317</v>
      </c>
      <c r="B1761" s="19" t="str">
        <f t="shared" si="146"/>
        <v>B-BCP - Soles</v>
      </c>
      <c r="C1761" s="3" t="s">
        <v>1330</v>
      </c>
      <c r="D1761" s="14">
        <v>45793</v>
      </c>
      <c r="E1761" s="5" t="s">
        <v>2269</v>
      </c>
      <c r="F1761" s="5" t="s">
        <v>1336</v>
      </c>
      <c r="G1761" s="6" t="s">
        <v>695</v>
      </c>
      <c r="H1761" s="6" t="s">
        <v>68</v>
      </c>
      <c r="I1761" s="6" t="s">
        <v>1377</v>
      </c>
      <c r="J1761" s="6">
        <v>162688</v>
      </c>
      <c r="K1761" s="7" t="s">
        <v>1378</v>
      </c>
      <c r="L1761" s="8">
        <v>26840</v>
      </c>
      <c r="M1761" s="8" t="str">
        <f t="shared" si="147"/>
        <v>PEN</v>
      </c>
      <c r="N1761" s="13"/>
      <c r="O1761" s="13">
        <v>1710.7</v>
      </c>
      <c r="P1761" s="3">
        <f t="shared" si="148"/>
        <v>0</v>
      </c>
      <c r="Q1761" s="3">
        <f t="shared" si="149"/>
        <v>1710.7</v>
      </c>
      <c r="R1761" s="3">
        <f t="shared" si="145"/>
        <v>122526.70999999998</v>
      </c>
      <c r="S1761" s="24" t="s">
        <v>1334</v>
      </c>
      <c r="T1761" s="24" t="s">
        <v>1334</v>
      </c>
      <c r="U1761" s="53"/>
      <c r="V1761" s="25">
        <f>IFERROR(VLOOKUP(BCP_Soles[[#This Row],[destinatario]],CHOOSE({1,2},Clientes_Proveedores[Razon Social],Clientes_Proveedores[Ruc / Dni]),2,0),"")</f>
        <v>20127765279</v>
      </c>
      <c r="W1761" s="25" t="s">
        <v>1379</v>
      </c>
      <c r="X1761" s="25" t="s">
        <v>3077</v>
      </c>
      <c r="Y1761" s="25"/>
      <c r="Z1761" s="75"/>
      <c r="AA1761" s="3" t="str">
        <f>IF(BCP_Soles[[#This Row],[fecha]]&gt;0,TEXT(BCP_Soles[[#This Row],[fecha]],"mmmm"),0)</f>
        <v>Mayo</v>
      </c>
    </row>
    <row r="1762" spans="1:27" ht="24" x14ac:dyDescent="0.3">
      <c r="A1762" s="2">
        <f>IF(BCP_Soles[[#This Row],[tipo_registro]]="R",COUNTIFS($C$1:$C1761,"R")+1,A1761)</f>
        <v>1318</v>
      </c>
      <c r="B1762" s="19" t="str">
        <f t="shared" si="146"/>
        <v>B-BCP - Soles</v>
      </c>
      <c r="C1762" s="3" t="s">
        <v>1330</v>
      </c>
      <c r="D1762" s="14">
        <v>45793</v>
      </c>
      <c r="E1762" s="5" t="s">
        <v>2269</v>
      </c>
      <c r="F1762" s="5" t="s">
        <v>1336</v>
      </c>
      <c r="G1762" s="6" t="s">
        <v>778</v>
      </c>
      <c r="H1762" s="6" t="s">
        <v>68</v>
      </c>
      <c r="I1762" s="6" t="s">
        <v>3078</v>
      </c>
      <c r="J1762" s="6">
        <v>158055</v>
      </c>
      <c r="K1762" s="7" t="s">
        <v>3079</v>
      </c>
      <c r="L1762" s="8">
        <v>24364</v>
      </c>
      <c r="M1762" s="8" t="str">
        <f t="shared" si="147"/>
        <v>PEN</v>
      </c>
      <c r="N1762" s="13"/>
      <c r="O1762" s="13">
        <v>3734.89</v>
      </c>
      <c r="P1762" s="3">
        <f t="shared" si="148"/>
        <v>0</v>
      </c>
      <c r="Q1762" s="3">
        <f t="shared" si="149"/>
        <v>3734.89</v>
      </c>
      <c r="R1762" s="3">
        <f t="shared" si="145"/>
        <v>118791.81999999998</v>
      </c>
      <c r="S1762" s="24" t="s">
        <v>1334</v>
      </c>
      <c r="T1762" s="24" t="s">
        <v>1334</v>
      </c>
      <c r="U1762" s="53"/>
      <c r="V1762" s="25">
        <f>IFERROR(VLOOKUP(BCP_Soles[[#This Row],[destinatario]],CHOOSE({1,2},Clientes_Proveedores[Razon Social],Clientes_Proveedores[Ruc / Dni]),2,0),"")</f>
        <v>20375361991</v>
      </c>
      <c r="W1762" s="25" t="s">
        <v>3080</v>
      </c>
      <c r="X1762" s="25" t="s">
        <v>3081</v>
      </c>
      <c r="Y1762" s="25"/>
      <c r="Z1762" s="75"/>
      <c r="AA1762" s="3" t="str">
        <f>IF(BCP_Soles[[#This Row],[fecha]]&gt;0,TEXT(BCP_Soles[[#This Row],[fecha]],"mmmm"),0)</f>
        <v>Mayo</v>
      </c>
    </row>
    <row r="1763" spans="1:27" x14ac:dyDescent="0.3">
      <c r="A1763" s="2">
        <f>IF(BCP_Soles[[#This Row],[tipo_registro]]="R",COUNTIFS($C$1:$C1762,"R")+1,A1762)</f>
        <v>1319</v>
      </c>
      <c r="B1763" s="19" t="str">
        <f t="shared" si="146"/>
        <v>B-BCP - Soles</v>
      </c>
      <c r="C1763" s="3" t="s">
        <v>1330</v>
      </c>
      <c r="D1763" s="14">
        <v>45793</v>
      </c>
      <c r="E1763" s="5" t="s">
        <v>1416</v>
      </c>
      <c r="F1763" s="5" t="s">
        <v>1336</v>
      </c>
      <c r="G1763" s="6"/>
      <c r="H1763" s="6"/>
      <c r="I1763" s="6"/>
      <c r="J1763" s="6"/>
      <c r="K1763" s="7" t="s">
        <v>3082</v>
      </c>
      <c r="L1763" s="8">
        <v>6822940</v>
      </c>
      <c r="M1763" s="8" t="str">
        <f t="shared" si="147"/>
        <v>PEN</v>
      </c>
      <c r="N1763" s="13"/>
      <c r="O1763" s="13">
        <v>35227.019999999997</v>
      </c>
      <c r="P1763" s="3">
        <f t="shared" si="148"/>
        <v>0</v>
      </c>
      <c r="Q1763" s="3">
        <f t="shared" si="149"/>
        <v>35227.019999999997</v>
      </c>
      <c r="R1763" s="3">
        <f t="shared" si="145"/>
        <v>83564.799999999988</v>
      </c>
      <c r="S1763" s="24"/>
      <c r="T1763" s="24"/>
      <c r="U1763" s="53"/>
      <c r="V1763" s="25" t="str">
        <f>IFERROR(VLOOKUP(BCP_Soles[[#This Row],[destinatario]],CHOOSE({1,2},Clientes_Proveedores[Razon Social],Clientes_Proveedores[Ruc / Dni]),2,0),"")</f>
        <v/>
      </c>
      <c r="W1763" s="25"/>
      <c r="X1763" s="25"/>
      <c r="Y1763" s="25"/>
      <c r="Z1763" s="75"/>
      <c r="AA1763" s="3" t="str">
        <f>IF(BCP_Soles[[#This Row],[fecha]]&gt;0,TEXT(BCP_Soles[[#This Row],[fecha]],"mmmm"),0)</f>
        <v>Mayo</v>
      </c>
    </row>
    <row r="1764" spans="1:27" ht="24" x14ac:dyDescent="0.3">
      <c r="A1764" s="2">
        <f>IF(BCP_Soles[[#This Row],[tipo_registro]]="R",COUNTIFS($C$1:$C1763,"R")+1,A1763)</f>
        <v>1320</v>
      </c>
      <c r="B1764" s="19" t="str">
        <f t="shared" si="146"/>
        <v>B-BCP - Soles</v>
      </c>
      <c r="C1764" s="3" t="s">
        <v>1330</v>
      </c>
      <c r="D1764" s="14">
        <v>45793</v>
      </c>
      <c r="E1764" s="5" t="s">
        <v>1416</v>
      </c>
      <c r="F1764" s="5" t="s">
        <v>1336</v>
      </c>
      <c r="G1764" s="148" t="s">
        <v>895</v>
      </c>
      <c r="H1764" s="6"/>
      <c r="I1764" s="6"/>
      <c r="J1764" s="6"/>
      <c r="K1764" s="7" t="s">
        <v>3083</v>
      </c>
      <c r="L1764" s="8">
        <v>1267491</v>
      </c>
      <c r="M1764" s="8" t="str">
        <f t="shared" si="147"/>
        <v>PEN</v>
      </c>
      <c r="N1764" s="13"/>
      <c r="O1764" s="13">
        <v>5810</v>
      </c>
      <c r="P1764" s="3">
        <f t="shared" si="148"/>
        <v>0</v>
      </c>
      <c r="Q1764" s="3">
        <f t="shared" si="149"/>
        <v>5810</v>
      </c>
      <c r="R1764" s="3">
        <f t="shared" si="145"/>
        <v>77754.799999999988</v>
      </c>
      <c r="S1764" s="24"/>
      <c r="T1764" s="24" t="s">
        <v>1334</v>
      </c>
      <c r="U1764" s="53"/>
      <c r="V1764" s="25">
        <f>IFERROR(VLOOKUP(BCP_Soles[[#This Row],[destinatario]],CHOOSE({1,2},Clientes_Proveedores[Razon Social],Clientes_Proveedores[Ruc / Dni]),2,0),"")</f>
        <v>72144092</v>
      </c>
      <c r="W1764" s="25" t="s">
        <v>895</v>
      </c>
      <c r="X1764" s="25"/>
      <c r="Y1764" s="25"/>
      <c r="Z1764" s="75"/>
      <c r="AA1764" s="3" t="str">
        <f>IF(BCP_Soles[[#This Row],[fecha]]&gt;0,TEXT(BCP_Soles[[#This Row],[fecha]],"mmmm"),0)</f>
        <v>Mayo</v>
      </c>
    </row>
    <row r="1765" spans="1:27" ht="24" x14ac:dyDescent="0.3">
      <c r="A1765" s="2">
        <f>IF(BCP_Soles[[#This Row],[tipo_registro]]="R",COUNTIFS($C$1:$C1764,"R")+1,A1764)</f>
        <v>1321</v>
      </c>
      <c r="B1765" s="19" t="str">
        <f t="shared" si="146"/>
        <v>B-BCP - Soles</v>
      </c>
      <c r="C1765" s="3" t="s">
        <v>1330</v>
      </c>
      <c r="D1765" s="14">
        <v>45793</v>
      </c>
      <c r="E1765" s="5" t="s">
        <v>1416</v>
      </c>
      <c r="F1765" s="5" t="s">
        <v>1336</v>
      </c>
      <c r="G1765" s="6"/>
      <c r="H1765" s="6"/>
      <c r="I1765" s="6"/>
      <c r="J1765" s="6"/>
      <c r="K1765" s="7" t="s">
        <v>3084</v>
      </c>
      <c r="L1765" s="8">
        <v>1268849</v>
      </c>
      <c r="M1765" s="8" t="str">
        <f t="shared" si="147"/>
        <v>PEN</v>
      </c>
      <c r="N1765" s="13"/>
      <c r="O1765" s="13">
        <v>36511</v>
      </c>
      <c r="P1765" s="3">
        <f t="shared" si="148"/>
        <v>0</v>
      </c>
      <c r="Q1765" s="3">
        <f t="shared" si="149"/>
        <v>36511</v>
      </c>
      <c r="R1765" s="3">
        <f t="shared" si="145"/>
        <v>41243.799999999988</v>
      </c>
      <c r="S1765" s="24"/>
      <c r="T1765" s="24"/>
      <c r="U1765" s="53"/>
      <c r="V1765" s="25" t="str">
        <f>IFERROR(VLOOKUP(BCP_Soles[[#This Row],[destinatario]],CHOOSE({1,2},Clientes_Proveedores[Razon Social],Clientes_Proveedores[Ruc / Dni]),2,0),"")</f>
        <v/>
      </c>
      <c r="W1765" s="25" t="s">
        <v>3085</v>
      </c>
      <c r="X1765" s="25"/>
      <c r="Y1765" s="25"/>
      <c r="Z1765" s="75"/>
      <c r="AA1765" s="3" t="str">
        <f>IF(BCP_Soles[[#This Row],[fecha]]&gt;0,TEXT(BCP_Soles[[#This Row],[fecha]],"mmmm"),0)</f>
        <v>Mayo</v>
      </c>
    </row>
    <row r="1766" spans="1:27" ht="24" x14ac:dyDescent="0.3">
      <c r="A1766" s="2">
        <f>IF(BCP_Soles[[#This Row],[tipo_registro]]="R",COUNTIFS($C$1:$C1765,"R")+1,A1765)</f>
        <v>1322</v>
      </c>
      <c r="B1766" s="19" t="str">
        <f t="shared" si="146"/>
        <v>B-BCP - Soles</v>
      </c>
      <c r="C1766" s="3" t="s">
        <v>1330</v>
      </c>
      <c r="D1766" s="14">
        <v>45793</v>
      </c>
      <c r="E1766" s="5" t="s">
        <v>1416</v>
      </c>
      <c r="F1766" s="5" t="s">
        <v>1336</v>
      </c>
      <c r="G1766" s="6"/>
      <c r="H1766" s="6"/>
      <c r="I1766" s="6"/>
      <c r="J1766" s="6"/>
      <c r="K1766" s="7" t="s">
        <v>3086</v>
      </c>
      <c r="L1766" s="8">
        <v>1269319</v>
      </c>
      <c r="M1766" s="8" t="str">
        <f t="shared" si="147"/>
        <v>PEN</v>
      </c>
      <c r="N1766" s="13"/>
      <c r="O1766" s="13">
        <v>36511</v>
      </c>
      <c r="P1766" s="3">
        <f t="shared" si="148"/>
        <v>0</v>
      </c>
      <c r="Q1766" s="3">
        <f t="shared" si="149"/>
        <v>36511</v>
      </c>
      <c r="R1766" s="3">
        <f t="shared" si="145"/>
        <v>4732.7999999999884</v>
      </c>
      <c r="S1766" s="24"/>
      <c r="T1766" s="24"/>
      <c r="U1766" s="53"/>
      <c r="V1766" s="25" t="str">
        <f>IFERROR(VLOOKUP(BCP_Soles[[#This Row],[destinatario]],CHOOSE({1,2},Clientes_Proveedores[Razon Social],Clientes_Proveedores[Ruc / Dni]),2,0),"")</f>
        <v/>
      </c>
      <c r="W1766" s="25" t="s">
        <v>3087</v>
      </c>
      <c r="X1766" s="25"/>
      <c r="Y1766" s="25"/>
      <c r="Z1766" s="75"/>
      <c r="AA1766" s="3" t="str">
        <f>IF(BCP_Soles[[#This Row],[fecha]]&gt;0,TEXT(BCP_Soles[[#This Row],[fecha]],"mmmm"),0)</f>
        <v>Mayo</v>
      </c>
    </row>
    <row r="1767" spans="1:27" x14ac:dyDescent="0.3">
      <c r="A1767" s="2">
        <f>IF(BCP_Soles[[#This Row],[tipo_registro]]="R",COUNTIFS($C$1:$C1766,"R")+1,A1766)</f>
        <v>1323</v>
      </c>
      <c r="B1767" s="19" t="str">
        <f t="shared" si="146"/>
        <v>B-BCP - Soles</v>
      </c>
      <c r="C1767" s="3" t="s">
        <v>1330</v>
      </c>
      <c r="D1767" s="14">
        <v>45793</v>
      </c>
      <c r="E1767" s="5" t="s">
        <v>1335</v>
      </c>
      <c r="F1767" s="5" t="s">
        <v>1336</v>
      </c>
      <c r="G1767" s="6"/>
      <c r="H1767" s="6"/>
      <c r="I1767" s="6"/>
      <c r="J1767" s="6"/>
      <c r="K1767" s="7" t="s">
        <v>1337</v>
      </c>
      <c r="L1767" s="8"/>
      <c r="M1767" s="8" t="str">
        <f t="shared" si="147"/>
        <v>PEN</v>
      </c>
      <c r="N1767" s="13"/>
      <c r="O1767" s="13">
        <v>6.25</v>
      </c>
      <c r="P1767" s="3">
        <f t="shared" si="148"/>
        <v>0</v>
      </c>
      <c r="Q1767" s="3">
        <f t="shared" si="149"/>
        <v>6.25</v>
      </c>
      <c r="R1767" s="3">
        <f t="shared" si="145"/>
        <v>4726.5499999999884</v>
      </c>
      <c r="S1767" s="24"/>
      <c r="T1767" s="24" t="s">
        <v>1334</v>
      </c>
      <c r="U1767" s="53"/>
      <c r="V1767" s="25" t="str">
        <f>IFERROR(VLOOKUP(BCP_Soles[[#This Row],[destinatario]],CHOOSE({1,2},Clientes_Proveedores[Razon Social],Clientes_Proveedores[Ruc / Dni]),2,0),"")</f>
        <v/>
      </c>
      <c r="W1767" s="25"/>
      <c r="X1767" s="25"/>
      <c r="Y1767" s="25"/>
      <c r="Z1767" s="75"/>
      <c r="AA1767" s="3" t="str">
        <f>IF(BCP_Soles[[#This Row],[fecha]]&gt;0,TEXT(BCP_Soles[[#This Row],[fecha]],"mmmm"),0)</f>
        <v>Mayo</v>
      </c>
    </row>
    <row r="1768" spans="1:27" ht="24" x14ac:dyDescent="0.3">
      <c r="A1768" s="2">
        <f>IF(BCP_Soles[[#This Row],[tipo_registro]]="R",COUNTIFS($C$1:$C1767,"R")+1,A1767)</f>
        <v>1324</v>
      </c>
      <c r="B1768" s="19" t="str">
        <f t="shared" si="146"/>
        <v>B-BCP - Soles</v>
      </c>
      <c r="C1768" s="3" t="s">
        <v>1330</v>
      </c>
      <c r="D1768" s="14">
        <v>45793</v>
      </c>
      <c r="E1768" s="5" t="s">
        <v>1335</v>
      </c>
      <c r="F1768" s="5" t="s">
        <v>1336</v>
      </c>
      <c r="G1768" s="6" t="s">
        <v>1060</v>
      </c>
      <c r="H1768" s="6" t="s">
        <v>68</v>
      </c>
      <c r="I1768" s="6" t="s">
        <v>1397</v>
      </c>
      <c r="J1768" s="6">
        <v>32824982</v>
      </c>
      <c r="K1768" s="7" t="s">
        <v>1400</v>
      </c>
      <c r="L1768" s="8">
        <v>453</v>
      </c>
      <c r="M1768" s="8" t="str">
        <f t="shared" si="147"/>
        <v>PEN</v>
      </c>
      <c r="N1768" s="13"/>
      <c r="O1768" s="13">
        <v>10</v>
      </c>
      <c r="P1768" s="3">
        <f t="shared" si="148"/>
        <v>0</v>
      </c>
      <c r="Q1768" s="3">
        <f t="shared" si="149"/>
        <v>10</v>
      </c>
      <c r="R1768" s="3">
        <f t="shared" si="145"/>
        <v>4716.5499999999884</v>
      </c>
      <c r="S1768" s="24" t="s">
        <v>1334</v>
      </c>
      <c r="T1768" s="24" t="s">
        <v>1334</v>
      </c>
      <c r="U1768" s="53"/>
      <c r="V1768" s="25">
        <f>IFERROR(VLOOKUP(BCP_Soles[[#This Row],[destinatario]],CHOOSE({1,2},Clientes_Proveedores[Razon Social],Clientes_Proveedores[Ruc / Dni]),2,0),"")</f>
        <v>20100047218</v>
      </c>
      <c r="W1768" s="25" t="s">
        <v>1335</v>
      </c>
      <c r="X1768" s="25" t="s">
        <v>3088</v>
      </c>
      <c r="Y1768" s="25"/>
      <c r="Z1768" s="75"/>
      <c r="AA1768" s="3" t="str">
        <f>IF(BCP_Soles[[#This Row],[fecha]]&gt;0,TEXT(BCP_Soles[[#This Row],[fecha]],"mmmm"),0)</f>
        <v>Mayo</v>
      </c>
    </row>
    <row r="1769" spans="1:27" x14ac:dyDescent="0.3">
      <c r="A1769" s="2">
        <f>IF(BCP_Soles[[#This Row],[tipo_registro]]="R",COUNTIFS($C$1:$C1768,"R")+1,A1768)</f>
        <v>1325</v>
      </c>
      <c r="B1769" s="19" t="str">
        <f t="shared" si="146"/>
        <v>B-BCP - Soles</v>
      </c>
      <c r="C1769" s="3" t="s">
        <v>1330</v>
      </c>
      <c r="D1769" s="14">
        <v>45796</v>
      </c>
      <c r="E1769" s="5" t="s">
        <v>3089</v>
      </c>
      <c r="F1769" s="5" t="s">
        <v>1336</v>
      </c>
      <c r="G1769" s="6" t="s">
        <v>809</v>
      </c>
      <c r="H1769" s="6" t="s">
        <v>143</v>
      </c>
      <c r="I1769" s="6">
        <v>1</v>
      </c>
      <c r="J1769" s="6">
        <v>782025</v>
      </c>
      <c r="K1769" s="7" t="s">
        <v>1582</v>
      </c>
      <c r="L1769" s="8">
        <v>1015277</v>
      </c>
      <c r="M1769" s="8" t="str">
        <f t="shared" si="147"/>
        <v>PEN</v>
      </c>
      <c r="N1769" s="13"/>
      <c r="O1769" s="13">
        <v>2791.24</v>
      </c>
      <c r="P1769" s="3">
        <f t="shared" si="148"/>
        <v>0</v>
      </c>
      <c r="Q1769" s="3">
        <f t="shared" si="149"/>
        <v>2791.24</v>
      </c>
      <c r="R1769" s="3">
        <f t="shared" si="145"/>
        <v>1925.3099999999886</v>
      </c>
      <c r="S1769" s="24"/>
      <c r="T1769" s="24" t="s">
        <v>1334</v>
      </c>
      <c r="U1769" s="53"/>
      <c r="V1769" s="25">
        <f>IFERROR(VLOOKUP(BCP_Soles[[#This Row],[destinatario]],CHOOSE({1,2},Clientes_Proveedores[Razon Social],Clientes_Proveedores[Ruc / Dni]),2,0),"")</f>
        <v>45286301</v>
      </c>
      <c r="W1769" s="25"/>
      <c r="X1769" s="25"/>
      <c r="Y1769" s="25"/>
      <c r="Z1769" s="75"/>
      <c r="AA1769" s="3" t="str">
        <f>IF(BCP_Soles[[#This Row],[fecha]]&gt;0,TEXT(BCP_Soles[[#This Row],[fecha]],"mmmm"),0)</f>
        <v>Mayo</v>
      </c>
    </row>
    <row r="1770" spans="1:27" x14ac:dyDescent="0.3">
      <c r="A1770" s="2">
        <f>IF(BCP_Soles[[#This Row],[tipo_registro]]="R",COUNTIFS($C$1:$C1769,"R")+1,A1769)</f>
        <v>1326</v>
      </c>
      <c r="B1770" s="19" t="str">
        <f t="shared" si="146"/>
        <v>B-BCP - Soles</v>
      </c>
      <c r="C1770" s="3" t="s">
        <v>1330</v>
      </c>
      <c r="D1770" s="14">
        <v>45796</v>
      </c>
      <c r="E1770" s="5" t="s">
        <v>1345</v>
      </c>
      <c r="F1770" s="5" t="s">
        <v>1303</v>
      </c>
      <c r="G1770" s="6" t="s">
        <v>425</v>
      </c>
      <c r="H1770" s="6"/>
      <c r="I1770" s="6"/>
      <c r="J1770" s="6"/>
      <c r="K1770" s="7" t="s">
        <v>3090</v>
      </c>
      <c r="L1770" s="8">
        <v>2006427</v>
      </c>
      <c r="M1770" s="8" t="str">
        <f t="shared" si="147"/>
        <v>PEN</v>
      </c>
      <c r="N1770" s="13"/>
      <c r="O1770" s="13">
        <v>15000</v>
      </c>
      <c r="P1770" s="3">
        <f t="shared" si="148"/>
        <v>15000</v>
      </c>
      <c r="Q1770" s="3">
        <f t="shared" si="149"/>
        <v>0</v>
      </c>
      <c r="R1770" s="3">
        <f t="shared" si="145"/>
        <v>16925.30999999999</v>
      </c>
      <c r="S1770" s="24" t="s">
        <v>1334</v>
      </c>
      <c r="T1770" s="24" t="s">
        <v>1334</v>
      </c>
      <c r="U1770" s="53"/>
      <c r="V1770" s="25">
        <f>IFERROR(VLOOKUP(BCP_Soles[[#This Row],[destinatario]],CHOOSE({1,2},Clientes_Proveedores[Razon Social],Clientes_Proveedores[Ruc / Dni]),2,0),"")</f>
        <v>20558226979</v>
      </c>
      <c r="W1770" s="25" t="s">
        <v>1345</v>
      </c>
      <c r="X1770" s="25"/>
      <c r="Y1770" s="25"/>
      <c r="Z1770" s="75"/>
      <c r="AA1770" s="3" t="str">
        <f>IF(BCP_Soles[[#This Row],[fecha]]&gt;0,TEXT(BCP_Soles[[#This Row],[fecha]],"mmmm"),0)</f>
        <v>Mayo</v>
      </c>
    </row>
    <row r="1771" spans="1:27" ht="24" x14ac:dyDescent="0.3">
      <c r="A1771" s="2">
        <f>IF(BCP_Soles[[#This Row],[tipo_registro]]="R",COUNTIFS($C$1:$C1770,"R")+1,A1770)</f>
        <v>1327</v>
      </c>
      <c r="B1771" s="19" t="str">
        <f t="shared" si="146"/>
        <v>B-BCP - Soles</v>
      </c>
      <c r="C1771" s="3" t="s">
        <v>1330</v>
      </c>
      <c r="D1771" s="14">
        <v>45796</v>
      </c>
      <c r="E1771" s="5" t="s">
        <v>3091</v>
      </c>
      <c r="F1771" s="5" t="s">
        <v>1303</v>
      </c>
      <c r="G1771" s="6" t="s">
        <v>425</v>
      </c>
      <c r="H1771" s="6" t="s">
        <v>119</v>
      </c>
      <c r="I1771" s="6">
        <v>2</v>
      </c>
      <c r="J1771" s="6">
        <v>779</v>
      </c>
      <c r="K1771" s="7" t="s">
        <v>1356</v>
      </c>
      <c r="L1771" s="8">
        <v>2459751</v>
      </c>
      <c r="M1771" s="8" t="str">
        <f t="shared" si="147"/>
        <v>PEN</v>
      </c>
      <c r="N1771" s="13"/>
      <c r="O1771" s="13">
        <v>2552</v>
      </c>
      <c r="P1771" s="3">
        <f t="shared" si="148"/>
        <v>2552</v>
      </c>
      <c r="Q1771" s="3">
        <f t="shared" si="149"/>
        <v>0</v>
      </c>
      <c r="R1771" s="3">
        <f t="shared" si="145"/>
        <v>19477.30999999999</v>
      </c>
      <c r="S1771" s="24" t="s">
        <v>1334</v>
      </c>
      <c r="T1771" s="24" t="s">
        <v>1334</v>
      </c>
      <c r="U1771" s="53"/>
      <c r="V1771" s="25">
        <f>IFERROR(VLOOKUP(BCP_Soles[[#This Row],[destinatario]],CHOOSE({1,2},Clientes_Proveedores[Razon Social],Clientes_Proveedores[Ruc / Dni]),2,0),"")</f>
        <v>20558226979</v>
      </c>
      <c r="W1771" s="25" t="s">
        <v>1345</v>
      </c>
      <c r="X1771" s="25" t="s">
        <v>3092</v>
      </c>
      <c r="Y1771" s="25"/>
      <c r="Z1771" s="75"/>
      <c r="AA1771" s="3" t="str">
        <f>IF(BCP_Soles[[#This Row],[fecha]]&gt;0,TEXT(BCP_Soles[[#This Row],[fecha]],"mmmm"),0)</f>
        <v>Mayo</v>
      </c>
    </row>
    <row r="1772" spans="1:27" ht="24" x14ac:dyDescent="0.3">
      <c r="A1772" s="2">
        <f>IF(BCP_Soles[[#This Row],[tipo_registro]]="R",COUNTIFS($C$1:$C1771,"R")+1,A1771)</f>
        <v>1328</v>
      </c>
      <c r="B1772" s="19" t="str">
        <f t="shared" si="146"/>
        <v>B-BCP - Soles</v>
      </c>
      <c r="C1772" s="3" t="s">
        <v>1330</v>
      </c>
      <c r="D1772" s="14">
        <v>45796</v>
      </c>
      <c r="E1772" s="5" t="s">
        <v>2502</v>
      </c>
      <c r="F1772" s="5" t="s">
        <v>1303</v>
      </c>
      <c r="G1772" s="6" t="s">
        <v>425</v>
      </c>
      <c r="H1772" s="6" t="s">
        <v>119</v>
      </c>
      <c r="I1772" s="6">
        <v>1</v>
      </c>
      <c r="J1772" s="6">
        <v>4421</v>
      </c>
      <c r="K1772" s="7" t="s">
        <v>1356</v>
      </c>
      <c r="L1772" s="8">
        <v>1141531</v>
      </c>
      <c r="M1772" s="8" t="str">
        <f t="shared" si="147"/>
        <v>PEN</v>
      </c>
      <c r="N1772" s="13"/>
      <c r="O1772" s="13">
        <v>185</v>
      </c>
      <c r="P1772" s="3">
        <f t="shared" si="148"/>
        <v>185</v>
      </c>
      <c r="Q1772" s="3">
        <f t="shared" si="149"/>
        <v>0</v>
      </c>
      <c r="R1772" s="3">
        <f t="shared" si="145"/>
        <v>19662.30999999999</v>
      </c>
      <c r="S1772" s="24" t="s">
        <v>1334</v>
      </c>
      <c r="T1772" s="24" t="s">
        <v>1334</v>
      </c>
      <c r="U1772" s="53"/>
      <c r="V1772" s="25">
        <f>IFERROR(VLOOKUP(BCP_Soles[[#This Row],[destinatario]],CHOOSE({1,2},Clientes_Proveedores[Razon Social],Clientes_Proveedores[Ruc / Dni]),2,0),"")</f>
        <v>20558226979</v>
      </c>
      <c r="W1772" s="25" t="s">
        <v>1345</v>
      </c>
      <c r="X1772" s="25" t="s">
        <v>3093</v>
      </c>
      <c r="Y1772" s="25"/>
      <c r="Z1772" s="75"/>
      <c r="AA1772" s="3" t="str">
        <f>IF(BCP_Soles[[#This Row],[fecha]]&gt;0,TEXT(BCP_Soles[[#This Row],[fecha]],"mmmm"),0)</f>
        <v>Mayo</v>
      </c>
    </row>
    <row r="1773" spans="1:27" x14ac:dyDescent="0.3">
      <c r="A1773" s="2">
        <f>IF(BCP_Soles[[#This Row],[tipo_registro]]="R",COUNTIFS($C$1:$C1772,"R")+1,A1772)</f>
        <v>1329</v>
      </c>
      <c r="B1773" s="19" t="str">
        <f t="shared" si="146"/>
        <v>B-BCP - Soles</v>
      </c>
      <c r="C1773" s="3" t="s">
        <v>1330</v>
      </c>
      <c r="D1773" s="14">
        <v>45796</v>
      </c>
      <c r="E1773" s="5" t="s">
        <v>1498</v>
      </c>
      <c r="F1773" s="5" t="s">
        <v>1303</v>
      </c>
      <c r="G1773" s="6" t="s">
        <v>425</v>
      </c>
      <c r="H1773" s="6" t="s">
        <v>119</v>
      </c>
      <c r="I1773" s="6">
        <v>1</v>
      </c>
      <c r="J1773" s="6">
        <v>4419</v>
      </c>
      <c r="K1773" s="7" t="s">
        <v>1356</v>
      </c>
      <c r="L1773" s="8">
        <v>1159518</v>
      </c>
      <c r="M1773" s="8" t="str">
        <f t="shared" si="147"/>
        <v>PEN</v>
      </c>
      <c r="N1773" s="13"/>
      <c r="O1773" s="13">
        <v>45</v>
      </c>
      <c r="P1773" s="3">
        <f t="shared" si="148"/>
        <v>45</v>
      </c>
      <c r="Q1773" s="3">
        <f t="shared" si="149"/>
        <v>0</v>
      </c>
      <c r="R1773" s="3">
        <f t="shared" si="145"/>
        <v>19707.30999999999</v>
      </c>
      <c r="S1773" s="24" t="s">
        <v>1334</v>
      </c>
      <c r="T1773" s="24" t="s">
        <v>1334</v>
      </c>
      <c r="U1773" s="53"/>
      <c r="V1773" s="25">
        <f>IFERROR(VLOOKUP(BCP_Soles[[#This Row],[destinatario]],CHOOSE({1,2},Clientes_Proveedores[Razon Social],Clientes_Proveedores[Ruc / Dni]),2,0),"")</f>
        <v>20558226979</v>
      </c>
      <c r="W1773" s="25" t="s">
        <v>1345</v>
      </c>
      <c r="X1773" s="25" t="s">
        <v>3094</v>
      </c>
      <c r="Y1773" s="25"/>
      <c r="Z1773" s="75"/>
      <c r="AA1773" s="3" t="str">
        <f>IF(BCP_Soles[[#This Row],[fecha]]&gt;0,TEXT(BCP_Soles[[#This Row],[fecha]],"mmmm"),0)</f>
        <v>Mayo</v>
      </c>
    </row>
    <row r="1774" spans="1:27" ht="24" x14ac:dyDescent="0.3">
      <c r="A1774" s="2">
        <f>IF(BCP_Soles[[#This Row],[tipo_registro]]="R",COUNTIFS($C$1:$C1773,"R")+1,A1773)</f>
        <v>1330</v>
      </c>
      <c r="B1774" s="19" t="str">
        <f t="shared" si="146"/>
        <v>B-BCP - Soles</v>
      </c>
      <c r="C1774" s="3" t="s">
        <v>1330</v>
      </c>
      <c r="D1774" s="14">
        <v>45796</v>
      </c>
      <c r="E1774" s="5" t="s">
        <v>1505</v>
      </c>
      <c r="F1774" s="5" t="s">
        <v>1303</v>
      </c>
      <c r="G1774" s="6" t="s">
        <v>425</v>
      </c>
      <c r="H1774" s="6" t="s">
        <v>119</v>
      </c>
      <c r="I1774" s="6">
        <v>2</v>
      </c>
      <c r="J1774" s="6">
        <v>765</v>
      </c>
      <c r="K1774" s="7" t="s">
        <v>1356</v>
      </c>
      <c r="L1774" s="8">
        <v>3615640</v>
      </c>
      <c r="M1774" s="8" t="str">
        <f t="shared" si="147"/>
        <v>PEN</v>
      </c>
      <c r="N1774" s="13"/>
      <c r="O1774" s="13">
        <v>2299</v>
      </c>
      <c r="P1774" s="3">
        <f t="shared" si="148"/>
        <v>2299</v>
      </c>
      <c r="Q1774" s="3">
        <f t="shared" si="149"/>
        <v>0</v>
      </c>
      <c r="R1774" s="3">
        <f t="shared" si="145"/>
        <v>22006.30999999999</v>
      </c>
      <c r="S1774" s="24" t="s">
        <v>1334</v>
      </c>
      <c r="T1774" s="24" t="s">
        <v>1334</v>
      </c>
      <c r="U1774" s="53"/>
      <c r="V1774" s="25">
        <f>IFERROR(VLOOKUP(BCP_Soles[[#This Row],[destinatario]],CHOOSE({1,2},Clientes_Proveedores[Razon Social],Clientes_Proveedores[Ruc / Dni]),2,0),"")</f>
        <v>20558226979</v>
      </c>
      <c r="W1774" s="25" t="s">
        <v>1345</v>
      </c>
      <c r="X1774" s="25" t="s">
        <v>3095</v>
      </c>
      <c r="Y1774" s="25"/>
      <c r="Z1774" s="75"/>
      <c r="AA1774" s="3" t="str">
        <f>IF(BCP_Soles[[#This Row],[fecha]]&gt;0,TEXT(BCP_Soles[[#This Row],[fecha]],"mmmm"),0)</f>
        <v>Mayo</v>
      </c>
    </row>
    <row r="1775" spans="1:27" ht="24" x14ac:dyDescent="0.3">
      <c r="A1775" s="2">
        <f>IF(BCP_Soles[[#This Row],[tipo_registro]]="R",COUNTIFS($C$1:$C1774,"R")+1,A1774)</f>
        <v>1331</v>
      </c>
      <c r="B1775" s="19" t="str">
        <f t="shared" si="146"/>
        <v>B-BCP - Soles</v>
      </c>
      <c r="C1775" s="3" t="s">
        <v>1330</v>
      </c>
      <c r="D1775" s="14">
        <v>45796</v>
      </c>
      <c r="E1775" s="5" t="s">
        <v>1338</v>
      </c>
      <c r="F1775" s="5" t="s">
        <v>1336</v>
      </c>
      <c r="G1775" s="6" t="s">
        <v>249</v>
      </c>
      <c r="H1775" s="6"/>
      <c r="I1775" s="6"/>
      <c r="J1775" s="6"/>
      <c r="K1775" s="7" t="s">
        <v>3096</v>
      </c>
      <c r="L1775" s="8">
        <v>1105289</v>
      </c>
      <c r="M1775" s="8" t="str">
        <f t="shared" si="147"/>
        <v>PEN</v>
      </c>
      <c r="N1775" s="13"/>
      <c r="O1775" s="13">
        <v>40.71</v>
      </c>
      <c r="P1775" s="3">
        <f t="shared" si="148"/>
        <v>0</v>
      </c>
      <c r="Q1775" s="3">
        <f t="shared" si="149"/>
        <v>40.71</v>
      </c>
      <c r="R1775" s="3">
        <f t="shared" si="145"/>
        <v>21965.599999999991</v>
      </c>
      <c r="S1775" s="24"/>
      <c r="T1775" s="24"/>
      <c r="U1775" s="53"/>
      <c r="V1775" s="25">
        <f>IFERROR(VLOOKUP(BCP_Soles[[#This Row],[destinatario]],CHOOSE({1,2},Clientes_Proveedores[Razon Social],Clientes_Proveedores[Ruc / Dni]),2,0),"")</f>
        <v>20302891452</v>
      </c>
      <c r="W1775" s="25" t="s">
        <v>249</v>
      </c>
      <c r="X1775" s="25"/>
      <c r="Y1775" s="25"/>
      <c r="Z1775" s="75"/>
      <c r="AA1775" s="3" t="str">
        <f>IF(BCP_Soles[[#This Row],[fecha]]&gt;0,TEXT(BCP_Soles[[#This Row],[fecha]],"mmmm"),0)</f>
        <v>Mayo</v>
      </c>
    </row>
    <row r="1776" spans="1:27" ht="36" x14ac:dyDescent="0.3">
      <c r="A1776" s="2">
        <f>IF(BCP_Soles[[#This Row],[tipo_registro]]="R",COUNTIFS($C$1:$C1775,"R")+1,A1775)</f>
        <v>1332</v>
      </c>
      <c r="B1776" s="19" t="str">
        <f t="shared" si="146"/>
        <v>B-BCP - Soles</v>
      </c>
      <c r="C1776" s="3" t="s">
        <v>1330</v>
      </c>
      <c r="D1776" s="14">
        <v>45796</v>
      </c>
      <c r="E1776" s="5" t="s">
        <v>1338</v>
      </c>
      <c r="F1776" s="5" t="s">
        <v>1336</v>
      </c>
      <c r="G1776" s="6" t="s">
        <v>588</v>
      </c>
      <c r="H1776" s="6" t="s">
        <v>68</v>
      </c>
      <c r="I1776" s="6" t="s">
        <v>1376</v>
      </c>
      <c r="J1776" s="6">
        <v>415</v>
      </c>
      <c r="K1776" s="7" t="s">
        <v>3097</v>
      </c>
      <c r="L1776" s="8">
        <v>1204057</v>
      </c>
      <c r="M1776" s="8" t="str">
        <f t="shared" si="147"/>
        <v>PEN</v>
      </c>
      <c r="N1776" s="13"/>
      <c r="O1776" s="13">
        <v>70.680000000000007</v>
      </c>
      <c r="P1776" s="3">
        <f t="shared" si="148"/>
        <v>0</v>
      </c>
      <c r="Q1776" s="3">
        <f t="shared" si="149"/>
        <v>70.680000000000007</v>
      </c>
      <c r="R1776" s="3">
        <f t="shared" si="145"/>
        <v>21894.919999999991</v>
      </c>
      <c r="S1776" s="24" t="s">
        <v>1334</v>
      </c>
      <c r="T1776" s="24" t="s">
        <v>1334</v>
      </c>
      <c r="U1776" s="53"/>
      <c r="V1776" s="25">
        <f>IFERROR(VLOOKUP(BCP_Soles[[#This Row],[destinatario]],CHOOSE({1,2},Clientes_Proveedores[Razon Social],Clientes_Proveedores[Ruc / Dni]),2,0),"")</f>
        <v>20609368773</v>
      </c>
      <c r="W1776" s="25" t="s">
        <v>1439</v>
      </c>
      <c r="X1776" s="25" t="s">
        <v>3098</v>
      </c>
      <c r="Y1776" s="25"/>
      <c r="Z1776" s="75"/>
      <c r="AA1776" s="3" t="str">
        <f>IF(BCP_Soles[[#This Row],[fecha]]&gt;0,TEXT(BCP_Soles[[#This Row],[fecha]],"mmmm"),0)</f>
        <v>Mayo</v>
      </c>
    </row>
    <row r="1777" spans="1:27" ht="24" x14ac:dyDescent="0.3">
      <c r="A1777" s="2">
        <f>IF(BCP_Soles[[#This Row],[tipo_registro]]="R",COUNTIFS($C$1:$C1776,"R")+1,A1776)</f>
        <v>1333</v>
      </c>
      <c r="B1777" s="19" t="str">
        <f t="shared" si="146"/>
        <v>B-BCP - Soles</v>
      </c>
      <c r="C1777" s="3" t="s">
        <v>1330</v>
      </c>
      <c r="D1777" s="14">
        <v>45796</v>
      </c>
      <c r="E1777" s="5" t="s">
        <v>1338</v>
      </c>
      <c r="F1777" s="5" t="s">
        <v>1336</v>
      </c>
      <c r="G1777" s="6" t="s">
        <v>338</v>
      </c>
      <c r="H1777" s="6" t="s">
        <v>68</v>
      </c>
      <c r="I1777" s="6" t="s">
        <v>1376</v>
      </c>
      <c r="J1777" s="6">
        <v>472</v>
      </c>
      <c r="K1777" s="7" t="s">
        <v>3099</v>
      </c>
      <c r="L1777" s="8">
        <v>1205011</v>
      </c>
      <c r="M1777" s="8" t="str">
        <f t="shared" si="147"/>
        <v>PEN</v>
      </c>
      <c r="N1777" s="13"/>
      <c r="O1777" s="13">
        <v>354</v>
      </c>
      <c r="P1777" s="3">
        <f t="shared" si="148"/>
        <v>0</v>
      </c>
      <c r="Q1777" s="3">
        <f t="shared" si="149"/>
        <v>354</v>
      </c>
      <c r="R1777" s="3">
        <f t="shared" si="145"/>
        <v>21540.919999999991</v>
      </c>
      <c r="S1777" s="24" t="s">
        <v>1334</v>
      </c>
      <c r="T1777" s="24" t="s">
        <v>1334</v>
      </c>
      <c r="U1777" s="53"/>
      <c r="V1777" s="25">
        <f>IFERROR(VLOOKUP(BCP_Soles[[#This Row],[destinatario]],CHOOSE({1,2},Clientes_Proveedores[Razon Social],Clientes_Proveedores[Ruc / Dni]),2,0),"")</f>
        <v>20498380931</v>
      </c>
      <c r="W1777" s="25" t="s">
        <v>338</v>
      </c>
      <c r="X1777" s="25" t="s">
        <v>3100</v>
      </c>
      <c r="Y1777" s="25"/>
      <c r="Z1777" s="75"/>
      <c r="AA1777" s="3" t="str">
        <f>IF(BCP_Soles[[#This Row],[fecha]]&gt;0,TEXT(BCP_Soles[[#This Row],[fecha]],"mmmm"),0)</f>
        <v>Mayo</v>
      </c>
    </row>
    <row r="1778" spans="1:27" ht="24" x14ac:dyDescent="0.3">
      <c r="A1778" s="2">
        <f>IF(BCP_Soles[[#This Row],[tipo_registro]]="R",COUNTIFS($C$1:$C1777,"R")+1,A1777)</f>
        <v>1334</v>
      </c>
      <c r="B1778" s="19" t="str">
        <f t="shared" si="146"/>
        <v>B-BCP - Soles</v>
      </c>
      <c r="C1778" s="3" t="s">
        <v>1330</v>
      </c>
      <c r="D1778" s="14">
        <v>45796</v>
      </c>
      <c r="E1778" s="5" t="s">
        <v>1338</v>
      </c>
      <c r="F1778" s="5" t="s">
        <v>1336</v>
      </c>
      <c r="G1778" s="6" t="s">
        <v>1022</v>
      </c>
      <c r="H1778" s="6"/>
      <c r="I1778" s="6"/>
      <c r="J1778" s="6"/>
      <c r="K1778" s="7" t="s">
        <v>3101</v>
      </c>
      <c r="L1778" s="8">
        <v>1104801</v>
      </c>
      <c r="M1778" s="8" t="str">
        <f t="shared" si="147"/>
        <v>PEN</v>
      </c>
      <c r="N1778" s="13"/>
      <c r="O1778" s="13">
        <v>400</v>
      </c>
      <c r="P1778" s="3">
        <f t="shared" si="148"/>
        <v>0</v>
      </c>
      <c r="Q1778" s="3">
        <f t="shared" si="149"/>
        <v>400</v>
      </c>
      <c r="R1778" s="3">
        <f t="shared" si="145"/>
        <v>21140.919999999991</v>
      </c>
      <c r="S1778" s="24"/>
      <c r="T1778" s="24" t="s">
        <v>1334</v>
      </c>
      <c r="U1778" s="53"/>
      <c r="V1778" s="25">
        <f>IFERROR(VLOOKUP(BCP_Soles[[#This Row],[destinatario]],CHOOSE({1,2},Clientes_Proveedores[Razon Social],Clientes_Proveedores[Ruc / Dni]),2,0),"")</f>
        <v>73376012</v>
      </c>
      <c r="W1778" s="25" t="s">
        <v>1022</v>
      </c>
      <c r="X1778" s="25"/>
      <c r="Y1778" s="25"/>
      <c r="Z1778" s="75"/>
      <c r="AA1778" s="3" t="str">
        <f>IF(BCP_Soles[[#This Row],[fecha]]&gt;0,TEXT(BCP_Soles[[#This Row],[fecha]],"mmmm"),0)</f>
        <v>Mayo</v>
      </c>
    </row>
    <row r="1779" spans="1:27" ht="24" x14ac:dyDescent="0.3">
      <c r="A1779" s="2">
        <f>IF(BCP_Soles[[#This Row],[tipo_registro]]="R",COUNTIFS($C$1:$C1778,"R")+1,A1778)</f>
        <v>1335</v>
      </c>
      <c r="B1779" s="19" t="str">
        <f t="shared" si="146"/>
        <v>B-BCP - Soles</v>
      </c>
      <c r="C1779" s="3" t="s">
        <v>1330</v>
      </c>
      <c r="D1779" s="14">
        <v>45796</v>
      </c>
      <c r="E1779" s="5" t="s">
        <v>1338</v>
      </c>
      <c r="F1779" s="5" t="s">
        <v>1336</v>
      </c>
      <c r="G1779" s="6" t="s">
        <v>876</v>
      </c>
      <c r="H1779" s="6"/>
      <c r="I1779" s="6"/>
      <c r="J1779" s="6"/>
      <c r="K1779" s="7" t="s">
        <v>3102</v>
      </c>
      <c r="L1779" s="8">
        <v>1104800</v>
      </c>
      <c r="M1779" s="8" t="str">
        <f t="shared" si="147"/>
        <v>PEN</v>
      </c>
      <c r="N1779" s="13"/>
      <c r="O1779" s="13">
        <v>600</v>
      </c>
      <c r="P1779" s="3">
        <f t="shared" si="148"/>
        <v>0</v>
      </c>
      <c r="Q1779" s="3">
        <f t="shared" si="149"/>
        <v>600</v>
      </c>
      <c r="R1779" s="3">
        <f t="shared" si="145"/>
        <v>20540.919999999991</v>
      </c>
      <c r="S1779" s="24"/>
      <c r="T1779" s="24" t="s">
        <v>1334</v>
      </c>
      <c r="U1779" s="53"/>
      <c r="V1779" s="25">
        <f>IFERROR(VLOOKUP(BCP_Soles[[#This Row],[destinatario]],CHOOSE({1,2},Clientes_Proveedores[Razon Social],Clientes_Proveedores[Ruc / Dni]),2,0),"")</f>
        <v>1829028</v>
      </c>
      <c r="W1779" s="25" t="s">
        <v>1594</v>
      </c>
      <c r="X1779" s="25"/>
      <c r="Y1779" s="25"/>
      <c r="Z1779" s="75"/>
      <c r="AA1779" s="3" t="str">
        <f>IF(BCP_Soles[[#This Row],[fecha]]&gt;0,TEXT(BCP_Soles[[#This Row],[fecha]],"mmmm"),0)</f>
        <v>Mayo</v>
      </c>
    </row>
    <row r="1780" spans="1:27" ht="24" x14ac:dyDescent="0.3">
      <c r="A1780" s="2">
        <f>IF(BCP_Soles[[#This Row],[tipo_registro]]="R",COUNTIFS($C$1:$C1779,"R")+1,A1779)</f>
        <v>1336</v>
      </c>
      <c r="B1780" s="19" t="str">
        <f t="shared" si="146"/>
        <v>B-BCP - Soles</v>
      </c>
      <c r="C1780" s="3" t="s">
        <v>1330</v>
      </c>
      <c r="D1780" s="14">
        <v>45796</v>
      </c>
      <c r="E1780" s="5" t="s">
        <v>1338</v>
      </c>
      <c r="F1780" s="5" t="s">
        <v>1336</v>
      </c>
      <c r="G1780" s="6" t="s">
        <v>918</v>
      </c>
      <c r="H1780" s="6"/>
      <c r="I1780" s="6"/>
      <c r="J1780" s="6"/>
      <c r="K1780" s="7" t="s">
        <v>3103</v>
      </c>
      <c r="L1780" s="8">
        <v>1106257</v>
      </c>
      <c r="M1780" s="8" t="str">
        <f t="shared" si="147"/>
        <v>PEN</v>
      </c>
      <c r="N1780" s="13"/>
      <c r="O1780" s="13">
        <v>630</v>
      </c>
      <c r="P1780" s="3">
        <f t="shared" si="148"/>
        <v>0</v>
      </c>
      <c r="Q1780" s="3">
        <f t="shared" si="149"/>
        <v>630</v>
      </c>
      <c r="R1780" s="3">
        <f t="shared" si="145"/>
        <v>19910.919999999991</v>
      </c>
      <c r="S1780" s="24"/>
      <c r="T1780" s="24" t="s">
        <v>1334</v>
      </c>
      <c r="U1780" s="53"/>
      <c r="V1780" s="25">
        <f>IFERROR(VLOOKUP(BCP_Soles[[#This Row],[destinatario]],CHOOSE({1,2},Clientes_Proveedores[Razon Social],Clientes_Proveedores[Ruc / Dni]),2,0),"")</f>
        <v>48536654</v>
      </c>
      <c r="W1780" s="25" t="s">
        <v>918</v>
      </c>
      <c r="X1780" s="25"/>
      <c r="Y1780" s="25"/>
      <c r="Z1780" s="75"/>
      <c r="AA1780" s="3" t="str">
        <f>IF(BCP_Soles[[#This Row],[fecha]]&gt;0,TEXT(BCP_Soles[[#This Row],[fecha]],"mmmm"),0)</f>
        <v>Mayo</v>
      </c>
    </row>
    <row r="1781" spans="1:27" ht="24" x14ac:dyDescent="0.3">
      <c r="A1781" s="2">
        <f>IF(BCP_Soles[[#This Row],[tipo_registro]]="R",COUNTIFS($C$1:$C1780,"R")+1,A1780)</f>
        <v>1337</v>
      </c>
      <c r="B1781" s="19" t="str">
        <f t="shared" si="146"/>
        <v>B-BCP - Soles</v>
      </c>
      <c r="C1781" s="3" t="s">
        <v>1330</v>
      </c>
      <c r="D1781" s="14">
        <v>45796</v>
      </c>
      <c r="E1781" s="5" t="s">
        <v>1338</v>
      </c>
      <c r="F1781" s="5" t="s">
        <v>1336</v>
      </c>
      <c r="G1781" s="6" t="s">
        <v>888</v>
      </c>
      <c r="H1781" s="6" t="s">
        <v>147</v>
      </c>
      <c r="I1781" s="6">
        <v>13</v>
      </c>
      <c r="J1781" s="6">
        <v>31</v>
      </c>
      <c r="K1781" s="7" t="s">
        <v>3104</v>
      </c>
      <c r="L1781" s="8">
        <v>1104298</v>
      </c>
      <c r="M1781" s="8" t="str">
        <f t="shared" si="147"/>
        <v>PEN</v>
      </c>
      <c r="N1781" s="13"/>
      <c r="O1781" s="13">
        <v>1165</v>
      </c>
      <c r="P1781" s="3">
        <f t="shared" si="148"/>
        <v>0</v>
      </c>
      <c r="Q1781" s="3">
        <f t="shared" si="149"/>
        <v>1165</v>
      </c>
      <c r="R1781" s="3">
        <f t="shared" si="145"/>
        <v>18745.919999999991</v>
      </c>
      <c r="S1781" s="24"/>
      <c r="T1781" s="24" t="s">
        <v>1334</v>
      </c>
      <c r="U1781" s="53"/>
      <c r="V1781" s="25">
        <f>IFERROR(VLOOKUP(BCP_Soles[[#This Row],[destinatario]],CHOOSE({1,2},Clientes_Proveedores[Razon Social],Clientes_Proveedores[Ruc / Dni]),2,0),"")</f>
        <v>47461440</v>
      </c>
      <c r="W1781" s="25"/>
      <c r="X1781" s="25"/>
      <c r="Y1781" s="25"/>
      <c r="Z1781" s="75"/>
      <c r="AA1781" s="3" t="str">
        <f>IF(BCP_Soles[[#This Row],[fecha]]&gt;0,TEXT(BCP_Soles[[#This Row],[fecha]],"mmmm"),0)</f>
        <v>Mayo</v>
      </c>
    </row>
    <row r="1782" spans="1:27" ht="24" x14ac:dyDescent="0.3">
      <c r="A1782" s="2">
        <f>IF(BCP_Soles[[#This Row],[tipo_registro]]="R",COUNTIFS($C$1:$C1781,"R")+1,A1781)</f>
        <v>1338</v>
      </c>
      <c r="B1782" s="19" t="str">
        <f t="shared" si="146"/>
        <v>B-BCP - Soles</v>
      </c>
      <c r="C1782" s="3" t="s">
        <v>1330</v>
      </c>
      <c r="D1782" s="14">
        <v>45796</v>
      </c>
      <c r="E1782" s="5" t="s">
        <v>1338</v>
      </c>
      <c r="F1782" s="5" t="s">
        <v>1336</v>
      </c>
      <c r="G1782" s="6" t="s">
        <v>249</v>
      </c>
      <c r="H1782" s="6"/>
      <c r="I1782" s="6"/>
      <c r="J1782" s="6"/>
      <c r="K1782" s="7" t="s">
        <v>3105</v>
      </c>
      <c r="L1782" s="8">
        <v>1105781</v>
      </c>
      <c r="M1782" s="8" t="str">
        <f t="shared" si="147"/>
        <v>PEN</v>
      </c>
      <c r="N1782" s="13"/>
      <c r="O1782" s="13">
        <v>2272</v>
      </c>
      <c r="P1782" s="3">
        <f t="shared" si="148"/>
        <v>0</v>
      </c>
      <c r="Q1782" s="3">
        <f t="shared" si="149"/>
        <v>2272</v>
      </c>
      <c r="R1782" s="3">
        <f t="shared" si="145"/>
        <v>16473.919999999991</v>
      </c>
      <c r="S1782" s="24"/>
      <c r="T1782" s="24"/>
      <c r="U1782" s="53"/>
      <c r="V1782" s="25">
        <f>IFERROR(VLOOKUP(BCP_Soles[[#This Row],[destinatario]],CHOOSE({1,2},Clientes_Proveedores[Razon Social],Clientes_Proveedores[Ruc / Dni]),2,0),"")</f>
        <v>20302891452</v>
      </c>
      <c r="W1782" s="25" t="s">
        <v>249</v>
      </c>
      <c r="X1782" s="25"/>
      <c r="Y1782" s="25"/>
      <c r="Z1782" s="75"/>
      <c r="AA1782" s="3" t="str">
        <f>IF(BCP_Soles[[#This Row],[fecha]]&gt;0,TEXT(BCP_Soles[[#This Row],[fecha]],"mmmm"),0)</f>
        <v>Mayo</v>
      </c>
    </row>
    <row r="1783" spans="1:27" x14ac:dyDescent="0.3">
      <c r="A1783" s="2">
        <f>IF(BCP_Soles[[#This Row],[tipo_registro]]="R",COUNTIFS($C$1:$C1782,"R")+1,A1782)</f>
        <v>1339</v>
      </c>
      <c r="B1783" s="19" t="str">
        <f t="shared" si="146"/>
        <v>B-BCP - Soles</v>
      </c>
      <c r="C1783" s="3" t="s">
        <v>1330</v>
      </c>
      <c r="D1783" s="14">
        <v>45796</v>
      </c>
      <c r="E1783" s="5" t="s">
        <v>2269</v>
      </c>
      <c r="F1783" s="5" t="s">
        <v>1336</v>
      </c>
      <c r="G1783" s="6" t="s">
        <v>696</v>
      </c>
      <c r="H1783" s="6"/>
      <c r="I1783" s="6"/>
      <c r="J1783" s="6"/>
      <c r="K1783" s="7" t="s">
        <v>3106</v>
      </c>
      <c r="L1783" s="8">
        <v>7794347</v>
      </c>
      <c r="M1783" s="8" t="str">
        <f t="shared" si="147"/>
        <v>PEN</v>
      </c>
      <c r="N1783" s="13"/>
      <c r="O1783" s="13">
        <v>4613.6400000000003</v>
      </c>
      <c r="P1783" s="3">
        <f t="shared" si="148"/>
        <v>0</v>
      </c>
      <c r="Q1783" s="3">
        <f t="shared" si="149"/>
        <v>4613.6400000000003</v>
      </c>
      <c r="R1783" s="3">
        <f t="shared" si="145"/>
        <v>11860.279999999992</v>
      </c>
      <c r="S1783" s="24"/>
      <c r="T1783" s="24" t="s">
        <v>1334</v>
      </c>
      <c r="U1783" s="53"/>
      <c r="V1783" s="25">
        <f>IFERROR(VLOOKUP(BCP_Soles[[#This Row],[destinatario]],CHOOSE({1,2},Clientes_Proveedores[Razon Social],Clientes_Proveedores[Ruc / Dni]),2,0),"")</f>
        <v>0</v>
      </c>
      <c r="W1783" s="25" t="s">
        <v>1373</v>
      </c>
      <c r="X1783" s="25"/>
      <c r="Y1783" s="25"/>
      <c r="Z1783" s="75"/>
      <c r="AA1783" s="3" t="str">
        <f>IF(BCP_Soles[[#This Row],[fecha]]&gt;0,TEXT(BCP_Soles[[#This Row],[fecha]],"mmmm"),0)</f>
        <v>Mayo</v>
      </c>
    </row>
    <row r="1784" spans="1:27" ht="24" x14ac:dyDescent="0.3">
      <c r="A1784" s="2">
        <f>IF(BCP_Soles[[#This Row],[tipo_registro]]="R",COUNTIFS($C$1:$C1783,"R")+1,A1783)</f>
        <v>1339</v>
      </c>
      <c r="B1784" s="19" t="str">
        <f t="shared" si="146"/>
        <v>B-BCP - Soles</v>
      </c>
      <c r="C1784" s="3" t="s">
        <v>1352</v>
      </c>
      <c r="D1784" s="14">
        <v>45796</v>
      </c>
      <c r="E1784" s="5" t="s">
        <v>2269</v>
      </c>
      <c r="F1784" s="5"/>
      <c r="G1784" s="6" t="s">
        <v>187</v>
      </c>
      <c r="H1784" s="6" t="s">
        <v>68</v>
      </c>
      <c r="I1784" s="6" t="s">
        <v>1376</v>
      </c>
      <c r="J1784" s="6">
        <v>419</v>
      </c>
      <c r="K1784" s="7" t="s">
        <v>3106</v>
      </c>
      <c r="L1784" s="8">
        <v>7794347</v>
      </c>
      <c r="M1784" s="8" t="str">
        <f t="shared" si="147"/>
        <v>PEN</v>
      </c>
      <c r="N1784" s="13">
        <v>120</v>
      </c>
      <c r="O1784" s="13"/>
      <c r="P1784" s="3">
        <f t="shared" si="148"/>
        <v>0</v>
      </c>
      <c r="Q1784" s="3">
        <f t="shared" si="149"/>
        <v>0</v>
      </c>
      <c r="R1784" s="3">
        <f t="shared" si="145"/>
        <v>11860.279999999992</v>
      </c>
      <c r="S1784" s="24"/>
      <c r="T1784" s="24" t="s">
        <v>1334</v>
      </c>
      <c r="U1784" s="53"/>
      <c r="V1784" s="25">
        <f>IFERROR(VLOOKUP(BCP_Soles[[#This Row],[destinatario]],CHOOSE({1,2},Clientes_Proveedores[Razon Social],Clientes_Proveedores[Ruc / Dni]),2,0),"")</f>
        <v>10706063426</v>
      </c>
      <c r="W1784" s="25"/>
      <c r="X1784" s="25"/>
      <c r="Y1784" s="25"/>
      <c r="Z1784" s="75"/>
      <c r="AA1784" s="3" t="str">
        <f>IF(BCP_Soles[[#This Row],[fecha]]&gt;0,TEXT(BCP_Soles[[#This Row],[fecha]],"mmmm"),0)</f>
        <v>Mayo</v>
      </c>
    </row>
    <row r="1785" spans="1:27" ht="36" x14ac:dyDescent="0.3">
      <c r="A1785" s="2">
        <f>IF(BCP_Soles[[#This Row],[tipo_registro]]="R",COUNTIFS($C$1:$C1784,"R")+1,A1784)</f>
        <v>1339</v>
      </c>
      <c r="B1785" s="19" t="str">
        <f t="shared" si="146"/>
        <v>B-BCP - Soles</v>
      </c>
      <c r="C1785" s="3" t="s">
        <v>1352</v>
      </c>
      <c r="D1785" s="14">
        <v>45796</v>
      </c>
      <c r="E1785" s="5" t="s">
        <v>2269</v>
      </c>
      <c r="F1785" s="5"/>
      <c r="G1785" s="6" t="s">
        <v>153</v>
      </c>
      <c r="H1785" s="6" t="s">
        <v>68</v>
      </c>
      <c r="I1785" s="6" t="s">
        <v>1376</v>
      </c>
      <c r="J1785" s="6">
        <v>399</v>
      </c>
      <c r="K1785" s="7" t="s">
        <v>3106</v>
      </c>
      <c r="L1785" s="8">
        <v>7794347</v>
      </c>
      <c r="M1785" s="8" t="str">
        <f t="shared" si="147"/>
        <v>PEN</v>
      </c>
      <c r="N1785" s="13">
        <v>290</v>
      </c>
      <c r="O1785" s="13"/>
      <c r="P1785" s="3">
        <f t="shared" si="148"/>
        <v>0</v>
      </c>
      <c r="Q1785" s="3">
        <f t="shared" si="149"/>
        <v>0</v>
      </c>
      <c r="R1785" s="3">
        <f t="shared" si="145"/>
        <v>11860.279999999992</v>
      </c>
      <c r="S1785" s="24"/>
      <c r="T1785" s="24" t="s">
        <v>1334</v>
      </c>
      <c r="U1785" s="53"/>
      <c r="V1785" s="25">
        <f>IFERROR(VLOOKUP(BCP_Soles[[#This Row],[destinatario]],CHOOSE({1,2},Clientes_Proveedores[Razon Social],Clientes_Proveedores[Ruc / Dni]),2,0),"")</f>
        <v>10405211179</v>
      </c>
      <c r="W1785" s="25"/>
      <c r="X1785" s="25"/>
      <c r="Y1785" s="25"/>
      <c r="Z1785" s="75"/>
      <c r="AA1785" s="3" t="str">
        <f>IF(BCP_Soles[[#This Row],[fecha]]&gt;0,TEXT(BCP_Soles[[#This Row],[fecha]],"mmmm"),0)</f>
        <v>Mayo</v>
      </c>
    </row>
    <row r="1786" spans="1:27" ht="36" x14ac:dyDescent="0.3">
      <c r="A1786" s="2">
        <f>IF(BCP_Soles[[#This Row],[tipo_registro]]="R",COUNTIFS($C$1:$C1785,"R")+1,A1785)</f>
        <v>1339</v>
      </c>
      <c r="B1786" s="19" t="str">
        <f t="shared" si="146"/>
        <v>B-BCP - Soles</v>
      </c>
      <c r="C1786" s="3" t="s">
        <v>1352</v>
      </c>
      <c r="D1786" s="14">
        <v>45796</v>
      </c>
      <c r="E1786" s="5" t="s">
        <v>2269</v>
      </c>
      <c r="F1786" s="5"/>
      <c r="G1786" s="6" t="s">
        <v>495</v>
      </c>
      <c r="H1786" s="6" t="s">
        <v>68</v>
      </c>
      <c r="I1786" s="6" t="s">
        <v>1376</v>
      </c>
      <c r="J1786" s="6">
        <v>3825</v>
      </c>
      <c r="K1786" s="7" t="s">
        <v>3106</v>
      </c>
      <c r="L1786" s="8">
        <v>7794347</v>
      </c>
      <c r="M1786" s="8" t="str">
        <f t="shared" si="147"/>
        <v>PEN</v>
      </c>
      <c r="N1786" s="13">
        <v>1926</v>
      </c>
      <c r="O1786" s="13"/>
      <c r="P1786" s="3">
        <f t="shared" si="148"/>
        <v>0</v>
      </c>
      <c r="Q1786" s="3">
        <f t="shared" si="149"/>
        <v>0</v>
      </c>
      <c r="R1786" s="3">
        <f t="shared" si="145"/>
        <v>11860.279999999992</v>
      </c>
      <c r="S1786" s="24"/>
      <c r="T1786" s="24" t="s">
        <v>1334</v>
      </c>
      <c r="U1786" s="53"/>
      <c r="V1786" s="25">
        <f>IFERROR(VLOOKUP(BCP_Soles[[#This Row],[destinatario]],CHOOSE({1,2},Clientes_Proveedores[Razon Social],Clientes_Proveedores[Ruc / Dni]),2,0),"")</f>
        <v>20602778861</v>
      </c>
      <c r="W1786" s="25"/>
      <c r="X1786" s="25"/>
      <c r="Y1786" s="25"/>
      <c r="Z1786" s="75"/>
      <c r="AA1786" s="3" t="str">
        <f>IF(BCP_Soles[[#This Row],[fecha]]&gt;0,TEXT(BCP_Soles[[#This Row],[fecha]],"mmmm"),0)</f>
        <v>Mayo</v>
      </c>
    </row>
    <row r="1787" spans="1:27" ht="24" x14ac:dyDescent="0.3">
      <c r="A1787" s="2">
        <f>IF(BCP_Soles[[#This Row],[tipo_registro]]="R",COUNTIFS($C$1:$C1786,"R")+1,A1786)</f>
        <v>1339</v>
      </c>
      <c r="B1787" s="19" t="str">
        <f t="shared" si="146"/>
        <v>B-BCP - Soles</v>
      </c>
      <c r="C1787" s="3" t="s">
        <v>1352</v>
      </c>
      <c r="D1787" s="14">
        <v>45796</v>
      </c>
      <c r="E1787" s="5" t="s">
        <v>2269</v>
      </c>
      <c r="F1787" s="5"/>
      <c r="G1787" s="6" t="s">
        <v>667</v>
      </c>
      <c r="H1787" s="6" t="s">
        <v>68</v>
      </c>
      <c r="I1787" s="6" t="s">
        <v>1376</v>
      </c>
      <c r="J1787" s="6">
        <v>29</v>
      </c>
      <c r="K1787" s="7" t="s">
        <v>3106</v>
      </c>
      <c r="L1787" s="8">
        <v>7794347</v>
      </c>
      <c r="M1787" s="8" t="str">
        <f t="shared" si="147"/>
        <v>PEN</v>
      </c>
      <c r="N1787" s="13">
        <v>510</v>
      </c>
      <c r="O1787" s="13"/>
      <c r="P1787" s="3">
        <f t="shared" si="148"/>
        <v>0</v>
      </c>
      <c r="Q1787" s="3">
        <f t="shared" si="149"/>
        <v>0</v>
      </c>
      <c r="R1787" s="3">
        <f t="shared" si="145"/>
        <v>11860.279999999992</v>
      </c>
      <c r="S1787" s="24"/>
      <c r="T1787" s="24" t="s">
        <v>1334</v>
      </c>
      <c r="U1787" s="53"/>
      <c r="V1787" s="25">
        <f>IFERROR(VLOOKUP(BCP_Soles[[#This Row],[destinatario]],CHOOSE({1,2},Clientes_Proveedores[Razon Social],Clientes_Proveedores[Ruc / Dni]),2,0),"")</f>
        <v>10410687491</v>
      </c>
      <c r="W1787" s="25"/>
      <c r="X1787" s="25"/>
      <c r="Y1787" s="25"/>
      <c r="Z1787" s="75"/>
      <c r="AA1787" s="3" t="str">
        <f>IF(BCP_Soles[[#This Row],[fecha]]&gt;0,TEXT(BCP_Soles[[#This Row],[fecha]],"mmmm"),0)</f>
        <v>Mayo</v>
      </c>
    </row>
    <row r="1788" spans="1:27" x14ac:dyDescent="0.3">
      <c r="A1788" s="2">
        <f>IF(BCP_Soles[[#This Row],[tipo_registro]]="R",COUNTIFS($C$1:$C1787,"R")+1,A1787)</f>
        <v>1339</v>
      </c>
      <c r="B1788" s="19" t="str">
        <f t="shared" si="146"/>
        <v>B-BCP - Soles</v>
      </c>
      <c r="C1788" s="3" t="s">
        <v>1352</v>
      </c>
      <c r="D1788" s="14">
        <v>45796</v>
      </c>
      <c r="E1788" s="5" t="s">
        <v>2269</v>
      </c>
      <c r="F1788" s="5"/>
      <c r="G1788" s="6" t="s">
        <v>522</v>
      </c>
      <c r="H1788" s="6" t="s">
        <v>68</v>
      </c>
      <c r="I1788" s="6" t="s">
        <v>1376</v>
      </c>
      <c r="J1788" s="6">
        <v>3869</v>
      </c>
      <c r="K1788" s="7" t="s">
        <v>3106</v>
      </c>
      <c r="L1788" s="8">
        <v>7794347</v>
      </c>
      <c r="M1788" s="8" t="str">
        <f t="shared" si="147"/>
        <v>PEN</v>
      </c>
      <c r="N1788" s="13">
        <v>401.2</v>
      </c>
      <c r="O1788" s="13"/>
      <c r="P1788" s="3">
        <f t="shared" si="148"/>
        <v>0</v>
      </c>
      <c r="Q1788" s="3">
        <f t="shared" si="149"/>
        <v>0</v>
      </c>
      <c r="R1788" s="3">
        <f t="shared" si="145"/>
        <v>11860.279999999992</v>
      </c>
      <c r="S1788" s="24"/>
      <c r="T1788" s="24" t="s">
        <v>1334</v>
      </c>
      <c r="U1788" s="53"/>
      <c r="V1788" s="25">
        <f>IFERROR(VLOOKUP(BCP_Soles[[#This Row],[destinatario]],CHOOSE({1,2},Clientes_Proveedores[Razon Social],Clientes_Proveedores[Ruc / Dni]),2,0),"")</f>
        <v>20603974817</v>
      </c>
      <c r="W1788" s="25"/>
      <c r="X1788" s="25"/>
      <c r="Y1788" s="25"/>
      <c r="Z1788" s="75"/>
      <c r="AA1788" s="3" t="str">
        <f>IF(BCP_Soles[[#This Row],[fecha]]&gt;0,TEXT(BCP_Soles[[#This Row],[fecha]],"mmmm"),0)</f>
        <v>Mayo</v>
      </c>
    </row>
    <row r="1789" spans="1:27" ht="24" x14ac:dyDescent="0.3">
      <c r="A1789" s="2">
        <f>IF(BCP_Soles[[#This Row],[tipo_registro]]="R",COUNTIFS($C$1:$C1788,"R")+1,A1788)</f>
        <v>1339</v>
      </c>
      <c r="B1789" s="19" t="str">
        <f t="shared" si="146"/>
        <v>B-BCP - Soles</v>
      </c>
      <c r="C1789" s="3" t="s">
        <v>1352</v>
      </c>
      <c r="D1789" s="14">
        <v>45796</v>
      </c>
      <c r="E1789" s="5" t="s">
        <v>2269</v>
      </c>
      <c r="F1789" s="5"/>
      <c r="G1789" s="6" t="s">
        <v>594</v>
      </c>
      <c r="H1789" s="6" t="s">
        <v>68</v>
      </c>
      <c r="I1789" s="6" t="s">
        <v>1376</v>
      </c>
      <c r="J1789" s="6">
        <v>2155</v>
      </c>
      <c r="K1789" s="7" t="s">
        <v>3106</v>
      </c>
      <c r="L1789" s="8">
        <v>7794347</v>
      </c>
      <c r="M1789" s="8" t="str">
        <f t="shared" si="147"/>
        <v>PEN</v>
      </c>
      <c r="N1789" s="13">
        <v>70.8</v>
      </c>
      <c r="O1789" s="13"/>
      <c r="P1789" s="3">
        <f t="shared" si="148"/>
        <v>0</v>
      </c>
      <c r="Q1789" s="3">
        <f t="shared" si="149"/>
        <v>0</v>
      </c>
      <c r="R1789" s="3">
        <f t="shared" si="145"/>
        <v>11860.279999999992</v>
      </c>
      <c r="S1789" s="24"/>
      <c r="T1789" s="24" t="s">
        <v>1334</v>
      </c>
      <c r="U1789" s="53"/>
      <c r="V1789" s="25">
        <f>IFERROR(VLOOKUP(BCP_Soles[[#This Row],[destinatario]],CHOOSE({1,2},Clientes_Proveedores[Razon Social],Clientes_Proveedores[Ruc / Dni]),2,0),"")</f>
        <v>20609764261</v>
      </c>
      <c r="W1789" s="25"/>
      <c r="X1789" s="25"/>
      <c r="Y1789" s="25"/>
      <c r="Z1789" s="75"/>
      <c r="AA1789" s="3" t="str">
        <f>IF(BCP_Soles[[#This Row],[fecha]]&gt;0,TEXT(BCP_Soles[[#This Row],[fecha]],"mmmm"),0)</f>
        <v>Mayo</v>
      </c>
    </row>
    <row r="1790" spans="1:27" x14ac:dyDescent="0.3">
      <c r="A1790" s="2">
        <f>IF(BCP_Soles[[#This Row],[tipo_registro]]="R",COUNTIFS($C$1:$C1789,"R")+1,A1789)</f>
        <v>1339</v>
      </c>
      <c r="B1790" s="19" t="str">
        <f t="shared" si="146"/>
        <v>B-BCP - Soles</v>
      </c>
      <c r="C1790" s="3" t="s">
        <v>1352</v>
      </c>
      <c r="D1790" s="14">
        <v>45796</v>
      </c>
      <c r="E1790" s="5" t="s">
        <v>2269</v>
      </c>
      <c r="F1790" s="5"/>
      <c r="G1790" s="6" t="s">
        <v>522</v>
      </c>
      <c r="H1790" s="6" t="s">
        <v>68</v>
      </c>
      <c r="I1790" s="6" t="s">
        <v>1376</v>
      </c>
      <c r="J1790" s="6">
        <v>3883</v>
      </c>
      <c r="K1790" s="7" t="s">
        <v>3106</v>
      </c>
      <c r="L1790" s="8">
        <v>7794347</v>
      </c>
      <c r="M1790" s="8" t="str">
        <f t="shared" si="147"/>
        <v>PEN</v>
      </c>
      <c r="N1790" s="13">
        <v>531.59</v>
      </c>
      <c r="O1790" s="13"/>
      <c r="P1790" s="3">
        <f t="shared" si="148"/>
        <v>0</v>
      </c>
      <c r="Q1790" s="3">
        <f t="shared" si="149"/>
        <v>0</v>
      </c>
      <c r="R1790" s="3">
        <f t="shared" si="145"/>
        <v>11860.279999999992</v>
      </c>
      <c r="S1790" s="24"/>
      <c r="T1790" s="24" t="s">
        <v>1334</v>
      </c>
      <c r="U1790" s="53"/>
      <c r="V1790" s="25">
        <f>IFERROR(VLOOKUP(BCP_Soles[[#This Row],[destinatario]],CHOOSE({1,2},Clientes_Proveedores[Razon Social],Clientes_Proveedores[Ruc / Dni]),2,0),"")</f>
        <v>20603974817</v>
      </c>
      <c r="W1790" s="25"/>
      <c r="X1790" s="25"/>
      <c r="Y1790" s="25"/>
      <c r="Z1790" s="75"/>
      <c r="AA1790" s="3" t="str">
        <f>IF(BCP_Soles[[#This Row],[fecha]]&gt;0,TEXT(BCP_Soles[[#This Row],[fecha]],"mmmm"),0)</f>
        <v>Mayo</v>
      </c>
    </row>
    <row r="1791" spans="1:27" ht="24" x14ac:dyDescent="0.3">
      <c r="A1791" s="2">
        <f>IF(BCP_Soles[[#This Row],[tipo_registro]]="R",COUNTIFS($C$1:$C1790,"R")+1,A1790)</f>
        <v>1339</v>
      </c>
      <c r="B1791" s="19" t="str">
        <f t="shared" si="146"/>
        <v>B-BCP - Soles</v>
      </c>
      <c r="C1791" s="3" t="s">
        <v>1352</v>
      </c>
      <c r="D1791" s="14">
        <v>45796</v>
      </c>
      <c r="E1791" s="5" t="s">
        <v>2269</v>
      </c>
      <c r="F1791" s="5"/>
      <c r="G1791" s="6" t="s">
        <v>594</v>
      </c>
      <c r="H1791" s="6" t="s">
        <v>68</v>
      </c>
      <c r="I1791" s="6" t="s">
        <v>1376</v>
      </c>
      <c r="J1791" s="6">
        <v>2182</v>
      </c>
      <c r="K1791" s="7" t="s">
        <v>3106</v>
      </c>
      <c r="L1791" s="8">
        <v>7794347</v>
      </c>
      <c r="M1791" s="8" t="str">
        <f t="shared" si="147"/>
        <v>PEN</v>
      </c>
      <c r="N1791" s="13">
        <v>212.4</v>
      </c>
      <c r="O1791" s="13"/>
      <c r="P1791" s="3">
        <f t="shared" si="148"/>
        <v>0</v>
      </c>
      <c r="Q1791" s="3">
        <f t="shared" si="149"/>
        <v>0</v>
      </c>
      <c r="R1791" s="3">
        <f t="shared" si="145"/>
        <v>11860.279999999992</v>
      </c>
      <c r="S1791" s="24"/>
      <c r="T1791" s="24" t="s">
        <v>1334</v>
      </c>
      <c r="U1791" s="53"/>
      <c r="V1791" s="25">
        <f>IFERROR(VLOOKUP(BCP_Soles[[#This Row],[destinatario]],CHOOSE({1,2},Clientes_Proveedores[Razon Social],Clientes_Proveedores[Ruc / Dni]),2,0),"")</f>
        <v>20609764261</v>
      </c>
      <c r="W1791" s="25"/>
      <c r="X1791" s="25"/>
      <c r="Y1791" s="25"/>
      <c r="Z1791" s="75"/>
      <c r="AA1791" s="3" t="str">
        <f>IF(BCP_Soles[[#This Row],[fecha]]&gt;0,TEXT(BCP_Soles[[#This Row],[fecha]],"mmmm"),0)</f>
        <v>Mayo</v>
      </c>
    </row>
    <row r="1792" spans="1:27" x14ac:dyDescent="0.3">
      <c r="A1792" s="2">
        <f>IF(BCP_Soles[[#This Row],[tipo_registro]]="R",COUNTIFS($C$1:$C1791,"R")+1,A1791)</f>
        <v>1339</v>
      </c>
      <c r="B1792" s="19" t="str">
        <f t="shared" si="146"/>
        <v>B-BCP - Soles</v>
      </c>
      <c r="C1792" s="3" t="s">
        <v>1352</v>
      </c>
      <c r="D1792" s="14">
        <v>45796</v>
      </c>
      <c r="E1792" s="5" t="s">
        <v>2269</v>
      </c>
      <c r="F1792" s="5"/>
      <c r="G1792" s="6" t="s">
        <v>522</v>
      </c>
      <c r="H1792" s="6" t="s">
        <v>68</v>
      </c>
      <c r="I1792" s="6" t="s">
        <v>1376</v>
      </c>
      <c r="J1792" s="6">
        <v>3890</v>
      </c>
      <c r="K1792" s="7" t="s">
        <v>3106</v>
      </c>
      <c r="L1792" s="8">
        <v>7794347</v>
      </c>
      <c r="M1792" s="8" t="str">
        <f t="shared" si="147"/>
        <v>PEN</v>
      </c>
      <c r="N1792" s="13">
        <v>551.65</v>
      </c>
      <c r="O1792" s="13"/>
      <c r="P1792" s="3">
        <f t="shared" si="148"/>
        <v>0</v>
      </c>
      <c r="Q1792" s="3">
        <f t="shared" si="149"/>
        <v>0</v>
      </c>
      <c r="R1792" s="3">
        <f t="shared" si="145"/>
        <v>11860.279999999992</v>
      </c>
      <c r="S1792" s="24"/>
      <c r="T1792" s="24" t="s">
        <v>1334</v>
      </c>
      <c r="U1792" s="53"/>
      <c r="V1792" s="25">
        <f>IFERROR(VLOOKUP(BCP_Soles[[#This Row],[destinatario]],CHOOSE({1,2},Clientes_Proveedores[Razon Social],Clientes_Proveedores[Ruc / Dni]),2,0),"")</f>
        <v>20603974817</v>
      </c>
      <c r="W1792" s="25"/>
      <c r="X1792" s="25"/>
      <c r="Y1792" s="25"/>
      <c r="Z1792" s="75"/>
      <c r="AA1792" s="3" t="str">
        <f>IF(BCP_Soles[[#This Row],[fecha]]&gt;0,TEXT(BCP_Soles[[#This Row],[fecha]],"mmmm"),0)</f>
        <v>Mayo</v>
      </c>
    </row>
    <row r="1793" spans="1:27" x14ac:dyDescent="0.3">
      <c r="A1793" s="2">
        <f>IF(BCP_Soles[[#This Row],[tipo_registro]]="R",COUNTIFS($C$1:$C1792,"R")+1,A1792)</f>
        <v>1340</v>
      </c>
      <c r="B1793" s="19" t="str">
        <f t="shared" si="146"/>
        <v>B-BCP - Soles</v>
      </c>
      <c r="C1793" s="3" t="s">
        <v>1330</v>
      </c>
      <c r="D1793" s="14">
        <v>45796</v>
      </c>
      <c r="E1793" s="5" t="s">
        <v>1335</v>
      </c>
      <c r="F1793" s="5" t="s">
        <v>1336</v>
      </c>
      <c r="G1793" s="6"/>
      <c r="H1793" s="6"/>
      <c r="I1793" s="6"/>
      <c r="J1793" s="6"/>
      <c r="K1793" s="7" t="s">
        <v>1337</v>
      </c>
      <c r="L1793" s="8"/>
      <c r="M1793" s="8" t="str">
        <f t="shared" si="147"/>
        <v>PEN</v>
      </c>
      <c r="N1793" s="13"/>
      <c r="O1793" s="13">
        <v>0.65</v>
      </c>
      <c r="P1793" s="3">
        <f t="shared" si="148"/>
        <v>0</v>
      </c>
      <c r="Q1793" s="3">
        <f t="shared" si="149"/>
        <v>0.65</v>
      </c>
      <c r="R1793" s="3">
        <f t="shared" si="145"/>
        <v>11859.629999999992</v>
      </c>
      <c r="S1793" s="24"/>
      <c r="T1793" s="24" t="s">
        <v>1334</v>
      </c>
      <c r="U1793" s="53"/>
      <c r="V1793" s="25" t="str">
        <f>IFERROR(VLOOKUP(BCP_Soles[[#This Row],[destinatario]],CHOOSE({1,2},Clientes_Proveedores[Razon Social],Clientes_Proveedores[Ruc / Dni]),2,0),"")</f>
        <v/>
      </c>
      <c r="W1793" s="25"/>
      <c r="X1793" s="25"/>
      <c r="Y1793" s="25"/>
      <c r="Z1793" s="75"/>
      <c r="AA1793" s="3" t="str">
        <f>IF(BCP_Soles[[#This Row],[fecha]]&gt;0,TEXT(BCP_Soles[[#This Row],[fecha]],"mmmm"),0)</f>
        <v>Mayo</v>
      </c>
    </row>
    <row r="1794" spans="1:27" ht="24" x14ac:dyDescent="0.3">
      <c r="A1794" s="2">
        <f>IF(BCP_Soles[[#This Row],[tipo_registro]]="R",COUNTIFS($C$1:$C1793,"R")+1,A1793)</f>
        <v>1341</v>
      </c>
      <c r="B1794" s="19" t="str">
        <f t="shared" si="146"/>
        <v>B-BCP - Soles</v>
      </c>
      <c r="C1794" s="3" t="s">
        <v>1330</v>
      </c>
      <c r="D1794" s="14">
        <v>45797</v>
      </c>
      <c r="E1794" s="5" t="s">
        <v>2269</v>
      </c>
      <c r="F1794" s="5" t="s">
        <v>1336</v>
      </c>
      <c r="G1794" s="6" t="s">
        <v>708</v>
      </c>
      <c r="H1794" s="6" t="s">
        <v>68</v>
      </c>
      <c r="I1794" s="6" t="s">
        <v>1655</v>
      </c>
      <c r="J1794" s="6">
        <v>293332</v>
      </c>
      <c r="K1794" s="7" t="s">
        <v>3107</v>
      </c>
      <c r="L1794" s="8">
        <v>222765</v>
      </c>
      <c r="M1794" s="8" t="str">
        <f t="shared" si="147"/>
        <v>PEN</v>
      </c>
      <c r="N1794" s="13"/>
      <c r="O1794" s="13">
        <v>36.58</v>
      </c>
      <c r="P1794" s="3">
        <f t="shared" si="148"/>
        <v>0</v>
      </c>
      <c r="Q1794" s="3">
        <f t="shared" si="149"/>
        <v>36.58</v>
      </c>
      <c r="R1794" s="3">
        <f t="shared" si="145"/>
        <v>11823.049999999992</v>
      </c>
      <c r="S1794" s="24" t="s">
        <v>1334</v>
      </c>
      <c r="T1794" s="24" t="s">
        <v>1334</v>
      </c>
      <c r="U1794" s="53"/>
      <c r="V1794" s="25">
        <f>IFERROR(VLOOKUP(BCP_Soles[[#This Row],[destinatario]],CHOOSE({1,2},Clientes_Proveedores[Razon Social],Clientes_Proveedores[Ruc / Dni]),2,0),"")</f>
        <v>20467534026</v>
      </c>
      <c r="W1794" s="25" t="s">
        <v>1657</v>
      </c>
      <c r="X1794" s="25" t="s">
        <v>3108</v>
      </c>
      <c r="Y1794" s="25"/>
      <c r="Z1794" s="75"/>
      <c r="AA1794" s="3" t="str">
        <f>IF(BCP_Soles[[#This Row],[fecha]]&gt;0,TEXT(BCP_Soles[[#This Row],[fecha]],"mmmm"),0)</f>
        <v>Mayo</v>
      </c>
    </row>
    <row r="1795" spans="1:27" ht="24" x14ac:dyDescent="0.3">
      <c r="A1795" s="2">
        <f>IF(BCP_Soles[[#This Row],[tipo_registro]]="R",COUNTIFS($C$1:$C1794,"R")+1,A1794)</f>
        <v>1342</v>
      </c>
      <c r="B1795" s="19" t="str">
        <f t="shared" si="146"/>
        <v>B-BCP - Soles</v>
      </c>
      <c r="C1795" s="3" t="s">
        <v>1330</v>
      </c>
      <c r="D1795" s="14">
        <v>45797</v>
      </c>
      <c r="E1795" s="5" t="s">
        <v>1338</v>
      </c>
      <c r="F1795" s="5" t="s">
        <v>1336</v>
      </c>
      <c r="G1795" s="6" t="s">
        <v>249</v>
      </c>
      <c r="H1795" s="6"/>
      <c r="I1795" s="6"/>
      <c r="J1795" s="6"/>
      <c r="K1795" s="7" t="s">
        <v>3109</v>
      </c>
      <c r="L1795" s="8">
        <v>1223252</v>
      </c>
      <c r="M1795" s="8" t="str">
        <f t="shared" si="147"/>
        <v>PEN</v>
      </c>
      <c r="N1795" s="13"/>
      <c r="O1795" s="13">
        <v>624.16999999999996</v>
      </c>
      <c r="P1795" s="3">
        <f t="shared" si="148"/>
        <v>0</v>
      </c>
      <c r="Q1795" s="3">
        <f t="shared" si="149"/>
        <v>624.16999999999996</v>
      </c>
      <c r="R1795" s="3">
        <f t="shared" si="145"/>
        <v>11198.879999999992</v>
      </c>
      <c r="S1795" s="24"/>
      <c r="T1795" s="24" t="s">
        <v>1334</v>
      </c>
      <c r="U1795" s="53"/>
      <c r="V1795" s="25">
        <f>IFERROR(VLOOKUP(BCP_Soles[[#This Row],[destinatario]],CHOOSE({1,2},Clientes_Proveedores[Razon Social],Clientes_Proveedores[Ruc / Dni]),2,0),"")</f>
        <v>20302891452</v>
      </c>
      <c r="W1795" s="25" t="s">
        <v>249</v>
      </c>
      <c r="X1795" s="25"/>
      <c r="Y1795" s="25"/>
      <c r="Z1795" s="75"/>
      <c r="AA1795" s="3" t="str">
        <f>IF(BCP_Soles[[#This Row],[fecha]]&gt;0,TEXT(BCP_Soles[[#This Row],[fecha]],"mmmm"),0)</f>
        <v>Mayo</v>
      </c>
    </row>
    <row r="1796" spans="1:27" ht="36" x14ac:dyDescent="0.3">
      <c r="A1796" s="2">
        <f>IF(BCP_Soles[[#This Row],[tipo_registro]]="R",COUNTIFS($C$1:$C1795,"R")+1,A1795)</f>
        <v>1343</v>
      </c>
      <c r="B1796" s="19" t="str">
        <f t="shared" si="146"/>
        <v>B-BCP - Soles</v>
      </c>
      <c r="C1796" s="3" t="s">
        <v>1330</v>
      </c>
      <c r="D1796" s="14">
        <v>45797</v>
      </c>
      <c r="E1796" s="5" t="s">
        <v>2269</v>
      </c>
      <c r="F1796" s="5" t="s">
        <v>1336</v>
      </c>
      <c r="G1796" s="6" t="s">
        <v>735</v>
      </c>
      <c r="H1796" s="6" t="s">
        <v>68</v>
      </c>
      <c r="I1796" s="6" t="s">
        <v>3078</v>
      </c>
      <c r="J1796" s="6">
        <v>41155</v>
      </c>
      <c r="K1796" s="7" t="s">
        <v>3110</v>
      </c>
      <c r="L1796" s="8">
        <v>1223253</v>
      </c>
      <c r="M1796" s="8" t="str">
        <f t="shared" si="147"/>
        <v>PEN</v>
      </c>
      <c r="N1796" s="13"/>
      <c r="O1796" s="13">
        <v>234</v>
      </c>
      <c r="P1796" s="3">
        <f t="shared" si="148"/>
        <v>0</v>
      </c>
      <c r="Q1796" s="3">
        <f t="shared" si="149"/>
        <v>234</v>
      </c>
      <c r="R1796" s="3">
        <f t="shared" si="145"/>
        <v>10964.879999999992</v>
      </c>
      <c r="S1796" s="24" t="s">
        <v>1334</v>
      </c>
      <c r="T1796" s="24" t="s">
        <v>1334</v>
      </c>
      <c r="U1796" s="53"/>
      <c r="V1796" s="25">
        <f>IFERROR(VLOOKUP(BCP_Soles[[#This Row],[destinatario]],CHOOSE({1,2},Clientes_Proveedores[Razon Social],Clientes_Proveedores[Ruc / Dni]),2,0),"")</f>
        <v>20514148539</v>
      </c>
      <c r="W1796" s="25" t="s">
        <v>3111</v>
      </c>
      <c r="X1796" s="25" t="s">
        <v>3112</v>
      </c>
      <c r="Y1796" s="25"/>
      <c r="Z1796" s="75"/>
      <c r="AA1796" s="3" t="str">
        <f>IF(BCP_Soles[[#This Row],[fecha]]&gt;0,TEXT(BCP_Soles[[#This Row],[fecha]],"mmmm"),0)</f>
        <v>Mayo</v>
      </c>
    </row>
    <row r="1797" spans="1:27" ht="24" x14ac:dyDescent="0.3">
      <c r="A1797" s="2">
        <f>IF(BCP_Soles[[#This Row],[tipo_registro]]="R",COUNTIFS($C$1:$C1796,"R")+1,A1796)</f>
        <v>1344</v>
      </c>
      <c r="B1797" s="19" t="str">
        <f t="shared" si="146"/>
        <v>B-BCP - Soles</v>
      </c>
      <c r="C1797" s="3" t="s">
        <v>1330</v>
      </c>
      <c r="D1797" s="14">
        <v>45797</v>
      </c>
      <c r="E1797" s="5" t="s">
        <v>2269</v>
      </c>
      <c r="F1797" s="5" t="s">
        <v>1336</v>
      </c>
      <c r="G1797" s="6" t="s">
        <v>1070</v>
      </c>
      <c r="H1797" s="6" t="s">
        <v>143</v>
      </c>
      <c r="I1797" s="6">
        <v>1</v>
      </c>
      <c r="J1797" s="6">
        <v>352025</v>
      </c>
      <c r="K1797" s="7" t="s">
        <v>3113</v>
      </c>
      <c r="L1797" s="8">
        <v>1102709</v>
      </c>
      <c r="M1797" s="8" t="str">
        <f t="shared" si="147"/>
        <v>PEN</v>
      </c>
      <c r="N1797" s="13"/>
      <c r="O1797" s="13">
        <v>403</v>
      </c>
      <c r="P1797" s="3">
        <f t="shared" si="148"/>
        <v>0</v>
      </c>
      <c r="Q1797" s="3">
        <f t="shared" si="149"/>
        <v>403</v>
      </c>
      <c r="R1797" s="3">
        <f t="shared" si="145"/>
        <v>10561.879999999992</v>
      </c>
      <c r="S1797" s="24" t="s">
        <v>1334</v>
      </c>
      <c r="T1797" s="24" t="s">
        <v>1334</v>
      </c>
      <c r="U1797" s="53"/>
      <c r="V1797" s="25">
        <f>IFERROR(VLOOKUP(BCP_Soles[[#This Row],[destinatario]],CHOOSE({1,2},Clientes_Proveedores[Razon Social],Clientes_Proveedores[Ruc / Dni]),2,0),"")</f>
        <v>46930934</v>
      </c>
      <c r="W1797" s="25" t="s">
        <v>1070</v>
      </c>
      <c r="X1797" s="25" t="s">
        <v>3114</v>
      </c>
      <c r="Y1797" s="25"/>
      <c r="Z1797" s="75"/>
      <c r="AA1797" s="3" t="str">
        <f>IF(BCP_Soles[[#This Row],[fecha]]&gt;0,TEXT(BCP_Soles[[#This Row],[fecha]],"mmmm"),0)</f>
        <v>Mayo</v>
      </c>
    </row>
    <row r="1798" spans="1:27" ht="24" x14ac:dyDescent="0.3">
      <c r="A1798" s="2">
        <f>IF(BCP_Soles[[#This Row],[tipo_registro]]="R",COUNTIFS($C$1:$C1797,"R")+1,A1797)</f>
        <v>1345</v>
      </c>
      <c r="B1798" s="19" t="str">
        <f t="shared" si="146"/>
        <v>B-BCP - Soles</v>
      </c>
      <c r="C1798" s="3" t="s">
        <v>1330</v>
      </c>
      <c r="D1798" s="14">
        <v>45797</v>
      </c>
      <c r="E1798" s="5" t="s">
        <v>2269</v>
      </c>
      <c r="F1798" s="5" t="s">
        <v>1336</v>
      </c>
      <c r="G1798" s="6" t="s">
        <v>708</v>
      </c>
      <c r="H1798" s="6" t="s">
        <v>68</v>
      </c>
      <c r="I1798" s="6" t="s">
        <v>1655</v>
      </c>
      <c r="J1798" s="6">
        <v>287518</v>
      </c>
      <c r="K1798" s="7" t="s">
        <v>3115</v>
      </c>
      <c r="L1798" s="8">
        <v>103669</v>
      </c>
      <c r="M1798" s="8" t="str">
        <f t="shared" si="147"/>
        <v>PEN</v>
      </c>
      <c r="N1798" s="13"/>
      <c r="O1798" s="13">
        <v>36.58</v>
      </c>
      <c r="P1798" s="3">
        <f t="shared" si="148"/>
        <v>0</v>
      </c>
      <c r="Q1798" s="3">
        <f t="shared" si="149"/>
        <v>36.58</v>
      </c>
      <c r="R1798" s="3">
        <f t="shared" si="145"/>
        <v>10525.299999999992</v>
      </c>
      <c r="S1798" s="24"/>
      <c r="T1798" s="24" t="s">
        <v>1334</v>
      </c>
      <c r="U1798" s="53"/>
      <c r="V1798" s="25">
        <f>IFERROR(VLOOKUP(BCP_Soles[[#This Row],[destinatario]],CHOOSE({1,2},Clientes_Proveedores[Razon Social],Clientes_Proveedores[Ruc / Dni]),2,0),"")</f>
        <v>20467534026</v>
      </c>
      <c r="W1798" s="25" t="s">
        <v>1657</v>
      </c>
      <c r="X1798" s="25" t="s">
        <v>3116</v>
      </c>
      <c r="Y1798" s="25"/>
      <c r="Z1798" s="75"/>
      <c r="AA1798" s="3" t="str">
        <f>IF(BCP_Soles[[#This Row],[fecha]]&gt;0,TEXT(BCP_Soles[[#This Row],[fecha]],"mmmm"),0)</f>
        <v>Mayo</v>
      </c>
    </row>
    <row r="1799" spans="1:27" ht="24" x14ac:dyDescent="0.3">
      <c r="A1799" s="2">
        <f>IF(BCP_Soles[[#This Row],[tipo_registro]]="R",COUNTIFS($C$1:$C1798,"R")+1,A1798)</f>
        <v>1346</v>
      </c>
      <c r="B1799" s="19" t="str">
        <f t="shared" si="146"/>
        <v>B-BCP - Soles</v>
      </c>
      <c r="C1799" s="3" t="s">
        <v>1330</v>
      </c>
      <c r="D1799" s="14">
        <v>45797</v>
      </c>
      <c r="E1799" s="5" t="s">
        <v>2269</v>
      </c>
      <c r="F1799" s="5" t="s">
        <v>1336</v>
      </c>
      <c r="G1799" s="6" t="s">
        <v>249</v>
      </c>
      <c r="H1799" s="6"/>
      <c r="I1799" s="6"/>
      <c r="J1799" s="6"/>
      <c r="K1799" s="7" t="s">
        <v>3117</v>
      </c>
      <c r="L1799" s="8">
        <v>1004391</v>
      </c>
      <c r="M1799" s="8" t="str">
        <f t="shared" si="147"/>
        <v>PEN</v>
      </c>
      <c r="N1799" s="13"/>
      <c r="O1799" s="13">
        <v>1038.4000000000001</v>
      </c>
      <c r="P1799" s="3">
        <f t="shared" si="148"/>
        <v>0</v>
      </c>
      <c r="Q1799" s="3">
        <f t="shared" si="149"/>
        <v>1038.4000000000001</v>
      </c>
      <c r="R1799" s="3">
        <f t="shared" si="145"/>
        <v>9486.8999999999924</v>
      </c>
      <c r="S1799" s="24"/>
      <c r="T1799" s="24" t="s">
        <v>1334</v>
      </c>
      <c r="U1799" s="53"/>
      <c r="V1799" s="25">
        <f>IFERROR(VLOOKUP(BCP_Soles[[#This Row],[destinatario]],CHOOSE({1,2},Clientes_Proveedores[Razon Social],Clientes_Proveedores[Ruc / Dni]),2,0),"")</f>
        <v>20302891452</v>
      </c>
      <c r="W1799" s="25" t="s">
        <v>249</v>
      </c>
      <c r="X1799" s="25"/>
      <c r="Y1799" s="25"/>
      <c r="Z1799" s="75"/>
      <c r="AA1799" s="3" t="str">
        <f>IF(BCP_Soles[[#This Row],[fecha]]&gt;0,TEXT(BCP_Soles[[#This Row],[fecha]],"mmmm"),0)</f>
        <v>Mayo</v>
      </c>
    </row>
    <row r="1800" spans="1:27" ht="48" x14ac:dyDescent="0.3">
      <c r="A1800" s="2">
        <f>IF(BCP_Soles[[#This Row],[tipo_registro]]="R",COUNTIFS($C$1:$C1799,"R")+1,A1799)</f>
        <v>1347</v>
      </c>
      <c r="B1800" s="19" t="str">
        <f t="shared" si="146"/>
        <v>B-BCP - Soles</v>
      </c>
      <c r="C1800" s="3" t="s">
        <v>1330</v>
      </c>
      <c r="D1800" s="14">
        <v>45797</v>
      </c>
      <c r="E1800" s="5" t="s">
        <v>2269</v>
      </c>
      <c r="F1800" s="5" t="s">
        <v>1336</v>
      </c>
      <c r="G1800" s="6" t="s">
        <v>501</v>
      </c>
      <c r="H1800" s="6" t="s">
        <v>68</v>
      </c>
      <c r="I1800" s="6" t="s">
        <v>1526</v>
      </c>
      <c r="J1800" s="6">
        <v>10386</v>
      </c>
      <c r="K1800" s="7" t="s">
        <v>3118</v>
      </c>
      <c r="L1800" s="8">
        <v>1007867</v>
      </c>
      <c r="M1800" s="8" t="str">
        <f t="shared" si="147"/>
        <v>PEN</v>
      </c>
      <c r="N1800" s="13"/>
      <c r="O1800" s="13">
        <v>286</v>
      </c>
      <c r="P1800" s="3">
        <f t="shared" si="148"/>
        <v>0</v>
      </c>
      <c r="Q1800" s="3">
        <f t="shared" si="149"/>
        <v>286</v>
      </c>
      <c r="R1800" s="3">
        <f t="shared" si="145"/>
        <v>9200.8999999999924</v>
      </c>
      <c r="S1800" s="24" t="s">
        <v>1334</v>
      </c>
      <c r="T1800" s="24" t="s">
        <v>1334</v>
      </c>
      <c r="U1800" s="53"/>
      <c r="V1800" s="25">
        <f>IFERROR(VLOOKUP(BCP_Soles[[#This Row],[destinatario]],CHOOSE({1,2},Clientes_Proveedores[Razon Social],Clientes_Proveedores[Ruc / Dni]),2,0),"")</f>
        <v>20602978274</v>
      </c>
      <c r="W1800" s="25" t="s">
        <v>1528</v>
      </c>
      <c r="X1800" s="25" t="s">
        <v>3119</v>
      </c>
      <c r="Y1800" s="25"/>
      <c r="Z1800" s="75"/>
      <c r="AA1800" s="3" t="str">
        <f>IF(BCP_Soles[[#This Row],[fecha]]&gt;0,TEXT(BCP_Soles[[#This Row],[fecha]],"mmmm"),0)</f>
        <v>Mayo</v>
      </c>
    </row>
    <row r="1801" spans="1:27" ht="48" x14ac:dyDescent="0.3">
      <c r="A1801" s="2">
        <f>IF(BCP_Soles[[#This Row],[tipo_registro]]="R",COUNTIFS($C$1:$C1800,"R")+1,A1800)</f>
        <v>1348</v>
      </c>
      <c r="B1801" s="19" t="str">
        <f t="shared" si="146"/>
        <v>B-BCP - Soles</v>
      </c>
      <c r="C1801" s="3" t="s">
        <v>1330</v>
      </c>
      <c r="D1801" s="14">
        <v>45797</v>
      </c>
      <c r="E1801" s="5" t="s">
        <v>2269</v>
      </c>
      <c r="F1801" s="5" t="s">
        <v>1336</v>
      </c>
      <c r="G1801" s="6" t="s">
        <v>501</v>
      </c>
      <c r="H1801" s="6" t="s">
        <v>68</v>
      </c>
      <c r="I1801" s="6" t="s">
        <v>1650</v>
      </c>
      <c r="J1801" s="6">
        <v>7754</v>
      </c>
      <c r="K1801" s="7" t="s">
        <v>3120</v>
      </c>
      <c r="L1801" s="8">
        <v>1004392</v>
      </c>
      <c r="M1801" s="8" t="str">
        <f t="shared" si="147"/>
        <v>PEN</v>
      </c>
      <c r="N1801" s="13"/>
      <c r="O1801" s="13">
        <v>196.86</v>
      </c>
      <c r="P1801" s="3">
        <f t="shared" si="148"/>
        <v>0</v>
      </c>
      <c r="Q1801" s="3">
        <f t="shared" si="149"/>
        <v>196.86</v>
      </c>
      <c r="R1801" s="3">
        <f t="shared" ref="R1801:R1864" si="150">IFERROR(IF(F1801="SALDO",P1801,R1800+P1801-Q1801),0)</f>
        <v>9004.0399999999918</v>
      </c>
      <c r="S1801" s="24" t="s">
        <v>1334</v>
      </c>
      <c r="T1801" s="24" t="s">
        <v>1334</v>
      </c>
      <c r="U1801" s="53"/>
      <c r="V1801" s="25">
        <f>IFERROR(VLOOKUP(BCP_Soles[[#This Row],[destinatario]],CHOOSE({1,2},Clientes_Proveedores[Razon Social],Clientes_Proveedores[Ruc / Dni]),2,0),"")</f>
        <v>20602978274</v>
      </c>
      <c r="W1801" s="25" t="s">
        <v>1528</v>
      </c>
      <c r="X1801" s="25" t="s">
        <v>3121</v>
      </c>
      <c r="Y1801" s="25"/>
      <c r="Z1801" s="75"/>
      <c r="AA1801" s="3" t="str">
        <f>IF(BCP_Soles[[#This Row],[fecha]]&gt;0,TEXT(BCP_Soles[[#This Row],[fecha]],"mmmm"),0)</f>
        <v>Mayo</v>
      </c>
    </row>
    <row r="1802" spans="1:27" ht="24" x14ac:dyDescent="0.3">
      <c r="A1802" s="2">
        <f>IF(BCP_Soles[[#This Row],[tipo_registro]]="R",COUNTIFS($C$1:$C1801,"R")+1,A1801)</f>
        <v>1349</v>
      </c>
      <c r="B1802" s="19" t="str">
        <f t="shared" si="146"/>
        <v>B-BCP - Soles</v>
      </c>
      <c r="C1802" s="3" t="s">
        <v>1330</v>
      </c>
      <c r="D1802" s="14">
        <v>45797</v>
      </c>
      <c r="E1802" s="5" t="s">
        <v>2269</v>
      </c>
      <c r="F1802" s="5" t="s">
        <v>1336</v>
      </c>
      <c r="G1802" s="6" t="s">
        <v>884</v>
      </c>
      <c r="H1802" s="6"/>
      <c r="I1802" s="6"/>
      <c r="J1802" s="6"/>
      <c r="K1802" s="7" t="s">
        <v>3122</v>
      </c>
      <c r="L1802" s="8">
        <v>227198</v>
      </c>
      <c r="M1802" s="8" t="str">
        <f t="shared" si="147"/>
        <v>PEN</v>
      </c>
      <c r="N1802" s="13"/>
      <c r="O1802" s="13">
        <v>4306.26</v>
      </c>
      <c r="P1802" s="3">
        <f t="shared" si="148"/>
        <v>0</v>
      </c>
      <c r="Q1802" s="3">
        <f t="shared" si="149"/>
        <v>4306.26</v>
      </c>
      <c r="R1802" s="3">
        <f t="shared" si="150"/>
        <v>4697.7799999999916</v>
      </c>
      <c r="S1802" s="24" t="s">
        <v>1334</v>
      </c>
      <c r="T1802" s="24" t="s">
        <v>1334</v>
      </c>
      <c r="U1802" s="53"/>
      <c r="V1802" s="25">
        <f>IFERROR(VLOOKUP(BCP_Soles[[#This Row],[destinatario]],CHOOSE({1,2},Clientes_Proveedores[Razon Social],Clientes_Proveedores[Ruc / Dni]),2,0),"")</f>
        <v>71979355</v>
      </c>
      <c r="W1802" s="25" t="s">
        <v>884</v>
      </c>
      <c r="X1802" s="25"/>
      <c r="Y1802" s="25"/>
      <c r="Z1802" s="75"/>
      <c r="AA1802" s="3" t="str">
        <f>IF(BCP_Soles[[#This Row],[fecha]]&gt;0,TEXT(BCP_Soles[[#This Row],[fecha]],"mmmm"),0)</f>
        <v>Mayo</v>
      </c>
    </row>
    <row r="1803" spans="1:27" x14ac:dyDescent="0.3">
      <c r="A1803" s="2">
        <f>IF(BCP_Soles[[#This Row],[tipo_registro]]="R",COUNTIFS($C$1:$C1802,"R")+1,A1802)</f>
        <v>1350</v>
      </c>
      <c r="B1803" s="19" t="str">
        <f t="shared" si="146"/>
        <v>B-BCP - Soles</v>
      </c>
      <c r="C1803" s="3" t="s">
        <v>1330</v>
      </c>
      <c r="D1803" s="14">
        <v>45797</v>
      </c>
      <c r="E1803" s="5" t="s">
        <v>1335</v>
      </c>
      <c r="F1803" s="5" t="s">
        <v>1336</v>
      </c>
      <c r="G1803" s="6"/>
      <c r="H1803" s="6"/>
      <c r="I1803" s="6"/>
      <c r="J1803" s="6"/>
      <c r="K1803" s="7" t="s">
        <v>1337</v>
      </c>
      <c r="L1803" s="8"/>
      <c r="M1803" s="8" t="str">
        <f t="shared" si="147"/>
        <v>PEN</v>
      </c>
      <c r="N1803" s="13"/>
      <c r="O1803" s="13">
        <v>0.25</v>
      </c>
      <c r="P1803" s="3">
        <f t="shared" si="148"/>
        <v>0</v>
      </c>
      <c r="Q1803" s="3">
        <f t="shared" si="149"/>
        <v>0.25</v>
      </c>
      <c r="R1803" s="3">
        <f t="shared" si="150"/>
        <v>4697.5299999999916</v>
      </c>
      <c r="S1803" s="24"/>
      <c r="T1803" s="24" t="s">
        <v>1334</v>
      </c>
      <c r="U1803" s="53"/>
      <c r="V1803" s="25" t="str">
        <f>IFERROR(VLOOKUP(BCP_Soles[[#This Row],[destinatario]],CHOOSE({1,2},Clientes_Proveedores[Razon Social],Clientes_Proveedores[Ruc / Dni]),2,0),"")</f>
        <v/>
      </c>
      <c r="W1803" s="25"/>
      <c r="X1803" s="25"/>
      <c r="Y1803" s="25"/>
      <c r="Z1803" s="75"/>
      <c r="AA1803" s="3" t="str">
        <f>IF(BCP_Soles[[#This Row],[fecha]]&gt;0,TEXT(BCP_Soles[[#This Row],[fecha]],"mmmm"),0)</f>
        <v>Mayo</v>
      </c>
    </row>
    <row r="1804" spans="1:27" ht="48" x14ac:dyDescent="0.3">
      <c r="A1804" s="2">
        <f>IF(BCP_Soles[[#This Row],[tipo_registro]]="R",COUNTIFS($C$1:$C1803,"R")+1,A1803)</f>
        <v>1351</v>
      </c>
      <c r="B1804" s="19" t="str">
        <f t="shared" si="146"/>
        <v>B-BCP - Soles</v>
      </c>
      <c r="C1804" s="3" t="s">
        <v>1330</v>
      </c>
      <c r="D1804" s="14">
        <v>45798</v>
      </c>
      <c r="E1804" s="5" t="s">
        <v>223</v>
      </c>
      <c r="F1804" s="5" t="s">
        <v>1303</v>
      </c>
      <c r="G1804" s="6" t="s">
        <v>425</v>
      </c>
      <c r="H1804" s="6"/>
      <c r="I1804" s="6"/>
      <c r="J1804" s="6"/>
      <c r="K1804" s="7" t="s">
        <v>2676</v>
      </c>
      <c r="L1804" s="8">
        <v>2045984</v>
      </c>
      <c r="M1804" s="8" t="str">
        <f t="shared" si="147"/>
        <v>PEN</v>
      </c>
      <c r="N1804" s="13"/>
      <c r="O1804" s="13">
        <v>2941.11</v>
      </c>
      <c r="P1804" s="3">
        <f t="shared" si="148"/>
        <v>2941.11</v>
      </c>
      <c r="Q1804" s="3">
        <f t="shared" si="149"/>
        <v>0</v>
      </c>
      <c r="R1804" s="3">
        <f t="shared" si="150"/>
        <v>7638.6399999999921</v>
      </c>
      <c r="S1804" s="24" t="s">
        <v>1334</v>
      </c>
      <c r="T1804" s="24" t="s">
        <v>1334</v>
      </c>
      <c r="U1804" s="53"/>
      <c r="V1804" s="25">
        <f>IFERROR(VLOOKUP(BCP_Soles[[#This Row],[destinatario]],CHOOSE({1,2},Clientes_Proveedores[Razon Social],Clientes_Proveedores[Ruc / Dni]),2,0),"")</f>
        <v>20558226979</v>
      </c>
      <c r="W1804" s="25" t="s">
        <v>1345</v>
      </c>
      <c r="X1804" s="25" t="s">
        <v>3123</v>
      </c>
      <c r="Y1804" s="25"/>
      <c r="Z1804" s="75"/>
      <c r="AA1804" s="3" t="str">
        <f>IF(BCP_Soles[[#This Row],[fecha]]&gt;0,TEXT(BCP_Soles[[#This Row],[fecha]],"mmmm"),0)</f>
        <v>Mayo</v>
      </c>
    </row>
    <row r="1805" spans="1:27" ht="36" x14ac:dyDescent="0.3">
      <c r="A1805" s="2">
        <f>IF(BCP_Soles[[#This Row],[tipo_registro]]="R",COUNTIFS($C$1:$C1804,"R")+1,A1804)</f>
        <v>1352</v>
      </c>
      <c r="B1805" s="19" t="str">
        <f t="shared" si="146"/>
        <v>B-BCP - Soles</v>
      </c>
      <c r="C1805" s="3" t="s">
        <v>1330</v>
      </c>
      <c r="D1805" s="14">
        <v>45798</v>
      </c>
      <c r="E1805" s="5" t="s">
        <v>555</v>
      </c>
      <c r="F1805" s="5" t="s">
        <v>1303</v>
      </c>
      <c r="G1805" s="6" t="s">
        <v>425</v>
      </c>
      <c r="H1805" s="6"/>
      <c r="I1805" s="6"/>
      <c r="J1805" s="6"/>
      <c r="K1805" s="7" t="s">
        <v>1348</v>
      </c>
      <c r="L1805" s="8">
        <v>2077070</v>
      </c>
      <c r="M1805" s="8" t="str">
        <f t="shared" si="147"/>
        <v>PEN</v>
      </c>
      <c r="N1805" s="13"/>
      <c r="O1805" s="13">
        <v>1059.08</v>
      </c>
      <c r="P1805" s="3">
        <f t="shared" si="148"/>
        <v>1059.08</v>
      </c>
      <c r="Q1805" s="3">
        <f t="shared" si="149"/>
        <v>0</v>
      </c>
      <c r="R1805" s="3">
        <f t="shared" si="150"/>
        <v>8697.7199999999921</v>
      </c>
      <c r="S1805" s="24" t="s">
        <v>1334</v>
      </c>
      <c r="T1805" s="24" t="s">
        <v>1334</v>
      </c>
      <c r="U1805" s="53"/>
      <c r="V1805" s="25">
        <f>IFERROR(VLOOKUP(BCP_Soles[[#This Row],[destinatario]],CHOOSE({1,2},Clientes_Proveedores[Razon Social],Clientes_Proveedores[Ruc / Dni]),2,0),"")</f>
        <v>20558226979</v>
      </c>
      <c r="W1805" s="25" t="s">
        <v>1345</v>
      </c>
      <c r="X1805" s="25" t="s">
        <v>3124</v>
      </c>
      <c r="Y1805" s="25"/>
      <c r="Z1805" s="75"/>
      <c r="AA1805" s="3" t="str">
        <f>IF(BCP_Soles[[#This Row],[fecha]]&gt;0,TEXT(BCP_Soles[[#This Row],[fecha]],"mmmm"),0)</f>
        <v>Mayo</v>
      </c>
    </row>
    <row r="1806" spans="1:27" ht="36" x14ac:dyDescent="0.3">
      <c r="A1806" s="2">
        <f>IF(BCP_Soles[[#This Row],[tipo_registro]]="R",COUNTIFS($C$1:$C1805,"R")+1,A1805)</f>
        <v>1353</v>
      </c>
      <c r="B1806" s="19" t="str">
        <f t="shared" si="146"/>
        <v>B-BCP - Soles</v>
      </c>
      <c r="C1806" s="3" t="s">
        <v>1330</v>
      </c>
      <c r="D1806" s="14">
        <v>45798</v>
      </c>
      <c r="E1806" s="5" t="s">
        <v>555</v>
      </c>
      <c r="F1806" s="5" t="s">
        <v>1303</v>
      </c>
      <c r="G1806" s="6" t="s">
        <v>425</v>
      </c>
      <c r="H1806" s="6"/>
      <c r="I1806" s="6"/>
      <c r="J1806" s="6"/>
      <c r="K1806" s="7" t="s">
        <v>1348</v>
      </c>
      <c r="L1806" s="8">
        <v>2081202</v>
      </c>
      <c r="M1806" s="8" t="str">
        <f t="shared" si="147"/>
        <v>PEN</v>
      </c>
      <c r="N1806" s="13"/>
      <c r="O1806" s="13">
        <v>954.36</v>
      </c>
      <c r="P1806" s="3">
        <f t="shared" si="148"/>
        <v>954.36</v>
      </c>
      <c r="Q1806" s="3">
        <f t="shared" si="149"/>
        <v>0</v>
      </c>
      <c r="R1806" s="3">
        <f t="shared" si="150"/>
        <v>9652.0799999999927</v>
      </c>
      <c r="S1806" s="24" t="s">
        <v>1334</v>
      </c>
      <c r="T1806" s="24" t="s">
        <v>1334</v>
      </c>
      <c r="U1806" s="53"/>
      <c r="V1806" s="25">
        <f>IFERROR(VLOOKUP(BCP_Soles[[#This Row],[destinatario]],CHOOSE({1,2},Clientes_Proveedores[Razon Social],Clientes_Proveedores[Ruc / Dni]),2,0),"")</f>
        <v>20558226979</v>
      </c>
      <c r="W1806" s="25" t="s">
        <v>1345</v>
      </c>
      <c r="X1806" s="25" t="s">
        <v>3125</v>
      </c>
      <c r="Y1806" s="25"/>
      <c r="Z1806" s="75"/>
      <c r="AA1806" s="3" t="str">
        <f>IF(BCP_Soles[[#This Row],[fecha]]&gt;0,TEXT(BCP_Soles[[#This Row],[fecha]],"mmmm"),0)</f>
        <v>Mayo</v>
      </c>
    </row>
    <row r="1807" spans="1:27" ht="36" x14ac:dyDescent="0.3">
      <c r="A1807" s="2">
        <f>IF(BCP_Soles[[#This Row],[tipo_registro]]="R",COUNTIFS($C$1:$C1806,"R")+1,A1806)</f>
        <v>1354</v>
      </c>
      <c r="B1807" s="19" t="str">
        <f t="shared" si="146"/>
        <v>B-BCP - Soles</v>
      </c>
      <c r="C1807" s="3" t="s">
        <v>1330</v>
      </c>
      <c r="D1807" s="14">
        <v>45798</v>
      </c>
      <c r="E1807" s="5" t="s">
        <v>555</v>
      </c>
      <c r="F1807" s="5" t="s">
        <v>1303</v>
      </c>
      <c r="G1807" s="6" t="s">
        <v>425</v>
      </c>
      <c r="H1807" s="6"/>
      <c r="I1807" s="6"/>
      <c r="J1807" s="6"/>
      <c r="K1807" s="7" t="s">
        <v>1348</v>
      </c>
      <c r="L1807" s="8">
        <v>2077890</v>
      </c>
      <c r="M1807" s="8" t="str">
        <f t="shared" si="147"/>
        <v>PEN</v>
      </c>
      <c r="N1807" s="13"/>
      <c r="O1807" s="13">
        <v>850.64</v>
      </c>
      <c r="P1807" s="3">
        <f t="shared" si="148"/>
        <v>850.64</v>
      </c>
      <c r="Q1807" s="3">
        <f t="shared" si="149"/>
        <v>0</v>
      </c>
      <c r="R1807" s="3">
        <f t="shared" si="150"/>
        <v>10502.719999999992</v>
      </c>
      <c r="S1807" s="24" t="s">
        <v>1334</v>
      </c>
      <c r="T1807" s="24" t="s">
        <v>1334</v>
      </c>
      <c r="U1807" s="53"/>
      <c r="V1807" s="25">
        <f>IFERROR(VLOOKUP(BCP_Soles[[#This Row],[destinatario]],CHOOSE({1,2},Clientes_Proveedores[Razon Social],Clientes_Proveedores[Ruc / Dni]),2,0),"")</f>
        <v>20558226979</v>
      </c>
      <c r="W1807" s="25" t="s">
        <v>1345</v>
      </c>
      <c r="X1807" s="25" t="s">
        <v>3126</v>
      </c>
      <c r="Y1807" s="25"/>
      <c r="Z1807" s="75"/>
      <c r="AA1807" s="3" t="str">
        <f>IF(BCP_Soles[[#This Row],[fecha]]&gt;0,TEXT(BCP_Soles[[#This Row],[fecha]],"mmmm"),0)</f>
        <v>Mayo</v>
      </c>
    </row>
    <row r="1808" spans="1:27" ht="36" x14ac:dyDescent="0.3">
      <c r="A1808" s="2">
        <f>IF(BCP_Soles[[#This Row],[tipo_registro]]="R",COUNTIFS($C$1:$C1807,"R")+1,A1807)</f>
        <v>1355</v>
      </c>
      <c r="B1808" s="19" t="str">
        <f t="shared" si="146"/>
        <v>B-BCP - Soles</v>
      </c>
      <c r="C1808" s="3" t="s">
        <v>1330</v>
      </c>
      <c r="D1808" s="14">
        <v>45798</v>
      </c>
      <c r="E1808" s="5" t="s">
        <v>555</v>
      </c>
      <c r="F1808" s="5" t="s">
        <v>1303</v>
      </c>
      <c r="G1808" s="6" t="s">
        <v>425</v>
      </c>
      <c r="H1808" s="6"/>
      <c r="I1808" s="6"/>
      <c r="J1808" s="6"/>
      <c r="K1808" s="7" t="s">
        <v>1348</v>
      </c>
      <c r="L1808" s="8">
        <v>2078174</v>
      </c>
      <c r="M1808" s="8" t="str">
        <f t="shared" si="147"/>
        <v>PEN</v>
      </c>
      <c r="N1808" s="13"/>
      <c r="O1808" s="13">
        <v>810.44</v>
      </c>
      <c r="P1808" s="3">
        <f t="shared" si="148"/>
        <v>810.44</v>
      </c>
      <c r="Q1808" s="3">
        <f t="shared" si="149"/>
        <v>0</v>
      </c>
      <c r="R1808" s="3">
        <f t="shared" si="150"/>
        <v>11313.159999999993</v>
      </c>
      <c r="S1808" s="24" t="s">
        <v>1334</v>
      </c>
      <c r="T1808" s="24" t="s">
        <v>1334</v>
      </c>
      <c r="U1808" s="53"/>
      <c r="V1808" s="25">
        <f>IFERROR(VLOOKUP(BCP_Soles[[#This Row],[destinatario]],CHOOSE({1,2},Clientes_Proveedores[Razon Social],Clientes_Proveedores[Ruc / Dni]),2,0),"")</f>
        <v>20558226979</v>
      </c>
      <c r="W1808" s="25" t="s">
        <v>1345</v>
      </c>
      <c r="X1808" s="25" t="s">
        <v>3127</v>
      </c>
      <c r="Y1808" s="25"/>
      <c r="Z1808" s="75"/>
      <c r="AA1808" s="3" t="str">
        <f>IF(BCP_Soles[[#This Row],[fecha]]&gt;0,TEXT(BCP_Soles[[#This Row],[fecha]],"mmmm"),0)</f>
        <v>Mayo</v>
      </c>
    </row>
    <row r="1809" spans="1:27" ht="24" x14ac:dyDescent="0.3">
      <c r="A1809" s="2">
        <f>IF(BCP_Soles[[#This Row],[tipo_registro]]="R",COUNTIFS($C$1:$C1808,"R")+1,A1808)</f>
        <v>1356</v>
      </c>
      <c r="B1809" s="19" t="str">
        <f t="shared" si="146"/>
        <v>B-BCP - Soles</v>
      </c>
      <c r="C1809" s="3" t="s">
        <v>1330</v>
      </c>
      <c r="D1809" s="14">
        <v>45798</v>
      </c>
      <c r="E1809" s="5" t="s">
        <v>462</v>
      </c>
      <c r="F1809" s="5" t="s">
        <v>1303</v>
      </c>
      <c r="G1809" s="6" t="s">
        <v>425</v>
      </c>
      <c r="H1809" s="6"/>
      <c r="I1809" s="6"/>
      <c r="J1809" s="6"/>
      <c r="K1809" s="7" t="s">
        <v>1356</v>
      </c>
      <c r="L1809" s="8">
        <v>3027560</v>
      </c>
      <c r="M1809" s="8" t="str">
        <f t="shared" si="147"/>
        <v>PEN</v>
      </c>
      <c r="N1809" s="13"/>
      <c r="O1809" s="13">
        <v>578</v>
      </c>
      <c r="P1809" s="3">
        <f t="shared" si="148"/>
        <v>578</v>
      </c>
      <c r="Q1809" s="3">
        <f t="shared" si="149"/>
        <v>0</v>
      </c>
      <c r="R1809" s="3">
        <f t="shared" si="150"/>
        <v>11891.159999999993</v>
      </c>
      <c r="S1809" s="24" t="s">
        <v>1334</v>
      </c>
      <c r="T1809" s="24" t="s">
        <v>1334</v>
      </c>
      <c r="U1809" s="53"/>
      <c r="V1809" s="25">
        <f>IFERROR(VLOOKUP(BCP_Soles[[#This Row],[destinatario]],CHOOSE({1,2},Clientes_Proveedores[Razon Social],Clientes_Proveedores[Ruc / Dni]),2,0),"")</f>
        <v>20558226979</v>
      </c>
      <c r="W1809" s="25" t="s">
        <v>1345</v>
      </c>
      <c r="X1809" s="25" t="s">
        <v>3128</v>
      </c>
      <c r="Y1809" s="25"/>
      <c r="Z1809" s="75"/>
      <c r="AA1809" s="3" t="str">
        <f>IF(BCP_Soles[[#This Row],[fecha]]&gt;0,TEXT(BCP_Soles[[#This Row],[fecha]],"mmmm"),0)</f>
        <v>Mayo</v>
      </c>
    </row>
    <row r="1810" spans="1:27" ht="24" x14ac:dyDescent="0.3">
      <c r="A1810" s="2">
        <f>IF(BCP_Soles[[#This Row],[tipo_registro]]="R",COUNTIFS($C$1:$C1809,"R")+1,A1809)</f>
        <v>1357</v>
      </c>
      <c r="B1810" s="19" t="str">
        <f t="shared" si="146"/>
        <v>B-BCP - Soles</v>
      </c>
      <c r="C1810" s="3" t="s">
        <v>1330</v>
      </c>
      <c r="D1810" s="14">
        <v>45798</v>
      </c>
      <c r="E1810" s="5" t="s">
        <v>2269</v>
      </c>
      <c r="F1810" s="5" t="s">
        <v>1336</v>
      </c>
      <c r="G1810" s="6" t="s">
        <v>482</v>
      </c>
      <c r="H1810" s="6" t="s">
        <v>68</v>
      </c>
      <c r="I1810" s="6" t="s">
        <v>1374</v>
      </c>
      <c r="J1810" s="6">
        <v>479</v>
      </c>
      <c r="K1810" s="7" t="s">
        <v>3129</v>
      </c>
      <c r="L1810" s="8">
        <v>1105929</v>
      </c>
      <c r="M1810" s="8" t="str">
        <f t="shared" si="147"/>
        <v>PEN</v>
      </c>
      <c r="N1810" s="13"/>
      <c r="O1810" s="13">
        <v>129.80000000000001</v>
      </c>
      <c r="P1810" s="3">
        <f t="shared" si="148"/>
        <v>0</v>
      </c>
      <c r="Q1810" s="3">
        <f t="shared" si="149"/>
        <v>129.80000000000001</v>
      </c>
      <c r="R1810" s="3">
        <f t="shared" si="150"/>
        <v>11761.359999999993</v>
      </c>
      <c r="S1810" s="24" t="s">
        <v>1334</v>
      </c>
      <c r="T1810" s="24" t="s">
        <v>1334</v>
      </c>
      <c r="U1810" s="53"/>
      <c r="V1810" s="25">
        <f>IFERROR(VLOOKUP(BCP_Soles[[#This Row],[destinatario]],CHOOSE({1,2},Clientes_Proveedores[Razon Social],Clientes_Proveedores[Ruc / Dni]),2,0),"")</f>
        <v>20602441165</v>
      </c>
      <c r="W1810" s="25" t="s">
        <v>482</v>
      </c>
      <c r="X1810" s="25" t="s">
        <v>3130</v>
      </c>
      <c r="Y1810" s="25"/>
      <c r="Z1810" s="75"/>
      <c r="AA1810" s="3" t="str">
        <f>IF(BCP_Soles[[#This Row],[fecha]]&gt;0,TEXT(BCP_Soles[[#This Row],[fecha]],"mmmm"),0)</f>
        <v>Mayo</v>
      </c>
    </row>
    <row r="1811" spans="1:27" ht="24" x14ac:dyDescent="0.3">
      <c r="A1811" s="2">
        <f>IF(BCP_Soles[[#This Row],[tipo_registro]]="R",COUNTIFS($C$1:$C1810,"R")+1,A1810)</f>
        <v>1358</v>
      </c>
      <c r="B1811" s="19" t="str">
        <f t="shared" si="146"/>
        <v>B-BCP - Soles</v>
      </c>
      <c r="C1811" s="3" t="s">
        <v>1330</v>
      </c>
      <c r="D1811" s="14">
        <v>45798</v>
      </c>
      <c r="E1811" s="5" t="s">
        <v>2269</v>
      </c>
      <c r="F1811" s="5" t="s">
        <v>1336</v>
      </c>
      <c r="G1811" s="6" t="s">
        <v>708</v>
      </c>
      <c r="H1811" s="6" t="s">
        <v>68</v>
      </c>
      <c r="I1811" s="6" t="s">
        <v>1655</v>
      </c>
      <c r="J1811" s="6">
        <v>293331</v>
      </c>
      <c r="K1811" s="7" t="s">
        <v>3131</v>
      </c>
      <c r="L1811" s="8">
        <v>106439</v>
      </c>
      <c r="M1811" s="8" t="str">
        <f t="shared" si="147"/>
        <v>PEN</v>
      </c>
      <c r="N1811" s="13"/>
      <c r="O1811" s="13">
        <v>512.12</v>
      </c>
      <c r="P1811" s="3">
        <f t="shared" si="148"/>
        <v>0</v>
      </c>
      <c r="Q1811" s="3">
        <f t="shared" si="149"/>
        <v>512.12</v>
      </c>
      <c r="R1811" s="3">
        <f t="shared" si="150"/>
        <v>11249.239999999993</v>
      </c>
      <c r="S1811" s="24" t="s">
        <v>1334</v>
      </c>
      <c r="T1811" s="24" t="s">
        <v>1334</v>
      </c>
      <c r="U1811" s="53"/>
      <c r="V1811" s="25">
        <f>IFERROR(VLOOKUP(BCP_Soles[[#This Row],[destinatario]],CHOOSE({1,2},Clientes_Proveedores[Razon Social],Clientes_Proveedores[Ruc / Dni]),2,0),"")</f>
        <v>20467534026</v>
      </c>
      <c r="W1811" s="25" t="s">
        <v>1657</v>
      </c>
      <c r="X1811" s="25" t="s">
        <v>3132</v>
      </c>
      <c r="Y1811" s="181" t="s">
        <v>2853</v>
      </c>
      <c r="Z1811" s="75"/>
      <c r="AA1811" s="3" t="str">
        <f>IF(BCP_Soles[[#This Row],[fecha]]&gt;0,TEXT(BCP_Soles[[#This Row],[fecha]],"mmmm"),0)</f>
        <v>Mayo</v>
      </c>
    </row>
    <row r="1812" spans="1:27" x14ac:dyDescent="0.3">
      <c r="A1812" s="2">
        <f>IF(BCP_Soles[[#This Row],[tipo_registro]]="R",COUNTIFS($C$1:$C1811,"R")+1,A1811)</f>
        <v>1359</v>
      </c>
      <c r="B1812" s="19" t="str">
        <f t="shared" si="146"/>
        <v>B-BCP - Soles</v>
      </c>
      <c r="C1812" s="3" t="s">
        <v>1330</v>
      </c>
      <c r="D1812" s="14">
        <v>45798</v>
      </c>
      <c r="E1812" s="5" t="s">
        <v>1335</v>
      </c>
      <c r="F1812" s="5" t="s">
        <v>1336</v>
      </c>
      <c r="G1812" s="6"/>
      <c r="H1812" s="6"/>
      <c r="I1812" s="6"/>
      <c r="J1812" s="6"/>
      <c r="K1812" s="7" t="s">
        <v>1337</v>
      </c>
      <c r="L1812" s="8"/>
      <c r="M1812" s="8" t="str">
        <f t="shared" si="147"/>
        <v>PEN</v>
      </c>
      <c r="N1812" s="13"/>
      <c r="O1812" s="13">
        <v>0.15</v>
      </c>
      <c r="P1812" s="3">
        <f t="shared" si="148"/>
        <v>0</v>
      </c>
      <c r="Q1812" s="3">
        <f t="shared" si="149"/>
        <v>0.15</v>
      </c>
      <c r="R1812" s="3">
        <f t="shared" si="150"/>
        <v>11249.089999999993</v>
      </c>
      <c r="S1812" s="24" t="s">
        <v>1334</v>
      </c>
      <c r="T1812" s="24" t="s">
        <v>1334</v>
      </c>
      <c r="U1812" s="53"/>
      <c r="V1812" s="25" t="str">
        <f>IFERROR(VLOOKUP(BCP_Soles[[#This Row],[destinatario]],CHOOSE({1,2},Clientes_Proveedores[Razon Social],Clientes_Proveedores[Ruc / Dni]),2,0),"")</f>
        <v/>
      </c>
      <c r="W1812" s="25"/>
      <c r="X1812" s="25"/>
      <c r="Y1812" s="25"/>
      <c r="Z1812" s="75"/>
      <c r="AA1812" s="3" t="str">
        <f>IF(BCP_Soles[[#This Row],[fecha]]&gt;0,TEXT(BCP_Soles[[#This Row],[fecha]],"mmmm"),0)</f>
        <v>Mayo</v>
      </c>
    </row>
    <row r="1813" spans="1:27" x14ac:dyDescent="0.3">
      <c r="A1813" s="2">
        <f>IF(BCP_Soles[[#This Row],[tipo_registro]]="R",COUNTIFS($C$1:$C1812,"R")+1,A1812)</f>
        <v>1360</v>
      </c>
      <c r="B1813" s="19" t="str">
        <f t="shared" si="146"/>
        <v>B-BCP - Soles</v>
      </c>
      <c r="C1813" s="3" t="s">
        <v>1330</v>
      </c>
      <c r="D1813" s="14">
        <v>45799</v>
      </c>
      <c r="E1813" s="5" t="s">
        <v>1345</v>
      </c>
      <c r="F1813" s="5" t="s">
        <v>1303</v>
      </c>
      <c r="G1813" s="6" t="s">
        <v>425</v>
      </c>
      <c r="H1813" s="6"/>
      <c r="I1813" s="6"/>
      <c r="J1813" s="6"/>
      <c r="K1813" s="7" t="s">
        <v>3090</v>
      </c>
      <c r="L1813" s="8">
        <v>2852981</v>
      </c>
      <c r="M1813" s="8" t="str">
        <f t="shared" si="147"/>
        <v>PEN</v>
      </c>
      <c r="N1813" s="13"/>
      <c r="O1813" s="13">
        <v>20000</v>
      </c>
      <c r="P1813" s="3">
        <f t="shared" si="148"/>
        <v>20000</v>
      </c>
      <c r="Q1813" s="3">
        <f t="shared" si="149"/>
        <v>0</v>
      </c>
      <c r="R1813" s="3">
        <f t="shared" si="150"/>
        <v>31249.089999999993</v>
      </c>
      <c r="S1813" s="24" t="s">
        <v>1334</v>
      </c>
      <c r="T1813" s="24" t="s">
        <v>1334</v>
      </c>
      <c r="U1813" s="53"/>
      <c r="V1813" s="25">
        <f>IFERROR(VLOOKUP(BCP_Soles[[#This Row],[destinatario]],CHOOSE({1,2},Clientes_Proveedores[Razon Social],Clientes_Proveedores[Ruc / Dni]),2,0),"")</f>
        <v>20558226979</v>
      </c>
      <c r="W1813" s="25" t="s">
        <v>1345</v>
      </c>
      <c r="X1813" s="25"/>
      <c r="Y1813" s="25"/>
      <c r="Z1813" s="75"/>
      <c r="AA1813" s="3" t="str">
        <f>IF(BCP_Soles[[#This Row],[fecha]]&gt;0,TEXT(BCP_Soles[[#This Row],[fecha]],"mmmm"),0)</f>
        <v>Mayo</v>
      </c>
    </row>
    <row r="1814" spans="1:27" ht="36" x14ac:dyDescent="0.3">
      <c r="A1814" s="2">
        <f>IF(BCP_Soles[[#This Row],[tipo_registro]]="R",COUNTIFS($C$1:$C1813,"R")+1,A1813)</f>
        <v>1361</v>
      </c>
      <c r="B1814" s="19" t="str">
        <f t="shared" ref="B1814:B1877" si="151">"B-BCP - Soles"</f>
        <v>B-BCP - Soles</v>
      </c>
      <c r="C1814" s="3" t="s">
        <v>1330</v>
      </c>
      <c r="D1814" s="14">
        <v>45799</v>
      </c>
      <c r="E1814" s="5" t="s">
        <v>232</v>
      </c>
      <c r="F1814" s="5" t="s">
        <v>1303</v>
      </c>
      <c r="G1814" s="6" t="s">
        <v>425</v>
      </c>
      <c r="H1814" s="6"/>
      <c r="I1814" s="6"/>
      <c r="J1814" s="6"/>
      <c r="K1814" s="7" t="s">
        <v>2217</v>
      </c>
      <c r="L1814" s="8">
        <v>2119805</v>
      </c>
      <c r="M1814" s="8" t="str">
        <f t="shared" ref="M1814:M1877" si="152">"PEN"</f>
        <v>PEN</v>
      </c>
      <c r="N1814" s="13"/>
      <c r="O1814" s="13">
        <v>1196.7</v>
      </c>
      <c r="P1814" s="3">
        <f t="shared" ref="P1814:P1877" si="153">+IF(OR($F1814="SALDO",$F1814="INGRESO"),$O1814,0)</f>
        <v>1196.7</v>
      </c>
      <c r="Q1814" s="3">
        <f t="shared" ref="Q1814:Q1877" si="154">+IF($F1814="EGRESO",$O1814,0)</f>
        <v>0</v>
      </c>
      <c r="R1814" s="3">
        <f t="shared" si="150"/>
        <v>32445.789999999994</v>
      </c>
      <c r="S1814" s="24" t="s">
        <v>1334</v>
      </c>
      <c r="T1814" s="24" t="s">
        <v>1334</v>
      </c>
      <c r="U1814" s="53"/>
      <c r="V1814" s="25">
        <f>IFERROR(VLOOKUP(BCP_Soles[[#This Row],[destinatario]],CHOOSE({1,2},Clientes_Proveedores[Razon Social],Clientes_Proveedores[Ruc / Dni]),2,0),"")</f>
        <v>20558226979</v>
      </c>
      <c r="W1814" s="25" t="s">
        <v>1345</v>
      </c>
      <c r="X1814" s="25" t="s">
        <v>3060</v>
      </c>
      <c r="Y1814" s="25"/>
      <c r="Z1814" s="75"/>
      <c r="AA1814" s="3" t="str">
        <f>IF(BCP_Soles[[#This Row],[fecha]]&gt;0,TEXT(BCP_Soles[[#This Row],[fecha]],"mmmm"),0)</f>
        <v>Mayo</v>
      </c>
    </row>
    <row r="1815" spans="1:27" x14ac:dyDescent="0.3">
      <c r="A1815" s="2">
        <f>IF(BCP_Soles[[#This Row],[tipo_registro]]="R",COUNTIFS($C$1:$C1814,"R")+1,A1814)</f>
        <v>1362</v>
      </c>
      <c r="B1815" s="19" t="str">
        <f t="shared" si="151"/>
        <v>B-BCP - Soles</v>
      </c>
      <c r="C1815" s="3" t="s">
        <v>1330</v>
      </c>
      <c r="D1815" s="14">
        <v>45799</v>
      </c>
      <c r="E1815" s="5" t="s">
        <v>1338</v>
      </c>
      <c r="F1815" s="5" t="s">
        <v>1336</v>
      </c>
      <c r="G1815" s="6" t="s">
        <v>196</v>
      </c>
      <c r="H1815" s="6" t="s">
        <v>68</v>
      </c>
      <c r="I1815" s="6" t="s">
        <v>2226</v>
      </c>
      <c r="J1815" s="6">
        <v>6372</v>
      </c>
      <c r="K1815" s="7" t="s">
        <v>2227</v>
      </c>
      <c r="L1815" s="8">
        <v>207398</v>
      </c>
      <c r="M1815" s="8" t="str">
        <f t="shared" si="152"/>
        <v>PEN</v>
      </c>
      <c r="N1815" s="13"/>
      <c r="O1815" s="13">
        <v>8.56</v>
      </c>
      <c r="P1815" s="3">
        <f t="shared" si="153"/>
        <v>0</v>
      </c>
      <c r="Q1815" s="3">
        <f t="shared" si="154"/>
        <v>8.56</v>
      </c>
      <c r="R1815" s="3">
        <f t="shared" si="150"/>
        <v>32437.229999999992</v>
      </c>
      <c r="S1815" s="24" t="s">
        <v>1334</v>
      </c>
      <c r="T1815" s="24" t="s">
        <v>1334</v>
      </c>
      <c r="U1815" s="53"/>
      <c r="V1815" s="25">
        <f>IFERROR(VLOOKUP(BCP_Soles[[#This Row],[destinatario]],CHOOSE({1,2},Clientes_Proveedores[Razon Social],Clientes_Proveedores[Ruc / Dni]),2,0),"")</f>
        <v>20100055237</v>
      </c>
      <c r="W1815" s="25" t="s">
        <v>2228</v>
      </c>
      <c r="X1815" s="25" t="s">
        <v>3133</v>
      </c>
      <c r="Y1815" s="25"/>
      <c r="Z1815" s="75"/>
      <c r="AA1815" s="3" t="str">
        <f>IF(BCP_Soles[[#This Row],[fecha]]&gt;0,TEXT(BCP_Soles[[#This Row],[fecha]],"mmmm"),0)</f>
        <v>Mayo</v>
      </c>
    </row>
    <row r="1816" spans="1:27" x14ac:dyDescent="0.3">
      <c r="A1816" s="2">
        <f>IF(BCP_Soles[[#This Row],[tipo_registro]]="R",COUNTIFS($C$1:$C1815,"R")+1,A1815)</f>
        <v>1363</v>
      </c>
      <c r="B1816" s="19" t="str">
        <f t="shared" si="151"/>
        <v>B-BCP - Soles</v>
      </c>
      <c r="C1816" s="3" t="s">
        <v>1330</v>
      </c>
      <c r="D1816" s="14">
        <v>45799</v>
      </c>
      <c r="E1816" s="5" t="s">
        <v>1338</v>
      </c>
      <c r="F1816" s="5" t="s">
        <v>1336</v>
      </c>
      <c r="G1816" s="6" t="s">
        <v>196</v>
      </c>
      <c r="H1816" s="6" t="s">
        <v>68</v>
      </c>
      <c r="I1816" s="6" t="s">
        <v>2226</v>
      </c>
      <c r="J1816" s="6">
        <v>6368</v>
      </c>
      <c r="K1816" s="7" t="s">
        <v>2227</v>
      </c>
      <c r="L1816" s="8">
        <v>205454</v>
      </c>
      <c r="M1816" s="8" t="str">
        <f t="shared" si="152"/>
        <v>PEN</v>
      </c>
      <c r="N1816" s="13"/>
      <c r="O1816" s="13">
        <v>26.86</v>
      </c>
      <c r="P1816" s="3">
        <f t="shared" si="153"/>
        <v>0</v>
      </c>
      <c r="Q1816" s="3">
        <f t="shared" si="154"/>
        <v>26.86</v>
      </c>
      <c r="R1816" s="3">
        <f t="shared" si="150"/>
        <v>32410.369999999992</v>
      </c>
      <c r="S1816" s="24" t="s">
        <v>1334</v>
      </c>
      <c r="T1816" s="24" t="s">
        <v>1334</v>
      </c>
      <c r="U1816" s="53"/>
      <c r="V1816" s="25">
        <f>IFERROR(VLOOKUP(BCP_Soles[[#This Row],[destinatario]],CHOOSE({1,2},Clientes_Proveedores[Razon Social],Clientes_Proveedores[Ruc / Dni]),2,0),"")</f>
        <v>20100055237</v>
      </c>
      <c r="W1816" s="25" t="s">
        <v>2228</v>
      </c>
      <c r="X1816" s="25" t="s">
        <v>3134</v>
      </c>
      <c r="Y1816" s="25"/>
      <c r="Z1816" s="75"/>
      <c r="AA1816" s="3" t="str">
        <f>IF(BCP_Soles[[#This Row],[fecha]]&gt;0,TEXT(BCP_Soles[[#This Row],[fecha]],"mmmm"),0)</f>
        <v>Mayo</v>
      </c>
    </row>
    <row r="1817" spans="1:27" x14ac:dyDescent="0.3">
      <c r="A1817" s="2">
        <f>IF(BCP_Soles[[#This Row],[tipo_registro]]="R",COUNTIFS($C$1:$C1816,"R")+1,A1816)</f>
        <v>1364</v>
      </c>
      <c r="B1817" s="19" t="str">
        <f t="shared" si="151"/>
        <v>B-BCP - Soles</v>
      </c>
      <c r="C1817" s="3" t="s">
        <v>1330</v>
      </c>
      <c r="D1817" s="14">
        <v>45799</v>
      </c>
      <c r="E1817" s="5" t="s">
        <v>1338</v>
      </c>
      <c r="F1817" s="5" t="s">
        <v>1336</v>
      </c>
      <c r="G1817" s="6" t="s">
        <v>196</v>
      </c>
      <c r="H1817" s="6" t="s">
        <v>68</v>
      </c>
      <c r="I1817" s="6" t="s">
        <v>2226</v>
      </c>
      <c r="J1817" s="6">
        <v>6367</v>
      </c>
      <c r="K1817" s="7" t="s">
        <v>2227</v>
      </c>
      <c r="L1817" s="8">
        <v>204983</v>
      </c>
      <c r="M1817" s="8" t="str">
        <f t="shared" si="152"/>
        <v>PEN</v>
      </c>
      <c r="N1817" s="13"/>
      <c r="O1817" s="13">
        <v>62.28</v>
      </c>
      <c r="P1817" s="3">
        <f t="shared" si="153"/>
        <v>0</v>
      </c>
      <c r="Q1817" s="3">
        <f t="shared" si="154"/>
        <v>62.28</v>
      </c>
      <c r="R1817" s="3">
        <f t="shared" si="150"/>
        <v>32348.089999999993</v>
      </c>
      <c r="S1817" s="24" t="s">
        <v>1334</v>
      </c>
      <c r="T1817" s="24" t="s">
        <v>1334</v>
      </c>
      <c r="U1817" s="53"/>
      <c r="V1817" s="25">
        <f>IFERROR(VLOOKUP(BCP_Soles[[#This Row],[destinatario]],CHOOSE({1,2},Clientes_Proveedores[Razon Social],Clientes_Proveedores[Ruc / Dni]),2,0),"")</f>
        <v>20100055237</v>
      </c>
      <c r="W1817" s="25" t="s">
        <v>2228</v>
      </c>
      <c r="X1817" s="25" t="s">
        <v>3135</v>
      </c>
      <c r="Y1817" s="25"/>
      <c r="Z1817" s="75"/>
      <c r="AA1817" s="3" t="str">
        <f>IF(BCP_Soles[[#This Row],[fecha]]&gt;0,TEXT(BCP_Soles[[#This Row],[fecha]],"mmmm"),0)</f>
        <v>Mayo</v>
      </c>
    </row>
    <row r="1818" spans="1:27" x14ac:dyDescent="0.3">
      <c r="A1818" s="2">
        <f>IF(BCP_Soles[[#This Row],[tipo_registro]]="R",COUNTIFS($C$1:$C1817,"R")+1,A1817)</f>
        <v>1365</v>
      </c>
      <c r="B1818" s="19" t="str">
        <f t="shared" si="151"/>
        <v>B-BCP - Soles</v>
      </c>
      <c r="C1818" s="3" t="s">
        <v>1330</v>
      </c>
      <c r="D1818" s="14">
        <v>45799</v>
      </c>
      <c r="E1818" s="5" t="s">
        <v>1338</v>
      </c>
      <c r="F1818" s="5" t="s">
        <v>1336</v>
      </c>
      <c r="G1818" s="6" t="s">
        <v>196</v>
      </c>
      <c r="H1818" s="6" t="s">
        <v>68</v>
      </c>
      <c r="I1818" s="6" t="s">
        <v>2226</v>
      </c>
      <c r="J1818" s="6">
        <v>6370</v>
      </c>
      <c r="K1818" s="7" t="s">
        <v>2227</v>
      </c>
      <c r="L1818" s="8">
        <v>206428</v>
      </c>
      <c r="M1818" s="8" t="str">
        <f t="shared" si="152"/>
        <v>PEN</v>
      </c>
      <c r="N1818" s="13"/>
      <c r="O1818" s="13">
        <v>126.68</v>
      </c>
      <c r="P1818" s="3">
        <f t="shared" si="153"/>
        <v>0</v>
      </c>
      <c r="Q1818" s="3">
        <f t="shared" si="154"/>
        <v>126.68</v>
      </c>
      <c r="R1818" s="3">
        <f t="shared" si="150"/>
        <v>32221.409999999993</v>
      </c>
      <c r="S1818" s="24" t="s">
        <v>1334</v>
      </c>
      <c r="T1818" s="24" t="s">
        <v>1334</v>
      </c>
      <c r="U1818" s="53"/>
      <c r="V1818" s="25">
        <f>IFERROR(VLOOKUP(BCP_Soles[[#This Row],[destinatario]],CHOOSE({1,2},Clientes_Proveedores[Razon Social],Clientes_Proveedores[Ruc / Dni]),2,0),"")</f>
        <v>20100055237</v>
      </c>
      <c r="W1818" s="25" t="s">
        <v>2228</v>
      </c>
      <c r="X1818" s="25" t="s">
        <v>3136</v>
      </c>
      <c r="Y1818" s="25"/>
      <c r="Z1818" s="75"/>
      <c r="AA1818" s="3" t="str">
        <f>IF(BCP_Soles[[#This Row],[fecha]]&gt;0,TEXT(BCP_Soles[[#This Row],[fecha]],"mmmm"),0)</f>
        <v>Mayo</v>
      </c>
    </row>
    <row r="1819" spans="1:27" x14ac:dyDescent="0.3">
      <c r="A1819" s="2">
        <f>IF(BCP_Soles[[#This Row],[tipo_registro]]="R",COUNTIFS($C$1:$C1818,"R")+1,A1818)</f>
        <v>1366</v>
      </c>
      <c r="B1819" s="19" t="str">
        <f t="shared" si="151"/>
        <v>B-BCP - Soles</v>
      </c>
      <c r="C1819" s="3" t="s">
        <v>1330</v>
      </c>
      <c r="D1819" s="14">
        <v>45799</v>
      </c>
      <c r="E1819" s="5" t="s">
        <v>1338</v>
      </c>
      <c r="F1819" s="5" t="s">
        <v>1336</v>
      </c>
      <c r="G1819" s="6" t="s">
        <v>196</v>
      </c>
      <c r="H1819" s="6" t="s">
        <v>68</v>
      </c>
      <c r="I1819" s="6" t="s">
        <v>2226</v>
      </c>
      <c r="J1819" s="6">
        <v>6369</v>
      </c>
      <c r="K1819" s="7" t="s">
        <v>2227</v>
      </c>
      <c r="L1819" s="8">
        <v>204984</v>
      </c>
      <c r="M1819" s="8" t="str">
        <f t="shared" si="152"/>
        <v>PEN</v>
      </c>
      <c r="N1819" s="13"/>
      <c r="O1819" s="13">
        <v>130.4</v>
      </c>
      <c r="P1819" s="3">
        <f t="shared" si="153"/>
        <v>0</v>
      </c>
      <c r="Q1819" s="3">
        <f t="shared" si="154"/>
        <v>130.4</v>
      </c>
      <c r="R1819" s="3">
        <f t="shared" si="150"/>
        <v>32091.009999999991</v>
      </c>
      <c r="S1819" s="24" t="s">
        <v>1334</v>
      </c>
      <c r="T1819" s="24" t="s">
        <v>1334</v>
      </c>
      <c r="U1819" s="53"/>
      <c r="V1819" s="25">
        <f>IFERROR(VLOOKUP(BCP_Soles[[#This Row],[destinatario]],CHOOSE({1,2},Clientes_Proveedores[Razon Social],Clientes_Proveedores[Ruc / Dni]),2,0),"")</f>
        <v>20100055237</v>
      </c>
      <c r="W1819" s="25" t="s">
        <v>2228</v>
      </c>
      <c r="X1819" s="25" t="s">
        <v>3137</v>
      </c>
      <c r="Y1819" s="25"/>
      <c r="Z1819" s="75"/>
      <c r="AA1819" s="3" t="str">
        <f>IF(BCP_Soles[[#This Row],[fecha]]&gt;0,TEXT(BCP_Soles[[#This Row],[fecha]],"mmmm"),0)</f>
        <v>Mayo</v>
      </c>
    </row>
    <row r="1820" spans="1:27" ht="24" x14ac:dyDescent="0.3">
      <c r="A1820" s="2">
        <f>IF(BCP_Soles[[#This Row],[tipo_registro]]="R",COUNTIFS($C$1:$C1819,"R")+1,A1819)</f>
        <v>1367</v>
      </c>
      <c r="B1820" s="19" t="str">
        <f t="shared" si="151"/>
        <v>B-BCP - Soles</v>
      </c>
      <c r="C1820" s="3" t="s">
        <v>1330</v>
      </c>
      <c r="D1820" s="14">
        <v>45799</v>
      </c>
      <c r="E1820" s="5" t="s">
        <v>1338</v>
      </c>
      <c r="F1820" s="5" t="s">
        <v>1336</v>
      </c>
      <c r="G1820" s="6"/>
      <c r="H1820" s="6"/>
      <c r="I1820" s="6"/>
      <c r="J1820" s="6"/>
      <c r="K1820" s="7" t="s">
        <v>3138</v>
      </c>
      <c r="L1820" s="8">
        <v>1206905</v>
      </c>
      <c r="M1820" s="8" t="str">
        <f t="shared" si="152"/>
        <v>PEN</v>
      </c>
      <c r="N1820" s="13"/>
      <c r="O1820" s="13">
        <v>336.01</v>
      </c>
      <c r="P1820" s="3">
        <f t="shared" si="153"/>
        <v>0</v>
      </c>
      <c r="Q1820" s="3">
        <f t="shared" si="154"/>
        <v>336.01</v>
      </c>
      <c r="R1820" s="3">
        <f t="shared" si="150"/>
        <v>31754.999999999993</v>
      </c>
      <c r="S1820" s="24" t="s">
        <v>1334</v>
      </c>
      <c r="T1820" s="24" t="s">
        <v>1334</v>
      </c>
      <c r="U1820" s="53"/>
      <c r="V1820" s="25" t="str">
        <f>IFERROR(VLOOKUP(BCP_Soles[[#This Row],[destinatario]],CHOOSE({1,2},Clientes_Proveedores[Razon Social],Clientes_Proveedores[Ruc / Dni]),2,0),"")</f>
        <v/>
      </c>
      <c r="W1820" s="25" t="s">
        <v>2910</v>
      </c>
      <c r="X1820" s="25" t="s">
        <v>3139</v>
      </c>
      <c r="Y1820" s="25"/>
      <c r="Z1820" s="75"/>
      <c r="AA1820" s="3" t="str">
        <f>IF(BCP_Soles[[#This Row],[fecha]]&gt;0,TEXT(BCP_Soles[[#This Row],[fecha]],"mmmm"),0)</f>
        <v>Mayo</v>
      </c>
    </row>
    <row r="1821" spans="1:27" x14ac:dyDescent="0.3">
      <c r="A1821" s="2">
        <f>IF(BCP_Soles[[#This Row],[tipo_registro]]="R",COUNTIFS($C$1:$C1820,"R")+1,A1820)</f>
        <v>1368</v>
      </c>
      <c r="B1821" s="19" t="str">
        <f t="shared" si="151"/>
        <v>B-BCP - Soles</v>
      </c>
      <c r="C1821" s="3" t="s">
        <v>1330</v>
      </c>
      <c r="D1821" s="14">
        <v>45799</v>
      </c>
      <c r="E1821" s="5" t="s">
        <v>1338</v>
      </c>
      <c r="F1821" s="5" t="s">
        <v>1336</v>
      </c>
      <c r="G1821" s="6" t="s">
        <v>196</v>
      </c>
      <c r="H1821" s="6" t="s">
        <v>68</v>
      </c>
      <c r="I1821" s="6" t="s">
        <v>2226</v>
      </c>
      <c r="J1821" s="6">
        <v>6371</v>
      </c>
      <c r="K1821" s="7" t="s">
        <v>2227</v>
      </c>
      <c r="L1821" s="8">
        <v>207396</v>
      </c>
      <c r="M1821" s="8" t="str">
        <f t="shared" si="152"/>
        <v>PEN</v>
      </c>
      <c r="N1821" s="13"/>
      <c r="O1821" s="13">
        <v>397.28</v>
      </c>
      <c r="P1821" s="3">
        <f t="shared" si="153"/>
        <v>0</v>
      </c>
      <c r="Q1821" s="3">
        <f t="shared" si="154"/>
        <v>397.28</v>
      </c>
      <c r="R1821" s="3">
        <f t="shared" si="150"/>
        <v>31357.719999999994</v>
      </c>
      <c r="S1821" s="24" t="s">
        <v>1334</v>
      </c>
      <c r="T1821" s="24" t="s">
        <v>1334</v>
      </c>
      <c r="U1821" s="53"/>
      <c r="V1821" s="25">
        <f>IFERROR(VLOOKUP(BCP_Soles[[#This Row],[destinatario]],CHOOSE({1,2},Clientes_Proveedores[Razon Social],Clientes_Proveedores[Ruc / Dni]),2,0),"")</f>
        <v>20100055237</v>
      </c>
      <c r="W1821" s="25" t="s">
        <v>2228</v>
      </c>
      <c r="X1821" s="25" t="s">
        <v>3140</v>
      </c>
      <c r="Y1821" s="25"/>
      <c r="Z1821" s="75"/>
      <c r="AA1821" s="3" t="str">
        <f>IF(BCP_Soles[[#This Row],[fecha]]&gt;0,TEXT(BCP_Soles[[#This Row],[fecha]],"mmmm"),0)</f>
        <v>Mayo</v>
      </c>
    </row>
    <row r="1822" spans="1:27" x14ac:dyDescent="0.3">
      <c r="A1822" s="2">
        <f>IF(BCP_Soles[[#This Row],[tipo_registro]]="R",COUNTIFS($C$1:$C1821,"R")+1,A1821)</f>
        <v>1369</v>
      </c>
      <c r="B1822" s="19" t="str">
        <f t="shared" si="151"/>
        <v>B-BCP - Soles</v>
      </c>
      <c r="C1822" s="3" t="s">
        <v>1330</v>
      </c>
      <c r="D1822" s="14">
        <v>45799</v>
      </c>
      <c r="E1822" s="5" t="s">
        <v>1338</v>
      </c>
      <c r="F1822" s="5" t="s">
        <v>1336</v>
      </c>
      <c r="G1822" s="6" t="s">
        <v>196</v>
      </c>
      <c r="H1822" s="6" t="s">
        <v>68</v>
      </c>
      <c r="I1822" s="6" t="s">
        <v>2226</v>
      </c>
      <c r="J1822" s="6">
        <v>6373</v>
      </c>
      <c r="K1822" s="7" t="s">
        <v>2227</v>
      </c>
      <c r="L1822" s="8">
        <v>207397</v>
      </c>
      <c r="M1822" s="8" t="str">
        <f t="shared" si="152"/>
        <v>PEN</v>
      </c>
      <c r="N1822" s="13"/>
      <c r="O1822" s="13">
        <v>565.52</v>
      </c>
      <c r="P1822" s="3">
        <f t="shared" si="153"/>
        <v>0</v>
      </c>
      <c r="Q1822" s="3">
        <f t="shared" si="154"/>
        <v>565.52</v>
      </c>
      <c r="R1822" s="3">
        <f t="shared" si="150"/>
        <v>30792.199999999993</v>
      </c>
      <c r="S1822" s="24" t="s">
        <v>1334</v>
      </c>
      <c r="T1822" s="24" t="s">
        <v>1334</v>
      </c>
      <c r="U1822" s="53"/>
      <c r="V1822" s="25">
        <f>IFERROR(VLOOKUP(BCP_Soles[[#This Row],[destinatario]],CHOOSE({1,2},Clientes_Proveedores[Razon Social],Clientes_Proveedores[Ruc / Dni]),2,0),"")</f>
        <v>20100055237</v>
      </c>
      <c r="W1822" s="25" t="s">
        <v>2228</v>
      </c>
      <c r="X1822" s="25" t="s">
        <v>3141</v>
      </c>
      <c r="Y1822" s="25"/>
      <c r="Z1822" s="75"/>
      <c r="AA1822" s="3" t="str">
        <f>IF(BCP_Soles[[#This Row],[fecha]]&gt;0,TEXT(BCP_Soles[[#This Row],[fecha]],"mmmm"),0)</f>
        <v>Mayo</v>
      </c>
    </row>
    <row r="1823" spans="1:27" ht="36" x14ac:dyDescent="0.3">
      <c r="A1823" s="2">
        <f>IF(BCP_Soles[[#This Row],[tipo_registro]]="R",COUNTIFS($C$1:$C1822,"R")+1,A1822)</f>
        <v>1370</v>
      </c>
      <c r="B1823" s="19" t="str">
        <f t="shared" si="151"/>
        <v>B-BCP - Soles</v>
      </c>
      <c r="C1823" s="3" t="s">
        <v>1330</v>
      </c>
      <c r="D1823" s="14">
        <v>45799</v>
      </c>
      <c r="E1823" s="5" t="s">
        <v>1338</v>
      </c>
      <c r="F1823" s="5" t="s">
        <v>1336</v>
      </c>
      <c r="G1823" s="6" t="s">
        <v>1124</v>
      </c>
      <c r="H1823" s="6"/>
      <c r="I1823" s="6"/>
      <c r="J1823" s="6"/>
      <c r="K1823" s="7" t="s">
        <v>3142</v>
      </c>
      <c r="L1823" s="8">
        <v>1102942</v>
      </c>
      <c r="M1823" s="8" t="str">
        <f t="shared" si="152"/>
        <v>PEN</v>
      </c>
      <c r="N1823" s="13"/>
      <c r="O1823" s="13">
        <v>639.16999999999996</v>
      </c>
      <c r="P1823" s="3">
        <f t="shared" si="153"/>
        <v>0</v>
      </c>
      <c r="Q1823" s="3">
        <f t="shared" si="154"/>
        <v>639.16999999999996</v>
      </c>
      <c r="R1823" s="3">
        <f t="shared" si="150"/>
        <v>30153.029999999995</v>
      </c>
      <c r="S1823" s="24"/>
      <c r="T1823" s="24" t="s">
        <v>1334</v>
      </c>
      <c r="U1823" s="53"/>
      <c r="V1823" s="25">
        <f>IFERROR(VLOOKUP(BCP_Soles[[#This Row],[destinatario]],CHOOSE({1,2},Clientes_Proveedores[Razon Social],Clientes_Proveedores[Ruc / Dni]),2,0),"")</f>
        <v>5409047</v>
      </c>
      <c r="W1823" s="25" t="s">
        <v>1124</v>
      </c>
      <c r="X1823" s="25"/>
      <c r="Y1823" s="25"/>
      <c r="Z1823" s="75"/>
      <c r="AA1823" s="3" t="str">
        <f>IF(BCP_Soles[[#This Row],[fecha]]&gt;0,TEXT(BCP_Soles[[#This Row],[fecha]],"mmmm"),0)</f>
        <v>Mayo</v>
      </c>
    </row>
    <row r="1824" spans="1:27" x14ac:dyDescent="0.3">
      <c r="A1824" s="2">
        <f>IF(BCP_Soles[[#This Row],[tipo_registro]]="R",COUNTIFS($C$1:$C1823,"R")+1,A1823)</f>
        <v>1371</v>
      </c>
      <c r="B1824" s="19" t="str">
        <f t="shared" si="151"/>
        <v>B-BCP - Soles</v>
      </c>
      <c r="C1824" s="3" t="s">
        <v>1330</v>
      </c>
      <c r="D1824" s="14">
        <v>45799</v>
      </c>
      <c r="E1824" s="5" t="s">
        <v>1338</v>
      </c>
      <c r="F1824" s="5" t="s">
        <v>1336</v>
      </c>
      <c r="G1824" s="6" t="s">
        <v>696</v>
      </c>
      <c r="H1824" s="6"/>
      <c r="I1824" s="6"/>
      <c r="J1824" s="6"/>
      <c r="K1824" s="7" t="s">
        <v>3143</v>
      </c>
      <c r="L1824" s="8">
        <v>8890778</v>
      </c>
      <c r="M1824" s="8" t="str">
        <f t="shared" si="152"/>
        <v>PEN</v>
      </c>
      <c r="N1824" s="13"/>
      <c r="O1824" s="13">
        <v>22595.48</v>
      </c>
      <c r="P1824" s="3">
        <f t="shared" si="153"/>
        <v>0</v>
      </c>
      <c r="Q1824" s="3">
        <f t="shared" si="154"/>
        <v>22595.48</v>
      </c>
      <c r="R1824" s="3">
        <f t="shared" si="150"/>
        <v>7557.5499999999956</v>
      </c>
      <c r="S1824" s="24" t="s">
        <v>1334</v>
      </c>
      <c r="T1824" s="24" t="s">
        <v>1334</v>
      </c>
      <c r="U1824" s="53"/>
      <c r="V1824" s="25">
        <f>IFERROR(VLOOKUP(BCP_Soles[[#This Row],[destinatario]],CHOOSE({1,2},Clientes_Proveedores[Razon Social],Clientes_Proveedores[Ruc / Dni]),2,0),"")</f>
        <v>0</v>
      </c>
      <c r="W1824" s="25" t="s">
        <v>1373</v>
      </c>
      <c r="X1824" s="25"/>
      <c r="Y1824" s="25"/>
      <c r="Z1824" s="75"/>
      <c r="AA1824" s="3" t="str">
        <f>IF(BCP_Soles[[#This Row],[fecha]]&gt;0,TEXT(BCP_Soles[[#This Row],[fecha]],"mmmm"),0)</f>
        <v>Mayo</v>
      </c>
    </row>
    <row r="1825" spans="1:27" x14ac:dyDescent="0.3">
      <c r="A1825" s="2">
        <f>IF(BCP_Soles[[#This Row],[tipo_registro]]="R",COUNTIFS($C$1:$C1824,"R")+1,A1824)</f>
        <v>1371</v>
      </c>
      <c r="B1825" s="19" t="str">
        <f t="shared" si="151"/>
        <v>B-BCP - Soles</v>
      </c>
      <c r="C1825" s="3" t="s">
        <v>1352</v>
      </c>
      <c r="D1825" s="14">
        <v>45799</v>
      </c>
      <c r="E1825" s="5" t="s">
        <v>1338</v>
      </c>
      <c r="F1825" s="5"/>
      <c r="G1825" s="6" t="s">
        <v>380</v>
      </c>
      <c r="H1825" s="6" t="s">
        <v>68</v>
      </c>
      <c r="I1825" s="6" t="s">
        <v>1390</v>
      </c>
      <c r="J1825" s="6">
        <v>21135</v>
      </c>
      <c r="K1825" s="7" t="s">
        <v>3143</v>
      </c>
      <c r="L1825" s="8">
        <v>8890778</v>
      </c>
      <c r="M1825" s="8" t="str">
        <f t="shared" si="152"/>
        <v>PEN</v>
      </c>
      <c r="N1825" s="13">
        <v>10310.56</v>
      </c>
      <c r="O1825" s="13"/>
      <c r="P1825" s="3">
        <f t="shared" si="153"/>
        <v>0</v>
      </c>
      <c r="Q1825" s="3">
        <f t="shared" si="154"/>
        <v>0</v>
      </c>
      <c r="R1825" s="3">
        <f t="shared" si="150"/>
        <v>7557.5499999999956</v>
      </c>
      <c r="S1825" s="24"/>
      <c r="T1825" s="24" t="s">
        <v>1334</v>
      </c>
      <c r="U1825" s="53"/>
      <c r="V1825" s="25">
        <f>IFERROR(VLOOKUP(BCP_Soles[[#This Row],[destinatario]],CHOOSE({1,2},Clientes_Proveedores[Razon Social],Clientes_Proveedores[Ruc / Dni]),2,0),"")</f>
        <v>20537921464</v>
      </c>
      <c r="W1825" s="25"/>
      <c r="X1825" s="25"/>
      <c r="Y1825" s="25"/>
      <c r="Z1825" s="75"/>
      <c r="AA1825" s="3" t="str">
        <f>IF(BCP_Soles[[#This Row],[fecha]]&gt;0,TEXT(BCP_Soles[[#This Row],[fecha]],"mmmm"),0)</f>
        <v>Mayo</v>
      </c>
    </row>
    <row r="1826" spans="1:27" x14ac:dyDescent="0.3">
      <c r="A1826" s="2">
        <f>IF(BCP_Soles[[#This Row],[tipo_registro]]="R",COUNTIFS($C$1:$C1825,"R")+1,A1825)</f>
        <v>1371</v>
      </c>
      <c r="B1826" s="19" t="str">
        <f t="shared" si="151"/>
        <v>B-BCP - Soles</v>
      </c>
      <c r="C1826" s="3" t="s">
        <v>1352</v>
      </c>
      <c r="D1826" s="14">
        <v>45799</v>
      </c>
      <c r="E1826" s="5" t="s">
        <v>1338</v>
      </c>
      <c r="F1826" s="5"/>
      <c r="G1826" s="6" t="s">
        <v>380</v>
      </c>
      <c r="H1826" s="6" t="s">
        <v>68</v>
      </c>
      <c r="I1826" s="6" t="s">
        <v>1390</v>
      </c>
      <c r="J1826" s="6">
        <v>21134</v>
      </c>
      <c r="K1826" s="7" t="s">
        <v>3143</v>
      </c>
      <c r="L1826" s="8">
        <v>8890778</v>
      </c>
      <c r="M1826" s="8" t="str">
        <f t="shared" si="152"/>
        <v>PEN</v>
      </c>
      <c r="N1826" s="13">
        <v>9877.42</v>
      </c>
      <c r="O1826" s="13"/>
      <c r="P1826" s="3">
        <f t="shared" si="153"/>
        <v>0</v>
      </c>
      <c r="Q1826" s="3">
        <f t="shared" si="154"/>
        <v>0</v>
      </c>
      <c r="R1826" s="3">
        <f t="shared" si="150"/>
        <v>7557.5499999999956</v>
      </c>
      <c r="S1826" s="24"/>
      <c r="T1826" s="24" t="s">
        <v>1334</v>
      </c>
      <c r="U1826" s="53"/>
      <c r="V1826" s="25">
        <f>IFERROR(VLOOKUP(BCP_Soles[[#This Row],[destinatario]],CHOOSE({1,2},Clientes_Proveedores[Razon Social],Clientes_Proveedores[Ruc / Dni]),2,0),"")</f>
        <v>20537921464</v>
      </c>
      <c r="W1826" s="25"/>
      <c r="X1826" s="25"/>
      <c r="Y1826" s="25"/>
      <c r="Z1826" s="75"/>
      <c r="AA1826" s="3" t="str">
        <f>IF(BCP_Soles[[#This Row],[fecha]]&gt;0,TEXT(BCP_Soles[[#This Row],[fecha]],"mmmm"),0)</f>
        <v>Mayo</v>
      </c>
    </row>
    <row r="1827" spans="1:27" ht="24" x14ac:dyDescent="0.3">
      <c r="A1827" s="2">
        <f>IF(BCP_Soles[[#This Row],[tipo_registro]]="R",COUNTIFS($C$1:$C1826,"R")+1,A1826)</f>
        <v>1371</v>
      </c>
      <c r="B1827" s="19" t="str">
        <f t="shared" si="151"/>
        <v>B-BCP - Soles</v>
      </c>
      <c r="C1827" s="3" t="s">
        <v>1352</v>
      </c>
      <c r="D1827" s="14">
        <v>45799</v>
      </c>
      <c r="E1827" s="5" t="s">
        <v>1338</v>
      </c>
      <c r="F1827" s="5"/>
      <c r="G1827" s="6" t="s">
        <v>667</v>
      </c>
      <c r="H1827" s="6" t="s">
        <v>68</v>
      </c>
      <c r="I1827" s="6" t="s">
        <v>1376</v>
      </c>
      <c r="J1827" s="6">
        <v>31</v>
      </c>
      <c r="K1827" s="7" t="s">
        <v>3143</v>
      </c>
      <c r="L1827" s="8">
        <v>8890778</v>
      </c>
      <c r="M1827" s="8" t="str">
        <f t="shared" si="152"/>
        <v>PEN</v>
      </c>
      <c r="N1827" s="13">
        <v>510</v>
      </c>
      <c r="O1827" s="13"/>
      <c r="P1827" s="3">
        <f t="shared" si="153"/>
        <v>0</v>
      </c>
      <c r="Q1827" s="3">
        <f t="shared" si="154"/>
        <v>0</v>
      </c>
      <c r="R1827" s="3">
        <f t="shared" si="150"/>
        <v>7557.5499999999956</v>
      </c>
      <c r="S1827" s="24"/>
      <c r="T1827" s="24" t="s">
        <v>1334</v>
      </c>
      <c r="U1827" s="53"/>
      <c r="V1827" s="25">
        <f>IFERROR(VLOOKUP(BCP_Soles[[#This Row],[destinatario]],CHOOSE({1,2},Clientes_Proveedores[Razon Social],Clientes_Proveedores[Ruc / Dni]),2,0),"")</f>
        <v>10410687491</v>
      </c>
      <c r="W1827" s="25"/>
      <c r="X1827" s="25"/>
      <c r="Y1827" s="25"/>
      <c r="Z1827" s="75"/>
      <c r="AA1827" s="3" t="str">
        <f>IF(BCP_Soles[[#This Row],[fecha]]&gt;0,TEXT(BCP_Soles[[#This Row],[fecha]],"mmmm"),0)</f>
        <v>Mayo</v>
      </c>
    </row>
    <row r="1828" spans="1:27" x14ac:dyDescent="0.3">
      <c r="A1828" s="2">
        <f>IF(BCP_Soles[[#This Row],[tipo_registro]]="R",COUNTIFS($C$1:$C1827,"R")+1,A1827)</f>
        <v>1371</v>
      </c>
      <c r="B1828" s="19" t="str">
        <f t="shared" si="151"/>
        <v>B-BCP - Soles</v>
      </c>
      <c r="C1828" s="3" t="s">
        <v>1352</v>
      </c>
      <c r="D1828" s="14">
        <v>45799</v>
      </c>
      <c r="E1828" s="5" t="s">
        <v>1338</v>
      </c>
      <c r="F1828" s="5"/>
      <c r="G1828" s="6" t="s">
        <v>333</v>
      </c>
      <c r="H1828" s="6" t="s">
        <v>68</v>
      </c>
      <c r="I1828" s="6" t="s">
        <v>1376</v>
      </c>
      <c r="J1828" s="6">
        <v>714</v>
      </c>
      <c r="K1828" s="7" t="s">
        <v>3143</v>
      </c>
      <c r="L1828" s="8">
        <v>8890778</v>
      </c>
      <c r="M1828" s="8" t="str">
        <f t="shared" si="152"/>
        <v>PEN</v>
      </c>
      <c r="N1828" s="13">
        <v>885</v>
      </c>
      <c r="O1828" s="13"/>
      <c r="P1828" s="3">
        <f t="shared" si="153"/>
        <v>0</v>
      </c>
      <c r="Q1828" s="3">
        <f t="shared" si="154"/>
        <v>0</v>
      </c>
      <c r="R1828" s="3">
        <f t="shared" si="150"/>
        <v>7557.5499999999956</v>
      </c>
      <c r="S1828" s="24"/>
      <c r="T1828" s="24" t="s">
        <v>1334</v>
      </c>
      <c r="U1828" s="53"/>
      <c r="V1828" s="25">
        <f>IFERROR(VLOOKUP(BCP_Soles[[#This Row],[destinatario]],CHOOSE({1,2},Clientes_Proveedores[Razon Social],Clientes_Proveedores[Ruc / Dni]),2,0),"")</f>
        <v>20498218831</v>
      </c>
      <c r="W1828" s="25"/>
      <c r="X1828" s="25"/>
      <c r="Y1828" s="25"/>
      <c r="Z1828" s="75"/>
      <c r="AA1828" s="3" t="str">
        <f>IF(BCP_Soles[[#This Row],[fecha]]&gt;0,TEXT(BCP_Soles[[#This Row],[fecha]],"mmmm"),0)</f>
        <v>Mayo</v>
      </c>
    </row>
    <row r="1829" spans="1:27" ht="36" x14ac:dyDescent="0.3">
      <c r="A1829" s="2">
        <f>IF(BCP_Soles[[#This Row],[tipo_registro]]="R",COUNTIFS($C$1:$C1828,"R")+1,A1828)</f>
        <v>1371</v>
      </c>
      <c r="B1829" s="19" t="str">
        <f t="shared" si="151"/>
        <v>B-BCP - Soles</v>
      </c>
      <c r="C1829" s="3" t="s">
        <v>1352</v>
      </c>
      <c r="D1829" s="14">
        <v>45799</v>
      </c>
      <c r="E1829" s="5" t="s">
        <v>1338</v>
      </c>
      <c r="F1829" s="5"/>
      <c r="G1829" s="6" t="s">
        <v>623</v>
      </c>
      <c r="H1829" s="6" t="s">
        <v>68</v>
      </c>
      <c r="I1829" s="6" t="s">
        <v>1374</v>
      </c>
      <c r="J1829" s="6">
        <v>7778</v>
      </c>
      <c r="K1829" s="7" t="s">
        <v>3143</v>
      </c>
      <c r="L1829" s="8">
        <v>8890778</v>
      </c>
      <c r="M1829" s="8" t="str">
        <f t="shared" si="152"/>
        <v>PEN</v>
      </c>
      <c r="N1829" s="13">
        <v>1012.5</v>
      </c>
      <c r="O1829" s="13"/>
      <c r="P1829" s="3">
        <f t="shared" si="153"/>
        <v>0</v>
      </c>
      <c r="Q1829" s="3">
        <f t="shared" si="154"/>
        <v>0</v>
      </c>
      <c r="R1829" s="3">
        <f t="shared" si="150"/>
        <v>7557.5499999999956</v>
      </c>
      <c r="S1829" s="24"/>
      <c r="T1829" s="24" t="s">
        <v>1334</v>
      </c>
      <c r="U1829" s="53"/>
      <c r="V1829" s="25">
        <f>IFERROR(VLOOKUP(BCP_Soles[[#This Row],[destinatario]],CHOOSE({1,2},Clientes_Proveedores[Razon Social],Clientes_Proveedores[Ruc / Dni]),2,0),"")</f>
        <v>20454819137</v>
      </c>
      <c r="W1829" s="25"/>
      <c r="X1829" s="25"/>
      <c r="Y1829" s="25"/>
      <c r="Z1829" s="75"/>
      <c r="AA1829" s="3" t="str">
        <f>IF(BCP_Soles[[#This Row],[fecha]]&gt;0,TEXT(BCP_Soles[[#This Row],[fecha]],"mmmm"),0)</f>
        <v>Mayo</v>
      </c>
    </row>
    <row r="1830" spans="1:27" ht="36" x14ac:dyDescent="0.3">
      <c r="A1830" s="2">
        <f>IF(BCP_Soles[[#This Row],[tipo_registro]]="R",COUNTIFS($C$1:$C1829,"R")+1,A1829)</f>
        <v>1372</v>
      </c>
      <c r="B1830" s="19" t="str">
        <f t="shared" si="151"/>
        <v>B-BCP - Soles</v>
      </c>
      <c r="C1830" s="3" t="s">
        <v>1330</v>
      </c>
      <c r="D1830" s="14">
        <v>45799</v>
      </c>
      <c r="E1830" s="5" t="s">
        <v>516</v>
      </c>
      <c r="F1830" s="5" t="s">
        <v>1303</v>
      </c>
      <c r="G1830" s="6" t="s">
        <v>425</v>
      </c>
      <c r="H1830" s="6"/>
      <c r="I1830" s="6"/>
      <c r="J1830" s="6"/>
      <c r="K1830" s="7" t="s">
        <v>3144</v>
      </c>
      <c r="L1830" s="8">
        <v>2221446</v>
      </c>
      <c r="M1830" s="8" t="str">
        <f t="shared" si="152"/>
        <v>PEN</v>
      </c>
      <c r="N1830" s="13"/>
      <c r="O1830" s="13">
        <v>4029.35</v>
      </c>
      <c r="P1830" s="3">
        <f t="shared" si="153"/>
        <v>4029.35</v>
      </c>
      <c r="Q1830" s="3">
        <f t="shared" si="154"/>
        <v>0</v>
      </c>
      <c r="R1830" s="3">
        <f t="shared" si="150"/>
        <v>11586.899999999996</v>
      </c>
      <c r="S1830" s="24" t="s">
        <v>1334</v>
      </c>
      <c r="T1830" s="24" t="s">
        <v>1334</v>
      </c>
      <c r="U1830" s="53"/>
      <c r="V1830" s="25">
        <f>IFERROR(VLOOKUP(BCP_Soles[[#This Row],[destinatario]],CHOOSE({1,2},Clientes_Proveedores[Razon Social],Clientes_Proveedores[Ruc / Dni]),2,0),"")</f>
        <v>20558226979</v>
      </c>
      <c r="W1830" s="25" t="s">
        <v>1345</v>
      </c>
      <c r="X1830" s="25" t="s">
        <v>3145</v>
      </c>
      <c r="Y1830" s="25"/>
      <c r="Z1830" s="75"/>
      <c r="AA1830" s="3" t="str">
        <f>IF(BCP_Soles[[#This Row],[fecha]]&gt;0,TEXT(BCP_Soles[[#This Row],[fecha]],"mmmm"),0)</f>
        <v>Mayo</v>
      </c>
    </row>
    <row r="1831" spans="1:27" x14ac:dyDescent="0.3">
      <c r="A1831" s="2">
        <f>IF(BCP_Soles[[#This Row],[tipo_registro]]="R",COUNTIFS($C$1:$C1830,"R")+1,A1830)</f>
        <v>1373</v>
      </c>
      <c r="B1831" s="19" t="str">
        <f t="shared" si="151"/>
        <v>B-BCP - Soles</v>
      </c>
      <c r="C1831" s="3" t="s">
        <v>1330</v>
      </c>
      <c r="D1831" s="14">
        <v>45799</v>
      </c>
      <c r="E1831" s="5" t="s">
        <v>1335</v>
      </c>
      <c r="F1831" s="5" t="s">
        <v>1336</v>
      </c>
      <c r="G1831" s="6"/>
      <c r="H1831" s="6"/>
      <c r="I1831" s="6"/>
      <c r="J1831" s="6"/>
      <c r="K1831" s="7" t="s">
        <v>1337</v>
      </c>
      <c r="L1831" s="8"/>
      <c r="M1831" s="8" t="str">
        <f t="shared" si="152"/>
        <v>PEN</v>
      </c>
      <c r="N1831" s="13"/>
      <c r="O1831" s="13">
        <v>1.35</v>
      </c>
      <c r="P1831" s="3">
        <f t="shared" si="153"/>
        <v>0</v>
      </c>
      <c r="Q1831" s="3">
        <f t="shared" si="154"/>
        <v>1.35</v>
      </c>
      <c r="R1831" s="3">
        <f t="shared" si="150"/>
        <v>11585.549999999996</v>
      </c>
      <c r="S1831" s="24"/>
      <c r="T1831" s="24" t="s">
        <v>1334</v>
      </c>
      <c r="U1831" s="53"/>
      <c r="V1831" s="25" t="str">
        <f>IFERROR(VLOOKUP(BCP_Soles[[#This Row],[destinatario]],CHOOSE({1,2},Clientes_Proveedores[Razon Social],Clientes_Proveedores[Ruc / Dni]),2,0),"")</f>
        <v/>
      </c>
      <c r="W1831" s="25"/>
      <c r="X1831" s="25"/>
      <c r="Y1831" s="25"/>
      <c r="Z1831" s="75"/>
      <c r="AA1831" s="3" t="str">
        <f>IF(BCP_Soles[[#This Row],[fecha]]&gt;0,TEXT(BCP_Soles[[#This Row],[fecha]],"mmmm"),0)</f>
        <v>Mayo</v>
      </c>
    </row>
    <row r="1832" spans="1:27" x14ac:dyDescent="0.3">
      <c r="A1832" s="2">
        <f>IF(BCP_Soles[[#This Row],[tipo_registro]]="R",COUNTIFS($C$1:$C1831,"R")+1,A1831)</f>
        <v>1374</v>
      </c>
      <c r="B1832" s="19" t="str">
        <f t="shared" si="151"/>
        <v>B-BCP - Soles</v>
      </c>
      <c r="C1832" s="3" t="s">
        <v>1330</v>
      </c>
      <c r="D1832" s="14">
        <v>45800</v>
      </c>
      <c r="E1832" s="5" t="s">
        <v>206</v>
      </c>
      <c r="F1832" s="5" t="s">
        <v>1303</v>
      </c>
      <c r="G1832" s="6" t="s">
        <v>425</v>
      </c>
      <c r="H1832" s="6"/>
      <c r="I1832" s="6"/>
      <c r="J1832" s="6"/>
      <c r="K1832" s="7" t="s">
        <v>3146</v>
      </c>
      <c r="L1832" s="8">
        <v>9199422</v>
      </c>
      <c r="M1832" s="8" t="str">
        <f t="shared" si="152"/>
        <v>PEN</v>
      </c>
      <c r="N1832" s="13"/>
      <c r="O1832" s="13">
        <v>7028.9</v>
      </c>
      <c r="P1832" s="3">
        <f t="shared" si="153"/>
        <v>7028.9</v>
      </c>
      <c r="Q1832" s="3">
        <f t="shared" si="154"/>
        <v>0</v>
      </c>
      <c r="R1832" s="3">
        <f t="shared" si="150"/>
        <v>18614.449999999997</v>
      </c>
      <c r="S1832" s="24" t="s">
        <v>1334</v>
      </c>
      <c r="T1832" s="24" t="s">
        <v>1334</v>
      </c>
      <c r="U1832" s="53"/>
      <c r="V1832" s="25">
        <f>IFERROR(VLOOKUP(BCP_Soles[[#This Row],[destinatario]],CHOOSE({1,2},Clientes_Proveedores[Razon Social],Clientes_Proveedores[Ruc / Dni]),2,0),"")</f>
        <v>20558226979</v>
      </c>
      <c r="W1832" s="25" t="s">
        <v>1345</v>
      </c>
      <c r="X1832" s="25" t="s">
        <v>3147</v>
      </c>
      <c r="Y1832" s="25"/>
      <c r="Z1832" s="75"/>
      <c r="AA1832" s="3" t="str">
        <f>IF(BCP_Soles[[#This Row],[fecha]]&gt;0,TEXT(BCP_Soles[[#This Row],[fecha]],"mmmm"),0)</f>
        <v>Mayo</v>
      </c>
    </row>
    <row r="1833" spans="1:27" ht="24" x14ac:dyDescent="0.3">
      <c r="A1833" s="2">
        <f>IF(BCP_Soles[[#This Row],[tipo_registro]]="R",COUNTIFS($C$1:$C1832,"R")+1,A1832)</f>
        <v>1375</v>
      </c>
      <c r="B1833" s="19" t="str">
        <f t="shared" si="151"/>
        <v>B-BCP - Soles</v>
      </c>
      <c r="C1833" s="3" t="s">
        <v>1330</v>
      </c>
      <c r="D1833" s="14">
        <v>45800</v>
      </c>
      <c r="E1833" s="5" t="s">
        <v>3148</v>
      </c>
      <c r="F1833" s="5" t="s">
        <v>1303</v>
      </c>
      <c r="G1833" s="6" t="s">
        <v>425</v>
      </c>
      <c r="H1833" s="6" t="s">
        <v>119</v>
      </c>
      <c r="I1833" s="6">
        <v>1</v>
      </c>
      <c r="J1833" s="6">
        <v>4432</v>
      </c>
      <c r="K1833" s="7" t="s">
        <v>1356</v>
      </c>
      <c r="L1833" s="8">
        <v>2696196</v>
      </c>
      <c r="M1833" s="8" t="str">
        <f t="shared" si="152"/>
        <v>PEN</v>
      </c>
      <c r="N1833" s="13"/>
      <c r="O1833" s="13">
        <v>5720</v>
      </c>
      <c r="P1833" s="3">
        <f t="shared" si="153"/>
        <v>5720</v>
      </c>
      <c r="Q1833" s="3">
        <f t="shared" si="154"/>
        <v>0</v>
      </c>
      <c r="R1833" s="3">
        <f t="shared" si="150"/>
        <v>24334.449999999997</v>
      </c>
      <c r="S1833" s="24" t="s">
        <v>1334</v>
      </c>
      <c r="T1833" s="24" t="s">
        <v>1334</v>
      </c>
      <c r="U1833" s="53"/>
      <c r="V1833" s="25">
        <f>IFERROR(VLOOKUP(BCP_Soles[[#This Row],[destinatario]],CHOOSE({1,2},Clientes_Proveedores[Razon Social],Clientes_Proveedores[Ruc / Dni]),2,0),"")</f>
        <v>20558226979</v>
      </c>
      <c r="W1833" s="25" t="s">
        <v>1345</v>
      </c>
      <c r="X1833" s="25" t="s">
        <v>3149</v>
      </c>
      <c r="Y1833" s="25"/>
      <c r="Z1833" s="75"/>
      <c r="AA1833" s="3" t="str">
        <f>IF(BCP_Soles[[#This Row],[fecha]]&gt;0,TEXT(BCP_Soles[[#This Row],[fecha]],"mmmm"),0)</f>
        <v>Mayo</v>
      </c>
    </row>
    <row r="1834" spans="1:27" ht="24" x14ac:dyDescent="0.3">
      <c r="A1834" s="2">
        <f>IF(BCP_Soles[[#This Row],[tipo_registro]]="R",COUNTIFS($C$1:$C1833,"R")+1,A1833)</f>
        <v>1376</v>
      </c>
      <c r="B1834" s="19" t="str">
        <f t="shared" si="151"/>
        <v>B-BCP - Soles</v>
      </c>
      <c r="C1834" s="3" t="s">
        <v>1330</v>
      </c>
      <c r="D1834" s="14">
        <v>45800</v>
      </c>
      <c r="E1834" s="5" t="s">
        <v>3148</v>
      </c>
      <c r="F1834" s="5" t="s">
        <v>1303</v>
      </c>
      <c r="G1834" s="6" t="s">
        <v>425</v>
      </c>
      <c r="H1834" s="6" t="s">
        <v>119</v>
      </c>
      <c r="I1834" s="6">
        <v>1</v>
      </c>
      <c r="J1834" s="6">
        <v>4432</v>
      </c>
      <c r="K1834" s="7" t="s">
        <v>1356</v>
      </c>
      <c r="L1834" s="8">
        <v>2685182</v>
      </c>
      <c r="M1834" s="8" t="str">
        <f t="shared" si="152"/>
        <v>PEN</v>
      </c>
      <c r="N1834" s="13"/>
      <c r="O1834" s="13">
        <v>2680</v>
      </c>
      <c r="P1834" s="3">
        <f t="shared" si="153"/>
        <v>2680</v>
      </c>
      <c r="Q1834" s="3">
        <f t="shared" si="154"/>
        <v>0</v>
      </c>
      <c r="R1834" s="3">
        <f t="shared" si="150"/>
        <v>27014.449999999997</v>
      </c>
      <c r="S1834" s="24" t="s">
        <v>1334</v>
      </c>
      <c r="T1834" s="24" t="s">
        <v>1334</v>
      </c>
      <c r="U1834" s="53"/>
      <c r="V1834" s="25">
        <f>IFERROR(VLOOKUP(BCP_Soles[[#This Row],[destinatario]],CHOOSE({1,2},Clientes_Proveedores[Razon Social],Clientes_Proveedores[Ruc / Dni]),2,0),"")</f>
        <v>20558226979</v>
      </c>
      <c r="W1834" s="25" t="s">
        <v>1345</v>
      </c>
      <c r="X1834" s="25" t="s">
        <v>3149</v>
      </c>
      <c r="Y1834" s="25"/>
      <c r="Z1834" s="75"/>
      <c r="AA1834" s="3" t="str">
        <f>IF(BCP_Soles[[#This Row],[fecha]]&gt;0,TEXT(BCP_Soles[[#This Row],[fecha]],"mmmm"),0)</f>
        <v>Mayo</v>
      </c>
    </row>
    <row r="1835" spans="1:27" ht="24" x14ac:dyDescent="0.3">
      <c r="A1835" s="2">
        <f>IF(BCP_Soles[[#This Row],[tipo_registro]]="R",COUNTIFS($C$1:$C1834,"R")+1,A1834)</f>
        <v>1377</v>
      </c>
      <c r="B1835" s="19" t="str">
        <f t="shared" si="151"/>
        <v>B-BCP - Soles</v>
      </c>
      <c r="C1835" s="3" t="s">
        <v>1330</v>
      </c>
      <c r="D1835" s="14">
        <v>45800</v>
      </c>
      <c r="E1835" s="5" t="s">
        <v>240</v>
      </c>
      <c r="F1835" s="5" t="s">
        <v>1303</v>
      </c>
      <c r="G1835" s="6" t="s">
        <v>425</v>
      </c>
      <c r="H1835" s="6"/>
      <c r="I1835" s="6"/>
      <c r="J1835" s="6"/>
      <c r="K1835" s="7" t="s">
        <v>3150</v>
      </c>
      <c r="L1835" s="8">
        <v>9396723</v>
      </c>
      <c r="M1835" s="8" t="str">
        <f t="shared" si="152"/>
        <v>PEN</v>
      </c>
      <c r="N1835" s="13"/>
      <c r="O1835" s="13">
        <v>1204.68</v>
      </c>
      <c r="P1835" s="3">
        <f t="shared" si="153"/>
        <v>1204.68</v>
      </c>
      <c r="Q1835" s="3">
        <f t="shared" si="154"/>
        <v>0</v>
      </c>
      <c r="R1835" s="3">
        <f t="shared" si="150"/>
        <v>28219.129999999997</v>
      </c>
      <c r="S1835" s="24" t="s">
        <v>1334</v>
      </c>
      <c r="T1835" s="24" t="s">
        <v>1334</v>
      </c>
      <c r="U1835" s="53"/>
      <c r="V1835" s="25">
        <f>IFERROR(VLOOKUP(BCP_Soles[[#This Row],[destinatario]],CHOOSE({1,2},Clientes_Proveedores[Razon Social],Clientes_Proveedores[Ruc / Dni]),2,0),"")</f>
        <v>20558226979</v>
      </c>
      <c r="W1835" s="25" t="s">
        <v>1345</v>
      </c>
      <c r="X1835" s="25" t="s">
        <v>3151</v>
      </c>
      <c r="Y1835" s="25"/>
      <c r="Z1835" s="75"/>
      <c r="AA1835" s="3" t="str">
        <f>IF(BCP_Soles[[#This Row],[fecha]]&gt;0,TEXT(BCP_Soles[[#This Row],[fecha]],"mmmm"),0)</f>
        <v>Mayo</v>
      </c>
    </row>
    <row r="1836" spans="1:27" ht="84" x14ac:dyDescent="0.3">
      <c r="A1836" s="2">
        <f>IF(BCP_Soles[[#This Row],[tipo_registro]]="R",COUNTIFS($C$1:$C1835,"R")+1,A1835)</f>
        <v>1378</v>
      </c>
      <c r="B1836" s="19" t="str">
        <f t="shared" si="151"/>
        <v>B-BCP - Soles</v>
      </c>
      <c r="C1836" s="3" t="s">
        <v>1330</v>
      </c>
      <c r="D1836" s="14">
        <v>45800</v>
      </c>
      <c r="E1836" s="5" t="s">
        <v>358</v>
      </c>
      <c r="F1836" s="5" t="s">
        <v>1303</v>
      </c>
      <c r="G1836" s="6" t="s">
        <v>425</v>
      </c>
      <c r="H1836" s="6"/>
      <c r="I1836" s="6"/>
      <c r="J1836" s="6"/>
      <c r="K1836" s="7" t="s">
        <v>1520</v>
      </c>
      <c r="L1836" s="8">
        <v>2306985</v>
      </c>
      <c r="M1836" s="8" t="str">
        <f t="shared" si="152"/>
        <v>PEN</v>
      </c>
      <c r="N1836" s="13"/>
      <c r="O1836" s="13">
        <v>52.09</v>
      </c>
      <c r="P1836" s="3">
        <f t="shared" si="153"/>
        <v>52.09</v>
      </c>
      <c r="Q1836" s="3">
        <f t="shared" si="154"/>
        <v>0</v>
      </c>
      <c r="R1836" s="3">
        <f t="shared" si="150"/>
        <v>28271.219999999998</v>
      </c>
      <c r="S1836" s="24" t="s">
        <v>1334</v>
      </c>
      <c r="T1836" s="24" t="s">
        <v>1334</v>
      </c>
      <c r="U1836" s="53"/>
      <c r="V1836" s="25">
        <f>IFERROR(VLOOKUP(BCP_Soles[[#This Row],[destinatario]],CHOOSE({1,2},Clientes_Proveedores[Razon Social],Clientes_Proveedores[Ruc / Dni]),2,0),"")</f>
        <v>20558226979</v>
      </c>
      <c r="W1836" s="25" t="s">
        <v>1345</v>
      </c>
      <c r="X1836" s="25" t="s">
        <v>3152</v>
      </c>
      <c r="Y1836" s="25"/>
      <c r="Z1836" s="75"/>
      <c r="AA1836" s="3" t="str">
        <f>IF(BCP_Soles[[#This Row],[fecha]]&gt;0,TEXT(BCP_Soles[[#This Row],[fecha]],"mmmm"),0)</f>
        <v>Mayo</v>
      </c>
    </row>
    <row r="1837" spans="1:27" ht="24" x14ac:dyDescent="0.3">
      <c r="A1837" s="2">
        <f>IF(BCP_Soles[[#This Row],[tipo_registro]]="R",COUNTIFS($C$1:$C1836,"R")+1,A1836)</f>
        <v>1379</v>
      </c>
      <c r="B1837" s="19" t="str">
        <f t="shared" si="151"/>
        <v>B-BCP - Soles</v>
      </c>
      <c r="C1837" s="3" t="s">
        <v>1330</v>
      </c>
      <c r="D1837" s="14">
        <v>45800</v>
      </c>
      <c r="E1837" s="5" t="s">
        <v>1338</v>
      </c>
      <c r="F1837" s="5" t="s">
        <v>1336</v>
      </c>
      <c r="G1837" s="6" t="s">
        <v>328</v>
      </c>
      <c r="H1837" s="6"/>
      <c r="I1837" s="6"/>
      <c r="J1837" s="6"/>
      <c r="K1837" s="7" t="s">
        <v>3153</v>
      </c>
      <c r="L1837" s="8">
        <v>1117987</v>
      </c>
      <c r="M1837" s="8" t="str">
        <f t="shared" si="152"/>
        <v>PEN</v>
      </c>
      <c r="N1837" s="13"/>
      <c r="O1837" s="13">
        <v>428</v>
      </c>
      <c r="P1837" s="3">
        <f t="shared" si="153"/>
        <v>0</v>
      </c>
      <c r="Q1837" s="3">
        <f t="shared" si="154"/>
        <v>428</v>
      </c>
      <c r="R1837" s="3">
        <f t="shared" si="150"/>
        <v>27843.219999999998</v>
      </c>
      <c r="S1837" s="24" t="s">
        <v>1334</v>
      </c>
      <c r="T1837" s="24" t="s">
        <v>1334</v>
      </c>
      <c r="U1837" s="53"/>
      <c r="V1837" s="25">
        <f>IFERROR(VLOOKUP(BCP_Soles[[#This Row],[destinatario]],CHOOSE({1,2},Clientes_Proveedores[Razon Social],Clientes_Proveedores[Ruc / Dni]),2,0),"")</f>
        <v>20498041567</v>
      </c>
      <c r="W1837" s="25" t="s">
        <v>328</v>
      </c>
      <c r="X1837" s="25" t="s">
        <v>3154</v>
      </c>
      <c r="Y1837" s="25"/>
      <c r="Z1837" s="75"/>
      <c r="AA1837" s="3" t="str">
        <f>IF(BCP_Soles[[#This Row],[fecha]]&gt;0,TEXT(BCP_Soles[[#This Row],[fecha]],"mmmm"),0)</f>
        <v>Mayo</v>
      </c>
    </row>
    <row r="1838" spans="1:27" ht="24" x14ac:dyDescent="0.3">
      <c r="A1838" s="2">
        <f>IF(BCP_Soles[[#This Row],[tipo_registro]]="R",COUNTIFS($C$1:$C1837,"R")+1,A1837)</f>
        <v>1379</v>
      </c>
      <c r="B1838" s="19" t="str">
        <f t="shared" si="151"/>
        <v>B-BCP - Soles</v>
      </c>
      <c r="C1838" s="3" t="s">
        <v>1352</v>
      </c>
      <c r="D1838" s="14">
        <v>45800</v>
      </c>
      <c r="E1838" s="5" t="s">
        <v>1338</v>
      </c>
      <c r="F1838" s="5"/>
      <c r="G1838" s="6" t="s">
        <v>328</v>
      </c>
      <c r="H1838" s="6" t="s">
        <v>68</v>
      </c>
      <c r="I1838" s="6" t="s">
        <v>1374</v>
      </c>
      <c r="J1838" s="6">
        <v>8265</v>
      </c>
      <c r="K1838" s="7" t="s">
        <v>3153</v>
      </c>
      <c r="L1838" s="8">
        <v>1117987</v>
      </c>
      <c r="M1838" s="8" t="str">
        <f t="shared" si="152"/>
        <v>PEN</v>
      </c>
      <c r="N1838" s="13">
        <v>90</v>
      </c>
      <c r="O1838" s="13"/>
      <c r="P1838" s="3">
        <f t="shared" si="153"/>
        <v>0</v>
      </c>
      <c r="Q1838" s="3">
        <f t="shared" si="154"/>
        <v>0</v>
      </c>
      <c r="R1838" s="3">
        <f t="shared" si="150"/>
        <v>27843.219999999998</v>
      </c>
      <c r="S1838" s="24"/>
      <c r="T1838" s="24" t="s">
        <v>1334</v>
      </c>
      <c r="U1838" s="53"/>
      <c r="V1838" s="25">
        <f>IFERROR(VLOOKUP(BCP_Soles[[#This Row],[destinatario]],CHOOSE({1,2},Clientes_Proveedores[Razon Social],Clientes_Proveedores[Ruc / Dni]),2,0),"")</f>
        <v>20498041567</v>
      </c>
      <c r="W1838" s="25"/>
      <c r="X1838" s="25"/>
      <c r="Y1838" s="25"/>
      <c r="Z1838" s="75"/>
      <c r="AA1838" s="3" t="str">
        <f>IF(BCP_Soles[[#This Row],[fecha]]&gt;0,TEXT(BCP_Soles[[#This Row],[fecha]],"mmmm"),0)</f>
        <v>Mayo</v>
      </c>
    </row>
    <row r="1839" spans="1:27" ht="24" x14ac:dyDescent="0.3">
      <c r="A1839" s="2">
        <f>IF(BCP_Soles[[#This Row],[tipo_registro]]="R",COUNTIFS($C$1:$C1838,"R")+1,A1838)</f>
        <v>1379</v>
      </c>
      <c r="B1839" s="19" t="str">
        <f t="shared" si="151"/>
        <v>B-BCP - Soles</v>
      </c>
      <c r="C1839" s="3" t="s">
        <v>1352</v>
      </c>
      <c r="D1839" s="14">
        <v>45800</v>
      </c>
      <c r="E1839" s="5" t="s">
        <v>1338</v>
      </c>
      <c r="F1839" s="5"/>
      <c r="G1839" s="6" t="s">
        <v>328</v>
      </c>
      <c r="H1839" s="6" t="s">
        <v>68</v>
      </c>
      <c r="I1839" s="6" t="s">
        <v>1374</v>
      </c>
      <c r="J1839" s="6">
        <v>8257</v>
      </c>
      <c r="K1839" s="7" t="s">
        <v>3153</v>
      </c>
      <c r="L1839" s="8">
        <v>1117987</v>
      </c>
      <c r="M1839" s="8" t="str">
        <f t="shared" si="152"/>
        <v>PEN</v>
      </c>
      <c r="N1839" s="13">
        <v>338</v>
      </c>
      <c r="O1839" s="13"/>
      <c r="P1839" s="3">
        <f t="shared" si="153"/>
        <v>0</v>
      </c>
      <c r="Q1839" s="3">
        <f t="shared" si="154"/>
        <v>0</v>
      </c>
      <c r="R1839" s="3">
        <f t="shared" si="150"/>
        <v>27843.219999999998</v>
      </c>
      <c r="S1839" s="24"/>
      <c r="T1839" s="24" t="s">
        <v>1334</v>
      </c>
      <c r="U1839" s="53"/>
      <c r="V1839" s="25">
        <f>IFERROR(VLOOKUP(BCP_Soles[[#This Row],[destinatario]],CHOOSE({1,2},Clientes_Proveedores[Razon Social],Clientes_Proveedores[Ruc / Dni]),2,0),"")</f>
        <v>20498041567</v>
      </c>
      <c r="W1839" s="25"/>
      <c r="X1839" s="25"/>
      <c r="Y1839" s="25"/>
      <c r="Z1839" s="75"/>
      <c r="AA1839" s="3" t="str">
        <f>IF(BCP_Soles[[#This Row],[fecha]]&gt;0,TEXT(BCP_Soles[[#This Row],[fecha]],"mmmm"),0)</f>
        <v>Mayo</v>
      </c>
    </row>
    <row r="1840" spans="1:27" x14ac:dyDescent="0.3">
      <c r="A1840" s="2">
        <f>IF(BCP_Soles[[#This Row],[tipo_registro]]="R",COUNTIFS($C$1:$C1839,"R")+1,A1839)</f>
        <v>1380</v>
      </c>
      <c r="B1840" s="19" t="str">
        <f t="shared" si="151"/>
        <v>B-BCP - Soles</v>
      </c>
      <c r="C1840" s="3" t="s">
        <v>1330</v>
      </c>
      <c r="D1840" s="14">
        <v>45800</v>
      </c>
      <c r="E1840" s="5" t="s">
        <v>1338</v>
      </c>
      <c r="F1840" s="5" t="s">
        <v>1336</v>
      </c>
      <c r="G1840" s="6"/>
      <c r="H1840" s="6"/>
      <c r="I1840" s="6"/>
      <c r="J1840" s="6"/>
      <c r="K1840" s="7" t="s">
        <v>3155</v>
      </c>
      <c r="L1840" s="8">
        <v>1011125</v>
      </c>
      <c r="M1840" s="8" t="str">
        <f t="shared" si="152"/>
        <v>PEN</v>
      </c>
      <c r="N1840" s="13"/>
      <c r="O1840" s="13">
        <v>1497</v>
      </c>
      <c r="P1840" s="3">
        <f t="shared" si="153"/>
        <v>0</v>
      </c>
      <c r="Q1840" s="3">
        <f t="shared" si="154"/>
        <v>1497</v>
      </c>
      <c r="R1840" s="3">
        <f t="shared" si="150"/>
        <v>26346.219999999998</v>
      </c>
      <c r="S1840" s="24"/>
      <c r="T1840" s="24"/>
      <c r="U1840" s="53"/>
      <c r="V1840" s="25" t="str">
        <f>IFERROR(VLOOKUP(BCP_Soles[[#This Row],[destinatario]],CHOOSE({1,2},Clientes_Proveedores[Razon Social],Clientes_Proveedores[Ruc / Dni]),2,0),"")</f>
        <v/>
      </c>
      <c r="W1840" s="25" t="s">
        <v>2666</v>
      </c>
      <c r="X1840" s="25"/>
      <c r="Y1840" s="25"/>
      <c r="Z1840" s="75"/>
      <c r="AA1840" s="3" t="str">
        <f>IF(BCP_Soles[[#This Row],[fecha]]&gt;0,TEXT(BCP_Soles[[#This Row],[fecha]],"mmmm"),0)</f>
        <v>Mayo</v>
      </c>
    </row>
    <row r="1841" spans="1:27" ht="24" x14ac:dyDescent="0.3">
      <c r="A1841" s="2">
        <f>IF(BCP_Soles[[#This Row],[tipo_registro]]="R",COUNTIFS($C$1:$C1840,"R")+1,A1840)</f>
        <v>1381</v>
      </c>
      <c r="B1841" s="19" t="str">
        <f t="shared" si="151"/>
        <v>B-BCP - Soles</v>
      </c>
      <c r="C1841" s="3" t="s">
        <v>1330</v>
      </c>
      <c r="D1841" s="14">
        <v>45800</v>
      </c>
      <c r="E1841" s="5" t="s">
        <v>1338</v>
      </c>
      <c r="F1841" s="5" t="s">
        <v>1336</v>
      </c>
      <c r="G1841" s="6" t="s">
        <v>108</v>
      </c>
      <c r="H1841" s="6" t="s">
        <v>68</v>
      </c>
      <c r="I1841" s="6" t="s">
        <v>1374</v>
      </c>
      <c r="J1841" s="6">
        <v>16143</v>
      </c>
      <c r="K1841" s="7" t="s">
        <v>3156</v>
      </c>
      <c r="L1841" s="8">
        <v>1189165</v>
      </c>
      <c r="M1841" s="8" t="str">
        <f t="shared" si="152"/>
        <v>PEN</v>
      </c>
      <c r="N1841" s="13"/>
      <c r="O1841" s="13">
        <v>1540</v>
      </c>
      <c r="P1841" s="3">
        <f t="shared" si="153"/>
        <v>0</v>
      </c>
      <c r="Q1841" s="3">
        <f t="shared" si="154"/>
        <v>1540</v>
      </c>
      <c r="R1841" s="3">
        <f t="shared" si="150"/>
        <v>24806.219999999998</v>
      </c>
      <c r="S1841" s="24" t="s">
        <v>1334</v>
      </c>
      <c r="T1841" s="24" t="s">
        <v>1334</v>
      </c>
      <c r="U1841" s="53"/>
      <c r="V1841" s="25">
        <f>IFERROR(VLOOKUP(BCP_Soles[[#This Row],[destinatario]],CHOOSE({1,2},Clientes_Proveedores[Razon Social],Clientes_Proveedores[Ruc / Dni]),2,0),"")</f>
        <v>10295259634</v>
      </c>
      <c r="W1841" s="25" t="s">
        <v>108</v>
      </c>
      <c r="X1841" s="25" t="s">
        <v>3157</v>
      </c>
      <c r="Y1841" s="25"/>
      <c r="Z1841" s="75"/>
      <c r="AA1841" s="3" t="str">
        <f>IF(BCP_Soles[[#This Row],[fecha]]&gt;0,TEXT(BCP_Soles[[#This Row],[fecha]],"mmmm"),0)</f>
        <v>Mayo</v>
      </c>
    </row>
    <row r="1842" spans="1:27" x14ac:dyDescent="0.3">
      <c r="A1842" s="2">
        <f>IF(BCP_Soles[[#This Row],[tipo_registro]]="R",COUNTIFS($C$1:$C1841,"R")+1,A1841)</f>
        <v>1382</v>
      </c>
      <c r="B1842" s="19" t="str">
        <f t="shared" si="151"/>
        <v>B-BCP - Soles</v>
      </c>
      <c r="C1842" s="3" t="s">
        <v>1330</v>
      </c>
      <c r="D1842" s="14">
        <v>45800</v>
      </c>
      <c r="E1842" s="5" t="s">
        <v>1338</v>
      </c>
      <c r="F1842" s="5" t="s">
        <v>1336</v>
      </c>
      <c r="G1842" s="6" t="s">
        <v>696</v>
      </c>
      <c r="H1842" s="6"/>
      <c r="I1842" s="6"/>
      <c r="J1842" s="6"/>
      <c r="K1842" s="7" t="s">
        <v>3158</v>
      </c>
      <c r="L1842" s="8">
        <v>9434885</v>
      </c>
      <c r="M1842" s="8" t="str">
        <f t="shared" si="152"/>
        <v>PEN</v>
      </c>
      <c r="N1842" s="13"/>
      <c r="O1842" s="13">
        <v>4428.2</v>
      </c>
      <c r="P1842" s="3">
        <f t="shared" si="153"/>
        <v>0</v>
      </c>
      <c r="Q1842" s="3">
        <f t="shared" si="154"/>
        <v>4428.2</v>
      </c>
      <c r="R1842" s="3">
        <f t="shared" si="150"/>
        <v>20378.019999999997</v>
      </c>
      <c r="S1842" s="24" t="s">
        <v>1334</v>
      </c>
      <c r="T1842" s="24" t="s">
        <v>1334</v>
      </c>
      <c r="U1842" s="53"/>
      <c r="V1842" s="25">
        <f>IFERROR(VLOOKUP(BCP_Soles[[#This Row],[destinatario]],CHOOSE({1,2},Clientes_Proveedores[Razon Social],Clientes_Proveedores[Ruc / Dni]),2,0),"")</f>
        <v>0</v>
      </c>
      <c r="W1842" s="25" t="s">
        <v>1373</v>
      </c>
      <c r="X1842" s="25"/>
      <c r="Y1842" s="25"/>
      <c r="Z1842" s="75"/>
      <c r="AA1842" s="3" t="str">
        <f>IF(BCP_Soles[[#This Row],[fecha]]&gt;0,TEXT(BCP_Soles[[#This Row],[fecha]],"mmmm"),0)</f>
        <v>Mayo</v>
      </c>
    </row>
    <row r="1843" spans="1:27" ht="48" x14ac:dyDescent="0.3">
      <c r="A1843" s="2">
        <f>IF(BCP_Soles[[#This Row],[tipo_registro]]="R",COUNTIFS($C$1:$C1842,"R")+1,A1842)</f>
        <v>1382</v>
      </c>
      <c r="B1843" s="19" t="str">
        <f t="shared" si="151"/>
        <v>B-BCP - Soles</v>
      </c>
      <c r="C1843" s="3" t="s">
        <v>1352</v>
      </c>
      <c r="D1843" s="14">
        <v>45800</v>
      </c>
      <c r="E1843" s="5" t="s">
        <v>1338</v>
      </c>
      <c r="F1843" s="5"/>
      <c r="G1843" s="6" t="s">
        <v>541</v>
      </c>
      <c r="H1843" s="6" t="s">
        <v>68</v>
      </c>
      <c r="I1843" s="6" t="s">
        <v>1374</v>
      </c>
      <c r="J1843" s="6">
        <v>25</v>
      </c>
      <c r="K1843" s="7" t="s">
        <v>3158</v>
      </c>
      <c r="L1843" s="8">
        <v>9434885</v>
      </c>
      <c r="M1843" s="8" t="str">
        <f t="shared" si="152"/>
        <v>PEN</v>
      </c>
      <c r="N1843" s="13">
        <v>1070</v>
      </c>
      <c r="O1843" s="13"/>
      <c r="P1843" s="3">
        <f t="shared" si="153"/>
        <v>0</v>
      </c>
      <c r="Q1843" s="3">
        <f t="shared" si="154"/>
        <v>0</v>
      </c>
      <c r="R1843" s="3">
        <f t="shared" si="150"/>
        <v>20378.019999999997</v>
      </c>
      <c r="S1843" s="24"/>
      <c r="T1843" s="24" t="s">
        <v>1334</v>
      </c>
      <c r="U1843" s="53"/>
      <c r="V1843" s="25">
        <f>IFERROR(VLOOKUP(BCP_Soles[[#This Row],[destinatario]],CHOOSE({1,2},Clientes_Proveedores[Razon Social],Clientes_Proveedores[Ruc / Dni]),2,0),"")</f>
        <v>20605931457</v>
      </c>
      <c r="W1843" s="25"/>
      <c r="X1843" s="25"/>
      <c r="Y1843" s="25"/>
      <c r="Z1843" s="75"/>
      <c r="AA1843" s="3" t="str">
        <f>IF(BCP_Soles[[#This Row],[fecha]]&gt;0,TEXT(BCP_Soles[[#This Row],[fecha]],"mmmm"),0)</f>
        <v>Mayo</v>
      </c>
    </row>
    <row r="1844" spans="1:27" ht="48" x14ac:dyDescent="0.3">
      <c r="A1844" s="2">
        <f>IF(BCP_Soles[[#This Row],[tipo_registro]]="R",COUNTIFS($C$1:$C1843,"R")+1,A1843)</f>
        <v>1382</v>
      </c>
      <c r="B1844" s="19" t="str">
        <f t="shared" si="151"/>
        <v>B-BCP - Soles</v>
      </c>
      <c r="C1844" s="3" t="s">
        <v>1352</v>
      </c>
      <c r="D1844" s="14">
        <v>45800</v>
      </c>
      <c r="E1844" s="5" t="s">
        <v>1338</v>
      </c>
      <c r="F1844" s="5"/>
      <c r="G1844" s="6" t="s">
        <v>541</v>
      </c>
      <c r="H1844" s="6" t="s">
        <v>68</v>
      </c>
      <c r="I1844" s="6" t="s">
        <v>1374</v>
      </c>
      <c r="J1844" s="6">
        <v>24</v>
      </c>
      <c r="K1844" s="7" t="s">
        <v>3158</v>
      </c>
      <c r="L1844" s="8">
        <v>9434885</v>
      </c>
      <c r="M1844" s="8" t="str">
        <f t="shared" si="152"/>
        <v>PEN</v>
      </c>
      <c r="N1844" s="13">
        <v>1399</v>
      </c>
      <c r="O1844" s="13"/>
      <c r="P1844" s="3">
        <f t="shared" si="153"/>
        <v>0</v>
      </c>
      <c r="Q1844" s="3">
        <f t="shared" si="154"/>
        <v>0</v>
      </c>
      <c r="R1844" s="3">
        <f t="shared" si="150"/>
        <v>20378.019999999997</v>
      </c>
      <c r="S1844" s="24"/>
      <c r="T1844" s="24" t="s">
        <v>1334</v>
      </c>
      <c r="U1844" s="53"/>
      <c r="V1844" s="25">
        <f>IFERROR(VLOOKUP(BCP_Soles[[#This Row],[destinatario]],CHOOSE({1,2},Clientes_Proveedores[Razon Social],Clientes_Proveedores[Ruc / Dni]),2,0),"")</f>
        <v>20605931457</v>
      </c>
      <c r="W1844" s="25"/>
      <c r="X1844" s="25"/>
      <c r="Y1844" s="25"/>
      <c r="Z1844" s="75"/>
      <c r="AA1844" s="3" t="str">
        <f>IF(BCP_Soles[[#This Row],[fecha]]&gt;0,TEXT(BCP_Soles[[#This Row],[fecha]],"mmmm"),0)</f>
        <v>Mayo</v>
      </c>
    </row>
    <row r="1845" spans="1:27" ht="48" x14ac:dyDescent="0.3">
      <c r="A1845" s="2">
        <f>IF(BCP_Soles[[#This Row],[tipo_registro]]="R",COUNTIFS($C$1:$C1844,"R")+1,A1844)</f>
        <v>1382</v>
      </c>
      <c r="B1845" s="19" t="str">
        <f t="shared" si="151"/>
        <v>B-BCP - Soles</v>
      </c>
      <c r="C1845" s="3" t="s">
        <v>1352</v>
      </c>
      <c r="D1845" s="14">
        <v>45800</v>
      </c>
      <c r="E1845" s="5" t="s">
        <v>1338</v>
      </c>
      <c r="F1845" s="5"/>
      <c r="G1845" s="6" t="s">
        <v>541</v>
      </c>
      <c r="H1845" s="6" t="s">
        <v>68</v>
      </c>
      <c r="I1845" s="6" t="s">
        <v>1374</v>
      </c>
      <c r="J1845" s="6">
        <v>17</v>
      </c>
      <c r="K1845" s="7" t="s">
        <v>3158</v>
      </c>
      <c r="L1845" s="8">
        <v>9434885</v>
      </c>
      <c r="M1845" s="8" t="str">
        <f t="shared" si="152"/>
        <v>PEN</v>
      </c>
      <c r="N1845" s="13">
        <v>519.20000000000005</v>
      </c>
      <c r="O1845" s="13"/>
      <c r="P1845" s="3">
        <f t="shared" si="153"/>
        <v>0</v>
      </c>
      <c r="Q1845" s="3">
        <f t="shared" si="154"/>
        <v>0</v>
      </c>
      <c r="R1845" s="3">
        <f t="shared" si="150"/>
        <v>20378.019999999997</v>
      </c>
      <c r="S1845" s="24"/>
      <c r="T1845" s="24" t="s">
        <v>1334</v>
      </c>
      <c r="U1845" s="53"/>
      <c r="V1845" s="25">
        <f>IFERROR(VLOOKUP(BCP_Soles[[#This Row],[destinatario]],CHOOSE({1,2},Clientes_Proveedores[Razon Social],Clientes_Proveedores[Ruc / Dni]),2,0),"")</f>
        <v>20605931457</v>
      </c>
      <c r="W1845" s="25"/>
      <c r="X1845" s="25"/>
      <c r="Y1845" s="25"/>
      <c r="Z1845" s="75"/>
      <c r="AA1845" s="3" t="str">
        <f>IF(BCP_Soles[[#This Row],[fecha]]&gt;0,TEXT(BCP_Soles[[#This Row],[fecha]],"mmmm"),0)</f>
        <v>Mayo</v>
      </c>
    </row>
    <row r="1846" spans="1:27" ht="36" x14ac:dyDescent="0.3">
      <c r="A1846" s="2">
        <f>IF(BCP_Soles[[#This Row],[tipo_registro]]="R",COUNTIFS($C$1:$C1845,"R")+1,A1845)</f>
        <v>1382</v>
      </c>
      <c r="B1846" s="19" t="str">
        <f t="shared" si="151"/>
        <v>B-BCP - Soles</v>
      </c>
      <c r="C1846" s="3" t="s">
        <v>1352</v>
      </c>
      <c r="D1846" s="14">
        <v>45800</v>
      </c>
      <c r="E1846" s="5" t="s">
        <v>1338</v>
      </c>
      <c r="F1846" s="5"/>
      <c r="G1846" s="6" t="s">
        <v>277</v>
      </c>
      <c r="H1846" s="6" t="s">
        <v>68</v>
      </c>
      <c r="I1846" s="6" t="s">
        <v>1390</v>
      </c>
      <c r="J1846" s="6">
        <v>1726</v>
      </c>
      <c r="K1846" s="7" t="s">
        <v>3158</v>
      </c>
      <c r="L1846" s="8">
        <v>9434885</v>
      </c>
      <c r="M1846" s="8" t="str">
        <f t="shared" si="152"/>
        <v>PEN</v>
      </c>
      <c r="N1846" s="13">
        <v>1440</v>
      </c>
      <c r="O1846" s="13"/>
      <c r="P1846" s="3">
        <f t="shared" si="153"/>
        <v>0</v>
      </c>
      <c r="Q1846" s="3">
        <f t="shared" si="154"/>
        <v>0</v>
      </c>
      <c r="R1846" s="3">
        <f t="shared" si="150"/>
        <v>20378.019999999997</v>
      </c>
      <c r="S1846" s="24"/>
      <c r="T1846" s="24" t="s">
        <v>1334</v>
      </c>
      <c r="U1846" s="53"/>
      <c r="V1846" s="25">
        <f>IFERROR(VLOOKUP(BCP_Soles[[#This Row],[destinatario]],CHOOSE({1,2},Clientes_Proveedores[Razon Social],Clientes_Proveedores[Ruc / Dni]),2,0),"")</f>
        <v>20429640939</v>
      </c>
      <c r="W1846" s="25"/>
      <c r="X1846" s="25"/>
      <c r="Y1846" s="25"/>
      <c r="Z1846" s="75"/>
      <c r="AA1846" s="3" t="str">
        <f>IF(BCP_Soles[[#This Row],[fecha]]&gt;0,TEXT(BCP_Soles[[#This Row],[fecha]],"mmmm"),0)</f>
        <v>Mayo</v>
      </c>
    </row>
    <row r="1847" spans="1:27" x14ac:dyDescent="0.3">
      <c r="A1847" s="2">
        <f>IF(BCP_Soles[[#This Row],[tipo_registro]]="R",COUNTIFS($C$1:$C1846,"R")+1,A1846)</f>
        <v>1383</v>
      </c>
      <c r="B1847" s="19" t="str">
        <f t="shared" si="151"/>
        <v>B-BCP - Soles</v>
      </c>
      <c r="C1847" s="3" t="s">
        <v>1330</v>
      </c>
      <c r="D1847" s="14">
        <v>45800</v>
      </c>
      <c r="E1847" s="5" t="s">
        <v>1338</v>
      </c>
      <c r="F1847" s="5" t="s">
        <v>1336</v>
      </c>
      <c r="G1847" s="6"/>
      <c r="H1847" s="6"/>
      <c r="I1847" s="6"/>
      <c r="J1847" s="6"/>
      <c r="K1847" s="7" t="s">
        <v>3159</v>
      </c>
      <c r="L1847" s="8">
        <v>1013848</v>
      </c>
      <c r="M1847" s="8" t="str">
        <f t="shared" si="152"/>
        <v>PEN</v>
      </c>
      <c r="N1847" s="13"/>
      <c r="O1847" s="13">
        <v>6079</v>
      </c>
      <c r="P1847" s="3">
        <f t="shared" si="153"/>
        <v>0</v>
      </c>
      <c r="Q1847" s="3">
        <f t="shared" si="154"/>
        <v>6079</v>
      </c>
      <c r="R1847" s="3">
        <f t="shared" si="150"/>
        <v>14299.019999999997</v>
      </c>
      <c r="S1847" s="24"/>
      <c r="T1847" s="24"/>
      <c r="U1847" s="53"/>
      <c r="V1847" s="25" t="str">
        <f>IFERROR(VLOOKUP(BCP_Soles[[#This Row],[destinatario]],CHOOSE({1,2},Clientes_Proveedores[Razon Social],Clientes_Proveedores[Ruc / Dni]),2,0),"")</f>
        <v/>
      </c>
      <c r="W1847" s="25" t="s">
        <v>2666</v>
      </c>
      <c r="X1847" s="25"/>
      <c r="Y1847" s="25"/>
      <c r="Z1847" s="75"/>
      <c r="AA1847" s="3" t="str">
        <f>IF(BCP_Soles[[#This Row],[fecha]]&gt;0,TEXT(BCP_Soles[[#This Row],[fecha]],"mmmm"),0)</f>
        <v>Mayo</v>
      </c>
    </row>
    <row r="1848" spans="1:27" x14ac:dyDescent="0.3">
      <c r="A1848" s="2">
        <f>IF(BCP_Soles[[#This Row],[tipo_registro]]="R",COUNTIFS($C$1:$C1847,"R")+1,A1847)</f>
        <v>1384</v>
      </c>
      <c r="B1848" s="19" t="str">
        <f t="shared" si="151"/>
        <v>B-BCP - Soles</v>
      </c>
      <c r="C1848" s="3" t="s">
        <v>1330</v>
      </c>
      <c r="D1848" s="14">
        <v>45800</v>
      </c>
      <c r="E1848" s="5" t="s">
        <v>1335</v>
      </c>
      <c r="F1848" s="5" t="s">
        <v>1336</v>
      </c>
      <c r="G1848" s="6"/>
      <c r="H1848" s="6"/>
      <c r="I1848" s="6"/>
      <c r="J1848" s="6"/>
      <c r="K1848" s="7" t="s">
        <v>3160</v>
      </c>
      <c r="L1848" s="8"/>
      <c r="M1848" s="8" t="str">
        <f t="shared" si="152"/>
        <v>PEN</v>
      </c>
      <c r="N1848" s="13"/>
      <c r="O1848" s="13">
        <v>1.35</v>
      </c>
      <c r="P1848" s="3">
        <f t="shared" si="153"/>
        <v>0</v>
      </c>
      <c r="Q1848" s="3">
        <f t="shared" si="154"/>
        <v>1.35</v>
      </c>
      <c r="R1848" s="3">
        <f t="shared" si="150"/>
        <v>14297.669999999996</v>
      </c>
      <c r="S1848" s="24"/>
      <c r="T1848" s="24" t="s">
        <v>1334</v>
      </c>
      <c r="U1848" s="53"/>
      <c r="V1848" s="25" t="str">
        <f>IFERROR(VLOOKUP(BCP_Soles[[#This Row],[destinatario]],CHOOSE({1,2},Clientes_Proveedores[Razon Social],Clientes_Proveedores[Ruc / Dni]),2,0),"")</f>
        <v/>
      </c>
      <c r="W1848" s="25"/>
      <c r="X1848" s="25"/>
      <c r="Y1848" s="25"/>
      <c r="Z1848" s="75"/>
      <c r="AA1848" s="3" t="str">
        <f>IF(BCP_Soles[[#This Row],[fecha]]&gt;0,TEXT(BCP_Soles[[#This Row],[fecha]],"mmmm"),0)</f>
        <v>Mayo</v>
      </c>
    </row>
    <row r="1849" spans="1:27" ht="24" x14ac:dyDescent="0.3">
      <c r="A1849" s="2">
        <f>IF(BCP_Soles[[#This Row],[tipo_registro]]="R",COUNTIFS($C$1:$C1848,"R")+1,A1848)</f>
        <v>1385</v>
      </c>
      <c r="B1849" s="19" t="str">
        <f t="shared" si="151"/>
        <v>B-BCP - Soles</v>
      </c>
      <c r="C1849" s="3" t="s">
        <v>1330</v>
      </c>
      <c r="D1849" s="14">
        <v>45800</v>
      </c>
      <c r="E1849" s="5" t="s">
        <v>1335</v>
      </c>
      <c r="F1849" s="5" t="s">
        <v>1336</v>
      </c>
      <c r="G1849" s="6" t="s">
        <v>1060</v>
      </c>
      <c r="H1849" s="6" t="s">
        <v>68</v>
      </c>
      <c r="I1849" s="6" t="s">
        <v>1397</v>
      </c>
      <c r="J1849" s="6">
        <v>32992663</v>
      </c>
      <c r="K1849" s="7" t="s">
        <v>1400</v>
      </c>
      <c r="L1849" s="8">
        <v>469</v>
      </c>
      <c r="M1849" s="8" t="str">
        <f t="shared" si="152"/>
        <v>PEN</v>
      </c>
      <c r="N1849" s="13"/>
      <c r="O1849" s="13">
        <v>10</v>
      </c>
      <c r="P1849" s="3">
        <f t="shared" si="153"/>
        <v>0</v>
      </c>
      <c r="Q1849" s="3">
        <f t="shared" si="154"/>
        <v>10</v>
      </c>
      <c r="R1849" s="3">
        <f t="shared" si="150"/>
        <v>14287.669999999996</v>
      </c>
      <c r="S1849" s="24" t="s">
        <v>1334</v>
      </c>
      <c r="T1849" s="24" t="s">
        <v>1334</v>
      </c>
      <c r="U1849" s="53"/>
      <c r="V1849" s="25">
        <f>IFERROR(VLOOKUP(BCP_Soles[[#This Row],[destinatario]],CHOOSE({1,2},Clientes_Proveedores[Razon Social],Clientes_Proveedores[Ruc / Dni]),2,0),"")</f>
        <v>20100047218</v>
      </c>
      <c r="W1849" s="25" t="s">
        <v>1335</v>
      </c>
      <c r="X1849" s="25" t="s">
        <v>3161</v>
      </c>
      <c r="Y1849" s="25"/>
      <c r="Z1849" s="75"/>
      <c r="AA1849" s="3" t="str">
        <f>IF(BCP_Soles[[#This Row],[fecha]]&gt;0,TEXT(BCP_Soles[[#This Row],[fecha]],"mmmm"),0)</f>
        <v>Mayo</v>
      </c>
    </row>
    <row r="1850" spans="1:27" ht="24" x14ac:dyDescent="0.3">
      <c r="A1850" s="2">
        <f>IF(BCP_Soles[[#This Row],[tipo_registro]]="R",COUNTIFS($C$1:$C1849,"R")+1,A1849)</f>
        <v>1386</v>
      </c>
      <c r="B1850" s="19" t="str">
        <f t="shared" si="151"/>
        <v>B-BCP - Soles</v>
      </c>
      <c r="C1850" s="3" t="s">
        <v>1330</v>
      </c>
      <c r="D1850" s="14">
        <v>45800</v>
      </c>
      <c r="E1850" s="5" t="s">
        <v>1335</v>
      </c>
      <c r="F1850" s="5" t="s">
        <v>1336</v>
      </c>
      <c r="G1850" s="6" t="s">
        <v>1060</v>
      </c>
      <c r="H1850" s="6" t="s">
        <v>68</v>
      </c>
      <c r="I1850" s="6" t="s">
        <v>1397</v>
      </c>
      <c r="J1850" s="6">
        <v>32992663</v>
      </c>
      <c r="K1850" s="7" t="s">
        <v>1400</v>
      </c>
      <c r="L1850" s="8">
        <v>469</v>
      </c>
      <c r="M1850" s="8" t="str">
        <f t="shared" si="152"/>
        <v>PEN</v>
      </c>
      <c r="N1850" s="13"/>
      <c r="O1850" s="13">
        <v>10</v>
      </c>
      <c r="P1850" s="3">
        <f t="shared" si="153"/>
        <v>0</v>
      </c>
      <c r="Q1850" s="3">
        <f t="shared" si="154"/>
        <v>10</v>
      </c>
      <c r="R1850" s="3">
        <f t="shared" si="150"/>
        <v>14277.669999999996</v>
      </c>
      <c r="S1850" s="24" t="s">
        <v>1334</v>
      </c>
      <c r="T1850" s="24" t="s">
        <v>1334</v>
      </c>
      <c r="U1850" s="53"/>
      <c r="V1850" s="25">
        <f>IFERROR(VLOOKUP(BCP_Soles[[#This Row],[destinatario]],CHOOSE({1,2},Clientes_Proveedores[Razon Social],Clientes_Proveedores[Ruc / Dni]),2,0),"")</f>
        <v>20100047218</v>
      </c>
      <c r="W1850" s="25" t="s">
        <v>1335</v>
      </c>
      <c r="X1850" s="25" t="s">
        <v>3161</v>
      </c>
      <c r="Y1850" s="25"/>
      <c r="Z1850" s="75"/>
      <c r="AA1850" s="3" t="str">
        <f>IF(BCP_Soles[[#This Row],[fecha]]&gt;0,TEXT(BCP_Soles[[#This Row],[fecha]],"mmmm"),0)</f>
        <v>Mayo</v>
      </c>
    </row>
    <row r="1851" spans="1:27" x14ac:dyDescent="0.3">
      <c r="A1851" s="2">
        <f>IF(BCP_Soles[[#This Row],[tipo_registro]]="R",COUNTIFS($C$1:$C1850,"R")+1,A1850)</f>
        <v>1387</v>
      </c>
      <c r="B1851" s="19" t="str">
        <f t="shared" si="151"/>
        <v>B-BCP - Soles</v>
      </c>
      <c r="C1851" s="3" t="s">
        <v>1330</v>
      </c>
      <c r="D1851" s="14">
        <v>45801</v>
      </c>
      <c r="E1851" s="5"/>
      <c r="F1851" s="5" t="s">
        <v>1303</v>
      </c>
      <c r="G1851" s="6" t="s">
        <v>425</v>
      </c>
      <c r="H1851" s="6"/>
      <c r="I1851" s="6"/>
      <c r="J1851" s="6"/>
      <c r="K1851" s="7" t="s">
        <v>1356</v>
      </c>
      <c r="L1851" s="8">
        <v>674351</v>
      </c>
      <c r="M1851" s="8" t="str">
        <f t="shared" si="152"/>
        <v>PEN</v>
      </c>
      <c r="N1851" s="13"/>
      <c r="O1851" s="13">
        <v>3284</v>
      </c>
      <c r="P1851" s="3">
        <f t="shared" si="153"/>
        <v>3284</v>
      </c>
      <c r="Q1851" s="3">
        <f t="shared" si="154"/>
        <v>0</v>
      </c>
      <c r="R1851" s="3">
        <f t="shared" si="150"/>
        <v>17561.669999999998</v>
      </c>
      <c r="S1851" s="24" t="s">
        <v>1334</v>
      </c>
      <c r="T1851" s="24" t="s">
        <v>1334</v>
      </c>
      <c r="U1851" s="53"/>
      <c r="V1851" s="25">
        <f>IFERROR(VLOOKUP(BCP_Soles[[#This Row],[destinatario]],CHOOSE({1,2},Clientes_Proveedores[Razon Social],Clientes_Proveedores[Ruc / Dni]),2,0),"")</f>
        <v>20558226979</v>
      </c>
      <c r="W1851" s="25" t="s">
        <v>1345</v>
      </c>
      <c r="X1851" s="25"/>
      <c r="Y1851" s="25"/>
      <c r="Z1851" s="75"/>
      <c r="AA1851" s="3" t="str">
        <f>IF(BCP_Soles[[#This Row],[fecha]]&gt;0,TEXT(BCP_Soles[[#This Row],[fecha]],"mmmm"),0)</f>
        <v>Mayo</v>
      </c>
    </row>
    <row r="1852" spans="1:27" ht="24" x14ac:dyDescent="0.3">
      <c r="A1852" s="2">
        <f>IF(BCP_Soles[[#This Row],[tipo_registro]]="R",COUNTIFS($C$1:$C1851,"R")+1,A1851)</f>
        <v>1387</v>
      </c>
      <c r="B1852" s="19" t="str">
        <f t="shared" si="151"/>
        <v>B-BCP - Soles</v>
      </c>
      <c r="C1852" s="3" t="s">
        <v>1352</v>
      </c>
      <c r="D1852" s="14">
        <v>45801</v>
      </c>
      <c r="E1852" s="5" t="s">
        <v>536</v>
      </c>
      <c r="F1852" s="5" t="s">
        <v>1303</v>
      </c>
      <c r="G1852" s="6" t="s">
        <v>425</v>
      </c>
      <c r="H1852" s="6" t="s">
        <v>119</v>
      </c>
      <c r="I1852" s="6">
        <v>1</v>
      </c>
      <c r="J1852" s="6">
        <v>4418</v>
      </c>
      <c r="K1852" s="7" t="s">
        <v>1356</v>
      </c>
      <c r="L1852" s="8">
        <v>674351</v>
      </c>
      <c r="M1852" s="8" t="str">
        <f t="shared" si="152"/>
        <v>PEN</v>
      </c>
      <c r="N1852" s="13">
        <v>2322</v>
      </c>
      <c r="O1852" s="13"/>
      <c r="P1852" s="3">
        <f t="shared" si="153"/>
        <v>0</v>
      </c>
      <c r="Q1852" s="3">
        <f t="shared" si="154"/>
        <v>0</v>
      </c>
      <c r="R1852" s="3">
        <f t="shared" si="150"/>
        <v>17561.669999999998</v>
      </c>
      <c r="S1852" s="24" t="s">
        <v>1334</v>
      </c>
      <c r="T1852" s="24" t="s">
        <v>1334</v>
      </c>
      <c r="U1852" s="53"/>
      <c r="V1852" s="25">
        <f>IFERROR(VLOOKUP(BCP_Soles[[#This Row],[destinatario]],CHOOSE({1,2},Clientes_Proveedores[Razon Social],Clientes_Proveedores[Ruc / Dni]),2,0),"")</f>
        <v>20558226979</v>
      </c>
      <c r="W1852" s="25" t="s">
        <v>1345</v>
      </c>
      <c r="X1852" s="25" t="s">
        <v>3162</v>
      </c>
      <c r="Y1852" s="25"/>
      <c r="Z1852" s="75"/>
      <c r="AA1852" s="3" t="str">
        <f>IF(BCP_Soles[[#This Row],[fecha]]&gt;0,TEXT(BCP_Soles[[#This Row],[fecha]],"mmmm"),0)</f>
        <v>Mayo</v>
      </c>
    </row>
    <row r="1853" spans="1:27" ht="24" x14ac:dyDescent="0.3">
      <c r="A1853" s="2">
        <f>IF(BCP_Soles[[#This Row],[tipo_registro]]="R",COUNTIFS($C$1:$C1852,"R")+1,A1852)</f>
        <v>1387</v>
      </c>
      <c r="B1853" s="19" t="str">
        <f t="shared" si="151"/>
        <v>B-BCP - Soles</v>
      </c>
      <c r="C1853" s="3" t="s">
        <v>1352</v>
      </c>
      <c r="D1853" s="14">
        <v>45801</v>
      </c>
      <c r="E1853" s="5" t="s">
        <v>536</v>
      </c>
      <c r="F1853" s="5" t="s">
        <v>1303</v>
      </c>
      <c r="G1853" s="6" t="s">
        <v>425</v>
      </c>
      <c r="H1853" s="6" t="s">
        <v>119</v>
      </c>
      <c r="I1853" s="6">
        <v>1</v>
      </c>
      <c r="J1853" s="6">
        <v>4448</v>
      </c>
      <c r="K1853" s="7" t="s">
        <v>1356</v>
      </c>
      <c r="L1853" s="8">
        <v>674351</v>
      </c>
      <c r="M1853" s="8" t="str">
        <f t="shared" si="152"/>
        <v>PEN</v>
      </c>
      <c r="N1853" s="13">
        <v>962</v>
      </c>
      <c r="O1853" s="13"/>
      <c r="P1853" s="3">
        <f t="shared" si="153"/>
        <v>0</v>
      </c>
      <c r="Q1853" s="3">
        <f t="shared" si="154"/>
        <v>0</v>
      </c>
      <c r="R1853" s="3">
        <f t="shared" si="150"/>
        <v>17561.669999999998</v>
      </c>
      <c r="S1853" s="24" t="s">
        <v>1334</v>
      </c>
      <c r="T1853" s="24" t="s">
        <v>1334</v>
      </c>
      <c r="U1853" s="53"/>
      <c r="V1853" s="25">
        <f>IFERROR(VLOOKUP(BCP_Soles[[#This Row],[destinatario]],CHOOSE({1,2},Clientes_Proveedores[Razon Social],Clientes_Proveedores[Ruc / Dni]),2,0),"")</f>
        <v>20558226979</v>
      </c>
      <c r="W1853" s="25" t="s">
        <v>1345</v>
      </c>
      <c r="X1853" s="25" t="s">
        <v>3163</v>
      </c>
      <c r="Y1853" s="25"/>
      <c r="Z1853" s="75"/>
      <c r="AA1853" s="3" t="str">
        <f>IF(BCP_Soles[[#This Row],[fecha]]&gt;0,TEXT(BCP_Soles[[#This Row],[fecha]],"mmmm"),0)</f>
        <v>Mayo</v>
      </c>
    </row>
    <row r="1854" spans="1:27" x14ac:dyDescent="0.3">
      <c r="A1854" s="2">
        <f>IF(BCP_Soles[[#This Row],[tipo_registro]]="R",COUNTIFS($C$1:$C1853,"R")+1,A1853)</f>
        <v>1388</v>
      </c>
      <c r="B1854" s="19" t="str">
        <f t="shared" si="151"/>
        <v>B-BCP - Soles</v>
      </c>
      <c r="C1854" s="3" t="s">
        <v>1330</v>
      </c>
      <c r="D1854" s="14">
        <v>45802</v>
      </c>
      <c r="E1854" s="5" t="s">
        <v>1335</v>
      </c>
      <c r="F1854" s="5" t="s">
        <v>1336</v>
      </c>
      <c r="G1854" s="6"/>
      <c r="H1854" s="6"/>
      <c r="I1854" s="6"/>
      <c r="J1854" s="6"/>
      <c r="K1854" s="7" t="s">
        <v>3160</v>
      </c>
      <c r="L1854" s="8"/>
      <c r="M1854" s="8" t="str">
        <f t="shared" si="152"/>
        <v>PEN</v>
      </c>
      <c r="N1854" s="13"/>
      <c r="O1854" s="13">
        <v>0.15</v>
      </c>
      <c r="P1854" s="3">
        <f t="shared" si="153"/>
        <v>0</v>
      </c>
      <c r="Q1854" s="3">
        <f t="shared" si="154"/>
        <v>0.15</v>
      </c>
      <c r="R1854" s="3">
        <f t="shared" si="150"/>
        <v>17561.519999999997</v>
      </c>
      <c r="S1854" s="24" t="s">
        <v>1334</v>
      </c>
      <c r="T1854" s="24" t="s">
        <v>1334</v>
      </c>
      <c r="U1854" s="53"/>
      <c r="V1854" s="25" t="str">
        <f>IFERROR(VLOOKUP(BCP_Soles[[#This Row],[destinatario]],CHOOSE({1,2},Clientes_Proveedores[Razon Social],Clientes_Proveedores[Ruc / Dni]),2,0),"")</f>
        <v/>
      </c>
      <c r="W1854" s="25"/>
      <c r="X1854" s="25"/>
      <c r="Y1854" s="25"/>
      <c r="Z1854" s="75"/>
      <c r="AA1854" s="3" t="str">
        <f>IF(BCP_Soles[[#This Row],[fecha]]&gt;0,TEXT(BCP_Soles[[#This Row],[fecha]],"mmmm"),0)</f>
        <v>Mayo</v>
      </c>
    </row>
    <row r="1855" spans="1:27" ht="24" x14ac:dyDescent="0.3">
      <c r="A1855" s="2">
        <f>IF(BCP_Soles[[#This Row],[tipo_registro]]="R",COUNTIFS($C$1:$C1854,"R")+1,A1854)</f>
        <v>1389</v>
      </c>
      <c r="B1855" s="19" t="str">
        <f t="shared" si="151"/>
        <v>B-BCP - Soles</v>
      </c>
      <c r="C1855" s="3" t="s">
        <v>1330</v>
      </c>
      <c r="D1855" s="14">
        <v>45803</v>
      </c>
      <c r="E1855" s="5" t="s">
        <v>2103</v>
      </c>
      <c r="F1855" s="5" t="s">
        <v>1303</v>
      </c>
      <c r="G1855" s="6" t="s">
        <v>425</v>
      </c>
      <c r="H1855" s="6" t="s">
        <v>119</v>
      </c>
      <c r="I1855" s="6">
        <v>1</v>
      </c>
      <c r="J1855" s="6">
        <v>4436</v>
      </c>
      <c r="K1855" s="7" t="s">
        <v>2003</v>
      </c>
      <c r="L1855" s="8">
        <v>2181678</v>
      </c>
      <c r="M1855" s="8" t="str">
        <f t="shared" si="152"/>
        <v>PEN</v>
      </c>
      <c r="N1855" s="13"/>
      <c r="O1855" s="13">
        <v>12600</v>
      </c>
      <c r="P1855" s="3">
        <f t="shared" si="153"/>
        <v>12600</v>
      </c>
      <c r="Q1855" s="3">
        <f t="shared" si="154"/>
        <v>0</v>
      </c>
      <c r="R1855" s="3">
        <f t="shared" si="150"/>
        <v>30161.519999999997</v>
      </c>
      <c r="S1855" s="24" t="s">
        <v>1334</v>
      </c>
      <c r="T1855" s="24" t="s">
        <v>1334</v>
      </c>
      <c r="U1855" s="53"/>
      <c r="V1855" s="25">
        <f>IFERROR(VLOOKUP(BCP_Soles[[#This Row],[destinatario]],CHOOSE({1,2},Clientes_Proveedores[Razon Social],Clientes_Proveedores[Ruc / Dni]),2,0),"")</f>
        <v>20558226979</v>
      </c>
      <c r="W1855" s="25" t="s">
        <v>1345</v>
      </c>
      <c r="X1855" s="25" t="s">
        <v>3164</v>
      </c>
      <c r="Y1855" s="25"/>
      <c r="Z1855" s="75"/>
      <c r="AA1855" s="3" t="str">
        <f>IF(BCP_Soles[[#This Row],[fecha]]&gt;0,TEXT(BCP_Soles[[#This Row],[fecha]],"mmmm"),0)</f>
        <v>Mayo</v>
      </c>
    </row>
    <row r="1856" spans="1:27" ht="36" x14ac:dyDescent="0.3">
      <c r="A1856" s="2">
        <f>IF(BCP_Soles[[#This Row],[tipo_registro]]="R",COUNTIFS($C$1:$C1855,"R")+1,A1855)</f>
        <v>1390</v>
      </c>
      <c r="B1856" s="19" t="str">
        <f t="shared" si="151"/>
        <v>B-BCP - Soles</v>
      </c>
      <c r="C1856" s="3" t="s">
        <v>1330</v>
      </c>
      <c r="D1856" s="14">
        <v>45803</v>
      </c>
      <c r="E1856" s="5" t="s">
        <v>555</v>
      </c>
      <c r="F1856" s="5" t="s">
        <v>1303</v>
      </c>
      <c r="G1856" s="6" t="s">
        <v>425</v>
      </c>
      <c r="H1856" s="6"/>
      <c r="I1856" s="6"/>
      <c r="J1856" s="6"/>
      <c r="K1856" s="7" t="s">
        <v>1348</v>
      </c>
      <c r="L1856" s="8">
        <v>2168514</v>
      </c>
      <c r="M1856" s="8" t="str">
        <f t="shared" si="152"/>
        <v>PEN</v>
      </c>
      <c r="N1856" s="13"/>
      <c r="O1856" s="13">
        <v>2118.16</v>
      </c>
      <c r="P1856" s="3">
        <f t="shared" si="153"/>
        <v>2118.16</v>
      </c>
      <c r="Q1856" s="3">
        <f t="shared" si="154"/>
        <v>0</v>
      </c>
      <c r="R1856" s="3">
        <f t="shared" si="150"/>
        <v>32279.679999999997</v>
      </c>
      <c r="S1856" s="24" t="s">
        <v>1334</v>
      </c>
      <c r="T1856" s="24" t="s">
        <v>1334</v>
      </c>
      <c r="U1856" s="53"/>
      <c r="V1856" s="25">
        <f>IFERROR(VLOOKUP(BCP_Soles[[#This Row],[destinatario]],CHOOSE({1,2},Clientes_Proveedores[Razon Social],Clientes_Proveedores[Ruc / Dni]),2,0),"")</f>
        <v>20558226979</v>
      </c>
      <c r="W1856" s="25" t="s">
        <v>1345</v>
      </c>
      <c r="X1856" s="25" t="s">
        <v>3165</v>
      </c>
      <c r="Y1856" s="25"/>
      <c r="Z1856" s="75"/>
      <c r="AA1856" s="3" t="str">
        <f>IF(BCP_Soles[[#This Row],[fecha]]&gt;0,TEXT(BCP_Soles[[#This Row],[fecha]],"mmmm"),0)</f>
        <v>Mayo</v>
      </c>
    </row>
    <row r="1857" spans="1:27" ht="24" x14ac:dyDescent="0.3">
      <c r="A1857" s="2">
        <f>IF(BCP_Soles[[#This Row],[tipo_registro]]="R",COUNTIFS($C$1:$C1856,"R")+1,A1856)</f>
        <v>1391</v>
      </c>
      <c r="B1857" s="19" t="str">
        <f t="shared" si="151"/>
        <v>B-BCP - Soles</v>
      </c>
      <c r="C1857" s="3" t="s">
        <v>1330</v>
      </c>
      <c r="D1857" s="14">
        <v>45803</v>
      </c>
      <c r="E1857" s="5" t="s">
        <v>3166</v>
      </c>
      <c r="F1857" s="5" t="s">
        <v>1303</v>
      </c>
      <c r="G1857" s="6" t="s">
        <v>425</v>
      </c>
      <c r="H1857" s="6" t="s">
        <v>119</v>
      </c>
      <c r="I1857" s="6">
        <v>1</v>
      </c>
      <c r="J1857" s="6">
        <v>4437</v>
      </c>
      <c r="K1857" s="7" t="s">
        <v>1356</v>
      </c>
      <c r="L1857" s="8">
        <v>3160553</v>
      </c>
      <c r="M1857" s="8" t="str">
        <f t="shared" si="152"/>
        <v>PEN</v>
      </c>
      <c r="N1857" s="13"/>
      <c r="O1857" s="13">
        <v>370</v>
      </c>
      <c r="P1857" s="3">
        <f t="shared" si="153"/>
        <v>370</v>
      </c>
      <c r="Q1857" s="3">
        <f t="shared" si="154"/>
        <v>0</v>
      </c>
      <c r="R1857" s="3">
        <f t="shared" si="150"/>
        <v>32649.679999999997</v>
      </c>
      <c r="S1857" s="24" t="s">
        <v>1334</v>
      </c>
      <c r="T1857" s="24" t="s">
        <v>1334</v>
      </c>
      <c r="U1857" s="53"/>
      <c r="V1857" s="25">
        <f>IFERROR(VLOOKUP(BCP_Soles[[#This Row],[destinatario]],CHOOSE({1,2},Clientes_Proveedores[Razon Social],Clientes_Proveedores[Ruc / Dni]),2,0),"")</f>
        <v>20558226979</v>
      </c>
      <c r="W1857" s="25" t="s">
        <v>1345</v>
      </c>
      <c r="X1857" s="25" t="s">
        <v>3167</v>
      </c>
      <c r="Y1857" s="25"/>
      <c r="Z1857" s="75"/>
      <c r="AA1857" s="3" t="str">
        <f>IF(BCP_Soles[[#This Row],[fecha]]&gt;0,TEXT(BCP_Soles[[#This Row],[fecha]],"mmmm"),0)</f>
        <v>Mayo</v>
      </c>
    </row>
    <row r="1858" spans="1:27" x14ac:dyDescent="0.3">
      <c r="A1858" s="2">
        <f>IF(BCP_Soles[[#This Row],[tipo_registro]]="R",COUNTIFS($C$1:$C1857,"R")+1,A1857)</f>
        <v>1392</v>
      </c>
      <c r="B1858" s="19" t="str">
        <f t="shared" si="151"/>
        <v>B-BCP - Soles</v>
      </c>
      <c r="C1858" s="3" t="s">
        <v>1330</v>
      </c>
      <c r="D1858" s="14">
        <v>45803</v>
      </c>
      <c r="E1858" s="5" t="s">
        <v>1338</v>
      </c>
      <c r="F1858" s="5" t="s">
        <v>1336</v>
      </c>
      <c r="G1858" s="6" t="s">
        <v>196</v>
      </c>
      <c r="H1858" s="6" t="s">
        <v>68</v>
      </c>
      <c r="I1858" s="6" t="s">
        <v>2226</v>
      </c>
      <c r="J1858" s="6">
        <v>6396</v>
      </c>
      <c r="K1858" s="7" t="s">
        <v>2227</v>
      </c>
      <c r="L1858" s="8">
        <v>217224</v>
      </c>
      <c r="M1858" s="8" t="str">
        <f t="shared" si="152"/>
        <v>PEN</v>
      </c>
      <c r="N1858" s="13"/>
      <c r="O1858" s="13">
        <v>20.78</v>
      </c>
      <c r="P1858" s="3">
        <f t="shared" si="153"/>
        <v>0</v>
      </c>
      <c r="Q1858" s="3">
        <f t="shared" si="154"/>
        <v>20.78</v>
      </c>
      <c r="R1858" s="3">
        <f t="shared" si="150"/>
        <v>32628.899999999998</v>
      </c>
      <c r="S1858" s="24" t="s">
        <v>1334</v>
      </c>
      <c r="T1858" s="24" t="s">
        <v>1334</v>
      </c>
      <c r="U1858" s="53"/>
      <c r="V1858" s="25">
        <f>IFERROR(VLOOKUP(BCP_Soles[[#This Row],[destinatario]],CHOOSE({1,2},Clientes_Proveedores[Razon Social],Clientes_Proveedores[Ruc / Dni]),2,0),"")</f>
        <v>20100055237</v>
      </c>
      <c r="W1858" s="25" t="s">
        <v>2228</v>
      </c>
      <c r="X1858" s="25" t="s">
        <v>3168</v>
      </c>
      <c r="Y1858" s="25"/>
      <c r="Z1858" s="75"/>
      <c r="AA1858" s="3" t="str">
        <f>IF(BCP_Soles[[#This Row],[fecha]]&gt;0,TEXT(BCP_Soles[[#This Row],[fecha]],"mmmm"),0)</f>
        <v>Mayo</v>
      </c>
    </row>
    <row r="1859" spans="1:27" ht="24" x14ac:dyDescent="0.3">
      <c r="A1859" s="2">
        <f>IF(BCP_Soles[[#This Row],[tipo_registro]]="R",COUNTIFS($C$1:$C1858,"R")+1,A1858)</f>
        <v>1393</v>
      </c>
      <c r="B1859" s="19" t="str">
        <f t="shared" si="151"/>
        <v>B-BCP - Soles</v>
      </c>
      <c r="C1859" s="3" t="s">
        <v>1330</v>
      </c>
      <c r="D1859" s="14">
        <v>45803</v>
      </c>
      <c r="E1859" s="5" t="s">
        <v>1338</v>
      </c>
      <c r="F1859" s="5" t="s">
        <v>1336</v>
      </c>
      <c r="G1859" s="6" t="s">
        <v>705</v>
      </c>
      <c r="H1859" s="6" t="s">
        <v>106</v>
      </c>
      <c r="I1859" s="6" t="s">
        <v>2488</v>
      </c>
      <c r="J1859" s="6">
        <v>69971813</v>
      </c>
      <c r="K1859" s="7" t="s">
        <v>2489</v>
      </c>
      <c r="L1859" s="8">
        <v>4218678</v>
      </c>
      <c r="M1859" s="8" t="str">
        <f t="shared" si="152"/>
        <v>PEN</v>
      </c>
      <c r="N1859" s="13"/>
      <c r="O1859" s="13">
        <v>142.9</v>
      </c>
      <c r="P1859" s="3">
        <f t="shared" si="153"/>
        <v>0</v>
      </c>
      <c r="Q1859" s="3">
        <f t="shared" si="154"/>
        <v>142.9</v>
      </c>
      <c r="R1859" s="3">
        <f t="shared" si="150"/>
        <v>32485.999999999996</v>
      </c>
      <c r="S1859" s="24"/>
      <c r="T1859" s="24"/>
      <c r="U1859" s="53"/>
      <c r="V1859" s="25">
        <f>IFERROR(VLOOKUP(BCP_Soles[[#This Row],[destinatario]],CHOOSE({1,2},Clientes_Proveedores[Razon Social],Clientes_Proveedores[Ruc / Dni]),2,0),"")</f>
        <v>20100017491</v>
      </c>
      <c r="W1859" s="25" t="s">
        <v>1565</v>
      </c>
      <c r="X1859" s="25"/>
      <c r="Y1859" s="25"/>
      <c r="Z1859" s="75"/>
      <c r="AA1859" s="3" t="str">
        <f>IF(BCP_Soles[[#This Row],[fecha]]&gt;0,TEXT(BCP_Soles[[#This Row],[fecha]],"mmmm"),0)</f>
        <v>Mayo</v>
      </c>
    </row>
    <row r="1860" spans="1:27" x14ac:dyDescent="0.3">
      <c r="A1860" s="2">
        <f>IF(BCP_Soles[[#This Row],[tipo_registro]]="R",COUNTIFS($C$1:$C1859,"R")+1,A1859)</f>
        <v>1394</v>
      </c>
      <c r="B1860" s="19" t="str">
        <f t="shared" si="151"/>
        <v>B-BCP - Soles</v>
      </c>
      <c r="C1860" s="3" t="s">
        <v>1330</v>
      </c>
      <c r="D1860" s="14">
        <v>45803</v>
      </c>
      <c r="E1860" s="5" t="s">
        <v>1338</v>
      </c>
      <c r="F1860" s="5" t="s">
        <v>1336</v>
      </c>
      <c r="G1860" s="6" t="s">
        <v>196</v>
      </c>
      <c r="H1860" s="6" t="s">
        <v>68</v>
      </c>
      <c r="I1860" s="6" t="s">
        <v>2226</v>
      </c>
      <c r="J1860" s="6">
        <v>6393</v>
      </c>
      <c r="K1860" s="7" t="s">
        <v>2227</v>
      </c>
      <c r="L1860" s="8">
        <v>216261</v>
      </c>
      <c r="M1860" s="8" t="str">
        <f t="shared" si="152"/>
        <v>PEN</v>
      </c>
      <c r="N1860" s="13"/>
      <c r="O1860" s="13">
        <v>153.54</v>
      </c>
      <c r="P1860" s="3">
        <f t="shared" si="153"/>
        <v>0</v>
      </c>
      <c r="Q1860" s="3">
        <f t="shared" si="154"/>
        <v>153.54</v>
      </c>
      <c r="R1860" s="3">
        <f t="shared" si="150"/>
        <v>32332.459999999995</v>
      </c>
      <c r="S1860" s="24" t="s">
        <v>1334</v>
      </c>
      <c r="T1860" s="24" t="s">
        <v>1334</v>
      </c>
      <c r="U1860" s="53"/>
      <c r="V1860" s="25">
        <f>IFERROR(VLOOKUP(BCP_Soles[[#This Row],[destinatario]],CHOOSE({1,2},Clientes_Proveedores[Razon Social],Clientes_Proveedores[Ruc / Dni]),2,0),"")</f>
        <v>20100055237</v>
      </c>
      <c r="W1860" s="25" t="s">
        <v>2228</v>
      </c>
      <c r="X1860" s="25" t="s">
        <v>3169</v>
      </c>
      <c r="Y1860" s="25"/>
      <c r="Z1860" s="75"/>
      <c r="AA1860" s="3" t="str">
        <f>IF(BCP_Soles[[#This Row],[fecha]]&gt;0,TEXT(BCP_Soles[[#This Row],[fecha]],"mmmm"),0)</f>
        <v>Mayo</v>
      </c>
    </row>
    <row r="1861" spans="1:27" x14ac:dyDescent="0.3">
      <c r="A1861" s="2">
        <f>IF(BCP_Soles[[#This Row],[tipo_registro]]="R",COUNTIFS($C$1:$C1860,"R")+1,A1860)</f>
        <v>1395</v>
      </c>
      <c r="B1861" s="19" t="str">
        <f t="shared" si="151"/>
        <v>B-BCP - Soles</v>
      </c>
      <c r="C1861" s="3" t="s">
        <v>1330</v>
      </c>
      <c r="D1861" s="14">
        <v>45803</v>
      </c>
      <c r="E1861" s="5" t="s">
        <v>1338</v>
      </c>
      <c r="F1861" s="5" t="s">
        <v>1336</v>
      </c>
      <c r="G1861" s="6" t="s">
        <v>196</v>
      </c>
      <c r="H1861" s="6" t="s">
        <v>68</v>
      </c>
      <c r="I1861" s="6" t="s">
        <v>2226</v>
      </c>
      <c r="J1861" s="6">
        <v>6394</v>
      </c>
      <c r="K1861" s="7" t="s">
        <v>2227</v>
      </c>
      <c r="L1861" s="8">
        <v>216731</v>
      </c>
      <c r="M1861" s="8" t="str">
        <f t="shared" si="152"/>
        <v>PEN</v>
      </c>
      <c r="N1861" s="13"/>
      <c r="O1861" s="13">
        <v>280.39999999999998</v>
      </c>
      <c r="P1861" s="3">
        <f t="shared" si="153"/>
        <v>0</v>
      </c>
      <c r="Q1861" s="3">
        <f t="shared" si="154"/>
        <v>280.39999999999998</v>
      </c>
      <c r="R1861" s="3">
        <f t="shared" si="150"/>
        <v>32052.059999999994</v>
      </c>
      <c r="S1861" s="24" t="s">
        <v>1334</v>
      </c>
      <c r="T1861" s="24" t="s">
        <v>1334</v>
      </c>
      <c r="U1861" s="53"/>
      <c r="V1861" s="25">
        <f>IFERROR(VLOOKUP(BCP_Soles[[#This Row],[destinatario]],CHOOSE({1,2},Clientes_Proveedores[Razon Social],Clientes_Proveedores[Ruc / Dni]),2,0),"")</f>
        <v>20100055237</v>
      </c>
      <c r="W1861" s="25" t="s">
        <v>2228</v>
      </c>
      <c r="X1861" s="25" t="s">
        <v>3170</v>
      </c>
      <c r="Y1861" s="25"/>
      <c r="Z1861" s="75"/>
      <c r="AA1861" s="3" t="str">
        <f>IF(BCP_Soles[[#This Row],[fecha]]&gt;0,TEXT(BCP_Soles[[#This Row],[fecha]],"mmmm"),0)</f>
        <v>Mayo</v>
      </c>
    </row>
    <row r="1862" spans="1:27" x14ac:dyDescent="0.3">
      <c r="A1862" s="2">
        <f>IF(BCP_Soles[[#This Row],[tipo_registro]]="R",COUNTIFS($C$1:$C1861,"R")+1,A1861)</f>
        <v>1396</v>
      </c>
      <c r="B1862" s="19" t="str">
        <f t="shared" si="151"/>
        <v>B-BCP - Soles</v>
      </c>
      <c r="C1862" s="3" t="s">
        <v>1330</v>
      </c>
      <c r="D1862" s="14">
        <v>45803</v>
      </c>
      <c r="E1862" s="5" t="s">
        <v>1338</v>
      </c>
      <c r="F1862" s="5" t="s">
        <v>1336</v>
      </c>
      <c r="G1862" s="6" t="s">
        <v>196</v>
      </c>
      <c r="H1862" s="6" t="s">
        <v>68</v>
      </c>
      <c r="I1862" s="6" t="s">
        <v>2226</v>
      </c>
      <c r="J1862" s="6">
        <v>6392</v>
      </c>
      <c r="K1862" s="7" t="s">
        <v>2227</v>
      </c>
      <c r="L1862" s="8">
        <v>216259</v>
      </c>
      <c r="M1862" s="8" t="str">
        <f t="shared" si="152"/>
        <v>PEN</v>
      </c>
      <c r="N1862" s="13"/>
      <c r="O1862" s="13">
        <v>325.32</v>
      </c>
      <c r="P1862" s="3">
        <f t="shared" si="153"/>
        <v>0</v>
      </c>
      <c r="Q1862" s="3">
        <f t="shared" si="154"/>
        <v>325.32</v>
      </c>
      <c r="R1862" s="3">
        <f t="shared" si="150"/>
        <v>31726.739999999994</v>
      </c>
      <c r="S1862" s="24" t="s">
        <v>1334</v>
      </c>
      <c r="T1862" s="24" t="s">
        <v>1334</v>
      </c>
      <c r="U1862" s="53"/>
      <c r="V1862" s="25">
        <f>IFERROR(VLOOKUP(BCP_Soles[[#This Row],[destinatario]],CHOOSE({1,2},Clientes_Proveedores[Razon Social],Clientes_Proveedores[Ruc / Dni]),2,0),"")</f>
        <v>20100055237</v>
      </c>
      <c r="W1862" s="25" t="s">
        <v>2228</v>
      </c>
      <c r="X1862" s="25" t="s">
        <v>3171</v>
      </c>
      <c r="Y1862" s="25"/>
      <c r="Z1862" s="75"/>
      <c r="AA1862" s="3" t="str">
        <f>IF(BCP_Soles[[#This Row],[fecha]]&gt;0,TEXT(BCP_Soles[[#This Row],[fecha]],"mmmm"),0)</f>
        <v>Mayo</v>
      </c>
    </row>
    <row r="1863" spans="1:27" ht="36" x14ac:dyDescent="0.3">
      <c r="A1863" s="2">
        <f>IF(BCP_Soles[[#This Row],[tipo_registro]]="R",COUNTIFS($C$1:$C1862,"R")+1,A1862)</f>
        <v>1397</v>
      </c>
      <c r="B1863" s="19" t="str">
        <f t="shared" si="151"/>
        <v>B-BCP - Soles</v>
      </c>
      <c r="C1863" s="3" t="s">
        <v>1330</v>
      </c>
      <c r="D1863" s="14">
        <v>45803</v>
      </c>
      <c r="E1863" s="5" t="s">
        <v>1338</v>
      </c>
      <c r="F1863" s="5" t="s">
        <v>1336</v>
      </c>
      <c r="G1863" s="6" t="s">
        <v>939</v>
      </c>
      <c r="H1863" s="6" t="s">
        <v>143</v>
      </c>
      <c r="I1863" s="6">
        <v>1</v>
      </c>
      <c r="J1863" s="6">
        <v>292025</v>
      </c>
      <c r="K1863" s="7" t="s">
        <v>3172</v>
      </c>
      <c r="L1863" s="8">
        <v>1136206</v>
      </c>
      <c r="M1863" s="8" t="str">
        <f t="shared" si="152"/>
        <v>PEN</v>
      </c>
      <c r="N1863" s="13"/>
      <c r="O1863" s="13">
        <v>365.7</v>
      </c>
      <c r="P1863" s="3">
        <f t="shared" si="153"/>
        <v>0</v>
      </c>
      <c r="Q1863" s="3">
        <f t="shared" si="154"/>
        <v>365.7</v>
      </c>
      <c r="R1863" s="3">
        <f t="shared" si="150"/>
        <v>31361.039999999994</v>
      </c>
      <c r="S1863" s="24" t="s">
        <v>1334</v>
      </c>
      <c r="T1863" s="24" t="s">
        <v>1334</v>
      </c>
      <c r="U1863" s="53"/>
      <c r="V1863" s="25">
        <f>IFERROR(VLOOKUP(BCP_Soles[[#This Row],[destinatario]],CHOOSE({1,2},Clientes_Proveedores[Razon Social],Clientes_Proveedores[Ruc / Dni]),2,0),"")</f>
        <v>72531546</v>
      </c>
      <c r="W1863" s="25" t="s">
        <v>939</v>
      </c>
      <c r="X1863" s="25" t="s">
        <v>2839</v>
      </c>
      <c r="Y1863" s="25"/>
      <c r="Z1863" s="75"/>
      <c r="AA1863" s="3" t="str">
        <f>IF(BCP_Soles[[#This Row],[fecha]]&gt;0,TEXT(BCP_Soles[[#This Row],[fecha]],"mmmm"),0)</f>
        <v>Mayo</v>
      </c>
    </row>
    <row r="1864" spans="1:27" x14ac:dyDescent="0.3">
      <c r="A1864" s="2">
        <f>IF(BCP_Soles[[#This Row],[tipo_registro]]="R",COUNTIFS($C$1:$C1863,"R")+1,A1863)</f>
        <v>1398</v>
      </c>
      <c r="B1864" s="19" t="str">
        <f t="shared" si="151"/>
        <v>B-BCP - Soles</v>
      </c>
      <c r="C1864" s="3" t="s">
        <v>1330</v>
      </c>
      <c r="D1864" s="14">
        <v>45803</v>
      </c>
      <c r="E1864" s="5" t="s">
        <v>1338</v>
      </c>
      <c r="F1864" s="5" t="s">
        <v>1336</v>
      </c>
      <c r="G1864" s="6" t="s">
        <v>196</v>
      </c>
      <c r="H1864" s="6" t="s">
        <v>68</v>
      </c>
      <c r="I1864" s="6" t="s">
        <v>2226</v>
      </c>
      <c r="J1864" s="6">
        <v>6391</v>
      </c>
      <c r="K1864" s="7" t="s">
        <v>2227</v>
      </c>
      <c r="L1864" s="8">
        <v>219173</v>
      </c>
      <c r="M1864" s="8" t="str">
        <f t="shared" si="152"/>
        <v>PEN</v>
      </c>
      <c r="N1864" s="13"/>
      <c r="O1864" s="13">
        <v>593.55999999999995</v>
      </c>
      <c r="P1864" s="3">
        <f t="shared" si="153"/>
        <v>0</v>
      </c>
      <c r="Q1864" s="3">
        <f t="shared" si="154"/>
        <v>593.55999999999995</v>
      </c>
      <c r="R1864" s="3">
        <f t="shared" si="150"/>
        <v>30767.479999999992</v>
      </c>
      <c r="S1864" s="24" t="s">
        <v>1334</v>
      </c>
      <c r="T1864" s="24" t="s">
        <v>1334</v>
      </c>
      <c r="U1864" s="53"/>
      <c r="V1864" s="25">
        <f>IFERROR(VLOOKUP(BCP_Soles[[#This Row],[destinatario]],CHOOSE({1,2},Clientes_Proveedores[Razon Social],Clientes_Proveedores[Ruc / Dni]),2,0),"")</f>
        <v>20100055237</v>
      </c>
      <c r="W1864" s="25" t="s">
        <v>2228</v>
      </c>
      <c r="X1864" s="25" t="s">
        <v>3173</v>
      </c>
      <c r="Y1864" s="25"/>
      <c r="Z1864" s="75"/>
      <c r="AA1864" s="3" t="str">
        <f>IF(BCP_Soles[[#This Row],[fecha]]&gt;0,TEXT(BCP_Soles[[#This Row],[fecha]],"mmmm"),0)</f>
        <v>Mayo</v>
      </c>
    </row>
    <row r="1865" spans="1:27" x14ac:dyDescent="0.3">
      <c r="A1865" s="2">
        <f>IF(BCP_Soles[[#This Row],[tipo_registro]]="R",COUNTIFS($C$1:$C1864,"R")+1,A1864)</f>
        <v>1399</v>
      </c>
      <c r="B1865" s="19" t="str">
        <f t="shared" si="151"/>
        <v>B-BCP - Soles</v>
      </c>
      <c r="C1865" s="3" t="s">
        <v>1330</v>
      </c>
      <c r="D1865" s="14">
        <v>45803</v>
      </c>
      <c r="E1865" s="5" t="s">
        <v>1338</v>
      </c>
      <c r="F1865" s="5" t="s">
        <v>1336</v>
      </c>
      <c r="G1865" s="6" t="s">
        <v>196</v>
      </c>
      <c r="H1865" s="6" t="s">
        <v>68</v>
      </c>
      <c r="I1865" s="6" t="s">
        <v>2226</v>
      </c>
      <c r="J1865" s="6">
        <v>6395</v>
      </c>
      <c r="K1865" s="7" t="s">
        <v>2227</v>
      </c>
      <c r="L1865" s="8">
        <v>216260</v>
      </c>
      <c r="M1865" s="8" t="str">
        <f t="shared" si="152"/>
        <v>PEN</v>
      </c>
      <c r="N1865" s="13"/>
      <c r="O1865" s="13">
        <v>603.36</v>
      </c>
      <c r="P1865" s="3">
        <f t="shared" si="153"/>
        <v>0</v>
      </c>
      <c r="Q1865" s="3">
        <f t="shared" si="154"/>
        <v>603.36</v>
      </c>
      <c r="R1865" s="3">
        <f t="shared" ref="R1865:R1928" si="155">IFERROR(IF(F1865="SALDO",P1865,R1864+P1865-Q1865),0)</f>
        <v>30164.119999999992</v>
      </c>
      <c r="S1865" s="24" t="s">
        <v>1334</v>
      </c>
      <c r="T1865" s="24" t="s">
        <v>1334</v>
      </c>
      <c r="U1865" s="53"/>
      <c r="V1865" s="25">
        <f>IFERROR(VLOOKUP(BCP_Soles[[#This Row],[destinatario]],CHOOSE({1,2},Clientes_Proveedores[Razon Social],Clientes_Proveedores[Ruc / Dni]),2,0),"")</f>
        <v>20100055237</v>
      </c>
      <c r="W1865" s="25" t="s">
        <v>2228</v>
      </c>
      <c r="X1865" s="25" t="s">
        <v>3174</v>
      </c>
      <c r="Y1865" s="25"/>
      <c r="Z1865" s="75"/>
      <c r="AA1865" s="3" t="str">
        <f>IF(BCP_Soles[[#This Row],[fecha]]&gt;0,TEXT(BCP_Soles[[#This Row],[fecha]],"mmmm"),0)</f>
        <v>Mayo</v>
      </c>
    </row>
    <row r="1866" spans="1:27" x14ac:dyDescent="0.3">
      <c r="A1866" s="2">
        <f>IF(BCP_Soles[[#This Row],[tipo_registro]]="R",COUNTIFS($C$1:$C1865,"R")+1,A1865)</f>
        <v>1400</v>
      </c>
      <c r="B1866" s="19" t="str">
        <f t="shared" si="151"/>
        <v>B-BCP - Soles</v>
      </c>
      <c r="C1866" s="3" t="s">
        <v>1330</v>
      </c>
      <c r="D1866" s="14">
        <v>45803</v>
      </c>
      <c r="E1866" s="5" t="s">
        <v>1338</v>
      </c>
      <c r="F1866" s="5" t="s">
        <v>1336</v>
      </c>
      <c r="G1866" s="6" t="s">
        <v>695</v>
      </c>
      <c r="H1866" s="6" t="s">
        <v>68</v>
      </c>
      <c r="I1866" s="6" t="s">
        <v>1513</v>
      </c>
      <c r="J1866" s="6">
        <v>162950</v>
      </c>
      <c r="K1866" s="7" t="s">
        <v>1378</v>
      </c>
      <c r="L1866" s="8">
        <v>217225</v>
      </c>
      <c r="M1866" s="8" t="str">
        <f t="shared" si="152"/>
        <v>PEN</v>
      </c>
      <c r="N1866" s="13"/>
      <c r="O1866" s="13">
        <v>957.61</v>
      </c>
      <c r="P1866" s="3">
        <f t="shared" si="153"/>
        <v>0</v>
      </c>
      <c r="Q1866" s="3">
        <f t="shared" si="154"/>
        <v>957.61</v>
      </c>
      <c r="R1866" s="3">
        <f t="shared" si="155"/>
        <v>29206.509999999991</v>
      </c>
      <c r="S1866" s="24" t="s">
        <v>1334</v>
      </c>
      <c r="T1866" s="24" t="s">
        <v>1334</v>
      </c>
      <c r="U1866" s="53"/>
      <c r="V1866" s="25">
        <f>IFERROR(VLOOKUP(BCP_Soles[[#This Row],[destinatario]],CHOOSE({1,2},Clientes_Proveedores[Razon Social],Clientes_Proveedores[Ruc / Dni]),2,0),"")</f>
        <v>20127765279</v>
      </c>
      <c r="W1866" s="25" t="s">
        <v>1379</v>
      </c>
      <c r="X1866" s="25" t="s">
        <v>3175</v>
      </c>
      <c r="Y1866" s="25"/>
      <c r="Z1866" s="75"/>
      <c r="AA1866" s="3" t="str">
        <f>IF(BCP_Soles[[#This Row],[fecha]]&gt;0,TEXT(BCP_Soles[[#This Row],[fecha]],"mmmm"),0)</f>
        <v>Mayo</v>
      </c>
    </row>
    <row r="1867" spans="1:27" x14ac:dyDescent="0.3">
      <c r="A1867" s="2">
        <f>IF(BCP_Soles[[#This Row],[tipo_registro]]="R",COUNTIFS($C$1:$C1866,"R")+1,A1866)</f>
        <v>1401</v>
      </c>
      <c r="B1867" s="19" t="str">
        <f t="shared" si="151"/>
        <v>B-BCP - Soles</v>
      </c>
      <c r="C1867" s="3" t="s">
        <v>1330</v>
      </c>
      <c r="D1867" s="14">
        <v>45803</v>
      </c>
      <c r="E1867" s="5" t="s">
        <v>1338</v>
      </c>
      <c r="F1867" s="5" t="s">
        <v>1336</v>
      </c>
      <c r="G1867" s="6" t="s">
        <v>695</v>
      </c>
      <c r="H1867" s="6" t="s">
        <v>68</v>
      </c>
      <c r="I1867" s="6" t="s">
        <v>1377</v>
      </c>
      <c r="J1867" s="6">
        <v>164008</v>
      </c>
      <c r="K1867" s="7" t="s">
        <v>1378</v>
      </c>
      <c r="L1867" s="8">
        <v>218679</v>
      </c>
      <c r="M1867" s="8" t="str">
        <f t="shared" si="152"/>
        <v>PEN</v>
      </c>
      <c r="N1867" s="13"/>
      <c r="O1867" s="13">
        <v>1220.83</v>
      </c>
      <c r="P1867" s="3">
        <f t="shared" si="153"/>
        <v>0</v>
      </c>
      <c r="Q1867" s="3">
        <f t="shared" si="154"/>
        <v>1220.83</v>
      </c>
      <c r="R1867" s="3">
        <f t="shared" si="155"/>
        <v>27985.679999999993</v>
      </c>
      <c r="S1867" s="24" t="s">
        <v>1334</v>
      </c>
      <c r="T1867" s="24" t="s">
        <v>1334</v>
      </c>
      <c r="U1867" s="53"/>
      <c r="V1867" s="25">
        <f>IFERROR(VLOOKUP(BCP_Soles[[#This Row],[destinatario]],CHOOSE({1,2},Clientes_Proveedores[Razon Social],Clientes_Proveedores[Ruc / Dni]),2,0),"")</f>
        <v>20127765279</v>
      </c>
      <c r="W1867" s="25" t="s">
        <v>1379</v>
      </c>
      <c r="X1867" s="25" t="s">
        <v>3176</v>
      </c>
      <c r="Y1867" s="25"/>
      <c r="Z1867" s="75"/>
      <c r="AA1867" s="3" t="str">
        <f>IF(BCP_Soles[[#This Row],[fecha]]&gt;0,TEXT(BCP_Soles[[#This Row],[fecha]],"mmmm"),0)</f>
        <v>Mayo</v>
      </c>
    </row>
    <row r="1868" spans="1:27" x14ac:dyDescent="0.3">
      <c r="A1868" s="2">
        <f>IF(BCP_Soles[[#This Row],[tipo_registro]]="R",COUNTIFS($C$1:$C1867,"R")+1,A1867)</f>
        <v>1402</v>
      </c>
      <c r="B1868" s="19" t="str">
        <f t="shared" si="151"/>
        <v>B-BCP - Soles</v>
      </c>
      <c r="C1868" s="3" t="s">
        <v>1330</v>
      </c>
      <c r="D1868" s="14">
        <v>45803</v>
      </c>
      <c r="E1868" s="5" t="s">
        <v>1335</v>
      </c>
      <c r="F1868" s="5" t="s">
        <v>1336</v>
      </c>
      <c r="G1868" s="6"/>
      <c r="H1868" s="6"/>
      <c r="I1868" s="6"/>
      <c r="J1868" s="6"/>
      <c r="K1868" s="7" t="s">
        <v>3160</v>
      </c>
      <c r="L1868" s="8"/>
      <c r="M1868" s="8" t="str">
        <f t="shared" si="152"/>
        <v>PEN</v>
      </c>
      <c r="N1868" s="13"/>
      <c r="O1868" s="13">
        <v>0.75</v>
      </c>
      <c r="P1868" s="3">
        <f t="shared" si="153"/>
        <v>0</v>
      </c>
      <c r="Q1868" s="3">
        <f t="shared" si="154"/>
        <v>0.75</v>
      </c>
      <c r="R1868" s="3">
        <f t="shared" si="155"/>
        <v>27984.929999999993</v>
      </c>
      <c r="S1868" s="24"/>
      <c r="T1868" s="24" t="s">
        <v>1334</v>
      </c>
      <c r="U1868" s="53"/>
      <c r="V1868" s="25" t="str">
        <f>IFERROR(VLOOKUP(BCP_Soles[[#This Row],[destinatario]],CHOOSE({1,2},Clientes_Proveedores[Razon Social],Clientes_Proveedores[Ruc / Dni]),2,0),"")</f>
        <v/>
      </c>
      <c r="W1868" s="25"/>
      <c r="X1868" s="25"/>
      <c r="Y1868" s="25"/>
      <c r="Z1868" s="75"/>
      <c r="AA1868" s="3" t="str">
        <f>IF(BCP_Soles[[#This Row],[fecha]]&gt;0,TEXT(BCP_Soles[[#This Row],[fecha]],"mmmm"),0)</f>
        <v>Mayo</v>
      </c>
    </row>
    <row r="1869" spans="1:27" ht="24" x14ac:dyDescent="0.3">
      <c r="A1869" s="2">
        <f>IF(BCP_Soles[[#This Row],[tipo_registro]]="R",COUNTIFS($C$1:$C1868,"R")+1,A1868)</f>
        <v>1403</v>
      </c>
      <c r="B1869" s="19" t="str">
        <f t="shared" si="151"/>
        <v>B-BCP - Soles</v>
      </c>
      <c r="C1869" s="3" t="s">
        <v>1330</v>
      </c>
      <c r="D1869" s="14">
        <v>45804</v>
      </c>
      <c r="E1869" s="5" t="s">
        <v>3148</v>
      </c>
      <c r="F1869" s="5" t="s">
        <v>1303</v>
      </c>
      <c r="G1869" s="6" t="s">
        <v>425</v>
      </c>
      <c r="H1869" s="6" t="s">
        <v>119</v>
      </c>
      <c r="I1869" s="6">
        <v>1</v>
      </c>
      <c r="J1869" s="6">
        <v>4435</v>
      </c>
      <c r="K1869" s="7" t="s">
        <v>1356</v>
      </c>
      <c r="L1869" s="8">
        <v>1198956</v>
      </c>
      <c r="M1869" s="8" t="str">
        <f t="shared" si="152"/>
        <v>PEN</v>
      </c>
      <c r="N1869" s="13"/>
      <c r="O1869" s="13">
        <v>7810</v>
      </c>
      <c r="P1869" s="3">
        <f t="shared" si="153"/>
        <v>7810</v>
      </c>
      <c r="Q1869" s="3">
        <f t="shared" si="154"/>
        <v>0</v>
      </c>
      <c r="R1869" s="3">
        <f t="shared" si="155"/>
        <v>35794.929999999993</v>
      </c>
      <c r="S1869" s="24" t="s">
        <v>1334</v>
      </c>
      <c r="T1869" s="24" t="s">
        <v>1334</v>
      </c>
      <c r="U1869" s="53"/>
      <c r="V1869" s="25">
        <f>IFERROR(VLOOKUP(BCP_Soles[[#This Row],[destinatario]],CHOOSE({1,2},Clientes_Proveedores[Razon Social],Clientes_Proveedores[Ruc / Dni]),2,0),"")</f>
        <v>20558226979</v>
      </c>
      <c r="W1869" s="25" t="s">
        <v>1345</v>
      </c>
      <c r="X1869" s="25" t="s">
        <v>3177</v>
      </c>
      <c r="Y1869" s="25"/>
      <c r="Z1869" s="75"/>
      <c r="AA1869" s="3" t="str">
        <f>IF(BCP_Soles[[#This Row],[fecha]]&gt;0,TEXT(BCP_Soles[[#This Row],[fecha]],"mmmm"),0)</f>
        <v>Mayo</v>
      </c>
    </row>
    <row r="1870" spans="1:27" ht="36" x14ac:dyDescent="0.3">
      <c r="A1870" s="2">
        <f>IF(BCP_Soles[[#This Row],[tipo_registro]]="R",COUNTIFS($C$1:$C1869,"R")+1,A1869)</f>
        <v>1404</v>
      </c>
      <c r="B1870" s="19" t="str">
        <f t="shared" si="151"/>
        <v>B-BCP - Soles</v>
      </c>
      <c r="C1870" s="3" t="s">
        <v>1330</v>
      </c>
      <c r="D1870" s="14">
        <v>45804</v>
      </c>
      <c r="E1870" s="5" t="s">
        <v>660</v>
      </c>
      <c r="F1870" s="5" t="s">
        <v>1303</v>
      </c>
      <c r="G1870" s="6" t="s">
        <v>425</v>
      </c>
      <c r="H1870" s="6"/>
      <c r="I1870" s="6"/>
      <c r="J1870" s="6"/>
      <c r="K1870" s="7" t="s">
        <v>1356</v>
      </c>
      <c r="L1870" s="8">
        <v>961897</v>
      </c>
      <c r="M1870" s="8" t="str">
        <f t="shared" si="152"/>
        <v>PEN</v>
      </c>
      <c r="N1870" s="13"/>
      <c r="O1870" s="13">
        <v>619.5</v>
      </c>
      <c r="P1870" s="3">
        <f t="shared" si="153"/>
        <v>619.5</v>
      </c>
      <c r="Q1870" s="3">
        <f t="shared" si="154"/>
        <v>0</v>
      </c>
      <c r="R1870" s="3">
        <f t="shared" si="155"/>
        <v>36414.429999999993</v>
      </c>
      <c r="S1870" s="24" t="s">
        <v>1334</v>
      </c>
      <c r="T1870" s="24" t="s">
        <v>1334</v>
      </c>
      <c r="U1870" s="53"/>
      <c r="V1870" s="25">
        <f>IFERROR(VLOOKUP(BCP_Soles[[#This Row],[destinatario]],CHOOSE({1,2},Clientes_Proveedores[Razon Social],Clientes_Proveedores[Ruc / Dni]),2,0),"")</f>
        <v>20558226979</v>
      </c>
      <c r="W1870" s="25" t="s">
        <v>1345</v>
      </c>
      <c r="X1870" s="25" t="s">
        <v>3178</v>
      </c>
      <c r="Y1870" s="25"/>
      <c r="Z1870" s="75"/>
      <c r="AA1870" s="3" t="str">
        <f>IF(BCP_Soles[[#This Row],[fecha]]&gt;0,TEXT(BCP_Soles[[#This Row],[fecha]],"mmmm"),0)</f>
        <v>Mayo</v>
      </c>
    </row>
    <row r="1871" spans="1:27" ht="36" x14ac:dyDescent="0.3">
      <c r="A1871" s="2">
        <f>IF(BCP_Soles[[#This Row],[tipo_registro]]="R",COUNTIFS($C$1:$C1870,"R")+1,A1870)</f>
        <v>1405</v>
      </c>
      <c r="B1871" s="19" t="str">
        <f t="shared" si="151"/>
        <v>B-BCP - Soles</v>
      </c>
      <c r="C1871" s="3" t="s">
        <v>1330</v>
      </c>
      <c r="D1871" s="14">
        <v>45804</v>
      </c>
      <c r="E1871" s="5" t="s">
        <v>237</v>
      </c>
      <c r="F1871" s="5" t="s">
        <v>1303</v>
      </c>
      <c r="G1871" s="6" t="s">
        <v>425</v>
      </c>
      <c r="H1871" s="6"/>
      <c r="I1871" s="6"/>
      <c r="J1871" s="6"/>
      <c r="K1871" s="7" t="s">
        <v>3179</v>
      </c>
      <c r="L1871" s="8">
        <v>465148</v>
      </c>
      <c r="M1871" s="8" t="str">
        <f t="shared" si="152"/>
        <v>PEN</v>
      </c>
      <c r="N1871" s="13"/>
      <c r="O1871" s="13">
        <v>3222.54</v>
      </c>
      <c r="P1871" s="3">
        <f t="shared" si="153"/>
        <v>3222.54</v>
      </c>
      <c r="Q1871" s="3">
        <f t="shared" si="154"/>
        <v>0</v>
      </c>
      <c r="R1871" s="3">
        <f t="shared" si="155"/>
        <v>39636.969999999994</v>
      </c>
      <c r="S1871" s="24" t="s">
        <v>1334</v>
      </c>
      <c r="T1871" s="24" t="s">
        <v>1334</v>
      </c>
      <c r="U1871" s="53"/>
      <c r="V1871" s="25">
        <f>IFERROR(VLOOKUP(BCP_Soles[[#This Row],[destinatario]],CHOOSE({1,2},Clientes_Proveedores[Razon Social],Clientes_Proveedores[Ruc / Dni]),2,0),"")</f>
        <v>20558226979</v>
      </c>
      <c r="W1871" s="25" t="s">
        <v>1345</v>
      </c>
      <c r="X1871" s="25" t="s">
        <v>3180</v>
      </c>
      <c r="Y1871" s="25"/>
      <c r="Z1871" s="75"/>
      <c r="AA1871" s="3" t="str">
        <f>IF(BCP_Soles[[#This Row],[fecha]]&gt;0,TEXT(BCP_Soles[[#This Row],[fecha]],"mmmm"),0)</f>
        <v>Mayo</v>
      </c>
    </row>
    <row r="1872" spans="1:27" ht="24" x14ac:dyDescent="0.3">
      <c r="A1872" s="2">
        <f>IF(BCP_Soles[[#This Row],[tipo_registro]]="R",COUNTIFS($C$1:$C1871,"R")+1,A1871)</f>
        <v>1406</v>
      </c>
      <c r="B1872" s="19" t="str">
        <f t="shared" si="151"/>
        <v>B-BCP - Soles</v>
      </c>
      <c r="C1872" s="3" t="s">
        <v>1330</v>
      </c>
      <c r="D1872" s="14">
        <v>45804</v>
      </c>
      <c r="E1872" s="5" t="s">
        <v>2205</v>
      </c>
      <c r="F1872" s="5" t="s">
        <v>1303</v>
      </c>
      <c r="G1872" s="6" t="s">
        <v>425</v>
      </c>
      <c r="H1872" s="6" t="s">
        <v>119</v>
      </c>
      <c r="I1872" s="6">
        <v>1</v>
      </c>
      <c r="J1872" s="6">
        <v>4440</v>
      </c>
      <c r="K1872" s="7" t="s">
        <v>1356</v>
      </c>
      <c r="L1872" s="8">
        <v>2748732</v>
      </c>
      <c r="M1872" s="8" t="str">
        <f t="shared" si="152"/>
        <v>PEN</v>
      </c>
      <c r="N1872" s="13"/>
      <c r="O1872" s="13">
        <v>2253</v>
      </c>
      <c r="P1872" s="3">
        <f t="shared" si="153"/>
        <v>2253</v>
      </c>
      <c r="Q1872" s="3">
        <f t="shared" si="154"/>
        <v>0</v>
      </c>
      <c r="R1872" s="3">
        <f t="shared" si="155"/>
        <v>41889.969999999994</v>
      </c>
      <c r="S1872" s="24" t="s">
        <v>1334</v>
      </c>
      <c r="T1872" s="24" t="s">
        <v>1334</v>
      </c>
      <c r="U1872" s="53"/>
      <c r="V1872" s="25">
        <f>IFERROR(VLOOKUP(BCP_Soles[[#This Row],[destinatario]],CHOOSE({1,2},Clientes_Proveedores[Razon Social],Clientes_Proveedores[Ruc / Dni]),2,0),"")</f>
        <v>20558226979</v>
      </c>
      <c r="W1872" s="25" t="s">
        <v>1345</v>
      </c>
      <c r="X1872" s="25" t="s">
        <v>3181</v>
      </c>
      <c r="Y1872" s="25"/>
      <c r="Z1872" s="75"/>
      <c r="AA1872" s="3" t="str">
        <f>IF(BCP_Soles[[#This Row],[fecha]]&gt;0,TEXT(BCP_Soles[[#This Row],[fecha]],"mmmm"),0)</f>
        <v>Mayo</v>
      </c>
    </row>
    <row r="1873" spans="1:27" x14ac:dyDescent="0.3">
      <c r="A1873" s="2">
        <f>IF(BCP_Soles[[#This Row],[tipo_registro]]="R",COUNTIFS($C$1:$C1872,"R")+1,A1872)</f>
        <v>1407</v>
      </c>
      <c r="B1873" s="19" t="str">
        <f t="shared" si="151"/>
        <v>B-BCP - Soles</v>
      </c>
      <c r="C1873" s="3" t="s">
        <v>1330</v>
      </c>
      <c r="D1873" s="14">
        <v>45804</v>
      </c>
      <c r="E1873" s="5" t="s">
        <v>1338</v>
      </c>
      <c r="F1873" s="5" t="s">
        <v>1336</v>
      </c>
      <c r="G1873" s="6" t="s">
        <v>196</v>
      </c>
      <c r="H1873" s="6" t="s">
        <v>68</v>
      </c>
      <c r="I1873" s="6" t="s">
        <v>2226</v>
      </c>
      <c r="J1873" s="6">
        <v>6390</v>
      </c>
      <c r="K1873" s="7" t="s">
        <v>2227</v>
      </c>
      <c r="L1873" s="8">
        <v>221255</v>
      </c>
      <c r="M1873" s="8" t="str">
        <f t="shared" si="152"/>
        <v>PEN</v>
      </c>
      <c r="N1873" s="13"/>
      <c r="O1873" s="13">
        <v>21.96</v>
      </c>
      <c r="P1873" s="3">
        <f t="shared" si="153"/>
        <v>0</v>
      </c>
      <c r="Q1873" s="3">
        <f t="shared" si="154"/>
        <v>21.96</v>
      </c>
      <c r="R1873" s="3">
        <f t="shared" si="155"/>
        <v>41868.009999999995</v>
      </c>
      <c r="S1873" s="24" t="s">
        <v>1334</v>
      </c>
      <c r="T1873" s="24" t="s">
        <v>1334</v>
      </c>
      <c r="U1873" s="53"/>
      <c r="V1873" s="25">
        <f>IFERROR(VLOOKUP(BCP_Soles[[#This Row],[destinatario]],CHOOSE({1,2},Clientes_Proveedores[Razon Social],Clientes_Proveedores[Ruc / Dni]),2,0),"")</f>
        <v>20100055237</v>
      </c>
      <c r="W1873" s="25" t="s">
        <v>2228</v>
      </c>
      <c r="X1873" s="25" t="s">
        <v>3182</v>
      </c>
      <c r="Y1873" s="25"/>
      <c r="Z1873" s="75"/>
      <c r="AA1873" s="3" t="str">
        <f>IF(BCP_Soles[[#This Row],[fecha]]&gt;0,TEXT(BCP_Soles[[#This Row],[fecha]],"mmmm"),0)</f>
        <v>Mayo</v>
      </c>
    </row>
    <row r="1874" spans="1:27" ht="24" x14ac:dyDescent="0.3">
      <c r="A1874" s="2">
        <f>IF(BCP_Soles[[#This Row],[tipo_registro]]="R",COUNTIFS($C$1:$C1873,"R")+1,A1873)</f>
        <v>1408</v>
      </c>
      <c r="B1874" s="19" t="str">
        <f t="shared" si="151"/>
        <v>B-BCP - Soles</v>
      </c>
      <c r="C1874" s="3" t="s">
        <v>1330</v>
      </c>
      <c r="D1874" s="14">
        <v>45804</v>
      </c>
      <c r="E1874" s="5" t="s">
        <v>1338</v>
      </c>
      <c r="F1874" s="5" t="s">
        <v>1336</v>
      </c>
      <c r="G1874" s="6" t="s">
        <v>736</v>
      </c>
      <c r="H1874" s="6" t="s">
        <v>68</v>
      </c>
      <c r="I1874" s="6" t="s">
        <v>1374</v>
      </c>
      <c r="J1874" s="6">
        <v>15</v>
      </c>
      <c r="K1874" s="7" t="s">
        <v>3183</v>
      </c>
      <c r="L1874" s="8">
        <v>1220765</v>
      </c>
      <c r="M1874" s="8" t="str">
        <f t="shared" si="152"/>
        <v>PEN</v>
      </c>
      <c r="N1874" s="13"/>
      <c r="O1874" s="13">
        <v>600</v>
      </c>
      <c r="P1874" s="3">
        <f t="shared" si="153"/>
        <v>0</v>
      </c>
      <c r="Q1874" s="3">
        <f t="shared" si="154"/>
        <v>600</v>
      </c>
      <c r="R1874" s="3">
        <f t="shared" si="155"/>
        <v>41268.009999999995</v>
      </c>
      <c r="S1874" s="24" t="s">
        <v>1334</v>
      </c>
      <c r="T1874" s="24" t="s">
        <v>1334</v>
      </c>
      <c r="U1874" s="53"/>
      <c r="V1874" s="25">
        <f>IFERROR(VLOOKUP(BCP_Soles[[#This Row],[destinatario]],CHOOSE({1,2},Clientes_Proveedores[Razon Social],Clientes_Proveedores[Ruc / Dni]),2,0),"")</f>
        <v>10488566038</v>
      </c>
      <c r="W1874" s="25" t="s">
        <v>736</v>
      </c>
      <c r="X1874" s="25" t="s">
        <v>3184</v>
      </c>
      <c r="Y1874" s="25"/>
      <c r="Z1874" s="75"/>
      <c r="AA1874" s="3" t="str">
        <f>IF(BCP_Soles[[#This Row],[fecha]]&gt;0,TEXT(BCP_Soles[[#This Row],[fecha]],"mmmm"),0)</f>
        <v>Mayo</v>
      </c>
    </row>
    <row r="1875" spans="1:27" ht="36" x14ac:dyDescent="0.3">
      <c r="A1875" s="2">
        <f>IF(BCP_Soles[[#This Row],[tipo_registro]]="R",COUNTIFS($C$1:$C1874,"R")+1,A1874)</f>
        <v>1409</v>
      </c>
      <c r="B1875" s="19" t="str">
        <f t="shared" si="151"/>
        <v>B-BCP - Soles</v>
      </c>
      <c r="C1875" s="3" t="s">
        <v>1330</v>
      </c>
      <c r="D1875" s="14">
        <v>45804</v>
      </c>
      <c r="E1875" s="5" t="s">
        <v>1338</v>
      </c>
      <c r="F1875" s="5" t="s">
        <v>1336</v>
      </c>
      <c r="G1875" s="6" t="s">
        <v>747</v>
      </c>
      <c r="H1875" s="6" t="s">
        <v>72</v>
      </c>
      <c r="I1875" s="6"/>
      <c r="J1875" s="6"/>
      <c r="K1875" s="7" t="s">
        <v>3185</v>
      </c>
      <c r="L1875" s="8">
        <v>1221256</v>
      </c>
      <c r="M1875" s="8" t="str">
        <f t="shared" si="152"/>
        <v>PEN</v>
      </c>
      <c r="N1875" s="13"/>
      <c r="O1875" s="13">
        <v>600</v>
      </c>
      <c r="P1875" s="3">
        <f t="shared" si="153"/>
        <v>0</v>
      </c>
      <c r="Q1875" s="3">
        <f t="shared" si="154"/>
        <v>600</v>
      </c>
      <c r="R1875" s="3">
        <f t="shared" si="155"/>
        <v>40668.009999999995</v>
      </c>
      <c r="S1875" s="24" t="s">
        <v>1334</v>
      </c>
      <c r="T1875" s="24" t="s">
        <v>1334</v>
      </c>
      <c r="U1875" s="53"/>
      <c r="V1875" s="25">
        <f>IFERROR(VLOOKUP(BCP_Soles[[#This Row],[destinatario]],CHOOSE({1,2},Clientes_Proveedores[Razon Social],Clientes_Proveedores[Ruc / Dni]),2,0),"")</f>
        <v>10446328129</v>
      </c>
      <c r="W1875" s="25" t="s">
        <v>1684</v>
      </c>
      <c r="X1875" s="25" t="s">
        <v>3186</v>
      </c>
      <c r="Y1875" s="25"/>
      <c r="Z1875" s="75"/>
      <c r="AA1875" s="3" t="str">
        <f>IF(BCP_Soles[[#This Row],[fecha]]&gt;0,TEXT(BCP_Soles[[#This Row],[fecha]],"mmmm"),0)</f>
        <v>Mayo</v>
      </c>
    </row>
    <row r="1876" spans="1:27" ht="36" x14ac:dyDescent="0.3">
      <c r="A1876" s="2">
        <f>IF(BCP_Soles[[#This Row],[tipo_registro]]="R",COUNTIFS($C$1:$C1875,"R")+1,A1875)</f>
        <v>1409</v>
      </c>
      <c r="B1876" s="19" t="str">
        <f t="shared" si="151"/>
        <v>B-BCP - Soles</v>
      </c>
      <c r="C1876" s="3" t="s">
        <v>1352</v>
      </c>
      <c r="D1876" s="14">
        <v>45804</v>
      </c>
      <c r="E1876" s="5" t="s">
        <v>1338</v>
      </c>
      <c r="F1876" s="5"/>
      <c r="G1876" s="6" t="s">
        <v>747</v>
      </c>
      <c r="H1876" s="6" t="s">
        <v>72</v>
      </c>
      <c r="I1876" s="6" t="s">
        <v>1376</v>
      </c>
      <c r="J1876" s="6">
        <v>29</v>
      </c>
      <c r="K1876" s="7" t="s">
        <v>3185</v>
      </c>
      <c r="L1876" s="8">
        <v>1221256</v>
      </c>
      <c r="M1876" s="8" t="str">
        <f t="shared" si="152"/>
        <v>PEN</v>
      </c>
      <c r="N1876" s="13">
        <v>200</v>
      </c>
      <c r="O1876" s="13"/>
      <c r="P1876" s="3">
        <f t="shared" si="153"/>
        <v>0</v>
      </c>
      <c r="Q1876" s="3">
        <f t="shared" si="154"/>
        <v>0</v>
      </c>
      <c r="R1876" s="3">
        <f t="shared" si="155"/>
        <v>40668.009999999995</v>
      </c>
      <c r="S1876" s="24"/>
      <c r="T1876" s="24" t="s">
        <v>1334</v>
      </c>
      <c r="U1876" s="53"/>
      <c r="V1876" s="25">
        <f>IFERROR(VLOOKUP(BCP_Soles[[#This Row],[destinatario]],CHOOSE({1,2},Clientes_Proveedores[Razon Social],Clientes_Proveedores[Ruc / Dni]),2,0),"")</f>
        <v>10446328129</v>
      </c>
      <c r="W1876" s="25"/>
      <c r="X1876" s="25"/>
      <c r="Y1876" s="25"/>
      <c r="Z1876" s="75"/>
      <c r="AA1876" s="3" t="str">
        <f>IF(BCP_Soles[[#This Row],[fecha]]&gt;0,TEXT(BCP_Soles[[#This Row],[fecha]],"mmmm"),0)</f>
        <v>Mayo</v>
      </c>
    </row>
    <row r="1877" spans="1:27" ht="36" x14ac:dyDescent="0.3">
      <c r="A1877" s="2">
        <f>IF(BCP_Soles[[#This Row],[tipo_registro]]="R",COUNTIFS($C$1:$C1876,"R")+1,A1876)</f>
        <v>1409</v>
      </c>
      <c r="B1877" s="19" t="str">
        <f t="shared" si="151"/>
        <v>B-BCP - Soles</v>
      </c>
      <c r="C1877" s="3" t="s">
        <v>1352</v>
      </c>
      <c r="D1877" s="14">
        <v>45804</v>
      </c>
      <c r="E1877" s="5" t="s">
        <v>1338</v>
      </c>
      <c r="F1877" s="5"/>
      <c r="G1877" s="6" t="s">
        <v>747</v>
      </c>
      <c r="H1877" s="6" t="s">
        <v>72</v>
      </c>
      <c r="I1877" s="6" t="s">
        <v>1376</v>
      </c>
      <c r="J1877" s="6">
        <v>30</v>
      </c>
      <c r="K1877" s="7" t="s">
        <v>3185</v>
      </c>
      <c r="L1877" s="8">
        <v>1221256</v>
      </c>
      <c r="M1877" s="8" t="str">
        <f t="shared" si="152"/>
        <v>PEN</v>
      </c>
      <c r="N1877" s="13">
        <v>200</v>
      </c>
      <c r="O1877" s="13"/>
      <c r="P1877" s="3">
        <f t="shared" si="153"/>
        <v>0</v>
      </c>
      <c r="Q1877" s="3">
        <f t="shared" si="154"/>
        <v>0</v>
      </c>
      <c r="R1877" s="3">
        <f t="shared" si="155"/>
        <v>40668.009999999995</v>
      </c>
      <c r="S1877" s="24"/>
      <c r="T1877" s="24" t="s">
        <v>1334</v>
      </c>
      <c r="U1877" s="53"/>
      <c r="V1877" s="25">
        <f>IFERROR(VLOOKUP(BCP_Soles[[#This Row],[destinatario]],CHOOSE({1,2},Clientes_Proveedores[Razon Social],Clientes_Proveedores[Ruc / Dni]),2,0),"")</f>
        <v>10446328129</v>
      </c>
      <c r="W1877" s="25"/>
      <c r="X1877" s="25"/>
      <c r="Y1877" s="25"/>
      <c r="Z1877" s="75"/>
      <c r="AA1877" s="3" t="str">
        <f>IF(BCP_Soles[[#This Row],[fecha]]&gt;0,TEXT(BCP_Soles[[#This Row],[fecha]],"mmmm"),0)</f>
        <v>Mayo</v>
      </c>
    </row>
    <row r="1878" spans="1:27" ht="36" x14ac:dyDescent="0.3">
      <c r="A1878" s="2">
        <f>IF(BCP_Soles[[#This Row],[tipo_registro]]="R",COUNTIFS($C$1:$C1877,"R")+1,A1877)</f>
        <v>1409</v>
      </c>
      <c r="B1878" s="19" t="str">
        <f t="shared" ref="B1878:B1941" si="156">"B-BCP - Soles"</f>
        <v>B-BCP - Soles</v>
      </c>
      <c r="C1878" s="3" t="s">
        <v>1352</v>
      </c>
      <c r="D1878" s="14">
        <v>45804</v>
      </c>
      <c r="E1878" s="5" t="s">
        <v>1338</v>
      </c>
      <c r="F1878" s="5"/>
      <c r="G1878" s="6" t="s">
        <v>747</v>
      </c>
      <c r="H1878" s="6" t="s">
        <v>72</v>
      </c>
      <c r="I1878" s="6" t="s">
        <v>1376</v>
      </c>
      <c r="J1878" s="6">
        <v>31</v>
      </c>
      <c r="K1878" s="7" t="s">
        <v>3185</v>
      </c>
      <c r="L1878" s="8">
        <v>1221256</v>
      </c>
      <c r="M1878" s="8" t="str">
        <f t="shared" ref="M1878:M1941" si="157">"PEN"</f>
        <v>PEN</v>
      </c>
      <c r="N1878" s="13">
        <v>200</v>
      </c>
      <c r="O1878" s="13"/>
      <c r="P1878" s="3">
        <f t="shared" ref="P1878:P1941" si="158">+IF(OR($F1878="SALDO",$F1878="INGRESO"),$O1878,0)</f>
        <v>0</v>
      </c>
      <c r="Q1878" s="3">
        <f t="shared" ref="Q1878:Q1941" si="159">+IF($F1878="EGRESO",$O1878,0)</f>
        <v>0</v>
      </c>
      <c r="R1878" s="3">
        <f t="shared" si="155"/>
        <v>40668.009999999995</v>
      </c>
      <c r="S1878" s="24"/>
      <c r="T1878" s="24" t="s">
        <v>1334</v>
      </c>
      <c r="U1878" s="53"/>
      <c r="V1878" s="25">
        <f>IFERROR(VLOOKUP(BCP_Soles[[#This Row],[destinatario]],CHOOSE({1,2},Clientes_Proveedores[Razon Social],Clientes_Proveedores[Ruc / Dni]),2,0),"")</f>
        <v>10446328129</v>
      </c>
      <c r="W1878" s="25"/>
      <c r="X1878" s="25"/>
      <c r="Y1878" s="25"/>
      <c r="Z1878" s="75"/>
      <c r="AA1878" s="3" t="str">
        <f>IF(BCP_Soles[[#This Row],[fecha]]&gt;0,TEXT(BCP_Soles[[#This Row],[fecha]],"mmmm"),0)</f>
        <v>Mayo</v>
      </c>
    </row>
    <row r="1879" spans="1:27" ht="36" x14ac:dyDescent="0.3">
      <c r="A1879" s="2">
        <f>IF(BCP_Soles[[#This Row],[tipo_registro]]="R",COUNTIFS($C$1:$C1878,"R")+1,A1878)</f>
        <v>1410</v>
      </c>
      <c r="B1879" s="19" t="str">
        <f t="shared" si="156"/>
        <v>B-BCP - Soles</v>
      </c>
      <c r="C1879" s="3" t="s">
        <v>1330</v>
      </c>
      <c r="D1879" s="14">
        <v>45804</v>
      </c>
      <c r="E1879" s="5" t="s">
        <v>1338</v>
      </c>
      <c r="F1879" s="5" t="s">
        <v>1336</v>
      </c>
      <c r="G1879" s="6" t="s">
        <v>497</v>
      </c>
      <c r="H1879" s="6" t="s">
        <v>68</v>
      </c>
      <c r="I1879" s="6" t="s">
        <v>1390</v>
      </c>
      <c r="J1879" s="6">
        <v>19575</v>
      </c>
      <c r="K1879" s="7" t="s">
        <v>3187</v>
      </c>
      <c r="L1879" s="8">
        <v>1102431</v>
      </c>
      <c r="M1879" s="8" t="str">
        <f t="shared" si="157"/>
        <v>PEN</v>
      </c>
      <c r="N1879" s="13"/>
      <c r="O1879" s="13">
        <v>920</v>
      </c>
      <c r="P1879" s="3">
        <f t="shared" si="158"/>
        <v>0</v>
      </c>
      <c r="Q1879" s="3">
        <f t="shared" si="159"/>
        <v>920</v>
      </c>
      <c r="R1879" s="3">
        <f t="shared" si="155"/>
        <v>39748.009999999995</v>
      </c>
      <c r="S1879" s="24" t="s">
        <v>1334</v>
      </c>
      <c r="T1879" s="24" t="s">
        <v>1334</v>
      </c>
      <c r="U1879" s="53"/>
      <c r="V1879" s="25">
        <f>IFERROR(VLOOKUP(BCP_Soles[[#This Row],[destinatario]],CHOOSE({1,2},Clientes_Proveedores[Razon Social],Clientes_Proveedores[Ruc / Dni]),2,0),"")</f>
        <v>20602810497</v>
      </c>
      <c r="W1879" s="25" t="s">
        <v>1591</v>
      </c>
      <c r="X1879" s="25" t="s">
        <v>3188</v>
      </c>
      <c r="Y1879" s="25"/>
      <c r="Z1879" s="75"/>
      <c r="AA1879" s="3" t="str">
        <f>IF(BCP_Soles[[#This Row],[fecha]]&gt;0,TEXT(BCP_Soles[[#This Row],[fecha]],"mmmm"),0)</f>
        <v>Mayo</v>
      </c>
    </row>
    <row r="1880" spans="1:27" x14ac:dyDescent="0.3">
      <c r="A1880" s="2">
        <f>IF(BCP_Soles[[#This Row],[tipo_registro]]="R",COUNTIFS($C$1:$C1879,"R")+1,A1879)</f>
        <v>1411</v>
      </c>
      <c r="B1880" s="19" t="str">
        <f t="shared" si="156"/>
        <v>B-BCP - Soles</v>
      </c>
      <c r="C1880" s="3" t="s">
        <v>1330</v>
      </c>
      <c r="D1880" s="14">
        <v>45804</v>
      </c>
      <c r="E1880" s="5" t="s">
        <v>1338</v>
      </c>
      <c r="F1880" s="5" t="s">
        <v>1336</v>
      </c>
      <c r="G1880" s="6" t="s">
        <v>696</v>
      </c>
      <c r="H1880" s="6"/>
      <c r="I1880" s="6"/>
      <c r="J1880" s="6"/>
      <c r="K1880" s="7" t="s">
        <v>3189</v>
      </c>
      <c r="L1880" s="8">
        <v>525398</v>
      </c>
      <c r="M1880" s="8" t="str">
        <f t="shared" si="157"/>
        <v>PEN</v>
      </c>
      <c r="N1880" s="13"/>
      <c r="O1880" s="13">
        <v>2951.25</v>
      </c>
      <c r="P1880" s="3">
        <f t="shared" si="158"/>
        <v>0</v>
      </c>
      <c r="Q1880" s="3">
        <f t="shared" si="159"/>
        <v>2951.25</v>
      </c>
      <c r="R1880" s="3">
        <f t="shared" si="155"/>
        <v>36796.759999999995</v>
      </c>
      <c r="S1880" s="24" t="s">
        <v>1334</v>
      </c>
      <c r="T1880" s="24" t="s">
        <v>1334</v>
      </c>
      <c r="U1880" s="53"/>
      <c r="V1880" s="25">
        <f>IFERROR(VLOOKUP(BCP_Soles[[#This Row],[destinatario]],CHOOSE({1,2},Clientes_Proveedores[Razon Social],Clientes_Proveedores[Ruc / Dni]),2,0),"")</f>
        <v>0</v>
      </c>
      <c r="W1880" s="25" t="s">
        <v>1373</v>
      </c>
      <c r="X1880" s="25"/>
      <c r="Y1880" s="25"/>
      <c r="Z1880" s="75"/>
      <c r="AA1880" s="3" t="str">
        <f>IF(BCP_Soles[[#This Row],[fecha]]&gt;0,TEXT(BCP_Soles[[#This Row],[fecha]],"mmmm"),0)</f>
        <v>Mayo</v>
      </c>
    </row>
    <row r="1881" spans="1:27" ht="36" x14ac:dyDescent="0.3">
      <c r="A1881" s="2">
        <f>IF(BCP_Soles[[#This Row],[tipo_registro]]="R",COUNTIFS($C$1:$C1880,"R")+1,A1880)</f>
        <v>1411</v>
      </c>
      <c r="B1881" s="19" t="str">
        <f t="shared" si="156"/>
        <v>B-BCP - Soles</v>
      </c>
      <c r="C1881" s="3" t="s">
        <v>1352</v>
      </c>
      <c r="D1881" s="14">
        <v>45804</v>
      </c>
      <c r="E1881" s="5" t="s">
        <v>1338</v>
      </c>
      <c r="F1881" s="5"/>
      <c r="G1881" s="6" t="s">
        <v>277</v>
      </c>
      <c r="H1881" s="6"/>
      <c r="I1881" s="6" t="s">
        <v>1390</v>
      </c>
      <c r="J1881" s="6">
        <v>1729</v>
      </c>
      <c r="K1881" s="7" t="s">
        <v>3189</v>
      </c>
      <c r="L1881" s="8">
        <v>525398</v>
      </c>
      <c r="M1881" s="8" t="str">
        <f t="shared" si="157"/>
        <v>PEN</v>
      </c>
      <c r="N1881" s="13">
        <v>300</v>
      </c>
      <c r="O1881" s="13"/>
      <c r="P1881" s="3">
        <f t="shared" si="158"/>
        <v>0</v>
      </c>
      <c r="Q1881" s="3">
        <f t="shared" si="159"/>
        <v>0</v>
      </c>
      <c r="R1881" s="3">
        <f t="shared" si="155"/>
        <v>36796.759999999995</v>
      </c>
      <c r="S1881" s="24"/>
      <c r="T1881" s="24" t="s">
        <v>1334</v>
      </c>
      <c r="U1881" s="53"/>
      <c r="V1881" s="25">
        <f>IFERROR(VLOOKUP(BCP_Soles[[#This Row],[destinatario]],CHOOSE({1,2},Clientes_Proveedores[Razon Social],Clientes_Proveedores[Ruc / Dni]),2,0),"")</f>
        <v>20429640939</v>
      </c>
      <c r="W1881" s="25"/>
      <c r="X1881" s="25"/>
      <c r="Y1881" s="25"/>
      <c r="Z1881" s="75"/>
      <c r="AA1881" s="3" t="str">
        <f>IF(BCP_Soles[[#This Row],[fecha]]&gt;0,TEXT(BCP_Soles[[#This Row],[fecha]],"mmmm"),0)</f>
        <v>Mayo</v>
      </c>
    </row>
    <row r="1882" spans="1:27" ht="36" x14ac:dyDescent="0.3">
      <c r="A1882" s="2">
        <f>IF(BCP_Soles[[#This Row],[tipo_registro]]="R",COUNTIFS($C$1:$C1881,"R")+1,A1881)</f>
        <v>1411</v>
      </c>
      <c r="B1882" s="19" t="str">
        <f t="shared" si="156"/>
        <v>B-BCP - Soles</v>
      </c>
      <c r="C1882" s="3" t="s">
        <v>1352</v>
      </c>
      <c r="D1882" s="14">
        <v>45804</v>
      </c>
      <c r="E1882" s="5" t="s">
        <v>1338</v>
      </c>
      <c r="F1882" s="5"/>
      <c r="G1882" s="6" t="s">
        <v>389</v>
      </c>
      <c r="H1882" s="6"/>
      <c r="I1882" s="6" t="s">
        <v>1374</v>
      </c>
      <c r="J1882" s="6">
        <v>1624</v>
      </c>
      <c r="K1882" s="7" t="s">
        <v>3189</v>
      </c>
      <c r="L1882" s="8">
        <v>525398</v>
      </c>
      <c r="M1882" s="8" t="str">
        <f t="shared" si="157"/>
        <v>PEN</v>
      </c>
      <c r="N1882" s="13">
        <v>83.8</v>
      </c>
      <c r="O1882" s="13"/>
      <c r="P1882" s="3">
        <f t="shared" si="158"/>
        <v>0</v>
      </c>
      <c r="Q1882" s="3">
        <f t="shared" si="159"/>
        <v>0</v>
      </c>
      <c r="R1882" s="3">
        <f t="shared" si="155"/>
        <v>36796.759999999995</v>
      </c>
      <c r="S1882" s="24"/>
      <c r="T1882" s="24" t="s">
        <v>1334</v>
      </c>
      <c r="U1882" s="53"/>
      <c r="V1882" s="25">
        <f>IFERROR(VLOOKUP(BCP_Soles[[#This Row],[destinatario]],CHOOSE({1,2},Clientes_Proveedores[Razon Social],Clientes_Proveedores[Ruc / Dni]),2,0),"")</f>
        <v>20539627938</v>
      </c>
      <c r="W1882" s="25"/>
      <c r="X1882" s="25"/>
      <c r="Y1882" s="25"/>
      <c r="Z1882" s="75"/>
      <c r="AA1882" s="3" t="str">
        <f>IF(BCP_Soles[[#This Row],[fecha]]&gt;0,TEXT(BCP_Soles[[#This Row],[fecha]],"mmmm"),0)</f>
        <v>Mayo</v>
      </c>
    </row>
    <row r="1883" spans="1:27" x14ac:dyDescent="0.3">
      <c r="A1883" s="2">
        <f>IF(BCP_Soles[[#This Row],[tipo_registro]]="R",COUNTIFS($C$1:$C1882,"R")+1,A1882)</f>
        <v>1411</v>
      </c>
      <c r="B1883" s="19" t="str">
        <f t="shared" si="156"/>
        <v>B-BCP - Soles</v>
      </c>
      <c r="C1883" s="3" t="s">
        <v>1352</v>
      </c>
      <c r="D1883" s="14">
        <v>45804</v>
      </c>
      <c r="E1883" s="5" t="s">
        <v>1338</v>
      </c>
      <c r="F1883" s="5"/>
      <c r="G1883" s="6" t="s">
        <v>522</v>
      </c>
      <c r="H1883" s="6" t="s">
        <v>68</v>
      </c>
      <c r="I1883" s="6" t="s">
        <v>1376</v>
      </c>
      <c r="J1883" s="6">
        <v>3891</v>
      </c>
      <c r="K1883" s="7" t="s">
        <v>3189</v>
      </c>
      <c r="L1883" s="8">
        <v>525398</v>
      </c>
      <c r="M1883" s="8" t="str">
        <f t="shared" si="157"/>
        <v>PEN</v>
      </c>
      <c r="N1883" s="13">
        <v>451.35</v>
      </c>
      <c r="O1883" s="13"/>
      <c r="P1883" s="3">
        <f t="shared" si="158"/>
        <v>0</v>
      </c>
      <c r="Q1883" s="3">
        <f t="shared" si="159"/>
        <v>0</v>
      </c>
      <c r="R1883" s="3">
        <f t="shared" si="155"/>
        <v>36796.759999999995</v>
      </c>
      <c r="S1883" s="24"/>
      <c r="T1883" s="24" t="s">
        <v>1334</v>
      </c>
      <c r="U1883" s="53"/>
      <c r="V1883" s="25">
        <f>IFERROR(VLOOKUP(BCP_Soles[[#This Row],[destinatario]],CHOOSE({1,2},Clientes_Proveedores[Razon Social],Clientes_Proveedores[Ruc / Dni]),2,0),"")</f>
        <v>20603974817</v>
      </c>
      <c r="W1883" s="25"/>
      <c r="X1883" s="25"/>
      <c r="Y1883" s="25"/>
      <c r="Z1883" s="75"/>
      <c r="AA1883" s="3" t="str">
        <f>IF(BCP_Soles[[#This Row],[fecha]]&gt;0,TEXT(BCP_Soles[[#This Row],[fecha]],"mmmm"),0)</f>
        <v>Mayo</v>
      </c>
    </row>
    <row r="1884" spans="1:27" x14ac:dyDescent="0.3">
      <c r="A1884" s="2">
        <f>IF(BCP_Soles[[#This Row],[tipo_registro]]="R",COUNTIFS($C$1:$C1883,"R")+1,A1883)</f>
        <v>1411</v>
      </c>
      <c r="B1884" s="19" t="str">
        <f t="shared" si="156"/>
        <v>B-BCP - Soles</v>
      </c>
      <c r="C1884" s="3" t="s">
        <v>1352</v>
      </c>
      <c r="D1884" s="14">
        <v>45804</v>
      </c>
      <c r="E1884" s="5" t="s">
        <v>1338</v>
      </c>
      <c r="F1884" s="5"/>
      <c r="G1884" s="6" t="s">
        <v>522</v>
      </c>
      <c r="H1884" s="6" t="s">
        <v>68</v>
      </c>
      <c r="I1884" s="6" t="s">
        <v>1376</v>
      </c>
      <c r="J1884" s="6">
        <v>3897</v>
      </c>
      <c r="K1884" s="7" t="s">
        <v>3189</v>
      </c>
      <c r="L1884" s="8">
        <v>525398</v>
      </c>
      <c r="M1884" s="8" t="str">
        <f t="shared" si="157"/>
        <v>PEN</v>
      </c>
      <c r="N1884" s="13">
        <v>250.75</v>
      </c>
      <c r="O1884" s="13"/>
      <c r="P1884" s="3">
        <f t="shared" si="158"/>
        <v>0</v>
      </c>
      <c r="Q1884" s="3">
        <f t="shared" si="159"/>
        <v>0</v>
      </c>
      <c r="R1884" s="3">
        <f t="shared" si="155"/>
        <v>36796.759999999995</v>
      </c>
      <c r="S1884" s="24"/>
      <c r="T1884" s="24" t="s">
        <v>1334</v>
      </c>
      <c r="U1884" s="53"/>
      <c r="V1884" s="25">
        <f>IFERROR(VLOOKUP(BCP_Soles[[#This Row],[destinatario]],CHOOSE({1,2},Clientes_Proveedores[Razon Social],Clientes_Proveedores[Ruc / Dni]),2,0),"")</f>
        <v>20603974817</v>
      </c>
      <c r="W1884" s="25"/>
      <c r="X1884" s="25"/>
      <c r="Y1884" s="25"/>
      <c r="Z1884" s="75"/>
      <c r="AA1884" s="3" t="str">
        <f>IF(BCP_Soles[[#This Row],[fecha]]&gt;0,TEXT(BCP_Soles[[#This Row],[fecha]],"mmmm"),0)</f>
        <v>Mayo</v>
      </c>
    </row>
    <row r="1885" spans="1:27" x14ac:dyDescent="0.3">
      <c r="A1885" s="2">
        <f>IF(BCP_Soles[[#This Row],[tipo_registro]]="R",COUNTIFS($C$1:$C1884,"R")+1,A1884)</f>
        <v>1411</v>
      </c>
      <c r="B1885" s="19" t="str">
        <f t="shared" si="156"/>
        <v>B-BCP - Soles</v>
      </c>
      <c r="C1885" s="3" t="s">
        <v>1352</v>
      </c>
      <c r="D1885" s="14">
        <v>45804</v>
      </c>
      <c r="E1885" s="5" t="s">
        <v>1338</v>
      </c>
      <c r="F1885" s="5"/>
      <c r="G1885" s="6" t="s">
        <v>522</v>
      </c>
      <c r="H1885" s="6" t="s">
        <v>68</v>
      </c>
      <c r="I1885" s="6" t="s">
        <v>1376</v>
      </c>
      <c r="J1885" s="6">
        <v>3892</v>
      </c>
      <c r="K1885" s="7" t="s">
        <v>3189</v>
      </c>
      <c r="L1885" s="8">
        <v>525398</v>
      </c>
      <c r="M1885" s="8" t="str">
        <f t="shared" si="157"/>
        <v>PEN</v>
      </c>
      <c r="N1885" s="13">
        <v>651.95000000000005</v>
      </c>
      <c r="O1885" s="13"/>
      <c r="P1885" s="3">
        <f t="shared" si="158"/>
        <v>0</v>
      </c>
      <c r="Q1885" s="3">
        <f t="shared" si="159"/>
        <v>0</v>
      </c>
      <c r="R1885" s="3">
        <f t="shared" si="155"/>
        <v>36796.759999999995</v>
      </c>
      <c r="S1885" s="24"/>
      <c r="T1885" s="24" t="s">
        <v>1334</v>
      </c>
      <c r="U1885" s="53"/>
      <c r="V1885" s="25">
        <f>IFERROR(VLOOKUP(BCP_Soles[[#This Row],[destinatario]],CHOOSE({1,2},Clientes_Proveedores[Razon Social],Clientes_Proveedores[Ruc / Dni]),2,0),"")</f>
        <v>20603974817</v>
      </c>
      <c r="W1885" s="25"/>
      <c r="X1885" s="25"/>
      <c r="Y1885" s="25"/>
      <c r="Z1885" s="75"/>
      <c r="AA1885" s="3" t="str">
        <f>IF(BCP_Soles[[#This Row],[fecha]]&gt;0,TEXT(BCP_Soles[[#This Row],[fecha]],"mmmm"),0)</f>
        <v>Mayo</v>
      </c>
    </row>
    <row r="1886" spans="1:27" ht="24" x14ac:dyDescent="0.3">
      <c r="A1886" s="2">
        <f>IF(BCP_Soles[[#This Row],[tipo_registro]]="R",COUNTIFS($C$1:$C1885,"R")+1,A1885)</f>
        <v>1411</v>
      </c>
      <c r="B1886" s="19" t="str">
        <f t="shared" si="156"/>
        <v>B-BCP - Soles</v>
      </c>
      <c r="C1886" s="3" t="s">
        <v>1352</v>
      </c>
      <c r="D1886" s="14">
        <v>45804</v>
      </c>
      <c r="E1886" s="5" t="s">
        <v>1338</v>
      </c>
      <c r="F1886" s="5"/>
      <c r="G1886" s="6" t="s">
        <v>166</v>
      </c>
      <c r="H1886" s="6"/>
      <c r="I1886" s="6" t="s">
        <v>1376</v>
      </c>
      <c r="J1886" s="6">
        <v>4839</v>
      </c>
      <c r="K1886" s="7" t="s">
        <v>3189</v>
      </c>
      <c r="L1886" s="8">
        <v>525398</v>
      </c>
      <c r="M1886" s="8" t="str">
        <f t="shared" si="157"/>
        <v>PEN</v>
      </c>
      <c r="N1886" s="13">
        <v>59</v>
      </c>
      <c r="O1886" s="13"/>
      <c r="P1886" s="3">
        <f t="shared" si="158"/>
        <v>0</v>
      </c>
      <c r="Q1886" s="3">
        <f t="shared" si="159"/>
        <v>0</v>
      </c>
      <c r="R1886" s="3">
        <f t="shared" si="155"/>
        <v>36796.759999999995</v>
      </c>
      <c r="S1886" s="24"/>
      <c r="T1886" s="24" t="s">
        <v>1334</v>
      </c>
      <c r="U1886" s="53"/>
      <c r="V1886" s="25">
        <f>IFERROR(VLOOKUP(BCP_Soles[[#This Row],[destinatario]],CHOOSE({1,2},Clientes_Proveedores[Razon Social],Clientes_Proveedores[Ruc / Dni]),2,0),"")</f>
        <v>10425371652</v>
      </c>
      <c r="W1886" s="25"/>
      <c r="X1886" s="25"/>
      <c r="Y1886" s="25"/>
      <c r="Z1886" s="75"/>
      <c r="AA1886" s="3" t="str">
        <f>IF(BCP_Soles[[#This Row],[fecha]]&gt;0,TEXT(BCP_Soles[[#This Row],[fecha]],"mmmm"),0)</f>
        <v>Mayo</v>
      </c>
    </row>
    <row r="1887" spans="1:27" ht="24" x14ac:dyDescent="0.3">
      <c r="A1887" s="2">
        <f>IF(BCP_Soles[[#This Row],[tipo_registro]]="R",COUNTIFS($C$1:$C1886,"R")+1,A1886)</f>
        <v>1411</v>
      </c>
      <c r="B1887" s="19" t="str">
        <f t="shared" si="156"/>
        <v>B-BCP - Soles</v>
      </c>
      <c r="C1887" s="3" t="s">
        <v>1352</v>
      </c>
      <c r="D1887" s="14">
        <v>45804</v>
      </c>
      <c r="E1887" s="5" t="s">
        <v>1338</v>
      </c>
      <c r="F1887" s="5"/>
      <c r="G1887" s="6" t="s">
        <v>594</v>
      </c>
      <c r="H1887" s="6"/>
      <c r="I1887" s="6" t="s">
        <v>1376</v>
      </c>
      <c r="J1887" s="6">
        <v>2190</v>
      </c>
      <c r="K1887" s="7" t="s">
        <v>3189</v>
      </c>
      <c r="L1887" s="8">
        <v>525398</v>
      </c>
      <c r="M1887" s="8" t="str">
        <f t="shared" si="157"/>
        <v>PEN</v>
      </c>
      <c r="N1887" s="13">
        <v>70.8</v>
      </c>
      <c r="O1887" s="13"/>
      <c r="P1887" s="3">
        <f t="shared" si="158"/>
        <v>0</v>
      </c>
      <c r="Q1887" s="3">
        <f t="shared" si="159"/>
        <v>0</v>
      </c>
      <c r="R1887" s="3">
        <f t="shared" si="155"/>
        <v>36796.759999999995</v>
      </c>
      <c r="S1887" s="24"/>
      <c r="T1887" s="24" t="s">
        <v>1334</v>
      </c>
      <c r="U1887" s="53"/>
      <c r="V1887" s="25">
        <f>IFERROR(VLOOKUP(BCP_Soles[[#This Row],[destinatario]],CHOOSE({1,2},Clientes_Proveedores[Razon Social],Clientes_Proveedores[Ruc / Dni]),2,0),"")</f>
        <v>20609764261</v>
      </c>
      <c r="W1887" s="25"/>
      <c r="X1887" s="25"/>
      <c r="Y1887" s="25"/>
      <c r="Z1887" s="75"/>
      <c r="AA1887" s="3" t="str">
        <f>IF(BCP_Soles[[#This Row],[fecha]]&gt;0,TEXT(BCP_Soles[[#This Row],[fecha]],"mmmm"),0)</f>
        <v>Mayo</v>
      </c>
    </row>
    <row r="1888" spans="1:27" ht="24" x14ac:dyDescent="0.3">
      <c r="A1888" s="2">
        <f>IF(BCP_Soles[[#This Row],[tipo_registro]]="R",COUNTIFS($C$1:$C1887,"R")+1,A1887)</f>
        <v>1411</v>
      </c>
      <c r="B1888" s="19" t="str">
        <f t="shared" si="156"/>
        <v>B-BCP - Soles</v>
      </c>
      <c r="C1888" s="3" t="s">
        <v>1352</v>
      </c>
      <c r="D1888" s="14">
        <v>45804</v>
      </c>
      <c r="E1888" s="5" t="s">
        <v>1338</v>
      </c>
      <c r="F1888" s="5"/>
      <c r="G1888" s="6" t="s">
        <v>594</v>
      </c>
      <c r="H1888" s="6"/>
      <c r="I1888" s="6" t="s">
        <v>1376</v>
      </c>
      <c r="J1888" s="6">
        <v>2197</v>
      </c>
      <c r="K1888" s="7" t="s">
        <v>3189</v>
      </c>
      <c r="L1888" s="8">
        <v>525398</v>
      </c>
      <c r="M1888" s="8" t="str">
        <f t="shared" si="157"/>
        <v>PEN</v>
      </c>
      <c r="N1888" s="13">
        <v>70.8</v>
      </c>
      <c r="O1888" s="13"/>
      <c r="P1888" s="3">
        <f t="shared" si="158"/>
        <v>0</v>
      </c>
      <c r="Q1888" s="3">
        <f t="shared" si="159"/>
        <v>0</v>
      </c>
      <c r="R1888" s="3">
        <f t="shared" si="155"/>
        <v>36796.759999999995</v>
      </c>
      <c r="S1888" s="24"/>
      <c r="T1888" s="24" t="s">
        <v>1334</v>
      </c>
      <c r="U1888" s="53"/>
      <c r="V1888" s="25">
        <f>IFERROR(VLOOKUP(BCP_Soles[[#This Row],[destinatario]],CHOOSE({1,2},Clientes_Proveedores[Razon Social],Clientes_Proveedores[Ruc / Dni]),2,0),"")</f>
        <v>20609764261</v>
      </c>
      <c r="W1888" s="25"/>
      <c r="X1888" s="25"/>
      <c r="Y1888" s="25"/>
      <c r="Z1888" s="75"/>
      <c r="AA1888" s="3" t="str">
        <f>IF(BCP_Soles[[#This Row],[fecha]]&gt;0,TEXT(BCP_Soles[[#This Row],[fecha]],"mmmm"),0)</f>
        <v>Mayo</v>
      </c>
    </row>
    <row r="1889" spans="1:27" ht="24" x14ac:dyDescent="0.3">
      <c r="A1889" s="2">
        <f>IF(BCP_Soles[[#This Row],[tipo_registro]]="R",COUNTIFS($C$1:$C1888,"R")+1,A1888)</f>
        <v>1411</v>
      </c>
      <c r="B1889" s="19" t="str">
        <f t="shared" si="156"/>
        <v>B-BCP - Soles</v>
      </c>
      <c r="C1889" s="3" t="s">
        <v>1352</v>
      </c>
      <c r="D1889" s="14">
        <v>45804</v>
      </c>
      <c r="E1889" s="5" t="s">
        <v>1338</v>
      </c>
      <c r="F1889" s="5"/>
      <c r="G1889" s="6" t="s">
        <v>594</v>
      </c>
      <c r="H1889" s="6"/>
      <c r="I1889" s="6" t="s">
        <v>1376</v>
      </c>
      <c r="J1889" s="6">
        <v>2189</v>
      </c>
      <c r="K1889" s="7" t="s">
        <v>3189</v>
      </c>
      <c r="L1889" s="8">
        <v>525398</v>
      </c>
      <c r="M1889" s="8" t="str">
        <f t="shared" si="157"/>
        <v>PEN</v>
      </c>
      <c r="N1889" s="13">
        <v>70.8</v>
      </c>
      <c r="O1889" s="13"/>
      <c r="P1889" s="3">
        <f t="shared" si="158"/>
        <v>0</v>
      </c>
      <c r="Q1889" s="3">
        <f t="shared" si="159"/>
        <v>0</v>
      </c>
      <c r="R1889" s="3">
        <f t="shared" si="155"/>
        <v>36796.759999999995</v>
      </c>
      <c r="S1889" s="24"/>
      <c r="T1889" s="24" t="s">
        <v>1334</v>
      </c>
      <c r="U1889" s="53"/>
      <c r="V1889" s="25">
        <f>IFERROR(VLOOKUP(BCP_Soles[[#This Row],[destinatario]],CHOOSE({1,2},Clientes_Proveedores[Razon Social],Clientes_Proveedores[Ruc / Dni]),2,0),"")</f>
        <v>20609764261</v>
      </c>
      <c r="W1889" s="25"/>
      <c r="X1889" s="25"/>
      <c r="Y1889" s="25"/>
      <c r="Z1889" s="75"/>
      <c r="AA1889" s="3" t="str">
        <f>IF(BCP_Soles[[#This Row],[fecha]]&gt;0,TEXT(BCP_Soles[[#This Row],[fecha]],"mmmm"),0)</f>
        <v>Mayo</v>
      </c>
    </row>
    <row r="1890" spans="1:27" ht="24" x14ac:dyDescent="0.3">
      <c r="A1890" s="2">
        <f>IF(BCP_Soles[[#This Row],[tipo_registro]]="R",COUNTIFS($C$1:$C1889,"R")+1,A1889)</f>
        <v>1411</v>
      </c>
      <c r="B1890" s="19" t="str">
        <f t="shared" si="156"/>
        <v>B-BCP - Soles</v>
      </c>
      <c r="C1890" s="3" t="s">
        <v>1352</v>
      </c>
      <c r="D1890" s="14">
        <v>45804</v>
      </c>
      <c r="E1890" s="5" t="s">
        <v>1338</v>
      </c>
      <c r="F1890" s="5"/>
      <c r="G1890" s="6" t="s">
        <v>667</v>
      </c>
      <c r="H1890" s="6" t="s">
        <v>68</v>
      </c>
      <c r="I1890" s="6" t="s">
        <v>1376</v>
      </c>
      <c r="J1890" s="6">
        <v>30</v>
      </c>
      <c r="K1890" s="7" t="s">
        <v>3189</v>
      </c>
      <c r="L1890" s="8">
        <v>525398</v>
      </c>
      <c r="M1890" s="8" t="str">
        <f t="shared" si="157"/>
        <v>PEN</v>
      </c>
      <c r="N1890" s="13">
        <v>510</v>
      </c>
      <c r="O1890" s="13"/>
      <c r="P1890" s="3">
        <f t="shared" si="158"/>
        <v>0</v>
      </c>
      <c r="Q1890" s="3">
        <f t="shared" si="159"/>
        <v>0</v>
      </c>
      <c r="R1890" s="3">
        <f t="shared" si="155"/>
        <v>36796.759999999995</v>
      </c>
      <c r="S1890" s="24"/>
      <c r="T1890" s="24" t="s">
        <v>1334</v>
      </c>
      <c r="U1890" s="53"/>
      <c r="V1890" s="25">
        <f>IFERROR(VLOOKUP(BCP_Soles[[#This Row],[destinatario]],CHOOSE({1,2},Clientes_Proveedores[Razon Social],Clientes_Proveedores[Ruc / Dni]),2,0),"")</f>
        <v>10410687491</v>
      </c>
      <c r="W1890" s="25"/>
      <c r="X1890" s="25"/>
      <c r="Y1890" s="25"/>
      <c r="Z1890" s="75"/>
      <c r="AA1890" s="3" t="str">
        <f>IF(BCP_Soles[[#This Row],[fecha]]&gt;0,TEXT(BCP_Soles[[#This Row],[fecha]],"mmmm"),0)</f>
        <v>Mayo</v>
      </c>
    </row>
    <row r="1891" spans="1:27" ht="36" x14ac:dyDescent="0.3">
      <c r="A1891" s="2">
        <f>IF(BCP_Soles[[#This Row],[tipo_registro]]="R",COUNTIFS($C$1:$C1890,"R")+1,A1890)</f>
        <v>1411</v>
      </c>
      <c r="B1891" s="19" t="str">
        <f t="shared" si="156"/>
        <v>B-BCP - Soles</v>
      </c>
      <c r="C1891" s="3" t="s">
        <v>1352</v>
      </c>
      <c r="D1891" s="14">
        <v>45804</v>
      </c>
      <c r="E1891" s="5" t="s">
        <v>1338</v>
      </c>
      <c r="F1891" s="5"/>
      <c r="G1891" s="6" t="s">
        <v>474</v>
      </c>
      <c r="H1891" s="6"/>
      <c r="I1891" s="6" t="s">
        <v>1376</v>
      </c>
      <c r="J1891" s="6">
        <v>761</v>
      </c>
      <c r="K1891" s="7" t="s">
        <v>3189</v>
      </c>
      <c r="L1891" s="8">
        <v>525398</v>
      </c>
      <c r="M1891" s="8" t="str">
        <f t="shared" si="157"/>
        <v>PEN</v>
      </c>
      <c r="N1891" s="13">
        <v>432</v>
      </c>
      <c r="O1891" s="13"/>
      <c r="P1891" s="3">
        <f t="shared" si="158"/>
        <v>0</v>
      </c>
      <c r="Q1891" s="3">
        <f t="shared" si="159"/>
        <v>0</v>
      </c>
      <c r="R1891" s="3">
        <f t="shared" si="155"/>
        <v>36796.759999999995</v>
      </c>
      <c r="S1891" s="24"/>
      <c r="T1891" s="24" t="s">
        <v>1334</v>
      </c>
      <c r="U1891" s="53"/>
      <c r="V1891" s="25">
        <f>IFERROR(VLOOKUP(BCP_Soles[[#This Row],[destinatario]],CHOOSE({1,2},Clientes_Proveedores[Razon Social],Clientes_Proveedores[Ruc / Dni]),2,0),"")</f>
        <v>20602075177</v>
      </c>
      <c r="W1891" s="25"/>
      <c r="X1891" s="25"/>
      <c r="Y1891" s="25"/>
      <c r="Z1891" s="75"/>
      <c r="AA1891" s="3" t="str">
        <f>IF(BCP_Soles[[#This Row],[fecha]]&gt;0,TEXT(BCP_Soles[[#This Row],[fecha]],"mmmm"),0)</f>
        <v>Mayo</v>
      </c>
    </row>
    <row r="1892" spans="1:27" x14ac:dyDescent="0.3">
      <c r="A1892" s="2">
        <f>IF(BCP_Soles[[#This Row],[tipo_registro]]="R",COUNTIFS($C$1:$C1891,"R")+1,A1891)</f>
        <v>1412</v>
      </c>
      <c r="B1892" s="19" t="str">
        <f t="shared" si="156"/>
        <v>B-BCP - Soles</v>
      </c>
      <c r="C1892" s="3" t="s">
        <v>1330</v>
      </c>
      <c r="D1892" s="14">
        <v>45804</v>
      </c>
      <c r="E1892" s="5" t="s">
        <v>3190</v>
      </c>
      <c r="F1892" s="5" t="s">
        <v>1336</v>
      </c>
      <c r="G1892" s="6"/>
      <c r="H1892" s="6"/>
      <c r="I1892" s="6"/>
      <c r="J1892" s="6"/>
      <c r="K1892" s="7" t="s">
        <v>3191</v>
      </c>
      <c r="L1892" s="8">
        <v>1008852</v>
      </c>
      <c r="M1892" s="8" t="str">
        <f t="shared" si="157"/>
        <v>PEN</v>
      </c>
      <c r="N1892" s="13"/>
      <c r="O1892" s="13">
        <v>3440</v>
      </c>
      <c r="P1892" s="3">
        <f t="shared" si="158"/>
        <v>0</v>
      </c>
      <c r="Q1892" s="3">
        <f t="shared" si="159"/>
        <v>3440</v>
      </c>
      <c r="R1892" s="3">
        <f t="shared" si="155"/>
        <v>33356.759999999995</v>
      </c>
      <c r="S1892" s="24"/>
      <c r="T1892" s="24"/>
      <c r="U1892" s="53"/>
      <c r="V1892" s="25" t="str">
        <f>IFERROR(VLOOKUP(BCP_Soles[[#This Row],[destinatario]],CHOOSE({1,2},Clientes_Proveedores[Razon Social],Clientes_Proveedores[Ruc / Dni]),2,0),"")</f>
        <v/>
      </c>
      <c r="W1892" s="25" t="s">
        <v>2666</v>
      </c>
      <c r="X1892" s="25"/>
      <c r="Y1892" s="25"/>
      <c r="Z1892" s="75"/>
      <c r="AA1892" s="3" t="str">
        <f>IF(BCP_Soles[[#This Row],[fecha]]&gt;0,TEXT(BCP_Soles[[#This Row],[fecha]],"mmmm"),0)</f>
        <v>Mayo</v>
      </c>
    </row>
    <row r="1893" spans="1:27" ht="36" x14ac:dyDescent="0.3">
      <c r="A1893" s="2">
        <f>IF(BCP_Soles[[#This Row],[tipo_registro]]="R",COUNTIFS($C$1:$C1892,"R")+1,A1892)</f>
        <v>1413</v>
      </c>
      <c r="B1893" s="19" t="str">
        <f t="shared" si="156"/>
        <v>B-BCP - Soles</v>
      </c>
      <c r="C1893" s="3" t="s">
        <v>1330</v>
      </c>
      <c r="D1893" s="14">
        <v>45804</v>
      </c>
      <c r="E1893" s="5" t="s">
        <v>1416</v>
      </c>
      <c r="F1893" s="5" t="s">
        <v>1336</v>
      </c>
      <c r="G1893" s="6" t="s">
        <v>425</v>
      </c>
      <c r="H1893" s="6"/>
      <c r="I1893" s="6"/>
      <c r="J1893" s="6"/>
      <c r="K1893" s="7" t="s">
        <v>3192</v>
      </c>
      <c r="L1893" s="8">
        <v>1103431</v>
      </c>
      <c r="M1893" s="8" t="str">
        <f t="shared" si="157"/>
        <v>PEN</v>
      </c>
      <c r="N1893" s="13"/>
      <c r="O1893" s="13">
        <v>10582.1</v>
      </c>
      <c r="P1893" s="3">
        <f t="shared" si="158"/>
        <v>0</v>
      </c>
      <c r="Q1893" s="3">
        <f t="shared" si="159"/>
        <v>10582.1</v>
      </c>
      <c r="R1893" s="3">
        <f t="shared" si="155"/>
        <v>22774.659999999996</v>
      </c>
      <c r="S1893" s="24" t="s">
        <v>1334</v>
      </c>
      <c r="T1893" s="24" t="s">
        <v>1334</v>
      </c>
      <c r="U1893" s="53"/>
      <c r="V1893" s="25">
        <f>IFERROR(VLOOKUP(BCP_Soles[[#This Row],[destinatario]],CHOOSE({1,2},Clientes_Proveedores[Razon Social],Clientes_Proveedores[Ruc / Dni]),2,0),"")</f>
        <v>20558226979</v>
      </c>
      <c r="W1893" s="25" t="s">
        <v>1585</v>
      </c>
      <c r="X1893" s="25"/>
      <c r="Y1893" s="25"/>
      <c r="Z1893" s="75"/>
      <c r="AA1893" s="3" t="str">
        <f>IF(BCP_Soles[[#This Row],[fecha]]&gt;0,TEXT(BCP_Soles[[#This Row],[fecha]],"mmmm"),0)</f>
        <v>Mayo</v>
      </c>
    </row>
    <row r="1894" spans="1:27" x14ac:dyDescent="0.3">
      <c r="A1894" s="2">
        <f>IF(BCP_Soles[[#This Row],[tipo_registro]]="R",COUNTIFS($C$1:$C1893,"R")+1,A1893)</f>
        <v>1414</v>
      </c>
      <c r="B1894" s="19" t="str">
        <f t="shared" si="156"/>
        <v>B-BCP - Soles</v>
      </c>
      <c r="C1894" s="3" t="s">
        <v>1330</v>
      </c>
      <c r="D1894" s="14">
        <v>45804</v>
      </c>
      <c r="E1894" s="5" t="s">
        <v>1335</v>
      </c>
      <c r="F1894" s="5" t="s">
        <v>1336</v>
      </c>
      <c r="G1894" s="6"/>
      <c r="H1894" s="6"/>
      <c r="I1894" s="6"/>
      <c r="J1894" s="6"/>
      <c r="K1894" s="7" t="s">
        <v>3160</v>
      </c>
      <c r="L1894" s="8"/>
      <c r="M1894" s="8" t="str">
        <f t="shared" si="157"/>
        <v>PEN</v>
      </c>
      <c r="N1894" s="13"/>
      <c r="O1894" s="13">
        <v>0.85</v>
      </c>
      <c r="P1894" s="3">
        <f t="shared" si="158"/>
        <v>0</v>
      </c>
      <c r="Q1894" s="3">
        <f t="shared" si="159"/>
        <v>0.85</v>
      </c>
      <c r="R1894" s="3">
        <f t="shared" si="155"/>
        <v>22773.809999999998</v>
      </c>
      <c r="S1894" s="24" t="s">
        <v>1334</v>
      </c>
      <c r="T1894" s="24" t="s">
        <v>1334</v>
      </c>
      <c r="U1894" s="53"/>
      <c r="V1894" s="25" t="str">
        <f>IFERROR(VLOOKUP(BCP_Soles[[#This Row],[destinatario]],CHOOSE({1,2},Clientes_Proveedores[Razon Social],Clientes_Proveedores[Ruc / Dni]),2,0),"")</f>
        <v/>
      </c>
      <c r="W1894" s="25"/>
      <c r="X1894" s="25"/>
      <c r="Y1894" s="25"/>
      <c r="Z1894" s="75"/>
      <c r="AA1894" s="3" t="str">
        <f>IF(BCP_Soles[[#This Row],[fecha]]&gt;0,TEXT(BCP_Soles[[#This Row],[fecha]],"mmmm"),0)</f>
        <v>Mayo</v>
      </c>
    </row>
    <row r="1895" spans="1:27" ht="24" x14ac:dyDescent="0.3">
      <c r="A1895" s="2">
        <f>IF(BCP_Soles[[#This Row],[tipo_registro]]="R",COUNTIFS($C$1:$C1894,"R")+1,A1894)</f>
        <v>1415</v>
      </c>
      <c r="B1895" s="19" t="str">
        <f t="shared" si="156"/>
        <v>B-BCP - Soles</v>
      </c>
      <c r="C1895" s="3" t="s">
        <v>1330</v>
      </c>
      <c r="D1895" s="14">
        <v>45804</v>
      </c>
      <c r="E1895" s="5" t="s">
        <v>1335</v>
      </c>
      <c r="F1895" s="5" t="s">
        <v>1336</v>
      </c>
      <c r="G1895" s="6" t="s">
        <v>1060</v>
      </c>
      <c r="H1895" s="6" t="s">
        <v>68</v>
      </c>
      <c r="I1895" s="6" t="s">
        <v>1397</v>
      </c>
      <c r="J1895" s="6">
        <v>33065811</v>
      </c>
      <c r="K1895" s="7" t="s">
        <v>1400</v>
      </c>
      <c r="L1895" s="8">
        <v>465</v>
      </c>
      <c r="M1895" s="8" t="str">
        <f t="shared" si="157"/>
        <v>PEN</v>
      </c>
      <c r="N1895" s="13"/>
      <c r="O1895" s="13">
        <v>10</v>
      </c>
      <c r="P1895" s="3">
        <f t="shared" si="158"/>
        <v>0</v>
      </c>
      <c r="Q1895" s="3">
        <f t="shared" si="159"/>
        <v>10</v>
      </c>
      <c r="R1895" s="3">
        <f t="shared" si="155"/>
        <v>22763.809999999998</v>
      </c>
      <c r="S1895" s="24" t="s">
        <v>1334</v>
      </c>
      <c r="T1895" s="24" t="s">
        <v>1334</v>
      </c>
      <c r="U1895" s="53"/>
      <c r="V1895" s="25">
        <f>IFERROR(VLOOKUP(BCP_Soles[[#This Row],[destinatario]],CHOOSE({1,2},Clientes_Proveedores[Razon Social],Clientes_Proveedores[Ruc / Dni]),2,0),"")</f>
        <v>20100047218</v>
      </c>
      <c r="W1895" s="25" t="s">
        <v>1335</v>
      </c>
      <c r="X1895" s="25" t="s">
        <v>3193</v>
      </c>
      <c r="Y1895" s="25"/>
      <c r="Z1895" s="75"/>
      <c r="AA1895" s="3" t="str">
        <f>IF(BCP_Soles[[#This Row],[fecha]]&gt;0,TEXT(BCP_Soles[[#This Row],[fecha]],"mmmm"),0)</f>
        <v>Mayo</v>
      </c>
    </row>
    <row r="1896" spans="1:27" ht="24" x14ac:dyDescent="0.3">
      <c r="A1896" s="2">
        <f>IF(BCP_Soles[[#This Row],[tipo_registro]]="R",COUNTIFS($C$1:$C1895,"R")+1,A1895)</f>
        <v>1416</v>
      </c>
      <c r="B1896" s="19" t="str">
        <f t="shared" si="156"/>
        <v>B-BCP - Soles</v>
      </c>
      <c r="C1896" s="3" t="s">
        <v>1330</v>
      </c>
      <c r="D1896" s="14">
        <v>45805</v>
      </c>
      <c r="E1896" s="5" t="s">
        <v>688</v>
      </c>
      <c r="F1896" s="5" t="s">
        <v>1303</v>
      </c>
      <c r="G1896" s="6" t="s">
        <v>425</v>
      </c>
      <c r="H1896" s="6"/>
      <c r="I1896" s="6"/>
      <c r="J1896" s="6"/>
      <c r="K1896" s="7" t="s">
        <v>3194</v>
      </c>
      <c r="L1896" s="8">
        <v>2091068</v>
      </c>
      <c r="M1896" s="8" t="str">
        <f t="shared" si="157"/>
        <v>PEN</v>
      </c>
      <c r="N1896" s="13"/>
      <c r="O1896" s="13">
        <v>4731.92</v>
      </c>
      <c r="P1896" s="3">
        <f t="shared" si="158"/>
        <v>4731.92</v>
      </c>
      <c r="Q1896" s="3">
        <f t="shared" si="159"/>
        <v>0</v>
      </c>
      <c r="R1896" s="3">
        <f t="shared" si="155"/>
        <v>27495.729999999996</v>
      </c>
      <c r="S1896" s="24" t="s">
        <v>1334</v>
      </c>
      <c r="T1896" s="24" t="s">
        <v>1334</v>
      </c>
      <c r="U1896" s="53"/>
      <c r="V1896" s="25">
        <f>IFERROR(VLOOKUP(BCP_Soles[[#This Row],[destinatario]],CHOOSE({1,2},Clientes_Proveedores[Razon Social],Clientes_Proveedores[Ruc / Dni]),2,0),"")</f>
        <v>20558226979</v>
      </c>
      <c r="W1896" s="25" t="s">
        <v>1345</v>
      </c>
      <c r="X1896" s="25" t="s">
        <v>3195</v>
      </c>
      <c r="Y1896" s="25"/>
      <c r="Z1896" s="75"/>
      <c r="AA1896" s="3" t="str">
        <f>IF(BCP_Soles[[#This Row],[fecha]]&gt;0,TEXT(BCP_Soles[[#This Row],[fecha]],"mmmm"),0)</f>
        <v>Mayo</v>
      </c>
    </row>
    <row r="1897" spans="1:27" ht="36" x14ac:dyDescent="0.3">
      <c r="A1897" s="2">
        <f>IF(BCP_Soles[[#This Row],[tipo_registro]]="R",COUNTIFS($C$1:$C1896,"R")+1,A1896)</f>
        <v>1417</v>
      </c>
      <c r="B1897" s="19" t="str">
        <f t="shared" si="156"/>
        <v>B-BCP - Soles</v>
      </c>
      <c r="C1897" s="3" t="s">
        <v>1330</v>
      </c>
      <c r="D1897" s="14">
        <v>45805</v>
      </c>
      <c r="E1897" s="5" t="s">
        <v>237</v>
      </c>
      <c r="F1897" s="5" t="s">
        <v>1303</v>
      </c>
      <c r="G1897" s="6" t="s">
        <v>425</v>
      </c>
      <c r="H1897" s="6"/>
      <c r="I1897" s="6"/>
      <c r="J1897" s="6"/>
      <c r="K1897" s="7" t="s">
        <v>3196</v>
      </c>
      <c r="L1897" s="8">
        <v>884022</v>
      </c>
      <c r="M1897" s="8" t="str">
        <f t="shared" si="157"/>
        <v>PEN</v>
      </c>
      <c r="N1897" s="13"/>
      <c r="O1897" s="13">
        <v>3081.06</v>
      </c>
      <c r="P1897" s="3">
        <f t="shared" si="158"/>
        <v>3081.06</v>
      </c>
      <c r="Q1897" s="3">
        <f t="shared" si="159"/>
        <v>0</v>
      </c>
      <c r="R1897" s="3">
        <f t="shared" si="155"/>
        <v>30576.789999999997</v>
      </c>
      <c r="S1897" s="24" t="s">
        <v>1334</v>
      </c>
      <c r="T1897" s="24" t="s">
        <v>1334</v>
      </c>
      <c r="U1897" s="53"/>
      <c r="V1897" s="25">
        <f>IFERROR(VLOOKUP(BCP_Soles[[#This Row],[destinatario]],CHOOSE({1,2},Clientes_Proveedores[Razon Social],Clientes_Proveedores[Ruc / Dni]),2,0),"")</f>
        <v>20558226979</v>
      </c>
      <c r="W1897" s="25" t="s">
        <v>1345</v>
      </c>
      <c r="X1897" s="25" t="s">
        <v>3197</v>
      </c>
      <c r="Y1897" s="25"/>
      <c r="Z1897" s="75"/>
      <c r="AA1897" s="3" t="str">
        <f>IF(BCP_Soles[[#This Row],[fecha]]&gt;0,TEXT(BCP_Soles[[#This Row],[fecha]],"mmmm"),0)</f>
        <v>Mayo</v>
      </c>
    </row>
    <row r="1898" spans="1:27" ht="24" x14ac:dyDescent="0.3">
      <c r="A1898" s="2">
        <f>IF(BCP_Soles[[#This Row],[tipo_registro]]="R",COUNTIFS($C$1:$C1897,"R")+1,A1897)</f>
        <v>1418</v>
      </c>
      <c r="B1898" s="19" t="str">
        <f t="shared" si="156"/>
        <v>B-BCP - Soles</v>
      </c>
      <c r="C1898" s="3" t="s">
        <v>1330</v>
      </c>
      <c r="D1898" s="14">
        <v>45805</v>
      </c>
      <c r="E1898" s="5" t="s">
        <v>3198</v>
      </c>
      <c r="F1898" s="5" t="s">
        <v>1303</v>
      </c>
      <c r="G1898" s="6" t="s">
        <v>425</v>
      </c>
      <c r="H1898" s="6" t="s">
        <v>119</v>
      </c>
      <c r="I1898" s="6">
        <v>1</v>
      </c>
      <c r="J1898" s="6">
        <v>4403</v>
      </c>
      <c r="K1898" s="7" t="s">
        <v>3199</v>
      </c>
      <c r="L1898" s="8">
        <v>120714</v>
      </c>
      <c r="M1898" s="8" t="str">
        <f t="shared" si="157"/>
        <v>PEN</v>
      </c>
      <c r="N1898" s="13"/>
      <c r="O1898" s="13">
        <v>2000</v>
      </c>
      <c r="P1898" s="3">
        <f t="shared" si="158"/>
        <v>2000</v>
      </c>
      <c r="Q1898" s="3">
        <f t="shared" si="159"/>
        <v>0</v>
      </c>
      <c r="R1898" s="3">
        <f t="shared" si="155"/>
        <v>32576.789999999997</v>
      </c>
      <c r="S1898" s="24" t="s">
        <v>1334</v>
      </c>
      <c r="T1898" s="24" t="s">
        <v>1334</v>
      </c>
      <c r="U1898" s="53"/>
      <c r="V1898" s="25">
        <f>IFERROR(VLOOKUP(BCP_Soles[[#This Row],[destinatario]],CHOOSE({1,2},Clientes_Proveedores[Razon Social],Clientes_Proveedores[Ruc / Dni]),2,0),"")</f>
        <v>20558226979</v>
      </c>
      <c r="W1898" s="25" t="s">
        <v>1345</v>
      </c>
      <c r="X1898" s="25" t="s">
        <v>3200</v>
      </c>
      <c r="Y1898" s="25"/>
      <c r="Z1898" s="75"/>
      <c r="AA1898" s="3" t="str">
        <f>IF(BCP_Soles[[#This Row],[fecha]]&gt;0,TEXT(BCP_Soles[[#This Row],[fecha]],"mmmm"),0)</f>
        <v>Mayo</v>
      </c>
    </row>
    <row r="1899" spans="1:27" ht="36" x14ac:dyDescent="0.3">
      <c r="A1899" s="2">
        <f>IF(BCP_Soles[[#This Row],[tipo_registro]]="R",COUNTIFS($C$1:$C1898,"R")+1,A1898)</f>
        <v>1419</v>
      </c>
      <c r="B1899" s="19" t="str">
        <f t="shared" si="156"/>
        <v>B-BCP - Soles</v>
      </c>
      <c r="C1899" s="3" t="s">
        <v>1330</v>
      </c>
      <c r="D1899" s="14">
        <v>45805</v>
      </c>
      <c r="E1899" s="5" t="s">
        <v>1628</v>
      </c>
      <c r="F1899" s="5" t="s">
        <v>1303</v>
      </c>
      <c r="G1899" s="6" t="s">
        <v>425</v>
      </c>
      <c r="H1899" s="6" t="s">
        <v>119</v>
      </c>
      <c r="I1899" s="6">
        <v>2</v>
      </c>
      <c r="J1899" s="6">
        <v>783</v>
      </c>
      <c r="K1899" s="7" t="s">
        <v>1356</v>
      </c>
      <c r="L1899" s="8">
        <v>3389699</v>
      </c>
      <c r="M1899" s="8" t="str">
        <f t="shared" si="157"/>
        <v>PEN</v>
      </c>
      <c r="N1899" s="13"/>
      <c r="O1899" s="13">
        <v>1301.5</v>
      </c>
      <c r="P1899" s="3">
        <f t="shared" si="158"/>
        <v>1301.5</v>
      </c>
      <c r="Q1899" s="3">
        <f t="shared" si="159"/>
        <v>0</v>
      </c>
      <c r="R1899" s="3">
        <f t="shared" si="155"/>
        <v>33878.289999999994</v>
      </c>
      <c r="S1899" s="24" t="s">
        <v>1334</v>
      </c>
      <c r="T1899" s="24" t="s">
        <v>1334</v>
      </c>
      <c r="U1899" s="53"/>
      <c r="V1899" s="25">
        <f>IFERROR(VLOOKUP(BCP_Soles[[#This Row],[destinatario]],CHOOSE({1,2},Clientes_Proveedores[Razon Social],Clientes_Proveedores[Ruc / Dni]),2,0),"")</f>
        <v>20558226979</v>
      </c>
      <c r="W1899" s="25" t="s">
        <v>1345</v>
      </c>
      <c r="X1899" s="25" t="s">
        <v>3201</v>
      </c>
      <c r="Y1899" s="25"/>
      <c r="Z1899" s="75"/>
      <c r="AA1899" s="3" t="str">
        <f>IF(BCP_Soles[[#This Row],[fecha]]&gt;0,TEXT(BCP_Soles[[#This Row],[fecha]],"mmmm"),0)</f>
        <v>Mayo</v>
      </c>
    </row>
    <row r="1900" spans="1:27" ht="24" x14ac:dyDescent="0.3">
      <c r="A1900" s="2">
        <f>IF(BCP_Soles[[#This Row],[tipo_registro]]="R",COUNTIFS($C$1:$C1899,"R")+1,A1899)</f>
        <v>1420</v>
      </c>
      <c r="B1900" s="19" t="str">
        <f t="shared" si="156"/>
        <v>B-BCP - Soles</v>
      </c>
      <c r="C1900" s="3" t="s">
        <v>1330</v>
      </c>
      <c r="D1900" s="14">
        <v>45805</v>
      </c>
      <c r="E1900" s="5" t="s">
        <v>3202</v>
      </c>
      <c r="F1900" s="5" t="s">
        <v>1303</v>
      </c>
      <c r="G1900" s="6" t="s">
        <v>425</v>
      </c>
      <c r="H1900" s="6" t="s">
        <v>119</v>
      </c>
      <c r="I1900" s="6">
        <v>1</v>
      </c>
      <c r="J1900" s="6">
        <v>4453</v>
      </c>
      <c r="K1900" s="7" t="s">
        <v>1356</v>
      </c>
      <c r="L1900" s="8">
        <v>4209564</v>
      </c>
      <c r="M1900" s="8" t="str">
        <f t="shared" si="157"/>
        <v>PEN</v>
      </c>
      <c r="N1900" s="13"/>
      <c r="O1900" s="13">
        <v>1000</v>
      </c>
      <c r="P1900" s="3">
        <f t="shared" si="158"/>
        <v>1000</v>
      </c>
      <c r="Q1900" s="3">
        <f t="shared" si="159"/>
        <v>0</v>
      </c>
      <c r="R1900" s="3">
        <f t="shared" si="155"/>
        <v>34878.289999999994</v>
      </c>
      <c r="S1900" s="24" t="s">
        <v>1334</v>
      </c>
      <c r="T1900" s="24" t="s">
        <v>1334</v>
      </c>
      <c r="U1900" s="53"/>
      <c r="V1900" s="25">
        <f>IFERROR(VLOOKUP(BCP_Soles[[#This Row],[destinatario]],CHOOSE({1,2},Clientes_Proveedores[Razon Social],Clientes_Proveedores[Ruc / Dni]),2,0),"")</f>
        <v>20558226979</v>
      </c>
      <c r="W1900" s="25" t="s">
        <v>1345</v>
      </c>
      <c r="X1900" s="25" t="s">
        <v>3203</v>
      </c>
      <c r="Y1900" s="25"/>
      <c r="Z1900" s="75"/>
      <c r="AA1900" s="3" t="str">
        <f>IF(BCP_Soles[[#This Row],[fecha]]&gt;0,TEXT(BCP_Soles[[#This Row],[fecha]],"mmmm"),0)</f>
        <v>Mayo</v>
      </c>
    </row>
    <row r="1901" spans="1:27" x14ac:dyDescent="0.3">
      <c r="A1901" s="2">
        <f>IF(BCP_Soles[[#This Row],[tipo_registro]]="R",COUNTIFS($C$1:$C1900,"R")+1,A1900)</f>
        <v>1421</v>
      </c>
      <c r="B1901" s="19" t="str">
        <f t="shared" si="156"/>
        <v>B-BCP - Soles</v>
      </c>
      <c r="C1901" s="3" t="s">
        <v>1330</v>
      </c>
      <c r="D1901" s="14">
        <v>45805</v>
      </c>
      <c r="E1901" s="5" t="s">
        <v>1335</v>
      </c>
      <c r="F1901" s="5" t="s">
        <v>1336</v>
      </c>
      <c r="G1901" s="6"/>
      <c r="H1901" s="6"/>
      <c r="I1901" s="6"/>
      <c r="J1901" s="6"/>
      <c r="K1901" s="7" t="s">
        <v>3160</v>
      </c>
      <c r="L1901" s="8"/>
      <c r="M1901" s="8" t="str">
        <f t="shared" si="157"/>
        <v>PEN</v>
      </c>
      <c r="N1901" s="13"/>
      <c r="O1901" s="13">
        <v>0.65</v>
      </c>
      <c r="P1901" s="3">
        <f t="shared" si="158"/>
        <v>0</v>
      </c>
      <c r="Q1901" s="3">
        <f t="shared" si="159"/>
        <v>0.65</v>
      </c>
      <c r="R1901" s="3">
        <f t="shared" si="155"/>
        <v>34877.639999999992</v>
      </c>
      <c r="S1901" s="24" t="s">
        <v>1334</v>
      </c>
      <c r="T1901" s="24" t="s">
        <v>1334</v>
      </c>
      <c r="U1901" s="53"/>
      <c r="V1901" s="25" t="str">
        <f>IFERROR(VLOOKUP(BCP_Soles[[#This Row],[destinatario]],CHOOSE({1,2},Clientes_Proveedores[Razon Social],Clientes_Proveedores[Ruc / Dni]),2,0),"")</f>
        <v/>
      </c>
      <c r="W1901" s="25"/>
      <c r="X1901" s="25"/>
      <c r="Y1901" s="25"/>
      <c r="Z1901" s="75"/>
      <c r="AA1901" s="3" t="str">
        <f>IF(BCP_Soles[[#This Row],[fecha]]&gt;0,TEXT(BCP_Soles[[#This Row],[fecha]],"mmmm"),0)</f>
        <v>Mayo</v>
      </c>
    </row>
    <row r="1902" spans="1:27" ht="24" x14ac:dyDescent="0.3">
      <c r="A1902" s="2">
        <f>IF(BCP_Soles[[#This Row],[tipo_registro]]="R",COUNTIFS($C$1:$C1901,"R")+1,A1901)</f>
        <v>1422</v>
      </c>
      <c r="B1902" s="19" t="str">
        <f t="shared" si="156"/>
        <v>B-BCP - Soles</v>
      </c>
      <c r="C1902" s="3" t="s">
        <v>1330</v>
      </c>
      <c r="D1902" s="14">
        <v>45805</v>
      </c>
      <c r="E1902" s="5" t="s">
        <v>1338</v>
      </c>
      <c r="F1902" s="5" t="s">
        <v>1336</v>
      </c>
      <c r="G1902" s="6" t="s">
        <v>699</v>
      </c>
      <c r="H1902" s="6"/>
      <c r="I1902" s="6"/>
      <c r="J1902" s="6"/>
      <c r="K1902" s="7" t="s">
        <v>3204</v>
      </c>
      <c r="L1902" s="8">
        <v>1236217</v>
      </c>
      <c r="M1902" s="8" t="str">
        <f t="shared" si="157"/>
        <v>PEN</v>
      </c>
      <c r="N1902" s="13"/>
      <c r="O1902" s="13">
        <v>1180</v>
      </c>
      <c r="P1902" s="3">
        <f t="shared" si="158"/>
        <v>0</v>
      </c>
      <c r="Q1902" s="3">
        <f t="shared" si="159"/>
        <v>1180</v>
      </c>
      <c r="R1902" s="3">
        <f t="shared" si="155"/>
        <v>33697.639999999992</v>
      </c>
      <c r="S1902" s="24" t="s">
        <v>1334</v>
      </c>
      <c r="T1902" s="24" t="s">
        <v>1334</v>
      </c>
      <c r="U1902" s="53"/>
      <c r="V1902" s="25">
        <f>IFERROR(VLOOKUP(BCP_Soles[[#This Row],[destinatario]],CHOOSE({1,2},Clientes_Proveedores[Razon Social],Clientes_Proveedores[Ruc / Dni]),2,0),"")</f>
        <v>10295590934</v>
      </c>
      <c r="W1902" s="25" t="s">
        <v>882</v>
      </c>
      <c r="X1902" s="25" t="s">
        <v>3205</v>
      </c>
      <c r="Y1902" s="25"/>
      <c r="Z1902" s="75"/>
      <c r="AA1902" s="3" t="str">
        <f>IF(BCP_Soles[[#This Row],[fecha]]&gt;0,TEXT(BCP_Soles[[#This Row],[fecha]],"mmmm"),0)</f>
        <v>Mayo</v>
      </c>
    </row>
    <row r="1903" spans="1:27" ht="24" x14ac:dyDescent="0.3">
      <c r="A1903" s="2">
        <f>IF(BCP_Soles[[#This Row],[tipo_registro]]="R",COUNTIFS($C$1:$C1902,"R")+1,A1902)</f>
        <v>1423</v>
      </c>
      <c r="B1903" s="19" t="str">
        <f t="shared" si="156"/>
        <v>B-BCP - Soles</v>
      </c>
      <c r="C1903" s="3" t="s">
        <v>1330</v>
      </c>
      <c r="D1903" s="14">
        <v>45805</v>
      </c>
      <c r="E1903" s="5" t="s">
        <v>1338</v>
      </c>
      <c r="F1903" s="5" t="s">
        <v>1336</v>
      </c>
      <c r="G1903" s="6" t="s">
        <v>249</v>
      </c>
      <c r="H1903" s="6"/>
      <c r="I1903" s="6"/>
      <c r="J1903" s="6"/>
      <c r="K1903" s="7" t="s">
        <v>3206</v>
      </c>
      <c r="L1903" s="8">
        <v>1238646</v>
      </c>
      <c r="M1903" s="8" t="str">
        <f t="shared" si="157"/>
        <v>PEN</v>
      </c>
      <c r="N1903" s="13"/>
      <c r="O1903" s="13">
        <v>1337.53</v>
      </c>
      <c r="P1903" s="3">
        <f t="shared" si="158"/>
        <v>0</v>
      </c>
      <c r="Q1903" s="3">
        <f t="shared" si="159"/>
        <v>1337.53</v>
      </c>
      <c r="R1903" s="3">
        <f t="shared" si="155"/>
        <v>32360.109999999993</v>
      </c>
      <c r="S1903" s="24"/>
      <c r="T1903" s="24" t="s">
        <v>1334</v>
      </c>
      <c r="U1903" s="53"/>
      <c r="V1903" s="25">
        <f>IFERROR(VLOOKUP(BCP_Soles[[#This Row],[destinatario]],CHOOSE({1,2},Clientes_Proveedores[Razon Social],Clientes_Proveedores[Ruc / Dni]),2,0),"")</f>
        <v>20302891452</v>
      </c>
      <c r="W1903" s="25" t="s">
        <v>249</v>
      </c>
      <c r="X1903" s="25"/>
      <c r="Y1903" s="25"/>
      <c r="Z1903" s="75"/>
      <c r="AA1903" s="3" t="str">
        <f>IF(BCP_Soles[[#This Row],[fecha]]&gt;0,TEXT(BCP_Soles[[#This Row],[fecha]],"mmmm"),0)</f>
        <v>Mayo</v>
      </c>
    </row>
    <row r="1904" spans="1:27" ht="36" x14ac:dyDescent="0.3">
      <c r="A1904" s="2">
        <f>IF(BCP_Soles[[#This Row],[tipo_registro]]="R",COUNTIFS($C$1:$C1903,"R")+1,A1903)</f>
        <v>1424</v>
      </c>
      <c r="B1904" s="19" t="str">
        <f t="shared" si="156"/>
        <v>B-BCP - Soles</v>
      </c>
      <c r="C1904" s="3" t="s">
        <v>1330</v>
      </c>
      <c r="D1904" s="14">
        <v>45806</v>
      </c>
      <c r="E1904" s="5" t="s">
        <v>271</v>
      </c>
      <c r="F1904" s="5" t="s">
        <v>1303</v>
      </c>
      <c r="G1904" s="6" t="s">
        <v>425</v>
      </c>
      <c r="H1904" s="6"/>
      <c r="I1904" s="6"/>
      <c r="J1904" s="6"/>
      <c r="K1904" s="7" t="s">
        <v>3207</v>
      </c>
      <c r="L1904" s="8">
        <v>1432016</v>
      </c>
      <c r="M1904" s="8" t="str">
        <f t="shared" si="157"/>
        <v>PEN</v>
      </c>
      <c r="N1904" s="13"/>
      <c r="O1904" s="13">
        <v>2970.1</v>
      </c>
      <c r="P1904" s="3">
        <f t="shared" si="158"/>
        <v>2970.1</v>
      </c>
      <c r="Q1904" s="3">
        <f t="shared" si="159"/>
        <v>0</v>
      </c>
      <c r="R1904" s="3">
        <f t="shared" si="155"/>
        <v>35330.209999999992</v>
      </c>
      <c r="S1904" s="24" t="s">
        <v>1334</v>
      </c>
      <c r="T1904" s="24" t="s">
        <v>1334</v>
      </c>
      <c r="U1904" s="53"/>
      <c r="V1904" s="25">
        <f>IFERROR(VLOOKUP(BCP_Soles[[#This Row],[destinatario]],CHOOSE({1,2},Clientes_Proveedores[Razon Social],Clientes_Proveedores[Ruc / Dni]),2,0),"")</f>
        <v>20558226979</v>
      </c>
      <c r="W1904" s="25" t="s">
        <v>1345</v>
      </c>
      <c r="X1904" s="25" t="s">
        <v>3208</v>
      </c>
      <c r="Y1904" s="25"/>
      <c r="Z1904" s="75"/>
      <c r="AA1904" s="3" t="str">
        <f>IF(BCP_Soles[[#This Row],[fecha]]&gt;0,TEXT(BCP_Soles[[#This Row],[fecha]],"mmmm"),0)</f>
        <v>Mayo</v>
      </c>
    </row>
    <row r="1905" spans="1:27" ht="60" x14ac:dyDescent="0.3">
      <c r="A1905" s="2">
        <f>IF(BCP_Soles[[#This Row],[tipo_registro]]="R",COUNTIFS($C$1:$C1904,"R")+1,A1904)</f>
        <v>1425</v>
      </c>
      <c r="B1905" s="19" t="str">
        <f t="shared" si="156"/>
        <v>B-BCP - Soles</v>
      </c>
      <c r="C1905" s="3" t="s">
        <v>1330</v>
      </c>
      <c r="D1905" s="14">
        <v>45806</v>
      </c>
      <c r="E1905" s="5" t="s">
        <v>295</v>
      </c>
      <c r="F1905" s="5" t="s">
        <v>1303</v>
      </c>
      <c r="G1905" s="6" t="s">
        <v>425</v>
      </c>
      <c r="H1905" s="6"/>
      <c r="I1905" s="6"/>
      <c r="J1905" s="6"/>
      <c r="K1905" s="7" t="s">
        <v>1428</v>
      </c>
      <c r="L1905" s="8">
        <v>2065663</v>
      </c>
      <c r="M1905" s="8" t="str">
        <f t="shared" si="157"/>
        <v>PEN</v>
      </c>
      <c r="N1905" s="13"/>
      <c r="O1905" s="13">
        <v>848.28</v>
      </c>
      <c r="P1905" s="3">
        <f t="shared" si="158"/>
        <v>848.28</v>
      </c>
      <c r="Q1905" s="3">
        <f t="shared" si="159"/>
        <v>0</v>
      </c>
      <c r="R1905" s="3">
        <f t="shared" si="155"/>
        <v>36178.489999999991</v>
      </c>
      <c r="S1905" s="24" t="s">
        <v>1334</v>
      </c>
      <c r="T1905" s="24" t="s">
        <v>1334</v>
      </c>
      <c r="U1905" s="53"/>
      <c r="V1905" s="25">
        <f>IFERROR(VLOOKUP(BCP_Soles[[#This Row],[destinatario]],CHOOSE({1,2},Clientes_Proveedores[Razon Social],Clientes_Proveedores[Ruc / Dni]),2,0),"")</f>
        <v>20558226979</v>
      </c>
      <c r="W1905" s="25" t="s">
        <v>1345</v>
      </c>
      <c r="X1905" s="25" t="s">
        <v>3209</v>
      </c>
      <c r="Y1905" s="25"/>
      <c r="Z1905" s="75"/>
      <c r="AA1905" s="3" t="str">
        <f>IF(BCP_Soles[[#This Row],[fecha]]&gt;0,TEXT(BCP_Soles[[#This Row],[fecha]],"mmmm"),0)</f>
        <v>Mayo</v>
      </c>
    </row>
    <row r="1906" spans="1:27" ht="60" x14ac:dyDescent="0.3">
      <c r="A1906" s="2">
        <f>IF(BCP_Soles[[#This Row],[tipo_registro]]="R",COUNTIFS($C$1:$C1905,"R")+1,A1905)</f>
        <v>1426</v>
      </c>
      <c r="B1906" s="19" t="str">
        <f t="shared" si="156"/>
        <v>B-BCP - Soles</v>
      </c>
      <c r="C1906" s="3" t="s">
        <v>1330</v>
      </c>
      <c r="D1906" s="14">
        <v>45806</v>
      </c>
      <c r="E1906" s="5" t="s">
        <v>295</v>
      </c>
      <c r="F1906" s="5" t="s">
        <v>1303</v>
      </c>
      <c r="G1906" s="6" t="s">
        <v>425</v>
      </c>
      <c r="H1906" s="6"/>
      <c r="I1906" s="6"/>
      <c r="J1906" s="6"/>
      <c r="K1906" s="7" t="s">
        <v>1428</v>
      </c>
      <c r="L1906" s="8">
        <v>2061451</v>
      </c>
      <c r="M1906" s="8" t="str">
        <f t="shared" si="157"/>
        <v>PEN</v>
      </c>
      <c r="N1906" s="13"/>
      <c r="O1906" s="13">
        <v>361.39</v>
      </c>
      <c r="P1906" s="3">
        <f t="shared" si="158"/>
        <v>361.39</v>
      </c>
      <c r="Q1906" s="3">
        <f t="shared" si="159"/>
        <v>0</v>
      </c>
      <c r="R1906" s="3">
        <f t="shared" si="155"/>
        <v>36539.87999999999</v>
      </c>
      <c r="S1906" s="24" t="s">
        <v>1334</v>
      </c>
      <c r="T1906" s="24" t="s">
        <v>1334</v>
      </c>
      <c r="U1906" s="53"/>
      <c r="V1906" s="25">
        <f>IFERROR(VLOOKUP(BCP_Soles[[#This Row],[destinatario]],CHOOSE({1,2},Clientes_Proveedores[Razon Social],Clientes_Proveedores[Ruc / Dni]),2,0),"")</f>
        <v>20558226979</v>
      </c>
      <c r="W1906" s="25" t="s">
        <v>1345</v>
      </c>
      <c r="X1906" s="25" t="s">
        <v>3210</v>
      </c>
      <c r="Y1906" s="25"/>
      <c r="Z1906" s="75"/>
      <c r="AA1906" s="3" t="str">
        <f>IF(BCP_Soles[[#This Row],[fecha]]&gt;0,TEXT(BCP_Soles[[#This Row],[fecha]],"mmmm"),0)</f>
        <v>Mayo</v>
      </c>
    </row>
    <row r="1907" spans="1:27" ht="60" x14ac:dyDescent="0.3">
      <c r="A1907" s="2">
        <f>IF(BCP_Soles[[#This Row],[tipo_registro]]="R",COUNTIFS($C$1:$C1906,"R")+1,A1906)</f>
        <v>1427</v>
      </c>
      <c r="B1907" s="19" t="str">
        <f t="shared" si="156"/>
        <v>B-BCP - Soles</v>
      </c>
      <c r="C1907" s="3" t="s">
        <v>1330</v>
      </c>
      <c r="D1907" s="14">
        <v>45806</v>
      </c>
      <c r="E1907" s="5" t="s">
        <v>295</v>
      </c>
      <c r="F1907" s="5" t="s">
        <v>1303</v>
      </c>
      <c r="G1907" s="6" t="s">
        <v>425</v>
      </c>
      <c r="H1907" s="6"/>
      <c r="I1907" s="6"/>
      <c r="J1907" s="6"/>
      <c r="K1907" s="7" t="s">
        <v>1428</v>
      </c>
      <c r="L1907" s="8">
        <v>2066764</v>
      </c>
      <c r="M1907" s="8" t="str">
        <f t="shared" si="157"/>
        <v>PEN</v>
      </c>
      <c r="N1907" s="13"/>
      <c r="O1907" s="13">
        <v>297.45999999999998</v>
      </c>
      <c r="P1907" s="3">
        <f t="shared" si="158"/>
        <v>297.45999999999998</v>
      </c>
      <c r="Q1907" s="3">
        <f t="shared" si="159"/>
        <v>0</v>
      </c>
      <c r="R1907" s="3">
        <f t="shared" si="155"/>
        <v>36837.339999999989</v>
      </c>
      <c r="S1907" s="24" t="s">
        <v>1334</v>
      </c>
      <c r="T1907" s="24" t="s">
        <v>1334</v>
      </c>
      <c r="U1907" s="53"/>
      <c r="V1907" s="25">
        <f>IFERROR(VLOOKUP(BCP_Soles[[#This Row],[destinatario]],CHOOSE({1,2},Clientes_Proveedores[Razon Social],Clientes_Proveedores[Ruc / Dni]),2,0),"")</f>
        <v>20558226979</v>
      </c>
      <c r="W1907" s="25" t="s">
        <v>1345</v>
      </c>
      <c r="X1907" s="25" t="s">
        <v>3211</v>
      </c>
      <c r="Y1907" s="25"/>
      <c r="Z1907" s="75"/>
      <c r="AA1907" s="3" t="str">
        <f>IF(BCP_Soles[[#This Row],[fecha]]&gt;0,TEXT(BCP_Soles[[#This Row],[fecha]],"mmmm"),0)</f>
        <v>Mayo</v>
      </c>
    </row>
    <row r="1908" spans="1:27" x14ac:dyDescent="0.3">
      <c r="A1908" s="2">
        <f>IF(BCP_Soles[[#This Row],[tipo_registro]]="R",COUNTIFS($C$1:$C1907,"R")+1,A1907)</f>
        <v>1428</v>
      </c>
      <c r="B1908" s="19" t="str">
        <f t="shared" si="156"/>
        <v>B-BCP - Soles</v>
      </c>
      <c r="C1908" s="3" t="s">
        <v>1330</v>
      </c>
      <c r="D1908" s="14">
        <v>45806</v>
      </c>
      <c r="E1908" s="5" t="s">
        <v>1338</v>
      </c>
      <c r="F1908" s="5" t="s">
        <v>1336</v>
      </c>
      <c r="G1908" s="6" t="s">
        <v>196</v>
      </c>
      <c r="H1908" s="6" t="s">
        <v>68</v>
      </c>
      <c r="I1908" s="6" t="s">
        <v>3212</v>
      </c>
      <c r="J1908" s="6">
        <v>122451</v>
      </c>
      <c r="K1908" s="7" t="s">
        <v>2227</v>
      </c>
      <c r="L1908" s="8">
        <v>232330</v>
      </c>
      <c r="M1908" s="8" t="str">
        <f t="shared" si="157"/>
        <v>PEN</v>
      </c>
      <c r="N1908" s="13"/>
      <c r="O1908" s="13">
        <v>21.37</v>
      </c>
      <c r="P1908" s="3">
        <f t="shared" si="158"/>
        <v>0</v>
      </c>
      <c r="Q1908" s="3">
        <f t="shared" si="159"/>
        <v>21.37</v>
      </c>
      <c r="R1908" s="3">
        <f t="shared" si="155"/>
        <v>36815.969999999987</v>
      </c>
      <c r="S1908" s="24" t="s">
        <v>1334</v>
      </c>
      <c r="T1908" s="24" t="s">
        <v>1334</v>
      </c>
      <c r="U1908" s="53"/>
      <c r="V1908" s="25">
        <f>IFERROR(VLOOKUP(BCP_Soles[[#This Row],[destinatario]],CHOOSE({1,2},Clientes_Proveedores[Razon Social],Clientes_Proveedores[Ruc / Dni]),2,0),"")</f>
        <v>20100055237</v>
      </c>
      <c r="W1908" s="25" t="s">
        <v>2228</v>
      </c>
      <c r="X1908" s="25" t="s">
        <v>3213</v>
      </c>
      <c r="Y1908" s="25"/>
      <c r="Z1908" s="75"/>
      <c r="AA1908" s="3" t="str">
        <f>IF(BCP_Soles[[#This Row],[fecha]]&gt;0,TEXT(BCP_Soles[[#This Row],[fecha]],"mmmm"),0)</f>
        <v>Mayo</v>
      </c>
    </row>
    <row r="1909" spans="1:27" ht="48" x14ac:dyDescent="0.3">
      <c r="A1909" s="2">
        <f>IF(BCP_Soles[[#This Row],[tipo_registro]]="R",COUNTIFS($C$1:$C1908,"R")+1,A1908)</f>
        <v>1429</v>
      </c>
      <c r="B1909" s="19" t="str">
        <f t="shared" si="156"/>
        <v>B-BCP - Soles</v>
      </c>
      <c r="C1909" s="3" t="s">
        <v>1330</v>
      </c>
      <c r="D1909" s="14">
        <v>45806</v>
      </c>
      <c r="E1909" s="5" t="s">
        <v>1338</v>
      </c>
      <c r="F1909" s="5" t="s">
        <v>1336</v>
      </c>
      <c r="G1909" s="6" t="s">
        <v>488</v>
      </c>
      <c r="H1909" s="6"/>
      <c r="I1909" s="6"/>
      <c r="J1909" s="6"/>
      <c r="K1909" s="7" t="s">
        <v>3214</v>
      </c>
      <c r="L1909" s="8">
        <v>1109192</v>
      </c>
      <c r="M1909" s="8" t="str">
        <f t="shared" si="157"/>
        <v>PEN</v>
      </c>
      <c r="N1909" s="13"/>
      <c r="O1909" s="13">
        <v>220</v>
      </c>
      <c r="P1909" s="3">
        <f t="shared" si="158"/>
        <v>0</v>
      </c>
      <c r="Q1909" s="3">
        <f t="shared" si="159"/>
        <v>220</v>
      </c>
      <c r="R1909" s="3">
        <f t="shared" si="155"/>
        <v>36595.969999999987</v>
      </c>
      <c r="S1909" s="24" t="s">
        <v>1334</v>
      </c>
      <c r="T1909" s="24" t="s">
        <v>1334</v>
      </c>
      <c r="U1909" s="53"/>
      <c r="V1909" s="25">
        <f>IFERROR(VLOOKUP(BCP_Soles[[#This Row],[destinatario]],CHOOSE({1,2},Clientes_Proveedores[Razon Social],Clientes_Proveedores[Ruc / Dni]),2,0),"")</f>
        <v>20602484425</v>
      </c>
      <c r="W1909" s="25" t="s">
        <v>3215</v>
      </c>
      <c r="X1909" s="25" t="s">
        <v>3216</v>
      </c>
      <c r="Y1909" s="25"/>
      <c r="Z1909" s="75"/>
      <c r="AA1909" s="3" t="str">
        <f>IF(BCP_Soles[[#This Row],[fecha]]&gt;0,TEXT(BCP_Soles[[#This Row],[fecha]],"mmmm"),0)</f>
        <v>Mayo</v>
      </c>
    </row>
    <row r="1910" spans="1:27" ht="48" x14ac:dyDescent="0.3">
      <c r="A1910" s="2">
        <f>IF(BCP_Soles[[#This Row],[tipo_registro]]="R",COUNTIFS($C$1:$C1909,"R")+1,A1909)</f>
        <v>1429</v>
      </c>
      <c r="B1910" s="19" t="str">
        <f t="shared" si="156"/>
        <v>B-BCP - Soles</v>
      </c>
      <c r="C1910" s="3" t="s">
        <v>1352</v>
      </c>
      <c r="D1910" s="14">
        <v>45806</v>
      </c>
      <c r="E1910" s="5" t="s">
        <v>1338</v>
      </c>
      <c r="F1910" s="5"/>
      <c r="G1910" s="6" t="s">
        <v>488</v>
      </c>
      <c r="H1910" s="6" t="s">
        <v>68</v>
      </c>
      <c r="I1910" s="6" t="s">
        <v>1374</v>
      </c>
      <c r="J1910" s="6">
        <v>35842</v>
      </c>
      <c r="K1910" s="7" t="s">
        <v>3214</v>
      </c>
      <c r="L1910" s="8">
        <v>1109192</v>
      </c>
      <c r="M1910" s="8" t="str">
        <f t="shared" si="157"/>
        <v>PEN</v>
      </c>
      <c r="N1910" s="13">
        <v>100</v>
      </c>
      <c r="O1910" s="13"/>
      <c r="P1910" s="3">
        <f t="shared" si="158"/>
        <v>0</v>
      </c>
      <c r="Q1910" s="3">
        <f t="shared" si="159"/>
        <v>0</v>
      </c>
      <c r="R1910" s="3">
        <f t="shared" si="155"/>
        <v>36595.969999999987</v>
      </c>
      <c r="S1910" s="24"/>
      <c r="T1910" s="24" t="s">
        <v>1334</v>
      </c>
      <c r="U1910" s="53"/>
      <c r="V1910" s="25">
        <f>IFERROR(VLOOKUP(BCP_Soles[[#This Row],[destinatario]],CHOOSE({1,2},Clientes_Proveedores[Razon Social],Clientes_Proveedores[Ruc / Dni]),2,0),"")</f>
        <v>20602484425</v>
      </c>
      <c r="W1910" s="25"/>
      <c r="X1910" s="25"/>
      <c r="Y1910" s="25"/>
      <c r="Z1910" s="75"/>
      <c r="AA1910" s="3" t="str">
        <f>IF(BCP_Soles[[#This Row],[fecha]]&gt;0,TEXT(BCP_Soles[[#This Row],[fecha]],"mmmm"),0)</f>
        <v>Mayo</v>
      </c>
    </row>
    <row r="1911" spans="1:27" ht="48" x14ac:dyDescent="0.3">
      <c r="A1911" s="2">
        <f>IF(BCP_Soles[[#This Row],[tipo_registro]]="R",COUNTIFS($C$1:$C1910,"R")+1,A1910)</f>
        <v>1429</v>
      </c>
      <c r="B1911" s="19" t="str">
        <f t="shared" si="156"/>
        <v>B-BCP - Soles</v>
      </c>
      <c r="C1911" s="3" t="s">
        <v>1352</v>
      </c>
      <c r="D1911" s="14">
        <v>45806</v>
      </c>
      <c r="E1911" s="5" t="s">
        <v>1338</v>
      </c>
      <c r="F1911" s="5"/>
      <c r="G1911" s="6" t="s">
        <v>488</v>
      </c>
      <c r="H1911" s="6" t="s">
        <v>68</v>
      </c>
      <c r="I1911" s="6" t="s">
        <v>1374</v>
      </c>
      <c r="J1911" s="6">
        <v>35843</v>
      </c>
      <c r="K1911" s="7" t="s">
        <v>3214</v>
      </c>
      <c r="L1911" s="8">
        <v>1109192</v>
      </c>
      <c r="M1911" s="8" t="str">
        <f t="shared" si="157"/>
        <v>PEN</v>
      </c>
      <c r="N1911" s="13">
        <v>120</v>
      </c>
      <c r="O1911" s="13"/>
      <c r="P1911" s="3">
        <f t="shared" si="158"/>
        <v>0</v>
      </c>
      <c r="Q1911" s="3">
        <f t="shared" si="159"/>
        <v>0</v>
      </c>
      <c r="R1911" s="3">
        <f t="shared" si="155"/>
        <v>36595.969999999987</v>
      </c>
      <c r="S1911" s="24"/>
      <c r="T1911" s="24" t="s">
        <v>1334</v>
      </c>
      <c r="U1911" s="53"/>
      <c r="V1911" s="25">
        <f>IFERROR(VLOOKUP(BCP_Soles[[#This Row],[destinatario]],CHOOSE({1,2},Clientes_Proveedores[Razon Social],Clientes_Proveedores[Ruc / Dni]),2,0),"")</f>
        <v>20602484425</v>
      </c>
      <c r="W1911" s="25"/>
      <c r="X1911" s="25"/>
      <c r="Y1911" s="25"/>
      <c r="Z1911" s="75"/>
      <c r="AA1911" s="3" t="str">
        <f>IF(BCP_Soles[[#This Row],[fecha]]&gt;0,TEXT(BCP_Soles[[#This Row],[fecha]],"mmmm"),0)</f>
        <v>Mayo</v>
      </c>
    </row>
    <row r="1912" spans="1:27" ht="24" x14ac:dyDescent="0.3">
      <c r="A1912" s="2">
        <f>IF(BCP_Soles[[#This Row],[tipo_registro]]="R",COUNTIFS($C$1:$C1911,"R")+1,A1911)</f>
        <v>1430</v>
      </c>
      <c r="B1912" s="19" t="str">
        <f t="shared" si="156"/>
        <v>B-BCP - Soles</v>
      </c>
      <c r="C1912" s="3" t="s">
        <v>1330</v>
      </c>
      <c r="D1912" s="14">
        <v>45806</v>
      </c>
      <c r="E1912" s="5" t="s">
        <v>1338</v>
      </c>
      <c r="F1912" s="5" t="s">
        <v>1336</v>
      </c>
      <c r="G1912" s="6" t="s">
        <v>249</v>
      </c>
      <c r="H1912" s="6"/>
      <c r="I1912" s="6"/>
      <c r="J1912" s="6"/>
      <c r="K1912" s="7" t="s">
        <v>3217</v>
      </c>
      <c r="L1912" s="8">
        <v>1233794</v>
      </c>
      <c r="M1912" s="8" t="str">
        <f t="shared" si="157"/>
        <v>PEN</v>
      </c>
      <c r="N1912" s="13"/>
      <c r="O1912" s="13">
        <v>290.75</v>
      </c>
      <c r="P1912" s="3">
        <f t="shared" si="158"/>
        <v>0</v>
      </c>
      <c r="Q1912" s="3">
        <f t="shared" si="159"/>
        <v>290.75</v>
      </c>
      <c r="R1912" s="3">
        <f t="shared" si="155"/>
        <v>36305.219999999987</v>
      </c>
      <c r="S1912" s="24"/>
      <c r="T1912" s="24" t="s">
        <v>1334</v>
      </c>
      <c r="U1912" s="53"/>
      <c r="V1912" s="25">
        <f>IFERROR(VLOOKUP(BCP_Soles[[#This Row],[destinatario]],CHOOSE({1,2},Clientes_Proveedores[Razon Social],Clientes_Proveedores[Ruc / Dni]),2,0),"")</f>
        <v>20302891452</v>
      </c>
      <c r="W1912" s="25" t="s">
        <v>249</v>
      </c>
      <c r="X1912" s="25"/>
      <c r="Y1912" s="25"/>
      <c r="Z1912" s="75"/>
      <c r="AA1912" s="3" t="str">
        <f>IF(BCP_Soles[[#This Row],[fecha]]&gt;0,TEXT(BCP_Soles[[#This Row],[fecha]],"mmmm"),0)</f>
        <v>Mayo</v>
      </c>
    </row>
    <row r="1913" spans="1:27" ht="36" x14ac:dyDescent="0.3">
      <c r="A1913" s="2">
        <f>IF(BCP_Soles[[#This Row],[tipo_registro]]="R",COUNTIFS($C$1:$C1912,"R")+1,A1912)</f>
        <v>1431</v>
      </c>
      <c r="B1913" s="19" t="str">
        <f t="shared" si="156"/>
        <v>B-BCP - Soles</v>
      </c>
      <c r="C1913" s="3" t="s">
        <v>1330</v>
      </c>
      <c r="D1913" s="14">
        <v>45806</v>
      </c>
      <c r="E1913" s="5" t="s">
        <v>1338</v>
      </c>
      <c r="F1913" s="5" t="s">
        <v>1336</v>
      </c>
      <c r="G1913" s="6" t="s">
        <v>675</v>
      </c>
      <c r="H1913" s="6" t="s">
        <v>68</v>
      </c>
      <c r="I1913" s="6" t="s">
        <v>2912</v>
      </c>
      <c r="J1913" s="6">
        <v>1333</v>
      </c>
      <c r="K1913" s="7" t="s">
        <v>3218</v>
      </c>
      <c r="L1913" s="8">
        <v>1108199</v>
      </c>
      <c r="M1913" s="8" t="str">
        <f t="shared" si="157"/>
        <v>PEN</v>
      </c>
      <c r="N1913" s="13"/>
      <c r="O1913" s="13">
        <v>327.45</v>
      </c>
      <c r="P1913" s="3">
        <f t="shared" si="158"/>
        <v>0</v>
      </c>
      <c r="Q1913" s="3">
        <f t="shared" si="159"/>
        <v>327.45</v>
      </c>
      <c r="R1913" s="3">
        <f t="shared" si="155"/>
        <v>35977.76999999999</v>
      </c>
      <c r="S1913" s="24" t="s">
        <v>1334</v>
      </c>
      <c r="T1913" s="24" t="s">
        <v>1334</v>
      </c>
      <c r="U1913" s="53"/>
      <c r="V1913" s="25">
        <f>IFERROR(VLOOKUP(BCP_Soles[[#This Row],[destinatario]],CHOOSE({1,2},Clientes_Proveedores[Razon Social],Clientes_Proveedores[Ruc / Dni]),2,0),"")</f>
        <v>20455911401</v>
      </c>
      <c r="W1913" s="25" t="s">
        <v>2914</v>
      </c>
      <c r="X1913" s="25" t="s">
        <v>3219</v>
      </c>
      <c r="Y1913" s="25"/>
      <c r="Z1913" s="75"/>
      <c r="AA1913" s="3" t="str">
        <f>IF(BCP_Soles[[#This Row],[fecha]]&gt;0,TEXT(BCP_Soles[[#This Row],[fecha]],"mmmm"),0)</f>
        <v>Mayo</v>
      </c>
    </row>
    <row r="1914" spans="1:27" ht="36" x14ac:dyDescent="0.3">
      <c r="A1914" s="2">
        <f>IF(BCP_Soles[[#This Row],[tipo_registro]]="R",COUNTIFS($C$1:$C1913,"R")+1,A1913)</f>
        <v>1432</v>
      </c>
      <c r="B1914" s="19" t="str">
        <f t="shared" si="156"/>
        <v>B-BCP - Soles</v>
      </c>
      <c r="C1914" s="3" t="s">
        <v>1330</v>
      </c>
      <c r="D1914" s="14">
        <v>45806</v>
      </c>
      <c r="E1914" s="5" t="s">
        <v>1338</v>
      </c>
      <c r="F1914" s="5" t="s">
        <v>1336</v>
      </c>
      <c r="G1914" s="6" t="s">
        <v>689</v>
      </c>
      <c r="H1914" s="6" t="s">
        <v>68</v>
      </c>
      <c r="I1914" s="6" t="s">
        <v>1376</v>
      </c>
      <c r="J1914" s="6">
        <v>176</v>
      </c>
      <c r="K1914" s="7" t="s">
        <v>3220</v>
      </c>
      <c r="L1914" s="8">
        <v>1108198</v>
      </c>
      <c r="M1914" s="8" t="str">
        <f t="shared" si="157"/>
        <v>PEN</v>
      </c>
      <c r="N1914" s="13"/>
      <c r="O1914" s="13">
        <v>906</v>
      </c>
      <c r="P1914" s="3">
        <f t="shared" si="158"/>
        <v>0</v>
      </c>
      <c r="Q1914" s="3">
        <f t="shared" si="159"/>
        <v>906</v>
      </c>
      <c r="R1914" s="3">
        <f t="shared" si="155"/>
        <v>35071.76999999999</v>
      </c>
      <c r="S1914" s="24" t="s">
        <v>1334</v>
      </c>
      <c r="T1914" s="24" t="s">
        <v>1334</v>
      </c>
      <c r="U1914" s="53"/>
      <c r="V1914" s="25">
        <f>IFERROR(VLOOKUP(BCP_Soles[[#This Row],[destinatario]],CHOOSE({1,2},Clientes_Proveedores[Razon Social],Clientes_Proveedores[Ruc / Dni]),2,0),"")</f>
        <v>20610055487</v>
      </c>
      <c r="W1914" s="25" t="s">
        <v>3221</v>
      </c>
      <c r="X1914" s="25" t="s">
        <v>3222</v>
      </c>
      <c r="Y1914" s="25"/>
      <c r="Z1914" s="75"/>
      <c r="AA1914" s="3" t="str">
        <f>IF(BCP_Soles[[#This Row],[fecha]]&gt;0,TEXT(BCP_Soles[[#This Row],[fecha]],"mmmm"),0)</f>
        <v>Mayo</v>
      </c>
    </row>
    <row r="1915" spans="1:27" ht="24" x14ac:dyDescent="0.3">
      <c r="A1915" s="2">
        <f>IF(BCP_Soles[[#This Row],[tipo_registro]]="R",COUNTIFS($C$1:$C1914,"R")+1,A1914)</f>
        <v>1433</v>
      </c>
      <c r="B1915" s="19" t="str">
        <f t="shared" si="156"/>
        <v>B-BCP - Soles</v>
      </c>
      <c r="C1915" s="3" t="s">
        <v>1330</v>
      </c>
      <c r="D1915" s="14">
        <v>45806</v>
      </c>
      <c r="E1915" s="5" t="s">
        <v>1338</v>
      </c>
      <c r="F1915" s="5" t="s">
        <v>1336</v>
      </c>
      <c r="G1915" s="6" t="s">
        <v>759</v>
      </c>
      <c r="H1915" s="6" t="s">
        <v>72</v>
      </c>
      <c r="I1915" s="6" t="s">
        <v>1376</v>
      </c>
      <c r="J1915" s="6">
        <v>20</v>
      </c>
      <c r="K1915" s="7" t="s">
        <v>3223</v>
      </c>
      <c r="L1915" s="8">
        <v>1234269</v>
      </c>
      <c r="M1915" s="8" t="str">
        <f t="shared" si="157"/>
        <v>PEN</v>
      </c>
      <c r="N1915" s="13"/>
      <c r="O1915" s="13">
        <v>1250</v>
      </c>
      <c r="P1915" s="3">
        <f t="shared" si="158"/>
        <v>0</v>
      </c>
      <c r="Q1915" s="3">
        <f t="shared" si="159"/>
        <v>1250</v>
      </c>
      <c r="R1915" s="3">
        <f t="shared" si="155"/>
        <v>33821.76999999999</v>
      </c>
      <c r="S1915" s="24"/>
      <c r="T1915" s="24" t="s">
        <v>1334</v>
      </c>
      <c r="U1915" s="53"/>
      <c r="V1915" s="25">
        <f>IFERROR(VLOOKUP(BCP_Soles[[#This Row],[destinatario]],CHOOSE({1,2},Clientes_Proveedores[Razon Social],Clientes_Proveedores[Ruc / Dni]),2,0),"")</f>
        <v>10108661343</v>
      </c>
      <c r="W1915" s="25" t="s">
        <v>2157</v>
      </c>
      <c r="X1915" s="25"/>
      <c r="Y1915" s="25"/>
      <c r="Z1915" s="75"/>
      <c r="AA1915" s="3" t="str">
        <f>IF(BCP_Soles[[#This Row],[fecha]]&gt;0,TEXT(BCP_Soles[[#This Row],[fecha]],"mmmm"),0)</f>
        <v>Mayo</v>
      </c>
    </row>
    <row r="1916" spans="1:27" x14ac:dyDescent="0.3">
      <c r="A1916" s="2">
        <f>IF(BCP_Soles[[#This Row],[tipo_registro]]="R",COUNTIFS($C$1:$C1915,"R")+1,A1915)</f>
        <v>1434</v>
      </c>
      <c r="B1916" s="19" t="str">
        <f t="shared" si="156"/>
        <v>B-BCP - Soles</v>
      </c>
      <c r="C1916" s="3" t="s">
        <v>1330</v>
      </c>
      <c r="D1916" s="14">
        <v>45806</v>
      </c>
      <c r="E1916" s="5" t="s">
        <v>1335</v>
      </c>
      <c r="F1916" s="5" t="s">
        <v>1336</v>
      </c>
      <c r="G1916" s="6"/>
      <c r="H1916" s="6"/>
      <c r="I1916" s="6"/>
      <c r="J1916" s="6"/>
      <c r="K1916" s="7" t="s">
        <v>3160</v>
      </c>
      <c r="L1916" s="8"/>
      <c r="M1916" s="8" t="str">
        <f t="shared" si="157"/>
        <v>PEN</v>
      </c>
      <c r="N1916" s="13"/>
      <c r="O1916" s="13">
        <v>0.15</v>
      </c>
      <c r="P1916" s="3">
        <f t="shared" si="158"/>
        <v>0</v>
      </c>
      <c r="Q1916" s="3">
        <f t="shared" si="159"/>
        <v>0.15</v>
      </c>
      <c r="R1916" s="3">
        <f t="shared" si="155"/>
        <v>33821.619999999988</v>
      </c>
      <c r="S1916" s="24" t="s">
        <v>1334</v>
      </c>
      <c r="T1916" s="24" t="s">
        <v>1334</v>
      </c>
      <c r="U1916" s="53"/>
      <c r="V1916" s="25" t="str">
        <f>IFERROR(VLOOKUP(BCP_Soles[[#This Row],[destinatario]],CHOOSE({1,2},Clientes_Proveedores[Razon Social],Clientes_Proveedores[Ruc / Dni]),2,0),"")</f>
        <v/>
      </c>
      <c r="W1916" s="25"/>
      <c r="X1916" s="25"/>
      <c r="Y1916" s="25"/>
      <c r="Z1916" s="75"/>
      <c r="AA1916" s="3" t="str">
        <f>IF(BCP_Soles[[#This Row],[fecha]]&gt;0,TEXT(BCP_Soles[[#This Row],[fecha]],"mmmm"),0)</f>
        <v>Mayo</v>
      </c>
    </row>
    <row r="1917" spans="1:27" x14ac:dyDescent="0.3">
      <c r="A1917" s="2">
        <f>IF(BCP_Soles[[#This Row],[tipo_registro]]="R",COUNTIFS($C$1:$C1916,"R")+1,A1916)</f>
        <v>1435</v>
      </c>
      <c r="B1917" s="19" t="str">
        <f t="shared" si="156"/>
        <v>B-BCP - Soles</v>
      </c>
      <c r="C1917" s="3" t="s">
        <v>1330</v>
      </c>
      <c r="D1917" s="14">
        <v>45807</v>
      </c>
      <c r="E1917" s="5" t="s">
        <v>1421</v>
      </c>
      <c r="F1917" s="5" t="s">
        <v>1303</v>
      </c>
      <c r="G1917" s="6" t="s">
        <v>425</v>
      </c>
      <c r="H1917" s="6"/>
      <c r="I1917" s="6"/>
      <c r="J1917" s="6"/>
      <c r="K1917" s="7" t="s">
        <v>3224</v>
      </c>
      <c r="L1917" s="8">
        <v>830205</v>
      </c>
      <c r="M1917" s="8" t="str">
        <f t="shared" si="157"/>
        <v>PEN</v>
      </c>
      <c r="N1917" s="13"/>
      <c r="O1917" s="13">
        <v>40000</v>
      </c>
      <c r="P1917" s="3">
        <f t="shared" si="158"/>
        <v>40000</v>
      </c>
      <c r="Q1917" s="3">
        <f t="shared" si="159"/>
        <v>0</v>
      </c>
      <c r="R1917" s="3">
        <f t="shared" si="155"/>
        <v>73821.62</v>
      </c>
      <c r="S1917" s="24" t="s">
        <v>1334</v>
      </c>
      <c r="T1917" s="24" t="s">
        <v>1334</v>
      </c>
      <c r="U1917" s="53"/>
      <c r="V1917" s="25">
        <f>IFERROR(VLOOKUP(BCP_Soles[[#This Row],[destinatario]],CHOOSE({1,2},Clientes_Proveedores[Razon Social],Clientes_Proveedores[Ruc / Dni]),2,0),"")</f>
        <v>20558226979</v>
      </c>
      <c r="W1917" s="25" t="s">
        <v>1345</v>
      </c>
      <c r="X1917" s="25"/>
      <c r="Y1917" s="25"/>
      <c r="Z1917" s="75"/>
      <c r="AA1917" s="3" t="str">
        <f>IF(BCP_Soles[[#This Row],[fecha]]&gt;0,TEXT(BCP_Soles[[#This Row],[fecha]],"mmmm"),0)</f>
        <v>Mayo</v>
      </c>
    </row>
    <row r="1918" spans="1:27" ht="36" x14ac:dyDescent="0.3">
      <c r="A1918" s="2">
        <f>IF(BCP_Soles[[#This Row],[tipo_registro]]="R",COUNTIFS($C$1:$C1917,"R")+1,A1917)</f>
        <v>1436</v>
      </c>
      <c r="B1918" s="19" t="str">
        <f t="shared" si="156"/>
        <v>B-BCP - Soles</v>
      </c>
      <c r="C1918" s="3" t="s">
        <v>1330</v>
      </c>
      <c r="D1918" s="14">
        <v>45807</v>
      </c>
      <c r="E1918" s="5" t="s">
        <v>261</v>
      </c>
      <c r="F1918" s="5" t="s">
        <v>1303</v>
      </c>
      <c r="G1918" s="6" t="s">
        <v>425</v>
      </c>
      <c r="H1918" s="6"/>
      <c r="I1918" s="6"/>
      <c r="J1918" s="6"/>
      <c r="K1918" s="7" t="s">
        <v>3225</v>
      </c>
      <c r="L1918" s="8">
        <v>1944551</v>
      </c>
      <c r="M1918" s="8" t="str">
        <f t="shared" si="157"/>
        <v>PEN</v>
      </c>
      <c r="N1918" s="13"/>
      <c r="O1918" s="13">
        <v>18364.09</v>
      </c>
      <c r="P1918" s="3">
        <f t="shared" si="158"/>
        <v>18364.09</v>
      </c>
      <c r="Q1918" s="3">
        <f t="shared" si="159"/>
        <v>0</v>
      </c>
      <c r="R1918" s="3">
        <f t="shared" si="155"/>
        <v>92185.709999999992</v>
      </c>
      <c r="S1918" s="24" t="s">
        <v>1334</v>
      </c>
      <c r="T1918" s="24" t="s">
        <v>1334</v>
      </c>
      <c r="U1918" s="53"/>
      <c r="V1918" s="25">
        <f>IFERROR(VLOOKUP(BCP_Soles[[#This Row],[destinatario]],CHOOSE({1,2},Clientes_Proveedores[Razon Social],Clientes_Proveedores[Ruc / Dni]),2,0),"")</f>
        <v>20558226979</v>
      </c>
      <c r="W1918" s="25" t="s">
        <v>1345</v>
      </c>
      <c r="X1918" s="25" t="s">
        <v>3226</v>
      </c>
      <c r="Y1918" s="25"/>
      <c r="Z1918" s="75"/>
      <c r="AA1918" s="3" t="str">
        <f>IF(BCP_Soles[[#This Row],[fecha]]&gt;0,TEXT(BCP_Soles[[#This Row],[fecha]],"mmmm"),0)</f>
        <v>Mayo</v>
      </c>
    </row>
    <row r="1919" spans="1:27" ht="36" x14ac:dyDescent="0.3">
      <c r="A1919" s="2">
        <f>IF(BCP_Soles[[#This Row],[tipo_registro]]="R",COUNTIFS($C$1:$C1918,"R")+1,A1918)</f>
        <v>1437</v>
      </c>
      <c r="B1919" s="19" t="str">
        <f t="shared" si="156"/>
        <v>B-BCP - Soles</v>
      </c>
      <c r="C1919" s="3" t="s">
        <v>1330</v>
      </c>
      <c r="D1919" s="14">
        <v>45807</v>
      </c>
      <c r="E1919" s="5" t="s">
        <v>237</v>
      </c>
      <c r="F1919" s="5" t="s">
        <v>1303</v>
      </c>
      <c r="G1919" s="6" t="s">
        <v>425</v>
      </c>
      <c r="H1919" s="6"/>
      <c r="I1919" s="6"/>
      <c r="J1919" s="6"/>
      <c r="K1919" s="7" t="s">
        <v>2946</v>
      </c>
      <c r="L1919" s="8">
        <v>2069181</v>
      </c>
      <c r="M1919" s="8" t="str">
        <f t="shared" si="157"/>
        <v>PEN</v>
      </c>
      <c r="N1919" s="13"/>
      <c r="O1919" s="13">
        <v>3758.42</v>
      </c>
      <c r="P1919" s="3">
        <f t="shared" si="158"/>
        <v>3758.42</v>
      </c>
      <c r="Q1919" s="3">
        <f t="shared" si="159"/>
        <v>0</v>
      </c>
      <c r="R1919" s="3">
        <f t="shared" si="155"/>
        <v>95944.12999999999</v>
      </c>
      <c r="S1919" s="24" t="s">
        <v>1334</v>
      </c>
      <c r="T1919" s="24" t="s">
        <v>1334</v>
      </c>
      <c r="U1919" s="53"/>
      <c r="V1919" s="25">
        <f>IFERROR(VLOOKUP(BCP_Soles[[#This Row],[destinatario]],CHOOSE({1,2},Clientes_Proveedores[Razon Social],Clientes_Proveedores[Ruc / Dni]),2,0),"")</f>
        <v>20558226979</v>
      </c>
      <c r="W1919" s="25" t="s">
        <v>1345</v>
      </c>
      <c r="X1919" s="25" t="s">
        <v>3227</v>
      </c>
      <c r="Y1919" s="25"/>
      <c r="Z1919" s="75"/>
      <c r="AA1919" s="3" t="str">
        <f>IF(BCP_Soles[[#This Row],[fecha]]&gt;0,TEXT(BCP_Soles[[#This Row],[fecha]],"mmmm"),0)</f>
        <v>Mayo</v>
      </c>
    </row>
    <row r="1920" spans="1:27" ht="24" x14ac:dyDescent="0.3">
      <c r="A1920" s="2">
        <f>IF(BCP_Soles[[#This Row],[tipo_registro]]="R",COUNTIFS($C$1:$C1919,"R")+1,A1919)</f>
        <v>1438</v>
      </c>
      <c r="B1920" s="19" t="str">
        <f t="shared" si="156"/>
        <v>B-BCP - Soles</v>
      </c>
      <c r="C1920" s="3" t="s">
        <v>1330</v>
      </c>
      <c r="D1920" s="14">
        <v>45807</v>
      </c>
      <c r="E1920" s="5" t="s">
        <v>342</v>
      </c>
      <c r="F1920" s="5" t="s">
        <v>1303</v>
      </c>
      <c r="G1920" s="6" t="s">
        <v>425</v>
      </c>
      <c r="H1920" s="6"/>
      <c r="I1920" s="6"/>
      <c r="J1920" s="6"/>
      <c r="K1920" s="7" t="s">
        <v>3228</v>
      </c>
      <c r="L1920" s="8">
        <v>2281413</v>
      </c>
      <c r="M1920" s="8" t="str">
        <f t="shared" si="157"/>
        <v>PEN</v>
      </c>
      <c r="N1920" s="13"/>
      <c r="O1920" s="13">
        <v>1468.82</v>
      </c>
      <c r="P1920" s="3">
        <f t="shared" si="158"/>
        <v>1468.82</v>
      </c>
      <c r="Q1920" s="3">
        <f t="shared" si="159"/>
        <v>0</v>
      </c>
      <c r="R1920" s="3">
        <f t="shared" si="155"/>
        <v>97412.95</v>
      </c>
      <c r="S1920" s="24"/>
      <c r="T1920" s="24" t="s">
        <v>1334</v>
      </c>
      <c r="U1920" s="53"/>
      <c r="V1920" s="25">
        <f>IFERROR(VLOOKUP(BCP_Soles[[#This Row],[destinatario]],CHOOSE({1,2},Clientes_Proveedores[Razon Social],Clientes_Proveedores[Ruc / Dni]),2,0),"")</f>
        <v>20558226979</v>
      </c>
      <c r="W1920" s="25" t="s">
        <v>1345</v>
      </c>
      <c r="X1920" s="25" t="s">
        <v>3229</v>
      </c>
      <c r="Y1920" s="25"/>
      <c r="Z1920" s="75"/>
      <c r="AA1920" s="3" t="str">
        <f>IF(BCP_Soles[[#This Row],[fecha]]&gt;0,TEXT(BCP_Soles[[#This Row],[fecha]],"mmmm"),0)</f>
        <v>Mayo</v>
      </c>
    </row>
    <row r="1921" spans="1:27" ht="24" x14ac:dyDescent="0.3">
      <c r="A1921" s="2">
        <f>IF(BCP_Soles[[#This Row],[tipo_registro]]="R",COUNTIFS($C$1:$C1920,"R")+1,A1920)</f>
        <v>1439</v>
      </c>
      <c r="B1921" s="19" t="str">
        <f t="shared" si="156"/>
        <v>B-BCP - Soles</v>
      </c>
      <c r="C1921" s="3" t="s">
        <v>1330</v>
      </c>
      <c r="D1921" s="14">
        <v>45807</v>
      </c>
      <c r="E1921" s="5" t="s">
        <v>1505</v>
      </c>
      <c r="F1921" s="5" t="s">
        <v>1303</v>
      </c>
      <c r="G1921" s="6" t="s">
        <v>425</v>
      </c>
      <c r="H1921" s="6" t="s">
        <v>119</v>
      </c>
      <c r="I1921" s="6">
        <v>2</v>
      </c>
      <c r="J1921" s="6">
        <v>784</v>
      </c>
      <c r="K1921" s="7" t="s">
        <v>3230</v>
      </c>
      <c r="L1921" s="8">
        <v>7096</v>
      </c>
      <c r="M1921" s="8" t="str">
        <f t="shared" si="157"/>
        <v>PEN</v>
      </c>
      <c r="N1921" s="13"/>
      <c r="O1921" s="13">
        <v>420</v>
      </c>
      <c r="P1921" s="3">
        <f t="shared" si="158"/>
        <v>420</v>
      </c>
      <c r="Q1921" s="3">
        <f t="shared" si="159"/>
        <v>0</v>
      </c>
      <c r="R1921" s="3">
        <f t="shared" si="155"/>
        <v>97832.95</v>
      </c>
      <c r="S1921" s="24" t="s">
        <v>1334</v>
      </c>
      <c r="T1921" s="24" t="s">
        <v>1334</v>
      </c>
      <c r="U1921" s="53"/>
      <c r="V1921" s="25">
        <f>IFERROR(VLOOKUP(BCP_Soles[[#This Row],[destinatario]],CHOOSE({1,2},Clientes_Proveedores[Razon Social],Clientes_Proveedores[Ruc / Dni]),2,0),"")</f>
        <v>20558226979</v>
      </c>
      <c r="W1921" s="25" t="s">
        <v>1345</v>
      </c>
      <c r="X1921" s="25"/>
      <c r="Y1921" s="25"/>
      <c r="Z1921" s="75"/>
      <c r="AA1921" s="3" t="str">
        <f>IF(BCP_Soles[[#This Row],[fecha]]&gt;0,TEXT(BCP_Soles[[#This Row],[fecha]],"mmmm"),0)</f>
        <v>Mayo</v>
      </c>
    </row>
    <row r="1922" spans="1:27" ht="24" x14ac:dyDescent="0.3">
      <c r="A1922" s="2">
        <f>IF(BCP_Soles[[#This Row],[tipo_registro]]="R",COUNTIFS($C$1:$C1921,"R")+1,A1921)</f>
        <v>1440</v>
      </c>
      <c r="B1922" s="19" t="str">
        <f t="shared" si="156"/>
        <v>B-BCP - Soles</v>
      </c>
      <c r="C1922" s="3" t="s">
        <v>1330</v>
      </c>
      <c r="D1922" s="14">
        <v>45807</v>
      </c>
      <c r="E1922" s="5" t="s">
        <v>1335</v>
      </c>
      <c r="F1922" s="5" t="s">
        <v>1336</v>
      </c>
      <c r="G1922" s="6" t="s">
        <v>1060</v>
      </c>
      <c r="H1922" s="6"/>
      <c r="I1922" s="6"/>
      <c r="J1922" s="6"/>
      <c r="K1922" s="7" t="s">
        <v>3231</v>
      </c>
      <c r="L1922" s="8">
        <v>2339567</v>
      </c>
      <c r="M1922" s="8" t="str">
        <f t="shared" si="157"/>
        <v>PEN</v>
      </c>
      <c r="N1922" s="13"/>
      <c r="O1922" s="13">
        <v>5</v>
      </c>
      <c r="P1922" s="3">
        <f t="shared" si="158"/>
        <v>0</v>
      </c>
      <c r="Q1922" s="3">
        <f t="shared" si="159"/>
        <v>5</v>
      </c>
      <c r="R1922" s="3">
        <f t="shared" si="155"/>
        <v>97827.95</v>
      </c>
      <c r="S1922" s="24"/>
      <c r="T1922" s="24"/>
      <c r="U1922" s="53"/>
      <c r="V1922" s="25">
        <f>IFERROR(VLOOKUP(BCP_Soles[[#This Row],[destinatario]],CHOOSE({1,2},Clientes_Proveedores[Razon Social],Clientes_Proveedores[Ruc / Dni]),2,0),"")</f>
        <v>20100047218</v>
      </c>
      <c r="W1922" s="25" t="s">
        <v>1335</v>
      </c>
      <c r="X1922" s="25"/>
      <c r="Y1922" s="25"/>
      <c r="Z1922" s="75"/>
      <c r="AA1922" s="3" t="str">
        <f>IF(BCP_Soles[[#This Row],[fecha]]&gt;0,TEXT(BCP_Soles[[#This Row],[fecha]],"mmmm"),0)</f>
        <v>Mayo</v>
      </c>
    </row>
    <row r="1923" spans="1:27" x14ac:dyDescent="0.3">
      <c r="A1923" s="2">
        <f>IF(BCP_Soles[[#This Row],[tipo_registro]]="R",COUNTIFS($C$1:$C1922,"R")+1,A1922)</f>
        <v>1441</v>
      </c>
      <c r="B1923" s="19" t="str">
        <f t="shared" si="156"/>
        <v>B-BCP - Soles</v>
      </c>
      <c r="C1923" s="3" t="s">
        <v>1330</v>
      </c>
      <c r="D1923" s="14">
        <v>45807</v>
      </c>
      <c r="E1923" s="5" t="s">
        <v>1335</v>
      </c>
      <c r="F1923" s="5" t="s">
        <v>1336</v>
      </c>
      <c r="G1923" s="6"/>
      <c r="H1923" s="6"/>
      <c r="I1923" s="6"/>
      <c r="J1923" s="6"/>
      <c r="K1923" s="7" t="s">
        <v>3160</v>
      </c>
      <c r="L1923" s="8"/>
      <c r="M1923" s="8" t="str">
        <f t="shared" si="157"/>
        <v>PEN</v>
      </c>
      <c r="N1923" s="13"/>
      <c r="O1923" s="13">
        <v>7.2</v>
      </c>
      <c r="P1923" s="3">
        <f t="shared" si="158"/>
        <v>0</v>
      </c>
      <c r="Q1923" s="3">
        <f t="shared" si="159"/>
        <v>7.2</v>
      </c>
      <c r="R1923" s="3">
        <f t="shared" si="155"/>
        <v>97820.75</v>
      </c>
      <c r="S1923" s="24" t="s">
        <v>1334</v>
      </c>
      <c r="T1923" s="24" t="s">
        <v>1334</v>
      </c>
      <c r="U1923" s="53"/>
      <c r="V1923" s="25" t="str">
        <f>IFERROR(VLOOKUP(BCP_Soles[[#This Row],[destinatario]],CHOOSE({1,2},Clientes_Proveedores[Razon Social],Clientes_Proveedores[Ruc / Dni]),2,0),"")</f>
        <v/>
      </c>
      <c r="W1923" s="25"/>
      <c r="X1923" s="25"/>
      <c r="Y1923" s="25"/>
      <c r="Z1923" s="75"/>
      <c r="AA1923" s="3" t="str">
        <f>IF(BCP_Soles[[#This Row],[fecha]]&gt;0,TEXT(BCP_Soles[[#This Row],[fecha]],"mmmm"),0)</f>
        <v>Mayo</v>
      </c>
    </row>
    <row r="1924" spans="1:27" ht="24" x14ac:dyDescent="0.3">
      <c r="A1924" s="2">
        <f>IF(BCP_Soles[[#This Row],[tipo_registro]]="R",COUNTIFS($C$1:$C1923,"R")+1,A1923)</f>
        <v>1442</v>
      </c>
      <c r="B1924" s="19" t="str">
        <f t="shared" si="156"/>
        <v>B-BCP - Soles</v>
      </c>
      <c r="C1924" s="3" t="s">
        <v>1330</v>
      </c>
      <c r="D1924" s="14">
        <v>45807</v>
      </c>
      <c r="E1924" s="5" t="s">
        <v>1335</v>
      </c>
      <c r="F1924" s="5" t="s">
        <v>1336</v>
      </c>
      <c r="G1924" s="6" t="s">
        <v>1060</v>
      </c>
      <c r="H1924" s="6" t="s">
        <v>68</v>
      </c>
      <c r="I1924" s="6" t="s">
        <v>1397</v>
      </c>
      <c r="J1924" s="6">
        <v>33142638</v>
      </c>
      <c r="K1924" s="7" t="s">
        <v>1400</v>
      </c>
      <c r="L1924" s="8">
        <v>776</v>
      </c>
      <c r="M1924" s="8" t="str">
        <f t="shared" si="157"/>
        <v>PEN</v>
      </c>
      <c r="N1924" s="13"/>
      <c r="O1924" s="13">
        <v>10</v>
      </c>
      <c r="P1924" s="3">
        <f t="shared" si="158"/>
        <v>0</v>
      </c>
      <c r="Q1924" s="3">
        <f t="shared" si="159"/>
        <v>10</v>
      </c>
      <c r="R1924" s="3">
        <f t="shared" si="155"/>
        <v>97810.75</v>
      </c>
      <c r="S1924" s="24"/>
      <c r="T1924" s="24" t="s">
        <v>1334</v>
      </c>
      <c r="U1924" s="53"/>
      <c r="V1924" s="25">
        <f>IFERROR(VLOOKUP(BCP_Soles[[#This Row],[destinatario]],CHOOSE({1,2},Clientes_Proveedores[Razon Social],Clientes_Proveedores[Ruc / Dni]),2,0),"")</f>
        <v>20100047218</v>
      </c>
      <c r="W1924" s="25" t="s">
        <v>1335</v>
      </c>
      <c r="X1924" s="25"/>
      <c r="Y1924" s="25"/>
      <c r="Z1924" s="75"/>
      <c r="AA1924" s="3" t="str">
        <f>IF(BCP_Soles[[#This Row],[fecha]]&gt;0,TEXT(BCP_Soles[[#This Row],[fecha]],"mmmm"),0)</f>
        <v>Mayo</v>
      </c>
    </row>
    <row r="1925" spans="1:27" ht="24" x14ac:dyDescent="0.3">
      <c r="A1925" s="2">
        <f>IF(BCP_Soles[[#This Row],[tipo_registro]]="R",COUNTIFS($C$1:$C1924,"R")+1,A1924)</f>
        <v>1443</v>
      </c>
      <c r="B1925" s="19" t="str">
        <f t="shared" si="156"/>
        <v>B-BCP - Soles</v>
      </c>
      <c r="C1925" s="3" t="s">
        <v>1330</v>
      </c>
      <c r="D1925" s="14">
        <v>45807</v>
      </c>
      <c r="E1925" s="5" t="s">
        <v>1338</v>
      </c>
      <c r="F1925" s="5" t="s">
        <v>1336</v>
      </c>
      <c r="G1925" s="6" t="s">
        <v>705</v>
      </c>
      <c r="H1925" s="6" t="s">
        <v>106</v>
      </c>
      <c r="I1925" s="6" t="s">
        <v>1563</v>
      </c>
      <c r="J1925" s="6">
        <v>69309475</v>
      </c>
      <c r="K1925" s="7" t="s">
        <v>1564</v>
      </c>
      <c r="L1925" s="8">
        <v>4145100</v>
      </c>
      <c r="M1925" s="8" t="str">
        <f t="shared" si="157"/>
        <v>PEN</v>
      </c>
      <c r="N1925" s="13"/>
      <c r="O1925" s="13">
        <v>79.900000000000006</v>
      </c>
      <c r="P1925" s="3">
        <f t="shared" si="158"/>
        <v>0</v>
      </c>
      <c r="Q1925" s="3">
        <f t="shared" si="159"/>
        <v>79.900000000000006</v>
      </c>
      <c r="R1925" s="3">
        <f t="shared" si="155"/>
        <v>97730.85</v>
      </c>
      <c r="S1925" s="24" t="s">
        <v>1334</v>
      </c>
      <c r="T1925" s="24" t="s">
        <v>1334</v>
      </c>
      <c r="U1925" s="53"/>
      <c r="V1925" s="25">
        <f>IFERROR(VLOOKUP(BCP_Soles[[#This Row],[destinatario]],CHOOSE({1,2},Clientes_Proveedores[Razon Social],Clientes_Proveedores[Ruc / Dni]),2,0),"")</f>
        <v>20100017491</v>
      </c>
      <c r="W1925" s="25" t="s">
        <v>1565</v>
      </c>
      <c r="X1925" s="25" t="s">
        <v>3232</v>
      </c>
      <c r="Y1925" s="25"/>
      <c r="Z1925" s="75"/>
      <c r="AA1925" s="3" t="str">
        <f>IF(BCP_Soles[[#This Row],[fecha]]&gt;0,TEXT(BCP_Soles[[#This Row],[fecha]],"mmmm"),0)</f>
        <v>Mayo</v>
      </c>
    </row>
    <row r="1926" spans="1:27" ht="24" x14ac:dyDescent="0.3">
      <c r="A1926" s="2">
        <f>IF(BCP_Soles[[#This Row],[tipo_registro]]="R",COUNTIFS($C$1:$C1925,"R")+1,A1925)</f>
        <v>1444</v>
      </c>
      <c r="B1926" s="19" t="str">
        <f t="shared" si="156"/>
        <v>B-BCP - Soles</v>
      </c>
      <c r="C1926" s="3" t="s">
        <v>1330</v>
      </c>
      <c r="D1926" s="14">
        <v>45807</v>
      </c>
      <c r="E1926" s="5" t="s">
        <v>1338</v>
      </c>
      <c r="F1926" s="5" t="s">
        <v>1336</v>
      </c>
      <c r="G1926" s="6" t="s">
        <v>737</v>
      </c>
      <c r="H1926" s="6" t="s">
        <v>68</v>
      </c>
      <c r="I1926" s="6" t="s">
        <v>2331</v>
      </c>
      <c r="J1926" s="6">
        <v>2647</v>
      </c>
      <c r="K1926" s="7" t="s">
        <v>3233</v>
      </c>
      <c r="L1926" s="8">
        <v>1148051</v>
      </c>
      <c r="M1926" s="8" t="str">
        <f t="shared" si="157"/>
        <v>PEN</v>
      </c>
      <c r="N1926" s="13"/>
      <c r="O1926" s="13">
        <v>645</v>
      </c>
      <c r="P1926" s="3">
        <f t="shared" si="158"/>
        <v>0</v>
      </c>
      <c r="Q1926" s="3">
        <f t="shared" si="159"/>
        <v>645</v>
      </c>
      <c r="R1926" s="3">
        <f t="shared" si="155"/>
        <v>97085.85</v>
      </c>
      <c r="S1926" s="24" t="s">
        <v>1334</v>
      </c>
      <c r="T1926" s="24" t="s">
        <v>1334</v>
      </c>
      <c r="U1926" s="53"/>
      <c r="V1926" s="25">
        <f>IFERROR(VLOOKUP(BCP_Soles[[#This Row],[destinatario]],CHOOSE({1,2},Clientes_Proveedores[Razon Social],Clientes_Proveedores[Ruc / Dni]),2,0),"")</f>
        <v>20559169774</v>
      </c>
      <c r="W1926" s="25" t="s">
        <v>737</v>
      </c>
      <c r="X1926" s="25" t="s">
        <v>3234</v>
      </c>
      <c r="Y1926" s="25"/>
      <c r="Z1926" s="75"/>
      <c r="AA1926" s="3" t="str">
        <f>IF(BCP_Soles[[#This Row],[fecha]]&gt;0,TEXT(BCP_Soles[[#This Row],[fecha]],"mmmm"),0)</f>
        <v>Mayo</v>
      </c>
    </row>
    <row r="1927" spans="1:27" x14ac:dyDescent="0.3">
      <c r="A1927" s="2">
        <f>IF(BCP_Soles[[#This Row],[tipo_registro]]="R",COUNTIFS($C$1:$C1926,"R")+1,A1926)</f>
        <v>1445</v>
      </c>
      <c r="B1927" s="19" t="str">
        <f t="shared" si="156"/>
        <v>B-BCP - Soles</v>
      </c>
      <c r="C1927" s="3" t="s">
        <v>1330</v>
      </c>
      <c r="D1927" s="14">
        <v>45807</v>
      </c>
      <c r="E1927" s="5"/>
      <c r="F1927" s="5" t="s">
        <v>1336</v>
      </c>
      <c r="G1927" s="6"/>
      <c r="H1927" s="6"/>
      <c r="I1927" s="6"/>
      <c r="J1927" s="6"/>
      <c r="K1927" s="7" t="s">
        <v>3235</v>
      </c>
      <c r="L1927" s="8">
        <v>1014297</v>
      </c>
      <c r="M1927" s="8" t="str">
        <f t="shared" si="157"/>
        <v>PEN</v>
      </c>
      <c r="N1927" s="13"/>
      <c r="O1927" s="13">
        <v>750</v>
      </c>
      <c r="P1927" s="3">
        <f t="shared" si="158"/>
        <v>0</v>
      </c>
      <c r="Q1927" s="3">
        <f t="shared" si="159"/>
        <v>750</v>
      </c>
      <c r="R1927" s="3">
        <f t="shared" si="155"/>
        <v>96335.85</v>
      </c>
      <c r="S1927" s="24"/>
      <c r="T1927" s="24"/>
      <c r="U1927" s="53"/>
      <c r="V1927" s="25" t="str">
        <f>IFERROR(VLOOKUP(BCP_Soles[[#This Row],[destinatario]],CHOOSE({1,2},Clientes_Proveedores[Razon Social],Clientes_Proveedores[Ruc / Dni]),2,0),"")</f>
        <v/>
      </c>
      <c r="W1927" s="25"/>
      <c r="X1927" s="25"/>
      <c r="Y1927" s="25"/>
      <c r="Z1927" s="75"/>
      <c r="AA1927" s="3" t="str">
        <f>IF(BCP_Soles[[#This Row],[fecha]]&gt;0,TEXT(BCP_Soles[[#This Row],[fecha]],"mmmm"),0)</f>
        <v>Mayo</v>
      </c>
    </row>
    <row r="1928" spans="1:27" ht="24" x14ac:dyDescent="0.3">
      <c r="A1928" s="2">
        <f>IF(BCP_Soles[[#This Row],[tipo_registro]]="R",COUNTIFS($C$1:$C1927,"R")+1,A1927)</f>
        <v>1446</v>
      </c>
      <c r="B1928" s="19" t="str">
        <f t="shared" si="156"/>
        <v>B-BCP - Soles</v>
      </c>
      <c r="C1928" s="3" t="s">
        <v>1330</v>
      </c>
      <c r="D1928" s="14">
        <v>45807</v>
      </c>
      <c r="E1928" s="5" t="s">
        <v>1338</v>
      </c>
      <c r="F1928" s="5" t="s">
        <v>1336</v>
      </c>
      <c r="G1928" s="6" t="s">
        <v>1060</v>
      </c>
      <c r="H1928" s="6"/>
      <c r="I1928" s="6"/>
      <c r="J1928" s="6"/>
      <c r="K1928" s="7" t="s">
        <v>3236</v>
      </c>
      <c r="L1928" s="8">
        <v>4036115</v>
      </c>
      <c r="M1928" s="8" t="str">
        <f t="shared" si="157"/>
        <v>PEN</v>
      </c>
      <c r="N1928" s="13"/>
      <c r="O1928" s="13">
        <v>802.01</v>
      </c>
      <c r="P1928" s="3">
        <f t="shared" si="158"/>
        <v>0</v>
      </c>
      <c r="Q1928" s="3">
        <f t="shared" si="159"/>
        <v>802.01</v>
      </c>
      <c r="R1928" s="3">
        <f t="shared" si="155"/>
        <v>95533.840000000011</v>
      </c>
      <c r="S1928" s="24"/>
      <c r="T1928" s="24" t="s">
        <v>1334</v>
      </c>
      <c r="U1928" s="53"/>
      <c r="V1928" s="25">
        <f>IFERROR(VLOOKUP(BCP_Soles[[#This Row],[destinatario]],CHOOSE({1,2},Clientes_Proveedores[Razon Social],Clientes_Proveedores[Ruc / Dni]),2,0),"")</f>
        <v>20100047218</v>
      </c>
      <c r="W1928" s="25" t="s">
        <v>2892</v>
      </c>
      <c r="X1928" s="25" t="s">
        <v>3237</v>
      </c>
      <c r="Y1928" s="25"/>
      <c r="Z1928" s="75"/>
      <c r="AA1928" s="3" t="str">
        <f>IF(BCP_Soles[[#This Row],[fecha]]&gt;0,TEXT(BCP_Soles[[#This Row],[fecha]],"mmmm"),0)</f>
        <v>Mayo</v>
      </c>
    </row>
    <row r="1929" spans="1:27" x14ac:dyDescent="0.3">
      <c r="A1929" s="2">
        <f>IF(BCP_Soles[[#This Row],[tipo_registro]]="R",COUNTIFS($C$1:$C1928,"R")+1,A1928)</f>
        <v>1446</v>
      </c>
      <c r="B1929" s="19" t="str">
        <f t="shared" si="156"/>
        <v>B-BCP - Soles</v>
      </c>
      <c r="C1929" s="3" t="s">
        <v>1352</v>
      </c>
      <c r="D1929" s="14">
        <v>45807</v>
      </c>
      <c r="E1929" s="5" t="s">
        <v>1338</v>
      </c>
      <c r="F1929" s="5"/>
      <c r="G1929" s="6" t="s">
        <v>286</v>
      </c>
      <c r="H1929" s="6" t="s">
        <v>68</v>
      </c>
      <c r="I1929" s="6" t="s">
        <v>1386</v>
      </c>
      <c r="J1929" s="6">
        <v>1698</v>
      </c>
      <c r="K1929" s="7" t="s">
        <v>3236</v>
      </c>
      <c r="L1929" s="8">
        <v>4036115</v>
      </c>
      <c r="M1929" s="8" t="str">
        <f t="shared" si="157"/>
        <v>PEN</v>
      </c>
      <c r="N1929" s="13">
        <v>529.51</v>
      </c>
      <c r="O1929" s="13"/>
      <c r="P1929" s="3">
        <f t="shared" si="158"/>
        <v>0</v>
      </c>
      <c r="Q1929" s="3">
        <f t="shared" si="159"/>
        <v>0</v>
      </c>
      <c r="R1929" s="3">
        <f t="shared" ref="R1929:R1992" si="160">IFERROR(IF(F1929="SALDO",P1929,R1928+P1929-Q1929),0)</f>
        <v>95533.840000000011</v>
      </c>
      <c r="S1929" s="24"/>
      <c r="T1929" s="24" t="s">
        <v>1334</v>
      </c>
      <c r="U1929" s="53"/>
      <c r="V1929" s="25">
        <f>IFERROR(VLOOKUP(BCP_Soles[[#This Row],[destinatario]],CHOOSE({1,2},Clientes_Proveedores[Razon Social],Clientes_Proveedores[Ruc / Dni]),2,0),"")</f>
        <v>20454186002</v>
      </c>
      <c r="W1929" s="25"/>
      <c r="X1929" s="25"/>
      <c r="Y1929" s="25"/>
      <c r="Z1929" s="75"/>
      <c r="AA1929" s="3" t="str">
        <f>IF(BCP_Soles[[#This Row],[fecha]]&gt;0,TEXT(BCP_Soles[[#This Row],[fecha]],"mmmm"),0)</f>
        <v>Mayo</v>
      </c>
    </row>
    <row r="1930" spans="1:27" x14ac:dyDescent="0.3">
      <c r="A1930" s="2">
        <f>IF(BCP_Soles[[#This Row],[tipo_registro]]="R",COUNTIFS($C$1:$C1929,"R")+1,A1929)</f>
        <v>1446</v>
      </c>
      <c r="B1930" s="19" t="str">
        <f t="shared" si="156"/>
        <v>B-BCP - Soles</v>
      </c>
      <c r="C1930" s="3" t="s">
        <v>1352</v>
      </c>
      <c r="D1930" s="14">
        <v>45807</v>
      </c>
      <c r="E1930" s="5" t="s">
        <v>1338</v>
      </c>
      <c r="F1930" s="5"/>
      <c r="G1930" s="6" t="s">
        <v>286</v>
      </c>
      <c r="H1930" s="6" t="s">
        <v>68</v>
      </c>
      <c r="I1930" s="6" t="s">
        <v>1386</v>
      </c>
      <c r="J1930" s="6">
        <v>1699</v>
      </c>
      <c r="K1930" s="7" t="s">
        <v>3236</v>
      </c>
      <c r="L1930" s="8">
        <v>4036115</v>
      </c>
      <c r="M1930" s="8" t="str">
        <f t="shared" si="157"/>
        <v>PEN</v>
      </c>
      <c r="N1930" s="13">
        <v>268.2</v>
      </c>
      <c r="O1930" s="13"/>
      <c r="P1930" s="3">
        <f t="shared" si="158"/>
        <v>0</v>
      </c>
      <c r="Q1930" s="3">
        <f t="shared" si="159"/>
        <v>0</v>
      </c>
      <c r="R1930" s="3">
        <f t="shared" si="160"/>
        <v>95533.840000000011</v>
      </c>
      <c r="S1930" s="24"/>
      <c r="T1930" s="24" t="s">
        <v>1334</v>
      </c>
      <c r="U1930" s="53"/>
      <c r="V1930" s="25">
        <f>IFERROR(VLOOKUP(BCP_Soles[[#This Row],[destinatario]],CHOOSE({1,2},Clientes_Proveedores[Razon Social],Clientes_Proveedores[Ruc / Dni]),2,0),"")</f>
        <v>20454186002</v>
      </c>
      <c r="W1930" s="25"/>
      <c r="X1930" s="25"/>
      <c r="Y1930" s="25"/>
      <c r="Z1930" s="75"/>
      <c r="AA1930" s="3" t="str">
        <f>IF(BCP_Soles[[#This Row],[fecha]]&gt;0,TEXT(BCP_Soles[[#This Row],[fecha]],"mmmm"),0)</f>
        <v>Mayo</v>
      </c>
    </row>
    <row r="1931" spans="1:27" x14ac:dyDescent="0.3">
      <c r="A1931" s="2">
        <f>IF(BCP_Soles[[#This Row],[tipo_registro]]="R",COUNTIFS($C$1:$C1930,"R")+1,A1930)</f>
        <v>1447</v>
      </c>
      <c r="B1931" s="19" t="str">
        <f t="shared" si="156"/>
        <v>B-BCP - Soles</v>
      </c>
      <c r="C1931" s="3" t="s">
        <v>1330</v>
      </c>
      <c r="D1931" s="14">
        <v>45807</v>
      </c>
      <c r="E1931" s="5" t="s">
        <v>2269</v>
      </c>
      <c r="F1931" s="5" t="s">
        <v>1336</v>
      </c>
      <c r="G1931" s="6"/>
      <c r="H1931" s="6"/>
      <c r="I1931" s="6"/>
      <c r="J1931" s="6"/>
      <c r="K1931" s="7" t="s">
        <v>3238</v>
      </c>
      <c r="L1931" s="8">
        <v>1006415</v>
      </c>
      <c r="M1931" s="8" t="str">
        <f t="shared" si="157"/>
        <v>PEN</v>
      </c>
      <c r="N1931" s="13"/>
      <c r="O1931" s="13">
        <v>866</v>
      </c>
      <c r="P1931" s="3">
        <f t="shared" si="158"/>
        <v>0</v>
      </c>
      <c r="Q1931" s="3">
        <f t="shared" si="159"/>
        <v>866</v>
      </c>
      <c r="R1931" s="3">
        <f t="shared" si="160"/>
        <v>94667.840000000011</v>
      </c>
      <c r="S1931" s="24"/>
      <c r="T1931" s="24"/>
      <c r="U1931" s="53"/>
      <c r="V1931" s="25" t="str">
        <f>IFERROR(VLOOKUP(BCP_Soles[[#This Row],[destinatario]],CHOOSE({1,2},Clientes_Proveedores[Razon Social],Clientes_Proveedores[Ruc / Dni]),2,0),"")</f>
        <v/>
      </c>
      <c r="W1931" s="25" t="s">
        <v>2666</v>
      </c>
      <c r="X1931" s="25"/>
      <c r="Y1931" s="25"/>
      <c r="Z1931" s="75"/>
      <c r="AA1931" s="3" t="str">
        <f>IF(BCP_Soles[[#This Row],[fecha]]&gt;0,TEXT(BCP_Soles[[#This Row],[fecha]],"mmmm"),0)</f>
        <v>Mayo</v>
      </c>
    </row>
    <row r="1932" spans="1:27" ht="36" x14ac:dyDescent="0.3">
      <c r="A1932" s="2">
        <f>IF(BCP_Soles[[#This Row],[tipo_registro]]="R",COUNTIFS($C$1:$C1931,"R")+1,A1931)</f>
        <v>1448</v>
      </c>
      <c r="B1932" s="19" t="str">
        <f t="shared" si="156"/>
        <v>B-BCP - Soles</v>
      </c>
      <c r="C1932" s="3" t="s">
        <v>1330</v>
      </c>
      <c r="D1932" s="14">
        <v>45807</v>
      </c>
      <c r="E1932" s="5" t="s">
        <v>1338</v>
      </c>
      <c r="F1932" s="5" t="s">
        <v>1336</v>
      </c>
      <c r="G1932" s="6" t="s">
        <v>132</v>
      </c>
      <c r="H1932" s="6" t="s">
        <v>68</v>
      </c>
      <c r="I1932" s="6"/>
      <c r="J1932" s="6"/>
      <c r="K1932" s="7" t="s">
        <v>3239</v>
      </c>
      <c r="L1932" s="8">
        <v>1349267</v>
      </c>
      <c r="M1932" s="8" t="str">
        <f t="shared" si="157"/>
        <v>PEN</v>
      </c>
      <c r="N1932" s="13"/>
      <c r="O1932" s="13">
        <v>888</v>
      </c>
      <c r="P1932" s="3">
        <f t="shared" si="158"/>
        <v>0</v>
      </c>
      <c r="Q1932" s="3">
        <f t="shared" si="159"/>
        <v>888</v>
      </c>
      <c r="R1932" s="3">
        <f t="shared" si="160"/>
        <v>93779.840000000011</v>
      </c>
      <c r="S1932" s="24" t="s">
        <v>1334</v>
      </c>
      <c r="T1932" s="24" t="s">
        <v>1334</v>
      </c>
      <c r="U1932" s="53"/>
      <c r="V1932" s="25">
        <f>IFERROR(VLOOKUP(BCP_Soles[[#This Row],[destinatario]],CHOOSE({1,2},Clientes_Proveedores[Razon Social],Clientes_Proveedores[Ruc / Dni]),2,0),"")</f>
        <v>10296695781</v>
      </c>
      <c r="W1932" s="25" t="s">
        <v>132</v>
      </c>
      <c r="X1932" s="25" t="s">
        <v>3240</v>
      </c>
      <c r="Y1932" s="25"/>
      <c r="Z1932" s="75"/>
      <c r="AA1932" s="3" t="str">
        <f>IF(BCP_Soles[[#This Row],[fecha]]&gt;0,TEXT(BCP_Soles[[#This Row],[fecha]],"mmmm"),0)</f>
        <v>Mayo</v>
      </c>
    </row>
    <row r="1933" spans="1:27" x14ac:dyDescent="0.3">
      <c r="A1933" s="2">
        <f>IF(BCP_Soles[[#This Row],[tipo_registro]]="R",COUNTIFS($C$1:$C1932,"R")+1,A1932)</f>
        <v>1449</v>
      </c>
      <c r="B1933" s="19" t="str">
        <f t="shared" si="156"/>
        <v>B-BCP - Soles</v>
      </c>
      <c r="C1933" s="3" t="s">
        <v>1330</v>
      </c>
      <c r="D1933" s="14">
        <v>45807</v>
      </c>
      <c r="E1933" s="5" t="s">
        <v>1338</v>
      </c>
      <c r="F1933" s="5" t="s">
        <v>1336</v>
      </c>
      <c r="G1933" s="6" t="s">
        <v>696</v>
      </c>
      <c r="H1933" s="6"/>
      <c r="I1933" s="6"/>
      <c r="J1933" s="6"/>
      <c r="K1933" s="7" t="s">
        <v>3241</v>
      </c>
      <c r="L1933" s="8">
        <v>2339481</v>
      </c>
      <c r="M1933" s="8" t="str">
        <f t="shared" si="157"/>
        <v>PEN</v>
      </c>
      <c r="N1933" s="13"/>
      <c r="O1933" s="13">
        <v>3667.8</v>
      </c>
      <c r="P1933" s="3">
        <f t="shared" si="158"/>
        <v>0</v>
      </c>
      <c r="Q1933" s="3">
        <f t="shared" si="159"/>
        <v>3667.8</v>
      </c>
      <c r="R1933" s="3">
        <f t="shared" si="160"/>
        <v>90112.040000000008</v>
      </c>
      <c r="S1933" s="24" t="s">
        <v>1334</v>
      </c>
      <c r="T1933" s="24" t="s">
        <v>1334</v>
      </c>
      <c r="U1933" s="53"/>
      <c r="V1933" s="25">
        <f>IFERROR(VLOOKUP(BCP_Soles[[#This Row],[destinatario]],CHOOSE({1,2},Clientes_Proveedores[Razon Social],Clientes_Proveedores[Ruc / Dni]),2,0),"")</f>
        <v>0</v>
      </c>
      <c r="W1933" s="25" t="s">
        <v>1373</v>
      </c>
      <c r="X1933" s="25"/>
      <c r="Y1933" s="25"/>
      <c r="Z1933" s="75"/>
      <c r="AA1933" s="3" t="str">
        <f>IF(BCP_Soles[[#This Row],[fecha]]&gt;0,TEXT(BCP_Soles[[#This Row],[fecha]],"mmmm"),0)</f>
        <v>Mayo</v>
      </c>
    </row>
    <row r="1934" spans="1:27" ht="36" x14ac:dyDescent="0.3">
      <c r="A1934" s="2">
        <f>IF(BCP_Soles[[#This Row],[tipo_registro]]="R",COUNTIFS($C$1:$C1933,"R")+1,A1933)</f>
        <v>1449</v>
      </c>
      <c r="B1934" s="19" t="str">
        <f t="shared" si="156"/>
        <v>B-BCP - Soles</v>
      </c>
      <c r="C1934" s="3" t="s">
        <v>1352</v>
      </c>
      <c r="D1934" s="14">
        <v>45807</v>
      </c>
      <c r="E1934" s="5" t="s">
        <v>1338</v>
      </c>
      <c r="F1934" s="5"/>
      <c r="G1934" s="6" t="s">
        <v>117</v>
      </c>
      <c r="H1934" s="6"/>
      <c r="I1934" s="6" t="s">
        <v>1376</v>
      </c>
      <c r="J1934" s="6">
        <v>491</v>
      </c>
      <c r="K1934" s="7" t="s">
        <v>3241</v>
      </c>
      <c r="L1934" s="8">
        <v>2339481</v>
      </c>
      <c r="M1934" s="8" t="str">
        <f t="shared" si="157"/>
        <v>PEN</v>
      </c>
      <c r="N1934" s="13">
        <v>453</v>
      </c>
      <c r="O1934" s="13"/>
      <c r="P1934" s="3">
        <f t="shared" si="158"/>
        <v>0</v>
      </c>
      <c r="Q1934" s="3">
        <f t="shared" si="159"/>
        <v>0</v>
      </c>
      <c r="R1934" s="3">
        <f t="shared" si="160"/>
        <v>90112.040000000008</v>
      </c>
      <c r="S1934" s="24"/>
      <c r="T1934" s="24" t="s">
        <v>1334</v>
      </c>
      <c r="U1934" s="53"/>
      <c r="V1934" s="25">
        <f>IFERROR(VLOOKUP(BCP_Soles[[#This Row],[destinatario]],CHOOSE({1,2},Clientes_Proveedores[Razon Social],Clientes_Proveedores[Ruc / Dni]),2,0),"")</f>
        <v>10295492908</v>
      </c>
      <c r="W1934" s="25"/>
      <c r="X1934" s="25"/>
      <c r="Y1934" s="25"/>
      <c r="Z1934" s="75"/>
      <c r="AA1934" s="3" t="str">
        <f>IF(BCP_Soles[[#This Row],[fecha]]&gt;0,TEXT(BCP_Soles[[#This Row],[fecha]],"mmmm"),0)</f>
        <v>Mayo</v>
      </c>
    </row>
    <row r="1935" spans="1:27" ht="36" x14ac:dyDescent="0.3">
      <c r="A1935" s="2">
        <f>IF(BCP_Soles[[#This Row],[tipo_registro]]="R",COUNTIFS($C$1:$C1934,"R")+1,A1934)</f>
        <v>1449</v>
      </c>
      <c r="B1935" s="19" t="str">
        <f t="shared" si="156"/>
        <v>B-BCP - Soles</v>
      </c>
      <c r="C1935" s="3" t="s">
        <v>1352</v>
      </c>
      <c r="D1935" s="14">
        <v>45807</v>
      </c>
      <c r="E1935" s="5" t="s">
        <v>1338</v>
      </c>
      <c r="F1935" s="5"/>
      <c r="G1935" s="6" t="s">
        <v>474</v>
      </c>
      <c r="H1935" s="6"/>
      <c r="I1935" s="6" t="s">
        <v>1376</v>
      </c>
      <c r="J1935" s="6">
        <v>767</v>
      </c>
      <c r="K1935" s="7" t="s">
        <v>3241</v>
      </c>
      <c r="L1935" s="8">
        <v>2339481</v>
      </c>
      <c r="M1935" s="8" t="str">
        <f t="shared" si="157"/>
        <v>PEN</v>
      </c>
      <c r="N1935" s="13">
        <v>672</v>
      </c>
      <c r="O1935" s="13"/>
      <c r="P1935" s="3">
        <f t="shared" si="158"/>
        <v>0</v>
      </c>
      <c r="Q1935" s="3">
        <f t="shared" si="159"/>
        <v>0</v>
      </c>
      <c r="R1935" s="3">
        <f t="shared" si="160"/>
        <v>90112.040000000008</v>
      </c>
      <c r="S1935" s="24"/>
      <c r="T1935" s="24" t="s">
        <v>1334</v>
      </c>
      <c r="U1935" s="53"/>
      <c r="V1935" s="25">
        <f>IFERROR(VLOOKUP(BCP_Soles[[#This Row],[destinatario]],CHOOSE({1,2},Clientes_Proveedores[Razon Social],Clientes_Proveedores[Ruc / Dni]),2,0),"")</f>
        <v>20602075177</v>
      </c>
      <c r="W1935" s="25"/>
      <c r="X1935" s="25"/>
      <c r="Y1935" s="25"/>
      <c r="Z1935" s="75"/>
      <c r="AA1935" s="3" t="str">
        <f>IF(BCP_Soles[[#This Row],[fecha]]&gt;0,TEXT(BCP_Soles[[#This Row],[fecha]],"mmmm"),0)</f>
        <v>Mayo</v>
      </c>
    </row>
    <row r="1936" spans="1:27" ht="36" x14ac:dyDescent="0.3">
      <c r="A1936" s="2">
        <f>IF(BCP_Soles[[#This Row],[tipo_registro]]="R",COUNTIFS($C$1:$C1935,"R")+1,A1935)</f>
        <v>1449</v>
      </c>
      <c r="B1936" s="19" t="str">
        <f t="shared" si="156"/>
        <v>B-BCP - Soles</v>
      </c>
      <c r="C1936" s="3" t="s">
        <v>1352</v>
      </c>
      <c r="D1936" s="14">
        <v>45807</v>
      </c>
      <c r="E1936" s="5" t="s">
        <v>1338</v>
      </c>
      <c r="F1936" s="5"/>
      <c r="G1936" s="6" t="s">
        <v>153</v>
      </c>
      <c r="H1936" s="6"/>
      <c r="I1936" s="6" t="s">
        <v>1376</v>
      </c>
      <c r="J1936" s="6">
        <v>400</v>
      </c>
      <c r="K1936" s="7" t="s">
        <v>3241</v>
      </c>
      <c r="L1936" s="8">
        <v>2339481</v>
      </c>
      <c r="M1936" s="8" t="str">
        <f t="shared" si="157"/>
        <v>PEN</v>
      </c>
      <c r="N1936" s="13">
        <v>290</v>
      </c>
      <c r="O1936" s="13"/>
      <c r="P1936" s="3">
        <f t="shared" si="158"/>
        <v>0</v>
      </c>
      <c r="Q1936" s="3">
        <f t="shared" si="159"/>
        <v>0</v>
      </c>
      <c r="R1936" s="3">
        <f t="shared" si="160"/>
        <v>90112.040000000008</v>
      </c>
      <c r="S1936" s="24"/>
      <c r="T1936" s="24" t="s">
        <v>1334</v>
      </c>
      <c r="U1936" s="53"/>
      <c r="V1936" s="25">
        <f>IFERROR(VLOOKUP(BCP_Soles[[#This Row],[destinatario]],CHOOSE({1,2},Clientes_Proveedores[Razon Social],Clientes_Proveedores[Ruc / Dni]),2,0),"")</f>
        <v>10405211179</v>
      </c>
      <c r="W1936" s="25"/>
      <c r="X1936" s="25"/>
      <c r="Y1936" s="25"/>
      <c r="Z1936" s="75"/>
      <c r="AA1936" s="3" t="str">
        <f>IF(BCP_Soles[[#This Row],[fecha]]&gt;0,TEXT(BCP_Soles[[#This Row],[fecha]],"mmmm"),0)</f>
        <v>Mayo</v>
      </c>
    </row>
    <row r="1937" spans="1:27" ht="36" x14ac:dyDescent="0.3">
      <c r="A1937" s="2">
        <f>IF(BCP_Soles[[#This Row],[tipo_registro]]="R",COUNTIFS($C$1:$C1936,"R")+1,A1936)</f>
        <v>1449</v>
      </c>
      <c r="B1937" s="19" t="str">
        <f t="shared" si="156"/>
        <v>B-BCP - Soles</v>
      </c>
      <c r="C1937" s="3" t="s">
        <v>1352</v>
      </c>
      <c r="D1937" s="14">
        <v>45807</v>
      </c>
      <c r="E1937" s="5" t="s">
        <v>1338</v>
      </c>
      <c r="F1937" s="5"/>
      <c r="G1937" s="6" t="s">
        <v>277</v>
      </c>
      <c r="H1937" s="6"/>
      <c r="I1937" s="6" t="s">
        <v>1390</v>
      </c>
      <c r="J1937" s="6">
        <v>1754</v>
      </c>
      <c r="K1937" s="7" t="s">
        <v>3241</v>
      </c>
      <c r="L1937" s="8">
        <v>2339481</v>
      </c>
      <c r="M1937" s="8" t="str">
        <f t="shared" si="157"/>
        <v>PEN</v>
      </c>
      <c r="N1937" s="13">
        <v>1728</v>
      </c>
      <c r="O1937" s="13"/>
      <c r="P1937" s="3">
        <f t="shared" si="158"/>
        <v>0</v>
      </c>
      <c r="Q1937" s="3">
        <f t="shared" si="159"/>
        <v>0</v>
      </c>
      <c r="R1937" s="3">
        <f t="shared" si="160"/>
        <v>90112.040000000008</v>
      </c>
      <c r="S1937" s="24"/>
      <c r="T1937" s="24" t="s">
        <v>1334</v>
      </c>
      <c r="U1937" s="53"/>
      <c r="V1937" s="25">
        <f>IFERROR(VLOOKUP(BCP_Soles[[#This Row],[destinatario]],CHOOSE({1,2},Clientes_Proveedores[Razon Social],Clientes_Proveedores[Ruc / Dni]),2,0),"")</f>
        <v>20429640939</v>
      </c>
      <c r="W1937" s="25"/>
      <c r="X1937" s="25"/>
      <c r="Y1937" s="25"/>
      <c r="Z1937" s="75"/>
      <c r="AA1937" s="3" t="str">
        <f>IF(BCP_Soles[[#This Row],[fecha]]&gt;0,TEXT(BCP_Soles[[#This Row],[fecha]],"mmmm"),0)</f>
        <v>Mayo</v>
      </c>
    </row>
    <row r="1938" spans="1:27" ht="24" x14ac:dyDescent="0.3">
      <c r="A1938" s="2">
        <f>IF(BCP_Soles[[#This Row],[tipo_registro]]="R",COUNTIFS($C$1:$C1937,"R")+1,A1937)</f>
        <v>1449</v>
      </c>
      <c r="B1938" s="19" t="str">
        <f t="shared" si="156"/>
        <v>B-BCP - Soles</v>
      </c>
      <c r="C1938" s="3" t="s">
        <v>1352</v>
      </c>
      <c r="D1938" s="14">
        <v>45807</v>
      </c>
      <c r="E1938" s="5" t="s">
        <v>1338</v>
      </c>
      <c r="F1938" s="5"/>
      <c r="G1938" s="6" t="s">
        <v>187</v>
      </c>
      <c r="H1938" s="6"/>
      <c r="I1938" s="6" t="s">
        <v>1376</v>
      </c>
      <c r="J1938" s="6">
        <v>439</v>
      </c>
      <c r="K1938" s="7" t="s">
        <v>3241</v>
      </c>
      <c r="L1938" s="8">
        <v>2339481</v>
      </c>
      <c r="M1938" s="8" t="str">
        <f t="shared" si="157"/>
        <v>PEN</v>
      </c>
      <c r="N1938" s="13">
        <v>100</v>
      </c>
      <c r="O1938" s="13"/>
      <c r="P1938" s="3">
        <f t="shared" si="158"/>
        <v>0</v>
      </c>
      <c r="Q1938" s="3">
        <f t="shared" si="159"/>
        <v>0</v>
      </c>
      <c r="R1938" s="3">
        <f t="shared" si="160"/>
        <v>90112.040000000008</v>
      </c>
      <c r="S1938" s="24"/>
      <c r="T1938" s="24" t="s">
        <v>1334</v>
      </c>
      <c r="U1938" s="53"/>
      <c r="V1938" s="25">
        <f>IFERROR(VLOOKUP(BCP_Soles[[#This Row],[destinatario]],CHOOSE({1,2},Clientes_Proveedores[Razon Social],Clientes_Proveedores[Ruc / Dni]),2,0),"")</f>
        <v>10706063426</v>
      </c>
      <c r="W1938" s="25"/>
      <c r="X1938" s="25"/>
      <c r="Y1938" s="25"/>
      <c r="Z1938" s="75"/>
      <c r="AA1938" s="3" t="str">
        <f>IF(BCP_Soles[[#This Row],[fecha]]&gt;0,TEXT(BCP_Soles[[#This Row],[fecha]],"mmmm"),0)</f>
        <v>Mayo</v>
      </c>
    </row>
    <row r="1939" spans="1:27" x14ac:dyDescent="0.3">
      <c r="A1939" s="2">
        <f>IF(BCP_Soles[[#This Row],[tipo_registro]]="R",COUNTIFS($C$1:$C1938,"R")+1,A1938)</f>
        <v>1449</v>
      </c>
      <c r="B1939" s="19" t="str">
        <f t="shared" si="156"/>
        <v>B-BCP - Soles</v>
      </c>
      <c r="C1939" s="3" t="s">
        <v>1352</v>
      </c>
      <c r="D1939" s="14">
        <v>45807</v>
      </c>
      <c r="E1939" s="5" t="s">
        <v>1338</v>
      </c>
      <c r="F1939" s="5"/>
      <c r="G1939" s="6" t="s">
        <v>286</v>
      </c>
      <c r="H1939" s="6"/>
      <c r="I1939" s="6" t="s">
        <v>1386</v>
      </c>
      <c r="J1939" s="6">
        <v>1700</v>
      </c>
      <c r="K1939" s="7" t="s">
        <v>3241</v>
      </c>
      <c r="L1939" s="8">
        <v>2339481</v>
      </c>
      <c r="M1939" s="8" t="str">
        <f t="shared" si="157"/>
        <v>PEN</v>
      </c>
      <c r="N1939" s="13">
        <v>258</v>
      </c>
      <c r="O1939" s="13"/>
      <c r="P1939" s="3">
        <f t="shared" si="158"/>
        <v>0</v>
      </c>
      <c r="Q1939" s="3">
        <f t="shared" si="159"/>
        <v>0</v>
      </c>
      <c r="R1939" s="3">
        <f t="shared" si="160"/>
        <v>90112.040000000008</v>
      </c>
      <c r="S1939" s="24"/>
      <c r="T1939" s="24" t="s">
        <v>1334</v>
      </c>
      <c r="U1939" s="53"/>
      <c r="V1939" s="25">
        <f>IFERROR(VLOOKUP(BCP_Soles[[#This Row],[destinatario]],CHOOSE({1,2},Clientes_Proveedores[Razon Social],Clientes_Proveedores[Ruc / Dni]),2,0),"")</f>
        <v>20454186002</v>
      </c>
      <c r="W1939" s="25"/>
      <c r="X1939" s="25"/>
      <c r="Y1939" s="25"/>
      <c r="Z1939" s="75"/>
      <c r="AA1939" s="3" t="str">
        <f>IF(BCP_Soles[[#This Row],[fecha]]&gt;0,TEXT(BCP_Soles[[#This Row],[fecha]],"mmmm"),0)</f>
        <v>Mayo</v>
      </c>
    </row>
    <row r="1940" spans="1:27" x14ac:dyDescent="0.3">
      <c r="A1940" s="2">
        <f>IF(BCP_Soles[[#This Row],[tipo_registro]]="R",COUNTIFS($C$1:$C1939,"R")+1,A1939)</f>
        <v>1449</v>
      </c>
      <c r="B1940" s="19" t="str">
        <f t="shared" si="156"/>
        <v>B-BCP - Soles</v>
      </c>
      <c r="C1940" s="3" t="s">
        <v>1352</v>
      </c>
      <c r="D1940" s="14">
        <v>45807</v>
      </c>
      <c r="E1940" s="5" t="s">
        <v>1338</v>
      </c>
      <c r="F1940" s="5"/>
      <c r="G1940" s="6" t="s">
        <v>286</v>
      </c>
      <c r="H1940" s="6"/>
      <c r="I1940" s="6" t="s">
        <v>1386</v>
      </c>
      <c r="J1940" s="6">
        <v>1701</v>
      </c>
      <c r="K1940" s="7" t="s">
        <v>3241</v>
      </c>
      <c r="L1940" s="8">
        <v>2339481</v>
      </c>
      <c r="M1940" s="8" t="str">
        <f t="shared" si="157"/>
        <v>PEN</v>
      </c>
      <c r="N1940" s="13">
        <v>166.8</v>
      </c>
      <c r="O1940" s="13"/>
      <c r="P1940" s="3">
        <f t="shared" si="158"/>
        <v>0</v>
      </c>
      <c r="Q1940" s="3">
        <f t="shared" si="159"/>
        <v>0</v>
      </c>
      <c r="R1940" s="3">
        <f t="shared" si="160"/>
        <v>90112.040000000008</v>
      </c>
      <c r="S1940" s="24"/>
      <c r="T1940" s="24" t="s">
        <v>1334</v>
      </c>
      <c r="U1940" s="53"/>
      <c r="V1940" s="25">
        <f>IFERROR(VLOOKUP(BCP_Soles[[#This Row],[destinatario]],CHOOSE({1,2},Clientes_Proveedores[Razon Social],Clientes_Proveedores[Ruc / Dni]),2,0),"")</f>
        <v>20454186002</v>
      </c>
      <c r="W1940" s="25"/>
      <c r="X1940" s="25"/>
      <c r="Y1940" s="25"/>
      <c r="Z1940" s="75"/>
      <c r="AA1940" s="3" t="str">
        <f>IF(BCP_Soles[[#This Row],[fecha]]&gt;0,TEXT(BCP_Soles[[#This Row],[fecha]],"mmmm"),0)</f>
        <v>Mayo</v>
      </c>
    </row>
    <row r="1941" spans="1:27" x14ac:dyDescent="0.3">
      <c r="A1941" s="2">
        <f>IF(BCP_Soles[[#This Row],[tipo_registro]]="R",COUNTIFS($C$1:$C1940,"R")+1,A1940)</f>
        <v>1450</v>
      </c>
      <c r="B1941" s="19" t="str">
        <f t="shared" si="156"/>
        <v>B-BCP - Soles</v>
      </c>
      <c r="C1941" s="3" t="s">
        <v>1330</v>
      </c>
      <c r="D1941" s="14">
        <v>45807</v>
      </c>
      <c r="E1941" s="5" t="s">
        <v>1416</v>
      </c>
      <c r="F1941" s="5" t="s">
        <v>1336</v>
      </c>
      <c r="G1941" s="6" t="s">
        <v>696</v>
      </c>
      <c r="H1941" s="6"/>
      <c r="I1941" s="6"/>
      <c r="J1941" s="6"/>
      <c r="K1941" s="7" t="s">
        <v>3242</v>
      </c>
      <c r="L1941" s="8">
        <v>2339449</v>
      </c>
      <c r="M1941" s="8" t="str">
        <f t="shared" si="157"/>
        <v>PEN</v>
      </c>
      <c r="N1941" s="13"/>
      <c r="O1941" s="13">
        <v>79406.84</v>
      </c>
      <c r="P1941" s="3">
        <f t="shared" si="158"/>
        <v>0</v>
      </c>
      <c r="Q1941" s="3">
        <f t="shared" si="159"/>
        <v>79406.84</v>
      </c>
      <c r="R1941" s="3">
        <f t="shared" si="160"/>
        <v>10705.200000000012</v>
      </c>
      <c r="S1941" s="24"/>
      <c r="T1941" s="24"/>
      <c r="U1941" s="53"/>
      <c r="V1941" s="25">
        <f>IFERROR(VLOOKUP(BCP_Soles[[#This Row],[destinatario]],CHOOSE({1,2},Clientes_Proveedores[Razon Social],Clientes_Proveedores[Ruc / Dni]),2,0),"")</f>
        <v>0</v>
      </c>
      <c r="W1941" s="25" t="s">
        <v>1373</v>
      </c>
      <c r="X1941" s="25"/>
      <c r="Y1941" s="25"/>
      <c r="Z1941" s="75"/>
      <c r="AA1941" s="3" t="str">
        <f>IF(BCP_Soles[[#This Row],[fecha]]&gt;0,TEXT(BCP_Soles[[#This Row],[fecha]],"mmmm"),0)</f>
        <v>Mayo</v>
      </c>
    </row>
    <row r="1942" spans="1:27" ht="36" x14ac:dyDescent="0.3">
      <c r="A1942" s="2">
        <f>IF(BCP_Soles[[#This Row],[tipo_registro]]="R",COUNTIFS($C$1:$C1941,"R")+1,A1941)</f>
        <v>1451</v>
      </c>
      <c r="B1942" s="19" t="str">
        <f t="shared" ref="B1942:B2005" si="161">"B-BCP - Soles"</f>
        <v>B-BCP - Soles</v>
      </c>
      <c r="C1942" s="3" t="s">
        <v>1330</v>
      </c>
      <c r="D1942" s="14">
        <v>45808</v>
      </c>
      <c r="E1942" s="5" t="s">
        <v>261</v>
      </c>
      <c r="F1942" s="5" t="s">
        <v>1303</v>
      </c>
      <c r="G1942" s="6" t="s">
        <v>425</v>
      </c>
      <c r="H1942" s="6"/>
      <c r="I1942" s="6"/>
      <c r="J1942" s="6"/>
      <c r="K1942" s="7" t="s">
        <v>3243</v>
      </c>
      <c r="L1942" s="8">
        <v>2839373</v>
      </c>
      <c r="M1942" s="8" t="str">
        <f t="shared" ref="M1942:M2005" si="162">"PEN"</f>
        <v>PEN</v>
      </c>
      <c r="N1942" s="13"/>
      <c r="O1942" s="13">
        <v>26112.13</v>
      </c>
      <c r="P1942" s="3">
        <f t="shared" ref="P1942:P2005" si="163">+IF(OR($F1942="SALDO",$F1942="INGRESO"),$O1942,0)</f>
        <v>26112.13</v>
      </c>
      <c r="Q1942" s="3">
        <f t="shared" ref="Q1942:Q2005" si="164">+IF($F1942="EGRESO",$O1942,0)</f>
        <v>0</v>
      </c>
      <c r="R1942" s="3">
        <f t="shared" si="160"/>
        <v>36817.330000000016</v>
      </c>
      <c r="S1942" s="24" t="s">
        <v>1334</v>
      </c>
      <c r="T1942" s="24" t="s">
        <v>1334</v>
      </c>
      <c r="U1942" s="53"/>
      <c r="V1942" s="25">
        <f>IFERROR(VLOOKUP(BCP_Soles[[#This Row],[destinatario]],CHOOSE({1,2},Clientes_Proveedores[Razon Social],Clientes_Proveedores[Ruc / Dni]),2,0),"")</f>
        <v>20558226979</v>
      </c>
      <c r="W1942" s="25" t="s">
        <v>1345</v>
      </c>
      <c r="X1942" s="25" t="s">
        <v>3244</v>
      </c>
      <c r="Y1942" s="25"/>
      <c r="Z1942" s="75"/>
      <c r="AA1942" s="3" t="str">
        <f>IF(BCP_Soles[[#This Row],[fecha]]&gt;0,TEXT(BCP_Soles[[#This Row],[fecha]],"mmmm"),0)</f>
        <v>Mayo</v>
      </c>
    </row>
    <row r="1943" spans="1:27" x14ac:dyDescent="0.3">
      <c r="A1943" s="2">
        <f>IF(BCP_Soles[[#This Row],[tipo_registro]]="R",COUNTIFS($C$1:$C1942,"R")+1,A1942)</f>
        <v>1452</v>
      </c>
      <c r="B1943" s="19" t="str">
        <f t="shared" si="161"/>
        <v>B-BCP - Soles</v>
      </c>
      <c r="C1943" s="3" t="s">
        <v>1330</v>
      </c>
      <c r="D1943" s="14">
        <v>45808</v>
      </c>
      <c r="E1943" s="5" t="s">
        <v>1335</v>
      </c>
      <c r="F1943" s="5" t="s">
        <v>1336</v>
      </c>
      <c r="G1943" s="6"/>
      <c r="H1943" s="6"/>
      <c r="I1943" s="6"/>
      <c r="J1943" s="6"/>
      <c r="K1943" s="7" t="s">
        <v>3160</v>
      </c>
      <c r="L1943" s="8"/>
      <c r="M1943" s="8" t="str">
        <f t="shared" si="162"/>
        <v>PEN</v>
      </c>
      <c r="N1943" s="13"/>
      <c r="O1943" s="13">
        <v>1.3</v>
      </c>
      <c r="P1943" s="3">
        <f t="shared" si="163"/>
        <v>0</v>
      </c>
      <c r="Q1943" s="3">
        <f t="shared" si="164"/>
        <v>1.3</v>
      </c>
      <c r="R1943" s="3">
        <f t="shared" si="160"/>
        <v>36816.030000000013</v>
      </c>
      <c r="S1943" s="24" t="s">
        <v>1334</v>
      </c>
      <c r="T1943" s="24" t="s">
        <v>1334</v>
      </c>
      <c r="U1943" s="53"/>
      <c r="V1943" s="25" t="str">
        <f>IFERROR(VLOOKUP(BCP_Soles[[#This Row],[destinatario]],CHOOSE({1,2},Clientes_Proveedores[Razon Social],Clientes_Proveedores[Ruc / Dni]),2,0),"")</f>
        <v/>
      </c>
      <c r="W1943" s="25"/>
      <c r="X1943" s="25"/>
      <c r="Y1943" s="25"/>
      <c r="Z1943" s="75"/>
      <c r="AA1943" s="3" t="str">
        <f>IF(BCP_Soles[[#This Row],[fecha]]&gt;0,TEXT(BCP_Soles[[#This Row],[fecha]],"mmmm"),0)</f>
        <v>Mayo</v>
      </c>
    </row>
    <row r="1944" spans="1:27" ht="24" x14ac:dyDescent="0.3">
      <c r="A1944" s="2">
        <f>IF(BCP_Soles[[#This Row],[tipo_registro]]="R",COUNTIFS($C$1:$C1943,"R")+1,A1943)</f>
        <v>1453</v>
      </c>
      <c r="B1944" s="19" t="str">
        <f t="shared" si="161"/>
        <v>B-BCP - Soles</v>
      </c>
      <c r="C1944" s="3" t="s">
        <v>1330</v>
      </c>
      <c r="D1944" s="14">
        <v>45808</v>
      </c>
      <c r="E1944" s="5" t="s">
        <v>1335</v>
      </c>
      <c r="F1944" s="5" t="s">
        <v>1336</v>
      </c>
      <c r="G1944" s="6" t="s">
        <v>1060</v>
      </c>
      <c r="H1944" s="6"/>
      <c r="I1944" s="6"/>
      <c r="J1944" s="6"/>
      <c r="K1944" s="7" t="s">
        <v>1758</v>
      </c>
      <c r="L1944" s="8">
        <v>973953</v>
      </c>
      <c r="M1944" s="8" t="str">
        <f t="shared" si="162"/>
        <v>PEN</v>
      </c>
      <c r="N1944" s="13"/>
      <c r="O1944" s="13">
        <v>5.5</v>
      </c>
      <c r="P1944" s="3">
        <f t="shared" si="163"/>
        <v>0</v>
      </c>
      <c r="Q1944" s="3">
        <f t="shared" si="164"/>
        <v>5.5</v>
      </c>
      <c r="R1944" s="3">
        <f t="shared" si="160"/>
        <v>36810.530000000013</v>
      </c>
      <c r="S1944" s="24"/>
      <c r="T1944" s="24"/>
      <c r="U1944" s="53"/>
      <c r="V1944" s="25">
        <f>IFERROR(VLOOKUP(BCP_Soles[[#This Row],[destinatario]],CHOOSE({1,2},Clientes_Proveedores[Razon Social],Clientes_Proveedores[Ruc / Dni]),2,0),"")</f>
        <v>20100047218</v>
      </c>
      <c r="W1944" s="25" t="s">
        <v>1335</v>
      </c>
      <c r="X1944" s="25"/>
      <c r="Y1944" s="25"/>
      <c r="Z1944" s="75"/>
      <c r="AA1944" s="3" t="str">
        <f>IF(BCP_Soles[[#This Row],[fecha]]&gt;0,TEXT(BCP_Soles[[#This Row],[fecha]],"mmmm"),0)</f>
        <v>Mayo</v>
      </c>
    </row>
    <row r="1945" spans="1:27" ht="24" x14ac:dyDescent="0.3">
      <c r="A1945" s="2">
        <f>IF(BCP_Soles[[#This Row],[tipo_registro]]="R",COUNTIFS($C$1:$C1944,"R")+1,A1944)</f>
        <v>1454</v>
      </c>
      <c r="B1945" s="19" t="str">
        <f t="shared" si="161"/>
        <v>B-BCP - Soles</v>
      </c>
      <c r="C1945" s="3" t="s">
        <v>1330</v>
      </c>
      <c r="D1945" s="14">
        <v>45808</v>
      </c>
      <c r="E1945" s="5" t="s">
        <v>1335</v>
      </c>
      <c r="F1945" s="5" t="s">
        <v>1336</v>
      </c>
      <c r="G1945" s="6" t="s">
        <v>1060</v>
      </c>
      <c r="H1945" s="6"/>
      <c r="I1945" s="6"/>
      <c r="J1945" s="6"/>
      <c r="K1945" s="7" t="s">
        <v>1756</v>
      </c>
      <c r="L1945" s="8"/>
      <c r="M1945" s="8" t="str">
        <f t="shared" si="162"/>
        <v>PEN</v>
      </c>
      <c r="N1945" s="13"/>
      <c r="O1945" s="13">
        <v>35</v>
      </c>
      <c r="P1945" s="3">
        <f t="shared" si="163"/>
        <v>0</v>
      </c>
      <c r="Q1945" s="3">
        <f t="shared" si="164"/>
        <v>35</v>
      </c>
      <c r="R1945" s="3">
        <f t="shared" si="160"/>
        <v>36775.530000000013</v>
      </c>
      <c r="S1945" s="24"/>
      <c r="T1945" s="24"/>
      <c r="U1945" s="53"/>
      <c r="V1945" s="25">
        <f>IFERROR(VLOOKUP(BCP_Soles[[#This Row],[destinatario]],CHOOSE({1,2},Clientes_Proveedores[Razon Social],Clientes_Proveedores[Ruc / Dni]),2,0),"")</f>
        <v>20100047218</v>
      </c>
      <c r="W1945" s="25" t="s">
        <v>1335</v>
      </c>
      <c r="X1945" s="25"/>
      <c r="Y1945" s="25"/>
      <c r="Z1945" s="75"/>
      <c r="AA1945" s="3" t="str">
        <f>IF(BCP_Soles[[#This Row],[fecha]]&gt;0,TEXT(BCP_Soles[[#This Row],[fecha]],"mmmm"),0)</f>
        <v>Mayo</v>
      </c>
    </row>
    <row r="1946" spans="1:27" x14ac:dyDescent="0.3">
      <c r="A1946" s="2">
        <f>IF(BCP_Soles[[#This Row],[tipo_registro]]="R",COUNTIFS($C$1:$C1945,"R")+1,A1945)</f>
        <v>1455</v>
      </c>
      <c r="B1946" s="19" t="str">
        <f t="shared" si="161"/>
        <v>B-BCP - Soles</v>
      </c>
      <c r="C1946" s="3" t="s">
        <v>1330</v>
      </c>
      <c r="D1946" s="14">
        <v>45810</v>
      </c>
      <c r="E1946" s="5" t="s">
        <v>1498</v>
      </c>
      <c r="F1946" s="5" t="s">
        <v>1303</v>
      </c>
      <c r="G1946" s="6" t="s">
        <v>425</v>
      </c>
      <c r="H1946" s="6" t="s">
        <v>119</v>
      </c>
      <c r="I1946" s="6">
        <v>1</v>
      </c>
      <c r="J1946" s="6">
        <v>4456</v>
      </c>
      <c r="K1946" s="7" t="s">
        <v>1356</v>
      </c>
      <c r="L1946" s="8">
        <v>3873512</v>
      </c>
      <c r="M1946" s="8" t="str">
        <f t="shared" si="162"/>
        <v>PEN</v>
      </c>
      <c r="N1946" s="13"/>
      <c r="O1946" s="13">
        <v>260</v>
      </c>
      <c r="P1946" s="3">
        <f t="shared" si="163"/>
        <v>260</v>
      </c>
      <c r="Q1946" s="3">
        <f t="shared" si="164"/>
        <v>0</v>
      </c>
      <c r="R1946" s="3">
        <f t="shared" si="160"/>
        <v>37035.530000000013</v>
      </c>
      <c r="S1946" s="24" t="s">
        <v>1334</v>
      </c>
      <c r="T1946" s="24" t="s">
        <v>1334</v>
      </c>
      <c r="U1946" s="53"/>
      <c r="V1946" s="25">
        <f>IFERROR(VLOOKUP(BCP_Soles[[#This Row],[destinatario]],CHOOSE({1,2},Clientes_Proveedores[Razon Social],Clientes_Proveedores[Ruc / Dni]),2,0),"")</f>
        <v>20558226979</v>
      </c>
      <c r="W1946" s="25" t="s">
        <v>1345</v>
      </c>
      <c r="X1946" s="25" t="s">
        <v>3245</v>
      </c>
      <c r="Y1946" s="25"/>
      <c r="Z1946" s="75"/>
      <c r="AA1946" s="3" t="str">
        <f>IF(BCP_Soles[[#This Row],[fecha]]&gt;0,TEXT(BCP_Soles[[#This Row],[fecha]],"mmmm"),0)</f>
        <v>Junio</v>
      </c>
    </row>
    <row r="1947" spans="1:27" x14ac:dyDescent="0.3">
      <c r="A1947" s="2">
        <f>IF(BCP_Soles[[#This Row],[tipo_registro]]="R",COUNTIFS($C$1:$C1946,"R")+1,A1946)</f>
        <v>1456</v>
      </c>
      <c r="B1947" s="19" t="str">
        <f t="shared" si="161"/>
        <v>B-BCP - Soles</v>
      </c>
      <c r="C1947" s="3" t="s">
        <v>1330</v>
      </c>
      <c r="D1947" s="14">
        <v>45810</v>
      </c>
      <c r="E1947" s="5"/>
      <c r="F1947" s="5" t="s">
        <v>1303</v>
      </c>
      <c r="G1947" s="6" t="s">
        <v>425</v>
      </c>
      <c r="H1947" s="6"/>
      <c r="I1947" s="6"/>
      <c r="J1947" s="6"/>
      <c r="K1947" s="7" t="s">
        <v>1356</v>
      </c>
      <c r="L1947" s="8">
        <v>1570066</v>
      </c>
      <c r="M1947" s="8" t="str">
        <f t="shared" si="162"/>
        <v>PEN</v>
      </c>
      <c r="N1947" s="13"/>
      <c r="O1947" s="13">
        <v>136.5</v>
      </c>
      <c r="P1947" s="3">
        <f t="shared" si="163"/>
        <v>136.5</v>
      </c>
      <c r="Q1947" s="3">
        <f t="shared" si="164"/>
        <v>0</v>
      </c>
      <c r="R1947" s="3">
        <f t="shared" si="160"/>
        <v>37172.030000000013</v>
      </c>
      <c r="S1947" s="24" t="s">
        <v>1334</v>
      </c>
      <c r="T1947" s="24" t="s">
        <v>1334</v>
      </c>
      <c r="U1947" s="53"/>
      <c r="V1947" s="25">
        <f>IFERROR(VLOOKUP(BCP_Soles[[#This Row],[destinatario]],CHOOSE({1,2},Clientes_Proveedores[Razon Social],Clientes_Proveedores[Ruc / Dni]),2,0),"")</f>
        <v>20558226979</v>
      </c>
      <c r="W1947" s="25" t="s">
        <v>1345</v>
      </c>
      <c r="X1947" s="25"/>
      <c r="Y1947" s="25"/>
      <c r="Z1947" s="75"/>
      <c r="AA1947" s="3" t="str">
        <f>IF(BCP_Soles[[#This Row],[fecha]]&gt;0,TEXT(BCP_Soles[[#This Row],[fecha]],"mmmm"),0)</f>
        <v>Junio</v>
      </c>
    </row>
    <row r="1948" spans="1:27" ht="36" x14ac:dyDescent="0.3">
      <c r="A1948" s="2">
        <f>IF(BCP_Soles[[#This Row],[tipo_registro]]="R",COUNTIFS($C$1:$C1947,"R")+1,A1947)</f>
        <v>1456</v>
      </c>
      <c r="B1948" s="19" t="str">
        <f t="shared" si="161"/>
        <v>B-BCP - Soles</v>
      </c>
      <c r="C1948" s="3" t="s">
        <v>1352</v>
      </c>
      <c r="D1948" s="14">
        <v>45810</v>
      </c>
      <c r="E1948" s="5" t="s">
        <v>1628</v>
      </c>
      <c r="F1948" s="5" t="s">
        <v>1303</v>
      </c>
      <c r="G1948" s="6" t="s">
        <v>425</v>
      </c>
      <c r="H1948" s="6" t="s">
        <v>119</v>
      </c>
      <c r="I1948" s="6">
        <v>2</v>
      </c>
      <c r="J1948" s="6">
        <v>767</v>
      </c>
      <c r="K1948" s="7" t="s">
        <v>1356</v>
      </c>
      <c r="L1948" s="8">
        <v>1570066</v>
      </c>
      <c r="M1948" s="8" t="str">
        <f t="shared" si="162"/>
        <v>PEN</v>
      </c>
      <c r="N1948" s="13">
        <v>49.6</v>
      </c>
      <c r="O1948" s="13"/>
      <c r="P1948" s="3">
        <f t="shared" si="163"/>
        <v>0</v>
      </c>
      <c r="Q1948" s="3">
        <f t="shared" si="164"/>
        <v>0</v>
      </c>
      <c r="R1948" s="3">
        <f t="shared" si="160"/>
        <v>37172.030000000013</v>
      </c>
      <c r="S1948" s="24" t="s">
        <v>1334</v>
      </c>
      <c r="T1948" s="24" t="s">
        <v>1334</v>
      </c>
      <c r="U1948" s="53"/>
      <c r="V1948" s="25">
        <f>IFERROR(VLOOKUP(BCP_Soles[[#This Row],[destinatario]],CHOOSE({1,2},Clientes_Proveedores[Razon Social],Clientes_Proveedores[Ruc / Dni]),2,0),"")</f>
        <v>20558226979</v>
      </c>
      <c r="W1948" s="25" t="s">
        <v>1345</v>
      </c>
      <c r="X1948" s="25" t="s">
        <v>3246</v>
      </c>
      <c r="Y1948" s="25"/>
      <c r="Z1948" s="75"/>
      <c r="AA1948" s="3" t="str">
        <f>IF(BCP_Soles[[#This Row],[fecha]]&gt;0,TEXT(BCP_Soles[[#This Row],[fecha]],"mmmm"),0)</f>
        <v>Junio</v>
      </c>
    </row>
    <row r="1949" spans="1:27" ht="36" x14ac:dyDescent="0.3">
      <c r="A1949" s="2">
        <f>IF(BCP_Soles[[#This Row],[tipo_registro]]="R",COUNTIFS($C$1:$C1948,"R")+1,A1948)</f>
        <v>1456</v>
      </c>
      <c r="B1949" s="19" t="str">
        <f t="shared" si="161"/>
        <v>B-BCP - Soles</v>
      </c>
      <c r="C1949" s="3" t="s">
        <v>1352</v>
      </c>
      <c r="D1949" s="14">
        <v>45810</v>
      </c>
      <c r="E1949" s="5" t="s">
        <v>1628</v>
      </c>
      <c r="F1949" s="5" t="s">
        <v>1303</v>
      </c>
      <c r="G1949" s="6" t="s">
        <v>425</v>
      </c>
      <c r="H1949" s="6" t="s">
        <v>119</v>
      </c>
      <c r="I1949" s="6">
        <v>2</v>
      </c>
      <c r="J1949" s="6">
        <v>772</v>
      </c>
      <c r="K1949" s="7" t="s">
        <v>1356</v>
      </c>
      <c r="L1949" s="8">
        <v>1570066</v>
      </c>
      <c r="M1949" s="8" t="str">
        <f t="shared" si="162"/>
        <v>PEN</v>
      </c>
      <c r="N1949" s="13">
        <v>86.9</v>
      </c>
      <c r="O1949" s="13"/>
      <c r="P1949" s="3">
        <f t="shared" si="163"/>
        <v>0</v>
      </c>
      <c r="Q1949" s="3">
        <f t="shared" si="164"/>
        <v>0</v>
      </c>
      <c r="R1949" s="3">
        <f t="shared" si="160"/>
        <v>37172.030000000013</v>
      </c>
      <c r="S1949" s="24" t="s">
        <v>1334</v>
      </c>
      <c r="T1949" s="24" t="s">
        <v>1334</v>
      </c>
      <c r="U1949" s="53"/>
      <c r="V1949" s="25">
        <f>IFERROR(VLOOKUP(BCP_Soles[[#This Row],[destinatario]],CHOOSE({1,2},Clientes_Proveedores[Razon Social],Clientes_Proveedores[Ruc / Dni]),2,0),"")</f>
        <v>20558226979</v>
      </c>
      <c r="W1949" s="25" t="s">
        <v>1345</v>
      </c>
      <c r="X1949" s="25" t="s">
        <v>3247</v>
      </c>
      <c r="Y1949" s="25"/>
      <c r="Z1949" s="75"/>
      <c r="AA1949" s="3" t="str">
        <f>IF(BCP_Soles[[#This Row],[fecha]]&gt;0,TEXT(BCP_Soles[[#This Row],[fecha]],"mmmm"),0)</f>
        <v>Junio</v>
      </c>
    </row>
    <row r="1950" spans="1:27" ht="24" x14ac:dyDescent="0.3">
      <c r="A1950" s="2">
        <f>IF(BCP_Soles[[#This Row],[tipo_registro]]="R",COUNTIFS($C$1:$C1949,"R")+1,A1949)</f>
        <v>1457</v>
      </c>
      <c r="B1950" s="19" t="str">
        <f t="shared" si="161"/>
        <v>B-BCP - Soles</v>
      </c>
      <c r="C1950" s="3" t="s">
        <v>1330</v>
      </c>
      <c r="D1950" s="14">
        <v>45810</v>
      </c>
      <c r="E1950" s="5" t="s">
        <v>666</v>
      </c>
      <c r="F1950" s="5" t="s">
        <v>1303</v>
      </c>
      <c r="G1950" s="6" t="s">
        <v>425</v>
      </c>
      <c r="H1950" s="6"/>
      <c r="I1950" s="6"/>
      <c r="J1950" s="6"/>
      <c r="K1950" s="7" t="s">
        <v>3248</v>
      </c>
      <c r="L1950" s="8">
        <v>3437290</v>
      </c>
      <c r="M1950" s="8" t="str">
        <f t="shared" si="162"/>
        <v>PEN</v>
      </c>
      <c r="N1950" s="13"/>
      <c r="O1950" s="13">
        <v>696.11</v>
      </c>
      <c r="P1950" s="3">
        <f t="shared" si="163"/>
        <v>696.11</v>
      </c>
      <c r="Q1950" s="3">
        <f t="shared" si="164"/>
        <v>0</v>
      </c>
      <c r="R1950" s="3">
        <f t="shared" si="160"/>
        <v>37868.140000000014</v>
      </c>
      <c r="S1950" s="24" t="s">
        <v>1334</v>
      </c>
      <c r="T1950" s="24" t="s">
        <v>1334</v>
      </c>
      <c r="U1950" s="53"/>
      <c r="V1950" s="25">
        <f>IFERROR(VLOOKUP(BCP_Soles[[#This Row],[destinatario]],CHOOSE({1,2},Clientes_Proveedores[Razon Social],Clientes_Proveedores[Ruc / Dni]),2,0),"")</f>
        <v>20558226979</v>
      </c>
      <c r="W1950" s="25" t="s">
        <v>1345</v>
      </c>
      <c r="X1950" s="25" t="s">
        <v>3249</v>
      </c>
      <c r="Y1950" s="25"/>
      <c r="Z1950" s="75"/>
      <c r="AA1950" s="3" t="str">
        <f>IF(BCP_Soles[[#This Row],[fecha]]&gt;0,TEXT(BCP_Soles[[#This Row],[fecha]],"mmmm"),0)</f>
        <v>Junio</v>
      </c>
    </row>
    <row r="1951" spans="1:27" ht="24" x14ac:dyDescent="0.3">
      <c r="A1951" s="2">
        <f>IF(BCP_Soles[[#This Row],[tipo_registro]]="R",COUNTIFS($C$1:$C1950,"R")+1,A1950)</f>
        <v>1458</v>
      </c>
      <c r="B1951" s="19" t="str">
        <f t="shared" si="161"/>
        <v>B-BCP - Soles</v>
      </c>
      <c r="C1951" s="3" t="s">
        <v>1330</v>
      </c>
      <c r="D1951" s="14">
        <v>45810</v>
      </c>
      <c r="E1951" s="5" t="s">
        <v>1335</v>
      </c>
      <c r="F1951" s="5" t="s">
        <v>1336</v>
      </c>
      <c r="G1951" s="6" t="s">
        <v>1060</v>
      </c>
      <c r="H1951" s="6" t="s">
        <v>68</v>
      </c>
      <c r="I1951" s="6"/>
      <c r="J1951" s="6"/>
      <c r="K1951" s="7" t="s">
        <v>3250</v>
      </c>
      <c r="L1951" s="8">
        <v>3351814</v>
      </c>
      <c r="M1951" s="8" t="str">
        <f t="shared" si="162"/>
        <v>PEN</v>
      </c>
      <c r="N1951" s="13"/>
      <c r="O1951" s="13">
        <v>5</v>
      </c>
      <c r="P1951" s="3">
        <f t="shared" si="163"/>
        <v>0</v>
      </c>
      <c r="Q1951" s="3">
        <f t="shared" si="164"/>
        <v>5</v>
      </c>
      <c r="R1951" s="3">
        <f t="shared" si="160"/>
        <v>37863.140000000014</v>
      </c>
      <c r="S1951" s="24"/>
      <c r="T1951" s="24"/>
      <c r="U1951" s="53"/>
      <c r="V1951" s="25">
        <f>IFERROR(VLOOKUP(BCP_Soles[[#This Row],[destinatario]],CHOOSE({1,2},Clientes_Proveedores[Razon Social],Clientes_Proveedores[Ruc / Dni]),2,0),"")</f>
        <v>20100047218</v>
      </c>
      <c r="W1951" s="25" t="s">
        <v>1335</v>
      </c>
      <c r="X1951" s="25"/>
      <c r="Y1951" s="25"/>
      <c r="Z1951" s="75"/>
      <c r="AA1951" s="3" t="str">
        <f>IF(BCP_Soles[[#This Row],[fecha]]&gt;0,TEXT(BCP_Soles[[#This Row],[fecha]],"mmmm"),0)</f>
        <v>Junio</v>
      </c>
    </row>
    <row r="1952" spans="1:27" ht="24" x14ac:dyDescent="0.3">
      <c r="A1952" s="2">
        <f>IF(BCP_Soles[[#This Row],[tipo_registro]]="R",COUNTIFS($C$1:$C1951,"R")+1,A1951)</f>
        <v>1459</v>
      </c>
      <c r="B1952" s="19" t="str">
        <f t="shared" si="161"/>
        <v>B-BCP - Soles</v>
      </c>
      <c r="C1952" s="3" t="s">
        <v>1330</v>
      </c>
      <c r="D1952" s="14">
        <v>45810</v>
      </c>
      <c r="E1952" s="5" t="s">
        <v>1338</v>
      </c>
      <c r="F1952" s="5" t="s">
        <v>1336</v>
      </c>
      <c r="G1952" s="6" t="s">
        <v>866</v>
      </c>
      <c r="H1952" s="6" t="s">
        <v>143</v>
      </c>
      <c r="I1952" s="6">
        <v>1</v>
      </c>
      <c r="J1952" s="6"/>
      <c r="K1952" s="7" t="s">
        <v>3251</v>
      </c>
      <c r="L1952" s="8">
        <v>1147252</v>
      </c>
      <c r="M1952" s="8" t="str">
        <f t="shared" si="162"/>
        <v>PEN</v>
      </c>
      <c r="N1952" s="13"/>
      <c r="O1952" s="13">
        <v>400</v>
      </c>
      <c r="P1952" s="3">
        <f t="shared" si="163"/>
        <v>0</v>
      </c>
      <c r="Q1952" s="3">
        <f t="shared" si="164"/>
        <v>400</v>
      </c>
      <c r="R1952" s="3">
        <f t="shared" si="160"/>
        <v>37463.140000000014</v>
      </c>
      <c r="S1952" s="24"/>
      <c r="T1952" s="24"/>
      <c r="U1952" s="53"/>
      <c r="V1952" s="25">
        <f>IFERROR(VLOOKUP(BCP_Soles[[#This Row],[destinatario]],CHOOSE({1,2},Clientes_Proveedores[Razon Social],Clientes_Proveedores[Ruc / Dni]),2,0),"")</f>
        <v>45921913</v>
      </c>
      <c r="W1952" s="25" t="s">
        <v>866</v>
      </c>
      <c r="X1952" s="25" t="s">
        <v>2694</v>
      </c>
      <c r="Y1952" s="25"/>
      <c r="Z1952" s="75"/>
      <c r="AA1952" s="3" t="str">
        <f>IF(BCP_Soles[[#This Row],[fecha]]&gt;0,TEXT(BCP_Soles[[#This Row],[fecha]],"mmmm"),0)</f>
        <v>Junio</v>
      </c>
    </row>
    <row r="1953" spans="1:27" ht="36" x14ac:dyDescent="0.3">
      <c r="A1953" s="2">
        <f>IF(BCP_Soles[[#This Row],[tipo_registro]]="R",COUNTIFS($C$1:$C1952,"R")+1,A1952)</f>
        <v>1460</v>
      </c>
      <c r="B1953" s="19" t="str">
        <f t="shared" si="161"/>
        <v>B-BCP - Soles</v>
      </c>
      <c r="C1953" s="3" t="s">
        <v>1330</v>
      </c>
      <c r="D1953" s="14">
        <v>45810</v>
      </c>
      <c r="E1953" s="5" t="s">
        <v>1338</v>
      </c>
      <c r="F1953" s="5" t="s">
        <v>1336</v>
      </c>
      <c r="G1953" s="6" t="s">
        <v>738</v>
      </c>
      <c r="H1953" s="6" t="s">
        <v>68</v>
      </c>
      <c r="I1953" s="6" t="s">
        <v>1376</v>
      </c>
      <c r="J1953" s="6">
        <v>2546</v>
      </c>
      <c r="K1953" s="7" t="s">
        <v>3252</v>
      </c>
      <c r="L1953" s="8">
        <v>1172644</v>
      </c>
      <c r="M1953" s="8" t="str">
        <f t="shared" si="162"/>
        <v>PEN</v>
      </c>
      <c r="N1953" s="13"/>
      <c r="O1953" s="13">
        <v>414</v>
      </c>
      <c r="P1953" s="3">
        <f t="shared" si="163"/>
        <v>0</v>
      </c>
      <c r="Q1953" s="3">
        <f t="shared" si="164"/>
        <v>414</v>
      </c>
      <c r="R1953" s="3">
        <f t="shared" si="160"/>
        <v>37049.140000000014</v>
      </c>
      <c r="S1953" s="24" t="s">
        <v>1334</v>
      </c>
      <c r="T1953" s="24" t="s">
        <v>1334</v>
      </c>
      <c r="U1953" s="53"/>
      <c r="V1953" s="25">
        <f>IFERROR(VLOOKUP(BCP_Soles[[#This Row],[destinatario]],CHOOSE({1,2},Clientes_Proveedores[Razon Social],Clientes_Proveedores[Ruc / Dni]),2,0),"")</f>
        <v>20454726473</v>
      </c>
      <c r="W1953" s="25" t="s">
        <v>3253</v>
      </c>
      <c r="X1953" s="25" t="s">
        <v>3254</v>
      </c>
      <c r="Y1953" s="25"/>
      <c r="Z1953" s="75"/>
      <c r="AA1953" s="3" t="str">
        <f>IF(BCP_Soles[[#This Row],[fecha]]&gt;0,TEXT(BCP_Soles[[#This Row],[fecha]],"mmmm"),0)</f>
        <v>Junio</v>
      </c>
    </row>
    <row r="1954" spans="1:27" x14ac:dyDescent="0.3">
      <c r="A1954" s="2">
        <f>IF(BCP_Soles[[#This Row],[tipo_registro]]="R",COUNTIFS($C$1:$C1953,"R")+1,A1953)</f>
        <v>1461</v>
      </c>
      <c r="B1954" s="19" t="str">
        <f t="shared" si="161"/>
        <v>B-BCP - Soles</v>
      </c>
      <c r="C1954" s="3" t="s">
        <v>1330</v>
      </c>
      <c r="D1954" s="14">
        <v>45810</v>
      </c>
      <c r="E1954" s="5" t="s">
        <v>1338</v>
      </c>
      <c r="F1954" s="5" t="s">
        <v>1336</v>
      </c>
      <c r="G1954" s="6" t="s">
        <v>695</v>
      </c>
      <c r="H1954" s="6" t="s">
        <v>68</v>
      </c>
      <c r="I1954" s="6" t="s">
        <v>1715</v>
      </c>
      <c r="J1954" s="6">
        <v>141459</v>
      </c>
      <c r="K1954" s="7" t="s">
        <v>1378</v>
      </c>
      <c r="L1954" s="8">
        <v>146751</v>
      </c>
      <c r="M1954" s="8" t="str">
        <f t="shared" si="162"/>
        <v>PEN</v>
      </c>
      <c r="N1954" s="13"/>
      <c r="O1954" s="13">
        <v>740.02</v>
      </c>
      <c r="P1954" s="3">
        <f t="shared" si="163"/>
        <v>0</v>
      </c>
      <c r="Q1954" s="3">
        <f t="shared" si="164"/>
        <v>740.02</v>
      </c>
      <c r="R1954" s="3">
        <f t="shared" si="160"/>
        <v>36309.120000000017</v>
      </c>
      <c r="S1954" s="24" t="s">
        <v>1334</v>
      </c>
      <c r="T1954" s="24" t="s">
        <v>1334</v>
      </c>
      <c r="U1954" s="53"/>
      <c r="V1954" s="25">
        <f>IFERROR(VLOOKUP(BCP_Soles[[#This Row],[destinatario]],CHOOSE({1,2},Clientes_Proveedores[Razon Social],Clientes_Proveedores[Ruc / Dni]),2,0),"")</f>
        <v>20127765279</v>
      </c>
      <c r="W1954" s="25" t="s">
        <v>1379</v>
      </c>
      <c r="X1954" s="25" t="s">
        <v>3255</v>
      </c>
      <c r="Y1954" s="25"/>
      <c r="Z1954" s="75"/>
      <c r="AA1954" s="3" t="str">
        <f>IF(BCP_Soles[[#This Row],[fecha]]&gt;0,TEXT(BCP_Soles[[#This Row],[fecha]],"mmmm"),0)</f>
        <v>Junio</v>
      </c>
    </row>
    <row r="1955" spans="1:27" x14ac:dyDescent="0.3">
      <c r="A1955" s="2">
        <f>IF(BCP_Soles[[#This Row],[tipo_registro]]="R",COUNTIFS($C$1:$C1954,"R")+1,A1954)</f>
        <v>1462</v>
      </c>
      <c r="B1955" s="19" t="str">
        <f t="shared" si="161"/>
        <v>B-BCP - Soles</v>
      </c>
      <c r="C1955" s="3" t="s">
        <v>1330</v>
      </c>
      <c r="D1955" s="14">
        <v>45810</v>
      </c>
      <c r="E1955" s="5" t="s">
        <v>1338</v>
      </c>
      <c r="F1955" s="5" t="s">
        <v>1336</v>
      </c>
      <c r="G1955" s="6" t="s">
        <v>696</v>
      </c>
      <c r="H1955" s="6"/>
      <c r="I1955" s="6"/>
      <c r="J1955" s="6"/>
      <c r="K1955" s="7" t="s">
        <v>3256</v>
      </c>
      <c r="L1955" s="8">
        <v>3351797</v>
      </c>
      <c r="M1955" s="8" t="str">
        <f t="shared" si="162"/>
        <v>PEN</v>
      </c>
      <c r="N1955" s="13"/>
      <c r="O1955" s="13">
        <v>2609.06</v>
      </c>
      <c r="P1955" s="3">
        <f t="shared" si="163"/>
        <v>0</v>
      </c>
      <c r="Q1955" s="3">
        <f t="shared" si="164"/>
        <v>2609.06</v>
      </c>
      <c r="R1955" s="3">
        <f t="shared" si="160"/>
        <v>33700.060000000019</v>
      </c>
      <c r="S1955" s="24" t="s">
        <v>1334</v>
      </c>
      <c r="T1955" s="24" t="s">
        <v>1334</v>
      </c>
      <c r="U1955" s="53"/>
      <c r="V1955" s="25">
        <f>IFERROR(VLOOKUP(BCP_Soles[[#This Row],[destinatario]],CHOOSE({1,2},Clientes_Proveedores[Razon Social],Clientes_Proveedores[Ruc / Dni]),2,0),"")</f>
        <v>0</v>
      </c>
      <c r="W1955" s="25" t="s">
        <v>1373</v>
      </c>
      <c r="X1955" s="25"/>
      <c r="Y1955" s="25"/>
      <c r="Z1955" s="75"/>
      <c r="AA1955" s="3" t="str">
        <f>IF(BCP_Soles[[#This Row],[fecha]]&gt;0,TEXT(BCP_Soles[[#This Row],[fecha]],"mmmm"),0)</f>
        <v>Junio</v>
      </c>
    </row>
    <row r="1956" spans="1:27" ht="24" x14ac:dyDescent="0.3">
      <c r="A1956" s="2">
        <f>IF(BCP_Soles[[#This Row],[tipo_registro]]="R",COUNTIFS($C$1:$C1955,"R")+1,A1955)</f>
        <v>1462</v>
      </c>
      <c r="B1956" s="19" t="str">
        <f t="shared" si="161"/>
        <v>B-BCP - Soles</v>
      </c>
      <c r="C1956" s="3" t="s">
        <v>1352</v>
      </c>
      <c r="D1956" s="14">
        <v>45810</v>
      </c>
      <c r="E1956" s="5" t="s">
        <v>1338</v>
      </c>
      <c r="F1956" s="5"/>
      <c r="G1956" s="6" t="s">
        <v>537</v>
      </c>
      <c r="H1956" s="6" t="s">
        <v>68</v>
      </c>
      <c r="I1956" s="6" t="s">
        <v>1376</v>
      </c>
      <c r="J1956" s="6">
        <v>853</v>
      </c>
      <c r="K1956" s="7" t="s">
        <v>3256</v>
      </c>
      <c r="L1956" s="8">
        <v>3351797</v>
      </c>
      <c r="M1956" s="8" t="str">
        <f t="shared" si="162"/>
        <v>PEN</v>
      </c>
      <c r="N1956" s="13">
        <v>289.01</v>
      </c>
      <c r="O1956" s="13"/>
      <c r="P1956" s="3">
        <f t="shared" si="163"/>
        <v>0</v>
      </c>
      <c r="Q1956" s="3">
        <f t="shared" si="164"/>
        <v>0</v>
      </c>
      <c r="R1956" s="3">
        <f t="shared" si="160"/>
        <v>33700.060000000019</v>
      </c>
      <c r="S1956" s="24"/>
      <c r="T1956" s="24" t="s">
        <v>1334</v>
      </c>
      <c r="U1956" s="53"/>
      <c r="V1956" s="25">
        <f>IFERROR(VLOOKUP(BCP_Soles[[#This Row],[destinatario]],CHOOSE({1,2},Clientes_Proveedores[Razon Social],Clientes_Proveedores[Ruc / Dni]),2,0),"")</f>
        <v>20605447814</v>
      </c>
      <c r="W1956" s="25"/>
      <c r="X1956" s="25"/>
      <c r="Y1956" s="25"/>
      <c r="Z1956" s="75"/>
      <c r="AA1956" s="3" t="str">
        <f>IF(BCP_Soles[[#This Row],[fecha]]&gt;0,TEXT(BCP_Soles[[#This Row],[fecha]],"mmmm"),0)</f>
        <v>Junio</v>
      </c>
    </row>
    <row r="1957" spans="1:27" x14ac:dyDescent="0.3">
      <c r="A1957" s="2">
        <f>IF(BCP_Soles[[#This Row],[tipo_registro]]="R",COUNTIFS($C$1:$C1956,"R")+1,A1956)</f>
        <v>1462</v>
      </c>
      <c r="B1957" s="19" t="str">
        <f t="shared" si="161"/>
        <v>B-BCP - Soles</v>
      </c>
      <c r="C1957" s="3" t="s">
        <v>1352</v>
      </c>
      <c r="D1957" s="14">
        <v>45810</v>
      </c>
      <c r="E1957" s="5" t="s">
        <v>1338</v>
      </c>
      <c r="F1957" s="5"/>
      <c r="G1957" s="6" t="s">
        <v>286</v>
      </c>
      <c r="H1957" s="6" t="s">
        <v>68</v>
      </c>
      <c r="I1957" s="6" t="s">
        <v>1386</v>
      </c>
      <c r="J1957" s="6">
        <v>1702</v>
      </c>
      <c r="K1957" s="7" t="s">
        <v>3256</v>
      </c>
      <c r="L1957" s="8">
        <v>3351797</v>
      </c>
      <c r="M1957" s="8" t="str">
        <f t="shared" si="162"/>
        <v>PEN</v>
      </c>
      <c r="N1957" s="13">
        <v>314.51</v>
      </c>
      <c r="O1957" s="13"/>
      <c r="P1957" s="3">
        <f t="shared" si="163"/>
        <v>0</v>
      </c>
      <c r="Q1957" s="3">
        <f t="shared" si="164"/>
        <v>0</v>
      </c>
      <c r="R1957" s="3">
        <f t="shared" si="160"/>
        <v>33700.060000000019</v>
      </c>
      <c r="S1957" s="24"/>
      <c r="T1957" s="24" t="s">
        <v>1334</v>
      </c>
      <c r="U1957" s="53"/>
      <c r="V1957" s="25">
        <f>IFERROR(VLOOKUP(BCP_Soles[[#This Row],[destinatario]],CHOOSE({1,2},Clientes_Proveedores[Razon Social],Clientes_Proveedores[Ruc / Dni]),2,0),"")</f>
        <v>20454186002</v>
      </c>
      <c r="W1957" s="25"/>
      <c r="X1957" s="25"/>
      <c r="Y1957" s="25"/>
      <c r="Z1957" s="75"/>
      <c r="AA1957" s="3" t="str">
        <f>IF(BCP_Soles[[#This Row],[fecha]]&gt;0,TEXT(BCP_Soles[[#This Row],[fecha]],"mmmm"),0)</f>
        <v>Junio</v>
      </c>
    </row>
    <row r="1958" spans="1:27" x14ac:dyDescent="0.3">
      <c r="A1958" s="2">
        <f>IF(BCP_Soles[[#This Row],[tipo_registro]]="R",COUNTIFS($C$1:$C1957,"R")+1,A1957)</f>
        <v>1462</v>
      </c>
      <c r="B1958" s="19" t="str">
        <f t="shared" si="161"/>
        <v>B-BCP - Soles</v>
      </c>
      <c r="C1958" s="3" t="s">
        <v>1352</v>
      </c>
      <c r="D1958" s="14">
        <v>45810</v>
      </c>
      <c r="E1958" s="5" t="s">
        <v>1338</v>
      </c>
      <c r="F1958" s="5"/>
      <c r="G1958" s="6" t="s">
        <v>286</v>
      </c>
      <c r="H1958" s="6" t="s">
        <v>68</v>
      </c>
      <c r="I1958" s="6" t="s">
        <v>1386</v>
      </c>
      <c r="J1958" s="6">
        <v>1703</v>
      </c>
      <c r="K1958" s="7" t="s">
        <v>3256</v>
      </c>
      <c r="L1958" s="8">
        <v>3351797</v>
      </c>
      <c r="M1958" s="8" t="str">
        <f t="shared" si="162"/>
        <v>PEN</v>
      </c>
      <c r="N1958" s="13">
        <v>150.54</v>
      </c>
      <c r="O1958" s="13"/>
      <c r="P1958" s="3">
        <f t="shared" si="163"/>
        <v>0</v>
      </c>
      <c r="Q1958" s="3">
        <f t="shared" si="164"/>
        <v>0</v>
      </c>
      <c r="R1958" s="3">
        <f t="shared" si="160"/>
        <v>33700.060000000019</v>
      </c>
      <c r="S1958" s="24"/>
      <c r="T1958" s="24" t="s">
        <v>1334</v>
      </c>
      <c r="U1958" s="53"/>
      <c r="V1958" s="25">
        <f>IFERROR(VLOOKUP(BCP_Soles[[#This Row],[destinatario]],CHOOSE({1,2},Clientes_Proveedores[Razon Social],Clientes_Proveedores[Ruc / Dni]),2,0),"")</f>
        <v>20454186002</v>
      </c>
      <c r="W1958" s="25"/>
      <c r="X1958" s="25"/>
      <c r="Y1958" s="25"/>
      <c r="Z1958" s="75"/>
      <c r="AA1958" s="3" t="str">
        <f>IF(BCP_Soles[[#This Row],[fecha]]&gt;0,TEXT(BCP_Soles[[#This Row],[fecha]],"mmmm"),0)</f>
        <v>Junio</v>
      </c>
    </row>
    <row r="1959" spans="1:27" ht="36" x14ac:dyDescent="0.3">
      <c r="A1959" s="2">
        <f>IF(BCP_Soles[[#This Row],[tipo_registro]]="R",COUNTIFS($C$1:$C1958,"R")+1,A1958)</f>
        <v>1462</v>
      </c>
      <c r="B1959" s="19" t="str">
        <f t="shared" si="161"/>
        <v>B-BCP - Soles</v>
      </c>
      <c r="C1959" s="3" t="s">
        <v>1352</v>
      </c>
      <c r="D1959" s="14">
        <v>45810</v>
      </c>
      <c r="E1959" s="5" t="s">
        <v>1338</v>
      </c>
      <c r="F1959" s="5"/>
      <c r="G1959" s="6" t="s">
        <v>474</v>
      </c>
      <c r="H1959" s="6" t="s">
        <v>68</v>
      </c>
      <c r="I1959" s="6" t="s">
        <v>1376</v>
      </c>
      <c r="J1959" s="6">
        <v>765</v>
      </c>
      <c r="K1959" s="7" t="s">
        <v>3256</v>
      </c>
      <c r="L1959" s="8">
        <v>3351797</v>
      </c>
      <c r="M1959" s="8" t="str">
        <f t="shared" si="162"/>
        <v>PEN</v>
      </c>
      <c r="N1959" s="13">
        <v>793</v>
      </c>
      <c r="O1959" s="13"/>
      <c r="P1959" s="3">
        <f t="shared" si="163"/>
        <v>0</v>
      </c>
      <c r="Q1959" s="3">
        <f t="shared" si="164"/>
        <v>0</v>
      </c>
      <c r="R1959" s="3">
        <f t="shared" si="160"/>
        <v>33700.060000000019</v>
      </c>
      <c r="S1959" s="24"/>
      <c r="T1959" s="24" t="s">
        <v>1334</v>
      </c>
      <c r="U1959" s="53"/>
      <c r="V1959" s="25">
        <f>IFERROR(VLOOKUP(BCP_Soles[[#This Row],[destinatario]],CHOOSE({1,2},Clientes_Proveedores[Razon Social],Clientes_Proveedores[Ruc / Dni]),2,0),"")</f>
        <v>20602075177</v>
      </c>
      <c r="W1959" s="25"/>
      <c r="X1959" s="25"/>
      <c r="Y1959" s="25"/>
      <c r="Z1959" s="75"/>
      <c r="AA1959" s="3" t="str">
        <f>IF(BCP_Soles[[#This Row],[fecha]]&gt;0,TEXT(BCP_Soles[[#This Row],[fecha]],"mmmm"),0)</f>
        <v>Junio</v>
      </c>
    </row>
    <row r="1960" spans="1:27" x14ac:dyDescent="0.3">
      <c r="A1960" s="2">
        <f>IF(BCP_Soles[[#This Row],[tipo_registro]]="R",COUNTIFS($C$1:$C1959,"R")+1,A1959)</f>
        <v>1462</v>
      </c>
      <c r="B1960" s="19" t="str">
        <f t="shared" si="161"/>
        <v>B-BCP - Soles</v>
      </c>
      <c r="C1960" s="3" t="s">
        <v>1352</v>
      </c>
      <c r="D1960" s="14">
        <v>45810</v>
      </c>
      <c r="E1960" s="5" t="s">
        <v>1338</v>
      </c>
      <c r="F1960" s="5"/>
      <c r="G1960" s="6" t="s">
        <v>333</v>
      </c>
      <c r="H1960" s="6" t="s">
        <v>68</v>
      </c>
      <c r="I1960" s="6" t="s">
        <v>1376</v>
      </c>
      <c r="J1960" s="6">
        <v>722</v>
      </c>
      <c r="K1960" s="7" t="s">
        <v>3256</v>
      </c>
      <c r="L1960" s="8">
        <v>3351797</v>
      </c>
      <c r="M1960" s="8" t="str">
        <f t="shared" si="162"/>
        <v>PEN</v>
      </c>
      <c r="N1960" s="13">
        <v>1062</v>
      </c>
      <c r="O1960" s="13"/>
      <c r="P1960" s="3">
        <f t="shared" si="163"/>
        <v>0</v>
      </c>
      <c r="Q1960" s="3">
        <f t="shared" si="164"/>
        <v>0</v>
      </c>
      <c r="R1960" s="3">
        <f t="shared" si="160"/>
        <v>33700.060000000019</v>
      </c>
      <c r="S1960" s="24"/>
      <c r="T1960" s="24" t="s">
        <v>1334</v>
      </c>
      <c r="U1960" s="53"/>
      <c r="V1960" s="25">
        <f>IFERROR(VLOOKUP(BCP_Soles[[#This Row],[destinatario]],CHOOSE({1,2},Clientes_Proveedores[Razon Social],Clientes_Proveedores[Ruc / Dni]),2,0),"")</f>
        <v>20498218831</v>
      </c>
      <c r="W1960" s="25"/>
      <c r="X1960" s="25"/>
      <c r="Y1960" s="25"/>
      <c r="Z1960" s="75"/>
      <c r="AA1960" s="3" t="str">
        <f>IF(BCP_Soles[[#This Row],[fecha]]&gt;0,TEXT(BCP_Soles[[#This Row],[fecha]],"mmmm"),0)</f>
        <v>Junio</v>
      </c>
    </row>
    <row r="1961" spans="1:27" x14ac:dyDescent="0.3">
      <c r="A1961" s="2">
        <f>IF(BCP_Soles[[#This Row],[tipo_registro]]="R",COUNTIFS($C$1:$C1960,"R")+1,A1960)</f>
        <v>1463</v>
      </c>
      <c r="B1961" s="19" t="str">
        <f t="shared" si="161"/>
        <v>B-BCP - Soles</v>
      </c>
      <c r="C1961" s="3" t="s">
        <v>1330</v>
      </c>
      <c r="D1961" s="14">
        <v>45810</v>
      </c>
      <c r="E1961" s="5" t="s">
        <v>1338</v>
      </c>
      <c r="F1961" s="5" t="s">
        <v>1336</v>
      </c>
      <c r="G1961" s="6" t="s">
        <v>695</v>
      </c>
      <c r="H1961" s="6" t="s">
        <v>68</v>
      </c>
      <c r="I1961" s="6" t="s">
        <v>1377</v>
      </c>
      <c r="J1961" s="6">
        <v>165181</v>
      </c>
      <c r="K1961" s="7" t="s">
        <v>1378</v>
      </c>
      <c r="L1961" s="8">
        <v>146750</v>
      </c>
      <c r="M1961" s="8" t="str">
        <f t="shared" si="162"/>
        <v>PEN</v>
      </c>
      <c r="N1961" s="13"/>
      <c r="O1961" s="13">
        <v>3774.74</v>
      </c>
      <c r="P1961" s="3">
        <f t="shared" si="163"/>
        <v>0</v>
      </c>
      <c r="Q1961" s="3">
        <f t="shared" si="164"/>
        <v>3774.74</v>
      </c>
      <c r="R1961" s="3">
        <f t="shared" si="160"/>
        <v>29925.320000000022</v>
      </c>
      <c r="S1961" s="24" t="s">
        <v>1334</v>
      </c>
      <c r="T1961" s="24" t="s">
        <v>1334</v>
      </c>
      <c r="U1961" s="53"/>
      <c r="V1961" s="25">
        <f>IFERROR(VLOOKUP(BCP_Soles[[#This Row],[destinatario]],CHOOSE({1,2},Clientes_Proveedores[Razon Social],Clientes_Proveedores[Ruc / Dni]),2,0),"")</f>
        <v>20127765279</v>
      </c>
      <c r="W1961" s="25" t="s">
        <v>1379</v>
      </c>
      <c r="X1961" s="25" t="s">
        <v>3257</v>
      </c>
      <c r="Y1961" s="25"/>
      <c r="Z1961" s="75"/>
      <c r="AA1961" s="3" t="str">
        <f>IF(BCP_Soles[[#This Row],[fecha]]&gt;0,TEXT(BCP_Soles[[#This Row],[fecha]],"mmmm"),0)</f>
        <v>Junio</v>
      </c>
    </row>
    <row r="1962" spans="1:27" x14ac:dyDescent="0.3">
      <c r="A1962" s="2">
        <f>IF(BCP_Soles[[#This Row],[tipo_registro]]="R",COUNTIFS($C$1:$C1961,"R")+1,A1961)</f>
        <v>1464</v>
      </c>
      <c r="B1962" s="19" t="str">
        <f t="shared" si="161"/>
        <v>B-BCP - Soles</v>
      </c>
      <c r="C1962" s="3" t="s">
        <v>1330</v>
      </c>
      <c r="D1962" s="14">
        <v>45810</v>
      </c>
      <c r="E1962" s="5" t="s">
        <v>1335</v>
      </c>
      <c r="F1962" s="5" t="s">
        <v>1336</v>
      </c>
      <c r="G1962" s="6"/>
      <c r="H1962" s="6"/>
      <c r="I1962" s="6"/>
      <c r="J1962" s="6"/>
      <c r="K1962" s="7" t="s">
        <v>3160</v>
      </c>
      <c r="L1962" s="8"/>
      <c r="M1962" s="8" t="str">
        <f t="shared" si="162"/>
        <v>PEN</v>
      </c>
      <c r="N1962" s="13"/>
      <c r="O1962" s="13">
        <v>0.25</v>
      </c>
      <c r="P1962" s="3">
        <f t="shared" si="163"/>
        <v>0</v>
      </c>
      <c r="Q1962" s="3">
        <f t="shared" si="164"/>
        <v>0.25</v>
      </c>
      <c r="R1962" s="3">
        <f t="shared" si="160"/>
        <v>29925.070000000022</v>
      </c>
      <c r="S1962" s="24"/>
      <c r="T1962" s="24" t="s">
        <v>1334</v>
      </c>
      <c r="U1962" s="53"/>
      <c r="V1962" s="25" t="str">
        <f>IFERROR(VLOOKUP(BCP_Soles[[#This Row],[destinatario]],CHOOSE({1,2},Clientes_Proveedores[Razon Social],Clientes_Proveedores[Ruc / Dni]),2,0),"")</f>
        <v/>
      </c>
      <c r="W1962" s="25"/>
      <c r="X1962" s="25"/>
      <c r="Y1962" s="25"/>
      <c r="Z1962" s="75"/>
      <c r="AA1962" s="3" t="str">
        <f>IF(BCP_Soles[[#This Row],[fecha]]&gt;0,TEXT(BCP_Soles[[#This Row],[fecha]],"mmmm"),0)</f>
        <v>Junio</v>
      </c>
    </row>
    <row r="1963" spans="1:27" ht="36" x14ac:dyDescent="0.3">
      <c r="A1963" s="2">
        <f>IF(BCP_Soles[[#This Row],[tipo_registro]]="R",COUNTIFS($C$1:$C1962,"R")+1,A1962)</f>
        <v>1465</v>
      </c>
      <c r="B1963" s="19" t="str">
        <f t="shared" si="161"/>
        <v>B-BCP - Soles</v>
      </c>
      <c r="C1963" s="3" t="s">
        <v>1330</v>
      </c>
      <c r="D1963" s="14">
        <v>45811</v>
      </c>
      <c r="E1963" s="5" t="s">
        <v>939</v>
      </c>
      <c r="F1963" s="5" t="s">
        <v>1303</v>
      </c>
      <c r="G1963" s="6" t="s">
        <v>425</v>
      </c>
      <c r="H1963" s="6"/>
      <c r="I1963" s="6"/>
      <c r="J1963" s="6"/>
      <c r="K1963" s="7" t="s">
        <v>1356</v>
      </c>
      <c r="L1963" s="8">
        <v>3924135</v>
      </c>
      <c r="M1963" s="8" t="str">
        <f t="shared" si="162"/>
        <v>PEN</v>
      </c>
      <c r="N1963" s="13"/>
      <c r="O1963" s="13">
        <v>975.29</v>
      </c>
      <c r="P1963" s="3">
        <f t="shared" si="163"/>
        <v>975.29</v>
      </c>
      <c r="Q1963" s="3">
        <f t="shared" si="164"/>
        <v>0</v>
      </c>
      <c r="R1963" s="3">
        <f t="shared" si="160"/>
        <v>30900.360000000022</v>
      </c>
      <c r="S1963" s="24" t="s">
        <v>1334</v>
      </c>
      <c r="T1963" s="24"/>
      <c r="U1963" s="53"/>
      <c r="V1963" s="25">
        <f>IFERROR(VLOOKUP(BCP_Soles[[#This Row],[destinatario]],CHOOSE({1,2},Clientes_Proveedores[Razon Social],Clientes_Proveedores[Ruc / Dni]),2,0),"")</f>
        <v>20558226979</v>
      </c>
      <c r="W1963" s="25" t="s">
        <v>1345</v>
      </c>
      <c r="X1963" s="25" t="s">
        <v>3035</v>
      </c>
      <c r="Y1963" s="25"/>
      <c r="Z1963" s="75"/>
      <c r="AA1963" s="3" t="str">
        <f>IF(BCP_Soles[[#This Row],[fecha]]&gt;0,TEXT(BCP_Soles[[#This Row],[fecha]],"mmmm"),0)</f>
        <v>Junio</v>
      </c>
    </row>
    <row r="1964" spans="1:27" ht="48" x14ac:dyDescent="0.3">
      <c r="A1964" s="2">
        <f>IF(BCP_Soles[[#This Row],[tipo_registro]]="R",COUNTIFS($C$1:$C1963,"R")+1,A1963)</f>
        <v>1466</v>
      </c>
      <c r="B1964" s="19" t="str">
        <f t="shared" si="161"/>
        <v>B-BCP - Soles</v>
      </c>
      <c r="C1964" s="3" t="s">
        <v>1330</v>
      </c>
      <c r="D1964" s="14">
        <v>45811</v>
      </c>
      <c r="E1964" s="5" t="s">
        <v>1338</v>
      </c>
      <c r="F1964" s="5" t="s">
        <v>1336</v>
      </c>
      <c r="G1964" s="6" t="s">
        <v>501</v>
      </c>
      <c r="H1964" s="6" t="s">
        <v>68</v>
      </c>
      <c r="I1964" s="6" t="s">
        <v>1526</v>
      </c>
      <c r="J1964" s="6">
        <v>10502</v>
      </c>
      <c r="K1964" s="7" t="s">
        <v>3258</v>
      </c>
      <c r="L1964" s="8">
        <v>1015230</v>
      </c>
      <c r="M1964" s="8" t="str">
        <f t="shared" si="162"/>
        <v>PEN</v>
      </c>
      <c r="N1964" s="13"/>
      <c r="O1964" s="13">
        <v>75.510000000000005</v>
      </c>
      <c r="P1964" s="3">
        <f t="shared" si="163"/>
        <v>0</v>
      </c>
      <c r="Q1964" s="3">
        <f t="shared" si="164"/>
        <v>75.510000000000005</v>
      </c>
      <c r="R1964" s="3">
        <f t="shared" si="160"/>
        <v>30824.850000000024</v>
      </c>
      <c r="S1964" s="24" t="s">
        <v>1334</v>
      </c>
      <c r="T1964" s="24" t="s">
        <v>1334</v>
      </c>
      <c r="U1964" s="53"/>
      <c r="V1964" s="25">
        <f>IFERROR(VLOOKUP(BCP_Soles[[#This Row],[destinatario]],CHOOSE({1,2},Clientes_Proveedores[Razon Social],Clientes_Proveedores[Ruc / Dni]),2,0),"")</f>
        <v>20602978274</v>
      </c>
      <c r="W1964" s="25" t="s">
        <v>1528</v>
      </c>
      <c r="X1964" s="25" t="s">
        <v>3259</v>
      </c>
      <c r="Y1964" s="25"/>
      <c r="Z1964" s="75"/>
      <c r="AA1964" s="3" t="str">
        <f>IF(BCP_Soles[[#This Row],[fecha]]&gt;0,TEXT(BCP_Soles[[#This Row],[fecha]],"mmmm"),0)</f>
        <v>Junio</v>
      </c>
    </row>
    <row r="1965" spans="1:27" ht="48" x14ac:dyDescent="0.3">
      <c r="A1965" s="2">
        <f>IF(BCP_Soles[[#This Row],[tipo_registro]]="R",COUNTIFS($C$1:$C1964,"R")+1,A1964)</f>
        <v>1467</v>
      </c>
      <c r="B1965" s="19" t="str">
        <f t="shared" si="161"/>
        <v>B-BCP - Soles</v>
      </c>
      <c r="C1965" s="3" t="s">
        <v>1330</v>
      </c>
      <c r="D1965" s="14">
        <v>45811</v>
      </c>
      <c r="E1965" s="5" t="s">
        <v>2269</v>
      </c>
      <c r="F1965" s="5" t="s">
        <v>1336</v>
      </c>
      <c r="G1965" s="6" t="s">
        <v>488</v>
      </c>
      <c r="H1965" s="6" t="s">
        <v>68</v>
      </c>
      <c r="I1965" s="6" t="s">
        <v>1374</v>
      </c>
      <c r="J1965" s="6">
        <v>35937</v>
      </c>
      <c r="K1965" s="7" t="s">
        <v>3260</v>
      </c>
      <c r="L1965" s="8">
        <v>1216725</v>
      </c>
      <c r="M1965" s="8" t="str">
        <f t="shared" si="162"/>
        <v>PEN</v>
      </c>
      <c r="N1965" s="13"/>
      <c r="O1965" s="13">
        <v>120</v>
      </c>
      <c r="P1965" s="3">
        <f t="shared" si="163"/>
        <v>0</v>
      </c>
      <c r="Q1965" s="3">
        <f t="shared" si="164"/>
        <v>120</v>
      </c>
      <c r="R1965" s="3">
        <f t="shared" si="160"/>
        <v>30704.850000000024</v>
      </c>
      <c r="S1965" s="24" t="s">
        <v>1334</v>
      </c>
      <c r="T1965" s="24" t="s">
        <v>1334</v>
      </c>
      <c r="U1965" s="53"/>
      <c r="V1965" s="25">
        <f>IFERROR(VLOOKUP(BCP_Soles[[#This Row],[destinatario]],CHOOSE({1,2},Clientes_Proveedores[Razon Social],Clientes_Proveedores[Ruc / Dni]),2,0),"")</f>
        <v>20602484425</v>
      </c>
      <c r="W1965" s="25" t="s">
        <v>3215</v>
      </c>
      <c r="X1965" s="25" t="s">
        <v>3261</v>
      </c>
      <c r="Y1965" s="25"/>
      <c r="Z1965" s="75"/>
      <c r="AA1965" s="3" t="str">
        <f>IF(BCP_Soles[[#This Row],[fecha]]&gt;0,TEXT(BCP_Soles[[#This Row],[fecha]],"mmmm"),0)</f>
        <v>Junio</v>
      </c>
    </row>
    <row r="1966" spans="1:27" ht="24" x14ac:dyDescent="0.3">
      <c r="A1966" s="2">
        <f>IF(BCP_Soles[[#This Row],[tipo_registro]]="R",COUNTIFS($C$1:$C1965,"R")+1,A1965)</f>
        <v>1468</v>
      </c>
      <c r="B1966" s="19" t="str">
        <f t="shared" si="161"/>
        <v>B-BCP - Soles</v>
      </c>
      <c r="C1966" s="3" t="s">
        <v>1330</v>
      </c>
      <c r="D1966" s="14">
        <v>45811</v>
      </c>
      <c r="E1966" s="5" t="s">
        <v>2269</v>
      </c>
      <c r="F1966" s="5" t="s">
        <v>1336</v>
      </c>
      <c r="G1966" s="6" t="s">
        <v>249</v>
      </c>
      <c r="H1966" s="6"/>
      <c r="I1966" s="6"/>
      <c r="J1966" s="6"/>
      <c r="K1966" s="7" t="s">
        <v>3262</v>
      </c>
      <c r="L1966" s="8">
        <v>1015231</v>
      </c>
      <c r="M1966" s="8" t="str">
        <f t="shared" si="162"/>
        <v>PEN</v>
      </c>
      <c r="N1966" s="13"/>
      <c r="O1966" s="13">
        <v>122.13</v>
      </c>
      <c r="P1966" s="3">
        <f t="shared" si="163"/>
        <v>0</v>
      </c>
      <c r="Q1966" s="3">
        <f t="shared" si="164"/>
        <v>122.13</v>
      </c>
      <c r="R1966" s="3">
        <f t="shared" si="160"/>
        <v>30582.720000000023</v>
      </c>
      <c r="S1966" s="24"/>
      <c r="T1966" s="24" t="s">
        <v>1334</v>
      </c>
      <c r="U1966" s="53"/>
      <c r="V1966" s="25">
        <f>IFERROR(VLOOKUP(BCP_Soles[[#This Row],[destinatario]],CHOOSE({1,2},Clientes_Proveedores[Razon Social],Clientes_Proveedores[Ruc / Dni]),2,0),"")</f>
        <v>20302891452</v>
      </c>
      <c r="W1966" s="25" t="s">
        <v>249</v>
      </c>
      <c r="X1966" s="25"/>
      <c r="Y1966" s="25"/>
      <c r="Z1966" s="75"/>
      <c r="AA1966" s="3" t="str">
        <f>IF(BCP_Soles[[#This Row],[fecha]]&gt;0,TEXT(BCP_Soles[[#This Row],[fecha]],"mmmm"),0)</f>
        <v>Junio</v>
      </c>
    </row>
    <row r="1967" spans="1:27" x14ac:dyDescent="0.3">
      <c r="A1967" s="2">
        <f>IF(BCP_Soles[[#This Row],[tipo_registro]]="R",COUNTIFS($C$1:$C1966,"R")+1,A1966)</f>
        <v>1469</v>
      </c>
      <c r="B1967" s="19" t="str">
        <f t="shared" si="161"/>
        <v>B-BCP - Soles</v>
      </c>
      <c r="C1967" s="3" t="s">
        <v>1330</v>
      </c>
      <c r="D1967" s="14">
        <v>45811</v>
      </c>
      <c r="E1967" s="5" t="s">
        <v>2269</v>
      </c>
      <c r="F1967" s="5" t="s">
        <v>1336</v>
      </c>
      <c r="G1967" s="6" t="s">
        <v>407</v>
      </c>
      <c r="H1967" s="6" t="s">
        <v>68</v>
      </c>
      <c r="I1967" s="6" t="s">
        <v>3263</v>
      </c>
      <c r="J1967" s="6">
        <v>10638</v>
      </c>
      <c r="K1967" s="7" t="s">
        <v>1481</v>
      </c>
      <c r="L1967" s="8">
        <v>216240</v>
      </c>
      <c r="M1967" s="8" t="str">
        <f t="shared" si="162"/>
        <v>PEN</v>
      </c>
      <c r="N1967" s="13"/>
      <c r="O1967" s="13">
        <v>196.52</v>
      </c>
      <c r="P1967" s="3">
        <f t="shared" si="163"/>
        <v>0</v>
      </c>
      <c r="Q1967" s="3">
        <f t="shared" si="164"/>
        <v>196.52</v>
      </c>
      <c r="R1967" s="3">
        <f t="shared" si="160"/>
        <v>30386.200000000023</v>
      </c>
      <c r="S1967" s="24" t="s">
        <v>1334</v>
      </c>
      <c r="T1967" s="24" t="s">
        <v>1334</v>
      </c>
      <c r="U1967" s="53"/>
      <c r="V1967" s="25">
        <f>IFERROR(VLOOKUP(BCP_Soles[[#This Row],[destinatario]],CHOOSE({1,2},Clientes_Proveedores[Razon Social],Clientes_Proveedores[Ruc / Dni]),2,0),"")</f>
        <v>20549068201</v>
      </c>
      <c r="W1967" s="25" t="s">
        <v>1482</v>
      </c>
      <c r="X1967" s="25" t="s">
        <v>3264</v>
      </c>
      <c r="Y1967" s="25"/>
      <c r="Z1967" s="75"/>
      <c r="AA1967" s="3" t="str">
        <f>IF(BCP_Soles[[#This Row],[fecha]]&gt;0,TEXT(BCP_Soles[[#This Row],[fecha]],"mmmm"),0)</f>
        <v>Junio</v>
      </c>
    </row>
    <row r="1968" spans="1:27" ht="24" x14ac:dyDescent="0.3">
      <c r="A1968" s="2">
        <f>IF(BCP_Soles[[#This Row],[tipo_registro]]="R",COUNTIFS($C$1:$C1967,"R")+1,A1967)</f>
        <v>1470</v>
      </c>
      <c r="B1968" s="19" t="str">
        <f t="shared" si="161"/>
        <v>B-BCP - Soles</v>
      </c>
      <c r="C1968" s="3" t="s">
        <v>1330</v>
      </c>
      <c r="D1968" s="14">
        <v>45811</v>
      </c>
      <c r="E1968" s="5" t="s">
        <v>1416</v>
      </c>
      <c r="F1968" s="5" t="s">
        <v>1336</v>
      </c>
      <c r="G1968" s="6" t="s">
        <v>1070</v>
      </c>
      <c r="H1968" s="6" t="s">
        <v>143</v>
      </c>
      <c r="I1968" s="6">
        <v>1</v>
      </c>
      <c r="J1968" s="6">
        <v>352025</v>
      </c>
      <c r="K1968" s="7" t="s">
        <v>3265</v>
      </c>
      <c r="L1968" s="8">
        <v>1217709</v>
      </c>
      <c r="M1968" s="8" t="str">
        <f t="shared" si="162"/>
        <v>PEN</v>
      </c>
      <c r="N1968" s="13"/>
      <c r="O1968" s="13">
        <v>241.8</v>
      </c>
      <c r="P1968" s="3">
        <f t="shared" si="163"/>
        <v>0</v>
      </c>
      <c r="Q1968" s="3">
        <f t="shared" si="164"/>
        <v>241.8</v>
      </c>
      <c r="R1968" s="3">
        <f t="shared" si="160"/>
        <v>30144.400000000023</v>
      </c>
      <c r="S1968" s="24" t="s">
        <v>1334</v>
      </c>
      <c r="T1968" s="24" t="s">
        <v>1334</v>
      </c>
      <c r="U1968" s="53"/>
      <c r="V1968" s="25">
        <f>IFERROR(VLOOKUP(BCP_Soles[[#This Row],[destinatario]],CHOOSE({1,2},Clientes_Proveedores[Razon Social],Clientes_Proveedores[Ruc / Dni]),2,0),"")</f>
        <v>46930934</v>
      </c>
      <c r="W1968" s="25" t="s">
        <v>1070</v>
      </c>
      <c r="X1968" s="25" t="s">
        <v>3114</v>
      </c>
      <c r="Y1968" s="25"/>
      <c r="Z1968" s="75"/>
      <c r="AA1968" s="3" t="str">
        <f>IF(BCP_Soles[[#This Row],[fecha]]&gt;0,TEXT(BCP_Soles[[#This Row],[fecha]],"mmmm"),0)</f>
        <v>Junio</v>
      </c>
    </row>
    <row r="1969" spans="1:27" ht="24" x14ac:dyDescent="0.3">
      <c r="A1969" s="2">
        <f>IF(BCP_Soles[[#This Row],[tipo_registro]]="R",COUNTIFS($C$1:$C1968,"R")+1,A1968)</f>
        <v>1471</v>
      </c>
      <c r="B1969" s="19" t="str">
        <f t="shared" si="161"/>
        <v>B-BCP - Soles</v>
      </c>
      <c r="C1969" s="3" t="s">
        <v>1330</v>
      </c>
      <c r="D1969" s="14">
        <v>45811</v>
      </c>
      <c r="E1969" s="5" t="s">
        <v>1338</v>
      </c>
      <c r="F1969" s="5" t="s">
        <v>1336</v>
      </c>
      <c r="G1969" s="6" t="s">
        <v>249</v>
      </c>
      <c r="H1969" s="6"/>
      <c r="I1969" s="6"/>
      <c r="J1969" s="6"/>
      <c r="K1969" s="7" t="s">
        <v>3266</v>
      </c>
      <c r="L1969" s="8">
        <v>1013248</v>
      </c>
      <c r="M1969" s="8" t="str">
        <f t="shared" si="162"/>
        <v>PEN</v>
      </c>
      <c r="N1969" s="13"/>
      <c r="O1969" s="13">
        <v>337.01</v>
      </c>
      <c r="P1969" s="3">
        <f t="shared" si="163"/>
        <v>0</v>
      </c>
      <c r="Q1969" s="3">
        <f t="shared" si="164"/>
        <v>337.01</v>
      </c>
      <c r="R1969" s="3">
        <f t="shared" si="160"/>
        <v>29807.390000000025</v>
      </c>
      <c r="S1969" s="24"/>
      <c r="T1969" s="24" t="s">
        <v>1334</v>
      </c>
      <c r="U1969" s="53"/>
      <c r="V1969" s="25">
        <f>IFERROR(VLOOKUP(BCP_Soles[[#This Row],[destinatario]],CHOOSE({1,2},Clientes_Proveedores[Razon Social],Clientes_Proveedores[Ruc / Dni]),2,0),"")</f>
        <v>20302891452</v>
      </c>
      <c r="W1969" s="25" t="s">
        <v>249</v>
      </c>
      <c r="X1969" s="25"/>
      <c r="Y1969" s="25"/>
      <c r="Z1969" s="75"/>
      <c r="AA1969" s="3" t="str">
        <f>IF(BCP_Soles[[#This Row],[fecha]]&gt;0,TEXT(BCP_Soles[[#This Row],[fecha]],"mmmm"),0)</f>
        <v>Junio</v>
      </c>
    </row>
    <row r="1970" spans="1:27" ht="36" x14ac:dyDescent="0.3">
      <c r="A1970" s="2">
        <f>IF(BCP_Soles[[#This Row],[tipo_registro]]="R",COUNTIFS($C$1:$C1969,"R")+1,A1969)</f>
        <v>1472</v>
      </c>
      <c r="B1970" s="19" t="str">
        <f t="shared" si="161"/>
        <v>B-BCP - Soles</v>
      </c>
      <c r="C1970" s="3" t="s">
        <v>1330</v>
      </c>
      <c r="D1970" s="14">
        <v>45811</v>
      </c>
      <c r="E1970" s="5" t="s">
        <v>1338</v>
      </c>
      <c r="F1970" s="5" t="s">
        <v>1336</v>
      </c>
      <c r="G1970" s="6" t="s">
        <v>738</v>
      </c>
      <c r="H1970" s="6" t="s">
        <v>68</v>
      </c>
      <c r="I1970" s="6" t="s">
        <v>1376</v>
      </c>
      <c r="J1970" s="6">
        <v>2546</v>
      </c>
      <c r="K1970" s="7" t="s">
        <v>3267</v>
      </c>
      <c r="L1970" s="8">
        <v>1102670</v>
      </c>
      <c r="M1970" s="8" t="str">
        <f t="shared" si="162"/>
        <v>PEN</v>
      </c>
      <c r="N1970" s="13"/>
      <c r="O1970" s="13">
        <v>414</v>
      </c>
      <c r="P1970" s="3">
        <f t="shared" si="163"/>
        <v>0</v>
      </c>
      <c r="Q1970" s="3">
        <f t="shared" si="164"/>
        <v>414</v>
      </c>
      <c r="R1970" s="3">
        <f t="shared" si="160"/>
        <v>29393.390000000025</v>
      </c>
      <c r="S1970" s="24" t="s">
        <v>1334</v>
      </c>
      <c r="T1970" s="24" t="s">
        <v>1334</v>
      </c>
      <c r="U1970" s="53"/>
      <c r="V1970" s="25">
        <f>IFERROR(VLOOKUP(BCP_Soles[[#This Row],[destinatario]],CHOOSE({1,2},Clientes_Proveedores[Razon Social],Clientes_Proveedores[Ruc / Dni]),2,0),"")</f>
        <v>20454726473</v>
      </c>
      <c r="W1970" s="25" t="s">
        <v>3253</v>
      </c>
      <c r="X1970" s="25" t="s">
        <v>3254</v>
      </c>
      <c r="Y1970" s="25"/>
      <c r="Z1970" s="75"/>
      <c r="AA1970" s="3" t="str">
        <f>IF(BCP_Soles[[#This Row],[fecha]]&gt;0,TEXT(BCP_Soles[[#This Row],[fecha]],"mmmm"),0)</f>
        <v>Junio</v>
      </c>
    </row>
    <row r="1971" spans="1:27" ht="24" x14ac:dyDescent="0.3">
      <c r="A1971" s="2">
        <f>IF(BCP_Soles[[#This Row],[tipo_registro]]="R",COUNTIFS($C$1:$C1970,"R")+1,A1970)</f>
        <v>1473</v>
      </c>
      <c r="B1971" s="19" t="str">
        <f t="shared" si="161"/>
        <v>B-BCP - Soles</v>
      </c>
      <c r="C1971" s="3" t="s">
        <v>1330</v>
      </c>
      <c r="D1971" s="14">
        <v>45811</v>
      </c>
      <c r="E1971" s="5" t="s">
        <v>2269</v>
      </c>
      <c r="F1971" s="5" t="s">
        <v>1336</v>
      </c>
      <c r="G1971" s="6" t="s">
        <v>888</v>
      </c>
      <c r="H1971" s="6" t="s">
        <v>147</v>
      </c>
      <c r="I1971" s="6">
        <v>14</v>
      </c>
      <c r="J1971" s="6">
        <v>32</v>
      </c>
      <c r="K1971" s="7" t="s">
        <v>3268</v>
      </c>
      <c r="L1971" s="8">
        <v>1102669</v>
      </c>
      <c r="M1971" s="8" t="str">
        <f t="shared" si="162"/>
        <v>PEN</v>
      </c>
      <c r="N1971" s="13"/>
      <c r="O1971" s="13">
        <v>1957.54</v>
      </c>
      <c r="P1971" s="3">
        <f t="shared" si="163"/>
        <v>0</v>
      </c>
      <c r="Q1971" s="3">
        <f t="shared" si="164"/>
        <v>1957.54</v>
      </c>
      <c r="R1971" s="3">
        <f t="shared" si="160"/>
        <v>27435.850000000024</v>
      </c>
      <c r="S1971" s="24"/>
      <c r="T1971" s="24" t="s">
        <v>1334</v>
      </c>
      <c r="U1971" s="53"/>
      <c r="V1971" s="25">
        <f>IFERROR(VLOOKUP(BCP_Soles[[#This Row],[destinatario]],CHOOSE({1,2},Clientes_Proveedores[Razon Social],Clientes_Proveedores[Ruc / Dni]),2,0),"")</f>
        <v>47461440</v>
      </c>
      <c r="W1971" s="25"/>
      <c r="X1971" s="25"/>
      <c r="Y1971" s="25"/>
      <c r="Z1971" s="75"/>
      <c r="AA1971" s="3" t="str">
        <f>IF(BCP_Soles[[#This Row],[fecha]]&gt;0,TEXT(BCP_Soles[[#This Row],[fecha]],"mmmm"),0)</f>
        <v>Junio</v>
      </c>
    </row>
    <row r="1972" spans="1:27" x14ac:dyDescent="0.3">
      <c r="A1972" s="2">
        <f>IF(BCP_Soles[[#This Row],[tipo_registro]]="R",COUNTIFS($C$1:$C1971,"R")+1,A1971)</f>
        <v>1474</v>
      </c>
      <c r="B1972" s="19" t="str">
        <f t="shared" si="161"/>
        <v>B-BCP - Soles</v>
      </c>
      <c r="C1972" s="3" t="s">
        <v>1330</v>
      </c>
      <c r="D1972" s="14">
        <v>45811</v>
      </c>
      <c r="E1972" s="5" t="s">
        <v>1335</v>
      </c>
      <c r="F1972" s="5" t="s">
        <v>1336</v>
      </c>
      <c r="G1972" s="6"/>
      <c r="H1972" s="6"/>
      <c r="I1972" s="6"/>
      <c r="J1972" s="6"/>
      <c r="K1972" s="7" t="s">
        <v>3160</v>
      </c>
      <c r="L1972" s="8"/>
      <c r="M1972" s="8" t="str">
        <f t="shared" si="162"/>
        <v>PEN</v>
      </c>
      <c r="N1972" s="13"/>
      <c r="O1972" s="13">
        <v>0.05</v>
      </c>
      <c r="P1972" s="3">
        <f t="shared" si="163"/>
        <v>0</v>
      </c>
      <c r="Q1972" s="3">
        <f t="shared" si="164"/>
        <v>0.05</v>
      </c>
      <c r="R1972" s="3">
        <f t="shared" si="160"/>
        <v>27435.800000000025</v>
      </c>
      <c r="S1972" s="24"/>
      <c r="T1972" s="24" t="s">
        <v>1334</v>
      </c>
      <c r="U1972" s="53"/>
      <c r="V1972" s="25" t="str">
        <f>IFERROR(VLOOKUP(BCP_Soles[[#This Row],[destinatario]],CHOOSE({1,2},Clientes_Proveedores[Razon Social],Clientes_Proveedores[Ruc / Dni]),2,0),"")</f>
        <v/>
      </c>
      <c r="W1972" s="25"/>
      <c r="X1972" s="25"/>
      <c r="Y1972" s="25"/>
      <c r="Z1972" s="75"/>
      <c r="AA1972" s="3" t="str">
        <f>IF(BCP_Soles[[#This Row],[fecha]]&gt;0,TEXT(BCP_Soles[[#This Row],[fecha]],"mmmm"),0)</f>
        <v>Junio</v>
      </c>
    </row>
    <row r="1973" spans="1:27" ht="48" x14ac:dyDescent="0.3">
      <c r="A1973" s="2">
        <f>IF(BCP_Soles[[#This Row],[tipo_registro]]="R",COUNTIFS($C$1:$C1972,"R")+1,A1972)</f>
        <v>1475</v>
      </c>
      <c r="B1973" s="19" t="str">
        <f t="shared" si="161"/>
        <v>B-BCP - Soles</v>
      </c>
      <c r="C1973" s="3" t="s">
        <v>1330</v>
      </c>
      <c r="D1973" s="14">
        <v>45812</v>
      </c>
      <c r="E1973" s="5" t="s">
        <v>346</v>
      </c>
      <c r="F1973" s="5" t="s">
        <v>1303</v>
      </c>
      <c r="G1973" s="6" t="s">
        <v>425</v>
      </c>
      <c r="H1973" s="6"/>
      <c r="I1973" s="6"/>
      <c r="J1973" s="6"/>
      <c r="K1973" s="7" t="s">
        <v>1453</v>
      </c>
      <c r="L1973" s="8">
        <v>4082886</v>
      </c>
      <c r="M1973" s="8" t="str">
        <f t="shared" si="162"/>
        <v>PEN</v>
      </c>
      <c r="N1973" s="13"/>
      <c r="O1973" s="13">
        <v>13585.31</v>
      </c>
      <c r="P1973" s="3">
        <f t="shared" si="163"/>
        <v>13585.31</v>
      </c>
      <c r="Q1973" s="3">
        <f t="shared" si="164"/>
        <v>0</v>
      </c>
      <c r="R1973" s="3">
        <f t="shared" si="160"/>
        <v>41021.110000000022</v>
      </c>
      <c r="S1973" s="24" t="s">
        <v>1334</v>
      </c>
      <c r="T1973" s="24" t="s">
        <v>1334</v>
      </c>
      <c r="U1973" s="53"/>
      <c r="V1973" s="25">
        <f>IFERROR(VLOOKUP(BCP_Soles[[#This Row],[destinatario]],CHOOSE({1,2},Clientes_Proveedores[Razon Social],Clientes_Proveedores[Ruc / Dni]),2,0),"")</f>
        <v>20558226979</v>
      </c>
      <c r="W1973" s="25" t="s">
        <v>1345</v>
      </c>
      <c r="X1973" s="25" t="s">
        <v>3269</v>
      </c>
      <c r="Y1973" s="25"/>
      <c r="Z1973" s="75"/>
      <c r="AA1973" s="3" t="str">
        <f>IF(BCP_Soles[[#This Row],[fecha]]&gt;0,TEXT(BCP_Soles[[#This Row],[fecha]],"mmmm"),0)</f>
        <v>Junio</v>
      </c>
    </row>
    <row r="1974" spans="1:27" ht="60" x14ac:dyDescent="0.3">
      <c r="A1974" s="2">
        <f>IF(BCP_Soles[[#This Row],[tipo_registro]]="R",COUNTIFS($C$1:$C1973,"R")+1,A1973)</f>
        <v>1476</v>
      </c>
      <c r="B1974" s="19" t="str">
        <f t="shared" si="161"/>
        <v>B-BCP - Soles</v>
      </c>
      <c r="C1974" s="3" t="s">
        <v>1330</v>
      </c>
      <c r="D1974" s="14">
        <v>45812</v>
      </c>
      <c r="E1974" s="5" t="s">
        <v>271</v>
      </c>
      <c r="F1974" s="5" t="s">
        <v>1303</v>
      </c>
      <c r="G1974" s="6" t="s">
        <v>425</v>
      </c>
      <c r="H1974" s="6"/>
      <c r="I1974" s="6"/>
      <c r="J1974" s="6"/>
      <c r="K1974" s="7" t="s">
        <v>3270</v>
      </c>
      <c r="L1974" s="8">
        <v>4085428</v>
      </c>
      <c r="M1974" s="8" t="str">
        <f t="shared" si="162"/>
        <v>PEN</v>
      </c>
      <c r="N1974" s="13"/>
      <c r="O1974" s="13">
        <v>7425.25</v>
      </c>
      <c r="P1974" s="3">
        <f t="shared" si="163"/>
        <v>7425.25</v>
      </c>
      <c r="Q1974" s="3">
        <f t="shared" si="164"/>
        <v>0</v>
      </c>
      <c r="R1974" s="3">
        <f t="shared" si="160"/>
        <v>48446.360000000022</v>
      </c>
      <c r="S1974" s="24" t="s">
        <v>1334</v>
      </c>
      <c r="T1974" s="24" t="s">
        <v>1334</v>
      </c>
      <c r="U1974" s="53"/>
      <c r="V1974" s="25">
        <f>IFERROR(VLOOKUP(BCP_Soles[[#This Row],[destinatario]],CHOOSE({1,2},Clientes_Proveedores[Razon Social],Clientes_Proveedores[Ruc / Dni]),2,0),"")</f>
        <v>20558226979</v>
      </c>
      <c r="W1974" s="25" t="s">
        <v>1345</v>
      </c>
      <c r="X1974" s="25" t="s">
        <v>3271</v>
      </c>
      <c r="Y1974" s="25"/>
      <c r="Z1974" s="75"/>
      <c r="AA1974" s="3" t="str">
        <f>IF(BCP_Soles[[#This Row],[fecha]]&gt;0,TEXT(BCP_Soles[[#This Row],[fecha]],"mmmm"),0)</f>
        <v>Junio</v>
      </c>
    </row>
    <row r="1975" spans="1:27" ht="24" x14ac:dyDescent="0.3">
      <c r="A1975" s="2">
        <f>IF(BCP_Soles[[#This Row],[tipo_registro]]="R",COUNTIFS($C$1:$C1974,"R")+1,A1974)</f>
        <v>1477</v>
      </c>
      <c r="B1975" s="19" t="str">
        <f t="shared" si="161"/>
        <v>B-BCP - Soles</v>
      </c>
      <c r="C1975" s="3" t="s">
        <v>1330</v>
      </c>
      <c r="D1975" s="14">
        <v>45812</v>
      </c>
      <c r="E1975" s="5" t="s">
        <v>3091</v>
      </c>
      <c r="F1975" s="5" t="s">
        <v>1303</v>
      </c>
      <c r="G1975" s="6" t="s">
        <v>425</v>
      </c>
      <c r="H1975" s="6" t="s">
        <v>119</v>
      </c>
      <c r="I1975" s="6">
        <v>2</v>
      </c>
      <c r="J1975" s="6">
        <v>788</v>
      </c>
      <c r="K1975" s="7" t="s">
        <v>1356</v>
      </c>
      <c r="L1975" s="8">
        <v>3755848</v>
      </c>
      <c r="M1975" s="8" t="str">
        <f t="shared" si="162"/>
        <v>PEN</v>
      </c>
      <c r="N1975" s="13"/>
      <c r="O1975" s="13">
        <v>5160</v>
      </c>
      <c r="P1975" s="3">
        <f t="shared" si="163"/>
        <v>5160</v>
      </c>
      <c r="Q1975" s="3">
        <f t="shared" si="164"/>
        <v>0</v>
      </c>
      <c r="R1975" s="3">
        <f t="shared" si="160"/>
        <v>53606.360000000022</v>
      </c>
      <c r="S1975" s="24" t="s">
        <v>1334</v>
      </c>
      <c r="T1975" s="24" t="s">
        <v>1334</v>
      </c>
      <c r="U1975" s="53"/>
      <c r="V1975" s="25">
        <f>IFERROR(VLOOKUP(BCP_Soles[[#This Row],[destinatario]],CHOOSE({1,2},Clientes_Proveedores[Razon Social],Clientes_Proveedores[Ruc / Dni]),2,0),"")</f>
        <v>20558226979</v>
      </c>
      <c r="W1975" s="25" t="s">
        <v>1345</v>
      </c>
      <c r="X1975" s="25" t="s">
        <v>3272</v>
      </c>
      <c r="Y1975" s="25"/>
      <c r="Z1975" s="75"/>
      <c r="AA1975" s="3" t="str">
        <f>IF(BCP_Soles[[#This Row],[fecha]]&gt;0,TEXT(BCP_Soles[[#This Row],[fecha]],"mmmm"),0)</f>
        <v>Junio</v>
      </c>
    </row>
    <row r="1976" spans="1:27" ht="24" x14ac:dyDescent="0.3">
      <c r="A1976" s="2">
        <f>IF(BCP_Soles[[#This Row],[tipo_registro]]="R",COUNTIFS($C$1:$C1975,"R")+1,A1975)</f>
        <v>1478</v>
      </c>
      <c r="B1976" s="19" t="str">
        <f t="shared" si="161"/>
        <v>B-BCP - Soles</v>
      </c>
      <c r="C1976" s="3" t="s">
        <v>1330</v>
      </c>
      <c r="D1976" s="14">
        <v>45812</v>
      </c>
      <c r="E1976" s="5" t="s">
        <v>1669</v>
      </c>
      <c r="F1976" s="5" t="s">
        <v>1303</v>
      </c>
      <c r="G1976" s="6" t="s">
        <v>425</v>
      </c>
      <c r="H1976" s="6" t="s">
        <v>119</v>
      </c>
      <c r="I1976" s="6">
        <v>1</v>
      </c>
      <c r="J1976" s="6">
        <v>4469</v>
      </c>
      <c r="K1976" s="7" t="s">
        <v>1356</v>
      </c>
      <c r="L1976" s="8">
        <v>3348455</v>
      </c>
      <c r="M1976" s="8" t="str">
        <f t="shared" si="162"/>
        <v>PEN</v>
      </c>
      <c r="N1976" s="13"/>
      <c r="O1976" s="13">
        <v>2100</v>
      </c>
      <c r="P1976" s="3">
        <f t="shared" si="163"/>
        <v>2100</v>
      </c>
      <c r="Q1976" s="3">
        <f t="shared" si="164"/>
        <v>0</v>
      </c>
      <c r="R1976" s="3">
        <f t="shared" si="160"/>
        <v>55706.360000000022</v>
      </c>
      <c r="S1976" s="24" t="s">
        <v>1334</v>
      </c>
      <c r="T1976" s="24" t="s">
        <v>1334</v>
      </c>
      <c r="U1976" s="53"/>
      <c r="V1976" s="25">
        <f>IFERROR(VLOOKUP(BCP_Soles[[#This Row],[destinatario]],CHOOSE({1,2},Clientes_Proveedores[Razon Social],Clientes_Proveedores[Ruc / Dni]),2,0),"")</f>
        <v>20558226979</v>
      </c>
      <c r="W1976" s="25" t="s">
        <v>1345</v>
      </c>
      <c r="X1976" s="25" t="s">
        <v>3273</v>
      </c>
      <c r="Y1976" s="25"/>
      <c r="Z1976" s="75"/>
      <c r="AA1976" s="3" t="str">
        <f>IF(BCP_Soles[[#This Row],[fecha]]&gt;0,TEXT(BCP_Soles[[#This Row],[fecha]],"mmmm"),0)</f>
        <v>Junio</v>
      </c>
    </row>
    <row r="1977" spans="1:27" ht="24" x14ac:dyDescent="0.3">
      <c r="A1977" s="2">
        <f>IF(BCP_Soles[[#This Row],[tipo_registro]]="R",COUNTIFS($C$1:$C1976,"R")+1,A1976)</f>
        <v>1479</v>
      </c>
      <c r="B1977" s="19" t="str">
        <f t="shared" si="161"/>
        <v>B-BCP - Soles</v>
      </c>
      <c r="C1977" s="3" t="s">
        <v>1330</v>
      </c>
      <c r="D1977" s="14">
        <v>45812</v>
      </c>
      <c r="E1977" s="5" t="s">
        <v>1505</v>
      </c>
      <c r="F1977" s="5" t="s">
        <v>1303</v>
      </c>
      <c r="G1977" s="6" t="s">
        <v>425</v>
      </c>
      <c r="H1977" s="6" t="s">
        <v>119</v>
      </c>
      <c r="I1977" s="6">
        <v>2</v>
      </c>
      <c r="J1977" s="6">
        <v>736</v>
      </c>
      <c r="K1977" s="7" t="s">
        <v>1356</v>
      </c>
      <c r="L1977" s="8">
        <v>3591067</v>
      </c>
      <c r="M1977" s="8" t="str">
        <f t="shared" si="162"/>
        <v>PEN</v>
      </c>
      <c r="N1977" s="13"/>
      <c r="O1977" s="13">
        <v>1974.4</v>
      </c>
      <c r="P1977" s="3">
        <f t="shared" si="163"/>
        <v>1974.4</v>
      </c>
      <c r="Q1977" s="3">
        <f t="shared" si="164"/>
        <v>0</v>
      </c>
      <c r="R1977" s="3">
        <f t="shared" si="160"/>
        <v>57680.760000000024</v>
      </c>
      <c r="S1977" s="24" t="s">
        <v>1334</v>
      </c>
      <c r="T1977" s="24" t="s">
        <v>1334</v>
      </c>
      <c r="U1977" s="53"/>
      <c r="V1977" s="25">
        <f>IFERROR(VLOOKUP(BCP_Soles[[#This Row],[destinatario]],CHOOSE({1,2},Clientes_Proveedores[Razon Social],Clientes_Proveedores[Ruc / Dni]),2,0),"")</f>
        <v>20558226979</v>
      </c>
      <c r="W1977" s="25" t="s">
        <v>1345</v>
      </c>
      <c r="X1977" s="25" t="s">
        <v>2478</v>
      </c>
      <c r="Y1977" s="25"/>
      <c r="Z1977" s="75"/>
      <c r="AA1977" s="3" t="str">
        <f>IF(BCP_Soles[[#This Row],[fecha]]&gt;0,TEXT(BCP_Soles[[#This Row],[fecha]],"mmmm"),0)</f>
        <v>Junio</v>
      </c>
    </row>
    <row r="1978" spans="1:27" x14ac:dyDescent="0.3">
      <c r="A1978" s="2">
        <f>IF(BCP_Soles[[#This Row],[tipo_registro]]="R",COUNTIFS($C$1:$C1977,"R")+1,A1977)</f>
        <v>1480</v>
      </c>
      <c r="B1978" s="19" t="str">
        <f t="shared" si="161"/>
        <v>B-BCP - Soles</v>
      </c>
      <c r="C1978" s="3" t="s">
        <v>1330</v>
      </c>
      <c r="D1978" s="14">
        <v>45812</v>
      </c>
      <c r="E1978" s="5" t="s">
        <v>1335</v>
      </c>
      <c r="F1978" s="5" t="s">
        <v>1336</v>
      </c>
      <c r="G1978" s="6"/>
      <c r="H1978" s="6"/>
      <c r="I1978" s="6"/>
      <c r="J1978" s="6"/>
      <c r="K1978" s="7" t="s">
        <v>3160</v>
      </c>
      <c r="L1978" s="8"/>
      <c r="M1978" s="8" t="str">
        <f t="shared" si="162"/>
        <v>PEN</v>
      </c>
      <c r="N1978" s="13"/>
      <c r="O1978" s="13">
        <v>2</v>
      </c>
      <c r="P1978" s="3">
        <f t="shared" si="163"/>
        <v>0</v>
      </c>
      <c r="Q1978" s="3">
        <f t="shared" si="164"/>
        <v>2</v>
      </c>
      <c r="R1978" s="3">
        <f t="shared" si="160"/>
        <v>57678.760000000024</v>
      </c>
      <c r="S1978" s="24"/>
      <c r="T1978" s="24" t="s">
        <v>1334</v>
      </c>
      <c r="U1978" s="53"/>
      <c r="V1978" s="25" t="str">
        <f>IFERROR(VLOOKUP(BCP_Soles[[#This Row],[destinatario]],CHOOSE({1,2},Clientes_Proveedores[Razon Social],Clientes_Proveedores[Ruc / Dni]),2,0),"")</f>
        <v/>
      </c>
      <c r="W1978" s="25"/>
      <c r="X1978" s="25"/>
      <c r="Y1978" s="25"/>
      <c r="Z1978" s="75"/>
      <c r="AA1978" s="3" t="str">
        <f>IF(BCP_Soles[[#This Row],[fecha]]&gt;0,TEXT(BCP_Soles[[#This Row],[fecha]],"mmmm"),0)</f>
        <v>Junio</v>
      </c>
    </row>
    <row r="1979" spans="1:27" ht="24" x14ac:dyDescent="0.3">
      <c r="A1979" s="2">
        <f>IF(BCP_Soles[[#This Row],[tipo_registro]]="R",COUNTIFS($C$1:$C1978,"R")+1,A1978)</f>
        <v>1481</v>
      </c>
      <c r="B1979" s="19" t="str">
        <f t="shared" si="161"/>
        <v>B-BCP - Soles</v>
      </c>
      <c r="C1979" s="3" t="s">
        <v>1330</v>
      </c>
      <c r="D1979" s="14">
        <v>45812</v>
      </c>
      <c r="E1979" s="5" t="s">
        <v>1338</v>
      </c>
      <c r="F1979" s="5" t="s">
        <v>1336</v>
      </c>
      <c r="G1979" s="6" t="s">
        <v>249</v>
      </c>
      <c r="H1979" s="6"/>
      <c r="I1979" s="6"/>
      <c r="J1979" s="6"/>
      <c r="K1979" s="7" t="s">
        <v>3274</v>
      </c>
      <c r="L1979" s="8">
        <v>1216697</v>
      </c>
      <c r="M1979" s="8" t="str">
        <f t="shared" si="162"/>
        <v>PEN</v>
      </c>
      <c r="N1979" s="13"/>
      <c r="O1979" s="13">
        <v>40.71</v>
      </c>
      <c r="P1979" s="3">
        <f t="shared" si="163"/>
        <v>0</v>
      </c>
      <c r="Q1979" s="3">
        <f t="shared" si="164"/>
        <v>40.71</v>
      </c>
      <c r="R1979" s="3">
        <f t="shared" si="160"/>
        <v>57638.050000000025</v>
      </c>
      <c r="S1979" s="24"/>
      <c r="T1979" s="24" t="s">
        <v>1334</v>
      </c>
      <c r="U1979" s="53"/>
      <c r="V1979" s="25">
        <f>IFERROR(VLOOKUP(BCP_Soles[[#This Row],[destinatario]],CHOOSE({1,2},Clientes_Proveedores[Razon Social],Clientes_Proveedores[Ruc / Dni]),2,0),"")</f>
        <v>20302891452</v>
      </c>
      <c r="W1979" s="25" t="s">
        <v>249</v>
      </c>
      <c r="X1979" s="25"/>
      <c r="Y1979" s="25"/>
      <c r="Z1979" s="75"/>
      <c r="AA1979" s="3" t="str">
        <f>IF(BCP_Soles[[#This Row],[fecha]]&gt;0,TEXT(BCP_Soles[[#This Row],[fecha]],"mmmm"),0)</f>
        <v>Junio</v>
      </c>
    </row>
    <row r="1980" spans="1:27" ht="48" x14ac:dyDescent="0.3">
      <c r="A1980" s="2">
        <f>IF(BCP_Soles[[#This Row],[tipo_registro]]="R",COUNTIFS($C$1:$C1979,"R")+1,A1979)</f>
        <v>1482</v>
      </c>
      <c r="B1980" s="19" t="str">
        <f t="shared" si="161"/>
        <v>B-BCP - Soles</v>
      </c>
      <c r="C1980" s="3" t="s">
        <v>1330</v>
      </c>
      <c r="D1980" s="14">
        <v>45812</v>
      </c>
      <c r="E1980" s="5" t="s">
        <v>1338</v>
      </c>
      <c r="F1980" s="5" t="s">
        <v>1336</v>
      </c>
      <c r="G1980" s="6" t="s">
        <v>501</v>
      </c>
      <c r="H1980" s="6" t="s">
        <v>68</v>
      </c>
      <c r="I1980" s="6" t="s">
        <v>1526</v>
      </c>
      <c r="J1980" s="6">
        <v>10509</v>
      </c>
      <c r="K1980" s="7" t="s">
        <v>3275</v>
      </c>
      <c r="L1980" s="8">
        <v>1011973</v>
      </c>
      <c r="M1980" s="8" t="str">
        <f t="shared" si="162"/>
        <v>PEN</v>
      </c>
      <c r="N1980" s="13"/>
      <c r="O1980" s="13">
        <v>69.61</v>
      </c>
      <c r="P1980" s="3">
        <f t="shared" si="163"/>
        <v>0</v>
      </c>
      <c r="Q1980" s="3">
        <f t="shared" si="164"/>
        <v>69.61</v>
      </c>
      <c r="R1980" s="3">
        <f t="shared" si="160"/>
        <v>57568.440000000024</v>
      </c>
      <c r="S1980" s="24" t="s">
        <v>1334</v>
      </c>
      <c r="T1980" s="24" t="s">
        <v>1334</v>
      </c>
      <c r="U1980" s="53"/>
      <c r="V1980" s="25">
        <f>IFERROR(VLOOKUP(BCP_Soles[[#This Row],[destinatario]],CHOOSE({1,2},Clientes_Proveedores[Razon Social],Clientes_Proveedores[Ruc / Dni]),2,0),"")</f>
        <v>20602978274</v>
      </c>
      <c r="W1980" s="25" t="s">
        <v>1528</v>
      </c>
      <c r="X1980" s="25" t="s">
        <v>3276</v>
      </c>
      <c r="Y1980" s="25"/>
      <c r="Z1980" s="75"/>
      <c r="AA1980" s="3" t="str">
        <f>IF(BCP_Soles[[#This Row],[fecha]]&gt;0,TEXT(BCP_Soles[[#This Row],[fecha]],"mmmm"),0)</f>
        <v>Junio</v>
      </c>
    </row>
    <row r="1981" spans="1:27" ht="36" x14ac:dyDescent="0.3">
      <c r="A1981" s="2">
        <f>IF(BCP_Soles[[#This Row],[tipo_registro]]="R",COUNTIFS($C$1:$C1980,"R")+1,A1980)</f>
        <v>1483</v>
      </c>
      <c r="B1981" s="19" t="str">
        <f t="shared" si="161"/>
        <v>B-BCP - Soles</v>
      </c>
      <c r="C1981" s="3" t="s">
        <v>1330</v>
      </c>
      <c r="D1981" s="14">
        <v>45812</v>
      </c>
      <c r="E1981" s="5" t="s">
        <v>1338</v>
      </c>
      <c r="F1981" s="5" t="s">
        <v>1336</v>
      </c>
      <c r="G1981" s="6" t="s">
        <v>588</v>
      </c>
      <c r="H1981" s="6" t="s">
        <v>68</v>
      </c>
      <c r="I1981" s="6" t="s">
        <v>1376</v>
      </c>
      <c r="J1981" s="6">
        <v>429</v>
      </c>
      <c r="K1981" s="7" t="s">
        <v>3277</v>
      </c>
      <c r="L1981" s="8">
        <v>1100548</v>
      </c>
      <c r="M1981" s="8" t="str">
        <f t="shared" si="162"/>
        <v>PEN</v>
      </c>
      <c r="N1981" s="13"/>
      <c r="O1981" s="13">
        <v>94.28</v>
      </c>
      <c r="P1981" s="3">
        <f t="shared" si="163"/>
        <v>0</v>
      </c>
      <c r="Q1981" s="3">
        <f t="shared" si="164"/>
        <v>94.28</v>
      </c>
      <c r="R1981" s="3">
        <f t="shared" si="160"/>
        <v>57474.160000000025</v>
      </c>
      <c r="S1981" s="24" t="s">
        <v>1334</v>
      </c>
      <c r="T1981" s="24" t="s">
        <v>1334</v>
      </c>
      <c r="U1981" s="53"/>
      <c r="V1981" s="25">
        <f>IFERROR(VLOOKUP(BCP_Soles[[#This Row],[destinatario]],CHOOSE({1,2},Clientes_Proveedores[Razon Social],Clientes_Proveedores[Ruc / Dni]),2,0),"")</f>
        <v>20609368773</v>
      </c>
      <c r="W1981" s="25" t="s">
        <v>1439</v>
      </c>
      <c r="X1981" s="25" t="s">
        <v>3278</v>
      </c>
      <c r="Y1981" s="25"/>
      <c r="Z1981" s="75"/>
      <c r="AA1981" s="3" t="str">
        <f>IF(BCP_Soles[[#This Row],[fecha]]&gt;0,TEXT(BCP_Soles[[#This Row],[fecha]],"mmmm"),0)</f>
        <v>Junio</v>
      </c>
    </row>
    <row r="1982" spans="1:27" ht="24" x14ac:dyDescent="0.3">
      <c r="A1982" s="2">
        <f>IF(BCP_Soles[[#This Row],[tipo_registro]]="R",COUNTIFS($C$1:$C1981,"R")+1,A1981)</f>
        <v>1484</v>
      </c>
      <c r="B1982" s="19" t="str">
        <f t="shared" si="161"/>
        <v>B-BCP - Soles</v>
      </c>
      <c r="C1982" s="3" t="s">
        <v>1330</v>
      </c>
      <c r="D1982" s="14">
        <v>45812</v>
      </c>
      <c r="E1982" s="5" t="s">
        <v>1338</v>
      </c>
      <c r="F1982" s="5" t="s">
        <v>1336</v>
      </c>
      <c r="G1982" s="6" t="s">
        <v>857</v>
      </c>
      <c r="H1982" s="6" t="s">
        <v>143</v>
      </c>
      <c r="I1982" s="6">
        <v>1</v>
      </c>
      <c r="J1982" s="6">
        <v>452025</v>
      </c>
      <c r="K1982" s="7" t="s">
        <v>3279</v>
      </c>
      <c r="L1982" s="8">
        <v>1099945</v>
      </c>
      <c r="M1982" s="8" t="str">
        <f t="shared" si="162"/>
        <v>PEN</v>
      </c>
      <c r="N1982" s="13"/>
      <c r="O1982" s="13">
        <v>154.02000000000001</v>
      </c>
      <c r="P1982" s="3">
        <f t="shared" si="163"/>
        <v>0</v>
      </c>
      <c r="Q1982" s="3">
        <f t="shared" si="164"/>
        <v>154.02000000000001</v>
      </c>
      <c r="R1982" s="3">
        <f t="shared" si="160"/>
        <v>57320.140000000029</v>
      </c>
      <c r="S1982" s="24" t="s">
        <v>1334</v>
      </c>
      <c r="T1982" s="24" t="s">
        <v>1334</v>
      </c>
      <c r="U1982" s="53"/>
      <c r="V1982" s="25">
        <f>IFERROR(VLOOKUP(BCP_Soles[[#This Row],[destinatario]],CHOOSE({1,2},Clientes_Proveedores[Razon Social],Clientes_Proveedores[Ruc / Dni]),2,0),"")</f>
        <v>70666331</v>
      </c>
      <c r="W1982" s="25" t="s">
        <v>857</v>
      </c>
      <c r="X1982" s="25" t="s">
        <v>3280</v>
      </c>
      <c r="Y1982" s="25"/>
      <c r="Z1982" s="75"/>
      <c r="AA1982" s="3" t="str">
        <f>IF(BCP_Soles[[#This Row],[fecha]]&gt;0,TEXT(BCP_Soles[[#This Row],[fecha]],"mmmm"),0)</f>
        <v>Junio</v>
      </c>
    </row>
    <row r="1983" spans="1:27" x14ac:dyDescent="0.3">
      <c r="A1983" s="2">
        <f>IF(BCP_Soles[[#This Row],[tipo_registro]]="R",COUNTIFS($C$1:$C1982,"R")+1,A1982)</f>
        <v>1485</v>
      </c>
      <c r="B1983" s="19" t="str">
        <f t="shared" si="161"/>
        <v>B-BCP - Soles</v>
      </c>
      <c r="C1983" s="3" t="s">
        <v>1330</v>
      </c>
      <c r="D1983" s="14">
        <v>45812</v>
      </c>
      <c r="E1983" s="5" t="s">
        <v>1421</v>
      </c>
      <c r="F1983" s="5" t="s">
        <v>1336</v>
      </c>
      <c r="G1983" s="6" t="s">
        <v>809</v>
      </c>
      <c r="H1983" s="6" t="s">
        <v>143</v>
      </c>
      <c r="I1983" s="6">
        <v>1</v>
      </c>
      <c r="J1983" s="6">
        <v>782025</v>
      </c>
      <c r="K1983" s="7" t="s">
        <v>3281</v>
      </c>
      <c r="L1983" s="8">
        <v>1009998</v>
      </c>
      <c r="M1983" s="8" t="str">
        <f t="shared" si="162"/>
        <v>PEN</v>
      </c>
      <c r="N1983" s="13"/>
      <c r="O1983" s="13">
        <v>164.83</v>
      </c>
      <c r="P1983" s="3">
        <f t="shared" si="163"/>
        <v>0</v>
      </c>
      <c r="Q1983" s="3">
        <f t="shared" si="164"/>
        <v>164.83</v>
      </c>
      <c r="R1983" s="3">
        <f t="shared" si="160"/>
        <v>57155.310000000027</v>
      </c>
      <c r="S1983" s="24"/>
      <c r="T1983" s="24" t="s">
        <v>1334</v>
      </c>
      <c r="U1983" s="53"/>
      <c r="V1983" s="25">
        <f>IFERROR(VLOOKUP(BCP_Soles[[#This Row],[destinatario]],CHOOSE({1,2},Clientes_Proveedores[Razon Social],Clientes_Proveedores[Ruc / Dni]),2,0),"")</f>
        <v>45286301</v>
      </c>
      <c r="W1983" s="25"/>
      <c r="X1983" s="25"/>
      <c r="Y1983" s="25"/>
      <c r="Z1983" s="75"/>
      <c r="AA1983" s="3" t="str">
        <f>IF(BCP_Soles[[#This Row],[fecha]]&gt;0,TEXT(BCP_Soles[[#This Row],[fecha]],"mmmm"),0)</f>
        <v>Junio</v>
      </c>
    </row>
    <row r="1984" spans="1:27" x14ac:dyDescent="0.3">
      <c r="A1984" s="2">
        <f>IF(BCP_Soles[[#This Row],[tipo_registro]]="R",COUNTIFS($C$1:$C1983,"R")+1,A1983)</f>
        <v>1486</v>
      </c>
      <c r="B1984" s="19" t="str">
        <f t="shared" si="161"/>
        <v>B-BCP - Soles</v>
      </c>
      <c r="C1984" s="3" t="s">
        <v>1330</v>
      </c>
      <c r="D1984" s="14">
        <v>45812</v>
      </c>
      <c r="E1984" s="5" t="s">
        <v>1338</v>
      </c>
      <c r="F1984" s="5" t="s">
        <v>1336</v>
      </c>
      <c r="G1984" s="6" t="s">
        <v>565</v>
      </c>
      <c r="H1984" s="6" t="s">
        <v>68</v>
      </c>
      <c r="I1984" s="6" t="s">
        <v>1432</v>
      </c>
      <c r="J1984" s="6">
        <v>203</v>
      </c>
      <c r="K1984" s="7" t="s">
        <v>3282</v>
      </c>
      <c r="L1984" s="8">
        <v>1097999</v>
      </c>
      <c r="M1984" s="8" t="str">
        <f t="shared" si="162"/>
        <v>PEN</v>
      </c>
      <c r="N1984" s="13"/>
      <c r="O1984" s="13">
        <v>180</v>
      </c>
      <c r="P1984" s="3">
        <f t="shared" si="163"/>
        <v>0</v>
      </c>
      <c r="Q1984" s="3">
        <f t="shared" si="164"/>
        <v>180</v>
      </c>
      <c r="R1984" s="3">
        <f t="shared" si="160"/>
        <v>56975.310000000027</v>
      </c>
      <c r="S1984" s="24" t="s">
        <v>1334</v>
      </c>
      <c r="T1984" s="24" t="s">
        <v>1334</v>
      </c>
      <c r="U1984" s="53"/>
      <c r="V1984" s="25">
        <f>IFERROR(VLOOKUP(BCP_Soles[[#This Row],[destinatario]],CHOOSE({1,2},Clientes_Proveedores[Razon Social],Clientes_Proveedores[Ruc / Dni]),2,0),"")</f>
        <v>20608587803</v>
      </c>
      <c r="W1984" s="25" t="s">
        <v>565</v>
      </c>
      <c r="X1984" s="25" t="s">
        <v>3283</v>
      </c>
      <c r="Y1984" s="25"/>
      <c r="Z1984" s="75"/>
      <c r="AA1984" s="3" t="str">
        <f>IF(BCP_Soles[[#This Row],[fecha]]&gt;0,TEXT(BCP_Soles[[#This Row],[fecha]],"mmmm"),0)</f>
        <v>Junio</v>
      </c>
    </row>
    <row r="1985" spans="1:27" ht="24" x14ac:dyDescent="0.3">
      <c r="A1985" s="2">
        <f>IF(BCP_Soles[[#This Row],[tipo_registro]]="R",COUNTIFS($C$1:$C1984,"R")+1,A1984)</f>
        <v>1487</v>
      </c>
      <c r="B1985" s="19" t="str">
        <f t="shared" si="161"/>
        <v>B-BCP - Soles</v>
      </c>
      <c r="C1985" s="3" t="s">
        <v>1330</v>
      </c>
      <c r="D1985" s="14">
        <v>45812</v>
      </c>
      <c r="E1985" s="5" t="s">
        <v>1338</v>
      </c>
      <c r="F1985" s="5" t="s">
        <v>1336</v>
      </c>
      <c r="G1985" s="6" t="s">
        <v>482</v>
      </c>
      <c r="H1985" s="6" t="s">
        <v>68</v>
      </c>
      <c r="I1985" s="6" t="s">
        <v>1374</v>
      </c>
      <c r="J1985" s="6">
        <v>482</v>
      </c>
      <c r="K1985" s="7" t="s">
        <v>3284</v>
      </c>
      <c r="L1985" s="8">
        <v>1098977</v>
      </c>
      <c r="M1985" s="8" t="str">
        <f t="shared" si="162"/>
        <v>PEN</v>
      </c>
      <c r="N1985" s="13"/>
      <c r="O1985" s="13">
        <v>283.2</v>
      </c>
      <c r="P1985" s="3">
        <f t="shared" si="163"/>
        <v>0</v>
      </c>
      <c r="Q1985" s="3">
        <f t="shared" si="164"/>
        <v>283.2</v>
      </c>
      <c r="R1985" s="3">
        <f t="shared" si="160"/>
        <v>56692.11000000003</v>
      </c>
      <c r="S1985" s="24" t="s">
        <v>1334</v>
      </c>
      <c r="T1985" s="24" t="s">
        <v>1334</v>
      </c>
      <c r="U1985" s="53"/>
      <c r="V1985" s="25">
        <f>IFERROR(VLOOKUP(BCP_Soles[[#This Row],[destinatario]],CHOOSE({1,2},Clientes_Proveedores[Razon Social],Clientes_Proveedores[Ruc / Dni]),2,0),"")</f>
        <v>20602441165</v>
      </c>
      <c r="W1985" s="25" t="s">
        <v>482</v>
      </c>
      <c r="X1985" s="25" t="s">
        <v>3285</v>
      </c>
      <c r="Y1985" s="25"/>
      <c r="Z1985" s="75"/>
      <c r="AA1985" s="3" t="str">
        <f>IF(BCP_Soles[[#This Row],[fecha]]&gt;0,TEXT(BCP_Soles[[#This Row],[fecha]],"mmmm"),0)</f>
        <v>Junio</v>
      </c>
    </row>
    <row r="1986" spans="1:27" ht="48" x14ac:dyDescent="0.3">
      <c r="A1986" s="2">
        <f>IF(BCP_Soles[[#This Row],[tipo_registro]]="R",COUNTIFS($C$1:$C1985,"R")+1,A1985)</f>
        <v>1488</v>
      </c>
      <c r="B1986" s="19" t="str">
        <f t="shared" si="161"/>
        <v>B-BCP - Soles</v>
      </c>
      <c r="C1986" s="3" t="s">
        <v>1330</v>
      </c>
      <c r="D1986" s="14">
        <v>45812</v>
      </c>
      <c r="E1986" s="5" t="s">
        <v>1338</v>
      </c>
      <c r="F1986" s="5" t="s">
        <v>1336</v>
      </c>
      <c r="G1986" s="6" t="s">
        <v>501</v>
      </c>
      <c r="H1986" s="6" t="s">
        <v>68</v>
      </c>
      <c r="I1986" s="6" t="s">
        <v>1650</v>
      </c>
      <c r="J1986" s="6">
        <v>7894</v>
      </c>
      <c r="K1986" s="7" t="s">
        <v>3286</v>
      </c>
      <c r="L1986" s="8">
        <v>1009492</v>
      </c>
      <c r="M1986" s="8" t="str">
        <f t="shared" si="162"/>
        <v>PEN</v>
      </c>
      <c r="N1986" s="13"/>
      <c r="O1986" s="13">
        <v>285.70999999999998</v>
      </c>
      <c r="P1986" s="3">
        <f t="shared" si="163"/>
        <v>0</v>
      </c>
      <c r="Q1986" s="3">
        <f t="shared" si="164"/>
        <v>285.70999999999998</v>
      </c>
      <c r="R1986" s="3">
        <f t="shared" si="160"/>
        <v>56406.400000000031</v>
      </c>
      <c r="S1986" s="24" t="s">
        <v>1334</v>
      </c>
      <c r="T1986" s="24" t="s">
        <v>1334</v>
      </c>
      <c r="U1986" s="53"/>
      <c r="V1986" s="25">
        <f>IFERROR(VLOOKUP(BCP_Soles[[#This Row],[destinatario]],CHOOSE({1,2},Clientes_Proveedores[Razon Social],Clientes_Proveedores[Ruc / Dni]),2,0),"")</f>
        <v>20602978274</v>
      </c>
      <c r="W1986" s="25" t="s">
        <v>1528</v>
      </c>
      <c r="X1986" s="25" t="s">
        <v>3287</v>
      </c>
      <c r="Y1986" s="25"/>
      <c r="Z1986" s="75"/>
      <c r="AA1986" s="3" t="str">
        <f>IF(BCP_Soles[[#This Row],[fecha]]&gt;0,TEXT(BCP_Soles[[#This Row],[fecha]],"mmmm"),0)</f>
        <v>Junio</v>
      </c>
    </row>
    <row r="1987" spans="1:27" ht="24" x14ac:dyDescent="0.3">
      <c r="A1987" s="2">
        <f>IF(BCP_Soles[[#This Row],[tipo_registro]]="R",COUNTIFS($C$1:$C1986,"R")+1,A1986)</f>
        <v>1489</v>
      </c>
      <c r="B1987" s="19" t="str">
        <f t="shared" si="161"/>
        <v>B-BCP - Soles</v>
      </c>
      <c r="C1987" s="3" t="s">
        <v>1330</v>
      </c>
      <c r="D1987" s="14">
        <v>45812</v>
      </c>
      <c r="E1987" s="5" t="s">
        <v>1338</v>
      </c>
      <c r="F1987" s="5" t="s">
        <v>1336</v>
      </c>
      <c r="G1987" s="6" t="s">
        <v>482</v>
      </c>
      <c r="H1987" s="6" t="s">
        <v>68</v>
      </c>
      <c r="I1987" s="6" t="s">
        <v>1374</v>
      </c>
      <c r="J1987" s="6">
        <v>483</v>
      </c>
      <c r="K1987" s="7" t="s">
        <v>3288</v>
      </c>
      <c r="L1987" s="8">
        <v>1099468</v>
      </c>
      <c r="M1987" s="8" t="str">
        <f t="shared" si="162"/>
        <v>PEN</v>
      </c>
      <c r="N1987" s="13"/>
      <c r="O1987" s="13">
        <v>865</v>
      </c>
      <c r="P1987" s="3">
        <f t="shared" si="163"/>
        <v>0</v>
      </c>
      <c r="Q1987" s="3">
        <f t="shared" si="164"/>
        <v>865</v>
      </c>
      <c r="R1987" s="3">
        <f t="shared" si="160"/>
        <v>55541.400000000031</v>
      </c>
      <c r="S1987" s="24" t="s">
        <v>1334</v>
      </c>
      <c r="T1987" s="24" t="s">
        <v>1334</v>
      </c>
      <c r="U1987" s="53"/>
      <c r="V1987" s="25">
        <f>IFERROR(VLOOKUP(BCP_Soles[[#This Row],[destinatario]],CHOOSE({1,2},Clientes_Proveedores[Razon Social],Clientes_Proveedores[Ruc / Dni]),2,0),"")</f>
        <v>20602441165</v>
      </c>
      <c r="W1987" s="25" t="s">
        <v>482</v>
      </c>
      <c r="X1987" s="25" t="s">
        <v>3289</v>
      </c>
      <c r="Y1987" s="25"/>
      <c r="Z1987" s="75"/>
      <c r="AA1987" s="3" t="str">
        <f>IF(BCP_Soles[[#This Row],[fecha]]&gt;0,TEXT(BCP_Soles[[#This Row],[fecha]],"mmmm"),0)</f>
        <v>Junio</v>
      </c>
    </row>
    <row r="1988" spans="1:27" ht="24" x14ac:dyDescent="0.3">
      <c r="A1988" s="2">
        <f>IF(BCP_Soles[[#This Row],[tipo_registro]]="R",COUNTIFS($C$1:$C1987,"R")+1,A1987)</f>
        <v>1490</v>
      </c>
      <c r="B1988" s="19" t="str">
        <f t="shared" si="161"/>
        <v>B-BCP - Soles</v>
      </c>
      <c r="C1988" s="3" t="s">
        <v>1330</v>
      </c>
      <c r="D1988" s="14">
        <v>45812</v>
      </c>
      <c r="E1988" s="5" t="s">
        <v>2269</v>
      </c>
      <c r="F1988" s="5" t="s">
        <v>1336</v>
      </c>
      <c r="G1988" s="6" t="s">
        <v>249</v>
      </c>
      <c r="H1988" s="6"/>
      <c r="I1988" s="6"/>
      <c r="J1988" s="6"/>
      <c r="K1988" s="7" t="s">
        <v>3274</v>
      </c>
      <c r="L1988" s="8">
        <v>1218643</v>
      </c>
      <c r="M1988" s="8" t="str">
        <f t="shared" si="162"/>
        <v>PEN</v>
      </c>
      <c r="N1988" s="13"/>
      <c r="O1988" s="13">
        <v>1140.07</v>
      </c>
      <c r="P1988" s="3">
        <f t="shared" si="163"/>
        <v>0</v>
      </c>
      <c r="Q1988" s="3">
        <f t="shared" si="164"/>
        <v>1140.07</v>
      </c>
      <c r="R1988" s="3">
        <f t="shared" si="160"/>
        <v>54401.330000000031</v>
      </c>
      <c r="S1988" s="24"/>
      <c r="T1988" s="24" t="s">
        <v>1334</v>
      </c>
      <c r="U1988" s="53"/>
      <c r="V1988" s="25">
        <f>IFERROR(VLOOKUP(BCP_Soles[[#This Row],[destinatario]],CHOOSE({1,2},Clientes_Proveedores[Razon Social],Clientes_Proveedores[Ruc / Dni]),2,0),"")</f>
        <v>20302891452</v>
      </c>
      <c r="W1988" s="25" t="s">
        <v>249</v>
      </c>
      <c r="X1988" s="25"/>
      <c r="Y1988" s="25"/>
      <c r="Z1988" s="75"/>
      <c r="AA1988" s="3" t="str">
        <f>IF(BCP_Soles[[#This Row],[fecha]]&gt;0,TEXT(BCP_Soles[[#This Row],[fecha]],"mmmm"),0)</f>
        <v>Junio</v>
      </c>
    </row>
    <row r="1989" spans="1:27" ht="24" x14ac:dyDescent="0.3">
      <c r="A1989" s="2">
        <f>IF(BCP_Soles[[#This Row],[tipo_registro]]="R",COUNTIFS($C$1:$C1988,"R")+1,A1988)</f>
        <v>1491</v>
      </c>
      <c r="B1989" s="19" t="str">
        <f t="shared" si="161"/>
        <v>B-BCP - Soles</v>
      </c>
      <c r="C1989" s="3" t="s">
        <v>1330</v>
      </c>
      <c r="D1989" s="14">
        <v>45812</v>
      </c>
      <c r="E1989" s="5" t="s">
        <v>2269</v>
      </c>
      <c r="F1989" s="5" t="s">
        <v>1336</v>
      </c>
      <c r="G1989" s="6" t="s">
        <v>724</v>
      </c>
      <c r="H1989" s="6" t="s">
        <v>68</v>
      </c>
      <c r="I1989" s="6" t="s">
        <v>1376</v>
      </c>
      <c r="J1989" s="6">
        <v>4302</v>
      </c>
      <c r="K1989" s="7" t="s">
        <v>3290</v>
      </c>
      <c r="L1989" s="8">
        <v>1218642</v>
      </c>
      <c r="M1989" s="8" t="str">
        <f t="shared" si="162"/>
        <v>PEN</v>
      </c>
      <c r="N1989" s="13"/>
      <c r="O1989" s="13">
        <v>2008</v>
      </c>
      <c r="P1989" s="3">
        <f t="shared" si="163"/>
        <v>0</v>
      </c>
      <c r="Q1989" s="3">
        <f t="shared" si="164"/>
        <v>2008</v>
      </c>
      <c r="R1989" s="3">
        <f t="shared" si="160"/>
        <v>52393.330000000031</v>
      </c>
      <c r="S1989" s="24" t="s">
        <v>1334</v>
      </c>
      <c r="T1989" s="24" t="s">
        <v>1334</v>
      </c>
      <c r="U1989" s="53"/>
      <c r="V1989" s="25">
        <f>IFERROR(VLOOKUP(BCP_Soles[[#This Row],[destinatario]],CHOOSE({1,2},Clientes_Proveedores[Razon Social],Clientes_Proveedores[Ruc / Dni]),2,0),"")</f>
        <v>20558275082</v>
      </c>
      <c r="W1989" s="25" t="s">
        <v>724</v>
      </c>
      <c r="X1989" s="25" t="s">
        <v>3291</v>
      </c>
      <c r="Y1989" s="25"/>
      <c r="Z1989" s="75"/>
      <c r="AA1989" s="3" t="str">
        <f>IF(BCP_Soles[[#This Row],[fecha]]&gt;0,TEXT(BCP_Soles[[#This Row],[fecha]],"mmmm"),0)</f>
        <v>Junio</v>
      </c>
    </row>
    <row r="1990" spans="1:27" x14ac:dyDescent="0.3">
      <c r="A1990" s="2">
        <f>IF(BCP_Soles[[#This Row],[tipo_registro]]="R",COUNTIFS($C$1:$C1989,"R")+1,A1989)</f>
        <v>1492</v>
      </c>
      <c r="B1990" s="19" t="str">
        <f t="shared" si="161"/>
        <v>B-BCP - Soles</v>
      </c>
      <c r="C1990" s="3" t="s">
        <v>1330</v>
      </c>
      <c r="D1990" s="14">
        <v>45812</v>
      </c>
      <c r="E1990" s="5" t="s">
        <v>2269</v>
      </c>
      <c r="F1990" s="5" t="s">
        <v>1336</v>
      </c>
      <c r="G1990" s="6" t="s">
        <v>696</v>
      </c>
      <c r="H1990" s="6"/>
      <c r="I1990" s="6"/>
      <c r="J1990" s="6"/>
      <c r="K1990" s="7" t="s">
        <v>3292</v>
      </c>
      <c r="L1990" s="8">
        <v>4111141</v>
      </c>
      <c r="M1990" s="8" t="str">
        <f t="shared" si="162"/>
        <v>PEN</v>
      </c>
      <c r="N1990" s="13"/>
      <c r="O1990" s="13">
        <v>9237.33</v>
      </c>
      <c r="P1990" s="3">
        <f t="shared" si="163"/>
        <v>0</v>
      </c>
      <c r="Q1990" s="3">
        <f t="shared" si="164"/>
        <v>9237.33</v>
      </c>
      <c r="R1990" s="3">
        <f t="shared" si="160"/>
        <v>43156.000000000029</v>
      </c>
      <c r="S1990" s="24" t="s">
        <v>1334</v>
      </c>
      <c r="T1990" s="24" t="s">
        <v>1334</v>
      </c>
      <c r="U1990" s="53"/>
      <c r="V1990" s="25">
        <f>IFERROR(VLOOKUP(BCP_Soles[[#This Row],[destinatario]],CHOOSE({1,2},Clientes_Proveedores[Razon Social],Clientes_Proveedores[Ruc / Dni]),2,0),"")</f>
        <v>0</v>
      </c>
      <c r="W1990" s="25" t="s">
        <v>1373</v>
      </c>
      <c r="X1990" s="25"/>
      <c r="Y1990" s="25"/>
      <c r="Z1990" s="75"/>
      <c r="AA1990" s="3" t="str">
        <f>IF(BCP_Soles[[#This Row],[fecha]]&gt;0,TEXT(BCP_Soles[[#This Row],[fecha]],"mmmm"),0)</f>
        <v>Junio</v>
      </c>
    </row>
    <row r="1991" spans="1:27" ht="24" x14ac:dyDescent="0.3">
      <c r="A1991" s="2">
        <f>IF(BCP_Soles[[#This Row],[tipo_registro]]="R",COUNTIFS($C$1:$C1990,"R")+1,A1990)</f>
        <v>1492</v>
      </c>
      <c r="B1991" s="19" t="str">
        <f t="shared" si="161"/>
        <v>B-BCP - Soles</v>
      </c>
      <c r="C1991" s="3" t="s">
        <v>1352</v>
      </c>
      <c r="D1991" s="14">
        <v>45812</v>
      </c>
      <c r="E1991" s="5" t="s">
        <v>2269</v>
      </c>
      <c r="F1991" s="5"/>
      <c r="G1991" s="6" t="s">
        <v>187</v>
      </c>
      <c r="H1991" s="6" t="s">
        <v>68</v>
      </c>
      <c r="I1991" s="6" t="s">
        <v>1376</v>
      </c>
      <c r="J1991" s="6">
        <v>446</v>
      </c>
      <c r="K1991" s="7" t="s">
        <v>3292</v>
      </c>
      <c r="L1991" s="8">
        <v>4111141</v>
      </c>
      <c r="M1991" s="8" t="str">
        <f t="shared" si="162"/>
        <v>PEN</v>
      </c>
      <c r="N1991" s="13">
        <v>350</v>
      </c>
      <c r="O1991" s="13"/>
      <c r="P1991" s="3">
        <f t="shared" si="163"/>
        <v>0</v>
      </c>
      <c r="Q1991" s="3">
        <f t="shared" si="164"/>
        <v>0</v>
      </c>
      <c r="R1991" s="3">
        <f t="shared" si="160"/>
        <v>43156.000000000029</v>
      </c>
      <c r="S1991" s="24"/>
      <c r="T1991" s="24" t="s">
        <v>1334</v>
      </c>
      <c r="U1991" s="53"/>
      <c r="V1991" s="25">
        <f>IFERROR(VLOOKUP(BCP_Soles[[#This Row],[destinatario]],CHOOSE({1,2},Clientes_Proveedores[Razon Social],Clientes_Proveedores[Ruc / Dni]),2,0),"")</f>
        <v>10706063426</v>
      </c>
      <c r="W1991" s="25"/>
      <c r="X1991" s="25"/>
      <c r="Y1991" s="25"/>
      <c r="Z1991" s="75"/>
      <c r="AA1991" s="3" t="str">
        <f>IF(BCP_Soles[[#This Row],[fecha]]&gt;0,TEXT(BCP_Soles[[#This Row],[fecha]],"mmmm"),0)</f>
        <v>Junio</v>
      </c>
    </row>
    <row r="1992" spans="1:27" ht="36" x14ac:dyDescent="0.3">
      <c r="A1992" s="2">
        <f>IF(BCP_Soles[[#This Row],[tipo_registro]]="R",COUNTIFS($C$1:$C1991,"R")+1,A1991)</f>
        <v>1492</v>
      </c>
      <c r="B1992" s="19" t="str">
        <f t="shared" si="161"/>
        <v>B-BCP - Soles</v>
      </c>
      <c r="C1992" s="3" t="s">
        <v>1352</v>
      </c>
      <c r="D1992" s="14">
        <v>45812</v>
      </c>
      <c r="E1992" s="5" t="s">
        <v>2269</v>
      </c>
      <c r="F1992" s="5"/>
      <c r="G1992" s="6" t="s">
        <v>132</v>
      </c>
      <c r="H1992" s="6" t="s">
        <v>68</v>
      </c>
      <c r="I1992" s="6" t="s">
        <v>1376</v>
      </c>
      <c r="J1992" s="6">
        <v>727</v>
      </c>
      <c r="K1992" s="7" t="s">
        <v>3292</v>
      </c>
      <c r="L1992" s="8">
        <v>4111141</v>
      </c>
      <c r="M1992" s="8" t="str">
        <f t="shared" si="162"/>
        <v>PEN</v>
      </c>
      <c r="N1992" s="13">
        <v>592</v>
      </c>
      <c r="O1992" s="13"/>
      <c r="P1992" s="3">
        <f t="shared" si="163"/>
        <v>0</v>
      </c>
      <c r="Q1992" s="3">
        <f t="shared" si="164"/>
        <v>0</v>
      </c>
      <c r="R1992" s="3">
        <f t="shared" si="160"/>
        <v>43156.000000000029</v>
      </c>
      <c r="S1992" s="24"/>
      <c r="T1992" s="24" t="s">
        <v>1334</v>
      </c>
      <c r="U1992" s="53"/>
      <c r="V1992" s="25">
        <f>IFERROR(VLOOKUP(BCP_Soles[[#This Row],[destinatario]],CHOOSE({1,2},Clientes_Proveedores[Razon Social],Clientes_Proveedores[Ruc / Dni]),2,0),"")</f>
        <v>10296695781</v>
      </c>
      <c r="W1992" s="25"/>
      <c r="X1992" s="25"/>
      <c r="Y1992" s="25"/>
      <c r="Z1992" s="75"/>
      <c r="AA1992" s="3" t="str">
        <f>IF(BCP_Soles[[#This Row],[fecha]]&gt;0,TEXT(BCP_Soles[[#This Row],[fecha]],"mmmm"),0)</f>
        <v>Junio</v>
      </c>
    </row>
    <row r="1993" spans="1:27" ht="24" x14ac:dyDescent="0.3">
      <c r="A1993" s="2">
        <f>IF(BCP_Soles[[#This Row],[tipo_registro]]="R",COUNTIFS($C$1:$C1992,"R")+1,A1992)</f>
        <v>1492</v>
      </c>
      <c r="B1993" s="19" t="str">
        <f t="shared" si="161"/>
        <v>B-BCP - Soles</v>
      </c>
      <c r="C1993" s="3" t="s">
        <v>1352</v>
      </c>
      <c r="D1993" s="14">
        <v>45812</v>
      </c>
      <c r="E1993" s="5" t="s">
        <v>2269</v>
      </c>
      <c r="F1993" s="5"/>
      <c r="G1993" s="6" t="s">
        <v>163</v>
      </c>
      <c r="H1993" s="6" t="s">
        <v>68</v>
      </c>
      <c r="I1993" s="6" t="s">
        <v>1376</v>
      </c>
      <c r="J1993" s="6">
        <v>284</v>
      </c>
      <c r="K1993" s="7" t="s">
        <v>3292</v>
      </c>
      <c r="L1993" s="8">
        <v>4111141</v>
      </c>
      <c r="M1993" s="8" t="str">
        <f t="shared" si="162"/>
        <v>PEN</v>
      </c>
      <c r="N1993" s="13">
        <v>98</v>
      </c>
      <c r="O1993" s="13"/>
      <c r="P1993" s="3">
        <f t="shared" si="163"/>
        <v>0</v>
      </c>
      <c r="Q1993" s="3">
        <f t="shared" si="164"/>
        <v>0</v>
      </c>
      <c r="R1993" s="3">
        <f t="shared" ref="R1993:R2056" si="165">IFERROR(IF(F1993="SALDO",P1993,R1992+P1993-Q1993),0)</f>
        <v>43156.000000000029</v>
      </c>
      <c r="S1993" s="24"/>
      <c r="T1993" s="24" t="s">
        <v>1334</v>
      </c>
      <c r="U1993" s="53"/>
      <c r="V1993" s="25">
        <f>IFERROR(VLOOKUP(BCP_Soles[[#This Row],[destinatario]],CHOOSE({1,2},Clientes_Proveedores[Razon Social],Clientes_Proveedores[Ruc / Dni]),2,0),"")</f>
        <v>10416031679</v>
      </c>
      <c r="W1993" s="25"/>
      <c r="X1993" s="25"/>
      <c r="Y1993" s="25"/>
      <c r="Z1993" s="75"/>
      <c r="AA1993" s="3" t="str">
        <f>IF(BCP_Soles[[#This Row],[fecha]]&gt;0,TEXT(BCP_Soles[[#This Row],[fecha]],"mmmm"),0)</f>
        <v>Junio</v>
      </c>
    </row>
    <row r="1994" spans="1:27" ht="24" x14ac:dyDescent="0.3">
      <c r="A1994" s="2">
        <f>IF(BCP_Soles[[#This Row],[tipo_registro]]="R",COUNTIFS($C$1:$C1993,"R")+1,A1993)</f>
        <v>1492</v>
      </c>
      <c r="B1994" s="19" t="str">
        <f t="shared" si="161"/>
        <v>B-BCP - Soles</v>
      </c>
      <c r="C1994" s="3" t="s">
        <v>1352</v>
      </c>
      <c r="D1994" s="14">
        <v>45812</v>
      </c>
      <c r="E1994" s="5" t="s">
        <v>2269</v>
      </c>
      <c r="F1994" s="5"/>
      <c r="G1994" s="6" t="s">
        <v>166</v>
      </c>
      <c r="H1994" s="6" t="s">
        <v>68</v>
      </c>
      <c r="I1994" s="6" t="s">
        <v>1376</v>
      </c>
      <c r="J1994" s="6">
        <v>4884</v>
      </c>
      <c r="K1994" s="7" t="s">
        <v>3292</v>
      </c>
      <c r="L1994" s="8">
        <v>4111141</v>
      </c>
      <c r="M1994" s="8" t="str">
        <f t="shared" si="162"/>
        <v>PEN</v>
      </c>
      <c r="N1994" s="13">
        <v>59</v>
      </c>
      <c r="O1994" s="13"/>
      <c r="P1994" s="3">
        <f t="shared" si="163"/>
        <v>0</v>
      </c>
      <c r="Q1994" s="3">
        <f t="shared" si="164"/>
        <v>0</v>
      </c>
      <c r="R1994" s="3">
        <f t="shared" si="165"/>
        <v>43156.000000000029</v>
      </c>
      <c r="S1994" s="24"/>
      <c r="T1994" s="24" t="s">
        <v>1334</v>
      </c>
      <c r="U1994" s="53"/>
      <c r="V1994" s="25">
        <f>IFERROR(VLOOKUP(BCP_Soles[[#This Row],[destinatario]],CHOOSE({1,2},Clientes_Proveedores[Razon Social],Clientes_Proveedores[Ruc / Dni]),2,0),"")</f>
        <v>10425371652</v>
      </c>
      <c r="W1994" s="25"/>
      <c r="X1994" s="25"/>
      <c r="Y1994" s="25"/>
      <c r="Z1994" s="75"/>
      <c r="AA1994" s="3" t="str">
        <f>IF(BCP_Soles[[#This Row],[fecha]]&gt;0,TEXT(BCP_Soles[[#This Row],[fecha]],"mmmm"),0)</f>
        <v>Junio</v>
      </c>
    </row>
    <row r="1995" spans="1:27" ht="24" x14ac:dyDescent="0.3">
      <c r="A1995" s="2">
        <f>IF(BCP_Soles[[#This Row],[tipo_registro]]="R",COUNTIFS($C$1:$C1994,"R")+1,A1994)</f>
        <v>1492</v>
      </c>
      <c r="B1995" s="19" t="str">
        <f t="shared" si="161"/>
        <v>B-BCP - Soles</v>
      </c>
      <c r="C1995" s="3" t="s">
        <v>1352</v>
      </c>
      <c r="D1995" s="14">
        <v>45812</v>
      </c>
      <c r="E1995" s="5" t="s">
        <v>2269</v>
      </c>
      <c r="F1995" s="5"/>
      <c r="G1995" s="6" t="s">
        <v>166</v>
      </c>
      <c r="H1995" s="6" t="s">
        <v>68</v>
      </c>
      <c r="I1995" s="6" t="s">
        <v>1376</v>
      </c>
      <c r="J1995" s="6">
        <v>4892</v>
      </c>
      <c r="K1995" s="7" t="s">
        <v>3292</v>
      </c>
      <c r="L1995" s="8">
        <v>4111141</v>
      </c>
      <c r="M1995" s="8" t="str">
        <f t="shared" si="162"/>
        <v>PEN</v>
      </c>
      <c r="N1995" s="13">
        <v>59</v>
      </c>
      <c r="O1995" s="13"/>
      <c r="P1995" s="3">
        <f t="shared" si="163"/>
        <v>0</v>
      </c>
      <c r="Q1995" s="3">
        <f t="shared" si="164"/>
        <v>0</v>
      </c>
      <c r="R1995" s="3">
        <f t="shared" si="165"/>
        <v>43156.000000000029</v>
      </c>
      <c r="S1995" s="24"/>
      <c r="T1995" s="24" t="s">
        <v>1334</v>
      </c>
      <c r="U1995" s="53"/>
      <c r="V1995" s="25">
        <f>IFERROR(VLOOKUP(BCP_Soles[[#This Row],[destinatario]],CHOOSE({1,2},Clientes_Proveedores[Razon Social],Clientes_Proveedores[Ruc / Dni]),2,0),"")</f>
        <v>10425371652</v>
      </c>
      <c r="W1995" s="25"/>
      <c r="X1995" s="25"/>
      <c r="Y1995" s="25"/>
      <c r="Z1995" s="75"/>
      <c r="AA1995" s="3" t="str">
        <f>IF(BCP_Soles[[#This Row],[fecha]]&gt;0,TEXT(BCP_Soles[[#This Row],[fecha]],"mmmm"),0)</f>
        <v>Junio</v>
      </c>
    </row>
    <row r="1996" spans="1:27" ht="24" x14ac:dyDescent="0.3">
      <c r="A1996" s="2">
        <f>IF(BCP_Soles[[#This Row],[tipo_registro]]="R",COUNTIFS($C$1:$C1995,"R")+1,A1995)</f>
        <v>1492</v>
      </c>
      <c r="B1996" s="19" t="str">
        <f t="shared" si="161"/>
        <v>B-BCP - Soles</v>
      </c>
      <c r="C1996" s="3" t="s">
        <v>1352</v>
      </c>
      <c r="D1996" s="14">
        <v>45812</v>
      </c>
      <c r="E1996" s="5" t="s">
        <v>2269</v>
      </c>
      <c r="F1996" s="5"/>
      <c r="G1996" s="6" t="s">
        <v>166</v>
      </c>
      <c r="H1996" s="6" t="s">
        <v>68</v>
      </c>
      <c r="I1996" s="6" t="s">
        <v>1376</v>
      </c>
      <c r="J1996" s="6">
        <v>4913</v>
      </c>
      <c r="K1996" s="7" t="s">
        <v>3292</v>
      </c>
      <c r="L1996" s="8">
        <v>4111141</v>
      </c>
      <c r="M1996" s="8" t="str">
        <f t="shared" si="162"/>
        <v>PEN</v>
      </c>
      <c r="N1996" s="13">
        <v>118</v>
      </c>
      <c r="O1996" s="13"/>
      <c r="P1996" s="3">
        <f t="shared" si="163"/>
        <v>0</v>
      </c>
      <c r="Q1996" s="3">
        <f t="shared" si="164"/>
        <v>0</v>
      </c>
      <c r="R1996" s="3">
        <f t="shared" si="165"/>
        <v>43156.000000000029</v>
      </c>
      <c r="S1996" s="24"/>
      <c r="T1996" s="24" t="s">
        <v>1334</v>
      </c>
      <c r="U1996" s="53"/>
      <c r="V1996" s="25">
        <f>IFERROR(VLOOKUP(BCP_Soles[[#This Row],[destinatario]],CHOOSE({1,2},Clientes_Proveedores[Razon Social],Clientes_Proveedores[Ruc / Dni]),2,0),"")</f>
        <v>10425371652</v>
      </c>
      <c r="W1996" s="25"/>
      <c r="X1996" s="25"/>
      <c r="Y1996" s="25"/>
      <c r="Z1996" s="75"/>
      <c r="AA1996" s="3" t="str">
        <f>IF(BCP_Soles[[#This Row],[fecha]]&gt;0,TEXT(BCP_Soles[[#This Row],[fecha]],"mmmm"),0)</f>
        <v>Junio</v>
      </c>
    </row>
    <row r="1997" spans="1:27" x14ac:dyDescent="0.3">
      <c r="A1997" s="2">
        <f>IF(BCP_Soles[[#This Row],[tipo_registro]]="R",COUNTIFS($C$1:$C1996,"R")+1,A1996)</f>
        <v>1492</v>
      </c>
      <c r="B1997" s="19" t="str">
        <f t="shared" si="161"/>
        <v>B-BCP - Soles</v>
      </c>
      <c r="C1997" s="3" t="s">
        <v>1352</v>
      </c>
      <c r="D1997" s="14">
        <v>45812</v>
      </c>
      <c r="E1997" s="5" t="s">
        <v>2269</v>
      </c>
      <c r="F1997" s="5"/>
      <c r="G1997" s="6" t="s">
        <v>414</v>
      </c>
      <c r="H1997" s="6" t="s">
        <v>68</v>
      </c>
      <c r="I1997" s="6" t="s">
        <v>1374</v>
      </c>
      <c r="J1997" s="6">
        <v>14170</v>
      </c>
      <c r="K1997" s="7" t="s">
        <v>3292</v>
      </c>
      <c r="L1997" s="8">
        <v>4111141</v>
      </c>
      <c r="M1997" s="8" t="str">
        <f t="shared" si="162"/>
        <v>PEN</v>
      </c>
      <c r="N1997" s="13">
        <v>7409.68</v>
      </c>
      <c r="O1997" s="13"/>
      <c r="P1997" s="3">
        <f t="shared" si="163"/>
        <v>0</v>
      </c>
      <c r="Q1997" s="3">
        <f t="shared" si="164"/>
        <v>0</v>
      </c>
      <c r="R1997" s="3">
        <f t="shared" si="165"/>
        <v>43156.000000000029</v>
      </c>
      <c r="S1997" s="24"/>
      <c r="T1997" s="24" t="s">
        <v>1334</v>
      </c>
      <c r="U1997" s="53"/>
      <c r="V1997" s="25">
        <f>IFERROR(VLOOKUP(BCP_Soles[[#This Row],[destinatario]],CHOOSE({1,2},Clientes_Proveedores[Razon Social],Clientes_Proveedores[Ruc / Dni]),2,0),"")</f>
        <v>20553255709</v>
      </c>
      <c r="W1997" s="25"/>
      <c r="X1997" s="25"/>
      <c r="Y1997" s="25"/>
      <c r="Z1997" s="75"/>
      <c r="AA1997" s="3" t="str">
        <f>IF(BCP_Soles[[#This Row],[fecha]]&gt;0,TEXT(BCP_Soles[[#This Row],[fecha]],"mmmm"),0)</f>
        <v>Junio</v>
      </c>
    </row>
    <row r="1998" spans="1:27" x14ac:dyDescent="0.3">
      <c r="A1998" s="2">
        <f>IF(BCP_Soles[[#This Row],[tipo_registro]]="R",COUNTIFS($C$1:$C1997,"R")+1,A1997)</f>
        <v>1492</v>
      </c>
      <c r="B1998" s="19" t="str">
        <f t="shared" si="161"/>
        <v>B-BCP - Soles</v>
      </c>
      <c r="C1998" s="3" t="s">
        <v>1352</v>
      </c>
      <c r="D1998" s="14">
        <v>45812</v>
      </c>
      <c r="E1998" s="5" t="s">
        <v>2269</v>
      </c>
      <c r="F1998" s="5"/>
      <c r="G1998" s="6" t="s">
        <v>522</v>
      </c>
      <c r="H1998" s="6" t="s">
        <v>68</v>
      </c>
      <c r="I1998" s="6" t="s">
        <v>1376</v>
      </c>
      <c r="J1998" s="6">
        <v>3908</v>
      </c>
      <c r="K1998" s="7" t="s">
        <v>3292</v>
      </c>
      <c r="L1998" s="8">
        <v>4111141</v>
      </c>
      <c r="M1998" s="8" t="str">
        <f t="shared" si="162"/>
        <v>PEN</v>
      </c>
      <c r="N1998" s="13">
        <v>250.75</v>
      </c>
      <c r="O1998" s="13"/>
      <c r="P1998" s="3">
        <f t="shared" si="163"/>
        <v>0</v>
      </c>
      <c r="Q1998" s="3">
        <f t="shared" si="164"/>
        <v>0</v>
      </c>
      <c r="R1998" s="3">
        <f t="shared" si="165"/>
        <v>43156.000000000029</v>
      </c>
      <c r="S1998" s="24"/>
      <c r="T1998" s="24" t="s">
        <v>1334</v>
      </c>
      <c r="U1998" s="53"/>
      <c r="V1998" s="25">
        <f>IFERROR(VLOOKUP(BCP_Soles[[#This Row],[destinatario]],CHOOSE({1,2},Clientes_Proveedores[Razon Social],Clientes_Proveedores[Ruc / Dni]),2,0),"")</f>
        <v>20603974817</v>
      </c>
      <c r="W1998" s="25"/>
      <c r="X1998" s="25"/>
      <c r="Y1998" s="25"/>
      <c r="Z1998" s="75"/>
      <c r="AA1998" s="3" t="str">
        <f>IF(BCP_Soles[[#This Row],[fecha]]&gt;0,TEXT(BCP_Soles[[#This Row],[fecha]],"mmmm"),0)</f>
        <v>Junio</v>
      </c>
    </row>
    <row r="1999" spans="1:27" x14ac:dyDescent="0.3">
      <c r="A1999" s="2">
        <f>IF(BCP_Soles[[#This Row],[tipo_registro]]="R",COUNTIFS($C$1:$C1998,"R")+1,A1998)</f>
        <v>1492</v>
      </c>
      <c r="B1999" s="19" t="str">
        <f t="shared" si="161"/>
        <v>B-BCP - Soles</v>
      </c>
      <c r="C1999" s="3" t="s">
        <v>1352</v>
      </c>
      <c r="D1999" s="14">
        <v>45812</v>
      </c>
      <c r="E1999" s="5" t="s">
        <v>2269</v>
      </c>
      <c r="F1999" s="5"/>
      <c r="G1999" s="6" t="s">
        <v>522</v>
      </c>
      <c r="H1999" s="6" t="s">
        <v>68</v>
      </c>
      <c r="I1999" s="6" t="s">
        <v>1376</v>
      </c>
      <c r="J1999" s="6">
        <v>3918</v>
      </c>
      <c r="K1999" s="7" t="s">
        <v>3292</v>
      </c>
      <c r="L1999" s="8">
        <v>4111141</v>
      </c>
      <c r="M1999" s="8" t="str">
        <f t="shared" si="162"/>
        <v>PEN</v>
      </c>
      <c r="N1999" s="13">
        <v>300.89999999999998</v>
      </c>
      <c r="O1999" s="13"/>
      <c r="P1999" s="3">
        <f t="shared" si="163"/>
        <v>0</v>
      </c>
      <c r="Q1999" s="3">
        <f t="shared" si="164"/>
        <v>0</v>
      </c>
      <c r="R1999" s="3">
        <f t="shared" si="165"/>
        <v>43156.000000000029</v>
      </c>
      <c r="S1999" s="24"/>
      <c r="T1999" s="24" t="s">
        <v>1334</v>
      </c>
      <c r="U1999" s="53"/>
      <c r="V1999" s="25">
        <f>IFERROR(VLOOKUP(BCP_Soles[[#This Row],[destinatario]],CHOOSE({1,2},Clientes_Proveedores[Razon Social],Clientes_Proveedores[Ruc / Dni]),2,0),"")</f>
        <v>20603974817</v>
      </c>
      <c r="W1999" s="25"/>
      <c r="X1999" s="25"/>
      <c r="Y1999" s="25"/>
      <c r="Z1999" s="75"/>
      <c r="AA1999" s="3" t="str">
        <f>IF(BCP_Soles[[#This Row],[fecha]]&gt;0,TEXT(BCP_Soles[[#This Row],[fecha]],"mmmm"),0)</f>
        <v>Junio</v>
      </c>
    </row>
    <row r="2000" spans="1:27" ht="24" x14ac:dyDescent="0.3">
      <c r="A2000" s="2">
        <f>IF(BCP_Soles[[#This Row],[tipo_registro]]="R",COUNTIFS($C$1:$C1999,"R")+1,A1999)</f>
        <v>1493</v>
      </c>
      <c r="B2000" s="19" t="str">
        <f t="shared" si="161"/>
        <v>B-BCP - Soles</v>
      </c>
      <c r="C2000" s="3" t="s">
        <v>1330</v>
      </c>
      <c r="D2000" s="14">
        <v>45813</v>
      </c>
      <c r="E2000" s="5" t="s">
        <v>3293</v>
      </c>
      <c r="F2000" s="5" t="s">
        <v>1303</v>
      </c>
      <c r="G2000" s="6" t="s">
        <v>425</v>
      </c>
      <c r="H2000" s="6" t="s">
        <v>119</v>
      </c>
      <c r="I2000" s="6">
        <v>1</v>
      </c>
      <c r="J2000" s="6">
        <v>4478</v>
      </c>
      <c r="K2000" s="7" t="s">
        <v>1356</v>
      </c>
      <c r="L2000" s="8">
        <v>3248155</v>
      </c>
      <c r="M2000" s="8" t="str">
        <f t="shared" si="162"/>
        <v>PEN</v>
      </c>
      <c r="N2000" s="13"/>
      <c r="O2000" s="13">
        <v>215</v>
      </c>
      <c r="P2000" s="3">
        <f t="shared" si="163"/>
        <v>215</v>
      </c>
      <c r="Q2000" s="3">
        <f t="shared" si="164"/>
        <v>0</v>
      </c>
      <c r="R2000" s="3">
        <f t="shared" si="165"/>
        <v>43371.000000000029</v>
      </c>
      <c r="S2000" s="24" t="s">
        <v>1334</v>
      </c>
      <c r="T2000" s="24" t="s">
        <v>1334</v>
      </c>
      <c r="U2000" s="53"/>
      <c r="V2000" s="25">
        <f>IFERROR(VLOOKUP(BCP_Soles[[#This Row],[destinatario]],CHOOSE({1,2},Clientes_Proveedores[Razon Social],Clientes_Proveedores[Ruc / Dni]),2,0),"")</f>
        <v>20558226979</v>
      </c>
      <c r="W2000" s="25" t="s">
        <v>1345</v>
      </c>
      <c r="X2000" s="25" t="s">
        <v>3294</v>
      </c>
      <c r="Y2000" s="25"/>
      <c r="Z2000" s="75"/>
      <c r="AA2000" s="3" t="str">
        <f>IF(BCP_Soles[[#This Row],[fecha]]&gt;0,TEXT(BCP_Soles[[#This Row],[fecha]],"mmmm"),0)</f>
        <v>Junio</v>
      </c>
    </row>
    <row r="2001" spans="1:27" ht="24" x14ac:dyDescent="0.3">
      <c r="A2001" s="2">
        <f>IF(BCP_Soles[[#This Row],[tipo_registro]]="R",COUNTIFS($C$1:$C2000,"R")+1,A2000)</f>
        <v>1494</v>
      </c>
      <c r="B2001" s="19" t="str">
        <f t="shared" si="161"/>
        <v>B-BCP - Soles</v>
      </c>
      <c r="C2001" s="3" t="s">
        <v>1330</v>
      </c>
      <c r="D2001" s="14">
        <v>45813</v>
      </c>
      <c r="E2001" s="5" t="s">
        <v>204</v>
      </c>
      <c r="F2001" s="5" t="s">
        <v>1303</v>
      </c>
      <c r="G2001" s="6" t="s">
        <v>425</v>
      </c>
      <c r="H2001" s="6"/>
      <c r="I2001" s="6"/>
      <c r="J2001" s="6"/>
      <c r="K2001" s="7" t="s">
        <v>1350</v>
      </c>
      <c r="L2001" s="8">
        <v>4369030</v>
      </c>
      <c r="M2001" s="8" t="str">
        <f t="shared" si="162"/>
        <v>PEN</v>
      </c>
      <c r="N2001" s="13"/>
      <c r="O2001" s="13">
        <v>10190.59</v>
      </c>
      <c r="P2001" s="3">
        <f t="shared" si="163"/>
        <v>10190.59</v>
      </c>
      <c r="Q2001" s="3">
        <f t="shared" si="164"/>
        <v>0</v>
      </c>
      <c r="R2001" s="3">
        <f t="shared" si="165"/>
        <v>53561.590000000026</v>
      </c>
      <c r="S2001" s="24" t="s">
        <v>1334</v>
      </c>
      <c r="T2001" s="24" t="s">
        <v>1334</v>
      </c>
      <c r="U2001" s="53"/>
      <c r="V2001" s="25">
        <f>IFERROR(VLOOKUP(BCP_Soles[[#This Row],[destinatario]],CHOOSE({1,2},Clientes_Proveedores[Razon Social],Clientes_Proveedores[Ruc / Dni]),2,0),"")</f>
        <v>20558226979</v>
      </c>
      <c r="W2001" s="25" t="s">
        <v>1345</v>
      </c>
      <c r="X2001" s="25" t="s">
        <v>3295</v>
      </c>
      <c r="Y2001" s="25"/>
      <c r="Z2001" s="75"/>
      <c r="AA2001" s="3" t="str">
        <f>IF(BCP_Soles[[#This Row],[fecha]]&gt;0,TEXT(BCP_Soles[[#This Row],[fecha]],"mmmm"),0)</f>
        <v>Junio</v>
      </c>
    </row>
    <row r="2002" spans="1:27" ht="24" x14ac:dyDescent="0.3">
      <c r="A2002" s="2">
        <f>IF(BCP_Soles[[#This Row],[tipo_registro]]="R",COUNTIFS($C$1:$C2001,"R")+1,A2001)</f>
        <v>1495</v>
      </c>
      <c r="B2002" s="19" t="str">
        <f t="shared" si="161"/>
        <v>B-BCP - Soles</v>
      </c>
      <c r="C2002" s="3" t="s">
        <v>1330</v>
      </c>
      <c r="D2002" s="14">
        <v>45813</v>
      </c>
      <c r="E2002" s="5" t="s">
        <v>241</v>
      </c>
      <c r="F2002" s="5" t="s">
        <v>1303</v>
      </c>
      <c r="G2002" s="6" t="s">
        <v>425</v>
      </c>
      <c r="H2002" s="6" t="s">
        <v>68</v>
      </c>
      <c r="I2002" s="6" t="s">
        <v>1784</v>
      </c>
      <c r="J2002" s="6">
        <v>69</v>
      </c>
      <c r="K2002" s="7" t="s">
        <v>3296</v>
      </c>
      <c r="L2002" s="8">
        <v>4332334</v>
      </c>
      <c r="M2002" s="8" t="str">
        <f t="shared" si="162"/>
        <v>PEN</v>
      </c>
      <c r="N2002" s="13"/>
      <c r="O2002" s="13">
        <v>8366.4</v>
      </c>
      <c r="P2002" s="3">
        <f t="shared" si="163"/>
        <v>8366.4</v>
      </c>
      <c r="Q2002" s="3">
        <f t="shared" si="164"/>
        <v>0</v>
      </c>
      <c r="R2002" s="3">
        <f t="shared" si="165"/>
        <v>61927.990000000027</v>
      </c>
      <c r="S2002" s="24" t="s">
        <v>1334</v>
      </c>
      <c r="T2002" s="24" t="s">
        <v>1334</v>
      </c>
      <c r="U2002" s="53"/>
      <c r="V2002" s="25">
        <f>IFERROR(VLOOKUP(BCP_Soles[[#This Row],[destinatario]],CHOOSE({1,2},Clientes_Proveedores[Razon Social],Clientes_Proveedores[Ruc / Dni]),2,0),"")</f>
        <v>20558226979</v>
      </c>
      <c r="W2002" s="25" t="s">
        <v>1345</v>
      </c>
      <c r="X2002" s="25"/>
      <c r="Y2002" s="25"/>
      <c r="Z2002" s="75"/>
      <c r="AA2002" s="3" t="str">
        <f>IF(BCP_Soles[[#This Row],[fecha]]&gt;0,TEXT(BCP_Soles[[#This Row],[fecha]],"mmmm"),0)</f>
        <v>Junio</v>
      </c>
    </row>
    <row r="2003" spans="1:27" x14ac:dyDescent="0.3">
      <c r="A2003" s="2">
        <f>IF(BCP_Soles[[#This Row],[tipo_registro]]="R",COUNTIFS($C$1:$C2002,"R")+1,A2002)</f>
        <v>1496</v>
      </c>
      <c r="B2003" s="19" t="str">
        <f t="shared" si="161"/>
        <v>B-BCP - Soles</v>
      </c>
      <c r="C2003" s="3" t="s">
        <v>1330</v>
      </c>
      <c r="D2003" s="14">
        <v>45813</v>
      </c>
      <c r="E2003" s="5" t="s">
        <v>2269</v>
      </c>
      <c r="F2003" s="5" t="s">
        <v>1336</v>
      </c>
      <c r="G2003" s="6" t="s">
        <v>695</v>
      </c>
      <c r="H2003" s="6" t="s">
        <v>68</v>
      </c>
      <c r="I2003" s="6" t="s">
        <v>1377</v>
      </c>
      <c r="J2003" s="6">
        <v>165759</v>
      </c>
      <c r="K2003" s="7" t="s">
        <v>1378</v>
      </c>
      <c r="L2003" s="8">
        <v>97462</v>
      </c>
      <c r="M2003" s="8" t="str">
        <f t="shared" si="162"/>
        <v>PEN</v>
      </c>
      <c r="N2003" s="13"/>
      <c r="O2003" s="13">
        <v>181.82</v>
      </c>
      <c r="P2003" s="3">
        <f t="shared" si="163"/>
        <v>0</v>
      </c>
      <c r="Q2003" s="3">
        <f t="shared" si="164"/>
        <v>181.82</v>
      </c>
      <c r="R2003" s="3">
        <f t="shared" si="165"/>
        <v>61746.170000000027</v>
      </c>
      <c r="S2003" s="24" t="s">
        <v>1334</v>
      </c>
      <c r="T2003" s="24" t="s">
        <v>1334</v>
      </c>
      <c r="U2003" s="53"/>
      <c r="V2003" s="25">
        <f>IFERROR(VLOOKUP(BCP_Soles[[#This Row],[destinatario]],CHOOSE({1,2},Clientes_Proveedores[Razon Social],Clientes_Proveedores[Ruc / Dni]),2,0),"")</f>
        <v>20127765279</v>
      </c>
      <c r="W2003" s="25" t="s">
        <v>1379</v>
      </c>
      <c r="X2003" s="25" t="s">
        <v>3297</v>
      </c>
      <c r="Y2003" s="25"/>
      <c r="Z2003" s="75"/>
      <c r="AA2003" s="3" t="str">
        <f>IF(BCP_Soles[[#This Row],[fecha]]&gt;0,TEXT(BCP_Soles[[#This Row],[fecha]],"mmmm"),0)</f>
        <v>Junio</v>
      </c>
    </row>
    <row r="2004" spans="1:27" ht="24" x14ac:dyDescent="0.3">
      <c r="A2004" s="2">
        <f>IF(BCP_Soles[[#This Row],[tipo_registro]]="R",COUNTIFS($C$1:$C2003,"R")+1,A2003)</f>
        <v>1497</v>
      </c>
      <c r="B2004" s="19" t="str">
        <f t="shared" si="161"/>
        <v>B-BCP - Soles</v>
      </c>
      <c r="C2004" s="3" t="s">
        <v>1330</v>
      </c>
      <c r="D2004" s="14">
        <v>45813</v>
      </c>
      <c r="E2004" s="5" t="s">
        <v>2269</v>
      </c>
      <c r="F2004" s="5" t="s">
        <v>1336</v>
      </c>
      <c r="G2004" s="6" t="s">
        <v>698</v>
      </c>
      <c r="H2004" s="6"/>
      <c r="I2004" s="6"/>
      <c r="J2004" s="6"/>
      <c r="K2004" s="7" t="s">
        <v>3298</v>
      </c>
      <c r="L2004" s="8">
        <v>4008213</v>
      </c>
      <c r="M2004" s="8" t="str">
        <f t="shared" si="162"/>
        <v>PEN</v>
      </c>
      <c r="N2004" s="13"/>
      <c r="O2004" s="13">
        <v>3219.5</v>
      </c>
      <c r="P2004" s="3">
        <f t="shared" si="163"/>
        <v>0</v>
      </c>
      <c r="Q2004" s="3">
        <f t="shared" si="164"/>
        <v>3219.5</v>
      </c>
      <c r="R2004" s="3">
        <f t="shared" si="165"/>
        <v>58526.670000000027</v>
      </c>
      <c r="S2004" s="24"/>
      <c r="T2004" s="24"/>
      <c r="U2004" s="53"/>
      <c r="V2004" s="25">
        <f>IFERROR(VLOOKUP(BCP_Soles[[#This Row],[destinatario]],CHOOSE({1,2},Clientes_Proveedores[Razon Social],Clientes_Proveedores[Ruc / Dni]),2,0),"")</f>
        <v>10296347634</v>
      </c>
      <c r="W2004" s="25" t="s">
        <v>698</v>
      </c>
      <c r="X2004" s="25"/>
      <c r="Y2004" s="25"/>
      <c r="Z2004" s="75"/>
      <c r="AA2004" s="3" t="str">
        <f>IF(BCP_Soles[[#This Row],[fecha]]&gt;0,TEXT(BCP_Soles[[#This Row],[fecha]],"mmmm"),0)</f>
        <v>Junio</v>
      </c>
    </row>
    <row r="2005" spans="1:27" ht="24" x14ac:dyDescent="0.3">
      <c r="A2005" s="2">
        <f>IF(BCP_Soles[[#This Row],[tipo_registro]]="R",COUNTIFS($C$1:$C2004,"R")+1,A2004)</f>
        <v>1497</v>
      </c>
      <c r="B2005" s="19" t="str">
        <f t="shared" si="161"/>
        <v>B-BCP - Soles</v>
      </c>
      <c r="C2005" s="3" t="s">
        <v>1352</v>
      </c>
      <c r="D2005" s="14">
        <v>45813</v>
      </c>
      <c r="E2005" s="5" t="s">
        <v>2269</v>
      </c>
      <c r="F2005" s="5" t="s">
        <v>1336</v>
      </c>
      <c r="G2005" s="6" t="s">
        <v>698</v>
      </c>
      <c r="H2005" s="6" t="s">
        <v>64</v>
      </c>
      <c r="I2005" s="6"/>
      <c r="J2005" s="6"/>
      <c r="K2005" s="7" t="s">
        <v>3298</v>
      </c>
      <c r="L2005" s="8">
        <v>4008213</v>
      </c>
      <c r="M2005" s="8" t="str">
        <f t="shared" si="162"/>
        <v>PEN</v>
      </c>
      <c r="N2005" s="13">
        <v>3200</v>
      </c>
      <c r="O2005" s="13"/>
      <c r="P2005" s="3">
        <f t="shared" si="163"/>
        <v>0</v>
      </c>
      <c r="Q2005" s="3">
        <f t="shared" si="164"/>
        <v>0</v>
      </c>
      <c r="R2005" s="3">
        <f t="shared" si="165"/>
        <v>58526.670000000027</v>
      </c>
      <c r="S2005" s="24"/>
      <c r="T2005" s="24"/>
      <c r="U2005" s="53"/>
      <c r="V2005" s="25">
        <f>IFERROR(VLOOKUP(BCP_Soles[[#This Row],[destinatario]],CHOOSE({1,2},Clientes_Proveedores[Razon Social],Clientes_Proveedores[Ruc / Dni]),2,0),"")</f>
        <v>10296347634</v>
      </c>
      <c r="W2005" s="25"/>
      <c r="X2005" s="25"/>
      <c r="Y2005" s="25"/>
      <c r="Z2005" s="75"/>
      <c r="AA2005" s="3" t="str">
        <f>IF(BCP_Soles[[#This Row],[fecha]]&gt;0,TEXT(BCP_Soles[[#This Row],[fecha]],"mmmm"),0)</f>
        <v>Junio</v>
      </c>
    </row>
    <row r="2006" spans="1:27" ht="24" x14ac:dyDescent="0.3">
      <c r="A2006" s="2">
        <f>IF(BCP_Soles[[#This Row],[tipo_registro]]="R",COUNTIFS($C$1:$C2005,"R")+1,A2005)</f>
        <v>1497</v>
      </c>
      <c r="B2006" s="19" t="str">
        <f t="shared" ref="B2006:B2069" si="166">"B-BCP - Soles"</f>
        <v>B-BCP - Soles</v>
      </c>
      <c r="C2006" s="3" t="s">
        <v>1352</v>
      </c>
      <c r="D2006" s="14">
        <v>45813</v>
      </c>
      <c r="E2006" s="5" t="s">
        <v>2269</v>
      </c>
      <c r="F2006" s="5" t="s">
        <v>1336</v>
      </c>
      <c r="G2006" s="6" t="s">
        <v>1060</v>
      </c>
      <c r="H2006" s="6" t="s">
        <v>68</v>
      </c>
      <c r="I2006" s="6"/>
      <c r="J2006" s="6"/>
      <c r="K2006" s="7" t="s">
        <v>3298</v>
      </c>
      <c r="L2006" s="8">
        <v>4008213</v>
      </c>
      <c r="M2006" s="8" t="str">
        <f t="shared" ref="M2006:M2069" si="167">"PEN"</f>
        <v>PEN</v>
      </c>
      <c r="N2006" s="13">
        <v>19.5</v>
      </c>
      <c r="O2006" s="13"/>
      <c r="P2006" s="3">
        <f t="shared" ref="P2006:P2069" si="168">+IF(OR($F2006="SALDO",$F2006="INGRESO"),$O2006,0)</f>
        <v>0</v>
      </c>
      <c r="Q2006" s="3">
        <f t="shared" ref="Q2006:Q2069" si="169">+IF($F2006="EGRESO",$O2006,0)</f>
        <v>0</v>
      </c>
      <c r="R2006" s="3">
        <f t="shared" si="165"/>
        <v>58526.670000000027</v>
      </c>
      <c r="S2006" s="24"/>
      <c r="T2006" s="24"/>
      <c r="U2006" s="53"/>
      <c r="V2006" s="25">
        <f>IFERROR(VLOOKUP(BCP_Soles[[#This Row],[destinatario]],CHOOSE({1,2},Clientes_Proveedores[Razon Social],Clientes_Proveedores[Ruc / Dni]),2,0),"")</f>
        <v>20100047218</v>
      </c>
      <c r="W2006" s="25"/>
      <c r="X2006" s="25"/>
      <c r="Y2006" s="25"/>
      <c r="Z2006" s="75"/>
      <c r="AA2006" s="3" t="str">
        <f>IF(BCP_Soles[[#This Row],[fecha]]&gt;0,TEXT(BCP_Soles[[#This Row],[fecha]],"mmmm"),0)</f>
        <v>Junio</v>
      </c>
    </row>
    <row r="2007" spans="1:27" ht="48" x14ac:dyDescent="0.3">
      <c r="A2007" s="2">
        <f>IF(BCP_Soles[[#This Row],[tipo_registro]]="R",COUNTIFS($C$1:$C2006,"R")+1,A2006)</f>
        <v>1498</v>
      </c>
      <c r="B2007" s="19" t="str">
        <f t="shared" si="166"/>
        <v>B-BCP - Soles</v>
      </c>
      <c r="C2007" s="3" t="s">
        <v>1330</v>
      </c>
      <c r="D2007" s="14">
        <v>45813</v>
      </c>
      <c r="E2007" s="5" t="s">
        <v>2269</v>
      </c>
      <c r="F2007" s="5" t="s">
        <v>1336</v>
      </c>
      <c r="G2007" s="6" t="s">
        <v>488</v>
      </c>
      <c r="H2007" s="6"/>
      <c r="I2007" s="6"/>
      <c r="J2007" s="6"/>
      <c r="K2007" s="7" t="s">
        <v>3299</v>
      </c>
      <c r="L2007" s="8">
        <v>1097961</v>
      </c>
      <c r="M2007" s="8" t="str">
        <f t="shared" si="167"/>
        <v>PEN</v>
      </c>
      <c r="N2007" s="13"/>
      <c r="O2007" s="13">
        <v>220</v>
      </c>
      <c r="P2007" s="3">
        <f t="shared" si="168"/>
        <v>0</v>
      </c>
      <c r="Q2007" s="3">
        <f t="shared" si="169"/>
        <v>220</v>
      </c>
      <c r="R2007" s="3">
        <f t="shared" si="165"/>
        <v>58306.670000000027</v>
      </c>
      <c r="S2007" s="24" t="s">
        <v>1334</v>
      </c>
      <c r="T2007" s="24" t="s">
        <v>1334</v>
      </c>
      <c r="U2007" s="53"/>
      <c r="V2007" s="25">
        <f>IFERROR(VLOOKUP(BCP_Soles[[#This Row],[destinatario]],CHOOSE({1,2},Clientes_Proveedores[Razon Social],Clientes_Proveedores[Ruc / Dni]),2,0),"")</f>
        <v>20602484425</v>
      </c>
      <c r="W2007" s="25" t="s">
        <v>3215</v>
      </c>
      <c r="X2007" s="25" t="s">
        <v>3300</v>
      </c>
      <c r="Y2007" s="25"/>
      <c r="Z2007" s="75"/>
      <c r="AA2007" s="3" t="str">
        <f>IF(BCP_Soles[[#This Row],[fecha]]&gt;0,TEXT(BCP_Soles[[#This Row],[fecha]],"mmmm"),0)</f>
        <v>Junio</v>
      </c>
    </row>
    <row r="2008" spans="1:27" ht="48" x14ac:dyDescent="0.3">
      <c r="A2008" s="2">
        <f>IF(BCP_Soles[[#This Row],[tipo_registro]]="R",COUNTIFS($C$1:$C2007,"R")+1,A2007)</f>
        <v>1498</v>
      </c>
      <c r="B2008" s="19" t="str">
        <f t="shared" si="166"/>
        <v>B-BCP - Soles</v>
      </c>
      <c r="C2008" s="3" t="s">
        <v>1352</v>
      </c>
      <c r="D2008" s="14">
        <v>45813</v>
      </c>
      <c r="E2008" s="5" t="s">
        <v>2269</v>
      </c>
      <c r="F2008" s="5"/>
      <c r="G2008" s="6" t="s">
        <v>488</v>
      </c>
      <c r="H2008" s="6" t="s">
        <v>68</v>
      </c>
      <c r="I2008" s="6" t="s">
        <v>1374</v>
      </c>
      <c r="J2008" s="6">
        <v>36014</v>
      </c>
      <c r="K2008" s="7" t="s">
        <v>3299</v>
      </c>
      <c r="L2008" s="8">
        <v>1097961</v>
      </c>
      <c r="M2008" s="8" t="str">
        <f t="shared" si="167"/>
        <v>PEN</v>
      </c>
      <c r="N2008" s="13">
        <v>120</v>
      </c>
      <c r="O2008" s="13"/>
      <c r="P2008" s="3">
        <f t="shared" si="168"/>
        <v>0</v>
      </c>
      <c r="Q2008" s="3">
        <f t="shared" si="169"/>
        <v>0</v>
      </c>
      <c r="R2008" s="3">
        <f t="shared" si="165"/>
        <v>58306.670000000027</v>
      </c>
      <c r="S2008" s="24"/>
      <c r="T2008" s="24" t="s">
        <v>1334</v>
      </c>
      <c r="U2008" s="53"/>
      <c r="V2008" s="25">
        <f>IFERROR(VLOOKUP(BCP_Soles[[#This Row],[destinatario]],CHOOSE({1,2},Clientes_Proveedores[Razon Social],Clientes_Proveedores[Ruc / Dni]),2,0),"")</f>
        <v>20602484425</v>
      </c>
      <c r="W2008" s="25"/>
      <c r="X2008" s="25"/>
      <c r="Y2008" s="25"/>
      <c r="Z2008" s="75"/>
      <c r="AA2008" s="3" t="str">
        <f>IF(BCP_Soles[[#This Row],[fecha]]&gt;0,TEXT(BCP_Soles[[#This Row],[fecha]],"mmmm"),0)</f>
        <v>Junio</v>
      </c>
    </row>
    <row r="2009" spans="1:27" ht="48" x14ac:dyDescent="0.3">
      <c r="A2009" s="2">
        <f>IF(BCP_Soles[[#This Row],[tipo_registro]]="R",COUNTIFS($C$1:$C2008,"R")+1,A2008)</f>
        <v>1498</v>
      </c>
      <c r="B2009" s="19" t="str">
        <f t="shared" si="166"/>
        <v>B-BCP - Soles</v>
      </c>
      <c r="C2009" s="3" t="s">
        <v>1352</v>
      </c>
      <c r="D2009" s="14">
        <v>45813</v>
      </c>
      <c r="E2009" s="5" t="s">
        <v>2269</v>
      </c>
      <c r="F2009" s="5"/>
      <c r="G2009" s="6" t="s">
        <v>488</v>
      </c>
      <c r="H2009" s="6" t="s">
        <v>68</v>
      </c>
      <c r="I2009" s="6" t="s">
        <v>1374</v>
      </c>
      <c r="J2009" s="6">
        <v>36013</v>
      </c>
      <c r="K2009" s="7" t="s">
        <v>3299</v>
      </c>
      <c r="L2009" s="8">
        <v>1097961</v>
      </c>
      <c r="M2009" s="8" t="str">
        <f t="shared" si="167"/>
        <v>PEN</v>
      </c>
      <c r="N2009" s="13">
        <v>100</v>
      </c>
      <c r="O2009" s="13"/>
      <c r="P2009" s="3">
        <f t="shared" si="168"/>
        <v>0</v>
      </c>
      <c r="Q2009" s="3">
        <f t="shared" si="169"/>
        <v>0</v>
      </c>
      <c r="R2009" s="3">
        <f t="shared" si="165"/>
        <v>58306.670000000027</v>
      </c>
      <c r="S2009" s="24"/>
      <c r="T2009" s="24" t="s">
        <v>1334</v>
      </c>
      <c r="U2009" s="53"/>
      <c r="V2009" s="25">
        <f>IFERROR(VLOOKUP(BCP_Soles[[#This Row],[destinatario]],CHOOSE({1,2},Clientes_Proveedores[Razon Social],Clientes_Proveedores[Ruc / Dni]),2,0),"")</f>
        <v>20602484425</v>
      </c>
      <c r="W2009" s="25"/>
      <c r="X2009" s="25"/>
      <c r="Y2009" s="25"/>
      <c r="Z2009" s="75"/>
      <c r="AA2009" s="3" t="str">
        <f>IF(BCP_Soles[[#This Row],[fecha]]&gt;0,TEXT(BCP_Soles[[#This Row],[fecha]],"mmmm"),0)</f>
        <v>Junio</v>
      </c>
    </row>
    <row r="2010" spans="1:27" x14ac:dyDescent="0.3">
      <c r="A2010" s="2">
        <f>IF(BCP_Soles[[#This Row],[tipo_registro]]="R",COUNTIFS($C$1:$C2009,"R")+1,A2009)</f>
        <v>1499</v>
      </c>
      <c r="B2010" s="19" t="str">
        <f t="shared" si="166"/>
        <v>B-BCP - Soles</v>
      </c>
      <c r="C2010" s="3" t="s">
        <v>1330</v>
      </c>
      <c r="D2010" s="14">
        <v>45813</v>
      </c>
      <c r="E2010" s="5" t="s">
        <v>1338</v>
      </c>
      <c r="F2010" s="5" t="s">
        <v>1336</v>
      </c>
      <c r="G2010" s="6" t="s">
        <v>695</v>
      </c>
      <c r="H2010" s="6" t="s">
        <v>68</v>
      </c>
      <c r="I2010" s="6" t="s">
        <v>1377</v>
      </c>
      <c r="J2010" s="6">
        <v>165760</v>
      </c>
      <c r="K2010" s="7" t="s">
        <v>1378</v>
      </c>
      <c r="L2010" s="8">
        <v>96996</v>
      </c>
      <c r="M2010" s="8" t="str">
        <f t="shared" si="167"/>
        <v>PEN</v>
      </c>
      <c r="N2010" s="13"/>
      <c r="O2010" s="13">
        <v>171.8</v>
      </c>
      <c r="P2010" s="3">
        <f t="shared" si="168"/>
        <v>0</v>
      </c>
      <c r="Q2010" s="3">
        <f t="shared" si="169"/>
        <v>171.8</v>
      </c>
      <c r="R2010" s="3">
        <f t="shared" si="165"/>
        <v>58134.870000000024</v>
      </c>
      <c r="S2010" s="24" t="s">
        <v>1334</v>
      </c>
      <c r="T2010" s="24" t="s">
        <v>1334</v>
      </c>
      <c r="U2010" s="53"/>
      <c r="V2010" s="25">
        <f>IFERROR(VLOOKUP(BCP_Soles[[#This Row],[destinatario]],CHOOSE({1,2},Clientes_Proveedores[Razon Social],Clientes_Proveedores[Ruc / Dni]),2,0),"")</f>
        <v>20127765279</v>
      </c>
      <c r="W2010" s="25" t="s">
        <v>1379</v>
      </c>
      <c r="X2010" s="25" t="s">
        <v>3301</v>
      </c>
      <c r="Y2010" s="25"/>
      <c r="Z2010" s="75"/>
      <c r="AA2010" s="3" t="str">
        <f>IF(BCP_Soles[[#This Row],[fecha]]&gt;0,TEXT(BCP_Soles[[#This Row],[fecha]],"mmmm"),0)</f>
        <v>Junio</v>
      </c>
    </row>
    <row r="2011" spans="1:27" x14ac:dyDescent="0.3">
      <c r="A2011" s="2">
        <f>IF(BCP_Soles[[#This Row],[tipo_registro]]="R",COUNTIFS($C$1:$C2010,"R")+1,A2010)</f>
        <v>1500</v>
      </c>
      <c r="B2011" s="19" t="str">
        <f t="shared" si="166"/>
        <v>B-BCP - Soles</v>
      </c>
      <c r="C2011" s="3" t="s">
        <v>1330</v>
      </c>
      <c r="D2011" s="14">
        <v>45813</v>
      </c>
      <c r="E2011" s="5" t="s">
        <v>1335</v>
      </c>
      <c r="F2011" s="5" t="s">
        <v>1336</v>
      </c>
      <c r="G2011" s="6"/>
      <c r="H2011" s="6"/>
      <c r="I2011" s="6"/>
      <c r="J2011" s="6"/>
      <c r="K2011" s="7" t="s">
        <v>3160</v>
      </c>
      <c r="L2011" s="8"/>
      <c r="M2011" s="8" t="str">
        <f t="shared" si="167"/>
        <v>PEN</v>
      </c>
      <c r="N2011" s="13"/>
      <c r="O2011" s="13">
        <v>1.05</v>
      </c>
      <c r="P2011" s="3">
        <f t="shared" si="168"/>
        <v>0</v>
      </c>
      <c r="Q2011" s="3">
        <f t="shared" si="169"/>
        <v>1.05</v>
      </c>
      <c r="R2011" s="3">
        <f t="shared" si="165"/>
        <v>58133.820000000022</v>
      </c>
      <c r="S2011" s="24"/>
      <c r="T2011" s="24" t="s">
        <v>1334</v>
      </c>
      <c r="U2011" s="53"/>
      <c r="V2011" s="25" t="str">
        <f>IFERROR(VLOOKUP(BCP_Soles[[#This Row],[destinatario]],CHOOSE({1,2},Clientes_Proveedores[Razon Social],Clientes_Proveedores[Ruc / Dni]),2,0),"")</f>
        <v/>
      </c>
      <c r="W2011" s="25"/>
      <c r="X2011" s="25"/>
      <c r="Y2011" s="25"/>
      <c r="Z2011" s="75"/>
      <c r="AA2011" s="3" t="str">
        <f>IF(BCP_Soles[[#This Row],[fecha]]&gt;0,TEXT(BCP_Soles[[#This Row],[fecha]],"mmmm"),0)</f>
        <v>Junio</v>
      </c>
    </row>
    <row r="2012" spans="1:27" ht="24" x14ac:dyDescent="0.3">
      <c r="A2012" s="2">
        <f>IF(BCP_Soles[[#This Row],[tipo_registro]]="R",COUNTIFS($C$1:$C2011,"R")+1,A2011)</f>
        <v>1501</v>
      </c>
      <c r="B2012" s="19" t="str">
        <f t="shared" si="166"/>
        <v>B-BCP - Soles</v>
      </c>
      <c r="C2012" s="3" t="s">
        <v>1330</v>
      </c>
      <c r="D2012" s="14">
        <v>45814</v>
      </c>
      <c r="E2012" s="5" t="s">
        <v>212</v>
      </c>
      <c r="F2012" s="5" t="s">
        <v>1303</v>
      </c>
      <c r="G2012" s="6" t="s">
        <v>425</v>
      </c>
      <c r="H2012" s="6" t="s">
        <v>68</v>
      </c>
      <c r="I2012" s="6" t="s">
        <v>3302</v>
      </c>
      <c r="J2012" s="6">
        <v>53</v>
      </c>
      <c r="K2012" s="7" t="s">
        <v>3303</v>
      </c>
      <c r="L2012" s="8">
        <v>4823755</v>
      </c>
      <c r="M2012" s="8" t="str">
        <f t="shared" si="167"/>
        <v>PEN</v>
      </c>
      <c r="N2012" s="13"/>
      <c r="O2012" s="13">
        <v>310.08999999999997</v>
      </c>
      <c r="P2012" s="3">
        <f t="shared" si="168"/>
        <v>310.08999999999997</v>
      </c>
      <c r="Q2012" s="3">
        <f t="shared" si="169"/>
        <v>0</v>
      </c>
      <c r="R2012" s="3">
        <f t="shared" si="165"/>
        <v>58443.910000000018</v>
      </c>
      <c r="S2012" s="24" t="s">
        <v>1334</v>
      </c>
      <c r="T2012" s="24" t="s">
        <v>1334</v>
      </c>
      <c r="U2012" s="53"/>
      <c r="V2012" s="25">
        <f>IFERROR(VLOOKUP(BCP_Soles[[#This Row],[destinatario]],CHOOSE({1,2},Clientes_Proveedores[Razon Social],Clientes_Proveedores[Ruc / Dni]),2,0),"")</f>
        <v>20558226979</v>
      </c>
      <c r="W2012" s="25" t="s">
        <v>1345</v>
      </c>
      <c r="X2012" s="25" t="s">
        <v>3304</v>
      </c>
      <c r="Y2012" s="25"/>
      <c r="Z2012" s="75"/>
      <c r="AA2012" s="3" t="str">
        <f>IF(BCP_Soles[[#This Row],[fecha]]&gt;0,TEXT(BCP_Soles[[#This Row],[fecha]],"mmmm"),0)</f>
        <v>Junio</v>
      </c>
    </row>
    <row r="2013" spans="1:27" x14ac:dyDescent="0.3">
      <c r="A2013" s="2">
        <f>IF(BCP_Soles[[#This Row],[tipo_registro]]="R",COUNTIFS($C$1:$C2012,"R")+1,A2012)</f>
        <v>1502</v>
      </c>
      <c r="B2013" s="19" t="str">
        <f t="shared" si="166"/>
        <v>B-BCP - Soles</v>
      </c>
      <c r="C2013" s="3" t="s">
        <v>1330</v>
      </c>
      <c r="D2013" s="14">
        <v>45814</v>
      </c>
      <c r="E2013" s="5" t="s">
        <v>286</v>
      </c>
      <c r="F2013" s="5" t="s">
        <v>1303</v>
      </c>
      <c r="G2013" s="6" t="s">
        <v>425</v>
      </c>
      <c r="H2013" s="6" t="s">
        <v>68</v>
      </c>
      <c r="I2013" s="6" t="s">
        <v>1784</v>
      </c>
      <c r="J2013" s="6">
        <v>91</v>
      </c>
      <c r="K2013" s="7" t="s">
        <v>1382</v>
      </c>
      <c r="L2013" s="8">
        <v>2582</v>
      </c>
      <c r="M2013" s="8" t="str">
        <f t="shared" si="167"/>
        <v>PEN</v>
      </c>
      <c r="N2013" s="13"/>
      <c r="O2013" s="13">
        <v>2152.16</v>
      </c>
      <c r="P2013" s="3">
        <f t="shared" si="168"/>
        <v>2152.16</v>
      </c>
      <c r="Q2013" s="3">
        <f t="shared" si="169"/>
        <v>0</v>
      </c>
      <c r="R2013" s="3">
        <f t="shared" si="165"/>
        <v>60596.070000000022</v>
      </c>
      <c r="S2013" s="24" t="s">
        <v>1334</v>
      </c>
      <c r="T2013" s="24" t="s">
        <v>1334</v>
      </c>
      <c r="U2013" s="53"/>
      <c r="V2013" s="25">
        <f>IFERROR(VLOOKUP(BCP_Soles[[#This Row],[destinatario]],CHOOSE({1,2},Clientes_Proveedores[Razon Social],Clientes_Proveedores[Ruc / Dni]),2,0),"")</f>
        <v>20558226979</v>
      </c>
      <c r="W2013" s="25" t="s">
        <v>1345</v>
      </c>
      <c r="X2013" s="25" t="s">
        <v>3305</v>
      </c>
      <c r="Y2013" s="25"/>
      <c r="Z2013" s="75"/>
      <c r="AA2013" s="3" t="str">
        <f>IF(BCP_Soles[[#This Row],[fecha]]&gt;0,TEXT(BCP_Soles[[#This Row],[fecha]],"mmmm"),0)</f>
        <v>Junio</v>
      </c>
    </row>
    <row r="2014" spans="1:27" x14ac:dyDescent="0.3">
      <c r="A2014" s="2">
        <f>IF(BCP_Soles[[#This Row],[tipo_registro]]="R",COUNTIFS($C$1:$C2013,"R")+1,A2013)</f>
        <v>1503</v>
      </c>
      <c r="B2014" s="19" t="str">
        <f t="shared" si="166"/>
        <v>B-BCP - Soles</v>
      </c>
      <c r="C2014" s="3" t="s">
        <v>1330</v>
      </c>
      <c r="D2014" s="14">
        <v>45814</v>
      </c>
      <c r="E2014" s="5" t="s">
        <v>439</v>
      </c>
      <c r="F2014" s="5" t="s">
        <v>1303</v>
      </c>
      <c r="G2014" s="6" t="s">
        <v>425</v>
      </c>
      <c r="H2014" s="6" t="s">
        <v>119</v>
      </c>
      <c r="I2014" s="6">
        <v>1</v>
      </c>
      <c r="J2014" s="6">
        <v>4481</v>
      </c>
      <c r="K2014" s="7" t="s">
        <v>1356</v>
      </c>
      <c r="L2014" s="8">
        <v>1477159</v>
      </c>
      <c r="M2014" s="8" t="str">
        <f t="shared" si="167"/>
        <v>PEN</v>
      </c>
      <c r="N2014" s="13"/>
      <c r="O2014" s="13">
        <v>676</v>
      </c>
      <c r="P2014" s="3">
        <f t="shared" si="168"/>
        <v>676</v>
      </c>
      <c r="Q2014" s="3">
        <f t="shared" si="169"/>
        <v>0</v>
      </c>
      <c r="R2014" s="3">
        <f t="shared" si="165"/>
        <v>61272.070000000022</v>
      </c>
      <c r="S2014" s="24" t="s">
        <v>1334</v>
      </c>
      <c r="T2014" s="24" t="s">
        <v>1334</v>
      </c>
      <c r="U2014" s="53"/>
      <c r="V2014" s="25">
        <f>IFERROR(VLOOKUP(BCP_Soles[[#This Row],[destinatario]],CHOOSE({1,2},Clientes_Proveedores[Razon Social],Clientes_Proveedores[Ruc / Dni]),2,0),"")</f>
        <v>20558226979</v>
      </c>
      <c r="W2014" s="25" t="s">
        <v>1345</v>
      </c>
      <c r="X2014" s="25" t="s">
        <v>3306</v>
      </c>
      <c r="Y2014" s="25"/>
      <c r="Z2014" s="75"/>
      <c r="AA2014" s="3" t="str">
        <f>IF(BCP_Soles[[#This Row],[fecha]]&gt;0,TEXT(BCP_Soles[[#This Row],[fecha]],"mmmm"),0)</f>
        <v>Junio</v>
      </c>
    </row>
    <row r="2015" spans="1:27" ht="24" x14ac:dyDescent="0.3">
      <c r="A2015" s="2">
        <f>IF(BCP_Soles[[#This Row],[tipo_registro]]="R",COUNTIFS($C$1:$C2014,"R")+1,A2014)</f>
        <v>1504</v>
      </c>
      <c r="B2015" s="19" t="str">
        <f t="shared" si="166"/>
        <v>B-BCP - Soles</v>
      </c>
      <c r="C2015" s="3" t="s">
        <v>1330</v>
      </c>
      <c r="D2015" s="14">
        <v>45814</v>
      </c>
      <c r="E2015" s="5" t="s">
        <v>2009</v>
      </c>
      <c r="F2015" s="5" t="s">
        <v>1303</v>
      </c>
      <c r="G2015" s="6" t="s">
        <v>425</v>
      </c>
      <c r="H2015" s="6" t="s">
        <v>119</v>
      </c>
      <c r="I2015" s="6">
        <v>1</v>
      </c>
      <c r="J2015" s="6">
        <v>4473</v>
      </c>
      <c r="K2015" s="7" t="s">
        <v>1356</v>
      </c>
      <c r="L2015" s="8">
        <v>1229129</v>
      </c>
      <c r="M2015" s="8" t="str">
        <f t="shared" si="167"/>
        <v>PEN</v>
      </c>
      <c r="N2015" s="13"/>
      <c r="O2015" s="13">
        <v>488</v>
      </c>
      <c r="P2015" s="3">
        <f t="shared" si="168"/>
        <v>488</v>
      </c>
      <c r="Q2015" s="3">
        <f t="shared" si="169"/>
        <v>0</v>
      </c>
      <c r="R2015" s="3">
        <f t="shared" si="165"/>
        <v>61760.070000000022</v>
      </c>
      <c r="S2015" s="24" t="s">
        <v>1334</v>
      </c>
      <c r="T2015" s="24" t="s">
        <v>1334</v>
      </c>
      <c r="U2015" s="53"/>
      <c r="V2015" s="25">
        <f>IFERROR(VLOOKUP(BCP_Soles[[#This Row],[destinatario]],CHOOSE({1,2},Clientes_Proveedores[Razon Social],Clientes_Proveedores[Ruc / Dni]),2,0),"")</f>
        <v>20558226979</v>
      </c>
      <c r="W2015" s="25" t="s">
        <v>1345</v>
      </c>
      <c r="X2015" s="25" t="s">
        <v>3307</v>
      </c>
      <c r="Y2015" s="25"/>
      <c r="Z2015" s="75"/>
      <c r="AA2015" s="3" t="str">
        <f>IF(BCP_Soles[[#This Row],[fecha]]&gt;0,TEXT(BCP_Soles[[#This Row],[fecha]],"mmmm"),0)</f>
        <v>Junio</v>
      </c>
    </row>
    <row r="2016" spans="1:27" x14ac:dyDescent="0.3">
      <c r="A2016" s="2">
        <f>IF(BCP_Soles[[#This Row],[tipo_registro]]="R",COUNTIFS($C$1:$C2015,"R")+1,A2015)</f>
        <v>1505</v>
      </c>
      <c r="B2016" s="19" t="str">
        <f t="shared" si="166"/>
        <v>B-BCP - Soles</v>
      </c>
      <c r="C2016" s="3" t="s">
        <v>1330</v>
      </c>
      <c r="D2016" s="14">
        <v>45814</v>
      </c>
      <c r="E2016" s="5" t="s">
        <v>3308</v>
      </c>
      <c r="F2016" s="5" t="s">
        <v>1303</v>
      </c>
      <c r="G2016" s="6" t="s">
        <v>425</v>
      </c>
      <c r="H2016" s="6"/>
      <c r="I2016" s="6"/>
      <c r="J2016" s="6"/>
      <c r="K2016" s="7" t="s">
        <v>3309</v>
      </c>
      <c r="L2016" s="8">
        <v>252398</v>
      </c>
      <c r="M2016" s="8" t="str">
        <f t="shared" si="167"/>
        <v>PEN</v>
      </c>
      <c r="N2016" s="13"/>
      <c r="O2016" s="13">
        <v>5032</v>
      </c>
      <c r="P2016" s="3">
        <f t="shared" si="168"/>
        <v>5032</v>
      </c>
      <c r="Q2016" s="3">
        <f t="shared" si="169"/>
        <v>0</v>
      </c>
      <c r="R2016" s="3">
        <f t="shared" si="165"/>
        <v>66792.070000000022</v>
      </c>
      <c r="S2016" s="24" t="s">
        <v>1334</v>
      </c>
      <c r="T2016" s="24"/>
      <c r="U2016" s="53"/>
      <c r="V2016" s="25">
        <f>IFERROR(VLOOKUP(BCP_Soles[[#This Row],[destinatario]],CHOOSE({1,2},Clientes_Proveedores[Razon Social],Clientes_Proveedores[Ruc / Dni]),2,0),"")</f>
        <v>20558226979</v>
      </c>
      <c r="W2016" s="25"/>
      <c r="X2016" s="25"/>
      <c r="Y2016" s="25"/>
      <c r="Z2016" s="75"/>
      <c r="AA2016" s="3" t="str">
        <f>IF(BCP_Soles[[#This Row],[fecha]]&gt;0,TEXT(BCP_Soles[[#This Row],[fecha]],"mmmm"),0)</f>
        <v>Junio</v>
      </c>
    </row>
    <row r="2017" spans="1:27" ht="36" x14ac:dyDescent="0.3">
      <c r="A2017" s="2">
        <f>IF(BCP_Soles[[#This Row],[tipo_registro]]="R",COUNTIFS($C$1:$C2016,"R")+1,A2016)</f>
        <v>1506</v>
      </c>
      <c r="B2017" s="19" t="str">
        <f t="shared" si="166"/>
        <v>B-BCP - Soles</v>
      </c>
      <c r="C2017" s="3" t="s">
        <v>1330</v>
      </c>
      <c r="D2017" s="14">
        <v>45814</v>
      </c>
      <c r="E2017" s="5" t="s">
        <v>261</v>
      </c>
      <c r="F2017" s="5" t="s">
        <v>1303</v>
      </c>
      <c r="G2017" s="6" t="s">
        <v>425</v>
      </c>
      <c r="H2017" s="6" t="s">
        <v>68</v>
      </c>
      <c r="I2017" s="6" t="s">
        <v>3302</v>
      </c>
      <c r="J2017" s="6">
        <v>54</v>
      </c>
      <c r="K2017" s="7" t="s">
        <v>3310</v>
      </c>
      <c r="L2017" s="8">
        <v>4905971</v>
      </c>
      <c r="M2017" s="8" t="str">
        <f t="shared" si="167"/>
        <v>PEN</v>
      </c>
      <c r="N2017" s="13"/>
      <c r="O2017" s="13">
        <v>4503.3900000000003</v>
      </c>
      <c r="P2017" s="3">
        <f t="shared" si="168"/>
        <v>4503.3900000000003</v>
      </c>
      <c r="Q2017" s="3">
        <f t="shared" si="169"/>
        <v>0</v>
      </c>
      <c r="R2017" s="3">
        <f t="shared" si="165"/>
        <v>71295.460000000021</v>
      </c>
      <c r="S2017" s="24" t="s">
        <v>1334</v>
      </c>
      <c r="T2017" s="24" t="s">
        <v>1334</v>
      </c>
      <c r="U2017" s="53"/>
      <c r="V2017" s="25">
        <f>IFERROR(VLOOKUP(BCP_Soles[[#This Row],[destinatario]],CHOOSE({1,2},Clientes_Proveedores[Razon Social],Clientes_Proveedores[Ruc / Dni]),2,0),"")</f>
        <v>20558226979</v>
      </c>
      <c r="W2017" s="25" t="s">
        <v>1345</v>
      </c>
      <c r="X2017" s="25" t="s">
        <v>3311</v>
      </c>
      <c r="Y2017" s="25"/>
      <c r="Z2017" s="75"/>
      <c r="AA2017" s="3" t="str">
        <f>IF(BCP_Soles[[#This Row],[fecha]]&gt;0,TEXT(BCP_Soles[[#This Row],[fecha]],"mmmm"),0)</f>
        <v>Junio</v>
      </c>
    </row>
    <row r="2018" spans="1:27" ht="24" x14ac:dyDescent="0.3">
      <c r="A2018" s="2">
        <f>IF(BCP_Soles[[#This Row],[tipo_registro]]="R",COUNTIFS($C$1:$C2017,"R")+1,A2017)</f>
        <v>1507</v>
      </c>
      <c r="B2018" s="19" t="str">
        <f t="shared" si="166"/>
        <v>B-BCP - Soles</v>
      </c>
      <c r="C2018" s="3" t="s">
        <v>1330</v>
      </c>
      <c r="D2018" s="14">
        <v>45814</v>
      </c>
      <c r="E2018" s="5" t="s">
        <v>1416</v>
      </c>
      <c r="F2018" s="5" t="s">
        <v>1336</v>
      </c>
      <c r="G2018" s="6" t="s">
        <v>249</v>
      </c>
      <c r="H2018" s="6"/>
      <c r="I2018" s="6"/>
      <c r="J2018" s="6"/>
      <c r="K2018" s="7" t="s">
        <v>3312</v>
      </c>
      <c r="L2018" s="8">
        <v>1026776</v>
      </c>
      <c r="M2018" s="8" t="str">
        <f t="shared" si="167"/>
        <v>PEN</v>
      </c>
      <c r="N2018" s="13"/>
      <c r="O2018" s="13">
        <v>993.96</v>
      </c>
      <c r="P2018" s="3">
        <f t="shared" si="168"/>
        <v>0</v>
      </c>
      <c r="Q2018" s="3">
        <f t="shared" si="169"/>
        <v>993.96</v>
      </c>
      <c r="R2018" s="3">
        <f t="shared" si="165"/>
        <v>70301.500000000015</v>
      </c>
      <c r="S2018" s="24"/>
      <c r="T2018" s="24" t="s">
        <v>1334</v>
      </c>
      <c r="U2018" s="53"/>
      <c r="V2018" s="25">
        <f>IFERROR(VLOOKUP(BCP_Soles[[#This Row],[destinatario]],CHOOSE({1,2},Clientes_Proveedores[Razon Social],Clientes_Proveedores[Ruc / Dni]),2,0),"")</f>
        <v>20302891452</v>
      </c>
      <c r="W2018" s="25" t="s">
        <v>249</v>
      </c>
      <c r="X2018" s="25"/>
      <c r="Y2018" s="25"/>
      <c r="Z2018" s="75"/>
      <c r="AA2018" s="3" t="str">
        <f>IF(BCP_Soles[[#This Row],[fecha]]&gt;0,TEXT(BCP_Soles[[#This Row],[fecha]],"mmmm"),0)</f>
        <v>Junio</v>
      </c>
    </row>
    <row r="2019" spans="1:27" ht="36" x14ac:dyDescent="0.3">
      <c r="A2019" s="2">
        <f>IF(BCP_Soles[[#This Row],[tipo_registro]]="R",COUNTIFS($C$1:$C2018,"R")+1,A2018)</f>
        <v>1508</v>
      </c>
      <c r="B2019" s="19" t="str">
        <f t="shared" si="166"/>
        <v>B-BCP - Soles</v>
      </c>
      <c r="C2019" s="3" t="s">
        <v>1330</v>
      </c>
      <c r="D2019" s="14">
        <v>45814</v>
      </c>
      <c r="E2019" s="5" t="s">
        <v>1416</v>
      </c>
      <c r="F2019" s="5" t="s">
        <v>1336</v>
      </c>
      <c r="G2019" s="6" t="s">
        <v>937</v>
      </c>
      <c r="H2019" s="6" t="s">
        <v>143</v>
      </c>
      <c r="I2019" s="6">
        <v>1</v>
      </c>
      <c r="J2019" s="6">
        <v>422025</v>
      </c>
      <c r="K2019" s="7" t="s">
        <v>3313</v>
      </c>
      <c r="L2019" s="8">
        <v>1176625</v>
      </c>
      <c r="M2019" s="8" t="str">
        <f t="shared" si="167"/>
        <v>PEN</v>
      </c>
      <c r="N2019" s="13"/>
      <c r="O2019" s="13">
        <v>618</v>
      </c>
      <c r="P2019" s="3">
        <f t="shared" si="168"/>
        <v>0</v>
      </c>
      <c r="Q2019" s="3">
        <f t="shared" si="169"/>
        <v>618</v>
      </c>
      <c r="R2019" s="3">
        <f t="shared" si="165"/>
        <v>69683.500000000015</v>
      </c>
      <c r="S2019" s="24" t="s">
        <v>1334</v>
      </c>
      <c r="T2019" s="24" t="s">
        <v>1334</v>
      </c>
      <c r="U2019" s="53"/>
      <c r="V2019" s="25">
        <f>IFERROR(VLOOKUP(BCP_Soles[[#This Row],[destinatario]],CHOOSE({1,2},Clientes_Proveedores[Razon Social],Clientes_Proveedores[Ruc / Dni]),2,0),"")</f>
        <v>72728100</v>
      </c>
      <c r="W2019" s="25" t="s">
        <v>937</v>
      </c>
      <c r="X2019" s="25" t="s">
        <v>3314</v>
      </c>
      <c r="Y2019" s="25"/>
      <c r="Z2019" s="75"/>
      <c r="AA2019" s="3" t="str">
        <f>IF(BCP_Soles[[#This Row],[fecha]]&gt;0,TEXT(BCP_Soles[[#This Row],[fecha]],"mmmm"),0)</f>
        <v>Junio</v>
      </c>
    </row>
    <row r="2020" spans="1:27" ht="24" x14ac:dyDescent="0.3">
      <c r="A2020" s="2">
        <f>IF(BCP_Soles[[#This Row],[tipo_registro]]="R",COUNTIFS($C$1:$C2019,"R")+1,A2019)</f>
        <v>1509</v>
      </c>
      <c r="B2020" s="19" t="str">
        <f t="shared" si="166"/>
        <v>B-BCP - Soles</v>
      </c>
      <c r="C2020" s="3" t="s">
        <v>1330</v>
      </c>
      <c r="D2020" s="14">
        <v>45814</v>
      </c>
      <c r="E2020" s="5" t="s">
        <v>1416</v>
      </c>
      <c r="F2020" s="5" t="s">
        <v>1336</v>
      </c>
      <c r="G2020" s="6" t="s">
        <v>1069</v>
      </c>
      <c r="H2020" s="6" t="s">
        <v>143</v>
      </c>
      <c r="I2020" s="6">
        <v>1</v>
      </c>
      <c r="J2020" s="6">
        <v>442025</v>
      </c>
      <c r="K2020" s="7" t="s">
        <v>3315</v>
      </c>
      <c r="L2020" s="8">
        <v>1178079</v>
      </c>
      <c r="M2020" s="8" t="str">
        <f t="shared" si="167"/>
        <v>PEN</v>
      </c>
      <c r="N2020" s="13"/>
      <c r="O2020" s="13">
        <v>2000</v>
      </c>
      <c r="P2020" s="3">
        <f t="shared" si="168"/>
        <v>0</v>
      </c>
      <c r="Q2020" s="3">
        <f t="shared" si="169"/>
        <v>2000</v>
      </c>
      <c r="R2020" s="3">
        <f t="shared" si="165"/>
        <v>67683.500000000015</v>
      </c>
      <c r="S2020" s="24" t="s">
        <v>1334</v>
      </c>
      <c r="T2020" s="24" t="s">
        <v>1334</v>
      </c>
      <c r="U2020" s="53"/>
      <c r="V2020" s="25">
        <f>IFERROR(VLOOKUP(BCP_Soles[[#This Row],[destinatario]],CHOOSE({1,2},Clientes_Proveedores[Razon Social],Clientes_Proveedores[Ruc / Dni]),2,0),"")</f>
        <v>72378581</v>
      </c>
      <c r="W2020" s="25" t="s">
        <v>2910</v>
      </c>
      <c r="X2020" s="25" t="s">
        <v>3316</v>
      </c>
      <c r="Y2020" s="25"/>
      <c r="Z2020" s="75"/>
      <c r="AA2020" s="3" t="str">
        <f>IF(BCP_Soles[[#This Row],[fecha]]&gt;0,TEXT(BCP_Soles[[#This Row],[fecha]],"mmmm"),0)</f>
        <v>Junio</v>
      </c>
    </row>
    <row r="2021" spans="1:27" ht="24" x14ac:dyDescent="0.3">
      <c r="A2021" s="2">
        <f>IF(BCP_Soles[[#This Row],[tipo_registro]]="R",COUNTIFS($C$1:$C2020,"R")+1,A2020)</f>
        <v>1510</v>
      </c>
      <c r="B2021" s="19" t="str">
        <f t="shared" si="166"/>
        <v>B-BCP - Soles</v>
      </c>
      <c r="C2021" s="3" t="s">
        <v>1330</v>
      </c>
      <c r="D2021" s="14">
        <v>45814</v>
      </c>
      <c r="E2021" s="5" t="s">
        <v>1416</v>
      </c>
      <c r="F2021" s="5" t="s">
        <v>1336</v>
      </c>
      <c r="G2021" s="6" t="s">
        <v>385</v>
      </c>
      <c r="H2021" s="6" t="s">
        <v>68</v>
      </c>
      <c r="I2021" s="6" t="s">
        <v>1376</v>
      </c>
      <c r="J2021" s="6">
        <v>1322</v>
      </c>
      <c r="K2021" s="7" t="s">
        <v>3317</v>
      </c>
      <c r="L2021" s="8">
        <v>1289900</v>
      </c>
      <c r="M2021" s="8" t="str">
        <f t="shared" si="167"/>
        <v>PEN</v>
      </c>
      <c r="N2021" s="13"/>
      <c r="O2021" s="13">
        <v>2761.85</v>
      </c>
      <c r="P2021" s="3">
        <f t="shared" si="168"/>
        <v>0</v>
      </c>
      <c r="Q2021" s="3">
        <f t="shared" si="169"/>
        <v>2761.85</v>
      </c>
      <c r="R2021" s="3">
        <f t="shared" si="165"/>
        <v>64921.650000000016</v>
      </c>
      <c r="S2021" s="24" t="s">
        <v>1334</v>
      </c>
      <c r="T2021" s="24" t="s">
        <v>1334</v>
      </c>
      <c r="U2021" s="53"/>
      <c r="V2021" s="25">
        <f>IFERROR(VLOOKUP(BCP_Soles[[#This Row],[destinatario]],CHOOSE({1,2},Clientes_Proveedores[Razon Social],Clientes_Proveedores[Ruc / Dni]),2,0),"")</f>
        <v>20539387104</v>
      </c>
      <c r="W2021" s="25" t="s">
        <v>385</v>
      </c>
      <c r="X2021" s="25" t="s">
        <v>3318</v>
      </c>
      <c r="Y2021" s="25"/>
      <c r="Z2021" s="75"/>
      <c r="AA2021" s="3" t="str">
        <f>IF(BCP_Soles[[#This Row],[fecha]]&gt;0,TEXT(BCP_Soles[[#This Row],[fecha]],"mmmm"),0)</f>
        <v>Junio</v>
      </c>
    </row>
    <row r="2022" spans="1:27" ht="24" x14ac:dyDescent="0.3">
      <c r="A2022" s="2">
        <f>IF(BCP_Soles[[#This Row],[tipo_registro]]="R",COUNTIFS($C$1:$C2021,"R")+1,A2021)</f>
        <v>1511</v>
      </c>
      <c r="B2022" s="19" t="str">
        <f t="shared" si="166"/>
        <v>B-BCP - Soles</v>
      </c>
      <c r="C2022" s="3" t="s">
        <v>1330</v>
      </c>
      <c r="D2022" s="14">
        <v>45814</v>
      </c>
      <c r="E2022" s="5" t="s">
        <v>1416</v>
      </c>
      <c r="F2022" s="5" t="s">
        <v>1336</v>
      </c>
      <c r="G2022" s="6" t="s">
        <v>249</v>
      </c>
      <c r="H2022" s="6"/>
      <c r="I2022" s="6"/>
      <c r="J2022" s="6"/>
      <c r="K2022" s="7" t="s">
        <v>3319</v>
      </c>
      <c r="L2022" s="8">
        <v>1290364</v>
      </c>
      <c r="M2022" s="8" t="str">
        <f t="shared" si="167"/>
        <v>PEN</v>
      </c>
      <c r="N2022" s="13"/>
      <c r="O2022" s="13">
        <v>181.16</v>
      </c>
      <c r="P2022" s="3">
        <f t="shared" si="168"/>
        <v>0</v>
      </c>
      <c r="Q2022" s="3">
        <f t="shared" si="169"/>
        <v>181.16</v>
      </c>
      <c r="R2022" s="3">
        <f t="shared" si="165"/>
        <v>64740.490000000013</v>
      </c>
      <c r="S2022" s="24"/>
      <c r="T2022" s="24" t="s">
        <v>1334</v>
      </c>
      <c r="U2022" s="53"/>
      <c r="V2022" s="25">
        <f>IFERROR(VLOOKUP(BCP_Soles[[#This Row],[destinatario]],CHOOSE({1,2},Clientes_Proveedores[Razon Social],Clientes_Proveedores[Ruc / Dni]),2,0),"")</f>
        <v>20302891452</v>
      </c>
      <c r="W2022" s="25" t="s">
        <v>249</v>
      </c>
      <c r="X2022" s="25"/>
      <c r="Y2022" s="25"/>
      <c r="Z2022" s="75"/>
      <c r="AA2022" s="3" t="str">
        <f>IF(BCP_Soles[[#This Row],[fecha]]&gt;0,TEXT(BCP_Soles[[#This Row],[fecha]],"mmmm"),0)</f>
        <v>Junio</v>
      </c>
    </row>
    <row r="2023" spans="1:27" x14ac:dyDescent="0.3">
      <c r="A2023" s="2">
        <f>IF(BCP_Soles[[#This Row],[tipo_registro]]="R",COUNTIFS($C$1:$C2022,"R")+1,A2022)</f>
        <v>1512</v>
      </c>
      <c r="B2023" s="19" t="str">
        <f t="shared" si="166"/>
        <v>B-BCP - Soles</v>
      </c>
      <c r="C2023" s="3" t="s">
        <v>1330</v>
      </c>
      <c r="D2023" s="14">
        <v>45814</v>
      </c>
      <c r="E2023" s="5" t="s">
        <v>3190</v>
      </c>
      <c r="F2023" s="5" t="s">
        <v>1336</v>
      </c>
      <c r="G2023" s="6"/>
      <c r="H2023" s="6"/>
      <c r="I2023" s="6"/>
      <c r="J2023" s="6"/>
      <c r="K2023" s="7" t="s">
        <v>3320</v>
      </c>
      <c r="L2023" s="8">
        <v>1021087</v>
      </c>
      <c r="M2023" s="8" t="str">
        <f t="shared" si="167"/>
        <v>PEN</v>
      </c>
      <c r="N2023" s="13"/>
      <c r="O2023" s="13">
        <v>1817</v>
      </c>
      <c r="P2023" s="3">
        <f t="shared" si="168"/>
        <v>0</v>
      </c>
      <c r="Q2023" s="3">
        <f t="shared" si="169"/>
        <v>1817</v>
      </c>
      <c r="R2023" s="3">
        <f t="shared" si="165"/>
        <v>62923.490000000013</v>
      </c>
      <c r="S2023" s="24"/>
      <c r="T2023" s="24"/>
      <c r="U2023" s="53"/>
      <c r="V2023" s="25" t="str">
        <f>IFERROR(VLOOKUP(BCP_Soles[[#This Row],[destinatario]],CHOOSE({1,2},Clientes_Proveedores[Razon Social],Clientes_Proveedores[Ruc / Dni]),2,0),"")</f>
        <v/>
      </c>
      <c r="W2023" s="25"/>
      <c r="X2023" s="25"/>
      <c r="Y2023" s="25"/>
      <c r="Z2023" s="75"/>
      <c r="AA2023" s="3" t="str">
        <f>IF(BCP_Soles[[#This Row],[fecha]]&gt;0,TEXT(BCP_Soles[[#This Row],[fecha]],"mmmm"),0)</f>
        <v>Junio</v>
      </c>
    </row>
    <row r="2024" spans="1:27" ht="24" x14ac:dyDescent="0.3">
      <c r="A2024" s="2">
        <f>IF(BCP_Soles[[#This Row],[tipo_registro]]="R",COUNTIFS($C$1:$C2023,"R")+1,A2023)</f>
        <v>1513</v>
      </c>
      <c r="B2024" s="19" t="str">
        <f t="shared" si="166"/>
        <v>B-BCP - Soles</v>
      </c>
      <c r="C2024" s="3" t="s">
        <v>1330</v>
      </c>
      <c r="D2024" s="14">
        <v>45814</v>
      </c>
      <c r="E2024" s="5" t="s">
        <v>1335</v>
      </c>
      <c r="F2024" s="5" t="s">
        <v>1336</v>
      </c>
      <c r="G2024" s="6" t="s">
        <v>1060</v>
      </c>
      <c r="H2024" s="6"/>
      <c r="I2024" s="6"/>
      <c r="J2024" s="6"/>
      <c r="K2024" s="7" t="s">
        <v>1400</v>
      </c>
      <c r="L2024" s="8">
        <v>1755</v>
      </c>
      <c r="M2024" s="8" t="str">
        <f t="shared" si="167"/>
        <v>PEN</v>
      </c>
      <c r="N2024" s="13"/>
      <c r="O2024" s="13">
        <v>10</v>
      </c>
      <c r="P2024" s="3">
        <f t="shared" si="168"/>
        <v>0</v>
      </c>
      <c r="Q2024" s="3">
        <f t="shared" si="169"/>
        <v>10</v>
      </c>
      <c r="R2024" s="3">
        <f t="shared" si="165"/>
        <v>62913.490000000013</v>
      </c>
      <c r="S2024" s="24"/>
      <c r="T2024" s="24"/>
      <c r="U2024" s="53"/>
      <c r="V2024" s="25">
        <f>IFERROR(VLOOKUP(BCP_Soles[[#This Row],[destinatario]],CHOOSE({1,2},Clientes_Proveedores[Razon Social],Clientes_Proveedores[Ruc / Dni]),2,0),"")</f>
        <v>20100047218</v>
      </c>
      <c r="W2024" s="25" t="s">
        <v>1335</v>
      </c>
      <c r="X2024" s="25"/>
      <c r="Y2024" s="25"/>
      <c r="Z2024" s="75"/>
      <c r="AA2024" s="3" t="str">
        <f>IF(BCP_Soles[[#This Row],[fecha]]&gt;0,TEXT(BCP_Soles[[#This Row],[fecha]],"mmmm"),0)</f>
        <v>Junio</v>
      </c>
    </row>
    <row r="2025" spans="1:27" x14ac:dyDescent="0.3">
      <c r="A2025" s="2">
        <f>IF(BCP_Soles[[#This Row],[tipo_registro]]="R",COUNTIFS($C$1:$C2024,"R")+1,A2024)</f>
        <v>1514</v>
      </c>
      <c r="B2025" s="19" t="str">
        <f t="shared" si="166"/>
        <v>B-BCP - Soles</v>
      </c>
      <c r="C2025" s="3" t="s">
        <v>1330</v>
      </c>
      <c r="D2025" s="14">
        <v>45814</v>
      </c>
      <c r="E2025" s="5" t="s">
        <v>1335</v>
      </c>
      <c r="F2025" s="5" t="s">
        <v>1336</v>
      </c>
      <c r="G2025" s="6"/>
      <c r="H2025" s="6"/>
      <c r="I2025" s="6"/>
      <c r="J2025" s="6"/>
      <c r="K2025" s="7" t="s">
        <v>3160</v>
      </c>
      <c r="L2025" s="8"/>
      <c r="M2025" s="8" t="str">
        <f t="shared" si="167"/>
        <v>PEN</v>
      </c>
      <c r="N2025" s="13"/>
      <c r="O2025" s="13">
        <v>0.8</v>
      </c>
      <c r="P2025" s="3">
        <f t="shared" si="168"/>
        <v>0</v>
      </c>
      <c r="Q2025" s="3">
        <f t="shared" si="169"/>
        <v>0.8</v>
      </c>
      <c r="R2025" s="3">
        <f t="shared" si="165"/>
        <v>62912.69000000001</v>
      </c>
      <c r="S2025" s="24"/>
      <c r="T2025" s="24" t="s">
        <v>1334</v>
      </c>
      <c r="U2025" s="53"/>
      <c r="V2025" s="25" t="str">
        <f>IFERROR(VLOOKUP(BCP_Soles[[#This Row],[destinatario]],CHOOSE({1,2},Clientes_Proveedores[Razon Social],Clientes_Proveedores[Ruc / Dni]),2,0),"")</f>
        <v/>
      </c>
      <c r="W2025" s="25"/>
      <c r="X2025" s="25"/>
      <c r="Y2025" s="25"/>
      <c r="Z2025" s="75"/>
      <c r="AA2025" s="3" t="str">
        <f>IF(BCP_Soles[[#This Row],[fecha]]&gt;0,TEXT(BCP_Soles[[#This Row],[fecha]],"mmmm"),0)</f>
        <v>Junio</v>
      </c>
    </row>
    <row r="2026" spans="1:27" x14ac:dyDescent="0.3">
      <c r="A2026" s="2">
        <f>IF(BCP_Soles[[#This Row],[tipo_registro]]="R",COUNTIFS($C$1:$C2025,"R")+1,A2025)</f>
        <v>1515</v>
      </c>
      <c r="B2026" s="19" t="str">
        <f t="shared" si="166"/>
        <v>B-BCP - Soles</v>
      </c>
      <c r="C2026" s="3" t="s">
        <v>1330</v>
      </c>
      <c r="D2026" s="14">
        <v>45815</v>
      </c>
      <c r="E2026" s="5"/>
      <c r="F2026" s="5" t="s">
        <v>1303</v>
      </c>
      <c r="G2026" s="6" t="s">
        <v>425</v>
      </c>
      <c r="H2026" s="6"/>
      <c r="I2026" s="6"/>
      <c r="J2026" s="6"/>
      <c r="K2026" s="7" t="s">
        <v>1356</v>
      </c>
      <c r="L2026" s="8">
        <v>5490500</v>
      </c>
      <c r="M2026" s="8" t="str">
        <f t="shared" si="167"/>
        <v>PEN</v>
      </c>
      <c r="N2026" s="13"/>
      <c r="O2026" s="13">
        <v>7985.05</v>
      </c>
      <c r="P2026" s="3">
        <f t="shared" si="168"/>
        <v>7985.05</v>
      </c>
      <c r="Q2026" s="3">
        <f t="shared" si="169"/>
        <v>0</v>
      </c>
      <c r="R2026" s="3">
        <f t="shared" si="165"/>
        <v>70897.740000000005</v>
      </c>
      <c r="S2026" s="24" t="s">
        <v>1334</v>
      </c>
      <c r="T2026" s="24" t="s">
        <v>1334</v>
      </c>
      <c r="U2026" s="53"/>
      <c r="V2026" s="25">
        <f>IFERROR(VLOOKUP(BCP_Soles[[#This Row],[destinatario]],CHOOSE({1,2},Clientes_Proveedores[Razon Social],Clientes_Proveedores[Ruc / Dni]),2,0),"")</f>
        <v>20558226979</v>
      </c>
      <c r="W2026" s="25" t="s">
        <v>1345</v>
      </c>
      <c r="X2026" s="25"/>
      <c r="Y2026" s="25"/>
      <c r="Z2026" s="75"/>
      <c r="AA2026" s="3" t="str">
        <f>IF(BCP_Soles[[#This Row],[fecha]]&gt;0,TEXT(BCP_Soles[[#This Row],[fecha]],"mmmm"),0)</f>
        <v>Junio</v>
      </c>
    </row>
    <row r="2027" spans="1:27" ht="24" x14ac:dyDescent="0.3">
      <c r="A2027" s="2">
        <f>IF(BCP_Soles[[#This Row],[tipo_registro]]="R",COUNTIFS($C$1:$C2026,"R")+1,A2026)</f>
        <v>1515</v>
      </c>
      <c r="B2027" s="19" t="str">
        <f t="shared" si="166"/>
        <v>B-BCP - Soles</v>
      </c>
      <c r="C2027" s="3" t="s">
        <v>1352</v>
      </c>
      <c r="D2027" s="14">
        <v>45815</v>
      </c>
      <c r="E2027" s="5" t="s">
        <v>536</v>
      </c>
      <c r="F2027" s="5" t="s">
        <v>1303</v>
      </c>
      <c r="G2027" s="6" t="s">
        <v>425</v>
      </c>
      <c r="H2027" s="6" t="s">
        <v>119</v>
      </c>
      <c r="I2027" s="6">
        <v>1</v>
      </c>
      <c r="J2027" s="6">
        <v>4448</v>
      </c>
      <c r="K2027" s="7" t="s">
        <v>1356</v>
      </c>
      <c r="L2027" s="8">
        <v>5490500</v>
      </c>
      <c r="M2027" s="8" t="str">
        <f t="shared" si="167"/>
        <v>PEN</v>
      </c>
      <c r="N2027" s="13">
        <v>10</v>
      </c>
      <c r="O2027" s="13"/>
      <c r="P2027" s="3">
        <f t="shared" si="168"/>
        <v>0</v>
      </c>
      <c r="Q2027" s="3">
        <f t="shared" si="169"/>
        <v>0</v>
      </c>
      <c r="R2027" s="3">
        <f t="shared" si="165"/>
        <v>70897.740000000005</v>
      </c>
      <c r="S2027" s="24" t="s">
        <v>1334</v>
      </c>
      <c r="T2027" s="24" t="s">
        <v>1334</v>
      </c>
      <c r="U2027" s="53"/>
      <c r="V2027" s="25">
        <f>IFERROR(VLOOKUP(BCP_Soles[[#This Row],[destinatario]],CHOOSE({1,2},Clientes_Proveedores[Razon Social],Clientes_Proveedores[Ruc / Dni]),2,0),"")</f>
        <v>20558226979</v>
      </c>
      <c r="W2027" s="25" t="s">
        <v>1345</v>
      </c>
      <c r="X2027" s="25" t="s">
        <v>3163</v>
      </c>
      <c r="Y2027" s="25"/>
      <c r="Z2027" s="75"/>
      <c r="AA2027" s="3" t="str">
        <f>IF(BCP_Soles[[#This Row],[fecha]]&gt;0,TEXT(BCP_Soles[[#This Row],[fecha]],"mmmm"),0)</f>
        <v>Junio</v>
      </c>
    </row>
    <row r="2028" spans="1:27" ht="24" x14ac:dyDescent="0.3">
      <c r="A2028" s="2">
        <f>IF(BCP_Soles[[#This Row],[tipo_registro]]="R",COUNTIFS($C$1:$C2027,"R")+1,A2027)</f>
        <v>1515</v>
      </c>
      <c r="B2028" s="19" t="str">
        <f t="shared" si="166"/>
        <v>B-BCP - Soles</v>
      </c>
      <c r="C2028" s="3" t="s">
        <v>1352</v>
      </c>
      <c r="D2028" s="14">
        <v>45815</v>
      </c>
      <c r="E2028" s="5" t="s">
        <v>536</v>
      </c>
      <c r="F2028" s="5" t="s">
        <v>1303</v>
      </c>
      <c r="G2028" s="6" t="s">
        <v>425</v>
      </c>
      <c r="H2028" s="6" t="s">
        <v>119</v>
      </c>
      <c r="I2028" s="6">
        <v>1</v>
      </c>
      <c r="J2028" s="6">
        <v>4455</v>
      </c>
      <c r="K2028" s="7" t="s">
        <v>1356</v>
      </c>
      <c r="L2028" s="8">
        <v>5490500</v>
      </c>
      <c r="M2028" s="8" t="str">
        <f t="shared" si="167"/>
        <v>PEN</v>
      </c>
      <c r="N2028" s="13">
        <v>4992</v>
      </c>
      <c r="O2028" s="13"/>
      <c r="P2028" s="3">
        <f t="shared" si="168"/>
        <v>0</v>
      </c>
      <c r="Q2028" s="3">
        <f t="shared" si="169"/>
        <v>0</v>
      </c>
      <c r="R2028" s="3">
        <f t="shared" si="165"/>
        <v>70897.740000000005</v>
      </c>
      <c r="S2028" s="24" t="s">
        <v>1334</v>
      </c>
      <c r="T2028" s="24" t="s">
        <v>1334</v>
      </c>
      <c r="U2028" s="53"/>
      <c r="V2028" s="25">
        <f>IFERROR(VLOOKUP(BCP_Soles[[#This Row],[destinatario]],CHOOSE({1,2},Clientes_Proveedores[Razon Social],Clientes_Proveedores[Ruc / Dni]),2,0),"")</f>
        <v>20558226979</v>
      </c>
      <c r="W2028" s="25" t="s">
        <v>1345</v>
      </c>
      <c r="X2028" s="25" t="s">
        <v>3321</v>
      </c>
      <c r="Y2028" s="25"/>
      <c r="Z2028" s="75"/>
      <c r="AA2028" s="3" t="str">
        <f>IF(BCP_Soles[[#This Row],[fecha]]&gt;0,TEXT(BCP_Soles[[#This Row],[fecha]],"mmmm"),0)</f>
        <v>Junio</v>
      </c>
    </row>
    <row r="2029" spans="1:27" ht="24" x14ac:dyDescent="0.3">
      <c r="A2029" s="2">
        <f>IF(BCP_Soles[[#This Row],[tipo_registro]]="R",COUNTIFS($C$1:$C2028,"R")+1,A2028)</f>
        <v>1515</v>
      </c>
      <c r="B2029" s="19" t="str">
        <f t="shared" si="166"/>
        <v>B-BCP - Soles</v>
      </c>
      <c r="C2029" s="3" t="s">
        <v>1352</v>
      </c>
      <c r="D2029" s="14">
        <v>45815</v>
      </c>
      <c r="E2029" s="5" t="s">
        <v>536</v>
      </c>
      <c r="F2029" s="5" t="s">
        <v>1303</v>
      </c>
      <c r="G2029" s="6" t="s">
        <v>425</v>
      </c>
      <c r="H2029" s="6" t="s">
        <v>119</v>
      </c>
      <c r="I2029" s="6">
        <v>1</v>
      </c>
      <c r="J2029" s="6">
        <v>4470</v>
      </c>
      <c r="K2029" s="7" t="s">
        <v>1356</v>
      </c>
      <c r="L2029" s="8">
        <v>5490500</v>
      </c>
      <c r="M2029" s="8" t="str">
        <f t="shared" si="167"/>
        <v>PEN</v>
      </c>
      <c r="N2029" s="13">
        <v>2983.05</v>
      </c>
      <c r="O2029" s="13"/>
      <c r="P2029" s="3">
        <f t="shared" si="168"/>
        <v>0</v>
      </c>
      <c r="Q2029" s="3">
        <f t="shared" si="169"/>
        <v>0</v>
      </c>
      <c r="R2029" s="3">
        <f t="shared" si="165"/>
        <v>70897.740000000005</v>
      </c>
      <c r="S2029" s="24" t="s">
        <v>1334</v>
      </c>
      <c r="T2029" s="24" t="s">
        <v>1334</v>
      </c>
      <c r="U2029" s="53"/>
      <c r="V2029" s="25">
        <f>IFERROR(VLOOKUP(BCP_Soles[[#This Row],[destinatario]],CHOOSE({1,2},Clientes_Proveedores[Razon Social],Clientes_Proveedores[Ruc / Dni]),2,0),"")</f>
        <v>20558226979</v>
      </c>
      <c r="W2029" s="25" t="s">
        <v>1345</v>
      </c>
      <c r="X2029" s="25" t="s">
        <v>3322</v>
      </c>
      <c r="Y2029" s="25"/>
      <c r="Z2029" s="75"/>
      <c r="AA2029" s="3" t="str">
        <f>IF(BCP_Soles[[#This Row],[fecha]]&gt;0,TEXT(BCP_Soles[[#This Row],[fecha]],"mmmm"),0)</f>
        <v>Junio</v>
      </c>
    </row>
    <row r="2030" spans="1:27" ht="24" x14ac:dyDescent="0.3">
      <c r="A2030" s="2">
        <f>IF(BCP_Soles[[#This Row],[tipo_registro]]="R",COUNTIFS($C$1:$C2029,"R")+1,A2029)</f>
        <v>1516</v>
      </c>
      <c r="B2030" s="19" t="str">
        <f t="shared" si="166"/>
        <v>B-BCP - Soles</v>
      </c>
      <c r="C2030" s="3" t="s">
        <v>1330</v>
      </c>
      <c r="D2030" s="14">
        <v>45815</v>
      </c>
      <c r="E2030" s="5" t="s">
        <v>536</v>
      </c>
      <c r="F2030" s="5" t="s">
        <v>1303</v>
      </c>
      <c r="G2030" s="6" t="s">
        <v>425</v>
      </c>
      <c r="H2030" s="6" t="s">
        <v>119</v>
      </c>
      <c r="I2030" s="6">
        <v>1</v>
      </c>
      <c r="J2030" s="6">
        <v>4484</v>
      </c>
      <c r="K2030" s="7" t="s">
        <v>1356</v>
      </c>
      <c r="L2030" s="8">
        <v>2713577</v>
      </c>
      <c r="M2030" s="8" t="str">
        <f t="shared" si="167"/>
        <v>PEN</v>
      </c>
      <c r="N2030" s="13"/>
      <c r="O2030" s="13">
        <v>4959</v>
      </c>
      <c r="P2030" s="3">
        <f t="shared" si="168"/>
        <v>4959</v>
      </c>
      <c r="Q2030" s="3">
        <f t="shared" si="169"/>
        <v>0</v>
      </c>
      <c r="R2030" s="3">
        <f t="shared" si="165"/>
        <v>75856.740000000005</v>
      </c>
      <c r="S2030" s="24" t="s">
        <v>1334</v>
      </c>
      <c r="T2030" s="24" t="s">
        <v>1334</v>
      </c>
      <c r="U2030" s="53"/>
      <c r="V2030" s="25">
        <f>IFERROR(VLOOKUP(BCP_Soles[[#This Row],[destinatario]],CHOOSE({1,2},Clientes_Proveedores[Razon Social],Clientes_Proveedores[Ruc / Dni]),2,0),"")</f>
        <v>20558226979</v>
      </c>
      <c r="W2030" s="25"/>
      <c r="X2030" s="25" t="s">
        <v>3323</v>
      </c>
      <c r="Y2030" s="25"/>
      <c r="Z2030" s="75"/>
      <c r="AA2030" s="3" t="str">
        <f>IF(BCP_Soles[[#This Row],[fecha]]&gt;0,TEXT(BCP_Soles[[#This Row],[fecha]],"mmmm"),0)</f>
        <v>Junio</v>
      </c>
    </row>
    <row r="2031" spans="1:27" ht="36" x14ac:dyDescent="0.3">
      <c r="A2031" s="2">
        <f>IF(BCP_Soles[[#This Row],[tipo_registro]]="R",COUNTIFS($C$1:$C2030,"R")+1,A2030)</f>
        <v>1517</v>
      </c>
      <c r="B2031" s="19" t="str">
        <f t="shared" si="166"/>
        <v>B-BCP - Soles</v>
      </c>
      <c r="C2031" s="3" t="s">
        <v>1330</v>
      </c>
      <c r="D2031" s="14">
        <v>45815</v>
      </c>
      <c r="E2031" s="5" t="s">
        <v>660</v>
      </c>
      <c r="F2031" s="5" t="s">
        <v>1303</v>
      </c>
      <c r="G2031" s="6" t="s">
        <v>425</v>
      </c>
      <c r="H2031" s="6" t="s">
        <v>68</v>
      </c>
      <c r="I2031" s="6" t="s">
        <v>3302</v>
      </c>
      <c r="J2031" s="6">
        <v>58</v>
      </c>
      <c r="K2031" s="7" t="s">
        <v>1356</v>
      </c>
      <c r="L2031" s="8">
        <v>4436399</v>
      </c>
      <c r="M2031" s="8" t="str">
        <f t="shared" si="167"/>
        <v>PEN</v>
      </c>
      <c r="N2031" s="13"/>
      <c r="O2031" s="13">
        <v>649</v>
      </c>
      <c r="P2031" s="3">
        <f t="shared" si="168"/>
        <v>649</v>
      </c>
      <c r="Q2031" s="3">
        <f t="shared" si="169"/>
        <v>0</v>
      </c>
      <c r="R2031" s="3">
        <f t="shared" si="165"/>
        <v>76505.740000000005</v>
      </c>
      <c r="S2031" s="24" t="s">
        <v>1334</v>
      </c>
      <c r="T2031" s="24" t="s">
        <v>1334</v>
      </c>
      <c r="U2031" s="53"/>
      <c r="V2031" s="25">
        <f>IFERROR(VLOOKUP(BCP_Soles[[#This Row],[destinatario]],CHOOSE({1,2},Clientes_Proveedores[Razon Social],Clientes_Proveedores[Ruc / Dni]),2,0),"")</f>
        <v>20558226979</v>
      </c>
      <c r="W2031" s="25" t="s">
        <v>1345</v>
      </c>
      <c r="X2031" s="25" t="s">
        <v>3324</v>
      </c>
      <c r="Y2031" s="25"/>
      <c r="Z2031" s="75"/>
      <c r="AA2031" s="3" t="str">
        <f>IF(BCP_Soles[[#This Row],[fecha]]&gt;0,TEXT(BCP_Soles[[#This Row],[fecha]],"mmmm"),0)</f>
        <v>Junio</v>
      </c>
    </row>
    <row r="2032" spans="1:27" x14ac:dyDescent="0.3">
      <c r="A2032" s="2">
        <f>IF(BCP_Soles[[#This Row],[tipo_registro]]="R",COUNTIFS($C$1:$C2031,"R")+1,A2031)</f>
        <v>1518</v>
      </c>
      <c r="B2032" s="19" t="str">
        <f t="shared" si="166"/>
        <v>B-BCP - Soles</v>
      </c>
      <c r="C2032" s="3" t="s">
        <v>1330</v>
      </c>
      <c r="D2032" s="14">
        <v>45816</v>
      </c>
      <c r="E2032" s="5" t="s">
        <v>1335</v>
      </c>
      <c r="F2032" s="5" t="s">
        <v>1336</v>
      </c>
      <c r="G2032" s="6"/>
      <c r="H2032" s="6"/>
      <c r="I2032" s="6"/>
      <c r="J2032" s="6"/>
      <c r="K2032" s="7" t="s">
        <v>3160</v>
      </c>
      <c r="L2032" s="8"/>
      <c r="M2032" s="8" t="str">
        <f t="shared" si="167"/>
        <v>PEN</v>
      </c>
      <c r="N2032" s="13"/>
      <c r="O2032" s="13">
        <v>0.55000000000000004</v>
      </c>
      <c r="P2032" s="3">
        <f t="shared" si="168"/>
        <v>0</v>
      </c>
      <c r="Q2032" s="3">
        <f t="shared" si="169"/>
        <v>0.55000000000000004</v>
      </c>
      <c r="R2032" s="3">
        <f t="shared" si="165"/>
        <v>76505.19</v>
      </c>
      <c r="S2032" s="24"/>
      <c r="T2032" s="24" t="s">
        <v>1334</v>
      </c>
      <c r="U2032" s="53"/>
      <c r="V2032" s="25" t="str">
        <f>IFERROR(VLOOKUP(BCP_Soles[[#This Row],[destinatario]],CHOOSE({1,2},Clientes_Proveedores[Razon Social],Clientes_Proveedores[Ruc / Dni]),2,0),"")</f>
        <v/>
      </c>
      <c r="W2032" s="25"/>
      <c r="X2032" s="25"/>
      <c r="Y2032" s="25"/>
      <c r="Z2032" s="75"/>
      <c r="AA2032" s="3" t="str">
        <f>IF(BCP_Soles[[#This Row],[fecha]]&gt;0,TEXT(BCP_Soles[[#This Row],[fecha]],"mmmm"),0)</f>
        <v>Junio</v>
      </c>
    </row>
    <row r="2033" spans="1:27" ht="60" x14ac:dyDescent="0.3">
      <c r="A2033" s="2">
        <f>IF(BCP_Soles[[#This Row],[tipo_registro]]="R",COUNTIFS($C$1:$C2032,"R")+1,A2032)</f>
        <v>1519</v>
      </c>
      <c r="B2033" s="19" t="str">
        <f t="shared" si="166"/>
        <v>B-BCP - Soles</v>
      </c>
      <c r="C2033" s="3" t="s">
        <v>1330</v>
      </c>
      <c r="D2033" s="14">
        <v>45817</v>
      </c>
      <c r="E2033" s="5" t="s">
        <v>295</v>
      </c>
      <c r="F2033" s="5" t="s">
        <v>1303</v>
      </c>
      <c r="G2033" s="6" t="s">
        <v>425</v>
      </c>
      <c r="H2033" s="6" t="s">
        <v>68</v>
      </c>
      <c r="I2033" s="6" t="s">
        <v>3302</v>
      </c>
      <c r="J2033" s="6">
        <v>46</v>
      </c>
      <c r="K2033" s="7" t="s">
        <v>1428</v>
      </c>
      <c r="L2033" s="8">
        <v>2175656</v>
      </c>
      <c r="M2033" s="8" t="str">
        <f t="shared" si="167"/>
        <v>PEN</v>
      </c>
      <c r="N2033" s="13"/>
      <c r="O2033" s="13">
        <v>1011.44</v>
      </c>
      <c r="P2033" s="3">
        <f t="shared" si="168"/>
        <v>1011.44</v>
      </c>
      <c r="Q2033" s="3">
        <f t="shared" si="169"/>
        <v>0</v>
      </c>
      <c r="R2033" s="3">
        <f t="shared" si="165"/>
        <v>77516.63</v>
      </c>
      <c r="S2033" s="24" t="s">
        <v>1334</v>
      </c>
      <c r="T2033" s="24" t="s">
        <v>1334</v>
      </c>
      <c r="U2033" s="53"/>
      <c r="V2033" s="25">
        <f>IFERROR(VLOOKUP(BCP_Soles[[#This Row],[destinatario]],CHOOSE({1,2},Clientes_Proveedores[Razon Social],Clientes_Proveedores[Ruc / Dni]),2,0),"")</f>
        <v>20558226979</v>
      </c>
      <c r="W2033" s="25" t="s">
        <v>1345</v>
      </c>
      <c r="X2033" s="25" t="s">
        <v>3325</v>
      </c>
      <c r="Y2033" s="25"/>
      <c r="Z2033" s="75"/>
      <c r="AA2033" s="3" t="str">
        <f>IF(BCP_Soles[[#This Row],[fecha]]&gt;0,TEXT(BCP_Soles[[#This Row],[fecha]],"mmmm"),0)</f>
        <v>Junio</v>
      </c>
    </row>
    <row r="2034" spans="1:27" ht="24" x14ac:dyDescent="0.3">
      <c r="A2034" s="2">
        <f>IF(BCP_Soles[[#This Row],[tipo_registro]]="R",COUNTIFS($C$1:$C2033,"R")+1,A2033)</f>
        <v>1520</v>
      </c>
      <c r="B2034" s="19" t="str">
        <f t="shared" si="166"/>
        <v>B-BCP - Soles</v>
      </c>
      <c r="C2034" s="3" t="s">
        <v>1330</v>
      </c>
      <c r="D2034" s="14">
        <v>45817</v>
      </c>
      <c r="E2034" s="5" t="s">
        <v>1331</v>
      </c>
      <c r="F2034" s="5" t="s">
        <v>1336</v>
      </c>
      <c r="G2034" s="6" t="s">
        <v>997</v>
      </c>
      <c r="H2034" s="6" t="s">
        <v>143</v>
      </c>
      <c r="I2034" s="6">
        <v>1</v>
      </c>
      <c r="J2034" s="6"/>
      <c r="K2034" s="7" t="s">
        <v>3326</v>
      </c>
      <c r="L2034" s="8">
        <v>1198140</v>
      </c>
      <c r="M2034" s="8" t="str">
        <f t="shared" si="167"/>
        <v>PEN</v>
      </c>
      <c r="N2034" s="13"/>
      <c r="O2034" s="13">
        <v>560</v>
      </c>
      <c r="P2034" s="3">
        <f t="shared" si="168"/>
        <v>0</v>
      </c>
      <c r="Q2034" s="3">
        <f t="shared" si="169"/>
        <v>560</v>
      </c>
      <c r="R2034" s="3">
        <f t="shared" si="165"/>
        <v>76956.63</v>
      </c>
      <c r="S2034" s="24"/>
      <c r="T2034" s="24"/>
      <c r="U2034" s="53"/>
      <c r="V2034" s="25">
        <f>IFERROR(VLOOKUP(BCP_Soles[[#This Row],[destinatario]],CHOOSE({1,2},Clientes_Proveedores[Razon Social],Clientes_Proveedores[Ruc / Dni]),2,0),"")</f>
        <v>71334789</v>
      </c>
      <c r="W2034" s="25" t="s">
        <v>997</v>
      </c>
      <c r="X2034" s="25"/>
      <c r="Y2034" s="25"/>
      <c r="Z2034" s="75"/>
      <c r="AA2034" s="3" t="str">
        <f>IF(BCP_Soles[[#This Row],[fecha]]&gt;0,TEXT(BCP_Soles[[#This Row],[fecha]],"mmmm"),0)</f>
        <v>Junio</v>
      </c>
    </row>
    <row r="2035" spans="1:27" ht="36" x14ac:dyDescent="0.3">
      <c r="A2035" s="2">
        <f>IF(BCP_Soles[[#This Row],[tipo_registro]]="R",COUNTIFS($C$1:$C2034,"R")+1,A2034)</f>
        <v>1521</v>
      </c>
      <c r="B2035" s="19" t="str">
        <f t="shared" si="166"/>
        <v>B-BCP - Soles</v>
      </c>
      <c r="C2035" s="3" t="s">
        <v>1330</v>
      </c>
      <c r="D2035" s="14">
        <v>45817</v>
      </c>
      <c r="E2035" s="5" t="s">
        <v>1331</v>
      </c>
      <c r="F2035" s="5" t="s">
        <v>1336</v>
      </c>
      <c r="G2035" s="6" t="s">
        <v>497</v>
      </c>
      <c r="H2035" s="6" t="s">
        <v>68</v>
      </c>
      <c r="I2035" s="6" t="s">
        <v>1390</v>
      </c>
      <c r="J2035" s="6">
        <v>19737</v>
      </c>
      <c r="K2035" s="7" t="s">
        <v>3327</v>
      </c>
      <c r="L2035" s="8">
        <v>1196185</v>
      </c>
      <c r="M2035" s="8" t="str">
        <f t="shared" si="167"/>
        <v>PEN</v>
      </c>
      <c r="N2035" s="13"/>
      <c r="O2035" s="13">
        <v>505</v>
      </c>
      <c r="P2035" s="3">
        <f t="shared" si="168"/>
        <v>0</v>
      </c>
      <c r="Q2035" s="3">
        <f t="shared" si="169"/>
        <v>505</v>
      </c>
      <c r="R2035" s="3">
        <f t="shared" si="165"/>
        <v>76451.63</v>
      </c>
      <c r="S2035" s="24" t="s">
        <v>1334</v>
      </c>
      <c r="T2035" s="24" t="s">
        <v>1334</v>
      </c>
      <c r="U2035" s="53"/>
      <c r="V2035" s="25">
        <f>IFERROR(VLOOKUP(BCP_Soles[[#This Row],[destinatario]],CHOOSE({1,2},Clientes_Proveedores[Razon Social],Clientes_Proveedores[Ruc / Dni]),2,0),"")</f>
        <v>20602810497</v>
      </c>
      <c r="W2035" s="25" t="s">
        <v>1591</v>
      </c>
      <c r="X2035" s="25" t="s">
        <v>3328</v>
      </c>
      <c r="Y2035" s="25"/>
      <c r="Z2035" s="75"/>
      <c r="AA2035" s="3" t="str">
        <f>IF(BCP_Soles[[#This Row],[fecha]]&gt;0,TEXT(BCP_Soles[[#This Row],[fecha]],"mmmm"),0)</f>
        <v>Junio</v>
      </c>
    </row>
    <row r="2036" spans="1:27" ht="24" x14ac:dyDescent="0.3">
      <c r="A2036" s="2">
        <f>IF(BCP_Soles[[#This Row],[tipo_registro]]="R",COUNTIFS($C$1:$C2035,"R")+1,A2035)</f>
        <v>1522</v>
      </c>
      <c r="B2036" s="19" t="str">
        <f t="shared" si="166"/>
        <v>B-BCP - Soles</v>
      </c>
      <c r="C2036" s="3" t="s">
        <v>1330</v>
      </c>
      <c r="D2036" s="14">
        <v>45817</v>
      </c>
      <c r="E2036" s="5" t="s">
        <v>1331</v>
      </c>
      <c r="F2036" s="5" t="s">
        <v>1336</v>
      </c>
      <c r="G2036" s="6" t="s">
        <v>970</v>
      </c>
      <c r="H2036" s="6" t="s">
        <v>68</v>
      </c>
      <c r="I2036" s="6" t="s">
        <v>1376</v>
      </c>
      <c r="J2036" s="6">
        <v>1682</v>
      </c>
      <c r="K2036" s="7" t="s">
        <v>3329</v>
      </c>
      <c r="L2036" s="8">
        <v>1199552</v>
      </c>
      <c r="M2036" s="8" t="str">
        <f t="shared" si="167"/>
        <v>PEN</v>
      </c>
      <c r="N2036" s="13"/>
      <c r="O2036" s="13">
        <v>90</v>
      </c>
      <c r="P2036" s="3">
        <f t="shared" si="168"/>
        <v>0</v>
      </c>
      <c r="Q2036" s="3">
        <f t="shared" si="169"/>
        <v>90</v>
      </c>
      <c r="R2036" s="3">
        <f t="shared" si="165"/>
        <v>76361.63</v>
      </c>
      <c r="S2036" s="24" t="s">
        <v>1334</v>
      </c>
      <c r="T2036" s="24" t="s">
        <v>1334</v>
      </c>
      <c r="U2036" s="53"/>
      <c r="V2036" s="25">
        <f>IFERROR(VLOOKUP(BCP_Soles[[#This Row],[destinatario]],CHOOSE({1,2},Clientes_Proveedores[Razon Social],Clientes_Proveedores[Ruc / Dni]),2,0),"")</f>
        <v>10297207330</v>
      </c>
      <c r="W2036" s="25" t="s">
        <v>2876</v>
      </c>
      <c r="X2036" s="25" t="s">
        <v>3330</v>
      </c>
      <c r="Y2036" s="25"/>
      <c r="Z2036" s="75"/>
      <c r="AA2036" s="3" t="str">
        <f>IF(BCP_Soles[[#This Row],[fecha]]&gt;0,TEXT(BCP_Soles[[#This Row],[fecha]],"mmmm"),0)</f>
        <v>Junio</v>
      </c>
    </row>
    <row r="2037" spans="1:27" ht="24" x14ac:dyDescent="0.3">
      <c r="A2037" s="2">
        <f>IF(BCP_Soles[[#This Row],[tipo_registro]]="R",COUNTIFS($C$1:$C2036,"R")+1,A2036)</f>
        <v>1523</v>
      </c>
      <c r="B2037" s="19" t="str">
        <f t="shared" si="166"/>
        <v>B-BCP - Soles</v>
      </c>
      <c r="C2037" s="3" t="s">
        <v>1330</v>
      </c>
      <c r="D2037" s="14">
        <v>45817</v>
      </c>
      <c r="E2037" s="5" t="s">
        <v>1331</v>
      </c>
      <c r="F2037" s="5" t="s">
        <v>1336</v>
      </c>
      <c r="G2037" s="6" t="s">
        <v>267</v>
      </c>
      <c r="H2037" s="6" t="s">
        <v>68</v>
      </c>
      <c r="I2037" s="6" t="s">
        <v>1977</v>
      </c>
      <c r="J2037" s="6">
        <v>26653</v>
      </c>
      <c r="K2037" s="7" t="s">
        <v>3331</v>
      </c>
      <c r="L2037" s="8">
        <v>1196681</v>
      </c>
      <c r="M2037" s="8" t="str">
        <f t="shared" si="167"/>
        <v>PEN</v>
      </c>
      <c r="N2037" s="13"/>
      <c r="O2037" s="13">
        <v>1961.42</v>
      </c>
      <c r="P2037" s="3">
        <f t="shared" si="168"/>
        <v>0</v>
      </c>
      <c r="Q2037" s="3">
        <f t="shared" si="169"/>
        <v>1961.42</v>
      </c>
      <c r="R2037" s="3">
        <f t="shared" si="165"/>
        <v>74400.210000000006</v>
      </c>
      <c r="S2037" s="24" t="s">
        <v>1334</v>
      </c>
      <c r="T2037" s="24" t="s">
        <v>1334</v>
      </c>
      <c r="U2037" s="53"/>
      <c r="V2037" s="25">
        <f>IFERROR(VLOOKUP(BCP_Soles[[#This Row],[destinatario]],CHOOSE({1,2},Clientes_Proveedores[Razon Social],Clientes_Proveedores[Ruc / Dni]),2,0),"")</f>
        <v>20413666130</v>
      </c>
      <c r="W2037" s="25" t="s">
        <v>1979</v>
      </c>
      <c r="X2037" s="25" t="s">
        <v>3332</v>
      </c>
      <c r="Y2037" s="25"/>
      <c r="Z2037" s="75"/>
      <c r="AA2037" s="3" t="str">
        <f>IF(BCP_Soles[[#This Row],[fecha]]&gt;0,TEXT(BCP_Soles[[#This Row],[fecha]],"mmmm"),0)</f>
        <v>Junio</v>
      </c>
    </row>
    <row r="2038" spans="1:27" x14ac:dyDescent="0.3">
      <c r="A2038" s="2">
        <f>IF(BCP_Soles[[#This Row],[tipo_registro]]="R",COUNTIFS($C$1:$C2037,"R")+1,A2037)</f>
        <v>1524</v>
      </c>
      <c r="B2038" s="19" t="str">
        <f t="shared" si="166"/>
        <v>B-BCP - Soles</v>
      </c>
      <c r="C2038" s="3" t="s">
        <v>1330</v>
      </c>
      <c r="D2038" s="14">
        <v>45817</v>
      </c>
      <c r="E2038" s="5" t="s">
        <v>1331</v>
      </c>
      <c r="F2038" s="5" t="s">
        <v>1336</v>
      </c>
      <c r="G2038" s="6" t="s">
        <v>696</v>
      </c>
      <c r="H2038" s="6"/>
      <c r="I2038" s="6"/>
      <c r="J2038" s="6"/>
      <c r="K2038" s="7" t="s">
        <v>3333</v>
      </c>
      <c r="L2038" s="8">
        <v>5615367</v>
      </c>
      <c r="M2038" s="8" t="str">
        <f t="shared" si="167"/>
        <v>PEN</v>
      </c>
      <c r="N2038" s="13"/>
      <c r="O2038" s="13">
        <v>16176.4</v>
      </c>
      <c r="P2038" s="3">
        <f t="shared" si="168"/>
        <v>0</v>
      </c>
      <c r="Q2038" s="3">
        <f t="shared" si="169"/>
        <v>16176.4</v>
      </c>
      <c r="R2038" s="3">
        <f t="shared" si="165"/>
        <v>58223.810000000005</v>
      </c>
      <c r="S2038" s="24" t="s">
        <v>1334</v>
      </c>
      <c r="T2038" s="24" t="s">
        <v>1334</v>
      </c>
      <c r="U2038" s="53"/>
      <c r="V2038" s="25">
        <f>IFERROR(VLOOKUP(BCP_Soles[[#This Row],[destinatario]],CHOOSE({1,2},Clientes_Proveedores[Razon Social],Clientes_Proveedores[Ruc / Dni]),2,0),"")</f>
        <v>0</v>
      </c>
      <c r="W2038" s="25" t="s">
        <v>1373</v>
      </c>
      <c r="X2038" s="25"/>
      <c r="Y2038" s="25"/>
      <c r="Z2038" s="75"/>
      <c r="AA2038" s="3" t="str">
        <f>IF(BCP_Soles[[#This Row],[fecha]]&gt;0,TEXT(BCP_Soles[[#This Row],[fecha]],"mmmm"),0)</f>
        <v>Junio</v>
      </c>
    </row>
    <row r="2039" spans="1:27" x14ac:dyDescent="0.3">
      <c r="A2039" s="2">
        <f>IF(BCP_Soles[[#This Row],[tipo_registro]]="R",COUNTIFS($C$1:$C2038,"R")+1,A2038)</f>
        <v>1524</v>
      </c>
      <c r="B2039" s="19" t="str">
        <f t="shared" si="166"/>
        <v>B-BCP - Soles</v>
      </c>
      <c r="C2039" s="3" t="s">
        <v>1352</v>
      </c>
      <c r="D2039" s="14">
        <v>45817</v>
      </c>
      <c r="E2039" s="5" t="s">
        <v>1331</v>
      </c>
      <c r="F2039" s="5"/>
      <c r="G2039" s="6" t="s">
        <v>346</v>
      </c>
      <c r="H2039" s="6" t="s">
        <v>68</v>
      </c>
      <c r="I2039" s="6" t="s">
        <v>1461</v>
      </c>
      <c r="J2039" s="6">
        <v>41511</v>
      </c>
      <c r="K2039" s="7" t="s">
        <v>3333</v>
      </c>
      <c r="L2039" s="8">
        <v>5615367</v>
      </c>
      <c r="M2039" s="8" t="str">
        <f t="shared" si="167"/>
        <v>PEN</v>
      </c>
      <c r="N2039" s="13">
        <v>2326.0100000000002</v>
      </c>
      <c r="O2039" s="13"/>
      <c r="P2039" s="3">
        <f t="shared" si="168"/>
        <v>0</v>
      </c>
      <c r="Q2039" s="3">
        <f t="shared" si="169"/>
        <v>0</v>
      </c>
      <c r="R2039" s="3">
        <f t="shared" si="165"/>
        <v>58223.810000000005</v>
      </c>
      <c r="S2039" s="24"/>
      <c r="T2039" s="24" t="s">
        <v>1334</v>
      </c>
      <c r="U2039" s="53"/>
      <c r="V2039" s="25">
        <f>IFERROR(VLOOKUP(BCP_Soles[[#This Row],[destinatario]],CHOOSE({1,2},Clientes_Proveedores[Razon Social],Clientes_Proveedores[Ruc / Dni]),2,0),"")</f>
        <v>20505675836</v>
      </c>
      <c r="W2039" s="25"/>
      <c r="X2039" s="25"/>
      <c r="Y2039" s="25"/>
      <c r="Z2039" s="75"/>
      <c r="AA2039" s="3" t="str">
        <f>IF(BCP_Soles[[#This Row],[fecha]]&gt;0,TEXT(BCP_Soles[[#This Row],[fecha]],"mmmm"),0)</f>
        <v>Junio</v>
      </c>
    </row>
    <row r="2040" spans="1:27" x14ac:dyDescent="0.3">
      <c r="A2040" s="2">
        <f>IF(BCP_Soles[[#This Row],[tipo_registro]]="R",COUNTIFS($C$1:$C2039,"R")+1,A2039)</f>
        <v>1524</v>
      </c>
      <c r="B2040" s="19" t="str">
        <f t="shared" si="166"/>
        <v>B-BCP - Soles</v>
      </c>
      <c r="C2040" s="3" t="s">
        <v>1352</v>
      </c>
      <c r="D2040" s="14">
        <v>45817</v>
      </c>
      <c r="E2040" s="5" t="s">
        <v>1331</v>
      </c>
      <c r="F2040" s="5"/>
      <c r="G2040" s="6" t="s">
        <v>346</v>
      </c>
      <c r="H2040" s="6" t="s">
        <v>68</v>
      </c>
      <c r="I2040" s="6" t="s">
        <v>1461</v>
      </c>
      <c r="J2040" s="6">
        <v>41510</v>
      </c>
      <c r="K2040" s="7" t="s">
        <v>3333</v>
      </c>
      <c r="L2040" s="8">
        <v>5615367</v>
      </c>
      <c r="M2040" s="8" t="str">
        <f t="shared" si="167"/>
        <v>PEN</v>
      </c>
      <c r="N2040" s="13">
        <v>10814.4</v>
      </c>
      <c r="O2040" s="13"/>
      <c r="P2040" s="3">
        <f t="shared" si="168"/>
        <v>0</v>
      </c>
      <c r="Q2040" s="3">
        <f t="shared" si="169"/>
        <v>0</v>
      </c>
      <c r="R2040" s="3">
        <f t="shared" si="165"/>
        <v>58223.810000000005</v>
      </c>
      <c r="S2040" s="24"/>
      <c r="T2040" s="24" t="s">
        <v>1334</v>
      </c>
      <c r="U2040" s="53"/>
      <c r="V2040" s="25">
        <f>IFERROR(VLOOKUP(BCP_Soles[[#This Row],[destinatario]],CHOOSE({1,2},Clientes_Proveedores[Razon Social],Clientes_Proveedores[Ruc / Dni]),2,0),"")</f>
        <v>20505675836</v>
      </c>
      <c r="W2040" s="25"/>
      <c r="X2040" s="25"/>
      <c r="Y2040" s="25"/>
      <c r="Z2040" s="75"/>
      <c r="AA2040" s="3" t="str">
        <f>IF(BCP_Soles[[#This Row],[fecha]]&gt;0,TEXT(BCP_Soles[[#This Row],[fecha]],"mmmm"),0)</f>
        <v>Junio</v>
      </c>
    </row>
    <row r="2041" spans="1:27" x14ac:dyDescent="0.3">
      <c r="A2041" s="2">
        <f>IF(BCP_Soles[[#This Row],[tipo_registro]]="R",COUNTIFS($C$1:$C2040,"R")+1,A2040)</f>
        <v>1524</v>
      </c>
      <c r="B2041" s="19" t="str">
        <f t="shared" si="166"/>
        <v>B-BCP - Soles</v>
      </c>
      <c r="C2041" s="3" t="s">
        <v>1352</v>
      </c>
      <c r="D2041" s="14">
        <v>45817</v>
      </c>
      <c r="E2041" s="5" t="s">
        <v>1331</v>
      </c>
      <c r="F2041" s="5"/>
      <c r="G2041" s="6" t="s">
        <v>346</v>
      </c>
      <c r="H2041" s="6" t="s">
        <v>68</v>
      </c>
      <c r="I2041" s="6" t="s">
        <v>1461</v>
      </c>
      <c r="J2041" s="6">
        <v>41594</v>
      </c>
      <c r="K2041" s="7" t="s">
        <v>3333</v>
      </c>
      <c r="L2041" s="8">
        <v>5615367</v>
      </c>
      <c r="M2041" s="8" t="str">
        <f t="shared" si="167"/>
        <v>PEN</v>
      </c>
      <c r="N2041" s="13">
        <v>1596.39</v>
      </c>
      <c r="O2041" s="13"/>
      <c r="P2041" s="3">
        <f t="shared" si="168"/>
        <v>0</v>
      </c>
      <c r="Q2041" s="3">
        <f t="shared" si="169"/>
        <v>0</v>
      </c>
      <c r="R2041" s="3">
        <f t="shared" si="165"/>
        <v>58223.810000000005</v>
      </c>
      <c r="S2041" s="24"/>
      <c r="T2041" s="24" t="s">
        <v>1334</v>
      </c>
      <c r="U2041" s="53"/>
      <c r="V2041" s="25">
        <f>IFERROR(VLOOKUP(BCP_Soles[[#This Row],[destinatario]],CHOOSE({1,2},Clientes_Proveedores[Razon Social],Clientes_Proveedores[Ruc / Dni]),2,0),"")</f>
        <v>20505675836</v>
      </c>
      <c r="W2041" s="25"/>
      <c r="X2041" s="25"/>
      <c r="Y2041" s="25"/>
      <c r="Z2041" s="75"/>
      <c r="AA2041" s="3" t="str">
        <f>IF(BCP_Soles[[#This Row],[fecha]]&gt;0,TEXT(BCP_Soles[[#This Row],[fecha]],"mmmm"),0)</f>
        <v>Junio</v>
      </c>
    </row>
    <row r="2042" spans="1:27" x14ac:dyDescent="0.3">
      <c r="A2042" s="2">
        <f>IF(BCP_Soles[[#This Row],[tipo_registro]]="R",COUNTIFS($C$1:$C2041,"R")+1,A2041)</f>
        <v>1524</v>
      </c>
      <c r="B2042" s="19" t="str">
        <f t="shared" si="166"/>
        <v>B-BCP - Soles</v>
      </c>
      <c r="C2042" s="3" t="s">
        <v>1352</v>
      </c>
      <c r="D2042" s="14">
        <v>45817</v>
      </c>
      <c r="E2042" s="5" t="s">
        <v>1331</v>
      </c>
      <c r="F2042" s="5"/>
      <c r="G2042" s="6" t="s">
        <v>346</v>
      </c>
      <c r="H2042" s="6" t="s">
        <v>68</v>
      </c>
      <c r="I2042" s="6" t="s">
        <v>1461</v>
      </c>
      <c r="J2042" s="6">
        <v>41595</v>
      </c>
      <c r="K2042" s="7" t="s">
        <v>3333</v>
      </c>
      <c r="L2042" s="8">
        <v>5615367</v>
      </c>
      <c r="M2042" s="8" t="str">
        <f t="shared" si="167"/>
        <v>PEN</v>
      </c>
      <c r="N2042" s="13">
        <v>888.6</v>
      </c>
      <c r="O2042" s="13"/>
      <c r="P2042" s="3">
        <f t="shared" si="168"/>
        <v>0</v>
      </c>
      <c r="Q2042" s="3">
        <f t="shared" si="169"/>
        <v>0</v>
      </c>
      <c r="R2042" s="3">
        <f t="shared" si="165"/>
        <v>58223.810000000005</v>
      </c>
      <c r="S2042" s="24"/>
      <c r="T2042" s="24" t="s">
        <v>1334</v>
      </c>
      <c r="U2042" s="53"/>
      <c r="V2042" s="25">
        <f>IFERROR(VLOOKUP(BCP_Soles[[#This Row],[destinatario]],CHOOSE({1,2},Clientes_Proveedores[Razon Social],Clientes_Proveedores[Ruc / Dni]),2,0),"")</f>
        <v>20505675836</v>
      </c>
      <c r="W2042" s="25"/>
      <c r="X2042" s="25"/>
      <c r="Y2042" s="25"/>
      <c r="Z2042" s="75"/>
      <c r="AA2042" s="3" t="str">
        <f>IF(BCP_Soles[[#This Row],[fecha]]&gt;0,TEXT(BCP_Soles[[#This Row],[fecha]],"mmmm"),0)</f>
        <v>Junio</v>
      </c>
    </row>
    <row r="2043" spans="1:27" ht="36" x14ac:dyDescent="0.3">
      <c r="A2043" s="2">
        <f>IF(BCP_Soles[[#This Row],[tipo_registro]]="R",COUNTIFS($C$1:$C2042,"R")+1,A2042)</f>
        <v>1524</v>
      </c>
      <c r="B2043" s="19" t="str">
        <f t="shared" si="166"/>
        <v>B-BCP - Soles</v>
      </c>
      <c r="C2043" s="3" t="s">
        <v>1352</v>
      </c>
      <c r="D2043" s="14">
        <v>45817</v>
      </c>
      <c r="E2043" s="5" t="s">
        <v>1331</v>
      </c>
      <c r="F2043" s="5"/>
      <c r="G2043" s="6" t="s">
        <v>265</v>
      </c>
      <c r="H2043" s="6" t="s">
        <v>68</v>
      </c>
      <c r="I2043" s="6" t="s">
        <v>3004</v>
      </c>
      <c r="J2043" s="6">
        <v>19288</v>
      </c>
      <c r="K2043" s="7" t="s">
        <v>3333</v>
      </c>
      <c r="L2043" s="8">
        <v>5615367</v>
      </c>
      <c r="M2043" s="8" t="str">
        <f t="shared" si="167"/>
        <v>PEN</v>
      </c>
      <c r="N2043" s="13">
        <v>551</v>
      </c>
      <c r="O2043" s="13"/>
      <c r="P2043" s="3">
        <f t="shared" si="168"/>
        <v>0</v>
      </c>
      <c r="Q2043" s="3">
        <f t="shared" si="169"/>
        <v>0</v>
      </c>
      <c r="R2043" s="3">
        <f t="shared" si="165"/>
        <v>58223.810000000005</v>
      </c>
      <c r="S2043" s="24"/>
      <c r="T2043" s="24" t="s">
        <v>1334</v>
      </c>
      <c r="U2043" s="53"/>
      <c r="V2043" s="25">
        <f>IFERROR(VLOOKUP(BCP_Soles[[#This Row],[destinatario]],CHOOSE({1,2},Clientes_Proveedores[Razon Social],Clientes_Proveedores[Ruc / Dni]),2,0),"")</f>
        <v>20412524218</v>
      </c>
      <c r="W2043" s="25"/>
      <c r="X2043" s="25"/>
      <c r="Y2043" s="25"/>
      <c r="Z2043" s="75"/>
      <c r="AA2043" s="3" t="str">
        <f>IF(BCP_Soles[[#This Row],[fecha]]&gt;0,TEXT(BCP_Soles[[#This Row],[fecha]],"mmmm"),0)</f>
        <v>Junio</v>
      </c>
    </row>
    <row r="2044" spans="1:27" x14ac:dyDescent="0.3">
      <c r="A2044" s="2">
        <f>IF(BCP_Soles[[#This Row],[tipo_registro]]="R",COUNTIFS($C$1:$C2043,"R")+1,A2043)</f>
        <v>1525</v>
      </c>
      <c r="B2044" s="19" t="str">
        <f t="shared" si="166"/>
        <v>B-BCP - Soles</v>
      </c>
      <c r="C2044" s="3" t="s">
        <v>1330</v>
      </c>
      <c r="D2044" s="14">
        <v>45817</v>
      </c>
      <c r="E2044" s="5" t="s">
        <v>1335</v>
      </c>
      <c r="F2044" s="5" t="s">
        <v>1336</v>
      </c>
      <c r="G2044" s="6"/>
      <c r="H2044" s="6"/>
      <c r="I2044" s="6"/>
      <c r="J2044" s="6"/>
      <c r="K2044" s="7" t="s">
        <v>3160</v>
      </c>
      <c r="L2044" s="8"/>
      <c r="M2044" s="8" t="str">
        <f t="shared" si="167"/>
        <v>PEN</v>
      </c>
      <c r="N2044" s="13"/>
      <c r="O2044" s="13">
        <v>0.9</v>
      </c>
      <c r="P2044" s="3">
        <f t="shared" si="168"/>
        <v>0</v>
      </c>
      <c r="Q2044" s="3">
        <f t="shared" si="169"/>
        <v>0.9</v>
      </c>
      <c r="R2044" s="3">
        <f t="shared" si="165"/>
        <v>58222.91</v>
      </c>
      <c r="S2044" s="24"/>
      <c r="T2044" s="24" t="s">
        <v>1334</v>
      </c>
      <c r="U2044" s="53"/>
      <c r="V2044" s="25" t="str">
        <f>IFERROR(VLOOKUP(BCP_Soles[[#This Row],[destinatario]],CHOOSE({1,2},Clientes_Proveedores[Razon Social],Clientes_Proveedores[Ruc / Dni]),2,0),"")</f>
        <v/>
      </c>
      <c r="W2044" s="25"/>
      <c r="X2044" s="25"/>
      <c r="Y2044" s="25"/>
      <c r="Z2044" s="75"/>
      <c r="AA2044" s="3" t="str">
        <f>IF(BCP_Soles[[#This Row],[fecha]]&gt;0,TEXT(BCP_Soles[[#This Row],[fecha]],"mmmm"),0)</f>
        <v>Junio</v>
      </c>
    </row>
    <row r="2045" spans="1:27" ht="36" x14ac:dyDescent="0.3">
      <c r="A2045" s="2">
        <f>IF(BCP_Soles[[#This Row],[tipo_registro]]="R",COUNTIFS($C$1:$C2044,"R")+1,A2044)</f>
        <v>1526</v>
      </c>
      <c r="B2045" s="19" t="str">
        <f t="shared" si="166"/>
        <v>B-BCP - Soles</v>
      </c>
      <c r="C2045" s="3" t="s">
        <v>1330</v>
      </c>
      <c r="D2045" s="14">
        <v>45818</v>
      </c>
      <c r="E2045" s="5" t="s">
        <v>237</v>
      </c>
      <c r="F2045" s="5" t="s">
        <v>1303</v>
      </c>
      <c r="G2045" s="6" t="s">
        <v>425</v>
      </c>
      <c r="H2045" s="6"/>
      <c r="I2045" s="6"/>
      <c r="J2045" s="6"/>
      <c r="K2045" s="7" t="s">
        <v>2946</v>
      </c>
      <c r="L2045" s="8">
        <v>5975940</v>
      </c>
      <c r="M2045" s="8" t="str">
        <f t="shared" si="167"/>
        <v>PEN</v>
      </c>
      <c r="N2045" s="13"/>
      <c r="O2045" s="13">
        <v>3780.38</v>
      </c>
      <c r="P2045" s="3">
        <f t="shared" si="168"/>
        <v>3780.38</v>
      </c>
      <c r="Q2045" s="3">
        <f t="shared" si="169"/>
        <v>0</v>
      </c>
      <c r="R2045" s="3">
        <f t="shared" si="165"/>
        <v>62003.29</v>
      </c>
      <c r="S2045" s="24" t="s">
        <v>1334</v>
      </c>
      <c r="T2045" s="24" t="s">
        <v>1334</v>
      </c>
      <c r="U2045" s="53"/>
      <c r="V2045" s="25">
        <f>IFERROR(VLOOKUP(BCP_Soles[[#This Row],[destinatario]],CHOOSE({1,2},Clientes_Proveedores[Razon Social],Clientes_Proveedores[Ruc / Dni]),2,0),"")</f>
        <v>20558226979</v>
      </c>
      <c r="W2045" s="25" t="s">
        <v>1345</v>
      </c>
      <c r="X2045" s="25" t="s">
        <v>3334</v>
      </c>
      <c r="Y2045" s="25"/>
      <c r="Z2045" s="75"/>
      <c r="AA2045" s="3" t="str">
        <f>IF(BCP_Soles[[#This Row],[fecha]]&gt;0,TEXT(BCP_Soles[[#This Row],[fecha]],"mmmm"),0)</f>
        <v>Junio</v>
      </c>
    </row>
    <row r="2046" spans="1:27" x14ac:dyDescent="0.3">
      <c r="A2046" s="2">
        <f>IF(BCP_Soles[[#This Row],[tipo_registro]]="R",COUNTIFS($C$1:$C2045,"R")+1,A2045)</f>
        <v>1527</v>
      </c>
      <c r="B2046" s="19" t="str">
        <f t="shared" si="166"/>
        <v>B-BCP - Soles</v>
      </c>
      <c r="C2046" s="3" t="s">
        <v>1330</v>
      </c>
      <c r="D2046" s="14">
        <v>45818</v>
      </c>
      <c r="E2046" s="5"/>
      <c r="F2046" s="5" t="s">
        <v>1303</v>
      </c>
      <c r="G2046" s="6" t="s">
        <v>425</v>
      </c>
      <c r="H2046" s="6"/>
      <c r="I2046" s="6"/>
      <c r="J2046" s="6"/>
      <c r="K2046" s="7" t="s">
        <v>3335</v>
      </c>
      <c r="L2046" s="8">
        <v>305797</v>
      </c>
      <c r="M2046" s="8" t="str">
        <f t="shared" si="167"/>
        <v>PEN</v>
      </c>
      <c r="N2046" s="13"/>
      <c r="O2046" s="13">
        <v>2000</v>
      </c>
      <c r="P2046" s="3">
        <f t="shared" si="168"/>
        <v>2000</v>
      </c>
      <c r="Q2046" s="3">
        <f t="shared" si="169"/>
        <v>0</v>
      </c>
      <c r="R2046" s="3">
        <f t="shared" si="165"/>
        <v>64003.29</v>
      </c>
      <c r="S2046" s="24" t="s">
        <v>1334</v>
      </c>
      <c r="T2046" s="24" t="s">
        <v>1334</v>
      </c>
      <c r="U2046" s="53"/>
      <c r="V2046" s="25">
        <f>IFERROR(VLOOKUP(BCP_Soles[[#This Row],[destinatario]],CHOOSE({1,2},Clientes_Proveedores[Razon Social],Clientes_Proveedores[Ruc / Dni]),2,0),"")</f>
        <v>20558226979</v>
      </c>
      <c r="W2046" s="25"/>
      <c r="X2046" s="25"/>
      <c r="Y2046" s="25"/>
      <c r="Z2046" s="75"/>
      <c r="AA2046" s="3" t="str">
        <f>IF(BCP_Soles[[#This Row],[fecha]]&gt;0,TEXT(BCP_Soles[[#This Row],[fecha]],"mmmm"),0)</f>
        <v>Junio</v>
      </c>
    </row>
    <row r="2047" spans="1:27" ht="24" x14ac:dyDescent="0.3">
      <c r="A2047" s="2">
        <f>IF(BCP_Soles[[#This Row],[tipo_registro]]="R",COUNTIFS($C$1:$C2046,"R")+1,A2046)</f>
        <v>1527</v>
      </c>
      <c r="B2047" s="19" t="str">
        <f t="shared" si="166"/>
        <v>B-BCP - Soles</v>
      </c>
      <c r="C2047" s="3" t="s">
        <v>1352</v>
      </c>
      <c r="D2047" s="14">
        <v>45818</v>
      </c>
      <c r="E2047" s="5" t="s">
        <v>3198</v>
      </c>
      <c r="F2047" s="5" t="s">
        <v>1303</v>
      </c>
      <c r="G2047" s="6" t="s">
        <v>425</v>
      </c>
      <c r="H2047" s="6" t="s">
        <v>119</v>
      </c>
      <c r="I2047" s="6">
        <v>1</v>
      </c>
      <c r="J2047" s="6">
        <v>4446</v>
      </c>
      <c r="K2047" s="7" t="s">
        <v>3335</v>
      </c>
      <c r="L2047" s="8">
        <v>305797</v>
      </c>
      <c r="M2047" s="8" t="str">
        <f t="shared" si="167"/>
        <v>PEN</v>
      </c>
      <c r="N2047" s="13">
        <v>532</v>
      </c>
      <c r="O2047" s="13"/>
      <c r="P2047" s="3">
        <f t="shared" si="168"/>
        <v>0</v>
      </c>
      <c r="Q2047" s="3">
        <f t="shared" si="169"/>
        <v>0</v>
      </c>
      <c r="R2047" s="3">
        <f t="shared" si="165"/>
        <v>64003.29</v>
      </c>
      <c r="S2047" s="24" t="s">
        <v>1334</v>
      </c>
      <c r="T2047" s="24" t="s">
        <v>1334</v>
      </c>
      <c r="U2047" s="53"/>
      <c r="V2047" s="25">
        <f>IFERROR(VLOOKUP(BCP_Soles[[#This Row],[destinatario]],CHOOSE({1,2},Clientes_Proveedores[Razon Social],Clientes_Proveedores[Ruc / Dni]),2,0),"")</f>
        <v>20558226979</v>
      </c>
      <c r="W2047" s="25" t="s">
        <v>1345</v>
      </c>
      <c r="X2047" s="25" t="s">
        <v>3336</v>
      </c>
      <c r="Y2047" s="25"/>
      <c r="Z2047" s="75"/>
      <c r="AA2047" s="3" t="str">
        <f>IF(BCP_Soles[[#This Row],[fecha]]&gt;0,TEXT(BCP_Soles[[#This Row],[fecha]],"mmmm"),0)</f>
        <v>Junio</v>
      </c>
    </row>
    <row r="2048" spans="1:27" ht="24" x14ac:dyDescent="0.3">
      <c r="A2048" s="2">
        <f>IF(BCP_Soles[[#This Row],[tipo_registro]]="R",COUNTIFS($C$1:$C2047,"R")+1,A2047)</f>
        <v>1527</v>
      </c>
      <c r="B2048" s="19" t="str">
        <f t="shared" si="166"/>
        <v>B-BCP - Soles</v>
      </c>
      <c r="C2048" s="3" t="s">
        <v>1352</v>
      </c>
      <c r="D2048" s="14">
        <v>45818</v>
      </c>
      <c r="E2048" s="5" t="s">
        <v>3198</v>
      </c>
      <c r="F2048" s="5" t="s">
        <v>1303</v>
      </c>
      <c r="G2048" s="6" t="s">
        <v>425</v>
      </c>
      <c r="H2048" s="6" t="s">
        <v>119</v>
      </c>
      <c r="I2048" s="6">
        <v>1</v>
      </c>
      <c r="J2048" s="6">
        <v>4449</v>
      </c>
      <c r="K2048" s="7" t="s">
        <v>3335</v>
      </c>
      <c r="L2048" s="8">
        <v>305797</v>
      </c>
      <c r="M2048" s="8" t="str">
        <f t="shared" si="167"/>
        <v>PEN</v>
      </c>
      <c r="N2048" s="13">
        <v>1139</v>
      </c>
      <c r="O2048" s="13"/>
      <c r="P2048" s="3">
        <f t="shared" si="168"/>
        <v>0</v>
      </c>
      <c r="Q2048" s="3">
        <f t="shared" si="169"/>
        <v>0</v>
      </c>
      <c r="R2048" s="3">
        <f t="shared" si="165"/>
        <v>64003.29</v>
      </c>
      <c r="S2048" s="24" t="s">
        <v>1334</v>
      </c>
      <c r="T2048" s="24" t="s">
        <v>1334</v>
      </c>
      <c r="U2048" s="53"/>
      <c r="V2048" s="25">
        <f>IFERROR(VLOOKUP(BCP_Soles[[#This Row],[destinatario]],CHOOSE({1,2},Clientes_Proveedores[Razon Social],Clientes_Proveedores[Ruc / Dni]),2,0),"")</f>
        <v>20558226979</v>
      </c>
      <c r="W2048" s="25" t="s">
        <v>1345</v>
      </c>
      <c r="X2048" s="25" t="s">
        <v>3337</v>
      </c>
      <c r="Y2048" s="25"/>
      <c r="Z2048" s="75"/>
      <c r="AA2048" s="3" t="str">
        <f>IF(BCP_Soles[[#This Row],[fecha]]&gt;0,TEXT(BCP_Soles[[#This Row],[fecha]],"mmmm"),0)</f>
        <v>Junio</v>
      </c>
    </row>
    <row r="2049" spans="1:27" ht="24" x14ac:dyDescent="0.3">
      <c r="A2049" s="2">
        <f>IF(BCP_Soles[[#This Row],[tipo_registro]]="R",COUNTIFS($C$1:$C2048,"R")+1,A2048)</f>
        <v>1527</v>
      </c>
      <c r="B2049" s="19" t="str">
        <f t="shared" si="166"/>
        <v>B-BCP - Soles</v>
      </c>
      <c r="C2049" s="3" t="s">
        <v>1352</v>
      </c>
      <c r="D2049" s="14">
        <v>45818</v>
      </c>
      <c r="E2049" s="5" t="s">
        <v>3198</v>
      </c>
      <c r="F2049" s="5" t="s">
        <v>1303</v>
      </c>
      <c r="G2049" s="6" t="s">
        <v>425</v>
      </c>
      <c r="H2049" s="6" t="s">
        <v>119</v>
      </c>
      <c r="I2049" s="6">
        <v>1</v>
      </c>
      <c r="J2049" s="6">
        <v>4451</v>
      </c>
      <c r="K2049" s="7" t="s">
        <v>3335</v>
      </c>
      <c r="L2049" s="8">
        <v>305797</v>
      </c>
      <c r="M2049" s="8" t="str">
        <f t="shared" si="167"/>
        <v>PEN</v>
      </c>
      <c r="N2049" s="13">
        <v>329</v>
      </c>
      <c r="O2049" s="13"/>
      <c r="P2049" s="3">
        <f t="shared" si="168"/>
        <v>0</v>
      </c>
      <c r="Q2049" s="3">
        <f t="shared" si="169"/>
        <v>0</v>
      </c>
      <c r="R2049" s="3">
        <f t="shared" si="165"/>
        <v>64003.29</v>
      </c>
      <c r="S2049" s="24" t="s">
        <v>1334</v>
      </c>
      <c r="T2049" s="24" t="s">
        <v>1334</v>
      </c>
      <c r="U2049" s="53"/>
      <c r="V2049" s="25">
        <f>IFERROR(VLOOKUP(BCP_Soles[[#This Row],[destinatario]],CHOOSE({1,2},Clientes_Proveedores[Razon Social],Clientes_Proveedores[Ruc / Dni]),2,0),"")</f>
        <v>20558226979</v>
      </c>
      <c r="W2049" s="25" t="s">
        <v>1345</v>
      </c>
      <c r="X2049" s="25" t="s">
        <v>3338</v>
      </c>
      <c r="Y2049" s="25"/>
      <c r="Z2049" s="75"/>
      <c r="AA2049" s="3" t="str">
        <f>IF(BCP_Soles[[#This Row],[fecha]]&gt;0,TEXT(BCP_Soles[[#This Row],[fecha]],"mmmm"),0)</f>
        <v>Junio</v>
      </c>
    </row>
    <row r="2050" spans="1:27" x14ac:dyDescent="0.3">
      <c r="A2050" s="2">
        <f>IF(BCP_Soles[[#This Row],[tipo_registro]]="R",COUNTIFS($C$1:$C2049,"R")+1,A2049)</f>
        <v>1528</v>
      </c>
      <c r="B2050" s="19" t="str">
        <f t="shared" si="166"/>
        <v>B-BCP - Soles</v>
      </c>
      <c r="C2050" s="3" t="s">
        <v>1330</v>
      </c>
      <c r="D2050" s="14">
        <v>45818</v>
      </c>
      <c r="E2050" s="5"/>
      <c r="F2050" s="5" t="s">
        <v>1303</v>
      </c>
      <c r="G2050" s="6" t="s">
        <v>425</v>
      </c>
      <c r="H2050" s="6"/>
      <c r="I2050" s="6"/>
      <c r="J2050" s="6"/>
      <c r="K2050" s="7" t="s">
        <v>1356</v>
      </c>
      <c r="L2050" s="8">
        <v>3909008</v>
      </c>
      <c r="M2050" s="8" t="str">
        <f t="shared" si="167"/>
        <v>PEN</v>
      </c>
      <c r="N2050" s="13"/>
      <c r="O2050" s="13">
        <v>1780</v>
      </c>
      <c r="P2050" s="3">
        <f t="shared" si="168"/>
        <v>1780</v>
      </c>
      <c r="Q2050" s="3">
        <f t="shared" si="169"/>
        <v>0</v>
      </c>
      <c r="R2050" s="3">
        <f t="shared" si="165"/>
        <v>65783.290000000008</v>
      </c>
      <c r="S2050" s="24"/>
      <c r="T2050" s="24"/>
      <c r="U2050" s="53"/>
      <c r="V2050" s="25">
        <f>IFERROR(VLOOKUP(BCP_Soles[[#This Row],[destinatario]],CHOOSE({1,2},Clientes_Proveedores[Razon Social],Clientes_Proveedores[Ruc / Dni]),2,0),"")</f>
        <v>20558226979</v>
      </c>
      <c r="W2050" s="25"/>
      <c r="X2050" s="25"/>
      <c r="Y2050" s="25"/>
      <c r="Z2050" s="75"/>
      <c r="AA2050" s="3" t="str">
        <f>IF(BCP_Soles[[#This Row],[fecha]]&gt;0,TEXT(BCP_Soles[[#This Row],[fecha]],"mmmm"),0)</f>
        <v>Junio</v>
      </c>
    </row>
    <row r="2051" spans="1:27" ht="24" x14ac:dyDescent="0.3">
      <c r="A2051" s="2">
        <f>IF(BCP_Soles[[#This Row],[tipo_registro]]="R",COUNTIFS($C$1:$C2050,"R")+1,A2050)</f>
        <v>1529</v>
      </c>
      <c r="B2051" s="19" t="str">
        <f t="shared" si="166"/>
        <v>B-BCP - Soles</v>
      </c>
      <c r="C2051" s="3" t="s">
        <v>1330</v>
      </c>
      <c r="D2051" s="14">
        <v>45818</v>
      </c>
      <c r="E2051" s="5" t="s">
        <v>2009</v>
      </c>
      <c r="F2051" s="5" t="s">
        <v>1303</v>
      </c>
      <c r="G2051" s="6" t="s">
        <v>425</v>
      </c>
      <c r="H2051" s="6" t="s">
        <v>119</v>
      </c>
      <c r="I2051" s="6">
        <v>1</v>
      </c>
      <c r="J2051" s="6">
        <v>4482</v>
      </c>
      <c r="K2051" s="7" t="s">
        <v>1356</v>
      </c>
      <c r="L2051" s="8">
        <v>3546935</v>
      </c>
      <c r="M2051" s="8" t="str">
        <f t="shared" si="167"/>
        <v>PEN</v>
      </c>
      <c r="N2051" s="13"/>
      <c r="O2051" s="13">
        <v>1022</v>
      </c>
      <c r="P2051" s="3">
        <f t="shared" si="168"/>
        <v>1022</v>
      </c>
      <c r="Q2051" s="3">
        <f t="shared" si="169"/>
        <v>0</v>
      </c>
      <c r="R2051" s="3">
        <f t="shared" si="165"/>
        <v>66805.290000000008</v>
      </c>
      <c r="S2051" s="24" t="s">
        <v>1334</v>
      </c>
      <c r="T2051" s="24" t="s">
        <v>1334</v>
      </c>
      <c r="U2051" s="53"/>
      <c r="V2051" s="25">
        <f>IFERROR(VLOOKUP(BCP_Soles[[#This Row],[destinatario]],CHOOSE({1,2},Clientes_Proveedores[Razon Social],Clientes_Proveedores[Ruc / Dni]),2,0),"")</f>
        <v>20558226979</v>
      </c>
      <c r="W2051" s="25" t="s">
        <v>1345</v>
      </c>
      <c r="X2051" s="25" t="s">
        <v>3339</v>
      </c>
      <c r="Y2051" s="25"/>
      <c r="Z2051" s="75"/>
      <c r="AA2051" s="3" t="str">
        <f>IF(BCP_Soles[[#This Row],[fecha]]&gt;0,TEXT(BCP_Soles[[#This Row],[fecha]],"mmmm"),0)</f>
        <v>Junio</v>
      </c>
    </row>
    <row r="2052" spans="1:27" ht="60" x14ac:dyDescent="0.3">
      <c r="A2052" s="2">
        <f>IF(BCP_Soles[[#This Row],[tipo_registro]]="R",COUNTIFS($C$1:$C2051,"R")+1,A2051)</f>
        <v>1530</v>
      </c>
      <c r="B2052" s="19" t="str">
        <f t="shared" si="166"/>
        <v>B-BCP - Soles</v>
      </c>
      <c r="C2052" s="3" t="s">
        <v>1330</v>
      </c>
      <c r="D2052" s="14">
        <v>45818</v>
      </c>
      <c r="E2052" s="5" t="s">
        <v>295</v>
      </c>
      <c r="F2052" s="5" t="s">
        <v>1303</v>
      </c>
      <c r="G2052" s="6" t="s">
        <v>425</v>
      </c>
      <c r="H2052" s="6" t="s">
        <v>68</v>
      </c>
      <c r="I2052" s="6" t="s">
        <v>3302</v>
      </c>
      <c r="J2052" s="6">
        <v>48</v>
      </c>
      <c r="K2052" s="7" t="s">
        <v>1428</v>
      </c>
      <c r="L2052" s="8">
        <v>2110101</v>
      </c>
      <c r="M2052" s="8" t="str">
        <f t="shared" si="167"/>
        <v>PEN</v>
      </c>
      <c r="N2052" s="13"/>
      <c r="O2052" s="13">
        <v>438.84</v>
      </c>
      <c r="P2052" s="3">
        <f t="shared" si="168"/>
        <v>438.84</v>
      </c>
      <c r="Q2052" s="3">
        <f t="shared" si="169"/>
        <v>0</v>
      </c>
      <c r="R2052" s="3">
        <f t="shared" si="165"/>
        <v>67244.13</v>
      </c>
      <c r="S2052" s="24" t="s">
        <v>1334</v>
      </c>
      <c r="T2052" s="24" t="s">
        <v>1334</v>
      </c>
      <c r="U2052" s="53"/>
      <c r="V2052" s="25">
        <f>IFERROR(VLOOKUP(BCP_Soles[[#This Row],[destinatario]],CHOOSE({1,2},Clientes_Proveedores[Razon Social],Clientes_Proveedores[Ruc / Dni]),2,0),"")</f>
        <v>20558226979</v>
      </c>
      <c r="W2052" s="25" t="s">
        <v>1345</v>
      </c>
      <c r="X2052" s="25" t="s">
        <v>3340</v>
      </c>
      <c r="Y2052" s="25"/>
      <c r="Z2052" s="75"/>
      <c r="AA2052" s="3" t="str">
        <f>IF(BCP_Soles[[#This Row],[fecha]]&gt;0,TEXT(BCP_Soles[[#This Row],[fecha]],"mmmm"),0)</f>
        <v>Junio</v>
      </c>
    </row>
    <row r="2053" spans="1:27" ht="24" x14ac:dyDescent="0.3">
      <c r="A2053" s="2">
        <f>IF(BCP_Soles[[#This Row],[tipo_registro]]="R",COUNTIFS($C$1:$C2052,"R")+1,A2052)</f>
        <v>1531</v>
      </c>
      <c r="B2053" s="19" t="str">
        <f t="shared" si="166"/>
        <v>B-BCP - Soles</v>
      </c>
      <c r="C2053" s="3" t="s">
        <v>1330</v>
      </c>
      <c r="D2053" s="14">
        <v>45818</v>
      </c>
      <c r="E2053" s="5" t="s">
        <v>2009</v>
      </c>
      <c r="F2053" s="5" t="s">
        <v>1303</v>
      </c>
      <c r="G2053" s="6" t="s">
        <v>425</v>
      </c>
      <c r="H2053" s="6" t="s">
        <v>119</v>
      </c>
      <c r="I2053" s="6">
        <v>1</v>
      </c>
      <c r="J2053" s="6">
        <v>4483</v>
      </c>
      <c r="K2053" s="7" t="s">
        <v>1356</v>
      </c>
      <c r="L2053" s="8">
        <v>3524396</v>
      </c>
      <c r="M2053" s="8" t="str">
        <f t="shared" si="167"/>
        <v>PEN</v>
      </c>
      <c r="N2053" s="13"/>
      <c r="O2053" s="13">
        <v>350</v>
      </c>
      <c r="P2053" s="3">
        <f t="shared" si="168"/>
        <v>350</v>
      </c>
      <c r="Q2053" s="3">
        <f t="shared" si="169"/>
        <v>0</v>
      </c>
      <c r="R2053" s="3">
        <f t="shared" si="165"/>
        <v>67594.13</v>
      </c>
      <c r="S2053" s="24" t="s">
        <v>1334</v>
      </c>
      <c r="T2053" s="24" t="s">
        <v>1334</v>
      </c>
      <c r="U2053" s="53"/>
      <c r="V2053" s="25">
        <f>IFERROR(VLOOKUP(BCP_Soles[[#This Row],[destinatario]],CHOOSE({1,2},Clientes_Proveedores[Razon Social],Clientes_Proveedores[Ruc / Dni]),2,0),"")</f>
        <v>20558226979</v>
      </c>
      <c r="W2053" s="25" t="s">
        <v>1345</v>
      </c>
      <c r="X2053" s="25" t="s">
        <v>3341</v>
      </c>
      <c r="Y2053" s="25"/>
      <c r="Z2053" s="75"/>
      <c r="AA2053" s="3" t="str">
        <f>IF(BCP_Soles[[#This Row],[fecha]]&gt;0,TEXT(BCP_Soles[[#This Row],[fecha]],"mmmm"),0)</f>
        <v>Junio</v>
      </c>
    </row>
    <row r="2054" spans="1:27" ht="60" x14ac:dyDescent="0.3">
      <c r="A2054" s="2">
        <f>IF(BCP_Soles[[#This Row],[tipo_registro]]="R",COUNTIFS($C$1:$C2053,"R")+1,A2053)</f>
        <v>1532</v>
      </c>
      <c r="B2054" s="19" t="str">
        <f t="shared" si="166"/>
        <v>B-BCP - Soles</v>
      </c>
      <c r="C2054" s="3" t="s">
        <v>1330</v>
      </c>
      <c r="D2054" s="14">
        <v>45818</v>
      </c>
      <c r="E2054" s="5" t="s">
        <v>295</v>
      </c>
      <c r="F2054" s="5" t="s">
        <v>1303</v>
      </c>
      <c r="G2054" s="6" t="s">
        <v>425</v>
      </c>
      <c r="H2054" s="6" t="s">
        <v>68</v>
      </c>
      <c r="I2054" s="6" t="s">
        <v>3302</v>
      </c>
      <c r="J2054" s="6">
        <v>47</v>
      </c>
      <c r="K2054" s="7" t="s">
        <v>1428</v>
      </c>
      <c r="L2054" s="8">
        <v>2097427</v>
      </c>
      <c r="M2054" s="8" t="str">
        <f t="shared" si="167"/>
        <v>PEN</v>
      </c>
      <c r="N2054" s="13"/>
      <c r="O2054" s="13">
        <v>324.32</v>
      </c>
      <c r="P2054" s="3">
        <f t="shared" si="168"/>
        <v>324.32</v>
      </c>
      <c r="Q2054" s="3">
        <f t="shared" si="169"/>
        <v>0</v>
      </c>
      <c r="R2054" s="3">
        <f t="shared" si="165"/>
        <v>67918.450000000012</v>
      </c>
      <c r="S2054" s="24" t="s">
        <v>1334</v>
      </c>
      <c r="T2054" s="24" t="s">
        <v>1334</v>
      </c>
      <c r="U2054" s="53"/>
      <c r="V2054" s="25">
        <f>IFERROR(VLOOKUP(BCP_Soles[[#This Row],[destinatario]],CHOOSE({1,2},Clientes_Proveedores[Razon Social],Clientes_Proveedores[Ruc / Dni]),2,0),"")</f>
        <v>20558226979</v>
      </c>
      <c r="W2054" s="25" t="s">
        <v>1345</v>
      </c>
      <c r="X2054" s="25" t="s">
        <v>3342</v>
      </c>
      <c r="Y2054" s="25"/>
      <c r="Z2054" s="75"/>
      <c r="AA2054" s="3" t="str">
        <f>IF(BCP_Soles[[#This Row],[fecha]]&gt;0,TEXT(BCP_Soles[[#This Row],[fecha]],"mmmm"),0)</f>
        <v>Junio</v>
      </c>
    </row>
    <row r="2055" spans="1:27" ht="24" x14ac:dyDescent="0.3">
      <c r="A2055" s="2">
        <f>IF(BCP_Soles[[#This Row],[tipo_registro]]="R",COUNTIFS($C$1:$C2054,"R")+1,A2054)</f>
        <v>1533</v>
      </c>
      <c r="B2055" s="19" t="str">
        <f t="shared" si="166"/>
        <v>B-BCP - Soles</v>
      </c>
      <c r="C2055" s="3" t="s">
        <v>1330</v>
      </c>
      <c r="D2055" s="14">
        <v>45818</v>
      </c>
      <c r="E2055" s="5" t="s">
        <v>1331</v>
      </c>
      <c r="F2055" s="5" t="s">
        <v>1336</v>
      </c>
      <c r="G2055" s="6" t="s">
        <v>993</v>
      </c>
      <c r="H2055" s="6" t="s">
        <v>143</v>
      </c>
      <c r="I2055" s="6">
        <v>1</v>
      </c>
      <c r="J2055" s="6">
        <v>392025</v>
      </c>
      <c r="K2055" s="7" t="s">
        <v>3343</v>
      </c>
      <c r="L2055" s="8">
        <v>1216065</v>
      </c>
      <c r="M2055" s="8" t="str">
        <f t="shared" si="167"/>
        <v>PEN</v>
      </c>
      <c r="N2055" s="13"/>
      <c r="O2055" s="13">
        <v>944</v>
      </c>
      <c r="P2055" s="3">
        <f t="shared" si="168"/>
        <v>0</v>
      </c>
      <c r="Q2055" s="3">
        <f t="shared" si="169"/>
        <v>944</v>
      </c>
      <c r="R2055" s="3">
        <f t="shared" si="165"/>
        <v>66974.450000000012</v>
      </c>
      <c r="S2055" s="24" t="s">
        <v>1334</v>
      </c>
      <c r="T2055" s="24" t="s">
        <v>1334</v>
      </c>
      <c r="U2055" s="53"/>
      <c r="V2055" s="25">
        <f>IFERROR(VLOOKUP(BCP_Soles[[#This Row],[destinatario]],CHOOSE({1,2},Clientes_Proveedores[Razon Social],Clientes_Proveedores[Ruc / Dni]),2,0),"")</f>
        <v>76390500</v>
      </c>
      <c r="W2055" s="25" t="s">
        <v>993</v>
      </c>
      <c r="X2055" s="25" t="s">
        <v>3344</v>
      </c>
      <c r="Y2055" s="25"/>
      <c r="Z2055" s="75"/>
      <c r="AA2055" s="3" t="str">
        <f>IF(BCP_Soles[[#This Row],[fecha]]&gt;0,TEXT(BCP_Soles[[#This Row],[fecha]],"mmmm"),0)</f>
        <v>Junio</v>
      </c>
    </row>
    <row r="2056" spans="1:27" ht="24" x14ac:dyDescent="0.3">
      <c r="A2056" s="2">
        <f>IF(BCP_Soles[[#This Row],[tipo_registro]]="R",COUNTIFS($C$1:$C2055,"R")+1,A2055)</f>
        <v>1534</v>
      </c>
      <c r="B2056" s="19" t="str">
        <f t="shared" si="166"/>
        <v>B-BCP - Soles</v>
      </c>
      <c r="C2056" s="3" t="s">
        <v>1330</v>
      </c>
      <c r="D2056" s="14">
        <v>45818</v>
      </c>
      <c r="E2056" s="5" t="s">
        <v>1331</v>
      </c>
      <c r="F2056" s="5" t="s">
        <v>1336</v>
      </c>
      <c r="G2056" s="6" t="s">
        <v>400</v>
      </c>
      <c r="H2056" s="6" t="s">
        <v>68</v>
      </c>
      <c r="I2056" s="6" t="s">
        <v>2331</v>
      </c>
      <c r="J2056" s="6">
        <v>117985</v>
      </c>
      <c r="K2056" s="7" t="s">
        <v>3345</v>
      </c>
      <c r="L2056" s="8">
        <v>1145232</v>
      </c>
      <c r="M2056" s="8" t="str">
        <f t="shared" si="167"/>
        <v>PEN</v>
      </c>
      <c r="N2056" s="13"/>
      <c r="O2056" s="13">
        <v>241</v>
      </c>
      <c r="P2056" s="3">
        <f t="shared" si="168"/>
        <v>0</v>
      </c>
      <c r="Q2056" s="3">
        <f t="shared" si="169"/>
        <v>241</v>
      </c>
      <c r="R2056" s="3">
        <f t="shared" si="165"/>
        <v>66733.450000000012</v>
      </c>
      <c r="S2056" s="24" t="s">
        <v>1334</v>
      </c>
      <c r="T2056" s="24" t="s">
        <v>1334</v>
      </c>
      <c r="U2056" s="53"/>
      <c r="V2056" s="25">
        <f>IFERROR(VLOOKUP(BCP_Soles[[#This Row],[destinatario]],CHOOSE({1,2},Clientes_Proveedores[Razon Social],Clientes_Proveedores[Ruc / Dni]),2,0),"")</f>
        <v>20546153372</v>
      </c>
      <c r="W2056" s="25" t="s">
        <v>1892</v>
      </c>
      <c r="X2056" s="25" t="s">
        <v>3346</v>
      </c>
      <c r="Y2056" s="25"/>
      <c r="Z2056" s="75"/>
      <c r="AA2056" s="3" t="str">
        <f>IF(BCP_Soles[[#This Row],[fecha]]&gt;0,TEXT(BCP_Soles[[#This Row],[fecha]],"mmmm"),0)</f>
        <v>Junio</v>
      </c>
    </row>
    <row r="2057" spans="1:27" ht="24" x14ac:dyDescent="0.3">
      <c r="A2057" s="2">
        <f>IF(BCP_Soles[[#This Row],[tipo_registro]]="R",COUNTIFS($C$1:$C2056,"R")+1,A2056)</f>
        <v>1535</v>
      </c>
      <c r="B2057" s="19" t="str">
        <f t="shared" si="166"/>
        <v>B-BCP - Soles</v>
      </c>
      <c r="C2057" s="3" t="s">
        <v>1330</v>
      </c>
      <c r="D2057" s="14">
        <v>45818</v>
      </c>
      <c r="E2057" s="5" t="s">
        <v>1331</v>
      </c>
      <c r="F2057" s="5" t="s">
        <v>1336</v>
      </c>
      <c r="G2057" s="6" t="s">
        <v>724</v>
      </c>
      <c r="H2057" s="6" t="s">
        <v>68</v>
      </c>
      <c r="I2057" s="6" t="s">
        <v>1376</v>
      </c>
      <c r="J2057" s="6">
        <v>4319</v>
      </c>
      <c r="K2057" s="7" t="s">
        <v>3347</v>
      </c>
      <c r="L2057" s="8">
        <v>1147593</v>
      </c>
      <c r="M2057" s="8" t="str">
        <f t="shared" si="167"/>
        <v>PEN</v>
      </c>
      <c r="N2057" s="13"/>
      <c r="O2057" s="13">
        <v>1890</v>
      </c>
      <c r="P2057" s="3">
        <f t="shared" si="168"/>
        <v>0</v>
      </c>
      <c r="Q2057" s="3">
        <f t="shared" si="169"/>
        <v>1890</v>
      </c>
      <c r="R2057" s="3">
        <f t="shared" ref="R2057:R2120" si="170">IFERROR(IF(F2057="SALDO",P2057,R2056+P2057-Q2057),0)</f>
        <v>64843.450000000012</v>
      </c>
      <c r="S2057" s="24" t="s">
        <v>1334</v>
      </c>
      <c r="T2057" s="24" t="s">
        <v>1334</v>
      </c>
      <c r="U2057" s="53"/>
      <c r="V2057" s="25">
        <f>IFERROR(VLOOKUP(BCP_Soles[[#This Row],[destinatario]],CHOOSE({1,2},Clientes_Proveedores[Razon Social],Clientes_Proveedores[Ruc / Dni]),2,0),"")</f>
        <v>20558275082</v>
      </c>
      <c r="W2057" s="25" t="s">
        <v>724</v>
      </c>
      <c r="X2057" s="25" t="s">
        <v>3348</v>
      </c>
      <c r="Y2057" s="25"/>
      <c r="Z2057" s="75"/>
      <c r="AA2057" s="3" t="str">
        <f>IF(BCP_Soles[[#This Row],[fecha]]&gt;0,TEXT(BCP_Soles[[#This Row],[fecha]],"mmmm"),0)</f>
        <v>Junio</v>
      </c>
    </row>
    <row r="2058" spans="1:27" ht="72" x14ac:dyDescent="0.3">
      <c r="A2058" s="2">
        <f>IF(BCP_Soles[[#This Row],[tipo_registro]]="R",COUNTIFS($C$1:$C2057,"R")+1,A2057)</f>
        <v>1536</v>
      </c>
      <c r="B2058" s="19" t="str">
        <f t="shared" si="166"/>
        <v>B-BCP - Soles</v>
      </c>
      <c r="C2058" s="3" t="s">
        <v>1330</v>
      </c>
      <c r="D2058" s="14">
        <v>45818</v>
      </c>
      <c r="E2058" s="5" t="s">
        <v>1331</v>
      </c>
      <c r="F2058" s="5" t="s">
        <v>1336</v>
      </c>
      <c r="G2058" s="6" t="s">
        <v>739</v>
      </c>
      <c r="H2058" s="6" t="s">
        <v>68</v>
      </c>
      <c r="I2058" s="6" t="s">
        <v>1374</v>
      </c>
      <c r="J2058" s="6">
        <v>3036</v>
      </c>
      <c r="K2058" s="7" t="s">
        <v>3349</v>
      </c>
      <c r="L2058" s="8">
        <v>1146138</v>
      </c>
      <c r="M2058" s="8" t="str">
        <f t="shared" si="167"/>
        <v>PEN</v>
      </c>
      <c r="N2058" s="13"/>
      <c r="O2058" s="13">
        <v>230</v>
      </c>
      <c r="P2058" s="3">
        <f t="shared" si="168"/>
        <v>0</v>
      </c>
      <c r="Q2058" s="3">
        <f t="shared" si="169"/>
        <v>230</v>
      </c>
      <c r="R2058" s="3">
        <f t="shared" si="170"/>
        <v>64613.450000000012</v>
      </c>
      <c r="S2058" s="24" t="s">
        <v>1334</v>
      </c>
      <c r="T2058" s="24" t="s">
        <v>1334</v>
      </c>
      <c r="U2058" s="53"/>
      <c r="V2058" s="25">
        <f>IFERROR(VLOOKUP(BCP_Soles[[#This Row],[destinatario]],CHOOSE({1,2},Clientes_Proveedores[Razon Social],Clientes_Proveedores[Ruc / Dni]),2,0),"")</f>
        <v>20601833191</v>
      </c>
      <c r="W2058" s="25" t="s">
        <v>3350</v>
      </c>
      <c r="X2058" s="25" t="s">
        <v>3351</v>
      </c>
      <c r="Y2058" s="25"/>
      <c r="Z2058" s="75"/>
      <c r="AA2058" s="3" t="str">
        <f>IF(BCP_Soles[[#This Row],[fecha]]&gt;0,TEXT(BCP_Soles[[#This Row],[fecha]],"mmmm"),0)</f>
        <v>Junio</v>
      </c>
    </row>
    <row r="2059" spans="1:27" x14ac:dyDescent="0.3">
      <c r="A2059" s="2">
        <f>IF(BCP_Soles[[#This Row],[tipo_registro]]="R",COUNTIFS($C$1:$C2058,"R")+1,A2058)</f>
        <v>1537</v>
      </c>
      <c r="B2059" s="19" t="str">
        <f t="shared" si="166"/>
        <v>B-BCP - Soles</v>
      </c>
      <c r="C2059" s="3" t="s">
        <v>1330</v>
      </c>
      <c r="D2059" s="14">
        <v>45818</v>
      </c>
      <c r="E2059" s="5" t="s">
        <v>1335</v>
      </c>
      <c r="F2059" s="5" t="s">
        <v>1336</v>
      </c>
      <c r="G2059" s="6"/>
      <c r="H2059" s="6"/>
      <c r="I2059" s="6"/>
      <c r="J2059" s="6"/>
      <c r="K2059" s="7" t="s">
        <v>3160</v>
      </c>
      <c r="L2059" s="8"/>
      <c r="M2059" s="8" t="str">
        <f t="shared" si="167"/>
        <v>PEN</v>
      </c>
      <c r="N2059" s="13"/>
      <c r="O2059" s="13">
        <v>0.4</v>
      </c>
      <c r="P2059" s="3">
        <f t="shared" si="168"/>
        <v>0</v>
      </c>
      <c r="Q2059" s="3">
        <f t="shared" si="169"/>
        <v>0.4</v>
      </c>
      <c r="R2059" s="3">
        <f t="shared" si="170"/>
        <v>64613.05000000001</v>
      </c>
      <c r="S2059" s="24"/>
      <c r="T2059" s="24" t="s">
        <v>1334</v>
      </c>
      <c r="U2059" s="53"/>
      <c r="V2059" s="25" t="str">
        <f>IFERROR(VLOOKUP(BCP_Soles[[#This Row],[destinatario]],CHOOSE({1,2},Clientes_Proveedores[Razon Social],Clientes_Proveedores[Ruc / Dni]),2,0),"")</f>
        <v/>
      </c>
      <c r="W2059" s="25"/>
      <c r="X2059" s="25"/>
      <c r="Y2059" s="25"/>
      <c r="Z2059" s="75"/>
      <c r="AA2059" s="3" t="str">
        <f>IF(BCP_Soles[[#This Row],[fecha]]&gt;0,TEXT(BCP_Soles[[#This Row],[fecha]],"mmmm"),0)</f>
        <v>Junio</v>
      </c>
    </row>
    <row r="2060" spans="1:27" ht="24" x14ac:dyDescent="0.3">
      <c r="A2060" s="2">
        <f>IF(BCP_Soles[[#This Row],[tipo_registro]]="R",COUNTIFS($C$1:$C2059,"R")+1,A2059)</f>
        <v>1538</v>
      </c>
      <c r="B2060" s="19" t="str">
        <f t="shared" si="166"/>
        <v>B-BCP - Soles</v>
      </c>
      <c r="C2060" s="3" t="s">
        <v>1330</v>
      </c>
      <c r="D2060" s="14">
        <v>45819</v>
      </c>
      <c r="E2060" s="5" t="s">
        <v>2103</v>
      </c>
      <c r="F2060" s="5" t="s">
        <v>1303</v>
      </c>
      <c r="G2060" s="6" t="s">
        <v>425</v>
      </c>
      <c r="H2060" s="6" t="s">
        <v>119</v>
      </c>
      <c r="I2060" s="6">
        <v>1</v>
      </c>
      <c r="J2060" s="6">
        <v>4493</v>
      </c>
      <c r="K2060" s="7" t="s">
        <v>2003</v>
      </c>
      <c r="L2060" s="8">
        <v>2181615</v>
      </c>
      <c r="M2060" s="8" t="str">
        <f t="shared" si="167"/>
        <v>PEN</v>
      </c>
      <c r="N2060" s="13"/>
      <c r="O2060" s="13">
        <v>10000</v>
      </c>
      <c r="P2060" s="3">
        <f t="shared" si="168"/>
        <v>10000</v>
      </c>
      <c r="Q2060" s="3">
        <f t="shared" si="169"/>
        <v>0</v>
      </c>
      <c r="R2060" s="3">
        <f t="shared" si="170"/>
        <v>74613.050000000017</v>
      </c>
      <c r="S2060" s="24" t="s">
        <v>1334</v>
      </c>
      <c r="T2060" s="24" t="s">
        <v>1334</v>
      </c>
      <c r="U2060" s="53"/>
      <c r="V2060" s="25">
        <f>IFERROR(VLOOKUP(BCP_Soles[[#This Row],[destinatario]],CHOOSE({1,2},Clientes_Proveedores[Razon Social],Clientes_Proveedores[Ruc / Dni]),2,0),"")</f>
        <v>20558226979</v>
      </c>
      <c r="W2060" s="25" t="s">
        <v>1345</v>
      </c>
      <c r="X2060" s="25"/>
      <c r="Y2060" s="25"/>
      <c r="Z2060" s="75"/>
      <c r="AA2060" s="3" t="str">
        <f>IF(BCP_Soles[[#This Row],[fecha]]&gt;0,TEXT(BCP_Soles[[#This Row],[fecha]],"mmmm"),0)</f>
        <v>Junio</v>
      </c>
    </row>
    <row r="2061" spans="1:27" ht="24" x14ac:dyDescent="0.3">
      <c r="A2061" s="2">
        <f>IF(BCP_Soles[[#This Row],[tipo_registro]]="R",COUNTIFS($C$1:$C2060,"R")+1,A2060)</f>
        <v>1539</v>
      </c>
      <c r="B2061" s="19" t="str">
        <f t="shared" si="166"/>
        <v>B-BCP - Soles</v>
      </c>
      <c r="C2061" s="3" t="s">
        <v>1330</v>
      </c>
      <c r="D2061" s="14">
        <v>45819</v>
      </c>
      <c r="E2061" s="5" t="s">
        <v>536</v>
      </c>
      <c r="F2061" s="5" t="s">
        <v>1303</v>
      </c>
      <c r="G2061" s="6" t="s">
        <v>425</v>
      </c>
      <c r="H2061" s="6" t="s">
        <v>119</v>
      </c>
      <c r="I2061" s="6">
        <v>1</v>
      </c>
      <c r="J2061" s="6">
        <v>4485</v>
      </c>
      <c r="K2061" s="7" t="s">
        <v>1356</v>
      </c>
      <c r="L2061" s="8">
        <v>3850633</v>
      </c>
      <c r="M2061" s="8" t="str">
        <f t="shared" si="167"/>
        <v>PEN</v>
      </c>
      <c r="N2061" s="13"/>
      <c r="O2061" s="13">
        <v>7900</v>
      </c>
      <c r="P2061" s="3">
        <f t="shared" si="168"/>
        <v>7900</v>
      </c>
      <c r="Q2061" s="3">
        <f t="shared" si="169"/>
        <v>0</v>
      </c>
      <c r="R2061" s="3">
        <f t="shared" si="170"/>
        <v>82513.050000000017</v>
      </c>
      <c r="S2061" s="24" t="s">
        <v>1334</v>
      </c>
      <c r="T2061" s="24" t="s">
        <v>1334</v>
      </c>
      <c r="U2061" s="53"/>
      <c r="V2061" s="25">
        <f>IFERROR(VLOOKUP(BCP_Soles[[#This Row],[destinatario]],CHOOSE({1,2},Clientes_Proveedores[Razon Social],Clientes_Proveedores[Ruc / Dni]),2,0),"")</f>
        <v>20558226979</v>
      </c>
      <c r="W2061" s="25" t="s">
        <v>1345</v>
      </c>
      <c r="X2061" s="25"/>
      <c r="Y2061" s="25"/>
      <c r="Z2061" s="75"/>
      <c r="AA2061" s="3" t="str">
        <f>IF(BCP_Soles[[#This Row],[fecha]]&gt;0,TEXT(BCP_Soles[[#This Row],[fecha]],"mmmm"),0)</f>
        <v>Junio</v>
      </c>
    </row>
    <row r="2062" spans="1:27" ht="36" x14ac:dyDescent="0.3">
      <c r="A2062" s="2">
        <f>IF(BCP_Soles[[#This Row],[tipo_registro]]="R",COUNTIFS($C$1:$C2061,"R")+1,A2061)</f>
        <v>1540</v>
      </c>
      <c r="B2062" s="19" t="str">
        <f t="shared" si="166"/>
        <v>B-BCP - Soles</v>
      </c>
      <c r="C2062" s="3" t="s">
        <v>1330</v>
      </c>
      <c r="D2062" s="14">
        <v>45819</v>
      </c>
      <c r="E2062" s="5" t="s">
        <v>694</v>
      </c>
      <c r="F2062" s="5" t="s">
        <v>1303</v>
      </c>
      <c r="G2062" s="6" t="s">
        <v>425</v>
      </c>
      <c r="H2062" s="6" t="s">
        <v>68</v>
      </c>
      <c r="I2062" s="6" t="s">
        <v>3302</v>
      </c>
      <c r="J2062" s="6">
        <v>60</v>
      </c>
      <c r="K2062" s="7" t="s">
        <v>1356</v>
      </c>
      <c r="L2062" s="8">
        <v>2612017</v>
      </c>
      <c r="M2062" s="8" t="str">
        <f t="shared" si="167"/>
        <v>PEN</v>
      </c>
      <c r="N2062" s="13"/>
      <c r="O2062" s="13">
        <v>826</v>
      </c>
      <c r="P2062" s="3">
        <f t="shared" si="168"/>
        <v>826</v>
      </c>
      <c r="Q2062" s="3">
        <f t="shared" si="169"/>
        <v>0</v>
      </c>
      <c r="R2062" s="3">
        <f t="shared" si="170"/>
        <v>83339.050000000017</v>
      </c>
      <c r="S2062" s="24" t="s">
        <v>1334</v>
      </c>
      <c r="T2062" s="24" t="s">
        <v>1334</v>
      </c>
      <c r="U2062" s="53"/>
      <c r="V2062" s="25">
        <f>IFERROR(VLOOKUP(BCP_Soles[[#This Row],[destinatario]],CHOOSE({1,2},Clientes_Proveedores[Razon Social],Clientes_Proveedores[Ruc / Dni]),2,0),"")</f>
        <v>20558226979</v>
      </c>
      <c r="W2062" s="25" t="s">
        <v>1345</v>
      </c>
      <c r="X2062" s="25" t="s">
        <v>3352</v>
      </c>
      <c r="Y2062" s="25"/>
      <c r="Z2062" s="75"/>
      <c r="AA2062" s="3" t="str">
        <f>IF(BCP_Soles[[#This Row],[fecha]]&gt;0,TEXT(BCP_Soles[[#This Row],[fecha]],"mmmm"),0)</f>
        <v>Junio</v>
      </c>
    </row>
    <row r="2063" spans="1:27" ht="24" x14ac:dyDescent="0.3">
      <c r="A2063" s="2">
        <f>IF(BCP_Soles[[#This Row],[tipo_registro]]="R",COUNTIFS($C$1:$C2062,"R")+1,A2062)</f>
        <v>1541</v>
      </c>
      <c r="B2063" s="19" t="str">
        <f t="shared" si="166"/>
        <v>B-BCP - Soles</v>
      </c>
      <c r="C2063" s="3" t="s">
        <v>1330</v>
      </c>
      <c r="D2063" s="14">
        <v>45819</v>
      </c>
      <c r="E2063" s="5" t="s">
        <v>424</v>
      </c>
      <c r="F2063" s="5" t="s">
        <v>1303</v>
      </c>
      <c r="G2063" s="6" t="s">
        <v>425</v>
      </c>
      <c r="H2063" s="6" t="s">
        <v>68</v>
      </c>
      <c r="I2063" s="6" t="s">
        <v>3302</v>
      </c>
      <c r="J2063" s="6">
        <v>59</v>
      </c>
      <c r="K2063" s="7" t="s">
        <v>1930</v>
      </c>
      <c r="L2063" s="8">
        <v>6012675</v>
      </c>
      <c r="M2063" s="8" t="str">
        <f t="shared" si="167"/>
        <v>PEN</v>
      </c>
      <c r="N2063" s="13"/>
      <c r="O2063" s="13">
        <v>120.6</v>
      </c>
      <c r="P2063" s="3">
        <f t="shared" si="168"/>
        <v>120.6</v>
      </c>
      <c r="Q2063" s="3">
        <f t="shared" si="169"/>
        <v>0</v>
      </c>
      <c r="R2063" s="3">
        <f t="shared" si="170"/>
        <v>83459.650000000023</v>
      </c>
      <c r="S2063" s="24" t="s">
        <v>1334</v>
      </c>
      <c r="T2063" s="24" t="s">
        <v>1334</v>
      </c>
      <c r="U2063" s="53"/>
      <c r="V2063" s="25">
        <f>IFERROR(VLOOKUP(BCP_Soles[[#This Row],[destinatario]],CHOOSE({1,2},Clientes_Proveedores[Razon Social],Clientes_Proveedores[Ruc / Dni]),2,0),"")</f>
        <v>20558226979</v>
      </c>
      <c r="W2063" s="25" t="s">
        <v>1345</v>
      </c>
      <c r="X2063" s="25" t="s">
        <v>3353</v>
      </c>
      <c r="Y2063" s="25"/>
      <c r="Z2063" s="75"/>
      <c r="AA2063" s="3" t="str">
        <f>IF(BCP_Soles[[#This Row],[fecha]]&gt;0,TEXT(BCP_Soles[[#This Row],[fecha]],"mmmm"),0)</f>
        <v>Junio</v>
      </c>
    </row>
    <row r="2064" spans="1:27" ht="36" x14ac:dyDescent="0.3">
      <c r="A2064" s="2">
        <f>IF(BCP_Soles[[#This Row],[tipo_registro]]="R",COUNTIFS($C$1:$C2063,"R")+1,A2063)</f>
        <v>1542</v>
      </c>
      <c r="B2064" s="19" t="str">
        <f t="shared" si="166"/>
        <v>B-BCP - Soles</v>
      </c>
      <c r="C2064" s="3" t="s">
        <v>1330</v>
      </c>
      <c r="D2064" s="14">
        <v>45819</v>
      </c>
      <c r="E2064" s="5" t="s">
        <v>1331</v>
      </c>
      <c r="F2064" s="5" t="s">
        <v>1336</v>
      </c>
      <c r="G2064" s="6" t="s">
        <v>939</v>
      </c>
      <c r="H2064" s="6"/>
      <c r="I2064" s="6"/>
      <c r="J2064" s="6"/>
      <c r="K2064" s="7" t="s">
        <v>3354</v>
      </c>
      <c r="L2064" s="8">
        <v>1182434</v>
      </c>
      <c r="M2064" s="8" t="str">
        <f t="shared" si="167"/>
        <v>PEN</v>
      </c>
      <c r="N2064" s="13"/>
      <c r="O2064" s="13">
        <v>2715.34</v>
      </c>
      <c r="P2064" s="3">
        <f t="shared" si="168"/>
        <v>0</v>
      </c>
      <c r="Q2064" s="3">
        <f t="shared" si="169"/>
        <v>2715.34</v>
      </c>
      <c r="R2064" s="3">
        <f t="shared" si="170"/>
        <v>80744.310000000027</v>
      </c>
      <c r="S2064" s="24"/>
      <c r="T2064" s="24" t="s">
        <v>1334</v>
      </c>
      <c r="U2064" s="53"/>
      <c r="V2064" s="25">
        <f>IFERROR(VLOOKUP(BCP_Soles[[#This Row],[destinatario]],CHOOSE({1,2},Clientes_Proveedores[Razon Social],Clientes_Proveedores[Ruc / Dni]),2,0),"")</f>
        <v>72531546</v>
      </c>
      <c r="W2064" s="25" t="s">
        <v>939</v>
      </c>
      <c r="X2064" s="25"/>
      <c r="Y2064" s="25"/>
      <c r="Z2064" s="75"/>
      <c r="AA2064" s="3" t="str">
        <f>IF(BCP_Soles[[#This Row],[fecha]]&gt;0,TEXT(BCP_Soles[[#This Row],[fecha]],"mmmm"),0)</f>
        <v>Junio</v>
      </c>
    </row>
    <row r="2065" spans="1:27" x14ac:dyDescent="0.3">
      <c r="A2065" s="2">
        <f>IF(BCP_Soles[[#This Row],[tipo_registro]]="R",COUNTIFS($C$1:$C2064,"R")+1,A2064)</f>
        <v>1543</v>
      </c>
      <c r="B2065" s="19" t="str">
        <f t="shared" si="166"/>
        <v>B-BCP - Soles</v>
      </c>
      <c r="C2065" s="3" t="s">
        <v>1330</v>
      </c>
      <c r="D2065" s="14">
        <v>45819</v>
      </c>
      <c r="E2065" s="5" t="s">
        <v>1331</v>
      </c>
      <c r="F2065" s="5" t="s">
        <v>1336</v>
      </c>
      <c r="G2065" s="6" t="s">
        <v>196</v>
      </c>
      <c r="H2065" s="6" t="s">
        <v>68</v>
      </c>
      <c r="I2065" s="6" t="s">
        <v>2226</v>
      </c>
      <c r="J2065" s="6">
        <v>6445</v>
      </c>
      <c r="K2065" s="7" t="s">
        <v>2227</v>
      </c>
      <c r="L2065" s="8">
        <v>182433</v>
      </c>
      <c r="M2065" s="8" t="str">
        <f t="shared" si="167"/>
        <v>PEN</v>
      </c>
      <c r="N2065" s="13"/>
      <c r="O2065" s="13">
        <v>344.92</v>
      </c>
      <c r="P2065" s="3">
        <f t="shared" si="168"/>
        <v>0</v>
      </c>
      <c r="Q2065" s="3">
        <f t="shared" si="169"/>
        <v>344.92</v>
      </c>
      <c r="R2065" s="3">
        <f t="shared" si="170"/>
        <v>80399.390000000029</v>
      </c>
      <c r="S2065" s="24" t="s">
        <v>1334</v>
      </c>
      <c r="T2065" s="24" t="s">
        <v>1334</v>
      </c>
      <c r="U2065" s="53"/>
      <c r="V2065" s="25">
        <f>IFERROR(VLOOKUP(BCP_Soles[[#This Row],[destinatario]],CHOOSE({1,2},Clientes_Proveedores[Razon Social],Clientes_Proveedores[Ruc / Dni]),2,0),"")</f>
        <v>20100055237</v>
      </c>
      <c r="W2065" s="25" t="s">
        <v>2228</v>
      </c>
      <c r="X2065" s="25" t="s">
        <v>3355</v>
      </c>
      <c r="Y2065" s="25"/>
      <c r="Z2065" s="75"/>
      <c r="AA2065" s="3" t="str">
        <f>IF(BCP_Soles[[#This Row],[fecha]]&gt;0,TEXT(BCP_Soles[[#This Row],[fecha]],"mmmm"),0)</f>
        <v>Junio</v>
      </c>
    </row>
    <row r="2066" spans="1:27" x14ac:dyDescent="0.3">
      <c r="A2066" s="2">
        <f>IF(BCP_Soles[[#This Row],[tipo_registro]]="R",COUNTIFS($C$1:$C2065,"R")+1,A2065)</f>
        <v>1544</v>
      </c>
      <c r="B2066" s="19" t="str">
        <f t="shared" si="166"/>
        <v>B-BCP - Soles</v>
      </c>
      <c r="C2066" s="3" t="s">
        <v>1330</v>
      </c>
      <c r="D2066" s="14">
        <v>45819</v>
      </c>
      <c r="E2066" s="5" t="s">
        <v>1331</v>
      </c>
      <c r="F2066" s="5" t="s">
        <v>1336</v>
      </c>
      <c r="G2066" s="6" t="s">
        <v>196</v>
      </c>
      <c r="H2066" s="6" t="s">
        <v>68</v>
      </c>
      <c r="I2066" s="6" t="s">
        <v>2226</v>
      </c>
      <c r="J2066" s="6">
        <v>6446</v>
      </c>
      <c r="K2066" s="7" t="s">
        <v>2227</v>
      </c>
      <c r="L2066" s="8">
        <v>183903</v>
      </c>
      <c r="M2066" s="8" t="str">
        <f t="shared" si="167"/>
        <v>PEN</v>
      </c>
      <c r="N2066" s="13"/>
      <c r="O2066" s="13">
        <v>52.95</v>
      </c>
      <c r="P2066" s="3">
        <f t="shared" si="168"/>
        <v>0</v>
      </c>
      <c r="Q2066" s="3">
        <f t="shared" si="169"/>
        <v>52.95</v>
      </c>
      <c r="R2066" s="3">
        <f t="shared" si="170"/>
        <v>80346.440000000031</v>
      </c>
      <c r="S2066" s="24" t="s">
        <v>1334</v>
      </c>
      <c r="T2066" s="24" t="s">
        <v>1334</v>
      </c>
      <c r="U2066" s="53"/>
      <c r="V2066" s="25">
        <f>IFERROR(VLOOKUP(BCP_Soles[[#This Row],[destinatario]],CHOOSE({1,2},Clientes_Proveedores[Razon Social],Clientes_Proveedores[Ruc / Dni]),2,0),"")</f>
        <v>20100055237</v>
      </c>
      <c r="W2066" s="25" t="s">
        <v>2228</v>
      </c>
      <c r="X2066" s="25" t="s">
        <v>3356</v>
      </c>
      <c r="Y2066" s="25"/>
      <c r="Z2066" s="75"/>
      <c r="AA2066" s="3" t="str">
        <f>IF(BCP_Soles[[#This Row],[fecha]]&gt;0,TEXT(BCP_Soles[[#This Row],[fecha]],"mmmm"),0)</f>
        <v>Junio</v>
      </c>
    </row>
    <row r="2067" spans="1:27" x14ac:dyDescent="0.3">
      <c r="A2067" s="2">
        <f>IF(BCP_Soles[[#This Row],[tipo_registro]]="R",COUNTIFS($C$1:$C2066,"R")+1,A2066)</f>
        <v>1545</v>
      </c>
      <c r="B2067" s="19" t="str">
        <f t="shared" si="166"/>
        <v>B-BCP - Soles</v>
      </c>
      <c r="C2067" s="3" t="s">
        <v>1330</v>
      </c>
      <c r="D2067" s="14">
        <v>45819</v>
      </c>
      <c r="E2067" s="5" t="s">
        <v>1331</v>
      </c>
      <c r="F2067" s="5" t="s">
        <v>1336</v>
      </c>
      <c r="G2067" s="6" t="s">
        <v>196</v>
      </c>
      <c r="H2067" s="6" t="s">
        <v>68</v>
      </c>
      <c r="I2067" s="6" t="s">
        <v>2226</v>
      </c>
      <c r="J2067" s="6">
        <v>6447</v>
      </c>
      <c r="K2067" s="7" t="s">
        <v>2227</v>
      </c>
      <c r="L2067" s="8">
        <v>181437</v>
      </c>
      <c r="M2067" s="8" t="str">
        <f t="shared" si="167"/>
        <v>PEN</v>
      </c>
      <c r="N2067" s="13"/>
      <c r="O2067" s="13">
        <v>388.66</v>
      </c>
      <c r="P2067" s="3">
        <f t="shared" si="168"/>
        <v>0</v>
      </c>
      <c r="Q2067" s="3">
        <f t="shared" si="169"/>
        <v>388.66</v>
      </c>
      <c r="R2067" s="3">
        <f t="shared" si="170"/>
        <v>79957.780000000028</v>
      </c>
      <c r="S2067" s="24" t="s">
        <v>1334</v>
      </c>
      <c r="T2067" s="24" t="s">
        <v>1334</v>
      </c>
      <c r="U2067" s="53"/>
      <c r="V2067" s="25">
        <f>IFERROR(VLOOKUP(BCP_Soles[[#This Row],[destinatario]],CHOOSE({1,2},Clientes_Proveedores[Razon Social],Clientes_Proveedores[Ruc / Dni]),2,0),"")</f>
        <v>20100055237</v>
      </c>
      <c r="W2067" s="25" t="s">
        <v>2228</v>
      </c>
      <c r="X2067" s="25" t="s">
        <v>3357</v>
      </c>
      <c r="Y2067" s="25"/>
      <c r="Z2067" s="75"/>
      <c r="AA2067" s="3" t="str">
        <f>IF(BCP_Soles[[#This Row],[fecha]]&gt;0,TEXT(BCP_Soles[[#This Row],[fecha]],"mmmm"),0)</f>
        <v>Junio</v>
      </c>
    </row>
    <row r="2068" spans="1:27" x14ac:dyDescent="0.3">
      <c r="A2068" s="2">
        <f>IF(BCP_Soles[[#This Row],[tipo_registro]]="R",COUNTIFS($C$1:$C2067,"R")+1,A2067)</f>
        <v>1546</v>
      </c>
      <c r="B2068" s="19" t="str">
        <f t="shared" si="166"/>
        <v>B-BCP - Soles</v>
      </c>
      <c r="C2068" s="3" t="s">
        <v>1330</v>
      </c>
      <c r="D2068" s="14">
        <v>45819</v>
      </c>
      <c r="E2068" s="5" t="s">
        <v>1331</v>
      </c>
      <c r="F2068" s="5" t="s">
        <v>1336</v>
      </c>
      <c r="G2068" s="6" t="s">
        <v>196</v>
      </c>
      <c r="H2068" s="6" t="s">
        <v>68</v>
      </c>
      <c r="I2068" s="6" t="s">
        <v>2226</v>
      </c>
      <c r="J2068" s="6">
        <v>6448</v>
      </c>
      <c r="K2068" s="7" t="s">
        <v>2227</v>
      </c>
      <c r="L2068" s="8">
        <v>180498</v>
      </c>
      <c r="M2068" s="8" t="str">
        <f t="shared" si="167"/>
        <v>PEN</v>
      </c>
      <c r="N2068" s="13"/>
      <c r="O2068" s="13">
        <v>86.95</v>
      </c>
      <c r="P2068" s="3">
        <f t="shared" si="168"/>
        <v>0</v>
      </c>
      <c r="Q2068" s="3">
        <f t="shared" si="169"/>
        <v>86.95</v>
      </c>
      <c r="R2068" s="3">
        <f t="shared" si="170"/>
        <v>79870.830000000031</v>
      </c>
      <c r="S2068" s="24" t="s">
        <v>1334</v>
      </c>
      <c r="T2068" s="24" t="s">
        <v>1334</v>
      </c>
      <c r="U2068" s="53"/>
      <c r="V2068" s="25">
        <f>IFERROR(VLOOKUP(BCP_Soles[[#This Row],[destinatario]],CHOOSE({1,2},Clientes_Proveedores[Razon Social],Clientes_Proveedores[Ruc / Dni]),2,0),"")</f>
        <v>20100055237</v>
      </c>
      <c r="W2068" s="25" t="s">
        <v>2228</v>
      </c>
      <c r="X2068" s="25" t="s">
        <v>3358</v>
      </c>
      <c r="Y2068" s="25"/>
      <c r="Z2068" s="75"/>
      <c r="AA2068" s="3" t="str">
        <f>IF(BCP_Soles[[#This Row],[fecha]]&gt;0,TEXT(BCP_Soles[[#This Row],[fecha]],"mmmm"),0)</f>
        <v>Junio</v>
      </c>
    </row>
    <row r="2069" spans="1:27" x14ac:dyDescent="0.3">
      <c r="A2069" s="2">
        <f>IF(BCP_Soles[[#This Row],[tipo_registro]]="R",COUNTIFS($C$1:$C2068,"R")+1,A2068)</f>
        <v>1547</v>
      </c>
      <c r="B2069" s="19" t="str">
        <f t="shared" si="166"/>
        <v>B-BCP - Soles</v>
      </c>
      <c r="C2069" s="3" t="s">
        <v>1330</v>
      </c>
      <c r="D2069" s="14">
        <v>45819</v>
      </c>
      <c r="E2069" s="5" t="s">
        <v>1331</v>
      </c>
      <c r="F2069" s="5" t="s">
        <v>1336</v>
      </c>
      <c r="G2069" s="6" t="s">
        <v>196</v>
      </c>
      <c r="H2069" s="6" t="s">
        <v>68</v>
      </c>
      <c r="I2069" s="6" t="s">
        <v>2226</v>
      </c>
      <c r="J2069" s="6">
        <v>6449</v>
      </c>
      <c r="K2069" s="7" t="s">
        <v>2227</v>
      </c>
      <c r="L2069" s="8">
        <v>181435</v>
      </c>
      <c r="M2069" s="8" t="str">
        <f t="shared" si="167"/>
        <v>PEN</v>
      </c>
      <c r="N2069" s="13"/>
      <c r="O2069" s="13">
        <v>558.08000000000004</v>
      </c>
      <c r="P2069" s="3">
        <f t="shared" si="168"/>
        <v>0</v>
      </c>
      <c r="Q2069" s="3">
        <f t="shared" si="169"/>
        <v>558.08000000000004</v>
      </c>
      <c r="R2069" s="3">
        <f t="shared" si="170"/>
        <v>79312.750000000029</v>
      </c>
      <c r="S2069" s="24" t="s">
        <v>1334</v>
      </c>
      <c r="T2069" s="24" t="s">
        <v>1334</v>
      </c>
      <c r="U2069" s="53"/>
      <c r="V2069" s="25">
        <f>IFERROR(VLOOKUP(BCP_Soles[[#This Row],[destinatario]],CHOOSE({1,2},Clientes_Proveedores[Razon Social],Clientes_Proveedores[Ruc / Dni]),2,0),"")</f>
        <v>20100055237</v>
      </c>
      <c r="W2069" s="25" t="s">
        <v>2228</v>
      </c>
      <c r="X2069" s="25" t="s">
        <v>3359</v>
      </c>
      <c r="Y2069" s="25"/>
      <c r="Z2069" s="75"/>
      <c r="AA2069" s="3" t="str">
        <f>IF(BCP_Soles[[#This Row],[fecha]]&gt;0,TEXT(BCP_Soles[[#This Row],[fecha]],"mmmm"),0)</f>
        <v>Junio</v>
      </c>
    </row>
    <row r="2070" spans="1:27" x14ac:dyDescent="0.3">
      <c r="A2070" s="2">
        <f>IF(BCP_Soles[[#This Row],[tipo_registro]]="R",COUNTIFS($C$1:$C2069,"R")+1,A2069)</f>
        <v>1548</v>
      </c>
      <c r="B2070" s="19" t="str">
        <f t="shared" ref="B2070:B2133" si="171">"B-BCP - Soles"</f>
        <v>B-BCP - Soles</v>
      </c>
      <c r="C2070" s="3" t="s">
        <v>1330</v>
      </c>
      <c r="D2070" s="14">
        <v>45819</v>
      </c>
      <c r="E2070" s="5" t="s">
        <v>1331</v>
      </c>
      <c r="F2070" s="5" t="s">
        <v>1336</v>
      </c>
      <c r="G2070" s="6" t="s">
        <v>196</v>
      </c>
      <c r="H2070" s="6" t="s">
        <v>68</v>
      </c>
      <c r="I2070" s="6" t="s">
        <v>2226</v>
      </c>
      <c r="J2070" s="6">
        <v>6451</v>
      </c>
      <c r="K2070" s="7" t="s">
        <v>2227</v>
      </c>
      <c r="L2070" s="8">
        <v>182917</v>
      </c>
      <c r="M2070" s="8" t="str">
        <f t="shared" ref="M2070:M2133" si="172">"PEN"</f>
        <v>PEN</v>
      </c>
      <c r="N2070" s="13"/>
      <c r="O2070" s="13">
        <v>78.39</v>
      </c>
      <c r="P2070" s="3">
        <f t="shared" ref="P2070:P2133" si="173">+IF(OR($F2070="SALDO",$F2070="INGRESO"),$O2070,0)</f>
        <v>0</v>
      </c>
      <c r="Q2070" s="3">
        <f t="shared" ref="Q2070:Q2133" si="174">+IF($F2070="EGRESO",$O2070,0)</f>
        <v>78.39</v>
      </c>
      <c r="R2070" s="3">
        <f t="shared" si="170"/>
        <v>79234.36000000003</v>
      </c>
      <c r="S2070" s="24" t="s">
        <v>1334</v>
      </c>
      <c r="T2070" s="24" t="s">
        <v>1334</v>
      </c>
      <c r="U2070" s="53"/>
      <c r="V2070" s="25">
        <f>IFERROR(VLOOKUP(BCP_Soles[[#This Row],[destinatario]],CHOOSE({1,2},Clientes_Proveedores[Razon Social],Clientes_Proveedores[Ruc / Dni]),2,0),"")</f>
        <v>20100055237</v>
      </c>
      <c r="W2070" s="25" t="s">
        <v>2228</v>
      </c>
      <c r="X2070" s="25" t="s">
        <v>3360</v>
      </c>
      <c r="Y2070" s="25"/>
      <c r="Z2070" s="75"/>
      <c r="AA2070" s="3" t="str">
        <f>IF(BCP_Soles[[#This Row],[fecha]]&gt;0,TEXT(BCP_Soles[[#This Row],[fecha]],"mmmm"),0)</f>
        <v>Junio</v>
      </c>
    </row>
    <row r="2071" spans="1:27" x14ac:dyDescent="0.3">
      <c r="A2071" s="2">
        <f>IF(BCP_Soles[[#This Row],[tipo_registro]]="R",COUNTIFS($C$1:$C2070,"R")+1,A2070)</f>
        <v>1549</v>
      </c>
      <c r="B2071" s="19" t="str">
        <f t="shared" si="171"/>
        <v>B-BCP - Soles</v>
      </c>
      <c r="C2071" s="3" t="s">
        <v>1330</v>
      </c>
      <c r="D2071" s="14">
        <v>45819</v>
      </c>
      <c r="E2071" s="5" t="s">
        <v>1331</v>
      </c>
      <c r="F2071" s="5" t="s">
        <v>1336</v>
      </c>
      <c r="G2071" s="6" t="s">
        <v>196</v>
      </c>
      <c r="H2071" s="6" t="s">
        <v>68</v>
      </c>
      <c r="I2071" s="6" t="s">
        <v>2226</v>
      </c>
      <c r="J2071" s="6">
        <v>6450</v>
      </c>
      <c r="K2071" s="7" t="s">
        <v>2227</v>
      </c>
      <c r="L2071" s="8">
        <v>180499</v>
      </c>
      <c r="M2071" s="8" t="str">
        <f t="shared" si="172"/>
        <v>PEN</v>
      </c>
      <c r="N2071" s="13"/>
      <c r="O2071" s="13">
        <v>99.41</v>
      </c>
      <c r="P2071" s="3">
        <f t="shared" si="173"/>
        <v>0</v>
      </c>
      <c r="Q2071" s="3">
        <f t="shared" si="174"/>
        <v>99.41</v>
      </c>
      <c r="R2071" s="3">
        <f t="shared" si="170"/>
        <v>79134.950000000026</v>
      </c>
      <c r="S2071" s="24" t="s">
        <v>1334</v>
      </c>
      <c r="T2071" s="24" t="s">
        <v>1334</v>
      </c>
      <c r="U2071" s="53"/>
      <c r="V2071" s="25">
        <f>IFERROR(VLOOKUP(BCP_Soles[[#This Row],[destinatario]],CHOOSE({1,2},Clientes_Proveedores[Razon Social],Clientes_Proveedores[Ruc / Dni]),2,0),"")</f>
        <v>20100055237</v>
      </c>
      <c r="W2071" s="25" t="s">
        <v>2228</v>
      </c>
      <c r="X2071" s="25" t="s">
        <v>3361</v>
      </c>
      <c r="Y2071" s="25"/>
      <c r="Z2071" s="75"/>
      <c r="AA2071" s="3" t="str">
        <f>IF(BCP_Soles[[#This Row],[fecha]]&gt;0,TEXT(BCP_Soles[[#This Row],[fecha]],"mmmm"),0)</f>
        <v>Junio</v>
      </c>
    </row>
    <row r="2072" spans="1:27" x14ac:dyDescent="0.3">
      <c r="A2072" s="2">
        <f>IF(BCP_Soles[[#This Row],[tipo_registro]]="R",COUNTIFS($C$1:$C2071,"R")+1,A2071)</f>
        <v>1550</v>
      </c>
      <c r="B2072" s="19" t="str">
        <f t="shared" si="171"/>
        <v>B-BCP - Soles</v>
      </c>
      <c r="C2072" s="3" t="s">
        <v>1330</v>
      </c>
      <c r="D2072" s="14">
        <v>45819</v>
      </c>
      <c r="E2072" s="5" t="s">
        <v>1331</v>
      </c>
      <c r="F2072" s="5" t="s">
        <v>1336</v>
      </c>
      <c r="G2072" s="6" t="s">
        <v>196</v>
      </c>
      <c r="H2072" s="6" t="s">
        <v>68</v>
      </c>
      <c r="I2072" s="6" t="s">
        <v>2226</v>
      </c>
      <c r="J2072" s="6">
        <v>6452</v>
      </c>
      <c r="K2072" s="7" t="s">
        <v>2227</v>
      </c>
      <c r="L2072" s="8">
        <v>182432</v>
      </c>
      <c r="M2072" s="8" t="str">
        <f t="shared" si="172"/>
        <v>PEN</v>
      </c>
      <c r="N2072" s="13"/>
      <c r="O2072" s="13">
        <v>215.7</v>
      </c>
      <c r="P2072" s="3">
        <f t="shared" si="173"/>
        <v>0</v>
      </c>
      <c r="Q2072" s="3">
        <f t="shared" si="174"/>
        <v>215.7</v>
      </c>
      <c r="R2072" s="3">
        <f t="shared" si="170"/>
        <v>78919.250000000029</v>
      </c>
      <c r="S2072" s="24" t="s">
        <v>1334</v>
      </c>
      <c r="T2072" s="24" t="s">
        <v>1334</v>
      </c>
      <c r="U2072" s="53"/>
      <c r="V2072" s="25">
        <f>IFERROR(VLOOKUP(BCP_Soles[[#This Row],[destinatario]],CHOOSE({1,2},Clientes_Proveedores[Razon Social],Clientes_Proveedores[Ruc / Dni]),2,0),"")</f>
        <v>20100055237</v>
      </c>
      <c r="W2072" s="25" t="s">
        <v>2228</v>
      </c>
      <c r="X2072" s="25" t="s">
        <v>3362</v>
      </c>
      <c r="Y2072" s="25"/>
      <c r="Z2072" s="75"/>
      <c r="AA2072" s="3" t="str">
        <f>IF(BCP_Soles[[#This Row],[fecha]]&gt;0,TEXT(BCP_Soles[[#This Row],[fecha]],"mmmm"),0)</f>
        <v>Junio</v>
      </c>
    </row>
    <row r="2073" spans="1:27" x14ac:dyDescent="0.3">
      <c r="A2073" s="2">
        <f>IF(BCP_Soles[[#This Row],[tipo_registro]]="R",COUNTIFS($C$1:$C2072,"R")+1,A2072)</f>
        <v>1551</v>
      </c>
      <c r="B2073" s="19" t="str">
        <f t="shared" si="171"/>
        <v>B-BCP - Soles</v>
      </c>
      <c r="C2073" s="3" t="s">
        <v>1330</v>
      </c>
      <c r="D2073" s="14">
        <v>45819</v>
      </c>
      <c r="E2073" s="5" t="s">
        <v>1331</v>
      </c>
      <c r="F2073" s="5" t="s">
        <v>1336</v>
      </c>
      <c r="G2073" s="6" t="s">
        <v>196</v>
      </c>
      <c r="H2073" s="6" t="s">
        <v>68</v>
      </c>
      <c r="I2073" s="6" t="s">
        <v>2226</v>
      </c>
      <c r="J2073" s="6">
        <v>6454</v>
      </c>
      <c r="K2073" s="7" t="s">
        <v>2227</v>
      </c>
      <c r="L2073" s="8">
        <v>182918</v>
      </c>
      <c r="M2073" s="8" t="str">
        <f t="shared" si="172"/>
        <v>PEN</v>
      </c>
      <c r="N2073" s="13"/>
      <c r="O2073" s="13">
        <v>63.34</v>
      </c>
      <c r="P2073" s="3">
        <f t="shared" si="173"/>
        <v>0</v>
      </c>
      <c r="Q2073" s="3">
        <f t="shared" si="174"/>
        <v>63.34</v>
      </c>
      <c r="R2073" s="3">
        <f t="shared" si="170"/>
        <v>78855.910000000033</v>
      </c>
      <c r="S2073" s="24" t="s">
        <v>1334</v>
      </c>
      <c r="T2073" s="24" t="s">
        <v>1334</v>
      </c>
      <c r="U2073" s="53"/>
      <c r="V2073" s="25">
        <f>IFERROR(VLOOKUP(BCP_Soles[[#This Row],[destinatario]],CHOOSE({1,2},Clientes_Proveedores[Razon Social],Clientes_Proveedores[Ruc / Dni]),2,0),"")</f>
        <v>20100055237</v>
      </c>
      <c r="W2073" s="25" t="s">
        <v>2228</v>
      </c>
      <c r="X2073" s="25" t="s">
        <v>3363</v>
      </c>
      <c r="Y2073" s="25"/>
      <c r="Z2073" s="75"/>
      <c r="AA2073" s="3" t="str">
        <f>IF(BCP_Soles[[#This Row],[fecha]]&gt;0,TEXT(BCP_Soles[[#This Row],[fecha]],"mmmm"),0)</f>
        <v>Junio</v>
      </c>
    </row>
    <row r="2074" spans="1:27" x14ac:dyDescent="0.3">
      <c r="A2074" s="2">
        <f>IF(BCP_Soles[[#This Row],[tipo_registro]]="R",COUNTIFS($C$1:$C2073,"R")+1,A2073)</f>
        <v>1552</v>
      </c>
      <c r="B2074" s="19" t="str">
        <f t="shared" si="171"/>
        <v>B-BCP - Soles</v>
      </c>
      <c r="C2074" s="3" t="s">
        <v>1330</v>
      </c>
      <c r="D2074" s="14">
        <v>45819</v>
      </c>
      <c r="E2074" s="5" t="s">
        <v>1331</v>
      </c>
      <c r="F2074" s="5" t="s">
        <v>1336</v>
      </c>
      <c r="G2074" s="6" t="s">
        <v>196</v>
      </c>
      <c r="H2074" s="6" t="s">
        <v>68</v>
      </c>
      <c r="I2074" s="6" t="s">
        <v>2226</v>
      </c>
      <c r="J2074" s="6">
        <v>6453</v>
      </c>
      <c r="K2074" s="7" t="s">
        <v>2227</v>
      </c>
      <c r="L2074" s="8">
        <v>180497</v>
      </c>
      <c r="M2074" s="8" t="str">
        <f t="shared" si="172"/>
        <v>PEN</v>
      </c>
      <c r="N2074" s="13"/>
      <c r="O2074" s="13">
        <v>9.68</v>
      </c>
      <c r="P2074" s="3">
        <f t="shared" si="173"/>
        <v>0</v>
      </c>
      <c r="Q2074" s="3">
        <f t="shared" si="174"/>
        <v>9.68</v>
      </c>
      <c r="R2074" s="3">
        <f t="shared" si="170"/>
        <v>78846.23000000004</v>
      </c>
      <c r="S2074" s="24" t="s">
        <v>1334</v>
      </c>
      <c r="T2074" s="24" t="s">
        <v>1334</v>
      </c>
      <c r="U2074" s="53"/>
      <c r="V2074" s="25">
        <f>IFERROR(VLOOKUP(BCP_Soles[[#This Row],[destinatario]],CHOOSE({1,2},Clientes_Proveedores[Razon Social],Clientes_Proveedores[Ruc / Dni]),2,0),"")</f>
        <v>20100055237</v>
      </c>
      <c r="W2074" s="25" t="s">
        <v>2228</v>
      </c>
      <c r="X2074" s="25" t="s">
        <v>3364</v>
      </c>
      <c r="Y2074" s="25"/>
      <c r="Z2074" s="75"/>
      <c r="AA2074" s="3" t="str">
        <f>IF(BCP_Soles[[#This Row],[fecha]]&gt;0,TEXT(BCP_Soles[[#This Row],[fecha]],"mmmm"),0)</f>
        <v>Junio</v>
      </c>
    </row>
    <row r="2075" spans="1:27" x14ac:dyDescent="0.3">
      <c r="A2075" s="2">
        <f>IF(BCP_Soles[[#This Row],[tipo_registro]]="R",COUNTIFS($C$1:$C2074,"R")+1,A2074)</f>
        <v>1553</v>
      </c>
      <c r="B2075" s="19" t="str">
        <f t="shared" si="171"/>
        <v>B-BCP - Soles</v>
      </c>
      <c r="C2075" s="3" t="s">
        <v>1330</v>
      </c>
      <c r="D2075" s="14">
        <v>45819</v>
      </c>
      <c r="E2075" s="5" t="s">
        <v>1331</v>
      </c>
      <c r="F2075" s="5" t="s">
        <v>1336</v>
      </c>
      <c r="G2075" s="6" t="s">
        <v>196</v>
      </c>
      <c r="H2075" s="6" t="s">
        <v>68</v>
      </c>
      <c r="I2075" s="6" t="s">
        <v>2226</v>
      </c>
      <c r="J2075" s="6">
        <v>6455</v>
      </c>
      <c r="K2075" s="7" t="s">
        <v>2227</v>
      </c>
      <c r="L2075" s="8">
        <v>183416</v>
      </c>
      <c r="M2075" s="8" t="str">
        <f t="shared" si="172"/>
        <v>PEN</v>
      </c>
      <c r="N2075" s="13"/>
      <c r="O2075" s="13">
        <v>333.94</v>
      </c>
      <c r="P2075" s="3">
        <f t="shared" si="173"/>
        <v>0</v>
      </c>
      <c r="Q2075" s="3">
        <f t="shared" si="174"/>
        <v>333.94</v>
      </c>
      <c r="R2075" s="3">
        <f t="shared" si="170"/>
        <v>78512.290000000037</v>
      </c>
      <c r="S2075" s="24" t="s">
        <v>1334</v>
      </c>
      <c r="T2075" s="24" t="s">
        <v>1334</v>
      </c>
      <c r="U2075" s="53"/>
      <c r="V2075" s="25">
        <f>IFERROR(VLOOKUP(BCP_Soles[[#This Row],[destinatario]],CHOOSE({1,2},Clientes_Proveedores[Razon Social],Clientes_Proveedores[Ruc / Dni]),2,0),"")</f>
        <v>20100055237</v>
      </c>
      <c r="W2075" s="25" t="s">
        <v>2228</v>
      </c>
      <c r="X2075" s="25" t="s">
        <v>3365</v>
      </c>
      <c r="Y2075" s="25"/>
      <c r="Z2075" s="75"/>
      <c r="AA2075" s="3" t="str">
        <f>IF(BCP_Soles[[#This Row],[fecha]]&gt;0,TEXT(BCP_Soles[[#This Row],[fecha]],"mmmm"),0)</f>
        <v>Junio</v>
      </c>
    </row>
    <row r="2076" spans="1:27" x14ac:dyDescent="0.3">
      <c r="A2076" s="2">
        <f>IF(BCP_Soles[[#This Row],[tipo_registro]]="R",COUNTIFS($C$1:$C2075,"R")+1,A2075)</f>
        <v>1554</v>
      </c>
      <c r="B2076" s="19" t="str">
        <f t="shared" si="171"/>
        <v>B-BCP - Soles</v>
      </c>
      <c r="C2076" s="3" t="s">
        <v>1330</v>
      </c>
      <c r="D2076" s="14">
        <v>45819</v>
      </c>
      <c r="E2076" s="5" t="s">
        <v>1331</v>
      </c>
      <c r="F2076" s="5" t="s">
        <v>1336</v>
      </c>
      <c r="G2076" s="6" t="s">
        <v>196</v>
      </c>
      <c r="H2076" s="6" t="s">
        <v>68</v>
      </c>
      <c r="I2076" s="6" t="s">
        <v>2226</v>
      </c>
      <c r="J2076" s="6">
        <v>6457</v>
      </c>
      <c r="K2076" s="7" t="s">
        <v>2227</v>
      </c>
      <c r="L2076" s="8">
        <v>180500</v>
      </c>
      <c r="M2076" s="8" t="str">
        <f t="shared" si="172"/>
        <v>PEN</v>
      </c>
      <c r="N2076" s="13"/>
      <c r="O2076" s="13">
        <v>416.88</v>
      </c>
      <c r="P2076" s="3">
        <f t="shared" si="173"/>
        <v>0</v>
      </c>
      <c r="Q2076" s="3">
        <f t="shared" si="174"/>
        <v>416.88</v>
      </c>
      <c r="R2076" s="3">
        <f t="shared" si="170"/>
        <v>78095.410000000033</v>
      </c>
      <c r="S2076" s="24" t="s">
        <v>1334</v>
      </c>
      <c r="T2076" s="24" t="s">
        <v>1334</v>
      </c>
      <c r="U2076" s="53"/>
      <c r="V2076" s="25">
        <f>IFERROR(VLOOKUP(BCP_Soles[[#This Row],[destinatario]],CHOOSE({1,2},Clientes_Proveedores[Razon Social],Clientes_Proveedores[Ruc / Dni]),2,0),"")</f>
        <v>20100055237</v>
      </c>
      <c r="W2076" s="25" t="s">
        <v>2228</v>
      </c>
      <c r="X2076" s="25" t="s">
        <v>3366</v>
      </c>
      <c r="Y2076" s="25"/>
      <c r="Z2076" s="75"/>
      <c r="AA2076" s="3" t="str">
        <f>IF(BCP_Soles[[#This Row],[fecha]]&gt;0,TEXT(BCP_Soles[[#This Row],[fecha]],"mmmm"),0)</f>
        <v>Junio</v>
      </c>
    </row>
    <row r="2077" spans="1:27" x14ac:dyDescent="0.3">
      <c r="A2077" s="2">
        <f>IF(BCP_Soles[[#This Row],[tipo_registro]]="R",COUNTIFS($C$1:$C2076,"R")+1,A2076)</f>
        <v>1555</v>
      </c>
      <c r="B2077" s="19" t="str">
        <f t="shared" si="171"/>
        <v>B-BCP - Soles</v>
      </c>
      <c r="C2077" s="3" t="s">
        <v>1330</v>
      </c>
      <c r="D2077" s="14">
        <v>45819</v>
      </c>
      <c r="E2077" s="5" t="s">
        <v>1331</v>
      </c>
      <c r="F2077" s="5" t="s">
        <v>1336</v>
      </c>
      <c r="G2077" s="6" t="s">
        <v>196</v>
      </c>
      <c r="H2077" s="6" t="s">
        <v>68</v>
      </c>
      <c r="I2077" s="6" t="s">
        <v>2226</v>
      </c>
      <c r="J2077" s="6">
        <v>6456</v>
      </c>
      <c r="K2077" s="7" t="s">
        <v>2227</v>
      </c>
      <c r="L2077" s="8">
        <v>183417</v>
      </c>
      <c r="M2077" s="8" t="str">
        <f t="shared" si="172"/>
        <v>PEN</v>
      </c>
      <c r="N2077" s="13"/>
      <c r="O2077" s="13">
        <v>151.41999999999999</v>
      </c>
      <c r="P2077" s="3">
        <f t="shared" si="173"/>
        <v>0</v>
      </c>
      <c r="Q2077" s="3">
        <f t="shared" si="174"/>
        <v>151.41999999999999</v>
      </c>
      <c r="R2077" s="3">
        <f t="shared" si="170"/>
        <v>77943.990000000034</v>
      </c>
      <c r="S2077" s="24" t="s">
        <v>1334</v>
      </c>
      <c r="T2077" s="24" t="s">
        <v>1334</v>
      </c>
      <c r="U2077" s="53"/>
      <c r="V2077" s="25">
        <f>IFERROR(VLOOKUP(BCP_Soles[[#This Row],[destinatario]],CHOOSE({1,2},Clientes_Proveedores[Razon Social],Clientes_Proveedores[Ruc / Dni]),2,0),"")</f>
        <v>20100055237</v>
      </c>
      <c r="W2077" s="25" t="s">
        <v>2228</v>
      </c>
      <c r="X2077" s="25" t="s">
        <v>3367</v>
      </c>
      <c r="Y2077" s="25"/>
      <c r="Z2077" s="75"/>
      <c r="AA2077" s="3" t="str">
        <f>IF(BCP_Soles[[#This Row],[fecha]]&gt;0,TEXT(BCP_Soles[[#This Row],[fecha]],"mmmm"),0)</f>
        <v>Junio</v>
      </c>
    </row>
    <row r="2078" spans="1:27" ht="24" x14ac:dyDescent="0.3">
      <c r="A2078" s="2">
        <f>IF(BCP_Soles[[#This Row],[tipo_registro]]="R",COUNTIFS($C$1:$C2077,"R")+1,A2077)</f>
        <v>1556</v>
      </c>
      <c r="B2078" s="19" t="str">
        <f t="shared" si="171"/>
        <v>B-BCP - Soles</v>
      </c>
      <c r="C2078" s="3" t="s">
        <v>1330</v>
      </c>
      <c r="D2078" s="14">
        <v>45819</v>
      </c>
      <c r="E2078" s="5" t="s">
        <v>1331</v>
      </c>
      <c r="F2078" s="5" t="s">
        <v>1336</v>
      </c>
      <c r="G2078" s="6" t="s">
        <v>866</v>
      </c>
      <c r="H2078" s="6" t="s">
        <v>143</v>
      </c>
      <c r="I2078" s="6">
        <v>1</v>
      </c>
      <c r="J2078" s="6">
        <v>402025</v>
      </c>
      <c r="K2078" s="7" t="s">
        <v>3368</v>
      </c>
      <c r="L2078" s="8">
        <v>1182920</v>
      </c>
      <c r="M2078" s="8" t="str">
        <f t="shared" si="172"/>
        <v>PEN</v>
      </c>
      <c r="N2078" s="13"/>
      <c r="O2078" s="13">
        <v>460</v>
      </c>
      <c r="P2078" s="3">
        <f t="shared" si="173"/>
        <v>0</v>
      </c>
      <c r="Q2078" s="3">
        <f t="shared" si="174"/>
        <v>460</v>
      </c>
      <c r="R2078" s="3">
        <f t="shared" si="170"/>
        <v>77483.990000000034</v>
      </c>
      <c r="S2078" s="24"/>
      <c r="T2078" s="24"/>
      <c r="U2078" s="53"/>
      <c r="V2078" s="25">
        <f>IFERROR(VLOOKUP(BCP_Soles[[#This Row],[destinatario]],CHOOSE({1,2},Clientes_Proveedores[Razon Social],Clientes_Proveedores[Ruc / Dni]),2,0),"")</f>
        <v>45921913</v>
      </c>
      <c r="W2078" s="25" t="s">
        <v>866</v>
      </c>
      <c r="X2078" s="25" t="s">
        <v>3369</v>
      </c>
      <c r="Y2078" s="25"/>
      <c r="Z2078" s="75"/>
      <c r="AA2078" s="3" t="str">
        <f>IF(BCP_Soles[[#This Row],[fecha]]&gt;0,TEXT(BCP_Soles[[#This Row],[fecha]],"mmmm"),0)</f>
        <v>Junio</v>
      </c>
    </row>
    <row r="2079" spans="1:27" ht="24" x14ac:dyDescent="0.3">
      <c r="A2079" s="2">
        <f>IF(BCP_Soles[[#This Row],[tipo_registro]]="R",COUNTIFS($C$1:$C2078,"R")+1,A2078)</f>
        <v>1557</v>
      </c>
      <c r="B2079" s="19" t="str">
        <f t="shared" si="171"/>
        <v>B-BCP - Soles</v>
      </c>
      <c r="C2079" s="3" t="s">
        <v>1330</v>
      </c>
      <c r="D2079" s="14">
        <v>45819</v>
      </c>
      <c r="E2079" s="5" t="s">
        <v>1331</v>
      </c>
      <c r="F2079" s="5" t="s">
        <v>1336</v>
      </c>
      <c r="G2079" s="6" t="s">
        <v>249</v>
      </c>
      <c r="H2079" s="6"/>
      <c r="I2079" s="6"/>
      <c r="J2079" s="6"/>
      <c r="K2079" s="7" t="s">
        <v>3370</v>
      </c>
      <c r="L2079" s="8">
        <v>1181438</v>
      </c>
      <c r="M2079" s="8" t="str">
        <f t="shared" si="172"/>
        <v>PEN</v>
      </c>
      <c r="N2079" s="13"/>
      <c r="O2079" s="13">
        <v>2142.41</v>
      </c>
      <c r="P2079" s="3">
        <f t="shared" si="173"/>
        <v>0</v>
      </c>
      <c r="Q2079" s="3">
        <f t="shared" si="174"/>
        <v>2142.41</v>
      </c>
      <c r="R2079" s="3">
        <f t="shared" si="170"/>
        <v>75341.580000000031</v>
      </c>
      <c r="S2079" s="24"/>
      <c r="T2079" s="24" t="s">
        <v>1334</v>
      </c>
      <c r="U2079" s="53"/>
      <c r="V2079" s="25">
        <f>IFERROR(VLOOKUP(BCP_Soles[[#This Row],[destinatario]],CHOOSE({1,2},Clientes_Proveedores[Razon Social],Clientes_Proveedores[Ruc / Dni]),2,0),"")</f>
        <v>20302891452</v>
      </c>
      <c r="W2079" s="25" t="s">
        <v>249</v>
      </c>
      <c r="X2079" s="25"/>
      <c r="Y2079" s="25"/>
      <c r="Z2079" s="75"/>
      <c r="AA2079" s="3" t="str">
        <f>IF(BCP_Soles[[#This Row],[fecha]]&gt;0,TEXT(BCP_Soles[[#This Row],[fecha]],"mmmm"),0)</f>
        <v>Junio</v>
      </c>
    </row>
    <row r="2080" spans="1:27" ht="24" x14ac:dyDescent="0.3">
      <c r="A2080" s="2">
        <f>IF(BCP_Soles[[#This Row],[tipo_registro]]="R",COUNTIFS($C$1:$C2079,"R")+1,A2079)</f>
        <v>1558</v>
      </c>
      <c r="B2080" s="19" t="str">
        <f t="shared" si="171"/>
        <v>B-BCP - Soles</v>
      </c>
      <c r="C2080" s="3" t="s">
        <v>1330</v>
      </c>
      <c r="D2080" s="14">
        <v>45819</v>
      </c>
      <c r="E2080" s="5" t="s">
        <v>1331</v>
      </c>
      <c r="F2080" s="5" t="s">
        <v>1336</v>
      </c>
      <c r="G2080" s="6" t="s">
        <v>695</v>
      </c>
      <c r="H2080" s="6" t="s">
        <v>68</v>
      </c>
      <c r="I2080" s="6"/>
      <c r="J2080" s="6"/>
      <c r="K2080" s="7" t="s">
        <v>1378</v>
      </c>
      <c r="L2080" s="8">
        <v>180953</v>
      </c>
      <c r="M2080" s="8" t="str">
        <f t="shared" si="172"/>
        <v>PEN</v>
      </c>
      <c r="N2080" s="13"/>
      <c r="O2080" s="13">
        <v>4387.0200000000004</v>
      </c>
      <c r="P2080" s="3">
        <f t="shared" si="173"/>
        <v>0</v>
      </c>
      <c r="Q2080" s="3">
        <f t="shared" si="174"/>
        <v>4387.0200000000004</v>
      </c>
      <c r="R2080" s="3">
        <f t="shared" si="170"/>
        <v>70954.560000000027</v>
      </c>
      <c r="S2080" s="24" t="s">
        <v>1334</v>
      </c>
      <c r="T2080" s="24" t="s">
        <v>1334</v>
      </c>
      <c r="U2080" s="53"/>
      <c r="V2080" s="25">
        <f>IFERROR(VLOOKUP(BCP_Soles[[#This Row],[destinatario]],CHOOSE({1,2},Clientes_Proveedores[Razon Social],Clientes_Proveedores[Ruc / Dni]),2,0),"")</f>
        <v>20127765279</v>
      </c>
      <c r="W2080" s="25" t="s">
        <v>1379</v>
      </c>
      <c r="X2080" s="25" t="s">
        <v>3371</v>
      </c>
      <c r="Y2080" s="25"/>
      <c r="Z2080" s="75"/>
      <c r="AA2080" s="3" t="str">
        <f>IF(BCP_Soles[[#This Row],[fecha]]&gt;0,TEXT(BCP_Soles[[#This Row],[fecha]],"mmmm"),0)</f>
        <v>Junio</v>
      </c>
    </row>
    <row r="2081" spans="1:27" ht="24" x14ac:dyDescent="0.3">
      <c r="A2081" s="2">
        <f>IF(BCP_Soles[[#This Row],[tipo_registro]]="R",COUNTIFS($C$1:$C2080,"R")+1,A2080)</f>
        <v>1559</v>
      </c>
      <c r="B2081" s="19" t="str">
        <f t="shared" si="171"/>
        <v>B-BCP - Soles</v>
      </c>
      <c r="C2081" s="3" t="s">
        <v>1330</v>
      </c>
      <c r="D2081" s="14">
        <v>45819</v>
      </c>
      <c r="E2081" s="5" t="s">
        <v>1331</v>
      </c>
      <c r="F2081" s="5" t="s">
        <v>1336</v>
      </c>
      <c r="G2081" s="6" t="s">
        <v>705</v>
      </c>
      <c r="H2081" s="6" t="s">
        <v>106</v>
      </c>
      <c r="I2081" s="6" t="s">
        <v>1563</v>
      </c>
      <c r="J2081" s="6">
        <v>70410182</v>
      </c>
      <c r="K2081" s="7" t="s">
        <v>3372</v>
      </c>
      <c r="L2081" s="8">
        <v>4184001</v>
      </c>
      <c r="M2081" s="8" t="str">
        <f t="shared" si="172"/>
        <v>PEN</v>
      </c>
      <c r="N2081" s="13"/>
      <c r="O2081" s="13">
        <v>79.900000000000006</v>
      </c>
      <c r="P2081" s="3">
        <f t="shared" si="173"/>
        <v>0</v>
      </c>
      <c r="Q2081" s="3">
        <f t="shared" si="174"/>
        <v>79.900000000000006</v>
      </c>
      <c r="R2081" s="3">
        <f t="shared" si="170"/>
        <v>70874.660000000033</v>
      </c>
      <c r="S2081" s="24" t="s">
        <v>1334</v>
      </c>
      <c r="T2081" s="24" t="s">
        <v>1334</v>
      </c>
      <c r="U2081" s="53"/>
      <c r="V2081" s="25">
        <f>IFERROR(VLOOKUP(BCP_Soles[[#This Row],[destinatario]],CHOOSE({1,2},Clientes_Proveedores[Razon Social],Clientes_Proveedores[Ruc / Dni]),2,0),"")</f>
        <v>20100017491</v>
      </c>
      <c r="W2081" s="25" t="s">
        <v>1565</v>
      </c>
      <c r="X2081" s="25" t="s">
        <v>3373</v>
      </c>
      <c r="Y2081" s="25"/>
      <c r="Z2081" s="75"/>
      <c r="AA2081" s="3" t="str">
        <f>IF(BCP_Soles[[#This Row],[fecha]]&gt;0,TEXT(BCP_Soles[[#This Row],[fecha]],"mmmm"),0)</f>
        <v>Junio</v>
      </c>
    </row>
    <row r="2082" spans="1:27" ht="24" x14ac:dyDescent="0.3">
      <c r="A2082" s="2">
        <f>IF(BCP_Soles[[#This Row],[tipo_registro]]="R",COUNTIFS($C$1:$C2081,"R")+1,A2081)</f>
        <v>1560</v>
      </c>
      <c r="B2082" s="19" t="str">
        <f t="shared" si="171"/>
        <v>B-BCP - Soles</v>
      </c>
      <c r="C2082" s="3" t="s">
        <v>1330</v>
      </c>
      <c r="D2082" s="14">
        <v>45819</v>
      </c>
      <c r="E2082" s="5" t="s">
        <v>1331</v>
      </c>
      <c r="F2082" s="5" t="s">
        <v>1336</v>
      </c>
      <c r="G2082" s="6" t="s">
        <v>1069</v>
      </c>
      <c r="H2082" s="6" t="s">
        <v>143</v>
      </c>
      <c r="I2082" s="6">
        <v>1</v>
      </c>
      <c r="J2082" s="6">
        <v>332025</v>
      </c>
      <c r="K2082" s="7" t="s">
        <v>3374</v>
      </c>
      <c r="L2082" s="8">
        <v>1183905</v>
      </c>
      <c r="M2082" s="8" t="str">
        <f t="shared" si="172"/>
        <v>PEN</v>
      </c>
      <c r="N2082" s="13"/>
      <c r="O2082" s="13">
        <v>8.6999999999999993</v>
      </c>
      <c r="P2082" s="3">
        <f t="shared" si="173"/>
        <v>0</v>
      </c>
      <c r="Q2082" s="3">
        <f t="shared" si="174"/>
        <v>8.6999999999999993</v>
      </c>
      <c r="R2082" s="3">
        <f t="shared" si="170"/>
        <v>70865.960000000036</v>
      </c>
      <c r="S2082" s="24" t="s">
        <v>1334</v>
      </c>
      <c r="T2082" s="24" t="s">
        <v>1334</v>
      </c>
      <c r="U2082" s="53"/>
      <c r="V2082" s="25">
        <f>IFERROR(VLOOKUP(BCP_Soles[[#This Row],[destinatario]],CHOOSE({1,2},Clientes_Proveedores[Razon Social],Clientes_Proveedores[Ruc / Dni]),2,0),"")</f>
        <v>72378581</v>
      </c>
      <c r="W2082" s="25" t="s">
        <v>2910</v>
      </c>
      <c r="X2082" s="25" t="s">
        <v>2911</v>
      </c>
      <c r="Y2082" s="25"/>
      <c r="Z2082" s="75"/>
      <c r="AA2082" s="3" t="str">
        <f>IF(BCP_Soles[[#This Row],[fecha]]&gt;0,TEXT(BCP_Soles[[#This Row],[fecha]],"mmmm"),0)</f>
        <v>Junio</v>
      </c>
    </row>
    <row r="2083" spans="1:27" ht="24" x14ac:dyDescent="0.3">
      <c r="A2083" s="2">
        <f>IF(BCP_Soles[[#This Row],[tipo_registro]]="R",COUNTIFS($C$1:$C2082,"R")+1,A2082)</f>
        <v>1561</v>
      </c>
      <c r="B2083" s="19" t="str">
        <f t="shared" si="171"/>
        <v>B-BCP - Soles</v>
      </c>
      <c r="C2083" s="3" t="s">
        <v>1330</v>
      </c>
      <c r="D2083" s="14">
        <v>45819</v>
      </c>
      <c r="E2083" s="5" t="s">
        <v>1331</v>
      </c>
      <c r="F2083" s="5" t="s">
        <v>1336</v>
      </c>
      <c r="G2083" s="6" t="s">
        <v>431</v>
      </c>
      <c r="H2083" s="6" t="s">
        <v>68</v>
      </c>
      <c r="I2083" s="6" t="s">
        <v>1374</v>
      </c>
      <c r="J2083" s="6">
        <v>2120</v>
      </c>
      <c r="K2083" s="7" t="s">
        <v>3375</v>
      </c>
      <c r="L2083" s="8">
        <v>1182919</v>
      </c>
      <c r="M2083" s="8" t="str">
        <f t="shared" si="172"/>
        <v>PEN</v>
      </c>
      <c r="N2083" s="13"/>
      <c r="O2083" s="13">
        <v>600</v>
      </c>
      <c r="P2083" s="3">
        <f t="shared" si="173"/>
        <v>0</v>
      </c>
      <c r="Q2083" s="3">
        <f t="shared" si="174"/>
        <v>600</v>
      </c>
      <c r="R2083" s="3">
        <f t="shared" si="170"/>
        <v>70265.960000000036</v>
      </c>
      <c r="S2083" s="24" t="s">
        <v>1334</v>
      </c>
      <c r="T2083" s="24" t="s">
        <v>1334</v>
      </c>
      <c r="U2083" s="53"/>
      <c r="V2083" s="25">
        <f>IFERROR(VLOOKUP(BCP_Soles[[#This Row],[destinatario]],CHOOSE({1,2},Clientes_Proveedores[Razon Social],Clientes_Proveedores[Ruc / Dni]),2,0),"")</f>
        <v>20558627299</v>
      </c>
      <c r="W2083" s="25" t="s">
        <v>3376</v>
      </c>
      <c r="X2083" s="25" t="s">
        <v>3377</v>
      </c>
      <c r="Y2083" s="25"/>
      <c r="Z2083" s="75"/>
      <c r="AA2083" s="3" t="str">
        <f>IF(BCP_Soles[[#This Row],[fecha]]&gt;0,TEXT(BCP_Soles[[#This Row],[fecha]],"mmmm"),0)</f>
        <v>Junio</v>
      </c>
    </row>
    <row r="2084" spans="1:27" x14ac:dyDescent="0.3">
      <c r="A2084" s="2">
        <f>IF(BCP_Soles[[#This Row],[tipo_registro]]="R",COUNTIFS($C$1:$C2083,"R")+1,A2083)</f>
        <v>1562</v>
      </c>
      <c r="B2084" s="19" t="str">
        <f t="shared" si="171"/>
        <v>B-BCP - Soles</v>
      </c>
      <c r="C2084" s="3" t="s">
        <v>1330</v>
      </c>
      <c r="D2084" s="14">
        <v>45819</v>
      </c>
      <c r="E2084" s="5" t="s">
        <v>1331</v>
      </c>
      <c r="F2084" s="5" t="s">
        <v>1336</v>
      </c>
      <c r="G2084" s="6"/>
      <c r="H2084" s="6"/>
      <c r="I2084" s="6"/>
      <c r="J2084" s="6"/>
      <c r="K2084" s="7" t="s">
        <v>3378</v>
      </c>
      <c r="L2084" s="8">
        <v>1003076</v>
      </c>
      <c r="M2084" s="8" t="str">
        <f t="shared" si="172"/>
        <v>PEN</v>
      </c>
      <c r="N2084" s="13"/>
      <c r="O2084" s="13">
        <v>1592</v>
      </c>
      <c r="P2084" s="3">
        <f t="shared" si="173"/>
        <v>0</v>
      </c>
      <c r="Q2084" s="3">
        <f t="shared" si="174"/>
        <v>1592</v>
      </c>
      <c r="R2084" s="3">
        <f t="shared" si="170"/>
        <v>68673.960000000036</v>
      </c>
      <c r="S2084" s="24"/>
      <c r="T2084" s="24"/>
      <c r="U2084" s="53"/>
      <c r="V2084" s="25" t="str">
        <f>IFERROR(VLOOKUP(BCP_Soles[[#This Row],[destinatario]],CHOOSE({1,2},Clientes_Proveedores[Razon Social],Clientes_Proveedores[Ruc / Dni]),2,0),"")</f>
        <v/>
      </c>
      <c r="W2084" s="25"/>
      <c r="X2084" s="25"/>
      <c r="Y2084" s="25"/>
      <c r="Z2084" s="75"/>
      <c r="AA2084" s="3" t="str">
        <f>IF(BCP_Soles[[#This Row],[fecha]]&gt;0,TEXT(BCP_Soles[[#This Row],[fecha]],"mmmm"),0)</f>
        <v>Junio</v>
      </c>
    </row>
    <row r="2085" spans="1:27" x14ac:dyDescent="0.3">
      <c r="A2085" s="2">
        <f>IF(BCP_Soles[[#This Row],[tipo_registro]]="R",COUNTIFS($C$1:$C2084,"R")+1,A2084)</f>
        <v>1563</v>
      </c>
      <c r="B2085" s="19" t="str">
        <f t="shared" si="171"/>
        <v>B-BCP - Soles</v>
      </c>
      <c r="C2085" s="3" t="s">
        <v>1330</v>
      </c>
      <c r="D2085" s="14">
        <v>45819</v>
      </c>
      <c r="E2085" s="5" t="s">
        <v>1335</v>
      </c>
      <c r="F2085" s="5" t="s">
        <v>1336</v>
      </c>
      <c r="G2085" s="6"/>
      <c r="H2085" s="6"/>
      <c r="I2085" s="6"/>
      <c r="J2085" s="6"/>
      <c r="K2085" s="7" t="s">
        <v>3160</v>
      </c>
      <c r="L2085" s="8"/>
      <c r="M2085" s="8" t="str">
        <f t="shared" si="172"/>
        <v>PEN</v>
      </c>
      <c r="N2085" s="13"/>
      <c r="O2085" s="13">
        <v>1.3</v>
      </c>
      <c r="P2085" s="3">
        <f t="shared" si="173"/>
        <v>0</v>
      </c>
      <c r="Q2085" s="3">
        <f t="shared" si="174"/>
        <v>1.3</v>
      </c>
      <c r="R2085" s="3">
        <f t="shared" si="170"/>
        <v>68672.660000000033</v>
      </c>
      <c r="S2085" s="24"/>
      <c r="T2085" s="24" t="s">
        <v>1334</v>
      </c>
      <c r="U2085" s="53"/>
      <c r="V2085" s="25" t="str">
        <f>IFERROR(VLOOKUP(BCP_Soles[[#This Row],[destinatario]],CHOOSE({1,2},Clientes_Proveedores[Razon Social],Clientes_Proveedores[Ruc / Dni]),2,0),"")</f>
        <v/>
      </c>
      <c r="W2085" s="25"/>
      <c r="X2085" s="25"/>
      <c r="Y2085" s="25"/>
      <c r="Z2085" s="75"/>
      <c r="AA2085" s="3" t="str">
        <f>IF(BCP_Soles[[#This Row],[fecha]]&gt;0,TEXT(BCP_Soles[[#This Row],[fecha]],"mmmm"),0)</f>
        <v>Junio</v>
      </c>
    </row>
    <row r="2086" spans="1:27" ht="24" x14ac:dyDescent="0.3">
      <c r="A2086" s="2">
        <f>IF(BCP_Soles[[#This Row],[tipo_registro]]="R",COUNTIFS($C$1:$C2085,"R")+1,A2085)</f>
        <v>1564</v>
      </c>
      <c r="B2086" s="19" t="str">
        <f t="shared" si="171"/>
        <v>B-BCP - Soles</v>
      </c>
      <c r="C2086" s="3" t="s">
        <v>1330</v>
      </c>
      <c r="D2086" s="14">
        <v>45819</v>
      </c>
      <c r="E2086" s="5" t="s">
        <v>1335</v>
      </c>
      <c r="F2086" s="5" t="s">
        <v>1336</v>
      </c>
      <c r="G2086" s="6" t="s">
        <v>1060</v>
      </c>
      <c r="H2086" s="6"/>
      <c r="I2086" s="6"/>
      <c r="J2086" s="6"/>
      <c r="K2086" s="7" t="s">
        <v>1400</v>
      </c>
      <c r="L2086" s="8">
        <v>401</v>
      </c>
      <c r="M2086" s="8" t="str">
        <f t="shared" si="172"/>
        <v>PEN</v>
      </c>
      <c r="N2086" s="13"/>
      <c r="O2086" s="13">
        <v>10</v>
      </c>
      <c r="P2086" s="3">
        <f t="shared" si="173"/>
        <v>0</v>
      </c>
      <c r="Q2086" s="3">
        <f t="shared" si="174"/>
        <v>10</v>
      </c>
      <c r="R2086" s="3">
        <f t="shared" si="170"/>
        <v>68662.660000000033</v>
      </c>
      <c r="S2086" s="24"/>
      <c r="T2086" s="24"/>
      <c r="U2086" s="53"/>
      <c r="V2086" s="25">
        <f>IFERROR(VLOOKUP(BCP_Soles[[#This Row],[destinatario]],CHOOSE({1,2},Clientes_Proveedores[Razon Social],Clientes_Proveedores[Ruc / Dni]),2,0),"")</f>
        <v>20100047218</v>
      </c>
      <c r="W2086" s="25" t="s">
        <v>1335</v>
      </c>
      <c r="X2086" s="25"/>
      <c r="Y2086" s="25"/>
      <c r="Z2086" s="75"/>
      <c r="AA2086" s="3" t="str">
        <f>IF(BCP_Soles[[#This Row],[fecha]]&gt;0,TEXT(BCP_Soles[[#This Row],[fecha]],"mmmm"),0)</f>
        <v>Junio</v>
      </c>
    </row>
    <row r="2087" spans="1:27" ht="36" x14ac:dyDescent="0.3">
      <c r="A2087" s="2">
        <f>IF(BCP_Soles[[#This Row],[tipo_registro]]="R",COUNTIFS($C$1:$C2086,"R")+1,A2086)</f>
        <v>1565</v>
      </c>
      <c r="B2087" s="19" t="str">
        <f t="shared" si="171"/>
        <v>B-BCP - Soles</v>
      </c>
      <c r="C2087" s="3" t="s">
        <v>1330</v>
      </c>
      <c r="D2087" s="14">
        <v>45820</v>
      </c>
      <c r="E2087" s="5" t="s">
        <v>555</v>
      </c>
      <c r="F2087" s="5" t="s">
        <v>1303</v>
      </c>
      <c r="G2087" s="6" t="s">
        <v>425</v>
      </c>
      <c r="H2087" s="6"/>
      <c r="I2087" s="6"/>
      <c r="J2087" s="6"/>
      <c r="K2087" s="7" t="s">
        <v>3379</v>
      </c>
      <c r="L2087" s="8">
        <v>6567600</v>
      </c>
      <c r="M2087" s="8" t="str">
        <f t="shared" si="172"/>
        <v>PEN</v>
      </c>
      <c r="N2087" s="13"/>
      <c r="O2087" s="13">
        <v>3257.64</v>
      </c>
      <c r="P2087" s="3">
        <f t="shared" si="173"/>
        <v>3257.64</v>
      </c>
      <c r="Q2087" s="3">
        <f t="shared" si="174"/>
        <v>0</v>
      </c>
      <c r="R2087" s="3">
        <f t="shared" si="170"/>
        <v>71920.300000000032</v>
      </c>
      <c r="S2087" s="24" t="s">
        <v>1334</v>
      </c>
      <c r="T2087" s="24" t="s">
        <v>1334</v>
      </c>
      <c r="U2087" s="53"/>
      <c r="V2087" s="25">
        <f>IFERROR(VLOOKUP(BCP_Soles[[#This Row],[destinatario]],CHOOSE({1,2},Clientes_Proveedores[Razon Social],Clientes_Proveedores[Ruc / Dni]),2,0),"")</f>
        <v>20558226979</v>
      </c>
      <c r="W2087" s="25" t="s">
        <v>1345</v>
      </c>
      <c r="X2087" s="25" t="s">
        <v>3380</v>
      </c>
      <c r="Y2087" s="25"/>
      <c r="Z2087" s="75"/>
      <c r="AA2087" s="3" t="str">
        <f>IF(BCP_Soles[[#This Row],[fecha]]&gt;0,TEXT(BCP_Soles[[#This Row],[fecha]],"mmmm"),0)</f>
        <v>Junio</v>
      </c>
    </row>
    <row r="2088" spans="1:27" ht="36" x14ac:dyDescent="0.3">
      <c r="A2088" s="2">
        <f>IF(BCP_Soles[[#This Row],[tipo_registro]]="R",COUNTIFS($C$1:$C2087,"R")+1,A2087)</f>
        <v>1565</v>
      </c>
      <c r="B2088" s="19" t="str">
        <f t="shared" si="171"/>
        <v>B-BCP - Soles</v>
      </c>
      <c r="C2088" s="3" t="s">
        <v>1352</v>
      </c>
      <c r="D2088" s="14">
        <v>45820</v>
      </c>
      <c r="E2088" s="5" t="s">
        <v>555</v>
      </c>
      <c r="F2088" s="5"/>
      <c r="G2088" s="6" t="s">
        <v>425</v>
      </c>
      <c r="H2088" s="6" t="s">
        <v>68</v>
      </c>
      <c r="I2088" s="6" t="s">
        <v>3381</v>
      </c>
      <c r="J2088" s="6">
        <v>28</v>
      </c>
      <c r="K2088" s="7" t="s">
        <v>3379</v>
      </c>
      <c r="L2088" s="8">
        <v>6567600</v>
      </c>
      <c r="M2088" s="8" t="str">
        <f t="shared" si="172"/>
        <v>PEN</v>
      </c>
      <c r="N2088" s="13">
        <v>810.44</v>
      </c>
      <c r="O2088" s="13"/>
      <c r="P2088" s="3">
        <f t="shared" si="173"/>
        <v>0</v>
      </c>
      <c r="Q2088" s="3">
        <f t="shared" si="174"/>
        <v>0</v>
      </c>
      <c r="R2088" s="3">
        <f t="shared" si="170"/>
        <v>71920.300000000032</v>
      </c>
      <c r="S2088" s="24"/>
      <c r="T2088" s="24" t="s">
        <v>1334</v>
      </c>
      <c r="U2088" s="53"/>
      <c r="V2088" s="25">
        <f>IFERROR(VLOOKUP(BCP_Soles[[#This Row],[destinatario]],CHOOSE({1,2},Clientes_Proveedores[Razon Social],Clientes_Proveedores[Ruc / Dni]),2,0),"")</f>
        <v>20558226979</v>
      </c>
      <c r="W2088" s="25"/>
      <c r="X2088" s="25"/>
      <c r="Y2088" s="25"/>
      <c r="Z2088" s="75"/>
      <c r="AA2088" s="3" t="str">
        <f>IF(BCP_Soles[[#This Row],[fecha]]&gt;0,TEXT(BCP_Soles[[#This Row],[fecha]],"mmmm"),0)</f>
        <v>Junio</v>
      </c>
    </row>
    <row r="2089" spans="1:27" ht="36" x14ac:dyDescent="0.3">
      <c r="A2089" s="2">
        <f>IF(BCP_Soles[[#This Row],[tipo_registro]]="R",COUNTIFS($C$1:$C2088,"R")+1,A2088)</f>
        <v>1565</v>
      </c>
      <c r="B2089" s="19" t="str">
        <f t="shared" si="171"/>
        <v>B-BCP - Soles</v>
      </c>
      <c r="C2089" s="3" t="s">
        <v>1352</v>
      </c>
      <c r="D2089" s="14">
        <v>45820</v>
      </c>
      <c r="E2089" s="5" t="s">
        <v>555</v>
      </c>
      <c r="F2089" s="5"/>
      <c r="G2089" s="6" t="s">
        <v>425</v>
      </c>
      <c r="H2089" s="6" t="s">
        <v>68</v>
      </c>
      <c r="I2089" s="6" t="s">
        <v>3381</v>
      </c>
      <c r="J2089" s="6">
        <v>30</v>
      </c>
      <c r="K2089" s="7" t="s">
        <v>3379</v>
      </c>
      <c r="L2089" s="8">
        <v>6567600</v>
      </c>
      <c r="M2089" s="8" t="str">
        <f t="shared" si="172"/>
        <v>PEN</v>
      </c>
      <c r="N2089" s="13">
        <v>1018.88</v>
      </c>
      <c r="O2089" s="13"/>
      <c r="P2089" s="3">
        <f t="shared" si="173"/>
        <v>0</v>
      </c>
      <c r="Q2089" s="3">
        <f t="shared" si="174"/>
        <v>0</v>
      </c>
      <c r="R2089" s="3">
        <f t="shared" si="170"/>
        <v>71920.300000000032</v>
      </c>
      <c r="S2089" s="24"/>
      <c r="T2089" s="24" t="s">
        <v>1334</v>
      </c>
      <c r="U2089" s="53"/>
      <c r="V2089" s="25">
        <f>IFERROR(VLOOKUP(BCP_Soles[[#This Row],[destinatario]],CHOOSE({1,2},Clientes_Proveedores[Razon Social],Clientes_Proveedores[Ruc / Dni]),2,0),"")</f>
        <v>20558226979</v>
      </c>
      <c r="W2089" s="25"/>
      <c r="X2089" s="25"/>
      <c r="Y2089" s="25"/>
      <c r="Z2089" s="75"/>
      <c r="AA2089" s="3" t="str">
        <f>IF(BCP_Soles[[#This Row],[fecha]]&gt;0,TEXT(BCP_Soles[[#This Row],[fecha]],"mmmm"),0)</f>
        <v>Junio</v>
      </c>
    </row>
    <row r="2090" spans="1:27" ht="36" x14ac:dyDescent="0.3">
      <c r="A2090" s="2">
        <f>IF(BCP_Soles[[#This Row],[tipo_registro]]="R",COUNTIFS($C$1:$C2089,"R")+1,A2089)</f>
        <v>1565</v>
      </c>
      <c r="B2090" s="19" t="str">
        <f t="shared" si="171"/>
        <v>B-BCP - Soles</v>
      </c>
      <c r="C2090" s="3" t="s">
        <v>1352</v>
      </c>
      <c r="D2090" s="14">
        <v>45820</v>
      </c>
      <c r="E2090" s="5" t="s">
        <v>555</v>
      </c>
      <c r="F2090" s="5"/>
      <c r="G2090" s="6" t="s">
        <v>425</v>
      </c>
      <c r="H2090" s="6" t="s">
        <v>68</v>
      </c>
      <c r="I2090" s="6" t="s">
        <v>3381</v>
      </c>
      <c r="J2090" s="6">
        <v>31</v>
      </c>
      <c r="K2090" s="7" t="s">
        <v>3379</v>
      </c>
      <c r="L2090" s="8">
        <v>6567600</v>
      </c>
      <c r="M2090" s="8" t="str">
        <f t="shared" si="172"/>
        <v>PEN</v>
      </c>
      <c r="N2090" s="13">
        <v>1428.32</v>
      </c>
      <c r="O2090" s="13"/>
      <c r="P2090" s="3">
        <f t="shared" si="173"/>
        <v>0</v>
      </c>
      <c r="Q2090" s="3">
        <f t="shared" si="174"/>
        <v>0</v>
      </c>
      <c r="R2090" s="3">
        <f t="shared" si="170"/>
        <v>71920.300000000032</v>
      </c>
      <c r="S2090" s="24"/>
      <c r="T2090" s="24" t="s">
        <v>1334</v>
      </c>
      <c r="U2090" s="53"/>
      <c r="V2090" s="25">
        <f>IFERROR(VLOOKUP(BCP_Soles[[#This Row],[destinatario]],CHOOSE({1,2},Clientes_Proveedores[Razon Social],Clientes_Proveedores[Ruc / Dni]),2,0),"")</f>
        <v>20558226979</v>
      </c>
      <c r="W2090" s="25"/>
      <c r="X2090" s="25"/>
      <c r="Y2090" s="25"/>
      <c r="Z2090" s="75"/>
      <c r="AA2090" s="3" t="str">
        <f>IF(BCP_Soles[[#This Row],[fecha]]&gt;0,TEXT(BCP_Soles[[#This Row],[fecha]],"mmmm"),0)</f>
        <v>Junio</v>
      </c>
    </row>
    <row r="2091" spans="1:27" x14ac:dyDescent="0.3">
      <c r="A2091" s="2">
        <f>IF(BCP_Soles[[#This Row],[tipo_registro]]="R",COUNTIFS($C$1:$C2090,"R")+1,A2090)</f>
        <v>1566</v>
      </c>
      <c r="B2091" s="19" t="str">
        <f t="shared" si="171"/>
        <v>B-BCP - Soles</v>
      </c>
      <c r="C2091" s="3" t="s">
        <v>1330</v>
      </c>
      <c r="D2091" s="14">
        <v>45820</v>
      </c>
      <c r="E2091" s="5" t="s">
        <v>196</v>
      </c>
      <c r="F2091" s="5" t="s">
        <v>1303</v>
      </c>
      <c r="G2091" s="6" t="s">
        <v>425</v>
      </c>
      <c r="H2091" s="6" t="s">
        <v>68</v>
      </c>
      <c r="I2091" s="6" t="s">
        <v>1784</v>
      </c>
      <c r="J2091" s="6">
        <v>72</v>
      </c>
      <c r="K2091" s="7" t="s">
        <v>3382</v>
      </c>
      <c r="L2091" s="8">
        <v>11382</v>
      </c>
      <c r="M2091" s="8" t="str">
        <f t="shared" si="172"/>
        <v>PEN</v>
      </c>
      <c r="N2091" s="13"/>
      <c r="O2091" s="13">
        <v>2700.36</v>
      </c>
      <c r="P2091" s="3">
        <f t="shared" si="173"/>
        <v>2700.36</v>
      </c>
      <c r="Q2091" s="3">
        <f t="shared" si="174"/>
        <v>0</v>
      </c>
      <c r="R2091" s="3">
        <f t="shared" si="170"/>
        <v>74620.660000000033</v>
      </c>
      <c r="S2091" s="24" t="s">
        <v>1334</v>
      </c>
      <c r="T2091" s="24" t="s">
        <v>1334</v>
      </c>
      <c r="U2091" s="53"/>
      <c r="V2091" s="25">
        <f>IFERROR(VLOOKUP(BCP_Soles[[#This Row],[destinatario]],CHOOSE({1,2},Clientes_Proveedores[Razon Social],Clientes_Proveedores[Ruc / Dni]),2,0),"")</f>
        <v>20558226979</v>
      </c>
      <c r="W2091" s="25" t="s">
        <v>1345</v>
      </c>
      <c r="X2091" s="25" t="s">
        <v>3383</v>
      </c>
      <c r="Y2091" s="25"/>
      <c r="Z2091" s="75"/>
      <c r="AA2091" s="3" t="str">
        <f>IF(BCP_Soles[[#This Row],[fecha]]&gt;0,TEXT(BCP_Soles[[#This Row],[fecha]],"mmmm"),0)</f>
        <v>Junio</v>
      </c>
    </row>
    <row r="2092" spans="1:27" ht="24" x14ac:dyDescent="0.3">
      <c r="A2092" s="2">
        <f>IF(BCP_Soles[[#This Row],[tipo_registro]]="R",COUNTIFS($C$1:$C2091,"R")+1,A2091)</f>
        <v>1567</v>
      </c>
      <c r="B2092" s="19" t="str">
        <f t="shared" si="171"/>
        <v>B-BCP - Soles</v>
      </c>
      <c r="C2092" s="3" t="s">
        <v>1330</v>
      </c>
      <c r="D2092" s="14">
        <v>45820</v>
      </c>
      <c r="E2092" s="5" t="s">
        <v>1331</v>
      </c>
      <c r="F2092" s="5" t="s">
        <v>1336</v>
      </c>
      <c r="G2092" s="6" t="s">
        <v>1069</v>
      </c>
      <c r="H2092" s="6" t="s">
        <v>143</v>
      </c>
      <c r="I2092" s="6">
        <v>1</v>
      </c>
      <c r="J2092" s="6">
        <v>412025</v>
      </c>
      <c r="K2092" s="7" t="s">
        <v>3384</v>
      </c>
      <c r="L2092" s="8">
        <v>1114058</v>
      </c>
      <c r="M2092" s="8" t="str">
        <f t="shared" si="172"/>
        <v>PEN</v>
      </c>
      <c r="N2092" s="13"/>
      <c r="O2092" s="13">
        <v>2000</v>
      </c>
      <c r="P2092" s="3">
        <f t="shared" si="173"/>
        <v>0</v>
      </c>
      <c r="Q2092" s="3">
        <f t="shared" si="174"/>
        <v>2000</v>
      </c>
      <c r="R2092" s="3">
        <f t="shared" si="170"/>
        <v>72620.660000000033</v>
      </c>
      <c r="S2092" s="24" t="s">
        <v>1334</v>
      </c>
      <c r="T2092" s="24" t="s">
        <v>1334</v>
      </c>
      <c r="U2092" s="53"/>
      <c r="V2092" s="25">
        <f>IFERROR(VLOOKUP(BCP_Soles[[#This Row],[destinatario]],CHOOSE({1,2},Clientes_Proveedores[Razon Social],Clientes_Proveedores[Ruc / Dni]),2,0),"")</f>
        <v>72378581</v>
      </c>
      <c r="W2092" s="25" t="s">
        <v>2910</v>
      </c>
      <c r="X2092" s="25" t="s">
        <v>3385</v>
      </c>
      <c r="Y2092" s="25"/>
      <c r="Z2092" s="75"/>
      <c r="AA2092" s="3" t="str">
        <f>IF(BCP_Soles[[#This Row],[fecha]]&gt;0,TEXT(BCP_Soles[[#This Row],[fecha]],"mmmm"),0)</f>
        <v>Junio</v>
      </c>
    </row>
    <row r="2093" spans="1:27" ht="24" x14ac:dyDescent="0.3">
      <c r="A2093" s="2">
        <f>IF(BCP_Soles[[#This Row],[tipo_registro]]="R",COUNTIFS($C$1:$C2092,"R")+1,A2092)</f>
        <v>1568</v>
      </c>
      <c r="B2093" s="19" t="str">
        <f t="shared" si="171"/>
        <v>B-BCP - Soles</v>
      </c>
      <c r="C2093" s="3" t="s">
        <v>1330</v>
      </c>
      <c r="D2093" s="14">
        <v>45820</v>
      </c>
      <c r="E2093" s="5" t="s">
        <v>1331</v>
      </c>
      <c r="F2093" s="5" t="s">
        <v>1336</v>
      </c>
      <c r="G2093" s="6" t="s">
        <v>722</v>
      </c>
      <c r="H2093" s="6" t="s">
        <v>68</v>
      </c>
      <c r="I2093" s="6" t="s">
        <v>1376</v>
      </c>
      <c r="J2093" s="6">
        <v>3235</v>
      </c>
      <c r="K2093" s="7" t="s">
        <v>3386</v>
      </c>
      <c r="L2093" s="8">
        <v>1114542</v>
      </c>
      <c r="M2093" s="8" t="str">
        <f t="shared" si="172"/>
        <v>PEN</v>
      </c>
      <c r="N2093" s="13"/>
      <c r="O2093" s="13">
        <v>654</v>
      </c>
      <c r="P2093" s="3">
        <f t="shared" si="173"/>
        <v>0</v>
      </c>
      <c r="Q2093" s="3">
        <f t="shared" si="174"/>
        <v>654</v>
      </c>
      <c r="R2093" s="3">
        <f t="shared" si="170"/>
        <v>71966.660000000033</v>
      </c>
      <c r="S2093" s="24" t="s">
        <v>1334</v>
      </c>
      <c r="T2093" s="24" t="s">
        <v>1334</v>
      </c>
      <c r="U2093" s="53"/>
      <c r="V2093" s="25">
        <f>IFERROR(VLOOKUP(BCP_Soles[[#This Row],[destinatario]],CHOOSE({1,2},Clientes_Proveedores[Razon Social],Clientes_Proveedores[Ruc / Dni]),2,0),"")</f>
        <v>10402383548</v>
      </c>
      <c r="W2093" s="25" t="s">
        <v>722</v>
      </c>
      <c r="X2093" s="25" t="s">
        <v>3387</v>
      </c>
      <c r="Y2093" s="25"/>
      <c r="Z2093" s="75"/>
      <c r="AA2093" s="3" t="str">
        <f>IF(BCP_Soles[[#This Row],[fecha]]&gt;0,TEXT(BCP_Soles[[#This Row],[fecha]],"mmmm"),0)</f>
        <v>Junio</v>
      </c>
    </row>
    <row r="2094" spans="1:27" ht="24" x14ac:dyDescent="0.3">
      <c r="A2094" s="2">
        <f>IF(BCP_Soles[[#This Row],[tipo_registro]]="R",COUNTIFS($C$1:$C2093,"R")+1,A2093)</f>
        <v>1569</v>
      </c>
      <c r="B2094" s="19" t="str">
        <f t="shared" si="171"/>
        <v>B-BCP - Soles</v>
      </c>
      <c r="C2094" s="3" t="s">
        <v>1330</v>
      </c>
      <c r="D2094" s="14">
        <v>45820</v>
      </c>
      <c r="E2094" s="5" t="s">
        <v>1331</v>
      </c>
      <c r="F2094" s="5" t="s">
        <v>1336</v>
      </c>
      <c r="G2094" s="6" t="s">
        <v>740</v>
      </c>
      <c r="H2094" s="6" t="s">
        <v>68</v>
      </c>
      <c r="I2094" s="6" t="s">
        <v>1376</v>
      </c>
      <c r="J2094" s="6">
        <v>650</v>
      </c>
      <c r="K2094" s="7" t="s">
        <v>3388</v>
      </c>
      <c r="L2094" s="8">
        <v>1112126</v>
      </c>
      <c r="M2094" s="8" t="str">
        <f t="shared" si="172"/>
        <v>PEN</v>
      </c>
      <c r="N2094" s="13"/>
      <c r="O2094" s="13">
        <v>667.7</v>
      </c>
      <c r="P2094" s="3">
        <f t="shared" si="173"/>
        <v>0</v>
      </c>
      <c r="Q2094" s="3">
        <f t="shared" si="174"/>
        <v>667.7</v>
      </c>
      <c r="R2094" s="3">
        <f t="shared" si="170"/>
        <v>71298.960000000036</v>
      </c>
      <c r="S2094" s="24" t="s">
        <v>1334</v>
      </c>
      <c r="T2094" s="24" t="s">
        <v>1334</v>
      </c>
      <c r="U2094" s="53"/>
      <c r="V2094" s="25">
        <f>IFERROR(VLOOKUP(BCP_Soles[[#This Row],[destinatario]],CHOOSE({1,2},Clientes_Proveedores[Razon Social],Clientes_Proveedores[Ruc / Dni]),2,0),"")</f>
        <v>20604615594</v>
      </c>
      <c r="W2094" s="25" t="s">
        <v>3389</v>
      </c>
      <c r="X2094" s="25" t="s">
        <v>3390</v>
      </c>
      <c r="Y2094" s="25"/>
      <c r="Z2094" s="75"/>
      <c r="AA2094" s="3" t="str">
        <f>IF(BCP_Soles[[#This Row],[fecha]]&gt;0,TEXT(BCP_Soles[[#This Row],[fecha]],"mmmm"),0)</f>
        <v>Junio</v>
      </c>
    </row>
    <row r="2095" spans="1:27" ht="24" x14ac:dyDescent="0.3">
      <c r="A2095" s="2">
        <f>IF(BCP_Soles[[#This Row],[tipo_registro]]="R",COUNTIFS($C$1:$C2094,"R")+1,A2094)</f>
        <v>1570</v>
      </c>
      <c r="B2095" s="19" t="str">
        <f t="shared" si="171"/>
        <v>B-BCP - Soles</v>
      </c>
      <c r="C2095" s="3" t="s">
        <v>1330</v>
      </c>
      <c r="D2095" s="14">
        <v>45820</v>
      </c>
      <c r="E2095" s="5" t="s">
        <v>1331</v>
      </c>
      <c r="F2095" s="5" t="s">
        <v>1336</v>
      </c>
      <c r="G2095" s="148" t="s">
        <v>895</v>
      </c>
      <c r="H2095" s="6"/>
      <c r="I2095" s="6"/>
      <c r="J2095" s="6"/>
      <c r="K2095" s="7" t="s">
        <v>3391</v>
      </c>
      <c r="L2095" s="8">
        <v>1221430</v>
      </c>
      <c r="M2095" s="8" t="str">
        <f t="shared" si="172"/>
        <v>PEN</v>
      </c>
      <c r="N2095" s="13"/>
      <c r="O2095" s="13">
        <v>1960.3</v>
      </c>
      <c r="P2095" s="3">
        <f t="shared" si="173"/>
        <v>0</v>
      </c>
      <c r="Q2095" s="3">
        <f t="shared" si="174"/>
        <v>1960.3</v>
      </c>
      <c r="R2095" s="3">
        <f t="shared" si="170"/>
        <v>69338.660000000033</v>
      </c>
      <c r="S2095" s="24"/>
      <c r="T2095" s="24" t="s">
        <v>1334</v>
      </c>
      <c r="U2095" s="53"/>
      <c r="V2095" s="25">
        <f>IFERROR(VLOOKUP(BCP_Soles[[#This Row],[destinatario]],CHOOSE({1,2},Clientes_Proveedores[Razon Social],Clientes_Proveedores[Ruc / Dni]),2,0),"")</f>
        <v>72144092</v>
      </c>
      <c r="W2095" s="25" t="s">
        <v>895</v>
      </c>
      <c r="X2095" s="25"/>
      <c r="Y2095" s="25"/>
      <c r="Z2095" s="75"/>
      <c r="AA2095" s="3" t="str">
        <f>IF(BCP_Soles[[#This Row],[fecha]]&gt;0,TEXT(BCP_Soles[[#This Row],[fecha]],"mmmm"),0)</f>
        <v>Junio</v>
      </c>
    </row>
    <row r="2096" spans="1:27" x14ac:dyDescent="0.3">
      <c r="A2096" s="2">
        <f>IF(BCP_Soles[[#This Row],[tipo_registro]]="R",COUNTIFS($C$1:$C2095,"R")+1,A2095)</f>
        <v>1571</v>
      </c>
      <c r="B2096" s="19" t="str">
        <f t="shared" si="171"/>
        <v>B-BCP - Soles</v>
      </c>
      <c r="C2096" s="3" t="s">
        <v>1330</v>
      </c>
      <c r="D2096" s="14">
        <v>45820</v>
      </c>
      <c r="E2096" s="5" t="s">
        <v>1331</v>
      </c>
      <c r="F2096" s="5" t="s">
        <v>1336</v>
      </c>
      <c r="G2096" s="6"/>
      <c r="H2096" s="6"/>
      <c r="I2096" s="6"/>
      <c r="J2096" s="6"/>
      <c r="K2096" s="7" t="s">
        <v>3392</v>
      </c>
      <c r="L2096" s="8">
        <v>226</v>
      </c>
      <c r="M2096" s="8" t="str">
        <f t="shared" si="172"/>
        <v>PEN</v>
      </c>
      <c r="N2096" s="13"/>
      <c r="O2096" s="13">
        <v>872.69</v>
      </c>
      <c r="P2096" s="3">
        <f t="shared" si="173"/>
        <v>0</v>
      </c>
      <c r="Q2096" s="3">
        <f t="shared" si="174"/>
        <v>872.69</v>
      </c>
      <c r="R2096" s="3">
        <f t="shared" si="170"/>
        <v>68465.97000000003</v>
      </c>
      <c r="S2096" s="24" t="s">
        <v>1334</v>
      </c>
      <c r="T2096" s="24" t="s">
        <v>1334</v>
      </c>
      <c r="U2096" s="53"/>
      <c r="V2096" s="25" t="str">
        <f>IFERROR(VLOOKUP(BCP_Soles[[#This Row],[destinatario]],CHOOSE({1,2},Clientes_Proveedores[Razon Social],Clientes_Proveedores[Ruc / Dni]),2,0),"")</f>
        <v/>
      </c>
      <c r="W2096" s="25"/>
      <c r="X2096" s="25"/>
      <c r="Y2096" s="25"/>
      <c r="Z2096" s="75"/>
      <c r="AA2096" s="3" t="str">
        <f>IF(BCP_Soles[[#This Row],[fecha]]&gt;0,TEXT(BCP_Soles[[#This Row],[fecha]],"mmmm"),0)</f>
        <v>Junio</v>
      </c>
    </row>
    <row r="2097" spans="1:27" x14ac:dyDescent="0.3">
      <c r="A2097" s="2">
        <f>IF(BCP_Soles[[#This Row],[tipo_registro]]="R",COUNTIFS($C$1:$C2096,"R")+1,A2096)</f>
        <v>1572</v>
      </c>
      <c r="B2097" s="19" t="str">
        <f t="shared" si="171"/>
        <v>B-BCP - Soles</v>
      </c>
      <c r="C2097" s="3" t="s">
        <v>1330</v>
      </c>
      <c r="D2097" s="14">
        <v>45820</v>
      </c>
      <c r="E2097" s="5" t="s">
        <v>1331</v>
      </c>
      <c r="F2097" s="5" t="s">
        <v>1336</v>
      </c>
      <c r="G2097" s="6"/>
      <c r="H2097" s="6"/>
      <c r="I2097" s="6"/>
      <c r="J2097" s="6"/>
      <c r="K2097" s="7" t="s">
        <v>3393</v>
      </c>
      <c r="L2097" s="8">
        <v>231</v>
      </c>
      <c r="M2097" s="8" t="str">
        <f t="shared" si="172"/>
        <v>PEN</v>
      </c>
      <c r="N2097" s="13"/>
      <c r="O2097" s="13">
        <v>1885.47</v>
      </c>
      <c r="P2097" s="3">
        <f t="shared" si="173"/>
        <v>0</v>
      </c>
      <c r="Q2097" s="3">
        <f t="shared" si="174"/>
        <v>1885.47</v>
      </c>
      <c r="R2097" s="3">
        <f t="shared" si="170"/>
        <v>66580.500000000029</v>
      </c>
      <c r="S2097" s="24" t="s">
        <v>1334</v>
      </c>
      <c r="T2097" s="24" t="s">
        <v>1334</v>
      </c>
      <c r="U2097" s="53"/>
      <c r="V2097" s="25" t="str">
        <f>IFERROR(VLOOKUP(BCP_Soles[[#This Row],[destinatario]],CHOOSE({1,2},Clientes_Proveedores[Razon Social],Clientes_Proveedores[Ruc / Dni]),2,0),"")</f>
        <v/>
      </c>
      <c r="W2097" s="25"/>
      <c r="X2097" s="25"/>
      <c r="Y2097" s="25"/>
      <c r="Z2097" s="75"/>
      <c r="AA2097" s="3" t="str">
        <f>IF(BCP_Soles[[#This Row],[fecha]]&gt;0,TEXT(BCP_Soles[[#This Row],[fecha]],"mmmm"),0)</f>
        <v>Junio</v>
      </c>
    </row>
    <row r="2098" spans="1:27" x14ac:dyDescent="0.3">
      <c r="A2098" s="2">
        <f>IF(BCP_Soles[[#This Row],[tipo_registro]]="R",COUNTIFS($C$1:$C2097,"R")+1,A2097)</f>
        <v>1573</v>
      </c>
      <c r="B2098" s="19" t="str">
        <f t="shared" si="171"/>
        <v>B-BCP - Soles</v>
      </c>
      <c r="C2098" s="3" t="s">
        <v>1330</v>
      </c>
      <c r="D2098" s="14">
        <v>45820</v>
      </c>
      <c r="E2098" s="5" t="s">
        <v>1331</v>
      </c>
      <c r="F2098" s="5" t="s">
        <v>1336</v>
      </c>
      <c r="G2098" s="6"/>
      <c r="H2098" s="6"/>
      <c r="I2098" s="6"/>
      <c r="J2098" s="6"/>
      <c r="K2098" s="7" t="s">
        <v>1531</v>
      </c>
      <c r="L2098" s="8">
        <v>228</v>
      </c>
      <c r="M2098" s="8" t="str">
        <f t="shared" si="172"/>
        <v>PEN</v>
      </c>
      <c r="N2098" s="13"/>
      <c r="O2098" s="13">
        <v>5134.9799999999996</v>
      </c>
      <c r="P2098" s="3">
        <f t="shared" si="173"/>
        <v>0</v>
      </c>
      <c r="Q2098" s="3">
        <f t="shared" si="174"/>
        <v>5134.9799999999996</v>
      </c>
      <c r="R2098" s="3">
        <f t="shared" si="170"/>
        <v>61445.520000000033</v>
      </c>
      <c r="S2098" s="24" t="s">
        <v>1334</v>
      </c>
      <c r="T2098" s="24" t="s">
        <v>1334</v>
      </c>
      <c r="U2098" s="53"/>
      <c r="V2098" s="25" t="str">
        <f>IFERROR(VLOOKUP(BCP_Soles[[#This Row],[destinatario]],CHOOSE({1,2},Clientes_Proveedores[Razon Social],Clientes_Proveedores[Ruc / Dni]),2,0),"")</f>
        <v/>
      </c>
      <c r="W2098" s="25"/>
      <c r="X2098" s="25"/>
      <c r="Y2098" s="25"/>
      <c r="Z2098" s="75"/>
      <c r="AA2098" s="3" t="str">
        <f>IF(BCP_Soles[[#This Row],[fecha]]&gt;0,TEXT(BCP_Soles[[#This Row],[fecha]],"mmmm"),0)</f>
        <v>Junio</v>
      </c>
    </row>
    <row r="2099" spans="1:27" x14ac:dyDescent="0.3">
      <c r="A2099" s="2">
        <f>IF(BCP_Soles[[#This Row],[tipo_registro]]="R",COUNTIFS($C$1:$C2098,"R")+1,A2098)</f>
        <v>1574</v>
      </c>
      <c r="B2099" s="19" t="str">
        <f t="shared" si="171"/>
        <v>B-BCP - Soles</v>
      </c>
      <c r="C2099" s="3" t="s">
        <v>1330</v>
      </c>
      <c r="D2099" s="14">
        <v>45820</v>
      </c>
      <c r="E2099" s="5" t="s">
        <v>1331</v>
      </c>
      <c r="F2099" s="5" t="s">
        <v>1336</v>
      </c>
      <c r="G2099" s="6"/>
      <c r="H2099" s="6"/>
      <c r="I2099" s="6"/>
      <c r="J2099" s="6"/>
      <c r="K2099" s="7" t="s">
        <v>3394</v>
      </c>
      <c r="L2099" s="8">
        <v>232</v>
      </c>
      <c r="M2099" s="8" t="str">
        <f t="shared" si="172"/>
        <v>PEN</v>
      </c>
      <c r="N2099" s="13"/>
      <c r="O2099" s="13">
        <v>209.63</v>
      </c>
      <c r="P2099" s="3">
        <f t="shared" si="173"/>
        <v>0</v>
      </c>
      <c r="Q2099" s="3">
        <f t="shared" si="174"/>
        <v>209.63</v>
      </c>
      <c r="R2099" s="3">
        <f t="shared" si="170"/>
        <v>61235.890000000036</v>
      </c>
      <c r="S2099" s="24" t="s">
        <v>1334</v>
      </c>
      <c r="T2099" s="24" t="s">
        <v>1334</v>
      </c>
      <c r="U2099" s="53"/>
      <c r="V2099" s="25" t="str">
        <f>IFERROR(VLOOKUP(BCP_Soles[[#This Row],[destinatario]],CHOOSE({1,2},Clientes_Proveedores[Razon Social],Clientes_Proveedores[Ruc / Dni]),2,0),"")</f>
        <v/>
      </c>
      <c r="W2099" s="25"/>
      <c r="X2099" s="25"/>
      <c r="Y2099" s="25"/>
      <c r="Z2099" s="75"/>
      <c r="AA2099" s="3" t="str">
        <f>IF(BCP_Soles[[#This Row],[fecha]]&gt;0,TEXT(BCP_Soles[[#This Row],[fecha]],"mmmm"),0)</f>
        <v>Junio</v>
      </c>
    </row>
    <row r="2100" spans="1:27" x14ac:dyDescent="0.3">
      <c r="A2100" s="2">
        <f>IF(BCP_Soles[[#This Row],[tipo_registro]]="R",COUNTIFS($C$1:$C2099,"R")+1,A2099)</f>
        <v>1575</v>
      </c>
      <c r="B2100" s="19" t="str">
        <f t="shared" si="171"/>
        <v>B-BCP - Soles</v>
      </c>
      <c r="C2100" s="3" t="s">
        <v>1330</v>
      </c>
      <c r="D2100" s="14">
        <v>45820</v>
      </c>
      <c r="E2100" s="5" t="s">
        <v>1335</v>
      </c>
      <c r="F2100" s="5" t="s">
        <v>1336</v>
      </c>
      <c r="G2100" s="6"/>
      <c r="H2100" s="6"/>
      <c r="I2100" s="6"/>
      <c r="J2100" s="6"/>
      <c r="K2100" s="7" t="s">
        <v>3160</v>
      </c>
      <c r="L2100" s="8"/>
      <c r="M2100" s="8" t="str">
        <f t="shared" si="172"/>
        <v>PEN</v>
      </c>
      <c r="N2100" s="13"/>
      <c r="O2100" s="13">
        <v>0.7</v>
      </c>
      <c r="P2100" s="3">
        <f t="shared" si="173"/>
        <v>0</v>
      </c>
      <c r="Q2100" s="3">
        <f t="shared" si="174"/>
        <v>0.7</v>
      </c>
      <c r="R2100" s="3">
        <f t="shared" si="170"/>
        <v>61235.190000000039</v>
      </c>
      <c r="S2100" s="24"/>
      <c r="T2100" s="24" t="s">
        <v>1334</v>
      </c>
      <c r="U2100" s="53"/>
      <c r="V2100" s="25" t="str">
        <f>IFERROR(VLOOKUP(BCP_Soles[[#This Row],[destinatario]],CHOOSE({1,2},Clientes_Proveedores[Razon Social],Clientes_Proveedores[Ruc / Dni]),2,0),"")</f>
        <v/>
      </c>
      <c r="W2100" s="25"/>
      <c r="X2100" s="25"/>
      <c r="Y2100" s="25"/>
      <c r="Z2100" s="75"/>
      <c r="AA2100" s="3" t="str">
        <f>IF(BCP_Soles[[#This Row],[fecha]]&gt;0,TEXT(BCP_Soles[[#This Row],[fecha]],"mmmm"),0)</f>
        <v>Junio</v>
      </c>
    </row>
    <row r="2101" spans="1:27" x14ac:dyDescent="0.3">
      <c r="A2101" s="2">
        <f>IF(BCP_Soles[[#This Row],[tipo_registro]]="R",COUNTIFS($C$1:$C2100,"R")+1,A2100)</f>
        <v>1576</v>
      </c>
      <c r="B2101" s="19" t="str">
        <f t="shared" si="171"/>
        <v>B-BCP - Soles</v>
      </c>
      <c r="C2101" s="3" t="s">
        <v>1330</v>
      </c>
      <c r="D2101" s="14">
        <v>45821</v>
      </c>
      <c r="E2101" s="5" t="s">
        <v>376</v>
      </c>
      <c r="F2101" s="5" t="s">
        <v>1303</v>
      </c>
      <c r="G2101" s="6" t="s">
        <v>425</v>
      </c>
      <c r="H2101" s="6" t="s">
        <v>68</v>
      </c>
      <c r="I2101" s="6" t="s">
        <v>1784</v>
      </c>
      <c r="J2101" s="6">
        <v>102</v>
      </c>
      <c r="K2101" s="7" t="s">
        <v>1382</v>
      </c>
      <c r="L2101" s="8">
        <v>11260</v>
      </c>
      <c r="M2101" s="8" t="str">
        <f t="shared" si="172"/>
        <v>PEN</v>
      </c>
      <c r="N2101" s="13"/>
      <c r="O2101" s="13">
        <v>998.74</v>
      </c>
      <c r="P2101" s="3">
        <f t="shared" si="173"/>
        <v>998.74</v>
      </c>
      <c r="Q2101" s="3">
        <f t="shared" si="174"/>
        <v>0</v>
      </c>
      <c r="R2101" s="3">
        <f t="shared" si="170"/>
        <v>62233.930000000037</v>
      </c>
      <c r="S2101" s="24" t="s">
        <v>1334</v>
      </c>
      <c r="T2101" s="24" t="s">
        <v>1334</v>
      </c>
      <c r="U2101" s="53"/>
      <c r="V2101" s="25">
        <f>IFERROR(VLOOKUP(BCP_Soles[[#This Row],[destinatario]],CHOOSE({1,2},Clientes_Proveedores[Razon Social],Clientes_Proveedores[Ruc / Dni]),2,0),"")</f>
        <v>20558226979</v>
      </c>
      <c r="W2101" s="25" t="s">
        <v>1345</v>
      </c>
      <c r="X2101" s="25" t="s">
        <v>3395</v>
      </c>
      <c r="Y2101" s="25"/>
      <c r="Z2101" s="75"/>
      <c r="AA2101" s="3" t="str">
        <f>IF(BCP_Soles[[#This Row],[fecha]]&gt;0,TEXT(BCP_Soles[[#This Row],[fecha]],"mmmm"),0)</f>
        <v>Junio</v>
      </c>
    </row>
    <row r="2102" spans="1:27" ht="24" x14ac:dyDescent="0.3">
      <c r="A2102" s="2">
        <f>IF(BCP_Soles[[#This Row],[tipo_registro]]="R",COUNTIFS($C$1:$C2101,"R")+1,A2101)</f>
        <v>1577</v>
      </c>
      <c r="B2102" s="19" t="str">
        <f t="shared" si="171"/>
        <v>B-BCP - Soles</v>
      </c>
      <c r="C2102" s="3" t="s">
        <v>1330</v>
      </c>
      <c r="D2102" s="14">
        <v>45821</v>
      </c>
      <c r="E2102" s="5" t="s">
        <v>2009</v>
      </c>
      <c r="F2102" s="5" t="s">
        <v>1303</v>
      </c>
      <c r="G2102" s="6" t="s">
        <v>425</v>
      </c>
      <c r="H2102" s="6" t="s">
        <v>119</v>
      </c>
      <c r="I2102" s="6">
        <v>1</v>
      </c>
      <c r="J2102" s="6">
        <v>4501</v>
      </c>
      <c r="K2102" s="7" t="s">
        <v>1356</v>
      </c>
      <c r="L2102" s="8">
        <v>1126656</v>
      </c>
      <c r="M2102" s="8" t="str">
        <f t="shared" si="172"/>
        <v>PEN</v>
      </c>
      <c r="N2102" s="13"/>
      <c r="O2102" s="13">
        <v>184</v>
      </c>
      <c r="P2102" s="3">
        <f t="shared" si="173"/>
        <v>184</v>
      </c>
      <c r="Q2102" s="3">
        <f t="shared" si="174"/>
        <v>0</v>
      </c>
      <c r="R2102" s="3">
        <f t="shared" si="170"/>
        <v>62417.930000000037</v>
      </c>
      <c r="S2102" s="24" t="s">
        <v>1334</v>
      </c>
      <c r="T2102" s="24" t="s">
        <v>1334</v>
      </c>
      <c r="U2102" s="53"/>
      <c r="V2102" s="25">
        <f>IFERROR(VLOOKUP(BCP_Soles[[#This Row],[destinatario]],CHOOSE({1,2},Clientes_Proveedores[Razon Social],Clientes_Proveedores[Ruc / Dni]),2,0),"")</f>
        <v>20558226979</v>
      </c>
      <c r="W2102" s="25" t="s">
        <v>1345</v>
      </c>
      <c r="X2102" s="25"/>
      <c r="Y2102" s="25"/>
      <c r="Z2102" s="75"/>
      <c r="AA2102" s="3" t="str">
        <f>IF(BCP_Soles[[#This Row],[fecha]]&gt;0,TEXT(BCP_Soles[[#This Row],[fecha]],"mmmm"),0)</f>
        <v>Junio</v>
      </c>
    </row>
    <row r="2103" spans="1:27" ht="24" x14ac:dyDescent="0.3">
      <c r="A2103" s="2">
        <f>IF(BCP_Soles[[#This Row],[tipo_registro]]="R",COUNTIFS($C$1:$C2102,"R")+1,A2102)</f>
        <v>1578</v>
      </c>
      <c r="B2103" s="19" t="str">
        <f t="shared" si="171"/>
        <v>B-BCP - Soles</v>
      </c>
      <c r="C2103" s="3" t="s">
        <v>1330</v>
      </c>
      <c r="D2103" s="14">
        <v>45821</v>
      </c>
      <c r="E2103" s="5" t="s">
        <v>2009</v>
      </c>
      <c r="F2103" s="5" t="s">
        <v>1303</v>
      </c>
      <c r="G2103" s="6" t="s">
        <v>425</v>
      </c>
      <c r="H2103" s="6" t="s">
        <v>119</v>
      </c>
      <c r="I2103" s="6">
        <v>1</v>
      </c>
      <c r="J2103" s="6">
        <v>4500</v>
      </c>
      <c r="K2103" s="7" t="s">
        <v>1356</v>
      </c>
      <c r="L2103" s="8">
        <v>1132251</v>
      </c>
      <c r="M2103" s="8" t="str">
        <f t="shared" si="172"/>
        <v>PEN</v>
      </c>
      <c r="N2103" s="13"/>
      <c r="O2103" s="13">
        <v>1132</v>
      </c>
      <c r="P2103" s="3">
        <f t="shared" si="173"/>
        <v>1132</v>
      </c>
      <c r="Q2103" s="3">
        <f t="shared" si="174"/>
        <v>0</v>
      </c>
      <c r="R2103" s="3">
        <f t="shared" si="170"/>
        <v>63549.930000000037</v>
      </c>
      <c r="S2103" s="24" t="s">
        <v>1334</v>
      </c>
      <c r="T2103" s="24" t="s">
        <v>1334</v>
      </c>
      <c r="U2103" s="53"/>
      <c r="V2103" s="25">
        <f>IFERROR(VLOOKUP(BCP_Soles[[#This Row],[destinatario]],CHOOSE({1,2},Clientes_Proveedores[Razon Social],Clientes_Proveedores[Ruc / Dni]),2,0),"")</f>
        <v>20558226979</v>
      </c>
      <c r="W2103" s="25" t="s">
        <v>1345</v>
      </c>
      <c r="X2103" s="25"/>
      <c r="Y2103" s="25"/>
      <c r="Z2103" s="75"/>
      <c r="AA2103" s="3" t="str">
        <f>IF(BCP_Soles[[#This Row],[fecha]]&gt;0,TEXT(BCP_Soles[[#This Row],[fecha]],"mmmm"),0)</f>
        <v>Junio</v>
      </c>
    </row>
    <row r="2104" spans="1:27" ht="24" x14ac:dyDescent="0.3">
      <c r="A2104" s="2">
        <f>IF(BCP_Soles[[#This Row],[tipo_registro]]="R",COUNTIFS($C$1:$C2103,"R")+1,A2103)</f>
        <v>1579</v>
      </c>
      <c r="B2104" s="19" t="str">
        <f t="shared" si="171"/>
        <v>B-BCP - Soles</v>
      </c>
      <c r="C2104" s="3" t="s">
        <v>1330</v>
      </c>
      <c r="D2104" s="14">
        <v>45821</v>
      </c>
      <c r="E2104" s="5" t="s">
        <v>342</v>
      </c>
      <c r="F2104" s="5" t="s">
        <v>1303</v>
      </c>
      <c r="G2104" s="6" t="s">
        <v>425</v>
      </c>
      <c r="H2104" s="6" t="s">
        <v>68</v>
      </c>
      <c r="I2104" s="6" t="s">
        <v>1784</v>
      </c>
      <c r="J2104" s="6">
        <v>101</v>
      </c>
      <c r="K2104" s="7" t="s">
        <v>3396</v>
      </c>
      <c r="L2104" s="8">
        <v>2329981</v>
      </c>
      <c r="M2104" s="8" t="str">
        <f t="shared" si="172"/>
        <v>PEN</v>
      </c>
      <c r="N2104" s="13"/>
      <c r="O2104" s="13">
        <v>1247.22</v>
      </c>
      <c r="P2104" s="3">
        <f t="shared" si="173"/>
        <v>1247.22</v>
      </c>
      <c r="Q2104" s="3">
        <f t="shared" si="174"/>
        <v>0</v>
      </c>
      <c r="R2104" s="3">
        <f t="shared" si="170"/>
        <v>64797.150000000038</v>
      </c>
      <c r="S2104" s="24" t="s">
        <v>1334</v>
      </c>
      <c r="T2104" s="24" t="s">
        <v>1334</v>
      </c>
      <c r="U2104" s="53"/>
      <c r="V2104" s="25">
        <f>IFERROR(VLOOKUP(BCP_Soles[[#This Row],[destinatario]],CHOOSE({1,2},Clientes_Proveedores[Razon Social],Clientes_Proveedores[Ruc / Dni]),2,0),"")</f>
        <v>20558226979</v>
      </c>
      <c r="W2104" s="25" t="s">
        <v>1345</v>
      </c>
      <c r="X2104" s="25" t="s">
        <v>3397</v>
      </c>
      <c r="Y2104" s="25"/>
      <c r="Z2104" s="75"/>
      <c r="AA2104" s="3" t="str">
        <f>IF(BCP_Soles[[#This Row],[fecha]]&gt;0,TEXT(BCP_Soles[[#This Row],[fecha]],"mmmm"),0)</f>
        <v>Junio</v>
      </c>
    </row>
    <row r="2105" spans="1:27" ht="24" x14ac:dyDescent="0.3">
      <c r="A2105" s="2">
        <f>IF(BCP_Soles[[#This Row],[tipo_registro]]="R",COUNTIFS($C$1:$C2104,"R")+1,A2104)</f>
        <v>1580</v>
      </c>
      <c r="B2105" s="19" t="str">
        <f t="shared" si="171"/>
        <v>B-BCP - Soles</v>
      </c>
      <c r="C2105" s="3" t="s">
        <v>1330</v>
      </c>
      <c r="D2105" s="14">
        <v>45821</v>
      </c>
      <c r="E2105" s="5" t="s">
        <v>536</v>
      </c>
      <c r="F2105" s="5" t="s">
        <v>1303</v>
      </c>
      <c r="G2105" s="6" t="s">
        <v>425</v>
      </c>
      <c r="H2105" s="6" t="s">
        <v>119</v>
      </c>
      <c r="I2105" s="6">
        <v>1</v>
      </c>
      <c r="J2105" s="6">
        <v>4484</v>
      </c>
      <c r="K2105" s="7" t="s">
        <v>1356</v>
      </c>
      <c r="L2105" s="8">
        <v>408180</v>
      </c>
      <c r="M2105" s="8" t="str">
        <f t="shared" si="172"/>
        <v>PEN</v>
      </c>
      <c r="N2105" s="13"/>
      <c r="O2105" s="13">
        <v>10</v>
      </c>
      <c r="P2105" s="3">
        <f t="shared" si="173"/>
        <v>10</v>
      </c>
      <c r="Q2105" s="3">
        <f t="shared" si="174"/>
        <v>0</v>
      </c>
      <c r="R2105" s="3">
        <f t="shared" si="170"/>
        <v>64807.150000000038</v>
      </c>
      <c r="S2105" s="24" t="s">
        <v>1334</v>
      </c>
      <c r="T2105" s="24" t="s">
        <v>1334</v>
      </c>
      <c r="U2105" s="53"/>
      <c r="V2105" s="25">
        <f>IFERROR(VLOOKUP(BCP_Soles[[#This Row],[destinatario]],CHOOSE({1,2},Clientes_Proveedores[Razon Social],Clientes_Proveedores[Ruc / Dni]),2,0),"")</f>
        <v>20558226979</v>
      </c>
      <c r="W2105" s="25" t="s">
        <v>1345</v>
      </c>
      <c r="X2105" s="25"/>
      <c r="Y2105" s="25"/>
      <c r="Z2105" s="75"/>
      <c r="AA2105" s="3" t="str">
        <f>IF(BCP_Soles[[#This Row],[fecha]]&gt;0,TEXT(BCP_Soles[[#This Row],[fecha]],"mmmm"),0)</f>
        <v>Junio</v>
      </c>
    </row>
    <row r="2106" spans="1:27" ht="36" x14ac:dyDescent="0.3">
      <c r="A2106" s="2">
        <f>IF(BCP_Soles[[#This Row],[tipo_registro]]="R",COUNTIFS($C$1:$C2105,"R")+1,A2105)</f>
        <v>1581</v>
      </c>
      <c r="B2106" s="19" t="str">
        <f t="shared" si="171"/>
        <v>B-BCP - Soles</v>
      </c>
      <c r="C2106" s="3" t="s">
        <v>1330</v>
      </c>
      <c r="D2106" s="14">
        <v>45821</v>
      </c>
      <c r="E2106" s="5" t="s">
        <v>244</v>
      </c>
      <c r="F2106" s="5" t="s">
        <v>1303</v>
      </c>
      <c r="G2106" s="6" t="s">
        <v>425</v>
      </c>
      <c r="H2106" s="6" t="s">
        <v>68</v>
      </c>
      <c r="I2106" s="6" t="s">
        <v>1784</v>
      </c>
      <c r="J2106" s="6">
        <v>88</v>
      </c>
      <c r="K2106" s="7" t="s">
        <v>3398</v>
      </c>
      <c r="L2106" s="8">
        <v>7452182</v>
      </c>
      <c r="M2106" s="8" t="str">
        <f t="shared" si="172"/>
        <v>PEN</v>
      </c>
      <c r="N2106" s="13"/>
      <c r="O2106" s="13">
        <v>5749.42</v>
      </c>
      <c r="P2106" s="3">
        <f t="shared" si="173"/>
        <v>5749.42</v>
      </c>
      <c r="Q2106" s="3">
        <f t="shared" si="174"/>
        <v>0</v>
      </c>
      <c r="R2106" s="3">
        <f t="shared" si="170"/>
        <v>70556.570000000036</v>
      </c>
      <c r="S2106" s="24" t="s">
        <v>1334</v>
      </c>
      <c r="T2106" s="24" t="s">
        <v>1334</v>
      </c>
      <c r="U2106" s="53"/>
      <c r="V2106" s="25">
        <f>IFERROR(VLOOKUP(BCP_Soles[[#This Row],[destinatario]],CHOOSE({1,2},Clientes_Proveedores[Razon Social],Clientes_Proveedores[Ruc / Dni]),2,0),"")</f>
        <v>20558226979</v>
      </c>
      <c r="W2106" s="25" t="s">
        <v>1345</v>
      </c>
      <c r="X2106" s="25" t="s">
        <v>3399</v>
      </c>
      <c r="Y2106" s="25"/>
      <c r="Z2106" s="75"/>
      <c r="AA2106" s="3" t="str">
        <f>IF(BCP_Soles[[#This Row],[fecha]]&gt;0,TEXT(BCP_Soles[[#This Row],[fecha]],"mmmm"),0)</f>
        <v>Junio</v>
      </c>
    </row>
    <row r="2107" spans="1:27" x14ac:dyDescent="0.3">
      <c r="A2107" s="2">
        <f>IF(BCP_Soles[[#This Row],[tipo_registro]]="R",COUNTIFS($C$1:$C2106,"R")+1,A2106)</f>
        <v>1582</v>
      </c>
      <c r="B2107" s="19" t="str">
        <f t="shared" si="171"/>
        <v>B-BCP - Soles</v>
      </c>
      <c r="C2107" s="3" t="s">
        <v>1330</v>
      </c>
      <c r="D2107" s="14">
        <v>45821</v>
      </c>
      <c r="E2107" s="5" t="s">
        <v>1335</v>
      </c>
      <c r="F2107" s="5" t="s">
        <v>1336</v>
      </c>
      <c r="G2107" s="6"/>
      <c r="H2107" s="6"/>
      <c r="I2107" s="6"/>
      <c r="J2107" s="6"/>
      <c r="K2107" s="7" t="s">
        <v>3160</v>
      </c>
      <c r="L2107" s="8"/>
      <c r="M2107" s="8" t="str">
        <f t="shared" si="172"/>
        <v>PEN</v>
      </c>
      <c r="N2107" s="13"/>
      <c r="O2107" s="13">
        <v>0.35</v>
      </c>
      <c r="P2107" s="3">
        <f t="shared" si="173"/>
        <v>0</v>
      </c>
      <c r="Q2107" s="3">
        <f t="shared" si="174"/>
        <v>0.35</v>
      </c>
      <c r="R2107" s="3">
        <f t="shared" si="170"/>
        <v>70556.22000000003</v>
      </c>
      <c r="S2107" s="24"/>
      <c r="T2107" s="24" t="s">
        <v>1334</v>
      </c>
      <c r="U2107" s="53"/>
      <c r="V2107" s="25" t="str">
        <f>IFERROR(VLOOKUP(BCP_Soles[[#This Row],[destinatario]],CHOOSE({1,2},Clientes_Proveedores[Razon Social],Clientes_Proveedores[Ruc / Dni]),2,0),"")</f>
        <v/>
      </c>
      <c r="W2107" s="25"/>
      <c r="X2107" s="25"/>
      <c r="Y2107" s="25"/>
      <c r="Z2107" s="75"/>
      <c r="AA2107" s="3" t="str">
        <f>IF(BCP_Soles[[#This Row],[fecha]]&gt;0,TEXT(BCP_Soles[[#This Row],[fecha]],"mmmm"),0)</f>
        <v>Junio</v>
      </c>
    </row>
    <row r="2108" spans="1:27" x14ac:dyDescent="0.3">
      <c r="A2108" s="2">
        <f>IF(BCP_Soles[[#This Row],[tipo_registro]]="R",COUNTIFS($C$1:$C2107,"R")+1,A2107)</f>
        <v>1583</v>
      </c>
      <c r="B2108" s="19" t="str">
        <f t="shared" si="171"/>
        <v>B-BCP - Soles</v>
      </c>
      <c r="C2108" s="3" t="s">
        <v>1330</v>
      </c>
      <c r="D2108" s="14">
        <v>45824</v>
      </c>
      <c r="E2108" s="5" t="s">
        <v>1498</v>
      </c>
      <c r="F2108" s="5" t="s">
        <v>1303</v>
      </c>
      <c r="G2108" s="6" t="s">
        <v>425</v>
      </c>
      <c r="H2108" s="6" t="s">
        <v>119</v>
      </c>
      <c r="I2108" s="6">
        <v>1</v>
      </c>
      <c r="J2108" s="6">
        <v>4507</v>
      </c>
      <c r="K2108" s="7" t="s">
        <v>1356</v>
      </c>
      <c r="L2108" s="8">
        <v>4056999</v>
      </c>
      <c r="M2108" s="8" t="str">
        <f t="shared" si="172"/>
        <v>PEN</v>
      </c>
      <c r="N2108" s="13"/>
      <c r="O2108" s="13">
        <v>130</v>
      </c>
      <c r="P2108" s="3">
        <f t="shared" si="173"/>
        <v>130</v>
      </c>
      <c r="Q2108" s="3">
        <f t="shared" si="174"/>
        <v>0</v>
      </c>
      <c r="R2108" s="3">
        <f t="shared" si="170"/>
        <v>70686.22000000003</v>
      </c>
      <c r="S2108" s="24" t="s">
        <v>1334</v>
      </c>
      <c r="T2108" s="24" t="s">
        <v>1334</v>
      </c>
      <c r="U2108" s="53"/>
      <c r="V2108" s="25">
        <f>IFERROR(VLOOKUP(BCP_Soles[[#This Row],[destinatario]],CHOOSE({1,2},Clientes_Proveedores[Razon Social],Clientes_Proveedores[Ruc / Dni]),2,0),"")</f>
        <v>20558226979</v>
      </c>
      <c r="W2108" s="25" t="s">
        <v>1345</v>
      </c>
      <c r="X2108" s="25" t="s">
        <v>3400</v>
      </c>
      <c r="Y2108" s="25"/>
      <c r="Z2108" s="75"/>
      <c r="AA2108" s="3" t="str">
        <f>IF(BCP_Soles[[#This Row],[fecha]]&gt;0,TEXT(BCP_Soles[[#This Row],[fecha]],"mmmm"),0)</f>
        <v>Junio</v>
      </c>
    </row>
    <row r="2109" spans="1:27" ht="24" x14ac:dyDescent="0.3">
      <c r="A2109" s="2">
        <f>IF(BCP_Soles[[#This Row],[tipo_registro]]="R",COUNTIFS($C$1:$C2108,"R")+1,A2108)</f>
        <v>1584</v>
      </c>
      <c r="B2109" s="19" t="str">
        <f t="shared" si="171"/>
        <v>B-BCP - Soles</v>
      </c>
      <c r="C2109" s="3" t="s">
        <v>1330</v>
      </c>
      <c r="D2109" s="14">
        <v>45824</v>
      </c>
      <c r="E2109" s="5" t="s">
        <v>2502</v>
      </c>
      <c r="F2109" s="5" t="s">
        <v>1303</v>
      </c>
      <c r="G2109" s="6" t="s">
        <v>425</v>
      </c>
      <c r="H2109" s="6" t="s">
        <v>119</v>
      </c>
      <c r="I2109" s="6">
        <v>1</v>
      </c>
      <c r="J2109" s="6">
        <v>4505</v>
      </c>
      <c r="K2109" s="7" t="s">
        <v>1356</v>
      </c>
      <c r="L2109" s="8">
        <v>4046892</v>
      </c>
      <c r="M2109" s="8" t="str">
        <f t="shared" si="172"/>
        <v>PEN</v>
      </c>
      <c r="N2109" s="13"/>
      <c r="O2109" s="13">
        <v>1040</v>
      </c>
      <c r="P2109" s="3">
        <f t="shared" si="173"/>
        <v>1040</v>
      </c>
      <c r="Q2109" s="3">
        <f t="shared" si="174"/>
        <v>0</v>
      </c>
      <c r="R2109" s="3">
        <f t="shared" si="170"/>
        <v>71726.22000000003</v>
      </c>
      <c r="S2109" s="24" t="s">
        <v>1334</v>
      </c>
      <c r="T2109" s="24" t="s">
        <v>1334</v>
      </c>
      <c r="U2109" s="53"/>
      <c r="V2109" s="25">
        <f>IFERROR(VLOOKUP(BCP_Soles[[#This Row],[destinatario]],CHOOSE({1,2},Clientes_Proveedores[Razon Social],Clientes_Proveedores[Ruc / Dni]),2,0),"")</f>
        <v>20558226979</v>
      </c>
      <c r="W2109" s="25" t="s">
        <v>1345</v>
      </c>
      <c r="X2109" s="25" t="s">
        <v>3401</v>
      </c>
      <c r="Y2109" s="25"/>
      <c r="Z2109" s="75"/>
      <c r="AA2109" s="3" t="str">
        <f>IF(BCP_Soles[[#This Row],[fecha]]&gt;0,TEXT(BCP_Soles[[#This Row],[fecha]],"mmmm"),0)</f>
        <v>Junio</v>
      </c>
    </row>
    <row r="2110" spans="1:27" ht="24" x14ac:dyDescent="0.3">
      <c r="A2110" s="2">
        <f>IF(BCP_Soles[[#This Row],[tipo_registro]]="R",COUNTIFS($C$1:$C2109,"R")+1,A2109)</f>
        <v>1585</v>
      </c>
      <c r="B2110" s="19" t="str">
        <f t="shared" si="171"/>
        <v>B-BCP - Soles</v>
      </c>
      <c r="C2110" s="3" t="s">
        <v>1330</v>
      </c>
      <c r="D2110" s="14">
        <v>45824</v>
      </c>
      <c r="E2110" s="5" t="s">
        <v>1505</v>
      </c>
      <c r="F2110" s="5" t="s">
        <v>1303</v>
      </c>
      <c r="G2110" s="6" t="s">
        <v>425</v>
      </c>
      <c r="H2110" s="6" t="s">
        <v>119</v>
      </c>
      <c r="I2110" s="6">
        <v>2</v>
      </c>
      <c r="J2110" s="6">
        <v>795</v>
      </c>
      <c r="K2110" s="7" t="s">
        <v>1356</v>
      </c>
      <c r="L2110" s="8">
        <v>3303031</v>
      </c>
      <c r="M2110" s="8" t="str">
        <f t="shared" si="172"/>
        <v>PEN</v>
      </c>
      <c r="N2110" s="13"/>
      <c r="O2110" s="13">
        <v>2352</v>
      </c>
      <c r="P2110" s="3">
        <f t="shared" si="173"/>
        <v>2352</v>
      </c>
      <c r="Q2110" s="3">
        <f t="shared" si="174"/>
        <v>0</v>
      </c>
      <c r="R2110" s="3">
        <f t="shared" si="170"/>
        <v>74078.22000000003</v>
      </c>
      <c r="S2110" s="24" t="s">
        <v>1334</v>
      </c>
      <c r="T2110" s="24" t="s">
        <v>1334</v>
      </c>
      <c r="U2110" s="53"/>
      <c r="V2110" s="25">
        <f>IFERROR(VLOOKUP(BCP_Soles[[#This Row],[destinatario]],CHOOSE({1,2},Clientes_Proveedores[Razon Social],Clientes_Proveedores[Ruc / Dni]),2,0),"")</f>
        <v>20558226979</v>
      </c>
      <c r="W2110" s="25" t="s">
        <v>1345</v>
      </c>
      <c r="X2110" s="25" t="s">
        <v>3402</v>
      </c>
      <c r="Y2110" s="25"/>
      <c r="Z2110" s="75"/>
      <c r="AA2110" s="3" t="str">
        <f>IF(BCP_Soles[[#This Row],[fecha]]&gt;0,TEXT(BCP_Soles[[#This Row],[fecha]],"mmmm"),0)</f>
        <v>Junio</v>
      </c>
    </row>
    <row r="2111" spans="1:27" ht="24" x14ac:dyDescent="0.3">
      <c r="A2111" s="2">
        <f>IF(BCP_Soles[[#This Row],[tipo_registro]]="R",COUNTIFS($C$1:$C2110,"R")+1,A2110)</f>
        <v>1586</v>
      </c>
      <c r="B2111" s="19" t="str">
        <f t="shared" si="171"/>
        <v>B-BCP - Soles</v>
      </c>
      <c r="C2111" s="3" t="s">
        <v>1330</v>
      </c>
      <c r="D2111" s="14">
        <v>45824</v>
      </c>
      <c r="E2111" s="5" t="s">
        <v>1505</v>
      </c>
      <c r="F2111" s="5" t="s">
        <v>1303</v>
      </c>
      <c r="G2111" s="6" t="s">
        <v>425</v>
      </c>
      <c r="H2111" s="6" t="s">
        <v>119</v>
      </c>
      <c r="I2111" s="6">
        <v>2</v>
      </c>
      <c r="J2111" s="6">
        <v>794</v>
      </c>
      <c r="K2111" s="7" t="s">
        <v>1356</v>
      </c>
      <c r="L2111" s="8">
        <v>3270258</v>
      </c>
      <c r="M2111" s="8" t="str">
        <f t="shared" si="172"/>
        <v>PEN</v>
      </c>
      <c r="N2111" s="13"/>
      <c r="O2111" s="13">
        <v>2378</v>
      </c>
      <c r="P2111" s="3">
        <f t="shared" si="173"/>
        <v>2378</v>
      </c>
      <c r="Q2111" s="3">
        <f t="shared" si="174"/>
        <v>0</v>
      </c>
      <c r="R2111" s="3">
        <f t="shared" si="170"/>
        <v>76456.22000000003</v>
      </c>
      <c r="S2111" s="24" t="s">
        <v>1334</v>
      </c>
      <c r="T2111" s="24" t="s">
        <v>1334</v>
      </c>
      <c r="U2111" s="53"/>
      <c r="V2111" s="25">
        <f>IFERROR(VLOOKUP(BCP_Soles[[#This Row],[destinatario]],CHOOSE({1,2},Clientes_Proveedores[Razon Social],Clientes_Proveedores[Ruc / Dni]),2,0),"")</f>
        <v>20558226979</v>
      </c>
      <c r="W2111" s="25" t="s">
        <v>1345</v>
      </c>
      <c r="X2111" s="25" t="s">
        <v>3403</v>
      </c>
      <c r="Y2111" s="25"/>
      <c r="Z2111" s="75"/>
      <c r="AA2111" s="3" t="str">
        <f>IF(BCP_Soles[[#This Row],[fecha]]&gt;0,TEXT(BCP_Soles[[#This Row],[fecha]],"mmmm"),0)</f>
        <v>Junio</v>
      </c>
    </row>
    <row r="2112" spans="1:27" ht="24" x14ac:dyDescent="0.3">
      <c r="A2112" s="2">
        <f>IF(BCP_Soles[[#This Row],[tipo_registro]]="R",COUNTIFS($C$1:$C2111,"R")+1,A2111)</f>
        <v>1587</v>
      </c>
      <c r="B2112" s="19" t="str">
        <f t="shared" si="171"/>
        <v>B-BCP - Soles</v>
      </c>
      <c r="C2112" s="3" t="s">
        <v>1330</v>
      </c>
      <c r="D2112" s="14">
        <v>45824</v>
      </c>
      <c r="E2112" s="5" t="s">
        <v>1331</v>
      </c>
      <c r="F2112" s="5" t="s">
        <v>1336</v>
      </c>
      <c r="G2112" s="6" t="s">
        <v>583</v>
      </c>
      <c r="H2112" s="6" t="s">
        <v>68</v>
      </c>
      <c r="I2112" s="6" t="s">
        <v>1376</v>
      </c>
      <c r="J2112" s="6">
        <v>823</v>
      </c>
      <c r="K2112" s="7" t="s">
        <v>3404</v>
      </c>
      <c r="L2112" s="8">
        <v>1245955</v>
      </c>
      <c r="M2112" s="8" t="str">
        <f t="shared" si="172"/>
        <v>PEN</v>
      </c>
      <c r="N2112" s="13"/>
      <c r="O2112" s="13">
        <v>3285</v>
      </c>
      <c r="P2112" s="3">
        <f t="shared" si="173"/>
        <v>0</v>
      </c>
      <c r="Q2112" s="3">
        <f t="shared" si="174"/>
        <v>3285</v>
      </c>
      <c r="R2112" s="3">
        <f t="shared" si="170"/>
        <v>73171.22000000003</v>
      </c>
      <c r="S2112" s="24" t="s">
        <v>1334</v>
      </c>
      <c r="T2112" s="24" t="s">
        <v>1334</v>
      </c>
      <c r="U2112" s="53"/>
      <c r="V2112" s="25">
        <f>IFERROR(VLOOKUP(BCP_Soles[[#This Row],[destinatario]],CHOOSE({1,2},Clientes_Proveedores[Razon Social],Clientes_Proveedores[Ruc / Dni]),2,0),"")</f>
        <v>20609155303</v>
      </c>
      <c r="W2112" s="25" t="s">
        <v>1896</v>
      </c>
      <c r="X2112" s="25"/>
      <c r="Y2112" s="25"/>
      <c r="Z2112" s="75"/>
      <c r="AA2112" s="3" t="str">
        <f>IF(BCP_Soles[[#This Row],[fecha]]&gt;0,TEXT(BCP_Soles[[#This Row],[fecha]],"mmmm"),0)</f>
        <v>Junio</v>
      </c>
    </row>
    <row r="2113" spans="1:27" x14ac:dyDescent="0.3">
      <c r="A2113" s="2">
        <f>IF(BCP_Soles[[#This Row],[tipo_registro]]="R",COUNTIFS($C$1:$C2112,"R")+1,A2112)</f>
        <v>1588</v>
      </c>
      <c r="B2113" s="19" t="str">
        <f t="shared" si="171"/>
        <v>B-BCP - Soles</v>
      </c>
      <c r="C2113" s="3" t="s">
        <v>1330</v>
      </c>
      <c r="D2113" s="14">
        <v>45824</v>
      </c>
      <c r="E2113" s="5" t="s">
        <v>1421</v>
      </c>
      <c r="F2113" s="5" t="s">
        <v>1336</v>
      </c>
      <c r="G2113" s="6" t="s">
        <v>809</v>
      </c>
      <c r="H2113" s="6" t="s">
        <v>143</v>
      </c>
      <c r="I2113" s="6">
        <v>1</v>
      </c>
      <c r="J2113" s="6">
        <v>782025</v>
      </c>
      <c r="K2113" s="7" t="s">
        <v>1582</v>
      </c>
      <c r="L2113" s="8">
        <v>1002401</v>
      </c>
      <c r="M2113" s="8" t="str">
        <f t="shared" si="172"/>
        <v>PEN</v>
      </c>
      <c r="N2113" s="13"/>
      <c r="O2113" s="13">
        <v>2765.65</v>
      </c>
      <c r="P2113" s="3">
        <f t="shared" si="173"/>
        <v>0</v>
      </c>
      <c r="Q2113" s="3">
        <f t="shared" si="174"/>
        <v>2765.65</v>
      </c>
      <c r="R2113" s="3">
        <f t="shared" si="170"/>
        <v>70405.570000000036</v>
      </c>
      <c r="S2113" s="24"/>
      <c r="T2113" s="24" t="s">
        <v>1334</v>
      </c>
      <c r="U2113" s="53"/>
      <c r="V2113" s="25">
        <f>IFERROR(VLOOKUP(BCP_Soles[[#This Row],[destinatario]],CHOOSE({1,2},Clientes_Proveedores[Razon Social],Clientes_Proveedores[Ruc / Dni]),2,0),"")</f>
        <v>45286301</v>
      </c>
      <c r="W2113" s="25"/>
      <c r="X2113" s="25"/>
      <c r="Y2113" s="25"/>
      <c r="Z2113" s="75"/>
      <c r="AA2113" s="3" t="str">
        <f>IF(BCP_Soles[[#This Row],[fecha]]&gt;0,TEXT(BCP_Soles[[#This Row],[fecha]],"mmmm"),0)</f>
        <v>Junio</v>
      </c>
    </row>
    <row r="2114" spans="1:27" ht="24" x14ac:dyDescent="0.3">
      <c r="A2114" s="2">
        <f>IF(BCP_Soles[[#This Row],[tipo_registro]]="R",COUNTIFS($C$1:$C2113,"R")+1,A2113)</f>
        <v>1589</v>
      </c>
      <c r="B2114" s="19" t="str">
        <f t="shared" si="171"/>
        <v>B-BCP - Soles</v>
      </c>
      <c r="C2114" s="3" t="s">
        <v>1330</v>
      </c>
      <c r="D2114" s="14">
        <v>45824</v>
      </c>
      <c r="E2114" s="5" t="s">
        <v>1331</v>
      </c>
      <c r="F2114" s="5" t="s">
        <v>1336</v>
      </c>
      <c r="G2114" s="6" t="s">
        <v>267</v>
      </c>
      <c r="H2114" s="6" t="s">
        <v>68</v>
      </c>
      <c r="I2114" s="6" t="s">
        <v>1977</v>
      </c>
      <c r="J2114" s="6">
        <v>26715</v>
      </c>
      <c r="K2114" s="7" t="s">
        <v>3405</v>
      </c>
      <c r="L2114" s="8">
        <v>1245494</v>
      </c>
      <c r="M2114" s="8" t="str">
        <f t="shared" si="172"/>
        <v>PEN</v>
      </c>
      <c r="N2114" s="13"/>
      <c r="O2114" s="13">
        <v>1289.93</v>
      </c>
      <c r="P2114" s="3">
        <f t="shared" si="173"/>
        <v>0</v>
      </c>
      <c r="Q2114" s="3">
        <f t="shared" si="174"/>
        <v>1289.93</v>
      </c>
      <c r="R2114" s="3">
        <f t="shared" si="170"/>
        <v>69115.640000000043</v>
      </c>
      <c r="S2114" s="24" t="s">
        <v>1334</v>
      </c>
      <c r="T2114" s="24" t="s">
        <v>1334</v>
      </c>
      <c r="U2114" s="53"/>
      <c r="V2114" s="25">
        <f>IFERROR(VLOOKUP(BCP_Soles[[#This Row],[destinatario]],CHOOSE({1,2},Clientes_Proveedores[Razon Social],Clientes_Proveedores[Ruc / Dni]),2,0),"")</f>
        <v>20413666130</v>
      </c>
      <c r="W2114" s="25" t="s">
        <v>1979</v>
      </c>
      <c r="X2114" s="25" t="s">
        <v>3406</v>
      </c>
      <c r="Y2114" s="25"/>
      <c r="Z2114" s="75"/>
      <c r="AA2114" s="3" t="str">
        <f>IF(BCP_Soles[[#This Row],[fecha]]&gt;0,TEXT(BCP_Soles[[#This Row],[fecha]],"mmmm"),0)</f>
        <v>Junio</v>
      </c>
    </row>
    <row r="2115" spans="1:27" ht="24" x14ac:dyDescent="0.3">
      <c r="A2115" s="2">
        <f>IF(BCP_Soles[[#This Row],[tipo_registro]]="R",COUNTIFS($C$1:$C2114,"R")+1,A2114)</f>
        <v>1590</v>
      </c>
      <c r="B2115" s="19" t="str">
        <f t="shared" si="171"/>
        <v>B-BCP - Soles</v>
      </c>
      <c r="C2115" s="3" t="s">
        <v>1330</v>
      </c>
      <c r="D2115" s="14">
        <v>45824</v>
      </c>
      <c r="E2115" s="5" t="s">
        <v>1331</v>
      </c>
      <c r="F2115" s="5" t="s">
        <v>1336</v>
      </c>
      <c r="G2115" s="6" t="s">
        <v>249</v>
      </c>
      <c r="H2115" s="6"/>
      <c r="I2115" s="6"/>
      <c r="J2115" s="6"/>
      <c r="K2115" s="7" t="s">
        <v>3407</v>
      </c>
      <c r="L2115" s="8">
        <v>1246606</v>
      </c>
      <c r="M2115" s="8" t="str">
        <f t="shared" si="172"/>
        <v>PEN</v>
      </c>
      <c r="N2115" s="13"/>
      <c r="O2115" s="13">
        <v>1254.0999999999999</v>
      </c>
      <c r="P2115" s="3">
        <f t="shared" si="173"/>
        <v>0</v>
      </c>
      <c r="Q2115" s="3">
        <f t="shared" si="174"/>
        <v>1254.0999999999999</v>
      </c>
      <c r="R2115" s="3">
        <f t="shared" si="170"/>
        <v>67861.540000000037</v>
      </c>
      <c r="S2115" s="24"/>
      <c r="T2115" s="24" t="s">
        <v>1334</v>
      </c>
      <c r="U2115" s="53"/>
      <c r="V2115" s="25">
        <f>IFERROR(VLOOKUP(BCP_Soles[[#This Row],[destinatario]],CHOOSE({1,2},Clientes_Proveedores[Razon Social],Clientes_Proveedores[Ruc / Dni]),2,0),"")</f>
        <v>20302891452</v>
      </c>
      <c r="W2115" s="25" t="s">
        <v>249</v>
      </c>
      <c r="X2115" s="25"/>
      <c r="Y2115" s="25"/>
      <c r="Z2115" s="75"/>
      <c r="AA2115" s="3" t="str">
        <f>IF(BCP_Soles[[#This Row],[fecha]]&gt;0,TEXT(BCP_Soles[[#This Row],[fecha]],"mmmm"),0)</f>
        <v>Junio</v>
      </c>
    </row>
    <row r="2116" spans="1:27" ht="24" x14ac:dyDescent="0.3">
      <c r="A2116" s="2">
        <f>IF(BCP_Soles[[#This Row],[tipo_registro]]="R",COUNTIFS($C$1:$C2115,"R")+1,A2115)</f>
        <v>1591</v>
      </c>
      <c r="B2116" s="19" t="str">
        <f t="shared" si="171"/>
        <v>B-BCP - Soles</v>
      </c>
      <c r="C2116" s="3" t="s">
        <v>1330</v>
      </c>
      <c r="D2116" s="14">
        <v>45824</v>
      </c>
      <c r="E2116" s="5" t="s">
        <v>1331</v>
      </c>
      <c r="F2116" s="5" t="s">
        <v>1336</v>
      </c>
      <c r="G2116" s="6" t="s">
        <v>249</v>
      </c>
      <c r="H2116" s="6"/>
      <c r="I2116" s="6"/>
      <c r="J2116" s="6"/>
      <c r="K2116" s="7" t="s">
        <v>3408</v>
      </c>
      <c r="L2116" s="8">
        <v>1248016</v>
      </c>
      <c r="M2116" s="8" t="str">
        <f t="shared" si="172"/>
        <v>PEN</v>
      </c>
      <c r="N2116" s="13"/>
      <c r="O2116" s="13">
        <v>830.72</v>
      </c>
      <c r="P2116" s="3">
        <f t="shared" si="173"/>
        <v>0</v>
      </c>
      <c r="Q2116" s="3">
        <f t="shared" si="174"/>
        <v>830.72</v>
      </c>
      <c r="R2116" s="3">
        <f t="shared" si="170"/>
        <v>67030.820000000036</v>
      </c>
      <c r="S2116" s="24"/>
      <c r="T2116" s="24" t="s">
        <v>1334</v>
      </c>
      <c r="U2116" s="53"/>
      <c r="V2116" s="25">
        <f>IFERROR(VLOOKUP(BCP_Soles[[#This Row],[destinatario]],CHOOSE({1,2},Clientes_Proveedores[Razon Social],Clientes_Proveedores[Ruc / Dni]),2,0),"")</f>
        <v>20302891452</v>
      </c>
      <c r="W2116" s="25" t="s">
        <v>249</v>
      </c>
      <c r="X2116" s="25"/>
      <c r="Y2116" s="25"/>
      <c r="Z2116" s="75"/>
      <c r="AA2116" s="3" t="str">
        <f>IF(BCP_Soles[[#This Row],[fecha]]&gt;0,TEXT(BCP_Soles[[#This Row],[fecha]],"mmmm"),0)</f>
        <v>Junio</v>
      </c>
    </row>
    <row r="2117" spans="1:27" ht="36" x14ac:dyDescent="0.3">
      <c r="A2117" s="2">
        <f>IF(BCP_Soles[[#This Row],[tipo_registro]]="R",COUNTIFS($C$1:$C2116,"R")+1,A2116)</f>
        <v>1592</v>
      </c>
      <c r="B2117" s="19" t="str">
        <f t="shared" si="171"/>
        <v>B-BCP - Soles</v>
      </c>
      <c r="C2117" s="3" t="s">
        <v>1330</v>
      </c>
      <c r="D2117" s="14">
        <v>45824</v>
      </c>
      <c r="E2117" s="5" t="s">
        <v>1331</v>
      </c>
      <c r="F2117" s="5" t="s">
        <v>1336</v>
      </c>
      <c r="G2117" s="6" t="s">
        <v>117</v>
      </c>
      <c r="H2117" s="6" t="s">
        <v>68</v>
      </c>
      <c r="I2117" s="6" t="s">
        <v>1376</v>
      </c>
      <c r="J2117" s="6">
        <v>497</v>
      </c>
      <c r="K2117" s="7" t="s">
        <v>3409</v>
      </c>
      <c r="L2117" s="8">
        <v>1247560</v>
      </c>
      <c r="M2117" s="8" t="str">
        <f t="shared" si="172"/>
        <v>PEN</v>
      </c>
      <c r="N2117" s="13"/>
      <c r="O2117" s="13">
        <v>453</v>
      </c>
      <c r="P2117" s="3">
        <f t="shared" si="173"/>
        <v>0</v>
      </c>
      <c r="Q2117" s="3">
        <f t="shared" si="174"/>
        <v>453</v>
      </c>
      <c r="R2117" s="3">
        <f t="shared" si="170"/>
        <v>66577.820000000036</v>
      </c>
      <c r="S2117" s="24" t="s">
        <v>1334</v>
      </c>
      <c r="T2117" s="24" t="s">
        <v>1334</v>
      </c>
      <c r="U2117" s="80" t="s">
        <v>3410</v>
      </c>
      <c r="V2117" s="101">
        <f>IFERROR(VLOOKUP(BCP_Soles[[#This Row],[destinatario]],CHOOSE({1,2},Clientes_Proveedores[Razon Social],Clientes_Proveedores[Ruc / Dni]),2,0),"")</f>
        <v>10295492908</v>
      </c>
      <c r="W2117" s="26" t="s">
        <v>117</v>
      </c>
      <c r="X2117" s="26" t="s">
        <v>3411</v>
      </c>
      <c r="Y2117" s="26"/>
      <c r="Z2117" s="76"/>
      <c r="AA2117" s="3" t="str">
        <f>IF(BCP_Soles[[#This Row],[fecha]]&gt;0,TEXT(BCP_Soles[[#This Row],[fecha]],"mmmm"),0)</f>
        <v>Junio</v>
      </c>
    </row>
    <row r="2118" spans="1:27" ht="24" x14ac:dyDescent="0.3">
      <c r="A2118" s="2">
        <f>IF(BCP_Soles[[#This Row],[tipo_registro]]="R",COUNTIFS($C$1:$C2117,"R")+1,A2117)</f>
        <v>1593</v>
      </c>
      <c r="B2118" s="19" t="str">
        <f t="shared" si="171"/>
        <v>B-BCP - Soles</v>
      </c>
      <c r="C2118" s="3" t="s">
        <v>1330</v>
      </c>
      <c r="D2118" s="14">
        <v>45824</v>
      </c>
      <c r="E2118" s="5" t="s">
        <v>1331</v>
      </c>
      <c r="F2118" s="5" t="s">
        <v>1336</v>
      </c>
      <c r="G2118" s="6" t="s">
        <v>857</v>
      </c>
      <c r="H2118" s="6" t="s">
        <v>143</v>
      </c>
      <c r="I2118" s="6">
        <v>1</v>
      </c>
      <c r="J2118" s="6">
        <v>432025</v>
      </c>
      <c r="K2118" s="7" t="s">
        <v>3412</v>
      </c>
      <c r="L2118" s="8">
        <v>1247894</v>
      </c>
      <c r="M2118" s="8" t="str">
        <f t="shared" si="172"/>
        <v>PEN</v>
      </c>
      <c r="N2118" s="13"/>
      <c r="O2118" s="13">
        <v>238</v>
      </c>
      <c r="P2118" s="3">
        <f t="shared" si="173"/>
        <v>0</v>
      </c>
      <c r="Q2118" s="3">
        <f t="shared" si="174"/>
        <v>238</v>
      </c>
      <c r="R2118" s="3">
        <f t="shared" si="170"/>
        <v>66339.820000000036</v>
      </c>
      <c r="S2118" s="24" t="s">
        <v>1334</v>
      </c>
      <c r="T2118" s="24" t="s">
        <v>1334</v>
      </c>
      <c r="U2118" s="53"/>
      <c r="V2118" s="25">
        <f>IFERROR(VLOOKUP(BCP_Soles[[#This Row],[destinatario]],CHOOSE({1,2},Clientes_Proveedores[Razon Social],Clientes_Proveedores[Ruc / Dni]),2,0),"")</f>
        <v>70666331</v>
      </c>
      <c r="W2118" s="25" t="s">
        <v>857</v>
      </c>
      <c r="X2118" s="25" t="s">
        <v>3413</v>
      </c>
      <c r="Y2118" s="25"/>
      <c r="Z2118" s="75"/>
      <c r="AA2118" s="3" t="str">
        <f>IF(BCP_Soles[[#This Row],[fecha]]&gt;0,TEXT(BCP_Soles[[#This Row],[fecha]],"mmmm"),0)</f>
        <v>Junio</v>
      </c>
    </row>
    <row r="2119" spans="1:27" ht="24" x14ac:dyDescent="0.3">
      <c r="A2119" s="2">
        <f>IF(BCP_Soles[[#This Row],[tipo_registro]]="R",COUNTIFS($C$1:$C2118,"R")+1,A2118)</f>
        <v>1594</v>
      </c>
      <c r="B2119" s="19" t="str">
        <f t="shared" si="171"/>
        <v>B-BCP - Soles</v>
      </c>
      <c r="C2119" s="3" t="s">
        <v>1330</v>
      </c>
      <c r="D2119" s="14">
        <v>45824</v>
      </c>
      <c r="E2119" s="5" t="s">
        <v>1331</v>
      </c>
      <c r="F2119" s="5" t="s">
        <v>1336</v>
      </c>
      <c r="G2119" s="6" t="s">
        <v>741</v>
      </c>
      <c r="H2119" s="6" t="s">
        <v>68</v>
      </c>
      <c r="I2119" s="6" t="s">
        <v>1376</v>
      </c>
      <c r="J2119" s="6">
        <v>423</v>
      </c>
      <c r="K2119" s="7" t="s">
        <v>3414</v>
      </c>
      <c r="L2119" s="8">
        <v>1248509</v>
      </c>
      <c r="M2119" s="8" t="str">
        <f t="shared" si="172"/>
        <v>PEN</v>
      </c>
      <c r="N2119" s="13"/>
      <c r="O2119" s="13">
        <v>140</v>
      </c>
      <c r="P2119" s="3">
        <f t="shared" si="173"/>
        <v>0</v>
      </c>
      <c r="Q2119" s="3">
        <f t="shared" si="174"/>
        <v>140</v>
      </c>
      <c r="R2119" s="3">
        <f t="shared" si="170"/>
        <v>66199.820000000036</v>
      </c>
      <c r="S2119" s="24" t="s">
        <v>1334</v>
      </c>
      <c r="T2119" s="24" t="s">
        <v>1334</v>
      </c>
      <c r="U2119" s="80" t="s">
        <v>3415</v>
      </c>
      <c r="V2119" s="101">
        <f>IFERROR(VLOOKUP(BCP_Soles[[#This Row],[destinatario]],CHOOSE({1,2},Clientes_Proveedores[Razon Social],Clientes_Proveedores[Ruc / Dni]),2,0),"")</f>
        <v>10802636143</v>
      </c>
      <c r="W2119" s="26" t="s">
        <v>741</v>
      </c>
      <c r="X2119" s="26" t="s">
        <v>3416</v>
      </c>
      <c r="Y2119" s="26"/>
      <c r="Z2119" s="76"/>
      <c r="AA2119" s="3" t="str">
        <f>IF(BCP_Soles[[#This Row],[fecha]]&gt;0,TEXT(BCP_Soles[[#This Row],[fecha]],"mmmm"),0)</f>
        <v>Junio</v>
      </c>
    </row>
    <row r="2120" spans="1:27" ht="24" x14ac:dyDescent="0.3">
      <c r="A2120" s="2">
        <f>IF(BCP_Soles[[#This Row],[tipo_registro]]="R",COUNTIFS($C$1:$C2119,"R")+1,A2119)</f>
        <v>1595</v>
      </c>
      <c r="B2120" s="19" t="str">
        <f t="shared" si="171"/>
        <v>B-BCP - Soles</v>
      </c>
      <c r="C2120" s="3" t="s">
        <v>1330</v>
      </c>
      <c r="D2120" s="14">
        <v>45824</v>
      </c>
      <c r="E2120" s="5" t="s">
        <v>1331</v>
      </c>
      <c r="F2120" s="5" t="s">
        <v>1336</v>
      </c>
      <c r="G2120" s="6" t="s">
        <v>249</v>
      </c>
      <c r="H2120" s="6"/>
      <c r="I2120" s="6"/>
      <c r="J2120" s="6"/>
      <c r="K2120" s="7" t="s">
        <v>3417</v>
      </c>
      <c r="L2120" s="8">
        <v>1244174</v>
      </c>
      <c r="M2120" s="8" t="str">
        <f t="shared" si="172"/>
        <v>PEN</v>
      </c>
      <c r="N2120" s="13"/>
      <c r="O2120" s="13">
        <v>81.42</v>
      </c>
      <c r="P2120" s="3">
        <f t="shared" si="173"/>
        <v>0</v>
      </c>
      <c r="Q2120" s="3">
        <f t="shared" si="174"/>
        <v>81.42</v>
      </c>
      <c r="R2120" s="3">
        <f t="shared" si="170"/>
        <v>66118.400000000038</v>
      </c>
      <c r="S2120" s="24"/>
      <c r="T2120" s="24" t="s">
        <v>1334</v>
      </c>
      <c r="U2120" s="53"/>
      <c r="V2120" s="25">
        <f>IFERROR(VLOOKUP(BCP_Soles[[#This Row],[destinatario]],CHOOSE({1,2},Clientes_Proveedores[Razon Social],Clientes_Proveedores[Ruc / Dni]),2,0),"")</f>
        <v>20302891452</v>
      </c>
      <c r="W2120" s="25" t="s">
        <v>249</v>
      </c>
      <c r="X2120" s="25"/>
      <c r="Y2120" s="25"/>
      <c r="Z2120" s="75"/>
      <c r="AA2120" s="3" t="str">
        <f>IF(BCP_Soles[[#This Row],[fecha]]&gt;0,TEXT(BCP_Soles[[#This Row],[fecha]],"mmmm"),0)</f>
        <v>Junio</v>
      </c>
    </row>
    <row r="2121" spans="1:27" ht="24" x14ac:dyDescent="0.3">
      <c r="A2121" s="2">
        <f>IF(BCP_Soles[[#This Row],[tipo_registro]]="R",COUNTIFS($C$1:$C2120,"R")+1,A2120)</f>
        <v>1596</v>
      </c>
      <c r="B2121" s="19" t="str">
        <f t="shared" si="171"/>
        <v>B-BCP - Soles</v>
      </c>
      <c r="C2121" s="3" t="s">
        <v>1330</v>
      </c>
      <c r="D2121" s="14">
        <v>45824</v>
      </c>
      <c r="E2121" s="5" t="s">
        <v>1331</v>
      </c>
      <c r="F2121" s="5" t="s">
        <v>1336</v>
      </c>
      <c r="G2121" s="6" t="s">
        <v>249</v>
      </c>
      <c r="H2121" s="6"/>
      <c r="I2121" s="6"/>
      <c r="J2121" s="6"/>
      <c r="K2121" s="7" t="s">
        <v>3408</v>
      </c>
      <c r="L2121" s="8">
        <v>1245493</v>
      </c>
      <c r="M2121" s="8" t="str">
        <f t="shared" si="172"/>
        <v>PEN</v>
      </c>
      <c r="N2121" s="13"/>
      <c r="O2121" s="13">
        <v>40.71</v>
      </c>
      <c r="P2121" s="3">
        <f t="shared" si="173"/>
        <v>0</v>
      </c>
      <c r="Q2121" s="3">
        <f t="shared" si="174"/>
        <v>40.71</v>
      </c>
      <c r="R2121" s="3">
        <f t="shared" ref="R2121:R2184" si="175">IFERROR(IF(F2121="SALDO",P2121,R2120+P2121-Q2121),0)</f>
        <v>66077.690000000031</v>
      </c>
      <c r="S2121" s="24"/>
      <c r="T2121" s="24" t="s">
        <v>1334</v>
      </c>
      <c r="U2121" s="53"/>
      <c r="V2121" s="25">
        <f>IFERROR(VLOOKUP(BCP_Soles[[#This Row],[destinatario]],CHOOSE({1,2},Clientes_Proveedores[Razon Social],Clientes_Proveedores[Ruc / Dni]),2,0),"")</f>
        <v>20302891452</v>
      </c>
      <c r="W2121" s="25" t="s">
        <v>249</v>
      </c>
      <c r="X2121" s="25"/>
      <c r="Y2121" s="25"/>
      <c r="Z2121" s="75"/>
      <c r="AA2121" s="3" t="str">
        <f>IF(BCP_Soles[[#This Row],[fecha]]&gt;0,TEXT(BCP_Soles[[#This Row],[fecha]],"mmmm"),0)</f>
        <v>Junio</v>
      </c>
    </row>
    <row r="2122" spans="1:27" ht="24" x14ac:dyDescent="0.3">
      <c r="A2122" s="2">
        <f>IF(BCP_Soles[[#This Row],[tipo_registro]]="R",COUNTIFS($C$1:$C2121,"R")+1,A2121)</f>
        <v>1597</v>
      </c>
      <c r="B2122" s="19" t="str">
        <f t="shared" si="171"/>
        <v>B-BCP - Soles</v>
      </c>
      <c r="C2122" s="3" t="s">
        <v>1330</v>
      </c>
      <c r="D2122" s="14">
        <v>45824</v>
      </c>
      <c r="E2122" s="5" t="s">
        <v>1335</v>
      </c>
      <c r="F2122" s="5" t="s">
        <v>1336</v>
      </c>
      <c r="G2122" s="6" t="s">
        <v>1060</v>
      </c>
      <c r="H2122" s="6" t="s">
        <v>68</v>
      </c>
      <c r="I2122" s="6" t="s">
        <v>1397</v>
      </c>
      <c r="J2122" s="6">
        <v>33908644</v>
      </c>
      <c r="K2122" s="7" t="s">
        <v>1552</v>
      </c>
      <c r="L2122" s="8">
        <v>964162</v>
      </c>
      <c r="M2122" s="8" t="str">
        <f t="shared" si="172"/>
        <v>PEN</v>
      </c>
      <c r="N2122" s="13"/>
      <c r="O2122" s="13">
        <v>10</v>
      </c>
      <c r="P2122" s="3">
        <f t="shared" si="173"/>
        <v>0</v>
      </c>
      <c r="Q2122" s="3">
        <f t="shared" si="174"/>
        <v>10</v>
      </c>
      <c r="R2122" s="3">
        <f t="shared" si="175"/>
        <v>66067.690000000031</v>
      </c>
      <c r="S2122" s="24" t="s">
        <v>1334</v>
      </c>
      <c r="T2122" s="24" t="s">
        <v>1334</v>
      </c>
      <c r="U2122" s="53"/>
      <c r="V2122" s="25">
        <f>IFERROR(VLOOKUP(BCP_Soles[[#This Row],[destinatario]],CHOOSE({1,2},Clientes_Proveedores[Razon Social],Clientes_Proveedores[Ruc / Dni]),2,0),"")</f>
        <v>20100047218</v>
      </c>
      <c r="W2122" s="25" t="s">
        <v>1335</v>
      </c>
      <c r="X2122" s="25"/>
      <c r="Y2122" s="25"/>
      <c r="Z2122" s="75"/>
      <c r="AA2122" s="3" t="str">
        <f>IF(BCP_Soles[[#This Row],[fecha]]&gt;0,TEXT(BCP_Soles[[#This Row],[fecha]],"mmmm"),0)</f>
        <v>Junio</v>
      </c>
    </row>
    <row r="2123" spans="1:27" x14ac:dyDescent="0.3">
      <c r="A2123" s="2">
        <f>IF(BCP_Soles[[#This Row],[tipo_registro]]="R",COUNTIFS($C$1:$C2122,"R")+1,A2122)</f>
        <v>1598</v>
      </c>
      <c r="B2123" s="19" t="str">
        <f t="shared" si="171"/>
        <v>B-BCP - Soles</v>
      </c>
      <c r="C2123" s="3" t="s">
        <v>1330</v>
      </c>
      <c r="D2123" s="14">
        <v>45824</v>
      </c>
      <c r="E2123" s="5" t="s">
        <v>1335</v>
      </c>
      <c r="F2123" s="5" t="s">
        <v>1336</v>
      </c>
      <c r="G2123" s="6"/>
      <c r="H2123" s="6"/>
      <c r="I2123" s="6"/>
      <c r="J2123" s="6"/>
      <c r="K2123" s="7" t="s">
        <v>3160</v>
      </c>
      <c r="L2123" s="8"/>
      <c r="M2123" s="8" t="str">
        <f t="shared" si="172"/>
        <v>PEN</v>
      </c>
      <c r="N2123" s="13"/>
      <c r="O2123" s="13">
        <v>0.6</v>
      </c>
      <c r="P2123" s="3">
        <f t="shared" si="173"/>
        <v>0</v>
      </c>
      <c r="Q2123" s="3">
        <f t="shared" si="174"/>
        <v>0.6</v>
      </c>
      <c r="R2123" s="3">
        <f t="shared" si="175"/>
        <v>66067.090000000026</v>
      </c>
      <c r="S2123" s="24"/>
      <c r="T2123" s="24" t="s">
        <v>1334</v>
      </c>
      <c r="U2123" s="53"/>
      <c r="V2123" s="25" t="str">
        <f>IFERROR(VLOOKUP(BCP_Soles[[#This Row],[destinatario]],CHOOSE({1,2},Clientes_Proveedores[Razon Social],Clientes_Proveedores[Ruc / Dni]),2,0),"")</f>
        <v/>
      </c>
      <c r="W2123" s="25"/>
      <c r="X2123" s="25"/>
      <c r="Y2123" s="25"/>
      <c r="Z2123" s="75"/>
      <c r="AA2123" s="3" t="str">
        <f>IF(BCP_Soles[[#This Row],[fecha]]&gt;0,TEXT(BCP_Soles[[#This Row],[fecha]],"mmmm"),0)</f>
        <v>Junio</v>
      </c>
    </row>
    <row r="2124" spans="1:27" ht="36" x14ac:dyDescent="0.3">
      <c r="A2124" s="2">
        <f>IF(BCP_Soles[[#This Row],[tipo_registro]]="R",COUNTIFS($C$1:$C2123,"R")+1,A2123)</f>
        <v>1599</v>
      </c>
      <c r="B2124" s="19" t="str">
        <f t="shared" si="171"/>
        <v>B-BCP - Soles</v>
      </c>
      <c r="C2124" s="3" t="s">
        <v>1330</v>
      </c>
      <c r="D2124" s="14">
        <v>45825</v>
      </c>
      <c r="E2124" s="5" t="s">
        <v>261</v>
      </c>
      <c r="F2124" s="5" t="s">
        <v>1303</v>
      </c>
      <c r="G2124" s="6" t="s">
        <v>425</v>
      </c>
      <c r="H2124" s="6" t="s">
        <v>68</v>
      </c>
      <c r="I2124" s="6" t="s">
        <v>3302</v>
      </c>
      <c r="J2124" s="6">
        <v>62</v>
      </c>
      <c r="K2124" s="7" t="s">
        <v>3418</v>
      </c>
      <c r="L2124" s="8">
        <v>8754036</v>
      </c>
      <c r="M2124" s="8" t="str">
        <f t="shared" si="172"/>
        <v>PEN</v>
      </c>
      <c r="N2124" s="13"/>
      <c r="O2124" s="13">
        <v>28353.48</v>
      </c>
      <c r="P2124" s="3">
        <f t="shared" si="173"/>
        <v>28353.48</v>
      </c>
      <c r="Q2124" s="3">
        <f t="shared" si="174"/>
        <v>0</v>
      </c>
      <c r="R2124" s="3">
        <f t="shared" si="175"/>
        <v>94420.570000000022</v>
      </c>
      <c r="S2124" s="24" t="s">
        <v>1334</v>
      </c>
      <c r="T2124" s="24" t="s">
        <v>1334</v>
      </c>
      <c r="U2124" s="53"/>
      <c r="V2124" s="25">
        <f>IFERROR(VLOOKUP(BCP_Soles[[#This Row],[destinatario]],CHOOSE({1,2},Clientes_Proveedores[Razon Social],Clientes_Proveedores[Ruc / Dni]),2,0),"")</f>
        <v>20558226979</v>
      </c>
      <c r="W2124" s="25" t="s">
        <v>1345</v>
      </c>
      <c r="X2124" s="25" t="s">
        <v>3419</v>
      </c>
      <c r="Y2124" s="25"/>
      <c r="Z2124" s="75"/>
      <c r="AA2124" s="3" t="str">
        <f>IF(BCP_Soles[[#This Row],[fecha]]&gt;0,TEXT(BCP_Soles[[#This Row],[fecha]],"mmmm"),0)</f>
        <v>Junio</v>
      </c>
    </row>
    <row r="2125" spans="1:27" ht="48" x14ac:dyDescent="0.3">
      <c r="A2125" s="2">
        <f>IF(BCP_Soles[[#This Row],[tipo_registro]]="R",COUNTIFS($C$1:$C2124,"R")+1,A2124)</f>
        <v>1600</v>
      </c>
      <c r="B2125" s="19" t="str">
        <f t="shared" si="171"/>
        <v>B-BCP - Soles</v>
      </c>
      <c r="C2125" s="3" t="s">
        <v>1330</v>
      </c>
      <c r="D2125" s="14">
        <v>45825</v>
      </c>
      <c r="E2125" s="5" t="s">
        <v>505</v>
      </c>
      <c r="F2125" s="5" t="s">
        <v>1303</v>
      </c>
      <c r="G2125" s="6" t="s">
        <v>425</v>
      </c>
      <c r="H2125" s="6"/>
      <c r="I2125" s="6"/>
      <c r="J2125" s="6"/>
      <c r="K2125" s="7" t="s">
        <v>1356</v>
      </c>
      <c r="L2125" s="8">
        <v>1166751</v>
      </c>
      <c r="M2125" s="8" t="str">
        <f t="shared" si="172"/>
        <v>PEN</v>
      </c>
      <c r="N2125" s="13"/>
      <c r="O2125" s="13">
        <v>6766.46</v>
      </c>
      <c r="P2125" s="3">
        <f t="shared" si="173"/>
        <v>6766.46</v>
      </c>
      <c r="Q2125" s="3">
        <f t="shared" si="174"/>
        <v>0</v>
      </c>
      <c r="R2125" s="3">
        <f t="shared" si="175"/>
        <v>101187.03000000003</v>
      </c>
      <c r="S2125" s="24" t="s">
        <v>1334</v>
      </c>
      <c r="T2125" s="24" t="s">
        <v>1334</v>
      </c>
      <c r="U2125" s="53"/>
      <c r="V2125" s="25">
        <f>IFERROR(VLOOKUP(BCP_Soles[[#This Row],[destinatario]],CHOOSE({1,2},Clientes_Proveedores[Razon Social],Clientes_Proveedores[Ruc / Dni]),2,0),"")</f>
        <v>20558226979</v>
      </c>
      <c r="W2125" s="25" t="s">
        <v>1345</v>
      </c>
      <c r="X2125" s="25" t="s">
        <v>3420</v>
      </c>
      <c r="Y2125" s="25"/>
      <c r="Z2125" s="75"/>
      <c r="AA2125" s="3" t="str">
        <f>IF(BCP_Soles[[#This Row],[fecha]]&gt;0,TEXT(BCP_Soles[[#This Row],[fecha]],"mmmm"),0)</f>
        <v>Junio</v>
      </c>
    </row>
    <row r="2126" spans="1:27" ht="48" x14ac:dyDescent="0.3">
      <c r="A2126" s="2">
        <f>IF(BCP_Soles[[#This Row],[tipo_registro]]="R",COUNTIFS($C$1:$C2125,"R")+1,A2125)</f>
        <v>1600</v>
      </c>
      <c r="B2126" s="19" t="str">
        <f t="shared" si="171"/>
        <v>B-BCP - Soles</v>
      </c>
      <c r="C2126" s="3" t="s">
        <v>1352</v>
      </c>
      <c r="D2126" s="14">
        <v>45825</v>
      </c>
      <c r="E2126" s="5" t="s">
        <v>505</v>
      </c>
      <c r="F2126" s="5"/>
      <c r="G2126" s="6" t="s">
        <v>425</v>
      </c>
      <c r="H2126" s="6" t="s">
        <v>68</v>
      </c>
      <c r="I2126" s="6" t="s">
        <v>3381</v>
      </c>
      <c r="J2126" s="6">
        <v>20</v>
      </c>
      <c r="K2126" s="7" t="s">
        <v>1356</v>
      </c>
      <c r="L2126" s="8">
        <v>1166751</v>
      </c>
      <c r="M2126" s="8" t="str">
        <f t="shared" si="172"/>
        <v>PEN</v>
      </c>
      <c r="N2126" s="13">
        <v>1579.5</v>
      </c>
      <c r="O2126" s="13"/>
      <c r="P2126" s="3">
        <f t="shared" si="173"/>
        <v>0</v>
      </c>
      <c r="Q2126" s="3">
        <f t="shared" si="174"/>
        <v>0</v>
      </c>
      <c r="R2126" s="3">
        <f t="shared" si="175"/>
        <v>101187.03000000003</v>
      </c>
      <c r="S2126" s="24"/>
      <c r="T2126" s="24" t="s">
        <v>1334</v>
      </c>
      <c r="U2126" s="53"/>
      <c r="V2126" s="25">
        <f>IFERROR(VLOOKUP(BCP_Soles[[#This Row],[destinatario]],CHOOSE({1,2},Clientes_Proveedores[Razon Social],Clientes_Proveedores[Ruc / Dni]),2,0),"")</f>
        <v>20558226979</v>
      </c>
      <c r="W2126" s="25"/>
      <c r="X2126" s="25"/>
      <c r="Y2126" s="25"/>
      <c r="Z2126" s="75"/>
      <c r="AA2126" s="3" t="str">
        <f>IF(BCP_Soles[[#This Row],[fecha]]&gt;0,TEXT(BCP_Soles[[#This Row],[fecha]],"mmmm"),0)</f>
        <v>Junio</v>
      </c>
    </row>
    <row r="2127" spans="1:27" ht="48" x14ac:dyDescent="0.3">
      <c r="A2127" s="2">
        <f>IF(BCP_Soles[[#This Row],[tipo_registro]]="R",COUNTIFS($C$1:$C2126,"R")+1,A2126)</f>
        <v>1600</v>
      </c>
      <c r="B2127" s="19" t="str">
        <f t="shared" si="171"/>
        <v>B-BCP - Soles</v>
      </c>
      <c r="C2127" s="3" t="s">
        <v>1352</v>
      </c>
      <c r="D2127" s="14">
        <v>45825</v>
      </c>
      <c r="E2127" s="5" t="s">
        <v>505</v>
      </c>
      <c r="F2127" s="5"/>
      <c r="G2127" s="6" t="s">
        <v>425</v>
      </c>
      <c r="H2127" s="6" t="s">
        <v>68</v>
      </c>
      <c r="I2127" s="6" t="s">
        <v>3381</v>
      </c>
      <c r="J2127" s="6">
        <v>25</v>
      </c>
      <c r="K2127" s="7" t="s">
        <v>1356</v>
      </c>
      <c r="L2127" s="8">
        <v>1166751</v>
      </c>
      <c r="M2127" s="8" t="str">
        <f t="shared" si="172"/>
        <v>PEN</v>
      </c>
      <c r="N2127" s="13">
        <v>3312.54</v>
      </c>
      <c r="O2127" s="13"/>
      <c r="P2127" s="3">
        <f t="shared" si="173"/>
        <v>0</v>
      </c>
      <c r="Q2127" s="3">
        <f t="shared" si="174"/>
        <v>0</v>
      </c>
      <c r="R2127" s="3">
        <f t="shared" si="175"/>
        <v>101187.03000000003</v>
      </c>
      <c r="S2127" s="24"/>
      <c r="T2127" s="24" t="s">
        <v>1334</v>
      </c>
      <c r="U2127" s="53"/>
      <c r="V2127" s="25">
        <f>IFERROR(VLOOKUP(BCP_Soles[[#This Row],[destinatario]],CHOOSE({1,2},Clientes_Proveedores[Razon Social],Clientes_Proveedores[Ruc / Dni]),2,0),"")</f>
        <v>20558226979</v>
      </c>
      <c r="W2127" s="25"/>
      <c r="X2127" s="25"/>
      <c r="Y2127" s="25"/>
      <c r="Z2127" s="75"/>
      <c r="AA2127" s="3" t="str">
        <f>IF(BCP_Soles[[#This Row],[fecha]]&gt;0,TEXT(BCP_Soles[[#This Row],[fecha]],"mmmm"),0)</f>
        <v>Junio</v>
      </c>
    </row>
    <row r="2128" spans="1:27" ht="48" x14ac:dyDescent="0.3">
      <c r="A2128" s="2">
        <f>IF(BCP_Soles[[#This Row],[tipo_registro]]="R",COUNTIFS($C$1:$C2127,"R")+1,A2127)</f>
        <v>1600</v>
      </c>
      <c r="B2128" s="19" t="str">
        <f t="shared" si="171"/>
        <v>B-BCP - Soles</v>
      </c>
      <c r="C2128" s="3" t="s">
        <v>1352</v>
      </c>
      <c r="D2128" s="14">
        <v>45825</v>
      </c>
      <c r="E2128" s="5" t="s">
        <v>505</v>
      </c>
      <c r="F2128" s="5"/>
      <c r="G2128" s="6" t="s">
        <v>425</v>
      </c>
      <c r="H2128" s="6" t="s">
        <v>68</v>
      </c>
      <c r="I2128" s="6" t="s">
        <v>3381</v>
      </c>
      <c r="J2128" s="6">
        <v>33</v>
      </c>
      <c r="K2128" s="7" t="s">
        <v>1356</v>
      </c>
      <c r="L2128" s="8">
        <v>1166751</v>
      </c>
      <c r="M2128" s="8" t="str">
        <f t="shared" si="172"/>
        <v>PEN</v>
      </c>
      <c r="N2128" s="13">
        <v>1874.42</v>
      </c>
      <c r="O2128" s="13"/>
      <c r="P2128" s="3">
        <f t="shared" si="173"/>
        <v>0</v>
      </c>
      <c r="Q2128" s="3">
        <f t="shared" si="174"/>
        <v>0</v>
      </c>
      <c r="R2128" s="3">
        <f t="shared" si="175"/>
        <v>101187.03000000003</v>
      </c>
      <c r="S2128" s="24"/>
      <c r="T2128" s="24" t="s">
        <v>1334</v>
      </c>
      <c r="U2128" s="53"/>
      <c r="V2128" s="25">
        <f>IFERROR(VLOOKUP(BCP_Soles[[#This Row],[destinatario]],CHOOSE({1,2},Clientes_Proveedores[Razon Social],Clientes_Proveedores[Ruc / Dni]),2,0),"")</f>
        <v>20558226979</v>
      </c>
      <c r="W2128" s="25"/>
      <c r="X2128" s="25"/>
      <c r="Y2128" s="25"/>
      <c r="Z2128" s="75"/>
      <c r="AA2128" s="3" t="str">
        <f>IF(BCP_Soles[[#This Row],[fecha]]&gt;0,TEXT(BCP_Soles[[#This Row],[fecha]],"mmmm"),0)</f>
        <v>Junio</v>
      </c>
    </row>
    <row r="2129" spans="1:27" x14ac:dyDescent="0.3">
      <c r="A2129" s="2">
        <f>IF(BCP_Soles[[#This Row],[tipo_registro]]="R",COUNTIFS($C$1:$C2128,"R")+1,A2128)</f>
        <v>1601</v>
      </c>
      <c r="B2129" s="19" t="str">
        <f t="shared" si="171"/>
        <v>B-BCP - Soles</v>
      </c>
      <c r="C2129" s="3" t="s">
        <v>1330</v>
      </c>
      <c r="D2129" s="14">
        <v>45825</v>
      </c>
      <c r="E2129" s="5" t="s">
        <v>1331</v>
      </c>
      <c r="F2129" s="5" t="s">
        <v>1336</v>
      </c>
      <c r="G2129" s="6" t="s">
        <v>696</v>
      </c>
      <c r="H2129" s="6"/>
      <c r="I2129" s="6"/>
      <c r="J2129" s="6"/>
      <c r="K2129" s="7" t="s">
        <v>3421</v>
      </c>
      <c r="L2129" s="8">
        <v>8756843</v>
      </c>
      <c r="M2129" s="8" t="str">
        <f t="shared" si="172"/>
        <v>PEN</v>
      </c>
      <c r="N2129" s="13"/>
      <c r="O2129" s="13">
        <v>5972.44</v>
      </c>
      <c r="P2129" s="3">
        <f t="shared" si="173"/>
        <v>0</v>
      </c>
      <c r="Q2129" s="3">
        <f t="shared" si="174"/>
        <v>5972.44</v>
      </c>
      <c r="R2129" s="3">
        <f t="shared" si="175"/>
        <v>95214.590000000026</v>
      </c>
      <c r="S2129" s="24" t="s">
        <v>1334</v>
      </c>
      <c r="T2129" s="24" t="s">
        <v>1334</v>
      </c>
      <c r="U2129" s="80" t="s">
        <v>3422</v>
      </c>
      <c r="V2129" s="101">
        <f>IFERROR(VLOOKUP(BCP_Soles[[#This Row],[destinatario]],CHOOSE({1,2},Clientes_Proveedores[Razon Social],Clientes_Proveedores[Ruc / Dni]),2,0),"")</f>
        <v>0</v>
      </c>
      <c r="W2129" s="26" t="s">
        <v>1373</v>
      </c>
      <c r="X2129" s="26"/>
      <c r="Y2129" s="26"/>
      <c r="Z2129" s="76"/>
      <c r="AA2129" s="3" t="str">
        <f>IF(BCP_Soles[[#This Row],[fecha]]&gt;0,TEXT(BCP_Soles[[#This Row],[fecha]],"mmmm"),0)</f>
        <v>Junio</v>
      </c>
    </row>
    <row r="2130" spans="1:27" ht="36" x14ac:dyDescent="0.3">
      <c r="A2130" s="2">
        <f>IF(BCP_Soles[[#This Row],[tipo_registro]]="R",COUNTIFS($C$1:$C2129,"R")+1,A2129)</f>
        <v>1601</v>
      </c>
      <c r="B2130" s="19" t="str">
        <f t="shared" si="171"/>
        <v>B-BCP - Soles</v>
      </c>
      <c r="C2130" s="3" t="s">
        <v>1352</v>
      </c>
      <c r="D2130" s="14">
        <v>45825</v>
      </c>
      <c r="E2130" s="5" t="s">
        <v>1331</v>
      </c>
      <c r="F2130" s="5"/>
      <c r="G2130" s="6" t="s">
        <v>383</v>
      </c>
      <c r="H2130" s="6" t="s">
        <v>68</v>
      </c>
      <c r="I2130" s="6" t="s">
        <v>1804</v>
      </c>
      <c r="J2130" s="6">
        <v>865</v>
      </c>
      <c r="K2130" s="7" t="s">
        <v>3421</v>
      </c>
      <c r="L2130" s="8">
        <v>8756843</v>
      </c>
      <c r="M2130" s="8" t="str">
        <f t="shared" si="172"/>
        <v>PEN</v>
      </c>
      <c r="N2130" s="13">
        <v>180.48</v>
      </c>
      <c r="O2130" s="13"/>
      <c r="P2130" s="3">
        <f t="shared" si="173"/>
        <v>0</v>
      </c>
      <c r="Q2130" s="3">
        <f t="shared" si="174"/>
        <v>0</v>
      </c>
      <c r="R2130" s="3">
        <f t="shared" si="175"/>
        <v>95214.590000000026</v>
      </c>
      <c r="S2130" s="24"/>
      <c r="T2130" s="24" t="s">
        <v>1334</v>
      </c>
      <c r="U2130" s="80"/>
      <c r="V2130" s="101">
        <f>IFERROR(VLOOKUP(BCP_Soles[[#This Row],[destinatario]],CHOOSE({1,2},Clientes_Proveedores[Razon Social],Clientes_Proveedores[Ruc / Dni]),2,0),"")</f>
        <v>20538593053</v>
      </c>
      <c r="W2130" s="26"/>
      <c r="X2130" s="26"/>
      <c r="Y2130" s="26"/>
      <c r="Z2130" s="76"/>
      <c r="AA2130" s="3" t="str">
        <f>IF(BCP_Soles[[#This Row],[fecha]]&gt;0,TEXT(BCP_Soles[[#This Row],[fecha]],"mmmm"),0)</f>
        <v>Junio</v>
      </c>
    </row>
    <row r="2131" spans="1:27" x14ac:dyDescent="0.3">
      <c r="A2131" s="2">
        <f>IF(BCP_Soles[[#This Row],[tipo_registro]]="R",COUNTIFS($C$1:$C2130,"R")+1,A2130)</f>
        <v>1601</v>
      </c>
      <c r="B2131" s="19" t="str">
        <f t="shared" si="171"/>
        <v>B-BCP - Soles</v>
      </c>
      <c r="C2131" s="3" t="s">
        <v>1352</v>
      </c>
      <c r="D2131" s="14">
        <v>45825</v>
      </c>
      <c r="E2131" s="5" t="s">
        <v>1331</v>
      </c>
      <c r="F2131" s="5"/>
      <c r="G2131" s="6" t="s">
        <v>522</v>
      </c>
      <c r="H2131" s="6" t="s">
        <v>68</v>
      </c>
      <c r="I2131" s="6" t="s">
        <v>1376</v>
      </c>
      <c r="J2131" s="6">
        <v>3932</v>
      </c>
      <c r="K2131" s="7" t="s">
        <v>3421</v>
      </c>
      <c r="L2131" s="8">
        <v>8756843</v>
      </c>
      <c r="M2131" s="8" t="str">
        <f t="shared" si="172"/>
        <v>PEN</v>
      </c>
      <c r="N2131" s="13">
        <v>250.75</v>
      </c>
      <c r="O2131" s="13"/>
      <c r="P2131" s="3">
        <f t="shared" si="173"/>
        <v>0</v>
      </c>
      <c r="Q2131" s="3">
        <f t="shared" si="174"/>
        <v>0</v>
      </c>
      <c r="R2131" s="3">
        <f t="shared" si="175"/>
        <v>95214.590000000026</v>
      </c>
      <c r="S2131" s="24"/>
      <c r="T2131" s="24" t="s">
        <v>1334</v>
      </c>
      <c r="U2131" s="80"/>
      <c r="V2131" s="101">
        <f>IFERROR(VLOOKUP(BCP_Soles[[#This Row],[destinatario]],CHOOSE({1,2},Clientes_Proveedores[Razon Social],Clientes_Proveedores[Ruc / Dni]),2,0),"")</f>
        <v>20603974817</v>
      </c>
      <c r="W2131" s="26"/>
      <c r="X2131" s="26"/>
      <c r="Y2131" s="26"/>
      <c r="Z2131" s="76"/>
      <c r="AA2131" s="3" t="str">
        <f>IF(BCP_Soles[[#This Row],[fecha]]&gt;0,TEXT(BCP_Soles[[#This Row],[fecha]],"mmmm"),0)</f>
        <v>Junio</v>
      </c>
    </row>
    <row r="2132" spans="1:27" x14ac:dyDescent="0.3">
      <c r="A2132" s="2">
        <f>IF(BCP_Soles[[#This Row],[tipo_registro]]="R",COUNTIFS($C$1:$C2131,"R")+1,A2131)</f>
        <v>1601</v>
      </c>
      <c r="B2132" s="19" t="str">
        <f t="shared" si="171"/>
        <v>B-BCP - Soles</v>
      </c>
      <c r="C2132" s="3" t="s">
        <v>1352</v>
      </c>
      <c r="D2132" s="14">
        <v>45825</v>
      </c>
      <c r="E2132" s="5" t="s">
        <v>1331</v>
      </c>
      <c r="F2132" s="5"/>
      <c r="G2132" s="6" t="s">
        <v>522</v>
      </c>
      <c r="H2132" s="6" t="s">
        <v>68</v>
      </c>
      <c r="I2132" s="6" t="s">
        <v>1376</v>
      </c>
      <c r="J2132" s="6">
        <v>3933</v>
      </c>
      <c r="K2132" s="7" t="s">
        <v>3421</v>
      </c>
      <c r="L2132" s="8">
        <v>8756843</v>
      </c>
      <c r="M2132" s="8" t="str">
        <f t="shared" si="172"/>
        <v>PEN</v>
      </c>
      <c r="N2132" s="13">
        <v>150.44999999999999</v>
      </c>
      <c r="O2132" s="13"/>
      <c r="P2132" s="3">
        <f t="shared" si="173"/>
        <v>0</v>
      </c>
      <c r="Q2132" s="3">
        <f t="shared" si="174"/>
        <v>0</v>
      </c>
      <c r="R2132" s="3">
        <f t="shared" si="175"/>
        <v>95214.590000000026</v>
      </c>
      <c r="S2132" s="24"/>
      <c r="T2132" s="24" t="s">
        <v>1334</v>
      </c>
      <c r="U2132" s="80"/>
      <c r="V2132" s="101">
        <f>IFERROR(VLOOKUP(BCP_Soles[[#This Row],[destinatario]],CHOOSE({1,2},Clientes_Proveedores[Razon Social],Clientes_Proveedores[Ruc / Dni]),2,0),"")</f>
        <v>20603974817</v>
      </c>
      <c r="W2132" s="26"/>
      <c r="X2132" s="26"/>
      <c r="Y2132" s="26"/>
      <c r="Z2132" s="76"/>
      <c r="AA2132" s="3" t="str">
        <f>IF(BCP_Soles[[#This Row],[fecha]]&gt;0,TEXT(BCP_Soles[[#This Row],[fecha]],"mmmm"),0)</f>
        <v>Junio</v>
      </c>
    </row>
    <row r="2133" spans="1:27" x14ac:dyDescent="0.3">
      <c r="A2133" s="2">
        <f>IF(BCP_Soles[[#This Row],[tipo_registro]]="R",COUNTIFS($C$1:$C2132,"R")+1,A2132)</f>
        <v>1601</v>
      </c>
      <c r="B2133" s="19" t="str">
        <f t="shared" si="171"/>
        <v>B-BCP - Soles</v>
      </c>
      <c r="C2133" s="3" t="s">
        <v>1352</v>
      </c>
      <c r="D2133" s="14">
        <v>45825</v>
      </c>
      <c r="E2133" s="5" t="s">
        <v>1331</v>
      </c>
      <c r="F2133" s="5"/>
      <c r="G2133" s="6" t="s">
        <v>522</v>
      </c>
      <c r="H2133" s="6" t="s">
        <v>68</v>
      </c>
      <c r="I2133" s="6" t="s">
        <v>1376</v>
      </c>
      <c r="J2133" s="6">
        <v>3922</v>
      </c>
      <c r="K2133" s="7" t="s">
        <v>3421</v>
      </c>
      <c r="L2133" s="8">
        <v>8756843</v>
      </c>
      <c r="M2133" s="8" t="str">
        <f t="shared" si="172"/>
        <v>PEN</v>
      </c>
      <c r="N2133" s="13">
        <v>250.75</v>
      </c>
      <c r="O2133" s="13"/>
      <c r="P2133" s="3">
        <f t="shared" si="173"/>
        <v>0</v>
      </c>
      <c r="Q2133" s="3">
        <f t="shared" si="174"/>
        <v>0</v>
      </c>
      <c r="R2133" s="3">
        <f t="shared" si="175"/>
        <v>95214.590000000026</v>
      </c>
      <c r="S2133" s="24"/>
      <c r="T2133" s="24" t="s">
        <v>1334</v>
      </c>
      <c r="U2133" s="80"/>
      <c r="V2133" s="101">
        <f>IFERROR(VLOOKUP(BCP_Soles[[#This Row],[destinatario]],CHOOSE({1,2},Clientes_Proveedores[Razon Social],Clientes_Proveedores[Ruc / Dni]),2,0),"")</f>
        <v>20603974817</v>
      </c>
      <c r="W2133" s="26"/>
      <c r="X2133" s="26"/>
      <c r="Y2133" s="26"/>
      <c r="Z2133" s="76"/>
      <c r="AA2133" s="3" t="str">
        <f>IF(BCP_Soles[[#This Row],[fecha]]&gt;0,TEXT(BCP_Soles[[#This Row],[fecha]],"mmmm"),0)</f>
        <v>Junio</v>
      </c>
    </row>
    <row r="2134" spans="1:27" x14ac:dyDescent="0.3">
      <c r="A2134" s="2">
        <f>IF(BCP_Soles[[#This Row],[tipo_registro]]="R",COUNTIFS($C$1:$C2133,"R")+1,A2133)</f>
        <v>1601</v>
      </c>
      <c r="B2134" s="19" t="str">
        <f t="shared" ref="B2134:B2197" si="176">"B-BCP - Soles"</f>
        <v>B-BCP - Soles</v>
      </c>
      <c r="C2134" s="3" t="s">
        <v>1352</v>
      </c>
      <c r="D2134" s="14">
        <v>45825</v>
      </c>
      <c r="E2134" s="5" t="s">
        <v>1331</v>
      </c>
      <c r="F2134" s="5"/>
      <c r="G2134" s="6" t="s">
        <v>522</v>
      </c>
      <c r="H2134" s="6" t="s">
        <v>68</v>
      </c>
      <c r="I2134" s="6" t="s">
        <v>1376</v>
      </c>
      <c r="J2134" s="6">
        <v>3926</v>
      </c>
      <c r="K2134" s="7" t="s">
        <v>3421</v>
      </c>
      <c r="L2134" s="8">
        <v>8756843</v>
      </c>
      <c r="M2134" s="8" t="str">
        <f t="shared" ref="M2134:M2197" si="177">"PEN"</f>
        <v>PEN</v>
      </c>
      <c r="N2134" s="13">
        <v>300.89999999999998</v>
      </c>
      <c r="O2134" s="13"/>
      <c r="P2134" s="3">
        <f t="shared" ref="P2134:P2197" si="178">+IF(OR($F2134="SALDO",$F2134="INGRESO"),$O2134,0)</f>
        <v>0</v>
      </c>
      <c r="Q2134" s="3">
        <f t="shared" ref="Q2134:Q2197" si="179">+IF($F2134="EGRESO",$O2134,0)</f>
        <v>0</v>
      </c>
      <c r="R2134" s="3">
        <f t="shared" si="175"/>
        <v>95214.590000000026</v>
      </c>
      <c r="S2134" s="24"/>
      <c r="T2134" s="24" t="s">
        <v>1334</v>
      </c>
      <c r="U2134" s="80"/>
      <c r="V2134" s="101">
        <f>IFERROR(VLOOKUP(BCP_Soles[[#This Row],[destinatario]],CHOOSE({1,2},Clientes_Proveedores[Razon Social],Clientes_Proveedores[Ruc / Dni]),2,0),"")</f>
        <v>20603974817</v>
      </c>
      <c r="W2134" s="26"/>
      <c r="X2134" s="26"/>
      <c r="Y2134" s="26"/>
      <c r="Z2134" s="76"/>
      <c r="AA2134" s="3" t="str">
        <f>IF(BCP_Soles[[#This Row],[fecha]]&gt;0,TEXT(BCP_Soles[[#This Row],[fecha]],"mmmm"),0)</f>
        <v>Junio</v>
      </c>
    </row>
    <row r="2135" spans="1:27" ht="24" x14ac:dyDescent="0.3">
      <c r="A2135" s="2">
        <f>IF(BCP_Soles[[#This Row],[tipo_registro]]="R",COUNTIFS($C$1:$C2134,"R")+1,A2134)</f>
        <v>1601</v>
      </c>
      <c r="B2135" s="19" t="str">
        <f t="shared" si="176"/>
        <v>B-BCP - Soles</v>
      </c>
      <c r="C2135" s="3" t="s">
        <v>1352</v>
      </c>
      <c r="D2135" s="14">
        <v>45825</v>
      </c>
      <c r="E2135" s="5" t="s">
        <v>1331</v>
      </c>
      <c r="F2135" s="5"/>
      <c r="G2135" s="6" t="s">
        <v>594</v>
      </c>
      <c r="H2135" s="6" t="s">
        <v>68</v>
      </c>
      <c r="I2135" s="6" t="s">
        <v>1376</v>
      </c>
      <c r="J2135" s="6">
        <v>2245</v>
      </c>
      <c r="K2135" s="7" t="s">
        <v>3421</v>
      </c>
      <c r="L2135" s="8">
        <v>8756843</v>
      </c>
      <c r="M2135" s="8" t="str">
        <f t="shared" si="177"/>
        <v>PEN</v>
      </c>
      <c r="N2135" s="13">
        <v>70.8</v>
      </c>
      <c r="O2135" s="13"/>
      <c r="P2135" s="3">
        <f t="shared" si="178"/>
        <v>0</v>
      </c>
      <c r="Q2135" s="3">
        <f t="shared" si="179"/>
        <v>0</v>
      </c>
      <c r="R2135" s="3">
        <f t="shared" si="175"/>
        <v>95214.590000000026</v>
      </c>
      <c r="S2135" s="24"/>
      <c r="T2135" s="24" t="s">
        <v>1334</v>
      </c>
      <c r="U2135" s="80"/>
      <c r="V2135" s="101">
        <f>IFERROR(VLOOKUP(BCP_Soles[[#This Row],[destinatario]],CHOOSE({1,2},Clientes_Proveedores[Razon Social],Clientes_Proveedores[Ruc / Dni]),2,0),"")</f>
        <v>20609764261</v>
      </c>
      <c r="W2135" s="26"/>
      <c r="X2135" s="26"/>
      <c r="Y2135" s="26"/>
      <c r="Z2135" s="76"/>
      <c r="AA2135" s="3" t="str">
        <f>IF(BCP_Soles[[#This Row],[fecha]]&gt;0,TEXT(BCP_Soles[[#This Row],[fecha]],"mmmm"),0)</f>
        <v>Junio</v>
      </c>
    </row>
    <row r="2136" spans="1:27" ht="24" x14ac:dyDescent="0.3">
      <c r="A2136" s="2">
        <f>IF(BCP_Soles[[#This Row],[tipo_registro]]="R",COUNTIFS($C$1:$C2135,"R")+1,A2135)</f>
        <v>1601</v>
      </c>
      <c r="B2136" s="19" t="str">
        <f t="shared" si="176"/>
        <v>B-BCP - Soles</v>
      </c>
      <c r="C2136" s="3" t="s">
        <v>1352</v>
      </c>
      <c r="D2136" s="14">
        <v>45825</v>
      </c>
      <c r="E2136" s="5" t="s">
        <v>1331</v>
      </c>
      <c r="F2136" s="5"/>
      <c r="G2136" s="6" t="s">
        <v>667</v>
      </c>
      <c r="H2136" s="6" t="s">
        <v>68</v>
      </c>
      <c r="I2136" s="6" t="s">
        <v>1376</v>
      </c>
      <c r="J2136" s="6">
        <v>32</v>
      </c>
      <c r="K2136" s="7" t="s">
        <v>3421</v>
      </c>
      <c r="L2136" s="8">
        <v>8756843</v>
      </c>
      <c r="M2136" s="8" t="str">
        <f t="shared" si="177"/>
        <v>PEN</v>
      </c>
      <c r="N2136" s="13">
        <v>354</v>
      </c>
      <c r="O2136" s="13"/>
      <c r="P2136" s="3">
        <f t="shared" si="178"/>
        <v>0</v>
      </c>
      <c r="Q2136" s="3">
        <f t="shared" si="179"/>
        <v>0</v>
      </c>
      <c r="R2136" s="3">
        <f t="shared" si="175"/>
        <v>95214.590000000026</v>
      </c>
      <c r="S2136" s="24"/>
      <c r="T2136" s="24" t="s">
        <v>1334</v>
      </c>
      <c r="U2136" s="80"/>
      <c r="V2136" s="101">
        <f>IFERROR(VLOOKUP(BCP_Soles[[#This Row],[destinatario]],CHOOSE({1,2},Clientes_Proveedores[Razon Social],Clientes_Proveedores[Ruc / Dni]),2,0),"")</f>
        <v>10410687491</v>
      </c>
      <c r="W2136" s="26"/>
      <c r="X2136" s="26"/>
      <c r="Y2136" s="26"/>
      <c r="Z2136" s="76"/>
      <c r="AA2136" s="3" t="str">
        <f>IF(BCP_Soles[[#This Row],[fecha]]&gt;0,TEXT(BCP_Soles[[#This Row],[fecha]],"mmmm"),0)</f>
        <v>Junio</v>
      </c>
    </row>
    <row r="2137" spans="1:27" ht="24" x14ac:dyDescent="0.3">
      <c r="A2137" s="2">
        <f>IF(BCP_Soles[[#This Row],[tipo_registro]]="R",COUNTIFS($C$1:$C2136,"R")+1,A2136)</f>
        <v>1601</v>
      </c>
      <c r="B2137" s="19" t="str">
        <f t="shared" si="176"/>
        <v>B-BCP - Soles</v>
      </c>
      <c r="C2137" s="3" t="s">
        <v>1352</v>
      </c>
      <c r="D2137" s="14">
        <v>45825</v>
      </c>
      <c r="E2137" s="5" t="s">
        <v>1331</v>
      </c>
      <c r="F2137" s="5"/>
      <c r="G2137" s="6" t="s">
        <v>692</v>
      </c>
      <c r="H2137" s="6" t="s">
        <v>68</v>
      </c>
      <c r="I2137" s="6" t="s">
        <v>1376</v>
      </c>
      <c r="J2137" s="6">
        <v>1</v>
      </c>
      <c r="K2137" s="7" t="s">
        <v>3421</v>
      </c>
      <c r="L2137" s="8">
        <v>8756843</v>
      </c>
      <c r="M2137" s="8" t="str">
        <f t="shared" si="177"/>
        <v>PEN</v>
      </c>
      <c r="N2137" s="13">
        <v>453</v>
      </c>
      <c r="O2137" s="13"/>
      <c r="P2137" s="3">
        <f t="shared" si="178"/>
        <v>0</v>
      </c>
      <c r="Q2137" s="3">
        <f t="shared" si="179"/>
        <v>0</v>
      </c>
      <c r="R2137" s="3">
        <f t="shared" si="175"/>
        <v>95214.590000000026</v>
      </c>
      <c r="S2137" s="24"/>
      <c r="T2137" s="24" t="s">
        <v>1334</v>
      </c>
      <c r="U2137" s="80"/>
      <c r="V2137" s="101">
        <f>IFERROR(VLOOKUP(BCP_Soles[[#This Row],[destinatario]],CHOOSE({1,2},Clientes_Proveedores[Razon Social],Clientes_Proveedores[Ruc / Dni]),2,0),"")</f>
        <v>10736055631</v>
      </c>
      <c r="W2137" s="26"/>
      <c r="X2137" s="26"/>
      <c r="Y2137" s="26"/>
      <c r="Z2137" s="76"/>
      <c r="AA2137" s="3" t="str">
        <f>IF(BCP_Soles[[#This Row],[fecha]]&gt;0,TEXT(BCP_Soles[[#This Row],[fecha]],"mmmm"),0)</f>
        <v>Junio</v>
      </c>
    </row>
    <row r="2138" spans="1:27" x14ac:dyDescent="0.3">
      <c r="A2138" s="2">
        <f>IF(BCP_Soles[[#This Row],[tipo_registro]]="R",COUNTIFS($C$1:$C2137,"R")+1,A2137)</f>
        <v>1601</v>
      </c>
      <c r="B2138" s="19" t="str">
        <f t="shared" si="176"/>
        <v>B-BCP - Soles</v>
      </c>
      <c r="C2138" s="3" t="s">
        <v>1352</v>
      </c>
      <c r="D2138" s="14">
        <v>45825</v>
      </c>
      <c r="E2138" s="5" t="s">
        <v>1331</v>
      </c>
      <c r="F2138" s="5"/>
      <c r="G2138" s="6" t="s">
        <v>522</v>
      </c>
      <c r="H2138" s="6" t="s">
        <v>68</v>
      </c>
      <c r="I2138" s="6" t="s">
        <v>1376</v>
      </c>
      <c r="J2138" s="6">
        <v>3924</v>
      </c>
      <c r="K2138" s="7" t="s">
        <v>3421</v>
      </c>
      <c r="L2138" s="8">
        <v>8756843</v>
      </c>
      <c r="M2138" s="8" t="str">
        <f t="shared" si="177"/>
        <v>PEN</v>
      </c>
      <c r="N2138" s="13">
        <v>501.5</v>
      </c>
      <c r="O2138" s="13"/>
      <c r="P2138" s="3">
        <f t="shared" si="178"/>
        <v>0</v>
      </c>
      <c r="Q2138" s="3">
        <f t="shared" si="179"/>
        <v>0</v>
      </c>
      <c r="R2138" s="3">
        <f t="shared" si="175"/>
        <v>95214.590000000026</v>
      </c>
      <c r="S2138" s="24"/>
      <c r="T2138" s="24" t="s">
        <v>1334</v>
      </c>
      <c r="U2138" s="80"/>
      <c r="V2138" s="101">
        <f>IFERROR(VLOOKUP(BCP_Soles[[#This Row],[destinatario]],CHOOSE({1,2},Clientes_Proveedores[Razon Social],Clientes_Proveedores[Ruc / Dni]),2,0),"")</f>
        <v>20603974817</v>
      </c>
      <c r="W2138" s="26"/>
      <c r="X2138" s="26"/>
      <c r="Y2138" s="26"/>
      <c r="Z2138" s="76"/>
      <c r="AA2138" s="3" t="str">
        <f>IF(BCP_Soles[[#This Row],[fecha]]&gt;0,TEXT(BCP_Soles[[#This Row],[fecha]],"mmmm"),0)</f>
        <v>Junio</v>
      </c>
    </row>
    <row r="2139" spans="1:27" ht="24" x14ac:dyDescent="0.3">
      <c r="A2139" s="2">
        <f>IF(BCP_Soles[[#This Row],[tipo_registro]]="R",COUNTIFS($C$1:$C2138,"R")+1,A2138)</f>
        <v>1601</v>
      </c>
      <c r="B2139" s="19" t="str">
        <f t="shared" si="176"/>
        <v>B-BCP - Soles</v>
      </c>
      <c r="C2139" s="3" t="s">
        <v>1352</v>
      </c>
      <c r="D2139" s="14">
        <v>45825</v>
      </c>
      <c r="E2139" s="5" t="s">
        <v>1331</v>
      </c>
      <c r="F2139" s="5"/>
      <c r="G2139" s="6" t="s">
        <v>271</v>
      </c>
      <c r="H2139" s="6" t="s">
        <v>68</v>
      </c>
      <c r="I2139" s="6" t="s">
        <v>1375</v>
      </c>
      <c r="J2139" s="6">
        <v>6914</v>
      </c>
      <c r="K2139" s="7" t="s">
        <v>3421</v>
      </c>
      <c r="L2139" s="8">
        <v>8756843</v>
      </c>
      <c r="M2139" s="8" t="str">
        <f t="shared" si="177"/>
        <v>PEN</v>
      </c>
      <c r="N2139" s="13">
        <v>1327</v>
      </c>
      <c r="O2139" s="13"/>
      <c r="P2139" s="3">
        <f t="shared" si="178"/>
        <v>0</v>
      </c>
      <c r="Q2139" s="3">
        <f t="shared" si="179"/>
        <v>0</v>
      </c>
      <c r="R2139" s="3">
        <f t="shared" si="175"/>
        <v>95214.590000000026</v>
      </c>
      <c r="S2139" s="24"/>
      <c r="T2139" s="24" t="s">
        <v>1334</v>
      </c>
      <c r="U2139" s="80"/>
      <c r="V2139" s="101">
        <f>IFERROR(VLOOKUP(BCP_Soles[[#This Row],[destinatario]],CHOOSE({1,2},Clientes_Proveedores[Razon Social],Clientes_Proveedores[Ruc / Dni]),2,0),"")</f>
        <v>20419158462</v>
      </c>
      <c r="W2139" s="26"/>
      <c r="X2139" s="26"/>
      <c r="Y2139" s="26"/>
      <c r="Z2139" s="76"/>
      <c r="AA2139" s="3" t="str">
        <f>IF(BCP_Soles[[#This Row],[fecha]]&gt;0,TEXT(BCP_Soles[[#This Row],[fecha]],"mmmm"),0)</f>
        <v>Junio</v>
      </c>
    </row>
    <row r="2140" spans="1:27" ht="24" x14ac:dyDescent="0.3">
      <c r="A2140" s="2">
        <f>IF(BCP_Soles[[#This Row],[tipo_registro]]="R",COUNTIFS($C$1:$C2139,"R")+1,A2139)</f>
        <v>1601</v>
      </c>
      <c r="B2140" s="19" t="str">
        <f t="shared" si="176"/>
        <v>B-BCP - Soles</v>
      </c>
      <c r="C2140" s="3" t="s">
        <v>1352</v>
      </c>
      <c r="D2140" s="14">
        <v>45825</v>
      </c>
      <c r="E2140" s="5" t="s">
        <v>1331</v>
      </c>
      <c r="F2140" s="5"/>
      <c r="G2140" s="6" t="s">
        <v>271</v>
      </c>
      <c r="H2140" s="6" t="s">
        <v>68</v>
      </c>
      <c r="I2140" s="6" t="s">
        <v>1375</v>
      </c>
      <c r="J2140" s="6">
        <v>6911</v>
      </c>
      <c r="K2140" s="7" t="s">
        <v>3421</v>
      </c>
      <c r="L2140" s="8">
        <v>8756843</v>
      </c>
      <c r="M2140" s="8" t="str">
        <f t="shared" si="177"/>
        <v>PEN</v>
      </c>
      <c r="N2140" s="13">
        <v>248.8</v>
      </c>
      <c r="O2140" s="13"/>
      <c r="P2140" s="3">
        <f t="shared" si="178"/>
        <v>0</v>
      </c>
      <c r="Q2140" s="3">
        <f t="shared" si="179"/>
        <v>0</v>
      </c>
      <c r="R2140" s="3">
        <f t="shared" si="175"/>
        <v>95214.590000000026</v>
      </c>
      <c r="S2140" s="24"/>
      <c r="T2140" s="24" t="s">
        <v>1334</v>
      </c>
      <c r="U2140" s="80"/>
      <c r="V2140" s="101">
        <f>IFERROR(VLOOKUP(BCP_Soles[[#This Row],[destinatario]],CHOOSE({1,2},Clientes_Proveedores[Razon Social],Clientes_Proveedores[Ruc / Dni]),2,0),"")</f>
        <v>20419158462</v>
      </c>
      <c r="W2140" s="26"/>
      <c r="X2140" s="26"/>
      <c r="Y2140" s="26"/>
      <c r="Z2140" s="76"/>
      <c r="AA2140" s="3" t="str">
        <f>IF(BCP_Soles[[#This Row],[fecha]]&gt;0,TEXT(BCP_Soles[[#This Row],[fecha]],"mmmm"),0)</f>
        <v>Junio</v>
      </c>
    </row>
    <row r="2141" spans="1:27" ht="24" x14ac:dyDescent="0.3">
      <c r="A2141" s="2">
        <f>IF(BCP_Soles[[#This Row],[tipo_registro]]="R",COUNTIFS($C$1:$C2140,"R")+1,A2140)</f>
        <v>1601</v>
      </c>
      <c r="B2141" s="19" t="str">
        <f t="shared" si="176"/>
        <v>B-BCP - Soles</v>
      </c>
      <c r="C2141" s="3" t="s">
        <v>1352</v>
      </c>
      <c r="D2141" s="14">
        <v>45825</v>
      </c>
      <c r="E2141" s="5" t="s">
        <v>1331</v>
      </c>
      <c r="F2141" s="5"/>
      <c r="G2141" s="6" t="s">
        <v>692</v>
      </c>
      <c r="H2141" s="6" t="s">
        <v>68</v>
      </c>
      <c r="I2141" s="6" t="s">
        <v>1376</v>
      </c>
      <c r="J2141" s="6">
        <v>2</v>
      </c>
      <c r="K2141" s="7" t="s">
        <v>3421</v>
      </c>
      <c r="L2141" s="8">
        <v>8756843</v>
      </c>
      <c r="M2141" s="8" t="str">
        <f t="shared" si="177"/>
        <v>PEN</v>
      </c>
      <c r="N2141" s="13">
        <v>864.01</v>
      </c>
      <c r="O2141" s="13"/>
      <c r="P2141" s="3">
        <f t="shared" si="178"/>
        <v>0</v>
      </c>
      <c r="Q2141" s="3">
        <f t="shared" si="179"/>
        <v>0</v>
      </c>
      <c r="R2141" s="3">
        <f t="shared" si="175"/>
        <v>95214.590000000026</v>
      </c>
      <c r="S2141" s="24"/>
      <c r="T2141" s="24" t="s">
        <v>1334</v>
      </c>
      <c r="U2141" s="80"/>
      <c r="V2141" s="101">
        <f>IFERROR(VLOOKUP(BCP_Soles[[#This Row],[destinatario]],CHOOSE({1,2},Clientes_Proveedores[Razon Social],Clientes_Proveedores[Ruc / Dni]),2,0),"")</f>
        <v>10736055631</v>
      </c>
      <c r="W2141" s="26"/>
      <c r="X2141" s="26"/>
      <c r="Y2141" s="26"/>
      <c r="Z2141" s="76"/>
      <c r="AA2141" s="3" t="str">
        <f>IF(BCP_Soles[[#This Row],[fecha]]&gt;0,TEXT(BCP_Soles[[#This Row],[fecha]],"mmmm"),0)</f>
        <v>Junio</v>
      </c>
    </row>
    <row r="2142" spans="1:27" ht="24" x14ac:dyDescent="0.3">
      <c r="A2142" s="2">
        <f>IF(BCP_Soles[[#This Row],[tipo_registro]]="R",COUNTIFS($C$1:$C2141,"R")+1,A2141)</f>
        <v>1601</v>
      </c>
      <c r="B2142" s="19" t="str">
        <f t="shared" si="176"/>
        <v>B-BCP - Soles</v>
      </c>
      <c r="C2142" s="3" t="s">
        <v>1352</v>
      </c>
      <c r="D2142" s="14">
        <v>45825</v>
      </c>
      <c r="E2142" s="5" t="s">
        <v>1331</v>
      </c>
      <c r="F2142" s="5"/>
      <c r="G2142" s="6" t="s">
        <v>667</v>
      </c>
      <c r="H2142" s="6" t="s">
        <v>68</v>
      </c>
      <c r="I2142" s="6" t="s">
        <v>1376</v>
      </c>
      <c r="J2142" s="6">
        <v>37</v>
      </c>
      <c r="K2142" s="7" t="s">
        <v>3421</v>
      </c>
      <c r="L2142" s="8">
        <v>8756843</v>
      </c>
      <c r="M2142" s="8" t="str">
        <f t="shared" si="177"/>
        <v>PEN</v>
      </c>
      <c r="N2142" s="13">
        <v>510</v>
      </c>
      <c r="O2142" s="13"/>
      <c r="P2142" s="3">
        <f t="shared" si="178"/>
        <v>0</v>
      </c>
      <c r="Q2142" s="3">
        <f t="shared" si="179"/>
        <v>0</v>
      </c>
      <c r="R2142" s="3">
        <f t="shared" si="175"/>
        <v>95214.590000000026</v>
      </c>
      <c r="S2142" s="24"/>
      <c r="T2142" s="24" t="s">
        <v>1334</v>
      </c>
      <c r="U2142" s="80"/>
      <c r="V2142" s="101">
        <f>IFERROR(VLOOKUP(BCP_Soles[[#This Row],[destinatario]],CHOOSE({1,2},Clientes_Proveedores[Razon Social],Clientes_Proveedores[Ruc / Dni]),2,0),"")</f>
        <v>10410687491</v>
      </c>
      <c r="W2142" s="26"/>
      <c r="X2142" s="26"/>
      <c r="Y2142" s="26"/>
      <c r="Z2142" s="76"/>
      <c r="AA2142" s="3" t="str">
        <f>IF(BCP_Soles[[#This Row],[fecha]]&gt;0,TEXT(BCP_Soles[[#This Row],[fecha]],"mmmm"),0)</f>
        <v>Junio</v>
      </c>
    </row>
    <row r="2143" spans="1:27" ht="24" x14ac:dyDescent="0.3">
      <c r="A2143" s="2">
        <f>IF(BCP_Soles[[#This Row],[tipo_registro]]="R",COUNTIFS($C$1:$C2142,"R")+1,A2142)</f>
        <v>1601</v>
      </c>
      <c r="B2143" s="19" t="str">
        <f t="shared" si="176"/>
        <v>B-BCP - Soles</v>
      </c>
      <c r="C2143" s="3" t="s">
        <v>1352</v>
      </c>
      <c r="D2143" s="14">
        <v>45825</v>
      </c>
      <c r="E2143" s="5" t="s">
        <v>1331</v>
      </c>
      <c r="F2143" s="5"/>
      <c r="G2143" s="6" t="s">
        <v>692</v>
      </c>
      <c r="H2143" s="6" t="s">
        <v>68</v>
      </c>
      <c r="I2143" s="6" t="s">
        <v>1376</v>
      </c>
      <c r="J2143" s="6">
        <v>6</v>
      </c>
      <c r="K2143" s="7" t="s">
        <v>3421</v>
      </c>
      <c r="L2143" s="8">
        <v>8756843</v>
      </c>
      <c r="M2143" s="8" t="str">
        <f t="shared" si="177"/>
        <v>PEN</v>
      </c>
      <c r="N2143" s="13">
        <v>510</v>
      </c>
      <c r="O2143" s="13"/>
      <c r="P2143" s="3">
        <f t="shared" si="178"/>
        <v>0</v>
      </c>
      <c r="Q2143" s="3">
        <f t="shared" si="179"/>
        <v>0</v>
      </c>
      <c r="R2143" s="3">
        <f t="shared" si="175"/>
        <v>95214.590000000026</v>
      </c>
      <c r="S2143" s="24"/>
      <c r="T2143" s="24" t="s">
        <v>1334</v>
      </c>
      <c r="U2143" s="80"/>
      <c r="V2143" s="101">
        <f>IFERROR(VLOOKUP(BCP_Soles[[#This Row],[destinatario]],CHOOSE({1,2},Clientes_Proveedores[Razon Social],Clientes_Proveedores[Ruc / Dni]),2,0),"")</f>
        <v>10736055631</v>
      </c>
      <c r="W2143" s="26"/>
      <c r="X2143" s="26"/>
      <c r="Y2143" s="26"/>
      <c r="Z2143" s="76"/>
      <c r="AA2143" s="3" t="str">
        <f>IF(BCP_Soles[[#This Row],[fecha]]&gt;0,TEXT(BCP_Soles[[#This Row],[fecha]],"mmmm"),0)</f>
        <v>Junio</v>
      </c>
    </row>
    <row r="2144" spans="1:27" ht="24" x14ac:dyDescent="0.3">
      <c r="A2144" s="2">
        <f>IF(BCP_Soles[[#This Row],[tipo_registro]]="R",COUNTIFS($C$1:$C2143,"R")+1,A2143)</f>
        <v>1602</v>
      </c>
      <c r="B2144" s="19" t="str">
        <f t="shared" si="176"/>
        <v>B-BCP - Soles</v>
      </c>
      <c r="C2144" s="3" t="s">
        <v>1330</v>
      </c>
      <c r="D2144" s="14">
        <v>45825</v>
      </c>
      <c r="E2144" s="5" t="s">
        <v>1331</v>
      </c>
      <c r="F2144" s="5" t="s">
        <v>1336</v>
      </c>
      <c r="G2144" s="6" t="s">
        <v>1022</v>
      </c>
      <c r="H2144" s="6"/>
      <c r="I2144" s="6"/>
      <c r="J2144" s="6"/>
      <c r="K2144" s="7" t="s">
        <v>3423</v>
      </c>
      <c r="L2144" s="8">
        <v>1220237</v>
      </c>
      <c r="M2144" s="8" t="str">
        <f t="shared" si="177"/>
        <v>PEN</v>
      </c>
      <c r="N2144" s="13"/>
      <c r="O2144" s="13">
        <v>400</v>
      </c>
      <c r="P2144" s="3">
        <f t="shared" si="178"/>
        <v>0</v>
      </c>
      <c r="Q2144" s="3">
        <f t="shared" si="179"/>
        <v>400</v>
      </c>
      <c r="R2144" s="3">
        <f t="shared" si="175"/>
        <v>94814.590000000026</v>
      </c>
      <c r="S2144" s="24" t="s">
        <v>1334</v>
      </c>
      <c r="T2144" s="24" t="s">
        <v>1334</v>
      </c>
      <c r="U2144" s="80" t="s">
        <v>3424</v>
      </c>
      <c r="V2144" s="101">
        <f>IFERROR(VLOOKUP(BCP_Soles[[#This Row],[destinatario]],CHOOSE({1,2},Clientes_Proveedores[Razon Social],Clientes_Proveedores[Ruc / Dni]),2,0),"")</f>
        <v>73376012</v>
      </c>
      <c r="W2144" s="26" t="s">
        <v>1022</v>
      </c>
      <c r="X2144" s="26"/>
      <c r="Y2144" s="26"/>
      <c r="Z2144" s="76"/>
      <c r="AA2144" s="3" t="str">
        <f>IF(BCP_Soles[[#This Row],[fecha]]&gt;0,TEXT(BCP_Soles[[#This Row],[fecha]],"mmmm"),0)</f>
        <v>Junio</v>
      </c>
    </row>
    <row r="2145" spans="1:27" x14ac:dyDescent="0.3">
      <c r="A2145" s="2">
        <f>IF(BCP_Soles[[#This Row],[tipo_registro]]="R",COUNTIFS($C$1:$C2144,"R")+1,A2144)</f>
        <v>1603</v>
      </c>
      <c r="B2145" s="19" t="str">
        <f t="shared" si="176"/>
        <v>B-BCP - Soles</v>
      </c>
      <c r="C2145" s="3" t="s">
        <v>1330</v>
      </c>
      <c r="D2145" s="14">
        <v>45825</v>
      </c>
      <c r="E2145" s="5" t="s">
        <v>1331</v>
      </c>
      <c r="F2145" s="5" t="s">
        <v>1336</v>
      </c>
      <c r="G2145" s="6" t="s">
        <v>876</v>
      </c>
      <c r="H2145" s="6"/>
      <c r="I2145" s="6"/>
      <c r="J2145" s="6"/>
      <c r="K2145" s="7" t="s">
        <v>3423</v>
      </c>
      <c r="L2145" s="8">
        <v>1223146</v>
      </c>
      <c r="M2145" s="8" t="str">
        <f t="shared" si="177"/>
        <v>PEN</v>
      </c>
      <c r="N2145" s="13"/>
      <c r="O2145" s="13">
        <v>600</v>
      </c>
      <c r="P2145" s="3">
        <f t="shared" si="178"/>
        <v>0</v>
      </c>
      <c r="Q2145" s="3">
        <f t="shared" si="179"/>
        <v>600</v>
      </c>
      <c r="R2145" s="3">
        <f t="shared" si="175"/>
        <v>94214.590000000026</v>
      </c>
      <c r="S2145" s="24"/>
      <c r="T2145" s="24" t="s">
        <v>1334</v>
      </c>
      <c r="U2145" s="80" t="s">
        <v>3425</v>
      </c>
      <c r="V2145" s="101">
        <f>IFERROR(VLOOKUP(BCP_Soles[[#This Row],[destinatario]],CHOOSE({1,2},Clientes_Proveedores[Razon Social],Clientes_Proveedores[Ruc / Dni]),2,0),"")</f>
        <v>1829028</v>
      </c>
      <c r="W2145" s="26" t="s">
        <v>1594</v>
      </c>
      <c r="X2145" s="26"/>
      <c r="Y2145" s="26"/>
      <c r="Z2145" s="76"/>
      <c r="AA2145" s="3" t="str">
        <f>IF(BCP_Soles[[#This Row],[fecha]]&gt;0,TEXT(BCP_Soles[[#This Row],[fecha]],"mmmm"),0)</f>
        <v>Junio</v>
      </c>
    </row>
    <row r="2146" spans="1:27" ht="24" x14ac:dyDescent="0.3">
      <c r="A2146" s="2">
        <f>IF(BCP_Soles[[#This Row],[tipo_registro]]="R",COUNTIFS($C$1:$C2145,"R")+1,A2145)</f>
        <v>1604</v>
      </c>
      <c r="B2146" s="19" t="str">
        <f t="shared" si="176"/>
        <v>B-BCP - Soles</v>
      </c>
      <c r="C2146" s="3" t="s">
        <v>1330</v>
      </c>
      <c r="D2146" s="14">
        <v>45825</v>
      </c>
      <c r="E2146" s="5" t="s">
        <v>1331</v>
      </c>
      <c r="F2146" s="5" t="s">
        <v>1336</v>
      </c>
      <c r="G2146" s="6" t="s">
        <v>909</v>
      </c>
      <c r="H2146" s="6"/>
      <c r="I2146" s="6"/>
      <c r="J2146" s="6"/>
      <c r="K2146" s="7" t="s">
        <v>3423</v>
      </c>
      <c r="L2146" s="8">
        <v>1223602</v>
      </c>
      <c r="M2146" s="8" t="str">
        <f t="shared" si="177"/>
        <v>PEN</v>
      </c>
      <c r="N2146" s="13"/>
      <c r="O2146" s="13">
        <v>600</v>
      </c>
      <c r="P2146" s="3">
        <f t="shared" si="178"/>
        <v>0</v>
      </c>
      <c r="Q2146" s="3">
        <f t="shared" si="179"/>
        <v>600</v>
      </c>
      <c r="R2146" s="3">
        <f t="shared" si="175"/>
        <v>93614.590000000026</v>
      </c>
      <c r="S2146" s="24"/>
      <c r="T2146" s="24" t="s">
        <v>1334</v>
      </c>
      <c r="U2146" s="80" t="s">
        <v>3426</v>
      </c>
      <c r="V2146" s="101">
        <f>IFERROR(VLOOKUP(BCP_Soles[[#This Row],[destinatario]],CHOOSE({1,2},Clientes_Proveedores[Razon Social],Clientes_Proveedores[Ruc / Dni]),2,0),"")</f>
        <v>44314304</v>
      </c>
      <c r="W2146" s="26" t="s">
        <v>909</v>
      </c>
      <c r="X2146" s="26"/>
      <c r="Y2146" s="26"/>
      <c r="Z2146" s="76"/>
      <c r="AA2146" s="3" t="str">
        <f>IF(BCP_Soles[[#This Row],[fecha]]&gt;0,TEXT(BCP_Soles[[#This Row],[fecha]],"mmmm"),0)</f>
        <v>Junio</v>
      </c>
    </row>
    <row r="2147" spans="1:27" ht="24" x14ac:dyDescent="0.3">
      <c r="A2147" s="2">
        <f>IF(BCP_Soles[[#This Row],[tipo_registro]]="R",COUNTIFS($C$1:$C2146,"R")+1,A2146)</f>
        <v>1605</v>
      </c>
      <c r="B2147" s="19" t="str">
        <f t="shared" si="176"/>
        <v>B-BCP - Soles</v>
      </c>
      <c r="C2147" s="3" t="s">
        <v>1330</v>
      </c>
      <c r="D2147" s="14">
        <v>45825</v>
      </c>
      <c r="E2147" s="5" t="s">
        <v>1331</v>
      </c>
      <c r="F2147" s="5" t="s">
        <v>1336</v>
      </c>
      <c r="G2147" s="6" t="s">
        <v>918</v>
      </c>
      <c r="H2147" s="6"/>
      <c r="I2147" s="6"/>
      <c r="J2147" s="6"/>
      <c r="K2147" s="7" t="s">
        <v>3423</v>
      </c>
      <c r="L2147" s="8">
        <v>1221187</v>
      </c>
      <c r="M2147" s="8" t="str">
        <f t="shared" si="177"/>
        <v>PEN</v>
      </c>
      <c r="N2147" s="13"/>
      <c r="O2147" s="13">
        <v>600</v>
      </c>
      <c r="P2147" s="3">
        <f t="shared" si="178"/>
        <v>0</v>
      </c>
      <c r="Q2147" s="3">
        <f t="shared" si="179"/>
        <v>600</v>
      </c>
      <c r="R2147" s="3">
        <f t="shared" si="175"/>
        <v>93014.590000000026</v>
      </c>
      <c r="S2147" s="24"/>
      <c r="T2147" s="24" t="s">
        <v>1334</v>
      </c>
      <c r="U2147" s="80" t="s">
        <v>3427</v>
      </c>
      <c r="V2147" s="101">
        <f>IFERROR(VLOOKUP(BCP_Soles[[#This Row],[destinatario]],CHOOSE({1,2},Clientes_Proveedores[Razon Social],Clientes_Proveedores[Ruc / Dni]),2,0),"")</f>
        <v>48536654</v>
      </c>
      <c r="W2147" s="26" t="s">
        <v>918</v>
      </c>
      <c r="X2147" s="26"/>
      <c r="Y2147" s="26"/>
      <c r="Z2147" s="76"/>
      <c r="AA2147" s="3" t="str">
        <f>IF(BCP_Soles[[#This Row],[fecha]]&gt;0,TEXT(BCP_Soles[[#This Row],[fecha]],"mmmm"),0)</f>
        <v>Junio</v>
      </c>
    </row>
    <row r="2148" spans="1:27" ht="24" x14ac:dyDescent="0.3">
      <c r="A2148" s="2">
        <f>IF(BCP_Soles[[#This Row],[tipo_registro]]="R",COUNTIFS($C$1:$C2147,"R")+1,A2147)</f>
        <v>1606</v>
      </c>
      <c r="B2148" s="19" t="str">
        <f t="shared" si="176"/>
        <v>B-BCP - Soles</v>
      </c>
      <c r="C2148" s="3" t="s">
        <v>1330</v>
      </c>
      <c r="D2148" s="14">
        <v>45825</v>
      </c>
      <c r="E2148" s="5" t="s">
        <v>1331</v>
      </c>
      <c r="F2148" s="5" t="s">
        <v>1336</v>
      </c>
      <c r="G2148" s="6" t="s">
        <v>1094</v>
      </c>
      <c r="H2148" s="6"/>
      <c r="I2148" s="6"/>
      <c r="J2148" s="6"/>
      <c r="K2148" s="7" t="s">
        <v>3423</v>
      </c>
      <c r="L2148" s="8">
        <v>1222175</v>
      </c>
      <c r="M2148" s="8" t="str">
        <f t="shared" si="177"/>
        <v>PEN</v>
      </c>
      <c r="N2148" s="13"/>
      <c r="O2148" s="13">
        <v>400</v>
      </c>
      <c r="P2148" s="3">
        <f t="shared" si="178"/>
        <v>0</v>
      </c>
      <c r="Q2148" s="3">
        <f t="shared" si="179"/>
        <v>400</v>
      </c>
      <c r="R2148" s="3">
        <f t="shared" si="175"/>
        <v>92614.590000000026</v>
      </c>
      <c r="S2148" s="24"/>
      <c r="T2148" s="24" t="s">
        <v>1334</v>
      </c>
      <c r="U2148" s="80" t="s">
        <v>3428</v>
      </c>
      <c r="V2148" s="101">
        <f>IFERROR(VLOOKUP(BCP_Soles[[#This Row],[destinatario]],CHOOSE({1,2},Clientes_Proveedores[Razon Social],Clientes_Proveedores[Ruc / Dni]),2,0),"")</f>
        <v>73894204</v>
      </c>
      <c r="W2148" s="26" t="s">
        <v>1094</v>
      </c>
      <c r="X2148" s="26"/>
      <c r="Y2148" s="26"/>
      <c r="Z2148" s="76"/>
      <c r="AA2148" s="3" t="str">
        <f>IF(BCP_Soles[[#This Row],[fecha]]&gt;0,TEXT(BCP_Soles[[#This Row],[fecha]],"mmmm"),0)</f>
        <v>Junio</v>
      </c>
    </row>
    <row r="2149" spans="1:27" ht="48" x14ac:dyDescent="0.3">
      <c r="A2149" s="2">
        <f>IF(BCP_Soles[[#This Row],[tipo_registro]]="R",COUNTIFS($C$1:$C2148,"R")+1,A2148)</f>
        <v>1607</v>
      </c>
      <c r="B2149" s="19" t="str">
        <f t="shared" si="176"/>
        <v>B-BCP - Soles</v>
      </c>
      <c r="C2149" s="3" t="s">
        <v>1330</v>
      </c>
      <c r="D2149" s="14">
        <v>45825</v>
      </c>
      <c r="E2149" s="5" t="s">
        <v>1331</v>
      </c>
      <c r="F2149" s="5" t="s">
        <v>1336</v>
      </c>
      <c r="G2149" s="6" t="s">
        <v>501</v>
      </c>
      <c r="H2149" s="6" t="s">
        <v>68</v>
      </c>
      <c r="I2149" s="6" t="s">
        <v>1526</v>
      </c>
      <c r="J2149" s="6">
        <v>10626</v>
      </c>
      <c r="K2149" s="7" t="s">
        <v>3429</v>
      </c>
      <c r="L2149" s="8">
        <v>1194650</v>
      </c>
      <c r="M2149" s="8" t="str">
        <f t="shared" si="177"/>
        <v>PEN</v>
      </c>
      <c r="N2149" s="13"/>
      <c r="O2149" s="13">
        <v>297.69</v>
      </c>
      <c r="P2149" s="3">
        <f t="shared" si="178"/>
        <v>0</v>
      </c>
      <c r="Q2149" s="3">
        <f t="shared" si="179"/>
        <v>297.69</v>
      </c>
      <c r="R2149" s="3">
        <f t="shared" si="175"/>
        <v>92316.900000000023</v>
      </c>
      <c r="S2149" s="24" t="s">
        <v>1334</v>
      </c>
      <c r="T2149" s="24" t="s">
        <v>1334</v>
      </c>
      <c r="U2149" s="80" t="s">
        <v>3430</v>
      </c>
      <c r="V2149" s="101">
        <f>IFERROR(VLOOKUP(BCP_Soles[[#This Row],[destinatario]],CHOOSE({1,2},Clientes_Proveedores[Razon Social],Clientes_Proveedores[Ruc / Dni]),2,0),"")</f>
        <v>20602978274</v>
      </c>
      <c r="W2149" s="26" t="s">
        <v>1528</v>
      </c>
      <c r="X2149" s="26" t="s">
        <v>3431</v>
      </c>
      <c r="Y2149" s="26"/>
      <c r="Z2149" s="76"/>
      <c r="AA2149" s="3" t="str">
        <f>IF(BCP_Soles[[#This Row],[fecha]]&gt;0,TEXT(BCP_Soles[[#This Row],[fecha]],"mmmm"),0)</f>
        <v>Junio</v>
      </c>
    </row>
    <row r="2150" spans="1:27" ht="48" x14ac:dyDescent="0.3">
      <c r="A2150" s="2">
        <f>IF(BCP_Soles[[#This Row],[tipo_registro]]="R",COUNTIFS($C$1:$C2149,"R")+1,A2149)</f>
        <v>1608</v>
      </c>
      <c r="B2150" s="19" t="str">
        <f t="shared" si="176"/>
        <v>B-BCP - Soles</v>
      </c>
      <c r="C2150" s="3" t="s">
        <v>1330</v>
      </c>
      <c r="D2150" s="14">
        <v>45825</v>
      </c>
      <c r="E2150" s="5" t="s">
        <v>1331</v>
      </c>
      <c r="F2150" s="5" t="s">
        <v>1336</v>
      </c>
      <c r="G2150" s="6" t="s">
        <v>501</v>
      </c>
      <c r="H2150" s="6" t="s">
        <v>68</v>
      </c>
      <c r="I2150" s="6" t="s">
        <v>1650</v>
      </c>
      <c r="J2150" s="6">
        <v>8037</v>
      </c>
      <c r="K2150" s="7" t="s">
        <v>3432</v>
      </c>
      <c r="L2150" s="8">
        <v>1192684</v>
      </c>
      <c r="M2150" s="8" t="str">
        <f t="shared" si="177"/>
        <v>PEN</v>
      </c>
      <c r="N2150" s="13"/>
      <c r="O2150" s="13">
        <v>193.97</v>
      </c>
      <c r="P2150" s="3">
        <f t="shared" si="178"/>
        <v>0</v>
      </c>
      <c r="Q2150" s="3">
        <f t="shared" si="179"/>
        <v>193.97</v>
      </c>
      <c r="R2150" s="3">
        <f t="shared" si="175"/>
        <v>92122.930000000022</v>
      </c>
      <c r="S2150" s="24" t="s">
        <v>1334</v>
      </c>
      <c r="T2150" s="24" t="s">
        <v>1334</v>
      </c>
      <c r="U2150" s="80" t="s">
        <v>3433</v>
      </c>
      <c r="V2150" s="101">
        <f>IFERROR(VLOOKUP(BCP_Soles[[#This Row],[destinatario]],CHOOSE({1,2},Clientes_Proveedores[Razon Social],Clientes_Proveedores[Ruc / Dni]),2,0),"")</f>
        <v>20602978274</v>
      </c>
      <c r="W2150" s="26" t="s">
        <v>1528</v>
      </c>
      <c r="X2150" s="26" t="s">
        <v>3434</v>
      </c>
      <c r="Y2150" s="26"/>
      <c r="Z2150" s="76"/>
      <c r="AA2150" s="3" t="str">
        <f>IF(BCP_Soles[[#This Row],[fecha]]&gt;0,TEXT(BCP_Soles[[#This Row],[fecha]],"mmmm"),0)</f>
        <v>Junio</v>
      </c>
    </row>
    <row r="2151" spans="1:27" ht="36" x14ac:dyDescent="0.3">
      <c r="A2151" s="2">
        <f>IF(BCP_Soles[[#This Row],[tipo_registro]]="R",COUNTIFS($C$1:$C2150,"R")+1,A2150)</f>
        <v>1609</v>
      </c>
      <c r="B2151" s="19" t="str">
        <f t="shared" si="176"/>
        <v>B-BCP - Soles</v>
      </c>
      <c r="C2151" s="3" t="s">
        <v>1330</v>
      </c>
      <c r="D2151" s="14">
        <v>45825</v>
      </c>
      <c r="E2151" s="5" t="s">
        <v>1331</v>
      </c>
      <c r="F2151" s="5" t="s">
        <v>1336</v>
      </c>
      <c r="G2151" s="6" t="s">
        <v>675</v>
      </c>
      <c r="H2151" s="6" t="s">
        <v>68</v>
      </c>
      <c r="I2151" s="6" t="s">
        <v>2912</v>
      </c>
      <c r="J2151" s="6">
        <v>1539</v>
      </c>
      <c r="K2151" s="7" t="s">
        <v>3435</v>
      </c>
      <c r="L2151" s="8">
        <v>1220720</v>
      </c>
      <c r="M2151" s="8" t="str">
        <f t="shared" si="177"/>
        <v>PEN</v>
      </c>
      <c r="N2151" s="13"/>
      <c r="O2151" s="13">
        <v>720.69</v>
      </c>
      <c r="P2151" s="3">
        <f t="shared" si="178"/>
        <v>0</v>
      </c>
      <c r="Q2151" s="3">
        <f t="shared" si="179"/>
        <v>720.69</v>
      </c>
      <c r="R2151" s="3">
        <f t="shared" si="175"/>
        <v>91402.24000000002</v>
      </c>
      <c r="S2151" s="24" t="s">
        <v>1334</v>
      </c>
      <c r="T2151" s="24" t="s">
        <v>1334</v>
      </c>
      <c r="U2151" s="80" t="s">
        <v>3436</v>
      </c>
      <c r="V2151" s="101">
        <f>IFERROR(VLOOKUP(BCP_Soles[[#This Row],[destinatario]],CHOOSE({1,2},Clientes_Proveedores[Razon Social],Clientes_Proveedores[Ruc / Dni]),2,0),"")</f>
        <v>20455911401</v>
      </c>
      <c r="W2151" s="26" t="s">
        <v>2914</v>
      </c>
      <c r="X2151" s="26" t="s">
        <v>3437</v>
      </c>
      <c r="Y2151" s="26"/>
      <c r="Z2151" s="76"/>
      <c r="AA2151" s="3" t="str">
        <f>IF(BCP_Soles[[#This Row],[fecha]]&gt;0,TEXT(BCP_Soles[[#This Row],[fecha]],"mmmm"),0)</f>
        <v>Junio</v>
      </c>
    </row>
    <row r="2152" spans="1:27" x14ac:dyDescent="0.3">
      <c r="A2152" s="2">
        <f>IF(BCP_Soles[[#This Row],[tipo_registro]]="R",COUNTIFS($C$1:$C2151,"R")+1,A2151)</f>
        <v>1610</v>
      </c>
      <c r="B2152" s="19" t="str">
        <f t="shared" si="176"/>
        <v>B-BCP - Soles</v>
      </c>
      <c r="C2152" s="3" t="s">
        <v>1330</v>
      </c>
      <c r="D2152" s="14">
        <v>45825</v>
      </c>
      <c r="E2152" s="5" t="s">
        <v>1331</v>
      </c>
      <c r="F2152" s="5" t="s">
        <v>1336</v>
      </c>
      <c r="G2152" s="6" t="s">
        <v>695</v>
      </c>
      <c r="H2152" s="6" t="s">
        <v>68</v>
      </c>
      <c r="I2152" s="6"/>
      <c r="J2152" s="6"/>
      <c r="K2152" s="7" t="s">
        <v>1378</v>
      </c>
      <c r="L2152" s="8">
        <v>222673</v>
      </c>
      <c r="M2152" s="8" t="str">
        <f t="shared" si="177"/>
        <v>PEN</v>
      </c>
      <c r="N2152" s="13"/>
      <c r="O2152" s="13">
        <v>2495.73</v>
      </c>
      <c r="P2152" s="3">
        <f t="shared" si="178"/>
        <v>0</v>
      </c>
      <c r="Q2152" s="3">
        <f t="shared" si="179"/>
        <v>2495.73</v>
      </c>
      <c r="R2152" s="3">
        <f t="shared" si="175"/>
        <v>88906.510000000024</v>
      </c>
      <c r="S2152" s="24" t="s">
        <v>1334</v>
      </c>
      <c r="T2152" s="24" t="s">
        <v>1334</v>
      </c>
      <c r="U2152" s="80" t="s">
        <v>3438</v>
      </c>
      <c r="V2152" s="101">
        <f>IFERROR(VLOOKUP(BCP_Soles[[#This Row],[destinatario]],CHOOSE({1,2},Clientes_Proveedores[Razon Social],Clientes_Proveedores[Ruc / Dni]),2,0),"")</f>
        <v>20127765279</v>
      </c>
      <c r="W2152" s="26" t="s">
        <v>1379</v>
      </c>
      <c r="X2152" s="26" t="s">
        <v>3439</v>
      </c>
      <c r="Y2152" s="26"/>
      <c r="Z2152" s="76"/>
      <c r="AA2152" s="3" t="str">
        <f>IF(BCP_Soles[[#This Row],[fecha]]&gt;0,TEXT(BCP_Soles[[#This Row],[fecha]],"mmmm"),0)</f>
        <v>Junio</v>
      </c>
    </row>
    <row r="2153" spans="1:27" ht="24" x14ac:dyDescent="0.3">
      <c r="A2153" s="2">
        <f>IF(BCP_Soles[[#This Row],[tipo_registro]]="R",COUNTIFS($C$1:$C2152,"R")+1,A2152)</f>
        <v>1611</v>
      </c>
      <c r="B2153" s="19" t="str">
        <f t="shared" si="176"/>
        <v>B-BCP - Soles</v>
      </c>
      <c r="C2153" s="3" t="s">
        <v>1330</v>
      </c>
      <c r="D2153" s="14">
        <v>45825</v>
      </c>
      <c r="E2153" s="5" t="s">
        <v>1331</v>
      </c>
      <c r="F2153" s="5" t="s">
        <v>1336</v>
      </c>
      <c r="G2153" s="6" t="s">
        <v>726</v>
      </c>
      <c r="H2153" s="6" t="s">
        <v>68</v>
      </c>
      <c r="I2153" s="6" t="s">
        <v>1376</v>
      </c>
      <c r="J2153" s="6">
        <v>1761</v>
      </c>
      <c r="K2153" s="7" t="s">
        <v>3440</v>
      </c>
      <c r="L2153" s="8">
        <v>1220236</v>
      </c>
      <c r="M2153" s="8" t="str">
        <f t="shared" si="177"/>
        <v>PEN</v>
      </c>
      <c r="N2153" s="13"/>
      <c r="O2153" s="13">
        <v>5900</v>
      </c>
      <c r="P2153" s="3">
        <f t="shared" si="178"/>
        <v>0</v>
      </c>
      <c r="Q2153" s="3">
        <f t="shared" si="179"/>
        <v>5900</v>
      </c>
      <c r="R2153" s="3">
        <f t="shared" si="175"/>
        <v>83006.510000000024</v>
      </c>
      <c r="S2153" s="24" t="s">
        <v>1334</v>
      </c>
      <c r="T2153" s="24" t="s">
        <v>1334</v>
      </c>
      <c r="U2153" s="80" t="s">
        <v>3441</v>
      </c>
      <c r="V2153" s="101">
        <f>IFERROR(VLOOKUP(BCP_Soles[[#This Row],[destinatario]],CHOOSE({1,2},Clientes_Proveedores[Razon Social],Clientes_Proveedores[Ruc / Dni]),2,0),"")</f>
        <v>20601423058</v>
      </c>
      <c r="W2153" s="26" t="s">
        <v>2636</v>
      </c>
      <c r="X2153" s="26"/>
      <c r="Y2153" s="26"/>
      <c r="Z2153" s="76"/>
      <c r="AA2153" s="3" t="str">
        <f>IF(BCP_Soles[[#This Row],[fecha]]&gt;0,TEXT(BCP_Soles[[#This Row],[fecha]],"mmmm"),0)</f>
        <v>Junio</v>
      </c>
    </row>
    <row r="2154" spans="1:27" x14ac:dyDescent="0.3">
      <c r="A2154" s="2">
        <f>IF(BCP_Soles[[#This Row],[tipo_registro]]="R",COUNTIFS($C$1:$C2153,"R")+1,A2153)</f>
        <v>1612</v>
      </c>
      <c r="B2154" s="19" t="str">
        <f t="shared" si="176"/>
        <v>B-BCP - Soles</v>
      </c>
      <c r="C2154" s="3" t="s">
        <v>1330</v>
      </c>
      <c r="D2154" s="14">
        <v>45825</v>
      </c>
      <c r="E2154" s="5" t="s">
        <v>1335</v>
      </c>
      <c r="F2154" s="5" t="s">
        <v>1336</v>
      </c>
      <c r="G2154" s="6"/>
      <c r="H2154" s="6"/>
      <c r="I2154" s="6"/>
      <c r="J2154" s="6"/>
      <c r="K2154" s="7" t="s">
        <v>3160</v>
      </c>
      <c r="L2154" s="8"/>
      <c r="M2154" s="8" t="str">
        <f t="shared" si="177"/>
        <v>PEN</v>
      </c>
      <c r="N2154" s="13"/>
      <c r="O2154" s="13">
        <v>2.2999999999999998</v>
      </c>
      <c r="P2154" s="3">
        <f t="shared" si="178"/>
        <v>0</v>
      </c>
      <c r="Q2154" s="3">
        <f t="shared" si="179"/>
        <v>2.2999999999999998</v>
      </c>
      <c r="R2154" s="3">
        <f t="shared" si="175"/>
        <v>83004.210000000021</v>
      </c>
      <c r="S2154" s="24"/>
      <c r="T2154" s="24" t="s">
        <v>1334</v>
      </c>
      <c r="U2154" s="53"/>
      <c r="V2154" s="25" t="str">
        <f>IFERROR(VLOOKUP(BCP_Soles[[#This Row],[destinatario]],CHOOSE({1,2},Clientes_Proveedores[Razon Social],Clientes_Proveedores[Ruc / Dni]),2,0),"")</f>
        <v/>
      </c>
      <c r="W2154" s="25"/>
      <c r="X2154" s="25"/>
      <c r="Y2154" s="25"/>
      <c r="Z2154" s="75"/>
      <c r="AA2154" s="3" t="str">
        <f>IF(BCP_Soles[[#This Row],[fecha]]&gt;0,TEXT(BCP_Soles[[#This Row],[fecha]],"mmmm"),0)</f>
        <v>Junio</v>
      </c>
    </row>
    <row r="2155" spans="1:27" ht="24" x14ac:dyDescent="0.3">
      <c r="A2155" s="2">
        <f>IF(BCP_Soles[[#This Row],[tipo_registro]]="R",COUNTIFS($C$1:$C2154,"R")+1,A2154)</f>
        <v>1613</v>
      </c>
      <c r="B2155" s="19" t="str">
        <f t="shared" si="176"/>
        <v>B-BCP - Soles</v>
      </c>
      <c r="C2155" s="3" t="s">
        <v>1330</v>
      </c>
      <c r="D2155" s="14">
        <v>45826</v>
      </c>
      <c r="E2155" s="5" t="s">
        <v>645</v>
      </c>
      <c r="F2155" s="5" t="s">
        <v>1303</v>
      </c>
      <c r="G2155" s="6" t="s">
        <v>425</v>
      </c>
      <c r="H2155" s="6"/>
      <c r="I2155" s="6"/>
      <c r="J2155" s="6"/>
      <c r="K2155" s="7" t="s">
        <v>2003</v>
      </c>
      <c r="L2155" s="8">
        <v>2140488</v>
      </c>
      <c r="M2155" s="8" t="str">
        <f t="shared" si="177"/>
        <v>PEN</v>
      </c>
      <c r="N2155" s="13"/>
      <c r="O2155" s="13">
        <v>22600</v>
      </c>
      <c r="P2155" s="3">
        <f t="shared" si="178"/>
        <v>22600</v>
      </c>
      <c r="Q2155" s="3">
        <f t="shared" si="179"/>
        <v>0</v>
      </c>
      <c r="R2155" s="3">
        <f t="shared" si="175"/>
        <v>105604.21000000002</v>
      </c>
      <c r="S2155" s="24" t="s">
        <v>1334</v>
      </c>
      <c r="T2155" s="24"/>
      <c r="U2155" s="53"/>
      <c r="V2155" s="25">
        <f>IFERROR(VLOOKUP(BCP_Soles[[#This Row],[destinatario]],CHOOSE({1,2},Clientes_Proveedores[Razon Social],Clientes_Proveedores[Ruc / Dni]),2,0),"")</f>
        <v>20558226979</v>
      </c>
      <c r="W2155" s="25" t="s">
        <v>1345</v>
      </c>
      <c r="X2155" s="25"/>
      <c r="Y2155" s="25"/>
      <c r="Z2155" s="75"/>
      <c r="AA2155" s="3" t="str">
        <f>IF(BCP_Soles[[#This Row],[fecha]]&gt;0,TEXT(BCP_Soles[[#This Row],[fecha]],"mmmm"),0)</f>
        <v>Junio</v>
      </c>
    </row>
    <row r="2156" spans="1:27" ht="24" x14ac:dyDescent="0.3">
      <c r="A2156" s="2">
        <f>IF(BCP_Soles[[#This Row],[tipo_registro]]="R",COUNTIFS($C$1:$C2155,"R")+1,A2155)</f>
        <v>1613</v>
      </c>
      <c r="B2156" s="19" t="str">
        <f t="shared" si="176"/>
        <v>B-BCP - Soles</v>
      </c>
      <c r="C2156" s="3" t="s">
        <v>1352</v>
      </c>
      <c r="D2156" s="14">
        <v>45826</v>
      </c>
      <c r="E2156" s="5" t="s">
        <v>645</v>
      </c>
      <c r="F2156" s="5" t="s">
        <v>1303</v>
      </c>
      <c r="G2156" s="6" t="s">
        <v>425</v>
      </c>
      <c r="H2156" s="6" t="s">
        <v>68</v>
      </c>
      <c r="I2156" s="6" t="s">
        <v>3302</v>
      </c>
      <c r="J2156" s="6">
        <v>63</v>
      </c>
      <c r="K2156" s="7" t="s">
        <v>2003</v>
      </c>
      <c r="L2156" s="8">
        <v>2140488</v>
      </c>
      <c r="M2156" s="8" t="str">
        <f t="shared" si="177"/>
        <v>PEN</v>
      </c>
      <c r="N2156" s="13">
        <v>13452</v>
      </c>
      <c r="O2156" s="13"/>
      <c r="P2156" s="3">
        <f t="shared" si="178"/>
        <v>0</v>
      </c>
      <c r="Q2156" s="3">
        <f t="shared" si="179"/>
        <v>0</v>
      </c>
      <c r="R2156" s="3">
        <f t="shared" si="175"/>
        <v>105604.21000000002</v>
      </c>
      <c r="S2156" s="24" t="s">
        <v>1334</v>
      </c>
      <c r="T2156" s="24"/>
      <c r="U2156" s="53"/>
      <c r="V2156" s="25">
        <f>IFERROR(VLOOKUP(BCP_Soles[[#This Row],[destinatario]],CHOOSE({1,2},Clientes_Proveedores[Razon Social],Clientes_Proveedores[Ruc / Dni]),2,0),"")</f>
        <v>20558226979</v>
      </c>
      <c r="W2156" s="25" t="s">
        <v>1345</v>
      </c>
      <c r="X2156" s="25" t="s">
        <v>3442</v>
      </c>
      <c r="Y2156" s="25"/>
      <c r="Z2156" s="75"/>
      <c r="AA2156" s="3" t="str">
        <f>IF(BCP_Soles[[#This Row],[fecha]]&gt;0,TEXT(BCP_Soles[[#This Row],[fecha]],"mmmm"),0)</f>
        <v>Junio</v>
      </c>
    </row>
    <row r="2157" spans="1:27" ht="24" x14ac:dyDescent="0.3">
      <c r="A2157" s="2">
        <f>IF(BCP_Soles[[#This Row],[tipo_registro]]="R",COUNTIFS($C$1:$C2156,"R")+1,A2156)</f>
        <v>1613</v>
      </c>
      <c r="B2157" s="19" t="str">
        <f t="shared" si="176"/>
        <v>B-BCP - Soles</v>
      </c>
      <c r="C2157" s="3" t="s">
        <v>1352</v>
      </c>
      <c r="D2157" s="14">
        <v>45826</v>
      </c>
      <c r="E2157" s="5" t="s">
        <v>3443</v>
      </c>
      <c r="F2157" s="5" t="s">
        <v>1303</v>
      </c>
      <c r="G2157" s="6" t="s">
        <v>425</v>
      </c>
      <c r="H2157" s="6" t="s">
        <v>119</v>
      </c>
      <c r="I2157" s="6">
        <v>1</v>
      </c>
      <c r="J2157" s="6">
        <v>4511</v>
      </c>
      <c r="K2157" s="7" t="s">
        <v>2003</v>
      </c>
      <c r="L2157" s="8">
        <v>2140488</v>
      </c>
      <c r="M2157" s="8" t="str">
        <f t="shared" si="177"/>
        <v>PEN</v>
      </c>
      <c r="N2157" s="13">
        <v>9100</v>
      </c>
      <c r="O2157" s="13"/>
      <c r="P2157" s="3">
        <f t="shared" si="178"/>
        <v>0</v>
      </c>
      <c r="Q2157" s="3">
        <f t="shared" si="179"/>
        <v>0</v>
      </c>
      <c r="R2157" s="3">
        <f t="shared" si="175"/>
        <v>105604.21000000002</v>
      </c>
      <c r="S2157" s="24" t="s">
        <v>1334</v>
      </c>
      <c r="T2157" s="24"/>
      <c r="U2157" s="53"/>
      <c r="V2157" s="25">
        <f>IFERROR(VLOOKUP(BCP_Soles[[#This Row],[destinatario]],CHOOSE({1,2},Clientes_Proveedores[Razon Social],Clientes_Proveedores[Ruc / Dni]),2,0),"")</f>
        <v>20558226979</v>
      </c>
      <c r="W2157" s="25" t="s">
        <v>1345</v>
      </c>
      <c r="X2157" s="25"/>
      <c r="Y2157" s="25"/>
      <c r="Z2157" s="75"/>
      <c r="AA2157" s="3" t="str">
        <f>IF(BCP_Soles[[#This Row],[fecha]]&gt;0,TEXT(BCP_Soles[[#This Row],[fecha]],"mmmm"),0)</f>
        <v>Junio</v>
      </c>
    </row>
    <row r="2158" spans="1:27" ht="24" x14ac:dyDescent="0.3">
      <c r="A2158" s="2">
        <f>IF(BCP_Soles[[#This Row],[tipo_registro]]="R",COUNTIFS($C$1:$C2157,"R")+1,A2157)</f>
        <v>1613</v>
      </c>
      <c r="B2158" s="19" t="str">
        <f t="shared" si="176"/>
        <v>B-BCP - Soles</v>
      </c>
      <c r="C2158" s="3" t="s">
        <v>1352</v>
      </c>
      <c r="D2158" s="14">
        <v>45826</v>
      </c>
      <c r="E2158" s="5" t="s">
        <v>3443</v>
      </c>
      <c r="F2158" s="5" t="s">
        <v>1303</v>
      </c>
      <c r="G2158" s="6" t="s">
        <v>425</v>
      </c>
      <c r="H2158" s="6" t="s">
        <v>119</v>
      </c>
      <c r="I2158" s="6">
        <v>1</v>
      </c>
      <c r="J2158" s="6">
        <v>4646</v>
      </c>
      <c r="K2158" s="7" t="s">
        <v>2003</v>
      </c>
      <c r="L2158" s="8">
        <v>2140488</v>
      </c>
      <c r="M2158" s="8" t="str">
        <f t="shared" si="177"/>
        <v>PEN</v>
      </c>
      <c r="N2158" s="13">
        <v>48</v>
      </c>
      <c r="O2158" s="13"/>
      <c r="P2158" s="3">
        <f t="shared" si="178"/>
        <v>0</v>
      </c>
      <c r="Q2158" s="3">
        <f t="shared" si="179"/>
        <v>0</v>
      </c>
      <c r="R2158" s="3">
        <f t="shared" si="175"/>
        <v>105604.21000000002</v>
      </c>
      <c r="S2158" s="24" t="s">
        <v>1334</v>
      </c>
      <c r="T2158" s="24"/>
      <c r="U2158" s="53"/>
      <c r="V2158" s="25">
        <f>IFERROR(VLOOKUP(BCP_Soles[[#This Row],[destinatario]],CHOOSE({1,2},Clientes_Proveedores[Razon Social],Clientes_Proveedores[Ruc / Dni]),2,0),"")</f>
        <v>20558226979</v>
      </c>
      <c r="W2158" s="25" t="s">
        <v>1345</v>
      </c>
      <c r="X2158" s="25" t="s">
        <v>3444</v>
      </c>
      <c r="Y2158" s="25"/>
      <c r="Z2158" s="75"/>
      <c r="AA2158" s="3" t="str">
        <f>IF(BCP_Soles[[#This Row],[fecha]]&gt;0,TEXT(BCP_Soles[[#This Row],[fecha]],"mmmm"),0)</f>
        <v>Junio</v>
      </c>
    </row>
    <row r="2159" spans="1:27" ht="24" x14ac:dyDescent="0.3">
      <c r="A2159" s="2">
        <f>IF(BCP_Soles[[#This Row],[tipo_registro]]="R",COUNTIFS($C$1:$C2158,"R")+1,A2158)</f>
        <v>1614</v>
      </c>
      <c r="B2159" s="19" t="str">
        <f t="shared" si="176"/>
        <v>B-BCP - Soles</v>
      </c>
      <c r="C2159" s="3" t="s">
        <v>1330</v>
      </c>
      <c r="D2159" s="14">
        <v>45826</v>
      </c>
      <c r="E2159" s="5" t="s">
        <v>3445</v>
      </c>
      <c r="F2159" s="5" t="s">
        <v>1303</v>
      </c>
      <c r="G2159" s="6" t="s">
        <v>425</v>
      </c>
      <c r="H2159" s="6" t="s">
        <v>119</v>
      </c>
      <c r="I2159" s="6">
        <v>1</v>
      </c>
      <c r="J2159" s="6">
        <v>4519</v>
      </c>
      <c r="K2159" s="7" t="s">
        <v>1356</v>
      </c>
      <c r="L2159" s="8">
        <v>3337732</v>
      </c>
      <c r="M2159" s="8" t="str">
        <f t="shared" si="177"/>
        <v>PEN</v>
      </c>
      <c r="N2159" s="13"/>
      <c r="O2159" s="13">
        <v>948</v>
      </c>
      <c r="P2159" s="3">
        <f t="shared" si="178"/>
        <v>948</v>
      </c>
      <c r="Q2159" s="3">
        <f t="shared" si="179"/>
        <v>0</v>
      </c>
      <c r="R2159" s="3">
        <f t="shared" si="175"/>
        <v>106552.21000000002</v>
      </c>
      <c r="S2159" s="24" t="s">
        <v>1334</v>
      </c>
      <c r="T2159" s="24" t="s">
        <v>1334</v>
      </c>
      <c r="U2159" s="53"/>
      <c r="V2159" s="25">
        <f>IFERROR(VLOOKUP(BCP_Soles[[#This Row],[destinatario]],CHOOSE({1,2},Clientes_Proveedores[Razon Social],Clientes_Proveedores[Ruc / Dni]),2,0),"")</f>
        <v>20558226979</v>
      </c>
      <c r="W2159" s="25" t="s">
        <v>1345</v>
      </c>
      <c r="X2159" s="25" t="s">
        <v>3446</v>
      </c>
      <c r="Y2159" s="25"/>
      <c r="Z2159" s="75"/>
      <c r="AA2159" s="3" t="str">
        <f>IF(BCP_Soles[[#This Row],[fecha]]&gt;0,TEXT(BCP_Soles[[#This Row],[fecha]],"mmmm"),0)</f>
        <v>Junio</v>
      </c>
    </row>
    <row r="2160" spans="1:27" ht="24" x14ac:dyDescent="0.3">
      <c r="A2160" s="2">
        <f>IF(BCP_Soles[[#This Row],[tipo_registro]]="R",COUNTIFS($C$1:$C2159,"R")+1,A2159)</f>
        <v>1615</v>
      </c>
      <c r="B2160" s="19" t="str">
        <f t="shared" si="176"/>
        <v>B-BCP - Soles</v>
      </c>
      <c r="C2160" s="3" t="s">
        <v>1330</v>
      </c>
      <c r="D2160" s="14">
        <v>45826</v>
      </c>
      <c r="E2160" s="5" t="s">
        <v>2502</v>
      </c>
      <c r="F2160" s="5" t="s">
        <v>1303</v>
      </c>
      <c r="G2160" s="6" t="s">
        <v>425</v>
      </c>
      <c r="H2160" s="6" t="s">
        <v>119</v>
      </c>
      <c r="I2160" s="6">
        <v>1</v>
      </c>
      <c r="J2160" s="6">
        <v>4515</v>
      </c>
      <c r="K2160" s="7" t="s">
        <v>1356</v>
      </c>
      <c r="L2160" s="8">
        <v>1779601</v>
      </c>
      <c r="M2160" s="8" t="str">
        <f t="shared" si="177"/>
        <v>PEN</v>
      </c>
      <c r="N2160" s="13"/>
      <c r="O2160" s="13">
        <v>510</v>
      </c>
      <c r="P2160" s="3">
        <f t="shared" si="178"/>
        <v>510</v>
      </c>
      <c r="Q2160" s="3">
        <f t="shared" si="179"/>
        <v>0</v>
      </c>
      <c r="R2160" s="3">
        <f t="shared" si="175"/>
        <v>107062.21000000002</v>
      </c>
      <c r="S2160" s="24" t="s">
        <v>1334</v>
      </c>
      <c r="T2160" s="24" t="s">
        <v>1334</v>
      </c>
      <c r="U2160" s="53"/>
      <c r="V2160" s="25">
        <f>IFERROR(VLOOKUP(BCP_Soles[[#This Row],[destinatario]],CHOOSE({1,2},Clientes_Proveedores[Razon Social],Clientes_Proveedores[Ruc / Dni]),2,0),"")</f>
        <v>20558226979</v>
      </c>
      <c r="W2160" s="25" t="s">
        <v>1345</v>
      </c>
      <c r="X2160" s="25" t="s">
        <v>3447</v>
      </c>
      <c r="Y2160" s="25"/>
      <c r="Z2160" s="75"/>
      <c r="AA2160" s="3" t="str">
        <f>IF(BCP_Soles[[#This Row],[fecha]]&gt;0,TEXT(BCP_Soles[[#This Row],[fecha]],"mmmm"),0)</f>
        <v>Junio</v>
      </c>
    </row>
    <row r="2161" spans="1:27" ht="24" x14ac:dyDescent="0.3">
      <c r="A2161" s="2">
        <f>IF(BCP_Soles[[#This Row],[tipo_registro]]="R",COUNTIFS($C$1:$C2160,"R")+1,A2160)</f>
        <v>1616</v>
      </c>
      <c r="B2161" s="19" t="str">
        <f t="shared" si="176"/>
        <v>B-BCP - Soles</v>
      </c>
      <c r="C2161" s="3" t="s">
        <v>1330</v>
      </c>
      <c r="D2161" s="14">
        <v>45826</v>
      </c>
      <c r="E2161" s="5" t="s">
        <v>3448</v>
      </c>
      <c r="F2161" s="5" t="s">
        <v>1303</v>
      </c>
      <c r="G2161" s="6" t="s">
        <v>425</v>
      </c>
      <c r="H2161" s="6" t="s">
        <v>119</v>
      </c>
      <c r="I2161" s="6">
        <v>1</v>
      </c>
      <c r="J2161" s="6">
        <v>4514</v>
      </c>
      <c r="K2161" s="7" t="s">
        <v>1356</v>
      </c>
      <c r="L2161" s="8">
        <v>1761987</v>
      </c>
      <c r="M2161" s="8" t="str">
        <f t="shared" si="177"/>
        <v>PEN</v>
      </c>
      <c r="N2161" s="13"/>
      <c r="O2161" s="13">
        <v>350</v>
      </c>
      <c r="P2161" s="3">
        <f t="shared" si="178"/>
        <v>350</v>
      </c>
      <c r="Q2161" s="3">
        <f t="shared" si="179"/>
        <v>0</v>
      </c>
      <c r="R2161" s="3">
        <f t="shared" si="175"/>
        <v>107412.21000000002</v>
      </c>
      <c r="S2161" s="24" t="s">
        <v>1334</v>
      </c>
      <c r="T2161" s="24" t="s">
        <v>1334</v>
      </c>
      <c r="U2161" s="53"/>
      <c r="V2161" s="25">
        <f>IFERROR(VLOOKUP(BCP_Soles[[#This Row],[destinatario]],CHOOSE({1,2},Clientes_Proveedores[Razon Social],Clientes_Proveedores[Ruc / Dni]),2,0),"")</f>
        <v>20558226979</v>
      </c>
      <c r="W2161" s="25" t="s">
        <v>1345</v>
      </c>
      <c r="X2161" s="25" t="s">
        <v>3449</v>
      </c>
      <c r="Y2161" s="25"/>
      <c r="Z2161" s="75"/>
      <c r="AA2161" s="3" t="str">
        <f>IF(BCP_Soles[[#This Row],[fecha]]&gt;0,TEXT(BCP_Soles[[#This Row],[fecha]],"mmmm"),0)</f>
        <v>Junio</v>
      </c>
    </row>
    <row r="2162" spans="1:27" x14ac:dyDescent="0.3">
      <c r="A2162" s="2">
        <f>IF(BCP_Soles[[#This Row],[tipo_registro]]="R",COUNTIFS($C$1:$C2161,"R")+1,A2161)</f>
        <v>1617</v>
      </c>
      <c r="B2162" s="19" t="str">
        <f t="shared" si="176"/>
        <v>B-BCP - Soles</v>
      </c>
      <c r="C2162" s="3" t="s">
        <v>1330</v>
      </c>
      <c r="D2162" s="14">
        <v>45826</v>
      </c>
      <c r="E2162" s="5" t="s">
        <v>1739</v>
      </c>
      <c r="F2162" s="5" t="s">
        <v>1303</v>
      </c>
      <c r="G2162" s="6" t="s">
        <v>425</v>
      </c>
      <c r="H2162" s="6"/>
      <c r="I2162" s="6"/>
      <c r="J2162" s="6"/>
      <c r="K2162" s="7" t="s">
        <v>1356</v>
      </c>
      <c r="L2162" s="8">
        <v>3349637</v>
      </c>
      <c r="M2162" s="8" t="str">
        <f t="shared" si="177"/>
        <v>PEN</v>
      </c>
      <c r="N2162" s="13"/>
      <c r="O2162" s="13">
        <v>340</v>
      </c>
      <c r="P2162" s="3">
        <f t="shared" si="178"/>
        <v>340</v>
      </c>
      <c r="Q2162" s="3">
        <f t="shared" si="179"/>
        <v>0</v>
      </c>
      <c r="R2162" s="3">
        <f t="shared" si="175"/>
        <v>107752.21000000002</v>
      </c>
      <c r="S2162" s="24" t="s">
        <v>1334</v>
      </c>
      <c r="T2162" s="24" t="s">
        <v>1334</v>
      </c>
      <c r="U2162" s="53"/>
      <c r="V2162" s="25">
        <f>IFERROR(VLOOKUP(BCP_Soles[[#This Row],[destinatario]],CHOOSE({1,2},Clientes_Proveedores[Razon Social],Clientes_Proveedores[Ruc / Dni]),2,0),"")</f>
        <v>20558226979</v>
      </c>
      <c r="W2162" s="25" t="s">
        <v>1345</v>
      </c>
      <c r="X2162" s="25"/>
      <c r="Y2162" s="25"/>
      <c r="Z2162" s="75"/>
      <c r="AA2162" s="3" t="str">
        <f>IF(BCP_Soles[[#This Row],[fecha]]&gt;0,TEXT(BCP_Soles[[#This Row],[fecha]],"mmmm"),0)</f>
        <v>Junio</v>
      </c>
    </row>
    <row r="2163" spans="1:27" x14ac:dyDescent="0.3">
      <c r="A2163" s="2">
        <f>IF(BCP_Soles[[#This Row],[tipo_registro]]="R",COUNTIFS($C$1:$C2162,"R")+1,A2162)</f>
        <v>1617</v>
      </c>
      <c r="B2163" s="19" t="str">
        <f t="shared" si="176"/>
        <v>B-BCP - Soles</v>
      </c>
      <c r="C2163" s="3" t="s">
        <v>1352</v>
      </c>
      <c r="D2163" s="14">
        <v>45826</v>
      </c>
      <c r="E2163" s="5" t="s">
        <v>1739</v>
      </c>
      <c r="F2163" s="5" t="s">
        <v>1303</v>
      </c>
      <c r="G2163" s="6" t="s">
        <v>425</v>
      </c>
      <c r="H2163" s="6" t="s">
        <v>119</v>
      </c>
      <c r="I2163" s="6">
        <v>1</v>
      </c>
      <c r="J2163" s="6">
        <v>4420</v>
      </c>
      <c r="K2163" s="7" t="s">
        <v>1356</v>
      </c>
      <c r="L2163" s="8">
        <v>3349637</v>
      </c>
      <c r="M2163" s="8" t="str">
        <f t="shared" si="177"/>
        <v>PEN</v>
      </c>
      <c r="N2163" s="13">
        <v>40</v>
      </c>
      <c r="O2163" s="13"/>
      <c r="P2163" s="3">
        <f t="shared" si="178"/>
        <v>0</v>
      </c>
      <c r="Q2163" s="3">
        <f t="shared" si="179"/>
        <v>0</v>
      </c>
      <c r="R2163" s="3">
        <f t="shared" si="175"/>
        <v>107752.21000000002</v>
      </c>
      <c r="S2163" s="24" t="s">
        <v>1334</v>
      </c>
      <c r="T2163" s="24" t="s">
        <v>1334</v>
      </c>
      <c r="U2163" s="53"/>
      <c r="V2163" s="25">
        <f>IFERROR(VLOOKUP(BCP_Soles[[#This Row],[destinatario]],CHOOSE({1,2},Clientes_Proveedores[Razon Social],Clientes_Proveedores[Ruc / Dni]),2,0),"")</f>
        <v>20558226979</v>
      </c>
      <c r="W2163" s="25" t="s">
        <v>1345</v>
      </c>
      <c r="X2163" s="25" t="s">
        <v>3450</v>
      </c>
      <c r="Y2163" s="25"/>
      <c r="Z2163" s="75"/>
      <c r="AA2163" s="3" t="str">
        <f>IF(BCP_Soles[[#This Row],[fecha]]&gt;0,TEXT(BCP_Soles[[#This Row],[fecha]],"mmmm"),0)</f>
        <v>Junio</v>
      </c>
    </row>
    <row r="2164" spans="1:27" x14ac:dyDescent="0.3">
      <c r="A2164" s="2">
        <f>IF(BCP_Soles[[#This Row],[tipo_registro]]="R",COUNTIFS($C$1:$C2163,"R")+1,A2163)</f>
        <v>1617</v>
      </c>
      <c r="B2164" s="19" t="str">
        <f t="shared" si="176"/>
        <v>B-BCP - Soles</v>
      </c>
      <c r="C2164" s="3" t="s">
        <v>1352</v>
      </c>
      <c r="D2164" s="14">
        <v>45826</v>
      </c>
      <c r="E2164" s="5" t="s">
        <v>1739</v>
      </c>
      <c r="F2164" s="5" t="s">
        <v>1303</v>
      </c>
      <c r="G2164" s="6" t="s">
        <v>425</v>
      </c>
      <c r="H2164" s="6" t="s">
        <v>119</v>
      </c>
      <c r="I2164" s="6">
        <v>1</v>
      </c>
      <c r="J2164" s="6">
        <v>4452</v>
      </c>
      <c r="K2164" s="7" t="s">
        <v>1356</v>
      </c>
      <c r="L2164" s="8">
        <v>3349637</v>
      </c>
      <c r="M2164" s="8" t="str">
        <f t="shared" si="177"/>
        <v>PEN</v>
      </c>
      <c r="N2164" s="13">
        <v>300</v>
      </c>
      <c r="O2164" s="13"/>
      <c r="P2164" s="3">
        <f t="shared" si="178"/>
        <v>0</v>
      </c>
      <c r="Q2164" s="3">
        <f t="shared" si="179"/>
        <v>0</v>
      </c>
      <c r="R2164" s="3">
        <f t="shared" si="175"/>
        <v>107752.21000000002</v>
      </c>
      <c r="S2164" s="24" t="s">
        <v>1334</v>
      </c>
      <c r="T2164" s="24" t="s">
        <v>1334</v>
      </c>
      <c r="U2164" s="53"/>
      <c r="V2164" s="25">
        <f>IFERROR(VLOOKUP(BCP_Soles[[#This Row],[destinatario]],CHOOSE({1,2},Clientes_Proveedores[Razon Social],Clientes_Proveedores[Ruc / Dni]),2,0),"")</f>
        <v>20558226979</v>
      </c>
      <c r="W2164" s="25" t="s">
        <v>1345</v>
      </c>
      <c r="X2164" s="25" t="s">
        <v>3451</v>
      </c>
      <c r="Y2164" s="25"/>
      <c r="Z2164" s="75"/>
      <c r="AA2164" s="3" t="str">
        <f>IF(BCP_Soles[[#This Row],[fecha]]&gt;0,TEXT(BCP_Soles[[#This Row],[fecha]],"mmmm"),0)</f>
        <v>Junio</v>
      </c>
    </row>
    <row r="2165" spans="1:27" x14ac:dyDescent="0.3">
      <c r="A2165" s="2">
        <f>IF(BCP_Soles[[#This Row],[tipo_registro]]="R",COUNTIFS($C$1:$C2164,"R")+1,A2164)</f>
        <v>1618</v>
      </c>
      <c r="B2165" s="19" t="str">
        <f t="shared" si="176"/>
        <v>B-BCP - Soles</v>
      </c>
      <c r="C2165" s="3" t="s">
        <v>1330</v>
      </c>
      <c r="D2165" s="14">
        <v>45826</v>
      </c>
      <c r="E2165" s="5" t="s">
        <v>1498</v>
      </c>
      <c r="F2165" s="5" t="s">
        <v>1303</v>
      </c>
      <c r="G2165" s="6" t="s">
        <v>425</v>
      </c>
      <c r="H2165" s="6" t="s">
        <v>119</v>
      </c>
      <c r="I2165" s="6">
        <v>1</v>
      </c>
      <c r="J2165" s="6">
        <v>4518</v>
      </c>
      <c r="K2165" s="7" t="s">
        <v>1356</v>
      </c>
      <c r="L2165" s="8">
        <v>3366984</v>
      </c>
      <c r="M2165" s="8" t="str">
        <f t="shared" si="177"/>
        <v>PEN</v>
      </c>
      <c r="N2165" s="13"/>
      <c r="O2165" s="13">
        <v>217</v>
      </c>
      <c r="P2165" s="3">
        <f t="shared" si="178"/>
        <v>217</v>
      </c>
      <c r="Q2165" s="3">
        <f t="shared" si="179"/>
        <v>0</v>
      </c>
      <c r="R2165" s="3">
        <f t="shared" si="175"/>
        <v>107969.21000000002</v>
      </c>
      <c r="S2165" s="24" t="s">
        <v>1334</v>
      </c>
      <c r="T2165" s="24" t="s">
        <v>1334</v>
      </c>
      <c r="U2165" s="53"/>
      <c r="V2165" s="25">
        <f>IFERROR(VLOOKUP(BCP_Soles[[#This Row],[destinatario]],CHOOSE({1,2},Clientes_Proveedores[Razon Social],Clientes_Proveedores[Ruc / Dni]),2,0),"")</f>
        <v>20558226979</v>
      </c>
      <c r="W2165" s="25" t="s">
        <v>1345</v>
      </c>
      <c r="X2165" s="25" t="s">
        <v>3452</v>
      </c>
      <c r="Y2165" s="25"/>
      <c r="Z2165" s="75"/>
      <c r="AA2165" s="3" t="str">
        <f>IF(BCP_Soles[[#This Row],[fecha]]&gt;0,TEXT(BCP_Soles[[#This Row],[fecha]],"mmmm"),0)</f>
        <v>Junio</v>
      </c>
    </row>
    <row r="2166" spans="1:27" ht="24" x14ac:dyDescent="0.3">
      <c r="A2166" s="2">
        <f>IF(BCP_Soles[[#This Row],[tipo_registro]]="R",COUNTIFS($C$1:$C2165,"R")+1,A2165)</f>
        <v>1619</v>
      </c>
      <c r="B2166" s="19" t="str">
        <f t="shared" si="176"/>
        <v>B-BCP - Soles</v>
      </c>
      <c r="C2166" s="3" t="s">
        <v>1330</v>
      </c>
      <c r="D2166" s="14">
        <v>45826</v>
      </c>
      <c r="E2166" s="5" t="s">
        <v>1331</v>
      </c>
      <c r="F2166" s="5" t="s">
        <v>1336</v>
      </c>
      <c r="G2166" s="6" t="s">
        <v>704</v>
      </c>
      <c r="H2166" s="6" t="s">
        <v>106</v>
      </c>
      <c r="I2166" s="6" t="s">
        <v>1559</v>
      </c>
      <c r="J2166" s="6">
        <v>8960873</v>
      </c>
      <c r="K2166" s="7" t="s">
        <v>3453</v>
      </c>
      <c r="L2166" s="8">
        <v>4205474</v>
      </c>
      <c r="M2166" s="8" t="str">
        <f t="shared" si="177"/>
        <v>PEN</v>
      </c>
      <c r="N2166" s="13"/>
      <c r="O2166" s="13">
        <v>23.1</v>
      </c>
      <c r="P2166" s="3">
        <f t="shared" si="178"/>
        <v>0</v>
      </c>
      <c r="Q2166" s="3">
        <f t="shared" si="179"/>
        <v>23.1</v>
      </c>
      <c r="R2166" s="3">
        <f t="shared" si="175"/>
        <v>107946.11000000002</v>
      </c>
      <c r="S2166" s="24" t="s">
        <v>1334</v>
      </c>
      <c r="T2166" s="24" t="s">
        <v>1334</v>
      </c>
      <c r="U2166" s="80" t="s">
        <v>3454</v>
      </c>
      <c r="V2166" s="101">
        <f>IFERROR(VLOOKUP(BCP_Soles[[#This Row],[destinatario]],CHOOSE({1,2},Clientes_Proveedores[Razon Social],Clientes_Proveedores[Ruc / Dni]),2,0),"")</f>
        <v>20100152356</v>
      </c>
      <c r="W2166" s="26" t="s">
        <v>704</v>
      </c>
      <c r="X2166" s="26" t="s">
        <v>3455</v>
      </c>
      <c r="Y2166" s="26"/>
      <c r="Z2166" s="76"/>
      <c r="AA2166" s="3" t="str">
        <f>IF(BCP_Soles[[#This Row],[fecha]]&gt;0,TEXT(BCP_Soles[[#This Row],[fecha]],"mmmm"),0)</f>
        <v>Junio</v>
      </c>
    </row>
    <row r="2167" spans="1:27" ht="24" x14ac:dyDescent="0.3">
      <c r="A2167" s="2">
        <f>IF(BCP_Soles[[#This Row],[tipo_registro]]="R",COUNTIFS($C$1:$C2166,"R")+1,A2166)</f>
        <v>1620</v>
      </c>
      <c r="B2167" s="19" t="str">
        <f t="shared" si="176"/>
        <v>B-BCP - Soles</v>
      </c>
      <c r="C2167" s="3" t="s">
        <v>1330</v>
      </c>
      <c r="D2167" s="14">
        <v>45826</v>
      </c>
      <c r="E2167" s="5" t="s">
        <v>1331</v>
      </c>
      <c r="F2167" s="5" t="s">
        <v>1336</v>
      </c>
      <c r="G2167" s="6" t="s">
        <v>706</v>
      </c>
      <c r="H2167" s="6" t="s">
        <v>106</v>
      </c>
      <c r="I2167" s="6" t="s">
        <v>1489</v>
      </c>
      <c r="J2167" s="6">
        <v>190557</v>
      </c>
      <c r="K2167" s="7" t="s">
        <v>3456</v>
      </c>
      <c r="L2167" s="8">
        <v>4205964</v>
      </c>
      <c r="M2167" s="8" t="str">
        <f t="shared" si="177"/>
        <v>PEN</v>
      </c>
      <c r="N2167" s="13"/>
      <c r="O2167" s="13">
        <v>18.7</v>
      </c>
      <c r="P2167" s="3">
        <f t="shared" si="178"/>
        <v>0</v>
      </c>
      <c r="Q2167" s="3">
        <f t="shared" si="179"/>
        <v>18.7</v>
      </c>
      <c r="R2167" s="3">
        <f t="shared" si="175"/>
        <v>107927.41000000002</v>
      </c>
      <c r="S2167" s="24" t="s">
        <v>1334</v>
      </c>
      <c r="T2167" s="24" t="s">
        <v>1334</v>
      </c>
      <c r="U2167" s="80" t="s">
        <v>3457</v>
      </c>
      <c r="V2167" s="101">
        <f>IFERROR(VLOOKUP(BCP_Soles[[#This Row],[destinatario]],CHOOSE({1,2},Clientes_Proveedores[Razon Social],Clientes_Proveedores[Ruc / Dni]),2,0),"")</f>
        <v>20331898008</v>
      </c>
      <c r="W2167" s="26" t="s">
        <v>1568</v>
      </c>
      <c r="X2167" s="26" t="s">
        <v>3458</v>
      </c>
      <c r="Y2167" s="26"/>
      <c r="Z2167" s="76"/>
      <c r="AA2167" s="3" t="str">
        <f>IF(BCP_Soles[[#This Row],[fecha]]&gt;0,TEXT(BCP_Soles[[#This Row],[fecha]],"mmmm"),0)</f>
        <v>Junio</v>
      </c>
    </row>
    <row r="2168" spans="1:27" ht="36" x14ac:dyDescent="0.3">
      <c r="A2168" s="2">
        <f>IF(BCP_Soles[[#This Row],[tipo_registro]]="R",COUNTIFS($C$1:$C2167,"R")+1,A2167)</f>
        <v>1621</v>
      </c>
      <c r="B2168" s="19" t="str">
        <f t="shared" si="176"/>
        <v>B-BCP - Soles</v>
      </c>
      <c r="C2168" s="3" t="s">
        <v>1330</v>
      </c>
      <c r="D2168" s="14">
        <v>45826</v>
      </c>
      <c r="E2168" s="5" t="s">
        <v>1331</v>
      </c>
      <c r="F2168" s="5" t="s">
        <v>1336</v>
      </c>
      <c r="G2168" s="6" t="s">
        <v>588</v>
      </c>
      <c r="H2168" s="6" t="s">
        <v>68</v>
      </c>
      <c r="I2168" s="6" t="s">
        <v>1376</v>
      </c>
      <c r="J2168" s="6">
        <v>438</v>
      </c>
      <c r="K2168" s="7" t="s">
        <v>3459</v>
      </c>
      <c r="L2168" s="8">
        <v>1205965</v>
      </c>
      <c r="M2168" s="8" t="str">
        <f t="shared" si="177"/>
        <v>PEN</v>
      </c>
      <c r="N2168" s="13"/>
      <c r="O2168" s="13">
        <v>70.680000000000007</v>
      </c>
      <c r="P2168" s="3">
        <f t="shared" si="178"/>
        <v>0</v>
      </c>
      <c r="Q2168" s="3">
        <f t="shared" si="179"/>
        <v>70.680000000000007</v>
      </c>
      <c r="R2168" s="3">
        <f t="shared" si="175"/>
        <v>107856.73000000003</v>
      </c>
      <c r="S2168" s="24" t="s">
        <v>1334</v>
      </c>
      <c r="T2168" s="24" t="s">
        <v>1334</v>
      </c>
      <c r="U2168" s="80" t="s">
        <v>3460</v>
      </c>
      <c r="V2168" s="101">
        <f>IFERROR(VLOOKUP(BCP_Soles[[#This Row],[destinatario]],CHOOSE({1,2},Clientes_Proveedores[Razon Social],Clientes_Proveedores[Ruc / Dni]),2,0),"")</f>
        <v>20609368773</v>
      </c>
      <c r="W2168" s="26" t="s">
        <v>1439</v>
      </c>
      <c r="X2168" s="26" t="s">
        <v>3461</v>
      </c>
      <c r="Y2168" s="26"/>
      <c r="Z2168" s="76"/>
      <c r="AA2168" s="3" t="str">
        <f>IF(BCP_Soles[[#This Row],[fecha]]&gt;0,TEXT(BCP_Soles[[#This Row],[fecha]],"mmmm"),0)</f>
        <v>Junio</v>
      </c>
    </row>
    <row r="2169" spans="1:27" ht="24" x14ac:dyDescent="0.3">
      <c r="A2169" s="2">
        <f>IF(BCP_Soles[[#This Row],[tipo_registro]]="R",COUNTIFS($C$1:$C2168,"R")+1,A2168)</f>
        <v>1622</v>
      </c>
      <c r="B2169" s="19" t="str">
        <f t="shared" si="176"/>
        <v>B-BCP - Soles</v>
      </c>
      <c r="C2169" s="3" t="s">
        <v>1330</v>
      </c>
      <c r="D2169" s="14">
        <v>45826</v>
      </c>
      <c r="E2169" s="5" t="s">
        <v>1331</v>
      </c>
      <c r="F2169" s="5" t="s">
        <v>1336</v>
      </c>
      <c r="G2169" s="6" t="s">
        <v>703</v>
      </c>
      <c r="H2169" s="6" t="s">
        <v>106</v>
      </c>
      <c r="I2169" s="6" t="s">
        <v>1484</v>
      </c>
      <c r="J2169" s="6">
        <v>30732500</v>
      </c>
      <c r="K2169" s="7" t="s">
        <v>3462</v>
      </c>
      <c r="L2169" s="8">
        <v>205000</v>
      </c>
      <c r="M2169" s="8" t="str">
        <f t="shared" si="177"/>
        <v>PEN</v>
      </c>
      <c r="N2169" s="13"/>
      <c r="O2169" s="13">
        <v>410</v>
      </c>
      <c r="P2169" s="3">
        <f t="shared" si="178"/>
        <v>0</v>
      </c>
      <c r="Q2169" s="3">
        <f t="shared" si="179"/>
        <v>410</v>
      </c>
      <c r="R2169" s="3">
        <f t="shared" si="175"/>
        <v>107446.73000000003</v>
      </c>
      <c r="S2169" s="24" t="s">
        <v>1334</v>
      </c>
      <c r="T2169" s="24" t="s">
        <v>1334</v>
      </c>
      <c r="U2169" s="80" t="s">
        <v>3463</v>
      </c>
      <c r="V2169" s="101">
        <f>IFERROR(VLOOKUP(BCP_Soles[[#This Row],[destinatario]],CHOOSE({1,2},Clientes_Proveedores[Razon Social],Clientes_Proveedores[Ruc / Dni]),2,0),"")</f>
        <v>20100188628</v>
      </c>
      <c r="W2169" s="26" t="s">
        <v>703</v>
      </c>
      <c r="X2169" s="26" t="s">
        <v>3464</v>
      </c>
      <c r="Y2169" s="26"/>
      <c r="Z2169" s="76"/>
      <c r="AA2169" s="3" t="str">
        <f>IF(BCP_Soles[[#This Row],[fecha]]&gt;0,TEXT(BCP_Soles[[#This Row],[fecha]],"mmmm"),0)</f>
        <v>Junio</v>
      </c>
    </row>
    <row r="2170" spans="1:27" ht="24" x14ac:dyDescent="0.3">
      <c r="A2170" s="2">
        <f>IF(BCP_Soles[[#This Row],[tipo_registro]]="R",COUNTIFS($C$1:$C2169,"R")+1,A2169)</f>
        <v>1623</v>
      </c>
      <c r="B2170" s="19" t="str">
        <f t="shared" si="176"/>
        <v>B-BCP - Soles</v>
      </c>
      <c r="C2170" s="3" t="s">
        <v>1330</v>
      </c>
      <c r="D2170" s="14">
        <v>45826</v>
      </c>
      <c r="E2170" s="5" t="s">
        <v>1331</v>
      </c>
      <c r="F2170" s="5" t="s">
        <v>1336</v>
      </c>
      <c r="G2170" s="6" t="s">
        <v>703</v>
      </c>
      <c r="H2170" s="6" t="s">
        <v>106</v>
      </c>
      <c r="I2170" s="6" t="s">
        <v>1484</v>
      </c>
      <c r="J2170" s="6">
        <v>30732440</v>
      </c>
      <c r="K2170" s="7" t="s">
        <v>3462</v>
      </c>
      <c r="L2170" s="8">
        <v>206922</v>
      </c>
      <c r="M2170" s="8" t="str">
        <f t="shared" si="177"/>
        <v>PEN</v>
      </c>
      <c r="N2170" s="13"/>
      <c r="O2170" s="13">
        <v>130</v>
      </c>
      <c r="P2170" s="3">
        <f t="shared" si="178"/>
        <v>0</v>
      </c>
      <c r="Q2170" s="3">
        <f t="shared" si="179"/>
        <v>130</v>
      </c>
      <c r="R2170" s="3">
        <f t="shared" si="175"/>
        <v>107316.73000000003</v>
      </c>
      <c r="S2170" s="24" t="s">
        <v>1334</v>
      </c>
      <c r="T2170" s="24" t="s">
        <v>1334</v>
      </c>
      <c r="U2170" s="80" t="s">
        <v>3465</v>
      </c>
      <c r="V2170" s="101">
        <f>IFERROR(VLOOKUP(BCP_Soles[[#This Row],[destinatario]],CHOOSE({1,2},Clientes_Proveedores[Razon Social],Clientes_Proveedores[Ruc / Dni]),2,0),"")</f>
        <v>20100188628</v>
      </c>
      <c r="W2170" s="26" t="s">
        <v>703</v>
      </c>
      <c r="X2170" s="26" t="s">
        <v>3466</v>
      </c>
      <c r="Y2170" s="26"/>
      <c r="Z2170" s="76"/>
      <c r="AA2170" s="3" t="str">
        <f>IF(BCP_Soles[[#This Row],[fecha]]&gt;0,TEXT(BCP_Soles[[#This Row],[fecha]],"mmmm"),0)</f>
        <v>Junio</v>
      </c>
    </row>
    <row r="2171" spans="1:27" ht="24" x14ac:dyDescent="0.3">
      <c r="A2171" s="2">
        <f>IF(BCP_Soles[[#This Row],[tipo_registro]]="R",COUNTIFS($C$1:$C2170,"R")+1,A2170)</f>
        <v>1624</v>
      </c>
      <c r="B2171" s="19" t="str">
        <f t="shared" si="176"/>
        <v>B-BCP - Soles</v>
      </c>
      <c r="C2171" s="3" t="s">
        <v>1330</v>
      </c>
      <c r="D2171" s="14">
        <v>45826</v>
      </c>
      <c r="E2171" s="5" t="s">
        <v>1331</v>
      </c>
      <c r="F2171" s="5" t="s">
        <v>1336</v>
      </c>
      <c r="G2171" s="6" t="s">
        <v>710</v>
      </c>
      <c r="H2171" s="6" t="s">
        <v>106</v>
      </c>
      <c r="I2171" s="6">
        <v>1</v>
      </c>
      <c r="J2171" s="6">
        <v>59332947</v>
      </c>
      <c r="K2171" s="7" t="s">
        <v>3467</v>
      </c>
      <c r="L2171" s="8">
        <v>208026</v>
      </c>
      <c r="M2171" s="8" t="str">
        <f t="shared" si="177"/>
        <v>PEN</v>
      </c>
      <c r="N2171" s="13"/>
      <c r="O2171" s="13">
        <v>337.8</v>
      </c>
      <c r="P2171" s="3">
        <f t="shared" si="178"/>
        <v>0</v>
      </c>
      <c r="Q2171" s="3">
        <f t="shared" si="179"/>
        <v>337.8</v>
      </c>
      <c r="R2171" s="3">
        <f t="shared" si="175"/>
        <v>106978.93000000002</v>
      </c>
      <c r="S2171" s="24" t="s">
        <v>1334</v>
      </c>
      <c r="T2171" s="24" t="s">
        <v>1334</v>
      </c>
      <c r="U2171" s="80" t="s">
        <v>3468</v>
      </c>
      <c r="V2171" s="101">
        <f>IFERROR(VLOOKUP(BCP_Soles[[#This Row],[destinatario]],CHOOSE({1,2},Clientes_Proveedores[Razon Social],Clientes_Proveedores[Ruc / Dni]),2,0),"")</f>
        <v>20100211034</v>
      </c>
      <c r="W2171" s="26" t="s">
        <v>1478</v>
      </c>
      <c r="X2171" s="26" t="s">
        <v>3469</v>
      </c>
      <c r="Y2171" s="26"/>
      <c r="Z2171" s="76"/>
      <c r="AA2171" s="3" t="str">
        <f>IF(BCP_Soles[[#This Row],[fecha]]&gt;0,TEXT(BCP_Soles[[#This Row],[fecha]],"mmmm"),0)</f>
        <v>Junio</v>
      </c>
    </row>
    <row r="2172" spans="1:27" ht="24" x14ac:dyDescent="0.3">
      <c r="A2172" s="2">
        <f>IF(BCP_Soles[[#This Row],[tipo_registro]]="R",COUNTIFS($C$1:$C2171,"R")+1,A2171)</f>
        <v>1625</v>
      </c>
      <c r="B2172" s="19" t="str">
        <f t="shared" si="176"/>
        <v>B-BCP - Soles</v>
      </c>
      <c r="C2172" s="3" t="s">
        <v>1330</v>
      </c>
      <c r="D2172" s="14">
        <v>45826</v>
      </c>
      <c r="E2172" s="5" t="s">
        <v>1416</v>
      </c>
      <c r="F2172" s="5" t="s">
        <v>1336</v>
      </c>
      <c r="G2172" s="148" t="s">
        <v>895</v>
      </c>
      <c r="H2172" s="6"/>
      <c r="I2172" s="6"/>
      <c r="J2172" s="6"/>
      <c r="K2172" s="7" t="s">
        <v>3083</v>
      </c>
      <c r="L2172" s="8">
        <v>1208027</v>
      </c>
      <c r="M2172" s="8" t="str">
        <f t="shared" si="177"/>
        <v>PEN</v>
      </c>
      <c r="N2172" s="13"/>
      <c r="O2172" s="13">
        <v>2460</v>
      </c>
      <c r="P2172" s="3">
        <f t="shared" si="178"/>
        <v>0</v>
      </c>
      <c r="Q2172" s="3">
        <f t="shared" si="179"/>
        <v>2460</v>
      </c>
      <c r="R2172" s="3">
        <f t="shared" si="175"/>
        <v>104518.93000000002</v>
      </c>
      <c r="S2172" s="24"/>
      <c r="T2172" s="24" t="s">
        <v>1334</v>
      </c>
      <c r="U2172" s="80" t="s">
        <v>3470</v>
      </c>
      <c r="V2172" s="101">
        <f>IFERROR(VLOOKUP(BCP_Soles[[#This Row],[destinatario]],CHOOSE({1,2},Clientes_Proveedores[Razon Social],Clientes_Proveedores[Ruc / Dni]),2,0),"")</f>
        <v>72144092</v>
      </c>
      <c r="W2172" s="26" t="s">
        <v>895</v>
      </c>
      <c r="X2172" s="26"/>
      <c r="Y2172" s="26"/>
      <c r="Z2172" s="76"/>
      <c r="AA2172" s="3" t="str">
        <f>IF(BCP_Soles[[#This Row],[fecha]]&gt;0,TEXT(BCP_Soles[[#This Row],[fecha]],"mmmm"),0)</f>
        <v>Junio</v>
      </c>
    </row>
    <row r="2173" spans="1:27" ht="24" x14ac:dyDescent="0.3">
      <c r="A2173" s="2">
        <f>IF(BCP_Soles[[#This Row],[tipo_registro]]="R",COUNTIFS($C$1:$C2172,"R")+1,A2172)</f>
        <v>1626</v>
      </c>
      <c r="B2173" s="19" t="str">
        <f t="shared" si="176"/>
        <v>B-BCP - Soles</v>
      </c>
      <c r="C2173" s="3" t="s">
        <v>1330</v>
      </c>
      <c r="D2173" s="14">
        <v>45826</v>
      </c>
      <c r="E2173" s="5" t="s">
        <v>1416</v>
      </c>
      <c r="F2173" s="5" t="s">
        <v>1336</v>
      </c>
      <c r="G2173" s="6" t="s">
        <v>888</v>
      </c>
      <c r="H2173" s="6" t="s">
        <v>147</v>
      </c>
      <c r="I2173" s="6">
        <v>13</v>
      </c>
      <c r="J2173" s="6">
        <v>32</v>
      </c>
      <c r="K2173" s="7" t="s">
        <v>3471</v>
      </c>
      <c r="L2173" s="8">
        <v>1207425</v>
      </c>
      <c r="M2173" s="8" t="str">
        <f t="shared" si="177"/>
        <v>PEN</v>
      </c>
      <c r="N2173" s="13"/>
      <c r="O2173" s="13">
        <v>1165</v>
      </c>
      <c r="P2173" s="3">
        <f t="shared" si="178"/>
        <v>0</v>
      </c>
      <c r="Q2173" s="3">
        <f t="shared" si="179"/>
        <v>1165</v>
      </c>
      <c r="R2173" s="3">
        <f t="shared" si="175"/>
        <v>103353.93000000002</v>
      </c>
      <c r="S2173" s="24"/>
      <c r="T2173" s="24" t="s">
        <v>1334</v>
      </c>
      <c r="U2173" s="80"/>
      <c r="V2173" s="103">
        <f>IFERROR(VLOOKUP(BCP_Soles[[#This Row],[destinatario]],CHOOSE({1,2},Clientes_Proveedores[Razon Social],Clientes_Proveedores[Ruc / Dni]),2,0),"")</f>
        <v>47461440</v>
      </c>
      <c r="W2173" s="26"/>
      <c r="X2173" s="26"/>
      <c r="Y2173" s="26"/>
      <c r="Z2173" s="76"/>
      <c r="AA2173" s="3" t="str">
        <f>IF(BCP_Soles[[#This Row],[fecha]]&gt;0,TEXT(BCP_Soles[[#This Row],[fecha]],"mmmm"),0)</f>
        <v>Junio</v>
      </c>
    </row>
    <row r="2174" spans="1:27" x14ac:dyDescent="0.3">
      <c r="A2174" s="2">
        <f>IF(BCP_Soles[[#This Row],[tipo_registro]]="R",COUNTIFS($C$1:$C2173,"R")+1,A2173)</f>
        <v>1627</v>
      </c>
      <c r="B2174" s="19" t="str">
        <f t="shared" si="176"/>
        <v>B-BCP - Soles</v>
      </c>
      <c r="C2174" s="3" t="s">
        <v>1330</v>
      </c>
      <c r="D2174" s="14">
        <v>45826</v>
      </c>
      <c r="E2174" s="5" t="s">
        <v>1335</v>
      </c>
      <c r="F2174" s="5" t="s">
        <v>1336</v>
      </c>
      <c r="G2174" s="6"/>
      <c r="H2174" s="6"/>
      <c r="I2174" s="6"/>
      <c r="J2174" s="6"/>
      <c r="K2174" s="7" t="s">
        <v>3160</v>
      </c>
      <c r="L2174" s="8"/>
      <c r="M2174" s="8" t="str">
        <f t="shared" si="177"/>
        <v>PEN</v>
      </c>
      <c r="N2174" s="13"/>
      <c r="O2174" s="13">
        <v>1.25</v>
      </c>
      <c r="P2174" s="3">
        <f t="shared" si="178"/>
        <v>0</v>
      </c>
      <c r="Q2174" s="3">
        <f t="shared" si="179"/>
        <v>1.25</v>
      </c>
      <c r="R2174" s="3">
        <f t="shared" si="175"/>
        <v>103352.68000000002</v>
      </c>
      <c r="S2174" s="24"/>
      <c r="T2174" s="24" t="s">
        <v>1334</v>
      </c>
      <c r="U2174" s="53"/>
      <c r="V2174" s="25" t="str">
        <f>IFERROR(VLOOKUP(BCP_Soles[[#This Row],[destinatario]],CHOOSE({1,2},Clientes_Proveedores[Razon Social],Clientes_Proveedores[Ruc / Dni]),2,0),"")</f>
        <v/>
      </c>
      <c r="W2174" s="25"/>
      <c r="X2174" s="25"/>
      <c r="Y2174" s="25"/>
      <c r="Z2174" s="75"/>
      <c r="AA2174" s="3" t="str">
        <f>IF(BCP_Soles[[#This Row],[fecha]]&gt;0,TEXT(BCP_Soles[[#This Row],[fecha]],"mmmm"),0)</f>
        <v>Junio</v>
      </c>
    </row>
    <row r="2175" spans="1:27" x14ac:dyDescent="0.3">
      <c r="A2175" s="2">
        <f>IF(BCP_Soles[[#This Row],[tipo_registro]]="R",COUNTIFS($C$1:$C2174,"R")+1,A2174)</f>
        <v>1628</v>
      </c>
      <c r="B2175" s="19" t="str">
        <f t="shared" si="176"/>
        <v>B-BCP - Soles</v>
      </c>
      <c r="C2175" s="3" t="s">
        <v>1330</v>
      </c>
      <c r="D2175" s="14">
        <v>45827</v>
      </c>
      <c r="E2175" s="5"/>
      <c r="F2175" s="5" t="s">
        <v>1303</v>
      </c>
      <c r="G2175" s="6" t="s">
        <v>425</v>
      </c>
      <c r="H2175" s="6"/>
      <c r="I2175" s="6"/>
      <c r="J2175" s="6"/>
      <c r="K2175" s="7" t="s">
        <v>1356</v>
      </c>
      <c r="L2175" s="8">
        <v>2660467</v>
      </c>
      <c r="M2175" s="8" t="str">
        <f t="shared" si="177"/>
        <v>PEN</v>
      </c>
      <c r="N2175" s="13"/>
      <c r="O2175" s="13">
        <v>2722.1</v>
      </c>
      <c r="P2175" s="3">
        <f t="shared" si="178"/>
        <v>2722.1</v>
      </c>
      <c r="Q2175" s="3">
        <f t="shared" si="179"/>
        <v>0</v>
      </c>
      <c r="R2175" s="3">
        <f t="shared" si="175"/>
        <v>106074.78000000003</v>
      </c>
      <c r="S2175" s="24" t="s">
        <v>1334</v>
      </c>
      <c r="T2175" s="24" t="s">
        <v>1334</v>
      </c>
      <c r="U2175" s="53"/>
      <c r="V2175" s="25">
        <f>IFERROR(VLOOKUP(BCP_Soles[[#This Row],[destinatario]],CHOOSE({1,2},Clientes_Proveedores[Razon Social],Clientes_Proveedores[Ruc / Dni]),2,0),"")</f>
        <v>20558226979</v>
      </c>
      <c r="W2175" s="25" t="s">
        <v>1345</v>
      </c>
      <c r="X2175" s="25"/>
      <c r="Y2175" s="25"/>
      <c r="Z2175" s="75"/>
      <c r="AA2175" s="3" t="str">
        <f>IF(BCP_Soles[[#This Row],[fecha]]&gt;0,TEXT(BCP_Soles[[#This Row],[fecha]],"mmmm"),0)</f>
        <v>Junio</v>
      </c>
    </row>
    <row r="2176" spans="1:27" ht="24" x14ac:dyDescent="0.3">
      <c r="A2176" s="2">
        <f>IF(BCP_Soles[[#This Row],[tipo_registro]]="R",COUNTIFS($C$1:$C2175,"R")+1,A2175)</f>
        <v>1628</v>
      </c>
      <c r="B2176" s="19" t="str">
        <f t="shared" si="176"/>
        <v>B-BCP - Soles</v>
      </c>
      <c r="C2176" s="3" t="s">
        <v>1352</v>
      </c>
      <c r="D2176" s="14">
        <v>45827</v>
      </c>
      <c r="E2176" s="5" t="s">
        <v>536</v>
      </c>
      <c r="F2176" s="5" t="s">
        <v>1303</v>
      </c>
      <c r="G2176" s="6" t="s">
        <v>425</v>
      </c>
      <c r="H2176" s="6" t="s">
        <v>119</v>
      </c>
      <c r="I2176" s="6">
        <v>1</v>
      </c>
      <c r="J2176" s="6">
        <v>4508</v>
      </c>
      <c r="K2176" s="7" t="s">
        <v>1356</v>
      </c>
      <c r="L2176" s="8">
        <v>2660467</v>
      </c>
      <c r="M2176" s="8" t="str">
        <f t="shared" si="177"/>
        <v>PEN</v>
      </c>
      <c r="N2176" s="13">
        <v>832</v>
      </c>
      <c r="O2176" s="13"/>
      <c r="P2176" s="3">
        <f t="shared" si="178"/>
        <v>0</v>
      </c>
      <c r="Q2176" s="3">
        <f t="shared" si="179"/>
        <v>0</v>
      </c>
      <c r="R2176" s="3">
        <f t="shared" si="175"/>
        <v>106074.78000000003</v>
      </c>
      <c r="S2176" s="24" t="s">
        <v>1334</v>
      </c>
      <c r="T2176" s="24" t="s">
        <v>1334</v>
      </c>
      <c r="U2176" s="53"/>
      <c r="V2176" s="25">
        <f>IFERROR(VLOOKUP(BCP_Soles[[#This Row],[destinatario]],CHOOSE({1,2},Clientes_Proveedores[Razon Social],Clientes_Proveedores[Ruc / Dni]),2,0),"")</f>
        <v>20558226979</v>
      </c>
      <c r="W2176" s="25" t="s">
        <v>1345</v>
      </c>
      <c r="X2176" s="25" t="s">
        <v>3472</v>
      </c>
      <c r="Y2176" s="25"/>
      <c r="Z2176" s="75"/>
      <c r="AA2176" s="3" t="str">
        <f>IF(BCP_Soles[[#This Row],[fecha]]&gt;0,TEXT(BCP_Soles[[#This Row],[fecha]],"mmmm"),0)</f>
        <v>Junio</v>
      </c>
    </row>
    <row r="2177" spans="1:27" ht="24" x14ac:dyDescent="0.3">
      <c r="A2177" s="2">
        <f>IF(BCP_Soles[[#This Row],[tipo_registro]]="R",COUNTIFS($C$1:$C2176,"R")+1,A2176)</f>
        <v>1628</v>
      </c>
      <c r="B2177" s="19" t="str">
        <f t="shared" si="176"/>
        <v>B-BCP - Soles</v>
      </c>
      <c r="C2177" s="3" t="s">
        <v>1352</v>
      </c>
      <c r="D2177" s="14">
        <v>45827</v>
      </c>
      <c r="E2177" s="5" t="s">
        <v>536</v>
      </c>
      <c r="F2177" s="5" t="s">
        <v>1303</v>
      </c>
      <c r="G2177" s="6" t="s">
        <v>425</v>
      </c>
      <c r="H2177" s="6" t="s">
        <v>119</v>
      </c>
      <c r="I2177" s="6">
        <v>1</v>
      </c>
      <c r="J2177" s="6">
        <v>4521</v>
      </c>
      <c r="K2177" s="7" t="s">
        <v>1356</v>
      </c>
      <c r="L2177" s="8">
        <v>2660467</v>
      </c>
      <c r="M2177" s="8" t="str">
        <f t="shared" si="177"/>
        <v>PEN</v>
      </c>
      <c r="N2177" s="13">
        <v>1890.1</v>
      </c>
      <c r="O2177" s="13"/>
      <c r="P2177" s="3">
        <f t="shared" si="178"/>
        <v>0</v>
      </c>
      <c r="Q2177" s="3">
        <f t="shared" si="179"/>
        <v>0</v>
      </c>
      <c r="R2177" s="3">
        <f t="shared" si="175"/>
        <v>106074.78000000003</v>
      </c>
      <c r="S2177" s="24" t="s">
        <v>1334</v>
      </c>
      <c r="T2177" s="24" t="s">
        <v>1334</v>
      </c>
      <c r="U2177" s="53"/>
      <c r="V2177" s="25">
        <f>IFERROR(VLOOKUP(BCP_Soles[[#This Row],[destinatario]],CHOOSE({1,2},Clientes_Proveedores[Razon Social],Clientes_Proveedores[Ruc / Dni]),2,0),"")</f>
        <v>20558226979</v>
      </c>
      <c r="W2177" s="25" t="s">
        <v>1345</v>
      </c>
      <c r="X2177" s="25" t="s">
        <v>3473</v>
      </c>
      <c r="Y2177" s="25"/>
      <c r="Z2177" s="75"/>
      <c r="AA2177" s="3" t="str">
        <f>IF(BCP_Soles[[#This Row],[fecha]]&gt;0,TEXT(BCP_Soles[[#This Row],[fecha]],"mmmm"),0)</f>
        <v>Junio</v>
      </c>
    </row>
    <row r="2178" spans="1:27" x14ac:dyDescent="0.3">
      <c r="A2178" s="2">
        <f>IF(BCP_Soles[[#This Row],[tipo_registro]]="R",COUNTIFS($C$1:$C2177,"R")+1,A2177)</f>
        <v>1629</v>
      </c>
      <c r="B2178" s="19" t="str">
        <f t="shared" si="176"/>
        <v>B-BCP - Soles</v>
      </c>
      <c r="C2178" s="3" t="s">
        <v>1330</v>
      </c>
      <c r="D2178" s="14">
        <v>45827</v>
      </c>
      <c r="E2178" s="5"/>
      <c r="F2178" s="5" t="s">
        <v>1303</v>
      </c>
      <c r="G2178" s="6" t="s">
        <v>425</v>
      </c>
      <c r="H2178" s="6"/>
      <c r="I2178" s="6"/>
      <c r="J2178" s="6"/>
      <c r="K2178" s="7" t="s">
        <v>1356</v>
      </c>
      <c r="L2178" s="8">
        <v>2700122</v>
      </c>
      <c r="M2178" s="8" t="str">
        <f t="shared" si="177"/>
        <v>PEN</v>
      </c>
      <c r="N2178" s="13"/>
      <c r="O2178" s="13">
        <v>551</v>
      </c>
      <c r="P2178" s="3">
        <f t="shared" si="178"/>
        <v>551</v>
      </c>
      <c r="Q2178" s="3">
        <f t="shared" si="179"/>
        <v>0</v>
      </c>
      <c r="R2178" s="3">
        <f t="shared" si="175"/>
        <v>106625.78000000003</v>
      </c>
      <c r="S2178" s="24"/>
      <c r="T2178" s="24"/>
      <c r="U2178" s="53"/>
      <c r="V2178" s="25">
        <f>IFERROR(VLOOKUP(BCP_Soles[[#This Row],[destinatario]],CHOOSE({1,2},Clientes_Proveedores[Razon Social],Clientes_Proveedores[Ruc / Dni]),2,0),"")</f>
        <v>20558226979</v>
      </c>
      <c r="W2178" s="25"/>
      <c r="X2178" s="25"/>
      <c r="Y2178" s="25"/>
      <c r="Z2178" s="75"/>
      <c r="AA2178" s="3" t="str">
        <f>IF(BCP_Soles[[#This Row],[fecha]]&gt;0,TEXT(BCP_Soles[[#This Row],[fecha]],"mmmm"),0)</f>
        <v>Junio</v>
      </c>
    </row>
    <row r="2179" spans="1:27" ht="24" x14ac:dyDescent="0.3">
      <c r="A2179" s="2">
        <f>IF(BCP_Soles[[#This Row],[tipo_registro]]="R",COUNTIFS($C$1:$C2178,"R")+1,A2178)</f>
        <v>1630</v>
      </c>
      <c r="B2179" s="19" t="str">
        <f t="shared" si="176"/>
        <v>B-BCP - Soles</v>
      </c>
      <c r="C2179" s="3" t="s">
        <v>1330</v>
      </c>
      <c r="D2179" s="14">
        <v>45827</v>
      </c>
      <c r="E2179" s="5" t="s">
        <v>3445</v>
      </c>
      <c r="F2179" s="5" t="s">
        <v>1303</v>
      </c>
      <c r="G2179" s="6" t="s">
        <v>425</v>
      </c>
      <c r="H2179" s="6" t="s">
        <v>119</v>
      </c>
      <c r="I2179" s="6">
        <v>1</v>
      </c>
      <c r="J2179" s="6">
        <v>4523</v>
      </c>
      <c r="K2179" s="7" t="s">
        <v>1356</v>
      </c>
      <c r="L2179" s="8">
        <v>3453736</v>
      </c>
      <c r="M2179" s="8" t="str">
        <f t="shared" si="177"/>
        <v>PEN</v>
      </c>
      <c r="N2179" s="13"/>
      <c r="O2179" s="13">
        <v>270</v>
      </c>
      <c r="P2179" s="3">
        <f t="shared" si="178"/>
        <v>270</v>
      </c>
      <c r="Q2179" s="3">
        <f t="shared" si="179"/>
        <v>0</v>
      </c>
      <c r="R2179" s="3">
        <f t="shared" si="175"/>
        <v>106895.78000000003</v>
      </c>
      <c r="S2179" s="24" t="s">
        <v>1334</v>
      </c>
      <c r="T2179" s="24" t="s">
        <v>1334</v>
      </c>
      <c r="U2179" s="53"/>
      <c r="V2179" s="25">
        <f>IFERROR(VLOOKUP(BCP_Soles[[#This Row],[destinatario]],CHOOSE({1,2},Clientes_Proveedores[Razon Social],Clientes_Proveedores[Ruc / Dni]),2,0),"")</f>
        <v>20558226979</v>
      </c>
      <c r="W2179" s="25" t="s">
        <v>1345</v>
      </c>
      <c r="X2179" s="25"/>
      <c r="Y2179" s="25"/>
      <c r="Z2179" s="75"/>
      <c r="AA2179" s="3" t="str">
        <f>IF(BCP_Soles[[#This Row],[fecha]]&gt;0,TEXT(BCP_Soles[[#This Row],[fecha]],"mmmm"),0)</f>
        <v>Junio</v>
      </c>
    </row>
    <row r="2180" spans="1:27" ht="24" x14ac:dyDescent="0.3">
      <c r="A2180" s="2">
        <f>IF(BCP_Soles[[#This Row],[tipo_registro]]="R",COUNTIFS($C$1:$C2179,"R")+1,A2179)</f>
        <v>1631</v>
      </c>
      <c r="B2180" s="19" t="str">
        <f t="shared" si="176"/>
        <v>B-BCP - Soles</v>
      </c>
      <c r="C2180" s="3" t="s">
        <v>1330</v>
      </c>
      <c r="D2180" s="14">
        <v>45827</v>
      </c>
      <c r="E2180" s="5" t="s">
        <v>1331</v>
      </c>
      <c r="F2180" s="5" t="s">
        <v>1336</v>
      </c>
      <c r="G2180" s="6" t="s">
        <v>249</v>
      </c>
      <c r="H2180" s="6"/>
      <c r="I2180" s="6"/>
      <c r="J2180" s="6"/>
      <c r="K2180" s="7" t="s">
        <v>3474</v>
      </c>
      <c r="L2180" s="8">
        <v>1105363</v>
      </c>
      <c r="M2180" s="8" t="str">
        <f t="shared" si="177"/>
        <v>PEN</v>
      </c>
      <c r="N2180" s="13"/>
      <c r="O2180" s="13">
        <v>40.71</v>
      </c>
      <c r="P2180" s="3">
        <f t="shared" si="178"/>
        <v>0</v>
      </c>
      <c r="Q2180" s="3">
        <f t="shared" si="179"/>
        <v>40.71</v>
      </c>
      <c r="R2180" s="3">
        <f t="shared" si="175"/>
        <v>106855.07000000002</v>
      </c>
      <c r="S2180" s="24"/>
      <c r="T2180" s="24" t="s">
        <v>1334</v>
      </c>
      <c r="U2180" s="80" t="s">
        <v>3475</v>
      </c>
      <c r="V2180" s="101">
        <f>IFERROR(VLOOKUP(BCP_Soles[[#This Row],[destinatario]],CHOOSE({1,2},Clientes_Proveedores[Razon Social],Clientes_Proveedores[Ruc / Dni]),2,0),"")</f>
        <v>20302891452</v>
      </c>
      <c r="W2180" s="26" t="s">
        <v>249</v>
      </c>
      <c r="X2180" s="26"/>
      <c r="Y2180" s="26"/>
      <c r="Z2180" s="76"/>
      <c r="AA2180" s="3" t="str">
        <f>IF(BCP_Soles[[#This Row],[fecha]]&gt;0,TEXT(BCP_Soles[[#This Row],[fecha]],"mmmm"),0)</f>
        <v>Junio</v>
      </c>
    </row>
    <row r="2181" spans="1:27" ht="24" x14ac:dyDescent="0.3">
      <c r="A2181" s="2">
        <f>IF(BCP_Soles[[#This Row],[tipo_registro]]="R",COUNTIFS($C$1:$C2180,"R")+1,A2180)</f>
        <v>1632</v>
      </c>
      <c r="B2181" s="19" t="str">
        <f t="shared" si="176"/>
        <v>B-BCP - Soles</v>
      </c>
      <c r="C2181" s="3" t="s">
        <v>1330</v>
      </c>
      <c r="D2181" s="14">
        <v>45827</v>
      </c>
      <c r="E2181" s="5" t="s">
        <v>1331</v>
      </c>
      <c r="F2181" s="5" t="s">
        <v>1336</v>
      </c>
      <c r="G2181" s="6" t="s">
        <v>249</v>
      </c>
      <c r="H2181" s="6"/>
      <c r="I2181" s="6"/>
      <c r="J2181" s="6"/>
      <c r="K2181" s="7" t="s">
        <v>3476</v>
      </c>
      <c r="L2181" s="8">
        <v>1104378</v>
      </c>
      <c r="M2181" s="8" t="str">
        <f t="shared" si="177"/>
        <v>PEN</v>
      </c>
      <c r="N2181" s="13"/>
      <c r="O2181" s="13">
        <v>849.6</v>
      </c>
      <c r="P2181" s="3">
        <f t="shared" si="178"/>
        <v>0</v>
      </c>
      <c r="Q2181" s="3">
        <f t="shared" si="179"/>
        <v>849.6</v>
      </c>
      <c r="R2181" s="3">
        <f t="shared" si="175"/>
        <v>106005.47000000002</v>
      </c>
      <c r="S2181" s="24"/>
      <c r="T2181" s="24" t="s">
        <v>1334</v>
      </c>
      <c r="U2181" s="80" t="s">
        <v>3477</v>
      </c>
      <c r="V2181" s="101">
        <f>IFERROR(VLOOKUP(BCP_Soles[[#This Row],[destinatario]],CHOOSE({1,2},Clientes_Proveedores[Razon Social],Clientes_Proveedores[Ruc / Dni]),2,0),"")</f>
        <v>20302891452</v>
      </c>
      <c r="W2181" s="26" t="s">
        <v>249</v>
      </c>
      <c r="X2181" s="26"/>
      <c r="Y2181" s="26"/>
      <c r="Z2181" s="76"/>
      <c r="AA2181" s="3" t="str">
        <f>IF(BCP_Soles[[#This Row],[fecha]]&gt;0,TEXT(BCP_Soles[[#This Row],[fecha]],"mmmm"),0)</f>
        <v>Junio</v>
      </c>
    </row>
    <row r="2182" spans="1:27" ht="36" x14ac:dyDescent="0.3">
      <c r="A2182" s="2">
        <f>IF(BCP_Soles[[#This Row],[tipo_registro]]="R",COUNTIFS($C$1:$C2181,"R")+1,A2181)</f>
        <v>1633</v>
      </c>
      <c r="B2182" s="19" t="str">
        <f t="shared" si="176"/>
        <v>B-BCP - Soles</v>
      </c>
      <c r="C2182" s="3" t="s">
        <v>1330</v>
      </c>
      <c r="D2182" s="14">
        <v>45827</v>
      </c>
      <c r="E2182" s="5" t="s">
        <v>1331</v>
      </c>
      <c r="F2182" s="5" t="s">
        <v>1336</v>
      </c>
      <c r="G2182" s="6" t="s">
        <v>985</v>
      </c>
      <c r="H2182" s="6"/>
      <c r="I2182" s="6"/>
      <c r="J2182" s="6"/>
      <c r="K2182" s="7" t="s">
        <v>3478</v>
      </c>
      <c r="L2182" s="8">
        <v>1106342</v>
      </c>
      <c r="M2182" s="8" t="str">
        <f t="shared" si="177"/>
        <v>PEN</v>
      </c>
      <c r="N2182" s="13"/>
      <c r="O2182" s="13">
        <v>3740</v>
      </c>
      <c r="P2182" s="3">
        <f t="shared" si="178"/>
        <v>0</v>
      </c>
      <c r="Q2182" s="3">
        <f t="shared" si="179"/>
        <v>3740</v>
      </c>
      <c r="R2182" s="3">
        <f t="shared" si="175"/>
        <v>102265.47000000002</v>
      </c>
      <c r="S2182" s="24" t="s">
        <v>1334</v>
      </c>
      <c r="T2182" s="24" t="s">
        <v>1334</v>
      </c>
      <c r="U2182" s="80" t="s">
        <v>3479</v>
      </c>
      <c r="V2182" s="101">
        <f>IFERROR(VLOOKUP(BCP_Soles[[#This Row],[destinatario]],CHOOSE({1,2},Clientes_Proveedores[Razon Social],Clientes_Proveedores[Ruc / Dni]),2,0),"")</f>
        <v>20600922310</v>
      </c>
      <c r="W2182" s="26" t="s">
        <v>3480</v>
      </c>
      <c r="X2182" s="26" t="s">
        <v>985</v>
      </c>
      <c r="Y2182" s="26"/>
      <c r="Z2182" s="76"/>
      <c r="AA2182" s="3" t="str">
        <f>IF(BCP_Soles[[#This Row],[fecha]]&gt;0,TEXT(BCP_Soles[[#This Row],[fecha]],"mmmm"),0)</f>
        <v>Junio</v>
      </c>
    </row>
    <row r="2183" spans="1:27" ht="36" x14ac:dyDescent="0.3">
      <c r="A2183" s="2">
        <f>IF(BCP_Soles[[#This Row],[tipo_registro]]="R",COUNTIFS($C$1:$C2182,"R")+1,A2182)</f>
        <v>1633</v>
      </c>
      <c r="B2183" s="19" t="str">
        <f t="shared" si="176"/>
        <v>B-BCP - Soles</v>
      </c>
      <c r="C2183" s="3" t="s">
        <v>1352</v>
      </c>
      <c r="D2183" s="14">
        <v>45827</v>
      </c>
      <c r="E2183" s="5" t="s">
        <v>1331</v>
      </c>
      <c r="F2183" s="5"/>
      <c r="G2183" s="6" t="s">
        <v>985</v>
      </c>
      <c r="H2183" s="6" t="s">
        <v>68</v>
      </c>
      <c r="I2183" s="6" t="s">
        <v>1376</v>
      </c>
      <c r="J2183" s="6">
        <v>99</v>
      </c>
      <c r="K2183" s="7" t="s">
        <v>3481</v>
      </c>
      <c r="L2183" s="8">
        <v>1106342</v>
      </c>
      <c r="M2183" s="8" t="str">
        <f t="shared" si="177"/>
        <v>PEN</v>
      </c>
      <c r="N2183" s="13">
        <v>1928.7</v>
      </c>
      <c r="O2183" s="13"/>
      <c r="P2183" s="3">
        <f t="shared" si="178"/>
        <v>0</v>
      </c>
      <c r="Q2183" s="3">
        <f t="shared" si="179"/>
        <v>0</v>
      </c>
      <c r="R2183" s="3">
        <f t="shared" si="175"/>
        <v>102265.47000000002</v>
      </c>
      <c r="S2183" s="24" t="s">
        <v>1334</v>
      </c>
      <c r="T2183" s="24" t="s">
        <v>1334</v>
      </c>
      <c r="U2183" s="80"/>
      <c r="V2183" s="101">
        <f>IFERROR(VLOOKUP(BCP_Soles[[#This Row],[destinatario]],CHOOSE({1,2},Clientes_Proveedores[Razon Social],Clientes_Proveedores[Ruc / Dni]),2,0),"")</f>
        <v>20600922310</v>
      </c>
      <c r="W2183" s="26"/>
      <c r="X2183" s="26"/>
      <c r="Y2183" s="26"/>
      <c r="Z2183" s="76"/>
      <c r="AA2183" s="3" t="str">
        <f>IF(BCP_Soles[[#This Row],[fecha]]&gt;0,TEXT(BCP_Soles[[#This Row],[fecha]],"mmmm"),0)</f>
        <v>Junio</v>
      </c>
    </row>
    <row r="2184" spans="1:27" ht="36" x14ac:dyDescent="0.3">
      <c r="A2184" s="2">
        <f>IF(BCP_Soles[[#This Row],[tipo_registro]]="R",COUNTIFS($C$1:$C2183,"R")+1,A2183)</f>
        <v>1633</v>
      </c>
      <c r="B2184" s="19" t="str">
        <f t="shared" si="176"/>
        <v>B-BCP - Soles</v>
      </c>
      <c r="C2184" s="3" t="s">
        <v>1352</v>
      </c>
      <c r="D2184" s="14">
        <v>45827</v>
      </c>
      <c r="E2184" s="5" t="s">
        <v>1331</v>
      </c>
      <c r="F2184" s="5"/>
      <c r="G2184" s="6" t="s">
        <v>985</v>
      </c>
      <c r="H2184" s="6" t="s">
        <v>68</v>
      </c>
      <c r="I2184" s="6" t="s">
        <v>1376</v>
      </c>
      <c r="J2184" s="6">
        <v>98</v>
      </c>
      <c r="K2184" s="7" t="s">
        <v>3481</v>
      </c>
      <c r="L2184" s="8">
        <v>1106342</v>
      </c>
      <c r="M2184" s="8" t="str">
        <f t="shared" si="177"/>
        <v>PEN</v>
      </c>
      <c r="N2184" s="13">
        <v>1811.3</v>
      </c>
      <c r="O2184" s="13"/>
      <c r="P2184" s="3">
        <f t="shared" si="178"/>
        <v>0</v>
      </c>
      <c r="Q2184" s="3">
        <f t="shared" si="179"/>
        <v>0</v>
      </c>
      <c r="R2184" s="3">
        <f t="shared" si="175"/>
        <v>102265.47000000002</v>
      </c>
      <c r="S2184" s="24" t="s">
        <v>1334</v>
      </c>
      <c r="T2184" s="24" t="s">
        <v>1334</v>
      </c>
      <c r="U2184" s="80"/>
      <c r="V2184" s="101">
        <f>IFERROR(VLOOKUP(BCP_Soles[[#This Row],[destinatario]],CHOOSE({1,2},Clientes_Proveedores[Razon Social],Clientes_Proveedores[Ruc / Dni]),2,0),"")</f>
        <v>20600922310</v>
      </c>
      <c r="W2184" s="26"/>
      <c r="X2184" s="26"/>
      <c r="Y2184" s="26"/>
      <c r="Z2184" s="76"/>
      <c r="AA2184" s="3" t="str">
        <f>IF(BCP_Soles[[#This Row],[fecha]]&gt;0,TEXT(BCP_Soles[[#This Row],[fecha]],"mmmm"),0)</f>
        <v>Junio</v>
      </c>
    </row>
    <row r="2185" spans="1:27" x14ac:dyDescent="0.3">
      <c r="A2185" s="2">
        <f>IF(BCP_Soles[[#This Row],[tipo_registro]]="R",COUNTIFS($C$1:$C2184,"R")+1,A2184)</f>
        <v>1634</v>
      </c>
      <c r="B2185" s="19" t="str">
        <f t="shared" si="176"/>
        <v>B-BCP - Soles</v>
      </c>
      <c r="C2185" s="3" t="s">
        <v>1330</v>
      </c>
      <c r="D2185" s="14">
        <v>45827</v>
      </c>
      <c r="E2185" s="5" t="s">
        <v>1331</v>
      </c>
      <c r="F2185" s="5" t="s">
        <v>1336</v>
      </c>
      <c r="G2185" s="6" t="s">
        <v>648</v>
      </c>
      <c r="H2185" s="6" t="s">
        <v>68</v>
      </c>
      <c r="I2185" s="6" t="s">
        <v>1655</v>
      </c>
      <c r="J2185" s="6">
        <v>1041465</v>
      </c>
      <c r="K2185" s="7" t="s">
        <v>1848</v>
      </c>
      <c r="L2185" s="8">
        <v>202765</v>
      </c>
      <c r="M2185" s="8" t="str">
        <f t="shared" si="177"/>
        <v>PEN</v>
      </c>
      <c r="N2185" s="13"/>
      <c r="O2185" s="13">
        <v>120.36</v>
      </c>
      <c r="P2185" s="3">
        <f t="shared" si="178"/>
        <v>0</v>
      </c>
      <c r="Q2185" s="3">
        <f t="shared" si="179"/>
        <v>120.36</v>
      </c>
      <c r="R2185" s="3">
        <f t="shared" ref="R2185:R2248" si="180">IFERROR(IF(F2185="SALDO",P2185,R2184+P2185-Q2185),0)</f>
        <v>102145.11000000002</v>
      </c>
      <c r="S2185" s="24" t="s">
        <v>1334</v>
      </c>
      <c r="T2185" s="24" t="s">
        <v>1334</v>
      </c>
      <c r="U2185" s="80" t="s">
        <v>3482</v>
      </c>
      <c r="V2185" s="101">
        <f>IFERROR(VLOOKUP(BCP_Soles[[#This Row],[destinatario]],CHOOSE({1,2},Clientes_Proveedores[Razon Social],Clientes_Proveedores[Ruc / Dni]),2,0),"")</f>
        <v>20265681299</v>
      </c>
      <c r="W2185" s="26" t="s">
        <v>648</v>
      </c>
      <c r="X2185" s="26" t="s">
        <v>3483</v>
      </c>
      <c r="Y2185" s="26"/>
      <c r="Z2185" s="76"/>
      <c r="AA2185" s="3" t="str">
        <f>IF(BCP_Soles[[#This Row],[fecha]]&gt;0,TEXT(BCP_Soles[[#This Row],[fecha]],"mmmm"),0)</f>
        <v>Junio</v>
      </c>
    </row>
    <row r="2186" spans="1:27" ht="24" x14ac:dyDescent="0.3">
      <c r="A2186" s="2">
        <f>IF(BCP_Soles[[#This Row],[tipo_registro]]="R",COUNTIFS($C$1:$C2185,"R")+1,A2185)</f>
        <v>1635</v>
      </c>
      <c r="B2186" s="19" t="str">
        <f t="shared" si="176"/>
        <v>B-BCP - Soles</v>
      </c>
      <c r="C2186" s="3" t="s">
        <v>1330</v>
      </c>
      <c r="D2186" s="14">
        <v>45827</v>
      </c>
      <c r="E2186" s="5" t="s">
        <v>1331</v>
      </c>
      <c r="F2186" s="5" t="s">
        <v>1336</v>
      </c>
      <c r="G2186" s="6" t="s">
        <v>249</v>
      </c>
      <c r="H2186" s="6"/>
      <c r="I2186" s="6"/>
      <c r="J2186" s="6"/>
      <c r="K2186" s="7" t="s">
        <v>3474</v>
      </c>
      <c r="L2186" s="8">
        <v>1202763</v>
      </c>
      <c r="M2186" s="8" t="str">
        <f t="shared" si="177"/>
        <v>PEN</v>
      </c>
      <c r="N2186" s="13"/>
      <c r="O2186" s="13">
        <v>1500</v>
      </c>
      <c r="P2186" s="3">
        <f t="shared" si="178"/>
        <v>0</v>
      </c>
      <c r="Q2186" s="3">
        <f t="shared" si="179"/>
        <v>1500</v>
      </c>
      <c r="R2186" s="3">
        <f t="shared" si="180"/>
        <v>100645.11000000002</v>
      </c>
      <c r="S2186" s="24"/>
      <c r="T2186" s="24" t="s">
        <v>1334</v>
      </c>
      <c r="U2186" s="80" t="s">
        <v>3484</v>
      </c>
      <c r="V2186" s="101">
        <f>IFERROR(VLOOKUP(BCP_Soles[[#This Row],[destinatario]],CHOOSE({1,2},Clientes_Proveedores[Razon Social],Clientes_Proveedores[Ruc / Dni]),2,0),"")</f>
        <v>20302891452</v>
      </c>
      <c r="W2186" s="26" t="s">
        <v>249</v>
      </c>
      <c r="X2186" s="26"/>
      <c r="Y2186" s="26"/>
      <c r="Z2186" s="76"/>
      <c r="AA2186" s="3" t="str">
        <f>IF(BCP_Soles[[#This Row],[fecha]]&gt;0,TEXT(BCP_Soles[[#This Row],[fecha]],"mmmm"),0)</f>
        <v>Junio</v>
      </c>
    </row>
    <row r="2187" spans="1:27" x14ac:dyDescent="0.3">
      <c r="A2187" s="2">
        <f>IF(BCP_Soles[[#This Row],[tipo_registro]]="R",COUNTIFS($C$1:$C2186,"R")+1,A2186)</f>
        <v>1636</v>
      </c>
      <c r="B2187" s="19" t="str">
        <f t="shared" si="176"/>
        <v>B-BCP - Soles</v>
      </c>
      <c r="C2187" s="3" t="s">
        <v>1330</v>
      </c>
      <c r="D2187" s="14">
        <v>45827</v>
      </c>
      <c r="E2187" s="5" t="s">
        <v>1331</v>
      </c>
      <c r="F2187" s="5" t="s">
        <v>1336</v>
      </c>
      <c r="G2187" s="6" t="s">
        <v>196</v>
      </c>
      <c r="H2187" s="6" t="s">
        <v>68</v>
      </c>
      <c r="I2187" s="6" t="s">
        <v>2226</v>
      </c>
      <c r="J2187" s="6">
        <v>6492</v>
      </c>
      <c r="K2187" s="7" t="s">
        <v>2227</v>
      </c>
      <c r="L2187" s="8">
        <v>202764</v>
      </c>
      <c r="M2187" s="8" t="str">
        <f t="shared" si="177"/>
        <v>PEN</v>
      </c>
      <c r="N2187" s="13"/>
      <c r="O2187" s="13">
        <v>162.16</v>
      </c>
      <c r="P2187" s="3">
        <f t="shared" si="178"/>
        <v>0</v>
      </c>
      <c r="Q2187" s="3">
        <f t="shared" si="179"/>
        <v>162.16</v>
      </c>
      <c r="R2187" s="3">
        <f t="shared" si="180"/>
        <v>100482.95000000001</v>
      </c>
      <c r="S2187" s="24" t="s">
        <v>1334</v>
      </c>
      <c r="T2187" s="24" t="s">
        <v>1334</v>
      </c>
      <c r="U2187" s="80" t="s">
        <v>3485</v>
      </c>
      <c r="V2187" s="101">
        <f>IFERROR(VLOOKUP(BCP_Soles[[#This Row],[destinatario]],CHOOSE({1,2},Clientes_Proveedores[Razon Social],Clientes_Proveedores[Ruc / Dni]),2,0),"")</f>
        <v>20100055237</v>
      </c>
      <c r="W2187" s="26" t="s">
        <v>2228</v>
      </c>
      <c r="X2187" s="26" t="s">
        <v>3486</v>
      </c>
      <c r="Y2187" s="26"/>
      <c r="Z2187" s="76"/>
      <c r="AA2187" s="3" t="str">
        <f>IF(BCP_Soles[[#This Row],[fecha]]&gt;0,TEXT(BCP_Soles[[#This Row],[fecha]],"mmmm"),0)</f>
        <v>Junio</v>
      </c>
    </row>
    <row r="2188" spans="1:27" x14ac:dyDescent="0.3">
      <c r="A2188" s="2">
        <f>IF(BCP_Soles[[#This Row],[tipo_registro]]="R",COUNTIFS($C$1:$C2187,"R")+1,A2187)</f>
        <v>1637</v>
      </c>
      <c r="B2188" s="19" t="str">
        <f t="shared" si="176"/>
        <v>B-BCP - Soles</v>
      </c>
      <c r="C2188" s="3" t="s">
        <v>1330</v>
      </c>
      <c r="D2188" s="14">
        <v>45827</v>
      </c>
      <c r="E2188" s="5" t="s">
        <v>1331</v>
      </c>
      <c r="F2188" s="5" t="s">
        <v>1336</v>
      </c>
      <c r="G2188" s="6" t="s">
        <v>196</v>
      </c>
      <c r="H2188" s="6" t="s">
        <v>68</v>
      </c>
      <c r="I2188" s="6" t="s">
        <v>2226</v>
      </c>
      <c r="J2188" s="6">
        <v>6493</v>
      </c>
      <c r="K2188" s="7" t="s">
        <v>2227</v>
      </c>
      <c r="L2188" s="8">
        <v>201785</v>
      </c>
      <c r="M2188" s="8" t="str">
        <f t="shared" si="177"/>
        <v>PEN</v>
      </c>
      <c r="N2188" s="13"/>
      <c r="O2188" s="13">
        <v>352.18</v>
      </c>
      <c r="P2188" s="3">
        <f t="shared" si="178"/>
        <v>0</v>
      </c>
      <c r="Q2188" s="3">
        <f t="shared" si="179"/>
        <v>352.18</v>
      </c>
      <c r="R2188" s="3">
        <f t="shared" si="180"/>
        <v>100130.77000000002</v>
      </c>
      <c r="S2188" s="24" t="s">
        <v>1334</v>
      </c>
      <c r="T2188" s="24" t="s">
        <v>1334</v>
      </c>
      <c r="U2188" s="80" t="s">
        <v>3487</v>
      </c>
      <c r="V2188" s="101">
        <f>IFERROR(VLOOKUP(BCP_Soles[[#This Row],[destinatario]],CHOOSE({1,2},Clientes_Proveedores[Razon Social],Clientes_Proveedores[Ruc / Dni]),2,0),"")</f>
        <v>20100055237</v>
      </c>
      <c r="W2188" s="26" t="s">
        <v>2228</v>
      </c>
      <c r="X2188" s="26" t="s">
        <v>3488</v>
      </c>
      <c r="Y2188" s="26"/>
      <c r="Z2188" s="76"/>
      <c r="AA2188" s="3" t="str">
        <f>IF(BCP_Soles[[#This Row],[fecha]]&gt;0,TEXT(BCP_Soles[[#This Row],[fecha]],"mmmm"),0)</f>
        <v>Junio</v>
      </c>
    </row>
    <row r="2189" spans="1:27" x14ac:dyDescent="0.3">
      <c r="A2189" s="2">
        <f>IF(BCP_Soles[[#This Row],[tipo_registro]]="R",COUNTIFS($C$1:$C2188,"R")+1,A2188)</f>
        <v>1638</v>
      </c>
      <c r="B2189" s="19" t="str">
        <f t="shared" si="176"/>
        <v>B-BCP - Soles</v>
      </c>
      <c r="C2189" s="3" t="s">
        <v>1330</v>
      </c>
      <c r="D2189" s="14">
        <v>45827</v>
      </c>
      <c r="E2189" s="5" t="s">
        <v>1331</v>
      </c>
      <c r="F2189" s="5" t="s">
        <v>1336</v>
      </c>
      <c r="G2189" s="6" t="s">
        <v>196</v>
      </c>
      <c r="H2189" s="6" t="s">
        <v>68</v>
      </c>
      <c r="I2189" s="6" t="s">
        <v>2226</v>
      </c>
      <c r="J2189" s="6">
        <v>6494</v>
      </c>
      <c r="K2189" s="7" t="s">
        <v>2227</v>
      </c>
      <c r="L2189" s="8">
        <v>200379</v>
      </c>
      <c r="M2189" s="8" t="str">
        <f t="shared" si="177"/>
        <v>PEN</v>
      </c>
      <c r="N2189" s="13"/>
      <c r="O2189" s="13">
        <v>77.45</v>
      </c>
      <c r="P2189" s="3">
        <f t="shared" si="178"/>
        <v>0</v>
      </c>
      <c r="Q2189" s="3">
        <f t="shared" si="179"/>
        <v>77.45</v>
      </c>
      <c r="R2189" s="3">
        <f t="shared" si="180"/>
        <v>100053.32000000002</v>
      </c>
      <c r="S2189" s="24" t="s">
        <v>1334</v>
      </c>
      <c r="T2189" s="24" t="s">
        <v>1334</v>
      </c>
      <c r="U2189" s="80" t="s">
        <v>3489</v>
      </c>
      <c r="V2189" s="101">
        <f>IFERROR(VLOOKUP(BCP_Soles[[#This Row],[destinatario]],CHOOSE({1,2},Clientes_Proveedores[Razon Social],Clientes_Proveedores[Ruc / Dni]),2,0),"")</f>
        <v>20100055237</v>
      </c>
      <c r="W2189" s="26" t="s">
        <v>2228</v>
      </c>
      <c r="X2189" s="26" t="s">
        <v>3490</v>
      </c>
      <c r="Y2189" s="26"/>
      <c r="Z2189" s="76"/>
      <c r="AA2189" s="3" t="str">
        <f>IF(BCP_Soles[[#This Row],[fecha]]&gt;0,TEXT(BCP_Soles[[#This Row],[fecha]],"mmmm"),0)</f>
        <v>Junio</v>
      </c>
    </row>
    <row r="2190" spans="1:27" x14ac:dyDescent="0.3">
      <c r="A2190" s="2">
        <f>IF(BCP_Soles[[#This Row],[tipo_registro]]="R",COUNTIFS($C$1:$C2189,"R")+1,A2189)</f>
        <v>1639</v>
      </c>
      <c r="B2190" s="19" t="str">
        <f t="shared" si="176"/>
        <v>B-BCP - Soles</v>
      </c>
      <c r="C2190" s="3" t="s">
        <v>1330</v>
      </c>
      <c r="D2190" s="14">
        <v>45827</v>
      </c>
      <c r="E2190" s="5" t="s">
        <v>1331</v>
      </c>
      <c r="F2190" s="5" t="s">
        <v>1336</v>
      </c>
      <c r="G2190" s="6" t="s">
        <v>196</v>
      </c>
      <c r="H2190" s="6" t="s">
        <v>68</v>
      </c>
      <c r="I2190" s="6" t="s">
        <v>2226</v>
      </c>
      <c r="J2190" s="6">
        <v>6495</v>
      </c>
      <c r="K2190" s="7" t="s">
        <v>2227</v>
      </c>
      <c r="L2190" s="8">
        <v>200378</v>
      </c>
      <c r="M2190" s="8" t="str">
        <f t="shared" si="177"/>
        <v>PEN</v>
      </c>
      <c r="N2190" s="13"/>
      <c r="O2190" s="13">
        <v>302.18</v>
      </c>
      <c r="P2190" s="3">
        <f t="shared" si="178"/>
        <v>0</v>
      </c>
      <c r="Q2190" s="3">
        <f t="shared" si="179"/>
        <v>302.18</v>
      </c>
      <c r="R2190" s="3">
        <f t="shared" si="180"/>
        <v>99751.140000000029</v>
      </c>
      <c r="S2190" s="24" t="s">
        <v>1334</v>
      </c>
      <c r="T2190" s="24" t="s">
        <v>1334</v>
      </c>
      <c r="U2190" s="80" t="s">
        <v>3491</v>
      </c>
      <c r="V2190" s="101">
        <f>IFERROR(VLOOKUP(BCP_Soles[[#This Row],[destinatario]],CHOOSE({1,2},Clientes_Proveedores[Razon Social],Clientes_Proveedores[Ruc / Dni]),2,0),"")</f>
        <v>20100055237</v>
      </c>
      <c r="W2190" s="26" t="s">
        <v>2228</v>
      </c>
      <c r="X2190" s="26" t="s">
        <v>3492</v>
      </c>
      <c r="Y2190" s="26"/>
      <c r="Z2190" s="76"/>
      <c r="AA2190" s="3" t="str">
        <f>IF(BCP_Soles[[#This Row],[fecha]]&gt;0,TEXT(BCP_Soles[[#This Row],[fecha]],"mmmm"),0)</f>
        <v>Junio</v>
      </c>
    </row>
    <row r="2191" spans="1:27" x14ac:dyDescent="0.3">
      <c r="A2191" s="2">
        <f>IF(BCP_Soles[[#This Row],[tipo_registro]]="R",COUNTIFS($C$1:$C2190,"R")+1,A2190)</f>
        <v>1640</v>
      </c>
      <c r="B2191" s="19" t="str">
        <f t="shared" si="176"/>
        <v>B-BCP - Soles</v>
      </c>
      <c r="C2191" s="3" t="s">
        <v>1330</v>
      </c>
      <c r="D2191" s="14">
        <v>45827</v>
      </c>
      <c r="E2191" s="5" t="s">
        <v>1331</v>
      </c>
      <c r="F2191" s="5" t="s">
        <v>1336</v>
      </c>
      <c r="G2191" s="6" t="s">
        <v>196</v>
      </c>
      <c r="H2191" s="6" t="s">
        <v>68</v>
      </c>
      <c r="I2191" s="6" t="s">
        <v>2226</v>
      </c>
      <c r="J2191" s="6">
        <v>6496</v>
      </c>
      <c r="K2191" s="7" t="s">
        <v>2227</v>
      </c>
      <c r="L2191" s="8">
        <v>203760</v>
      </c>
      <c r="M2191" s="8" t="str">
        <f t="shared" si="177"/>
        <v>PEN</v>
      </c>
      <c r="N2191" s="13"/>
      <c r="O2191" s="13">
        <v>41.97</v>
      </c>
      <c r="P2191" s="3">
        <f t="shared" si="178"/>
        <v>0</v>
      </c>
      <c r="Q2191" s="3">
        <f t="shared" si="179"/>
        <v>41.97</v>
      </c>
      <c r="R2191" s="3">
        <f t="shared" si="180"/>
        <v>99709.170000000027</v>
      </c>
      <c r="S2191" s="24" t="s">
        <v>1334</v>
      </c>
      <c r="T2191" s="24" t="s">
        <v>1334</v>
      </c>
      <c r="U2191" s="80" t="s">
        <v>3493</v>
      </c>
      <c r="V2191" s="101">
        <f>IFERROR(VLOOKUP(BCP_Soles[[#This Row],[destinatario]],CHOOSE({1,2},Clientes_Proveedores[Razon Social],Clientes_Proveedores[Ruc / Dni]),2,0),"")</f>
        <v>20100055237</v>
      </c>
      <c r="W2191" s="26" t="s">
        <v>2228</v>
      </c>
      <c r="X2191" s="26" t="s">
        <v>3494</v>
      </c>
      <c r="Y2191" s="26"/>
      <c r="Z2191" s="76"/>
      <c r="AA2191" s="3" t="str">
        <f>IF(BCP_Soles[[#This Row],[fecha]]&gt;0,TEXT(BCP_Soles[[#This Row],[fecha]],"mmmm"),0)</f>
        <v>Junio</v>
      </c>
    </row>
    <row r="2192" spans="1:27" x14ac:dyDescent="0.3">
      <c r="A2192" s="2">
        <f>IF(BCP_Soles[[#This Row],[tipo_registro]]="R",COUNTIFS($C$1:$C2191,"R")+1,A2191)</f>
        <v>1641</v>
      </c>
      <c r="B2192" s="19" t="str">
        <f t="shared" si="176"/>
        <v>B-BCP - Soles</v>
      </c>
      <c r="C2192" s="3" t="s">
        <v>1330</v>
      </c>
      <c r="D2192" s="14">
        <v>45827</v>
      </c>
      <c r="E2192" s="5" t="s">
        <v>1331</v>
      </c>
      <c r="F2192" s="5" t="s">
        <v>1336</v>
      </c>
      <c r="G2192" s="6" t="s">
        <v>196</v>
      </c>
      <c r="H2192" s="6" t="s">
        <v>68</v>
      </c>
      <c r="I2192" s="6" t="s">
        <v>2226</v>
      </c>
      <c r="J2192" s="6">
        <v>6497</v>
      </c>
      <c r="K2192" s="7" t="s">
        <v>2227</v>
      </c>
      <c r="L2192" s="8">
        <v>203264</v>
      </c>
      <c r="M2192" s="8" t="str">
        <f t="shared" si="177"/>
        <v>PEN</v>
      </c>
      <c r="N2192" s="13"/>
      <c r="O2192" s="13">
        <v>1291.8399999999999</v>
      </c>
      <c r="P2192" s="3">
        <f t="shared" si="178"/>
        <v>0</v>
      </c>
      <c r="Q2192" s="3">
        <f t="shared" si="179"/>
        <v>1291.8399999999999</v>
      </c>
      <c r="R2192" s="3">
        <f t="shared" si="180"/>
        <v>98417.330000000031</v>
      </c>
      <c r="S2192" s="24" t="s">
        <v>1334</v>
      </c>
      <c r="T2192" s="24" t="s">
        <v>1334</v>
      </c>
      <c r="U2192" s="80" t="s">
        <v>3495</v>
      </c>
      <c r="V2192" s="101">
        <f>IFERROR(VLOOKUP(BCP_Soles[[#This Row],[destinatario]],CHOOSE({1,2},Clientes_Proveedores[Razon Social],Clientes_Proveedores[Ruc / Dni]),2,0),"")</f>
        <v>20100055237</v>
      </c>
      <c r="W2192" s="26" t="s">
        <v>2228</v>
      </c>
      <c r="X2192" s="26" t="s">
        <v>3496</v>
      </c>
      <c r="Y2192" s="26"/>
      <c r="Z2192" s="76"/>
      <c r="AA2192" s="3" t="str">
        <f>IF(BCP_Soles[[#This Row],[fecha]]&gt;0,TEXT(BCP_Soles[[#This Row],[fecha]],"mmmm"),0)</f>
        <v>Junio</v>
      </c>
    </row>
    <row r="2193" spans="1:27" x14ac:dyDescent="0.3">
      <c r="A2193" s="2">
        <f>IF(BCP_Soles[[#This Row],[tipo_registro]]="R",COUNTIFS($C$1:$C2192,"R")+1,A2192)</f>
        <v>1642</v>
      </c>
      <c r="B2193" s="19" t="str">
        <f t="shared" si="176"/>
        <v>B-BCP - Soles</v>
      </c>
      <c r="C2193" s="3" t="s">
        <v>1330</v>
      </c>
      <c r="D2193" s="14">
        <v>45827</v>
      </c>
      <c r="E2193" s="5" t="s">
        <v>1331</v>
      </c>
      <c r="F2193" s="5" t="s">
        <v>1336</v>
      </c>
      <c r="G2193" s="6" t="s">
        <v>696</v>
      </c>
      <c r="H2193" s="6"/>
      <c r="I2193" s="6"/>
      <c r="J2193" s="6"/>
      <c r="K2193" s="7" t="s">
        <v>3497</v>
      </c>
      <c r="L2193" s="8">
        <v>9399915</v>
      </c>
      <c r="M2193" s="8" t="str">
        <f t="shared" si="177"/>
        <v>PEN</v>
      </c>
      <c r="N2193" s="13"/>
      <c r="O2193" s="13">
        <v>2140.0100000000002</v>
      </c>
      <c r="P2193" s="3">
        <f t="shared" si="178"/>
        <v>0</v>
      </c>
      <c r="Q2193" s="3">
        <f t="shared" si="179"/>
        <v>2140.0100000000002</v>
      </c>
      <c r="R2193" s="3">
        <f t="shared" si="180"/>
        <v>96277.320000000036</v>
      </c>
      <c r="S2193" s="24" t="s">
        <v>1334</v>
      </c>
      <c r="T2193" s="24" t="s">
        <v>1334</v>
      </c>
      <c r="U2193" s="80" t="s">
        <v>3498</v>
      </c>
      <c r="V2193" s="101">
        <f>IFERROR(VLOOKUP(BCP_Soles[[#This Row],[destinatario]],CHOOSE({1,2},Clientes_Proveedores[Razon Social],Clientes_Proveedores[Ruc / Dni]),2,0),"")</f>
        <v>0</v>
      </c>
      <c r="W2193" s="26" t="s">
        <v>1373</v>
      </c>
      <c r="X2193" s="26"/>
      <c r="Y2193" s="26"/>
      <c r="Z2193" s="76"/>
      <c r="AA2193" s="3" t="str">
        <f>IF(BCP_Soles[[#This Row],[fecha]]&gt;0,TEXT(BCP_Soles[[#This Row],[fecha]],"mmmm"),0)</f>
        <v>Junio</v>
      </c>
    </row>
    <row r="2194" spans="1:27" ht="24" x14ac:dyDescent="0.3">
      <c r="A2194" s="2">
        <f>IF(BCP_Soles[[#This Row],[tipo_registro]]="R",COUNTIFS($C$1:$C2193,"R")+1,A2193)</f>
        <v>1642</v>
      </c>
      <c r="B2194" s="19" t="str">
        <f t="shared" si="176"/>
        <v>B-BCP - Soles</v>
      </c>
      <c r="C2194" s="3" t="s">
        <v>1352</v>
      </c>
      <c r="D2194" s="14">
        <v>45827</v>
      </c>
      <c r="E2194" s="5" t="s">
        <v>1331</v>
      </c>
      <c r="F2194" s="5"/>
      <c r="G2194" s="6" t="s">
        <v>692</v>
      </c>
      <c r="H2194" s="6" t="s">
        <v>68</v>
      </c>
      <c r="I2194" s="6" t="s">
        <v>1376</v>
      </c>
      <c r="J2194" s="6">
        <v>5</v>
      </c>
      <c r="K2194" s="7" t="s">
        <v>3497</v>
      </c>
      <c r="L2194" s="8">
        <v>9399915</v>
      </c>
      <c r="M2194" s="8" t="str">
        <f t="shared" si="177"/>
        <v>PEN</v>
      </c>
      <c r="N2194" s="13">
        <v>384.01</v>
      </c>
      <c r="O2194" s="13"/>
      <c r="P2194" s="3">
        <f t="shared" si="178"/>
        <v>0</v>
      </c>
      <c r="Q2194" s="3">
        <f t="shared" si="179"/>
        <v>0</v>
      </c>
      <c r="R2194" s="3">
        <f t="shared" si="180"/>
        <v>96277.320000000036</v>
      </c>
      <c r="S2194" s="24"/>
      <c r="T2194" s="24" t="s">
        <v>1334</v>
      </c>
      <c r="U2194" s="80"/>
      <c r="V2194" s="101">
        <f>IFERROR(VLOOKUP(BCP_Soles[[#This Row],[destinatario]],CHOOSE({1,2},Clientes_Proveedores[Razon Social],Clientes_Proveedores[Ruc / Dni]),2,0),"")</f>
        <v>10736055631</v>
      </c>
      <c r="W2194" s="26"/>
      <c r="X2194" s="26"/>
      <c r="Y2194" s="26"/>
      <c r="Z2194" s="76"/>
      <c r="AA2194" s="3" t="str">
        <f>IF(BCP_Soles[[#This Row],[fecha]]&gt;0,TEXT(BCP_Soles[[#This Row],[fecha]],"mmmm"),0)</f>
        <v>Junio</v>
      </c>
    </row>
    <row r="2195" spans="1:27" ht="24" x14ac:dyDescent="0.3">
      <c r="A2195" s="2">
        <f>IF(BCP_Soles[[#This Row],[tipo_registro]]="R",COUNTIFS($C$1:$C2194,"R")+1,A2194)</f>
        <v>1642</v>
      </c>
      <c r="B2195" s="19" t="str">
        <f t="shared" si="176"/>
        <v>B-BCP - Soles</v>
      </c>
      <c r="C2195" s="3" t="s">
        <v>1352</v>
      </c>
      <c r="D2195" s="14">
        <v>45827</v>
      </c>
      <c r="E2195" s="5" t="s">
        <v>1331</v>
      </c>
      <c r="F2195" s="5"/>
      <c r="G2195" s="6" t="s">
        <v>176</v>
      </c>
      <c r="H2195" s="6" t="s">
        <v>68</v>
      </c>
      <c r="I2195" s="6" t="s">
        <v>1376</v>
      </c>
      <c r="J2195" s="6">
        <v>353</v>
      </c>
      <c r="K2195" s="7" t="s">
        <v>3497</v>
      </c>
      <c r="L2195" s="8">
        <v>9399915</v>
      </c>
      <c r="M2195" s="8" t="str">
        <f t="shared" si="177"/>
        <v>PEN</v>
      </c>
      <c r="N2195" s="13">
        <v>510</v>
      </c>
      <c r="O2195" s="13"/>
      <c r="P2195" s="3">
        <f t="shared" si="178"/>
        <v>0</v>
      </c>
      <c r="Q2195" s="3">
        <f t="shared" si="179"/>
        <v>0</v>
      </c>
      <c r="R2195" s="3">
        <f t="shared" si="180"/>
        <v>96277.320000000036</v>
      </c>
      <c r="S2195" s="24"/>
      <c r="T2195" s="24" t="s">
        <v>1334</v>
      </c>
      <c r="U2195" s="80"/>
      <c r="V2195" s="101">
        <f>IFERROR(VLOOKUP(BCP_Soles[[#This Row],[destinatario]],CHOOSE({1,2},Clientes_Proveedores[Razon Social],Clientes_Proveedores[Ruc / Dni]),2,0),"")</f>
        <v>10470065147</v>
      </c>
      <c r="W2195" s="26"/>
      <c r="X2195" s="26"/>
      <c r="Y2195" s="26"/>
      <c r="Z2195" s="76"/>
      <c r="AA2195" s="3" t="str">
        <f>IF(BCP_Soles[[#This Row],[fecha]]&gt;0,TEXT(BCP_Soles[[#This Row],[fecha]],"mmmm"),0)</f>
        <v>Junio</v>
      </c>
    </row>
    <row r="2196" spans="1:27" ht="24" x14ac:dyDescent="0.3">
      <c r="A2196" s="2">
        <f>IF(BCP_Soles[[#This Row],[tipo_registro]]="R",COUNTIFS($C$1:$C2195,"R")+1,A2195)</f>
        <v>1642</v>
      </c>
      <c r="B2196" s="19" t="str">
        <f t="shared" si="176"/>
        <v>B-BCP - Soles</v>
      </c>
      <c r="C2196" s="3" t="s">
        <v>1352</v>
      </c>
      <c r="D2196" s="14">
        <v>45827</v>
      </c>
      <c r="E2196" s="5" t="s">
        <v>1331</v>
      </c>
      <c r="F2196" s="5"/>
      <c r="G2196" s="6" t="s">
        <v>692</v>
      </c>
      <c r="H2196" s="6" t="s">
        <v>68</v>
      </c>
      <c r="I2196" s="6" t="s">
        <v>1376</v>
      </c>
      <c r="J2196" s="6">
        <v>3</v>
      </c>
      <c r="K2196" s="7" t="s">
        <v>3497</v>
      </c>
      <c r="L2196" s="8">
        <v>9399915</v>
      </c>
      <c r="M2196" s="8" t="str">
        <f t="shared" si="177"/>
        <v>PEN</v>
      </c>
      <c r="N2196" s="13">
        <v>453</v>
      </c>
      <c r="O2196" s="13"/>
      <c r="P2196" s="3">
        <f t="shared" si="178"/>
        <v>0</v>
      </c>
      <c r="Q2196" s="3">
        <f t="shared" si="179"/>
        <v>0</v>
      </c>
      <c r="R2196" s="3">
        <f t="shared" si="180"/>
        <v>96277.320000000036</v>
      </c>
      <c r="S2196" s="24"/>
      <c r="T2196" s="24" t="s">
        <v>1334</v>
      </c>
      <c r="U2196" s="80"/>
      <c r="V2196" s="101">
        <f>IFERROR(VLOOKUP(BCP_Soles[[#This Row],[destinatario]],CHOOSE({1,2},Clientes_Proveedores[Razon Social],Clientes_Proveedores[Ruc / Dni]),2,0),"")</f>
        <v>10736055631</v>
      </c>
      <c r="W2196" s="26"/>
      <c r="X2196" s="26"/>
      <c r="Y2196" s="26"/>
      <c r="Z2196" s="76"/>
      <c r="AA2196" s="3" t="str">
        <f>IF(BCP_Soles[[#This Row],[fecha]]&gt;0,TEXT(BCP_Soles[[#This Row],[fecha]],"mmmm"),0)</f>
        <v>Junio</v>
      </c>
    </row>
    <row r="2197" spans="1:27" ht="24" x14ac:dyDescent="0.3">
      <c r="A2197" s="2">
        <f>IF(BCP_Soles[[#This Row],[tipo_registro]]="R",COUNTIFS($C$1:$C2196,"R")+1,A2196)</f>
        <v>1642</v>
      </c>
      <c r="B2197" s="19" t="str">
        <f t="shared" si="176"/>
        <v>B-BCP - Soles</v>
      </c>
      <c r="C2197" s="3" t="s">
        <v>1352</v>
      </c>
      <c r="D2197" s="14">
        <v>45827</v>
      </c>
      <c r="E2197" s="5" t="s">
        <v>1331</v>
      </c>
      <c r="F2197" s="5"/>
      <c r="G2197" s="6" t="s">
        <v>692</v>
      </c>
      <c r="H2197" s="6" t="s">
        <v>68</v>
      </c>
      <c r="I2197" s="6" t="s">
        <v>1376</v>
      </c>
      <c r="J2197" s="6">
        <v>4</v>
      </c>
      <c r="K2197" s="7" t="s">
        <v>3497</v>
      </c>
      <c r="L2197" s="8">
        <v>9399915</v>
      </c>
      <c r="M2197" s="8" t="str">
        <f t="shared" si="177"/>
        <v>PEN</v>
      </c>
      <c r="N2197" s="13">
        <v>793</v>
      </c>
      <c r="O2197" s="13"/>
      <c r="P2197" s="3">
        <f t="shared" si="178"/>
        <v>0</v>
      </c>
      <c r="Q2197" s="3">
        <f t="shared" si="179"/>
        <v>0</v>
      </c>
      <c r="R2197" s="3">
        <f t="shared" si="180"/>
        <v>96277.320000000036</v>
      </c>
      <c r="S2197" s="24"/>
      <c r="T2197" s="24" t="s">
        <v>1334</v>
      </c>
      <c r="U2197" s="80"/>
      <c r="V2197" s="101">
        <f>IFERROR(VLOOKUP(BCP_Soles[[#This Row],[destinatario]],CHOOSE({1,2},Clientes_Proveedores[Razon Social],Clientes_Proveedores[Ruc / Dni]),2,0),"")</f>
        <v>10736055631</v>
      </c>
      <c r="W2197" s="26"/>
      <c r="X2197" s="26"/>
      <c r="Y2197" s="26"/>
      <c r="Z2197" s="76"/>
      <c r="AA2197" s="3" t="str">
        <f>IF(BCP_Soles[[#This Row],[fecha]]&gt;0,TEXT(BCP_Soles[[#This Row],[fecha]],"mmmm"),0)</f>
        <v>Junio</v>
      </c>
    </row>
    <row r="2198" spans="1:27" x14ac:dyDescent="0.3">
      <c r="A2198" s="2">
        <f>IF(BCP_Soles[[#This Row],[tipo_registro]]="R",COUNTIFS($C$1:$C2197,"R")+1,A2197)</f>
        <v>1643</v>
      </c>
      <c r="B2198" s="19" t="str">
        <f t="shared" ref="B2198:B2263" si="181">"B-BCP - Soles"</f>
        <v>B-BCP - Soles</v>
      </c>
      <c r="C2198" s="3" t="s">
        <v>1330</v>
      </c>
      <c r="D2198" s="14">
        <v>45827</v>
      </c>
      <c r="E2198" s="5" t="s">
        <v>1331</v>
      </c>
      <c r="F2198" s="5" t="s">
        <v>1336</v>
      </c>
      <c r="G2198" s="6"/>
      <c r="H2198" s="6"/>
      <c r="I2198" s="6"/>
      <c r="J2198" s="6"/>
      <c r="K2198" s="7" t="s">
        <v>3499</v>
      </c>
      <c r="L2198" s="8">
        <v>1015696</v>
      </c>
      <c r="M2198" s="8" t="str">
        <f t="shared" ref="M2198:M2263" si="182">"PEN"</f>
        <v>PEN</v>
      </c>
      <c r="N2198" s="13"/>
      <c r="O2198" s="13">
        <v>4669</v>
      </c>
      <c r="P2198" s="3">
        <f t="shared" ref="P2198:P2263" si="183">+IF(OR($F2198="SALDO",$F2198="INGRESO"),$O2198,0)</f>
        <v>0</v>
      </c>
      <c r="Q2198" s="3">
        <f t="shared" ref="Q2198:Q2263" si="184">+IF($F2198="EGRESO",$O2198,0)</f>
        <v>4669</v>
      </c>
      <c r="R2198" s="3">
        <f t="shared" si="180"/>
        <v>91608.320000000036</v>
      </c>
      <c r="S2198" s="24"/>
      <c r="T2198" s="24"/>
      <c r="U2198" s="53"/>
      <c r="V2198" s="25" t="str">
        <f>IFERROR(VLOOKUP(BCP_Soles[[#This Row],[destinatario]],CHOOSE({1,2},Clientes_Proveedores[Razon Social],Clientes_Proveedores[Ruc / Dni]),2,0),"")</f>
        <v/>
      </c>
      <c r="W2198" s="25"/>
      <c r="X2198" s="25"/>
      <c r="Y2198" s="25"/>
      <c r="Z2198" s="75"/>
      <c r="AA2198" s="3" t="str">
        <f>IF(BCP_Soles[[#This Row],[fecha]]&gt;0,TEXT(BCP_Soles[[#This Row],[fecha]],"mmmm"),0)</f>
        <v>Junio</v>
      </c>
    </row>
    <row r="2199" spans="1:27" x14ac:dyDescent="0.3">
      <c r="A2199" s="2">
        <f>IF(BCP_Soles[[#This Row],[tipo_registro]]="R",COUNTIFS($C$1:$C2198,"R")+1,A2198)</f>
        <v>1644</v>
      </c>
      <c r="B2199" s="19" t="str">
        <f t="shared" si="181"/>
        <v>B-BCP - Soles</v>
      </c>
      <c r="C2199" s="3" t="s">
        <v>1330</v>
      </c>
      <c r="D2199" s="14">
        <v>45827</v>
      </c>
      <c r="E2199" s="5" t="s">
        <v>1331</v>
      </c>
      <c r="F2199" s="5" t="s">
        <v>1336</v>
      </c>
      <c r="G2199" s="6" t="s">
        <v>425</v>
      </c>
      <c r="H2199" s="6"/>
      <c r="I2199" s="6"/>
      <c r="J2199" s="6"/>
      <c r="K2199" s="7" t="s">
        <v>3500</v>
      </c>
      <c r="L2199" s="8">
        <v>1226237</v>
      </c>
      <c r="M2199" s="8" t="str">
        <f t="shared" si="182"/>
        <v>PEN</v>
      </c>
      <c r="N2199" s="13"/>
      <c r="O2199" s="13">
        <v>89975</v>
      </c>
      <c r="P2199" s="3">
        <f t="shared" si="183"/>
        <v>0</v>
      </c>
      <c r="Q2199" s="3">
        <f t="shared" si="184"/>
        <v>89975</v>
      </c>
      <c r="R2199" s="3">
        <f t="shared" si="180"/>
        <v>1633.3200000000361</v>
      </c>
      <c r="S2199" s="24" t="s">
        <v>1334</v>
      </c>
      <c r="T2199" s="24" t="s">
        <v>1334</v>
      </c>
      <c r="U2199" s="80" t="s">
        <v>3501</v>
      </c>
      <c r="V2199" s="101">
        <f>IFERROR(VLOOKUP(BCP_Soles[[#This Row],[destinatario]],CHOOSE({1,2},Clientes_Proveedores[Razon Social],Clientes_Proveedores[Ruc / Dni]),2,0),"")</f>
        <v>20558226979</v>
      </c>
      <c r="W2199" s="26" t="s">
        <v>1345</v>
      </c>
      <c r="X2199" s="26"/>
      <c r="Y2199" s="26"/>
      <c r="Z2199" s="76"/>
      <c r="AA2199" s="3" t="str">
        <f>IF(BCP_Soles[[#This Row],[fecha]]&gt;0,TEXT(BCP_Soles[[#This Row],[fecha]],"mmmm"),0)</f>
        <v>Junio</v>
      </c>
    </row>
    <row r="2200" spans="1:27" x14ac:dyDescent="0.3">
      <c r="A2200" s="2">
        <f>IF(BCP_Soles[[#This Row],[tipo_registro]]="R",COUNTIFS($C$1:$C2199,"R")+1,A2199)</f>
        <v>1645</v>
      </c>
      <c r="B2200" s="19" t="str">
        <f t="shared" si="181"/>
        <v>B-BCP - Soles</v>
      </c>
      <c r="C2200" s="3" t="s">
        <v>1330</v>
      </c>
      <c r="D2200" s="14">
        <v>45827</v>
      </c>
      <c r="E2200" s="5" t="s">
        <v>1331</v>
      </c>
      <c r="F2200" s="5" t="s">
        <v>1336</v>
      </c>
      <c r="G2200" s="6" t="s">
        <v>425</v>
      </c>
      <c r="H2200" s="6"/>
      <c r="I2200" s="6"/>
      <c r="J2200" s="6"/>
      <c r="K2200" s="7" t="s">
        <v>3502</v>
      </c>
      <c r="L2200" s="8">
        <v>1227887</v>
      </c>
      <c r="M2200" s="8" t="str">
        <f t="shared" si="182"/>
        <v>PEN</v>
      </c>
      <c r="N2200" s="13"/>
      <c r="O2200" s="13">
        <v>901.75</v>
      </c>
      <c r="P2200" s="3">
        <f t="shared" si="183"/>
        <v>0</v>
      </c>
      <c r="Q2200" s="3">
        <f t="shared" si="184"/>
        <v>901.75</v>
      </c>
      <c r="R2200" s="3">
        <f t="shared" si="180"/>
        <v>731.57000000003609</v>
      </c>
      <c r="S2200" s="24" t="s">
        <v>1334</v>
      </c>
      <c r="T2200" s="24" t="s">
        <v>1334</v>
      </c>
      <c r="U2200" s="80" t="s">
        <v>3503</v>
      </c>
      <c r="V2200" s="101">
        <f>IFERROR(VLOOKUP(BCP_Soles[[#This Row],[destinatario]],CHOOSE({1,2},Clientes_Proveedores[Razon Social],Clientes_Proveedores[Ruc / Dni]),2,0),"")</f>
        <v>20558226979</v>
      </c>
      <c r="W2200" s="26" t="s">
        <v>1345</v>
      </c>
      <c r="X2200" s="26"/>
      <c r="Y2200" s="26"/>
      <c r="Z2200" s="76"/>
      <c r="AA2200" s="3" t="str">
        <f>IF(BCP_Soles[[#This Row],[fecha]]&gt;0,TEXT(BCP_Soles[[#This Row],[fecha]],"mmmm"),0)</f>
        <v>Junio</v>
      </c>
    </row>
    <row r="2201" spans="1:27" ht="24" x14ac:dyDescent="0.3">
      <c r="A2201" s="2">
        <f>IF(BCP_Soles[[#This Row],[tipo_registro]]="R",COUNTIFS($C$1:$C2200,"R")+1,A2200)</f>
        <v>1646</v>
      </c>
      <c r="B2201" s="19" t="str">
        <f t="shared" si="181"/>
        <v>B-BCP - Soles</v>
      </c>
      <c r="C2201" s="3" t="s">
        <v>1330</v>
      </c>
      <c r="D2201" s="14">
        <v>45827</v>
      </c>
      <c r="E2201" s="5" t="s">
        <v>1335</v>
      </c>
      <c r="F2201" s="5" t="s">
        <v>1336</v>
      </c>
      <c r="G2201" s="6" t="s">
        <v>1060</v>
      </c>
      <c r="H2201" s="6"/>
      <c r="I2201" s="6"/>
      <c r="J2201" s="6"/>
      <c r="K2201" s="7" t="s">
        <v>1400</v>
      </c>
      <c r="L2201" s="8">
        <v>439</v>
      </c>
      <c r="M2201" s="8" t="str">
        <f t="shared" si="182"/>
        <v>PEN</v>
      </c>
      <c r="N2201" s="13"/>
      <c r="O2201" s="13">
        <v>10</v>
      </c>
      <c r="P2201" s="3">
        <f t="shared" si="183"/>
        <v>0</v>
      </c>
      <c r="Q2201" s="3">
        <f t="shared" si="184"/>
        <v>10</v>
      </c>
      <c r="R2201" s="3">
        <f t="shared" si="180"/>
        <v>721.57000000003609</v>
      </c>
      <c r="S2201" s="24"/>
      <c r="T2201" s="24"/>
      <c r="U2201" s="53"/>
      <c r="V2201" s="25">
        <f>IFERROR(VLOOKUP(BCP_Soles[[#This Row],[destinatario]],CHOOSE({1,2},Clientes_Proveedores[Razon Social],Clientes_Proveedores[Ruc / Dni]),2,0),"")</f>
        <v>20100047218</v>
      </c>
      <c r="W2201" s="25"/>
      <c r="X2201" s="25"/>
      <c r="Y2201" s="25"/>
      <c r="Z2201" s="75"/>
      <c r="AA2201" s="3" t="str">
        <f>IF(BCP_Soles[[#This Row],[fecha]]&gt;0,TEXT(BCP_Soles[[#This Row],[fecha]],"mmmm"),0)</f>
        <v>Junio</v>
      </c>
    </row>
    <row r="2202" spans="1:27" x14ac:dyDescent="0.3">
      <c r="A2202" s="2">
        <f>IF(BCP_Soles[[#This Row],[tipo_registro]]="R",COUNTIFS($C$1:$C2201,"R")+1,A2201)</f>
        <v>1647</v>
      </c>
      <c r="B2202" s="19" t="str">
        <f t="shared" si="181"/>
        <v>B-BCP - Soles</v>
      </c>
      <c r="C2202" s="3" t="s">
        <v>1330</v>
      </c>
      <c r="D2202" s="14">
        <v>45827</v>
      </c>
      <c r="E2202" s="5" t="s">
        <v>1335</v>
      </c>
      <c r="F2202" s="5" t="s">
        <v>1336</v>
      </c>
      <c r="G2202" s="6"/>
      <c r="H2202" s="6"/>
      <c r="I2202" s="6"/>
      <c r="J2202" s="6"/>
      <c r="K2202" s="7" t="s">
        <v>3160</v>
      </c>
      <c r="L2202" s="8"/>
      <c r="M2202" s="8" t="str">
        <f t="shared" si="182"/>
        <v>PEN</v>
      </c>
      <c r="N2202" s="13"/>
      <c r="O2202" s="13">
        <v>0.65</v>
      </c>
      <c r="P2202" s="3">
        <f t="shared" si="183"/>
        <v>0</v>
      </c>
      <c r="Q2202" s="3">
        <f t="shared" si="184"/>
        <v>0.65</v>
      </c>
      <c r="R2202" s="3">
        <f t="shared" si="180"/>
        <v>720.92000000003611</v>
      </c>
      <c r="S2202" s="24"/>
      <c r="T2202" s="24" t="s">
        <v>1334</v>
      </c>
      <c r="U2202" s="53"/>
      <c r="V2202" s="25" t="str">
        <f>IFERROR(VLOOKUP(BCP_Soles[[#This Row],[destinatario]],CHOOSE({1,2},Clientes_Proveedores[Razon Social],Clientes_Proveedores[Ruc / Dni]),2,0),"")</f>
        <v/>
      </c>
      <c r="W2202" s="25"/>
      <c r="X2202" s="25"/>
      <c r="Y2202" s="25"/>
      <c r="Z2202" s="75"/>
      <c r="AA2202" s="3" t="str">
        <f>IF(BCP_Soles[[#This Row],[fecha]]&gt;0,TEXT(BCP_Soles[[#This Row],[fecha]],"mmmm"),0)</f>
        <v>Junio</v>
      </c>
    </row>
    <row r="2203" spans="1:27" x14ac:dyDescent="0.3">
      <c r="A2203" s="2">
        <f>IF(BCP_Soles[[#This Row],[tipo_registro]]="R",COUNTIFS($C$1:$C2202,"R")+1,A2202)</f>
        <v>1648</v>
      </c>
      <c r="B2203" s="19" t="str">
        <f t="shared" si="181"/>
        <v>B-BCP - Soles</v>
      </c>
      <c r="C2203" s="3" t="s">
        <v>1330</v>
      </c>
      <c r="D2203" s="14">
        <v>45828</v>
      </c>
      <c r="E2203" s="5" t="s">
        <v>206</v>
      </c>
      <c r="F2203" s="5" t="s">
        <v>1303</v>
      </c>
      <c r="G2203" s="6" t="s">
        <v>425</v>
      </c>
      <c r="H2203" s="6" t="s">
        <v>68</v>
      </c>
      <c r="I2203" s="6" t="s">
        <v>1784</v>
      </c>
      <c r="J2203" s="6">
        <v>105</v>
      </c>
      <c r="K2203" s="7" t="s">
        <v>3504</v>
      </c>
      <c r="L2203" s="8">
        <v>9637584</v>
      </c>
      <c r="M2203" s="8" t="str">
        <f t="shared" si="182"/>
        <v>PEN</v>
      </c>
      <c r="N2203" s="13"/>
      <c r="O2203" s="13">
        <v>6908.82</v>
      </c>
      <c r="P2203" s="3">
        <f t="shared" si="183"/>
        <v>6908.82</v>
      </c>
      <c r="Q2203" s="3">
        <f t="shared" si="184"/>
        <v>0</v>
      </c>
      <c r="R2203" s="3">
        <f t="shared" si="180"/>
        <v>7629.7400000000362</v>
      </c>
      <c r="S2203" s="24" t="s">
        <v>1334</v>
      </c>
      <c r="T2203" s="24" t="s">
        <v>1334</v>
      </c>
      <c r="U2203" s="53"/>
      <c r="V2203" s="25">
        <f>IFERROR(VLOOKUP(BCP_Soles[[#This Row],[destinatario]],CHOOSE({1,2},Clientes_Proveedores[Razon Social],Clientes_Proveedores[Ruc / Dni]),2,0),"")</f>
        <v>20558226979</v>
      </c>
      <c r="W2203" s="25" t="s">
        <v>1345</v>
      </c>
      <c r="X2203" s="25" t="s">
        <v>3505</v>
      </c>
      <c r="Y2203" s="25"/>
      <c r="Z2203" s="75"/>
      <c r="AA2203" s="3" t="str">
        <f>IF(BCP_Soles[[#This Row],[fecha]]&gt;0,TEXT(BCP_Soles[[#This Row],[fecha]],"mmmm"),0)</f>
        <v>Junio</v>
      </c>
    </row>
    <row r="2204" spans="1:27" x14ac:dyDescent="0.3">
      <c r="A2204" s="2">
        <f>IF(BCP_Soles[[#This Row],[tipo_registro]]="R",COUNTIFS($C$1:$C2203,"R")+1,A2203)</f>
        <v>1649</v>
      </c>
      <c r="B2204" s="19" t="str">
        <f t="shared" si="181"/>
        <v>B-BCP - Soles</v>
      </c>
      <c r="C2204" s="3" t="s">
        <v>1330</v>
      </c>
      <c r="D2204" s="14">
        <v>45828</v>
      </c>
      <c r="E2204" s="5"/>
      <c r="F2204" s="5" t="s">
        <v>1303</v>
      </c>
      <c r="G2204" s="6" t="s">
        <v>425</v>
      </c>
      <c r="H2204" s="6"/>
      <c r="I2204" s="6"/>
      <c r="J2204" s="6"/>
      <c r="K2204" s="7" t="s">
        <v>1634</v>
      </c>
      <c r="L2204" s="8">
        <v>2461000</v>
      </c>
      <c r="M2204" s="8" t="str">
        <f t="shared" si="182"/>
        <v>PEN</v>
      </c>
      <c r="N2204" s="13"/>
      <c r="O2204" s="13">
        <v>6000</v>
      </c>
      <c r="P2204" s="3">
        <f t="shared" si="183"/>
        <v>6000</v>
      </c>
      <c r="Q2204" s="3">
        <f t="shared" si="184"/>
        <v>0</v>
      </c>
      <c r="R2204" s="3">
        <f t="shared" si="180"/>
        <v>13629.740000000036</v>
      </c>
      <c r="S2204" s="24"/>
      <c r="T2204" s="24"/>
      <c r="U2204" s="53"/>
      <c r="V2204" s="25">
        <f>IFERROR(VLOOKUP(BCP_Soles[[#This Row],[destinatario]],CHOOSE({1,2},Clientes_Proveedores[Razon Social],Clientes_Proveedores[Ruc / Dni]),2,0),"")</f>
        <v>20558226979</v>
      </c>
      <c r="W2204" s="25"/>
      <c r="X2204" s="25"/>
      <c r="Y2204" s="25"/>
      <c r="Z2204" s="75"/>
      <c r="AA2204" s="3" t="str">
        <f>IF(BCP_Soles[[#This Row],[fecha]]&gt;0,TEXT(BCP_Soles[[#This Row],[fecha]],"mmmm"),0)</f>
        <v>Junio</v>
      </c>
    </row>
    <row r="2205" spans="1:27" ht="24" x14ac:dyDescent="0.3">
      <c r="A2205" s="2">
        <f>IF(BCP_Soles[[#This Row],[tipo_registro]]="R",COUNTIFS($C$1:$C2204,"R")+1,A2204)</f>
        <v>1650</v>
      </c>
      <c r="B2205" s="19" t="str">
        <f t="shared" si="181"/>
        <v>B-BCP - Soles</v>
      </c>
      <c r="C2205" s="3" t="s">
        <v>1330</v>
      </c>
      <c r="D2205" s="14">
        <v>45828</v>
      </c>
      <c r="E2205" s="5" t="s">
        <v>2009</v>
      </c>
      <c r="F2205" s="5" t="s">
        <v>1303</v>
      </c>
      <c r="G2205" s="6" t="s">
        <v>425</v>
      </c>
      <c r="H2205" s="6" t="s">
        <v>119</v>
      </c>
      <c r="I2205" s="6">
        <v>1</v>
      </c>
      <c r="J2205" s="6">
        <v>4526</v>
      </c>
      <c r="K2205" s="7" t="s">
        <v>1356</v>
      </c>
      <c r="L2205" s="8">
        <v>2005038</v>
      </c>
      <c r="M2205" s="8" t="str">
        <f t="shared" si="182"/>
        <v>PEN</v>
      </c>
      <c r="N2205" s="13"/>
      <c r="O2205" s="13">
        <v>1930</v>
      </c>
      <c r="P2205" s="3">
        <f t="shared" si="183"/>
        <v>1930</v>
      </c>
      <c r="Q2205" s="3">
        <f t="shared" si="184"/>
        <v>0</v>
      </c>
      <c r="R2205" s="3">
        <f t="shared" si="180"/>
        <v>15559.740000000036</v>
      </c>
      <c r="S2205" s="24" t="s">
        <v>1334</v>
      </c>
      <c r="T2205" s="24" t="s">
        <v>1334</v>
      </c>
      <c r="U2205" s="53"/>
      <c r="V2205" s="25">
        <f>IFERROR(VLOOKUP(BCP_Soles[[#This Row],[destinatario]],CHOOSE({1,2},Clientes_Proveedores[Razon Social],Clientes_Proveedores[Ruc / Dni]),2,0),"")</f>
        <v>20558226979</v>
      </c>
      <c r="W2205" s="25" t="s">
        <v>1345</v>
      </c>
      <c r="X2205" s="25"/>
      <c r="Y2205" s="25"/>
      <c r="Z2205" s="75"/>
      <c r="AA2205" s="3" t="str">
        <f>IF(BCP_Soles[[#This Row],[fecha]]&gt;0,TEXT(BCP_Soles[[#This Row],[fecha]],"mmmm"),0)</f>
        <v>Junio</v>
      </c>
    </row>
    <row r="2206" spans="1:27" ht="36" x14ac:dyDescent="0.3">
      <c r="A2206" s="2">
        <f>IF(BCP_Soles[[#This Row],[tipo_registro]]="R",COUNTIFS($C$1:$C2205,"R")+1,A2205)</f>
        <v>1651</v>
      </c>
      <c r="B2206" s="19" t="str">
        <f t="shared" si="181"/>
        <v>B-BCP - Soles</v>
      </c>
      <c r="C2206" s="3" t="s">
        <v>1330</v>
      </c>
      <c r="D2206" s="14">
        <v>45828</v>
      </c>
      <c r="E2206" s="5" t="s">
        <v>555</v>
      </c>
      <c r="F2206" s="5" t="s">
        <v>1303</v>
      </c>
      <c r="G2206" s="6" t="s">
        <v>425</v>
      </c>
      <c r="H2206" s="6" t="s">
        <v>68</v>
      </c>
      <c r="I2206" s="6" t="s">
        <v>3381</v>
      </c>
      <c r="J2206" s="6">
        <v>34</v>
      </c>
      <c r="K2206" s="7" t="s">
        <v>3506</v>
      </c>
      <c r="L2206" s="8">
        <v>9760219</v>
      </c>
      <c r="M2206" s="8" t="str">
        <f t="shared" si="182"/>
        <v>PEN</v>
      </c>
      <c r="N2206" s="13"/>
      <c r="O2206" s="13">
        <v>705.72</v>
      </c>
      <c r="P2206" s="3">
        <f t="shared" si="183"/>
        <v>705.72</v>
      </c>
      <c r="Q2206" s="3">
        <f t="shared" si="184"/>
        <v>0</v>
      </c>
      <c r="R2206" s="3">
        <f t="shared" si="180"/>
        <v>16265.460000000036</v>
      </c>
      <c r="S2206" s="24" t="s">
        <v>1334</v>
      </c>
      <c r="T2206" s="24" t="s">
        <v>1334</v>
      </c>
      <c r="U2206" s="53"/>
      <c r="V2206" s="25">
        <f>IFERROR(VLOOKUP(BCP_Soles[[#This Row],[destinatario]],CHOOSE({1,2},Clientes_Proveedores[Razon Social],Clientes_Proveedores[Ruc / Dni]),2,0),"")</f>
        <v>20558226979</v>
      </c>
      <c r="W2206" s="25" t="s">
        <v>1345</v>
      </c>
      <c r="X2206" s="25" t="s">
        <v>3507</v>
      </c>
      <c r="Y2206" s="25"/>
      <c r="Z2206" s="75"/>
      <c r="AA2206" s="3" t="str">
        <f>IF(BCP_Soles[[#This Row],[fecha]]&gt;0,TEXT(BCP_Soles[[#This Row],[fecha]],"mmmm"),0)</f>
        <v>Junio</v>
      </c>
    </row>
    <row r="2207" spans="1:27" ht="24" x14ac:dyDescent="0.3">
      <c r="A2207" s="2">
        <f>IF(BCP_Soles[[#This Row],[tipo_registro]]="R",COUNTIFS($C$1:$C2206,"R")+1,A2206)</f>
        <v>1652</v>
      </c>
      <c r="B2207" s="19" t="str">
        <f t="shared" si="181"/>
        <v>B-BCP - Soles</v>
      </c>
      <c r="C2207" s="3" t="s">
        <v>1330</v>
      </c>
      <c r="D2207" s="14">
        <v>45828</v>
      </c>
      <c r="E2207" s="5" t="s">
        <v>1696</v>
      </c>
      <c r="F2207" s="5" t="s">
        <v>1303</v>
      </c>
      <c r="G2207" s="6" t="s">
        <v>425</v>
      </c>
      <c r="H2207" s="6"/>
      <c r="I2207" s="6"/>
      <c r="J2207" s="6"/>
      <c r="K2207" s="7" t="s">
        <v>1356</v>
      </c>
      <c r="L2207" s="8">
        <v>1943737</v>
      </c>
      <c r="M2207" s="8" t="str">
        <f t="shared" si="182"/>
        <v>PEN</v>
      </c>
      <c r="N2207" s="13"/>
      <c r="O2207" s="13">
        <v>270</v>
      </c>
      <c r="P2207" s="3">
        <f t="shared" si="183"/>
        <v>270</v>
      </c>
      <c r="Q2207" s="3">
        <f t="shared" si="184"/>
        <v>0</v>
      </c>
      <c r="R2207" s="3">
        <f t="shared" si="180"/>
        <v>16535.460000000036</v>
      </c>
      <c r="S2207" s="24" t="s">
        <v>1334</v>
      </c>
      <c r="T2207" s="24" t="s">
        <v>1334</v>
      </c>
      <c r="U2207" s="53"/>
      <c r="V2207" s="25">
        <f>IFERROR(VLOOKUP(BCP_Soles[[#This Row],[destinatario]],CHOOSE({1,2},Clientes_Proveedores[Razon Social],Clientes_Proveedores[Ruc / Dni]),2,0),"")</f>
        <v>20558226979</v>
      </c>
      <c r="W2207" s="25" t="s">
        <v>1345</v>
      </c>
      <c r="X2207" s="25"/>
      <c r="Y2207" s="25"/>
      <c r="Z2207" s="75"/>
      <c r="AA2207" s="3" t="str">
        <f>IF(BCP_Soles[[#This Row],[fecha]]&gt;0,TEXT(BCP_Soles[[#This Row],[fecha]],"mmmm"),0)</f>
        <v>Junio</v>
      </c>
    </row>
    <row r="2208" spans="1:27" x14ac:dyDescent="0.3">
      <c r="A2208" s="2">
        <f>IF(BCP_Soles[[#This Row],[tipo_registro]]="R",COUNTIFS($C$1:$C2207,"R")+1,A2207)</f>
        <v>1653</v>
      </c>
      <c r="B2208" s="19" t="str">
        <f t="shared" si="181"/>
        <v>B-BCP - Soles</v>
      </c>
      <c r="C2208" s="3" t="s">
        <v>1330</v>
      </c>
      <c r="D2208" s="14">
        <v>45828</v>
      </c>
      <c r="E2208" s="5" t="s">
        <v>1498</v>
      </c>
      <c r="F2208" s="5" t="s">
        <v>1303</v>
      </c>
      <c r="G2208" s="6" t="s">
        <v>425</v>
      </c>
      <c r="H2208" s="6" t="s">
        <v>119</v>
      </c>
      <c r="I2208" s="6">
        <v>1</v>
      </c>
      <c r="J2208" s="6">
        <v>4531</v>
      </c>
      <c r="K2208" s="7" t="s">
        <v>1356</v>
      </c>
      <c r="L2208" s="8">
        <v>1979368</v>
      </c>
      <c r="M2208" s="8" t="str">
        <f t="shared" si="182"/>
        <v>PEN</v>
      </c>
      <c r="N2208" s="13"/>
      <c r="O2208" s="13">
        <v>70</v>
      </c>
      <c r="P2208" s="3">
        <f t="shared" si="183"/>
        <v>70</v>
      </c>
      <c r="Q2208" s="3">
        <f t="shared" si="184"/>
        <v>0</v>
      </c>
      <c r="R2208" s="3">
        <f t="shared" si="180"/>
        <v>16605.460000000036</v>
      </c>
      <c r="S2208" s="24" t="s">
        <v>1334</v>
      </c>
      <c r="T2208" s="24" t="s">
        <v>1334</v>
      </c>
      <c r="U2208" s="53"/>
      <c r="V2208" s="25">
        <f>IFERROR(VLOOKUP(BCP_Soles[[#This Row],[destinatario]],CHOOSE({1,2},Clientes_Proveedores[Razon Social],Clientes_Proveedores[Ruc / Dni]),2,0),"")</f>
        <v>20558226979</v>
      </c>
      <c r="W2208" s="25" t="s">
        <v>1345</v>
      </c>
      <c r="X2208" s="25" t="s">
        <v>3508</v>
      </c>
      <c r="Y2208" s="25"/>
      <c r="Z2208" s="75"/>
      <c r="AA2208" s="3" t="str">
        <f>IF(BCP_Soles[[#This Row],[fecha]]&gt;0,TEXT(BCP_Soles[[#This Row],[fecha]],"mmmm"),0)</f>
        <v>Junio</v>
      </c>
    </row>
    <row r="2209" spans="1:27" ht="24" x14ac:dyDescent="0.3">
      <c r="A2209" s="2">
        <f>IF(BCP_Soles[[#This Row],[tipo_registro]]="R",COUNTIFS($C$1:$C2208,"R")+1,A2208)</f>
        <v>1654</v>
      </c>
      <c r="B2209" s="19" t="str">
        <f t="shared" si="181"/>
        <v>B-BCP - Soles</v>
      </c>
      <c r="C2209" s="3" t="s">
        <v>1330</v>
      </c>
      <c r="D2209" s="14">
        <v>45828</v>
      </c>
      <c r="E2209" s="5" t="s">
        <v>1331</v>
      </c>
      <c r="F2209" s="5" t="s">
        <v>1336</v>
      </c>
      <c r="G2209" s="6" t="s">
        <v>249</v>
      </c>
      <c r="H2209" s="6"/>
      <c r="I2209" s="6"/>
      <c r="J2209" s="6"/>
      <c r="K2209" s="7" t="s">
        <v>3509</v>
      </c>
      <c r="L2209" s="8">
        <v>1243600</v>
      </c>
      <c r="M2209" s="8" t="str">
        <f t="shared" si="182"/>
        <v>PEN</v>
      </c>
      <c r="N2209" s="13"/>
      <c r="O2209" s="13">
        <v>2283.1999999999998</v>
      </c>
      <c r="P2209" s="3">
        <f t="shared" si="183"/>
        <v>0</v>
      </c>
      <c r="Q2209" s="3">
        <f t="shared" si="184"/>
        <v>2283.1999999999998</v>
      </c>
      <c r="R2209" s="3">
        <f t="shared" si="180"/>
        <v>14322.260000000035</v>
      </c>
      <c r="S2209" s="24"/>
      <c r="T2209" s="24" t="s">
        <v>1334</v>
      </c>
      <c r="U2209" s="80" t="s">
        <v>3510</v>
      </c>
      <c r="V2209" s="101">
        <f>IFERROR(VLOOKUP(BCP_Soles[[#This Row],[destinatario]],CHOOSE({1,2},Clientes_Proveedores[Razon Social],Clientes_Proveedores[Ruc / Dni]),2,0),"")</f>
        <v>20302891452</v>
      </c>
      <c r="W2209" s="26" t="s">
        <v>249</v>
      </c>
      <c r="X2209" s="26"/>
      <c r="Y2209" s="26"/>
      <c r="Z2209" s="76"/>
      <c r="AA2209" s="3" t="str">
        <f>IF(BCP_Soles[[#This Row],[fecha]]&gt;0,TEXT(BCP_Soles[[#This Row],[fecha]],"mmmm"),0)</f>
        <v>Junio</v>
      </c>
    </row>
    <row r="2210" spans="1:27" ht="36" x14ac:dyDescent="0.3">
      <c r="A2210" s="2">
        <f>IF(BCP_Soles[[#This Row],[tipo_registro]]="R",COUNTIFS($C$1:$C2209,"R")+1,A2209)</f>
        <v>1655</v>
      </c>
      <c r="B2210" s="19" t="str">
        <f t="shared" si="181"/>
        <v>B-BCP - Soles</v>
      </c>
      <c r="C2210" s="3" t="s">
        <v>1330</v>
      </c>
      <c r="D2210" s="14">
        <v>45828</v>
      </c>
      <c r="E2210" s="5" t="s">
        <v>1331</v>
      </c>
      <c r="F2210" s="5" t="s">
        <v>1336</v>
      </c>
      <c r="G2210" s="6" t="s">
        <v>742</v>
      </c>
      <c r="H2210" s="6"/>
      <c r="I2210" s="6"/>
      <c r="J2210" s="6"/>
      <c r="K2210" s="7" t="s">
        <v>3511</v>
      </c>
      <c r="L2210" s="8">
        <v>1243154</v>
      </c>
      <c r="M2210" s="8" t="str">
        <f t="shared" si="182"/>
        <v>PEN</v>
      </c>
      <c r="N2210" s="13"/>
      <c r="O2210" s="13">
        <v>306</v>
      </c>
      <c r="P2210" s="3">
        <f t="shared" si="183"/>
        <v>0</v>
      </c>
      <c r="Q2210" s="3">
        <f t="shared" si="184"/>
        <v>306</v>
      </c>
      <c r="R2210" s="3">
        <f t="shared" si="180"/>
        <v>14016.260000000035</v>
      </c>
      <c r="S2210" s="24" t="s">
        <v>1334</v>
      </c>
      <c r="T2210" s="24" t="s">
        <v>1334</v>
      </c>
      <c r="U2210" s="80" t="s">
        <v>3512</v>
      </c>
      <c r="V2210" s="101">
        <f>IFERROR(VLOOKUP(BCP_Soles[[#This Row],[destinatario]],CHOOSE({1,2},Clientes_Proveedores[Razon Social],Clientes_Proveedores[Ruc / Dni]),2,0),"")</f>
        <v>20100210909</v>
      </c>
      <c r="W2210" s="26" t="s">
        <v>3513</v>
      </c>
      <c r="X2210" s="26" t="s">
        <v>3514</v>
      </c>
      <c r="Y2210" s="26"/>
      <c r="Z2210" s="76"/>
      <c r="AA2210" s="3" t="str">
        <f>IF(BCP_Soles[[#This Row],[fecha]]&gt;0,TEXT(BCP_Soles[[#This Row],[fecha]],"mmmm"),0)</f>
        <v>Junio</v>
      </c>
    </row>
    <row r="2211" spans="1:27" ht="36" x14ac:dyDescent="0.3">
      <c r="A2211" s="2">
        <f>IF(BCP_Soles[[#This Row],[tipo_registro]]="R",COUNTIFS($C$1:$C2210,"R")+1,A2210)</f>
        <v>1655</v>
      </c>
      <c r="B2211" s="19" t="str">
        <f t="shared" si="181"/>
        <v>B-BCP - Soles</v>
      </c>
      <c r="C2211" s="3" t="s">
        <v>1352</v>
      </c>
      <c r="D2211" s="14">
        <v>45828</v>
      </c>
      <c r="E2211" s="5" t="s">
        <v>1331</v>
      </c>
      <c r="F2211" s="5"/>
      <c r="G2211" s="6" t="s">
        <v>742</v>
      </c>
      <c r="H2211" s="6" t="s">
        <v>68</v>
      </c>
      <c r="I2211" s="6" t="s">
        <v>3515</v>
      </c>
      <c r="J2211" s="6">
        <v>367435</v>
      </c>
      <c r="K2211" s="7" t="s">
        <v>3511</v>
      </c>
      <c r="L2211" s="8">
        <v>1243154</v>
      </c>
      <c r="M2211" s="8" t="str">
        <f t="shared" si="182"/>
        <v>PEN</v>
      </c>
      <c r="N2211" s="13">
        <v>153</v>
      </c>
      <c r="O2211" s="13"/>
      <c r="P2211" s="3">
        <f t="shared" si="183"/>
        <v>0</v>
      </c>
      <c r="Q2211" s="3">
        <f t="shared" si="184"/>
        <v>0</v>
      </c>
      <c r="R2211" s="3">
        <f t="shared" si="180"/>
        <v>14016.260000000035</v>
      </c>
      <c r="S2211" s="24"/>
      <c r="T2211" s="24" t="s">
        <v>1334</v>
      </c>
      <c r="U2211" s="80"/>
      <c r="V2211" s="101">
        <f>IFERROR(VLOOKUP(BCP_Soles[[#This Row],[destinatario]],CHOOSE({1,2},Clientes_Proveedores[Razon Social],Clientes_Proveedores[Ruc / Dni]),2,0),"")</f>
        <v>20100210909</v>
      </c>
      <c r="W2211" s="26"/>
      <c r="X2211" s="26"/>
      <c r="Y2211" s="26"/>
      <c r="Z2211" s="76"/>
      <c r="AA2211" s="3" t="str">
        <f>IF(BCP_Soles[[#This Row],[fecha]]&gt;0,TEXT(BCP_Soles[[#This Row],[fecha]],"mmmm"),0)</f>
        <v>Junio</v>
      </c>
    </row>
    <row r="2212" spans="1:27" ht="36" x14ac:dyDescent="0.3">
      <c r="A2212" s="2">
        <f>IF(BCP_Soles[[#This Row],[tipo_registro]]="R",COUNTIFS($C$1:$C2211,"R")+1,A2211)</f>
        <v>1655</v>
      </c>
      <c r="B2212" s="19" t="str">
        <f t="shared" si="181"/>
        <v>B-BCP - Soles</v>
      </c>
      <c r="C2212" s="3" t="s">
        <v>1352</v>
      </c>
      <c r="D2212" s="14">
        <v>45828</v>
      </c>
      <c r="E2212" s="5" t="s">
        <v>1331</v>
      </c>
      <c r="F2212" s="5"/>
      <c r="G2212" s="6" t="s">
        <v>742</v>
      </c>
      <c r="H2212" s="6" t="s">
        <v>68</v>
      </c>
      <c r="I2212" s="6" t="s">
        <v>3515</v>
      </c>
      <c r="J2212" s="6">
        <v>367430</v>
      </c>
      <c r="K2212" s="7" t="s">
        <v>3511</v>
      </c>
      <c r="L2212" s="8">
        <v>1243154</v>
      </c>
      <c r="M2212" s="8" t="str">
        <f t="shared" si="182"/>
        <v>PEN</v>
      </c>
      <c r="N2212" s="13">
        <v>153</v>
      </c>
      <c r="O2212" s="13"/>
      <c r="P2212" s="3">
        <f t="shared" si="183"/>
        <v>0</v>
      </c>
      <c r="Q2212" s="3">
        <f t="shared" si="184"/>
        <v>0</v>
      </c>
      <c r="R2212" s="3">
        <f t="shared" si="180"/>
        <v>14016.260000000035</v>
      </c>
      <c r="S2212" s="24"/>
      <c r="T2212" s="24" t="s">
        <v>1334</v>
      </c>
      <c r="U2212" s="80"/>
      <c r="V2212" s="101">
        <f>IFERROR(VLOOKUP(BCP_Soles[[#This Row],[destinatario]],CHOOSE({1,2},Clientes_Proveedores[Razon Social],Clientes_Proveedores[Ruc / Dni]),2,0),"")</f>
        <v>20100210909</v>
      </c>
      <c r="W2212" s="26"/>
      <c r="X2212" s="26"/>
      <c r="Y2212" s="26"/>
      <c r="Z2212" s="76"/>
      <c r="AA2212" s="3" t="str">
        <f>IF(BCP_Soles[[#This Row],[fecha]]&gt;0,TEXT(BCP_Soles[[#This Row],[fecha]],"mmmm"),0)</f>
        <v>Junio</v>
      </c>
    </row>
    <row r="2213" spans="1:27" x14ac:dyDescent="0.3">
      <c r="A2213" s="2">
        <f>IF(BCP_Soles[[#This Row],[tipo_registro]]="R",COUNTIFS($C$1:$C2212,"R")+1,A2212)</f>
        <v>1656</v>
      </c>
      <c r="B2213" s="19" t="str">
        <f t="shared" si="181"/>
        <v>B-BCP - Soles</v>
      </c>
      <c r="C2213" s="3" t="s">
        <v>1330</v>
      </c>
      <c r="D2213" s="14">
        <v>45828</v>
      </c>
      <c r="E2213" s="5" t="s">
        <v>1331</v>
      </c>
      <c r="F2213" s="5" t="s">
        <v>1336</v>
      </c>
      <c r="G2213" s="6" t="s">
        <v>696</v>
      </c>
      <c r="H2213" s="6"/>
      <c r="I2213" s="6"/>
      <c r="J2213" s="6"/>
      <c r="K2213" s="7" t="s">
        <v>3516</v>
      </c>
      <c r="L2213" s="8">
        <v>9875233</v>
      </c>
      <c r="M2213" s="8" t="str">
        <f t="shared" si="182"/>
        <v>PEN</v>
      </c>
      <c r="N2213" s="13"/>
      <c r="O2213" s="13">
        <v>2138.65</v>
      </c>
      <c r="P2213" s="3">
        <f t="shared" si="183"/>
        <v>0</v>
      </c>
      <c r="Q2213" s="3">
        <f t="shared" si="184"/>
        <v>2138.65</v>
      </c>
      <c r="R2213" s="3">
        <f t="shared" si="180"/>
        <v>11877.610000000035</v>
      </c>
      <c r="S2213" s="24" t="s">
        <v>1334</v>
      </c>
      <c r="T2213" s="24" t="s">
        <v>1334</v>
      </c>
      <c r="U2213" s="80" t="s">
        <v>3517</v>
      </c>
      <c r="V2213" s="101">
        <f>IFERROR(VLOOKUP(BCP_Soles[[#This Row],[destinatario]],CHOOSE({1,2},Clientes_Proveedores[Razon Social],Clientes_Proveedores[Ruc / Dni]),2,0),"")</f>
        <v>0</v>
      </c>
      <c r="W2213" s="26" t="s">
        <v>1373</v>
      </c>
      <c r="X2213" s="26"/>
      <c r="Y2213" s="26"/>
      <c r="Z2213" s="76"/>
      <c r="AA2213" s="3" t="str">
        <f>IF(BCP_Soles[[#This Row],[fecha]]&gt;0,TEXT(BCP_Soles[[#This Row],[fecha]],"mmmm"),0)</f>
        <v>Junio</v>
      </c>
    </row>
    <row r="2214" spans="1:27" ht="24" x14ac:dyDescent="0.3">
      <c r="A2214" s="2">
        <f>IF(BCP_Soles[[#This Row],[tipo_registro]]="R",COUNTIFS($C$1:$C2213,"R")+1,A2213)</f>
        <v>1656</v>
      </c>
      <c r="B2214" s="19" t="str">
        <f t="shared" si="181"/>
        <v>B-BCP - Soles</v>
      </c>
      <c r="C2214" s="3" t="s">
        <v>1352</v>
      </c>
      <c r="D2214" s="14">
        <v>45828</v>
      </c>
      <c r="E2214" s="5" t="s">
        <v>1331</v>
      </c>
      <c r="F2214" s="5"/>
      <c r="G2214" s="6" t="s">
        <v>580</v>
      </c>
      <c r="H2214" s="6" t="s">
        <v>68</v>
      </c>
      <c r="I2214" s="6" t="s">
        <v>1376</v>
      </c>
      <c r="J2214" s="6">
        <v>2841</v>
      </c>
      <c r="K2214" s="7" t="s">
        <v>3516</v>
      </c>
      <c r="L2214" s="8">
        <v>9875233</v>
      </c>
      <c r="M2214" s="8" t="str">
        <f t="shared" si="182"/>
        <v>PEN</v>
      </c>
      <c r="N2214" s="13">
        <v>300</v>
      </c>
      <c r="O2214" s="13"/>
      <c r="P2214" s="3">
        <f t="shared" si="183"/>
        <v>0</v>
      </c>
      <c r="Q2214" s="3">
        <f t="shared" si="184"/>
        <v>0</v>
      </c>
      <c r="R2214" s="3">
        <f t="shared" si="180"/>
        <v>11877.610000000035</v>
      </c>
      <c r="S2214" s="24"/>
      <c r="T2214" s="24" t="s">
        <v>1334</v>
      </c>
      <c r="U2214" s="80"/>
      <c r="V2214" s="101">
        <f>IFERROR(VLOOKUP(BCP_Soles[[#This Row],[destinatario]],CHOOSE({1,2},Clientes_Proveedores[Razon Social],Clientes_Proveedores[Ruc / Dni]),2,0),"")</f>
        <v>20609123762</v>
      </c>
      <c r="W2214" s="26"/>
      <c r="X2214" s="26"/>
      <c r="Y2214" s="26"/>
      <c r="Z2214" s="76"/>
      <c r="AA2214" s="3" t="str">
        <f>IF(BCP_Soles[[#This Row],[fecha]]&gt;0,TEXT(BCP_Soles[[#This Row],[fecha]],"mmmm"),0)</f>
        <v>Junio</v>
      </c>
    </row>
    <row r="2215" spans="1:27" x14ac:dyDescent="0.3">
      <c r="A2215" s="2">
        <f>IF(BCP_Soles[[#This Row],[tipo_registro]]="R",COUNTIFS($C$1:$C2214,"R")+1,A2214)</f>
        <v>1656</v>
      </c>
      <c r="B2215" s="19" t="str">
        <f t="shared" si="181"/>
        <v>B-BCP - Soles</v>
      </c>
      <c r="C2215" s="3" t="s">
        <v>1352</v>
      </c>
      <c r="D2215" s="14">
        <v>45828</v>
      </c>
      <c r="E2215" s="5" t="s">
        <v>1331</v>
      </c>
      <c r="F2215" s="5"/>
      <c r="G2215" s="6" t="s">
        <v>522</v>
      </c>
      <c r="H2215" s="6" t="s">
        <v>68</v>
      </c>
      <c r="I2215" s="6" t="s">
        <v>1376</v>
      </c>
      <c r="J2215" s="6">
        <v>3947</v>
      </c>
      <c r="K2215" s="7" t="s">
        <v>3516</v>
      </c>
      <c r="L2215" s="8">
        <v>9875233</v>
      </c>
      <c r="M2215" s="8" t="str">
        <f t="shared" si="182"/>
        <v>PEN</v>
      </c>
      <c r="N2215" s="13">
        <v>632.1</v>
      </c>
      <c r="O2215" s="13"/>
      <c r="P2215" s="3">
        <f t="shared" si="183"/>
        <v>0</v>
      </c>
      <c r="Q2215" s="3">
        <f t="shared" si="184"/>
        <v>0</v>
      </c>
      <c r="R2215" s="3">
        <f t="shared" si="180"/>
        <v>11877.610000000035</v>
      </c>
      <c r="S2215" s="24"/>
      <c r="T2215" s="24" t="s">
        <v>1334</v>
      </c>
      <c r="U2215" s="80"/>
      <c r="V2215" s="101">
        <f>IFERROR(VLOOKUP(BCP_Soles[[#This Row],[destinatario]],CHOOSE({1,2},Clientes_Proveedores[Razon Social],Clientes_Proveedores[Ruc / Dni]),2,0),"")</f>
        <v>20603974817</v>
      </c>
      <c r="W2215" s="26"/>
      <c r="X2215" s="26"/>
      <c r="Y2215" s="26"/>
      <c r="Z2215" s="76"/>
      <c r="AA2215" s="3" t="str">
        <f>IF(BCP_Soles[[#This Row],[fecha]]&gt;0,TEXT(BCP_Soles[[#This Row],[fecha]],"mmmm"),0)</f>
        <v>Junio</v>
      </c>
    </row>
    <row r="2216" spans="1:27" x14ac:dyDescent="0.3">
      <c r="A2216" s="2">
        <f>IF(BCP_Soles[[#This Row],[tipo_registro]]="R",COUNTIFS($C$1:$C2215,"R")+1,A2215)</f>
        <v>1656</v>
      </c>
      <c r="B2216" s="19" t="str">
        <f t="shared" si="181"/>
        <v>B-BCP - Soles</v>
      </c>
      <c r="C2216" s="3" t="s">
        <v>1352</v>
      </c>
      <c r="D2216" s="14">
        <v>45828</v>
      </c>
      <c r="E2216" s="5" t="s">
        <v>1331</v>
      </c>
      <c r="F2216" s="5"/>
      <c r="G2216" s="6" t="s">
        <v>522</v>
      </c>
      <c r="H2216" s="6" t="s">
        <v>68</v>
      </c>
      <c r="I2216" s="6" t="s">
        <v>1376</v>
      </c>
      <c r="J2216" s="6">
        <v>3935</v>
      </c>
      <c r="K2216" s="7" t="s">
        <v>3516</v>
      </c>
      <c r="L2216" s="8">
        <v>9875233</v>
      </c>
      <c r="M2216" s="8" t="str">
        <f t="shared" si="182"/>
        <v>PEN</v>
      </c>
      <c r="N2216" s="13">
        <v>451.35</v>
      </c>
      <c r="O2216" s="13"/>
      <c r="P2216" s="3">
        <f t="shared" si="183"/>
        <v>0</v>
      </c>
      <c r="Q2216" s="3">
        <f t="shared" si="184"/>
        <v>0</v>
      </c>
      <c r="R2216" s="3">
        <f t="shared" si="180"/>
        <v>11877.610000000035</v>
      </c>
      <c r="S2216" s="24"/>
      <c r="T2216" s="24" t="s">
        <v>1334</v>
      </c>
      <c r="U2216" s="80"/>
      <c r="V2216" s="101">
        <f>IFERROR(VLOOKUP(BCP_Soles[[#This Row],[destinatario]],CHOOSE({1,2},Clientes_Proveedores[Razon Social],Clientes_Proveedores[Ruc / Dni]),2,0),"")</f>
        <v>20603974817</v>
      </c>
      <c r="W2216" s="26"/>
      <c r="X2216" s="26"/>
      <c r="Y2216" s="26"/>
      <c r="Z2216" s="76"/>
      <c r="AA2216" s="3" t="str">
        <f>IF(BCP_Soles[[#This Row],[fecha]]&gt;0,TEXT(BCP_Soles[[#This Row],[fecha]],"mmmm"),0)</f>
        <v>Junio</v>
      </c>
    </row>
    <row r="2217" spans="1:27" x14ac:dyDescent="0.3">
      <c r="A2217" s="2">
        <f>IF(BCP_Soles[[#This Row],[tipo_registro]]="R",COUNTIFS($C$1:$C2216,"R")+1,A2216)</f>
        <v>1656</v>
      </c>
      <c r="B2217" s="19" t="str">
        <f t="shared" si="181"/>
        <v>B-BCP - Soles</v>
      </c>
      <c r="C2217" s="3" t="s">
        <v>1352</v>
      </c>
      <c r="D2217" s="14">
        <v>45828</v>
      </c>
      <c r="E2217" s="5" t="s">
        <v>1331</v>
      </c>
      <c r="F2217" s="5"/>
      <c r="G2217" s="6" t="s">
        <v>522</v>
      </c>
      <c r="H2217" s="6" t="s">
        <v>68</v>
      </c>
      <c r="I2217" s="6" t="s">
        <v>1376</v>
      </c>
      <c r="J2217" s="6">
        <v>3940</v>
      </c>
      <c r="K2217" s="7" t="s">
        <v>3516</v>
      </c>
      <c r="L2217" s="8">
        <v>9875233</v>
      </c>
      <c r="M2217" s="8" t="str">
        <f t="shared" si="182"/>
        <v>PEN</v>
      </c>
      <c r="N2217" s="13">
        <v>250.75</v>
      </c>
      <c r="O2217" s="13"/>
      <c r="P2217" s="3">
        <f t="shared" si="183"/>
        <v>0</v>
      </c>
      <c r="Q2217" s="3">
        <f t="shared" si="184"/>
        <v>0</v>
      </c>
      <c r="R2217" s="3">
        <f t="shared" si="180"/>
        <v>11877.610000000035</v>
      </c>
      <c r="S2217" s="24"/>
      <c r="T2217" s="24" t="s">
        <v>1334</v>
      </c>
      <c r="U2217" s="80"/>
      <c r="V2217" s="101">
        <f>IFERROR(VLOOKUP(BCP_Soles[[#This Row],[destinatario]],CHOOSE({1,2},Clientes_Proveedores[Razon Social],Clientes_Proveedores[Ruc / Dni]),2,0),"")</f>
        <v>20603974817</v>
      </c>
      <c r="W2217" s="26"/>
      <c r="X2217" s="26"/>
      <c r="Y2217" s="26"/>
      <c r="Z2217" s="76"/>
      <c r="AA2217" s="3" t="str">
        <f>IF(BCP_Soles[[#This Row],[fecha]]&gt;0,TEXT(BCP_Soles[[#This Row],[fecha]],"mmmm"),0)</f>
        <v>Junio</v>
      </c>
    </row>
    <row r="2218" spans="1:27" x14ac:dyDescent="0.3">
      <c r="A2218" s="2">
        <f>IF(BCP_Soles[[#This Row],[tipo_registro]]="R",COUNTIFS($C$1:$C2217,"R")+1,A2217)</f>
        <v>1656</v>
      </c>
      <c r="B2218" s="19" t="str">
        <f t="shared" si="181"/>
        <v>B-BCP - Soles</v>
      </c>
      <c r="C2218" s="3" t="s">
        <v>1352</v>
      </c>
      <c r="D2218" s="14">
        <v>45828</v>
      </c>
      <c r="E2218" s="5" t="s">
        <v>1331</v>
      </c>
      <c r="F2218" s="5"/>
      <c r="G2218" s="6" t="s">
        <v>338</v>
      </c>
      <c r="H2218" s="6" t="s">
        <v>68</v>
      </c>
      <c r="I2218" s="6" t="s">
        <v>1376</v>
      </c>
      <c r="J2218" s="6">
        <v>479</v>
      </c>
      <c r="K2218" s="7" t="s">
        <v>3516</v>
      </c>
      <c r="L2218" s="8">
        <v>9875233</v>
      </c>
      <c r="M2218" s="8" t="str">
        <f t="shared" si="182"/>
        <v>PEN</v>
      </c>
      <c r="N2218" s="13">
        <v>354</v>
      </c>
      <c r="O2218" s="13"/>
      <c r="P2218" s="3">
        <f t="shared" si="183"/>
        <v>0</v>
      </c>
      <c r="Q2218" s="3">
        <f t="shared" si="184"/>
        <v>0</v>
      </c>
      <c r="R2218" s="3">
        <f t="shared" si="180"/>
        <v>11877.610000000035</v>
      </c>
      <c r="S2218" s="24"/>
      <c r="T2218" s="24" t="s">
        <v>1334</v>
      </c>
      <c r="U2218" s="80"/>
      <c r="V2218" s="101">
        <f>IFERROR(VLOOKUP(BCP_Soles[[#This Row],[destinatario]],CHOOSE({1,2},Clientes_Proveedores[Razon Social],Clientes_Proveedores[Ruc / Dni]),2,0),"")</f>
        <v>20498380931</v>
      </c>
      <c r="W2218" s="26"/>
      <c r="X2218" s="26"/>
      <c r="Y2218" s="26"/>
      <c r="Z2218" s="76"/>
      <c r="AA2218" s="3" t="str">
        <f>IF(BCP_Soles[[#This Row],[fecha]]&gt;0,TEXT(BCP_Soles[[#This Row],[fecha]],"mmmm"),0)</f>
        <v>Junio</v>
      </c>
    </row>
    <row r="2219" spans="1:27" x14ac:dyDescent="0.3">
      <c r="A2219" s="2">
        <f>IF(BCP_Soles[[#This Row],[tipo_registro]]="R",COUNTIFS($C$1:$C2218,"R")+1,A2218)</f>
        <v>1656</v>
      </c>
      <c r="B2219" s="19" t="str">
        <f t="shared" si="181"/>
        <v>B-BCP - Soles</v>
      </c>
      <c r="C2219" s="3" t="s">
        <v>1352</v>
      </c>
      <c r="D2219" s="14">
        <v>45828</v>
      </c>
      <c r="E2219" s="5" t="s">
        <v>1331</v>
      </c>
      <c r="F2219" s="5"/>
      <c r="G2219" s="6" t="s">
        <v>522</v>
      </c>
      <c r="H2219" s="6" t="s">
        <v>68</v>
      </c>
      <c r="I2219" s="6" t="s">
        <v>1376</v>
      </c>
      <c r="J2219" s="6">
        <v>3941</v>
      </c>
      <c r="K2219" s="7" t="s">
        <v>3516</v>
      </c>
      <c r="L2219" s="8">
        <v>9875233</v>
      </c>
      <c r="M2219" s="8" t="str">
        <f t="shared" si="182"/>
        <v>PEN</v>
      </c>
      <c r="N2219" s="13">
        <v>150.44999999999999</v>
      </c>
      <c r="O2219" s="13"/>
      <c r="P2219" s="3">
        <f t="shared" si="183"/>
        <v>0</v>
      </c>
      <c r="Q2219" s="3">
        <f t="shared" si="184"/>
        <v>0</v>
      </c>
      <c r="R2219" s="3">
        <f t="shared" si="180"/>
        <v>11877.610000000035</v>
      </c>
      <c r="S2219" s="24"/>
      <c r="T2219" s="24" t="s">
        <v>1334</v>
      </c>
      <c r="U2219" s="80"/>
      <c r="V2219" s="101">
        <f>IFERROR(VLOOKUP(BCP_Soles[[#This Row],[destinatario]],CHOOSE({1,2},Clientes_Proveedores[Razon Social],Clientes_Proveedores[Ruc / Dni]),2,0),"")</f>
        <v>20603974817</v>
      </c>
      <c r="W2219" s="26"/>
      <c r="X2219" s="26"/>
      <c r="Y2219" s="26"/>
      <c r="Z2219" s="76"/>
      <c r="AA2219" s="3" t="str">
        <f>IF(BCP_Soles[[#This Row],[fecha]]&gt;0,TEXT(BCP_Soles[[#This Row],[fecha]],"mmmm"),0)</f>
        <v>Junio</v>
      </c>
    </row>
    <row r="2220" spans="1:27" ht="24" x14ac:dyDescent="0.3">
      <c r="A2220" s="2">
        <f>IF(BCP_Soles[[#This Row],[tipo_registro]]="R",COUNTIFS($C$1:$C2219,"R")+1,A2219)</f>
        <v>1657</v>
      </c>
      <c r="B2220" s="19" t="str">
        <f t="shared" si="181"/>
        <v>B-BCP - Soles</v>
      </c>
      <c r="C2220" s="3" t="s">
        <v>1330</v>
      </c>
      <c r="D2220" s="14">
        <v>45828</v>
      </c>
      <c r="E2220" s="5" t="s">
        <v>1331</v>
      </c>
      <c r="F2220" s="5" t="s">
        <v>1336</v>
      </c>
      <c r="G2220" s="6" t="s">
        <v>1126</v>
      </c>
      <c r="H2220" s="6" t="s">
        <v>68</v>
      </c>
      <c r="I2220" s="6" t="s">
        <v>1374</v>
      </c>
      <c r="J2220" s="6">
        <v>365</v>
      </c>
      <c r="K2220" s="7" t="s">
        <v>3518</v>
      </c>
      <c r="L2220" s="8">
        <v>1286076</v>
      </c>
      <c r="M2220" s="8" t="str">
        <f t="shared" si="182"/>
        <v>PEN</v>
      </c>
      <c r="N2220" s="13"/>
      <c r="O2220" s="13">
        <v>1344</v>
      </c>
      <c r="P2220" s="3">
        <f t="shared" si="183"/>
        <v>0</v>
      </c>
      <c r="Q2220" s="3">
        <f t="shared" si="184"/>
        <v>1344</v>
      </c>
      <c r="R2220" s="3">
        <f t="shared" si="180"/>
        <v>10533.610000000035</v>
      </c>
      <c r="S2220" s="24" t="s">
        <v>1334</v>
      </c>
      <c r="T2220" s="24" t="s">
        <v>1334</v>
      </c>
      <c r="U2220" s="80" t="s">
        <v>3519</v>
      </c>
      <c r="V2220" s="101">
        <f>IFERROR(VLOOKUP(BCP_Soles[[#This Row],[destinatario]],CHOOSE({1,2},Clientes_Proveedores[Razon Social],Clientes_Proveedores[Ruc / Dni]),2,0),"")</f>
        <v>20563648113</v>
      </c>
      <c r="W2220" s="26" t="s">
        <v>2450</v>
      </c>
      <c r="X2220" s="26"/>
      <c r="Y2220" s="26"/>
      <c r="Z2220" s="76"/>
      <c r="AA2220" s="3" t="str">
        <f>IF(BCP_Soles[[#This Row],[fecha]]&gt;0,TEXT(BCP_Soles[[#This Row],[fecha]],"mmmm"),0)</f>
        <v>Junio</v>
      </c>
    </row>
    <row r="2221" spans="1:27" x14ac:dyDescent="0.3">
      <c r="A2221" s="2">
        <f>IF(BCP_Soles[[#This Row],[tipo_registro]]="R",COUNTIFS($C$1:$C2220,"R")+1,A2220)</f>
        <v>1658</v>
      </c>
      <c r="B2221" s="19" t="str">
        <f t="shared" si="181"/>
        <v>B-BCP - Soles</v>
      </c>
      <c r="C2221" s="3" t="s">
        <v>1330</v>
      </c>
      <c r="D2221" s="14">
        <v>45828</v>
      </c>
      <c r="E2221" s="5" t="s">
        <v>1331</v>
      </c>
      <c r="F2221" s="5" t="s">
        <v>1336</v>
      </c>
      <c r="G2221" s="6" t="s">
        <v>809</v>
      </c>
      <c r="H2221" s="6"/>
      <c r="I2221" s="6"/>
      <c r="J2221" s="6"/>
      <c r="K2221" s="7" t="s">
        <v>3520</v>
      </c>
      <c r="L2221" s="8">
        <v>1285108</v>
      </c>
      <c r="M2221" s="8" t="str">
        <f t="shared" si="182"/>
        <v>PEN</v>
      </c>
      <c r="N2221" s="13"/>
      <c r="O2221" s="13">
        <v>3000</v>
      </c>
      <c r="P2221" s="3">
        <f t="shared" si="183"/>
        <v>0</v>
      </c>
      <c r="Q2221" s="3">
        <f t="shared" si="184"/>
        <v>3000</v>
      </c>
      <c r="R2221" s="3">
        <f t="shared" si="180"/>
        <v>7533.6100000000351</v>
      </c>
      <c r="S2221" s="24"/>
      <c r="T2221" s="24"/>
      <c r="U2221" s="80" t="s">
        <v>3521</v>
      </c>
      <c r="V2221" s="101">
        <f>IFERROR(VLOOKUP(BCP_Soles[[#This Row],[destinatario]],CHOOSE({1,2},Clientes_Proveedores[Razon Social],Clientes_Proveedores[Ruc / Dni]),2,0),"")</f>
        <v>45286301</v>
      </c>
      <c r="W2221" s="26" t="s">
        <v>809</v>
      </c>
      <c r="X2221" s="26"/>
      <c r="Y2221" s="26"/>
      <c r="Z2221" s="76"/>
      <c r="AA2221" s="3" t="str">
        <f>IF(BCP_Soles[[#This Row],[fecha]]&gt;0,TEXT(BCP_Soles[[#This Row],[fecha]],"mmmm"),0)</f>
        <v>Junio</v>
      </c>
    </row>
    <row r="2222" spans="1:27" ht="24" x14ac:dyDescent="0.3">
      <c r="A2222" s="2">
        <f>IF(BCP_Soles[[#This Row],[tipo_registro]]="R",COUNTIFS($C$1:$C2221,"R")+1,A2221)</f>
        <v>1659</v>
      </c>
      <c r="B2222" s="19" t="str">
        <f t="shared" si="181"/>
        <v>B-BCP - Soles</v>
      </c>
      <c r="C2222" s="3" t="s">
        <v>1330</v>
      </c>
      <c r="D2222" s="14">
        <v>45828</v>
      </c>
      <c r="E2222" s="5" t="s">
        <v>1331</v>
      </c>
      <c r="F2222" s="5" t="s">
        <v>1336</v>
      </c>
      <c r="G2222" s="6" t="s">
        <v>901</v>
      </c>
      <c r="H2222" s="6"/>
      <c r="I2222" s="6"/>
      <c r="J2222" s="6"/>
      <c r="K2222" s="7" t="s">
        <v>3522</v>
      </c>
      <c r="L2222" s="8">
        <v>1285595</v>
      </c>
      <c r="M2222" s="8" t="str">
        <f t="shared" si="182"/>
        <v>PEN</v>
      </c>
      <c r="N2222" s="13"/>
      <c r="O2222" s="13">
        <v>3369.15</v>
      </c>
      <c r="P2222" s="3">
        <f t="shared" si="183"/>
        <v>0</v>
      </c>
      <c r="Q2222" s="3">
        <f t="shared" si="184"/>
        <v>3369.15</v>
      </c>
      <c r="R2222" s="3">
        <f t="shared" si="180"/>
        <v>4164.4600000000355</v>
      </c>
      <c r="S2222" s="24"/>
      <c r="T2222" s="24" t="s">
        <v>1334</v>
      </c>
      <c r="U2222" s="80" t="s">
        <v>3523</v>
      </c>
      <c r="V2222" s="101">
        <f>IFERROR(VLOOKUP(BCP_Soles[[#This Row],[destinatario]],CHOOSE({1,2},Clientes_Proveedores[Razon Social],Clientes_Proveedores[Ruc / Dni]),2,0),"")</f>
        <v>72131384</v>
      </c>
      <c r="W2222" s="26" t="s">
        <v>901</v>
      </c>
      <c r="X2222" s="26" t="s">
        <v>3524</v>
      </c>
      <c r="Y2222" s="26"/>
      <c r="Z2222" s="76"/>
      <c r="AA2222" s="3" t="str">
        <f>IF(BCP_Soles[[#This Row],[fecha]]&gt;0,TEXT(BCP_Soles[[#This Row],[fecha]],"mmmm"),0)</f>
        <v>Junio</v>
      </c>
    </row>
    <row r="2223" spans="1:27" x14ac:dyDescent="0.3">
      <c r="A2223" s="2">
        <f>IF(BCP_Soles[[#This Row],[tipo_registro]]="R",COUNTIFS($C$1:$C2222,"R")+1,A2222)</f>
        <v>1660</v>
      </c>
      <c r="B2223" s="19" t="str">
        <f t="shared" si="181"/>
        <v>B-BCP - Soles</v>
      </c>
      <c r="C2223" s="3" t="s">
        <v>1330</v>
      </c>
      <c r="D2223" s="14">
        <v>45828</v>
      </c>
      <c r="E2223" s="5" t="s">
        <v>1335</v>
      </c>
      <c r="F2223" s="5" t="s">
        <v>1336</v>
      </c>
      <c r="G2223" s="6"/>
      <c r="H2223" s="6"/>
      <c r="I2223" s="6"/>
      <c r="J2223" s="6"/>
      <c r="K2223" s="7" t="s">
        <v>3160</v>
      </c>
      <c r="L2223" s="8"/>
      <c r="M2223" s="8" t="str">
        <f t="shared" si="182"/>
        <v>PEN</v>
      </c>
      <c r="N2223" s="13"/>
      <c r="O2223" s="13">
        <v>0.9</v>
      </c>
      <c r="P2223" s="3">
        <f t="shared" si="183"/>
        <v>0</v>
      </c>
      <c r="Q2223" s="3">
        <f t="shared" si="184"/>
        <v>0.9</v>
      </c>
      <c r="R2223" s="3">
        <f t="shared" si="180"/>
        <v>4163.5600000000359</v>
      </c>
      <c r="S2223" s="24"/>
      <c r="T2223" s="24" t="s">
        <v>1334</v>
      </c>
      <c r="U2223" s="53"/>
      <c r="V2223" s="25" t="str">
        <f>IFERROR(VLOOKUP(BCP_Soles[[#This Row],[destinatario]],CHOOSE({1,2},Clientes_Proveedores[Razon Social],Clientes_Proveedores[Ruc / Dni]),2,0),"")</f>
        <v/>
      </c>
      <c r="W2223" s="25"/>
      <c r="X2223" s="25"/>
      <c r="Y2223" s="25"/>
      <c r="Z2223" s="75"/>
      <c r="AA2223" s="3" t="str">
        <f>IF(BCP_Soles[[#This Row],[fecha]]&gt;0,TEXT(BCP_Soles[[#This Row],[fecha]],"mmmm"),0)</f>
        <v>Junio</v>
      </c>
    </row>
    <row r="2224" spans="1:27" x14ac:dyDescent="0.3">
      <c r="A2224" s="2">
        <f>IF(BCP_Soles[[#This Row],[tipo_registro]]="R",COUNTIFS($C$1:$C2223,"R")+1,A2223)</f>
        <v>1661</v>
      </c>
      <c r="B2224" s="19" t="str">
        <f t="shared" si="181"/>
        <v>B-BCP - Soles</v>
      </c>
      <c r="C2224" s="3" t="s">
        <v>1330</v>
      </c>
      <c r="D2224" s="14">
        <v>45829</v>
      </c>
      <c r="E2224" s="5" t="s">
        <v>427</v>
      </c>
      <c r="F2224" s="5" t="s">
        <v>1303</v>
      </c>
      <c r="G2224" s="6" t="s">
        <v>425</v>
      </c>
      <c r="H2224" s="6" t="s">
        <v>68</v>
      </c>
      <c r="I2224" s="6" t="s">
        <v>1784</v>
      </c>
      <c r="J2224" s="6">
        <v>92</v>
      </c>
      <c r="K2224" s="7" t="s">
        <v>3525</v>
      </c>
      <c r="L2224" s="8">
        <v>430611</v>
      </c>
      <c r="M2224" s="8" t="str">
        <f t="shared" si="182"/>
        <v>PEN</v>
      </c>
      <c r="N2224" s="13"/>
      <c r="O2224" s="13">
        <v>2512.81</v>
      </c>
      <c r="P2224" s="3">
        <f t="shared" si="183"/>
        <v>2512.81</v>
      </c>
      <c r="Q2224" s="3">
        <f t="shared" si="184"/>
        <v>0</v>
      </c>
      <c r="R2224" s="3">
        <f t="shared" si="180"/>
        <v>6676.3700000000354</v>
      </c>
      <c r="S2224" s="24" t="s">
        <v>1334</v>
      </c>
      <c r="T2224" s="24" t="s">
        <v>1334</v>
      </c>
      <c r="U2224" s="53"/>
      <c r="V2224" s="25">
        <f>IFERROR(VLOOKUP(BCP_Soles[[#This Row],[destinatario]],CHOOSE({1,2},Clientes_Proveedores[Razon Social],Clientes_Proveedores[Ruc / Dni]),2,0),"")</f>
        <v>20558226979</v>
      </c>
      <c r="W2224" s="25" t="s">
        <v>1345</v>
      </c>
      <c r="X2224" s="25" t="s">
        <v>3526</v>
      </c>
      <c r="Y2224" s="25"/>
      <c r="Z2224" s="75"/>
      <c r="AA2224" s="3" t="str">
        <f>IF(BCP_Soles[[#This Row],[fecha]]&gt;0,TEXT(BCP_Soles[[#This Row],[fecha]],"mmmm"),0)</f>
        <v>Junio</v>
      </c>
    </row>
    <row r="2225" spans="1:27" x14ac:dyDescent="0.3">
      <c r="A2225" s="2">
        <f>IF(BCP_Soles[[#This Row],[tipo_registro]]="R",COUNTIFS($C$1:$C2224,"R")+1,A2224)</f>
        <v>1662</v>
      </c>
      <c r="B2225" s="19" t="str">
        <f t="shared" si="181"/>
        <v>B-BCP - Soles</v>
      </c>
      <c r="C2225" s="3" t="s">
        <v>1330</v>
      </c>
      <c r="D2225" s="14">
        <v>45830</v>
      </c>
      <c r="E2225" s="5" t="s">
        <v>1335</v>
      </c>
      <c r="F2225" s="5" t="s">
        <v>1336</v>
      </c>
      <c r="G2225" s="6"/>
      <c r="H2225" s="6"/>
      <c r="I2225" s="6"/>
      <c r="J2225" s="6"/>
      <c r="K2225" s="7" t="s">
        <v>3160</v>
      </c>
      <c r="L2225" s="8"/>
      <c r="M2225" s="8" t="str">
        <f t="shared" si="182"/>
        <v>PEN</v>
      </c>
      <c r="N2225" s="13"/>
      <c r="O2225" s="13">
        <v>0.1</v>
      </c>
      <c r="P2225" s="3">
        <f t="shared" si="183"/>
        <v>0</v>
      </c>
      <c r="Q2225" s="3">
        <f t="shared" si="184"/>
        <v>0.1</v>
      </c>
      <c r="R2225" s="3">
        <f t="shared" si="180"/>
        <v>6676.270000000035</v>
      </c>
      <c r="S2225" s="24"/>
      <c r="T2225" s="24" t="s">
        <v>1334</v>
      </c>
      <c r="U2225" s="53"/>
      <c r="V2225" s="25" t="str">
        <f>IFERROR(VLOOKUP(BCP_Soles[[#This Row],[destinatario]],CHOOSE({1,2},Clientes_Proveedores[Razon Social],Clientes_Proveedores[Ruc / Dni]),2,0),"")</f>
        <v/>
      </c>
      <c r="W2225" s="25"/>
      <c r="X2225" s="25"/>
      <c r="Y2225" s="25"/>
      <c r="Z2225" s="75"/>
      <c r="AA2225" s="3" t="str">
        <f>IF(BCP_Soles[[#This Row],[fecha]]&gt;0,TEXT(BCP_Soles[[#This Row],[fecha]],"mmmm"),0)</f>
        <v>Junio</v>
      </c>
    </row>
    <row r="2226" spans="1:27" ht="36" x14ac:dyDescent="0.3">
      <c r="A2226" s="2">
        <f>IF(BCP_Soles[[#This Row],[tipo_registro]]="R",COUNTIFS($C$1:$C2225,"R")+1,A2225)</f>
        <v>1663</v>
      </c>
      <c r="B2226" s="19" t="str">
        <f t="shared" si="181"/>
        <v>B-BCP - Soles</v>
      </c>
      <c r="C2226" s="3" t="s">
        <v>1330</v>
      </c>
      <c r="D2226" s="14">
        <v>45831</v>
      </c>
      <c r="E2226" s="5" t="s">
        <v>516</v>
      </c>
      <c r="F2226" s="5" t="s">
        <v>1303</v>
      </c>
      <c r="G2226" s="6" t="s">
        <v>425</v>
      </c>
      <c r="H2226" s="6" t="s">
        <v>68</v>
      </c>
      <c r="I2226" s="6" t="s">
        <v>1784</v>
      </c>
      <c r="J2226" s="6">
        <v>110</v>
      </c>
      <c r="K2226" s="7" t="s">
        <v>3144</v>
      </c>
      <c r="L2226" s="8">
        <v>2137143</v>
      </c>
      <c r="M2226" s="8" t="str">
        <f t="shared" si="182"/>
        <v>PEN</v>
      </c>
      <c r="N2226" s="13"/>
      <c r="O2226" s="13">
        <v>4029.81</v>
      </c>
      <c r="P2226" s="3">
        <f t="shared" si="183"/>
        <v>4029.81</v>
      </c>
      <c r="Q2226" s="3">
        <f t="shared" si="184"/>
        <v>0</v>
      </c>
      <c r="R2226" s="3">
        <f t="shared" si="180"/>
        <v>10706.080000000034</v>
      </c>
      <c r="S2226" s="24" t="s">
        <v>1334</v>
      </c>
      <c r="T2226" s="24" t="s">
        <v>1334</v>
      </c>
      <c r="U2226" s="53"/>
      <c r="V2226" s="25">
        <f>IFERROR(VLOOKUP(BCP_Soles[[#This Row],[destinatario]],CHOOSE({1,2},Clientes_Proveedores[Razon Social],Clientes_Proveedores[Ruc / Dni]),2,0),"")</f>
        <v>20558226979</v>
      </c>
      <c r="W2226" s="25" t="s">
        <v>1345</v>
      </c>
      <c r="X2226" s="25" t="s">
        <v>3527</v>
      </c>
      <c r="Y2226" s="25"/>
      <c r="Z2226" s="75"/>
      <c r="AA2226" s="3" t="str">
        <f>IF(BCP_Soles[[#This Row],[fecha]]&gt;0,TEXT(BCP_Soles[[#This Row],[fecha]],"mmmm"),0)</f>
        <v>Junio</v>
      </c>
    </row>
    <row r="2227" spans="1:27" ht="48" x14ac:dyDescent="0.3">
      <c r="A2227" s="2">
        <f>IF(BCP_Soles[[#This Row],[tipo_registro]]="R",COUNTIFS($C$1:$C2226,"R")+1,A2226)</f>
        <v>1664</v>
      </c>
      <c r="B2227" s="19" t="str">
        <f t="shared" si="181"/>
        <v>B-BCP - Soles</v>
      </c>
      <c r="C2227" s="3" t="s">
        <v>1330</v>
      </c>
      <c r="D2227" s="14">
        <v>45831</v>
      </c>
      <c r="E2227" s="5" t="s">
        <v>405</v>
      </c>
      <c r="F2227" s="5" t="s">
        <v>1303</v>
      </c>
      <c r="G2227" s="6" t="s">
        <v>425</v>
      </c>
      <c r="H2227" s="6" t="s">
        <v>68</v>
      </c>
      <c r="I2227" s="6" t="s">
        <v>1784</v>
      </c>
      <c r="J2227" s="6">
        <v>174</v>
      </c>
      <c r="K2227" s="7" t="s">
        <v>1356</v>
      </c>
      <c r="L2227" s="8">
        <v>2348792</v>
      </c>
      <c r="M2227" s="8" t="str">
        <f t="shared" si="182"/>
        <v>PEN</v>
      </c>
      <c r="N2227" s="13"/>
      <c r="O2227" s="13">
        <v>1690.86</v>
      </c>
      <c r="P2227" s="3">
        <f t="shared" si="183"/>
        <v>1690.86</v>
      </c>
      <c r="Q2227" s="3">
        <f t="shared" si="184"/>
        <v>0</v>
      </c>
      <c r="R2227" s="3">
        <f t="shared" si="180"/>
        <v>12396.940000000035</v>
      </c>
      <c r="S2227" s="24" t="s">
        <v>1334</v>
      </c>
      <c r="T2227" s="24" t="s">
        <v>1334</v>
      </c>
      <c r="U2227" s="53"/>
      <c r="V2227" s="25">
        <f>IFERROR(VLOOKUP(BCP_Soles[[#This Row],[destinatario]],CHOOSE({1,2},Clientes_Proveedores[Razon Social],Clientes_Proveedores[Ruc / Dni]),2,0),"")</f>
        <v>20558226979</v>
      </c>
      <c r="W2227" s="25"/>
      <c r="X2227" s="25"/>
      <c r="Y2227" s="25"/>
      <c r="Z2227" s="75"/>
      <c r="AA2227" s="3" t="str">
        <f>IF(BCP_Soles[[#This Row],[fecha]]&gt;0,TEXT(BCP_Soles[[#This Row],[fecha]],"mmmm"),0)</f>
        <v>Junio</v>
      </c>
    </row>
    <row r="2228" spans="1:27" x14ac:dyDescent="0.3">
      <c r="A2228" s="2">
        <f>IF(BCP_Soles[[#This Row],[tipo_registro]]="R",COUNTIFS($C$1:$C2227,"R")+1,A2227)</f>
        <v>1665</v>
      </c>
      <c r="B2228" s="19" t="str">
        <f t="shared" si="181"/>
        <v>B-BCP - Soles</v>
      </c>
      <c r="C2228" s="3" t="s">
        <v>1330</v>
      </c>
      <c r="D2228" s="14">
        <v>45831</v>
      </c>
      <c r="E2228" s="5"/>
      <c r="F2228" s="5" t="s">
        <v>1303</v>
      </c>
      <c r="G2228" s="6" t="s">
        <v>425</v>
      </c>
      <c r="H2228" s="6"/>
      <c r="I2228" s="6"/>
      <c r="J2228" s="6"/>
      <c r="K2228" s="7" t="s">
        <v>1356</v>
      </c>
      <c r="L2228" s="8">
        <v>796603</v>
      </c>
      <c r="M2228" s="8" t="str">
        <f t="shared" si="182"/>
        <v>PEN</v>
      </c>
      <c r="N2228" s="13"/>
      <c r="O2228" s="13">
        <v>8758</v>
      </c>
      <c r="P2228" s="3">
        <f t="shared" si="183"/>
        <v>8758</v>
      </c>
      <c r="Q2228" s="3">
        <f t="shared" si="184"/>
        <v>0</v>
      </c>
      <c r="R2228" s="3">
        <f t="shared" si="180"/>
        <v>21154.940000000035</v>
      </c>
      <c r="S2228" s="24" t="s">
        <v>1334</v>
      </c>
      <c r="T2228" s="24" t="s">
        <v>1334</v>
      </c>
      <c r="U2228" s="53"/>
      <c r="V2228" s="25">
        <f>IFERROR(VLOOKUP(BCP_Soles[[#This Row],[destinatario]],CHOOSE({1,2},Clientes_Proveedores[Razon Social],Clientes_Proveedores[Ruc / Dni]),2,0),"")</f>
        <v>20558226979</v>
      </c>
      <c r="W2228" s="25" t="s">
        <v>1345</v>
      </c>
      <c r="X2228" s="25"/>
      <c r="Y2228" s="25"/>
      <c r="Z2228" s="75"/>
      <c r="AA2228" s="3" t="str">
        <f>IF(BCP_Soles[[#This Row],[fecha]]&gt;0,TEXT(BCP_Soles[[#This Row],[fecha]],"mmmm"),0)</f>
        <v>Junio</v>
      </c>
    </row>
    <row r="2229" spans="1:27" x14ac:dyDescent="0.3">
      <c r="A2229" s="2">
        <f>IF(BCP_Soles[[#This Row],[tipo_registro]]="R",COUNTIFS($C$1:$C2228,"R")+1,A2228)</f>
        <v>1665</v>
      </c>
      <c r="B2229" s="19" t="str">
        <f t="shared" si="181"/>
        <v>B-BCP - Soles</v>
      </c>
      <c r="C2229" s="3" t="s">
        <v>1352</v>
      </c>
      <c r="D2229" s="14">
        <v>45831</v>
      </c>
      <c r="E2229" s="5" t="s">
        <v>1522</v>
      </c>
      <c r="F2229" s="5" t="s">
        <v>1303</v>
      </c>
      <c r="G2229" s="6" t="s">
        <v>425</v>
      </c>
      <c r="H2229" s="6" t="s">
        <v>119</v>
      </c>
      <c r="I2229" s="6">
        <v>1</v>
      </c>
      <c r="J2229" s="6">
        <v>4489</v>
      </c>
      <c r="K2229" s="7" t="s">
        <v>1356</v>
      </c>
      <c r="L2229" s="8">
        <v>796603</v>
      </c>
      <c r="M2229" s="8" t="str">
        <f t="shared" si="182"/>
        <v>PEN</v>
      </c>
      <c r="N2229" s="13">
        <v>2600</v>
      </c>
      <c r="O2229" s="13"/>
      <c r="P2229" s="3">
        <f t="shared" si="183"/>
        <v>0</v>
      </c>
      <c r="Q2229" s="3">
        <f t="shared" si="184"/>
        <v>0</v>
      </c>
      <c r="R2229" s="3">
        <f t="shared" si="180"/>
        <v>21154.940000000035</v>
      </c>
      <c r="S2229" s="24" t="s">
        <v>1334</v>
      </c>
      <c r="T2229" s="24" t="s">
        <v>1334</v>
      </c>
      <c r="U2229" s="53"/>
      <c r="V2229" s="25">
        <f>IFERROR(VLOOKUP(BCP_Soles[[#This Row],[destinatario]],CHOOSE({1,2},Clientes_Proveedores[Razon Social],Clientes_Proveedores[Ruc / Dni]),2,0),"")</f>
        <v>20558226979</v>
      </c>
      <c r="W2229" s="25" t="s">
        <v>1345</v>
      </c>
      <c r="X2229" s="25" t="s">
        <v>3528</v>
      </c>
      <c r="Y2229" s="25"/>
      <c r="Z2229" s="75"/>
      <c r="AA2229" s="3" t="str">
        <f>IF(BCP_Soles[[#This Row],[fecha]]&gt;0,TEXT(BCP_Soles[[#This Row],[fecha]],"mmmm"),0)</f>
        <v>Junio</v>
      </c>
    </row>
    <row r="2230" spans="1:27" x14ac:dyDescent="0.3">
      <c r="A2230" s="2">
        <f>IF(BCP_Soles[[#This Row],[tipo_registro]]="R",COUNTIFS($C$1:$C2229,"R")+1,A2229)</f>
        <v>1665</v>
      </c>
      <c r="B2230" s="19" t="str">
        <f t="shared" si="181"/>
        <v>B-BCP - Soles</v>
      </c>
      <c r="C2230" s="3" t="s">
        <v>1352</v>
      </c>
      <c r="D2230" s="14">
        <v>45831</v>
      </c>
      <c r="E2230" s="5" t="s">
        <v>1522</v>
      </c>
      <c r="F2230" s="5" t="s">
        <v>1303</v>
      </c>
      <c r="G2230" s="6" t="s">
        <v>425</v>
      </c>
      <c r="H2230" s="6" t="s">
        <v>119</v>
      </c>
      <c r="I2230" s="6">
        <v>1</v>
      </c>
      <c r="J2230" s="6">
        <v>4496</v>
      </c>
      <c r="K2230" s="7" t="s">
        <v>1356</v>
      </c>
      <c r="L2230" s="8">
        <v>796603</v>
      </c>
      <c r="M2230" s="8" t="str">
        <f t="shared" si="182"/>
        <v>PEN</v>
      </c>
      <c r="N2230" s="13">
        <v>3237</v>
      </c>
      <c r="O2230" s="13"/>
      <c r="P2230" s="3">
        <f t="shared" si="183"/>
        <v>0</v>
      </c>
      <c r="Q2230" s="3">
        <f t="shared" si="184"/>
        <v>0</v>
      </c>
      <c r="R2230" s="3">
        <f t="shared" si="180"/>
        <v>21154.940000000035</v>
      </c>
      <c r="S2230" s="24" t="s">
        <v>1334</v>
      </c>
      <c r="T2230" s="24" t="s">
        <v>1334</v>
      </c>
      <c r="U2230" s="53"/>
      <c r="V2230" s="25">
        <f>IFERROR(VLOOKUP(BCP_Soles[[#This Row],[destinatario]],CHOOSE({1,2},Clientes_Proveedores[Razon Social],Clientes_Proveedores[Ruc / Dni]),2,0),"")</f>
        <v>20558226979</v>
      </c>
      <c r="W2230" s="25" t="s">
        <v>1345</v>
      </c>
      <c r="X2230" s="25" t="s">
        <v>3529</v>
      </c>
      <c r="Y2230" s="25"/>
      <c r="Z2230" s="75"/>
      <c r="AA2230" s="3" t="str">
        <f>IF(BCP_Soles[[#This Row],[fecha]]&gt;0,TEXT(BCP_Soles[[#This Row],[fecha]],"mmmm"),0)</f>
        <v>Junio</v>
      </c>
    </row>
    <row r="2231" spans="1:27" ht="24" x14ac:dyDescent="0.3">
      <c r="A2231" s="2">
        <f>IF(BCP_Soles[[#This Row],[tipo_registro]]="R",COUNTIFS($C$1:$C2230,"R")+1,A2230)</f>
        <v>1665</v>
      </c>
      <c r="B2231" s="19" t="str">
        <f t="shared" si="181"/>
        <v>B-BCP - Soles</v>
      </c>
      <c r="C2231" s="3" t="s">
        <v>1352</v>
      </c>
      <c r="D2231" s="14">
        <v>45831</v>
      </c>
      <c r="E2231" s="5" t="s">
        <v>3530</v>
      </c>
      <c r="F2231" s="5" t="s">
        <v>1303</v>
      </c>
      <c r="G2231" s="6" t="s">
        <v>425</v>
      </c>
      <c r="H2231" s="6" t="s">
        <v>119</v>
      </c>
      <c r="I2231" s="6">
        <v>1</v>
      </c>
      <c r="J2231" s="6">
        <v>4527</v>
      </c>
      <c r="K2231" s="7" t="s">
        <v>1356</v>
      </c>
      <c r="L2231" s="8">
        <v>796603</v>
      </c>
      <c r="M2231" s="8" t="str">
        <f t="shared" si="182"/>
        <v>PEN</v>
      </c>
      <c r="N2231" s="13">
        <v>2100</v>
      </c>
      <c r="O2231" s="13"/>
      <c r="P2231" s="3">
        <f t="shared" si="183"/>
        <v>0</v>
      </c>
      <c r="Q2231" s="3">
        <f t="shared" si="184"/>
        <v>0</v>
      </c>
      <c r="R2231" s="3">
        <f t="shared" si="180"/>
        <v>21154.940000000035</v>
      </c>
      <c r="S2231" s="24" t="s">
        <v>1334</v>
      </c>
      <c r="T2231" s="24" t="s">
        <v>1334</v>
      </c>
      <c r="U2231" s="53"/>
      <c r="V2231" s="25">
        <f>IFERROR(VLOOKUP(BCP_Soles[[#This Row],[destinatario]],CHOOSE({1,2},Clientes_Proveedores[Razon Social],Clientes_Proveedores[Ruc / Dni]),2,0),"")</f>
        <v>20558226979</v>
      </c>
      <c r="W2231" s="25" t="s">
        <v>1345</v>
      </c>
      <c r="X2231" s="25" t="s">
        <v>3531</v>
      </c>
      <c r="Y2231" s="25"/>
      <c r="Z2231" s="75"/>
      <c r="AA2231" s="3" t="str">
        <f>IF(BCP_Soles[[#This Row],[fecha]]&gt;0,TEXT(BCP_Soles[[#This Row],[fecha]],"mmmm"),0)</f>
        <v>Junio</v>
      </c>
    </row>
    <row r="2232" spans="1:27" ht="24" x14ac:dyDescent="0.3">
      <c r="A2232" s="2">
        <f>IF(BCP_Soles[[#This Row],[tipo_registro]]="R",COUNTIFS($C$1:$C2231,"R")+1,A2231)</f>
        <v>1665</v>
      </c>
      <c r="B2232" s="19" t="str">
        <f t="shared" si="181"/>
        <v>B-BCP - Soles</v>
      </c>
      <c r="C2232" s="3" t="s">
        <v>1352</v>
      </c>
      <c r="D2232" s="14">
        <v>45831</v>
      </c>
      <c r="E2232" s="5" t="s">
        <v>3530</v>
      </c>
      <c r="F2232" s="5" t="s">
        <v>1303</v>
      </c>
      <c r="G2232" s="6" t="s">
        <v>425</v>
      </c>
      <c r="H2232" s="6" t="s">
        <v>119</v>
      </c>
      <c r="I2232" s="6">
        <v>1</v>
      </c>
      <c r="J2232" s="6">
        <v>4528</v>
      </c>
      <c r="K2232" s="7" t="s">
        <v>1356</v>
      </c>
      <c r="L2232" s="8">
        <v>796603</v>
      </c>
      <c r="M2232" s="8" t="str">
        <f t="shared" si="182"/>
        <v>PEN</v>
      </c>
      <c r="N2232" s="13">
        <v>821</v>
      </c>
      <c r="O2232" s="13"/>
      <c r="P2232" s="3">
        <f t="shared" si="183"/>
        <v>0</v>
      </c>
      <c r="Q2232" s="3">
        <f t="shared" si="184"/>
        <v>0</v>
      </c>
      <c r="R2232" s="3">
        <f t="shared" si="180"/>
        <v>21154.940000000035</v>
      </c>
      <c r="S2232" s="24" t="s">
        <v>1334</v>
      </c>
      <c r="T2232" s="24" t="s">
        <v>1334</v>
      </c>
      <c r="U2232" s="53"/>
      <c r="V2232" s="25">
        <f>IFERROR(VLOOKUP(BCP_Soles[[#This Row],[destinatario]],CHOOSE({1,2},Clientes_Proveedores[Razon Social],Clientes_Proveedores[Ruc / Dni]),2,0),"")</f>
        <v>20558226979</v>
      </c>
      <c r="W2232" s="25" t="s">
        <v>1345</v>
      </c>
      <c r="X2232" s="25" t="s">
        <v>3532</v>
      </c>
      <c r="Y2232" s="25"/>
      <c r="Z2232" s="75"/>
      <c r="AA2232" s="3" t="str">
        <f>IF(BCP_Soles[[#This Row],[fecha]]&gt;0,TEXT(BCP_Soles[[#This Row],[fecha]],"mmmm"),0)</f>
        <v>Junio</v>
      </c>
    </row>
    <row r="2233" spans="1:27" x14ac:dyDescent="0.3">
      <c r="A2233" s="2">
        <f>IF(BCP_Soles[[#This Row],[tipo_registro]]="R",COUNTIFS($C$1:$C2232,"R")+1,A2232)</f>
        <v>1666</v>
      </c>
      <c r="B2233" s="19" t="str">
        <f t="shared" si="181"/>
        <v>B-BCP - Soles</v>
      </c>
      <c r="C2233" s="3" t="s">
        <v>1330</v>
      </c>
      <c r="D2233" s="14">
        <v>45831</v>
      </c>
      <c r="E2233" s="5" t="s">
        <v>1335</v>
      </c>
      <c r="F2233" s="5" t="s">
        <v>1336</v>
      </c>
      <c r="G2233" s="6"/>
      <c r="H2233" s="6"/>
      <c r="I2233" s="6"/>
      <c r="J2233" s="6"/>
      <c r="K2233" s="7" t="s">
        <v>3160</v>
      </c>
      <c r="L2233" s="8"/>
      <c r="M2233" s="8" t="str">
        <f t="shared" si="182"/>
        <v>PEN</v>
      </c>
      <c r="N2233" s="13"/>
      <c r="O2233" s="13">
        <v>0.65</v>
      </c>
      <c r="P2233" s="3">
        <f t="shared" si="183"/>
        <v>0</v>
      </c>
      <c r="Q2233" s="3">
        <f t="shared" si="184"/>
        <v>0.65</v>
      </c>
      <c r="R2233" s="3">
        <f t="shared" si="180"/>
        <v>21154.290000000034</v>
      </c>
      <c r="S2233" s="24"/>
      <c r="T2233" s="24" t="s">
        <v>1334</v>
      </c>
      <c r="U2233" s="53"/>
      <c r="V2233" s="25" t="str">
        <f>IFERROR(VLOOKUP(BCP_Soles[[#This Row],[destinatario]],CHOOSE({1,2},Clientes_Proveedores[Razon Social],Clientes_Proveedores[Ruc / Dni]),2,0),"")</f>
        <v/>
      </c>
      <c r="W2233" s="25"/>
      <c r="X2233" s="25"/>
      <c r="Y2233" s="25"/>
      <c r="Z2233" s="75"/>
      <c r="AA2233" s="3" t="str">
        <f>IF(BCP_Soles[[#This Row],[fecha]]&gt;0,TEXT(BCP_Soles[[#This Row],[fecha]],"mmmm"),0)</f>
        <v>Junio</v>
      </c>
    </row>
    <row r="2234" spans="1:27" ht="24" x14ac:dyDescent="0.3">
      <c r="A2234" s="2">
        <f>IF(BCP_Soles[[#This Row],[tipo_registro]]="R",COUNTIFS($C$1:$C2233,"R")+1,A2233)</f>
        <v>1667</v>
      </c>
      <c r="B2234" s="19" t="str">
        <f t="shared" si="181"/>
        <v>B-BCP - Soles</v>
      </c>
      <c r="C2234" s="3" t="s">
        <v>1330</v>
      </c>
      <c r="D2234" s="14">
        <v>45832</v>
      </c>
      <c r="E2234" s="5" t="s">
        <v>433</v>
      </c>
      <c r="F2234" s="5" t="s">
        <v>1303</v>
      </c>
      <c r="G2234" s="6" t="s">
        <v>425</v>
      </c>
      <c r="H2234" s="6" t="s">
        <v>68</v>
      </c>
      <c r="I2234" s="6" t="s">
        <v>3302</v>
      </c>
      <c r="J2234" s="6">
        <v>74</v>
      </c>
      <c r="K2234" s="7" t="s">
        <v>1356</v>
      </c>
      <c r="L2234" s="8">
        <v>2396152</v>
      </c>
      <c r="M2234" s="8" t="str">
        <f t="shared" si="182"/>
        <v>PEN</v>
      </c>
      <c r="N2234" s="13"/>
      <c r="O2234" s="13">
        <v>2157.1799999999998</v>
      </c>
      <c r="P2234" s="3">
        <f t="shared" si="183"/>
        <v>2157.1799999999998</v>
      </c>
      <c r="Q2234" s="3">
        <f t="shared" si="184"/>
        <v>0</v>
      </c>
      <c r="R2234" s="3">
        <f t="shared" si="180"/>
        <v>23311.470000000034</v>
      </c>
      <c r="S2234" s="24" t="s">
        <v>1334</v>
      </c>
      <c r="T2234" s="24" t="s">
        <v>1334</v>
      </c>
      <c r="U2234" s="53"/>
      <c r="V2234" s="25">
        <f>IFERROR(VLOOKUP(BCP_Soles[[#This Row],[destinatario]],CHOOSE({1,2},Clientes_Proveedores[Razon Social],Clientes_Proveedores[Ruc / Dni]),2,0),"")</f>
        <v>20558226979</v>
      </c>
      <c r="W2234" s="25" t="s">
        <v>1345</v>
      </c>
      <c r="X2234" s="25" t="s">
        <v>3533</v>
      </c>
      <c r="Y2234" s="25"/>
      <c r="Z2234" s="75"/>
      <c r="AA2234" s="3" t="str">
        <f>IF(BCP_Soles[[#This Row],[fecha]]&gt;0,TEXT(BCP_Soles[[#This Row],[fecha]],"mmmm"),0)</f>
        <v>Junio</v>
      </c>
    </row>
    <row r="2235" spans="1:27" ht="24" x14ac:dyDescent="0.3">
      <c r="A2235" s="2">
        <f>IF(BCP_Soles[[#This Row],[tipo_registro]]="R",COUNTIFS($C$1:$C2234,"R")+1,A2234)</f>
        <v>1668</v>
      </c>
      <c r="B2235" s="19" t="str">
        <f t="shared" si="181"/>
        <v>B-BCP - Soles</v>
      </c>
      <c r="C2235" s="3" t="s">
        <v>1330</v>
      </c>
      <c r="D2235" s="14">
        <v>45832</v>
      </c>
      <c r="E2235" s="5" t="s">
        <v>462</v>
      </c>
      <c r="F2235" s="5" t="s">
        <v>1303</v>
      </c>
      <c r="G2235" s="6" t="s">
        <v>425</v>
      </c>
      <c r="H2235" s="6" t="s">
        <v>68</v>
      </c>
      <c r="I2235" s="6" t="s">
        <v>3381</v>
      </c>
      <c r="J2235" s="6">
        <v>37</v>
      </c>
      <c r="K2235" s="7" t="s">
        <v>1356</v>
      </c>
      <c r="L2235" s="8">
        <v>1953844</v>
      </c>
      <c r="M2235" s="8" t="str">
        <f t="shared" si="182"/>
        <v>PEN</v>
      </c>
      <c r="N2235" s="13"/>
      <c r="O2235" s="13">
        <v>1893</v>
      </c>
      <c r="P2235" s="3">
        <f t="shared" si="183"/>
        <v>1893</v>
      </c>
      <c r="Q2235" s="3">
        <f t="shared" si="184"/>
        <v>0</v>
      </c>
      <c r="R2235" s="3">
        <f t="shared" si="180"/>
        <v>25204.470000000034</v>
      </c>
      <c r="S2235" s="24" t="s">
        <v>1334</v>
      </c>
      <c r="T2235" s="24" t="s">
        <v>1334</v>
      </c>
      <c r="U2235" s="53"/>
      <c r="V2235" s="25">
        <f>IFERROR(VLOOKUP(BCP_Soles[[#This Row],[destinatario]],CHOOSE({1,2},Clientes_Proveedores[Razon Social],Clientes_Proveedores[Ruc / Dni]),2,0),"")</f>
        <v>20558226979</v>
      </c>
      <c r="W2235" s="25" t="s">
        <v>1345</v>
      </c>
      <c r="X2235" s="25" t="s">
        <v>3534</v>
      </c>
      <c r="Y2235" s="25"/>
      <c r="Z2235" s="75"/>
      <c r="AA2235" s="3" t="str">
        <f>IF(BCP_Soles[[#This Row],[fecha]]&gt;0,TEXT(BCP_Soles[[#This Row],[fecha]],"mmmm"),0)</f>
        <v>Junio</v>
      </c>
    </row>
    <row r="2236" spans="1:27" ht="24" x14ac:dyDescent="0.3">
      <c r="A2236" s="2">
        <f>IF(BCP_Soles[[#This Row],[tipo_registro]]="R",COUNTIFS($C$1:$C2235,"R")+1,A2235)</f>
        <v>1669</v>
      </c>
      <c r="B2236" s="19" t="str">
        <f t="shared" si="181"/>
        <v>B-BCP - Soles</v>
      </c>
      <c r="C2236" s="3" t="s">
        <v>1330</v>
      </c>
      <c r="D2236" s="14">
        <v>45832</v>
      </c>
      <c r="E2236" s="5" t="s">
        <v>433</v>
      </c>
      <c r="F2236" s="5" t="s">
        <v>1303</v>
      </c>
      <c r="G2236" s="6" t="s">
        <v>425</v>
      </c>
      <c r="H2236" s="6" t="s">
        <v>68</v>
      </c>
      <c r="I2236" s="6" t="s">
        <v>3302</v>
      </c>
      <c r="J2236" s="6">
        <v>72</v>
      </c>
      <c r="K2236" s="7" t="s">
        <v>1356</v>
      </c>
      <c r="L2236" s="8">
        <v>2392182</v>
      </c>
      <c r="M2236" s="8" t="str">
        <f t="shared" si="182"/>
        <v>PEN</v>
      </c>
      <c r="N2236" s="13"/>
      <c r="O2236" s="13">
        <v>692.2</v>
      </c>
      <c r="P2236" s="3">
        <f t="shared" si="183"/>
        <v>692.2</v>
      </c>
      <c r="Q2236" s="3">
        <f t="shared" si="184"/>
        <v>0</v>
      </c>
      <c r="R2236" s="3">
        <f t="shared" si="180"/>
        <v>25896.670000000035</v>
      </c>
      <c r="S2236" s="24" t="s">
        <v>1334</v>
      </c>
      <c r="T2236" s="24" t="s">
        <v>1334</v>
      </c>
      <c r="U2236" s="53"/>
      <c r="V2236" s="25">
        <f>IFERROR(VLOOKUP(BCP_Soles[[#This Row],[destinatario]],CHOOSE({1,2},Clientes_Proveedores[Razon Social],Clientes_Proveedores[Ruc / Dni]),2,0),"")</f>
        <v>20558226979</v>
      </c>
      <c r="W2236" s="25" t="s">
        <v>1345</v>
      </c>
      <c r="X2236" s="25" t="s">
        <v>3535</v>
      </c>
      <c r="Y2236" s="25"/>
      <c r="Z2236" s="75"/>
      <c r="AA2236" s="3" t="str">
        <f>IF(BCP_Soles[[#This Row],[fecha]]&gt;0,TEXT(BCP_Soles[[#This Row],[fecha]],"mmmm"),0)</f>
        <v>Junio</v>
      </c>
    </row>
    <row r="2237" spans="1:27" ht="36" x14ac:dyDescent="0.3">
      <c r="A2237" s="2">
        <f>IF(BCP_Soles[[#This Row],[tipo_registro]]="R",COUNTIFS($C$1:$C2236,"R")+1,A2236)</f>
        <v>1670</v>
      </c>
      <c r="B2237" s="19" t="str">
        <f t="shared" si="181"/>
        <v>B-BCP - Soles</v>
      </c>
      <c r="C2237" s="3" t="s">
        <v>1330</v>
      </c>
      <c r="D2237" s="14">
        <v>45832</v>
      </c>
      <c r="E2237" s="5" t="s">
        <v>660</v>
      </c>
      <c r="F2237" s="5" t="s">
        <v>1303</v>
      </c>
      <c r="G2237" s="6" t="s">
        <v>425</v>
      </c>
      <c r="H2237" s="6" t="s">
        <v>68</v>
      </c>
      <c r="I2237" s="6" t="s">
        <v>3302</v>
      </c>
      <c r="J2237" s="6">
        <v>61</v>
      </c>
      <c r="K2237" s="7" t="s">
        <v>1356</v>
      </c>
      <c r="L2237" s="8">
        <v>796471</v>
      </c>
      <c r="M2237" s="8" t="str">
        <f t="shared" si="182"/>
        <v>PEN</v>
      </c>
      <c r="N2237" s="13"/>
      <c r="O2237" s="13">
        <v>595.9</v>
      </c>
      <c r="P2237" s="3">
        <f t="shared" si="183"/>
        <v>595.9</v>
      </c>
      <c r="Q2237" s="3">
        <f t="shared" si="184"/>
        <v>0</v>
      </c>
      <c r="R2237" s="3">
        <f t="shared" si="180"/>
        <v>26492.570000000036</v>
      </c>
      <c r="S2237" s="24" t="s">
        <v>1334</v>
      </c>
      <c r="T2237" s="24" t="s">
        <v>1334</v>
      </c>
      <c r="U2237" s="53"/>
      <c r="V2237" s="25">
        <f>IFERROR(VLOOKUP(BCP_Soles[[#This Row],[destinatario]],CHOOSE({1,2},Clientes_Proveedores[Razon Social],Clientes_Proveedores[Ruc / Dni]),2,0),"")</f>
        <v>20558226979</v>
      </c>
      <c r="W2237" s="25" t="s">
        <v>1345</v>
      </c>
      <c r="X2237" s="25" t="s">
        <v>3536</v>
      </c>
      <c r="Y2237" s="25"/>
      <c r="Z2237" s="75"/>
      <c r="AA2237" s="3" t="str">
        <f>IF(BCP_Soles[[#This Row],[fecha]]&gt;0,TEXT(BCP_Soles[[#This Row],[fecha]],"mmmm"),0)</f>
        <v>Junio</v>
      </c>
    </row>
    <row r="2238" spans="1:27" ht="24" x14ac:dyDescent="0.3">
      <c r="A2238" s="2">
        <f>IF(BCP_Soles[[#This Row],[tipo_registro]]="R",COUNTIFS($C$1:$C2237,"R")+1,A2237)</f>
        <v>1671</v>
      </c>
      <c r="B2238" s="19" t="str">
        <f t="shared" si="181"/>
        <v>B-BCP - Soles</v>
      </c>
      <c r="C2238" s="3" t="s">
        <v>1330</v>
      </c>
      <c r="D2238" s="14">
        <v>45832</v>
      </c>
      <c r="E2238" s="5" t="s">
        <v>3445</v>
      </c>
      <c r="F2238" s="5" t="s">
        <v>1303</v>
      </c>
      <c r="G2238" s="6" t="s">
        <v>425</v>
      </c>
      <c r="H2238" s="6" t="s">
        <v>119</v>
      </c>
      <c r="I2238" s="6">
        <v>1</v>
      </c>
      <c r="J2238" s="6">
        <v>4530</v>
      </c>
      <c r="K2238" s="7" t="s">
        <v>1356</v>
      </c>
      <c r="L2238" s="8">
        <v>437862</v>
      </c>
      <c r="M2238" s="8" t="str">
        <f t="shared" si="182"/>
        <v>PEN</v>
      </c>
      <c r="N2238" s="13"/>
      <c r="O2238" s="13">
        <v>213.5</v>
      </c>
      <c r="P2238" s="3">
        <f t="shared" si="183"/>
        <v>213.5</v>
      </c>
      <c r="Q2238" s="3">
        <f t="shared" si="184"/>
        <v>0</v>
      </c>
      <c r="R2238" s="3">
        <f t="shared" si="180"/>
        <v>26706.070000000036</v>
      </c>
      <c r="S2238" s="24" t="s">
        <v>1334</v>
      </c>
      <c r="T2238" s="24" t="s">
        <v>1334</v>
      </c>
      <c r="U2238" s="53"/>
      <c r="V2238" s="25">
        <f>IFERROR(VLOOKUP(BCP_Soles[[#This Row],[destinatario]],CHOOSE({1,2},Clientes_Proveedores[Razon Social],Clientes_Proveedores[Ruc / Dni]),2,0),"")</f>
        <v>20558226979</v>
      </c>
      <c r="W2238" s="25" t="s">
        <v>1345</v>
      </c>
      <c r="X2238" s="25"/>
      <c r="Y2238" s="25"/>
      <c r="Z2238" s="75"/>
      <c r="AA2238" s="3" t="str">
        <f>IF(BCP_Soles[[#This Row],[fecha]]&gt;0,TEXT(BCP_Soles[[#This Row],[fecha]],"mmmm"),0)</f>
        <v>Junio</v>
      </c>
    </row>
    <row r="2239" spans="1:27" ht="24" x14ac:dyDescent="0.3">
      <c r="A2239" s="2">
        <f>IF(BCP_Soles[[#This Row],[tipo_registro]]="R",COUNTIFS($C$1:$C2238,"R")+1,A2238)</f>
        <v>1672</v>
      </c>
      <c r="B2239" s="19" t="str">
        <f t="shared" si="181"/>
        <v>B-BCP - Soles</v>
      </c>
      <c r="C2239" s="3" t="s">
        <v>1330</v>
      </c>
      <c r="D2239" s="14">
        <v>45832</v>
      </c>
      <c r="E2239" s="5" t="s">
        <v>424</v>
      </c>
      <c r="F2239" s="5" t="s">
        <v>1303</v>
      </c>
      <c r="G2239" s="6" t="s">
        <v>425</v>
      </c>
      <c r="H2239" s="6" t="s">
        <v>68</v>
      </c>
      <c r="I2239" s="6" t="s">
        <v>3302</v>
      </c>
      <c r="J2239" s="6">
        <v>75</v>
      </c>
      <c r="K2239" s="7" t="s">
        <v>1930</v>
      </c>
      <c r="L2239" s="8">
        <v>6052916</v>
      </c>
      <c r="M2239" s="8" t="str">
        <f t="shared" si="182"/>
        <v>PEN</v>
      </c>
      <c r="N2239" s="13"/>
      <c r="O2239" s="13">
        <v>144.91999999999999</v>
      </c>
      <c r="P2239" s="3">
        <f t="shared" si="183"/>
        <v>144.91999999999999</v>
      </c>
      <c r="Q2239" s="3">
        <f t="shared" si="184"/>
        <v>0</v>
      </c>
      <c r="R2239" s="3">
        <f t="shared" si="180"/>
        <v>26850.990000000034</v>
      </c>
      <c r="S2239" s="24" t="s">
        <v>1334</v>
      </c>
      <c r="T2239" s="24" t="s">
        <v>1334</v>
      </c>
      <c r="U2239" s="53"/>
      <c r="V2239" s="25">
        <f>IFERROR(VLOOKUP(BCP_Soles[[#This Row],[destinatario]],CHOOSE({1,2},Clientes_Proveedores[Razon Social],Clientes_Proveedores[Ruc / Dni]),2,0),"")</f>
        <v>20558226979</v>
      </c>
      <c r="W2239" s="25" t="s">
        <v>1345</v>
      </c>
      <c r="X2239" s="25" t="s">
        <v>3537</v>
      </c>
      <c r="Y2239" s="25"/>
      <c r="Z2239" s="75"/>
      <c r="AA2239" s="3" t="str">
        <f>IF(BCP_Soles[[#This Row],[fecha]]&gt;0,TEXT(BCP_Soles[[#This Row],[fecha]],"mmmm"),0)</f>
        <v>Junio</v>
      </c>
    </row>
    <row r="2240" spans="1:27" ht="24" x14ac:dyDescent="0.3">
      <c r="A2240" s="2">
        <f>IF(BCP_Soles[[#This Row],[tipo_registro]]="R",COUNTIFS($C$1:$C2239,"R")+1,A2239)</f>
        <v>1673</v>
      </c>
      <c r="B2240" s="19" t="str">
        <f t="shared" si="181"/>
        <v>B-BCP - Soles</v>
      </c>
      <c r="C2240" s="3" t="s">
        <v>1330</v>
      </c>
      <c r="D2240" s="14">
        <v>45832</v>
      </c>
      <c r="E2240" s="5" t="s">
        <v>1331</v>
      </c>
      <c r="F2240" s="5" t="s">
        <v>1336</v>
      </c>
      <c r="G2240" s="6" t="s">
        <v>1127</v>
      </c>
      <c r="H2240" s="6" t="s">
        <v>68</v>
      </c>
      <c r="I2240" s="6" t="s">
        <v>1376</v>
      </c>
      <c r="J2240" s="6">
        <v>1559</v>
      </c>
      <c r="K2240" s="7" t="s">
        <v>3538</v>
      </c>
      <c r="L2240" s="8">
        <v>1057701</v>
      </c>
      <c r="M2240" s="8" t="str">
        <f t="shared" si="182"/>
        <v>PEN</v>
      </c>
      <c r="N2240" s="13"/>
      <c r="O2240" s="13">
        <v>2145.4</v>
      </c>
      <c r="P2240" s="3">
        <f t="shared" si="183"/>
        <v>0</v>
      </c>
      <c r="Q2240" s="3">
        <f t="shared" si="184"/>
        <v>2145.4</v>
      </c>
      <c r="R2240" s="3">
        <f t="shared" si="180"/>
        <v>24705.590000000033</v>
      </c>
      <c r="S2240" s="24" t="s">
        <v>1334</v>
      </c>
      <c r="T2240" s="24" t="s">
        <v>1334</v>
      </c>
      <c r="U2240" s="54" t="s">
        <v>3539</v>
      </c>
      <c r="V2240" s="102">
        <f>IFERROR(VLOOKUP(BCP_Soles[[#This Row],[destinatario]],CHOOSE({1,2},Clientes_Proveedores[Razon Social],Clientes_Proveedores[Ruc / Dni]),2,0),"")</f>
        <v>20559236803</v>
      </c>
      <c r="W2240" s="27" t="s">
        <v>3540</v>
      </c>
      <c r="X2240" s="27"/>
      <c r="Y2240" s="27"/>
      <c r="Z2240" s="27"/>
      <c r="AA2240" s="3" t="str">
        <f>IF(BCP_Soles[[#This Row],[fecha]]&gt;0,TEXT(BCP_Soles[[#This Row],[fecha]],"mmmm"),0)</f>
        <v>Junio</v>
      </c>
    </row>
    <row r="2241" spans="1:27" ht="24" x14ac:dyDescent="0.3">
      <c r="A2241" s="2">
        <f>IF(BCP_Soles[[#This Row],[tipo_registro]]="R",COUNTIFS($C$1:$C2240,"R")+1,A2240)</f>
        <v>1674</v>
      </c>
      <c r="B2241" s="19" t="str">
        <f t="shared" si="181"/>
        <v>B-BCP - Soles</v>
      </c>
      <c r="C2241" s="3" t="s">
        <v>1330</v>
      </c>
      <c r="D2241" s="14">
        <v>45832</v>
      </c>
      <c r="E2241" s="5" t="s">
        <v>1331</v>
      </c>
      <c r="F2241" s="5" t="s">
        <v>1336</v>
      </c>
      <c r="G2241" s="6" t="s">
        <v>400</v>
      </c>
      <c r="H2241" s="6" t="s">
        <v>68</v>
      </c>
      <c r="I2241" s="6" t="s">
        <v>2331</v>
      </c>
      <c r="J2241" s="6">
        <v>118349</v>
      </c>
      <c r="K2241" s="7" t="s">
        <v>3541</v>
      </c>
      <c r="L2241" s="8">
        <v>1058196</v>
      </c>
      <c r="M2241" s="8" t="str">
        <f t="shared" si="182"/>
        <v>PEN</v>
      </c>
      <c r="N2241" s="13"/>
      <c r="O2241" s="13">
        <v>249</v>
      </c>
      <c r="P2241" s="3">
        <f t="shared" si="183"/>
        <v>0</v>
      </c>
      <c r="Q2241" s="3">
        <f t="shared" si="184"/>
        <v>249</v>
      </c>
      <c r="R2241" s="3">
        <f t="shared" si="180"/>
        <v>24456.590000000033</v>
      </c>
      <c r="S2241" s="24" t="s">
        <v>1334</v>
      </c>
      <c r="T2241" s="24" t="s">
        <v>1334</v>
      </c>
      <c r="U2241" s="54" t="s">
        <v>3542</v>
      </c>
      <c r="V2241" s="102">
        <f>IFERROR(VLOOKUP(BCP_Soles[[#This Row],[destinatario]],CHOOSE({1,2},Clientes_Proveedores[Razon Social],Clientes_Proveedores[Ruc / Dni]),2,0),"")</f>
        <v>20546153372</v>
      </c>
      <c r="W2241" s="27" t="s">
        <v>1892</v>
      </c>
      <c r="X2241" s="27" t="s">
        <v>3543</v>
      </c>
      <c r="Y2241" s="27"/>
      <c r="Z2241" s="27"/>
      <c r="AA2241" s="3" t="str">
        <f>IF(BCP_Soles[[#This Row],[fecha]]&gt;0,TEXT(BCP_Soles[[#This Row],[fecha]],"mmmm"),0)</f>
        <v>Junio</v>
      </c>
    </row>
    <row r="2242" spans="1:27" ht="48" x14ac:dyDescent="0.3">
      <c r="A2242" s="2">
        <f>IF(BCP_Soles[[#This Row],[tipo_registro]]="R",COUNTIFS($C$1:$C2241,"R")+1,A2241)</f>
        <v>1675</v>
      </c>
      <c r="B2242" s="19" t="str">
        <f t="shared" si="181"/>
        <v>B-BCP - Soles</v>
      </c>
      <c r="C2242" s="3" t="s">
        <v>1330</v>
      </c>
      <c r="D2242" s="14">
        <v>45832</v>
      </c>
      <c r="E2242" s="5" t="s">
        <v>1331</v>
      </c>
      <c r="F2242" s="5" t="s">
        <v>1336</v>
      </c>
      <c r="G2242" s="6" t="s">
        <v>488</v>
      </c>
      <c r="H2242" s="6" t="s">
        <v>68</v>
      </c>
      <c r="I2242" s="6" t="s">
        <v>1374</v>
      </c>
      <c r="J2242" s="6">
        <v>36342</v>
      </c>
      <c r="K2242" s="7" t="s">
        <v>3544</v>
      </c>
      <c r="L2242" s="8">
        <v>1058698</v>
      </c>
      <c r="M2242" s="8" t="str">
        <f t="shared" si="182"/>
        <v>PEN</v>
      </c>
      <c r="N2242" s="13"/>
      <c r="O2242" s="13">
        <v>80</v>
      </c>
      <c r="P2242" s="3">
        <f t="shared" si="183"/>
        <v>0</v>
      </c>
      <c r="Q2242" s="3">
        <f t="shared" si="184"/>
        <v>80</v>
      </c>
      <c r="R2242" s="3">
        <f t="shared" si="180"/>
        <v>24376.590000000033</v>
      </c>
      <c r="S2242" s="24" t="s">
        <v>1334</v>
      </c>
      <c r="T2242" s="24" t="s">
        <v>1334</v>
      </c>
      <c r="U2242" s="54" t="s">
        <v>3545</v>
      </c>
      <c r="V2242" s="102">
        <f>IFERROR(VLOOKUP(BCP_Soles[[#This Row],[destinatario]],CHOOSE({1,2},Clientes_Proveedores[Razon Social],Clientes_Proveedores[Ruc / Dni]),2,0),"")</f>
        <v>20602484425</v>
      </c>
      <c r="W2242" s="27" t="s">
        <v>3215</v>
      </c>
      <c r="X2242" s="27" t="s">
        <v>3546</v>
      </c>
      <c r="Y2242" s="27"/>
      <c r="Z2242" s="27"/>
      <c r="AA2242" s="3" t="str">
        <f>IF(BCP_Soles[[#This Row],[fecha]]&gt;0,TEXT(BCP_Soles[[#This Row],[fecha]],"mmmm"),0)</f>
        <v>Junio</v>
      </c>
    </row>
    <row r="2243" spans="1:27" ht="24" x14ac:dyDescent="0.3">
      <c r="A2243" s="2">
        <f>IF(BCP_Soles[[#This Row],[tipo_registro]]="R",COUNTIFS($C$1:$C2242,"R")+1,A2242)</f>
        <v>1676</v>
      </c>
      <c r="B2243" s="19" t="str">
        <f t="shared" si="181"/>
        <v>B-BCP - Soles</v>
      </c>
      <c r="C2243" s="3" t="s">
        <v>1330</v>
      </c>
      <c r="D2243" s="14">
        <v>45832</v>
      </c>
      <c r="E2243" s="5" t="s">
        <v>1331</v>
      </c>
      <c r="F2243" s="5" t="s">
        <v>1336</v>
      </c>
      <c r="G2243" s="148" t="s">
        <v>895</v>
      </c>
      <c r="H2243" s="6"/>
      <c r="I2243" s="6"/>
      <c r="J2243" s="6"/>
      <c r="K2243" s="7" t="s">
        <v>3547</v>
      </c>
      <c r="L2243" s="8">
        <v>1057220</v>
      </c>
      <c r="M2243" s="8" t="str">
        <f t="shared" si="182"/>
        <v>PEN</v>
      </c>
      <c r="N2243" s="13"/>
      <c r="O2243" s="13">
        <v>1816.5</v>
      </c>
      <c r="P2243" s="3">
        <f t="shared" si="183"/>
        <v>0</v>
      </c>
      <c r="Q2243" s="3">
        <f t="shared" si="184"/>
        <v>1816.5</v>
      </c>
      <c r="R2243" s="3">
        <f t="shared" si="180"/>
        <v>22560.090000000033</v>
      </c>
      <c r="S2243" s="24"/>
      <c r="T2243" s="24" t="s">
        <v>1334</v>
      </c>
      <c r="U2243" s="54" t="s">
        <v>3548</v>
      </c>
      <c r="V2243" s="102">
        <f>IFERROR(VLOOKUP(BCP_Soles[[#This Row],[destinatario]],CHOOSE({1,2},Clientes_Proveedores[Razon Social],Clientes_Proveedores[Ruc / Dni]),2,0),"")</f>
        <v>72144092</v>
      </c>
      <c r="W2243" s="27" t="s">
        <v>895</v>
      </c>
      <c r="X2243" s="27"/>
      <c r="Y2243" s="27"/>
      <c r="Z2243" s="27"/>
      <c r="AA2243" s="3" t="str">
        <f>IF(BCP_Soles[[#This Row],[fecha]]&gt;0,TEXT(BCP_Soles[[#This Row],[fecha]],"mmmm"),0)</f>
        <v>Junio</v>
      </c>
    </row>
    <row r="2244" spans="1:27" ht="24" x14ac:dyDescent="0.3">
      <c r="A2244" s="2">
        <f>IF(BCP_Soles[[#This Row],[tipo_registro]]="R",COUNTIFS($C$1:$C2243,"R")+1,A2243)</f>
        <v>1677</v>
      </c>
      <c r="B2244" s="19" t="str">
        <f t="shared" si="181"/>
        <v>B-BCP - Soles</v>
      </c>
      <c r="C2244" s="3" t="s">
        <v>1330</v>
      </c>
      <c r="D2244" s="14">
        <v>45832</v>
      </c>
      <c r="E2244" s="5" t="s">
        <v>1331</v>
      </c>
      <c r="F2244" s="5" t="s">
        <v>1336</v>
      </c>
      <c r="G2244" s="6" t="s">
        <v>705</v>
      </c>
      <c r="H2244" s="6" t="s">
        <v>106</v>
      </c>
      <c r="I2244" s="6" t="s">
        <v>2488</v>
      </c>
      <c r="J2244" s="6">
        <v>71193322</v>
      </c>
      <c r="K2244" s="7" t="s">
        <v>3549</v>
      </c>
      <c r="L2244" s="8">
        <v>4110691</v>
      </c>
      <c r="M2244" s="8" t="str">
        <f t="shared" si="182"/>
        <v>PEN</v>
      </c>
      <c r="N2244" s="13"/>
      <c r="O2244" s="13">
        <v>142.9</v>
      </c>
      <c r="P2244" s="3">
        <f t="shared" si="183"/>
        <v>0</v>
      </c>
      <c r="Q2244" s="3">
        <f t="shared" si="184"/>
        <v>142.9</v>
      </c>
      <c r="R2244" s="3">
        <f t="shared" si="180"/>
        <v>22417.190000000031</v>
      </c>
      <c r="S2244" s="24" t="s">
        <v>1334</v>
      </c>
      <c r="T2244" s="24" t="s">
        <v>1334</v>
      </c>
      <c r="U2244" s="54" t="s">
        <v>3550</v>
      </c>
      <c r="V2244" s="102">
        <f>IFERROR(VLOOKUP(BCP_Soles[[#This Row],[destinatario]],CHOOSE({1,2},Clientes_Proveedores[Razon Social],Clientes_Proveedores[Ruc / Dni]),2,0),"")</f>
        <v>20100017491</v>
      </c>
      <c r="W2244" s="27" t="s">
        <v>1565</v>
      </c>
      <c r="X2244" s="27" t="s">
        <v>3551</v>
      </c>
      <c r="Y2244" s="27"/>
      <c r="Z2244" s="27"/>
      <c r="AA2244" s="3" t="str">
        <f>IF(BCP_Soles[[#This Row],[fecha]]&gt;0,TEXT(BCP_Soles[[#This Row],[fecha]],"mmmm"),0)</f>
        <v>Junio</v>
      </c>
    </row>
    <row r="2245" spans="1:27" x14ac:dyDescent="0.3">
      <c r="A2245" s="2">
        <f>IF(BCP_Soles[[#This Row],[tipo_registro]]="R",COUNTIFS($C$1:$C2244,"R")+1,A2244)</f>
        <v>1678</v>
      </c>
      <c r="B2245" s="19" t="str">
        <f t="shared" si="181"/>
        <v>B-BCP - Soles</v>
      </c>
      <c r="C2245" s="3" t="s">
        <v>1330</v>
      </c>
      <c r="D2245" s="14">
        <v>45832</v>
      </c>
      <c r="E2245" s="5" t="s">
        <v>1331</v>
      </c>
      <c r="F2245" s="5" t="s">
        <v>1336</v>
      </c>
      <c r="G2245" s="6" t="s">
        <v>695</v>
      </c>
      <c r="H2245" s="6" t="s">
        <v>68</v>
      </c>
      <c r="I2245" s="6"/>
      <c r="J2245" s="6"/>
      <c r="K2245" s="7" t="s">
        <v>3552</v>
      </c>
      <c r="L2245" s="8">
        <v>110196</v>
      </c>
      <c r="M2245" s="8" t="str">
        <f t="shared" si="182"/>
        <v>PEN</v>
      </c>
      <c r="N2245" s="13"/>
      <c r="O2245" s="13">
        <v>2172.81</v>
      </c>
      <c r="P2245" s="3">
        <f t="shared" si="183"/>
        <v>0</v>
      </c>
      <c r="Q2245" s="3">
        <f t="shared" si="184"/>
        <v>2172.81</v>
      </c>
      <c r="R2245" s="3">
        <f t="shared" si="180"/>
        <v>20244.38000000003</v>
      </c>
      <c r="S2245" s="24" t="s">
        <v>1334</v>
      </c>
      <c r="T2245" s="24" t="s">
        <v>1334</v>
      </c>
      <c r="U2245" s="54" t="s">
        <v>3553</v>
      </c>
      <c r="V2245" s="102">
        <f>IFERROR(VLOOKUP(BCP_Soles[[#This Row],[destinatario]],CHOOSE({1,2},Clientes_Proveedores[Razon Social],Clientes_Proveedores[Ruc / Dni]),2,0),"")</f>
        <v>20127765279</v>
      </c>
      <c r="W2245" s="27" t="s">
        <v>1379</v>
      </c>
      <c r="X2245" s="27" t="s">
        <v>3554</v>
      </c>
      <c r="Y2245" s="27"/>
      <c r="Z2245" s="27"/>
      <c r="AA2245" s="3" t="str">
        <f>IF(BCP_Soles[[#This Row],[fecha]]&gt;0,TEXT(BCP_Soles[[#This Row],[fecha]],"mmmm"),0)</f>
        <v>Junio</v>
      </c>
    </row>
    <row r="2246" spans="1:27" ht="24" x14ac:dyDescent="0.3">
      <c r="A2246" s="2">
        <f>IF(BCP_Soles[[#This Row],[tipo_registro]]="R",COUNTIFS($C$1:$C2245,"R")+1,A2245)</f>
        <v>1679</v>
      </c>
      <c r="B2246" s="19" t="str">
        <f t="shared" si="181"/>
        <v>B-BCP - Soles</v>
      </c>
      <c r="C2246" s="3" t="s">
        <v>1330</v>
      </c>
      <c r="D2246" s="14">
        <v>45832</v>
      </c>
      <c r="E2246" s="5" t="s">
        <v>1331</v>
      </c>
      <c r="F2246" s="5" t="s">
        <v>1336</v>
      </c>
      <c r="G2246" s="6" t="s">
        <v>1025</v>
      </c>
      <c r="H2246" s="6" t="s">
        <v>68</v>
      </c>
      <c r="I2246" s="6" t="s">
        <v>1376</v>
      </c>
      <c r="J2246" s="6">
        <v>2098</v>
      </c>
      <c r="K2246" s="7" t="s">
        <v>3555</v>
      </c>
      <c r="L2246" s="8">
        <v>1110195</v>
      </c>
      <c r="M2246" s="8" t="str">
        <f t="shared" si="182"/>
        <v>PEN</v>
      </c>
      <c r="N2246" s="13"/>
      <c r="O2246" s="13">
        <v>75</v>
      </c>
      <c r="P2246" s="3">
        <f t="shared" si="183"/>
        <v>0</v>
      </c>
      <c r="Q2246" s="3">
        <f t="shared" si="184"/>
        <v>75</v>
      </c>
      <c r="R2246" s="3">
        <f t="shared" si="180"/>
        <v>20169.38000000003</v>
      </c>
      <c r="S2246" s="24" t="s">
        <v>1334</v>
      </c>
      <c r="T2246" s="24" t="s">
        <v>1334</v>
      </c>
      <c r="U2246" s="54" t="s">
        <v>3556</v>
      </c>
      <c r="V2246" s="102">
        <f>IFERROR(VLOOKUP(BCP_Soles[[#This Row],[destinatario]],CHOOSE({1,2},Clientes_Proveedores[Razon Social],Clientes_Proveedores[Ruc / Dni]),2,0),"")</f>
        <v>20601369622</v>
      </c>
      <c r="W2246" s="27" t="s">
        <v>1025</v>
      </c>
      <c r="X2246" s="27"/>
      <c r="Y2246" s="27"/>
      <c r="Z2246" s="27"/>
      <c r="AA2246" s="3" t="str">
        <f>IF(BCP_Soles[[#This Row],[fecha]]&gt;0,TEXT(BCP_Soles[[#This Row],[fecha]],"mmmm"),0)</f>
        <v>Junio</v>
      </c>
    </row>
    <row r="2247" spans="1:27" ht="24" x14ac:dyDescent="0.3">
      <c r="A2247" s="2">
        <f>IF(BCP_Soles[[#This Row],[tipo_registro]]="R",COUNTIFS($C$1:$C2246,"R")+1,A2246)</f>
        <v>1680</v>
      </c>
      <c r="B2247" s="19" t="str">
        <f t="shared" si="181"/>
        <v>B-BCP - Soles</v>
      </c>
      <c r="C2247" s="3" t="s">
        <v>1330</v>
      </c>
      <c r="D2247" s="14">
        <v>45832</v>
      </c>
      <c r="E2247" s="5" t="s">
        <v>1331</v>
      </c>
      <c r="F2247" s="5" t="s">
        <v>1336</v>
      </c>
      <c r="G2247" s="6" t="s">
        <v>708</v>
      </c>
      <c r="H2247" s="6" t="s">
        <v>68</v>
      </c>
      <c r="I2247" s="6" t="s">
        <v>1655</v>
      </c>
      <c r="J2247" s="6">
        <v>293331</v>
      </c>
      <c r="K2247" s="7" t="s">
        <v>3557</v>
      </c>
      <c r="L2247" s="8">
        <v>108741</v>
      </c>
      <c r="M2247" s="8" t="str">
        <f t="shared" si="182"/>
        <v>PEN</v>
      </c>
      <c r="N2247" s="13"/>
      <c r="O2247" s="13">
        <v>36.58</v>
      </c>
      <c r="P2247" s="3">
        <f t="shared" si="183"/>
        <v>0</v>
      </c>
      <c r="Q2247" s="3">
        <f t="shared" si="184"/>
        <v>36.58</v>
      </c>
      <c r="R2247" s="3">
        <f t="shared" si="180"/>
        <v>20132.800000000028</v>
      </c>
      <c r="S2247" s="24"/>
      <c r="T2247" s="24" t="s">
        <v>1334</v>
      </c>
      <c r="U2247" s="80" t="s">
        <v>3558</v>
      </c>
      <c r="V2247" s="101">
        <f>IFERROR(VLOOKUP(BCP_Soles[[#This Row],[destinatario]],CHOOSE({1,2},Clientes_Proveedores[Razon Social],Clientes_Proveedores[Ruc / Dni]),2,0),"")</f>
        <v>20467534026</v>
      </c>
      <c r="W2247" s="26" t="s">
        <v>1657</v>
      </c>
      <c r="X2247" s="26" t="s">
        <v>3559</v>
      </c>
      <c r="Y2247" s="26"/>
      <c r="Z2247" s="76"/>
      <c r="AA2247" s="3" t="str">
        <f>IF(BCP_Soles[[#This Row],[fecha]]&gt;0,TEXT(BCP_Soles[[#This Row],[fecha]],"mmmm"),0)</f>
        <v>Junio</v>
      </c>
    </row>
    <row r="2248" spans="1:27" x14ac:dyDescent="0.3">
      <c r="A2248" s="2">
        <f>IF(BCP_Soles[[#This Row],[tipo_registro]]="R",COUNTIFS($C$1:$C2247,"R")+1,A2247)</f>
        <v>1681</v>
      </c>
      <c r="B2248" s="19" t="str">
        <f t="shared" si="181"/>
        <v>B-BCP - Soles</v>
      </c>
      <c r="C2248" s="3" t="s">
        <v>1330</v>
      </c>
      <c r="D2248" s="14">
        <v>45832</v>
      </c>
      <c r="E2248" s="5" t="s">
        <v>1335</v>
      </c>
      <c r="F2248" s="5" t="s">
        <v>1336</v>
      </c>
      <c r="G2248" s="6"/>
      <c r="H2248" s="6"/>
      <c r="I2248" s="6"/>
      <c r="J2248" s="6"/>
      <c r="K2248" s="7" t="s">
        <v>3160</v>
      </c>
      <c r="L2248" s="8"/>
      <c r="M2248" s="8" t="str">
        <f t="shared" si="182"/>
        <v>PEN</v>
      </c>
      <c r="N2248" s="13"/>
      <c r="O2248" s="13">
        <v>0.4</v>
      </c>
      <c r="P2248" s="3">
        <f t="shared" si="183"/>
        <v>0</v>
      </c>
      <c r="Q2248" s="3">
        <f t="shared" si="184"/>
        <v>0.4</v>
      </c>
      <c r="R2248" s="3">
        <f t="shared" si="180"/>
        <v>20132.400000000027</v>
      </c>
      <c r="S2248" s="24"/>
      <c r="T2248" s="24" t="s">
        <v>1334</v>
      </c>
      <c r="U2248" s="53"/>
      <c r="V2248" s="25" t="str">
        <f>IFERROR(VLOOKUP(BCP_Soles[[#This Row],[destinatario]],CHOOSE({1,2},Clientes_Proveedores[Razon Social],Clientes_Proveedores[Ruc / Dni]),2,0),"")</f>
        <v/>
      </c>
      <c r="W2248" s="25"/>
      <c r="X2248" s="25"/>
      <c r="Y2248" s="25"/>
      <c r="Z2248" s="75"/>
      <c r="AA2248" s="3" t="str">
        <f>IF(BCP_Soles[[#This Row],[fecha]]&gt;0,TEXT(BCP_Soles[[#This Row],[fecha]],"mmmm"),0)</f>
        <v>Junio</v>
      </c>
    </row>
    <row r="2249" spans="1:27" x14ac:dyDescent="0.3">
      <c r="A2249" s="2">
        <f>IF(BCP_Soles[[#This Row],[tipo_registro]]="R",COUNTIFS($C$1:$C2248,"R")+1,A2248)</f>
        <v>1682</v>
      </c>
      <c r="B2249" s="19" t="str">
        <f t="shared" si="181"/>
        <v>B-BCP - Soles</v>
      </c>
      <c r="C2249" s="3" t="s">
        <v>1330</v>
      </c>
      <c r="D2249" s="14">
        <v>45833</v>
      </c>
      <c r="E2249" s="5" t="s">
        <v>1331</v>
      </c>
      <c r="F2249" s="5" t="s">
        <v>1336</v>
      </c>
      <c r="G2249" s="6" t="s">
        <v>196</v>
      </c>
      <c r="H2249" s="6" t="s">
        <v>68</v>
      </c>
      <c r="I2249" s="6" t="s">
        <v>2226</v>
      </c>
      <c r="J2249" s="6">
        <v>6491</v>
      </c>
      <c r="K2249" s="7" t="s">
        <v>2227</v>
      </c>
      <c r="L2249" s="8">
        <v>148051</v>
      </c>
      <c r="M2249" s="8" t="str">
        <f t="shared" si="182"/>
        <v>PEN</v>
      </c>
      <c r="N2249" s="13"/>
      <c r="O2249" s="13">
        <v>31.76</v>
      </c>
      <c r="P2249" s="3">
        <f t="shared" si="183"/>
        <v>0</v>
      </c>
      <c r="Q2249" s="3">
        <f t="shared" si="184"/>
        <v>31.76</v>
      </c>
      <c r="R2249" s="3">
        <f t="shared" ref="R2249:R2312" si="185">IFERROR(IF(F2249="SALDO",P2249,R2248+P2249-Q2249),0)</f>
        <v>20100.640000000029</v>
      </c>
      <c r="S2249" s="24" t="s">
        <v>1334</v>
      </c>
      <c r="T2249" s="24" t="s">
        <v>1334</v>
      </c>
      <c r="U2249" s="54" t="s">
        <v>3560</v>
      </c>
      <c r="V2249" s="102">
        <f>IFERROR(VLOOKUP(BCP_Soles[[#This Row],[destinatario]],CHOOSE({1,2},Clientes_Proveedores[Razon Social],Clientes_Proveedores[Ruc / Dni]),2,0),"")</f>
        <v>20100055237</v>
      </c>
      <c r="W2249" s="27" t="s">
        <v>2228</v>
      </c>
      <c r="X2249" s="27" t="s">
        <v>3561</v>
      </c>
      <c r="Y2249" s="27"/>
      <c r="Z2249" s="27"/>
      <c r="AA2249" s="3" t="str">
        <f>IF(BCP_Soles[[#This Row],[fecha]]&gt;0,TEXT(BCP_Soles[[#This Row],[fecha]],"mmmm"),0)</f>
        <v>Junio</v>
      </c>
    </row>
    <row r="2250" spans="1:27" x14ac:dyDescent="0.3">
      <c r="A2250" s="2">
        <f>IF(BCP_Soles[[#This Row],[tipo_registro]]="R",COUNTIFS($C$1:$C2249,"R")+1,A2249)</f>
        <v>1683</v>
      </c>
      <c r="B2250" s="19" t="str">
        <f t="shared" si="181"/>
        <v>B-BCP - Soles</v>
      </c>
      <c r="C2250" s="3" t="s">
        <v>1330</v>
      </c>
      <c r="D2250" s="14">
        <v>45833</v>
      </c>
      <c r="E2250" s="5" t="s">
        <v>1331</v>
      </c>
      <c r="F2250" s="5" t="s">
        <v>1336</v>
      </c>
      <c r="G2250" s="6" t="s">
        <v>196</v>
      </c>
      <c r="H2250" s="6" t="s">
        <v>68</v>
      </c>
      <c r="I2250" s="6" t="s">
        <v>2226</v>
      </c>
      <c r="J2250" s="6">
        <v>6487</v>
      </c>
      <c r="K2250" s="7" t="s">
        <v>2227</v>
      </c>
      <c r="L2250" s="8">
        <v>146808</v>
      </c>
      <c r="M2250" s="8" t="str">
        <f t="shared" si="182"/>
        <v>PEN</v>
      </c>
      <c r="N2250" s="13"/>
      <c r="O2250" s="13">
        <v>297.45999999999998</v>
      </c>
      <c r="P2250" s="3">
        <f t="shared" si="183"/>
        <v>0</v>
      </c>
      <c r="Q2250" s="3">
        <f t="shared" si="184"/>
        <v>297.45999999999998</v>
      </c>
      <c r="R2250" s="3">
        <f t="shared" si="185"/>
        <v>19803.180000000029</v>
      </c>
      <c r="S2250" s="24" t="s">
        <v>1334</v>
      </c>
      <c r="T2250" s="24" t="s">
        <v>1334</v>
      </c>
      <c r="U2250" s="54" t="s">
        <v>3562</v>
      </c>
      <c r="V2250" s="102">
        <f>IFERROR(VLOOKUP(BCP_Soles[[#This Row],[destinatario]],CHOOSE({1,2},Clientes_Proveedores[Razon Social],Clientes_Proveedores[Ruc / Dni]),2,0),"")</f>
        <v>20100055237</v>
      </c>
      <c r="W2250" s="27" t="s">
        <v>2228</v>
      </c>
      <c r="X2250" s="27" t="s">
        <v>3563</v>
      </c>
      <c r="Y2250" s="27"/>
      <c r="Z2250" s="27"/>
      <c r="AA2250" s="3" t="str">
        <f>IF(BCP_Soles[[#This Row],[fecha]]&gt;0,TEXT(BCP_Soles[[#This Row],[fecha]],"mmmm"),0)</f>
        <v>Junio</v>
      </c>
    </row>
    <row r="2251" spans="1:27" x14ac:dyDescent="0.3">
      <c r="A2251" s="2">
        <f>IF(BCP_Soles[[#This Row],[tipo_registro]]="R",COUNTIFS($C$1:$C2250,"R")+1,A2250)</f>
        <v>1684</v>
      </c>
      <c r="B2251" s="19" t="str">
        <f t="shared" si="181"/>
        <v>B-BCP - Soles</v>
      </c>
      <c r="C2251" s="3" t="s">
        <v>1330</v>
      </c>
      <c r="D2251" s="14">
        <v>45833</v>
      </c>
      <c r="E2251" s="5" t="s">
        <v>1331</v>
      </c>
      <c r="F2251" s="5" t="s">
        <v>1336</v>
      </c>
      <c r="G2251" s="6" t="s">
        <v>196</v>
      </c>
      <c r="H2251" s="6" t="s">
        <v>68</v>
      </c>
      <c r="I2251" s="6" t="s">
        <v>2226</v>
      </c>
      <c r="J2251" s="6">
        <v>6488</v>
      </c>
      <c r="K2251" s="7" t="s">
        <v>2227</v>
      </c>
      <c r="L2251" s="8">
        <v>148050</v>
      </c>
      <c r="M2251" s="8" t="str">
        <f t="shared" si="182"/>
        <v>PEN</v>
      </c>
      <c r="N2251" s="13"/>
      <c r="O2251" s="13">
        <v>121.49</v>
      </c>
      <c r="P2251" s="3">
        <f t="shared" si="183"/>
        <v>0</v>
      </c>
      <c r="Q2251" s="3">
        <f t="shared" si="184"/>
        <v>121.49</v>
      </c>
      <c r="R2251" s="3">
        <f t="shared" si="185"/>
        <v>19681.690000000028</v>
      </c>
      <c r="S2251" s="24" t="s">
        <v>1334</v>
      </c>
      <c r="T2251" s="24" t="s">
        <v>1334</v>
      </c>
      <c r="U2251" s="54" t="s">
        <v>3564</v>
      </c>
      <c r="V2251" s="102">
        <f>IFERROR(VLOOKUP(BCP_Soles[[#This Row],[destinatario]],CHOOSE({1,2},Clientes_Proveedores[Razon Social],Clientes_Proveedores[Ruc / Dni]),2,0),"")</f>
        <v>20100055237</v>
      </c>
      <c r="W2251" s="27" t="s">
        <v>2228</v>
      </c>
      <c r="X2251" s="27" t="s">
        <v>3565</v>
      </c>
      <c r="Y2251" s="27"/>
      <c r="Z2251" s="27"/>
      <c r="AA2251" s="3" t="str">
        <f>IF(BCP_Soles[[#This Row],[fecha]]&gt;0,TEXT(BCP_Soles[[#This Row],[fecha]],"mmmm"),0)</f>
        <v>Junio</v>
      </c>
    </row>
    <row r="2252" spans="1:27" x14ac:dyDescent="0.3">
      <c r="A2252" s="2">
        <f>IF(BCP_Soles[[#This Row],[tipo_registro]]="R",COUNTIFS($C$1:$C2251,"R")+1,A2251)</f>
        <v>1685</v>
      </c>
      <c r="B2252" s="19" t="str">
        <f t="shared" si="181"/>
        <v>B-BCP - Soles</v>
      </c>
      <c r="C2252" s="3" t="s">
        <v>1330</v>
      </c>
      <c r="D2252" s="14">
        <v>45833</v>
      </c>
      <c r="E2252" s="5" t="s">
        <v>1331</v>
      </c>
      <c r="F2252" s="5" t="s">
        <v>1336</v>
      </c>
      <c r="G2252" s="6" t="s">
        <v>196</v>
      </c>
      <c r="H2252" s="6" t="s">
        <v>68</v>
      </c>
      <c r="I2252" s="6" t="s">
        <v>2226</v>
      </c>
      <c r="J2252" s="6">
        <v>6489</v>
      </c>
      <c r="K2252" s="7" t="s">
        <v>2227</v>
      </c>
      <c r="L2252" s="8">
        <v>144910</v>
      </c>
      <c r="M2252" s="8" t="str">
        <f t="shared" si="182"/>
        <v>PEN</v>
      </c>
      <c r="N2252" s="13"/>
      <c r="O2252" s="13">
        <v>13.93</v>
      </c>
      <c r="P2252" s="3">
        <f t="shared" si="183"/>
        <v>0</v>
      </c>
      <c r="Q2252" s="3">
        <f t="shared" si="184"/>
        <v>13.93</v>
      </c>
      <c r="R2252" s="3">
        <f t="shared" si="185"/>
        <v>19667.760000000028</v>
      </c>
      <c r="S2252" s="24" t="s">
        <v>1334</v>
      </c>
      <c r="T2252" s="24" t="s">
        <v>1334</v>
      </c>
      <c r="U2252" s="54" t="s">
        <v>3566</v>
      </c>
      <c r="V2252" s="102">
        <f>IFERROR(VLOOKUP(BCP_Soles[[#This Row],[destinatario]],CHOOSE({1,2},Clientes_Proveedores[Razon Social],Clientes_Proveedores[Ruc / Dni]),2,0),"")</f>
        <v>20100055237</v>
      </c>
      <c r="W2252" s="27" t="s">
        <v>2228</v>
      </c>
      <c r="X2252" s="27" t="s">
        <v>3567</v>
      </c>
      <c r="Y2252" s="27"/>
      <c r="Z2252" s="27"/>
      <c r="AA2252" s="3" t="str">
        <f>IF(BCP_Soles[[#This Row],[fecha]]&gt;0,TEXT(BCP_Soles[[#This Row],[fecha]],"mmmm"),0)</f>
        <v>Junio</v>
      </c>
    </row>
    <row r="2253" spans="1:27" x14ac:dyDescent="0.3">
      <c r="A2253" s="2">
        <f>IF(BCP_Soles[[#This Row],[tipo_registro]]="R",COUNTIFS($C$1:$C2252,"R")+1,A2252)</f>
        <v>1686</v>
      </c>
      <c r="B2253" s="19" t="str">
        <f t="shared" si="181"/>
        <v>B-BCP - Soles</v>
      </c>
      <c r="C2253" s="3" t="s">
        <v>1330</v>
      </c>
      <c r="D2253" s="14">
        <v>45833</v>
      </c>
      <c r="E2253" s="5" t="s">
        <v>1331</v>
      </c>
      <c r="F2253" s="5" t="s">
        <v>1336</v>
      </c>
      <c r="G2253" s="6" t="s">
        <v>196</v>
      </c>
      <c r="H2253" s="6" t="s">
        <v>68</v>
      </c>
      <c r="I2253" s="6" t="s">
        <v>2226</v>
      </c>
      <c r="J2253" s="6">
        <v>6486</v>
      </c>
      <c r="K2253" s="7" t="s">
        <v>2227</v>
      </c>
      <c r="L2253" s="8">
        <v>144911</v>
      </c>
      <c r="M2253" s="8" t="str">
        <f t="shared" si="182"/>
        <v>PEN</v>
      </c>
      <c r="N2253" s="13"/>
      <c r="O2253" s="13">
        <v>211.51</v>
      </c>
      <c r="P2253" s="3">
        <f t="shared" si="183"/>
        <v>0</v>
      </c>
      <c r="Q2253" s="3">
        <f t="shared" si="184"/>
        <v>211.51</v>
      </c>
      <c r="R2253" s="3">
        <f t="shared" si="185"/>
        <v>19456.250000000029</v>
      </c>
      <c r="S2253" s="24" t="s">
        <v>1334</v>
      </c>
      <c r="T2253" s="24" t="s">
        <v>1334</v>
      </c>
      <c r="U2253" s="54" t="s">
        <v>3568</v>
      </c>
      <c r="V2253" s="102">
        <f>IFERROR(VLOOKUP(BCP_Soles[[#This Row],[destinatario]],CHOOSE({1,2},Clientes_Proveedores[Razon Social],Clientes_Proveedores[Ruc / Dni]),2,0),"")</f>
        <v>20100055237</v>
      </c>
      <c r="W2253" s="27" t="s">
        <v>2228</v>
      </c>
      <c r="X2253" s="27" t="s">
        <v>3569</v>
      </c>
      <c r="Y2253" s="27"/>
      <c r="Z2253" s="27"/>
      <c r="AA2253" s="3" t="str">
        <f>IF(BCP_Soles[[#This Row],[fecha]]&gt;0,TEXT(BCP_Soles[[#This Row],[fecha]],"mmmm"),0)</f>
        <v>Junio</v>
      </c>
    </row>
    <row r="2254" spans="1:27" x14ac:dyDescent="0.3">
      <c r="A2254" s="2">
        <f>IF(BCP_Soles[[#This Row],[tipo_registro]]="R",COUNTIFS($C$1:$C2253,"R")+1,A2253)</f>
        <v>1687</v>
      </c>
      <c r="B2254" s="19" t="str">
        <f t="shared" si="181"/>
        <v>B-BCP - Soles</v>
      </c>
      <c r="C2254" s="3" t="s">
        <v>1330</v>
      </c>
      <c r="D2254" s="14">
        <v>45833</v>
      </c>
      <c r="E2254" s="5" t="s">
        <v>1331</v>
      </c>
      <c r="F2254" s="5" t="s">
        <v>1336</v>
      </c>
      <c r="G2254" s="6" t="s">
        <v>196</v>
      </c>
      <c r="H2254" s="6" t="s">
        <v>68</v>
      </c>
      <c r="I2254" s="6" t="s">
        <v>2226</v>
      </c>
      <c r="J2254" s="6">
        <v>6490</v>
      </c>
      <c r="K2254" s="7" t="s">
        <v>2227</v>
      </c>
      <c r="L2254" s="8">
        <v>146324</v>
      </c>
      <c r="M2254" s="8" t="str">
        <f t="shared" si="182"/>
        <v>PEN</v>
      </c>
      <c r="N2254" s="13"/>
      <c r="O2254" s="13">
        <v>258.44</v>
      </c>
      <c r="P2254" s="3">
        <f t="shared" si="183"/>
        <v>0</v>
      </c>
      <c r="Q2254" s="3">
        <f t="shared" si="184"/>
        <v>258.44</v>
      </c>
      <c r="R2254" s="3">
        <f t="shared" si="185"/>
        <v>19197.81000000003</v>
      </c>
      <c r="S2254" s="24" t="s">
        <v>1334</v>
      </c>
      <c r="T2254" s="24" t="s">
        <v>1334</v>
      </c>
      <c r="U2254" s="54" t="s">
        <v>3570</v>
      </c>
      <c r="V2254" s="102">
        <f>IFERROR(VLOOKUP(BCP_Soles[[#This Row],[destinatario]],CHOOSE({1,2},Clientes_Proveedores[Razon Social],Clientes_Proveedores[Ruc / Dni]),2,0),"")</f>
        <v>20100055237</v>
      </c>
      <c r="W2254" s="27" t="s">
        <v>2228</v>
      </c>
      <c r="X2254" s="27" t="s">
        <v>3571</v>
      </c>
      <c r="Y2254" s="27"/>
      <c r="Z2254" s="27"/>
      <c r="AA2254" s="3" t="str">
        <f>IF(BCP_Soles[[#This Row],[fecha]]&gt;0,TEXT(BCP_Soles[[#This Row],[fecha]],"mmmm"),0)</f>
        <v>Junio</v>
      </c>
    </row>
    <row r="2255" spans="1:27" ht="24" x14ac:dyDescent="0.3">
      <c r="A2255" s="2">
        <f>IF(BCP_Soles[[#This Row],[tipo_registro]]="R",COUNTIFS($C$1:$C2254,"R")+1,A2254)</f>
        <v>1688</v>
      </c>
      <c r="B2255" s="19" t="str">
        <f t="shared" si="181"/>
        <v>B-BCP - Soles</v>
      </c>
      <c r="C2255" s="3" t="s">
        <v>1330</v>
      </c>
      <c r="D2255" s="14">
        <v>45833</v>
      </c>
      <c r="E2255" s="5" t="s">
        <v>1331</v>
      </c>
      <c r="F2255" s="5" t="s">
        <v>1336</v>
      </c>
      <c r="G2255" s="6" t="s">
        <v>708</v>
      </c>
      <c r="H2255" s="6"/>
      <c r="I2255" s="6"/>
      <c r="J2255" s="6"/>
      <c r="K2255" s="7" t="s">
        <v>3572</v>
      </c>
      <c r="L2255" s="8">
        <v>148052</v>
      </c>
      <c r="M2255" s="8" t="str">
        <f t="shared" si="182"/>
        <v>PEN</v>
      </c>
      <c r="N2255" s="13"/>
      <c r="O2255" s="13">
        <v>1370.77</v>
      </c>
      <c r="P2255" s="3">
        <f t="shared" si="183"/>
        <v>0</v>
      </c>
      <c r="Q2255" s="3">
        <f t="shared" si="184"/>
        <v>1370.77</v>
      </c>
      <c r="R2255" s="3">
        <f t="shared" si="185"/>
        <v>17827.04000000003</v>
      </c>
      <c r="S2255" s="24" t="s">
        <v>1334</v>
      </c>
      <c r="T2255" s="24" t="s">
        <v>1334</v>
      </c>
      <c r="U2255" s="54" t="s">
        <v>3573</v>
      </c>
      <c r="V2255" s="102">
        <f>IFERROR(VLOOKUP(BCP_Soles[[#This Row],[destinatario]],CHOOSE({1,2},Clientes_Proveedores[Razon Social],Clientes_Proveedores[Ruc / Dni]),2,0),"")</f>
        <v>20467534026</v>
      </c>
      <c r="W2255" s="27" t="s">
        <v>1657</v>
      </c>
      <c r="X2255" s="27" t="s">
        <v>3574</v>
      </c>
      <c r="Y2255" s="27"/>
      <c r="Z2255" s="27"/>
      <c r="AA2255" s="3" t="str">
        <f>IF(BCP_Soles[[#This Row],[fecha]]&gt;0,TEXT(BCP_Soles[[#This Row],[fecha]],"mmmm"),0)</f>
        <v>Junio</v>
      </c>
    </row>
    <row r="2256" spans="1:27" ht="24" x14ac:dyDescent="0.3">
      <c r="A2256" s="2">
        <f>IF(BCP_Soles[[#This Row],[tipo_registro]]="R",COUNTIFS($C$1:$C2255,"R")+1,A2255)</f>
        <v>1688</v>
      </c>
      <c r="B2256" s="19" t="str">
        <f>"B-BCP - Soles"</f>
        <v>B-BCP - Soles</v>
      </c>
      <c r="C2256" s="3" t="s">
        <v>1352</v>
      </c>
      <c r="D2256" s="14">
        <v>45833</v>
      </c>
      <c r="E2256" s="5" t="s">
        <v>1331</v>
      </c>
      <c r="F2256" s="5" t="s">
        <v>1336</v>
      </c>
      <c r="G2256" s="6" t="s">
        <v>708</v>
      </c>
      <c r="H2256" s="6" t="s">
        <v>106</v>
      </c>
      <c r="I2256" s="6" t="s">
        <v>1661</v>
      </c>
      <c r="J2256" s="6">
        <v>546172223</v>
      </c>
      <c r="K2256" s="7" t="s">
        <v>3572</v>
      </c>
      <c r="L2256" s="8">
        <v>148052</v>
      </c>
      <c r="M2256" s="8" t="str">
        <f>"PEN"</f>
        <v>PEN</v>
      </c>
      <c r="N2256" s="13">
        <v>1077.55</v>
      </c>
      <c r="O2256" s="13"/>
      <c r="P2256" s="3">
        <f>+IF(OR($F2256="SALDO",$F2256="INGRESO"),$O2256,0)</f>
        <v>0</v>
      </c>
      <c r="Q2256" s="3">
        <f>+IF($F2256="EGRESO",$O2256,0)</f>
        <v>0</v>
      </c>
      <c r="R2256" s="3">
        <f t="shared" si="185"/>
        <v>17827.04000000003</v>
      </c>
      <c r="S2256" s="24" t="s">
        <v>1334</v>
      </c>
      <c r="T2256" s="24" t="s">
        <v>1334</v>
      </c>
      <c r="U2256" s="54"/>
      <c r="V2256" s="102">
        <f>IFERROR(VLOOKUP(BCP_Soles[[#This Row],[destinatario]],CHOOSE({1,2},Clientes_Proveedores[Razon Social],Clientes_Proveedores[Ruc / Dni]),2,0),"")</f>
        <v>20467534026</v>
      </c>
      <c r="W2256" s="27"/>
      <c r="X2256" s="27"/>
      <c r="Y2256" s="27"/>
      <c r="Z2256" s="27"/>
      <c r="AA2256" s="3" t="str">
        <f>IF(BCP_Soles[[#This Row],[fecha]]&gt;0,TEXT(BCP_Soles[[#This Row],[fecha]],"mmmm"),0)</f>
        <v>Junio</v>
      </c>
    </row>
    <row r="2257" spans="1:27" ht="24" x14ac:dyDescent="0.3">
      <c r="A2257" s="2">
        <f>IF(BCP_Soles[[#This Row],[tipo_registro]]="R",COUNTIFS($C$1:$C2256,"R")+1,A2256)</f>
        <v>1688</v>
      </c>
      <c r="B2257" s="19" t="str">
        <f>"B-BCP - Soles"</f>
        <v>B-BCP - Soles</v>
      </c>
      <c r="C2257" s="3" t="s">
        <v>1352</v>
      </c>
      <c r="D2257" s="14">
        <v>45833</v>
      </c>
      <c r="E2257" s="5" t="s">
        <v>1331</v>
      </c>
      <c r="F2257" s="5" t="s">
        <v>1336</v>
      </c>
      <c r="G2257" s="6" t="s">
        <v>708</v>
      </c>
      <c r="H2257" s="6" t="s">
        <v>68</v>
      </c>
      <c r="I2257" s="6" t="s">
        <v>1662</v>
      </c>
      <c r="J2257" s="6">
        <v>88790</v>
      </c>
      <c r="K2257" s="7" t="s">
        <v>3575</v>
      </c>
      <c r="L2257" s="8">
        <v>148052</v>
      </c>
      <c r="M2257" s="8" t="str">
        <f>"PEN"</f>
        <v>PEN</v>
      </c>
      <c r="N2257" s="13">
        <v>293.22000000000003</v>
      </c>
      <c r="O2257" s="13"/>
      <c r="P2257" s="3">
        <f>+IF(OR($F2257="SALDO",$F2257="INGRESO"),$O2257,0)</f>
        <v>0</v>
      </c>
      <c r="Q2257" s="3">
        <f>+IF($F2257="EGRESO",$O2257,0)</f>
        <v>0</v>
      </c>
      <c r="R2257" s="3">
        <f t="shared" si="185"/>
        <v>17827.04000000003</v>
      </c>
      <c r="S2257" s="24" t="s">
        <v>1334</v>
      </c>
      <c r="T2257" s="24" t="s">
        <v>1334</v>
      </c>
      <c r="U2257" s="54"/>
      <c r="V2257" s="102">
        <f>IFERROR(VLOOKUP(BCP_Soles[[#This Row],[destinatario]],CHOOSE({1,2},Clientes_Proveedores[Razon Social],Clientes_Proveedores[Ruc / Dni]),2,0),"")</f>
        <v>20467534026</v>
      </c>
      <c r="W2257" s="27"/>
      <c r="X2257" s="27"/>
      <c r="Y2257" s="27"/>
      <c r="Z2257" s="27"/>
      <c r="AA2257" s="3" t="str">
        <f>IF(BCP_Soles[[#This Row],[fecha]]&gt;0,TEXT(BCP_Soles[[#This Row],[fecha]],"mmmm"),0)</f>
        <v>Junio</v>
      </c>
    </row>
    <row r="2258" spans="1:27" ht="24" x14ac:dyDescent="0.3">
      <c r="A2258" s="2">
        <f>IF(BCP_Soles[[#This Row],[tipo_registro]]="R",COUNTIFS($C$1:$C2257,"R")+1,A2257)</f>
        <v>1689</v>
      </c>
      <c r="B2258" s="19" t="str">
        <f t="shared" si="181"/>
        <v>B-BCP - Soles</v>
      </c>
      <c r="C2258" s="3" t="s">
        <v>1330</v>
      </c>
      <c r="D2258" s="14">
        <v>45833</v>
      </c>
      <c r="E2258" s="5" t="s">
        <v>1331</v>
      </c>
      <c r="F2258" s="5" t="s">
        <v>1336</v>
      </c>
      <c r="G2258" s="6" t="s">
        <v>708</v>
      </c>
      <c r="H2258" s="6" t="s">
        <v>68</v>
      </c>
      <c r="I2258" s="6" t="s">
        <v>1655</v>
      </c>
      <c r="J2258" s="6">
        <v>299687</v>
      </c>
      <c r="K2258" s="7" t="s">
        <v>3576</v>
      </c>
      <c r="L2258" s="8">
        <v>147304</v>
      </c>
      <c r="M2258" s="8" t="str">
        <f t="shared" si="182"/>
        <v>PEN</v>
      </c>
      <c r="N2258" s="13"/>
      <c r="O2258" s="13">
        <v>36.58</v>
      </c>
      <c r="P2258" s="3">
        <f t="shared" si="183"/>
        <v>0</v>
      </c>
      <c r="Q2258" s="3">
        <f t="shared" si="184"/>
        <v>36.58</v>
      </c>
      <c r="R2258" s="3">
        <f t="shared" si="185"/>
        <v>17790.460000000028</v>
      </c>
      <c r="S2258" s="24" t="s">
        <v>1334</v>
      </c>
      <c r="T2258" s="24" t="s">
        <v>1334</v>
      </c>
      <c r="U2258" s="54" t="s">
        <v>3577</v>
      </c>
      <c r="V2258" s="102">
        <f>IFERROR(VLOOKUP(BCP_Soles[[#This Row],[destinatario]],CHOOSE({1,2},Clientes_Proveedores[Razon Social],Clientes_Proveedores[Ruc / Dni]),2,0),"")</f>
        <v>20467534026</v>
      </c>
      <c r="W2258" s="27" t="s">
        <v>1657</v>
      </c>
      <c r="X2258" s="27" t="s">
        <v>3559</v>
      </c>
      <c r="Y2258" s="27"/>
      <c r="Z2258" s="27"/>
      <c r="AA2258" s="3" t="str">
        <f>IF(BCP_Soles[[#This Row],[fecha]]&gt;0,TEXT(BCP_Soles[[#This Row],[fecha]],"mmmm"),0)</f>
        <v>Junio</v>
      </c>
    </row>
    <row r="2259" spans="1:27" x14ac:dyDescent="0.3">
      <c r="A2259" s="2">
        <f>IF(BCP_Soles[[#This Row],[tipo_registro]]="R",COUNTIFS($C$1:$C2258,"R")+1,A2258)</f>
        <v>1690</v>
      </c>
      <c r="B2259" s="19" t="str">
        <f t="shared" si="181"/>
        <v>B-BCP - Soles</v>
      </c>
      <c r="C2259" s="3" t="s">
        <v>1330</v>
      </c>
      <c r="D2259" s="14">
        <v>45833</v>
      </c>
      <c r="E2259" s="5" t="s">
        <v>1331</v>
      </c>
      <c r="F2259" s="5" t="s">
        <v>1336</v>
      </c>
      <c r="G2259" s="6" t="s">
        <v>575</v>
      </c>
      <c r="H2259" s="6"/>
      <c r="I2259" s="6"/>
      <c r="J2259" s="6"/>
      <c r="K2259" s="7" t="s">
        <v>3578</v>
      </c>
      <c r="L2259" s="8">
        <v>4014622</v>
      </c>
      <c r="M2259" s="8" t="str">
        <f t="shared" si="182"/>
        <v>PEN</v>
      </c>
      <c r="N2259" s="13"/>
      <c r="O2259" s="13">
        <v>600.5</v>
      </c>
      <c r="P2259" s="3">
        <f t="shared" si="183"/>
        <v>0</v>
      </c>
      <c r="Q2259" s="3">
        <f t="shared" si="184"/>
        <v>600.5</v>
      </c>
      <c r="R2259" s="3">
        <f t="shared" si="185"/>
        <v>17189.960000000028</v>
      </c>
      <c r="S2259" s="24" t="s">
        <v>1334</v>
      </c>
      <c r="T2259" s="24" t="s">
        <v>1334</v>
      </c>
      <c r="U2259" s="54" t="s">
        <v>3579</v>
      </c>
      <c r="V2259" s="102">
        <f>IFERROR(VLOOKUP(BCP_Soles[[#This Row],[destinatario]],CHOOSE({1,2},Clientes_Proveedores[Razon Social],Clientes_Proveedores[Ruc / Dni]),2,0),"")</f>
        <v>20608970909</v>
      </c>
      <c r="W2259" s="27" t="s">
        <v>575</v>
      </c>
      <c r="X2259" s="27"/>
      <c r="Y2259" s="27"/>
      <c r="Z2259" s="27"/>
      <c r="AA2259" s="3" t="str">
        <f>IF(BCP_Soles[[#This Row],[fecha]]&gt;0,TEXT(BCP_Soles[[#This Row],[fecha]],"mmmm"),0)</f>
        <v>Junio</v>
      </c>
    </row>
    <row r="2260" spans="1:27" x14ac:dyDescent="0.3">
      <c r="A2260" s="2">
        <f>IF(BCP_Soles[[#This Row],[tipo_registro]]="R",COUNTIFS($C$1:$C2259,"R")+1,A2259)</f>
        <v>1690</v>
      </c>
      <c r="B2260" s="19" t="str">
        <f t="shared" si="181"/>
        <v>B-BCP - Soles</v>
      </c>
      <c r="C2260" s="3" t="s">
        <v>1352</v>
      </c>
      <c r="D2260" s="14">
        <v>45833</v>
      </c>
      <c r="E2260" s="5" t="s">
        <v>1331</v>
      </c>
      <c r="F2260" s="5"/>
      <c r="G2260" s="6" t="s">
        <v>575</v>
      </c>
      <c r="H2260" s="6" t="s">
        <v>68</v>
      </c>
      <c r="I2260" s="6" t="s">
        <v>1376</v>
      </c>
      <c r="J2260" s="6">
        <v>1271</v>
      </c>
      <c r="K2260" s="7" t="s">
        <v>3578</v>
      </c>
      <c r="L2260" s="8">
        <v>4014622</v>
      </c>
      <c r="M2260" s="8" t="str">
        <f t="shared" si="182"/>
        <v>PEN</v>
      </c>
      <c r="N2260" s="13">
        <v>590</v>
      </c>
      <c r="O2260" s="13"/>
      <c r="P2260" s="3">
        <f t="shared" si="183"/>
        <v>0</v>
      </c>
      <c r="Q2260" s="3">
        <f t="shared" si="184"/>
        <v>0</v>
      </c>
      <c r="R2260" s="3">
        <f t="shared" si="185"/>
        <v>17189.960000000028</v>
      </c>
      <c r="S2260" s="24" t="s">
        <v>1334</v>
      </c>
      <c r="T2260" s="24" t="s">
        <v>1334</v>
      </c>
      <c r="U2260" s="54"/>
      <c r="V2260" s="102">
        <f>IFERROR(VLOOKUP(BCP_Soles[[#This Row],[destinatario]],CHOOSE({1,2},Clientes_Proveedores[Razon Social],Clientes_Proveedores[Ruc / Dni]),2,0),"")</f>
        <v>20608970909</v>
      </c>
      <c r="W2260" s="27"/>
      <c r="X2260" s="27"/>
      <c r="Y2260" s="27"/>
      <c r="Z2260" s="27"/>
      <c r="AA2260" s="3" t="str">
        <f>IF(BCP_Soles[[#This Row],[fecha]]&gt;0,TEXT(BCP_Soles[[#This Row],[fecha]],"mmmm"),0)</f>
        <v>Junio</v>
      </c>
    </row>
    <row r="2261" spans="1:27" ht="24" x14ac:dyDescent="0.3">
      <c r="A2261" s="2">
        <f>IF(BCP_Soles[[#This Row],[tipo_registro]]="R",COUNTIFS($C$1:$C2260,"R")+1,A2260)</f>
        <v>1690</v>
      </c>
      <c r="B2261" s="19" t="str">
        <f t="shared" si="181"/>
        <v>B-BCP - Soles</v>
      </c>
      <c r="C2261" s="3" t="s">
        <v>1352</v>
      </c>
      <c r="D2261" s="14">
        <v>45833</v>
      </c>
      <c r="E2261" s="5" t="s">
        <v>1331</v>
      </c>
      <c r="F2261" s="5"/>
      <c r="G2261" s="6" t="s">
        <v>1060</v>
      </c>
      <c r="H2261" s="6" t="s">
        <v>68</v>
      </c>
      <c r="I2261" s="6" t="s">
        <v>1397</v>
      </c>
      <c r="J2261" s="6">
        <v>34107559</v>
      </c>
      <c r="K2261" s="7" t="s">
        <v>3578</v>
      </c>
      <c r="L2261" s="8">
        <v>4014622</v>
      </c>
      <c r="M2261" s="8" t="str">
        <f t="shared" si="182"/>
        <v>PEN</v>
      </c>
      <c r="N2261" s="13">
        <v>10.5</v>
      </c>
      <c r="O2261" s="13"/>
      <c r="P2261" s="3">
        <f t="shared" si="183"/>
        <v>0</v>
      </c>
      <c r="Q2261" s="3">
        <f t="shared" si="184"/>
        <v>0</v>
      </c>
      <c r="R2261" s="3">
        <f t="shared" si="185"/>
        <v>17189.960000000028</v>
      </c>
      <c r="S2261" s="24" t="s">
        <v>1334</v>
      </c>
      <c r="T2261" s="24" t="s">
        <v>1334</v>
      </c>
      <c r="U2261" s="54"/>
      <c r="V2261" s="102">
        <f>IFERROR(VLOOKUP(BCP_Soles[[#This Row],[destinatario]],CHOOSE({1,2},Clientes_Proveedores[Razon Social],Clientes_Proveedores[Ruc / Dni]),2,0),"")</f>
        <v>20100047218</v>
      </c>
      <c r="W2261" s="27"/>
      <c r="X2261" s="27"/>
      <c r="Y2261" s="27"/>
      <c r="Z2261" s="27"/>
      <c r="AA2261" s="3" t="str">
        <f>IF(BCP_Soles[[#This Row],[fecha]]&gt;0,TEXT(BCP_Soles[[#This Row],[fecha]],"mmmm"),0)</f>
        <v>Junio</v>
      </c>
    </row>
    <row r="2262" spans="1:27" x14ac:dyDescent="0.3">
      <c r="A2262" s="2">
        <f>IF(BCP_Soles[[#This Row],[tipo_registro]]="R",COUNTIFS($C$1:$C2261,"R")+1,A2261)</f>
        <v>1691</v>
      </c>
      <c r="B2262" s="19" t="str">
        <f t="shared" si="181"/>
        <v>B-BCP - Soles</v>
      </c>
      <c r="C2262" s="3" t="s">
        <v>1330</v>
      </c>
      <c r="D2262" s="14">
        <v>45833</v>
      </c>
      <c r="E2262" s="5" t="s">
        <v>1331</v>
      </c>
      <c r="F2262" s="5" t="s">
        <v>1336</v>
      </c>
      <c r="G2262" s="6" t="s">
        <v>425</v>
      </c>
      <c r="H2262" s="6"/>
      <c r="I2262" s="6"/>
      <c r="J2262" s="6"/>
      <c r="K2262" s="7" t="s">
        <v>3580</v>
      </c>
      <c r="L2262" s="8">
        <v>1146809</v>
      </c>
      <c r="M2262" s="8" t="str">
        <f t="shared" si="182"/>
        <v>PEN</v>
      </c>
      <c r="N2262" s="13"/>
      <c r="O2262" s="13">
        <v>2689.5</v>
      </c>
      <c r="P2262" s="3">
        <f t="shared" si="183"/>
        <v>0</v>
      </c>
      <c r="Q2262" s="3">
        <f t="shared" si="184"/>
        <v>2689.5</v>
      </c>
      <c r="R2262" s="3">
        <f t="shared" si="185"/>
        <v>14500.460000000028</v>
      </c>
      <c r="S2262" s="24" t="s">
        <v>1334</v>
      </c>
      <c r="T2262" s="24" t="s">
        <v>1334</v>
      </c>
      <c r="U2262" s="80" t="s">
        <v>3581</v>
      </c>
      <c r="V2262" s="101">
        <f>IFERROR(VLOOKUP(BCP_Soles[[#This Row],[destinatario]],CHOOSE({1,2},Clientes_Proveedores[Razon Social],Clientes_Proveedores[Ruc / Dni]),2,0),"")</f>
        <v>20558226979</v>
      </c>
      <c r="W2262" s="26"/>
      <c r="X2262" s="26"/>
      <c r="Y2262" s="26"/>
      <c r="Z2262" s="76"/>
      <c r="AA2262" s="3" t="str">
        <f>IF(BCP_Soles[[#This Row],[fecha]]&gt;0,TEXT(BCP_Soles[[#This Row],[fecha]],"mmmm"),0)</f>
        <v>Junio</v>
      </c>
    </row>
    <row r="2263" spans="1:27" x14ac:dyDescent="0.3">
      <c r="A2263" s="2">
        <f>IF(BCP_Soles[[#This Row],[tipo_registro]]="R",COUNTIFS($C$1:$C2262,"R")+1,A2262)</f>
        <v>1692</v>
      </c>
      <c r="B2263" s="19" t="str">
        <f t="shared" si="181"/>
        <v>B-BCP - Soles</v>
      </c>
      <c r="C2263" s="3" t="s">
        <v>1330</v>
      </c>
      <c r="D2263" s="14">
        <v>45833</v>
      </c>
      <c r="E2263" s="5" t="s">
        <v>1331</v>
      </c>
      <c r="F2263" s="5" t="s">
        <v>1336</v>
      </c>
      <c r="G2263" s="6" t="s">
        <v>696</v>
      </c>
      <c r="H2263" s="6"/>
      <c r="I2263" s="6"/>
      <c r="J2263" s="6"/>
      <c r="K2263" s="7" t="s">
        <v>3582</v>
      </c>
      <c r="L2263" s="8">
        <v>1483271</v>
      </c>
      <c r="M2263" s="8" t="str">
        <f t="shared" si="182"/>
        <v>PEN</v>
      </c>
      <c r="N2263" s="13"/>
      <c r="O2263" s="13">
        <v>3612.21</v>
      </c>
      <c r="P2263" s="3">
        <f t="shared" si="183"/>
        <v>0</v>
      </c>
      <c r="Q2263" s="3">
        <f t="shared" si="184"/>
        <v>3612.21</v>
      </c>
      <c r="R2263" s="3">
        <f t="shared" si="185"/>
        <v>10888.250000000029</v>
      </c>
      <c r="S2263" s="24" t="s">
        <v>1334</v>
      </c>
      <c r="T2263" s="24" t="s">
        <v>1334</v>
      </c>
      <c r="U2263" s="80" t="s">
        <v>3583</v>
      </c>
      <c r="V2263" s="25">
        <f>IFERROR(VLOOKUP(BCP_Soles[[#This Row],[destinatario]],CHOOSE({1,2},Clientes_Proveedores[Razon Social],Clientes_Proveedores[Ruc / Dni]),2,0),"")</f>
        <v>0</v>
      </c>
      <c r="W2263" s="25" t="s">
        <v>1373</v>
      </c>
      <c r="X2263" s="25"/>
      <c r="Y2263" s="25"/>
      <c r="Z2263" s="75"/>
      <c r="AA2263" s="3" t="str">
        <f>IF(BCP_Soles[[#This Row],[fecha]]&gt;0,TEXT(BCP_Soles[[#This Row],[fecha]],"mmmm"),0)</f>
        <v>Junio</v>
      </c>
    </row>
    <row r="2264" spans="1:27" x14ac:dyDescent="0.3">
      <c r="A2264" s="2">
        <f>IF(BCP_Soles[[#This Row],[tipo_registro]]="R",COUNTIFS($C$1:$C2263,"R")+1,A2263)</f>
        <v>1692</v>
      </c>
      <c r="B2264" s="19" t="str">
        <f t="shared" ref="B2264:B2327" si="186">"B-BCP - Soles"</f>
        <v>B-BCP - Soles</v>
      </c>
      <c r="C2264" s="3" t="s">
        <v>1352</v>
      </c>
      <c r="D2264" s="14">
        <v>45833</v>
      </c>
      <c r="E2264" s="5" t="s">
        <v>1331</v>
      </c>
      <c r="F2264" s="5"/>
      <c r="G2264" s="6" t="s">
        <v>286</v>
      </c>
      <c r="H2264" s="6" t="s">
        <v>68</v>
      </c>
      <c r="I2264" s="6" t="s">
        <v>1386</v>
      </c>
      <c r="J2264" s="6">
        <v>1704</v>
      </c>
      <c r="K2264" s="7" t="s">
        <v>3582</v>
      </c>
      <c r="L2264" s="8">
        <v>1483271</v>
      </c>
      <c r="M2264" s="8" t="str">
        <f t="shared" ref="M2264:M2327" si="187">"PEN"</f>
        <v>PEN</v>
      </c>
      <c r="N2264" s="13">
        <v>110</v>
      </c>
      <c r="O2264" s="13"/>
      <c r="P2264" s="3">
        <f t="shared" ref="P2264:P2327" si="188">+IF(OR($F2264="SALDO",$F2264="INGRESO"),$O2264,0)</f>
        <v>0</v>
      </c>
      <c r="Q2264" s="3">
        <f t="shared" ref="Q2264:Q2327" si="189">+IF($F2264="EGRESO",$O2264,0)</f>
        <v>0</v>
      </c>
      <c r="R2264" s="3">
        <f t="shared" si="185"/>
        <v>10888.250000000029</v>
      </c>
      <c r="S2264" s="24"/>
      <c r="T2264" s="24" t="s">
        <v>1334</v>
      </c>
      <c r="U2264" s="53"/>
      <c r="V2264" s="25">
        <f>IFERROR(VLOOKUP(BCP_Soles[[#This Row],[destinatario]],CHOOSE({1,2},Clientes_Proveedores[Razon Social],Clientes_Proveedores[Ruc / Dni]),2,0),"")</f>
        <v>20454186002</v>
      </c>
      <c r="W2264" s="25"/>
      <c r="X2264" s="25"/>
      <c r="Y2264" s="25"/>
      <c r="Z2264" s="75"/>
      <c r="AA2264" s="3" t="str">
        <f>IF(BCP_Soles[[#This Row],[fecha]]&gt;0,TEXT(BCP_Soles[[#This Row],[fecha]],"mmmm"),0)</f>
        <v>Junio</v>
      </c>
    </row>
    <row r="2265" spans="1:27" x14ac:dyDescent="0.3">
      <c r="A2265" s="2">
        <f>IF(BCP_Soles[[#This Row],[tipo_registro]]="R",COUNTIFS($C$1:$C2264,"R")+1,A2264)</f>
        <v>1692</v>
      </c>
      <c r="B2265" s="19" t="str">
        <f t="shared" si="186"/>
        <v>B-BCP - Soles</v>
      </c>
      <c r="C2265" s="3" t="s">
        <v>1352</v>
      </c>
      <c r="D2265" s="14">
        <v>45833</v>
      </c>
      <c r="E2265" s="5" t="s">
        <v>1331</v>
      </c>
      <c r="F2265" s="5"/>
      <c r="G2265" s="6" t="s">
        <v>286</v>
      </c>
      <c r="H2265" s="6" t="s">
        <v>68</v>
      </c>
      <c r="I2265" s="6" t="s">
        <v>1386</v>
      </c>
      <c r="J2265" s="6">
        <v>1705</v>
      </c>
      <c r="K2265" s="7" t="s">
        <v>3582</v>
      </c>
      <c r="L2265" s="8">
        <v>1483271</v>
      </c>
      <c r="M2265" s="8" t="str">
        <f t="shared" si="187"/>
        <v>PEN</v>
      </c>
      <c r="N2265" s="13">
        <v>666.2</v>
      </c>
      <c r="O2265" s="13"/>
      <c r="P2265" s="3">
        <f t="shared" si="188"/>
        <v>0</v>
      </c>
      <c r="Q2265" s="3">
        <f t="shared" si="189"/>
        <v>0</v>
      </c>
      <c r="R2265" s="3">
        <f t="shared" si="185"/>
        <v>10888.250000000029</v>
      </c>
      <c r="S2265" s="24"/>
      <c r="T2265" s="24" t="s">
        <v>1334</v>
      </c>
      <c r="U2265" s="53"/>
      <c r="V2265" s="25">
        <f>IFERROR(VLOOKUP(BCP_Soles[[#This Row],[destinatario]],CHOOSE({1,2},Clientes_Proveedores[Razon Social],Clientes_Proveedores[Ruc / Dni]),2,0),"")</f>
        <v>20454186002</v>
      </c>
      <c r="W2265" s="25"/>
      <c r="X2265" s="25"/>
      <c r="Y2265" s="25"/>
      <c r="Z2265" s="75"/>
      <c r="AA2265" s="3" t="str">
        <f>IF(BCP_Soles[[#This Row],[fecha]]&gt;0,TEXT(BCP_Soles[[#This Row],[fecha]],"mmmm"),0)</f>
        <v>Junio</v>
      </c>
    </row>
    <row r="2266" spans="1:27" x14ac:dyDescent="0.3">
      <c r="A2266" s="2">
        <f>IF(BCP_Soles[[#This Row],[tipo_registro]]="R",COUNTIFS($C$1:$C2265,"R")+1,A2265)</f>
        <v>1692</v>
      </c>
      <c r="B2266" s="19" t="str">
        <f t="shared" si="186"/>
        <v>B-BCP - Soles</v>
      </c>
      <c r="C2266" s="3" t="s">
        <v>1352</v>
      </c>
      <c r="D2266" s="14">
        <v>45833</v>
      </c>
      <c r="E2266" s="5" t="s">
        <v>1331</v>
      </c>
      <c r="F2266" s="5"/>
      <c r="G2266" s="6" t="s">
        <v>286</v>
      </c>
      <c r="H2266" s="6" t="s">
        <v>68</v>
      </c>
      <c r="I2266" s="6" t="s">
        <v>1386</v>
      </c>
      <c r="J2266" s="6">
        <v>1706</v>
      </c>
      <c r="K2266" s="7" t="s">
        <v>3582</v>
      </c>
      <c r="L2266" s="8">
        <v>1483271</v>
      </c>
      <c r="M2266" s="8" t="str">
        <f t="shared" si="187"/>
        <v>PEN</v>
      </c>
      <c r="N2266" s="13">
        <v>353.99</v>
      </c>
      <c r="O2266" s="13"/>
      <c r="P2266" s="3">
        <f t="shared" si="188"/>
        <v>0</v>
      </c>
      <c r="Q2266" s="3">
        <f t="shared" si="189"/>
        <v>0</v>
      </c>
      <c r="R2266" s="3">
        <f t="shared" si="185"/>
        <v>10888.250000000029</v>
      </c>
      <c r="S2266" s="24"/>
      <c r="T2266" s="24" t="s">
        <v>1334</v>
      </c>
      <c r="U2266" s="53"/>
      <c r="V2266" s="25">
        <f>IFERROR(VLOOKUP(BCP_Soles[[#This Row],[destinatario]],CHOOSE({1,2},Clientes_Proveedores[Razon Social],Clientes_Proveedores[Ruc / Dni]),2,0),"")</f>
        <v>20454186002</v>
      </c>
      <c r="W2266" s="25"/>
      <c r="X2266" s="25"/>
      <c r="Y2266" s="25"/>
      <c r="Z2266" s="75"/>
      <c r="AA2266" s="3" t="str">
        <f>IF(BCP_Soles[[#This Row],[fecha]]&gt;0,TEXT(BCP_Soles[[#This Row],[fecha]],"mmmm"),0)</f>
        <v>Junio</v>
      </c>
    </row>
    <row r="2267" spans="1:27" x14ac:dyDescent="0.3">
      <c r="A2267" s="2">
        <f>IF(BCP_Soles[[#This Row],[tipo_registro]]="R",COUNTIFS($C$1:$C2266,"R")+1,A2266)</f>
        <v>1692</v>
      </c>
      <c r="B2267" s="19" t="str">
        <f t="shared" si="186"/>
        <v>B-BCP - Soles</v>
      </c>
      <c r="C2267" s="3" t="s">
        <v>1352</v>
      </c>
      <c r="D2267" s="14">
        <v>45833</v>
      </c>
      <c r="E2267" s="5" t="s">
        <v>1331</v>
      </c>
      <c r="F2267" s="5"/>
      <c r="G2267" s="6" t="s">
        <v>286</v>
      </c>
      <c r="H2267" s="6" t="s">
        <v>68</v>
      </c>
      <c r="I2267" s="6" t="s">
        <v>1390</v>
      </c>
      <c r="J2267" s="6">
        <v>626</v>
      </c>
      <c r="K2267" s="7" t="s">
        <v>3582</v>
      </c>
      <c r="L2267" s="8">
        <v>1483271</v>
      </c>
      <c r="M2267" s="8" t="str">
        <f t="shared" si="187"/>
        <v>PEN</v>
      </c>
      <c r="N2267" s="13">
        <v>969.01</v>
      </c>
      <c r="O2267" s="13"/>
      <c r="P2267" s="3">
        <f t="shared" si="188"/>
        <v>0</v>
      </c>
      <c r="Q2267" s="3">
        <f t="shared" si="189"/>
        <v>0</v>
      </c>
      <c r="R2267" s="3">
        <f t="shared" si="185"/>
        <v>10888.250000000029</v>
      </c>
      <c r="S2267" s="24"/>
      <c r="T2267" s="24" t="s">
        <v>1334</v>
      </c>
      <c r="U2267" s="53"/>
      <c r="V2267" s="25">
        <f>IFERROR(VLOOKUP(BCP_Soles[[#This Row],[destinatario]],CHOOSE({1,2},Clientes_Proveedores[Razon Social],Clientes_Proveedores[Ruc / Dni]),2,0),"")</f>
        <v>20454186002</v>
      </c>
      <c r="W2267" s="25"/>
      <c r="X2267" s="25"/>
      <c r="Y2267" s="25"/>
      <c r="Z2267" s="75"/>
      <c r="AA2267" s="3" t="str">
        <f>IF(BCP_Soles[[#This Row],[fecha]]&gt;0,TEXT(BCP_Soles[[#This Row],[fecha]],"mmmm"),0)</f>
        <v>Junio</v>
      </c>
    </row>
    <row r="2268" spans="1:27" x14ac:dyDescent="0.3">
      <c r="A2268" s="2">
        <f>IF(BCP_Soles[[#This Row],[tipo_registro]]="R",COUNTIFS($C$1:$C2267,"R")+1,A2267)</f>
        <v>1692</v>
      </c>
      <c r="B2268" s="19" t="str">
        <f t="shared" si="186"/>
        <v>B-BCP - Soles</v>
      </c>
      <c r="C2268" s="3" t="s">
        <v>1352</v>
      </c>
      <c r="D2268" s="14">
        <v>45833</v>
      </c>
      <c r="E2268" s="5" t="s">
        <v>1331</v>
      </c>
      <c r="F2268" s="5"/>
      <c r="G2268" s="6" t="s">
        <v>522</v>
      </c>
      <c r="H2268" s="6" t="s">
        <v>68</v>
      </c>
      <c r="I2268" s="6" t="s">
        <v>1376</v>
      </c>
      <c r="J2268" s="6">
        <v>3965</v>
      </c>
      <c r="K2268" s="7" t="s">
        <v>3582</v>
      </c>
      <c r="L2268" s="8">
        <v>1483271</v>
      </c>
      <c r="M2268" s="8" t="str">
        <f t="shared" si="187"/>
        <v>PEN</v>
      </c>
      <c r="N2268" s="13">
        <v>401.2</v>
      </c>
      <c r="O2268" s="13"/>
      <c r="P2268" s="3">
        <f t="shared" si="188"/>
        <v>0</v>
      </c>
      <c r="Q2268" s="3">
        <f t="shared" si="189"/>
        <v>0</v>
      </c>
      <c r="R2268" s="3">
        <f t="shared" si="185"/>
        <v>10888.250000000029</v>
      </c>
      <c r="S2268" s="24"/>
      <c r="T2268" s="24" t="s">
        <v>1334</v>
      </c>
      <c r="U2268" s="53"/>
      <c r="V2268" s="25">
        <f>IFERROR(VLOOKUP(BCP_Soles[[#This Row],[destinatario]],CHOOSE({1,2},Clientes_Proveedores[Razon Social],Clientes_Proveedores[Ruc / Dni]),2,0),"")</f>
        <v>20603974817</v>
      </c>
      <c r="W2268" s="25"/>
      <c r="X2268" s="25"/>
      <c r="Y2268" s="25"/>
      <c r="Z2268" s="75"/>
      <c r="AA2268" s="3" t="str">
        <f>IF(BCP_Soles[[#This Row],[fecha]]&gt;0,TEXT(BCP_Soles[[#This Row],[fecha]],"mmmm"),0)</f>
        <v>Junio</v>
      </c>
    </row>
    <row r="2269" spans="1:27" ht="24" x14ac:dyDescent="0.3">
      <c r="A2269" s="2">
        <f>IF(BCP_Soles[[#This Row],[tipo_registro]]="R",COUNTIFS($C$1:$C2268,"R")+1,A2268)</f>
        <v>1692</v>
      </c>
      <c r="B2269" s="19" t="str">
        <f t="shared" si="186"/>
        <v>B-BCP - Soles</v>
      </c>
      <c r="C2269" s="3" t="s">
        <v>1352</v>
      </c>
      <c r="D2269" s="14">
        <v>45833</v>
      </c>
      <c r="E2269" s="5" t="s">
        <v>1331</v>
      </c>
      <c r="F2269" s="5"/>
      <c r="G2269" s="6" t="s">
        <v>594</v>
      </c>
      <c r="H2269" s="6" t="s">
        <v>68</v>
      </c>
      <c r="I2269" s="6" t="s">
        <v>1376</v>
      </c>
      <c r="J2269" s="6">
        <v>2275</v>
      </c>
      <c r="K2269" s="7" t="s">
        <v>3582</v>
      </c>
      <c r="L2269" s="8">
        <v>1483271</v>
      </c>
      <c r="M2269" s="8" t="str">
        <f t="shared" si="187"/>
        <v>PEN</v>
      </c>
      <c r="N2269" s="13">
        <v>70.8</v>
      </c>
      <c r="O2269" s="13"/>
      <c r="P2269" s="3">
        <f t="shared" si="188"/>
        <v>0</v>
      </c>
      <c r="Q2269" s="3">
        <f t="shared" si="189"/>
        <v>0</v>
      </c>
      <c r="R2269" s="3">
        <f t="shared" si="185"/>
        <v>10888.250000000029</v>
      </c>
      <c r="S2269" s="24"/>
      <c r="T2269" s="24" t="s">
        <v>1334</v>
      </c>
      <c r="U2269" s="53"/>
      <c r="V2269" s="25">
        <f>IFERROR(VLOOKUP(BCP_Soles[[#This Row],[destinatario]],CHOOSE({1,2},Clientes_Proveedores[Razon Social],Clientes_Proveedores[Ruc / Dni]),2,0),"")</f>
        <v>20609764261</v>
      </c>
      <c r="W2269" s="25"/>
      <c r="X2269" s="25"/>
      <c r="Y2269" s="25"/>
      <c r="Z2269" s="75"/>
      <c r="AA2269" s="3" t="str">
        <f>IF(BCP_Soles[[#This Row],[fecha]]&gt;0,TEXT(BCP_Soles[[#This Row],[fecha]],"mmmm"),0)</f>
        <v>Junio</v>
      </c>
    </row>
    <row r="2270" spans="1:27" ht="24" x14ac:dyDescent="0.3">
      <c r="A2270" s="2">
        <f>IF(BCP_Soles[[#This Row],[tipo_registro]]="R",COUNTIFS($C$1:$C2269,"R")+1,A2269)</f>
        <v>1692</v>
      </c>
      <c r="B2270" s="19" t="str">
        <f t="shared" si="186"/>
        <v>B-BCP - Soles</v>
      </c>
      <c r="C2270" s="3" t="s">
        <v>1352</v>
      </c>
      <c r="D2270" s="14">
        <v>45833</v>
      </c>
      <c r="E2270" s="5" t="s">
        <v>1331</v>
      </c>
      <c r="F2270" s="5"/>
      <c r="G2270" s="6" t="s">
        <v>692</v>
      </c>
      <c r="H2270" s="6" t="s">
        <v>68</v>
      </c>
      <c r="I2270" s="6" t="s">
        <v>1376</v>
      </c>
      <c r="J2270" s="6">
        <v>7</v>
      </c>
      <c r="K2270" s="7" t="s">
        <v>3582</v>
      </c>
      <c r="L2270" s="8">
        <v>1483271</v>
      </c>
      <c r="M2270" s="8" t="str">
        <f t="shared" si="187"/>
        <v>PEN</v>
      </c>
      <c r="N2270" s="13">
        <v>864.01</v>
      </c>
      <c r="O2270" s="13"/>
      <c r="P2270" s="3">
        <f t="shared" si="188"/>
        <v>0</v>
      </c>
      <c r="Q2270" s="3">
        <f t="shared" si="189"/>
        <v>0</v>
      </c>
      <c r="R2270" s="3">
        <f t="shared" si="185"/>
        <v>10888.250000000029</v>
      </c>
      <c r="S2270" s="24"/>
      <c r="T2270" s="24" t="s">
        <v>1334</v>
      </c>
      <c r="U2270" s="53"/>
      <c r="V2270" s="25">
        <f>IFERROR(VLOOKUP(BCP_Soles[[#This Row],[destinatario]],CHOOSE({1,2},Clientes_Proveedores[Razon Social],Clientes_Proveedores[Ruc / Dni]),2,0),"")</f>
        <v>10736055631</v>
      </c>
      <c r="W2270" s="25"/>
      <c r="X2270" s="25"/>
      <c r="Y2270" s="25"/>
      <c r="Z2270" s="75"/>
      <c r="AA2270" s="3" t="str">
        <f>IF(BCP_Soles[[#This Row],[fecha]]&gt;0,TEXT(BCP_Soles[[#This Row],[fecha]],"mmmm"),0)</f>
        <v>Junio</v>
      </c>
    </row>
    <row r="2271" spans="1:27" ht="24" x14ac:dyDescent="0.3">
      <c r="A2271" s="2">
        <f>IF(BCP_Soles[[#This Row],[tipo_registro]]="R",COUNTIFS($C$1:$C2270,"R")+1,A2270)</f>
        <v>1692</v>
      </c>
      <c r="B2271" s="19" t="str">
        <f t="shared" si="186"/>
        <v>B-BCP - Soles</v>
      </c>
      <c r="C2271" s="3" t="s">
        <v>1352</v>
      </c>
      <c r="D2271" s="14">
        <v>45833</v>
      </c>
      <c r="E2271" s="5" t="s">
        <v>1331</v>
      </c>
      <c r="F2271" s="5"/>
      <c r="G2271" s="6" t="s">
        <v>594</v>
      </c>
      <c r="H2271" s="6" t="s">
        <v>68</v>
      </c>
      <c r="I2271" s="6" t="s">
        <v>1376</v>
      </c>
      <c r="J2271" s="6">
        <v>2287</v>
      </c>
      <c r="K2271" s="7" t="s">
        <v>3582</v>
      </c>
      <c r="L2271" s="8">
        <v>1483271</v>
      </c>
      <c r="M2271" s="8" t="str">
        <f t="shared" si="187"/>
        <v>PEN</v>
      </c>
      <c r="N2271" s="13">
        <v>70.8</v>
      </c>
      <c r="O2271" s="13"/>
      <c r="P2271" s="3">
        <f t="shared" si="188"/>
        <v>0</v>
      </c>
      <c r="Q2271" s="3">
        <f t="shared" si="189"/>
        <v>0</v>
      </c>
      <c r="R2271" s="3">
        <f t="shared" si="185"/>
        <v>10888.250000000029</v>
      </c>
      <c r="S2271" s="24"/>
      <c r="T2271" s="24" t="s">
        <v>1334</v>
      </c>
      <c r="U2271" s="53"/>
      <c r="V2271" s="25">
        <f>IFERROR(VLOOKUP(BCP_Soles[[#This Row],[destinatario]],CHOOSE({1,2},Clientes_Proveedores[Razon Social],Clientes_Proveedores[Ruc / Dni]),2,0),"")</f>
        <v>20609764261</v>
      </c>
      <c r="W2271" s="25"/>
      <c r="X2271" s="25"/>
      <c r="Y2271" s="25"/>
      <c r="Z2271" s="75"/>
      <c r="AA2271" s="3" t="str">
        <f>IF(BCP_Soles[[#This Row],[fecha]]&gt;0,TEXT(BCP_Soles[[#This Row],[fecha]],"mmmm"),0)</f>
        <v>Junio</v>
      </c>
    </row>
    <row r="2272" spans="1:27" ht="24" x14ac:dyDescent="0.3">
      <c r="A2272" s="2">
        <f>IF(BCP_Soles[[#This Row],[tipo_registro]]="R",COUNTIFS($C$1:$C2271,"R")+1,A2271)</f>
        <v>1692</v>
      </c>
      <c r="B2272" s="19" t="str">
        <f t="shared" si="186"/>
        <v>B-BCP - Soles</v>
      </c>
      <c r="C2272" s="3" t="s">
        <v>1352</v>
      </c>
      <c r="D2272" s="14">
        <v>45833</v>
      </c>
      <c r="E2272" s="5" t="s">
        <v>1331</v>
      </c>
      <c r="F2272" s="5"/>
      <c r="G2272" s="6" t="s">
        <v>594</v>
      </c>
      <c r="H2272" s="6" t="s">
        <v>68</v>
      </c>
      <c r="I2272" s="6" t="s">
        <v>1376</v>
      </c>
      <c r="J2272" s="6">
        <v>2282</v>
      </c>
      <c r="K2272" s="7" t="s">
        <v>3582</v>
      </c>
      <c r="L2272" s="8">
        <v>1483271</v>
      </c>
      <c r="M2272" s="8" t="str">
        <f t="shared" si="187"/>
        <v>PEN</v>
      </c>
      <c r="N2272" s="13">
        <v>106.2</v>
      </c>
      <c r="O2272" s="13"/>
      <c r="P2272" s="3">
        <f t="shared" si="188"/>
        <v>0</v>
      </c>
      <c r="Q2272" s="3">
        <f t="shared" si="189"/>
        <v>0</v>
      </c>
      <c r="R2272" s="3">
        <f t="shared" si="185"/>
        <v>10888.250000000029</v>
      </c>
      <c r="S2272" s="24"/>
      <c r="T2272" s="24" t="s">
        <v>1334</v>
      </c>
      <c r="U2272" s="53"/>
      <c r="V2272" s="25">
        <f>IFERROR(VLOOKUP(BCP_Soles[[#This Row],[destinatario]],CHOOSE({1,2},Clientes_Proveedores[Razon Social],Clientes_Proveedores[Ruc / Dni]),2,0),"")</f>
        <v>20609764261</v>
      </c>
      <c r="W2272" s="25"/>
      <c r="X2272" s="25"/>
      <c r="Y2272" s="25"/>
      <c r="Z2272" s="75"/>
      <c r="AA2272" s="3" t="str">
        <f>IF(BCP_Soles[[#This Row],[fecha]]&gt;0,TEXT(BCP_Soles[[#This Row],[fecha]],"mmmm"),0)</f>
        <v>Junio</v>
      </c>
    </row>
    <row r="2273" spans="1:27" x14ac:dyDescent="0.3">
      <c r="A2273" s="2">
        <f>IF(BCP_Soles[[#This Row],[tipo_registro]]="R",COUNTIFS($C$1:$C2272,"R")+1,A2272)</f>
        <v>1693</v>
      </c>
      <c r="B2273" s="19" t="str">
        <f t="shared" si="186"/>
        <v>B-BCP - Soles</v>
      </c>
      <c r="C2273" s="3" t="s">
        <v>1330</v>
      </c>
      <c r="D2273" s="14">
        <v>45833</v>
      </c>
      <c r="E2273" s="5" t="s">
        <v>1331</v>
      </c>
      <c r="F2273" s="5" t="s">
        <v>1336</v>
      </c>
      <c r="G2273" s="6"/>
      <c r="H2273" s="6"/>
      <c r="I2273" s="6"/>
      <c r="J2273" s="6"/>
      <c r="K2273" s="7" t="s">
        <v>3584</v>
      </c>
      <c r="L2273" s="8">
        <v>1007730</v>
      </c>
      <c r="M2273" s="8" t="str">
        <f t="shared" si="187"/>
        <v>PEN</v>
      </c>
      <c r="N2273" s="13"/>
      <c r="O2273" s="13">
        <v>1231</v>
      </c>
      <c r="P2273" s="3">
        <f t="shared" si="188"/>
        <v>0</v>
      </c>
      <c r="Q2273" s="3">
        <f t="shared" si="189"/>
        <v>1231</v>
      </c>
      <c r="R2273" s="3">
        <f t="shared" si="185"/>
        <v>9657.2500000000291</v>
      </c>
      <c r="S2273" s="24"/>
      <c r="T2273" s="24"/>
      <c r="U2273" s="53"/>
      <c r="V2273" s="25" t="str">
        <f>IFERROR(VLOOKUP(BCP_Soles[[#This Row],[destinatario]],CHOOSE({1,2},Clientes_Proveedores[Razon Social],Clientes_Proveedores[Ruc / Dni]),2,0),"")</f>
        <v/>
      </c>
      <c r="W2273" s="25"/>
      <c r="X2273" s="25"/>
      <c r="Y2273" s="25"/>
      <c r="Z2273" s="75"/>
      <c r="AA2273" s="3" t="str">
        <f>IF(BCP_Soles[[#This Row],[fecha]]&gt;0,TEXT(BCP_Soles[[#This Row],[fecha]],"mmmm"),0)</f>
        <v>Junio</v>
      </c>
    </row>
    <row r="2274" spans="1:27" ht="24" x14ac:dyDescent="0.3">
      <c r="A2274" s="2">
        <f>IF(BCP_Soles[[#This Row],[tipo_registro]]="R",COUNTIFS($C$1:$C2273,"R")+1,A2273)</f>
        <v>1694</v>
      </c>
      <c r="B2274" s="19" t="str">
        <f t="shared" si="186"/>
        <v>B-BCP - Soles</v>
      </c>
      <c r="C2274" s="3" t="s">
        <v>1330</v>
      </c>
      <c r="D2274" s="14">
        <v>45833</v>
      </c>
      <c r="E2274" s="5" t="s">
        <v>1335</v>
      </c>
      <c r="F2274" s="5" t="s">
        <v>1336</v>
      </c>
      <c r="G2274" s="6" t="s">
        <v>1060</v>
      </c>
      <c r="H2274" s="6" t="s">
        <v>68</v>
      </c>
      <c r="I2274" s="6" t="s">
        <v>1397</v>
      </c>
      <c r="J2274" s="6">
        <v>34107559</v>
      </c>
      <c r="K2274" s="7" t="s">
        <v>3585</v>
      </c>
      <c r="L2274" s="8">
        <v>1483294</v>
      </c>
      <c r="M2274" s="8" t="str">
        <f t="shared" si="187"/>
        <v>PEN</v>
      </c>
      <c r="N2274" s="13"/>
      <c r="O2274" s="13">
        <v>10</v>
      </c>
      <c r="P2274" s="3">
        <f t="shared" si="188"/>
        <v>0</v>
      </c>
      <c r="Q2274" s="3">
        <f t="shared" si="189"/>
        <v>10</v>
      </c>
      <c r="R2274" s="3">
        <f t="shared" si="185"/>
        <v>9647.2500000000291</v>
      </c>
      <c r="S2274" s="24" t="s">
        <v>1334</v>
      </c>
      <c r="T2274" s="24" t="s">
        <v>1334</v>
      </c>
      <c r="U2274" s="53"/>
      <c r="V2274" s="25">
        <f>IFERROR(VLOOKUP(BCP_Soles[[#This Row],[destinatario]],CHOOSE({1,2},Clientes_Proveedores[Razon Social],Clientes_Proveedores[Ruc / Dni]),2,0),"")</f>
        <v>20100047218</v>
      </c>
      <c r="W2274" s="25"/>
      <c r="X2274" s="25"/>
      <c r="Y2274" s="25"/>
      <c r="Z2274" s="75"/>
      <c r="AA2274" s="3" t="str">
        <f>IF(BCP_Soles[[#This Row],[fecha]]&gt;0,TEXT(BCP_Soles[[#This Row],[fecha]],"mmmm"),0)</f>
        <v>Junio</v>
      </c>
    </row>
    <row r="2275" spans="1:27" ht="24" x14ac:dyDescent="0.3">
      <c r="A2275" s="2">
        <f>IF(BCP_Soles[[#This Row],[tipo_registro]]="R",COUNTIFS($C$1:$C2274,"R")+1,A2274)</f>
        <v>1695</v>
      </c>
      <c r="B2275" s="19" t="str">
        <f t="shared" si="186"/>
        <v>B-BCP - Soles</v>
      </c>
      <c r="C2275" s="3" t="s">
        <v>1330</v>
      </c>
      <c r="D2275" s="14">
        <v>45833</v>
      </c>
      <c r="E2275" s="5" t="s">
        <v>1335</v>
      </c>
      <c r="F2275" s="5" t="s">
        <v>1336</v>
      </c>
      <c r="G2275" s="6" t="s">
        <v>1060</v>
      </c>
      <c r="H2275" s="6"/>
      <c r="I2275" s="6"/>
      <c r="J2275" s="6"/>
      <c r="K2275" s="7" t="s">
        <v>1400</v>
      </c>
      <c r="L2275" s="8">
        <v>457</v>
      </c>
      <c r="M2275" s="8" t="str">
        <f t="shared" si="187"/>
        <v>PEN</v>
      </c>
      <c r="N2275" s="13"/>
      <c r="O2275" s="13">
        <v>10</v>
      </c>
      <c r="P2275" s="3">
        <f t="shared" si="188"/>
        <v>0</v>
      </c>
      <c r="Q2275" s="3">
        <f t="shared" si="189"/>
        <v>10</v>
      </c>
      <c r="R2275" s="3">
        <f t="shared" si="185"/>
        <v>9637.2500000000291</v>
      </c>
      <c r="S2275" s="24"/>
      <c r="T2275" s="24"/>
      <c r="U2275" s="53"/>
      <c r="V2275" s="25">
        <f>IFERROR(VLOOKUP(BCP_Soles[[#This Row],[destinatario]],CHOOSE({1,2},Clientes_Proveedores[Razon Social],Clientes_Proveedores[Ruc / Dni]),2,0),"")</f>
        <v>20100047218</v>
      </c>
      <c r="W2275" s="25"/>
      <c r="X2275" s="25"/>
      <c r="Y2275" s="25"/>
      <c r="Z2275" s="75"/>
      <c r="AA2275" s="3" t="str">
        <f>IF(BCP_Soles[[#This Row],[fecha]]&gt;0,TEXT(BCP_Soles[[#This Row],[fecha]],"mmmm"),0)</f>
        <v>Junio</v>
      </c>
    </row>
    <row r="2276" spans="1:27" x14ac:dyDescent="0.3">
      <c r="A2276" s="2">
        <f>IF(BCP_Soles[[#This Row],[tipo_registro]]="R",COUNTIFS($C$1:$C2275,"R")+1,A2275)</f>
        <v>1696</v>
      </c>
      <c r="B2276" s="19" t="str">
        <f t="shared" si="186"/>
        <v>B-BCP - Soles</v>
      </c>
      <c r="C2276" s="3" t="s">
        <v>1330</v>
      </c>
      <c r="D2276" s="14">
        <v>45833</v>
      </c>
      <c r="E2276" s="5" t="s">
        <v>1335</v>
      </c>
      <c r="F2276" s="5" t="s">
        <v>1336</v>
      </c>
      <c r="G2276" s="6"/>
      <c r="H2276" s="6"/>
      <c r="I2276" s="6"/>
      <c r="J2276" s="6"/>
      <c r="K2276" s="7" t="s">
        <v>3160</v>
      </c>
      <c r="L2276" s="8"/>
      <c r="M2276" s="8" t="str">
        <f t="shared" si="187"/>
        <v>PEN</v>
      </c>
      <c r="N2276" s="13"/>
      <c r="O2276" s="13">
        <v>0.25</v>
      </c>
      <c r="P2276" s="3">
        <f t="shared" si="188"/>
        <v>0</v>
      </c>
      <c r="Q2276" s="3">
        <f t="shared" si="189"/>
        <v>0.25</v>
      </c>
      <c r="R2276" s="3">
        <f t="shared" si="185"/>
        <v>9637.0000000000291</v>
      </c>
      <c r="S2276" s="24"/>
      <c r="T2276" s="24" t="s">
        <v>1334</v>
      </c>
      <c r="U2276" s="53"/>
      <c r="V2276" s="25" t="str">
        <f>IFERROR(VLOOKUP(BCP_Soles[[#This Row],[destinatario]],CHOOSE({1,2},Clientes_Proveedores[Razon Social],Clientes_Proveedores[Ruc / Dni]),2,0),"")</f>
        <v/>
      </c>
      <c r="W2276" s="25"/>
      <c r="X2276" s="25"/>
      <c r="Y2276" s="25"/>
      <c r="Z2276" s="75"/>
      <c r="AA2276" s="3" t="str">
        <f>IF(BCP_Soles[[#This Row],[fecha]]&gt;0,TEXT(BCP_Soles[[#This Row],[fecha]],"mmmm"),0)</f>
        <v>Junio</v>
      </c>
    </row>
    <row r="2277" spans="1:27" ht="36" x14ac:dyDescent="0.3">
      <c r="A2277" s="2">
        <f>IF(BCP_Soles[[#This Row],[tipo_registro]]="R",COUNTIFS($C$1:$C2276,"R")+1,A2276)</f>
        <v>1697</v>
      </c>
      <c r="B2277" s="19" t="str">
        <f t="shared" si="186"/>
        <v>B-BCP - Soles</v>
      </c>
      <c r="C2277" s="3" t="s">
        <v>1330</v>
      </c>
      <c r="D2277" s="14">
        <v>45834</v>
      </c>
      <c r="E2277" s="5" t="s">
        <v>261</v>
      </c>
      <c r="F2277" s="5" t="s">
        <v>1303</v>
      </c>
      <c r="G2277" s="6" t="s">
        <v>425</v>
      </c>
      <c r="H2277" s="6" t="s">
        <v>68</v>
      </c>
      <c r="I2277" s="6" t="s">
        <v>3302</v>
      </c>
      <c r="J2277" s="6">
        <v>80</v>
      </c>
      <c r="K2277" s="7" t="s">
        <v>3586</v>
      </c>
      <c r="L2277" s="8">
        <v>1871822</v>
      </c>
      <c r="M2277" s="8" t="str">
        <f t="shared" si="187"/>
        <v>PEN</v>
      </c>
      <c r="N2277" s="13"/>
      <c r="O2277" s="13">
        <v>27573.5</v>
      </c>
      <c r="P2277" s="3">
        <f t="shared" si="188"/>
        <v>27573.5</v>
      </c>
      <c r="Q2277" s="3">
        <f t="shared" si="189"/>
        <v>0</v>
      </c>
      <c r="R2277" s="3">
        <f t="shared" si="185"/>
        <v>37210.500000000029</v>
      </c>
      <c r="S2277" s="24" t="s">
        <v>1334</v>
      </c>
      <c r="T2277" s="24" t="s">
        <v>1334</v>
      </c>
      <c r="U2277" s="53"/>
      <c r="V2277" s="25">
        <f>IFERROR(VLOOKUP(BCP_Soles[[#This Row],[destinatario]],CHOOSE({1,2},Clientes_Proveedores[Razon Social],Clientes_Proveedores[Ruc / Dni]),2,0),"")</f>
        <v>20558226979</v>
      </c>
      <c r="W2277" s="25" t="s">
        <v>1345</v>
      </c>
      <c r="X2277" s="25" t="s">
        <v>3587</v>
      </c>
      <c r="Y2277" s="25"/>
      <c r="Z2277" s="75"/>
      <c r="AA2277" s="3" t="str">
        <f>IF(BCP_Soles[[#This Row],[fecha]]&gt;0,TEXT(BCP_Soles[[#This Row],[fecha]],"mmmm"),0)</f>
        <v>Junio</v>
      </c>
    </row>
    <row r="2278" spans="1:27" ht="24" x14ac:dyDescent="0.3">
      <c r="A2278" s="2">
        <f>IF(BCP_Soles[[#This Row],[tipo_registro]]="R",COUNTIFS($C$1:$C2277,"R")+1,A2277)</f>
        <v>1698</v>
      </c>
      <c r="B2278" s="19" t="str">
        <f t="shared" si="186"/>
        <v>B-BCP - Soles</v>
      </c>
      <c r="C2278" s="3" t="s">
        <v>1330</v>
      </c>
      <c r="D2278" s="14">
        <v>45834</v>
      </c>
      <c r="E2278" s="5" t="s">
        <v>1505</v>
      </c>
      <c r="F2278" s="5" t="s">
        <v>1303</v>
      </c>
      <c r="G2278" s="6" t="s">
        <v>425</v>
      </c>
      <c r="H2278" s="6" t="s">
        <v>119</v>
      </c>
      <c r="I2278" s="6">
        <v>1</v>
      </c>
      <c r="J2278" s="6">
        <v>4545</v>
      </c>
      <c r="K2278" s="7" t="s">
        <v>1356</v>
      </c>
      <c r="L2278" s="8">
        <v>3484886</v>
      </c>
      <c r="M2278" s="8" t="str">
        <f t="shared" si="187"/>
        <v>PEN</v>
      </c>
      <c r="N2278" s="13"/>
      <c r="O2278" s="13">
        <v>7771.5</v>
      </c>
      <c r="P2278" s="3">
        <f t="shared" si="188"/>
        <v>7771.5</v>
      </c>
      <c r="Q2278" s="3">
        <f t="shared" si="189"/>
        <v>0</v>
      </c>
      <c r="R2278" s="3">
        <f t="shared" si="185"/>
        <v>44982.000000000029</v>
      </c>
      <c r="S2278" s="24" t="s">
        <v>1334</v>
      </c>
      <c r="T2278" s="24" t="s">
        <v>1334</v>
      </c>
      <c r="U2278" s="53"/>
      <c r="V2278" s="25">
        <f>IFERROR(VLOOKUP(BCP_Soles[[#This Row],[destinatario]],CHOOSE({1,2},Clientes_Proveedores[Razon Social],Clientes_Proveedores[Ruc / Dni]),2,0),"")</f>
        <v>20558226979</v>
      </c>
      <c r="W2278" s="25" t="s">
        <v>1345</v>
      </c>
      <c r="X2278" s="25"/>
      <c r="Y2278" s="25"/>
      <c r="Z2278" s="75"/>
      <c r="AA2278" s="3" t="str">
        <f>IF(BCP_Soles[[#This Row],[fecha]]&gt;0,TEXT(BCP_Soles[[#This Row],[fecha]],"mmmm"),0)</f>
        <v>Junio</v>
      </c>
    </row>
    <row r="2279" spans="1:27" x14ac:dyDescent="0.3">
      <c r="A2279" s="2">
        <f>IF(BCP_Soles[[#This Row],[tipo_registro]]="R",COUNTIFS($C$1:$C2278,"R")+1,A2278)</f>
        <v>1699</v>
      </c>
      <c r="B2279" s="19" t="str">
        <f t="shared" si="186"/>
        <v>B-BCP - Soles</v>
      </c>
      <c r="C2279" s="3" t="s">
        <v>1330</v>
      </c>
      <c r="D2279" s="14">
        <v>45834</v>
      </c>
      <c r="E2279" s="5"/>
      <c r="F2279" s="5" t="s">
        <v>1303</v>
      </c>
      <c r="G2279" s="6" t="s">
        <v>425</v>
      </c>
      <c r="H2279" s="6"/>
      <c r="I2279" s="6"/>
      <c r="J2279" s="6"/>
      <c r="K2279" s="7" t="s">
        <v>3588</v>
      </c>
      <c r="L2279" s="8">
        <v>916444</v>
      </c>
      <c r="M2279" s="8" t="str">
        <f t="shared" si="187"/>
        <v>PEN</v>
      </c>
      <c r="N2279" s="13"/>
      <c r="O2279" s="13">
        <v>2000</v>
      </c>
      <c r="P2279" s="3">
        <f t="shared" si="188"/>
        <v>2000</v>
      </c>
      <c r="Q2279" s="3">
        <f t="shared" si="189"/>
        <v>0</v>
      </c>
      <c r="R2279" s="3">
        <f t="shared" si="185"/>
        <v>46982.000000000029</v>
      </c>
      <c r="S2279" s="24" t="s">
        <v>1334</v>
      </c>
      <c r="T2279" s="24" t="s">
        <v>1334</v>
      </c>
      <c r="U2279" s="53"/>
      <c r="V2279" s="25">
        <f>IFERROR(VLOOKUP(BCP_Soles[[#This Row],[destinatario]],CHOOSE({1,2},Clientes_Proveedores[Razon Social],Clientes_Proveedores[Ruc / Dni]),2,0),"")</f>
        <v>20558226979</v>
      </c>
      <c r="W2279" s="25" t="s">
        <v>1345</v>
      </c>
      <c r="X2279" s="25"/>
      <c r="Y2279" s="25"/>
      <c r="Z2279" s="75"/>
      <c r="AA2279" s="3" t="str">
        <f>IF(BCP_Soles[[#This Row],[fecha]]&gt;0,TEXT(BCP_Soles[[#This Row],[fecha]],"mmmm"),0)</f>
        <v>Junio</v>
      </c>
    </row>
    <row r="2280" spans="1:27" ht="24" x14ac:dyDescent="0.3">
      <c r="A2280" s="2">
        <f>IF(BCP_Soles[[#This Row],[tipo_registro]]="R",COUNTIFS($C$1:$C2279,"R")+1,A2279)</f>
        <v>1699</v>
      </c>
      <c r="B2280" s="19" t="str">
        <f t="shared" si="186"/>
        <v>B-BCP - Soles</v>
      </c>
      <c r="C2280" s="3" t="s">
        <v>1352</v>
      </c>
      <c r="D2280" s="14">
        <v>45834</v>
      </c>
      <c r="E2280" s="5" t="s">
        <v>3198</v>
      </c>
      <c r="F2280" s="5" t="s">
        <v>1303</v>
      </c>
      <c r="G2280" s="6" t="s">
        <v>425</v>
      </c>
      <c r="H2280" s="6" t="s">
        <v>119</v>
      </c>
      <c r="I2280" s="6">
        <v>1</v>
      </c>
      <c r="J2280" s="6">
        <v>4451</v>
      </c>
      <c r="K2280" s="7" t="s">
        <v>3588</v>
      </c>
      <c r="L2280" s="8">
        <v>916444</v>
      </c>
      <c r="M2280" s="8" t="str">
        <f t="shared" si="187"/>
        <v>PEN</v>
      </c>
      <c r="N2280" s="13">
        <v>606</v>
      </c>
      <c r="O2280" s="13"/>
      <c r="P2280" s="3">
        <f t="shared" si="188"/>
        <v>0</v>
      </c>
      <c r="Q2280" s="3">
        <f t="shared" si="189"/>
        <v>0</v>
      </c>
      <c r="R2280" s="3">
        <f t="shared" si="185"/>
        <v>46982.000000000029</v>
      </c>
      <c r="S2280" s="24" t="s">
        <v>1334</v>
      </c>
      <c r="T2280" s="24" t="s">
        <v>1334</v>
      </c>
      <c r="U2280" s="53"/>
      <c r="V2280" s="25">
        <f>IFERROR(VLOOKUP(BCP_Soles[[#This Row],[destinatario]],CHOOSE({1,2},Clientes_Proveedores[Razon Social],Clientes_Proveedores[Ruc / Dni]),2,0),"")</f>
        <v>20558226979</v>
      </c>
      <c r="W2280" s="25" t="s">
        <v>1345</v>
      </c>
      <c r="X2280" s="25"/>
      <c r="Y2280" s="25"/>
      <c r="Z2280" s="75"/>
      <c r="AA2280" s="3" t="str">
        <f>IF(BCP_Soles[[#This Row],[fecha]]&gt;0,TEXT(BCP_Soles[[#This Row],[fecha]],"mmmm"),0)</f>
        <v>Junio</v>
      </c>
    </row>
    <row r="2281" spans="1:27" ht="24" x14ac:dyDescent="0.3">
      <c r="A2281" s="2">
        <f>IF(BCP_Soles[[#This Row],[tipo_registro]]="R",COUNTIFS($C$1:$C2280,"R")+1,A2280)</f>
        <v>1699</v>
      </c>
      <c r="B2281" s="19" t="str">
        <f t="shared" si="186"/>
        <v>B-BCP - Soles</v>
      </c>
      <c r="C2281" s="3" t="s">
        <v>1352</v>
      </c>
      <c r="D2281" s="14">
        <v>45834</v>
      </c>
      <c r="E2281" s="5" t="s">
        <v>3198</v>
      </c>
      <c r="F2281" s="5" t="s">
        <v>1303</v>
      </c>
      <c r="G2281" s="6" t="s">
        <v>425</v>
      </c>
      <c r="H2281" s="6" t="s">
        <v>119</v>
      </c>
      <c r="I2281" s="6">
        <v>1</v>
      </c>
      <c r="J2281" s="6">
        <v>4454</v>
      </c>
      <c r="K2281" s="7" t="s">
        <v>3588</v>
      </c>
      <c r="L2281" s="8">
        <v>916444</v>
      </c>
      <c r="M2281" s="8" t="str">
        <f t="shared" si="187"/>
        <v>PEN</v>
      </c>
      <c r="N2281" s="13">
        <v>1394</v>
      </c>
      <c r="O2281" s="13"/>
      <c r="P2281" s="3">
        <f t="shared" si="188"/>
        <v>0</v>
      </c>
      <c r="Q2281" s="3">
        <f t="shared" si="189"/>
        <v>0</v>
      </c>
      <c r="R2281" s="3">
        <f t="shared" si="185"/>
        <v>46982.000000000029</v>
      </c>
      <c r="S2281" s="24" t="s">
        <v>1334</v>
      </c>
      <c r="T2281" s="24" t="s">
        <v>1334</v>
      </c>
      <c r="U2281" s="53"/>
      <c r="V2281" s="25">
        <f>IFERROR(VLOOKUP(BCP_Soles[[#This Row],[destinatario]],CHOOSE({1,2},Clientes_Proveedores[Razon Social],Clientes_Proveedores[Ruc / Dni]),2,0),"")</f>
        <v>20558226979</v>
      </c>
      <c r="W2281" s="25" t="s">
        <v>1345</v>
      </c>
      <c r="X2281" s="25"/>
      <c r="Y2281" s="25"/>
      <c r="Z2281" s="75"/>
      <c r="AA2281" s="3" t="str">
        <f>IF(BCP_Soles[[#This Row],[fecha]]&gt;0,TEXT(BCP_Soles[[#This Row],[fecha]],"mmmm"),0)</f>
        <v>Junio</v>
      </c>
    </row>
    <row r="2282" spans="1:27" x14ac:dyDescent="0.3">
      <c r="A2282" s="2">
        <f>IF(BCP_Soles[[#This Row],[tipo_registro]]="R",COUNTIFS($C$1:$C2281,"R")+1,A2281)</f>
        <v>1700</v>
      </c>
      <c r="B2282" s="19" t="str">
        <f t="shared" si="186"/>
        <v>B-BCP - Soles</v>
      </c>
      <c r="C2282" s="3" t="s">
        <v>1330</v>
      </c>
      <c r="D2282" s="14">
        <v>45834</v>
      </c>
      <c r="E2282" s="5"/>
      <c r="F2282" s="5" t="s">
        <v>1303</v>
      </c>
      <c r="G2282" s="6" t="s">
        <v>425</v>
      </c>
      <c r="H2282" s="6"/>
      <c r="I2282" s="6"/>
      <c r="J2282" s="6"/>
      <c r="K2282" s="7" t="s">
        <v>1356</v>
      </c>
      <c r="L2282" s="8">
        <v>2613725</v>
      </c>
      <c r="M2282" s="8" t="str">
        <f t="shared" si="187"/>
        <v>PEN</v>
      </c>
      <c r="N2282" s="13"/>
      <c r="O2282" s="13">
        <v>1233.5999999999999</v>
      </c>
      <c r="P2282" s="3">
        <f t="shared" si="188"/>
        <v>1233.5999999999999</v>
      </c>
      <c r="Q2282" s="3">
        <f t="shared" si="189"/>
        <v>0</v>
      </c>
      <c r="R2282" s="3">
        <f t="shared" si="185"/>
        <v>48215.600000000028</v>
      </c>
      <c r="S2282" s="24"/>
      <c r="T2282" s="24"/>
      <c r="U2282" s="53"/>
      <c r="V2282" s="25">
        <f>IFERROR(VLOOKUP(BCP_Soles[[#This Row],[destinatario]],CHOOSE({1,2},Clientes_Proveedores[Razon Social],Clientes_Proveedores[Ruc / Dni]),2,0),"")</f>
        <v>20558226979</v>
      </c>
      <c r="W2282" s="25"/>
      <c r="X2282" s="25"/>
      <c r="Y2282" s="25"/>
      <c r="Z2282" s="75"/>
      <c r="AA2282" s="3" t="str">
        <f>IF(BCP_Soles[[#This Row],[fecha]]&gt;0,TEXT(BCP_Soles[[#This Row],[fecha]],"mmmm"),0)</f>
        <v>Junio</v>
      </c>
    </row>
    <row r="2283" spans="1:27" x14ac:dyDescent="0.3">
      <c r="A2283" s="2">
        <f>IF(BCP_Soles[[#This Row],[tipo_registro]]="R",COUNTIFS($C$1:$C2282,"R")+1,A2282)</f>
        <v>1701</v>
      </c>
      <c r="B2283" s="19" t="str">
        <f t="shared" si="186"/>
        <v>B-BCP - Soles</v>
      </c>
      <c r="C2283" s="3" t="s">
        <v>1330</v>
      </c>
      <c r="D2283" s="14">
        <v>45834</v>
      </c>
      <c r="E2283" s="5" t="s">
        <v>224</v>
      </c>
      <c r="F2283" s="5" t="s">
        <v>1303</v>
      </c>
      <c r="G2283" s="6" t="s">
        <v>425</v>
      </c>
      <c r="H2283" s="6" t="s">
        <v>68</v>
      </c>
      <c r="I2283" s="6" t="s">
        <v>1784</v>
      </c>
      <c r="J2283" s="6">
        <v>117</v>
      </c>
      <c r="K2283" s="7" t="s">
        <v>1887</v>
      </c>
      <c r="L2283" s="8">
        <v>2199506</v>
      </c>
      <c r="M2283" s="8" t="str">
        <f t="shared" si="187"/>
        <v>PEN</v>
      </c>
      <c r="N2283" s="13"/>
      <c r="O2283" s="13">
        <v>1080.67</v>
      </c>
      <c r="P2283" s="3">
        <f t="shared" si="188"/>
        <v>1080.67</v>
      </c>
      <c r="Q2283" s="3">
        <f t="shared" si="189"/>
        <v>0</v>
      </c>
      <c r="R2283" s="3">
        <f t="shared" si="185"/>
        <v>49296.270000000026</v>
      </c>
      <c r="S2283" s="24" t="s">
        <v>1334</v>
      </c>
      <c r="T2283" s="24" t="s">
        <v>1334</v>
      </c>
      <c r="U2283" s="53"/>
      <c r="V2283" s="25">
        <f>IFERROR(VLOOKUP(BCP_Soles[[#This Row],[destinatario]],CHOOSE({1,2},Clientes_Proveedores[Razon Social],Clientes_Proveedores[Ruc / Dni]),2,0),"")</f>
        <v>20558226979</v>
      </c>
      <c r="W2283" s="25" t="s">
        <v>1345</v>
      </c>
      <c r="X2283" s="25" t="s">
        <v>3589</v>
      </c>
      <c r="Y2283" s="25"/>
      <c r="Z2283" s="75"/>
      <c r="AA2283" s="3" t="str">
        <f>IF(BCP_Soles[[#This Row],[fecha]]&gt;0,TEXT(BCP_Soles[[#This Row],[fecha]],"mmmm"),0)</f>
        <v>Junio</v>
      </c>
    </row>
    <row r="2284" spans="1:27" ht="24" x14ac:dyDescent="0.3">
      <c r="A2284" s="2">
        <f>IF(BCP_Soles[[#This Row],[tipo_registro]]="R",COUNTIFS($C$1:$C2283,"R")+1,A2283)</f>
        <v>1702</v>
      </c>
      <c r="B2284" s="19" t="str">
        <f t="shared" si="186"/>
        <v>B-BCP - Soles</v>
      </c>
      <c r="C2284" s="3" t="s">
        <v>1330</v>
      </c>
      <c r="D2284" s="14">
        <v>45834</v>
      </c>
      <c r="E2284" s="5" t="s">
        <v>204</v>
      </c>
      <c r="F2284" s="5" t="s">
        <v>1303</v>
      </c>
      <c r="G2284" s="6" t="s">
        <v>425</v>
      </c>
      <c r="H2284" s="6" t="s">
        <v>68</v>
      </c>
      <c r="I2284" s="6" t="s">
        <v>3302</v>
      </c>
      <c r="J2284" s="6">
        <v>51</v>
      </c>
      <c r="K2284" s="7" t="s">
        <v>3590</v>
      </c>
      <c r="L2284" s="8">
        <v>1748227</v>
      </c>
      <c r="M2284" s="8" t="str">
        <f t="shared" si="187"/>
        <v>PEN</v>
      </c>
      <c r="N2284" s="13"/>
      <c r="O2284" s="13">
        <v>766.88</v>
      </c>
      <c r="P2284" s="3">
        <f t="shared" si="188"/>
        <v>766.88</v>
      </c>
      <c r="Q2284" s="3">
        <f t="shared" si="189"/>
        <v>0</v>
      </c>
      <c r="R2284" s="3">
        <f t="shared" si="185"/>
        <v>50063.150000000023</v>
      </c>
      <c r="S2284" s="24" t="s">
        <v>1334</v>
      </c>
      <c r="T2284" s="24" t="s">
        <v>1334</v>
      </c>
      <c r="U2284" s="53"/>
      <c r="V2284" s="25">
        <f>IFERROR(VLOOKUP(BCP_Soles[[#This Row],[destinatario]],CHOOSE({1,2},Clientes_Proveedores[Razon Social],Clientes_Proveedores[Ruc / Dni]),2,0),"")</f>
        <v>20558226979</v>
      </c>
      <c r="W2284" s="25" t="s">
        <v>1345</v>
      </c>
      <c r="X2284" s="25" t="s">
        <v>3591</v>
      </c>
      <c r="Y2284" s="25"/>
      <c r="Z2284" s="75"/>
      <c r="AA2284" s="3" t="str">
        <f>IF(BCP_Soles[[#This Row],[fecha]]&gt;0,TEXT(BCP_Soles[[#This Row],[fecha]],"mmmm"),0)</f>
        <v>Junio</v>
      </c>
    </row>
    <row r="2285" spans="1:27" ht="36" x14ac:dyDescent="0.3">
      <c r="A2285" s="2">
        <f>IF(BCP_Soles[[#This Row],[tipo_registro]]="R",COUNTIFS($C$1:$C2284,"R")+1,A2284)</f>
        <v>1703</v>
      </c>
      <c r="B2285" s="19" t="str">
        <f t="shared" si="186"/>
        <v>B-BCP - Soles</v>
      </c>
      <c r="C2285" s="3" t="s">
        <v>1330</v>
      </c>
      <c r="D2285" s="14">
        <v>45834</v>
      </c>
      <c r="E2285" s="5" t="s">
        <v>237</v>
      </c>
      <c r="F2285" s="5" t="s">
        <v>1303</v>
      </c>
      <c r="G2285" s="6" t="s">
        <v>425</v>
      </c>
      <c r="H2285" s="6" t="s">
        <v>68</v>
      </c>
      <c r="I2285" s="6" t="s">
        <v>1784</v>
      </c>
      <c r="J2285" s="6">
        <v>124</v>
      </c>
      <c r="K2285" s="7" t="s">
        <v>3592</v>
      </c>
      <c r="L2285" s="8">
        <v>1967226</v>
      </c>
      <c r="M2285" s="8" t="str">
        <f t="shared" si="187"/>
        <v>PEN</v>
      </c>
      <c r="N2285" s="13"/>
      <c r="O2285" s="13">
        <v>1871.36</v>
      </c>
      <c r="P2285" s="3">
        <f t="shared" si="188"/>
        <v>1871.36</v>
      </c>
      <c r="Q2285" s="3">
        <f t="shared" si="189"/>
        <v>0</v>
      </c>
      <c r="R2285" s="3">
        <f t="shared" si="185"/>
        <v>51934.510000000024</v>
      </c>
      <c r="S2285" s="24" t="s">
        <v>1334</v>
      </c>
      <c r="T2285" s="24" t="s">
        <v>1334</v>
      </c>
      <c r="U2285" s="53"/>
      <c r="V2285" s="25">
        <f>IFERROR(VLOOKUP(BCP_Soles[[#This Row],[destinatario]],CHOOSE({1,2},Clientes_Proveedores[Razon Social],Clientes_Proveedores[Ruc / Dni]),2,0),"")</f>
        <v>20558226979</v>
      </c>
      <c r="W2285" s="25" t="s">
        <v>1345</v>
      </c>
      <c r="X2285" s="25" t="s">
        <v>3593</v>
      </c>
      <c r="Y2285" s="25"/>
      <c r="Z2285" s="75"/>
      <c r="AA2285" s="3" t="str">
        <f>IF(BCP_Soles[[#This Row],[fecha]]&gt;0,TEXT(BCP_Soles[[#This Row],[fecha]],"mmmm"),0)</f>
        <v>Junio</v>
      </c>
    </row>
    <row r="2286" spans="1:27" ht="24" x14ac:dyDescent="0.3">
      <c r="A2286" s="2">
        <f>IF(BCP_Soles[[#This Row],[tipo_registro]]="R",COUNTIFS($C$1:$C2285,"R")+1,A2285)</f>
        <v>1704</v>
      </c>
      <c r="B2286" s="19" t="str">
        <f t="shared" si="186"/>
        <v>B-BCP - Soles</v>
      </c>
      <c r="C2286" s="3" t="s">
        <v>1330</v>
      </c>
      <c r="D2286" s="14">
        <v>45834</v>
      </c>
      <c r="E2286" s="5" t="s">
        <v>1331</v>
      </c>
      <c r="F2286" s="5" t="s">
        <v>1336</v>
      </c>
      <c r="G2286" s="6" t="s">
        <v>658</v>
      </c>
      <c r="H2286" s="6" t="s">
        <v>68</v>
      </c>
      <c r="I2286" s="6" t="s">
        <v>1376</v>
      </c>
      <c r="J2286" s="6">
        <v>44</v>
      </c>
      <c r="K2286" s="7" t="s">
        <v>3594</v>
      </c>
      <c r="L2286" s="8">
        <v>1226676</v>
      </c>
      <c r="M2286" s="8" t="str">
        <f t="shared" si="187"/>
        <v>PEN</v>
      </c>
      <c r="N2286" s="13"/>
      <c r="O2286" s="13">
        <v>1500</v>
      </c>
      <c r="P2286" s="3">
        <f t="shared" si="188"/>
        <v>0</v>
      </c>
      <c r="Q2286" s="3">
        <f t="shared" si="189"/>
        <v>1500</v>
      </c>
      <c r="R2286" s="3">
        <f t="shared" si="185"/>
        <v>50434.510000000024</v>
      </c>
      <c r="S2286" s="24" t="s">
        <v>1334</v>
      </c>
      <c r="T2286" s="24" t="s">
        <v>1334</v>
      </c>
      <c r="U2286" s="80" t="s">
        <v>3595</v>
      </c>
      <c r="V2286" s="25">
        <f>IFERROR(VLOOKUP(BCP_Soles[[#This Row],[destinatario]],CHOOSE({1,2},Clientes_Proveedores[Razon Social],Clientes_Proveedores[Ruc / Dni]),2,0),"")</f>
        <v>15609125303</v>
      </c>
      <c r="W2286" s="25" t="s">
        <v>658</v>
      </c>
      <c r="X2286" s="25" t="s">
        <v>2597</v>
      </c>
      <c r="Y2286" s="25"/>
      <c r="Z2286" s="75"/>
      <c r="AA2286" s="3" t="str">
        <f>IF(BCP_Soles[[#This Row],[fecha]]&gt;0,TEXT(BCP_Soles[[#This Row],[fecha]],"mmmm"),0)</f>
        <v>Junio</v>
      </c>
    </row>
    <row r="2287" spans="1:27" ht="36" x14ac:dyDescent="0.3">
      <c r="A2287" s="2">
        <f>IF(BCP_Soles[[#This Row],[tipo_registro]]="R",COUNTIFS($C$1:$C2286,"R")+1,A2286)</f>
        <v>1705</v>
      </c>
      <c r="B2287" s="19" t="str">
        <f t="shared" si="186"/>
        <v>B-BCP - Soles</v>
      </c>
      <c r="C2287" s="3" t="s">
        <v>1330</v>
      </c>
      <c r="D2287" s="14">
        <v>45834</v>
      </c>
      <c r="E2287" s="5" t="s">
        <v>1331</v>
      </c>
      <c r="F2287" s="5" t="s">
        <v>1336</v>
      </c>
      <c r="G2287" s="6" t="s">
        <v>132</v>
      </c>
      <c r="H2287" s="6" t="s">
        <v>68</v>
      </c>
      <c r="I2287" s="6" t="s">
        <v>1376</v>
      </c>
      <c r="J2287" s="6">
        <v>745</v>
      </c>
      <c r="K2287" s="7" t="s">
        <v>3596</v>
      </c>
      <c r="L2287" s="8">
        <v>1226675</v>
      </c>
      <c r="M2287" s="8" t="str">
        <f t="shared" si="187"/>
        <v>PEN</v>
      </c>
      <c r="N2287" s="13"/>
      <c r="O2287" s="13">
        <v>290</v>
      </c>
      <c r="P2287" s="3">
        <f t="shared" si="188"/>
        <v>0</v>
      </c>
      <c r="Q2287" s="3">
        <f t="shared" si="189"/>
        <v>290</v>
      </c>
      <c r="R2287" s="3">
        <f t="shared" si="185"/>
        <v>50144.510000000024</v>
      </c>
      <c r="S2287" s="24" t="s">
        <v>1334</v>
      </c>
      <c r="T2287" s="24" t="s">
        <v>1334</v>
      </c>
      <c r="U2287" s="80" t="s">
        <v>3597</v>
      </c>
      <c r="V2287" s="25">
        <f>IFERROR(VLOOKUP(BCP_Soles[[#This Row],[destinatario]],CHOOSE({1,2},Clientes_Proveedores[Razon Social],Clientes_Proveedores[Ruc / Dni]),2,0),"")</f>
        <v>10296695781</v>
      </c>
      <c r="W2287" s="25" t="s">
        <v>132</v>
      </c>
      <c r="X2287" s="25" t="s">
        <v>3598</v>
      </c>
      <c r="Y2287" s="25"/>
      <c r="Z2287" s="75"/>
      <c r="AA2287" s="3" t="str">
        <f>IF(BCP_Soles[[#This Row],[fecha]]&gt;0,TEXT(BCP_Soles[[#This Row],[fecha]],"mmmm"),0)</f>
        <v>Junio</v>
      </c>
    </row>
    <row r="2288" spans="1:27" ht="24" x14ac:dyDescent="0.3">
      <c r="A2288" s="2">
        <f>IF(BCP_Soles[[#This Row],[tipo_registro]]="R",COUNTIFS($C$1:$C2287,"R")+1,A2287)</f>
        <v>1706</v>
      </c>
      <c r="B2288" s="19" t="str">
        <f t="shared" si="186"/>
        <v>B-BCP - Soles</v>
      </c>
      <c r="C2288" s="3" t="s">
        <v>1330</v>
      </c>
      <c r="D2288" s="14">
        <v>45834</v>
      </c>
      <c r="E2288" s="5" t="s">
        <v>1331</v>
      </c>
      <c r="F2288" s="5" t="s">
        <v>1336</v>
      </c>
      <c r="G2288" s="6" t="s">
        <v>740</v>
      </c>
      <c r="H2288" s="6" t="s">
        <v>68</v>
      </c>
      <c r="I2288" s="6" t="s">
        <v>1376</v>
      </c>
      <c r="J2288" s="6">
        <v>660</v>
      </c>
      <c r="K2288" s="7" t="s">
        <v>3599</v>
      </c>
      <c r="L2288" s="8">
        <v>1224744</v>
      </c>
      <c r="M2288" s="8" t="str">
        <f t="shared" si="187"/>
        <v>PEN</v>
      </c>
      <c r="N2288" s="13"/>
      <c r="O2288" s="13">
        <v>667.7</v>
      </c>
      <c r="P2288" s="3">
        <f t="shared" si="188"/>
        <v>0</v>
      </c>
      <c r="Q2288" s="3">
        <f t="shared" si="189"/>
        <v>667.7</v>
      </c>
      <c r="R2288" s="3">
        <f t="shared" si="185"/>
        <v>49476.810000000027</v>
      </c>
      <c r="S2288" s="24" t="s">
        <v>1334</v>
      </c>
      <c r="T2288" s="24" t="s">
        <v>1334</v>
      </c>
      <c r="U2288" s="80" t="s">
        <v>3600</v>
      </c>
      <c r="V2288" s="25">
        <f>IFERROR(VLOOKUP(BCP_Soles[[#This Row],[destinatario]],CHOOSE({1,2},Clientes_Proveedores[Razon Social],Clientes_Proveedores[Ruc / Dni]),2,0),"")</f>
        <v>20604615594</v>
      </c>
      <c r="W2288" s="25" t="s">
        <v>3389</v>
      </c>
      <c r="X2288" s="25" t="s">
        <v>3601</v>
      </c>
      <c r="Y2288" s="25"/>
      <c r="Z2288" s="75"/>
      <c r="AA2288" s="3" t="str">
        <f>IF(BCP_Soles[[#This Row],[fecha]]&gt;0,TEXT(BCP_Soles[[#This Row],[fecha]],"mmmm"),0)</f>
        <v>Junio</v>
      </c>
    </row>
    <row r="2289" spans="1:27" ht="24" x14ac:dyDescent="0.3">
      <c r="A2289" s="2">
        <f>IF(BCP_Soles[[#This Row],[tipo_registro]]="R",COUNTIFS($C$1:$C2288,"R")+1,A2288)</f>
        <v>1707</v>
      </c>
      <c r="B2289" s="19" t="str">
        <f t="shared" si="186"/>
        <v>B-BCP - Soles</v>
      </c>
      <c r="C2289" s="3" t="s">
        <v>1330</v>
      </c>
      <c r="D2289" s="14">
        <v>45834</v>
      </c>
      <c r="E2289" s="5" t="s">
        <v>1331</v>
      </c>
      <c r="F2289" s="5" t="s">
        <v>1336</v>
      </c>
      <c r="G2289" s="6" t="s">
        <v>708</v>
      </c>
      <c r="H2289" s="6" t="s">
        <v>68</v>
      </c>
      <c r="I2289" s="6" t="s">
        <v>1655</v>
      </c>
      <c r="J2289" s="6">
        <v>299686</v>
      </c>
      <c r="K2289" s="182" t="s">
        <v>3602</v>
      </c>
      <c r="L2289" s="8">
        <v>225218</v>
      </c>
      <c r="M2289" s="8" t="str">
        <f t="shared" si="187"/>
        <v>PEN</v>
      </c>
      <c r="N2289" s="13"/>
      <c r="O2289" s="13">
        <v>512.12</v>
      </c>
      <c r="P2289" s="3">
        <f t="shared" si="188"/>
        <v>0</v>
      </c>
      <c r="Q2289" s="3">
        <f t="shared" si="189"/>
        <v>512.12</v>
      </c>
      <c r="R2289" s="3">
        <f t="shared" si="185"/>
        <v>48964.690000000024</v>
      </c>
      <c r="S2289" s="24" t="s">
        <v>1334</v>
      </c>
      <c r="T2289" s="24" t="s">
        <v>1334</v>
      </c>
      <c r="U2289" s="80" t="s">
        <v>3603</v>
      </c>
      <c r="V2289" s="25">
        <f>IFERROR(VLOOKUP(BCP_Soles[[#This Row],[destinatario]],CHOOSE({1,2},Clientes_Proveedores[Razon Social],Clientes_Proveedores[Ruc / Dni]),2,0),"")</f>
        <v>20467534026</v>
      </c>
      <c r="W2289" s="25" t="s">
        <v>1657</v>
      </c>
      <c r="X2289" s="25" t="s">
        <v>3604</v>
      </c>
      <c r="Y2289" s="181" t="s">
        <v>2853</v>
      </c>
      <c r="Z2289" s="75"/>
      <c r="AA2289" s="3" t="str">
        <f>IF(BCP_Soles[[#This Row],[fecha]]&gt;0,TEXT(BCP_Soles[[#This Row],[fecha]],"mmmm"),0)</f>
        <v>Junio</v>
      </c>
    </row>
    <row r="2290" spans="1:27" x14ac:dyDescent="0.3">
      <c r="A2290" s="2">
        <f>IF(BCP_Soles[[#This Row],[tipo_registro]]="R",COUNTIFS($C$1:$C2289,"R")+1,A2289)</f>
        <v>1708</v>
      </c>
      <c r="B2290" s="19" t="str">
        <f t="shared" si="186"/>
        <v>B-BCP - Soles</v>
      </c>
      <c r="C2290" s="3" t="s">
        <v>1330</v>
      </c>
      <c r="D2290" s="14">
        <v>45834</v>
      </c>
      <c r="E2290" s="5" t="s">
        <v>1331</v>
      </c>
      <c r="F2290" s="5" t="s">
        <v>1336</v>
      </c>
      <c r="G2290" s="6" t="s">
        <v>696</v>
      </c>
      <c r="H2290" s="6"/>
      <c r="I2290" s="6"/>
      <c r="J2290" s="6"/>
      <c r="K2290" s="7" t="s">
        <v>3605</v>
      </c>
      <c r="L2290" s="8">
        <v>1883801</v>
      </c>
      <c r="M2290" s="8" t="str">
        <f t="shared" si="187"/>
        <v>PEN</v>
      </c>
      <c r="N2290" s="13"/>
      <c r="O2290" s="13">
        <v>6899.35</v>
      </c>
      <c r="P2290" s="3">
        <f t="shared" si="188"/>
        <v>0</v>
      </c>
      <c r="Q2290" s="3">
        <f t="shared" si="189"/>
        <v>6899.35</v>
      </c>
      <c r="R2290" s="3">
        <f t="shared" si="185"/>
        <v>42065.340000000026</v>
      </c>
      <c r="S2290" s="24" t="s">
        <v>1334</v>
      </c>
      <c r="T2290" s="24" t="s">
        <v>1334</v>
      </c>
      <c r="U2290" s="80" t="s">
        <v>3606</v>
      </c>
      <c r="V2290" s="25">
        <f>IFERROR(VLOOKUP(BCP_Soles[[#This Row],[destinatario]],CHOOSE({1,2},Clientes_Proveedores[Razon Social],Clientes_Proveedores[Ruc / Dni]),2,0),"")</f>
        <v>0</v>
      </c>
      <c r="W2290" s="25" t="s">
        <v>1373</v>
      </c>
      <c r="X2290" s="25"/>
      <c r="Y2290" s="25"/>
      <c r="Z2290" s="75"/>
      <c r="AA2290" s="3" t="str">
        <f>IF(BCP_Soles[[#This Row],[fecha]]&gt;0,TEXT(BCP_Soles[[#This Row],[fecha]],"mmmm"),0)</f>
        <v>Junio</v>
      </c>
    </row>
    <row r="2291" spans="1:27" x14ac:dyDescent="0.3">
      <c r="A2291" s="2">
        <f>IF(BCP_Soles[[#This Row],[tipo_registro]]="R",COUNTIFS($C$1:$C2290,"R")+1,A2290)</f>
        <v>1708</v>
      </c>
      <c r="B2291" s="19" t="str">
        <f t="shared" si="186"/>
        <v>B-BCP - Soles</v>
      </c>
      <c r="C2291" s="3" t="s">
        <v>1352</v>
      </c>
      <c r="D2291" s="14">
        <v>45834</v>
      </c>
      <c r="E2291" s="5" t="s">
        <v>1331</v>
      </c>
      <c r="F2291" s="5"/>
      <c r="G2291" s="6" t="s">
        <v>638</v>
      </c>
      <c r="H2291" s="6" t="s">
        <v>68</v>
      </c>
      <c r="I2291" s="6" t="s">
        <v>1374</v>
      </c>
      <c r="J2291" s="6">
        <v>16505</v>
      </c>
      <c r="K2291" s="7" t="s">
        <v>3605</v>
      </c>
      <c r="L2291" s="8">
        <v>1883801</v>
      </c>
      <c r="M2291" s="8" t="str">
        <f t="shared" si="187"/>
        <v>PEN</v>
      </c>
      <c r="N2291" s="13">
        <v>790.36</v>
      </c>
      <c r="O2291" s="13"/>
      <c r="P2291" s="3">
        <f t="shared" si="188"/>
        <v>0</v>
      </c>
      <c r="Q2291" s="3">
        <f t="shared" si="189"/>
        <v>0</v>
      </c>
      <c r="R2291" s="3">
        <f t="shared" si="185"/>
        <v>42065.340000000026</v>
      </c>
      <c r="S2291" s="24" t="s">
        <v>1334</v>
      </c>
      <c r="T2291" s="24" t="s">
        <v>1334</v>
      </c>
      <c r="U2291" s="80" t="s">
        <v>3606</v>
      </c>
      <c r="V2291" s="25">
        <f>IFERROR(VLOOKUP(BCP_Soles[[#This Row],[destinatario]],CHOOSE({1,2},Clientes_Proveedores[Razon Social],Clientes_Proveedores[Ruc / Dni]),2,0),"")</f>
        <v>20602484344</v>
      </c>
      <c r="W2291" s="25"/>
      <c r="X2291" s="25"/>
      <c r="Y2291" s="25"/>
      <c r="Z2291" s="75"/>
      <c r="AA2291" s="3" t="str">
        <f>IF(BCP_Soles[[#This Row],[fecha]]&gt;0,TEXT(BCP_Soles[[#This Row],[fecha]],"mmmm"),0)</f>
        <v>Junio</v>
      </c>
    </row>
    <row r="2292" spans="1:27" ht="36" x14ac:dyDescent="0.3">
      <c r="A2292" s="2">
        <f>IF(BCP_Soles[[#This Row],[tipo_registro]]="R",COUNTIFS($C$1:$C2291,"R")+1,A2291)</f>
        <v>1708</v>
      </c>
      <c r="B2292" s="19" t="str">
        <f t="shared" si="186"/>
        <v>B-BCP - Soles</v>
      </c>
      <c r="C2292" s="3" t="s">
        <v>1352</v>
      </c>
      <c r="D2292" s="14">
        <v>45834</v>
      </c>
      <c r="E2292" s="5" t="s">
        <v>1331</v>
      </c>
      <c r="F2292" s="5"/>
      <c r="G2292" s="6" t="s">
        <v>277</v>
      </c>
      <c r="H2292" s="6" t="s">
        <v>68</v>
      </c>
      <c r="I2292" s="6" t="s">
        <v>1390</v>
      </c>
      <c r="J2292" s="6">
        <v>1767</v>
      </c>
      <c r="K2292" s="7" t="s">
        <v>3605</v>
      </c>
      <c r="L2292" s="8">
        <v>1883801</v>
      </c>
      <c r="M2292" s="8" t="str">
        <f t="shared" si="187"/>
        <v>PEN</v>
      </c>
      <c r="N2292" s="13">
        <v>1728</v>
      </c>
      <c r="O2292" s="13"/>
      <c r="P2292" s="3">
        <f t="shared" si="188"/>
        <v>0</v>
      </c>
      <c r="Q2292" s="3">
        <f t="shared" si="189"/>
        <v>0</v>
      </c>
      <c r="R2292" s="3">
        <f t="shared" si="185"/>
        <v>42065.340000000026</v>
      </c>
      <c r="S2292" s="24" t="s">
        <v>1334</v>
      </c>
      <c r="T2292" s="24" t="s">
        <v>1334</v>
      </c>
      <c r="U2292" s="80" t="s">
        <v>3606</v>
      </c>
      <c r="V2292" s="25">
        <f>IFERROR(VLOOKUP(BCP_Soles[[#This Row],[destinatario]],CHOOSE({1,2},Clientes_Proveedores[Razon Social],Clientes_Proveedores[Ruc / Dni]),2,0),"")</f>
        <v>20429640939</v>
      </c>
      <c r="W2292" s="25"/>
      <c r="X2292" s="25"/>
      <c r="Y2292" s="25"/>
      <c r="Z2292" s="75"/>
      <c r="AA2292" s="3" t="str">
        <f>IF(BCP_Soles[[#This Row],[fecha]]&gt;0,TEXT(BCP_Soles[[#This Row],[fecha]],"mmmm"),0)</f>
        <v>Junio</v>
      </c>
    </row>
    <row r="2293" spans="1:27" ht="36" x14ac:dyDescent="0.3">
      <c r="A2293" s="2">
        <f>IF(BCP_Soles[[#This Row],[tipo_registro]]="R",COUNTIFS($C$1:$C2292,"R")+1,A2292)</f>
        <v>1708</v>
      </c>
      <c r="B2293" s="19" t="str">
        <f t="shared" si="186"/>
        <v>B-BCP - Soles</v>
      </c>
      <c r="C2293" s="3" t="s">
        <v>1352</v>
      </c>
      <c r="D2293" s="14">
        <v>45834</v>
      </c>
      <c r="E2293" s="5" t="s">
        <v>1331</v>
      </c>
      <c r="F2293" s="5"/>
      <c r="G2293" s="6" t="s">
        <v>277</v>
      </c>
      <c r="H2293" s="6" t="s">
        <v>68</v>
      </c>
      <c r="I2293" s="6" t="s">
        <v>1390</v>
      </c>
      <c r="J2293" s="6">
        <v>1788</v>
      </c>
      <c r="K2293" s="7" t="s">
        <v>3605</v>
      </c>
      <c r="L2293" s="8">
        <v>1883801</v>
      </c>
      <c r="M2293" s="8" t="str">
        <f t="shared" si="187"/>
        <v>PEN</v>
      </c>
      <c r="N2293" s="13">
        <v>2544</v>
      </c>
      <c r="O2293" s="13"/>
      <c r="P2293" s="3">
        <f t="shared" si="188"/>
        <v>0</v>
      </c>
      <c r="Q2293" s="3">
        <f t="shared" si="189"/>
        <v>0</v>
      </c>
      <c r="R2293" s="3">
        <f t="shared" si="185"/>
        <v>42065.340000000026</v>
      </c>
      <c r="S2293" s="24" t="s">
        <v>1334</v>
      </c>
      <c r="T2293" s="24" t="s">
        <v>1334</v>
      </c>
      <c r="U2293" s="80" t="s">
        <v>3606</v>
      </c>
      <c r="V2293" s="25">
        <f>IFERROR(VLOOKUP(BCP_Soles[[#This Row],[destinatario]],CHOOSE({1,2},Clientes_Proveedores[Razon Social],Clientes_Proveedores[Ruc / Dni]),2,0),"")</f>
        <v>20429640939</v>
      </c>
      <c r="W2293" s="25"/>
      <c r="X2293" s="25"/>
      <c r="Y2293" s="25"/>
      <c r="Z2293" s="75"/>
      <c r="AA2293" s="3" t="str">
        <f>IF(BCP_Soles[[#This Row],[fecha]]&gt;0,TEXT(BCP_Soles[[#This Row],[fecha]],"mmmm"),0)</f>
        <v>Junio</v>
      </c>
    </row>
    <row r="2294" spans="1:27" ht="36" x14ac:dyDescent="0.3">
      <c r="A2294" s="2">
        <f>IF(BCP_Soles[[#This Row],[tipo_registro]]="R",COUNTIFS($C$1:$C2293,"R")+1,A2293)</f>
        <v>1708</v>
      </c>
      <c r="B2294" s="19" t="str">
        <f t="shared" si="186"/>
        <v>B-BCP - Soles</v>
      </c>
      <c r="C2294" s="3" t="s">
        <v>1352</v>
      </c>
      <c r="D2294" s="14">
        <v>45834</v>
      </c>
      <c r="E2294" s="5" t="s">
        <v>1331</v>
      </c>
      <c r="F2294" s="5"/>
      <c r="G2294" s="6" t="s">
        <v>277</v>
      </c>
      <c r="H2294" s="6" t="s">
        <v>68</v>
      </c>
      <c r="I2294" s="6" t="s">
        <v>1390</v>
      </c>
      <c r="J2294" s="6">
        <v>1787</v>
      </c>
      <c r="K2294" s="7" t="s">
        <v>3605</v>
      </c>
      <c r="L2294" s="8">
        <v>1883801</v>
      </c>
      <c r="M2294" s="8" t="str">
        <f t="shared" si="187"/>
        <v>PEN</v>
      </c>
      <c r="N2294" s="13">
        <v>1728</v>
      </c>
      <c r="O2294" s="13"/>
      <c r="P2294" s="3">
        <f t="shared" si="188"/>
        <v>0</v>
      </c>
      <c r="Q2294" s="3">
        <f t="shared" si="189"/>
        <v>0</v>
      </c>
      <c r="R2294" s="3">
        <f t="shared" si="185"/>
        <v>42065.340000000026</v>
      </c>
      <c r="S2294" s="24" t="s">
        <v>1334</v>
      </c>
      <c r="T2294" s="24" t="s">
        <v>1334</v>
      </c>
      <c r="U2294" s="80" t="s">
        <v>3606</v>
      </c>
      <c r="V2294" s="25">
        <f>IFERROR(VLOOKUP(BCP_Soles[[#This Row],[destinatario]],CHOOSE({1,2},Clientes_Proveedores[Razon Social],Clientes_Proveedores[Ruc / Dni]),2,0),"")</f>
        <v>20429640939</v>
      </c>
      <c r="W2294" s="25"/>
      <c r="X2294" s="25"/>
      <c r="Y2294" s="25"/>
      <c r="Z2294" s="75"/>
      <c r="AA2294" s="3" t="str">
        <f>IF(BCP_Soles[[#This Row],[fecha]]&gt;0,TEXT(BCP_Soles[[#This Row],[fecha]],"mmmm"),0)</f>
        <v>Junio</v>
      </c>
    </row>
    <row r="2295" spans="1:27" x14ac:dyDescent="0.3">
      <c r="A2295" s="2">
        <f>IF(BCP_Soles[[#This Row],[tipo_registro]]="R",COUNTIFS($C$1:$C2294,"R")+1,A2294)</f>
        <v>1708</v>
      </c>
      <c r="B2295" s="19" t="str">
        <f t="shared" si="186"/>
        <v>B-BCP - Soles</v>
      </c>
      <c r="C2295" s="3" t="s">
        <v>1352</v>
      </c>
      <c r="D2295" s="14">
        <v>45834</v>
      </c>
      <c r="E2295" s="5" t="s">
        <v>1331</v>
      </c>
      <c r="F2295" s="5"/>
      <c r="G2295" s="6" t="s">
        <v>286</v>
      </c>
      <c r="H2295" s="6" t="s">
        <v>68</v>
      </c>
      <c r="I2295" s="6" t="s">
        <v>1390</v>
      </c>
      <c r="J2295" s="6">
        <v>627</v>
      </c>
      <c r="K2295" s="7" t="s">
        <v>3605</v>
      </c>
      <c r="L2295" s="8">
        <v>1883801</v>
      </c>
      <c r="M2295" s="8" t="str">
        <f t="shared" si="187"/>
        <v>PEN</v>
      </c>
      <c r="N2295" s="13">
        <v>108.99</v>
      </c>
      <c r="O2295" s="13"/>
      <c r="P2295" s="3">
        <f t="shared" si="188"/>
        <v>0</v>
      </c>
      <c r="Q2295" s="3">
        <f t="shared" si="189"/>
        <v>0</v>
      </c>
      <c r="R2295" s="3">
        <f t="shared" si="185"/>
        <v>42065.340000000026</v>
      </c>
      <c r="S2295" s="24" t="s">
        <v>1334</v>
      </c>
      <c r="T2295" s="24" t="s">
        <v>1334</v>
      </c>
      <c r="U2295" s="80" t="s">
        <v>3606</v>
      </c>
      <c r="V2295" s="25">
        <f>IFERROR(VLOOKUP(BCP_Soles[[#This Row],[destinatario]],CHOOSE({1,2},Clientes_Proveedores[Razon Social],Clientes_Proveedores[Ruc / Dni]),2,0),"")</f>
        <v>20454186002</v>
      </c>
      <c r="W2295" s="25"/>
      <c r="X2295" s="25"/>
      <c r="Y2295" s="25"/>
      <c r="Z2295" s="75"/>
      <c r="AA2295" s="3" t="str">
        <f>IF(BCP_Soles[[#This Row],[fecha]]&gt;0,TEXT(BCP_Soles[[#This Row],[fecha]],"mmmm"),0)</f>
        <v>Junio</v>
      </c>
    </row>
    <row r="2296" spans="1:27" ht="24" x14ac:dyDescent="0.3">
      <c r="A2296" s="2">
        <f>IF(BCP_Soles[[#This Row],[tipo_registro]]="R",COUNTIFS($C$1:$C2295,"R")+1,A2295)</f>
        <v>1709</v>
      </c>
      <c r="B2296" s="19" t="str">
        <f t="shared" si="186"/>
        <v>B-BCP - Soles</v>
      </c>
      <c r="C2296" s="3" t="s">
        <v>1330</v>
      </c>
      <c r="D2296" s="14">
        <v>45834</v>
      </c>
      <c r="E2296" s="5" t="s">
        <v>1335</v>
      </c>
      <c r="F2296" s="5" t="s">
        <v>1336</v>
      </c>
      <c r="G2296" s="6" t="s">
        <v>1060</v>
      </c>
      <c r="H2296" s="6"/>
      <c r="I2296" s="6"/>
      <c r="J2296" s="6"/>
      <c r="K2296" s="7" t="s">
        <v>3607</v>
      </c>
      <c r="L2296" s="8">
        <v>1883807</v>
      </c>
      <c r="M2296" s="8" t="str">
        <f t="shared" si="187"/>
        <v>PEN</v>
      </c>
      <c r="N2296" s="13"/>
      <c r="O2296" s="13">
        <v>2.5</v>
      </c>
      <c r="P2296" s="3">
        <f t="shared" si="188"/>
        <v>0</v>
      </c>
      <c r="Q2296" s="3">
        <f t="shared" si="189"/>
        <v>2.5</v>
      </c>
      <c r="R2296" s="3">
        <f t="shared" si="185"/>
        <v>42062.840000000026</v>
      </c>
      <c r="S2296" s="24"/>
      <c r="T2296" s="24"/>
      <c r="U2296" s="53"/>
      <c r="V2296" s="25">
        <f>IFERROR(VLOOKUP(BCP_Soles[[#This Row],[destinatario]],CHOOSE({1,2},Clientes_Proveedores[Razon Social],Clientes_Proveedores[Ruc / Dni]),2,0),"")</f>
        <v>20100047218</v>
      </c>
      <c r="W2296" s="25"/>
      <c r="X2296" s="25"/>
      <c r="Y2296" s="25"/>
      <c r="Z2296" s="75"/>
      <c r="AA2296" s="3" t="str">
        <f>IF(BCP_Soles[[#This Row],[fecha]]&gt;0,TEXT(BCP_Soles[[#This Row],[fecha]],"mmmm"),0)</f>
        <v>Junio</v>
      </c>
    </row>
    <row r="2297" spans="1:27" x14ac:dyDescent="0.3">
      <c r="A2297" s="2">
        <f>IF(BCP_Soles[[#This Row],[tipo_registro]]="R",COUNTIFS($C$1:$C2296,"R")+1,A2296)</f>
        <v>1710</v>
      </c>
      <c r="B2297" s="19" t="str">
        <f t="shared" si="186"/>
        <v>B-BCP - Soles</v>
      </c>
      <c r="C2297" s="3" t="s">
        <v>1330</v>
      </c>
      <c r="D2297" s="14">
        <v>45834</v>
      </c>
      <c r="E2297" s="5" t="s">
        <v>1335</v>
      </c>
      <c r="F2297" s="5" t="s">
        <v>1336</v>
      </c>
      <c r="G2297" s="6"/>
      <c r="H2297" s="6"/>
      <c r="I2297" s="6"/>
      <c r="J2297" s="6"/>
      <c r="K2297" s="7" t="s">
        <v>3160</v>
      </c>
      <c r="L2297" s="8"/>
      <c r="M2297" s="8" t="str">
        <f t="shared" si="187"/>
        <v>PEN</v>
      </c>
      <c r="N2297" s="13"/>
      <c r="O2297" s="13">
        <v>2.2999999999999998</v>
      </c>
      <c r="P2297" s="3">
        <f t="shared" si="188"/>
        <v>0</v>
      </c>
      <c r="Q2297" s="3">
        <f t="shared" si="189"/>
        <v>2.2999999999999998</v>
      </c>
      <c r="R2297" s="3">
        <f t="shared" si="185"/>
        <v>42060.540000000023</v>
      </c>
      <c r="S2297" s="24"/>
      <c r="T2297" s="24" t="s">
        <v>1334</v>
      </c>
      <c r="U2297" s="53"/>
      <c r="V2297" s="25" t="str">
        <f>IFERROR(VLOOKUP(BCP_Soles[[#This Row],[destinatario]],CHOOSE({1,2},Clientes_Proveedores[Razon Social],Clientes_Proveedores[Ruc / Dni]),2,0),"")</f>
        <v/>
      </c>
      <c r="W2297" s="25"/>
      <c r="X2297" s="25"/>
      <c r="Y2297" s="25"/>
      <c r="Z2297" s="75"/>
      <c r="AA2297" s="3" t="str">
        <f>IF(BCP_Soles[[#This Row],[fecha]]&gt;0,TEXT(BCP_Soles[[#This Row],[fecha]],"mmmm"),0)</f>
        <v>Junio</v>
      </c>
    </row>
    <row r="2298" spans="1:27" ht="48" x14ac:dyDescent="0.3">
      <c r="A2298" s="2">
        <f>IF(BCP_Soles[[#This Row],[tipo_registro]]="R",COUNTIFS($C$1:$C2297,"R")+1,A2297)</f>
        <v>1711</v>
      </c>
      <c r="B2298" s="19" t="str">
        <f t="shared" si="186"/>
        <v>B-BCP - Soles</v>
      </c>
      <c r="C2298" s="3" t="s">
        <v>1330</v>
      </c>
      <c r="D2298" s="14">
        <v>45835</v>
      </c>
      <c r="E2298" s="5" t="s">
        <v>505</v>
      </c>
      <c r="F2298" s="5" t="s">
        <v>1303</v>
      </c>
      <c r="G2298" s="6" t="s">
        <v>425</v>
      </c>
      <c r="H2298" s="6"/>
      <c r="I2298" s="6"/>
      <c r="J2298" s="6"/>
      <c r="K2298" s="7" t="s">
        <v>3608</v>
      </c>
      <c r="L2298" s="8">
        <v>3861392</v>
      </c>
      <c r="M2298" s="8" t="str">
        <f t="shared" si="187"/>
        <v>PEN</v>
      </c>
      <c r="N2298" s="13"/>
      <c r="O2298" s="13">
        <v>7618.28</v>
      </c>
      <c r="P2298" s="3">
        <f t="shared" si="188"/>
        <v>7618.28</v>
      </c>
      <c r="Q2298" s="3">
        <f t="shared" si="189"/>
        <v>0</v>
      </c>
      <c r="R2298" s="3">
        <f t="shared" si="185"/>
        <v>49678.820000000022</v>
      </c>
      <c r="S2298" s="24" t="s">
        <v>1334</v>
      </c>
      <c r="T2298" s="24" t="s">
        <v>1334</v>
      </c>
      <c r="U2298" s="53"/>
      <c r="V2298" s="25">
        <f>IFERROR(VLOOKUP(BCP_Soles[[#This Row],[destinatario]],CHOOSE({1,2},Clientes_Proveedores[Razon Social],Clientes_Proveedores[Ruc / Dni]),2,0),"")</f>
        <v>20558226979</v>
      </c>
      <c r="W2298" s="25" t="s">
        <v>1345</v>
      </c>
      <c r="X2298" s="25" t="s">
        <v>3609</v>
      </c>
      <c r="Y2298" s="25"/>
      <c r="Z2298" s="75"/>
      <c r="AA2298" s="3" t="str">
        <f>IF(BCP_Soles[[#This Row],[fecha]]&gt;0,TEXT(BCP_Soles[[#This Row],[fecha]],"mmmm"),0)</f>
        <v>Junio</v>
      </c>
    </row>
    <row r="2299" spans="1:27" ht="48" x14ac:dyDescent="0.3">
      <c r="A2299" s="2">
        <f>IF(BCP_Soles[[#This Row],[tipo_registro]]="R",COUNTIFS($C$1:$C2298,"R")+1,A2298)</f>
        <v>1711</v>
      </c>
      <c r="B2299" s="19" t="str">
        <f t="shared" si="186"/>
        <v>B-BCP - Soles</v>
      </c>
      <c r="C2299" s="3" t="s">
        <v>1352</v>
      </c>
      <c r="D2299" s="14">
        <v>45835</v>
      </c>
      <c r="E2299" s="5" t="s">
        <v>505</v>
      </c>
      <c r="F2299" s="5"/>
      <c r="G2299" s="6"/>
      <c r="H2299" s="6" t="s">
        <v>68</v>
      </c>
      <c r="I2299" s="6" t="s">
        <v>3381</v>
      </c>
      <c r="J2299" s="6">
        <v>35</v>
      </c>
      <c r="K2299" s="7" t="s">
        <v>3608</v>
      </c>
      <c r="L2299" s="8">
        <v>3861392</v>
      </c>
      <c r="M2299" s="8" t="str">
        <f t="shared" si="187"/>
        <v>PEN</v>
      </c>
      <c r="N2299" s="13">
        <v>2138.94</v>
      </c>
      <c r="O2299" s="13"/>
      <c r="P2299" s="3">
        <f t="shared" si="188"/>
        <v>0</v>
      </c>
      <c r="Q2299" s="3">
        <f t="shared" si="189"/>
        <v>0</v>
      </c>
      <c r="R2299" s="3">
        <f t="shared" si="185"/>
        <v>49678.820000000022</v>
      </c>
      <c r="S2299" s="24"/>
      <c r="T2299" s="24" t="s">
        <v>1334</v>
      </c>
      <c r="U2299" s="53"/>
      <c r="V2299" s="25" t="str">
        <f>IFERROR(VLOOKUP(BCP_Soles[[#This Row],[destinatario]],CHOOSE({1,2},Clientes_Proveedores[Razon Social],Clientes_Proveedores[Ruc / Dni]),2,0),"")</f>
        <v/>
      </c>
      <c r="W2299" s="25"/>
      <c r="X2299" s="25"/>
      <c r="Y2299" s="25"/>
      <c r="Z2299" s="75"/>
      <c r="AA2299" s="3" t="str">
        <f>IF(BCP_Soles[[#This Row],[fecha]]&gt;0,TEXT(BCP_Soles[[#This Row],[fecha]],"mmmm"),0)</f>
        <v>Junio</v>
      </c>
    </row>
    <row r="2300" spans="1:27" ht="48" x14ac:dyDescent="0.3">
      <c r="A2300" s="2">
        <f>IF(BCP_Soles[[#This Row],[tipo_registro]]="R",COUNTIFS($C$1:$C2299,"R")+1,A2299)</f>
        <v>1711</v>
      </c>
      <c r="B2300" s="19" t="str">
        <f t="shared" si="186"/>
        <v>B-BCP - Soles</v>
      </c>
      <c r="C2300" s="3" t="s">
        <v>1352</v>
      </c>
      <c r="D2300" s="14">
        <v>45835</v>
      </c>
      <c r="E2300" s="5" t="s">
        <v>505</v>
      </c>
      <c r="F2300" s="5"/>
      <c r="G2300" s="6"/>
      <c r="H2300" s="6" t="s">
        <v>68</v>
      </c>
      <c r="I2300" s="6" t="s">
        <v>3381</v>
      </c>
      <c r="J2300" s="6">
        <v>36</v>
      </c>
      <c r="K2300" s="7" t="s">
        <v>3608</v>
      </c>
      <c r="L2300" s="8">
        <v>3861392</v>
      </c>
      <c r="M2300" s="8" t="str">
        <f t="shared" si="187"/>
        <v>PEN</v>
      </c>
      <c r="N2300" s="13">
        <v>1642.84</v>
      </c>
      <c r="O2300" s="13"/>
      <c r="P2300" s="3">
        <f t="shared" si="188"/>
        <v>0</v>
      </c>
      <c r="Q2300" s="3">
        <f t="shared" si="189"/>
        <v>0</v>
      </c>
      <c r="R2300" s="3">
        <f t="shared" si="185"/>
        <v>49678.820000000022</v>
      </c>
      <c r="S2300" s="24"/>
      <c r="T2300" s="24" t="s">
        <v>1334</v>
      </c>
      <c r="U2300" s="53"/>
      <c r="V2300" s="25" t="str">
        <f>IFERROR(VLOOKUP(BCP_Soles[[#This Row],[destinatario]],CHOOSE({1,2},Clientes_Proveedores[Razon Social],Clientes_Proveedores[Ruc / Dni]),2,0),"")</f>
        <v/>
      </c>
      <c r="W2300" s="25"/>
      <c r="X2300" s="25"/>
      <c r="Y2300" s="25"/>
      <c r="Z2300" s="75"/>
      <c r="AA2300" s="3" t="str">
        <f>IF(BCP_Soles[[#This Row],[fecha]]&gt;0,TEXT(BCP_Soles[[#This Row],[fecha]],"mmmm"),0)</f>
        <v>Junio</v>
      </c>
    </row>
    <row r="2301" spans="1:27" ht="48" x14ac:dyDescent="0.3">
      <c r="A2301" s="2">
        <f>IF(BCP_Soles[[#This Row],[tipo_registro]]="R",COUNTIFS($C$1:$C2300,"R")+1,A2300)</f>
        <v>1711</v>
      </c>
      <c r="B2301" s="19" t="str">
        <f t="shared" si="186"/>
        <v>B-BCP - Soles</v>
      </c>
      <c r="C2301" s="3" t="s">
        <v>1352</v>
      </c>
      <c r="D2301" s="14">
        <v>45835</v>
      </c>
      <c r="E2301" s="5" t="s">
        <v>505</v>
      </c>
      <c r="F2301" s="5"/>
      <c r="G2301" s="6"/>
      <c r="H2301" s="6" t="s">
        <v>68</v>
      </c>
      <c r="I2301" s="6" t="s">
        <v>3381</v>
      </c>
      <c r="J2301" s="6">
        <v>38</v>
      </c>
      <c r="K2301" s="7" t="s">
        <v>3608</v>
      </c>
      <c r="L2301" s="8">
        <v>3861392</v>
      </c>
      <c r="M2301" s="8" t="str">
        <f t="shared" si="187"/>
        <v>PEN</v>
      </c>
      <c r="N2301" s="13">
        <v>2626.42</v>
      </c>
      <c r="O2301" s="13"/>
      <c r="P2301" s="3">
        <f t="shared" si="188"/>
        <v>0</v>
      </c>
      <c r="Q2301" s="3">
        <f t="shared" si="189"/>
        <v>0</v>
      </c>
      <c r="R2301" s="3">
        <f t="shared" si="185"/>
        <v>49678.820000000022</v>
      </c>
      <c r="S2301" s="24"/>
      <c r="T2301" s="24" t="s">
        <v>1334</v>
      </c>
      <c r="U2301" s="53"/>
      <c r="V2301" s="25" t="str">
        <f>IFERROR(VLOOKUP(BCP_Soles[[#This Row],[destinatario]],CHOOSE({1,2},Clientes_Proveedores[Razon Social],Clientes_Proveedores[Ruc / Dni]),2,0),"")</f>
        <v/>
      </c>
      <c r="W2301" s="25"/>
      <c r="X2301" s="25"/>
      <c r="Y2301" s="25"/>
      <c r="Z2301" s="75"/>
      <c r="AA2301" s="3" t="str">
        <f>IF(BCP_Soles[[#This Row],[fecha]]&gt;0,TEXT(BCP_Soles[[#This Row],[fecha]],"mmmm"),0)</f>
        <v>Junio</v>
      </c>
    </row>
    <row r="2302" spans="1:27" ht="48" x14ac:dyDescent="0.3">
      <c r="A2302" s="2">
        <f>IF(BCP_Soles[[#This Row],[tipo_registro]]="R",COUNTIFS($C$1:$C2301,"R")+1,A2301)</f>
        <v>1711</v>
      </c>
      <c r="B2302" s="19" t="str">
        <f t="shared" si="186"/>
        <v>B-BCP - Soles</v>
      </c>
      <c r="C2302" s="3" t="s">
        <v>1352</v>
      </c>
      <c r="D2302" s="14">
        <v>45835</v>
      </c>
      <c r="E2302" s="5" t="s">
        <v>505</v>
      </c>
      <c r="F2302" s="5"/>
      <c r="G2302" s="6"/>
      <c r="H2302" s="6" t="s">
        <v>68</v>
      </c>
      <c r="I2302" s="6" t="s">
        <v>3381</v>
      </c>
      <c r="J2302" s="6">
        <v>39</v>
      </c>
      <c r="K2302" s="7" t="s">
        <v>3608</v>
      </c>
      <c r="L2302" s="8">
        <v>3861392</v>
      </c>
      <c r="M2302" s="8" t="str">
        <f t="shared" si="187"/>
        <v>PEN</v>
      </c>
      <c r="N2302" s="13">
        <v>1210.08</v>
      </c>
      <c r="O2302" s="13"/>
      <c r="P2302" s="3">
        <f t="shared" si="188"/>
        <v>0</v>
      </c>
      <c r="Q2302" s="3">
        <f t="shared" si="189"/>
        <v>0</v>
      </c>
      <c r="R2302" s="3">
        <f t="shared" si="185"/>
        <v>49678.820000000022</v>
      </c>
      <c r="S2302" s="24"/>
      <c r="T2302" s="24" t="s">
        <v>1334</v>
      </c>
      <c r="U2302" s="53"/>
      <c r="V2302" s="25" t="str">
        <f>IFERROR(VLOOKUP(BCP_Soles[[#This Row],[destinatario]],CHOOSE({1,2},Clientes_Proveedores[Razon Social],Clientes_Proveedores[Ruc / Dni]),2,0),"")</f>
        <v/>
      </c>
      <c r="W2302" s="25"/>
      <c r="X2302" s="25"/>
      <c r="Y2302" s="25"/>
      <c r="Z2302" s="75"/>
      <c r="AA2302" s="3" t="str">
        <f>IF(BCP_Soles[[#This Row],[fecha]]&gt;0,TEXT(BCP_Soles[[#This Row],[fecha]],"mmmm"),0)</f>
        <v>Junio</v>
      </c>
    </row>
    <row r="2303" spans="1:27" ht="84" x14ac:dyDescent="0.3">
      <c r="A2303" s="2">
        <f>IF(BCP_Soles[[#This Row],[tipo_registro]]="R",COUNTIFS($C$1:$C2302,"R")+1,A2302)</f>
        <v>1712</v>
      </c>
      <c r="B2303" s="19" t="str">
        <f t="shared" si="186"/>
        <v>B-BCP - Soles</v>
      </c>
      <c r="C2303" s="3" t="s">
        <v>1330</v>
      </c>
      <c r="D2303" s="14">
        <v>45835</v>
      </c>
      <c r="E2303" s="5" t="s">
        <v>358</v>
      </c>
      <c r="F2303" s="5" t="s">
        <v>1303</v>
      </c>
      <c r="G2303" s="6" t="s">
        <v>425</v>
      </c>
      <c r="H2303" s="6"/>
      <c r="I2303" s="6"/>
      <c r="J2303" s="6"/>
      <c r="K2303" s="7" t="s">
        <v>3610</v>
      </c>
      <c r="L2303" s="8">
        <v>2347693</v>
      </c>
      <c r="M2303" s="8" t="str">
        <f t="shared" si="187"/>
        <v>PEN</v>
      </c>
      <c r="N2303" s="13"/>
      <c r="O2303" s="13">
        <v>3317.68</v>
      </c>
      <c r="P2303" s="3">
        <f t="shared" si="188"/>
        <v>3317.68</v>
      </c>
      <c r="Q2303" s="3">
        <f t="shared" si="189"/>
        <v>0</v>
      </c>
      <c r="R2303" s="3">
        <f t="shared" si="185"/>
        <v>52996.500000000022</v>
      </c>
      <c r="S2303" s="24" t="s">
        <v>1334</v>
      </c>
      <c r="T2303" s="24" t="s">
        <v>1334</v>
      </c>
      <c r="U2303" s="53"/>
      <c r="V2303" s="25">
        <f>IFERROR(VLOOKUP(BCP_Soles[[#This Row],[destinatario]],CHOOSE({1,2},Clientes_Proveedores[Razon Social],Clientes_Proveedores[Ruc / Dni]),2,0),"")</f>
        <v>20558226979</v>
      </c>
      <c r="W2303" s="25" t="s">
        <v>1345</v>
      </c>
      <c r="X2303" s="25" t="s">
        <v>3611</v>
      </c>
      <c r="Y2303" s="25"/>
      <c r="Z2303" s="75"/>
      <c r="AA2303" s="3" t="str">
        <f>IF(BCP_Soles[[#This Row],[fecha]]&gt;0,TEXT(BCP_Soles[[#This Row],[fecha]],"mmmm"),0)</f>
        <v>Junio</v>
      </c>
    </row>
    <row r="2304" spans="1:27" ht="96" x14ac:dyDescent="0.3">
      <c r="A2304" s="2">
        <f>IF(BCP_Soles[[#This Row],[tipo_registro]]="R",COUNTIFS($C$1:$C2303,"R")+1,A2303)</f>
        <v>1712</v>
      </c>
      <c r="B2304" s="19" t="str">
        <f t="shared" si="186"/>
        <v>B-BCP - Soles</v>
      </c>
      <c r="C2304" s="3" t="s">
        <v>1352</v>
      </c>
      <c r="D2304" s="14">
        <v>45835</v>
      </c>
      <c r="E2304" s="5" t="s">
        <v>358</v>
      </c>
      <c r="F2304" s="5"/>
      <c r="G2304" s="6"/>
      <c r="H2304" s="6" t="s">
        <v>68</v>
      </c>
      <c r="I2304" s="6" t="s">
        <v>3302</v>
      </c>
      <c r="J2304" s="6">
        <v>55</v>
      </c>
      <c r="K2304" s="7" t="s">
        <v>3610</v>
      </c>
      <c r="L2304" s="8">
        <v>2347693</v>
      </c>
      <c r="M2304" s="8" t="str">
        <f t="shared" si="187"/>
        <v>PEN</v>
      </c>
      <c r="N2304" s="13">
        <v>2546.08</v>
      </c>
      <c r="O2304" s="13"/>
      <c r="P2304" s="3">
        <f t="shared" si="188"/>
        <v>0</v>
      </c>
      <c r="Q2304" s="3">
        <f t="shared" si="189"/>
        <v>0</v>
      </c>
      <c r="R2304" s="3">
        <f t="shared" si="185"/>
        <v>52996.500000000022</v>
      </c>
      <c r="S2304" s="24"/>
      <c r="T2304" s="24" t="s">
        <v>1334</v>
      </c>
      <c r="U2304" s="53"/>
      <c r="V2304" s="25" t="str">
        <f>IFERROR(VLOOKUP(BCP_Soles[[#This Row],[destinatario]],CHOOSE({1,2},Clientes_Proveedores[Razon Social],Clientes_Proveedores[Ruc / Dni]),2,0),"")</f>
        <v/>
      </c>
      <c r="W2304" s="25"/>
      <c r="X2304" s="25"/>
      <c r="Y2304" s="25"/>
      <c r="Z2304" s="75"/>
      <c r="AA2304" s="3" t="str">
        <f>IF(BCP_Soles[[#This Row],[fecha]]&gt;0,TEXT(BCP_Soles[[#This Row],[fecha]],"mmmm"),0)</f>
        <v>Junio</v>
      </c>
    </row>
    <row r="2305" spans="1:27" ht="96" x14ac:dyDescent="0.3">
      <c r="A2305" s="2">
        <f>IF(BCP_Soles[[#This Row],[tipo_registro]]="R",COUNTIFS($C$1:$C2304,"R")+1,A2304)</f>
        <v>1712</v>
      </c>
      <c r="B2305" s="19" t="str">
        <f t="shared" si="186"/>
        <v>B-BCP - Soles</v>
      </c>
      <c r="C2305" s="3" t="s">
        <v>1352</v>
      </c>
      <c r="D2305" s="14">
        <v>45835</v>
      </c>
      <c r="E2305" s="5" t="s">
        <v>358</v>
      </c>
      <c r="F2305" s="5"/>
      <c r="G2305" s="6"/>
      <c r="H2305" s="6" t="s">
        <v>68</v>
      </c>
      <c r="I2305" s="6" t="s">
        <v>3302</v>
      </c>
      <c r="J2305" s="6">
        <v>56</v>
      </c>
      <c r="K2305" s="7" t="s">
        <v>3610</v>
      </c>
      <c r="L2305" s="8">
        <v>2347693</v>
      </c>
      <c r="M2305" s="8" t="str">
        <f t="shared" si="187"/>
        <v>PEN</v>
      </c>
      <c r="N2305" s="13">
        <v>116.14</v>
      </c>
      <c r="O2305" s="13"/>
      <c r="P2305" s="3">
        <f t="shared" si="188"/>
        <v>0</v>
      </c>
      <c r="Q2305" s="3">
        <f t="shared" si="189"/>
        <v>0</v>
      </c>
      <c r="R2305" s="3">
        <f t="shared" si="185"/>
        <v>52996.500000000022</v>
      </c>
      <c r="S2305" s="24"/>
      <c r="T2305" s="24" t="s">
        <v>1334</v>
      </c>
      <c r="U2305" s="53"/>
      <c r="V2305" s="25" t="str">
        <f>IFERROR(VLOOKUP(BCP_Soles[[#This Row],[destinatario]],CHOOSE({1,2},Clientes_Proveedores[Razon Social],Clientes_Proveedores[Ruc / Dni]),2,0),"")</f>
        <v/>
      </c>
      <c r="W2305" s="25"/>
      <c r="X2305" s="25"/>
      <c r="Y2305" s="25"/>
      <c r="Z2305" s="75"/>
      <c r="AA2305" s="3" t="str">
        <f>IF(BCP_Soles[[#This Row],[fecha]]&gt;0,TEXT(BCP_Soles[[#This Row],[fecha]],"mmmm"),0)</f>
        <v>Junio</v>
      </c>
    </row>
    <row r="2306" spans="1:27" ht="96" x14ac:dyDescent="0.3">
      <c r="A2306" s="2">
        <f>IF(BCP_Soles[[#This Row],[tipo_registro]]="R",COUNTIFS($C$1:$C2305,"R")+1,A2305)</f>
        <v>1712</v>
      </c>
      <c r="B2306" s="19" t="str">
        <f t="shared" si="186"/>
        <v>B-BCP - Soles</v>
      </c>
      <c r="C2306" s="3" t="s">
        <v>1352</v>
      </c>
      <c r="D2306" s="14">
        <v>45835</v>
      </c>
      <c r="E2306" s="5" t="s">
        <v>358</v>
      </c>
      <c r="F2306" s="5"/>
      <c r="G2306" s="6"/>
      <c r="H2306" s="6" t="s">
        <v>68</v>
      </c>
      <c r="I2306" s="6" t="s">
        <v>3302</v>
      </c>
      <c r="J2306" s="6">
        <v>57</v>
      </c>
      <c r="K2306" s="7" t="s">
        <v>3610</v>
      </c>
      <c r="L2306" s="8">
        <v>2347693</v>
      </c>
      <c r="M2306" s="8" t="str">
        <f t="shared" si="187"/>
        <v>PEN</v>
      </c>
      <c r="N2306" s="13">
        <v>655.46</v>
      </c>
      <c r="O2306" s="13"/>
      <c r="P2306" s="3">
        <f t="shared" si="188"/>
        <v>0</v>
      </c>
      <c r="Q2306" s="3">
        <f t="shared" si="189"/>
        <v>0</v>
      </c>
      <c r="R2306" s="3">
        <f t="shared" si="185"/>
        <v>52996.500000000022</v>
      </c>
      <c r="S2306" s="24"/>
      <c r="T2306" s="24" t="s">
        <v>1334</v>
      </c>
      <c r="U2306" s="53"/>
      <c r="V2306" s="25" t="str">
        <f>IFERROR(VLOOKUP(BCP_Soles[[#This Row],[destinatario]],CHOOSE({1,2},Clientes_Proveedores[Razon Social],Clientes_Proveedores[Ruc / Dni]),2,0),"")</f>
        <v/>
      </c>
      <c r="W2306" s="25"/>
      <c r="X2306" s="25"/>
      <c r="Y2306" s="25"/>
      <c r="Z2306" s="75"/>
      <c r="AA2306" s="3" t="str">
        <f>IF(BCP_Soles[[#This Row],[fecha]]&gt;0,TEXT(BCP_Soles[[#This Row],[fecha]],"mmmm"),0)</f>
        <v>Junio</v>
      </c>
    </row>
    <row r="2307" spans="1:27" ht="24" x14ac:dyDescent="0.3">
      <c r="A2307" s="2">
        <f>IF(BCP_Soles[[#This Row],[tipo_registro]]="R",COUNTIFS($C$1:$C2306,"R")+1,A2306)</f>
        <v>1713</v>
      </c>
      <c r="B2307" s="19" t="str">
        <f t="shared" si="186"/>
        <v>B-BCP - Soles</v>
      </c>
      <c r="C2307" s="3" t="s">
        <v>1330</v>
      </c>
      <c r="D2307" s="14">
        <v>45835</v>
      </c>
      <c r="E2307" s="5" t="s">
        <v>2502</v>
      </c>
      <c r="F2307" s="5" t="s">
        <v>1303</v>
      </c>
      <c r="G2307" s="6" t="s">
        <v>425</v>
      </c>
      <c r="H2307" s="6" t="s">
        <v>119</v>
      </c>
      <c r="I2307" s="6">
        <v>1</v>
      </c>
      <c r="J2307" s="6">
        <v>4553</v>
      </c>
      <c r="K2307" s="7" t="s">
        <v>1356</v>
      </c>
      <c r="L2307" s="8">
        <v>2900831</v>
      </c>
      <c r="M2307" s="8" t="str">
        <f t="shared" si="187"/>
        <v>PEN</v>
      </c>
      <c r="N2307" s="13"/>
      <c r="O2307" s="13">
        <v>1688.4</v>
      </c>
      <c r="P2307" s="3">
        <f t="shared" si="188"/>
        <v>1688.4</v>
      </c>
      <c r="Q2307" s="3">
        <f t="shared" si="189"/>
        <v>0</v>
      </c>
      <c r="R2307" s="3">
        <f t="shared" si="185"/>
        <v>54684.900000000023</v>
      </c>
      <c r="S2307" s="24" t="s">
        <v>1334</v>
      </c>
      <c r="T2307" s="24" t="s">
        <v>1334</v>
      </c>
      <c r="U2307" s="53"/>
      <c r="V2307" s="25">
        <f>IFERROR(VLOOKUP(BCP_Soles[[#This Row],[destinatario]],CHOOSE({1,2},Clientes_Proveedores[Razon Social],Clientes_Proveedores[Ruc / Dni]),2,0),"")</f>
        <v>20558226979</v>
      </c>
      <c r="W2307" s="25" t="s">
        <v>1345</v>
      </c>
      <c r="X2307" s="25"/>
      <c r="Y2307" s="25"/>
      <c r="Z2307" s="75"/>
      <c r="AA2307" s="3" t="str">
        <f>IF(BCP_Soles[[#This Row],[fecha]]&gt;0,TEXT(BCP_Soles[[#This Row],[fecha]],"mmmm"),0)</f>
        <v>Junio</v>
      </c>
    </row>
    <row r="2308" spans="1:27" ht="24" x14ac:dyDescent="0.3">
      <c r="A2308" s="2">
        <f>IF(BCP_Soles[[#This Row],[tipo_registro]]="R",COUNTIFS($C$1:$C2307,"R")+1,A2307)</f>
        <v>1714</v>
      </c>
      <c r="B2308" s="19" t="str">
        <f t="shared" si="186"/>
        <v>B-BCP - Soles</v>
      </c>
      <c r="C2308" s="3" t="s">
        <v>1330</v>
      </c>
      <c r="D2308" s="14">
        <v>45835</v>
      </c>
      <c r="E2308" s="5" t="s">
        <v>1696</v>
      </c>
      <c r="F2308" s="5" t="s">
        <v>1303</v>
      </c>
      <c r="G2308" s="6" t="s">
        <v>425</v>
      </c>
      <c r="H2308" s="6" t="s">
        <v>119</v>
      </c>
      <c r="I2308" s="6">
        <v>1</v>
      </c>
      <c r="J2308" s="6">
        <v>4551</v>
      </c>
      <c r="K2308" s="7" t="s">
        <v>1356</v>
      </c>
      <c r="L2308" s="8">
        <v>2023353</v>
      </c>
      <c r="M2308" s="8" t="str">
        <f t="shared" si="187"/>
        <v>PEN</v>
      </c>
      <c r="N2308" s="13"/>
      <c r="O2308" s="13">
        <v>1000</v>
      </c>
      <c r="P2308" s="3">
        <f t="shared" si="188"/>
        <v>1000</v>
      </c>
      <c r="Q2308" s="3">
        <f t="shared" si="189"/>
        <v>0</v>
      </c>
      <c r="R2308" s="3">
        <f t="shared" si="185"/>
        <v>55684.900000000023</v>
      </c>
      <c r="S2308" s="24" t="s">
        <v>1334</v>
      </c>
      <c r="T2308" s="24" t="s">
        <v>1334</v>
      </c>
      <c r="U2308" s="53"/>
      <c r="V2308" s="25">
        <f>IFERROR(VLOOKUP(BCP_Soles[[#This Row],[destinatario]],CHOOSE({1,2},Clientes_Proveedores[Razon Social],Clientes_Proveedores[Ruc / Dni]),2,0),"")</f>
        <v>20558226979</v>
      </c>
      <c r="W2308" s="25" t="s">
        <v>1345</v>
      </c>
      <c r="X2308" s="25"/>
      <c r="Y2308" s="25"/>
      <c r="Z2308" s="75"/>
      <c r="AA2308" s="3" t="str">
        <f>IF(BCP_Soles[[#This Row],[fecha]]&gt;0,TEXT(BCP_Soles[[#This Row],[fecha]],"mmmm"),0)</f>
        <v>Junio</v>
      </c>
    </row>
    <row r="2309" spans="1:27" ht="36" x14ac:dyDescent="0.3">
      <c r="A2309" s="2">
        <f>IF(BCP_Soles[[#This Row],[tipo_registro]]="R",COUNTIFS($C$1:$C2308,"R")+1,A2308)</f>
        <v>1715</v>
      </c>
      <c r="B2309" s="19" t="str">
        <f t="shared" si="186"/>
        <v>B-BCP - Soles</v>
      </c>
      <c r="C2309" s="3" t="s">
        <v>1330</v>
      </c>
      <c r="D2309" s="14">
        <v>45835</v>
      </c>
      <c r="E2309" s="5" t="s">
        <v>555</v>
      </c>
      <c r="F2309" s="5" t="s">
        <v>1303</v>
      </c>
      <c r="G2309" s="6" t="s">
        <v>425</v>
      </c>
      <c r="H2309" s="6" t="s">
        <v>68</v>
      </c>
      <c r="I2309" s="6" t="s">
        <v>3381</v>
      </c>
      <c r="J2309" s="6">
        <v>40</v>
      </c>
      <c r="K2309" s="7" t="s">
        <v>3612</v>
      </c>
      <c r="L2309" s="8">
        <v>2401634</v>
      </c>
      <c r="M2309" s="8" t="str">
        <f t="shared" si="187"/>
        <v>PEN</v>
      </c>
      <c r="N2309" s="13"/>
      <c r="O2309" s="13">
        <v>761.8</v>
      </c>
      <c r="P2309" s="3">
        <f t="shared" si="188"/>
        <v>761.8</v>
      </c>
      <c r="Q2309" s="3">
        <f t="shared" si="189"/>
        <v>0</v>
      </c>
      <c r="R2309" s="3">
        <f t="shared" si="185"/>
        <v>56446.700000000026</v>
      </c>
      <c r="S2309" s="24" t="s">
        <v>1334</v>
      </c>
      <c r="T2309" s="24" t="s">
        <v>1334</v>
      </c>
      <c r="U2309" s="53"/>
      <c r="V2309" s="25">
        <f>IFERROR(VLOOKUP(BCP_Soles[[#This Row],[destinatario]],CHOOSE({1,2},Clientes_Proveedores[Razon Social],Clientes_Proveedores[Ruc / Dni]),2,0),"")</f>
        <v>20558226979</v>
      </c>
      <c r="W2309" s="25" t="s">
        <v>1345</v>
      </c>
      <c r="X2309" s="25" t="s">
        <v>3613</v>
      </c>
      <c r="Y2309" s="25"/>
      <c r="Z2309" s="75"/>
      <c r="AA2309" s="3" t="str">
        <f>IF(BCP_Soles[[#This Row],[fecha]]&gt;0,TEXT(BCP_Soles[[#This Row],[fecha]],"mmmm"),0)</f>
        <v>Junio</v>
      </c>
    </row>
    <row r="2310" spans="1:27" x14ac:dyDescent="0.3">
      <c r="A2310" s="2">
        <f>IF(BCP_Soles[[#This Row],[tipo_registro]]="R",COUNTIFS($C$1:$C2309,"R")+1,A2309)</f>
        <v>1716</v>
      </c>
      <c r="B2310" s="19" t="str">
        <f t="shared" si="186"/>
        <v>B-BCP - Soles</v>
      </c>
      <c r="C2310" s="3" t="s">
        <v>1330</v>
      </c>
      <c r="D2310" s="14">
        <v>45835</v>
      </c>
      <c r="E2310" s="5"/>
      <c r="F2310" s="5" t="s">
        <v>1303</v>
      </c>
      <c r="G2310" s="6" t="s">
        <v>425</v>
      </c>
      <c r="H2310" s="6"/>
      <c r="I2310" s="6"/>
      <c r="J2310" s="6"/>
      <c r="K2310" s="7" t="s">
        <v>1356</v>
      </c>
      <c r="L2310" s="8">
        <v>3360418</v>
      </c>
      <c r="M2310" s="8" t="str">
        <f t="shared" si="187"/>
        <v>PEN</v>
      </c>
      <c r="N2310" s="13"/>
      <c r="O2310" s="13">
        <v>700</v>
      </c>
      <c r="P2310" s="3">
        <f t="shared" si="188"/>
        <v>700</v>
      </c>
      <c r="Q2310" s="3">
        <f t="shared" si="189"/>
        <v>0</v>
      </c>
      <c r="R2310" s="3">
        <f t="shared" si="185"/>
        <v>57146.700000000026</v>
      </c>
      <c r="S2310" s="24"/>
      <c r="T2310" s="24"/>
      <c r="U2310" s="53"/>
      <c r="V2310" s="25">
        <f>IFERROR(VLOOKUP(BCP_Soles[[#This Row],[destinatario]],CHOOSE({1,2},Clientes_Proveedores[Razon Social],Clientes_Proveedores[Ruc / Dni]),2,0),"")</f>
        <v>20558226979</v>
      </c>
      <c r="W2310" s="25"/>
      <c r="X2310" s="25"/>
      <c r="Y2310" s="25"/>
      <c r="Z2310" s="75"/>
      <c r="AA2310" s="3" t="str">
        <f>IF(BCP_Soles[[#This Row],[fecha]]&gt;0,TEXT(BCP_Soles[[#This Row],[fecha]],"mmmm"),0)</f>
        <v>Junio</v>
      </c>
    </row>
    <row r="2311" spans="1:27" ht="24" x14ac:dyDescent="0.3">
      <c r="A2311" s="2">
        <f>IF(BCP_Soles[[#This Row],[tipo_registro]]="R",COUNTIFS($C$1:$C2310,"R")+1,A2310)</f>
        <v>1717</v>
      </c>
      <c r="B2311" s="19" t="str">
        <f t="shared" si="186"/>
        <v>B-BCP - Soles</v>
      </c>
      <c r="C2311" s="3" t="s">
        <v>1330</v>
      </c>
      <c r="D2311" s="14">
        <v>45835</v>
      </c>
      <c r="E2311" s="5" t="s">
        <v>2009</v>
      </c>
      <c r="F2311" s="5" t="s">
        <v>1303</v>
      </c>
      <c r="G2311" s="6" t="s">
        <v>425</v>
      </c>
      <c r="H2311" s="6" t="s">
        <v>119</v>
      </c>
      <c r="I2311" s="6">
        <v>1</v>
      </c>
      <c r="J2311" s="6">
        <v>4554</v>
      </c>
      <c r="K2311" s="7" t="s">
        <v>1356</v>
      </c>
      <c r="L2311" s="8">
        <v>3336014</v>
      </c>
      <c r="M2311" s="8" t="str">
        <f t="shared" si="187"/>
        <v>PEN</v>
      </c>
      <c r="N2311" s="13"/>
      <c r="O2311" s="13">
        <v>490</v>
      </c>
      <c r="P2311" s="3">
        <f t="shared" si="188"/>
        <v>490</v>
      </c>
      <c r="Q2311" s="3">
        <f t="shared" si="189"/>
        <v>0</v>
      </c>
      <c r="R2311" s="3">
        <f t="shared" si="185"/>
        <v>57636.700000000026</v>
      </c>
      <c r="S2311" s="24" t="s">
        <v>1334</v>
      </c>
      <c r="T2311" s="24" t="s">
        <v>1334</v>
      </c>
      <c r="U2311" s="53"/>
      <c r="V2311" s="25">
        <f>IFERROR(VLOOKUP(BCP_Soles[[#This Row],[destinatario]],CHOOSE({1,2},Clientes_Proveedores[Razon Social],Clientes_Proveedores[Ruc / Dni]),2,0),"")</f>
        <v>20558226979</v>
      </c>
      <c r="W2311" s="25" t="s">
        <v>1345</v>
      </c>
      <c r="X2311" s="25"/>
      <c r="Y2311" s="25"/>
      <c r="Z2311" s="75"/>
      <c r="AA2311" s="3" t="str">
        <f>IF(BCP_Soles[[#This Row],[fecha]]&gt;0,TEXT(BCP_Soles[[#This Row],[fecha]],"mmmm"),0)</f>
        <v>Junio</v>
      </c>
    </row>
    <row r="2312" spans="1:27" ht="24" x14ac:dyDescent="0.3">
      <c r="A2312" s="2">
        <f>IF(BCP_Soles[[#This Row],[tipo_registro]]="R",COUNTIFS($C$1:$C2311,"R")+1,A2311)</f>
        <v>1718</v>
      </c>
      <c r="B2312" s="19" t="str">
        <f t="shared" si="186"/>
        <v>B-BCP - Soles</v>
      </c>
      <c r="C2312" s="3" t="s">
        <v>1330</v>
      </c>
      <c r="D2312" s="14">
        <v>45835</v>
      </c>
      <c r="E2312" s="5" t="s">
        <v>289</v>
      </c>
      <c r="F2312" s="5" t="s">
        <v>1303</v>
      </c>
      <c r="G2312" s="6" t="s">
        <v>425</v>
      </c>
      <c r="H2312" s="6" t="s">
        <v>68</v>
      </c>
      <c r="I2312" s="6" t="s">
        <v>3302</v>
      </c>
      <c r="J2312" s="6">
        <v>81</v>
      </c>
      <c r="K2312" s="7" t="s">
        <v>1356</v>
      </c>
      <c r="L2312" s="8">
        <v>827130</v>
      </c>
      <c r="M2312" s="8" t="str">
        <f t="shared" si="187"/>
        <v>PEN</v>
      </c>
      <c r="N2312" s="13"/>
      <c r="O2312" s="13">
        <v>216</v>
      </c>
      <c r="P2312" s="3">
        <f t="shared" si="188"/>
        <v>216</v>
      </c>
      <c r="Q2312" s="3">
        <f t="shared" si="189"/>
        <v>0</v>
      </c>
      <c r="R2312" s="3">
        <f t="shared" si="185"/>
        <v>57852.700000000026</v>
      </c>
      <c r="S2312" s="24" t="s">
        <v>1334</v>
      </c>
      <c r="T2312" s="24" t="s">
        <v>1334</v>
      </c>
      <c r="U2312" s="53"/>
      <c r="V2312" s="25">
        <f>IFERROR(VLOOKUP(BCP_Soles[[#This Row],[destinatario]],CHOOSE({1,2},Clientes_Proveedores[Razon Social],Clientes_Proveedores[Ruc / Dni]),2,0),"")</f>
        <v>20558226979</v>
      </c>
      <c r="W2312" s="25" t="s">
        <v>1345</v>
      </c>
      <c r="X2312" s="25" t="s">
        <v>3614</v>
      </c>
      <c r="Y2312" s="25"/>
      <c r="Z2312" s="75"/>
      <c r="AA2312" s="3" t="str">
        <f>IF(BCP_Soles[[#This Row],[fecha]]&gt;0,TEXT(BCP_Soles[[#This Row],[fecha]],"mmmm"),0)</f>
        <v>Junio</v>
      </c>
    </row>
    <row r="2313" spans="1:27" ht="24" x14ac:dyDescent="0.3">
      <c r="A2313" s="2">
        <f>IF(BCP_Soles[[#This Row],[tipo_registro]]="R",COUNTIFS($C$1:$C2312,"R")+1,A2312)</f>
        <v>1719</v>
      </c>
      <c r="B2313" s="19" t="str">
        <f t="shared" si="186"/>
        <v>B-BCP - Soles</v>
      </c>
      <c r="C2313" s="3" t="s">
        <v>1330</v>
      </c>
      <c r="D2313" s="14">
        <v>45835</v>
      </c>
      <c r="E2313" s="5" t="s">
        <v>1331</v>
      </c>
      <c r="F2313" s="5" t="s">
        <v>1336</v>
      </c>
      <c r="G2313" s="6" t="s">
        <v>249</v>
      </c>
      <c r="H2313" s="6"/>
      <c r="I2313" s="6"/>
      <c r="J2313" s="6"/>
      <c r="K2313" s="7" t="s">
        <v>3615</v>
      </c>
      <c r="L2313" s="8">
        <v>1286773</v>
      </c>
      <c r="M2313" s="8" t="str">
        <f t="shared" si="187"/>
        <v>PEN</v>
      </c>
      <c r="N2313" s="13"/>
      <c r="O2313" s="13">
        <v>1770</v>
      </c>
      <c r="P2313" s="3">
        <f t="shared" si="188"/>
        <v>0</v>
      </c>
      <c r="Q2313" s="3">
        <f t="shared" si="189"/>
        <v>1770</v>
      </c>
      <c r="R2313" s="3">
        <f t="shared" ref="R2313:R2376" si="190">IFERROR(IF(F2313="SALDO",P2313,R2312+P2313-Q2313),0)</f>
        <v>56082.700000000026</v>
      </c>
      <c r="S2313" s="24"/>
      <c r="T2313" s="24" t="s">
        <v>1334</v>
      </c>
      <c r="U2313" s="53"/>
      <c r="V2313" s="25">
        <f>IFERROR(VLOOKUP(BCP_Soles[[#This Row],[destinatario]],CHOOSE({1,2},Clientes_Proveedores[Razon Social],Clientes_Proveedores[Ruc / Dni]),2,0),"")</f>
        <v>20302891452</v>
      </c>
      <c r="W2313" s="25" t="s">
        <v>249</v>
      </c>
      <c r="X2313" s="25"/>
      <c r="Y2313" s="25"/>
      <c r="Z2313" s="75"/>
      <c r="AA2313" s="3" t="str">
        <f>IF(BCP_Soles[[#This Row],[fecha]]&gt;0,TEXT(BCP_Soles[[#This Row],[fecha]],"mmmm"),0)</f>
        <v>Junio</v>
      </c>
    </row>
    <row r="2314" spans="1:27" ht="24" x14ac:dyDescent="0.3">
      <c r="A2314" s="2">
        <f>IF(BCP_Soles[[#This Row],[tipo_registro]]="R",COUNTIFS($C$1:$C2313,"R")+1,A2313)</f>
        <v>1720</v>
      </c>
      <c r="B2314" s="19" t="str">
        <f t="shared" si="186"/>
        <v>B-BCP - Soles</v>
      </c>
      <c r="C2314" s="3" t="s">
        <v>1330</v>
      </c>
      <c r="D2314" s="14">
        <v>45835</v>
      </c>
      <c r="E2314" s="5" t="s">
        <v>1331</v>
      </c>
      <c r="F2314" s="5" t="s">
        <v>1336</v>
      </c>
      <c r="G2314" s="6" t="s">
        <v>163</v>
      </c>
      <c r="H2314" s="6" t="s">
        <v>68</v>
      </c>
      <c r="I2314" s="6" t="s">
        <v>1376</v>
      </c>
      <c r="J2314" s="6">
        <v>296</v>
      </c>
      <c r="K2314" s="7" t="s">
        <v>3616</v>
      </c>
      <c r="L2314" s="8">
        <v>1284812</v>
      </c>
      <c r="M2314" s="8" t="str">
        <f t="shared" si="187"/>
        <v>PEN</v>
      </c>
      <c r="N2314" s="13"/>
      <c r="O2314" s="13">
        <v>320.5</v>
      </c>
      <c r="P2314" s="3">
        <f t="shared" si="188"/>
        <v>0</v>
      </c>
      <c r="Q2314" s="3">
        <f t="shared" si="189"/>
        <v>320.5</v>
      </c>
      <c r="R2314" s="3">
        <f t="shared" si="190"/>
        <v>55762.200000000026</v>
      </c>
      <c r="S2314" s="24" t="s">
        <v>1334</v>
      </c>
      <c r="T2314" s="24" t="s">
        <v>1334</v>
      </c>
      <c r="U2314" s="53"/>
      <c r="V2314" s="25">
        <f>IFERROR(VLOOKUP(BCP_Soles[[#This Row],[destinatario]],CHOOSE({1,2},Clientes_Proveedores[Razon Social],Clientes_Proveedores[Ruc / Dni]),2,0),"")</f>
        <v>10416031679</v>
      </c>
      <c r="W2314" s="25" t="s">
        <v>163</v>
      </c>
      <c r="X2314" s="25"/>
      <c r="Y2314" s="25"/>
      <c r="Z2314" s="75"/>
      <c r="AA2314" s="3" t="str">
        <f>IF(BCP_Soles[[#This Row],[fecha]]&gt;0,TEXT(BCP_Soles[[#This Row],[fecha]],"mmmm"),0)</f>
        <v>Junio</v>
      </c>
    </row>
    <row r="2315" spans="1:27" ht="24" x14ac:dyDescent="0.3">
      <c r="A2315" s="2">
        <f>IF(BCP_Soles[[#This Row],[tipo_registro]]="R",COUNTIFS($C$1:$C2314,"R")+1,A2314)</f>
        <v>1721</v>
      </c>
      <c r="B2315" s="19" t="str">
        <f t="shared" si="186"/>
        <v>B-BCP - Soles</v>
      </c>
      <c r="C2315" s="3" t="s">
        <v>1330</v>
      </c>
      <c r="D2315" s="14">
        <v>45835</v>
      </c>
      <c r="E2315" s="5" t="s">
        <v>1331</v>
      </c>
      <c r="F2315" s="5" t="s">
        <v>1336</v>
      </c>
      <c r="G2315" s="6" t="s">
        <v>249</v>
      </c>
      <c r="H2315" s="6"/>
      <c r="I2315" s="6"/>
      <c r="J2315" s="6"/>
      <c r="K2315" s="7" t="s">
        <v>3617</v>
      </c>
      <c r="L2315" s="8">
        <v>1284361</v>
      </c>
      <c r="M2315" s="8" t="str">
        <f t="shared" si="187"/>
        <v>PEN</v>
      </c>
      <c r="N2315" s="13"/>
      <c r="O2315" s="13">
        <v>3000</v>
      </c>
      <c r="P2315" s="3">
        <f t="shared" si="188"/>
        <v>0</v>
      </c>
      <c r="Q2315" s="3">
        <f t="shared" si="189"/>
        <v>3000</v>
      </c>
      <c r="R2315" s="3">
        <f t="shared" si="190"/>
        <v>52762.200000000026</v>
      </c>
      <c r="S2315" s="24"/>
      <c r="T2315" s="24" t="s">
        <v>1334</v>
      </c>
      <c r="U2315" s="53"/>
      <c r="V2315" s="25">
        <f>IFERROR(VLOOKUP(BCP_Soles[[#This Row],[destinatario]],CHOOSE({1,2},Clientes_Proveedores[Razon Social],Clientes_Proveedores[Ruc / Dni]),2,0),"")</f>
        <v>20302891452</v>
      </c>
      <c r="W2315" s="25" t="s">
        <v>249</v>
      </c>
      <c r="X2315" s="25"/>
      <c r="Y2315" s="25"/>
      <c r="Z2315" s="75"/>
      <c r="AA2315" s="3" t="str">
        <f>IF(BCP_Soles[[#This Row],[fecha]]&gt;0,TEXT(BCP_Soles[[#This Row],[fecha]],"mmmm"),0)</f>
        <v>Junio</v>
      </c>
    </row>
    <row r="2316" spans="1:27" ht="24" x14ac:dyDescent="0.3">
      <c r="A2316" s="2">
        <f>IF(BCP_Soles[[#This Row],[tipo_registro]]="R",COUNTIFS($C$1:$C2315,"R")+1,A2315)</f>
        <v>1722</v>
      </c>
      <c r="B2316" s="19" t="str">
        <f t="shared" si="186"/>
        <v>B-BCP - Soles</v>
      </c>
      <c r="C2316" s="3" t="s">
        <v>1330</v>
      </c>
      <c r="D2316" s="14">
        <v>45835</v>
      </c>
      <c r="E2316" s="5" t="s">
        <v>1331</v>
      </c>
      <c r="F2316" s="5" t="s">
        <v>1336</v>
      </c>
      <c r="G2316" s="6"/>
      <c r="H2316" s="6" t="s">
        <v>68</v>
      </c>
      <c r="I2316" s="6" t="s">
        <v>1376</v>
      </c>
      <c r="J2316" s="6">
        <v>481</v>
      </c>
      <c r="K2316" s="7" t="s">
        <v>3618</v>
      </c>
      <c r="L2316" s="8">
        <v>1287251</v>
      </c>
      <c r="M2316" s="8" t="str">
        <f t="shared" si="187"/>
        <v>PEN</v>
      </c>
      <c r="N2316" s="13"/>
      <c r="O2316" s="13">
        <v>263</v>
      </c>
      <c r="P2316" s="3">
        <f t="shared" si="188"/>
        <v>0</v>
      </c>
      <c r="Q2316" s="3">
        <f t="shared" si="189"/>
        <v>263</v>
      </c>
      <c r="R2316" s="3">
        <f t="shared" si="190"/>
        <v>52499.200000000026</v>
      </c>
      <c r="S2316" s="24" t="s">
        <v>1334</v>
      </c>
      <c r="T2316" s="24" t="s">
        <v>1334</v>
      </c>
      <c r="U2316" s="53"/>
      <c r="V2316" s="25" t="str">
        <f>IFERROR(VLOOKUP(BCP_Soles[[#This Row],[destinatario]],CHOOSE({1,2},Clientes_Proveedores[Razon Social],Clientes_Proveedores[Ruc / Dni]),2,0),"")</f>
        <v/>
      </c>
      <c r="W2316" s="25" t="s">
        <v>993</v>
      </c>
      <c r="X2316" s="25" t="s">
        <v>3619</v>
      </c>
      <c r="Y2316" s="25"/>
      <c r="Z2316" s="75"/>
      <c r="AA2316" s="3" t="str">
        <f>IF(BCP_Soles[[#This Row],[fecha]]&gt;0,TEXT(BCP_Soles[[#This Row],[fecha]],"mmmm"),0)</f>
        <v>Junio</v>
      </c>
    </row>
    <row r="2317" spans="1:27" x14ac:dyDescent="0.3">
      <c r="A2317" s="2">
        <f>IF(BCP_Soles[[#This Row],[tipo_registro]]="R",COUNTIFS($C$1:$C2316,"R")+1,A2316)</f>
        <v>1723</v>
      </c>
      <c r="B2317" s="19" t="str">
        <f t="shared" si="186"/>
        <v>B-BCP - Soles</v>
      </c>
      <c r="C2317" s="3" t="s">
        <v>1330</v>
      </c>
      <c r="D2317" s="14">
        <v>45835</v>
      </c>
      <c r="E2317" s="5" t="s">
        <v>1331</v>
      </c>
      <c r="F2317" s="5" t="s">
        <v>1336</v>
      </c>
      <c r="G2317" s="6" t="s">
        <v>696</v>
      </c>
      <c r="H2317" s="6"/>
      <c r="I2317" s="6"/>
      <c r="J2317" s="6"/>
      <c r="K2317" s="7" t="s">
        <v>3620</v>
      </c>
      <c r="L2317" s="8">
        <v>2512155</v>
      </c>
      <c r="M2317" s="8" t="str">
        <f t="shared" si="187"/>
        <v>PEN</v>
      </c>
      <c r="N2317" s="13"/>
      <c r="O2317" s="13">
        <v>4681</v>
      </c>
      <c r="P2317" s="3">
        <f t="shared" si="188"/>
        <v>0</v>
      </c>
      <c r="Q2317" s="3">
        <f t="shared" si="189"/>
        <v>4681</v>
      </c>
      <c r="R2317" s="3">
        <f t="shared" si="190"/>
        <v>47818.200000000026</v>
      </c>
      <c r="S2317" s="24" t="s">
        <v>1334</v>
      </c>
      <c r="T2317" s="24" t="s">
        <v>1334</v>
      </c>
      <c r="U2317" s="53"/>
      <c r="V2317" s="25">
        <f>IFERROR(VLOOKUP(BCP_Soles[[#This Row],[destinatario]],CHOOSE({1,2},Clientes_Proveedores[Razon Social],Clientes_Proveedores[Ruc / Dni]),2,0),"")</f>
        <v>0</v>
      </c>
      <c r="W2317" s="25" t="s">
        <v>1373</v>
      </c>
      <c r="X2317" s="25"/>
      <c r="Y2317" s="25"/>
      <c r="Z2317" s="75"/>
      <c r="AA2317" s="3" t="str">
        <f>IF(BCP_Soles[[#This Row],[fecha]]&gt;0,TEXT(BCP_Soles[[#This Row],[fecha]],"mmmm"),0)</f>
        <v>Junio</v>
      </c>
    </row>
    <row r="2318" spans="1:27" ht="24" x14ac:dyDescent="0.3">
      <c r="A2318" s="2">
        <f>IF(BCP_Soles[[#This Row],[tipo_registro]]="R",COUNTIFS($C$1:$C2317,"R")+1,A2317)</f>
        <v>1723</v>
      </c>
      <c r="B2318" s="19" t="str">
        <f t="shared" si="186"/>
        <v>B-BCP - Soles</v>
      </c>
      <c r="C2318" s="3" t="s">
        <v>1352</v>
      </c>
      <c r="D2318" s="14">
        <v>45835</v>
      </c>
      <c r="E2318" s="5" t="s">
        <v>1331</v>
      </c>
      <c r="F2318" s="5"/>
      <c r="G2318" s="6" t="s">
        <v>464</v>
      </c>
      <c r="H2318" s="6" t="s">
        <v>68</v>
      </c>
      <c r="I2318" s="6" t="s">
        <v>1376</v>
      </c>
      <c r="J2318" s="6">
        <v>844</v>
      </c>
      <c r="K2318" s="7" t="s">
        <v>3620</v>
      </c>
      <c r="L2318" s="8">
        <v>2512155</v>
      </c>
      <c r="M2318" s="8" t="str">
        <f t="shared" si="187"/>
        <v>PEN</v>
      </c>
      <c r="N2318" s="13">
        <v>1824</v>
      </c>
      <c r="O2318" s="13"/>
      <c r="P2318" s="3">
        <f t="shared" si="188"/>
        <v>0</v>
      </c>
      <c r="Q2318" s="3">
        <f t="shared" si="189"/>
        <v>0</v>
      </c>
      <c r="R2318" s="3">
        <f t="shared" si="190"/>
        <v>47818.200000000026</v>
      </c>
      <c r="S2318" s="24" t="s">
        <v>1334</v>
      </c>
      <c r="T2318" s="24" t="s">
        <v>1334</v>
      </c>
      <c r="U2318" s="53"/>
      <c r="V2318" s="25">
        <f>IFERROR(VLOOKUP(BCP_Soles[[#This Row],[destinatario]],CHOOSE({1,2},Clientes_Proveedores[Razon Social],Clientes_Proveedores[Ruc / Dni]),2,0),"")</f>
        <v>20601279666</v>
      </c>
      <c r="W2318" s="25"/>
      <c r="X2318" s="25"/>
      <c r="Y2318" s="25"/>
      <c r="Z2318" s="75"/>
      <c r="AA2318" s="3" t="str">
        <f>IF(BCP_Soles[[#This Row],[fecha]]&gt;0,TEXT(BCP_Soles[[#This Row],[fecha]],"mmmm"),0)</f>
        <v>Junio</v>
      </c>
    </row>
    <row r="2319" spans="1:27" x14ac:dyDescent="0.3">
      <c r="A2319" s="2">
        <f>IF(BCP_Soles[[#This Row],[tipo_registro]]="R",COUNTIFS($C$1:$C2318,"R")+1,A2318)</f>
        <v>1723</v>
      </c>
      <c r="B2319" s="19" t="str">
        <f t="shared" si="186"/>
        <v>B-BCP - Soles</v>
      </c>
      <c r="C2319" s="3" t="s">
        <v>1352</v>
      </c>
      <c r="D2319" s="14">
        <v>45835</v>
      </c>
      <c r="E2319" s="5" t="s">
        <v>1331</v>
      </c>
      <c r="F2319" s="5"/>
      <c r="G2319" s="6" t="s">
        <v>522</v>
      </c>
      <c r="H2319" s="6" t="s">
        <v>68</v>
      </c>
      <c r="I2319" s="6" t="s">
        <v>1376</v>
      </c>
      <c r="J2319" s="6">
        <v>3955</v>
      </c>
      <c r="K2319" s="7" t="s">
        <v>3620</v>
      </c>
      <c r="L2319" s="8">
        <v>2512155</v>
      </c>
      <c r="M2319" s="8" t="str">
        <f t="shared" si="187"/>
        <v>PEN</v>
      </c>
      <c r="N2319" s="13">
        <v>200.6</v>
      </c>
      <c r="O2319" s="13"/>
      <c r="P2319" s="3">
        <f t="shared" si="188"/>
        <v>0</v>
      </c>
      <c r="Q2319" s="3">
        <f t="shared" si="189"/>
        <v>0</v>
      </c>
      <c r="R2319" s="3">
        <f t="shared" si="190"/>
        <v>47818.200000000026</v>
      </c>
      <c r="S2319" s="24" t="s">
        <v>1334</v>
      </c>
      <c r="T2319" s="24" t="s">
        <v>1334</v>
      </c>
      <c r="U2319" s="53"/>
      <c r="V2319" s="25">
        <f>IFERROR(VLOOKUP(BCP_Soles[[#This Row],[destinatario]],CHOOSE({1,2},Clientes_Proveedores[Razon Social],Clientes_Proveedores[Ruc / Dni]),2,0),"")</f>
        <v>20603974817</v>
      </c>
      <c r="W2319" s="25"/>
      <c r="X2319" s="25"/>
      <c r="Y2319" s="25"/>
      <c r="Z2319" s="75"/>
      <c r="AA2319" s="3" t="str">
        <f>IF(BCP_Soles[[#This Row],[fecha]]&gt;0,TEXT(BCP_Soles[[#This Row],[fecha]],"mmmm"),0)</f>
        <v>Junio</v>
      </c>
    </row>
    <row r="2320" spans="1:27" x14ac:dyDescent="0.3">
      <c r="A2320" s="2">
        <f>IF(BCP_Soles[[#This Row],[tipo_registro]]="R",COUNTIFS($C$1:$C2319,"R")+1,A2319)</f>
        <v>1723</v>
      </c>
      <c r="B2320" s="19" t="str">
        <f t="shared" si="186"/>
        <v>B-BCP - Soles</v>
      </c>
      <c r="C2320" s="3" t="s">
        <v>1352</v>
      </c>
      <c r="D2320" s="14">
        <v>45835</v>
      </c>
      <c r="E2320" s="5" t="s">
        <v>1331</v>
      </c>
      <c r="F2320" s="5"/>
      <c r="G2320" s="6" t="s">
        <v>522</v>
      </c>
      <c r="H2320" s="6" t="s">
        <v>68</v>
      </c>
      <c r="I2320" s="6" t="s">
        <v>1376</v>
      </c>
      <c r="J2320" s="6">
        <v>3967</v>
      </c>
      <c r="K2320" s="7" t="s">
        <v>3620</v>
      </c>
      <c r="L2320" s="8">
        <v>2512155</v>
      </c>
      <c r="M2320" s="8" t="str">
        <f t="shared" si="187"/>
        <v>PEN</v>
      </c>
      <c r="N2320" s="13">
        <v>401.2</v>
      </c>
      <c r="O2320" s="13"/>
      <c r="P2320" s="3">
        <f t="shared" si="188"/>
        <v>0</v>
      </c>
      <c r="Q2320" s="3">
        <f t="shared" si="189"/>
        <v>0</v>
      </c>
      <c r="R2320" s="3">
        <f t="shared" si="190"/>
        <v>47818.200000000026</v>
      </c>
      <c r="S2320" s="24" t="s">
        <v>1334</v>
      </c>
      <c r="T2320" s="24" t="s">
        <v>1334</v>
      </c>
      <c r="U2320" s="53"/>
      <c r="V2320" s="25">
        <f>IFERROR(VLOOKUP(BCP_Soles[[#This Row],[destinatario]],CHOOSE({1,2},Clientes_Proveedores[Razon Social],Clientes_Proveedores[Ruc / Dni]),2,0),"")</f>
        <v>20603974817</v>
      </c>
      <c r="W2320" s="25"/>
      <c r="X2320" s="25"/>
      <c r="Y2320" s="25"/>
      <c r="Z2320" s="75"/>
      <c r="AA2320" s="3" t="str">
        <f>IF(BCP_Soles[[#This Row],[fecha]]&gt;0,TEXT(BCP_Soles[[#This Row],[fecha]],"mmmm"),0)</f>
        <v>Junio</v>
      </c>
    </row>
    <row r="2321" spans="1:27" ht="36" x14ac:dyDescent="0.3">
      <c r="A2321" s="2">
        <f>IF(BCP_Soles[[#This Row],[tipo_registro]]="R",COUNTIFS($C$1:$C2320,"R")+1,A2320)</f>
        <v>1723</v>
      </c>
      <c r="B2321" s="19" t="str">
        <f t="shared" si="186"/>
        <v>B-BCP - Soles</v>
      </c>
      <c r="C2321" s="3" t="s">
        <v>1352</v>
      </c>
      <c r="D2321" s="14">
        <v>45835</v>
      </c>
      <c r="E2321" s="5" t="s">
        <v>1331</v>
      </c>
      <c r="F2321" s="5"/>
      <c r="G2321" s="6" t="s">
        <v>416</v>
      </c>
      <c r="H2321" s="6" t="s">
        <v>68</v>
      </c>
      <c r="I2321" s="6" t="s">
        <v>1376</v>
      </c>
      <c r="J2321" s="6">
        <v>888</v>
      </c>
      <c r="K2321" s="7" t="s">
        <v>3620</v>
      </c>
      <c r="L2321" s="8">
        <v>2512155</v>
      </c>
      <c r="M2321" s="8" t="str">
        <f t="shared" si="187"/>
        <v>PEN</v>
      </c>
      <c r="N2321" s="13">
        <v>1728</v>
      </c>
      <c r="O2321" s="13"/>
      <c r="P2321" s="3">
        <f t="shared" si="188"/>
        <v>0</v>
      </c>
      <c r="Q2321" s="3">
        <f t="shared" si="189"/>
        <v>0</v>
      </c>
      <c r="R2321" s="3">
        <f t="shared" si="190"/>
        <v>47818.200000000026</v>
      </c>
      <c r="S2321" s="24" t="s">
        <v>1334</v>
      </c>
      <c r="T2321" s="24" t="s">
        <v>1334</v>
      </c>
      <c r="U2321" s="53"/>
      <c r="V2321" s="25">
        <f>IFERROR(VLOOKUP(BCP_Soles[[#This Row],[destinatario]],CHOOSE({1,2},Clientes_Proveedores[Razon Social],Clientes_Proveedores[Ruc / Dni]),2,0),"")</f>
        <v>20554299441</v>
      </c>
      <c r="W2321" s="25"/>
      <c r="X2321" s="25"/>
      <c r="Y2321" s="25"/>
      <c r="Z2321" s="75"/>
      <c r="AA2321" s="3" t="str">
        <f>IF(BCP_Soles[[#This Row],[fecha]]&gt;0,TEXT(BCP_Soles[[#This Row],[fecha]],"mmmm"),0)</f>
        <v>Junio</v>
      </c>
    </row>
    <row r="2322" spans="1:27" x14ac:dyDescent="0.3">
      <c r="A2322" s="2">
        <f>IF(BCP_Soles[[#This Row],[tipo_registro]]="R",COUNTIFS($C$1:$C2321,"R")+1,A2321)</f>
        <v>1723</v>
      </c>
      <c r="B2322" s="19" t="str">
        <f t="shared" si="186"/>
        <v>B-BCP - Soles</v>
      </c>
      <c r="C2322" s="3" t="s">
        <v>1352</v>
      </c>
      <c r="D2322" s="14">
        <v>45835</v>
      </c>
      <c r="E2322" s="5" t="s">
        <v>1331</v>
      </c>
      <c r="F2322" s="5"/>
      <c r="G2322" s="6" t="s">
        <v>286</v>
      </c>
      <c r="H2322" s="6" t="s">
        <v>68</v>
      </c>
      <c r="I2322" s="6" t="s">
        <v>1386</v>
      </c>
      <c r="J2322" s="6">
        <v>1708</v>
      </c>
      <c r="K2322" s="7" t="s">
        <v>3620</v>
      </c>
      <c r="L2322" s="8">
        <v>2512155</v>
      </c>
      <c r="M2322" s="8" t="str">
        <f t="shared" si="187"/>
        <v>PEN</v>
      </c>
      <c r="N2322" s="13">
        <v>82.2</v>
      </c>
      <c r="O2322" s="13"/>
      <c r="P2322" s="3">
        <f t="shared" si="188"/>
        <v>0</v>
      </c>
      <c r="Q2322" s="3">
        <f t="shared" si="189"/>
        <v>0</v>
      </c>
      <c r="R2322" s="3">
        <f t="shared" si="190"/>
        <v>47818.200000000026</v>
      </c>
      <c r="S2322" s="24" t="s">
        <v>1334</v>
      </c>
      <c r="T2322" s="24" t="s">
        <v>1334</v>
      </c>
      <c r="U2322" s="53"/>
      <c r="V2322" s="25">
        <f>IFERROR(VLOOKUP(BCP_Soles[[#This Row],[destinatario]],CHOOSE({1,2},Clientes_Proveedores[Razon Social],Clientes_Proveedores[Ruc / Dni]),2,0),"")</f>
        <v>20454186002</v>
      </c>
      <c r="W2322" s="25"/>
      <c r="X2322" s="25"/>
      <c r="Y2322" s="25"/>
      <c r="Z2322" s="75"/>
      <c r="AA2322" s="3" t="str">
        <f>IF(BCP_Soles[[#This Row],[fecha]]&gt;0,TEXT(BCP_Soles[[#This Row],[fecha]],"mmmm"),0)</f>
        <v>Junio</v>
      </c>
    </row>
    <row r="2323" spans="1:27" x14ac:dyDescent="0.3">
      <c r="A2323" s="2">
        <f>IF(BCP_Soles[[#This Row],[tipo_registro]]="R",COUNTIFS($C$1:$C2322,"R")+1,A2322)</f>
        <v>1723</v>
      </c>
      <c r="B2323" s="19" t="str">
        <f t="shared" si="186"/>
        <v>B-BCP - Soles</v>
      </c>
      <c r="C2323" s="3" t="s">
        <v>1352</v>
      </c>
      <c r="D2323" s="14">
        <v>45835</v>
      </c>
      <c r="E2323" s="5" t="s">
        <v>1331</v>
      </c>
      <c r="F2323" s="5"/>
      <c r="G2323" s="6" t="s">
        <v>286</v>
      </c>
      <c r="H2323" s="6" t="s">
        <v>68</v>
      </c>
      <c r="I2323" s="6" t="s">
        <v>1386</v>
      </c>
      <c r="J2323" s="6">
        <v>1707</v>
      </c>
      <c r="K2323" s="7" t="s">
        <v>3620</v>
      </c>
      <c r="L2323" s="8">
        <v>2512155</v>
      </c>
      <c r="M2323" s="8" t="str">
        <f t="shared" si="187"/>
        <v>PEN</v>
      </c>
      <c r="N2323" s="13">
        <v>445</v>
      </c>
      <c r="O2323" s="13"/>
      <c r="P2323" s="3">
        <f t="shared" si="188"/>
        <v>0</v>
      </c>
      <c r="Q2323" s="3">
        <f t="shared" si="189"/>
        <v>0</v>
      </c>
      <c r="R2323" s="3">
        <f t="shared" si="190"/>
        <v>47818.200000000026</v>
      </c>
      <c r="S2323" s="24" t="s">
        <v>1334</v>
      </c>
      <c r="T2323" s="24" t="s">
        <v>1334</v>
      </c>
      <c r="U2323" s="53"/>
      <c r="V2323" s="25">
        <f>IFERROR(VLOOKUP(BCP_Soles[[#This Row],[destinatario]],CHOOSE({1,2},Clientes_Proveedores[Razon Social],Clientes_Proveedores[Ruc / Dni]),2,0),"")</f>
        <v>20454186002</v>
      </c>
      <c r="W2323" s="25"/>
      <c r="X2323" s="25"/>
      <c r="Y2323" s="25"/>
      <c r="Z2323" s="75"/>
      <c r="AA2323" s="3" t="str">
        <f>IF(BCP_Soles[[#This Row],[fecha]]&gt;0,TEXT(BCP_Soles[[#This Row],[fecha]],"mmmm"),0)</f>
        <v>Junio</v>
      </c>
    </row>
    <row r="2324" spans="1:27" ht="24" x14ac:dyDescent="0.3">
      <c r="A2324" s="2">
        <f>IF(BCP_Soles[[#This Row],[tipo_registro]]="R",COUNTIFS($C$1:$C2323,"R")+1,A2323)</f>
        <v>1724</v>
      </c>
      <c r="B2324" s="19" t="str">
        <f t="shared" si="186"/>
        <v>B-BCP - Soles</v>
      </c>
      <c r="C2324" s="3" t="s">
        <v>1330</v>
      </c>
      <c r="D2324" s="14">
        <v>45835</v>
      </c>
      <c r="E2324" s="5" t="s">
        <v>1335</v>
      </c>
      <c r="F2324" s="5" t="s">
        <v>1336</v>
      </c>
      <c r="G2324" s="6" t="s">
        <v>1060</v>
      </c>
      <c r="H2324" s="6" t="s">
        <v>68</v>
      </c>
      <c r="I2324" s="6" t="s">
        <v>1397</v>
      </c>
      <c r="J2324" s="6">
        <v>34173259</v>
      </c>
      <c r="K2324" s="7" t="s">
        <v>3621</v>
      </c>
      <c r="L2324" s="8">
        <v>2512183</v>
      </c>
      <c r="M2324" s="8" t="str">
        <f t="shared" si="187"/>
        <v>PEN</v>
      </c>
      <c r="N2324" s="13"/>
      <c r="O2324" s="13">
        <v>22.5</v>
      </c>
      <c r="P2324" s="3">
        <f t="shared" si="188"/>
        <v>0</v>
      </c>
      <c r="Q2324" s="3">
        <f t="shared" si="189"/>
        <v>22.5</v>
      </c>
      <c r="R2324" s="3">
        <f t="shared" si="190"/>
        <v>47795.700000000026</v>
      </c>
      <c r="S2324" s="24" t="s">
        <v>1334</v>
      </c>
      <c r="T2324" s="24" t="s">
        <v>1334</v>
      </c>
      <c r="U2324" s="53"/>
      <c r="V2324" s="25">
        <f>IFERROR(VLOOKUP(BCP_Soles[[#This Row],[destinatario]],CHOOSE({1,2},Clientes_Proveedores[Razon Social],Clientes_Proveedores[Ruc / Dni]),2,0),"")</f>
        <v>20100047218</v>
      </c>
      <c r="W2324" s="25" t="s">
        <v>1335</v>
      </c>
      <c r="X2324" s="25"/>
      <c r="Y2324" s="25"/>
      <c r="Z2324" s="75"/>
      <c r="AA2324" s="3" t="str">
        <f>IF(BCP_Soles[[#This Row],[fecha]]&gt;0,TEXT(BCP_Soles[[#This Row],[fecha]],"mmmm"),0)</f>
        <v>Junio</v>
      </c>
    </row>
    <row r="2325" spans="1:27" x14ac:dyDescent="0.3">
      <c r="A2325" s="2">
        <f>IF(BCP_Soles[[#This Row],[tipo_registro]]="R",COUNTIFS($C$1:$C2324,"R")+1,A2324)</f>
        <v>1725</v>
      </c>
      <c r="B2325" s="19" t="str">
        <f t="shared" si="186"/>
        <v>B-BCP - Soles</v>
      </c>
      <c r="C2325" s="3" t="s">
        <v>1330</v>
      </c>
      <c r="D2325" s="14">
        <v>45835</v>
      </c>
      <c r="E2325" s="5" t="s">
        <v>1335</v>
      </c>
      <c r="F2325" s="5" t="s">
        <v>1336</v>
      </c>
      <c r="G2325" s="6"/>
      <c r="H2325" s="6"/>
      <c r="I2325" s="6"/>
      <c r="J2325" s="6"/>
      <c r="K2325" s="7" t="s">
        <v>3160</v>
      </c>
      <c r="L2325" s="8"/>
      <c r="M2325" s="8" t="str">
        <f t="shared" si="187"/>
        <v>PEN</v>
      </c>
      <c r="N2325" s="13"/>
      <c r="O2325" s="13">
        <v>1</v>
      </c>
      <c r="P2325" s="3">
        <f t="shared" si="188"/>
        <v>0</v>
      </c>
      <c r="Q2325" s="3">
        <f t="shared" si="189"/>
        <v>1</v>
      </c>
      <c r="R2325" s="3">
        <f t="shared" si="190"/>
        <v>47794.700000000026</v>
      </c>
      <c r="S2325" s="24"/>
      <c r="T2325" s="24" t="s">
        <v>1334</v>
      </c>
      <c r="U2325" s="53"/>
      <c r="V2325" s="25" t="str">
        <f>IFERROR(VLOOKUP(BCP_Soles[[#This Row],[destinatario]],CHOOSE({1,2},Clientes_Proveedores[Razon Social],Clientes_Proveedores[Ruc / Dni]),2,0),"")</f>
        <v/>
      </c>
      <c r="W2325" s="25"/>
      <c r="X2325" s="25"/>
      <c r="Y2325" s="25"/>
      <c r="Z2325" s="75"/>
      <c r="AA2325" s="3" t="str">
        <f>IF(BCP_Soles[[#This Row],[fecha]]&gt;0,TEXT(BCP_Soles[[#This Row],[fecha]],"mmmm"),0)</f>
        <v>Junio</v>
      </c>
    </row>
    <row r="2326" spans="1:27" x14ac:dyDescent="0.3">
      <c r="A2326" s="2">
        <f>IF(BCP_Soles[[#This Row],[tipo_registro]]="R",COUNTIFS($C$1:$C2325,"R")+1,A2325)</f>
        <v>1726</v>
      </c>
      <c r="B2326" s="19" t="str">
        <f t="shared" si="186"/>
        <v>B-BCP - Soles</v>
      </c>
      <c r="C2326" s="3" t="s">
        <v>1330</v>
      </c>
      <c r="D2326" s="14">
        <v>45838</v>
      </c>
      <c r="E2326" s="5"/>
      <c r="F2326" s="5" t="s">
        <v>1303</v>
      </c>
      <c r="G2326" s="6" t="s">
        <v>425</v>
      </c>
      <c r="H2326" s="6"/>
      <c r="I2326" s="6"/>
      <c r="J2326" s="6"/>
      <c r="K2326" s="7" t="s">
        <v>2003</v>
      </c>
      <c r="L2326" s="8">
        <v>2196084</v>
      </c>
      <c r="M2326" s="8" t="str">
        <f t="shared" si="187"/>
        <v>PEN</v>
      </c>
      <c r="N2326" s="13"/>
      <c r="O2326" s="13">
        <v>25960</v>
      </c>
      <c r="P2326" s="3">
        <f t="shared" si="188"/>
        <v>25960</v>
      </c>
      <c r="Q2326" s="3">
        <f t="shared" si="189"/>
        <v>0</v>
      </c>
      <c r="R2326" s="3">
        <f t="shared" si="190"/>
        <v>73754.700000000026</v>
      </c>
      <c r="S2326" s="24" t="s">
        <v>1334</v>
      </c>
      <c r="T2326" s="24"/>
      <c r="U2326" s="53"/>
      <c r="V2326" s="25">
        <f>IFERROR(VLOOKUP(BCP_Soles[[#This Row],[destinatario]],CHOOSE({1,2},Clientes_Proveedores[Razon Social],Clientes_Proveedores[Ruc / Dni]),2,0),"")</f>
        <v>20558226979</v>
      </c>
      <c r="W2326" s="25" t="s">
        <v>1345</v>
      </c>
      <c r="X2326" s="25"/>
      <c r="Y2326" s="25"/>
      <c r="Z2326" s="75"/>
      <c r="AA2326" s="3" t="str">
        <f>IF(BCP_Soles[[#This Row],[fecha]]&gt;0,TEXT(BCP_Soles[[#This Row],[fecha]],"mmmm"),0)</f>
        <v>Junio</v>
      </c>
    </row>
    <row r="2327" spans="1:27" ht="24" x14ac:dyDescent="0.3">
      <c r="A2327" s="2">
        <f>IF(BCP_Soles[[#This Row],[tipo_registro]]="R",COUNTIFS($C$1:$C2326,"R")+1,A2326)</f>
        <v>1726</v>
      </c>
      <c r="B2327" s="19" t="str">
        <f t="shared" si="186"/>
        <v>B-BCP - Soles</v>
      </c>
      <c r="C2327" s="3" t="s">
        <v>1352</v>
      </c>
      <c r="D2327" s="14">
        <v>45838</v>
      </c>
      <c r="E2327" s="5" t="s">
        <v>645</v>
      </c>
      <c r="F2327" s="5" t="s">
        <v>1303</v>
      </c>
      <c r="G2327" s="6" t="s">
        <v>425</v>
      </c>
      <c r="H2327" s="6" t="s">
        <v>68</v>
      </c>
      <c r="I2327" s="6" t="s">
        <v>3302</v>
      </c>
      <c r="J2327" s="6">
        <v>84</v>
      </c>
      <c r="K2327" s="7" t="s">
        <v>2003</v>
      </c>
      <c r="L2327" s="8">
        <v>2196084</v>
      </c>
      <c r="M2327" s="8" t="str">
        <f t="shared" si="187"/>
        <v>PEN</v>
      </c>
      <c r="N2327" s="13">
        <v>14840</v>
      </c>
      <c r="O2327" s="13"/>
      <c r="P2327" s="3">
        <f t="shared" si="188"/>
        <v>0</v>
      </c>
      <c r="Q2327" s="3">
        <f t="shared" si="189"/>
        <v>0</v>
      </c>
      <c r="R2327" s="3">
        <f t="shared" si="190"/>
        <v>73754.700000000026</v>
      </c>
      <c r="S2327" s="24" t="s">
        <v>1334</v>
      </c>
      <c r="T2327" s="24"/>
      <c r="U2327" s="53"/>
      <c r="V2327" s="25">
        <f>IFERROR(VLOOKUP(BCP_Soles[[#This Row],[destinatario]],CHOOSE({1,2},Clientes_Proveedores[Razon Social],Clientes_Proveedores[Ruc / Dni]),2,0),"")</f>
        <v>20558226979</v>
      </c>
      <c r="W2327" s="25" t="s">
        <v>1345</v>
      </c>
      <c r="X2327" s="25" t="s">
        <v>3622</v>
      </c>
      <c r="Y2327" s="25"/>
      <c r="Z2327" s="75"/>
      <c r="AA2327" s="3" t="str">
        <f>IF(BCP_Soles[[#This Row],[fecha]]&gt;0,TEXT(BCP_Soles[[#This Row],[fecha]],"mmmm"),0)</f>
        <v>Junio</v>
      </c>
    </row>
    <row r="2328" spans="1:27" ht="24" x14ac:dyDescent="0.3">
      <c r="A2328" s="2">
        <f>IF(BCP_Soles[[#This Row],[tipo_registro]]="R",COUNTIFS($C$1:$C2327,"R")+1,A2327)</f>
        <v>1726</v>
      </c>
      <c r="B2328" s="19" t="str">
        <f t="shared" ref="B2328:B2391" si="191">"B-BCP - Soles"</f>
        <v>B-BCP - Soles</v>
      </c>
      <c r="C2328" s="3" t="s">
        <v>1352</v>
      </c>
      <c r="D2328" s="14">
        <v>45838</v>
      </c>
      <c r="E2328" s="5" t="s">
        <v>645</v>
      </c>
      <c r="F2328" s="5" t="s">
        <v>1303</v>
      </c>
      <c r="G2328" s="6" t="s">
        <v>425</v>
      </c>
      <c r="H2328" s="6" t="s">
        <v>119</v>
      </c>
      <c r="I2328" s="6">
        <v>1</v>
      </c>
      <c r="J2328" s="6">
        <v>4562</v>
      </c>
      <c r="K2328" s="7" t="s">
        <v>2003</v>
      </c>
      <c r="L2328" s="8">
        <v>2196084</v>
      </c>
      <c r="M2328" s="8" t="str">
        <f t="shared" ref="M2328:M2391" si="192">"PEN"</f>
        <v>PEN</v>
      </c>
      <c r="N2328" s="13">
        <v>11120</v>
      </c>
      <c r="O2328" s="13"/>
      <c r="P2328" s="3">
        <f t="shared" ref="P2328:P2391" si="193">+IF(OR($F2328="SALDO",$F2328="INGRESO"),$O2328,0)</f>
        <v>0</v>
      </c>
      <c r="Q2328" s="3">
        <f t="shared" ref="Q2328:Q2391" si="194">+IF($F2328="EGRESO",$O2328,0)</f>
        <v>0</v>
      </c>
      <c r="R2328" s="3">
        <f t="shared" si="190"/>
        <v>73754.700000000026</v>
      </c>
      <c r="S2328" s="24" t="s">
        <v>1334</v>
      </c>
      <c r="T2328" s="24"/>
      <c r="U2328" s="53"/>
      <c r="V2328" s="25">
        <f>IFERROR(VLOOKUP(BCP_Soles[[#This Row],[destinatario]],CHOOSE({1,2},Clientes_Proveedores[Razon Social],Clientes_Proveedores[Ruc / Dni]),2,0),"")</f>
        <v>20558226979</v>
      </c>
      <c r="W2328" s="25" t="s">
        <v>1345</v>
      </c>
      <c r="X2328" s="25"/>
      <c r="Y2328" s="25"/>
      <c r="Z2328" s="75"/>
      <c r="AA2328" s="3" t="str">
        <f>IF(BCP_Soles[[#This Row],[fecha]]&gt;0,TEXT(BCP_Soles[[#This Row],[fecha]],"mmmm"),0)</f>
        <v>Junio</v>
      </c>
    </row>
    <row r="2329" spans="1:27" ht="24" x14ac:dyDescent="0.3">
      <c r="A2329" s="2">
        <f>IF(BCP_Soles[[#This Row],[tipo_registro]]="R",COUNTIFS($C$1:$C2328,"R")+1,A2328)</f>
        <v>1727</v>
      </c>
      <c r="B2329" s="19" t="str">
        <f t="shared" si="191"/>
        <v>B-BCP - Soles</v>
      </c>
      <c r="C2329" s="3" t="s">
        <v>1330</v>
      </c>
      <c r="D2329" s="14">
        <v>45838</v>
      </c>
      <c r="E2329" s="5" t="s">
        <v>3623</v>
      </c>
      <c r="F2329" s="5" t="s">
        <v>1303</v>
      </c>
      <c r="G2329" s="6" t="s">
        <v>425</v>
      </c>
      <c r="H2329" s="6" t="s">
        <v>119</v>
      </c>
      <c r="I2329" s="6">
        <v>1</v>
      </c>
      <c r="J2329" s="6">
        <v>4559</v>
      </c>
      <c r="K2329" s="7" t="s">
        <v>1356</v>
      </c>
      <c r="L2329" s="8">
        <v>3316573</v>
      </c>
      <c r="M2329" s="8" t="str">
        <f t="shared" si="192"/>
        <v>PEN</v>
      </c>
      <c r="N2329" s="13"/>
      <c r="O2329" s="13">
        <v>2100</v>
      </c>
      <c r="P2329" s="3">
        <f t="shared" si="193"/>
        <v>2100</v>
      </c>
      <c r="Q2329" s="3">
        <f t="shared" si="194"/>
        <v>0</v>
      </c>
      <c r="R2329" s="3">
        <f t="shared" si="190"/>
        <v>75854.700000000026</v>
      </c>
      <c r="S2329" s="24" t="s">
        <v>1334</v>
      </c>
      <c r="T2329" s="24" t="s">
        <v>1334</v>
      </c>
      <c r="U2329" s="53"/>
      <c r="V2329" s="25">
        <f>IFERROR(VLOOKUP(BCP_Soles[[#This Row],[destinatario]],CHOOSE({1,2},Clientes_Proveedores[Razon Social],Clientes_Proveedores[Ruc / Dni]),2,0),"")</f>
        <v>20558226979</v>
      </c>
      <c r="W2329" s="25"/>
      <c r="X2329" s="25"/>
      <c r="Y2329" s="25"/>
      <c r="Z2329" s="75"/>
      <c r="AA2329" s="3" t="str">
        <f>IF(BCP_Soles[[#This Row],[fecha]]&gt;0,TEXT(BCP_Soles[[#This Row],[fecha]],"mmmm"),0)</f>
        <v>Junio</v>
      </c>
    </row>
    <row r="2330" spans="1:27" x14ac:dyDescent="0.3">
      <c r="A2330" s="2">
        <f>IF(BCP_Soles[[#This Row],[tipo_registro]]="R",COUNTIFS($C$1:$C2329,"R")+1,A2329)</f>
        <v>1728</v>
      </c>
      <c r="B2330" s="19" t="str">
        <f t="shared" si="191"/>
        <v>B-BCP - Soles</v>
      </c>
      <c r="C2330" s="3" t="s">
        <v>1330</v>
      </c>
      <c r="D2330" s="14">
        <v>45838</v>
      </c>
      <c r="E2330" s="5"/>
      <c r="F2330" s="5" t="s">
        <v>1303</v>
      </c>
      <c r="G2330" s="6" t="s">
        <v>425</v>
      </c>
      <c r="H2330" s="6"/>
      <c r="I2330" s="6"/>
      <c r="J2330" s="6"/>
      <c r="K2330" s="7" t="s">
        <v>1356</v>
      </c>
      <c r="L2330" s="8">
        <v>4709583</v>
      </c>
      <c r="M2330" s="8" t="str">
        <f t="shared" si="192"/>
        <v>PEN</v>
      </c>
      <c r="N2330" s="13"/>
      <c r="O2330" s="13">
        <v>1637.45</v>
      </c>
      <c r="P2330" s="3">
        <f t="shared" si="193"/>
        <v>1637.45</v>
      </c>
      <c r="Q2330" s="3">
        <f t="shared" si="194"/>
        <v>0</v>
      </c>
      <c r="R2330" s="3">
        <f t="shared" si="190"/>
        <v>77492.150000000023</v>
      </c>
      <c r="S2330" s="24" t="s">
        <v>1334</v>
      </c>
      <c r="T2330" s="24" t="s">
        <v>1334</v>
      </c>
      <c r="U2330" s="53"/>
      <c r="V2330" s="25">
        <f>IFERROR(VLOOKUP(BCP_Soles[[#This Row],[destinatario]],CHOOSE({1,2},Clientes_Proveedores[Razon Social],Clientes_Proveedores[Ruc / Dni]),2,0),"")</f>
        <v>20558226979</v>
      </c>
      <c r="W2330" s="25"/>
      <c r="X2330" s="25"/>
      <c r="Y2330" s="25"/>
      <c r="Z2330" s="75"/>
      <c r="AA2330" s="3" t="str">
        <f>IF(BCP_Soles[[#This Row],[fecha]]&gt;0,TEXT(BCP_Soles[[#This Row],[fecha]],"mmmm"),0)</f>
        <v>Junio</v>
      </c>
    </row>
    <row r="2331" spans="1:27" ht="24" x14ac:dyDescent="0.3">
      <c r="A2331" s="2">
        <f>IF(BCP_Soles[[#This Row],[tipo_registro]]="R",COUNTIFS($C$1:$C2330,"R")+1,A2330)</f>
        <v>1728</v>
      </c>
      <c r="B2331" s="19" t="str">
        <f t="shared" si="191"/>
        <v>B-BCP - Soles</v>
      </c>
      <c r="C2331" s="3" t="s">
        <v>1352</v>
      </c>
      <c r="D2331" s="14">
        <v>45838</v>
      </c>
      <c r="E2331" s="5" t="s">
        <v>536</v>
      </c>
      <c r="F2331" s="5" t="s">
        <v>1303</v>
      </c>
      <c r="G2331" s="6" t="s">
        <v>425</v>
      </c>
      <c r="H2331" s="6" t="s">
        <v>119</v>
      </c>
      <c r="I2331" s="6">
        <v>1</v>
      </c>
      <c r="J2331" s="6">
        <v>4470</v>
      </c>
      <c r="K2331" s="7" t="s">
        <v>1356</v>
      </c>
      <c r="L2331" s="8">
        <v>4709583</v>
      </c>
      <c r="M2331" s="8" t="str">
        <f t="shared" si="192"/>
        <v>PEN</v>
      </c>
      <c r="N2331" s="13">
        <v>0.45</v>
      </c>
      <c r="O2331" s="13"/>
      <c r="P2331" s="3">
        <f t="shared" si="193"/>
        <v>0</v>
      </c>
      <c r="Q2331" s="3">
        <f t="shared" si="194"/>
        <v>0</v>
      </c>
      <c r="R2331" s="3">
        <f t="shared" si="190"/>
        <v>77492.150000000023</v>
      </c>
      <c r="S2331" s="24" t="s">
        <v>1334</v>
      </c>
      <c r="T2331" s="24" t="s">
        <v>1334</v>
      </c>
      <c r="U2331" s="53"/>
      <c r="V2331" s="25">
        <f>IFERROR(VLOOKUP(BCP_Soles[[#This Row],[destinatario]],CHOOSE({1,2},Clientes_Proveedores[Razon Social],Clientes_Proveedores[Ruc / Dni]),2,0),"")</f>
        <v>20558226979</v>
      </c>
      <c r="W2331" s="25" t="s">
        <v>1345</v>
      </c>
      <c r="X2331" s="25" t="s">
        <v>3322</v>
      </c>
      <c r="Y2331" s="25"/>
      <c r="Z2331" s="75"/>
      <c r="AA2331" s="3" t="str">
        <f>IF(BCP_Soles[[#This Row],[fecha]]&gt;0,TEXT(BCP_Soles[[#This Row],[fecha]],"mmmm"),0)</f>
        <v>Junio</v>
      </c>
    </row>
    <row r="2332" spans="1:27" ht="24" x14ac:dyDescent="0.3">
      <c r="A2332" s="2">
        <f>IF(BCP_Soles[[#This Row],[tipo_registro]]="R",COUNTIFS($C$1:$C2331,"R")+1,A2331)</f>
        <v>1728</v>
      </c>
      <c r="B2332" s="19" t="str">
        <f t="shared" si="191"/>
        <v>B-BCP - Soles</v>
      </c>
      <c r="C2332" s="3" t="s">
        <v>1352</v>
      </c>
      <c r="D2332" s="14">
        <v>45838</v>
      </c>
      <c r="E2332" s="5" t="s">
        <v>536</v>
      </c>
      <c r="F2332" s="5" t="s">
        <v>1303</v>
      </c>
      <c r="G2332" s="6" t="s">
        <v>425</v>
      </c>
      <c r="H2332" s="6" t="s">
        <v>119</v>
      </c>
      <c r="I2332" s="6">
        <v>1</v>
      </c>
      <c r="J2332" s="6">
        <v>4484</v>
      </c>
      <c r="K2332" s="7" t="s">
        <v>1356</v>
      </c>
      <c r="L2332" s="8">
        <v>4709583</v>
      </c>
      <c r="M2332" s="8" t="str">
        <f t="shared" si="192"/>
        <v>PEN</v>
      </c>
      <c r="N2332" s="13">
        <v>541</v>
      </c>
      <c r="O2332" s="13"/>
      <c r="P2332" s="3">
        <f t="shared" si="193"/>
        <v>0</v>
      </c>
      <c r="Q2332" s="3">
        <f t="shared" si="194"/>
        <v>0</v>
      </c>
      <c r="R2332" s="3">
        <f t="shared" si="190"/>
        <v>77492.150000000023</v>
      </c>
      <c r="S2332" s="24" t="s">
        <v>1334</v>
      </c>
      <c r="T2332" s="24" t="s">
        <v>1334</v>
      </c>
      <c r="U2332" s="53"/>
      <c r="V2332" s="25">
        <f>IFERROR(VLOOKUP(BCP_Soles[[#This Row],[destinatario]],CHOOSE({1,2},Clientes_Proveedores[Razon Social],Clientes_Proveedores[Ruc / Dni]),2,0),"")</f>
        <v>20558226979</v>
      </c>
      <c r="W2332" s="25" t="s">
        <v>1345</v>
      </c>
      <c r="X2332" s="25" t="s">
        <v>3323</v>
      </c>
      <c r="Y2332" s="25"/>
      <c r="Z2332" s="75"/>
      <c r="AA2332" s="3" t="str">
        <f>IF(BCP_Soles[[#This Row],[fecha]]&gt;0,TEXT(BCP_Soles[[#This Row],[fecha]],"mmmm"),0)</f>
        <v>Junio</v>
      </c>
    </row>
    <row r="2333" spans="1:27" ht="24" x14ac:dyDescent="0.3">
      <c r="A2333" s="2">
        <f>IF(BCP_Soles[[#This Row],[tipo_registro]]="R",COUNTIFS($C$1:$C2332,"R")+1,A2332)</f>
        <v>1728</v>
      </c>
      <c r="B2333" s="19" t="str">
        <f t="shared" si="191"/>
        <v>B-BCP - Soles</v>
      </c>
      <c r="C2333" s="3" t="s">
        <v>1352</v>
      </c>
      <c r="D2333" s="14">
        <v>45838</v>
      </c>
      <c r="E2333" s="5" t="s">
        <v>536</v>
      </c>
      <c r="F2333" s="5" t="s">
        <v>1303</v>
      </c>
      <c r="G2333" s="6" t="s">
        <v>425</v>
      </c>
      <c r="H2333" s="6" t="s">
        <v>119</v>
      </c>
      <c r="I2333" s="6">
        <v>1</v>
      </c>
      <c r="J2333" s="6">
        <v>4547</v>
      </c>
      <c r="K2333" s="7" t="s">
        <v>1356</v>
      </c>
      <c r="L2333" s="8">
        <v>4709583</v>
      </c>
      <c r="M2333" s="8" t="str">
        <f t="shared" si="192"/>
        <v>PEN</v>
      </c>
      <c r="N2333" s="13">
        <v>1096</v>
      </c>
      <c r="O2333" s="13"/>
      <c r="P2333" s="3">
        <f t="shared" si="193"/>
        <v>0</v>
      </c>
      <c r="Q2333" s="3">
        <f t="shared" si="194"/>
        <v>0</v>
      </c>
      <c r="R2333" s="3">
        <f t="shared" si="190"/>
        <v>77492.150000000023</v>
      </c>
      <c r="S2333" s="24" t="s">
        <v>1334</v>
      </c>
      <c r="T2333" s="24" t="s">
        <v>1334</v>
      </c>
      <c r="U2333" s="53"/>
      <c r="V2333" s="25">
        <f>IFERROR(VLOOKUP(BCP_Soles[[#This Row],[destinatario]],CHOOSE({1,2},Clientes_Proveedores[Razon Social],Clientes_Proveedores[Ruc / Dni]),2,0),"")</f>
        <v>20558226979</v>
      </c>
      <c r="W2333" s="25" t="s">
        <v>1345</v>
      </c>
      <c r="X2333" s="25" t="s">
        <v>3624</v>
      </c>
      <c r="Y2333" s="25"/>
      <c r="Z2333" s="75"/>
      <c r="AA2333" s="3" t="str">
        <f>IF(BCP_Soles[[#This Row],[fecha]]&gt;0,TEXT(BCP_Soles[[#This Row],[fecha]],"mmmm"),0)</f>
        <v>Junio</v>
      </c>
    </row>
    <row r="2334" spans="1:27" ht="24" x14ac:dyDescent="0.3">
      <c r="A2334" s="2">
        <f>IF(BCP_Soles[[#This Row],[tipo_registro]]="R",COUNTIFS($C$1:$C2333,"R")+1,A2333)</f>
        <v>1729</v>
      </c>
      <c r="B2334" s="19" t="str">
        <f t="shared" si="191"/>
        <v>B-BCP - Soles</v>
      </c>
      <c r="C2334" s="3" t="s">
        <v>1330</v>
      </c>
      <c r="D2334" s="14">
        <v>45838</v>
      </c>
      <c r="E2334" s="5" t="s">
        <v>1696</v>
      </c>
      <c r="F2334" s="5" t="s">
        <v>1303</v>
      </c>
      <c r="G2334" s="6" t="s">
        <v>425</v>
      </c>
      <c r="H2334" s="6" t="s">
        <v>119</v>
      </c>
      <c r="I2334" s="6">
        <v>1</v>
      </c>
      <c r="J2334" s="6">
        <v>4551</v>
      </c>
      <c r="K2334" s="7" t="s">
        <v>1356</v>
      </c>
      <c r="L2334" s="8">
        <v>1690298</v>
      </c>
      <c r="M2334" s="8" t="str">
        <f t="shared" si="192"/>
        <v>PEN</v>
      </c>
      <c r="N2334" s="13"/>
      <c r="O2334" s="13">
        <v>320</v>
      </c>
      <c r="P2334" s="3">
        <f t="shared" si="193"/>
        <v>320</v>
      </c>
      <c r="Q2334" s="3">
        <f t="shared" si="194"/>
        <v>0</v>
      </c>
      <c r="R2334" s="3">
        <f t="shared" si="190"/>
        <v>77812.150000000023</v>
      </c>
      <c r="S2334" s="24" t="s">
        <v>1334</v>
      </c>
      <c r="T2334" s="24" t="s">
        <v>1334</v>
      </c>
      <c r="U2334" s="53"/>
      <c r="V2334" s="25">
        <f>IFERROR(VLOOKUP(BCP_Soles[[#This Row],[destinatario]],CHOOSE({1,2},Clientes_Proveedores[Razon Social],Clientes_Proveedores[Ruc / Dni]),2,0),"")</f>
        <v>20558226979</v>
      </c>
      <c r="W2334" s="25"/>
      <c r="X2334" s="25" t="s">
        <v>3625</v>
      </c>
      <c r="Y2334" s="25"/>
      <c r="Z2334" s="75"/>
      <c r="AA2334" s="3" t="str">
        <f>IF(BCP_Soles[[#This Row],[fecha]]&gt;0,TEXT(BCP_Soles[[#This Row],[fecha]],"mmmm"),0)</f>
        <v>Junio</v>
      </c>
    </row>
    <row r="2335" spans="1:27" x14ac:dyDescent="0.3">
      <c r="A2335" s="2">
        <f>IF(BCP_Soles[[#This Row],[tipo_registro]]="R",COUNTIFS($C$1:$C2334,"R")+1,A2334)</f>
        <v>1730</v>
      </c>
      <c r="B2335" s="19" t="str">
        <f t="shared" si="191"/>
        <v>B-BCP - Soles</v>
      </c>
      <c r="C2335" s="3" t="s">
        <v>1330</v>
      </c>
      <c r="D2335" s="14">
        <v>45838</v>
      </c>
      <c r="E2335" s="5"/>
      <c r="F2335" s="5" t="s">
        <v>1303</v>
      </c>
      <c r="G2335" s="6" t="s">
        <v>425</v>
      </c>
      <c r="H2335" s="6"/>
      <c r="I2335" s="6"/>
      <c r="J2335" s="6"/>
      <c r="K2335" s="7" t="s">
        <v>3626</v>
      </c>
      <c r="L2335" s="8">
        <v>4193826</v>
      </c>
      <c r="M2335" s="8" t="str">
        <f t="shared" si="192"/>
        <v>PEN</v>
      </c>
      <c r="N2335" s="13"/>
      <c r="O2335" s="13">
        <v>4704.87</v>
      </c>
      <c r="P2335" s="3">
        <f t="shared" si="193"/>
        <v>4704.87</v>
      </c>
      <c r="Q2335" s="3">
        <f t="shared" si="194"/>
        <v>0</v>
      </c>
      <c r="R2335" s="3">
        <f t="shared" si="190"/>
        <v>82517.020000000019</v>
      </c>
      <c r="S2335" s="24"/>
      <c r="T2335" s="24"/>
      <c r="U2335" s="53"/>
      <c r="V2335" s="25">
        <f>IFERROR(VLOOKUP(BCP_Soles[[#This Row],[destinatario]],CHOOSE({1,2},Clientes_Proveedores[Razon Social],Clientes_Proveedores[Ruc / Dni]),2,0),"")</f>
        <v>20558226979</v>
      </c>
      <c r="W2335" s="25"/>
      <c r="X2335" s="25"/>
      <c r="Y2335" s="25"/>
      <c r="Z2335" s="75"/>
      <c r="AA2335" s="3" t="str">
        <f>IF(BCP_Soles[[#This Row],[fecha]]&gt;0,TEXT(BCP_Soles[[#This Row],[fecha]],"mmmm"),0)</f>
        <v>Junio</v>
      </c>
    </row>
    <row r="2336" spans="1:27" x14ac:dyDescent="0.3">
      <c r="A2336" s="2">
        <f>IF(BCP_Soles[[#This Row],[tipo_registro]]="R",COUNTIFS($C$1:$C2335,"R")+1,A2335)</f>
        <v>1731</v>
      </c>
      <c r="B2336" s="19" t="str">
        <f t="shared" si="191"/>
        <v>B-BCP - Soles</v>
      </c>
      <c r="C2336" s="3" t="s">
        <v>1330</v>
      </c>
      <c r="D2336" s="14">
        <v>45838</v>
      </c>
      <c r="E2336" s="5" t="s">
        <v>1331</v>
      </c>
      <c r="F2336" s="5" t="s">
        <v>1336</v>
      </c>
      <c r="G2336" s="6"/>
      <c r="H2336" s="6"/>
      <c r="I2336" s="6"/>
      <c r="J2336" s="6"/>
      <c r="K2336" s="7" t="s">
        <v>3627</v>
      </c>
      <c r="L2336" s="8">
        <v>4212332</v>
      </c>
      <c r="M2336" s="8" t="str">
        <f t="shared" si="192"/>
        <v>PEN</v>
      </c>
      <c r="N2336" s="13"/>
      <c r="O2336" s="13">
        <v>4704.87</v>
      </c>
      <c r="P2336" s="3">
        <f t="shared" si="193"/>
        <v>0</v>
      </c>
      <c r="Q2336" s="3">
        <f t="shared" si="194"/>
        <v>4704.87</v>
      </c>
      <c r="R2336" s="3">
        <f t="shared" si="190"/>
        <v>77812.150000000023</v>
      </c>
      <c r="S2336" s="24"/>
      <c r="T2336" s="24"/>
      <c r="U2336" s="53"/>
      <c r="V2336" s="25" t="str">
        <f>IFERROR(VLOOKUP(BCP_Soles[[#This Row],[destinatario]],CHOOSE({1,2},Clientes_Proveedores[Razon Social],Clientes_Proveedores[Ruc / Dni]),2,0),"")</f>
        <v/>
      </c>
      <c r="W2336" s="25"/>
      <c r="X2336" s="25"/>
      <c r="Y2336" s="25"/>
      <c r="Z2336" s="75"/>
      <c r="AA2336" s="3" t="str">
        <f>IF(BCP_Soles[[#This Row],[fecha]]&gt;0,TEXT(BCP_Soles[[#This Row],[fecha]],"mmmm"),0)</f>
        <v>Junio</v>
      </c>
    </row>
    <row r="2337" spans="1:27" ht="36" x14ac:dyDescent="0.3">
      <c r="A2337" s="2">
        <f>IF(BCP_Soles[[#This Row],[tipo_registro]]="R",COUNTIFS($C$1:$C2336,"R")+1,A2336)</f>
        <v>1732</v>
      </c>
      <c r="B2337" s="19" t="str">
        <f t="shared" si="191"/>
        <v>B-BCP - Soles</v>
      </c>
      <c r="C2337" s="3" t="s">
        <v>1330</v>
      </c>
      <c r="D2337" s="14">
        <v>45838</v>
      </c>
      <c r="E2337" s="5" t="s">
        <v>1331</v>
      </c>
      <c r="F2337" s="5" t="s">
        <v>1336</v>
      </c>
      <c r="G2337" s="6" t="s">
        <v>658</v>
      </c>
      <c r="H2337" s="6" t="s">
        <v>68</v>
      </c>
      <c r="I2337" s="6" t="s">
        <v>1376</v>
      </c>
      <c r="J2337" s="6">
        <v>45</v>
      </c>
      <c r="K2337" s="7" t="s">
        <v>3628</v>
      </c>
      <c r="L2337" s="8">
        <v>1215598</v>
      </c>
      <c r="M2337" s="8" t="str">
        <f t="shared" si="192"/>
        <v>PEN</v>
      </c>
      <c r="N2337" s="13"/>
      <c r="O2337" s="13">
        <v>472</v>
      </c>
      <c r="P2337" s="3">
        <f t="shared" si="193"/>
        <v>0</v>
      </c>
      <c r="Q2337" s="3">
        <f t="shared" si="194"/>
        <v>472</v>
      </c>
      <c r="R2337" s="3">
        <f t="shared" si="190"/>
        <v>77340.150000000023</v>
      </c>
      <c r="S2337" s="24" t="s">
        <v>1334</v>
      </c>
      <c r="T2337" s="24" t="s">
        <v>1334</v>
      </c>
      <c r="U2337" s="53"/>
      <c r="V2337" s="25">
        <f>IFERROR(VLOOKUP(BCP_Soles[[#This Row],[destinatario]],CHOOSE({1,2},Clientes_Proveedores[Razon Social],Clientes_Proveedores[Ruc / Dni]),2,0),"")</f>
        <v>15609125303</v>
      </c>
      <c r="W2337" s="25" t="s">
        <v>658</v>
      </c>
      <c r="X2337" s="25" t="s">
        <v>3629</v>
      </c>
      <c r="Y2337" s="25"/>
      <c r="Z2337" s="75"/>
      <c r="AA2337" s="3" t="str">
        <f>IF(BCP_Soles[[#This Row],[fecha]]&gt;0,TEXT(BCP_Soles[[#This Row],[fecha]],"mmmm"),0)</f>
        <v>Junio</v>
      </c>
    </row>
    <row r="2338" spans="1:27" ht="24" x14ac:dyDescent="0.3">
      <c r="A2338" s="2">
        <f>IF(BCP_Soles[[#This Row],[tipo_registro]]="R",COUNTIFS($C$1:$C2337,"R")+1,A2337)</f>
        <v>1733</v>
      </c>
      <c r="B2338" s="19" t="str">
        <f t="shared" si="191"/>
        <v>B-BCP - Soles</v>
      </c>
      <c r="C2338" s="3" t="s">
        <v>1330</v>
      </c>
      <c r="D2338" s="14">
        <v>45838</v>
      </c>
      <c r="E2338" s="5" t="s">
        <v>1331</v>
      </c>
      <c r="F2338" s="5" t="s">
        <v>1336</v>
      </c>
      <c r="G2338" s="6" t="s">
        <v>658</v>
      </c>
      <c r="H2338" s="6" t="s">
        <v>68</v>
      </c>
      <c r="I2338" s="6" t="s">
        <v>1376</v>
      </c>
      <c r="J2338" s="6">
        <v>44</v>
      </c>
      <c r="K2338" s="7" t="s">
        <v>3630</v>
      </c>
      <c r="L2338" s="8">
        <v>1212687</v>
      </c>
      <c r="M2338" s="8" t="str">
        <f t="shared" si="192"/>
        <v>PEN</v>
      </c>
      <c r="N2338" s="13"/>
      <c r="O2338" s="13">
        <v>550.01</v>
      </c>
      <c r="P2338" s="3">
        <f t="shared" si="193"/>
        <v>0</v>
      </c>
      <c r="Q2338" s="3">
        <f t="shared" si="194"/>
        <v>550.01</v>
      </c>
      <c r="R2338" s="3">
        <f t="shared" si="190"/>
        <v>76790.140000000029</v>
      </c>
      <c r="S2338" s="24" t="s">
        <v>1334</v>
      </c>
      <c r="T2338" s="24" t="s">
        <v>1334</v>
      </c>
      <c r="U2338" s="53"/>
      <c r="V2338" s="25">
        <f>IFERROR(VLOOKUP(BCP_Soles[[#This Row],[destinatario]],CHOOSE({1,2},Clientes_Proveedores[Razon Social],Clientes_Proveedores[Ruc / Dni]),2,0),"")</f>
        <v>15609125303</v>
      </c>
      <c r="W2338" s="25" t="s">
        <v>658</v>
      </c>
      <c r="X2338" s="25" t="s">
        <v>2597</v>
      </c>
      <c r="Y2338" s="25"/>
      <c r="Z2338" s="75"/>
      <c r="AA2338" s="3" t="str">
        <f>IF(BCP_Soles[[#This Row],[fecha]]&gt;0,TEXT(BCP_Soles[[#This Row],[fecha]],"mmmm"),0)</f>
        <v>Junio</v>
      </c>
    </row>
    <row r="2339" spans="1:27" ht="24" x14ac:dyDescent="0.3">
      <c r="A2339" s="2">
        <f>IF(BCP_Soles[[#This Row],[tipo_registro]]="R",COUNTIFS($C$1:$C2338,"R")+1,A2338)</f>
        <v>1734</v>
      </c>
      <c r="B2339" s="19" t="str">
        <f t="shared" si="191"/>
        <v>B-BCP - Soles</v>
      </c>
      <c r="C2339" s="3" t="s">
        <v>1330</v>
      </c>
      <c r="D2339" s="14">
        <v>45838</v>
      </c>
      <c r="E2339" s="5" t="s">
        <v>1331</v>
      </c>
      <c r="F2339" s="5" t="s">
        <v>1336</v>
      </c>
      <c r="G2339" s="6" t="s">
        <v>781</v>
      </c>
      <c r="H2339" s="6" t="s">
        <v>68</v>
      </c>
      <c r="I2339" s="6" t="s">
        <v>1374</v>
      </c>
      <c r="J2339" s="6">
        <v>4183</v>
      </c>
      <c r="K2339" s="7" t="s">
        <v>3631</v>
      </c>
      <c r="L2339" s="8">
        <v>1213176</v>
      </c>
      <c r="M2339" s="8" t="str">
        <f t="shared" si="192"/>
        <v>PEN</v>
      </c>
      <c r="N2339" s="13"/>
      <c r="O2339" s="13">
        <v>280</v>
      </c>
      <c r="P2339" s="3">
        <f t="shared" si="193"/>
        <v>0</v>
      </c>
      <c r="Q2339" s="3">
        <f t="shared" si="194"/>
        <v>280</v>
      </c>
      <c r="R2339" s="3">
        <f t="shared" si="190"/>
        <v>76510.140000000029</v>
      </c>
      <c r="S2339" s="24" t="s">
        <v>1334</v>
      </c>
      <c r="T2339" s="24" t="s">
        <v>1334</v>
      </c>
      <c r="U2339" s="53"/>
      <c r="V2339" s="25">
        <f>IFERROR(VLOOKUP(BCP_Soles[[#This Row],[destinatario]],CHOOSE({1,2},Clientes_Proveedores[Razon Social],Clientes_Proveedores[Ruc / Dni]),2,0),"")</f>
        <v>20327998413</v>
      </c>
      <c r="W2339" s="25" t="s">
        <v>781</v>
      </c>
      <c r="X2339" s="25"/>
      <c r="Y2339" s="25"/>
      <c r="Z2339" s="75"/>
      <c r="AA2339" s="3" t="str">
        <f>IF(BCP_Soles[[#This Row],[fecha]]&gt;0,TEXT(BCP_Soles[[#This Row],[fecha]],"mmmm"),0)</f>
        <v>Junio</v>
      </c>
    </row>
    <row r="2340" spans="1:27" x14ac:dyDescent="0.3">
      <c r="A2340" s="2">
        <f>IF(BCP_Soles[[#This Row],[tipo_registro]]="R",COUNTIFS($C$1:$C2339,"R")+1,A2339)</f>
        <v>1735</v>
      </c>
      <c r="B2340" s="19" t="str">
        <f t="shared" si="191"/>
        <v>B-BCP - Soles</v>
      </c>
      <c r="C2340" s="3" t="s">
        <v>1330</v>
      </c>
      <c r="D2340" s="14">
        <v>45838</v>
      </c>
      <c r="E2340" s="5" t="s">
        <v>1335</v>
      </c>
      <c r="F2340" s="5" t="s">
        <v>1336</v>
      </c>
      <c r="G2340" s="6"/>
      <c r="H2340" s="6"/>
      <c r="I2340" s="6"/>
      <c r="J2340" s="6"/>
      <c r="K2340" s="7" t="s">
        <v>3160</v>
      </c>
      <c r="L2340" s="8"/>
      <c r="M2340" s="8" t="str">
        <f t="shared" si="192"/>
        <v>PEN</v>
      </c>
      <c r="N2340" s="13"/>
      <c r="O2340" s="13">
        <v>1.4</v>
      </c>
      <c r="P2340" s="3">
        <f t="shared" si="193"/>
        <v>0</v>
      </c>
      <c r="Q2340" s="3">
        <f t="shared" si="194"/>
        <v>1.4</v>
      </c>
      <c r="R2340" s="3">
        <f t="shared" si="190"/>
        <v>76508.740000000034</v>
      </c>
      <c r="S2340" s="24" t="s">
        <v>1334</v>
      </c>
      <c r="T2340" s="24" t="s">
        <v>1334</v>
      </c>
      <c r="U2340" s="55"/>
      <c r="V2340" s="25" t="str">
        <f>IFERROR(VLOOKUP(BCP_Soles[[#This Row],[destinatario]],CHOOSE({1,2},Clientes_Proveedores[Razon Social],Clientes_Proveedores[Ruc / Dni]),2,0),"")</f>
        <v/>
      </c>
      <c r="W2340" s="25"/>
      <c r="X2340" s="25"/>
      <c r="Y2340" s="25"/>
      <c r="Z2340" s="75"/>
      <c r="AA2340" s="3" t="str">
        <f>IF(BCP_Soles[[#This Row],[fecha]]&gt;0,TEXT(BCP_Soles[[#This Row],[fecha]],"mmmm"),0)</f>
        <v>Junio</v>
      </c>
    </row>
    <row r="2341" spans="1:27" ht="24" x14ac:dyDescent="0.3">
      <c r="A2341" s="2">
        <f>IF(BCP_Soles[[#This Row],[tipo_registro]]="R",COUNTIFS($C$1:$C2340,"R")+1,A2340)</f>
        <v>1736</v>
      </c>
      <c r="B2341" s="19" t="str">
        <f t="shared" si="191"/>
        <v>B-BCP - Soles</v>
      </c>
      <c r="C2341" s="3" t="s">
        <v>1330</v>
      </c>
      <c r="D2341" s="14">
        <v>45838</v>
      </c>
      <c r="E2341" s="5" t="s">
        <v>1335</v>
      </c>
      <c r="F2341" s="5" t="s">
        <v>1336</v>
      </c>
      <c r="G2341" s="6" t="s">
        <v>1060</v>
      </c>
      <c r="H2341" s="6" t="s">
        <v>68</v>
      </c>
      <c r="I2341" s="6" t="s">
        <v>2081</v>
      </c>
      <c r="J2341" s="6">
        <v>15662739</v>
      </c>
      <c r="K2341" s="7" t="s">
        <v>1758</v>
      </c>
      <c r="L2341" s="8">
        <v>974303</v>
      </c>
      <c r="M2341" s="8" t="str">
        <f t="shared" si="192"/>
        <v>PEN</v>
      </c>
      <c r="N2341" s="13"/>
      <c r="O2341" s="13">
        <v>5.5</v>
      </c>
      <c r="P2341" s="3">
        <f t="shared" si="193"/>
        <v>0</v>
      </c>
      <c r="Q2341" s="3">
        <f t="shared" si="194"/>
        <v>5.5</v>
      </c>
      <c r="R2341" s="3">
        <f t="shared" si="190"/>
        <v>76503.240000000034</v>
      </c>
      <c r="S2341" s="24" t="s">
        <v>1334</v>
      </c>
      <c r="T2341" s="24" t="s">
        <v>1334</v>
      </c>
      <c r="U2341" s="55"/>
      <c r="V2341" s="25">
        <f>IFERROR(VLOOKUP(BCP_Soles[[#This Row],[destinatario]],CHOOSE({1,2},Clientes_Proveedores[Razon Social],Clientes_Proveedores[Ruc / Dni]),2,0),"")</f>
        <v>20100047218</v>
      </c>
      <c r="W2341" s="25"/>
      <c r="X2341" s="25"/>
      <c r="Y2341" s="25"/>
      <c r="Z2341" s="75"/>
      <c r="AA2341" s="3" t="str">
        <f>IF(BCP_Soles[[#This Row],[fecha]]&gt;0,TEXT(BCP_Soles[[#This Row],[fecha]],"mmmm"),0)</f>
        <v>Junio</v>
      </c>
    </row>
    <row r="2342" spans="1:27" ht="24" x14ac:dyDescent="0.3">
      <c r="A2342" s="2">
        <f>IF(BCP_Soles[[#This Row],[tipo_registro]]="R",COUNTIFS($C$1:$C2341,"R")+1,A2341)</f>
        <v>1737</v>
      </c>
      <c r="B2342" s="19" t="str">
        <f t="shared" si="191"/>
        <v>B-BCP - Soles</v>
      </c>
      <c r="C2342" s="3" t="s">
        <v>1330</v>
      </c>
      <c r="D2342" s="14">
        <v>45838</v>
      </c>
      <c r="E2342" s="5" t="s">
        <v>1335</v>
      </c>
      <c r="F2342" s="5" t="s">
        <v>1336</v>
      </c>
      <c r="G2342" s="6" t="s">
        <v>1060</v>
      </c>
      <c r="H2342" s="6" t="s">
        <v>68</v>
      </c>
      <c r="I2342" s="6" t="s">
        <v>2081</v>
      </c>
      <c r="J2342" s="6">
        <v>15662739</v>
      </c>
      <c r="K2342" s="7" t="s">
        <v>1756</v>
      </c>
      <c r="L2342" s="8"/>
      <c r="M2342" s="8" t="str">
        <f t="shared" si="192"/>
        <v>PEN</v>
      </c>
      <c r="N2342" s="13"/>
      <c r="O2342" s="13">
        <v>35</v>
      </c>
      <c r="P2342" s="3">
        <f t="shared" si="193"/>
        <v>0</v>
      </c>
      <c r="Q2342" s="3">
        <f t="shared" si="194"/>
        <v>35</v>
      </c>
      <c r="R2342" s="3">
        <f t="shared" si="190"/>
        <v>76468.240000000034</v>
      </c>
      <c r="S2342" s="24" t="s">
        <v>1334</v>
      </c>
      <c r="T2342" s="24" t="s">
        <v>1334</v>
      </c>
      <c r="U2342" s="55"/>
      <c r="V2342" s="25">
        <f>IFERROR(VLOOKUP(BCP_Soles[[#This Row],[destinatario]],CHOOSE({1,2},Clientes_Proveedores[Razon Social],Clientes_Proveedores[Ruc / Dni]),2,0),"")</f>
        <v>20100047218</v>
      </c>
      <c r="W2342" s="25"/>
      <c r="X2342" s="25"/>
      <c r="Y2342" s="25"/>
      <c r="Z2342" s="75"/>
      <c r="AA2342" s="3" t="str">
        <f>IF(BCP_Soles[[#This Row],[fecha]]&gt;0,TEXT(BCP_Soles[[#This Row],[fecha]],"mmmm"),0)</f>
        <v>Junio</v>
      </c>
    </row>
    <row r="2343" spans="1:27" ht="15" thickBot="1" x14ac:dyDescent="0.35">
      <c r="A2343" s="82">
        <f>IF(BCP_Soles[[#This Row],[tipo_registro]]="R",COUNTIFS($C$1:$C2342,"R")+1,A2342)</f>
        <v>1738</v>
      </c>
      <c r="B2343" s="83" t="str">
        <f t="shared" si="191"/>
        <v>B-BCP - Soles</v>
      </c>
      <c r="C2343" s="84" t="s">
        <v>1330</v>
      </c>
      <c r="D2343" s="85">
        <v>45838</v>
      </c>
      <c r="E2343" s="86" t="s">
        <v>1331</v>
      </c>
      <c r="F2343" s="86" t="s">
        <v>1336</v>
      </c>
      <c r="G2343" s="87" t="s">
        <v>696</v>
      </c>
      <c r="H2343" s="87"/>
      <c r="I2343" s="87"/>
      <c r="J2343" s="87"/>
      <c r="K2343" s="88" t="s">
        <v>3632</v>
      </c>
      <c r="L2343" s="89">
        <v>4193774</v>
      </c>
      <c r="M2343" s="89" t="str">
        <f t="shared" si="192"/>
        <v>PEN</v>
      </c>
      <c r="N2343" s="90"/>
      <c r="O2343" s="90">
        <v>76041.8</v>
      </c>
      <c r="P2343" s="84">
        <f t="shared" si="193"/>
        <v>0</v>
      </c>
      <c r="Q2343" s="84">
        <f t="shared" si="194"/>
        <v>76041.8</v>
      </c>
      <c r="R2343" s="84">
        <f t="shared" si="190"/>
        <v>426.44000000003143</v>
      </c>
      <c r="S2343" s="91"/>
      <c r="T2343" s="91"/>
      <c r="U2343" s="92"/>
      <c r="V2343" s="93">
        <f>IFERROR(VLOOKUP(BCP_Soles[[#This Row],[destinatario]],CHOOSE({1,2},Clientes_Proveedores[Razon Social],Clientes_Proveedores[Ruc / Dni]),2,0),"")</f>
        <v>0</v>
      </c>
      <c r="W2343" s="93"/>
      <c r="X2343" s="93"/>
      <c r="Y2343" s="93"/>
      <c r="Z2343" s="94"/>
      <c r="AA2343" s="84" t="str">
        <f>IF(BCP_Soles[[#This Row],[fecha]]&gt;0,TEXT(BCP_Soles[[#This Row],[fecha]],"mmmm"),0)</f>
        <v>Junio</v>
      </c>
    </row>
    <row r="2344" spans="1:27" ht="24" x14ac:dyDescent="0.3">
      <c r="A2344" s="2">
        <f>IF(BCP_Soles[[#This Row],[tipo_registro]]="R",COUNTIFS($C$1:$C2343,"R")+1,A2343)</f>
        <v>1739</v>
      </c>
      <c r="B2344" s="19" t="str">
        <f t="shared" si="191"/>
        <v>B-BCP - Soles</v>
      </c>
      <c r="C2344" s="3" t="s">
        <v>1330</v>
      </c>
      <c r="D2344" s="14">
        <v>45839</v>
      </c>
      <c r="E2344" s="5" t="s">
        <v>3089</v>
      </c>
      <c r="F2344" s="5" t="s">
        <v>1303</v>
      </c>
      <c r="G2344" s="6" t="s">
        <v>425</v>
      </c>
      <c r="H2344" s="6"/>
      <c r="I2344" s="6"/>
      <c r="J2344" s="6"/>
      <c r="K2344" s="7" t="s">
        <v>3633</v>
      </c>
      <c r="L2344" s="8">
        <v>690377</v>
      </c>
      <c r="M2344" s="8" t="str">
        <f t="shared" si="192"/>
        <v>PEN</v>
      </c>
      <c r="N2344" s="13"/>
      <c r="O2344" s="13">
        <v>40000</v>
      </c>
      <c r="P2344" s="3">
        <f t="shared" si="193"/>
        <v>40000</v>
      </c>
      <c r="Q2344" s="3">
        <f t="shared" si="194"/>
        <v>0</v>
      </c>
      <c r="R2344" s="3">
        <f t="shared" si="190"/>
        <v>40426.440000000031</v>
      </c>
      <c r="S2344" s="24" t="s">
        <v>1334</v>
      </c>
      <c r="T2344" s="24" t="s">
        <v>1334</v>
      </c>
      <c r="U2344" s="55"/>
      <c r="V2344" s="25">
        <f>IFERROR(VLOOKUP(BCP_Soles[[#This Row],[destinatario]],CHOOSE({1,2},Clientes_Proveedores[Razon Social],Clientes_Proveedores[Ruc / Dni]),2,0),"")</f>
        <v>20558226979</v>
      </c>
      <c r="W2344" s="25" t="s">
        <v>1345</v>
      </c>
      <c r="X2344" s="25"/>
      <c r="Y2344" s="25"/>
      <c r="Z2344" s="75"/>
      <c r="AA2344" s="3" t="str">
        <f>IF(BCP_Soles[[#This Row],[fecha]]&gt;0,TEXT(BCP_Soles[[#This Row],[fecha]],"mmmm"),0)</f>
        <v>Julio</v>
      </c>
    </row>
    <row r="2345" spans="1:27" x14ac:dyDescent="0.3">
      <c r="A2345" s="2">
        <f>IF(BCP_Soles[[#This Row],[tipo_registro]]="R",COUNTIFS($C$1:$C2344,"R")+1,A2344)</f>
        <v>1740</v>
      </c>
      <c r="B2345" s="19" t="str">
        <f t="shared" si="191"/>
        <v>B-BCP - Soles</v>
      </c>
      <c r="C2345" s="3" t="s">
        <v>1330</v>
      </c>
      <c r="D2345" s="14">
        <v>45839</v>
      </c>
      <c r="E2345" s="5" t="s">
        <v>3634</v>
      </c>
      <c r="F2345" s="5" t="s">
        <v>1303</v>
      </c>
      <c r="G2345" s="6" t="s">
        <v>425</v>
      </c>
      <c r="H2345" s="6"/>
      <c r="I2345" s="6"/>
      <c r="J2345" s="6"/>
      <c r="K2345" s="7" t="s">
        <v>3635</v>
      </c>
      <c r="L2345" s="8">
        <v>3905783</v>
      </c>
      <c r="M2345" s="8" t="str">
        <f t="shared" si="192"/>
        <v>PEN</v>
      </c>
      <c r="N2345" s="13"/>
      <c r="O2345" s="13">
        <v>100</v>
      </c>
      <c r="P2345" s="3">
        <f t="shared" si="193"/>
        <v>100</v>
      </c>
      <c r="Q2345" s="3">
        <f t="shared" si="194"/>
        <v>0</v>
      </c>
      <c r="R2345" s="3">
        <f t="shared" si="190"/>
        <v>40526.440000000031</v>
      </c>
      <c r="S2345" s="24" t="s">
        <v>1334</v>
      </c>
      <c r="T2345" s="24" t="s">
        <v>1334</v>
      </c>
      <c r="U2345" s="55"/>
      <c r="V2345" s="25">
        <f>IFERROR(VLOOKUP(BCP_Soles[[#This Row],[destinatario]],CHOOSE({1,2},Clientes_Proveedores[Razon Social],Clientes_Proveedores[Ruc / Dni]),2,0),"")</f>
        <v>20558226979</v>
      </c>
      <c r="W2345" s="25" t="s">
        <v>1345</v>
      </c>
      <c r="X2345" s="25"/>
      <c r="Y2345" s="25"/>
      <c r="Z2345" s="75"/>
      <c r="AA2345" s="3" t="str">
        <f>IF(BCP_Soles[[#This Row],[fecha]]&gt;0,TEXT(BCP_Soles[[#This Row],[fecha]],"mmmm"),0)</f>
        <v>Julio</v>
      </c>
    </row>
    <row r="2346" spans="1:27" ht="24" x14ac:dyDescent="0.3">
      <c r="A2346" s="2">
        <f>IF(BCP_Soles[[#This Row],[tipo_registro]]="R",COUNTIFS($C$1:$C2345,"R")+1,A2345)</f>
        <v>1741</v>
      </c>
      <c r="B2346" s="19" t="str">
        <f t="shared" si="191"/>
        <v>B-BCP - Soles</v>
      </c>
      <c r="C2346" s="3" t="s">
        <v>1330</v>
      </c>
      <c r="D2346" s="14">
        <v>45839</v>
      </c>
      <c r="E2346" s="5" t="s">
        <v>1331</v>
      </c>
      <c r="F2346" s="5" t="s">
        <v>1336</v>
      </c>
      <c r="G2346" s="6" t="s">
        <v>759</v>
      </c>
      <c r="H2346" s="6" t="s">
        <v>72</v>
      </c>
      <c r="I2346" s="6" t="s">
        <v>1376</v>
      </c>
      <c r="J2346" s="6">
        <v>22</v>
      </c>
      <c r="K2346" s="7" t="s">
        <v>3636</v>
      </c>
      <c r="L2346" s="8">
        <v>1220116</v>
      </c>
      <c r="M2346" s="8" t="str">
        <f t="shared" si="192"/>
        <v>PEN</v>
      </c>
      <c r="N2346" s="13"/>
      <c r="O2346" s="13">
        <v>1250</v>
      </c>
      <c r="P2346" s="3">
        <f t="shared" si="193"/>
        <v>0</v>
      </c>
      <c r="Q2346" s="3">
        <f t="shared" si="194"/>
        <v>1250</v>
      </c>
      <c r="R2346" s="3">
        <f t="shared" si="190"/>
        <v>39276.440000000031</v>
      </c>
      <c r="S2346" s="24" t="s">
        <v>1334</v>
      </c>
      <c r="T2346" s="24" t="s">
        <v>1334</v>
      </c>
      <c r="U2346" s="80" t="s">
        <v>3637</v>
      </c>
      <c r="V2346" s="25">
        <f>IFERROR(VLOOKUP(BCP_Soles[[#This Row],[destinatario]],CHOOSE({1,2},Clientes_Proveedores[Razon Social],Clientes_Proveedores[Ruc / Dni]),2,0),"")</f>
        <v>10108661343</v>
      </c>
      <c r="W2346" s="25" t="s">
        <v>2157</v>
      </c>
      <c r="X2346" s="25" t="s">
        <v>3638</v>
      </c>
      <c r="Y2346" s="25"/>
      <c r="Z2346" s="75"/>
      <c r="AA2346" s="3" t="str">
        <f>IF(BCP_Soles[[#This Row],[fecha]]&gt;0,TEXT(BCP_Soles[[#This Row],[fecha]],"mmmm"),0)</f>
        <v>Julio</v>
      </c>
    </row>
    <row r="2347" spans="1:27" x14ac:dyDescent="0.3">
      <c r="A2347" s="2">
        <f>IF(BCP_Soles[[#This Row],[tipo_registro]]="R",COUNTIFS($C$1:$C2346,"R")+1,A2346)</f>
        <v>1742</v>
      </c>
      <c r="B2347" s="19" t="str">
        <f t="shared" si="191"/>
        <v>B-BCP - Soles</v>
      </c>
      <c r="C2347" s="3" t="s">
        <v>1330</v>
      </c>
      <c r="D2347" s="14">
        <v>45839</v>
      </c>
      <c r="E2347" s="5" t="s">
        <v>1331</v>
      </c>
      <c r="F2347" s="5" t="s">
        <v>1336</v>
      </c>
      <c r="G2347" s="6" t="s">
        <v>196</v>
      </c>
      <c r="H2347" s="6" t="s">
        <v>68</v>
      </c>
      <c r="I2347" s="6" t="s">
        <v>2226</v>
      </c>
      <c r="J2347" s="6">
        <v>6528</v>
      </c>
      <c r="K2347" s="7" t="s">
        <v>2227</v>
      </c>
      <c r="L2347" s="8">
        <v>220605</v>
      </c>
      <c r="M2347" s="8" t="str">
        <f t="shared" si="192"/>
        <v>PEN</v>
      </c>
      <c r="N2347" s="13"/>
      <c r="O2347" s="13">
        <v>100</v>
      </c>
      <c r="P2347" s="3">
        <f t="shared" si="193"/>
        <v>0</v>
      </c>
      <c r="Q2347" s="3">
        <f t="shared" si="194"/>
        <v>100</v>
      </c>
      <c r="R2347" s="3">
        <f t="shared" si="190"/>
        <v>39176.440000000031</v>
      </c>
      <c r="S2347" s="24" t="s">
        <v>1334</v>
      </c>
      <c r="T2347" s="24" t="s">
        <v>1334</v>
      </c>
      <c r="U2347" s="80" t="s">
        <v>3639</v>
      </c>
      <c r="V2347" s="25">
        <f>IFERROR(VLOOKUP(BCP_Soles[[#This Row],[destinatario]],CHOOSE({1,2},Clientes_Proveedores[Razon Social],Clientes_Proveedores[Ruc / Dni]),2,0),"")</f>
        <v>20100055237</v>
      </c>
      <c r="W2347" s="25" t="s">
        <v>196</v>
      </c>
      <c r="X2347" s="25" t="s">
        <v>3640</v>
      </c>
      <c r="Y2347" s="25"/>
      <c r="Z2347" s="75"/>
      <c r="AA2347" s="3" t="str">
        <f>IF(BCP_Soles[[#This Row],[fecha]]&gt;0,TEXT(BCP_Soles[[#This Row],[fecha]],"mmmm"),0)</f>
        <v>Julio</v>
      </c>
    </row>
    <row r="2348" spans="1:27" x14ac:dyDescent="0.3">
      <c r="A2348" s="2">
        <f>IF(BCP_Soles[[#This Row],[tipo_registro]]="R",COUNTIFS($C$1:$C2347,"R")+1,A2347)</f>
        <v>1743</v>
      </c>
      <c r="B2348" s="19" t="str">
        <f t="shared" si="191"/>
        <v>B-BCP - Soles</v>
      </c>
      <c r="C2348" s="3" t="s">
        <v>1330</v>
      </c>
      <c r="D2348" s="14">
        <v>45839</v>
      </c>
      <c r="E2348" s="5" t="s">
        <v>1331</v>
      </c>
      <c r="F2348" s="5" t="s">
        <v>1336</v>
      </c>
      <c r="G2348" s="6" t="s">
        <v>196</v>
      </c>
      <c r="H2348" s="6" t="s">
        <v>68</v>
      </c>
      <c r="I2348" s="6" t="s">
        <v>2226</v>
      </c>
      <c r="J2348" s="6">
        <v>6529</v>
      </c>
      <c r="K2348" s="7" t="s">
        <v>2227</v>
      </c>
      <c r="L2348" s="8">
        <v>221094</v>
      </c>
      <c r="M2348" s="8" t="str">
        <f t="shared" si="192"/>
        <v>PEN</v>
      </c>
      <c r="N2348" s="13"/>
      <c r="O2348" s="13">
        <v>14.7</v>
      </c>
      <c r="P2348" s="3">
        <f t="shared" si="193"/>
        <v>0</v>
      </c>
      <c r="Q2348" s="3">
        <f t="shared" si="194"/>
        <v>14.7</v>
      </c>
      <c r="R2348" s="3">
        <f t="shared" si="190"/>
        <v>39161.740000000034</v>
      </c>
      <c r="S2348" s="24" t="s">
        <v>1334</v>
      </c>
      <c r="T2348" s="24" t="s">
        <v>1334</v>
      </c>
      <c r="U2348" s="80" t="s">
        <v>3641</v>
      </c>
      <c r="V2348" s="25">
        <f>IFERROR(VLOOKUP(BCP_Soles[[#This Row],[destinatario]],CHOOSE({1,2},Clientes_Proveedores[Razon Social],Clientes_Proveedores[Ruc / Dni]),2,0),"")</f>
        <v>20100055237</v>
      </c>
      <c r="W2348" s="25" t="s">
        <v>196</v>
      </c>
      <c r="X2348" s="25" t="s">
        <v>3642</v>
      </c>
      <c r="Y2348" s="25"/>
      <c r="Z2348" s="75"/>
      <c r="AA2348" s="3" t="str">
        <f>IF(BCP_Soles[[#This Row],[fecha]]&gt;0,TEXT(BCP_Soles[[#This Row],[fecha]],"mmmm"),0)</f>
        <v>Julio</v>
      </c>
    </row>
    <row r="2349" spans="1:27" x14ac:dyDescent="0.3">
      <c r="A2349" s="2">
        <f>IF(BCP_Soles[[#This Row],[tipo_registro]]="R",COUNTIFS($C$1:$C2348,"R")+1,A2348)</f>
        <v>1744</v>
      </c>
      <c r="B2349" s="19" t="str">
        <f t="shared" si="191"/>
        <v>B-BCP - Soles</v>
      </c>
      <c r="C2349" s="3" t="s">
        <v>1330</v>
      </c>
      <c r="D2349" s="14">
        <v>45839</v>
      </c>
      <c r="E2349" s="5" t="s">
        <v>1331</v>
      </c>
      <c r="F2349" s="5" t="s">
        <v>1336</v>
      </c>
      <c r="G2349" s="6" t="s">
        <v>196</v>
      </c>
      <c r="H2349" s="6" t="s">
        <v>68</v>
      </c>
      <c r="I2349" s="6" t="s">
        <v>2226</v>
      </c>
      <c r="J2349" s="6">
        <v>6526</v>
      </c>
      <c r="K2349" s="7" t="s">
        <v>2227</v>
      </c>
      <c r="L2349" s="8">
        <v>220606</v>
      </c>
      <c r="M2349" s="8" t="str">
        <f t="shared" si="192"/>
        <v>PEN</v>
      </c>
      <c r="N2349" s="13"/>
      <c r="O2349" s="13">
        <v>216.88</v>
      </c>
      <c r="P2349" s="3">
        <f t="shared" si="193"/>
        <v>0</v>
      </c>
      <c r="Q2349" s="3">
        <f t="shared" si="194"/>
        <v>216.88</v>
      </c>
      <c r="R2349" s="3">
        <f t="shared" si="190"/>
        <v>38944.860000000037</v>
      </c>
      <c r="S2349" s="24" t="s">
        <v>1334</v>
      </c>
      <c r="T2349" s="24" t="s">
        <v>1334</v>
      </c>
      <c r="U2349" s="80" t="s">
        <v>3643</v>
      </c>
      <c r="V2349" s="25">
        <f>IFERROR(VLOOKUP(BCP_Soles[[#This Row],[destinatario]],CHOOSE({1,2},Clientes_Proveedores[Razon Social],Clientes_Proveedores[Ruc / Dni]),2,0),"")</f>
        <v>20100055237</v>
      </c>
      <c r="W2349" s="25" t="s">
        <v>196</v>
      </c>
      <c r="X2349" s="25" t="s">
        <v>3644</v>
      </c>
      <c r="Y2349" s="25"/>
      <c r="Z2349" s="75"/>
      <c r="AA2349" s="3" t="str">
        <f>IF(BCP_Soles[[#This Row],[fecha]]&gt;0,TEXT(BCP_Soles[[#This Row],[fecha]],"mmmm"),0)</f>
        <v>Julio</v>
      </c>
    </row>
    <row r="2350" spans="1:27" x14ac:dyDescent="0.3">
      <c r="A2350" s="2">
        <f>IF(BCP_Soles[[#This Row],[tipo_registro]]="R",COUNTIFS($C$1:$C2349,"R")+1,A2349)</f>
        <v>1745</v>
      </c>
      <c r="B2350" s="19" t="str">
        <f t="shared" si="191"/>
        <v>B-BCP - Soles</v>
      </c>
      <c r="C2350" s="3" t="s">
        <v>1330</v>
      </c>
      <c r="D2350" s="14">
        <v>45839</v>
      </c>
      <c r="E2350" s="5" t="s">
        <v>1331</v>
      </c>
      <c r="F2350" s="5" t="s">
        <v>1336</v>
      </c>
      <c r="G2350" s="6" t="s">
        <v>196</v>
      </c>
      <c r="H2350" s="6" t="s">
        <v>68</v>
      </c>
      <c r="I2350" s="6" t="s">
        <v>2226</v>
      </c>
      <c r="J2350" s="6">
        <v>6521</v>
      </c>
      <c r="K2350" s="7" t="s">
        <v>2227</v>
      </c>
      <c r="L2350" s="8">
        <v>221588</v>
      </c>
      <c r="M2350" s="8" t="str">
        <f t="shared" si="192"/>
        <v>PEN</v>
      </c>
      <c r="N2350" s="13"/>
      <c r="O2350" s="13">
        <v>733.76</v>
      </c>
      <c r="P2350" s="3">
        <f t="shared" si="193"/>
        <v>0</v>
      </c>
      <c r="Q2350" s="3">
        <f t="shared" si="194"/>
        <v>733.76</v>
      </c>
      <c r="R2350" s="3">
        <f t="shared" si="190"/>
        <v>38211.100000000035</v>
      </c>
      <c r="S2350" s="24" t="s">
        <v>1334</v>
      </c>
      <c r="T2350" s="24" t="s">
        <v>1334</v>
      </c>
      <c r="U2350" s="80" t="s">
        <v>3645</v>
      </c>
      <c r="V2350" s="25">
        <f>IFERROR(VLOOKUP(BCP_Soles[[#This Row],[destinatario]],CHOOSE({1,2},Clientes_Proveedores[Razon Social],Clientes_Proveedores[Ruc / Dni]),2,0),"")</f>
        <v>20100055237</v>
      </c>
      <c r="W2350" s="25" t="s">
        <v>196</v>
      </c>
      <c r="X2350" s="25" t="s">
        <v>3646</v>
      </c>
      <c r="Y2350" s="25"/>
      <c r="Z2350" s="75"/>
      <c r="AA2350" s="3" t="str">
        <f>IF(BCP_Soles[[#This Row],[fecha]]&gt;0,TEXT(BCP_Soles[[#This Row],[fecha]],"mmmm"),0)</f>
        <v>Julio</v>
      </c>
    </row>
    <row r="2351" spans="1:27" x14ac:dyDescent="0.3">
      <c r="A2351" s="2">
        <f>IF(BCP_Soles[[#This Row],[tipo_registro]]="R",COUNTIFS($C$1:$C2350,"R")+1,A2350)</f>
        <v>1746</v>
      </c>
      <c r="B2351" s="19" t="str">
        <f t="shared" si="191"/>
        <v>B-BCP - Soles</v>
      </c>
      <c r="C2351" s="3" t="s">
        <v>1330</v>
      </c>
      <c r="D2351" s="14">
        <v>45839</v>
      </c>
      <c r="E2351" s="5" t="s">
        <v>1331</v>
      </c>
      <c r="F2351" s="5" t="s">
        <v>1336</v>
      </c>
      <c r="G2351" s="6" t="s">
        <v>196</v>
      </c>
      <c r="H2351" s="6" t="s">
        <v>68</v>
      </c>
      <c r="I2351" s="6" t="s">
        <v>2226</v>
      </c>
      <c r="J2351" s="6">
        <v>6527</v>
      </c>
      <c r="K2351" s="7" t="s">
        <v>2227</v>
      </c>
      <c r="L2351" s="8">
        <v>223070</v>
      </c>
      <c r="M2351" s="8" t="str">
        <f t="shared" si="192"/>
        <v>PEN</v>
      </c>
      <c r="N2351" s="13"/>
      <c r="O2351" s="13">
        <v>342.56</v>
      </c>
      <c r="P2351" s="3">
        <f t="shared" si="193"/>
        <v>0</v>
      </c>
      <c r="Q2351" s="3">
        <f t="shared" si="194"/>
        <v>342.56</v>
      </c>
      <c r="R2351" s="3">
        <f t="shared" si="190"/>
        <v>37868.540000000037</v>
      </c>
      <c r="S2351" s="28" t="s">
        <v>1334</v>
      </c>
      <c r="T2351" s="24" t="s">
        <v>1334</v>
      </c>
      <c r="U2351" s="80" t="s">
        <v>3647</v>
      </c>
      <c r="V2351" s="25">
        <f>IFERROR(VLOOKUP(BCP_Soles[[#This Row],[destinatario]],CHOOSE({1,2},Clientes_Proveedores[Razon Social],Clientes_Proveedores[Ruc / Dni]),2,0),"")</f>
        <v>20100055237</v>
      </c>
      <c r="W2351" s="25" t="s">
        <v>196</v>
      </c>
      <c r="X2351" s="25" t="s">
        <v>3648</v>
      </c>
      <c r="Y2351" s="25"/>
      <c r="Z2351" s="75"/>
      <c r="AA2351" s="3" t="str">
        <f>IF(BCP_Soles[[#This Row],[fecha]]&gt;0,TEXT(BCP_Soles[[#This Row],[fecha]],"mmmm"),0)</f>
        <v>Julio</v>
      </c>
    </row>
    <row r="2352" spans="1:27" x14ac:dyDescent="0.3">
      <c r="A2352" s="2">
        <f>IF(BCP_Soles[[#This Row],[tipo_registro]]="R",COUNTIFS($C$1:$C2351,"R")+1,A2351)</f>
        <v>1747</v>
      </c>
      <c r="B2352" s="19" t="str">
        <f t="shared" si="191"/>
        <v>B-BCP - Soles</v>
      </c>
      <c r="C2352" s="3" t="s">
        <v>1330</v>
      </c>
      <c r="D2352" s="14">
        <v>45839</v>
      </c>
      <c r="E2352" s="5" t="s">
        <v>1331</v>
      </c>
      <c r="F2352" s="5" t="s">
        <v>1336</v>
      </c>
      <c r="G2352" s="6" t="s">
        <v>196</v>
      </c>
      <c r="H2352" s="6" t="s">
        <v>68</v>
      </c>
      <c r="I2352" s="6" t="s">
        <v>2226</v>
      </c>
      <c r="J2352" s="6">
        <v>6524</v>
      </c>
      <c r="K2352" s="7" t="s">
        <v>2227</v>
      </c>
      <c r="L2352" s="8">
        <v>222570</v>
      </c>
      <c r="M2352" s="8" t="str">
        <f t="shared" si="192"/>
        <v>PEN</v>
      </c>
      <c r="N2352" s="13"/>
      <c r="O2352" s="13">
        <v>520.13</v>
      </c>
      <c r="P2352" s="3">
        <f t="shared" si="193"/>
        <v>0</v>
      </c>
      <c r="Q2352" s="3">
        <f t="shared" si="194"/>
        <v>520.13</v>
      </c>
      <c r="R2352" s="3">
        <f t="shared" si="190"/>
        <v>37348.41000000004</v>
      </c>
      <c r="S2352" s="28" t="s">
        <v>1334</v>
      </c>
      <c r="T2352" s="24" t="s">
        <v>1334</v>
      </c>
      <c r="U2352" s="80" t="s">
        <v>3649</v>
      </c>
      <c r="V2352" s="25">
        <f>IFERROR(VLOOKUP(BCP_Soles[[#This Row],[destinatario]],CHOOSE({1,2},Clientes_Proveedores[Razon Social],Clientes_Proveedores[Ruc / Dni]),2,0),"")</f>
        <v>20100055237</v>
      </c>
      <c r="W2352" s="25" t="s">
        <v>196</v>
      </c>
      <c r="X2352" s="25" t="s">
        <v>3650</v>
      </c>
      <c r="Y2352" s="25"/>
      <c r="Z2352" s="75"/>
      <c r="AA2352" s="3" t="str">
        <f>IF(BCP_Soles[[#This Row],[fecha]]&gt;0,TEXT(BCP_Soles[[#This Row],[fecha]],"mmmm"),0)</f>
        <v>Julio</v>
      </c>
    </row>
    <row r="2353" spans="1:27" x14ac:dyDescent="0.3">
      <c r="A2353" s="2">
        <f>IF(BCP_Soles[[#This Row],[tipo_registro]]="R",COUNTIFS($C$1:$C2352,"R")+1,A2352)</f>
        <v>1748</v>
      </c>
      <c r="B2353" s="19" t="str">
        <f t="shared" si="191"/>
        <v>B-BCP - Soles</v>
      </c>
      <c r="C2353" s="3" t="s">
        <v>1330</v>
      </c>
      <c r="D2353" s="14">
        <v>45839</v>
      </c>
      <c r="E2353" s="5" t="s">
        <v>1331</v>
      </c>
      <c r="F2353" s="5" t="s">
        <v>1336</v>
      </c>
      <c r="G2353" s="6" t="s">
        <v>196</v>
      </c>
      <c r="H2353" s="6" t="s">
        <v>68</v>
      </c>
      <c r="I2353" s="6" t="s">
        <v>2226</v>
      </c>
      <c r="J2353" s="6">
        <v>6522</v>
      </c>
      <c r="K2353" s="7" t="s">
        <v>2227</v>
      </c>
      <c r="L2353" s="8">
        <v>220604</v>
      </c>
      <c r="M2353" s="8" t="str">
        <f t="shared" si="192"/>
        <v>PEN</v>
      </c>
      <c r="N2353" s="13"/>
      <c r="O2353" s="13">
        <v>149.22999999999999</v>
      </c>
      <c r="P2353" s="3">
        <f t="shared" si="193"/>
        <v>0</v>
      </c>
      <c r="Q2353" s="3">
        <f t="shared" si="194"/>
        <v>149.22999999999999</v>
      </c>
      <c r="R2353" s="3">
        <f t="shared" si="190"/>
        <v>37199.180000000037</v>
      </c>
      <c r="S2353" s="28" t="s">
        <v>1334</v>
      </c>
      <c r="T2353" s="24" t="s">
        <v>1334</v>
      </c>
      <c r="U2353" s="80" t="s">
        <v>3651</v>
      </c>
      <c r="V2353" s="25">
        <f>IFERROR(VLOOKUP(BCP_Soles[[#This Row],[destinatario]],CHOOSE({1,2},Clientes_Proveedores[Razon Social],Clientes_Proveedores[Ruc / Dni]),2,0),"")</f>
        <v>20100055237</v>
      </c>
      <c r="W2353" s="25" t="s">
        <v>196</v>
      </c>
      <c r="X2353" s="25" t="s">
        <v>3652</v>
      </c>
      <c r="Y2353" s="25"/>
      <c r="Z2353" s="75"/>
      <c r="AA2353" s="3" t="str">
        <f>IF(BCP_Soles[[#This Row],[fecha]]&gt;0,TEXT(BCP_Soles[[#This Row],[fecha]],"mmmm"),0)</f>
        <v>Julio</v>
      </c>
    </row>
    <row r="2354" spans="1:27" x14ac:dyDescent="0.3">
      <c r="A2354" s="2">
        <f>IF(BCP_Soles[[#This Row],[tipo_registro]]="R",COUNTIFS($C$1:$C2353,"R")+1,A2353)</f>
        <v>1749</v>
      </c>
      <c r="B2354" s="19" t="str">
        <f t="shared" si="191"/>
        <v>B-BCP - Soles</v>
      </c>
      <c r="C2354" s="3" t="s">
        <v>1330</v>
      </c>
      <c r="D2354" s="14">
        <v>45839</v>
      </c>
      <c r="E2354" s="5" t="s">
        <v>1331</v>
      </c>
      <c r="F2354" s="5" t="s">
        <v>1336</v>
      </c>
      <c r="G2354" s="6" t="s">
        <v>196</v>
      </c>
      <c r="H2354" s="6" t="s">
        <v>68</v>
      </c>
      <c r="I2354" s="6" t="s">
        <v>2226</v>
      </c>
      <c r="J2354" s="6">
        <v>6523</v>
      </c>
      <c r="K2354" s="7" t="s">
        <v>2227</v>
      </c>
      <c r="L2354" s="8">
        <v>221093</v>
      </c>
      <c r="M2354" s="8" t="str">
        <f t="shared" si="192"/>
        <v>PEN</v>
      </c>
      <c r="N2354" s="13"/>
      <c r="O2354" s="13">
        <v>53.72</v>
      </c>
      <c r="P2354" s="3">
        <f t="shared" si="193"/>
        <v>0</v>
      </c>
      <c r="Q2354" s="3">
        <f t="shared" si="194"/>
        <v>53.72</v>
      </c>
      <c r="R2354" s="3">
        <f t="shared" si="190"/>
        <v>37145.460000000036</v>
      </c>
      <c r="S2354" s="28" t="s">
        <v>1334</v>
      </c>
      <c r="T2354" s="24" t="s">
        <v>1334</v>
      </c>
      <c r="U2354" s="80" t="s">
        <v>3653</v>
      </c>
      <c r="V2354" s="25">
        <f>IFERROR(VLOOKUP(BCP_Soles[[#This Row],[destinatario]],CHOOSE({1,2},Clientes_Proveedores[Razon Social],Clientes_Proveedores[Ruc / Dni]),2,0),"")</f>
        <v>20100055237</v>
      </c>
      <c r="W2354" s="25" t="s">
        <v>196</v>
      </c>
      <c r="X2354" s="25" t="s">
        <v>3654</v>
      </c>
      <c r="Y2354" s="25"/>
      <c r="Z2354" s="75"/>
      <c r="AA2354" s="3" t="str">
        <f>IF(BCP_Soles[[#This Row],[fecha]]&gt;0,TEXT(BCP_Soles[[#This Row],[fecha]],"mmmm"),0)</f>
        <v>Julio</v>
      </c>
    </row>
    <row r="2355" spans="1:27" x14ac:dyDescent="0.3">
      <c r="A2355" s="2">
        <f>IF(BCP_Soles[[#This Row],[tipo_registro]]="R",COUNTIFS($C$1:$C2354,"R")+1,A2354)</f>
        <v>1750</v>
      </c>
      <c r="B2355" s="19" t="str">
        <f t="shared" si="191"/>
        <v>B-BCP - Soles</v>
      </c>
      <c r="C2355" s="3" t="s">
        <v>1330</v>
      </c>
      <c r="D2355" s="14">
        <v>45839</v>
      </c>
      <c r="E2355" s="5" t="s">
        <v>1331</v>
      </c>
      <c r="F2355" s="5" t="s">
        <v>1336</v>
      </c>
      <c r="G2355" s="6" t="s">
        <v>196</v>
      </c>
      <c r="H2355" s="6" t="s">
        <v>68</v>
      </c>
      <c r="I2355" s="6" t="s">
        <v>2226</v>
      </c>
      <c r="J2355" s="6">
        <v>6532</v>
      </c>
      <c r="K2355" s="7" t="s">
        <v>2227</v>
      </c>
      <c r="L2355" s="8">
        <v>223505</v>
      </c>
      <c r="M2355" s="8" t="str">
        <f t="shared" si="192"/>
        <v>PEN</v>
      </c>
      <c r="N2355" s="13"/>
      <c r="O2355" s="13">
        <v>866.52</v>
      </c>
      <c r="P2355" s="3">
        <f t="shared" si="193"/>
        <v>0</v>
      </c>
      <c r="Q2355" s="3">
        <f t="shared" si="194"/>
        <v>866.52</v>
      </c>
      <c r="R2355" s="3">
        <f t="shared" si="190"/>
        <v>36278.940000000039</v>
      </c>
      <c r="S2355" s="28" t="s">
        <v>1334</v>
      </c>
      <c r="T2355" s="24" t="s">
        <v>1334</v>
      </c>
      <c r="U2355" s="80" t="s">
        <v>3655</v>
      </c>
      <c r="V2355" s="25">
        <f>IFERROR(VLOOKUP(BCP_Soles[[#This Row],[destinatario]],CHOOSE({1,2},Clientes_Proveedores[Razon Social],Clientes_Proveedores[Ruc / Dni]),2,0),"")</f>
        <v>20100055237</v>
      </c>
      <c r="W2355" s="25" t="s">
        <v>196</v>
      </c>
      <c r="X2355" s="25" t="s">
        <v>3656</v>
      </c>
      <c r="Y2355" s="25"/>
      <c r="Z2355" s="75"/>
      <c r="AA2355" s="3" t="str">
        <f>IF(BCP_Soles[[#This Row],[fecha]]&gt;0,TEXT(BCP_Soles[[#This Row],[fecha]],"mmmm"),0)</f>
        <v>Julio</v>
      </c>
    </row>
    <row r="2356" spans="1:27" x14ac:dyDescent="0.3">
      <c r="A2356" s="2">
        <f>IF(BCP_Soles[[#This Row],[tipo_registro]]="R",COUNTIFS($C$1:$C2355,"R")+1,A2355)</f>
        <v>1751</v>
      </c>
      <c r="B2356" s="19" t="str">
        <f t="shared" si="191"/>
        <v>B-BCP - Soles</v>
      </c>
      <c r="C2356" s="3" t="s">
        <v>1330</v>
      </c>
      <c r="D2356" s="14">
        <v>45839</v>
      </c>
      <c r="E2356" s="5" t="s">
        <v>1331</v>
      </c>
      <c r="F2356" s="5" t="s">
        <v>1336</v>
      </c>
      <c r="G2356" s="6" t="s">
        <v>196</v>
      </c>
      <c r="H2356" s="6" t="s">
        <v>68</v>
      </c>
      <c r="I2356" s="6" t="s">
        <v>2226</v>
      </c>
      <c r="J2356" s="6">
        <v>6530</v>
      </c>
      <c r="K2356" s="7" t="s">
        <v>2227</v>
      </c>
      <c r="L2356" s="8">
        <v>222089</v>
      </c>
      <c r="M2356" s="8" t="str">
        <f t="shared" si="192"/>
        <v>PEN</v>
      </c>
      <c r="N2356" s="13"/>
      <c r="O2356" s="13">
        <v>474.14</v>
      </c>
      <c r="P2356" s="3">
        <f t="shared" si="193"/>
        <v>0</v>
      </c>
      <c r="Q2356" s="3">
        <f t="shared" si="194"/>
        <v>474.14</v>
      </c>
      <c r="R2356" s="3">
        <f t="shared" si="190"/>
        <v>35804.800000000039</v>
      </c>
      <c r="S2356" s="28" t="s">
        <v>1334</v>
      </c>
      <c r="T2356" s="24" t="s">
        <v>1334</v>
      </c>
      <c r="U2356" s="80" t="s">
        <v>3657</v>
      </c>
      <c r="V2356" s="25">
        <f>IFERROR(VLOOKUP(BCP_Soles[[#This Row],[destinatario]],CHOOSE({1,2},Clientes_Proveedores[Razon Social],Clientes_Proveedores[Ruc / Dni]),2,0),"")</f>
        <v>20100055237</v>
      </c>
      <c r="W2356" s="25" t="s">
        <v>196</v>
      </c>
      <c r="X2356" s="25" t="s">
        <v>3658</v>
      </c>
      <c r="Y2356" s="25"/>
      <c r="Z2356" s="75"/>
      <c r="AA2356" s="3" t="str">
        <f>IF(BCP_Soles[[#This Row],[fecha]]&gt;0,TEXT(BCP_Soles[[#This Row],[fecha]],"mmmm"),0)</f>
        <v>Julio</v>
      </c>
    </row>
    <row r="2357" spans="1:27" x14ac:dyDescent="0.3">
      <c r="A2357" s="2">
        <f>IF(BCP_Soles[[#This Row],[tipo_registro]]="R",COUNTIFS($C$1:$C2356,"R")+1,A2356)</f>
        <v>1752</v>
      </c>
      <c r="B2357" s="19" t="str">
        <f t="shared" si="191"/>
        <v>B-BCP - Soles</v>
      </c>
      <c r="C2357" s="3" t="s">
        <v>1330</v>
      </c>
      <c r="D2357" s="14">
        <v>45839</v>
      </c>
      <c r="E2357" s="5" t="s">
        <v>1331</v>
      </c>
      <c r="F2357" s="5" t="s">
        <v>1336</v>
      </c>
      <c r="G2357" s="6" t="s">
        <v>196</v>
      </c>
      <c r="H2357" s="6" t="s">
        <v>68</v>
      </c>
      <c r="I2357" s="6" t="s">
        <v>2226</v>
      </c>
      <c r="J2357" s="6">
        <v>6531</v>
      </c>
      <c r="K2357" s="7" t="s">
        <v>2227</v>
      </c>
      <c r="L2357" s="8">
        <v>221095</v>
      </c>
      <c r="M2357" s="8" t="str">
        <f t="shared" si="192"/>
        <v>PEN</v>
      </c>
      <c r="N2357" s="13"/>
      <c r="O2357" s="13">
        <v>78.040000000000006</v>
      </c>
      <c r="P2357" s="3">
        <f t="shared" si="193"/>
        <v>0</v>
      </c>
      <c r="Q2357" s="3">
        <f t="shared" si="194"/>
        <v>78.040000000000006</v>
      </c>
      <c r="R2357" s="3">
        <f t="shared" si="190"/>
        <v>35726.760000000038</v>
      </c>
      <c r="S2357" s="28" t="s">
        <v>1334</v>
      </c>
      <c r="T2357" s="24" t="s">
        <v>1334</v>
      </c>
      <c r="U2357" s="80" t="s">
        <v>3659</v>
      </c>
      <c r="V2357" s="25">
        <f>IFERROR(VLOOKUP(BCP_Soles[[#This Row],[destinatario]],CHOOSE({1,2},Clientes_Proveedores[Razon Social],Clientes_Proveedores[Ruc / Dni]),2,0),"")</f>
        <v>20100055237</v>
      </c>
      <c r="W2357" s="25" t="s">
        <v>196</v>
      </c>
      <c r="X2357" s="25" t="s">
        <v>3660</v>
      </c>
      <c r="Y2357" s="25"/>
      <c r="Z2357" s="75"/>
      <c r="AA2357" s="3" t="str">
        <f>IF(BCP_Soles[[#This Row],[fecha]]&gt;0,TEXT(BCP_Soles[[#This Row],[fecha]],"mmmm"),0)</f>
        <v>Julio</v>
      </c>
    </row>
    <row r="2358" spans="1:27" x14ac:dyDescent="0.3">
      <c r="A2358" s="2">
        <f>IF(BCP_Soles[[#This Row],[tipo_registro]]="R",COUNTIFS($C$1:$C2357,"R")+1,A2357)</f>
        <v>1753</v>
      </c>
      <c r="B2358" s="19" t="str">
        <f t="shared" si="191"/>
        <v>B-BCP - Soles</v>
      </c>
      <c r="C2358" s="3" t="s">
        <v>1330</v>
      </c>
      <c r="D2358" s="14">
        <v>45839</v>
      </c>
      <c r="E2358" s="5" t="s">
        <v>1331</v>
      </c>
      <c r="F2358" s="5" t="s">
        <v>1336</v>
      </c>
      <c r="G2358" s="6" t="s">
        <v>575</v>
      </c>
      <c r="H2358" s="6"/>
      <c r="I2358" s="6"/>
      <c r="J2358" s="6"/>
      <c r="K2358" s="7" t="s">
        <v>3578</v>
      </c>
      <c r="L2358" s="8">
        <v>4018383</v>
      </c>
      <c r="M2358" s="8" t="str">
        <f t="shared" si="192"/>
        <v>PEN</v>
      </c>
      <c r="N2358" s="13"/>
      <c r="O2358" s="13">
        <v>600.5</v>
      </c>
      <c r="P2358" s="3">
        <f t="shared" si="193"/>
        <v>0</v>
      </c>
      <c r="Q2358" s="3">
        <f t="shared" si="194"/>
        <v>600.5</v>
      </c>
      <c r="R2358" s="3">
        <f t="shared" si="190"/>
        <v>35126.260000000038</v>
      </c>
      <c r="S2358" s="24" t="s">
        <v>1334</v>
      </c>
      <c r="T2358" s="24" t="s">
        <v>1334</v>
      </c>
      <c r="U2358" s="80" t="s">
        <v>3661</v>
      </c>
      <c r="V2358" s="25">
        <f>IFERROR(VLOOKUP(BCP_Soles[[#This Row],[destinatario]],CHOOSE({1,2},Clientes_Proveedores[Razon Social],Clientes_Proveedores[Ruc / Dni]),2,0),"")</f>
        <v>20608970909</v>
      </c>
      <c r="W2358" s="25" t="s">
        <v>575</v>
      </c>
      <c r="X2358" s="25"/>
      <c r="Y2358" s="25"/>
      <c r="Z2358" s="75"/>
      <c r="AA2358" s="3" t="str">
        <f>IF(BCP_Soles[[#This Row],[fecha]]&gt;0,TEXT(BCP_Soles[[#This Row],[fecha]],"mmmm"),0)</f>
        <v>Julio</v>
      </c>
    </row>
    <row r="2359" spans="1:27" x14ac:dyDescent="0.3">
      <c r="A2359" s="2">
        <f>IF(BCP_Soles[[#This Row],[tipo_registro]]="R",COUNTIFS($C$1:$C2358,"R")+1,A2358)</f>
        <v>1753</v>
      </c>
      <c r="B2359" s="19" t="str">
        <f t="shared" si="191"/>
        <v>B-BCP - Soles</v>
      </c>
      <c r="C2359" s="3" t="s">
        <v>1352</v>
      </c>
      <c r="D2359" s="14">
        <v>45839</v>
      </c>
      <c r="E2359" s="5" t="s">
        <v>1331</v>
      </c>
      <c r="F2359" s="5"/>
      <c r="G2359" s="6" t="s">
        <v>575</v>
      </c>
      <c r="H2359" s="6" t="s">
        <v>68</v>
      </c>
      <c r="I2359" s="6" t="s">
        <v>1376</v>
      </c>
      <c r="J2359" s="6">
        <v>1272</v>
      </c>
      <c r="K2359" s="7" t="s">
        <v>3578</v>
      </c>
      <c r="L2359" s="8">
        <v>4018383</v>
      </c>
      <c r="M2359" s="8" t="str">
        <f t="shared" si="192"/>
        <v>PEN</v>
      </c>
      <c r="N2359" s="13">
        <v>590</v>
      </c>
      <c r="O2359" s="13"/>
      <c r="P2359" s="3">
        <f t="shared" si="193"/>
        <v>0</v>
      </c>
      <c r="Q2359" s="3">
        <f t="shared" si="194"/>
        <v>0</v>
      </c>
      <c r="R2359" s="3">
        <f t="shared" si="190"/>
        <v>35126.260000000038</v>
      </c>
      <c r="S2359" s="24" t="s">
        <v>1334</v>
      </c>
      <c r="T2359" s="24" t="s">
        <v>1334</v>
      </c>
      <c r="U2359" s="80"/>
      <c r="V2359" s="25">
        <f>IFERROR(VLOOKUP(BCP_Soles[[#This Row],[destinatario]],CHOOSE({1,2},Clientes_Proveedores[Razon Social],Clientes_Proveedores[Ruc / Dni]),2,0),"")</f>
        <v>20608970909</v>
      </c>
      <c r="W2359" s="25"/>
      <c r="X2359" s="25"/>
      <c r="Y2359" s="25"/>
      <c r="Z2359" s="75"/>
      <c r="AA2359" s="3" t="str">
        <f>IF(BCP_Soles[[#This Row],[fecha]]&gt;0,TEXT(BCP_Soles[[#This Row],[fecha]],"mmmm"),0)</f>
        <v>Julio</v>
      </c>
    </row>
    <row r="2360" spans="1:27" ht="24" x14ac:dyDescent="0.3">
      <c r="A2360" s="2">
        <f>IF(BCP_Soles[[#This Row],[tipo_registro]]="R",COUNTIFS($C$1:$C2359,"R")+1,A2359)</f>
        <v>1753</v>
      </c>
      <c r="B2360" s="19" t="str">
        <f t="shared" si="191"/>
        <v>B-BCP - Soles</v>
      </c>
      <c r="C2360" s="3" t="s">
        <v>1352</v>
      </c>
      <c r="D2360" s="14">
        <v>45839</v>
      </c>
      <c r="E2360" s="5" t="s">
        <v>1331</v>
      </c>
      <c r="F2360" s="5"/>
      <c r="G2360" s="6" t="s">
        <v>1060</v>
      </c>
      <c r="H2360" s="6" t="s">
        <v>68</v>
      </c>
      <c r="I2360" s="6" t="s">
        <v>1397</v>
      </c>
      <c r="J2360" s="6">
        <v>34293636</v>
      </c>
      <c r="K2360" s="7" t="s">
        <v>3662</v>
      </c>
      <c r="L2360" s="8">
        <v>4018383</v>
      </c>
      <c r="M2360" s="8" t="str">
        <f t="shared" si="192"/>
        <v>PEN</v>
      </c>
      <c r="N2360" s="13">
        <v>10.5</v>
      </c>
      <c r="O2360" s="13"/>
      <c r="P2360" s="3">
        <f t="shared" si="193"/>
        <v>0</v>
      </c>
      <c r="Q2360" s="3">
        <f t="shared" si="194"/>
        <v>0</v>
      </c>
      <c r="R2360" s="3">
        <f t="shared" si="190"/>
        <v>35126.260000000038</v>
      </c>
      <c r="S2360" s="24" t="s">
        <v>1334</v>
      </c>
      <c r="T2360" s="24" t="s">
        <v>1334</v>
      </c>
      <c r="U2360" s="80"/>
      <c r="V2360" s="25">
        <f>IFERROR(VLOOKUP(BCP_Soles[[#This Row],[destinatario]],CHOOSE({1,2},Clientes_Proveedores[Razon Social],Clientes_Proveedores[Ruc / Dni]),2,0),"")</f>
        <v>20100047218</v>
      </c>
      <c r="W2360" s="25"/>
      <c r="X2360" s="25"/>
      <c r="Y2360" s="25"/>
      <c r="Z2360" s="75"/>
      <c r="AA2360" s="3" t="str">
        <f>IF(BCP_Soles[[#This Row],[fecha]]&gt;0,TEXT(BCP_Soles[[#This Row],[fecha]],"mmmm"),0)</f>
        <v>Julio</v>
      </c>
    </row>
    <row r="2361" spans="1:27" x14ac:dyDescent="0.3">
      <c r="A2361" s="2">
        <f>IF(BCP_Soles[[#This Row],[tipo_registro]]="R",COUNTIFS($C$1:$C2360,"R")+1,A2360)</f>
        <v>1754</v>
      </c>
      <c r="B2361" s="19" t="str">
        <f t="shared" si="191"/>
        <v>B-BCP - Soles</v>
      </c>
      <c r="C2361" s="3" t="s">
        <v>1330</v>
      </c>
      <c r="D2361" s="14">
        <v>45839</v>
      </c>
      <c r="E2361" s="5" t="s">
        <v>1331</v>
      </c>
      <c r="F2361" s="5" t="s">
        <v>1336</v>
      </c>
      <c r="G2361" s="6" t="s">
        <v>696</v>
      </c>
      <c r="H2361" s="6"/>
      <c r="I2361" s="6"/>
      <c r="J2361" s="6"/>
      <c r="K2361" s="7" t="s">
        <v>3663</v>
      </c>
      <c r="L2361" s="8">
        <v>4530999</v>
      </c>
      <c r="M2361" s="8" t="str">
        <f t="shared" si="192"/>
        <v>PEN</v>
      </c>
      <c r="N2361" s="13"/>
      <c r="O2361" s="13">
        <v>20589.5</v>
      </c>
      <c r="P2361" s="3">
        <f t="shared" si="193"/>
        <v>0</v>
      </c>
      <c r="Q2361" s="3">
        <f t="shared" si="194"/>
        <v>20589.5</v>
      </c>
      <c r="R2361" s="3">
        <f t="shared" si="190"/>
        <v>14536.760000000038</v>
      </c>
      <c r="S2361" s="24" t="s">
        <v>1334</v>
      </c>
      <c r="T2361" s="24" t="s">
        <v>1334</v>
      </c>
      <c r="U2361" s="80" t="s">
        <v>3664</v>
      </c>
      <c r="V2361" s="25">
        <f>IFERROR(VLOOKUP(BCP_Soles[[#This Row],[destinatario]],CHOOSE({1,2},Clientes_Proveedores[Razon Social],Clientes_Proveedores[Ruc / Dni]),2,0),"")</f>
        <v>0</v>
      </c>
      <c r="W2361" s="25" t="s">
        <v>1373</v>
      </c>
      <c r="X2361" s="25"/>
      <c r="Y2361" s="25"/>
      <c r="Z2361" s="75"/>
      <c r="AA2361" s="3" t="str">
        <f>IF(BCP_Soles[[#This Row],[fecha]]&gt;0,TEXT(BCP_Soles[[#This Row],[fecha]],"mmmm"),0)</f>
        <v>Julio</v>
      </c>
    </row>
    <row r="2362" spans="1:27" x14ac:dyDescent="0.3">
      <c r="A2362" s="2">
        <f>IF(BCP_Soles[[#This Row],[tipo_registro]]="R",COUNTIFS($C$1:$C2361,"R")+1,A2361)</f>
        <v>1754</v>
      </c>
      <c r="B2362" s="19" t="str">
        <f t="shared" si="191"/>
        <v>B-BCP - Soles</v>
      </c>
      <c r="C2362" s="3" t="s">
        <v>1352</v>
      </c>
      <c r="D2362" s="14">
        <v>45839</v>
      </c>
      <c r="E2362" s="5" t="s">
        <v>1331</v>
      </c>
      <c r="F2362" s="5"/>
      <c r="G2362" s="6" t="s">
        <v>414</v>
      </c>
      <c r="H2362" s="6" t="s">
        <v>68</v>
      </c>
      <c r="I2362" s="6" t="s">
        <v>1374</v>
      </c>
      <c r="J2362" s="6">
        <v>14497</v>
      </c>
      <c r="K2362" s="7" t="s">
        <v>3663</v>
      </c>
      <c r="L2362" s="8">
        <v>4530999</v>
      </c>
      <c r="M2362" s="8" t="str">
        <f t="shared" si="192"/>
        <v>PEN</v>
      </c>
      <c r="N2362" s="13">
        <v>8167</v>
      </c>
      <c r="O2362" s="13"/>
      <c r="P2362" s="3">
        <f t="shared" si="193"/>
        <v>0</v>
      </c>
      <c r="Q2362" s="3">
        <f t="shared" si="194"/>
        <v>0</v>
      </c>
      <c r="R2362" s="3">
        <f t="shared" si="190"/>
        <v>14536.760000000038</v>
      </c>
      <c r="S2362" s="24" t="s">
        <v>1334</v>
      </c>
      <c r="T2362" s="24" t="s">
        <v>1334</v>
      </c>
      <c r="U2362" s="55"/>
      <c r="V2362" s="25">
        <f>IFERROR(VLOOKUP(BCP_Soles[[#This Row],[destinatario]],CHOOSE({1,2},Clientes_Proveedores[Razon Social],Clientes_Proveedores[Ruc / Dni]),2,0),"")</f>
        <v>20553255709</v>
      </c>
      <c r="W2362" s="25"/>
      <c r="X2362" s="25"/>
      <c r="Y2362" s="25"/>
      <c r="Z2362" s="75"/>
      <c r="AA2362" s="3" t="str">
        <f>IF(BCP_Soles[[#This Row],[fecha]]&gt;0,TEXT(BCP_Soles[[#This Row],[fecha]],"mmmm"),0)</f>
        <v>Julio</v>
      </c>
    </row>
    <row r="2363" spans="1:27" ht="24" x14ac:dyDescent="0.3">
      <c r="A2363" s="2">
        <f>IF(BCP_Soles[[#This Row],[tipo_registro]]="R",COUNTIFS($C$1:$C2362,"R")+1,A2362)</f>
        <v>1754</v>
      </c>
      <c r="B2363" s="19" t="str">
        <f t="shared" si="191"/>
        <v>B-BCP - Soles</v>
      </c>
      <c r="C2363" s="3" t="s">
        <v>1352</v>
      </c>
      <c r="D2363" s="14">
        <v>45839</v>
      </c>
      <c r="E2363" s="5" t="s">
        <v>1331</v>
      </c>
      <c r="F2363" s="5"/>
      <c r="G2363" s="6" t="s">
        <v>187</v>
      </c>
      <c r="H2363" s="6" t="s">
        <v>68</v>
      </c>
      <c r="I2363" s="6" t="s">
        <v>1376</v>
      </c>
      <c r="J2363" s="6">
        <v>473</v>
      </c>
      <c r="K2363" s="7" t="s">
        <v>3663</v>
      </c>
      <c r="L2363" s="8">
        <v>4530999</v>
      </c>
      <c r="M2363" s="8" t="str">
        <f t="shared" si="192"/>
        <v>PEN</v>
      </c>
      <c r="N2363" s="13">
        <v>190</v>
      </c>
      <c r="O2363" s="13"/>
      <c r="P2363" s="3">
        <f t="shared" si="193"/>
        <v>0</v>
      </c>
      <c r="Q2363" s="3">
        <f t="shared" si="194"/>
        <v>0</v>
      </c>
      <c r="R2363" s="3">
        <f t="shared" si="190"/>
        <v>14536.760000000038</v>
      </c>
      <c r="S2363" s="24" t="s">
        <v>1334</v>
      </c>
      <c r="T2363" s="24" t="s">
        <v>1334</v>
      </c>
      <c r="U2363" s="55"/>
      <c r="V2363" s="25">
        <f>IFERROR(VLOOKUP(BCP_Soles[[#This Row],[destinatario]],CHOOSE({1,2},Clientes_Proveedores[Razon Social],Clientes_Proveedores[Ruc / Dni]),2,0),"")</f>
        <v>10706063426</v>
      </c>
      <c r="W2363" s="25"/>
      <c r="X2363" s="25"/>
      <c r="Y2363" s="25"/>
      <c r="Z2363" s="75"/>
      <c r="AA2363" s="3" t="str">
        <f>IF(BCP_Soles[[#This Row],[fecha]]&gt;0,TEXT(BCP_Soles[[#This Row],[fecha]],"mmmm"),0)</f>
        <v>Julio</v>
      </c>
    </row>
    <row r="2364" spans="1:27" ht="36" x14ac:dyDescent="0.3">
      <c r="A2364" s="105">
        <f>IF(BCP_Soles[[#This Row],[tipo_registro]]="R",COUNTIFS($C$1:$C2363,"R")+1,A2363)</f>
        <v>1754</v>
      </c>
      <c r="B2364" s="74" t="str">
        <f t="shared" si="191"/>
        <v>B-BCP - Soles</v>
      </c>
      <c r="C2364" s="73" t="s">
        <v>1352</v>
      </c>
      <c r="D2364" s="14">
        <v>45839</v>
      </c>
      <c r="E2364" s="5" t="s">
        <v>1331</v>
      </c>
      <c r="F2364" s="5"/>
      <c r="G2364" s="6" t="s">
        <v>623</v>
      </c>
      <c r="H2364" s="6" t="s">
        <v>68</v>
      </c>
      <c r="I2364" s="6" t="s">
        <v>1374</v>
      </c>
      <c r="J2364" s="6">
        <v>7911</v>
      </c>
      <c r="K2364" s="7" t="s">
        <v>3663</v>
      </c>
      <c r="L2364" s="8">
        <v>4530999</v>
      </c>
      <c r="M2364" s="8" t="str">
        <f t="shared" si="192"/>
        <v>PEN</v>
      </c>
      <c r="N2364" s="9">
        <v>1012.5</v>
      </c>
      <c r="O2364" s="9"/>
      <c r="P2364" s="73">
        <f t="shared" si="193"/>
        <v>0</v>
      </c>
      <c r="Q2364" s="73">
        <f t="shared" si="194"/>
        <v>0</v>
      </c>
      <c r="R2364" s="73">
        <f t="shared" si="190"/>
        <v>14536.760000000038</v>
      </c>
      <c r="S2364" s="95" t="s">
        <v>1334</v>
      </c>
      <c r="T2364" s="95" t="s">
        <v>1334</v>
      </c>
      <c r="U2364" s="161"/>
      <c r="V2364" s="72">
        <f>IFERROR(VLOOKUP(BCP_Soles[[#This Row],[destinatario]],CHOOSE({1,2},Clientes_Proveedores[Razon Social],Clientes_Proveedores[Ruc / Dni]),2,0),"")</f>
        <v>20454819137</v>
      </c>
      <c r="W2364" s="72"/>
      <c r="X2364" s="72"/>
      <c r="Y2364" s="72"/>
      <c r="Z2364" s="131"/>
      <c r="AA2364" s="73" t="str">
        <f>IF(BCP_Soles[[#This Row],[fecha]]&gt;0,TEXT(BCP_Soles[[#This Row],[fecha]],"mmmm"),0)</f>
        <v>Julio</v>
      </c>
    </row>
    <row r="2365" spans="1:27" x14ac:dyDescent="0.3">
      <c r="A2365" s="2">
        <f>IF(BCP_Soles[[#This Row],[tipo_registro]]="R",COUNTIFS($C$1:$C2364,"R")+1,A2364)</f>
        <v>1754</v>
      </c>
      <c r="B2365" s="19" t="str">
        <f t="shared" si="191"/>
        <v>B-BCP - Soles</v>
      </c>
      <c r="C2365" s="3" t="s">
        <v>1352</v>
      </c>
      <c r="D2365" s="14">
        <v>45839</v>
      </c>
      <c r="E2365" s="5" t="s">
        <v>1331</v>
      </c>
      <c r="F2365" s="5"/>
      <c r="G2365" s="6" t="s">
        <v>380</v>
      </c>
      <c r="H2365" s="6" t="s">
        <v>68</v>
      </c>
      <c r="I2365" s="6" t="s">
        <v>1390</v>
      </c>
      <c r="J2365" s="6">
        <v>21589</v>
      </c>
      <c r="K2365" s="7" t="s">
        <v>3663</v>
      </c>
      <c r="L2365" s="8">
        <v>4530999</v>
      </c>
      <c r="M2365" s="8" t="str">
        <f t="shared" si="192"/>
        <v>PEN</v>
      </c>
      <c r="N2365" s="13">
        <v>11220</v>
      </c>
      <c r="O2365" s="13"/>
      <c r="P2365" s="3">
        <f t="shared" si="193"/>
        <v>0</v>
      </c>
      <c r="Q2365" s="3">
        <f t="shared" si="194"/>
        <v>0</v>
      </c>
      <c r="R2365" s="3">
        <f t="shared" si="190"/>
        <v>14536.760000000038</v>
      </c>
      <c r="S2365" s="24" t="s">
        <v>1334</v>
      </c>
      <c r="T2365" s="24" t="s">
        <v>1334</v>
      </c>
      <c r="U2365" s="55"/>
      <c r="V2365" s="25">
        <f>IFERROR(VLOOKUP(BCP_Soles[[#This Row],[destinatario]],CHOOSE({1,2},Clientes_Proveedores[Razon Social],Clientes_Proveedores[Ruc / Dni]),2,0),"")</f>
        <v>20537921464</v>
      </c>
      <c r="W2365" s="25"/>
      <c r="X2365" s="25"/>
      <c r="Y2365" s="25"/>
      <c r="Z2365" s="75"/>
      <c r="AA2365" s="3" t="str">
        <f>IF(BCP_Soles[[#This Row],[fecha]]&gt;0,TEXT(BCP_Soles[[#This Row],[fecha]],"mmmm"),0)</f>
        <v>Julio</v>
      </c>
    </row>
    <row r="2366" spans="1:27" x14ac:dyDescent="0.3">
      <c r="A2366" s="2">
        <f>IF(BCP_Soles[[#This Row],[tipo_registro]]="R",COUNTIFS($C$1:$C2365,"R")+1,A2365)</f>
        <v>1755</v>
      </c>
      <c r="B2366" s="19" t="str">
        <f t="shared" si="191"/>
        <v>B-BCP - Soles</v>
      </c>
      <c r="C2366" s="3" t="s">
        <v>1330</v>
      </c>
      <c r="D2366" s="14">
        <v>45839</v>
      </c>
      <c r="E2366" s="5" t="s">
        <v>3190</v>
      </c>
      <c r="F2366" s="5" t="s">
        <v>1336</v>
      </c>
      <c r="G2366" s="6" t="s">
        <v>696</v>
      </c>
      <c r="H2366" s="6"/>
      <c r="I2366" s="6"/>
      <c r="J2366" s="6"/>
      <c r="K2366" s="7" t="s">
        <v>3665</v>
      </c>
      <c r="L2366" s="8">
        <v>1009891</v>
      </c>
      <c r="M2366" s="8" t="str">
        <f t="shared" si="192"/>
        <v>PEN</v>
      </c>
      <c r="N2366" s="13"/>
      <c r="O2366" s="13">
        <v>5046</v>
      </c>
      <c r="P2366" s="3">
        <f t="shared" si="193"/>
        <v>0</v>
      </c>
      <c r="Q2366" s="3">
        <f t="shared" si="194"/>
        <v>5046</v>
      </c>
      <c r="R2366" s="3">
        <f t="shared" si="190"/>
        <v>9490.7600000000384</v>
      </c>
      <c r="S2366" s="24" t="s">
        <v>1334</v>
      </c>
      <c r="T2366" s="24" t="s">
        <v>1334</v>
      </c>
      <c r="U2366" s="55"/>
      <c r="V2366" s="25">
        <f>IFERROR(VLOOKUP(BCP_Soles[[#This Row],[destinatario]],CHOOSE({1,2},Clientes_Proveedores[Razon Social],Clientes_Proveedores[Ruc / Dni]),2,0),"")</f>
        <v>0</v>
      </c>
      <c r="W2366" s="25" t="s">
        <v>1373</v>
      </c>
      <c r="X2366" s="25"/>
      <c r="Y2366" s="25"/>
      <c r="Z2366" s="75"/>
      <c r="AA2366" s="3" t="str">
        <f>IF(BCP_Soles[[#This Row],[fecha]]&gt;0,TEXT(BCP_Soles[[#This Row],[fecha]],"mmmm"),0)</f>
        <v>Julio</v>
      </c>
    </row>
    <row r="2367" spans="1:27" x14ac:dyDescent="0.3">
      <c r="A2367" s="2">
        <f>IF(BCP_Soles[[#This Row],[tipo_registro]]="R",COUNTIFS($C$1:$C2366,"R")+1,A2366)</f>
        <v>1755</v>
      </c>
      <c r="B2367" s="19" t="str">
        <f t="shared" si="191"/>
        <v>B-BCP - Soles</v>
      </c>
      <c r="C2367" s="3" t="s">
        <v>1352</v>
      </c>
      <c r="D2367" s="14">
        <v>45839</v>
      </c>
      <c r="E2367" s="5" t="s">
        <v>3190</v>
      </c>
      <c r="F2367" s="5"/>
      <c r="G2367" s="6" t="s">
        <v>380</v>
      </c>
      <c r="H2367" s="6" t="s">
        <v>68</v>
      </c>
      <c r="I2367" s="6" t="s">
        <v>1390</v>
      </c>
      <c r="J2367" s="6">
        <v>21589</v>
      </c>
      <c r="K2367" s="7" t="s">
        <v>3665</v>
      </c>
      <c r="L2367" s="8">
        <v>1009891</v>
      </c>
      <c r="M2367" s="8" t="str">
        <f t="shared" si="192"/>
        <v>PEN</v>
      </c>
      <c r="N2367" s="13">
        <v>1980</v>
      </c>
      <c r="O2367" s="13"/>
      <c r="P2367" s="3">
        <f t="shared" si="193"/>
        <v>0</v>
      </c>
      <c r="Q2367" s="3">
        <f t="shared" si="194"/>
        <v>0</v>
      </c>
      <c r="R2367" s="3">
        <f t="shared" si="190"/>
        <v>9490.7600000000384</v>
      </c>
      <c r="S2367" s="24" t="s">
        <v>1334</v>
      </c>
      <c r="T2367" s="24" t="s">
        <v>1334</v>
      </c>
      <c r="U2367" s="55"/>
      <c r="V2367" s="25">
        <f>IFERROR(VLOOKUP(BCP_Soles[[#This Row],[destinatario]],CHOOSE({1,2},Clientes_Proveedores[Razon Social],Clientes_Proveedores[Ruc / Dni]),2,0),"")</f>
        <v>20537921464</v>
      </c>
      <c r="W2367" s="25"/>
      <c r="X2367" s="25"/>
      <c r="Y2367" s="25"/>
      <c r="Z2367" s="75" t="s">
        <v>3666</v>
      </c>
      <c r="AA2367" s="3" t="str">
        <f>IF(BCP_Soles[[#This Row],[fecha]]&gt;0,TEXT(BCP_Soles[[#This Row],[fecha]],"mmmm"),0)</f>
        <v>Julio</v>
      </c>
    </row>
    <row r="2368" spans="1:27" x14ac:dyDescent="0.3">
      <c r="A2368" s="2">
        <f>IF(BCP_Soles[[#This Row],[tipo_registro]]="R",COUNTIFS($C$1:$C2367,"R")+1,A2367)</f>
        <v>1755</v>
      </c>
      <c r="B2368" s="19" t="str">
        <f t="shared" si="191"/>
        <v>B-BCP - Soles</v>
      </c>
      <c r="C2368" s="3" t="s">
        <v>1352</v>
      </c>
      <c r="D2368" s="14">
        <v>45839</v>
      </c>
      <c r="E2368" s="5" t="s">
        <v>3190</v>
      </c>
      <c r="F2368" s="5"/>
      <c r="G2368" s="6" t="s">
        <v>380</v>
      </c>
      <c r="H2368" s="6" t="s">
        <v>68</v>
      </c>
      <c r="I2368" s="6" t="s">
        <v>1390</v>
      </c>
      <c r="J2368" s="6">
        <v>21588</v>
      </c>
      <c r="K2368" s="7" t="s">
        <v>3665</v>
      </c>
      <c r="L2368" s="8">
        <v>1009891</v>
      </c>
      <c r="M2368" s="8" t="str">
        <f t="shared" si="192"/>
        <v>PEN</v>
      </c>
      <c r="N2368" s="13">
        <v>1101</v>
      </c>
      <c r="O2368" s="13"/>
      <c r="P2368" s="3">
        <f t="shared" si="193"/>
        <v>0</v>
      </c>
      <c r="Q2368" s="3">
        <f t="shared" si="194"/>
        <v>0</v>
      </c>
      <c r="R2368" s="3">
        <f t="shared" si="190"/>
        <v>9490.7600000000384</v>
      </c>
      <c r="S2368" s="24" t="s">
        <v>1334</v>
      </c>
      <c r="T2368" s="24" t="s">
        <v>1334</v>
      </c>
      <c r="U2368" s="55"/>
      <c r="V2368" s="25">
        <f>IFERROR(VLOOKUP(BCP_Soles[[#This Row],[destinatario]],CHOOSE({1,2},Clientes_Proveedores[Razon Social],Clientes_Proveedores[Ruc / Dni]),2,0),"")</f>
        <v>20537921464</v>
      </c>
      <c r="W2368" s="25"/>
      <c r="X2368" s="25"/>
      <c r="Y2368" s="25"/>
      <c r="Z2368" s="75" t="s">
        <v>3666</v>
      </c>
      <c r="AA2368" s="3" t="str">
        <f>IF(BCP_Soles[[#This Row],[fecha]]&gt;0,TEXT(BCP_Soles[[#This Row],[fecha]],"mmmm"),0)</f>
        <v>Julio</v>
      </c>
    </row>
    <row r="2369" spans="1:27" ht="36" x14ac:dyDescent="0.3">
      <c r="A2369" s="2">
        <f>IF(BCP_Soles[[#This Row],[tipo_registro]]="R",COUNTIFS($C$1:$C2368,"R")+1,A2368)</f>
        <v>1755</v>
      </c>
      <c r="B2369" s="19" t="str">
        <f t="shared" si="191"/>
        <v>B-BCP - Soles</v>
      </c>
      <c r="C2369" s="3" t="s">
        <v>1352</v>
      </c>
      <c r="D2369" s="14">
        <v>45839</v>
      </c>
      <c r="E2369" s="5" t="s">
        <v>3190</v>
      </c>
      <c r="F2369" s="5"/>
      <c r="G2369" s="6" t="s">
        <v>277</v>
      </c>
      <c r="H2369" s="6" t="s">
        <v>68</v>
      </c>
      <c r="I2369" s="6" t="s">
        <v>1390</v>
      </c>
      <c r="J2369" s="6">
        <v>1767</v>
      </c>
      <c r="K2369" s="7" t="s">
        <v>3665</v>
      </c>
      <c r="L2369" s="8">
        <v>1009891</v>
      </c>
      <c r="M2369" s="8" t="str">
        <f t="shared" si="192"/>
        <v>PEN</v>
      </c>
      <c r="N2369" s="13">
        <v>72</v>
      </c>
      <c r="O2369" s="13"/>
      <c r="P2369" s="3">
        <f t="shared" si="193"/>
        <v>0</v>
      </c>
      <c r="Q2369" s="3">
        <f t="shared" si="194"/>
        <v>0</v>
      </c>
      <c r="R2369" s="3">
        <f t="shared" si="190"/>
        <v>9490.7600000000384</v>
      </c>
      <c r="S2369" s="24" t="s">
        <v>1334</v>
      </c>
      <c r="T2369" s="24" t="s">
        <v>1334</v>
      </c>
      <c r="U2369" s="55"/>
      <c r="V2369" s="25">
        <f>IFERROR(VLOOKUP(BCP_Soles[[#This Row],[destinatario]],CHOOSE({1,2},Clientes_Proveedores[Razon Social],Clientes_Proveedores[Ruc / Dni]),2,0),"")</f>
        <v>20429640939</v>
      </c>
      <c r="W2369" s="25"/>
      <c r="X2369" s="25"/>
      <c r="Y2369" s="25"/>
      <c r="Z2369" s="75" t="s">
        <v>3666</v>
      </c>
      <c r="AA2369" s="3" t="str">
        <f>IF(BCP_Soles[[#This Row],[fecha]]&gt;0,TEXT(BCP_Soles[[#This Row],[fecha]],"mmmm"),0)</f>
        <v>Julio</v>
      </c>
    </row>
    <row r="2370" spans="1:27" ht="36" x14ac:dyDescent="0.3">
      <c r="A2370" s="2">
        <f>IF(BCP_Soles[[#This Row],[tipo_registro]]="R",COUNTIFS($C$1:$C2369,"R")+1,A2369)</f>
        <v>1755</v>
      </c>
      <c r="B2370" s="19" t="str">
        <f t="shared" si="191"/>
        <v>B-BCP - Soles</v>
      </c>
      <c r="C2370" s="3" t="s">
        <v>1352</v>
      </c>
      <c r="D2370" s="14">
        <v>45839</v>
      </c>
      <c r="E2370" s="5" t="s">
        <v>3190</v>
      </c>
      <c r="F2370" s="5"/>
      <c r="G2370" s="6" t="s">
        <v>277</v>
      </c>
      <c r="H2370" s="6" t="s">
        <v>68</v>
      </c>
      <c r="I2370" s="6" t="s">
        <v>1390</v>
      </c>
      <c r="J2370" s="6">
        <v>1788</v>
      </c>
      <c r="K2370" s="7" t="s">
        <v>3665</v>
      </c>
      <c r="L2370" s="8">
        <v>1009891</v>
      </c>
      <c r="M2370" s="8" t="str">
        <f t="shared" si="192"/>
        <v>PEN</v>
      </c>
      <c r="N2370" s="13">
        <v>106</v>
      </c>
      <c r="O2370" s="13"/>
      <c r="P2370" s="3">
        <f t="shared" si="193"/>
        <v>0</v>
      </c>
      <c r="Q2370" s="3">
        <f t="shared" si="194"/>
        <v>0</v>
      </c>
      <c r="R2370" s="3">
        <f t="shared" si="190"/>
        <v>9490.7600000000384</v>
      </c>
      <c r="S2370" s="24" t="s">
        <v>1334</v>
      </c>
      <c r="T2370" s="24" t="s">
        <v>1334</v>
      </c>
      <c r="U2370" s="55"/>
      <c r="V2370" s="25">
        <f>IFERROR(VLOOKUP(BCP_Soles[[#This Row],[destinatario]],CHOOSE({1,2},Clientes_Proveedores[Razon Social],Clientes_Proveedores[Ruc / Dni]),2,0),"")</f>
        <v>20429640939</v>
      </c>
      <c r="W2370" s="25"/>
      <c r="X2370" s="25"/>
      <c r="Y2370" s="25"/>
      <c r="Z2370" s="75" t="s">
        <v>3666</v>
      </c>
      <c r="AA2370" s="3" t="str">
        <f>IF(BCP_Soles[[#This Row],[fecha]]&gt;0,TEXT(BCP_Soles[[#This Row],[fecha]],"mmmm"),0)</f>
        <v>Julio</v>
      </c>
    </row>
    <row r="2371" spans="1:27" ht="36" x14ac:dyDescent="0.3">
      <c r="A2371" s="2">
        <f>IF(BCP_Soles[[#This Row],[tipo_registro]]="R",COUNTIFS($C$1:$C2370,"R")+1,A2370)</f>
        <v>1755</v>
      </c>
      <c r="B2371" s="19" t="str">
        <f t="shared" si="191"/>
        <v>B-BCP - Soles</v>
      </c>
      <c r="C2371" s="3" t="s">
        <v>1352</v>
      </c>
      <c r="D2371" s="14">
        <v>45839</v>
      </c>
      <c r="E2371" s="5" t="s">
        <v>3190</v>
      </c>
      <c r="F2371" s="5"/>
      <c r="G2371" s="6" t="s">
        <v>277</v>
      </c>
      <c r="H2371" s="6" t="s">
        <v>68</v>
      </c>
      <c r="I2371" s="6" t="s">
        <v>1390</v>
      </c>
      <c r="J2371" s="6">
        <v>1787</v>
      </c>
      <c r="K2371" s="7" t="s">
        <v>3665</v>
      </c>
      <c r="L2371" s="8">
        <v>1009891</v>
      </c>
      <c r="M2371" s="8" t="str">
        <f t="shared" si="192"/>
        <v>PEN</v>
      </c>
      <c r="N2371" s="13">
        <v>72</v>
      </c>
      <c r="O2371" s="13"/>
      <c r="P2371" s="3">
        <f t="shared" si="193"/>
        <v>0</v>
      </c>
      <c r="Q2371" s="3">
        <f t="shared" si="194"/>
        <v>0</v>
      </c>
      <c r="R2371" s="3">
        <f t="shared" si="190"/>
        <v>9490.7600000000384</v>
      </c>
      <c r="S2371" s="24" t="s">
        <v>1334</v>
      </c>
      <c r="T2371" s="24" t="s">
        <v>1334</v>
      </c>
      <c r="U2371" s="55"/>
      <c r="V2371" s="25">
        <f>IFERROR(VLOOKUP(BCP_Soles[[#This Row],[destinatario]],CHOOSE({1,2},Clientes_Proveedores[Razon Social],Clientes_Proveedores[Ruc / Dni]),2,0),"")</f>
        <v>20429640939</v>
      </c>
      <c r="W2371" s="25"/>
      <c r="X2371" s="25"/>
      <c r="Y2371" s="25"/>
      <c r="Z2371" s="75" t="s">
        <v>3666</v>
      </c>
      <c r="AA2371" s="3" t="str">
        <f>IF(BCP_Soles[[#This Row],[fecha]]&gt;0,TEXT(BCP_Soles[[#This Row],[fecha]],"mmmm"),0)</f>
        <v>Julio</v>
      </c>
    </row>
    <row r="2372" spans="1:27" x14ac:dyDescent="0.3">
      <c r="A2372" s="2">
        <f>IF(BCP_Soles[[#This Row],[tipo_registro]]="R",COUNTIFS($C$1:$C2371,"R")+1,A2371)</f>
        <v>1755</v>
      </c>
      <c r="B2372" s="19" t="str">
        <f t="shared" si="191"/>
        <v>B-BCP - Soles</v>
      </c>
      <c r="C2372" s="3" t="s">
        <v>1352</v>
      </c>
      <c r="D2372" s="14">
        <v>45839</v>
      </c>
      <c r="E2372" s="5" t="s">
        <v>3190</v>
      </c>
      <c r="F2372" s="5"/>
      <c r="G2372" s="6" t="s">
        <v>286</v>
      </c>
      <c r="H2372" s="6" t="s">
        <v>68</v>
      </c>
      <c r="I2372" s="6" t="s">
        <v>1390</v>
      </c>
      <c r="J2372" s="6">
        <v>627</v>
      </c>
      <c r="K2372" s="7" t="s">
        <v>3665</v>
      </c>
      <c r="L2372" s="8">
        <v>1009891</v>
      </c>
      <c r="M2372" s="8" t="str">
        <f t="shared" si="192"/>
        <v>PEN</v>
      </c>
      <c r="N2372" s="13">
        <v>19</v>
      </c>
      <c r="O2372" s="13"/>
      <c r="P2372" s="3">
        <f t="shared" si="193"/>
        <v>0</v>
      </c>
      <c r="Q2372" s="3">
        <f t="shared" si="194"/>
        <v>0</v>
      </c>
      <c r="R2372" s="3">
        <f t="shared" si="190"/>
        <v>9490.7600000000384</v>
      </c>
      <c r="S2372" s="24" t="s">
        <v>1334</v>
      </c>
      <c r="T2372" s="24" t="s">
        <v>1334</v>
      </c>
      <c r="U2372" s="55"/>
      <c r="V2372" s="25">
        <f>IFERROR(VLOOKUP(BCP_Soles[[#This Row],[destinatario]],CHOOSE({1,2},Clientes_Proveedores[Razon Social],Clientes_Proveedores[Ruc / Dni]),2,0),"")</f>
        <v>20454186002</v>
      </c>
      <c r="W2372" s="25"/>
      <c r="X2372" s="25"/>
      <c r="Y2372" s="25"/>
      <c r="Z2372" s="75" t="s">
        <v>3666</v>
      </c>
      <c r="AA2372" s="3" t="str">
        <f>IF(BCP_Soles[[#This Row],[fecha]]&gt;0,TEXT(BCP_Soles[[#This Row],[fecha]],"mmmm"),0)</f>
        <v>Julio</v>
      </c>
    </row>
    <row r="2373" spans="1:27" x14ac:dyDescent="0.3">
      <c r="A2373" s="2">
        <f>IF(BCP_Soles[[#This Row],[tipo_registro]]="R",COUNTIFS($C$1:$C2372,"R")+1,A2372)</f>
        <v>1755</v>
      </c>
      <c r="B2373" s="19" t="str">
        <f t="shared" si="191"/>
        <v>B-BCP - Soles</v>
      </c>
      <c r="C2373" s="3" t="s">
        <v>1352</v>
      </c>
      <c r="D2373" s="14">
        <v>45839</v>
      </c>
      <c r="E2373" s="5" t="s">
        <v>3190</v>
      </c>
      <c r="F2373" s="5"/>
      <c r="G2373" s="6" t="s">
        <v>196</v>
      </c>
      <c r="H2373" s="6" t="s">
        <v>68</v>
      </c>
      <c r="I2373" s="6" t="s">
        <v>2226</v>
      </c>
      <c r="J2373" s="6">
        <v>6528</v>
      </c>
      <c r="K2373" s="7" t="s">
        <v>3665</v>
      </c>
      <c r="L2373" s="8">
        <v>1009891</v>
      </c>
      <c r="M2373" s="8" t="str">
        <f t="shared" si="192"/>
        <v>PEN</v>
      </c>
      <c r="N2373" s="13">
        <v>18</v>
      </c>
      <c r="O2373" s="13"/>
      <c r="P2373" s="3">
        <f t="shared" si="193"/>
        <v>0</v>
      </c>
      <c r="Q2373" s="3">
        <f t="shared" si="194"/>
        <v>0</v>
      </c>
      <c r="R2373" s="3">
        <f t="shared" si="190"/>
        <v>9490.7600000000384</v>
      </c>
      <c r="S2373" s="24" t="s">
        <v>1334</v>
      </c>
      <c r="T2373" s="24" t="s">
        <v>1334</v>
      </c>
      <c r="U2373" s="55"/>
      <c r="V2373" s="25">
        <f>IFERROR(VLOOKUP(BCP_Soles[[#This Row],[destinatario]],CHOOSE({1,2},Clientes_Proveedores[Razon Social],Clientes_Proveedores[Ruc / Dni]),2,0),"")</f>
        <v>20100055237</v>
      </c>
      <c r="W2373" s="25"/>
      <c r="X2373" s="25"/>
      <c r="Y2373" s="25"/>
      <c r="Z2373" s="75" t="s">
        <v>3666</v>
      </c>
      <c r="AA2373" s="3" t="str">
        <f>IF(BCP_Soles[[#This Row],[fecha]]&gt;0,TEXT(BCP_Soles[[#This Row],[fecha]],"mmmm"),0)</f>
        <v>Julio</v>
      </c>
    </row>
    <row r="2374" spans="1:27" x14ac:dyDescent="0.3">
      <c r="A2374" s="2">
        <f>IF(BCP_Soles[[#This Row],[tipo_registro]]="R",COUNTIFS($C$1:$C2373,"R")+1,A2373)</f>
        <v>1755</v>
      </c>
      <c r="B2374" s="19" t="str">
        <f t="shared" si="191"/>
        <v>B-BCP - Soles</v>
      </c>
      <c r="C2374" s="3" t="s">
        <v>1352</v>
      </c>
      <c r="D2374" s="14">
        <v>45839</v>
      </c>
      <c r="E2374" s="5" t="s">
        <v>3190</v>
      </c>
      <c r="F2374" s="5"/>
      <c r="G2374" s="6" t="s">
        <v>196</v>
      </c>
      <c r="H2374" s="6" t="s">
        <v>68</v>
      </c>
      <c r="I2374" s="6" t="s">
        <v>2226</v>
      </c>
      <c r="J2374" s="6">
        <v>6529</v>
      </c>
      <c r="K2374" s="7" t="s">
        <v>3665</v>
      </c>
      <c r="L2374" s="8">
        <v>1009891</v>
      </c>
      <c r="M2374" s="8" t="str">
        <f t="shared" si="192"/>
        <v>PEN</v>
      </c>
      <c r="N2374" s="13">
        <v>3</v>
      </c>
      <c r="O2374" s="13"/>
      <c r="P2374" s="3">
        <f t="shared" si="193"/>
        <v>0</v>
      </c>
      <c r="Q2374" s="3">
        <f t="shared" si="194"/>
        <v>0</v>
      </c>
      <c r="R2374" s="3">
        <f t="shared" si="190"/>
        <v>9490.7600000000384</v>
      </c>
      <c r="S2374" s="24" t="s">
        <v>1334</v>
      </c>
      <c r="T2374" s="24" t="s">
        <v>1334</v>
      </c>
      <c r="U2374" s="55"/>
      <c r="V2374" s="25">
        <f>IFERROR(VLOOKUP(BCP_Soles[[#This Row],[destinatario]],CHOOSE({1,2},Clientes_Proveedores[Razon Social],Clientes_Proveedores[Ruc / Dni]),2,0),"")</f>
        <v>20100055237</v>
      </c>
      <c r="W2374" s="25"/>
      <c r="X2374" s="25"/>
      <c r="Y2374" s="25"/>
      <c r="Z2374" s="75" t="s">
        <v>3666</v>
      </c>
      <c r="AA2374" s="3" t="str">
        <f>IF(BCP_Soles[[#This Row],[fecha]]&gt;0,TEXT(BCP_Soles[[#This Row],[fecha]],"mmmm"),0)</f>
        <v>Julio</v>
      </c>
    </row>
    <row r="2375" spans="1:27" x14ac:dyDescent="0.3">
      <c r="A2375" s="2">
        <f>IF(BCP_Soles[[#This Row],[tipo_registro]]="R",COUNTIFS($C$1:$C2374,"R")+1,A2374)</f>
        <v>1755</v>
      </c>
      <c r="B2375" s="19" t="str">
        <f t="shared" si="191"/>
        <v>B-BCP - Soles</v>
      </c>
      <c r="C2375" s="3" t="s">
        <v>1352</v>
      </c>
      <c r="D2375" s="14">
        <v>45839</v>
      </c>
      <c r="E2375" s="5" t="s">
        <v>3190</v>
      </c>
      <c r="F2375" s="5"/>
      <c r="G2375" s="6" t="s">
        <v>196</v>
      </c>
      <c r="H2375" s="6" t="s">
        <v>68</v>
      </c>
      <c r="I2375" s="6" t="s">
        <v>2226</v>
      </c>
      <c r="J2375" s="6">
        <v>6526</v>
      </c>
      <c r="K2375" s="7" t="s">
        <v>3665</v>
      </c>
      <c r="L2375" s="8">
        <v>1009891</v>
      </c>
      <c r="M2375" s="8" t="str">
        <f t="shared" si="192"/>
        <v>PEN</v>
      </c>
      <c r="N2375" s="13">
        <v>38</v>
      </c>
      <c r="O2375" s="13"/>
      <c r="P2375" s="3">
        <f t="shared" si="193"/>
        <v>0</v>
      </c>
      <c r="Q2375" s="3">
        <f t="shared" si="194"/>
        <v>0</v>
      </c>
      <c r="R2375" s="3">
        <f t="shared" si="190"/>
        <v>9490.7600000000384</v>
      </c>
      <c r="S2375" s="24" t="s">
        <v>1334</v>
      </c>
      <c r="T2375" s="24" t="s">
        <v>1334</v>
      </c>
      <c r="U2375" s="55"/>
      <c r="V2375" s="25">
        <f>IFERROR(VLOOKUP(BCP_Soles[[#This Row],[destinatario]],CHOOSE({1,2},Clientes_Proveedores[Razon Social],Clientes_Proveedores[Ruc / Dni]),2,0),"")</f>
        <v>20100055237</v>
      </c>
      <c r="W2375" s="25"/>
      <c r="X2375" s="25"/>
      <c r="Y2375" s="25"/>
      <c r="Z2375" s="75" t="s">
        <v>3666</v>
      </c>
      <c r="AA2375" s="3" t="str">
        <f>IF(BCP_Soles[[#This Row],[fecha]]&gt;0,TEXT(BCP_Soles[[#This Row],[fecha]],"mmmm"),0)</f>
        <v>Julio</v>
      </c>
    </row>
    <row r="2376" spans="1:27" x14ac:dyDescent="0.3">
      <c r="A2376" s="2">
        <f>IF(BCP_Soles[[#This Row],[tipo_registro]]="R",COUNTIFS($C$1:$C2375,"R")+1,A2375)</f>
        <v>1755</v>
      </c>
      <c r="B2376" s="19" t="str">
        <f t="shared" si="191"/>
        <v>B-BCP - Soles</v>
      </c>
      <c r="C2376" s="3" t="s">
        <v>1352</v>
      </c>
      <c r="D2376" s="14">
        <v>45839</v>
      </c>
      <c r="E2376" s="5" t="s">
        <v>3190</v>
      </c>
      <c r="F2376" s="5"/>
      <c r="G2376" s="6" t="s">
        <v>196</v>
      </c>
      <c r="H2376" s="6" t="s">
        <v>68</v>
      </c>
      <c r="I2376" s="6" t="s">
        <v>2226</v>
      </c>
      <c r="J2376" s="6">
        <v>6521</v>
      </c>
      <c r="K2376" s="7" t="s">
        <v>3665</v>
      </c>
      <c r="L2376" s="8">
        <v>1009891</v>
      </c>
      <c r="M2376" s="8" t="str">
        <f t="shared" si="192"/>
        <v>PEN</v>
      </c>
      <c r="N2376" s="13">
        <v>130</v>
      </c>
      <c r="O2376" s="13"/>
      <c r="P2376" s="3">
        <f t="shared" si="193"/>
        <v>0</v>
      </c>
      <c r="Q2376" s="3">
        <f t="shared" si="194"/>
        <v>0</v>
      </c>
      <c r="R2376" s="3">
        <f t="shared" si="190"/>
        <v>9490.7600000000384</v>
      </c>
      <c r="S2376" s="24" t="s">
        <v>1334</v>
      </c>
      <c r="T2376" s="24" t="s">
        <v>1334</v>
      </c>
      <c r="U2376" s="55"/>
      <c r="V2376" s="25">
        <f>IFERROR(VLOOKUP(BCP_Soles[[#This Row],[destinatario]],CHOOSE({1,2},Clientes_Proveedores[Razon Social],Clientes_Proveedores[Ruc / Dni]),2,0),"")</f>
        <v>20100055237</v>
      </c>
      <c r="W2376" s="25"/>
      <c r="X2376" s="25"/>
      <c r="Y2376" s="25"/>
      <c r="Z2376" s="75" t="s">
        <v>3666</v>
      </c>
      <c r="AA2376" s="3" t="str">
        <f>IF(BCP_Soles[[#This Row],[fecha]]&gt;0,TEXT(BCP_Soles[[#This Row],[fecha]],"mmmm"),0)</f>
        <v>Julio</v>
      </c>
    </row>
    <row r="2377" spans="1:27" x14ac:dyDescent="0.3">
      <c r="A2377" s="2">
        <f>IF(BCP_Soles[[#This Row],[tipo_registro]]="R",COUNTIFS($C$1:$C2376,"R")+1,A2376)</f>
        <v>1755</v>
      </c>
      <c r="B2377" s="19" t="str">
        <f t="shared" si="191"/>
        <v>B-BCP - Soles</v>
      </c>
      <c r="C2377" s="3" t="s">
        <v>1352</v>
      </c>
      <c r="D2377" s="14">
        <v>45839</v>
      </c>
      <c r="E2377" s="5" t="s">
        <v>3190</v>
      </c>
      <c r="F2377" s="5"/>
      <c r="G2377" s="6" t="s">
        <v>196</v>
      </c>
      <c r="H2377" s="6" t="s">
        <v>68</v>
      </c>
      <c r="I2377" s="6" t="s">
        <v>2226</v>
      </c>
      <c r="J2377" s="6">
        <v>6527</v>
      </c>
      <c r="K2377" s="7" t="s">
        <v>3665</v>
      </c>
      <c r="L2377" s="8">
        <v>1009891</v>
      </c>
      <c r="M2377" s="8" t="str">
        <f t="shared" si="192"/>
        <v>PEN</v>
      </c>
      <c r="N2377" s="13">
        <v>61</v>
      </c>
      <c r="O2377" s="13"/>
      <c r="P2377" s="3">
        <f t="shared" si="193"/>
        <v>0</v>
      </c>
      <c r="Q2377" s="3">
        <f t="shared" si="194"/>
        <v>0</v>
      </c>
      <c r="R2377" s="3">
        <f t="shared" ref="R2377:R2440" si="195">IFERROR(IF(F2377="SALDO",P2377,R2376+P2377-Q2377),0)</f>
        <v>9490.7600000000384</v>
      </c>
      <c r="S2377" s="24" t="s">
        <v>1334</v>
      </c>
      <c r="T2377" s="24" t="s">
        <v>1334</v>
      </c>
      <c r="U2377" s="55"/>
      <c r="V2377" s="25">
        <f>IFERROR(VLOOKUP(BCP_Soles[[#This Row],[destinatario]],CHOOSE({1,2},Clientes_Proveedores[Razon Social],Clientes_Proveedores[Ruc / Dni]),2,0),"")</f>
        <v>20100055237</v>
      </c>
      <c r="W2377" s="25"/>
      <c r="X2377" s="25"/>
      <c r="Y2377" s="25"/>
      <c r="Z2377" s="75" t="s">
        <v>3666</v>
      </c>
      <c r="AA2377" s="3" t="str">
        <f>IF(BCP_Soles[[#This Row],[fecha]]&gt;0,TEXT(BCP_Soles[[#This Row],[fecha]],"mmmm"),0)</f>
        <v>Julio</v>
      </c>
    </row>
    <row r="2378" spans="1:27" x14ac:dyDescent="0.3">
      <c r="A2378" s="2">
        <f>IF(BCP_Soles[[#This Row],[tipo_registro]]="R",COUNTIFS($C$1:$C2377,"R")+1,A2377)</f>
        <v>1755</v>
      </c>
      <c r="B2378" s="19" t="str">
        <f t="shared" si="191"/>
        <v>B-BCP - Soles</v>
      </c>
      <c r="C2378" s="3" t="s">
        <v>1352</v>
      </c>
      <c r="D2378" s="14">
        <v>45839</v>
      </c>
      <c r="E2378" s="5" t="s">
        <v>3190</v>
      </c>
      <c r="F2378" s="5"/>
      <c r="G2378" s="6" t="s">
        <v>196</v>
      </c>
      <c r="H2378" s="6" t="s">
        <v>68</v>
      </c>
      <c r="I2378" s="6" t="s">
        <v>2226</v>
      </c>
      <c r="J2378" s="6">
        <v>6524</v>
      </c>
      <c r="K2378" s="7" t="s">
        <v>3665</v>
      </c>
      <c r="L2378" s="8">
        <v>1009891</v>
      </c>
      <c r="M2378" s="8" t="str">
        <f t="shared" si="192"/>
        <v>PEN</v>
      </c>
      <c r="N2378" s="13">
        <v>92</v>
      </c>
      <c r="O2378" s="13"/>
      <c r="P2378" s="3">
        <f t="shared" si="193"/>
        <v>0</v>
      </c>
      <c r="Q2378" s="3">
        <f t="shared" si="194"/>
        <v>0</v>
      </c>
      <c r="R2378" s="3">
        <f t="shared" si="195"/>
        <v>9490.7600000000384</v>
      </c>
      <c r="S2378" s="24" t="s">
        <v>1334</v>
      </c>
      <c r="T2378" s="24" t="s">
        <v>1334</v>
      </c>
      <c r="U2378" s="55"/>
      <c r="V2378" s="25">
        <f>IFERROR(VLOOKUP(BCP_Soles[[#This Row],[destinatario]],CHOOSE({1,2},Clientes_Proveedores[Razon Social],Clientes_Proveedores[Ruc / Dni]),2,0),"")</f>
        <v>20100055237</v>
      </c>
      <c r="W2378" s="25"/>
      <c r="X2378" s="25"/>
      <c r="Y2378" s="25"/>
      <c r="Z2378" s="75" t="s">
        <v>3666</v>
      </c>
      <c r="AA2378" s="3" t="str">
        <f>IF(BCP_Soles[[#This Row],[fecha]]&gt;0,TEXT(BCP_Soles[[#This Row],[fecha]],"mmmm"),0)</f>
        <v>Julio</v>
      </c>
    </row>
    <row r="2379" spans="1:27" x14ac:dyDescent="0.3">
      <c r="A2379" s="2">
        <f>IF(BCP_Soles[[#This Row],[tipo_registro]]="R",COUNTIFS($C$1:$C2378,"R")+1,A2378)</f>
        <v>1755</v>
      </c>
      <c r="B2379" s="19" t="str">
        <f t="shared" si="191"/>
        <v>B-BCP - Soles</v>
      </c>
      <c r="C2379" s="3" t="s">
        <v>1352</v>
      </c>
      <c r="D2379" s="14">
        <v>45839</v>
      </c>
      <c r="E2379" s="5" t="s">
        <v>3190</v>
      </c>
      <c r="F2379" s="5"/>
      <c r="G2379" s="6" t="s">
        <v>196</v>
      </c>
      <c r="H2379" s="6" t="s">
        <v>68</v>
      </c>
      <c r="I2379" s="6" t="s">
        <v>2226</v>
      </c>
      <c r="J2379" s="6">
        <v>6525</v>
      </c>
      <c r="K2379" s="7" t="s">
        <v>3665</v>
      </c>
      <c r="L2379" s="8">
        <v>1009891</v>
      </c>
      <c r="M2379" s="8" t="str">
        <f t="shared" si="192"/>
        <v>PEN</v>
      </c>
      <c r="N2379" s="13">
        <v>2</v>
      </c>
      <c r="O2379" s="13"/>
      <c r="P2379" s="3">
        <f t="shared" si="193"/>
        <v>0</v>
      </c>
      <c r="Q2379" s="3">
        <f t="shared" si="194"/>
        <v>0</v>
      </c>
      <c r="R2379" s="3">
        <f t="shared" si="195"/>
        <v>9490.7600000000384</v>
      </c>
      <c r="S2379" s="24" t="s">
        <v>1334</v>
      </c>
      <c r="T2379" s="24" t="s">
        <v>1334</v>
      </c>
      <c r="U2379" s="55"/>
      <c r="V2379" s="25">
        <f>IFERROR(VLOOKUP(BCP_Soles[[#This Row],[destinatario]],CHOOSE({1,2},Clientes_Proveedores[Razon Social],Clientes_Proveedores[Ruc / Dni]),2,0),"")</f>
        <v>20100055237</v>
      </c>
      <c r="W2379" s="25"/>
      <c r="X2379" s="25"/>
      <c r="Y2379" s="25"/>
      <c r="Z2379" s="75" t="s">
        <v>3666</v>
      </c>
      <c r="AA2379" s="3" t="str">
        <f>IF(BCP_Soles[[#This Row],[fecha]]&gt;0,TEXT(BCP_Soles[[#This Row],[fecha]],"mmmm"),0)</f>
        <v>Julio</v>
      </c>
    </row>
    <row r="2380" spans="1:27" x14ac:dyDescent="0.3">
      <c r="A2380" s="2">
        <f>IF(BCP_Soles[[#This Row],[tipo_registro]]="R",COUNTIFS($C$1:$C2379,"R")+1,A2379)</f>
        <v>1755</v>
      </c>
      <c r="B2380" s="19" t="str">
        <f t="shared" si="191"/>
        <v>B-BCP - Soles</v>
      </c>
      <c r="C2380" s="3" t="s">
        <v>1352</v>
      </c>
      <c r="D2380" s="14">
        <v>45839</v>
      </c>
      <c r="E2380" s="5" t="s">
        <v>3190</v>
      </c>
      <c r="F2380" s="5"/>
      <c r="G2380" s="6" t="s">
        <v>196</v>
      </c>
      <c r="H2380" s="6" t="s">
        <v>68</v>
      </c>
      <c r="I2380" s="6" t="s">
        <v>2226</v>
      </c>
      <c r="J2380" s="6">
        <v>6522</v>
      </c>
      <c r="K2380" s="7" t="s">
        <v>3665</v>
      </c>
      <c r="L2380" s="8">
        <v>1009891</v>
      </c>
      <c r="M2380" s="8" t="str">
        <f t="shared" si="192"/>
        <v>PEN</v>
      </c>
      <c r="N2380" s="13">
        <v>26</v>
      </c>
      <c r="O2380" s="13"/>
      <c r="P2380" s="3">
        <f t="shared" si="193"/>
        <v>0</v>
      </c>
      <c r="Q2380" s="3">
        <f t="shared" si="194"/>
        <v>0</v>
      </c>
      <c r="R2380" s="3">
        <f t="shared" si="195"/>
        <v>9490.7600000000384</v>
      </c>
      <c r="S2380" s="24" t="s">
        <v>1334</v>
      </c>
      <c r="T2380" s="24" t="s">
        <v>1334</v>
      </c>
      <c r="U2380" s="55"/>
      <c r="V2380" s="25">
        <f>IFERROR(VLOOKUP(BCP_Soles[[#This Row],[destinatario]],CHOOSE({1,2},Clientes_Proveedores[Razon Social],Clientes_Proveedores[Ruc / Dni]),2,0),"")</f>
        <v>20100055237</v>
      </c>
      <c r="W2380" s="25"/>
      <c r="X2380" s="25"/>
      <c r="Y2380" s="25"/>
      <c r="Z2380" s="75" t="s">
        <v>3666</v>
      </c>
      <c r="AA2380" s="3" t="str">
        <f>IF(BCP_Soles[[#This Row],[fecha]]&gt;0,TEXT(BCP_Soles[[#This Row],[fecha]],"mmmm"),0)</f>
        <v>Julio</v>
      </c>
    </row>
    <row r="2381" spans="1:27" x14ac:dyDescent="0.3">
      <c r="A2381" s="2">
        <f>IF(BCP_Soles[[#This Row],[tipo_registro]]="R",COUNTIFS($C$1:$C2380,"R")+1,A2380)</f>
        <v>1755</v>
      </c>
      <c r="B2381" s="19" t="str">
        <f t="shared" si="191"/>
        <v>B-BCP - Soles</v>
      </c>
      <c r="C2381" s="3" t="s">
        <v>1352</v>
      </c>
      <c r="D2381" s="14">
        <v>45839</v>
      </c>
      <c r="E2381" s="5" t="s">
        <v>3190</v>
      </c>
      <c r="F2381" s="5"/>
      <c r="G2381" s="6" t="s">
        <v>196</v>
      </c>
      <c r="H2381" s="6" t="s">
        <v>68</v>
      </c>
      <c r="I2381" s="6" t="s">
        <v>2226</v>
      </c>
      <c r="J2381" s="6">
        <v>6523</v>
      </c>
      <c r="K2381" s="7" t="s">
        <v>3665</v>
      </c>
      <c r="L2381" s="8">
        <v>1009891</v>
      </c>
      <c r="M2381" s="8" t="str">
        <f t="shared" si="192"/>
        <v>PEN</v>
      </c>
      <c r="N2381" s="13">
        <v>10</v>
      </c>
      <c r="O2381" s="13"/>
      <c r="P2381" s="3">
        <f t="shared" si="193"/>
        <v>0</v>
      </c>
      <c r="Q2381" s="3">
        <f t="shared" si="194"/>
        <v>0</v>
      </c>
      <c r="R2381" s="3">
        <f t="shared" si="195"/>
        <v>9490.7600000000384</v>
      </c>
      <c r="S2381" s="24" t="s">
        <v>1334</v>
      </c>
      <c r="T2381" s="24" t="s">
        <v>1334</v>
      </c>
      <c r="U2381" s="55"/>
      <c r="V2381" s="25">
        <f>IFERROR(VLOOKUP(BCP_Soles[[#This Row],[destinatario]],CHOOSE({1,2},Clientes_Proveedores[Razon Social],Clientes_Proveedores[Ruc / Dni]),2,0),"")</f>
        <v>20100055237</v>
      </c>
      <c r="W2381" s="25"/>
      <c r="X2381" s="25"/>
      <c r="Y2381" s="25"/>
      <c r="Z2381" s="75" t="s">
        <v>3666</v>
      </c>
      <c r="AA2381" s="3" t="str">
        <f>IF(BCP_Soles[[#This Row],[fecha]]&gt;0,TEXT(BCP_Soles[[#This Row],[fecha]],"mmmm"),0)</f>
        <v>Julio</v>
      </c>
    </row>
    <row r="2382" spans="1:27" x14ac:dyDescent="0.3">
      <c r="A2382" s="2">
        <f>IF(BCP_Soles[[#This Row],[tipo_registro]]="R",COUNTIFS($C$1:$C2381,"R")+1,A2381)</f>
        <v>1755</v>
      </c>
      <c r="B2382" s="19" t="str">
        <f t="shared" si="191"/>
        <v>B-BCP - Soles</v>
      </c>
      <c r="C2382" s="3" t="s">
        <v>1352</v>
      </c>
      <c r="D2382" s="14">
        <v>45839</v>
      </c>
      <c r="E2382" s="5" t="s">
        <v>3190</v>
      </c>
      <c r="F2382" s="5"/>
      <c r="G2382" s="6" t="s">
        <v>196</v>
      </c>
      <c r="H2382" s="6" t="s">
        <v>68</v>
      </c>
      <c r="I2382" s="6" t="s">
        <v>2226</v>
      </c>
      <c r="J2382" s="6">
        <v>6532</v>
      </c>
      <c r="K2382" s="7" t="s">
        <v>3665</v>
      </c>
      <c r="L2382" s="8">
        <v>1009891</v>
      </c>
      <c r="M2382" s="8" t="str">
        <f t="shared" si="192"/>
        <v>PEN</v>
      </c>
      <c r="N2382" s="13">
        <v>153</v>
      </c>
      <c r="O2382" s="13"/>
      <c r="P2382" s="3">
        <f t="shared" si="193"/>
        <v>0</v>
      </c>
      <c r="Q2382" s="3">
        <f t="shared" si="194"/>
        <v>0</v>
      </c>
      <c r="R2382" s="3">
        <f t="shared" si="195"/>
        <v>9490.7600000000384</v>
      </c>
      <c r="S2382" s="24" t="s">
        <v>1334</v>
      </c>
      <c r="T2382" s="24" t="s">
        <v>1334</v>
      </c>
      <c r="U2382" s="55"/>
      <c r="V2382" s="25">
        <f>IFERROR(VLOOKUP(BCP_Soles[[#This Row],[destinatario]],CHOOSE({1,2},Clientes_Proveedores[Razon Social],Clientes_Proveedores[Ruc / Dni]),2,0),"")</f>
        <v>20100055237</v>
      </c>
      <c r="W2382" s="25"/>
      <c r="X2382" s="25"/>
      <c r="Y2382" s="25"/>
      <c r="Z2382" s="75" t="s">
        <v>3666</v>
      </c>
      <c r="AA2382" s="3" t="str">
        <f>IF(BCP_Soles[[#This Row],[fecha]]&gt;0,TEXT(BCP_Soles[[#This Row],[fecha]],"mmmm"),0)</f>
        <v>Julio</v>
      </c>
    </row>
    <row r="2383" spans="1:27" x14ac:dyDescent="0.3">
      <c r="A2383" s="2">
        <f>IF(BCP_Soles[[#This Row],[tipo_registro]]="R",COUNTIFS($C$1:$C2382,"R")+1,A2382)</f>
        <v>1755</v>
      </c>
      <c r="B2383" s="19" t="str">
        <f t="shared" si="191"/>
        <v>B-BCP - Soles</v>
      </c>
      <c r="C2383" s="3" t="s">
        <v>1352</v>
      </c>
      <c r="D2383" s="14">
        <v>45839</v>
      </c>
      <c r="E2383" s="5" t="s">
        <v>3190</v>
      </c>
      <c r="F2383" s="5"/>
      <c r="G2383" s="6" t="s">
        <v>196</v>
      </c>
      <c r="H2383" s="6" t="s">
        <v>68</v>
      </c>
      <c r="I2383" s="6" t="s">
        <v>2226</v>
      </c>
      <c r="J2383" s="6">
        <v>6530</v>
      </c>
      <c r="K2383" s="7" t="s">
        <v>3665</v>
      </c>
      <c r="L2383" s="8">
        <v>1009891</v>
      </c>
      <c r="M2383" s="8" t="str">
        <f t="shared" si="192"/>
        <v>PEN</v>
      </c>
      <c r="N2383" s="13">
        <v>84</v>
      </c>
      <c r="O2383" s="13"/>
      <c r="P2383" s="3">
        <f t="shared" si="193"/>
        <v>0</v>
      </c>
      <c r="Q2383" s="3">
        <f t="shared" si="194"/>
        <v>0</v>
      </c>
      <c r="R2383" s="3">
        <f t="shared" si="195"/>
        <v>9490.7600000000384</v>
      </c>
      <c r="S2383" s="24" t="s">
        <v>1334</v>
      </c>
      <c r="T2383" s="24" t="s">
        <v>1334</v>
      </c>
      <c r="U2383" s="55"/>
      <c r="V2383" s="25">
        <f>IFERROR(VLOOKUP(BCP_Soles[[#This Row],[destinatario]],CHOOSE({1,2},Clientes_Proveedores[Razon Social],Clientes_Proveedores[Ruc / Dni]),2,0),"")</f>
        <v>20100055237</v>
      </c>
      <c r="W2383" s="25"/>
      <c r="X2383" s="25"/>
      <c r="Y2383" s="25"/>
      <c r="Z2383" s="75" t="s">
        <v>3666</v>
      </c>
      <c r="AA2383" s="3" t="str">
        <f>IF(BCP_Soles[[#This Row],[fecha]]&gt;0,TEXT(BCP_Soles[[#This Row],[fecha]],"mmmm"),0)</f>
        <v>Julio</v>
      </c>
    </row>
    <row r="2384" spans="1:27" x14ac:dyDescent="0.3">
      <c r="A2384" s="2">
        <f>IF(BCP_Soles[[#This Row],[tipo_registro]]="R",COUNTIFS($C$1:$C2383,"R")+1,A2383)</f>
        <v>1755</v>
      </c>
      <c r="B2384" s="19" t="str">
        <f t="shared" si="191"/>
        <v>B-BCP - Soles</v>
      </c>
      <c r="C2384" s="3" t="s">
        <v>1352</v>
      </c>
      <c r="D2384" s="14">
        <v>45839</v>
      </c>
      <c r="E2384" s="5" t="s">
        <v>3190</v>
      </c>
      <c r="F2384" s="5"/>
      <c r="G2384" s="6" t="s">
        <v>196</v>
      </c>
      <c r="H2384" s="6" t="s">
        <v>68</v>
      </c>
      <c r="I2384" s="6" t="s">
        <v>2226</v>
      </c>
      <c r="J2384" s="6">
        <v>6531</v>
      </c>
      <c r="K2384" s="7" t="s">
        <v>3665</v>
      </c>
      <c r="L2384" s="8">
        <v>1009891</v>
      </c>
      <c r="M2384" s="8" t="str">
        <f t="shared" si="192"/>
        <v>PEN</v>
      </c>
      <c r="N2384" s="13">
        <v>14</v>
      </c>
      <c r="O2384" s="13"/>
      <c r="P2384" s="3">
        <f t="shared" si="193"/>
        <v>0</v>
      </c>
      <c r="Q2384" s="3">
        <f t="shared" si="194"/>
        <v>0</v>
      </c>
      <c r="R2384" s="3">
        <f t="shared" si="195"/>
        <v>9490.7600000000384</v>
      </c>
      <c r="S2384" s="24" t="s">
        <v>1334</v>
      </c>
      <c r="T2384" s="24" t="s">
        <v>1334</v>
      </c>
      <c r="U2384" s="55"/>
      <c r="V2384" s="25">
        <f>IFERROR(VLOOKUP(BCP_Soles[[#This Row],[destinatario]],CHOOSE({1,2},Clientes_Proveedores[Razon Social],Clientes_Proveedores[Ruc / Dni]),2,0),"")</f>
        <v>20100055237</v>
      </c>
      <c r="W2384" s="25"/>
      <c r="X2384" s="25"/>
      <c r="Y2384" s="25"/>
      <c r="Z2384" s="75" t="s">
        <v>3666</v>
      </c>
      <c r="AA2384" s="3" t="str">
        <f>IF(BCP_Soles[[#This Row],[fecha]]&gt;0,TEXT(BCP_Soles[[#This Row],[fecha]],"mmmm"),0)</f>
        <v>Julio</v>
      </c>
    </row>
    <row r="2385" spans="1:27" ht="24" x14ac:dyDescent="0.3">
      <c r="A2385" s="2">
        <f>IF(BCP_Soles[[#This Row],[tipo_registro]]="R",COUNTIFS($C$1:$C2384,"R")+1,A2384)</f>
        <v>1755</v>
      </c>
      <c r="B2385" s="19" t="str">
        <f t="shared" si="191"/>
        <v>B-BCP - Soles</v>
      </c>
      <c r="C2385" s="3" t="s">
        <v>1352</v>
      </c>
      <c r="D2385" s="14">
        <v>45839</v>
      </c>
      <c r="E2385" s="5" t="s">
        <v>3190</v>
      </c>
      <c r="F2385" s="5"/>
      <c r="G2385" s="6" t="s">
        <v>204</v>
      </c>
      <c r="H2385" s="6" t="s">
        <v>68</v>
      </c>
      <c r="I2385" s="6" t="s">
        <v>1390</v>
      </c>
      <c r="J2385" s="6">
        <v>16320</v>
      </c>
      <c r="K2385" s="7" t="s">
        <v>3665</v>
      </c>
      <c r="L2385" s="8">
        <v>1009891</v>
      </c>
      <c r="M2385" s="8" t="str">
        <f t="shared" si="192"/>
        <v>PEN</v>
      </c>
      <c r="N2385" s="13">
        <v>55</v>
      </c>
      <c r="O2385" s="13"/>
      <c r="P2385" s="3">
        <f t="shared" si="193"/>
        <v>0</v>
      </c>
      <c r="Q2385" s="3">
        <f t="shared" si="194"/>
        <v>0</v>
      </c>
      <c r="R2385" s="3">
        <f t="shared" si="195"/>
        <v>9490.7600000000384</v>
      </c>
      <c r="S2385" s="24" t="s">
        <v>1334</v>
      </c>
      <c r="T2385" s="24" t="s">
        <v>1334</v>
      </c>
      <c r="U2385" s="55"/>
      <c r="V2385" s="25">
        <f>IFERROR(VLOOKUP(BCP_Soles[[#This Row],[destinatario]],CHOOSE({1,2},Clientes_Proveedores[Razon Social],Clientes_Proveedores[Ruc / Dni]),2,0),"")</f>
        <v>20100192064</v>
      </c>
      <c r="W2385" s="25"/>
      <c r="X2385" s="25"/>
      <c r="Y2385" s="25"/>
      <c r="Z2385" s="75" t="s">
        <v>3666</v>
      </c>
      <c r="AA2385" s="3" t="str">
        <f>IF(BCP_Soles[[#This Row],[fecha]]&gt;0,TEXT(BCP_Soles[[#This Row],[fecha]],"mmmm"),0)</f>
        <v>Julio</v>
      </c>
    </row>
    <row r="2386" spans="1:27" ht="24" x14ac:dyDescent="0.3">
      <c r="A2386" s="2">
        <f>IF(BCP_Soles[[#This Row],[tipo_registro]]="R",COUNTIFS($C$1:$C2385,"R")+1,A2385)</f>
        <v>1755</v>
      </c>
      <c r="B2386" s="19" t="str">
        <f t="shared" si="191"/>
        <v>B-BCP - Soles</v>
      </c>
      <c r="C2386" s="3" t="s">
        <v>1352</v>
      </c>
      <c r="D2386" s="14">
        <v>45839</v>
      </c>
      <c r="E2386" s="5" t="s">
        <v>3190</v>
      </c>
      <c r="F2386" s="5"/>
      <c r="G2386" s="6" t="s">
        <v>204</v>
      </c>
      <c r="H2386" s="6" t="s">
        <v>68</v>
      </c>
      <c r="I2386" s="6" t="s">
        <v>1390</v>
      </c>
      <c r="J2386" s="6">
        <v>16313</v>
      </c>
      <c r="K2386" s="7" t="s">
        <v>3665</v>
      </c>
      <c r="L2386" s="8">
        <v>1009891</v>
      </c>
      <c r="M2386" s="8" t="str">
        <f t="shared" si="192"/>
        <v>PEN</v>
      </c>
      <c r="N2386" s="13">
        <v>22</v>
      </c>
      <c r="O2386" s="13"/>
      <c r="P2386" s="3">
        <f t="shared" si="193"/>
        <v>0</v>
      </c>
      <c r="Q2386" s="3">
        <f t="shared" si="194"/>
        <v>0</v>
      </c>
      <c r="R2386" s="3">
        <f t="shared" si="195"/>
        <v>9490.7600000000384</v>
      </c>
      <c r="S2386" s="24" t="s">
        <v>1334</v>
      </c>
      <c r="T2386" s="24" t="s">
        <v>1334</v>
      </c>
      <c r="U2386" s="55"/>
      <c r="V2386" s="25">
        <f>IFERROR(VLOOKUP(BCP_Soles[[#This Row],[destinatario]],CHOOSE({1,2},Clientes_Proveedores[Razon Social],Clientes_Proveedores[Ruc / Dni]),2,0),"")</f>
        <v>20100192064</v>
      </c>
      <c r="W2386" s="25"/>
      <c r="X2386" s="25"/>
      <c r="Y2386" s="25"/>
      <c r="Z2386" s="75" t="s">
        <v>3666</v>
      </c>
      <c r="AA2386" s="3" t="str">
        <f>IF(BCP_Soles[[#This Row],[fecha]]&gt;0,TEXT(BCP_Soles[[#This Row],[fecha]],"mmmm"),0)</f>
        <v>Julio</v>
      </c>
    </row>
    <row r="2387" spans="1:27" ht="24" x14ac:dyDescent="0.3">
      <c r="A2387" s="2">
        <f>IF(BCP_Soles[[#This Row],[tipo_registro]]="R",COUNTIFS($C$1:$C2386,"R")+1,A2386)</f>
        <v>1755</v>
      </c>
      <c r="B2387" s="19" t="str">
        <f t="shared" si="191"/>
        <v>B-BCP - Soles</v>
      </c>
      <c r="C2387" s="3" t="s">
        <v>1352</v>
      </c>
      <c r="D2387" s="14">
        <v>45839</v>
      </c>
      <c r="E2387" s="5" t="s">
        <v>3190</v>
      </c>
      <c r="F2387" s="5"/>
      <c r="G2387" s="6" t="s">
        <v>464</v>
      </c>
      <c r="H2387" s="6" t="s">
        <v>68</v>
      </c>
      <c r="I2387" s="6" t="s">
        <v>1376</v>
      </c>
      <c r="J2387" s="6">
        <v>844</v>
      </c>
      <c r="K2387" s="7" t="s">
        <v>3665</v>
      </c>
      <c r="L2387" s="8">
        <v>1009891</v>
      </c>
      <c r="M2387" s="8" t="str">
        <f t="shared" si="192"/>
        <v>PEN</v>
      </c>
      <c r="N2387" s="13">
        <v>76</v>
      </c>
      <c r="O2387" s="13"/>
      <c r="P2387" s="3">
        <f t="shared" si="193"/>
        <v>0</v>
      </c>
      <c r="Q2387" s="3">
        <f t="shared" si="194"/>
        <v>0</v>
      </c>
      <c r="R2387" s="3">
        <f t="shared" si="195"/>
        <v>9490.7600000000384</v>
      </c>
      <c r="S2387" s="24" t="s">
        <v>1334</v>
      </c>
      <c r="T2387" s="24" t="s">
        <v>1334</v>
      </c>
      <c r="U2387" s="55"/>
      <c r="V2387" s="25">
        <f>IFERROR(VLOOKUP(BCP_Soles[[#This Row],[destinatario]],CHOOSE({1,2},Clientes_Proveedores[Razon Social],Clientes_Proveedores[Ruc / Dni]),2,0),"")</f>
        <v>20601279666</v>
      </c>
      <c r="W2387" s="25"/>
      <c r="X2387" s="25"/>
      <c r="Y2387" s="25"/>
      <c r="Z2387" s="75" t="s">
        <v>3666</v>
      </c>
      <c r="AA2387" s="3" t="str">
        <f>IF(BCP_Soles[[#This Row],[fecha]]&gt;0,TEXT(BCP_Soles[[#This Row],[fecha]],"mmmm"),0)</f>
        <v>Julio</v>
      </c>
    </row>
    <row r="2388" spans="1:27" ht="36" x14ac:dyDescent="0.3">
      <c r="A2388" s="2">
        <f>IF(BCP_Soles[[#This Row],[tipo_registro]]="R",COUNTIFS($C$1:$C2387,"R")+1,A2387)</f>
        <v>1755</v>
      </c>
      <c r="B2388" s="19" t="str">
        <f t="shared" si="191"/>
        <v>B-BCP - Soles</v>
      </c>
      <c r="C2388" s="3" t="s">
        <v>1352</v>
      </c>
      <c r="D2388" s="14">
        <v>45839</v>
      </c>
      <c r="E2388" s="5" t="s">
        <v>3190</v>
      </c>
      <c r="F2388" s="5"/>
      <c r="G2388" s="6" t="s">
        <v>416</v>
      </c>
      <c r="H2388" s="6" t="s">
        <v>68</v>
      </c>
      <c r="I2388" s="6" t="s">
        <v>1376</v>
      </c>
      <c r="J2388" s="6">
        <v>888</v>
      </c>
      <c r="K2388" s="7" t="s">
        <v>3665</v>
      </c>
      <c r="L2388" s="8">
        <v>1009891</v>
      </c>
      <c r="M2388" s="8" t="str">
        <f t="shared" si="192"/>
        <v>PEN</v>
      </c>
      <c r="N2388" s="13">
        <v>72</v>
      </c>
      <c r="O2388" s="13"/>
      <c r="P2388" s="3">
        <f t="shared" si="193"/>
        <v>0</v>
      </c>
      <c r="Q2388" s="3">
        <f t="shared" si="194"/>
        <v>0</v>
      </c>
      <c r="R2388" s="3">
        <f t="shared" si="195"/>
        <v>9490.7600000000384</v>
      </c>
      <c r="S2388" s="24" t="s">
        <v>1334</v>
      </c>
      <c r="T2388" s="24" t="s">
        <v>1334</v>
      </c>
      <c r="U2388" s="55"/>
      <c r="V2388" s="25">
        <f>IFERROR(VLOOKUP(BCP_Soles[[#This Row],[destinatario]],CHOOSE({1,2},Clientes_Proveedores[Razon Social],Clientes_Proveedores[Ruc / Dni]),2,0),"")</f>
        <v>20554299441</v>
      </c>
      <c r="W2388" s="25"/>
      <c r="X2388" s="25"/>
      <c r="Y2388" s="25"/>
      <c r="Z2388" s="75" t="s">
        <v>3666</v>
      </c>
      <c r="AA2388" s="3" t="str">
        <f>IF(BCP_Soles[[#This Row],[fecha]]&gt;0,TEXT(BCP_Soles[[#This Row],[fecha]],"mmmm"),0)</f>
        <v>Julio</v>
      </c>
    </row>
    <row r="2389" spans="1:27" x14ac:dyDescent="0.3">
      <c r="A2389" s="2">
        <f>IF(BCP_Soles[[#This Row],[tipo_registro]]="R",COUNTIFS($C$1:$C2388,"R")+1,A2388)</f>
        <v>1755</v>
      </c>
      <c r="B2389" s="19" t="str">
        <f t="shared" si="191"/>
        <v>B-BCP - Soles</v>
      </c>
      <c r="C2389" s="3" t="s">
        <v>1352</v>
      </c>
      <c r="D2389" s="14">
        <v>45839</v>
      </c>
      <c r="E2389" s="5" t="s">
        <v>3190</v>
      </c>
      <c r="F2389" s="5"/>
      <c r="G2389" s="6" t="s">
        <v>286</v>
      </c>
      <c r="H2389" s="6" t="s">
        <v>68</v>
      </c>
      <c r="I2389" s="6" t="s">
        <v>1386</v>
      </c>
      <c r="J2389" s="6">
        <v>1708</v>
      </c>
      <c r="K2389" s="7" t="s">
        <v>3665</v>
      </c>
      <c r="L2389" s="8">
        <v>1009891</v>
      </c>
      <c r="M2389" s="8" t="str">
        <f t="shared" si="192"/>
        <v>PEN</v>
      </c>
      <c r="N2389" s="13">
        <v>15</v>
      </c>
      <c r="O2389" s="13"/>
      <c r="P2389" s="3">
        <f t="shared" si="193"/>
        <v>0</v>
      </c>
      <c r="Q2389" s="3">
        <f t="shared" si="194"/>
        <v>0</v>
      </c>
      <c r="R2389" s="3">
        <f t="shared" si="195"/>
        <v>9490.7600000000384</v>
      </c>
      <c r="S2389" s="24" t="s">
        <v>1334</v>
      </c>
      <c r="T2389" s="24" t="s">
        <v>1334</v>
      </c>
      <c r="U2389" s="55"/>
      <c r="V2389" s="25">
        <f>IFERROR(VLOOKUP(BCP_Soles[[#This Row],[destinatario]],CHOOSE({1,2},Clientes_Proveedores[Razon Social],Clientes_Proveedores[Ruc / Dni]),2,0),"")</f>
        <v>20454186002</v>
      </c>
      <c r="W2389" s="25"/>
      <c r="X2389" s="25"/>
      <c r="Y2389" s="25"/>
      <c r="Z2389" s="75" t="s">
        <v>3666</v>
      </c>
      <c r="AA2389" s="3" t="str">
        <f>IF(BCP_Soles[[#This Row],[fecha]]&gt;0,TEXT(BCP_Soles[[#This Row],[fecha]],"mmmm"),0)</f>
        <v>Julio</v>
      </c>
    </row>
    <row r="2390" spans="1:27" x14ac:dyDescent="0.3">
      <c r="A2390" s="2">
        <f>IF(BCP_Soles[[#This Row],[tipo_registro]]="R",COUNTIFS($C$1:$C2389,"R")+1,A2389)</f>
        <v>1755</v>
      </c>
      <c r="B2390" s="19" t="str">
        <f t="shared" si="191"/>
        <v>B-BCP - Soles</v>
      </c>
      <c r="C2390" s="3" t="s">
        <v>1352</v>
      </c>
      <c r="D2390" s="14">
        <v>45839</v>
      </c>
      <c r="E2390" s="5" t="s">
        <v>3190</v>
      </c>
      <c r="F2390" s="5"/>
      <c r="G2390" s="6" t="s">
        <v>286</v>
      </c>
      <c r="H2390" s="6" t="s">
        <v>68</v>
      </c>
      <c r="I2390" s="6" t="s">
        <v>1386</v>
      </c>
      <c r="J2390" s="6">
        <v>1707</v>
      </c>
      <c r="K2390" s="7" t="s">
        <v>3665</v>
      </c>
      <c r="L2390" s="8">
        <v>1009891</v>
      </c>
      <c r="M2390" s="8" t="str">
        <f t="shared" si="192"/>
        <v>PEN</v>
      </c>
      <c r="N2390" s="13">
        <v>78</v>
      </c>
      <c r="O2390" s="13"/>
      <c r="P2390" s="3">
        <f t="shared" si="193"/>
        <v>0</v>
      </c>
      <c r="Q2390" s="3">
        <f t="shared" si="194"/>
        <v>0</v>
      </c>
      <c r="R2390" s="3">
        <f t="shared" si="195"/>
        <v>9490.7600000000384</v>
      </c>
      <c r="S2390" s="24" t="s">
        <v>1334</v>
      </c>
      <c r="T2390" s="24" t="s">
        <v>1334</v>
      </c>
      <c r="U2390" s="55"/>
      <c r="V2390" s="25">
        <f>IFERROR(VLOOKUP(BCP_Soles[[#This Row],[destinatario]],CHOOSE({1,2},Clientes_Proveedores[Razon Social],Clientes_Proveedores[Ruc / Dni]),2,0),"")</f>
        <v>20454186002</v>
      </c>
      <c r="W2390" s="25"/>
      <c r="X2390" s="25"/>
      <c r="Y2390" s="25"/>
      <c r="Z2390" s="75" t="s">
        <v>3666</v>
      </c>
      <c r="AA2390" s="3" t="str">
        <f>IF(BCP_Soles[[#This Row],[fecha]]&gt;0,TEXT(BCP_Soles[[#This Row],[fecha]],"mmmm"),0)</f>
        <v>Julio</v>
      </c>
    </row>
    <row r="2391" spans="1:27" ht="24" x14ac:dyDescent="0.3">
      <c r="A2391" s="2">
        <f>IF(BCP_Soles[[#This Row],[tipo_registro]]="R",COUNTIFS($C$1:$C2390,"R")+1,A2390)</f>
        <v>1755</v>
      </c>
      <c r="B2391" s="19" t="str">
        <f t="shared" si="191"/>
        <v>B-BCP - Soles</v>
      </c>
      <c r="C2391" s="3" t="s">
        <v>1352</v>
      </c>
      <c r="D2391" s="14">
        <v>45839</v>
      </c>
      <c r="E2391" s="5" t="s">
        <v>3190</v>
      </c>
      <c r="F2391" s="5"/>
      <c r="G2391" s="6" t="s">
        <v>204</v>
      </c>
      <c r="H2391" s="6" t="s">
        <v>68</v>
      </c>
      <c r="I2391" s="6" t="s">
        <v>1390</v>
      </c>
      <c r="J2391" s="6">
        <v>16328</v>
      </c>
      <c r="K2391" s="7" t="s">
        <v>3665</v>
      </c>
      <c r="L2391" s="8">
        <v>1009891</v>
      </c>
      <c r="M2391" s="8" t="str">
        <f t="shared" si="192"/>
        <v>PEN</v>
      </c>
      <c r="N2391" s="13">
        <v>36</v>
      </c>
      <c r="O2391" s="13"/>
      <c r="P2391" s="3">
        <f t="shared" si="193"/>
        <v>0</v>
      </c>
      <c r="Q2391" s="3">
        <f t="shared" si="194"/>
        <v>0</v>
      </c>
      <c r="R2391" s="3">
        <f t="shared" si="195"/>
        <v>9490.7600000000384</v>
      </c>
      <c r="S2391" s="24" t="s">
        <v>1334</v>
      </c>
      <c r="T2391" s="24" t="s">
        <v>1334</v>
      </c>
      <c r="U2391" s="55"/>
      <c r="V2391" s="25">
        <f>IFERROR(VLOOKUP(BCP_Soles[[#This Row],[destinatario]],CHOOSE({1,2},Clientes_Proveedores[Razon Social],Clientes_Proveedores[Ruc / Dni]),2,0),"")</f>
        <v>20100192064</v>
      </c>
      <c r="W2391" s="25"/>
      <c r="X2391" s="25"/>
      <c r="Y2391" s="25"/>
      <c r="Z2391" s="75" t="s">
        <v>3666</v>
      </c>
      <c r="AA2391" s="3" t="str">
        <f>IF(BCP_Soles[[#This Row],[fecha]]&gt;0,TEXT(BCP_Soles[[#This Row],[fecha]],"mmmm"),0)</f>
        <v>Julio</v>
      </c>
    </row>
    <row r="2392" spans="1:27" ht="24" x14ac:dyDescent="0.3">
      <c r="A2392" s="2">
        <f>IF(BCP_Soles[[#This Row],[tipo_registro]]="R",COUNTIFS($C$1:$C2391,"R")+1,A2391)</f>
        <v>1755</v>
      </c>
      <c r="B2392" s="19" t="str">
        <f t="shared" ref="B2392:B2455" si="196">"B-BCP - Soles"</f>
        <v>B-BCP - Soles</v>
      </c>
      <c r="C2392" s="3" t="s">
        <v>1352</v>
      </c>
      <c r="D2392" s="14">
        <v>45839</v>
      </c>
      <c r="E2392" s="5" t="s">
        <v>3190</v>
      </c>
      <c r="F2392" s="5"/>
      <c r="G2392" s="6" t="s">
        <v>690</v>
      </c>
      <c r="H2392" s="6" t="s">
        <v>68</v>
      </c>
      <c r="I2392" s="6" t="s">
        <v>3667</v>
      </c>
      <c r="J2392" s="6">
        <v>12</v>
      </c>
      <c r="K2392" s="7" t="s">
        <v>3665</v>
      </c>
      <c r="L2392" s="8">
        <v>1009891</v>
      </c>
      <c r="M2392" s="8" t="str">
        <f t="shared" ref="M2392:M2455" si="197">"PEN"</f>
        <v>PEN</v>
      </c>
      <c r="N2392" s="13">
        <v>644</v>
      </c>
      <c r="O2392" s="13"/>
      <c r="P2392" s="3">
        <f t="shared" ref="P2392:P2455" si="198">+IF(OR($F2392="SALDO",$F2392="INGRESO"),$O2392,0)</f>
        <v>0</v>
      </c>
      <c r="Q2392" s="3">
        <f t="shared" ref="Q2392:Q2455" si="199">+IF($F2392="EGRESO",$O2392,0)</f>
        <v>0</v>
      </c>
      <c r="R2392" s="3">
        <f t="shared" si="195"/>
        <v>9490.7600000000384</v>
      </c>
      <c r="S2392" s="24" t="s">
        <v>1334</v>
      </c>
      <c r="T2392" s="24" t="s">
        <v>1334</v>
      </c>
      <c r="U2392" s="55"/>
      <c r="V2392" s="25">
        <f>IFERROR(VLOOKUP(BCP_Soles[[#This Row],[destinatario]],CHOOSE({1,2},Clientes_Proveedores[Razon Social],Clientes_Proveedores[Ruc / Dni]),2,0),"")</f>
        <v>20611523450</v>
      </c>
      <c r="W2392" s="25"/>
      <c r="X2392" s="25"/>
      <c r="Y2392" s="25"/>
      <c r="Z2392" s="75" t="s">
        <v>3666</v>
      </c>
      <c r="AA2392" s="3" t="str">
        <f>IF(BCP_Soles[[#This Row],[fecha]]&gt;0,TEXT(BCP_Soles[[#This Row],[fecha]],"mmmm"),0)</f>
        <v>Julio</v>
      </c>
    </row>
    <row r="2393" spans="1:27" ht="24" x14ac:dyDescent="0.3">
      <c r="A2393" s="2">
        <f>IF(BCP_Soles[[#This Row],[tipo_registro]]="R",COUNTIFS($C$1:$C2392,"R")+1,A2392)</f>
        <v>1755</v>
      </c>
      <c r="B2393" s="19" t="str">
        <f t="shared" si="196"/>
        <v>B-BCP - Soles</v>
      </c>
      <c r="C2393" s="3" t="s">
        <v>1352</v>
      </c>
      <c r="D2393" s="14">
        <v>45839</v>
      </c>
      <c r="E2393" s="5" t="s">
        <v>3190</v>
      </c>
      <c r="F2393" s="5"/>
      <c r="G2393" s="6" t="s">
        <v>204</v>
      </c>
      <c r="H2393" s="6" t="s">
        <v>68</v>
      </c>
      <c r="I2393" s="6" t="s">
        <v>1390</v>
      </c>
      <c r="J2393" s="6">
        <v>16295</v>
      </c>
      <c r="K2393" s="7" t="s">
        <v>3665</v>
      </c>
      <c r="L2393" s="8">
        <v>1009891</v>
      </c>
      <c r="M2393" s="8" t="str">
        <f t="shared" si="197"/>
        <v>PEN</v>
      </c>
      <c r="N2393" s="13">
        <v>34</v>
      </c>
      <c r="O2393" s="13"/>
      <c r="P2393" s="3">
        <f t="shared" si="198"/>
        <v>0</v>
      </c>
      <c r="Q2393" s="3">
        <f t="shared" si="199"/>
        <v>0</v>
      </c>
      <c r="R2393" s="3">
        <f t="shared" si="195"/>
        <v>9490.7600000000384</v>
      </c>
      <c r="S2393" s="24" t="s">
        <v>1334</v>
      </c>
      <c r="T2393" s="24" t="s">
        <v>1334</v>
      </c>
      <c r="U2393" s="55"/>
      <c r="V2393" s="25">
        <f>IFERROR(VLOOKUP(BCP_Soles[[#This Row],[destinatario]],CHOOSE({1,2},Clientes_Proveedores[Razon Social],Clientes_Proveedores[Ruc / Dni]),2,0),"")</f>
        <v>20100192064</v>
      </c>
      <c r="W2393" s="25"/>
      <c r="X2393" s="25"/>
      <c r="Y2393" s="25"/>
      <c r="Z2393" s="75" t="s">
        <v>3666</v>
      </c>
      <c r="AA2393" s="3" t="str">
        <f>IF(BCP_Soles[[#This Row],[fecha]]&gt;0,TEXT(BCP_Soles[[#This Row],[fecha]],"mmmm"),0)</f>
        <v>Julio</v>
      </c>
    </row>
    <row r="2394" spans="1:27" ht="24" x14ac:dyDescent="0.3">
      <c r="A2394" s="2">
        <f>IF(BCP_Soles[[#This Row],[tipo_registro]]="R",COUNTIFS($C$1:$C2393,"R")+1,A2393)</f>
        <v>1755</v>
      </c>
      <c r="B2394" s="19" t="str">
        <f t="shared" si="196"/>
        <v>B-BCP - Soles</v>
      </c>
      <c r="C2394" s="3" t="s">
        <v>1352</v>
      </c>
      <c r="D2394" s="14">
        <v>45839</v>
      </c>
      <c r="E2394" s="5" t="s">
        <v>3190</v>
      </c>
      <c r="F2394" s="5"/>
      <c r="G2394" s="6" t="s">
        <v>204</v>
      </c>
      <c r="H2394" s="6" t="s">
        <v>68</v>
      </c>
      <c r="I2394" s="6" t="s">
        <v>1390</v>
      </c>
      <c r="J2394" s="6">
        <v>16270</v>
      </c>
      <c r="K2394" s="7" t="s">
        <v>3665</v>
      </c>
      <c r="L2394" s="8">
        <v>1009891</v>
      </c>
      <c r="M2394" s="8" t="str">
        <f t="shared" si="197"/>
        <v>PEN</v>
      </c>
      <c r="N2394" s="13">
        <v>33</v>
      </c>
      <c r="O2394" s="13"/>
      <c r="P2394" s="3">
        <f t="shared" si="198"/>
        <v>0</v>
      </c>
      <c r="Q2394" s="3">
        <f t="shared" si="199"/>
        <v>0</v>
      </c>
      <c r="R2394" s="3">
        <f t="shared" si="195"/>
        <v>9490.7600000000384</v>
      </c>
      <c r="S2394" s="24" t="s">
        <v>1334</v>
      </c>
      <c r="T2394" s="24" t="s">
        <v>1334</v>
      </c>
      <c r="U2394" s="55"/>
      <c r="V2394" s="25">
        <f>IFERROR(VLOOKUP(BCP_Soles[[#This Row],[destinatario]],CHOOSE({1,2},Clientes_Proveedores[Razon Social],Clientes_Proveedores[Ruc / Dni]),2,0),"")</f>
        <v>20100192064</v>
      </c>
      <c r="W2394" s="25"/>
      <c r="X2394" s="25"/>
      <c r="Y2394" s="25"/>
      <c r="Z2394" s="75" t="s">
        <v>3666</v>
      </c>
      <c r="AA2394" s="3" t="str">
        <f>IF(BCP_Soles[[#This Row],[fecha]]&gt;0,TEXT(BCP_Soles[[#This Row],[fecha]],"mmmm"),0)</f>
        <v>Julio</v>
      </c>
    </row>
    <row r="2395" spans="1:27" ht="48" x14ac:dyDescent="0.3">
      <c r="A2395" s="2">
        <f>IF(BCP_Soles[[#This Row],[tipo_registro]]="R",COUNTIFS($C$1:$C2394,"R")+1,A2394)</f>
        <v>1756</v>
      </c>
      <c r="B2395" s="19" t="str">
        <f t="shared" si="196"/>
        <v>B-BCP - Soles</v>
      </c>
      <c r="C2395" s="3" t="s">
        <v>1330</v>
      </c>
      <c r="D2395" s="14">
        <v>45839</v>
      </c>
      <c r="E2395" s="5" t="s">
        <v>2269</v>
      </c>
      <c r="F2395" s="5" t="s">
        <v>1336</v>
      </c>
      <c r="G2395" s="6" t="s">
        <v>501</v>
      </c>
      <c r="H2395" s="6" t="s">
        <v>68</v>
      </c>
      <c r="I2395" s="6" t="s">
        <v>1650</v>
      </c>
      <c r="J2395" s="6">
        <v>8176</v>
      </c>
      <c r="K2395" s="7" t="s">
        <v>3668</v>
      </c>
      <c r="L2395" s="8">
        <v>1174299</v>
      </c>
      <c r="M2395" s="8" t="str">
        <f t="shared" si="197"/>
        <v>PEN</v>
      </c>
      <c r="N2395" s="13"/>
      <c r="O2395" s="13">
        <v>211</v>
      </c>
      <c r="P2395" s="3">
        <f t="shared" si="198"/>
        <v>0</v>
      </c>
      <c r="Q2395" s="3">
        <f t="shared" si="199"/>
        <v>211</v>
      </c>
      <c r="R2395" s="3">
        <f t="shared" si="195"/>
        <v>9279.7600000000384</v>
      </c>
      <c r="S2395" s="24" t="s">
        <v>1334</v>
      </c>
      <c r="T2395" s="24" t="s">
        <v>1334</v>
      </c>
      <c r="U2395" s="80" t="s">
        <v>3669</v>
      </c>
      <c r="V2395" s="25">
        <f>IFERROR(VLOOKUP(BCP_Soles[[#This Row],[destinatario]],CHOOSE({1,2},Clientes_Proveedores[Razon Social],Clientes_Proveedores[Ruc / Dni]),2,0),"")</f>
        <v>20602978274</v>
      </c>
      <c r="W2395" s="25" t="s">
        <v>1528</v>
      </c>
      <c r="X2395" s="25"/>
      <c r="Y2395" s="25"/>
      <c r="Z2395" s="75"/>
      <c r="AA2395" s="3" t="str">
        <f>IF(BCP_Soles[[#This Row],[fecha]]&gt;0,TEXT(BCP_Soles[[#This Row],[fecha]],"mmmm"),0)</f>
        <v>Julio</v>
      </c>
    </row>
    <row r="2396" spans="1:27" ht="48" x14ac:dyDescent="0.3">
      <c r="A2396" s="2">
        <f>IF(BCP_Soles[[#This Row],[tipo_registro]]="R",COUNTIFS($C$1:$C2395,"R")+1,A2395)</f>
        <v>1757</v>
      </c>
      <c r="B2396" s="19" t="str">
        <f t="shared" si="196"/>
        <v>B-BCP - Soles</v>
      </c>
      <c r="C2396" s="3" t="s">
        <v>1330</v>
      </c>
      <c r="D2396" s="14">
        <v>45839</v>
      </c>
      <c r="E2396" s="5" t="s">
        <v>2269</v>
      </c>
      <c r="F2396" s="5" t="s">
        <v>1336</v>
      </c>
      <c r="G2396" s="6" t="s">
        <v>501</v>
      </c>
      <c r="H2396" s="6" t="s">
        <v>68</v>
      </c>
      <c r="I2396" s="6" t="s">
        <v>1526</v>
      </c>
      <c r="J2396" s="6">
        <v>10726</v>
      </c>
      <c r="K2396" s="7" t="s">
        <v>3670</v>
      </c>
      <c r="L2396" s="8">
        <v>1174794</v>
      </c>
      <c r="M2396" s="8" t="str">
        <f t="shared" si="197"/>
        <v>PEN</v>
      </c>
      <c r="N2396" s="13"/>
      <c r="O2396" s="13">
        <v>277.01</v>
      </c>
      <c r="P2396" s="3">
        <f t="shared" si="198"/>
        <v>0</v>
      </c>
      <c r="Q2396" s="3">
        <f t="shared" si="199"/>
        <v>277.01</v>
      </c>
      <c r="R2396" s="3">
        <f t="shared" si="195"/>
        <v>9002.7500000000382</v>
      </c>
      <c r="S2396" s="24" t="s">
        <v>1334</v>
      </c>
      <c r="T2396" s="24" t="s">
        <v>1334</v>
      </c>
      <c r="U2396" s="80" t="s">
        <v>3671</v>
      </c>
      <c r="V2396" s="25">
        <f>IFERROR(VLOOKUP(BCP_Soles[[#This Row],[destinatario]],CHOOSE({1,2},Clientes_Proveedores[Razon Social],Clientes_Proveedores[Ruc / Dni]),2,0),"")</f>
        <v>20602978274</v>
      </c>
      <c r="W2396" s="25" t="s">
        <v>1528</v>
      </c>
      <c r="X2396" s="25"/>
      <c r="Y2396" s="25"/>
      <c r="Z2396" s="75"/>
      <c r="AA2396" s="3" t="str">
        <f>IF(BCP_Soles[[#This Row],[fecha]]&gt;0,TEXT(BCP_Soles[[#This Row],[fecha]],"mmmm"),0)</f>
        <v>Julio</v>
      </c>
    </row>
    <row r="2397" spans="1:27" x14ac:dyDescent="0.3">
      <c r="A2397" s="2">
        <f>IF(BCP_Soles[[#This Row],[tipo_registro]]="R",COUNTIFS($C$1:$C2396,"R")+1,A2396)</f>
        <v>1758</v>
      </c>
      <c r="B2397" s="19" t="str">
        <f t="shared" si="196"/>
        <v>B-BCP - Soles</v>
      </c>
      <c r="C2397" s="3" t="s">
        <v>1330</v>
      </c>
      <c r="D2397" s="14">
        <v>45839</v>
      </c>
      <c r="E2397" s="5" t="s">
        <v>1331</v>
      </c>
      <c r="F2397" s="5" t="s">
        <v>1336</v>
      </c>
      <c r="G2397" s="6" t="s">
        <v>696</v>
      </c>
      <c r="H2397" s="6"/>
      <c r="I2397" s="6"/>
      <c r="J2397" s="6"/>
      <c r="K2397" s="7" t="s">
        <v>3672</v>
      </c>
      <c r="L2397" s="8">
        <v>4531004</v>
      </c>
      <c r="M2397" s="8" t="str">
        <f t="shared" si="197"/>
        <v>PEN</v>
      </c>
      <c r="N2397" s="13"/>
      <c r="O2397" s="13">
        <v>5853.91</v>
      </c>
      <c r="P2397" s="3">
        <f t="shared" si="198"/>
        <v>0</v>
      </c>
      <c r="Q2397" s="3">
        <f t="shared" si="199"/>
        <v>5853.91</v>
      </c>
      <c r="R2397" s="3">
        <f t="shared" si="195"/>
        <v>3148.8400000000383</v>
      </c>
      <c r="S2397" s="24"/>
      <c r="T2397" s="24" t="s">
        <v>1334</v>
      </c>
      <c r="U2397" s="55"/>
      <c r="V2397" s="25">
        <f>IFERROR(VLOOKUP(BCP_Soles[[#This Row],[destinatario]],CHOOSE({1,2},Clientes_Proveedores[Razon Social],Clientes_Proveedores[Ruc / Dni]),2,0),"")</f>
        <v>0</v>
      </c>
      <c r="W2397" s="25" t="s">
        <v>1373</v>
      </c>
      <c r="X2397" s="25"/>
      <c r="Y2397" s="25"/>
      <c r="Z2397" s="75"/>
      <c r="AA2397" s="3" t="str">
        <f>IF(BCP_Soles[[#This Row],[fecha]]&gt;0,TEXT(BCP_Soles[[#This Row],[fecha]],"mmmm"),0)</f>
        <v>Julio</v>
      </c>
    </row>
    <row r="2398" spans="1:27" x14ac:dyDescent="0.3">
      <c r="A2398" s="2">
        <f>IF(BCP_Soles[[#This Row],[tipo_registro]]="R",COUNTIFS($C$1:$C2397,"R")+1,A2397)</f>
        <v>1758</v>
      </c>
      <c r="B2398" s="19" t="str">
        <f t="shared" si="196"/>
        <v>B-BCP - Soles</v>
      </c>
      <c r="C2398" s="3" t="s">
        <v>1352</v>
      </c>
      <c r="D2398" s="14">
        <v>45839</v>
      </c>
      <c r="E2398" s="5" t="s">
        <v>1331</v>
      </c>
      <c r="F2398" s="5"/>
      <c r="G2398" s="6" t="s">
        <v>809</v>
      </c>
      <c r="H2398" s="6"/>
      <c r="I2398" s="6"/>
      <c r="J2398" s="6"/>
      <c r="K2398" s="7" t="s">
        <v>3672</v>
      </c>
      <c r="L2398" s="8">
        <v>4531004</v>
      </c>
      <c r="M2398" s="8" t="str">
        <f t="shared" si="197"/>
        <v>PEN</v>
      </c>
      <c r="N2398" s="13">
        <v>3530.11</v>
      </c>
      <c r="O2398" s="13"/>
      <c r="P2398" s="3">
        <f t="shared" si="198"/>
        <v>0</v>
      </c>
      <c r="Q2398" s="3">
        <f t="shared" si="199"/>
        <v>0</v>
      </c>
      <c r="R2398" s="3">
        <f t="shared" si="195"/>
        <v>3148.8400000000383</v>
      </c>
      <c r="S2398" s="24"/>
      <c r="T2398" s="24" t="s">
        <v>1334</v>
      </c>
      <c r="U2398" s="55"/>
      <c r="V2398" s="25">
        <f>IFERROR(VLOOKUP(BCP_Soles[[#This Row],[destinatario]],CHOOSE({1,2},Clientes_Proveedores[Razon Social],Clientes_Proveedores[Ruc / Dni]),2,0),"")</f>
        <v>45286301</v>
      </c>
      <c r="W2398" s="25"/>
      <c r="X2398" s="25"/>
      <c r="Y2398" s="25"/>
      <c r="Z2398" s="75"/>
      <c r="AA2398" s="3" t="str">
        <f>IF(BCP_Soles[[#This Row],[fecha]]&gt;0,TEXT(BCP_Soles[[#This Row],[fecha]],"mmmm"),0)</f>
        <v>Julio</v>
      </c>
    </row>
    <row r="2399" spans="1:27" ht="24" x14ac:dyDescent="0.3">
      <c r="A2399" s="2">
        <f>IF(BCP_Soles[[#This Row],[tipo_registro]]="R",COUNTIFS($C$1:$C2398,"R")+1,A2398)</f>
        <v>1758</v>
      </c>
      <c r="B2399" s="19" t="str">
        <f t="shared" si="196"/>
        <v>B-BCP - Soles</v>
      </c>
      <c r="C2399" s="3" t="s">
        <v>1352</v>
      </c>
      <c r="D2399" s="14">
        <v>45839</v>
      </c>
      <c r="E2399" s="5" t="s">
        <v>1331</v>
      </c>
      <c r="F2399" s="5"/>
      <c r="G2399" s="6" t="s">
        <v>909</v>
      </c>
      <c r="H2399" s="6"/>
      <c r="I2399" s="6"/>
      <c r="J2399" s="6"/>
      <c r="K2399" s="7" t="s">
        <v>3672</v>
      </c>
      <c r="L2399" s="8">
        <v>4531004</v>
      </c>
      <c r="M2399" s="8" t="str">
        <f t="shared" si="197"/>
        <v>PEN</v>
      </c>
      <c r="N2399" s="13">
        <v>2323.8000000000002</v>
      </c>
      <c r="O2399" s="13"/>
      <c r="P2399" s="3">
        <f t="shared" si="198"/>
        <v>0</v>
      </c>
      <c r="Q2399" s="3">
        <f t="shared" si="199"/>
        <v>0</v>
      </c>
      <c r="R2399" s="3">
        <f t="shared" si="195"/>
        <v>3148.8400000000383</v>
      </c>
      <c r="S2399" s="24"/>
      <c r="T2399" s="24" t="s">
        <v>1334</v>
      </c>
      <c r="U2399" s="55"/>
      <c r="V2399" s="25">
        <f>IFERROR(VLOOKUP(BCP_Soles[[#This Row],[destinatario]],CHOOSE({1,2},Clientes_Proveedores[Razon Social],Clientes_Proveedores[Ruc / Dni]),2,0),"")</f>
        <v>44314304</v>
      </c>
      <c r="W2399" s="25"/>
      <c r="X2399" s="25"/>
      <c r="Y2399" s="25"/>
      <c r="Z2399" s="75"/>
      <c r="AA2399" s="3" t="str">
        <f>IF(BCP_Soles[[#This Row],[fecha]]&gt;0,TEXT(BCP_Soles[[#This Row],[fecha]],"mmmm"),0)</f>
        <v>Julio</v>
      </c>
    </row>
    <row r="2400" spans="1:27" ht="24" x14ac:dyDescent="0.3">
      <c r="A2400" s="2">
        <f>IF(BCP_Soles[[#This Row],[tipo_registro]]="R",COUNTIFS($C$1:$C2399,"R")+1,A2399)</f>
        <v>1759</v>
      </c>
      <c r="B2400" s="19" t="str">
        <f t="shared" si="196"/>
        <v>B-BCP - Soles</v>
      </c>
      <c r="C2400" s="3" t="s">
        <v>1330</v>
      </c>
      <c r="D2400" s="14">
        <v>45839</v>
      </c>
      <c r="E2400" s="5" t="s">
        <v>1335</v>
      </c>
      <c r="F2400" s="5" t="s">
        <v>1336</v>
      </c>
      <c r="G2400" s="6" t="s">
        <v>1060</v>
      </c>
      <c r="H2400" s="6" t="s">
        <v>68</v>
      </c>
      <c r="I2400" s="6" t="s">
        <v>1397</v>
      </c>
      <c r="J2400" s="6">
        <v>34261919</v>
      </c>
      <c r="K2400" s="7" t="s">
        <v>1400</v>
      </c>
      <c r="L2400" s="8">
        <v>573</v>
      </c>
      <c r="M2400" s="8" t="str">
        <f t="shared" si="197"/>
        <v>PEN</v>
      </c>
      <c r="N2400" s="13"/>
      <c r="O2400" s="13">
        <v>10</v>
      </c>
      <c r="P2400" s="3">
        <f t="shared" si="198"/>
        <v>0</v>
      </c>
      <c r="Q2400" s="3">
        <f t="shared" si="199"/>
        <v>10</v>
      </c>
      <c r="R2400" s="3">
        <f t="shared" si="195"/>
        <v>3138.8400000000383</v>
      </c>
      <c r="S2400" s="24" t="s">
        <v>1334</v>
      </c>
      <c r="T2400" s="24" t="s">
        <v>1334</v>
      </c>
      <c r="U2400" s="55"/>
      <c r="V2400" s="25">
        <f>IFERROR(VLOOKUP(BCP_Soles[[#This Row],[destinatario]],CHOOSE({1,2},Clientes_Proveedores[Razon Social],Clientes_Proveedores[Ruc / Dni]),2,0),"")</f>
        <v>20100047218</v>
      </c>
      <c r="W2400" s="25"/>
      <c r="X2400" s="25"/>
      <c r="Y2400" s="25"/>
      <c r="Z2400" s="75"/>
      <c r="AA2400" s="3" t="str">
        <f>IF(BCP_Soles[[#This Row],[fecha]]&gt;0,TEXT(BCP_Soles[[#This Row],[fecha]],"mmmm"),0)</f>
        <v>Julio</v>
      </c>
    </row>
    <row r="2401" spans="1:27" x14ac:dyDescent="0.3">
      <c r="A2401" s="2">
        <f>IF(BCP_Soles[[#This Row],[tipo_registro]]="R",COUNTIFS($C$1:$C2400,"R")+1,A2400)</f>
        <v>1760</v>
      </c>
      <c r="B2401" s="19" t="str">
        <f t="shared" si="196"/>
        <v>B-BCP - Soles</v>
      </c>
      <c r="C2401" s="3" t="s">
        <v>1330</v>
      </c>
      <c r="D2401" s="14">
        <v>45839</v>
      </c>
      <c r="E2401" s="5" t="s">
        <v>1335</v>
      </c>
      <c r="F2401" s="5" t="s">
        <v>1336</v>
      </c>
      <c r="G2401" s="6" t="s">
        <v>1009</v>
      </c>
      <c r="H2401" s="6" t="s">
        <v>64</v>
      </c>
      <c r="I2401" s="6" t="s">
        <v>3673</v>
      </c>
      <c r="J2401" s="6">
        <v>1760</v>
      </c>
      <c r="K2401" s="7" t="s">
        <v>3160</v>
      </c>
      <c r="L2401" s="8"/>
      <c r="M2401" s="8" t="str">
        <f t="shared" si="197"/>
        <v>PEN</v>
      </c>
      <c r="N2401" s="13"/>
      <c r="O2401" s="13">
        <v>7.55</v>
      </c>
      <c r="P2401" s="3">
        <f t="shared" si="198"/>
        <v>0</v>
      </c>
      <c r="Q2401" s="3">
        <f t="shared" si="199"/>
        <v>7.55</v>
      </c>
      <c r="R2401" s="3">
        <f t="shared" si="195"/>
        <v>3131.2900000000382</v>
      </c>
      <c r="S2401" s="24" t="s">
        <v>1334</v>
      </c>
      <c r="T2401" s="24" t="s">
        <v>1334</v>
      </c>
      <c r="U2401" s="55"/>
      <c r="V2401" s="25">
        <f>IFERROR(VLOOKUP(BCP_Soles[[#This Row],[destinatario]],CHOOSE({1,2},Clientes_Proveedores[Razon Social],Clientes_Proveedores[Ruc / Dni]),2,0),"")</f>
        <v>11111111</v>
      </c>
      <c r="W2401" s="25"/>
      <c r="X2401" s="25"/>
      <c r="Y2401" s="25"/>
      <c r="Z2401" s="75"/>
      <c r="AA2401" s="3" t="str">
        <f>IF(BCP_Soles[[#This Row],[fecha]]&gt;0,TEXT(BCP_Soles[[#This Row],[fecha]],"mmmm"),0)</f>
        <v>Julio</v>
      </c>
    </row>
    <row r="2402" spans="1:27" x14ac:dyDescent="0.3">
      <c r="A2402" s="2">
        <f>IF(BCP_Soles[[#This Row],[tipo_registro]]="R",COUNTIFS($C$1:$C2401,"R")+1,A2401)</f>
        <v>1761</v>
      </c>
      <c r="B2402" s="19" t="str">
        <f t="shared" si="196"/>
        <v>B-BCP - Soles</v>
      </c>
      <c r="C2402" s="3" t="s">
        <v>1330</v>
      </c>
      <c r="D2402" s="14">
        <v>45840</v>
      </c>
      <c r="E2402" s="5" t="s">
        <v>1335</v>
      </c>
      <c r="F2402" s="5" t="s">
        <v>1303</v>
      </c>
      <c r="G2402" s="6" t="s">
        <v>1009</v>
      </c>
      <c r="H2402" s="6" t="s">
        <v>64</v>
      </c>
      <c r="I2402" s="6" t="s">
        <v>3673</v>
      </c>
      <c r="J2402" s="6">
        <v>1761</v>
      </c>
      <c r="K2402" s="7" t="s">
        <v>3674</v>
      </c>
      <c r="L2402" s="8"/>
      <c r="M2402" s="8" t="str">
        <f t="shared" si="197"/>
        <v>PEN</v>
      </c>
      <c r="N2402" s="13"/>
      <c r="O2402" s="13">
        <v>0.2</v>
      </c>
      <c r="P2402" s="3">
        <f t="shared" si="198"/>
        <v>0.2</v>
      </c>
      <c r="Q2402" s="3">
        <f t="shared" si="199"/>
        <v>0</v>
      </c>
      <c r="R2402" s="3">
        <f t="shared" si="195"/>
        <v>3131.490000000038</v>
      </c>
      <c r="S2402" s="24" t="s">
        <v>1334</v>
      </c>
      <c r="T2402" s="24" t="s">
        <v>1334</v>
      </c>
      <c r="U2402" s="55"/>
      <c r="V2402" s="25">
        <f>IFERROR(VLOOKUP(BCP_Soles[[#This Row],[destinatario]],CHOOSE({1,2},Clientes_Proveedores[Razon Social],Clientes_Proveedores[Ruc / Dni]),2,0),"")</f>
        <v>11111111</v>
      </c>
      <c r="W2402" s="25"/>
      <c r="X2402" s="25"/>
      <c r="Y2402" s="25"/>
      <c r="Z2402" s="75"/>
      <c r="AA2402" s="3" t="str">
        <f>IF(BCP_Soles[[#This Row],[fecha]]&gt;0,TEXT(BCP_Soles[[#This Row],[fecha]],"mmmm"),0)</f>
        <v>Julio</v>
      </c>
    </row>
    <row r="2403" spans="1:27" x14ac:dyDescent="0.3">
      <c r="A2403" s="2">
        <f>IF(BCP_Soles[[#This Row],[tipo_registro]]="R",COUNTIFS($C$1:$C2402,"R")+1,A2402)</f>
        <v>1762</v>
      </c>
      <c r="B2403" s="19" t="str">
        <f t="shared" si="196"/>
        <v>B-BCP - Soles</v>
      </c>
      <c r="C2403" s="3" t="s">
        <v>1330</v>
      </c>
      <c r="D2403" s="14">
        <v>45840</v>
      </c>
      <c r="E2403" s="5" t="s">
        <v>1345</v>
      </c>
      <c r="F2403" s="5" t="s">
        <v>1303</v>
      </c>
      <c r="G2403" s="6" t="s">
        <v>425</v>
      </c>
      <c r="H2403" s="6"/>
      <c r="I2403" s="6"/>
      <c r="J2403" s="6"/>
      <c r="K2403" s="7" t="s">
        <v>3090</v>
      </c>
      <c r="L2403" s="8">
        <v>2752967</v>
      </c>
      <c r="M2403" s="8" t="str">
        <f t="shared" si="197"/>
        <v>PEN</v>
      </c>
      <c r="N2403" s="13"/>
      <c r="O2403" s="13">
        <v>3000</v>
      </c>
      <c r="P2403" s="3">
        <f t="shared" si="198"/>
        <v>3000</v>
      </c>
      <c r="Q2403" s="3">
        <f t="shared" si="199"/>
        <v>0</v>
      </c>
      <c r="R2403" s="3">
        <f t="shared" si="195"/>
        <v>6131.490000000038</v>
      </c>
      <c r="S2403" s="24"/>
      <c r="T2403" s="24"/>
      <c r="U2403" s="55"/>
      <c r="V2403" s="25">
        <f>IFERROR(VLOOKUP(BCP_Soles[[#This Row],[destinatario]],CHOOSE({1,2},Clientes_Proveedores[Razon Social],Clientes_Proveedores[Ruc / Dni]),2,0),"")</f>
        <v>20558226979</v>
      </c>
      <c r="W2403" s="25"/>
      <c r="X2403" s="25"/>
      <c r="Y2403" s="25"/>
      <c r="Z2403" s="75"/>
      <c r="AA2403" s="3" t="str">
        <f>IF(BCP_Soles[[#This Row],[fecha]]&gt;0,TEXT(BCP_Soles[[#This Row],[fecha]],"mmmm"),0)</f>
        <v>Julio</v>
      </c>
    </row>
    <row r="2404" spans="1:27" x14ac:dyDescent="0.3">
      <c r="A2404" s="2">
        <f>IF(BCP_Soles[[#This Row],[tipo_registro]]="R",COUNTIFS($C$1:$C2403,"R")+1,A2403)</f>
        <v>1763</v>
      </c>
      <c r="B2404" s="19" t="str">
        <f t="shared" si="196"/>
        <v>B-BCP - Soles</v>
      </c>
      <c r="C2404" s="3" t="s">
        <v>1330</v>
      </c>
      <c r="D2404" s="14">
        <v>45840</v>
      </c>
      <c r="E2404" s="5"/>
      <c r="F2404" s="5" t="s">
        <v>1303</v>
      </c>
      <c r="G2404" s="6" t="s">
        <v>425</v>
      </c>
      <c r="H2404" s="6"/>
      <c r="I2404" s="6"/>
      <c r="J2404" s="6"/>
      <c r="K2404" s="7" t="s">
        <v>1356</v>
      </c>
      <c r="L2404" s="8">
        <v>474146</v>
      </c>
      <c r="M2404" s="8" t="str">
        <f t="shared" si="197"/>
        <v>PEN</v>
      </c>
      <c r="N2404" s="13"/>
      <c r="O2404" s="13">
        <v>2342.6999999999998</v>
      </c>
      <c r="P2404" s="3">
        <f t="shared" si="198"/>
        <v>2342.6999999999998</v>
      </c>
      <c r="Q2404" s="3">
        <f t="shared" si="199"/>
        <v>0</v>
      </c>
      <c r="R2404" s="3">
        <f t="shared" si="195"/>
        <v>8474.1900000000387</v>
      </c>
      <c r="S2404" s="24"/>
      <c r="T2404" s="24"/>
      <c r="U2404" s="55"/>
      <c r="V2404" s="25">
        <f>IFERROR(VLOOKUP(BCP_Soles[[#This Row],[destinatario]],CHOOSE({1,2},Clientes_Proveedores[Razon Social],Clientes_Proveedores[Ruc / Dni]),2,0),"")</f>
        <v>20558226979</v>
      </c>
      <c r="W2404" s="25"/>
      <c r="X2404" s="25"/>
      <c r="Y2404" s="25"/>
      <c r="Z2404" s="75"/>
      <c r="AA2404" s="3" t="str">
        <f>IF(BCP_Soles[[#This Row],[fecha]]&gt;0,TEXT(BCP_Soles[[#This Row],[fecha]],"mmmm"),0)</f>
        <v>Julio</v>
      </c>
    </row>
    <row r="2405" spans="1:27" x14ac:dyDescent="0.3">
      <c r="A2405" s="2">
        <f>IF(BCP_Soles[[#This Row],[tipo_registro]]="R",COUNTIFS($C$1:$C2404,"R")+1,A2404)</f>
        <v>1764</v>
      </c>
      <c r="B2405" s="19" t="str">
        <f t="shared" si="196"/>
        <v>B-BCP - Soles</v>
      </c>
      <c r="C2405" s="3" t="s">
        <v>1330</v>
      </c>
      <c r="D2405" s="14">
        <v>45840</v>
      </c>
      <c r="E2405" s="5"/>
      <c r="F2405" s="5" t="s">
        <v>1303</v>
      </c>
      <c r="G2405" s="6" t="s">
        <v>425</v>
      </c>
      <c r="H2405" s="6"/>
      <c r="I2405" s="6"/>
      <c r="J2405" s="6"/>
      <c r="K2405" s="7" t="s">
        <v>3675</v>
      </c>
      <c r="L2405" s="8">
        <v>986788</v>
      </c>
      <c r="M2405" s="8" t="str">
        <f t="shared" si="197"/>
        <v>PEN</v>
      </c>
      <c r="N2405" s="13"/>
      <c r="O2405" s="13">
        <v>1138.3</v>
      </c>
      <c r="P2405" s="3">
        <f t="shared" si="198"/>
        <v>1138.3</v>
      </c>
      <c r="Q2405" s="3">
        <f t="shared" si="199"/>
        <v>0</v>
      </c>
      <c r="R2405" s="3">
        <f t="shared" si="195"/>
        <v>9612.490000000038</v>
      </c>
      <c r="S2405" s="24" t="s">
        <v>1334</v>
      </c>
      <c r="T2405" s="24" t="s">
        <v>1334</v>
      </c>
      <c r="U2405" s="55"/>
      <c r="V2405" s="25">
        <f>IFERROR(VLOOKUP(BCP_Soles[[#This Row],[destinatario]],CHOOSE({1,2},Clientes_Proveedores[Razon Social],Clientes_Proveedores[Ruc / Dni]),2,0),"")</f>
        <v>20558226979</v>
      </c>
      <c r="W2405" s="25"/>
      <c r="X2405" s="25"/>
      <c r="Y2405" s="25"/>
      <c r="Z2405" s="75"/>
      <c r="AA2405" s="3" t="str">
        <f>IF(BCP_Soles[[#This Row],[fecha]]&gt;0,TEXT(BCP_Soles[[#This Row],[fecha]],"mmmm"),0)</f>
        <v>Julio</v>
      </c>
    </row>
    <row r="2406" spans="1:27" ht="24" x14ac:dyDescent="0.3">
      <c r="A2406" s="2">
        <f>IF(BCP_Soles[[#This Row],[tipo_registro]]="R",COUNTIFS($C$1:$C2405,"R")+1,A2405)</f>
        <v>1764</v>
      </c>
      <c r="B2406" s="19" t="str">
        <f t="shared" si="196"/>
        <v>B-BCP - Soles</v>
      </c>
      <c r="C2406" s="3" t="s">
        <v>1352</v>
      </c>
      <c r="D2406" s="14">
        <v>45840</v>
      </c>
      <c r="E2406" s="5" t="s">
        <v>3676</v>
      </c>
      <c r="F2406" s="5" t="s">
        <v>1303</v>
      </c>
      <c r="G2406" s="6" t="s">
        <v>425</v>
      </c>
      <c r="H2406" s="6" t="s">
        <v>119</v>
      </c>
      <c r="I2406" s="6">
        <v>3</v>
      </c>
      <c r="J2406" s="6">
        <v>605</v>
      </c>
      <c r="K2406" s="7" t="s">
        <v>3675</v>
      </c>
      <c r="L2406" s="8">
        <v>986788</v>
      </c>
      <c r="M2406" s="8" t="str">
        <f t="shared" si="197"/>
        <v>PEN</v>
      </c>
      <c r="N2406" s="13">
        <v>17.8</v>
      </c>
      <c r="O2406" s="13"/>
      <c r="P2406" s="3">
        <f t="shared" si="198"/>
        <v>0</v>
      </c>
      <c r="Q2406" s="3">
        <f t="shared" si="199"/>
        <v>0</v>
      </c>
      <c r="R2406" s="3">
        <f t="shared" si="195"/>
        <v>9612.490000000038</v>
      </c>
      <c r="S2406" s="24" t="s">
        <v>1334</v>
      </c>
      <c r="T2406" s="24" t="s">
        <v>1334</v>
      </c>
      <c r="U2406" s="55"/>
      <c r="V2406" s="25">
        <f>IFERROR(VLOOKUP(BCP_Soles[[#This Row],[destinatario]],CHOOSE({1,2},Clientes_Proveedores[Razon Social],Clientes_Proveedores[Ruc / Dni]),2,0),"")</f>
        <v>20558226979</v>
      </c>
      <c r="W2406" s="25"/>
      <c r="X2406" s="25"/>
      <c r="Y2406" s="25"/>
      <c r="Z2406" s="75"/>
      <c r="AA2406" s="3" t="str">
        <f>IF(BCP_Soles[[#This Row],[fecha]]&gt;0,TEXT(BCP_Soles[[#This Row],[fecha]],"mmmm"),0)</f>
        <v>Julio</v>
      </c>
    </row>
    <row r="2407" spans="1:27" ht="24" x14ac:dyDescent="0.3">
      <c r="A2407" s="2">
        <f>IF(BCP_Soles[[#This Row],[tipo_registro]]="R",COUNTIFS($C$1:$C2406,"R")+1,A2406)</f>
        <v>1764</v>
      </c>
      <c r="B2407" s="19" t="str">
        <f t="shared" si="196"/>
        <v>B-BCP - Soles</v>
      </c>
      <c r="C2407" s="3" t="s">
        <v>1352</v>
      </c>
      <c r="D2407" s="14">
        <v>45840</v>
      </c>
      <c r="E2407" s="5" t="s">
        <v>3677</v>
      </c>
      <c r="F2407" s="5" t="s">
        <v>1303</v>
      </c>
      <c r="G2407" s="6" t="s">
        <v>425</v>
      </c>
      <c r="H2407" s="6" t="s">
        <v>119</v>
      </c>
      <c r="I2407" s="6">
        <v>3</v>
      </c>
      <c r="J2407" s="6">
        <v>606</v>
      </c>
      <c r="K2407" s="7" t="s">
        <v>3675</v>
      </c>
      <c r="L2407" s="8">
        <v>986788</v>
      </c>
      <c r="M2407" s="8" t="str">
        <f t="shared" si="197"/>
        <v>PEN</v>
      </c>
      <c r="N2407" s="13">
        <v>233.3</v>
      </c>
      <c r="O2407" s="13"/>
      <c r="P2407" s="3">
        <f t="shared" si="198"/>
        <v>0</v>
      </c>
      <c r="Q2407" s="3">
        <f t="shared" si="199"/>
        <v>0</v>
      </c>
      <c r="R2407" s="3">
        <f t="shared" si="195"/>
        <v>9612.490000000038</v>
      </c>
      <c r="S2407" s="24" t="s">
        <v>1334</v>
      </c>
      <c r="T2407" s="24" t="s">
        <v>1334</v>
      </c>
      <c r="U2407" s="55"/>
      <c r="V2407" s="25">
        <f>IFERROR(VLOOKUP(BCP_Soles[[#This Row],[destinatario]],CHOOSE({1,2},Clientes_Proveedores[Razon Social],Clientes_Proveedores[Ruc / Dni]),2,0),"")</f>
        <v>20558226979</v>
      </c>
      <c r="W2407" s="25"/>
      <c r="X2407" s="25"/>
      <c r="Y2407" s="25"/>
      <c r="Z2407" s="75"/>
      <c r="AA2407" s="3" t="str">
        <f>IF(BCP_Soles[[#This Row],[fecha]]&gt;0,TEXT(BCP_Soles[[#This Row],[fecha]],"mmmm"),0)</f>
        <v>Julio</v>
      </c>
    </row>
    <row r="2408" spans="1:27" ht="24" x14ac:dyDescent="0.3">
      <c r="A2408" s="2">
        <f>IF(BCP_Soles[[#This Row],[tipo_registro]]="R",COUNTIFS($C$1:$C2407,"R")+1,A2407)</f>
        <v>1764</v>
      </c>
      <c r="B2408" s="19" t="str">
        <f t="shared" si="196"/>
        <v>B-BCP - Soles</v>
      </c>
      <c r="C2408" s="3" t="s">
        <v>1352</v>
      </c>
      <c r="D2408" s="14">
        <v>45840</v>
      </c>
      <c r="E2408" s="5" t="s">
        <v>3677</v>
      </c>
      <c r="F2408" s="5" t="s">
        <v>1303</v>
      </c>
      <c r="G2408" s="6" t="s">
        <v>425</v>
      </c>
      <c r="H2408" s="6" t="s">
        <v>119</v>
      </c>
      <c r="I2408" s="6">
        <v>3</v>
      </c>
      <c r="J2408" s="6">
        <v>607</v>
      </c>
      <c r="K2408" s="7" t="s">
        <v>3675</v>
      </c>
      <c r="L2408" s="8">
        <v>986788</v>
      </c>
      <c r="M2408" s="8" t="str">
        <f t="shared" si="197"/>
        <v>PEN</v>
      </c>
      <c r="N2408" s="13">
        <v>195</v>
      </c>
      <c r="O2408" s="13"/>
      <c r="P2408" s="3">
        <f t="shared" si="198"/>
        <v>0</v>
      </c>
      <c r="Q2408" s="3">
        <f t="shared" si="199"/>
        <v>0</v>
      </c>
      <c r="R2408" s="3">
        <f t="shared" si="195"/>
        <v>9612.490000000038</v>
      </c>
      <c r="S2408" s="24" t="s">
        <v>1334</v>
      </c>
      <c r="T2408" s="24" t="s">
        <v>1334</v>
      </c>
      <c r="U2408" s="55"/>
      <c r="V2408" s="25">
        <f>IFERROR(VLOOKUP(BCP_Soles[[#This Row],[destinatario]],CHOOSE({1,2},Clientes_Proveedores[Razon Social],Clientes_Proveedores[Ruc / Dni]),2,0),"")</f>
        <v>20558226979</v>
      </c>
      <c r="W2408" s="25"/>
      <c r="X2408" s="25"/>
      <c r="Y2408" s="25"/>
      <c r="Z2408" s="75"/>
      <c r="AA2408" s="3" t="str">
        <f>IF(BCP_Soles[[#This Row],[fecha]]&gt;0,TEXT(BCP_Soles[[#This Row],[fecha]],"mmmm"),0)</f>
        <v>Julio</v>
      </c>
    </row>
    <row r="2409" spans="1:27" ht="24" x14ac:dyDescent="0.3">
      <c r="A2409" s="2">
        <f>IF(BCP_Soles[[#This Row],[tipo_registro]]="R",COUNTIFS($C$1:$C2408,"R")+1,A2408)</f>
        <v>1764</v>
      </c>
      <c r="B2409" s="19" t="str">
        <f t="shared" si="196"/>
        <v>B-BCP - Soles</v>
      </c>
      <c r="C2409" s="3" t="s">
        <v>1352</v>
      </c>
      <c r="D2409" s="14">
        <v>45840</v>
      </c>
      <c r="E2409" s="5" t="s">
        <v>3678</v>
      </c>
      <c r="F2409" s="5" t="s">
        <v>1303</v>
      </c>
      <c r="G2409" s="6" t="s">
        <v>425</v>
      </c>
      <c r="H2409" s="6" t="s">
        <v>119</v>
      </c>
      <c r="I2409" s="6">
        <v>3</v>
      </c>
      <c r="J2409" s="6">
        <v>608</v>
      </c>
      <c r="K2409" s="7" t="s">
        <v>3675</v>
      </c>
      <c r="L2409" s="8">
        <v>986788</v>
      </c>
      <c r="M2409" s="8" t="str">
        <f t="shared" si="197"/>
        <v>PEN</v>
      </c>
      <c r="N2409" s="13">
        <v>10.5</v>
      </c>
      <c r="O2409" s="13"/>
      <c r="P2409" s="3">
        <f t="shared" si="198"/>
        <v>0</v>
      </c>
      <c r="Q2409" s="3">
        <f t="shared" si="199"/>
        <v>0</v>
      </c>
      <c r="R2409" s="3">
        <f t="shared" si="195"/>
        <v>9612.490000000038</v>
      </c>
      <c r="S2409" s="24" t="s">
        <v>1334</v>
      </c>
      <c r="T2409" s="24" t="s">
        <v>1334</v>
      </c>
      <c r="U2409" s="55"/>
      <c r="V2409" s="25">
        <f>IFERROR(VLOOKUP(BCP_Soles[[#This Row],[destinatario]],CHOOSE({1,2},Clientes_Proveedores[Razon Social],Clientes_Proveedores[Ruc / Dni]),2,0),"")</f>
        <v>20558226979</v>
      </c>
      <c r="W2409" s="25"/>
      <c r="X2409" s="25"/>
      <c r="Y2409" s="25"/>
      <c r="Z2409" s="75"/>
      <c r="AA2409" s="3" t="str">
        <f>IF(BCP_Soles[[#This Row],[fecha]]&gt;0,TEXT(BCP_Soles[[#This Row],[fecha]],"mmmm"),0)</f>
        <v>Julio</v>
      </c>
    </row>
    <row r="2410" spans="1:27" ht="24" x14ac:dyDescent="0.3">
      <c r="A2410" s="2">
        <f>IF(BCP_Soles[[#This Row],[tipo_registro]]="R",COUNTIFS($C$1:$C2409,"R")+1,A2409)</f>
        <v>1764</v>
      </c>
      <c r="B2410" s="19" t="str">
        <f t="shared" si="196"/>
        <v>B-BCP - Soles</v>
      </c>
      <c r="C2410" s="3" t="s">
        <v>1352</v>
      </c>
      <c r="D2410" s="14">
        <v>45840</v>
      </c>
      <c r="E2410" s="5" t="s">
        <v>3679</v>
      </c>
      <c r="F2410" s="5" t="s">
        <v>1303</v>
      </c>
      <c r="G2410" s="6" t="s">
        <v>425</v>
      </c>
      <c r="H2410" s="6" t="s">
        <v>119</v>
      </c>
      <c r="I2410" s="6">
        <v>3</v>
      </c>
      <c r="J2410" s="6">
        <v>609</v>
      </c>
      <c r="K2410" s="7" t="s">
        <v>3675</v>
      </c>
      <c r="L2410" s="8">
        <v>986788</v>
      </c>
      <c r="M2410" s="8" t="str">
        <f t="shared" si="197"/>
        <v>PEN</v>
      </c>
      <c r="N2410" s="13">
        <v>354</v>
      </c>
      <c r="O2410" s="13"/>
      <c r="P2410" s="3">
        <f t="shared" si="198"/>
        <v>0</v>
      </c>
      <c r="Q2410" s="3">
        <f t="shared" si="199"/>
        <v>0</v>
      </c>
      <c r="R2410" s="3">
        <f t="shared" si="195"/>
        <v>9612.490000000038</v>
      </c>
      <c r="S2410" s="24" t="s">
        <v>1334</v>
      </c>
      <c r="T2410" s="24" t="s">
        <v>1334</v>
      </c>
      <c r="U2410" s="55"/>
      <c r="V2410" s="25">
        <f>IFERROR(VLOOKUP(BCP_Soles[[#This Row],[destinatario]],CHOOSE({1,2},Clientes_Proveedores[Razon Social],Clientes_Proveedores[Ruc / Dni]),2,0),"")</f>
        <v>20558226979</v>
      </c>
      <c r="W2410" s="25"/>
      <c r="X2410" s="25"/>
      <c r="Y2410" s="25"/>
      <c r="Z2410" s="75"/>
      <c r="AA2410" s="3" t="str">
        <f>IF(BCP_Soles[[#This Row],[fecha]]&gt;0,TEXT(BCP_Soles[[#This Row],[fecha]],"mmmm"),0)</f>
        <v>Julio</v>
      </c>
    </row>
    <row r="2411" spans="1:27" ht="24" x14ac:dyDescent="0.3">
      <c r="A2411" s="2">
        <f>IF(BCP_Soles[[#This Row],[tipo_registro]]="R",COUNTIFS($C$1:$C2410,"R")+1,A2410)</f>
        <v>1764</v>
      </c>
      <c r="B2411" s="19" t="str">
        <f t="shared" si="196"/>
        <v>B-BCP - Soles</v>
      </c>
      <c r="C2411" s="3" t="s">
        <v>1352</v>
      </c>
      <c r="D2411" s="14">
        <v>45840</v>
      </c>
      <c r="E2411" s="5" t="s">
        <v>3680</v>
      </c>
      <c r="F2411" s="5" t="s">
        <v>1303</v>
      </c>
      <c r="G2411" s="6" t="s">
        <v>425</v>
      </c>
      <c r="H2411" s="6" t="s">
        <v>119</v>
      </c>
      <c r="I2411" s="6">
        <v>3</v>
      </c>
      <c r="J2411" s="6">
        <v>610</v>
      </c>
      <c r="K2411" s="7" t="s">
        <v>3675</v>
      </c>
      <c r="L2411" s="8">
        <v>986788</v>
      </c>
      <c r="M2411" s="8" t="str">
        <f t="shared" si="197"/>
        <v>PEN</v>
      </c>
      <c r="N2411" s="13">
        <v>280.2</v>
      </c>
      <c r="O2411" s="13"/>
      <c r="P2411" s="3">
        <f t="shared" si="198"/>
        <v>0</v>
      </c>
      <c r="Q2411" s="3">
        <f t="shared" si="199"/>
        <v>0</v>
      </c>
      <c r="R2411" s="3">
        <f t="shared" si="195"/>
        <v>9612.490000000038</v>
      </c>
      <c r="S2411" s="24" t="s">
        <v>1334</v>
      </c>
      <c r="T2411" s="24" t="s">
        <v>1334</v>
      </c>
      <c r="U2411" s="55"/>
      <c r="V2411" s="25">
        <f>IFERROR(VLOOKUP(BCP_Soles[[#This Row],[destinatario]],CHOOSE({1,2},Clientes_Proveedores[Razon Social],Clientes_Proveedores[Ruc / Dni]),2,0),"")</f>
        <v>20558226979</v>
      </c>
      <c r="W2411" s="25"/>
      <c r="X2411" s="25"/>
      <c r="Y2411" s="25"/>
      <c r="Z2411" s="75"/>
      <c r="AA2411" s="3" t="str">
        <f>IF(BCP_Soles[[#This Row],[fecha]]&gt;0,TEXT(BCP_Soles[[#This Row],[fecha]],"mmmm"),0)</f>
        <v>Julio</v>
      </c>
    </row>
    <row r="2412" spans="1:27" ht="24" x14ac:dyDescent="0.3">
      <c r="A2412" s="2">
        <f>IF(BCP_Soles[[#This Row],[tipo_registro]]="R",COUNTIFS($C$1:$C2411,"R")+1,A2411)</f>
        <v>1764</v>
      </c>
      <c r="B2412" s="19" t="str">
        <f t="shared" si="196"/>
        <v>B-BCP - Soles</v>
      </c>
      <c r="C2412" s="3" t="s">
        <v>1352</v>
      </c>
      <c r="D2412" s="14">
        <v>45840</v>
      </c>
      <c r="E2412" s="5" t="s">
        <v>3681</v>
      </c>
      <c r="F2412" s="5" t="s">
        <v>1303</v>
      </c>
      <c r="G2412" s="6" t="s">
        <v>425</v>
      </c>
      <c r="H2412" s="6" t="s">
        <v>119</v>
      </c>
      <c r="I2412" s="6">
        <v>3</v>
      </c>
      <c r="J2412" s="6">
        <v>611</v>
      </c>
      <c r="K2412" s="7" t="s">
        <v>3675</v>
      </c>
      <c r="L2412" s="8">
        <v>986788</v>
      </c>
      <c r="M2412" s="8" t="str">
        <f t="shared" si="197"/>
        <v>PEN</v>
      </c>
      <c r="N2412" s="13">
        <v>20.7</v>
      </c>
      <c r="O2412" s="13"/>
      <c r="P2412" s="3">
        <f t="shared" si="198"/>
        <v>0</v>
      </c>
      <c r="Q2412" s="3">
        <f t="shared" si="199"/>
        <v>0</v>
      </c>
      <c r="R2412" s="3">
        <f t="shared" si="195"/>
        <v>9612.490000000038</v>
      </c>
      <c r="S2412" s="24" t="s">
        <v>1334</v>
      </c>
      <c r="T2412" s="24" t="s">
        <v>1334</v>
      </c>
      <c r="U2412" s="55"/>
      <c r="V2412" s="25">
        <f>IFERROR(VLOOKUP(BCP_Soles[[#This Row],[destinatario]],CHOOSE({1,2},Clientes_Proveedores[Razon Social],Clientes_Proveedores[Ruc / Dni]),2,0),"")</f>
        <v>20558226979</v>
      </c>
      <c r="W2412" s="25"/>
      <c r="X2412" s="25"/>
      <c r="Y2412" s="25"/>
      <c r="Z2412" s="75"/>
      <c r="AA2412" s="3" t="str">
        <f>IF(BCP_Soles[[#This Row],[fecha]]&gt;0,TEXT(BCP_Soles[[#This Row],[fecha]],"mmmm"),0)</f>
        <v>Julio</v>
      </c>
    </row>
    <row r="2413" spans="1:27" x14ac:dyDescent="0.3">
      <c r="A2413" s="2">
        <f>IF(BCP_Soles[[#This Row],[tipo_registro]]="R",COUNTIFS($C$1:$C2412,"R")+1,A2412)</f>
        <v>1764</v>
      </c>
      <c r="B2413" s="19" t="str">
        <f t="shared" si="196"/>
        <v>B-BCP - Soles</v>
      </c>
      <c r="C2413" s="3" t="s">
        <v>1352</v>
      </c>
      <c r="D2413" s="14">
        <v>45840</v>
      </c>
      <c r="E2413" s="5" t="s">
        <v>3682</v>
      </c>
      <c r="F2413" s="5" t="s">
        <v>1303</v>
      </c>
      <c r="G2413" s="6" t="s">
        <v>425</v>
      </c>
      <c r="H2413" s="6" t="s">
        <v>119</v>
      </c>
      <c r="I2413" s="6">
        <v>3</v>
      </c>
      <c r="J2413" s="6">
        <v>612</v>
      </c>
      <c r="K2413" s="7" t="s">
        <v>3675</v>
      </c>
      <c r="L2413" s="8">
        <v>986788</v>
      </c>
      <c r="M2413" s="8" t="str">
        <f t="shared" si="197"/>
        <v>PEN</v>
      </c>
      <c r="N2413" s="13">
        <v>7.3</v>
      </c>
      <c r="O2413" s="13"/>
      <c r="P2413" s="3">
        <f t="shared" si="198"/>
        <v>0</v>
      </c>
      <c r="Q2413" s="3">
        <f t="shared" si="199"/>
        <v>0</v>
      </c>
      <c r="R2413" s="3">
        <f t="shared" si="195"/>
        <v>9612.490000000038</v>
      </c>
      <c r="S2413" s="24" t="s">
        <v>1334</v>
      </c>
      <c r="T2413" s="24" t="s">
        <v>1334</v>
      </c>
      <c r="U2413" s="55"/>
      <c r="V2413" s="25">
        <f>IFERROR(VLOOKUP(BCP_Soles[[#This Row],[destinatario]],CHOOSE({1,2},Clientes_Proveedores[Razon Social],Clientes_Proveedores[Ruc / Dni]),2,0),"")</f>
        <v>20558226979</v>
      </c>
      <c r="W2413" s="25"/>
      <c r="X2413" s="25"/>
      <c r="Y2413" s="25"/>
      <c r="Z2413" s="75"/>
      <c r="AA2413" s="3" t="str">
        <f>IF(BCP_Soles[[#This Row],[fecha]]&gt;0,TEXT(BCP_Soles[[#This Row],[fecha]],"mmmm"),0)</f>
        <v>Julio</v>
      </c>
    </row>
    <row r="2414" spans="1:27" x14ac:dyDescent="0.3">
      <c r="A2414" s="2">
        <f>IF(BCP_Soles[[#This Row],[tipo_registro]]="R",COUNTIFS($C$1:$C2413,"R")+1,A2413)</f>
        <v>1764</v>
      </c>
      <c r="B2414" s="19" t="str">
        <f t="shared" si="196"/>
        <v>B-BCP - Soles</v>
      </c>
      <c r="C2414" s="3" t="s">
        <v>1352</v>
      </c>
      <c r="D2414" s="14">
        <v>45840</v>
      </c>
      <c r="E2414" s="5" t="s">
        <v>3682</v>
      </c>
      <c r="F2414" s="5" t="s">
        <v>1303</v>
      </c>
      <c r="G2414" s="6" t="s">
        <v>425</v>
      </c>
      <c r="H2414" s="6" t="s">
        <v>119</v>
      </c>
      <c r="I2414" s="6">
        <v>3</v>
      </c>
      <c r="J2414" s="6">
        <v>613</v>
      </c>
      <c r="K2414" s="7" t="s">
        <v>3675</v>
      </c>
      <c r="L2414" s="8">
        <v>986788</v>
      </c>
      <c r="M2414" s="8" t="str">
        <f t="shared" si="197"/>
        <v>PEN</v>
      </c>
      <c r="N2414" s="13">
        <v>13.5</v>
      </c>
      <c r="O2414" s="13"/>
      <c r="P2414" s="3">
        <f t="shared" si="198"/>
        <v>0</v>
      </c>
      <c r="Q2414" s="3">
        <f t="shared" si="199"/>
        <v>0</v>
      </c>
      <c r="R2414" s="3">
        <f t="shared" si="195"/>
        <v>9612.490000000038</v>
      </c>
      <c r="S2414" s="24" t="s">
        <v>1334</v>
      </c>
      <c r="T2414" s="24" t="s">
        <v>1334</v>
      </c>
      <c r="U2414" s="55"/>
      <c r="V2414" s="25">
        <f>IFERROR(VLOOKUP(BCP_Soles[[#This Row],[destinatario]],CHOOSE({1,2},Clientes_Proveedores[Razon Social],Clientes_Proveedores[Ruc / Dni]),2,0),"")</f>
        <v>20558226979</v>
      </c>
      <c r="W2414" s="25"/>
      <c r="X2414" s="25"/>
      <c r="Y2414" s="25"/>
      <c r="Z2414" s="75"/>
      <c r="AA2414" s="3" t="str">
        <f>IF(BCP_Soles[[#This Row],[fecha]]&gt;0,TEXT(BCP_Soles[[#This Row],[fecha]],"mmmm"),0)</f>
        <v>Julio</v>
      </c>
    </row>
    <row r="2415" spans="1:27" ht="24" x14ac:dyDescent="0.3">
      <c r="A2415" s="2">
        <f>IF(BCP_Soles[[#This Row],[tipo_registro]]="R",COUNTIFS($C$1:$C2414,"R")+1,A2414)</f>
        <v>1764</v>
      </c>
      <c r="B2415" s="19" t="str">
        <f t="shared" si="196"/>
        <v>B-BCP - Soles</v>
      </c>
      <c r="C2415" s="3" t="s">
        <v>1352</v>
      </c>
      <c r="D2415" s="14">
        <v>45840</v>
      </c>
      <c r="E2415" s="5" t="s">
        <v>3683</v>
      </c>
      <c r="F2415" s="5" t="s">
        <v>1303</v>
      </c>
      <c r="G2415" s="6" t="s">
        <v>425</v>
      </c>
      <c r="H2415" s="6" t="s">
        <v>119</v>
      </c>
      <c r="I2415" s="6">
        <v>3</v>
      </c>
      <c r="J2415" s="6">
        <v>615</v>
      </c>
      <c r="K2415" s="7" t="s">
        <v>3675</v>
      </c>
      <c r="L2415" s="8">
        <v>986788</v>
      </c>
      <c r="M2415" s="8" t="str">
        <f t="shared" si="197"/>
        <v>PEN</v>
      </c>
      <c r="N2415" s="13">
        <v>6</v>
      </c>
      <c r="O2415" s="13"/>
      <c r="P2415" s="3">
        <f t="shared" si="198"/>
        <v>0</v>
      </c>
      <c r="Q2415" s="3">
        <f t="shared" si="199"/>
        <v>0</v>
      </c>
      <c r="R2415" s="3">
        <f t="shared" si="195"/>
        <v>9612.490000000038</v>
      </c>
      <c r="S2415" s="24" t="s">
        <v>1334</v>
      </c>
      <c r="T2415" s="24" t="s">
        <v>1334</v>
      </c>
      <c r="U2415" s="55"/>
      <c r="V2415" s="25">
        <f>IFERROR(VLOOKUP(BCP_Soles[[#This Row],[destinatario]],CHOOSE({1,2},Clientes_Proveedores[Razon Social],Clientes_Proveedores[Ruc / Dni]),2,0),"")</f>
        <v>20558226979</v>
      </c>
      <c r="W2415" s="25"/>
      <c r="X2415" s="25"/>
      <c r="Y2415" s="25"/>
      <c r="Z2415" s="75"/>
      <c r="AA2415" s="3" t="str">
        <f>IF(BCP_Soles[[#This Row],[fecha]]&gt;0,TEXT(BCP_Soles[[#This Row],[fecha]],"mmmm"),0)</f>
        <v>Julio</v>
      </c>
    </row>
    <row r="2416" spans="1:27" x14ac:dyDescent="0.3">
      <c r="A2416" s="2">
        <f>IF(BCP_Soles[[#This Row],[tipo_registro]]="R",COUNTIFS($C$1:$C2415,"R")+1,A2415)</f>
        <v>1765</v>
      </c>
      <c r="B2416" s="19" t="str">
        <f t="shared" si="196"/>
        <v>B-BCP - Soles</v>
      </c>
      <c r="C2416" s="3" t="s">
        <v>1330</v>
      </c>
      <c r="D2416" s="14">
        <v>45840</v>
      </c>
      <c r="E2416" s="5" t="s">
        <v>1331</v>
      </c>
      <c r="F2416" s="5" t="s">
        <v>1303</v>
      </c>
      <c r="G2416" s="6" t="s">
        <v>425</v>
      </c>
      <c r="H2416" s="6"/>
      <c r="I2416" s="6"/>
      <c r="J2416" s="6"/>
      <c r="K2416" s="7" t="s">
        <v>3684</v>
      </c>
      <c r="L2416" s="8">
        <v>4395563</v>
      </c>
      <c r="M2416" s="8" t="str">
        <f t="shared" si="197"/>
        <v>PEN</v>
      </c>
      <c r="N2416" s="13"/>
      <c r="O2416" s="13">
        <v>900</v>
      </c>
      <c r="P2416" s="3">
        <f t="shared" si="198"/>
        <v>900</v>
      </c>
      <c r="Q2416" s="3">
        <f t="shared" si="199"/>
        <v>0</v>
      </c>
      <c r="R2416" s="3">
        <f t="shared" si="195"/>
        <v>10512.490000000038</v>
      </c>
      <c r="S2416" s="24"/>
      <c r="T2416" s="24"/>
      <c r="U2416" s="55"/>
      <c r="V2416" s="25">
        <f>IFERROR(VLOOKUP(BCP_Soles[[#This Row],[destinatario]],CHOOSE({1,2},Clientes_Proveedores[Razon Social],Clientes_Proveedores[Ruc / Dni]),2,0),"")</f>
        <v>20558226979</v>
      </c>
      <c r="W2416" s="25"/>
      <c r="X2416" s="25"/>
      <c r="Y2416" s="25"/>
      <c r="Z2416" s="75"/>
      <c r="AA2416" s="3" t="str">
        <f>IF(BCP_Soles[[#This Row],[fecha]]&gt;0,TEXT(BCP_Soles[[#This Row],[fecha]],"mmmm"),0)</f>
        <v>Julio</v>
      </c>
    </row>
    <row r="2417" spans="1:27" x14ac:dyDescent="0.3">
      <c r="A2417" s="2">
        <f>IF(BCP_Soles[[#This Row],[tipo_registro]]="R",COUNTIFS($C$1:$C2416,"R")+1,A2416)</f>
        <v>1766</v>
      </c>
      <c r="B2417" s="19" t="str">
        <f t="shared" si="196"/>
        <v>B-BCP - Soles</v>
      </c>
      <c r="C2417" s="3" t="s">
        <v>1330</v>
      </c>
      <c r="D2417" s="14">
        <v>45840</v>
      </c>
      <c r="E2417" s="5" t="s">
        <v>1331</v>
      </c>
      <c r="F2417" s="5" t="s">
        <v>1336</v>
      </c>
      <c r="G2417" s="6" t="s">
        <v>196</v>
      </c>
      <c r="H2417" s="6" t="s">
        <v>68</v>
      </c>
      <c r="I2417" s="6" t="s">
        <v>2226</v>
      </c>
      <c r="J2417" s="6">
        <v>6525</v>
      </c>
      <c r="K2417" s="7" t="s">
        <v>2227</v>
      </c>
      <c r="L2417" s="8">
        <v>7239</v>
      </c>
      <c r="M2417" s="8" t="str">
        <f t="shared" si="197"/>
        <v>PEN</v>
      </c>
      <c r="N2417" s="13"/>
      <c r="O2417" s="13">
        <v>11.57</v>
      </c>
      <c r="P2417" s="3">
        <f t="shared" si="198"/>
        <v>0</v>
      </c>
      <c r="Q2417" s="3">
        <f t="shared" si="199"/>
        <v>11.57</v>
      </c>
      <c r="R2417" s="3">
        <f t="shared" si="195"/>
        <v>10500.920000000038</v>
      </c>
      <c r="S2417" s="24" t="s">
        <v>1334</v>
      </c>
      <c r="T2417" s="24" t="s">
        <v>1334</v>
      </c>
      <c r="U2417" s="80" t="s">
        <v>3685</v>
      </c>
      <c r="V2417" s="25">
        <f>IFERROR(VLOOKUP(BCP_Soles[[#This Row],[destinatario]],CHOOSE({1,2},Clientes_Proveedores[Razon Social],Clientes_Proveedores[Ruc / Dni]),2,0),"")</f>
        <v>20100055237</v>
      </c>
      <c r="W2417" s="25" t="s">
        <v>196</v>
      </c>
      <c r="X2417" s="25" t="s">
        <v>3686</v>
      </c>
      <c r="Y2417" s="25"/>
      <c r="Z2417" s="75"/>
      <c r="AA2417" s="3" t="str">
        <f>IF(BCP_Soles[[#This Row],[fecha]]&gt;0,TEXT(BCP_Soles[[#This Row],[fecha]],"mmmm"),0)</f>
        <v>Julio</v>
      </c>
    </row>
    <row r="2418" spans="1:27" ht="24" x14ac:dyDescent="0.3">
      <c r="A2418" s="2">
        <f>IF(BCP_Soles[[#This Row],[tipo_registro]]="R",COUNTIFS($C$1:$C2417,"R")+1,A2417)</f>
        <v>1767</v>
      </c>
      <c r="B2418" s="19" t="str">
        <f t="shared" si="196"/>
        <v>B-BCP - Soles</v>
      </c>
      <c r="C2418" s="3" t="s">
        <v>1330</v>
      </c>
      <c r="D2418" s="14">
        <v>45840</v>
      </c>
      <c r="E2418" s="5" t="s">
        <v>1331</v>
      </c>
      <c r="F2418" s="5" t="s">
        <v>1336</v>
      </c>
      <c r="G2418" s="6" t="s">
        <v>482</v>
      </c>
      <c r="H2418" s="6" t="s">
        <v>68</v>
      </c>
      <c r="I2418" s="6" t="s">
        <v>1374</v>
      </c>
      <c r="J2418" s="6">
        <v>492</v>
      </c>
      <c r="K2418" s="7" t="s">
        <v>3687</v>
      </c>
      <c r="L2418" s="8">
        <v>1203622</v>
      </c>
      <c r="M2418" s="8" t="str">
        <f t="shared" si="197"/>
        <v>PEN</v>
      </c>
      <c r="N2418" s="13"/>
      <c r="O2418" s="13">
        <v>389.4</v>
      </c>
      <c r="P2418" s="3">
        <f t="shared" si="198"/>
        <v>0</v>
      </c>
      <c r="Q2418" s="3">
        <f t="shared" si="199"/>
        <v>389.4</v>
      </c>
      <c r="R2418" s="3">
        <f t="shared" si="195"/>
        <v>10111.520000000039</v>
      </c>
      <c r="S2418" s="24" t="s">
        <v>1334</v>
      </c>
      <c r="T2418" s="24" t="s">
        <v>1334</v>
      </c>
      <c r="U2418" s="80" t="s">
        <v>3688</v>
      </c>
      <c r="V2418" s="25">
        <f>IFERROR(VLOOKUP(BCP_Soles[[#This Row],[destinatario]],CHOOSE({1,2},Clientes_Proveedores[Razon Social],Clientes_Proveedores[Ruc / Dni]),2,0),"")</f>
        <v>20602441165</v>
      </c>
      <c r="W2418" s="25" t="s">
        <v>482</v>
      </c>
      <c r="X2418" s="25" t="s">
        <v>3689</v>
      </c>
      <c r="Y2418" s="25"/>
      <c r="Z2418" s="75"/>
      <c r="AA2418" s="3" t="str">
        <f>IF(BCP_Soles[[#This Row],[fecha]]&gt;0,TEXT(BCP_Soles[[#This Row],[fecha]],"mmmm"),0)</f>
        <v>Julio</v>
      </c>
    </row>
    <row r="2419" spans="1:27" ht="24" x14ac:dyDescent="0.3">
      <c r="A2419" s="2">
        <f>IF(BCP_Soles[[#This Row],[tipo_registro]]="R",COUNTIFS($C$1:$C2418,"R")+1,A2418)</f>
        <v>1768</v>
      </c>
      <c r="B2419" s="19" t="str">
        <f t="shared" si="196"/>
        <v>B-BCP - Soles</v>
      </c>
      <c r="C2419" s="3" t="s">
        <v>1330</v>
      </c>
      <c r="D2419" s="14">
        <v>45840</v>
      </c>
      <c r="E2419" s="5" t="s">
        <v>1331</v>
      </c>
      <c r="F2419" s="5" t="s">
        <v>1336</v>
      </c>
      <c r="G2419" s="6" t="s">
        <v>482</v>
      </c>
      <c r="H2419" s="6" t="s">
        <v>68</v>
      </c>
      <c r="I2419" s="6" t="s">
        <v>1374</v>
      </c>
      <c r="J2419" s="6">
        <v>493</v>
      </c>
      <c r="K2419" s="7" t="s">
        <v>3690</v>
      </c>
      <c r="L2419" s="8">
        <v>1201188</v>
      </c>
      <c r="M2419" s="8" t="str">
        <f t="shared" si="197"/>
        <v>PEN</v>
      </c>
      <c r="N2419" s="13"/>
      <c r="O2419" s="13">
        <v>698</v>
      </c>
      <c r="P2419" s="3">
        <f t="shared" si="198"/>
        <v>0</v>
      </c>
      <c r="Q2419" s="3">
        <f t="shared" si="199"/>
        <v>698</v>
      </c>
      <c r="R2419" s="3">
        <f t="shared" si="195"/>
        <v>9413.5200000000386</v>
      </c>
      <c r="S2419" s="24" t="s">
        <v>1334</v>
      </c>
      <c r="T2419" s="24" t="s">
        <v>1334</v>
      </c>
      <c r="U2419" s="80" t="s">
        <v>3691</v>
      </c>
      <c r="V2419" s="25">
        <f>IFERROR(VLOOKUP(BCP_Soles[[#This Row],[destinatario]],CHOOSE({1,2},Clientes_Proveedores[Razon Social],Clientes_Proveedores[Ruc / Dni]),2,0),"")</f>
        <v>20602441165</v>
      </c>
      <c r="W2419" s="25" t="s">
        <v>482</v>
      </c>
      <c r="X2419" s="25" t="s">
        <v>3692</v>
      </c>
      <c r="Y2419" s="25"/>
      <c r="Z2419" s="75"/>
      <c r="AA2419" s="3" t="str">
        <f>IF(BCP_Soles[[#This Row],[fecha]]&gt;0,TEXT(BCP_Soles[[#This Row],[fecha]],"mmmm"),0)</f>
        <v>Julio</v>
      </c>
    </row>
    <row r="2420" spans="1:27" ht="24" x14ac:dyDescent="0.3">
      <c r="A2420" s="2">
        <f>IF(BCP_Soles[[#This Row],[tipo_registro]]="R",COUNTIFS($C$1:$C2419,"R")+1,A2419)</f>
        <v>1769</v>
      </c>
      <c r="B2420" s="19" t="str">
        <f t="shared" si="196"/>
        <v>B-BCP - Soles</v>
      </c>
      <c r="C2420" s="3" t="s">
        <v>1330</v>
      </c>
      <c r="D2420" s="14">
        <v>45840</v>
      </c>
      <c r="E2420" s="5" t="s">
        <v>1331</v>
      </c>
      <c r="F2420" s="5" t="s">
        <v>1336</v>
      </c>
      <c r="G2420" s="6" t="s">
        <v>249</v>
      </c>
      <c r="H2420" s="6"/>
      <c r="I2420" s="6"/>
      <c r="J2420" s="6"/>
      <c r="K2420" s="7" t="s">
        <v>3693</v>
      </c>
      <c r="L2420" s="8">
        <v>1203122</v>
      </c>
      <c r="M2420" s="8" t="str">
        <f t="shared" si="197"/>
        <v>PEN</v>
      </c>
      <c r="N2420" s="13"/>
      <c r="O2420" s="13">
        <v>3000</v>
      </c>
      <c r="P2420" s="3">
        <f t="shared" si="198"/>
        <v>0</v>
      </c>
      <c r="Q2420" s="3">
        <f t="shared" si="199"/>
        <v>3000</v>
      </c>
      <c r="R2420" s="3">
        <f t="shared" si="195"/>
        <v>6413.5200000000386</v>
      </c>
      <c r="S2420" s="24"/>
      <c r="T2420" s="24" t="s">
        <v>1334</v>
      </c>
      <c r="U2420" s="80" t="s">
        <v>3694</v>
      </c>
      <c r="V2420" s="25">
        <f>IFERROR(VLOOKUP(BCP_Soles[[#This Row],[destinatario]],CHOOSE({1,2},Clientes_Proveedores[Razon Social],Clientes_Proveedores[Ruc / Dni]),2,0),"")</f>
        <v>20302891452</v>
      </c>
      <c r="W2420" s="25" t="s">
        <v>249</v>
      </c>
      <c r="X2420" s="25"/>
      <c r="Y2420" s="25"/>
      <c r="Z2420" s="75"/>
      <c r="AA2420" s="3" t="str">
        <f>IF(BCP_Soles[[#This Row],[fecha]]&gt;0,TEXT(BCP_Soles[[#This Row],[fecha]],"mmmm"),0)</f>
        <v>Julio</v>
      </c>
    </row>
    <row r="2421" spans="1:27" ht="36" x14ac:dyDescent="0.3">
      <c r="A2421" s="2">
        <f>IF(BCP_Soles[[#This Row],[tipo_registro]]="R",COUNTIFS($C$1:$C2420,"R")+1,A2420)</f>
        <v>1770</v>
      </c>
      <c r="B2421" s="19" t="str">
        <f t="shared" si="196"/>
        <v>B-BCP - Soles</v>
      </c>
      <c r="C2421" s="3" t="s">
        <v>1330</v>
      </c>
      <c r="D2421" s="14">
        <v>45840</v>
      </c>
      <c r="E2421" s="5" t="s">
        <v>1331</v>
      </c>
      <c r="F2421" s="5" t="s">
        <v>1336</v>
      </c>
      <c r="G2421" s="6" t="s">
        <v>984</v>
      </c>
      <c r="H2421" s="6" t="s">
        <v>68</v>
      </c>
      <c r="I2421" s="6" t="s">
        <v>1391</v>
      </c>
      <c r="J2421" s="6">
        <v>16778</v>
      </c>
      <c r="K2421" s="7" t="s">
        <v>3695</v>
      </c>
      <c r="L2421" s="8">
        <v>1231148</v>
      </c>
      <c r="M2421" s="8" t="str">
        <f t="shared" si="197"/>
        <v>PEN</v>
      </c>
      <c r="N2421" s="13"/>
      <c r="O2421" s="13">
        <v>875.92</v>
      </c>
      <c r="P2421" s="3">
        <f t="shared" si="198"/>
        <v>0</v>
      </c>
      <c r="Q2421" s="3">
        <f t="shared" si="199"/>
        <v>875.92</v>
      </c>
      <c r="R2421" s="3">
        <f t="shared" si="195"/>
        <v>5537.6000000000386</v>
      </c>
      <c r="S2421" s="24" t="s">
        <v>1334</v>
      </c>
      <c r="T2421" s="24"/>
      <c r="U2421" s="80" t="s">
        <v>3696</v>
      </c>
      <c r="V2421" s="25">
        <f>IFERROR(VLOOKUP(BCP_Soles[[#This Row],[destinatario]],CHOOSE({1,2},Clientes_Proveedores[Razon Social],Clientes_Proveedores[Ruc / Dni]),2,0),"")</f>
        <v>20455823880</v>
      </c>
      <c r="W2421" s="25" t="s">
        <v>3697</v>
      </c>
      <c r="X2421" s="25"/>
      <c r="Y2421" s="25"/>
      <c r="Z2421" s="75"/>
      <c r="AA2421" s="3" t="str">
        <f>IF(BCP_Soles[[#This Row],[fecha]]&gt;0,TEXT(BCP_Soles[[#This Row],[fecha]],"mmmm"),0)</f>
        <v>Julio</v>
      </c>
    </row>
    <row r="2422" spans="1:27" x14ac:dyDescent="0.3">
      <c r="A2422" s="2">
        <f>IF(BCP_Soles[[#This Row],[tipo_registro]]="R",COUNTIFS($C$1:$C2421,"R")+1,A2421)</f>
        <v>1771</v>
      </c>
      <c r="B2422" s="19" t="str">
        <f t="shared" si="196"/>
        <v>B-BCP - Soles</v>
      </c>
      <c r="C2422" s="3" t="s">
        <v>1330</v>
      </c>
      <c r="D2422" s="14">
        <v>45840</v>
      </c>
      <c r="E2422" s="5" t="s">
        <v>1331</v>
      </c>
      <c r="F2422" s="5" t="s">
        <v>1336</v>
      </c>
      <c r="G2422" s="6" t="s">
        <v>696</v>
      </c>
      <c r="H2422" s="6"/>
      <c r="I2422" s="6"/>
      <c r="J2422" s="6"/>
      <c r="K2422" s="7" t="s">
        <v>3698</v>
      </c>
      <c r="L2422" s="8">
        <v>5051135</v>
      </c>
      <c r="M2422" s="8" t="str">
        <f t="shared" si="197"/>
        <v>PEN</v>
      </c>
      <c r="N2422" s="13"/>
      <c r="O2422" s="13">
        <v>5410</v>
      </c>
      <c r="P2422" s="3">
        <f t="shared" si="198"/>
        <v>0</v>
      </c>
      <c r="Q2422" s="3">
        <f t="shared" si="199"/>
        <v>5410</v>
      </c>
      <c r="R2422" s="3">
        <f t="shared" si="195"/>
        <v>127.60000000003856</v>
      </c>
      <c r="S2422" s="24" t="s">
        <v>1334</v>
      </c>
      <c r="T2422" s="24" t="s">
        <v>1334</v>
      </c>
      <c r="U2422" s="80" t="s">
        <v>3699</v>
      </c>
      <c r="V2422" s="25">
        <f>IFERROR(VLOOKUP(BCP_Soles[[#This Row],[destinatario]],CHOOSE({1,2},Clientes_Proveedores[Razon Social],Clientes_Proveedores[Ruc / Dni]),2,0),"")</f>
        <v>0</v>
      </c>
      <c r="W2422" s="25" t="s">
        <v>1373</v>
      </c>
      <c r="X2422" s="25"/>
      <c r="Y2422" s="25"/>
      <c r="Z2422" s="75"/>
      <c r="AA2422" s="3" t="str">
        <f>IF(BCP_Soles[[#This Row],[fecha]]&gt;0,TEXT(BCP_Soles[[#This Row],[fecha]],"mmmm"),0)</f>
        <v>Julio</v>
      </c>
    </row>
    <row r="2423" spans="1:27" ht="36" x14ac:dyDescent="0.3">
      <c r="A2423" s="2">
        <f>IF(BCP_Soles[[#This Row],[tipo_registro]]="R",COUNTIFS($C$1:$C2422,"R")+1,A2422)</f>
        <v>1771</v>
      </c>
      <c r="B2423" s="19" t="str">
        <f t="shared" si="196"/>
        <v>B-BCP - Soles</v>
      </c>
      <c r="C2423" s="3" t="s">
        <v>1352</v>
      </c>
      <c r="D2423" s="14">
        <v>45840</v>
      </c>
      <c r="E2423" s="5" t="s">
        <v>1331</v>
      </c>
      <c r="F2423" s="5"/>
      <c r="G2423" s="6" t="s">
        <v>626</v>
      </c>
      <c r="H2423" s="6" t="s">
        <v>68</v>
      </c>
      <c r="I2423" s="6" t="s">
        <v>1376</v>
      </c>
      <c r="J2423" s="6">
        <v>220</v>
      </c>
      <c r="K2423" s="7" t="s">
        <v>3698</v>
      </c>
      <c r="L2423" s="8">
        <v>5051135</v>
      </c>
      <c r="M2423" s="8" t="str">
        <f t="shared" si="197"/>
        <v>PEN</v>
      </c>
      <c r="N2423" s="13">
        <v>2400</v>
      </c>
      <c r="O2423" s="13"/>
      <c r="P2423" s="3">
        <f t="shared" si="198"/>
        <v>0</v>
      </c>
      <c r="Q2423" s="3">
        <f t="shared" si="199"/>
        <v>0</v>
      </c>
      <c r="R2423" s="3">
        <f t="shared" si="195"/>
        <v>127.60000000003856</v>
      </c>
      <c r="S2423" s="24" t="s">
        <v>1334</v>
      </c>
      <c r="T2423" s="24" t="s">
        <v>1334</v>
      </c>
      <c r="U2423" s="80" t="s">
        <v>3699</v>
      </c>
      <c r="V2423" s="25">
        <f>IFERROR(VLOOKUP(BCP_Soles[[#This Row],[destinatario]],CHOOSE({1,2},Clientes_Proveedores[Razon Social],Clientes_Proveedores[Ruc / Dni]),2,0),"")</f>
        <v>20549334874</v>
      </c>
      <c r="W2423" s="25"/>
      <c r="X2423" s="25"/>
      <c r="Y2423" s="25"/>
      <c r="Z2423" s="75"/>
      <c r="AA2423" s="3" t="str">
        <f>IF(BCP_Soles[[#This Row],[fecha]]&gt;0,TEXT(BCP_Soles[[#This Row],[fecha]],"mmmm"),0)</f>
        <v>Julio</v>
      </c>
    </row>
    <row r="2424" spans="1:27" ht="24" x14ac:dyDescent="0.3">
      <c r="A2424" s="2">
        <f>IF(BCP_Soles[[#This Row],[tipo_registro]]="R",COUNTIFS($C$1:$C2423,"R")+1,A2423)</f>
        <v>1771</v>
      </c>
      <c r="B2424" s="19" t="str">
        <f t="shared" si="196"/>
        <v>B-BCP - Soles</v>
      </c>
      <c r="C2424" s="3" t="s">
        <v>1352</v>
      </c>
      <c r="D2424" s="14">
        <v>45840</v>
      </c>
      <c r="E2424" s="5" t="s">
        <v>1331</v>
      </c>
      <c r="F2424" s="5"/>
      <c r="G2424" s="6" t="s">
        <v>185</v>
      </c>
      <c r="H2424" s="6" t="s">
        <v>68</v>
      </c>
      <c r="I2424" s="6" t="s">
        <v>1376</v>
      </c>
      <c r="J2424" s="6">
        <v>138</v>
      </c>
      <c r="K2424" s="7" t="s">
        <v>3698</v>
      </c>
      <c r="L2424" s="8">
        <v>5051135</v>
      </c>
      <c r="M2424" s="8" t="str">
        <f t="shared" si="197"/>
        <v>PEN</v>
      </c>
      <c r="N2424" s="13">
        <v>1555</v>
      </c>
      <c r="O2424" s="13"/>
      <c r="P2424" s="3">
        <f t="shared" si="198"/>
        <v>0</v>
      </c>
      <c r="Q2424" s="3">
        <f t="shared" si="199"/>
        <v>0</v>
      </c>
      <c r="R2424" s="3">
        <f t="shared" si="195"/>
        <v>127.60000000003856</v>
      </c>
      <c r="S2424" s="24" t="s">
        <v>1334</v>
      </c>
      <c r="T2424" s="24" t="s">
        <v>1334</v>
      </c>
      <c r="U2424" s="80" t="s">
        <v>3699</v>
      </c>
      <c r="V2424" s="25">
        <f>IFERROR(VLOOKUP(BCP_Soles[[#This Row],[destinatario]],CHOOSE({1,2},Clientes_Proveedores[Razon Social],Clientes_Proveedores[Ruc / Dni]),2,0),"")</f>
        <v>10489531963</v>
      </c>
      <c r="W2424" s="25"/>
      <c r="X2424" s="25"/>
      <c r="Y2424" s="25"/>
      <c r="Z2424" s="75"/>
      <c r="AA2424" s="3" t="str">
        <f>IF(BCP_Soles[[#This Row],[fecha]]&gt;0,TEXT(BCP_Soles[[#This Row],[fecha]],"mmmm"),0)</f>
        <v>Julio</v>
      </c>
    </row>
    <row r="2425" spans="1:27" x14ac:dyDescent="0.3">
      <c r="A2425" s="2">
        <f>IF(BCP_Soles[[#This Row],[tipo_registro]]="R",COUNTIFS($C$1:$C2424,"R")+1,A2424)</f>
        <v>1771</v>
      </c>
      <c r="B2425" s="19" t="str">
        <f t="shared" si="196"/>
        <v>B-BCP - Soles</v>
      </c>
      <c r="C2425" s="3" t="s">
        <v>1352</v>
      </c>
      <c r="D2425" s="14">
        <v>45840</v>
      </c>
      <c r="E2425" s="5" t="s">
        <v>1331</v>
      </c>
      <c r="F2425" s="5"/>
      <c r="G2425" s="6" t="s">
        <v>286</v>
      </c>
      <c r="H2425" s="6" t="s">
        <v>68</v>
      </c>
      <c r="I2425" s="6" t="s">
        <v>1390</v>
      </c>
      <c r="J2425" s="6">
        <v>628</v>
      </c>
      <c r="K2425" s="7" t="s">
        <v>3698</v>
      </c>
      <c r="L2425" s="8">
        <v>5051135</v>
      </c>
      <c r="M2425" s="8" t="str">
        <f t="shared" si="197"/>
        <v>PEN</v>
      </c>
      <c r="N2425" s="13">
        <v>1455</v>
      </c>
      <c r="O2425" s="13"/>
      <c r="P2425" s="3">
        <f t="shared" si="198"/>
        <v>0</v>
      </c>
      <c r="Q2425" s="3">
        <f t="shared" si="199"/>
        <v>0</v>
      </c>
      <c r="R2425" s="3">
        <f t="shared" si="195"/>
        <v>127.60000000003856</v>
      </c>
      <c r="S2425" s="24" t="s">
        <v>1334</v>
      </c>
      <c r="T2425" s="24" t="s">
        <v>1334</v>
      </c>
      <c r="U2425" s="80" t="s">
        <v>3699</v>
      </c>
      <c r="V2425" s="25">
        <f>IFERROR(VLOOKUP(BCP_Soles[[#This Row],[destinatario]],CHOOSE({1,2},Clientes_Proveedores[Razon Social],Clientes_Proveedores[Ruc / Dni]),2,0),"")</f>
        <v>20454186002</v>
      </c>
      <c r="W2425" s="25"/>
      <c r="X2425" s="25"/>
      <c r="Y2425" s="25"/>
      <c r="Z2425" s="75"/>
      <c r="AA2425" s="3" t="str">
        <f>IF(BCP_Soles[[#This Row],[fecha]]&gt;0,TEXT(BCP_Soles[[#This Row],[fecha]],"mmmm"),0)</f>
        <v>Julio</v>
      </c>
    </row>
    <row r="2426" spans="1:27" ht="24" x14ac:dyDescent="0.3">
      <c r="A2426" s="2">
        <f>IF(BCP_Soles[[#This Row],[tipo_registro]]="R",COUNTIFS($C$1:$C2425,"R")+1,A2425)</f>
        <v>1772</v>
      </c>
      <c r="B2426" s="19" t="str">
        <f t="shared" si="196"/>
        <v>B-BCP - Soles</v>
      </c>
      <c r="C2426" s="3" t="s">
        <v>1330</v>
      </c>
      <c r="D2426" s="14">
        <v>45840</v>
      </c>
      <c r="E2426" s="5" t="s">
        <v>1335</v>
      </c>
      <c r="F2426" s="5" t="s">
        <v>1336</v>
      </c>
      <c r="G2426" s="6" t="s">
        <v>1060</v>
      </c>
      <c r="H2426" s="6" t="s">
        <v>68</v>
      </c>
      <c r="I2426" s="6" t="s">
        <v>1397</v>
      </c>
      <c r="J2426" s="6">
        <v>34312245</v>
      </c>
      <c r="K2426" s="7" t="s">
        <v>3700</v>
      </c>
      <c r="L2426" s="8">
        <v>5051144</v>
      </c>
      <c r="M2426" s="8" t="str">
        <f t="shared" si="197"/>
        <v>PEN</v>
      </c>
      <c r="N2426" s="13"/>
      <c r="O2426" s="13">
        <v>2.5</v>
      </c>
      <c r="P2426" s="3">
        <f t="shared" si="198"/>
        <v>0</v>
      </c>
      <c r="Q2426" s="3">
        <f t="shared" si="199"/>
        <v>2.5</v>
      </c>
      <c r="R2426" s="3">
        <f t="shared" si="195"/>
        <v>125.10000000003856</v>
      </c>
      <c r="S2426" s="24" t="s">
        <v>1334</v>
      </c>
      <c r="T2426" s="24" t="s">
        <v>1334</v>
      </c>
      <c r="U2426" s="55"/>
      <c r="V2426" s="25">
        <f>IFERROR(VLOOKUP(BCP_Soles[[#This Row],[destinatario]],CHOOSE({1,2},Clientes_Proveedores[Razon Social],Clientes_Proveedores[Ruc / Dni]),2,0),"")</f>
        <v>20100047218</v>
      </c>
      <c r="W2426" s="25"/>
      <c r="X2426" s="25"/>
      <c r="Y2426" s="25"/>
      <c r="Z2426" s="75"/>
      <c r="AA2426" s="3" t="str">
        <f>IF(BCP_Soles[[#This Row],[fecha]]&gt;0,TEXT(BCP_Soles[[#This Row],[fecha]],"mmmm"),0)</f>
        <v>Julio</v>
      </c>
    </row>
    <row r="2427" spans="1:27" x14ac:dyDescent="0.3">
      <c r="A2427" s="2">
        <f>IF(BCP_Soles[[#This Row],[tipo_registro]]="R",COUNTIFS($C$1:$C2426,"R")+1,A2426)</f>
        <v>1773</v>
      </c>
      <c r="B2427" s="19" t="str">
        <f t="shared" si="196"/>
        <v>B-BCP - Soles</v>
      </c>
      <c r="C2427" s="3" t="s">
        <v>1330</v>
      </c>
      <c r="D2427" s="14">
        <v>45840</v>
      </c>
      <c r="E2427" s="5" t="s">
        <v>1335</v>
      </c>
      <c r="F2427" s="5" t="s">
        <v>1336</v>
      </c>
      <c r="G2427" s="6" t="s">
        <v>1009</v>
      </c>
      <c r="H2427" s="6" t="s">
        <v>64</v>
      </c>
      <c r="I2427" s="6" t="s">
        <v>3673</v>
      </c>
      <c r="J2427" s="6">
        <v>1773</v>
      </c>
      <c r="K2427" s="7" t="s">
        <v>3160</v>
      </c>
      <c r="L2427" s="8"/>
      <c r="M2427" s="8" t="str">
        <f t="shared" si="197"/>
        <v>PEN</v>
      </c>
      <c r="N2427" s="13"/>
      <c r="O2427" s="13">
        <v>0.55000000000000004</v>
      </c>
      <c r="P2427" s="3">
        <f t="shared" si="198"/>
        <v>0</v>
      </c>
      <c r="Q2427" s="3">
        <f t="shared" si="199"/>
        <v>0.55000000000000004</v>
      </c>
      <c r="R2427" s="3">
        <f t="shared" si="195"/>
        <v>124.55000000003857</v>
      </c>
      <c r="S2427" s="24" t="s">
        <v>1334</v>
      </c>
      <c r="T2427" s="24" t="s">
        <v>1334</v>
      </c>
      <c r="U2427" s="55"/>
      <c r="V2427" s="25">
        <f>IFERROR(VLOOKUP(BCP_Soles[[#This Row],[destinatario]],CHOOSE({1,2},Clientes_Proveedores[Razon Social],Clientes_Proveedores[Ruc / Dni]),2,0),"")</f>
        <v>11111111</v>
      </c>
      <c r="W2427" s="25"/>
      <c r="X2427" s="25"/>
      <c r="Y2427" s="25"/>
      <c r="Z2427" s="75"/>
      <c r="AA2427" s="3" t="str">
        <f>IF(BCP_Soles[[#This Row],[fecha]]&gt;0,TEXT(BCP_Soles[[#This Row],[fecha]],"mmmm"),0)</f>
        <v>Julio</v>
      </c>
    </row>
    <row r="2428" spans="1:27" ht="36" x14ac:dyDescent="0.3">
      <c r="A2428" s="2">
        <f>IF(BCP_Soles[[#This Row],[tipo_registro]]="R",COUNTIFS($C$1:$C2427,"R")+1,A2427)</f>
        <v>1774</v>
      </c>
      <c r="B2428" s="19" t="str">
        <f t="shared" si="196"/>
        <v>B-BCP - Soles</v>
      </c>
      <c r="C2428" s="3" t="s">
        <v>1330</v>
      </c>
      <c r="D2428" s="14">
        <v>45841</v>
      </c>
      <c r="E2428" s="5" t="s">
        <v>660</v>
      </c>
      <c r="F2428" s="5" t="s">
        <v>1303</v>
      </c>
      <c r="G2428" s="6" t="s">
        <v>425</v>
      </c>
      <c r="H2428" s="6" t="s">
        <v>68</v>
      </c>
      <c r="I2428" s="6" t="s">
        <v>3302</v>
      </c>
      <c r="J2428" s="6">
        <v>85</v>
      </c>
      <c r="K2428" s="7" t="s">
        <v>3608</v>
      </c>
      <c r="L2428" s="8">
        <v>1594105</v>
      </c>
      <c r="M2428" s="8" t="str">
        <f t="shared" si="197"/>
        <v>PEN</v>
      </c>
      <c r="N2428" s="13"/>
      <c r="O2428" s="13">
        <v>595.9</v>
      </c>
      <c r="P2428" s="3">
        <f t="shared" si="198"/>
        <v>595.9</v>
      </c>
      <c r="Q2428" s="3">
        <f t="shared" si="199"/>
        <v>0</v>
      </c>
      <c r="R2428" s="3">
        <f t="shared" si="195"/>
        <v>720.45000000003859</v>
      </c>
      <c r="S2428" s="24" t="s">
        <v>1334</v>
      </c>
      <c r="T2428" s="24" t="s">
        <v>1334</v>
      </c>
      <c r="U2428" s="55"/>
      <c r="V2428" s="25">
        <f>IFERROR(VLOOKUP(BCP_Soles[[#This Row],[destinatario]],CHOOSE({1,2},Clientes_Proveedores[Razon Social],Clientes_Proveedores[Ruc / Dni]),2,0),"")</f>
        <v>20558226979</v>
      </c>
      <c r="W2428" s="25"/>
      <c r="X2428" s="25" t="s">
        <v>3701</v>
      </c>
      <c r="Y2428" s="25"/>
      <c r="Z2428" s="75"/>
      <c r="AA2428" s="3" t="str">
        <f>IF(BCP_Soles[[#This Row],[fecha]]&gt;0,TEXT(BCP_Soles[[#This Row],[fecha]],"mmmm"),0)</f>
        <v>Julio</v>
      </c>
    </row>
    <row r="2429" spans="1:27" ht="24" x14ac:dyDescent="0.3">
      <c r="A2429" s="2">
        <f>IF(BCP_Soles[[#This Row],[tipo_registro]]="R",COUNTIFS($C$1:$C2428,"R")+1,A2428)</f>
        <v>1775</v>
      </c>
      <c r="B2429" s="19" t="str">
        <f t="shared" si="196"/>
        <v>B-BCP - Soles</v>
      </c>
      <c r="C2429" s="3" t="s">
        <v>1330</v>
      </c>
      <c r="D2429" s="14">
        <v>45841</v>
      </c>
      <c r="E2429" s="5" t="s">
        <v>204</v>
      </c>
      <c r="F2429" s="5" t="s">
        <v>1303</v>
      </c>
      <c r="G2429" s="6" t="s">
        <v>425</v>
      </c>
      <c r="H2429" s="6" t="s">
        <v>68</v>
      </c>
      <c r="I2429" s="6" t="s">
        <v>3302</v>
      </c>
      <c r="J2429" s="6">
        <v>52</v>
      </c>
      <c r="K2429" s="7" t="s">
        <v>3702</v>
      </c>
      <c r="L2429" s="8">
        <v>5339409</v>
      </c>
      <c r="M2429" s="8" t="str">
        <f t="shared" si="197"/>
        <v>PEN</v>
      </c>
      <c r="N2429" s="13"/>
      <c r="O2429" s="13">
        <v>766.88</v>
      </c>
      <c r="P2429" s="3">
        <f t="shared" si="198"/>
        <v>766.88</v>
      </c>
      <c r="Q2429" s="3">
        <f t="shared" si="199"/>
        <v>0</v>
      </c>
      <c r="R2429" s="3">
        <f t="shared" si="195"/>
        <v>1487.3300000000386</v>
      </c>
      <c r="S2429" s="24" t="s">
        <v>1334</v>
      </c>
      <c r="T2429" s="24" t="s">
        <v>1334</v>
      </c>
      <c r="U2429" s="55"/>
      <c r="V2429" s="25">
        <f>IFERROR(VLOOKUP(BCP_Soles[[#This Row],[destinatario]],CHOOSE({1,2},Clientes_Proveedores[Razon Social],Clientes_Proveedores[Ruc / Dni]),2,0),"")</f>
        <v>20558226979</v>
      </c>
      <c r="W2429" s="25"/>
      <c r="X2429" s="25" t="s">
        <v>3703</v>
      </c>
      <c r="Y2429" s="25"/>
      <c r="Z2429" s="75"/>
      <c r="AA2429" s="3" t="str">
        <f>IF(BCP_Soles[[#This Row],[fecha]]&gt;0,TEXT(BCP_Soles[[#This Row],[fecha]],"mmmm"),0)</f>
        <v>Julio</v>
      </c>
    </row>
    <row r="2430" spans="1:27" ht="48" x14ac:dyDescent="0.3">
      <c r="A2430" s="2">
        <f>IF(BCP_Soles[[#This Row],[tipo_registro]]="R",COUNTIFS($C$1:$C2429,"R")+1,A2429)</f>
        <v>1776</v>
      </c>
      <c r="B2430" s="19" t="str">
        <f t="shared" si="196"/>
        <v>B-BCP - Soles</v>
      </c>
      <c r="C2430" s="3" t="s">
        <v>1330</v>
      </c>
      <c r="D2430" s="14">
        <v>45841</v>
      </c>
      <c r="E2430" s="5" t="s">
        <v>505</v>
      </c>
      <c r="F2430" s="5" t="s">
        <v>1303</v>
      </c>
      <c r="G2430" s="6" t="s">
        <v>425</v>
      </c>
      <c r="H2430" s="6" t="s">
        <v>68</v>
      </c>
      <c r="I2430" s="6" t="s">
        <v>3381</v>
      </c>
      <c r="J2430" s="6">
        <v>41</v>
      </c>
      <c r="K2430" s="7" t="s">
        <v>1634</v>
      </c>
      <c r="L2430" s="8">
        <v>2077545</v>
      </c>
      <c r="M2430" s="8" t="str">
        <f t="shared" si="197"/>
        <v>PEN</v>
      </c>
      <c r="N2430" s="13"/>
      <c r="O2430" s="13">
        <v>6107.61</v>
      </c>
      <c r="P2430" s="3">
        <f t="shared" si="198"/>
        <v>6107.61</v>
      </c>
      <c r="Q2430" s="3">
        <f t="shared" si="199"/>
        <v>0</v>
      </c>
      <c r="R2430" s="3">
        <f t="shared" si="195"/>
        <v>7594.9400000000387</v>
      </c>
      <c r="S2430" s="24" t="s">
        <v>1334</v>
      </c>
      <c r="T2430" s="24" t="s">
        <v>1334</v>
      </c>
      <c r="U2430" s="55"/>
      <c r="V2430" s="25">
        <f>IFERROR(VLOOKUP(BCP_Soles[[#This Row],[destinatario]],CHOOSE({1,2},Clientes_Proveedores[Razon Social],Clientes_Proveedores[Ruc / Dni]),2,0),"")</f>
        <v>20558226979</v>
      </c>
      <c r="W2430" s="25"/>
      <c r="X2430" s="25"/>
      <c r="Y2430" s="25"/>
      <c r="Z2430" s="75"/>
      <c r="AA2430" s="3" t="str">
        <f>IF(BCP_Soles[[#This Row],[fecha]]&gt;0,TEXT(BCP_Soles[[#This Row],[fecha]],"mmmm"),0)</f>
        <v>Julio</v>
      </c>
    </row>
    <row r="2431" spans="1:27" ht="60" x14ac:dyDescent="0.3">
      <c r="A2431" s="2">
        <f>IF(BCP_Soles[[#This Row],[tipo_registro]]="R",COUNTIFS($C$1:$C2430,"R")+1,A2430)</f>
        <v>1777</v>
      </c>
      <c r="B2431" s="19" t="str">
        <f t="shared" si="196"/>
        <v>B-BCP - Soles</v>
      </c>
      <c r="C2431" s="3" t="s">
        <v>1330</v>
      </c>
      <c r="D2431" s="14">
        <v>45841</v>
      </c>
      <c r="E2431" s="5" t="s">
        <v>295</v>
      </c>
      <c r="F2431" s="5" t="s">
        <v>1303</v>
      </c>
      <c r="G2431" s="6" t="s">
        <v>425</v>
      </c>
      <c r="H2431" s="6" t="s">
        <v>68</v>
      </c>
      <c r="I2431" s="6" t="s">
        <v>3302</v>
      </c>
      <c r="J2431" s="6">
        <v>77</v>
      </c>
      <c r="K2431" s="7" t="s">
        <v>1428</v>
      </c>
      <c r="L2431" s="8">
        <v>2199307</v>
      </c>
      <c r="M2431" s="8" t="str">
        <f t="shared" si="197"/>
        <v>PEN</v>
      </c>
      <c r="N2431" s="13"/>
      <c r="O2431" s="13">
        <v>893.38</v>
      </c>
      <c r="P2431" s="3">
        <f t="shared" si="198"/>
        <v>893.38</v>
      </c>
      <c r="Q2431" s="3">
        <f t="shared" si="199"/>
        <v>0</v>
      </c>
      <c r="R2431" s="3">
        <f t="shared" si="195"/>
        <v>8488.3200000000379</v>
      </c>
      <c r="S2431" s="24" t="s">
        <v>1334</v>
      </c>
      <c r="T2431" s="24" t="s">
        <v>1334</v>
      </c>
      <c r="U2431" s="55"/>
      <c r="V2431" s="25">
        <f>IFERROR(VLOOKUP(BCP_Soles[[#This Row],[destinatario]],CHOOSE({1,2},Clientes_Proveedores[Razon Social],Clientes_Proveedores[Ruc / Dni]),2,0),"")</f>
        <v>20558226979</v>
      </c>
      <c r="W2431" s="25"/>
      <c r="X2431" s="25" t="s">
        <v>3704</v>
      </c>
      <c r="Y2431" s="25"/>
      <c r="Z2431" s="75"/>
      <c r="AA2431" s="3" t="str">
        <f>IF(BCP_Soles[[#This Row],[fecha]]&gt;0,TEXT(BCP_Soles[[#This Row],[fecha]],"mmmm"),0)</f>
        <v>Julio</v>
      </c>
    </row>
    <row r="2432" spans="1:27" ht="60" x14ac:dyDescent="0.3">
      <c r="A2432" s="2">
        <f>IF(BCP_Soles[[#This Row],[tipo_registro]]="R",COUNTIFS($C$1:$C2431,"R")+1,A2431)</f>
        <v>1778</v>
      </c>
      <c r="B2432" s="19" t="str">
        <f t="shared" si="196"/>
        <v>B-BCP - Soles</v>
      </c>
      <c r="C2432" s="3" t="s">
        <v>1330</v>
      </c>
      <c r="D2432" s="14">
        <v>45841</v>
      </c>
      <c r="E2432" s="5" t="s">
        <v>295</v>
      </c>
      <c r="F2432" s="5" t="s">
        <v>1303</v>
      </c>
      <c r="G2432" s="6" t="s">
        <v>425</v>
      </c>
      <c r="H2432" s="6" t="s">
        <v>68</v>
      </c>
      <c r="I2432" s="6" t="s">
        <v>3302</v>
      </c>
      <c r="J2432" s="6">
        <v>79</v>
      </c>
      <c r="K2432" s="7" t="s">
        <v>1428</v>
      </c>
      <c r="L2432" s="8">
        <v>2202035</v>
      </c>
      <c r="M2432" s="8" t="str">
        <f t="shared" si="197"/>
        <v>PEN</v>
      </c>
      <c r="N2432" s="13"/>
      <c r="O2432" s="13">
        <v>877.5</v>
      </c>
      <c r="P2432" s="3">
        <f t="shared" si="198"/>
        <v>877.5</v>
      </c>
      <c r="Q2432" s="3">
        <f t="shared" si="199"/>
        <v>0</v>
      </c>
      <c r="R2432" s="3">
        <f t="shared" si="195"/>
        <v>9365.8200000000379</v>
      </c>
      <c r="S2432" s="24" t="s">
        <v>1334</v>
      </c>
      <c r="T2432" s="24" t="s">
        <v>1334</v>
      </c>
      <c r="U2432" s="55"/>
      <c r="V2432" s="25">
        <f>IFERROR(VLOOKUP(BCP_Soles[[#This Row],[destinatario]],CHOOSE({1,2},Clientes_Proveedores[Razon Social],Clientes_Proveedores[Ruc / Dni]),2,0),"")</f>
        <v>20558226979</v>
      </c>
      <c r="W2432" s="25"/>
      <c r="X2432" s="25" t="s">
        <v>3705</v>
      </c>
      <c r="Y2432" s="25"/>
      <c r="Z2432" s="75"/>
      <c r="AA2432" s="3" t="str">
        <f>IF(BCP_Soles[[#This Row],[fecha]]&gt;0,TEXT(BCP_Soles[[#This Row],[fecha]],"mmmm"),0)</f>
        <v>Julio</v>
      </c>
    </row>
    <row r="2433" spans="1:27" ht="24" x14ac:dyDescent="0.3">
      <c r="A2433" s="2">
        <f>IF(BCP_Soles[[#This Row],[tipo_registro]]="R",COUNTIFS($C$1:$C2432,"R")+1,A2432)</f>
        <v>1779</v>
      </c>
      <c r="B2433" s="19" t="str">
        <f t="shared" si="196"/>
        <v>B-BCP - Soles</v>
      </c>
      <c r="C2433" s="3" t="s">
        <v>1330</v>
      </c>
      <c r="D2433" s="14">
        <v>45841</v>
      </c>
      <c r="E2433" s="5" t="s">
        <v>2502</v>
      </c>
      <c r="F2433" s="5" t="s">
        <v>1303</v>
      </c>
      <c r="G2433" s="6" t="s">
        <v>425</v>
      </c>
      <c r="H2433" s="6" t="s">
        <v>119</v>
      </c>
      <c r="I2433" s="6">
        <v>1</v>
      </c>
      <c r="J2433" s="6">
        <v>4571</v>
      </c>
      <c r="K2433" s="7" t="s">
        <v>1356</v>
      </c>
      <c r="L2433" s="8">
        <v>3539210</v>
      </c>
      <c r="M2433" s="8" t="str">
        <f t="shared" si="197"/>
        <v>PEN</v>
      </c>
      <c r="N2433" s="13"/>
      <c r="O2433" s="13">
        <v>506</v>
      </c>
      <c r="P2433" s="3">
        <f t="shared" si="198"/>
        <v>506</v>
      </c>
      <c r="Q2433" s="3">
        <f t="shared" si="199"/>
        <v>0</v>
      </c>
      <c r="R2433" s="3">
        <f t="shared" si="195"/>
        <v>9871.8200000000379</v>
      </c>
      <c r="S2433" s="24" t="s">
        <v>1334</v>
      </c>
      <c r="T2433" s="24" t="s">
        <v>1334</v>
      </c>
      <c r="U2433" s="55"/>
      <c r="V2433" s="25">
        <f>IFERROR(VLOOKUP(BCP_Soles[[#This Row],[destinatario]],CHOOSE({1,2},Clientes_Proveedores[Razon Social],Clientes_Proveedores[Ruc / Dni]),2,0),"")</f>
        <v>20558226979</v>
      </c>
      <c r="W2433" s="25"/>
      <c r="X2433" s="25"/>
      <c r="Y2433" s="25"/>
      <c r="Z2433" s="75"/>
      <c r="AA2433" s="3" t="str">
        <f>IF(BCP_Soles[[#This Row],[fecha]]&gt;0,TEXT(BCP_Soles[[#This Row],[fecha]],"mmmm"),0)</f>
        <v>Julio</v>
      </c>
    </row>
    <row r="2434" spans="1:27" ht="60" x14ac:dyDescent="0.3">
      <c r="A2434" s="2">
        <f>IF(BCP_Soles[[#This Row],[tipo_registro]]="R",COUNTIFS($C$1:$C2433,"R")+1,A2433)</f>
        <v>1780</v>
      </c>
      <c r="B2434" s="19" t="str">
        <f t="shared" si="196"/>
        <v>B-BCP - Soles</v>
      </c>
      <c r="C2434" s="3" t="s">
        <v>1330</v>
      </c>
      <c r="D2434" s="14">
        <v>45841</v>
      </c>
      <c r="E2434" s="5" t="s">
        <v>295</v>
      </c>
      <c r="F2434" s="5" t="s">
        <v>1303</v>
      </c>
      <c r="G2434" s="6" t="s">
        <v>425</v>
      </c>
      <c r="H2434" s="6" t="s">
        <v>68</v>
      </c>
      <c r="I2434" s="6" t="s">
        <v>3302</v>
      </c>
      <c r="J2434" s="6">
        <v>82</v>
      </c>
      <c r="K2434" s="7" t="s">
        <v>1428</v>
      </c>
      <c r="L2434" s="8">
        <v>2204296</v>
      </c>
      <c r="M2434" s="8" t="str">
        <f t="shared" si="197"/>
        <v>PEN</v>
      </c>
      <c r="N2434" s="13"/>
      <c r="O2434" s="13">
        <v>460.62</v>
      </c>
      <c r="P2434" s="3">
        <f t="shared" si="198"/>
        <v>460.62</v>
      </c>
      <c r="Q2434" s="3">
        <f t="shared" si="199"/>
        <v>0</v>
      </c>
      <c r="R2434" s="3">
        <f t="shared" si="195"/>
        <v>10332.440000000039</v>
      </c>
      <c r="S2434" s="24" t="s">
        <v>1334</v>
      </c>
      <c r="T2434" s="24" t="s">
        <v>1334</v>
      </c>
      <c r="U2434" s="55"/>
      <c r="V2434" s="25">
        <f>IFERROR(VLOOKUP(BCP_Soles[[#This Row],[destinatario]],CHOOSE({1,2},Clientes_Proveedores[Razon Social],Clientes_Proveedores[Ruc / Dni]),2,0),"")</f>
        <v>20558226979</v>
      </c>
      <c r="W2434" s="25"/>
      <c r="X2434" s="25" t="s">
        <v>3706</v>
      </c>
      <c r="Y2434" s="25"/>
      <c r="Z2434" s="75"/>
      <c r="AA2434" s="3" t="str">
        <f>IF(BCP_Soles[[#This Row],[fecha]]&gt;0,TEXT(BCP_Soles[[#This Row],[fecha]],"mmmm"),0)</f>
        <v>Julio</v>
      </c>
    </row>
    <row r="2435" spans="1:27" ht="24" x14ac:dyDescent="0.3">
      <c r="A2435" s="2">
        <f>IF(BCP_Soles[[#This Row],[tipo_registro]]="R",COUNTIFS($C$1:$C2434,"R")+1,A2434)</f>
        <v>1781</v>
      </c>
      <c r="B2435" s="19" t="str">
        <f t="shared" si="196"/>
        <v>B-BCP - Soles</v>
      </c>
      <c r="C2435" s="3" t="s">
        <v>1330</v>
      </c>
      <c r="D2435" s="14">
        <v>45841</v>
      </c>
      <c r="E2435" s="5" t="s">
        <v>3707</v>
      </c>
      <c r="F2435" s="5" t="s">
        <v>1303</v>
      </c>
      <c r="G2435" s="6" t="s">
        <v>425</v>
      </c>
      <c r="H2435" s="6" t="s">
        <v>119</v>
      </c>
      <c r="I2435" s="6">
        <v>1</v>
      </c>
      <c r="J2435" s="6">
        <v>4570</v>
      </c>
      <c r="K2435" s="7" t="s">
        <v>1356</v>
      </c>
      <c r="L2435" s="8">
        <v>3518668</v>
      </c>
      <c r="M2435" s="8" t="str">
        <f t="shared" si="197"/>
        <v>PEN</v>
      </c>
      <c r="N2435" s="13"/>
      <c r="O2435" s="13">
        <v>180</v>
      </c>
      <c r="P2435" s="3">
        <f t="shared" si="198"/>
        <v>180</v>
      </c>
      <c r="Q2435" s="3">
        <f t="shared" si="199"/>
        <v>0</v>
      </c>
      <c r="R2435" s="3">
        <f t="shared" si="195"/>
        <v>10512.440000000039</v>
      </c>
      <c r="S2435" s="24" t="s">
        <v>1334</v>
      </c>
      <c r="T2435" s="24" t="s">
        <v>1334</v>
      </c>
      <c r="U2435" s="55"/>
      <c r="V2435" s="25">
        <f>IFERROR(VLOOKUP(BCP_Soles[[#This Row],[destinatario]],CHOOSE({1,2},Clientes_Proveedores[Razon Social],Clientes_Proveedores[Ruc / Dni]),2,0),"")</f>
        <v>20558226979</v>
      </c>
      <c r="W2435" s="25"/>
      <c r="X2435" s="25"/>
      <c r="Y2435" s="25"/>
      <c r="Z2435" s="75"/>
      <c r="AA2435" s="3" t="str">
        <f>IF(BCP_Soles[[#This Row],[fecha]]&gt;0,TEXT(BCP_Soles[[#This Row],[fecha]],"mmmm"),0)</f>
        <v>Julio</v>
      </c>
    </row>
    <row r="2436" spans="1:27" ht="60" x14ac:dyDescent="0.3">
      <c r="A2436" s="2">
        <f>IF(BCP_Soles[[#This Row],[tipo_registro]]="R",COUNTIFS($C$1:$C2435,"R")+1,A2435)</f>
        <v>1782</v>
      </c>
      <c r="B2436" s="19" t="str">
        <f t="shared" si="196"/>
        <v>B-BCP - Soles</v>
      </c>
      <c r="C2436" s="3" t="s">
        <v>1330</v>
      </c>
      <c r="D2436" s="14">
        <v>45841</v>
      </c>
      <c r="E2436" s="5" t="s">
        <v>295</v>
      </c>
      <c r="F2436" s="5" t="s">
        <v>1303</v>
      </c>
      <c r="G2436" s="6" t="s">
        <v>425</v>
      </c>
      <c r="H2436" s="6" t="s">
        <v>68</v>
      </c>
      <c r="I2436" s="6" t="s">
        <v>3302</v>
      </c>
      <c r="J2436" s="6">
        <v>78</v>
      </c>
      <c r="K2436" s="7" t="s">
        <v>1428</v>
      </c>
      <c r="L2436" s="8">
        <v>2198432</v>
      </c>
      <c r="M2436" s="8" t="str">
        <f t="shared" si="197"/>
        <v>PEN</v>
      </c>
      <c r="N2436" s="13"/>
      <c r="O2436" s="13">
        <v>104.9</v>
      </c>
      <c r="P2436" s="3">
        <f t="shared" si="198"/>
        <v>104.9</v>
      </c>
      <c r="Q2436" s="3">
        <f t="shared" si="199"/>
        <v>0</v>
      </c>
      <c r="R2436" s="3">
        <f t="shared" si="195"/>
        <v>10617.340000000038</v>
      </c>
      <c r="S2436" s="24" t="s">
        <v>1334</v>
      </c>
      <c r="T2436" s="24" t="s">
        <v>1334</v>
      </c>
      <c r="U2436" s="55"/>
      <c r="V2436" s="25">
        <f>IFERROR(VLOOKUP(BCP_Soles[[#This Row],[destinatario]],CHOOSE({1,2},Clientes_Proveedores[Razon Social],Clientes_Proveedores[Ruc / Dni]),2,0),"")</f>
        <v>20558226979</v>
      </c>
      <c r="W2436" s="25"/>
      <c r="X2436" s="25"/>
      <c r="Y2436" s="25"/>
      <c r="Z2436" s="75"/>
      <c r="AA2436" s="3" t="str">
        <f>IF(BCP_Soles[[#This Row],[fecha]]&gt;0,TEXT(BCP_Soles[[#This Row],[fecha]],"mmmm"),0)</f>
        <v>Julio</v>
      </c>
    </row>
    <row r="2437" spans="1:27" ht="24" x14ac:dyDescent="0.3">
      <c r="A2437" s="2">
        <f>IF(BCP_Soles[[#This Row],[tipo_registro]]="R",COUNTIFS($C$1:$C2436,"R")+1,A2436)</f>
        <v>1783</v>
      </c>
      <c r="B2437" s="19" t="str">
        <f t="shared" si="196"/>
        <v>B-BCP - Soles</v>
      </c>
      <c r="C2437" s="3" t="s">
        <v>1330</v>
      </c>
      <c r="D2437" s="14">
        <v>45841</v>
      </c>
      <c r="E2437" s="5" t="s">
        <v>3708</v>
      </c>
      <c r="F2437" s="5" t="s">
        <v>1303</v>
      </c>
      <c r="G2437" s="6" t="s">
        <v>425</v>
      </c>
      <c r="H2437" s="6" t="s">
        <v>119</v>
      </c>
      <c r="I2437" s="6">
        <v>1</v>
      </c>
      <c r="J2437" s="6">
        <v>4575</v>
      </c>
      <c r="K2437" s="7" t="s">
        <v>1356</v>
      </c>
      <c r="L2437" s="8">
        <v>3489968</v>
      </c>
      <c r="M2437" s="8" t="str">
        <f t="shared" si="197"/>
        <v>PEN</v>
      </c>
      <c r="N2437" s="13"/>
      <c r="O2437" s="13">
        <v>40</v>
      </c>
      <c r="P2437" s="3">
        <f t="shared" si="198"/>
        <v>40</v>
      </c>
      <c r="Q2437" s="3">
        <f t="shared" si="199"/>
        <v>0</v>
      </c>
      <c r="R2437" s="3">
        <f t="shared" si="195"/>
        <v>10657.340000000038</v>
      </c>
      <c r="S2437" s="24" t="s">
        <v>1334</v>
      </c>
      <c r="T2437" s="24" t="s">
        <v>1334</v>
      </c>
      <c r="U2437" s="55"/>
      <c r="V2437" s="25">
        <f>IFERROR(VLOOKUP(BCP_Soles[[#This Row],[destinatario]],CHOOSE({1,2},Clientes_Proveedores[Razon Social],Clientes_Proveedores[Ruc / Dni]),2,0),"")</f>
        <v>20558226979</v>
      </c>
      <c r="W2437" s="25"/>
      <c r="X2437" s="25"/>
      <c r="Y2437" s="25"/>
      <c r="Z2437" s="75"/>
      <c r="AA2437" s="3" t="str">
        <f>IF(BCP_Soles[[#This Row],[fecha]]&gt;0,TEXT(BCP_Soles[[#This Row],[fecha]],"mmmm"),0)</f>
        <v>Julio</v>
      </c>
    </row>
    <row r="2438" spans="1:27" x14ac:dyDescent="0.3">
      <c r="A2438" s="2">
        <f>IF(BCP_Soles[[#This Row],[tipo_registro]]="R",COUNTIFS($C$1:$C2437,"R")+1,A2437)</f>
        <v>1784</v>
      </c>
      <c r="B2438" s="19" t="str">
        <f t="shared" si="196"/>
        <v>B-BCP - Soles</v>
      </c>
      <c r="C2438" s="3" t="s">
        <v>1330</v>
      </c>
      <c r="D2438" s="14">
        <v>45841</v>
      </c>
      <c r="E2438" s="5" t="s">
        <v>1331</v>
      </c>
      <c r="F2438" s="5" t="s">
        <v>1336</v>
      </c>
      <c r="G2438" s="6" t="s">
        <v>407</v>
      </c>
      <c r="H2438" s="6" t="s">
        <v>68</v>
      </c>
      <c r="I2438" s="6" t="s">
        <v>3709</v>
      </c>
      <c r="J2438" s="6">
        <v>23159</v>
      </c>
      <c r="K2438" s="7" t="s">
        <v>3710</v>
      </c>
      <c r="L2438" s="8">
        <v>226851</v>
      </c>
      <c r="M2438" s="8" t="str">
        <f t="shared" si="197"/>
        <v>PEN</v>
      </c>
      <c r="N2438" s="13"/>
      <c r="O2438" s="13">
        <v>196.52</v>
      </c>
      <c r="P2438" s="3">
        <f t="shared" si="198"/>
        <v>0</v>
      </c>
      <c r="Q2438" s="3">
        <f t="shared" si="199"/>
        <v>196.52</v>
      </c>
      <c r="R2438" s="3">
        <f t="shared" si="195"/>
        <v>10460.820000000038</v>
      </c>
      <c r="S2438" s="24" t="s">
        <v>1334</v>
      </c>
      <c r="T2438" s="24" t="s">
        <v>1334</v>
      </c>
      <c r="U2438" s="80" t="s">
        <v>3711</v>
      </c>
      <c r="V2438" s="25">
        <f>IFERROR(VLOOKUP(BCP_Soles[[#This Row],[destinatario]],CHOOSE({1,2},Clientes_Proveedores[Razon Social],Clientes_Proveedores[Ruc / Dni]),2,0),"")</f>
        <v>20549068201</v>
      </c>
      <c r="W2438" s="25" t="s">
        <v>1482</v>
      </c>
      <c r="X2438" s="25" t="s">
        <v>3712</v>
      </c>
      <c r="Y2438" s="25"/>
      <c r="Z2438" s="75"/>
      <c r="AA2438" s="3" t="str">
        <f>IF(BCP_Soles[[#This Row],[fecha]]&gt;0,TEXT(BCP_Soles[[#This Row],[fecha]],"mmmm"),0)</f>
        <v>Julio</v>
      </c>
    </row>
    <row r="2439" spans="1:27" ht="36" x14ac:dyDescent="0.3">
      <c r="A2439" s="2">
        <f>IF(BCP_Soles[[#This Row],[tipo_registro]]="R",COUNTIFS($C$1:$C2438,"R")+1,A2438)</f>
        <v>1785</v>
      </c>
      <c r="B2439" s="19" t="str">
        <f t="shared" si="196"/>
        <v>B-BCP - Soles</v>
      </c>
      <c r="C2439" s="3" t="s">
        <v>1330</v>
      </c>
      <c r="D2439" s="14">
        <v>45841</v>
      </c>
      <c r="E2439" s="5" t="s">
        <v>1331</v>
      </c>
      <c r="F2439" s="5" t="s">
        <v>1336</v>
      </c>
      <c r="G2439" s="6" t="s">
        <v>695</v>
      </c>
      <c r="H2439" s="6"/>
      <c r="I2439" s="6"/>
      <c r="J2439" s="6"/>
      <c r="K2439" s="7" t="s">
        <v>3552</v>
      </c>
      <c r="L2439" s="8">
        <v>226852</v>
      </c>
      <c r="M2439" s="8" t="str">
        <f t="shared" si="197"/>
        <v>PEN</v>
      </c>
      <c r="N2439" s="13"/>
      <c r="O2439" s="13">
        <v>3147.66</v>
      </c>
      <c r="P2439" s="3">
        <f t="shared" si="198"/>
        <v>0</v>
      </c>
      <c r="Q2439" s="3">
        <f t="shared" si="199"/>
        <v>3147.66</v>
      </c>
      <c r="R2439" s="3">
        <f t="shared" si="195"/>
        <v>7313.1600000000381</v>
      </c>
      <c r="S2439" s="24" t="s">
        <v>1334</v>
      </c>
      <c r="T2439" s="24" t="s">
        <v>1334</v>
      </c>
      <c r="U2439" s="80" t="s">
        <v>3713</v>
      </c>
      <c r="V2439" s="25">
        <f>IFERROR(VLOOKUP(BCP_Soles[[#This Row],[destinatario]],CHOOSE({1,2},Clientes_Proveedores[Razon Social],Clientes_Proveedores[Ruc / Dni]),2,0),"")</f>
        <v>20127765279</v>
      </c>
      <c r="W2439" s="25" t="s">
        <v>1379</v>
      </c>
      <c r="X2439" s="25" t="s">
        <v>3714</v>
      </c>
      <c r="Y2439" s="25"/>
      <c r="Z2439" s="75"/>
      <c r="AA2439" s="3" t="str">
        <f>IF(BCP_Soles[[#This Row],[fecha]]&gt;0,TEXT(BCP_Soles[[#This Row],[fecha]],"mmmm"),0)</f>
        <v>Julio</v>
      </c>
    </row>
    <row r="2440" spans="1:27" x14ac:dyDescent="0.3">
      <c r="A2440" s="2">
        <f>IF(BCP_Soles[[#This Row],[tipo_registro]]="R",COUNTIFS($C$1:$C2439,"R")+1,A2439)</f>
        <v>1785</v>
      </c>
      <c r="B2440" s="19" t="str">
        <f t="shared" si="196"/>
        <v>B-BCP - Soles</v>
      </c>
      <c r="C2440" s="3" t="s">
        <v>1352</v>
      </c>
      <c r="D2440" s="14">
        <v>45841</v>
      </c>
      <c r="E2440" s="5" t="s">
        <v>1331</v>
      </c>
      <c r="F2440" s="5"/>
      <c r="G2440" s="6" t="s">
        <v>695</v>
      </c>
      <c r="H2440" s="6" t="s">
        <v>68</v>
      </c>
      <c r="I2440" s="6" t="s">
        <v>1377</v>
      </c>
      <c r="J2440" s="6">
        <v>171296</v>
      </c>
      <c r="K2440" s="7" t="s">
        <v>3552</v>
      </c>
      <c r="L2440" s="8">
        <v>226852</v>
      </c>
      <c r="M2440" s="8" t="str">
        <f t="shared" si="197"/>
        <v>PEN</v>
      </c>
      <c r="N2440" s="13">
        <v>208.42</v>
      </c>
      <c r="O2440" s="13"/>
      <c r="P2440" s="3">
        <f t="shared" si="198"/>
        <v>0</v>
      </c>
      <c r="Q2440" s="3">
        <f t="shared" si="199"/>
        <v>0</v>
      </c>
      <c r="R2440" s="3">
        <f t="shared" si="195"/>
        <v>7313.1600000000381</v>
      </c>
      <c r="S2440" s="24" t="s">
        <v>1334</v>
      </c>
      <c r="T2440" s="24" t="s">
        <v>1334</v>
      </c>
      <c r="U2440" s="80" t="s">
        <v>3713</v>
      </c>
      <c r="V2440" s="25">
        <f>IFERROR(VLOOKUP(BCP_Soles[[#This Row],[destinatario]],CHOOSE({1,2},Clientes_Proveedores[Razon Social],Clientes_Proveedores[Ruc / Dni]),2,0),"")</f>
        <v>20127765279</v>
      </c>
      <c r="W2440" s="25"/>
      <c r="X2440" s="25"/>
      <c r="Y2440" s="25"/>
      <c r="Z2440" s="75"/>
      <c r="AA2440" s="3" t="str">
        <f>IF(BCP_Soles[[#This Row],[fecha]]&gt;0,TEXT(BCP_Soles[[#This Row],[fecha]],"mmmm"),0)</f>
        <v>Julio</v>
      </c>
    </row>
    <row r="2441" spans="1:27" x14ac:dyDescent="0.3">
      <c r="A2441" s="2">
        <f>IF(BCP_Soles[[#This Row],[tipo_registro]]="R",COUNTIFS($C$1:$C2440,"R")+1,A2440)</f>
        <v>1785</v>
      </c>
      <c r="B2441" s="19" t="str">
        <f t="shared" si="196"/>
        <v>B-BCP - Soles</v>
      </c>
      <c r="C2441" s="3" t="s">
        <v>1352</v>
      </c>
      <c r="D2441" s="14">
        <v>45841</v>
      </c>
      <c r="E2441" s="5" t="s">
        <v>1331</v>
      </c>
      <c r="F2441" s="5"/>
      <c r="G2441" s="6" t="s">
        <v>695</v>
      </c>
      <c r="H2441" s="6" t="s">
        <v>68</v>
      </c>
      <c r="I2441" s="6" t="s">
        <v>1377</v>
      </c>
      <c r="J2441" s="6">
        <v>170648</v>
      </c>
      <c r="K2441" s="7" t="s">
        <v>3552</v>
      </c>
      <c r="L2441" s="8">
        <v>226852</v>
      </c>
      <c r="M2441" s="8" t="str">
        <f t="shared" si="197"/>
        <v>PEN</v>
      </c>
      <c r="N2441" s="13">
        <v>1010.53</v>
      </c>
      <c r="O2441" s="13"/>
      <c r="P2441" s="3">
        <f t="shared" si="198"/>
        <v>0</v>
      </c>
      <c r="Q2441" s="3">
        <f t="shared" si="199"/>
        <v>0</v>
      </c>
      <c r="R2441" s="3">
        <f t="shared" ref="R2441:R2504" si="200">IFERROR(IF(F2441="SALDO",P2441,R2440+P2441-Q2441),0)</f>
        <v>7313.1600000000381</v>
      </c>
      <c r="S2441" s="24" t="s">
        <v>1334</v>
      </c>
      <c r="T2441" s="24" t="s">
        <v>1334</v>
      </c>
      <c r="U2441" s="80" t="s">
        <v>3713</v>
      </c>
      <c r="V2441" s="25">
        <f>IFERROR(VLOOKUP(BCP_Soles[[#This Row],[destinatario]],CHOOSE({1,2},Clientes_Proveedores[Razon Social],Clientes_Proveedores[Ruc / Dni]),2,0),"")</f>
        <v>20127765279</v>
      </c>
      <c r="W2441" s="25"/>
      <c r="X2441" s="25"/>
      <c r="Y2441" s="25"/>
      <c r="Z2441" s="75"/>
      <c r="AA2441" s="3" t="str">
        <f>IF(BCP_Soles[[#This Row],[fecha]]&gt;0,TEXT(BCP_Soles[[#This Row],[fecha]],"mmmm"),0)</f>
        <v>Julio</v>
      </c>
    </row>
    <row r="2442" spans="1:27" x14ac:dyDescent="0.3">
      <c r="A2442" s="2">
        <f>IF(BCP_Soles[[#This Row],[tipo_registro]]="R",COUNTIFS($C$1:$C2441,"R")+1,A2441)</f>
        <v>1785</v>
      </c>
      <c r="B2442" s="19" t="str">
        <f t="shared" si="196"/>
        <v>B-BCP - Soles</v>
      </c>
      <c r="C2442" s="3" t="s">
        <v>1352</v>
      </c>
      <c r="D2442" s="14">
        <v>45841</v>
      </c>
      <c r="E2442" s="5" t="s">
        <v>1331</v>
      </c>
      <c r="F2442" s="5"/>
      <c r="G2442" s="6" t="s">
        <v>695</v>
      </c>
      <c r="H2442" s="6" t="s">
        <v>68</v>
      </c>
      <c r="I2442" s="6" t="s">
        <v>1377</v>
      </c>
      <c r="J2442" s="6">
        <v>170630</v>
      </c>
      <c r="K2442" s="7" t="s">
        <v>3552</v>
      </c>
      <c r="L2442" s="8">
        <v>226852</v>
      </c>
      <c r="M2442" s="8" t="str">
        <f t="shared" si="197"/>
        <v>PEN</v>
      </c>
      <c r="N2442" s="13">
        <v>1928.71</v>
      </c>
      <c r="O2442" s="13"/>
      <c r="P2442" s="3">
        <f t="shared" si="198"/>
        <v>0</v>
      </c>
      <c r="Q2442" s="3">
        <f t="shared" si="199"/>
        <v>0</v>
      </c>
      <c r="R2442" s="3">
        <f t="shared" si="200"/>
        <v>7313.1600000000381</v>
      </c>
      <c r="S2442" s="24" t="s">
        <v>1334</v>
      </c>
      <c r="T2442" s="24" t="s">
        <v>1334</v>
      </c>
      <c r="U2442" s="80" t="s">
        <v>3713</v>
      </c>
      <c r="V2442" s="25">
        <f>IFERROR(VLOOKUP(BCP_Soles[[#This Row],[destinatario]],CHOOSE({1,2},Clientes_Proveedores[Razon Social],Clientes_Proveedores[Ruc / Dni]),2,0),"")</f>
        <v>20127765279</v>
      </c>
      <c r="W2442" s="25"/>
      <c r="X2442" s="25"/>
      <c r="Y2442" s="25"/>
      <c r="Z2442" s="75"/>
      <c r="AA2442" s="3" t="str">
        <f>IF(BCP_Soles[[#This Row],[fecha]]&gt;0,TEXT(BCP_Soles[[#This Row],[fecha]],"mmmm"),0)</f>
        <v>Julio</v>
      </c>
    </row>
    <row r="2443" spans="1:27" x14ac:dyDescent="0.3">
      <c r="A2443" s="2">
        <f>IF(BCP_Soles[[#This Row],[tipo_registro]]="R",COUNTIFS($C$1:$C2442,"R")+1,A2442)</f>
        <v>1786</v>
      </c>
      <c r="B2443" s="19" t="str">
        <f t="shared" si="196"/>
        <v>B-BCP - Soles</v>
      </c>
      <c r="C2443" s="3" t="s">
        <v>1330</v>
      </c>
      <c r="D2443" s="14">
        <v>45841</v>
      </c>
      <c r="E2443" s="5" t="s">
        <v>1331</v>
      </c>
      <c r="F2443" s="5" t="s">
        <v>1336</v>
      </c>
      <c r="G2443" s="6" t="s">
        <v>696</v>
      </c>
      <c r="H2443" s="6"/>
      <c r="I2443" s="6"/>
      <c r="J2443" s="6"/>
      <c r="K2443" s="7" t="s">
        <v>3715</v>
      </c>
      <c r="L2443" s="8">
        <v>5424982</v>
      </c>
      <c r="M2443" s="8" t="str">
        <f t="shared" si="197"/>
        <v>PEN</v>
      </c>
      <c r="N2443" s="13"/>
      <c r="O2443" s="13">
        <v>5109.3599999999997</v>
      </c>
      <c r="P2443" s="3">
        <f t="shared" si="198"/>
        <v>0</v>
      </c>
      <c r="Q2443" s="3">
        <f t="shared" si="199"/>
        <v>5109.3599999999997</v>
      </c>
      <c r="R2443" s="3">
        <f t="shared" si="200"/>
        <v>2203.8000000000384</v>
      </c>
      <c r="S2443" s="24" t="s">
        <v>1334</v>
      </c>
      <c r="T2443" s="24" t="s">
        <v>1334</v>
      </c>
      <c r="U2443" s="80" t="s">
        <v>3716</v>
      </c>
      <c r="V2443" s="25">
        <f>IFERROR(VLOOKUP(BCP_Soles[[#This Row],[destinatario]],CHOOSE({1,2},Clientes_Proveedores[Razon Social],Clientes_Proveedores[Ruc / Dni]),2,0),"")</f>
        <v>0</v>
      </c>
      <c r="W2443" s="25" t="s">
        <v>696</v>
      </c>
      <c r="X2443" s="25"/>
      <c r="Y2443" s="25"/>
      <c r="Z2443" s="75"/>
      <c r="AA2443" s="3" t="str">
        <f>IF(BCP_Soles[[#This Row],[fecha]]&gt;0,TEXT(BCP_Soles[[#This Row],[fecha]],"mmmm"),0)</f>
        <v>Julio</v>
      </c>
    </row>
    <row r="2444" spans="1:27" x14ac:dyDescent="0.3">
      <c r="A2444" s="2">
        <f>IF(BCP_Soles[[#This Row],[tipo_registro]]="R",COUNTIFS($C$1:$C2443,"R")+1,A2443)</f>
        <v>1786</v>
      </c>
      <c r="B2444" s="19" t="str">
        <f t="shared" si="196"/>
        <v>B-BCP - Soles</v>
      </c>
      <c r="C2444" s="3" t="s">
        <v>1352</v>
      </c>
      <c r="D2444" s="14">
        <v>45841</v>
      </c>
      <c r="E2444" s="5" t="s">
        <v>1331</v>
      </c>
      <c r="F2444" s="5"/>
      <c r="G2444" s="6" t="s">
        <v>522</v>
      </c>
      <c r="H2444" s="6" t="s">
        <v>68</v>
      </c>
      <c r="I2444" s="6" t="s">
        <v>1376</v>
      </c>
      <c r="J2444" s="6">
        <v>3968</v>
      </c>
      <c r="K2444" s="7" t="s">
        <v>3715</v>
      </c>
      <c r="L2444" s="8">
        <v>5424982</v>
      </c>
      <c r="M2444" s="8" t="str">
        <f t="shared" si="197"/>
        <v>PEN</v>
      </c>
      <c r="N2444" s="13">
        <v>200.6</v>
      </c>
      <c r="O2444" s="13"/>
      <c r="P2444" s="3">
        <f t="shared" si="198"/>
        <v>0</v>
      </c>
      <c r="Q2444" s="3">
        <f t="shared" si="199"/>
        <v>0</v>
      </c>
      <c r="R2444" s="3">
        <f t="shared" si="200"/>
        <v>2203.8000000000384</v>
      </c>
      <c r="S2444" s="24" t="s">
        <v>1334</v>
      </c>
      <c r="T2444" s="24" t="s">
        <v>1334</v>
      </c>
      <c r="U2444" s="80" t="s">
        <v>3716</v>
      </c>
      <c r="V2444" s="25">
        <f>IFERROR(VLOOKUP(BCP_Soles[[#This Row],[destinatario]],CHOOSE({1,2},Clientes_Proveedores[Razon Social],Clientes_Proveedores[Ruc / Dni]),2,0),"")</f>
        <v>20603974817</v>
      </c>
      <c r="W2444" s="25"/>
      <c r="X2444" s="25"/>
      <c r="Y2444" s="25"/>
      <c r="Z2444" s="75"/>
      <c r="AA2444" s="3" t="str">
        <f>IF(BCP_Soles[[#This Row],[fecha]]&gt;0,TEXT(BCP_Soles[[#This Row],[fecha]],"mmmm"),0)</f>
        <v>Julio</v>
      </c>
    </row>
    <row r="2445" spans="1:27" x14ac:dyDescent="0.3">
      <c r="A2445" s="2">
        <f>IF(BCP_Soles[[#This Row],[tipo_registro]]="R",COUNTIFS($C$1:$C2444,"R")+1,A2444)</f>
        <v>1786</v>
      </c>
      <c r="B2445" s="19" t="str">
        <f t="shared" si="196"/>
        <v>B-BCP - Soles</v>
      </c>
      <c r="C2445" s="3" t="s">
        <v>1352</v>
      </c>
      <c r="D2445" s="14">
        <v>45841</v>
      </c>
      <c r="E2445" s="5" t="s">
        <v>1331</v>
      </c>
      <c r="F2445" s="5"/>
      <c r="G2445" s="6" t="s">
        <v>522</v>
      </c>
      <c r="H2445" s="6" t="s">
        <v>68</v>
      </c>
      <c r="I2445" s="6" t="s">
        <v>1376</v>
      </c>
      <c r="J2445" s="6">
        <v>3991</v>
      </c>
      <c r="K2445" s="7" t="s">
        <v>3715</v>
      </c>
      <c r="L2445" s="8">
        <v>5424982</v>
      </c>
      <c r="M2445" s="8" t="str">
        <f t="shared" si="197"/>
        <v>PEN</v>
      </c>
      <c r="N2445" s="13">
        <v>632.1</v>
      </c>
      <c r="O2445" s="13"/>
      <c r="P2445" s="3">
        <f t="shared" si="198"/>
        <v>0</v>
      </c>
      <c r="Q2445" s="3">
        <f t="shared" si="199"/>
        <v>0</v>
      </c>
      <c r="R2445" s="3">
        <f t="shared" si="200"/>
        <v>2203.8000000000384</v>
      </c>
      <c r="S2445" s="24" t="s">
        <v>1334</v>
      </c>
      <c r="T2445" s="24" t="s">
        <v>1334</v>
      </c>
      <c r="U2445" s="80" t="s">
        <v>3716</v>
      </c>
      <c r="V2445" s="25">
        <f>IFERROR(VLOOKUP(BCP_Soles[[#This Row],[destinatario]],CHOOSE({1,2},Clientes_Proveedores[Razon Social],Clientes_Proveedores[Ruc / Dni]),2,0),"")</f>
        <v>20603974817</v>
      </c>
      <c r="W2445" s="25"/>
      <c r="X2445" s="25"/>
      <c r="Y2445" s="25"/>
      <c r="Z2445" s="75"/>
      <c r="AA2445" s="3" t="str">
        <f>IF(BCP_Soles[[#This Row],[fecha]]&gt;0,TEXT(BCP_Soles[[#This Row],[fecha]],"mmmm"),0)</f>
        <v>Julio</v>
      </c>
    </row>
    <row r="2446" spans="1:27" x14ac:dyDescent="0.3">
      <c r="A2446" s="2">
        <f>IF(BCP_Soles[[#This Row],[tipo_registro]]="R",COUNTIFS($C$1:$C2445,"R")+1,A2445)</f>
        <v>1786</v>
      </c>
      <c r="B2446" s="19" t="str">
        <f t="shared" si="196"/>
        <v>B-BCP - Soles</v>
      </c>
      <c r="C2446" s="3" t="s">
        <v>1352</v>
      </c>
      <c r="D2446" s="14">
        <v>45841</v>
      </c>
      <c r="E2446" s="5" t="s">
        <v>1331</v>
      </c>
      <c r="F2446" s="5"/>
      <c r="G2446" s="6" t="s">
        <v>522</v>
      </c>
      <c r="H2446" s="6" t="s">
        <v>68</v>
      </c>
      <c r="I2446" s="6" t="s">
        <v>1376</v>
      </c>
      <c r="J2446" s="6">
        <v>3972</v>
      </c>
      <c r="K2446" s="7" t="s">
        <v>3715</v>
      </c>
      <c r="L2446" s="8">
        <v>5424982</v>
      </c>
      <c r="M2446" s="8" t="str">
        <f t="shared" si="197"/>
        <v>PEN</v>
      </c>
      <c r="N2446" s="13">
        <v>300.89999999999998</v>
      </c>
      <c r="O2446" s="13"/>
      <c r="P2446" s="3">
        <f t="shared" si="198"/>
        <v>0</v>
      </c>
      <c r="Q2446" s="3">
        <f t="shared" si="199"/>
        <v>0</v>
      </c>
      <c r="R2446" s="3">
        <f t="shared" si="200"/>
        <v>2203.8000000000384</v>
      </c>
      <c r="S2446" s="24" t="s">
        <v>1334</v>
      </c>
      <c r="T2446" s="24" t="s">
        <v>1334</v>
      </c>
      <c r="U2446" s="80" t="s">
        <v>3716</v>
      </c>
      <c r="V2446" s="25">
        <f>IFERROR(VLOOKUP(BCP_Soles[[#This Row],[destinatario]],CHOOSE({1,2},Clientes_Proveedores[Razon Social],Clientes_Proveedores[Ruc / Dni]),2,0),"")</f>
        <v>20603974817</v>
      </c>
      <c r="W2446" s="25"/>
      <c r="X2446" s="25"/>
      <c r="Y2446" s="25"/>
      <c r="Z2446" s="75"/>
      <c r="AA2446" s="3" t="str">
        <f>IF(BCP_Soles[[#This Row],[fecha]]&gt;0,TEXT(BCP_Soles[[#This Row],[fecha]],"mmmm"),0)</f>
        <v>Julio</v>
      </c>
    </row>
    <row r="2447" spans="1:27" x14ac:dyDescent="0.3">
      <c r="A2447" s="2">
        <f>IF(BCP_Soles[[#This Row],[tipo_registro]]="R",COUNTIFS($C$1:$C2446,"R")+1,A2446)</f>
        <v>1786</v>
      </c>
      <c r="B2447" s="19" t="str">
        <f t="shared" si="196"/>
        <v>B-BCP - Soles</v>
      </c>
      <c r="C2447" s="3" t="s">
        <v>1352</v>
      </c>
      <c r="D2447" s="14">
        <v>45841</v>
      </c>
      <c r="E2447" s="5" t="s">
        <v>1331</v>
      </c>
      <c r="F2447" s="5"/>
      <c r="G2447" s="6" t="s">
        <v>522</v>
      </c>
      <c r="H2447" s="6" t="s">
        <v>68</v>
      </c>
      <c r="I2447" s="6" t="s">
        <v>1376</v>
      </c>
      <c r="J2447" s="6">
        <v>3970</v>
      </c>
      <c r="K2447" s="7" t="s">
        <v>3715</v>
      </c>
      <c r="L2447" s="8">
        <v>5424982</v>
      </c>
      <c r="M2447" s="8" t="str">
        <f t="shared" si="197"/>
        <v>PEN</v>
      </c>
      <c r="N2447" s="13">
        <v>200.6</v>
      </c>
      <c r="O2447" s="13"/>
      <c r="P2447" s="3">
        <f t="shared" si="198"/>
        <v>0</v>
      </c>
      <c r="Q2447" s="3">
        <f t="shared" si="199"/>
        <v>0</v>
      </c>
      <c r="R2447" s="3">
        <f t="shared" si="200"/>
        <v>2203.8000000000384</v>
      </c>
      <c r="S2447" s="24" t="s">
        <v>1334</v>
      </c>
      <c r="T2447" s="24" t="s">
        <v>1334</v>
      </c>
      <c r="U2447" s="80" t="s">
        <v>3716</v>
      </c>
      <c r="V2447" s="25">
        <f>IFERROR(VLOOKUP(BCP_Soles[[#This Row],[destinatario]],CHOOSE({1,2},Clientes_Proveedores[Razon Social],Clientes_Proveedores[Ruc / Dni]),2,0),"")</f>
        <v>20603974817</v>
      </c>
      <c r="W2447" s="25"/>
      <c r="X2447" s="25"/>
      <c r="Y2447" s="25"/>
      <c r="Z2447" s="75"/>
      <c r="AA2447" s="3" t="str">
        <f>IF(BCP_Soles[[#This Row],[fecha]]&gt;0,TEXT(BCP_Soles[[#This Row],[fecha]],"mmmm"),0)</f>
        <v>Julio</v>
      </c>
    </row>
    <row r="2448" spans="1:27" x14ac:dyDescent="0.3">
      <c r="A2448" s="2">
        <f>IF(BCP_Soles[[#This Row],[tipo_registro]]="R",COUNTIFS($C$1:$C2447,"R")+1,A2447)</f>
        <v>1786</v>
      </c>
      <c r="B2448" s="19" t="str">
        <f t="shared" si="196"/>
        <v>B-BCP - Soles</v>
      </c>
      <c r="C2448" s="3" t="s">
        <v>1352</v>
      </c>
      <c r="D2448" s="14">
        <v>45841</v>
      </c>
      <c r="E2448" s="5" t="s">
        <v>1331</v>
      </c>
      <c r="F2448" s="5"/>
      <c r="G2448" s="6" t="s">
        <v>522</v>
      </c>
      <c r="H2448" s="6" t="s">
        <v>68</v>
      </c>
      <c r="I2448" s="6" t="s">
        <v>1376</v>
      </c>
      <c r="J2448" s="6">
        <v>3987</v>
      </c>
      <c r="K2448" s="7" t="s">
        <v>3715</v>
      </c>
      <c r="L2448" s="8">
        <v>5424982</v>
      </c>
      <c r="M2448" s="8" t="str">
        <f t="shared" si="197"/>
        <v>PEN</v>
      </c>
      <c r="N2448" s="13">
        <v>200.6</v>
      </c>
      <c r="O2448" s="13"/>
      <c r="P2448" s="3">
        <f t="shared" si="198"/>
        <v>0</v>
      </c>
      <c r="Q2448" s="3">
        <f t="shared" si="199"/>
        <v>0</v>
      </c>
      <c r="R2448" s="3">
        <f t="shared" si="200"/>
        <v>2203.8000000000384</v>
      </c>
      <c r="S2448" s="24" t="s">
        <v>1334</v>
      </c>
      <c r="T2448" s="24" t="s">
        <v>1334</v>
      </c>
      <c r="U2448" s="80" t="s">
        <v>3716</v>
      </c>
      <c r="V2448" s="25">
        <f>IFERROR(VLOOKUP(BCP_Soles[[#This Row],[destinatario]],CHOOSE({1,2},Clientes_Proveedores[Razon Social],Clientes_Proveedores[Ruc / Dni]),2,0),"")</f>
        <v>20603974817</v>
      </c>
      <c r="W2448" s="25"/>
      <c r="X2448" s="25"/>
      <c r="Y2448" s="25"/>
      <c r="Z2448" s="75"/>
      <c r="AA2448" s="3" t="str">
        <f>IF(BCP_Soles[[#This Row],[fecha]]&gt;0,TEXT(BCP_Soles[[#This Row],[fecha]],"mmmm"),0)</f>
        <v>Julio</v>
      </c>
    </row>
    <row r="2449" spans="1:27" x14ac:dyDescent="0.3">
      <c r="A2449" s="2">
        <f>IF(BCP_Soles[[#This Row],[tipo_registro]]="R",COUNTIFS($C$1:$C2448,"R")+1,A2448)</f>
        <v>1786</v>
      </c>
      <c r="B2449" s="19" t="str">
        <f t="shared" si="196"/>
        <v>B-BCP - Soles</v>
      </c>
      <c r="C2449" s="3" t="s">
        <v>1352</v>
      </c>
      <c r="D2449" s="14">
        <v>45841</v>
      </c>
      <c r="E2449" s="5" t="s">
        <v>1331</v>
      </c>
      <c r="F2449" s="5"/>
      <c r="G2449" s="6" t="s">
        <v>522</v>
      </c>
      <c r="H2449" s="6" t="s">
        <v>68</v>
      </c>
      <c r="I2449" s="6" t="s">
        <v>1376</v>
      </c>
      <c r="J2449" s="6">
        <v>3985</v>
      </c>
      <c r="K2449" s="7" t="s">
        <v>3715</v>
      </c>
      <c r="L2449" s="8">
        <v>5424982</v>
      </c>
      <c r="M2449" s="8" t="str">
        <f t="shared" si="197"/>
        <v>PEN</v>
      </c>
      <c r="N2449" s="13">
        <v>677.25</v>
      </c>
      <c r="O2449" s="13"/>
      <c r="P2449" s="3">
        <f t="shared" si="198"/>
        <v>0</v>
      </c>
      <c r="Q2449" s="3">
        <f t="shared" si="199"/>
        <v>0</v>
      </c>
      <c r="R2449" s="3">
        <f t="shared" si="200"/>
        <v>2203.8000000000384</v>
      </c>
      <c r="S2449" s="24" t="s">
        <v>1334</v>
      </c>
      <c r="T2449" s="24" t="s">
        <v>1334</v>
      </c>
      <c r="U2449" s="80" t="s">
        <v>3716</v>
      </c>
      <c r="V2449" s="25">
        <f>IFERROR(VLOOKUP(BCP_Soles[[#This Row],[destinatario]],CHOOSE({1,2},Clientes_Proveedores[Razon Social],Clientes_Proveedores[Ruc / Dni]),2,0),"")</f>
        <v>20603974817</v>
      </c>
      <c r="W2449" s="25"/>
      <c r="X2449" s="25"/>
      <c r="Y2449" s="25"/>
      <c r="Z2449" s="75"/>
      <c r="AA2449" s="3" t="str">
        <f>IF(BCP_Soles[[#This Row],[fecha]]&gt;0,TEXT(BCP_Soles[[#This Row],[fecha]],"mmmm"),0)</f>
        <v>Julio</v>
      </c>
    </row>
    <row r="2450" spans="1:27" x14ac:dyDescent="0.3">
      <c r="A2450" s="2">
        <f>IF(BCP_Soles[[#This Row],[tipo_registro]]="R",COUNTIFS($C$1:$C2449,"R")+1,A2449)</f>
        <v>1786</v>
      </c>
      <c r="B2450" s="19" t="str">
        <f t="shared" si="196"/>
        <v>B-BCP - Soles</v>
      </c>
      <c r="C2450" s="3" t="s">
        <v>1352</v>
      </c>
      <c r="D2450" s="14">
        <v>45841</v>
      </c>
      <c r="E2450" s="5" t="s">
        <v>1331</v>
      </c>
      <c r="F2450" s="5"/>
      <c r="G2450" s="6" t="s">
        <v>522</v>
      </c>
      <c r="H2450" s="6" t="s">
        <v>68</v>
      </c>
      <c r="I2450" s="6" t="s">
        <v>1376</v>
      </c>
      <c r="J2450" s="6">
        <v>3998</v>
      </c>
      <c r="K2450" s="7" t="s">
        <v>3715</v>
      </c>
      <c r="L2450" s="8">
        <v>5424982</v>
      </c>
      <c r="M2450" s="8" t="str">
        <f t="shared" si="197"/>
        <v>PEN</v>
      </c>
      <c r="N2450" s="13">
        <v>250.75</v>
      </c>
      <c r="O2450" s="13"/>
      <c r="P2450" s="3">
        <f t="shared" si="198"/>
        <v>0</v>
      </c>
      <c r="Q2450" s="3">
        <f t="shared" si="199"/>
        <v>0</v>
      </c>
      <c r="R2450" s="3">
        <f t="shared" si="200"/>
        <v>2203.8000000000384</v>
      </c>
      <c r="S2450" s="24" t="s">
        <v>1334</v>
      </c>
      <c r="T2450" s="24" t="s">
        <v>1334</v>
      </c>
      <c r="U2450" s="80" t="s">
        <v>3716</v>
      </c>
      <c r="V2450" s="25">
        <f>IFERROR(VLOOKUP(BCP_Soles[[#This Row],[destinatario]],CHOOSE({1,2},Clientes_Proveedores[Razon Social],Clientes_Proveedores[Ruc / Dni]),2,0),"")</f>
        <v>20603974817</v>
      </c>
      <c r="W2450" s="25"/>
      <c r="X2450" s="25"/>
      <c r="Y2450" s="25"/>
      <c r="Z2450" s="75"/>
      <c r="AA2450" s="3" t="str">
        <f>IF(BCP_Soles[[#This Row],[fecha]]&gt;0,TEXT(BCP_Soles[[#This Row],[fecha]],"mmmm"),0)</f>
        <v>Julio</v>
      </c>
    </row>
    <row r="2451" spans="1:27" ht="24" x14ac:dyDescent="0.3">
      <c r="A2451" s="2">
        <f>IF(BCP_Soles[[#This Row],[tipo_registro]]="R",COUNTIFS($C$1:$C2450,"R")+1,A2450)</f>
        <v>1786</v>
      </c>
      <c r="B2451" s="19" t="str">
        <f t="shared" si="196"/>
        <v>B-BCP - Soles</v>
      </c>
      <c r="C2451" s="3" t="s">
        <v>1352</v>
      </c>
      <c r="D2451" s="14">
        <v>45841</v>
      </c>
      <c r="E2451" s="5" t="s">
        <v>1331</v>
      </c>
      <c r="F2451" s="5"/>
      <c r="G2451" s="6" t="s">
        <v>692</v>
      </c>
      <c r="H2451" s="6" t="s">
        <v>68</v>
      </c>
      <c r="I2451" s="6" t="s">
        <v>1376</v>
      </c>
      <c r="J2451" s="6">
        <v>9</v>
      </c>
      <c r="K2451" s="7" t="s">
        <v>3715</v>
      </c>
      <c r="L2451" s="8">
        <v>5424982</v>
      </c>
      <c r="M2451" s="8" t="str">
        <f t="shared" si="197"/>
        <v>PEN</v>
      </c>
      <c r="N2451" s="13">
        <v>864.01</v>
      </c>
      <c r="O2451" s="13"/>
      <c r="P2451" s="3">
        <f t="shared" si="198"/>
        <v>0</v>
      </c>
      <c r="Q2451" s="3">
        <f t="shared" si="199"/>
        <v>0</v>
      </c>
      <c r="R2451" s="3">
        <f t="shared" si="200"/>
        <v>2203.8000000000384</v>
      </c>
      <c r="S2451" s="24" t="s">
        <v>1334</v>
      </c>
      <c r="T2451" s="24" t="s">
        <v>1334</v>
      </c>
      <c r="U2451" s="80" t="s">
        <v>3716</v>
      </c>
      <c r="V2451" s="25">
        <f>IFERROR(VLOOKUP(BCP_Soles[[#This Row],[destinatario]],CHOOSE({1,2},Clientes_Proveedores[Razon Social],Clientes_Proveedores[Ruc / Dni]),2,0),"")</f>
        <v>10736055631</v>
      </c>
      <c r="W2451" s="25"/>
      <c r="X2451" s="25"/>
      <c r="Y2451" s="25"/>
      <c r="Z2451" s="75"/>
      <c r="AA2451" s="3" t="str">
        <f>IF(BCP_Soles[[#This Row],[fecha]]&gt;0,TEXT(BCP_Soles[[#This Row],[fecha]],"mmmm"),0)</f>
        <v>Julio</v>
      </c>
    </row>
    <row r="2452" spans="1:27" ht="24" x14ac:dyDescent="0.3">
      <c r="A2452" s="2">
        <f>IF(BCP_Soles[[#This Row],[tipo_registro]]="R",COUNTIFS($C$1:$C2451,"R")+1,A2451)</f>
        <v>1786</v>
      </c>
      <c r="B2452" s="19" t="str">
        <f t="shared" si="196"/>
        <v>B-BCP - Soles</v>
      </c>
      <c r="C2452" s="3" t="s">
        <v>1352</v>
      </c>
      <c r="D2452" s="14">
        <v>45841</v>
      </c>
      <c r="E2452" s="5" t="s">
        <v>1331</v>
      </c>
      <c r="F2452" s="5"/>
      <c r="G2452" s="6" t="s">
        <v>594</v>
      </c>
      <c r="H2452" s="6" t="s">
        <v>68</v>
      </c>
      <c r="I2452" s="6" t="s">
        <v>1376</v>
      </c>
      <c r="J2452" s="6">
        <v>2307</v>
      </c>
      <c r="K2452" s="7" t="s">
        <v>3715</v>
      </c>
      <c r="L2452" s="8">
        <v>5424982</v>
      </c>
      <c r="M2452" s="8" t="str">
        <f t="shared" si="197"/>
        <v>PEN</v>
      </c>
      <c r="N2452" s="13">
        <v>118</v>
      </c>
      <c r="O2452" s="13"/>
      <c r="P2452" s="3">
        <f t="shared" si="198"/>
        <v>0</v>
      </c>
      <c r="Q2452" s="3">
        <f t="shared" si="199"/>
        <v>0</v>
      </c>
      <c r="R2452" s="3">
        <f t="shared" si="200"/>
        <v>2203.8000000000384</v>
      </c>
      <c r="S2452" s="24" t="s">
        <v>1334</v>
      </c>
      <c r="T2452" s="24" t="s">
        <v>1334</v>
      </c>
      <c r="U2452" s="80" t="s">
        <v>3716</v>
      </c>
      <c r="V2452" s="25">
        <f>IFERROR(VLOOKUP(BCP_Soles[[#This Row],[destinatario]],CHOOSE({1,2},Clientes_Proveedores[Razon Social],Clientes_Proveedores[Ruc / Dni]),2,0),"")</f>
        <v>20609764261</v>
      </c>
      <c r="W2452" s="25"/>
      <c r="X2452" s="25"/>
      <c r="Y2452" s="25"/>
      <c r="Z2452" s="75"/>
      <c r="AA2452" s="3" t="str">
        <f>IF(BCP_Soles[[#This Row],[fecha]]&gt;0,TEXT(BCP_Soles[[#This Row],[fecha]],"mmmm"),0)</f>
        <v>Julio</v>
      </c>
    </row>
    <row r="2453" spans="1:27" ht="24" x14ac:dyDescent="0.3">
      <c r="A2453" s="2">
        <f>IF(BCP_Soles[[#This Row],[tipo_registro]]="R",COUNTIFS($C$1:$C2452,"R")+1,A2452)</f>
        <v>1786</v>
      </c>
      <c r="B2453" s="19" t="str">
        <f t="shared" si="196"/>
        <v>B-BCP - Soles</v>
      </c>
      <c r="C2453" s="3" t="s">
        <v>1352</v>
      </c>
      <c r="D2453" s="14">
        <v>45841</v>
      </c>
      <c r="E2453" s="5" t="s">
        <v>1331</v>
      </c>
      <c r="F2453" s="5"/>
      <c r="G2453" s="6" t="s">
        <v>692</v>
      </c>
      <c r="H2453" s="6" t="s">
        <v>68</v>
      </c>
      <c r="I2453" s="6" t="s">
        <v>1376</v>
      </c>
      <c r="J2453" s="6">
        <v>11</v>
      </c>
      <c r="K2453" s="7" t="s">
        <v>3715</v>
      </c>
      <c r="L2453" s="8">
        <v>5424982</v>
      </c>
      <c r="M2453" s="8" t="str">
        <f t="shared" si="197"/>
        <v>PEN</v>
      </c>
      <c r="N2453" s="13">
        <v>300</v>
      </c>
      <c r="O2453" s="13"/>
      <c r="P2453" s="3">
        <f t="shared" si="198"/>
        <v>0</v>
      </c>
      <c r="Q2453" s="3">
        <f t="shared" si="199"/>
        <v>0</v>
      </c>
      <c r="R2453" s="3">
        <f t="shared" si="200"/>
        <v>2203.8000000000384</v>
      </c>
      <c r="S2453" s="24" t="s">
        <v>1334</v>
      </c>
      <c r="T2453" s="24" t="s">
        <v>1334</v>
      </c>
      <c r="U2453" s="80" t="s">
        <v>3716</v>
      </c>
      <c r="V2453" s="25">
        <f>IFERROR(VLOOKUP(BCP_Soles[[#This Row],[destinatario]],CHOOSE({1,2},Clientes_Proveedores[Razon Social],Clientes_Proveedores[Ruc / Dni]),2,0),"")</f>
        <v>10736055631</v>
      </c>
      <c r="W2453" s="25"/>
      <c r="X2453" s="25"/>
      <c r="Y2453" s="25"/>
      <c r="Z2453" s="75"/>
      <c r="AA2453" s="3" t="str">
        <f>IF(BCP_Soles[[#This Row],[fecha]]&gt;0,TEXT(BCP_Soles[[#This Row],[fecha]],"mmmm"),0)</f>
        <v>Julio</v>
      </c>
    </row>
    <row r="2454" spans="1:27" ht="24" x14ac:dyDescent="0.3">
      <c r="A2454" s="2">
        <f>IF(BCP_Soles[[#This Row],[tipo_registro]]="R",COUNTIFS($C$1:$C2453,"R")+1,A2453)</f>
        <v>1786</v>
      </c>
      <c r="B2454" s="19" t="str">
        <f t="shared" si="196"/>
        <v>B-BCP - Soles</v>
      </c>
      <c r="C2454" s="3" t="s">
        <v>1352</v>
      </c>
      <c r="D2454" s="14">
        <v>45841</v>
      </c>
      <c r="E2454" s="5" t="s">
        <v>1331</v>
      </c>
      <c r="F2454" s="5"/>
      <c r="G2454" s="6" t="s">
        <v>692</v>
      </c>
      <c r="H2454" s="6" t="s">
        <v>68</v>
      </c>
      <c r="I2454" s="6" t="s">
        <v>1376</v>
      </c>
      <c r="J2454" s="6">
        <v>8</v>
      </c>
      <c r="K2454" s="7" t="s">
        <v>3715</v>
      </c>
      <c r="L2454" s="8">
        <v>5424982</v>
      </c>
      <c r="M2454" s="8" t="str">
        <f t="shared" si="197"/>
        <v>PEN</v>
      </c>
      <c r="N2454" s="13">
        <v>793</v>
      </c>
      <c r="O2454" s="13"/>
      <c r="P2454" s="3">
        <f t="shared" si="198"/>
        <v>0</v>
      </c>
      <c r="Q2454" s="3">
        <f t="shared" si="199"/>
        <v>0</v>
      </c>
      <c r="R2454" s="3">
        <f t="shared" si="200"/>
        <v>2203.8000000000384</v>
      </c>
      <c r="S2454" s="24" t="s">
        <v>1334</v>
      </c>
      <c r="T2454" s="24" t="s">
        <v>1334</v>
      </c>
      <c r="U2454" s="80" t="s">
        <v>3716</v>
      </c>
      <c r="V2454" s="25">
        <f>IFERROR(VLOOKUP(BCP_Soles[[#This Row],[destinatario]],CHOOSE({1,2},Clientes_Proveedores[Razon Social],Clientes_Proveedores[Ruc / Dni]),2,0),"")</f>
        <v>10736055631</v>
      </c>
      <c r="W2454" s="25"/>
      <c r="X2454" s="25"/>
      <c r="Y2454" s="25"/>
      <c r="Z2454" s="75"/>
      <c r="AA2454" s="3" t="str">
        <f>IF(BCP_Soles[[#This Row],[fecha]]&gt;0,TEXT(BCP_Soles[[#This Row],[fecha]],"mmmm"),0)</f>
        <v>Julio</v>
      </c>
    </row>
    <row r="2455" spans="1:27" ht="24" x14ac:dyDescent="0.3">
      <c r="A2455" s="2">
        <f>IF(BCP_Soles[[#This Row],[tipo_registro]]="R",COUNTIFS($C$1:$C2454,"R")+1,A2454)</f>
        <v>1786</v>
      </c>
      <c r="B2455" s="19" t="str">
        <f t="shared" si="196"/>
        <v>B-BCP - Soles</v>
      </c>
      <c r="C2455" s="3" t="s">
        <v>1352</v>
      </c>
      <c r="D2455" s="14">
        <v>45841</v>
      </c>
      <c r="E2455" s="5" t="s">
        <v>1331</v>
      </c>
      <c r="F2455" s="5"/>
      <c r="G2455" s="6" t="s">
        <v>490</v>
      </c>
      <c r="H2455" s="6" t="s">
        <v>68</v>
      </c>
      <c r="I2455" s="6" t="s">
        <v>1376</v>
      </c>
      <c r="J2455" s="6">
        <v>414</v>
      </c>
      <c r="K2455" s="7" t="s">
        <v>3715</v>
      </c>
      <c r="L2455" s="8">
        <v>5424982</v>
      </c>
      <c r="M2455" s="8" t="str">
        <f t="shared" si="197"/>
        <v>PEN</v>
      </c>
      <c r="N2455" s="13">
        <v>150</v>
      </c>
      <c r="O2455" s="13"/>
      <c r="P2455" s="3">
        <f t="shared" si="198"/>
        <v>0</v>
      </c>
      <c r="Q2455" s="3">
        <f t="shared" si="199"/>
        <v>0</v>
      </c>
      <c r="R2455" s="3">
        <f t="shared" si="200"/>
        <v>2203.8000000000384</v>
      </c>
      <c r="S2455" s="24" t="s">
        <v>1334</v>
      </c>
      <c r="T2455" s="24" t="s">
        <v>1334</v>
      </c>
      <c r="U2455" s="80" t="s">
        <v>3716</v>
      </c>
      <c r="V2455" s="25">
        <f>IFERROR(VLOOKUP(BCP_Soles[[#This Row],[destinatario]],CHOOSE({1,2},Clientes_Proveedores[Razon Social],Clientes_Proveedores[Ruc / Dni]),2,0),"")</f>
        <v>20602499481</v>
      </c>
      <c r="W2455" s="25"/>
      <c r="X2455" s="25"/>
      <c r="Y2455" s="25"/>
      <c r="Z2455" s="75"/>
      <c r="AA2455" s="3" t="str">
        <f>IF(BCP_Soles[[#This Row],[fecha]]&gt;0,TEXT(BCP_Soles[[#This Row],[fecha]],"mmmm"),0)</f>
        <v>Julio</v>
      </c>
    </row>
    <row r="2456" spans="1:27" ht="36" x14ac:dyDescent="0.3">
      <c r="A2456" s="2">
        <f>IF(BCP_Soles[[#This Row],[tipo_registro]]="R",COUNTIFS($C$1:$C2455,"R")+1,A2455)</f>
        <v>1786</v>
      </c>
      <c r="B2456" s="19" t="str">
        <f t="shared" ref="B2456:B2519" si="201">"B-BCP - Soles"</f>
        <v>B-BCP - Soles</v>
      </c>
      <c r="C2456" s="3" t="s">
        <v>1352</v>
      </c>
      <c r="D2456" s="14">
        <v>45841</v>
      </c>
      <c r="E2456" s="5" t="s">
        <v>1331</v>
      </c>
      <c r="F2456" s="5"/>
      <c r="G2456" s="6" t="s">
        <v>499</v>
      </c>
      <c r="H2456" s="6" t="s">
        <v>68</v>
      </c>
      <c r="I2456" s="6" t="s">
        <v>1376</v>
      </c>
      <c r="J2456" s="6">
        <v>253</v>
      </c>
      <c r="K2456" s="7" t="s">
        <v>3717</v>
      </c>
      <c r="L2456" s="8">
        <v>5424982</v>
      </c>
      <c r="M2456" s="8" t="str">
        <f t="shared" ref="M2456:M2519" si="202">"PEN"</f>
        <v>PEN</v>
      </c>
      <c r="N2456" s="13">
        <v>421.55</v>
      </c>
      <c r="O2456" s="13"/>
      <c r="P2456" s="3">
        <f t="shared" ref="P2456:P2519" si="203">+IF(OR($F2456="SALDO",$F2456="INGRESO"),$O2456,0)</f>
        <v>0</v>
      </c>
      <c r="Q2456" s="3">
        <f t="shared" ref="Q2456:Q2519" si="204">+IF($F2456="EGRESO",$O2456,0)</f>
        <v>0</v>
      </c>
      <c r="R2456" s="3">
        <f t="shared" si="200"/>
        <v>2203.8000000000384</v>
      </c>
      <c r="S2456" s="24" t="s">
        <v>1334</v>
      </c>
      <c r="T2456" s="24" t="s">
        <v>1334</v>
      </c>
      <c r="U2456" s="80" t="s">
        <v>3716</v>
      </c>
      <c r="V2456" s="25">
        <f>IFERROR(VLOOKUP(BCP_Soles[[#This Row],[destinatario]],CHOOSE({1,2},Clientes_Proveedores[Razon Social],Clientes_Proveedores[Ruc / Dni]),2,0),"")</f>
        <v>20602818161</v>
      </c>
      <c r="W2456" s="25"/>
      <c r="X2456" s="25"/>
      <c r="Y2456" s="25"/>
      <c r="Z2456" s="75"/>
      <c r="AA2456" s="3" t="str">
        <f>IF(BCP_Soles[[#This Row],[fecha]]&gt;0,TEXT(BCP_Soles[[#This Row],[fecha]],"mmmm"),0)</f>
        <v>Julio</v>
      </c>
    </row>
    <row r="2457" spans="1:27" ht="24" x14ac:dyDescent="0.3">
      <c r="A2457" s="2">
        <f>IF(BCP_Soles[[#This Row],[tipo_registro]]="R",COUNTIFS($C$1:$C2456,"R")+1,A2456)</f>
        <v>1787</v>
      </c>
      <c r="B2457" s="19" t="str">
        <f t="shared" si="201"/>
        <v>B-BCP - Soles</v>
      </c>
      <c r="C2457" s="3" t="s">
        <v>1330</v>
      </c>
      <c r="D2457" s="14">
        <v>45841</v>
      </c>
      <c r="E2457" s="5" t="s">
        <v>1331</v>
      </c>
      <c r="F2457" s="5" t="s">
        <v>1336</v>
      </c>
      <c r="G2457" s="6" t="s">
        <v>895</v>
      </c>
      <c r="H2457" s="6"/>
      <c r="I2457" s="6"/>
      <c r="J2457" s="6"/>
      <c r="K2457" s="7" t="s">
        <v>3718</v>
      </c>
      <c r="L2457" s="8">
        <v>1225849</v>
      </c>
      <c r="M2457" s="8" t="str">
        <f t="shared" si="202"/>
        <v>PEN</v>
      </c>
      <c r="N2457" s="13"/>
      <c r="O2457" s="13">
        <v>100</v>
      </c>
      <c r="P2457" s="3">
        <f t="shared" si="203"/>
        <v>0</v>
      </c>
      <c r="Q2457" s="3">
        <f t="shared" si="204"/>
        <v>100</v>
      </c>
      <c r="R2457" s="3">
        <f t="shared" si="200"/>
        <v>2103.8000000000384</v>
      </c>
      <c r="S2457" s="24"/>
      <c r="T2457" s="24"/>
      <c r="U2457" s="55"/>
      <c r="V2457" s="25">
        <f>IFERROR(VLOOKUP(BCP_Soles[[#This Row],[destinatario]],CHOOSE({1,2},Clientes_Proveedores[Razon Social],Clientes_Proveedores[Ruc / Dni]),2,0),"")</f>
        <v>72144092</v>
      </c>
      <c r="W2457" s="25"/>
      <c r="X2457" s="25"/>
      <c r="Y2457" s="25"/>
      <c r="Z2457" s="75"/>
      <c r="AA2457" s="3" t="str">
        <f>IF(BCP_Soles[[#This Row],[fecha]]&gt;0,TEXT(BCP_Soles[[#This Row],[fecha]],"mmmm"),0)</f>
        <v>Julio</v>
      </c>
    </row>
    <row r="2458" spans="1:27" ht="24" x14ac:dyDescent="0.3">
      <c r="A2458" s="2">
        <f>IF(BCP_Soles[[#This Row],[tipo_registro]]="R",COUNTIFS($C$1:$C2457,"R")+1,A2457)</f>
        <v>1788</v>
      </c>
      <c r="B2458" s="19" t="str">
        <f t="shared" si="201"/>
        <v>B-BCP - Soles</v>
      </c>
      <c r="C2458" s="3" t="s">
        <v>1330</v>
      </c>
      <c r="D2458" s="14">
        <v>45841</v>
      </c>
      <c r="E2458" s="5" t="s">
        <v>1331</v>
      </c>
      <c r="F2458" s="5" t="s">
        <v>1336</v>
      </c>
      <c r="G2458" s="6" t="s">
        <v>895</v>
      </c>
      <c r="H2458" s="6"/>
      <c r="I2458" s="6"/>
      <c r="J2458" s="6"/>
      <c r="K2458" s="7" t="s">
        <v>3719</v>
      </c>
      <c r="L2458" s="8">
        <v>1226850</v>
      </c>
      <c r="M2458" s="8" t="str">
        <f t="shared" si="202"/>
        <v>PEN</v>
      </c>
      <c r="N2458" s="13"/>
      <c r="O2458" s="13">
        <v>900</v>
      </c>
      <c r="P2458" s="3">
        <f t="shared" si="203"/>
        <v>0</v>
      </c>
      <c r="Q2458" s="3">
        <f t="shared" si="204"/>
        <v>900</v>
      </c>
      <c r="R2458" s="3">
        <f t="shared" si="200"/>
        <v>1203.8000000000384</v>
      </c>
      <c r="S2458" s="24"/>
      <c r="T2458" s="24"/>
      <c r="U2458" s="55"/>
      <c r="V2458" s="25">
        <f>IFERROR(VLOOKUP(BCP_Soles[[#This Row],[destinatario]],CHOOSE({1,2},Clientes_Proveedores[Razon Social],Clientes_Proveedores[Ruc / Dni]),2,0),"")</f>
        <v>72144092</v>
      </c>
      <c r="W2458" s="25"/>
      <c r="X2458" s="25"/>
      <c r="Y2458" s="25"/>
      <c r="Z2458" s="75"/>
      <c r="AA2458" s="3" t="str">
        <f>IF(BCP_Soles[[#This Row],[fecha]]&gt;0,TEXT(BCP_Soles[[#This Row],[fecha]],"mmmm"),0)</f>
        <v>Julio</v>
      </c>
    </row>
    <row r="2459" spans="1:27" ht="24" x14ac:dyDescent="0.3">
      <c r="A2459" s="2">
        <f>IF(BCP_Soles[[#This Row],[tipo_registro]]="R",COUNTIFS($C$1:$C2458,"R")+1,A2458)</f>
        <v>1789</v>
      </c>
      <c r="B2459" s="19" t="str">
        <f t="shared" si="201"/>
        <v>B-BCP - Soles</v>
      </c>
      <c r="C2459" s="3" t="s">
        <v>1330</v>
      </c>
      <c r="D2459" s="14">
        <v>45841</v>
      </c>
      <c r="E2459" s="5" t="s">
        <v>1335</v>
      </c>
      <c r="F2459" s="5" t="s">
        <v>1336</v>
      </c>
      <c r="G2459" s="6" t="s">
        <v>1060</v>
      </c>
      <c r="H2459" s="6" t="s">
        <v>68</v>
      </c>
      <c r="I2459" s="6" t="s">
        <v>1397</v>
      </c>
      <c r="J2459" s="6">
        <v>34348661</v>
      </c>
      <c r="K2459" s="7" t="s">
        <v>3720</v>
      </c>
      <c r="L2459" s="8">
        <v>5424999</v>
      </c>
      <c r="M2459" s="8" t="str">
        <f t="shared" si="202"/>
        <v>PEN</v>
      </c>
      <c r="N2459" s="13"/>
      <c r="O2459" s="13">
        <v>5</v>
      </c>
      <c r="P2459" s="3">
        <f t="shared" si="203"/>
        <v>0</v>
      </c>
      <c r="Q2459" s="3">
        <f t="shared" si="204"/>
        <v>5</v>
      </c>
      <c r="R2459" s="3">
        <f t="shared" si="200"/>
        <v>1198.8000000000384</v>
      </c>
      <c r="S2459" s="24" t="s">
        <v>1334</v>
      </c>
      <c r="T2459" s="24" t="s">
        <v>1334</v>
      </c>
      <c r="U2459" s="55"/>
      <c r="V2459" s="25">
        <f>IFERROR(VLOOKUP(BCP_Soles[[#This Row],[destinatario]],CHOOSE({1,2},Clientes_Proveedores[Razon Social],Clientes_Proveedores[Ruc / Dni]),2,0),"")</f>
        <v>20100047218</v>
      </c>
      <c r="W2459" s="25"/>
      <c r="X2459" s="25"/>
      <c r="Y2459" s="25"/>
      <c r="Z2459" s="75"/>
      <c r="AA2459" s="3" t="str">
        <f>IF(BCP_Soles[[#This Row],[fecha]]&gt;0,TEXT(BCP_Soles[[#This Row],[fecha]],"mmmm"),0)</f>
        <v>Julio</v>
      </c>
    </row>
    <row r="2460" spans="1:27" x14ac:dyDescent="0.3">
      <c r="A2460" s="2">
        <f>IF(BCP_Soles[[#This Row],[tipo_registro]]="R",COUNTIFS($C$1:$C2459,"R")+1,A2459)</f>
        <v>1790</v>
      </c>
      <c r="B2460" s="19" t="str">
        <f t="shared" si="201"/>
        <v>B-BCP - Soles</v>
      </c>
      <c r="C2460" s="3" t="s">
        <v>1330</v>
      </c>
      <c r="D2460" s="14">
        <v>45841</v>
      </c>
      <c r="E2460" s="5" t="s">
        <v>1335</v>
      </c>
      <c r="F2460" s="5" t="s">
        <v>1336</v>
      </c>
      <c r="G2460" s="6" t="s">
        <v>1009</v>
      </c>
      <c r="H2460" s="6" t="s">
        <v>64</v>
      </c>
      <c r="I2460" s="6" t="s">
        <v>3673</v>
      </c>
      <c r="J2460" s="6">
        <v>1790</v>
      </c>
      <c r="K2460" s="7" t="s">
        <v>3160</v>
      </c>
      <c r="L2460" s="8"/>
      <c r="M2460" s="8" t="str">
        <f t="shared" si="202"/>
        <v>PEN</v>
      </c>
      <c r="N2460" s="13"/>
      <c r="O2460" s="13">
        <v>0.7</v>
      </c>
      <c r="P2460" s="3">
        <f t="shared" si="203"/>
        <v>0</v>
      </c>
      <c r="Q2460" s="3">
        <f t="shared" si="204"/>
        <v>0.7</v>
      </c>
      <c r="R2460" s="3">
        <f t="shared" si="200"/>
        <v>1198.1000000000383</v>
      </c>
      <c r="S2460" s="24" t="s">
        <v>1334</v>
      </c>
      <c r="T2460" s="24" t="s">
        <v>1334</v>
      </c>
      <c r="U2460" s="55"/>
      <c r="V2460" s="25">
        <f>IFERROR(VLOOKUP(BCP_Soles[[#This Row],[destinatario]],CHOOSE({1,2},Clientes_Proveedores[Razon Social],Clientes_Proveedores[Ruc / Dni]),2,0),"")</f>
        <v>11111111</v>
      </c>
      <c r="W2460" s="25"/>
      <c r="X2460" s="25"/>
      <c r="Y2460" s="25"/>
      <c r="Z2460" s="75"/>
      <c r="AA2460" s="3" t="str">
        <f>IF(BCP_Soles[[#This Row],[fecha]]&gt;0,TEXT(BCP_Soles[[#This Row],[fecha]],"mmmm"),0)</f>
        <v>Julio</v>
      </c>
    </row>
    <row r="2461" spans="1:27" ht="24" x14ac:dyDescent="0.3">
      <c r="A2461" s="2">
        <f>IF(BCP_Soles[[#This Row],[tipo_registro]]="R",COUNTIFS($C$1:$C2460,"R")+1,A2460)</f>
        <v>1791</v>
      </c>
      <c r="B2461" s="19" t="str">
        <f t="shared" si="201"/>
        <v>B-BCP - Soles</v>
      </c>
      <c r="C2461" s="3" t="s">
        <v>1330</v>
      </c>
      <c r="D2461" s="14">
        <v>45842</v>
      </c>
      <c r="E2461" s="5" t="s">
        <v>286</v>
      </c>
      <c r="F2461" s="5" t="s">
        <v>1303</v>
      </c>
      <c r="G2461" s="6" t="s">
        <v>425</v>
      </c>
      <c r="H2461" s="6"/>
      <c r="I2461" s="6"/>
      <c r="J2461" s="6"/>
      <c r="K2461" s="7" t="s">
        <v>1382</v>
      </c>
      <c r="L2461" s="8">
        <v>2003</v>
      </c>
      <c r="M2461" s="8" t="str">
        <f t="shared" si="202"/>
        <v>PEN</v>
      </c>
      <c r="N2461" s="13"/>
      <c r="O2461" s="13">
        <v>4071.35</v>
      </c>
      <c r="P2461" s="3">
        <f t="shared" si="203"/>
        <v>4071.35</v>
      </c>
      <c r="Q2461" s="3">
        <f t="shared" si="204"/>
        <v>0</v>
      </c>
      <c r="R2461" s="3">
        <f t="shared" si="200"/>
        <v>5269.450000000038</v>
      </c>
      <c r="S2461" s="24" t="s">
        <v>1334</v>
      </c>
      <c r="T2461" s="24" t="s">
        <v>1334</v>
      </c>
      <c r="U2461" s="55"/>
      <c r="V2461" s="25">
        <f>IFERROR(VLOOKUP(BCP_Soles[[#This Row],[destinatario]],CHOOSE({1,2},Clientes_Proveedores[Razon Social],Clientes_Proveedores[Ruc / Dni]),2,0),"")</f>
        <v>20558226979</v>
      </c>
      <c r="W2461" s="25" t="s">
        <v>1345</v>
      </c>
      <c r="X2461" s="25" t="s">
        <v>3721</v>
      </c>
      <c r="Y2461" s="25"/>
      <c r="Z2461" s="75"/>
      <c r="AA2461" s="3" t="str">
        <f>IF(BCP_Soles[[#This Row],[fecha]]&gt;0,TEXT(BCP_Soles[[#This Row],[fecha]],"mmmm"),0)</f>
        <v>Julio</v>
      </c>
    </row>
    <row r="2462" spans="1:27" x14ac:dyDescent="0.3">
      <c r="A2462" s="2">
        <f>IF(BCP_Soles[[#This Row],[tipo_registro]]="R",COUNTIFS($C$1:$C2461,"R")+1,A2461)</f>
        <v>1791</v>
      </c>
      <c r="B2462" s="19" t="str">
        <f t="shared" si="201"/>
        <v>B-BCP - Soles</v>
      </c>
      <c r="C2462" s="3" t="s">
        <v>1352</v>
      </c>
      <c r="D2462" s="14">
        <v>45842</v>
      </c>
      <c r="E2462" s="5" t="s">
        <v>286</v>
      </c>
      <c r="F2462" s="5"/>
      <c r="G2462" s="6" t="s">
        <v>425</v>
      </c>
      <c r="H2462" s="6" t="s">
        <v>68</v>
      </c>
      <c r="I2462" s="6" t="s">
        <v>1784</v>
      </c>
      <c r="J2462" s="6">
        <v>118</v>
      </c>
      <c r="K2462" s="7" t="s">
        <v>1382</v>
      </c>
      <c r="L2462" s="8">
        <v>2003</v>
      </c>
      <c r="M2462" s="8" t="str">
        <f t="shared" si="202"/>
        <v>PEN</v>
      </c>
      <c r="N2462" s="13">
        <v>1994.92</v>
      </c>
      <c r="O2462" s="13"/>
      <c r="P2462" s="3">
        <f t="shared" si="203"/>
        <v>0</v>
      </c>
      <c r="Q2462" s="3">
        <f t="shared" si="204"/>
        <v>0</v>
      </c>
      <c r="R2462" s="3">
        <f t="shared" si="200"/>
        <v>5269.450000000038</v>
      </c>
      <c r="S2462" s="24" t="s">
        <v>1334</v>
      </c>
      <c r="T2462" s="24" t="s">
        <v>1334</v>
      </c>
      <c r="U2462" s="55"/>
      <c r="V2462" s="25">
        <f>IFERROR(VLOOKUP(BCP_Soles[[#This Row],[destinatario]],CHOOSE({1,2},Clientes_Proveedores[Razon Social],Clientes_Proveedores[Ruc / Dni]),2,0),"")</f>
        <v>20558226979</v>
      </c>
      <c r="W2462" s="25"/>
      <c r="X2462" s="25"/>
      <c r="Y2462" s="25"/>
      <c r="Z2462" s="75"/>
      <c r="AA2462" s="3" t="str">
        <f>IF(BCP_Soles[[#This Row],[fecha]]&gt;0,TEXT(BCP_Soles[[#This Row],[fecha]],"mmmm"),0)</f>
        <v>Julio</v>
      </c>
    </row>
    <row r="2463" spans="1:27" x14ac:dyDescent="0.3">
      <c r="A2463" s="2">
        <f>IF(BCP_Soles[[#This Row],[tipo_registro]]="R",COUNTIFS($C$1:$C2462,"R")+1,A2462)</f>
        <v>1791</v>
      </c>
      <c r="B2463" s="19" t="str">
        <f t="shared" si="201"/>
        <v>B-BCP - Soles</v>
      </c>
      <c r="C2463" s="3" t="s">
        <v>1352</v>
      </c>
      <c r="D2463" s="14">
        <v>45842</v>
      </c>
      <c r="E2463" s="5" t="s">
        <v>286</v>
      </c>
      <c r="F2463" s="5"/>
      <c r="G2463" s="6" t="s">
        <v>425</v>
      </c>
      <c r="H2463" s="6" t="s">
        <v>68</v>
      </c>
      <c r="I2463" s="6" t="s">
        <v>1784</v>
      </c>
      <c r="J2463" s="6">
        <v>132</v>
      </c>
      <c r="K2463" s="7" t="s">
        <v>1382</v>
      </c>
      <c r="L2463" s="8">
        <v>2003</v>
      </c>
      <c r="M2463" s="8" t="str">
        <f t="shared" si="202"/>
        <v>PEN</v>
      </c>
      <c r="N2463" s="13">
        <v>2076.4299999999998</v>
      </c>
      <c r="O2463" s="13"/>
      <c r="P2463" s="3">
        <f t="shared" si="203"/>
        <v>0</v>
      </c>
      <c r="Q2463" s="3">
        <f t="shared" si="204"/>
        <v>0</v>
      </c>
      <c r="R2463" s="3">
        <f t="shared" si="200"/>
        <v>5269.450000000038</v>
      </c>
      <c r="S2463" s="24" t="s">
        <v>1334</v>
      </c>
      <c r="T2463" s="24" t="s">
        <v>1334</v>
      </c>
      <c r="U2463" s="55"/>
      <c r="V2463" s="25">
        <f>IFERROR(VLOOKUP(BCP_Soles[[#This Row],[destinatario]],CHOOSE({1,2},Clientes_Proveedores[Razon Social],Clientes_Proveedores[Ruc / Dni]),2,0),"")</f>
        <v>20558226979</v>
      </c>
      <c r="W2463" s="25"/>
      <c r="X2463" s="25"/>
      <c r="Y2463" s="25"/>
      <c r="Z2463" s="75"/>
      <c r="AA2463" s="3" t="str">
        <f>IF(BCP_Soles[[#This Row],[fecha]]&gt;0,TEXT(BCP_Soles[[#This Row],[fecha]],"mmmm"),0)</f>
        <v>Julio</v>
      </c>
    </row>
    <row r="2464" spans="1:27" ht="24" x14ac:dyDescent="0.3">
      <c r="A2464" s="2">
        <f>IF(BCP_Soles[[#This Row],[tipo_registro]]="R",COUNTIFS($C$1:$C2463,"R")+1,A2463)</f>
        <v>1792</v>
      </c>
      <c r="B2464" s="19" t="str">
        <f t="shared" si="201"/>
        <v>B-BCP - Soles</v>
      </c>
      <c r="C2464" s="3" t="s">
        <v>1330</v>
      </c>
      <c r="D2464" s="14">
        <v>45842</v>
      </c>
      <c r="E2464" s="5" t="s">
        <v>462</v>
      </c>
      <c r="F2464" s="5" t="s">
        <v>1303</v>
      </c>
      <c r="G2464" s="6" t="s">
        <v>425</v>
      </c>
      <c r="H2464" s="6" t="s">
        <v>68</v>
      </c>
      <c r="I2464" s="6" t="s">
        <v>3381</v>
      </c>
      <c r="J2464" s="6">
        <v>43</v>
      </c>
      <c r="K2464" s="7" t="s">
        <v>1356</v>
      </c>
      <c r="L2464" s="8">
        <v>1732565</v>
      </c>
      <c r="M2464" s="8" t="str">
        <f t="shared" si="202"/>
        <v>PEN</v>
      </c>
      <c r="N2464" s="13"/>
      <c r="O2464" s="13">
        <v>455.5</v>
      </c>
      <c r="P2464" s="3">
        <f t="shared" si="203"/>
        <v>455.5</v>
      </c>
      <c r="Q2464" s="3">
        <f t="shared" si="204"/>
        <v>0</v>
      </c>
      <c r="R2464" s="3">
        <f t="shared" si="200"/>
        <v>5724.950000000038</v>
      </c>
      <c r="S2464" s="24" t="s">
        <v>1334</v>
      </c>
      <c r="T2464" s="24" t="s">
        <v>1334</v>
      </c>
      <c r="U2464" s="55"/>
      <c r="V2464" s="25">
        <f>IFERROR(VLOOKUP(BCP_Soles[[#This Row],[destinatario]],CHOOSE({1,2},Clientes_Proveedores[Razon Social],Clientes_Proveedores[Ruc / Dni]),2,0),"")</f>
        <v>20558226979</v>
      </c>
      <c r="W2464" s="25" t="s">
        <v>1345</v>
      </c>
      <c r="X2464" s="25" t="s">
        <v>3722</v>
      </c>
      <c r="Y2464" s="25"/>
      <c r="Z2464" s="75"/>
      <c r="AA2464" s="3" t="str">
        <f>IF(BCP_Soles[[#This Row],[fecha]]&gt;0,TEXT(BCP_Soles[[#This Row],[fecha]],"mmmm"),0)</f>
        <v>Julio</v>
      </c>
    </row>
    <row r="2465" spans="1:27" ht="60" x14ac:dyDescent="0.3">
      <c r="A2465" s="2">
        <f>IF(BCP_Soles[[#This Row],[tipo_registro]]="R",COUNTIFS($C$1:$C2464,"R")+1,A2464)</f>
        <v>1793</v>
      </c>
      <c r="B2465" s="19" t="str">
        <f t="shared" si="201"/>
        <v>B-BCP - Soles</v>
      </c>
      <c r="C2465" s="3" t="s">
        <v>1330</v>
      </c>
      <c r="D2465" s="14">
        <v>45842</v>
      </c>
      <c r="E2465" s="5" t="s">
        <v>295</v>
      </c>
      <c r="F2465" s="5" t="s">
        <v>1303</v>
      </c>
      <c r="G2465" s="6" t="s">
        <v>425</v>
      </c>
      <c r="H2465" s="6" t="s">
        <v>68</v>
      </c>
      <c r="I2465" s="6" t="s">
        <v>3302</v>
      </c>
      <c r="J2465" s="6">
        <v>69</v>
      </c>
      <c r="K2465" s="7" t="s">
        <v>1428</v>
      </c>
      <c r="L2465" s="8">
        <v>2259044</v>
      </c>
      <c r="M2465" s="8" t="str">
        <f t="shared" si="202"/>
        <v>PEN</v>
      </c>
      <c r="N2465" s="13"/>
      <c r="O2465" s="13">
        <v>442.38</v>
      </c>
      <c r="P2465" s="3">
        <f t="shared" si="203"/>
        <v>442.38</v>
      </c>
      <c r="Q2465" s="3">
        <f t="shared" si="204"/>
        <v>0</v>
      </c>
      <c r="R2465" s="3">
        <f t="shared" si="200"/>
        <v>6167.3300000000381</v>
      </c>
      <c r="S2465" s="24" t="s">
        <v>1334</v>
      </c>
      <c r="T2465" s="24" t="s">
        <v>1334</v>
      </c>
      <c r="U2465" s="55"/>
      <c r="V2465" s="25">
        <f>IFERROR(VLOOKUP(BCP_Soles[[#This Row],[destinatario]],CHOOSE({1,2},Clientes_Proveedores[Razon Social],Clientes_Proveedores[Ruc / Dni]),2,0),"")</f>
        <v>20558226979</v>
      </c>
      <c r="W2465" s="25" t="s">
        <v>1345</v>
      </c>
      <c r="X2465" s="25" t="s">
        <v>3723</v>
      </c>
      <c r="Y2465" s="25"/>
      <c r="Z2465" s="75"/>
      <c r="AA2465" s="3" t="str">
        <f>IF(BCP_Soles[[#This Row],[fecha]]&gt;0,TEXT(BCP_Soles[[#This Row],[fecha]],"mmmm"),0)</f>
        <v>Julio</v>
      </c>
    </row>
    <row r="2466" spans="1:27" ht="60" x14ac:dyDescent="0.3">
      <c r="A2466" s="2">
        <f>IF(BCP_Soles[[#This Row],[tipo_registro]]="R",COUNTIFS($C$1:$C2465,"R")+1,A2465)</f>
        <v>1794</v>
      </c>
      <c r="B2466" s="19" t="str">
        <f t="shared" si="201"/>
        <v>B-BCP - Soles</v>
      </c>
      <c r="C2466" s="3" t="s">
        <v>1330</v>
      </c>
      <c r="D2466" s="14">
        <v>45842</v>
      </c>
      <c r="E2466" s="5" t="s">
        <v>295</v>
      </c>
      <c r="F2466" s="5" t="s">
        <v>1303</v>
      </c>
      <c r="G2466" s="6" t="s">
        <v>425</v>
      </c>
      <c r="H2466" s="6" t="s">
        <v>68</v>
      </c>
      <c r="I2466" s="6" t="s">
        <v>3302</v>
      </c>
      <c r="J2466" s="6">
        <v>64</v>
      </c>
      <c r="K2466" s="7" t="s">
        <v>1428</v>
      </c>
      <c r="L2466" s="8">
        <v>2237796</v>
      </c>
      <c r="M2466" s="8" t="str">
        <f t="shared" si="202"/>
        <v>PEN</v>
      </c>
      <c r="N2466" s="13"/>
      <c r="O2466" s="13">
        <v>424.14</v>
      </c>
      <c r="P2466" s="3">
        <f t="shared" si="203"/>
        <v>424.14</v>
      </c>
      <c r="Q2466" s="3">
        <f t="shared" si="204"/>
        <v>0</v>
      </c>
      <c r="R2466" s="3">
        <f t="shared" si="200"/>
        <v>6591.4700000000385</v>
      </c>
      <c r="S2466" s="24" t="s">
        <v>1334</v>
      </c>
      <c r="T2466" s="24" t="s">
        <v>1334</v>
      </c>
      <c r="U2466" s="55"/>
      <c r="V2466" s="25">
        <f>IFERROR(VLOOKUP(BCP_Soles[[#This Row],[destinatario]],CHOOSE({1,2},Clientes_Proveedores[Razon Social],Clientes_Proveedores[Ruc / Dni]),2,0),"")</f>
        <v>20558226979</v>
      </c>
      <c r="W2466" s="25" t="s">
        <v>1345</v>
      </c>
      <c r="X2466" s="25" t="s">
        <v>3724</v>
      </c>
      <c r="Y2466" s="25"/>
      <c r="Z2466" s="75"/>
      <c r="AA2466" s="3" t="str">
        <f>IF(BCP_Soles[[#This Row],[fecha]]&gt;0,TEXT(BCP_Soles[[#This Row],[fecha]],"mmmm"),0)</f>
        <v>Julio</v>
      </c>
    </row>
    <row r="2467" spans="1:27" ht="60" x14ac:dyDescent="0.3">
      <c r="A2467" s="2">
        <f>IF(BCP_Soles[[#This Row],[tipo_registro]]="R",COUNTIFS($C$1:$C2466,"R")+1,A2466)</f>
        <v>1795</v>
      </c>
      <c r="B2467" s="19" t="str">
        <f t="shared" si="201"/>
        <v>B-BCP - Soles</v>
      </c>
      <c r="C2467" s="3" t="s">
        <v>1330</v>
      </c>
      <c r="D2467" s="14">
        <v>45842</v>
      </c>
      <c r="E2467" s="5" t="s">
        <v>295</v>
      </c>
      <c r="F2467" s="5" t="s">
        <v>1303</v>
      </c>
      <c r="G2467" s="6" t="s">
        <v>425</v>
      </c>
      <c r="H2467" s="6" t="s">
        <v>68</v>
      </c>
      <c r="I2467" s="6" t="s">
        <v>3302</v>
      </c>
      <c r="J2467" s="6">
        <v>66</v>
      </c>
      <c r="K2467" s="7" t="s">
        <v>1428</v>
      </c>
      <c r="L2467" s="8">
        <v>2241670</v>
      </c>
      <c r="M2467" s="8" t="str">
        <f t="shared" si="202"/>
        <v>PEN</v>
      </c>
      <c r="N2467" s="13"/>
      <c r="O2467" s="13">
        <v>409.44</v>
      </c>
      <c r="P2467" s="3">
        <f t="shared" si="203"/>
        <v>409.44</v>
      </c>
      <c r="Q2467" s="3">
        <f t="shared" si="204"/>
        <v>0</v>
      </c>
      <c r="R2467" s="3">
        <f t="shared" si="200"/>
        <v>7000.9100000000381</v>
      </c>
      <c r="S2467" s="24" t="s">
        <v>1334</v>
      </c>
      <c r="T2467" s="24" t="s">
        <v>1334</v>
      </c>
      <c r="U2467" s="55"/>
      <c r="V2467" s="25">
        <f>IFERROR(VLOOKUP(BCP_Soles[[#This Row],[destinatario]],CHOOSE({1,2},Clientes_Proveedores[Razon Social],Clientes_Proveedores[Ruc / Dni]),2,0),"")</f>
        <v>20558226979</v>
      </c>
      <c r="W2467" s="25" t="s">
        <v>1345</v>
      </c>
      <c r="X2467" s="25" t="s">
        <v>3725</v>
      </c>
      <c r="Y2467" s="25"/>
      <c r="Z2467" s="75"/>
      <c r="AA2467" s="3" t="str">
        <f>IF(BCP_Soles[[#This Row],[fecha]]&gt;0,TEXT(BCP_Soles[[#This Row],[fecha]],"mmmm"),0)</f>
        <v>Julio</v>
      </c>
    </row>
    <row r="2468" spans="1:27" ht="60" x14ac:dyDescent="0.3">
      <c r="A2468" s="2">
        <f>IF(BCP_Soles[[#This Row],[tipo_registro]]="R",COUNTIFS($C$1:$C2467,"R")+1,A2467)</f>
        <v>1796</v>
      </c>
      <c r="B2468" s="19" t="str">
        <f t="shared" si="201"/>
        <v>B-BCP - Soles</v>
      </c>
      <c r="C2468" s="3" t="s">
        <v>1330</v>
      </c>
      <c r="D2468" s="14">
        <v>45842</v>
      </c>
      <c r="E2468" s="5" t="s">
        <v>295</v>
      </c>
      <c r="F2468" s="5" t="s">
        <v>1303</v>
      </c>
      <c r="G2468" s="6" t="s">
        <v>425</v>
      </c>
      <c r="H2468" s="6" t="s">
        <v>68</v>
      </c>
      <c r="I2468" s="6" t="s">
        <v>3302</v>
      </c>
      <c r="J2468" s="6">
        <v>65</v>
      </c>
      <c r="K2468" s="7" t="s">
        <v>1428</v>
      </c>
      <c r="L2468" s="8">
        <v>2240589</v>
      </c>
      <c r="M2468" s="8" t="str">
        <f t="shared" si="202"/>
        <v>PEN</v>
      </c>
      <c r="N2468" s="13"/>
      <c r="O2468" s="13">
        <v>370.42</v>
      </c>
      <c r="P2468" s="3">
        <f t="shared" si="203"/>
        <v>370.42</v>
      </c>
      <c r="Q2468" s="3">
        <f t="shared" si="204"/>
        <v>0</v>
      </c>
      <c r="R2468" s="3">
        <f t="shared" si="200"/>
        <v>7371.3300000000381</v>
      </c>
      <c r="S2468" s="24" t="s">
        <v>1334</v>
      </c>
      <c r="T2468" s="24" t="s">
        <v>1334</v>
      </c>
      <c r="U2468" s="55"/>
      <c r="V2468" s="25">
        <f>IFERROR(VLOOKUP(BCP_Soles[[#This Row],[destinatario]],CHOOSE({1,2},Clientes_Proveedores[Razon Social],Clientes_Proveedores[Ruc / Dni]),2,0),"")</f>
        <v>20558226979</v>
      </c>
      <c r="W2468" s="25" t="s">
        <v>1345</v>
      </c>
      <c r="X2468" s="25" t="s">
        <v>3726</v>
      </c>
      <c r="Y2468" s="25"/>
      <c r="Z2468" s="75"/>
      <c r="AA2468" s="3" t="str">
        <f>IF(BCP_Soles[[#This Row],[fecha]]&gt;0,TEXT(BCP_Soles[[#This Row],[fecha]],"mmmm"),0)</f>
        <v>Julio</v>
      </c>
    </row>
    <row r="2469" spans="1:27" ht="60" x14ac:dyDescent="0.3">
      <c r="A2469" s="2">
        <f>IF(BCP_Soles[[#This Row],[tipo_registro]]="R",COUNTIFS($C$1:$C2468,"R")+1,A2468)</f>
        <v>1797</v>
      </c>
      <c r="B2469" s="19" t="str">
        <f t="shared" si="201"/>
        <v>B-BCP - Soles</v>
      </c>
      <c r="C2469" s="3" t="s">
        <v>1330</v>
      </c>
      <c r="D2469" s="14">
        <v>45842</v>
      </c>
      <c r="E2469" s="5" t="s">
        <v>295</v>
      </c>
      <c r="F2469" s="5" t="s">
        <v>1303</v>
      </c>
      <c r="G2469" s="6" t="s">
        <v>425</v>
      </c>
      <c r="H2469" s="6" t="s">
        <v>68</v>
      </c>
      <c r="I2469" s="6" t="s">
        <v>3302</v>
      </c>
      <c r="J2469" s="6">
        <v>70</v>
      </c>
      <c r="K2469" s="7" t="s">
        <v>1428</v>
      </c>
      <c r="L2469" s="8">
        <v>2261205</v>
      </c>
      <c r="M2469" s="8" t="str">
        <f t="shared" si="202"/>
        <v>PEN</v>
      </c>
      <c r="N2469" s="13"/>
      <c r="O2469" s="13">
        <v>288.83999999999997</v>
      </c>
      <c r="P2469" s="3">
        <f t="shared" si="203"/>
        <v>288.83999999999997</v>
      </c>
      <c r="Q2469" s="3">
        <f t="shared" si="204"/>
        <v>0</v>
      </c>
      <c r="R2469" s="3">
        <f t="shared" si="200"/>
        <v>7660.1700000000383</v>
      </c>
      <c r="S2469" s="24" t="s">
        <v>1334</v>
      </c>
      <c r="T2469" s="24" t="s">
        <v>1334</v>
      </c>
      <c r="U2469" s="55"/>
      <c r="V2469" s="25">
        <f>IFERROR(VLOOKUP(BCP_Soles[[#This Row],[destinatario]],CHOOSE({1,2},Clientes_Proveedores[Razon Social],Clientes_Proveedores[Ruc / Dni]),2,0),"")</f>
        <v>20558226979</v>
      </c>
      <c r="W2469" s="25" t="s">
        <v>1345</v>
      </c>
      <c r="X2469" s="25" t="s">
        <v>3727</v>
      </c>
      <c r="Y2469" s="25"/>
      <c r="Z2469" s="75"/>
      <c r="AA2469" s="3" t="str">
        <f>IF(BCP_Soles[[#This Row],[fecha]]&gt;0,TEXT(BCP_Soles[[#This Row],[fecha]],"mmmm"),0)</f>
        <v>Julio</v>
      </c>
    </row>
    <row r="2470" spans="1:27" ht="60" x14ac:dyDescent="0.3">
      <c r="A2470" s="2">
        <f>IF(BCP_Soles[[#This Row],[tipo_registro]]="R",COUNTIFS($C$1:$C2469,"R")+1,A2469)</f>
        <v>1798</v>
      </c>
      <c r="B2470" s="19" t="str">
        <f t="shared" si="201"/>
        <v>B-BCP - Soles</v>
      </c>
      <c r="C2470" s="3" t="s">
        <v>1330</v>
      </c>
      <c r="D2470" s="14">
        <v>45842</v>
      </c>
      <c r="E2470" s="5" t="s">
        <v>295</v>
      </c>
      <c r="F2470" s="5" t="s">
        <v>1303</v>
      </c>
      <c r="G2470" s="6" t="s">
        <v>425</v>
      </c>
      <c r="H2470" s="6" t="s">
        <v>68</v>
      </c>
      <c r="I2470" s="6" t="s">
        <v>3302</v>
      </c>
      <c r="J2470" s="6">
        <v>67</v>
      </c>
      <c r="K2470" s="7" t="s">
        <v>1428</v>
      </c>
      <c r="L2470" s="8">
        <v>2255781</v>
      </c>
      <c r="M2470" s="8" t="str">
        <f t="shared" si="202"/>
        <v>PEN</v>
      </c>
      <c r="N2470" s="13"/>
      <c r="O2470" s="13">
        <v>243.74</v>
      </c>
      <c r="P2470" s="3">
        <f t="shared" si="203"/>
        <v>243.74</v>
      </c>
      <c r="Q2470" s="3">
        <f t="shared" si="204"/>
        <v>0</v>
      </c>
      <c r="R2470" s="3">
        <f t="shared" si="200"/>
        <v>7903.9100000000381</v>
      </c>
      <c r="S2470" s="24" t="s">
        <v>1334</v>
      </c>
      <c r="T2470" s="24" t="s">
        <v>1334</v>
      </c>
      <c r="U2470" s="55"/>
      <c r="V2470" s="25">
        <f>IFERROR(VLOOKUP(BCP_Soles[[#This Row],[destinatario]],CHOOSE({1,2},Clientes_Proveedores[Razon Social],Clientes_Proveedores[Ruc / Dni]),2,0),"")</f>
        <v>20558226979</v>
      </c>
      <c r="W2470" s="25" t="s">
        <v>1345</v>
      </c>
      <c r="X2470" s="25" t="s">
        <v>3728</v>
      </c>
      <c r="Y2470" s="25"/>
      <c r="Z2470" s="75"/>
      <c r="AA2470" s="3" t="str">
        <f>IF(BCP_Soles[[#This Row],[fecha]]&gt;0,TEXT(BCP_Soles[[#This Row],[fecha]],"mmmm"),0)</f>
        <v>Julio</v>
      </c>
    </row>
    <row r="2471" spans="1:27" ht="60" x14ac:dyDescent="0.3">
      <c r="A2471" s="2">
        <f>IF(BCP_Soles[[#This Row],[tipo_registro]]="R",COUNTIFS($C$1:$C2470,"R")+1,A2470)</f>
        <v>1799</v>
      </c>
      <c r="B2471" s="19" t="str">
        <f t="shared" si="201"/>
        <v>B-BCP - Soles</v>
      </c>
      <c r="C2471" s="3" t="s">
        <v>1330</v>
      </c>
      <c r="D2471" s="14">
        <v>45842</v>
      </c>
      <c r="E2471" s="5" t="s">
        <v>295</v>
      </c>
      <c r="F2471" s="5" t="s">
        <v>1303</v>
      </c>
      <c r="G2471" s="6" t="s">
        <v>425</v>
      </c>
      <c r="H2471" s="6" t="s">
        <v>68</v>
      </c>
      <c r="I2471" s="6" t="s">
        <v>3302</v>
      </c>
      <c r="J2471" s="6">
        <v>68</v>
      </c>
      <c r="K2471" s="7" t="s">
        <v>1428</v>
      </c>
      <c r="L2471" s="8">
        <v>2259337</v>
      </c>
      <c r="M2471" s="8" t="str">
        <f t="shared" si="202"/>
        <v>PEN</v>
      </c>
      <c r="N2471" s="13"/>
      <c r="O2471" s="13">
        <v>212.57</v>
      </c>
      <c r="P2471" s="3">
        <f t="shared" si="203"/>
        <v>212.57</v>
      </c>
      <c r="Q2471" s="3">
        <f t="shared" si="204"/>
        <v>0</v>
      </c>
      <c r="R2471" s="3">
        <f t="shared" si="200"/>
        <v>8116.4800000000378</v>
      </c>
      <c r="S2471" s="24" t="s">
        <v>1334</v>
      </c>
      <c r="T2471" s="24" t="s">
        <v>1334</v>
      </c>
      <c r="U2471" s="55"/>
      <c r="V2471" s="25">
        <f>IFERROR(VLOOKUP(BCP_Soles[[#This Row],[destinatario]],CHOOSE({1,2},Clientes_Proveedores[Razon Social],Clientes_Proveedores[Ruc / Dni]),2,0),"")</f>
        <v>20558226979</v>
      </c>
      <c r="W2471" s="25" t="s">
        <v>1345</v>
      </c>
      <c r="X2471" s="25" t="s">
        <v>3729</v>
      </c>
      <c r="Y2471" s="25"/>
      <c r="Z2471" s="75"/>
      <c r="AA2471" s="3" t="str">
        <f>IF(BCP_Soles[[#This Row],[fecha]]&gt;0,TEXT(BCP_Soles[[#This Row],[fecha]],"mmmm"),0)</f>
        <v>Julio</v>
      </c>
    </row>
    <row r="2472" spans="1:27" ht="36" x14ac:dyDescent="0.3">
      <c r="A2472" s="2">
        <f>IF(BCP_Soles[[#This Row],[tipo_registro]]="R",COUNTIFS($C$1:$C2471,"R")+1,A2471)</f>
        <v>1800</v>
      </c>
      <c r="B2472" s="19" t="str">
        <f t="shared" si="201"/>
        <v>B-BCP - Soles</v>
      </c>
      <c r="C2472" s="3" t="s">
        <v>1330</v>
      </c>
      <c r="D2472" s="14">
        <v>45842</v>
      </c>
      <c r="E2472" s="5" t="s">
        <v>244</v>
      </c>
      <c r="F2472" s="5" t="s">
        <v>1303</v>
      </c>
      <c r="G2472" s="6" t="s">
        <v>425</v>
      </c>
      <c r="H2472" s="6" t="s">
        <v>68</v>
      </c>
      <c r="I2472" s="6" t="s">
        <v>1784</v>
      </c>
      <c r="J2472" s="6">
        <v>103</v>
      </c>
      <c r="K2472" s="7" t="s">
        <v>3730</v>
      </c>
      <c r="L2472" s="8">
        <v>5935376</v>
      </c>
      <c r="M2472" s="8" t="str">
        <f t="shared" si="202"/>
        <v>PEN</v>
      </c>
      <c r="N2472" s="13"/>
      <c r="O2472" s="13">
        <v>1262.55</v>
      </c>
      <c r="P2472" s="3">
        <f t="shared" si="203"/>
        <v>1262.55</v>
      </c>
      <c r="Q2472" s="3">
        <f t="shared" si="204"/>
        <v>0</v>
      </c>
      <c r="R2472" s="3">
        <f t="shared" si="200"/>
        <v>9379.030000000037</v>
      </c>
      <c r="S2472" s="24" t="s">
        <v>1334</v>
      </c>
      <c r="T2472" s="24" t="s">
        <v>1334</v>
      </c>
      <c r="U2472" s="55"/>
      <c r="V2472" s="25">
        <f>IFERROR(VLOOKUP(BCP_Soles[[#This Row],[destinatario]],CHOOSE({1,2},Clientes_Proveedores[Razon Social],Clientes_Proveedores[Ruc / Dni]),2,0),"")</f>
        <v>20558226979</v>
      </c>
      <c r="W2472" s="25" t="s">
        <v>1345</v>
      </c>
      <c r="X2472" s="25" t="s">
        <v>3731</v>
      </c>
      <c r="Y2472" s="25"/>
      <c r="Z2472" s="75"/>
      <c r="AA2472" s="3" t="str">
        <f>IF(BCP_Soles[[#This Row],[fecha]]&gt;0,TEXT(BCP_Soles[[#This Row],[fecha]],"mmmm"),0)</f>
        <v>Julio</v>
      </c>
    </row>
    <row r="2473" spans="1:27" ht="24" x14ac:dyDescent="0.3">
      <c r="A2473" s="2">
        <f>IF(BCP_Soles[[#This Row],[tipo_registro]]="R",COUNTIFS($C$1:$C2472,"R")+1,A2472)</f>
        <v>1801</v>
      </c>
      <c r="B2473" s="19" t="str">
        <f t="shared" si="201"/>
        <v>B-BCP - Soles</v>
      </c>
      <c r="C2473" s="3" t="s">
        <v>1330</v>
      </c>
      <c r="D2473" s="14">
        <v>45842</v>
      </c>
      <c r="E2473" s="5" t="s">
        <v>1331</v>
      </c>
      <c r="F2473" s="5" t="s">
        <v>1336</v>
      </c>
      <c r="G2473" s="6" t="s">
        <v>888</v>
      </c>
      <c r="H2473" s="6" t="s">
        <v>147</v>
      </c>
      <c r="I2473" s="6">
        <v>14</v>
      </c>
      <c r="J2473" s="6">
        <v>33</v>
      </c>
      <c r="K2473" s="7" t="s">
        <v>3732</v>
      </c>
      <c r="L2473" s="8">
        <v>1261235</v>
      </c>
      <c r="M2473" s="8" t="str">
        <f t="shared" si="202"/>
        <v>PEN</v>
      </c>
      <c r="N2473" s="13"/>
      <c r="O2473" s="13">
        <v>1957.54</v>
      </c>
      <c r="P2473" s="3">
        <f t="shared" si="203"/>
        <v>0</v>
      </c>
      <c r="Q2473" s="3">
        <f t="shared" si="204"/>
        <v>1957.54</v>
      </c>
      <c r="R2473" s="3">
        <f t="shared" si="200"/>
        <v>7421.4900000000371</v>
      </c>
      <c r="S2473" s="24" t="s">
        <v>1334</v>
      </c>
      <c r="T2473" s="24" t="s">
        <v>1334</v>
      </c>
      <c r="U2473" s="55"/>
      <c r="V2473" s="25">
        <f>IFERROR(VLOOKUP(BCP_Soles[[#This Row],[destinatario]],CHOOSE({1,2},Clientes_Proveedores[Razon Social],Clientes_Proveedores[Ruc / Dni]),2,0),"")</f>
        <v>47461440</v>
      </c>
      <c r="W2473" s="25"/>
      <c r="X2473" s="25"/>
      <c r="Y2473" s="25"/>
      <c r="Z2473" s="75"/>
      <c r="AA2473" s="3" t="str">
        <f>IF(BCP_Soles[[#This Row],[fecha]]&gt;0,TEXT(BCP_Soles[[#This Row],[fecha]],"mmmm"),0)</f>
        <v>Julio</v>
      </c>
    </row>
    <row r="2474" spans="1:27" ht="24" x14ac:dyDescent="0.3">
      <c r="A2474" s="2">
        <f>IF(BCP_Soles[[#This Row],[tipo_registro]]="R",COUNTIFS($C$1:$C2473,"R")+1,A2473)</f>
        <v>1802</v>
      </c>
      <c r="B2474" s="19" t="str">
        <f t="shared" si="201"/>
        <v>B-BCP - Soles</v>
      </c>
      <c r="C2474" s="3" t="s">
        <v>1330</v>
      </c>
      <c r="D2474" s="14">
        <v>45842</v>
      </c>
      <c r="E2474" s="5" t="s">
        <v>1331</v>
      </c>
      <c r="F2474" s="5" t="s">
        <v>1336</v>
      </c>
      <c r="G2474" s="6" t="s">
        <v>857</v>
      </c>
      <c r="H2474" s="6" t="s">
        <v>143</v>
      </c>
      <c r="I2474" s="6">
        <v>1</v>
      </c>
      <c r="J2474" s="6">
        <v>462025</v>
      </c>
      <c r="K2474" s="7" t="s">
        <v>3733</v>
      </c>
      <c r="L2474" s="8">
        <v>1261234</v>
      </c>
      <c r="M2474" s="8" t="str">
        <f t="shared" si="202"/>
        <v>PEN</v>
      </c>
      <c r="N2474" s="13"/>
      <c r="O2474" s="13">
        <v>150</v>
      </c>
      <c r="P2474" s="3">
        <f t="shared" si="203"/>
        <v>0</v>
      </c>
      <c r="Q2474" s="3">
        <f t="shared" si="204"/>
        <v>150</v>
      </c>
      <c r="R2474" s="3">
        <f t="shared" si="200"/>
        <v>7271.4900000000371</v>
      </c>
      <c r="S2474" s="24" t="s">
        <v>1334</v>
      </c>
      <c r="T2474" s="24" t="s">
        <v>1334</v>
      </c>
      <c r="U2474" s="55"/>
      <c r="V2474" s="25">
        <f>IFERROR(VLOOKUP(BCP_Soles[[#This Row],[destinatario]],CHOOSE({1,2},Clientes_Proveedores[Razon Social],Clientes_Proveedores[Ruc / Dni]),2,0),"")</f>
        <v>70666331</v>
      </c>
      <c r="W2474" s="25" t="s">
        <v>857</v>
      </c>
      <c r="X2474" s="25"/>
      <c r="Y2474" s="25"/>
      <c r="Z2474" s="75"/>
      <c r="AA2474" s="3" t="str">
        <f>IF(BCP_Soles[[#This Row],[fecha]]&gt;0,TEXT(BCP_Soles[[#This Row],[fecha]],"mmmm"),0)</f>
        <v>Julio</v>
      </c>
    </row>
    <row r="2475" spans="1:27" ht="24" x14ac:dyDescent="0.3">
      <c r="A2475" s="2">
        <f>IF(BCP_Soles[[#This Row],[tipo_registro]]="R",COUNTIFS($C$1:$C2474,"R")+1,A2474)</f>
        <v>1803</v>
      </c>
      <c r="B2475" s="19" t="str">
        <f t="shared" si="201"/>
        <v>B-BCP - Soles</v>
      </c>
      <c r="C2475" s="3" t="s">
        <v>1330</v>
      </c>
      <c r="D2475" s="14">
        <v>45842</v>
      </c>
      <c r="E2475" s="5" t="s">
        <v>1331</v>
      </c>
      <c r="F2475" s="5" t="s">
        <v>1336</v>
      </c>
      <c r="G2475" s="6" t="s">
        <v>812</v>
      </c>
      <c r="H2475" s="6"/>
      <c r="I2475" s="6"/>
      <c r="J2475" s="6"/>
      <c r="K2475" s="7" t="s">
        <v>3734</v>
      </c>
      <c r="L2475" s="8">
        <v>1261731</v>
      </c>
      <c r="M2475" s="8" t="str">
        <f t="shared" si="202"/>
        <v>PEN</v>
      </c>
      <c r="N2475" s="13"/>
      <c r="O2475" s="13">
        <v>500</v>
      </c>
      <c r="P2475" s="3">
        <f t="shared" si="203"/>
        <v>0</v>
      </c>
      <c r="Q2475" s="3">
        <f t="shared" si="204"/>
        <v>500</v>
      </c>
      <c r="R2475" s="3">
        <f t="shared" si="200"/>
        <v>6771.4900000000371</v>
      </c>
      <c r="S2475" s="24"/>
      <c r="T2475" s="24" t="s">
        <v>1334</v>
      </c>
      <c r="U2475" s="55"/>
      <c r="V2475" s="25">
        <f>IFERROR(VLOOKUP(BCP_Soles[[#This Row],[destinatario]],CHOOSE({1,2},Clientes_Proveedores[Razon Social],Clientes_Proveedores[Ruc / Dni]),2,0),"")</f>
        <v>73444362</v>
      </c>
      <c r="W2475" s="25" t="s">
        <v>957</v>
      </c>
      <c r="X2475" s="25"/>
      <c r="Y2475" s="25"/>
      <c r="Z2475" s="75"/>
      <c r="AA2475" s="3" t="str">
        <f>IF(BCP_Soles[[#This Row],[fecha]]&gt;0,TEXT(BCP_Soles[[#This Row],[fecha]],"mmmm"),0)</f>
        <v>Julio</v>
      </c>
    </row>
    <row r="2476" spans="1:27" x14ac:dyDescent="0.3">
      <c r="A2476" s="2">
        <f>IF(BCP_Soles[[#This Row],[tipo_registro]]="R",COUNTIFS($C$1:$C2475,"R")+1,A2475)</f>
        <v>1804</v>
      </c>
      <c r="B2476" s="19" t="str">
        <f t="shared" si="201"/>
        <v>B-BCP - Soles</v>
      </c>
      <c r="C2476" s="3" t="s">
        <v>1330</v>
      </c>
      <c r="D2476" s="14">
        <v>45842</v>
      </c>
      <c r="E2476" s="5" t="s">
        <v>1331</v>
      </c>
      <c r="F2476" s="5" t="s">
        <v>1336</v>
      </c>
      <c r="G2476" s="100"/>
      <c r="H2476" s="6"/>
      <c r="I2476" s="6"/>
      <c r="J2476" s="6"/>
      <c r="K2476" s="7" t="s">
        <v>3735</v>
      </c>
      <c r="L2476" s="8">
        <v>1011022</v>
      </c>
      <c r="M2476" s="8" t="str">
        <f t="shared" si="202"/>
        <v>PEN</v>
      </c>
      <c r="N2476" s="13"/>
      <c r="O2476" s="13">
        <v>13</v>
      </c>
      <c r="P2476" s="3">
        <f t="shared" si="203"/>
        <v>0</v>
      </c>
      <c r="Q2476" s="3">
        <f t="shared" si="204"/>
        <v>13</v>
      </c>
      <c r="R2476" s="3">
        <f t="shared" si="200"/>
        <v>6758.4900000000371</v>
      </c>
      <c r="S2476" s="24"/>
      <c r="T2476" s="24"/>
      <c r="U2476" s="55"/>
      <c r="V2476" s="25" t="str">
        <f>IFERROR(VLOOKUP(BCP_Soles[[#This Row],[destinatario]],CHOOSE({1,2},Clientes_Proveedores[Razon Social],Clientes_Proveedores[Ruc / Dni]),2,0),"")</f>
        <v/>
      </c>
      <c r="W2476" s="25"/>
      <c r="X2476" s="25"/>
      <c r="Y2476" s="25"/>
      <c r="Z2476" s="75"/>
      <c r="AA2476" s="3" t="str">
        <f>IF(BCP_Soles[[#This Row],[fecha]]&gt;0,TEXT(BCP_Soles[[#This Row],[fecha]],"mmmm"),0)</f>
        <v>Julio</v>
      </c>
    </row>
    <row r="2477" spans="1:27" x14ac:dyDescent="0.3">
      <c r="A2477" s="2">
        <f>IF(BCP_Soles[[#This Row],[tipo_registro]]="R",COUNTIFS($C$1:$C2476,"R")+1,A2476)</f>
        <v>1805</v>
      </c>
      <c r="B2477" s="19" t="str">
        <f t="shared" si="201"/>
        <v>B-BCP - Soles</v>
      </c>
      <c r="C2477" s="3" t="s">
        <v>1330</v>
      </c>
      <c r="D2477" s="14">
        <v>45842</v>
      </c>
      <c r="E2477" s="5" t="s">
        <v>1335</v>
      </c>
      <c r="F2477" s="5" t="s">
        <v>1336</v>
      </c>
      <c r="G2477" s="6" t="s">
        <v>1009</v>
      </c>
      <c r="H2477" s="6" t="s">
        <v>64</v>
      </c>
      <c r="I2477" s="6" t="s">
        <v>3673</v>
      </c>
      <c r="J2477" s="6">
        <v>1805</v>
      </c>
      <c r="K2477" s="7" t="s">
        <v>3160</v>
      </c>
      <c r="L2477" s="8"/>
      <c r="M2477" s="8" t="str">
        <f t="shared" si="202"/>
        <v>PEN</v>
      </c>
      <c r="N2477" s="13"/>
      <c r="O2477" s="13">
        <v>0.3</v>
      </c>
      <c r="P2477" s="3">
        <f t="shared" si="203"/>
        <v>0</v>
      </c>
      <c r="Q2477" s="3">
        <f t="shared" si="204"/>
        <v>0.3</v>
      </c>
      <c r="R2477" s="3">
        <f t="shared" si="200"/>
        <v>6758.1900000000369</v>
      </c>
      <c r="S2477" s="24" t="s">
        <v>1334</v>
      </c>
      <c r="T2477" s="24" t="s">
        <v>1334</v>
      </c>
      <c r="U2477" s="55"/>
      <c r="V2477" s="25">
        <f>IFERROR(VLOOKUP(BCP_Soles[[#This Row],[destinatario]],CHOOSE({1,2},Clientes_Proveedores[Razon Social],Clientes_Proveedores[Ruc / Dni]),2,0),"")</f>
        <v>11111111</v>
      </c>
      <c r="W2477" s="25"/>
      <c r="X2477" s="25"/>
      <c r="Y2477" s="25"/>
      <c r="Z2477" s="75"/>
      <c r="AA2477" s="3" t="str">
        <f>IF(BCP_Soles[[#This Row],[fecha]]&gt;0,TEXT(BCP_Soles[[#This Row],[fecha]],"mmmm"),0)</f>
        <v>Julio</v>
      </c>
    </row>
    <row r="2478" spans="1:27" ht="24" x14ac:dyDescent="0.3">
      <c r="A2478" s="2">
        <f>IF(BCP_Soles[[#This Row],[tipo_registro]]="R",COUNTIFS($C$1:$C2477,"R")+1,A2477)</f>
        <v>1806</v>
      </c>
      <c r="B2478" s="19" t="str">
        <f t="shared" si="201"/>
        <v>B-BCP - Soles</v>
      </c>
      <c r="C2478" s="3" t="s">
        <v>1330</v>
      </c>
      <c r="D2478" s="14">
        <v>45842</v>
      </c>
      <c r="E2478" s="5" t="s">
        <v>1335</v>
      </c>
      <c r="F2478" s="5" t="s">
        <v>1336</v>
      </c>
      <c r="G2478" s="6" t="s">
        <v>1060</v>
      </c>
      <c r="H2478" s="6" t="s">
        <v>68</v>
      </c>
      <c r="I2478" s="6" t="s">
        <v>1397</v>
      </c>
      <c r="J2478" s="6">
        <v>34364851</v>
      </c>
      <c r="K2478" s="7" t="s">
        <v>1400</v>
      </c>
      <c r="L2478" s="8">
        <v>907</v>
      </c>
      <c r="M2478" s="8" t="str">
        <f t="shared" si="202"/>
        <v>PEN</v>
      </c>
      <c r="N2478" s="13"/>
      <c r="O2478" s="13">
        <v>3.5</v>
      </c>
      <c r="P2478" s="3">
        <f t="shared" si="203"/>
        <v>0</v>
      </c>
      <c r="Q2478" s="3">
        <f t="shared" si="204"/>
        <v>3.5</v>
      </c>
      <c r="R2478" s="3">
        <f t="shared" si="200"/>
        <v>6754.6900000000369</v>
      </c>
      <c r="S2478" s="24" t="s">
        <v>1334</v>
      </c>
      <c r="T2478" s="24" t="s">
        <v>1334</v>
      </c>
      <c r="U2478" s="55"/>
      <c r="V2478" s="25">
        <f>IFERROR(VLOOKUP(BCP_Soles[[#This Row],[destinatario]],CHOOSE({1,2},Clientes_Proveedores[Razon Social],Clientes_Proveedores[Ruc / Dni]),2,0),"")</f>
        <v>20100047218</v>
      </c>
      <c r="W2478" s="25"/>
      <c r="X2478" s="25"/>
      <c r="Y2478" s="25"/>
      <c r="Z2478" s="75"/>
      <c r="AA2478" s="3" t="str">
        <f>IF(BCP_Soles[[#This Row],[fecha]]&gt;0,TEXT(BCP_Soles[[#This Row],[fecha]],"mmmm"),0)</f>
        <v>Julio</v>
      </c>
    </row>
    <row r="2479" spans="1:27" x14ac:dyDescent="0.3">
      <c r="A2479" s="2">
        <f>IF(BCP_Soles[[#This Row],[tipo_registro]]="R",COUNTIFS($C$1:$C2478,"R")+1,A2478)</f>
        <v>1807</v>
      </c>
      <c r="B2479" s="19" t="str">
        <f t="shared" si="201"/>
        <v>B-BCP - Soles</v>
      </c>
      <c r="C2479" s="3" t="s">
        <v>1330</v>
      </c>
      <c r="D2479" s="14">
        <v>45845</v>
      </c>
      <c r="E2479" s="5" t="s">
        <v>551</v>
      </c>
      <c r="F2479" s="5" t="s">
        <v>1303</v>
      </c>
      <c r="G2479" s="6" t="s">
        <v>425</v>
      </c>
      <c r="H2479" s="6" t="s">
        <v>68</v>
      </c>
      <c r="I2479" s="6" t="s">
        <v>3736</v>
      </c>
      <c r="J2479" s="6">
        <v>6</v>
      </c>
      <c r="K2479" s="7" t="s">
        <v>1356</v>
      </c>
      <c r="L2479" s="8">
        <v>2391753</v>
      </c>
      <c r="M2479" s="8" t="str">
        <f t="shared" si="202"/>
        <v>PEN</v>
      </c>
      <c r="N2479" s="13"/>
      <c r="O2479" s="13">
        <v>9440</v>
      </c>
      <c r="P2479" s="3">
        <f t="shared" si="203"/>
        <v>9440</v>
      </c>
      <c r="Q2479" s="3">
        <f t="shared" si="204"/>
        <v>0</v>
      </c>
      <c r="R2479" s="3">
        <f t="shared" si="200"/>
        <v>16194.690000000037</v>
      </c>
      <c r="S2479" s="24" t="s">
        <v>1334</v>
      </c>
      <c r="T2479" s="24" t="s">
        <v>1334</v>
      </c>
      <c r="U2479" s="55"/>
      <c r="V2479" s="25">
        <f>IFERROR(VLOOKUP(BCP_Soles[[#This Row],[destinatario]],CHOOSE({1,2},Clientes_Proveedores[Razon Social],Clientes_Proveedores[Ruc / Dni]),2,0),"")</f>
        <v>20558226979</v>
      </c>
      <c r="W2479" s="25"/>
      <c r="X2479" s="25"/>
      <c r="Y2479" s="25"/>
      <c r="Z2479" s="75"/>
      <c r="AA2479" s="3" t="str">
        <f>IF(BCP_Soles[[#This Row],[fecha]]&gt;0,TEXT(BCP_Soles[[#This Row],[fecha]],"mmmm"),0)</f>
        <v>Julio</v>
      </c>
    </row>
    <row r="2480" spans="1:27" x14ac:dyDescent="0.3">
      <c r="A2480" s="2">
        <f>IF(BCP_Soles[[#This Row],[tipo_registro]]="R",COUNTIFS($C$1:$C2479,"R")+1,A2479)</f>
        <v>1808</v>
      </c>
      <c r="B2480" s="19" t="str">
        <f t="shared" si="201"/>
        <v>B-BCP - Soles</v>
      </c>
      <c r="C2480" s="3" t="s">
        <v>1330</v>
      </c>
      <c r="D2480" s="14">
        <v>45845</v>
      </c>
      <c r="E2480" s="5" t="s">
        <v>1345</v>
      </c>
      <c r="F2480" s="5" t="s">
        <v>1303</v>
      </c>
      <c r="G2480" s="6" t="s">
        <v>425</v>
      </c>
      <c r="H2480" s="6"/>
      <c r="I2480" s="6"/>
      <c r="J2480" s="6"/>
      <c r="K2480" s="7" t="s">
        <v>3737</v>
      </c>
      <c r="L2480" s="8">
        <v>2263918</v>
      </c>
      <c r="M2480" s="8" t="str">
        <f t="shared" si="202"/>
        <v>PEN</v>
      </c>
      <c r="N2480" s="13"/>
      <c r="O2480" s="13">
        <v>8890</v>
      </c>
      <c r="P2480" s="3">
        <f t="shared" si="203"/>
        <v>8890</v>
      </c>
      <c r="Q2480" s="3">
        <f t="shared" si="204"/>
        <v>0</v>
      </c>
      <c r="R2480" s="3">
        <f t="shared" si="200"/>
        <v>25084.690000000039</v>
      </c>
      <c r="S2480" s="24"/>
      <c r="T2480" s="24"/>
      <c r="U2480" s="55"/>
      <c r="V2480" s="25">
        <f>IFERROR(VLOOKUP(BCP_Soles[[#This Row],[destinatario]],CHOOSE({1,2},Clientes_Proveedores[Razon Social],Clientes_Proveedores[Ruc / Dni]),2,0),"")</f>
        <v>20558226979</v>
      </c>
      <c r="W2480" s="25"/>
      <c r="X2480" s="25"/>
      <c r="Y2480" s="25"/>
      <c r="Z2480" s="75"/>
      <c r="AA2480" s="3" t="str">
        <f>IF(BCP_Soles[[#This Row],[fecha]]&gt;0,TEXT(BCP_Soles[[#This Row],[fecha]],"mmmm"),0)</f>
        <v>Julio</v>
      </c>
    </row>
    <row r="2481" spans="1:27" ht="36" x14ac:dyDescent="0.3">
      <c r="A2481" s="2">
        <f>IF(BCP_Soles[[#This Row],[tipo_registro]]="R",COUNTIFS($C$1:$C2480,"R")+1,A2480)</f>
        <v>1809</v>
      </c>
      <c r="B2481" s="19" t="str">
        <f t="shared" si="201"/>
        <v>B-BCP - Soles</v>
      </c>
      <c r="C2481" s="3" t="s">
        <v>1330</v>
      </c>
      <c r="D2481" s="14">
        <v>45845</v>
      </c>
      <c r="E2481" s="5" t="s">
        <v>555</v>
      </c>
      <c r="F2481" s="5" t="s">
        <v>1303</v>
      </c>
      <c r="G2481" s="6" t="s">
        <v>425</v>
      </c>
      <c r="H2481" s="6"/>
      <c r="I2481" s="6"/>
      <c r="J2481" s="6"/>
      <c r="K2481" s="7" t="s">
        <v>3379</v>
      </c>
      <c r="L2481" s="8">
        <v>6572652</v>
      </c>
      <c r="M2481" s="8" t="str">
        <f t="shared" si="202"/>
        <v>PEN</v>
      </c>
      <c r="N2481" s="13"/>
      <c r="O2481" s="13">
        <v>4345.9399999999996</v>
      </c>
      <c r="P2481" s="3">
        <f t="shared" si="203"/>
        <v>4345.9399999999996</v>
      </c>
      <c r="Q2481" s="3">
        <f t="shared" si="204"/>
        <v>0</v>
      </c>
      <c r="R2481" s="3">
        <f t="shared" si="200"/>
        <v>29430.630000000037</v>
      </c>
      <c r="S2481" s="24" t="s">
        <v>1334</v>
      </c>
      <c r="T2481" s="24" t="s">
        <v>1334</v>
      </c>
      <c r="U2481" s="55"/>
      <c r="V2481" s="25">
        <f>IFERROR(VLOOKUP(BCP_Soles[[#This Row],[destinatario]],CHOOSE({1,2},Clientes_Proveedores[Razon Social],Clientes_Proveedores[Ruc / Dni]),2,0),"")</f>
        <v>20558226979</v>
      </c>
      <c r="W2481" s="25"/>
      <c r="X2481" s="25"/>
      <c r="Y2481" s="25"/>
      <c r="Z2481" s="75"/>
      <c r="AA2481" s="3" t="str">
        <f>IF(BCP_Soles[[#This Row],[fecha]]&gt;0,TEXT(BCP_Soles[[#This Row],[fecha]],"mmmm"),0)</f>
        <v>Julio</v>
      </c>
    </row>
    <row r="2482" spans="1:27" ht="36" x14ac:dyDescent="0.3">
      <c r="A2482" s="2">
        <f>IF(BCP_Soles[[#This Row],[tipo_registro]]="R",COUNTIFS($C$1:$C2481,"R")+1,A2481)</f>
        <v>1809</v>
      </c>
      <c r="B2482" s="19" t="str">
        <f t="shared" si="201"/>
        <v>B-BCP - Soles</v>
      </c>
      <c r="C2482" s="3" t="s">
        <v>1352</v>
      </c>
      <c r="D2482" s="14">
        <v>45845</v>
      </c>
      <c r="E2482" s="5" t="s">
        <v>555</v>
      </c>
      <c r="F2482" s="5"/>
      <c r="G2482" s="6" t="s">
        <v>425</v>
      </c>
      <c r="H2482" s="6" t="s">
        <v>68</v>
      </c>
      <c r="I2482" s="6" t="s">
        <v>3381</v>
      </c>
      <c r="J2482" s="6">
        <v>29</v>
      </c>
      <c r="K2482" s="7" t="s">
        <v>3379</v>
      </c>
      <c r="L2482" s="8">
        <v>6572652</v>
      </c>
      <c r="M2482" s="8" t="str">
        <f t="shared" si="202"/>
        <v>PEN</v>
      </c>
      <c r="N2482" s="13">
        <v>1332.04</v>
      </c>
      <c r="O2482" s="13"/>
      <c r="P2482" s="3">
        <f t="shared" si="203"/>
        <v>0</v>
      </c>
      <c r="Q2482" s="3">
        <f t="shared" si="204"/>
        <v>0</v>
      </c>
      <c r="R2482" s="3">
        <f t="shared" si="200"/>
        <v>29430.630000000037</v>
      </c>
      <c r="S2482" s="24" t="s">
        <v>1334</v>
      </c>
      <c r="T2482" s="24" t="s">
        <v>1334</v>
      </c>
      <c r="U2482" s="55"/>
      <c r="V2482" s="25">
        <f>IFERROR(VLOOKUP(BCP_Soles[[#This Row],[destinatario]],CHOOSE({1,2},Clientes_Proveedores[Razon Social],Clientes_Proveedores[Ruc / Dni]),2,0),"")</f>
        <v>20558226979</v>
      </c>
      <c r="W2482" s="25"/>
      <c r="X2482" s="25"/>
      <c r="Y2482" s="25"/>
      <c r="Z2482" s="75"/>
      <c r="AA2482" s="3" t="str">
        <f>IF(BCP_Soles[[#This Row],[fecha]]&gt;0,TEXT(BCP_Soles[[#This Row],[fecha]],"mmmm"),0)</f>
        <v>Julio</v>
      </c>
    </row>
    <row r="2483" spans="1:27" ht="36" x14ac:dyDescent="0.3">
      <c r="A2483" s="2">
        <f>IF(BCP_Soles[[#This Row],[tipo_registro]]="R",COUNTIFS($C$1:$C2482,"R")+1,A2482)</f>
        <v>1809</v>
      </c>
      <c r="B2483" s="19" t="str">
        <f t="shared" si="201"/>
        <v>B-BCP - Soles</v>
      </c>
      <c r="C2483" s="3" t="s">
        <v>1352</v>
      </c>
      <c r="D2483" s="14">
        <v>45845</v>
      </c>
      <c r="E2483" s="5" t="s">
        <v>555</v>
      </c>
      <c r="F2483" s="5"/>
      <c r="G2483" s="6" t="s">
        <v>425</v>
      </c>
      <c r="H2483" s="6" t="s">
        <v>68</v>
      </c>
      <c r="I2483" s="6" t="s">
        <v>3381</v>
      </c>
      <c r="J2483" s="6">
        <v>32</v>
      </c>
      <c r="K2483" s="7" t="s">
        <v>3379</v>
      </c>
      <c r="L2483" s="8">
        <v>6572652</v>
      </c>
      <c r="M2483" s="8" t="str">
        <f t="shared" si="202"/>
        <v>PEN</v>
      </c>
      <c r="N2483" s="13">
        <v>682.4</v>
      </c>
      <c r="O2483" s="13"/>
      <c r="P2483" s="3">
        <f t="shared" si="203"/>
        <v>0</v>
      </c>
      <c r="Q2483" s="3">
        <f t="shared" si="204"/>
        <v>0</v>
      </c>
      <c r="R2483" s="3">
        <f t="shared" si="200"/>
        <v>29430.630000000037</v>
      </c>
      <c r="S2483" s="24" t="s">
        <v>1334</v>
      </c>
      <c r="T2483" s="24" t="s">
        <v>1334</v>
      </c>
      <c r="U2483" s="55"/>
      <c r="V2483" s="25">
        <f>IFERROR(VLOOKUP(BCP_Soles[[#This Row],[destinatario]],CHOOSE({1,2},Clientes_Proveedores[Razon Social],Clientes_Proveedores[Ruc / Dni]),2,0),"")</f>
        <v>20558226979</v>
      </c>
      <c r="W2483" s="25"/>
      <c r="X2483" s="25"/>
      <c r="Y2483" s="25"/>
      <c r="Z2483" s="75"/>
      <c r="AA2483" s="3" t="str">
        <f>IF(BCP_Soles[[#This Row],[fecha]]&gt;0,TEXT(BCP_Soles[[#This Row],[fecha]],"mmmm"),0)</f>
        <v>Julio</v>
      </c>
    </row>
    <row r="2484" spans="1:27" ht="36" x14ac:dyDescent="0.3">
      <c r="A2484" s="2">
        <f>IF(BCP_Soles[[#This Row],[tipo_registro]]="R",COUNTIFS($C$1:$C2483,"R")+1,A2483)</f>
        <v>1809</v>
      </c>
      <c r="B2484" s="19" t="str">
        <f t="shared" si="201"/>
        <v>B-BCP - Soles</v>
      </c>
      <c r="C2484" s="3" t="s">
        <v>1352</v>
      </c>
      <c r="D2484" s="14">
        <v>45845</v>
      </c>
      <c r="E2484" s="5" t="s">
        <v>555</v>
      </c>
      <c r="F2484" s="5"/>
      <c r="G2484" s="6" t="s">
        <v>425</v>
      </c>
      <c r="H2484" s="6" t="s">
        <v>68</v>
      </c>
      <c r="I2484" s="6" t="s">
        <v>3381</v>
      </c>
      <c r="J2484" s="6">
        <v>42</v>
      </c>
      <c r="K2484" s="7" t="s">
        <v>3379</v>
      </c>
      <c r="L2484" s="8">
        <v>6572652</v>
      </c>
      <c r="M2484" s="8" t="str">
        <f t="shared" si="202"/>
        <v>PEN</v>
      </c>
      <c r="N2484" s="13">
        <v>2331.5</v>
      </c>
      <c r="O2484" s="13"/>
      <c r="P2484" s="3">
        <f t="shared" si="203"/>
        <v>0</v>
      </c>
      <c r="Q2484" s="3">
        <f t="shared" si="204"/>
        <v>0</v>
      </c>
      <c r="R2484" s="3">
        <f t="shared" si="200"/>
        <v>29430.630000000037</v>
      </c>
      <c r="S2484" s="24" t="s">
        <v>1334</v>
      </c>
      <c r="T2484" s="24" t="s">
        <v>1334</v>
      </c>
      <c r="U2484" s="55"/>
      <c r="V2484" s="25">
        <f>IFERROR(VLOOKUP(BCP_Soles[[#This Row],[destinatario]],CHOOSE({1,2},Clientes_Proveedores[Razon Social],Clientes_Proveedores[Ruc / Dni]),2,0),"")</f>
        <v>20558226979</v>
      </c>
      <c r="W2484" s="25"/>
      <c r="X2484" s="25"/>
      <c r="Y2484" s="25"/>
      <c r="Z2484" s="75"/>
      <c r="AA2484" s="3" t="str">
        <f>IF(BCP_Soles[[#This Row],[fecha]]&gt;0,TEXT(BCP_Soles[[#This Row],[fecha]],"mmmm"),0)</f>
        <v>Julio</v>
      </c>
    </row>
    <row r="2485" spans="1:27" x14ac:dyDescent="0.3">
      <c r="A2485" s="2">
        <f>IF(BCP_Soles[[#This Row],[tipo_registro]]="R",COUNTIFS($C$1:$C2484,"R")+1,A2484)</f>
        <v>1810</v>
      </c>
      <c r="B2485" s="19" t="str">
        <f t="shared" si="201"/>
        <v>B-BCP - Soles</v>
      </c>
      <c r="C2485" s="3" t="s">
        <v>1330</v>
      </c>
      <c r="D2485" s="14">
        <v>45845</v>
      </c>
      <c r="E2485" s="5" t="s">
        <v>551</v>
      </c>
      <c r="F2485" s="5" t="s">
        <v>1303</v>
      </c>
      <c r="G2485" s="6" t="s">
        <v>425</v>
      </c>
      <c r="H2485" s="6" t="s">
        <v>68</v>
      </c>
      <c r="I2485" s="6" t="s">
        <v>3736</v>
      </c>
      <c r="J2485" s="6">
        <v>8</v>
      </c>
      <c r="K2485" s="7" t="s">
        <v>1356</v>
      </c>
      <c r="L2485" s="8">
        <v>2436353</v>
      </c>
      <c r="M2485" s="8" t="str">
        <f t="shared" si="202"/>
        <v>PEN</v>
      </c>
      <c r="N2485" s="13"/>
      <c r="O2485" s="13">
        <v>3540</v>
      </c>
      <c r="P2485" s="3">
        <f t="shared" si="203"/>
        <v>3540</v>
      </c>
      <c r="Q2485" s="3">
        <f t="shared" si="204"/>
        <v>0</v>
      </c>
      <c r="R2485" s="3">
        <f t="shared" si="200"/>
        <v>32970.630000000034</v>
      </c>
      <c r="S2485" s="24" t="s">
        <v>1334</v>
      </c>
      <c r="T2485" s="24" t="s">
        <v>1334</v>
      </c>
      <c r="U2485" s="55"/>
      <c r="V2485" s="25">
        <f>IFERROR(VLOOKUP(BCP_Soles[[#This Row],[destinatario]],CHOOSE({1,2},Clientes_Proveedores[Razon Social],Clientes_Proveedores[Ruc / Dni]),2,0),"")</f>
        <v>20558226979</v>
      </c>
      <c r="W2485" s="25"/>
      <c r="X2485" s="25"/>
      <c r="Y2485" s="25"/>
      <c r="Z2485" s="75"/>
      <c r="AA2485" s="3" t="str">
        <f>IF(BCP_Soles[[#This Row],[fecha]]&gt;0,TEXT(BCP_Soles[[#This Row],[fecha]],"mmmm"),0)</f>
        <v>Julio</v>
      </c>
    </row>
    <row r="2486" spans="1:27" x14ac:dyDescent="0.3">
      <c r="A2486" s="2">
        <f>IF(BCP_Soles[[#This Row],[tipo_registro]]="R",COUNTIFS($C$1:$C2485,"R")+1,A2485)</f>
        <v>1811</v>
      </c>
      <c r="B2486" s="19" t="str">
        <f t="shared" si="201"/>
        <v>B-BCP - Soles</v>
      </c>
      <c r="C2486" s="3" t="s">
        <v>1330</v>
      </c>
      <c r="D2486" s="14">
        <v>45845</v>
      </c>
      <c r="E2486" s="5" t="s">
        <v>551</v>
      </c>
      <c r="F2486" s="5" t="s">
        <v>1303</v>
      </c>
      <c r="G2486" s="6" t="s">
        <v>425</v>
      </c>
      <c r="H2486" s="6" t="s">
        <v>68</v>
      </c>
      <c r="I2486" s="6" t="s">
        <v>3736</v>
      </c>
      <c r="J2486" s="6">
        <v>7</v>
      </c>
      <c r="K2486" s="7" t="s">
        <v>1356</v>
      </c>
      <c r="L2486" s="8">
        <v>2398660</v>
      </c>
      <c r="M2486" s="8" t="str">
        <f t="shared" si="202"/>
        <v>PEN</v>
      </c>
      <c r="N2486" s="13"/>
      <c r="O2486" s="13">
        <v>1770</v>
      </c>
      <c r="P2486" s="3">
        <f t="shared" si="203"/>
        <v>1770</v>
      </c>
      <c r="Q2486" s="3">
        <f t="shared" si="204"/>
        <v>0</v>
      </c>
      <c r="R2486" s="3">
        <f t="shared" si="200"/>
        <v>34740.630000000034</v>
      </c>
      <c r="S2486" s="24" t="s">
        <v>1334</v>
      </c>
      <c r="T2486" s="24" t="s">
        <v>1334</v>
      </c>
      <c r="U2486" s="55"/>
      <c r="V2486" s="25">
        <f>IFERROR(VLOOKUP(BCP_Soles[[#This Row],[destinatario]],CHOOSE({1,2},Clientes_Proveedores[Razon Social],Clientes_Proveedores[Ruc / Dni]),2,0),"")</f>
        <v>20558226979</v>
      </c>
      <c r="W2486" s="25"/>
      <c r="X2486" s="25"/>
      <c r="Y2486" s="25"/>
      <c r="Z2486" s="75"/>
      <c r="AA2486" s="3" t="str">
        <f>IF(BCP_Soles[[#This Row],[fecha]]&gt;0,TEXT(BCP_Soles[[#This Row],[fecha]],"mmmm"),0)</f>
        <v>Julio</v>
      </c>
    </row>
    <row r="2487" spans="1:27" ht="60" x14ac:dyDescent="0.3">
      <c r="A2487" s="2">
        <f>IF(BCP_Soles[[#This Row],[tipo_registro]]="R",COUNTIFS($C$1:$C2486,"R")+1,A2486)</f>
        <v>1812</v>
      </c>
      <c r="B2487" s="19" t="str">
        <f t="shared" si="201"/>
        <v>B-BCP - Soles</v>
      </c>
      <c r="C2487" s="3" t="s">
        <v>1330</v>
      </c>
      <c r="D2487" s="14">
        <v>45845</v>
      </c>
      <c r="E2487" s="5" t="s">
        <v>295</v>
      </c>
      <c r="F2487" s="5" t="s">
        <v>1303</v>
      </c>
      <c r="G2487" s="6" t="s">
        <v>425</v>
      </c>
      <c r="H2487" s="6" t="s">
        <v>68</v>
      </c>
      <c r="I2487" s="6" t="s">
        <v>3302</v>
      </c>
      <c r="J2487" s="6">
        <v>71</v>
      </c>
      <c r="K2487" s="7" t="s">
        <v>1428</v>
      </c>
      <c r="L2487" s="8">
        <v>2148254</v>
      </c>
      <c r="M2487" s="8" t="str">
        <f t="shared" si="202"/>
        <v>PEN</v>
      </c>
      <c r="N2487" s="13"/>
      <c r="O2487" s="13">
        <v>534.35</v>
      </c>
      <c r="P2487" s="3">
        <f t="shared" si="203"/>
        <v>534.35</v>
      </c>
      <c r="Q2487" s="3">
        <f t="shared" si="204"/>
        <v>0</v>
      </c>
      <c r="R2487" s="3">
        <f t="shared" si="200"/>
        <v>35274.980000000032</v>
      </c>
      <c r="S2487" s="24" t="s">
        <v>1334</v>
      </c>
      <c r="T2487" s="24" t="s">
        <v>1334</v>
      </c>
      <c r="U2487" s="55"/>
      <c r="V2487" s="25">
        <f>IFERROR(VLOOKUP(BCP_Soles[[#This Row],[destinatario]],CHOOSE({1,2},Clientes_Proveedores[Razon Social],Clientes_Proveedores[Ruc / Dni]),2,0),"")</f>
        <v>20558226979</v>
      </c>
      <c r="W2487" s="25"/>
      <c r="X2487" s="25"/>
      <c r="Y2487" s="25"/>
      <c r="Z2487" s="75"/>
      <c r="AA2487" s="3" t="str">
        <f>IF(BCP_Soles[[#This Row],[fecha]]&gt;0,TEXT(BCP_Soles[[#This Row],[fecha]],"mmmm"),0)</f>
        <v>Julio</v>
      </c>
    </row>
    <row r="2488" spans="1:27" x14ac:dyDescent="0.3">
      <c r="A2488" s="2">
        <f>IF(BCP_Soles[[#This Row],[tipo_registro]]="R",COUNTIFS($C$1:$C2487,"R")+1,A2487)</f>
        <v>1813</v>
      </c>
      <c r="B2488" s="19" t="str">
        <f t="shared" si="201"/>
        <v>B-BCP - Soles</v>
      </c>
      <c r="C2488" s="3" t="s">
        <v>1330</v>
      </c>
      <c r="D2488" s="14">
        <v>45845</v>
      </c>
      <c r="E2488" s="5" t="s">
        <v>1331</v>
      </c>
      <c r="F2488" s="5" t="s">
        <v>1336</v>
      </c>
      <c r="G2488" s="6" t="s">
        <v>196</v>
      </c>
      <c r="H2488" s="6" t="s">
        <v>68</v>
      </c>
      <c r="I2488" s="6" t="s">
        <v>2226</v>
      </c>
      <c r="J2488" s="6">
        <v>6553</v>
      </c>
      <c r="K2488" s="7" t="s">
        <v>2227</v>
      </c>
      <c r="L2488" s="8">
        <v>262946</v>
      </c>
      <c r="M2488" s="8" t="str">
        <f t="shared" si="202"/>
        <v>PEN</v>
      </c>
      <c r="N2488" s="13"/>
      <c r="O2488" s="13">
        <v>103.07</v>
      </c>
      <c r="P2488" s="3">
        <f t="shared" si="203"/>
        <v>0</v>
      </c>
      <c r="Q2488" s="3">
        <f t="shared" si="204"/>
        <v>103.07</v>
      </c>
      <c r="R2488" s="3">
        <f t="shared" si="200"/>
        <v>35171.910000000033</v>
      </c>
      <c r="S2488" s="24" t="s">
        <v>1334</v>
      </c>
      <c r="T2488" s="24" t="s">
        <v>1334</v>
      </c>
      <c r="U2488" s="80" t="s">
        <v>3738</v>
      </c>
      <c r="V2488" s="25">
        <f>IFERROR(VLOOKUP(BCP_Soles[[#This Row],[destinatario]],CHOOSE({1,2},Clientes_Proveedores[Razon Social],Clientes_Proveedores[Ruc / Dni]),2,0),"")</f>
        <v>20100055237</v>
      </c>
      <c r="W2488" s="25"/>
      <c r="X2488" s="25"/>
      <c r="Y2488" s="25"/>
      <c r="Z2488" s="75"/>
      <c r="AA2488" s="3" t="str">
        <f>IF(BCP_Soles[[#This Row],[fecha]]&gt;0,TEXT(BCP_Soles[[#This Row],[fecha]],"mmmm"),0)</f>
        <v>Julio</v>
      </c>
    </row>
    <row r="2489" spans="1:27" x14ac:dyDescent="0.3">
      <c r="A2489" s="2">
        <f>IF(BCP_Soles[[#This Row],[tipo_registro]]="R",COUNTIFS($C$1:$C2488,"R")+1,A2488)</f>
        <v>1814</v>
      </c>
      <c r="B2489" s="19" t="str">
        <f t="shared" si="201"/>
        <v>B-BCP - Soles</v>
      </c>
      <c r="C2489" s="3" t="s">
        <v>1330</v>
      </c>
      <c r="D2489" s="14">
        <v>45845</v>
      </c>
      <c r="E2489" s="5" t="s">
        <v>1331</v>
      </c>
      <c r="F2489" s="5" t="s">
        <v>1336</v>
      </c>
      <c r="G2489" s="6" t="s">
        <v>196</v>
      </c>
      <c r="H2489" s="6" t="s">
        <v>68</v>
      </c>
      <c r="I2489" s="6" t="s">
        <v>2226</v>
      </c>
      <c r="J2489" s="6">
        <v>6555</v>
      </c>
      <c r="K2489" s="7" t="s">
        <v>2227</v>
      </c>
      <c r="L2489" s="8">
        <v>263912</v>
      </c>
      <c r="M2489" s="8" t="str">
        <f t="shared" si="202"/>
        <v>PEN</v>
      </c>
      <c r="N2489" s="13"/>
      <c r="O2489" s="13">
        <v>57.85</v>
      </c>
      <c r="P2489" s="3">
        <f t="shared" si="203"/>
        <v>0</v>
      </c>
      <c r="Q2489" s="3">
        <f t="shared" si="204"/>
        <v>57.85</v>
      </c>
      <c r="R2489" s="3">
        <f t="shared" si="200"/>
        <v>35114.060000000034</v>
      </c>
      <c r="S2489" s="24" t="s">
        <v>1334</v>
      </c>
      <c r="T2489" s="24" t="s">
        <v>1334</v>
      </c>
      <c r="U2489" s="80" t="s">
        <v>3739</v>
      </c>
      <c r="V2489" s="25">
        <f>IFERROR(VLOOKUP(BCP_Soles[[#This Row],[destinatario]],CHOOSE({1,2},Clientes_Proveedores[Razon Social],Clientes_Proveedores[Ruc / Dni]),2,0),"")</f>
        <v>20100055237</v>
      </c>
      <c r="W2489" s="25"/>
      <c r="X2489" s="25"/>
      <c r="Y2489" s="25"/>
      <c r="Z2489" s="75"/>
      <c r="AA2489" s="3" t="str">
        <f>IF(BCP_Soles[[#This Row],[fecha]]&gt;0,TEXT(BCP_Soles[[#This Row],[fecha]],"mmmm"),0)</f>
        <v>Julio</v>
      </c>
    </row>
    <row r="2490" spans="1:27" x14ac:dyDescent="0.3">
      <c r="A2490" s="2">
        <f>IF(BCP_Soles[[#This Row],[tipo_registro]]="R",COUNTIFS($C$1:$C2489,"R")+1,A2489)</f>
        <v>1815</v>
      </c>
      <c r="B2490" s="19" t="str">
        <f t="shared" si="201"/>
        <v>B-BCP - Soles</v>
      </c>
      <c r="C2490" s="3" t="s">
        <v>1330</v>
      </c>
      <c r="D2490" s="14">
        <v>45845</v>
      </c>
      <c r="E2490" s="5" t="s">
        <v>1331</v>
      </c>
      <c r="F2490" s="5" t="s">
        <v>1336</v>
      </c>
      <c r="G2490" s="6" t="s">
        <v>196</v>
      </c>
      <c r="H2490" s="6" t="s">
        <v>68</v>
      </c>
      <c r="I2490" s="6" t="s">
        <v>2226</v>
      </c>
      <c r="J2490" s="6">
        <v>6554</v>
      </c>
      <c r="K2490" s="7" t="s">
        <v>2227</v>
      </c>
      <c r="L2490" s="8">
        <v>261000</v>
      </c>
      <c r="M2490" s="8" t="str">
        <f t="shared" si="202"/>
        <v>PEN</v>
      </c>
      <c r="N2490" s="13"/>
      <c r="O2490" s="13">
        <v>487.48</v>
      </c>
      <c r="P2490" s="3">
        <f t="shared" si="203"/>
        <v>0</v>
      </c>
      <c r="Q2490" s="3">
        <f t="shared" si="204"/>
        <v>487.48</v>
      </c>
      <c r="R2490" s="3">
        <f t="shared" si="200"/>
        <v>34626.580000000031</v>
      </c>
      <c r="S2490" s="24" t="s">
        <v>1334</v>
      </c>
      <c r="T2490" s="24" t="s">
        <v>1334</v>
      </c>
      <c r="U2490" s="80" t="s">
        <v>3740</v>
      </c>
      <c r="V2490" s="25">
        <f>IFERROR(VLOOKUP(BCP_Soles[[#This Row],[destinatario]],CHOOSE({1,2},Clientes_Proveedores[Razon Social],Clientes_Proveedores[Ruc / Dni]),2,0),"")</f>
        <v>20100055237</v>
      </c>
      <c r="W2490" s="25"/>
      <c r="X2490" s="25"/>
      <c r="Y2490" s="25"/>
      <c r="Z2490" s="75"/>
      <c r="AA2490" s="3" t="str">
        <f>IF(BCP_Soles[[#This Row],[fecha]]&gt;0,TEXT(BCP_Soles[[#This Row],[fecha]],"mmmm"),0)</f>
        <v>Julio</v>
      </c>
    </row>
    <row r="2491" spans="1:27" x14ac:dyDescent="0.3">
      <c r="A2491" s="2">
        <f>IF(BCP_Soles[[#This Row],[tipo_registro]]="R",COUNTIFS($C$1:$C2490,"R")+1,A2490)</f>
        <v>1816</v>
      </c>
      <c r="B2491" s="19" t="str">
        <f t="shared" si="201"/>
        <v>B-BCP - Soles</v>
      </c>
      <c r="C2491" s="3" t="s">
        <v>1330</v>
      </c>
      <c r="D2491" s="14">
        <v>45845</v>
      </c>
      <c r="E2491" s="5" t="s">
        <v>1331</v>
      </c>
      <c r="F2491" s="5" t="s">
        <v>1336</v>
      </c>
      <c r="G2491" s="6" t="s">
        <v>196</v>
      </c>
      <c r="H2491" s="6" t="s">
        <v>68</v>
      </c>
      <c r="I2491" s="6" t="s">
        <v>2226</v>
      </c>
      <c r="J2491" s="6">
        <v>6557</v>
      </c>
      <c r="K2491" s="7" t="s">
        <v>2227</v>
      </c>
      <c r="L2491" s="8">
        <v>260999</v>
      </c>
      <c r="M2491" s="8" t="str">
        <f t="shared" si="202"/>
        <v>PEN</v>
      </c>
      <c r="N2491" s="13"/>
      <c r="O2491" s="13">
        <v>129.22</v>
      </c>
      <c r="P2491" s="3">
        <f t="shared" si="203"/>
        <v>0</v>
      </c>
      <c r="Q2491" s="3">
        <f t="shared" si="204"/>
        <v>129.22</v>
      </c>
      <c r="R2491" s="3">
        <f t="shared" si="200"/>
        <v>34497.36000000003</v>
      </c>
      <c r="S2491" s="24" t="s">
        <v>1334</v>
      </c>
      <c r="T2491" s="24" t="s">
        <v>1334</v>
      </c>
      <c r="U2491" s="80" t="s">
        <v>3741</v>
      </c>
      <c r="V2491" s="25">
        <f>IFERROR(VLOOKUP(BCP_Soles[[#This Row],[destinatario]],CHOOSE({1,2},Clientes_Proveedores[Razon Social],Clientes_Proveedores[Ruc / Dni]),2,0),"")</f>
        <v>20100055237</v>
      </c>
      <c r="W2491" s="25"/>
      <c r="X2491" s="25"/>
      <c r="Y2491" s="25"/>
      <c r="Z2491" s="75"/>
      <c r="AA2491" s="3" t="str">
        <f>IF(BCP_Soles[[#This Row],[fecha]]&gt;0,TEXT(BCP_Soles[[#This Row],[fecha]],"mmmm"),0)</f>
        <v>Julio</v>
      </c>
    </row>
    <row r="2492" spans="1:27" x14ac:dyDescent="0.3">
      <c r="A2492" s="2">
        <f>IF(BCP_Soles[[#This Row],[tipo_registro]]="R",COUNTIFS($C$1:$C2491,"R")+1,A2491)</f>
        <v>1817</v>
      </c>
      <c r="B2492" s="19" t="str">
        <f t="shared" si="201"/>
        <v>B-BCP - Soles</v>
      </c>
      <c r="C2492" s="3" t="s">
        <v>1330</v>
      </c>
      <c r="D2492" s="14">
        <v>45845</v>
      </c>
      <c r="E2492" s="5" t="s">
        <v>1331</v>
      </c>
      <c r="F2492" s="5" t="s">
        <v>1336</v>
      </c>
      <c r="G2492" s="6" t="s">
        <v>196</v>
      </c>
      <c r="H2492" s="6" t="s">
        <v>68</v>
      </c>
      <c r="I2492" s="6" t="s">
        <v>2226</v>
      </c>
      <c r="J2492" s="6">
        <v>6556</v>
      </c>
      <c r="K2492" s="7" t="s">
        <v>2227</v>
      </c>
      <c r="L2492" s="8">
        <v>262437</v>
      </c>
      <c r="M2492" s="8" t="str">
        <f t="shared" si="202"/>
        <v>PEN</v>
      </c>
      <c r="N2492" s="13"/>
      <c r="O2492" s="13">
        <v>5.37</v>
      </c>
      <c r="P2492" s="3">
        <f t="shared" si="203"/>
        <v>0</v>
      </c>
      <c r="Q2492" s="3">
        <f t="shared" si="204"/>
        <v>5.37</v>
      </c>
      <c r="R2492" s="3">
        <f t="shared" si="200"/>
        <v>34491.990000000027</v>
      </c>
      <c r="S2492" s="24" t="s">
        <v>1334</v>
      </c>
      <c r="T2492" s="24" t="s">
        <v>1334</v>
      </c>
      <c r="U2492" s="80" t="s">
        <v>3742</v>
      </c>
      <c r="V2492" s="25">
        <f>IFERROR(VLOOKUP(BCP_Soles[[#This Row],[destinatario]],CHOOSE({1,2},Clientes_Proveedores[Razon Social],Clientes_Proveedores[Ruc / Dni]),2,0),"")</f>
        <v>20100055237</v>
      </c>
      <c r="W2492" s="25"/>
      <c r="X2492" s="25"/>
      <c r="Y2492" s="25"/>
      <c r="Z2492" s="75"/>
      <c r="AA2492" s="3" t="str">
        <f>IF(BCP_Soles[[#This Row],[fecha]]&gt;0,TEXT(BCP_Soles[[#This Row],[fecha]],"mmmm"),0)</f>
        <v>Julio</v>
      </c>
    </row>
    <row r="2493" spans="1:27" x14ac:dyDescent="0.3">
      <c r="A2493" s="2">
        <f>IF(BCP_Soles[[#This Row],[tipo_registro]]="R",COUNTIFS($C$1:$C2492,"R")+1,A2492)</f>
        <v>1818</v>
      </c>
      <c r="B2493" s="19" t="str">
        <f t="shared" si="201"/>
        <v>B-BCP - Soles</v>
      </c>
      <c r="C2493" s="3" t="s">
        <v>1330</v>
      </c>
      <c r="D2493" s="14">
        <v>45845</v>
      </c>
      <c r="E2493" s="5" t="s">
        <v>1331</v>
      </c>
      <c r="F2493" s="5" t="s">
        <v>1336</v>
      </c>
      <c r="G2493" s="6" t="s">
        <v>196</v>
      </c>
      <c r="H2493" s="6" t="s">
        <v>68</v>
      </c>
      <c r="I2493" s="6" t="s">
        <v>2226</v>
      </c>
      <c r="J2493" s="6">
        <v>6558</v>
      </c>
      <c r="K2493" s="7" t="s">
        <v>2227</v>
      </c>
      <c r="L2493" s="8">
        <v>263435</v>
      </c>
      <c r="M2493" s="8" t="str">
        <f t="shared" si="202"/>
        <v>PEN</v>
      </c>
      <c r="N2493" s="13"/>
      <c r="O2493" s="13">
        <v>385.12</v>
      </c>
      <c r="P2493" s="3">
        <f t="shared" si="203"/>
        <v>0</v>
      </c>
      <c r="Q2493" s="3">
        <f t="shared" si="204"/>
        <v>385.12</v>
      </c>
      <c r="R2493" s="3">
        <f t="shared" si="200"/>
        <v>34106.870000000024</v>
      </c>
      <c r="S2493" s="24" t="s">
        <v>1334</v>
      </c>
      <c r="T2493" s="24" t="s">
        <v>1334</v>
      </c>
      <c r="U2493" s="80" t="s">
        <v>3743</v>
      </c>
      <c r="V2493" s="25">
        <f>IFERROR(VLOOKUP(BCP_Soles[[#This Row],[destinatario]],CHOOSE({1,2},Clientes_Proveedores[Razon Social],Clientes_Proveedores[Ruc / Dni]),2,0),"")</f>
        <v>20100055237</v>
      </c>
      <c r="W2493" s="25"/>
      <c r="X2493" s="25"/>
      <c r="Y2493" s="25"/>
      <c r="Z2493" s="75"/>
      <c r="AA2493" s="3" t="str">
        <f>IF(BCP_Soles[[#This Row],[fecha]]&gt;0,TEXT(BCP_Soles[[#This Row],[fecha]],"mmmm"),0)</f>
        <v>Julio</v>
      </c>
    </row>
    <row r="2494" spans="1:27" ht="36" x14ac:dyDescent="0.3">
      <c r="A2494" s="2">
        <f>IF(BCP_Soles[[#This Row],[tipo_registro]]="R",COUNTIFS($C$1:$C2493,"R")+1,A2493)</f>
        <v>1819</v>
      </c>
      <c r="B2494" s="19" t="str">
        <f t="shared" si="201"/>
        <v>B-BCP - Soles</v>
      </c>
      <c r="C2494" s="3" t="s">
        <v>1330</v>
      </c>
      <c r="D2494" s="14">
        <v>45845</v>
      </c>
      <c r="E2494" s="5" t="s">
        <v>1331</v>
      </c>
      <c r="F2494" s="5" t="s">
        <v>1336</v>
      </c>
      <c r="G2494" s="6" t="s">
        <v>588</v>
      </c>
      <c r="H2494" s="6" t="s">
        <v>68</v>
      </c>
      <c r="I2494" s="6" t="s">
        <v>1376</v>
      </c>
      <c r="J2494" s="6">
        <v>454</v>
      </c>
      <c r="K2494" s="7" t="s">
        <v>3744</v>
      </c>
      <c r="L2494" s="8">
        <v>1263433</v>
      </c>
      <c r="M2494" s="8" t="str">
        <f t="shared" si="202"/>
        <v>PEN</v>
      </c>
      <c r="N2494" s="13"/>
      <c r="O2494" s="13">
        <v>94.28</v>
      </c>
      <c r="P2494" s="3">
        <f t="shared" si="203"/>
        <v>0</v>
      </c>
      <c r="Q2494" s="3">
        <f t="shared" si="204"/>
        <v>94.28</v>
      </c>
      <c r="R2494" s="3">
        <f t="shared" si="200"/>
        <v>34012.590000000026</v>
      </c>
      <c r="S2494" s="24" t="s">
        <v>1334</v>
      </c>
      <c r="T2494" s="24" t="s">
        <v>1334</v>
      </c>
      <c r="U2494" s="80" t="s">
        <v>3745</v>
      </c>
      <c r="V2494" s="25">
        <f>IFERROR(VLOOKUP(BCP_Soles[[#This Row],[destinatario]],CHOOSE({1,2},Clientes_Proveedores[Razon Social],Clientes_Proveedores[Ruc / Dni]),2,0),"")</f>
        <v>20609368773</v>
      </c>
      <c r="W2494" s="25"/>
      <c r="X2494" s="25"/>
      <c r="Y2494" s="25"/>
      <c r="Z2494" s="75"/>
      <c r="AA2494" s="3" t="str">
        <f>IF(BCP_Soles[[#This Row],[fecha]]&gt;0,TEXT(BCP_Soles[[#This Row],[fecha]],"mmmm"),0)</f>
        <v>Julio</v>
      </c>
    </row>
    <row r="2495" spans="1:27" ht="24" x14ac:dyDescent="0.3">
      <c r="A2495" s="2">
        <f>IF(BCP_Soles[[#This Row],[tipo_registro]]="R",COUNTIFS($C$1:$C2494,"R")+1,A2494)</f>
        <v>1820</v>
      </c>
      <c r="B2495" s="19" t="str">
        <f t="shared" si="201"/>
        <v>B-BCP - Soles</v>
      </c>
      <c r="C2495" s="3" t="s">
        <v>1330</v>
      </c>
      <c r="D2495" s="14">
        <v>45845</v>
      </c>
      <c r="E2495" s="5" t="s">
        <v>1331</v>
      </c>
      <c r="F2495" s="5" t="s">
        <v>1336</v>
      </c>
      <c r="G2495" s="6" t="s">
        <v>845</v>
      </c>
      <c r="H2495" s="6"/>
      <c r="I2495" s="6"/>
      <c r="J2495" s="6"/>
      <c r="K2495" s="7" t="s">
        <v>3746</v>
      </c>
      <c r="L2495" s="8">
        <v>1262482</v>
      </c>
      <c r="M2495" s="8" t="str">
        <f t="shared" si="202"/>
        <v>PEN</v>
      </c>
      <c r="N2495" s="13"/>
      <c r="O2495" s="13">
        <v>20.91</v>
      </c>
      <c r="P2495" s="3">
        <f t="shared" si="203"/>
        <v>0</v>
      </c>
      <c r="Q2495" s="3">
        <f t="shared" si="204"/>
        <v>20.91</v>
      </c>
      <c r="R2495" s="3">
        <f t="shared" si="200"/>
        <v>33991.680000000022</v>
      </c>
      <c r="S2495" s="24"/>
      <c r="T2495" s="24"/>
      <c r="U2495" s="55"/>
      <c r="V2495" s="25">
        <f>IFERROR(VLOOKUP(BCP_Soles[[#This Row],[destinatario]],CHOOSE({1,2},Clientes_Proveedores[Razon Social],Clientes_Proveedores[Ruc / Dni]),2,0),"")</f>
        <v>3314131</v>
      </c>
      <c r="W2495" s="25" t="s">
        <v>845</v>
      </c>
      <c r="X2495" s="25"/>
      <c r="Y2495" s="25"/>
      <c r="Z2495" s="75"/>
      <c r="AA2495" s="3" t="str">
        <f>IF(BCP_Soles[[#This Row],[fecha]]&gt;0,TEXT(BCP_Soles[[#This Row],[fecha]],"mmmm"),0)</f>
        <v>Julio</v>
      </c>
    </row>
    <row r="2496" spans="1:27" ht="24" x14ac:dyDescent="0.3">
      <c r="A2496" s="2">
        <f>IF(BCP_Soles[[#This Row],[tipo_registro]]="R",COUNTIFS($C$1:$C2495,"R")+1,A2495)</f>
        <v>1821</v>
      </c>
      <c r="B2496" s="19" t="str">
        <f t="shared" si="201"/>
        <v>B-BCP - Soles</v>
      </c>
      <c r="C2496" s="3" t="s">
        <v>1330</v>
      </c>
      <c r="D2496" s="14">
        <v>45845</v>
      </c>
      <c r="E2496" s="5" t="s">
        <v>1331</v>
      </c>
      <c r="F2496" s="5" t="s">
        <v>1336</v>
      </c>
      <c r="G2496" s="6" t="s">
        <v>827</v>
      </c>
      <c r="H2496" s="6"/>
      <c r="I2496" s="6"/>
      <c r="J2496" s="6"/>
      <c r="K2496" s="7" t="s">
        <v>3747</v>
      </c>
      <c r="L2496" s="8">
        <v>1264551</v>
      </c>
      <c r="M2496" s="8" t="str">
        <f t="shared" si="202"/>
        <v>PEN</v>
      </c>
      <c r="N2496" s="13"/>
      <c r="O2496" s="13">
        <v>22.44</v>
      </c>
      <c r="P2496" s="3">
        <f t="shared" si="203"/>
        <v>0</v>
      </c>
      <c r="Q2496" s="3">
        <f t="shared" si="204"/>
        <v>22.44</v>
      </c>
      <c r="R2496" s="3">
        <f t="shared" si="200"/>
        <v>33969.24000000002</v>
      </c>
      <c r="S2496" s="24"/>
      <c r="T2496" s="24"/>
      <c r="U2496" s="55"/>
      <c r="V2496" s="25">
        <f>IFERROR(VLOOKUP(BCP_Soles[[#This Row],[destinatario]],CHOOSE({1,2},Clientes_Proveedores[Razon Social],Clientes_Proveedores[Ruc / Dni]),2,0),"")</f>
        <v>74600892</v>
      </c>
      <c r="W2496" s="25" t="s">
        <v>827</v>
      </c>
      <c r="X2496" s="25"/>
      <c r="Y2496" s="25"/>
      <c r="Z2496" s="75"/>
      <c r="AA2496" s="3" t="str">
        <f>IF(BCP_Soles[[#This Row],[fecha]]&gt;0,TEXT(BCP_Soles[[#This Row],[fecha]],"mmmm"),0)</f>
        <v>Julio</v>
      </c>
    </row>
    <row r="2497" spans="1:27" ht="24" x14ac:dyDescent="0.3">
      <c r="A2497" s="2">
        <f>IF(BCP_Soles[[#This Row],[tipo_registro]]="R",COUNTIFS($C$1:$C2496,"R")+1,A2496)</f>
        <v>1822</v>
      </c>
      <c r="B2497" s="19" t="str">
        <f t="shared" si="201"/>
        <v>B-BCP - Soles</v>
      </c>
      <c r="C2497" s="3" t="s">
        <v>1330</v>
      </c>
      <c r="D2497" s="14">
        <v>45845</v>
      </c>
      <c r="E2497" s="5" t="s">
        <v>1331</v>
      </c>
      <c r="F2497" s="5" t="s">
        <v>1336</v>
      </c>
      <c r="G2497" s="6" t="s">
        <v>911</v>
      </c>
      <c r="H2497" s="6"/>
      <c r="I2497" s="6"/>
      <c r="J2497" s="6"/>
      <c r="K2497" s="7" t="s">
        <v>3748</v>
      </c>
      <c r="L2497" s="8">
        <v>1263429</v>
      </c>
      <c r="M2497" s="8" t="str">
        <f t="shared" si="202"/>
        <v>PEN</v>
      </c>
      <c r="N2497" s="13"/>
      <c r="O2497" s="13">
        <v>25.53</v>
      </c>
      <c r="P2497" s="3">
        <f t="shared" si="203"/>
        <v>0</v>
      </c>
      <c r="Q2497" s="3">
        <f t="shared" si="204"/>
        <v>25.53</v>
      </c>
      <c r="R2497" s="3">
        <f t="shared" si="200"/>
        <v>33943.710000000021</v>
      </c>
      <c r="S2497" s="24"/>
      <c r="T2497" s="24"/>
      <c r="U2497" s="55"/>
      <c r="V2497" s="25">
        <f>IFERROR(VLOOKUP(BCP_Soles[[#This Row],[destinatario]],CHOOSE({1,2},Clientes_Proveedores[Razon Social],Clientes_Proveedores[Ruc / Dni]),2,0),"")</f>
        <v>72700001</v>
      </c>
      <c r="W2497" s="25" t="s">
        <v>911</v>
      </c>
      <c r="X2497" s="25"/>
      <c r="Y2497" s="25"/>
      <c r="Z2497" s="75"/>
      <c r="AA2497" s="3" t="str">
        <f>IF(BCP_Soles[[#This Row],[fecha]]&gt;0,TEXT(BCP_Soles[[#This Row],[fecha]],"mmmm"),0)</f>
        <v>Julio</v>
      </c>
    </row>
    <row r="2498" spans="1:27" ht="24" x14ac:dyDescent="0.3">
      <c r="A2498" s="2">
        <f>IF(BCP_Soles[[#This Row],[tipo_registro]]="R",COUNTIFS($C$1:$C2497,"R")+1,A2497)</f>
        <v>1823</v>
      </c>
      <c r="B2498" s="19" t="str">
        <f t="shared" si="201"/>
        <v>B-BCP - Soles</v>
      </c>
      <c r="C2498" s="3" t="s">
        <v>1330</v>
      </c>
      <c r="D2498" s="14">
        <v>45845</v>
      </c>
      <c r="E2498" s="5" t="s">
        <v>1331</v>
      </c>
      <c r="F2498" s="5" t="s">
        <v>1336</v>
      </c>
      <c r="G2498" s="6" t="s">
        <v>843</v>
      </c>
      <c r="H2498" s="6"/>
      <c r="I2498" s="6"/>
      <c r="J2498" s="6"/>
      <c r="K2498" s="7" t="s">
        <v>3749</v>
      </c>
      <c r="L2498" s="8">
        <v>1265514</v>
      </c>
      <c r="M2498" s="8" t="str">
        <f t="shared" si="202"/>
        <v>PEN</v>
      </c>
      <c r="N2498" s="13"/>
      <c r="O2498" s="13">
        <v>35.15</v>
      </c>
      <c r="P2498" s="3">
        <f t="shared" si="203"/>
        <v>0</v>
      </c>
      <c r="Q2498" s="3">
        <f t="shared" si="204"/>
        <v>35.15</v>
      </c>
      <c r="R2498" s="3">
        <f t="shared" si="200"/>
        <v>33908.560000000019</v>
      </c>
      <c r="S2498" s="24"/>
      <c r="T2498" s="24"/>
      <c r="U2498" s="55"/>
      <c r="V2498" s="25">
        <f>IFERROR(VLOOKUP(BCP_Soles[[#This Row],[destinatario]],CHOOSE({1,2},Clientes_Proveedores[Razon Social],Clientes_Proveedores[Ruc / Dni]),2,0),"")</f>
        <v>75419679</v>
      </c>
      <c r="W2498" s="25" t="s">
        <v>843</v>
      </c>
      <c r="X2498" s="25"/>
      <c r="Y2498" s="25"/>
      <c r="Z2498" s="75"/>
      <c r="AA2498" s="3" t="str">
        <f>IF(BCP_Soles[[#This Row],[fecha]]&gt;0,TEXT(BCP_Soles[[#This Row],[fecha]],"mmmm"),0)</f>
        <v>Julio</v>
      </c>
    </row>
    <row r="2499" spans="1:27" ht="24" x14ac:dyDescent="0.3">
      <c r="A2499" s="2">
        <f>IF(BCP_Soles[[#This Row],[tipo_registro]]="R",COUNTIFS($C$1:$C2498,"R")+1,A2498)</f>
        <v>1824</v>
      </c>
      <c r="B2499" s="19" t="str">
        <f t="shared" si="201"/>
        <v>B-BCP - Soles</v>
      </c>
      <c r="C2499" s="3" t="s">
        <v>1330</v>
      </c>
      <c r="D2499" s="14">
        <v>45845</v>
      </c>
      <c r="E2499" s="5" t="s">
        <v>1331</v>
      </c>
      <c r="F2499" s="5" t="s">
        <v>1336</v>
      </c>
      <c r="G2499" s="6" t="s">
        <v>788</v>
      </c>
      <c r="H2499" s="6"/>
      <c r="I2499" s="6"/>
      <c r="J2499" s="6"/>
      <c r="K2499" s="7" t="s">
        <v>3750</v>
      </c>
      <c r="L2499" s="8">
        <v>1262436</v>
      </c>
      <c r="M2499" s="8" t="str">
        <f t="shared" si="202"/>
        <v>PEN</v>
      </c>
      <c r="N2499" s="13"/>
      <c r="O2499" s="13">
        <v>60.01</v>
      </c>
      <c r="P2499" s="3">
        <f t="shared" si="203"/>
        <v>0</v>
      </c>
      <c r="Q2499" s="3">
        <f t="shared" si="204"/>
        <v>60.01</v>
      </c>
      <c r="R2499" s="3">
        <f t="shared" si="200"/>
        <v>33848.550000000017</v>
      </c>
      <c r="S2499" s="24"/>
      <c r="T2499" s="24"/>
      <c r="U2499" s="55"/>
      <c r="V2499" s="25">
        <f>IFERROR(VLOOKUP(BCP_Soles[[#This Row],[destinatario]],CHOOSE({1,2},Clientes_Proveedores[Razon Social],Clientes_Proveedores[Ruc / Dni]),2,0),"")</f>
        <v>73238347</v>
      </c>
      <c r="W2499" s="25" t="s">
        <v>788</v>
      </c>
      <c r="X2499" s="25"/>
      <c r="Y2499" s="25"/>
      <c r="Z2499" s="75"/>
      <c r="AA2499" s="3" t="str">
        <f>IF(BCP_Soles[[#This Row],[fecha]]&gt;0,TEXT(BCP_Soles[[#This Row],[fecha]],"mmmm"),0)</f>
        <v>Julio</v>
      </c>
    </row>
    <row r="2500" spans="1:27" ht="24" x14ac:dyDescent="0.3">
      <c r="A2500" s="2">
        <f>IF(BCP_Soles[[#This Row],[tipo_registro]]="R",COUNTIFS($C$1:$C2499,"R")+1,A2499)</f>
        <v>1825</v>
      </c>
      <c r="B2500" s="19" t="str">
        <f t="shared" si="201"/>
        <v>B-BCP - Soles</v>
      </c>
      <c r="C2500" s="3" t="s">
        <v>1330</v>
      </c>
      <c r="D2500" s="14">
        <v>45845</v>
      </c>
      <c r="E2500" s="5" t="s">
        <v>1331</v>
      </c>
      <c r="F2500" s="5" t="s">
        <v>1336</v>
      </c>
      <c r="G2500" s="6" t="s">
        <v>822</v>
      </c>
      <c r="H2500" s="6"/>
      <c r="I2500" s="6"/>
      <c r="J2500" s="6"/>
      <c r="K2500" s="7" t="s">
        <v>3751</v>
      </c>
      <c r="L2500" s="8">
        <v>1265515</v>
      </c>
      <c r="M2500" s="8" t="str">
        <f t="shared" si="202"/>
        <v>PEN</v>
      </c>
      <c r="N2500" s="13"/>
      <c r="O2500" s="13">
        <v>63.39</v>
      </c>
      <c r="P2500" s="3">
        <f t="shared" si="203"/>
        <v>0</v>
      </c>
      <c r="Q2500" s="3">
        <f t="shared" si="204"/>
        <v>63.39</v>
      </c>
      <c r="R2500" s="3">
        <f t="shared" si="200"/>
        <v>33785.160000000018</v>
      </c>
      <c r="S2500" s="24"/>
      <c r="T2500" s="24"/>
      <c r="U2500" s="55"/>
      <c r="V2500" s="25">
        <f>IFERROR(VLOOKUP(BCP_Soles[[#This Row],[destinatario]],CHOOSE({1,2},Clientes_Proveedores[Razon Social],Clientes_Proveedores[Ruc / Dni]),2,0),"")</f>
        <v>73880313</v>
      </c>
      <c r="W2500" s="25" t="s">
        <v>822</v>
      </c>
      <c r="X2500" s="25"/>
      <c r="Y2500" s="25"/>
      <c r="Z2500" s="75"/>
      <c r="AA2500" s="3" t="str">
        <f>IF(BCP_Soles[[#This Row],[fecha]]&gt;0,TEXT(BCP_Soles[[#This Row],[fecha]],"mmmm"),0)</f>
        <v>Julio</v>
      </c>
    </row>
    <row r="2501" spans="1:27" ht="24" x14ac:dyDescent="0.3">
      <c r="A2501" s="2">
        <f>IF(BCP_Soles[[#This Row],[tipo_registro]]="R",COUNTIFS($C$1:$C2500,"R")+1,A2500)</f>
        <v>1826</v>
      </c>
      <c r="B2501" s="19" t="str">
        <f t="shared" si="201"/>
        <v>B-BCP - Soles</v>
      </c>
      <c r="C2501" s="3" t="s">
        <v>1330</v>
      </c>
      <c r="D2501" s="14">
        <v>45845</v>
      </c>
      <c r="E2501" s="5" t="s">
        <v>1331</v>
      </c>
      <c r="F2501" s="5" t="s">
        <v>1336</v>
      </c>
      <c r="G2501" s="6" t="s">
        <v>857</v>
      </c>
      <c r="H2501" s="6"/>
      <c r="I2501" s="6"/>
      <c r="J2501" s="6"/>
      <c r="K2501" s="7" t="s">
        <v>3752</v>
      </c>
      <c r="L2501" s="8">
        <v>1263486</v>
      </c>
      <c r="M2501" s="8" t="str">
        <f t="shared" si="202"/>
        <v>PEN</v>
      </c>
      <c r="N2501" s="13"/>
      <c r="O2501" s="13">
        <v>77.88</v>
      </c>
      <c r="P2501" s="3">
        <f t="shared" si="203"/>
        <v>0</v>
      </c>
      <c r="Q2501" s="3">
        <f t="shared" si="204"/>
        <v>77.88</v>
      </c>
      <c r="R2501" s="3">
        <f t="shared" si="200"/>
        <v>33707.280000000021</v>
      </c>
      <c r="S2501" s="24"/>
      <c r="T2501" s="24"/>
      <c r="U2501" s="55"/>
      <c r="V2501" s="25">
        <f>IFERROR(VLOOKUP(BCP_Soles[[#This Row],[destinatario]],CHOOSE({1,2},Clientes_Proveedores[Razon Social],Clientes_Proveedores[Ruc / Dni]),2,0),"")</f>
        <v>70666331</v>
      </c>
      <c r="W2501" s="25" t="s">
        <v>857</v>
      </c>
      <c r="X2501" s="25"/>
      <c r="Y2501" s="25"/>
      <c r="Z2501" s="75"/>
      <c r="AA2501" s="3" t="str">
        <f>IF(BCP_Soles[[#This Row],[fecha]]&gt;0,TEXT(BCP_Soles[[#This Row],[fecha]],"mmmm"),0)</f>
        <v>Julio</v>
      </c>
    </row>
    <row r="2502" spans="1:27" ht="24" x14ac:dyDescent="0.3">
      <c r="A2502" s="2">
        <f>IF(BCP_Soles[[#This Row],[tipo_registro]]="R",COUNTIFS($C$1:$C2501,"R")+1,A2501)</f>
        <v>1827</v>
      </c>
      <c r="B2502" s="19" t="str">
        <f t="shared" si="201"/>
        <v>B-BCP - Soles</v>
      </c>
      <c r="C2502" s="3" t="s">
        <v>1330</v>
      </c>
      <c r="D2502" s="14">
        <v>45845</v>
      </c>
      <c r="E2502" s="5" t="s">
        <v>1331</v>
      </c>
      <c r="F2502" s="5" t="s">
        <v>1336</v>
      </c>
      <c r="G2502" s="6" t="s">
        <v>876</v>
      </c>
      <c r="H2502" s="6"/>
      <c r="I2502" s="6"/>
      <c r="J2502" s="6"/>
      <c r="K2502" s="7" t="s">
        <v>3753</v>
      </c>
      <c r="L2502" s="8">
        <v>1264082</v>
      </c>
      <c r="M2502" s="8" t="str">
        <f t="shared" si="202"/>
        <v>PEN</v>
      </c>
      <c r="N2502" s="13"/>
      <c r="O2502" s="13">
        <v>80.41</v>
      </c>
      <c r="P2502" s="3">
        <f t="shared" si="203"/>
        <v>0</v>
      </c>
      <c r="Q2502" s="3">
        <f t="shared" si="204"/>
        <v>80.41</v>
      </c>
      <c r="R2502" s="3">
        <f t="shared" si="200"/>
        <v>33626.870000000017</v>
      </c>
      <c r="S2502" s="24"/>
      <c r="T2502" s="24"/>
      <c r="U2502" s="55"/>
      <c r="V2502" s="25">
        <f>IFERROR(VLOOKUP(BCP_Soles[[#This Row],[destinatario]],CHOOSE({1,2},Clientes_Proveedores[Razon Social],Clientes_Proveedores[Ruc / Dni]),2,0),"")</f>
        <v>1829028</v>
      </c>
      <c r="W2502" s="25" t="s">
        <v>1594</v>
      </c>
      <c r="X2502" s="25"/>
      <c r="Y2502" s="25"/>
      <c r="Z2502" s="75"/>
      <c r="AA2502" s="3" t="str">
        <f>IF(BCP_Soles[[#This Row],[fecha]]&gt;0,TEXT(BCP_Soles[[#This Row],[fecha]],"mmmm"),0)</f>
        <v>Julio</v>
      </c>
    </row>
    <row r="2503" spans="1:27" ht="36" x14ac:dyDescent="0.3">
      <c r="A2503" s="2">
        <f>IF(BCP_Soles[[#This Row],[tipo_registro]]="R",COUNTIFS($C$1:$C2502,"R")+1,A2502)</f>
        <v>1828</v>
      </c>
      <c r="B2503" s="19" t="str">
        <f t="shared" si="201"/>
        <v>B-BCP - Soles</v>
      </c>
      <c r="C2503" s="3" t="s">
        <v>1330</v>
      </c>
      <c r="D2503" s="14">
        <v>45845</v>
      </c>
      <c r="E2503" s="5" t="s">
        <v>1331</v>
      </c>
      <c r="F2503" s="5" t="s">
        <v>1336</v>
      </c>
      <c r="G2503" s="6" t="s">
        <v>948</v>
      </c>
      <c r="H2503" s="6"/>
      <c r="I2503" s="6"/>
      <c r="J2503" s="6"/>
      <c r="K2503" s="7" t="s">
        <v>3754</v>
      </c>
      <c r="L2503" s="8">
        <v>1261946</v>
      </c>
      <c r="M2503" s="8" t="str">
        <f t="shared" si="202"/>
        <v>PEN</v>
      </c>
      <c r="N2503" s="13"/>
      <c r="O2503" s="13">
        <v>87.87</v>
      </c>
      <c r="P2503" s="3">
        <f t="shared" si="203"/>
        <v>0</v>
      </c>
      <c r="Q2503" s="3">
        <f t="shared" si="204"/>
        <v>87.87</v>
      </c>
      <c r="R2503" s="3">
        <f t="shared" si="200"/>
        <v>33539.000000000015</v>
      </c>
      <c r="S2503" s="24"/>
      <c r="T2503" s="24"/>
      <c r="U2503" s="55"/>
      <c r="V2503" s="25">
        <f>IFERROR(VLOOKUP(BCP_Soles[[#This Row],[destinatario]],CHOOSE({1,2},Clientes_Proveedores[Razon Social],Clientes_Proveedores[Ruc / Dni]),2,0),"")</f>
        <v>71311214</v>
      </c>
      <c r="W2503" s="25" t="s">
        <v>948</v>
      </c>
      <c r="X2503" s="25"/>
      <c r="Y2503" s="25"/>
      <c r="Z2503" s="75"/>
      <c r="AA2503" s="3" t="str">
        <f>IF(BCP_Soles[[#This Row],[fecha]]&gt;0,TEXT(BCP_Soles[[#This Row],[fecha]],"mmmm"),0)</f>
        <v>Julio</v>
      </c>
    </row>
    <row r="2504" spans="1:27" ht="36" x14ac:dyDescent="0.3">
      <c r="A2504" s="2">
        <f>IF(BCP_Soles[[#This Row],[tipo_registro]]="R",COUNTIFS($C$1:$C2503,"R")+1,A2503)</f>
        <v>1829</v>
      </c>
      <c r="B2504" s="19" t="str">
        <f t="shared" si="201"/>
        <v>B-BCP - Soles</v>
      </c>
      <c r="C2504" s="3" t="s">
        <v>1330</v>
      </c>
      <c r="D2504" s="14">
        <v>45845</v>
      </c>
      <c r="E2504" s="5" t="s">
        <v>1331</v>
      </c>
      <c r="F2504" s="5" t="s">
        <v>1336</v>
      </c>
      <c r="G2504" s="6" t="s">
        <v>939</v>
      </c>
      <c r="H2504" s="6"/>
      <c r="I2504" s="6"/>
      <c r="J2504" s="6"/>
      <c r="K2504" s="7" t="s">
        <v>3755</v>
      </c>
      <c r="L2504" s="8">
        <v>1260984</v>
      </c>
      <c r="M2504" s="8" t="str">
        <f t="shared" si="202"/>
        <v>PEN</v>
      </c>
      <c r="N2504" s="13"/>
      <c r="O2504" s="13">
        <v>88.17</v>
      </c>
      <c r="P2504" s="3">
        <f t="shared" si="203"/>
        <v>0</v>
      </c>
      <c r="Q2504" s="3">
        <f t="shared" si="204"/>
        <v>88.17</v>
      </c>
      <c r="R2504" s="3">
        <f t="shared" si="200"/>
        <v>33450.830000000016</v>
      </c>
      <c r="S2504" s="24"/>
      <c r="T2504" s="24"/>
      <c r="U2504" s="55"/>
      <c r="V2504" s="25">
        <f>IFERROR(VLOOKUP(BCP_Soles[[#This Row],[destinatario]],CHOOSE({1,2},Clientes_Proveedores[Razon Social],Clientes_Proveedores[Ruc / Dni]),2,0),"")</f>
        <v>72531546</v>
      </c>
      <c r="W2504" s="25" t="s">
        <v>939</v>
      </c>
      <c r="X2504" s="25"/>
      <c r="Y2504" s="25"/>
      <c r="Z2504" s="75"/>
      <c r="AA2504" s="3" t="str">
        <f>IF(BCP_Soles[[#This Row],[fecha]]&gt;0,TEXT(BCP_Soles[[#This Row],[fecha]],"mmmm"),0)</f>
        <v>Julio</v>
      </c>
    </row>
    <row r="2505" spans="1:27" ht="24" x14ac:dyDescent="0.3">
      <c r="A2505" s="2">
        <f>IF(BCP_Soles[[#This Row],[tipo_registro]]="R",COUNTIFS($C$1:$C2504,"R")+1,A2504)</f>
        <v>1830</v>
      </c>
      <c r="B2505" s="19" t="str">
        <f t="shared" si="201"/>
        <v>B-BCP - Soles</v>
      </c>
      <c r="C2505" s="3" t="s">
        <v>1330</v>
      </c>
      <c r="D2505" s="14">
        <v>45845</v>
      </c>
      <c r="E2505" s="5" t="s">
        <v>1331</v>
      </c>
      <c r="F2505" s="5" t="s">
        <v>1336</v>
      </c>
      <c r="G2505" s="6" t="s">
        <v>866</v>
      </c>
      <c r="H2505" s="6"/>
      <c r="I2505" s="6"/>
      <c r="J2505" s="6"/>
      <c r="K2505" s="7" t="s">
        <v>3756</v>
      </c>
      <c r="L2505" s="8">
        <v>1264548</v>
      </c>
      <c r="M2505" s="8" t="str">
        <f t="shared" si="202"/>
        <v>PEN</v>
      </c>
      <c r="N2505" s="13"/>
      <c r="O2505" s="13">
        <v>90.7</v>
      </c>
      <c r="P2505" s="3">
        <f t="shared" si="203"/>
        <v>0</v>
      </c>
      <c r="Q2505" s="3">
        <f t="shared" si="204"/>
        <v>90.7</v>
      </c>
      <c r="R2505" s="3">
        <f t="shared" ref="R2505:R2568" si="205">IFERROR(IF(F2505="SALDO",P2505,R2504+P2505-Q2505),0)</f>
        <v>33360.130000000019</v>
      </c>
      <c r="S2505" s="24"/>
      <c r="T2505" s="24"/>
      <c r="U2505" s="55"/>
      <c r="V2505" s="25">
        <f>IFERROR(VLOOKUP(BCP_Soles[[#This Row],[destinatario]],CHOOSE({1,2},Clientes_Proveedores[Razon Social],Clientes_Proveedores[Ruc / Dni]),2,0),"")</f>
        <v>45921913</v>
      </c>
      <c r="W2505" s="25" t="s">
        <v>866</v>
      </c>
      <c r="X2505" s="25"/>
      <c r="Y2505" s="25"/>
      <c r="Z2505" s="75"/>
      <c r="AA2505" s="3" t="str">
        <f>IF(BCP_Soles[[#This Row],[fecha]]&gt;0,TEXT(BCP_Soles[[#This Row],[fecha]],"mmmm"),0)</f>
        <v>Julio</v>
      </c>
    </row>
    <row r="2506" spans="1:27" ht="24" x14ac:dyDescent="0.3">
      <c r="A2506" s="2">
        <f>IF(BCP_Soles[[#This Row],[tipo_registro]]="R",COUNTIFS($C$1:$C2505,"R")+1,A2505)</f>
        <v>1831</v>
      </c>
      <c r="B2506" s="19" t="str">
        <f t="shared" si="201"/>
        <v>B-BCP - Soles</v>
      </c>
      <c r="C2506" s="3" t="s">
        <v>1330</v>
      </c>
      <c r="D2506" s="14">
        <v>45845</v>
      </c>
      <c r="E2506" s="5" t="s">
        <v>1331</v>
      </c>
      <c r="F2506" s="5" t="s">
        <v>1336</v>
      </c>
      <c r="G2506" s="6" t="s">
        <v>964</v>
      </c>
      <c r="H2506" s="6"/>
      <c r="I2506" s="6"/>
      <c r="J2506" s="6"/>
      <c r="K2506" s="7" t="s">
        <v>3757</v>
      </c>
      <c r="L2506" s="8">
        <v>1261452</v>
      </c>
      <c r="M2506" s="8" t="str">
        <f t="shared" si="202"/>
        <v>PEN</v>
      </c>
      <c r="N2506" s="13"/>
      <c r="O2506" s="13">
        <v>92.23</v>
      </c>
      <c r="P2506" s="3">
        <f t="shared" si="203"/>
        <v>0</v>
      </c>
      <c r="Q2506" s="3">
        <f t="shared" si="204"/>
        <v>92.23</v>
      </c>
      <c r="R2506" s="3">
        <f t="shared" si="205"/>
        <v>33267.900000000016</v>
      </c>
      <c r="S2506" s="24"/>
      <c r="T2506" s="24"/>
      <c r="U2506" s="55"/>
      <c r="V2506" s="25">
        <f>IFERROR(VLOOKUP(BCP_Soles[[#This Row],[destinatario]],CHOOSE({1,2},Clientes_Proveedores[Razon Social],Clientes_Proveedores[Ruc / Dni]),2,0),"")</f>
        <v>72813674</v>
      </c>
      <c r="W2506" s="25" t="s">
        <v>964</v>
      </c>
      <c r="X2506" s="25"/>
      <c r="Y2506" s="25"/>
      <c r="Z2506" s="75"/>
      <c r="AA2506" s="3" t="str">
        <f>IF(BCP_Soles[[#This Row],[fecha]]&gt;0,TEXT(BCP_Soles[[#This Row],[fecha]],"mmmm"),0)</f>
        <v>Julio</v>
      </c>
    </row>
    <row r="2507" spans="1:27" ht="24" x14ac:dyDescent="0.3">
      <c r="A2507" s="2">
        <f>IF(BCP_Soles[[#This Row],[tipo_registro]]="R",COUNTIFS($C$1:$C2506,"R")+1,A2506)</f>
        <v>1832</v>
      </c>
      <c r="B2507" s="19" t="str">
        <f t="shared" si="201"/>
        <v>B-BCP - Soles</v>
      </c>
      <c r="C2507" s="3" t="s">
        <v>1330</v>
      </c>
      <c r="D2507" s="14">
        <v>45845</v>
      </c>
      <c r="E2507" s="5" t="s">
        <v>1331</v>
      </c>
      <c r="F2507" s="5" t="s">
        <v>1336</v>
      </c>
      <c r="G2507" s="6" t="s">
        <v>899</v>
      </c>
      <c r="H2507" s="6"/>
      <c r="I2507" s="6"/>
      <c r="J2507" s="6"/>
      <c r="K2507" s="7" t="s">
        <v>3758</v>
      </c>
      <c r="L2507" s="8">
        <v>1261960</v>
      </c>
      <c r="M2507" s="8" t="str">
        <f t="shared" si="202"/>
        <v>PEN</v>
      </c>
      <c r="N2507" s="13"/>
      <c r="O2507" s="13">
        <v>93.48</v>
      </c>
      <c r="P2507" s="3">
        <f t="shared" si="203"/>
        <v>0</v>
      </c>
      <c r="Q2507" s="3">
        <f t="shared" si="204"/>
        <v>93.48</v>
      </c>
      <c r="R2507" s="3">
        <f t="shared" si="205"/>
        <v>33174.420000000013</v>
      </c>
      <c r="S2507" s="24"/>
      <c r="T2507" s="24"/>
      <c r="U2507" s="55"/>
      <c r="V2507" s="25">
        <f>IFERROR(VLOOKUP(BCP_Soles[[#This Row],[destinatario]],CHOOSE({1,2},Clientes_Proveedores[Razon Social],Clientes_Proveedores[Ruc / Dni]),2,0),"")</f>
        <v>71496013</v>
      </c>
      <c r="W2507" s="25" t="s">
        <v>899</v>
      </c>
      <c r="X2507" s="25"/>
      <c r="Y2507" s="25"/>
      <c r="Z2507" s="75"/>
      <c r="AA2507" s="3" t="str">
        <f>IF(BCP_Soles[[#This Row],[fecha]]&gt;0,TEXT(BCP_Soles[[#This Row],[fecha]],"mmmm"),0)</f>
        <v>Julio</v>
      </c>
    </row>
    <row r="2508" spans="1:27" ht="24" x14ac:dyDescent="0.3">
      <c r="A2508" s="2">
        <f>IF(BCP_Soles[[#This Row],[tipo_registro]]="R",COUNTIFS($C$1:$C2507,"R")+1,A2507)</f>
        <v>1833</v>
      </c>
      <c r="B2508" s="19" t="str">
        <f t="shared" si="201"/>
        <v>B-BCP - Soles</v>
      </c>
      <c r="C2508" s="3" t="s">
        <v>1330</v>
      </c>
      <c r="D2508" s="14">
        <v>45845</v>
      </c>
      <c r="E2508" s="5" t="s">
        <v>1331</v>
      </c>
      <c r="F2508" s="5" t="s">
        <v>1336</v>
      </c>
      <c r="G2508" s="6" t="s">
        <v>935</v>
      </c>
      <c r="H2508" s="6"/>
      <c r="I2508" s="6"/>
      <c r="J2508" s="6"/>
      <c r="K2508" s="7" t="s">
        <v>3759</v>
      </c>
      <c r="L2508" s="8">
        <v>1262419</v>
      </c>
      <c r="M2508" s="8" t="str">
        <f t="shared" si="202"/>
        <v>PEN</v>
      </c>
      <c r="N2508" s="13"/>
      <c r="O2508" s="13">
        <v>93.56</v>
      </c>
      <c r="P2508" s="3">
        <f t="shared" si="203"/>
        <v>0</v>
      </c>
      <c r="Q2508" s="3">
        <f t="shared" si="204"/>
        <v>93.56</v>
      </c>
      <c r="R2508" s="3">
        <f t="shared" si="205"/>
        <v>33080.860000000015</v>
      </c>
      <c r="S2508" s="24"/>
      <c r="T2508" s="24"/>
      <c r="U2508" s="55"/>
      <c r="V2508" s="25">
        <f>IFERROR(VLOOKUP(BCP_Soles[[#This Row],[destinatario]],CHOOSE({1,2},Clientes_Proveedores[Razon Social],Clientes_Proveedores[Ruc / Dni]),2,0),"")</f>
        <v>47557239</v>
      </c>
      <c r="W2508" s="25" t="s">
        <v>935</v>
      </c>
      <c r="X2508" s="25"/>
      <c r="Y2508" s="25"/>
      <c r="Z2508" s="75"/>
      <c r="AA2508" s="3" t="str">
        <f>IF(BCP_Soles[[#This Row],[fecha]]&gt;0,TEXT(BCP_Soles[[#This Row],[fecha]],"mmmm"),0)</f>
        <v>Julio</v>
      </c>
    </row>
    <row r="2509" spans="1:27" ht="36" x14ac:dyDescent="0.3">
      <c r="A2509" s="2">
        <f>IF(BCP_Soles[[#This Row],[tipo_registro]]="R",COUNTIFS($C$1:$C2508,"R")+1,A2508)</f>
        <v>1834</v>
      </c>
      <c r="B2509" s="19" t="str">
        <f t="shared" si="201"/>
        <v>B-BCP - Soles</v>
      </c>
      <c r="C2509" s="3" t="s">
        <v>1330</v>
      </c>
      <c r="D2509" s="14">
        <v>45845</v>
      </c>
      <c r="E2509" s="5" t="s">
        <v>1331</v>
      </c>
      <c r="F2509" s="5" t="s">
        <v>1336</v>
      </c>
      <c r="G2509" s="6" t="s">
        <v>818</v>
      </c>
      <c r="H2509" s="6"/>
      <c r="I2509" s="6"/>
      <c r="J2509" s="6"/>
      <c r="K2509" s="7" t="s">
        <v>3760</v>
      </c>
      <c r="L2509" s="8">
        <v>1264092</v>
      </c>
      <c r="M2509" s="8" t="str">
        <f t="shared" si="202"/>
        <v>PEN</v>
      </c>
      <c r="N2509" s="13"/>
      <c r="O2509" s="13">
        <v>97.02</v>
      </c>
      <c r="P2509" s="3">
        <f t="shared" si="203"/>
        <v>0</v>
      </c>
      <c r="Q2509" s="3">
        <f t="shared" si="204"/>
        <v>97.02</v>
      </c>
      <c r="R2509" s="3">
        <f t="shared" si="205"/>
        <v>32983.840000000018</v>
      </c>
      <c r="S2509" s="24"/>
      <c r="T2509" s="24"/>
      <c r="U2509" s="55"/>
      <c r="V2509" s="25">
        <f>IFERROR(VLOOKUP(BCP_Soles[[#This Row],[destinatario]],CHOOSE({1,2},Clientes_Proveedores[Razon Social],Clientes_Proveedores[Ruc / Dni]),2,0),"")</f>
        <v>71787683</v>
      </c>
      <c r="W2509" s="25" t="s">
        <v>818</v>
      </c>
      <c r="X2509" s="25"/>
      <c r="Y2509" s="25"/>
      <c r="Z2509" s="75"/>
      <c r="AA2509" s="3" t="str">
        <f>IF(BCP_Soles[[#This Row],[fecha]]&gt;0,TEXT(BCP_Soles[[#This Row],[fecha]],"mmmm"),0)</f>
        <v>Julio</v>
      </c>
    </row>
    <row r="2510" spans="1:27" ht="24" x14ac:dyDescent="0.3">
      <c r="A2510" s="2">
        <f>IF(BCP_Soles[[#This Row],[tipo_registro]]="R",COUNTIFS($C$1:$C2509,"R")+1,A2509)</f>
        <v>1835</v>
      </c>
      <c r="B2510" s="19" t="str">
        <f t="shared" si="201"/>
        <v>B-BCP - Soles</v>
      </c>
      <c r="C2510" s="3" t="s">
        <v>1330</v>
      </c>
      <c r="D2510" s="14">
        <v>45845</v>
      </c>
      <c r="E2510" s="5" t="s">
        <v>1331</v>
      </c>
      <c r="F2510" s="5" t="s">
        <v>1336</v>
      </c>
      <c r="G2510" s="6" t="s">
        <v>802</v>
      </c>
      <c r="H2510" s="6"/>
      <c r="I2510" s="6"/>
      <c r="J2510" s="6"/>
      <c r="K2510" s="7" t="s">
        <v>3761</v>
      </c>
      <c r="L2510" s="8">
        <v>1264559</v>
      </c>
      <c r="M2510" s="8" t="str">
        <f t="shared" si="202"/>
        <v>PEN</v>
      </c>
      <c r="N2510" s="13"/>
      <c r="O2510" s="13">
        <v>110</v>
      </c>
      <c r="P2510" s="3">
        <f t="shared" si="203"/>
        <v>0</v>
      </c>
      <c r="Q2510" s="3">
        <f t="shared" si="204"/>
        <v>110</v>
      </c>
      <c r="R2510" s="3">
        <f t="shared" si="205"/>
        <v>32873.840000000018</v>
      </c>
      <c r="S2510" s="24"/>
      <c r="T2510" s="24"/>
      <c r="U2510" s="55"/>
      <c r="V2510" s="25">
        <f>IFERROR(VLOOKUP(BCP_Soles[[#This Row],[destinatario]],CHOOSE({1,2},Clientes_Proveedores[Razon Social],Clientes_Proveedores[Ruc / Dni]),2,0),"")</f>
        <v>44211654</v>
      </c>
      <c r="W2510" s="25" t="s">
        <v>3762</v>
      </c>
      <c r="X2510" s="25"/>
      <c r="Y2510" s="25"/>
      <c r="Z2510" s="75"/>
      <c r="AA2510" s="3" t="str">
        <f>IF(BCP_Soles[[#This Row],[fecha]]&gt;0,TEXT(BCP_Soles[[#This Row],[fecha]],"mmmm"),0)</f>
        <v>Julio</v>
      </c>
    </row>
    <row r="2511" spans="1:27" ht="24" x14ac:dyDescent="0.3">
      <c r="A2511" s="2">
        <f>IF(BCP_Soles[[#This Row],[tipo_registro]]="R",COUNTIFS($C$1:$C2510,"R")+1,A2510)</f>
        <v>1836</v>
      </c>
      <c r="B2511" s="19" t="str">
        <f t="shared" si="201"/>
        <v>B-BCP - Soles</v>
      </c>
      <c r="C2511" s="3" t="s">
        <v>1330</v>
      </c>
      <c r="D2511" s="14">
        <v>45845</v>
      </c>
      <c r="E2511" s="5" t="s">
        <v>1331</v>
      </c>
      <c r="F2511" s="5" t="s">
        <v>1336</v>
      </c>
      <c r="G2511" s="6" t="s">
        <v>798</v>
      </c>
      <c r="H2511" s="6"/>
      <c r="I2511" s="6"/>
      <c r="J2511" s="6"/>
      <c r="K2511" s="7" t="s">
        <v>3763</v>
      </c>
      <c r="L2511" s="8">
        <v>1262999</v>
      </c>
      <c r="M2511" s="8" t="str">
        <f t="shared" si="202"/>
        <v>PEN</v>
      </c>
      <c r="N2511" s="13"/>
      <c r="O2511" s="13">
        <v>128.71</v>
      </c>
      <c r="P2511" s="3">
        <f t="shared" si="203"/>
        <v>0</v>
      </c>
      <c r="Q2511" s="3">
        <f t="shared" si="204"/>
        <v>128.71</v>
      </c>
      <c r="R2511" s="3">
        <f t="shared" si="205"/>
        <v>32745.130000000019</v>
      </c>
      <c r="S2511" s="24"/>
      <c r="T2511" s="24"/>
      <c r="U2511" s="55"/>
      <c r="V2511" s="25">
        <f>IFERROR(VLOOKUP(BCP_Soles[[#This Row],[destinatario]],CHOOSE({1,2},Clientes_Proveedores[Razon Social],Clientes_Proveedores[Ruc / Dni]),2,0),"")</f>
        <v>40192097</v>
      </c>
      <c r="W2511" s="25" t="s">
        <v>798</v>
      </c>
      <c r="X2511" s="25"/>
      <c r="Y2511" s="25"/>
      <c r="Z2511" s="75"/>
      <c r="AA2511" s="3" t="str">
        <f>IF(BCP_Soles[[#This Row],[fecha]]&gt;0,TEXT(BCP_Soles[[#This Row],[fecha]],"mmmm"),0)</f>
        <v>Julio</v>
      </c>
    </row>
    <row r="2512" spans="1:27" ht="24" x14ac:dyDescent="0.3">
      <c r="A2512" s="2">
        <f>IF(BCP_Soles[[#This Row],[tipo_registro]]="R",COUNTIFS($C$1:$C2511,"R")+1,A2511)</f>
        <v>1837</v>
      </c>
      <c r="B2512" s="19" t="str">
        <f t="shared" si="201"/>
        <v>B-BCP - Soles</v>
      </c>
      <c r="C2512" s="3" t="s">
        <v>1330</v>
      </c>
      <c r="D2512" s="14">
        <v>45845</v>
      </c>
      <c r="E2512" s="5" t="s">
        <v>1331</v>
      </c>
      <c r="F2512" s="5" t="s">
        <v>1336</v>
      </c>
      <c r="G2512" s="6" t="s">
        <v>931</v>
      </c>
      <c r="H2512" s="6"/>
      <c r="I2512" s="6"/>
      <c r="J2512" s="6"/>
      <c r="K2512" s="7" t="s">
        <v>3764</v>
      </c>
      <c r="L2512" s="8">
        <v>1262935</v>
      </c>
      <c r="M2512" s="8" t="str">
        <f t="shared" si="202"/>
        <v>PEN</v>
      </c>
      <c r="N2512" s="13"/>
      <c r="O2512" s="13">
        <v>131.72</v>
      </c>
      <c r="P2512" s="3">
        <f t="shared" si="203"/>
        <v>0</v>
      </c>
      <c r="Q2512" s="3">
        <f t="shared" si="204"/>
        <v>131.72</v>
      </c>
      <c r="R2512" s="3">
        <f t="shared" si="205"/>
        <v>32613.410000000018</v>
      </c>
      <c r="S2512" s="24"/>
      <c r="T2512" s="24"/>
      <c r="U2512" s="55"/>
      <c r="V2512" s="25">
        <f>IFERROR(VLOOKUP(BCP_Soles[[#This Row],[destinatario]],CHOOSE({1,2},Clientes_Proveedores[Razon Social],Clientes_Proveedores[Ruc / Dni]),2,0),"")</f>
        <v>72725225</v>
      </c>
      <c r="W2512" s="25" t="s">
        <v>931</v>
      </c>
      <c r="X2512" s="25"/>
      <c r="Y2512" s="25"/>
      <c r="Z2512" s="75"/>
      <c r="AA2512" s="3" t="str">
        <f>IF(BCP_Soles[[#This Row],[fecha]]&gt;0,TEXT(BCP_Soles[[#This Row],[fecha]],"mmmm"),0)</f>
        <v>Julio</v>
      </c>
    </row>
    <row r="2513" spans="1:27" ht="36" x14ac:dyDescent="0.3">
      <c r="A2513" s="2">
        <f>IF(BCP_Soles[[#This Row],[tipo_registro]]="R",COUNTIFS($C$1:$C2512,"R")+1,A2512)</f>
        <v>1838</v>
      </c>
      <c r="B2513" s="19" t="str">
        <f t="shared" si="201"/>
        <v>B-BCP - Soles</v>
      </c>
      <c r="C2513" s="3" t="s">
        <v>1330</v>
      </c>
      <c r="D2513" s="14">
        <v>45845</v>
      </c>
      <c r="E2513" s="5" t="s">
        <v>1331</v>
      </c>
      <c r="F2513" s="5" t="s">
        <v>1336</v>
      </c>
      <c r="G2513" s="6" t="s">
        <v>961</v>
      </c>
      <c r="H2513" s="6"/>
      <c r="I2513" s="6"/>
      <c r="J2513" s="6"/>
      <c r="K2513" s="7" t="s">
        <v>3765</v>
      </c>
      <c r="L2513" s="8">
        <v>1264018</v>
      </c>
      <c r="M2513" s="8" t="str">
        <f t="shared" si="202"/>
        <v>PEN</v>
      </c>
      <c r="N2513" s="13"/>
      <c r="O2513" s="13">
        <v>140.26</v>
      </c>
      <c r="P2513" s="3">
        <f t="shared" si="203"/>
        <v>0</v>
      </c>
      <c r="Q2513" s="3">
        <f t="shared" si="204"/>
        <v>140.26</v>
      </c>
      <c r="R2513" s="3">
        <f t="shared" si="205"/>
        <v>32473.15000000002</v>
      </c>
      <c r="S2513" s="24"/>
      <c r="T2513" s="24"/>
      <c r="U2513" s="55"/>
      <c r="V2513" s="25">
        <f>IFERROR(VLOOKUP(BCP_Soles[[#This Row],[destinatario]],CHOOSE({1,2},Clientes_Proveedores[Razon Social],Clientes_Proveedores[Ruc / Dni]),2,0),"")</f>
        <v>71786852</v>
      </c>
      <c r="W2513" s="25" t="s">
        <v>961</v>
      </c>
      <c r="X2513" s="25"/>
      <c r="Y2513" s="25"/>
      <c r="Z2513" s="75"/>
      <c r="AA2513" s="3" t="str">
        <f>IF(BCP_Soles[[#This Row],[fecha]]&gt;0,TEXT(BCP_Soles[[#This Row],[fecha]],"mmmm"),0)</f>
        <v>Julio</v>
      </c>
    </row>
    <row r="2514" spans="1:27" ht="24" x14ac:dyDescent="0.3">
      <c r="A2514" s="2">
        <f>IF(BCP_Soles[[#This Row],[tipo_registro]]="R",COUNTIFS($C$1:$C2513,"R")+1,A2513)</f>
        <v>1839</v>
      </c>
      <c r="B2514" s="19" t="str">
        <f t="shared" si="201"/>
        <v>B-BCP - Soles</v>
      </c>
      <c r="C2514" s="3" t="s">
        <v>1330</v>
      </c>
      <c r="D2514" s="14">
        <v>45845</v>
      </c>
      <c r="E2514" s="5" t="s">
        <v>1331</v>
      </c>
      <c r="F2514" s="5" t="s">
        <v>1336</v>
      </c>
      <c r="G2514" s="6" t="s">
        <v>804</v>
      </c>
      <c r="H2514" s="6"/>
      <c r="I2514" s="6"/>
      <c r="J2514" s="6"/>
      <c r="K2514" s="7" t="s">
        <v>3766</v>
      </c>
      <c r="L2514" s="8">
        <v>1265036</v>
      </c>
      <c r="M2514" s="8" t="str">
        <f t="shared" si="202"/>
        <v>PEN</v>
      </c>
      <c r="N2514" s="13"/>
      <c r="O2514" s="13">
        <v>147.03</v>
      </c>
      <c r="P2514" s="3">
        <f t="shared" si="203"/>
        <v>0</v>
      </c>
      <c r="Q2514" s="3">
        <f t="shared" si="204"/>
        <v>147.03</v>
      </c>
      <c r="R2514" s="3">
        <f t="shared" si="205"/>
        <v>32326.120000000021</v>
      </c>
      <c r="S2514" s="24"/>
      <c r="T2514" s="24"/>
      <c r="U2514" s="55"/>
      <c r="V2514" s="25">
        <f>IFERROR(VLOOKUP(BCP_Soles[[#This Row],[destinatario]],CHOOSE({1,2},Clientes_Proveedores[Razon Social],Clientes_Proveedores[Ruc / Dni]),2,0),"")</f>
        <v>74078793</v>
      </c>
      <c r="W2514" s="25" t="s">
        <v>804</v>
      </c>
      <c r="X2514" s="25"/>
      <c r="Y2514" s="25"/>
      <c r="Z2514" s="75"/>
      <c r="AA2514" s="3" t="str">
        <f>IF(BCP_Soles[[#This Row],[fecha]]&gt;0,TEXT(BCP_Soles[[#This Row],[fecha]],"mmmm"),0)</f>
        <v>Julio</v>
      </c>
    </row>
    <row r="2515" spans="1:27" ht="24" x14ac:dyDescent="0.3">
      <c r="A2515" s="2">
        <f>IF(BCP_Soles[[#This Row],[tipo_registro]]="R",COUNTIFS($C$1:$C2514,"R")+1,A2514)</f>
        <v>1840</v>
      </c>
      <c r="B2515" s="19" t="str">
        <f t="shared" si="201"/>
        <v>B-BCP - Soles</v>
      </c>
      <c r="C2515" s="3" t="s">
        <v>1330</v>
      </c>
      <c r="D2515" s="14">
        <v>45845</v>
      </c>
      <c r="E2515" s="5" t="s">
        <v>1331</v>
      </c>
      <c r="F2515" s="5" t="s">
        <v>1336</v>
      </c>
      <c r="G2515" s="6" t="s">
        <v>861</v>
      </c>
      <c r="H2515" s="6"/>
      <c r="I2515" s="6"/>
      <c r="J2515" s="6"/>
      <c r="K2515" s="7" t="s">
        <v>3767</v>
      </c>
      <c r="L2515" s="8">
        <v>1265031</v>
      </c>
      <c r="M2515" s="8" t="str">
        <f t="shared" si="202"/>
        <v>PEN</v>
      </c>
      <c r="N2515" s="13"/>
      <c r="O2515" s="13">
        <v>149.88</v>
      </c>
      <c r="P2515" s="3">
        <f t="shared" si="203"/>
        <v>0</v>
      </c>
      <c r="Q2515" s="3">
        <f t="shared" si="204"/>
        <v>149.88</v>
      </c>
      <c r="R2515" s="3">
        <f t="shared" si="205"/>
        <v>32176.24000000002</v>
      </c>
      <c r="S2515" s="24"/>
      <c r="T2515" s="24"/>
      <c r="U2515" s="55"/>
      <c r="V2515" s="25">
        <f>IFERROR(VLOOKUP(BCP_Soles[[#This Row],[destinatario]],CHOOSE({1,2},Clientes_Proveedores[Razon Social],Clientes_Proveedores[Ruc / Dni]),2,0),"")</f>
        <v>42857058</v>
      </c>
      <c r="W2515" s="25" t="s">
        <v>861</v>
      </c>
      <c r="X2515" s="25"/>
      <c r="Y2515" s="25"/>
      <c r="Z2515" s="75"/>
      <c r="AA2515" s="3" t="str">
        <f>IF(BCP_Soles[[#This Row],[fecha]]&gt;0,TEXT(BCP_Soles[[#This Row],[fecha]],"mmmm"),0)</f>
        <v>Julio</v>
      </c>
    </row>
    <row r="2516" spans="1:27" ht="36" x14ac:dyDescent="0.3">
      <c r="A2516" s="2">
        <f>IF(BCP_Soles[[#This Row],[tipo_registro]]="R",COUNTIFS($C$1:$C2515,"R")+1,A2515)</f>
        <v>1841</v>
      </c>
      <c r="B2516" s="19" t="str">
        <f t="shared" si="201"/>
        <v>B-BCP - Soles</v>
      </c>
      <c r="C2516" s="3" t="s">
        <v>1330</v>
      </c>
      <c r="D2516" s="14">
        <v>45845</v>
      </c>
      <c r="E2516" s="5" t="s">
        <v>1331</v>
      </c>
      <c r="F2516" s="5" t="s">
        <v>1336</v>
      </c>
      <c r="G2516" s="6" t="s">
        <v>790</v>
      </c>
      <c r="H2516" s="6"/>
      <c r="I2516" s="6"/>
      <c r="J2516" s="6"/>
      <c r="K2516" s="7" t="s">
        <v>3768</v>
      </c>
      <c r="L2516" s="8">
        <v>1264093</v>
      </c>
      <c r="M2516" s="8" t="str">
        <f t="shared" si="202"/>
        <v>PEN</v>
      </c>
      <c r="N2516" s="13"/>
      <c r="O2516" s="13">
        <v>185.83</v>
      </c>
      <c r="P2516" s="3">
        <f t="shared" si="203"/>
        <v>0</v>
      </c>
      <c r="Q2516" s="3">
        <f t="shared" si="204"/>
        <v>185.83</v>
      </c>
      <c r="R2516" s="3">
        <f t="shared" si="205"/>
        <v>31990.410000000018</v>
      </c>
      <c r="S2516" s="24"/>
      <c r="T2516" s="24"/>
      <c r="U2516" s="55"/>
      <c r="V2516" s="25">
        <f>IFERROR(VLOOKUP(BCP_Soles[[#This Row],[destinatario]],CHOOSE({1,2},Clientes_Proveedores[Razon Social],Clientes_Proveedores[Ruc / Dni]),2,0),"")</f>
        <v>72169020</v>
      </c>
      <c r="W2516" s="25" t="s">
        <v>2166</v>
      </c>
      <c r="X2516" s="25"/>
      <c r="Y2516" s="25"/>
      <c r="Z2516" s="75"/>
      <c r="AA2516" s="3" t="str">
        <f>IF(BCP_Soles[[#This Row],[fecha]]&gt;0,TEXT(BCP_Soles[[#This Row],[fecha]],"mmmm"),0)</f>
        <v>Julio</v>
      </c>
    </row>
    <row r="2517" spans="1:27" ht="24" x14ac:dyDescent="0.3">
      <c r="A2517" s="2">
        <f>IF(BCP_Soles[[#This Row],[tipo_registro]]="R",COUNTIFS($C$1:$C2516,"R")+1,A2516)</f>
        <v>1842</v>
      </c>
      <c r="B2517" s="19" t="str">
        <f t="shared" si="201"/>
        <v>B-BCP - Soles</v>
      </c>
      <c r="C2517" s="3" t="s">
        <v>1330</v>
      </c>
      <c r="D2517" s="14">
        <v>45845</v>
      </c>
      <c r="E2517" s="5" t="s">
        <v>1331</v>
      </c>
      <c r="F2517" s="5" t="s">
        <v>1336</v>
      </c>
      <c r="G2517" s="6" t="s">
        <v>922</v>
      </c>
      <c r="H2517" s="6"/>
      <c r="I2517" s="6"/>
      <c r="J2517" s="6"/>
      <c r="K2517" s="7" t="s">
        <v>3769</v>
      </c>
      <c r="L2517" s="8">
        <v>1264026</v>
      </c>
      <c r="M2517" s="8" t="str">
        <f t="shared" si="202"/>
        <v>PEN</v>
      </c>
      <c r="N2517" s="13"/>
      <c r="O2517" s="13">
        <v>194.71</v>
      </c>
      <c r="P2517" s="3">
        <f t="shared" si="203"/>
        <v>0</v>
      </c>
      <c r="Q2517" s="3">
        <f t="shared" si="204"/>
        <v>194.71</v>
      </c>
      <c r="R2517" s="3">
        <f t="shared" si="205"/>
        <v>31795.700000000019</v>
      </c>
      <c r="S2517" s="24"/>
      <c r="T2517" s="24"/>
      <c r="U2517" s="55"/>
      <c r="V2517" s="25">
        <f>IFERROR(VLOOKUP(BCP_Soles[[#This Row],[destinatario]],CHOOSE({1,2},Clientes_Proveedores[Razon Social],Clientes_Proveedores[Ruc / Dni]),2,0),"")</f>
        <v>72537561</v>
      </c>
      <c r="W2517" s="25" t="s">
        <v>922</v>
      </c>
      <c r="X2517" s="25"/>
      <c r="Y2517" s="25"/>
      <c r="Z2517" s="75"/>
      <c r="AA2517" s="3" t="str">
        <f>IF(BCP_Soles[[#This Row],[fecha]]&gt;0,TEXT(BCP_Soles[[#This Row],[fecha]],"mmmm"),0)</f>
        <v>Julio</v>
      </c>
    </row>
    <row r="2518" spans="1:27" ht="24" x14ac:dyDescent="0.3">
      <c r="A2518" s="2">
        <f>IF(BCP_Soles[[#This Row],[tipo_registro]]="R",COUNTIFS($C$1:$C2517,"R")+1,A2517)</f>
        <v>1843</v>
      </c>
      <c r="B2518" s="19" t="str">
        <f t="shared" si="201"/>
        <v>B-BCP - Soles</v>
      </c>
      <c r="C2518" s="3" t="s">
        <v>1330</v>
      </c>
      <c r="D2518" s="14">
        <v>45845</v>
      </c>
      <c r="E2518" s="5" t="s">
        <v>1331</v>
      </c>
      <c r="F2518" s="5" t="s">
        <v>1336</v>
      </c>
      <c r="G2518" s="6" t="s">
        <v>871</v>
      </c>
      <c r="H2518" s="6"/>
      <c r="I2518" s="6"/>
      <c r="J2518" s="6"/>
      <c r="K2518" s="7" t="s">
        <v>3770</v>
      </c>
      <c r="L2518" s="8">
        <v>1264080</v>
      </c>
      <c r="M2518" s="8" t="str">
        <f t="shared" si="202"/>
        <v>PEN</v>
      </c>
      <c r="N2518" s="13"/>
      <c r="O2518" s="13">
        <v>203.41</v>
      </c>
      <c r="P2518" s="3">
        <f t="shared" si="203"/>
        <v>0</v>
      </c>
      <c r="Q2518" s="3">
        <f t="shared" si="204"/>
        <v>203.41</v>
      </c>
      <c r="R2518" s="3">
        <f t="shared" si="205"/>
        <v>31592.290000000019</v>
      </c>
      <c r="S2518" s="24"/>
      <c r="T2518" s="24"/>
      <c r="U2518" s="55"/>
      <c r="V2518" s="25">
        <f>IFERROR(VLOOKUP(BCP_Soles[[#This Row],[destinatario]],CHOOSE({1,2},Clientes_Proveedores[Razon Social],Clientes_Proveedores[Ruc / Dni]),2,0),"")</f>
        <v>72302392</v>
      </c>
      <c r="W2518" s="25" t="s">
        <v>871</v>
      </c>
      <c r="X2518" s="25"/>
      <c r="Y2518" s="25"/>
      <c r="Z2518" s="75"/>
      <c r="AA2518" s="3" t="str">
        <f>IF(BCP_Soles[[#This Row],[fecha]]&gt;0,TEXT(BCP_Soles[[#This Row],[fecha]],"mmmm"),0)</f>
        <v>Julio</v>
      </c>
    </row>
    <row r="2519" spans="1:27" ht="24" x14ac:dyDescent="0.3">
      <c r="A2519" s="2">
        <f>IF(BCP_Soles[[#This Row],[tipo_registro]]="R",COUNTIFS($C$1:$C2518,"R")+1,A2518)</f>
        <v>1844</v>
      </c>
      <c r="B2519" s="19" t="str">
        <f t="shared" si="201"/>
        <v>B-BCP - Soles</v>
      </c>
      <c r="C2519" s="3" t="s">
        <v>1330</v>
      </c>
      <c r="D2519" s="14">
        <v>45845</v>
      </c>
      <c r="E2519" s="5" t="s">
        <v>1331</v>
      </c>
      <c r="F2519" s="5" t="s">
        <v>1336</v>
      </c>
      <c r="G2519" s="6" t="s">
        <v>859</v>
      </c>
      <c r="H2519" s="6"/>
      <c r="I2519" s="6"/>
      <c r="J2519" s="6"/>
      <c r="K2519" s="7" t="s">
        <v>3771</v>
      </c>
      <c r="L2519" s="8">
        <v>1265030</v>
      </c>
      <c r="M2519" s="8" t="str">
        <f t="shared" si="202"/>
        <v>PEN</v>
      </c>
      <c r="N2519" s="13"/>
      <c r="O2519" s="13">
        <v>209.42</v>
      </c>
      <c r="P2519" s="3">
        <f t="shared" si="203"/>
        <v>0</v>
      </c>
      <c r="Q2519" s="3">
        <f t="shared" si="204"/>
        <v>209.42</v>
      </c>
      <c r="R2519" s="3">
        <f t="shared" si="205"/>
        <v>31382.870000000021</v>
      </c>
      <c r="S2519" s="24"/>
      <c r="T2519" s="24"/>
      <c r="U2519" s="55"/>
      <c r="V2519" s="25">
        <f>IFERROR(VLOOKUP(BCP_Soles[[#This Row],[destinatario]],CHOOSE({1,2},Clientes_Proveedores[Razon Social],Clientes_Proveedores[Ruc / Dni]),2,0),"")</f>
        <v>43814375</v>
      </c>
      <c r="W2519" s="25" t="s">
        <v>859</v>
      </c>
      <c r="X2519" s="25"/>
      <c r="Y2519" s="25"/>
      <c r="Z2519" s="75"/>
      <c r="AA2519" s="3" t="str">
        <f>IF(BCP_Soles[[#This Row],[fecha]]&gt;0,TEXT(BCP_Soles[[#This Row],[fecha]],"mmmm"),0)</f>
        <v>Julio</v>
      </c>
    </row>
    <row r="2520" spans="1:27" ht="24" x14ac:dyDescent="0.3">
      <c r="A2520" s="2">
        <f>IF(BCP_Soles[[#This Row],[tipo_registro]]="R",COUNTIFS($C$1:$C2519,"R")+1,A2519)</f>
        <v>1845</v>
      </c>
      <c r="B2520" s="19" t="str">
        <f t="shared" ref="B2520:B2583" si="206">"B-BCP - Soles"</f>
        <v>B-BCP - Soles</v>
      </c>
      <c r="C2520" s="3" t="s">
        <v>1330</v>
      </c>
      <c r="D2520" s="14">
        <v>45845</v>
      </c>
      <c r="E2520" s="5" t="s">
        <v>1331</v>
      </c>
      <c r="F2520" s="5" t="s">
        <v>1336</v>
      </c>
      <c r="G2520" s="6" t="s">
        <v>946</v>
      </c>
      <c r="H2520" s="6"/>
      <c r="I2520" s="6"/>
      <c r="J2520" s="6"/>
      <c r="K2520" s="7" t="s">
        <v>3772</v>
      </c>
      <c r="L2520" s="8">
        <v>1263895</v>
      </c>
      <c r="M2520" s="8" t="str">
        <f t="shared" ref="M2520:M2583" si="207">"PEN"</f>
        <v>PEN</v>
      </c>
      <c r="N2520" s="13"/>
      <c r="O2520" s="13">
        <v>210.75</v>
      </c>
      <c r="P2520" s="3">
        <f t="shared" ref="P2520:P2583" si="208">+IF(OR($F2520="SALDO",$F2520="INGRESO"),$O2520,0)</f>
        <v>0</v>
      </c>
      <c r="Q2520" s="3">
        <f t="shared" ref="Q2520:Q2583" si="209">+IF($F2520="EGRESO",$O2520,0)</f>
        <v>210.75</v>
      </c>
      <c r="R2520" s="3">
        <f t="shared" si="205"/>
        <v>31172.120000000021</v>
      </c>
      <c r="S2520" s="24"/>
      <c r="T2520" s="24"/>
      <c r="U2520" s="55"/>
      <c r="V2520" s="25">
        <f>IFERROR(VLOOKUP(BCP_Soles[[#This Row],[destinatario]],CHOOSE({1,2},Clientes_Proveedores[Razon Social],Clientes_Proveedores[Ruc / Dni]),2,0),"")</f>
        <v>74392568</v>
      </c>
      <c r="W2520" s="25" t="s">
        <v>1474</v>
      </c>
      <c r="X2520" s="25"/>
      <c r="Y2520" s="25"/>
      <c r="Z2520" s="75"/>
      <c r="AA2520" s="3" t="str">
        <f>IF(BCP_Soles[[#This Row],[fecha]]&gt;0,TEXT(BCP_Soles[[#This Row],[fecha]],"mmmm"),0)</f>
        <v>Julio</v>
      </c>
    </row>
    <row r="2521" spans="1:27" ht="24" x14ac:dyDescent="0.3">
      <c r="A2521" s="2">
        <f>IF(BCP_Soles[[#This Row],[tipo_registro]]="R",COUNTIFS($C$1:$C2520,"R")+1,A2520)</f>
        <v>1846</v>
      </c>
      <c r="B2521" s="19" t="str">
        <f t="shared" si="206"/>
        <v>B-BCP - Soles</v>
      </c>
      <c r="C2521" s="3" t="s">
        <v>1330</v>
      </c>
      <c r="D2521" s="14">
        <v>45845</v>
      </c>
      <c r="E2521" s="5" t="s">
        <v>1331</v>
      </c>
      <c r="F2521" s="5" t="s">
        <v>1336</v>
      </c>
      <c r="G2521" s="6" t="s">
        <v>873</v>
      </c>
      <c r="H2521" s="6"/>
      <c r="I2521" s="6"/>
      <c r="J2521" s="6"/>
      <c r="K2521" s="7" t="s">
        <v>3773</v>
      </c>
      <c r="L2521" s="8">
        <v>1262989</v>
      </c>
      <c r="M2521" s="8" t="str">
        <f t="shared" si="207"/>
        <v>PEN</v>
      </c>
      <c r="N2521" s="13"/>
      <c r="O2521" s="13">
        <v>211.08</v>
      </c>
      <c r="P2521" s="3">
        <f t="shared" si="208"/>
        <v>0</v>
      </c>
      <c r="Q2521" s="3">
        <f t="shared" si="209"/>
        <v>211.08</v>
      </c>
      <c r="R2521" s="3">
        <f t="shared" si="205"/>
        <v>30961.040000000019</v>
      </c>
      <c r="S2521" s="24"/>
      <c r="T2521" s="24"/>
      <c r="U2521" s="55"/>
      <c r="V2521" s="25">
        <f>IFERROR(VLOOKUP(BCP_Soles[[#This Row],[destinatario]],CHOOSE({1,2},Clientes_Proveedores[Razon Social],Clientes_Proveedores[Ruc / Dni]),2,0),"")</f>
        <v>80355193</v>
      </c>
      <c r="W2521" s="25" t="s">
        <v>1598</v>
      </c>
      <c r="X2521" s="25"/>
      <c r="Y2521" s="25"/>
      <c r="Z2521" s="75"/>
      <c r="AA2521" s="3" t="str">
        <f>IF(BCP_Soles[[#This Row],[fecha]]&gt;0,TEXT(BCP_Soles[[#This Row],[fecha]],"mmmm"),0)</f>
        <v>Julio</v>
      </c>
    </row>
    <row r="2522" spans="1:27" ht="24" x14ac:dyDescent="0.3">
      <c r="A2522" s="2">
        <f>IF(BCP_Soles[[#This Row],[tipo_registro]]="R",COUNTIFS($C$1:$C2521,"R")+1,A2521)</f>
        <v>1847</v>
      </c>
      <c r="B2522" s="19" t="str">
        <f t="shared" si="206"/>
        <v>B-BCP - Soles</v>
      </c>
      <c r="C2522" s="3" t="s">
        <v>1330</v>
      </c>
      <c r="D2522" s="14">
        <v>45845</v>
      </c>
      <c r="E2522" s="5" t="s">
        <v>1331</v>
      </c>
      <c r="F2522" s="5" t="s">
        <v>1336</v>
      </c>
      <c r="G2522" s="6" t="s">
        <v>925</v>
      </c>
      <c r="H2522" s="6"/>
      <c r="I2522" s="6"/>
      <c r="J2522" s="6"/>
      <c r="K2522" s="7" t="s">
        <v>3774</v>
      </c>
      <c r="L2522" s="8">
        <v>1263428</v>
      </c>
      <c r="M2522" s="8" t="str">
        <f t="shared" si="207"/>
        <v>PEN</v>
      </c>
      <c r="N2522" s="13"/>
      <c r="O2522" s="13">
        <v>212.09</v>
      </c>
      <c r="P2522" s="3">
        <f t="shared" si="208"/>
        <v>0</v>
      </c>
      <c r="Q2522" s="3">
        <f t="shared" si="209"/>
        <v>212.09</v>
      </c>
      <c r="R2522" s="3">
        <f t="shared" si="205"/>
        <v>30748.950000000019</v>
      </c>
      <c r="S2522" s="24"/>
      <c r="T2522" s="24"/>
      <c r="U2522" s="55"/>
      <c r="V2522" s="25">
        <f>IFERROR(VLOOKUP(BCP_Soles[[#This Row],[destinatario]],CHOOSE({1,2},Clientes_Proveedores[Razon Social],Clientes_Proveedores[Ruc / Dni]),2,0),"")</f>
        <v>73530159</v>
      </c>
      <c r="W2522" s="25" t="s">
        <v>3775</v>
      </c>
      <c r="X2522" s="25"/>
      <c r="Y2522" s="25"/>
      <c r="Z2522" s="75"/>
      <c r="AA2522" s="3" t="str">
        <f>IF(BCP_Soles[[#This Row],[fecha]]&gt;0,TEXT(BCP_Soles[[#This Row],[fecha]],"mmmm"),0)</f>
        <v>Julio</v>
      </c>
    </row>
    <row r="2523" spans="1:27" ht="24" x14ac:dyDescent="0.3">
      <c r="A2523" s="2">
        <f>IF(BCP_Soles[[#This Row],[tipo_registro]]="R",COUNTIFS($C$1:$C2522,"R")+1,A2522)</f>
        <v>1848</v>
      </c>
      <c r="B2523" s="19" t="str">
        <f t="shared" si="206"/>
        <v>B-BCP - Soles</v>
      </c>
      <c r="C2523" s="3" t="s">
        <v>1330</v>
      </c>
      <c r="D2523" s="14">
        <v>45845</v>
      </c>
      <c r="E2523" s="5" t="s">
        <v>1331</v>
      </c>
      <c r="F2523" s="5" t="s">
        <v>1336</v>
      </c>
      <c r="G2523" s="6" t="s">
        <v>944</v>
      </c>
      <c r="H2523" s="6"/>
      <c r="I2523" s="6"/>
      <c r="J2523" s="6"/>
      <c r="K2523" s="7" t="s">
        <v>3776</v>
      </c>
      <c r="L2523" s="8">
        <v>1263421</v>
      </c>
      <c r="M2523" s="8" t="str">
        <f t="shared" si="207"/>
        <v>PEN</v>
      </c>
      <c r="N2523" s="13"/>
      <c r="O2523" s="13">
        <v>212.14</v>
      </c>
      <c r="P2523" s="3">
        <f t="shared" si="208"/>
        <v>0</v>
      </c>
      <c r="Q2523" s="3">
        <f t="shared" si="209"/>
        <v>212.14</v>
      </c>
      <c r="R2523" s="3">
        <f t="shared" si="205"/>
        <v>30536.810000000019</v>
      </c>
      <c r="S2523" s="24"/>
      <c r="T2523" s="24"/>
      <c r="U2523" s="55"/>
      <c r="V2523" s="25">
        <f>IFERROR(VLOOKUP(BCP_Soles[[#This Row],[destinatario]],CHOOSE({1,2},Clientes_Proveedores[Razon Social],Clientes_Proveedores[Ruc / Dni]),2,0),"")</f>
        <v>76393011</v>
      </c>
      <c r="W2523" s="25" t="s">
        <v>944</v>
      </c>
      <c r="X2523" s="25"/>
      <c r="Y2523" s="25"/>
      <c r="Z2523" s="75"/>
      <c r="AA2523" s="3" t="str">
        <f>IF(BCP_Soles[[#This Row],[fecha]]&gt;0,TEXT(BCP_Soles[[#This Row],[fecha]],"mmmm"),0)</f>
        <v>Julio</v>
      </c>
    </row>
    <row r="2524" spans="1:27" ht="24" x14ac:dyDescent="0.3">
      <c r="A2524" s="2">
        <f>IF(BCP_Soles[[#This Row],[tipo_registro]]="R",COUNTIFS($C$1:$C2523,"R")+1,A2523)</f>
        <v>1849</v>
      </c>
      <c r="B2524" s="19" t="str">
        <f t="shared" si="206"/>
        <v>B-BCP - Soles</v>
      </c>
      <c r="C2524" s="3" t="s">
        <v>1330</v>
      </c>
      <c r="D2524" s="14">
        <v>45845</v>
      </c>
      <c r="E2524" s="5" t="s">
        <v>1331</v>
      </c>
      <c r="F2524" s="5" t="s">
        <v>1336</v>
      </c>
      <c r="G2524" s="6" t="s">
        <v>816</v>
      </c>
      <c r="H2524" s="6"/>
      <c r="I2524" s="6"/>
      <c r="J2524" s="6"/>
      <c r="K2524" s="7" t="s">
        <v>3777</v>
      </c>
      <c r="L2524" s="8">
        <v>1265522</v>
      </c>
      <c r="M2524" s="8" t="str">
        <f t="shared" si="207"/>
        <v>PEN</v>
      </c>
      <c r="N2524" s="13"/>
      <c r="O2524" s="13">
        <v>214.77</v>
      </c>
      <c r="P2524" s="3">
        <f t="shared" si="208"/>
        <v>0</v>
      </c>
      <c r="Q2524" s="3">
        <f t="shared" si="209"/>
        <v>214.77</v>
      </c>
      <c r="R2524" s="3">
        <f t="shared" si="205"/>
        <v>30322.040000000019</v>
      </c>
      <c r="S2524" s="24"/>
      <c r="T2524" s="24"/>
      <c r="U2524" s="55"/>
      <c r="V2524" s="25">
        <f>IFERROR(VLOOKUP(BCP_Soles[[#This Row],[destinatario]],CHOOSE({1,2},Clientes_Proveedores[Razon Social],Clientes_Proveedores[Ruc / Dni]),2,0),"")</f>
        <v>3080300</v>
      </c>
      <c r="W2524" s="25" t="s">
        <v>1393</v>
      </c>
      <c r="X2524" s="25"/>
      <c r="Y2524" s="25"/>
      <c r="Z2524" s="75"/>
      <c r="AA2524" s="3" t="str">
        <f>IF(BCP_Soles[[#This Row],[fecha]]&gt;0,TEXT(BCP_Soles[[#This Row],[fecha]],"mmmm"),0)</f>
        <v>Julio</v>
      </c>
    </row>
    <row r="2525" spans="1:27" ht="36" x14ac:dyDescent="0.3">
      <c r="A2525" s="2">
        <f>IF(BCP_Soles[[#This Row],[tipo_registro]]="R",COUNTIFS($C$1:$C2524,"R")+1,A2524)</f>
        <v>1850</v>
      </c>
      <c r="B2525" s="19" t="str">
        <f t="shared" si="206"/>
        <v>B-BCP - Soles</v>
      </c>
      <c r="C2525" s="3" t="s">
        <v>1330</v>
      </c>
      <c r="D2525" s="14">
        <v>45845</v>
      </c>
      <c r="E2525" s="5" t="s">
        <v>1331</v>
      </c>
      <c r="F2525" s="5" t="s">
        <v>1336</v>
      </c>
      <c r="G2525" s="6" t="s">
        <v>937</v>
      </c>
      <c r="H2525" s="6"/>
      <c r="I2525" s="6"/>
      <c r="J2525" s="6"/>
      <c r="K2525" s="7" t="s">
        <v>3778</v>
      </c>
      <c r="L2525" s="8">
        <v>1263420</v>
      </c>
      <c r="M2525" s="8" t="str">
        <f t="shared" si="207"/>
        <v>PEN</v>
      </c>
      <c r="N2525" s="13"/>
      <c r="O2525" s="13">
        <v>215.72</v>
      </c>
      <c r="P2525" s="3">
        <f t="shared" si="208"/>
        <v>0</v>
      </c>
      <c r="Q2525" s="3">
        <f t="shared" si="209"/>
        <v>215.72</v>
      </c>
      <c r="R2525" s="3">
        <f t="shared" si="205"/>
        <v>30106.320000000018</v>
      </c>
      <c r="S2525" s="24"/>
      <c r="T2525" s="24"/>
      <c r="U2525" s="55"/>
      <c r="V2525" s="25">
        <f>IFERROR(VLOOKUP(BCP_Soles[[#This Row],[destinatario]],CHOOSE({1,2},Clientes_Proveedores[Razon Social],Clientes_Proveedores[Ruc / Dni]),2,0),"")</f>
        <v>72728100</v>
      </c>
      <c r="W2525" s="25" t="s">
        <v>937</v>
      </c>
      <c r="X2525" s="25"/>
      <c r="Y2525" s="25"/>
      <c r="Z2525" s="75"/>
      <c r="AA2525" s="3" t="str">
        <f>IF(BCP_Soles[[#This Row],[fecha]]&gt;0,TEXT(BCP_Soles[[#This Row],[fecha]],"mmmm"),0)</f>
        <v>Julio</v>
      </c>
    </row>
    <row r="2526" spans="1:27" ht="24" x14ac:dyDescent="0.3">
      <c r="A2526" s="2">
        <f>IF(BCP_Soles[[#This Row],[tipo_registro]]="R",COUNTIFS($C$1:$C2525,"R")+1,A2525)</f>
        <v>1851</v>
      </c>
      <c r="B2526" s="19" t="str">
        <f t="shared" si="206"/>
        <v>B-BCP - Soles</v>
      </c>
      <c r="C2526" s="3" t="s">
        <v>1330</v>
      </c>
      <c r="D2526" s="14">
        <v>45845</v>
      </c>
      <c r="E2526" s="5" t="s">
        <v>1331</v>
      </c>
      <c r="F2526" s="5" t="s">
        <v>1336</v>
      </c>
      <c r="G2526" s="6" t="s">
        <v>928</v>
      </c>
      <c r="H2526" s="6"/>
      <c r="I2526" s="6"/>
      <c r="J2526" s="6"/>
      <c r="K2526" s="7" t="s">
        <v>3779</v>
      </c>
      <c r="L2526" s="8">
        <v>1261474</v>
      </c>
      <c r="M2526" s="8" t="str">
        <f t="shared" si="207"/>
        <v>PEN</v>
      </c>
      <c r="N2526" s="13"/>
      <c r="O2526" s="13">
        <v>216.3</v>
      </c>
      <c r="P2526" s="3">
        <f t="shared" si="208"/>
        <v>0</v>
      </c>
      <c r="Q2526" s="3">
        <f t="shared" si="209"/>
        <v>216.3</v>
      </c>
      <c r="R2526" s="3">
        <f t="shared" si="205"/>
        <v>29890.020000000019</v>
      </c>
      <c r="S2526" s="24"/>
      <c r="T2526" s="24"/>
      <c r="U2526" s="55"/>
      <c r="V2526" s="25">
        <f>IFERROR(VLOOKUP(BCP_Soles[[#This Row],[destinatario]],CHOOSE({1,2},Clientes_Proveedores[Razon Social],Clientes_Proveedores[Ruc / Dni]),2,0),"")</f>
        <v>46126507</v>
      </c>
      <c r="W2526" s="25" t="s">
        <v>1880</v>
      </c>
      <c r="X2526" s="25"/>
      <c r="Y2526" s="25"/>
      <c r="Z2526" s="75"/>
      <c r="AA2526" s="3" t="str">
        <f>IF(BCP_Soles[[#This Row],[fecha]]&gt;0,TEXT(BCP_Soles[[#This Row],[fecha]],"mmmm"),0)</f>
        <v>Julio</v>
      </c>
    </row>
    <row r="2527" spans="1:27" ht="24" x14ac:dyDescent="0.3">
      <c r="A2527" s="2">
        <f>IF(BCP_Soles[[#This Row],[tipo_registro]]="R",COUNTIFS($C$1:$C2526,"R")+1,A2526)</f>
        <v>1852</v>
      </c>
      <c r="B2527" s="19" t="str">
        <f t="shared" si="206"/>
        <v>B-BCP - Soles</v>
      </c>
      <c r="C2527" s="3" t="s">
        <v>1330</v>
      </c>
      <c r="D2527" s="14">
        <v>45845</v>
      </c>
      <c r="E2527" s="5" t="s">
        <v>1331</v>
      </c>
      <c r="F2527" s="5" t="s">
        <v>1336</v>
      </c>
      <c r="G2527" s="6" t="s">
        <v>953</v>
      </c>
      <c r="H2527" s="6"/>
      <c r="I2527" s="6"/>
      <c r="J2527" s="6"/>
      <c r="K2527" s="7" t="s">
        <v>3780</v>
      </c>
      <c r="L2527" s="8">
        <v>1262420</v>
      </c>
      <c r="M2527" s="8" t="str">
        <f t="shared" si="207"/>
        <v>PEN</v>
      </c>
      <c r="N2527" s="13"/>
      <c r="O2527" s="13">
        <v>216.67</v>
      </c>
      <c r="P2527" s="3">
        <f t="shared" si="208"/>
        <v>0</v>
      </c>
      <c r="Q2527" s="3">
        <f t="shared" si="209"/>
        <v>216.67</v>
      </c>
      <c r="R2527" s="3">
        <f t="shared" si="205"/>
        <v>29673.35000000002</v>
      </c>
      <c r="S2527" s="24"/>
      <c r="T2527" s="24"/>
      <c r="U2527" s="55"/>
      <c r="V2527" s="25">
        <f>IFERROR(VLOOKUP(BCP_Soles[[#This Row],[destinatario]],CHOOSE({1,2},Clientes_Proveedores[Razon Social],Clientes_Proveedores[Ruc / Dni]),2,0),"")</f>
        <v>72682665</v>
      </c>
      <c r="W2527" s="25" t="s">
        <v>953</v>
      </c>
      <c r="X2527" s="25"/>
      <c r="Y2527" s="25"/>
      <c r="Z2527" s="75"/>
      <c r="AA2527" s="3" t="str">
        <f>IF(BCP_Soles[[#This Row],[fecha]]&gt;0,TEXT(BCP_Soles[[#This Row],[fecha]],"mmmm"),0)</f>
        <v>Julio</v>
      </c>
    </row>
    <row r="2528" spans="1:27" ht="24" x14ac:dyDescent="0.3">
      <c r="A2528" s="2">
        <f>IF(BCP_Soles[[#This Row],[tipo_registro]]="R",COUNTIFS($C$1:$C2527,"R")+1,A2527)</f>
        <v>1853</v>
      </c>
      <c r="B2528" s="19" t="str">
        <f t="shared" si="206"/>
        <v>B-BCP - Soles</v>
      </c>
      <c r="C2528" s="3" t="s">
        <v>1330</v>
      </c>
      <c r="D2528" s="14">
        <v>45845</v>
      </c>
      <c r="E2528" s="5" t="s">
        <v>1331</v>
      </c>
      <c r="F2528" s="5" t="s">
        <v>1336</v>
      </c>
      <c r="G2528" s="6" t="s">
        <v>836</v>
      </c>
      <c r="H2528" s="6"/>
      <c r="I2528" s="6"/>
      <c r="J2528" s="6"/>
      <c r="K2528" s="7" t="s">
        <v>3781</v>
      </c>
      <c r="L2528" s="8">
        <v>1265516</v>
      </c>
      <c r="M2528" s="8" t="str">
        <f t="shared" si="207"/>
        <v>PEN</v>
      </c>
      <c r="N2528" s="13"/>
      <c r="O2528" s="13">
        <v>218.15</v>
      </c>
      <c r="P2528" s="3">
        <f t="shared" si="208"/>
        <v>0</v>
      </c>
      <c r="Q2528" s="3">
        <f t="shared" si="209"/>
        <v>218.15</v>
      </c>
      <c r="R2528" s="3">
        <f t="shared" si="205"/>
        <v>29455.200000000019</v>
      </c>
      <c r="S2528" s="24"/>
      <c r="T2528" s="24"/>
      <c r="U2528" s="55"/>
      <c r="V2528" s="25">
        <f>IFERROR(VLOOKUP(BCP_Soles[[#This Row],[destinatario]],CHOOSE({1,2},Clientes_Proveedores[Razon Social],Clientes_Proveedores[Ruc / Dni]),2,0),"")</f>
        <v>44468346</v>
      </c>
      <c r="W2528" s="25" t="s">
        <v>836</v>
      </c>
      <c r="X2528" s="25"/>
      <c r="Y2528" s="25"/>
      <c r="Z2528" s="75"/>
      <c r="AA2528" s="3" t="str">
        <f>IF(BCP_Soles[[#This Row],[fecha]]&gt;0,TEXT(BCP_Soles[[#This Row],[fecha]],"mmmm"),0)</f>
        <v>Julio</v>
      </c>
    </row>
    <row r="2529" spans="1:27" ht="24" x14ac:dyDescent="0.3">
      <c r="A2529" s="2">
        <f>IF(BCP_Soles[[#This Row],[tipo_registro]]="R",COUNTIFS($C$1:$C2528,"R")+1,A2528)</f>
        <v>1854</v>
      </c>
      <c r="B2529" s="19" t="str">
        <f t="shared" si="206"/>
        <v>B-BCP - Soles</v>
      </c>
      <c r="C2529" s="3" t="s">
        <v>1330</v>
      </c>
      <c r="D2529" s="14">
        <v>45845</v>
      </c>
      <c r="E2529" s="5" t="s">
        <v>1331</v>
      </c>
      <c r="F2529" s="5" t="s">
        <v>1336</v>
      </c>
      <c r="G2529" s="6" t="s">
        <v>884</v>
      </c>
      <c r="H2529" s="6"/>
      <c r="I2529" s="6"/>
      <c r="J2529" s="6"/>
      <c r="K2529" s="7" t="s">
        <v>3782</v>
      </c>
      <c r="L2529" s="8">
        <v>1264081</v>
      </c>
      <c r="M2529" s="8" t="str">
        <f t="shared" si="207"/>
        <v>PEN</v>
      </c>
      <c r="N2529" s="13"/>
      <c r="O2529" s="13">
        <v>218.63</v>
      </c>
      <c r="P2529" s="3">
        <f t="shared" si="208"/>
        <v>0</v>
      </c>
      <c r="Q2529" s="3">
        <f t="shared" si="209"/>
        <v>218.63</v>
      </c>
      <c r="R2529" s="3">
        <f t="shared" si="205"/>
        <v>29236.570000000018</v>
      </c>
      <c r="S2529" s="24"/>
      <c r="T2529" s="24"/>
      <c r="U2529" s="55"/>
      <c r="V2529" s="25">
        <f>IFERROR(VLOOKUP(BCP_Soles[[#This Row],[destinatario]],CHOOSE({1,2},Clientes_Proveedores[Razon Social],Clientes_Proveedores[Ruc / Dni]),2,0),"")</f>
        <v>71979355</v>
      </c>
      <c r="W2529" s="25" t="s">
        <v>884</v>
      </c>
      <c r="X2529" s="25"/>
      <c r="Y2529" s="25"/>
      <c r="Z2529" s="75"/>
      <c r="AA2529" s="3" t="str">
        <f>IF(BCP_Soles[[#This Row],[fecha]]&gt;0,TEXT(BCP_Soles[[#This Row],[fecha]],"mmmm"),0)</f>
        <v>Julio</v>
      </c>
    </row>
    <row r="2530" spans="1:27" ht="24" x14ac:dyDescent="0.3">
      <c r="A2530" s="2">
        <f>IF(BCP_Soles[[#This Row],[tipo_registro]]="R",COUNTIFS($C$1:$C2529,"R")+1,A2529)</f>
        <v>1855</v>
      </c>
      <c r="B2530" s="19" t="str">
        <f t="shared" si="206"/>
        <v>B-BCP - Soles</v>
      </c>
      <c r="C2530" s="3" t="s">
        <v>1330</v>
      </c>
      <c r="D2530" s="14">
        <v>45845</v>
      </c>
      <c r="E2530" s="5" t="s">
        <v>1331</v>
      </c>
      <c r="F2530" s="5" t="s">
        <v>1336</v>
      </c>
      <c r="G2530" s="6" t="s">
        <v>916</v>
      </c>
      <c r="H2530" s="6"/>
      <c r="I2530" s="6"/>
      <c r="J2530" s="6"/>
      <c r="K2530" s="7" t="s">
        <v>3783</v>
      </c>
      <c r="L2530" s="8">
        <v>1261955</v>
      </c>
      <c r="M2530" s="8" t="str">
        <f t="shared" si="207"/>
        <v>PEN</v>
      </c>
      <c r="N2530" s="13"/>
      <c r="O2530" s="13">
        <v>219.66</v>
      </c>
      <c r="P2530" s="3">
        <f t="shared" si="208"/>
        <v>0</v>
      </c>
      <c r="Q2530" s="3">
        <f t="shared" si="209"/>
        <v>219.66</v>
      </c>
      <c r="R2530" s="3">
        <f t="shared" si="205"/>
        <v>29016.910000000018</v>
      </c>
      <c r="S2530" s="24"/>
      <c r="T2530" s="24"/>
      <c r="U2530" s="55"/>
      <c r="V2530" s="25">
        <f>IFERROR(VLOOKUP(BCP_Soles[[#This Row],[destinatario]],CHOOSE({1,2},Clientes_Proveedores[Razon Social],Clientes_Proveedores[Ruc / Dni]),2,0),"")</f>
        <v>24800480</v>
      </c>
      <c r="W2530" s="25" t="s">
        <v>916</v>
      </c>
      <c r="X2530" s="25"/>
      <c r="Y2530" s="25"/>
      <c r="Z2530" s="75"/>
      <c r="AA2530" s="3" t="str">
        <f>IF(BCP_Soles[[#This Row],[fecha]]&gt;0,TEXT(BCP_Soles[[#This Row],[fecha]],"mmmm"),0)</f>
        <v>Julio</v>
      </c>
    </row>
    <row r="2531" spans="1:27" ht="24" x14ac:dyDescent="0.3">
      <c r="A2531" s="2">
        <f>IF(BCP_Soles[[#This Row],[tipo_registro]]="R",COUNTIFS($C$1:$C2530,"R")+1,A2530)</f>
        <v>1856</v>
      </c>
      <c r="B2531" s="19" t="str">
        <f t="shared" si="206"/>
        <v>B-BCP - Soles</v>
      </c>
      <c r="C2531" s="3" t="s">
        <v>1330</v>
      </c>
      <c r="D2531" s="14">
        <v>45845</v>
      </c>
      <c r="E2531" s="5" t="s">
        <v>1331</v>
      </c>
      <c r="F2531" s="5" t="s">
        <v>1336</v>
      </c>
      <c r="G2531" s="6" t="s">
        <v>933</v>
      </c>
      <c r="H2531" s="6"/>
      <c r="I2531" s="6"/>
      <c r="J2531" s="6"/>
      <c r="K2531" s="7" t="s">
        <v>3784</v>
      </c>
      <c r="L2531" s="8">
        <v>1262934</v>
      </c>
      <c r="M2531" s="8" t="str">
        <f t="shared" si="207"/>
        <v>PEN</v>
      </c>
      <c r="N2531" s="13"/>
      <c r="O2531" s="13">
        <v>224.42</v>
      </c>
      <c r="P2531" s="3">
        <f t="shared" si="208"/>
        <v>0</v>
      </c>
      <c r="Q2531" s="3">
        <f t="shared" si="209"/>
        <v>224.42</v>
      </c>
      <c r="R2531" s="3">
        <f t="shared" si="205"/>
        <v>28792.49000000002</v>
      </c>
      <c r="S2531" s="24"/>
      <c r="T2531" s="24"/>
      <c r="U2531" s="55"/>
      <c r="V2531" s="25">
        <f>IFERROR(VLOOKUP(BCP_Soles[[#This Row],[destinatario]],CHOOSE({1,2},Clientes_Proveedores[Razon Social],Clientes_Proveedores[Ruc / Dni]),2,0),"")</f>
        <v>73195103</v>
      </c>
      <c r="W2531" s="25" t="s">
        <v>3785</v>
      </c>
      <c r="X2531" s="25"/>
      <c r="Y2531" s="25"/>
      <c r="Z2531" s="75"/>
      <c r="AA2531" s="3" t="str">
        <f>IF(BCP_Soles[[#This Row],[fecha]]&gt;0,TEXT(BCP_Soles[[#This Row],[fecha]],"mmmm"),0)</f>
        <v>Julio</v>
      </c>
    </row>
    <row r="2532" spans="1:27" ht="24" x14ac:dyDescent="0.3">
      <c r="A2532" s="2">
        <f>IF(BCP_Soles[[#This Row],[tipo_registro]]="R",COUNTIFS($C$1:$C2531,"R")+1,A2531)</f>
        <v>1857</v>
      </c>
      <c r="B2532" s="19" t="str">
        <f t="shared" si="206"/>
        <v>B-BCP - Soles</v>
      </c>
      <c r="C2532" s="3" t="s">
        <v>1330</v>
      </c>
      <c r="D2532" s="14">
        <v>45845</v>
      </c>
      <c r="E2532" s="5" t="s">
        <v>1331</v>
      </c>
      <c r="F2532" s="5" t="s">
        <v>1336</v>
      </c>
      <c r="G2532" s="6" t="s">
        <v>820</v>
      </c>
      <c r="H2532" s="6"/>
      <c r="I2532" s="6"/>
      <c r="J2532" s="6"/>
      <c r="K2532" s="7" t="s">
        <v>3786</v>
      </c>
      <c r="L2532" s="8">
        <v>1262489</v>
      </c>
      <c r="M2532" s="8" t="str">
        <f t="shared" si="207"/>
        <v>PEN</v>
      </c>
      <c r="N2532" s="13"/>
      <c r="O2532" s="13">
        <v>227.56</v>
      </c>
      <c r="P2532" s="3">
        <f t="shared" si="208"/>
        <v>0</v>
      </c>
      <c r="Q2532" s="3">
        <f t="shared" si="209"/>
        <v>227.56</v>
      </c>
      <c r="R2532" s="3">
        <f t="shared" si="205"/>
        <v>28564.930000000018</v>
      </c>
      <c r="S2532" s="24"/>
      <c r="T2532" s="24"/>
      <c r="U2532" s="55"/>
      <c r="V2532" s="25">
        <f>IFERROR(VLOOKUP(BCP_Soles[[#This Row],[destinatario]],CHOOSE({1,2},Clientes_Proveedores[Razon Social],Clientes_Proveedores[Ruc / Dni]),2,0),"")</f>
        <v>75424672</v>
      </c>
      <c r="W2532" s="25" t="s">
        <v>3787</v>
      </c>
      <c r="X2532" s="25"/>
      <c r="Y2532" s="25"/>
      <c r="Z2532" s="75"/>
      <c r="AA2532" s="3" t="str">
        <f>IF(BCP_Soles[[#This Row],[fecha]]&gt;0,TEXT(BCP_Soles[[#This Row],[fecha]],"mmmm"),0)</f>
        <v>Julio</v>
      </c>
    </row>
    <row r="2533" spans="1:27" ht="24" x14ac:dyDescent="0.3">
      <c r="A2533" s="2">
        <f>IF(BCP_Soles[[#This Row],[tipo_registro]]="R",COUNTIFS($C$1:$C2532,"R")+1,A2532)</f>
        <v>1858</v>
      </c>
      <c r="B2533" s="19" t="str">
        <f t="shared" si="206"/>
        <v>B-BCP - Soles</v>
      </c>
      <c r="C2533" s="3" t="s">
        <v>1330</v>
      </c>
      <c r="D2533" s="14">
        <v>45845</v>
      </c>
      <c r="E2533" s="5" t="s">
        <v>1331</v>
      </c>
      <c r="F2533" s="5" t="s">
        <v>1336</v>
      </c>
      <c r="G2533" s="6" t="s">
        <v>852</v>
      </c>
      <c r="H2533" s="6"/>
      <c r="I2533" s="6"/>
      <c r="J2533" s="6"/>
      <c r="K2533" s="7" t="s">
        <v>3788</v>
      </c>
      <c r="L2533" s="8">
        <v>1263964</v>
      </c>
      <c r="M2533" s="8" t="str">
        <f t="shared" si="207"/>
        <v>PEN</v>
      </c>
      <c r="N2533" s="13"/>
      <c r="O2533" s="13">
        <v>232.99</v>
      </c>
      <c r="P2533" s="3">
        <f t="shared" si="208"/>
        <v>0</v>
      </c>
      <c r="Q2533" s="3">
        <f t="shared" si="209"/>
        <v>232.99</v>
      </c>
      <c r="R2533" s="3">
        <f t="shared" si="205"/>
        <v>28331.940000000017</v>
      </c>
      <c r="S2533" s="24"/>
      <c r="T2533" s="24"/>
      <c r="U2533" s="55"/>
      <c r="V2533" s="25">
        <f>IFERROR(VLOOKUP(BCP_Soles[[#This Row],[destinatario]],CHOOSE({1,2},Clientes_Proveedores[Razon Social],Clientes_Proveedores[Ruc / Dni]),2,0),"")</f>
        <v>70211580</v>
      </c>
      <c r="W2533" s="25" t="s">
        <v>852</v>
      </c>
      <c r="X2533" s="25"/>
      <c r="Y2533" s="25"/>
      <c r="Z2533" s="75"/>
      <c r="AA2533" s="3" t="str">
        <f>IF(BCP_Soles[[#This Row],[fecha]]&gt;0,TEXT(BCP_Soles[[#This Row],[fecha]],"mmmm"),0)</f>
        <v>Julio</v>
      </c>
    </row>
    <row r="2534" spans="1:27" ht="36" x14ac:dyDescent="0.3">
      <c r="A2534" s="2">
        <f>IF(BCP_Soles[[#This Row],[tipo_registro]]="R",COUNTIFS($C$1:$C2533,"R")+1,A2533)</f>
        <v>1859</v>
      </c>
      <c r="B2534" s="19" t="str">
        <f t="shared" si="206"/>
        <v>B-BCP - Soles</v>
      </c>
      <c r="C2534" s="3" t="s">
        <v>1330</v>
      </c>
      <c r="D2534" s="14">
        <v>45845</v>
      </c>
      <c r="E2534" s="5" t="s">
        <v>1331</v>
      </c>
      <c r="F2534" s="5" t="s">
        <v>1336</v>
      </c>
      <c r="G2534" s="6" t="s">
        <v>795</v>
      </c>
      <c r="H2534" s="6"/>
      <c r="I2534" s="6"/>
      <c r="J2534" s="6"/>
      <c r="K2534" s="7" t="s">
        <v>3789</v>
      </c>
      <c r="L2534" s="8">
        <v>1264091</v>
      </c>
      <c r="M2534" s="8" t="str">
        <f t="shared" si="207"/>
        <v>PEN</v>
      </c>
      <c r="N2534" s="13"/>
      <c r="O2534" s="13">
        <v>233.44</v>
      </c>
      <c r="P2534" s="3">
        <f t="shared" si="208"/>
        <v>0</v>
      </c>
      <c r="Q2534" s="3">
        <f t="shared" si="209"/>
        <v>233.44</v>
      </c>
      <c r="R2534" s="3">
        <f t="shared" si="205"/>
        <v>28098.500000000018</v>
      </c>
      <c r="S2534" s="24"/>
      <c r="T2534" s="24"/>
      <c r="U2534" s="55"/>
      <c r="V2534" s="25">
        <f>IFERROR(VLOOKUP(BCP_Soles[[#This Row],[destinatario]],CHOOSE({1,2},Clientes_Proveedores[Razon Social],Clientes_Proveedores[Ruc / Dni]),2,0),"")</f>
        <v>48164743</v>
      </c>
      <c r="W2534" s="25" t="s">
        <v>795</v>
      </c>
      <c r="X2534" s="25"/>
      <c r="Y2534" s="25"/>
      <c r="Z2534" s="75"/>
      <c r="AA2534" s="3" t="str">
        <f>IF(BCP_Soles[[#This Row],[fecha]]&gt;0,TEXT(BCP_Soles[[#This Row],[fecha]],"mmmm"),0)</f>
        <v>Julio</v>
      </c>
    </row>
    <row r="2535" spans="1:27" ht="24" x14ac:dyDescent="0.3">
      <c r="A2535" s="2">
        <f>IF(BCP_Soles[[#This Row],[tipo_registro]]="R",COUNTIFS($C$1:$C2534,"R")+1,A2534)</f>
        <v>1860</v>
      </c>
      <c r="B2535" s="19" t="str">
        <f t="shared" si="206"/>
        <v>B-BCP - Soles</v>
      </c>
      <c r="C2535" s="3" t="s">
        <v>1330</v>
      </c>
      <c r="D2535" s="14">
        <v>45845</v>
      </c>
      <c r="E2535" s="5" t="s">
        <v>1331</v>
      </c>
      <c r="F2535" s="5" t="s">
        <v>1336</v>
      </c>
      <c r="G2535" s="6" t="s">
        <v>692</v>
      </c>
      <c r="H2535" s="6"/>
      <c r="I2535" s="6"/>
      <c r="J2535" s="6"/>
      <c r="K2535" s="7" t="s">
        <v>3790</v>
      </c>
      <c r="L2535" s="8">
        <v>1262988</v>
      </c>
      <c r="M2535" s="8" t="str">
        <f t="shared" si="207"/>
        <v>PEN</v>
      </c>
      <c r="N2535" s="13"/>
      <c r="O2535" s="13">
        <v>243.22</v>
      </c>
      <c r="P2535" s="3">
        <f t="shared" si="208"/>
        <v>0</v>
      </c>
      <c r="Q2535" s="3">
        <f t="shared" si="209"/>
        <v>243.22</v>
      </c>
      <c r="R2535" s="3">
        <f t="shared" si="205"/>
        <v>27855.280000000017</v>
      </c>
      <c r="S2535" s="24"/>
      <c r="T2535" s="24"/>
      <c r="U2535" s="55"/>
      <c r="V2535" s="25">
        <f>IFERROR(VLOOKUP(BCP_Soles[[#This Row],[destinatario]],CHOOSE({1,2},Clientes_Proveedores[Razon Social],Clientes_Proveedores[Ruc / Dni]),2,0),"")</f>
        <v>10736055631</v>
      </c>
      <c r="W2535" s="25" t="s">
        <v>692</v>
      </c>
      <c r="X2535" s="25"/>
      <c r="Y2535" s="25"/>
      <c r="Z2535" s="75"/>
      <c r="AA2535" s="3" t="str">
        <f>IF(BCP_Soles[[#This Row],[fecha]]&gt;0,TEXT(BCP_Soles[[#This Row],[fecha]],"mmmm"),0)</f>
        <v>Julio</v>
      </c>
    </row>
    <row r="2536" spans="1:27" ht="36" x14ac:dyDescent="0.3">
      <c r="A2536" s="2">
        <f>IF(BCP_Soles[[#This Row],[tipo_registro]]="R",COUNTIFS($C$1:$C2535,"R")+1,A2535)</f>
        <v>1861</v>
      </c>
      <c r="B2536" s="19" t="str">
        <f t="shared" si="206"/>
        <v>B-BCP - Soles</v>
      </c>
      <c r="C2536" s="3" t="s">
        <v>1330</v>
      </c>
      <c r="D2536" s="14">
        <v>45845</v>
      </c>
      <c r="E2536" s="5" t="s">
        <v>1331</v>
      </c>
      <c r="F2536" s="5" t="s">
        <v>1336</v>
      </c>
      <c r="G2536" s="6" t="s">
        <v>829</v>
      </c>
      <c r="H2536" s="6"/>
      <c r="I2536" s="6"/>
      <c r="J2536" s="6"/>
      <c r="K2536" s="7" t="s">
        <v>3791</v>
      </c>
      <c r="L2536" s="8">
        <v>1264552</v>
      </c>
      <c r="M2536" s="8" t="str">
        <f t="shared" si="207"/>
        <v>PEN</v>
      </c>
      <c r="N2536" s="13"/>
      <c r="O2536" s="13">
        <v>250.4</v>
      </c>
      <c r="P2536" s="3">
        <f t="shared" si="208"/>
        <v>0</v>
      </c>
      <c r="Q2536" s="3">
        <f t="shared" si="209"/>
        <v>250.4</v>
      </c>
      <c r="R2536" s="3">
        <f t="shared" si="205"/>
        <v>27604.880000000016</v>
      </c>
      <c r="S2536" s="24"/>
      <c r="T2536" s="24"/>
      <c r="U2536" s="55"/>
      <c r="V2536" s="25">
        <f>IFERROR(VLOOKUP(BCP_Soles[[#This Row],[destinatario]],CHOOSE({1,2},Clientes_Proveedores[Razon Social],Clientes_Proveedores[Ruc / Dni]),2,0),"")</f>
        <v>70198916</v>
      </c>
      <c r="W2536" s="25" t="s">
        <v>3792</v>
      </c>
      <c r="X2536" s="25"/>
      <c r="Y2536" s="25"/>
      <c r="Z2536" s="75"/>
      <c r="AA2536" s="3" t="str">
        <f>IF(BCP_Soles[[#This Row],[fecha]]&gt;0,TEXT(BCP_Soles[[#This Row],[fecha]],"mmmm"),0)</f>
        <v>Julio</v>
      </c>
    </row>
    <row r="2537" spans="1:27" ht="24" x14ac:dyDescent="0.3">
      <c r="A2537" s="2">
        <f>IF(BCP_Soles[[#This Row],[tipo_registro]]="R",COUNTIFS($C$1:$C2536,"R")+1,A2536)</f>
        <v>1862</v>
      </c>
      <c r="B2537" s="19" t="str">
        <f t="shared" si="206"/>
        <v>B-BCP - Soles</v>
      </c>
      <c r="C2537" s="3" t="s">
        <v>1330</v>
      </c>
      <c r="D2537" s="14">
        <v>45845</v>
      </c>
      <c r="E2537" s="5" t="s">
        <v>1331</v>
      </c>
      <c r="F2537" s="5" t="s">
        <v>1336</v>
      </c>
      <c r="G2537" s="6" t="s">
        <v>920</v>
      </c>
      <c r="H2537" s="6"/>
      <c r="I2537" s="6"/>
      <c r="J2537" s="6"/>
      <c r="K2537" s="7" t="s">
        <v>3793</v>
      </c>
      <c r="L2537" s="8">
        <v>1261956</v>
      </c>
      <c r="M2537" s="8" t="str">
        <f t="shared" si="207"/>
        <v>PEN</v>
      </c>
      <c r="N2537" s="13"/>
      <c r="O2537" s="13">
        <v>251.02</v>
      </c>
      <c r="P2537" s="3">
        <f t="shared" si="208"/>
        <v>0</v>
      </c>
      <c r="Q2537" s="3">
        <f t="shared" si="209"/>
        <v>251.02</v>
      </c>
      <c r="R2537" s="3">
        <f t="shared" si="205"/>
        <v>27353.860000000015</v>
      </c>
      <c r="S2537" s="24"/>
      <c r="T2537" s="24"/>
      <c r="U2537" s="55"/>
      <c r="V2537" s="25">
        <f>IFERROR(VLOOKUP(BCP_Soles[[#This Row],[destinatario]],CHOOSE({1,2},Clientes_Proveedores[Razon Social],Clientes_Proveedores[Ruc / Dni]),2,0),"")</f>
        <v>46809818</v>
      </c>
      <c r="W2537" s="25" t="s">
        <v>920</v>
      </c>
      <c r="X2537" s="25"/>
      <c r="Y2537" s="25"/>
      <c r="Z2537" s="75"/>
      <c r="AA2537" s="3" t="str">
        <f>IF(BCP_Soles[[#This Row],[fecha]]&gt;0,TEXT(BCP_Soles[[#This Row],[fecha]],"mmmm"),0)</f>
        <v>Julio</v>
      </c>
    </row>
    <row r="2538" spans="1:27" ht="24" x14ac:dyDescent="0.3">
      <c r="A2538" s="2">
        <f>IF(BCP_Soles[[#This Row],[tipo_registro]]="R",COUNTIFS($C$1:$C2537,"R")+1,A2537)</f>
        <v>1863</v>
      </c>
      <c r="B2538" s="19" t="str">
        <f t="shared" si="206"/>
        <v>B-BCP - Soles</v>
      </c>
      <c r="C2538" s="3" t="s">
        <v>1330</v>
      </c>
      <c r="D2538" s="14">
        <v>45845</v>
      </c>
      <c r="E2538" s="5" t="s">
        <v>1331</v>
      </c>
      <c r="F2538" s="5" t="s">
        <v>1336</v>
      </c>
      <c r="G2538" s="6" t="s">
        <v>957</v>
      </c>
      <c r="H2538" s="6"/>
      <c r="I2538" s="6"/>
      <c r="J2538" s="6"/>
      <c r="K2538" s="7" t="s">
        <v>3794</v>
      </c>
      <c r="L2538" s="8">
        <v>1261465</v>
      </c>
      <c r="M2538" s="8" t="str">
        <f t="shared" si="207"/>
        <v>PEN</v>
      </c>
      <c r="N2538" s="13"/>
      <c r="O2538" s="13">
        <v>251.06</v>
      </c>
      <c r="P2538" s="3">
        <f t="shared" si="208"/>
        <v>0</v>
      </c>
      <c r="Q2538" s="3">
        <f t="shared" si="209"/>
        <v>251.06</v>
      </c>
      <c r="R2538" s="3">
        <f t="shared" si="205"/>
        <v>27102.800000000014</v>
      </c>
      <c r="S2538" s="24"/>
      <c r="T2538" s="24"/>
      <c r="U2538" s="55"/>
      <c r="V2538" s="25">
        <f>IFERROR(VLOOKUP(BCP_Soles[[#This Row],[destinatario]],CHOOSE({1,2},Clientes_Proveedores[Razon Social],Clientes_Proveedores[Ruc / Dni]),2,0),"")</f>
        <v>80454870</v>
      </c>
      <c r="W2538" s="25" t="s">
        <v>957</v>
      </c>
      <c r="X2538" s="25"/>
      <c r="Y2538" s="25"/>
      <c r="Z2538" s="75"/>
      <c r="AA2538" s="3" t="str">
        <f>IF(BCP_Soles[[#This Row],[fecha]]&gt;0,TEXT(BCP_Soles[[#This Row],[fecha]],"mmmm"),0)</f>
        <v>Julio</v>
      </c>
    </row>
    <row r="2539" spans="1:27" ht="24" x14ac:dyDescent="0.3">
      <c r="A2539" s="2">
        <f>IF(BCP_Soles[[#This Row],[tipo_registro]]="R",COUNTIFS($C$1:$C2538,"R")+1,A2538)</f>
        <v>1864</v>
      </c>
      <c r="B2539" s="19" t="str">
        <f t="shared" si="206"/>
        <v>B-BCP - Soles</v>
      </c>
      <c r="C2539" s="3" t="s">
        <v>1330</v>
      </c>
      <c r="D2539" s="14">
        <v>45845</v>
      </c>
      <c r="E2539" s="5" t="s">
        <v>1331</v>
      </c>
      <c r="F2539" s="5" t="s">
        <v>1336</v>
      </c>
      <c r="G2539" s="6" t="s">
        <v>895</v>
      </c>
      <c r="H2539" s="6"/>
      <c r="I2539" s="6"/>
      <c r="J2539" s="6"/>
      <c r="K2539" s="7" t="s">
        <v>3795</v>
      </c>
      <c r="L2539" s="8">
        <v>1262990</v>
      </c>
      <c r="M2539" s="8" t="str">
        <f t="shared" si="207"/>
        <v>PEN</v>
      </c>
      <c r="N2539" s="13"/>
      <c r="O2539" s="13">
        <v>255.74</v>
      </c>
      <c r="P2539" s="3">
        <f t="shared" si="208"/>
        <v>0</v>
      </c>
      <c r="Q2539" s="3">
        <f t="shared" si="209"/>
        <v>255.74</v>
      </c>
      <c r="R2539" s="3">
        <f t="shared" si="205"/>
        <v>26847.060000000012</v>
      </c>
      <c r="S2539" s="24"/>
      <c r="T2539" s="24"/>
      <c r="U2539" s="55"/>
      <c r="V2539" s="25">
        <f>IFERROR(VLOOKUP(BCP_Soles[[#This Row],[destinatario]],CHOOSE({1,2},Clientes_Proveedores[Razon Social],Clientes_Proveedores[Ruc / Dni]),2,0),"")</f>
        <v>72144092</v>
      </c>
      <c r="W2539" s="25" t="s">
        <v>895</v>
      </c>
      <c r="X2539" s="25"/>
      <c r="Y2539" s="25"/>
      <c r="Z2539" s="75"/>
      <c r="AA2539" s="3" t="str">
        <f>IF(BCP_Soles[[#This Row],[fecha]]&gt;0,TEXT(BCP_Soles[[#This Row],[fecha]],"mmmm"),0)</f>
        <v>Julio</v>
      </c>
    </row>
    <row r="2540" spans="1:27" ht="24" x14ac:dyDescent="0.3">
      <c r="A2540" s="2">
        <f>IF(BCP_Soles[[#This Row],[tipo_registro]]="R",COUNTIFS($C$1:$C2539,"R")+1,A2539)</f>
        <v>1865</v>
      </c>
      <c r="B2540" s="19" t="str">
        <f t="shared" si="206"/>
        <v>B-BCP - Soles</v>
      </c>
      <c r="C2540" s="3" t="s">
        <v>1330</v>
      </c>
      <c r="D2540" s="14">
        <v>45845</v>
      </c>
      <c r="E2540" s="5" t="s">
        <v>1331</v>
      </c>
      <c r="F2540" s="5" t="s">
        <v>1336</v>
      </c>
      <c r="G2540" s="6" t="s">
        <v>812</v>
      </c>
      <c r="H2540" s="6"/>
      <c r="I2540" s="6"/>
      <c r="J2540" s="6"/>
      <c r="K2540" s="7" t="s">
        <v>3796</v>
      </c>
      <c r="L2540" s="8">
        <v>1263491</v>
      </c>
      <c r="M2540" s="8" t="str">
        <f t="shared" si="207"/>
        <v>PEN</v>
      </c>
      <c r="N2540" s="13"/>
      <c r="O2540" s="13">
        <v>260.36</v>
      </c>
      <c r="P2540" s="3">
        <f t="shared" si="208"/>
        <v>0</v>
      </c>
      <c r="Q2540" s="3">
        <f t="shared" si="209"/>
        <v>260.36</v>
      </c>
      <c r="R2540" s="3">
        <f t="shared" si="205"/>
        <v>26586.700000000012</v>
      </c>
      <c r="S2540" s="24"/>
      <c r="T2540" s="24"/>
      <c r="U2540" s="55"/>
      <c r="V2540" s="25">
        <f>IFERROR(VLOOKUP(BCP_Soles[[#This Row],[destinatario]],CHOOSE({1,2},Clientes_Proveedores[Razon Social],Clientes_Proveedores[Ruc / Dni]),2,0),"")</f>
        <v>73444362</v>
      </c>
      <c r="W2540" s="25" t="s">
        <v>812</v>
      </c>
      <c r="X2540" s="25"/>
      <c r="Y2540" s="25"/>
      <c r="Z2540" s="75"/>
      <c r="AA2540" s="3" t="str">
        <f>IF(BCP_Soles[[#This Row],[fecha]]&gt;0,TEXT(BCP_Soles[[#This Row],[fecha]],"mmmm"),0)</f>
        <v>Julio</v>
      </c>
    </row>
    <row r="2541" spans="1:27" ht="24" x14ac:dyDescent="0.3">
      <c r="A2541" s="2">
        <f>IF(BCP_Soles[[#This Row],[tipo_registro]]="R",COUNTIFS($C$1:$C2540,"R")+1,A2540)</f>
        <v>1866</v>
      </c>
      <c r="B2541" s="19" t="str">
        <f t="shared" si="206"/>
        <v>B-BCP - Soles</v>
      </c>
      <c r="C2541" s="3" t="s">
        <v>1330</v>
      </c>
      <c r="D2541" s="14">
        <v>45845</v>
      </c>
      <c r="E2541" s="5" t="s">
        <v>1331</v>
      </c>
      <c r="F2541" s="5" t="s">
        <v>1336</v>
      </c>
      <c r="G2541" s="6" t="s">
        <v>918</v>
      </c>
      <c r="H2541" s="6"/>
      <c r="I2541" s="6"/>
      <c r="J2541" s="6"/>
      <c r="K2541" s="7" t="s">
        <v>3797</v>
      </c>
      <c r="L2541" s="8">
        <v>1261475</v>
      </c>
      <c r="M2541" s="8" t="str">
        <f t="shared" si="207"/>
        <v>PEN</v>
      </c>
      <c r="N2541" s="13"/>
      <c r="O2541" s="13">
        <v>263.94</v>
      </c>
      <c r="P2541" s="3">
        <f t="shared" si="208"/>
        <v>0</v>
      </c>
      <c r="Q2541" s="3">
        <f t="shared" si="209"/>
        <v>263.94</v>
      </c>
      <c r="R2541" s="3">
        <f t="shared" si="205"/>
        <v>26322.760000000013</v>
      </c>
      <c r="S2541" s="24"/>
      <c r="T2541" s="24"/>
      <c r="U2541" s="55"/>
      <c r="V2541" s="25">
        <f>IFERROR(VLOOKUP(BCP_Soles[[#This Row],[destinatario]],CHOOSE({1,2},Clientes_Proveedores[Razon Social],Clientes_Proveedores[Ruc / Dni]),2,0),"")</f>
        <v>48536654</v>
      </c>
      <c r="W2541" s="25" t="s">
        <v>918</v>
      </c>
      <c r="X2541" s="25"/>
      <c r="Y2541" s="25"/>
      <c r="Z2541" s="75"/>
      <c r="AA2541" s="3" t="str">
        <f>IF(BCP_Soles[[#This Row],[fecha]]&gt;0,TEXT(BCP_Soles[[#This Row],[fecha]],"mmmm"),0)</f>
        <v>Julio</v>
      </c>
    </row>
    <row r="2542" spans="1:27" ht="24" x14ac:dyDescent="0.3">
      <c r="A2542" s="2">
        <f>IF(BCP_Soles[[#This Row],[tipo_registro]]="R",COUNTIFS($C$1:$C2541,"R")+1,A2541)</f>
        <v>1867</v>
      </c>
      <c r="B2542" s="19" t="str">
        <f t="shared" si="206"/>
        <v>B-BCP - Soles</v>
      </c>
      <c r="C2542" s="3" t="s">
        <v>1330</v>
      </c>
      <c r="D2542" s="14">
        <v>45845</v>
      </c>
      <c r="E2542" s="5" t="s">
        <v>1331</v>
      </c>
      <c r="F2542" s="5" t="s">
        <v>1336</v>
      </c>
      <c r="G2542" s="6" t="s">
        <v>890</v>
      </c>
      <c r="H2542" s="6"/>
      <c r="I2542" s="6"/>
      <c r="J2542" s="6"/>
      <c r="K2542" s="7" t="s">
        <v>3798</v>
      </c>
      <c r="L2542" s="8">
        <v>1263960</v>
      </c>
      <c r="M2542" s="8" t="str">
        <f t="shared" si="207"/>
        <v>PEN</v>
      </c>
      <c r="N2542" s="13"/>
      <c r="O2542" s="13">
        <v>266.76</v>
      </c>
      <c r="P2542" s="3">
        <f t="shared" si="208"/>
        <v>0</v>
      </c>
      <c r="Q2542" s="3">
        <f t="shared" si="209"/>
        <v>266.76</v>
      </c>
      <c r="R2542" s="3">
        <f t="shared" si="205"/>
        <v>26056.000000000015</v>
      </c>
      <c r="S2542" s="24"/>
      <c r="T2542" s="24"/>
      <c r="U2542" s="55"/>
      <c r="V2542" s="25">
        <f>IFERROR(VLOOKUP(BCP_Soles[[#This Row],[destinatario]],CHOOSE({1,2},Clientes_Proveedores[Razon Social],Clientes_Proveedores[Ruc / Dni]),2,0),"")</f>
        <v>78803424</v>
      </c>
      <c r="W2542" s="25" t="s">
        <v>890</v>
      </c>
      <c r="X2542" s="25"/>
      <c r="Y2542" s="25"/>
      <c r="Z2542" s="75"/>
      <c r="AA2542" s="3" t="str">
        <f>IF(BCP_Soles[[#This Row],[fecha]]&gt;0,TEXT(BCP_Soles[[#This Row],[fecha]],"mmmm"),0)</f>
        <v>Julio</v>
      </c>
    </row>
    <row r="2543" spans="1:27" x14ac:dyDescent="0.3">
      <c r="A2543" s="2">
        <f>IF(BCP_Soles[[#This Row],[tipo_registro]]="R",COUNTIFS($C$1:$C2542,"R")+1,A2542)</f>
        <v>1868</v>
      </c>
      <c r="B2543" s="19" t="str">
        <f t="shared" si="206"/>
        <v>B-BCP - Soles</v>
      </c>
      <c r="C2543" s="3" t="s">
        <v>1330</v>
      </c>
      <c r="D2543" s="14">
        <v>45845</v>
      </c>
      <c r="E2543" s="5" t="s">
        <v>1331</v>
      </c>
      <c r="F2543" s="5" t="s">
        <v>1336</v>
      </c>
      <c r="G2543" s="6" t="s">
        <v>913</v>
      </c>
      <c r="H2543" s="6"/>
      <c r="I2543" s="6"/>
      <c r="J2543" s="6"/>
      <c r="K2543" s="7" t="s">
        <v>3799</v>
      </c>
      <c r="L2543" s="8">
        <v>1262430</v>
      </c>
      <c r="M2543" s="8" t="str">
        <f t="shared" si="207"/>
        <v>PEN</v>
      </c>
      <c r="N2543" s="13"/>
      <c r="O2543" s="13">
        <v>277.31</v>
      </c>
      <c r="P2543" s="3">
        <f t="shared" si="208"/>
        <v>0</v>
      </c>
      <c r="Q2543" s="3">
        <f t="shared" si="209"/>
        <v>277.31</v>
      </c>
      <c r="R2543" s="3">
        <f t="shared" si="205"/>
        <v>25778.690000000013</v>
      </c>
      <c r="S2543" s="24"/>
      <c r="T2543" s="24"/>
      <c r="U2543" s="55"/>
      <c r="V2543" s="25">
        <f>IFERROR(VLOOKUP(BCP_Soles[[#This Row],[destinatario]],CHOOSE({1,2},Clientes_Proveedores[Razon Social],Clientes_Proveedores[Ruc / Dni]),2,0),"")</f>
        <v>47760988</v>
      </c>
      <c r="W2543" s="25" t="s">
        <v>913</v>
      </c>
      <c r="X2543" s="25"/>
      <c r="Y2543" s="25"/>
      <c r="Z2543" s="75"/>
      <c r="AA2543" s="3" t="str">
        <f>IF(BCP_Soles[[#This Row],[fecha]]&gt;0,TEXT(BCP_Soles[[#This Row],[fecha]],"mmmm"),0)</f>
        <v>Julio</v>
      </c>
    </row>
    <row r="2544" spans="1:27" ht="24" x14ac:dyDescent="0.3">
      <c r="A2544" s="2">
        <f>IF(BCP_Soles[[#This Row],[tipo_registro]]="R",COUNTIFS($C$1:$C2543,"R")+1,A2543)</f>
        <v>1869</v>
      </c>
      <c r="B2544" s="19" t="str">
        <f t="shared" si="206"/>
        <v>B-BCP - Soles</v>
      </c>
      <c r="C2544" s="3" t="s">
        <v>1330</v>
      </c>
      <c r="D2544" s="14">
        <v>45845</v>
      </c>
      <c r="E2544" s="5" t="s">
        <v>1331</v>
      </c>
      <c r="F2544" s="5" t="s">
        <v>1336</v>
      </c>
      <c r="G2544" s="6" t="s">
        <v>882</v>
      </c>
      <c r="H2544" s="6"/>
      <c r="I2544" s="6"/>
      <c r="J2544" s="6"/>
      <c r="K2544" s="7" t="s">
        <v>3800</v>
      </c>
      <c r="L2544" s="8">
        <v>1265027</v>
      </c>
      <c r="M2544" s="8" t="str">
        <f t="shared" si="207"/>
        <v>PEN</v>
      </c>
      <c r="N2544" s="13"/>
      <c r="O2544" s="13">
        <v>285.8</v>
      </c>
      <c r="P2544" s="3">
        <f t="shared" si="208"/>
        <v>0</v>
      </c>
      <c r="Q2544" s="3">
        <f t="shared" si="209"/>
        <v>285.8</v>
      </c>
      <c r="R2544" s="3">
        <f t="shared" si="205"/>
        <v>25492.890000000014</v>
      </c>
      <c r="S2544" s="24"/>
      <c r="T2544" s="24"/>
      <c r="U2544" s="55"/>
      <c r="V2544" s="25">
        <f>IFERROR(VLOOKUP(BCP_Soles[[#This Row],[destinatario]],CHOOSE({1,2},Clientes_Proveedores[Razon Social],Clientes_Proveedores[Ruc / Dni]),2,0),"")</f>
        <v>72450429</v>
      </c>
      <c r="W2544" s="25" t="s">
        <v>882</v>
      </c>
      <c r="X2544" s="25"/>
      <c r="Y2544" s="25"/>
      <c r="Z2544" s="75"/>
      <c r="AA2544" s="3" t="str">
        <f>IF(BCP_Soles[[#This Row],[fecha]]&gt;0,TEXT(BCP_Soles[[#This Row],[fecha]],"mmmm"),0)</f>
        <v>Julio</v>
      </c>
    </row>
    <row r="2545" spans="1:27" ht="24" x14ac:dyDescent="0.3">
      <c r="A2545" s="2">
        <f>IF(BCP_Soles[[#This Row],[tipo_registro]]="R",COUNTIFS($C$1:$C2544,"R")+1,A2544)</f>
        <v>1870</v>
      </c>
      <c r="B2545" s="19" t="str">
        <f t="shared" si="206"/>
        <v>B-BCP - Soles</v>
      </c>
      <c r="C2545" s="3" t="s">
        <v>1330</v>
      </c>
      <c r="D2545" s="14">
        <v>45845</v>
      </c>
      <c r="E2545" s="5" t="s">
        <v>1331</v>
      </c>
      <c r="F2545" s="5" t="s">
        <v>1336</v>
      </c>
      <c r="G2545" s="6" t="s">
        <v>888</v>
      </c>
      <c r="H2545" s="6"/>
      <c r="I2545" s="6"/>
      <c r="J2545" s="6"/>
      <c r="K2545" s="7" t="s">
        <v>3801</v>
      </c>
      <c r="L2545" s="8">
        <v>1263482</v>
      </c>
      <c r="M2545" s="8" t="str">
        <f t="shared" si="207"/>
        <v>PEN</v>
      </c>
      <c r="N2545" s="13"/>
      <c r="O2545" s="13">
        <v>287.60000000000002</v>
      </c>
      <c r="P2545" s="3">
        <f t="shared" si="208"/>
        <v>0</v>
      </c>
      <c r="Q2545" s="3">
        <f t="shared" si="209"/>
        <v>287.60000000000002</v>
      </c>
      <c r="R2545" s="3">
        <f t="shared" si="205"/>
        <v>25205.290000000015</v>
      </c>
      <c r="S2545" s="24"/>
      <c r="T2545" s="24"/>
      <c r="U2545" s="55"/>
      <c r="V2545" s="25">
        <f>IFERROR(VLOOKUP(BCP_Soles[[#This Row],[destinatario]],CHOOSE({1,2},Clientes_Proveedores[Razon Social],Clientes_Proveedores[Ruc / Dni]),2,0),"")</f>
        <v>47461440</v>
      </c>
      <c r="W2545" s="25"/>
      <c r="X2545" s="25"/>
      <c r="Y2545" s="25"/>
      <c r="Z2545" s="75"/>
      <c r="AA2545" s="3" t="str">
        <f>IF(BCP_Soles[[#This Row],[fecha]]&gt;0,TEXT(BCP_Soles[[#This Row],[fecha]],"mmmm"),0)</f>
        <v>Julio</v>
      </c>
    </row>
    <row r="2546" spans="1:27" ht="24" x14ac:dyDescent="0.3">
      <c r="A2546" s="2">
        <f>IF(BCP_Soles[[#This Row],[tipo_registro]]="R",COUNTIFS($C$1:$C2545,"R")+1,A2545)</f>
        <v>1871</v>
      </c>
      <c r="B2546" s="19" t="str">
        <f t="shared" si="206"/>
        <v>B-BCP - Soles</v>
      </c>
      <c r="C2546" s="3" t="s">
        <v>1330</v>
      </c>
      <c r="D2546" s="14">
        <v>45845</v>
      </c>
      <c r="E2546" s="5" t="s">
        <v>1331</v>
      </c>
      <c r="F2546" s="5" t="s">
        <v>1336</v>
      </c>
      <c r="G2546" s="6" t="s">
        <v>901</v>
      </c>
      <c r="H2546" s="6"/>
      <c r="I2546" s="6"/>
      <c r="J2546" s="6"/>
      <c r="K2546" s="7" t="s">
        <v>3802</v>
      </c>
      <c r="L2546" s="8">
        <v>1261479</v>
      </c>
      <c r="M2546" s="8" t="str">
        <f t="shared" si="207"/>
        <v>PEN</v>
      </c>
      <c r="N2546" s="13"/>
      <c r="O2546" s="13">
        <v>310.08999999999997</v>
      </c>
      <c r="P2546" s="3">
        <f t="shared" si="208"/>
        <v>0</v>
      </c>
      <c r="Q2546" s="3">
        <f t="shared" si="209"/>
        <v>310.08999999999997</v>
      </c>
      <c r="R2546" s="3">
        <f t="shared" si="205"/>
        <v>24895.200000000015</v>
      </c>
      <c r="S2546" s="24"/>
      <c r="T2546" s="24"/>
      <c r="U2546" s="55"/>
      <c r="V2546" s="25">
        <f>IFERROR(VLOOKUP(BCP_Soles[[#This Row],[destinatario]],CHOOSE({1,2},Clientes_Proveedores[Razon Social],Clientes_Proveedores[Ruc / Dni]),2,0),"")</f>
        <v>72131384</v>
      </c>
      <c r="W2546" s="25" t="s">
        <v>901</v>
      </c>
      <c r="X2546" s="25"/>
      <c r="Y2546" s="25"/>
      <c r="Z2546" s="75"/>
      <c r="AA2546" s="3" t="str">
        <f>IF(BCP_Soles[[#This Row],[fecha]]&gt;0,TEXT(BCP_Soles[[#This Row],[fecha]],"mmmm"),0)</f>
        <v>Julio</v>
      </c>
    </row>
    <row r="2547" spans="1:27" ht="24" x14ac:dyDescent="0.3">
      <c r="A2547" s="2">
        <f>IF(BCP_Soles[[#This Row],[tipo_registro]]="R",COUNTIFS($C$1:$C2546,"R")+1,A2546)</f>
        <v>1872</v>
      </c>
      <c r="B2547" s="19" t="str">
        <f t="shared" si="206"/>
        <v>B-BCP - Soles</v>
      </c>
      <c r="C2547" s="3" t="s">
        <v>1330</v>
      </c>
      <c r="D2547" s="14">
        <v>45845</v>
      </c>
      <c r="E2547" s="5" t="s">
        <v>1331</v>
      </c>
      <c r="F2547" s="5" t="s">
        <v>1336</v>
      </c>
      <c r="G2547" s="6" t="s">
        <v>909</v>
      </c>
      <c r="H2547" s="6"/>
      <c r="I2547" s="6"/>
      <c r="J2547" s="6"/>
      <c r="K2547" s="7" t="s">
        <v>3803</v>
      </c>
      <c r="L2547" s="8">
        <v>1263434</v>
      </c>
      <c r="M2547" s="8" t="str">
        <f t="shared" si="207"/>
        <v>PEN</v>
      </c>
      <c r="N2547" s="13"/>
      <c r="O2547" s="13">
        <v>344.54</v>
      </c>
      <c r="P2547" s="3">
        <f t="shared" si="208"/>
        <v>0</v>
      </c>
      <c r="Q2547" s="3">
        <f t="shared" si="209"/>
        <v>344.54</v>
      </c>
      <c r="R2547" s="3">
        <f t="shared" si="205"/>
        <v>24550.660000000014</v>
      </c>
      <c r="S2547" s="24"/>
      <c r="T2547" s="24"/>
      <c r="U2547" s="55"/>
      <c r="V2547" s="25">
        <f>IFERROR(VLOOKUP(BCP_Soles[[#This Row],[destinatario]],CHOOSE({1,2},Clientes_Proveedores[Razon Social],Clientes_Proveedores[Ruc / Dni]),2,0),"")</f>
        <v>44314304</v>
      </c>
      <c r="W2547" s="25" t="s">
        <v>909</v>
      </c>
      <c r="X2547" s="25"/>
      <c r="Y2547" s="25"/>
      <c r="Z2547" s="75"/>
      <c r="AA2547" s="3" t="str">
        <f>IF(BCP_Soles[[#This Row],[fecha]]&gt;0,TEXT(BCP_Soles[[#This Row],[fecha]],"mmmm"),0)</f>
        <v>Julio</v>
      </c>
    </row>
    <row r="2548" spans="1:27" ht="24" x14ac:dyDescent="0.3">
      <c r="A2548" s="2">
        <f>IF(BCP_Soles[[#This Row],[tipo_registro]]="R",COUNTIFS($C$1:$C2547,"R")+1,A2547)</f>
        <v>1873</v>
      </c>
      <c r="B2548" s="19" t="str">
        <f t="shared" si="206"/>
        <v>B-BCP - Soles</v>
      </c>
      <c r="C2548" s="3" t="s">
        <v>1330</v>
      </c>
      <c r="D2548" s="14">
        <v>45845</v>
      </c>
      <c r="E2548" s="5" t="s">
        <v>1331</v>
      </c>
      <c r="F2548" s="5" t="s">
        <v>1336</v>
      </c>
      <c r="G2548" s="6" t="s">
        <v>955</v>
      </c>
      <c r="H2548" s="6"/>
      <c r="I2548" s="6"/>
      <c r="J2548" s="6"/>
      <c r="K2548" s="7" t="s">
        <v>3804</v>
      </c>
      <c r="L2548" s="8">
        <v>1261947</v>
      </c>
      <c r="M2548" s="8" t="str">
        <f t="shared" si="207"/>
        <v>PEN</v>
      </c>
      <c r="N2548" s="13"/>
      <c r="O2548" s="13">
        <v>4.6900000000000004</v>
      </c>
      <c r="P2548" s="3">
        <f t="shared" si="208"/>
        <v>0</v>
      </c>
      <c r="Q2548" s="3">
        <f t="shared" si="209"/>
        <v>4.6900000000000004</v>
      </c>
      <c r="R2548" s="3">
        <f t="shared" si="205"/>
        <v>24545.970000000016</v>
      </c>
      <c r="S2548" s="24"/>
      <c r="T2548" s="24"/>
      <c r="U2548" s="55"/>
      <c r="V2548" s="25">
        <f>IFERROR(VLOOKUP(BCP_Soles[[#This Row],[destinatario]],CHOOSE({1,2},Clientes_Proveedores[Razon Social],Clientes_Proveedores[Ruc / Dni]),2,0),"")</f>
        <v>48362717</v>
      </c>
      <c r="W2548" s="25" t="s">
        <v>955</v>
      </c>
      <c r="X2548" s="25"/>
      <c r="Y2548" s="25"/>
      <c r="Z2548" s="75"/>
      <c r="AA2548" s="3" t="str">
        <f>IF(BCP_Soles[[#This Row],[fecha]]&gt;0,TEXT(BCP_Soles[[#This Row],[fecha]],"mmmm"),0)</f>
        <v>Julio</v>
      </c>
    </row>
    <row r="2549" spans="1:27" ht="24" x14ac:dyDescent="0.3">
      <c r="A2549" s="2">
        <f>IF(BCP_Soles[[#This Row],[tipo_registro]]="R",COUNTIFS($C$1:$C2548,"R")+1,A2548)</f>
        <v>1874</v>
      </c>
      <c r="B2549" s="19" t="str">
        <f t="shared" si="206"/>
        <v>B-BCP - Soles</v>
      </c>
      <c r="C2549" s="3" t="s">
        <v>1330</v>
      </c>
      <c r="D2549" s="14">
        <v>45845</v>
      </c>
      <c r="E2549" s="5" t="s">
        <v>1331</v>
      </c>
      <c r="F2549" s="5" t="s">
        <v>1336</v>
      </c>
      <c r="G2549" s="6" t="s">
        <v>931</v>
      </c>
      <c r="H2549" s="6"/>
      <c r="I2549" s="6"/>
      <c r="J2549" s="6"/>
      <c r="K2549" s="7" t="s">
        <v>3805</v>
      </c>
      <c r="L2549" s="8">
        <v>1263926</v>
      </c>
      <c r="M2549" s="8" t="str">
        <f t="shared" si="207"/>
        <v>PEN</v>
      </c>
      <c r="N2549" s="13"/>
      <c r="O2549" s="13">
        <v>3776.35</v>
      </c>
      <c r="P2549" s="3">
        <f t="shared" si="208"/>
        <v>0</v>
      </c>
      <c r="Q2549" s="3">
        <f t="shared" si="209"/>
        <v>3776.35</v>
      </c>
      <c r="R2549" s="3">
        <f t="shared" si="205"/>
        <v>20769.620000000017</v>
      </c>
      <c r="S2549" s="24"/>
      <c r="T2549" s="24" t="s">
        <v>1334</v>
      </c>
      <c r="U2549" s="55"/>
      <c r="V2549" s="25">
        <f>IFERROR(VLOOKUP(BCP_Soles[[#This Row],[destinatario]],CHOOSE({1,2},Clientes_Proveedores[Razon Social],Clientes_Proveedores[Ruc / Dni]),2,0),"")</f>
        <v>72725225</v>
      </c>
      <c r="W2549" s="25"/>
      <c r="X2549" s="25"/>
      <c r="Y2549" s="25"/>
      <c r="Z2549" s="75"/>
      <c r="AA2549" s="3" t="str">
        <f>IF(BCP_Soles[[#This Row],[fecha]]&gt;0,TEXT(BCP_Soles[[#This Row],[fecha]],"mmmm"),0)</f>
        <v>Julio</v>
      </c>
    </row>
    <row r="2550" spans="1:27" x14ac:dyDescent="0.3">
      <c r="A2550" s="2">
        <f>IF(BCP_Soles[[#This Row],[tipo_registro]]="R",COUNTIFS($C$1:$C2549,"R")+1,A2549)</f>
        <v>1875</v>
      </c>
      <c r="B2550" s="19" t="str">
        <f t="shared" si="206"/>
        <v>B-BCP - Soles</v>
      </c>
      <c r="C2550" s="3" t="s">
        <v>1330</v>
      </c>
      <c r="D2550" s="14">
        <v>45845</v>
      </c>
      <c r="E2550" s="5" t="s">
        <v>1331</v>
      </c>
      <c r="F2550" s="5" t="s">
        <v>1336</v>
      </c>
      <c r="G2550" s="6" t="s">
        <v>696</v>
      </c>
      <c r="H2550" s="6"/>
      <c r="I2550" s="6"/>
      <c r="J2550" s="6"/>
      <c r="K2550" s="7" t="s">
        <v>3806</v>
      </c>
      <c r="L2550" s="8">
        <v>6735722</v>
      </c>
      <c r="M2550" s="8" t="str">
        <f t="shared" si="207"/>
        <v>PEN</v>
      </c>
      <c r="N2550" s="13"/>
      <c r="O2550" s="13">
        <v>17194.93</v>
      </c>
      <c r="P2550" s="3">
        <f t="shared" si="208"/>
        <v>0</v>
      </c>
      <c r="Q2550" s="3">
        <f t="shared" si="209"/>
        <v>17194.93</v>
      </c>
      <c r="R2550" s="3">
        <f t="shared" si="205"/>
        <v>3574.6900000000169</v>
      </c>
      <c r="S2550" s="24" t="s">
        <v>1334</v>
      </c>
      <c r="T2550" s="24" t="s">
        <v>1334</v>
      </c>
      <c r="U2550" s="80" t="s">
        <v>3807</v>
      </c>
      <c r="V2550" s="25">
        <f>IFERROR(VLOOKUP(BCP_Soles[[#This Row],[destinatario]],CHOOSE({1,2},Clientes_Proveedores[Razon Social],Clientes_Proveedores[Ruc / Dni]),2,0),"")</f>
        <v>0</v>
      </c>
      <c r="W2550" s="25"/>
      <c r="X2550" s="25"/>
      <c r="Y2550" s="25"/>
      <c r="Z2550" s="75"/>
      <c r="AA2550" s="3" t="str">
        <f>IF(BCP_Soles[[#This Row],[fecha]]&gt;0,TEXT(BCP_Soles[[#This Row],[fecha]],"mmmm"),0)</f>
        <v>Julio</v>
      </c>
    </row>
    <row r="2551" spans="1:27" x14ac:dyDescent="0.3">
      <c r="A2551" s="2">
        <f>IF(BCP_Soles[[#This Row],[tipo_registro]]="R",COUNTIFS($C$1:$C2550,"R")+1,A2550)</f>
        <v>1875</v>
      </c>
      <c r="B2551" s="19" t="str">
        <f t="shared" si="206"/>
        <v>B-BCP - Soles</v>
      </c>
      <c r="C2551" s="3" t="s">
        <v>1352</v>
      </c>
      <c r="D2551" s="14">
        <v>45845</v>
      </c>
      <c r="E2551" s="5" t="s">
        <v>1331</v>
      </c>
      <c r="F2551" s="5"/>
      <c r="G2551" s="6" t="s">
        <v>380</v>
      </c>
      <c r="H2551" s="6" t="s">
        <v>68</v>
      </c>
      <c r="I2551" s="6" t="s">
        <v>1390</v>
      </c>
      <c r="J2551" s="6">
        <v>21588</v>
      </c>
      <c r="K2551" s="7" t="s">
        <v>3806</v>
      </c>
      <c r="L2551" s="8">
        <v>6735722</v>
      </c>
      <c r="M2551" s="8" t="str">
        <f t="shared" si="207"/>
        <v>PEN</v>
      </c>
      <c r="N2551" s="13">
        <v>6239</v>
      </c>
      <c r="O2551" s="13"/>
      <c r="P2551" s="3">
        <f t="shared" si="208"/>
        <v>0</v>
      </c>
      <c r="Q2551" s="3">
        <f t="shared" si="209"/>
        <v>0</v>
      </c>
      <c r="R2551" s="3">
        <f t="shared" si="205"/>
        <v>3574.6900000000169</v>
      </c>
      <c r="S2551" s="24" t="s">
        <v>1334</v>
      </c>
      <c r="T2551" s="24" t="s">
        <v>1334</v>
      </c>
      <c r="U2551" s="80" t="s">
        <v>3807</v>
      </c>
      <c r="V2551" s="25">
        <f>IFERROR(VLOOKUP(BCP_Soles[[#This Row],[destinatario]],CHOOSE({1,2},Clientes_Proveedores[Razon Social],Clientes_Proveedores[Ruc / Dni]),2,0),"")</f>
        <v>20537921464</v>
      </c>
      <c r="W2551" s="25"/>
      <c r="X2551" s="25"/>
      <c r="Y2551" s="25"/>
      <c r="Z2551" s="75"/>
      <c r="AA2551" s="3" t="str">
        <f>IF(BCP_Soles[[#This Row],[fecha]]&gt;0,TEXT(BCP_Soles[[#This Row],[fecha]],"mmmm"),0)</f>
        <v>Julio</v>
      </c>
    </row>
    <row r="2552" spans="1:27" ht="36" x14ac:dyDescent="0.3">
      <c r="A2552" s="2">
        <f>IF(BCP_Soles[[#This Row],[tipo_registro]]="R",COUNTIFS($C$1:$C2551,"R")+1,A2551)</f>
        <v>1875</v>
      </c>
      <c r="B2552" s="19" t="str">
        <f t="shared" si="206"/>
        <v>B-BCP - Soles</v>
      </c>
      <c r="C2552" s="3" t="s">
        <v>1352</v>
      </c>
      <c r="D2552" s="14">
        <v>45845</v>
      </c>
      <c r="E2552" s="5" t="s">
        <v>1331</v>
      </c>
      <c r="F2552" s="5"/>
      <c r="G2552" s="6" t="s">
        <v>782</v>
      </c>
      <c r="H2552" s="6" t="s">
        <v>68</v>
      </c>
      <c r="I2552" s="6" t="s">
        <v>1376</v>
      </c>
      <c r="J2552" s="6">
        <v>10</v>
      </c>
      <c r="K2552" s="7" t="s">
        <v>3806</v>
      </c>
      <c r="L2552" s="8">
        <v>6735722</v>
      </c>
      <c r="M2552" s="8" t="str">
        <f t="shared" si="207"/>
        <v>PEN</v>
      </c>
      <c r="N2552" s="13">
        <v>10428</v>
      </c>
      <c r="O2552" s="13"/>
      <c r="P2552" s="3">
        <f t="shared" si="208"/>
        <v>0</v>
      </c>
      <c r="Q2552" s="3">
        <f t="shared" si="209"/>
        <v>0</v>
      </c>
      <c r="R2552" s="3">
        <f t="shared" si="205"/>
        <v>3574.6900000000169</v>
      </c>
      <c r="S2552" s="24" t="s">
        <v>1334</v>
      </c>
      <c r="T2552" s="24" t="s">
        <v>1334</v>
      </c>
      <c r="U2552" s="80" t="s">
        <v>3807</v>
      </c>
      <c r="V2552" s="25">
        <f>IFERROR(VLOOKUP(BCP_Soles[[#This Row],[destinatario]],CHOOSE({1,2},Clientes_Proveedores[Razon Social],Clientes_Proveedores[Ruc / Dni]),2,0),"")</f>
        <v>20612108651</v>
      </c>
      <c r="W2552" s="25"/>
      <c r="X2552" s="25"/>
      <c r="Y2552" s="25"/>
      <c r="Z2552" s="75"/>
      <c r="AA2552" s="3" t="str">
        <f>IF(BCP_Soles[[#This Row],[fecha]]&gt;0,TEXT(BCP_Soles[[#This Row],[fecha]],"mmmm"),0)</f>
        <v>Julio</v>
      </c>
    </row>
    <row r="2553" spans="1:27" ht="24" x14ac:dyDescent="0.3">
      <c r="A2553" s="2">
        <f>IF(BCP_Soles[[#This Row],[tipo_registro]]="R",COUNTIFS($C$1:$C2552,"R")+1,A2552)</f>
        <v>1875</v>
      </c>
      <c r="B2553" s="19" t="str">
        <f t="shared" si="206"/>
        <v>B-BCP - Soles</v>
      </c>
      <c r="C2553" s="3" t="s">
        <v>1352</v>
      </c>
      <c r="D2553" s="14">
        <v>45845</v>
      </c>
      <c r="E2553" s="5" t="s">
        <v>1331</v>
      </c>
      <c r="F2553" s="5"/>
      <c r="G2553" s="6" t="s">
        <v>784</v>
      </c>
      <c r="H2553" s="6" t="s">
        <v>68</v>
      </c>
      <c r="I2553" s="6" t="s">
        <v>2331</v>
      </c>
      <c r="J2553" s="6">
        <v>52</v>
      </c>
      <c r="K2553" s="7" t="s">
        <v>3806</v>
      </c>
      <c r="L2553" s="8">
        <v>6735722</v>
      </c>
      <c r="M2553" s="8" t="str">
        <f t="shared" si="207"/>
        <v>PEN</v>
      </c>
      <c r="N2553" s="13">
        <v>527.92999999999995</v>
      </c>
      <c r="O2553" s="13"/>
      <c r="P2553" s="3">
        <f t="shared" si="208"/>
        <v>0</v>
      </c>
      <c r="Q2553" s="3">
        <f t="shared" si="209"/>
        <v>0</v>
      </c>
      <c r="R2553" s="3">
        <f t="shared" si="205"/>
        <v>3574.6900000000169</v>
      </c>
      <c r="S2553" s="24" t="s">
        <v>1334</v>
      </c>
      <c r="T2553" s="24" t="s">
        <v>1334</v>
      </c>
      <c r="U2553" s="80" t="s">
        <v>3807</v>
      </c>
      <c r="V2553" s="25">
        <f>IFERROR(VLOOKUP(BCP_Soles[[#This Row],[destinatario]],CHOOSE({1,2},Clientes_Proveedores[Razon Social],Clientes_Proveedores[Ruc / Dni]),2,0),"")</f>
        <v>20611593920</v>
      </c>
      <c r="W2553" s="25"/>
      <c r="X2553" s="25"/>
      <c r="Y2553" s="25"/>
      <c r="Z2553" s="75"/>
      <c r="AA2553" s="3" t="str">
        <f>IF(BCP_Soles[[#This Row],[fecha]]&gt;0,TEXT(BCP_Soles[[#This Row],[fecha]],"mmmm"),0)</f>
        <v>Julio</v>
      </c>
    </row>
    <row r="2554" spans="1:27" ht="24" x14ac:dyDescent="0.3">
      <c r="A2554" s="2">
        <f>IF(BCP_Soles[[#This Row],[tipo_registro]]="R",COUNTIFS($C$1:$C2553,"R")+1,A2553)</f>
        <v>1876</v>
      </c>
      <c r="B2554" s="19" t="str">
        <f t="shared" si="206"/>
        <v>B-BCP - Soles</v>
      </c>
      <c r="C2554" s="3" t="s">
        <v>1330</v>
      </c>
      <c r="D2554" s="14">
        <v>45845</v>
      </c>
      <c r="E2554" s="5" t="s">
        <v>1335</v>
      </c>
      <c r="F2554" s="5" t="s">
        <v>1336</v>
      </c>
      <c r="G2554" s="6" t="s">
        <v>1060</v>
      </c>
      <c r="H2554" s="6" t="s">
        <v>68</v>
      </c>
      <c r="I2554" s="6" t="s">
        <v>1397</v>
      </c>
      <c r="J2554" s="6">
        <v>34412505</v>
      </c>
      <c r="K2554" s="7" t="s">
        <v>3808</v>
      </c>
      <c r="L2554" s="8">
        <v>6735726</v>
      </c>
      <c r="M2554" s="8" t="str">
        <f t="shared" si="207"/>
        <v>PEN</v>
      </c>
      <c r="N2554" s="13"/>
      <c r="O2554" s="13">
        <v>62.56</v>
      </c>
      <c r="P2554" s="3">
        <f t="shared" si="208"/>
        <v>0</v>
      </c>
      <c r="Q2554" s="3">
        <f t="shared" si="209"/>
        <v>62.56</v>
      </c>
      <c r="R2554" s="3">
        <f t="shared" si="205"/>
        <v>3512.1300000000169</v>
      </c>
      <c r="S2554" s="24" t="s">
        <v>1334</v>
      </c>
      <c r="T2554" s="24" t="s">
        <v>1334</v>
      </c>
      <c r="U2554" s="55"/>
      <c r="V2554" s="25">
        <f>IFERROR(VLOOKUP(BCP_Soles[[#This Row],[destinatario]],CHOOSE({1,2},Clientes_Proveedores[Razon Social],Clientes_Proveedores[Ruc / Dni]),2,0),"")</f>
        <v>20100047218</v>
      </c>
      <c r="W2554" s="25"/>
      <c r="X2554" s="25"/>
      <c r="Y2554" s="25"/>
      <c r="Z2554" s="75"/>
      <c r="AA2554" s="3" t="str">
        <f>IF(BCP_Soles[[#This Row],[fecha]]&gt;0,TEXT(BCP_Soles[[#This Row],[fecha]],"mmmm"),0)</f>
        <v>Julio</v>
      </c>
    </row>
    <row r="2555" spans="1:27" x14ac:dyDescent="0.3">
      <c r="A2555" s="2">
        <f>IF(BCP_Soles[[#This Row],[tipo_registro]]="R",COUNTIFS($C$1:$C2554,"R")+1,A2554)</f>
        <v>1877</v>
      </c>
      <c r="B2555" s="19" t="str">
        <f t="shared" si="206"/>
        <v>B-BCP - Soles</v>
      </c>
      <c r="C2555" s="3" t="s">
        <v>1330</v>
      </c>
      <c r="D2555" s="14">
        <v>45845</v>
      </c>
      <c r="E2555" s="5" t="s">
        <v>1335</v>
      </c>
      <c r="F2555" s="5" t="s">
        <v>1336</v>
      </c>
      <c r="G2555" s="6" t="s">
        <v>1009</v>
      </c>
      <c r="H2555" s="6" t="s">
        <v>64</v>
      </c>
      <c r="I2555" s="6" t="s">
        <v>3673</v>
      </c>
      <c r="J2555" s="6">
        <v>1877</v>
      </c>
      <c r="K2555" s="7" t="s">
        <v>3160</v>
      </c>
      <c r="L2555" s="8"/>
      <c r="M2555" s="8" t="str">
        <f t="shared" si="207"/>
        <v>PEN</v>
      </c>
      <c r="N2555" s="13"/>
      <c r="O2555" s="13">
        <v>1.85</v>
      </c>
      <c r="P2555" s="3">
        <f t="shared" si="208"/>
        <v>0</v>
      </c>
      <c r="Q2555" s="3">
        <f t="shared" si="209"/>
        <v>1.85</v>
      </c>
      <c r="R2555" s="3">
        <f t="shared" si="205"/>
        <v>3510.280000000017</v>
      </c>
      <c r="S2555" s="24" t="s">
        <v>1334</v>
      </c>
      <c r="T2555" s="24" t="s">
        <v>1334</v>
      </c>
      <c r="U2555" s="55"/>
      <c r="V2555" s="25">
        <f>IFERROR(VLOOKUP(BCP_Soles[[#This Row],[destinatario]],CHOOSE({1,2},Clientes_Proveedores[Razon Social],Clientes_Proveedores[Ruc / Dni]),2,0),"")</f>
        <v>11111111</v>
      </c>
      <c r="W2555" s="25"/>
      <c r="X2555" s="25"/>
      <c r="Y2555" s="25"/>
      <c r="Z2555" s="75"/>
      <c r="AA2555" s="3" t="str">
        <f>IF(BCP_Soles[[#This Row],[fecha]]&gt;0,TEXT(BCP_Soles[[#This Row],[fecha]],"mmmm"),0)</f>
        <v>Julio</v>
      </c>
    </row>
    <row r="2556" spans="1:27" ht="24" x14ac:dyDescent="0.3">
      <c r="A2556" s="2">
        <f>IF(BCP_Soles[[#This Row],[tipo_registro]]="R",COUNTIFS($C$1:$C2555,"R")+1,A2555)</f>
        <v>1878</v>
      </c>
      <c r="B2556" s="19" t="str">
        <f t="shared" si="206"/>
        <v>B-BCP - Soles</v>
      </c>
      <c r="C2556" s="3" t="s">
        <v>1330</v>
      </c>
      <c r="D2556" s="14">
        <v>45846</v>
      </c>
      <c r="E2556" s="5" t="s">
        <v>1945</v>
      </c>
      <c r="F2556" s="5" t="s">
        <v>1303</v>
      </c>
      <c r="G2556" s="6" t="s">
        <v>425</v>
      </c>
      <c r="H2556" s="6" t="s">
        <v>119</v>
      </c>
      <c r="I2556" s="6">
        <v>2</v>
      </c>
      <c r="J2556" s="6">
        <v>806</v>
      </c>
      <c r="K2556" s="7" t="s">
        <v>1356</v>
      </c>
      <c r="L2556" s="8">
        <v>918739</v>
      </c>
      <c r="M2556" s="8" t="str">
        <f t="shared" si="207"/>
        <v>PEN</v>
      </c>
      <c r="N2556" s="13"/>
      <c r="O2556" s="13">
        <v>3620</v>
      </c>
      <c r="P2556" s="3">
        <f t="shared" si="208"/>
        <v>3620</v>
      </c>
      <c r="Q2556" s="3">
        <f t="shared" si="209"/>
        <v>0</v>
      </c>
      <c r="R2556" s="3">
        <f t="shared" si="205"/>
        <v>7130.280000000017</v>
      </c>
      <c r="S2556" s="24" t="s">
        <v>1334</v>
      </c>
      <c r="T2556" s="24" t="s">
        <v>1334</v>
      </c>
      <c r="U2556" s="55"/>
      <c r="V2556" s="25">
        <f>IFERROR(VLOOKUP(BCP_Soles[[#This Row],[destinatario]],CHOOSE({1,2},Clientes_Proveedores[Razon Social],Clientes_Proveedores[Ruc / Dni]),2,0),"")</f>
        <v>20558226979</v>
      </c>
      <c r="W2556" s="25"/>
      <c r="X2556" s="25"/>
      <c r="Y2556" s="25"/>
      <c r="Z2556" s="75"/>
      <c r="AA2556" s="3" t="str">
        <f>IF(BCP_Soles[[#This Row],[fecha]]&gt;0,TEXT(BCP_Soles[[#This Row],[fecha]],"mmmm"),0)</f>
        <v>Julio</v>
      </c>
    </row>
    <row r="2557" spans="1:27" ht="24" x14ac:dyDescent="0.3">
      <c r="A2557" s="2">
        <f>IF(BCP_Soles[[#This Row],[tipo_registro]]="R",COUNTIFS($C$1:$C2556,"R")+1,A2556)</f>
        <v>1879</v>
      </c>
      <c r="B2557" s="19" t="str">
        <f t="shared" si="206"/>
        <v>B-BCP - Soles</v>
      </c>
      <c r="C2557" s="3" t="s">
        <v>1330</v>
      </c>
      <c r="D2557" s="14">
        <v>45846</v>
      </c>
      <c r="E2557" s="5" t="s">
        <v>1696</v>
      </c>
      <c r="F2557" s="5" t="s">
        <v>1303</v>
      </c>
      <c r="G2557" s="6" t="s">
        <v>425</v>
      </c>
      <c r="H2557" s="6" t="s">
        <v>119</v>
      </c>
      <c r="I2557" s="6">
        <v>1</v>
      </c>
      <c r="J2557" s="6">
        <v>4581</v>
      </c>
      <c r="K2557" s="7" t="s">
        <v>1356</v>
      </c>
      <c r="L2557" s="8">
        <v>2815126</v>
      </c>
      <c r="M2557" s="8" t="str">
        <f t="shared" si="207"/>
        <v>PEN</v>
      </c>
      <c r="N2557" s="13"/>
      <c r="O2557" s="13">
        <v>2000</v>
      </c>
      <c r="P2557" s="3">
        <f t="shared" si="208"/>
        <v>2000</v>
      </c>
      <c r="Q2557" s="3">
        <f t="shared" si="209"/>
        <v>0</v>
      </c>
      <c r="R2557" s="3">
        <f t="shared" si="205"/>
        <v>9130.280000000017</v>
      </c>
      <c r="S2557" s="24" t="s">
        <v>1334</v>
      </c>
      <c r="T2557" s="24" t="s">
        <v>1334</v>
      </c>
      <c r="U2557" s="55"/>
      <c r="V2557" s="25">
        <f>IFERROR(VLOOKUP(BCP_Soles[[#This Row],[destinatario]],CHOOSE({1,2},Clientes_Proveedores[Razon Social],Clientes_Proveedores[Ruc / Dni]),2,0),"")</f>
        <v>20558226979</v>
      </c>
      <c r="W2557" s="25"/>
      <c r="X2557" s="25"/>
      <c r="Y2557" s="25"/>
      <c r="Z2557" s="75"/>
      <c r="AA2557" s="3" t="str">
        <f>IF(BCP_Soles[[#This Row],[fecha]]&gt;0,TEXT(BCP_Soles[[#This Row],[fecha]],"mmmm"),0)</f>
        <v>Julio</v>
      </c>
    </row>
    <row r="2558" spans="1:27" ht="36" x14ac:dyDescent="0.3">
      <c r="A2558" s="2">
        <f>IF(BCP_Soles[[#This Row],[tipo_registro]]="R",COUNTIFS($C$1:$C2557,"R")+1,A2557)</f>
        <v>1880</v>
      </c>
      <c r="B2558" s="19" t="str">
        <f t="shared" si="206"/>
        <v>B-BCP - Soles</v>
      </c>
      <c r="C2558" s="3" t="s">
        <v>1330</v>
      </c>
      <c r="D2558" s="14">
        <v>45846</v>
      </c>
      <c r="E2558" s="5" t="s">
        <v>261</v>
      </c>
      <c r="F2558" s="5" t="s">
        <v>1303</v>
      </c>
      <c r="G2558" s="6" t="s">
        <v>425</v>
      </c>
      <c r="H2558" s="6" t="s">
        <v>68</v>
      </c>
      <c r="I2558" s="6" t="s">
        <v>3302</v>
      </c>
      <c r="J2558" s="6">
        <v>86</v>
      </c>
      <c r="K2558" s="7" t="s">
        <v>3809</v>
      </c>
      <c r="L2558" s="8">
        <v>7044054</v>
      </c>
      <c r="M2558" s="8" t="str">
        <f t="shared" si="207"/>
        <v>PEN</v>
      </c>
      <c r="N2558" s="13"/>
      <c r="O2558" s="13">
        <v>1934.93</v>
      </c>
      <c r="P2558" s="3">
        <f t="shared" si="208"/>
        <v>1934.93</v>
      </c>
      <c r="Q2558" s="3">
        <f t="shared" si="209"/>
        <v>0</v>
      </c>
      <c r="R2558" s="3">
        <f t="shared" si="205"/>
        <v>11065.210000000017</v>
      </c>
      <c r="S2558" s="24" t="s">
        <v>1334</v>
      </c>
      <c r="T2558" s="24" t="s">
        <v>1334</v>
      </c>
      <c r="U2558" s="55"/>
      <c r="V2558" s="25">
        <f>IFERROR(VLOOKUP(BCP_Soles[[#This Row],[destinatario]],CHOOSE({1,2},Clientes_Proveedores[Razon Social],Clientes_Proveedores[Ruc / Dni]),2,0),"")</f>
        <v>20558226979</v>
      </c>
      <c r="W2558" s="25"/>
      <c r="X2558" s="25"/>
      <c r="Y2558" s="25"/>
      <c r="Z2558" s="75"/>
      <c r="AA2558" s="3" t="str">
        <f>IF(BCP_Soles[[#This Row],[fecha]]&gt;0,TEXT(BCP_Soles[[#This Row],[fecha]],"mmmm"),0)</f>
        <v>Julio</v>
      </c>
    </row>
    <row r="2559" spans="1:27" ht="36" x14ac:dyDescent="0.3">
      <c r="A2559" s="2">
        <f>IF(BCP_Soles[[#This Row],[tipo_registro]]="R",COUNTIFS($C$1:$C2558,"R")+1,A2558)</f>
        <v>1881</v>
      </c>
      <c r="B2559" s="19" t="str">
        <f t="shared" si="206"/>
        <v>B-BCP - Soles</v>
      </c>
      <c r="C2559" s="3" t="s">
        <v>1330</v>
      </c>
      <c r="D2559" s="14">
        <v>45846</v>
      </c>
      <c r="E2559" s="5" t="s">
        <v>1069</v>
      </c>
      <c r="F2559" s="5" t="s">
        <v>1303</v>
      </c>
      <c r="G2559" s="6" t="s">
        <v>425</v>
      </c>
      <c r="H2559" s="6" t="s">
        <v>143</v>
      </c>
      <c r="I2559" s="6">
        <v>1</v>
      </c>
      <c r="J2559" s="6">
        <v>442025</v>
      </c>
      <c r="K2559" s="7" t="s">
        <v>3810</v>
      </c>
      <c r="L2559" s="8">
        <v>3657110</v>
      </c>
      <c r="M2559" s="8" t="str">
        <f t="shared" si="207"/>
        <v>PEN</v>
      </c>
      <c r="N2559" s="13"/>
      <c r="O2559" s="13">
        <v>245.7</v>
      </c>
      <c r="P2559" s="3">
        <f t="shared" si="208"/>
        <v>245.7</v>
      </c>
      <c r="Q2559" s="3">
        <f t="shared" si="209"/>
        <v>0</v>
      </c>
      <c r="R2559" s="3">
        <f t="shared" si="205"/>
        <v>11310.910000000018</v>
      </c>
      <c r="S2559" s="24" t="s">
        <v>1334</v>
      </c>
      <c r="T2559" s="24" t="s">
        <v>1334</v>
      </c>
      <c r="U2559" s="55"/>
      <c r="V2559" s="25">
        <f>IFERROR(VLOOKUP(BCP_Soles[[#This Row],[destinatario]],CHOOSE({1,2},Clientes_Proveedores[Razon Social],Clientes_Proveedores[Ruc / Dni]),2,0),"")</f>
        <v>20558226979</v>
      </c>
      <c r="W2559" s="25"/>
      <c r="X2559" s="25"/>
      <c r="Y2559" s="25"/>
      <c r="Z2559" s="75"/>
      <c r="AA2559" s="3" t="str">
        <f>IF(BCP_Soles[[#This Row],[fecha]]&gt;0,TEXT(BCP_Soles[[#This Row],[fecha]],"mmmm"),0)</f>
        <v>Julio</v>
      </c>
    </row>
    <row r="2560" spans="1:27" ht="36" x14ac:dyDescent="0.3">
      <c r="A2560" s="2">
        <f>IF(BCP_Soles[[#This Row],[tipo_registro]]="R",COUNTIFS($C$1:$C2559,"R")+1,A2559)</f>
        <v>1882</v>
      </c>
      <c r="B2560" s="19" t="str">
        <f t="shared" si="206"/>
        <v>B-BCP - Soles</v>
      </c>
      <c r="C2560" s="3" t="s">
        <v>1330</v>
      </c>
      <c r="D2560" s="14">
        <v>45846</v>
      </c>
      <c r="E2560" s="5" t="s">
        <v>1628</v>
      </c>
      <c r="F2560" s="5" t="s">
        <v>1303</v>
      </c>
      <c r="G2560" s="6" t="s">
        <v>425</v>
      </c>
      <c r="H2560" s="6" t="s">
        <v>119</v>
      </c>
      <c r="I2560" s="6">
        <v>2</v>
      </c>
      <c r="J2560" s="6">
        <v>802</v>
      </c>
      <c r="K2560" s="7" t="s">
        <v>1356</v>
      </c>
      <c r="L2560" s="8">
        <v>973464</v>
      </c>
      <c r="M2560" s="8" t="str">
        <f t="shared" si="207"/>
        <v>PEN</v>
      </c>
      <c r="N2560" s="13"/>
      <c r="O2560" s="13">
        <v>185</v>
      </c>
      <c r="P2560" s="3">
        <f t="shared" si="208"/>
        <v>185</v>
      </c>
      <c r="Q2560" s="3">
        <f t="shared" si="209"/>
        <v>0</v>
      </c>
      <c r="R2560" s="3">
        <f t="shared" si="205"/>
        <v>11495.910000000018</v>
      </c>
      <c r="S2560" s="24" t="s">
        <v>1334</v>
      </c>
      <c r="T2560" s="24" t="s">
        <v>1334</v>
      </c>
      <c r="U2560" s="55"/>
      <c r="V2560" s="25">
        <f>IFERROR(VLOOKUP(BCP_Soles[[#This Row],[destinatario]],CHOOSE({1,2},Clientes_Proveedores[Razon Social],Clientes_Proveedores[Ruc / Dni]),2,0),"")</f>
        <v>20558226979</v>
      </c>
      <c r="W2560" s="25"/>
      <c r="X2560" s="25"/>
      <c r="Y2560" s="25"/>
      <c r="Z2560" s="75"/>
      <c r="AA2560" s="3" t="str">
        <f>IF(BCP_Soles[[#This Row],[fecha]]&gt;0,TEXT(BCP_Soles[[#This Row],[fecha]],"mmmm"),0)</f>
        <v>Julio</v>
      </c>
    </row>
    <row r="2561" spans="1:27" ht="36" x14ac:dyDescent="0.3">
      <c r="A2561" s="2">
        <f>IF(BCP_Soles[[#This Row],[tipo_registro]]="R",COUNTIFS($C$1:$C2560,"R")+1,A2560)</f>
        <v>1883</v>
      </c>
      <c r="B2561" s="19" t="str">
        <f t="shared" si="206"/>
        <v>B-BCP - Soles</v>
      </c>
      <c r="C2561" s="3" t="s">
        <v>1330</v>
      </c>
      <c r="D2561" s="14">
        <v>45846</v>
      </c>
      <c r="E2561" s="5" t="s">
        <v>1069</v>
      </c>
      <c r="F2561" s="5" t="s">
        <v>1303</v>
      </c>
      <c r="G2561" s="6" t="s">
        <v>425</v>
      </c>
      <c r="H2561" s="6" t="s">
        <v>143</v>
      </c>
      <c r="I2561" s="6">
        <v>1</v>
      </c>
      <c r="J2561" s="6">
        <v>412025</v>
      </c>
      <c r="K2561" s="7" t="s">
        <v>3811</v>
      </c>
      <c r="L2561" s="8">
        <v>3645862</v>
      </c>
      <c r="M2561" s="8" t="str">
        <f t="shared" si="207"/>
        <v>PEN</v>
      </c>
      <c r="N2561" s="13"/>
      <c r="O2561" s="13">
        <v>21.08</v>
      </c>
      <c r="P2561" s="3">
        <f t="shared" si="208"/>
        <v>21.08</v>
      </c>
      <c r="Q2561" s="3">
        <f t="shared" si="209"/>
        <v>0</v>
      </c>
      <c r="R2561" s="3">
        <f t="shared" si="205"/>
        <v>11516.990000000018</v>
      </c>
      <c r="S2561" s="24" t="s">
        <v>1334</v>
      </c>
      <c r="T2561" s="24" t="s">
        <v>1334</v>
      </c>
      <c r="U2561" s="55"/>
      <c r="V2561" s="25">
        <f>IFERROR(VLOOKUP(BCP_Soles[[#This Row],[destinatario]],CHOOSE({1,2},Clientes_Proveedores[Razon Social],Clientes_Proveedores[Ruc / Dni]),2,0),"")</f>
        <v>20558226979</v>
      </c>
      <c r="W2561" s="25"/>
      <c r="X2561" s="25"/>
      <c r="Y2561" s="25"/>
      <c r="Z2561" s="75"/>
      <c r="AA2561" s="3" t="str">
        <f>IF(BCP_Soles[[#This Row],[fecha]]&gt;0,TEXT(BCP_Soles[[#This Row],[fecha]],"mmmm"),0)</f>
        <v>Julio</v>
      </c>
    </row>
    <row r="2562" spans="1:27" x14ac:dyDescent="0.3">
      <c r="A2562" s="2">
        <f>IF(BCP_Soles[[#This Row],[tipo_registro]]="R",COUNTIFS($C$1:$C2561,"R")+1,A2561)</f>
        <v>1884</v>
      </c>
      <c r="B2562" s="19" t="str">
        <f t="shared" si="206"/>
        <v>B-BCP - Soles</v>
      </c>
      <c r="C2562" s="3" t="s">
        <v>1330</v>
      </c>
      <c r="D2562" s="14">
        <v>45846</v>
      </c>
      <c r="E2562" s="5" t="s">
        <v>1335</v>
      </c>
      <c r="F2562" s="5" t="s">
        <v>1336</v>
      </c>
      <c r="G2562" s="6" t="s">
        <v>1009</v>
      </c>
      <c r="H2562" s="6" t="s">
        <v>64</v>
      </c>
      <c r="I2562" s="6" t="s">
        <v>3673</v>
      </c>
      <c r="J2562" s="6">
        <v>1884</v>
      </c>
      <c r="K2562" s="7" t="s">
        <v>3160</v>
      </c>
      <c r="L2562" s="8"/>
      <c r="M2562" s="8" t="str">
        <f t="shared" si="207"/>
        <v>PEN</v>
      </c>
      <c r="N2562" s="13"/>
      <c r="O2562" s="13">
        <v>0.3</v>
      </c>
      <c r="P2562" s="3">
        <f t="shared" si="208"/>
        <v>0</v>
      </c>
      <c r="Q2562" s="3">
        <f t="shared" si="209"/>
        <v>0.3</v>
      </c>
      <c r="R2562" s="3">
        <f t="shared" si="205"/>
        <v>11516.690000000019</v>
      </c>
      <c r="S2562" s="24" t="s">
        <v>1334</v>
      </c>
      <c r="T2562" s="24" t="s">
        <v>1334</v>
      </c>
      <c r="U2562" s="55"/>
      <c r="V2562" s="25">
        <f>IFERROR(VLOOKUP(BCP_Soles[[#This Row],[destinatario]],CHOOSE({1,2},Clientes_Proveedores[Razon Social],Clientes_Proveedores[Ruc / Dni]),2,0),"")</f>
        <v>11111111</v>
      </c>
      <c r="W2562" s="25"/>
      <c r="X2562" s="25"/>
      <c r="Y2562" s="25"/>
      <c r="Z2562" s="75"/>
      <c r="AA2562" s="3" t="str">
        <f>IF(BCP_Soles[[#This Row],[fecha]]&gt;0,TEXT(BCP_Soles[[#This Row],[fecha]],"mmmm"),0)</f>
        <v>Julio</v>
      </c>
    </row>
    <row r="2563" spans="1:27" ht="24" x14ac:dyDescent="0.3">
      <c r="A2563" s="2">
        <f>IF(BCP_Soles[[#This Row],[tipo_registro]]="R",COUNTIFS($C$1:$C2562,"R")+1,A2562)</f>
        <v>1885</v>
      </c>
      <c r="B2563" s="19" t="str">
        <f t="shared" si="206"/>
        <v>B-BCP - Soles</v>
      </c>
      <c r="C2563" s="3" t="s">
        <v>1330</v>
      </c>
      <c r="D2563" s="14">
        <v>45847</v>
      </c>
      <c r="E2563" s="5" t="s">
        <v>1696</v>
      </c>
      <c r="F2563" s="5" t="s">
        <v>1303</v>
      </c>
      <c r="G2563" s="6" t="s">
        <v>425</v>
      </c>
      <c r="H2563" s="6" t="s">
        <v>119</v>
      </c>
      <c r="I2563" s="6">
        <v>1</v>
      </c>
      <c r="J2563" s="6">
        <v>4581</v>
      </c>
      <c r="K2563" s="7" t="s">
        <v>1356</v>
      </c>
      <c r="L2563" s="8">
        <v>1426079</v>
      </c>
      <c r="M2563" s="8" t="str">
        <f t="shared" si="207"/>
        <v>PEN</v>
      </c>
      <c r="N2563" s="13"/>
      <c r="O2563" s="13">
        <v>2000</v>
      </c>
      <c r="P2563" s="3">
        <f t="shared" si="208"/>
        <v>2000</v>
      </c>
      <c r="Q2563" s="3">
        <f t="shared" si="209"/>
        <v>0</v>
      </c>
      <c r="R2563" s="3">
        <f t="shared" si="205"/>
        <v>13516.690000000019</v>
      </c>
      <c r="S2563" s="24" t="s">
        <v>1334</v>
      </c>
      <c r="T2563" s="24" t="s">
        <v>1334</v>
      </c>
      <c r="U2563" s="55"/>
      <c r="V2563" s="25">
        <f>IFERROR(VLOOKUP(BCP_Soles[[#This Row],[destinatario]],CHOOSE({1,2},Clientes_Proveedores[Razon Social],Clientes_Proveedores[Ruc / Dni]),2,0),"")</f>
        <v>20558226979</v>
      </c>
      <c r="W2563" s="25"/>
      <c r="X2563" s="25"/>
      <c r="Y2563" s="25"/>
      <c r="Z2563" s="75"/>
      <c r="AA2563" s="3" t="str">
        <f>IF(BCP_Soles[[#This Row],[fecha]]&gt;0,TEXT(BCP_Soles[[#This Row],[fecha]],"mmmm"),0)</f>
        <v>Julio</v>
      </c>
    </row>
    <row r="2564" spans="1:27" ht="24" x14ac:dyDescent="0.3">
      <c r="A2564" s="2">
        <f>IF(BCP_Soles[[#This Row],[tipo_registro]]="R",COUNTIFS($C$1:$C2563,"R")+1,A2563)</f>
        <v>1886</v>
      </c>
      <c r="B2564" s="19" t="str">
        <f t="shared" si="206"/>
        <v>B-BCP - Soles</v>
      </c>
      <c r="C2564" s="3" t="s">
        <v>1330</v>
      </c>
      <c r="D2564" s="14">
        <v>45847</v>
      </c>
      <c r="E2564" s="5" t="s">
        <v>697</v>
      </c>
      <c r="F2564" s="5" t="s">
        <v>1303</v>
      </c>
      <c r="G2564" s="6" t="s">
        <v>425</v>
      </c>
      <c r="H2564" s="6" t="s">
        <v>68</v>
      </c>
      <c r="I2564" s="6" t="s">
        <v>3302</v>
      </c>
      <c r="J2564" s="6">
        <v>87</v>
      </c>
      <c r="K2564" s="7" t="s">
        <v>1930</v>
      </c>
      <c r="L2564" s="8">
        <v>6041164</v>
      </c>
      <c r="M2564" s="8" t="str">
        <f t="shared" si="207"/>
        <v>PEN</v>
      </c>
      <c r="N2564" s="13"/>
      <c r="O2564" s="13">
        <v>382</v>
      </c>
      <c r="P2564" s="3">
        <f t="shared" si="208"/>
        <v>382</v>
      </c>
      <c r="Q2564" s="3">
        <f t="shared" si="209"/>
        <v>0</v>
      </c>
      <c r="R2564" s="3">
        <f t="shared" si="205"/>
        <v>13898.690000000019</v>
      </c>
      <c r="S2564" s="24" t="s">
        <v>1334</v>
      </c>
      <c r="T2564" s="24" t="s">
        <v>1334</v>
      </c>
      <c r="U2564" s="55"/>
      <c r="V2564" s="25">
        <f>IFERROR(VLOOKUP(BCP_Soles[[#This Row],[destinatario]],CHOOSE({1,2},Clientes_Proveedores[Razon Social],Clientes_Proveedores[Ruc / Dni]),2,0),"")</f>
        <v>20558226979</v>
      </c>
      <c r="W2564" s="25"/>
      <c r="X2564" s="25"/>
      <c r="Y2564" s="25"/>
      <c r="Z2564" s="75"/>
      <c r="AA2564" s="3" t="str">
        <f>IF(BCP_Soles[[#This Row],[fecha]]&gt;0,TEXT(BCP_Soles[[#This Row],[fecha]],"mmmm"),0)</f>
        <v>Julio</v>
      </c>
    </row>
    <row r="2565" spans="1:27" x14ac:dyDescent="0.3">
      <c r="A2565" s="2">
        <f>IF(BCP_Soles[[#This Row],[tipo_registro]]="R",COUNTIFS($C$1:$C2564,"R")+1,A2564)</f>
        <v>1887</v>
      </c>
      <c r="B2565" s="19" t="str">
        <f t="shared" si="206"/>
        <v>B-BCP - Soles</v>
      </c>
      <c r="C2565" s="3" t="s">
        <v>1330</v>
      </c>
      <c r="D2565" s="14">
        <v>45847</v>
      </c>
      <c r="E2565" s="5"/>
      <c r="F2565" s="5" t="s">
        <v>1303</v>
      </c>
      <c r="G2565" s="6" t="s">
        <v>425</v>
      </c>
      <c r="H2565" s="6"/>
      <c r="I2565" s="6"/>
      <c r="J2565" s="6"/>
      <c r="K2565" s="7" t="s">
        <v>1453</v>
      </c>
      <c r="L2565" s="8">
        <v>7460041</v>
      </c>
      <c r="M2565" s="8" t="str">
        <f t="shared" si="207"/>
        <v>PEN</v>
      </c>
      <c r="N2565" s="13"/>
      <c r="O2565" s="13">
        <v>11662.09</v>
      </c>
      <c r="P2565" s="3">
        <f t="shared" si="208"/>
        <v>11662.09</v>
      </c>
      <c r="Q2565" s="3">
        <f t="shared" si="209"/>
        <v>0</v>
      </c>
      <c r="R2565" s="3">
        <f t="shared" si="205"/>
        <v>25560.780000000021</v>
      </c>
      <c r="S2565" s="24" t="s">
        <v>1334</v>
      </c>
      <c r="T2565" s="24" t="s">
        <v>1334</v>
      </c>
      <c r="U2565" s="55"/>
      <c r="V2565" s="25">
        <f>IFERROR(VLOOKUP(BCP_Soles[[#This Row],[destinatario]],CHOOSE({1,2},Clientes_Proveedores[Razon Social],Clientes_Proveedores[Ruc / Dni]),2,0),"")</f>
        <v>20558226979</v>
      </c>
      <c r="W2565" s="25"/>
      <c r="X2565" s="25"/>
      <c r="Y2565" s="25"/>
      <c r="Z2565" s="75"/>
      <c r="AA2565" s="3" t="str">
        <f>IF(BCP_Soles[[#This Row],[fecha]]&gt;0,TEXT(BCP_Soles[[#This Row],[fecha]],"mmmm"),0)</f>
        <v>Julio</v>
      </c>
    </row>
    <row r="2566" spans="1:27" x14ac:dyDescent="0.3">
      <c r="A2566" s="2">
        <f>IF(BCP_Soles[[#This Row],[tipo_registro]]="R",COUNTIFS($C$1:$C2565,"R")+1,A2565)</f>
        <v>1887</v>
      </c>
      <c r="B2566" s="19" t="str">
        <f t="shared" si="206"/>
        <v>B-BCP - Soles</v>
      </c>
      <c r="C2566" s="3" t="s">
        <v>1352</v>
      </c>
      <c r="D2566" s="14">
        <v>45847</v>
      </c>
      <c r="E2566" s="5" t="s">
        <v>346</v>
      </c>
      <c r="F2566" s="5"/>
      <c r="G2566" s="6" t="s">
        <v>425</v>
      </c>
      <c r="H2566" s="6" t="s">
        <v>68</v>
      </c>
      <c r="I2566" s="6" t="s">
        <v>1784</v>
      </c>
      <c r="J2566" s="6">
        <v>111</v>
      </c>
      <c r="K2566" s="7" t="s">
        <v>1453</v>
      </c>
      <c r="L2566" s="8">
        <v>7460041</v>
      </c>
      <c r="M2566" s="8" t="str">
        <f t="shared" si="207"/>
        <v>PEN</v>
      </c>
      <c r="N2566" s="13">
        <v>2175.16</v>
      </c>
      <c r="O2566" s="13"/>
      <c r="P2566" s="3">
        <f t="shared" si="208"/>
        <v>0</v>
      </c>
      <c r="Q2566" s="3">
        <f t="shared" si="209"/>
        <v>0</v>
      </c>
      <c r="R2566" s="3">
        <f t="shared" si="205"/>
        <v>25560.780000000021</v>
      </c>
      <c r="S2566" s="24" t="s">
        <v>1334</v>
      </c>
      <c r="T2566" s="24" t="s">
        <v>1334</v>
      </c>
      <c r="U2566" s="55"/>
      <c r="V2566" s="25">
        <f>IFERROR(VLOOKUP(BCP_Soles[[#This Row],[destinatario]],CHOOSE({1,2},Clientes_Proveedores[Razon Social],Clientes_Proveedores[Ruc / Dni]),2,0),"")</f>
        <v>20558226979</v>
      </c>
      <c r="W2566" s="25"/>
      <c r="X2566" s="25"/>
      <c r="Y2566" s="25"/>
      <c r="Z2566" s="75"/>
      <c r="AA2566" s="3" t="str">
        <f>IF(BCP_Soles[[#This Row],[fecha]]&gt;0,TEXT(BCP_Soles[[#This Row],[fecha]],"mmmm"),0)</f>
        <v>Julio</v>
      </c>
    </row>
    <row r="2567" spans="1:27" x14ac:dyDescent="0.3">
      <c r="A2567" s="2">
        <f>IF(BCP_Soles[[#This Row],[tipo_registro]]="R",COUNTIFS($C$1:$C2566,"R")+1,A2566)</f>
        <v>1887</v>
      </c>
      <c r="B2567" s="19" t="str">
        <f t="shared" si="206"/>
        <v>B-BCP - Soles</v>
      </c>
      <c r="C2567" s="3" t="s">
        <v>1352</v>
      </c>
      <c r="D2567" s="14">
        <v>45847</v>
      </c>
      <c r="E2567" s="5" t="s">
        <v>346</v>
      </c>
      <c r="F2567" s="5"/>
      <c r="G2567" s="6" t="s">
        <v>425</v>
      </c>
      <c r="H2567" s="6" t="s">
        <v>68</v>
      </c>
      <c r="I2567" s="6" t="s">
        <v>1784</v>
      </c>
      <c r="J2567" s="6">
        <v>112</v>
      </c>
      <c r="K2567" s="7" t="s">
        <v>1453</v>
      </c>
      <c r="L2567" s="8">
        <v>7460041</v>
      </c>
      <c r="M2567" s="8" t="str">
        <f t="shared" si="207"/>
        <v>PEN</v>
      </c>
      <c r="N2567" s="13">
        <v>6589.73</v>
      </c>
      <c r="O2567" s="13"/>
      <c r="P2567" s="3">
        <f t="shared" si="208"/>
        <v>0</v>
      </c>
      <c r="Q2567" s="3">
        <f t="shared" si="209"/>
        <v>0</v>
      </c>
      <c r="R2567" s="3">
        <f t="shared" si="205"/>
        <v>25560.780000000021</v>
      </c>
      <c r="S2567" s="24" t="s">
        <v>1334</v>
      </c>
      <c r="T2567" s="24" t="s">
        <v>1334</v>
      </c>
      <c r="U2567" s="55"/>
      <c r="V2567" s="25">
        <f>IFERROR(VLOOKUP(BCP_Soles[[#This Row],[destinatario]],CHOOSE({1,2},Clientes_Proveedores[Razon Social],Clientes_Proveedores[Ruc / Dni]),2,0),"")</f>
        <v>20558226979</v>
      </c>
      <c r="W2567" s="25"/>
      <c r="X2567" s="25"/>
      <c r="Y2567" s="25"/>
      <c r="Z2567" s="75"/>
      <c r="AA2567" s="3" t="str">
        <f>IF(BCP_Soles[[#This Row],[fecha]]&gt;0,TEXT(BCP_Soles[[#This Row],[fecha]],"mmmm"),0)</f>
        <v>Julio</v>
      </c>
    </row>
    <row r="2568" spans="1:27" x14ac:dyDescent="0.3">
      <c r="A2568" s="2">
        <f>IF(BCP_Soles[[#This Row],[tipo_registro]]="R",COUNTIFS($C$1:$C2567,"R")+1,A2567)</f>
        <v>1887</v>
      </c>
      <c r="B2568" s="19" t="str">
        <f t="shared" si="206"/>
        <v>B-BCP - Soles</v>
      </c>
      <c r="C2568" s="3" t="s">
        <v>1352</v>
      </c>
      <c r="D2568" s="14">
        <v>45847</v>
      </c>
      <c r="E2568" s="5" t="s">
        <v>346</v>
      </c>
      <c r="F2568" s="5"/>
      <c r="G2568" s="6" t="s">
        <v>425</v>
      </c>
      <c r="H2568" s="6" t="s">
        <v>68</v>
      </c>
      <c r="I2568" s="6" t="s">
        <v>1784</v>
      </c>
      <c r="J2568" s="6">
        <v>113</v>
      </c>
      <c r="K2568" s="7" t="s">
        <v>1453</v>
      </c>
      <c r="L2568" s="8">
        <v>7460041</v>
      </c>
      <c r="M2568" s="8" t="str">
        <f t="shared" si="207"/>
        <v>PEN</v>
      </c>
      <c r="N2568" s="13">
        <v>2897.2</v>
      </c>
      <c r="O2568" s="13"/>
      <c r="P2568" s="3">
        <f t="shared" si="208"/>
        <v>0</v>
      </c>
      <c r="Q2568" s="3">
        <f t="shared" si="209"/>
        <v>0</v>
      </c>
      <c r="R2568" s="3">
        <f t="shared" si="205"/>
        <v>25560.780000000021</v>
      </c>
      <c r="S2568" s="24" t="s">
        <v>1334</v>
      </c>
      <c r="T2568" s="24" t="s">
        <v>1334</v>
      </c>
      <c r="U2568" s="55"/>
      <c r="V2568" s="25">
        <f>IFERROR(VLOOKUP(BCP_Soles[[#This Row],[destinatario]],CHOOSE({1,2},Clientes_Proveedores[Razon Social],Clientes_Proveedores[Ruc / Dni]),2,0),"")</f>
        <v>20558226979</v>
      </c>
      <c r="W2568" s="25"/>
      <c r="X2568" s="25"/>
      <c r="Y2568" s="25"/>
      <c r="Z2568" s="75"/>
      <c r="AA2568" s="3" t="str">
        <f>IF(BCP_Soles[[#This Row],[fecha]]&gt;0,TEXT(BCP_Soles[[#This Row],[fecha]],"mmmm"),0)</f>
        <v>Julio</v>
      </c>
    </row>
    <row r="2569" spans="1:27" ht="24" x14ac:dyDescent="0.3">
      <c r="A2569" s="2">
        <f>IF(BCP_Soles[[#This Row],[tipo_registro]]="R",COUNTIFS($C$1:$C2568,"R")+1,A2568)</f>
        <v>1888</v>
      </c>
      <c r="B2569" s="19" t="str">
        <f t="shared" si="206"/>
        <v>B-BCP - Soles</v>
      </c>
      <c r="C2569" s="3" t="s">
        <v>1330</v>
      </c>
      <c r="D2569" s="14">
        <v>45847</v>
      </c>
      <c r="E2569" s="5" t="s">
        <v>241</v>
      </c>
      <c r="F2569" s="5" t="s">
        <v>1303</v>
      </c>
      <c r="G2569" s="6" t="s">
        <v>425</v>
      </c>
      <c r="H2569" s="6" t="s">
        <v>68</v>
      </c>
      <c r="I2569" s="6" t="s">
        <v>1784</v>
      </c>
      <c r="J2569" s="6">
        <v>106</v>
      </c>
      <c r="K2569" s="7" t="s">
        <v>3812</v>
      </c>
      <c r="L2569" s="8">
        <v>7511990</v>
      </c>
      <c r="M2569" s="8" t="str">
        <f t="shared" si="207"/>
        <v>PEN</v>
      </c>
      <c r="N2569" s="13"/>
      <c r="O2569" s="13">
        <v>10073.65</v>
      </c>
      <c r="P2569" s="3">
        <f t="shared" si="208"/>
        <v>10073.65</v>
      </c>
      <c r="Q2569" s="3">
        <f t="shared" si="209"/>
        <v>0</v>
      </c>
      <c r="R2569" s="3">
        <f t="shared" ref="R2569:R2632" si="210">IFERROR(IF(F2569="SALDO",P2569,R2568+P2569-Q2569),0)</f>
        <v>35634.430000000022</v>
      </c>
      <c r="S2569" s="24" t="s">
        <v>1334</v>
      </c>
      <c r="T2569" s="24" t="s">
        <v>1334</v>
      </c>
      <c r="U2569" s="55"/>
      <c r="V2569" s="25">
        <f>IFERROR(VLOOKUP(BCP_Soles[[#This Row],[destinatario]],CHOOSE({1,2},Clientes_Proveedores[Razon Social],Clientes_Proveedores[Ruc / Dni]),2,0),"")</f>
        <v>20558226979</v>
      </c>
      <c r="W2569" s="25"/>
      <c r="X2569" s="25"/>
      <c r="Y2569" s="25"/>
      <c r="Z2569" s="75"/>
      <c r="AA2569" s="3" t="str">
        <f>IF(BCP_Soles[[#This Row],[fecha]]&gt;0,TEXT(BCP_Soles[[#This Row],[fecha]],"mmmm"),0)</f>
        <v>Julio</v>
      </c>
    </row>
    <row r="2570" spans="1:27" x14ac:dyDescent="0.3">
      <c r="A2570" s="2">
        <f>IF(BCP_Soles[[#This Row],[tipo_registro]]="R",COUNTIFS($C$1:$C2569,"R")+1,A2569)</f>
        <v>1889</v>
      </c>
      <c r="B2570" s="19" t="str">
        <f t="shared" si="206"/>
        <v>B-BCP - Soles</v>
      </c>
      <c r="C2570" s="3" t="s">
        <v>1330</v>
      </c>
      <c r="D2570" s="14">
        <v>45847</v>
      </c>
      <c r="E2570" s="5"/>
      <c r="F2570" s="5" t="s">
        <v>1303</v>
      </c>
      <c r="G2570" s="6" t="s">
        <v>425</v>
      </c>
      <c r="H2570" s="6"/>
      <c r="I2570" s="6"/>
      <c r="J2570" s="6"/>
      <c r="K2570" s="7" t="s">
        <v>3813</v>
      </c>
      <c r="L2570" s="8">
        <v>2188999</v>
      </c>
      <c r="M2570" s="8" t="str">
        <f t="shared" si="207"/>
        <v>PEN</v>
      </c>
      <c r="N2570" s="13"/>
      <c r="O2570" s="13">
        <v>1768.5</v>
      </c>
      <c r="P2570" s="3">
        <f t="shared" si="208"/>
        <v>1768.5</v>
      </c>
      <c r="Q2570" s="3">
        <f t="shared" si="209"/>
        <v>0</v>
      </c>
      <c r="R2570" s="3">
        <f t="shared" si="210"/>
        <v>37402.930000000022</v>
      </c>
      <c r="S2570" s="24"/>
      <c r="T2570" s="24"/>
      <c r="U2570" s="55"/>
      <c r="V2570" s="25">
        <f>IFERROR(VLOOKUP(BCP_Soles[[#This Row],[destinatario]],CHOOSE({1,2},Clientes_Proveedores[Razon Social],Clientes_Proveedores[Ruc / Dni]),2,0),"")</f>
        <v>20558226979</v>
      </c>
      <c r="W2570" s="25"/>
      <c r="X2570" s="25"/>
      <c r="Y2570" s="25"/>
      <c r="Z2570" s="75"/>
      <c r="AA2570" s="3" t="str">
        <f>IF(BCP_Soles[[#This Row],[fecha]]&gt;0,TEXT(BCP_Soles[[#This Row],[fecha]],"mmmm"),0)</f>
        <v>Julio</v>
      </c>
    </row>
    <row r="2571" spans="1:27" x14ac:dyDescent="0.3">
      <c r="A2571" s="2">
        <f>IF(BCP_Soles[[#This Row],[tipo_registro]]="R",COUNTIFS($C$1:$C2570,"R")+1,A2570)</f>
        <v>1890</v>
      </c>
      <c r="B2571" s="19" t="str">
        <f t="shared" si="206"/>
        <v>B-BCP - Soles</v>
      </c>
      <c r="C2571" s="3" t="s">
        <v>1330</v>
      </c>
      <c r="D2571" s="14">
        <v>45847</v>
      </c>
      <c r="E2571" s="5"/>
      <c r="F2571" s="5" t="s">
        <v>1303</v>
      </c>
      <c r="G2571" s="6" t="s">
        <v>425</v>
      </c>
      <c r="H2571" s="6"/>
      <c r="I2571" s="6"/>
      <c r="J2571" s="6"/>
      <c r="K2571" s="7" t="s">
        <v>1356</v>
      </c>
      <c r="L2571" s="8">
        <v>3606106</v>
      </c>
      <c r="M2571" s="8" t="str">
        <f t="shared" si="207"/>
        <v>PEN</v>
      </c>
      <c r="N2571" s="13"/>
      <c r="O2571" s="13">
        <v>100</v>
      </c>
      <c r="P2571" s="3">
        <f t="shared" si="208"/>
        <v>100</v>
      </c>
      <c r="Q2571" s="3">
        <f t="shared" si="209"/>
        <v>0</v>
      </c>
      <c r="R2571" s="3">
        <f t="shared" si="210"/>
        <v>37502.930000000022</v>
      </c>
      <c r="S2571" s="24"/>
      <c r="T2571" s="24"/>
      <c r="U2571" s="55"/>
      <c r="V2571" s="25">
        <f>IFERROR(VLOOKUP(BCP_Soles[[#This Row],[destinatario]],CHOOSE({1,2},Clientes_Proveedores[Razon Social],Clientes_Proveedores[Ruc / Dni]),2,0),"")</f>
        <v>20558226979</v>
      </c>
      <c r="W2571" s="25"/>
      <c r="X2571" s="25"/>
      <c r="Y2571" s="25"/>
      <c r="Z2571" s="75"/>
      <c r="AA2571" s="3" t="str">
        <f>IF(BCP_Soles[[#This Row],[fecha]]&gt;0,TEXT(BCP_Soles[[#This Row],[fecha]],"mmmm"),0)</f>
        <v>Julio</v>
      </c>
    </row>
    <row r="2572" spans="1:27" ht="24" x14ac:dyDescent="0.3">
      <c r="A2572" s="2">
        <f>IF(BCP_Soles[[#This Row],[tipo_registro]]="R",COUNTIFS($C$1:$C2571,"R")+1,A2571)</f>
        <v>1891</v>
      </c>
      <c r="B2572" s="19" t="str">
        <f t="shared" si="206"/>
        <v>B-BCP - Soles</v>
      </c>
      <c r="C2572" s="3" t="s">
        <v>1330</v>
      </c>
      <c r="D2572" s="14">
        <v>45847</v>
      </c>
      <c r="E2572" s="5" t="s">
        <v>1331</v>
      </c>
      <c r="F2572" s="5" t="s">
        <v>1336</v>
      </c>
      <c r="G2572" s="6" t="s">
        <v>249</v>
      </c>
      <c r="H2572" s="6"/>
      <c r="I2572" s="6"/>
      <c r="J2572" s="6"/>
      <c r="K2572" s="7" t="s">
        <v>3814</v>
      </c>
      <c r="L2572" s="8">
        <v>1019221</v>
      </c>
      <c r="M2572" s="8" t="str">
        <f t="shared" si="207"/>
        <v>PEN</v>
      </c>
      <c r="N2572" s="13"/>
      <c r="O2572" s="13">
        <v>3000</v>
      </c>
      <c r="P2572" s="3">
        <f t="shared" si="208"/>
        <v>0</v>
      </c>
      <c r="Q2572" s="3">
        <f t="shared" si="209"/>
        <v>3000</v>
      </c>
      <c r="R2572" s="3">
        <f t="shared" si="210"/>
        <v>34502.930000000022</v>
      </c>
      <c r="S2572" s="24"/>
      <c r="T2572" s="24" t="s">
        <v>1334</v>
      </c>
      <c r="U2572" s="55"/>
      <c r="V2572" s="25">
        <f>IFERROR(VLOOKUP(BCP_Soles[[#This Row],[destinatario]],CHOOSE({1,2},Clientes_Proveedores[Razon Social],Clientes_Proveedores[Ruc / Dni]),2,0),"")</f>
        <v>20302891452</v>
      </c>
      <c r="W2572" s="25"/>
      <c r="X2572" s="25"/>
      <c r="Y2572" s="25"/>
      <c r="Z2572" s="75"/>
      <c r="AA2572" s="3" t="str">
        <f>IF(BCP_Soles[[#This Row],[fecha]]&gt;0,TEXT(BCP_Soles[[#This Row],[fecha]],"mmmm"),0)</f>
        <v>Julio</v>
      </c>
    </row>
    <row r="2573" spans="1:27" ht="24" x14ac:dyDescent="0.3">
      <c r="A2573" s="2">
        <f>IF(BCP_Soles[[#This Row],[tipo_registro]]="R",COUNTIFS($C$1:$C2572,"R")+1,A2572)</f>
        <v>1892</v>
      </c>
      <c r="B2573" s="19" t="str">
        <f t="shared" si="206"/>
        <v>B-BCP - Soles</v>
      </c>
      <c r="C2573" s="3" t="s">
        <v>1330</v>
      </c>
      <c r="D2573" s="14">
        <v>45847</v>
      </c>
      <c r="E2573" s="5" t="s">
        <v>1331</v>
      </c>
      <c r="F2573" s="5" t="s">
        <v>1336</v>
      </c>
      <c r="G2573" s="6" t="s">
        <v>698</v>
      </c>
      <c r="H2573" s="6"/>
      <c r="I2573" s="6"/>
      <c r="J2573" s="6"/>
      <c r="K2573" s="7" t="s">
        <v>3815</v>
      </c>
      <c r="L2573" s="8">
        <v>4001186</v>
      </c>
      <c r="M2573" s="8" t="str">
        <f t="shared" si="207"/>
        <v>PEN</v>
      </c>
      <c r="N2573" s="13"/>
      <c r="O2573" s="13">
        <v>3219.5</v>
      </c>
      <c r="P2573" s="3">
        <f t="shared" si="208"/>
        <v>0</v>
      </c>
      <c r="Q2573" s="3">
        <f t="shared" si="209"/>
        <v>3219.5</v>
      </c>
      <c r="R2573" s="3">
        <f t="shared" si="210"/>
        <v>31283.430000000022</v>
      </c>
      <c r="S2573" s="24" t="s">
        <v>1334</v>
      </c>
      <c r="T2573" s="24"/>
      <c r="U2573" s="80"/>
      <c r="V2573" s="25">
        <f>IFERROR(VLOOKUP(BCP_Soles[[#This Row],[destinatario]],CHOOSE({1,2},Clientes_Proveedores[Razon Social],Clientes_Proveedores[Ruc / Dni]),2,0),"")</f>
        <v>10296347634</v>
      </c>
      <c r="W2573" s="25"/>
      <c r="X2573" s="25"/>
      <c r="Y2573" s="25"/>
      <c r="Z2573" s="75"/>
      <c r="AA2573" s="3" t="str">
        <f>IF(BCP_Soles[[#This Row],[fecha]]&gt;0,TEXT(BCP_Soles[[#This Row],[fecha]],"mmmm"),0)</f>
        <v>Julio</v>
      </c>
    </row>
    <row r="2574" spans="1:27" ht="24" x14ac:dyDescent="0.3">
      <c r="A2574" s="2">
        <f>IF(BCP_Soles[[#This Row],[tipo_registro]]="R",COUNTIFS($C$1:$C2573,"R")+1,A2573)</f>
        <v>1892</v>
      </c>
      <c r="B2574" s="19" t="str">
        <f t="shared" si="206"/>
        <v>B-BCP - Soles</v>
      </c>
      <c r="C2574" s="3" t="s">
        <v>1352</v>
      </c>
      <c r="D2574" s="14">
        <v>45847</v>
      </c>
      <c r="E2574" s="5" t="s">
        <v>1331</v>
      </c>
      <c r="F2574" s="5" t="s">
        <v>1336</v>
      </c>
      <c r="G2574" s="6" t="s">
        <v>698</v>
      </c>
      <c r="H2574" s="6" t="s">
        <v>64</v>
      </c>
      <c r="I2574" s="6"/>
      <c r="J2574" s="6"/>
      <c r="K2574" s="7" t="s">
        <v>3815</v>
      </c>
      <c r="L2574" s="8">
        <v>4001186</v>
      </c>
      <c r="M2574" s="8" t="str">
        <f t="shared" si="207"/>
        <v>PEN</v>
      </c>
      <c r="N2574" s="13">
        <v>3200</v>
      </c>
      <c r="O2574" s="13"/>
      <c r="P2574" s="3">
        <f t="shared" si="208"/>
        <v>0</v>
      </c>
      <c r="Q2574" s="3">
        <f t="shared" si="209"/>
        <v>0</v>
      </c>
      <c r="R2574" s="3">
        <f t="shared" si="210"/>
        <v>31283.430000000022</v>
      </c>
      <c r="S2574" s="24" t="s">
        <v>1334</v>
      </c>
      <c r="T2574" s="24"/>
      <c r="U2574" s="80"/>
      <c r="V2574" s="25">
        <f>IFERROR(VLOOKUP(BCP_Soles[[#This Row],[destinatario]],CHOOSE({1,2},Clientes_Proveedores[Razon Social],Clientes_Proveedores[Ruc / Dni]),2,0),"")</f>
        <v>10296347634</v>
      </c>
      <c r="W2574" s="25"/>
      <c r="X2574" s="25"/>
      <c r="Y2574" s="25"/>
      <c r="Z2574" s="75"/>
      <c r="AA2574" s="3" t="str">
        <f>IF(BCP_Soles[[#This Row],[fecha]]&gt;0,TEXT(BCP_Soles[[#This Row],[fecha]],"mmmm"),0)</f>
        <v>Julio</v>
      </c>
    </row>
    <row r="2575" spans="1:27" ht="24" x14ac:dyDescent="0.3">
      <c r="A2575" s="2">
        <f>IF(BCP_Soles[[#This Row],[tipo_registro]]="R",COUNTIFS($C$1:$C2574,"R")+1,A2574)</f>
        <v>1892</v>
      </c>
      <c r="B2575" s="19" t="str">
        <f t="shared" si="206"/>
        <v>B-BCP - Soles</v>
      </c>
      <c r="C2575" s="3" t="s">
        <v>1352</v>
      </c>
      <c r="D2575" s="14">
        <v>45847</v>
      </c>
      <c r="E2575" s="5" t="s">
        <v>1331</v>
      </c>
      <c r="F2575" s="5" t="s">
        <v>1336</v>
      </c>
      <c r="G2575" s="6" t="s">
        <v>1060</v>
      </c>
      <c r="H2575" s="6" t="s">
        <v>68</v>
      </c>
      <c r="I2575" s="6" t="s">
        <v>1397</v>
      </c>
      <c r="J2575" s="6">
        <v>34498361</v>
      </c>
      <c r="K2575" s="7" t="s">
        <v>3815</v>
      </c>
      <c r="L2575" s="8">
        <v>4001186</v>
      </c>
      <c r="M2575" s="8" t="str">
        <f t="shared" si="207"/>
        <v>PEN</v>
      </c>
      <c r="N2575" s="13">
        <v>19.5</v>
      </c>
      <c r="O2575" s="13"/>
      <c r="P2575" s="3">
        <f t="shared" si="208"/>
        <v>0</v>
      </c>
      <c r="Q2575" s="3">
        <f t="shared" si="209"/>
        <v>0</v>
      </c>
      <c r="R2575" s="3">
        <f t="shared" si="210"/>
        <v>31283.430000000022</v>
      </c>
      <c r="S2575" s="24" t="s">
        <v>1334</v>
      </c>
      <c r="T2575" s="24"/>
      <c r="U2575" s="80"/>
      <c r="V2575" s="25">
        <f>IFERROR(VLOOKUP(BCP_Soles[[#This Row],[destinatario]],CHOOSE({1,2},Clientes_Proveedores[Razon Social],Clientes_Proveedores[Ruc / Dni]),2,0),"")</f>
        <v>20100047218</v>
      </c>
      <c r="W2575" s="25"/>
      <c r="X2575" s="25"/>
      <c r="Y2575" s="25"/>
      <c r="Z2575" s="75"/>
      <c r="AA2575" s="3" t="str">
        <f>IF(BCP_Soles[[#This Row],[fecha]]&gt;0,TEXT(BCP_Soles[[#This Row],[fecha]],"mmmm"),0)</f>
        <v>Julio</v>
      </c>
    </row>
    <row r="2576" spans="1:27" ht="24" x14ac:dyDescent="0.3">
      <c r="A2576" s="2">
        <f>IF(BCP_Soles[[#This Row],[tipo_registro]]="R",COUNTIFS($C$1:$C2575,"R")+1,A2575)</f>
        <v>1893</v>
      </c>
      <c r="B2576" s="19" t="str">
        <f t="shared" si="206"/>
        <v>B-BCP - Soles</v>
      </c>
      <c r="C2576" s="3" t="s">
        <v>1330</v>
      </c>
      <c r="D2576" s="14">
        <v>45847</v>
      </c>
      <c r="E2576" s="5" t="s">
        <v>1331</v>
      </c>
      <c r="F2576" s="5" t="s">
        <v>1336</v>
      </c>
      <c r="G2576" s="6" t="s">
        <v>825</v>
      </c>
      <c r="H2576" s="6"/>
      <c r="I2576" s="6"/>
      <c r="J2576" s="6"/>
      <c r="K2576" s="7" t="s">
        <v>3816</v>
      </c>
      <c r="L2576" s="8">
        <v>1016235</v>
      </c>
      <c r="M2576" s="8" t="str">
        <f t="shared" si="207"/>
        <v>PEN</v>
      </c>
      <c r="N2576" s="13"/>
      <c r="O2576" s="13">
        <v>126.56</v>
      </c>
      <c r="P2576" s="3">
        <f t="shared" si="208"/>
        <v>0</v>
      </c>
      <c r="Q2576" s="3">
        <f t="shared" si="209"/>
        <v>126.56</v>
      </c>
      <c r="R2576" s="3">
        <f t="shared" si="210"/>
        <v>31156.870000000021</v>
      </c>
      <c r="S2576" s="24"/>
      <c r="T2576" s="24"/>
      <c r="U2576" s="80"/>
      <c r="V2576" s="25">
        <f>IFERROR(VLOOKUP(BCP_Soles[[#This Row],[destinatario]],CHOOSE({1,2},Clientes_Proveedores[Razon Social],Clientes_Proveedores[Ruc / Dni]),2,0),"")</f>
        <v>46799833</v>
      </c>
      <c r="W2576" s="25"/>
      <c r="X2576" s="25"/>
      <c r="Y2576" s="25"/>
      <c r="Z2576" s="75"/>
      <c r="AA2576" s="3" t="str">
        <f>IF(BCP_Soles[[#This Row],[fecha]]&gt;0,TEXT(BCP_Soles[[#This Row],[fecha]],"mmmm"),0)</f>
        <v>Julio</v>
      </c>
    </row>
    <row r="2577" spans="1:27" ht="24" x14ac:dyDescent="0.3">
      <c r="A2577" s="2">
        <f>IF(BCP_Soles[[#This Row],[tipo_registro]]="R",COUNTIFS($C$1:$C2576,"R")+1,A2576)</f>
        <v>1894</v>
      </c>
      <c r="B2577" s="19" t="str">
        <f t="shared" si="206"/>
        <v>B-BCP - Soles</v>
      </c>
      <c r="C2577" s="3" t="s">
        <v>1330</v>
      </c>
      <c r="D2577" s="14">
        <v>45847</v>
      </c>
      <c r="E2577" s="5" t="s">
        <v>2269</v>
      </c>
      <c r="F2577" s="5" t="s">
        <v>1336</v>
      </c>
      <c r="G2577" s="6" t="s">
        <v>482</v>
      </c>
      <c r="H2577" s="6" t="s">
        <v>68</v>
      </c>
      <c r="I2577" s="6" t="s">
        <v>1374</v>
      </c>
      <c r="J2577" s="6">
        <v>494</v>
      </c>
      <c r="K2577" s="7" t="s">
        <v>3817</v>
      </c>
      <c r="L2577" s="8">
        <v>1073052</v>
      </c>
      <c r="M2577" s="8" t="str">
        <f t="shared" si="207"/>
        <v>PEN</v>
      </c>
      <c r="N2577" s="13"/>
      <c r="O2577" s="13">
        <v>389.4</v>
      </c>
      <c r="P2577" s="3">
        <f t="shared" si="208"/>
        <v>0</v>
      </c>
      <c r="Q2577" s="3">
        <f t="shared" si="209"/>
        <v>389.4</v>
      </c>
      <c r="R2577" s="3">
        <f t="shared" si="210"/>
        <v>30767.470000000019</v>
      </c>
      <c r="S2577" s="24" t="s">
        <v>1334</v>
      </c>
      <c r="T2577" s="24" t="s">
        <v>1334</v>
      </c>
      <c r="U2577" s="80" t="s">
        <v>3818</v>
      </c>
      <c r="V2577" s="25">
        <f>IFERROR(VLOOKUP(BCP_Soles[[#This Row],[destinatario]],CHOOSE({1,2},Clientes_Proveedores[Razon Social],Clientes_Proveedores[Ruc / Dni]),2,0),"")</f>
        <v>20602441165</v>
      </c>
      <c r="W2577" s="25"/>
      <c r="X2577" s="25"/>
      <c r="Y2577" s="25"/>
      <c r="Z2577" s="75"/>
      <c r="AA2577" s="3" t="str">
        <f>IF(BCP_Soles[[#This Row],[fecha]]&gt;0,TEXT(BCP_Soles[[#This Row],[fecha]],"mmmm"),0)</f>
        <v>Julio</v>
      </c>
    </row>
    <row r="2578" spans="1:27" ht="24" x14ac:dyDescent="0.3">
      <c r="A2578" s="2">
        <f>IF(BCP_Soles[[#This Row],[tipo_registro]]="R",COUNTIFS($C$1:$C2577,"R")+1,A2577)</f>
        <v>1895</v>
      </c>
      <c r="B2578" s="19" t="str">
        <f t="shared" si="206"/>
        <v>B-BCP - Soles</v>
      </c>
      <c r="C2578" s="3" t="s">
        <v>1330</v>
      </c>
      <c r="D2578" s="14">
        <v>45847</v>
      </c>
      <c r="E2578" s="5" t="s">
        <v>2269</v>
      </c>
      <c r="F2578" s="5" t="s">
        <v>1336</v>
      </c>
      <c r="G2578" s="6" t="s">
        <v>482</v>
      </c>
      <c r="H2578" s="6" t="s">
        <v>68</v>
      </c>
      <c r="I2578" s="6" t="s">
        <v>1374</v>
      </c>
      <c r="J2578" s="6">
        <v>495</v>
      </c>
      <c r="K2578" s="7" t="s">
        <v>3819</v>
      </c>
      <c r="L2578" s="8">
        <v>1072086</v>
      </c>
      <c r="M2578" s="8" t="str">
        <f t="shared" si="207"/>
        <v>PEN</v>
      </c>
      <c r="N2578" s="13"/>
      <c r="O2578" s="13">
        <v>112</v>
      </c>
      <c r="P2578" s="3">
        <f t="shared" si="208"/>
        <v>0</v>
      </c>
      <c r="Q2578" s="3">
        <f t="shared" si="209"/>
        <v>112</v>
      </c>
      <c r="R2578" s="3">
        <f t="shared" si="210"/>
        <v>30655.470000000019</v>
      </c>
      <c r="S2578" s="24" t="s">
        <v>1334</v>
      </c>
      <c r="T2578" s="24" t="s">
        <v>1334</v>
      </c>
      <c r="U2578" s="80" t="s">
        <v>3820</v>
      </c>
      <c r="V2578" s="25">
        <f>IFERROR(VLOOKUP(BCP_Soles[[#This Row],[destinatario]],CHOOSE({1,2},Clientes_Proveedores[Razon Social],Clientes_Proveedores[Ruc / Dni]),2,0),"")</f>
        <v>20602441165</v>
      </c>
      <c r="W2578" s="25"/>
      <c r="X2578" s="25"/>
      <c r="Y2578" s="25"/>
      <c r="Z2578" s="75"/>
      <c r="AA2578" s="3" t="str">
        <f>IF(BCP_Soles[[#This Row],[fecha]]&gt;0,TEXT(BCP_Soles[[#This Row],[fecha]],"mmmm"),0)</f>
        <v>Julio</v>
      </c>
    </row>
    <row r="2579" spans="1:27" ht="24" x14ac:dyDescent="0.3">
      <c r="A2579" s="2">
        <f>IF(BCP_Soles[[#This Row],[tipo_registro]]="R",COUNTIFS($C$1:$C2578,"R")+1,A2578)</f>
        <v>1896</v>
      </c>
      <c r="B2579" s="19" t="str">
        <f t="shared" si="206"/>
        <v>B-BCP - Soles</v>
      </c>
      <c r="C2579" s="3" t="s">
        <v>1330</v>
      </c>
      <c r="D2579" s="14">
        <v>45847</v>
      </c>
      <c r="E2579" s="5" t="s">
        <v>1331</v>
      </c>
      <c r="F2579" s="5" t="s">
        <v>1336</v>
      </c>
      <c r="G2579" s="6" t="s">
        <v>710</v>
      </c>
      <c r="H2579" s="6" t="s">
        <v>106</v>
      </c>
      <c r="I2579" s="6">
        <v>1</v>
      </c>
      <c r="J2579" s="6">
        <v>59630261</v>
      </c>
      <c r="K2579" s="7" t="s">
        <v>3453</v>
      </c>
      <c r="L2579" s="8">
        <v>75518</v>
      </c>
      <c r="M2579" s="8" t="str">
        <f t="shared" si="207"/>
        <v>PEN</v>
      </c>
      <c r="N2579" s="13"/>
      <c r="O2579" s="13">
        <v>471.5</v>
      </c>
      <c r="P2579" s="3">
        <f t="shared" si="208"/>
        <v>0</v>
      </c>
      <c r="Q2579" s="3">
        <f t="shared" si="209"/>
        <v>471.5</v>
      </c>
      <c r="R2579" s="3">
        <f t="shared" si="210"/>
        <v>30183.970000000019</v>
      </c>
      <c r="S2579" s="24" t="s">
        <v>1334</v>
      </c>
      <c r="T2579" s="24" t="s">
        <v>1334</v>
      </c>
      <c r="U2579" s="80" t="s">
        <v>3821</v>
      </c>
      <c r="V2579" s="25">
        <f>IFERROR(VLOOKUP(BCP_Soles[[#This Row],[destinatario]],CHOOSE({1,2},Clientes_Proveedores[Razon Social],Clientes_Proveedores[Ruc / Dni]),2,0),"")</f>
        <v>20100211034</v>
      </c>
      <c r="W2579" s="25"/>
      <c r="X2579" s="25"/>
      <c r="Y2579" s="25"/>
      <c r="Z2579" s="75"/>
      <c r="AA2579" s="3" t="str">
        <f>IF(BCP_Soles[[#This Row],[fecha]]&gt;0,TEXT(BCP_Soles[[#This Row],[fecha]],"mmmm"),0)</f>
        <v>Julio</v>
      </c>
    </row>
    <row r="2580" spans="1:27" x14ac:dyDescent="0.3">
      <c r="A2580" s="2">
        <f>IF(BCP_Soles[[#This Row],[tipo_registro]]="R",COUNTIFS($C$1:$C2579,"R")+1,A2579)</f>
        <v>1897</v>
      </c>
      <c r="B2580" s="19" t="str">
        <f t="shared" si="206"/>
        <v>B-BCP - Soles</v>
      </c>
      <c r="C2580" s="3" t="s">
        <v>1330</v>
      </c>
      <c r="D2580" s="14">
        <v>45847</v>
      </c>
      <c r="E2580" s="5" t="s">
        <v>2269</v>
      </c>
      <c r="F2580" s="5" t="s">
        <v>1336</v>
      </c>
      <c r="G2580" s="6" t="s">
        <v>696</v>
      </c>
      <c r="H2580" s="6"/>
      <c r="I2580" s="6"/>
      <c r="J2580" s="6"/>
      <c r="K2580" s="7" t="s">
        <v>3822</v>
      </c>
      <c r="L2580" s="8">
        <v>7294908</v>
      </c>
      <c r="M2580" s="8" t="str">
        <f t="shared" si="207"/>
        <v>PEN</v>
      </c>
      <c r="N2580" s="13"/>
      <c r="O2580" s="13">
        <v>3437.97</v>
      </c>
      <c r="P2580" s="3">
        <f t="shared" si="208"/>
        <v>0</v>
      </c>
      <c r="Q2580" s="3">
        <f t="shared" si="209"/>
        <v>3437.97</v>
      </c>
      <c r="R2580" s="3">
        <f t="shared" si="210"/>
        <v>26746.000000000018</v>
      </c>
      <c r="S2580" s="24" t="s">
        <v>1334</v>
      </c>
      <c r="T2580" s="24" t="s">
        <v>1334</v>
      </c>
      <c r="U2580" s="79" t="s">
        <v>3823</v>
      </c>
      <c r="V2580" s="25">
        <f>IFERROR(VLOOKUP(BCP_Soles[[#This Row],[destinatario]],CHOOSE({1,2},Clientes_Proveedores[Razon Social],Clientes_Proveedores[Ruc / Dni]),2,0),"")</f>
        <v>0</v>
      </c>
      <c r="W2580" s="25"/>
      <c r="X2580" s="25"/>
      <c r="Y2580" s="25"/>
      <c r="Z2580" s="75"/>
      <c r="AA2580" s="3" t="str">
        <f>IF(BCP_Soles[[#This Row],[fecha]]&gt;0,TEXT(BCP_Soles[[#This Row],[fecha]],"mmmm"),0)</f>
        <v>Julio</v>
      </c>
    </row>
    <row r="2581" spans="1:27" ht="24" x14ac:dyDescent="0.3">
      <c r="A2581" s="2">
        <f>IF(BCP_Soles[[#This Row],[tipo_registro]]="R",COUNTIFS($C$1:$C2580,"R")+1,A2580)</f>
        <v>1897</v>
      </c>
      <c r="B2581" s="19" t="str">
        <f t="shared" si="206"/>
        <v>B-BCP - Soles</v>
      </c>
      <c r="C2581" s="3" t="s">
        <v>1352</v>
      </c>
      <c r="D2581" s="14">
        <v>45847</v>
      </c>
      <c r="E2581" s="5" t="s">
        <v>2269</v>
      </c>
      <c r="F2581" s="5"/>
      <c r="G2581" s="6" t="s">
        <v>503</v>
      </c>
      <c r="H2581" s="6" t="s">
        <v>68</v>
      </c>
      <c r="I2581" s="6" t="s">
        <v>1376</v>
      </c>
      <c r="J2581" s="6">
        <v>721</v>
      </c>
      <c r="K2581" s="7" t="s">
        <v>3822</v>
      </c>
      <c r="L2581" s="8">
        <v>7294908</v>
      </c>
      <c r="M2581" s="8" t="str">
        <f t="shared" si="207"/>
        <v>PEN</v>
      </c>
      <c r="N2581" s="13">
        <v>50</v>
      </c>
      <c r="O2581" s="13"/>
      <c r="P2581" s="3">
        <f t="shared" si="208"/>
        <v>0</v>
      </c>
      <c r="Q2581" s="3">
        <f t="shared" si="209"/>
        <v>0</v>
      </c>
      <c r="R2581" s="3">
        <f t="shared" si="210"/>
        <v>26746.000000000018</v>
      </c>
      <c r="S2581" s="24" t="s">
        <v>1334</v>
      </c>
      <c r="T2581" s="24" t="s">
        <v>1334</v>
      </c>
      <c r="U2581" s="79" t="s">
        <v>3823</v>
      </c>
      <c r="V2581" s="25">
        <f>IFERROR(VLOOKUP(BCP_Soles[[#This Row],[destinatario]],CHOOSE({1,2},Clientes_Proveedores[Razon Social],Clientes_Proveedores[Ruc / Dni]),2,0),"")</f>
        <v>20603001461</v>
      </c>
      <c r="W2581" s="25"/>
      <c r="X2581" s="25"/>
      <c r="Y2581" s="25"/>
      <c r="Z2581" s="75"/>
      <c r="AA2581" s="3" t="str">
        <f>IF(BCP_Soles[[#This Row],[fecha]]&gt;0,TEXT(BCP_Soles[[#This Row],[fecha]],"mmmm"),0)</f>
        <v>Julio</v>
      </c>
    </row>
    <row r="2582" spans="1:27" ht="36" x14ac:dyDescent="0.3">
      <c r="A2582" s="2">
        <f>IF(BCP_Soles[[#This Row],[tipo_registro]]="R",COUNTIFS($C$1:$C2581,"R")+1,A2581)</f>
        <v>1897</v>
      </c>
      <c r="B2582" s="19" t="str">
        <f t="shared" si="206"/>
        <v>B-BCP - Soles</v>
      </c>
      <c r="C2582" s="3" t="s">
        <v>1352</v>
      </c>
      <c r="D2582" s="14">
        <v>45847</v>
      </c>
      <c r="E2582" s="5" t="s">
        <v>2269</v>
      </c>
      <c r="F2582" s="5"/>
      <c r="G2582" s="6" t="s">
        <v>675</v>
      </c>
      <c r="H2582" s="6" t="s">
        <v>68</v>
      </c>
      <c r="I2582" s="6" t="s">
        <v>2912</v>
      </c>
      <c r="J2582" s="6">
        <v>1403</v>
      </c>
      <c r="K2582" s="7" t="s">
        <v>3822</v>
      </c>
      <c r="L2582" s="8">
        <v>7294908</v>
      </c>
      <c r="M2582" s="8" t="str">
        <f t="shared" si="207"/>
        <v>PEN</v>
      </c>
      <c r="N2582" s="13">
        <v>684.99</v>
      </c>
      <c r="O2582" s="13"/>
      <c r="P2582" s="3">
        <f t="shared" si="208"/>
        <v>0</v>
      </c>
      <c r="Q2582" s="3">
        <f t="shared" si="209"/>
        <v>0</v>
      </c>
      <c r="R2582" s="3">
        <f t="shared" si="210"/>
        <v>26746.000000000018</v>
      </c>
      <c r="S2582" s="24" t="s">
        <v>1334</v>
      </c>
      <c r="T2582" s="24" t="s">
        <v>1334</v>
      </c>
      <c r="U2582" s="79" t="s">
        <v>3823</v>
      </c>
      <c r="V2582" s="25">
        <f>IFERROR(VLOOKUP(BCP_Soles[[#This Row],[destinatario]],CHOOSE({1,2},Clientes_Proveedores[Razon Social],Clientes_Proveedores[Ruc / Dni]),2,0),"")</f>
        <v>20455911401</v>
      </c>
      <c r="W2582" s="25"/>
      <c r="X2582" s="25"/>
      <c r="Y2582" s="25"/>
      <c r="Z2582" s="75"/>
      <c r="AA2582" s="3" t="str">
        <f>IF(BCP_Soles[[#This Row],[fecha]]&gt;0,TEXT(BCP_Soles[[#This Row],[fecha]],"mmmm"),0)</f>
        <v>Julio</v>
      </c>
    </row>
    <row r="2583" spans="1:27" ht="36" x14ac:dyDescent="0.3">
      <c r="A2583" s="2">
        <f>IF(BCP_Soles[[#This Row],[tipo_registro]]="R",COUNTIFS($C$1:$C2582,"R")+1,A2582)</f>
        <v>1897</v>
      </c>
      <c r="B2583" s="19" t="str">
        <f t="shared" si="206"/>
        <v>B-BCP - Soles</v>
      </c>
      <c r="C2583" s="3" t="s">
        <v>1352</v>
      </c>
      <c r="D2583" s="14">
        <v>45847</v>
      </c>
      <c r="E2583" s="5" t="s">
        <v>2269</v>
      </c>
      <c r="F2583" s="5"/>
      <c r="G2583" s="6" t="s">
        <v>675</v>
      </c>
      <c r="H2583" s="6" t="s">
        <v>68</v>
      </c>
      <c r="I2583" s="6" t="s">
        <v>2912</v>
      </c>
      <c r="J2583" s="6">
        <v>1588</v>
      </c>
      <c r="K2583" s="7" t="s">
        <v>3822</v>
      </c>
      <c r="L2583" s="8">
        <v>7294908</v>
      </c>
      <c r="M2583" s="8" t="str">
        <f t="shared" si="207"/>
        <v>PEN</v>
      </c>
      <c r="N2583" s="13">
        <v>532.77</v>
      </c>
      <c r="O2583" s="13"/>
      <c r="P2583" s="3">
        <f t="shared" si="208"/>
        <v>0</v>
      </c>
      <c r="Q2583" s="3">
        <f t="shared" si="209"/>
        <v>0</v>
      </c>
      <c r="R2583" s="3">
        <f t="shared" si="210"/>
        <v>26746.000000000018</v>
      </c>
      <c r="S2583" s="24" t="s">
        <v>1334</v>
      </c>
      <c r="T2583" s="24" t="s">
        <v>1334</v>
      </c>
      <c r="U2583" s="79" t="s">
        <v>3823</v>
      </c>
      <c r="V2583" s="25">
        <f>IFERROR(VLOOKUP(BCP_Soles[[#This Row],[destinatario]],CHOOSE({1,2},Clientes_Proveedores[Razon Social],Clientes_Proveedores[Ruc / Dni]),2,0),"")</f>
        <v>20455911401</v>
      </c>
      <c r="W2583" s="25"/>
      <c r="X2583" s="25"/>
      <c r="Y2583" s="25"/>
      <c r="Z2583" s="75"/>
      <c r="AA2583" s="3" t="str">
        <f>IF(BCP_Soles[[#This Row],[fecha]]&gt;0,TEXT(BCP_Soles[[#This Row],[fecha]],"mmmm"),0)</f>
        <v>Julio</v>
      </c>
    </row>
    <row r="2584" spans="1:27" ht="24" x14ac:dyDescent="0.3">
      <c r="A2584" s="2">
        <f>IF(BCP_Soles[[#This Row],[tipo_registro]]="R",COUNTIFS($C$1:$C2583,"R")+1,A2583)</f>
        <v>1897</v>
      </c>
      <c r="B2584" s="19" t="str">
        <f t="shared" ref="B2584:B2647" si="211">"B-BCP - Soles"</f>
        <v>B-BCP - Soles</v>
      </c>
      <c r="C2584" s="3" t="s">
        <v>1352</v>
      </c>
      <c r="D2584" s="14">
        <v>45847</v>
      </c>
      <c r="E2584" s="5" t="s">
        <v>2269</v>
      </c>
      <c r="F2584" s="5"/>
      <c r="G2584" s="6" t="s">
        <v>271</v>
      </c>
      <c r="H2584" s="6" t="s">
        <v>68</v>
      </c>
      <c r="I2584" s="6" t="s">
        <v>1375</v>
      </c>
      <c r="J2584" s="6">
        <v>6924</v>
      </c>
      <c r="K2584" s="7" t="s">
        <v>3822</v>
      </c>
      <c r="L2584" s="8">
        <v>7294908</v>
      </c>
      <c r="M2584" s="8" t="str">
        <f t="shared" ref="M2584:M2647" si="212">"PEN"</f>
        <v>PEN</v>
      </c>
      <c r="N2584" s="13">
        <v>595.45000000000005</v>
      </c>
      <c r="O2584" s="13"/>
      <c r="P2584" s="3">
        <f t="shared" ref="P2584:P2647" si="213">+IF(OR($F2584="SALDO",$F2584="INGRESO"),$O2584,0)</f>
        <v>0</v>
      </c>
      <c r="Q2584" s="3">
        <f t="shared" ref="Q2584:Q2647" si="214">+IF($F2584="EGRESO",$O2584,0)</f>
        <v>0</v>
      </c>
      <c r="R2584" s="3">
        <f t="shared" si="210"/>
        <v>26746.000000000018</v>
      </c>
      <c r="S2584" s="24" t="s">
        <v>1334</v>
      </c>
      <c r="T2584" s="24" t="s">
        <v>1334</v>
      </c>
      <c r="U2584" s="79" t="s">
        <v>3823</v>
      </c>
      <c r="V2584" s="25">
        <f>IFERROR(VLOOKUP(BCP_Soles[[#This Row],[destinatario]],CHOOSE({1,2},Clientes_Proveedores[Razon Social],Clientes_Proveedores[Ruc / Dni]),2,0),"")</f>
        <v>20419158462</v>
      </c>
      <c r="W2584" s="25"/>
      <c r="X2584" s="25"/>
      <c r="Y2584" s="25"/>
      <c r="Z2584" s="75"/>
      <c r="AA2584" s="3" t="str">
        <f>IF(BCP_Soles[[#This Row],[fecha]]&gt;0,TEXT(BCP_Soles[[#This Row],[fecha]],"mmmm"),0)</f>
        <v>Julio</v>
      </c>
    </row>
    <row r="2585" spans="1:27" ht="24" x14ac:dyDescent="0.3">
      <c r="A2585" s="2">
        <f>IF(BCP_Soles[[#This Row],[tipo_registro]]="R",COUNTIFS($C$1:$C2584,"R")+1,A2584)</f>
        <v>1897</v>
      </c>
      <c r="B2585" s="19" t="str">
        <f t="shared" si="211"/>
        <v>B-BCP - Soles</v>
      </c>
      <c r="C2585" s="3" t="s">
        <v>1352</v>
      </c>
      <c r="D2585" s="14">
        <v>45847</v>
      </c>
      <c r="E2585" s="5" t="s">
        <v>2269</v>
      </c>
      <c r="F2585" s="5"/>
      <c r="G2585" s="6" t="s">
        <v>187</v>
      </c>
      <c r="H2585" s="6" t="s">
        <v>68</v>
      </c>
      <c r="I2585" s="6" t="s">
        <v>1376</v>
      </c>
      <c r="J2585" s="6">
        <v>492</v>
      </c>
      <c r="K2585" s="7" t="s">
        <v>3822</v>
      </c>
      <c r="L2585" s="8">
        <v>7294908</v>
      </c>
      <c r="M2585" s="8" t="str">
        <f t="shared" si="212"/>
        <v>PEN</v>
      </c>
      <c r="N2585" s="13">
        <v>130</v>
      </c>
      <c r="O2585" s="13"/>
      <c r="P2585" s="3">
        <f t="shared" si="213"/>
        <v>0</v>
      </c>
      <c r="Q2585" s="3">
        <f t="shared" si="214"/>
        <v>0</v>
      </c>
      <c r="R2585" s="3">
        <f t="shared" si="210"/>
        <v>26746.000000000018</v>
      </c>
      <c r="S2585" s="24" t="s">
        <v>1334</v>
      </c>
      <c r="T2585" s="24" t="s">
        <v>1334</v>
      </c>
      <c r="U2585" s="79" t="s">
        <v>3823</v>
      </c>
      <c r="V2585" s="25">
        <f>IFERROR(VLOOKUP(BCP_Soles[[#This Row],[destinatario]],CHOOSE({1,2},Clientes_Proveedores[Razon Social],Clientes_Proveedores[Ruc / Dni]),2,0),"")</f>
        <v>10706063426</v>
      </c>
      <c r="W2585" s="25"/>
      <c r="X2585" s="25"/>
      <c r="Y2585" s="25"/>
      <c r="Z2585" s="75"/>
      <c r="AA2585" s="3" t="str">
        <f>IF(BCP_Soles[[#This Row],[fecha]]&gt;0,TEXT(BCP_Soles[[#This Row],[fecha]],"mmmm"),0)</f>
        <v>Julio</v>
      </c>
    </row>
    <row r="2586" spans="1:27" ht="24" x14ac:dyDescent="0.3">
      <c r="A2586" s="2">
        <f>IF(BCP_Soles[[#This Row],[tipo_registro]]="R",COUNTIFS($C$1:$C2585,"R")+1,A2585)</f>
        <v>1897</v>
      </c>
      <c r="B2586" s="19" t="str">
        <f t="shared" si="211"/>
        <v>B-BCP - Soles</v>
      </c>
      <c r="C2586" s="3" t="s">
        <v>1352</v>
      </c>
      <c r="D2586" s="14">
        <v>45847</v>
      </c>
      <c r="E2586" s="5" t="s">
        <v>2269</v>
      </c>
      <c r="F2586" s="5"/>
      <c r="G2586" s="6" t="s">
        <v>692</v>
      </c>
      <c r="H2586" s="6" t="s">
        <v>68</v>
      </c>
      <c r="I2586" s="6" t="s">
        <v>1376</v>
      </c>
      <c r="J2586" s="6">
        <v>10</v>
      </c>
      <c r="K2586" s="7" t="s">
        <v>3822</v>
      </c>
      <c r="L2586" s="8">
        <v>7294908</v>
      </c>
      <c r="M2586" s="8" t="str">
        <f t="shared" si="212"/>
        <v>PEN</v>
      </c>
      <c r="N2586" s="13">
        <v>453</v>
      </c>
      <c r="O2586" s="13"/>
      <c r="P2586" s="3">
        <f t="shared" si="213"/>
        <v>0</v>
      </c>
      <c r="Q2586" s="3">
        <f t="shared" si="214"/>
        <v>0</v>
      </c>
      <c r="R2586" s="3">
        <f t="shared" si="210"/>
        <v>26746.000000000018</v>
      </c>
      <c r="S2586" s="24" t="s">
        <v>1334</v>
      </c>
      <c r="T2586" s="24" t="s">
        <v>1334</v>
      </c>
      <c r="U2586" s="79" t="s">
        <v>3823</v>
      </c>
      <c r="V2586" s="25">
        <f>IFERROR(VLOOKUP(BCP_Soles[[#This Row],[destinatario]],CHOOSE({1,2},Clientes_Proveedores[Razon Social],Clientes_Proveedores[Ruc / Dni]),2,0),"")</f>
        <v>10736055631</v>
      </c>
      <c r="W2586" s="25"/>
      <c r="X2586" s="25"/>
      <c r="Y2586" s="25"/>
      <c r="Z2586" s="75"/>
      <c r="AA2586" s="3" t="str">
        <f>IF(BCP_Soles[[#This Row],[fecha]]&gt;0,TEXT(BCP_Soles[[#This Row],[fecha]],"mmmm"),0)</f>
        <v>Julio</v>
      </c>
    </row>
    <row r="2587" spans="1:27" ht="24" x14ac:dyDescent="0.3">
      <c r="A2587" s="2">
        <f>IF(BCP_Soles[[#This Row],[tipo_registro]]="R",COUNTIFS($C$1:$C2586,"R")+1,A2586)</f>
        <v>1897</v>
      </c>
      <c r="B2587" s="19" t="str">
        <f t="shared" si="211"/>
        <v>B-BCP - Soles</v>
      </c>
      <c r="C2587" s="3" t="s">
        <v>1352</v>
      </c>
      <c r="D2587" s="14">
        <v>45847</v>
      </c>
      <c r="E2587" s="5" t="s">
        <v>2269</v>
      </c>
      <c r="F2587" s="5"/>
      <c r="G2587" s="6" t="s">
        <v>187</v>
      </c>
      <c r="H2587" s="6" t="s">
        <v>68</v>
      </c>
      <c r="I2587" s="6" t="s">
        <v>1376</v>
      </c>
      <c r="J2587" s="6">
        <v>458</v>
      </c>
      <c r="K2587" s="7" t="s">
        <v>3822</v>
      </c>
      <c r="L2587" s="8">
        <v>7294908</v>
      </c>
      <c r="M2587" s="8" t="str">
        <f t="shared" si="212"/>
        <v>PEN</v>
      </c>
      <c r="N2587" s="13">
        <v>100</v>
      </c>
      <c r="O2587" s="13"/>
      <c r="P2587" s="3">
        <f t="shared" si="213"/>
        <v>0</v>
      </c>
      <c r="Q2587" s="3">
        <f t="shared" si="214"/>
        <v>0</v>
      </c>
      <c r="R2587" s="3">
        <f t="shared" si="210"/>
        <v>26746.000000000018</v>
      </c>
      <c r="S2587" s="24" t="s">
        <v>1334</v>
      </c>
      <c r="T2587" s="24" t="s">
        <v>1334</v>
      </c>
      <c r="U2587" s="79" t="s">
        <v>3823</v>
      </c>
      <c r="V2587" s="25">
        <f>IFERROR(VLOOKUP(BCP_Soles[[#This Row],[destinatario]],CHOOSE({1,2},Clientes_Proveedores[Razon Social],Clientes_Proveedores[Ruc / Dni]),2,0),"")</f>
        <v>10706063426</v>
      </c>
      <c r="W2587" s="25"/>
      <c r="X2587" s="25"/>
      <c r="Y2587" s="25"/>
      <c r="Z2587" s="75"/>
      <c r="AA2587" s="3" t="str">
        <f>IF(BCP_Soles[[#This Row],[fecha]]&gt;0,TEXT(BCP_Soles[[#This Row],[fecha]],"mmmm"),0)</f>
        <v>Julio</v>
      </c>
    </row>
    <row r="2588" spans="1:27" ht="36" x14ac:dyDescent="0.3">
      <c r="A2588" s="2">
        <f>IF(BCP_Soles[[#This Row],[tipo_registro]]="R",COUNTIFS($C$1:$C2587,"R")+1,A2587)</f>
        <v>1897</v>
      </c>
      <c r="B2588" s="19" t="str">
        <f t="shared" si="211"/>
        <v>B-BCP - Soles</v>
      </c>
      <c r="C2588" s="3" t="s">
        <v>1352</v>
      </c>
      <c r="D2588" s="14">
        <v>45847</v>
      </c>
      <c r="E2588" s="5" t="s">
        <v>2269</v>
      </c>
      <c r="F2588" s="5"/>
      <c r="G2588" s="6" t="s">
        <v>675</v>
      </c>
      <c r="H2588" s="6" t="s">
        <v>68</v>
      </c>
      <c r="I2588" s="6" t="s">
        <v>2912</v>
      </c>
      <c r="J2588" s="6">
        <v>1426</v>
      </c>
      <c r="K2588" s="7" t="s">
        <v>3822</v>
      </c>
      <c r="L2588" s="8">
        <v>7294908</v>
      </c>
      <c r="M2588" s="8" t="str">
        <f t="shared" si="212"/>
        <v>PEN</v>
      </c>
      <c r="N2588" s="13">
        <v>266.16000000000003</v>
      </c>
      <c r="O2588" s="13"/>
      <c r="P2588" s="3">
        <f t="shared" si="213"/>
        <v>0</v>
      </c>
      <c r="Q2588" s="3">
        <f t="shared" si="214"/>
        <v>0</v>
      </c>
      <c r="R2588" s="3">
        <f t="shared" si="210"/>
        <v>26746.000000000018</v>
      </c>
      <c r="S2588" s="24" t="s">
        <v>1334</v>
      </c>
      <c r="T2588" s="24" t="s">
        <v>1334</v>
      </c>
      <c r="U2588" s="79" t="s">
        <v>3823</v>
      </c>
      <c r="V2588" s="25">
        <f>IFERROR(VLOOKUP(BCP_Soles[[#This Row],[destinatario]],CHOOSE({1,2},Clientes_Proveedores[Razon Social],Clientes_Proveedores[Ruc / Dni]),2,0),"")</f>
        <v>20455911401</v>
      </c>
      <c r="W2588" s="25"/>
      <c r="X2588" s="25"/>
      <c r="Y2588" s="25"/>
      <c r="Z2588" s="75"/>
      <c r="AA2588" s="3" t="str">
        <f>IF(BCP_Soles[[#This Row],[fecha]]&gt;0,TEXT(BCP_Soles[[#This Row],[fecha]],"mmmm"),0)</f>
        <v>Julio</v>
      </c>
    </row>
    <row r="2589" spans="1:27" ht="36" x14ac:dyDescent="0.3">
      <c r="A2589" s="2">
        <f>IF(BCP_Soles[[#This Row],[tipo_registro]]="R",COUNTIFS($C$1:$C2588,"R")+1,A2588)</f>
        <v>1897</v>
      </c>
      <c r="B2589" s="19" t="str">
        <f t="shared" si="211"/>
        <v>B-BCP - Soles</v>
      </c>
      <c r="C2589" s="3" t="s">
        <v>1352</v>
      </c>
      <c r="D2589" s="14">
        <v>45847</v>
      </c>
      <c r="E2589" s="5" t="s">
        <v>2269</v>
      </c>
      <c r="F2589" s="5"/>
      <c r="G2589" s="6" t="s">
        <v>675</v>
      </c>
      <c r="H2589" s="6" t="s">
        <v>68</v>
      </c>
      <c r="I2589" s="6" t="s">
        <v>2912</v>
      </c>
      <c r="J2589" s="6">
        <v>1322</v>
      </c>
      <c r="K2589" s="7" t="s">
        <v>3822</v>
      </c>
      <c r="L2589" s="8">
        <v>7294908</v>
      </c>
      <c r="M2589" s="8" t="str">
        <f t="shared" si="212"/>
        <v>PEN</v>
      </c>
      <c r="N2589" s="13">
        <v>625.6</v>
      </c>
      <c r="O2589" s="13"/>
      <c r="P2589" s="3">
        <f t="shared" si="213"/>
        <v>0</v>
      </c>
      <c r="Q2589" s="3">
        <f t="shared" si="214"/>
        <v>0</v>
      </c>
      <c r="R2589" s="3">
        <f t="shared" si="210"/>
        <v>26746.000000000018</v>
      </c>
      <c r="S2589" s="24" t="s">
        <v>1334</v>
      </c>
      <c r="T2589" s="24" t="s">
        <v>1334</v>
      </c>
      <c r="U2589" s="79" t="s">
        <v>3823</v>
      </c>
      <c r="V2589" s="25">
        <f>IFERROR(VLOOKUP(BCP_Soles[[#This Row],[destinatario]],CHOOSE({1,2},Clientes_Proveedores[Razon Social],Clientes_Proveedores[Ruc / Dni]),2,0),"")</f>
        <v>20455911401</v>
      </c>
      <c r="W2589" s="25"/>
      <c r="X2589" s="25"/>
      <c r="Y2589" s="25"/>
      <c r="Z2589" s="75"/>
      <c r="AA2589" s="3" t="str">
        <f>IF(BCP_Soles[[#This Row],[fecha]]&gt;0,TEXT(BCP_Soles[[#This Row],[fecha]],"mmmm"),0)</f>
        <v>Julio</v>
      </c>
    </row>
    <row r="2590" spans="1:27" ht="24" x14ac:dyDescent="0.3">
      <c r="A2590" s="2">
        <f>IF(BCP_Soles[[#This Row],[tipo_registro]]="R",COUNTIFS($C$1:$C2589,"R")+1,A2589)</f>
        <v>1898</v>
      </c>
      <c r="B2590" s="19" t="str">
        <f t="shared" si="211"/>
        <v>B-BCP - Soles</v>
      </c>
      <c r="C2590" s="3" t="s">
        <v>1330</v>
      </c>
      <c r="D2590" s="14">
        <v>45847</v>
      </c>
      <c r="E2590" s="5" t="s">
        <v>2269</v>
      </c>
      <c r="F2590" s="5" t="s">
        <v>1336</v>
      </c>
      <c r="G2590" s="6" t="s">
        <v>591</v>
      </c>
      <c r="H2590" s="6" t="s">
        <v>68</v>
      </c>
      <c r="I2590" s="6" t="s">
        <v>1376</v>
      </c>
      <c r="J2590" s="6">
        <v>416</v>
      </c>
      <c r="K2590" s="7" t="s">
        <v>3824</v>
      </c>
      <c r="L2590" s="8">
        <v>1193547</v>
      </c>
      <c r="M2590" s="8" t="str">
        <f t="shared" si="212"/>
        <v>PEN</v>
      </c>
      <c r="N2590" s="13"/>
      <c r="O2590" s="13">
        <v>600</v>
      </c>
      <c r="P2590" s="3">
        <f t="shared" si="213"/>
        <v>0</v>
      </c>
      <c r="Q2590" s="3">
        <f t="shared" si="214"/>
        <v>600</v>
      </c>
      <c r="R2590" s="3">
        <f t="shared" si="210"/>
        <v>26146.000000000018</v>
      </c>
      <c r="S2590" s="24" t="s">
        <v>1334</v>
      </c>
      <c r="T2590" s="24" t="s">
        <v>1334</v>
      </c>
      <c r="U2590" s="80" t="s">
        <v>3825</v>
      </c>
      <c r="V2590" s="25">
        <f>IFERROR(VLOOKUP(BCP_Soles[[#This Row],[destinatario]],CHOOSE({1,2},Clientes_Proveedores[Razon Social],Clientes_Proveedores[Ruc / Dni]),2,0),"")</f>
        <v>20609580292</v>
      </c>
      <c r="W2590" s="25" t="s">
        <v>591</v>
      </c>
      <c r="X2590" s="25"/>
      <c r="Y2590" s="25"/>
      <c r="Z2590" s="75"/>
      <c r="AA2590" s="3" t="str">
        <f>IF(BCP_Soles[[#This Row],[fecha]]&gt;0,TEXT(BCP_Soles[[#This Row],[fecha]],"mmmm"),0)</f>
        <v>Julio</v>
      </c>
    </row>
    <row r="2591" spans="1:27" ht="24" x14ac:dyDescent="0.3">
      <c r="A2591" s="2">
        <f>IF(BCP_Soles[[#This Row],[tipo_registro]]="R",COUNTIFS($C$1:$C2590,"R")+1,A2590)</f>
        <v>1899</v>
      </c>
      <c r="B2591" s="19" t="str">
        <f t="shared" si="211"/>
        <v>B-BCP - Soles</v>
      </c>
      <c r="C2591" s="3" t="s">
        <v>1330</v>
      </c>
      <c r="D2591" s="14">
        <v>45847</v>
      </c>
      <c r="E2591" s="5" t="s">
        <v>2269</v>
      </c>
      <c r="F2591" s="5" t="s">
        <v>1336</v>
      </c>
      <c r="G2591" s="6" t="s">
        <v>983</v>
      </c>
      <c r="H2591" s="6" t="s">
        <v>68</v>
      </c>
      <c r="I2591" s="6" t="s">
        <v>1376</v>
      </c>
      <c r="J2591" s="6">
        <v>1</v>
      </c>
      <c r="K2591" s="7" t="s">
        <v>3826</v>
      </c>
      <c r="L2591" s="8">
        <v>1192558</v>
      </c>
      <c r="M2591" s="8" t="str">
        <f t="shared" si="212"/>
        <v>PEN</v>
      </c>
      <c r="N2591" s="13"/>
      <c r="O2591" s="13">
        <v>531</v>
      </c>
      <c r="P2591" s="3">
        <f t="shared" si="213"/>
        <v>0</v>
      </c>
      <c r="Q2591" s="3">
        <f t="shared" si="214"/>
        <v>531</v>
      </c>
      <c r="R2591" s="3">
        <f t="shared" si="210"/>
        <v>25615.000000000018</v>
      </c>
      <c r="S2591" s="24" t="s">
        <v>1334</v>
      </c>
      <c r="T2591" s="24" t="s">
        <v>1334</v>
      </c>
      <c r="U2591" s="80" t="s">
        <v>3827</v>
      </c>
      <c r="V2591" s="25">
        <f>IFERROR(VLOOKUP(BCP_Soles[[#This Row],[destinatario]],CHOOSE({1,2},Clientes_Proveedores[Razon Social],Clientes_Proveedores[Ruc / Dni]),2,0),"")</f>
        <v>20613747096</v>
      </c>
      <c r="W2591" s="25" t="s">
        <v>3828</v>
      </c>
      <c r="X2591" s="25"/>
      <c r="Y2591" s="25"/>
      <c r="Z2591" s="75"/>
      <c r="AA2591" s="3" t="str">
        <f>IF(BCP_Soles[[#This Row],[fecha]]&gt;0,TEXT(BCP_Soles[[#This Row],[fecha]],"mmmm"),0)</f>
        <v>Julio</v>
      </c>
    </row>
    <row r="2592" spans="1:27" ht="24" x14ac:dyDescent="0.3">
      <c r="A2592" s="2">
        <f>IF(BCP_Soles[[#This Row],[tipo_registro]]="R",COUNTIFS($C$1:$C2591,"R")+1,A2591)</f>
        <v>1900</v>
      </c>
      <c r="B2592" s="19" t="str">
        <f t="shared" si="211"/>
        <v>B-BCP - Soles</v>
      </c>
      <c r="C2592" s="3" t="s">
        <v>1330</v>
      </c>
      <c r="D2592" s="14">
        <v>45847</v>
      </c>
      <c r="E2592" s="5" t="s">
        <v>2269</v>
      </c>
      <c r="F2592" s="5" t="s">
        <v>1336</v>
      </c>
      <c r="G2592" s="6" t="s">
        <v>827</v>
      </c>
      <c r="H2592" s="6" t="s">
        <v>143</v>
      </c>
      <c r="I2592" s="6">
        <v>1</v>
      </c>
      <c r="J2592" s="6">
        <v>472025</v>
      </c>
      <c r="K2592" s="7" t="s">
        <v>3829</v>
      </c>
      <c r="L2592" s="8">
        <v>1191497</v>
      </c>
      <c r="M2592" s="8" t="str">
        <f t="shared" si="212"/>
        <v>PEN</v>
      </c>
      <c r="N2592" s="13"/>
      <c r="O2592" s="13">
        <v>293</v>
      </c>
      <c r="P2592" s="3">
        <f t="shared" si="213"/>
        <v>0</v>
      </c>
      <c r="Q2592" s="3">
        <f t="shared" si="214"/>
        <v>293</v>
      </c>
      <c r="R2592" s="3">
        <f t="shared" si="210"/>
        <v>25322.000000000018</v>
      </c>
      <c r="S2592" s="24" t="s">
        <v>1334</v>
      </c>
      <c r="T2592" s="24" t="s">
        <v>1334</v>
      </c>
      <c r="U2592" s="80" t="s">
        <v>3830</v>
      </c>
      <c r="V2592" s="25">
        <f>IFERROR(VLOOKUP(BCP_Soles[[#This Row],[destinatario]],CHOOSE({1,2},Clientes_Proveedores[Razon Social],Clientes_Proveedores[Ruc / Dni]),2,0),"")</f>
        <v>74600892</v>
      </c>
      <c r="W2592" s="25"/>
      <c r="X2592" s="25"/>
      <c r="Y2592" s="25"/>
      <c r="Z2592" s="75"/>
      <c r="AA2592" s="3" t="str">
        <f>IF(BCP_Soles[[#This Row],[fecha]]&gt;0,TEXT(BCP_Soles[[#This Row],[fecha]],"mmmm"),0)</f>
        <v>Julio</v>
      </c>
    </row>
    <row r="2593" spans="1:27" ht="24" x14ac:dyDescent="0.3">
      <c r="A2593" s="2">
        <f>IF(BCP_Soles[[#This Row],[tipo_registro]]="R",COUNTIFS($C$1:$C2592,"R")+1,A2592)</f>
        <v>1901</v>
      </c>
      <c r="B2593" s="19" t="str">
        <f t="shared" si="211"/>
        <v>B-BCP - Soles</v>
      </c>
      <c r="C2593" s="3" t="s">
        <v>1330</v>
      </c>
      <c r="D2593" s="14">
        <v>45847</v>
      </c>
      <c r="E2593" s="5" t="s">
        <v>2269</v>
      </c>
      <c r="F2593" s="5" t="s">
        <v>1336</v>
      </c>
      <c r="G2593" s="6" t="s">
        <v>583</v>
      </c>
      <c r="H2593" s="6" t="s">
        <v>68</v>
      </c>
      <c r="I2593" s="6" t="s">
        <v>1376</v>
      </c>
      <c r="J2593" s="6">
        <v>823</v>
      </c>
      <c r="K2593" s="7" t="s">
        <v>3831</v>
      </c>
      <c r="L2593" s="8">
        <v>1193055</v>
      </c>
      <c r="M2593" s="8" t="str">
        <f t="shared" si="212"/>
        <v>PEN</v>
      </c>
      <c r="N2593" s="13"/>
      <c r="O2593" s="13">
        <v>3285</v>
      </c>
      <c r="P2593" s="3">
        <f t="shared" si="213"/>
        <v>0</v>
      </c>
      <c r="Q2593" s="3">
        <f t="shared" si="214"/>
        <v>3285</v>
      </c>
      <c r="R2593" s="3">
        <f t="shared" si="210"/>
        <v>22037.000000000018</v>
      </c>
      <c r="S2593" s="24" t="s">
        <v>1334</v>
      </c>
      <c r="T2593" s="24" t="s">
        <v>1334</v>
      </c>
      <c r="U2593" s="79" t="s">
        <v>3832</v>
      </c>
      <c r="V2593" s="25">
        <f>IFERROR(VLOOKUP(BCP_Soles[[#This Row],[destinatario]],CHOOSE({1,2},Clientes_Proveedores[Razon Social],Clientes_Proveedores[Ruc / Dni]),2,0),"")</f>
        <v>20609155303</v>
      </c>
      <c r="W2593" s="25"/>
      <c r="X2593" s="25"/>
      <c r="Y2593" s="25"/>
      <c r="Z2593" s="75"/>
      <c r="AA2593" s="3" t="str">
        <f>IF(BCP_Soles[[#This Row],[fecha]]&gt;0,TEXT(BCP_Soles[[#This Row],[fecha]],"mmmm"),0)</f>
        <v>Julio</v>
      </c>
    </row>
    <row r="2594" spans="1:27" x14ac:dyDescent="0.3">
      <c r="A2594" s="2">
        <f>IF(BCP_Soles[[#This Row],[tipo_registro]]="R",COUNTIFS($C$1:$C2593,"R")+1,A2593)</f>
        <v>1902</v>
      </c>
      <c r="B2594" s="19" t="str">
        <f t="shared" si="211"/>
        <v>B-BCP - Soles</v>
      </c>
      <c r="C2594" s="3" t="s">
        <v>1330</v>
      </c>
      <c r="D2594" s="14">
        <v>45847</v>
      </c>
      <c r="E2594" s="5" t="s">
        <v>1335</v>
      </c>
      <c r="F2594" s="5" t="s">
        <v>1336</v>
      </c>
      <c r="G2594" s="6" t="s">
        <v>1009</v>
      </c>
      <c r="H2594" s="6" t="s">
        <v>64</v>
      </c>
      <c r="I2594" s="6" t="s">
        <v>3673</v>
      </c>
      <c r="J2594" s="6">
        <v>1902</v>
      </c>
      <c r="K2594" s="7" t="s">
        <v>3160</v>
      </c>
      <c r="L2594" s="8"/>
      <c r="M2594" s="8" t="str">
        <f t="shared" si="212"/>
        <v>PEN</v>
      </c>
      <c r="N2594" s="3"/>
      <c r="O2594" s="3">
        <v>1.75</v>
      </c>
      <c r="P2594" s="3">
        <f t="shared" si="213"/>
        <v>0</v>
      </c>
      <c r="Q2594" s="3">
        <f t="shared" si="214"/>
        <v>1.75</v>
      </c>
      <c r="R2594" s="3">
        <f t="shared" si="210"/>
        <v>22035.250000000018</v>
      </c>
      <c r="S2594" s="24" t="s">
        <v>1334</v>
      </c>
      <c r="T2594" s="24" t="s">
        <v>1334</v>
      </c>
      <c r="U2594" s="55"/>
      <c r="V2594" s="25">
        <f>IFERROR(VLOOKUP(BCP_Soles[[#This Row],[destinatario]],CHOOSE({1,2},Clientes_Proveedores[Razon Social],Clientes_Proveedores[Ruc / Dni]),2,0),"")</f>
        <v>11111111</v>
      </c>
      <c r="W2594" s="25"/>
      <c r="X2594" s="25"/>
      <c r="Y2594" s="25"/>
      <c r="Z2594" s="75"/>
      <c r="AA2594" s="3" t="str">
        <f>IF(BCP_Soles[[#This Row],[fecha]]&gt;0,TEXT(BCP_Soles[[#This Row],[fecha]],"mmmm"),0)</f>
        <v>Julio</v>
      </c>
    </row>
    <row r="2595" spans="1:27" ht="24" x14ac:dyDescent="0.3">
      <c r="A2595" s="2">
        <f>IF(BCP_Soles[[#This Row],[tipo_registro]]="R",COUNTIFS($C$1:$C2594,"R")+1,A2594)</f>
        <v>1903</v>
      </c>
      <c r="B2595" s="19" t="str">
        <f t="shared" si="211"/>
        <v>B-BCP - Soles</v>
      </c>
      <c r="C2595" s="3" t="s">
        <v>1330</v>
      </c>
      <c r="D2595" s="14">
        <v>45847</v>
      </c>
      <c r="E2595" s="5" t="s">
        <v>1335</v>
      </c>
      <c r="F2595" s="5" t="s">
        <v>1336</v>
      </c>
      <c r="G2595" s="6" t="s">
        <v>1060</v>
      </c>
      <c r="H2595" s="6" t="s">
        <v>68</v>
      </c>
      <c r="I2595" s="6" t="s">
        <v>1397</v>
      </c>
      <c r="J2595" s="6">
        <v>34491741</v>
      </c>
      <c r="K2595" s="7" t="s">
        <v>1400</v>
      </c>
      <c r="L2595" s="8">
        <v>431</v>
      </c>
      <c r="M2595" s="8" t="str">
        <f t="shared" si="212"/>
        <v>PEN</v>
      </c>
      <c r="N2595" s="13"/>
      <c r="O2595" s="13">
        <v>10</v>
      </c>
      <c r="P2595" s="3">
        <f t="shared" si="213"/>
        <v>0</v>
      </c>
      <c r="Q2595" s="3">
        <f t="shared" si="214"/>
        <v>10</v>
      </c>
      <c r="R2595" s="3">
        <f t="shared" si="210"/>
        <v>22025.250000000018</v>
      </c>
      <c r="S2595" s="24" t="s">
        <v>1334</v>
      </c>
      <c r="T2595" s="24" t="s">
        <v>1334</v>
      </c>
      <c r="U2595" s="55"/>
      <c r="V2595" s="25">
        <f>IFERROR(VLOOKUP(BCP_Soles[[#This Row],[destinatario]],CHOOSE({1,2},Clientes_Proveedores[Razon Social],Clientes_Proveedores[Ruc / Dni]),2,0),"")</f>
        <v>20100047218</v>
      </c>
      <c r="W2595" s="25"/>
      <c r="X2595" s="25"/>
      <c r="Y2595" s="25"/>
      <c r="Z2595" s="75"/>
      <c r="AA2595" s="3" t="str">
        <f>IF(BCP_Soles[[#This Row],[fecha]]&gt;0,TEXT(BCP_Soles[[#This Row],[fecha]],"mmmm"),0)</f>
        <v>Julio</v>
      </c>
    </row>
    <row r="2596" spans="1:27" x14ac:dyDescent="0.3">
      <c r="A2596" s="2">
        <f>IF(BCP_Soles[[#This Row],[tipo_registro]]="R",COUNTIFS($C$1:$C2595,"R")+1,A2595)</f>
        <v>1904</v>
      </c>
      <c r="B2596" s="19" t="str">
        <f t="shared" si="211"/>
        <v>B-BCP - Soles</v>
      </c>
      <c r="C2596" s="3" t="s">
        <v>1330</v>
      </c>
      <c r="D2596" s="14">
        <v>45847</v>
      </c>
      <c r="E2596" s="5" t="s">
        <v>3833</v>
      </c>
      <c r="F2596" s="5" t="s">
        <v>1336</v>
      </c>
      <c r="G2596" s="6"/>
      <c r="H2596" s="6"/>
      <c r="I2596" s="6"/>
      <c r="J2596" s="6"/>
      <c r="K2596" s="7" t="s">
        <v>3834</v>
      </c>
      <c r="L2596" s="8">
        <v>1012259</v>
      </c>
      <c r="M2596" s="8" t="str">
        <f t="shared" si="212"/>
        <v>PEN</v>
      </c>
      <c r="N2596" s="13"/>
      <c r="O2596" s="13">
        <v>206</v>
      </c>
      <c r="P2596" s="3">
        <f t="shared" si="213"/>
        <v>0</v>
      </c>
      <c r="Q2596" s="3">
        <f t="shared" si="214"/>
        <v>206</v>
      </c>
      <c r="R2596" s="3">
        <f t="shared" si="210"/>
        <v>21819.250000000018</v>
      </c>
      <c r="S2596" s="24" t="s">
        <v>1334</v>
      </c>
      <c r="T2596" s="24" t="s">
        <v>1334</v>
      </c>
      <c r="U2596" s="55"/>
      <c r="V2596" s="25" t="str">
        <f>IFERROR(VLOOKUP(BCP_Soles[[#This Row],[destinatario]],CHOOSE({1,2},Clientes_Proveedores[Razon Social],Clientes_Proveedores[Ruc / Dni]),2,0),"")</f>
        <v/>
      </c>
      <c r="W2596" s="25"/>
      <c r="X2596" s="25"/>
      <c r="Y2596" s="25"/>
      <c r="Z2596" s="75"/>
      <c r="AA2596" s="3" t="str">
        <f>IF(BCP_Soles[[#This Row],[fecha]]&gt;0,TEXT(BCP_Soles[[#This Row],[fecha]],"mmmm"),0)</f>
        <v>Julio</v>
      </c>
    </row>
    <row r="2597" spans="1:27" x14ac:dyDescent="0.3">
      <c r="A2597" s="2">
        <f>IF(BCP_Soles[[#This Row],[tipo_registro]]="R",COUNTIFS($C$1:$C2596,"R")+1,A2596)</f>
        <v>1904</v>
      </c>
      <c r="B2597" s="19" t="str">
        <f t="shared" si="211"/>
        <v>B-BCP - Soles</v>
      </c>
      <c r="C2597" s="3" t="s">
        <v>1352</v>
      </c>
      <c r="D2597" s="14">
        <v>45847</v>
      </c>
      <c r="E2597" s="5" t="s">
        <v>3833</v>
      </c>
      <c r="F2597" s="5"/>
      <c r="G2597" s="6" t="s">
        <v>196</v>
      </c>
      <c r="H2597" s="6" t="s">
        <v>68</v>
      </c>
      <c r="I2597" s="6" t="s">
        <v>2226</v>
      </c>
      <c r="J2597" s="6">
        <v>6553</v>
      </c>
      <c r="K2597" s="7" t="s">
        <v>3834</v>
      </c>
      <c r="L2597" s="8">
        <v>1012259</v>
      </c>
      <c r="M2597" s="8" t="str">
        <f t="shared" si="212"/>
        <v>PEN</v>
      </c>
      <c r="N2597" s="13">
        <v>18</v>
      </c>
      <c r="O2597" s="13"/>
      <c r="P2597" s="3">
        <f t="shared" si="213"/>
        <v>0</v>
      </c>
      <c r="Q2597" s="3">
        <f t="shared" si="214"/>
        <v>0</v>
      </c>
      <c r="R2597" s="3">
        <f t="shared" si="210"/>
        <v>21819.250000000018</v>
      </c>
      <c r="S2597" s="24" t="s">
        <v>1334</v>
      </c>
      <c r="T2597" s="24" t="s">
        <v>1334</v>
      </c>
      <c r="U2597" s="55"/>
      <c r="V2597" s="25">
        <f>IFERROR(VLOOKUP(BCP_Soles[[#This Row],[destinatario]],CHOOSE({1,2},Clientes_Proveedores[Razon Social],Clientes_Proveedores[Ruc / Dni]),2,0),"")</f>
        <v>20100055237</v>
      </c>
      <c r="W2597" s="25"/>
      <c r="X2597" s="25"/>
      <c r="Y2597" s="25"/>
      <c r="Z2597" s="75" t="s">
        <v>3666</v>
      </c>
      <c r="AA2597" s="3" t="str">
        <f>IF(BCP_Soles[[#This Row],[fecha]]&gt;0,TEXT(BCP_Soles[[#This Row],[fecha]],"mmmm"),0)</f>
        <v>Julio</v>
      </c>
    </row>
    <row r="2598" spans="1:27" x14ac:dyDescent="0.3">
      <c r="A2598" s="2">
        <f>IF(BCP_Soles[[#This Row],[tipo_registro]]="R",COUNTIFS($C$1:$C2597,"R")+1,A2597)</f>
        <v>1904</v>
      </c>
      <c r="B2598" s="19" t="str">
        <f t="shared" si="211"/>
        <v>B-BCP - Soles</v>
      </c>
      <c r="C2598" s="3" t="s">
        <v>1352</v>
      </c>
      <c r="D2598" s="14">
        <v>45847</v>
      </c>
      <c r="E2598" s="5" t="s">
        <v>3833</v>
      </c>
      <c r="F2598" s="5"/>
      <c r="G2598" s="6" t="s">
        <v>196</v>
      </c>
      <c r="H2598" s="6" t="s">
        <v>68</v>
      </c>
      <c r="I2598" s="6" t="s">
        <v>2226</v>
      </c>
      <c r="J2598" s="6">
        <v>6555</v>
      </c>
      <c r="K2598" s="7" t="s">
        <v>3834</v>
      </c>
      <c r="L2598" s="8">
        <v>1012259</v>
      </c>
      <c r="M2598" s="8" t="str">
        <f t="shared" si="212"/>
        <v>PEN</v>
      </c>
      <c r="N2598" s="13">
        <v>10</v>
      </c>
      <c r="O2598" s="13"/>
      <c r="P2598" s="3">
        <f t="shared" si="213"/>
        <v>0</v>
      </c>
      <c r="Q2598" s="3">
        <f t="shared" si="214"/>
        <v>0</v>
      </c>
      <c r="R2598" s="3">
        <f t="shared" si="210"/>
        <v>21819.250000000018</v>
      </c>
      <c r="S2598" s="24" t="s">
        <v>1334</v>
      </c>
      <c r="T2598" s="24" t="s">
        <v>1334</v>
      </c>
      <c r="U2598" s="55"/>
      <c r="V2598" s="25">
        <f>IFERROR(VLOOKUP(BCP_Soles[[#This Row],[destinatario]],CHOOSE({1,2},Clientes_Proveedores[Razon Social],Clientes_Proveedores[Ruc / Dni]),2,0),"")</f>
        <v>20100055237</v>
      </c>
      <c r="W2598" s="25"/>
      <c r="X2598" s="25"/>
      <c r="Y2598" s="25"/>
      <c r="Z2598" s="75" t="s">
        <v>3666</v>
      </c>
      <c r="AA2598" s="3" t="str">
        <f>IF(BCP_Soles[[#This Row],[fecha]]&gt;0,TEXT(BCP_Soles[[#This Row],[fecha]],"mmmm"),0)</f>
        <v>Julio</v>
      </c>
    </row>
    <row r="2599" spans="1:27" x14ac:dyDescent="0.3">
      <c r="A2599" s="2">
        <f>IF(BCP_Soles[[#This Row],[tipo_registro]]="R",COUNTIFS($C$1:$C2598,"R")+1,A2598)</f>
        <v>1904</v>
      </c>
      <c r="B2599" s="19" t="str">
        <f t="shared" si="211"/>
        <v>B-BCP - Soles</v>
      </c>
      <c r="C2599" s="3" t="s">
        <v>1352</v>
      </c>
      <c r="D2599" s="14">
        <v>45847</v>
      </c>
      <c r="E2599" s="5" t="s">
        <v>3833</v>
      </c>
      <c r="F2599" s="5"/>
      <c r="G2599" s="6" t="s">
        <v>196</v>
      </c>
      <c r="H2599" s="6" t="s">
        <v>68</v>
      </c>
      <c r="I2599" s="6" t="s">
        <v>2226</v>
      </c>
      <c r="J2599" s="6">
        <v>6554</v>
      </c>
      <c r="K2599" s="7" t="s">
        <v>3834</v>
      </c>
      <c r="L2599" s="8">
        <v>1012259</v>
      </c>
      <c r="M2599" s="8" t="str">
        <f t="shared" si="212"/>
        <v>PEN</v>
      </c>
      <c r="N2599" s="13">
        <v>86</v>
      </c>
      <c r="O2599" s="13"/>
      <c r="P2599" s="3">
        <f t="shared" si="213"/>
        <v>0</v>
      </c>
      <c r="Q2599" s="3">
        <f t="shared" si="214"/>
        <v>0</v>
      </c>
      <c r="R2599" s="3">
        <f t="shared" si="210"/>
        <v>21819.250000000018</v>
      </c>
      <c r="S2599" s="24" t="s">
        <v>1334</v>
      </c>
      <c r="T2599" s="24" t="s">
        <v>1334</v>
      </c>
      <c r="U2599" s="55"/>
      <c r="V2599" s="25">
        <f>IFERROR(VLOOKUP(BCP_Soles[[#This Row],[destinatario]],CHOOSE({1,2},Clientes_Proveedores[Razon Social],Clientes_Proveedores[Ruc / Dni]),2,0),"")</f>
        <v>20100055237</v>
      </c>
      <c r="W2599" s="25"/>
      <c r="X2599" s="25"/>
      <c r="Y2599" s="25"/>
      <c r="Z2599" s="75" t="s">
        <v>3666</v>
      </c>
      <c r="AA2599" s="3" t="str">
        <f>IF(BCP_Soles[[#This Row],[fecha]]&gt;0,TEXT(BCP_Soles[[#This Row],[fecha]],"mmmm"),0)</f>
        <v>Julio</v>
      </c>
    </row>
    <row r="2600" spans="1:27" x14ac:dyDescent="0.3">
      <c r="A2600" s="2">
        <f>IF(BCP_Soles[[#This Row],[tipo_registro]]="R",COUNTIFS($C$1:$C2599,"R")+1,A2599)</f>
        <v>1904</v>
      </c>
      <c r="B2600" s="19" t="str">
        <f t="shared" si="211"/>
        <v>B-BCP - Soles</v>
      </c>
      <c r="C2600" s="3" t="s">
        <v>1352</v>
      </c>
      <c r="D2600" s="14">
        <v>45847</v>
      </c>
      <c r="E2600" s="5" t="s">
        <v>3833</v>
      </c>
      <c r="F2600" s="5"/>
      <c r="G2600" s="6" t="s">
        <v>196</v>
      </c>
      <c r="H2600" s="6" t="s">
        <v>68</v>
      </c>
      <c r="I2600" s="6" t="s">
        <v>2226</v>
      </c>
      <c r="J2600" s="6">
        <v>6557</v>
      </c>
      <c r="K2600" s="7" t="s">
        <v>3834</v>
      </c>
      <c r="L2600" s="8">
        <v>1012259</v>
      </c>
      <c r="M2600" s="8" t="str">
        <f t="shared" si="212"/>
        <v>PEN</v>
      </c>
      <c r="N2600" s="13">
        <v>23</v>
      </c>
      <c r="O2600" s="13"/>
      <c r="P2600" s="3">
        <f t="shared" si="213"/>
        <v>0</v>
      </c>
      <c r="Q2600" s="3">
        <f t="shared" si="214"/>
        <v>0</v>
      </c>
      <c r="R2600" s="3">
        <f t="shared" si="210"/>
        <v>21819.250000000018</v>
      </c>
      <c r="S2600" s="24" t="s">
        <v>1334</v>
      </c>
      <c r="T2600" s="24" t="s">
        <v>1334</v>
      </c>
      <c r="U2600" s="55"/>
      <c r="V2600" s="25">
        <f>IFERROR(VLOOKUP(BCP_Soles[[#This Row],[destinatario]],CHOOSE({1,2},Clientes_Proveedores[Razon Social],Clientes_Proveedores[Ruc / Dni]),2,0),"")</f>
        <v>20100055237</v>
      </c>
      <c r="W2600" s="25"/>
      <c r="X2600" s="25"/>
      <c r="Y2600" s="25"/>
      <c r="Z2600" s="75" t="s">
        <v>3666</v>
      </c>
      <c r="AA2600" s="3" t="str">
        <f>IF(BCP_Soles[[#This Row],[fecha]]&gt;0,TEXT(BCP_Soles[[#This Row],[fecha]],"mmmm"),0)</f>
        <v>Julio</v>
      </c>
    </row>
    <row r="2601" spans="1:27" x14ac:dyDescent="0.3">
      <c r="A2601" s="2">
        <f>IF(BCP_Soles[[#This Row],[tipo_registro]]="R",COUNTIFS($C$1:$C2600,"R")+1,A2600)</f>
        <v>1904</v>
      </c>
      <c r="B2601" s="19" t="str">
        <f t="shared" si="211"/>
        <v>B-BCP - Soles</v>
      </c>
      <c r="C2601" s="3" t="s">
        <v>1352</v>
      </c>
      <c r="D2601" s="14">
        <v>45847</v>
      </c>
      <c r="E2601" s="5" t="s">
        <v>3833</v>
      </c>
      <c r="F2601" s="5"/>
      <c r="G2601" s="6" t="s">
        <v>196</v>
      </c>
      <c r="H2601" s="6" t="s">
        <v>68</v>
      </c>
      <c r="I2601" s="6" t="s">
        <v>2226</v>
      </c>
      <c r="J2601" s="6">
        <v>6556</v>
      </c>
      <c r="K2601" s="7" t="s">
        <v>3834</v>
      </c>
      <c r="L2601" s="8">
        <v>1012259</v>
      </c>
      <c r="M2601" s="8" t="str">
        <f t="shared" si="212"/>
        <v>PEN</v>
      </c>
      <c r="N2601" s="13">
        <v>1</v>
      </c>
      <c r="O2601" s="13"/>
      <c r="P2601" s="3">
        <f t="shared" si="213"/>
        <v>0</v>
      </c>
      <c r="Q2601" s="3">
        <f t="shared" si="214"/>
        <v>0</v>
      </c>
      <c r="R2601" s="3">
        <f t="shared" si="210"/>
        <v>21819.250000000018</v>
      </c>
      <c r="S2601" s="24" t="s">
        <v>1334</v>
      </c>
      <c r="T2601" s="24" t="s">
        <v>1334</v>
      </c>
      <c r="U2601" s="55"/>
      <c r="V2601" s="25">
        <f>IFERROR(VLOOKUP(BCP_Soles[[#This Row],[destinatario]],CHOOSE({1,2},Clientes_Proveedores[Razon Social],Clientes_Proveedores[Ruc / Dni]),2,0),"")</f>
        <v>20100055237</v>
      </c>
      <c r="W2601" s="25"/>
      <c r="X2601" s="25"/>
      <c r="Y2601" s="25"/>
      <c r="Z2601" s="75" t="s">
        <v>3666</v>
      </c>
      <c r="AA2601" s="3" t="str">
        <f>IF(BCP_Soles[[#This Row],[fecha]]&gt;0,TEXT(BCP_Soles[[#This Row],[fecha]],"mmmm"),0)</f>
        <v>Julio</v>
      </c>
    </row>
    <row r="2602" spans="1:27" x14ac:dyDescent="0.3">
      <c r="A2602" s="2">
        <f>IF(BCP_Soles[[#This Row],[tipo_registro]]="R",COUNTIFS($C$1:$C2601,"R")+1,A2601)</f>
        <v>1904</v>
      </c>
      <c r="B2602" s="19" t="str">
        <f t="shared" si="211"/>
        <v>B-BCP - Soles</v>
      </c>
      <c r="C2602" s="3" t="s">
        <v>1352</v>
      </c>
      <c r="D2602" s="14">
        <v>45847</v>
      </c>
      <c r="E2602" s="5" t="s">
        <v>3833</v>
      </c>
      <c r="F2602" s="5"/>
      <c r="G2602" s="6" t="s">
        <v>196</v>
      </c>
      <c r="H2602" s="6" t="s">
        <v>68</v>
      </c>
      <c r="I2602" s="6" t="s">
        <v>2226</v>
      </c>
      <c r="J2602" s="6">
        <v>6558</v>
      </c>
      <c r="K2602" s="7" t="s">
        <v>3834</v>
      </c>
      <c r="L2602" s="8">
        <v>1012259</v>
      </c>
      <c r="M2602" s="8" t="str">
        <f t="shared" si="212"/>
        <v>PEN</v>
      </c>
      <c r="N2602" s="13">
        <v>68</v>
      </c>
      <c r="O2602" s="13"/>
      <c r="P2602" s="3">
        <f t="shared" si="213"/>
        <v>0</v>
      </c>
      <c r="Q2602" s="3">
        <f t="shared" si="214"/>
        <v>0</v>
      </c>
      <c r="R2602" s="3">
        <f t="shared" si="210"/>
        <v>21819.250000000018</v>
      </c>
      <c r="S2602" s="24" t="s">
        <v>1334</v>
      </c>
      <c r="T2602" s="24" t="s">
        <v>1334</v>
      </c>
      <c r="U2602" s="55"/>
      <c r="V2602" s="25">
        <f>IFERROR(VLOOKUP(BCP_Soles[[#This Row],[destinatario]],CHOOSE({1,2},Clientes_Proveedores[Razon Social],Clientes_Proveedores[Ruc / Dni]),2,0),"")</f>
        <v>20100055237</v>
      </c>
      <c r="W2602" s="25"/>
      <c r="X2602" s="25"/>
      <c r="Y2602" s="25"/>
      <c r="Z2602" s="75" t="s">
        <v>3666</v>
      </c>
      <c r="AA2602" s="3" t="str">
        <f>IF(BCP_Soles[[#This Row],[fecha]]&gt;0,TEXT(BCP_Soles[[#This Row],[fecha]],"mmmm"),0)</f>
        <v>Julio</v>
      </c>
    </row>
    <row r="2603" spans="1:27" ht="24" x14ac:dyDescent="0.3">
      <c r="A2603" s="2">
        <f>IF(BCP_Soles[[#This Row],[tipo_registro]]="R",COUNTIFS($C$1:$C2602,"R")+1,A2602)</f>
        <v>1905</v>
      </c>
      <c r="B2603" s="19" t="str">
        <f t="shared" si="211"/>
        <v>B-BCP - Soles</v>
      </c>
      <c r="C2603" s="3" t="s">
        <v>1330</v>
      </c>
      <c r="D2603" s="14">
        <v>45848</v>
      </c>
      <c r="E2603" s="5" t="s">
        <v>536</v>
      </c>
      <c r="F2603" s="5" t="s">
        <v>1303</v>
      </c>
      <c r="G2603" s="6" t="s">
        <v>425</v>
      </c>
      <c r="H2603" s="6" t="s">
        <v>119</v>
      </c>
      <c r="I2603" s="6">
        <v>1</v>
      </c>
      <c r="J2603" s="6">
        <v>4572</v>
      </c>
      <c r="K2603" s="7" t="s">
        <v>1356</v>
      </c>
      <c r="L2603" s="8">
        <v>209574</v>
      </c>
      <c r="M2603" s="8" t="str">
        <f t="shared" si="212"/>
        <v>PEN</v>
      </c>
      <c r="N2603" s="13"/>
      <c r="O2603" s="13">
        <v>4000</v>
      </c>
      <c r="P2603" s="3">
        <f t="shared" si="213"/>
        <v>4000</v>
      </c>
      <c r="Q2603" s="3">
        <f t="shared" si="214"/>
        <v>0</v>
      </c>
      <c r="R2603" s="3">
        <f t="shared" si="210"/>
        <v>25819.250000000018</v>
      </c>
      <c r="S2603" s="24" t="s">
        <v>1334</v>
      </c>
      <c r="T2603" s="24" t="s">
        <v>1334</v>
      </c>
      <c r="U2603" s="55"/>
      <c r="V2603" s="25">
        <f>IFERROR(VLOOKUP(BCP_Soles[[#This Row],[destinatario]],CHOOSE({1,2},Clientes_Proveedores[Razon Social],Clientes_Proveedores[Ruc / Dni]),2,0),"")</f>
        <v>20558226979</v>
      </c>
      <c r="W2603" s="25"/>
      <c r="X2603" s="25"/>
      <c r="Y2603" s="25"/>
      <c r="Z2603" s="75"/>
      <c r="AA2603" s="3" t="str">
        <f>IF(BCP_Soles[[#This Row],[fecha]]&gt;0,TEXT(BCP_Soles[[#This Row],[fecha]],"mmmm"),0)</f>
        <v>Julio</v>
      </c>
    </row>
    <row r="2604" spans="1:27" ht="24" x14ac:dyDescent="0.3">
      <c r="A2604" s="2">
        <f>IF(BCP_Soles[[#This Row],[tipo_registro]]="R",COUNTIFS($C$1:$C2603,"R")+1,A2603)</f>
        <v>1906</v>
      </c>
      <c r="B2604" s="19" t="str">
        <f t="shared" si="211"/>
        <v>B-BCP - Soles</v>
      </c>
      <c r="C2604" s="3" t="s">
        <v>1330</v>
      </c>
      <c r="D2604" s="14">
        <v>45848</v>
      </c>
      <c r="E2604" s="5" t="s">
        <v>204</v>
      </c>
      <c r="F2604" s="5" t="s">
        <v>1303</v>
      </c>
      <c r="G2604" s="6" t="s">
        <v>425</v>
      </c>
      <c r="H2604" s="6"/>
      <c r="I2604" s="6"/>
      <c r="J2604" s="6"/>
      <c r="K2604" s="7" t="s">
        <v>1350</v>
      </c>
      <c r="L2604" s="8">
        <v>7839503</v>
      </c>
      <c r="M2604" s="8" t="str">
        <f t="shared" si="212"/>
        <v>PEN</v>
      </c>
      <c r="N2604" s="13"/>
      <c r="O2604" s="13">
        <v>28201.7</v>
      </c>
      <c r="P2604" s="3">
        <f t="shared" si="213"/>
        <v>28201.7</v>
      </c>
      <c r="Q2604" s="3">
        <f t="shared" si="214"/>
        <v>0</v>
      </c>
      <c r="R2604" s="3">
        <f t="shared" si="210"/>
        <v>54020.950000000019</v>
      </c>
      <c r="S2604" s="24" t="s">
        <v>1334</v>
      </c>
      <c r="T2604" s="24" t="s">
        <v>1334</v>
      </c>
      <c r="U2604" s="55"/>
      <c r="V2604" s="25">
        <f>IFERROR(VLOOKUP(BCP_Soles[[#This Row],[destinatario]],CHOOSE({1,2},Clientes_Proveedores[Razon Social],Clientes_Proveedores[Ruc / Dni]),2,0),"")</f>
        <v>20558226979</v>
      </c>
      <c r="W2604" s="25"/>
      <c r="X2604" s="25"/>
      <c r="Y2604" s="25"/>
      <c r="Z2604" s="75"/>
      <c r="AA2604" s="3" t="str">
        <f>IF(BCP_Soles[[#This Row],[fecha]]&gt;0,TEXT(BCP_Soles[[#This Row],[fecha]],"mmmm"),0)</f>
        <v>Julio</v>
      </c>
    </row>
    <row r="2605" spans="1:27" ht="24" x14ac:dyDescent="0.3">
      <c r="A2605" s="2">
        <f>IF(BCP_Soles[[#This Row],[tipo_registro]]="R",COUNTIFS($C$1:$C2604,"R")+1,A2604)</f>
        <v>1906</v>
      </c>
      <c r="B2605" s="19" t="str">
        <f t="shared" si="211"/>
        <v>B-BCP - Soles</v>
      </c>
      <c r="C2605" s="3" t="s">
        <v>1352</v>
      </c>
      <c r="D2605" s="14">
        <v>45848</v>
      </c>
      <c r="E2605" s="5" t="s">
        <v>204</v>
      </c>
      <c r="F2605" s="5"/>
      <c r="G2605" s="6" t="s">
        <v>425</v>
      </c>
      <c r="H2605" s="6" t="s">
        <v>68</v>
      </c>
      <c r="I2605" s="6" t="s">
        <v>1784</v>
      </c>
      <c r="J2605" s="6">
        <v>121</v>
      </c>
      <c r="K2605" s="7" t="s">
        <v>1350</v>
      </c>
      <c r="L2605" s="8">
        <v>7839503</v>
      </c>
      <c r="M2605" s="8" t="str">
        <f t="shared" si="212"/>
        <v>PEN</v>
      </c>
      <c r="N2605" s="13">
        <v>9517.7199999999993</v>
      </c>
      <c r="O2605" s="13"/>
      <c r="P2605" s="3">
        <f t="shared" si="213"/>
        <v>0</v>
      </c>
      <c r="Q2605" s="3">
        <f t="shared" si="214"/>
        <v>0</v>
      </c>
      <c r="R2605" s="3">
        <f t="shared" si="210"/>
        <v>54020.950000000019</v>
      </c>
      <c r="S2605" s="24" t="s">
        <v>1334</v>
      </c>
      <c r="T2605" s="24" t="s">
        <v>1334</v>
      </c>
      <c r="U2605" s="55"/>
      <c r="V2605" s="25">
        <f>IFERROR(VLOOKUP(BCP_Soles[[#This Row],[destinatario]],CHOOSE({1,2},Clientes_Proveedores[Razon Social],Clientes_Proveedores[Ruc / Dni]),2,0),"")</f>
        <v>20558226979</v>
      </c>
      <c r="W2605" s="25"/>
      <c r="X2605" s="25"/>
      <c r="Y2605" s="25"/>
      <c r="Z2605" s="75"/>
      <c r="AA2605" s="3" t="str">
        <f>IF(BCP_Soles[[#This Row],[fecha]]&gt;0,TEXT(BCP_Soles[[#This Row],[fecha]],"mmmm"),0)</f>
        <v>Julio</v>
      </c>
    </row>
    <row r="2606" spans="1:27" ht="24" x14ac:dyDescent="0.3">
      <c r="A2606" s="2">
        <f>IF(BCP_Soles[[#This Row],[tipo_registro]]="R",COUNTIFS($C$1:$C2605,"R")+1,A2605)</f>
        <v>1906</v>
      </c>
      <c r="B2606" s="19" t="str">
        <f t="shared" si="211"/>
        <v>B-BCP - Soles</v>
      </c>
      <c r="C2606" s="3" t="s">
        <v>1352</v>
      </c>
      <c r="D2606" s="14">
        <v>45848</v>
      </c>
      <c r="E2606" s="5" t="s">
        <v>204</v>
      </c>
      <c r="F2606" s="5"/>
      <c r="G2606" s="6" t="s">
        <v>425</v>
      </c>
      <c r="H2606" s="6" t="s">
        <v>68</v>
      </c>
      <c r="I2606" s="6" t="s">
        <v>1374</v>
      </c>
      <c r="J2606" s="6">
        <v>123</v>
      </c>
      <c r="K2606" s="7" t="s">
        <v>1350</v>
      </c>
      <c r="L2606" s="8">
        <v>7839503</v>
      </c>
      <c r="M2606" s="8" t="str">
        <f t="shared" si="212"/>
        <v>PEN</v>
      </c>
      <c r="N2606" s="13">
        <v>18683.98</v>
      </c>
      <c r="O2606" s="13"/>
      <c r="P2606" s="3">
        <f t="shared" si="213"/>
        <v>0</v>
      </c>
      <c r="Q2606" s="3">
        <f t="shared" si="214"/>
        <v>0</v>
      </c>
      <c r="R2606" s="3">
        <f t="shared" si="210"/>
        <v>54020.950000000019</v>
      </c>
      <c r="S2606" s="24" t="s">
        <v>1334</v>
      </c>
      <c r="T2606" s="24" t="s">
        <v>1334</v>
      </c>
      <c r="U2606" s="55"/>
      <c r="V2606" s="25">
        <f>IFERROR(VLOOKUP(BCP_Soles[[#This Row],[destinatario]],CHOOSE({1,2},Clientes_Proveedores[Razon Social],Clientes_Proveedores[Ruc / Dni]),2,0),"")</f>
        <v>20558226979</v>
      </c>
      <c r="W2606" s="25"/>
      <c r="X2606" s="25"/>
      <c r="Y2606" s="25"/>
      <c r="Z2606" s="75"/>
      <c r="AA2606" s="3" t="str">
        <f>IF(BCP_Soles[[#This Row],[fecha]]&gt;0,TEXT(BCP_Soles[[#This Row],[fecha]],"mmmm"),0)</f>
        <v>Julio</v>
      </c>
    </row>
    <row r="2607" spans="1:27" ht="24" x14ac:dyDescent="0.3">
      <c r="A2607" s="2">
        <f>IF(BCP_Soles[[#This Row],[tipo_registro]]="R",COUNTIFS($C$1:$C2606,"R")+1,A2606)</f>
        <v>1907</v>
      </c>
      <c r="B2607" s="19" t="str">
        <f t="shared" si="211"/>
        <v>B-BCP - Soles</v>
      </c>
      <c r="C2607" s="3" t="s">
        <v>1330</v>
      </c>
      <c r="D2607" s="14">
        <v>45848</v>
      </c>
      <c r="E2607" s="5" t="s">
        <v>659</v>
      </c>
      <c r="F2607" s="5" t="s">
        <v>1303</v>
      </c>
      <c r="G2607" s="6" t="s">
        <v>425</v>
      </c>
      <c r="H2607" s="6" t="s">
        <v>68</v>
      </c>
      <c r="I2607" s="6" t="s">
        <v>1784</v>
      </c>
      <c r="J2607" s="6">
        <v>131</v>
      </c>
      <c r="K2607" s="7" t="s">
        <v>3835</v>
      </c>
      <c r="L2607" s="8">
        <v>7763339</v>
      </c>
      <c r="M2607" s="8" t="str">
        <f t="shared" si="212"/>
        <v>PEN</v>
      </c>
      <c r="N2607" s="13"/>
      <c r="O2607" s="13">
        <v>4054.1</v>
      </c>
      <c r="P2607" s="3">
        <f t="shared" si="213"/>
        <v>4054.1</v>
      </c>
      <c r="Q2607" s="3">
        <f t="shared" si="214"/>
        <v>0</v>
      </c>
      <c r="R2607" s="3">
        <f t="shared" si="210"/>
        <v>58075.050000000017</v>
      </c>
      <c r="S2607" s="24" t="s">
        <v>1334</v>
      </c>
      <c r="T2607" s="24" t="s">
        <v>1334</v>
      </c>
      <c r="U2607" s="55"/>
      <c r="V2607" s="25">
        <f>IFERROR(VLOOKUP(BCP_Soles[[#This Row],[destinatario]],CHOOSE({1,2},Clientes_Proveedores[Razon Social],Clientes_Proveedores[Ruc / Dni]),2,0),"")</f>
        <v>20558226979</v>
      </c>
      <c r="W2607" s="25"/>
      <c r="X2607" s="25"/>
      <c r="Y2607" s="25"/>
      <c r="Z2607" s="75"/>
      <c r="AA2607" s="3" t="str">
        <f>IF(BCP_Soles[[#This Row],[fecha]]&gt;0,TEXT(BCP_Soles[[#This Row],[fecha]],"mmmm"),0)</f>
        <v>Julio</v>
      </c>
    </row>
    <row r="2608" spans="1:27" ht="24" x14ac:dyDescent="0.3">
      <c r="A2608" s="2">
        <f>IF(BCP_Soles[[#This Row],[tipo_registro]]="R",COUNTIFS($C$1:$C2607,"R")+1,A2607)</f>
        <v>1908</v>
      </c>
      <c r="B2608" s="19" t="str">
        <f t="shared" si="211"/>
        <v>B-BCP - Soles</v>
      </c>
      <c r="C2608" s="3" t="s">
        <v>1330</v>
      </c>
      <c r="D2608" s="14">
        <v>45848</v>
      </c>
      <c r="E2608" s="5" t="s">
        <v>2502</v>
      </c>
      <c r="F2608" s="5" t="s">
        <v>1303</v>
      </c>
      <c r="G2608" s="6" t="s">
        <v>425</v>
      </c>
      <c r="H2608" s="6" t="s">
        <v>119</v>
      </c>
      <c r="I2608" s="6">
        <v>1</v>
      </c>
      <c r="J2608" s="6">
        <v>4592</v>
      </c>
      <c r="K2608" s="7" t="s">
        <v>1356</v>
      </c>
      <c r="L2608" s="8">
        <v>1516572</v>
      </c>
      <c r="M2608" s="8" t="str">
        <f t="shared" si="212"/>
        <v>PEN</v>
      </c>
      <c r="N2608" s="13"/>
      <c r="O2608" s="13">
        <v>552.20000000000005</v>
      </c>
      <c r="P2608" s="3">
        <f t="shared" si="213"/>
        <v>552.20000000000005</v>
      </c>
      <c r="Q2608" s="3">
        <f t="shared" si="214"/>
        <v>0</v>
      </c>
      <c r="R2608" s="3">
        <f t="shared" si="210"/>
        <v>58627.250000000015</v>
      </c>
      <c r="S2608" s="24" t="s">
        <v>1334</v>
      </c>
      <c r="T2608" s="24" t="s">
        <v>1334</v>
      </c>
      <c r="U2608" s="55"/>
      <c r="V2608" s="25">
        <f>IFERROR(VLOOKUP(BCP_Soles[[#This Row],[destinatario]],CHOOSE({1,2},Clientes_Proveedores[Razon Social],Clientes_Proveedores[Ruc / Dni]),2,0),"")</f>
        <v>20558226979</v>
      </c>
      <c r="W2608" s="25"/>
      <c r="X2608" s="25"/>
      <c r="Y2608" s="25"/>
      <c r="Z2608" s="75"/>
      <c r="AA2608" s="3" t="str">
        <f>IF(BCP_Soles[[#This Row],[fecha]]&gt;0,TEXT(BCP_Soles[[#This Row],[fecha]],"mmmm"),0)</f>
        <v>Julio</v>
      </c>
    </row>
    <row r="2609" spans="1:27" ht="24" x14ac:dyDescent="0.3">
      <c r="A2609" s="2">
        <f>IF(BCP_Soles[[#This Row],[tipo_registro]]="R",COUNTIFS($C$1:$C2608,"R")+1,A2608)</f>
        <v>1909</v>
      </c>
      <c r="B2609" s="19" t="str">
        <f t="shared" si="211"/>
        <v>B-BCP - Soles</v>
      </c>
      <c r="C2609" s="3" t="s">
        <v>1330</v>
      </c>
      <c r="D2609" s="14">
        <v>45848</v>
      </c>
      <c r="E2609" s="5" t="s">
        <v>3836</v>
      </c>
      <c r="F2609" s="5" t="s">
        <v>1303</v>
      </c>
      <c r="G2609" s="6" t="s">
        <v>425</v>
      </c>
      <c r="H2609" s="6" t="s">
        <v>119</v>
      </c>
      <c r="I2609" s="6">
        <v>1</v>
      </c>
      <c r="J2609" s="6">
        <v>4588</v>
      </c>
      <c r="K2609" s="7" t="s">
        <v>3837</v>
      </c>
      <c r="L2609" s="8">
        <v>402335</v>
      </c>
      <c r="M2609" s="8" t="str">
        <f t="shared" si="212"/>
        <v>PEN</v>
      </c>
      <c r="N2609" s="13"/>
      <c r="O2609" s="13">
        <v>468</v>
      </c>
      <c r="P2609" s="3">
        <f t="shared" si="213"/>
        <v>468</v>
      </c>
      <c r="Q2609" s="3">
        <f t="shared" si="214"/>
        <v>0</v>
      </c>
      <c r="R2609" s="3">
        <f t="shared" si="210"/>
        <v>59095.250000000015</v>
      </c>
      <c r="S2609" s="24" t="s">
        <v>1334</v>
      </c>
      <c r="T2609" s="24" t="s">
        <v>1334</v>
      </c>
      <c r="U2609" s="55"/>
      <c r="V2609" s="25">
        <f>IFERROR(VLOOKUP(BCP_Soles[[#This Row],[destinatario]],CHOOSE({1,2},Clientes_Proveedores[Razon Social],Clientes_Proveedores[Ruc / Dni]),2,0),"")</f>
        <v>20558226979</v>
      </c>
      <c r="W2609" s="25"/>
      <c r="X2609" s="25"/>
      <c r="Y2609" s="25"/>
      <c r="Z2609" s="75"/>
      <c r="AA2609" s="3" t="str">
        <f>IF(BCP_Soles[[#This Row],[fecha]]&gt;0,TEXT(BCP_Soles[[#This Row],[fecha]],"mmmm"),0)</f>
        <v>Julio</v>
      </c>
    </row>
    <row r="2610" spans="1:27" ht="24" x14ac:dyDescent="0.3">
      <c r="A2610" s="2">
        <f>IF(BCP_Soles[[#This Row],[tipo_registro]]="R",COUNTIFS($C$1:$C2609,"R")+1,A2609)</f>
        <v>1910</v>
      </c>
      <c r="B2610" s="19" t="str">
        <f t="shared" si="211"/>
        <v>B-BCP - Soles</v>
      </c>
      <c r="C2610" s="3" t="s">
        <v>1330</v>
      </c>
      <c r="D2610" s="14">
        <v>45848</v>
      </c>
      <c r="E2610" s="5" t="s">
        <v>1696</v>
      </c>
      <c r="F2610" s="5" t="s">
        <v>1303</v>
      </c>
      <c r="G2610" s="6" t="s">
        <v>425</v>
      </c>
      <c r="H2610" s="6" t="s">
        <v>119</v>
      </c>
      <c r="I2610" s="6">
        <v>1</v>
      </c>
      <c r="J2610" s="6">
        <v>4581</v>
      </c>
      <c r="K2610" s="7" t="s">
        <v>1356</v>
      </c>
      <c r="L2610" s="8">
        <v>1183209</v>
      </c>
      <c r="M2610" s="8" t="str">
        <f t="shared" si="212"/>
        <v>PEN</v>
      </c>
      <c r="N2610" s="13"/>
      <c r="O2610" s="13">
        <v>109</v>
      </c>
      <c r="P2610" s="3">
        <f t="shared" si="213"/>
        <v>109</v>
      </c>
      <c r="Q2610" s="3">
        <f t="shared" si="214"/>
        <v>0</v>
      </c>
      <c r="R2610" s="3">
        <f t="shared" si="210"/>
        <v>59204.250000000015</v>
      </c>
      <c r="S2610" s="24" t="s">
        <v>1334</v>
      </c>
      <c r="T2610" s="24" t="s">
        <v>1334</v>
      </c>
      <c r="U2610" s="55"/>
      <c r="V2610" s="25">
        <f>IFERROR(VLOOKUP(BCP_Soles[[#This Row],[destinatario]],CHOOSE({1,2},Clientes_Proveedores[Razon Social],Clientes_Proveedores[Ruc / Dni]),2,0),"")</f>
        <v>20558226979</v>
      </c>
      <c r="W2610" s="25"/>
      <c r="X2610" s="25"/>
      <c r="Y2610" s="25"/>
      <c r="Z2610" s="75"/>
      <c r="AA2610" s="3" t="str">
        <f>IF(BCP_Soles[[#This Row],[fecha]]&gt;0,TEXT(BCP_Soles[[#This Row],[fecha]],"mmmm"),0)</f>
        <v>Julio</v>
      </c>
    </row>
    <row r="2611" spans="1:27" x14ac:dyDescent="0.3">
      <c r="A2611" s="2">
        <f>IF(BCP_Soles[[#This Row],[tipo_registro]]="R",COUNTIFS($C$1:$C2610,"R")+1,A2610)</f>
        <v>1911</v>
      </c>
      <c r="B2611" s="19" t="str">
        <f t="shared" si="211"/>
        <v>B-BCP - Soles</v>
      </c>
      <c r="C2611" s="3" t="s">
        <v>1330</v>
      </c>
      <c r="D2611" s="14">
        <v>45848</v>
      </c>
      <c r="E2611" s="5" t="s">
        <v>196</v>
      </c>
      <c r="F2611" s="5" t="s">
        <v>1303</v>
      </c>
      <c r="G2611" s="6" t="s">
        <v>425</v>
      </c>
      <c r="H2611" s="6" t="s">
        <v>68</v>
      </c>
      <c r="I2611" s="6" t="s">
        <v>1784</v>
      </c>
      <c r="J2611" s="6">
        <v>104</v>
      </c>
      <c r="K2611" s="7" t="s">
        <v>3838</v>
      </c>
      <c r="L2611" s="8">
        <v>2518</v>
      </c>
      <c r="M2611" s="8" t="str">
        <f t="shared" si="212"/>
        <v>PEN</v>
      </c>
      <c r="N2611" s="13"/>
      <c r="O2611" s="13">
        <v>2699.84</v>
      </c>
      <c r="P2611" s="3">
        <f t="shared" si="213"/>
        <v>2699.84</v>
      </c>
      <c r="Q2611" s="3">
        <f t="shared" si="214"/>
        <v>0</v>
      </c>
      <c r="R2611" s="3">
        <f t="shared" si="210"/>
        <v>61904.090000000011</v>
      </c>
      <c r="S2611" s="24" t="s">
        <v>1334</v>
      </c>
      <c r="T2611" s="24" t="s">
        <v>1334</v>
      </c>
      <c r="U2611" s="55"/>
      <c r="V2611" s="25">
        <f>IFERROR(VLOOKUP(BCP_Soles[[#This Row],[destinatario]],CHOOSE({1,2},Clientes_Proveedores[Razon Social],Clientes_Proveedores[Ruc / Dni]),2,0),"")</f>
        <v>20558226979</v>
      </c>
      <c r="W2611" s="25"/>
      <c r="X2611" s="25"/>
      <c r="Y2611" s="25"/>
      <c r="Z2611" s="75"/>
      <c r="AA2611" s="3" t="str">
        <f>IF(BCP_Soles[[#This Row],[fecha]]&gt;0,TEXT(BCP_Soles[[#This Row],[fecha]],"mmmm"),0)</f>
        <v>Julio</v>
      </c>
    </row>
    <row r="2612" spans="1:27" ht="24" x14ac:dyDescent="0.3">
      <c r="A2612" s="2">
        <f>IF(BCP_Soles[[#This Row],[tipo_registro]]="R",COUNTIFS($C$1:$C2611,"R")+1,A2611)</f>
        <v>1912</v>
      </c>
      <c r="B2612" s="19" t="str">
        <f t="shared" si="211"/>
        <v>B-BCP - Soles</v>
      </c>
      <c r="C2612" s="3" t="s">
        <v>1330</v>
      </c>
      <c r="D2612" s="14">
        <v>45848</v>
      </c>
      <c r="E2612" s="5" t="s">
        <v>993</v>
      </c>
      <c r="F2612" s="5" t="s">
        <v>1303</v>
      </c>
      <c r="G2612" s="6" t="s">
        <v>425</v>
      </c>
      <c r="H2612" s="6" t="s">
        <v>143</v>
      </c>
      <c r="I2612" s="6">
        <v>1</v>
      </c>
      <c r="J2612" s="6">
        <v>392025</v>
      </c>
      <c r="K2612" s="7" t="s">
        <v>3839</v>
      </c>
      <c r="L2612" s="8">
        <v>3842241</v>
      </c>
      <c r="M2612" s="8" t="str">
        <f t="shared" si="212"/>
        <v>PEN</v>
      </c>
      <c r="N2612" s="13"/>
      <c r="O2612" s="13">
        <v>100.5</v>
      </c>
      <c r="P2612" s="3">
        <f t="shared" si="213"/>
        <v>100.5</v>
      </c>
      <c r="Q2612" s="3">
        <f t="shared" si="214"/>
        <v>0</v>
      </c>
      <c r="R2612" s="3">
        <f t="shared" si="210"/>
        <v>62004.590000000011</v>
      </c>
      <c r="S2612" s="24" t="s">
        <v>1334</v>
      </c>
      <c r="T2612" s="24" t="s">
        <v>1334</v>
      </c>
      <c r="U2612" s="55"/>
      <c r="V2612" s="25">
        <f>IFERROR(VLOOKUP(BCP_Soles[[#This Row],[destinatario]],CHOOSE({1,2},Clientes_Proveedores[Razon Social],Clientes_Proveedores[Ruc / Dni]),2,0),"")</f>
        <v>20558226979</v>
      </c>
      <c r="W2612" s="25"/>
      <c r="X2612" s="25"/>
      <c r="Y2612" s="25"/>
      <c r="Z2612" s="75"/>
      <c r="AA2612" s="3" t="str">
        <f>IF(BCP_Soles[[#This Row],[fecha]]&gt;0,TEXT(BCP_Soles[[#This Row],[fecha]],"mmmm"),0)</f>
        <v>Julio</v>
      </c>
    </row>
    <row r="2613" spans="1:27" ht="24" x14ac:dyDescent="0.3">
      <c r="A2613" s="2">
        <f>IF(BCP_Soles[[#This Row],[tipo_registro]]="R",COUNTIFS($C$1:$C2612,"R")+1,A2612)</f>
        <v>1913</v>
      </c>
      <c r="B2613" s="19" t="str">
        <f t="shared" si="211"/>
        <v>B-BCP - Soles</v>
      </c>
      <c r="C2613" s="3" t="s">
        <v>1330</v>
      </c>
      <c r="D2613" s="14">
        <v>45848</v>
      </c>
      <c r="E2613" s="5" t="s">
        <v>993</v>
      </c>
      <c r="F2613" s="5" t="s">
        <v>1303</v>
      </c>
      <c r="G2613" s="6" t="s">
        <v>425</v>
      </c>
      <c r="H2613" s="6" t="s">
        <v>143</v>
      </c>
      <c r="I2613" s="6">
        <v>1</v>
      </c>
      <c r="J2613" s="6">
        <v>432025</v>
      </c>
      <c r="K2613" s="7" t="s">
        <v>3840</v>
      </c>
      <c r="L2613" s="8">
        <v>3827605</v>
      </c>
      <c r="M2613" s="8" t="str">
        <f t="shared" si="212"/>
        <v>PEN</v>
      </c>
      <c r="N2613" s="13"/>
      <c r="O2613" s="13">
        <v>60</v>
      </c>
      <c r="P2613" s="3">
        <f t="shared" si="213"/>
        <v>60</v>
      </c>
      <c r="Q2613" s="3">
        <f t="shared" si="214"/>
        <v>0</v>
      </c>
      <c r="R2613" s="3">
        <f t="shared" si="210"/>
        <v>62064.590000000011</v>
      </c>
      <c r="S2613" s="24" t="s">
        <v>1334</v>
      </c>
      <c r="T2613" s="24" t="s">
        <v>1334</v>
      </c>
      <c r="U2613" s="55"/>
      <c r="V2613" s="25">
        <f>IFERROR(VLOOKUP(BCP_Soles[[#This Row],[destinatario]],CHOOSE({1,2},Clientes_Proveedores[Razon Social],Clientes_Proveedores[Ruc / Dni]),2,0),"")</f>
        <v>20558226979</v>
      </c>
      <c r="W2613" s="25"/>
      <c r="X2613" s="25"/>
      <c r="Y2613" s="25"/>
      <c r="Z2613" s="75"/>
      <c r="AA2613" s="3" t="str">
        <f>IF(BCP_Soles[[#This Row],[fecha]]&gt;0,TEXT(BCP_Soles[[#This Row],[fecha]],"mmmm"),0)</f>
        <v>Julio</v>
      </c>
    </row>
    <row r="2614" spans="1:27" ht="24" x14ac:dyDescent="0.3">
      <c r="A2614" s="2">
        <f>IF(BCP_Soles[[#This Row],[tipo_registro]]="R",COUNTIFS($C$1:$C2613,"R")+1,A2613)</f>
        <v>1914</v>
      </c>
      <c r="B2614" s="19" t="str">
        <f t="shared" si="211"/>
        <v>B-BCP - Soles</v>
      </c>
      <c r="C2614" s="3" t="s">
        <v>1330</v>
      </c>
      <c r="D2614" s="14">
        <v>45848</v>
      </c>
      <c r="E2614" s="5" t="s">
        <v>2269</v>
      </c>
      <c r="F2614" s="5" t="s">
        <v>1336</v>
      </c>
      <c r="G2614" s="6" t="s">
        <v>1070</v>
      </c>
      <c r="H2614" s="6"/>
      <c r="I2614" s="6"/>
      <c r="J2614" s="6"/>
      <c r="K2614" s="7" t="s">
        <v>3841</v>
      </c>
      <c r="L2614" s="8">
        <v>1019049</v>
      </c>
      <c r="M2614" s="8" t="str">
        <f t="shared" si="212"/>
        <v>PEN</v>
      </c>
      <c r="N2614" s="13"/>
      <c r="O2614" s="13">
        <v>2175.77</v>
      </c>
      <c r="P2614" s="3">
        <f t="shared" si="213"/>
        <v>0</v>
      </c>
      <c r="Q2614" s="3">
        <f t="shared" si="214"/>
        <v>2175.77</v>
      </c>
      <c r="R2614" s="3">
        <f t="shared" si="210"/>
        <v>59888.820000000014</v>
      </c>
      <c r="S2614" s="24"/>
      <c r="T2614" s="24" t="s">
        <v>1334</v>
      </c>
      <c r="U2614" s="79" t="s">
        <v>3842</v>
      </c>
      <c r="V2614" s="25">
        <f>IFERROR(VLOOKUP(BCP_Soles[[#This Row],[destinatario]],CHOOSE({1,2},Clientes_Proveedores[Razon Social],Clientes_Proveedores[Ruc / Dni]),2,0),"")</f>
        <v>46930934</v>
      </c>
      <c r="W2614" s="25"/>
      <c r="X2614" s="25"/>
      <c r="Y2614" s="25"/>
      <c r="Z2614" s="75"/>
      <c r="AA2614" s="3" t="str">
        <f>IF(BCP_Soles[[#This Row],[fecha]]&gt;0,TEXT(BCP_Soles[[#This Row],[fecha]],"mmmm"),0)</f>
        <v>Julio</v>
      </c>
    </row>
    <row r="2615" spans="1:27" x14ac:dyDescent="0.3">
      <c r="A2615" s="2">
        <f>IF(BCP_Soles[[#This Row],[tipo_registro]]="R",COUNTIFS($C$1:$C2614,"R")+1,A2614)</f>
        <v>1915</v>
      </c>
      <c r="B2615" s="19" t="str">
        <f t="shared" si="211"/>
        <v>B-BCP - Soles</v>
      </c>
      <c r="C2615" s="3" t="s">
        <v>1330</v>
      </c>
      <c r="D2615" s="14">
        <v>45848</v>
      </c>
      <c r="E2615" s="5" t="s">
        <v>2269</v>
      </c>
      <c r="F2615" s="5" t="s">
        <v>1336</v>
      </c>
      <c r="G2615" s="6" t="s">
        <v>788</v>
      </c>
      <c r="H2615" s="6"/>
      <c r="I2615" s="6"/>
      <c r="J2615" s="6"/>
      <c r="K2615" s="7" t="s">
        <v>3843</v>
      </c>
      <c r="L2615" s="8">
        <v>1018058</v>
      </c>
      <c r="M2615" s="8" t="str">
        <f t="shared" si="212"/>
        <v>PEN</v>
      </c>
      <c r="N2615" s="13"/>
      <c r="O2615" s="13">
        <v>2537.14</v>
      </c>
      <c r="P2615" s="3">
        <f t="shared" si="213"/>
        <v>0</v>
      </c>
      <c r="Q2615" s="3">
        <f t="shared" si="214"/>
        <v>2537.14</v>
      </c>
      <c r="R2615" s="3">
        <f t="shared" si="210"/>
        <v>57351.680000000015</v>
      </c>
      <c r="S2615" s="24"/>
      <c r="T2615" s="24" t="s">
        <v>1334</v>
      </c>
      <c r="U2615" s="79" t="s">
        <v>3844</v>
      </c>
      <c r="V2615" s="25">
        <f>IFERROR(VLOOKUP(BCP_Soles[[#This Row],[destinatario]],CHOOSE({1,2},Clientes_Proveedores[Razon Social],Clientes_Proveedores[Ruc / Dni]),2,0),"")</f>
        <v>73238347</v>
      </c>
      <c r="W2615" s="25"/>
      <c r="X2615" s="25"/>
      <c r="Y2615" s="25"/>
      <c r="Z2615" s="75"/>
      <c r="AA2615" s="3" t="str">
        <f>IF(BCP_Soles[[#This Row],[fecha]]&gt;0,TEXT(BCP_Soles[[#This Row],[fecha]],"mmmm"),0)</f>
        <v>Julio</v>
      </c>
    </row>
    <row r="2616" spans="1:27" ht="24" x14ac:dyDescent="0.3">
      <c r="A2616" s="2">
        <f>IF(BCP_Soles[[#This Row],[tipo_registro]]="R",COUNTIFS($C$1:$C2615,"R")+1,A2615)</f>
        <v>1916</v>
      </c>
      <c r="B2616" s="19" t="str">
        <f t="shared" si="211"/>
        <v>B-BCP - Soles</v>
      </c>
      <c r="C2616" s="3" t="s">
        <v>1330</v>
      </c>
      <c r="D2616" s="14">
        <v>45848</v>
      </c>
      <c r="E2616" s="5" t="s">
        <v>2269</v>
      </c>
      <c r="F2616" s="5" t="s">
        <v>1336</v>
      </c>
      <c r="G2616" s="6" t="s">
        <v>994</v>
      </c>
      <c r="H2616" s="6" t="s">
        <v>68</v>
      </c>
      <c r="I2616" s="6" t="s">
        <v>1376</v>
      </c>
      <c r="J2616" s="6">
        <v>542</v>
      </c>
      <c r="K2616" s="7" t="s">
        <v>3845</v>
      </c>
      <c r="L2616" s="8">
        <v>1017063</v>
      </c>
      <c r="M2616" s="8" t="str">
        <f t="shared" si="212"/>
        <v>PEN</v>
      </c>
      <c r="N2616" s="13"/>
      <c r="O2616" s="13">
        <v>920</v>
      </c>
      <c r="P2616" s="3">
        <f t="shared" si="213"/>
        <v>0</v>
      </c>
      <c r="Q2616" s="3">
        <f t="shared" si="214"/>
        <v>920</v>
      </c>
      <c r="R2616" s="3">
        <f t="shared" si="210"/>
        <v>56431.680000000015</v>
      </c>
      <c r="S2616" s="24" t="s">
        <v>1334</v>
      </c>
      <c r="T2616" s="24" t="s">
        <v>1334</v>
      </c>
      <c r="U2616" s="80" t="s">
        <v>3846</v>
      </c>
      <c r="V2616" s="25">
        <f>IFERROR(VLOOKUP(BCP_Soles[[#This Row],[destinatario]],CHOOSE({1,2},Clientes_Proveedores[Razon Social],Clientes_Proveedores[Ruc / Dni]),2,0),"")</f>
        <v>20611396121</v>
      </c>
      <c r="W2616" s="25"/>
      <c r="X2616" s="25"/>
      <c r="Y2616" s="25"/>
      <c r="Z2616" s="75"/>
      <c r="AA2616" s="3" t="str">
        <f>IF(BCP_Soles[[#This Row],[fecha]]&gt;0,TEXT(BCP_Soles[[#This Row],[fecha]],"mmmm"),0)</f>
        <v>Julio</v>
      </c>
    </row>
    <row r="2617" spans="1:27" ht="24" x14ac:dyDescent="0.3">
      <c r="A2617" s="2">
        <f>IF(BCP_Soles[[#This Row],[tipo_registro]]="R",COUNTIFS($C$1:$C2616,"R")+1,A2616)</f>
        <v>1917</v>
      </c>
      <c r="B2617" s="19" t="str">
        <f t="shared" si="211"/>
        <v>B-BCP - Soles</v>
      </c>
      <c r="C2617" s="3" t="s">
        <v>1330</v>
      </c>
      <c r="D2617" s="14">
        <v>45848</v>
      </c>
      <c r="E2617" s="5" t="s">
        <v>2269</v>
      </c>
      <c r="F2617" s="5" t="s">
        <v>1336</v>
      </c>
      <c r="G2617" s="6" t="s">
        <v>163</v>
      </c>
      <c r="H2617" s="6" t="s">
        <v>68</v>
      </c>
      <c r="I2617" s="6" t="s">
        <v>1376</v>
      </c>
      <c r="J2617" s="6">
        <v>302</v>
      </c>
      <c r="K2617" s="7" t="s">
        <v>3847</v>
      </c>
      <c r="L2617" s="8">
        <v>1055752</v>
      </c>
      <c r="M2617" s="8" t="str">
        <f t="shared" si="212"/>
        <v>PEN</v>
      </c>
      <c r="N2617" s="13"/>
      <c r="O2617" s="13">
        <v>332</v>
      </c>
      <c r="P2617" s="3">
        <f t="shared" si="213"/>
        <v>0</v>
      </c>
      <c r="Q2617" s="3">
        <f t="shared" si="214"/>
        <v>332</v>
      </c>
      <c r="R2617" s="3">
        <f t="shared" si="210"/>
        <v>56099.680000000015</v>
      </c>
      <c r="S2617" s="24" t="s">
        <v>1334</v>
      </c>
      <c r="T2617" s="24" t="s">
        <v>1334</v>
      </c>
      <c r="U2617" s="80" t="s">
        <v>3848</v>
      </c>
      <c r="V2617" s="25">
        <f>IFERROR(VLOOKUP(BCP_Soles[[#This Row],[destinatario]],CHOOSE({1,2},Clientes_Proveedores[Razon Social],Clientes_Proveedores[Ruc / Dni]),2,0),"")</f>
        <v>10416031679</v>
      </c>
      <c r="W2617" s="25"/>
      <c r="X2617" s="25"/>
      <c r="Y2617" s="25"/>
      <c r="Z2617" s="75"/>
      <c r="AA2617" s="3" t="str">
        <f>IF(BCP_Soles[[#This Row],[fecha]]&gt;0,TEXT(BCP_Soles[[#This Row],[fecha]],"mmmm"),0)</f>
        <v>Julio</v>
      </c>
    </row>
    <row r="2618" spans="1:27" ht="24" x14ac:dyDescent="0.3">
      <c r="A2618" s="2">
        <f>IF(BCP_Soles[[#This Row],[tipo_registro]]="R",COUNTIFS($C$1:$C2617,"R")+1,A2617)</f>
        <v>1918</v>
      </c>
      <c r="B2618" s="19" t="str">
        <f t="shared" si="211"/>
        <v>B-BCP - Soles</v>
      </c>
      <c r="C2618" s="3" t="s">
        <v>1330</v>
      </c>
      <c r="D2618" s="14">
        <v>45848</v>
      </c>
      <c r="E2618" s="5" t="s">
        <v>2269</v>
      </c>
      <c r="F2618" s="5" t="s">
        <v>1336</v>
      </c>
      <c r="G2618" s="6" t="s">
        <v>967</v>
      </c>
      <c r="H2618" s="6" t="s">
        <v>143</v>
      </c>
      <c r="I2618" s="6">
        <v>1</v>
      </c>
      <c r="J2618" s="6">
        <v>482025</v>
      </c>
      <c r="K2618" s="7" t="s">
        <v>3849</v>
      </c>
      <c r="L2618" s="8">
        <v>1052315</v>
      </c>
      <c r="M2618" s="8" t="str">
        <f t="shared" si="212"/>
        <v>PEN</v>
      </c>
      <c r="N2618" s="13"/>
      <c r="O2618" s="13">
        <v>500</v>
      </c>
      <c r="P2618" s="3">
        <f t="shared" si="213"/>
        <v>0</v>
      </c>
      <c r="Q2618" s="3">
        <f t="shared" si="214"/>
        <v>500</v>
      </c>
      <c r="R2618" s="3">
        <f t="shared" si="210"/>
        <v>55599.680000000015</v>
      </c>
      <c r="S2618" s="24" t="s">
        <v>1334</v>
      </c>
      <c r="T2618" s="24" t="s">
        <v>1334</v>
      </c>
      <c r="U2618" s="80" t="s">
        <v>3850</v>
      </c>
      <c r="V2618" s="25">
        <f>IFERROR(VLOOKUP(BCP_Soles[[#This Row],[destinatario]],CHOOSE({1,2},Clientes_Proveedores[Razon Social],Clientes_Proveedores[Ruc / Dni]),2,0),"")</f>
        <v>70517150</v>
      </c>
      <c r="W2618" s="25"/>
      <c r="X2618" s="25"/>
      <c r="Y2618" s="25"/>
      <c r="Z2618" s="75"/>
      <c r="AA2618" s="3" t="str">
        <f>IF(BCP_Soles[[#This Row],[fecha]]&gt;0,TEXT(BCP_Soles[[#This Row],[fecha]],"mmmm"),0)</f>
        <v>Julio</v>
      </c>
    </row>
    <row r="2619" spans="1:27" ht="36" x14ac:dyDescent="0.3">
      <c r="A2619" s="2">
        <f>IF(BCP_Soles[[#This Row],[tipo_registro]]="R",COUNTIFS($C$1:$C2618,"R")+1,A2618)</f>
        <v>1919</v>
      </c>
      <c r="B2619" s="19" t="str">
        <f t="shared" si="211"/>
        <v>B-BCP - Soles</v>
      </c>
      <c r="C2619" s="3" t="s">
        <v>1330</v>
      </c>
      <c r="D2619" s="14">
        <v>45848</v>
      </c>
      <c r="E2619" s="5" t="s">
        <v>2269</v>
      </c>
      <c r="F2619" s="5" t="s">
        <v>1336</v>
      </c>
      <c r="G2619" s="6" t="s">
        <v>982</v>
      </c>
      <c r="H2619" s="6" t="s">
        <v>68</v>
      </c>
      <c r="I2619" s="6" t="s">
        <v>1376</v>
      </c>
      <c r="J2619" s="6">
        <v>60</v>
      </c>
      <c r="K2619" s="7" t="s">
        <v>3851</v>
      </c>
      <c r="L2619" s="8">
        <v>1227821</v>
      </c>
      <c r="M2619" s="8" t="str">
        <f t="shared" si="212"/>
        <v>PEN</v>
      </c>
      <c r="N2619" s="13"/>
      <c r="O2619" s="13">
        <v>120</v>
      </c>
      <c r="P2619" s="3">
        <f t="shared" si="213"/>
        <v>0</v>
      </c>
      <c r="Q2619" s="3">
        <f t="shared" si="214"/>
        <v>120</v>
      </c>
      <c r="R2619" s="3">
        <f t="shared" si="210"/>
        <v>55479.680000000015</v>
      </c>
      <c r="S2619" s="24" t="s">
        <v>1334</v>
      </c>
      <c r="T2619" s="24" t="s">
        <v>1334</v>
      </c>
      <c r="U2619" s="80" t="s">
        <v>3852</v>
      </c>
      <c r="V2619" s="25">
        <f>IFERROR(VLOOKUP(BCP_Soles[[#This Row],[destinatario]],CHOOSE({1,2},Clientes_Proveedores[Razon Social],Clientes_Proveedores[Ruc / Dni]),2,0),"")</f>
        <v>20606109963</v>
      </c>
      <c r="W2619" s="25"/>
      <c r="X2619" s="25"/>
      <c r="Y2619" s="25"/>
      <c r="Z2619" s="75"/>
      <c r="AA2619" s="3" t="str">
        <f>IF(BCP_Soles[[#This Row],[fecha]]&gt;0,TEXT(BCP_Soles[[#This Row],[fecha]],"mmmm"),0)</f>
        <v>Julio</v>
      </c>
    </row>
    <row r="2620" spans="1:27" x14ac:dyDescent="0.3">
      <c r="A2620" s="2">
        <f>IF(BCP_Soles[[#This Row],[tipo_registro]]="R",COUNTIFS($C$1:$C2619,"R")+1,A2619)</f>
        <v>1920</v>
      </c>
      <c r="B2620" s="19" t="str">
        <f t="shared" si="211"/>
        <v>B-BCP - Soles</v>
      </c>
      <c r="C2620" s="3" t="s">
        <v>1330</v>
      </c>
      <c r="D2620" s="14">
        <v>45848</v>
      </c>
      <c r="E2620" s="5" t="s">
        <v>2269</v>
      </c>
      <c r="F2620" s="5" t="s">
        <v>1336</v>
      </c>
      <c r="G2620" s="6" t="s">
        <v>876</v>
      </c>
      <c r="H2620" s="6"/>
      <c r="I2620" s="6"/>
      <c r="J2620" s="6"/>
      <c r="K2620" s="7" t="s">
        <v>3853</v>
      </c>
      <c r="L2620" s="8">
        <v>1224977</v>
      </c>
      <c r="M2620" s="8" t="str">
        <f t="shared" si="212"/>
        <v>PEN</v>
      </c>
      <c r="N2620" s="13"/>
      <c r="O2620" s="13">
        <v>300</v>
      </c>
      <c r="P2620" s="3">
        <f t="shared" si="213"/>
        <v>0</v>
      </c>
      <c r="Q2620" s="3">
        <f t="shared" si="214"/>
        <v>300</v>
      </c>
      <c r="R2620" s="3">
        <f t="shared" si="210"/>
        <v>55179.680000000015</v>
      </c>
      <c r="S2620" s="24"/>
      <c r="T2620" s="24" t="s">
        <v>1334</v>
      </c>
      <c r="U2620" s="80" t="s">
        <v>3854</v>
      </c>
      <c r="V2620" s="25">
        <f>IFERROR(VLOOKUP(BCP_Soles[[#This Row],[destinatario]],CHOOSE({1,2},Clientes_Proveedores[Razon Social],Clientes_Proveedores[Ruc / Dni]),2,0),"")</f>
        <v>1829028</v>
      </c>
      <c r="W2620" s="25"/>
      <c r="X2620" s="25"/>
      <c r="Y2620" s="25"/>
      <c r="Z2620" s="75"/>
      <c r="AA2620" s="3" t="str">
        <f>IF(BCP_Soles[[#This Row],[fecha]]&gt;0,TEXT(BCP_Soles[[#This Row],[fecha]],"mmmm"),0)</f>
        <v>Julio</v>
      </c>
    </row>
    <row r="2621" spans="1:27" ht="24" x14ac:dyDescent="0.3">
      <c r="A2621" s="2">
        <f>IF(BCP_Soles[[#This Row],[tipo_registro]]="R",COUNTIFS($C$1:$C2620,"R")+1,A2620)</f>
        <v>1921</v>
      </c>
      <c r="B2621" s="19" t="str">
        <f t="shared" si="211"/>
        <v>B-BCP - Soles</v>
      </c>
      <c r="C2621" s="3" t="s">
        <v>1330</v>
      </c>
      <c r="D2621" s="14">
        <v>45848</v>
      </c>
      <c r="E2621" s="5" t="s">
        <v>2269</v>
      </c>
      <c r="F2621" s="5" t="s">
        <v>1336</v>
      </c>
      <c r="G2621" s="6" t="s">
        <v>756</v>
      </c>
      <c r="H2621" s="6" t="s">
        <v>72</v>
      </c>
      <c r="I2621" s="6" t="s">
        <v>1376</v>
      </c>
      <c r="J2621" s="6">
        <v>1303</v>
      </c>
      <c r="K2621" s="7" t="s">
        <v>3855</v>
      </c>
      <c r="L2621" s="8">
        <v>1227820</v>
      </c>
      <c r="M2621" s="8" t="str">
        <f t="shared" si="212"/>
        <v>PEN</v>
      </c>
      <c r="N2621" s="13"/>
      <c r="O2621" s="13">
        <v>210</v>
      </c>
      <c r="P2621" s="3">
        <f t="shared" si="213"/>
        <v>0</v>
      </c>
      <c r="Q2621" s="3">
        <f t="shared" si="214"/>
        <v>210</v>
      </c>
      <c r="R2621" s="3">
        <f t="shared" si="210"/>
        <v>54969.680000000015</v>
      </c>
      <c r="S2621" s="24" t="s">
        <v>1334</v>
      </c>
      <c r="T2621" s="24" t="s">
        <v>1334</v>
      </c>
      <c r="U2621" s="80" t="s">
        <v>3856</v>
      </c>
      <c r="V2621" s="25">
        <f>IFERROR(VLOOKUP(BCP_Soles[[#This Row],[destinatario]],CHOOSE({1,2},Clientes_Proveedores[Razon Social],Clientes_Proveedores[Ruc / Dni]),2,0),"")</f>
        <v>10450776578</v>
      </c>
      <c r="W2621" s="25"/>
      <c r="X2621" s="25"/>
      <c r="Y2621" s="25"/>
      <c r="Z2621" s="75"/>
      <c r="AA2621" s="3" t="str">
        <f>IF(BCP_Soles[[#This Row],[fecha]]&gt;0,TEXT(BCP_Soles[[#This Row],[fecha]],"mmmm"),0)</f>
        <v>Julio</v>
      </c>
    </row>
    <row r="2622" spans="1:27" x14ac:dyDescent="0.3">
      <c r="A2622" s="2">
        <f>IF(BCP_Soles[[#This Row],[tipo_registro]]="R",COUNTIFS($C$1:$C2621,"R")+1,A2621)</f>
        <v>1922</v>
      </c>
      <c r="B2622" s="19" t="str">
        <f t="shared" si="211"/>
        <v>B-BCP - Soles</v>
      </c>
      <c r="C2622" s="3" t="s">
        <v>1330</v>
      </c>
      <c r="D2622" s="14">
        <v>45848</v>
      </c>
      <c r="E2622" s="5" t="s">
        <v>1331</v>
      </c>
      <c r="F2622" s="5" t="s">
        <v>1336</v>
      </c>
      <c r="G2622" s="6"/>
      <c r="H2622" s="6"/>
      <c r="I2622" s="6"/>
      <c r="J2622" s="6"/>
      <c r="K2622" s="7" t="s">
        <v>3857</v>
      </c>
      <c r="L2622" s="8">
        <v>2571</v>
      </c>
      <c r="M2622" s="8" t="str">
        <f t="shared" si="212"/>
        <v>PEN</v>
      </c>
      <c r="N2622" s="13"/>
      <c r="O2622" s="13">
        <v>6045.99</v>
      </c>
      <c r="P2622" s="3">
        <f t="shared" si="213"/>
        <v>0</v>
      </c>
      <c r="Q2622" s="3">
        <f t="shared" si="214"/>
        <v>6045.99</v>
      </c>
      <c r="R2622" s="3">
        <f t="shared" si="210"/>
        <v>48923.690000000017</v>
      </c>
      <c r="S2622" s="24" t="s">
        <v>1334</v>
      </c>
      <c r="T2622" s="24" t="s">
        <v>1334</v>
      </c>
      <c r="U2622" s="55"/>
      <c r="V2622" s="25" t="str">
        <f>IFERROR(VLOOKUP(BCP_Soles[[#This Row],[destinatario]],CHOOSE({1,2},Clientes_Proveedores[Razon Social],Clientes_Proveedores[Ruc / Dni]),2,0),"")</f>
        <v/>
      </c>
      <c r="W2622" s="25"/>
      <c r="X2622" s="25"/>
      <c r="Y2622" s="25"/>
      <c r="Z2622" s="75"/>
      <c r="AA2622" s="3" t="str">
        <f>IF(BCP_Soles[[#This Row],[fecha]]&gt;0,TEXT(BCP_Soles[[#This Row],[fecha]],"mmmm"),0)</f>
        <v>Julio</v>
      </c>
    </row>
    <row r="2623" spans="1:27" x14ac:dyDescent="0.3">
      <c r="A2623" s="2">
        <f>IF(BCP_Soles[[#This Row],[tipo_registro]]="R",COUNTIFS($C$1:$C2622,"R")+1,A2622)</f>
        <v>1923</v>
      </c>
      <c r="B2623" s="19" t="str">
        <f t="shared" si="211"/>
        <v>B-BCP - Soles</v>
      </c>
      <c r="C2623" s="3" t="s">
        <v>1330</v>
      </c>
      <c r="D2623" s="14">
        <v>45848</v>
      </c>
      <c r="E2623" s="5" t="s">
        <v>3833</v>
      </c>
      <c r="F2623" s="5" t="s">
        <v>1336</v>
      </c>
      <c r="G2623" s="6"/>
      <c r="H2623" s="6"/>
      <c r="I2623" s="6"/>
      <c r="J2623" s="6"/>
      <c r="K2623" s="7" t="s">
        <v>3858</v>
      </c>
      <c r="L2623" s="8">
        <v>1008570</v>
      </c>
      <c r="M2623" s="8" t="str">
        <f t="shared" si="212"/>
        <v>PEN</v>
      </c>
      <c r="N2623" s="13"/>
      <c r="O2623" s="13">
        <v>2218</v>
      </c>
      <c r="P2623" s="3">
        <f t="shared" si="213"/>
        <v>0</v>
      </c>
      <c r="Q2623" s="3">
        <f t="shared" si="214"/>
        <v>2218</v>
      </c>
      <c r="R2623" s="3">
        <f t="shared" si="210"/>
        <v>46705.690000000017</v>
      </c>
      <c r="S2623" s="24" t="s">
        <v>1334</v>
      </c>
      <c r="T2623" s="24" t="s">
        <v>1334</v>
      </c>
      <c r="U2623" s="55"/>
      <c r="V2623" s="25" t="str">
        <f>IFERROR(VLOOKUP(BCP_Soles[[#This Row],[destinatario]],CHOOSE({1,2},Clientes_Proveedores[Razon Social],Clientes_Proveedores[Ruc / Dni]),2,0),"")</f>
        <v/>
      </c>
      <c r="W2623" s="25"/>
      <c r="X2623" s="25"/>
      <c r="Y2623" s="25"/>
      <c r="Z2623" s="75"/>
      <c r="AA2623" s="3" t="str">
        <f>IF(BCP_Soles[[#This Row],[fecha]]&gt;0,TEXT(BCP_Soles[[#This Row],[fecha]],"mmmm"),0)</f>
        <v>Julio</v>
      </c>
    </row>
    <row r="2624" spans="1:27" x14ac:dyDescent="0.3">
      <c r="A2624" s="2">
        <f>IF(BCP_Soles[[#This Row],[tipo_registro]]="R",COUNTIFS($C$1:$C2623,"R")+1,A2623)</f>
        <v>1923</v>
      </c>
      <c r="B2624" s="19" t="str">
        <f t="shared" si="211"/>
        <v>B-BCP - Soles</v>
      </c>
      <c r="C2624" s="3" t="s">
        <v>1352</v>
      </c>
      <c r="D2624" s="14">
        <v>45848</v>
      </c>
      <c r="E2624" s="5" t="s">
        <v>3833</v>
      </c>
      <c r="F2624" s="5"/>
      <c r="G2624" s="6" t="s">
        <v>730</v>
      </c>
      <c r="H2624" s="6" t="s">
        <v>68</v>
      </c>
      <c r="I2624" s="6" t="s">
        <v>1374</v>
      </c>
      <c r="J2624" s="6">
        <v>20</v>
      </c>
      <c r="K2624" s="7" t="s">
        <v>3858</v>
      </c>
      <c r="L2624" s="8">
        <v>1008570</v>
      </c>
      <c r="M2624" s="8" t="str">
        <f t="shared" si="212"/>
        <v>PEN</v>
      </c>
      <c r="N2624" s="13">
        <v>141</v>
      </c>
      <c r="O2624" s="13"/>
      <c r="P2624" s="3">
        <f t="shared" si="213"/>
        <v>0</v>
      </c>
      <c r="Q2624" s="3">
        <f t="shared" si="214"/>
        <v>0</v>
      </c>
      <c r="R2624" s="3">
        <f t="shared" si="210"/>
        <v>46705.690000000017</v>
      </c>
      <c r="S2624" s="24" t="s">
        <v>1334</v>
      </c>
      <c r="T2624" s="24" t="s">
        <v>1334</v>
      </c>
      <c r="U2624" s="55"/>
      <c r="V2624" s="25">
        <f>IFERROR(VLOOKUP(BCP_Soles[[#This Row],[destinatario]],CHOOSE({1,2},Clientes_Proveedores[Razon Social],Clientes_Proveedores[Ruc / Dni]),2,0),"")</f>
        <v>20612973530</v>
      </c>
      <c r="W2624" s="25"/>
      <c r="X2624" s="25"/>
      <c r="Y2624" s="25"/>
      <c r="Z2624" s="75" t="s">
        <v>3666</v>
      </c>
      <c r="AA2624" s="3" t="str">
        <f>IF(BCP_Soles[[#This Row],[fecha]]&gt;0,TEXT(BCP_Soles[[#This Row],[fecha]],"mmmm"),0)</f>
        <v>Julio</v>
      </c>
    </row>
    <row r="2625" spans="1:27" ht="24" x14ac:dyDescent="0.3">
      <c r="A2625" s="2">
        <f>IF(BCP_Soles[[#This Row],[tipo_registro]]="R",COUNTIFS($C$1:$C2624,"R")+1,A2624)</f>
        <v>1923</v>
      </c>
      <c r="B2625" s="19" t="str">
        <f t="shared" si="211"/>
        <v>B-BCP - Soles</v>
      </c>
      <c r="C2625" s="3" t="s">
        <v>1352</v>
      </c>
      <c r="D2625" s="14">
        <v>45848</v>
      </c>
      <c r="E2625" s="5" t="s">
        <v>3833</v>
      </c>
      <c r="F2625" s="5"/>
      <c r="G2625" s="6" t="s">
        <v>185</v>
      </c>
      <c r="H2625" s="6" t="s">
        <v>68</v>
      </c>
      <c r="I2625" s="6" t="s">
        <v>1376</v>
      </c>
      <c r="J2625" s="6">
        <v>138</v>
      </c>
      <c r="K2625" s="7" t="s">
        <v>3858</v>
      </c>
      <c r="L2625" s="8">
        <v>1008570</v>
      </c>
      <c r="M2625" s="8" t="str">
        <f t="shared" si="212"/>
        <v>PEN</v>
      </c>
      <c r="N2625" s="13">
        <v>65</v>
      </c>
      <c r="O2625" s="13"/>
      <c r="P2625" s="3">
        <f t="shared" si="213"/>
        <v>0</v>
      </c>
      <c r="Q2625" s="3">
        <f t="shared" si="214"/>
        <v>0</v>
      </c>
      <c r="R2625" s="3">
        <f t="shared" si="210"/>
        <v>46705.690000000017</v>
      </c>
      <c r="S2625" s="24" t="s">
        <v>1334</v>
      </c>
      <c r="T2625" s="24" t="s">
        <v>1334</v>
      </c>
      <c r="U2625" s="55"/>
      <c r="V2625" s="25">
        <f>IFERROR(VLOOKUP(BCP_Soles[[#This Row],[destinatario]],CHOOSE({1,2},Clientes_Proveedores[Razon Social],Clientes_Proveedores[Ruc / Dni]),2,0),"")</f>
        <v>10489531963</v>
      </c>
      <c r="W2625" s="25"/>
      <c r="X2625" s="25"/>
      <c r="Y2625" s="25"/>
      <c r="Z2625" s="75" t="s">
        <v>3666</v>
      </c>
      <c r="AA2625" s="3" t="str">
        <f>IF(BCP_Soles[[#This Row],[fecha]]&gt;0,TEXT(BCP_Soles[[#This Row],[fecha]],"mmmm"),0)</f>
        <v>Julio</v>
      </c>
    </row>
    <row r="2626" spans="1:27" ht="36" x14ac:dyDescent="0.3">
      <c r="A2626" s="2">
        <f>IF(BCP_Soles[[#This Row],[tipo_registro]]="R",COUNTIFS($C$1:$C2625,"R")+1,A2625)</f>
        <v>1923</v>
      </c>
      <c r="B2626" s="19" t="str">
        <f t="shared" si="211"/>
        <v>B-BCP - Soles</v>
      </c>
      <c r="C2626" s="3" t="s">
        <v>1352</v>
      </c>
      <c r="D2626" s="14">
        <v>45848</v>
      </c>
      <c r="E2626" s="5" t="s">
        <v>3833</v>
      </c>
      <c r="F2626" s="5"/>
      <c r="G2626" s="6" t="s">
        <v>626</v>
      </c>
      <c r="H2626" s="6" t="s">
        <v>68</v>
      </c>
      <c r="I2626" s="6" t="s">
        <v>1376</v>
      </c>
      <c r="J2626" s="6">
        <v>220</v>
      </c>
      <c r="K2626" s="7" t="s">
        <v>3858</v>
      </c>
      <c r="L2626" s="8">
        <v>1008570</v>
      </c>
      <c r="M2626" s="8" t="str">
        <f t="shared" si="212"/>
        <v>PEN</v>
      </c>
      <c r="N2626" s="13">
        <v>100</v>
      </c>
      <c r="O2626" s="13"/>
      <c r="P2626" s="3">
        <f t="shared" si="213"/>
        <v>0</v>
      </c>
      <c r="Q2626" s="3">
        <f t="shared" si="214"/>
        <v>0</v>
      </c>
      <c r="R2626" s="3">
        <f t="shared" si="210"/>
        <v>46705.690000000017</v>
      </c>
      <c r="S2626" s="24" t="s">
        <v>1334</v>
      </c>
      <c r="T2626" s="24" t="s">
        <v>1334</v>
      </c>
      <c r="U2626" s="55"/>
      <c r="V2626" s="25">
        <f>IFERROR(VLOOKUP(BCP_Soles[[#This Row],[destinatario]],CHOOSE({1,2},Clientes_Proveedores[Razon Social],Clientes_Proveedores[Ruc / Dni]),2,0),"")</f>
        <v>20549334874</v>
      </c>
      <c r="W2626" s="25"/>
      <c r="X2626" s="25"/>
      <c r="Y2626" s="25"/>
      <c r="Z2626" s="75" t="s">
        <v>3666</v>
      </c>
      <c r="AA2626" s="3" t="str">
        <f>IF(BCP_Soles[[#This Row],[fecha]]&gt;0,TEXT(BCP_Soles[[#This Row],[fecha]],"mmmm"),0)</f>
        <v>Julio</v>
      </c>
    </row>
    <row r="2627" spans="1:27" x14ac:dyDescent="0.3">
      <c r="A2627" s="2">
        <f>IF(BCP_Soles[[#This Row],[tipo_registro]]="R",COUNTIFS($C$1:$C2626,"R")+1,A2626)</f>
        <v>1923</v>
      </c>
      <c r="B2627" s="19" t="str">
        <f t="shared" si="211"/>
        <v>B-BCP - Soles</v>
      </c>
      <c r="C2627" s="3" t="s">
        <v>1352</v>
      </c>
      <c r="D2627" s="14">
        <v>45848</v>
      </c>
      <c r="E2627" s="5" t="s">
        <v>3833</v>
      </c>
      <c r="F2627" s="5"/>
      <c r="G2627" s="6" t="s">
        <v>286</v>
      </c>
      <c r="H2627" s="6" t="s">
        <v>68</v>
      </c>
      <c r="I2627" s="6" t="s">
        <v>1390</v>
      </c>
      <c r="J2627" s="6">
        <v>628</v>
      </c>
      <c r="K2627" s="7" t="s">
        <v>3858</v>
      </c>
      <c r="L2627" s="8">
        <v>1008570</v>
      </c>
      <c r="M2627" s="8" t="str">
        <f t="shared" si="212"/>
        <v>PEN</v>
      </c>
      <c r="N2627" s="13">
        <v>257</v>
      </c>
      <c r="O2627" s="13"/>
      <c r="P2627" s="3">
        <f t="shared" si="213"/>
        <v>0</v>
      </c>
      <c r="Q2627" s="3">
        <f t="shared" si="214"/>
        <v>0</v>
      </c>
      <c r="R2627" s="3">
        <f t="shared" si="210"/>
        <v>46705.690000000017</v>
      </c>
      <c r="S2627" s="24" t="s">
        <v>1334</v>
      </c>
      <c r="T2627" s="24" t="s">
        <v>1334</v>
      </c>
      <c r="U2627" s="55"/>
      <c r="V2627" s="25">
        <f>IFERROR(VLOOKUP(BCP_Soles[[#This Row],[destinatario]],CHOOSE({1,2},Clientes_Proveedores[Razon Social],Clientes_Proveedores[Ruc / Dni]),2,0),"")</f>
        <v>20454186002</v>
      </c>
      <c r="W2627" s="25"/>
      <c r="X2627" s="25"/>
      <c r="Y2627" s="25"/>
      <c r="Z2627" s="75" t="s">
        <v>3666</v>
      </c>
      <c r="AA2627" s="3" t="str">
        <f>IF(BCP_Soles[[#This Row],[fecha]]&gt;0,TEXT(BCP_Soles[[#This Row],[fecha]],"mmmm"),0)</f>
        <v>Julio</v>
      </c>
    </row>
    <row r="2628" spans="1:27" ht="24" x14ac:dyDescent="0.3">
      <c r="A2628" s="2">
        <f>IF(BCP_Soles[[#This Row],[tipo_registro]]="R",COUNTIFS($C$1:$C2627,"R")+1,A2627)</f>
        <v>1923</v>
      </c>
      <c r="B2628" s="19" t="str">
        <f t="shared" si="211"/>
        <v>B-BCP - Soles</v>
      </c>
      <c r="C2628" s="3" t="s">
        <v>1352</v>
      </c>
      <c r="D2628" s="14">
        <v>45848</v>
      </c>
      <c r="E2628" s="5" t="s">
        <v>3833</v>
      </c>
      <c r="F2628" s="5"/>
      <c r="G2628" s="6" t="s">
        <v>692</v>
      </c>
      <c r="H2628" s="6" t="s">
        <v>68</v>
      </c>
      <c r="I2628" s="6" t="s">
        <v>1376</v>
      </c>
      <c r="J2628" s="6">
        <v>8</v>
      </c>
      <c r="K2628" s="7" t="s">
        <v>3858</v>
      </c>
      <c r="L2628" s="8">
        <v>1008570</v>
      </c>
      <c r="M2628" s="8" t="str">
        <f t="shared" si="212"/>
        <v>PEN</v>
      </c>
      <c r="N2628" s="13">
        <v>33</v>
      </c>
      <c r="O2628" s="13"/>
      <c r="P2628" s="3">
        <f t="shared" si="213"/>
        <v>0</v>
      </c>
      <c r="Q2628" s="3">
        <f t="shared" si="214"/>
        <v>0</v>
      </c>
      <c r="R2628" s="3">
        <f t="shared" si="210"/>
        <v>46705.690000000017</v>
      </c>
      <c r="S2628" s="24" t="s">
        <v>1334</v>
      </c>
      <c r="T2628" s="24" t="s">
        <v>1334</v>
      </c>
      <c r="U2628" s="55"/>
      <c r="V2628" s="25">
        <f>IFERROR(VLOOKUP(BCP_Soles[[#This Row],[destinatario]],CHOOSE({1,2},Clientes_Proveedores[Razon Social],Clientes_Proveedores[Ruc / Dni]),2,0),"")</f>
        <v>10736055631</v>
      </c>
      <c r="W2628" s="25"/>
      <c r="X2628" s="25"/>
      <c r="Y2628" s="25"/>
      <c r="Z2628" s="75" t="s">
        <v>3666</v>
      </c>
      <c r="AA2628" s="3" t="str">
        <f>IF(BCP_Soles[[#This Row],[fecha]]&gt;0,TEXT(BCP_Soles[[#This Row],[fecha]],"mmmm"),0)</f>
        <v>Julio</v>
      </c>
    </row>
    <row r="2629" spans="1:27" ht="24" x14ac:dyDescent="0.3">
      <c r="A2629" s="2">
        <f>IF(BCP_Soles[[#This Row],[tipo_registro]]="R",COUNTIFS($C$1:$C2628,"R")+1,A2628)</f>
        <v>1923</v>
      </c>
      <c r="B2629" s="19" t="str">
        <f t="shared" si="211"/>
        <v>B-BCP - Soles</v>
      </c>
      <c r="C2629" s="3" t="s">
        <v>1352</v>
      </c>
      <c r="D2629" s="14">
        <v>45848</v>
      </c>
      <c r="E2629" s="5" t="s">
        <v>3833</v>
      </c>
      <c r="F2629" s="5"/>
      <c r="G2629" s="6" t="s">
        <v>692</v>
      </c>
      <c r="H2629" s="6" t="s">
        <v>68</v>
      </c>
      <c r="I2629" s="6" t="s">
        <v>1376</v>
      </c>
      <c r="J2629" s="6">
        <v>9</v>
      </c>
      <c r="K2629" s="7" t="s">
        <v>3858</v>
      </c>
      <c r="L2629" s="8">
        <v>1008570</v>
      </c>
      <c r="M2629" s="8" t="str">
        <f t="shared" si="212"/>
        <v>PEN</v>
      </c>
      <c r="N2629" s="13">
        <v>36</v>
      </c>
      <c r="O2629" s="13"/>
      <c r="P2629" s="3">
        <f t="shared" si="213"/>
        <v>0</v>
      </c>
      <c r="Q2629" s="3">
        <f t="shared" si="214"/>
        <v>0</v>
      </c>
      <c r="R2629" s="3">
        <f t="shared" si="210"/>
        <v>46705.690000000017</v>
      </c>
      <c r="S2629" s="24" t="s">
        <v>1334</v>
      </c>
      <c r="T2629" s="24" t="s">
        <v>1334</v>
      </c>
      <c r="U2629" s="55"/>
      <c r="V2629" s="25">
        <f>IFERROR(VLOOKUP(BCP_Soles[[#This Row],[destinatario]],CHOOSE({1,2},Clientes_Proveedores[Razon Social],Clientes_Proveedores[Ruc / Dni]),2,0),"")</f>
        <v>10736055631</v>
      </c>
      <c r="W2629" s="25"/>
      <c r="X2629" s="25"/>
      <c r="Y2629" s="25"/>
      <c r="Z2629" s="75" t="s">
        <v>3666</v>
      </c>
      <c r="AA2629" s="3" t="str">
        <f>IF(BCP_Soles[[#This Row],[fecha]]&gt;0,TEXT(BCP_Soles[[#This Row],[fecha]],"mmmm"),0)</f>
        <v>Julio</v>
      </c>
    </row>
    <row r="2630" spans="1:27" x14ac:dyDescent="0.3">
      <c r="A2630" s="2">
        <f>IF(BCP_Soles[[#This Row],[tipo_registro]]="R",COUNTIFS($C$1:$C2629,"R")+1,A2629)</f>
        <v>1923</v>
      </c>
      <c r="B2630" s="19" t="str">
        <f t="shared" si="211"/>
        <v>B-BCP - Soles</v>
      </c>
      <c r="C2630" s="3" t="s">
        <v>1352</v>
      </c>
      <c r="D2630" s="14">
        <v>45848</v>
      </c>
      <c r="E2630" s="5" t="s">
        <v>3833</v>
      </c>
      <c r="F2630" s="5"/>
      <c r="G2630" s="6" t="s">
        <v>522</v>
      </c>
      <c r="H2630" s="6" t="s">
        <v>68</v>
      </c>
      <c r="I2630" s="6" t="s">
        <v>1376</v>
      </c>
      <c r="J2630" s="6">
        <v>3991</v>
      </c>
      <c r="K2630" s="7" t="s">
        <v>3858</v>
      </c>
      <c r="L2630" s="8">
        <v>1008570</v>
      </c>
      <c r="M2630" s="8" t="str">
        <f t="shared" si="212"/>
        <v>PEN</v>
      </c>
      <c r="N2630" s="13">
        <v>70</v>
      </c>
      <c r="O2630" s="13"/>
      <c r="P2630" s="3">
        <f t="shared" si="213"/>
        <v>0</v>
      </c>
      <c r="Q2630" s="3">
        <f t="shared" si="214"/>
        <v>0</v>
      </c>
      <c r="R2630" s="3">
        <f t="shared" si="210"/>
        <v>46705.690000000017</v>
      </c>
      <c r="S2630" s="24" t="s">
        <v>1334</v>
      </c>
      <c r="T2630" s="24" t="s">
        <v>1334</v>
      </c>
      <c r="U2630" s="55"/>
      <c r="V2630" s="25">
        <f>IFERROR(VLOOKUP(BCP_Soles[[#This Row],[destinatario]],CHOOSE({1,2},Clientes_Proveedores[Razon Social],Clientes_Proveedores[Ruc / Dni]),2,0),"")</f>
        <v>20603974817</v>
      </c>
      <c r="W2630" s="25"/>
      <c r="X2630" s="25"/>
      <c r="Y2630" s="25"/>
      <c r="Z2630" s="75" t="s">
        <v>3666</v>
      </c>
      <c r="AA2630" s="3" t="str">
        <f>IF(BCP_Soles[[#This Row],[fecha]]&gt;0,TEXT(BCP_Soles[[#This Row],[fecha]],"mmmm"),0)</f>
        <v>Julio</v>
      </c>
    </row>
    <row r="2631" spans="1:27" x14ac:dyDescent="0.3">
      <c r="A2631" s="2">
        <f>IF(BCP_Soles[[#This Row],[tipo_registro]]="R",COUNTIFS($C$1:$C2630,"R")+1,A2630)</f>
        <v>1923</v>
      </c>
      <c r="B2631" s="19" t="str">
        <f t="shared" si="211"/>
        <v>B-BCP - Soles</v>
      </c>
      <c r="C2631" s="3" t="s">
        <v>1352</v>
      </c>
      <c r="D2631" s="14">
        <v>45848</v>
      </c>
      <c r="E2631" s="5" t="s">
        <v>3833</v>
      </c>
      <c r="F2631" s="5"/>
      <c r="G2631" s="6" t="s">
        <v>522</v>
      </c>
      <c r="H2631" s="6" t="s">
        <v>68</v>
      </c>
      <c r="I2631" s="6" t="s">
        <v>1376</v>
      </c>
      <c r="J2631" s="6">
        <v>3985</v>
      </c>
      <c r="K2631" s="7" t="s">
        <v>3858</v>
      </c>
      <c r="L2631" s="8">
        <v>1008570</v>
      </c>
      <c r="M2631" s="8" t="str">
        <f t="shared" si="212"/>
        <v>PEN</v>
      </c>
      <c r="N2631" s="13">
        <v>75</v>
      </c>
      <c r="O2631" s="13"/>
      <c r="P2631" s="3">
        <f t="shared" si="213"/>
        <v>0</v>
      </c>
      <c r="Q2631" s="3">
        <f t="shared" si="214"/>
        <v>0</v>
      </c>
      <c r="R2631" s="3">
        <f t="shared" si="210"/>
        <v>46705.690000000017</v>
      </c>
      <c r="S2631" s="24" t="s">
        <v>1334</v>
      </c>
      <c r="T2631" s="24" t="s">
        <v>1334</v>
      </c>
      <c r="U2631" s="55"/>
      <c r="V2631" s="25">
        <f>IFERROR(VLOOKUP(BCP_Soles[[#This Row],[destinatario]],CHOOSE({1,2},Clientes_Proveedores[Razon Social],Clientes_Proveedores[Ruc / Dni]),2,0),"")</f>
        <v>20603974817</v>
      </c>
      <c r="W2631" s="25"/>
      <c r="X2631" s="25"/>
      <c r="Y2631" s="25"/>
      <c r="Z2631" s="75" t="s">
        <v>3666</v>
      </c>
      <c r="AA2631" s="3" t="str">
        <f>IF(BCP_Soles[[#This Row],[fecha]]&gt;0,TEXT(BCP_Soles[[#This Row],[fecha]],"mmmm"),0)</f>
        <v>Julio</v>
      </c>
    </row>
    <row r="2632" spans="1:27" ht="36" x14ac:dyDescent="0.3">
      <c r="A2632" s="2">
        <f>IF(BCP_Soles[[#This Row],[tipo_registro]]="R",COUNTIFS($C$1:$C2631,"R")+1,A2631)</f>
        <v>1923</v>
      </c>
      <c r="B2632" s="19" t="str">
        <f t="shared" si="211"/>
        <v>B-BCP - Soles</v>
      </c>
      <c r="C2632" s="3" t="s">
        <v>1352</v>
      </c>
      <c r="D2632" s="14">
        <v>45848</v>
      </c>
      <c r="E2632" s="5" t="s">
        <v>3833</v>
      </c>
      <c r="F2632" s="5"/>
      <c r="G2632" s="6" t="s">
        <v>782</v>
      </c>
      <c r="H2632" s="6" t="s">
        <v>68</v>
      </c>
      <c r="I2632" s="6" t="s">
        <v>1376</v>
      </c>
      <c r="J2632" s="6">
        <v>10</v>
      </c>
      <c r="K2632" s="7" t="s">
        <v>3858</v>
      </c>
      <c r="L2632" s="8">
        <v>1008570</v>
      </c>
      <c r="M2632" s="8" t="str">
        <f t="shared" si="212"/>
        <v>PEN</v>
      </c>
      <c r="N2632" s="13">
        <v>1422</v>
      </c>
      <c r="O2632" s="13"/>
      <c r="P2632" s="3">
        <f t="shared" si="213"/>
        <v>0</v>
      </c>
      <c r="Q2632" s="3">
        <f t="shared" si="214"/>
        <v>0</v>
      </c>
      <c r="R2632" s="3">
        <f t="shared" si="210"/>
        <v>46705.690000000017</v>
      </c>
      <c r="S2632" s="24" t="s">
        <v>1334</v>
      </c>
      <c r="T2632" s="24" t="s">
        <v>1334</v>
      </c>
      <c r="U2632" s="55"/>
      <c r="V2632" s="25">
        <f>IFERROR(VLOOKUP(BCP_Soles[[#This Row],[destinatario]],CHOOSE({1,2},Clientes_Proveedores[Razon Social],Clientes_Proveedores[Ruc / Dni]),2,0),"")</f>
        <v>20612108651</v>
      </c>
      <c r="W2632" s="25"/>
      <c r="X2632" s="25"/>
      <c r="Y2632" s="25"/>
      <c r="Z2632" s="75" t="s">
        <v>3666</v>
      </c>
      <c r="AA2632" s="3" t="str">
        <f>IF(BCP_Soles[[#This Row],[fecha]]&gt;0,TEXT(BCP_Soles[[#This Row],[fecha]],"mmmm"),0)</f>
        <v>Julio</v>
      </c>
    </row>
    <row r="2633" spans="1:27" ht="24" x14ac:dyDescent="0.3">
      <c r="A2633" s="2">
        <f>IF(BCP_Soles[[#This Row],[tipo_registro]]="R",COUNTIFS($C$1:$C2632,"R")+1,A2632)</f>
        <v>1923</v>
      </c>
      <c r="B2633" s="19" t="str">
        <f t="shared" si="211"/>
        <v>B-BCP - Soles</v>
      </c>
      <c r="C2633" s="3" t="s">
        <v>1352</v>
      </c>
      <c r="D2633" s="14">
        <v>45848</v>
      </c>
      <c r="E2633" s="5" t="s">
        <v>3833</v>
      </c>
      <c r="F2633" s="5"/>
      <c r="G2633" s="6" t="s">
        <v>692</v>
      </c>
      <c r="H2633" s="6" t="s">
        <v>68</v>
      </c>
      <c r="I2633" s="6" t="s">
        <v>1376</v>
      </c>
      <c r="J2633" s="6">
        <v>10</v>
      </c>
      <c r="K2633" s="7" t="s">
        <v>3858</v>
      </c>
      <c r="L2633" s="8">
        <v>1008570</v>
      </c>
      <c r="M2633" s="8" t="str">
        <f t="shared" si="212"/>
        <v>PEN</v>
      </c>
      <c r="N2633" s="13">
        <v>19</v>
      </c>
      <c r="O2633" s="13"/>
      <c r="P2633" s="3">
        <f t="shared" si="213"/>
        <v>0</v>
      </c>
      <c r="Q2633" s="3">
        <f t="shared" si="214"/>
        <v>0</v>
      </c>
      <c r="R2633" s="3">
        <f t="shared" ref="R2633:R2696" si="215">IFERROR(IF(F2633="SALDO",P2633,R2632+P2633-Q2633),0)</f>
        <v>46705.690000000017</v>
      </c>
      <c r="S2633" s="24" t="s">
        <v>1334</v>
      </c>
      <c r="T2633" s="24" t="s">
        <v>1334</v>
      </c>
      <c r="U2633" s="55"/>
      <c r="V2633" s="25">
        <f>IFERROR(VLOOKUP(BCP_Soles[[#This Row],[destinatario]],CHOOSE({1,2},Clientes_Proveedores[Razon Social],Clientes_Proveedores[Ruc / Dni]),2,0),"")</f>
        <v>10736055631</v>
      </c>
      <c r="W2633" s="25"/>
      <c r="X2633" s="25"/>
      <c r="Y2633" s="25"/>
      <c r="Z2633" s="75" t="s">
        <v>3666</v>
      </c>
      <c r="AA2633" s="3" t="str">
        <f>IF(BCP_Soles[[#This Row],[fecha]]&gt;0,TEXT(BCP_Soles[[#This Row],[fecha]],"mmmm"),0)</f>
        <v>Julio</v>
      </c>
    </row>
    <row r="2634" spans="1:27" x14ac:dyDescent="0.3">
      <c r="A2634" s="2">
        <f>IF(BCP_Soles[[#This Row],[tipo_registro]]="R",COUNTIFS($C$1:$C2633,"R")+1,A2633)</f>
        <v>1924</v>
      </c>
      <c r="B2634" s="19" t="str">
        <f t="shared" si="211"/>
        <v>B-BCP - Soles</v>
      </c>
      <c r="C2634" s="3" t="s">
        <v>1330</v>
      </c>
      <c r="D2634" s="14">
        <v>45848</v>
      </c>
      <c r="E2634" s="5" t="s">
        <v>1331</v>
      </c>
      <c r="F2634" s="5" t="s">
        <v>1336</v>
      </c>
      <c r="G2634" s="6"/>
      <c r="H2634" s="6"/>
      <c r="I2634" s="6"/>
      <c r="J2634" s="6"/>
      <c r="K2634" s="7" t="s">
        <v>3859</v>
      </c>
      <c r="L2634" s="8">
        <v>2572</v>
      </c>
      <c r="M2634" s="8" t="str">
        <f t="shared" si="212"/>
        <v>PEN</v>
      </c>
      <c r="N2634" s="13"/>
      <c r="O2634" s="13">
        <v>1806.12</v>
      </c>
      <c r="P2634" s="3">
        <f t="shared" si="213"/>
        <v>0</v>
      </c>
      <c r="Q2634" s="3">
        <f t="shared" si="214"/>
        <v>1806.12</v>
      </c>
      <c r="R2634" s="3">
        <f t="shared" si="215"/>
        <v>44899.570000000014</v>
      </c>
      <c r="S2634" s="24" t="s">
        <v>1334</v>
      </c>
      <c r="T2634" s="24" t="s">
        <v>1334</v>
      </c>
      <c r="U2634" s="55"/>
      <c r="V2634" s="25" t="str">
        <f>IFERROR(VLOOKUP(BCP_Soles[[#This Row],[destinatario]],CHOOSE({1,2},Clientes_Proveedores[Razon Social],Clientes_Proveedores[Ruc / Dni]),2,0),"")</f>
        <v/>
      </c>
      <c r="W2634" s="25"/>
      <c r="X2634" s="25"/>
      <c r="Y2634" s="25"/>
      <c r="Z2634" s="75"/>
      <c r="AA2634" s="3" t="str">
        <f>IF(BCP_Soles[[#This Row],[fecha]]&gt;0,TEXT(BCP_Soles[[#This Row],[fecha]],"mmmm"),0)</f>
        <v>Julio</v>
      </c>
    </row>
    <row r="2635" spans="1:27" x14ac:dyDescent="0.3">
      <c r="A2635" s="2">
        <f>IF(BCP_Soles[[#This Row],[tipo_registro]]="R",COUNTIFS($C$1:$C2634,"R")+1,A2634)</f>
        <v>1925</v>
      </c>
      <c r="B2635" s="19" t="str">
        <f t="shared" si="211"/>
        <v>B-BCP - Soles</v>
      </c>
      <c r="C2635" s="3" t="s">
        <v>1330</v>
      </c>
      <c r="D2635" s="14">
        <v>45848</v>
      </c>
      <c r="E2635" s="5" t="s">
        <v>1331</v>
      </c>
      <c r="F2635" s="5" t="s">
        <v>1336</v>
      </c>
      <c r="G2635" s="6"/>
      <c r="H2635" s="6"/>
      <c r="I2635" s="6"/>
      <c r="J2635" s="6"/>
      <c r="K2635" s="7" t="s">
        <v>3860</v>
      </c>
      <c r="L2635" s="8">
        <v>2570</v>
      </c>
      <c r="M2635" s="8" t="str">
        <f t="shared" si="212"/>
        <v>PEN</v>
      </c>
      <c r="N2635" s="13"/>
      <c r="O2635" s="13">
        <v>824.7</v>
      </c>
      <c r="P2635" s="3">
        <f t="shared" si="213"/>
        <v>0</v>
      </c>
      <c r="Q2635" s="3">
        <f t="shared" si="214"/>
        <v>824.7</v>
      </c>
      <c r="R2635" s="3">
        <f t="shared" si="215"/>
        <v>44074.870000000017</v>
      </c>
      <c r="S2635" s="24" t="s">
        <v>1334</v>
      </c>
      <c r="T2635" s="24" t="s">
        <v>1334</v>
      </c>
      <c r="U2635" s="55"/>
      <c r="V2635" s="25" t="str">
        <f>IFERROR(VLOOKUP(BCP_Soles[[#This Row],[destinatario]],CHOOSE({1,2},Clientes_Proveedores[Razon Social],Clientes_Proveedores[Ruc / Dni]),2,0),"")</f>
        <v/>
      </c>
      <c r="W2635" s="25"/>
      <c r="X2635" s="25"/>
      <c r="Y2635" s="25"/>
      <c r="Z2635" s="75"/>
      <c r="AA2635" s="3" t="str">
        <f>IF(BCP_Soles[[#This Row],[fecha]]&gt;0,TEXT(BCP_Soles[[#This Row],[fecha]],"mmmm"),0)</f>
        <v>Julio</v>
      </c>
    </row>
    <row r="2636" spans="1:27" x14ac:dyDescent="0.3">
      <c r="A2636" s="2">
        <f>IF(BCP_Soles[[#This Row],[tipo_registro]]="R",COUNTIFS($C$1:$C2635,"R")+1,A2635)</f>
        <v>1926</v>
      </c>
      <c r="B2636" s="19" t="str">
        <f t="shared" si="211"/>
        <v>B-BCP - Soles</v>
      </c>
      <c r="C2636" s="3" t="s">
        <v>1330</v>
      </c>
      <c r="D2636" s="14">
        <v>45848</v>
      </c>
      <c r="E2636" s="5" t="s">
        <v>1331</v>
      </c>
      <c r="F2636" s="5" t="s">
        <v>1336</v>
      </c>
      <c r="G2636" s="6"/>
      <c r="H2636" s="6"/>
      <c r="I2636" s="6"/>
      <c r="J2636" s="6"/>
      <c r="K2636" s="7" t="s">
        <v>3861</v>
      </c>
      <c r="L2636" s="8">
        <v>2573</v>
      </c>
      <c r="M2636" s="8" t="str">
        <f t="shared" si="212"/>
        <v>PEN</v>
      </c>
      <c r="N2636" s="13"/>
      <c r="O2636" s="13">
        <v>274.07</v>
      </c>
      <c r="P2636" s="3">
        <f t="shared" si="213"/>
        <v>0</v>
      </c>
      <c r="Q2636" s="3">
        <f t="shared" si="214"/>
        <v>274.07</v>
      </c>
      <c r="R2636" s="3">
        <f t="shared" si="215"/>
        <v>43800.800000000017</v>
      </c>
      <c r="S2636" s="24" t="s">
        <v>1334</v>
      </c>
      <c r="T2636" s="24" t="s">
        <v>1334</v>
      </c>
      <c r="U2636" s="55"/>
      <c r="V2636" s="25" t="str">
        <f>IFERROR(VLOOKUP(BCP_Soles[[#This Row],[destinatario]],CHOOSE({1,2},Clientes_Proveedores[Razon Social],Clientes_Proveedores[Ruc / Dni]),2,0),"")</f>
        <v/>
      </c>
      <c r="W2636" s="25"/>
      <c r="X2636" s="25"/>
      <c r="Y2636" s="25"/>
      <c r="Z2636" s="75"/>
      <c r="AA2636" s="3" t="str">
        <f>IF(BCP_Soles[[#This Row],[fecha]]&gt;0,TEXT(BCP_Soles[[#This Row],[fecha]],"mmmm"),0)</f>
        <v>Julio</v>
      </c>
    </row>
    <row r="2637" spans="1:27" ht="24" x14ac:dyDescent="0.3">
      <c r="A2637" s="2">
        <f>IF(BCP_Soles[[#This Row],[tipo_registro]]="R",COUNTIFS($C$1:$C2636,"R")+1,A2636)</f>
        <v>1927</v>
      </c>
      <c r="B2637" s="19" t="str">
        <f t="shared" si="211"/>
        <v>B-BCP - Soles</v>
      </c>
      <c r="C2637" s="3" t="s">
        <v>1330</v>
      </c>
      <c r="D2637" s="14">
        <v>45848</v>
      </c>
      <c r="E2637" s="5" t="s">
        <v>1335</v>
      </c>
      <c r="F2637" s="5" t="s">
        <v>1336</v>
      </c>
      <c r="G2637" s="6" t="s">
        <v>1060</v>
      </c>
      <c r="H2637" s="6" t="s">
        <v>68</v>
      </c>
      <c r="I2637" s="6" t="s">
        <v>1397</v>
      </c>
      <c r="J2637" s="6">
        <v>34518438</v>
      </c>
      <c r="K2637" s="7" t="s">
        <v>1400</v>
      </c>
      <c r="L2637" s="8">
        <v>392</v>
      </c>
      <c r="M2637" s="8" t="str">
        <f t="shared" si="212"/>
        <v>PEN</v>
      </c>
      <c r="N2637" s="13"/>
      <c r="O2637" s="13">
        <v>10</v>
      </c>
      <c r="P2637" s="3">
        <f t="shared" si="213"/>
        <v>0</v>
      </c>
      <c r="Q2637" s="3">
        <f t="shared" si="214"/>
        <v>10</v>
      </c>
      <c r="R2637" s="3">
        <f t="shared" si="215"/>
        <v>43790.800000000017</v>
      </c>
      <c r="S2637" s="24" t="s">
        <v>1334</v>
      </c>
      <c r="T2637" s="24" t="s">
        <v>1334</v>
      </c>
      <c r="U2637" s="55"/>
      <c r="V2637" s="25">
        <f>IFERROR(VLOOKUP(BCP_Soles[[#This Row],[destinatario]],CHOOSE({1,2},Clientes_Proveedores[Razon Social],Clientes_Proveedores[Ruc / Dni]),2,0),"")</f>
        <v>20100047218</v>
      </c>
      <c r="W2637" s="25"/>
      <c r="X2637" s="25"/>
      <c r="Y2637" s="25"/>
      <c r="Z2637" s="75"/>
      <c r="AA2637" s="3" t="str">
        <f>IF(BCP_Soles[[#This Row],[fecha]]&gt;0,TEXT(BCP_Soles[[#This Row],[fecha]],"mmmm"),0)</f>
        <v>Julio</v>
      </c>
    </row>
    <row r="2638" spans="1:27" x14ac:dyDescent="0.3">
      <c r="A2638" s="2">
        <f>IF(BCP_Soles[[#This Row],[tipo_registro]]="R",COUNTIFS($C$1:$C2637,"R")+1,A2637)</f>
        <v>1928</v>
      </c>
      <c r="B2638" s="19" t="str">
        <f t="shared" si="211"/>
        <v>B-BCP - Soles</v>
      </c>
      <c r="C2638" s="3" t="s">
        <v>1330</v>
      </c>
      <c r="D2638" s="14">
        <v>45848</v>
      </c>
      <c r="E2638" s="5" t="s">
        <v>1335</v>
      </c>
      <c r="F2638" s="5" t="s">
        <v>1336</v>
      </c>
      <c r="G2638" s="6" t="s">
        <v>1009</v>
      </c>
      <c r="H2638" s="6" t="s">
        <v>64</v>
      </c>
      <c r="I2638" s="6" t="s">
        <v>3673</v>
      </c>
      <c r="J2638" s="6">
        <v>1928</v>
      </c>
      <c r="K2638" s="7" t="s">
        <v>3160</v>
      </c>
      <c r="L2638" s="8"/>
      <c r="M2638" s="8" t="str">
        <f t="shared" si="212"/>
        <v>PEN</v>
      </c>
      <c r="N2638" s="13"/>
      <c r="O2638" s="13">
        <v>2.5499999999999998</v>
      </c>
      <c r="P2638" s="3">
        <f t="shared" si="213"/>
        <v>0</v>
      </c>
      <c r="Q2638" s="3">
        <f t="shared" si="214"/>
        <v>2.5499999999999998</v>
      </c>
      <c r="R2638" s="3">
        <f t="shared" si="215"/>
        <v>43788.250000000015</v>
      </c>
      <c r="S2638" s="24" t="s">
        <v>1334</v>
      </c>
      <c r="T2638" s="24" t="s">
        <v>1334</v>
      </c>
      <c r="U2638" s="55"/>
      <c r="V2638" s="25">
        <f>IFERROR(VLOOKUP(BCP_Soles[[#This Row],[destinatario]],CHOOSE({1,2},Clientes_Proveedores[Razon Social],Clientes_Proveedores[Ruc / Dni]),2,0),"")</f>
        <v>11111111</v>
      </c>
      <c r="W2638" s="25"/>
      <c r="X2638" s="25"/>
      <c r="Y2638" s="25"/>
      <c r="Z2638" s="75"/>
      <c r="AA2638" s="3" t="str">
        <f>IF(BCP_Soles[[#This Row],[fecha]]&gt;0,TEXT(BCP_Soles[[#This Row],[fecha]],"mmmm"),0)</f>
        <v>Julio</v>
      </c>
    </row>
    <row r="2639" spans="1:27" x14ac:dyDescent="0.3">
      <c r="A2639" s="2">
        <f>IF(BCP_Soles[[#This Row],[tipo_registro]]="R",COUNTIFS($C$1:$C2638,"R")+1,A2638)</f>
        <v>1929</v>
      </c>
      <c r="B2639" s="19" t="str">
        <f t="shared" si="211"/>
        <v>B-BCP - Soles</v>
      </c>
      <c r="C2639" s="3" t="s">
        <v>1330</v>
      </c>
      <c r="D2639" s="14">
        <v>45849</v>
      </c>
      <c r="E2639" s="5" t="s">
        <v>551</v>
      </c>
      <c r="F2639" s="5" t="s">
        <v>1303</v>
      </c>
      <c r="G2639" s="6" t="s">
        <v>425</v>
      </c>
      <c r="H2639" s="6" t="s">
        <v>68</v>
      </c>
      <c r="I2639" s="6" t="s">
        <v>3736</v>
      </c>
      <c r="J2639" s="6">
        <v>9</v>
      </c>
      <c r="K2639" s="7" t="s">
        <v>1356</v>
      </c>
      <c r="L2639" s="8">
        <v>5175055</v>
      </c>
      <c r="M2639" s="8" t="str">
        <f t="shared" si="212"/>
        <v>PEN</v>
      </c>
      <c r="N2639" s="13"/>
      <c r="O2639" s="13">
        <v>3540</v>
      </c>
      <c r="P2639" s="3">
        <f t="shared" si="213"/>
        <v>3540</v>
      </c>
      <c r="Q2639" s="3">
        <f t="shared" si="214"/>
        <v>0</v>
      </c>
      <c r="R2639" s="3">
        <f t="shared" si="215"/>
        <v>47328.250000000015</v>
      </c>
      <c r="S2639" s="24" t="s">
        <v>1334</v>
      </c>
      <c r="T2639" s="24" t="s">
        <v>1334</v>
      </c>
      <c r="U2639" s="55"/>
      <c r="V2639" s="25">
        <f>IFERROR(VLOOKUP(BCP_Soles[[#This Row],[destinatario]],CHOOSE({1,2},Clientes_Proveedores[Razon Social],Clientes_Proveedores[Ruc / Dni]),2,0),"")</f>
        <v>20558226979</v>
      </c>
      <c r="W2639" s="25"/>
      <c r="X2639" s="25"/>
      <c r="Y2639" s="25"/>
      <c r="Z2639" s="75"/>
      <c r="AA2639" s="3" t="str">
        <f>IF(BCP_Soles[[#This Row],[fecha]]&gt;0,TEXT(BCP_Soles[[#This Row],[fecha]],"mmmm"),0)</f>
        <v>Julio</v>
      </c>
    </row>
    <row r="2640" spans="1:27" ht="24" x14ac:dyDescent="0.3">
      <c r="A2640" s="2">
        <f>IF(BCP_Soles[[#This Row],[tipo_registro]]="R",COUNTIFS($C$1:$C2639,"R")+1,A2639)</f>
        <v>1930</v>
      </c>
      <c r="B2640" s="19" t="str">
        <f t="shared" si="211"/>
        <v>B-BCP - Soles</v>
      </c>
      <c r="C2640" s="3" t="s">
        <v>1330</v>
      </c>
      <c r="D2640" s="14">
        <v>45849</v>
      </c>
      <c r="E2640" s="5" t="s">
        <v>462</v>
      </c>
      <c r="F2640" s="5" t="s">
        <v>1303</v>
      </c>
      <c r="G2640" s="6" t="s">
        <v>425</v>
      </c>
      <c r="H2640" s="6" t="s">
        <v>68</v>
      </c>
      <c r="I2640" s="6" t="s">
        <v>3381</v>
      </c>
      <c r="J2640" s="6">
        <v>45</v>
      </c>
      <c r="K2640" s="7" t="s">
        <v>1356</v>
      </c>
      <c r="L2640" s="8">
        <v>2797307</v>
      </c>
      <c r="M2640" s="8" t="str">
        <f t="shared" si="212"/>
        <v>PEN</v>
      </c>
      <c r="N2640" s="13"/>
      <c r="O2640" s="13">
        <v>1039.99</v>
      </c>
      <c r="P2640" s="3">
        <f t="shared" si="213"/>
        <v>1039.99</v>
      </c>
      <c r="Q2640" s="3">
        <f t="shared" si="214"/>
        <v>0</v>
      </c>
      <c r="R2640" s="3">
        <f t="shared" si="215"/>
        <v>48368.240000000013</v>
      </c>
      <c r="S2640" s="24" t="s">
        <v>1334</v>
      </c>
      <c r="T2640" s="24" t="s">
        <v>1334</v>
      </c>
      <c r="U2640" s="55"/>
      <c r="V2640" s="25">
        <f>IFERROR(VLOOKUP(BCP_Soles[[#This Row],[destinatario]],CHOOSE({1,2},Clientes_Proveedores[Razon Social],Clientes_Proveedores[Ruc / Dni]),2,0),"")</f>
        <v>20558226979</v>
      </c>
      <c r="W2640" s="25"/>
      <c r="X2640" s="25"/>
      <c r="Y2640" s="25"/>
      <c r="Z2640" s="75"/>
      <c r="AA2640" s="3" t="str">
        <f>IF(BCP_Soles[[#This Row],[fecha]]&gt;0,TEXT(BCP_Soles[[#This Row],[fecha]],"mmmm"),0)</f>
        <v>Julio</v>
      </c>
    </row>
    <row r="2641" spans="1:27" ht="24" x14ac:dyDescent="0.3">
      <c r="A2641" s="2">
        <f>IF(BCP_Soles[[#This Row],[tipo_registro]]="R",COUNTIFS($C$1:$C2640,"R")+1,A2640)</f>
        <v>1931</v>
      </c>
      <c r="B2641" s="19" t="str">
        <f t="shared" si="211"/>
        <v>B-BCP - Soles</v>
      </c>
      <c r="C2641" s="3" t="s">
        <v>1330</v>
      </c>
      <c r="D2641" s="14">
        <v>45849</v>
      </c>
      <c r="E2641" s="5" t="s">
        <v>995</v>
      </c>
      <c r="F2641" s="5" t="s">
        <v>1303</v>
      </c>
      <c r="G2641" s="6" t="s">
        <v>425</v>
      </c>
      <c r="H2641" s="6" t="s">
        <v>68</v>
      </c>
      <c r="I2641" s="6" t="s">
        <v>1784</v>
      </c>
      <c r="J2641" s="6">
        <v>171</v>
      </c>
      <c r="K2641" s="7" t="s">
        <v>1356</v>
      </c>
      <c r="L2641" s="8">
        <v>662933</v>
      </c>
      <c r="M2641" s="8" t="str">
        <f t="shared" si="212"/>
        <v>PEN</v>
      </c>
      <c r="N2641" s="13"/>
      <c r="O2641" s="13">
        <v>118</v>
      </c>
      <c r="P2641" s="3">
        <f t="shared" si="213"/>
        <v>118</v>
      </c>
      <c r="Q2641" s="3">
        <f t="shared" si="214"/>
        <v>0</v>
      </c>
      <c r="R2641" s="3">
        <f t="shared" si="215"/>
        <v>48486.240000000013</v>
      </c>
      <c r="S2641" s="24" t="s">
        <v>1334</v>
      </c>
      <c r="T2641" s="24" t="s">
        <v>1334</v>
      </c>
      <c r="U2641" s="55"/>
      <c r="V2641" s="25">
        <f>IFERROR(VLOOKUP(BCP_Soles[[#This Row],[destinatario]],CHOOSE({1,2},Clientes_Proveedores[Razon Social],Clientes_Proveedores[Ruc / Dni]),2,0),"")</f>
        <v>20558226979</v>
      </c>
      <c r="W2641" s="25"/>
      <c r="X2641" s="25"/>
      <c r="Y2641" s="25"/>
      <c r="Z2641" s="75"/>
      <c r="AA2641" s="3" t="str">
        <f>IF(BCP_Soles[[#This Row],[fecha]]&gt;0,TEXT(BCP_Soles[[#This Row],[fecha]],"mmmm"),0)</f>
        <v>Julio</v>
      </c>
    </row>
    <row r="2642" spans="1:27" x14ac:dyDescent="0.3">
      <c r="A2642" s="2">
        <f>IF(BCP_Soles[[#This Row],[tipo_registro]]="R",COUNTIFS($C$1:$C2641,"R")+1,A2641)</f>
        <v>1932</v>
      </c>
      <c r="B2642" s="19" t="str">
        <f t="shared" si="211"/>
        <v>B-BCP - Soles</v>
      </c>
      <c r="C2642" s="3" t="s">
        <v>1330</v>
      </c>
      <c r="D2642" s="14">
        <v>45849</v>
      </c>
      <c r="E2642" s="5" t="s">
        <v>1331</v>
      </c>
      <c r="F2642" s="5" t="s">
        <v>1336</v>
      </c>
      <c r="G2642" s="6" t="s">
        <v>696</v>
      </c>
      <c r="H2642" s="6"/>
      <c r="I2642" s="6"/>
      <c r="J2642" s="6"/>
      <c r="K2642" s="7" t="s">
        <v>3862</v>
      </c>
      <c r="L2642" s="8">
        <v>8597073</v>
      </c>
      <c r="M2642" s="8" t="str">
        <f t="shared" si="212"/>
        <v>PEN</v>
      </c>
      <c r="N2642" s="13"/>
      <c r="O2642" s="13">
        <v>3486.05</v>
      </c>
      <c r="P2642" s="3">
        <f t="shared" si="213"/>
        <v>0</v>
      </c>
      <c r="Q2642" s="3">
        <f t="shared" si="214"/>
        <v>3486.05</v>
      </c>
      <c r="R2642" s="3">
        <f t="shared" si="215"/>
        <v>45000.19000000001</v>
      </c>
      <c r="S2642" s="24" t="s">
        <v>1334</v>
      </c>
      <c r="T2642" s="24" t="s">
        <v>1334</v>
      </c>
      <c r="U2642" s="80" t="s">
        <v>3863</v>
      </c>
      <c r="V2642" s="25">
        <f>IFERROR(VLOOKUP(BCP_Soles[[#This Row],[destinatario]],CHOOSE({1,2},Clientes_Proveedores[Razon Social],Clientes_Proveedores[Ruc / Dni]),2,0),"")</f>
        <v>0</v>
      </c>
      <c r="W2642" s="25"/>
      <c r="X2642" s="25"/>
      <c r="Y2642" s="25"/>
      <c r="Z2642" s="75"/>
      <c r="AA2642" s="3" t="str">
        <f>IF(BCP_Soles[[#This Row],[fecha]]&gt;0,TEXT(BCP_Soles[[#This Row],[fecha]],"mmmm"),0)</f>
        <v>Julio</v>
      </c>
    </row>
    <row r="2643" spans="1:27" ht="24" x14ac:dyDescent="0.3">
      <c r="A2643" s="2">
        <f>IF(BCP_Soles[[#This Row],[tipo_registro]]="R",COUNTIFS($C$1:$C2642,"R")+1,A2642)</f>
        <v>1932</v>
      </c>
      <c r="B2643" s="19" t="str">
        <f t="shared" si="211"/>
        <v>B-BCP - Soles</v>
      </c>
      <c r="C2643" s="3" t="s">
        <v>1352</v>
      </c>
      <c r="D2643" s="14">
        <v>45849</v>
      </c>
      <c r="E2643" s="5" t="s">
        <v>1331</v>
      </c>
      <c r="F2643" s="5"/>
      <c r="G2643" s="6" t="s">
        <v>271</v>
      </c>
      <c r="H2643" s="6" t="s">
        <v>68</v>
      </c>
      <c r="I2643" s="6" t="s">
        <v>1375</v>
      </c>
      <c r="J2643" s="6">
        <v>6923</v>
      </c>
      <c r="K2643" s="7" t="s">
        <v>3862</v>
      </c>
      <c r="L2643" s="8">
        <v>8597073</v>
      </c>
      <c r="M2643" s="8" t="str">
        <f t="shared" si="212"/>
        <v>PEN</v>
      </c>
      <c r="N2643" s="13">
        <v>2897.05</v>
      </c>
      <c r="O2643" s="13"/>
      <c r="P2643" s="3">
        <f t="shared" si="213"/>
        <v>0</v>
      </c>
      <c r="Q2643" s="3">
        <f t="shared" si="214"/>
        <v>0</v>
      </c>
      <c r="R2643" s="3">
        <f t="shared" si="215"/>
        <v>45000.19000000001</v>
      </c>
      <c r="S2643" s="24" t="s">
        <v>1334</v>
      </c>
      <c r="T2643" s="24" t="s">
        <v>1334</v>
      </c>
      <c r="U2643" s="80" t="s">
        <v>3863</v>
      </c>
      <c r="V2643" s="25">
        <f>IFERROR(VLOOKUP(BCP_Soles[[#This Row],[destinatario]],CHOOSE({1,2},Clientes_Proveedores[Razon Social],Clientes_Proveedores[Ruc / Dni]),2,0),"")</f>
        <v>20419158462</v>
      </c>
      <c r="W2643" s="25"/>
      <c r="X2643" s="25"/>
      <c r="Y2643" s="25"/>
      <c r="Z2643" s="75"/>
      <c r="AA2643" s="3" t="str">
        <f>IF(BCP_Soles[[#This Row],[fecha]]&gt;0,TEXT(BCP_Soles[[#This Row],[fecha]],"mmmm"),0)</f>
        <v>Julio</v>
      </c>
    </row>
    <row r="2644" spans="1:27" ht="24" x14ac:dyDescent="0.3">
      <c r="A2644" s="2">
        <f>IF(BCP_Soles[[#This Row],[tipo_registro]]="R",COUNTIFS($C$1:$C2643,"R")+1,A2643)</f>
        <v>1932</v>
      </c>
      <c r="B2644" s="19" t="str">
        <f t="shared" si="211"/>
        <v>B-BCP - Soles</v>
      </c>
      <c r="C2644" s="3" t="s">
        <v>1352</v>
      </c>
      <c r="D2644" s="14">
        <v>45849</v>
      </c>
      <c r="E2644" s="5" t="s">
        <v>1331</v>
      </c>
      <c r="F2644" s="5"/>
      <c r="G2644" s="6" t="s">
        <v>271</v>
      </c>
      <c r="H2644" s="6" t="s">
        <v>68</v>
      </c>
      <c r="I2644" s="6" t="s">
        <v>1375</v>
      </c>
      <c r="J2644" s="6">
        <v>6922</v>
      </c>
      <c r="K2644" s="7" t="s">
        <v>3862</v>
      </c>
      <c r="L2644" s="8">
        <v>8597073</v>
      </c>
      <c r="M2644" s="8" t="str">
        <f t="shared" si="212"/>
        <v>PEN</v>
      </c>
      <c r="N2644" s="13">
        <v>589</v>
      </c>
      <c r="O2644" s="13"/>
      <c r="P2644" s="3">
        <f t="shared" si="213"/>
        <v>0</v>
      </c>
      <c r="Q2644" s="3">
        <f t="shared" si="214"/>
        <v>0</v>
      </c>
      <c r="R2644" s="3">
        <f t="shared" si="215"/>
        <v>45000.19000000001</v>
      </c>
      <c r="S2644" s="24" t="s">
        <v>1334</v>
      </c>
      <c r="T2644" s="24" t="s">
        <v>1334</v>
      </c>
      <c r="U2644" s="80" t="s">
        <v>3863</v>
      </c>
      <c r="V2644" s="25">
        <f>IFERROR(VLOOKUP(BCP_Soles[[#This Row],[destinatario]],CHOOSE({1,2},Clientes_Proveedores[Razon Social],Clientes_Proveedores[Ruc / Dni]),2,0),"")</f>
        <v>20419158462</v>
      </c>
      <c r="W2644" s="25"/>
      <c r="X2644" s="25"/>
      <c r="Y2644" s="25"/>
      <c r="Z2644" s="75"/>
      <c r="AA2644" s="3" t="str">
        <f>IF(BCP_Soles[[#This Row],[fecha]]&gt;0,TEXT(BCP_Soles[[#This Row],[fecha]],"mmmm"),0)</f>
        <v>Julio</v>
      </c>
    </row>
    <row r="2645" spans="1:27" ht="24" x14ac:dyDescent="0.3">
      <c r="A2645" s="2">
        <f>IF(BCP_Soles[[#This Row],[tipo_registro]]="R",COUNTIFS($C$1:$C2644,"R")+1,A2644)</f>
        <v>1933</v>
      </c>
      <c r="B2645" s="19" t="str">
        <f t="shared" si="211"/>
        <v>B-BCP - Soles</v>
      </c>
      <c r="C2645" s="3" t="s">
        <v>1330</v>
      </c>
      <c r="D2645" s="14">
        <v>45849</v>
      </c>
      <c r="E2645" s="5" t="s">
        <v>2269</v>
      </c>
      <c r="F2645" s="5" t="s">
        <v>1336</v>
      </c>
      <c r="G2645" s="6" t="s">
        <v>249</v>
      </c>
      <c r="H2645" s="6"/>
      <c r="I2645" s="6"/>
      <c r="J2645" s="6"/>
      <c r="K2645" s="7" t="s">
        <v>3864</v>
      </c>
      <c r="L2645" s="8">
        <v>1258434</v>
      </c>
      <c r="M2645" s="8" t="str">
        <f t="shared" si="212"/>
        <v>PEN</v>
      </c>
      <c r="N2645" s="13"/>
      <c r="O2645" s="13">
        <v>3000</v>
      </c>
      <c r="P2645" s="3">
        <f t="shared" si="213"/>
        <v>0</v>
      </c>
      <c r="Q2645" s="3">
        <f t="shared" si="214"/>
        <v>3000</v>
      </c>
      <c r="R2645" s="3">
        <f t="shared" si="215"/>
        <v>42000.19000000001</v>
      </c>
      <c r="S2645" s="24"/>
      <c r="T2645" s="24" t="s">
        <v>1334</v>
      </c>
      <c r="U2645" s="80" t="s">
        <v>3865</v>
      </c>
      <c r="V2645" s="25">
        <f>IFERROR(VLOOKUP(BCP_Soles[[#This Row],[destinatario]],CHOOSE({1,2},Clientes_Proveedores[Razon Social],Clientes_Proveedores[Ruc / Dni]),2,0),"")</f>
        <v>20302891452</v>
      </c>
      <c r="W2645" s="25"/>
      <c r="X2645" s="25"/>
      <c r="Y2645" s="25"/>
      <c r="Z2645" s="75"/>
      <c r="AA2645" s="3" t="str">
        <f>IF(BCP_Soles[[#This Row],[fecha]]&gt;0,TEXT(BCP_Soles[[#This Row],[fecha]],"mmmm"),0)</f>
        <v>Julio</v>
      </c>
    </row>
    <row r="2646" spans="1:27" ht="24" x14ac:dyDescent="0.3">
      <c r="A2646" s="2">
        <f>IF(BCP_Soles[[#This Row],[tipo_registro]]="R",COUNTIFS($C$1:$C2645,"R")+1,A2645)</f>
        <v>1934</v>
      </c>
      <c r="B2646" s="19" t="str">
        <f t="shared" si="211"/>
        <v>B-BCP - Soles</v>
      </c>
      <c r="C2646" s="3" t="s">
        <v>1330</v>
      </c>
      <c r="D2646" s="14">
        <v>45849</v>
      </c>
      <c r="E2646" s="5" t="s">
        <v>2269</v>
      </c>
      <c r="F2646" s="5" t="s">
        <v>1336</v>
      </c>
      <c r="G2646" s="6" t="s">
        <v>742</v>
      </c>
      <c r="H2646" s="6" t="s">
        <v>68</v>
      </c>
      <c r="I2646" s="6" t="s">
        <v>3515</v>
      </c>
      <c r="J2646" s="6">
        <v>378395</v>
      </c>
      <c r="K2646" s="7" t="s">
        <v>3866</v>
      </c>
      <c r="L2646" s="8">
        <v>1257946</v>
      </c>
      <c r="M2646" s="8" t="str">
        <f t="shared" si="212"/>
        <v>PEN</v>
      </c>
      <c r="N2646" s="13"/>
      <c r="O2646" s="13">
        <v>153</v>
      </c>
      <c r="P2646" s="3">
        <f t="shared" si="213"/>
        <v>0</v>
      </c>
      <c r="Q2646" s="3">
        <f t="shared" si="214"/>
        <v>153</v>
      </c>
      <c r="R2646" s="3">
        <f t="shared" si="215"/>
        <v>41847.19000000001</v>
      </c>
      <c r="S2646" s="24" t="s">
        <v>1334</v>
      </c>
      <c r="T2646" s="24" t="s">
        <v>1334</v>
      </c>
      <c r="U2646" s="80" t="s">
        <v>3867</v>
      </c>
      <c r="V2646" s="25">
        <f>IFERROR(VLOOKUP(BCP_Soles[[#This Row],[destinatario]],CHOOSE({1,2},Clientes_Proveedores[Razon Social],Clientes_Proveedores[Ruc / Dni]),2,0),"")</f>
        <v>20100210909</v>
      </c>
      <c r="W2646" s="25"/>
      <c r="X2646" s="25"/>
      <c r="Y2646" s="25"/>
      <c r="Z2646" s="75"/>
      <c r="AA2646" s="3" t="str">
        <f>IF(BCP_Soles[[#This Row],[fecha]]&gt;0,TEXT(BCP_Soles[[#This Row],[fecha]],"mmmm"),0)</f>
        <v>Julio</v>
      </c>
    </row>
    <row r="2647" spans="1:27" ht="24" x14ac:dyDescent="0.3">
      <c r="A2647" s="2">
        <f>IF(BCP_Soles[[#This Row],[tipo_registro]]="R",COUNTIFS($C$1:$C2646,"R")+1,A2646)</f>
        <v>1935</v>
      </c>
      <c r="B2647" s="19" t="str">
        <f t="shared" si="211"/>
        <v>B-BCP - Soles</v>
      </c>
      <c r="C2647" s="3" t="s">
        <v>1330</v>
      </c>
      <c r="D2647" s="14">
        <v>45849</v>
      </c>
      <c r="E2647" s="5" t="s">
        <v>2269</v>
      </c>
      <c r="F2647" s="5" t="s">
        <v>1336</v>
      </c>
      <c r="G2647" s="6" t="s">
        <v>482</v>
      </c>
      <c r="H2647" s="6" t="s">
        <v>68</v>
      </c>
      <c r="I2647" s="6" t="s">
        <v>1374</v>
      </c>
      <c r="J2647" s="6">
        <v>500</v>
      </c>
      <c r="K2647" s="7" t="s">
        <v>3868</v>
      </c>
      <c r="L2647" s="8">
        <v>1260350</v>
      </c>
      <c r="M2647" s="8" t="str">
        <f t="shared" si="212"/>
        <v>PEN</v>
      </c>
      <c r="N2647" s="13"/>
      <c r="O2647" s="13">
        <v>462</v>
      </c>
      <c r="P2647" s="3">
        <f t="shared" si="213"/>
        <v>0</v>
      </c>
      <c r="Q2647" s="3">
        <f t="shared" si="214"/>
        <v>462</v>
      </c>
      <c r="R2647" s="3">
        <f t="shared" si="215"/>
        <v>41385.19000000001</v>
      </c>
      <c r="S2647" s="24" t="s">
        <v>1334</v>
      </c>
      <c r="T2647" s="24" t="s">
        <v>1334</v>
      </c>
      <c r="U2647" s="80" t="s">
        <v>3869</v>
      </c>
      <c r="V2647" s="25">
        <f>IFERROR(VLOOKUP(BCP_Soles[[#This Row],[destinatario]],CHOOSE({1,2},Clientes_Proveedores[Razon Social],Clientes_Proveedores[Ruc / Dni]),2,0),"")</f>
        <v>20602441165</v>
      </c>
      <c r="W2647" s="25"/>
      <c r="X2647" s="25"/>
      <c r="Y2647" s="25"/>
      <c r="Z2647" s="75"/>
      <c r="AA2647" s="3" t="str">
        <f>IF(BCP_Soles[[#This Row],[fecha]]&gt;0,TEXT(BCP_Soles[[#This Row],[fecha]],"mmmm"),0)</f>
        <v>Julio</v>
      </c>
    </row>
    <row r="2648" spans="1:27" ht="24" x14ac:dyDescent="0.3">
      <c r="A2648" s="2">
        <f>IF(BCP_Soles[[#This Row],[tipo_registro]]="R",COUNTIFS($C$1:$C2647,"R")+1,A2647)</f>
        <v>1936</v>
      </c>
      <c r="B2648" s="19" t="str">
        <f t="shared" ref="B2648:B2711" si="216">"B-BCP - Soles"</f>
        <v>B-BCP - Soles</v>
      </c>
      <c r="C2648" s="3" t="s">
        <v>1330</v>
      </c>
      <c r="D2648" s="14">
        <v>45849</v>
      </c>
      <c r="E2648" s="5" t="s">
        <v>2269</v>
      </c>
      <c r="F2648" s="5" t="s">
        <v>1336</v>
      </c>
      <c r="G2648" s="6" t="s">
        <v>482</v>
      </c>
      <c r="H2648" s="6" t="s">
        <v>68</v>
      </c>
      <c r="I2648" s="6" t="s">
        <v>1374</v>
      </c>
      <c r="J2648" s="6">
        <v>499</v>
      </c>
      <c r="K2648" s="7" t="s">
        <v>3870</v>
      </c>
      <c r="L2648" s="8">
        <v>1257945</v>
      </c>
      <c r="M2648" s="8" t="str">
        <f t="shared" ref="M2648:M2711" si="217">"PEN"</f>
        <v>PEN</v>
      </c>
      <c r="N2648" s="13"/>
      <c r="O2648" s="13">
        <v>295</v>
      </c>
      <c r="P2648" s="3">
        <f t="shared" ref="P2648:P2711" si="218">+IF(OR($F2648="SALDO",$F2648="INGRESO"),$O2648,0)</f>
        <v>0</v>
      </c>
      <c r="Q2648" s="3">
        <f t="shared" ref="Q2648:Q2711" si="219">+IF($F2648="EGRESO",$O2648,0)</f>
        <v>295</v>
      </c>
      <c r="R2648" s="3">
        <f t="shared" si="215"/>
        <v>41090.19000000001</v>
      </c>
      <c r="S2648" s="24" t="s">
        <v>1334</v>
      </c>
      <c r="T2648" s="24" t="s">
        <v>1334</v>
      </c>
      <c r="U2648" s="80" t="s">
        <v>3871</v>
      </c>
      <c r="V2648" s="25">
        <f>IFERROR(VLOOKUP(BCP_Soles[[#This Row],[destinatario]],CHOOSE({1,2},Clientes_Proveedores[Razon Social],Clientes_Proveedores[Ruc / Dni]),2,0),"")</f>
        <v>20602441165</v>
      </c>
      <c r="W2648" s="25"/>
      <c r="X2648" s="25"/>
      <c r="Y2648" s="25"/>
      <c r="Z2648" s="75"/>
      <c r="AA2648" s="3" t="str">
        <f>IF(BCP_Soles[[#This Row],[fecha]]&gt;0,TEXT(BCP_Soles[[#This Row],[fecha]],"mmmm"),0)</f>
        <v>Julio</v>
      </c>
    </row>
    <row r="2649" spans="1:27" x14ac:dyDescent="0.3">
      <c r="A2649" s="2">
        <f>IF(BCP_Soles[[#This Row],[tipo_registro]]="R",COUNTIFS($C$1:$C2648,"R")+1,A2648)</f>
        <v>1937</v>
      </c>
      <c r="B2649" s="19" t="str">
        <f t="shared" si="216"/>
        <v>B-BCP - Soles</v>
      </c>
      <c r="C2649" s="3" t="s">
        <v>1330</v>
      </c>
      <c r="D2649" s="14">
        <v>45849</v>
      </c>
      <c r="E2649" s="5" t="s">
        <v>1331</v>
      </c>
      <c r="F2649" s="5" t="s">
        <v>1336</v>
      </c>
      <c r="G2649" s="6" t="s">
        <v>196</v>
      </c>
      <c r="H2649" s="6" t="s">
        <v>68</v>
      </c>
      <c r="I2649" s="6" t="s">
        <v>2226</v>
      </c>
      <c r="J2649" s="6">
        <v>6615</v>
      </c>
      <c r="K2649" s="7" t="s">
        <v>2227</v>
      </c>
      <c r="L2649" s="8">
        <v>260829</v>
      </c>
      <c r="M2649" s="8" t="str">
        <f t="shared" si="217"/>
        <v>PEN</v>
      </c>
      <c r="N2649" s="13"/>
      <c r="O2649" s="13">
        <v>573.96</v>
      </c>
      <c r="P2649" s="3">
        <f t="shared" si="218"/>
        <v>0</v>
      </c>
      <c r="Q2649" s="3">
        <f t="shared" si="219"/>
        <v>573.96</v>
      </c>
      <c r="R2649" s="3">
        <f t="shared" si="215"/>
        <v>40516.23000000001</v>
      </c>
      <c r="S2649" s="24" t="s">
        <v>1334</v>
      </c>
      <c r="T2649" s="24" t="s">
        <v>1334</v>
      </c>
      <c r="U2649" s="80" t="s">
        <v>3872</v>
      </c>
      <c r="V2649" s="25">
        <f>IFERROR(VLOOKUP(BCP_Soles[[#This Row],[destinatario]],CHOOSE({1,2},Clientes_Proveedores[Razon Social],Clientes_Proveedores[Ruc / Dni]),2,0),"")</f>
        <v>20100055237</v>
      </c>
      <c r="W2649" s="25"/>
      <c r="X2649" s="25"/>
      <c r="Y2649" s="25"/>
      <c r="Z2649" s="75"/>
      <c r="AA2649" s="3" t="str">
        <f>IF(BCP_Soles[[#This Row],[fecha]]&gt;0,TEXT(BCP_Soles[[#This Row],[fecha]],"mmmm"),0)</f>
        <v>Julio</v>
      </c>
    </row>
    <row r="2650" spans="1:27" x14ac:dyDescent="0.3">
      <c r="A2650" s="2">
        <f>IF(BCP_Soles[[#This Row],[tipo_registro]]="R",COUNTIFS($C$1:$C2649,"R")+1,A2649)</f>
        <v>1938</v>
      </c>
      <c r="B2650" s="19" t="str">
        <f t="shared" si="216"/>
        <v>B-BCP - Soles</v>
      </c>
      <c r="C2650" s="3" t="s">
        <v>1330</v>
      </c>
      <c r="D2650" s="14">
        <v>45849</v>
      </c>
      <c r="E2650" s="5" t="s">
        <v>1331</v>
      </c>
      <c r="F2650" s="5" t="s">
        <v>1336</v>
      </c>
      <c r="G2650" s="6" t="s">
        <v>196</v>
      </c>
      <c r="H2650" s="6" t="s">
        <v>68</v>
      </c>
      <c r="I2650" s="6" t="s">
        <v>2226</v>
      </c>
      <c r="J2650" s="6">
        <v>6616</v>
      </c>
      <c r="K2650" s="7" t="s">
        <v>2227</v>
      </c>
      <c r="L2650" s="8">
        <v>259904</v>
      </c>
      <c r="M2650" s="8" t="str">
        <f t="shared" si="217"/>
        <v>PEN</v>
      </c>
      <c r="N2650" s="13"/>
      <c r="O2650" s="13">
        <v>167.53</v>
      </c>
      <c r="P2650" s="3">
        <f t="shared" si="218"/>
        <v>0</v>
      </c>
      <c r="Q2650" s="3">
        <f t="shared" si="219"/>
        <v>167.53</v>
      </c>
      <c r="R2650" s="3">
        <f t="shared" si="215"/>
        <v>40348.700000000012</v>
      </c>
      <c r="S2650" s="24" t="s">
        <v>1334</v>
      </c>
      <c r="T2650" s="24" t="s">
        <v>1334</v>
      </c>
      <c r="U2650" s="80" t="s">
        <v>3873</v>
      </c>
      <c r="V2650" s="25">
        <f>IFERROR(VLOOKUP(BCP_Soles[[#This Row],[destinatario]],CHOOSE({1,2},Clientes_Proveedores[Razon Social],Clientes_Proveedores[Ruc / Dni]),2,0),"")</f>
        <v>20100055237</v>
      </c>
      <c r="W2650" s="25"/>
      <c r="X2650" s="25"/>
      <c r="Y2650" s="25"/>
      <c r="Z2650" s="75"/>
      <c r="AA2650" s="3" t="str">
        <f>IF(BCP_Soles[[#This Row],[fecha]]&gt;0,TEXT(BCP_Soles[[#This Row],[fecha]],"mmmm"),0)</f>
        <v>Julio</v>
      </c>
    </row>
    <row r="2651" spans="1:27" x14ac:dyDescent="0.3">
      <c r="A2651" s="2">
        <f>IF(BCP_Soles[[#This Row],[tipo_registro]]="R",COUNTIFS($C$1:$C2650,"R")+1,A2650)</f>
        <v>1939</v>
      </c>
      <c r="B2651" s="19" t="str">
        <f t="shared" si="216"/>
        <v>B-BCP - Soles</v>
      </c>
      <c r="C2651" s="3" t="s">
        <v>1330</v>
      </c>
      <c r="D2651" s="14">
        <v>45849</v>
      </c>
      <c r="E2651" s="5" t="s">
        <v>1331</v>
      </c>
      <c r="F2651" s="5" t="s">
        <v>1336</v>
      </c>
      <c r="G2651" s="6" t="s">
        <v>196</v>
      </c>
      <c r="H2651" s="6" t="s">
        <v>68</v>
      </c>
      <c r="I2651" s="6" t="s">
        <v>2226</v>
      </c>
      <c r="J2651" s="6">
        <v>6617</v>
      </c>
      <c r="K2651" s="7" t="s">
        <v>2227</v>
      </c>
      <c r="L2651" s="8">
        <v>259410</v>
      </c>
      <c r="M2651" s="8" t="str">
        <f t="shared" si="217"/>
        <v>PEN</v>
      </c>
      <c r="N2651" s="13"/>
      <c r="O2651" s="13">
        <v>333.94</v>
      </c>
      <c r="P2651" s="3">
        <f t="shared" si="218"/>
        <v>0</v>
      </c>
      <c r="Q2651" s="3">
        <f t="shared" si="219"/>
        <v>333.94</v>
      </c>
      <c r="R2651" s="3">
        <f t="shared" si="215"/>
        <v>40014.760000000009</v>
      </c>
      <c r="S2651" s="24" t="s">
        <v>1334</v>
      </c>
      <c r="T2651" s="24" t="s">
        <v>1334</v>
      </c>
      <c r="U2651" s="80" t="s">
        <v>3874</v>
      </c>
      <c r="V2651" s="25">
        <f>IFERROR(VLOOKUP(BCP_Soles[[#This Row],[destinatario]],CHOOSE({1,2},Clientes_Proveedores[Razon Social],Clientes_Proveedores[Ruc / Dni]),2,0),"")</f>
        <v>20100055237</v>
      </c>
      <c r="W2651" s="25"/>
      <c r="X2651" s="25"/>
      <c r="Y2651" s="25"/>
      <c r="Z2651" s="75"/>
      <c r="AA2651" s="3" t="str">
        <f>IF(BCP_Soles[[#This Row],[fecha]]&gt;0,TEXT(BCP_Soles[[#This Row],[fecha]],"mmmm"),0)</f>
        <v>Julio</v>
      </c>
    </row>
    <row r="2652" spans="1:27" x14ac:dyDescent="0.3">
      <c r="A2652" s="2">
        <f>IF(BCP_Soles[[#This Row],[tipo_registro]]="R",COUNTIFS($C$1:$C2651,"R")+1,A2651)</f>
        <v>1940</v>
      </c>
      <c r="B2652" s="19" t="str">
        <f t="shared" si="216"/>
        <v>B-BCP - Soles</v>
      </c>
      <c r="C2652" s="3" t="s">
        <v>1330</v>
      </c>
      <c r="D2652" s="14">
        <v>45849</v>
      </c>
      <c r="E2652" s="5" t="s">
        <v>1331</v>
      </c>
      <c r="F2652" s="5" t="s">
        <v>1336</v>
      </c>
      <c r="G2652" s="6" t="s">
        <v>196</v>
      </c>
      <c r="H2652" s="6" t="s">
        <v>68</v>
      </c>
      <c r="I2652" s="6" t="s">
        <v>2226</v>
      </c>
      <c r="J2652" s="6">
        <v>6619</v>
      </c>
      <c r="K2652" s="7" t="s">
        <v>2227</v>
      </c>
      <c r="L2652" s="8">
        <v>260830</v>
      </c>
      <c r="M2652" s="8" t="str">
        <f t="shared" si="217"/>
        <v>PEN</v>
      </c>
      <c r="N2652" s="13"/>
      <c r="O2652" s="13">
        <v>9.33</v>
      </c>
      <c r="P2652" s="3">
        <f t="shared" si="218"/>
        <v>0</v>
      </c>
      <c r="Q2652" s="3">
        <f t="shared" si="219"/>
        <v>9.33</v>
      </c>
      <c r="R2652" s="3">
        <f t="shared" si="215"/>
        <v>40005.430000000008</v>
      </c>
      <c r="S2652" s="24" t="s">
        <v>1334</v>
      </c>
      <c r="T2652" s="24" t="s">
        <v>1334</v>
      </c>
      <c r="U2652" s="80" t="s">
        <v>3875</v>
      </c>
      <c r="V2652" s="25">
        <f>IFERROR(VLOOKUP(BCP_Soles[[#This Row],[destinatario]],CHOOSE({1,2},Clientes_Proveedores[Razon Social],Clientes_Proveedores[Ruc / Dni]),2,0),"")</f>
        <v>20100055237</v>
      </c>
      <c r="W2652" s="25"/>
      <c r="X2652" s="25"/>
      <c r="Y2652" s="25"/>
      <c r="Z2652" s="75"/>
      <c r="AA2652" s="3" t="str">
        <f>IF(BCP_Soles[[#This Row],[fecha]]&gt;0,TEXT(BCP_Soles[[#This Row],[fecha]],"mmmm"),0)</f>
        <v>Julio</v>
      </c>
    </row>
    <row r="2653" spans="1:27" x14ac:dyDescent="0.3">
      <c r="A2653" s="2">
        <f>IF(BCP_Soles[[#This Row],[tipo_registro]]="R",COUNTIFS($C$1:$C2652,"R")+1,A2652)</f>
        <v>1941</v>
      </c>
      <c r="B2653" s="19" t="str">
        <f t="shared" si="216"/>
        <v>B-BCP - Soles</v>
      </c>
      <c r="C2653" s="3" t="s">
        <v>1330</v>
      </c>
      <c r="D2653" s="14">
        <v>45849</v>
      </c>
      <c r="E2653" s="5" t="s">
        <v>1331</v>
      </c>
      <c r="F2653" s="5" t="s">
        <v>1336</v>
      </c>
      <c r="G2653" s="6" t="s">
        <v>196</v>
      </c>
      <c r="H2653" s="6" t="s">
        <v>68</v>
      </c>
      <c r="I2653" s="6" t="s">
        <v>2226</v>
      </c>
      <c r="J2653" s="6">
        <v>6620</v>
      </c>
      <c r="K2653" s="7" t="s">
        <v>2227</v>
      </c>
      <c r="L2653" s="8">
        <v>260351</v>
      </c>
      <c r="M2653" s="8" t="str">
        <f t="shared" si="217"/>
        <v>PEN</v>
      </c>
      <c r="N2653" s="13"/>
      <c r="O2653" s="13">
        <v>431.4</v>
      </c>
      <c r="P2653" s="3">
        <f t="shared" si="218"/>
        <v>0</v>
      </c>
      <c r="Q2653" s="3">
        <f t="shared" si="219"/>
        <v>431.4</v>
      </c>
      <c r="R2653" s="3">
        <f t="shared" si="215"/>
        <v>39574.030000000006</v>
      </c>
      <c r="S2653" s="24" t="s">
        <v>1334</v>
      </c>
      <c r="T2653" s="24" t="s">
        <v>1334</v>
      </c>
      <c r="U2653" s="80" t="s">
        <v>3876</v>
      </c>
      <c r="V2653" s="25">
        <f>IFERROR(VLOOKUP(BCP_Soles[[#This Row],[destinatario]],CHOOSE({1,2},Clientes_Proveedores[Razon Social],Clientes_Proveedores[Ruc / Dni]),2,0),"")</f>
        <v>20100055237</v>
      </c>
      <c r="W2653" s="25"/>
      <c r="X2653" s="25"/>
      <c r="Y2653" s="25"/>
      <c r="Z2653" s="75"/>
      <c r="AA2653" s="3" t="str">
        <f>IF(BCP_Soles[[#This Row],[fecha]]&gt;0,TEXT(BCP_Soles[[#This Row],[fecha]],"mmmm"),0)</f>
        <v>Julio</v>
      </c>
    </row>
    <row r="2654" spans="1:27" x14ac:dyDescent="0.3">
      <c r="A2654" s="2">
        <f>IF(BCP_Soles[[#This Row],[tipo_registro]]="R",COUNTIFS($C$1:$C2653,"R")+1,A2653)</f>
        <v>1942</v>
      </c>
      <c r="B2654" s="19" t="str">
        <f t="shared" si="216"/>
        <v>B-BCP - Soles</v>
      </c>
      <c r="C2654" s="3" t="s">
        <v>1330</v>
      </c>
      <c r="D2654" s="14">
        <v>45849</v>
      </c>
      <c r="E2654" s="5" t="s">
        <v>1331</v>
      </c>
      <c r="F2654" s="5" t="s">
        <v>1336</v>
      </c>
      <c r="G2654" s="6" t="s">
        <v>196</v>
      </c>
      <c r="H2654" s="6" t="s">
        <v>68</v>
      </c>
      <c r="I2654" s="6" t="s">
        <v>2226</v>
      </c>
      <c r="J2654" s="6">
        <v>6621</v>
      </c>
      <c r="K2654" s="7" t="s">
        <v>2227</v>
      </c>
      <c r="L2654" s="8">
        <v>258433</v>
      </c>
      <c r="M2654" s="8" t="str">
        <f t="shared" si="217"/>
        <v>PEN</v>
      </c>
      <c r="N2654" s="13"/>
      <c r="O2654" s="13">
        <v>31.17</v>
      </c>
      <c r="P2654" s="3">
        <f t="shared" si="218"/>
        <v>0</v>
      </c>
      <c r="Q2654" s="3">
        <f t="shared" si="219"/>
        <v>31.17</v>
      </c>
      <c r="R2654" s="3">
        <f t="shared" si="215"/>
        <v>39542.860000000008</v>
      </c>
      <c r="S2654" s="24" t="s">
        <v>1334</v>
      </c>
      <c r="T2654" s="24" t="s">
        <v>1334</v>
      </c>
      <c r="U2654" s="80" t="s">
        <v>3877</v>
      </c>
      <c r="V2654" s="25">
        <f>IFERROR(VLOOKUP(BCP_Soles[[#This Row],[destinatario]],CHOOSE({1,2},Clientes_Proveedores[Razon Social],Clientes_Proveedores[Ruc / Dni]),2,0),"")</f>
        <v>20100055237</v>
      </c>
      <c r="W2654" s="25"/>
      <c r="X2654" s="25"/>
      <c r="Y2654" s="25"/>
      <c r="Z2654" s="75"/>
      <c r="AA2654" s="3" t="str">
        <f>IF(BCP_Soles[[#This Row],[fecha]]&gt;0,TEXT(BCP_Soles[[#This Row],[fecha]],"mmmm"),0)</f>
        <v>Julio</v>
      </c>
    </row>
    <row r="2655" spans="1:27" x14ac:dyDescent="0.3">
      <c r="A2655" s="2">
        <f>IF(BCP_Soles[[#This Row],[tipo_registro]]="R",COUNTIFS($C$1:$C2654,"R")+1,A2654)</f>
        <v>1943</v>
      </c>
      <c r="B2655" s="19" t="str">
        <f t="shared" si="216"/>
        <v>B-BCP - Soles</v>
      </c>
      <c r="C2655" s="3" t="s">
        <v>1330</v>
      </c>
      <c r="D2655" s="14">
        <v>45849</v>
      </c>
      <c r="E2655" s="5" t="s">
        <v>1331</v>
      </c>
      <c r="F2655" s="5" t="s">
        <v>1336</v>
      </c>
      <c r="G2655" s="6" t="s">
        <v>196</v>
      </c>
      <c r="H2655" s="6" t="s">
        <v>68</v>
      </c>
      <c r="I2655" s="6" t="s">
        <v>2226</v>
      </c>
      <c r="J2655" s="6">
        <v>6618</v>
      </c>
      <c r="K2655" s="7" t="s">
        <v>2227</v>
      </c>
      <c r="L2655" s="8">
        <v>259411</v>
      </c>
      <c r="M2655" s="8" t="str">
        <f t="shared" si="217"/>
        <v>PEN</v>
      </c>
      <c r="N2655" s="13"/>
      <c r="O2655" s="13">
        <v>64.7</v>
      </c>
      <c r="P2655" s="3">
        <f t="shared" si="218"/>
        <v>0</v>
      </c>
      <c r="Q2655" s="3">
        <f t="shared" si="219"/>
        <v>64.7</v>
      </c>
      <c r="R2655" s="3">
        <f t="shared" si="215"/>
        <v>39478.160000000011</v>
      </c>
      <c r="S2655" s="24" t="s">
        <v>1334</v>
      </c>
      <c r="T2655" s="24" t="s">
        <v>1334</v>
      </c>
      <c r="U2655" s="80" t="s">
        <v>3878</v>
      </c>
      <c r="V2655" s="25">
        <f>IFERROR(VLOOKUP(BCP_Soles[[#This Row],[destinatario]],CHOOSE({1,2},Clientes_Proveedores[Razon Social],Clientes_Proveedores[Ruc / Dni]),2,0),"")</f>
        <v>20100055237</v>
      </c>
      <c r="W2655" s="25"/>
      <c r="X2655" s="25"/>
      <c r="Y2655" s="25"/>
      <c r="Z2655" s="75"/>
      <c r="AA2655" s="3" t="str">
        <f>IF(BCP_Soles[[#This Row],[fecha]]&gt;0,TEXT(BCP_Soles[[#This Row],[fecha]],"mmmm"),0)</f>
        <v>Julio</v>
      </c>
    </row>
    <row r="2656" spans="1:27" x14ac:dyDescent="0.3">
      <c r="A2656" s="2">
        <f>IF(BCP_Soles[[#This Row],[tipo_registro]]="R",COUNTIFS($C$1:$C2655,"R")+1,A2655)</f>
        <v>1944</v>
      </c>
      <c r="B2656" s="19" t="str">
        <f t="shared" si="216"/>
        <v>B-BCP - Soles</v>
      </c>
      <c r="C2656" s="3" t="s">
        <v>1330</v>
      </c>
      <c r="D2656" s="14">
        <v>45849</v>
      </c>
      <c r="E2656" s="5" t="s">
        <v>1331</v>
      </c>
      <c r="F2656" s="5" t="s">
        <v>1336</v>
      </c>
      <c r="G2656" s="6" t="s">
        <v>696</v>
      </c>
      <c r="H2656" s="6"/>
      <c r="I2656" s="6"/>
      <c r="J2656" s="6"/>
      <c r="K2656" s="7" t="s">
        <v>3879</v>
      </c>
      <c r="L2656" s="8">
        <v>8597122</v>
      </c>
      <c r="M2656" s="8" t="str">
        <f t="shared" si="217"/>
        <v>PEN</v>
      </c>
      <c r="N2656" s="13"/>
      <c r="O2656" s="13">
        <v>1996.57</v>
      </c>
      <c r="P2656" s="3">
        <f t="shared" si="218"/>
        <v>0</v>
      </c>
      <c r="Q2656" s="3">
        <f t="shared" si="219"/>
        <v>1996.57</v>
      </c>
      <c r="R2656" s="3">
        <f t="shared" si="215"/>
        <v>37481.590000000011</v>
      </c>
      <c r="S2656" s="24" t="s">
        <v>1334</v>
      </c>
      <c r="T2656" s="24" t="s">
        <v>1334</v>
      </c>
      <c r="U2656" s="80" t="s">
        <v>3880</v>
      </c>
      <c r="V2656" s="25">
        <f>IFERROR(VLOOKUP(BCP_Soles[[#This Row],[destinatario]],CHOOSE({1,2},Clientes_Proveedores[Razon Social],Clientes_Proveedores[Ruc / Dni]),2,0),"")</f>
        <v>0</v>
      </c>
      <c r="W2656" s="25"/>
      <c r="X2656" s="25"/>
      <c r="Y2656" s="25"/>
      <c r="Z2656" s="75"/>
      <c r="AA2656" s="3" t="str">
        <f>IF(BCP_Soles[[#This Row],[fecha]]&gt;0,TEXT(BCP_Soles[[#This Row],[fecha]],"mmmm"),0)</f>
        <v>Julio</v>
      </c>
    </row>
    <row r="2657" spans="1:27" ht="24" x14ac:dyDescent="0.3">
      <c r="A2657" s="2">
        <f>IF(BCP_Soles[[#This Row],[tipo_registro]]="R",COUNTIFS($C$1:$C2656,"R")+1,A2656)</f>
        <v>1944</v>
      </c>
      <c r="B2657" s="19" t="str">
        <f t="shared" si="216"/>
        <v>B-BCP - Soles</v>
      </c>
      <c r="C2657" s="3" t="s">
        <v>1352</v>
      </c>
      <c r="D2657" s="14">
        <v>45849</v>
      </c>
      <c r="E2657" s="5" t="s">
        <v>1331</v>
      </c>
      <c r="F2657" s="5"/>
      <c r="G2657" s="6" t="s">
        <v>271</v>
      </c>
      <c r="H2657" s="6" t="s">
        <v>68</v>
      </c>
      <c r="I2657" s="6" t="s">
        <v>1375</v>
      </c>
      <c r="J2657" s="6">
        <v>6940</v>
      </c>
      <c r="K2657" s="7" t="s">
        <v>3879</v>
      </c>
      <c r="L2657" s="8">
        <v>8597122</v>
      </c>
      <c r="M2657" s="8" t="str">
        <f t="shared" si="217"/>
        <v>PEN</v>
      </c>
      <c r="N2657" s="13">
        <v>426</v>
      </c>
      <c r="O2657" s="13"/>
      <c r="P2657" s="3">
        <f t="shared" si="218"/>
        <v>0</v>
      </c>
      <c r="Q2657" s="3">
        <f t="shared" si="219"/>
        <v>0</v>
      </c>
      <c r="R2657" s="3">
        <f t="shared" si="215"/>
        <v>37481.590000000011</v>
      </c>
      <c r="S2657" s="24" t="s">
        <v>1334</v>
      </c>
      <c r="T2657" s="24" t="s">
        <v>1334</v>
      </c>
      <c r="U2657" s="80" t="s">
        <v>3880</v>
      </c>
      <c r="V2657" s="25">
        <f>IFERROR(VLOOKUP(BCP_Soles[[#This Row],[destinatario]],CHOOSE({1,2},Clientes_Proveedores[Razon Social],Clientes_Proveedores[Ruc / Dni]),2,0),"")</f>
        <v>20419158462</v>
      </c>
      <c r="W2657" s="25"/>
      <c r="X2657" s="25"/>
      <c r="Y2657" s="25"/>
      <c r="Z2657" s="75"/>
      <c r="AA2657" s="3" t="str">
        <f>IF(BCP_Soles[[#This Row],[fecha]]&gt;0,TEXT(BCP_Soles[[#This Row],[fecha]],"mmmm"),0)</f>
        <v>Julio</v>
      </c>
    </row>
    <row r="2658" spans="1:27" ht="24" x14ac:dyDescent="0.3">
      <c r="A2658" s="2">
        <f>IF(BCP_Soles[[#This Row],[tipo_registro]]="R",COUNTIFS($C$1:$C2657,"R")+1,A2657)</f>
        <v>1944</v>
      </c>
      <c r="B2658" s="19" t="str">
        <f t="shared" si="216"/>
        <v>B-BCP - Soles</v>
      </c>
      <c r="C2658" s="3" t="s">
        <v>1352</v>
      </c>
      <c r="D2658" s="14">
        <v>45849</v>
      </c>
      <c r="E2658" s="5" t="s">
        <v>1331</v>
      </c>
      <c r="F2658" s="5"/>
      <c r="G2658" s="6" t="s">
        <v>271</v>
      </c>
      <c r="H2658" s="6" t="s">
        <v>68</v>
      </c>
      <c r="I2658" s="6" t="s">
        <v>1375</v>
      </c>
      <c r="J2658" s="6">
        <v>6945</v>
      </c>
      <c r="K2658" s="7" t="s">
        <v>3879</v>
      </c>
      <c r="L2658" s="8">
        <v>8597122</v>
      </c>
      <c r="M2658" s="8" t="str">
        <f t="shared" si="217"/>
        <v>PEN</v>
      </c>
      <c r="N2658" s="13">
        <v>388.45</v>
      </c>
      <c r="O2658" s="13"/>
      <c r="P2658" s="3">
        <f t="shared" si="218"/>
        <v>0</v>
      </c>
      <c r="Q2658" s="3">
        <f t="shared" si="219"/>
        <v>0</v>
      </c>
      <c r="R2658" s="3">
        <f t="shared" si="215"/>
        <v>37481.590000000011</v>
      </c>
      <c r="S2658" s="24" t="s">
        <v>1334</v>
      </c>
      <c r="T2658" s="24" t="s">
        <v>1334</v>
      </c>
      <c r="U2658" s="80" t="s">
        <v>3880</v>
      </c>
      <c r="V2658" s="25">
        <f>IFERROR(VLOOKUP(BCP_Soles[[#This Row],[destinatario]],CHOOSE({1,2},Clientes_Proveedores[Razon Social],Clientes_Proveedores[Ruc / Dni]),2,0),"")</f>
        <v>20419158462</v>
      </c>
      <c r="W2658" s="25"/>
      <c r="X2658" s="25"/>
      <c r="Y2658" s="25"/>
      <c r="Z2658" s="75"/>
      <c r="AA2658" s="3" t="str">
        <f>IF(BCP_Soles[[#This Row],[fecha]]&gt;0,TEXT(BCP_Soles[[#This Row],[fecha]],"mmmm"),0)</f>
        <v>Julio</v>
      </c>
    </row>
    <row r="2659" spans="1:27" ht="24" x14ac:dyDescent="0.3">
      <c r="A2659" s="2">
        <f>IF(BCP_Soles[[#This Row],[tipo_registro]]="R",COUNTIFS($C$1:$C2658,"R")+1,A2658)</f>
        <v>1944</v>
      </c>
      <c r="B2659" s="19" t="str">
        <f t="shared" si="216"/>
        <v>B-BCP - Soles</v>
      </c>
      <c r="C2659" s="3" t="s">
        <v>1352</v>
      </c>
      <c r="D2659" s="14">
        <v>45849</v>
      </c>
      <c r="E2659" s="5" t="s">
        <v>1331</v>
      </c>
      <c r="F2659" s="5"/>
      <c r="G2659" s="6" t="s">
        <v>271</v>
      </c>
      <c r="H2659" s="6" t="s">
        <v>68</v>
      </c>
      <c r="I2659" s="6" t="s">
        <v>1375</v>
      </c>
      <c r="J2659" s="6">
        <v>6944</v>
      </c>
      <c r="K2659" s="7" t="s">
        <v>3879</v>
      </c>
      <c r="L2659" s="8">
        <v>8597122</v>
      </c>
      <c r="M2659" s="8" t="str">
        <f t="shared" si="217"/>
        <v>PEN</v>
      </c>
      <c r="N2659" s="13">
        <v>295.85000000000002</v>
      </c>
      <c r="O2659" s="13"/>
      <c r="P2659" s="3">
        <f t="shared" si="218"/>
        <v>0</v>
      </c>
      <c r="Q2659" s="3">
        <f t="shared" si="219"/>
        <v>0</v>
      </c>
      <c r="R2659" s="3">
        <f t="shared" si="215"/>
        <v>37481.590000000011</v>
      </c>
      <c r="S2659" s="24" t="s">
        <v>1334</v>
      </c>
      <c r="T2659" s="24" t="s">
        <v>1334</v>
      </c>
      <c r="U2659" s="80" t="s">
        <v>3880</v>
      </c>
      <c r="V2659" s="25">
        <f>IFERROR(VLOOKUP(BCP_Soles[[#This Row],[destinatario]],CHOOSE({1,2},Clientes_Proveedores[Razon Social],Clientes_Proveedores[Ruc / Dni]),2,0),"")</f>
        <v>20419158462</v>
      </c>
      <c r="W2659" s="25"/>
      <c r="X2659" s="25"/>
      <c r="Y2659" s="25"/>
      <c r="Z2659" s="75"/>
      <c r="AA2659" s="3" t="str">
        <f>IF(BCP_Soles[[#This Row],[fecha]]&gt;0,TEXT(BCP_Soles[[#This Row],[fecha]],"mmmm"),0)</f>
        <v>Julio</v>
      </c>
    </row>
    <row r="2660" spans="1:27" ht="24" x14ac:dyDescent="0.3">
      <c r="A2660" s="2">
        <f>IF(BCP_Soles[[#This Row],[tipo_registro]]="R",COUNTIFS($C$1:$C2659,"R")+1,A2659)</f>
        <v>1944</v>
      </c>
      <c r="B2660" s="19" t="str">
        <f t="shared" si="216"/>
        <v>B-BCP - Soles</v>
      </c>
      <c r="C2660" s="3" t="s">
        <v>1352</v>
      </c>
      <c r="D2660" s="14">
        <v>45849</v>
      </c>
      <c r="E2660" s="5" t="s">
        <v>1331</v>
      </c>
      <c r="F2660" s="5"/>
      <c r="G2660" s="6" t="s">
        <v>271</v>
      </c>
      <c r="H2660" s="6" t="s">
        <v>68</v>
      </c>
      <c r="I2660" s="6" t="s">
        <v>1375</v>
      </c>
      <c r="J2660" s="6">
        <v>6943</v>
      </c>
      <c r="K2660" s="7" t="s">
        <v>3879</v>
      </c>
      <c r="L2660" s="8">
        <v>8597122</v>
      </c>
      <c r="M2660" s="8" t="str">
        <f t="shared" si="217"/>
        <v>PEN</v>
      </c>
      <c r="N2660" s="13">
        <v>248.81</v>
      </c>
      <c r="O2660" s="13"/>
      <c r="P2660" s="3">
        <f t="shared" si="218"/>
        <v>0</v>
      </c>
      <c r="Q2660" s="3">
        <f t="shared" si="219"/>
        <v>0</v>
      </c>
      <c r="R2660" s="3">
        <f t="shared" si="215"/>
        <v>37481.590000000011</v>
      </c>
      <c r="S2660" s="24" t="s">
        <v>1334</v>
      </c>
      <c r="T2660" s="24" t="s">
        <v>1334</v>
      </c>
      <c r="U2660" s="80" t="s">
        <v>3880</v>
      </c>
      <c r="V2660" s="25">
        <f>IFERROR(VLOOKUP(BCP_Soles[[#This Row],[destinatario]],CHOOSE({1,2},Clientes_Proveedores[Razon Social],Clientes_Proveedores[Ruc / Dni]),2,0),"")</f>
        <v>20419158462</v>
      </c>
      <c r="W2660" s="25"/>
      <c r="X2660" s="25"/>
      <c r="Y2660" s="25"/>
      <c r="Z2660" s="75"/>
      <c r="AA2660" s="3" t="str">
        <f>IF(BCP_Soles[[#This Row],[fecha]]&gt;0,TEXT(BCP_Soles[[#This Row],[fecha]],"mmmm"),0)</f>
        <v>Julio</v>
      </c>
    </row>
    <row r="2661" spans="1:27" ht="24" x14ac:dyDescent="0.3">
      <c r="A2661" s="2">
        <f>IF(BCP_Soles[[#This Row],[tipo_registro]]="R",COUNTIFS($C$1:$C2660,"R")+1,A2660)</f>
        <v>1944</v>
      </c>
      <c r="B2661" s="19" t="str">
        <f t="shared" si="216"/>
        <v>B-BCP - Soles</v>
      </c>
      <c r="C2661" s="3" t="s">
        <v>1352</v>
      </c>
      <c r="D2661" s="14">
        <v>45849</v>
      </c>
      <c r="E2661" s="5" t="s">
        <v>1331</v>
      </c>
      <c r="F2661" s="5"/>
      <c r="G2661" s="6" t="s">
        <v>271</v>
      </c>
      <c r="H2661" s="6" t="s">
        <v>68</v>
      </c>
      <c r="I2661" s="6" t="s">
        <v>1375</v>
      </c>
      <c r="J2661" s="6">
        <v>6946</v>
      </c>
      <c r="K2661" s="7" t="s">
        <v>3879</v>
      </c>
      <c r="L2661" s="8">
        <v>8597122</v>
      </c>
      <c r="M2661" s="8" t="str">
        <f t="shared" si="217"/>
        <v>PEN</v>
      </c>
      <c r="N2661" s="13">
        <v>595.45000000000005</v>
      </c>
      <c r="O2661" s="13"/>
      <c r="P2661" s="3">
        <f t="shared" si="218"/>
        <v>0</v>
      </c>
      <c r="Q2661" s="3">
        <f t="shared" si="219"/>
        <v>0</v>
      </c>
      <c r="R2661" s="3">
        <f t="shared" si="215"/>
        <v>37481.590000000011</v>
      </c>
      <c r="S2661" s="24" t="s">
        <v>1334</v>
      </c>
      <c r="T2661" s="24" t="s">
        <v>1334</v>
      </c>
      <c r="U2661" s="80" t="s">
        <v>3880</v>
      </c>
      <c r="V2661" s="25">
        <f>IFERROR(VLOOKUP(BCP_Soles[[#This Row],[destinatario]],CHOOSE({1,2},Clientes_Proveedores[Razon Social],Clientes_Proveedores[Ruc / Dni]),2,0),"")</f>
        <v>20419158462</v>
      </c>
      <c r="W2661" s="25"/>
      <c r="X2661" s="25"/>
      <c r="Y2661" s="25"/>
      <c r="Z2661" s="75"/>
      <c r="AA2661" s="3" t="str">
        <f>IF(BCP_Soles[[#This Row],[fecha]]&gt;0,TEXT(BCP_Soles[[#This Row],[fecha]],"mmmm"),0)</f>
        <v>Julio</v>
      </c>
    </row>
    <row r="2662" spans="1:27" ht="24" x14ac:dyDescent="0.3">
      <c r="A2662" s="2">
        <f>IF(BCP_Soles[[#This Row],[tipo_registro]]="R",COUNTIFS($C$1:$C2661,"R")+1,A2661)</f>
        <v>1944</v>
      </c>
      <c r="B2662" s="19" t="str">
        <f t="shared" si="216"/>
        <v>B-BCP - Soles</v>
      </c>
      <c r="C2662" s="3" t="s">
        <v>1352</v>
      </c>
      <c r="D2662" s="14">
        <v>45849</v>
      </c>
      <c r="E2662" s="5" t="s">
        <v>1331</v>
      </c>
      <c r="F2662" s="5"/>
      <c r="G2662" s="6" t="s">
        <v>271</v>
      </c>
      <c r="H2662" s="6" t="s">
        <v>68</v>
      </c>
      <c r="I2662" s="6" t="s">
        <v>1375</v>
      </c>
      <c r="J2662" s="6">
        <v>6941</v>
      </c>
      <c r="K2662" s="7" t="s">
        <v>3879</v>
      </c>
      <c r="L2662" s="8">
        <v>8597122</v>
      </c>
      <c r="M2662" s="8" t="str">
        <f t="shared" si="217"/>
        <v>PEN</v>
      </c>
      <c r="N2662" s="13">
        <v>42.01</v>
      </c>
      <c r="O2662" s="13"/>
      <c r="P2662" s="3">
        <f t="shared" si="218"/>
        <v>0</v>
      </c>
      <c r="Q2662" s="3">
        <f t="shared" si="219"/>
        <v>0</v>
      </c>
      <c r="R2662" s="3">
        <f t="shared" si="215"/>
        <v>37481.590000000011</v>
      </c>
      <c r="S2662" s="24" t="s">
        <v>1334</v>
      </c>
      <c r="T2662" s="24" t="s">
        <v>1334</v>
      </c>
      <c r="U2662" s="80" t="s">
        <v>3880</v>
      </c>
      <c r="V2662" s="25">
        <f>IFERROR(VLOOKUP(BCP_Soles[[#This Row],[destinatario]],CHOOSE({1,2},Clientes_Proveedores[Razon Social],Clientes_Proveedores[Ruc / Dni]),2,0),"")</f>
        <v>20419158462</v>
      </c>
      <c r="W2662" s="25"/>
      <c r="X2662" s="25"/>
      <c r="Y2662" s="25"/>
      <c r="Z2662" s="75"/>
      <c r="AA2662" s="3" t="str">
        <f>IF(BCP_Soles[[#This Row],[fecha]]&gt;0,TEXT(BCP_Soles[[#This Row],[fecha]],"mmmm"),0)</f>
        <v>Julio</v>
      </c>
    </row>
    <row r="2663" spans="1:27" ht="24" x14ac:dyDescent="0.3">
      <c r="A2663" s="2">
        <f>IF(BCP_Soles[[#This Row],[tipo_registro]]="R",COUNTIFS($C$1:$C2662,"R")+1,A2662)</f>
        <v>1945</v>
      </c>
      <c r="B2663" s="19" t="str">
        <f t="shared" si="216"/>
        <v>B-BCP - Soles</v>
      </c>
      <c r="C2663" s="3" t="s">
        <v>1330</v>
      </c>
      <c r="D2663" s="14">
        <v>45849</v>
      </c>
      <c r="E2663" s="5" t="s">
        <v>1331</v>
      </c>
      <c r="F2663" s="5" t="s">
        <v>1336</v>
      </c>
      <c r="G2663" s="6" t="s">
        <v>876</v>
      </c>
      <c r="H2663" s="6"/>
      <c r="I2663" s="6"/>
      <c r="J2663" s="6"/>
      <c r="K2663" s="7" t="s">
        <v>3881</v>
      </c>
      <c r="L2663" s="8">
        <v>1258432</v>
      </c>
      <c r="M2663" s="8" t="str">
        <f t="shared" si="217"/>
        <v>PEN</v>
      </c>
      <c r="N2663" s="13"/>
      <c r="O2663" s="13">
        <v>100</v>
      </c>
      <c r="P2663" s="3">
        <f t="shared" si="218"/>
        <v>0</v>
      </c>
      <c r="Q2663" s="3">
        <f t="shared" si="219"/>
        <v>100</v>
      </c>
      <c r="R2663" s="3">
        <f t="shared" si="215"/>
        <v>37381.590000000011</v>
      </c>
      <c r="S2663" s="24"/>
      <c r="T2663" s="24" t="s">
        <v>1334</v>
      </c>
      <c r="U2663" s="80" t="s">
        <v>3882</v>
      </c>
      <c r="V2663" s="25">
        <f>IFERROR(VLOOKUP(BCP_Soles[[#This Row],[destinatario]],CHOOSE({1,2},Clientes_Proveedores[Razon Social],Clientes_Proveedores[Ruc / Dni]),2,0),"")</f>
        <v>1829028</v>
      </c>
      <c r="W2663" s="25"/>
      <c r="X2663" s="25"/>
      <c r="Y2663" s="25"/>
      <c r="Z2663" s="75"/>
      <c r="AA2663" s="3" t="str">
        <f>IF(BCP_Soles[[#This Row],[fecha]]&gt;0,TEXT(BCP_Soles[[#This Row],[fecha]],"mmmm"),0)</f>
        <v>Julio</v>
      </c>
    </row>
    <row r="2664" spans="1:27" x14ac:dyDescent="0.3">
      <c r="A2664" s="2">
        <f>IF(BCP_Soles[[#This Row],[tipo_registro]]="R",COUNTIFS($C$1:$C2663,"R")+1,A2663)</f>
        <v>1946</v>
      </c>
      <c r="B2664" s="19" t="str">
        <f t="shared" si="216"/>
        <v>B-BCP - Soles</v>
      </c>
      <c r="C2664" s="3" t="s">
        <v>1330</v>
      </c>
      <c r="D2664" s="14">
        <v>45849</v>
      </c>
      <c r="E2664" s="5" t="s">
        <v>1335</v>
      </c>
      <c r="F2664" s="5" t="s">
        <v>1336</v>
      </c>
      <c r="G2664" s="6" t="s">
        <v>1009</v>
      </c>
      <c r="H2664" s="6" t="s">
        <v>64</v>
      </c>
      <c r="I2664" s="6" t="s">
        <v>3673</v>
      </c>
      <c r="J2664" s="6">
        <v>1946</v>
      </c>
      <c r="K2664" s="7" t="s">
        <v>3160</v>
      </c>
      <c r="L2664" s="8"/>
      <c r="M2664" s="8" t="str">
        <f t="shared" si="217"/>
        <v>PEN</v>
      </c>
      <c r="N2664" s="13"/>
      <c r="O2664" s="13">
        <v>0.6</v>
      </c>
      <c r="P2664" s="3">
        <f t="shared" si="218"/>
        <v>0</v>
      </c>
      <c r="Q2664" s="3">
        <f t="shared" si="219"/>
        <v>0.6</v>
      </c>
      <c r="R2664" s="3">
        <f t="shared" si="215"/>
        <v>37380.990000000013</v>
      </c>
      <c r="S2664" s="24" t="s">
        <v>1334</v>
      </c>
      <c r="T2664" s="24" t="s">
        <v>1334</v>
      </c>
      <c r="U2664" s="55"/>
      <c r="V2664" s="25">
        <f>IFERROR(VLOOKUP(BCP_Soles[[#This Row],[destinatario]],CHOOSE({1,2},Clientes_Proveedores[Razon Social],Clientes_Proveedores[Ruc / Dni]),2,0),"")</f>
        <v>11111111</v>
      </c>
      <c r="W2664" s="25"/>
      <c r="X2664" s="25"/>
      <c r="Y2664" s="25"/>
      <c r="Z2664" s="75"/>
      <c r="AA2664" s="3" t="str">
        <f>IF(BCP_Soles[[#This Row],[fecha]]&gt;0,TEXT(BCP_Soles[[#This Row],[fecha]],"mmmm"),0)</f>
        <v>Julio</v>
      </c>
    </row>
    <row r="2665" spans="1:27" ht="24" x14ac:dyDescent="0.3">
      <c r="A2665" s="2">
        <f>IF(BCP_Soles[[#This Row],[tipo_registro]]="R",COUNTIFS($C$1:$C2664,"R")+1,A2664)</f>
        <v>1947</v>
      </c>
      <c r="B2665" s="19" t="str">
        <f t="shared" si="216"/>
        <v>B-BCP - Soles</v>
      </c>
      <c r="C2665" s="3" t="s">
        <v>1330</v>
      </c>
      <c r="D2665" s="14">
        <v>45849</v>
      </c>
      <c r="E2665" s="5" t="s">
        <v>1335</v>
      </c>
      <c r="F2665" s="5" t="s">
        <v>1336</v>
      </c>
      <c r="G2665" s="6" t="s">
        <v>1060</v>
      </c>
      <c r="H2665" s="6" t="s">
        <v>68</v>
      </c>
      <c r="I2665" s="6" t="s">
        <v>1397</v>
      </c>
      <c r="J2665" s="6">
        <v>34545339</v>
      </c>
      <c r="K2665" s="7" t="s">
        <v>1400</v>
      </c>
      <c r="L2665" s="8">
        <v>434</v>
      </c>
      <c r="M2665" s="8" t="str">
        <f t="shared" si="217"/>
        <v>PEN</v>
      </c>
      <c r="N2665" s="13"/>
      <c r="O2665" s="13">
        <v>10</v>
      </c>
      <c r="P2665" s="3">
        <f t="shared" si="218"/>
        <v>0</v>
      </c>
      <c r="Q2665" s="3">
        <f t="shared" si="219"/>
        <v>10</v>
      </c>
      <c r="R2665" s="3">
        <f t="shared" si="215"/>
        <v>37370.990000000013</v>
      </c>
      <c r="S2665" s="24" t="s">
        <v>1334</v>
      </c>
      <c r="T2665" s="24" t="s">
        <v>1334</v>
      </c>
      <c r="U2665" s="55"/>
      <c r="V2665" s="25">
        <f>IFERROR(VLOOKUP(BCP_Soles[[#This Row],[destinatario]],CHOOSE({1,2},Clientes_Proveedores[Razon Social],Clientes_Proveedores[Ruc / Dni]),2,0),"")</f>
        <v>20100047218</v>
      </c>
      <c r="W2665" s="25"/>
      <c r="X2665" s="25"/>
      <c r="Y2665" s="25"/>
      <c r="Z2665" s="75"/>
      <c r="AA2665" s="3" t="str">
        <f>IF(BCP_Soles[[#This Row],[fecha]]&gt;0,TEXT(BCP_Soles[[#This Row],[fecha]],"mmmm"),0)</f>
        <v>Julio</v>
      </c>
    </row>
    <row r="2666" spans="1:27" x14ac:dyDescent="0.3">
      <c r="A2666" s="2">
        <f>IF(BCP_Soles[[#This Row],[tipo_registro]]="R",COUNTIFS($C$1:$C2665,"R")+1,A2665)</f>
        <v>1948</v>
      </c>
      <c r="B2666" s="19" t="str">
        <f t="shared" si="216"/>
        <v>B-BCP - Soles</v>
      </c>
      <c r="C2666" s="3" t="s">
        <v>1330</v>
      </c>
      <c r="D2666" s="14">
        <v>45849</v>
      </c>
      <c r="E2666" s="5" t="s">
        <v>3190</v>
      </c>
      <c r="F2666" s="5" t="s">
        <v>1336</v>
      </c>
      <c r="G2666" s="6"/>
      <c r="H2666" s="6"/>
      <c r="I2666" s="6"/>
      <c r="J2666" s="6"/>
      <c r="K2666" s="7" t="s">
        <v>3883</v>
      </c>
      <c r="L2666" s="8">
        <v>1010950</v>
      </c>
      <c r="M2666" s="8" t="str">
        <f t="shared" si="217"/>
        <v>PEN</v>
      </c>
      <c r="N2666" s="13"/>
      <c r="O2666" s="13">
        <v>1252</v>
      </c>
      <c r="P2666" s="3">
        <f t="shared" si="218"/>
        <v>0</v>
      </c>
      <c r="Q2666" s="3">
        <f t="shared" si="219"/>
        <v>1252</v>
      </c>
      <c r="R2666" s="3">
        <f t="shared" si="215"/>
        <v>36118.990000000013</v>
      </c>
      <c r="S2666" s="24" t="s">
        <v>1334</v>
      </c>
      <c r="T2666" s="24" t="s">
        <v>1334</v>
      </c>
      <c r="U2666" s="55"/>
      <c r="V2666" s="25" t="str">
        <f>IFERROR(VLOOKUP(BCP_Soles[[#This Row],[destinatario]],CHOOSE({1,2},Clientes_Proveedores[Razon Social],Clientes_Proveedores[Ruc / Dni]),2,0),"")</f>
        <v/>
      </c>
      <c r="W2666" s="25"/>
      <c r="X2666" s="25"/>
      <c r="Y2666" s="25"/>
      <c r="Z2666" s="75"/>
      <c r="AA2666" s="3" t="str">
        <f>IF(BCP_Soles[[#This Row],[fecha]]&gt;0,TEXT(BCP_Soles[[#This Row],[fecha]],"mmmm"),0)</f>
        <v>Julio</v>
      </c>
    </row>
    <row r="2667" spans="1:27" ht="24" x14ac:dyDescent="0.3">
      <c r="A2667" s="2">
        <f>IF(BCP_Soles[[#This Row],[tipo_registro]]="R",COUNTIFS($C$1:$C2666,"R")+1,A2666)</f>
        <v>1948</v>
      </c>
      <c r="B2667" s="19" t="str">
        <f t="shared" si="216"/>
        <v>B-BCP - Soles</v>
      </c>
      <c r="C2667" s="3" t="s">
        <v>1352</v>
      </c>
      <c r="D2667" s="14">
        <v>45849</v>
      </c>
      <c r="E2667" s="5" t="s">
        <v>3190</v>
      </c>
      <c r="F2667" s="5"/>
      <c r="G2667" s="6" t="s">
        <v>271</v>
      </c>
      <c r="H2667" s="6" t="s">
        <v>68</v>
      </c>
      <c r="I2667" s="6" t="s">
        <v>1375</v>
      </c>
      <c r="J2667" s="6">
        <v>6945</v>
      </c>
      <c r="K2667" s="7" t="s">
        <v>3883</v>
      </c>
      <c r="L2667" s="8">
        <v>1010950</v>
      </c>
      <c r="M2667" s="8" t="str">
        <f t="shared" si="217"/>
        <v>PEN</v>
      </c>
      <c r="N2667" s="13">
        <v>68</v>
      </c>
      <c r="O2667" s="13"/>
      <c r="P2667" s="3">
        <f t="shared" si="218"/>
        <v>0</v>
      </c>
      <c r="Q2667" s="3">
        <f t="shared" si="219"/>
        <v>0</v>
      </c>
      <c r="R2667" s="3">
        <f t="shared" si="215"/>
        <v>36118.990000000013</v>
      </c>
      <c r="S2667" s="24" t="s">
        <v>1334</v>
      </c>
      <c r="T2667" s="24" t="s">
        <v>1334</v>
      </c>
      <c r="U2667" s="55"/>
      <c r="V2667" s="25">
        <f>IFERROR(VLOOKUP(BCP_Soles[[#This Row],[destinatario]],CHOOSE({1,2},Clientes_Proveedores[Razon Social],Clientes_Proveedores[Ruc / Dni]),2,0),"")</f>
        <v>20419158462</v>
      </c>
      <c r="W2667" s="25"/>
      <c r="X2667" s="25"/>
      <c r="Y2667" s="25"/>
      <c r="Z2667" s="75" t="s">
        <v>3666</v>
      </c>
      <c r="AA2667" s="3" t="str">
        <f>IF(BCP_Soles[[#This Row],[fecha]]&gt;0,TEXT(BCP_Soles[[#This Row],[fecha]],"mmmm"),0)</f>
        <v>Julio</v>
      </c>
    </row>
    <row r="2668" spans="1:27" ht="24" x14ac:dyDescent="0.3">
      <c r="A2668" s="2">
        <f>IF(BCP_Soles[[#This Row],[tipo_registro]]="R",COUNTIFS($C$1:$C2667,"R")+1,A2667)</f>
        <v>1948</v>
      </c>
      <c r="B2668" s="19" t="str">
        <f t="shared" si="216"/>
        <v>B-BCP - Soles</v>
      </c>
      <c r="C2668" s="3" t="s">
        <v>1352</v>
      </c>
      <c r="D2668" s="14">
        <v>45849</v>
      </c>
      <c r="E2668" s="5" t="s">
        <v>3190</v>
      </c>
      <c r="F2668" s="5"/>
      <c r="G2668" s="6" t="s">
        <v>271</v>
      </c>
      <c r="H2668" s="6" t="s">
        <v>68</v>
      </c>
      <c r="I2668" s="6" t="s">
        <v>1375</v>
      </c>
      <c r="J2668" s="6">
        <v>6944</v>
      </c>
      <c r="K2668" s="7" t="s">
        <v>3883</v>
      </c>
      <c r="L2668" s="8">
        <v>1010950</v>
      </c>
      <c r="M2668" s="8" t="str">
        <f t="shared" si="217"/>
        <v>PEN</v>
      </c>
      <c r="N2668" s="13">
        <v>52</v>
      </c>
      <c r="O2668" s="13"/>
      <c r="P2668" s="3">
        <f t="shared" si="218"/>
        <v>0</v>
      </c>
      <c r="Q2668" s="3">
        <f t="shared" si="219"/>
        <v>0</v>
      </c>
      <c r="R2668" s="3">
        <f t="shared" si="215"/>
        <v>36118.990000000013</v>
      </c>
      <c r="S2668" s="24" t="s">
        <v>1334</v>
      </c>
      <c r="T2668" s="24" t="s">
        <v>1334</v>
      </c>
      <c r="U2668" s="55"/>
      <c r="V2668" s="25">
        <f>IFERROR(VLOOKUP(BCP_Soles[[#This Row],[destinatario]],CHOOSE({1,2},Clientes_Proveedores[Razon Social],Clientes_Proveedores[Ruc / Dni]),2,0),"")</f>
        <v>20419158462</v>
      </c>
      <c r="W2668" s="25"/>
      <c r="X2668" s="25"/>
      <c r="Y2668" s="25"/>
      <c r="Z2668" s="75" t="s">
        <v>3666</v>
      </c>
      <c r="AA2668" s="3" t="str">
        <f>IF(BCP_Soles[[#This Row],[fecha]]&gt;0,TEXT(BCP_Soles[[#This Row],[fecha]],"mmmm"),0)</f>
        <v>Julio</v>
      </c>
    </row>
    <row r="2669" spans="1:27" ht="24" x14ac:dyDescent="0.3">
      <c r="A2669" s="2">
        <f>IF(BCP_Soles[[#This Row],[tipo_registro]]="R",COUNTIFS($C$1:$C2668,"R")+1,A2668)</f>
        <v>1948</v>
      </c>
      <c r="B2669" s="19" t="str">
        <f t="shared" si="216"/>
        <v>B-BCP - Soles</v>
      </c>
      <c r="C2669" s="3" t="s">
        <v>1352</v>
      </c>
      <c r="D2669" s="14">
        <v>45849</v>
      </c>
      <c r="E2669" s="5" t="s">
        <v>3190</v>
      </c>
      <c r="F2669" s="5"/>
      <c r="G2669" s="6" t="s">
        <v>271</v>
      </c>
      <c r="H2669" s="6" t="s">
        <v>68</v>
      </c>
      <c r="I2669" s="6" t="s">
        <v>1375</v>
      </c>
      <c r="J2669" s="6">
        <v>6940</v>
      </c>
      <c r="K2669" s="7" t="s">
        <v>3883</v>
      </c>
      <c r="L2669" s="8">
        <v>1010950</v>
      </c>
      <c r="M2669" s="8" t="str">
        <f t="shared" si="217"/>
        <v>PEN</v>
      </c>
      <c r="N2669" s="13">
        <v>75</v>
      </c>
      <c r="O2669" s="13"/>
      <c r="P2669" s="3">
        <f t="shared" si="218"/>
        <v>0</v>
      </c>
      <c r="Q2669" s="3">
        <f t="shared" si="219"/>
        <v>0</v>
      </c>
      <c r="R2669" s="3">
        <f t="shared" si="215"/>
        <v>36118.990000000013</v>
      </c>
      <c r="S2669" s="24" t="s">
        <v>1334</v>
      </c>
      <c r="T2669" s="24" t="s">
        <v>1334</v>
      </c>
      <c r="U2669" s="55"/>
      <c r="V2669" s="25">
        <f>IFERROR(VLOOKUP(BCP_Soles[[#This Row],[destinatario]],CHOOSE({1,2},Clientes_Proveedores[Razon Social],Clientes_Proveedores[Ruc / Dni]),2,0),"")</f>
        <v>20419158462</v>
      </c>
      <c r="W2669" s="25"/>
      <c r="X2669" s="25"/>
      <c r="Y2669" s="25"/>
      <c r="Z2669" s="75" t="s">
        <v>3666</v>
      </c>
      <c r="AA2669" s="3" t="str">
        <f>IF(BCP_Soles[[#This Row],[fecha]]&gt;0,TEXT(BCP_Soles[[#This Row],[fecha]],"mmmm"),0)</f>
        <v>Julio</v>
      </c>
    </row>
    <row r="2670" spans="1:27" ht="24" x14ac:dyDescent="0.3">
      <c r="A2670" s="2">
        <f>IF(BCP_Soles[[#This Row],[tipo_registro]]="R",COUNTIFS($C$1:$C2669,"R")+1,A2669)</f>
        <v>1948</v>
      </c>
      <c r="B2670" s="19" t="str">
        <f t="shared" si="216"/>
        <v>B-BCP - Soles</v>
      </c>
      <c r="C2670" s="3" t="s">
        <v>1352</v>
      </c>
      <c r="D2670" s="14">
        <v>45849</v>
      </c>
      <c r="E2670" s="5" t="s">
        <v>3190</v>
      </c>
      <c r="F2670" s="5"/>
      <c r="G2670" s="6" t="s">
        <v>271</v>
      </c>
      <c r="H2670" s="6" t="s">
        <v>68</v>
      </c>
      <c r="I2670" s="6" t="s">
        <v>1375</v>
      </c>
      <c r="J2670" s="6">
        <v>6946</v>
      </c>
      <c r="K2670" s="7" t="s">
        <v>3883</v>
      </c>
      <c r="L2670" s="8">
        <v>1010950</v>
      </c>
      <c r="M2670" s="8" t="str">
        <f t="shared" si="217"/>
        <v>PEN</v>
      </c>
      <c r="N2670" s="13">
        <v>105</v>
      </c>
      <c r="O2670" s="13"/>
      <c r="P2670" s="3">
        <f t="shared" si="218"/>
        <v>0</v>
      </c>
      <c r="Q2670" s="3">
        <f t="shared" si="219"/>
        <v>0</v>
      </c>
      <c r="R2670" s="3">
        <f t="shared" si="215"/>
        <v>36118.990000000013</v>
      </c>
      <c r="S2670" s="24" t="s">
        <v>1334</v>
      </c>
      <c r="T2670" s="24" t="s">
        <v>1334</v>
      </c>
      <c r="U2670" s="55"/>
      <c r="V2670" s="25">
        <f>IFERROR(VLOOKUP(BCP_Soles[[#This Row],[destinatario]],CHOOSE({1,2},Clientes_Proveedores[Razon Social],Clientes_Proveedores[Ruc / Dni]),2,0),"")</f>
        <v>20419158462</v>
      </c>
      <c r="W2670" s="25"/>
      <c r="X2670" s="25"/>
      <c r="Y2670" s="25"/>
      <c r="Z2670" s="75" t="s">
        <v>3666</v>
      </c>
      <c r="AA2670" s="3" t="str">
        <f>IF(BCP_Soles[[#This Row],[fecha]]&gt;0,TEXT(BCP_Soles[[#This Row],[fecha]],"mmmm"),0)</f>
        <v>Julio</v>
      </c>
    </row>
    <row r="2671" spans="1:27" ht="24" x14ac:dyDescent="0.3">
      <c r="A2671" s="2">
        <f>IF(BCP_Soles[[#This Row],[tipo_registro]]="R",COUNTIFS($C$1:$C2670,"R")+1,A2670)</f>
        <v>1948</v>
      </c>
      <c r="B2671" s="19" t="str">
        <f t="shared" si="216"/>
        <v>B-BCP - Soles</v>
      </c>
      <c r="C2671" s="3" t="s">
        <v>1352</v>
      </c>
      <c r="D2671" s="14">
        <v>45849</v>
      </c>
      <c r="E2671" s="5" t="s">
        <v>3190</v>
      </c>
      <c r="F2671" s="5"/>
      <c r="G2671" s="6" t="s">
        <v>271</v>
      </c>
      <c r="H2671" s="6" t="s">
        <v>68</v>
      </c>
      <c r="I2671" s="6" t="s">
        <v>1375</v>
      </c>
      <c r="J2671" s="6">
        <v>6941</v>
      </c>
      <c r="K2671" s="7" t="s">
        <v>3883</v>
      </c>
      <c r="L2671" s="8">
        <v>1010950</v>
      </c>
      <c r="M2671" s="8" t="str">
        <f t="shared" si="217"/>
        <v>PEN</v>
      </c>
      <c r="N2671" s="13">
        <v>7</v>
      </c>
      <c r="O2671" s="13"/>
      <c r="P2671" s="3">
        <f t="shared" si="218"/>
        <v>0</v>
      </c>
      <c r="Q2671" s="3">
        <f t="shared" si="219"/>
        <v>0</v>
      </c>
      <c r="R2671" s="3">
        <f t="shared" si="215"/>
        <v>36118.990000000013</v>
      </c>
      <c r="S2671" s="24" t="s">
        <v>1334</v>
      </c>
      <c r="T2671" s="24" t="s">
        <v>1334</v>
      </c>
      <c r="U2671" s="55"/>
      <c r="V2671" s="25">
        <f>IFERROR(VLOOKUP(BCP_Soles[[#This Row],[destinatario]],CHOOSE({1,2},Clientes_Proveedores[Razon Social],Clientes_Proveedores[Ruc / Dni]),2,0),"")</f>
        <v>20419158462</v>
      </c>
      <c r="W2671" s="25"/>
      <c r="X2671" s="25"/>
      <c r="Y2671" s="25"/>
      <c r="Z2671" s="75" t="s">
        <v>3666</v>
      </c>
      <c r="AA2671" s="3" t="str">
        <f>IF(BCP_Soles[[#This Row],[fecha]]&gt;0,TEXT(BCP_Soles[[#This Row],[fecha]],"mmmm"),0)</f>
        <v>Julio</v>
      </c>
    </row>
    <row r="2672" spans="1:27" ht="24" x14ac:dyDescent="0.3">
      <c r="A2672" s="2">
        <f>IF(BCP_Soles[[#This Row],[tipo_registro]]="R",COUNTIFS($C$1:$C2671,"R")+1,A2671)</f>
        <v>1948</v>
      </c>
      <c r="B2672" s="19" t="str">
        <f t="shared" si="216"/>
        <v>B-BCP - Soles</v>
      </c>
      <c r="C2672" s="3" t="s">
        <v>1352</v>
      </c>
      <c r="D2672" s="14">
        <v>45849</v>
      </c>
      <c r="E2672" s="5" t="s">
        <v>3190</v>
      </c>
      <c r="F2672" s="5"/>
      <c r="G2672" s="6" t="s">
        <v>271</v>
      </c>
      <c r="H2672" s="6" t="s">
        <v>68</v>
      </c>
      <c r="I2672" s="6" t="s">
        <v>1375</v>
      </c>
      <c r="J2672" s="6">
        <v>6943</v>
      </c>
      <c r="K2672" s="7" t="s">
        <v>3883</v>
      </c>
      <c r="L2672" s="8">
        <v>1010950</v>
      </c>
      <c r="M2672" s="8" t="str">
        <f t="shared" si="217"/>
        <v>PEN</v>
      </c>
      <c r="N2672" s="13">
        <v>44</v>
      </c>
      <c r="O2672" s="13"/>
      <c r="P2672" s="3">
        <f t="shared" si="218"/>
        <v>0</v>
      </c>
      <c r="Q2672" s="3">
        <f t="shared" si="219"/>
        <v>0</v>
      </c>
      <c r="R2672" s="3">
        <f t="shared" si="215"/>
        <v>36118.990000000013</v>
      </c>
      <c r="S2672" s="24" t="s">
        <v>1334</v>
      </c>
      <c r="T2672" s="24" t="s">
        <v>1334</v>
      </c>
      <c r="U2672" s="55"/>
      <c r="V2672" s="25">
        <f>IFERROR(VLOOKUP(BCP_Soles[[#This Row],[destinatario]],CHOOSE({1,2},Clientes_Proveedores[Razon Social],Clientes_Proveedores[Ruc / Dni]),2,0),"")</f>
        <v>20419158462</v>
      </c>
      <c r="W2672" s="25"/>
      <c r="X2672" s="25"/>
      <c r="Y2672" s="25"/>
      <c r="Z2672" s="75" t="s">
        <v>3666</v>
      </c>
      <c r="AA2672" s="3" t="str">
        <f>IF(BCP_Soles[[#This Row],[fecha]]&gt;0,TEXT(BCP_Soles[[#This Row],[fecha]],"mmmm"),0)</f>
        <v>Julio</v>
      </c>
    </row>
    <row r="2673" spans="1:27" x14ac:dyDescent="0.3">
      <c r="A2673" s="2">
        <f>IF(BCP_Soles[[#This Row],[tipo_registro]]="R",COUNTIFS($C$1:$C2672,"R")+1,A2672)</f>
        <v>1948</v>
      </c>
      <c r="B2673" s="19" t="str">
        <f t="shared" si="216"/>
        <v>B-BCP - Soles</v>
      </c>
      <c r="C2673" s="3" t="s">
        <v>1352</v>
      </c>
      <c r="D2673" s="14">
        <v>45849</v>
      </c>
      <c r="E2673" s="5" t="s">
        <v>3190</v>
      </c>
      <c r="F2673" s="5"/>
      <c r="G2673" s="6" t="s">
        <v>196</v>
      </c>
      <c r="H2673" s="6" t="s">
        <v>68</v>
      </c>
      <c r="I2673" s="6" t="s">
        <v>2226</v>
      </c>
      <c r="J2673" s="6">
        <v>6615</v>
      </c>
      <c r="K2673" s="7" t="s">
        <v>3883</v>
      </c>
      <c r="L2673" s="8">
        <v>1010950</v>
      </c>
      <c r="M2673" s="8" t="str">
        <f t="shared" si="217"/>
        <v>PEN</v>
      </c>
      <c r="N2673" s="13">
        <v>101</v>
      </c>
      <c r="O2673" s="13"/>
      <c r="P2673" s="3">
        <f t="shared" si="218"/>
        <v>0</v>
      </c>
      <c r="Q2673" s="3">
        <f t="shared" si="219"/>
        <v>0</v>
      </c>
      <c r="R2673" s="3">
        <f t="shared" si="215"/>
        <v>36118.990000000013</v>
      </c>
      <c r="S2673" s="24" t="s">
        <v>1334</v>
      </c>
      <c r="T2673" s="24" t="s">
        <v>1334</v>
      </c>
      <c r="U2673" s="55"/>
      <c r="V2673" s="25">
        <f>IFERROR(VLOOKUP(BCP_Soles[[#This Row],[destinatario]],CHOOSE({1,2},Clientes_Proveedores[Razon Social],Clientes_Proveedores[Ruc / Dni]),2,0),"")</f>
        <v>20100055237</v>
      </c>
      <c r="W2673" s="25"/>
      <c r="X2673" s="25"/>
      <c r="Y2673" s="25"/>
      <c r="Z2673" s="75" t="s">
        <v>3666</v>
      </c>
      <c r="AA2673" s="3" t="str">
        <f>IF(BCP_Soles[[#This Row],[fecha]]&gt;0,TEXT(BCP_Soles[[#This Row],[fecha]],"mmmm"),0)</f>
        <v>Julio</v>
      </c>
    </row>
    <row r="2674" spans="1:27" x14ac:dyDescent="0.3">
      <c r="A2674" s="2">
        <f>IF(BCP_Soles[[#This Row],[tipo_registro]]="R",COUNTIFS($C$1:$C2673,"R")+1,A2673)</f>
        <v>1948</v>
      </c>
      <c r="B2674" s="19" t="str">
        <f t="shared" si="216"/>
        <v>B-BCP - Soles</v>
      </c>
      <c r="C2674" s="3" t="s">
        <v>1352</v>
      </c>
      <c r="D2674" s="14">
        <v>45849</v>
      </c>
      <c r="E2674" s="5" t="s">
        <v>3190</v>
      </c>
      <c r="F2674" s="5"/>
      <c r="G2674" s="6" t="s">
        <v>196</v>
      </c>
      <c r="H2674" s="6" t="s">
        <v>68</v>
      </c>
      <c r="I2674" s="6" t="s">
        <v>2226</v>
      </c>
      <c r="J2674" s="6">
        <v>6616</v>
      </c>
      <c r="K2674" s="7" t="s">
        <v>3883</v>
      </c>
      <c r="L2674" s="8">
        <v>1010950</v>
      </c>
      <c r="M2674" s="8" t="str">
        <f t="shared" si="217"/>
        <v>PEN</v>
      </c>
      <c r="N2674" s="13">
        <v>30</v>
      </c>
      <c r="O2674" s="13"/>
      <c r="P2674" s="3">
        <f t="shared" si="218"/>
        <v>0</v>
      </c>
      <c r="Q2674" s="3">
        <f t="shared" si="219"/>
        <v>0</v>
      </c>
      <c r="R2674" s="3">
        <f t="shared" si="215"/>
        <v>36118.990000000013</v>
      </c>
      <c r="S2674" s="24" t="s">
        <v>1334</v>
      </c>
      <c r="T2674" s="24" t="s">
        <v>1334</v>
      </c>
      <c r="U2674" s="55"/>
      <c r="V2674" s="25">
        <f>IFERROR(VLOOKUP(BCP_Soles[[#This Row],[destinatario]],CHOOSE({1,2},Clientes_Proveedores[Razon Social],Clientes_Proveedores[Ruc / Dni]),2,0),"")</f>
        <v>20100055237</v>
      </c>
      <c r="W2674" s="25"/>
      <c r="X2674" s="25"/>
      <c r="Y2674" s="25"/>
      <c r="Z2674" s="75" t="s">
        <v>3666</v>
      </c>
      <c r="AA2674" s="3" t="str">
        <f>IF(BCP_Soles[[#This Row],[fecha]]&gt;0,TEXT(BCP_Soles[[#This Row],[fecha]],"mmmm"),0)</f>
        <v>Julio</v>
      </c>
    </row>
    <row r="2675" spans="1:27" x14ac:dyDescent="0.3">
      <c r="A2675" s="2">
        <f>IF(BCP_Soles[[#This Row],[tipo_registro]]="R",COUNTIFS($C$1:$C2674,"R")+1,A2674)</f>
        <v>1948</v>
      </c>
      <c r="B2675" s="19" t="str">
        <f t="shared" si="216"/>
        <v>B-BCP - Soles</v>
      </c>
      <c r="C2675" s="3" t="s">
        <v>1352</v>
      </c>
      <c r="D2675" s="14">
        <v>45849</v>
      </c>
      <c r="E2675" s="5" t="s">
        <v>3190</v>
      </c>
      <c r="F2675" s="5"/>
      <c r="G2675" s="6" t="s">
        <v>196</v>
      </c>
      <c r="H2675" s="6" t="s">
        <v>68</v>
      </c>
      <c r="I2675" s="6" t="s">
        <v>2226</v>
      </c>
      <c r="J2675" s="6">
        <v>6617</v>
      </c>
      <c r="K2675" s="7" t="s">
        <v>3883</v>
      </c>
      <c r="L2675" s="8">
        <v>1010950</v>
      </c>
      <c r="M2675" s="8" t="str">
        <f t="shared" si="217"/>
        <v>PEN</v>
      </c>
      <c r="N2675" s="13">
        <v>59</v>
      </c>
      <c r="O2675" s="13"/>
      <c r="P2675" s="3">
        <f t="shared" si="218"/>
        <v>0</v>
      </c>
      <c r="Q2675" s="3">
        <f t="shared" si="219"/>
        <v>0</v>
      </c>
      <c r="R2675" s="3">
        <f t="shared" si="215"/>
        <v>36118.990000000013</v>
      </c>
      <c r="S2675" s="24" t="s">
        <v>1334</v>
      </c>
      <c r="T2675" s="24" t="s">
        <v>1334</v>
      </c>
      <c r="U2675" s="55"/>
      <c r="V2675" s="25">
        <f>IFERROR(VLOOKUP(BCP_Soles[[#This Row],[destinatario]],CHOOSE({1,2},Clientes_Proveedores[Razon Social],Clientes_Proveedores[Ruc / Dni]),2,0),"")</f>
        <v>20100055237</v>
      </c>
      <c r="W2675" s="25"/>
      <c r="X2675" s="25"/>
      <c r="Y2675" s="25"/>
      <c r="Z2675" s="75" t="s">
        <v>3666</v>
      </c>
      <c r="AA2675" s="3" t="str">
        <f>IF(BCP_Soles[[#This Row],[fecha]]&gt;0,TEXT(BCP_Soles[[#This Row],[fecha]],"mmmm"),0)</f>
        <v>Julio</v>
      </c>
    </row>
    <row r="2676" spans="1:27" x14ac:dyDescent="0.3">
      <c r="A2676" s="2">
        <f>IF(BCP_Soles[[#This Row],[tipo_registro]]="R",COUNTIFS($C$1:$C2675,"R")+1,A2675)</f>
        <v>1948</v>
      </c>
      <c r="B2676" s="19" t="str">
        <f t="shared" si="216"/>
        <v>B-BCP - Soles</v>
      </c>
      <c r="C2676" s="3" t="s">
        <v>1352</v>
      </c>
      <c r="D2676" s="14">
        <v>45849</v>
      </c>
      <c r="E2676" s="5" t="s">
        <v>3190</v>
      </c>
      <c r="F2676" s="5"/>
      <c r="G2676" s="6" t="s">
        <v>196</v>
      </c>
      <c r="H2676" s="6" t="s">
        <v>68</v>
      </c>
      <c r="I2676" s="6" t="s">
        <v>2226</v>
      </c>
      <c r="J2676" s="6">
        <v>6619</v>
      </c>
      <c r="K2676" s="7" t="s">
        <v>3883</v>
      </c>
      <c r="L2676" s="8">
        <v>1010950</v>
      </c>
      <c r="M2676" s="8" t="str">
        <f t="shared" si="217"/>
        <v>PEN</v>
      </c>
      <c r="N2676" s="13">
        <v>2</v>
      </c>
      <c r="O2676" s="13"/>
      <c r="P2676" s="3">
        <f t="shared" si="218"/>
        <v>0</v>
      </c>
      <c r="Q2676" s="3">
        <f t="shared" si="219"/>
        <v>0</v>
      </c>
      <c r="R2676" s="3">
        <f t="shared" si="215"/>
        <v>36118.990000000013</v>
      </c>
      <c r="S2676" s="24" t="s">
        <v>1334</v>
      </c>
      <c r="T2676" s="24" t="s">
        <v>1334</v>
      </c>
      <c r="U2676" s="55"/>
      <c r="V2676" s="25">
        <f>IFERROR(VLOOKUP(BCP_Soles[[#This Row],[destinatario]],CHOOSE({1,2},Clientes_Proveedores[Razon Social],Clientes_Proveedores[Ruc / Dni]),2,0),"")</f>
        <v>20100055237</v>
      </c>
      <c r="W2676" s="25"/>
      <c r="X2676" s="25"/>
      <c r="Y2676" s="25"/>
      <c r="Z2676" s="75" t="s">
        <v>3666</v>
      </c>
      <c r="AA2676" s="3" t="str">
        <f>IF(BCP_Soles[[#This Row],[fecha]]&gt;0,TEXT(BCP_Soles[[#This Row],[fecha]],"mmmm"),0)</f>
        <v>Julio</v>
      </c>
    </row>
    <row r="2677" spans="1:27" x14ac:dyDescent="0.3">
      <c r="A2677" s="2">
        <f>IF(BCP_Soles[[#This Row],[tipo_registro]]="R",COUNTIFS($C$1:$C2676,"R")+1,A2676)</f>
        <v>1948</v>
      </c>
      <c r="B2677" s="19" t="str">
        <f t="shared" si="216"/>
        <v>B-BCP - Soles</v>
      </c>
      <c r="C2677" s="3" t="s">
        <v>1352</v>
      </c>
      <c r="D2677" s="14">
        <v>45849</v>
      </c>
      <c r="E2677" s="5" t="s">
        <v>3190</v>
      </c>
      <c r="F2677" s="5"/>
      <c r="G2677" s="6" t="s">
        <v>196</v>
      </c>
      <c r="H2677" s="6" t="s">
        <v>68</v>
      </c>
      <c r="I2677" s="6" t="s">
        <v>2226</v>
      </c>
      <c r="J2677" s="6">
        <v>6620</v>
      </c>
      <c r="K2677" s="7" t="s">
        <v>3883</v>
      </c>
      <c r="L2677" s="8">
        <v>1010950</v>
      </c>
      <c r="M2677" s="8" t="str">
        <f t="shared" si="217"/>
        <v>PEN</v>
      </c>
      <c r="N2677" s="13">
        <v>76</v>
      </c>
      <c r="O2677" s="13"/>
      <c r="P2677" s="3">
        <f t="shared" si="218"/>
        <v>0</v>
      </c>
      <c r="Q2677" s="3">
        <f t="shared" si="219"/>
        <v>0</v>
      </c>
      <c r="R2677" s="3">
        <f t="shared" si="215"/>
        <v>36118.990000000013</v>
      </c>
      <c r="S2677" s="24" t="s">
        <v>1334</v>
      </c>
      <c r="T2677" s="24" t="s">
        <v>1334</v>
      </c>
      <c r="U2677" s="55"/>
      <c r="V2677" s="25">
        <f>IFERROR(VLOOKUP(BCP_Soles[[#This Row],[destinatario]],CHOOSE({1,2},Clientes_Proveedores[Razon Social],Clientes_Proveedores[Ruc / Dni]),2,0),"")</f>
        <v>20100055237</v>
      </c>
      <c r="W2677" s="25"/>
      <c r="X2677" s="25"/>
      <c r="Y2677" s="25"/>
      <c r="Z2677" s="75" t="s">
        <v>3666</v>
      </c>
      <c r="AA2677" s="3" t="str">
        <f>IF(BCP_Soles[[#This Row],[fecha]]&gt;0,TEXT(BCP_Soles[[#This Row],[fecha]],"mmmm"),0)</f>
        <v>Julio</v>
      </c>
    </row>
    <row r="2678" spans="1:27" x14ac:dyDescent="0.3">
      <c r="A2678" s="2">
        <f>IF(BCP_Soles[[#This Row],[tipo_registro]]="R",COUNTIFS($C$1:$C2677,"R")+1,A2677)</f>
        <v>1948</v>
      </c>
      <c r="B2678" s="19" t="str">
        <f t="shared" si="216"/>
        <v>B-BCP - Soles</v>
      </c>
      <c r="C2678" s="3" t="s">
        <v>1352</v>
      </c>
      <c r="D2678" s="14">
        <v>45849</v>
      </c>
      <c r="E2678" s="5" t="s">
        <v>3190</v>
      </c>
      <c r="F2678" s="5"/>
      <c r="G2678" s="6" t="s">
        <v>196</v>
      </c>
      <c r="H2678" s="6" t="s">
        <v>68</v>
      </c>
      <c r="I2678" s="6" t="s">
        <v>2226</v>
      </c>
      <c r="J2678" s="6">
        <v>6621</v>
      </c>
      <c r="K2678" s="7" t="s">
        <v>3883</v>
      </c>
      <c r="L2678" s="8">
        <v>1010950</v>
      </c>
      <c r="M2678" s="8" t="str">
        <f t="shared" si="217"/>
        <v>PEN</v>
      </c>
      <c r="N2678" s="13">
        <v>6</v>
      </c>
      <c r="O2678" s="13"/>
      <c r="P2678" s="3">
        <f t="shared" si="218"/>
        <v>0</v>
      </c>
      <c r="Q2678" s="3">
        <f t="shared" si="219"/>
        <v>0</v>
      </c>
      <c r="R2678" s="3">
        <f t="shared" si="215"/>
        <v>36118.990000000013</v>
      </c>
      <c r="S2678" s="24" t="s">
        <v>1334</v>
      </c>
      <c r="T2678" s="24" t="s">
        <v>1334</v>
      </c>
      <c r="U2678" s="55"/>
      <c r="V2678" s="25">
        <f>IFERROR(VLOOKUP(BCP_Soles[[#This Row],[destinatario]],CHOOSE({1,2},Clientes_Proveedores[Razon Social],Clientes_Proveedores[Ruc / Dni]),2,0),"")</f>
        <v>20100055237</v>
      </c>
      <c r="W2678" s="25"/>
      <c r="X2678" s="25"/>
      <c r="Y2678" s="25"/>
      <c r="Z2678" s="75" t="s">
        <v>3666</v>
      </c>
      <c r="AA2678" s="3" t="str">
        <f>IF(BCP_Soles[[#This Row],[fecha]]&gt;0,TEXT(BCP_Soles[[#This Row],[fecha]],"mmmm"),0)</f>
        <v>Julio</v>
      </c>
    </row>
    <row r="2679" spans="1:27" x14ac:dyDescent="0.3">
      <c r="A2679" s="2">
        <f>IF(BCP_Soles[[#This Row],[tipo_registro]]="R",COUNTIFS($C$1:$C2678,"R")+1,A2678)</f>
        <v>1948</v>
      </c>
      <c r="B2679" s="19" t="str">
        <f t="shared" si="216"/>
        <v>B-BCP - Soles</v>
      </c>
      <c r="C2679" s="3" t="s">
        <v>1352</v>
      </c>
      <c r="D2679" s="14">
        <v>45849</v>
      </c>
      <c r="E2679" s="5" t="s">
        <v>3190</v>
      </c>
      <c r="F2679" s="5"/>
      <c r="G2679" s="6" t="s">
        <v>196</v>
      </c>
      <c r="H2679" s="6" t="s">
        <v>68</v>
      </c>
      <c r="I2679" s="6" t="s">
        <v>2226</v>
      </c>
      <c r="J2679" s="6">
        <v>6618</v>
      </c>
      <c r="K2679" s="7" t="s">
        <v>3883</v>
      </c>
      <c r="L2679" s="8">
        <v>1010950</v>
      </c>
      <c r="M2679" s="8" t="str">
        <f t="shared" si="217"/>
        <v>PEN</v>
      </c>
      <c r="N2679" s="13">
        <v>12</v>
      </c>
      <c r="O2679" s="13"/>
      <c r="P2679" s="3">
        <f t="shared" si="218"/>
        <v>0</v>
      </c>
      <c r="Q2679" s="3">
        <f t="shared" si="219"/>
        <v>0</v>
      </c>
      <c r="R2679" s="3">
        <f t="shared" si="215"/>
        <v>36118.990000000013</v>
      </c>
      <c r="S2679" s="24" t="s">
        <v>1334</v>
      </c>
      <c r="T2679" s="24" t="s">
        <v>1334</v>
      </c>
      <c r="U2679" s="55"/>
      <c r="V2679" s="25">
        <f>IFERROR(VLOOKUP(BCP_Soles[[#This Row],[destinatario]],CHOOSE({1,2},Clientes_Proveedores[Razon Social],Clientes_Proveedores[Ruc / Dni]),2,0),"")</f>
        <v>20100055237</v>
      </c>
      <c r="W2679" s="25"/>
      <c r="X2679" s="25"/>
      <c r="Y2679" s="25"/>
      <c r="Z2679" s="75" t="s">
        <v>3666</v>
      </c>
      <c r="AA2679" s="3" t="str">
        <f>IF(BCP_Soles[[#This Row],[fecha]]&gt;0,TEXT(BCP_Soles[[#This Row],[fecha]],"mmmm"),0)</f>
        <v>Julio</v>
      </c>
    </row>
    <row r="2680" spans="1:27" ht="24" x14ac:dyDescent="0.3">
      <c r="A2680" s="2">
        <f>IF(BCP_Soles[[#This Row],[tipo_registro]]="R",COUNTIFS($C$1:$C2679,"R")+1,A2679)</f>
        <v>1948</v>
      </c>
      <c r="B2680" s="19" t="str">
        <f t="shared" si="216"/>
        <v>B-BCP - Soles</v>
      </c>
      <c r="C2680" s="3" t="s">
        <v>1352</v>
      </c>
      <c r="D2680" s="14">
        <v>45849</v>
      </c>
      <c r="E2680" s="5" t="s">
        <v>3190</v>
      </c>
      <c r="F2680" s="5"/>
      <c r="G2680" s="6" t="s">
        <v>271</v>
      </c>
      <c r="H2680" s="6" t="s">
        <v>68</v>
      </c>
      <c r="I2680" s="6" t="s">
        <v>1375</v>
      </c>
      <c r="J2680" s="6">
        <v>6922</v>
      </c>
      <c r="K2680" s="7" t="s">
        <v>3883</v>
      </c>
      <c r="L2680" s="8">
        <v>1010950</v>
      </c>
      <c r="M2680" s="8" t="str">
        <f t="shared" si="217"/>
        <v>PEN</v>
      </c>
      <c r="N2680" s="13">
        <v>104</v>
      </c>
      <c r="O2680" s="13"/>
      <c r="P2680" s="3">
        <f t="shared" si="218"/>
        <v>0</v>
      </c>
      <c r="Q2680" s="3">
        <f t="shared" si="219"/>
        <v>0</v>
      </c>
      <c r="R2680" s="3">
        <f t="shared" si="215"/>
        <v>36118.990000000013</v>
      </c>
      <c r="S2680" s="24" t="s">
        <v>1334</v>
      </c>
      <c r="T2680" s="24" t="s">
        <v>1334</v>
      </c>
      <c r="U2680" s="55"/>
      <c r="V2680" s="25">
        <f>IFERROR(VLOOKUP(BCP_Soles[[#This Row],[destinatario]],CHOOSE({1,2},Clientes_Proveedores[Razon Social],Clientes_Proveedores[Ruc / Dni]),2,0),"")</f>
        <v>20419158462</v>
      </c>
      <c r="W2680" s="25"/>
      <c r="X2680" s="25"/>
      <c r="Y2680" s="25"/>
      <c r="Z2680" s="75" t="s">
        <v>3666</v>
      </c>
      <c r="AA2680" s="3" t="str">
        <f>IF(BCP_Soles[[#This Row],[fecha]]&gt;0,TEXT(BCP_Soles[[#This Row],[fecha]],"mmmm"),0)</f>
        <v>Julio</v>
      </c>
    </row>
    <row r="2681" spans="1:27" ht="24" x14ac:dyDescent="0.3">
      <c r="A2681" s="2">
        <f>IF(BCP_Soles[[#This Row],[tipo_registro]]="R",COUNTIFS($C$1:$C2680,"R")+1,A2680)</f>
        <v>1948</v>
      </c>
      <c r="B2681" s="19" t="str">
        <f t="shared" si="216"/>
        <v>B-BCP - Soles</v>
      </c>
      <c r="C2681" s="3" t="s">
        <v>1352</v>
      </c>
      <c r="D2681" s="14">
        <v>45849</v>
      </c>
      <c r="E2681" s="5" t="s">
        <v>3190</v>
      </c>
      <c r="F2681" s="5"/>
      <c r="G2681" s="6" t="s">
        <v>271</v>
      </c>
      <c r="H2681" s="6" t="s">
        <v>68</v>
      </c>
      <c r="I2681" s="6" t="s">
        <v>1375</v>
      </c>
      <c r="J2681" s="6">
        <v>6923</v>
      </c>
      <c r="K2681" s="7" t="s">
        <v>3883</v>
      </c>
      <c r="L2681" s="8">
        <v>1010950</v>
      </c>
      <c r="M2681" s="8" t="str">
        <f t="shared" si="217"/>
        <v>PEN</v>
      </c>
      <c r="N2681" s="13">
        <v>511</v>
      </c>
      <c r="O2681" s="13"/>
      <c r="P2681" s="3">
        <f t="shared" si="218"/>
        <v>0</v>
      </c>
      <c r="Q2681" s="3">
        <f t="shared" si="219"/>
        <v>0</v>
      </c>
      <c r="R2681" s="3">
        <f t="shared" si="215"/>
        <v>36118.990000000013</v>
      </c>
      <c r="S2681" s="24" t="s">
        <v>1334</v>
      </c>
      <c r="T2681" s="24" t="s">
        <v>1334</v>
      </c>
      <c r="U2681" s="55"/>
      <c r="V2681" s="25">
        <f>IFERROR(VLOOKUP(BCP_Soles[[#This Row],[destinatario]],CHOOSE({1,2},Clientes_Proveedores[Razon Social],Clientes_Proveedores[Ruc / Dni]),2,0),"")</f>
        <v>20419158462</v>
      </c>
      <c r="W2681" s="25"/>
      <c r="X2681" s="25"/>
      <c r="Y2681" s="25"/>
      <c r="Z2681" s="75" t="s">
        <v>3666</v>
      </c>
      <c r="AA2681" s="3" t="str">
        <f>IF(BCP_Soles[[#This Row],[fecha]]&gt;0,TEXT(BCP_Soles[[#This Row],[fecha]],"mmmm"),0)</f>
        <v>Julio</v>
      </c>
    </row>
    <row r="2682" spans="1:27" ht="48" x14ac:dyDescent="0.3">
      <c r="A2682" s="2">
        <f>IF(BCP_Soles[[#This Row],[tipo_registro]]="R",COUNTIFS($C$1:$C2681,"R")+1,A2681)</f>
        <v>1949</v>
      </c>
      <c r="B2682" s="19" t="str">
        <f t="shared" si="216"/>
        <v>B-BCP - Soles</v>
      </c>
      <c r="C2682" s="3" t="s">
        <v>1330</v>
      </c>
      <c r="D2682" s="14">
        <v>45852</v>
      </c>
      <c r="E2682" s="5" t="s">
        <v>505</v>
      </c>
      <c r="F2682" s="5" t="s">
        <v>1303</v>
      </c>
      <c r="G2682" s="6" t="s">
        <v>425</v>
      </c>
      <c r="H2682" s="6" t="s">
        <v>68</v>
      </c>
      <c r="I2682" s="6" t="s">
        <v>3381</v>
      </c>
      <c r="J2682" s="6">
        <v>44</v>
      </c>
      <c r="K2682" s="7" t="s">
        <v>1930</v>
      </c>
      <c r="L2682" s="8">
        <v>6096647</v>
      </c>
      <c r="M2682" s="8" t="str">
        <f t="shared" si="217"/>
        <v>PEN</v>
      </c>
      <c r="N2682" s="13"/>
      <c r="O2682" s="13">
        <v>2035.81</v>
      </c>
      <c r="P2682" s="3">
        <f t="shared" si="218"/>
        <v>2035.81</v>
      </c>
      <c r="Q2682" s="3">
        <f t="shared" si="219"/>
        <v>0</v>
      </c>
      <c r="R2682" s="3">
        <f t="shared" si="215"/>
        <v>38154.80000000001</v>
      </c>
      <c r="S2682" s="24" t="s">
        <v>1334</v>
      </c>
      <c r="T2682" s="24" t="s">
        <v>1334</v>
      </c>
      <c r="U2682" s="55"/>
      <c r="V2682" s="25">
        <f>IFERROR(VLOOKUP(BCP_Soles[[#This Row],[destinatario]],CHOOSE({1,2},Clientes_Proveedores[Razon Social],Clientes_Proveedores[Ruc / Dni]),2,0),"")</f>
        <v>20558226979</v>
      </c>
      <c r="W2682" s="25"/>
      <c r="X2682" s="25"/>
      <c r="Y2682" s="25"/>
      <c r="Z2682" s="75"/>
      <c r="AA2682" s="3" t="str">
        <f>IF(BCP_Soles[[#This Row],[fecha]]&gt;0,TEXT(BCP_Soles[[#This Row],[fecha]],"mmmm"),0)</f>
        <v>Julio</v>
      </c>
    </row>
    <row r="2683" spans="1:27" x14ac:dyDescent="0.3">
      <c r="A2683" s="2">
        <f>IF(BCP_Soles[[#This Row],[tipo_registro]]="R",COUNTIFS($C$1:$C2682,"R")+1,A2682)</f>
        <v>1950</v>
      </c>
      <c r="B2683" s="19" t="str">
        <f t="shared" si="216"/>
        <v>B-BCP - Soles</v>
      </c>
      <c r="C2683" s="3" t="s">
        <v>1330</v>
      </c>
      <c r="D2683" s="14">
        <v>45852</v>
      </c>
      <c r="E2683" s="5"/>
      <c r="F2683" s="5" t="s">
        <v>1303</v>
      </c>
      <c r="G2683" s="6" t="s">
        <v>425</v>
      </c>
      <c r="H2683" s="6"/>
      <c r="I2683" s="6"/>
      <c r="J2683" s="6"/>
      <c r="K2683" s="7" t="s">
        <v>1356</v>
      </c>
      <c r="L2683" s="8">
        <v>1006822</v>
      </c>
      <c r="M2683" s="8" t="str">
        <f t="shared" si="217"/>
        <v>PEN</v>
      </c>
      <c r="N2683" s="13"/>
      <c r="O2683" s="13">
        <v>225</v>
      </c>
      <c r="P2683" s="3">
        <f t="shared" si="218"/>
        <v>225</v>
      </c>
      <c r="Q2683" s="3">
        <f t="shared" si="219"/>
        <v>0</v>
      </c>
      <c r="R2683" s="3">
        <f t="shared" si="215"/>
        <v>38379.80000000001</v>
      </c>
      <c r="S2683" s="24"/>
      <c r="T2683" s="24"/>
      <c r="U2683" s="55"/>
      <c r="V2683" s="25">
        <f>IFERROR(VLOOKUP(BCP_Soles[[#This Row],[destinatario]],CHOOSE({1,2},Clientes_Proveedores[Razon Social],Clientes_Proveedores[Ruc / Dni]),2,0),"")</f>
        <v>20558226979</v>
      </c>
      <c r="W2683" s="25"/>
      <c r="X2683" s="25"/>
      <c r="Y2683" s="25"/>
      <c r="Z2683" s="75"/>
      <c r="AA2683" s="3" t="str">
        <f>IF(BCP_Soles[[#This Row],[fecha]]&gt;0,TEXT(BCP_Soles[[#This Row],[fecha]],"mmmm"),0)</f>
        <v>Julio</v>
      </c>
    </row>
    <row r="2684" spans="1:27" ht="24" x14ac:dyDescent="0.3">
      <c r="A2684" s="2">
        <f>IF(BCP_Soles[[#This Row],[tipo_registro]]="R",COUNTIFS($C$1:$C2683,"R")+1,A2683)</f>
        <v>1951</v>
      </c>
      <c r="B2684" s="19" t="str">
        <f t="shared" si="216"/>
        <v>B-BCP - Soles</v>
      </c>
      <c r="C2684" s="3" t="s">
        <v>1330</v>
      </c>
      <c r="D2684" s="14">
        <v>45852</v>
      </c>
      <c r="E2684" s="5" t="s">
        <v>1331</v>
      </c>
      <c r="F2684" s="5" t="s">
        <v>1336</v>
      </c>
      <c r="G2684" s="6" t="s">
        <v>997</v>
      </c>
      <c r="H2684" s="6" t="s">
        <v>143</v>
      </c>
      <c r="I2684" s="6">
        <v>1</v>
      </c>
      <c r="J2684" s="6">
        <v>492025</v>
      </c>
      <c r="K2684" s="7" t="s">
        <v>3884</v>
      </c>
      <c r="L2684" s="8">
        <v>1230628</v>
      </c>
      <c r="M2684" s="8" t="str">
        <f t="shared" si="217"/>
        <v>PEN</v>
      </c>
      <c r="N2684" s="13"/>
      <c r="O2684" s="13">
        <v>520</v>
      </c>
      <c r="P2684" s="3">
        <f t="shared" si="218"/>
        <v>0</v>
      </c>
      <c r="Q2684" s="3">
        <f t="shared" si="219"/>
        <v>520</v>
      </c>
      <c r="R2684" s="3">
        <f t="shared" si="215"/>
        <v>37859.80000000001</v>
      </c>
      <c r="S2684" s="24" t="s">
        <v>1334</v>
      </c>
      <c r="T2684" s="24" t="s">
        <v>1334</v>
      </c>
      <c r="U2684" s="79" t="s">
        <v>3885</v>
      </c>
      <c r="V2684" s="25">
        <f>IFERROR(VLOOKUP(BCP_Soles[[#This Row],[destinatario]],CHOOSE({1,2},Clientes_Proveedores[Razon Social],Clientes_Proveedores[Ruc / Dni]),2,0),"")</f>
        <v>71334789</v>
      </c>
      <c r="W2684" s="25"/>
      <c r="X2684" s="25"/>
      <c r="Y2684" s="25"/>
      <c r="Z2684" s="75"/>
      <c r="AA2684" s="3" t="str">
        <f>IF(BCP_Soles[[#This Row],[fecha]]&gt;0,TEXT(BCP_Soles[[#This Row],[fecha]],"mmmm"),0)</f>
        <v>Julio</v>
      </c>
    </row>
    <row r="2685" spans="1:27" ht="24" x14ac:dyDescent="0.3">
      <c r="A2685" s="16">
        <f>IF(BCP_Soles[[#This Row],[tipo_registro]]="R",COUNTIFS($C$1:$C2684,"R")+1,A2684)</f>
        <v>1952</v>
      </c>
      <c r="B2685" s="19" t="str">
        <f t="shared" si="216"/>
        <v>B-BCP - Soles</v>
      </c>
      <c r="C2685" s="3" t="s">
        <v>1330</v>
      </c>
      <c r="D2685" s="14">
        <v>45852</v>
      </c>
      <c r="E2685" s="5" t="s">
        <v>2269</v>
      </c>
      <c r="F2685" s="5" t="s">
        <v>1336</v>
      </c>
      <c r="G2685" s="6" t="s">
        <v>756</v>
      </c>
      <c r="H2685" s="6" t="s">
        <v>68</v>
      </c>
      <c r="I2685" s="6" t="s">
        <v>1376</v>
      </c>
      <c r="J2685" s="6">
        <v>1458</v>
      </c>
      <c r="K2685" s="7" t="s">
        <v>3886</v>
      </c>
      <c r="L2685" s="8">
        <v>1228675</v>
      </c>
      <c r="M2685" s="8" t="str">
        <f t="shared" si="217"/>
        <v>PEN</v>
      </c>
      <c r="N2685" s="13"/>
      <c r="O2685" s="13">
        <v>675</v>
      </c>
      <c r="P2685" s="3">
        <f t="shared" si="218"/>
        <v>0</v>
      </c>
      <c r="Q2685" s="3">
        <f t="shared" si="219"/>
        <v>675</v>
      </c>
      <c r="R2685" s="3">
        <f t="shared" si="215"/>
        <v>37184.80000000001</v>
      </c>
      <c r="S2685" s="24" t="s">
        <v>1334</v>
      </c>
      <c r="T2685" s="24" t="s">
        <v>1334</v>
      </c>
      <c r="U2685" s="80" t="s">
        <v>3887</v>
      </c>
      <c r="V2685" s="25">
        <f>IFERROR(VLOOKUP(BCP_Soles[[#This Row],[destinatario]],CHOOSE({1,2},Clientes_Proveedores[Razon Social],Clientes_Proveedores[Ruc / Dni]),2,0),"")</f>
        <v>10450776578</v>
      </c>
      <c r="W2685" s="25"/>
      <c r="X2685" s="25"/>
      <c r="Y2685" s="25"/>
      <c r="Z2685" s="75"/>
      <c r="AA2685" s="3" t="str">
        <f>IF(BCP_Soles[[#This Row],[fecha]]&gt;0,TEXT(BCP_Soles[[#This Row],[fecha]],"mmmm"),0)</f>
        <v>Julio</v>
      </c>
    </row>
    <row r="2686" spans="1:27" x14ac:dyDescent="0.3">
      <c r="A2686" s="16">
        <f>IF(BCP_Soles[[#This Row],[tipo_registro]]="R",COUNTIFS($C$1:$C2685,"R")+1,A2685)</f>
        <v>1953</v>
      </c>
      <c r="B2686" s="19" t="str">
        <f t="shared" si="216"/>
        <v>B-BCP - Soles</v>
      </c>
      <c r="C2686" s="3" t="s">
        <v>1330</v>
      </c>
      <c r="D2686" s="14">
        <v>45852</v>
      </c>
      <c r="E2686" s="5" t="s">
        <v>1335</v>
      </c>
      <c r="F2686" s="5" t="s">
        <v>1336</v>
      </c>
      <c r="G2686" s="6" t="s">
        <v>1009</v>
      </c>
      <c r="H2686" s="6" t="s">
        <v>64</v>
      </c>
      <c r="I2686" s="6" t="s">
        <v>3673</v>
      </c>
      <c r="J2686" s="6">
        <v>1953</v>
      </c>
      <c r="K2686" s="7" t="s">
        <v>3160</v>
      </c>
      <c r="L2686" s="8"/>
      <c r="M2686" s="8" t="str">
        <f t="shared" si="217"/>
        <v>PEN</v>
      </c>
      <c r="N2686" s="13"/>
      <c r="O2686" s="13">
        <v>0.1</v>
      </c>
      <c r="P2686" s="3">
        <f t="shared" si="218"/>
        <v>0</v>
      </c>
      <c r="Q2686" s="3">
        <f t="shared" si="219"/>
        <v>0.1</v>
      </c>
      <c r="R2686" s="3">
        <f t="shared" si="215"/>
        <v>37184.700000000012</v>
      </c>
      <c r="S2686" s="24" t="s">
        <v>1334</v>
      </c>
      <c r="T2686" s="24" t="s">
        <v>1334</v>
      </c>
      <c r="U2686" s="55"/>
      <c r="V2686" s="25">
        <f>IFERROR(VLOOKUP(BCP_Soles[[#This Row],[destinatario]],CHOOSE({1,2},Clientes_Proveedores[Razon Social],Clientes_Proveedores[Ruc / Dni]),2,0),"")</f>
        <v>11111111</v>
      </c>
      <c r="W2686" s="25"/>
      <c r="X2686" s="25"/>
      <c r="Y2686" s="25"/>
      <c r="Z2686" s="75"/>
      <c r="AA2686" s="3" t="str">
        <f>IF(BCP_Soles[[#This Row],[fecha]]&gt;0,TEXT(BCP_Soles[[#This Row],[fecha]],"mmmm"),0)</f>
        <v>Julio</v>
      </c>
    </row>
    <row r="2687" spans="1:27" x14ac:dyDescent="0.3">
      <c r="A2687" s="16">
        <f>IF(BCP_Soles[[#This Row],[tipo_registro]]="R",COUNTIFS($C$1:$C2686,"R")+1,A2686)</f>
        <v>1954</v>
      </c>
      <c r="B2687" s="19" t="str">
        <f t="shared" si="216"/>
        <v>B-BCP - Soles</v>
      </c>
      <c r="C2687" s="3" t="s">
        <v>1330</v>
      </c>
      <c r="D2687" s="14">
        <v>45853</v>
      </c>
      <c r="E2687" s="5"/>
      <c r="F2687" s="5" t="s">
        <v>1303</v>
      </c>
      <c r="G2687" s="6" t="s">
        <v>425</v>
      </c>
      <c r="H2687" s="6"/>
      <c r="I2687" s="6"/>
      <c r="J2687" s="6"/>
      <c r="K2687" s="7" t="s">
        <v>1356</v>
      </c>
      <c r="L2687" s="8">
        <v>3675018</v>
      </c>
      <c r="M2687" s="8" t="str">
        <f t="shared" si="217"/>
        <v>PEN</v>
      </c>
      <c r="N2687" s="13"/>
      <c r="O2687" s="13">
        <v>7839</v>
      </c>
      <c r="P2687" s="3">
        <f t="shared" si="218"/>
        <v>7839</v>
      </c>
      <c r="Q2687" s="3">
        <f t="shared" si="219"/>
        <v>0</v>
      </c>
      <c r="R2687" s="3">
        <f t="shared" si="215"/>
        <v>45023.700000000012</v>
      </c>
      <c r="S2687" s="24" t="s">
        <v>1334</v>
      </c>
      <c r="T2687" s="24" t="s">
        <v>1334</v>
      </c>
      <c r="U2687" s="55"/>
      <c r="V2687" s="25">
        <f>IFERROR(VLOOKUP(BCP_Soles[[#This Row],[destinatario]],CHOOSE({1,2},Clientes_Proveedores[Razon Social],Clientes_Proveedores[Ruc / Dni]),2,0),"")</f>
        <v>20558226979</v>
      </c>
      <c r="W2687" s="25"/>
      <c r="X2687" s="25"/>
      <c r="Y2687" s="25"/>
      <c r="Z2687" s="75"/>
      <c r="AA2687" s="3" t="str">
        <f>IF(BCP_Soles[[#This Row],[fecha]]&gt;0,TEXT(BCP_Soles[[#This Row],[fecha]],"mmmm"),0)</f>
        <v>Julio</v>
      </c>
    </row>
    <row r="2688" spans="1:27" x14ac:dyDescent="0.3">
      <c r="A2688" s="16">
        <f>IF(BCP_Soles[[#This Row],[tipo_registro]]="R",COUNTIFS($C$1:$C2687,"R")+1,A2687)</f>
        <v>1954</v>
      </c>
      <c r="B2688" s="19" t="str">
        <f t="shared" si="216"/>
        <v>B-BCP - Soles</v>
      </c>
      <c r="C2688" s="3" t="s">
        <v>1352</v>
      </c>
      <c r="D2688" s="14">
        <v>45853</v>
      </c>
      <c r="E2688" s="5" t="s">
        <v>1522</v>
      </c>
      <c r="F2688" s="5" t="s">
        <v>1303</v>
      </c>
      <c r="G2688" s="6" t="s">
        <v>425</v>
      </c>
      <c r="H2688" s="6" t="s">
        <v>119</v>
      </c>
      <c r="I2688" s="6">
        <v>1</v>
      </c>
      <c r="J2688" s="6">
        <v>4568</v>
      </c>
      <c r="K2688" s="7" t="s">
        <v>1356</v>
      </c>
      <c r="L2688" s="8">
        <v>3675018</v>
      </c>
      <c r="M2688" s="8" t="str">
        <f t="shared" si="217"/>
        <v>PEN</v>
      </c>
      <c r="N2688" s="13">
        <v>2795</v>
      </c>
      <c r="O2688" s="13"/>
      <c r="P2688" s="3">
        <f t="shared" si="218"/>
        <v>0</v>
      </c>
      <c r="Q2688" s="3">
        <f t="shared" si="219"/>
        <v>0</v>
      </c>
      <c r="R2688" s="3">
        <f t="shared" si="215"/>
        <v>45023.700000000012</v>
      </c>
      <c r="S2688" s="24" t="s">
        <v>1334</v>
      </c>
      <c r="T2688" s="24" t="s">
        <v>1334</v>
      </c>
      <c r="U2688" s="55"/>
      <c r="V2688" s="25">
        <f>IFERROR(VLOOKUP(BCP_Soles[[#This Row],[destinatario]],CHOOSE({1,2},Clientes_Proveedores[Razon Social],Clientes_Proveedores[Ruc / Dni]),2,0),"")</f>
        <v>20558226979</v>
      </c>
      <c r="W2688" s="25"/>
      <c r="X2688" s="25"/>
      <c r="Y2688" s="25"/>
      <c r="Z2688" s="75"/>
      <c r="AA2688" s="3" t="str">
        <f>IF(BCP_Soles[[#This Row],[fecha]]&gt;0,TEXT(BCP_Soles[[#This Row],[fecha]],"mmmm"),0)</f>
        <v>Julio</v>
      </c>
    </row>
    <row r="2689" spans="1:27" x14ac:dyDescent="0.3">
      <c r="A2689" s="16">
        <f>IF(BCP_Soles[[#This Row],[tipo_registro]]="R",COUNTIFS($C$1:$C2688,"R")+1,A2688)</f>
        <v>1954</v>
      </c>
      <c r="B2689" s="19" t="str">
        <f t="shared" si="216"/>
        <v>B-BCP - Soles</v>
      </c>
      <c r="C2689" s="3" t="s">
        <v>1352</v>
      </c>
      <c r="D2689" s="14">
        <v>45853</v>
      </c>
      <c r="E2689" s="5" t="s">
        <v>1522</v>
      </c>
      <c r="F2689" s="5" t="s">
        <v>1303</v>
      </c>
      <c r="G2689" s="6" t="s">
        <v>425</v>
      </c>
      <c r="H2689" s="6" t="s">
        <v>119</v>
      </c>
      <c r="I2689" s="6">
        <v>1</v>
      </c>
      <c r="J2689" s="6">
        <v>4573</v>
      </c>
      <c r="K2689" s="7" t="s">
        <v>1356</v>
      </c>
      <c r="L2689" s="8">
        <v>3675018</v>
      </c>
      <c r="M2689" s="8" t="str">
        <f t="shared" si="217"/>
        <v>PEN</v>
      </c>
      <c r="N2689" s="13">
        <v>3302</v>
      </c>
      <c r="O2689" s="13"/>
      <c r="P2689" s="3">
        <f t="shared" si="218"/>
        <v>0</v>
      </c>
      <c r="Q2689" s="3">
        <f t="shared" si="219"/>
        <v>0</v>
      </c>
      <c r="R2689" s="3">
        <f t="shared" si="215"/>
        <v>45023.700000000012</v>
      </c>
      <c r="S2689" s="24" t="s">
        <v>1334</v>
      </c>
      <c r="T2689" s="24" t="s">
        <v>1334</v>
      </c>
      <c r="U2689" s="55"/>
      <c r="V2689" s="25">
        <f>IFERROR(VLOOKUP(BCP_Soles[[#This Row],[destinatario]],CHOOSE({1,2},Clientes_Proveedores[Razon Social],Clientes_Proveedores[Ruc / Dni]),2,0),"")</f>
        <v>20558226979</v>
      </c>
      <c r="W2689" s="25"/>
      <c r="X2689" s="25"/>
      <c r="Y2689" s="25"/>
      <c r="Z2689" s="75"/>
      <c r="AA2689" s="3" t="str">
        <f>IF(BCP_Soles[[#This Row],[fecha]]&gt;0,TEXT(BCP_Soles[[#This Row],[fecha]],"mmmm"),0)</f>
        <v>Julio</v>
      </c>
    </row>
    <row r="2690" spans="1:27" x14ac:dyDescent="0.3">
      <c r="A2690" s="16">
        <f>IF(BCP_Soles[[#This Row],[tipo_registro]]="R",COUNTIFS($C$1:$C2689,"R")+1,A2689)</f>
        <v>1954</v>
      </c>
      <c r="B2690" s="19" t="str">
        <f t="shared" si="216"/>
        <v>B-BCP - Soles</v>
      </c>
      <c r="C2690" s="3" t="s">
        <v>1352</v>
      </c>
      <c r="D2690" s="14">
        <v>45853</v>
      </c>
      <c r="E2690" s="5" t="s">
        <v>1522</v>
      </c>
      <c r="F2690" s="5" t="s">
        <v>1303</v>
      </c>
      <c r="G2690" s="6" t="s">
        <v>425</v>
      </c>
      <c r="H2690" s="6" t="s">
        <v>119</v>
      </c>
      <c r="I2690" s="6">
        <v>1</v>
      </c>
      <c r="J2690" s="6">
        <v>4582</v>
      </c>
      <c r="K2690" s="7" t="s">
        <v>1356</v>
      </c>
      <c r="L2690" s="8">
        <v>3675018</v>
      </c>
      <c r="M2690" s="8" t="str">
        <f t="shared" si="217"/>
        <v>PEN</v>
      </c>
      <c r="N2690" s="13">
        <v>1742</v>
      </c>
      <c r="O2690" s="13"/>
      <c r="P2690" s="3">
        <f t="shared" si="218"/>
        <v>0</v>
      </c>
      <c r="Q2690" s="3">
        <f t="shared" si="219"/>
        <v>0</v>
      </c>
      <c r="R2690" s="3">
        <f t="shared" si="215"/>
        <v>45023.700000000012</v>
      </c>
      <c r="S2690" s="24" t="s">
        <v>1334</v>
      </c>
      <c r="T2690" s="24" t="s">
        <v>1334</v>
      </c>
      <c r="U2690" s="55"/>
      <c r="V2690" s="25">
        <f>IFERROR(VLOOKUP(BCP_Soles[[#This Row],[destinatario]],CHOOSE({1,2},Clientes_Proveedores[Razon Social],Clientes_Proveedores[Ruc / Dni]),2,0),"")</f>
        <v>20558226979</v>
      </c>
      <c r="W2690" s="25"/>
      <c r="X2690" s="25"/>
      <c r="Y2690" s="25"/>
      <c r="Z2690" s="75"/>
      <c r="AA2690" s="3" t="str">
        <f>IF(BCP_Soles[[#This Row],[fecha]]&gt;0,TEXT(BCP_Soles[[#This Row],[fecha]],"mmmm"),0)</f>
        <v>Julio</v>
      </c>
    </row>
    <row r="2691" spans="1:27" x14ac:dyDescent="0.3">
      <c r="A2691" s="16">
        <f>IF(BCP_Soles[[#This Row],[tipo_registro]]="R",COUNTIFS($C$1:$C2690,"R")+1,A2690)</f>
        <v>1955</v>
      </c>
      <c r="B2691" s="19" t="str">
        <f t="shared" si="216"/>
        <v>B-BCP - Soles</v>
      </c>
      <c r="C2691" s="3" t="s">
        <v>1330</v>
      </c>
      <c r="D2691" s="14">
        <v>45853</v>
      </c>
      <c r="E2691" s="5"/>
      <c r="F2691" s="5" t="s">
        <v>1303</v>
      </c>
      <c r="G2691" s="6" t="s">
        <v>425</v>
      </c>
      <c r="H2691" s="6"/>
      <c r="I2691" s="6"/>
      <c r="J2691" s="6"/>
      <c r="K2691" s="7" t="s">
        <v>1356</v>
      </c>
      <c r="L2691" s="8">
        <v>1781974</v>
      </c>
      <c r="M2691" s="8" t="str">
        <f t="shared" si="217"/>
        <v>PEN</v>
      </c>
      <c r="N2691" s="13"/>
      <c r="O2691" s="13">
        <v>420</v>
      </c>
      <c r="P2691" s="3">
        <f t="shared" si="218"/>
        <v>420</v>
      </c>
      <c r="Q2691" s="3">
        <f t="shared" si="219"/>
        <v>0</v>
      </c>
      <c r="R2691" s="3">
        <f t="shared" si="215"/>
        <v>45443.700000000012</v>
      </c>
      <c r="S2691" s="24"/>
      <c r="T2691" s="24"/>
      <c r="U2691" s="55"/>
      <c r="V2691" s="25">
        <f>IFERROR(VLOOKUP(BCP_Soles[[#This Row],[destinatario]],CHOOSE({1,2},Clientes_Proveedores[Razon Social],Clientes_Proveedores[Ruc / Dni]),2,0),"")</f>
        <v>20558226979</v>
      </c>
      <c r="W2691" s="25"/>
      <c r="X2691" s="25"/>
      <c r="Y2691" s="25"/>
      <c r="Z2691" s="75"/>
      <c r="AA2691" s="3" t="str">
        <f>IF(BCP_Soles[[#This Row],[fecha]]&gt;0,TEXT(BCP_Soles[[#This Row],[fecha]],"mmmm"),0)</f>
        <v>Julio</v>
      </c>
    </row>
    <row r="2692" spans="1:27" x14ac:dyDescent="0.3">
      <c r="A2692" s="16">
        <f>IF(BCP_Soles[[#This Row],[tipo_registro]]="R",COUNTIFS($C$1:$C2691,"R")+1,A2691)</f>
        <v>1956</v>
      </c>
      <c r="B2692" s="19" t="str">
        <f t="shared" si="216"/>
        <v>B-BCP - Soles</v>
      </c>
      <c r="C2692" s="3" t="s">
        <v>1330</v>
      </c>
      <c r="D2692" s="14">
        <v>45853</v>
      </c>
      <c r="E2692" s="5" t="s">
        <v>1331</v>
      </c>
      <c r="F2692" s="5" t="s">
        <v>1303</v>
      </c>
      <c r="G2692" s="6" t="s">
        <v>425</v>
      </c>
      <c r="H2692" s="6"/>
      <c r="I2692" s="6"/>
      <c r="J2692" s="6"/>
      <c r="K2692" s="7" t="s">
        <v>3888</v>
      </c>
      <c r="L2692" s="8">
        <v>2360480</v>
      </c>
      <c r="M2692" s="8" t="str">
        <f t="shared" si="217"/>
        <v>PEN</v>
      </c>
      <c r="N2692" s="13"/>
      <c r="O2692" s="13">
        <v>34464.1</v>
      </c>
      <c r="P2692" s="3">
        <f t="shared" si="218"/>
        <v>34464.1</v>
      </c>
      <c r="Q2692" s="3">
        <f t="shared" si="219"/>
        <v>0</v>
      </c>
      <c r="R2692" s="3">
        <f t="shared" si="215"/>
        <v>79907.800000000017</v>
      </c>
      <c r="S2692" s="24" t="s">
        <v>1334</v>
      </c>
      <c r="T2692" s="24" t="s">
        <v>1334</v>
      </c>
      <c r="U2692" s="55"/>
      <c r="V2692" s="25">
        <f>IFERROR(VLOOKUP(BCP_Soles[[#This Row],[destinatario]],CHOOSE({1,2},Clientes_Proveedores[Razon Social],Clientes_Proveedores[Ruc / Dni]),2,0),"")</f>
        <v>20558226979</v>
      </c>
      <c r="W2692" s="25"/>
      <c r="X2692" s="25"/>
      <c r="Y2692" s="25"/>
      <c r="Z2692" s="75"/>
      <c r="AA2692" s="3" t="str">
        <f>IF(BCP_Soles[[#This Row],[fecha]]&gt;0,TEXT(BCP_Soles[[#This Row],[fecha]],"mmmm"),0)</f>
        <v>Julio</v>
      </c>
    </row>
    <row r="2693" spans="1:27" ht="36" x14ac:dyDescent="0.3">
      <c r="A2693" s="16">
        <f>IF(BCP_Soles[[#This Row],[tipo_registro]]="R",COUNTIFS($C$1:$C2692,"R")+1,A2692)</f>
        <v>1957</v>
      </c>
      <c r="B2693" s="19" t="str">
        <f t="shared" si="216"/>
        <v>B-BCP - Soles</v>
      </c>
      <c r="C2693" s="3" t="s">
        <v>1330</v>
      </c>
      <c r="D2693" s="14">
        <v>45853</v>
      </c>
      <c r="E2693" s="5" t="s">
        <v>261</v>
      </c>
      <c r="F2693" s="5" t="s">
        <v>1303</v>
      </c>
      <c r="G2693" s="6" t="s">
        <v>425</v>
      </c>
      <c r="H2693" s="6" t="s">
        <v>68</v>
      </c>
      <c r="I2693" s="6" t="s">
        <v>3302</v>
      </c>
      <c r="J2693" s="6">
        <v>93</v>
      </c>
      <c r="K2693" s="7" t="s">
        <v>3889</v>
      </c>
      <c r="L2693" s="8">
        <v>843736</v>
      </c>
      <c r="M2693" s="8" t="str">
        <f t="shared" si="217"/>
        <v>PEN</v>
      </c>
      <c r="N2693" s="13"/>
      <c r="O2693" s="13">
        <v>21187.32</v>
      </c>
      <c r="P2693" s="3">
        <f t="shared" si="218"/>
        <v>21187.32</v>
      </c>
      <c r="Q2693" s="3">
        <f t="shared" si="219"/>
        <v>0</v>
      </c>
      <c r="R2693" s="3">
        <f t="shared" si="215"/>
        <v>101095.12000000002</v>
      </c>
      <c r="S2693" s="24" t="s">
        <v>1334</v>
      </c>
      <c r="T2693" s="24" t="s">
        <v>1334</v>
      </c>
      <c r="U2693" s="55"/>
      <c r="V2693" s="25">
        <f>IFERROR(VLOOKUP(BCP_Soles[[#This Row],[destinatario]],CHOOSE({1,2},Clientes_Proveedores[Razon Social],Clientes_Proveedores[Ruc / Dni]),2,0),"")</f>
        <v>20558226979</v>
      </c>
      <c r="W2693" s="25"/>
      <c r="X2693" s="25"/>
      <c r="Y2693" s="25"/>
      <c r="Z2693" s="75"/>
      <c r="AA2693" s="3" t="str">
        <f>IF(BCP_Soles[[#This Row],[fecha]]&gt;0,TEXT(BCP_Soles[[#This Row],[fecha]],"mmmm"),0)</f>
        <v>Julio</v>
      </c>
    </row>
    <row r="2694" spans="1:27" ht="36" x14ac:dyDescent="0.3">
      <c r="A2694" s="16">
        <f>IF(BCP_Soles[[#This Row],[tipo_registro]]="R",COUNTIFS($C$1:$C2693,"R")+1,A2693)</f>
        <v>1958</v>
      </c>
      <c r="B2694" s="19" t="str">
        <f t="shared" si="216"/>
        <v>B-BCP - Soles</v>
      </c>
      <c r="C2694" s="3" t="s">
        <v>1330</v>
      </c>
      <c r="D2694" s="14">
        <v>45853</v>
      </c>
      <c r="E2694" s="5" t="s">
        <v>2269</v>
      </c>
      <c r="F2694" s="5" t="s">
        <v>1336</v>
      </c>
      <c r="G2694" s="6" t="s">
        <v>389</v>
      </c>
      <c r="H2694" s="6" t="s">
        <v>68</v>
      </c>
      <c r="I2694" s="6" t="s">
        <v>1374</v>
      </c>
      <c r="J2694" s="6">
        <v>1671</v>
      </c>
      <c r="K2694" s="7" t="s">
        <v>3890</v>
      </c>
      <c r="L2694" s="8">
        <v>1153978</v>
      </c>
      <c r="M2694" s="8" t="str">
        <f t="shared" si="217"/>
        <v>PEN</v>
      </c>
      <c r="N2694" s="13"/>
      <c r="O2694" s="13">
        <v>54.2</v>
      </c>
      <c r="P2694" s="3">
        <f t="shared" si="218"/>
        <v>0</v>
      </c>
      <c r="Q2694" s="3">
        <f t="shared" si="219"/>
        <v>54.2</v>
      </c>
      <c r="R2694" s="3">
        <f t="shared" si="215"/>
        <v>101040.92000000003</v>
      </c>
      <c r="S2694" s="24" t="s">
        <v>1334</v>
      </c>
      <c r="T2694" s="24" t="s">
        <v>1334</v>
      </c>
      <c r="U2694" s="79" t="s">
        <v>3891</v>
      </c>
      <c r="V2694" s="25">
        <f>IFERROR(VLOOKUP(BCP_Soles[[#This Row],[destinatario]],CHOOSE({1,2},Clientes_Proveedores[Razon Social],Clientes_Proveedores[Ruc / Dni]),2,0),"")</f>
        <v>20539627938</v>
      </c>
      <c r="W2694" s="25"/>
      <c r="X2694" s="25"/>
      <c r="Y2694" s="25"/>
      <c r="Z2694" s="75"/>
      <c r="AA2694" s="3" t="str">
        <f>IF(BCP_Soles[[#This Row],[fecha]]&gt;0,TEXT(BCP_Soles[[#This Row],[fecha]],"mmmm"),0)</f>
        <v>Julio</v>
      </c>
    </row>
    <row r="2695" spans="1:27" ht="24" x14ac:dyDescent="0.3">
      <c r="A2695" s="16">
        <f>IF(BCP_Soles[[#This Row],[tipo_registro]]="R",COUNTIFS($C$1:$C2694,"R")+1,A2694)</f>
        <v>1959</v>
      </c>
      <c r="B2695" s="19" t="str">
        <f t="shared" si="216"/>
        <v>B-BCP - Soles</v>
      </c>
      <c r="C2695" s="3" t="s">
        <v>1330</v>
      </c>
      <c r="D2695" s="14">
        <v>45853</v>
      </c>
      <c r="E2695" s="5" t="s">
        <v>2269</v>
      </c>
      <c r="F2695" s="5" t="s">
        <v>1336</v>
      </c>
      <c r="G2695" s="6" t="s">
        <v>1023</v>
      </c>
      <c r="H2695" s="6" t="s">
        <v>68</v>
      </c>
      <c r="I2695" s="6" t="s">
        <v>1376</v>
      </c>
      <c r="J2695" s="6">
        <v>33</v>
      </c>
      <c r="K2695" s="7" t="s">
        <v>3892</v>
      </c>
      <c r="L2695" s="8">
        <v>1363647</v>
      </c>
      <c r="M2695" s="8" t="str">
        <f t="shared" si="217"/>
        <v>PEN</v>
      </c>
      <c r="N2695" s="13"/>
      <c r="O2695" s="13">
        <v>864</v>
      </c>
      <c r="P2695" s="3">
        <f t="shared" si="218"/>
        <v>0</v>
      </c>
      <c r="Q2695" s="3">
        <f t="shared" si="219"/>
        <v>864</v>
      </c>
      <c r="R2695" s="3">
        <f t="shared" si="215"/>
        <v>100176.92000000003</v>
      </c>
      <c r="S2695" s="24" t="s">
        <v>1334</v>
      </c>
      <c r="T2695" s="24" t="s">
        <v>1334</v>
      </c>
      <c r="U2695" s="79" t="s">
        <v>3893</v>
      </c>
      <c r="V2695" s="25">
        <f>IFERROR(VLOOKUP(BCP_Soles[[#This Row],[destinatario]],CHOOSE({1,2},Clientes_Proveedores[Razon Social],Clientes_Proveedores[Ruc / Dni]),2,0),"")</f>
        <v>10410162551</v>
      </c>
      <c r="W2695" s="25"/>
      <c r="X2695" s="25"/>
      <c r="Y2695" s="25"/>
      <c r="Z2695" s="75"/>
      <c r="AA2695" s="3" t="str">
        <f>IF(BCP_Soles[[#This Row],[fecha]]&gt;0,TEXT(BCP_Soles[[#This Row],[fecha]],"mmmm"),0)</f>
        <v>Julio</v>
      </c>
    </row>
    <row r="2696" spans="1:27" x14ac:dyDescent="0.3">
      <c r="A2696" s="2">
        <f>IF(BCP_Soles[[#This Row],[tipo_registro]]="R",COUNTIFS($C$1:$C2695,"R")+1,A2695)</f>
        <v>1960</v>
      </c>
      <c r="B2696" s="19" t="str">
        <f t="shared" si="216"/>
        <v>B-BCP - Soles</v>
      </c>
      <c r="C2696" s="3" t="s">
        <v>1330</v>
      </c>
      <c r="D2696" s="14">
        <v>45853</v>
      </c>
      <c r="E2696" s="5" t="s">
        <v>2269</v>
      </c>
      <c r="F2696" s="5" t="s">
        <v>1336</v>
      </c>
      <c r="G2696" s="6" t="s">
        <v>695</v>
      </c>
      <c r="H2696" s="6"/>
      <c r="I2696" s="6"/>
      <c r="J2696" s="6"/>
      <c r="K2696" s="7" t="s">
        <v>3552</v>
      </c>
      <c r="L2696" s="8">
        <v>360694</v>
      </c>
      <c r="M2696" s="8" t="str">
        <f t="shared" si="217"/>
        <v>PEN</v>
      </c>
      <c r="N2696" s="13"/>
      <c r="O2696" s="13">
        <v>2356.77</v>
      </c>
      <c r="P2696" s="3">
        <f t="shared" si="218"/>
        <v>0</v>
      </c>
      <c r="Q2696" s="3">
        <f t="shared" si="219"/>
        <v>2356.77</v>
      </c>
      <c r="R2696" s="3">
        <f t="shared" si="215"/>
        <v>97820.150000000023</v>
      </c>
      <c r="S2696" s="24" t="s">
        <v>1334</v>
      </c>
      <c r="T2696" s="24" t="s">
        <v>1334</v>
      </c>
      <c r="U2696" s="79" t="s">
        <v>3894</v>
      </c>
      <c r="V2696" s="25">
        <f>IFERROR(VLOOKUP(BCP_Soles[[#This Row],[destinatario]],CHOOSE({1,2},Clientes_Proveedores[Razon Social],Clientes_Proveedores[Ruc / Dni]),2,0),"")</f>
        <v>20127765279</v>
      </c>
      <c r="W2696" s="25"/>
      <c r="X2696" s="25"/>
      <c r="Y2696" s="25"/>
      <c r="Z2696" s="75"/>
      <c r="AA2696" s="3" t="str">
        <f>IF(BCP_Soles[[#This Row],[fecha]]&gt;0,TEXT(BCP_Soles[[#This Row],[fecha]],"mmmm"),0)</f>
        <v>Julio</v>
      </c>
    </row>
    <row r="2697" spans="1:27" x14ac:dyDescent="0.3">
      <c r="A2697" s="2">
        <f>IF(BCP_Soles[[#This Row],[tipo_registro]]="R",COUNTIFS($C$1:$C2696,"R")+1,A2696)</f>
        <v>1960</v>
      </c>
      <c r="B2697" s="19" t="str">
        <f t="shared" si="216"/>
        <v>B-BCP - Soles</v>
      </c>
      <c r="C2697" s="3" t="s">
        <v>1352</v>
      </c>
      <c r="D2697" s="14">
        <v>45853</v>
      </c>
      <c r="E2697" s="5" t="s">
        <v>2269</v>
      </c>
      <c r="F2697" s="5"/>
      <c r="G2697" s="6" t="s">
        <v>695</v>
      </c>
      <c r="H2697" s="6" t="s">
        <v>68</v>
      </c>
      <c r="I2697" s="6" t="s">
        <v>1513</v>
      </c>
      <c r="J2697" s="6">
        <v>171093</v>
      </c>
      <c r="K2697" s="7" t="s">
        <v>3552</v>
      </c>
      <c r="L2697" s="8">
        <v>360694</v>
      </c>
      <c r="M2697" s="8" t="str">
        <f t="shared" si="217"/>
        <v>PEN</v>
      </c>
      <c r="N2697" s="13">
        <v>1214.82</v>
      </c>
      <c r="O2697" s="13"/>
      <c r="P2697" s="3">
        <f t="shared" si="218"/>
        <v>0</v>
      </c>
      <c r="Q2697" s="3">
        <f t="shared" si="219"/>
        <v>0</v>
      </c>
      <c r="R2697" s="3">
        <f t="shared" ref="R2697:R2760" si="220">IFERROR(IF(F2697="SALDO",P2697,R2696+P2697-Q2697),0)</f>
        <v>97820.150000000023</v>
      </c>
      <c r="S2697" s="24" t="s">
        <v>1334</v>
      </c>
      <c r="T2697" s="24" t="s">
        <v>1334</v>
      </c>
      <c r="U2697" s="79"/>
      <c r="V2697" s="25">
        <f>IFERROR(VLOOKUP(BCP_Soles[[#This Row],[destinatario]],CHOOSE({1,2},Clientes_Proveedores[Razon Social],Clientes_Proveedores[Ruc / Dni]),2,0),"")</f>
        <v>20127765279</v>
      </c>
      <c r="W2697" s="25"/>
      <c r="X2697" s="25"/>
      <c r="Y2697" s="25"/>
      <c r="Z2697" s="75"/>
      <c r="AA2697" s="3" t="str">
        <f>IF(BCP_Soles[[#This Row],[fecha]]&gt;0,TEXT(BCP_Soles[[#This Row],[fecha]],"mmmm"),0)</f>
        <v>Julio</v>
      </c>
    </row>
    <row r="2698" spans="1:27" x14ac:dyDescent="0.3">
      <c r="A2698" s="2">
        <f>IF(BCP_Soles[[#This Row],[tipo_registro]]="R",COUNTIFS($C$1:$C2697,"R")+1,A2697)</f>
        <v>1960</v>
      </c>
      <c r="B2698" s="19" t="str">
        <f t="shared" si="216"/>
        <v>B-BCP - Soles</v>
      </c>
      <c r="C2698" s="3" t="s">
        <v>1352</v>
      </c>
      <c r="D2698" s="14">
        <v>45853</v>
      </c>
      <c r="E2698" s="5" t="s">
        <v>2269</v>
      </c>
      <c r="F2698" s="5"/>
      <c r="G2698" s="6" t="s">
        <v>695</v>
      </c>
      <c r="H2698" s="6" t="s">
        <v>68</v>
      </c>
      <c r="I2698" s="6" t="s">
        <v>1513</v>
      </c>
      <c r="J2698" s="6">
        <v>171111</v>
      </c>
      <c r="K2698" s="7" t="s">
        <v>3552</v>
      </c>
      <c r="L2698" s="8">
        <v>360694</v>
      </c>
      <c r="M2698" s="8" t="str">
        <f t="shared" si="217"/>
        <v>PEN</v>
      </c>
      <c r="N2698" s="13">
        <v>1141.95</v>
      </c>
      <c r="O2698" s="13"/>
      <c r="P2698" s="3">
        <f t="shared" si="218"/>
        <v>0</v>
      </c>
      <c r="Q2698" s="3">
        <f t="shared" si="219"/>
        <v>0</v>
      </c>
      <c r="R2698" s="3">
        <f t="shared" si="220"/>
        <v>97820.150000000023</v>
      </c>
      <c r="S2698" s="24" t="s">
        <v>1334</v>
      </c>
      <c r="T2698" s="24" t="s">
        <v>1334</v>
      </c>
      <c r="U2698" s="79"/>
      <c r="V2698" s="25">
        <f>IFERROR(VLOOKUP(BCP_Soles[[#This Row],[destinatario]],CHOOSE({1,2},Clientes_Proveedores[Razon Social],Clientes_Proveedores[Ruc / Dni]),2,0),"")</f>
        <v>20127765279</v>
      </c>
      <c r="W2698" s="25"/>
      <c r="X2698" s="25"/>
      <c r="Y2698" s="25"/>
      <c r="Z2698" s="75"/>
      <c r="AA2698" s="3" t="str">
        <f>IF(BCP_Soles[[#This Row],[fecha]]&gt;0,TEXT(BCP_Soles[[#This Row],[fecha]],"mmmm"),0)</f>
        <v>Julio</v>
      </c>
    </row>
    <row r="2699" spans="1:27" ht="24" x14ac:dyDescent="0.3">
      <c r="A2699" s="2">
        <f>IF(BCP_Soles[[#This Row],[tipo_registro]]="R",COUNTIFS($C$1:$C2698,"R")+1,A2698)</f>
        <v>1961</v>
      </c>
      <c r="B2699" s="19" t="str">
        <f t="shared" si="216"/>
        <v>B-BCP - Soles</v>
      </c>
      <c r="C2699" s="3" t="s">
        <v>1330</v>
      </c>
      <c r="D2699" s="14">
        <v>45853</v>
      </c>
      <c r="E2699" s="5" t="s">
        <v>2269</v>
      </c>
      <c r="F2699" s="5" t="s">
        <v>1336</v>
      </c>
      <c r="G2699" s="6" t="s">
        <v>333</v>
      </c>
      <c r="H2699" s="6" t="s">
        <v>68</v>
      </c>
      <c r="I2699" s="6" t="s">
        <v>1376</v>
      </c>
      <c r="J2699" s="6">
        <v>739</v>
      </c>
      <c r="K2699" s="7" t="s">
        <v>3895</v>
      </c>
      <c r="L2699" s="8">
        <v>1361650</v>
      </c>
      <c r="M2699" s="8" t="str">
        <f t="shared" si="217"/>
        <v>PEN</v>
      </c>
      <c r="N2699" s="13"/>
      <c r="O2699" s="13">
        <v>2124</v>
      </c>
      <c r="P2699" s="3">
        <f t="shared" si="218"/>
        <v>0</v>
      </c>
      <c r="Q2699" s="3">
        <f t="shared" si="219"/>
        <v>2124</v>
      </c>
      <c r="R2699" s="3">
        <f t="shared" si="220"/>
        <v>95696.150000000023</v>
      </c>
      <c r="S2699" s="24" t="s">
        <v>1334</v>
      </c>
      <c r="T2699" s="24" t="s">
        <v>1334</v>
      </c>
      <c r="U2699" s="79" t="s">
        <v>3896</v>
      </c>
      <c r="V2699" s="25">
        <f>IFERROR(VLOOKUP(BCP_Soles[[#This Row],[destinatario]],CHOOSE({1,2},Clientes_Proveedores[Razon Social],Clientes_Proveedores[Ruc / Dni]),2,0),"")</f>
        <v>20498218831</v>
      </c>
      <c r="W2699" s="25"/>
      <c r="X2699" s="25"/>
      <c r="Y2699" s="25"/>
      <c r="Z2699" s="75"/>
      <c r="AA2699" s="3" t="str">
        <f>IF(BCP_Soles[[#This Row],[fecha]]&gt;0,TEXT(BCP_Soles[[#This Row],[fecha]],"mmmm"),0)</f>
        <v>Julio</v>
      </c>
    </row>
    <row r="2700" spans="1:27" x14ac:dyDescent="0.3">
      <c r="A2700" s="2">
        <f>IF(BCP_Soles[[#This Row],[tipo_registro]]="R",COUNTIFS($C$1:$C2699,"R")+1,A2699)</f>
        <v>1962</v>
      </c>
      <c r="B2700" s="19" t="str">
        <f t="shared" si="216"/>
        <v>B-BCP - Soles</v>
      </c>
      <c r="C2700" s="3" t="s">
        <v>1330</v>
      </c>
      <c r="D2700" s="14">
        <v>45853</v>
      </c>
      <c r="E2700" s="5" t="s">
        <v>1331</v>
      </c>
      <c r="F2700" s="5" t="s">
        <v>1336</v>
      </c>
      <c r="G2700" s="6" t="s">
        <v>696</v>
      </c>
      <c r="H2700" s="6"/>
      <c r="I2700" s="6"/>
      <c r="J2700" s="6"/>
      <c r="K2700" s="7" t="s">
        <v>3897</v>
      </c>
      <c r="L2700" s="8">
        <v>990263</v>
      </c>
      <c r="M2700" s="8" t="str">
        <f t="shared" si="217"/>
        <v>PEN</v>
      </c>
      <c r="N2700" s="13"/>
      <c r="O2700" s="13">
        <v>90297</v>
      </c>
      <c r="P2700" s="3">
        <f t="shared" si="218"/>
        <v>0</v>
      </c>
      <c r="Q2700" s="3">
        <f t="shared" si="219"/>
        <v>90297</v>
      </c>
      <c r="R2700" s="3">
        <f t="shared" si="220"/>
        <v>5399.1500000000233</v>
      </c>
      <c r="S2700" s="24"/>
      <c r="T2700" s="24"/>
      <c r="U2700" s="55"/>
      <c r="V2700" s="25">
        <f>IFERROR(VLOOKUP(BCP_Soles[[#This Row],[destinatario]],CHOOSE({1,2},Clientes_Proveedores[Razon Social],Clientes_Proveedores[Ruc / Dni]),2,0),"")</f>
        <v>0</v>
      </c>
      <c r="W2700" s="25"/>
      <c r="X2700" s="25"/>
      <c r="Y2700" s="25"/>
      <c r="Z2700" s="75"/>
      <c r="AA2700" s="3" t="str">
        <f>IF(BCP_Soles[[#This Row],[fecha]]&gt;0,TEXT(BCP_Soles[[#This Row],[fecha]],"mmmm"),0)</f>
        <v>Julio</v>
      </c>
    </row>
    <row r="2701" spans="1:27" ht="24" x14ac:dyDescent="0.3">
      <c r="A2701" s="2">
        <f>IF(BCP_Soles[[#This Row],[tipo_registro]]="R",COUNTIFS($C$1:$C2700,"R")+1,A2700)</f>
        <v>1962</v>
      </c>
      <c r="B2701" s="19" t="str">
        <f t="shared" si="216"/>
        <v>B-BCP - Soles</v>
      </c>
      <c r="C2701" s="3" t="s">
        <v>1352</v>
      </c>
      <c r="D2701" s="14">
        <v>45853</v>
      </c>
      <c r="E2701" s="5" t="s">
        <v>1331</v>
      </c>
      <c r="F2701" s="5"/>
      <c r="G2701" s="6" t="s">
        <v>1013</v>
      </c>
      <c r="H2701" s="6" t="s">
        <v>158</v>
      </c>
      <c r="I2701" s="6" t="s">
        <v>3898</v>
      </c>
      <c r="J2701" s="6">
        <v>1</v>
      </c>
      <c r="K2701" s="7" t="s">
        <v>3897</v>
      </c>
      <c r="L2701" s="8">
        <v>990263</v>
      </c>
      <c r="M2701" s="8" t="str">
        <f t="shared" si="217"/>
        <v>PEN</v>
      </c>
      <c r="N2701" s="13">
        <v>891.34</v>
      </c>
      <c r="O2701" s="13"/>
      <c r="P2701" s="3">
        <f t="shared" si="218"/>
        <v>0</v>
      </c>
      <c r="Q2701" s="3">
        <f t="shared" si="219"/>
        <v>0</v>
      </c>
      <c r="R2701" s="3">
        <f t="shared" si="220"/>
        <v>5399.1500000000233</v>
      </c>
      <c r="S2701" s="24"/>
      <c r="T2701" s="24"/>
      <c r="U2701" s="55"/>
      <c r="V2701" s="25">
        <f>IFERROR(VLOOKUP(BCP_Soles[[#This Row],[destinatario]],CHOOSE({1,2},Clientes_Proveedores[Razon Social],Clientes_Proveedores[Ruc / Dni]),2,0),"")</f>
        <v>60945818</v>
      </c>
      <c r="W2701" s="25"/>
      <c r="X2701" s="25"/>
      <c r="Y2701" s="25"/>
      <c r="Z2701" s="77"/>
      <c r="AA2701" s="3" t="str">
        <f>IF(BCP_Soles[[#This Row],[fecha]]&gt;0,TEXT(BCP_Soles[[#This Row],[fecha]],"mmmm"),0)</f>
        <v>Julio</v>
      </c>
    </row>
    <row r="2702" spans="1:27" ht="24" x14ac:dyDescent="0.3">
      <c r="A2702" s="2">
        <f>IF(BCP_Soles[[#This Row],[tipo_registro]]="R",COUNTIFS($C$1:$C2701,"R")+1,A2701)</f>
        <v>1962</v>
      </c>
      <c r="B2702" s="19" t="str">
        <f t="shared" si="216"/>
        <v>B-BCP - Soles</v>
      </c>
      <c r="C2702" s="3" t="s">
        <v>1352</v>
      </c>
      <c r="D2702" s="14">
        <v>45853</v>
      </c>
      <c r="E2702" s="5" t="s">
        <v>1331</v>
      </c>
      <c r="F2702" s="5"/>
      <c r="G2702" s="6" t="s">
        <v>1014</v>
      </c>
      <c r="H2702" s="6" t="s">
        <v>158</v>
      </c>
      <c r="I2702" s="6" t="s">
        <v>3898</v>
      </c>
      <c r="J2702" s="6">
        <v>2</v>
      </c>
      <c r="K2702" s="7" t="s">
        <v>3897</v>
      </c>
      <c r="L2702" s="8">
        <v>990263</v>
      </c>
      <c r="M2702" s="8" t="str">
        <f t="shared" si="217"/>
        <v>PEN</v>
      </c>
      <c r="N2702" s="13">
        <v>1867.17</v>
      </c>
      <c r="O2702" s="13"/>
      <c r="P2702" s="3">
        <f t="shared" si="218"/>
        <v>0</v>
      </c>
      <c r="Q2702" s="3">
        <f t="shared" si="219"/>
        <v>0</v>
      </c>
      <c r="R2702" s="3">
        <f t="shared" si="220"/>
        <v>5399.1500000000233</v>
      </c>
      <c r="S2702" s="24"/>
      <c r="T2702" s="24"/>
      <c r="U2702" s="55"/>
      <c r="V2702" s="25">
        <f>IFERROR(VLOOKUP(BCP_Soles[[#This Row],[destinatario]],CHOOSE({1,2},Clientes_Proveedores[Razon Social],Clientes_Proveedores[Ruc / Dni]),2,0),"")</f>
        <v>75560789</v>
      </c>
      <c r="W2702" s="25"/>
      <c r="X2702" s="25"/>
      <c r="Y2702" s="25"/>
      <c r="Z2702" s="77"/>
      <c r="AA2702" s="3" t="str">
        <f>IF(BCP_Soles[[#This Row],[fecha]]&gt;0,TEXT(BCP_Soles[[#This Row],[fecha]],"mmmm"),0)</f>
        <v>Julio</v>
      </c>
    </row>
    <row r="2703" spans="1:27" ht="24" x14ac:dyDescent="0.3">
      <c r="A2703" s="2">
        <f>IF(BCP_Soles[[#This Row],[tipo_registro]]="R",COUNTIFS($C$1:$C2702,"R")+1,A2702)</f>
        <v>1962</v>
      </c>
      <c r="B2703" s="19" t="str">
        <f t="shared" si="216"/>
        <v>B-BCP - Soles</v>
      </c>
      <c r="C2703" s="3" t="s">
        <v>1352</v>
      </c>
      <c r="D2703" s="14">
        <v>45853</v>
      </c>
      <c r="E2703" s="5" t="s">
        <v>1331</v>
      </c>
      <c r="F2703" s="5"/>
      <c r="G2703" s="6" t="s">
        <v>790</v>
      </c>
      <c r="H2703" s="6" t="s">
        <v>158</v>
      </c>
      <c r="I2703" s="6" t="s">
        <v>3898</v>
      </c>
      <c r="J2703" s="6">
        <v>3</v>
      </c>
      <c r="K2703" s="7" t="s">
        <v>3897</v>
      </c>
      <c r="L2703" s="8">
        <v>990263</v>
      </c>
      <c r="M2703" s="8" t="str">
        <f t="shared" si="217"/>
        <v>PEN</v>
      </c>
      <c r="N2703" s="13">
        <v>2049.1999999999998</v>
      </c>
      <c r="O2703" s="13"/>
      <c r="P2703" s="3">
        <f t="shared" si="218"/>
        <v>0</v>
      </c>
      <c r="Q2703" s="3">
        <f t="shared" si="219"/>
        <v>0</v>
      </c>
      <c r="R2703" s="3">
        <f t="shared" si="220"/>
        <v>5399.1500000000233</v>
      </c>
      <c r="S2703" s="24"/>
      <c r="T2703" s="24"/>
      <c r="U2703" s="55"/>
      <c r="V2703" s="25">
        <f>IFERROR(VLOOKUP(BCP_Soles[[#This Row],[destinatario]],CHOOSE({1,2},Clientes_Proveedores[Razon Social],Clientes_Proveedores[Ruc / Dni]),2,0),"")</f>
        <v>72169020</v>
      </c>
      <c r="W2703" s="25"/>
      <c r="X2703" s="25"/>
      <c r="Y2703" s="25"/>
      <c r="Z2703" s="77"/>
      <c r="AA2703" s="3" t="str">
        <f>IF(BCP_Soles[[#This Row],[fecha]]&gt;0,TEXT(BCP_Soles[[#This Row],[fecha]],"mmmm"),0)</f>
        <v>Julio</v>
      </c>
    </row>
    <row r="2704" spans="1:27" ht="24" x14ac:dyDescent="0.3">
      <c r="A2704" s="2">
        <f>IF(BCP_Soles[[#This Row],[tipo_registro]]="R",COUNTIFS($C$1:$C2703,"R")+1,A2703)</f>
        <v>1962</v>
      </c>
      <c r="B2704" s="19" t="str">
        <f t="shared" si="216"/>
        <v>B-BCP - Soles</v>
      </c>
      <c r="C2704" s="3" t="s">
        <v>1352</v>
      </c>
      <c r="D2704" s="14">
        <v>45853</v>
      </c>
      <c r="E2704" s="5" t="s">
        <v>1331</v>
      </c>
      <c r="F2704" s="5"/>
      <c r="G2704" s="6" t="s">
        <v>1015</v>
      </c>
      <c r="H2704" s="6" t="s">
        <v>158</v>
      </c>
      <c r="I2704" s="6" t="s">
        <v>3898</v>
      </c>
      <c r="J2704" s="6">
        <v>4</v>
      </c>
      <c r="K2704" s="7" t="s">
        <v>3897</v>
      </c>
      <c r="L2704" s="8">
        <v>990263</v>
      </c>
      <c r="M2704" s="8" t="str">
        <f t="shared" si="217"/>
        <v>PEN</v>
      </c>
      <c r="N2704" s="13">
        <v>1035.8499999999999</v>
      </c>
      <c r="O2704" s="13"/>
      <c r="P2704" s="3">
        <f t="shared" si="218"/>
        <v>0</v>
      </c>
      <c r="Q2704" s="3">
        <f t="shared" si="219"/>
        <v>0</v>
      </c>
      <c r="R2704" s="3">
        <f t="shared" si="220"/>
        <v>5399.1500000000233</v>
      </c>
      <c r="S2704" s="24"/>
      <c r="T2704" s="24"/>
      <c r="U2704" s="55"/>
      <c r="V2704" s="25">
        <f>IFERROR(VLOOKUP(BCP_Soles[[#This Row],[destinatario]],CHOOSE({1,2},Clientes_Proveedores[Razon Social],Clientes_Proveedores[Ruc / Dni]),2,0),"")</f>
        <v>48298276</v>
      </c>
      <c r="W2704" s="25"/>
      <c r="X2704" s="25"/>
      <c r="Y2704" s="25"/>
      <c r="Z2704" s="77"/>
      <c r="AA2704" s="3" t="str">
        <f>IF(BCP_Soles[[#This Row],[fecha]]&gt;0,TEXT(BCP_Soles[[#This Row],[fecha]],"mmmm"),0)</f>
        <v>Julio</v>
      </c>
    </row>
    <row r="2705" spans="1:27" ht="36" x14ac:dyDescent="0.3">
      <c r="A2705" s="2">
        <f>IF(BCP_Soles[[#This Row],[tipo_registro]]="R",COUNTIFS($C$1:$C2704,"R")+1,A2704)</f>
        <v>1962</v>
      </c>
      <c r="B2705" s="19" t="str">
        <f t="shared" si="216"/>
        <v>B-BCP - Soles</v>
      </c>
      <c r="C2705" s="3" t="s">
        <v>1352</v>
      </c>
      <c r="D2705" s="14">
        <v>45853</v>
      </c>
      <c r="E2705" s="5" t="s">
        <v>1331</v>
      </c>
      <c r="F2705" s="5"/>
      <c r="G2705" s="6" t="s">
        <v>795</v>
      </c>
      <c r="H2705" s="6" t="s">
        <v>158</v>
      </c>
      <c r="I2705" s="6" t="s">
        <v>3898</v>
      </c>
      <c r="J2705" s="6">
        <v>5</v>
      </c>
      <c r="K2705" s="7" t="s">
        <v>3897</v>
      </c>
      <c r="L2705" s="8">
        <v>990263</v>
      </c>
      <c r="M2705" s="8" t="str">
        <f t="shared" si="217"/>
        <v>PEN</v>
      </c>
      <c r="N2705" s="13">
        <v>1649.17</v>
      </c>
      <c r="O2705" s="13"/>
      <c r="P2705" s="3">
        <f t="shared" si="218"/>
        <v>0</v>
      </c>
      <c r="Q2705" s="3">
        <f t="shared" si="219"/>
        <v>0</v>
      </c>
      <c r="R2705" s="3">
        <f t="shared" si="220"/>
        <v>5399.1500000000233</v>
      </c>
      <c r="S2705" s="24"/>
      <c r="T2705" s="24"/>
      <c r="U2705" s="55"/>
      <c r="V2705" s="25">
        <f>IFERROR(VLOOKUP(BCP_Soles[[#This Row],[destinatario]],CHOOSE({1,2},Clientes_Proveedores[Razon Social],Clientes_Proveedores[Ruc / Dni]),2,0),"")</f>
        <v>48164743</v>
      </c>
      <c r="W2705" s="25"/>
      <c r="X2705" s="25"/>
      <c r="Y2705" s="25"/>
      <c r="Z2705" s="77"/>
      <c r="AA2705" s="3" t="str">
        <f>IF(BCP_Soles[[#This Row],[fecha]]&gt;0,TEXT(BCP_Soles[[#This Row],[fecha]],"mmmm"),0)</f>
        <v>Julio</v>
      </c>
    </row>
    <row r="2706" spans="1:27" ht="24" x14ac:dyDescent="0.3">
      <c r="A2706" s="2">
        <f>IF(BCP_Soles[[#This Row],[tipo_registro]]="R",COUNTIFS($C$1:$C2705,"R")+1,A2705)</f>
        <v>1962</v>
      </c>
      <c r="B2706" s="19" t="str">
        <f t="shared" si="216"/>
        <v>B-BCP - Soles</v>
      </c>
      <c r="C2706" s="3" t="s">
        <v>1352</v>
      </c>
      <c r="D2706" s="14">
        <v>45853</v>
      </c>
      <c r="E2706" s="5" t="s">
        <v>1331</v>
      </c>
      <c r="F2706" s="5"/>
      <c r="G2706" s="6" t="s">
        <v>1016</v>
      </c>
      <c r="H2706" s="6" t="s">
        <v>158</v>
      </c>
      <c r="I2706" s="6" t="s">
        <v>3898</v>
      </c>
      <c r="J2706" s="6">
        <v>6</v>
      </c>
      <c r="K2706" s="7" t="s">
        <v>3897</v>
      </c>
      <c r="L2706" s="8">
        <v>990263</v>
      </c>
      <c r="M2706" s="8" t="str">
        <f t="shared" si="217"/>
        <v>PEN</v>
      </c>
      <c r="N2706" s="13">
        <v>440.84</v>
      </c>
      <c r="O2706" s="13"/>
      <c r="P2706" s="3">
        <f t="shared" si="218"/>
        <v>0</v>
      </c>
      <c r="Q2706" s="3">
        <f t="shared" si="219"/>
        <v>0</v>
      </c>
      <c r="R2706" s="3">
        <f t="shared" si="220"/>
        <v>5399.1500000000233</v>
      </c>
      <c r="S2706" s="24"/>
      <c r="T2706" s="24"/>
      <c r="U2706" s="55"/>
      <c r="V2706" s="25">
        <f>IFERROR(VLOOKUP(BCP_Soles[[#This Row],[destinatario]],CHOOSE({1,2},Clientes_Proveedores[Razon Social],Clientes_Proveedores[Ruc / Dni]),2,0),"")</f>
        <v>76140901</v>
      </c>
      <c r="W2706" s="25"/>
      <c r="X2706" s="25"/>
      <c r="Y2706" s="25"/>
      <c r="Z2706" s="77"/>
      <c r="AA2706" s="3" t="str">
        <f>IF(BCP_Soles[[#This Row],[fecha]]&gt;0,TEXT(BCP_Soles[[#This Row],[fecha]],"mmmm"),0)</f>
        <v>Julio</v>
      </c>
    </row>
    <row r="2707" spans="1:27" ht="24" x14ac:dyDescent="0.3">
      <c r="A2707" s="2">
        <f>IF(BCP_Soles[[#This Row],[tipo_registro]]="R",COUNTIFS($C$1:$C2706,"R")+1,A2706)</f>
        <v>1962</v>
      </c>
      <c r="B2707" s="19" t="str">
        <f t="shared" si="216"/>
        <v>B-BCP - Soles</v>
      </c>
      <c r="C2707" s="3" t="s">
        <v>1352</v>
      </c>
      <c r="D2707" s="14">
        <v>45853</v>
      </c>
      <c r="E2707" s="5" t="s">
        <v>1331</v>
      </c>
      <c r="F2707" s="5"/>
      <c r="G2707" s="6" t="s">
        <v>806</v>
      </c>
      <c r="H2707" s="6" t="s">
        <v>158</v>
      </c>
      <c r="I2707" s="6" t="s">
        <v>3898</v>
      </c>
      <c r="J2707" s="6">
        <v>7</v>
      </c>
      <c r="K2707" s="7" t="s">
        <v>3897</v>
      </c>
      <c r="L2707" s="8">
        <v>990263</v>
      </c>
      <c r="M2707" s="8" t="str">
        <f t="shared" si="217"/>
        <v>PEN</v>
      </c>
      <c r="N2707" s="13">
        <v>1921.67</v>
      </c>
      <c r="O2707" s="13"/>
      <c r="P2707" s="3">
        <f t="shared" si="218"/>
        <v>0</v>
      </c>
      <c r="Q2707" s="3">
        <f t="shared" si="219"/>
        <v>0</v>
      </c>
      <c r="R2707" s="3">
        <f t="shared" si="220"/>
        <v>5399.1500000000233</v>
      </c>
      <c r="S2707" s="24"/>
      <c r="T2707" s="24"/>
      <c r="U2707" s="55"/>
      <c r="V2707" s="25">
        <f>IFERROR(VLOOKUP(BCP_Soles[[#This Row],[destinatario]],CHOOSE({1,2},Clientes_Proveedores[Razon Social],Clientes_Proveedores[Ruc / Dni]),2,0),"")</f>
        <v>44162989</v>
      </c>
      <c r="W2707" s="25"/>
      <c r="X2707" s="25"/>
      <c r="Y2707" s="25"/>
      <c r="Z2707" s="77"/>
      <c r="AA2707" s="3" t="str">
        <f>IF(BCP_Soles[[#This Row],[fecha]]&gt;0,TEXT(BCP_Soles[[#This Row],[fecha]],"mmmm"),0)</f>
        <v>Julio</v>
      </c>
    </row>
    <row r="2708" spans="1:27" x14ac:dyDescent="0.3">
      <c r="A2708" s="2">
        <f>IF(BCP_Soles[[#This Row],[tipo_registro]]="R",COUNTIFS($C$1:$C2707,"R")+1,A2707)</f>
        <v>1962</v>
      </c>
      <c r="B2708" s="19" t="str">
        <f t="shared" si="216"/>
        <v>B-BCP - Soles</v>
      </c>
      <c r="C2708" s="3" t="s">
        <v>1352</v>
      </c>
      <c r="D2708" s="14">
        <v>45853</v>
      </c>
      <c r="E2708" s="5" t="s">
        <v>1331</v>
      </c>
      <c r="F2708" s="5"/>
      <c r="G2708" s="6" t="s">
        <v>809</v>
      </c>
      <c r="H2708" s="6" t="s">
        <v>158</v>
      </c>
      <c r="I2708" s="6" t="s">
        <v>3898</v>
      </c>
      <c r="J2708" s="6">
        <v>8</v>
      </c>
      <c r="K2708" s="7" t="s">
        <v>3897</v>
      </c>
      <c r="L2708" s="8">
        <v>990263</v>
      </c>
      <c r="M2708" s="8" t="str">
        <f t="shared" si="217"/>
        <v>PEN</v>
      </c>
      <c r="N2708" s="13">
        <v>4557.29</v>
      </c>
      <c r="O2708" s="13"/>
      <c r="P2708" s="3">
        <f t="shared" si="218"/>
        <v>0</v>
      </c>
      <c r="Q2708" s="3">
        <f t="shared" si="219"/>
        <v>0</v>
      </c>
      <c r="R2708" s="3">
        <f t="shared" si="220"/>
        <v>5399.1500000000233</v>
      </c>
      <c r="S2708" s="24"/>
      <c r="T2708" s="24"/>
      <c r="U2708" s="55"/>
      <c r="V2708" s="25">
        <f>IFERROR(VLOOKUP(BCP_Soles[[#This Row],[destinatario]],CHOOSE({1,2},Clientes_Proveedores[Razon Social],Clientes_Proveedores[Ruc / Dni]),2,0),"")</f>
        <v>45286301</v>
      </c>
      <c r="W2708" s="25"/>
      <c r="X2708" s="25"/>
      <c r="Y2708" s="25"/>
      <c r="Z2708" s="77"/>
      <c r="AA2708" s="3" t="str">
        <f>IF(BCP_Soles[[#This Row],[fecha]]&gt;0,TEXT(BCP_Soles[[#This Row],[fecha]],"mmmm"),0)</f>
        <v>Julio</v>
      </c>
    </row>
    <row r="2709" spans="1:27" ht="24" x14ac:dyDescent="0.3">
      <c r="A2709" s="2">
        <f>IF(BCP_Soles[[#This Row],[tipo_registro]]="R",COUNTIFS($C$1:$C2708,"R")+1,A2708)</f>
        <v>1962</v>
      </c>
      <c r="B2709" s="19" t="str">
        <f t="shared" si="216"/>
        <v>B-BCP - Soles</v>
      </c>
      <c r="C2709" s="3" t="s">
        <v>1352</v>
      </c>
      <c r="D2709" s="14">
        <v>45853</v>
      </c>
      <c r="E2709" s="5" t="s">
        <v>1331</v>
      </c>
      <c r="F2709" s="5"/>
      <c r="G2709" s="6" t="s">
        <v>812</v>
      </c>
      <c r="H2709" s="6" t="s">
        <v>158</v>
      </c>
      <c r="I2709" s="6" t="s">
        <v>3898</v>
      </c>
      <c r="J2709" s="6">
        <v>9</v>
      </c>
      <c r="K2709" s="7" t="s">
        <v>3897</v>
      </c>
      <c r="L2709" s="8">
        <v>990263</v>
      </c>
      <c r="M2709" s="8" t="str">
        <f t="shared" si="217"/>
        <v>PEN</v>
      </c>
      <c r="N2709" s="13">
        <v>2404.58</v>
      </c>
      <c r="O2709" s="13"/>
      <c r="P2709" s="3">
        <f t="shared" si="218"/>
        <v>0</v>
      </c>
      <c r="Q2709" s="3">
        <f t="shared" si="219"/>
        <v>0</v>
      </c>
      <c r="R2709" s="3">
        <f t="shared" si="220"/>
        <v>5399.1500000000233</v>
      </c>
      <c r="S2709" s="24"/>
      <c r="T2709" s="24"/>
      <c r="U2709" s="55"/>
      <c r="V2709" s="25">
        <f>IFERROR(VLOOKUP(BCP_Soles[[#This Row],[destinatario]],CHOOSE({1,2},Clientes_Proveedores[Razon Social],Clientes_Proveedores[Ruc / Dni]),2,0),"")</f>
        <v>73444362</v>
      </c>
      <c r="W2709" s="25"/>
      <c r="X2709" s="25"/>
      <c r="Y2709" s="25"/>
      <c r="Z2709" s="77"/>
      <c r="AA2709" s="3" t="str">
        <f>IF(BCP_Soles[[#This Row],[fecha]]&gt;0,TEXT(BCP_Soles[[#This Row],[fecha]],"mmmm"),0)</f>
        <v>Julio</v>
      </c>
    </row>
    <row r="2710" spans="1:27" ht="24" x14ac:dyDescent="0.3">
      <c r="A2710" s="2">
        <f>IF(BCP_Soles[[#This Row],[tipo_registro]]="R",COUNTIFS($C$1:$C2709,"R")+1,A2709)</f>
        <v>1962</v>
      </c>
      <c r="B2710" s="19" t="str">
        <f t="shared" si="216"/>
        <v>B-BCP - Soles</v>
      </c>
      <c r="C2710" s="3" t="s">
        <v>1352</v>
      </c>
      <c r="D2710" s="14">
        <v>45853</v>
      </c>
      <c r="E2710" s="5" t="s">
        <v>1331</v>
      </c>
      <c r="F2710" s="5"/>
      <c r="G2710" s="6" t="s">
        <v>1017</v>
      </c>
      <c r="H2710" s="6" t="s">
        <v>158</v>
      </c>
      <c r="I2710" s="6" t="s">
        <v>3898</v>
      </c>
      <c r="J2710" s="6">
        <v>10</v>
      </c>
      <c r="K2710" s="7" t="s">
        <v>3897</v>
      </c>
      <c r="L2710" s="8">
        <v>990263</v>
      </c>
      <c r="M2710" s="8" t="str">
        <f t="shared" si="217"/>
        <v>PEN</v>
      </c>
      <c r="N2710" s="13">
        <v>1659.53</v>
      </c>
      <c r="O2710" s="13"/>
      <c r="P2710" s="3">
        <f t="shared" si="218"/>
        <v>0</v>
      </c>
      <c r="Q2710" s="3">
        <f t="shared" si="219"/>
        <v>0</v>
      </c>
      <c r="R2710" s="3">
        <f t="shared" si="220"/>
        <v>5399.1500000000233</v>
      </c>
      <c r="S2710" s="24"/>
      <c r="T2710" s="24"/>
      <c r="U2710" s="55"/>
      <c r="V2710" s="25">
        <f>IFERROR(VLOOKUP(BCP_Soles[[#This Row],[destinatario]],CHOOSE({1,2},Clientes_Proveedores[Razon Social],Clientes_Proveedores[Ruc / Dni]),2,0),"")</f>
        <v>72458502</v>
      </c>
      <c r="W2710" s="25"/>
      <c r="X2710" s="25"/>
      <c r="Y2710" s="25"/>
      <c r="Z2710" s="77"/>
      <c r="AA2710" s="3" t="str">
        <f>IF(BCP_Soles[[#This Row],[fecha]]&gt;0,TEXT(BCP_Soles[[#This Row],[fecha]],"mmmm"),0)</f>
        <v>Julio</v>
      </c>
    </row>
    <row r="2711" spans="1:27" ht="24" x14ac:dyDescent="0.3">
      <c r="A2711" s="2">
        <f>IF(BCP_Soles[[#This Row],[tipo_registro]]="R",COUNTIFS($C$1:$C2710,"R")+1,A2710)</f>
        <v>1962</v>
      </c>
      <c r="B2711" s="19" t="str">
        <f t="shared" si="216"/>
        <v>B-BCP - Soles</v>
      </c>
      <c r="C2711" s="3" t="s">
        <v>1352</v>
      </c>
      <c r="D2711" s="14">
        <v>45853</v>
      </c>
      <c r="E2711" s="5" t="s">
        <v>1331</v>
      </c>
      <c r="F2711" s="5"/>
      <c r="G2711" s="6" t="s">
        <v>820</v>
      </c>
      <c r="H2711" s="6" t="s">
        <v>158</v>
      </c>
      <c r="I2711" s="6" t="s">
        <v>3898</v>
      </c>
      <c r="J2711" s="6">
        <v>11</v>
      </c>
      <c r="K2711" s="7" t="s">
        <v>3897</v>
      </c>
      <c r="L2711" s="8">
        <v>990263</v>
      </c>
      <c r="M2711" s="8" t="str">
        <f t="shared" si="217"/>
        <v>PEN</v>
      </c>
      <c r="N2711" s="13">
        <v>1635</v>
      </c>
      <c r="O2711" s="13"/>
      <c r="P2711" s="3">
        <f t="shared" si="218"/>
        <v>0</v>
      </c>
      <c r="Q2711" s="3">
        <f t="shared" si="219"/>
        <v>0</v>
      </c>
      <c r="R2711" s="3">
        <f t="shared" si="220"/>
        <v>5399.1500000000233</v>
      </c>
      <c r="S2711" s="24"/>
      <c r="T2711" s="24"/>
      <c r="U2711" s="55"/>
      <c r="V2711" s="25">
        <f>IFERROR(VLOOKUP(BCP_Soles[[#This Row],[destinatario]],CHOOSE({1,2},Clientes_Proveedores[Razon Social],Clientes_Proveedores[Ruc / Dni]),2,0),"")</f>
        <v>75424672</v>
      </c>
      <c r="W2711" s="25"/>
      <c r="X2711" s="25"/>
      <c r="Y2711" s="25"/>
      <c r="Z2711" s="77"/>
      <c r="AA2711" s="3" t="str">
        <f>IF(BCP_Soles[[#This Row],[fecha]]&gt;0,TEXT(BCP_Soles[[#This Row],[fecha]],"mmmm"),0)</f>
        <v>Julio</v>
      </c>
    </row>
    <row r="2712" spans="1:27" ht="24" x14ac:dyDescent="0.3">
      <c r="A2712" s="2">
        <f>IF(BCP_Soles[[#This Row],[tipo_registro]]="R",COUNTIFS($C$1:$C2711,"R")+1,A2711)</f>
        <v>1962</v>
      </c>
      <c r="B2712" s="19" t="str">
        <f t="shared" ref="B2712:B2775" si="221">"B-BCP - Soles"</f>
        <v>B-BCP - Soles</v>
      </c>
      <c r="C2712" s="3" t="s">
        <v>1352</v>
      </c>
      <c r="D2712" s="14">
        <v>45853</v>
      </c>
      <c r="E2712" s="5" t="s">
        <v>1331</v>
      </c>
      <c r="F2712" s="5"/>
      <c r="G2712" s="6" t="s">
        <v>829</v>
      </c>
      <c r="H2712" s="6" t="s">
        <v>158</v>
      </c>
      <c r="I2712" s="6" t="s">
        <v>3898</v>
      </c>
      <c r="J2712" s="6">
        <v>12</v>
      </c>
      <c r="K2712" s="7" t="s">
        <v>3897</v>
      </c>
      <c r="L2712" s="8">
        <v>990263</v>
      </c>
      <c r="M2712" s="8" t="str">
        <f t="shared" ref="M2712:M2775" si="222">"PEN"</f>
        <v>PEN</v>
      </c>
      <c r="N2712" s="13">
        <v>2255.36</v>
      </c>
      <c r="O2712" s="13"/>
      <c r="P2712" s="3">
        <f t="shared" ref="P2712:P2775" si="223">+IF(OR($F2712="SALDO",$F2712="INGRESO"),$O2712,0)</f>
        <v>0</v>
      </c>
      <c r="Q2712" s="3">
        <f t="shared" ref="Q2712:Q2775" si="224">+IF($F2712="EGRESO",$O2712,0)</f>
        <v>0</v>
      </c>
      <c r="R2712" s="3">
        <f t="shared" si="220"/>
        <v>5399.1500000000233</v>
      </c>
      <c r="S2712" s="24"/>
      <c r="T2712" s="24"/>
      <c r="U2712" s="55"/>
      <c r="V2712" s="25">
        <f>IFERROR(VLOOKUP(BCP_Soles[[#This Row],[destinatario]],CHOOSE({1,2},Clientes_Proveedores[Razon Social],Clientes_Proveedores[Ruc / Dni]),2,0),"")</f>
        <v>70198916</v>
      </c>
      <c r="W2712" s="25"/>
      <c r="X2712" s="25"/>
      <c r="Y2712" s="25"/>
      <c r="Z2712" s="77"/>
      <c r="AA2712" s="3" t="str">
        <f>IF(BCP_Soles[[#This Row],[fecha]]&gt;0,TEXT(BCP_Soles[[#This Row],[fecha]],"mmmm"),0)</f>
        <v>Julio</v>
      </c>
    </row>
    <row r="2713" spans="1:27" ht="24" x14ac:dyDescent="0.3">
      <c r="A2713" s="2">
        <f>IF(BCP_Soles[[#This Row],[tipo_registro]]="R",COUNTIFS($C$1:$C2712,"R")+1,A2712)</f>
        <v>1962</v>
      </c>
      <c r="B2713" s="19" t="str">
        <f t="shared" si="221"/>
        <v>B-BCP - Soles</v>
      </c>
      <c r="C2713" s="3" t="s">
        <v>1352</v>
      </c>
      <c r="D2713" s="14">
        <v>45853</v>
      </c>
      <c r="E2713" s="5" t="s">
        <v>1331</v>
      </c>
      <c r="F2713" s="5"/>
      <c r="G2713" s="6" t="s">
        <v>827</v>
      </c>
      <c r="H2713" s="6" t="s">
        <v>158</v>
      </c>
      <c r="I2713" s="6" t="s">
        <v>3898</v>
      </c>
      <c r="J2713" s="6">
        <v>13</v>
      </c>
      <c r="K2713" s="7" t="s">
        <v>3897</v>
      </c>
      <c r="L2713" s="8">
        <v>990263</v>
      </c>
      <c r="M2713" s="8" t="str">
        <f t="shared" si="222"/>
        <v>PEN</v>
      </c>
      <c r="N2713" s="13">
        <v>1812.99</v>
      </c>
      <c r="O2713" s="13"/>
      <c r="P2713" s="3">
        <f t="shared" si="223"/>
        <v>0</v>
      </c>
      <c r="Q2713" s="3">
        <f t="shared" si="224"/>
        <v>0</v>
      </c>
      <c r="R2713" s="3">
        <f t="shared" si="220"/>
        <v>5399.1500000000233</v>
      </c>
      <c r="S2713" s="24"/>
      <c r="T2713" s="24"/>
      <c r="U2713" s="55"/>
      <c r="V2713" s="25">
        <f>IFERROR(VLOOKUP(BCP_Soles[[#This Row],[destinatario]],CHOOSE({1,2},Clientes_Proveedores[Razon Social],Clientes_Proveedores[Ruc / Dni]),2,0),"")</f>
        <v>74600892</v>
      </c>
      <c r="W2713" s="25"/>
      <c r="X2713" s="25"/>
      <c r="Y2713" s="25"/>
      <c r="Z2713" s="77"/>
      <c r="AA2713" s="3" t="str">
        <f>IF(BCP_Soles[[#This Row],[fecha]]&gt;0,TEXT(BCP_Soles[[#This Row],[fecha]],"mmmm"),0)</f>
        <v>Julio</v>
      </c>
    </row>
    <row r="2714" spans="1:27" ht="24" x14ac:dyDescent="0.3">
      <c r="A2714" s="2">
        <f>IF(BCP_Soles[[#This Row],[tipo_registro]]="R",COUNTIFS($C$1:$C2713,"R")+1,A2713)</f>
        <v>1962</v>
      </c>
      <c r="B2714" s="19" t="str">
        <f t="shared" si="221"/>
        <v>B-BCP - Soles</v>
      </c>
      <c r="C2714" s="3" t="s">
        <v>1352</v>
      </c>
      <c r="D2714" s="14">
        <v>45853</v>
      </c>
      <c r="E2714" s="5" t="s">
        <v>1331</v>
      </c>
      <c r="F2714" s="5"/>
      <c r="G2714" s="6" t="s">
        <v>836</v>
      </c>
      <c r="H2714" s="6" t="s">
        <v>158</v>
      </c>
      <c r="I2714" s="6" t="s">
        <v>3898</v>
      </c>
      <c r="J2714" s="6">
        <v>14</v>
      </c>
      <c r="K2714" s="7" t="s">
        <v>3897</v>
      </c>
      <c r="L2714" s="8">
        <v>990263</v>
      </c>
      <c r="M2714" s="8" t="str">
        <f t="shared" si="222"/>
        <v>PEN</v>
      </c>
      <c r="N2714" s="13">
        <v>2060.1</v>
      </c>
      <c r="O2714" s="13"/>
      <c r="P2714" s="3">
        <f t="shared" si="223"/>
        <v>0</v>
      </c>
      <c r="Q2714" s="3">
        <f t="shared" si="224"/>
        <v>0</v>
      </c>
      <c r="R2714" s="3">
        <f t="shared" si="220"/>
        <v>5399.1500000000233</v>
      </c>
      <c r="S2714" s="24"/>
      <c r="T2714" s="24"/>
      <c r="U2714" s="55"/>
      <c r="V2714" s="25">
        <f>IFERROR(VLOOKUP(BCP_Soles[[#This Row],[destinatario]],CHOOSE({1,2},Clientes_Proveedores[Razon Social],Clientes_Proveedores[Ruc / Dni]),2,0),"")</f>
        <v>44468346</v>
      </c>
      <c r="W2714" s="25"/>
      <c r="X2714" s="25"/>
      <c r="Y2714" s="25"/>
      <c r="Z2714" s="77"/>
      <c r="AA2714" s="3" t="str">
        <f>IF(BCP_Soles[[#This Row],[fecha]]&gt;0,TEXT(BCP_Soles[[#This Row],[fecha]],"mmmm"),0)</f>
        <v>Julio</v>
      </c>
    </row>
    <row r="2715" spans="1:27" ht="24" x14ac:dyDescent="0.3">
      <c r="A2715" s="2">
        <f>IF(BCP_Soles[[#This Row],[tipo_registro]]="R",COUNTIFS($C$1:$C2714,"R")+1,A2714)</f>
        <v>1962</v>
      </c>
      <c r="B2715" s="19" t="str">
        <f t="shared" si="221"/>
        <v>B-BCP - Soles</v>
      </c>
      <c r="C2715" s="3" t="s">
        <v>1352</v>
      </c>
      <c r="D2715" s="14">
        <v>45853</v>
      </c>
      <c r="E2715" s="5" t="s">
        <v>1331</v>
      </c>
      <c r="F2715" s="5"/>
      <c r="G2715" s="6" t="s">
        <v>997</v>
      </c>
      <c r="H2715" s="6" t="s">
        <v>158</v>
      </c>
      <c r="I2715" s="6" t="s">
        <v>3898</v>
      </c>
      <c r="J2715" s="6">
        <v>15</v>
      </c>
      <c r="K2715" s="7" t="s">
        <v>3897</v>
      </c>
      <c r="L2715" s="8">
        <v>990263</v>
      </c>
      <c r="M2715" s="8" t="str">
        <f t="shared" si="222"/>
        <v>PEN</v>
      </c>
      <c r="N2715" s="13">
        <v>526.83000000000004</v>
      </c>
      <c r="O2715" s="13"/>
      <c r="P2715" s="3">
        <f t="shared" si="223"/>
        <v>0</v>
      </c>
      <c r="Q2715" s="3">
        <f t="shared" si="224"/>
        <v>0</v>
      </c>
      <c r="R2715" s="3">
        <f t="shared" si="220"/>
        <v>5399.1500000000233</v>
      </c>
      <c r="S2715" s="24"/>
      <c r="T2715" s="24"/>
      <c r="U2715" s="55"/>
      <c r="V2715" s="25">
        <f>IFERROR(VLOOKUP(BCP_Soles[[#This Row],[destinatario]],CHOOSE({1,2},Clientes_Proveedores[Razon Social],Clientes_Proveedores[Ruc / Dni]),2,0),"")</f>
        <v>71334789</v>
      </c>
      <c r="W2715" s="25"/>
      <c r="X2715" s="25"/>
      <c r="Y2715" s="25"/>
      <c r="Z2715" s="77"/>
      <c r="AA2715" s="3" t="str">
        <f>IF(BCP_Soles[[#This Row],[fecha]]&gt;0,TEXT(BCP_Soles[[#This Row],[fecha]],"mmmm"),0)</f>
        <v>Julio</v>
      </c>
    </row>
    <row r="2716" spans="1:27" ht="24" x14ac:dyDescent="0.3">
      <c r="A2716" s="2">
        <f>IF(BCP_Soles[[#This Row],[tipo_registro]]="R",COUNTIFS($C$1:$C2715,"R")+1,A2715)</f>
        <v>1962</v>
      </c>
      <c r="B2716" s="19" t="str">
        <f t="shared" si="221"/>
        <v>B-BCP - Soles</v>
      </c>
      <c r="C2716" s="3" t="s">
        <v>1352</v>
      </c>
      <c r="D2716" s="14">
        <v>45853</v>
      </c>
      <c r="E2716" s="5" t="s">
        <v>1331</v>
      </c>
      <c r="F2716" s="5"/>
      <c r="G2716" s="6" t="s">
        <v>857</v>
      </c>
      <c r="H2716" s="6" t="s">
        <v>158</v>
      </c>
      <c r="I2716" s="6" t="s">
        <v>3898</v>
      </c>
      <c r="J2716" s="6">
        <v>16</v>
      </c>
      <c r="K2716" s="7" t="s">
        <v>3897</v>
      </c>
      <c r="L2716" s="8">
        <v>990263</v>
      </c>
      <c r="M2716" s="8" t="str">
        <f t="shared" si="222"/>
        <v>PEN</v>
      </c>
      <c r="N2716" s="13">
        <v>2072.61</v>
      </c>
      <c r="O2716" s="13"/>
      <c r="P2716" s="3">
        <f t="shared" si="223"/>
        <v>0</v>
      </c>
      <c r="Q2716" s="3">
        <f t="shared" si="224"/>
        <v>0</v>
      </c>
      <c r="R2716" s="3">
        <f t="shared" si="220"/>
        <v>5399.1500000000233</v>
      </c>
      <c r="S2716" s="24"/>
      <c r="T2716" s="24"/>
      <c r="U2716" s="55"/>
      <c r="V2716" s="25">
        <f>IFERROR(VLOOKUP(BCP_Soles[[#This Row],[destinatario]],CHOOSE({1,2},Clientes_Proveedores[Razon Social],Clientes_Proveedores[Ruc / Dni]),2,0),"")</f>
        <v>70666331</v>
      </c>
      <c r="W2716" s="25"/>
      <c r="X2716" s="25"/>
      <c r="Y2716" s="25"/>
      <c r="Z2716" s="77"/>
      <c r="AA2716" s="3" t="str">
        <f>IF(BCP_Soles[[#This Row],[fecha]]&gt;0,TEXT(BCP_Soles[[#This Row],[fecha]],"mmmm"),0)</f>
        <v>Julio</v>
      </c>
    </row>
    <row r="2717" spans="1:27" ht="24" x14ac:dyDescent="0.3">
      <c r="A2717" s="2">
        <f>IF(BCP_Soles[[#This Row],[tipo_registro]]="R",COUNTIFS($C$1:$C2716,"R")+1,A2716)</f>
        <v>1962</v>
      </c>
      <c r="B2717" s="19" t="str">
        <f t="shared" si="221"/>
        <v>B-BCP - Soles</v>
      </c>
      <c r="C2717" s="3" t="s">
        <v>1352</v>
      </c>
      <c r="D2717" s="14">
        <v>45853</v>
      </c>
      <c r="E2717" s="5" t="s">
        <v>1331</v>
      </c>
      <c r="F2717" s="5"/>
      <c r="G2717" s="6" t="s">
        <v>859</v>
      </c>
      <c r="H2717" s="6" t="s">
        <v>158</v>
      </c>
      <c r="I2717" s="6" t="s">
        <v>3898</v>
      </c>
      <c r="J2717" s="6">
        <v>17</v>
      </c>
      <c r="K2717" s="7" t="s">
        <v>3897</v>
      </c>
      <c r="L2717" s="8">
        <v>990263</v>
      </c>
      <c r="M2717" s="8" t="str">
        <f t="shared" si="222"/>
        <v>PEN</v>
      </c>
      <c r="N2717" s="13">
        <v>1435.98</v>
      </c>
      <c r="O2717" s="13"/>
      <c r="P2717" s="3">
        <f t="shared" si="223"/>
        <v>0</v>
      </c>
      <c r="Q2717" s="3">
        <f t="shared" si="224"/>
        <v>0</v>
      </c>
      <c r="R2717" s="3">
        <f t="shared" si="220"/>
        <v>5399.1500000000233</v>
      </c>
      <c r="S2717" s="24"/>
      <c r="T2717" s="24"/>
      <c r="U2717" s="55"/>
      <c r="V2717" s="25">
        <f>IFERROR(VLOOKUP(BCP_Soles[[#This Row],[destinatario]],CHOOSE({1,2},Clientes_Proveedores[Razon Social],Clientes_Proveedores[Ruc / Dni]),2,0),"")</f>
        <v>43814375</v>
      </c>
      <c r="W2717" s="25"/>
      <c r="X2717" s="25"/>
      <c r="Y2717" s="25"/>
      <c r="Z2717" s="77"/>
      <c r="AA2717" s="3" t="str">
        <f>IF(BCP_Soles[[#This Row],[fecha]]&gt;0,TEXT(BCP_Soles[[#This Row],[fecha]],"mmmm"),0)</f>
        <v>Julio</v>
      </c>
    </row>
    <row r="2718" spans="1:27" ht="24" x14ac:dyDescent="0.3">
      <c r="A2718" s="2">
        <f>IF(BCP_Soles[[#This Row],[tipo_registro]]="R",COUNTIFS($C$1:$C2717,"R")+1,A2717)</f>
        <v>1962</v>
      </c>
      <c r="B2718" s="19" t="str">
        <f t="shared" si="221"/>
        <v>B-BCP - Soles</v>
      </c>
      <c r="C2718" s="3" t="s">
        <v>1352</v>
      </c>
      <c r="D2718" s="14">
        <v>45853</v>
      </c>
      <c r="E2718" s="5" t="s">
        <v>1331</v>
      </c>
      <c r="F2718" s="5"/>
      <c r="G2718" s="6" t="s">
        <v>692</v>
      </c>
      <c r="H2718" s="6" t="s">
        <v>158</v>
      </c>
      <c r="I2718" s="6" t="s">
        <v>3898</v>
      </c>
      <c r="J2718" s="6">
        <v>18</v>
      </c>
      <c r="K2718" s="7" t="s">
        <v>3897</v>
      </c>
      <c r="L2718" s="8">
        <v>990263</v>
      </c>
      <c r="M2718" s="8" t="str">
        <f t="shared" si="222"/>
        <v>PEN</v>
      </c>
      <c r="N2718" s="13">
        <v>2155.0500000000002</v>
      </c>
      <c r="O2718" s="13"/>
      <c r="P2718" s="3">
        <f t="shared" si="223"/>
        <v>0</v>
      </c>
      <c r="Q2718" s="3">
        <f t="shared" si="224"/>
        <v>0</v>
      </c>
      <c r="R2718" s="3">
        <f t="shared" si="220"/>
        <v>5399.1500000000233</v>
      </c>
      <c r="S2718" s="24"/>
      <c r="T2718" s="24"/>
      <c r="U2718" s="55"/>
      <c r="V2718" s="25">
        <f>IFERROR(VLOOKUP(BCP_Soles[[#This Row],[destinatario]],CHOOSE({1,2},Clientes_Proveedores[Razon Social],Clientes_Proveedores[Ruc / Dni]),2,0),"")</f>
        <v>10736055631</v>
      </c>
      <c r="W2718" s="25"/>
      <c r="X2718" s="25"/>
      <c r="Y2718" s="25"/>
      <c r="Z2718" s="77"/>
      <c r="AA2718" s="3" t="str">
        <f>IF(BCP_Soles[[#This Row],[fecha]]&gt;0,TEXT(BCP_Soles[[#This Row],[fecha]],"mmmm"),0)</f>
        <v>Julio</v>
      </c>
    </row>
    <row r="2719" spans="1:27" ht="24" x14ac:dyDescent="0.3">
      <c r="A2719" s="2">
        <f>IF(BCP_Soles[[#This Row],[tipo_registro]]="R",COUNTIFS($C$1:$C2718,"R")+1,A2718)</f>
        <v>1962</v>
      </c>
      <c r="B2719" s="19" t="str">
        <f t="shared" si="221"/>
        <v>B-BCP - Soles</v>
      </c>
      <c r="C2719" s="3" t="s">
        <v>1352</v>
      </c>
      <c r="D2719" s="14">
        <v>45853</v>
      </c>
      <c r="E2719" s="5" t="s">
        <v>1331</v>
      </c>
      <c r="F2719" s="5"/>
      <c r="G2719" s="6" t="s">
        <v>866</v>
      </c>
      <c r="H2719" s="6" t="s">
        <v>158</v>
      </c>
      <c r="I2719" s="6" t="s">
        <v>3898</v>
      </c>
      <c r="J2719" s="6">
        <v>19</v>
      </c>
      <c r="K2719" s="7" t="s">
        <v>3897</v>
      </c>
      <c r="L2719" s="8">
        <v>990263</v>
      </c>
      <c r="M2719" s="8" t="str">
        <f t="shared" si="222"/>
        <v>PEN</v>
      </c>
      <c r="N2719" s="13">
        <v>1695.37</v>
      </c>
      <c r="O2719" s="13"/>
      <c r="P2719" s="3">
        <f t="shared" si="223"/>
        <v>0</v>
      </c>
      <c r="Q2719" s="3">
        <f t="shared" si="224"/>
        <v>0</v>
      </c>
      <c r="R2719" s="3">
        <f t="shared" si="220"/>
        <v>5399.1500000000233</v>
      </c>
      <c r="S2719" s="24"/>
      <c r="T2719" s="24"/>
      <c r="U2719" s="55"/>
      <c r="V2719" s="25">
        <f>IFERROR(VLOOKUP(BCP_Soles[[#This Row],[destinatario]],CHOOSE({1,2},Clientes_Proveedores[Razon Social],Clientes_Proveedores[Ruc / Dni]),2,0),"")</f>
        <v>45921913</v>
      </c>
      <c r="W2719" s="25"/>
      <c r="X2719" s="25"/>
      <c r="Y2719" s="25"/>
      <c r="Z2719" s="77"/>
      <c r="AA2719" s="3" t="str">
        <f>IF(BCP_Soles[[#This Row],[fecha]]&gt;0,TEXT(BCP_Soles[[#This Row],[fecha]],"mmmm"),0)</f>
        <v>Julio</v>
      </c>
    </row>
    <row r="2720" spans="1:27" ht="24" x14ac:dyDescent="0.3">
      <c r="A2720" s="2">
        <f>IF(BCP_Soles[[#This Row],[tipo_registro]]="R",COUNTIFS($C$1:$C2719,"R")+1,A2719)</f>
        <v>1962</v>
      </c>
      <c r="B2720" s="19" t="str">
        <f t="shared" si="221"/>
        <v>B-BCP - Soles</v>
      </c>
      <c r="C2720" s="3" t="s">
        <v>1352</v>
      </c>
      <c r="D2720" s="14">
        <v>45853</v>
      </c>
      <c r="E2720" s="5" t="s">
        <v>1331</v>
      </c>
      <c r="F2720" s="5"/>
      <c r="G2720" s="6" t="s">
        <v>871</v>
      </c>
      <c r="H2720" s="6" t="s">
        <v>158</v>
      </c>
      <c r="I2720" s="6" t="s">
        <v>3898</v>
      </c>
      <c r="J2720" s="6">
        <v>20</v>
      </c>
      <c r="K2720" s="7" t="s">
        <v>3897</v>
      </c>
      <c r="L2720" s="8">
        <v>990263</v>
      </c>
      <c r="M2720" s="8" t="str">
        <f t="shared" si="222"/>
        <v>PEN</v>
      </c>
      <c r="N2720" s="13">
        <v>1918.4</v>
      </c>
      <c r="O2720" s="13"/>
      <c r="P2720" s="3">
        <f t="shared" si="223"/>
        <v>0</v>
      </c>
      <c r="Q2720" s="3">
        <f t="shared" si="224"/>
        <v>0</v>
      </c>
      <c r="R2720" s="3">
        <f t="shared" si="220"/>
        <v>5399.1500000000233</v>
      </c>
      <c r="S2720" s="24"/>
      <c r="T2720" s="24"/>
      <c r="U2720" s="55"/>
      <c r="V2720" s="25">
        <f>IFERROR(VLOOKUP(BCP_Soles[[#This Row],[destinatario]],CHOOSE({1,2},Clientes_Proveedores[Razon Social],Clientes_Proveedores[Ruc / Dni]),2,0),"")</f>
        <v>72302392</v>
      </c>
      <c r="W2720" s="25"/>
      <c r="X2720" s="25"/>
      <c r="Y2720" s="25"/>
      <c r="Z2720" s="77"/>
      <c r="AA2720" s="3" t="str">
        <f>IF(BCP_Soles[[#This Row],[fecha]]&gt;0,TEXT(BCP_Soles[[#This Row],[fecha]],"mmmm"),0)</f>
        <v>Julio</v>
      </c>
    </row>
    <row r="2721" spans="1:27" ht="24" x14ac:dyDescent="0.3">
      <c r="A2721" s="2">
        <f>IF(BCP_Soles[[#This Row],[tipo_registro]]="R",COUNTIFS($C$1:$C2720,"R")+1,A2720)</f>
        <v>1962</v>
      </c>
      <c r="B2721" s="19" t="str">
        <f t="shared" si="221"/>
        <v>B-BCP - Soles</v>
      </c>
      <c r="C2721" s="3" t="s">
        <v>1352</v>
      </c>
      <c r="D2721" s="14">
        <v>45853</v>
      </c>
      <c r="E2721" s="5" t="s">
        <v>1331</v>
      </c>
      <c r="F2721" s="5"/>
      <c r="G2721" s="6" t="s">
        <v>873</v>
      </c>
      <c r="H2721" s="6" t="s">
        <v>158</v>
      </c>
      <c r="I2721" s="6" t="s">
        <v>3898</v>
      </c>
      <c r="J2721" s="6">
        <v>21</v>
      </c>
      <c r="K2721" s="7" t="s">
        <v>3897</v>
      </c>
      <c r="L2721" s="8">
        <v>990263</v>
      </c>
      <c r="M2721" s="8" t="str">
        <f t="shared" si="222"/>
        <v>PEN</v>
      </c>
      <c r="N2721" s="13">
        <v>1431.17</v>
      </c>
      <c r="O2721" s="13"/>
      <c r="P2721" s="3">
        <f t="shared" si="223"/>
        <v>0</v>
      </c>
      <c r="Q2721" s="3">
        <f t="shared" si="224"/>
        <v>0</v>
      </c>
      <c r="R2721" s="3">
        <f t="shared" si="220"/>
        <v>5399.1500000000233</v>
      </c>
      <c r="S2721" s="24"/>
      <c r="T2721" s="24"/>
      <c r="U2721" s="55"/>
      <c r="V2721" s="25">
        <f>IFERROR(VLOOKUP(BCP_Soles[[#This Row],[destinatario]],CHOOSE({1,2},Clientes_Proveedores[Razon Social],Clientes_Proveedores[Ruc / Dni]),2,0),"")</f>
        <v>80355193</v>
      </c>
      <c r="W2721" s="25"/>
      <c r="X2721" s="25"/>
      <c r="Y2721" s="25"/>
      <c r="Z2721" s="77"/>
      <c r="AA2721" s="3" t="str">
        <f>IF(BCP_Soles[[#This Row],[fecha]]&gt;0,TEXT(BCP_Soles[[#This Row],[fecha]],"mmmm"),0)</f>
        <v>Julio</v>
      </c>
    </row>
    <row r="2722" spans="1:27" x14ac:dyDescent="0.3">
      <c r="A2722" s="2">
        <f>IF(BCP_Soles[[#This Row],[tipo_registro]]="R",COUNTIFS($C$1:$C2721,"R")+1,A2721)</f>
        <v>1962</v>
      </c>
      <c r="B2722" s="19" t="str">
        <f t="shared" si="221"/>
        <v>B-BCP - Soles</v>
      </c>
      <c r="C2722" s="3" t="s">
        <v>1352</v>
      </c>
      <c r="D2722" s="14">
        <v>45853</v>
      </c>
      <c r="E2722" s="5" t="s">
        <v>1331</v>
      </c>
      <c r="F2722" s="5"/>
      <c r="G2722" s="6" t="s">
        <v>876</v>
      </c>
      <c r="H2722" s="6" t="s">
        <v>158</v>
      </c>
      <c r="I2722" s="6" t="s">
        <v>3898</v>
      </c>
      <c r="J2722" s="6">
        <v>22</v>
      </c>
      <c r="K2722" s="7" t="s">
        <v>3897</v>
      </c>
      <c r="L2722" s="8">
        <v>990263</v>
      </c>
      <c r="M2722" s="8" t="str">
        <f t="shared" si="222"/>
        <v>PEN</v>
      </c>
      <c r="N2722" s="13">
        <v>2103.6799999999998</v>
      </c>
      <c r="O2722" s="13"/>
      <c r="P2722" s="3">
        <f t="shared" si="223"/>
        <v>0</v>
      </c>
      <c r="Q2722" s="3">
        <f t="shared" si="224"/>
        <v>0</v>
      </c>
      <c r="R2722" s="3">
        <f t="shared" si="220"/>
        <v>5399.1500000000233</v>
      </c>
      <c r="S2722" s="24"/>
      <c r="T2722" s="24"/>
      <c r="U2722" s="55"/>
      <c r="V2722" s="25">
        <f>IFERROR(VLOOKUP(BCP_Soles[[#This Row],[destinatario]],CHOOSE({1,2},Clientes_Proveedores[Razon Social],Clientes_Proveedores[Ruc / Dni]),2,0),"")</f>
        <v>1829028</v>
      </c>
      <c r="W2722" s="25"/>
      <c r="X2722" s="25"/>
      <c r="Y2722" s="25"/>
      <c r="Z2722" s="77"/>
      <c r="AA2722" s="3" t="str">
        <f>IF(BCP_Soles[[#This Row],[fecha]]&gt;0,TEXT(BCP_Soles[[#This Row],[fecha]],"mmmm"),0)</f>
        <v>Julio</v>
      </c>
    </row>
    <row r="2723" spans="1:27" ht="24" x14ac:dyDescent="0.3">
      <c r="A2723" s="2">
        <f>IF(BCP_Soles[[#This Row],[tipo_registro]]="R",COUNTIFS($C$1:$C2722,"R")+1,A2722)</f>
        <v>1962</v>
      </c>
      <c r="B2723" s="19" t="str">
        <f t="shared" si="221"/>
        <v>B-BCP - Soles</v>
      </c>
      <c r="C2723" s="3" t="s">
        <v>1352</v>
      </c>
      <c r="D2723" s="14">
        <v>45853</v>
      </c>
      <c r="E2723" s="5" t="s">
        <v>1331</v>
      </c>
      <c r="F2723" s="5"/>
      <c r="G2723" s="6" t="s">
        <v>882</v>
      </c>
      <c r="H2723" s="6" t="s">
        <v>158</v>
      </c>
      <c r="I2723" s="6" t="s">
        <v>3898</v>
      </c>
      <c r="J2723" s="6">
        <v>23</v>
      </c>
      <c r="K2723" s="7" t="s">
        <v>3897</v>
      </c>
      <c r="L2723" s="8">
        <v>990263</v>
      </c>
      <c r="M2723" s="8" t="str">
        <f t="shared" si="222"/>
        <v>PEN</v>
      </c>
      <c r="N2723" s="13">
        <v>3022.06</v>
      </c>
      <c r="O2723" s="13"/>
      <c r="P2723" s="3">
        <f t="shared" si="223"/>
        <v>0</v>
      </c>
      <c r="Q2723" s="3">
        <f t="shared" si="224"/>
        <v>0</v>
      </c>
      <c r="R2723" s="3">
        <f t="shared" si="220"/>
        <v>5399.1500000000233</v>
      </c>
      <c r="S2723" s="24"/>
      <c r="T2723" s="24"/>
      <c r="U2723" s="55"/>
      <c r="V2723" s="25">
        <f>IFERROR(VLOOKUP(BCP_Soles[[#This Row],[destinatario]],CHOOSE({1,2},Clientes_Proveedores[Razon Social],Clientes_Proveedores[Ruc / Dni]),2,0),"")</f>
        <v>72450429</v>
      </c>
      <c r="W2723" s="25"/>
      <c r="X2723" s="25"/>
      <c r="Y2723" s="25"/>
      <c r="Z2723" s="77"/>
      <c r="AA2723" s="3" t="str">
        <f>IF(BCP_Soles[[#This Row],[fecha]]&gt;0,TEXT(BCP_Soles[[#This Row],[fecha]],"mmmm"),0)</f>
        <v>Julio</v>
      </c>
    </row>
    <row r="2724" spans="1:27" ht="24" x14ac:dyDescent="0.3">
      <c r="A2724" s="2">
        <f>IF(BCP_Soles[[#This Row],[tipo_registro]]="R",COUNTIFS($C$1:$C2723,"R")+1,A2723)</f>
        <v>1962</v>
      </c>
      <c r="B2724" s="19" t="str">
        <f t="shared" si="221"/>
        <v>B-BCP - Soles</v>
      </c>
      <c r="C2724" s="3" t="s">
        <v>1352</v>
      </c>
      <c r="D2724" s="14">
        <v>45853</v>
      </c>
      <c r="E2724" s="5" t="s">
        <v>1331</v>
      </c>
      <c r="F2724" s="5"/>
      <c r="G2724" s="6" t="s">
        <v>1010</v>
      </c>
      <c r="H2724" s="6" t="s">
        <v>158</v>
      </c>
      <c r="I2724" s="6" t="s">
        <v>3898</v>
      </c>
      <c r="J2724" s="6">
        <v>24</v>
      </c>
      <c r="K2724" s="7" t="s">
        <v>3897</v>
      </c>
      <c r="L2724" s="8">
        <v>990263</v>
      </c>
      <c r="M2724" s="8" t="str">
        <f t="shared" si="222"/>
        <v>PEN</v>
      </c>
      <c r="N2724" s="13">
        <v>566.19000000000005</v>
      </c>
      <c r="O2724" s="13"/>
      <c r="P2724" s="3">
        <f t="shared" si="223"/>
        <v>0</v>
      </c>
      <c r="Q2724" s="3">
        <f t="shared" si="224"/>
        <v>0</v>
      </c>
      <c r="R2724" s="3">
        <f t="shared" si="220"/>
        <v>5399.1500000000233</v>
      </c>
      <c r="S2724" s="24"/>
      <c r="T2724" s="24"/>
      <c r="U2724" s="55"/>
      <c r="V2724" s="25">
        <f>IFERROR(VLOOKUP(BCP_Soles[[#This Row],[destinatario]],CHOOSE({1,2},Clientes_Proveedores[Razon Social],Clientes_Proveedores[Ruc / Dni]),2,0),"")</f>
        <v>48197510</v>
      </c>
      <c r="W2724" s="25"/>
      <c r="X2724" s="25"/>
      <c r="Y2724" s="25"/>
      <c r="Z2724" s="77"/>
      <c r="AA2724" s="3" t="str">
        <f>IF(BCP_Soles[[#This Row],[fecha]]&gt;0,TEXT(BCP_Soles[[#This Row],[fecha]],"mmmm"),0)</f>
        <v>Julio</v>
      </c>
    </row>
    <row r="2725" spans="1:27" ht="24" x14ac:dyDescent="0.3">
      <c r="A2725" s="2">
        <f>IF(BCP_Soles[[#This Row],[tipo_registro]]="R",COUNTIFS($C$1:$C2724,"R")+1,A2724)</f>
        <v>1962</v>
      </c>
      <c r="B2725" s="19" t="str">
        <f t="shared" si="221"/>
        <v>B-BCP - Soles</v>
      </c>
      <c r="C2725" s="3" t="s">
        <v>1352</v>
      </c>
      <c r="D2725" s="14">
        <v>45853</v>
      </c>
      <c r="E2725" s="5" t="s">
        <v>1331</v>
      </c>
      <c r="F2725" s="5"/>
      <c r="G2725" s="6" t="s">
        <v>888</v>
      </c>
      <c r="H2725" s="6" t="s">
        <v>158</v>
      </c>
      <c r="I2725" s="6" t="s">
        <v>3898</v>
      </c>
      <c r="J2725" s="6">
        <v>25</v>
      </c>
      <c r="K2725" s="7" t="s">
        <v>3897</v>
      </c>
      <c r="L2725" s="8">
        <v>990263</v>
      </c>
      <c r="M2725" s="8" t="str">
        <f t="shared" si="222"/>
        <v>PEN</v>
      </c>
      <c r="N2725" s="13">
        <v>2901.04</v>
      </c>
      <c r="O2725" s="13"/>
      <c r="P2725" s="3">
        <f t="shared" si="223"/>
        <v>0</v>
      </c>
      <c r="Q2725" s="3">
        <f t="shared" si="224"/>
        <v>0</v>
      </c>
      <c r="R2725" s="3">
        <f t="shared" si="220"/>
        <v>5399.1500000000233</v>
      </c>
      <c r="S2725" s="24"/>
      <c r="T2725" s="24"/>
      <c r="U2725" s="55"/>
      <c r="V2725" s="25">
        <f>IFERROR(VLOOKUP(BCP_Soles[[#This Row],[destinatario]],CHOOSE({1,2},Clientes_Proveedores[Razon Social],Clientes_Proveedores[Ruc / Dni]),2,0),"")</f>
        <v>47461440</v>
      </c>
      <c r="W2725" s="25"/>
      <c r="X2725" s="25"/>
      <c r="Y2725" s="25"/>
      <c r="Z2725" s="77"/>
      <c r="AA2725" s="3" t="str">
        <f>IF(BCP_Soles[[#This Row],[fecha]]&gt;0,TEXT(BCP_Soles[[#This Row],[fecha]],"mmmm"),0)</f>
        <v>Julio</v>
      </c>
    </row>
    <row r="2726" spans="1:27" ht="24" x14ac:dyDescent="0.3">
      <c r="A2726" s="2">
        <f>IF(BCP_Soles[[#This Row],[tipo_registro]]="R",COUNTIFS($C$1:$C2725,"R")+1,A2725)</f>
        <v>1962</v>
      </c>
      <c r="B2726" s="19" t="str">
        <f t="shared" si="221"/>
        <v>B-BCP - Soles</v>
      </c>
      <c r="C2726" s="3" t="s">
        <v>1352</v>
      </c>
      <c r="D2726" s="14">
        <v>45853</v>
      </c>
      <c r="E2726" s="5" t="s">
        <v>1331</v>
      </c>
      <c r="F2726" s="5"/>
      <c r="G2726" s="6" t="s">
        <v>890</v>
      </c>
      <c r="H2726" s="6" t="s">
        <v>158</v>
      </c>
      <c r="I2726" s="6" t="s">
        <v>3898</v>
      </c>
      <c r="J2726" s="6">
        <v>26</v>
      </c>
      <c r="K2726" s="7" t="s">
        <v>3897</v>
      </c>
      <c r="L2726" s="8">
        <v>990263</v>
      </c>
      <c r="M2726" s="8" t="str">
        <f t="shared" si="222"/>
        <v>PEN</v>
      </c>
      <c r="N2726" s="13">
        <v>2550.4</v>
      </c>
      <c r="O2726" s="13"/>
      <c r="P2726" s="3">
        <f t="shared" si="223"/>
        <v>0</v>
      </c>
      <c r="Q2726" s="3">
        <f t="shared" si="224"/>
        <v>0</v>
      </c>
      <c r="R2726" s="3">
        <f t="shared" si="220"/>
        <v>5399.1500000000233</v>
      </c>
      <c r="S2726" s="24"/>
      <c r="T2726" s="24"/>
      <c r="U2726" s="55"/>
      <c r="V2726" s="25">
        <f>IFERROR(VLOOKUP(BCP_Soles[[#This Row],[destinatario]],CHOOSE({1,2},Clientes_Proveedores[Razon Social],Clientes_Proveedores[Ruc / Dni]),2,0),"")</f>
        <v>78803424</v>
      </c>
      <c r="W2726" s="25"/>
      <c r="X2726" s="25"/>
      <c r="Y2726" s="25"/>
      <c r="Z2726" s="77"/>
      <c r="AA2726" s="3" t="str">
        <f>IF(BCP_Soles[[#This Row],[fecha]]&gt;0,TEXT(BCP_Soles[[#This Row],[fecha]],"mmmm"),0)</f>
        <v>Julio</v>
      </c>
    </row>
    <row r="2727" spans="1:27" ht="24" x14ac:dyDescent="0.3">
      <c r="A2727" s="2">
        <f>IF(BCP_Soles[[#This Row],[tipo_registro]]="R",COUNTIFS($C$1:$C2726,"R")+1,A2726)</f>
        <v>1962</v>
      </c>
      <c r="B2727" s="19" t="str">
        <f t="shared" si="221"/>
        <v>B-BCP - Soles</v>
      </c>
      <c r="C2727" s="3" t="s">
        <v>1352</v>
      </c>
      <c r="D2727" s="14">
        <v>45853</v>
      </c>
      <c r="E2727" s="5" t="s">
        <v>1331</v>
      </c>
      <c r="F2727" s="5"/>
      <c r="G2727" s="6" t="s">
        <v>895</v>
      </c>
      <c r="H2727" s="6" t="s">
        <v>158</v>
      </c>
      <c r="I2727" s="6" t="s">
        <v>3898</v>
      </c>
      <c r="J2727" s="6">
        <v>27</v>
      </c>
      <c r="K2727" s="7" t="s">
        <v>3897</v>
      </c>
      <c r="L2727" s="8">
        <v>990263</v>
      </c>
      <c r="M2727" s="8" t="str">
        <f t="shared" si="222"/>
        <v>PEN</v>
      </c>
      <c r="N2727" s="13">
        <v>2376.1999999999998</v>
      </c>
      <c r="O2727" s="13"/>
      <c r="P2727" s="3">
        <f t="shared" si="223"/>
        <v>0</v>
      </c>
      <c r="Q2727" s="3">
        <f t="shared" si="224"/>
        <v>0</v>
      </c>
      <c r="R2727" s="3">
        <f t="shared" si="220"/>
        <v>5399.1500000000233</v>
      </c>
      <c r="S2727" s="24"/>
      <c r="T2727" s="24"/>
      <c r="U2727" s="55"/>
      <c r="V2727" s="25">
        <f>IFERROR(VLOOKUP(BCP_Soles[[#This Row],[destinatario]],CHOOSE({1,2},Clientes_Proveedores[Razon Social],Clientes_Proveedores[Ruc / Dni]),2,0),"")</f>
        <v>72144092</v>
      </c>
      <c r="W2727" s="25"/>
      <c r="X2727" s="25"/>
      <c r="Y2727" s="25"/>
      <c r="Z2727" s="77"/>
      <c r="AA2727" s="3" t="str">
        <f>IF(BCP_Soles[[#This Row],[fecha]]&gt;0,TEXT(BCP_Soles[[#This Row],[fecha]],"mmmm"),0)</f>
        <v>Julio</v>
      </c>
    </row>
    <row r="2728" spans="1:27" ht="24" x14ac:dyDescent="0.3">
      <c r="A2728" s="2">
        <f>IF(BCP_Soles[[#This Row],[tipo_registro]]="R",COUNTIFS($C$1:$C2727,"R")+1,A2727)</f>
        <v>1962</v>
      </c>
      <c r="B2728" s="19" t="str">
        <f t="shared" si="221"/>
        <v>B-BCP - Soles</v>
      </c>
      <c r="C2728" s="3" t="s">
        <v>1352</v>
      </c>
      <c r="D2728" s="14">
        <v>45853</v>
      </c>
      <c r="E2728" s="5" t="s">
        <v>1331</v>
      </c>
      <c r="F2728" s="5"/>
      <c r="G2728" s="6" t="s">
        <v>901</v>
      </c>
      <c r="H2728" s="6" t="s">
        <v>158</v>
      </c>
      <c r="I2728" s="6" t="s">
        <v>3898</v>
      </c>
      <c r="J2728" s="6">
        <v>28</v>
      </c>
      <c r="K2728" s="7" t="s">
        <v>3897</v>
      </c>
      <c r="L2728" s="8">
        <v>990263</v>
      </c>
      <c r="M2728" s="8" t="str">
        <f t="shared" si="222"/>
        <v>PEN</v>
      </c>
      <c r="N2728" s="13">
        <v>2853.84</v>
      </c>
      <c r="O2728" s="13"/>
      <c r="P2728" s="3">
        <f t="shared" si="223"/>
        <v>0</v>
      </c>
      <c r="Q2728" s="3">
        <f t="shared" si="224"/>
        <v>0</v>
      </c>
      <c r="R2728" s="3">
        <f t="shared" si="220"/>
        <v>5399.1500000000233</v>
      </c>
      <c r="S2728" s="24"/>
      <c r="T2728" s="24"/>
      <c r="U2728" s="55"/>
      <c r="V2728" s="25">
        <f>IFERROR(VLOOKUP(BCP_Soles[[#This Row],[destinatario]],CHOOSE({1,2},Clientes_Proveedores[Razon Social],Clientes_Proveedores[Ruc / Dni]),2,0),"")</f>
        <v>72131384</v>
      </c>
      <c r="W2728" s="25"/>
      <c r="X2728" s="25"/>
      <c r="Y2728" s="25"/>
      <c r="Z2728" s="77"/>
      <c r="AA2728" s="3" t="str">
        <f>IF(BCP_Soles[[#This Row],[fecha]]&gt;0,TEXT(BCP_Soles[[#This Row],[fecha]],"mmmm"),0)</f>
        <v>Julio</v>
      </c>
    </row>
    <row r="2729" spans="1:27" ht="24" x14ac:dyDescent="0.3">
      <c r="A2729" s="2">
        <f>IF(BCP_Soles[[#This Row],[tipo_registro]]="R",COUNTIFS($C$1:$C2728,"R")+1,A2728)</f>
        <v>1962</v>
      </c>
      <c r="B2729" s="19" t="str">
        <f t="shared" si="221"/>
        <v>B-BCP - Soles</v>
      </c>
      <c r="C2729" s="3" t="s">
        <v>1352</v>
      </c>
      <c r="D2729" s="14">
        <v>45853</v>
      </c>
      <c r="E2729" s="5" t="s">
        <v>1331</v>
      </c>
      <c r="F2729" s="5"/>
      <c r="G2729" s="6" t="s">
        <v>993</v>
      </c>
      <c r="H2729" s="6" t="s">
        <v>158</v>
      </c>
      <c r="I2729" s="6" t="s">
        <v>3898</v>
      </c>
      <c r="J2729" s="6">
        <v>29</v>
      </c>
      <c r="K2729" s="7" t="s">
        <v>3897</v>
      </c>
      <c r="L2729" s="8">
        <v>990263</v>
      </c>
      <c r="M2729" s="8" t="str">
        <f t="shared" si="222"/>
        <v>PEN</v>
      </c>
      <c r="N2729" s="13">
        <v>1462.42</v>
      </c>
      <c r="O2729" s="13"/>
      <c r="P2729" s="3">
        <f t="shared" si="223"/>
        <v>0</v>
      </c>
      <c r="Q2729" s="3">
        <f t="shared" si="224"/>
        <v>0</v>
      </c>
      <c r="R2729" s="3">
        <f t="shared" si="220"/>
        <v>5399.1500000000233</v>
      </c>
      <c r="S2729" s="24"/>
      <c r="T2729" s="24"/>
      <c r="U2729" s="55"/>
      <c r="V2729" s="25">
        <f>IFERROR(VLOOKUP(BCP_Soles[[#This Row],[destinatario]],CHOOSE({1,2},Clientes_Proveedores[Razon Social],Clientes_Proveedores[Ruc / Dni]),2,0),"")</f>
        <v>76390500</v>
      </c>
      <c r="W2729" s="25"/>
      <c r="X2729" s="25"/>
      <c r="Y2729" s="25"/>
      <c r="Z2729" s="77"/>
      <c r="AA2729" s="3" t="str">
        <f>IF(BCP_Soles[[#This Row],[fecha]]&gt;0,TEXT(BCP_Soles[[#This Row],[fecha]],"mmmm"),0)</f>
        <v>Julio</v>
      </c>
    </row>
    <row r="2730" spans="1:27" ht="24" x14ac:dyDescent="0.3">
      <c r="A2730" s="2">
        <f>IF(BCP_Soles[[#This Row],[tipo_registro]]="R",COUNTIFS($C$1:$C2729,"R")+1,A2729)</f>
        <v>1962</v>
      </c>
      <c r="B2730" s="19" t="str">
        <f t="shared" si="221"/>
        <v>B-BCP - Soles</v>
      </c>
      <c r="C2730" s="3" t="s">
        <v>1352</v>
      </c>
      <c r="D2730" s="14">
        <v>45853</v>
      </c>
      <c r="E2730" s="5" t="s">
        <v>1331</v>
      </c>
      <c r="F2730" s="5"/>
      <c r="G2730" s="6" t="s">
        <v>909</v>
      </c>
      <c r="H2730" s="6" t="s">
        <v>158</v>
      </c>
      <c r="I2730" s="6" t="s">
        <v>3898</v>
      </c>
      <c r="J2730" s="6">
        <v>30</v>
      </c>
      <c r="K2730" s="7" t="s">
        <v>3897</v>
      </c>
      <c r="L2730" s="8">
        <v>990263</v>
      </c>
      <c r="M2730" s="8" t="str">
        <f t="shared" si="222"/>
        <v>PEN</v>
      </c>
      <c r="N2730" s="13">
        <v>3727.07</v>
      </c>
      <c r="O2730" s="13"/>
      <c r="P2730" s="3">
        <f t="shared" si="223"/>
        <v>0</v>
      </c>
      <c r="Q2730" s="3">
        <f t="shared" si="224"/>
        <v>0</v>
      </c>
      <c r="R2730" s="3">
        <f t="shared" si="220"/>
        <v>5399.1500000000233</v>
      </c>
      <c r="S2730" s="24"/>
      <c r="T2730" s="24"/>
      <c r="U2730" s="55"/>
      <c r="V2730" s="25">
        <f>IFERROR(VLOOKUP(BCP_Soles[[#This Row],[destinatario]],CHOOSE({1,2},Clientes_Proveedores[Razon Social],Clientes_Proveedores[Ruc / Dni]),2,0),"")</f>
        <v>44314304</v>
      </c>
      <c r="W2730" s="25"/>
      <c r="X2730" s="25"/>
      <c r="Y2730" s="25"/>
      <c r="Z2730" s="77"/>
      <c r="AA2730" s="3" t="str">
        <f>IF(BCP_Soles[[#This Row],[fecha]]&gt;0,TEXT(BCP_Soles[[#This Row],[fecha]],"mmmm"),0)</f>
        <v>Julio</v>
      </c>
    </row>
    <row r="2731" spans="1:27" x14ac:dyDescent="0.3">
      <c r="A2731" s="2">
        <f>IF(BCP_Soles[[#This Row],[tipo_registro]]="R",COUNTIFS($C$1:$C2730,"R")+1,A2730)</f>
        <v>1962</v>
      </c>
      <c r="B2731" s="19" t="str">
        <f t="shared" si="221"/>
        <v>B-BCP - Soles</v>
      </c>
      <c r="C2731" s="3" t="s">
        <v>1352</v>
      </c>
      <c r="D2731" s="14">
        <v>45853</v>
      </c>
      <c r="E2731" s="5" t="s">
        <v>1331</v>
      </c>
      <c r="F2731" s="5"/>
      <c r="G2731" s="6" t="s">
        <v>913</v>
      </c>
      <c r="H2731" s="6" t="s">
        <v>158</v>
      </c>
      <c r="I2731" s="6" t="s">
        <v>3898</v>
      </c>
      <c r="J2731" s="6">
        <v>31</v>
      </c>
      <c r="K2731" s="7" t="s">
        <v>3897</v>
      </c>
      <c r="L2731" s="8">
        <v>990263</v>
      </c>
      <c r="M2731" s="8" t="str">
        <f t="shared" si="222"/>
        <v>PEN</v>
      </c>
      <c r="N2731" s="13">
        <v>2584.61</v>
      </c>
      <c r="O2731" s="13"/>
      <c r="P2731" s="3">
        <f t="shared" si="223"/>
        <v>0</v>
      </c>
      <c r="Q2731" s="3">
        <f t="shared" si="224"/>
        <v>0</v>
      </c>
      <c r="R2731" s="3">
        <f t="shared" si="220"/>
        <v>5399.1500000000233</v>
      </c>
      <c r="S2731" s="24"/>
      <c r="T2731" s="24"/>
      <c r="U2731" s="55"/>
      <c r="V2731" s="25">
        <f>IFERROR(VLOOKUP(BCP_Soles[[#This Row],[destinatario]],CHOOSE({1,2},Clientes_Proveedores[Razon Social],Clientes_Proveedores[Ruc / Dni]),2,0),"")</f>
        <v>47760988</v>
      </c>
      <c r="W2731" s="25"/>
      <c r="X2731" s="25"/>
      <c r="Y2731" s="25"/>
      <c r="Z2731" s="77"/>
      <c r="AA2731" s="3" t="str">
        <f>IF(BCP_Soles[[#This Row],[fecha]]&gt;0,TEXT(BCP_Soles[[#This Row],[fecha]],"mmmm"),0)</f>
        <v>Julio</v>
      </c>
    </row>
    <row r="2732" spans="1:27" ht="24" x14ac:dyDescent="0.3">
      <c r="A2732" s="2">
        <f>IF(BCP_Soles[[#This Row],[tipo_registro]]="R",COUNTIFS($C$1:$C2731,"R")+1,A2731)</f>
        <v>1962</v>
      </c>
      <c r="B2732" s="19" t="str">
        <f t="shared" si="221"/>
        <v>B-BCP - Soles</v>
      </c>
      <c r="C2732" s="3" t="s">
        <v>1352</v>
      </c>
      <c r="D2732" s="14">
        <v>45853</v>
      </c>
      <c r="E2732" s="5" t="s">
        <v>1331</v>
      </c>
      <c r="F2732" s="5"/>
      <c r="G2732" s="6" t="s">
        <v>916</v>
      </c>
      <c r="H2732" s="6" t="s">
        <v>158</v>
      </c>
      <c r="I2732" s="6" t="s">
        <v>3898</v>
      </c>
      <c r="J2732" s="6">
        <v>32</v>
      </c>
      <c r="K2732" s="7" t="s">
        <v>3897</v>
      </c>
      <c r="L2732" s="8">
        <v>990263</v>
      </c>
      <c r="M2732" s="8" t="str">
        <f t="shared" si="222"/>
        <v>PEN</v>
      </c>
      <c r="N2732" s="13">
        <v>1736.38</v>
      </c>
      <c r="O2732" s="13"/>
      <c r="P2732" s="3">
        <f t="shared" si="223"/>
        <v>0</v>
      </c>
      <c r="Q2732" s="3">
        <f t="shared" si="224"/>
        <v>0</v>
      </c>
      <c r="R2732" s="3">
        <f t="shared" si="220"/>
        <v>5399.1500000000233</v>
      </c>
      <c r="S2732" s="24"/>
      <c r="T2732" s="24"/>
      <c r="U2732" s="55"/>
      <c r="V2732" s="25">
        <f>IFERROR(VLOOKUP(BCP_Soles[[#This Row],[destinatario]],CHOOSE({1,2},Clientes_Proveedores[Razon Social],Clientes_Proveedores[Ruc / Dni]),2,0),"")</f>
        <v>24800480</v>
      </c>
      <c r="W2732" s="25"/>
      <c r="X2732" s="25"/>
      <c r="Y2732" s="25"/>
      <c r="Z2732" s="77"/>
      <c r="AA2732" s="3" t="str">
        <f>IF(BCP_Soles[[#This Row],[fecha]]&gt;0,TEXT(BCP_Soles[[#This Row],[fecha]],"mmmm"),0)</f>
        <v>Julio</v>
      </c>
    </row>
    <row r="2733" spans="1:27" ht="24" x14ac:dyDescent="0.3">
      <c r="A2733" s="2">
        <f>IF(BCP_Soles[[#This Row],[tipo_registro]]="R",COUNTIFS($C$1:$C2732,"R")+1,A2732)</f>
        <v>1962</v>
      </c>
      <c r="B2733" s="19" t="str">
        <f t="shared" si="221"/>
        <v>B-BCP - Soles</v>
      </c>
      <c r="C2733" s="3" t="s">
        <v>1352</v>
      </c>
      <c r="D2733" s="14">
        <v>45853</v>
      </c>
      <c r="E2733" s="5" t="s">
        <v>1331</v>
      </c>
      <c r="F2733" s="5"/>
      <c r="G2733" s="6" t="s">
        <v>918</v>
      </c>
      <c r="H2733" s="6" t="s">
        <v>158</v>
      </c>
      <c r="I2733" s="6" t="s">
        <v>3898</v>
      </c>
      <c r="J2733" s="6">
        <v>33</v>
      </c>
      <c r="K2733" s="7" t="s">
        <v>3897</v>
      </c>
      <c r="L2733" s="8">
        <v>990263</v>
      </c>
      <c r="M2733" s="8" t="str">
        <f t="shared" si="222"/>
        <v>PEN</v>
      </c>
      <c r="N2733" s="13">
        <v>2416.88</v>
      </c>
      <c r="O2733" s="13"/>
      <c r="P2733" s="3">
        <f t="shared" si="223"/>
        <v>0</v>
      </c>
      <c r="Q2733" s="3">
        <f t="shared" si="224"/>
        <v>0</v>
      </c>
      <c r="R2733" s="3">
        <f t="shared" si="220"/>
        <v>5399.1500000000233</v>
      </c>
      <c r="S2733" s="24"/>
      <c r="T2733" s="24"/>
      <c r="U2733" s="55"/>
      <c r="V2733" s="25">
        <f>IFERROR(VLOOKUP(BCP_Soles[[#This Row],[destinatario]],CHOOSE({1,2},Clientes_Proveedores[Razon Social],Clientes_Proveedores[Ruc / Dni]),2,0),"")</f>
        <v>48536654</v>
      </c>
      <c r="W2733" s="25"/>
      <c r="X2733" s="25"/>
      <c r="Y2733" s="25"/>
      <c r="Z2733" s="77"/>
      <c r="AA2733" s="3" t="str">
        <f>IF(BCP_Soles[[#This Row],[fecha]]&gt;0,TEXT(BCP_Soles[[#This Row],[fecha]],"mmmm"),0)</f>
        <v>Julio</v>
      </c>
    </row>
    <row r="2734" spans="1:27" ht="24" x14ac:dyDescent="0.3">
      <c r="A2734" s="2">
        <f>IF(BCP_Soles[[#This Row],[tipo_registro]]="R",COUNTIFS($C$1:$C2733,"R")+1,A2733)</f>
        <v>1962</v>
      </c>
      <c r="B2734" s="19" t="str">
        <f t="shared" si="221"/>
        <v>B-BCP - Soles</v>
      </c>
      <c r="C2734" s="3" t="s">
        <v>1352</v>
      </c>
      <c r="D2734" s="14">
        <v>45853</v>
      </c>
      <c r="E2734" s="5" t="s">
        <v>1331</v>
      </c>
      <c r="F2734" s="5"/>
      <c r="G2734" s="6" t="s">
        <v>922</v>
      </c>
      <c r="H2734" s="6" t="s">
        <v>158</v>
      </c>
      <c r="I2734" s="6" t="s">
        <v>3898</v>
      </c>
      <c r="J2734" s="6">
        <v>34</v>
      </c>
      <c r="K2734" s="7" t="s">
        <v>3897</v>
      </c>
      <c r="L2734" s="8">
        <v>990263</v>
      </c>
      <c r="M2734" s="8" t="str">
        <f t="shared" si="222"/>
        <v>PEN</v>
      </c>
      <c r="N2734" s="13">
        <v>2253.36</v>
      </c>
      <c r="O2734" s="13"/>
      <c r="P2734" s="3">
        <f t="shared" si="223"/>
        <v>0</v>
      </c>
      <c r="Q2734" s="3">
        <f t="shared" si="224"/>
        <v>0</v>
      </c>
      <c r="R2734" s="3">
        <f t="shared" si="220"/>
        <v>5399.1500000000233</v>
      </c>
      <c r="S2734" s="24"/>
      <c r="T2734" s="24"/>
      <c r="U2734" s="55"/>
      <c r="V2734" s="25">
        <f>IFERROR(VLOOKUP(BCP_Soles[[#This Row],[destinatario]],CHOOSE({1,2},Clientes_Proveedores[Razon Social],Clientes_Proveedores[Ruc / Dni]),2,0),"")</f>
        <v>72537561</v>
      </c>
      <c r="W2734" s="25"/>
      <c r="X2734" s="25"/>
      <c r="Y2734" s="25"/>
      <c r="Z2734" s="77"/>
      <c r="AA2734" s="3" t="str">
        <f>IF(BCP_Soles[[#This Row],[fecha]]&gt;0,TEXT(BCP_Soles[[#This Row],[fecha]],"mmmm"),0)</f>
        <v>Julio</v>
      </c>
    </row>
    <row r="2735" spans="1:27" ht="24" x14ac:dyDescent="0.3">
      <c r="A2735" s="2">
        <f>IF(BCP_Soles[[#This Row],[tipo_registro]]="R",COUNTIFS($C$1:$C2734,"R")+1,A2734)</f>
        <v>1962</v>
      </c>
      <c r="B2735" s="19" t="str">
        <f t="shared" si="221"/>
        <v>B-BCP - Soles</v>
      </c>
      <c r="C2735" s="3" t="s">
        <v>1352</v>
      </c>
      <c r="D2735" s="14">
        <v>45853</v>
      </c>
      <c r="E2735" s="5" t="s">
        <v>1331</v>
      </c>
      <c r="F2735" s="5"/>
      <c r="G2735" s="6" t="s">
        <v>1018</v>
      </c>
      <c r="H2735" s="6" t="s">
        <v>158</v>
      </c>
      <c r="I2735" s="6" t="s">
        <v>3898</v>
      </c>
      <c r="J2735" s="6">
        <v>35</v>
      </c>
      <c r="K2735" s="7" t="s">
        <v>3897</v>
      </c>
      <c r="L2735" s="8">
        <v>990263</v>
      </c>
      <c r="M2735" s="8" t="str">
        <f t="shared" si="222"/>
        <v>PEN</v>
      </c>
      <c r="N2735" s="13">
        <v>637.65</v>
      </c>
      <c r="O2735" s="13"/>
      <c r="P2735" s="3">
        <f t="shared" si="223"/>
        <v>0</v>
      </c>
      <c r="Q2735" s="3">
        <f t="shared" si="224"/>
        <v>0</v>
      </c>
      <c r="R2735" s="3">
        <f t="shared" si="220"/>
        <v>5399.1500000000233</v>
      </c>
      <c r="S2735" s="24"/>
      <c r="T2735" s="24"/>
      <c r="U2735" s="55"/>
      <c r="V2735" s="25">
        <f>IFERROR(VLOOKUP(BCP_Soles[[#This Row],[destinatario]],CHOOSE({1,2},Clientes_Proveedores[Razon Social],Clientes_Proveedores[Ruc / Dni]),2,0),"")</f>
        <v>75276411</v>
      </c>
      <c r="W2735" s="25"/>
      <c r="X2735" s="25"/>
      <c r="Y2735" s="25"/>
      <c r="Z2735" s="77"/>
      <c r="AA2735" s="3" t="str">
        <f>IF(BCP_Soles[[#This Row],[fecha]]&gt;0,TEXT(BCP_Soles[[#This Row],[fecha]],"mmmm"),0)</f>
        <v>Julio</v>
      </c>
    </row>
    <row r="2736" spans="1:27" x14ac:dyDescent="0.3">
      <c r="A2736" s="2">
        <f>IF(BCP_Soles[[#This Row],[tipo_registro]]="R",COUNTIFS($C$1:$C2735,"R")+1,A2735)</f>
        <v>1962</v>
      </c>
      <c r="B2736" s="19" t="str">
        <f t="shared" si="221"/>
        <v>B-BCP - Soles</v>
      </c>
      <c r="C2736" s="3" t="s">
        <v>1352</v>
      </c>
      <c r="D2736" s="14">
        <v>45853</v>
      </c>
      <c r="E2736" s="5" t="s">
        <v>1331</v>
      </c>
      <c r="F2736" s="5"/>
      <c r="G2736" s="6" t="s">
        <v>925</v>
      </c>
      <c r="H2736" s="6" t="s">
        <v>158</v>
      </c>
      <c r="I2736" s="6" t="s">
        <v>3898</v>
      </c>
      <c r="J2736" s="6">
        <v>36</v>
      </c>
      <c r="K2736" s="7" t="s">
        <v>3897</v>
      </c>
      <c r="L2736" s="8">
        <v>990263</v>
      </c>
      <c r="M2736" s="8" t="str">
        <f t="shared" si="222"/>
        <v>PEN</v>
      </c>
      <c r="N2736" s="13">
        <v>1832.13</v>
      </c>
      <c r="O2736" s="13"/>
      <c r="P2736" s="3">
        <f t="shared" si="223"/>
        <v>0</v>
      </c>
      <c r="Q2736" s="3">
        <f t="shared" si="224"/>
        <v>0</v>
      </c>
      <c r="R2736" s="3">
        <f t="shared" si="220"/>
        <v>5399.1500000000233</v>
      </c>
      <c r="S2736" s="24"/>
      <c r="T2736" s="24"/>
      <c r="U2736" s="55"/>
      <c r="V2736" s="25">
        <f>IFERROR(VLOOKUP(BCP_Soles[[#This Row],[destinatario]],CHOOSE({1,2},Clientes_Proveedores[Razon Social],Clientes_Proveedores[Ruc / Dni]),2,0),"")</f>
        <v>73530159</v>
      </c>
      <c r="W2736" s="25"/>
      <c r="X2736" s="25"/>
      <c r="Y2736" s="25"/>
      <c r="Z2736" s="77"/>
      <c r="AA2736" s="3" t="str">
        <f>IF(BCP_Soles[[#This Row],[fecha]]&gt;0,TEXT(BCP_Soles[[#This Row],[fecha]],"mmmm"),0)</f>
        <v>Julio</v>
      </c>
    </row>
    <row r="2737" spans="1:27" ht="24" x14ac:dyDescent="0.3">
      <c r="A2737" s="2">
        <f>IF(BCP_Soles[[#This Row],[tipo_registro]]="R",COUNTIFS($C$1:$C2736,"R")+1,A2736)</f>
        <v>1962</v>
      </c>
      <c r="B2737" s="19" t="str">
        <f t="shared" si="221"/>
        <v>B-BCP - Soles</v>
      </c>
      <c r="C2737" s="3" t="s">
        <v>1352</v>
      </c>
      <c r="D2737" s="14">
        <v>45853</v>
      </c>
      <c r="E2737" s="5" t="s">
        <v>1331</v>
      </c>
      <c r="F2737" s="5"/>
      <c r="G2737" s="6" t="s">
        <v>928</v>
      </c>
      <c r="H2737" s="6" t="s">
        <v>158</v>
      </c>
      <c r="I2737" s="6" t="s">
        <v>3898</v>
      </c>
      <c r="J2737" s="6">
        <v>37</v>
      </c>
      <c r="K2737" s="7" t="s">
        <v>3897</v>
      </c>
      <c r="L2737" s="8">
        <v>990263</v>
      </c>
      <c r="M2737" s="8" t="str">
        <f t="shared" si="222"/>
        <v>PEN</v>
      </c>
      <c r="N2737" s="13">
        <v>1870.38</v>
      </c>
      <c r="O2737" s="13"/>
      <c r="P2737" s="3">
        <f t="shared" si="223"/>
        <v>0</v>
      </c>
      <c r="Q2737" s="3">
        <f t="shared" si="224"/>
        <v>0</v>
      </c>
      <c r="R2737" s="3">
        <f t="shared" si="220"/>
        <v>5399.1500000000233</v>
      </c>
      <c r="S2737" s="24"/>
      <c r="T2737" s="24"/>
      <c r="U2737" s="55"/>
      <c r="V2737" s="25">
        <f>IFERROR(VLOOKUP(BCP_Soles[[#This Row],[destinatario]],CHOOSE({1,2},Clientes_Proveedores[Razon Social],Clientes_Proveedores[Ruc / Dni]),2,0),"")</f>
        <v>46126507</v>
      </c>
      <c r="W2737" s="25"/>
      <c r="X2737" s="25"/>
      <c r="Y2737" s="25"/>
      <c r="Z2737" s="77"/>
      <c r="AA2737" s="3" t="str">
        <f>IF(BCP_Soles[[#This Row],[fecha]]&gt;0,TEXT(BCP_Soles[[#This Row],[fecha]],"mmmm"),0)</f>
        <v>Julio</v>
      </c>
    </row>
    <row r="2738" spans="1:27" ht="24" x14ac:dyDescent="0.3">
      <c r="A2738" s="2">
        <f>IF(BCP_Soles[[#This Row],[tipo_registro]]="R",COUNTIFS($C$1:$C2737,"R")+1,A2737)</f>
        <v>1962</v>
      </c>
      <c r="B2738" s="19" t="str">
        <f t="shared" si="221"/>
        <v>B-BCP - Soles</v>
      </c>
      <c r="C2738" s="3" t="s">
        <v>1352</v>
      </c>
      <c r="D2738" s="14">
        <v>45853</v>
      </c>
      <c r="E2738" s="5" t="s">
        <v>1331</v>
      </c>
      <c r="F2738" s="5"/>
      <c r="G2738" s="6" t="s">
        <v>933</v>
      </c>
      <c r="H2738" s="6" t="s">
        <v>158</v>
      </c>
      <c r="I2738" s="6" t="s">
        <v>3898</v>
      </c>
      <c r="J2738" s="6">
        <v>38</v>
      </c>
      <c r="K2738" s="7" t="s">
        <v>3897</v>
      </c>
      <c r="L2738" s="8">
        <v>990263</v>
      </c>
      <c r="M2738" s="8" t="str">
        <f t="shared" si="222"/>
        <v>PEN</v>
      </c>
      <c r="N2738" s="13">
        <v>1733.1</v>
      </c>
      <c r="O2738" s="13"/>
      <c r="P2738" s="3">
        <f t="shared" si="223"/>
        <v>0</v>
      </c>
      <c r="Q2738" s="3">
        <f t="shared" si="224"/>
        <v>0</v>
      </c>
      <c r="R2738" s="3">
        <f t="shared" si="220"/>
        <v>5399.1500000000233</v>
      </c>
      <c r="S2738" s="24"/>
      <c r="T2738" s="24"/>
      <c r="U2738" s="55"/>
      <c r="V2738" s="25">
        <f>IFERROR(VLOOKUP(BCP_Soles[[#This Row],[destinatario]],CHOOSE({1,2},Clientes_Proveedores[Razon Social],Clientes_Proveedores[Ruc / Dni]),2,0),"")</f>
        <v>73195103</v>
      </c>
      <c r="W2738" s="25"/>
      <c r="X2738" s="25"/>
      <c r="Y2738" s="25"/>
      <c r="Z2738" s="77"/>
      <c r="AA2738" s="3" t="str">
        <f>IF(BCP_Soles[[#This Row],[fecha]]&gt;0,TEXT(BCP_Soles[[#This Row],[fecha]],"mmmm"),0)</f>
        <v>Julio</v>
      </c>
    </row>
    <row r="2739" spans="1:27" ht="24" x14ac:dyDescent="0.3">
      <c r="A2739" s="2">
        <f>IF(BCP_Soles[[#This Row],[tipo_registro]]="R",COUNTIFS($C$1:$C2738,"R")+1,A2738)</f>
        <v>1962</v>
      </c>
      <c r="B2739" s="19" t="str">
        <f t="shared" si="221"/>
        <v>B-BCP - Soles</v>
      </c>
      <c r="C2739" s="3" t="s">
        <v>1352</v>
      </c>
      <c r="D2739" s="14">
        <v>45853</v>
      </c>
      <c r="E2739" s="5" t="s">
        <v>1331</v>
      </c>
      <c r="F2739" s="5"/>
      <c r="G2739" s="6" t="s">
        <v>935</v>
      </c>
      <c r="H2739" s="6" t="s">
        <v>158</v>
      </c>
      <c r="I2739" s="6" t="s">
        <v>3898</v>
      </c>
      <c r="J2739" s="6">
        <v>39</v>
      </c>
      <c r="K2739" s="7" t="s">
        <v>3897</v>
      </c>
      <c r="L2739" s="8">
        <v>990263</v>
      </c>
      <c r="M2739" s="8" t="str">
        <f t="shared" si="222"/>
        <v>PEN</v>
      </c>
      <c r="N2739" s="13">
        <v>1580.5</v>
      </c>
      <c r="O2739" s="13"/>
      <c r="P2739" s="3">
        <f t="shared" si="223"/>
        <v>0</v>
      </c>
      <c r="Q2739" s="3">
        <f t="shared" si="224"/>
        <v>0</v>
      </c>
      <c r="R2739" s="3">
        <f t="shared" si="220"/>
        <v>5399.1500000000233</v>
      </c>
      <c r="S2739" s="24"/>
      <c r="T2739" s="24"/>
      <c r="U2739" s="55"/>
      <c r="V2739" s="25">
        <f>IFERROR(VLOOKUP(BCP_Soles[[#This Row],[destinatario]],CHOOSE({1,2},Clientes_Proveedores[Razon Social],Clientes_Proveedores[Ruc / Dni]),2,0),"")</f>
        <v>47557239</v>
      </c>
      <c r="W2739" s="25"/>
      <c r="X2739" s="25"/>
      <c r="Y2739" s="25"/>
      <c r="Z2739" s="77"/>
      <c r="AA2739" s="3" t="str">
        <f>IF(BCP_Soles[[#This Row],[fecha]]&gt;0,TEXT(BCP_Soles[[#This Row],[fecha]],"mmmm"),0)</f>
        <v>Julio</v>
      </c>
    </row>
    <row r="2740" spans="1:27" ht="36" x14ac:dyDescent="0.3">
      <c r="A2740" s="2">
        <f>IF(BCP_Soles[[#This Row],[tipo_registro]]="R",COUNTIFS($C$1:$C2739,"R")+1,A2739)</f>
        <v>1962</v>
      </c>
      <c r="B2740" s="19" t="str">
        <f t="shared" si="221"/>
        <v>B-BCP - Soles</v>
      </c>
      <c r="C2740" s="3" t="s">
        <v>1352</v>
      </c>
      <c r="D2740" s="14">
        <v>45853</v>
      </c>
      <c r="E2740" s="5" t="s">
        <v>1331</v>
      </c>
      <c r="F2740" s="5"/>
      <c r="G2740" s="6" t="s">
        <v>937</v>
      </c>
      <c r="H2740" s="6" t="s">
        <v>158</v>
      </c>
      <c r="I2740" s="6" t="s">
        <v>3898</v>
      </c>
      <c r="J2740" s="6">
        <v>40</v>
      </c>
      <c r="K2740" s="7" t="s">
        <v>3897</v>
      </c>
      <c r="L2740" s="8">
        <v>990263</v>
      </c>
      <c r="M2740" s="8" t="str">
        <f t="shared" si="222"/>
        <v>PEN</v>
      </c>
      <c r="N2740" s="13">
        <v>1853</v>
      </c>
      <c r="O2740" s="13"/>
      <c r="P2740" s="3">
        <f t="shared" si="223"/>
        <v>0</v>
      </c>
      <c r="Q2740" s="3">
        <f t="shared" si="224"/>
        <v>0</v>
      </c>
      <c r="R2740" s="3">
        <f t="shared" si="220"/>
        <v>5399.1500000000233</v>
      </c>
      <c r="S2740" s="24"/>
      <c r="T2740" s="24"/>
      <c r="U2740" s="55"/>
      <c r="V2740" s="25">
        <f>IFERROR(VLOOKUP(BCP_Soles[[#This Row],[destinatario]],CHOOSE({1,2},Clientes_Proveedores[Razon Social],Clientes_Proveedores[Ruc / Dni]),2,0),"")</f>
        <v>72728100</v>
      </c>
      <c r="W2740" s="25"/>
      <c r="X2740" s="25"/>
      <c r="Y2740" s="25"/>
      <c r="Z2740" s="77"/>
      <c r="AA2740" s="3" t="str">
        <f>IF(BCP_Soles[[#This Row],[fecha]]&gt;0,TEXT(BCP_Soles[[#This Row],[fecha]],"mmmm"),0)</f>
        <v>Julio</v>
      </c>
    </row>
    <row r="2741" spans="1:27" ht="36" x14ac:dyDescent="0.3">
      <c r="A2741" s="2">
        <f>IF(BCP_Soles[[#This Row],[tipo_registro]]="R",COUNTIFS($C$1:$C2740,"R")+1,A2740)</f>
        <v>1962</v>
      </c>
      <c r="B2741" s="19" t="str">
        <f t="shared" si="221"/>
        <v>B-BCP - Soles</v>
      </c>
      <c r="C2741" s="3" t="s">
        <v>1352</v>
      </c>
      <c r="D2741" s="14">
        <v>45853</v>
      </c>
      <c r="E2741" s="5" t="s">
        <v>1331</v>
      </c>
      <c r="F2741" s="5"/>
      <c r="G2741" s="6" t="s">
        <v>948</v>
      </c>
      <c r="H2741" s="6" t="s">
        <v>158</v>
      </c>
      <c r="I2741" s="6" t="s">
        <v>3898</v>
      </c>
      <c r="J2741" s="6">
        <v>41</v>
      </c>
      <c r="K2741" s="7" t="s">
        <v>3897</v>
      </c>
      <c r="L2741" s="8">
        <v>990263</v>
      </c>
      <c r="M2741" s="8" t="str">
        <f t="shared" si="222"/>
        <v>PEN</v>
      </c>
      <c r="N2741" s="13">
        <v>1678.6</v>
      </c>
      <c r="O2741" s="13"/>
      <c r="P2741" s="3">
        <f t="shared" si="223"/>
        <v>0</v>
      </c>
      <c r="Q2741" s="3">
        <f t="shared" si="224"/>
        <v>0</v>
      </c>
      <c r="R2741" s="3">
        <f t="shared" si="220"/>
        <v>5399.1500000000233</v>
      </c>
      <c r="S2741" s="24"/>
      <c r="T2741" s="24"/>
      <c r="U2741" s="55"/>
      <c r="V2741" s="25">
        <f>IFERROR(VLOOKUP(BCP_Soles[[#This Row],[destinatario]],CHOOSE({1,2},Clientes_Proveedores[Razon Social],Clientes_Proveedores[Ruc / Dni]),2,0),"")</f>
        <v>71311214</v>
      </c>
      <c r="W2741" s="25"/>
      <c r="X2741" s="25"/>
      <c r="Y2741" s="25"/>
      <c r="Z2741" s="77"/>
      <c r="AA2741" s="3" t="str">
        <f>IF(BCP_Soles[[#This Row],[fecha]]&gt;0,TEXT(BCP_Soles[[#This Row],[fecha]],"mmmm"),0)</f>
        <v>Julio</v>
      </c>
    </row>
    <row r="2742" spans="1:27" ht="24" x14ac:dyDescent="0.3">
      <c r="A2742" s="2">
        <f>IF(BCP_Soles[[#This Row],[tipo_registro]]="R",COUNTIFS($C$1:$C2741,"R")+1,A2741)</f>
        <v>1962</v>
      </c>
      <c r="B2742" s="19" t="str">
        <f t="shared" si="221"/>
        <v>B-BCP - Soles</v>
      </c>
      <c r="C2742" s="3" t="s">
        <v>1352</v>
      </c>
      <c r="D2742" s="14">
        <v>45853</v>
      </c>
      <c r="E2742" s="5" t="s">
        <v>1331</v>
      </c>
      <c r="F2742" s="5"/>
      <c r="G2742" s="6" t="s">
        <v>1019</v>
      </c>
      <c r="H2742" s="6" t="s">
        <v>158</v>
      </c>
      <c r="I2742" s="6" t="s">
        <v>3898</v>
      </c>
      <c r="J2742" s="6">
        <v>42</v>
      </c>
      <c r="K2742" s="7" t="s">
        <v>3897</v>
      </c>
      <c r="L2742" s="8">
        <v>990263</v>
      </c>
      <c r="M2742" s="8" t="str">
        <f t="shared" si="222"/>
        <v>PEN</v>
      </c>
      <c r="N2742" s="13">
        <v>2055.9499999999998</v>
      </c>
      <c r="O2742" s="13"/>
      <c r="P2742" s="3">
        <f t="shared" si="223"/>
        <v>0</v>
      </c>
      <c r="Q2742" s="3">
        <f t="shared" si="224"/>
        <v>0</v>
      </c>
      <c r="R2742" s="3">
        <f t="shared" si="220"/>
        <v>5399.1500000000233</v>
      </c>
      <c r="S2742" s="24"/>
      <c r="T2742" s="24"/>
      <c r="U2742" s="55"/>
      <c r="V2742" s="25">
        <f>IFERROR(VLOOKUP(BCP_Soles[[#This Row],[destinatario]],CHOOSE({1,2},Clientes_Proveedores[Razon Social],Clientes_Proveedores[Ruc / Dni]),2,0),"")</f>
        <v>71654750</v>
      </c>
      <c r="W2742" s="25"/>
      <c r="X2742" s="25"/>
      <c r="Y2742" s="25"/>
      <c r="Z2742" s="77"/>
      <c r="AA2742" s="3" t="str">
        <f>IF(BCP_Soles[[#This Row],[fecha]]&gt;0,TEXT(BCP_Soles[[#This Row],[fecha]],"mmmm"),0)</f>
        <v>Julio</v>
      </c>
    </row>
    <row r="2743" spans="1:27" ht="24" x14ac:dyDescent="0.3">
      <c r="A2743" s="2">
        <f>IF(BCP_Soles[[#This Row],[tipo_registro]]="R",COUNTIFS($C$1:$C2742,"R")+1,A2742)</f>
        <v>1962</v>
      </c>
      <c r="B2743" s="19" t="str">
        <f t="shared" si="221"/>
        <v>B-BCP - Soles</v>
      </c>
      <c r="C2743" s="3" t="s">
        <v>1352</v>
      </c>
      <c r="D2743" s="14">
        <v>45853</v>
      </c>
      <c r="E2743" s="5" t="s">
        <v>1331</v>
      </c>
      <c r="F2743" s="5"/>
      <c r="G2743" s="6" t="s">
        <v>953</v>
      </c>
      <c r="H2743" s="6" t="s">
        <v>158</v>
      </c>
      <c r="I2743" s="6" t="s">
        <v>3898</v>
      </c>
      <c r="J2743" s="6">
        <v>43</v>
      </c>
      <c r="K2743" s="7" t="s">
        <v>3897</v>
      </c>
      <c r="L2743" s="8">
        <v>990263</v>
      </c>
      <c r="M2743" s="8" t="str">
        <f t="shared" si="222"/>
        <v>PEN</v>
      </c>
      <c r="N2743" s="13">
        <v>1667.7</v>
      </c>
      <c r="O2743" s="13"/>
      <c r="P2743" s="3">
        <f t="shared" si="223"/>
        <v>0</v>
      </c>
      <c r="Q2743" s="3">
        <f t="shared" si="224"/>
        <v>0</v>
      </c>
      <c r="R2743" s="3">
        <f t="shared" si="220"/>
        <v>5399.1500000000233</v>
      </c>
      <c r="S2743" s="24"/>
      <c r="T2743" s="24"/>
      <c r="U2743" s="55"/>
      <c r="V2743" s="25">
        <f>IFERROR(VLOOKUP(BCP_Soles[[#This Row],[destinatario]],CHOOSE({1,2},Clientes_Proveedores[Razon Social],Clientes_Proveedores[Ruc / Dni]),2,0),"")</f>
        <v>72682665</v>
      </c>
      <c r="W2743" s="25"/>
      <c r="X2743" s="25"/>
      <c r="Y2743" s="25"/>
      <c r="Z2743" s="77"/>
      <c r="AA2743" s="3" t="str">
        <f>IF(BCP_Soles[[#This Row],[fecha]]&gt;0,TEXT(BCP_Soles[[#This Row],[fecha]],"mmmm"),0)</f>
        <v>Julio</v>
      </c>
    </row>
    <row r="2744" spans="1:27" ht="24" x14ac:dyDescent="0.3">
      <c r="A2744" s="2">
        <f>IF(BCP_Soles[[#This Row],[tipo_registro]]="R",COUNTIFS($C$1:$C2743,"R")+1,A2743)</f>
        <v>1962</v>
      </c>
      <c r="B2744" s="19" t="str">
        <f t="shared" si="221"/>
        <v>B-BCP - Soles</v>
      </c>
      <c r="C2744" s="3" t="s">
        <v>1352</v>
      </c>
      <c r="D2744" s="14">
        <v>45853</v>
      </c>
      <c r="E2744" s="5" t="s">
        <v>1331</v>
      </c>
      <c r="F2744" s="5"/>
      <c r="G2744" s="6" t="s">
        <v>955</v>
      </c>
      <c r="H2744" s="6" t="s">
        <v>158</v>
      </c>
      <c r="I2744" s="6" t="s">
        <v>3898</v>
      </c>
      <c r="J2744" s="6">
        <v>44</v>
      </c>
      <c r="K2744" s="7" t="s">
        <v>3897</v>
      </c>
      <c r="L2744" s="8">
        <v>990263</v>
      </c>
      <c r="M2744" s="8" t="str">
        <f t="shared" si="222"/>
        <v>PEN</v>
      </c>
      <c r="N2744" s="13">
        <v>1461.22</v>
      </c>
      <c r="O2744" s="13"/>
      <c r="P2744" s="3">
        <f t="shared" si="223"/>
        <v>0</v>
      </c>
      <c r="Q2744" s="3">
        <f t="shared" si="224"/>
        <v>0</v>
      </c>
      <c r="R2744" s="3">
        <f t="shared" si="220"/>
        <v>5399.1500000000233</v>
      </c>
      <c r="S2744" s="24"/>
      <c r="T2744" s="24"/>
      <c r="U2744" s="55"/>
      <c r="V2744" s="25">
        <f>IFERROR(VLOOKUP(BCP_Soles[[#This Row],[destinatario]],CHOOSE({1,2},Clientes_Proveedores[Razon Social],Clientes_Proveedores[Ruc / Dni]),2,0),"")</f>
        <v>48362717</v>
      </c>
      <c r="W2744" s="25"/>
      <c r="X2744" s="25"/>
      <c r="Y2744" s="25"/>
      <c r="Z2744" s="77"/>
      <c r="AA2744" s="3" t="str">
        <f>IF(BCP_Soles[[#This Row],[fecha]]&gt;0,TEXT(BCP_Soles[[#This Row],[fecha]],"mmmm"),0)</f>
        <v>Julio</v>
      </c>
    </row>
    <row r="2745" spans="1:27" ht="24" x14ac:dyDescent="0.3">
      <c r="A2745" s="2">
        <f>IF(BCP_Soles[[#This Row],[tipo_registro]]="R",COUNTIFS($C$1:$C2744,"R")+1,A2744)</f>
        <v>1962</v>
      </c>
      <c r="B2745" s="19" t="str">
        <f t="shared" si="221"/>
        <v>B-BCP - Soles</v>
      </c>
      <c r="C2745" s="3" t="s">
        <v>1352</v>
      </c>
      <c r="D2745" s="14">
        <v>45853</v>
      </c>
      <c r="E2745" s="5" t="s">
        <v>1331</v>
      </c>
      <c r="F2745" s="5"/>
      <c r="G2745" s="6" t="s">
        <v>957</v>
      </c>
      <c r="H2745" s="6" t="s">
        <v>158</v>
      </c>
      <c r="I2745" s="6" t="s">
        <v>3898</v>
      </c>
      <c r="J2745" s="6">
        <v>45</v>
      </c>
      <c r="K2745" s="7" t="s">
        <v>3897</v>
      </c>
      <c r="L2745" s="8">
        <v>990263</v>
      </c>
      <c r="M2745" s="8" t="str">
        <f t="shared" si="222"/>
        <v>PEN</v>
      </c>
      <c r="N2745" s="13">
        <v>2480.56</v>
      </c>
      <c r="O2745" s="13"/>
      <c r="P2745" s="3">
        <f t="shared" si="223"/>
        <v>0</v>
      </c>
      <c r="Q2745" s="3">
        <f t="shared" si="224"/>
        <v>0</v>
      </c>
      <c r="R2745" s="3">
        <f t="shared" si="220"/>
        <v>5399.1500000000233</v>
      </c>
      <c r="S2745" s="24"/>
      <c r="T2745" s="24"/>
      <c r="U2745" s="55"/>
      <c r="V2745" s="25">
        <f>IFERROR(VLOOKUP(BCP_Soles[[#This Row],[destinatario]],CHOOSE({1,2},Clientes_Proveedores[Razon Social],Clientes_Proveedores[Ruc / Dni]),2,0),"")</f>
        <v>80454870</v>
      </c>
      <c r="W2745" s="25"/>
      <c r="X2745" s="25"/>
      <c r="Y2745" s="25"/>
      <c r="Z2745" s="77"/>
      <c r="AA2745" s="3" t="str">
        <f>IF(BCP_Soles[[#This Row],[fecha]]&gt;0,TEXT(BCP_Soles[[#This Row],[fecha]],"mmmm"),0)</f>
        <v>Julio</v>
      </c>
    </row>
    <row r="2746" spans="1:27" ht="24" x14ac:dyDescent="0.3">
      <c r="A2746" s="2">
        <f>IF(BCP_Soles[[#This Row],[tipo_registro]]="R",COUNTIFS($C$1:$C2745,"R")+1,A2745)</f>
        <v>1962</v>
      </c>
      <c r="B2746" s="19" t="str">
        <f t="shared" si="221"/>
        <v>B-BCP - Soles</v>
      </c>
      <c r="C2746" s="3" t="s">
        <v>1352</v>
      </c>
      <c r="D2746" s="14">
        <v>45853</v>
      </c>
      <c r="E2746" s="5" t="s">
        <v>1331</v>
      </c>
      <c r="F2746" s="5"/>
      <c r="G2746" s="6" t="s">
        <v>1020</v>
      </c>
      <c r="H2746" s="6" t="s">
        <v>158</v>
      </c>
      <c r="I2746" s="6" t="s">
        <v>3898</v>
      </c>
      <c r="J2746" s="6">
        <v>46</v>
      </c>
      <c r="K2746" s="7" t="s">
        <v>3897</v>
      </c>
      <c r="L2746" s="8">
        <v>990263</v>
      </c>
      <c r="M2746" s="8" t="str">
        <f t="shared" si="222"/>
        <v>PEN</v>
      </c>
      <c r="N2746" s="13">
        <v>958.77</v>
      </c>
      <c r="O2746" s="13"/>
      <c r="P2746" s="3">
        <f t="shared" si="223"/>
        <v>0</v>
      </c>
      <c r="Q2746" s="3">
        <f t="shared" si="224"/>
        <v>0</v>
      </c>
      <c r="R2746" s="3">
        <f t="shared" si="220"/>
        <v>5399.1500000000233</v>
      </c>
      <c r="S2746" s="24"/>
      <c r="T2746" s="24"/>
      <c r="U2746" s="55"/>
      <c r="V2746" s="25">
        <f>IFERROR(VLOOKUP(BCP_Soles[[#This Row],[destinatario]],CHOOSE({1,2},Clientes_Proveedores[Razon Social],Clientes_Proveedores[Ruc / Dni]),2,0),"")</f>
        <v>60248415</v>
      </c>
      <c r="W2746" s="25"/>
      <c r="X2746" s="25"/>
      <c r="Y2746" s="25"/>
      <c r="Z2746" s="77"/>
      <c r="AA2746" s="3" t="str">
        <f>IF(BCP_Soles[[#This Row],[fecha]]&gt;0,TEXT(BCP_Soles[[#This Row],[fecha]],"mmmm"),0)</f>
        <v>Julio</v>
      </c>
    </row>
    <row r="2747" spans="1:27" ht="24" x14ac:dyDescent="0.3">
      <c r="A2747" s="2">
        <f>IF(BCP_Soles[[#This Row],[tipo_registro]]="R",COUNTIFS($C$1:$C2746,"R")+1,A2746)</f>
        <v>1962</v>
      </c>
      <c r="B2747" s="19" t="str">
        <f t="shared" si="221"/>
        <v>B-BCP - Soles</v>
      </c>
      <c r="C2747" s="3" t="s">
        <v>1352</v>
      </c>
      <c r="D2747" s="14">
        <v>45853</v>
      </c>
      <c r="E2747" s="5" t="s">
        <v>1331</v>
      </c>
      <c r="F2747" s="5"/>
      <c r="G2747" s="6" t="s">
        <v>1021</v>
      </c>
      <c r="H2747" s="6" t="s">
        <v>158</v>
      </c>
      <c r="I2747" s="6" t="s">
        <v>3898</v>
      </c>
      <c r="J2747" s="6">
        <v>47</v>
      </c>
      <c r="K2747" s="7" t="s">
        <v>3897</v>
      </c>
      <c r="L2747" s="8">
        <v>990263</v>
      </c>
      <c r="M2747" s="8" t="str">
        <f t="shared" si="222"/>
        <v>PEN</v>
      </c>
      <c r="N2747" s="13">
        <v>1440.6</v>
      </c>
      <c r="O2747" s="13"/>
      <c r="P2747" s="3">
        <f t="shared" si="223"/>
        <v>0</v>
      </c>
      <c r="Q2747" s="3">
        <f t="shared" si="224"/>
        <v>0</v>
      </c>
      <c r="R2747" s="3">
        <f t="shared" si="220"/>
        <v>5399.1500000000233</v>
      </c>
      <c r="S2747" s="24"/>
      <c r="T2747" s="24"/>
      <c r="U2747" s="55"/>
      <c r="V2747" s="25">
        <f>IFERROR(VLOOKUP(BCP_Soles[[#This Row],[destinatario]],CHOOSE({1,2},Clientes_Proveedores[Razon Social],Clientes_Proveedores[Ruc / Dni]),2,0),"")</f>
        <v>77089939</v>
      </c>
      <c r="W2747" s="25"/>
      <c r="X2747" s="25"/>
      <c r="Y2747" s="25"/>
      <c r="Z2747" s="77"/>
      <c r="AA2747" s="3" t="str">
        <f>IF(BCP_Soles[[#This Row],[fecha]]&gt;0,TEXT(BCP_Soles[[#This Row],[fecha]],"mmmm"),0)</f>
        <v>Julio</v>
      </c>
    </row>
    <row r="2748" spans="1:27" ht="24" x14ac:dyDescent="0.3">
      <c r="A2748" s="2">
        <f>IF(BCP_Soles[[#This Row],[tipo_registro]]="R",COUNTIFS($C$1:$C2747,"R")+1,A2747)</f>
        <v>1962</v>
      </c>
      <c r="B2748" s="19" t="str">
        <f t="shared" si="221"/>
        <v>B-BCP - Soles</v>
      </c>
      <c r="C2748" s="3" t="s">
        <v>1352</v>
      </c>
      <c r="D2748" s="14">
        <v>45853</v>
      </c>
      <c r="E2748" s="5" t="s">
        <v>1331</v>
      </c>
      <c r="F2748" s="5"/>
      <c r="G2748" s="6" t="s">
        <v>1022</v>
      </c>
      <c r="H2748" s="6" t="s">
        <v>158</v>
      </c>
      <c r="I2748" s="6" t="s">
        <v>3898</v>
      </c>
      <c r="J2748" s="6">
        <v>48</v>
      </c>
      <c r="K2748" s="7" t="s">
        <v>3897</v>
      </c>
      <c r="L2748" s="8">
        <v>990263</v>
      </c>
      <c r="M2748" s="8" t="str">
        <f t="shared" si="222"/>
        <v>PEN</v>
      </c>
      <c r="N2748" s="13">
        <v>1017.21</v>
      </c>
      <c r="O2748" s="13"/>
      <c r="P2748" s="3">
        <f t="shared" si="223"/>
        <v>0</v>
      </c>
      <c r="Q2748" s="3">
        <f t="shared" si="224"/>
        <v>0</v>
      </c>
      <c r="R2748" s="3">
        <f t="shared" si="220"/>
        <v>5399.1500000000233</v>
      </c>
      <c r="S2748" s="24"/>
      <c r="T2748" s="24"/>
      <c r="U2748" s="55"/>
      <c r="V2748" s="25">
        <f>IFERROR(VLOOKUP(BCP_Soles[[#This Row],[destinatario]],CHOOSE({1,2},Clientes_Proveedores[Razon Social],Clientes_Proveedores[Ruc / Dni]),2,0),"")</f>
        <v>73376012</v>
      </c>
      <c r="W2748" s="25"/>
      <c r="X2748" s="25"/>
      <c r="Y2748" s="25"/>
      <c r="Z2748" s="77"/>
      <c r="AA2748" s="3" t="str">
        <f>IF(BCP_Soles[[#This Row],[fecha]]&gt;0,TEXT(BCP_Soles[[#This Row],[fecha]],"mmmm"),0)</f>
        <v>Julio</v>
      </c>
    </row>
    <row r="2749" spans="1:27" x14ac:dyDescent="0.3">
      <c r="A2749" s="2">
        <f>IF(BCP_Soles[[#This Row],[tipo_registro]]="R",COUNTIFS($C$1:$C2748,"R")+1,A2748)</f>
        <v>1963</v>
      </c>
      <c r="B2749" s="19" t="str">
        <f t="shared" si="221"/>
        <v>B-BCP - Soles</v>
      </c>
      <c r="C2749" s="3" t="s">
        <v>1330</v>
      </c>
      <c r="D2749" s="14">
        <v>45853</v>
      </c>
      <c r="E2749" s="5" t="s">
        <v>2269</v>
      </c>
      <c r="F2749" s="5" t="s">
        <v>1336</v>
      </c>
      <c r="G2749" s="6" t="s">
        <v>696</v>
      </c>
      <c r="H2749" s="6"/>
      <c r="I2749" s="6"/>
      <c r="J2749" s="6"/>
      <c r="K2749" s="7" t="s">
        <v>3899</v>
      </c>
      <c r="L2749" s="8">
        <v>990865</v>
      </c>
      <c r="M2749" s="8" t="str">
        <f t="shared" si="222"/>
        <v>PEN</v>
      </c>
      <c r="N2749" s="13"/>
      <c r="O2749" s="13">
        <v>824.9</v>
      </c>
      <c r="P2749" s="3">
        <f t="shared" si="223"/>
        <v>0</v>
      </c>
      <c r="Q2749" s="3">
        <f t="shared" si="224"/>
        <v>824.9</v>
      </c>
      <c r="R2749" s="3">
        <f t="shared" si="220"/>
        <v>4574.2500000000236</v>
      </c>
      <c r="S2749" s="24" t="s">
        <v>1334</v>
      </c>
      <c r="T2749" s="24" t="s">
        <v>1334</v>
      </c>
      <c r="U2749" s="79" t="s">
        <v>3900</v>
      </c>
      <c r="V2749" s="25">
        <f>IFERROR(VLOOKUP(BCP_Soles[[#This Row],[destinatario]],CHOOSE({1,2},Clientes_Proveedores[Razon Social],Clientes_Proveedores[Ruc / Dni]),2,0),"")</f>
        <v>0</v>
      </c>
      <c r="W2749" s="25"/>
      <c r="X2749" s="25"/>
      <c r="Y2749" s="25"/>
      <c r="Z2749" s="75"/>
      <c r="AA2749" s="3" t="str">
        <f>IF(BCP_Soles[[#This Row],[fecha]]&gt;0,TEXT(BCP_Soles[[#This Row],[fecha]],"mmmm"),0)</f>
        <v>Julio</v>
      </c>
    </row>
    <row r="2750" spans="1:27" x14ac:dyDescent="0.3">
      <c r="A2750" s="2">
        <f>IF(BCP_Soles[[#This Row],[tipo_registro]]="R",COUNTIFS($C$1:$C2749,"R")+1,A2749)</f>
        <v>1963</v>
      </c>
      <c r="B2750" s="19" t="str">
        <f t="shared" si="221"/>
        <v>B-BCP - Soles</v>
      </c>
      <c r="C2750" s="3" t="s">
        <v>1352</v>
      </c>
      <c r="D2750" s="14">
        <v>45853</v>
      </c>
      <c r="E2750" s="5" t="s">
        <v>2269</v>
      </c>
      <c r="F2750" s="5"/>
      <c r="G2750" s="6" t="s">
        <v>286</v>
      </c>
      <c r="H2750" s="6" t="s">
        <v>68</v>
      </c>
      <c r="I2750" s="6" t="s">
        <v>1386</v>
      </c>
      <c r="J2750" s="6">
        <v>1709</v>
      </c>
      <c r="K2750" s="7" t="s">
        <v>3899</v>
      </c>
      <c r="L2750" s="8">
        <v>990865</v>
      </c>
      <c r="M2750" s="8" t="str">
        <f t="shared" si="222"/>
        <v>PEN</v>
      </c>
      <c r="N2750" s="13">
        <v>257.39999999999998</v>
      </c>
      <c r="O2750" s="13"/>
      <c r="P2750" s="3">
        <f t="shared" si="223"/>
        <v>0</v>
      </c>
      <c r="Q2750" s="3">
        <f t="shared" si="224"/>
        <v>0</v>
      </c>
      <c r="R2750" s="3">
        <f t="shared" si="220"/>
        <v>4574.2500000000236</v>
      </c>
      <c r="S2750" s="24" t="s">
        <v>1334</v>
      </c>
      <c r="T2750" s="24" t="s">
        <v>1334</v>
      </c>
      <c r="U2750" s="79" t="s">
        <v>3900</v>
      </c>
      <c r="V2750" s="25">
        <f>IFERROR(VLOOKUP(BCP_Soles[[#This Row],[destinatario]],CHOOSE({1,2},Clientes_Proveedores[Razon Social],Clientes_Proveedores[Ruc / Dni]),2,0),"")</f>
        <v>20454186002</v>
      </c>
      <c r="W2750" s="25"/>
      <c r="X2750" s="25"/>
      <c r="Y2750" s="25"/>
      <c r="Z2750" s="75"/>
      <c r="AA2750" s="3" t="str">
        <f>IF(BCP_Soles[[#This Row],[fecha]]&gt;0,TEXT(BCP_Soles[[#This Row],[fecha]],"mmmm"),0)</f>
        <v>Julio</v>
      </c>
    </row>
    <row r="2751" spans="1:27" x14ac:dyDescent="0.3">
      <c r="A2751" s="2">
        <f>IF(BCP_Soles[[#This Row],[tipo_registro]]="R",COUNTIFS($C$1:$C2750,"R")+1,A2750)</f>
        <v>1963</v>
      </c>
      <c r="B2751" s="19" t="str">
        <f t="shared" si="221"/>
        <v>B-BCP - Soles</v>
      </c>
      <c r="C2751" s="3" t="s">
        <v>1352</v>
      </c>
      <c r="D2751" s="14">
        <v>45853</v>
      </c>
      <c r="E2751" s="5" t="s">
        <v>2269</v>
      </c>
      <c r="F2751" s="5"/>
      <c r="G2751" s="6" t="s">
        <v>286</v>
      </c>
      <c r="H2751" s="6" t="s">
        <v>68</v>
      </c>
      <c r="I2751" s="6" t="s">
        <v>1386</v>
      </c>
      <c r="J2751" s="6">
        <v>1710</v>
      </c>
      <c r="K2751" s="7" t="s">
        <v>3899</v>
      </c>
      <c r="L2751" s="8">
        <v>990865</v>
      </c>
      <c r="M2751" s="8" t="str">
        <f t="shared" si="222"/>
        <v>PEN</v>
      </c>
      <c r="N2751" s="13">
        <v>567.5</v>
      </c>
      <c r="O2751" s="13"/>
      <c r="P2751" s="3">
        <f t="shared" si="223"/>
        <v>0</v>
      </c>
      <c r="Q2751" s="3">
        <f t="shared" si="224"/>
        <v>0</v>
      </c>
      <c r="R2751" s="3">
        <f t="shared" si="220"/>
        <v>4574.2500000000236</v>
      </c>
      <c r="S2751" s="24" t="s">
        <v>1334</v>
      </c>
      <c r="T2751" s="24" t="s">
        <v>1334</v>
      </c>
      <c r="U2751" s="79" t="s">
        <v>3900</v>
      </c>
      <c r="V2751" s="25">
        <f>IFERROR(VLOOKUP(BCP_Soles[[#This Row],[destinatario]],CHOOSE({1,2},Clientes_Proveedores[Razon Social],Clientes_Proveedores[Ruc / Dni]),2,0),"")</f>
        <v>20454186002</v>
      </c>
      <c r="W2751" s="25"/>
      <c r="X2751" s="25"/>
      <c r="Y2751" s="25"/>
      <c r="Z2751" s="75"/>
      <c r="AA2751" s="3" t="str">
        <f>IF(BCP_Soles[[#This Row],[fecha]]&gt;0,TEXT(BCP_Soles[[#This Row],[fecha]],"mmmm"),0)</f>
        <v>Julio</v>
      </c>
    </row>
    <row r="2752" spans="1:27" ht="24" x14ac:dyDescent="0.3">
      <c r="A2752" s="2">
        <f>IF(BCP_Soles[[#This Row],[tipo_registro]]="R",COUNTIFS($C$1:$C2751,"R")+1,A2751)</f>
        <v>1964</v>
      </c>
      <c r="B2752" s="19" t="str">
        <f t="shared" si="221"/>
        <v>B-BCP - Soles</v>
      </c>
      <c r="C2752" s="3" t="s">
        <v>1330</v>
      </c>
      <c r="D2752" s="14">
        <v>45853</v>
      </c>
      <c r="E2752" s="5" t="s">
        <v>2269</v>
      </c>
      <c r="F2752" s="5" t="s">
        <v>1336</v>
      </c>
      <c r="G2752" s="148" t="s">
        <v>895</v>
      </c>
      <c r="H2752" s="6"/>
      <c r="I2752" s="6"/>
      <c r="J2752" s="6"/>
      <c r="K2752" s="7" t="s">
        <v>3083</v>
      </c>
      <c r="L2752" s="8">
        <v>1361192</v>
      </c>
      <c r="M2752" s="8" t="str">
        <f t="shared" si="222"/>
        <v>PEN</v>
      </c>
      <c r="N2752" s="13"/>
      <c r="O2752" s="13">
        <v>1931.2</v>
      </c>
      <c r="P2752" s="3">
        <f t="shared" si="223"/>
        <v>0</v>
      </c>
      <c r="Q2752" s="3">
        <f t="shared" si="224"/>
        <v>1931.2</v>
      </c>
      <c r="R2752" s="3">
        <f t="shared" si="220"/>
        <v>2643.0500000000238</v>
      </c>
      <c r="S2752" s="24"/>
      <c r="T2752" s="24" t="s">
        <v>1334</v>
      </c>
      <c r="U2752" s="79" t="s">
        <v>3901</v>
      </c>
      <c r="V2752" s="25">
        <f>IFERROR(VLOOKUP(BCP_Soles[[#This Row],[destinatario]],CHOOSE({1,2},Clientes_Proveedores[Razon Social],Clientes_Proveedores[Ruc / Dni]),2,0),"")</f>
        <v>72144092</v>
      </c>
      <c r="W2752" s="25"/>
      <c r="X2752" s="25"/>
      <c r="Y2752" s="25"/>
      <c r="Z2752" s="75"/>
      <c r="AA2752" s="3" t="str">
        <f>IF(BCP_Soles[[#This Row],[fecha]]&gt;0,TEXT(BCP_Soles[[#This Row],[fecha]],"mmmm"),0)</f>
        <v>Julio</v>
      </c>
    </row>
    <row r="2753" spans="1:27" x14ac:dyDescent="0.3">
      <c r="A2753" s="2">
        <f>IF(BCP_Soles[[#This Row],[tipo_registro]]="R",COUNTIFS($C$1:$C2752,"R")+1,A2752)</f>
        <v>1965</v>
      </c>
      <c r="B2753" s="19" t="str">
        <f t="shared" si="221"/>
        <v>B-BCP - Soles</v>
      </c>
      <c r="C2753" s="3" t="s">
        <v>1330</v>
      </c>
      <c r="D2753" s="14">
        <v>45853</v>
      </c>
      <c r="E2753" s="5" t="s">
        <v>2269</v>
      </c>
      <c r="F2753" s="5" t="s">
        <v>1336</v>
      </c>
      <c r="G2753" s="6" t="s">
        <v>565</v>
      </c>
      <c r="H2753" s="6" t="s">
        <v>68</v>
      </c>
      <c r="I2753" s="6" t="s">
        <v>1432</v>
      </c>
      <c r="J2753" s="6">
        <v>230</v>
      </c>
      <c r="K2753" s="7" t="s">
        <v>3902</v>
      </c>
      <c r="L2753" s="8">
        <v>1362642</v>
      </c>
      <c r="M2753" s="8" t="str">
        <f t="shared" si="222"/>
        <v>PEN</v>
      </c>
      <c r="N2753" s="13"/>
      <c r="O2753" s="13">
        <v>180</v>
      </c>
      <c r="P2753" s="3">
        <f t="shared" si="223"/>
        <v>0</v>
      </c>
      <c r="Q2753" s="3">
        <f t="shared" si="224"/>
        <v>180</v>
      </c>
      <c r="R2753" s="3">
        <f t="shared" si="220"/>
        <v>2463.0500000000238</v>
      </c>
      <c r="S2753" s="24" t="s">
        <v>1334</v>
      </c>
      <c r="T2753" s="24" t="s">
        <v>1334</v>
      </c>
      <c r="U2753" s="79" t="s">
        <v>3903</v>
      </c>
      <c r="V2753" s="25">
        <f>IFERROR(VLOOKUP(BCP_Soles[[#This Row],[destinatario]],CHOOSE({1,2},Clientes_Proveedores[Razon Social],Clientes_Proveedores[Ruc / Dni]),2,0),"")</f>
        <v>20608587803</v>
      </c>
      <c r="W2753" s="25"/>
      <c r="X2753" s="25"/>
      <c r="Y2753" s="25"/>
      <c r="Z2753" s="75"/>
      <c r="AA2753" s="3" t="str">
        <f>IF(BCP_Soles[[#This Row],[fecha]]&gt;0,TEXT(BCP_Soles[[#This Row],[fecha]],"mmmm"),0)</f>
        <v>Julio</v>
      </c>
    </row>
    <row r="2754" spans="1:27" ht="24" x14ac:dyDescent="0.3">
      <c r="A2754" s="2">
        <f>IF(BCP_Soles[[#This Row],[tipo_registro]]="R",COUNTIFS($C$1:$C2753,"R")+1,A2753)</f>
        <v>1966</v>
      </c>
      <c r="B2754" s="19" t="str">
        <f t="shared" si="221"/>
        <v>B-BCP - Soles</v>
      </c>
      <c r="C2754" s="3" t="s">
        <v>1330</v>
      </c>
      <c r="D2754" s="14">
        <v>45853</v>
      </c>
      <c r="E2754" s="5" t="s">
        <v>1335</v>
      </c>
      <c r="F2754" s="5" t="s">
        <v>1336</v>
      </c>
      <c r="G2754" s="6" t="s">
        <v>1060</v>
      </c>
      <c r="H2754" s="6" t="s">
        <v>68</v>
      </c>
      <c r="I2754" s="6" t="s">
        <v>1397</v>
      </c>
      <c r="J2754" s="6">
        <v>34672092</v>
      </c>
      <c r="K2754" s="7" t="s">
        <v>1552</v>
      </c>
      <c r="L2754" s="8">
        <v>964700</v>
      </c>
      <c r="M2754" s="8" t="str">
        <f t="shared" si="222"/>
        <v>PEN</v>
      </c>
      <c r="N2754" s="13"/>
      <c r="O2754" s="13">
        <v>10</v>
      </c>
      <c r="P2754" s="3">
        <f t="shared" si="223"/>
        <v>0</v>
      </c>
      <c r="Q2754" s="3">
        <f t="shared" si="224"/>
        <v>10</v>
      </c>
      <c r="R2754" s="3">
        <f t="shared" si="220"/>
        <v>2453.0500000000238</v>
      </c>
      <c r="S2754" s="24" t="s">
        <v>1334</v>
      </c>
      <c r="T2754" s="24" t="s">
        <v>1334</v>
      </c>
      <c r="U2754" s="55"/>
      <c r="V2754" s="25">
        <f>IFERROR(VLOOKUP(BCP_Soles[[#This Row],[destinatario]],CHOOSE({1,2},Clientes_Proveedores[Razon Social],Clientes_Proveedores[Ruc / Dni]),2,0),"")</f>
        <v>20100047218</v>
      </c>
      <c r="W2754" s="25"/>
      <c r="X2754" s="25"/>
      <c r="Y2754" s="25"/>
      <c r="Z2754" s="75"/>
      <c r="AA2754" s="3" t="str">
        <f>IF(BCP_Soles[[#This Row],[fecha]]&gt;0,TEXT(BCP_Soles[[#This Row],[fecha]],"mmmm"),0)</f>
        <v>Julio</v>
      </c>
    </row>
    <row r="2755" spans="1:27" x14ac:dyDescent="0.3">
      <c r="A2755" s="2">
        <f>IF(BCP_Soles[[#This Row],[tipo_registro]]="R",COUNTIFS($C$1:$C2754,"R")+1,A2754)</f>
        <v>1967</v>
      </c>
      <c r="B2755" s="19" t="str">
        <f t="shared" si="221"/>
        <v>B-BCP - Soles</v>
      </c>
      <c r="C2755" s="3" t="s">
        <v>1330</v>
      </c>
      <c r="D2755" s="14">
        <v>45853</v>
      </c>
      <c r="E2755" s="5" t="s">
        <v>1335</v>
      </c>
      <c r="F2755" s="5" t="s">
        <v>1336</v>
      </c>
      <c r="G2755" s="6" t="s">
        <v>1009</v>
      </c>
      <c r="H2755" s="6" t="s">
        <v>64</v>
      </c>
      <c r="I2755" s="6" t="s">
        <v>3673</v>
      </c>
      <c r="J2755" s="6">
        <v>1967</v>
      </c>
      <c r="K2755" s="7" t="s">
        <v>3160</v>
      </c>
      <c r="L2755" s="8"/>
      <c r="M2755" s="8" t="str">
        <f t="shared" si="222"/>
        <v>PEN</v>
      </c>
      <c r="N2755" s="13"/>
      <c r="O2755" s="13">
        <v>6.15</v>
      </c>
      <c r="P2755" s="3">
        <f t="shared" si="223"/>
        <v>0</v>
      </c>
      <c r="Q2755" s="3">
        <f t="shared" si="224"/>
        <v>6.15</v>
      </c>
      <c r="R2755" s="3">
        <f t="shared" si="220"/>
        <v>2446.9000000000237</v>
      </c>
      <c r="S2755" s="24" t="s">
        <v>1334</v>
      </c>
      <c r="T2755" s="24" t="s">
        <v>1334</v>
      </c>
      <c r="U2755" s="55"/>
      <c r="V2755" s="25">
        <f>IFERROR(VLOOKUP(BCP_Soles[[#This Row],[destinatario]],CHOOSE({1,2},Clientes_Proveedores[Razon Social],Clientes_Proveedores[Ruc / Dni]),2,0),"")</f>
        <v>11111111</v>
      </c>
      <c r="W2755" s="25"/>
      <c r="X2755" s="25"/>
      <c r="Y2755" s="25"/>
      <c r="Z2755" s="75"/>
      <c r="AA2755" s="3" t="str">
        <f>IF(BCP_Soles[[#This Row],[fecha]]&gt;0,TEXT(BCP_Soles[[#This Row],[fecha]],"mmmm"),0)</f>
        <v>Julio</v>
      </c>
    </row>
    <row r="2756" spans="1:27" ht="24" x14ac:dyDescent="0.3">
      <c r="A2756" s="2">
        <f>IF(BCP_Soles[[#This Row],[tipo_registro]]="R",COUNTIFS($C$1:$C2755,"R")+1,A2755)</f>
        <v>1968</v>
      </c>
      <c r="B2756" s="19" t="str">
        <f t="shared" si="221"/>
        <v>B-BCP - Soles</v>
      </c>
      <c r="C2756" s="3" t="s">
        <v>1330</v>
      </c>
      <c r="D2756" s="14">
        <v>45853</v>
      </c>
      <c r="E2756" s="5" t="s">
        <v>1335</v>
      </c>
      <c r="F2756" s="5" t="s">
        <v>1336</v>
      </c>
      <c r="G2756" s="6" t="s">
        <v>1060</v>
      </c>
      <c r="H2756" s="6" t="s">
        <v>68</v>
      </c>
      <c r="I2756" s="6" t="s">
        <v>1397</v>
      </c>
      <c r="J2756" s="6">
        <v>34975615</v>
      </c>
      <c r="K2756" s="7" t="s">
        <v>3904</v>
      </c>
      <c r="L2756" s="8">
        <v>990873</v>
      </c>
      <c r="M2756" s="8" t="str">
        <f t="shared" si="222"/>
        <v>PEN</v>
      </c>
      <c r="N2756" s="13"/>
      <c r="O2756" s="13">
        <v>5</v>
      </c>
      <c r="P2756" s="3">
        <f t="shared" si="223"/>
        <v>0</v>
      </c>
      <c r="Q2756" s="3">
        <f t="shared" si="224"/>
        <v>5</v>
      </c>
      <c r="R2756" s="3">
        <f t="shared" si="220"/>
        <v>2441.9000000000237</v>
      </c>
      <c r="S2756" s="24" t="s">
        <v>1334</v>
      </c>
      <c r="T2756" s="24" t="s">
        <v>1334</v>
      </c>
      <c r="U2756" s="55"/>
      <c r="V2756" s="25">
        <f>IFERROR(VLOOKUP(BCP_Soles[[#This Row],[destinatario]],CHOOSE({1,2},Clientes_Proveedores[Razon Social],Clientes_Proveedores[Ruc / Dni]),2,0),"")</f>
        <v>20100047218</v>
      </c>
      <c r="W2756" s="25"/>
      <c r="X2756" s="25"/>
      <c r="Y2756" s="25"/>
      <c r="Z2756" s="75"/>
      <c r="AA2756" s="3" t="str">
        <f>IF(BCP_Soles[[#This Row],[fecha]]&gt;0,TEXT(BCP_Soles[[#This Row],[fecha]],"mmmm"),0)</f>
        <v>Julio</v>
      </c>
    </row>
    <row r="2757" spans="1:27" x14ac:dyDescent="0.3">
      <c r="A2757" s="2">
        <f>IF(BCP_Soles[[#This Row],[tipo_registro]]="R",COUNTIFS($C$1:$C2756,"R")+1,A2756)</f>
        <v>1969</v>
      </c>
      <c r="B2757" s="19" t="str">
        <f t="shared" si="221"/>
        <v>B-BCP - Soles</v>
      </c>
      <c r="C2757" s="3" t="s">
        <v>1330</v>
      </c>
      <c r="D2757" s="14">
        <v>45854</v>
      </c>
      <c r="E2757" s="5"/>
      <c r="F2757" s="5" t="s">
        <v>1303</v>
      </c>
      <c r="G2757" s="6" t="s">
        <v>425</v>
      </c>
      <c r="H2757" s="6"/>
      <c r="I2757" s="6"/>
      <c r="J2757" s="6"/>
      <c r="K2757" s="7" t="s">
        <v>1356</v>
      </c>
      <c r="L2757" s="8">
        <v>2381684</v>
      </c>
      <c r="M2757" s="8" t="str">
        <f t="shared" si="222"/>
        <v>PEN</v>
      </c>
      <c r="N2757" s="13"/>
      <c r="O2757" s="13">
        <v>6509</v>
      </c>
      <c r="P2757" s="3">
        <f t="shared" si="223"/>
        <v>6509</v>
      </c>
      <c r="Q2757" s="3">
        <f t="shared" si="224"/>
        <v>0</v>
      </c>
      <c r="R2757" s="3">
        <f t="shared" si="220"/>
        <v>8950.9000000000233</v>
      </c>
      <c r="S2757" s="24" t="s">
        <v>1334</v>
      </c>
      <c r="T2757" s="24" t="s">
        <v>1334</v>
      </c>
      <c r="U2757" s="55"/>
      <c r="V2757" s="25">
        <f>IFERROR(VLOOKUP(BCP_Soles[[#This Row],[destinatario]],CHOOSE({1,2},Clientes_Proveedores[Razon Social],Clientes_Proveedores[Ruc / Dni]),2,0),"")</f>
        <v>20558226979</v>
      </c>
      <c r="W2757" s="25"/>
      <c r="X2757" s="25"/>
      <c r="Y2757" s="25"/>
      <c r="Z2757" s="75"/>
      <c r="AA2757" s="3" t="str">
        <f>IF(BCP_Soles[[#This Row],[fecha]]&gt;0,TEXT(BCP_Soles[[#This Row],[fecha]],"mmmm"),0)</f>
        <v>Julio</v>
      </c>
    </row>
    <row r="2758" spans="1:27" ht="24" x14ac:dyDescent="0.3">
      <c r="A2758" s="2">
        <f>IF(BCP_Soles[[#This Row],[tipo_registro]]="R",COUNTIFS($C$1:$C2757,"R")+1,A2757)</f>
        <v>1969</v>
      </c>
      <c r="B2758" s="19" t="str">
        <f t="shared" si="221"/>
        <v>B-BCP - Soles</v>
      </c>
      <c r="C2758" s="3" t="s">
        <v>1352</v>
      </c>
      <c r="D2758" s="14">
        <v>45854</v>
      </c>
      <c r="E2758" s="5" t="s">
        <v>536</v>
      </c>
      <c r="F2758" s="5" t="s">
        <v>1303</v>
      </c>
      <c r="G2758" s="6" t="s">
        <v>425</v>
      </c>
      <c r="H2758" s="6" t="s">
        <v>119</v>
      </c>
      <c r="I2758" s="6">
        <v>1</v>
      </c>
      <c r="J2758" s="6">
        <v>4572</v>
      </c>
      <c r="K2758" s="7" t="s">
        <v>1356</v>
      </c>
      <c r="L2758" s="8">
        <v>2381684</v>
      </c>
      <c r="M2758" s="8" t="str">
        <f t="shared" si="222"/>
        <v>PEN</v>
      </c>
      <c r="N2758" s="13">
        <v>4146</v>
      </c>
      <c r="O2758" s="13"/>
      <c r="P2758" s="3">
        <f t="shared" si="223"/>
        <v>0</v>
      </c>
      <c r="Q2758" s="3">
        <f t="shared" si="224"/>
        <v>0</v>
      </c>
      <c r="R2758" s="3">
        <f t="shared" si="220"/>
        <v>8950.9000000000233</v>
      </c>
      <c r="S2758" s="24" t="s">
        <v>1334</v>
      </c>
      <c r="T2758" s="24" t="s">
        <v>1334</v>
      </c>
      <c r="U2758" s="55"/>
      <c r="V2758" s="25">
        <f>IFERROR(VLOOKUP(BCP_Soles[[#This Row],[destinatario]],CHOOSE({1,2},Clientes_Proveedores[Razon Social],Clientes_Proveedores[Ruc / Dni]),2,0),"")</f>
        <v>20558226979</v>
      </c>
      <c r="W2758" s="25"/>
      <c r="X2758" s="25"/>
      <c r="Y2758" s="25"/>
      <c r="Z2758" s="75"/>
      <c r="AA2758" s="3" t="str">
        <f>IF(BCP_Soles[[#This Row],[fecha]]&gt;0,TEXT(BCP_Soles[[#This Row],[fecha]],"mmmm"),0)</f>
        <v>Julio</v>
      </c>
    </row>
    <row r="2759" spans="1:27" ht="24" x14ac:dyDescent="0.3">
      <c r="A2759" s="2">
        <f>IF(BCP_Soles[[#This Row],[tipo_registro]]="R",COUNTIFS($C$1:$C2758,"R")+1,A2758)</f>
        <v>1969</v>
      </c>
      <c r="B2759" s="19" t="str">
        <f t="shared" si="221"/>
        <v>B-BCP - Soles</v>
      </c>
      <c r="C2759" s="3" t="s">
        <v>1352</v>
      </c>
      <c r="D2759" s="14">
        <v>45854</v>
      </c>
      <c r="E2759" s="5" t="s">
        <v>536</v>
      </c>
      <c r="F2759" s="5" t="s">
        <v>1303</v>
      </c>
      <c r="G2759" s="6" t="s">
        <v>425</v>
      </c>
      <c r="H2759" s="6" t="s">
        <v>119</v>
      </c>
      <c r="I2759" s="6">
        <v>1</v>
      </c>
      <c r="J2759" s="6">
        <v>4580</v>
      </c>
      <c r="K2759" s="7" t="s">
        <v>1356</v>
      </c>
      <c r="L2759" s="8">
        <v>2381684</v>
      </c>
      <c r="M2759" s="8" t="str">
        <f t="shared" si="222"/>
        <v>PEN</v>
      </c>
      <c r="N2759" s="13">
        <v>2363</v>
      </c>
      <c r="O2759" s="13"/>
      <c r="P2759" s="3">
        <f t="shared" si="223"/>
        <v>0</v>
      </c>
      <c r="Q2759" s="3">
        <f t="shared" si="224"/>
        <v>0</v>
      </c>
      <c r="R2759" s="3">
        <f t="shared" si="220"/>
        <v>8950.9000000000233</v>
      </c>
      <c r="S2759" s="24" t="s">
        <v>1334</v>
      </c>
      <c r="T2759" s="24" t="s">
        <v>1334</v>
      </c>
      <c r="U2759" s="55"/>
      <c r="V2759" s="25">
        <f>IFERROR(VLOOKUP(BCP_Soles[[#This Row],[destinatario]],CHOOSE({1,2},Clientes_Proveedores[Razon Social],Clientes_Proveedores[Ruc / Dni]),2,0),"")</f>
        <v>20558226979</v>
      </c>
      <c r="W2759" s="25"/>
      <c r="X2759" s="25"/>
      <c r="Y2759" s="25"/>
      <c r="Z2759" s="75"/>
      <c r="AA2759" s="3" t="str">
        <f>IF(BCP_Soles[[#This Row],[fecha]]&gt;0,TEXT(BCP_Soles[[#This Row],[fecha]],"mmmm"),0)</f>
        <v>Julio</v>
      </c>
    </row>
    <row r="2760" spans="1:27" ht="24" x14ac:dyDescent="0.3">
      <c r="A2760" s="2">
        <f>IF(BCP_Soles[[#This Row],[tipo_registro]]="R",COUNTIFS($C$1:$C2759,"R")+1,A2759)</f>
        <v>1970</v>
      </c>
      <c r="B2760" s="19" t="str">
        <f t="shared" si="221"/>
        <v>B-BCP - Soles</v>
      </c>
      <c r="C2760" s="3" t="s">
        <v>1330</v>
      </c>
      <c r="D2760" s="14">
        <v>45854</v>
      </c>
      <c r="E2760" s="5" t="s">
        <v>1338</v>
      </c>
      <c r="F2760" s="5" t="s">
        <v>1336</v>
      </c>
      <c r="G2760" s="6" t="s">
        <v>703</v>
      </c>
      <c r="H2760" s="6" t="s">
        <v>106</v>
      </c>
      <c r="I2760" s="6" t="s">
        <v>1484</v>
      </c>
      <c r="J2760" s="6">
        <v>31243883</v>
      </c>
      <c r="K2760" s="7" t="s">
        <v>3905</v>
      </c>
      <c r="L2760" s="8">
        <v>102154</v>
      </c>
      <c r="M2760" s="8" t="str">
        <f t="shared" si="222"/>
        <v>PEN</v>
      </c>
      <c r="N2760" s="13"/>
      <c r="O2760" s="13">
        <v>124.4</v>
      </c>
      <c r="P2760" s="3">
        <f t="shared" si="223"/>
        <v>0</v>
      </c>
      <c r="Q2760" s="3">
        <f t="shared" si="224"/>
        <v>124.4</v>
      </c>
      <c r="R2760" s="3">
        <f t="shared" si="220"/>
        <v>8826.5000000000236</v>
      </c>
      <c r="S2760" s="24" t="s">
        <v>1334</v>
      </c>
      <c r="T2760" s="24" t="s">
        <v>1334</v>
      </c>
      <c r="U2760" s="79" t="s">
        <v>3906</v>
      </c>
      <c r="V2760" s="25">
        <f>IFERROR(VLOOKUP(BCP_Soles[[#This Row],[destinatario]],CHOOSE({1,2},Clientes_Proveedores[Razon Social],Clientes_Proveedores[Ruc / Dni]),2,0),"")</f>
        <v>20100188628</v>
      </c>
      <c r="W2760" s="25"/>
      <c r="X2760" s="25"/>
      <c r="Y2760" s="25"/>
      <c r="Z2760" s="75"/>
      <c r="AA2760" s="3" t="str">
        <f>IF(BCP_Soles[[#This Row],[fecha]]&gt;0,TEXT(BCP_Soles[[#This Row],[fecha]],"mmmm"),0)</f>
        <v>Julio</v>
      </c>
    </row>
    <row r="2761" spans="1:27" ht="24" x14ac:dyDescent="0.3">
      <c r="A2761" s="2">
        <f>IF(BCP_Soles[[#This Row],[tipo_registro]]="R",COUNTIFS($C$1:$C2760,"R")+1,A2760)</f>
        <v>1971</v>
      </c>
      <c r="B2761" s="19" t="str">
        <f t="shared" si="221"/>
        <v>B-BCP - Soles</v>
      </c>
      <c r="C2761" s="3" t="s">
        <v>1330</v>
      </c>
      <c r="D2761" s="14">
        <v>45854</v>
      </c>
      <c r="E2761" s="5" t="s">
        <v>1338</v>
      </c>
      <c r="F2761" s="5" t="s">
        <v>1336</v>
      </c>
      <c r="G2761" s="6" t="s">
        <v>703</v>
      </c>
      <c r="H2761" s="6" t="s">
        <v>106</v>
      </c>
      <c r="I2761" s="6" t="s">
        <v>1484</v>
      </c>
      <c r="J2761" s="6">
        <v>31243943</v>
      </c>
      <c r="K2761" s="7" t="s">
        <v>3907</v>
      </c>
      <c r="L2761" s="8">
        <v>101658</v>
      </c>
      <c r="M2761" s="8" t="str">
        <f t="shared" si="222"/>
        <v>PEN</v>
      </c>
      <c r="N2761" s="13"/>
      <c r="O2761" s="13">
        <v>445.3</v>
      </c>
      <c r="P2761" s="3">
        <f t="shared" si="223"/>
        <v>0</v>
      </c>
      <c r="Q2761" s="3">
        <f t="shared" si="224"/>
        <v>445.3</v>
      </c>
      <c r="R2761" s="3">
        <f t="shared" ref="R2761:R2824" si="225">IFERROR(IF(F2761="SALDO",P2761,R2760+P2761-Q2761),0)</f>
        <v>8381.2000000000244</v>
      </c>
      <c r="S2761" s="24" t="s">
        <v>1334</v>
      </c>
      <c r="T2761" s="24" t="s">
        <v>1334</v>
      </c>
      <c r="U2761" s="79" t="s">
        <v>3908</v>
      </c>
      <c r="V2761" s="25">
        <f>IFERROR(VLOOKUP(BCP_Soles[[#This Row],[destinatario]],CHOOSE({1,2},Clientes_Proveedores[Razon Social],Clientes_Proveedores[Ruc / Dni]),2,0),"")</f>
        <v>20100188628</v>
      </c>
      <c r="W2761" s="25"/>
      <c r="X2761" s="25"/>
      <c r="Y2761" s="25"/>
      <c r="Z2761" s="75"/>
      <c r="AA2761" s="3" t="str">
        <f>IF(BCP_Soles[[#This Row],[fecha]]&gt;0,TEXT(BCP_Soles[[#This Row],[fecha]],"mmmm"),0)</f>
        <v>Julio</v>
      </c>
    </row>
    <row r="2762" spans="1:27" ht="24" x14ac:dyDescent="0.3">
      <c r="A2762" s="2">
        <f>IF(BCP_Soles[[#This Row],[tipo_registro]]="R",COUNTIFS($C$1:$C2761,"R")+1,A2761)</f>
        <v>1972</v>
      </c>
      <c r="B2762" s="19" t="str">
        <f t="shared" si="221"/>
        <v>B-BCP - Soles</v>
      </c>
      <c r="C2762" s="3" t="s">
        <v>1330</v>
      </c>
      <c r="D2762" s="14">
        <v>45854</v>
      </c>
      <c r="E2762" s="5" t="s">
        <v>1338</v>
      </c>
      <c r="F2762" s="5" t="s">
        <v>1336</v>
      </c>
      <c r="G2762" s="6" t="s">
        <v>706</v>
      </c>
      <c r="H2762" s="6" t="s">
        <v>106</v>
      </c>
      <c r="I2762" s="6" t="s">
        <v>1489</v>
      </c>
      <c r="J2762" s="6">
        <v>257602</v>
      </c>
      <c r="K2762" s="7" t="s">
        <v>3909</v>
      </c>
      <c r="L2762" s="8">
        <v>4103129</v>
      </c>
      <c r="M2762" s="8" t="str">
        <f t="shared" si="222"/>
        <v>PEN</v>
      </c>
      <c r="N2762" s="13"/>
      <c r="O2762" s="13">
        <v>19</v>
      </c>
      <c r="P2762" s="3">
        <f t="shared" si="223"/>
        <v>0</v>
      </c>
      <c r="Q2762" s="3">
        <f t="shared" si="224"/>
        <v>19</v>
      </c>
      <c r="R2762" s="3">
        <f t="shared" si="225"/>
        <v>8362.2000000000244</v>
      </c>
      <c r="S2762" s="24" t="s">
        <v>1334</v>
      </c>
      <c r="T2762" s="24" t="s">
        <v>1334</v>
      </c>
      <c r="U2762" s="79" t="s">
        <v>3910</v>
      </c>
      <c r="V2762" s="25">
        <f>IFERROR(VLOOKUP(BCP_Soles[[#This Row],[destinatario]],CHOOSE({1,2},Clientes_Proveedores[Razon Social],Clientes_Proveedores[Ruc / Dni]),2,0),"")</f>
        <v>20331898008</v>
      </c>
      <c r="W2762" s="25"/>
      <c r="X2762" s="25"/>
      <c r="Y2762" s="25"/>
      <c r="Z2762" s="75"/>
      <c r="AA2762" s="3" t="str">
        <f>IF(BCP_Soles[[#This Row],[fecha]]&gt;0,TEXT(BCP_Soles[[#This Row],[fecha]],"mmmm"),0)</f>
        <v>Julio</v>
      </c>
    </row>
    <row r="2763" spans="1:27" ht="24" x14ac:dyDescent="0.3">
      <c r="A2763" s="2">
        <f>IF(BCP_Soles[[#This Row],[tipo_registro]]="R",COUNTIFS($C$1:$C2762,"R")+1,A2762)</f>
        <v>1973</v>
      </c>
      <c r="B2763" s="19" t="str">
        <f t="shared" si="221"/>
        <v>B-BCP - Soles</v>
      </c>
      <c r="C2763" s="3" t="s">
        <v>1330</v>
      </c>
      <c r="D2763" s="14">
        <v>45854</v>
      </c>
      <c r="E2763" s="5" t="s">
        <v>1338</v>
      </c>
      <c r="F2763" s="5" t="s">
        <v>1336</v>
      </c>
      <c r="G2763" s="51" t="s">
        <v>895</v>
      </c>
      <c r="H2763" s="6"/>
      <c r="I2763" s="6"/>
      <c r="J2763" s="6"/>
      <c r="K2763" s="7" t="s">
        <v>3911</v>
      </c>
      <c r="L2763" s="8">
        <v>1100178</v>
      </c>
      <c r="M2763" s="8" t="str">
        <f t="shared" si="222"/>
        <v>PEN</v>
      </c>
      <c r="N2763" s="13"/>
      <c r="O2763" s="13">
        <v>900</v>
      </c>
      <c r="P2763" s="3">
        <f t="shared" si="223"/>
        <v>0</v>
      </c>
      <c r="Q2763" s="3">
        <f t="shared" si="224"/>
        <v>900</v>
      </c>
      <c r="R2763" s="3">
        <f t="shared" si="225"/>
        <v>7462.2000000000244</v>
      </c>
      <c r="S2763" s="24"/>
      <c r="T2763" s="24" t="s">
        <v>1334</v>
      </c>
      <c r="U2763" s="79" t="s">
        <v>3912</v>
      </c>
      <c r="V2763" s="25">
        <f>IFERROR(VLOOKUP(BCP_Soles[[#This Row],[destinatario]],CHOOSE({1,2},Clientes_Proveedores[Razon Social],Clientes_Proveedores[Ruc / Dni]),2,0),"")</f>
        <v>72144092</v>
      </c>
      <c r="W2763" s="25"/>
      <c r="X2763" s="25"/>
      <c r="Y2763" s="25"/>
      <c r="Z2763" s="75"/>
      <c r="AA2763" s="3" t="str">
        <f>IF(BCP_Soles[[#This Row],[fecha]]&gt;0,TEXT(BCP_Soles[[#This Row],[fecha]],"mmmm"),0)</f>
        <v>Julio</v>
      </c>
    </row>
    <row r="2764" spans="1:27" ht="24" x14ac:dyDescent="0.3">
      <c r="A2764" s="2">
        <f>IF(BCP_Soles[[#This Row],[tipo_registro]]="R",COUNTIFS($C$1:$C2763,"R")+1,A2763)</f>
        <v>1974</v>
      </c>
      <c r="B2764" s="19" t="str">
        <f t="shared" si="221"/>
        <v>B-BCP - Soles</v>
      </c>
      <c r="C2764" s="3" t="s">
        <v>1330</v>
      </c>
      <c r="D2764" s="14">
        <v>45854</v>
      </c>
      <c r="E2764" s="5" t="s">
        <v>1338</v>
      </c>
      <c r="F2764" s="5" t="s">
        <v>1336</v>
      </c>
      <c r="G2764" s="6" t="s">
        <v>497</v>
      </c>
      <c r="H2764" s="6" t="s">
        <v>68</v>
      </c>
      <c r="I2764" s="6" t="s">
        <v>1390</v>
      </c>
      <c r="J2764" s="6">
        <v>20256</v>
      </c>
      <c r="K2764" s="7" t="s">
        <v>3913</v>
      </c>
      <c r="L2764" s="8">
        <v>1111014</v>
      </c>
      <c r="M2764" s="8" t="str">
        <f t="shared" si="222"/>
        <v>PEN</v>
      </c>
      <c r="N2764" s="13"/>
      <c r="O2764" s="13">
        <v>405</v>
      </c>
      <c r="P2764" s="3">
        <f t="shared" si="223"/>
        <v>0</v>
      </c>
      <c r="Q2764" s="3">
        <f t="shared" si="224"/>
        <v>405</v>
      </c>
      <c r="R2764" s="3">
        <f t="shared" si="225"/>
        <v>7057.2000000000244</v>
      </c>
      <c r="S2764" s="24" t="s">
        <v>1334</v>
      </c>
      <c r="T2764" s="24" t="s">
        <v>1334</v>
      </c>
      <c r="U2764" s="79" t="s">
        <v>3914</v>
      </c>
      <c r="V2764" s="25">
        <f>IFERROR(VLOOKUP(BCP_Soles[[#This Row],[destinatario]],CHOOSE({1,2},Clientes_Proveedores[Razon Social],Clientes_Proveedores[Ruc / Dni]),2,0),"")</f>
        <v>20602810497</v>
      </c>
      <c r="W2764" s="25"/>
      <c r="X2764" s="25"/>
      <c r="Y2764" s="25"/>
      <c r="Z2764" s="77"/>
      <c r="AA2764" s="3" t="str">
        <f>IF(BCP_Soles[[#This Row],[fecha]]&gt;0,TEXT(BCP_Soles[[#This Row],[fecha]],"mmmm"),0)</f>
        <v>Julio</v>
      </c>
    </row>
    <row r="2765" spans="1:27" ht="48" x14ac:dyDescent="0.3">
      <c r="A2765" s="2">
        <f>IF(BCP_Soles[[#This Row],[tipo_registro]]="R",COUNTIFS($C$1:$C2764,"R")+1,A2764)</f>
        <v>1975</v>
      </c>
      <c r="B2765" s="19" t="str">
        <f t="shared" si="221"/>
        <v>B-BCP - Soles</v>
      </c>
      <c r="C2765" s="3" t="s">
        <v>1330</v>
      </c>
      <c r="D2765" s="14">
        <v>45854</v>
      </c>
      <c r="E2765" s="5" t="s">
        <v>1338</v>
      </c>
      <c r="F2765" s="5" t="s">
        <v>1336</v>
      </c>
      <c r="G2765" s="6" t="s">
        <v>501</v>
      </c>
      <c r="H2765" s="6" t="s">
        <v>68</v>
      </c>
      <c r="I2765" s="6" t="s">
        <v>1526</v>
      </c>
      <c r="J2765" s="6">
        <v>10996</v>
      </c>
      <c r="K2765" s="7" t="s">
        <v>3915</v>
      </c>
      <c r="L2765" s="8">
        <v>1110528</v>
      </c>
      <c r="M2765" s="8" t="str">
        <f t="shared" si="222"/>
        <v>PEN</v>
      </c>
      <c r="N2765" s="13"/>
      <c r="O2765" s="13">
        <v>266</v>
      </c>
      <c r="P2765" s="3">
        <f t="shared" si="223"/>
        <v>0</v>
      </c>
      <c r="Q2765" s="3">
        <f t="shared" si="224"/>
        <v>266</v>
      </c>
      <c r="R2765" s="3">
        <f t="shared" si="225"/>
        <v>6791.2000000000244</v>
      </c>
      <c r="S2765" s="24" t="s">
        <v>1334</v>
      </c>
      <c r="T2765" s="24" t="s">
        <v>1334</v>
      </c>
      <c r="U2765" s="79" t="s">
        <v>3916</v>
      </c>
      <c r="V2765" s="25">
        <f>IFERROR(VLOOKUP(BCP_Soles[[#This Row],[destinatario]],CHOOSE({1,2},Clientes_Proveedores[Razon Social],Clientes_Proveedores[Ruc / Dni]),2,0),"")</f>
        <v>20602978274</v>
      </c>
      <c r="W2765" s="25"/>
      <c r="X2765" s="25"/>
      <c r="Y2765" s="25"/>
      <c r="Z2765" s="77"/>
      <c r="AA2765" s="3" t="str">
        <f>IF(BCP_Soles[[#This Row],[fecha]]&gt;0,TEXT(BCP_Soles[[#This Row],[fecha]],"mmmm"),0)</f>
        <v>Julio</v>
      </c>
    </row>
    <row r="2766" spans="1:27" ht="48" x14ac:dyDescent="0.3">
      <c r="A2766" s="2">
        <f>IF(BCP_Soles[[#This Row],[tipo_registro]]="R",COUNTIFS($C$1:$C2765,"R")+1,A2765)</f>
        <v>1976</v>
      </c>
      <c r="B2766" s="19" t="str">
        <f t="shared" si="221"/>
        <v>B-BCP - Soles</v>
      </c>
      <c r="C2766" s="3" t="s">
        <v>1330</v>
      </c>
      <c r="D2766" s="14">
        <v>45854</v>
      </c>
      <c r="E2766" s="5" t="s">
        <v>1338</v>
      </c>
      <c r="F2766" s="5" t="s">
        <v>1336</v>
      </c>
      <c r="G2766" s="6" t="s">
        <v>501</v>
      </c>
      <c r="H2766" s="6" t="s">
        <v>68</v>
      </c>
      <c r="I2766" s="6" t="s">
        <v>1650</v>
      </c>
      <c r="J2766" s="6">
        <v>8336</v>
      </c>
      <c r="K2766" s="7" t="s">
        <v>3917</v>
      </c>
      <c r="L2766" s="8">
        <v>1108069</v>
      </c>
      <c r="M2766" s="8" t="str">
        <f t="shared" si="222"/>
        <v>PEN</v>
      </c>
      <c r="N2766" s="13"/>
      <c r="O2766" s="13">
        <v>216</v>
      </c>
      <c r="P2766" s="3">
        <f t="shared" si="223"/>
        <v>0</v>
      </c>
      <c r="Q2766" s="3">
        <f t="shared" si="224"/>
        <v>216</v>
      </c>
      <c r="R2766" s="3">
        <f t="shared" si="225"/>
        <v>6575.2000000000244</v>
      </c>
      <c r="S2766" s="24" t="s">
        <v>1334</v>
      </c>
      <c r="T2766" s="24" t="s">
        <v>1334</v>
      </c>
      <c r="U2766" s="79" t="s">
        <v>3918</v>
      </c>
      <c r="V2766" s="25">
        <f>IFERROR(VLOOKUP(BCP_Soles[[#This Row],[destinatario]],CHOOSE({1,2},Clientes_Proveedores[Razon Social],Clientes_Proveedores[Ruc / Dni]),2,0),"")</f>
        <v>20602978274</v>
      </c>
      <c r="W2766" s="25"/>
      <c r="X2766" s="25"/>
      <c r="Y2766" s="25"/>
      <c r="Z2766" s="77"/>
      <c r="AA2766" s="3" t="str">
        <f>IF(BCP_Soles[[#This Row],[fecha]]&gt;0,TEXT(BCP_Soles[[#This Row],[fecha]],"mmmm"),0)</f>
        <v>Julio</v>
      </c>
    </row>
    <row r="2767" spans="1:27" x14ac:dyDescent="0.3">
      <c r="A2767" s="2">
        <f>IF(BCP_Soles[[#This Row],[tipo_registro]]="R",COUNTIFS($C$1:$C2766,"R")+1,A2766)</f>
        <v>1977</v>
      </c>
      <c r="B2767" s="19" t="str">
        <f t="shared" si="221"/>
        <v>B-BCP - Soles</v>
      </c>
      <c r="C2767" s="3" t="s">
        <v>1330</v>
      </c>
      <c r="D2767" s="14">
        <v>45854</v>
      </c>
      <c r="E2767" s="5" t="s">
        <v>1338</v>
      </c>
      <c r="F2767" s="5" t="s">
        <v>1336</v>
      </c>
      <c r="G2767" s="6" t="s">
        <v>696</v>
      </c>
      <c r="H2767" s="6"/>
      <c r="I2767" s="6"/>
      <c r="J2767" s="6"/>
      <c r="K2767" s="7" t="s">
        <v>3919</v>
      </c>
      <c r="L2767" s="8">
        <v>1314761</v>
      </c>
      <c r="M2767" s="8" t="str">
        <f t="shared" si="222"/>
        <v>PEN</v>
      </c>
      <c r="N2767" s="13"/>
      <c r="O2767" s="13">
        <v>1336.75</v>
      </c>
      <c r="P2767" s="3">
        <f t="shared" si="223"/>
        <v>0</v>
      </c>
      <c r="Q2767" s="3">
        <f t="shared" si="224"/>
        <v>1336.75</v>
      </c>
      <c r="R2767" s="3">
        <f t="shared" si="225"/>
        <v>5238.4500000000244</v>
      </c>
      <c r="S2767" s="24" t="s">
        <v>1334</v>
      </c>
      <c r="T2767" s="24" t="s">
        <v>1334</v>
      </c>
      <c r="U2767" s="79" t="s">
        <v>3920</v>
      </c>
      <c r="V2767" s="25">
        <f>IFERROR(VLOOKUP(BCP_Soles[[#This Row],[destinatario]],CHOOSE({1,2},Clientes_Proveedores[Razon Social],Clientes_Proveedores[Ruc / Dni]),2,0),"")</f>
        <v>0</v>
      </c>
      <c r="W2767" s="25"/>
      <c r="X2767" s="25"/>
      <c r="Y2767" s="25"/>
      <c r="Z2767" s="77"/>
      <c r="AA2767" s="3" t="str">
        <f>IF(BCP_Soles[[#This Row],[fecha]]&gt;0,TEXT(BCP_Soles[[#This Row],[fecha]],"mmmm"),0)</f>
        <v>Julio</v>
      </c>
    </row>
    <row r="2768" spans="1:27" x14ac:dyDescent="0.3">
      <c r="A2768" s="2">
        <f>IF(BCP_Soles[[#This Row],[tipo_registro]]="R",COUNTIFS($C$1:$C2767,"R")+1,A2767)</f>
        <v>1977</v>
      </c>
      <c r="B2768" s="19" t="str">
        <f t="shared" si="221"/>
        <v>B-BCP - Soles</v>
      </c>
      <c r="C2768" s="3" t="s">
        <v>1352</v>
      </c>
      <c r="D2768" s="14">
        <v>45854</v>
      </c>
      <c r="E2768" s="5" t="s">
        <v>1338</v>
      </c>
      <c r="F2768" s="5"/>
      <c r="G2768" s="6" t="s">
        <v>638</v>
      </c>
      <c r="H2768" s="6" t="s">
        <v>68</v>
      </c>
      <c r="I2768" s="6" t="s">
        <v>1374</v>
      </c>
      <c r="J2768" s="6">
        <v>16822</v>
      </c>
      <c r="K2768" s="7" t="s">
        <v>3919</v>
      </c>
      <c r="L2768" s="8">
        <v>1314761</v>
      </c>
      <c r="M2768" s="8" t="str">
        <f t="shared" si="222"/>
        <v>PEN</v>
      </c>
      <c r="N2768" s="13">
        <v>1124.54</v>
      </c>
      <c r="O2768" s="13"/>
      <c r="P2768" s="3">
        <f t="shared" si="223"/>
        <v>0</v>
      </c>
      <c r="Q2768" s="3">
        <f t="shared" si="224"/>
        <v>0</v>
      </c>
      <c r="R2768" s="3">
        <f t="shared" si="225"/>
        <v>5238.4500000000244</v>
      </c>
      <c r="S2768" s="24" t="s">
        <v>1334</v>
      </c>
      <c r="T2768" s="24" t="s">
        <v>1334</v>
      </c>
      <c r="U2768" s="79"/>
      <c r="V2768" s="25">
        <f>IFERROR(VLOOKUP(BCP_Soles[[#This Row],[destinatario]],CHOOSE({1,2},Clientes_Proveedores[Razon Social],Clientes_Proveedores[Ruc / Dni]),2,0),"")</f>
        <v>20602484344</v>
      </c>
      <c r="W2768" s="25"/>
      <c r="X2768" s="25"/>
      <c r="Y2768" s="25"/>
      <c r="Z2768" s="77"/>
      <c r="AA2768" s="3" t="str">
        <f>IF(BCP_Soles[[#This Row],[fecha]]&gt;0,TEXT(BCP_Soles[[#This Row],[fecha]],"mmmm"),0)</f>
        <v>Julio</v>
      </c>
    </row>
    <row r="2769" spans="1:27" x14ac:dyDescent="0.3">
      <c r="A2769" s="2">
        <f>IF(BCP_Soles[[#This Row],[tipo_registro]]="R",COUNTIFS($C$1:$C2768,"R")+1,A2768)</f>
        <v>1977</v>
      </c>
      <c r="B2769" s="19" t="str">
        <f t="shared" si="221"/>
        <v>B-BCP - Soles</v>
      </c>
      <c r="C2769" s="3" t="s">
        <v>1352</v>
      </c>
      <c r="D2769" s="14">
        <v>45854</v>
      </c>
      <c r="E2769" s="5" t="s">
        <v>1338</v>
      </c>
      <c r="F2769" s="5"/>
      <c r="G2769" s="6" t="s">
        <v>638</v>
      </c>
      <c r="H2769" s="6" t="s">
        <v>68</v>
      </c>
      <c r="I2769" s="6" t="s">
        <v>1374</v>
      </c>
      <c r="J2769" s="6">
        <v>16824</v>
      </c>
      <c r="K2769" s="7" t="s">
        <v>3919</v>
      </c>
      <c r="L2769" s="8">
        <v>1314761</v>
      </c>
      <c r="M2769" s="8" t="str">
        <f t="shared" si="222"/>
        <v>PEN</v>
      </c>
      <c r="N2769" s="13">
        <v>212.21</v>
      </c>
      <c r="O2769" s="13"/>
      <c r="P2769" s="3">
        <f t="shared" si="223"/>
        <v>0</v>
      </c>
      <c r="Q2769" s="3">
        <f t="shared" si="224"/>
        <v>0</v>
      </c>
      <c r="R2769" s="3">
        <f t="shared" si="225"/>
        <v>5238.4500000000244</v>
      </c>
      <c r="S2769" s="24" t="s">
        <v>1334</v>
      </c>
      <c r="T2769" s="24" t="s">
        <v>1334</v>
      </c>
      <c r="U2769" s="79"/>
      <c r="V2769" s="25">
        <f>IFERROR(VLOOKUP(BCP_Soles[[#This Row],[destinatario]],CHOOSE({1,2},Clientes_Proveedores[Razon Social],Clientes_Proveedores[Ruc / Dni]),2,0),"")</f>
        <v>20602484344</v>
      </c>
      <c r="W2769" s="25"/>
      <c r="X2769" s="25"/>
      <c r="Y2769" s="25"/>
      <c r="Z2769" s="77"/>
      <c r="AA2769" s="3" t="str">
        <f>IF(BCP_Soles[[#This Row],[fecha]]&gt;0,TEXT(BCP_Soles[[#This Row],[fecha]],"mmmm"),0)</f>
        <v>Julio</v>
      </c>
    </row>
    <row r="2770" spans="1:27" ht="24" x14ac:dyDescent="0.3">
      <c r="A2770" s="2">
        <f>IF(BCP_Soles[[#This Row],[tipo_registro]]="R",COUNTIFS($C$1:$C2769,"R")+1,A2769)</f>
        <v>1978</v>
      </c>
      <c r="B2770" s="19" t="str">
        <f t="shared" si="221"/>
        <v>B-BCP - Soles</v>
      </c>
      <c r="C2770" s="3" t="s">
        <v>1330</v>
      </c>
      <c r="D2770" s="14">
        <v>45854</v>
      </c>
      <c r="E2770" s="5" t="s">
        <v>1338</v>
      </c>
      <c r="F2770" s="5" t="s">
        <v>1336</v>
      </c>
      <c r="G2770" s="6" t="s">
        <v>888</v>
      </c>
      <c r="H2770" s="6" t="s">
        <v>147</v>
      </c>
      <c r="I2770" s="6">
        <v>13</v>
      </c>
      <c r="J2770" s="6">
        <v>33</v>
      </c>
      <c r="K2770" s="7" t="s">
        <v>3921</v>
      </c>
      <c r="L2770" s="8">
        <v>1225509</v>
      </c>
      <c r="M2770" s="8" t="str">
        <f t="shared" si="222"/>
        <v>PEN</v>
      </c>
      <c r="N2770" s="13"/>
      <c r="O2770" s="13">
        <v>1165</v>
      </c>
      <c r="P2770" s="3">
        <f t="shared" si="223"/>
        <v>0</v>
      </c>
      <c r="Q2770" s="3">
        <f t="shared" si="224"/>
        <v>1165</v>
      </c>
      <c r="R2770" s="3">
        <f t="shared" si="225"/>
        <v>4073.4500000000244</v>
      </c>
      <c r="S2770" s="24" t="s">
        <v>1334</v>
      </c>
      <c r="T2770" s="24" t="s">
        <v>1334</v>
      </c>
      <c r="U2770" s="79" t="s">
        <v>3922</v>
      </c>
      <c r="V2770" s="25">
        <f>IFERROR(VLOOKUP(BCP_Soles[[#This Row],[destinatario]],CHOOSE({1,2},Clientes_Proveedores[Razon Social],Clientes_Proveedores[Ruc / Dni]),2,0),"")</f>
        <v>47461440</v>
      </c>
      <c r="W2770" s="25"/>
      <c r="X2770" s="25"/>
      <c r="Y2770" s="25"/>
      <c r="Z2770" s="77"/>
      <c r="AA2770" s="3" t="str">
        <f>IF(BCP_Soles[[#This Row],[fecha]]&gt;0,TEXT(BCP_Soles[[#This Row],[fecha]],"mmmm"),0)</f>
        <v>Julio</v>
      </c>
    </row>
    <row r="2771" spans="1:27" ht="24" x14ac:dyDescent="0.3">
      <c r="A2771" s="2">
        <f>IF(BCP_Soles[[#This Row],[tipo_registro]]="R",COUNTIFS($C$1:$C2770,"R")+1,A2770)</f>
        <v>1979</v>
      </c>
      <c r="B2771" s="19" t="str">
        <f t="shared" si="221"/>
        <v>B-BCP - Soles</v>
      </c>
      <c r="C2771" s="3" t="s">
        <v>1330</v>
      </c>
      <c r="D2771" s="14">
        <v>45854</v>
      </c>
      <c r="E2771" s="5" t="s">
        <v>1338</v>
      </c>
      <c r="F2771" s="5" t="s">
        <v>1336</v>
      </c>
      <c r="G2771" s="6" t="s">
        <v>312</v>
      </c>
      <c r="H2771" s="6" t="s">
        <v>68</v>
      </c>
      <c r="I2771" s="6" t="s">
        <v>1376</v>
      </c>
      <c r="J2771" s="6">
        <v>3617</v>
      </c>
      <c r="K2771" s="7" t="s">
        <v>3923</v>
      </c>
      <c r="L2771" s="8">
        <v>1224544</v>
      </c>
      <c r="M2771" s="8" t="str">
        <f t="shared" si="222"/>
        <v>PEN</v>
      </c>
      <c r="N2771" s="13"/>
      <c r="O2771" s="13">
        <v>935</v>
      </c>
      <c r="P2771" s="3">
        <f t="shared" si="223"/>
        <v>0</v>
      </c>
      <c r="Q2771" s="3">
        <f t="shared" si="224"/>
        <v>935</v>
      </c>
      <c r="R2771" s="3">
        <f t="shared" si="225"/>
        <v>3138.4500000000244</v>
      </c>
      <c r="S2771" s="24" t="s">
        <v>1334</v>
      </c>
      <c r="T2771" s="24" t="s">
        <v>1334</v>
      </c>
      <c r="U2771" s="79" t="s">
        <v>3924</v>
      </c>
      <c r="V2771" s="25">
        <f>IFERROR(VLOOKUP(BCP_Soles[[#This Row],[destinatario]],CHOOSE({1,2},Clientes_Proveedores[Razon Social],Clientes_Proveedores[Ruc / Dni]),2,0),"")</f>
        <v>20456147781</v>
      </c>
      <c r="W2771" s="25"/>
      <c r="X2771" s="25"/>
      <c r="Y2771" s="25"/>
      <c r="Z2771" s="77"/>
      <c r="AA2771" s="3" t="str">
        <f>IF(BCP_Soles[[#This Row],[fecha]]&gt;0,TEXT(BCP_Soles[[#This Row],[fecha]],"mmmm"),0)</f>
        <v>Julio</v>
      </c>
    </row>
    <row r="2772" spans="1:27" x14ac:dyDescent="0.3">
      <c r="A2772" s="2">
        <f>IF(BCP_Soles[[#This Row],[tipo_registro]]="R",COUNTIFS($C$1:$C2771,"R")+1,A2771)</f>
        <v>1980</v>
      </c>
      <c r="B2772" s="19" t="str">
        <f t="shared" si="221"/>
        <v>B-BCP - Soles</v>
      </c>
      <c r="C2772" s="3" t="s">
        <v>1330</v>
      </c>
      <c r="D2772" s="14">
        <v>45854</v>
      </c>
      <c r="E2772" s="5" t="s">
        <v>1335</v>
      </c>
      <c r="F2772" s="5" t="s">
        <v>1336</v>
      </c>
      <c r="G2772" s="6" t="s">
        <v>1009</v>
      </c>
      <c r="H2772" s="6" t="s">
        <v>64</v>
      </c>
      <c r="I2772" s="6" t="s">
        <v>3673</v>
      </c>
      <c r="J2772" s="6">
        <v>1980</v>
      </c>
      <c r="K2772" s="7" t="s">
        <v>3160</v>
      </c>
      <c r="L2772" s="8"/>
      <c r="M2772" s="8" t="str">
        <f t="shared" si="222"/>
        <v>PEN</v>
      </c>
      <c r="N2772" s="13"/>
      <c r="O2772" s="13">
        <v>0.4</v>
      </c>
      <c r="P2772" s="3">
        <f t="shared" si="223"/>
        <v>0</v>
      </c>
      <c r="Q2772" s="3">
        <f t="shared" si="224"/>
        <v>0.4</v>
      </c>
      <c r="R2772" s="3">
        <f t="shared" si="225"/>
        <v>3138.0500000000243</v>
      </c>
      <c r="S2772" s="24" t="s">
        <v>1334</v>
      </c>
      <c r="T2772" s="24" t="s">
        <v>1334</v>
      </c>
      <c r="U2772" s="55"/>
      <c r="V2772" s="25">
        <f>IFERROR(VLOOKUP(BCP_Soles[[#This Row],[destinatario]],CHOOSE({1,2},Clientes_Proveedores[Razon Social],Clientes_Proveedores[Ruc / Dni]),2,0),"")</f>
        <v>11111111</v>
      </c>
      <c r="W2772" s="25"/>
      <c r="X2772" s="25"/>
      <c r="Y2772" s="25"/>
      <c r="Z2772" s="77"/>
      <c r="AA2772" s="3" t="str">
        <f>IF(BCP_Soles[[#This Row],[fecha]]&gt;0,TEXT(BCP_Soles[[#This Row],[fecha]],"mmmm"),0)</f>
        <v>Julio</v>
      </c>
    </row>
    <row r="2773" spans="1:27" ht="24" x14ac:dyDescent="0.3">
      <c r="A2773" s="2">
        <f>IF(BCP_Soles[[#This Row],[tipo_registro]]="R",COUNTIFS($C$1:$C2772,"R")+1,A2772)</f>
        <v>1981</v>
      </c>
      <c r="B2773" s="19" t="str">
        <f t="shared" si="221"/>
        <v>B-BCP - Soles</v>
      </c>
      <c r="C2773" s="3" t="s">
        <v>1330</v>
      </c>
      <c r="D2773" s="14">
        <v>45855</v>
      </c>
      <c r="E2773" s="5" t="s">
        <v>645</v>
      </c>
      <c r="F2773" s="5" t="s">
        <v>1303</v>
      </c>
      <c r="G2773" s="6" t="s">
        <v>425</v>
      </c>
      <c r="H2773" s="6" t="s">
        <v>68</v>
      </c>
      <c r="I2773" s="6" t="s">
        <v>3302</v>
      </c>
      <c r="J2773" s="6">
        <v>88</v>
      </c>
      <c r="K2773" s="7" t="s">
        <v>2394</v>
      </c>
      <c r="L2773" s="8">
        <v>2106230</v>
      </c>
      <c r="M2773" s="8" t="str">
        <f t="shared" si="222"/>
        <v>PEN</v>
      </c>
      <c r="N2773" s="13"/>
      <c r="O2773" s="13">
        <v>15400</v>
      </c>
      <c r="P2773" s="3">
        <f t="shared" si="223"/>
        <v>15400</v>
      </c>
      <c r="Q2773" s="3">
        <f t="shared" si="224"/>
        <v>0</v>
      </c>
      <c r="R2773" s="3">
        <f t="shared" si="225"/>
        <v>18538.050000000025</v>
      </c>
      <c r="S2773" s="24" t="s">
        <v>1334</v>
      </c>
      <c r="T2773" s="24" t="s">
        <v>1334</v>
      </c>
      <c r="U2773" s="55"/>
      <c r="V2773" s="25">
        <f>IFERROR(VLOOKUP(BCP_Soles[[#This Row],[destinatario]],CHOOSE({1,2},Clientes_Proveedores[Razon Social],Clientes_Proveedores[Ruc / Dni]),2,0),"")</f>
        <v>20558226979</v>
      </c>
      <c r="W2773" s="25"/>
      <c r="X2773" s="25"/>
      <c r="Y2773" s="25"/>
      <c r="Z2773" s="77"/>
      <c r="AA2773" s="3" t="str">
        <f>IF(BCP_Soles[[#This Row],[fecha]]&gt;0,TEXT(BCP_Soles[[#This Row],[fecha]],"mmmm"),0)</f>
        <v>Julio</v>
      </c>
    </row>
    <row r="2774" spans="1:27" ht="24" x14ac:dyDescent="0.3">
      <c r="A2774" s="2">
        <f>IF(BCP_Soles[[#This Row],[tipo_registro]]="R",COUNTIFS($C$1:$C2773,"R")+1,A2773)</f>
        <v>1982</v>
      </c>
      <c r="B2774" s="19" t="str">
        <f t="shared" si="221"/>
        <v>B-BCP - Soles</v>
      </c>
      <c r="C2774" s="3" t="s">
        <v>1330</v>
      </c>
      <c r="D2774" s="14">
        <v>45855</v>
      </c>
      <c r="E2774" s="5" t="s">
        <v>1505</v>
      </c>
      <c r="F2774" s="5" t="s">
        <v>1303</v>
      </c>
      <c r="G2774" s="6" t="s">
        <v>425</v>
      </c>
      <c r="H2774" s="6" t="s">
        <v>119</v>
      </c>
      <c r="I2774" s="6">
        <v>2</v>
      </c>
      <c r="J2774" s="6">
        <v>812</v>
      </c>
      <c r="K2774" s="7" t="s">
        <v>1356</v>
      </c>
      <c r="L2774" s="8">
        <v>3554221</v>
      </c>
      <c r="M2774" s="8" t="str">
        <f t="shared" si="222"/>
        <v>PEN</v>
      </c>
      <c r="N2774" s="13"/>
      <c r="O2774" s="13">
        <v>1300</v>
      </c>
      <c r="P2774" s="3">
        <f t="shared" si="223"/>
        <v>1300</v>
      </c>
      <c r="Q2774" s="3">
        <f t="shared" si="224"/>
        <v>0</v>
      </c>
      <c r="R2774" s="3">
        <f t="shared" si="225"/>
        <v>19838.050000000025</v>
      </c>
      <c r="S2774" s="24" t="s">
        <v>1334</v>
      </c>
      <c r="T2774" s="24" t="s">
        <v>1334</v>
      </c>
      <c r="U2774" s="55"/>
      <c r="V2774" s="25">
        <f>IFERROR(VLOOKUP(BCP_Soles[[#This Row],[destinatario]],CHOOSE({1,2},Clientes_Proveedores[Razon Social],Clientes_Proveedores[Ruc / Dni]),2,0),"")</f>
        <v>20558226979</v>
      </c>
      <c r="W2774" s="25"/>
      <c r="X2774" s="25"/>
      <c r="Y2774" s="25"/>
      <c r="Z2774" s="77"/>
      <c r="AA2774" s="3" t="str">
        <f>IF(BCP_Soles[[#This Row],[fecha]]&gt;0,TEXT(BCP_Soles[[#This Row],[fecha]],"mmmm"),0)</f>
        <v>Julio</v>
      </c>
    </row>
    <row r="2775" spans="1:27" ht="24" x14ac:dyDescent="0.3">
      <c r="A2775" s="2">
        <f>IF(BCP_Soles[[#This Row],[tipo_registro]]="R",COUNTIFS($C$1:$C2774,"R")+1,A2774)</f>
        <v>1983</v>
      </c>
      <c r="B2775" s="19" t="str">
        <f t="shared" si="221"/>
        <v>B-BCP - Soles</v>
      </c>
      <c r="C2775" s="3" t="s">
        <v>1330</v>
      </c>
      <c r="D2775" s="14">
        <v>45855</v>
      </c>
      <c r="E2775" s="5" t="s">
        <v>1338</v>
      </c>
      <c r="F2775" s="5" t="s">
        <v>1336</v>
      </c>
      <c r="G2775" s="6" t="s">
        <v>895</v>
      </c>
      <c r="H2775" s="6"/>
      <c r="I2775" s="6"/>
      <c r="J2775" s="6"/>
      <c r="K2775" s="7" t="s">
        <v>3925</v>
      </c>
      <c r="L2775" s="8">
        <v>1198955</v>
      </c>
      <c r="M2775" s="8" t="str">
        <f t="shared" si="222"/>
        <v>PEN</v>
      </c>
      <c r="N2775" s="13"/>
      <c r="O2775" s="13">
        <v>3000</v>
      </c>
      <c r="P2775" s="3">
        <f t="shared" si="223"/>
        <v>0</v>
      </c>
      <c r="Q2775" s="3">
        <f t="shared" si="224"/>
        <v>3000</v>
      </c>
      <c r="R2775" s="3">
        <f t="shared" si="225"/>
        <v>16838.050000000025</v>
      </c>
      <c r="S2775" s="24"/>
      <c r="T2775" s="24" t="s">
        <v>1334</v>
      </c>
      <c r="U2775" s="79" t="s">
        <v>3926</v>
      </c>
      <c r="V2775" s="25">
        <f>IFERROR(VLOOKUP(BCP_Soles[[#This Row],[destinatario]],CHOOSE({1,2},Clientes_Proveedores[Razon Social],Clientes_Proveedores[Ruc / Dni]),2,0),"")</f>
        <v>72144092</v>
      </c>
      <c r="W2775" s="25"/>
      <c r="X2775" s="25"/>
      <c r="Y2775" s="25"/>
      <c r="Z2775" s="77"/>
      <c r="AA2775" s="3" t="str">
        <f>IF(BCP_Soles[[#This Row],[fecha]]&gt;0,TEXT(BCP_Soles[[#This Row],[fecha]],"mmmm"),0)</f>
        <v>Julio</v>
      </c>
    </row>
    <row r="2776" spans="1:27" x14ac:dyDescent="0.3">
      <c r="A2776" s="2">
        <f>IF(BCP_Soles[[#This Row],[tipo_registro]]="R",COUNTIFS($C$1:$C2775,"R")+1,A2775)</f>
        <v>1984</v>
      </c>
      <c r="B2776" s="19" t="str">
        <f t="shared" ref="B2776:B2839" si="226">"B-BCP - Soles"</f>
        <v>B-BCP - Soles</v>
      </c>
      <c r="C2776" s="3" t="s">
        <v>1330</v>
      </c>
      <c r="D2776" s="14">
        <v>45855</v>
      </c>
      <c r="E2776" s="5" t="s">
        <v>1338</v>
      </c>
      <c r="F2776" s="5" t="s">
        <v>1336</v>
      </c>
      <c r="G2776" s="6" t="s">
        <v>696</v>
      </c>
      <c r="H2776" s="6"/>
      <c r="I2776" s="6"/>
      <c r="J2776" s="6"/>
      <c r="K2776" s="7" t="s">
        <v>3927</v>
      </c>
      <c r="L2776" s="8">
        <v>1645373</v>
      </c>
      <c r="M2776" s="8" t="str">
        <f t="shared" ref="M2776:M2839" si="227">"PEN"</f>
        <v>PEN</v>
      </c>
      <c r="N2776" s="13"/>
      <c r="O2776" s="13">
        <v>1794.56</v>
      </c>
      <c r="P2776" s="3">
        <f t="shared" ref="P2776:P2839" si="228">+IF(OR($F2776="SALDO",$F2776="INGRESO"),$O2776,0)</f>
        <v>0</v>
      </c>
      <c r="Q2776" s="3">
        <f t="shared" ref="Q2776:Q2839" si="229">+IF($F2776="EGRESO",$O2776,0)</f>
        <v>1794.56</v>
      </c>
      <c r="R2776" s="3">
        <f t="shared" si="225"/>
        <v>15043.490000000025</v>
      </c>
      <c r="S2776" s="24" t="s">
        <v>1334</v>
      </c>
      <c r="T2776" s="24" t="s">
        <v>1334</v>
      </c>
      <c r="U2776" s="79" t="s">
        <v>3928</v>
      </c>
      <c r="V2776" s="25">
        <f>IFERROR(VLOOKUP(BCP_Soles[[#This Row],[destinatario]],CHOOSE({1,2},Clientes_Proveedores[Razon Social],Clientes_Proveedores[Ruc / Dni]),2,0),"")</f>
        <v>0</v>
      </c>
      <c r="W2776" s="25"/>
      <c r="X2776" s="25"/>
      <c r="Y2776" s="25"/>
      <c r="Z2776" s="77"/>
      <c r="AA2776" s="3" t="str">
        <f>IF(BCP_Soles[[#This Row],[fecha]]&gt;0,TEXT(BCP_Soles[[#This Row],[fecha]],"mmmm"),0)</f>
        <v>Julio</v>
      </c>
    </row>
    <row r="2777" spans="1:27" x14ac:dyDescent="0.3">
      <c r="A2777" s="2">
        <f>IF(BCP_Soles[[#This Row],[tipo_registro]]="R",COUNTIFS($C$1:$C2776,"R")+1,A2776)</f>
        <v>1984</v>
      </c>
      <c r="B2777" s="19" t="str">
        <f t="shared" si="226"/>
        <v>B-BCP - Soles</v>
      </c>
      <c r="C2777" s="3" t="s">
        <v>1352</v>
      </c>
      <c r="D2777" s="14">
        <v>45855</v>
      </c>
      <c r="E2777" s="5" t="s">
        <v>1338</v>
      </c>
      <c r="F2777" s="5"/>
      <c r="G2777" s="6" t="s">
        <v>522</v>
      </c>
      <c r="H2777" s="6" t="s">
        <v>68</v>
      </c>
      <c r="I2777" s="6" t="s">
        <v>1376</v>
      </c>
      <c r="J2777" s="6">
        <v>4012</v>
      </c>
      <c r="K2777" s="7" t="s">
        <v>3927</v>
      </c>
      <c r="L2777" s="8">
        <v>1645373</v>
      </c>
      <c r="M2777" s="8" t="str">
        <f t="shared" si="227"/>
        <v>PEN</v>
      </c>
      <c r="N2777" s="13">
        <v>722.4</v>
      </c>
      <c r="O2777" s="13"/>
      <c r="P2777" s="3">
        <f t="shared" si="228"/>
        <v>0</v>
      </c>
      <c r="Q2777" s="3">
        <f t="shared" si="229"/>
        <v>0</v>
      </c>
      <c r="R2777" s="3">
        <f t="shared" si="225"/>
        <v>15043.490000000025</v>
      </c>
      <c r="S2777" s="24" t="s">
        <v>1334</v>
      </c>
      <c r="T2777" s="24" t="s">
        <v>1334</v>
      </c>
      <c r="U2777" s="79"/>
      <c r="V2777" s="25">
        <f>IFERROR(VLOOKUP(BCP_Soles[[#This Row],[destinatario]],CHOOSE({1,2},Clientes_Proveedores[Razon Social],Clientes_Proveedores[Ruc / Dni]),2,0),"")</f>
        <v>20603974817</v>
      </c>
      <c r="W2777" s="25"/>
      <c r="X2777" s="25"/>
      <c r="Y2777" s="25"/>
      <c r="Z2777" s="77"/>
      <c r="AA2777" s="3" t="str">
        <f>IF(BCP_Soles[[#This Row],[fecha]]&gt;0,TEXT(BCP_Soles[[#This Row],[fecha]],"mmmm"),0)</f>
        <v>Julio</v>
      </c>
    </row>
    <row r="2778" spans="1:27" ht="36" x14ac:dyDescent="0.3">
      <c r="A2778" s="2">
        <f>IF(BCP_Soles[[#This Row],[tipo_registro]]="R",COUNTIFS($C$1:$C2777,"R")+1,A2777)</f>
        <v>1984</v>
      </c>
      <c r="B2778" s="19" t="str">
        <f t="shared" si="226"/>
        <v>B-BCP - Soles</v>
      </c>
      <c r="C2778" s="3" t="s">
        <v>1352</v>
      </c>
      <c r="D2778" s="14">
        <v>45855</v>
      </c>
      <c r="E2778" s="5" t="s">
        <v>1338</v>
      </c>
      <c r="F2778" s="5"/>
      <c r="G2778" s="6" t="s">
        <v>383</v>
      </c>
      <c r="H2778" s="6" t="s">
        <v>68</v>
      </c>
      <c r="I2778" s="6" t="s">
        <v>1804</v>
      </c>
      <c r="J2778" s="6">
        <v>903</v>
      </c>
      <c r="K2778" s="7" t="s">
        <v>3927</v>
      </c>
      <c r="L2778" s="8">
        <v>1645373</v>
      </c>
      <c r="M2778" s="8" t="str">
        <f t="shared" si="227"/>
        <v>PEN</v>
      </c>
      <c r="N2778" s="13">
        <v>69.16</v>
      </c>
      <c r="O2778" s="13"/>
      <c r="P2778" s="3">
        <f t="shared" si="228"/>
        <v>0</v>
      </c>
      <c r="Q2778" s="3">
        <f t="shared" si="229"/>
        <v>0</v>
      </c>
      <c r="R2778" s="3">
        <f t="shared" si="225"/>
        <v>15043.490000000025</v>
      </c>
      <c r="S2778" s="24" t="s">
        <v>1334</v>
      </c>
      <c r="T2778" s="24" t="s">
        <v>1334</v>
      </c>
      <c r="U2778" s="79"/>
      <c r="V2778" s="25">
        <f>IFERROR(VLOOKUP(BCP_Soles[[#This Row],[destinatario]],CHOOSE({1,2},Clientes_Proveedores[Razon Social],Clientes_Proveedores[Ruc / Dni]),2,0),"")</f>
        <v>20538593053</v>
      </c>
      <c r="W2778" s="25"/>
      <c r="X2778" s="25"/>
      <c r="Y2778" s="25"/>
      <c r="Z2778" s="77"/>
      <c r="AA2778" s="3" t="str">
        <f>IF(BCP_Soles[[#This Row],[fecha]]&gt;0,TEXT(BCP_Soles[[#This Row],[fecha]],"mmmm"),0)</f>
        <v>Julio</v>
      </c>
    </row>
    <row r="2779" spans="1:27" x14ac:dyDescent="0.3">
      <c r="A2779" s="2">
        <f>IF(BCP_Soles[[#This Row],[tipo_registro]]="R",COUNTIFS($C$1:$C2778,"R")+1,A2778)</f>
        <v>1984</v>
      </c>
      <c r="B2779" s="19" t="str">
        <f t="shared" si="226"/>
        <v>B-BCP - Soles</v>
      </c>
      <c r="C2779" s="3" t="s">
        <v>1352</v>
      </c>
      <c r="D2779" s="14">
        <v>45855</v>
      </c>
      <c r="E2779" s="5" t="s">
        <v>1338</v>
      </c>
      <c r="F2779" s="5"/>
      <c r="G2779" s="6" t="s">
        <v>522</v>
      </c>
      <c r="H2779" s="6" t="s">
        <v>68</v>
      </c>
      <c r="I2779" s="6" t="s">
        <v>1376</v>
      </c>
      <c r="J2779" s="6">
        <v>4019</v>
      </c>
      <c r="K2779" s="7" t="s">
        <v>3927</v>
      </c>
      <c r="L2779" s="8">
        <v>1645373</v>
      </c>
      <c r="M2779" s="8" t="str">
        <f t="shared" si="227"/>
        <v>PEN</v>
      </c>
      <c r="N2779" s="13">
        <v>351.05</v>
      </c>
      <c r="O2779" s="13"/>
      <c r="P2779" s="3">
        <f t="shared" si="228"/>
        <v>0</v>
      </c>
      <c r="Q2779" s="3">
        <f t="shared" si="229"/>
        <v>0</v>
      </c>
      <c r="R2779" s="3">
        <f t="shared" si="225"/>
        <v>15043.490000000025</v>
      </c>
      <c r="S2779" s="24" t="s">
        <v>1334</v>
      </c>
      <c r="T2779" s="24" t="s">
        <v>1334</v>
      </c>
      <c r="U2779" s="79"/>
      <c r="V2779" s="25">
        <f>IFERROR(VLOOKUP(BCP_Soles[[#This Row],[destinatario]],CHOOSE({1,2},Clientes_Proveedores[Razon Social],Clientes_Proveedores[Ruc / Dni]),2,0),"")</f>
        <v>20603974817</v>
      </c>
      <c r="W2779" s="25"/>
      <c r="X2779" s="25"/>
      <c r="Y2779" s="25"/>
      <c r="Z2779" s="77"/>
      <c r="AA2779" s="3" t="str">
        <f>IF(BCP_Soles[[#This Row],[fecha]]&gt;0,TEXT(BCP_Soles[[#This Row],[fecha]],"mmmm"),0)</f>
        <v>Julio</v>
      </c>
    </row>
    <row r="2780" spans="1:27" x14ac:dyDescent="0.3">
      <c r="A2780" s="2">
        <f>IF(BCP_Soles[[#This Row],[tipo_registro]]="R",COUNTIFS($C$1:$C2779,"R")+1,A2779)</f>
        <v>1984</v>
      </c>
      <c r="B2780" s="19" t="str">
        <f t="shared" si="226"/>
        <v>B-BCP - Soles</v>
      </c>
      <c r="C2780" s="3" t="s">
        <v>1352</v>
      </c>
      <c r="D2780" s="14">
        <v>45855</v>
      </c>
      <c r="E2780" s="5" t="s">
        <v>1338</v>
      </c>
      <c r="F2780" s="5"/>
      <c r="G2780" s="6" t="s">
        <v>522</v>
      </c>
      <c r="H2780" s="6" t="s">
        <v>68</v>
      </c>
      <c r="I2780" s="6" t="s">
        <v>1376</v>
      </c>
      <c r="J2780" s="6">
        <v>4023</v>
      </c>
      <c r="K2780" s="7" t="s">
        <v>3927</v>
      </c>
      <c r="L2780" s="8">
        <v>1645373</v>
      </c>
      <c r="M2780" s="8" t="str">
        <f t="shared" si="227"/>
        <v>PEN</v>
      </c>
      <c r="N2780" s="13">
        <v>651.95000000000005</v>
      </c>
      <c r="O2780" s="13"/>
      <c r="P2780" s="3">
        <f t="shared" si="228"/>
        <v>0</v>
      </c>
      <c r="Q2780" s="3">
        <f t="shared" si="229"/>
        <v>0</v>
      </c>
      <c r="R2780" s="3">
        <f t="shared" si="225"/>
        <v>15043.490000000025</v>
      </c>
      <c r="S2780" s="24" t="s">
        <v>1334</v>
      </c>
      <c r="T2780" s="24" t="s">
        <v>1334</v>
      </c>
      <c r="U2780" s="79"/>
      <c r="V2780" s="25">
        <f>IFERROR(VLOOKUP(BCP_Soles[[#This Row],[destinatario]],CHOOSE({1,2},Clientes_Proveedores[Razon Social],Clientes_Proveedores[Ruc / Dni]),2,0),"")</f>
        <v>20603974817</v>
      </c>
      <c r="W2780" s="25"/>
      <c r="X2780" s="25"/>
      <c r="Y2780" s="25"/>
      <c r="Z2780" s="77"/>
      <c r="AA2780" s="3" t="str">
        <f>IF(BCP_Soles[[#This Row],[fecha]]&gt;0,TEXT(BCP_Soles[[#This Row],[fecha]],"mmmm"),0)</f>
        <v>Julio</v>
      </c>
    </row>
    <row r="2781" spans="1:27" ht="36" x14ac:dyDescent="0.3">
      <c r="A2781" s="2">
        <f>IF(BCP_Soles[[#This Row],[tipo_registro]]="R",COUNTIFS($C$1:$C2780,"R")+1,A2780)</f>
        <v>1985</v>
      </c>
      <c r="B2781" s="19" t="str">
        <f t="shared" si="226"/>
        <v>B-BCP - Soles</v>
      </c>
      <c r="C2781" s="3" t="s">
        <v>1330</v>
      </c>
      <c r="D2781" s="14">
        <v>45855</v>
      </c>
      <c r="E2781" s="5" t="s">
        <v>1338</v>
      </c>
      <c r="F2781" s="5" t="s">
        <v>1336</v>
      </c>
      <c r="G2781" s="6" t="s">
        <v>588</v>
      </c>
      <c r="H2781" s="6" t="s">
        <v>68</v>
      </c>
      <c r="I2781" s="6" t="s">
        <v>1376</v>
      </c>
      <c r="J2781" s="6">
        <v>462</v>
      </c>
      <c r="K2781" s="7" t="s">
        <v>3929</v>
      </c>
      <c r="L2781" s="8">
        <v>1203033</v>
      </c>
      <c r="M2781" s="8" t="str">
        <f t="shared" si="227"/>
        <v>PEN</v>
      </c>
      <c r="N2781" s="13"/>
      <c r="O2781" s="13">
        <v>70.680000000000007</v>
      </c>
      <c r="P2781" s="3">
        <f t="shared" si="228"/>
        <v>0</v>
      </c>
      <c r="Q2781" s="3">
        <f t="shared" si="229"/>
        <v>70.680000000000007</v>
      </c>
      <c r="R2781" s="3">
        <f t="shared" si="225"/>
        <v>14972.810000000025</v>
      </c>
      <c r="S2781" s="24" t="s">
        <v>1334</v>
      </c>
      <c r="T2781" s="24" t="s">
        <v>1334</v>
      </c>
      <c r="U2781" s="79" t="s">
        <v>3930</v>
      </c>
      <c r="V2781" s="25">
        <f>IFERROR(VLOOKUP(BCP_Soles[[#This Row],[destinatario]],CHOOSE({1,2},Clientes_Proveedores[Razon Social],Clientes_Proveedores[Ruc / Dni]),2,0),"")</f>
        <v>20609368773</v>
      </c>
      <c r="W2781" s="25"/>
      <c r="X2781" s="25"/>
      <c r="Y2781" s="25"/>
      <c r="Z2781" s="77"/>
      <c r="AA2781" s="3" t="str">
        <f>IF(BCP_Soles[[#This Row],[fecha]]&gt;0,TEXT(BCP_Soles[[#This Row],[fecha]],"mmmm"),0)</f>
        <v>Julio</v>
      </c>
    </row>
    <row r="2782" spans="1:27" x14ac:dyDescent="0.3">
      <c r="A2782" s="2">
        <f>IF(BCP_Soles[[#This Row],[tipo_registro]]="R",COUNTIFS($C$1:$C2781,"R")+1,A2781)</f>
        <v>1986</v>
      </c>
      <c r="B2782" s="19" t="str">
        <f t="shared" si="226"/>
        <v>B-BCP - Soles</v>
      </c>
      <c r="C2782" s="3" t="s">
        <v>1330</v>
      </c>
      <c r="D2782" s="14">
        <v>45855</v>
      </c>
      <c r="E2782" s="5" t="s">
        <v>1338</v>
      </c>
      <c r="F2782" s="5" t="s">
        <v>1336</v>
      </c>
      <c r="G2782" s="6" t="s">
        <v>196</v>
      </c>
      <c r="H2782" s="6" t="s">
        <v>68</v>
      </c>
      <c r="I2782" s="6" t="s">
        <v>2226</v>
      </c>
      <c r="J2782" s="6">
        <v>6623</v>
      </c>
      <c r="K2782" s="7" t="s">
        <v>2227</v>
      </c>
      <c r="L2782" s="8">
        <v>200176</v>
      </c>
      <c r="M2782" s="8" t="str">
        <f t="shared" si="227"/>
        <v>PEN</v>
      </c>
      <c r="N2782" s="13"/>
      <c r="O2782" s="13">
        <v>53.72</v>
      </c>
      <c r="P2782" s="3">
        <f t="shared" si="228"/>
        <v>0</v>
      </c>
      <c r="Q2782" s="3">
        <f t="shared" si="229"/>
        <v>53.72</v>
      </c>
      <c r="R2782" s="3">
        <f t="shared" si="225"/>
        <v>14919.090000000026</v>
      </c>
      <c r="S2782" s="24" t="s">
        <v>1334</v>
      </c>
      <c r="T2782" s="24" t="s">
        <v>1334</v>
      </c>
      <c r="U2782" s="79" t="s">
        <v>3931</v>
      </c>
      <c r="V2782" s="25">
        <f>IFERROR(VLOOKUP(BCP_Soles[[#This Row],[destinatario]],CHOOSE({1,2},Clientes_Proveedores[Razon Social],Clientes_Proveedores[Ruc / Dni]),2,0),"")</f>
        <v>20100055237</v>
      </c>
      <c r="W2782" s="25"/>
      <c r="X2782" s="25"/>
      <c r="Y2782" s="25"/>
      <c r="Z2782" s="77"/>
      <c r="AA2782" s="3" t="str">
        <f>IF(BCP_Soles[[#This Row],[fecha]]&gt;0,TEXT(BCP_Soles[[#This Row],[fecha]],"mmmm"),0)</f>
        <v>Julio</v>
      </c>
    </row>
    <row r="2783" spans="1:27" x14ac:dyDescent="0.3">
      <c r="A2783" s="2">
        <f>IF(BCP_Soles[[#This Row],[tipo_registro]]="R",COUNTIFS($C$1:$C2782,"R")+1,A2782)</f>
        <v>1987</v>
      </c>
      <c r="B2783" s="19" t="str">
        <f t="shared" si="226"/>
        <v>B-BCP - Soles</v>
      </c>
      <c r="C2783" s="3" t="s">
        <v>1330</v>
      </c>
      <c r="D2783" s="14">
        <v>45855</v>
      </c>
      <c r="E2783" s="5" t="s">
        <v>1338</v>
      </c>
      <c r="F2783" s="5" t="s">
        <v>1336</v>
      </c>
      <c r="G2783" s="6" t="s">
        <v>196</v>
      </c>
      <c r="H2783" s="6" t="s">
        <v>68</v>
      </c>
      <c r="I2783" s="6" t="s">
        <v>2226</v>
      </c>
      <c r="J2783" s="6">
        <v>6624</v>
      </c>
      <c r="K2783" s="7" t="s">
        <v>2227</v>
      </c>
      <c r="L2783" s="8">
        <v>201561</v>
      </c>
      <c r="M2783" s="8" t="str">
        <f t="shared" si="227"/>
        <v>PEN</v>
      </c>
      <c r="N2783" s="13"/>
      <c r="O2783" s="13">
        <v>307.08</v>
      </c>
      <c r="P2783" s="3">
        <f t="shared" si="228"/>
        <v>0</v>
      </c>
      <c r="Q2783" s="3">
        <f t="shared" si="229"/>
        <v>307.08</v>
      </c>
      <c r="R2783" s="3">
        <f t="shared" si="225"/>
        <v>14612.010000000026</v>
      </c>
      <c r="S2783" s="24" t="s">
        <v>1334</v>
      </c>
      <c r="T2783" s="24" t="s">
        <v>1334</v>
      </c>
      <c r="U2783" s="79" t="s">
        <v>3932</v>
      </c>
      <c r="V2783" s="25">
        <f>IFERROR(VLOOKUP(BCP_Soles[[#This Row],[destinatario]],CHOOSE({1,2},Clientes_Proveedores[Razon Social],Clientes_Proveedores[Ruc / Dni]),2,0),"")</f>
        <v>20100055237</v>
      </c>
      <c r="W2783" s="25"/>
      <c r="X2783" s="25"/>
      <c r="Y2783" s="25"/>
      <c r="Z2783" s="77"/>
      <c r="AA2783" s="3" t="str">
        <f>IF(BCP_Soles[[#This Row],[fecha]]&gt;0,TEXT(BCP_Soles[[#This Row],[fecha]],"mmmm"),0)</f>
        <v>Julio</v>
      </c>
    </row>
    <row r="2784" spans="1:27" x14ac:dyDescent="0.3">
      <c r="A2784" s="2">
        <f>IF(BCP_Soles[[#This Row],[tipo_registro]]="R",COUNTIFS($C$1:$C2783,"R")+1,A2783)</f>
        <v>1988</v>
      </c>
      <c r="B2784" s="19" t="str">
        <f t="shared" si="226"/>
        <v>B-BCP - Soles</v>
      </c>
      <c r="C2784" s="3" t="s">
        <v>1330</v>
      </c>
      <c r="D2784" s="14">
        <v>45855</v>
      </c>
      <c r="E2784" s="5" t="s">
        <v>1338</v>
      </c>
      <c r="F2784" s="5" t="s">
        <v>1336</v>
      </c>
      <c r="G2784" s="6" t="s">
        <v>196</v>
      </c>
      <c r="H2784" s="6" t="s">
        <v>68</v>
      </c>
      <c r="I2784" s="6" t="s">
        <v>2226</v>
      </c>
      <c r="J2784" s="6">
        <v>6625</v>
      </c>
      <c r="K2784" s="7" t="s">
        <v>2227</v>
      </c>
      <c r="L2784" s="8">
        <v>200614</v>
      </c>
      <c r="M2784" s="8" t="str">
        <f t="shared" si="227"/>
        <v>PEN</v>
      </c>
      <c r="N2784" s="13"/>
      <c r="O2784" s="13">
        <v>391.2</v>
      </c>
      <c r="P2784" s="3">
        <f t="shared" si="228"/>
        <v>0</v>
      </c>
      <c r="Q2784" s="3">
        <f t="shared" si="229"/>
        <v>391.2</v>
      </c>
      <c r="R2784" s="3">
        <f t="shared" si="225"/>
        <v>14220.810000000025</v>
      </c>
      <c r="S2784" s="24" t="s">
        <v>1334</v>
      </c>
      <c r="T2784" s="24" t="s">
        <v>1334</v>
      </c>
      <c r="U2784" s="79" t="s">
        <v>3933</v>
      </c>
      <c r="V2784" s="25">
        <f>IFERROR(VLOOKUP(BCP_Soles[[#This Row],[destinatario]],CHOOSE({1,2},Clientes_Proveedores[Razon Social],Clientes_Proveedores[Ruc / Dni]),2,0),"")</f>
        <v>20100055237</v>
      </c>
      <c r="W2784" s="25"/>
      <c r="X2784" s="25"/>
      <c r="Y2784" s="25"/>
      <c r="Z2784" s="77"/>
      <c r="AA2784" s="3" t="str">
        <f>IF(BCP_Soles[[#This Row],[fecha]]&gt;0,TEXT(BCP_Soles[[#This Row],[fecha]],"mmmm"),0)</f>
        <v>Julio</v>
      </c>
    </row>
    <row r="2785" spans="1:27" x14ac:dyDescent="0.3">
      <c r="A2785" s="2">
        <f>IF(BCP_Soles[[#This Row],[tipo_registro]]="R",COUNTIFS($C$1:$C2784,"R")+1,A2784)</f>
        <v>1989</v>
      </c>
      <c r="B2785" s="19" t="str">
        <f t="shared" si="226"/>
        <v>B-BCP - Soles</v>
      </c>
      <c r="C2785" s="3" t="s">
        <v>1330</v>
      </c>
      <c r="D2785" s="14">
        <v>45855</v>
      </c>
      <c r="E2785" s="5" t="s">
        <v>1338</v>
      </c>
      <c r="F2785" s="5" t="s">
        <v>1336</v>
      </c>
      <c r="G2785" s="6" t="s">
        <v>196</v>
      </c>
      <c r="H2785" s="6" t="s">
        <v>68</v>
      </c>
      <c r="I2785" s="6" t="s">
        <v>2226</v>
      </c>
      <c r="J2785" s="6">
        <v>6626</v>
      </c>
      <c r="K2785" s="7" t="s">
        <v>2227</v>
      </c>
      <c r="L2785" s="8">
        <v>203503</v>
      </c>
      <c r="M2785" s="8" t="str">
        <f t="shared" si="227"/>
        <v>PEN</v>
      </c>
      <c r="N2785" s="13"/>
      <c r="O2785" s="13">
        <v>94.51</v>
      </c>
      <c r="P2785" s="3">
        <f t="shared" si="228"/>
        <v>0</v>
      </c>
      <c r="Q2785" s="3">
        <f t="shared" si="229"/>
        <v>94.51</v>
      </c>
      <c r="R2785" s="3">
        <f t="shared" si="225"/>
        <v>14126.300000000025</v>
      </c>
      <c r="S2785" s="24" t="s">
        <v>1334</v>
      </c>
      <c r="T2785" s="24" t="s">
        <v>1334</v>
      </c>
      <c r="U2785" s="79" t="s">
        <v>3934</v>
      </c>
      <c r="V2785" s="25">
        <f>IFERROR(VLOOKUP(BCP_Soles[[#This Row],[destinatario]],CHOOSE({1,2},Clientes_Proveedores[Razon Social],Clientes_Proveedores[Ruc / Dni]),2,0),"")</f>
        <v>20100055237</v>
      </c>
      <c r="W2785" s="25"/>
      <c r="X2785" s="25"/>
      <c r="Y2785" s="25"/>
      <c r="Z2785" s="77"/>
      <c r="AA2785" s="3" t="str">
        <f>IF(BCP_Soles[[#This Row],[fecha]]&gt;0,TEXT(BCP_Soles[[#This Row],[fecha]],"mmmm"),0)</f>
        <v>Julio</v>
      </c>
    </row>
    <row r="2786" spans="1:27" x14ac:dyDescent="0.3">
      <c r="A2786" s="2">
        <f>IF(BCP_Soles[[#This Row],[tipo_registro]]="R",COUNTIFS($C$1:$C2785,"R")+1,A2785)</f>
        <v>1990</v>
      </c>
      <c r="B2786" s="19" t="str">
        <f t="shared" si="226"/>
        <v>B-BCP - Soles</v>
      </c>
      <c r="C2786" s="3" t="s">
        <v>1330</v>
      </c>
      <c r="D2786" s="14">
        <v>45855</v>
      </c>
      <c r="E2786" s="5" t="s">
        <v>1335</v>
      </c>
      <c r="F2786" s="5" t="s">
        <v>1336</v>
      </c>
      <c r="G2786" s="6" t="s">
        <v>1009</v>
      </c>
      <c r="H2786" s="6" t="s">
        <v>64</v>
      </c>
      <c r="I2786" s="6" t="s">
        <v>3673</v>
      </c>
      <c r="J2786" s="6">
        <v>1990</v>
      </c>
      <c r="K2786" s="7" t="s">
        <v>3160</v>
      </c>
      <c r="L2786" s="8"/>
      <c r="M2786" s="8" t="str">
        <f t="shared" si="227"/>
        <v>PEN</v>
      </c>
      <c r="N2786" s="13"/>
      <c r="O2786" s="13">
        <v>1</v>
      </c>
      <c r="P2786" s="3">
        <f t="shared" si="228"/>
        <v>0</v>
      </c>
      <c r="Q2786" s="3">
        <f t="shared" si="229"/>
        <v>1</v>
      </c>
      <c r="R2786" s="3">
        <f t="shared" si="225"/>
        <v>14125.300000000025</v>
      </c>
      <c r="S2786" s="24" t="s">
        <v>1334</v>
      </c>
      <c r="T2786" s="24" t="s">
        <v>1334</v>
      </c>
      <c r="U2786" s="55"/>
      <c r="V2786" s="25">
        <f>IFERROR(VLOOKUP(BCP_Soles[[#This Row],[destinatario]],CHOOSE({1,2},Clientes_Proveedores[Razon Social],Clientes_Proveedores[Ruc / Dni]),2,0),"")</f>
        <v>11111111</v>
      </c>
      <c r="W2786" s="25"/>
      <c r="X2786" s="25"/>
      <c r="Y2786" s="25"/>
      <c r="Z2786" s="77"/>
      <c r="AA2786" s="3" t="str">
        <f>IF(BCP_Soles[[#This Row],[fecha]]&gt;0,TEXT(BCP_Soles[[#This Row],[fecha]],"mmmm"),0)</f>
        <v>Julio</v>
      </c>
    </row>
    <row r="2787" spans="1:27" x14ac:dyDescent="0.3">
      <c r="A2787" s="2">
        <f>IF(BCP_Soles[[#This Row],[tipo_registro]]="R",COUNTIFS($C$1:$C2786,"R")+1,A2786)</f>
        <v>1991</v>
      </c>
      <c r="B2787" s="19" t="str">
        <f t="shared" si="226"/>
        <v>B-BCP - Soles</v>
      </c>
      <c r="C2787" s="3" t="s">
        <v>1330</v>
      </c>
      <c r="D2787" s="14">
        <v>45856</v>
      </c>
      <c r="E2787" s="5" t="s">
        <v>206</v>
      </c>
      <c r="F2787" s="5" t="s">
        <v>1303</v>
      </c>
      <c r="G2787" s="6" t="s">
        <v>425</v>
      </c>
      <c r="H2787" s="6" t="s">
        <v>68</v>
      </c>
      <c r="I2787" s="6" t="s">
        <v>1784</v>
      </c>
      <c r="J2787" s="6">
        <v>127</v>
      </c>
      <c r="K2787" s="7" t="s">
        <v>3935</v>
      </c>
      <c r="L2787" s="8">
        <v>2007604</v>
      </c>
      <c r="M2787" s="8" t="str">
        <f t="shared" si="227"/>
        <v>PEN</v>
      </c>
      <c r="N2787" s="13"/>
      <c r="O2787" s="13">
        <v>5652.2</v>
      </c>
      <c r="P2787" s="3">
        <f t="shared" si="228"/>
        <v>5652.2</v>
      </c>
      <c r="Q2787" s="3">
        <f t="shared" si="229"/>
        <v>0</v>
      </c>
      <c r="R2787" s="3">
        <f t="shared" si="225"/>
        <v>19777.500000000025</v>
      </c>
      <c r="S2787" s="24" t="s">
        <v>1334</v>
      </c>
      <c r="T2787" s="24" t="s">
        <v>1334</v>
      </c>
      <c r="U2787" s="55"/>
      <c r="V2787" s="25">
        <f>IFERROR(VLOOKUP(BCP_Soles[[#This Row],[destinatario]],CHOOSE({1,2},Clientes_Proveedores[Razon Social],Clientes_Proveedores[Ruc / Dni]),2,0),"")</f>
        <v>20558226979</v>
      </c>
      <c r="W2787" s="25"/>
      <c r="X2787" s="25"/>
      <c r="Y2787" s="25"/>
      <c r="Z2787" s="77"/>
      <c r="AA2787" s="3" t="str">
        <f>IF(BCP_Soles[[#This Row],[fecha]]&gt;0,TEXT(BCP_Soles[[#This Row],[fecha]],"mmmm"),0)</f>
        <v>Julio</v>
      </c>
    </row>
    <row r="2788" spans="1:27" x14ac:dyDescent="0.3">
      <c r="A2788" s="2">
        <f>IF(BCP_Soles[[#This Row],[tipo_registro]]="R",COUNTIFS($C$1:$C2787,"R")+1,A2787)</f>
        <v>1992</v>
      </c>
      <c r="B2788" s="19" t="str">
        <f t="shared" si="226"/>
        <v>B-BCP - Soles</v>
      </c>
      <c r="C2788" s="3" t="s">
        <v>1330</v>
      </c>
      <c r="D2788" s="14">
        <v>45856</v>
      </c>
      <c r="E2788" s="5" t="s">
        <v>196</v>
      </c>
      <c r="F2788" s="5" t="s">
        <v>1303</v>
      </c>
      <c r="G2788" s="6" t="s">
        <v>425</v>
      </c>
      <c r="H2788" s="6" t="s">
        <v>68</v>
      </c>
      <c r="I2788" s="6" t="s">
        <v>1784</v>
      </c>
      <c r="J2788" s="6">
        <v>120</v>
      </c>
      <c r="K2788" s="7" t="s">
        <v>3936</v>
      </c>
      <c r="L2788" s="8">
        <v>15361</v>
      </c>
      <c r="M2788" s="8" t="str">
        <f t="shared" si="227"/>
        <v>PEN</v>
      </c>
      <c r="N2788" s="13"/>
      <c r="O2788" s="13">
        <v>2700.36</v>
      </c>
      <c r="P2788" s="3">
        <f t="shared" si="228"/>
        <v>2700.36</v>
      </c>
      <c r="Q2788" s="3">
        <f t="shared" si="229"/>
        <v>0</v>
      </c>
      <c r="R2788" s="3">
        <f t="shared" si="225"/>
        <v>22477.860000000026</v>
      </c>
      <c r="S2788" s="24" t="s">
        <v>1334</v>
      </c>
      <c r="T2788" s="24" t="s">
        <v>1334</v>
      </c>
      <c r="U2788" s="55"/>
      <c r="V2788" s="25">
        <f>IFERROR(VLOOKUP(BCP_Soles[[#This Row],[destinatario]],CHOOSE({1,2},Clientes_Proveedores[Razon Social],Clientes_Proveedores[Ruc / Dni]),2,0),"")</f>
        <v>20558226979</v>
      </c>
      <c r="W2788" s="25"/>
      <c r="X2788" s="25"/>
      <c r="Y2788" s="25"/>
      <c r="Z2788" s="77"/>
      <c r="AA2788" s="3" t="str">
        <f>IF(BCP_Soles[[#This Row],[fecha]]&gt;0,TEXT(BCP_Soles[[#This Row],[fecha]],"mmmm"),0)</f>
        <v>Julio</v>
      </c>
    </row>
    <row r="2789" spans="1:27" ht="60" x14ac:dyDescent="0.3">
      <c r="A2789" s="2">
        <f>IF(BCP_Soles[[#This Row],[tipo_registro]]="R",COUNTIFS($C$1:$C2788,"R")+1,A2788)</f>
        <v>1993</v>
      </c>
      <c r="B2789" s="19" t="str">
        <f t="shared" si="226"/>
        <v>B-BCP - Soles</v>
      </c>
      <c r="C2789" s="3" t="s">
        <v>1330</v>
      </c>
      <c r="D2789" s="14">
        <v>45856</v>
      </c>
      <c r="E2789" s="5" t="s">
        <v>403</v>
      </c>
      <c r="F2789" s="5" t="s">
        <v>1303</v>
      </c>
      <c r="G2789" s="6" t="s">
        <v>425</v>
      </c>
      <c r="H2789" s="6" t="s">
        <v>68</v>
      </c>
      <c r="I2789" s="6" t="s">
        <v>1784</v>
      </c>
      <c r="J2789" s="6">
        <v>39</v>
      </c>
      <c r="K2789" s="7" t="s">
        <v>3937</v>
      </c>
      <c r="L2789" s="8">
        <v>2118277</v>
      </c>
      <c r="M2789" s="8" t="str">
        <f t="shared" si="227"/>
        <v>PEN</v>
      </c>
      <c r="N2789" s="13"/>
      <c r="O2789" s="13">
        <v>869.49</v>
      </c>
      <c r="P2789" s="3">
        <f t="shared" si="228"/>
        <v>869.49</v>
      </c>
      <c r="Q2789" s="3">
        <f t="shared" si="229"/>
        <v>0</v>
      </c>
      <c r="R2789" s="3">
        <f t="shared" si="225"/>
        <v>23347.350000000028</v>
      </c>
      <c r="S2789" s="24" t="s">
        <v>1334</v>
      </c>
      <c r="T2789" s="24" t="s">
        <v>1334</v>
      </c>
      <c r="U2789" s="55"/>
      <c r="V2789" s="25">
        <f>IFERROR(VLOOKUP(BCP_Soles[[#This Row],[destinatario]],CHOOSE({1,2},Clientes_Proveedores[Razon Social],Clientes_Proveedores[Ruc / Dni]),2,0),"")</f>
        <v>20558226979</v>
      </c>
      <c r="W2789" s="25"/>
      <c r="X2789" s="25"/>
      <c r="Y2789" s="25"/>
      <c r="Z2789" s="77"/>
      <c r="AA2789" s="3" t="str">
        <f>IF(BCP_Soles[[#This Row],[fecha]]&gt;0,TEXT(BCP_Soles[[#This Row],[fecha]],"mmmm"),0)</f>
        <v>Julio</v>
      </c>
    </row>
    <row r="2790" spans="1:27" ht="36" x14ac:dyDescent="0.3">
      <c r="A2790" s="2">
        <f>IF(BCP_Soles[[#This Row],[tipo_registro]]="R",COUNTIFS($C$1:$C2789,"R")+1,A2789)</f>
        <v>1994</v>
      </c>
      <c r="B2790" s="19" t="str">
        <f t="shared" si="226"/>
        <v>B-BCP - Soles</v>
      </c>
      <c r="C2790" s="3" t="s">
        <v>1330</v>
      </c>
      <c r="D2790" s="14">
        <v>45856</v>
      </c>
      <c r="E2790" s="5" t="s">
        <v>660</v>
      </c>
      <c r="F2790" s="5" t="s">
        <v>1303</v>
      </c>
      <c r="G2790" s="6" t="s">
        <v>425</v>
      </c>
      <c r="H2790" s="6" t="s">
        <v>68</v>
      </c>
      <c r="I2790" s="6" t="s">
        <v>3302</v>
      </c>
      <c r="J2790" s="6">
        <v>94</v>
      </c>
      <c r="K2790" s="7" t="s">
        <v>1356</v>
      </c>
      <c r="L2790" s="8">
        <v>1479558</v>
      </c>
      <c r="M2790" s="8" t="str">
        <f t="shared" si="227"/>
        <v>PEN</v>
      </c>
      <c r="N2790" s="13"/>
      <c r="O2790" s="13">
        <v>684.4</v>
      </c>
      <c r="P2790" s="3">
        <f t="shared" si="228"/>
        <v>684.4</v>
      </c>
      <c r="Q2790" s="3">
        <f t="shared" si="229"/>
        <v>0</v>
      </c>
      <c r="R2790" s="3">
        <f t="shared" si="225"/>
        <v>24031.750000000029</v>
      </c>
      <c r="S2790" s="24" t="s">
        <v>1334</v>
      </c>
      <c r="T2790" s="24" t="s">
        <v>1334</v>
      </c>
      <c r="U2790" s="55"/>
      <c r="V2790" s="25">
        <f>IFERROR(VLOOKUP(BCP_Soles[[#This Row],[destinatario]],CHOOSE({1,2},Clientes_Proveedores[Razon Social],Clientes_Proveedores[Ruc / Dni]),2,0),"")</f>
        <v>20558226979</v>
      </c>
      <c r="W2790" s="25"/>
      <c r="X2790" s="25"/>
      <c r="Y2790" s="25"/>
      <c r="Z2790" s="77"/>
      <c r="AA2790" s="3" t="str">
        <f>IF(BCP_Soles[[#This Row],[fecha]]&gt;0,TEXT(BCP_Soles[[#This Row],[fecha]],"mmmm"),0)</f>
        <v>Julio</v>
      </c>
    </row>
    <row r="2791" spans="1:27" ht="36" x14ac:dyDescent="0.3">
      <c r="A2791" s="2">
        <f>IF(BCP_Soles[[#This Row],[tipo_registro]]="R",COUNTIFS($C$1:$C2790,"R")+1,A2790)</f>
        <v>1995</v>
      </c>
      <c r="B2791" s="19" t="str">
        <f t="shared" si="226"/>
        <v>B-BCP - Soles</v>
      </c>
      <c r="C2791" s="3" t="s">
        <v>1330</v>
      </c>
      <c r="D2791" s="14">
        <v>45856</v>
      </c>
      <c r="E2791" s="5" t="s">
        <v>1338</v>
      </c>
      <c r="F2791" s="5" t="s">
        <v>1336</v>
      </c>
      <c r="G2791" s="6" t="s">
        <v>702</v>
      </c>
      <c r="H2791" s="6" t="s">
        <v>68</v>
      </c>
      <c r="I2791" s="6" t="s">
        <v>3515</v>
      </c>
      <c r="J2791" s="6">
        <v>381043</v>
      </c>
      <c r="K2791" s="7" t="s">
        <v>3938</v>
      </c>
      <c r="L2791" s="8">
        <v>1130885</v>
      </c>
      <c r="M2791" s="8" t="str">
        <f t="shared" si="227"/>
        <v>PEN</v>
      </c>
      <c r="N2791" s="13"/>
      <c r="O2791" s="13">
        <v>153</v>
      </c>
      <c r="P2791" s="3">
        <f t="shared" si="228"/>
        <v>0</v>
      </c>
      <c r="Q2791" s="3">
        <f t="shared" si="229"/>
        <v>153</v>
      </c>
      <c r="R2791" s="3">
        <f t="shared" si="225"/>
        <v>23878.750000000029</v>
      </c>
      <c r="S2791" s="24" t="s">
        <v>1334</v>
      </c>
      <c r="T2791" s="24" t="s">
        <v>1334</v>
      </c>
      <c r="U2791" s="79" t="s">
        <v>3939</v>
      </c>
      <c r="V2791" s="25">
        <f>IFERROR(VLOOKUP(BCP_Soles[[#This Row],[destinatario]],CHOOSE({1,2},Clientes_Proveedores[Razon Social],Clientes_Proveedores[Ruc / Dni]),2,0),"")</f>
        <v>20454073143</v>
      </c>
      <c r="W2791" s="25"/>
      <c r="X2791" s="25"/>
      <c r="Y2791" s="25"/>
      <c r="Z2791" s="77"/>
      <c r="AA2791" s="3" t="str">
        <f>IF(BCP_Soles[[#This Row],[fecha]]&gt;0,TEXT(BCP_Soles[[#This Row],[fecha]],"mmmm"),0)</f>
        <v>Julio</v>
      </c>
    </row>
    <row r="2792" spans="1:27" ht="24" x14ac:dyDescent="0.3">
      <c r="A2792" s="2">
        <f>IF(BCP_Soles[[#This Row],[tipo_registro]]="R",COUNTIFS($C$1:$C2791,"R")+1,A2791)</f>
        <v>1996</v>
      </c>
      <c r="B2792" s="19" t="str">
        <f t="shared" si="226"/>
        <v>B-BCP - Soles</v>
      </c>
      <c r="C2792" s="3" t="s">
        <v>1330</v>
      </c>
      <c r="D2792" s="14">
        <v>45856</v>
      </c>
      <c r="E2792" s="5" t="s">
        <v>1338</v>
      </c>
      <c r="F2792" s="5" t="s">
        <v>1336</v>
      </c>
      <c r="G2792" s="6" t="s">
        <v>249</v>
      </c>
      <c r="H2792" s="6"/>
      <c r="I2792" s="6"/>
      <c r="J2792" s="6"/>
      <c r="K2792" s="7" t="s">
        <v>3940</v>
      </c>
      <c r="L2792" s="8">
        <v>1130400</v>
      </c>
      <c r="M2792" s="8" t="str">
        <f t="shared" si="227"/>
        <v>PEN</v>
      </c>
      <c r="N2792" s="13"/>
      <c r="O2792" s="13">
        <v>3000</v>
      </c>
      <c r="P2792" s="3">
        <f t="shared" si="228"/>
        <v>0</v>
      </c>
      <c r="Q2792" s="3">
        <f t="shared" si="229"/>
        <v>3000</v>
      </c>
      <c r="R2792" s="3">
        <f t="shared" si="225"/>
        <v>20878.750000000029</v>
      </c>
      <c r="S2792" s="24"/>
      <c r="T2792" s="24" t="s">
        <v>1334</v>
      </c>
      <c r="U2792" s="79" t="s">
        <v>3941</v>
      </c>
      <c r="V2792" s="25">
        <f>IFERROR(VLOOKUP(BCP_Soles[[#This Row],[destinatario]],CHOOSE({1,2},Clientes_Proveedores[Razon Social],Clientes_Proveedores[Ruc / Dni]),2,0),"")</f>
        <v>20302891452</v>
      </c>
      <c r="W2792" s="25"/>
      <c r="X2792" s="25"/>
      <c r="Y2792" s="25"/>
      <c r="Z2792" s="77"/>
      <c r="AA2792" s="3" t="str">
        <f>IF(BCP_Soles[[#This Row],[fecha]]&gt;0,TEXT(BCP_Soles[[#This Row],[fecha]],"mmmm"),0)</f>
        <v>Julio</v>
      </c>
    </row>
    <row r="2793" spans="1:27" x14ac:dyDescent="0.3">
      <c r="A2793" s="2">
        <f>IF(BCP_Soles[[#This Row],[tipo_registro]]="R",COUNTIFS($C$1:$C2792,"R")+1,A2792)</f>
        <v>1997</v>
      </c>
      <c r="B2793" s="19" t="str">
        <f t="shared" si="226"/>
        <v>B-BCP - Soles</v>
      </c>
      <c r="C2793" s="3" t="s">
        <v>1330</v>
      </c>
      <c r="D2793" s="14">
        <v>45856</v>
      </c>
      <c r="E2793" s="5" t="s">
        <v>1338</v>
      </c>
      <c r="F2793" s="5" t="s">
        <v>1336</v>
      </c>
      <c r="G2793" s="6" t="s">
        <v>988</v>
      </c>
      <c r="H2793" s="6" t="s">
        <v>68</v>
      </c>
      <c r="I2793" s="6" t="s">
        <v>1374</v>
      </c>
      <c r="J2793" s="6">
        <v>17084</v>
      </c>
      <c r="K2793" s="7" t="s">
        <v>3942</v>
      </c>
      <c r="L2793" s="8">
        <v>1265337</v>
      </c>
      <c r="M2793" s="8" t="str">
        <f t="shared" si="227"/>
        <v>PEN</v>
      </c>
      <c r="N2793" s="13"/>
      <c r="O2793" s="13">
        <v>1050</v>
      </c>
      <c r="P2793" s="3">
        <f t="shared" si="228"/>
        <v>0</v>
      </c>
      <c r="Q2793" s="3">
        <f t="shared" si="229"/>
        <v>1050</v>
      </c>
      <c r="R2793" s="3">
        <f t="shared" si="225"/>
        <v>19828.750000000029</v>
      </c>
      <c r="S2793" s="24" t="s">
        <v>1334</v>
      </c>
      <c r="T2793" s="24" t="s">
        <v>1334</v>
      </c>
      <c r="U2793" s="79" t="s">
        <v>3943</v>
      </c>
      <c r="V2793" s="25">
        <f>IFERROR(VLOOKUP(BCP_Soles[[#This Row],[destinatario]],CHOOSE({1,2},Clientes_Proveedores[Razon Social],Clientes_Proveedores[Ruc / Dni]),2,0),"")</f>
        <v>20609629739</v>
      </c>
      <c r="W2793" s="25"/>
      <c r="X2793" s="25"/>
      <c r="Y2793" s="25"/>
      <c r="Z2793" s="77"/>
      <c r="AA2793" s="3" t="str">
        <f>IF(BCP_Soles[[#This Row],[fecha]]&gt;0,TEXT(BCP_Soles[[#This Row],[fecha]],"mmmm"),0)</f>
        <v>Julio</v>
      </c>
    </row>
    <row r="2794" spans="1:27" x14ac:dyDescent="0.3">
      <c r="A2794" s="2">
        <f>IF(BCP_Soles[[#This Row],[tipo_registro]]="R",COUNTIFS($C$1:$C2793,"R")+1,A2793)</f>
        <v>1998</v>
      </c>
      <c r="B2794" s="19" t="str">
        <f t="shared" si="226"/>
        <v>B-BCP - Soles</v>
      </c>
      <c r="C2794" s="3" t="s">
        <v>1330</v>
      </c>
      <c r="D2794" s="14">
        <v>45856</v>
      </c>
      <c r="E2794" s="5" t="s">
        <v>1338</v>
      </c>
      <c r="F2794" s="5" t="s">
        <v>1336</v>
      </c>
      <c r="G2794" s="6" t="s">
        <v>696</v>
      </c>
      <c r="H2794" s="6"/>
      <c r="I2794" s="6"/>
      <c r="J2794" s="6"/>
      <c r="K2794" s="7" t="s">
        <v>3944</v>
      </c>
      <c r="L2794" s="8">
        <v>2131849</v>
      </c>
      <c r="M2794" s="8" t="str">
        <f t="shared" si="227"/>
        <v>PEN</v>
      </c>
      <c r="N2794" s="13"/>
      <c r="O2794" s="13">
        <v>3789.64</v>
      </c>
      <c r="P2794" s="3">
        <f t="shared" si="228"/>
        <v>0</v>
      </c>
      <c r="Q2794" s="3">
        <f t="shared" si="229"/>
        <v>3789.64</v>
      </c>
      <c r="R2794" s="3">
        <f t="shared" si="225"/>
        <v>16039.11000000003</v>
      </c>
      <c r="S2794" s="24" t="s">
        <v>1334</v>
      </c>
      <c r="T2794" s="24" t="s">
        <v>1334</v>
      </c>
      <c r="U2794" s="79" t="s">
        <v>3945</v>
      </c>
      <c r="V2794" s="25">
        <f>IFERROR(VLOOKUP(BCP_Soles[[#This Row],[destinatario]],CHOOSE({1,2},Clientes_Proveedores[Razon Social],Clientes_Proveedores[Ruc / Dni]),2,0),"")</f>
        <v>0</v>
      </c>
      <c r="W2794" s="25"/>
      <c r="X2794" s="25"/>
      <c r="Y2794" s="25"/>
      <c r="Z2794" s="77"/>
      <c r="AA2794" s="3" t="str">
        <f>IF(BCP_Soles[[#This Row],[fecha]]&gt;0,TEXT(BCP_Soles[[#This Row],[fecha]],"mmmm"),0)</f>
        <v>Julio</v>
      </c>
    </row>
    <row r="2795" spans="1:27" x14ac:dyDescent="0.3">
      <c r="A2795" s="2">
        <f>IF(BCP_Soles[[#This Row],[tipo_registro]]="R",COUNTIFS($C$1:$C2794,"R")+1,A2794)</f>
        <v>1998</v>
      </c>
      <c r="B2795" s="19" t="str">
        <f t="shared" si="226"/>
        <v>B-BCP - Soles</v>
      </c>
      <c r="C2795" s="3" t="s">
        <v>1352</v>
      </c>
      <c r="D2795" s="14">
        <v>45856</v>
      </c>
      <c r="E2795" s="5" t="s">
        <v>1338</v>
      </c>
      <c r="F2795" s="5"/>
      <c r="G2795" s="6" t="s">
        <v>522</v>
      </c>
      <c r="H2795" s="6" t="s">
        <v>68</v>
      </c>
      <c r="I2795" s="6" t="s">
        <v>1376</v>
      </c>
      <c r="J2795" s="6">
        <v>4007</v>
      </c>
      <c r="K2795" s="7" t="s">
        <v>3944</v>
      </c>
      <c r="L2795" s="8">
        <v>2131849</v>
      </c>
      <c r="M2795" s="8" t="str">
        <f t="shared" si="227"/>
        <v>PEN</v>
      </c>
      <c r="N2795" s="13">
        <v>531.59</v>
      </c>
      <c r="O2795" s="13"/>
      <c r="P2795" s="3">
        <f t="shared" si="228"/>
        <v>0</v>
      </c>
      <c r="Q2795" s="3">
        <f t="shared" si="229"/>
        <v>0</v>
      </c>
      <c r="R2795" s="3">
        <f t="shared" si="225"/>
        <v>16039.11000000003</v>
      </c>
      <c r="S2795" s="24" t="s">
        <v>1334</v>
      </c>
      <c r="T2795" s="24" t="s">
        <v>1334</v>
      </c>
      <c r="U2795" s="79"/>
      <c r="V2795" s="25">
        <f>IFERROR(VLOOKUP(BCP_Soles[[#This Row],[destinatario]],CHOOSE({1,2},Clientes_Proveedores[Razon Social],Clientes_Proveedores[Ruc / Dni]),2,0),"")</f>
        <v>20603974817</v>
      </c>
      <c r="W2795" s="25"/>
      <c r="X2795" s="25"/>
      <c r="Y2795" s="25"/>
      <c r="Z2795" s="77"/>
      <c r="AA2795" s="3" t="str">
        <f>IF(BCP_Soles[[#This Row],[fecha]]&gt;0,TEXT(BCP_Soles[[#This Row],[fecha]],"mmmm"),0)</f>
        <v>Julio</v>
      </c>
    </row>
    <row r="2796" spans="1:27" ht="24" x14ac:dyDescent="0.3">
      <c r="A2796" s="2">
        <f>IF(BCP_Soles[[#This Row],[tipo_registro]]="R",COUNTIFS($C$1:$C2795,"R")+1,A2795)</f>
        <v>1998</v>
      </c>
      <c r="B2796" s="19" t="str">
        <f t="shared" si="226"/>
        <v>B-BCP - Soles</v>
      </c>
      <c r="C2796" s="3" t="s">
        <v>1352</v>
      </c>
      <c r="D2796" s="14">
        <v>45856</v>
      </c>
      <c r="E2796" s="5" t="s">
        <v>1338</v>
      </c>
      <c r="F2796" s="5"/>
      <c r="G2796" s="6" t="s">
        <v>166</v>
      </c>
      <c r="H2796" s="6" t="s">
        <v>68</v>
      </c>
      <c r="I2796" s="6" t="s">
        <v>1376</v>
      </c>
      <c r="J2796" s="6">
        <v>5083</v>
      </c>
      <c r="K2796" s="7" t="s">
        <v>3944</v>
      </c>
      <c r="L2796" s="8">
        <v>2131849</v>
      </c>
      <c r="M2796" s="8" t="str">
        <f t="shared" si="227"/>
        <v>PEN</v>
      </c>
      <c r="N2796" s="13">
        <v>59</v>
      </c>
      <c r="O2796" s="13"/>
      <c r="P2796" s="3">
        <f t="shared" si="228"/>
        <v>0</v>
      </c>
      <c r="Q2796" s="3">
        <f t="shared" si="229"/>
        <v>0</v>
      </c>
      <c r="R2796" s="3">
        <f t="shared" si="225"/>
        <v>16039.11000000003</v>
      </c>
      <c r="S2796" s="24" t="s">
        <v>1334</v>
      </c>
      <c r="T2796" s="24" t="s">
        <v>1334</v>
      </c>
      <c r="U2796" s="79"/>
      <c r="V2796" s="25">
        <f>IFERROR(VLOOKUP(BCP_Soles[[#This Row],[destinatario]],CHOOSE({1,2},Clientes_Proveedores[Razon Social],Clientes_Proveedores[Ruc / Dni]),2,0),"")</f>
        <v>10425371652</v>
      </c>
      <c r="W2796" s="25"/>
      <c r="X2796" s="25"/>
      <c r="Y2796" s="25"/>
      <c r="Z2796" s="77"/>
      <c r="AA2796" s="3" t="str">
        <f>IF(BCP_Soles[[#This Row],[fecha]]&gt;0,TEXT(BCP_Soles[[#This Row],[fecha]],"mmmm"),0)</f>
        <v>Julio</v>
      </c>
    </row>
    <row r="2797" spans="1:27" ht="24" x14ac:dyDescent="0.3">
      <c r="A2797" s="2">
        <f>IF(BCP_Soles[[#This Row],[tipo_registro]]="R",COUNTIFS($C$1:$C2796,"R")+1,A2796)</f>
        <v>1998</v>
      </c>
      <c r="B2797" s="19" t="str">
        <f t="shared" si="226"/>
        <v>B-BCP - Soles</v>
      </c>
      <c r="C2797" s="3" t="s">
        <v>1352</v>
      </c>
      <c r="D2797" s="14">
        <v>45856</v>
      </c>
      <c r="E2797" s="5" t="s">
        <v>1338</v>
      </c>
      <c r="F2797" s="5"/>
      <c r="G2797" s="6" t="s">
        <v>271</v>
      </c>
      <c r="H2797" s="6" t="s">
        <v>68</v>
      </c>
      <c r="I2797" s="6" t="s">
        <v>1375</v>
      </c>
      <c r="J2797" s="6">
        <v>6949</v>
      </c>
      <c r="K2797" s="7" t="s">
        <v>3944</v>
      </c>
      <c r="L2797" s="8">
        <v>2131849</v>
      </c>
      <c r="M2797" s="8" t="str">
        <f t="shared" si="227"/>
        <v>PEN</v>
      </c>
      <c r="N2797" s="13">
        <v>772</v>
      </c>
      <c r="O2797" s="13"/>
      <c r="P2797" s="3">
        <f t="shared" si="228"/>
        <v>0</v>
      </c>
      <c r="Q2797" s="3">
        <f t="shared" si="229"/>
        <v>0</v>
      </c>
      <c r="R2797" s="3">
        <f t="shared" si="225"/>
        <v>16039.11000000003</v>
      </c>
      <c r="S2797" s="24" t="s">
        <v>1334</v>
      </c>
      <c r="T2797" s="24" t="s">
        <v>1334</v>
      </c>
      <c r="U2797" s="79"/>
      <c r="V2797" s="25">
        <f>IFERROR(VLOOKUP(BCP_Soles[[#This Row],[destinatario]],CHOOSE({1,2},Clientes_Proveedores[Razon Social],Clientes_Proveedores[Ruc / Dni]),2,0),"")</f>
        <v>20419158462</v>
      </c>
      <c r="W2797" s="25"/>
      <c r="X2797" s="25"/>
      <c r="Y2797" s="25"/>
      <c r="Z2797" s="77"/>
      <c r="AA2797" s="3" t="str">
        <f>IF(BCP_Soles[[#This Row],[fecha]]&gt;0,TEXT(BCP_Soles[[#This Row],[fecha]],"mmmm"),0)</f>
        <v>Julio</v>
      </c>
    </row>
    <row r="2798" spans="1:27" x14ac:dyDescent="0.3">
      <c r="A2798" s="2">
        <f>IF(BCP_Soles[[#This Row],[tipo_registro]]="R",COUNTIFS($C$1:$C2797,"R")+1,A2797)</f>
        <v>1998</v>
      </c>
      <c r="B2798" s="19" t="str">
        <f t="shared" si="226"/>
        <v>B-BCP - Soles</v>
      </c>
      <c r="C2798" s="3" t="s">
        <v>1352</v>
      </c>
      <c r="D2798" s="14">
        <v>45856</v>
      </c>
      <c r="E2798" s="5" t="s">
        <v>1338</v>
      </c>
      <c r="F2798" s="5"/>
      <c r="G2798" s="6" t="s">
        <v>522</v>
      </c>
      <c r="H2798" s="6" t="s">
        <v>68</v>
      </c>
      <c r="I2798" s="6" t="s">
        <v>1376</v>
      </c>
      <c r="J2798" s="6">
        <v>4016</v>
      </c>
      <c r="K2798" s="7" t="s">
        <v>3944</v>
      </c>
      <c r="L2798" s="8">
        <v>2131849</v>
      </c>
      <c r="M2798" s="8" t="str">
        <f t="shared" si="227"/>
        <v>PEN</v>
      </c>
      <c r="N2798" s="13">
        <v>351.05</v>
      </c>
      <c r="O2798" s="13"/>
      <c r="P2798" s="3">
        <f t="shared" si="228"/>
        <v>0</v>
      </c>
      <c r="Q2798" s="3">
        <f t="shared" si="229"/>
        <v>0</v>
      </c>
      <c r="R2798" s="3">
        <f t="shared" si="225"/>
        <v>16039.11000000003</v>
      </c>
      <c r="S2798" s="24" t="s">
        <v>1334</v>
      </c>
      <c r="T2798" s="24" t="s">
        <v>1334</v>
      </c>
      <c r="U2798" s="79"/>
      <c r="V2798" s="25">
        <f>IFERROR(VLOOKUP(BCP_Soles[[#This Row],[destinatario]],CHOOSE({1,2},Clientes_Proveedores[Razon Social],Clientes_Proveedores[Ruc / Dni]),2,0),"")</f>
        <v>20603974817</v>
      </c>
      <c r="W2798" s="25"/>
      <c r="X2798" s="25"/>
      <c r="Y2798" s="25"/>
      <c r="Z2798" s="77"/>
      <c r="AA2798" s="3" t="str">
        <f>IF(BCP_Soles[[#This Row],[fecha]]&gt;0,TEXT(BCP_Soles[[#This Row],[fecha]],"mmmm"),0)</f>
        <v>Julio</v>
      </c>
    </row>
    <row r="2799" spans="1:27" ht="36" x14ac:dyDescent="0.3">
      <c r="A2799" s="2">
        <f>IF(BCP_Soles[[#This Row],[tipo_registro]]="R",COUNTIFS($C$1:$C2798,"R")+1,A2798)</f>
        <v>1998</v>
      </c>
      <c r="B2799" s="19" t="str">
        <f t="shared" si="226"/>
        <v>B-BCP - Soles</v>
      </c>
      <c r="C2799" s="3" t="s">
        <v>1352</v>
      </c>
      <c r="D2799" s="14">
        <v>45856</v>
      </c>
      <c r="E2799" s="5" t="s">
        <v>1338</v>
      </c>
      <c r="F2799" s="5"/>
      <c r="G2799" s="6" t="s">
        <v>474</v>
      </c>
      <c r="H2799" s="6" t="s">
        <v>68</v>
      </c>
      <c r="I2799" s="6" t="s">
        <v>1376</v>
      </c>
      <c r="J2799" s="6">
        <v>812</v>
      </c>
      <c r="K2799" s="7" t="s">
        <v>3944</v>
      </c>
      <c r="L2799" s="8">
        <v>2131849</v>
      </c>
      <c r="M2799" s="8" t="str">
        <f t="shared" si="227"/>
        <v>PEN</v>
      </c>
      <c r="N2799" s="13">
        <v>1056</v>
      </c>
      <c r="O2799" s="13"/>
      <c r="P2799" s="3">
        <f t="shared" si="228"/>
        <v>0</v>
      </c>
      <c r="Q2799" s="3">
        <f t="shared" si="229"/>
        <v>0</v>
      </c>
      <c r="R2799" s="3">
        <f t="shared" si="225"/>
        <v>16039.11000000003</v>
      </c>
      <c r="S2799" s="24" t="s">
        <v>1334</v>
      </c>
      <c r="T2799" s="24" t="s">
        <v>1334</v>
      </c>
      <c r="U2799" s="79"/>
      <c r="V2799" s="25">
        <f>IFERROR(VLOOKUP(BCP_Soles[[#This Row],[destinatario]],CHOOSE({1,2},Clientes_Proveedores[Razon Social],Clientes_Proveedores[Ruc / Dni]),2,0),"")</f>
        <v>20602075177</v>
      </c>
      <c r="W2799" s="25"/>
      <c r="X2799" s="25"/>
      <c r="Y2799" s="25"/>
      <c r="Z2799" s="77"/>
      <c r="AA2799" s="3" t="str">
        <f>IF(BCP_Soles[[#This Row],[fecha]]&gt;0,TEXT(BCP_Soles[[#This Row],[fecha]],"mmmm"),0)</f>
        <v>Julio</v>
      </c>
    </row>
    <row r="2800" spans="1:27" ht="24" x14ac:dyDescent="0.3">
      <c r="A2800" s="2">
        <f>IF(BCP_Soles[[#This Row],[tipo_registro]]="R",COUNTIFS($C$1:$C2799,"R")+1,A2799)</f>
        <v>1998</v>
      </c>
      <c r="B2800" s="19" t="str">
        <f t="shared" si="226"/>
        <v>B-BCP - Soles</v>
      </c>
      <c r="C2800" s="3" t="s">
        <v>1352</v>
      </c>
      <c r="D2800" s="14">
        <v>45856</v>
      </c>
      <c r="E2800" s="5" t="s">
        <v>1338</v>
      </c>
      <c r="F2800" s="5"/>
      <c r="G2800" s="6" t="s">
        <v>667</v>
      </c>
      <c r="H2800" s="6" t="s">
        <v>68</v>
      </c>
      <c r="I2800" s="6" t="s">
        <v>1376</v>
      </c>
      <c r="J2800" s="6">
        <v>45</v>
      </c>
      <c r="K2800" s="7" t="s">
        <v>3944</v>
      </c>
      <c r="L2800" s="8">
        <v>2131849</v>
      </c>
      <c r="M2800" s="8" t="str">
        <f t="shared" si="227"/>
        <v>PEN</v>
      </c>
      <c r="N2800" s="13">
        <v>510</v>
      </c>
      <c r="O2800" s="13"/>
      <c r="P2800" s="3">
        <f t="shared" si="228"/>
        <v>0</v>
      </c>
      <c r="Q2800" s="3">
        <f t="shared" si="229"/>
        <v>0</v>
      </c>
      <c r="R2800" s="3">
        <f t="shared" si="225"/>
        <v>16039.11000000003</v>
      </c>
      <c r="S2800" s="24" t="s">
        <v>1334</v>
      </c>
      <c r="T2800" s="24" t="s">
        <v>1334</v>
      </c>
      <c r="U2800" s="79"/>
      <c r="V2800" s="25">
        <f>IFERROR(VLOOKUP(BCP_Soles[[#This Row],[destinatario]],CHOOSE({1,2},Clientes_Proveedores[Razon Social],Clientes_Proveedores[Ruc / Dni]),2,0),"")</f>
        <v>10410687491</v>
      </c>
      <c r="W2800" s="25"/>
      <c r="X2800" s="25"/>
      <c r="Y2800" s="25"/>
      <c r="Z2800" s="77"/>
      <c r="AA2800" s="3" t="str">
        <f>IF(BCP_Soles[[#This Row],[fecha]]&gt;0,TEXT(BCP_Soles[[#This Row],[fecha]],"mmmm"),0)</f>
        <v>Julio</v>
      </c>
    </row>
    <row r="2801" spans="1:27" ht="24" x14ac:dyDescent="0.3">
      <c r="A2801" s="2">
        <f>IF(BCP_Soles[[#This Row],[tipo_registro]]="R",COUNTIFS($C$1:$C2800,"R")+1,A2800)</f>
        <v>1998</v>
      </c>
      <c r="B2801" s="19" t="str">
        <f t="shared" si="226"/>
        <v>B-BCP - Soles</v>
      </c>
      <c r="C2801" s="3" t="s">
        <v>1352</v>
      </c>
      <c r="D2801" s="14">
        <v>45856</v>
      </c>
      <c r="E2801" s="5" t="s">
        <v>1338</v>
      </c>
      <c r="F2801" s="5"/>
      <c r="G2801" s="6" t="s">
        <v>667</v>
      </c>
      <c r="H2801" s="6" t="s">
        <v>68</v>
      </c>
      <c r="I2801" s="6" t="s">
        <v>1376</v>
      </c>
      <c r="J2801" s="6">
        <v>44</v>
      </c>
      <c r="K2801" s="7" t="s">
        <v>3944</v>
      </c>
      <c r="L2801" s="8">
        <v>2131849</v>
      </c>
      <c r="M2801" s="8" t="str">
        <f t="shared" si="227"/>
        <v>PEN</v>
      </c>
      <c r="N2801" s="13">
        <v>510</v>
      </c>
      <c r="O2801" s="13"/>
      <c r="P2801" s="3">
        <f t="shared" si="228"/>
        <v>0</v>
      </c>
      <c r="Q2801" s="3">
        <f t="shared" si="229"/>
        <v>0</v>
      </c>
      <c r="R2801" s="3">
        <f t="shared" si="225"/>
        <v>16039.11000000003</v>
      </c>
      <c r="S2801" s="24" t="s">
        <v>1334</v>
      </c>
      <c r="T2801" s="24" t="s">
        <v>1334</v>
      </c>
      <c r="U2801" s="79"/>
      <c r="V2801" s="25">
        <f>IFERROR(VLOOKUP(BCP_Soles[[#This Row],[destinatario]],CHOOSE({1,2},Clientes_Proveedores[Razon Social],Clientes_Proveedores[Ruc / Dni]),2,0),"")</f>
        <v>10410687491</v>
      </c>
      <c r="W2801" s="25"/>
      <c r="X2801" s="25"/>
      <c r="Y2801" s="25"/>
      <c r="Z2801" s="77"/>
      <c r="AA2801" s="3" t="str">
        <f>IF(BCP_Soles[[#This Row],[fecha]]&gt;0,TEXT(BCP_Soles[[#This Row],[fecha]],"mmmm"),0)</f>
        <v>Julio</v>
      </c>
    </row>
    <row r="2802" spans="1:27" x14ac:dyDescent="0.3">
      <c r="A2802" s="2">
        <f>IF(BCP_Soles[[#This Row],[tipo_registro]]="R",COUNTIFS($C$1:$C2801,"R")+1,A2801)</f>
        <v>1999</v>
      </c>
      <c r="B2802" s="19" t="str">
        <f t="shared" si="226"/>
        <v>B-BCP - Soles</v>
      </c>
      <c r="C2802" s="3" t="s">
        <v>1330</v>
      </c>
      <c r="D2802" s="14">
        <v>45856</v>
      </c>
      <c r="E2802" s="5" t="s">
        <v>1338</v>
      </c>
      <c r="F2802" s="5" t="s">
        <v>1336</v>
      </c>
      <c r="G2802" s="6" t="s">
        <v>425</v>
      </c>
      <c r="H2802" s="6"/>
      <c r="I2802" s="6"/>
      <c r="J2802" s="6"/>
      <c r="K2802" s="7" t="s">
        <v>3946</v>
      </c>
      <c r="L2802" s="8">
        <v>1267708</v>
      </c>
      <c r="M2802" s="8" t="str">
        <f t="shared" si="227"/>
        <v>PEN</v>
      </c>
      <c r="N2802" s="13"/>
      <c r="O2802" s="13">
        <v>501.2</v>
      </c>
      <c r="P2802" s="3">
        <f t="shared" si="228"/>
        <v>0</v>
      </c>
      <c r="Q2802" s="3">
        <f t="shared" si="229"/>
        <v>501.2</v>
      </c>
      <c r="R2802" s="3">
        <f t="shared" si="225"/>
        <v>15537.910000000029</v>
      </c>
      <c r="S2802" s="24" t="s">
        <v>1334</v>
      </c>
      <c r="T2802" s="24" t="s">
        <v>1334</v>
      </c>
      <c r="U2802" s="79" t="s">
        <v>3947</v>
      </c>
      <c r="V2802" s="25">
        <f>IFERROR(VLOOKUP(BCP_Soles[[#This Row],[destinatario]],CHOOSE({1,2},Clientes_Proveedores[Razon Social],Clientes_Proveedores[Ruc / Dni]),2,0),"")</f>
        <v>20558226979</v>
      </c>
      <c r="W2802" s="25"/>
      <c r="X2802" s="25"/>
      <c r="Y2802" s="25"/>
      <c r="Z2802" s="77"/>
      <c r="AA2802" s="3" t="str">
        <f>IF(BCP_Soles[[#This Row],[fecha]]&gt;0,TEXT(BCP_Soles[[#This Row],[fecha]],"mmmm"),0)</f>
        <v>Julio</v>
      </c>
    </row>
    <row r="2803" spans="1:27" ht="24" x14ac:dyDescent="0.3">
      <c r="A2803" s="2">
        <f>IF(BCP_Soles[[#This Row],[tipo_registro]]="R",COUNTIFS($C$1:$C2802,"R")+1,A2802)</f>
        <v>2000</v>
      </c>
      <c r="B2803" s="19" t="str">
        <f t="shared" si="226"/>
        <v>B-BCP - Soles</v>
      </c>
      <c r="C2803" s="3" t="s">
        <v>1330</v>
      </c>
      <c r="D2803" s="14">
        <v>45856</v>
      </c>
      <c r="E2803" s="5" t="s">
        <v>1335</v>
      </c>
      <c r="F2803" s="5" t="s">
        <v>1336</v>
      </c>
      <c r="G2803" s="6" t="s">
        <v>1060</v>
      </c>
      <c r="H2803" s="6" t="s">
        <v>68</v>
      </c>
      <c r="I2803" s="6" t="s">
        <v>1397</v>
      </c>
      <c r="J2803" s="6">
        <v>35055362</v>
      </c>
      <c r="K2803" s="7" t="s">
        <v>1400</v>
      </c>
      <c r="L2803" s="8">
        <v>488</v>
      </c>
      <c r="M2803" s="8" t="str">
        <f t="shared" si="227"/>
        <v>PEN</v>
      </c>
      <c r="N2803" s="13"/>
      <c r="O2803" s="13">
        <v>10</v>
      </c>
      <c r="P2803" s="3">
        <f t="shared" si="228"/>
        <v>0</v>
      </c>
      <c r="Q2803" s="3">
        <f t="shared" si="229"/>
        <v>10</v>
      </c>
      <c r="R2803" s="3">
        <f t="shared" si="225"/>
        <v>15527.910000000029</v>
      </c>
      <c r="S2803" s="24" t="s">
        <v>1334</v>
      </c>
      <c r="T2803" s="24" t="s">
        <v>1334</v>
      </c>
      <c r="U2803" s="79"/>
      <c r="V2803" s="25">
        <f>IFERROR(VLOOKUP(BCP_Soles[[#This Row],[destinatario]],CHOOSE({1,2},Clientes_Proveedores[Razon Social],Clientes_Proveedores[Ruc / Dni]),2,0),"")</f>
        <v>20100047218</v>
      </c>
      <c r="W2803" s="25"/>
      <c r="X2803" s="25"/>
      <c r="Y2803" s="25"/>
      <c r="Z2803" s="77"/>
      <c r="AA2803" s="3" t="str">
        <f>IF(BCP_Soles[[#This Row],[fecha]]&gt;0,TEXT(BCP_Soles[[#This Row],[fecha]],"mmmm"),0)</f>
        <v>Julio</v>
      </c>
    </row>
    <row r="2804" spans="1:27" x14ac:dyDescent="0.3">
      <c r="A2804" s="2">
        <f>IF(BCP_Soles[[#This Row],[tipo_registro]]="R",COUNTIFS($C$1:$C2803,"R")+1,A2803)</f>
        <v>2001</v>
      </c>
      <c r="B2804" s="19" t="str">
        <f t="shared" si="226"/>
        <v>B-BCP - Soles</v>
      </c>
      <c r="C2804" s="3" t="s">
        <v>1330</v>
      </c>
      <c r="D2804" s="14">
        <v>45856</v>
      </c>
      <c r="E2804" s="5" t="s">
        <v>3190</v>
      </c>
      <c r="F2804" s="5" t="s">
        <v>1336</v>
      </c>
      <c r="G2804" s="6"/>
      <c r="H2804" s="6"/>
      <c r="I2804" s="6"/>
      <c r="J2804" s="6"/>
      <c r="K2804" s="7" t="s">
        <v>3948</v>
      </c>
      <c r="L2804" s="8">
        <v>1017947</v>
      </c>
      <c r="M2804" s="8" t="str">
        <f t="shared" si="227"/>
        <v>PEN</v>
      </c>
      <c r="N2804" s="13"/>
      <c r="O2804" s="13">
        <v>3407</v>
      </c>
      <c r="P2804" s="3">
        <f t="shared" si="228"/>
        <v>0</v>
      </c>
      <c r="Q2804" s="3">
        <f t="shared" si="229"/>
        <v>3407</v>
      </c>
      <c r="R2804" s="3">
        <f t="shared" si="225"/>
        <v>12120.910000000029</v>
      </c>
      <c r="S2804" s="24" t="s">
        <v>1334</v>
      </c>
      <c r="T2804" s="24" t="s">
        <v>1334</v>
      </c>
      <c r="U2804" s="79"/>
      <c r="V2804" s="25" t="str">
        <f>IFERROR(VLOOKUP(BCP_Soles[[#This Row],[destinatario]],CHOOSE({1,2},Clientes_Proveedores[Razon Social],Clientes_Proveedores[Ruc / Dni]),2,0),"")</f>
        <v/>
      </c>
      <c r="W2804" s="25"/>
      <c r="X2804" s="25"/>
      <c r="Y2804" s="25"/>
      <c r="Z2804" s="77"/>
      <c r="AA2804" s="3" t="str">
        <f>IF(BCP_Soles[[#This Row],[fecha]]&gt;0,TEXT(BCP_Soles[[#This Row],[fecha]],"mmmm"),0)</f>
        <v>Julio</v>
      </c>
    </row>
    <row r="2805" spans="1:27" ht="24" x14ac:dyDescent="0.3">
      <c r="A2805" s="2">
        <f>IF(BCP_Soles[[#This Row],[tipo_registro]]="R",COUNTIFS($C$1:$C2804,"R")+1,A2804)</f>
        <v>2001</v>
      </c>
      <c r="B2805" s="19" t="str">
        <f t="shared" si="226"/>
        <v>B-BCP - Soles</v>
      </c>
      <c r="C2805" s="3" t="s">
        <v>1352</v>
      </c>
      <c r="D2805" s="14">
        <v>45856</v>
      </c>
      <c r="E2805" s="5" t="s">
        <v>3190</v>
      </c>
      <c r="F2805" s="5"/>
      <c r="G2805" s="6" t="s">
        <v>667</v>
      </c>
      <c r="H2805" s="6" t="s">
        <v>68</v>
      </c>
      <c r="I2805" s="6" t="s">
        <v>1376</v>
      </c>
      <c r="J2805" s="6">
        <v>29</v>
      </c>
      <c r="K2805" s="7" t="s">
        <v>3948</v>
      </c>
      <c r="L2805" s="8">
        <v>1017947</v>
      </c>
      <c r="M2805" s="8" t="str">
        <f t="shared" si="227"/>
        <v>PEN</v>
      </c>
      <c r="N2805" s="13">
        <v>21</v>
      </c>
      <c r="O2805" s="13"/>
      <c r="P2805" s="3">
        <f t="shared" si="228"/>
        <v>0</v>
      </c>
      <c r="Q2805" s="3">
        <f t="shared" si="229"/>
        <v>0</v>
      </c>
      <c r="R2805" s="3">
        <f t="shared" si="225"/>
        <v>12120.910000000029</v>
      </c>
      <c r="S2805" s="24" t="s">
        <v>1334</v>
      </c>
      <c r="T2805" s="24" t="s">
        <v>1334</v>
      </c>
      <c r="U2805" s="79"/>
      <c r="V2805" s="25">
        <f>IFERROR(VLOOKUP(BCP_Soles[[#This Row],[destinatario]],CHOOSE({1,2},Clientes_Proveedores[Razon Social],Clientes_Proveedores[Ruc / Dni]),2,0),"")</f>
        <v>10410687491</v>
      </c>
      <c r="W2805" s="25"/>
      <c r="X2805" s="25"/>
      <c r="Y2805" s="25"/>
      <c r="Z2805" s="77" t="s">
        <v>3666</v>
      </c>
      <c r="AA2805" s="3" t="str">
        <f>IF(BCP_Soles[[#This Row],[fecha]]&gt;0,TEXT(BCP_Soles[[#This Row],[fecha]],"mmmm"),0)</f>
        <v>Julio</v>
      </c>
    </row>
    <row r="2806" spans="1:27" ht="24" x14ac:dyDescent="0.3">
      <c r="A2806" s="2">
        <f>IF(BCP_Soles[[#This Row],[tipo_registro]]="R",COUNTIFS($C$1:$C2805,"R")+1,A2805)</f>
        <v>2001</v>
      </c>
      <c r="B2806" s="19" t="str">
        <f t="shared" si="226"/>
        <v>B-BCP - Soles</v>
      </c>
      <c r="C2806" s="3" t="s">
        <v>1352</v>
      </c>
      <c r="D2806" s="14">
        <v>45856</v>
      </c>
      <c r="E2806" s="5" t="s">
        <v>3190</v>
      </c>
      <c r="F2806" s="5"/>
      <c r="G2806" s="6" t="s">
        <v>204</v>
      </c>
      <c r="H2806" s="6" t="s">
        <v>68</v>
      </c>
      <c r="I2806" s="6" t="s">
        <v>1390</v>
      </c>
      <c r="J2806" s="6">
        <v>16339</v>
      </c>
      <c r="K2806" s="7" t="s">
        <v>3948</v>
      </c>
      <c r="L2806" s="8">
        <v>1017947</v>
      </c>
      <c r="M2806" s="8" t="str">
        <f t="shared" si="227"/>
        <v>PEN</v>
      </c>
      <c r="N2806" s="13">
        <v>30</v>
      </c>
      <c r="O2806" s="13"/>
      <c r="P2806" s="3">
        <f t="shared" si="228"/>
        <v>0</v>
      </c>
      <c r="Q2806" s="3">
        <f t="shared" si="229"/>
        <v>0</v>
      </c>
      <c r="R2806" s="3">
        <f t="shared" si="225"/>
        <v>12120.910000000029</v>
      </c>
      <c r="S2806" s="24" t="s">
        <v>1334</v>
      </c>
      <c r="T2806" s="24" t="s">
        <v>1334</v>
      </c>
      <c r="U2806" s="79"/>
      <c r="V2806" s="25">
        <f>IFERROR(VLOOKUP(BCP_Soles[[#This Row],[destinatario]],CHOOSE({1,2},Clientes_Proveedores[Razon Social],Clientes_Proveedores[Ruc / Dni]),2,0),"")</f>
        <v>20100192064</v>
      </c>
      <c r="W2806" s="25"/>
      <c r="X2806" s="25"/>
      <c r="Y2806" s="25"/>
      <c r="Z2806" s="77" t="s">
        <v>3666</v>
      </c>
      <c r="AA2806" s="3" t="str">
        <f>IF(BCP_Soles[[#This Row],[fecha]]&gt;0,TEXT(BCP_Soles[[#This Row],[fecha]],"mmmm"),0)</f>
        <v>Julio</v>
      </c>
    </row>
    <row r="2807" spans="1:27" x14ac:dyDescent="0.3">
      <c r="A2807" s="2">
        <f>IF(BCP_Soles[[#This Row],[tipo_registro]]="R",COUNTIFS($C$1:$C2806,"R")+1,A2806)</f>
        <v>2001</v>
      </c>
      <c r="B2807" s="19" t="str">
        <f t="shared" si="226"/>
        <v>B-BCP - Soles</v>
      </c>
      <c r="C2807" s="3" t="s">
        <v>1352</v>
      </c>
      <c r="D2807" s="14">
        <v>45856</v>
      </c>
      <c r="E2807" s="5" t="s">
        <v>3190</v>
      </c>
      <c r="F2807" s="5"/>
      <c r="G2807" s="6" t="s">
        <v>286</v>
      </c>
      <c r="H2807" s="6" t="s">
        <v>68</v>
      </c>
      <c r="I2807" s="6" t="s">
        <v>1386</v>
      </c>
      <c r="J2807" s="6">
        <v>1710</v>
      </c>
      <c r="K2807" s="7" t="s">
        <v>3948</v>
      </c>
      <c r="L2807" s="8">
        <v>1017947</v>
      </c>
      <c r="M2807" s="8" t="str">
        <f t="shared" si="227"/>
        <v>PEN</v>
      </c>
      <c r="N2807" s="13">
        <v>100</v>
      </c>
      <c r="O2807" s="13"/>
      <c r="P2807" s="3">
        <f t="shared" si="228"/>
        <v>0</v>
      </c>
      <c r="Q2807" s="3">
        <f t="shared" si="229"/>
        <v>0</v>
      </c>
      <c r="R2807" s="3">
        <f t="shared" si="225"/>
        <v>12120.910000000029</v>
      </c>
      <c r="S2807" s="24" t="s">
        <v>1334</v>
      </c>
      <c r="T2807" s="24" t="s">
        <v>1334</v>
      </c>
      <c r="U2807" s="79"/>
      <c r="V2807" s="25">
        <f>IFERROR(VLOOKUP(BCP_Soles[[#This Row],[destinatario]],CHOOSE({1,2},Clientes_Proveedores[Razon Social],Clientes_Proveedores[Ruc / Dni]),2,0),"")</f>
        <v>20454186002</v>
      </c>
      <c r="W2807" s="25"/>
      <c r="X2807" s="25"/>
      <c r="Y2807" s="25"/>
      <c r="Z2807" s="77" t="s">
        <v>3666</v>
      </c>
      <c r="AA2807" s="3" t="str">
        <f>IF(BCP_Soles[[#This Row],[fecha]]&gt;0,TEXT(BCP_Soles[[#This Row],[fecha]],"mmmm"),0)</f>
        <v>Julio</v>
      </c>
    </row>
    <row r="2808" spans="1:27" ht="24" x14ac:dyDescent="0.3">
      <c r="A2808" s="2">
        <f>IF(BCP_Soles[[#This Row],[tipo_registro]]="R",COUNTIFS($C$1:$C2807,"R")+1,A2807)</f>
        <v>2001</v>
      </c>
      <c r="B2808" s="19" t="str">
        <f t="shared" si="226"/>
        <v>B-BCP - Soles</v>
      </c>
      <c r="C2808" s="3" t="s">
        <v>1352</v>
      </c>
      <c r="D2808" s="14">
        <v>45856</v>
      </c>
      <c r="E2808" s="5" t="s">
        <v>3190</v>
      </c>
      <c r="F2808" s="5"/>
      <c r="G2808" s="6" t="s">
        <v>204</v>
      </c>
      <c r="H2808" s="6" t="s">
        <v>68</v>
      </c>
      <c r="I2808" s="6" t="s">
        <v>1390</v>
      </c>
      <c r="J2808" s="6">
        <v>16391</v>
      </c>
      <c r="K2808" s="7" t="s">
        <v>3948</v>
      </c>
      <c r="L2808" s="8">
        <v>1017947</v>
      </c>
      <c r="M2808" s="8" t="str">
        <f t="shared" si="227"/>
        <v>PEN</v>
      </c>
      <c r="N2808" s="13">
        <v>30</v>
      </c>
      <c r="O2808" s="13"/>
      <c r="P2808" s="3">
        <f t="shared" si="228"/>
        <v>0</v>
      </c>
      <c r="Q2808" s="3">
        <f t="shared" si="229"/>
        <v>0</v>
      </c>
      <c r="R2808" s="3">
        <f t="shared" si="225"/>
        <v>12120.910000000029</v>
      </c>
      <c r="S2808" s="24" t="s">
        <v>1334</v>
      </c>
      <c r="T2808" s="24" t="s">
        <v>1334</v>
      </c>
      <c r="U2808" s="79"/>
      <c r="V2808" s="25">
        <f>IFERROR(VLOOKUP(BCP_Soles[[#This Row],[destinatario]],CHOOSE({1,2},Clientes_Proveedores[Razon Social],Clientes_Proveedores[Ruc / Dni]),2,0),"")</f>
        <v>20100192064</v>
      </c>
      <c r="W2808" s="25"/>
      <c r="X2808" s="25"/>
      <c r="Y2808" s="25"/>
      <c r="Z2808" s="77" t="s">
        <v>3666</v>
      </c>
      <c r="AA2808" s="3" t="str">
        <f>IF(BCP_Soles[[#This Row],[fecha]]&gt;0,TEXT(BCP_Soles[[#This Row],[fecha]],"mmmm"),0)</f>
        <v>Julio</v>
      </c>
    </row>
    <row r="2809" spans="1:27" ht="24" x14ac:dyDescent="0.3">
      <c r="A2809" s="2">
        <f>IF(BCP_Soles[[#This Row],[tipo_registro]]="R",COUNTIFS($C$1:$C2808,"R")+1,A2808)</f>
        <v>2001</v>
      </c>
      <c r="B2809" s="19" t="str">
        <f t="shared" si="226"/>
        <v>B-BCP - Soles</v>
      </c>
      <c r="C2809" s="3" t="s">
        <v>1352</v>
      </c>
      <c r="D2809" s="14">
        <v>45856</v>
      </c>
      <c r="E2809" s="5" t="s">
        <v>3190</v>
      </c>
      <c r="F2809" s="5"/>
      <c r="G2809" s="6" t="s">
        <v>204</v>
      </c>
      <c r="H2809" s="6" t="s">
        <v>68</v>
      </c>
      <c r="I2809" s="6" t="s">
        <v>1390</v>
      </c>
      <c r="J2809" s="6">
        <v>16398</v>
      </c>
      <c r="K2809" s="7" t="s">
        <v>3948</v>
      </c>
      <c r="L2809" s="8">
        <v>1017947</v>
      </c>
      <c r="M2809" s="8" t="str">
        <f t="shared" si="227"/>
        <v>PEN</v>
      </c>
      <c r="N2809" s="13">
        <v>30</v>
      </c>
      <c r="O2809" s="13"/>
      <c r="P2809" s="3">
        <f t="shared" si="228"/>
        <v>0</v>
      </c>
      <c r="Q2809" s="3">
        <f t="shared" si="229"/>
        <v>0</v>
      </c>
      <c r="R2809" s="3">
        <f t="shared" si="225"/>
        <v>12120.910000000029</v>
      </c>
      <c r="S2809" s="24" t="s">
        <v>1334</v>
      </c>
      <c r="T2809" s="24" t="s">
        <v>1334</v>
      </c>
      <c r="U2809" s="79"/>
      <c r="V2809" s="25">
        <f>IFERROR(VLOOKUP(BCP_Soles[[#This Row],[destinatario]],CHOOSE({1,2},Clientes_Proveedores[Razon Social],Clientes_Proveedores[Ruc / Dni]),2,0),"")</f>
        <v>20100192064</v>
      </c>
      <c r="W2809" s="25"/>
      <c r="X2809" s="25"/>
      <c r="Y2809" s="25"/>
      <c r="Z2809" s="77" t="s">
        <v>3666</v>
      </c>
      <c r="AA2809" s="3" t="str">
        <f>IF(BCP_Soles[[#This Row],[fecha]]&gt;0,TEXT(BCP_Soles[[#This Row],[fecha]],"mmmm"),0)</f>
        <v>Julio</v>
      </c>
    </row>
    <row r="2810" spans="1:27" ht="24" x14ac:dyDescent="0.3">
      <c r="A2810" s="2">
        <f>IF(BCP_Soles[[#This Row],[tipo_registro]]="R",COUNTIFS($C$1:$C2809,"R")+1,A2809)</f>
        <v>2001</v>
      </c>
      <c r="B2810" s="19" t="str">
        <f t="shared" si="226"/>
        <v>B-BCP - Soles</v>
      </c>
      <c r="C2810" s="3" t="s">
        <v>1352</v>
      </c>
      <c r="D2810" s="14">
        <v>45856</v>
      </c>
      <c r="E2810" s="5" t="s">
        <v>3190</v>
      </c>
      <c r="F2810" s="5"/>
      <c r="G2810" s="6" t="s">
        <v>204</v>
      </c>
      <c r="H2810" s="6" t="s">
        <v>68</v>
      </c>
      <c r="I2810" s="6" t="s">
        <v>1390</v>
      </c>
      <c r="J2810" s="6">
        <v>16422</v>
      </c>
      <c r="K2810" s="7" t="s">
        <v>3948</v>
      </c>
      <c r="L2810" s="8">
        <v>1017947</v>
      </c>
      <c r="M2810" s="8" t="str">
        <f t="shared" si="227"/>
        <v>PEN</v>
      </c>
      <c r="N2810" s="13">
        <v>15</v>
      </c>
      <c r="O2810" s="13"/>
      <c r="P2810" s="3">
        <f t="shared" si="228"/>
        <v>0</v>
      </c>
      <c r="Q2810" s="3">
        <f t="shared" si="229"/>
        <v>0</v>
      </c>
      <c r="R2810" s="3">
        <f t="shared" si="225"/>
        <v>12120.910000000029</v>
      </c>
      <c r="S2810" s="24" t="s">
        <v>1334</v>
      </c>
      <c r="T2810" s="24" t="s">
        <v>1334</v>
      </c>
      <c r="U2810" s="79"/>
      <c r="V2810" s="25">
        <f>IFERROR(VLOOKUP(BCP_Soles[[#This Row],[destinatario]],CHOOSE({1,2},Clientes_Proveedores[Razon Social],Clientes_Proveedores[Ruc / Dni]),2,0),"")</f>
        <v>20100192064</v>
      </c>
      <c r="W2810" s="25"/>
      <c r="X2810" s="25"/>
      <c r="Y2810" s="25"/>
      <c r="Z2810" s="77" t="s">
        <v>3666</v>
      </c>
      <c r="AA2810" s="3" t="str">
        <f>IF(BCP_Soles[[#This Row],[fecha]]&gt;0,TEXT(BCP_Soles[[#This Row],[fecha]],"mmmm"),0)</f>
        <v>Julio</v>
      </c>
    </row>
    <row r="2811" spans="1:27" ht="24" x14ac:dyDescent="0.3">
      <c r="A2811" s="2">
        <f>IF(BCP_Soles[[#This Row],[tipo_registro]]="R",COUNTIFS($C$1:$C2810,"R")+1,A2810)</f>
        <v>2001</v>
      </c>
      <c r="B2811" s="19" t="str">
        <f t="shared" si="226"/>
        <v>B-BCP - Soles</v>
      </c>
      <c r="C2811" s="3" t="s">
        <v>1352</v>
      </c>
      <c r="D2811" s="14">
        <v>45856</v>
      </c>
      <c r="E2811" s="5" t="s">
        <v>3190</v>
      </c>
      <c r="F2811" s="5"/>
      <c r="G2811" s="6" t="s">
        <v>204</v>
      </c>
      <c r="H2811" s="6" t="s">
        <v>68</v>
      </c>
      <c r="I2811" s="6" t="s">
        <v>1390</v>
      </c>
      <c r="J2811" s="6">
        <v>16359</v>
      </c>
      <c r="K2811" s="7" t="s">
        <v>3948</v>
      </c>
      <c r="L2811" s="8">
        <v>1017947</v>
      </c>
      <c r="M2811" s="8" t="str">
        <f t="shared" si="227"/>
        <v>PEN</v>
      </c>
      <c r="N2811" s="13">
        <v>937</v>
      </c>
      <c r="O2811" s="13"/>
      <c r="P2811" s="3">
        <f t="shared" si="228"/>
        <v>0</v>
      </c>
      <c r="Q2811" s="3">
        <f t="shared" si="229"/>
        <v>0</v>
      </c>
      <c r="R2811" s="3">
        <f t="shared" si="225"/>
        <v>12120.910000000029</v>
      </c>
      <c r="S2811" s="24" t="s">
        <v>1334</v>
      </c>
      <c r="T2811" s="24" t="s">
        <v>1334</v>
      </c>
      <c r="U2811" s="79"/>
      <c r="V2811" s="25">
        <f>IFERROR(VLOOKUP(BCP_Soles[[#This Row],[destinatario]],CHOOSE({1,2},Clientes_Proveedores[Razon Social],Clientes_Proveedores[Ruc / Dni]),2,0),"")</f>
        <v>20100192064</v>
      </c>
      <c r="W2811" s="25"/>
      <c r="X2811" s="25"/>
      <c r="Y2811" s="25"/>
      <c r="Z2811" s="77" t="s">
        <v>3666</v>
      </c>
      <c r="AA2811" s="3" t="str">
        <f>IF(BCP_Soles[[#This Row],[fecha]]&gt;0,TEXT(BCP_Soles[[#This Row],[fecha]],"mmmm"),0)</f>
        <v>Julio</v>
      </c>
    </row>
    <row r="2812" spans="1:27" ht="24" x14ac:dyDescent="0.3">
      <c r="A2812" s="2">
        <f>IF(BCP_Soles[[#This Row],[tipo_registro]]="R",COUNTIFS($C$1:$C2811,"R")+1,A2811)</f>
        <v>2001</v>
      </c>
      <c r="B2812" s="19" t="str">
        <f t="shared" si="226"/>
        <v>B-BCP - Soles</v>
      </c>
      <c r="C2812" s="3" t="s">
        <v>1352</v>
      </c>
      <c r="D2812" s="14">
        <v>45856</v>
      </c>
      <c r="E2812" s="5" t="s">
        <v>3190</v>
      </c>
      <c r="F2812" s="5"/>
      <c r="G2812" s="6" t="s">
        <v>204</v>
      </c>
      <c r="H2812" s="6" t="s">
        <v>68</v>
      </c>
      <c r="I2812" s="6" t="s">
        <v>1390</v>
      </c>
      <c r="J2812" s="6">
        <v>16383</v>
      </c>
      <c r="K2812" s="7" t="s">
        <v>3948</v>
      </c>
      <c r="L2812" s="8">
        <v>1017947</v>
      </c>
      <c r="M2812" s="8" t="str">
        <f t="shared" si="227"/>
        <v>PEN</v>
      </c>
      <c r="N2812" s="13">
        <v>35</v>
      </c>
      <c r="O2812" s="13"/>
      <c r="P2812" s="3">
        <f t="shared" si="228"/>
        <v>0</v>
      </c>
      <c r="Q2812" s="3">
        <f t="shared" si="229"/>
        <v>0</v>
      </c>
      <c r="R2812" s="3">
        <f t="shared" si="225"/>
        <v>12120.910000000029</v>
      </c>
      <c r="S2812" s="24" t="s">
        <v>1334</v>
      </c>
      <c r="T2812" s="24" t="s">
        <v>1334</v>
      </c>
      <c r="U2812" s="79"/>
      <c r="V2812" s="25">
        <f>IFERROR(VLOOKUP(BCP_Soles[[#This Row],[destinatario]],CHOOSE({1,2},Clientes_Proveedores[Razon Social],Clientes_Proveedores[Ruc / Dni]),2,0),"")</f>
        <v>20100192064</v>
      </c>
      <c r="W2812" s="25"/>
      <c r="X2812" s="25"/>
      <c r="Y2812" s="25"/>
      <c r="Z2812" s="77" t="s">
        <v>3666</v>
      </c>
      <c r="AA2812" s="3" t="str">
        <f>IF(BCP_Soles[[#This Row],[fecha]]&gt;0,TEXT(BCP_Soles[[#This Row],[fecha]],"mmmm"),0)</f>
        <v>Julio</v>
      </c>
    </row>
    <row r="2813" spans="1:27" ht="24" x14ac:dyDescent="0.3">
      <c r="A2813" s="2">
        <f>IF(BCP_Soles[[#This Row],[tipo_registro]]="R",COUNTIFS($C$1:$C2812,"R")+1,A2812)</f>
        <v>2001</v>
      </c>
      <c r="B2813" s="19" t="str">
        <f t="shared" si="226"/>
        <v>B-BCP - Soles</v>
      </c>
      <c r="C2813" s="3" t="s">
        <v>1352</v>
      </c>
      <c r="D2813" s="14">
        <v>45856</v>
      </c>
      <c r="E2813" s="5" t="s">
        <v>3190</v>
      </c>
      <c r="F2813" s="5"/>
      <c r="G2813" s="6" t="s">
        <v>204</v>
      </c>
      <c r="H2813" s="6" t="s">
        <v>68</v>
      </c>
      <c r="I2813" s="6" t="s">
        <v>1390</v>
      </c>
      <c r="J2813" s="6">
        <v>16358</v>
      </c>
      <c r="K2813" s="7" t="s">
        <v>3948</v>
      </c>
      <c r="L2813" s="8">
        <v>1017947</v>
      </c>
      <c r="M2813" s="8" t="str">
        <f t="shared" si="227"/>
        <v>PEN</v>
      </c>
      <c r="N2813" s="13">
        <v>1444</v>
      </c>
      <c r="O2813" s="13"/>
      <c r="P2813" s="3">
        <f t="shared" si="228"/>
        <v>0</v>
      </c>
      <c r="Q2813" s="3">
        <f t="shared" si="229"/>
        <v>0</v>
      </c>
      <c r="R2813" s="3">
        <f t="shared" si="225"/>
        <v>12120.910000000029</v>
      </c>
      <c r="S2813" s="24" t="s">
        <v>1334</v>
      </c>
      <c r="T2813" s="24" t="s">
        <v>1334</v>
      </c>
      <c r="U2813" s="79"/>
      <c r="V2813" s="25">
        <f>IFERROR(VLOOKUP(BCP_Soles[[#This Row],[destinatario]],CHOOSE({1,2},Clientes_Proveedores[Razon Social],Clientes_Proveedores[Ruc / Dni]),2,0),"")</f>
        <v>20100192064</v>
      </c>
      <c r="W2813" s="25"/>
      <c r="X2813" s="25"/>
      <c r="Y2813" s="25"/>
      <c r="Z2813" s="77" t="s">
        <v>3666</v>
      </c>
      <c r="AA2813" s="3" t="str">
        <f>IF(BCP_Soles[[#This Row],[fecha]]&gt;0,TEXT(BCP_Soles[[#This Row],[fecha]],"mmmm"),0)</f>
        <v>Julio</v>
      </c>
    </row>
    <row r="2814" spans="1:27" ht="24" x14ac:dyDescent="0.3">
      <c r="A2814" s="2">
        <f>IF(BCP_Soles[[#This Row],[tipo_registro]]="R",COUNTIFS($C$1:$C2813,"R")+1,A2813)</f>
        <v>2001</v>
      </c>
      <c r="B2814" s="19" t="str">
        <f t="shared" si="226"/>
        <v>B-BCP - Soles</v>
      </c>
      <c r="C2814" s="3" t="s">
        <v>1352</v>
      </c>
      <c r="D2814" s="14">
        <v>45856</v>
      </c>
      <c r="E2814" s="5" t="s">
        <v>3190</v>
      </c>
      <c r="F2814" s="5"/>
      <c r="G2814" s="6" t="s">
        <v>312</v>
      </c>
      <c r="H2814" s="6" t="s">
        <v>68</v>
      </c>
      <c r="I2814" s="6" t="s">
        <v>1376</v>
      </c>
      <c r="J2814" s="6">
        <v>3617</v>
      </c>
      <c r="K2814" s="7" t="s">
        <v>3948</v>
      </c>
      <c r="L2814" s="8">
        <v>1017947</v>
      </c>
      <c r="M2814" s="8" t="str">
        <f t="shared" si="227"/>
        <v>PEN</v>
      </c>
      <c r="N2814" s="13">
        <v>127</v>
      </c>
      <c r="O2814" s="13"/>
      <c r="P2814" s="3">
        <f t="shared" si="228"/>
        <v>0</v>
      </c>
      <c r="Q2814" s="3">
        <f t="shared" si="229"/>
        <v>0</v>
      </c>
      <c r="R2814" s="3">
        <f t="shared" si="225"/>
        <v>12120.910000000029</v>
      </c>
      <c r="S2814" s="24" t="s">
        <v>1334</v>
      </c>
      <c r="T2814" s="24" t="s">
        <v>1334</v>
      </c>
      <c r="U2814" s="79"/>
      <c r="V2814" s="25">
        <f>IFERROR(VLOOKUP(BCP_Soles[[#This Row],[destinatario]],CHOOSE({1,2},Clientes_Proveedores[Razon Social],Clientes_Proveedores[Ruc / Dni]),2,0),"")</f>
        <v>20456147781</v>
      </c>
      <c r="W2814" s="25"/>
      <c r="X2814" s="25"/>
      <c r="Y2814" s="25"/>
      <c r="Z2814" s="77" t="s">
        <v>3666</v>
      </c>
      <c r="AA2814" s="3" t="str">
        <f>IF(BCP_Soles[[#This Row],[fecha]]&gt;0,TEXT(BCP_Soles[[#This Row],[fecha]],"mmmm"),0)</f>
        <v>Julio</v>
      </c>
    </row>
    <row r="2815" spans="1:27" ht="24" x14ac:dyDescent="0.3">
      <c r="A2815" s="2">
        <f>IF(BCP_Soles[[#This Row],[tipo_registro]]="R",COUNTIFS($C$1:$C2814,"R")+1,A2814)</f>
        <v>2001</v>
      </c>
      <c r="B2815" s="19" t="str">
        <f t="shared" si="226"/>
        <v>B-BCP - Soles</v>
      </c>
      <c r="C2815" s="3" t="s">
        <v>1352</v>
      </c>
      <c r="D2815" s="14">
        <v>45856</v>
      </c>
      <c r="E2815" s="5" t="s">
        <v>3190</v>
      </c>
      <c r="F2815" s="5"/>
      <c r="G2815" s="6" t="s">
        <v>994</v>
      </c>
      <c r="H2815" s="6" t="s">
        <v>68</v>
      </c>
      <c r="I2815" s="6" t="s">
        <v>1376</v>
      </c>
      <c r="J2815" s="6">
        <v>542</v>
      </c>
      <c r="K2815" s="7" t="s">
        <v>3948</v>
      </c>
      <c r="L2815" s="8">
        <v>1017947</v>
      </c>
      <c r="M2815" s="8" t="str">
        <f t="shared" si="227"/>
        <v>PEN</v>
      </c>
      <c r="N2815" s="13">
        <v>92</v>
      </c>
      <c r="O2815" s="13"/>
      <c r="P2815" s="3">
        <f t="shared" si="228"/>
        <v>0</v>
      </c>
      <c r="Q2815" s="3">
        <f t="shared" si="229"/>
        <v>0</v>
      </c>
      <c r="R2815" s="3">
        <f t="shared" si="225"/>
        <v>12120.910000000029</v>
      </c>
      <c r="S2815" s="24" t="s">
        <v>1334</v>
      </c>
      <c r="T2815" s="24" t="s">
        <v>1334</v>
      </c>
      <c r="U2815" s="79"/>
      <c r="V2815" s="25">
        <f>IFERROR(VLOOKUP(BCP_Soles[[#This Row],[destinatario]],CHOOSE({1,2},Clientes_Proveedores[Razon Social],Clientes_Proveedores[Ruc / Dni]),2,0),"")</f>
        <v>20611396121</v>
      </c>
      <c r="W2815" s="25"/>
      <c r="X2815" s="25"/>
      <c r="Y2815" s="25"/>
      <c r="Z2815" s="77" t="s">
        <v>3666</v>
      </c>
      <c r="AA2815" s="3" t="str">
        <f>IF(BCP_Soles[[#This Row],[fecha]]&gt;0,TEXT(BCP_Soles[[#This Row],[fecha]],"mmmm"),0)</f>
        <v>Julio</v>
      </c>
    </row>
    <row r="2816" spans="1:27" x14ac:dyDescent="0.3">
      <c r="A2816" s="2">
        <f>IF(BCP_Soles[[#This Row],[tipo_registro]]="R",COUNTIFS($C$1:$C2815,"R")+1,A2815)</f>
        <v>2001</v>
      </c>
      <c r="B2816" s="19" t="str">
        <f t="shared" si="226"/>
        <v>B-BCP - Soles</v>
      </c>
      <c r="C2816" s="3" t="s">
        <v>1352</v>
      </c>
      <c r="D2816" s="14">
        <v>45856</v>
      </c>
      <c r="E2816" s="5" t="s">
        <v>3190</v>
      </c>
      <c r="F2816" s="5"/>
      <c r="G2816" s="6" t="s">
        <v>286</v>
      </c>
      <c r="H2816" s="6" t="s">
        <v>68</v>
      </c>
      <c r="I2816" s="6" t="s">
        <v>1386</v>
      </c>
      <c r="J2816" s="6">
        <v>1709</v>
      </c>
      <c r="K2816" s="7" t="s">
        <v>3948</v>
      </c>
      <c r="L2816" s="8">
        <v>1017947</v>
      </c>
      <c r="M2816" s="8" t="str">
        <f t="shared" si="227"/>
        <v>PEN</v>
      </c>
      <c r="N2816" s="13">
        <v>46</v>
      </c>
      <c r="O2816" s="13"/>
      <c r="P2816" s="3">
        <f t="shared" si="228"/>
        <v>0</v>
      </c>
      <c r="Q2816" s="3">
        <f t="shared" si="229"/>
        <v>0</v>
      </c>
      <c r="R2816" s="3">
        <f t="shared" si="225"/>
        <v>12120.910000000029</v>
      </c>
      <c r="S2816" s="24" t="s">
        <v>1334</v>
      </c>
      <c r="T2816" s="24" t="s">
        <v>1334</v>
      </c>
      <c r="U2816" s="79"/>
      <c r="V2816" s="25">
        <f>IFERROR(VLOOKUP(BCP_Soles[[#This Row],[destinatario]],CHOOSE({1,2},Clientes_Proveedores[Razon Social],Clientes_Proveedores[Ruc / Dni]),2,0),"")</f>
        <v>20454186002</v>
      </c>
      <c r="W2816" s="25"/>
      <c r="X2816" s="25"/>
      <c r="Y2816" s="25"/>
      <c r="Z2816" s="77" t="s">
        <v>3666</v>
      </c>
      <c r="AA2816" s="3" t="str">
        <f>IF(BCP_Soles[[#This Row],[fecha]]&gt;0,TEXT(BCP_Soles[[#This Row],[fecha]],"mmmm"),0)</f>
        <v>Julio</v>
      </c>
    </row>
    <row r="2817" spans="1:27" ht="36" x14ac:dyDescent="0.3">
      <c r="A2817" s="2">
        <f>IF(BCP_Soles[[#This Row],[tipo_registro]]="R",COUNTIFS($C$1:$C2816,"R")+1,A2816)</f>
        <v>2001</v>
      </c>
      <c r="B2817" s="19" t="str">
        <f t="shared" si="226"/>
        <v>B-BCP - Soles</v>
      </c>
      <c r="C2817" s="3" t="s">
        <v>1352</v>
      </c>
      <c r="D2817" s="14">
        <v>45856</v>
      </c>
      <c r="E2817" s="5" t="s">
        <v>3190</v>
      </c>
      <c r="F2817" s="5"/>
      <c r="G2817" s="6" t="s">
        <v>383</v>
      </c>
      <c r="H2817" s="6" t="s">
        <v>68</v>
      </c>
      <c r="I2817" s="6" t="s">
        <v>1804</v>
      </c>
      <c r="J2817" s="6">
        <v>903</v>
      </c>
      <c r="K2817" s="7" t="s">
        <v>3948</v>
      </c>
      <c r="L2817" s="8">
        <v>1017947</v>
      </c>
      <c r="M2817" s="8" t="str">
        <f t="shared" si="227"/>
        <v>PEN</v>
      </c>
      <c r="N2817" s="13">
        <v>12</v>
      </c>
      <c r="O2817" s="13"/>
      <c r="P2817" s="3">
        <f t="shared" si="228"/>
        <v>0</v>
      </c>
      <c r="Q2817" s="3">
        <f t="shared" si="229"/>
        <v>0</v>
      </c>
      <c r="R2817" s="3">
        <f t="shared" si="225"/>
        <v>12120.910000000029</v>
      </c>
      <c r="S2817" s="24" t="s">
        <v>1334</v>
      </c>
      <c r="T2817" s="24" t="s">
        <v>1334</v>
      </c>
      <c r="U2817" s="79"/>
      <c r="V2817" s="25">
        <f>IFERROR(VLOOKUP(BCP_Soles[[#This Row],[destinatario]],CHOOSE({1,2},Clientes_Proveedores[Razon Social],Clientes_Proveedores[Ruc / Dni]),2,0),"")</f>
        <v>20538593053</v>
      </c>
      <c r="W2817" s="25"/>
      <c r="X2817" s="25"/>
      <c r="Y2817" s="25"/>
      <c r="Z2817" s="77" t="s">
        <v>3666</v>
      </c>
      <c r="AA2817" s="3" t="str">
        <f>IF(BCP_Soles[[#This Row],[fecha]]&gt;0,TEXT(BCP_Soles[[#This Row],[fecha]],"mmmm"),0)</f>
        <v>Julio</v>
      </c>
    </row>
    <row r="2818" spans="1:27" x14ac:dyDescent="0.3">
      <c r="A2818" s="2">
        <f>IF(BCP_Soles[[#This Row],[tipo_registro]]="R",COUNTIFS($C$1:$C2817,"R")+1,A2817)</f>
        <v>2001</v>
      </c>
      <c r="B2818" s="19" t="str">
        <f t="shared" si="226"/>
        <v>B-BCP - Soles</v>
      </c>
      <c r="C2818" s="3" t="s">
        <v>1352</v>
      </c>
      <c r="D2818" s="14">
        <v>45856</v>
      </c>
      <c r="E2818" s="5" t="s">
        <v>3190</v>
      </c>
      <c r="F2818" s="5"/>
      <c r="G2818" s="6" t="s">
        <v>522</v>
      </c>
      <c r="H2818" s="6" t="s">
        <v>68</v>
      </c>
      <c r="I2818" s="6" t="s">
        <v>1376</v>
      </c>
      <c r="J2818" s="6">
        <v>4012</v>
      </c>
      <c r="K2818" s="7" t="s">
        <v>3948</v>
      </c>
      <c r="L2818" s="8">
        <v>1017947</v>
      </c>
      <c r="M2818" s="8" t="str">
        <f t="shared" si="227"/>
        <v>PEN</v>
      </c>
      <c r="N2818" s="13">
        <v>80</v>
      </c>
      <c r="O2818" s="13"/>
      <c r="P2818" s="3">
        <f t="shared" si="228"/>
        <v>0</v>
      </c>
      <c r="Q2818" s="3">
        <f t="shared" si="229"/>
        <v>0</v>
      </c>
      <c r="R2818" s="3">
        <f t="shared" si="225"/>
        <v>12120.910000000029</v>
      </c>
      <c r="S2818" s="24" t="s">
        <v>1334</v>
      </c>
      <c r="T2818" s="24" t="s">
        <v>1334</v>
      </c>
      <c r="U2818" s="79"/>
      <c r="V2818" s="25">
        <f>IFERROR(VLOOKUP(BCP_Soles[[#This Row],[destinatario]],CHOOSE({1,2},Clientes_Proveedores[Razon Social],Clientes_Proveedores[Ruc / Dni]),2,0),"")</f>
        <v>20603974817</v>
      </c>
      <c r="W2818" s="25"/>
      <c r="X2818" s="25"/>
      <c r="Y2818" s="25"/>
      <c r="Z2818" s="77" t="s">
        <v>3666</v>
      </c>
      <c r="AA2818" s="3" t="str">
        <f>IF(BCP_Soles[[#This Row],[fecha]]&gt;0,TEXT(BCP_Soles[[#This Row],[fecha]],"mmmm"),0)</f>
        <v>Julio</v>
      </c>
    </row>
    <row r="2819" spans="1:27" x14ac:dyDescent="0.3">
      <c r="A2819" s="2">
        <f>IF(BCP_Soles[[#This Row],[tipo_registro]]="R",COUNTIFS($C$1:$C2818,"R")+1,A2818)</f>
        <v>2001</v>
      </c>
      <c r="B2819" s="19" t="str">
        <f t="shared" si="226"/>
        <v>B-BCP - Soles</v>
      </c>
      <c r="C2819" s="3" t="s">
        <v>1352</v>
      </c>
      <c r="D2819" s="14">
        <v>45856</v>
      </c>
      <c r="E2819" s="5" t="s">
        <v>3190</v>
      </c>
      <c r="F2819" s="5"/>
      <c r="G2819" s="6" t="s">
        <v>196</v>
      </c>
      <c r="H2819" s="6" t="s">
        <v>68</v>
      </c>
      <c r="I2819" s="6" t="s">
        <v>2226</v>
      </c>
      <c r="J2819" s="6">
        <v>6623</v>
      </c>
      <c r="K2819" s="7" t="s">
        <v>3948</v>
      </c>
      <c r="L2819" s="8">
        <v>1017947</v>
      </c>
      <c r="M2819" s="8" t="str">
        <f t="shared" si="227"/>
        <v>PEN</v>
      </c>
      <c r="N2819" s="13">
        <v>10</v>
      </c>
      <c r="O2819" s="13"/>
      <c r="P2819" s="3">
        <f t="shared" si="228"/>
        <v>0</v>
      </c>
      <c r="Q2819" s="3">
        <f t="shared" si="229"/>
        <v>0</v>
      </c>
      <c r="R2819" s="3">
        <f t="shared" si="225"/>
        <v>12120.910000000029</v>
      </c>
      <c r="S2819" s="24" t="s">
        <v>1334</v>
      </c>
      <c r="T2819" s="24" t="s">
        <v>1334</v>
      </c>
      <c r="U2819" s="79"/>
      <c r="V2819" s="25">
        <f>IFERROR(VLOOKUP(BCP_Soles[[#This Row],[destinatario]],CHOOSE({1,2},Clientes_Proveedores[Razon Social],Clientes_Proveedores[Ruc / Dni]),2,0),"")</f>
        <v>20100055237</v>
      </c>
      <c r="W2819" s="25"/>
      <c r="X2819" s="25"/>
      <c r="Y2819" s="25"/>
      <c r="Z2819" s="77" t="s">
        <v>3666</v>
      </c>
      <c r="AA2819" s="3" t="str">
        <f>IF(BCP_Soles[[#This Row],[fecha]]&gt;0,TEXT(BCP_Soles[[#This Row],[fecha]],"mmmm"),0)</f>
        <v>Julio</v>
      </c>
    </row>
    <row r="2820" spans="1:27" x14ac:dyDescent="0.3">
      <c r="A2820" s="2">
        <f>IF(BCP_Soles[[#This Row],[tipo_registro]]="R",COUNTIFS($C$1:$C2819,"R")+1,A2819)</f>
        <v>2001</v>
      </c>
      <c r="B2820" s="19" t="str">
        <f t="shared" si="226"/>
        <v>B-BCP - Soles</v>
      </c>
      <c r="C2820" s="3" t="s">
        <v>1352</v>
      </c>
      <c r="D2820" s="14">
        <v>45856</v>
      </c>
      <c r="E2820" s="5" t="s">
        <v>3190</v>
      </c>
      <c r="F2820" s="5"/>
      <c r="G2820" s="6" t="s">
        <v>196</v>
      </c>
      <c r="H2820" s="6" t="s">
        <v>68</v>
      </c>
      <c r="I2820" s="6" t="s">
        <v>2226</v>
      </c>
      <c r="J2820" s="6">
        <v>6624</v>
      </c>
      <c r="K2820" s="7" t="s">
        <v>3948</v>
      </c>
      <c r="L2820" s="8">
        <v>1017947</v>
      </c>
      <c r="M2820" s="8" t="str">
        <f t="shared" si="227"/>
        <v>PEN</v>
      </c>
      <c r="N2820" s="13">
        <v>54</v>
      </c>
      <c r="O2820" s="13"/>
      <c r="P2820" s="3">
        <f t="shared" si="228"/>
        <v>0</v>
      </c>
      <c r="Q2820" s="3">
        <f t="shared" si="229"/>
        <v>0</v>
      </c>
      <c r="R2820" s="3">
        <f t="shared" si="225"/>
        <v>12120.910000000029</v>
      </c>
      <c r="S2820" s="24" t="s">
        <v>1334</v>
      </c>
      <c r="T2820" s="24" t="s">
        <v>1334</v>
      </c>
      <c r="U2820" s="79"/>
      <c r="V2820" s="25">
        <f>IFERROR(VLOOKUP(BCP_Soles[[#This Row],[destinatario]],CHOOSE({1,2},Clientes_Proveedores[Razon Social],Clientes_Proveedores[Ruc / Dni]),2,0),"")</f>
        <v>20100055237</v>
      </c>
      <c r="W2820" s="25"/>
      <c r="X2820" s="25"/>
      <c r="Y2820" s="25"/>
      <c r="Z2820" s="77" t="s">
        <v>3666</v>
      </c>
      <c r="AA2820" s="3" t="str">
        <f>IF(BCP_Soles[[#This Row],[fecha]]&gt;0,TEXT(BCP_Soles[[#This Row],[fecha]],"mmmm"),0)</f>
        <v>Julio</v>
      </c>
    </row>
    <row r="2821" spans="1:27" x14ac:dyDescent="0.3">
      <c r="A2821" s="2">
        <f>IF(BCP_Soles[[#This Row],[tipo_registro]]="R",COUNTIFS($C$1:$C2820,"R")+1,A2820)</f>
        <v>2001</v>
      </c>
      <c r="B2821" s="19" t="str">
        <f t="shared" si="226"/>
        <v>B-BCP - Soles</v>
      </c>
      <c r="C2821" s="3" t="s">
        <v>1352</v>
      </c>
      <c r="D2821" s="14">
        <v>45856</v>
      </c>
      <c r="E2821" s="5" t="s">
        <v>3190</v>
      </c>
      <c r="F2821" s="5"/>
      <c r="G2821" s="6" t="s">
        <v>196</v>
      </c>
      <c r="H2821" s="6" t="s">
        <v>68</v>
      </c>
      <c r="I2821" s="6" t="s">
        <v>2226</v>
      </c>
      <c r="J2821" s="6">
        <v>6625</v>
      </c>
      <c r="K2821" s="7" t="s">
        <v>3948</v>
      </c>
      <c r="L2821" s="8">
        <v>1017947</v>
      </c>
      <c r="M2821" s="8" t="str">
        <f t="shared" si="227"/>
        <v>PEN</v>
      </c>
      <c r="N2821" s="13">
        <v>69</v>
      </c>
      <c r="O2821" s="13"/>
      <c r="P2821" s="3">
        <f t="shared" si="228"/>
        <v>0</v>
      </c>
      <c r="Q2821" s="3">
        <f t="shared" si="229"/>
        <v>0</v>
      </c>
      <c r="R2821" s="3">
        <f t="shared" si="225"/>
        <v>12120.910000000029</v>
      </c>
      <c r="S2821" s="24" t="s">
        <v>1334</v>
      </c>
      <c r="T2821" s="24" t="s">
        <v>1334</v>
      </c>
      <c r="U2821" s="79"/>
      <c r="V2821" s="25">
        <f>IFERROR(VLOOKUP(BCP_Soles[[#This Row],[destinatario]],CHOOSE({1,2},Clientes_Proveedores[Razon Social],Clientes_Proveedores[Ruc / Dni]),2,0),"")</f>
        <v>20100055237</v>
      </c>
      <c r="W2821" s="25"/>
      <c r="X2821" s="25"/>
      <c r="Y2821" s="25"/>
      <c r="Z2821" s="77" t="s">
        <v>3666</v>
      </c>
      <c r="AA2821" s="3" t="str">
        <f>IF(BCP_Soles[[#This Row],[fecha]]&gt;0,TEXT(BCP_Soles[[#This Row],[fecha]],"mmmm"),0)</f>
        <v>Julio</v>
      </c>
    </row>
    <row r="2822" spans="1:27" x14ac:dyDescent="0.3">
      <c r="A2822" s="2">
        <f>IF(BCP_Soles[[#This Row],[tipo_registro]]="R",COUNTIFS($C$1:$C2821,"R")+1,A2821)</f>
        <v>2001</v>
      </c>
      <c r="B2822" s="19" t="str">
        <f t="shared" si="226"/>
        <v>B-BCP - Soles</v>
      </c>
      <c r="C2822" s="3" t="s">
        <v>1352</v>
      </c>
      <c r="D2822" s="14">
        <v>45856</v>
      </c>
      <c r="E2822" s="5" t="s">
        <v>3190</v>
      </c>
      <c r="F2822" s="5"/>
      <c r="G2822" s="6" t="s">
        <v>196</v>
      </c>
      <c r="H2822" s="6" t="s">
        <v>68</v>
      </c>
      <c r="I2822" s="6" t="s">
        <v>2226</v>
      </c>
      <c r="J2822" s="6">
        <v>6626</v>
      </c>
      <c r="K2822" s="7" t="s">
        <v>3948</v>
      </c>
      <c r="L2822" s="8">
        <v>1017947</v>
      </c>
      <c r="M2822" s="8" t="str">
        <f t="shared" si="227"/>
        <v>PEN</v>
      </c>
      <c r="N2822" s="13">
        <v>17</v>
      </c>
      <c r="O2822" s="13"/>
      <c r="P2822" s="3">
        <f t="shared" si="228"/>
        <v>0</v>
      </c>
      <c r="Q2822" s="3">
        <f t="shared" si="229"/>
        <v>0</v>
      </c>
      <c r="R2822" s="3">
        <f t="shared" si="225"/>
        <v>12120.910000000029</v>
      </c>
      <c r="S2822" s="24" t="s">
        <v>1334</v>
      </c>
      <c r="T2822" s="24" t="s">
        <v>1334</v>
      </c>
      <c r="U2822" s="79"/>
      <c r="V2822" s="25">
        <f>IFERROR(VLOOKUP(BCP_Soles[[#This Row],[destinatario]],CHOOSE({1,2},Clientes_Proveedores[Razon Social],Clientes_Proveedores[Ruc / Dni]),2,0),"")</f>
        <v>20100055237</v>
      </c>
      <c r="W2822" s="25"/>
      <c r="X2822" s="25"/>
      <c r="Y2822" s="25"/>
      <c r="Z2822" s="77" t="s">
        <v>3666</v>
      </c>
      <c r="AA2822" s="3" t="str">
        <f>IF(BCP_Soles[[#This Row],[fecha]]&gt;0,TEXT(BCP_Soles[[#This Row],[fecha]],"mmmm"),0)</f>
        <v>Julio</v>
      </c>
    </row>
    <row r="2823" spans="1:27" ht="24" x14ac:dyDescent="0.3">
      <c r="A2823" s="2">
        <f>IF(BCP_Soles[[#This Row],[tipo_registro]]="R",COUNTIFS($C$1:$C2822,"R")+1,A2822)</f>
        <v>2001</v>
      </c>
      <c r="B2823" s="19" t="str">
        <f t="shared" si="226"/>
        <v>B-BCP - Soles</v>
      </c>
      <c r="C2823" s="3" t="s">
        <v>1352</v>
      </c>
      <c r="D2823" s="14">
        <v>45856</v>
      </c>
      <c r="E2823" s="5" t="s">
        <v>3190</v>
      </c>
      <c r="F2823" s="5"/>
      <c r="G2823" s="6" t="s">
        <v>1023</v>
      </c>
      <c r="H2823" s="6" t="s">
        <v>68</v>
      </c>
      <c r="I2823" s="6" t="s">
        <v>1376</v>
      </c>
      <c r="J2823" s="6">
        <v>33</v>
      </c>
      <c r="K2823" s="7" t="s">
        <v>3948</v>
      </c>
      <c r="L2823" s="8">
        <v>1017947</v>
      </c>
      <c r="M2823" s="8" t="str">
        <f t="shared" si="227"/>
        <v>PEN</v>
      </c>
      <c r="N2823" s="13">
        <v>36</v>
      </c>
      <c r="O2823" s="13"/>
      <c r="P2823" s="3">
        <f t="shared" si="228"/>
        <v>0</v>
      </c>
      <c r="Q2823" s="3">
        <f t="shared" si="229"/>
        <v>0</v>
      </c>
      <c r="R2823" s="3">
        <f t="shared" si="225"/>
        <v>12120.910000000029</v>
      </c>
      <c r="S2823" s="24" t="s">
        <v>1334</v>
      </c>
      <c r="T2823" s="24" t="s">
        <v>1334</v>
      </c>
      <c r="U2823" s="79"/>
      <c r="V2823" s="25">
        <f>IFERROR(VLOOKUP(BCP_Soles[[#This Row],[destinatario]],CHOOSE({1,2},Clientes_Proveedores[Razon Social],Clientes_Proveedores[Ruc / Dni]),2,0),"")</f>
        <v>10410162551</v>
      </c>
      <c r="W2823" s="25"/>
      <c r="X2823" s="25"/>
      <c r="Y2823" s="25"/>
      <c r="Z2823" s="77" t="s">
        <v>3666</v>
      </c>
      <c r="AA2823" s="3" t="str">
        <f>IF(BCP_Soles[[#This Row],[fecha]]&gt;0,TEXT(BCP_Soles[[#This Row],[fecha]],"mmmm"),0)</f>
        <v>Julio</v>
      </c>
    </row>
    <row r="2824" spans="1:27" ht="24" x14ac:dyDescent="0.3">
      <c r="A2824" s="2">
        <f>IF(BCP_Soles[[#This Row],[tipo_registro]]="R",COUNTIFS($C$1:$C2823,"R")+1,A2823)</f>
        <v>2001</v>
      </c>
      <c r="B2824" s="19" t="str">
        <f t="shared" si="226"/>
        <v>B-BCP - Soles</v>
      </c>
      <c r="C2824" s="3" t="s">
        <v>1352</v>
      </c>
      <c r="D2824" s="14">
        <v>45856</v>
      </c>
      <c r="E2824" s="5" t="s">
        <v>3190</v>
      </c>
      <c r="F2824" s="5"/>
      <c r="G2824" s="6" t="s">
        <v>667</v>
      </c>
      <c r="H2824" s="6" t="s">
        <v>68</v>
      </c>
      <c r="I2824" s="6" t="s">
        <v>1376</v>
      </c>
      <c r="J2824" s="6">
        <v>45</v>
      </c>
      <c r="K2824" s="7" t="s">
        <v>3948</v>
      </c>
      <c r="L2824" s="8">
        <v>1017947</v>
      </c>
      <c r="M2824" s="8" t="str">
        <f t="shared" si="227"/>
        <v>PEN</v>
      </c>
      <c r="N2824" s="13">
        <v>21</v>
      </c>
      <c r="O2824" s="13"/>
      <c r="P2824" s="3">
        <f t="shared" si="228"/>
        <v>0</v>
      </c>
      <c r="Q2824" s="3">
        <f t="shared" si="229"/>
        <v>0</v>
      </c>
      <c r="R2824" s="3">
        <f t="shared" si="225"/>
        <v>12120.910000000029</v>
      </c>
      <c r="S2824" s="24" t="s">
        <v>1334</v>
      </c>
      <c r="T2824" s="24" t="s">
        <v>1334</v>
      </c>
      <c r="U2824" s="79"/>
      <c r="V2824" s="25">
        <f>IFERROR(VLOOKUP(BCP_Soles[[#This Row],[destinatario]],CHOOSE({1,2},Clientes_Proveedores[Razon Social],Clientes_Proveedores[Ruc / Dni]),2,0),"")</f>
        <v>10410687491</v>
      </c>
      <c r="W2824" s="25"/>
      <c r="X2824" s="25"/>
      <c r="Y2824" s="25"/>
      <c r="Z2824" s="77" t="s">
        <v>3666</v>
      </c>
      <c r="AA2824" s="3" t="str">
        <f>IF(BCP_Soles[[#This Row],[fecha]]&gt;0,TEXT(BCP_Soles[[#This Row],[fecha]],"mmmm"),0)</f>
        <v>Julio</v>
      </c>
    </row>
    <row r="2825" spans="1:27" ht="36" x14ac:dyDescent="0.3">
      <c r="A2825" s="2">
        <f>IF(BCP_Soles[[#This Row],[tipo_registro]]="R",COUNTIFS($C$1:$C2824,"R")+1,A2824)</f>
        <v>2001</v>
      </c>
      <c r="B2825" s="19" t="str">
        <f t="shared" si="226"/>
        <v>B-BCP - Soles</v>
      </c>
      <c r="C2825" s="3" t="s">
        <v>1352</v>
      </c>
      <c r="D2825" s="14">
        <v>45856</v>
      </c>
      <c r="E2825" s="5" t="s">
        <v>3190</v>
      </c>
      <c r="F2825" s="5"/>
      <c r="G2825" s="6" t="s">
        <v>474</v>
      </c>
      <c r="H2825" s="6" t="s">
        <v>68</v>
      </c>
      <c r="I2825" s="6" t="s">
        <v>1376</v>
      </c>
      <c r="J2825" s="6">
        <v>812</v>
      </c>
      <c r="K2825" s="7" t="s">
        <v>3948</v>
      </c>
      <c r="L2825" s="8">
        <v>1017947</v>
      </c>
      <c r="M2825" s="8" t="str">
        <f t="shared" si="227"/>
        <v>PEN</v>
      </c>
      <c r="N2825" s="13">
        <v>44</v>
      </c>
      <c r="O2825" s="13"/>
      <c r="P2825" s="3">
        <f t="shared" si="228"/>
        <v>0</v>
      </c>
      <c r="Q2825" s="3">
        <f t="shared" si="229"/>
        <v>0</v>
      </c>
      <c r="R2825" s="3">
        <f t="shared" ref="R2825:R2888" si="230">IFERROR(IF(F2825="SALDO",P2825,R2824+P2825-Q2825),0)</f>
        <v>12120.910000000029</v>
      </c>
      <c r="S2825" s="24" t="s">
        <v>1334</v>
      </c>
      <c r="T2825" s="24" t="s">
        <v>1334</v>
      </c>
      <c r="U2825" s="79"/>
      <c r="V2825" s="25">
        <f>IFERROR(VLOOKUP(BCP_Soles[[#This Row],[destinatario]],CHOOSE({1,2},Clientes_Proveedores[Razon Social],Clientes_Proveedores[Ruc / Dni]),2,0),"")</f>
        <v>20602075177</v>
      </c>
      <c r="W2825" s="25"/>
      <c r="X2825" s="25"/>
      <c r="Y2825" s="25"/>
      <c r="Z2825" s="77" t="s">
        <v>3666</v>
      </c>
      <c r="AA2825" s="3" t="str">
        <f>IF(BCP_Soles[[#This Row],[fecha]]&gt;0,TEXT(BCP_Soles[[#This Row],[fecha]],"mmmm"),0)</f>
        <v>Julio</v>
      </c>
    </row>
    <row r="2826" spans="1:27" ht="24" x14ac:dyDescent="0.3">
      <c r="A2826" s="2">
        <f>IF(BCP_Soles[[#This Row],[tipo_registro]]="R",COUNTIFS($C$1:$C2825,"R")+1,A2825)</f>
        <v>2001</v>
      </c>
      <c r="B2826" s="19" t="str">
        <f t="shared" si="226"/>
        <v>B-BCP - Soles</v>
      </c>
      <c r="C2826" s="3" t="s">
        <v>1352</v>
      </c>
      <c r="D2826" s="14">
        <v>45856</v>
      </c>
      <c r="E2826" s="5" t="s">
        <v>3190</v>
      </c>
      <c r="F2826" s="5"/>
      <c r="G2826" s="6" t="s">
        <v>667</v>
      </c>
      <c r="H2826" s="6" t="s">
        <v>68</v>
      </c>
      <c r="I2826" s="6" t="s">
        <v>1376</v>
      </c>
      <c r="J2826" s="6">
        <v>44</v>
      </c>
      <c r="K2826" s="7" t="s">
        <v>3948</v>
      </c>
      <c r="L2826" s="8">
        <v>1017947</v>
      </c>
      <c r="M2826" s="8" t="str">
        <f t="shared" si="227"/>
        <v>PEN</v>
      </c>
      <c r="N2826" s="13">
        <v>21</v>
      </c>
      <c r="O2826" s="13"/>
      <c r="P2826" s="3">
        <f t="shared" si="228"/>
        <v>0</v>
      </c>
      <c r="Q2826" s="3">
        <f t="shared" si="229"/>
        <v>0</v>
      </c>
      <c r="R2826" s="3">
        <f t="shared" si="230"/>
        <v>12120.910000000029</v>
      </c>
      <c r="S2826" s="24" t="s">
        <v>1334</v>
      </c>
      <c r="T2826" s="24" t="s">
        <v>1334</v>
      </c>
      <c r="U2826" s="79"/>
      <c r="V2826" s="25">
        <f>IFERROR(VLOOKUP(BCP_Soles[[#This Row],[destinatario]],CHOOSE({1,2},Clientes_Proveedores[Razon Social],Clientes_Proveedores[Ruc / Dni]),2,0),"")</f>
        <v>10410687491</v>
      </c>
      <c r="W2826" s="25"/>
      <c r="X2826" s="25"/>
      <c r="Y2826" s="25"/>
      <c r="Z2826" s="77" t="s">
        <v>3666</v>
      </c>
      <c r="AA2826" s="3" t="str">
        <f>IF(BCP_Soles[[#This Row],[fecha]]&gt;0,TEXT(BCP_Soles[[#This Row],[fecha]],"mmmm"),0)</f>
        <v>Julio</v>
      </c>
    </row>
    <row r="2827" spans="1:27" ht="24" x14ac:dyDescent="0.3">
      <c r="A2827" s="2">
        <f>IF(BCP_Soles[[#This Row],[tipo_registro]]="R",COUNTIFS($C$1:$C2826,"R")+1,A2826)</f>
        <v>2001</v>
      </c>
      <c r="B2827" s="19" t="str">
        <f t="shared" si="226"/>
        <v>B-BCP - Soles</v>
      </c>
      <c r="C2827" s="3" t="s">
        <v>1352</v>
      </c>
      <c r="D2827" s="14">
        <v>45856</v>
      </c>
      <c r="E2827" s="5" t="s">
        <v>3190</v>
      </c>
      <c r="F2827" s="5"/>
      <c r="G2827" s="6" t="s">
        <v>271</v>
      </c>
      <c r="H2827" s="6" t="s">
        <v>68</v>
      </c>
      <c r="I2827" s="6" t="s">
        <v>1375</v>
      </c>
      <c r="J2827" s="6">
        <v>6949</v>
      </c>
      <c r="K2827" s="7" t="s">
        <v>3948</v>
      </c>
      <c r="L2827" s="8">
        <v>1017947</v>
      </c>
      <c r="M2827" s="8" t="str">
        <f t="shared" si="227"/>
        <v>PEN</v>
      </c>
      <c r="N2827" s="13">
        <v>136</v>
      </c>
      <c r="O2827" s="13"/>
      <c r="P2827" s="3">
        <f t="shared" si="228"/>
        <v>0</v>
      </c>
      <c r="Q2827" s="3">
        <f t="shared" si="229"/>
        <v>0</v>
      </c>
      <c r="R2827" s="3">
        <f t="shared" si="230"/>
        <v>12120.910000000029</v>
      </c>
      <c r="S2827" s="24" t="s">
        <v>1334</v>
      </c>
      <c r="T2827" s="24" t="s">
        <v>1334</v>
      </c>
      <c r="U2827" s="79"/>
      <c r="V2827" s="25">
        <f>IFERROR(VLOOKUP(BCP_Soles[[#This Row],[destinatario]],CHOOSE({1,2},Clientes_Proveedores[Razon Social],Clientes_Proveedores[Ruc / Dni]),2,0),"")</f>
        <v>20419158462</v>
      </c>
      <c r="W2827" s="25"/>
      <c r="X2827" s="25"/>
      <c r="Y2827" s="25"/>
      <c r="Z2827" s="77" t="s">
        <v>3666</v>
      </c>
      <c r="AA2827" s="3" t="str">
        <f>IF(BCP_Soles[[#This Row],[fecha]]&gt;0,TEXT(BCP_Soles[[#This Row],[fecha]],"mmmm"),0)</f>
        <v>Julio</v>
      </c>
    </row>
    <row r="2828" spans="1:27" x14ac:dyDescent="0.3">
      <c r="A2828" s="2">
        <f>IF(BCP_Soles[[#This Row],[tipo_registro]]="R",COUNTIFS($C$1:$C2827,"R")+1,A2827)</f>
        <v>2002</v>
      </c>
      <c r="B2828" s="19" t="str">
        <f t="shared" si="226"/>
        <v>B-BCP - Soles</v>
      </c>
      <c r="C2828" s="3" t="s">
        <v>1330</v>
      </c>
      <c r="D2828" s="14">
        <v>45856</v>
      </c>
      <c r="E2828" s="5" t="s">
        <v>1335</v>
      </c>
      <c r="F2828" s="5" t="s">
        <v>1336</v>
      </c>
      <c r="G2828" s="6" t="s">
        <v>1009</v>
      </c>
      <c r="H2828" s="6" t="s">
        <v>64</v>
      </c>
      <c r="I2828" s="6" t="s">
        <v>3673</v>
      </c>
      <c r="J2828" s="6">
        <v>2002</v>
      </c>
      <c r="K2828" s="7" t="s">
        <v>3160</v>
      </c>
      <c r="L2828" s="8"/>
      <c r="M2828" s="8" t="str">
        <f t="shared" si="227"/>
        <v>PEN</v>
      </c>
      <c r="N2828" s="13"/>
      <c r="O2828" s="13">
        <v>0.85</v>
      </c>
      <c r="P2828" s="3">
        <f t="shared" si="228"/>
        <v>0</v>
      </c>
      <c r="Q2828" s="3">
        <f t="shared" si="229"/>
        <v>0.85</v>
      </c>
      <c r="R2828" s="3">
        <f t="shared" si="230"/>
        <v>12120.060000000029</v>
      </c>
      <c r="S2828" s="24" t="s">
        <v>1334</v>
      </c>
      <c r="T2828" s="24" t="s">
        <v>1334</v>
      </c>
      <c r="U2828" s="55"/>
      <c r="V2828" s="25">
        <f>IFERROR(VLOOKUP(BCP_Soles[[#This Row],[destinatario]],CHOOSE({1,2},Clientes_Proveedores[Razon Social],Clientes_Proveedores[Ruc / Dni]),2,0),"")</f>
        <v>11111111</v>
      </c>
      <c r="W2828" s="25"/>
      <c r="X2828" s="25"/>
      <c r="Y2828" s="25"/>
      <c r="Z2828" s="77"/>
      <c r="AA2828" s="3" t="str">
        <f>IF(BCP_Soles[[#This Row],[fecha]]&gt;0,TEXT(BCP_Soles[[#This Row],[fecha]],"mmmm"),0)</f>
        <v>Julio</v>
      </c>
    </row>
    <row r="2829" spans="1:27" ht="24" x14ac:dyDescent="0.3">
      <c r="A2829" s="2">
        <f>IF(BCP_Soles[[#This Row],[tipo_registro]]="R",COUNTIFS($C$1:$C2828,"R")+1,A2828)</f>
        <v>2003</v>
      </c>
      <c r="B2829" s="19" t="str">
        <f t="shared" si="226"/>
        <v>B-BCP - Soles</v>
      </c>
      <c r="C2829" s="3" t="s">
        <v>1330</v>
      </c>
      <c r="D2829" s="14">
        <v>45857</v>
      </c>
      <c r="E2829" s="5" t="s">
        <v>462</v>
      </c>
      <c r="F2829" s="5" t="s">
        <v>1303</v>
      </c>
      <c r="G2829" s="6" t="s">
        <v>425</v>
      </c>
      <c r="H2829" s="6" t="s">
        <v>68</v>
      </c>
      <c r="I2829" s="6" t="s">
        <v>3381</v>
      </c>
      <c r="J2829" s="6">
        <v>46</v>
      </c>
      <c r="K2829" s="7" t="s">
        <v>1356</v>
      </c>
      <c r="L2829" s="8">
        <v>2471273</v>
      </c>
      <c r="M2829" s="8" t="str">
        <f t="shared" si="227"/>
        <v>PEN</v>
      </c>
      <c r="N2829" s="13"/>
      <c r="O2829" s="13">
        <v>1097.99</v>
      </c>
      <c r="P2829" s="3">
        <f t="shared" si="228"/>
        <v>1097.99</v>
      </c>
      <c r="Q2829" s="3">
        <f t="shared" si="229"/>
        <v>0</v>
      </c>
      <c r="R2829" s="3">
        <f t="shared" si="230"/>
        <v>13218.050000000028</v>
      </c>
      <c r="S2829" s="24" t="s">
        <v>1334</v>
      </c>
      <c r="T2829" s="24" t="s">
        <v>1334</v>
      </c>
      <c r="U2829" s="55"/>
      <c r="V2829" s="25">
        <f>IFERROR(VLOOKUP(BCP_Soles[[#This Row],[destinatario]],CHOOSE({1,2},Clientes_Proveedores[Razon Social],Clientes_Proveedores[Ruc / Dni]),2,0),"")</f>
        <v>20558226979</v>
      </c>
      <c r="W2829" s="25"/>
      <c r="X2829" s="25"/>
      <c r="Y2829" s="25"/>
      <c r="Z2829" s="77"/>
      <c r="AA2829" s="3" t="str">
        <f>IF(BCP_Soles[[#This Row],[fecha]]&gt;0,TEXT(BCP_Soles[[#This Row],[fecha]],"mmmm"),0)</f>
        <v>Julio</v>
      </c>
    </row>
    <row r="2830" spans="1:27" ht="24" x14ac:dyDescent="0.3">
      <c r="A2830" s="2">
        <f>IF(BCP_Soles[[#This Row],[tipo_registro]]="R",COUNTIFS($C$1:$C2829,"R")+1,A2829)</f>
        <v>2004</v>
      </c>
      <c r="B2830" s="19" t="str">
        <f t="shared" si="226"/>
        <v>B-BCP - Soles</v>
      </c>
      <c r="C2830" s="3" t="s">
        <v>1330</v>
      </c>
      <c r="D2830" s="14">
        <v>45857</v>
      </c>
      <c r="E2830" s="5" t="s">
        <v>462</v>
      </c>
      <c r="F2830" s="5" t="s">
        <v>1303</v>
      </c>
      <c r="G2830" s="6" t="s">
        <v>425</v>
      </c>
      <c r="H2830" s="6" t="s">
        <v>68</v>
      </c>
      <c r="I2830" s="6" t="s">
        <v>3381</v>
      </c>
      <c r="J2830" s="6">
        <v>47</v>
      </c>
      <c r="K2830" s="7" t="s">
        <v>1356</v>
      </c>
      <c r="L2830" s="8">
        <v>2453794</v>
      </c>
      <c r="M2830" s="8" t="str">
        <f t="shared" si="227"/>
        <v>PEN</v>
      </c>
      <c r="N2830" s="13"/>
      <c r="O2830" s="13">
        <v>779.99</v>
      </c>
      <c r="P2830" s="3">
        <f t="shared" si="228"/>
        <v>779.99</v>
      </c>
      <c r="Q2830" s="3">
        <f t="shared" si="229"/>
        <v>0</v>
      </c>
      <c r="R2830" s="3">
        <f t="shared" si="230"/>
        <v>13998.040000000028</v>
      </c>
      <c r="S2830" s="24" t="s">
        <v>1334</v>
      </c>
      <c r="T2830" s="24" t="s">
        <v>1334</v>
      </c>
      <c r="U2830" s="55"/>
      <c r="V2830" s="25">
        <f>IFERROR(VLOOKUP(BCP_Soles[[#This Row],[destinatario]],CHOOSE({1,2},Clientes_Proveedores[Razon Social],Clientes_Proveedores[Ruc / Dni]),2,0),"")</f>
        <v>20558226979</v>
      </c>
      <c r="W2830" s="25"/>
      <c r="X2830" s="25"/>
      <c r="Y2830" s="25"/>
      <c r="Z2830" s="77"/>
      <c r="AA2830" s="3" t="str">
        <f>IF(BCP_Soles[[#This Row],[fecha]]&gt;0,TEXT(BCP_Soles[[#This Row],[fecha]],"mmmm"),0)</f>
        <v>Julio</v>
      </c>
    </row>
    <row r="2831" spans="1:27" x14ac:dyDescent="0.3">
      <c r="A2831" s="2">
        <f>IF(BCP_Soles[[#This Row],[tipo_registro]]="R",COUNTIFS($C$1:$C2830,"R")+1,A2830)</f>
        <v>2005</v>
      </c>
      <c r="B2831" s="19" t="str">
        <f t="shared" si="226"/>
        <v>B-BCP - Soles</v>
      </c>
      <c r="C2831" s="3" t="s">
        <v>1330</v>
      </c>
      <c r="D2831" s="14">
        <v>45858</v>
      </c>
      <c r="E2831" s="5" t="s">
        <v>1335</v>
      </c>
      <c r="F2831" s="5" t="s">
        <v>1336</v>
      </c>
      <c r="G2831" s="6" t="s">
        <v>1009</v>
      </c>
      <c r="H2831" s="6" t="s">
        <v>64</v>
      </c>
      <c r="I2831" s="6" t="s">
        <v>3673</v>
      </c>
      <c r="J2831" s="6">
        <v>2005</v>
      </c>
      <c r="K2831" s="7" t="s">
        <v>3160</v>
      </c>
      <c r="L2831" s="8"/>
      <c r="M2831" s="8" t="str">
        <f t="shared" si="227"/>
        <v>PEN</v>
      </c>
      <c r="N2831" s="13"/>
      <c r="O2831" s="13">
        <v>0.05</v>
      </c>
      <c r="P2831" s="3">
        <f t="shared" si="228"/>
        <v>0</v>
      </c>
      <c r="Q2831" s="3">
        <f t="shared" si="229"/>
        <v>0.05</v>
      </c>
      <c r="R2831" s="3">
        <f t="shared" si="230"/>
        <v>13997.990000000029</v>
      </c>
      <c r="S2831" s="24" t="s">
        <v>1334</v>
      </c>
      <c r="T2831" s="24" t="s">
        <v>1334</v>
      </c>
      <c r="U2831" s="55"/>
      <c r="V2831" s="25">
        <f>IFERROR(VLOOKUP(BCP_Soles[[#This Row],[destinatario]],CHOOSE({1,2},Clientes_Proveedores[Razon Social],Clientes_Proveedores[Ruc / Dni]),2,0),"")</f>
        <v>11111111</v>
      </c>
      <c r="W2831" s="25"/>
      <c r="X2831" s="25"/>
      <c r="Y2831" s="25"/>
      <c r="Z2831" s="77"/>
      <c r="AA2831" s="3" t="str">
        <f>IF(BCP_Soles[[#This Row],[fecha]]&gt;0,TEXT(BCP_Soles[[#This Row],[fecha]],"mmmm"),0)</f>
        <v>Julio</v>
      </c>
    </row>
    <row r="2832" spans="1:27" ht="36" x14ac:dyDescent="0.3">
      <c r="A2832" s="2">
        <f>IF(BCP_Soles[[#This Row],[tipo_registro]]="R",COUNTIFS($C$1:$C2831,"R")+1,A2831)</f>
        <v>2006</v>
      </c>
      <c r="B2832" s="19" t="str">
        <f t="shared" si="226"/>
        <v>B-BCP - Soles</v>
      </c>
      <c r="C2832" s="3" t="s">
        <v>1330</v>
      </c>
      <c r="D2832" s="14">
        <v>45859</v>
      </c>
      <c r="E2832" s="5" t="s">
        <v>237</v>
      </c>
      <c r="F2832" s="5" t="s">
        <v>1303</v>
      </c>
      <c r="G2832" s="6" t="s">
        <v>425</v>
      </c>
      <c r="H2832" s="6" t="s">
        <v>68</v>
      </c>
      <c r="I2832" s="6" t="s">
        <v>1784</v>
      </c>
      <c r="J2832" s="6">
        <v>168</v>
      </c>
      <c r="K2832" s="7" t="s">
        <v>3949</v>
      </c>
      <c r="L2832" s="8">
        <v>2765562</v>
      </c>
      <c r="M2832" s="8" t="str">
        <f t="shared" si="227"/>
        <v>PEN</v>
      </c>
      <c r="N2832" s="13"/>
      <c r="O2832" s="13">
        <v>1913.98</v>
      </c>
      <c r="P2832" s="3">
        <f t="shared" si="228"/>
        <v>1913.98</v>
      </c>
      <c r="Q2832" s="3">
        <f t="shared" si="229"/>
        <v>0</v>
      </c>
      <c r="R2832" s="3">
        <f t="shared" si="230"/>
        <v>15911.970000000028</v>
      </c>
      <c r="S2832" s="24" t="s">
        <v>1334</v>
      </c>
      <c r="T2832" s="24" t="s">
        <v>1334</v>
      </c>
      <c r="U2832" s="55"/>
      <c r="V2832" s="25">
        <f>IFERROR(VLOOKUP(BCP_Soles[[#This Row],[destinatario]],CHOOSE({1,2},Clientes_Proveedores[Razon Social],Clientes_Proveedores[Ruc / Dni]),2,0),"")</f>
        <v>20558226979</v>
      </c>
      <c r="W2832" s="25"/>
      <c r="X2832" s="25"/>
      <c r="Y2832" s="25"/>
      <c r="Z2832" s="77"/>
      <c r="AA2832" s="3" t="str">
        <f>IF(BCP_Soles[[#This Row],[fecha]]&gt;0,TEXT(BCP_Soles[[#This Row],[fecha]],"mmmm"),0)</f>
        <v>Julio</v>
      </c>
    </row>
    <row r="2833" spans="1:27" ht="24" x14ac:dyDescent="0.3">
      <c r="A2833" s="2">
        <f>IF(BCP_Soles[[#This Row],[tipo_registro]]="R",COUNTIFS($C$1:$C2832,"R")+1,A2832)</f>
        <v>2007</v>
      </c>
      <c r="B2833" s="19" t="str">
        <f t="shared" si="226"/>
        <v>B-BCP - Soles</v>
      </c>
      <c r="C2833" s="3" t="s">
        <v>1330</v>
      </c>
      <c r="D2833" s="14">
        <v>45859</v>
      </c>
      <c r="E2833" s="5" t="s">
        <v>697</v>
      </c>
      <c r="F2833" s="5" t="s">
        <v>1303</v>
      </c>
      <c r="G2833" s="6" t="s">
        <v>425</v>
      </c>
      <c r="H2833" s="6" t="s">
        <v>68</v>
      </c>
      <c r="I2833" s="6" t="s">
        <v>3302</v>
      </c>
      <c r="J2833" s="6">
        <v>95</v>
      </c>
      <c r="K2833" s="7" t="s">
        <v>1930</v>
      </c>
      <c r="L2833" s="8">
        <v>6028931</v>
      </c>
      <c r="M2833" s="8" t="str">
        <f t="shared" si="227"/>
        <v>PEN</v>
      </c>
      <c r="N2833" s="13"/>
      <c r="O2833" s="13">
        <v>319</v>
      </c>
      <c r="P2833" s="3">
        <f t="shared" si="228"/>
        <v>319</v>
      </c>
      <c r="Q2833" s="3">
        <f t="shared" si="229"/>
        <v>0</v>
      </c>
      <c r="R2833" s="3">
        <f t="shared" si="230"/>
        <v>16230.970000000028</v>
      </c>
      <c r="S2833" s="24" t="s">
        <v>1334</v>
      </c>
      <c r="T2833" s="24" t="s">
        <v>1334</v>
      </c>
      <c r="U2833" s="55"/>
      <c r="V2833" s="25">
        <f>IFERROR(VLOOKUP(BCP_Soles[[#This Row],[destinatario]],CHOOSE({1,2},Clientes_Proveedores[Razon Social],Clientes_Proveedores[Ruc / Dni]),2,0),"")</f>
        <v>20558226979</v>
      </c>
      <c r="W2833" s="25"/>
      <c r="X2833" s="25"/>
      <c r="Y2833" s="25"/>
      <c r="Z2833" s="77"/>
      <c r="AA2833" s="3" t="str">
        <f>IF(BCP_Soles[[#This Row],[fecha]]&gt;0,TEXT(BCP_Soles[[#This Row],[fecha]],"mmmm"),0)</f>
        <v>Julio</v>
      </c>
    </row>
    <row r="2834" spans="1:27" ht="24" x14ac:dyDescent="0.3">
      <c r="A2834" s="2">
        <f>IF(BCP_Soles[[#This Row],[tipo_registro]]="R",COUNTIFS($C$1:$C2833,"R")+1,A2833)</f>
        <v>2008</v>
      </c>
      <c r="B2834" s="19" t="str">
        <f t="shared" si="226"/>
        <v>B-BCP - Soles</v>
      </c>
      <c r="C2834" s="3" t="s">
        <v>1330</v>
      </c>
      <c r="D2834" s="14">
        <v>45859</v>
      </c>
      <c r="E2834" s="5" t="s">
        <v>2205</v>
      </c>
      <c r="F2834" s="5" t="s">
        <v>1303</v>
      </c>
      <c r="G2834" s="6" t="s">
        <v>425</v>
      </c>
      <c r="H2834" s="6" t="s">
        <v>119</v>
      </c>
      <c r="I2834" s="6">
        <v>1</v>
      </c>
      <c r="J2834" s="6">
        <v>4619</v>
      </c>
      <c r="K2834" s="7" t="s">
        <v>1356</v>
      </c>
      <c r="L2834" s="8">
        <v>4052535</v>
      </c>
      <c r="M2834" s="8" t="str">
        <f t="shared" si="227"/>
        <v>PEN</v>
      </c>
      <c r="N2834" s="13"/>
      <c r="O2834" s="13">
        <v>2997</v>
      </c>
      <c r="P2834" s="3">
        <f t="shared" si="228"/>
        <v>2997</v>
      </c>
      <c r="Q2834" s="3">
        <f t="shared" si="229"/>
        <v>0</v>
      </c>
      <c r="R2834" s="3">
        <f t="shared" si="230"/>
        <v>19227.97000000003</v>
      </c>
      <c r="S2834" s="24" t="s">
        <v>1334</v>
      </c>
      <c r="T2834" s="24" t="s">
        <v>1334</v>
      </c>
      <c r="U2834" s="55"/>
      <c r="V2834" s="25">
        <f>IFERROR(VLOOKUP(BCP_Soles[[#This Row],[destinatario]],CHOOSE({1,2},Clientes_Proveedores[Razon Social],Clientes_Proveedores[Ruc / Dni]),2,0),"")</f>
        <v>20558226979</v>
      </c>
      <c r="W2834" s="25"/>
      <c r="X2834" s="25"/>
      <c r="Y2834" s="25"/>
      <c r="Z2834" s="77"/>
      <c r="AA2834" s="3" t="str">
        <f>IF(BCP_Soles[[#This Row],[fecha]]&gt;0,TEXT(BCP_Soles[[#This Row],[fecha]],"mmmm"),0)</f>
        <v>Julio</v>
      </c>
    </row>
    <row r="2835" spans="1:27" x14ac:dyDescent="0.3">
      <c r="A2835" s="2">
        <f>IF(BCP_Soles[[#This Row],[tipo_registro]]="R",COUNTIFS($C$1:$C2834,"R")+1,A2834)</f>
        <v>2009</v>
      </c>
      <c r="B2835" s="19" t="str">
        <f t="shared" si="226"/>
        <v>B-BCP - Soles</v>
      </c>
      <c r="C2835" s="3" t="s">
        <v>1330</v>
      </c>
      <c r="D2835" s="14">
        <v>45859</v>
      </c>
      <c r="E2835" s="5" t="s">
        <v>2269</v>
      </c>
      <c r="F2835" s="5" t="s">
        <v>1336</v>
      </c>
      <c r="G2835" s="6" t="s">
        <v>695</v>
      </c>
      <c r="H2835" s="6"/>
      <c r="I2835" s="6"/>
      <c r="J2835" s="6"/>
      <c r="K2835" s="7" t="s">
        <v>3552</v>
      </c>
      <c r="L2835" s="8">
        <v>144039</v>
      </c>
      <c r="M2835" s="8" t="str">
        <f t="shared" si="227"/>
        <v>PEN</v>
      </c>
      <c r="N2835" s="13"/>
      <c r="O2835" s="13">
        <v>1761.99</v>
      </c>
      <c r="P2835" s="3">
        <f t="shared" si="228"/>
        <v>0</v>
      </c>
      <c r="Q2835" s="3">
        <f t="shared" si="229"/>
        <v>1761.99</v>
      </c>
      <c r="R2835" s="3">
        <f t="shared" si="230"/>
        <v>17465.980000000029</v>
      </c>
      <c r="S2835" s="24" t="s">
        <v>1334</v>
      </c>
      <c r="T2835" s="24" t="s">
        <v>1334</v>
      </c>
      <c r="U2835" s="55" t="s">
        <v>3950</v>
      </c>
      <c r="V2835" s="25">
        <f>IFERROR(VLOOKUP(BCP_Soles[[#This Row],[destinatario]],CHOOSE({1,2},Clientes_Proveedores[Razon Social],Clientes_Proveedores[Ruc / Dni]),2,0),"")</f>
        <v>20127765279</v>
      </c>
      <c r="W2835" s="25"/>
      <c r="X2835" s="25"/>
      <c r="Y2835" s="25"/>
      <c r="Z2835" s="77"/>
      <c r="AA2835" s="3" t="str">
        <f>IF(BCP_Soles[[#This Row],[fecha]]&gt;0,TEXT(BCP_Soles[[#This Row],[fecha]],"mmmm"),0)</f>
        <v>Julio</v>
      </c>
    </row>
    <row r="2836" spans="1:27" x14ac:dyDescent="0.3">
      <c r="A2836" s="2">
        <f>IF(BCP_Soles[[#This Row],[tipo_registro]]="R",COUNTIFS($C$1:$C2835,"R")+1,A2835)</f>
        <v>2009</v>
      </c>
      <c r="B2836" s="19" t="str">
        <f t="shared" si="226"/>
        <v>B-BCP - Soles</v>
      </c>
      <c r="C2836" s="3" t="s">
        <v>1352</v>
      </c>
      <c r="D2836" s="14">
        <v>45859</v>
      </c>
      <c r="E2836" s="5" t="s">
        <v>2269</v>
      </c>
      <c r="F2836" s="5"/>
      <c r="G2836" s="6" t="s">
        <v>695</v>
      </c>
      <c r="H2836" s="6" t="s">
        <v>68</v>
      </c>
      <c r="I2836" s="6" t="s">
        <v>1377</v>
      </c>
      <c r="J2836" s="6">
        <v>173605</v>
      </c>
      <c r="K2836" s="7" t="s">
        <v>3552</v>
      </c>
      <c r="L2836" s="8">
        <v>144039</v>
      </c>
      <c r="M2836" s="8" t="str">
        <f t="shared" si="227"/>
        <v>PEN</v>
      </c>
      <c r="N2836" s="13">
        <v>1060.45</v>
      </c>
      <c r="O2836" s="13"/>
      <c r="P2836" s="3">
        <f t="shared" si="228"/>
        <v>0</v>
      </c>
      <c r="Q2836" s="3">
        <f t="shared" si="229"/>
        <v>0</v>
      </c>
      <c r="R2836" s="3">
        <f t="shared" si="230"/>
        <v>17465.980000000029</v>
      </c>
      <c r="S2836" s="24" t="s">
        <v>1334</v>
      </c>
      <c r="T2836" s="24" t="s">
        <v>1334</v>
      </c>
      <c r="U2836" s="55"/>
      <c r="V2836" s="25">
        <f>IFERROR(VLOOKUP(BCP_Soles[[#This Row],[destinatario]],CHOOSE({1,2},Clientes_Proveedores[Razon Social],Clientes_Proveedores[Ruc / Dni]),2,0),"")</f>
        <v>20127765279</v>
      </c>
      <c r="W2836" s="25"/>
      <c r="X2836" s="25"/>
      <c r="Y2836" s="25"/>
      <c r="Z2836" s="77"/>
      <c r="AA2836" s="3" t="str">
        <f>IF(BCP_Soles[[#This Row],[fecha]]&gt;0,TEXT(BCP_Soles[[#This Row],[fecha]],"mmmm"),0)</f>
        <v>Julio</v>
      </c>
    </row>
    <row r="2837" spans="1:27" x14ac:dyDescent="0.3">
      <c r="A2837" s="2">
        <f>IF(BCP_Soles[[#This Row],[tipo_registro]]="R",COUNTIFS($C$1:$C2836,"R")+1,A2836)</f>
        <v>2009</v>
      </c>
      <c r="B2837" s="19" t="str">
        <f t="shared" si="226"/>
        <v>B-BCP - Soles</v>
      </c>
      <c r="C2837" s="3" t="s">
        <v>1352</v>
      </c>
      <c r="D2837" s="14">
        <v>45859</v>
      </c>
      <c r="E2837" s="5" t="s">
        <v>2269</v>
      </c>
      <c r="F2837" s="5"/>
      <c r="G2837" s="6" t="s">
        <v>695</v>
      </c>
      <c r="H2837" s="6" t="s">
        <v>68</v>
      </c>
      <c r="I2837" s="6" t="s">
        <v>1377</v>
      </c>
      <c r="J2837" s="6">
        <v>173626</v>
      </c>
      <c r="K2837" s="7" t="s">
        <v>3552</v>
      </c>
      <c r="L2837" s="8">
        <v>144039</v>
      </c>
      <c r="M2837" s="8" t="str">
        <f t="shared" si="227"/>
        <v>PEN</v>
      </c>
      <c r="N2837" s="13">
        <v>701.54</v>
      </c>
      <c r="O2837" s="13"/>
      <c r="P2837" s="3">
        <f t="shared" si="228"/>
        <v>0</v>
      </c>
      <c r="Q2837" s="3">
        <f t="shared" si="229"/>
        <v>0</v>
      </c>
      <c r="R2837" s="3">
        <f t="shared" si="230"/>
        <v>17465.980000000029</v>
      </c>
      <c r="S2837" s="24" t="s">
        <v>1334</v>
      </c>
      <c r="T2837" s="24" t="s">
        <v>1334</v>
      </c>
      <c r="U2837" s="55"/>
      <c r="V2837" s="25">
        <f>IFERROR(VLOOKUP(BCP_Soles[[#This Row],[destinatario]],CHOOSE({1,2},Clientes_Proveedores[Razon Social],Clientes_Proveedores[Ruc / Dni]),2,0),"")</f>
        <v>20127765279</v>
      </c>
      <c r="W2837" s="25"/>
      <c r="X2837" s="25"/>
      <c r="Y2837" s="25"/>
      <c r="Z2837" s="77"/>
      <c r="AA2837" s="3" t="str">
        <f>IF(BCP_Soles[[#This Row],[fecha]]&gt;0,TEXT(BCP_Soles[[#This Row],[fecha]],"mmmm"),0)</f>
        <v>Julio</v>
      </c>
    </row>
    <row r="2838" spans="1:27" ht="36" x14ac:dyDescent="0.3">
      <c r="A2838" s="2">
        <f>IF(BCP_Soles[[#This Row],[tipo_registro]]="R",COUNTIFS($C$1:$C2837,"R")+1,A2837)</f>
        <v>2010</v>
      </c>
      <c r="B2838" s="19" t="str">
        <f t="shared" si="226"/>
        <v>B-BCP - Soles</v>
      </c>
      <c r="C2838" s="3" t="s">
        <v>1330</v>
      </c>
      <c r="D2838" s="14">
        <v>45859</v>
      </c>
      <c r="E2838" s="5" t="s">
        <v>2269</v>
      </c>
      <c r="F2838" s="5" t="s">
        <v>1336</v>
      </c>
      <c r="G2838" s="6" t="s">
        <v>702</v>
      </c>
      <c r="H2838" s="6"/>
      <c r="I2838" s="6"/>
      <c r="J2838" s="6"/>
      <c r="K2838" s="7" t="s">
        <v>3951</v>
      </c>
      <c r="L2838" s="8">
        <v>141620</v>
      </c>
      <c r="M2838" s="8" t="str">
        <f t="shared" si="227"/>
        <v>PEN</v>
      </c>
      <c r="N2838" s="13"/>
      <c r="O2838" s="13">
        <v>53.9</v>
      </c>
      <c r="P2838" s="3">
        <f t="shared" si="228"/>
        <v>0</v>
      </c>
      <c r="Q2838" s="3">
        <f t="shared" si="229"/>
        <v>53.9</v>
      </c>
      <c r="R2838" s="3">
        <f t="shared" si="230"/>
        <v>17412.080000000027</v>
      </c>
      <c r="S2838" s="24"/>
      <c r="T2838" s="24"/>
      <c r="U2838" s="55" t="s">
        <v>3952</v>
      </c>
      <c r="V2838" s="25">
        <f>IFERROR(VLOOKUP(BCP_Soles[[#This Row],[destinatario]],CHOOSE({1,2},Clientes_Proveedores[Razon Social],Clientes_Proveedores[Ruc / Dni]),2,0),"")</f>
        <v>20454073143</v>
      </c>
      <c r="W2838" s="25"/>
      <c r="X2838" s="25"/>
      <c r="Y2838" s="25"/>
      <c r="Z2838" s="77"/>
      <c r="AA2838" s="3" t="str">
        <f>IF(BCP_Soles[[#This Row],[fecha]]&gt;0,TEXT(BCP_Soles[[#This Row],[fecha]],"mmmm"),0)</f>
        <v>Julio</v>
      </c>
    </row>
    <row r="2839" spans="1:27" ht="36" x14ac:dyDescent="0.3">
      <c r="A2839" s="2">
        <f>IF(BCP_Soles[[#This Row],[tipo_registro]]="R",COUNTIFS($C$1:$C2838,"R")+1,A2838)</f>
        <v>2011</v>
      </c>
      <c r="B2839" s="19" t="str">
        <f t="shared" si="226"/>
        <v>B-BCP - Soles</v>
      </c>
      <c r="C2839" s="3" t="s">
        <v>1330</v>
      </c>
      <c r="D2839" s="14">
        <v>45859</v>
      </c>
      <c r="E2839" s="5" t="s">
        <v>2269</v>
      </c>
      <c r="F2839" s="5" t="s">
        <v>1336</v>
      </c>
      <c r="G2839" s="6" t="s">
        <v>702</v>
      </c>
      <c r="H2839" s="6"/>
      <c r="I2839" s="6"/>
      <c r="J2839" s="6"/>
      <c r="K2839" s="7" t="s">
        <v>3953</v>
      </c>
      <c r="L2839" s="8">
        <v>142082</v>
      </c>
      <c r="M2839" s="8" t="str">
        <f t="shared" si="227"/>
        <v>PEN</v>
      </c>
      <c r="N2839" s="13"/>
      <c r="O2839" s="13">
        <v>96</v>
      </c>
      <c r="P2839" s="3">
        <f t="shared" si="228"/>
        <v>0</v>
      </c>
      <c r="Q2839" s="3">
        <f t="shared" si="229"/>
        <v>96</v>
      </c>
      <c r="R2839" s="3">
        <f t="shared" si="230"/>
        <v>17316.080000000027</v>
      </c>
      <c r="S2839" s="24"/>
      <c r="T2839" s="24"/>
      <c r="U2839" s="55" t="s">
        <v>3954</v>
      </c>
      <c r="V2839" s="25">
        <f>IFERROR(VLOOKUP(BCP_Soles[[#This Row],[destinatario]],CHOOSE({1,2},Clientes_Proveedores[Razon Social],Clientes_Proveedores[Ruc / Dni]),2,0),"")</f>
        <v>20454073143</v>
      </c>
      <c r="W2839" s="25"/>
      <c r="X2839" s="25"/>
      <c r="Y2839" s="25"/>
      <c r="Z2839" s="77"/>
      <c r="AA2839" s="3" t="str">
        <f>IF(BCP_Soles[[#This Row],[fecha]]&gt;0,TEXT(BCP_Soles[[#This Row],[fecha]],"mmmm"),0)</f>
        <v>Julio</v>
      </c>
    </row>
    <row r="2840" spans="1:27" ht="24" x14ac:dyDescent="0.3">
      <c r="A2840" s="2">
        <f>IF(BCP_Soles[[#This Row],[tipo_registro]]="R",COUNTIFS($C$1:$C2839,"R")+1,A2839)</f>
        <v>2012</v>
      </c>
      <c r="B2840" s="19" t="str">
        <f t="shared" ref="B2840:B2905" si="231">"B-BCP - Soles"</f>
        <v>B-BCP - Soles</v>
      </c>
      <c r="C2840" s="3" t="s">
        <v>1330</v>
      </c>
      <c r="D2840" s="14">
        <v>45859</v>
      </c>
      <c r="E2840" s="5" t="s">
        <v>2269</v>
      </c>
      <c r="F2840" s="5" t="s">
        <v>1336</v>
      </c>
      <c r="G2840" s="6" t="s">
        <v>1022</v>
      </c>
      <c r="H2840" s="6"/>
      <c r="I2840" s="6"/>
      <c r="J2840" s="6"/>
      <c r="K2840" s="7" t="s">
        <v>3955</v>
      </c>
      <c r="L2840" s="8">
        <v>1143079</v>
      </c>
      <c r="M2840" s="8" t="str">
        <f t="shared" ref="M2840:M2905" si="232">"PEN"</f>
        <v>PEN</v>
      </c>
      <c r="N2840" s="13"/>
      <c r="O2840" s="13">
        <v>400</v>
      </c>
      <c r="P2840" s="3">
        <f t="shared" ref="P2840:P2905" si="233">+IF(OR($F2840="SALDO",$F2840="INGRESO"),$O2840,0)</f>
        <v>0</v>
      </c>
      <c r="Q2840" s="3">
        <f t="shared" ref="Q2840:Q2905" si="234">+IF($F2840="EGRESO",$O2840,0)</f>
        <v>400</v>
      </c>
      <c r="R2840" s="3">
        <f t="shared" si="230"/>
        <v>16916.080000000027</v>
      </c>
      <c r="S2840" s="24"/>
      <c r="T2840" s="24" t="s">
        <v>1334</v>
      </c>
      <c r="U2840" s="55" t="s">
        <v>3956</v>
      </c>
      <c r="V2840" s="25">
        <f>IFERROR(VLOOKUP(BCP_Soles[[#This Row],[destinatario]],CHOOSE({1,2},Clientes_Proveedores[Razon Social],Clientes_Proveedores[Ruc / Dni]),2,0),"")</f>
        <v>73376012</v>
      </c>
      <c r="W2840" s="25"/>
      <c r="X2840" s="25"/>
      <c r="Y2840" s="25"/>
      <c r="Z2840" s="77"/>
      <c r="AA2840" s="3" t="str">
        <f>IF(BCP_Soles[[#This Row],[fecha]]&gt;0,TEXT(BCP_Soles[[#This Row],[fecha]],"mmmm"),0)</f>
        <v>Julio</v>
      </c>
    </row>
    <row r="2841" spans="1:27" ht="24" x14ac:dyDescent="0.3">
      <c r="A2841" s="2">
        <f>IF(BCP_Soles[[#This Row],[tipo_registro]]="R",COUNTIFS($C$1:$C2840,"R")+1,A2840)</f>
        <v>2013</v>
      </c>
      <c r="B2841" s="19" t="str">
        <f t="shared" si="231"/>
        <v>B-BCP - Soles</v>
      </c>
      <c r="C2841" s="3" t="s">
        <v>1330</v>
      </c>
      <c r="D2841" s="14">
        <v>45859</v>
      </c>
      <c r="E2841" s="5" t="s">
        <v>2269</v>
      </c>
      <c r="F2841" s="5" t="s">
        <v>1336</v>
      </c>
      <c r="G2841" s="6" t="s">
        <v>525</v>
      </c>
      <c r="H2841" s="6" t="s">
        <v>68</v>
      </c>
      <c r="I2841" s="6" t="s">
        <v>1376</v>
      </c>
      <c r="J2841" s="6">
        <v>1440</v>
      </c>
      <c r="K2841" s="7" t="s">
        <v>3957</v>
      </c>
      <c r="L2841" s="8">
        <v>1140662</v>
      </c>
      <c r="M2841" s="8" t="str">
        <f t="shared" si="232"/>
        <v>PEN</v>
      </c>
      <c r="N2841" s="13"/>
      <c r="O2841" s="13">
        <v>498.62</v>
      </c>
      <c r="P2841" s="3">
        <f t="shared" si="233"/>
        <v>0</v>
      </c>
      <c r="Q2841" s="3">
        <f t="shared" si="234"/>
        <v>498.62</v>
      </c>
      <c r="R2841" s="3">
        <f t="shared" si="230"/>
        <v>16417.460000000028</v>
      </c>
      <c r="S2841" s="24" t="s">
        <v>1334</v>
      </c>
      <c r="T2841" s="24" t="s">
        <v>1334</v>
      </c>
      <c r="U2841" s="55" t="s">
        <v>3958</v>
      </c>
      <c r="V2841" s="25">
        <f>IFERROR(VLOOKUP(BCP_Soles[[#This Row],[destinatario]],CHOOSE({1,2},Clientes_Proveedores[Razon Social],Clientes_Proveedores[Ruc / Dni]),2,0),"")</f>
        <v>20604304831</v>
      </c>
      <c r="W2841" s="25"/>
      <c r="X2841" s="25"/>
      <c r="Y2841" s="25"/>
      <c r="Z2841" s="77"/>
      <c r="AA2841" s="3" t="str">
        <f>IF(BCP_Soles[[#This Row],[fecha]]&gt;0,TEXT(BCP_Soles[[#This Row],[fecha]],"mmmm"),0)</f>
        <v>Julio</v>
      </c>
    </row>
    <row r="2842" spans="1:27" ht="24" x14ac:dyDescent="0.3">
      <c r="A2842" s="2">
        <f>IF(BCP_Soles[[#This Row],[tipo_registro]]="R",COUNTIFS($C$1:$C2841,"R")+1,A2841)</f>
        <v>2014</v>
      </c>
      <c r="B2842" s="19" t="str">
        <f t="shared" si="231"/>
        <v>B-BCP - Soles</v>
      </c>
      <c r="C2842" s="3" t="s">
        <v>1330</v>
      </c>
      <c r="D2842" s="14">
        <v>45859</v>
      </c>
      <c r="E2842" s="5" t="s">
        <v>2269</v>
      </c>
      <c r="F2842" s="5" t="s">
        <v>1336</v>
      </c>
      <c r="G2842" s="6" t="s">
        <v>708</v>
      </c>
      <c r="H2842" s="6" t="s">
        <v>68</v>
      </c>
      <c r="I2842" s="6" t="s">
        <v>1655</v>
      </c>
      <c r="J2842" s="6">
        <v>299686</v>
      </c>
      <c r="K2842" s="7" t="s">
        <v>3959</v>
      </c>
      <c r="L2842" s="8">
        <v>141619</v>
      </c>
      <c r="M2842" s="8" t="str">
        <f t="shared" si="232"/>
        <v>PEN</v>
      </c>
      <c r="N2842" s="13"/>
      <c r="O2842" s="13">
        <v>36.58</v>
      </c>
      <c r="P2842" s="3">
        <f t="shared" si="233"/>
        <v>0</v>
      </c>
      <c r="Q2842" s="3">
        <f t="shared" si="234"/>
        <v>36.58</v>
      </c>
      <c r="R2842" s="3">
        <f t="shared" si="230"/>
        <v>16380.880000000028</v>
      </c>
      <c r="S2842" s="24"/>
      <c r="T2842" s="24" t="s">
        <v>1334</v>
      </c>
      <c r="U2842" s="55" t="s">
        <v>3960</v>
      </c>
      <c r="V2842" s="25">
        <f>IFERROR(VLOOKUP(BCP_Soles[[#This Row],[destinatario]],CHOOSE({1,2},Clientes_Proveedores[Razon Social],Clientes_Proveedores[Ruc / Dni]),2,0),"")</f>
        <v>20467534026</v>
      </c>
      <c r="W2842" s="25"/>
      <c r="X2842" s="25"/>
      <c r="Y2842" s="25"/>
      <c r="Z2842" s="77"/>
      <c r="AA2842" s="3" t="str">
        <f>IF(BCP_Soles[[#This Row],[fecha]]&gt;0,TEXT(BCP_Soles[[#This Row],[fecha]],"mmmm"),0)</f>
        <v>Julio</v>
      </c>
    </row>
    <row r="2843" spans="1:27" ht="24" x14ac:dyDescent="0.3">
      <c r="A2843" s="2">
        <f>IF(BCP_Soles[[#This Row],[tipo_registro]]="R",COUNTIFS($C$1:$C2842,"R")+1,A2842)</f>
        <v>2015</v>
      </c>
      <c r="B2843" s="19" t="str">
        <f t="shared" si="231"/>
        <v>B-BCP - Soles</v>
      </c>
      <c r="C2843" s="3" t="s">
        <v>1330</v>
      </c>
      <c r="D2843" s="14">
        <v>45859</v>
      </c>
      <c r="E2843" s="5" t="s">
        <v>2269</v>
      </c>
      <c r="F2843" s="5" t="s">
        <v>1336</v>
      </c>
      <c r="G2843" s="6" t="s">
        <v>598</v>
      </c>
      <c r="H2843" s="6" t="s">
        <v>68</v>
      </c>
      <c r="I2843" s="6" t="s">
        <v>1376</v>
      </c>
      <c r="J2843" s="6">
        <v>328</v>
      </c>
      <c r="K2843" s="7" t="s">
        <v>3961</v>
      </c>
      <c r="L2843" s="8">
        <v>1228572</v>
      </c>
      <c r="M2843" s="8" t="str">
        <f t="shared" si="232"/>
        <v>PEN</v>
      </c>
      <c r="N2843" s="13"/>
      <c r="O2843" s="13">
        <v>450</v>
      </c>
      <c r="P2843" s="3">
        <f t="shared" si="233"/>
        <v>0</v>
      </c>
      <c r="Q2843" s="3">
        <f t="shared" si="234"/>
        <v>450</v>
      </c>
      <c r="R2843" s="3">
        <f t="shared" si="230"/>
        <v>15930.880000000028</v>
      </c>
      <c r="S2843" s="24" t="s">
        <v>1334</v>
      </c>
      <c r="T2843" s="24" t="s">
        <v>1334</v>
      </c>
      <c r="U2843" s="55" t="s">
        <v>3962</v>
      </c>
      <c r="V2843" s="25">
        <f>IFERROR(VLOOKUP(BCP_Soles[[#This Row],[destinatario]],CHOOSE({1,2},Clientes_Proveedores[Razon Social],Clientes_Proveedores[Ruc / Dni]),2,0),"")</f>
        <v>20609908492</v>
      </c>
      <c r="W2843" s="25"/>
      <c r="X2843" s="25"/>
      <c r="Y2843" s="25"/>
      <c r="Z2843" s="77"/>
      <c r="AA2843" s="3" t="str">
        <f>IF(BCP_Soles[[#This Row],[fecha]]&gt;0,TEXT(BCP_Soles[[#This Row],[fecha]],"mmmm"),0)</f>
        <v>Julio</v>
      </c>
    </row>
    <row r="2844" spans="1:27" ht="24" x14ac:dyDescent="0.3">
      <c r="A2844" s="2">
        <f>IF(BCP_Soles[[#This Row],[tipo_registro]]="R",COUNTIFS($C$1:$C2843,"R")+1,A2843)</f>
        <v>2016</v>
      </c>
      <c r="B2844" s="19" t="str">
        <f t="shared" si="231"/>
        <v>B-BCP - Soles</v>
      </c>
      <c r="C2844" s="3" t="s">
        <v>1330</v>
      </c>
      <c r="D2844" s="14">
        <v>45859</v>
      </c>
      <c r="E2844" s="5" t="s">
        <v>2269</v>
      </c>
      <c r="F2844" s="5" t="s">
        <v>1336</v>
      </c>
      <c r="G2844" s="6" t="s">
        <v>598</v>
      </c>
      <c r="H2844" s="6" t="s">
        <v>68</v>
      </c>
      <c r="I2844" s="6" t="s">
        <v>1376</v>
      </c>
      <c r="J2844" s="6">
        <v>327</v>
      </c>
      <c r="K2844" s="7" t="s">
        <v>3963</v>
      </c>
      <c r="L2844" s="8">
        <v>1229534</v>
      </c>
      <c r="M2844" s="8" t="str">
        <f t="shared" si="232"/>
        <v>PEN</v>
      </c>
      <c r="N2844" s="13"/>
      <c r="O2844" s="13">
        <v>1850</v>
      </c>
      <c r="P2844" s="3">
        <f t="shared" si="233"/>
        <v>0</v>
      </c>
      <c r="Q2844" s="3">
        <f t="shared" si="234"/>
        <v>1850</v>
      </c>
      <c r="R2844" s="3">
        <f t="shared" si="230"/>
        <v>14080.880000000028</v>
      </c>
      <c r="S2844" s="24" t="s">
        <v>1334</v>
      </c>
      <c r="T2844" s="24" t="s">
        <v>1334</v>
      </c>
      <c r="U2844" s="55" t="s">
        <v>3964</v>
      </c>
      <c r="V2844" s="25">
        <f>IFERROR(VLOOKUP(BCP_Soles[[#This Row],[destinatario]],CHOOSE({1,2},Clientes_Proveedores[Razon Social],Clientes_Proveedores[Ruc / Dni]),2,0),"")</f>
        <v>20609908492</v>
      </c>
      <c r="W2844" s="25"/>
      <c r="X2844" s="25"/>
      <c r="Y2844" s="25"/>
      <c r="Z2844" s="77"/>
      <c r="AA2844" s="3" t="str">
        <f>IF(BCP_Soles[[#This Row],[fecha]]&gt;0,TEXT(BCP_Soles[[#This Row],[fecha]],"mmmm"),0)</f>
        <v>Julio</v>
      </c>
    </row>
    <row r="2845" spans="1:27" ht="36" x14ac:dyDescent="0.3">
      <c r="A2845" s="2">
        <f>IF(BCP_Soles[[#This Row],[tipo_registro]]="R",COUNTIFS($C$1:$C2844,"R")+1,A2844)</f>
        <v>2017</v>
      </c>
      <c r="B2845" s="19" t="str">
        <f t="shared" si="231"/>
        <v>B-BCP - Soles</v>
      </c>
      <c r="C2845" s="3" t="s">
        <v>1330</v>
      </c>
      <c r="D2845" s="14">
        <v>45859</v>
      </c>
      <c r="E2845" s="5" t="s">
        <v>2269</v>
      </c>
      <c r="F2845" s="5" t="s">
        <v>1336</v>
      </c>
      <c r="G2845" s="6" t="s">
        <v>702</v>
      </c>
      <c r="H2845" s="6" t="s">
        <v>68</v>
      </c>
      <c r="I2845" s="6" t="s">
        <v>1463</v>
      </c>
      <c r="J2845" s="6">
        <v>687187</v>
      </c>
      <c r="K2845" s="7" t="s">
        <v>3951</v>
      </c>
      <c r="L2845" s="8">
        <v>227480</v>
      </c>
      <c r="M2845" s="8" t="str">
        <f t="shared" si="232"/>
        <v>PEN</v>
      </c>
      <c r="N2845" s="13"/>
      <c r="O2845" s="13">
        <v>1096.02</v>
      </c>
      <c r="P2845" s="3">
        <f t="shared" si="233"/>
        <v>0</v>
      </c>
      <c r="Q2845" s="3">
        <f t="shared" si="234"/>
        <v>1096.02</v>
      </c>
      <c r="R2845" s="3">
        <f t="shared" si="230"/>
        <v>12984.860000000028</v>
      </c>
      <c r="S2845" s="24" t="s">
        <v>1334</v>
      </c>
      <c r="T2845" s="24" t="s">
        <v>1334</v>
      </c>
      <c r="U2845" s="55" t="s">
        <v>3965</v>
      </c>
      <c r="V2845" s="25">
        <f>IFERROR(VLOOKUP(BCP_Soles[[#This Row],[destinatario]],CHOOSE({1,2},Clientes_Proveedores[Razon Social],Clientes_Proveedores[Ruc / Dni]),2,0),"")</f>
        <v>20454073143</v>
      </c>
      <c r="W2845" s="25"/>
      <c r="X2845" s="25"/>
      <c r="Y2845" s="25"/>
      <c r="Z2845" s="77"/>
      <c r="AA2845" s="3" t="str">
        <f>IF(BCP_Soles[[#This Row],[fecha]]&gt;0,TEXT(BCP_Soles[[#This Row],[fecha]],"mmmm"),0)</f>
        <v>Julio</v>
      </c>
    </row>
    <row r="2846" spans="1:27" ht="36" x14ac:dyDescent="0.3">
      <c r="A2846" s="2">
        <f>IF(BCP_Soles[[#This Row],[tipo_registro]]="R",COUNTIFS($C$1:$C2845,"R")+1,A2845)</f>
        <v>2018</v>
      </c>
      <c r="B2846" s="19" t="str">
        <f t="shared" si="231"/>
        <v>B-BCP - Soles</v>
      </c>
      <c r="C2846" s="3" t="s">
        <v>1330</v>
      </c>
      <c r="D2846" s="14">
        <v>45859</v>
      </c>
      <c r="E2846" s="5" t="s">
        <v>2269</v>
      </c>
      <c r="F2846" s="5" t="s">
        <v>1336</v>
      </c>
      <c r="G2846" s="6" t="s">
        <v>1050</v>
      </c>
      <c r="H2846" s="6" t="s">
        <v>68</v>
      </c>
      <c r="I2846" s="6" t="s">
        <v>1463</v>
      </c>
      <c r="J2846" s="6">
        <v>536940</v>
      </c>
      <c r="K2846" s="7" t="s">
        <v>3953</v>
      </c>
      <c r="L2846" s="8">
        <v>228457</v>
      </c>
      <c r="M2846" s="8" t="str">
        <f t="shared" si="232"/>
        <v>PEN</v>
      </c>
      <c r="N2846" s="13"/>
      <c r="O2846" s="13">
        <v>2376.12</v>
      </c>
      <c r="P2846" s="3">
        <f t="shared" si="233"/>
        <v>0</v>
      </c>
      <c r="Q2846" s="3">
        <f t="shared" si="234"/>
        <v>2376.12</v>
      </c>
      <c r="R2846" s="3">
        <f t="shared" si="230"/>
        <v>10608.740000000027</v>
      </c>
      <c r="S2846" s="24" t="s">
        <v>1334</v>
      </c>
      <c r="T2846" s="24" t="s">
        <v>1334</v>
      </c>
      <c r="U2846" s="55" t="s">
        <v>3966</v>
      </c>
      <c r="V2846" s="25">
        <f>IFERROR(VLOOKUP(BCP_Soles[[#This Row],[destinatario]],CHOOSE({1,2},Clientes_Proveedores[Razon Social],Clientes_Proveedores[Ruc / Dni]),2,0),"")</f>
        <v>20601978572</v>
      </c>
      <c r="W2846" s="25"/>
      <c r="X2846" s="25"/>
      <c r="Y2846" s="25"/>
      <c r="Z2846" s="77"/>
      <c r="AA2846" s="3" t="str">
        <f>IF(BCP_Soles[[#This Row],[fecha]]&gt;0,TEXT(BCP_Soles[[#This Row],[fecha]],"mmmm"),0)</f>
        <v>Julio</v>
      </c>
    </row>
    <row r="2847" spans="1:27" x14ac:dyDescent="0.3">
      <c r="A2847" s="2">
        <f>IF(BCP_Soles[[#This Row],[tipo_registro]]="R",COUNTIFS($C$1:$C2846,"R")+1,A2846)</f>
        <v>2019</v>
      </c>
      <c r="B2847" s="19" t="str">
        <f t="shared" si="231"/>
        <v>B-BCP - Soles</v>
      </c>
      <c r="C2847" s="3" t="s">
        <v>1330</v>
      </c>
      <c r="D2847" s="14">
        <v>45859</v>
      </c>
      <c r="E2847" s="5" t="s">
        <v>1335</v>
      </c>
      <c r="F2847" s="5" t="s">
        <v>1336</v>
      </c>
      <c r="G2847" s="6" t="s">
        <v>1009</v>
      </c>
      <c r="H2847" s="6" t="s">
        <v>64</v>
      </c>
      <c r="I2847" s="6" t="s">
        <v>3673</v>
      </c>
      <c r="J2847" s="6">
        <v>2019</v>
      </c>
      <c r="K2847" s="7" t="s">
        <v>3160</v>
      </c>
      <c r="L2847" s="8"/>
      <c r="M2847" s="8" t="str">
        <f t="shared" si="232"/>
        <v>PEN</v>
      </c>
      <c r="N2847" s="13"/>
      <c r="O2847" s="13">
        <v>0.4</v>
      </c>
      <c r="P2847" s="3">
        <f t="shared" si="233"/>
        <v>0</v>
      </c>
      <c r="Q2847" s="3">
        <f t="shared" si="234"/>
        <v>0.4</v>
      </c>
      <c r="R2847" s="3">
        <f t="shared" si="230"/>
        <v>10608.340000000027</v>
      </c>
      <c r="S2847" s="24" t="s">
        <v>1334</v>
      </c>
      <c r="T2847" s="24" t="s">
        <v>1334</v>
      </c>
      <c r="U2847" s="55"/>
      <c r="V2847" s="25">
        <f>IFERROR(VLOOKUP(BCP_Soles[[#This Row],[destinatario]],CHOOSE({1,2},Clientes_Proveedores[Razon Social],Clientes_Proveedores[Ruc / Dni]),2,0),"")</f>
        <v>11111111</v>
      </c>
      <c r="W2847" s="25"/>
      <c r="X2847" s="25"/>
      <c r="Y2847" s="25"/>
      <c r="Z2847" s="77"/>
      <c r="AA2847" s="3" t="str">
        <f>IF(BCP_Soles[[#This Row],[fecha]]&gt;0,TEXT(BCP_Soles[[#This Row],[fecha]],"mmmm"),0)</f>
        <v>Julio</v>
      </c>
    </row>
    <row r="2848" spans="1:27" ht="24" x14ac:dyDescent="0.3">
      <c r="A2848" s="2">
        <f>IF(BCP_Soles[[#This Row],[tipo_registro]]="R",COUNTIFS($C$1:$C2847,"R")+1,A2847)</f>
        <v>2020</v>
      </c>
      <c r="B2848" s="19" t="str">
        <f t="shared" si="231"/>
        <v>B-BCP - Soles</v>
      </c>
      <c r="C2848" s="3" t="s">
        <v>1330</v>
      </c>
      <c r="D2848" s="14">
        <v>45860</v>
      </c>
      <c r="E2848" s="5" t="s">
        <v>462</v>
      </c>
      <c r="F2848" s="5" t="s">
        <v>1303</v>
      </c>
      <c r="G2848" s="6" t="s">
        <v>425</v>
      </c>
      <c r="H2848" s="6" t="s">
        <v>68</v>
      </c>
      <c r="I2848" s="6" t="s">
        <v>3381</v>
      </c>
      <c r="J2848" s="6">
        <v>48</v>
      </c>
      <c r="K2848" s="7" t="s">
        <v>1356</v>
      </c>
      <c r="L2848" s="8">
        <v>3298905</v>
      </c>
      <c r="M2848" s="8" t="str">
        <f t="shared" si="232"/>
        <v>PEN</v>
      </c>
      <c r="N2848" s="13"/>
      <c r="O2848" s="13">
        <v>512.5</v>
      </c>
      <c r="P2848" s="3">
        <f t="shared" si="233"/>
        <v>512.5</v>
      </c>
      <c r="Q2848" s="3">
        <f t="shared" si="234"/>
        <v>0</v>
      </c>
      <c r="R2848" s="3">
        <f t="shared" si="230"/>
        <v>11120.840000000027</v>
      </c>
      <c r="S2848" s="24" t="s">
        <v>1334</v>
      </c>
      <c r="T2848" s="24" t="s">
        <v>1334</v>
      </c>
      <c r="U2848" s="55"/>
      <c r="V2848" s="25">
        <f>IFERROR(VLOOKUP(BCP_Soles[[#This Row],[destinatario]],CHOOSE({1,2},Clientes_Proveedores[Razon Social],Clientes_Proveedores[Ruc / Dni]),2,0),"")</f>
        <v>20558226979</v>
      </c>
      <c r="W2848" s="25"/>
      <c r="X2848" s="25"/>
      <c r="Y2848" s="25"/>
      <c r="Z2848" s="77"/>
      <c r="AA2848" s="3" t="str">
        <f>IF(BCP_Soles[[#This Row],[fecha]]&gt;0,TEXT(BCP_Soles[[#This Row],[fecha]],"mmmm"),0)</f>
        <v>Julio</v>
      </c>
    </row>
    <row r="2849" spans="1:27" ht="24" x14ac:dyDescent="0.3">
      <c r="A2849" s="2">
        <f>IF(BCP_Soles[[#This Row],[tipo_registro]]="R",COUNTIFS($C$1:$C2848,"R")+1,A2848)</f>
        <v>2021</v>
      </c>
      <c r="B2849" s="19" t="str">
        <f t="shared" si="231"/>
        <v>B-BCP - Soles</v>
      </c>
      <c r="C2849" s="3" t="s">
        <v>1330</v>
      </c>
      <c r="D2849" s="14">
        <v>45860</v>
      </c>
      <c r="E2849" s="5" t="s">
        <v>462</v>
      </c>
      <c r="F2849" s="5" t="s">
        <v>1303</v>
      </c>
      <c r="G2849" s="6" t="s">
        <v>425</v>
      </c>
      <c r="H2849" s="6" t="s">
        <v>68</v>
      </c>
      <c r="I2849" s="6" t="s">
        <v>3381</v>
      </c>
      <c r="J2849" s="6">
        <v>49</v>
      </c>
      <c r="K2849" s="7" t="s">
        <v>1356</v>
      </c>
      <c r="L2849" s="8">
        <v>3301725</v>
      </c>
      <c r="M2849" s="8" t="str">
        <f t="shared" si="232"/>
        <v>PEN</v>
      </c>
      <c r="N2849" s="13"/>
      <c r="O2849" s="13">
        <v>1242.99</v>
      </c>
      <c r="P2849" s="3">
        <f t="shared" si="233"/>
        <v>1242.99</v>
      </c>
      <c r="Q2849" s="3">
        <f t="shared" si="234"/>
        <v>0</v>
      </c>
      <c r="R2849" s="3">
        <f t="shared" si="230"/>
        <v>12363.830000000027</v>
      </c>
      <c r="S2849" s="24" t="s">
        <v>1334</v>
      </c>
      <c r="T2849" s="24" t="s">
        <v>1334</v>
      </c>
      <c r="U2849" s="55"/>
      <c r="V2849" s="25">
        <f>IFERROR(VLOOKUP(BCP_Soles[[#This Row],[destinatario]],CHOOSE({1,2},Clientes_Proveedores[Razon Social],Clientes_Proveedores[Ruc / Dni]),2,0),"")</f>
        <v>20558226979</v>
      </c>
      <c r="W2849" s="25"/>
      <c r="X2849" s="25"/>
      <c r="Y2849" s="25"/>
      <c r="Z2849" s="77"/>
      <c r="AA2849" s="3" t="str">
        <f>IF(BCP_Soles[[#This Row],[fecha]]&gt;0,TEXT(BCP_Soles[[#This Row],[fecha]],"mmmm"),0)</f>
        <v>Julio</v>
      </c>
    </row>
    <row r="2850" spans="1:27" x14ac:dyDescent="0.3">
      <c r="A2850" s="2">
        <f>IF(BCP_Soles[[#This Row],[tipo_registro]]="R",COUNTIFS($C$1:$C2849,"R")+1,A2849)</f>
        <v>2022</v>
      </c>
      <c r="B2850" s="19" t="str">
        <f t="shared" si="231"/>
        <v>B-BCP - Soles</v>
      </c>
      <c r="C2850" s="3" t="s">
        <v>1330</v>
      </c>
      <c r="D2850" s="14">
        <v>45860</v>
      </c>
      <c r="E2850" s="5" t="s">
        <v>203</v>
      </c>
      <c r="F2850" s="5" t="s">
        <v>1303</v>
      </c>
      <c r="G2850" s="6" t="s">
        <v>425</v>
      </c>
      <c r="H2850" s="6" t="s">
        <v>68</v>
      </c>
      <c r="I2850" s="6" t="s">
        <v>1784</v>
      </c>
      <c r="J2850" s="6">
        <v>125</v>
      </c>
      <c r="K2850" s="7" t="s">
        <v>3967</v>
      </c>
      <c r="L2850" s="8">
        <v>2285063</v>
      </c>
      <c r="M2850" s="8" t="str">
        <f t="shared" si="232"/>
        <v>PEN</v>
      </c>
      <c r="N2850" s="13"/>
      <c r="O2850" s="13">
        <v>1257.53</v>
      </c>
      <c r="P2850" s="3">
        <f t="shared" si="233"/>
        <v>1257.53</v>
      </c>
      <c r="Q2850" s="3">
        <f t="shared" si="234"/>
        <v>0</v>
      </c>
      <c r="R2850" s="3">
        <f t="shared" si="230"/>
        <v>13621.360000000028</v>
      </c>
      <c r="S2850" s="24" t="s">
        <v>1334</v>
      </c>
      <c r="T2850" s="24" t="s">
        <v>1334</v>
      </c>
      <c r="U2850" s="55"/>
      <c r="V2850" s="25">
        <f>IFERROR(VLOOKUP(BCP_Soles[[#This Row],[destinatario]],CHOOSE({1,2},Clientes_Proveedores[Razon Social],Clientes_Proveedores[Ruc / Dni]),2,0),"")</f>
        <v>20558226979</v>
      </c>
      <c r="W2850" s="25"/>
      <c r="X2850" s="25"/>
      <c r="Y2850" s="25"/>
      <c r="Z2850" s="77"/>
      <c r="AA2850" s="3" t="str">
        <f>IF(BCP_Soles[[#This Row],[fecha]]&gt;0,TEXT(BCP_Soles[[#This Row],[fecha]],"mmmm"),0)</f>
        <v>Julio</v>
      </c>
    </row>
    <row r="2851" spans="1:27" ht="24" x14ac:dyDescent="0.3">
      <c r="A2851" s="2">
        <f>IF(BCP_Soles[[#This Row],[tipo_registro]]="R",COUNTIFS($C$1:$C2850,"R")+1,A2850)</f>
        <v>2023</v>
      </c>
      <c r="B2851" s="19" t="str">
        <f t="shared" si="231"/>
        <v>B-BCP - Soles</v>
      </c>
      <c r="C2851" s="3" t="s">
        <v>1330</v>
      </c>
      <c r="D2851" s="14">
        <v>45860</v>
      </c>
      <c r="E2851" s="5" t="s">
        <v>2269</v>
      </c>
      <c r="F2851" s="5" t="s">
        <v>1336</v>
      </c>
      <c r="G2851" s="6" t="s">
        <v>790</v>
      </c>
      <c r="H2851" s="6" t="s">
        <v>143</v>
      </c>
      <c r="I2851" s="6">
        <v>1</v>
      </c>
      <c r="J2851" s="6">
        <v>502025</v>
      </c>
      <c r="K2851" s="7" t="s">
        <v>3968</v>
      </c>
      <c r="L2851" s="8">
        <v>1233462</v>
      </c>
      <c r="M2851" s="8" t="str">
        <f t="shared" si="232"/>
        <v>PEN</v>
      </c>
      <c r="N2851" s="13"/>
      <c r="O2851" s="13">
        <v>788.7</v>
      </c>
      <c r="P2851" s="3">
        <f t="shared" si="233"/>
        <v>0</v>
      </c>
      <c r="Q2851" s="3">
        <f t="shared" si="234"/>
        <v>788.7</v>
      </c>
      <c r="R2851" s="3">
        <f t="shared" si="230"/>
        <v>12832.660000000027</v>
      </c>
      <c r="S2851" s="24" t="s">
        <v>1334</v>
      </c>
      <c r="T2851" s="24" t="s">
        <v>1334</v>
      </c>
      <c r="U2851" s="79" t="s">
        <v>3969</v>
      </c>
      <c r="V2851" s="25">
        <f>IFERROR(VLOOKUP(BCP_Soles[[#This Row],[destinatario]],CHOOSE({1,2},Clientes_Proveedores[Razon Social],Clientes_Proveedores[Ruc / Dni]),2,0),"")</f>
        <v>72169020</v>
      </c>
      <c r="W2851" s="25"/>
      <c r="X2851" s="25"/>
      <c r="Y2851" s="25"/>
      <c r="Z2851" s="77"/>
      <c r="AA2851" s="3" t="str">
        <f>IF(BCP_Soles[[#This Row],[fecha]]&gt;0,TEXT(BCP_Soles[[#This Row],[fecha]],"mmmm"),0)</f>
        <v>Julio</v>
      </c>
    </row>
    <row r="2852" spans="1:27" ht="36" x14ac:dyDescent="0.3">
      <c r="A2852" s="2">
        <f>IF(BCP_Soles[[#This Row],[tipo_registro]]="R",COUNTIFS($C$1:$C2851,"R")+1,A2851)</f>
        <v>2024</v>
      </c>
      <c r="B2852" s="19" t="str">
        <f t="shared" si="231"/>
        <v>B-BCP - Soles</v>
      </c>
      <c r="C2852" s="3" t="s">
        <v>1330</v>
      </c>
      <c r="D2852" s="14">
        <v>45860</v>
      </c>
      <c r="E2852" s="5" t="s">
        <v>2269</v>
      </c>
      <c r="F2852" s="5" t="s">
        <v>1336</v>
      </c>
      <c r="G2852" s="6" t="s">
        <v>108</v>
      </c>
      <c r="H2852" s="6" t="s">
        <v>68</v>
      </c>
      <c r="I2852" s="6" t="s">
        <v>1374</v>
      </c>
      <c r="J2852" s="6">
        <v>16709</v>
      </c>
      <c r="K2852" s="7" t="s">
        <v>3970</v>
      </c>
      <c r="L2852" s="8">
        <v>1234900</v>
      </c>
      <c r="M2852" s="8" t="str">
        <f t="shared" si="232"/>
        <v>PEN</v>
      </c>
      <c r="N2852" s="13"/>
      <c r="O2852" s="13">
        <v>1232</v>
      </c>
      <c r="P2852" s="3">
        <f t="shared" si="233"/>
        <v>0</v>
      </c>
      <c r="Q2852" s="3">
        <f t="shared" si="234"/>
        <v>1232</v>
      </c>
      <c r="R2852" s="3">
        <f t="shared" si="230"/>
        <v>11600.660000000027</v>
      </c>
      <c r="S2852" s="24" t="s">
        <v>1334</v>
      </c>
      <c r="T2852" s="24" t="s">
        <v>1334</v>
      </c>
      <c r="U2852" s="79" t="s">
        <v>3971</v>
      </c>
      <c r="V2852" s="25">
        <f>IFERROR(VLOOKUP(BCP_Soles[[#This Row],[destinatario]],CHOOSE({1,2},Clientes_Proveedores[Razon Social],Clientes_Proveedores[Ruc / Dni]),2,0),"")</f>
        <v>10295259634</v>
      </c>
      <c r="W2852" s="25" t="s">
        <v>3972</v>
      </c>
      <c r="X2852" s="25"/>
      <c r="Y2852" s="25"/>
      <c r="Z2852" s="77"/>
      <c r="AA2852" s="3" t="str">
        <f>IF(BCP_Soles[[#This Row],[fecha]]&gt;0,TEXT(BCP_Soles[[#This Row],[fecha]],"mmmm"),0)</f>
        <v>Julio</v>
      </c>
    </row>
    <row r="2853" spans="1:27" ht="36" x14ac:dyDescent="0.3">
      <c r="A2853" s="2">
        <f>IF(BCP_Soles[[#This Row],[tipo_registro]]="R",COUNTIFS($C$1:$C2852,"R")+1,A2852)</f>
        <v>2025</v>
      </c>
      <c r="B2853" s="19" t="str">
        <f t="shared" si="231"/>
        <v>B-BCP - Soles</v>
      </c>
      <c r="C2853" s="3" t="s">
        <v>1330</v>
      </c>
      <c r="D2853" s="14">
        <v>45860</v>
      </c>
      <c r="E2853" s="5" t="s">
        <v>2269</v>
      </c>
      <c r="F2853" s="5" t="s">
        <v>1336</v>
      </c>
      <c r="G2853" s="6" t="s">
        <v>583</v>
      </c>
      <c r="H2853" s="6" t="s">
        <v>68</v>
      </c>
      <c r="I2853" s="6" t="s">
        <v>1376</v>
      </c>
      <c r="J2853" s="6">
        <v>865</v>
      </c>
      <c r="K2853" s="7" t="s">
        <v>3973</v>
      </c>
      <c r="L2853" s="8">
        <v>1234409</v>
      </c>
      <c r="M2853" s="8" t="str">
        <f t="shared" si="232"/>
        <v>PEN</v>
      </c>
      <c r="N2853" s="13"/>
      <c r="O2853" s="13">
        <v>405</v>
      </c>
      <c r="P2853" s="3">
        <f t="shared" si="233"/>
        <v>0</v>
      </c>
      <c r="Q2853" s="3">
        <f t="shared" si="234"/>
        <v>405</v>
      </c>
      <c r="R2853" s="3">
        <f t="shared" si="230"/>
        <v>11195.660000000027</v>
      </c>
      <c r="S2853" s="24" t="s">
        <v>1334</v>
      </c>
      <c r="T2853" s="24" t="s">
        <v>1334</v>
      </c>
      <c r="U2853" s="79" t="s">
        <v>3974</v>
      </c>
      <c r="V2853" s="25">
        <f>IFERROR(VLOOKUP(BCP_Soles[[#This Row],[destinatario]],CHOOSE({1,2},Clientes_Proveedores[Razon Social],Clientes_Proveedores[Ruc / Dni]),2,0),"")</f>
        <v>20609155303</v>
      </c>
      <c r="W2853" s="25"/>
      <c r="X2853" s="25"/>
      <c r="Y2853" s="25"/>
      <c r="Z2853" s="77"/>
      <c r="AA2853" s="3" t="str">
        <f>IF(BCP_Soles[[#This Row],[fecha]]&gt;0,TEXT(BCP_Soles[[#This Row],[fecha]],"mmmm"),0)</f>
        <v>Julio</v>
      </c>
    </row>
    <row r="2854" spans="1:27" x14ac:dyDescent="0.3">
      <c r="A2854" s="2">
        <f>IF(BCP_Soles[[#This Row],[tipo_registro]]="R",COUNTIFS($C$1:$C2853,"R")+1,A2853)</f>
        <v>2026</v>
      </c>
      <c r="B2854" s="19" t="str">
        <f t="shared" si="231"/>
        <v>B-BCP - Soles</v>
      </c>
      <c r="C2854" s="3" t="s">
        <v>1330</v>
      </c>
      <c r="D2854" s="14">
        <v>45861</v>
      </c>
      <c r="E2854" s="5" t="s">
        <v>1335</v>
      </c>
      <c r="F2854" s="5" t="s">
        <v>1336</v>
      </c>
      <c r="G2854" s="6" t="s">
        <v>1009</v>
      </c>
      <c r="H2854" s="6" t="s">
        <v>64</v>
      </c>
      <c r="I2854" s="6" t="s">
        <v>3673</v>
      </c>
      <c r="J2854" s="6">
        <v>2026</v>
      </c>
      <c r="K2854" s="7" t="s">
        <v>3160</v>
      </c>
      <c r="L2854" s="8"/>
      <c r="M2854" s="8" t="str">
        <f t="shared" si="232"/>
        <v>PEN</v>
      </c>
      <c r="N2854" s="13"/>
      <c r="O2854" s="13">
        <v>0.15</v>
      </c>
      <c r="P2854" s="3">
        <f t="shared" si="233"/>
        <v>0</v>
      </c>
      <c r="Q2854" s="3">
        <f t="shared" si="234"/>
        <v>0.15</v>
      </c>
      <c r="R2854" s="3">
        <f t="shared" si="230"/>
        <v>11195.510000000028</v>
      </c>
      <c r="S2854" s="24" t="s">
        <v>1334</v>
      </c>
      <c r="T2854" s="24" t="s">
        <v>1334</v>
      </c>
      <c r="U2854" s="55"/>
      <c r="V2854" s="25">
        <f>IFERROR(VLOOKUP(BCP_Soles[[#This Row],[destinatario]],CHOOSE({1,2},Clientes_Proveedores[Razon Social],Clientes_Proveedores[Ruc / Dni]),2,0),"")</f>
        <v>11111111</v>
      </c>
      <c r="W2854" s="25"/>
      <c r="X2854" s="25"/>
      <c r="Y2854" s="25"/>
      <c r="Z2854" s="77"/>
      <c r="AA2854" s="3" t="str">
        <f>IF(BCP_Soles[[#This Row],[fecha]]&gt;0,TEXT(BCP_Soles[[#This Row],[fecha]],"mmmm"),0)</f>
        <v>Julio</v>
      </c>
    </row>
    <row r="2855" spans="1:27" ht="24" x14ac:dyDescent="0.3">
      <c r="A2855" s="2">
        <f>IF(BCP_Soles[[#This Row],[tipo_registro]]="R",COUNTIFS($C$1:$C2854,"R")+1,A2854)</f>
        <v>2027</v>
      </c>
      <c r="B2855" s="19" t="str">
        <f t="shared" si="231"/>
        <v>B-BCP - Soles</v>
      </c>
      <c r="C2855" s="3" t="s">
        <v>1330</v>
      </c>
      <c r="D2855" s="14">
        <v>45862</v>
      </c>
      <c r="E2855" s="5" t="s">
        <v>3091</v>
      </c>
      <c r="F2855" s="5" t="s">
        <v>1303</v>
      </c>
      <c r="G2855" s="6" t="s">
        <v>425</v>
      </c>
      <c r="H2855" s="6" t="s">
        <v>119</v>
      </c>
      <c r="I2855" s="6">
        <v>2</v>
      </c>
      <c r="J2855" s="6">
        <v>816</v>
      </c>
      <c r="K2855" s="7" t="s">
        <v>1356</v>
      </c>
      <c r="L2855" s="8">
        <v>283533</v>
      </c>
      <c r="M2855" s="8" t="str">
        <f t="shared" si="232"/>
        <v>PEN</v>
      </c>
      <c r="N2855" s="13"/>
      <c r="O2855" s="13">
        <v>1875</v>
      </c>
      <c r="P2855" s="3">
        <f t="shared" si="233"/>
        <v>1875</v>
      </c>
      <c r="Q2855" s="3">
        <f t="shared" si="234"/>
        <v>0</v>
      </c>
      <c r="R2855" s="3">
        <f t="shared" si="230"/>
        <v>13070.510000000028</v>
      </c>
      <c r="S2855" s="24" t="s">
        <v>1334</v>
      </c>
      <c r="T2855" s="24" t="s">
        <v>1334</v>
      </c>
      <c r="U2855" s="55"/>
      <c r="V2855" s="25">
        <f>IFERROR(VLOOKUP(BCP_Soles[[#This Row],[destinatario]],CHOOSE({1,2},Clientes_Proveedores[Razon Social],Clientes_Proveedores[Ruc / Dni]),2,0),"")</f>
        <v>20558226979</v>
      </c>
      <c r="W2855" s="25"/>
      <c r="X2855" s="25"/>
      <c r="Y2855" s="25"/>
      <c r="Z2855" s="77"/>
      <c r="AA2855" s="3" t="str">
        <f>IF(BCP_Soles[[#This Row],[fecha]]&gt;0,TEXT(BCP_Soles[[#This Row],[fecha]],"mmmm"),0)</f>
        <v>Julio</v>
      </c>
    </row>
    <row r="2856" spans="1:27" ht="24" x14ac:dyDescent="0.3">
      <c r="A2856" s="2">
        <f>IF(BCP_Soles[[#This Row],[tipo_registro]]="R",COUNTIFS($C$1:$C2855,"R")+1,A2855)</f>
        <v>2028</v>
      </c>
      <c r="B2856" s="19" t="str">
        <f t="shared" si="231"/>
        <v>B-BCP - Soles</v>
      </c>
      <c r="C2856" s="3" t="s">
        <v>1330</v>
      </c>
      <c r="D2856" s="14">
        <v>45862</v>
      </c>
      <c r="E2856" s="5" t="s">
        <v>204</v>
      </c>
      <c r="F2856" s="5" t="s">
        <v>1303</v>
      </c>
      <c r="G2856" s="6" t="s">
        <v>425</v>
      </c>
      <c r="H2856" s="6"/>
      <c r="I2856" s="6"/>
      <c r="J2856" s="6"/>
      <c r="K2856" s="7" t="s">
        <v>1350</v>
      </c>
      <c r="L2856" s="8">
        <v>3799458</v>
      </c>
      <c r="M2856" s="8" t="str">
        <f t="shared" si="232"/>
        <v>PEN</v>
      </c>
      <c r="N2856" s="13"/>
      <c r="O2856" s="13">
        <v>6634.76</v>
      </c>
      <c r="P2856" s="3">
        <f t="shared" si="233"/>
        <v>6634.76</v>
      </c>
      <c r="Q2856" s="3">
        <f t="shared" si="234"/>
        <v>0</v>
      </c>
      <c r="R2856" s="3">
        <f t="shared" si="230"/>
        <v>19705.270000000026</v>
      </c>
      <c r="S2856" s="24" t="s">
        <v>1334</v>
      </c>
      <c r="T2856" s="24" t="s">
        <v>1334</v>
      </c>
      <c r="U2856" s="55"/>
      <c r="V2856" s="25">
        <f>IFERROR(VLOOKUP(BCP_Soles[[#This Row],[destinatario]],CHOOSE({1,2},Clientes_Proveedores[Razon Social],Clientes_Proveedores[Ruc / Dni]),2,0),"")</f>
        <v>20558226979</v>
      </c>
      <c r="W2856" s="25"/>
      <c r="X2856" s="25"/>
      <c r="Y2856" s="25"/>
      <c r="Z2856" s="77"/>
      <c r="AA2856" s="3" t="str">
        <f>IF(BCP_Soles[[#This Row],[fecha]]&gt;0,TEXT(BCP_Soles[[#This Row],[fecha]],"mmmm"),0)</f>
        <v>Julio</v>
      </c>
    </row>
    <row r="2857" spans="1:27" ht="24" x14ac:dyDescent="0.3">
      <c r="A2857" s="2">
        <f>IF(BCP_Soles[[#This Row],[tipo_registro]]="R",COUNTIFS($C$1:$C2856,"R")+1,A2856)</f>
        <v>2028</v>
      </c>
      <c r="B2857" s="19" t="str">
        <f t="shared" si="231"/>
        <v>B-BCP - Soles</v>
      </c>
      <c r="C2857" s="3" t="s">
        <v>1352</v>
      </c>
      <c r="D2857" s="14">
        <v>45862</v>
      </c>
      <c r="E2857" s="5" t="s">
        <v>204</v>
      </c>
      <c r="F2857" s="5" t="s">
        <v>1303</v>
      </c>
      <c r="G2857" s="6" t="s">
        <v>425</v>
      </c>
      <c r="H2857" s="6" t="s">
        <v>68</v>
      </c>
      <c r="I2857" s="6" t="s">
        <v>3302</v>
      </c>
      <c r="J2857" s="6">
        <v>76</v>
      </c>
      <c r="K2857" s="7" t="s">
        <v>1350</v>
      </c>
      <c r="L2857" s="8">
        <v>3799458</v>
      </c>
      <c r="M2857" s="8" t="str">
        <f t="shared" si="232"/>
        <v>PEN</v>
      </c>
      <c r="N2857" s="13">
        <f>+O2856-N2858</f>
        <v>1534.2200000000003</v>
      </c>
      <c r="O2857" s="13"/>
      <c r="P2857" s="3">
        <f t="shared" si="233"/>
        <v>0</v>
      </c>
      <c r="Q2857" s="3">
        <f t="shared" si="234"/>
        <v>0</v>
      </c>
      <c r="R2857" s="3">
        <f t="shared" si="230"/>
        <v>19705.270000000026</v>
      </c>
      <c r="S2857" s="24" t="s">
        <v>1334</v>
      </c>
      <c r="T2857" s="24" t="s">
        <v>1334</v>
      </c>
      <c r="U2857" s="55"/>
      <c r="V2857" s="25">
        <f>IFERROR(VLOOKUP(BCP_Soles[[#This Row],[destinatario]],CHOOSE({1,2},Clientes_Proveedores[Razon Social],Clientes_Proveedores[Ruc / Dni]),2,0),"")</f>
        <v>20558226979</v>
      </c>
      <c r="W2857" s="25"/>
      <c r="X2857" s="25"/>
      <c r="Y2857" s="25"/>
      <c r="Z2857" s="77"/>
      <c r="AA2857" s="3" t="str">
        <f>IF(BCP_Soles[[#This Row],[fecha]]&gt;0,TEXT(BCP_Soles[[#This Row],[fecha]],"mmmm"),0)</f>
        <v>Julio</v>
      </c>
    </row>
    <row r="2858" spans="1:27" ht="24" x14ac:dyDescent="0.3">
      <c r="A2858" s="2">
        <f>IF(BCP_Soles[[#This Row],[tipo_registro]]="R",COUNTIFS($C$1:$C2857,"R")+1,A2857)</f>
        <v>2028</v>
      </c>
      <c r="B2858" s="19" t="str">
        <f t="shared" si="231"/>
        <v>B-BCP - Soles</v>
      </c>
      <c r="C2858" s="3" t="s">
        <v>1352</v>
      </c>
      <c r="D2858" s="14">
        <v>45862</v>
      </c>
      <c r="E2858" s="5" t="s">
        <v>204</v>
      </c>
      <c r="F2858" s="5" t="s">
        <v>1303</v>
      </c>
      <c r="G2858" s="6" t="s">
        <v>425</v>
      </c>
      <c r="H2858" s="6" t="s">
        <v>68</v>
      </c>
      <c r="I2858" s="6" t="s">
        <v>1784</v>
      </c>
      <c r="J2858" s="6">
        <v>133</v>
      </c>
      <c r="K2858" s="7" t="s">
        <v>1350</v>
      </c>
      <c r="L2858" s="8">
        <v>3799458</v>
      </c>
      <c r="M2858" s="8" t="str">
        <f t="shared" si="232"/>
        <v>PEN</v>
      </c>
      <c r="N2858" s="13">
        <v>5100.54</v>
      </c>
      <c r="O2858" s="13"/>
      <c r="P2858" s="3">
        <f t="shared" si="233"/>
        <v>0</v>
      </c>
      <c r="Q2858" s="3">
        <f t="shared" si="234"/>
        <v>0</v>
      </c>
      <c r="R2858" s="3">
        <f t="shared" si="230"/>
        <v>19705.270000000026</v>
      </c>
      <c r="S2858" s="24" t="s">
        <v>1334</v>
      </c>
      <c r="T2858" s="24" t="s">
        <v>1334</v>
      </c>
      <c r="U2858" s="55"/>
      <c r="V2858" s="25">
        <f>IFERROR(VLOOKUP(BCP_Soles[[#This Row],[destinatario]],CHOOSE({1,2},Clientes_Proveedores[Razon Social],Clientes_Proveedores[Ruc / Dni]),2,0),"")</f>
        <v>20558226979</v>
      </c>
      <c r="W2858" s="25"/>
      <c r="X2858" s="25"/>
      <c r="Y2858" s="25"/>
      <c r="Z2858" s="77"/>
      <c r="AA2858" s="3" t="str">
        <f>IF(BCP_Soles[[#This Row],[fecha]]&gt;0,TEXT(BCP_Soles[[#This Row],[fecha]],"mmmm"),0)</f>
        <v>Julio</v>
      </c>
    </row>
    <row r="2859" spans="1:27" x14ac:dyDescent="0.3">
      <c r="A2859" s="2">
        <f>IF(BCP_Soles[[#This Row],[tipo_registro]]="R",COUNTIFS($C$1:$C2858,"R")+1,A2858)</f>
        <v>2029</v>
      </c>
      <c r="B2859" s="19" t="str">
        <f t="shared" si="231"/>
        <v>B-BCP - Soles</v>
      </c>
      <c r="C2859" s="3" t="s">
        <v>1330</v>
      </c>
      <c r="D2859" s="14">
        <v>45862</v>
      </c>
      <c r="E2859" s="5" t="s">
        <v>1498</v>
      </c>
      <c r="F2859" s="5" t="s">
        <v>1303</v>
      </c>
      <c r="G2859" s="6" t="s">
        <v>425</v>
      </c>
      <c r="H2859" s="6" t="s">
        <v>119</v>
      </c>
      <c r="I2859" s="6">
        <v>1</v>
      </c>
      <c r="J2859" s="6">
        <v>4626</v>
      </c>
      <c r="K2859" s="7" t="s">
        <v>1356</v>
      </c>
      <c r="L2859" s="8">
        <v>1897497</v>
      </c>
      <c r="M2859" s="8" t="str">
        <f t="shared" si="232"/>
        <v>PEN</v>
      </c>
      <c r="N2859" s="13"/>
      <c r="O2859" s="13">
        <v>300</v>
      </c>
      <c r="P2859" s="3">
        <f t="shared" si="233"/>
        <v>300</v>
      </c>
      <c r="Q2859" s="3">
        <f t="shared" si="234"/>
        <v>0</v>
      </c>
      <c r="R2859" s="3">
        <f t="shared" si="230"/>
        <v>20005.270000000026</v>
      </c>
      <c r="S2859" s="24" t="s">
        <v>1334</v>
      </c>
      <c r="T2859" s="24" t="s">
        <v>1334</v>
      </c>
      <c r="U2859" s="55"/>
      <c r="V2859" s="25">
        <f>IFERROR(VLOOKUP(BCP_Soles[[#This Row],[destinatario]],CHOOSE({1,2},Clientes_Proveedores[Razon Social],Clientes_Proveedores[Ruc / Dni]),2,0),"")</f>
        <v>20558226979</v>
      </c>
      <c r="W2859" s="25"/>
      <c r="X2859" s="25"/>
      <c r="Y2859" s="25"/>
      <c r="Z2859" s="77"/>
      <c r="AA2859" s="3" t="str">
        <f>IF(BCP_Soles[[#This Row],[fecha]]&gt;0,TEXT(BCP_Soles[[#This Row],[fecha]],"mmmm"),0)</f>
        <v>Julio</v>
      </c>
    </row>
    <row r="2860" spans="1:27" ht="24" x14ac:dyDescent="0.3">
      <c r="A2860" s="2">
        <f>IF(BCP_Soles[[#This Row],[tipo_registro]]="R",COUNTIFS($C$1:$C2859,"R")+1,A2859)</f>
        <v>2030</v>
      </c>
      <c r="B2860" s="19" t="str">
        <f t="shared" si="231"/>
        <v>B-BCP - Soles</v>
      </c>
      <c r="C2860" s="3" t="s">
        <v>1330</v>
      </c>
      <c r="D2860" s="14">
        <v>45862</v>
      </c>
      <c r="E2860" s="5" t="s">
        <v>462</v>
      </c>
      <c r="F2860" s="5" t="s">
        <v>1303</v>
      </c>
      <c r="G2860" s="6" t="s">
        <v>425</v>
      </c>
      <c r="H2860" s="6" t="s">
        <v>68</v>
      </c>
      <c r="I2860" s="6" t="s">
        <v>3381</v>
      </c>
      <c r="J2860" s="6">
        <v>50</v>
      </c>
      <c r="K2860" s="7" t="s">
        <v>1356</v>
      </c>
      <c r="L2860" s="8">
        <v>1528486</v>
      </c>
      <c r="M2860" s="8" t="str">
        <f t="shared" si="232"/>
        <v>PEN</v>
      </c>
      <c r="N2860" s="13"/>
      <c r="O2860" s="13">
        <v>1712.48</v>
      </c>
      <c r="P2860" s="3">
        <f t="shared" si="233"/>
        <v>1712.48</v>
      </c>
      <c r="Q2860" s="3">
        <f t="shared" si="234"/>
        <v>0</v>
      </c>
      <c r="R2860" s="3">
        <f t="shared" si="230"/>
        <v>21717.750000000025</v>
      </c>
      <c r="S2860" s="24" t="s">
        <v>1334</v>
      </c>
      <c r="T2860" s="24" t="s">
        <v>1334</v>
      </c>
      <c r="U2860" s="55"/>
      <c r="V2860" s="25">
        <f>IFERROR(VLOOKUP(BCP_Soles[[#This Row],[destinatario]],CHOOSE({1,2},Clientes_Proveedores[Razon Social],Clientes_Proveedores[Ruc / Dni]),2,0),"")</f>
        <v>20558226979</v>
      </c>
      <c r="W2860" s="25"/>
      <c r="X2860" s="25"/>
      <c r="Y2860" s="25"/>
      <c r="Z2860" s="77"/>
      <c r="AA2860" s="3" t="str">
        <f>IF(BCP_Soles[[#This Row],[fecha]]&gt;0,TEXT(BCP_Soles[[#This Row],[fecha]],"mmmm"),0)</f>
        <v>Julio</v>
      </c>
    </row>
    <row r="2861" spans="1:27" x14ac:dyDescent="0.3">
      <c r="A2861" s="2">
        <f>IF(BCP_Soles[[#This Row],[tipo_registro]]="R",COUNTIFS($C$1:$C2860,"R")+1,A2860)</f>
        <v>2031</v>
      </c>
      <c r="B2861" s="19" t="str">
        <f t="shared" si="231"/>
        <v>B-BCP - Soles</v>
      </c>
      <c r="C2861" s="3" t="s">
        <v>1330</v>
      </c>
      <c r="D2861" s="14">
        <v>45862</v>
      </c>
      <c r="E2861" s="5"/>
      <c r="F2861" s="5" t="s">
        <v>1303</v>
      </c>
      <c r="G2861" s="6" t="s">
        <v>425</v>
      </c>
      <c r="H2861" s="6"/>
      <c r="I2861" s="6"/>
      <c r="J2861" s="6"/>
      <c r="K2861" s="7" t="s">
        <v>3975</v>
      </c>
      <c r="L2861" s="8">
        <v>4022891</v>
      </c>
      <c r="M2861" s="8" t="str">
        <f t="shared" si="232"/>
        <v>PEN</v>
      </c>
      <c r="N2861" s="13"/>
      <c r="O2861" s="13">
        <v>31287.13</v>
      </c>
      <c r="P2861" s="3">
        <f t="shared" si="233"/>
        <v>31287.13</v>
      </c>
      <c r="Q2861" s="3">
        <f t="shared" si="234"/>
        <v>0</v>
      </c>
      <c r="R2861" s="3">
        <f t="shared" si="230"/>
        <v>53004.880000000026</v>
      </c>
      <c r="S2861" s="24" t="s">
        <v>1334</v>
      </c>
      <c r="T2861" s="24" t="s">
        <v>1334</v>
      </c>
      <c r="U2861" s="55"/>
      <c r="V2861" s="25">
        <f>IFERROR(VLOOKUP(BCP_Soles[[#This Row],[destinatario]],CHOOSE({1,2},Clientes_Proveedores[Razon Social],Clientes_Proveedores[Ruc / Dni]),2,0),"")</f>
        <v>20558226979</v>
      </c>
      <c r="W2861" s="25"/>
      <c r="X2861" s="25"/>
      <c r="Y2861" s="25"/>
      <c r="Z2861" s="77"/>
      <c r="AA2861" s="3" t="str">
        <f>IF(BCP_Soles[[#This Row],[fecha]]&gt;0,TEXT(BCP_Soles[[#This Row],[fecha]],"mmmm"),0)</f>
        <v>Julio</v>
      </c>
    </row>
    <row r="2862" spans="1:27" x14ac:dyDescent="0.3">
      <c r="A2862" s="2">
        <f>IF(BCP_Soles[[#This Row],[tipo_registro]]="R",COUNTIFS($C$1:$C2861,"R")+1,A2861)</f>
        <v>2031</v>
      </c>
      <c r="B2862" s="19" t="str">
        <f t="shared" si="231"/>
        <v>B-BCP - Soles</v>
      </c>
      <c r="C2862" s="3" t="s">
        <v>1352</v>
      </c>
      <c r="D2862" s="14">
        <v>45862</v>
      </c>
      <c r="E2862" s="65" t="s">
        <v>271</v>
      </c>
      <c r="F2862" s="5"/>
      <c r="G2862" s="6"/>
      <c r="H2862" s="6" t="s">
        <v>68</v>
      </c>
      <c r="I2862" s="6" t="s">
        <v>1784</v>
      </c>
      <c r="J2862" s="6">
        <v>146</v>
      </c>
      <c r="K2862" s="7" t="s">
        <v>3975</v>
      </c>
      <c r="L2862" s="8">
        <v>4022891</v>
      </c>
      <c r="M2862" s="8" t="str">
        <f t="shared" si="232"/>
        <v>PEN</v>
      </c>
      <c r="N2862" s="13">
        <v>1485.05</v>
      </c>
      <c r="O2862" s="13"/>
      <c r="P2862" s="3">
        <f t="shared" si="233"/>
        <v>0</v>
      </c>
      <c r="Q2862" s="3">
        <f t="shared" si="234"/>
        <v>0</v>
      </c>
      <c r="R2862" s="3">
        <f t="shared" si="230"/>
        <v>53004.880000000026</v>
      </c>
      <c r="S2862" s="24" t="s">
        <v>1334</v>
      </c>
      <c r="T2862" s="24" t="s">
        <v>1334</v>
      </c>
      <c r="U2862" s="55"/>
      <c r="V2862" s="25" t="str">
        <f>IFERROR(VLOOKUP(BCP_Soles[[#This Row],[destinatario]],CHOOSE({1,2},Clientes_Proveedores[Razon Social],Clientes_Proveedores[Ruc / Dni]),2,0),"")</f>
        <v/>
      </c>
      <c r="W2862" s="25"/>
      <c r="X2862" s="25"/>
      <c r="Y2862" s="25"/>
      <c r="Z2862" s="77"/>
      <c r="AA2862" s="3" t="str">
        <f>IF(BCP_Soles[[#This Row],[fecha]]&gt;0,TEXT(BCP_Soles[[#This Row],[fecha]],"mmmm"),0)</f>
        <v>Julio</v>
      </c>
    </row>
    <row r="2863" spans="1:27" x14ac:dyDescent="0.3">
      <c r="A2863" s="2">
        <f>IF(BCP_Soles[[#This Row],[tipo_registro]]="R",COUNTIFS($C$1:$C2862,"R")+1,A2862)</f>
        <v>2031</v>
      </c>
      <c r="B2863" s="19" t="str">
        <f t="shared" si="231"/>
        <v>B-BCP - Soles</v>
      </c>
      <c r="C2863" s="3" t="s">
        <v>1352</v>
      </c>
      <c r="D2863" s="14">
        <v>45862</v>
      </c>
      <c r="E2863" s="65" t="s">
        <v>271</v>
      </c>
      <c r="F2863" s="5"/>
      <c r="G2863" s="6"/>
      <c r="H2863" s="6" t="s">
        <v>68</v>
      </c>
      <c r="I2863" s="6" t="s">
        <v>1784</v>
      </c>
      <c r="J2863" s="6">
        <v>147</v>
      </c>
      <c r="K2863" s="7" t="s">
        <v>3975</v>
      </c>
      <c r="L2863" s="8">
        <v>4022891</v>
      </c>
      <c r="M2863" s="8" t="str">
        <f t="shared" si="232"/>
        <v>PEN</v>
      </c>
      <c r="N2863" s="13">
        <v>1776.63</v>
      </c>
      <c r="O2863" s="13"/>
      <c r="P2863" s="3">
        <f t="shared" si="233"/>
        <v>0</v>
      </c>
      <c r="Q2863" s="3">
        <f t="shared" si="234"/>
        <v>0</v>
      </c>
      <c r="R2863" s="3">
        <f t="shared" si="230"/>
        <v>53004.880000000026</v>
      </c>
      <c r="S2863" s="24" t="s">
        <v>1334</v>
      </c>
      <c r="T2863" s="24" t="s">
        <v>1334</v>
      </c>
      <c r="U2863" s="55"/>
      <c r="V2863" s="25" t="str">
        <f>IFERROR(VLOOKUP(BCP_Soles[[#This Row],[destinatario]],CHOOSE({1,2},Clientes_Proveedores[Razon Social],Clientes_Proveedores[Ruc / Dni]),2,0),"")</f>
        <v/>
      </c>
      <c r="W2863" s="25"/>
      <c r="X2863" s="25"/>
      <c r="Y2863" s="25"/>
      <c r="Z2863" s="77"/>
      <c r="AA2863" s="3" t="str">
        <f>IF(BCP_Soles[[#This Row],[fecha]]&gt;0,TEXT(BCP_Soles[[#This Row],[fecha]],"mmmm"),0)</f>
        <v>Julio</v>
      </c>
    </row>
    <row r="2864" spans="1:27" x14ac:dyDescent="0.3">
      <c r="A2864" s="2">
        <f>IF(BCP_Soles[[#This Row],[tipo_registro]]="R",COUNTIFS($C$1:$C2863,"R")+1,A2863)</f>
        <v>2031</v>
      </c>
      <c r="B2864" s="19" t="str">
        <f t="shared" si="231"/>
        <v>B-BCP - Soles</v>
      </c>
      <c r="C2864" s="3" t="s">
        <v>1352</v>
      </c>
      <c r="D2864" s="14">
        <v>45862</v>
      </c>
      <c r="E2864" s="65" t="s">
        <v>271</v>
      </c>
      <c r="F2864" s="5"/>
      <c r="G2864" s="6"/>
      <c r="H2864" s="6" t="s">
        <v>68</v>
      </c>
      <c r="I2864" s="6" t="s">
        <v>1784</v>
      </c>
      <c r="J2864" s="6">
        <v>148</v>
      </c>
      <c r="K2864" s="7" t="s">
        <v>3975</v>
      </c>
      <c r="L2864" s="8">
        <v>4022891</v>
      </c>
      <c r="M2864" s="8" t="str">
        <f t="shared" si="232"/>
        <v>PEN</v>
      </c>
      <c r="N2864" s="13">
        <v>1485.05</v>
      </c>
      <c r="O2864" s="13"/>
      <c r="P2864" s="3">
        <f t="shared" si="233"/>
        <v>0</v>
      </c>
      <c r="Q2864" s="3">
        <f t="shared" si="234"/>
        <v>0</v>
      </c>
      <c r="R2864" s="3">
        <f t="shared" si="230"/>
        <v>53004.880000000026</v>
      </c>
      <c r="S2864" s="24" t="s">
        <v>1334</v>
      </c>
      <c r="T2864" s="24" t="s">
        <v>1334</v>
      </c>
      <c r="U2864" s="55"/>
      <c r="V2864" s="25" t="str">
        <f>IFERROR(VLOOKUP(BCP_Soles[[#This Row],[destinatario]],CHOOSE({1,2},Clientes_Proveedores[Razon Social],Clientes_Proveedores[Ruc / Dni]),2,0),"")</f>
        <v/>
      </c>
      <c r="W2864" s="25"/>
      <c r="X2864" s="25"/>
      <c r="Y2864" s="25"/>
      <c r="Z2864" s="77"/>
      <c r="AA2864" s="3" t="str">
        <f>IF(BCP_Soles[[#This Row],[fecha]]&gt;0,TEXT(BCP_Soles[[#This Row],[fecha]],"mmmm"),0)</f>
        <v>Julio</v>
      </c>
    </row>
    <row r="2865" spans="1:27" x14ac:dyDescent="0.3">
      <c r="A2865" s="2">
        <f>IF(BCP_Soles[[#This Row],[tipo_registro]]="R",COUNTIFS($C$1:$C2864,"R")+1,A2864)</f>
        <v>2031</v>
      </c>
      <c r="B2865" s="19" t="str">
        <f t="shared" si="231"/>
        <v>B-BCP - Soles</v>
      </c>
      <c r="C2865" s="3" t="s">
        <v>1352</v>
      </c>
      <c r="D2865" s="14">
        <v>45862</v>
      </c>
      <c r="E2865" s="65" t="s">
        <v>271</v>
      </c>
      <c r="F2865" s="5"/>
      <c r="G2865" s="6"/>
      <c r="H2865" s="6" t="s">
        <v>68</v>
      </c>
      <c r="I2865" s="6" t="s">
        <v>1784</v>
      </c>
      <c r="J2865" s="6">
        <v>149</v>
      </c>
      <c r="K2865" s="7" t="s">
        <v>3975</v>
      </c>
      <c r="L2865" s="8">
        <v>4022891</v>
      </c>
      <c r="M2865" s="8" t="str">
        <f t="shared" si="232"/>
        <v>PEN</v>
      </c>
      <c r="N2865" s="13">
        <v>1485.05</v>
      </c>
      <c r="O2865" s="13"/>
      <c r="P2865" s="3">
        <f t="shared" si="233"/>
        <v>0</v>
      </c>
      <c r="Q2865" s="3">
        <f t="shared" si="234"/>
        <v>0</v>
      </c>
      <c r="R2865" s="3">
        <f t="shared" si="230"/>
        <v>53004.880000000026</v>
      </c>
      <c r="S2865" s="24" t="s">
        <v>1334</v>
      </c>
      <c r="T2865" s="24" t="s">
        <v>1334</v>
      </c>
      <c r="U2865" s="55"/>
      <c r="V2865" s="25" t="str">
        <f>IFERROR(VLOOKUP(BCP_Soles[[#This Row],[destinatario]],CHOOSE({1,2},Clientes_Proveedores[Razon Social],Clientes_Proveedores[Ruc / Dni]),2,0),"")</f>
        <v/>
      </c>
      <c r="W2865" s="25"/>
      <c r="X2865" s="25"/>
      <c r="Y2865" s="25"/>
      <c r="Z2865" s="77"/>
      <c r="AA2865" s="3" t="str">
        <f>IF(BCP_Soles[[#This Row],[fecha]]&gt;0,TEXT(BCP_Soles[[#This Row],[fecha]],"mmmm"),0)</f>
        <v>Julio</v>
      </c>
    </row>
    <row r="2866" spans="1:27" x14ac:dyDescent="0.3">
      <c r="A2866" s="2">
        <f>IF(BCP_Soles[[#This Row],[tipo_registro]]="R",COUNTIFS($C$1:$C2865,"R")+1,A2865)</f>
        <v>2031</v>
      </c>
      <c r="B2866" s="19" t="str">
        <f t="shared" si="231"/>
        <v>B-BCP - Soles</v>
      </c>
      <c r="C2866" s="3" t="s">
        <v>1352</v>
      </c>
      <c r="D2866" s="14">
        <v>45862</v>
      </c>
      <c r="E2866" s="65" t="s">
        <v>271</v>
      </c>
      <c r="F2866" s="5"/>
      <c r="G2866" s="6"/>
      <c r="H2866" s="6" t="s">
        <v>68</v>
      </c>
      <c r="I2866" s="6" t="s">
        <v>1784</v>
      </c>
      <c r="J2866" s="6">
        <v>150</v>
      </c>
      <c r="K2866" s="7" t="s">
        <v>3975</v>
      </c>
      <c r="L2866" s="8">
        <v>4022891</v>
      </c>
      <c r="M2866" s="8" t="str">
        <f t="shared" si="232"/>
        <v>PEN</v>
      </c>
      <c r="N2866" s="13">
        <v>1485.05</v>
      </c>
      <c r="O2866" s="13"/>
      <c r="P2866" s="3">
        <f t="shared" si="233"/>
        <v>0</v>
      </c>
      <c r="Q2866" s="3">
        <f t="shared" si="234"/>
        <v>0</v>
      </c>
      <c r="R2866" s="3">
        <f t="shared" si="230"/>
        <v>53004.880000000026</v>
      </c>
      <c r="S2866" s="24" t="s">
        <v>1334</v>
      </c>
      <c r="T2866" s="24" t="s">
        <v>1334</v>
      </c>
      <c r="U2866" s="55"/>
      <c r="V2866" s="25" t="str">
        <f>IFERROR(VLOOKUP(BCP_Soles[[#This Row],[destinatario]],CHOOSE({1,2},Clientes_Proveedores[Razon Social],Clientes_Proveedores[Ruc / Dni]),2,0),"")</f>
        <v/>
      </c>
      <c r="W2866" s="25"/>
      <c r="X2866" s="25"/>
      <c r="Y2866" s="25"/>
      <c r="Z2866" s="77"/>
      <c r="AA2866" s="3" t="str">
        <f>IF(BCP_Soles[[#This Row],[fecha]]&gt;0,TEXT(BCP_Soles[[#This Row],[fecha]],"mmmm"),0)</f>
        <v>Julio</v>
      </c>
    </row>
    <row r="2867" spans="1:27" x14ac:dyDescent="0.3">
      <c r="A2867" s="2">
        <f>IF(BCP_Soles[[#This Row],[tipo_registro]]="R",COUNTIFS($C$1:$C2866,"R")+1,A2866)</f>
        <v>2031</v>
      </c>
      <c r="B2867" s="19" t="str">
        <f t="shared" si="231"/>
        <v>B-BCP - Soles</v>
      </c>
      <c r="C2867" s="3" t="s">
        <v>1352</v>
      </c>
      <c r="D2867" s="14">
        <v>45862</v>
      </c>
      <c r="E2867" s="65" t="s">
        <v>271</v>
      </c>
      <c r="F2867" s="5"/>
      <c r="G2867" s="6"/>
      <c r="H2867" s="6" t="s">
        <v>68</v>
      </c>
      <c r="I2867" s="6" t="s">
        <v>1784</v>
      </c>
      <c r="J2867" s="6">
        <v>151</v>
      </c>
      <c r="K2867" s="7" t="s">
        <v>3975</v>
      </c>
      <c r="L2867" s="8">
        <v>4022891</v>
      </c>
      <c r="M2867" s="8" t="str">
        <f t="shared" si="232"/>
        <v>PEN</v>
      </c>
      <c r="N2867" s="13">
        <v>1485.05</v>
      </c>
      <c r="O2867" s="13"/>
      <c r="P2867" s="3">
        <f t="shared" si="233"/>
        <v>0</v>
      </c>
      <c r="Q2867" s="3">
        <f t="shared" si="234"/>
        <v>0</v>
      </c>
      <c r="R2867" s="3">
        <f t="shared" si="230"/>
        <v>53004.880000000026</v>
      </c>
      <c r="S2867" s="24" t="s">
        <v>1334</v>
      </c>
      <c r="T2867" s="24" t="s">
        <v>1334</v>
      </c>
      <c r="U2867" s="55"/>
      <c r="V2867" s="25" t="str">
        <f>IFERROR(VLOOKUP(BCP_Soles[[#This Row],[destinatario]],CHOOSE({1,2},Clientes_Proveedores[Razon Social],Clientes_Proveedores[Ruc / Dni]),2,0),"")</f>
        <v/>
      </c>
      <c r="W2867" s="25"/>
      <c r="X2867" s="25"/>
      <c r="Y2867" s="25"/>
      <c r="Z2867" s="77"/>
      <c r="AA2867" s="3" t="str">
        <f>IF(BCP_Soles[[#This Row],[fecha]]&gt;0,TEXT(BCP_Soles[[#This Row],[fecha]],"mmmm"),0)</f>
        <v>Julio</v>
      </c>
    </row>
    <row r="2868" spans="1:27" x14ac:dyDescent="0.3">
      <c r="A2868" s="2">
        <f>IF(BCP_Soles[[#This Row],[tipo_registro]]="R",COUNTIFS($C$1:$C2867,"R")+1,A2867)</f>
        <v>2031</v>
      </c>
      <c r="B2868" s="19" t="str">
        <f t="shared" si="231"/>
        <v>B-BCP - Soles</v>
      </c>
      <c r="C2868" s="3" t="s">
        <v>1352</v>
      </c>
      <c r="D2868" s="14">
        <v>45862</v>
      </c>
      <c r="E2868" s="65" t="s">
        <v>271</v>
      </c>
      <c r="F2868" s="5"/>
      <c r="G2868" s="6"/>
      <c r="H2868" s="6" t="s">
        <v>68</v>
      </c>
      <c r="I2868" s="6" t="s">
        <v>1784</v>
      </c>
      <c r="J2868" s="6">
        <v>152</v>
      </c>
      <c r="K2868" s="7" t="s">
        <v>3975</v>
      </c>
      <c r="L2868" s="8">
        <v>4022891</v>
      </c>
      <c r="M2868" s="8" t="str">
        <f t="shared" si="232"/>
        <v>PEN</v>
      </c>
      <c r="N2868" s="13">
        <v>1951.86</v>
      </c>
      <c r="O2868" s="13"/>
      <c r="P2868" s="3">
        <f t="shared" si="233"/>
        <v>0</v>
      </c>
      <c r="Q2868" s="3">
        <f t="shared" si="234"/>
        <v>0</v>
      </c>
      <c r="R2868" s="3">
        <f t="shared" si="230"/>
        <v>53004.880000000026</v>
      </c>
      <c r="S2868" s="24" t="s">
        <v>1334</v>
      </c>
      <c r="T2868" s="24" t="s">
        <v>1334</v>
      </c>
      <c r="U2868" s="55"/>
      <c r="V2868" s="25" t="str">
        <f>IFERROR(VLOOKUP(BCP_Soles[[#This Row],[destinatario]],CHOOSE({1,2},Clientes_Proveedores[Razon Social],Clientes_Proveedores[Ruc / Dni]),2,0),"")</f>
        <v/>
      </c>
      <c r="W2868" s="25"/>
      <c r="X2868" s="25"/>
      <c r="Y2868" s="25"/>
      <c r="Z2868" s="77"/>
      <c r="AA2868" s="3" t="str">
        <f>IF(BCP_Soles[[#This Row],[fecha]]&gt;0,TEXT(BCP_Soles[[#This Row],[fecha]],"mmmm"),0)</f>
        <v>Julio</v>
      </c>
    </row>
    <row r="2869" spans="1:27" x14ac:dyDescent="0.3">
      <c r="A2869" s="2">
        <f>IF(BCP_Soles[[#This Row],[tipo_registro]]="R",COUNTIFS($C$1:$C2868,"R")+1,A2868)</f>
        <v>2031</v>
      </c>
      <c r="B2869" s="19" t="str">
        <f t="shared" si="231"/>
        <v>B-BCP - Soles</v>
      </c>
      <c r="C2869" s="3" t="s">
        <v>1352</v>
      </c>
      <c r="D2869" s="14">
        <v>45862</v>
      </c>
      <c r="E2869" s="65" t="s">
        <v>271</v>
      </c>
      <c r="F2869" s="5"/>
      <c r="G2869" s="6"/>
      <c r="H2869" s="6" t="s">
        <v>68</v>
      </c>
      <c r="I2869" s="6" t="s">
        <v>1784</v>
      </c>
      <c r="J2869" s="6">
        <v>153</v>
      </c>
      <c r="K2869" s="7" t="s">
        <v>3975</v>
      </c>
      <c r="L2869" s="8">
        <v>4022891</v>
      </c>
      <c r="M2869" s="8" t="str">
        <f t="shared" si="232"/>
        <v>PEN</v>
      </c>
      <c r="N2869" s="13">
        <v>1485.05</v>
      </c>
      <c r="O2869" s="13"/>
      <c r="P2869" s="3">
        <f t="shared" si="233"/>
        <v>0</v>
      </c>
      <c r="Q2869" s="3">
        <f t="shared" si="234"/>
        <v>0</v>
      </c>
      <c r="R2869" s="3">
        <f t="shared" si="230"/>
        <v>53004.880000000026</v>
      </c>
      <c r="S2869" s="24" t="s">
        <v>1334</v>
      </c>
      <c r="T2869" s="24" t="s">
        <v>1334</v>
      </c>
      <c r="U2869" s="55"/>
      <c r="V2869" s="25" t="str">
        <f>IFERROR(VLOOKUP(BCP_Soles[[#This Row],[destinatario]],CHOOSE({1,2},Clientes_Proveedores[Razon Social],Clientes_Proveedores[Ruc / Dni]),2,0),"")</f>
        <v/>
      </c>
      <c r="W2869" s="25"/>
      <c r="X2869" s="25"/>
      <c r="Y2869" s="25"/>
      <c r="Z2869" s="77"/>
      <c r="AA2869" s="3" t="str">
        <f>IF(BCP_Soles[[#This Row],[fecha]]&gt;0,TEXT(BCP_Soles[[#This Row],[fecha]],"mmmm"),0)</f>
        <v>Julio</v>
      </c>
    </row>
    <row r="2870" spans="1:27" x14ac:dyDescent="0.3">
      <c r="A2870" s="2">
        <f>IF(BCP_Soles[[#This Row],[tipo_registro]]="R",COUNTIFS($C$1:$C2869,"R")+1,A2869)</f>
        <v>2031</v>
      </c>
      <c r="B2870" s="19" t="str">
        <f t="shared" si="231"/>
        <v>B-BCP - Soles</v>
      </c>
      <c r="C2870" s="3" t="s">
        <v>1352</v>
      </c>
      <c r="D2870" s="14">
        <v>45862</v>
      </c>
      <c r="E2870" s="65" t="s">
        <v>271</v>
      </c>
      <c r="F2870" s="5"/>
      <c r="G2870" s="6"/>
      <c r="H2870" s="6" t="s">
        <v>68</v>
      </c>
      <c r="I2870" s="6" t="s">
        <v>1784</v>
      </c>
      <c r="J2870" s="6">
        <v>154</v>
      </c>
      <c r="K2870" s="7" t="s">
        <v>3975</v>
      </c>
      <c r="L2870" s="8">
        <v>4022891</v>
      </c>
      <c r="M2870" s="8" t="str">
        <f t="shared" si="232"/>
        <v>PEN</v>
      </c>
      <c r="N2870" s="13">
        <v>1485.05</v>
      </c>
      <c r="O2870" s="13"/>
      <c r="P2870" s="3">
        <f t="shared" si="233"/>
        <v>0</v>
      </c>
      <c r="Q2870" s="3">
        <f t="shared" si="234"/>
        <v>0</v>
      </c>
      <c r="R2870" s="3">
        <f t="shared" si="230"/>
        <v>53004.880000000026</v>
      </c>
      <c r="S2870" s="24" t="s">
        <v>1334</v>
      </c>
      <c r="T2870" s="24" t="s">
        <v>1334</v>
      </c>
      <c r="U2870" s="55"/>
      <c r="V2870" s="25" t="str">
        <f>IFERROR(VLOOKUP(BCP_Soles[[#This Row],[destinatario]],CHOOSE({1,2},Clientes_Proveedores[Razon Social],Clientes_Proveedores[Ruc / Dni]),2,0),"")</f>
        <v/>
      </c>
      <c r="W2870" s="25"/>
      <c r="X2870" s="25"/>
      <c r="Y2870" s="25"/>
      <c r="Z2870" s="77"/>
      <c r="AA2870" s="3" t="str">
        <f>IF(BCP_Soles[[#This Row],[fecha]]&gt;0,TEXT(BCP_Soles[[#This Row],[fecha]],"mmmm"),0)</f>
        <v>Julio</v>
      </c>
    </row>
    <row r="2871" spans="1:27" x14ac:dyDescent="0.3">
      <c r="A2871" s="2">
        <f>IF(BCP_Soles[[#This Row],[tipo_registro]]="R",COUNTIFS($C$1:$C2870,"R")+1,A2870)</f>
        <v>2031</v>
      </c>
      <c r="B2871" s="19" t="str">
        <f t="shared" si="231"/>
        <v>B-BCP - Soles</v>
      </c>
      <c r="C2871" s="3" t="s">
        <v>1352</v>
      </c>
      <c r="D2871" s="14">
        <v>45862</v>
      </c>
      <c r="E2871" s="65" t="s">
        <v>271</v>
      </c>
      <c r="F2871" s="5"/>
      <c r="G2871" s="6"/>
      <c r="H2871" s="6" t="s">
        <v>68</v>
      </c>
      <c r="I2871" s="6" t="s">
        <v>1784</v>
      </c>
      <c r="J2871" s="6">
        <v>155</v>
      </c>
      <c r="K2871" s="7" t="s">
        <v>3975</v>
      </c>
      <c r="L2871" s="8">
        <v>4022891</v>
      </c>
      <c r="M2871" s="8" t="str">
        <f t="shared" si="232"/>
        <v>PEN</v>
      </c>
      <c r="N2871" s="13">
        <v>1485.05</v>
      </c>
      <c r="O2871" s="13"/>
      <c r="P2871" s="3">
        <f t="shared" si="233"/>
        <v>0</v>
      </c>
      <c r="Q2871" s="3">
        <f t="shared" si="234"/>
        <v>0</v>
      </c>
      <c r="R2871" s="3">
        <f t="shared" si="230"/>
        <v>53004.880000000026</v>
      </c>
      <c r="S2871" s="24" t="s">
        <v>1334</v>
      </c>
      <c r="T2871" s="24" t="s">
        <v>1334</v>
      </c>
      <c r="U2871" s="55"/>
      <c r="V2871" s="25" t="str">
        <f>IFERROR(VLOOKUP(BCP_Soles[[#This Row],[destinatario]],CHOOSE({1,2},Clientes_Proveedores[Razon Social],Clientes_Proveedores[Ruc / Dni]),2,0),"")</f>
        <v/>
      </c>
      <c r="W2871" s="25"/>
      <c r="X2871" s="25"/>
      <c r="Y2871" s="25"/>
      <c r="Z2871" s="77"/>
      <c r="AA2871" s="3" t="str">
        <f>IF(BCP_Soles[[#This Row],[fecha]]&gt;0,TEXT(BCP_Soles[[#This Row],[fecha]],"mmmm"),0)</f>
        <v>Julio</v>
      </c>
    </row>
    <row r="2872" spans="1:27" x14ac:dyDescent="0.3">
      <c r="A2872" s="2">
        <f>IF(BCP_Soles[[#This Row],[tipo_registro]]="R",COUNTIFS($C$1:$C2871,"R")+1,A2871)</f>
        <v>2031</v>
      </c>
      <c r="B2872" s="19" t="str">
        <f t="shared" si="231"/>
        <v>B-BCP - Soles</v>
      </c>
      <c r="C2872" s="3" t="s">
        <v>1352</v>
      </c>
      <c r="D2872" s="14">
        <v>45862</v>
      </c>
      <c r="E2872" s="65" t="s">
        <v>271</v>
      </c>
      <c r="F2872" s="5"/>
      <c r="G2872" s="6"/>
      <c r="H2872" s="6" t="s">
        <v>68</v>
      </c>
      <c r="I2872" s="6" t="s">
        <v>1784</v>
      </c>
      <c r="J2872" s="6">
        <v>157</v>
      </c>
      <c r="K2872" s="7" t="s">
        <v>3975</v>
      </c>
      <c r="L2872" s="8">
        <v>4022891</v>
      </c>
      <c r="M2872" s="8" t="str">
        <f t="shared" si="232"/>
        <v>PEN</v>
      </c>
      <c r="N2872" s="96">
        <v>2697.29</v>
      </c>
      <c r="O2872" s="13"/>
      <c r="P2872" s="3">
        <f t="shared" si="233"/>
        <v>0</v>
      </c>
      <c r="Q2872" s="3">
        <f t="shared" si="234"/>
        <v>0</v>
      </c>
      <c r="R2872" s="3">
        <f t="shared" si="230"/>
        <v>53004.880000000026</v>
      </c>
      <c r="S2872" s="24" t="s">
        <v>1334</v>
      </c>
      <c r="T2872" s="24" t="s">
        <v>1334</v>
      </c>
      <c r="U2872" s="55"/>
      <c r="V2872" s="25" t="str">
        <f>IFERROR(VLOOKUP(BCP_Soles[[#This Row],[destinatario]],CHOOSE({1,2},Clientes_Proveedores[Razon Social],Clientes_Proveedores[Ruc / Dni]),2,0),"")</f>
        <v/>
      </c>
      <c r="W2872" s="25"/>
      <c r="X2872" s="25"/>
      <c r="Y2872" s="25"/>
      <c r="Z2872" s="77"/>
      <c r="AA2872" s="3" t="str">
        <f>IF(BCP_Soles[[#This Row],[fecha]]&gt;0,TEXT(BCP_Soles[[#This Row],[fecha]],"mmmm"),0)</f>
        <v>Julio</v>
      </c>
    </row>
    <row r="2873" spans="1:27" x14ac:dyDescent="0.3">
      <c r="A2873" s="2">
        <f>IF(BCP_Soles[[#This Row],[tipo_registro]]="R",COUNTIFS($C$1:$C2872,"R")+1,A2872)</f>
        <v>2031</v>
      </c>
      <c r="B2873" s="19" t="str">
        <f t="shared" si="231"/>
        <v>B-BCP - Soles</v>
      </c>
      <c r="C2873" s="3" t="s">
        <v>1352</v>
      </c>
      <c r="D2873" s="14">
        <v>45862</v>
      </c>
      <c r="E2873" s="65" t="s">
        <v>271</v>
      </c>
      <c r="F2873" s="5"/>
      <c r="G2873" s="6"/>
      <c r="H2873" s="6" t="s">
        <v>68</v>
      </c>
      <c r="I2873" s="6" t="s">
        <v>1784</v>
      </c>
      <c r="J2873" s="6">
        <v>158</v>
      </c>
      <c r="K2873" s="7" t="s">
        <v>3975</v>
      </c>
      <c r="L2873" s="8">
        <v>4022891</v>
      </c>
      <c r="M2873" s="8" t="str">
        <f t="shared" si="232"/>
        <v>PEN</v>
      </c>
      <c r="N2873" s="96">
        <v>2697.29</v>
      </c>
      <c r="O2873" s="13"/>
      <c r="P2873" s="3">
        <f t="shared" si="233"/>
        <v>0</v>
      </c>
      <c r="Q2873" s="3">
        <f t="shared" si="234"/>
        <v>0</v>
      </c>
      <c r="R2873" s="3">
        <f t="shared" si="230"/>
        <v>53004.880000000026</v>
      </c>
      <c r="S2873" s="24" t="s">
        <v>1334</v>
      </c>
      <c r="T2873" s="24" t="s">
        <v>1334</v>
      </c>
      <c r="U2873" s="55"/>
      <c r="V2873" s="25" t="str">
        <f>IFERROR(VLOOKUP(BCP_Soles[[#This Row],[destinatario]],CHOOSE({1,2},Clientes_Proveedores[Razon Social],Clientes_Proveedores[Ruc / Dni]),2,0),"")</f>
        <v/>
      </c>
      <c r="W2873" s="25"/>
      <c r="X2873" s="25"/>
      <c r="Y2873" s="25"/>
      <c r="Z2873" s="77"/>
      <c r="AA2873" s="3" t="str">
        <f>IF(BCP_Soles[[#This Row],[fecha]]&gt;0,TEXT(BCP_Soles[[#This Row],[fecha]],"mmmm"),0)</f>
        <v>Julio</v>
      </c>
    </row>
    <row r="2874" spans="1:27" x14ac:dyDescent="0.3">
      <c r="A2874" s="2">
        <f>IF(BCP_Soles[[#This Row],[tipo_registro]]="R",COUNTIFS($C$1:$C2873,"R")+1,A2873)</f>
        <v>2031</v>
      </c>
      <c r="B2874" s="19" t="str">
        <f t="shared" si="231"/>
        <v>B-BCP - Soles</v>
      </c>
      <c r="C2874" s="3" t="s">
        <v>1352</v>
      </c>
      <c r="D2874" s="14">
        <v>45862</v>
      </c>
      <c r="E2874" s="65" t="s">
        <v>271</v>
      </c>
      <c r="F2874" s="5"/>
      <c r="G2874" s="6"/>
      <c r="H2874" s="6" t="s">
        <v>68</v>
      </c>
      <c r="I2874" s="6" t="s">
        <v>1784</v>
      </c>
      <c r="J2874" s="6">
        <v>159</v>
      </c>
      <c r="K2874" s="7" t="s">
        <v>3975</v>
      </c>
      <c r="L2874" s="8">
        <v>4022891</v>
      </c>
      <c r="M2874" s="8" t="str">
        <f t="shared" si="232"/>
        <v>PEN</v>
      </c>
      <c r="N2874" s="13">
        <v>3889.69</v>
      </c>
      <c r="O2874" s="13"/>
      <c r="P2874" s="3">
        <f t="shared" si="233"/>
        <v>0</v>
      </c>
      <c r="Q2874" s="3">
        <f t="shared" si="234"/>
        <v>0</v>
      </c>
      <c r="R2874" s="3">
        <f t="shared" si="230"/>
        <v>53004.880000000026</v>
      </c>
      <c r="S2874" s="24" t="s">
        <v>1334</v>
      </c>
      <c r="T2874" s="24" t="s">
        <v>1334</v>
      </c>
      <c r="U2874" s="55"/>
      <c r="V2874" s="25" t="str">
        <f>IFERROR(VLOOKUP(BCP_Soles[[#This Row],[destinatario]],CHOOSE({1,2},Clientes_Proveedores[Razon Social],Clientes_Proveedores[Ruc / Dni]),2,0),"")</f>
        <v/>
      </c>
      <c r="W2874" s="25"/>
      <c r="X2874" s="25"/>
      <c r="Y2874" s="25"/>
      <c r="Z2874" s="77"/>
      <c r="AA2874" s="3" t="str">
        <f>IF(BCP_Soles[[#This Row],[fecha]]&gt;0,TEXT(BCP_Soles[[#This Row],[fecha]],"mmmm"),0)</f>
        <v>Julio</v>
      </c>
    </row>
    <row r="2875" spans="1:27" x14ac:dyDescent="0.3">
      <c r="A2875" s="2">
        <f>IF(BCP_Soles[[#This Row],[tipo_registro]]="R",COUNTIFS($C$1:$C2874,"R")+1,A2874)</f>
        <v>2031</v>
      </c>
      <c r="B2875" s="19" t="str">
        <f t="shared" si="231"/>
        <v>B-BCP - Soles</v>
      </c>
      <c r="C2875" s="3" t="s">
        <v>1352</v>
      </c>
      <c r="D2875" s="14">
        <v>45862</v>
      </c>
      <c r="E2875" s="65" t="s">
        <v>271</v>
      </c>
      <c r="F2875" s="5"/>
      <c r="G2875" s="6"/>
      <c r="H2875" s="6" t="s">
        <v>68</v>
      </c>
      <c r="I2875" s="6" t="s">
        <v>1784</v>
      </c>
      <c r="J2875" s="6">
        <v>160</v>
      </c>
      <c r="K2875" s="7" t="s">
        <v>3975</v>
      </c>
      <c r="L2875" s="8">
        <v>4022891</v>
      </c>
      <c r="M2875" s="8" t="str">
        <f t="shared" si="232"/>
        <v>PEN</v>
      </c>
      <c r="N2875" s="13">
        <v>3696.68</v>
      </c>
      <c r="O2875" s="13"/>
      <c r="P2875" s="3">
        <f t="shared" si="233"/>
        <v>0</v>
      </c>
      <c r="Q2875" s="3">
        <f t="shared" si="234"/>
        <v>0</v>
      </c>
      <c r="R2875" s="3">
        <f t="shared" si="230"/>
        <v>53004.880000000026</v>
      </c>
      <c r="S2875" s="24" t="s">
        <v>1334</v>
      </c>
      <c r="T2875" s="24" t="s">
        <v>1334</v>
      </c>
      <c r="U2875" s="55"/>
      <c r="V2875" s="25" t="str">
        <f>IFERROR(VLOOKUP(BCP_Soles[[#This Row],[destinatario]],CHOOSE({1,2},Clientes_Proveedores[Razon Social],Clientes_Proveedores[Ruc / Dni]),2,0),"")</f>
        <v/>
      </c>
      <c r="W2875" s="25"/>
      <c r="X2875" s="25"/>
      <c r="Y2875" s="25"/>
      <c r="Z2875" s="77"/>
      <c r="AA2875" s="3" t="str">
        <f>IF(BCP_Soles[[#This Row],[fecha]]&gt;0,TEXT(BCP_Soles[[#This Row],[fecha]],"mmmm"),0)</f>
        <v>Julio</v>
      </c>
    </row>
    <row r="2876" spans="1:27" x14ac:dyDescent="0.3">
      <c r="A2876" s="2">
        <f>IF(BCP_Soles[[#This Row],[tipo_registro]]="R",COUNTIFS($C$1:$C2875,"R")+1,A2875)</f>
        <v>2031</v>
      </c>
      <c r="B2876" s="19" t="str">
        <f t="shared" si="231"/>
        <v>B-BCP - Soles</v>
      </c>
      <c r="C2876" s="3" t="s">
        <v>1352</v>
      </c>
      <c r="D2876" s="14">
        <v>45862</v>
      </c>
      <c r="E2876" s="65" t="s">
        <v>271</v>
      </c>
      <c r="F2876" s="5"/>
      <c r="G2876" s="6"/>
      <c r="H2876" s="6" t="s">
        <v>68</v>
      </c>
      <c r="I2876" s="6" t="s">
        <v>1784</v>
      </c>
      <c r="J2876" s="6">
        <v>166</v>
      </c>
      <c r="K2876" s="7" t="s">
        <v>3975</v>
      </c>
      <c r="L2876" s="8">
        <v>4022891</v>
      </c>
      <c r="M2876" s="8" t="str">
        <f t="shared" si="232"/>
        <v>PEN</v>
      </c>
      <c r="N2876" s="13">
        <v>2697.29</v>
      </c>
      <c r="O2876" s="13"/>
      <c r="P2876" s="3">
        <f t="shared" si="233"/>
        <v>0</v>
      </c>
      <c r="Q2876" s="3">
        <f t="shared" si="234"/>
        <v>0</v>
      </c>
      <c r="R2876" s="3">
        <f t="shared" si="230"/>
        <v>53004.880000000026</v>
      </c>
      <c r="S2876" s="24" t="s">
        <v>1334</v>
      </c>
      <c r="T2876" s="24" t="s">
        <v>1334</v>
      </c>
      <c r="U2876" s="55"/>
      <c r="V2876" s="25" t="str">
        <f>IFERROR(VLOOKUP(BCP_Soles[[#This Row],[destinatario]],CHOOSE({1,2},Clientes_Proveedores[Razon Social],Clientes_Proveedores[Ruc / Dni]),2,0),"")</f>
        <v/>
      </c>
      <c r="W2876" s="25"/>
      <c r="X2876" s="25"/>
      <c r="Y2876" s="25"/>
      <c r="Z2876" s="77"/>
      <c r="AA2876" s="3" t="str">
        <f>IF(BCP_Soles[[#This Row],[fecha]]&gt;0,TEXT(BCP_Soles[[#This Row],[fecha]],"mmmm"),0)</f>
        <v>Julio</v>
      </c>
    </row>
    <row r="2877" spans="1:27" ht="24" x14ac:dyDescent="0.3">
      <c r="A2877" s="2">
        <f>IF(BCP_Soles[[#This Row],[tipo_registro]]="R",COUNTIFS($C$1:$C2876,"R")+1,A2876)</f>
        <v>2032</v>
      </c>
      <c r="B2877" s="19" t="str">
        <f t="shared" si="231"/>
        <v>B-BCP - Soles</v>
      </c>
      <c r="C2877" s="3" t="s">
        <v>1330</v>
      </c>
      <c r="D2877" s="14">
        <v>45862</v>
      </c>
      <c r="E2877" s="5" t="s">
        <v>274</v>
      </c>
      <c r="F2877" s="5" t="s">
        <v>1303</v>
      </c>
      <c r="G2877" s="6" t="s">
        <v>425</v>
      </c>
      <c r="H2877" s="6" t="s">
        <v>68</v>
      </c>
      <c r="I2877" s="6" t="s">
        <v>3302</v>
      </c>
      <c r="J2877" s="6">
        <v>100</v>
      </c>
      <c r="K2877" s="7" t="s">
        <v>3976</v>
      </c>
      <c r="L2877" s="8">
        <v>2649667</v>
      </c>
      <c r="M2877" s="8" t="str">
        <f t="shared" si="232"/>
        <v>PEN</v>
      </c>
      <c r="N2877" s="13"/>
      <c r="O2877" s="13">
        <v>380</v>
      </c>
      <c r="P2877" s="3">
        <f t="shared" si="233"/>
        <v>380</v>
      </c>
      <c r="Q2877" s="3">
        <f t="shared" si="234"/>
        <v>0</v>
      </c>
      <c r="R2877" s="3">
        <f t="shared" si="230"/>
        <v>53384.880000000026</v>
      </c>
      <c r="S2877" s="24" t="s">
        <v>1334</v>
      </c>
      <c r="T2877" s="24" t="s">
        <v>1334</v>
      </c>
      <c r="U2877" s="55"/>
      <c r="V2877" s="25">
        <f>IFERROR(VLOOKUP(BCP_Soles[[#This Row],[destinatario]],CHOOSE({1,2},Clientes_Proveedores[Razon Social],Clientes_Proveedores[Ruc / Dni]),2,0),"")</f>
        <v>20558226979</v>
      </c>
      <c r="W2877" s="25"/>
      <c r="X2877" s="25"/>
      <c r="Y2877" s="25"/>
      <c r="Z2877" s="77"/>
      <c r="AA2877" s="3" t="str">
        <f>IF(BCP_Soles[[#This Row],[fecha]]&gt;0,TEXT(BCP_Soles[[#This Row],[fecha]],"mmmm"),0)</f>
        <v>Julio</v>
      </c>
    </row>
    <row r="2878" spans="1:27" x14ac:dyDescent="0.3">
      <c r="A2878" s="2">
        <f>IF(BCP_Soles[[#This Row],[tipo_registro]]="R",COUNTIFS($C$1:$C2877,"R")+1,A2877)</f>
        <v>2033</v>
      </c>
      <c r="B2878" s="19" t="str">
        <f t="shared" si="231"/>
        <v>B-BCP - Soles</v>
      </c>
      <c r="C2878" s="3" t="s">
        <v>1330</v>
      </c>
      <c r="D2878" s="14">
        <v>45862</v>
      </c>
      <c r="E2878" s="5" t="s">
        <v>2269</v>
      </c>
      <c r="F2878" s="5" t="s">
        <v>1336</v>
      </c>
      <c r="G2878" s="6" t="s">
        <v>696</v>
      </c>
      <c r="H2878" s="6"/>
      <c r="I2878" s="6"/>
      <c r="J2878" s="6"/>
      <c r="K2878" s="7" t="s">
        <v>3977</v>
      </c>
      <c r="L2878" s="8">
        <v>3850278</v>
      </c>
      <c r="M2878" s="8" t="str">
        <f t="shared" si="232"/>
        <v>PEN</v>
      </c>
      <c r="N2878" s="13"/>
      <c r="O2878" s="13">
        <v>984</v>
      </c>
      <c r="P2878" s="3">
        <f t="shared" si="233"/>
        <v>0</v>
      </c>
      <c r="Q2878" s="3">
        <f t="shared" si="234"/>
        <v>984</v>
      </c>
      <c r="R2878" s="3">
        <f t="shared" si="230"/>
        <v>52400.880000000026</v>
      </c>
      <c r="S2878" s="24" t="s">
        <v>1334</v>
      </c>
      <c r="T2878" s="24" t="s">
        <v>1334</v>
      </c>
      <c r="U2878" s="79" t="s">
        <v>3978</v>
      </c>
      <c r="V2878" s="25">
        <f>IFERROR(VLOOKUP(BCP_Soles[[#This Row],[destinatario]],CHOOSE({1,2},Clientes_Proveedores[Razon Social],Clientes_Proveedores[Ruc / Dni]),2,0),"")</f>
        <v>0</v>
      </c>
      <c r="W2878" s="25"/>
      <c r="X2878" s="25"/>
      <c r="Y2878" s="25"/>
      <c r="Z2878" s="77"/>
      <c r="AA2878" s="3" t="str">
        <f>IF(BCP_Soles[[#This Row],[fecha]]&gt;0,TEXT(BCP_Soles[[#This Row],[fecha]],"mmmm"),0)</f>
        <v>Julio</v>
      </c>
    </row>
    <row r="2879" spans="1:27" ht="24" x14ac:dyDescent="0.3">
      <c r="A2879" s="2">
        <f>IF(BCP_Soles[[#This Row],[tipo_registro]]="R",COUNTIFS($C$1:$C2878,"R")+1,A2878)</f>
        <v>2033</v>
      </c>
      <c r="B2879" s="19" t="str">
        <f t="shared" si="231"/>
        <v>B-BCP - Soles</v>
      </c>
      <c r="C2879" s="3" t="s">
        <v>1352</v>
      </c>
      <c r="D2879" s="14">
        <v>45862</v>
      </c>
      <c r="E2879" s="5"/>
      <c r="F2879" s="5"/>
      <c r="G2879" s="6" t="s">
        <v>594</v>
      </c>
      <c r="H2879" s="6" t="s">
        <v>68</v>
      </c>
      <c r="I2879" s="6" t="s">
        <v>1376</v>
      </c>
      <c r="J2879" s="6">
        <v>2379</v>
      </c>
      <c r="K2879" s="7" t="s">
        <v>3977</v>
      </c>
      <c r="L2879" s="8">
        <v>3850278</v>
      </c>
      <c r="M2879" s="8" t="str">
        <f t="shared" si="232"/>
        <v>PEN</v>
      </c>
      <c r="N2879" s="13">
        <v>70.8</v>
      </c>
      <c r="O2879" s="13"/>
      <c r="P2879" s="3">
        <f t="shared" si="233"/>
        <v>0</v>
      </c>
      <c r="Q2879" s="3">
        <f t="shared" si="234"/>
        <v>0</v>
      </c>
      <c r="R2879" s="3">
        <f t="shared" si="230"/>
        <v>52400.880000000026</v>
      </c>
      <c r="S2879" s="24" t="s">
        <v>1334</v>
      </c>
      <c r="T2879" s="24" t="s">
        <v>1334</v>
      </c>
      <c r="U2879" s="79"/>
      <c r="V2879" s="25">
        <f>IFERROR(VLOOKUP(BCP_Soles[[#This Row],[destinatario]],CHOOSE({1,2},Clientes_Proveedores[Razon Social],Clientes_Proveedores[Ruc / Dni]),2,0),"")</f>
        <v>20609764261</v>
      </c>
      <c r="W2879" s="25"/>
      <c r="X2879" s="25"/>
      <c r="Y2879" s="25"/>
      <c r="Z2879" s="77"/>
      <c r="AA2879" s="3" t="str">
        <f>IF(BCP_Soles[[#This Row],[fecha]]&gt;0,TEXT(BCP_Soles[[#This Row],[fecha]],"mmmm"),0)</f>
        <v>Julio</v>
      </c>
    </row>
    <row r="2880" spans="1:27" ht="24" x14ac:dyDescent="0.3">
      <c r="A2880" s="2">
        <f>IF(BCP_Soles[[#This Row],[tipo_registro]]="R",COUNTIFS($C$1:$C2879,"R")+1,A2879)</f>
        <v>2033</v>
      </c>
      <c r="B2880" s="19" t="str">
        <f t="shared" si="231"/>
        <v>B-BCP - Soles</v>
      </c>
      <c r="C2880" s="3" t="s">
        <v>1352</v>
      </c>
      <c r="D2880" s="14">
        <v>45862</v>
      </c>
      <c r="E2880" s="5"/>
      <c r="F2880" s="5"/>
      <c r="G2880" s="6" t="s">
        <v>594</v>
      </c>
      <c r="H2880" s="6" t="s">
        <v>68</v>
      </c>
      <c r="I2880" s="6" t="s">
        <v>1376</v>
      </c>
      <c r="J2880" s="6">
        <v>2378</v>
      </c>
      <c r="K2880" s="7" t="s">
        <v>3977</v>
      </c>
      <c r="L2880" s="8">
        <v>3850278</v>
      </c>
      <c r="M2880" s="8" t="str">
        <f t="shared" si="232"/>
        <v>PEN</v>
      </c>
      <c r="N2880" s="13">
        <v>70.8</v>
      </c>
      <c r="O2880" s="13"/>
      <c r="P2880" s="3">
        <f t="shared" si="233"/>
        <v>0</v>
      </c>
      <c r="Q2880" s="3">
        <f t="shared" si="234"/>
        <v>0</v>
      </c>
      <c r="R2880" s="3">
        <f t="shared" si="230"/>
        <v>52400.880000000026</v>
      </c>
      <c r="S2880" s="24" t="s">
        <v>1334</v>
      </c>
      <c r="T2880" s="24" t="s">
        <v>1334</v>
      </c>
      <c r="U2880" s="79"/>
      <c r="V2880" s="25">
        <f>IFERROR(VLOOKUP(BCP_Soles[[#This Row],[destinatario]],CHOOSE({1,2},Clientes_Proveedores[Razon Social],Clientes_Proveedores[Ruc / Dni]),2,0),"")</f>
        <v>20609764261</v>
      </c>
      <c r="W2880" s="25"/>
      <c r="X2880" s="25"/>
      <c r="Y2880" s="25"/>
      <c r="Z2880" s="77"/>
      <c r="AA2880" s="3" t="str">
        <f>IF(BCP_Soles[[#This Row],[fecha]]&gt;0,TEXT(BCP_Soles[[#This Row],[fecha]],"mmmm"),0)</f>
        <v>Julio</v>
      </c>
    </row>
    <row r="2881" spans="1:27" x14ac:dyDescent="0.3">
      <c r="A2881" s="2">
        <f>IF(BCP_Soles[[#This Row],[tipo_registro]]="R",COUNTIFS($C$1:$C2880,"R")+1,A2880)</f>
        <v>2033</v>
      </c>
      <c r="B2881" s="19" t="str">
        <f t="shared" si="231"/>
        <v>B-BCP - Soles</v>
      </c>
      <c r="C2881" s="3" t="s">
        <v>1352</v>
      </c>
      <c r="D2881" s="14">
        <v>45862</v>
      </c>
      <c r="E2881" s="5"/>
      <c r="F2881" s="5"/>
      <c r="G2881" s="6" t="s">
        <v>522</v>
      </c>
      <c r="H2881" s="6" t="s">
        <v>68</v>
      </c>
      <c r="I2881" s="6" t="s">
        <v>1376</v>
      </c>
      <c r="J2881" s="6">
        <v>4035</v>
      </c>
      <c r="K2881" s="7" t="s">
        <v>3977</v>
      </c>
      <c r="L2881" s="8">
        <v>3850278</v>
      </c>
      <c r="M2881" s="8" t="str">
        <f t="shared" si="232"/>
        <v>PEN</v>
      </c>
      <c r="N2881" s="13">
        <v>389.4</v>
      </c>
      <c r="O2881" s="13"/>
      <c r="P2881" s="3">
        <f t="shared" si="233"/>
        <v>0</v>
      </c>
      <c r="Q2881" s="3">
        <f t="shared" si="234"/>
        <v>0</v>
      </c>
      <c r="R2881" s="3">
        <f t="shared" si="230"/>
        <v>52400.880000000026</v>
      </c>
      <c r="S2881" s="24" t="s">
        <v>1334</v>
      </c>
      <c r="T2881" s="24" t="s">
        <v>1334</v>
      </c>
      <c r="U2881" s="79"/>
      <c r="V2881" s="25">
        <f>IFERROR(VLOOKUP(BCP_Soles[[#This Row],[destinatario]],CHOOSE({1,2},Clientes_Proveedores[Razon Social],Clientes_Proveedores[Ruc / Dni]),2,0),"")</f>
        <v>20603974817</v>
      </c>
      <c r="W2881" s="25"/>
      <c r="X2881" s="25"/>
      <c r="Y2881" s="25"/>
      <c r="Z2881" s="77"/>
      <c r="AA2881" s="3" t="str">
        <f>IF(BCP_Soles[[#This Row],[fecha]]&gt;0,TEXT(BCP_Soles[[#This Row],[fecha]],"mmmm"),0)</f>
        <v>Julio</v>
      </c>
    </row>
    <row r="2882" spans="1:27" ht="24" x14ac:dyDescent="0.3">
      <c r="A2882" s="2">
        <f>IF(BCP_Soles[[#This Row],[tipo_registro]]="R",COUNTIFS($C$1:$C2881,"R")+1,A2881)</f>
        <v>2033</v>
      </c>
      <c r="B2882" s="19" t="str">
        <f t="shared" si="231"/>
        <v>B-BCP - Soles</v>
      </c>
      <c r="C2882" s="3" t="s">
        <v>1352</v>
      </c>
      <c r="D2882" s="14">
        <v>45862</v>
      </c>
      <c r="E2882" s="5"/>
      <c r="F2882" s="5"/>
      <c r="G2882" s="6" t="s">
        <v>692</v>
      </c>
      <c r="H2882" s="6" t="s">
        <v>68</v>
      </c>
      <c r="I2882" s="6" t="s">
        <v>1376</v>
      </c>
      <c r="J2882" s="6">
        <v>12</v>
      </c>
      <c r="K2882" s="7" t="s">
        <v>3977</v>
      </c>
      <c r="L2882" s="8">
        <v>3850278</v>
      </c>
      <c r="M2882" s="8" t="str">
        <f t="shared" si="232"/>
        <v>PEN</v>
      </c>
      <c r="N2882" s="13">
        <v>453</v>
      </c>
      <c r="O2882" s="13"/>
      <c r="P2882" s="3">
        <f t="shared" si="233"/>
        <v>0</v>
      </c>
      <c r="Q2882" s="3">
        <f t="shared" si="234"/>
        <v>0</v>
      </c>
      <c r="R2882" s="3">
        <f t="shared" si="230"/>
        <v>52400.880000000026</v>
      </c>
      <c r="S2882" s="24" t="s">
        <v>1334</v>
      </c>
      <c r="T2882" s="24" t="s">
        <v>1334</v>
      </c>
      <c r="U2882" s="79"/>
      <c r="V2882" s="25">
        <f>IFERROR(VLOOKUP(BCP_Soles[[#This Row],[destinatario]],CHOOSE({1,2},Clientes_Proveedores[Razon Social],Clientes_Proveedores[Ruc / Dni]),2,0),"")</f>
        <v>10736055631</v>
      </c>
      <c r="W2882" s="25"/>
      <c r="X2882" s="25"/>
      <c r="Y2882" s="25"/>
      <c r="Z2882" s="77"/>
      <c r="AA2882" s="3" t="str">
        <f>IF(BCP_Soles[[#This Row],[fecha]]&gt;0,TEXT(BCP_Soles[[#This Row],[fecha]],"mmmm"),0)</f>
        <v>Julio</v>
      </c>
    </row>
    <row r="2883" spans="1:27" x14ac:dyDescent="0.3">
      <c r="A2883" s="2">
        <f>IF(BCP_Soles[[#This Row],[tipo_registro]]="R",COUNTIFS($C$1:$C2882,"R")+1,A2882)</f>
        <v>2034</v>
      </c>
      <c r="B2883" s="19" t="str">
        <f t="shared" si="231"/>
        <v>B-BCP - Soles</v>
      </c>
      <c r="C2883" s="3" t="s">
        <v>1330</v>
      </c>
      <c r="D2883" s="14">
        <v>45862</v>
      </c>
      <c r="E2883" s="5" t="s">
        <v>2269</v>
      </c>
      <c r="F2883" s="5" t="s">
        <v>1336</v>
      </c>
      <c r="G2883" s="6" t="s">
        <v>1033</v>
      </c>
      <c r="H2883" s="6" t="s">
        <v>68</v>
      </c>
      <c r="I2883" s="6" t="s">
        <v>1390</v>
      </c>
      <c r="J2883" s="6">
        <v>11547</v>
      </c>
      <c r="K2883" s="7" t="s">
        <v>3979</v>
      </c>
      <c r="L2883" s="8">
        <v>1195977</v>
      </c>
      <c r="M2883" s="8" t="str">
        <f t="shared" si="232"/>
        <v>PEN</v>
      </c>
      <c r="N2883" s="13"/>
      <c r="O2883" s="13">
        <v>855</v>
      </c>
      <c r="P2883" s="3">
        <f t="shared" si="233"/>
        <v>0</v>
      </c>
      <c r="Q2883" s="3">
        <f t="shared" si="234"/>
        <v>855</v>
      </c>
      <c r="R2883" s="3">
        <f t="shared" si="230"/>
        <v>51545.880000000026</v>
      </c>
      <c r="S2883" s="24" t="s">
        <v>1334</v>
      </c>
      <c r="T2883" s="24" t="s">
        <v>1334</v>
      </c>
      <c r="U2883" s="79" t="s">
        <v>3980</v>
      </c>
      <c r="V2883" s="25">
        <f>IFERROR(VLOOKUP(BCP_Soles[[#This Row],[destinatario]],CHOOSE({1,2},Clientes_Proveedores[Razon Social],Clientes_Proveedores[Ruc / Dni]),2,0),"")</f>
        <v>20602460143</v>
      </c>
      <c r="W2883" s="25"/>
      <c r="X2883" s="25"/>
      <c r="Y2883" s="25"/>
      <c r="Z2883" s="77"/>
      <c r="AA2883" s="3" t="str">
        <f>IF(BCP_Soles[[#This Row],[fecha]]&gt;0,TEXT(BCP_Soles[[#This Row],[fecha]],"mmmm"),0)</f>
        <v>Julio</v>
      </c>
    </row>
    <row r="2884" spans="1:27" x14ac:dyDescent="0.3">
      <c r="A2884" s="2">
        <f>IF(BCP_Soles[[#This Row],[tipo_registro]]="R",COUNTIFS($C$1:$C2883,"R")+1,A2883)</f>
        <v>2035</v>
      </c>
      <c r="B2884" s="19" t="str">
        <f t="shared" si="231"/>
        <v>B-BCP - Soles</v>
      </c>
      <c r="C2884" s="3" t="s">
        <v>1330</v>
      </c>
      <c r="D2884" s="14">
        <v>45862</v>
      </c>
      <c r="E2884" s="5" t="s">
        <v>1338</v>
      </c>
      <c r="F2884" s="5" t="s">
        <v>1336</v>
      </c>
      <c r="G2884" s="6" t="s">
        <v>196</v>
      </c>
      <c r="H2884" s="6" t="s">
        <v>68</v>
      </c>
      <c r="I2884" s="6" t="s">
        <v>2226</v>
      </c>
      <c r="J2884" s="6">
        <v>6645</v>
      </c>
      <c r="K2884" s="7" t="s">
        <v>2227</v>
      </c>
      <c r="L2884" s="8">
        <v>195976</v>
      </c>
      <c r="M2884" s="8" t="str">
        <f t="shared" si="232"/>
        <v>PEN</v>
      </c>
      <c r="N2884" s="13"/>
      <c r="O2884" s="13">
        <v>35.299999999999997</v>
      </c>
      <c r="P2884" s="3">
        <f t="shared" si="233"/>
        <v>0</v>
      </c>
      <c r="Q2884" s="3">
        <f t="shared" si="234"/>
        <v>35.299999999999997</v>
      </c>
      <c r="R2884" s="3">
        <f t="shared" si="230"/>
        <v>51510.580000000024</v>
      </c>
      <c r="S2884" s="24" t="s">
        <v>1334</v>
      </c>
      <c r="T2884" s="24" t="s">
        <v>1334</v>
      </c>
      <c r="U2884" s="79" t="s">
        <v>3981</v>
      </c>
      <c r="V2884" s="25">
        <f>IFERROR(VLOOKUP(BCP_Soles[[#This Row],[destinatario]],CHOOSE({1,2},Clientes_Proveedores[Razon Social],Clientes_Proveedores[Ruc / Dni]),2,0),"")</f>
        <v>20100055237</v>
      </c>
      <c r="W2884" s="25"/>
      <c r="X2884" s="25"/>
      <c r="Y2884" s="25"/>
      <c r="Z2884" s="77"/>
      <c r="AA2884" s="3" t="str">
        <f>IF(BCP_Soles[[#This Row],[fecha]]&gt;0,TEXT(BCP_Soles[[#This Row],[fecha]],"mmmm"),0)</f>
        <v>Julio</v>
      </c>
    </row>
    <row r="2885" spans="1:27" x14ac:dyDescent="0.3">
      <c r="A2885" s="2">
        <f>IF(BCP_Soles[[#This Row],[tipo_registro]]="R",COUNTIFS($C$1:$C2884,"R")+1,A2884)</f>
        <v>2036</v>
      </c>
      <c r="B2885" s="19" t="str">
        <f t="shared" si="231"/>
        <v>B-BCP - Soles</v>
      </c>
      <c r="C2885" s="3" t="s">
        <v>1330</v>
      </c>
      <c r="D2885" s="14">
        <v>45862</v>
      </c>
      <c r="E2885" s="5" t="s">
        <v>1338</v>
      </c>
      <c r="F2885" s="5" t="s">
        <v>1336</v>
      </c>
      <c r="G2885" s="6" t="s">
        <v>196</v>
      </c>
      <c r="H2885" s="6" t="s">
        <v>68</v>
      </c>
      <c r="I2885" s="6" t="s">
        <v>2226</v>
      </c>
      <c r="J2885" s="6">
        <v>6644</v>
      </c>
      <c r="K2885" s="7" t="s">
        <v>2227</v>
      </c>
      <c r="L2885" s="8">
        <v>196542</v>
      </c>
      <c r="M2885" s="8" t="str">
        <f t="shared" si="232"/>
        <v>PEN</v>
      </c>
      <c r="N2885" s="13"/>
      <c r="O2885" s="13">
        <v>405.9</v>
      </c>
      <c r="P2885" s="3">
        <f t="shared" si="233"/>
        <v>0</v>
      </c>
      <c r="Q2885" s="3">
        <f t="shared" si="234"/>
        <v>405.9</v>
      </c>
      <c r="R2885" s="3">
        <f t="shared" si="230"/>
        <v>51104.680000000022</v>
      </c>
      <c r="S2885" s="24" t="s">
        <v>1334</v>
      </c>
      <c r="T2885" s="24" t="s">
        <v>1334</v>
      </c>
      <c r="U2885" s="79" t="s">
        <v>3982</v>
      </c>
      <c r="V2885" s="25">
        <f>IFERROR(VLOOKUP(BCP_Soles[[#This Row],[destinatario]],CHOOSE({1,2},Clientes_Proveedores[Razon Social],Clientes_Proveedores[Ruc / Dni]),2,0),"")</f>
        <v>20100055237</v>
      </c>
      <c r="W2885" s="25"/>
      <c r="X2885" s="25"/>
      <c r="Y2885" s="25"/>
      <c r="Z2885" s="77"/>
      <c r="AA2885" s="3" t="str">
        <f>IF(BCP_Soles[[#This Row],[fecha]]&gt;0,TEXT(BCP_Soles[[#This Row],[fecha]],"mmmm"),0)</f>
        <v>Julio</v>
      </c>
    </row>
    <row r="2886" spans="1:27" x14ac:dyDescent="0.3">
      <c r="A2886" s="2">
        <f>IF(BCP_Soles[[#This Row],[tipo_registro]]="R",COUNTIFS($C$1:$C2885,"R")+1,A2885)</f>
        <v>2037</v>
      </c>
      <c r="B2886" s="19" t="str">
        <f t="shared" si="231"/>
        <v>B-BCP - Soles</v>
      </c>
      <c r="C2886" s="3" t="s">
        <v>1330</v>
      </c>
      <c r="D2886" s="14">
        <v>45862</v>
      </c>
      <c r="E2886" s="5" t="s">
        <v>1338</v>
      </c>
      <c r="F2886" s="5" t="s">
        <v>1336</v>
      </c>
      <c r="G2886" s="6" t="s">
        <v>196</v>
      </c>
      <c r="H2886" s="6" t="s">
        <v>68</v>
      </c>
      <c r="I2886" s="6" t="s">
        <v>2226</v>
      </c>
      <c r="J2886" s="6">
        <v>6647</v>
      </c>
      <c r="K2886" s="7" t="s">
        <v>2227</v>
      </c>
      <c r="L2886" s="8">
        <v>194999</v>
      </c>
      <c r="M2886" s="8" t="str">
        <f t="shared" si="232"/>
        <v>PEN</v>
      </c>
      <c r="N2886" s="13"/>
      <c r="O2886" s="13">
        <v>560.62</v>
      </c>
      <c r="P2886" s="3">
        <f t="shared" si="233"/>
        <v>0</v>
      </c>
      <c r="Q2886" s="3">
        <f t="shared" si="234"/>
        <v>560.62</v>
      </c>
      <c r="R2886" s="3">
        <f t="shared" si="230"/>
        <v>50544.060000000019</v>
      </c>
      <c r="S2886" s="24" t="s">
        <v>1334</v>
      </c>
      <c r="T2886" s="24" t="s">
        <v>1334</v>
      </c>
      <c r="U2886" s="79" t="s">
        <v>3983</v>
      </c>
      <c r="V2886" s="25">
        <f>IFERROR(VLOOKUP(BCP_Soles[[#This Row],[destinatario]],CHOOSE({1,2},Clientes_Proveedores[Razon Social],Clientes_Proveedores[Ruc / Dni]),2,0),"")</f>
        <v>20100055237</v>
      </c>
      <c r="W2886" s="25"/>
      <c r="X2886" s="25"/>
      <c r="Y2886" s="25"/>
      <c r="Z2886" s="77"/>
      <c r="AA2886" s="3" t="str">
        <f>IF(BCP_Soles[[#This Row],[fecha]]&gt;0,TEXT(BCP_Soles[[#This Row],[fecha]],"mmmm"),0)</f>
        <v>Julio</v>
      </c>
    </row>
    <row r="2887" spans="1:27" x14ac:dyDescent="0.3">
      <c r="A2887" s="2">
        <f>IF(BCP_Soles[[#This Row],[tipo_registro]]="R",COUNTIFS($C$1:$C2886,"R")+1,A2886)</f>
        <v>2038</v>
      </c>
      <c r="B2887" s="19" t="str">
        <f t="shared" si="231"/>
        <v>B-BCP - Soles</v>
      </c>
      <c r="C2887" s="3" t="s">
        <v>1330</v>
      </c>
      <c r="D2887" s="14">
        <v>45862</v>
      </c>
      <c r="E2887" s="5" t="s">
        <v>1338</v>
      </c>
      <c r="F2887" s="5" t="s">
        <v>1336</v>
      </c>
      <c r="G2887" s="6" t="s">
        <v>196</v>
      </c>
      <c r="H2887" s="6" t="s">
        <v>68</v>
      </c>
      <c r="I2887" s="6" t="s">
        <v>2226</v>
      </c>
      <c r="J2887" s="6">
        <v>6646</v>
      </c>
      <c r="K2887" s="7" t="s">
        <v>2227</v>
      </c>
      <c r="L2887" s="8">
        <v>196543</v>
      </c>
      <c r="M2887" s="8" t="str">
        <f t="shared" si="232"/>
        <v>PEN</v>
      </c>
      <c r="N2887" s="13"/>
      <c r="O2887" s="13">
        <v>11.81</v>
      </c>
      <c r="P2887" s="3">
        <f t="shared" si="233"/>
        <v>0</v>
      </c>
      <c r="Q2887" s="3">
        <f t="shared" si="234"/>
        <v>11.81</v>
      </c>
      <c r="R2887" s="3">
        <f t="shared" si="230"/>
        <v>50532.250000000022</v>
      </c>
      <c r="S2887" s="24" t="s">
        <v>1334</v>
      </c>
      <c r="T2887" s="24" t="s">
        <v>1334</v>
      </c>
      <c r="U2887" s="79" t="s">
        <v>3984</v>
      </c>
      <c r="V2887" s="25">
        <f>IFERROR(VLOOKUP(BCP_Soles[[#This Row],[destinatario]],CHOOSE({1,2},Clientes_Proveedores[Razon Social],Clientes_Proveedores[Ruc / Dni]),2,0),"")</f>
        <v>20100055237</v>
      </c>
      <c r="W2887" s="25"/>
      <c r="X2887" s="25"/>
      <c r="Y2887" s="25"/>
      <c r="Z2887" s="77"/>
      <c r="AA2887" s="3" t="str">
        <f>IF(BCP_Soles[[#This Row],[fecha]]&gt;0,TEXT(BCP_Soles[[#This Row],[fecha]],"mmmm"),0)</f>
        <v>Julio</v>
      </c>
    </row>
    <row r="2888" spans="1:27" x14ac:dyDescent="0.3">
      <c r="A2888" s="2">
        <f>IF(BCP_Soles[[#This Row],[tipo_registro]]="R",COUNTIFS($C$1:$C2887,"R")+1,A2887)</f>
        <v>2039</v>
      </c>
      <c r="B2888" s="19" t="str">
        <f t="shared" si="231"/>
        <v>B-BCP - Soles</v>
      </c>
      <c r="C2888" s="3" t="s">
        <v>1330</v>
      </c>
      <c r="D2888" s="14">
        <v>45862</v>
      </c>
      <c r="E2888" s="5" t="s">
        <v>1338</v>
      </c>
      <c r="F2888" s="5" t="s">
        <v>1336</v>
      </c>
      <c r="G2888" s="6" t="s">
        <v>196</v>
      </c>
      <c r="H2888" s="6" t="s">
        <v>68</v>
      </c>
      <c r="I2888" s="6" t="s">
        <v>2226</v>
      </c>
      <c r="J2888" s="6">
        <v>6648</v>
      </c>
      <c r="K2888" s="7" t="s">
        <v>2227</v>
      </c>
      <c r="L2888" s="8">
        <v>196086</v>
      </c>
      <c r="M2888" s="8" t="str">
        <f t="shared" si="232"/>
        <v>PEN</v>
      </c>
      <c r="N2888" s="13"/>
      <c r="O2888" s="13">
        <v>962.8</v>
      </c>
      <c r="P2888" s="3">
        <f t="shared" si="233"/>
        <v>0</v>
      </c>
      <c r="Q2888" s="3">
        <f t="shared" si="234"/>
        <v>962.8</v>
      </c>
      <c r="R2888" s="3">
        <f t="shared" si="230"/>
        <v>49569.450000000019</v>
      </c>
      <c r="S2888" s="24" t="s">
        <v>1334</v>
      </c>
      <c r="T2888" s="24" t="s">
        <v>1334</v>
      </c>
      <c r="U2888" s="79" t="s">
        <v>3984</v>
      </c>
      <c r="V2888" s="25">
        <f>IFERROR(VLOOKUP(BCP_Soles[[#This Row],[destinatario]],CHOOSE({1,2},Clientes_Proveedores[Razon Social],Clientes_Proveedores[Ruc / Dni]),2,0),"")</f>
        <v>20100055237</v>
      </c>
      <c r="W2888" s="25"/>
      <c r="X2888" s="25"/>
      <c r="Y2888" s="25"/>
      <c r="Z2888" s="77"/>
      <c r="AA2888" s="3" t="str">
        <f>IF(BCP_Soles[[#This Row],[fecha]]&gt;0,TEXT(BCP_Soles[[#This Row],[fecha]],"mmmm"),0)</f>
        <v>Julio</v>
      </c>
    </row>
    <row r="2889" spans="1:27" x14ac:dyDescent="0.3">
      <c r="A2889" s="2">
        <f>IF(BCP_Soles[[#This Row],[tipo_registro]]="R",COUNTIFS($C$1:$C2888,"R")+1,A2888)</f>
        <v>2040</v>
      </c>
      <c r="B2889" s="19" t="str">
        <f t="shared" si="231"/>
        <v>B-BCP - Soles</v>
      </c>
      <c r="C2889" s="3" t="s">
        <v>1330</v>
      </c>
      <c r="D2889" s="14">
        <v>45862</v>
      </c>
      <c r="E2889" s="5" t="s">
        <v>1338</v>
      </c>
      <c r="F2889" s="5" t="s">
        <v>1336</v>
      </c>
      <c r="G2889" s="6" t="s">
        <v>196</v>
      </c>
      <c r="H2889" s="6" t="s">
        <v>68</v>
      </c>
      <c r="I2889" s="6" t="s">
        <v>2226</v>
      </c>
      <c r="J2889" s="6">
        <v>6643</v>
      </c>
      <c r="K2889" s="7" t="s">
        <v>2227</v>
      </c>
      <c r="L2889" s="8">
        <v>196541</v>
      </c>
      <c r="M2889" s="8" t="str">
        <f t="shared" si="232"/>
        <v>PEN</v>
      </c>
      <c r="N2889" s="13"/>
      <c r="O2889" s="13">
        <v>190.02</v>
      </c>
      <c r="P2889" s="3">
        <f t="shared" si="233"/>
        <v>0</v>
      </c>
      <c r="Q2889" s="3">
        <f t="shared" si="234"/>
        <v>190.02</v>
      </c>
      <c r="R2889" s="3">
        <f t="shared" ref="R2889:R2952" si="235">IFERROR(IF(F2889="SALDO",P2889,R2888+P2889-Q2889),0)</f>
        <v>49379.430000000022</v>
      </c>
      <c r="S2889" s="24" t="s">
        <v>1334</v>
      </c>
      <c r="T2889" s="24" t="s">
        <v>1334</v>
      </c>
      <c r="U2889" s="79" t="s">
        <v>3985</v>
      </c>
      <c r="V2889" s="25">
        <f>IFERROR(VLOOKUP(BCP_Soles[[#This Row],[destinatario]],CHOOSE({1,2},Clientes_Proveedores[Razon Social],Clientes_Proveedores[Ruc / Dni]),2,0),"")</f>
        <v>20100055237</v>
      </c>
      <c r="W2889" s="25"/>
      <c r="X2889" s="25"/>
      <c r="Y2889" s="25"/>
      <c r="Z2889" s="77"/>
      <c r="AA2889" s="3" t="str">
        <f>IF(BCP_Soles[[#This Row],[fecha]]&gt;0,TEXT(BCP_Soles[[#This Row],[fecha]],"mmmm"),0)</f>
        <v>Julio</v>
      </c>
    </row>
    <row r="2890" spans="1:27" ht="24" x14ac:dyDescent="0.3">
      <c r="A2890" s="2">
        <f>IF(BCP_Soles[[#This Row],[tipo_registro]]="R",COUNTIFS($C$1:$C2889,"R")+1,A2889)</f>
        <v>2041</v>
      </c>
      <c r="B2890" s="19" t="str">
        <f t="shared" si="231"/>
        <v>B-BCP - Soles</v>
      </c>
      <c r="C2890" s="3" t="s">
        <v>1330</v>
      </c>
      <c r="D2890" s="14">
        <v>45862</v>
      </c>
      <c r="E2890" s="5" t="s">
        <v>1338</v>
      </c>
      <c r="F2890" s="5" t="s">
        <v>1336</v>
      </c>
      <c r="G2890" s="6" t="s">
        <v>1010</v>
      </c>
      <c r="H2890" s="6"/>
      <c r="I2890" s="6"/>
      <c r="J2890" s="6"/>
      <c r="K2890" s="7" t="s">
        <v>3986</v>
      </c>
      <c r="L2890" s="8">
        <v>1226965</v>
      </c>
      <c r="M2890" s="8" t="str">
        <f t="shared" si="232"/>
        <v>PEN</v>
      </c>
      <c r="N2890" s="13"/>
      <c r="O2890" s="13">
        <v>400</v>
      </c>
      <c r="P2890" s="3">
        <f t="shared" si="233"/>
        <v>0</v>
      </c>
      <c r="Q2890" s="3">
        <f t="shared" si="234"/>
        <v>400</v>
      </c>
      <c r="R2890" s="3">
        <f t="shared" si="235"/>
        <v>48979.430000000022</v>
      </c>
      <c r="S2890" s="24"/>
      <c r="T2890" s="24" t="s">
        <v>1334</v>
      </c>
      <c r="U2890" s="79" t="s">
        <v>3987</v>
      </c>
      <c r="V2890" s="25">
        <f>IFERROR(VLOOKUP(BCP_Soles[[#This Row],[destinatario]],CHOOSE({1,2},Clientes_Proveedores[Razon Social],Clientes_Proveedores[Ruc / Dni]),2,0),"")</f>
        <v>48197510</v>
      </c>
      <c r="W2890" s="25"/>
      <c r="X2890" s="25"/>
      <c r="Y2890" s="25"/>
      <c r="Z2890" s="77"/>
      <c r="AA2890" s="3" t="str">
        <f>IF(BCP_Soles[[#This Row],[fecha]]&gt;0,TEXT(BCP_Soles[[#This Row],[fecha]],"mmmm"),0)</f>
        <v>Julio</v>
      </c>
    </row>
    <row r="2891" spans="1:27" ht="24" x14ac:dyDescent="0.3">
      <c r="A2891" s="2">
        <f>IF(BCP_Soles[[#This Row],[tipo_registro]]="R",COUNTIFS($C$1:$C2890,"R")+1,A2890)</f>
        <v>2042</v>
      </c>
      <c r="B2891" s="19" t="str">
        <f t="shared" si="231"/>
        <v>B-BCP - Soles</v>
      </c>
      <c r="C2891" s="3" t="s">
        <v>1330</v>
      </c>
      <c r="D2891" s="14">
        <v>45862</v>
      </c>
      <c r="E2891" s="5" t="s">
        <v>1338</v>
      </c>
      <c r="F2891" s="5" t="s">
        <v>1336</v>
      </c>
      <c r="G2891" s="6" t="s">
        <v>333</v>
      </c>
      <c r="H2891" s="6" t="s">
        <v>68</v>
      </c>
      <c r="I2891" s="6" t="s">
        <v>1376</v>
      </c>
      <c r="J2891" s="6">
        <v>744</v>
      </c>
      <c r="K2891" s="7" t="s">
        <v>3988</v>
      </c>
      <c r="L2891" s="8">
        <v>1227461</v>
      </c>
      <c r="M2891" s="8" t="str">
        <f t="shared" si="232"/>
        <v>PEN</v>
      </c>
      <c r="N2891" s="13"/>
      <c r="O2891" s="13">
        <v>265.5</v>
      </c>
      <c r="P2891" s="3">
        <f t="shared" si="233"/>
        <v>0</v>
      </c>
      <c r="Q2891" s="3">
        <f t="shared" si="234"/>
        <v>265.5</v>
      </c>
      <c r="R2891" s="3">
        <f t="shared" si="235"/>
        <v>48713.930000000022</v>
      </c>
      <c r="S2891" s="24" t="s">
        <v>1334</v>
      </c>
      <c r="T2891" s="24" t="s">
        <v>1334</v>
      </c>
      <c r="U2891" s="79" t="s">
        <v>3989</v>
      </c>
      <c r="V2891" s="25">
        <f>IFERROR(VLOOKUP(BCP_Soles[[#This Row],[destinatario]],CHOOSE({1,2},Clientes_Proveedores[Razon Social],Clientes_Proveedores[Ruc / Dni]),2,0),"")</f>
        <v>20498218831</v>
      </c>
      <c r="W2891" s="25"/>
      <c r="X2891" s="25"/>
      <c r="Y2891" s="25"/>
      <c r="Z2891" s="77"/>
      <c r="AA2891" s="3" t="str">
        <f>IF(BCP_Soles[[#This Row],[fecha]]&gt;0,TEXT(BCP_Soles[[#This Row],[fecha]],"mmmm"),0)</f>
        <v>Julio</v>
      </c>
    </row>
    <row r="2892" spans="1:27" x14ac:dyDescent="0.3">
      <c r="A2892" s="2">
        <f>IF(BCP_Soles[[#This Row],[tipo_registro]]="R",COUNTIFS($C$1:$C2891,"R")+1,A2891)</f>
        <v>2043</v>
      </c>
      <c r="B2892" s="19" t="str">
        <f t="shared" si="231"/>
        <v>B-BCP - Soles</v>
      </c>
      <c r="C2892" s="3" t="s">
        <v>1330</v>
      </c>
      <c r="D2892" s="14">
        <v>45862</v>
      </c>
      <c r="E2892" s="5" t="s">
        <v>1335</v>
      </c>
      <c r="F2892" s="5" t="s">
        <v>1336</v>
      </c>
      <c r="G2892" s="6" t="s">
        <v>1009</v>
      </c>
      <c r="H2892" s="6" t="s">
        <v>64</v>
      </c>
      <c r="I2892" s="6" t="s">
        <v>3673</v>
      </c>
      <c r="J2892" s="6">
        <v>2043</v>
      </c>
      <c r="K2892" s="7" t="s">
        <v>3160</v>
      </c>
      <c r="L2892" s="8"/>
      <c r="M2892" s="8" t="str">
        <f t="shared" si="232"/>
        <v>PEN</v>
      </c>
      <c r="N2892" s="13"/>
      <c r="O2892" s="13">
        <v>1.95</v>
      </c>
      <c r="P2892" s="3">
        <f t="shared" si="233"/>
        <v>0</v>
      </c>
      <c r="Q2892" s="3">
        <f t="shared" si="234"/>
        <v>1.95</v>
      </c>
      <c r="R2892" s="3">
        <f t="shared" si="235"/>
        <v>48711.980000000025</v>
      </c>
      <c r="S2892" s="24" t="s">
        <v>1334</v>
      </c>
      <c r="T2892" s="24" t="s">
        <v>1334</v>
      </c>
      <c r="U2892" s="55"/>
      <c r="V2892" s="25">
        <f>IFERROR(VLOOKUP(BCP_Soles[[#This Row],[destinatario]],CHOOSE({1,2},Clientes_Proveedores[Razon Social],Clientes_Proveedores[Ruc / Dni]),2,0),"")</f>
        <v>11111111</v>
      </c>
      <c r="W2892" s="25"/>
      <c r="X2892" s="25"/>
      <c r="Y2892" s="25"/>
      <c r="Z2892" s="77"/>
      <c r="AA2892" s="3" t="str">
        <f>IF(BCP_Soles[[#This Row],[fecha]]&gt;0,TEXT(BCP_Soles[[#This Row],[fecha]],"mmmm"),0)</f>
        <v>Julio</v>
      </c>
    </row>
    <row r="2893" spans="1:27" ht="36" x14ac:dyDescent="0.3">
      <c r="A2893" s="2">
        <f>IF(BCP_Soles[[#This Row],[tipo_registro]]="R",COUNTIFS($C$1:$C2892,"R")+1,A2892)</f>
        <v>2044</v>
      </c>
      <c r="B2893" s="19" t="str">
        <f t="shared" si="231"/>
        <v>B-BCP - Soles</v>
      </c>
      <c r="C2893" s="3" t="s">
        <v>1330</v>
      </c>
      <c r="D2893" s="14">
        <v>45863</v>
      </c>
      <c r="E2893" s="5" t="s">
        <v>516</v>
      </c>
      <c r="F2893" s="5" t="s">
        <v>1303</v>
      </c>
      <c r="G2893" s="6" t="s">
        <v>425</v>
      </c>
      <c r="H2893" s="6" t="s">
        <v>68</v>
      </c>
      <c r="I2893" s="6" t="s">
        <v>1784</v>
      </c>
      <c r="J2893" s="6">
        <v>175</v>
      </c>
      <c r="K2893" s="7" t="s">
        <v>1736</v>
      </c>
      <c r="L2893" s="8">
        <v>2105078</v>
      </c>
      <c r="M2893" s="8" t="str">
        <f t="shared" si="232"/>
        <v>PEN</v>
      </c>
      <c r="N2893" s="13"/>
      <c r="O2893" s="13">
        <v>4220.46</v>
      </c>
      <c r="P2893" s="3">
        <f t="shared" si="233"/>
        <v>4220.46</v>
      </c>
      <c r="Q2893" s="3">
        <f t="shared" si="234"/>
        <v>0</v>
      </c>
      <c r="R2893" s="3">
        <f t="shared" si="235"/>
        <v>52932.440000000024</v>
      </c>
      <c r="S2893" s="24" t="s">
        <v>1334</v>
      </c>
      <c r="T2893" s="24" t="s">
        <v>1334</v>
      </c>
      <c r="U2893" s="55"/>
      <c r="V2893" s="25">
        <f>IFERROR(VLOOKUP(BCP_Soles[[#This Row],[destinatario]],CHOOSE({1,2},Clientes_Proveedores[Razon Social],Clientes_Proveedores[Ruc / Dni]),2,0),"")</f>
        <v>20558226979</v>
      </c>
      <c r="W2893" s="25"/>
      <c r="X2893" s="25"/>
      <c r="Y2893" s="25"/>
      <c r="Z2893" s="77"/>
      <c r="AA2893" s="3" t="str">
        <f>IF(BCP_Soles[[#This Row],[fecha]]&gt;0,TEXT(BCP_Soles[[#This Row],[fecha]],"mmmm"),0)</f>
        <v>Julio</v>
      </c>
    </row>
    <row r="2894" spans="1:27" x14ac:dyDescent="0.3">
      <c r="A2894" s="2">
        <f>IF(BCP_Soles[[#This Row],[tipo_registro]]="R",COUNTIFS($C$1:$C2893,"R")+1,A2893)</f>
        <v>2045</v>
      </c>
      <c r="B2894" s="19" t="str">
        <f t="shared" si="231"/>
        <v>B-BCP - Soles</v>
      </c>
      <c r="C2894" s="3" t="s">
        <v>1330</v>
      </c>
      <c r="D2894" s="14">
        <v>45863</v>
      </c>
      <c r="E2894" s="5" t="s">
        <v>270</v>
      </c>
      <c r="F2894" s="5" t="s">
        <v>1303</v>
      </c>
      <c r="G2894" s="6" t="s">
        <v>425</v>
      </c>
      <c r="H2894" s="6" t="s">
        <v>68</v>
      </c>
      <c r="I2894" s="6" t="s">
        <v>1784</v>
      </c>
      <c r="J2894" s="6">
        <v>90</v>
      </c>
      <c r="K2894" s="7" t="s">
        <v>3990</v>
      </c>
      <c r="L2894" s="8">
        <v>4393860</v>
      </c>
      <c r="M2894" s="8" t="str">
        <f t="shared" si="232"/>
        <v>PEN</v>
      </c>
      <c r="N2894" s="13"/>
      <c r="O2894" s="13">
        <v>4059.89</v>
      </c>
      <c r="P2894" s="3">
        <f t="shared" si="233"/>
        <v>4059.89</v>
      </c>
      <c r="Q2894" s="3">
        <f t="shared" si="234"/>
        <v>0</v>
      </c>
      <c r="R2894" s="3">
        <f t="shared" si="235"/>
        <v>56992.330000000024</v>
      </c>
      <c r="S2894" s="24" t="s">
        <v>1334</v>
      </c>
      <c r="T2894" s="24" t="s">
        <v>1334</v>
      </c>
      <c r="U2894" s="55"/>
      <c r="V2894" s="25">
        <f>IFERROR(VLOOKUP(BCP_Soles[[#This Row],[destinatario]],CHOOSE({1,2},Clientes_Proveedores[Razon Social],Clientes_Proveedores[Ruc / Dni]),2,0),"")</f>
        <v>20558226979</v>
      </c>
      <c r="W2894" s="25"/>
      <c r="X2894" s="25"/>
      <c r="Y2894" s="25"/>
      <c r="Z2894" s="77"/>
      <c r="AA2894" s="3" t="str">
        <f>IF(BCP_Soles[[#This Row],[fecha]]&gt;0,TEXT(BCP_Soles[[#This Row],[fecha]],"mmmm"),0)</f>
        <v>Julio</v>
      </c>
    </row>
    <row r="2895" spans="1:27" ht="24" x14ac:dyDescent="0.3">
      <c r="A2895" s="2">
        <f>IF(BCP_Soles[[#This Row],[tipo_registro]]="R",COUNTIFS($C$1:$C2894,"R")+1,A2894)</f>
        <v>2046</v>
      </c>
      <c r="B2895" s="19" t="str">
        <f t="shared" si="231"/>
        <v>B-BCP - Soles</v>
      </c>
      <c r="C2895" s="3" t="s">
        <v>1330</v>
      </c>
      <c r="D2895" s="14">
        <v>45863</v>
      </c>
      <c r="E2895" s="5" t="s">
        <v>3445</v>
      </c>
      <c r="F2895" s="5" t="s">
        <v>1303</v>
      </c>
      <c r="G2895" s="6" t="s">
        <v>425</v>
      </c>
      <c r="H2895" s="6" t="s">
        <v>119</v>
      </c>
      <c r="I2895" s="6">
        <v>1</v>
      </c>
      <c r="J2895" s="6">
        <v>4634</v>
      </c>
      <c r="K2895" s="7" t="s">
        <v>1356</v>
      </c>
      <c r="L2895" s="8">
        <v>3441461</v>
      </c>
      <c r="M2895" s="8" t="str">
        <f t="shared" si="232"/>
        <v>PEN</v>
      </c>
      <c r="N2895" s="13"/>
      <c r="O2895" s="13">
        <v>1100</v>
      </c>
      <c r="P2895" s="3">
        <f t="shared" si="233"/>
        <v>1100</v>
      </c>
      <c r="Q2895" s="3">
        <f t="shared" si="234"/>
        <v>0</v>
      </c>
      <c r="R2895" s="3">
        <f t="shared" si="235"/>
        <v>58092.330000000024</v>
      </c>
      <c r="S2895" s="24" t="s">
        <v>1334</v>
      </c>
      <c r="T2895" s="24" t="s">
        <v>1334</v>
      </c>
      <c r="U2895" s="55"/>
      <c r="V2895" s="25">
        <f>IFERROR(VLOOKUP(BCP_Soles[[#This Row],[destinatario]],CHOOSE({1,2},Clientes_Proveedores[Razon Social],Clientes_Proveedores[Ruc / Dni]),2,0),"")</f>
        <v>20558226979</v>
      </c>
      <c r="W2895" s="25"/>
      <c r="X2895" s="25"/>
      <c r="Y2895" s="25"/>
      <c r="Z2895" s="77"/>
      <c r="AA2895" s="3" t="str">
        <f>IF(BCP_Soles[[#This Row],[fecha]]&gt;0,TEXT(BCP_Soles[[#This Row],[fecha]],"mmmm"),0)</f>
        <v>Julio</v>
      </c>
    </row>
    <row r="2896" spans="1:27" x14ac:dyDescent="0.3">
      <c r="A2896" s="2">
        <f>IF(BCP_Soles[[#This Row],[tipo_registro]]="R",COUNTIFS($C$1:$C2895,"R")+1,A2895)</f>
        <v>2047</v>
      </c>
      <c r="B2896" s="19" t="str">
        <f t="shared" si="231"/>
        <v>B-BCP - Soles</v>
      </c>
      <c r="C2896" s="3" t="s">
        <v>1330</v>
      </c>
      <c r="D2896" s="14">
        <v>45863</v>
      </c>
      <c r="E2896" s="5" t="s">
        <v>376</v>
      </c>
      <c r="F2896" s="5" t="s">
        <v>1303</v>
      </c>
      <c r="G2896" s="6" t="s">
        <v>425</v>
      </c>
      <c r="H2896" s="6" t="s">
        <v>68</v>
      </c>
      <c r="I2896" s="6" t="s">
        <v>1784</v>
      </c>
      <c r="J2896" s="6">
        <v>144</v>
      </c>
      <c r="K2896" s="7" t="s">
        <v>1382</v>
      </c>
      <c r="L2896" s="8">
        <v>16100</v>
      </c>
      <c r="M2896" s="8" t="str">
        <f t="shared" si="232"/>
        <v>PEN</v>
      </c>
      <c r="N2896" s="13"/>
      <c r="O2896" s="13">
        <v>5061.5600000000004</v>
      </c>
      <c r="P2896" s="3">
        <f t="shared" si="233"/>
        <v>5061.5600000000004</v>
      </c>
      <c r="Q2896" s="3">
        <f t="shared" si="234"/>
        <v>0</v>
      </c>
      <c r="R2896" s="3">
        <f t="shared" si="235"/>
        <v>63153.890000000021</v>
      </c>
      <c r="S2896" s="24" t="s">
        <v>1334</v>
      </c>
      <c r="T2896" s="24" t="s">
        <v>1334</v>
      </c>
      <c r="U2896" s="55"/>
      <c r="V2896" s="25">
        <f>IFERROR(VLOOKUP(BCP_Soles[[#This Row],[destinatario]],CHOOSE({1,2},Clientes_Proveedores[Razon Social],Clientes_Proveedores[Ruc / Dni]),2,0),"")</f>
        <v>20558226979</v>
      </c>
      <c r="W2896" s="25"/>
      <c r="X2896" s="25"/>
      <c r="Y2896" s="25"/>
      <c r="Z2896" s="77"/>
      <c r="AA2896" s="3" t="str">
        <f>IF(BCP_Soles[[#This Row],[fecha]]&gt;0,TEXT(BCP_Soles[[#This Row],[fecha]],"mmmm"),0)</f>
        <v>Julio</v>
      </c>
    </row>
    <row r="2897" spans="1:27" ht="36" x14ac:dyDescent="0.3">
      <c r="A2897" s="2">
        <f>IF(BCP_Soles[[#This Row],[tipo_registro]]="R",COUNTIFS($C$1:$C2896,"R")+1,A2896)</f>
        <v>2048</v>
      </c>
      <c r="B2897" s="19" t="str">
        <f t="shared" si="231"/>
        <v>B-BCP - Soles</v>
      </c>
      <c r="C2897" s="3" t="s">
        <v>1330</v>
      </c>
      <c r="D2897" s="14">
        <v>45863</v>
      </c>
      <c r="E2897" s="5" t="s">
        <v>324</v>
      </c>
      <c r="F2897" s="5" t="s">
        <v>1303</v>
      </c>
      <c r="G2897" s="6" t="s">
        <v>425</v>
      </c>
      <c r="H2897" s="6" t="s">
        <v>68</v>
      </c>
      <c r="I2897" s="6" t="s">
        <v>1784</v>
      </c>
      <c r="J2897" s="6">
        <v>129</v>
      </c>
      <c r="K2897" s="7" t="s">
        <v>3991</v>
      </c>
      <c r="L2897" s="8">
        <v>4715501</v>
      </c>
      <c r="M2897" s="8" t="str">
        <f t="shared" si="232"/>
        <v>PEN</v>
      </c>
      <c r="N2897" s="13"/>
      <c r="O2897" s="13">
        <v>15439</v>
      </c>
      <c r="P2897" s="3">
        <f t="shared" si="233"/>
        <v>15439</v>
      </c>
      <c r="Q2897" s="3">
        <f t="shared" si="234"/>
        <v>0</v>
      </c>
      <c r="R2897" s="3">
        <f t="shared" si="235"/>
        <v>78592.890000000014</v>
      </c>
      <c r="S2897" s="24" t="s">
        <v>1334</v>
      </c>
      <c r="T2897" s="24" t="s">
        <v>1334</v>
      </c>
      <c r="U2897" s="55"/>
      <c r="V2897" s="25">
        <f>IFERROR(VLOOKUP(BCP_Soles[[#This Row],[destinatario]],CHOOSE({1,2},Clientes_Proveedores[Razon Social],Clientes_Proveedores[Ruc / Dni]),2,0),"")</f>
        <v>20558226979</v>
      </c>
      <c r="W2897" s="25"/>
      <c r="X2897" s="25"/>
      <c r="Y2897" s="25"/>
      <c r="Z2897" s="77"/>
      <c r="AA2897" s="3" t="str">
        <f>IF(BCP_Soles[[#This Row],[fecha]]&gt;0,TEXT(BCP_Soles[[#This Row],[fecha]],"mmmm"),0)</f>
        <v>Julio</v>
      </c>
    </row>
    <row r="2898" spans="1:27" ht="36" x14ac:dyDescent="0.3">
      <c r="A2898" s="2">
        <f>IF(BCP_Soles[[#This Row],[tipo_registro]]="R",COUNTIFS($C$1:$C2897,"R")+1,A2897)</f>
        <v>2049</v>
      </c>
      <c r="B2898" s="19" t="str">
        <f t="shared" si="231"/>
        <v>B-BCP - Soles</v>
      </c>
      <c r="C2898" s="3" t="s">
        <v>1330</v>
      </c>
      <c r="D2898" s="14">
        <v>45863</v>
      </c>
      <c r="E2898" s="5" t="s">
        <v>1628</v>
      </c>
      <c r="F2898" s="5" t="s">
        <v>1303</v>
      </c>
      <c r="G2898" s="6" t="s">
        <v>425</v>
      </c>
      <c r="H2898" s="6" t="s">
        <v>119</v>
      </c>
      <c r="I2898" s="6">
        <v>2</v>
      </c>
      <c r="J2898" s="6">
        <v>813</v>
      </c>
      <c r="K2898" s="7" t="s">
        <v>1356</v>
      </c>
      <c r="L2898" s="8">
        <v>4169292</v>
      </c>
      <c r="M2898" s="8" t="str">
        <f t="shared" si="232"/>
        <v>PEN</v>
      </c>
      <c r="N2898" s="13"/>
      <c r="O2898" s="13">
        <v>1305</v>
      </c>
      <c r="P2898" s="3">
        <f t="shared" si="233"/>
        <v>1305</v>
      </c>
      <c r="Q2898" s="3">
        <f t="shared" si="234"/>
        <v>0</v>
      </c>
      <c r="R2898" s="3">
        <f t="shared" si="235"/>
        <v>79897.890000000014</v>
      </c>
      <c r="S2898" s="24" t="s">
        <v>1334</v>
      </c>
      <c r="T2898" s="24" t="s">
        <v>1334</v>
      </c>
      <c r="U2898" s="55"/>
      <c r="V2898" s="25">
        <f>IFERROR(VLOOKUP(BCP_Soles[[#This Row],[destinatario]],CHOOSE({1,2},Clientes_Proveedores[Razon Social],Clientes_Proveedores[Ruc / Dni]),2,0),"")</f>
        <v>20558226979</v>
      </c>
      <c r="W2898" s="25"/>
      <c r="X2898" s="25"/>
      <c r="Y2898" s="25"/>
      <c r="Z2898" s="77"/>
      <c r="AA2898" s="3" t="str">
        <f>IF(BCP_Soles[[#This Row],[fecha]]&gt;0,TEXT(BCP_Soles[[#This Row],[fecha]],"mmmm"),0)</f>
        <v>Julio</v>
      </c>
    </row>
    <row r="2899" spans="1:27" ht="24" x14ac:dyDescent="0.3">
      <c r="A2899" s="2">
        <f>IF(BCP_Soles[[#This Row],[tipo_registro]]="R",COUNTIFS($C$1:$C2898,"R")+1,A2898)</f>
        <v>2050</v>
      </c>
      <c r="B2899" s="19" t="str">
        <f t="shared" si="231"/>
        <v>B-BCP - Soles</v>
      </c>
      <c r="C2899" s="3" t="s">
        <v>1330</v>
      </c>
      <c r="D2899" s="14">
        <v>45863</v>
      </c>
      <c r="E2899" s="5" t="s">
        <v>433</v>
      </c>
      <c r="F2899" s="5" t="s">
        <v>1303</v>
      </c>
      <c r="G2899" s="6" t="s">
        <v>425</v>
      </c>
      <c r="H2899" s="6" t="s">
        <v>68</v>
      </c>
      <c r="I2899" s="6" t="s">
        <v>3302</v>
      </c>
      <c r="J2899" s="6">
        <v>96</v>
      </c>
      <c r="K2899" s="7" t="s">
        <v>1356</v>
      </c>
      <c r="L2899" s="8">
        <v>4057157</v>
      </c>
      <c r="M2899" s="8" t="str">
        <f t="shared" si="232"/>
        <v>PEN</v>
      </c>
      <c r="N2899" s="13"/>
      <c r="O2899" s="13">
        <v>905.54</v>
      </c>
      <c r="P2899" s="3">
        <f t="shared" si="233"/>
        <v>905.54</v>
      </c>
      <c r="Q2899" s="3">
        <f t="shared" si="234"/>
        <v>0</v>
      </c>
      <c r="R2899" s="3">
        <f t="shared" si="235"/>
        <v>80803.430000000008</v>
      </c>
      <c r="S2899" s="24" t="s">
        <v>1334</v>
      </c>
      <c r="T2899" s="24" t="s">
        <v>1334</v>
      </c>
      <c r="U2899" s="55"/>
      <c r="V2899" s="25">
        <f>IFERROR(VLOOKUP(BCP_Soles[[#This Row],[destinatario]],CHOOSE({1,2},Clientes_Proveedores[Razon Social],Clientes_Proveedores[Ruc / Dni]),2,0),"")</f>
        <v>20558226979</v>
      </c>
      <c r="W2899" s="25"/>
      <c r="X2899" s="25"/>
      <c r="Y2899" s="25"/>
      <c r="Z2899" s="77"/>
      <c r="AA2899" s="3" t="str">
        <f>IF(BCP_Soles[[#This Row],[fecha]]&gt;0,TEXT(BCP_Soles[[#This Row],[fecha]],"mmmm"),0)</f>
        <v>Julio</v>
      </c>
    </row>
    <row r="2900" spans="1:27" ht="36" x14ac:dyDescent="0.3">
      <c r="A2900" s="2">
        <f>IF(BCP_Soles[[#This Row],[tipo_registro]]="R",COUNTIFS($C$1:$C2899,"R")+1,A2899)</f>
        <v>2051</v>
      </c>
      <c r="B2900" s="19" t="str">
        <f t="shared" si="231"/>
        <v>B-BCP - Soles</v>
      </c>
      <c r="C2900" s="3" t="s">
        <v>1330</v>
      </c>
      <c r="D2900" s="14">
        <v>45863</v>
      </c>
      <c r="E2900" s="5" t="s">
        <v>1338</v>
      </c>
      <c r="F2900" s="5" t="s">
        <v>1336</v>
      </c>
      <c r="G2900" s="6" t="s">
        <v>1040</v>
      </c>
      <c r="H2900" s="6" t="s">
        <v>68</v>
      </c>
      <c r="I2900" s="6" t="s">
        <v>3992</v>
      </c>
      <c r="J2900" s="6">
        <v>1832633</v>
      </c>
      <c r="K2900" s="7" t="s">
        <v>3993</v>
      </c>
      <c r="L2900" s="8">
        <v>255168</v>
      </c>
      <c r="M2900" s="8" t="str">
        <f t="shared" si="232"/>
        <v>PEN</v>
      </c>
      <c r="N2900" s="13"/>
      <c r="O2900" s="13">
        <v>595.80999999999995</v>
      </c>
      <c r="P2900" s="3">
        <f t="shared" si="233"/>
        <v>0</v>
      </c>
      <c r="Q2900" s="3">
        <f t="shared" si="234"/>
        <v>595.80999999999995</v>
      </c>
      <c r="R2900" s="3">
        <f t="shared" si="235"/>
        <v>80207.62000000001</v>
      </c>
      <c r="S2900" s="24" t="s">
        <v>1334</v>
      </c>
      <c r="T2900" s="24" t="s">
        <v>1334</v>
      </c>
      <c r="U2900" s="55" t="s">
        <v>3994</v>
      </c>
      <c r="V2900" s="25">
        <f>IFERROR(VLOOKUP(BCP_Soles[[#This Row],[destinatario]],CHOOSE({1,2},Clientes_Proveedores[Razon Social],Clientes_Proveedores[Ruc / Dni]),2,0),"")</f>
        <v>20332970411</v>
      </c>
      <c r="W2900" s="25"/>
      <c r="X2900" s="25"/>
      <c r="Y2900" s="25"/>
      <c r="Z2900" s="77"/>
      <c r="AA2900" s="3" t="str">
        <f>IF(BCP_Soles[[#This Row],[fecha]]&gt;0,TEXT(BCP_Soles[[#This Row],[fecha]],"mmmm"),0)</f>
        <v>Julio</v>
      </c>
    </row>
    <row r="2901" spans="1:27" ht="24" x14ac:dyDescent="0.3">
      <c r="A2901" s="2">
        <f>IF(BCP_Soles[[#This Row],[tipo_registro]]="R",COUNTIFS($C$1:$C2900,"R")+1,A2900)</f>
        <v>2052</v>
      </c>
      <c r="B2901" s="19" t="str">
        <f t="shared" si="231"/>
        <v>B-BCP - Soles</v>
      </c>
      <c r="C2901" s="3" t="s">
        <v>1330</v>
      </c>
      <c r="D2901" s="14">
        <v>45863</v>
      </c>
      <c r="E2901" s="5" t="s">
        <v>1338</v>
      </c>
      <c r="F2901" s="5" t="s">
        <v>1336</v>
      </c>
      <c r="G2901" s="6" t="s">
        <v>708</v>
      </c>
      <c r="H2901" s="6"/>
      <c r="I2901" s="6"/>
      <c r="J2901" s="6"/>
      <c r="K2901" s="7" t="s">
        <v>3572</v>
      </c>
      <c r="L2901" s="8">
        <v>255618</v>
      </c>
      <c r="M2901" s="8" t="str">
        <f t="shared" si="232"/>
        <v>PEN</v>
      </c>
      <c r="N2901" s="13"/>
      <c r="O2901" s="13">
        <v>1370.77</v>
      </c>
      <c r="P2901" s="3">
        <f t="shared" si="233"/>
        <v>0</v>
      </c>
      <c r="Q2901" s="3">
        <f t="shared" si="234"/>
        <v>1370.77</v>
      </c>
      <c r="R2901" s="3">
        <f t="shared" si="235"/>
        <v>78836.850000000006</v>
      </c>
      <c r="S2901" s="24" t="s">
        <v>1334</v>
      </c>
      <c r="T2901" s="24" t="s">
        <v>1334</v>
      </c>
      <c r="U2901" s="79" t="s">
        <v>3995</v>
      </c>
      <c r="V2901" s="25">
        <f>IFERROR(VLOOKUP(BCP_Soles[[#This Row],[destinatario]],CHOOSE({1,2},Clientes_Proveedores[Razon Social],Clientes_Proveedores[Ruc / Dni]),2,0),"")</f>
        <v>20467534026</v>
      </c>
      <c r="W2901" s="25" t="s">
        <v>3996</v>
      </c>
      <c r="X2901" s="25"/>
      <c r="Y2901" s="25"/>
      <c r="Z2901" s="77"/>
      <c r="AA2901" s="3" t="str">
        <f>IF(BCP_Soles[[#This Row],[fecha]]&gt;0,TEXT(BCP_Soles[[#This Row],[fecha]],"mmmm"),0)</f>
        <v>Julio</v>
      </c>
    </row>
    <row r="2902" spans="1:27" ht="24" x14ac:dyDescent="0.3">
      <c r="A2902" s="2">
        <f>IF(BCP_Soles[[#This Row],[tipo_registro]]="R",COUNTIFS($C$1:$C2901,"R")+1,A2901)</f>
        <v>2052</v>
      </c>
      <c r="B2902" s="19" t="str">
        <f>"B-BCP - Soles"</f>
        <v>B-BCP - Soles</v>
      </c>
      <c r="C2902" s="3" t="s">
        <v>1352</v>
      </c>
      <c r="D2902" s="14">
        <v>45863</v>
      </c>
      <c r="E2902" s="5" t="s">
        <v>1338</v>
      </c>
      <c r="F2902" s="5" t="s">
        <v>1336</v>
      </c>
      <c r="G2902" s="6" t="s">
        <v>708</v>
      </c>
      <c r="H2902" s="6" t="s">
        <v>106</v>
      </c>
      <c r="I2902" s="6" t="s">
        <v>1661</v>
      </c>
      <c r="J2902" s="6">
        <v>552867336</v>
      </c>
      <c r="K2902" s="7" t="s">
        <v>3997</v>
      </c>
      <c r="L2902" s="8">
        <v>255618</v>
      </c>
      <c r="M2902" s="8" t="str">
        <f>"PEN"</f>
        <v>PEN</v>
      </c>
      <c r="N2902" s="13">
        <v>1077.55</v>
      </c>
      <c r="O2902" s="13"/>
      <c r="P2902" s="3">
        <f>+IF(OR($F2902="SALDO",$F2902="INGRESO"),$O2902,0)</f>
        <v>0</v>
      </c>
      <c r="Q2902" s="3">
        <f>+IF($F2902="EGRESO",$O2902,0)</f>
        <v>0</v>
      </c>
      <c r="R2902" s="3">
        <f t="shared" si="235"/>
        <v>78836.850000000006</v>
      </c>
      <c r="S2902" s="24" t="s">
        <v>1334</v>
      </c>
      <c r="T2902" s="24" t="s">
        <v>1334</v>
      </c>
      <c r="U2902" s="79"/>
      <c r="V2902" s="25">
        <f>IFERROR(VLOOKUP(BCP_Soles[[#This Row],[destinatario]],CHOOSE({1,2},Clientes_Proveedores[Razon Social],Clientes_Proveedores[Ruc / Dni]),2,0),"")</f>
        <v>20467534026</v>
      </c>
      <c r="W2902" s="25"/>
      <c r="X2902" s="25"/>
      <c r="Y2902" s="25"/>
      <c r="Z2902" s="77"/>
      <c r="AA2902" s="3" t="str">
        <f>IF(BCP_Soles[[#This Row],[fecha]]&gt;0,TEXT(BCP_Soles[[#This Row],[fecha]],"mmmm"),0)</f>
        <v>Julio</v>
      </c>
    </row>
    <row r="2903" spans="1:27" ht="24" x14ac:dyDescent="0.3">
      <c r="A2903" s="2">
        <f>IF(BCP_Soles[[#This Row],[tipo_registro]]="R",COUNTIFS($C$1:$C2902,"R")+1,A2902)</f>
        <v>2052</v>
      </c>
      <c r="B2903" s="19" t="str">
        <f>"B-BCP - Soles"</f>
        <v>B-BCP - Soles</v>
      </c>
      <c r="C2903" s="3" t="s">
        <v>1352</v>
      </c>
      <c r="D2903" s="14">
        <v>45863</v>
      </c>
      <c r="E2903" s="5" t="s">
        <v>1338</v>
      </c>
      <c r="F2903" s="5" t="s">
        <v>1336</v>
      </c>
      <c r="G2903" s="6" t="s">
        <v>708</v>
      </c>
      <c r="H2903" s="6" t="s">
        <v>68</v>
      </c>
      <c r="I2903" s="6" t="s">
        <v>1662</v>
      </c>
      <c r="J2903" s="6">
        <v>88790</v>
      </c>
      <c r="K2903" s="7" t="s">
        <v>3998</v>
      </c>
      <c r="L2903" s="8">
        <v>255618</v>
      </c>
      <c r="M2903" s="8" t="str">
        <f>"PEN"</f>
        <v>PEN</v>
      </c>
      <c r="N2903" s="13">
        <v>293.22000000000003</v>
      </c>
      <c r="O2903" s="13"/>
      <c r="P2903" s="3">
        <f>+IF(OR($F2903="SALDO",$F2903="INGRESO"),$O2903,0)</f>
        <v>0</v>
      </c>
      <c r="Q2903" s="3">
        <f>+IF($F2903="EGRESO",$O2903,0)</f>
        <v>0</v>
      </c>
      <c r="R2903" s="3">
        <f t="shared" si="235"/>
        <v>78836.850000000006</v>
      </c>
      <c r="S2903" s="24" t="s">
        <v>1334</v>
      </c>
      <c r="T2903" s="24" t="s">
        <v>1334</v>
      </c>
      <c r="U2903" s="79"/>
      <c r="V2903" s="25">
        <f>IFERROR(VLOOKUP(BCP_Soles[[#This Row],[destinatario]],CHOOSE({1,2},Clientes_Proveedores[Razon Social],Clientes_Proveedores[Ruc / Dni]),2,0),"")</f>
        <v>20467534026</v>
      </c>
      <c r="W2903" s="25"/>
      <c r="X2903" s="25"/>
      <c r="Y2903" s="25"/>
      <c r="Z2903" s="77"/>
      <c r="AA2903" s="3" t="str">
        <f>IF(BCP_Soles[[#This Row],[fecha]]&gt;0,TEXT(BCP_Soles[[#This Row],[fecha]],"mmmm"),0)</f>
        <v>Julio</v>
      </c>
    </row>
    <row r="2904" spans="1:27" ht="24" x14ac:dyDescent="0.3">
      <c r="A2904" s="2">
        <f>IF(BCP_Soles[[#This Row],[tipo_registro]]="R",COUNTIFS($C$1:$C2903,"R")+1,A2903)</f>
        <v>2053</v>
      </c>
      <c r="B2904" s="19" t="str">
        <f t="shared" si="231"/>
        <v>B-BCP - Soles</v>
      </c>
      <c r="C2904" s="3" t="s">
        <v>1330</v>
      </c>
      <c r="D2904" s="14">
        <v>45863</v>
      </c>
      <c r="E2904" s="5" t="s">
        <v>1338</v>
      </c>
      <c r="F2904" s="5" t="s">
        <v>1336</v>
      </c>
      <c r="G2904" s="6" t="s">
        <v>1032</v>
      </c>
      <c r="H2904" s="6" t="s">
        <v>68</v>
      </c>
      <c r="I2904" s="6" t="s">
        <v>1376</v>
      </c>
      <c r="J2904" s="6">
        <v>221</v>
      </c>
      <c r="K2904" s="7" t="s">
        <v>3999</v>
      </c>
      <c r="L2904" s="8">
        <v>1254704</v>
      </c>
      <c r="M2904" s="8" t="str">
        <f t="shared" si="232"/>
        <v>PEN</v>
      </c>
      <c r="N2904" s="13"/>
      <c r="O2904" s="13">
        <v>180</v>
      </c>
      <c r="P2904" s="3">
        <f t="shared" si="233"/>
        <v>0</v>
      </c>
      <c r="Q2904" s="3">
        <f t="shared" si="234"/>
        <v>180</v>
      </c>
      <c r="R2904" s="3">
        <f t="shared" si="235"/>
        <v>78656.850000000006</v>
      </c>
      <c r="S2904" s="24" t="s">
        <v>1334</v>
      </c>
      <c r="T2904" s="24" t="s">
        <v>1334</v>
      </c>
      <c r="U2904" s="79" t="s">
        <v>4000</v>
      </c>
      <c r="V2904" s="25">
        <f>IFERROR(VLOOKUP(BCP_Soles[[#This Row],[destinatario]],CHOOSE({1,2},Clientes_Proveedores[Razon Social],Clientes_Proveedores[Ruc / Dni]),2,0),"")</f>
        <v>10440377497</v>
      </c>
      <c r="W2904" s="25"/>
      <c r="X2904" s="25"/>
      <c r="Y2904" s="25"/>
      <c r="Z2904" s="77"/>
      <c r="AA2904" s="3" t="str">
        <f>IF(BCP_Soles[[#This Row],[fecha]]&gt;0,TEXT(BCP_Soles[[#This Row],[fecha]],"mmmm"),0)</f>
        <v>Julio</v>
      </c>
    </row>
    <row r="2905" spans="1:27" ht="24" x14ac:dyDescent="0.3">
      <c r="A2905" s="2">
        <f>IF(BCP_Soles[[#This Row],[tipo_registro]]="R",COUNTIFS($C$1:$C2904,"R")+1,A2904)</f>
        <v>2054</v>
      </c>
      <c r="B2905" s="19" t="str">
        <f t="shared" si="231"/>
        <v>B-BCP - Soles</v>
      </c>
      <c r="C2905" s="3" t="s">
        <v>1330</v>
      </c>
      <c r="D2905" s="14">
        <v>45863</v>
      </c>
      <c r="E2905" s="5" t="s">
        <v>1338</v>
      </c>
      <c r="F2905" s="5" t="s">
        <v>1336</v>
      </c>
      <c r="G2905" s="6" t="s">
        <v>658</v>
      </c>
      <c r="H2905" s="6" t="s">
        <v>68</v>
      </c>
      <c r="I2905" s="6" t="s">
        <v>1376</v>
      </c>
      <c r="J2905" s="6">
        <v>49</v>
      </c>
      <c r="K2905" s="7" t="s">
        <v>4001</v>
      </c>
      <c r="L2905" s="8">
        <v>1293914</v>
      </c>
      <c r="M2905" s="8" t="str">
        <f t="shared" si="232"/>
        <v>PEN</v>
      </c>
      <c r="N2905" s="13"/>
      <c r="O2905" s="13">
        <v>1000</v>
      </c>
      <c r="P2905" s="3">
        <f t="shared" si="233"/>
        <v>0</v>
      </c>
      <c r="Q2905" s="3">
        <f t="shared" si="234"/>
        <v>1000</v>
      </c>
      <c r="R2905" s="3">
        <f t="shared" si="235"/>
        <v>77656.850000000006</v>
      </c>
      <c r="S2905" s="24" t="s">
        <v>1334</v>
      </c>
      <c r="T2905" s="24" t="s">
        <v>1334</v>
      </c>
      <c r="U2905" s="79" t="s">
        <v>4002</v>
      </c>
      <c r="V2905" s="25">
        <f>IFERROR(VLOOKUP(BCP_Soles[[#This Row],[destinatario]],CHOOSE({1,2},Clientes_Proveedores[Razon Social],Clientes_Proveedores[Ruc / Dni]),2,0),"")</f>
        <v>15609125303</v>
      </c>
      <c r="W2905" s="25"/>
      <c r="X2905" s="25"/>
      <c r="Y2905" s="25"/>
      <c r="Z2905" s="77"/>
      <c r="AA2905" s="3" t="str">
        <f>IF(BCP_Soles[[#This Row],[fecha]]&gt;0,TEXT(BCP_Soles[[#This Row],[fecha]],"mmmm"),0)</f>
        <v>Julio</v>
      </c>
    </row>
    <row r="2906" spans="1:27" x14ac:dyDescent="0.3">
      <c r="A2906" s="2">
        <f>IF(BCP_Soles[[#This Row],[tipo_registro]]="R",COUNTIFS($C$1:$C2905,"R")+1,A2905)</f>
        <v>2055</v>
      </c>
      <c r="B2906" s="19" t="str">
        <f t="shared" ref="B2906:B2969" si="236">"B-BCP - Soles"</f>
        <v>B-BCP - Soles</v>
      </c>
      <c r="C2906" s="3" t="s">
        <v>1330</v>
      </c>
      <c r="D2906" s="14">
        <v>45863</v>
      </c>
      <c r="E2906" s="5" t="s">
        <v>1338</v>
      </c>
      <c r="F2906" s="5" t="s">
        <v>1336</v>
      </c>
      <c r="G2906" s="6" t="s">
        <v>696</v>
      </c>
      <c r="H2906" s="6"/>
      <c r="I2906" s="6"/>
      <c r="J2906" s="6"/>
      <c r="K2906" s="7" t="s">
        <v>4003</v>
      </c>
      <c r="L2906" s="8">
        <v>4654315</v>
      </c>
      <c r="M2906" s="8" t="str">
        <f t="shared" ref="M2906:M2969" si="237">"PEN"</f>
        <v>PEN</v>
      </c>
      <c r="N2906" s="13"/>
      <c r="O2906" s="13">
        <v>3934.39</v>
      </c>
      <c r="P2906" s="3">
        <f t="shared" ref="P2906:P2969" si="238">+IF(OR($F2906="SALDO",$F2906="INGRESO"),$O2906,0)</f>
        <v>0</v>
      </c>
      <c r="Q2906" s="3">
        <f t="shared" ref="Q2906:Q2969" si="239">+IF($F2906="EGRESO",$O2906,0)</f>
        <v>3934.39</v>
      </c>
      <c r="R2906" s="3">
        <f t="shared" si="235"/>
        <v>73722.460000000006</v>
      </c>
      <c r="S2906" s="24" t="s">
        <v>1334</v>
      </c>
      <c r="T2906" s="24" t="s">
        <v>1334</v>
      </c>
      <c r="U2906" s="79" t="s">
        <v>4004</v>
      </c>
      <c r="V2906" s="25">
        <f>IFERROR(VLOOKUP(BCP_Soles[[#This Row],[destinatario]],CHOOSE({1,2},Clientes_Proveedores[Razon Social],Clientes_Proveedores[Ruc / Dni]),2,0),"")</f>
        <v>0</v>
      </c>
      <c r="W2906" s="25"/>
      <c r="X2906" s="25"/>
      <c r="Y2906" s="25"/>
      <c r="Z2906" s="77"/>
      <c r="AA2906" s="3" t="str">
        <f>IF(BCP_Soles[[#This Row],[fecha]]&gt;0,TEXT(BCP_Soles[[#This Row],[fecha]],"mmmm"),0)</f>
        <v>Julio</v>
      </c>
    </row>
    <row r="2907" spans="1:27" ht="24" x14ac:dyDescent="0.3">
      <c r="A2907" s="2">
        <f>IF(BCP_Soles[[#This Row],[tipo_registro]]="R",COUNTIFS($C$1:$C2906,"R")+1,A2906)</f>
        <v>2055</v>
      </c>
      <c r="B2907" s="19" t="str">
        <f t="shared" si="236"/>
        <v>B-BCP - Soles</v>
      </c>
      <c r="C2907" s="3" t="s">
        <v>1352</v>
      </c>
      <c r="D2907" s="14">
        <v>45863</v>
      </c>
      <c r="E2907" s="5" t="s">
        <v>1338</v>
      </c>
      <c r="F2907" s="5"/>
      <c r="G2907" s="6" t="s">
        <v>271</v>
      </c>
      <c r="H2907" s="6" t="s">
        <v>68</v>
      </c>
      <c r="I2907" s="6" t="s">
        <v>1375</v>
      </c>
      <c r="J2907" s="6">
        <v>6951</v>
      </c>
      <c r="K2907" s="7" t="s">
        <v>4003</v>
      </c>
      <c r="L2907" s="8">
        <v>4654315</v>
      </c>
      <c r="M2907" s="8" t="str">
        <f t="shared" si="237"/>
        <v>PEN</v>
      </c>
      <c r="N2907" s="13">
        <v>2248</v>
      </c>
      <c r="O2907" s="13"/>
      <c r="P2907" s="3">
        <f t="shared" si="238"/>
        <v>0</v>
      </c>
      <c r="Q2907" s="3">
        <f t="shared" si="239"/>
        <v>0</v>
      </c>
      <c r="R2907" s="3">
        <f t="shared" si="235"/>
        <v>73722.460000000006</v>
      </c>
      <c r="S2907" s="24" t="s">
        <v>1334</v>
      </c>
      <c r="T2907" s="24" t="s">
        <v>1334</v>
      </c>
      <c r="U2907" s="55"/>
      <c r="V2907" s="25">
        <f>IFERROR(VLOOKUP(BCP_Soles[[#This Row],[destinatario]],CHOOSE({1,2},Clientes_Proveedores[Razon Social],Clientes_Proveedores[Ruc / Dni]),2,0),"")</f>
        <v>20419158462</v>
      </c>
      <c r="W2907" s="25"/>
      <c r="X2907" s="25"/>
      <c r="Y2907" s="25"/>
      <c r="Z2907" s="77"/>
      <c r="AA2907" s="3" t="str">
        <f>IF(BCP_Soles[[#This Row],[fecha]]&gt;0,TEXT(BCP_Soles[[#This Row],[fecha]],"mmmm"),0)</f>
        <v>Julio</v>
      </c>
    </row>
    <row r="2908" spans="1:27" ht="24" x14ac:dyDescent="0.3">
      <c r="A2908" s="2">
        <f>IF(BCP_Soles[[#This Row],[tipo_registro]]="R",COUNTIFS($C$1:$C2907,"R")+1,A2907)</f>
        <v>2055</v>
      </c>
      <c r="B2908" s="19" t="str">
        <f t="shared" si="236"/>
        <v>B-BCP - Soles</v>
      </c>
      <c r="C2908" s="3" t="s">
        <v>1352</v>
      </c>
      <c r="D2908" s="14">
        <v>45863</v>
      </c>
      <c r="E2908" s="5" t="s">
        <v>1338</v>
      </c>
      <c r="F2908" s="5"/>
      <c r="G2908" s="6" t="s">
        <v>271</v>
      </c>
      <c r="H2908" s="6" t="s">
        <v>68</v>
      </c>
      <c r="I2908" s="6" t="s">
        <v>1375</v>
      </c>
      <c r="J2908" s="6">
        <v>6950</v>
      </c>
      <c r="K2908" s="7" t="s">
        <v>4003</v>
      </c>
      <c r="L2908" s="8">
        <v>4654315</v>
      </c>
      <c r="M2908" s="8" t="str">
        <f t="shared" si="237"/>
        <v>PEN</v>
      </c>
      <c r="N2908" s="13">
        <v>694</v>
      </c>
      <c r="O2908" s="13"/>
      <c r="P2908" s="3">
        <f t="shared" si="238"/>
        <v>0</v>
      </c>
      <c r="Q2908" s="3">
        <f t="shared" si="239"/>
        <v>0</v>
      </c>
      <c r="R2908" s="3">
        <f t="shared" si="235"/>
        <v>73722.460000000006</v>
      </c>
      <c r="S2908" s="24" t="s">
        <v>1334</v>
      </c>
      <c r="T2908" s="24" t="s">
        <v>1334</v>
      </c>
      <c r="U2908" s="55"/>
      <c r="V2908" s="25">
        <f>IFERROR(VLOOKUP(BCP_Soles[[#This Row],[destinatario]],CHOOSE({1,2},Clientes_Proveedores[Razon Social],Clientes_Proveedores[Ruc / Dni]),2,0),"")</f>
        <v>20419158462</v>
      </c>
      <c r="W2908" s="25"/>
      <c r="X2908" s="25"/>
      <c r="Y2908" s="25"/>
      <c r="Z2908" s="77"/>
      <c r="AA2908" s="3" t="str">
        <f>IF(BCP_Soles[[#This Row],[fecha]]&gt;0,TEXT(BCP_Soles[[#This Row],[fecha]],"mmmm"),0)</f>
        <v>Julio</v>
      </c>
    </row>
    <row r="2909" spans="1:27" x14ac:dyDescent="0.3">
      <c r="A2909" s="2">
        <f>IF(BCP_Soles[[#This Row],[tipo_registro]]="R",COUNTIFS($C$1:$C2908,"R")+1,A2908)</f>
        <v>2055</v>
      </c>
      <c r="B2909" s="19" t="str">
        <f t="shared" si="236"/>
        <v>B-BCP - Soles</v>
      </c>
      <c r="C2909" s="3" t="s">
        <v>1352</v>
      </c>
      <c r="D2909" s="14">
        <v>45863</v>
      </c>
      <c r="E2909" s="5" t="s">
        <v>1338</v>
      </c>
      <c r="F2909" s="5"/>
      <c r="G2909" s="6" t="s">
        <v>286</v>
      </c>
      <c r="H2909" s="6" t="s">
        <v>68</v>
      </c>
      <c r="I2909" s="6" t="s">
        <v>1390</v>
      </c>
      <c r="J2909" s="6">
        <v>630</v>
      </c>
      <c r="K2909" s="7" t="s">
        <v>4003</v>
      </c>
      <c r="L2909" s="8">
        <v>4654315</v>
      </c>
      <c r="M2909" s="8" t="str">
        <f t="shared" si="237"/>
        <v>PEN</v>
      </c>
      <c r="N2909" s="13">
        <v>234.6</v>
      </c>
      <c r="O2909" s="13"/>
      <c r="P2909" s="3">
        <f t="shared" si="238"/>
        <v>0</v>
      </c>
      <c r="Q2909" s="3">
        <f t="shared" si="239"/>
        <v>0</v>
      </c>
      <c r="R2909" s="3">
        <f t="shared" si="235"/>
        <v>73722.460000000006</v>
      </c>
      <c r="S2909" s="24" t="s">
        <v>1334</v>
      </c>
      <c r="T2909" s="24" t="s">
        <v>1334</v>
      </c>
      <c r="U2909" s="55"/>
      <c r="V2909" s="25">
        <f>IFERROR(VLOOKUP(BCP_Soles[[#This Row],[destinatario]],CHOOSE({1,2},Clientes_Proveedores[Razon Social],Clientes_Proveedores[Ruc / Dni]),2,0),"")</f>
        <v>20454186002</v>
      </c>
      <c r="W2909" s="25"/>
      <c r="X2909" s="25"/>
      <c r="Y2909" s="25"/>
      <c r="Z2909" s="77"/>
      <c r="AA2909" s="3" t="str">
        <f>IF(BCP_Soles[[#This Row],[fecha]]&gt;0,TEXT(BCP_Soles[[#This Row],[fecha]],"mmmm"),0)</f>
        <v>Julio</v>
      </c>
    </row>
    <row r="2910" spans="1:27" x14ac:dyDescent="0.3">
      <c r="A2910" s="2">
        <f>IF(BCP_Soles[[#This Row],[tipo_registro]]="R",COUNTIFS($C$1:$C2909,"R")+1,A2909)</f>
        <v>2055</v>
      </c>
      <c r="B2910" s="19" t="str">
        <f t="shared" si="236"/>
        <v>B-BCP - Soles</v>
      </c>
      <c r="C2910" s="3" t="s">
        <v>1352</v>
      </c>
      <c r="D2910" s="14">
        <v>45863</v>
      </c>
      <c r="E2910" s="5" t="s">
        <v>1338</v>
      </c>
      <c r="F2910" s="5"/>
      <c r="G2910" s="6" t="s">
        <v>286</v>
      </c>
      <c r="H2910" s="6" t="s">
        <v>68</v>
      </c>
      <c r="I2910" s="6" t="s">
        <v>1386</v>
      </c>
      <c r="J2910" s="6">
        <v>1715</v>
      </c>
      <c r="K2910" s="7" t="s">
        <v>4003</v>
      </c>
      <c r="L2910" s="8">
        <v>4654315</v>
      </c>
      <c r="M2910" s="8" t="str">
        <f t="shared" si="237"/>
        <v>PEN</v>
      </c>
      <c r="N2910" s="13">
        <v>148</v>
      </c>
      <c r="O2910" s="13"/>
      <c r="P2910" s="3">
        <f t="shared" si="238"/>
        <v>0</v>
      </c>
      <c r="Q2910" s="3">
        <f t="shared" si="239"/>
        <v>0</v>
      </c>
      <c r="R2910" s="3">
        <f t="shared" si="235"/>
        <v>73722.460000000006</v>
      </c>
      <c r="S2910" s="24" t="s">
        <v>1334</v>
      </c>
      <c r="T2910" s="24" t="s">
        <v>1334</v>
      </c>
      <c r="U2910" s="55"/>
      <c r="V2910" s="25">
        <f>IFERROR(VLOOKUP(BCP_Soles[[#This Row],[destinatario]],CHOOSE({1,2},Clientes_Proveedores[Razon Social],Clientes_Proveedores[Ruc / Dni]),2,0),"")</f>
        <v>20454186002</v>
      </c>
      <c r="W2910" s="25"/>
      <c r="X2910" s="25"/>
      <c r="Y2910" s="25"/>
      <c r="Z2910" s="77"/>
      <c r="AA2910" s="3" t="str">
        <f>IF(BCP_Soles[[#This Row],[fecha]]&gt;0,TEXT(BCP_Soles[[#This Row],[fecha]],"mmmm"),0)</f>
        <v>Julio</v>
      </c>
    </row>
    <row r="2911" spans="1:27" x14ac:dyDescent="0.3">
      <c r="A2911" s="2">
        <f>IF(BCP_Soles[[#This Row],[tipo_registro]]="R",COUNTIFS($C$1:$C2910,"R")+1,A2910)</f>
        <v>2055</v>
      </c>
      <c r="B2911" s="19" t="str">
        <f t="shared" si="236"/>
        <v>B-BCP - Soles</v>
      </c>
      <c r="C2911" s="3" t="s">
        <v>1352</v>
      </c>
      <c r="D2911" s="14">
        <v>45863</v>
      </c>
      <c r="E2911" s="5" t="s">
        <v>1338</v>
      </c>
      <c r="F2911" s="5"/>
      <c r="G2911" s="6" t="s">
        <v>286</v>
      </c>
      <c r="H2911" s="6" t="s">
        <v>68</v>
      </c>
      <c r="I2911" s="6" t="s">
        <v>1386</v>
      </c>
      <c r="J2911" s="6">
        <v>1712</v>
      </c>
      <c r="K2911" s="7" t="s">
        <v>4003</v>
      </c>
      <c r="L2911" s="8">
        <v>4654315</v>
      </c>
      <c r="M2911" s="8" t="str">
        <f t="shared" si="237"/>
        <v>PEN</v>
      </c>
      <c r="N2911" s="13">
        <v>173</v>
      </c>
      <c r="O2911" s="13"/>
      <c r="P2911" s="3">
        <f t="shared" si="238"/>
        <v>0</v>
      </c>
      <c r="Q2911" s="3">
        <f t="shared" si="239"/>
        <v>0</v>
      </c>
      <c r="R2911" s="3">
        <f t="shared" si="235"/>
        <v>73722.460000000006</v>
      </c>
      <c r="S2911" s="24" t="s">
        <v>1334</v>
      </c>
      <c r="T2911" s="24" t="s">
        <v>1334</v>
      </c>
      <c r="U2911" s="55"/>
      <c r="V2911" s="25">
        <f>IFERROR(VLOOKUP(BCP_Soles[[#This Row],[destinatario]],CHOOSE({1,2},Clientes_Proveedores[Razon Social],Clientes_Proveedores[Ruc / Dni]),2,0),"")</f>
        <v>20454186002</v>
      </c>
      <c r="W2911" s="25"/>
      <c r="X2911" s="25"/>
      <c r="Y2911" s="25"/>
      <c r="Z2911" s="77"/>
      <c r="AA2911" s="3" t="str">
        <f>IF(BCP_Soles[[#This Row],[fecha]]&gt;0,TEXT(BCP_Soles[[#This Row],[fecha]],"mmmm"),0)</f>
        <v>Julio</v>
      </c>
    </row>
    <row r="2912" spans="1:27" x14ac:dyDescent="0.3">
      <c r="A2912" s="2">
        <f>IF(BCP_Soles[[#This Row],[tipo_registro]]="R",COUNTIFS($C$1:$C2911,"R")+1,A2911)</f>
        <v>2055</v>
      </c>
      <c r="B2912" s="19" t="str">
        <f t="shared" si="236"/>
        <v>B-BCP - Soles</v>
      </c>
      <c r="C2912" s="3" t="s">
        <v>1352</v>
      </c>
      <c r="D2912" s="14">
        <v>45863</v>
      </c>
      <c r="E2912" s="5" t="s">
        <v>1338</v>
      </c>
      <c r="F2912" s="5"/>
      <c r="G2912" s="6" t="s">
        <v>286</v>
      </c>
      <c r="H2912" s="6" t="s">
        <v>68</v>
      </c>
      <c r="I2912" s="6" t="s">
        <v>1386</v>
      </c>
      <c r="J2912" s="6">
        <v>1711</v>
      </c>
      <c r="K2912" s="7" t="s">
        <v>4003</v>
      </c>
      <c r="L2912" s="8">
        <v>4654315</v>
      </c>
      <c r="M2912" s="8" t="str">
        <f t="shared" si="237"/>
        <v>PEN</v>
      </c>
      <c r="N2912" s="13">
        <v>17.399999999999999</v>
      </c>
      <c r="O2912" s="13"/>
      <c r="P2912" s="3">
        <f t="shared" si="238"/>
        <v>0</v>
      </c>
      <c r="Q2912" s="3">
        <f t="shared" si="239"/>
        <v>0</v>
      </c>
      <c r="R2912" s="3">
        <f t="shared" si="235"/>
        <v>73722.460000000006</v>
      </c>
      <c r="S2912" s="24" t="s">
        <v>1334</v>
      </c>
      <c r="T2912" s="24" t="s">
        <v>1334</v>
      </c>
      <c r="U2912" s="55"/>
      <c r="V2912" s="25">
        <f>IFERROR(VLOOKUP(BCP_Soles[[#This Row],[destinatario]],CHOOSE({1,2},Clientes_Proveedores[Razon Social],Clientes_Proveedores[Ruc / Dni]),2,0),"")</f>
        <v>20454186002</v>
      </c>
      <c r="W2912" s="25"/>
      <c r="X2912" s="25"/>
      <c r="Y2912" s="25"/>
      <c r="Z2912" s="77"/>
      <c r="AA2912" s="3" t="str">
        <f>IF(BCP_Soles[[#This Row],[fecha]]&gt;0,TEXT(BCP_Soles[[#This Row],[fecha]],"mmmm"),0)</f>
        <v>Julio</v>
      </c>
    </row>
    <row r="2913" spans="1:27" x14ac:dyDescent="0.3">
      <c r="A2913" s="2">
        <f>IF(BCP_Soles[[#This Row],[tipo_registro]]="R",COUNTIFS($C$1:$C2912,"R")+1,A2912)</f>
        <v>2055</v>
      </c>
      <c r="B2913" s="19" t="str">
        <f t="shared" si="236"/>
        <v>B-BCP - Soles</v>
      </c>
      <c r="C2913" s="3" t="s">
        <v>1352</v>
      </c>
      <c r="D2913" s="14">
        <v>45863</v>
      </c>
      <c r="E2913" s="5" t="s">
        <v>1338</v>
      </c>
      <c r="F2913" s="5"/>
      <c r="G2913" s="6" t="s">
        <v>286</v>
      </c>
      <c r="H2913" s="6" t="s">
        <v>68</v>
      </c>
      <c r="I2913" s="6" t="s">
        <v>1386</v>
      </c>
      <c r="J2913" s="6">
        <v>1713</v>
      </c>
      <c r="K2913" s="7" t="s">
        <v>4003</v>
      </c>
      <c r="L2913" s="8">
        <v>4654315</v>
      </c>
      <c r="M2913" s="8" t="str">
        <f t="shared" si="237"/>
        <v>PEN</v>
      </c>
      <c r="N2913" s="13">
        <v>224</v>
      </c>
      <c r="O2913" s="13"/>
      <c r="P2913" s="3">
        <f t="shared" si="238"/>
        <v>0</v>
      </c>
      <c r="Q2913" s="3">
        <f t="shared" si="239"/>
        <v>0</v>
      </c>
      <c r="R2913" s="3">
        <f t="shared" si="235"/>
        <v>73722.460000000006</v>
      </c>
      <c r="S2913" s="24" t="s">
        <v>1334</v>
      </c>
      <c r="T2913" s="24" t="s">
        <v>1334</v>
      </c>
      <c r="U2913" s="55"/>
      <c r="V2913" s="25">
        <f>IFERROR(VLOOKUP(BCP_Soles[[#This Row],[destinatario]],CHOOSE({1,2},Clientes_Proveedores[Razon Social],Clientes_Proveedores[Ruc / Dni]),2,0),"")</f>
        <v>20454186002</v>
      </c>
      <c r="W2913" s="25"/>
      <c r="X2913" s="25"/>
      <c r="Y2913" s="25"/>
      <c r="Z2913" s="77"/>
      <c r="AA2913" s="3" t="str">
        <f>IF(BCP_Soles[[#This Row],[fecha]]&gt;0,TEXT(BCP_Soles[[#This Row],[fecha]],"mmmm"),0)</f>
        <v>Julio</v>
      </c>
    </row>
    <row r="2914" spans="1:27" x14ac:dyDescent="0.3">
      <c r="A2914" s="2">
        <f>IF(BCP_Soles[[#This Row],[tipo_registro]]="R",COUNTIFS($C$1:$C2913,"R")+1,A2913)</f>
        <v>2055</v>
      </c>
      <c r="B2914" s="19" t="str">
        <f t="shared" si="236"/>
        <v>B-BCP - Soles</v>
      </c>
      <c r="C2914" s="3" t="s">
        <v>1352</v>
      </c>
      <c r="D2914" s="14">
        <v>45863</v>
      </c>
      <c r="E2914" s="5" t="s">
        <v>1338</v>
      </c>
      <c r="F2914" s="5"/>
      <c r="G2914" s="6" t="s">
        <v>286</v>
      </c>
      <c r="H2914" s="6" t="s">
        <v>68</v>
      </c>
      <c r="I2914" s="6" t="s">
        <v>1386</v>
      </c>
      <c r="J2914" s="6">
        <v>1714</v>
      </c>
      <c r="K2914" s="7" t="s">
        <v>4003</v>
      </c>
      <c r="L2914" s="8">
        <v>4654315</v>
      </c>
      <c r="M2914" s="8" t="str">
        <f t="shared" si="237"/>
        <v>PEN</v>
      </c>
      <c r="N2914" s="13">
        <v>195.39</v>
      </c>
      <c r="O2914" s="13"/>
      <c r="P2914" s="3">
        <f t="shared" si="238"/>
        <v>0</v>
      </c>
      <c r="Q2914" s="3">
        <f t="shared" si="239"/>
        <v>0</v>
      </c>
      <c r="R2914" s="3">
        <f t="shared" si="235"/>
        <v>73722.460000000006</v>
      </c>
      <c r="S2914" s="24" t="s">
        <v>1334</v>
      </c>
      <c r="T2914" s="24" t="s">
        <v>1334</v>
      </c>
      <c r="U2914" s="55"/>
      <c r="V2914" s="25">
        <f>IFERROR(VLOOKUP(BCP_Soles[[#This Row],[destinatario]],CHOOSE({1,2},Clientes_Proveedores[Razon Social],Clientes_Proveedores[Ruc / Dni]),2,0),"")</f>
        <v>20454186002</v>
      </c>
      <c r="W2914" s="25"/>
      <c r="X2914" s="25"/>
      <c r="Y2914" s="25"/>
      <c r="Z2914" s="77"/>
      <c r="AA2914" s="3" t="str">
        <f>IF(BCP_Soles[[#This Row],[fecha]]&gt;0,TEXT(BCP_Soles[[#This Row],[fecha]],"mmmm"),0)</f>
        <v>Julio</v>
      </c>
    </row>
    <row r="2915" spans="1:27" x14ac:dyDescent="0.3">
      <c r="A2915" s="2">
        <f>IF(BCP_Soles[[#This Row],[tipo_registro]]="R",COUNTIFS($C$1:$C2914,"R")+1,A2914)</f>
        <v>2056</v>
      </c>
      <c r="B2915" s="19" t="str">
        <f t="shared" si="236"/>
        <v>B-BCP - Soles</v>
      </c>
      <c r="C2915" s="3" t="s">
        <v>1330</v>
      </c>
      <c r="D2915" s="14">
        <v>45863</v>
      </c>
      <c r="E2915" s="5" t="s">
        <v>1338</v>
      </c>
      <c r="F2915" s="5" t="s">
        <v>1336</v>
      </c>
      <c r="G2915" s="6" t="s">
        <v>414</v>
      </c>
      <c r="H2915" s="6" t="s">
        <v>68</v>
      </c>
      <c r="I2915" s="6" t="s">
        <v>1374</v>
      </c>
      <c r="J2915" s="6">
        <v>14701</v>
      </c>
      <c r="K2915" s="7" t="s">
        <v>4005</v>
      </c>
      <c r="L2915" s="8">
        <v>1294888</v>
      </c>
      <c r="M2915" s="8" t="str">
        <f t="shared" si="237"/>
        <v>PEN</v>
      </c>
      <c r="N2915" s="13"/>
      <c r="O2915" s="13">
        <v>14989.16</v>
      </c>
      <c r="P2915" s="3">
        <f t="shared" si="238"/>
        <v>0</v>
      </c>
      <c r="Q2915" s="3">
        <f t="shared" si="239"/>
        <v>14989.16</v>
      </c>
      <c r="R2915" s="3">
        <f t="shared" si="235"/>
        <v>58733.3</v>
      </c>
      <c r="S2915" s="24" t="s">
        <v>1334</v>
      </c>
      <c r="T2915" s="24" t="s">
        <v>1334</v>
      </c>
      <c r="U2915" s="55" t="s">
        <v>4006</v>
      </c>
      <c r="V2915" s="25">
        <f>IFERROR(VLOOKUP(BCP_Soles[[#This Row],[destinatario]],CHOOSE({1,2},Clientes_Proveedores[Razon Social],Clientes_Proveedores[Ruc / Dni]),2,0),"")</f>
        <v>20553255709</v>
      </c>
      <c r="W2915" s="25"/>
      <c r="X2915" s="25"/>
      <c r="Y2915" s="25"/>
      <c r="Z2915" s="77"/>
      <c r="AA2915" s="3" t="str">
        <f>IF(BCP_Soles[[#This Row],[fecha]]&gt;0,TEXT(BCP_Soles[[#This Row],[fecha]],"mmmm"),0)</f>
        <v>Julio</v>
      </c>
    </row>
    <row r="2916" spans="1:27" ht="24" x14ac:dyDescent="0.3">
      <c r="A2916" s="2">
        <f>IF(BCP_Soles[[#This Row],[tipo_registro]]="R",COUNTIFS($C$1:$C2915,"R")+1,A2915)</f>
        <v>2057</v>
      </c>
      <c r="B2916" s="19" t="str">
        <f t="shared" si="236"/>
        <v>B-BCP - Soles</v>
      </c>
      <c r="C2916" s="3" t="s">
        <v>1330</v>
      </c>
      <c r="D2916" s="14">
        <v>45863</v>
      </c>
      <c r="E2916" s="5" t="s">
        <v>1338</v>
      </c>
      <c r="F2916" s="5" t="s">
        <v>1336</v>
      </c>
      <c r="G2916" s="6" t="s">
        <v>594</v>
      </c>
      <c r="H2916" s="6" t="s">
        <v>68</v>
      </c>
      <c r="I2916" s="6" t="s">
        <v>1376</v>
      </c>
      <c r="J2916" s="6">
        <v>2370</v>
      </c>
      <c r="K2916" s="7" t="s">
        <v>4007</v>
      </c>
      <c r="L2916" s="8">
        <v>1293915</v>
      </c>
      <c r="M2916" s="8" t="str">
        <f t="shared" si="237"/>
        <v>PEN</v>
      </c>
      <c r="N2916" s="13"/>
      <c r="O2916" s="13">
        <v>70.8</v>
      </c>
      <c r="P2916" s="3">
        <f t="shared" si="238"/>
        <v>0</v>
      </c>
      <c r="Q2916" s="3">
        <f t="shared" si="239"/>
        <v>70.8</v>
      </c>
      <c r="R2916" s="3">
        <f t="shared" si="235"/>
        <v>58662.5</v>
      </c>
      <c r="S2916" s="24" t="s">
        <v>1334</v>
      </c>
      <c r="T2916" s="24" t="s">
        <v>1334</v>
      </c>
      <c r="U2916" s="55" t="s">
        <v>4008</v>
      </c>
      <c r="V2916" s="25">
        <f>IFERROR(VLOOKUP(BCP_Soles[[#This Row],[destinatario]],CHOOSE({1,2},Clientes_Proveedores[Razon Social],Clientes_Proveedores[Ruc / Dni]),2,0),"")</f>
        <v>20609764261</v>
      </c>
      <c r="W2916" s="25"/>
      <c r="X2916" s="25"/>
      <c r="Y2916" s="25"/>
      <c r="Z2916" s="77"/>
      <c r="AA2916" s="3" t="str">
        <f>IF(BCP_Soles[[#This Row],[fecha]]&gt;0,TEXT(BCP_Soles[[#This Row],[fecha]],"mmmm"),0)</f>
        <v>Julio</v>
      </c>
    </row>
    <row r="2917" spans="1:27" ht="24" x14ac:dyDescent="0.3">
      <c r="A2917" s="2">
        <f>IF(BCP_Soles[[#This Row],[tipo_registro]]="R",COUNTIFS($C$1:$C2916,"R")+1,A2916)</f>
        <v>2058</v>
      </c>
      <c r="B2917" s="19" t="str">
        <f t="shared" si="236"/>
        <v>B-BCP - Soles</v>
      </c>
      <c r="C2917" s="3" t="s">
        <v>1330</v>
      </c>
      <c r="D2917" s="14">
        <v>45863</v>
      </c>
      <c r="E2917" s="5" t="s">
        <v>1335</v>
      </c>
      <c r="F2917" s="5" t="s">
        <v>1336</v>
      </c>
      <c r="G2917" s="6" t="s">
        <v>1060</v>
      </c>
      <c r="H2917" s="6" t="s">
        <v>68</v>
      </c>
      <c r="I2917" s="6" t="s">
        <v>1397</v>
      </c>
      <c r="J2917" s="6">
        <v>35231563</v>
      </c>
      <c r="K2917" s="7" t="s">
        <v>4009</v>
      </c>
      <c r="L2917" s="8">
        <v>4654325</v>
      </c>
      <c r="M2917" s="8" t="str">
        <f t="shared" si="237"/>
        <v>PEN</v>
      </c>
      <c r="N2917" s="13"/>
      <c r="O2917" s="13">
        <v>15</v>
      </c>
      <c r="P2917" s="3">
        <f t="shared" si="238"/>
        <v>0</v>
      </c>
      <c r="Q2917" s="3">
        <f t="shared" si="239"/>
        <v>15</v>
      </c>
      <c r="R2917" s="3">
        <f t="shared" si="235"/>
        <v>58647.5</v>
      </c>
      <c r="S2917" s="24" t="s">
        <v>1334</v>
      </c>
      <c r="T2917" s="24" t="s">
        <v>1334</v>
      </c>
      <c r="U2917" s="55"/>
      <c r="V2917" s="25">
        <f>IFERROR(VLOOKUP(BCP_Soles[[#This Row],[destinatario]],CHOOSE({1,2},Clientes_Proveedores[Razon Social],Clientes_Proveedores[Ruc / Dni]),2,0),"")</f>
        <v>20100047218</v>
      </c>
      <c r="W2917" s="25"/>
      <c r="X2917" s="25"/>
      <c r="Y2917" s="25"/>
      <c r="Z2917" s="77"/>
      <c r="AA2917" s="3" t="str">
        <f>IF(BCP_Soles[[#This Row],[fecha]]&gt;0,TEXT(BCP_Soles[[#This Row],[fecha]],"mmmm"),0)</f>
        <v>Julio</v>
      </c>
    </row>
    <row r="2918" spans="1:27" x14ac:dyDescent="0.3">
      <c r="A2918" s="2">
        <f>IF(BCP_Soles[[#This Row],[tipo_registro]]="R",COUNTIFS($C$1:$C2917,"R")+1,A2917)</f>
        <v>2059</v>
      </c>
      <c r="B2918" s="19" t="str">
        <f t="shared" si="236"/>
        <v>B-BCP - Soles</v>
      </c>
      <c r="C2918" s="3" t="s">
        <v>1330</v>
      </c>
      <c r="D2918" s="14">
        <v>45863</v>
      </c>
      <c r="E2918" s="5" t="s">
        <v>3833</v>
      </c>
      <c r="F2918" s="5" t="s">
        <v>1336</v>
      </c>
      <c r="G2918" s="6"/>
      <c r="H2918" s="6"/>
      <c r="I2918" s="6"/>
      <c r="J2918" s="6"/>
      <c r="K2918" s="7" t="s">
        <v>4010</v>
      </c>
      <c r="L2918" s="8">
        <v>1012882</v>
      </c>
      <c r="M2918" s="8" t="str">
        <f t="shared" si="237"/>
        <v>PEN</v>
      </c>
      <c r="N2918" s="13"/>
      <c r="O2918" s="13">
        <v>1097</v>
      </c>
      <c r="P2918" s="3">
        <f t="shared" si="238"/>
        <v>0</v>
      </c>
      <c r="Q2918" s="3">
        <f t="shared" si="239"/>
        <v>1097</v>
      </c>
      <c r="R2918" s="3">
        <f t="shared" si="235"/>
        <v>57550.5</v>
      </c>
      <c r="S2918" s="24" t="s">
        <v>1334</v>
      </c>
      <c r="T2918" s="24" t="s">
        <v>1334</v>
      </c>
      <c r="U2918" s="55"/>
      <c r="V2918" s="25" t="str">
        <f>IFERROR(VLOOKUP(BCP_Soles[[#This Row],[destinatario]],CHOOSE({1,2},Clientes_Proveedores[Razon Social],Clientes_Proveedores[Ruc / Dni]),2,0),"")</f>
        <v/>
      </c>
      <c r="W2918" s="25"/>
      <c r="X2918" s="25"/>
      <c r="Y2918" s="25"/>
      <c r="Z2918" s="77"/>
      <c r="AA2918" s="3" t="str">
        <f>IF(BCP_Soles[[#This Row],[fecha]]&gt;0,TEXT(BCP_Soles[[#This Row],[fecha]],"mmmm"),0)</f>
        <v>Julio</v>
      </c>
    </row>
    <row r="2919" spans="1:27" ht="24" x14ac:dyDescent="0.3">
      <c r="A2919" s="2">
        <f>IF(BCP_Soles[[#This Row],[tipo_registro]]="R",COUNTIFS($C$1:$C2918,"R")+1,A2918)</f>
        <v>2059</v>
      </c>
      <c r="B2919" s="19" t="str">
        <f t="shared" si="236"/>
        <v>B-BCP - Soles</v>
      </c>
      <c r="C2919" s="3" t="s">
        <v>1352</v>
      </c>
      <c r="D2919" s="14">
        <v>45863</v>
      </c>
      <c r="E2919" s="5" t="s">
        <v>3833</v>
      </c>
      <c r="F2919" s="5"/>
      <c r="G2919" s="6" t="s">
        <v>692</v>
      </c>
      <c r="H2919" s="6" t="s">
        <v>68</v>
      </c>
      <c r="I2919" s="6" t="s">
        <v>1376</v>
      </c>
      <c r="J2919" s="6">
        <v>12</v>
      </c>
      <c r="K2919" s="7" t="s">
        <v>4010</v>
      </c>
      <c r="L2919" s="8">
        <v>1012882</v>
      </c>
      <c r="M2919" s="8" t="str">
        <f t="shared" si="237"/>
        <v>PEN</v>
      </c>
      <c r="N2919" s="13">
        <v>19</v>
      </c>
      <c r="O2919" s="13"/>
      <c r="P2919" s="3">
        <f t="shared" si="238"/>
        <v>0</v>
      </c>
      <c r="Q2919" s="3">
        <f t="shared" si="239"/>
        <v>0</v>
      </c>
      <c r="R2919" s="3">
        <f t="shared" si="235"/>
        <v>57550.5</v>
      </c>
      <c r="S2919" s="24" t="s">
        <v>1334</v>
      </c>
      <c r="T2919" s="24" t="s">
        <v>1334</v>
      </c>
      <c r="U2919" s="55"/>
      <c r="V2919" s="25">
        <f>IFERROR(VLOOKUP(BCP_Soles[[#This Row],[destinatario]],CHOOSE({1,2},Clientes_Proveedores[Razon Social],Clientes_Proveedores[Ruc / Dni]),2,0),"")</f>
        <v>10736055631</v>
      </c>
      <c r="W2919" s="25"/>
      <c r="X2919" s="25"/>
      <c r="Y2919" s="25"/>
      <c r="Z2919" s="77" t="s">
        <v>3666</v>
      </c>
      <c r="AA2919" s="3" t="str">
        <f>IF(BCP_Soles[[#This Row],[fecha]]&gt;0,TEXT(BCP_Soles[[#This Row],[fecha]],"mmmm"),0)</f>
        <v>Julio</v>
      </c>
    </row>
    <row r="2920" spans="1:27" x14ac:dyDescent="0.3">
      <c r="A2920" s="2">
        <f>IF(BCP_Soles[[#This Row],[tipo_registro]]="R",COUNTIFS($C$1:$C2919,"R")+1,A2919)</f>
        <v>2059</v>
      </c>
      <c r="B2920" s="19" t="str">
        <f t="shared" si="236"/>
        <v>B-BCP - Soles</v>
      </c>
      <c r="C2920" s="3" t="s">
        <v>1352</v>
      </c>
      <c r="D2920" s="14">
        <v>45863</v>
      </c>
      <c r="E2920" s="5" t="s">
        <v>3833</v>
      </c>
      <c r="F2920" s="5"/>
      <c r="G2920" s="6" t="s">
        <v>286</v>
      </c>
      <c r="H2920" s="6" t="s">
        <v>68</v>
      </c>
      <c r="I2920" s="6" t="s">
        <v>1390</v>
      </c>
      <c r="J2920" s="6">
        <v>630</v>
      </c>
      <c r="K2920" s="7" t="s">
        <v>4010</v>
      </c>
      <c r="L2920" s="8">
        <v>1012882</v>
      </c>
      <c r="M2920" s="8" t="str">
        <f t="shared" si="237"/>
        <v>PEN</v>
      </c>
      <c r="N2920" s="13">
        <v>41</v>
      </c>
      <c r="O2920" s="13"/>
      <c r="P2920" s="3">
        <f t="shared" si="238"/>
        <v>0</v>
      </c>
      <c r="Q2920" s="3">
        <f t="shared" si="239"/>
        <v>0</v>
      </c>
      <c r="R2920" s="3">
        <f t="shared" si="235"/>
        <v>57550.5</v>
      </c>
      <c r="S2920" s="24" t="s">
        <v>1334</v>
      </c>
      <c r="T2920" s="24" t="s">
        <v>1334</v>
      </c>
      <c r="U2920" s="55"/>
      <c r="V2920" s="25">
        <f>IFERROR(VLOOKUP(BCP_Soles[[#This Row],[destinatario]],CHOOSE({1,2},Clientes_Proveedores[Razon Social],Clientes_Proveedores[Ruc / Dni]),2,0),"")</f>
        <v>20454186002</v>
      </c>
      <c r="W2920" s="25"/>
      <c r="X2920" s="25"/>
      <c r="Y2920" s="25"/>
      <c r="Z2920" s="77" t="s">
        <v>3666</v>
      </c>
      <c r="AA2920" s="3" t="str">
        <f>IF(BCP_Soles[[#This Row],[fecha]]&gt;0,TEXT(BCP_Soles[[#This Row],[fecha]],"mmmm"),0)</f>
        <v>Julio</v>
      </c>
    </row>
    <row r="2921" spans="1:27" x14ac:dyDescent="0.3">
      <c r="A2921" s="2">
        <f>IF(BCP_Soles[[#This Row],[tipo_registro]]="R",COUNTIFS($C$1:$C2920,"R")+1,A2920)</f>
        <v>2059</v>
      </c>
      <c r="B2921" s="19" t="str">
        <f t="shared" si="236"/>
        <v>B-BCP - Soles</v>
      </c>
      <c r="C2921" s="3" t="s">
        <v>1352</v>
      </c>
      <c r="D2921" s="14">
        <v>45863</v>
      </c>
      <c r="E2921" s="5" t="s">
        <v>3833</v>
      </c>
      <c r="F2921" s="5"/>
      <c r="G2921" s="6" t="s">
        <v>196</v>
      </c>
      <c r="H2921" s="6" t="s">
        <v>68</v>
      </c>
      <c r="I2921" s="6" t="s">
        <v>2226</v>
      </c>
      <c r="J2921" s="6">
        <v>6645</v>
      </c>
      <c r="K2921" s="7" t="s">
        <v>4010</v>
      </c>
      <c r="L2921" s="8">
        <v>1012882</v>
      </c>
      <c r="M2921" s="8" t="str">
        <f t="shared" si="237"/>
        <v>PEN</v>
      </c>
      <c r="N2921" s="13">
        <v>6</v>
      </c>
      <c r="O2921" s="13"/>
      <c r="P2921" s="3">
        <f t="shared" si="238"/>
        <v>0</v>
      </c>
      <c r="Q2921" s="3">
        <f t="shared" si="239"/>
        <v>0</v>
      </c>
      <c r="R2921" s="3">
        <f t="shared" si="235"/>
        <v>57550.5</v>
      </c>
      <c r="S2921" s="24" t="s">
        <v>1334</v>
      </c>
      <c r="T2921" s="24" t="s">
        <v>1334</v>
      </c>
      <c r="U2921" s="55"/>
      <c r="V2921" s="25">
        <f>IFERROR(VLOOKUP(BCP_Soles[[#This Row],[destinatario]],CHOOSE({1,2},Clientes_Proveedores[Razon Social],Clientes_Proveedores[Ruc / Dni]),2,0),"")</f>
        <v>20100055237</v>
      </c>
      <c r="W2921" s="25"/>
      <c r="X2921" s="25"/>
      <c r="Y2921" s="25"/>
      <c r="Z2921" s="77" t="s">
        <v>3666</v>
      </c>
      <c r="AA2921" s="3" t="str">
        <f>IF(BCP_Soles[[#This Row],[fecha]]&gt;0,TEXT(BCP_Soles[[#This Row],[fecha]],"mmmm"),0)</f>
        <v>Julio</v>
      </c>
    </row>
    <row r="2922" spans="1:27" x14ac:dyDescent="0.3">
      <c r="A2922" s="2">
        <f>IF(BCP_Soles[[#This Row],[tipo_registro]]="R",COUNTIFS($C$1:$C2921,"R")+1,A2921)</f>
        <v>2059</v>
      </c>
      <c r="B2922" s="19" t="str">
        <f t="shared" si="236"/>
        <v>B-BCP - Soles</v>
      </c>
      <c r="C2922" s="3" t="s">
        <v>1352</v>
      </c>
      <c r="D2922" s="14">
        <v>45863</v>
      </c>
      <c r="E2922" s="5" t="s">
        <v>3833</v>
      </c>
      <c r="F2922" s="5"/>
      <c r="G2922" s="6" t="s">
        <v>196</v>
      </c>
      <c r="H2922" s="6" t="s">
        <v>68</v>
      </c>
      <c r="I2922" s="6" t="s">
        <v>2226</v>
      </c>
      <c r="J2922" s="6">
        <v>6644</v>
      </c>
      <c r="K2922" s="7" t="s">
        <v>4010</v>
      </c>
      <c r="L2922" s="8">
        <v>1012882</v>
      </c>
      <c r="M2922" s="8" t="str">
        <f t="shared" si="237"/>
        <v>PEN</v>
      </c>
      <c r="N2922" s="13">
        <v>72</v>
      </c>
      <c r="O2922" s="13"/>
      <c r="P2922" s="3">
        <f t="shared" si="238"/>
        <v>0</v>
      </c>
      <c r="Q2922" s="3">
        <f t="shared" si="239"/>
        <v>0</v>
      </c>
      <c r="R2922" s="3">
        <f t="shared" si="235"/>
        <v>57550.5</v>
      </c>
      <c r="S2922" s="24" t="s">
        <v>1334</v>
      </c>
      <c r="T2922" s="24" t="s">
        <v>1334</v>
      </c>
      <c r="U2922" s="55"/>
      <c r="V2922" s="25">
        <f>IFERROR(VLOOKUP(BCP_Soles[[#This Row],[destinatario]],CHOOSE({1,2},Clientes_Proveedores[Razon Social],Clientes_Proveedores[Ruc / Dni]),2,0),"")</f>
        <v>20100055237</v>
      </c>
      <c r="W2922" s="25"/>
      <c r="X2922" s="25"/>
      <c r="Y2922" s="25"/>
      <c r="Z2922" s="77" t="s">
        <v>3666</v>
      </c>
      <c r="AA2922" s="3" t="str">
        <f>IF(BCP_Soles[[#This Row],[fecha]]&gt;0,TEXT(BCP_Soles[[#This Row],[fecha]],"mmmm"),0)</f>
        <v>Julio</v>
      </c>
    </row>
    <row r="2923" spans="1:27" x14ac:dyDescent="0.3">
      <c r="A2923" s="2">
        <f>IF(BCP_Soles[[#This Row],[tipo_registro]]="R",COUNTIFS($C$1:$C2922,"R")+1,A2922)</f>
        <v>2059</v>
      </c>
      <c r="B2923" s="19" t="str">
        <f t="shared" si="236"/>
        <v>B-BCP - Soles</v>
      </c>
      <c r="C2923" s="3" t="s">
        <v>1352</v>
      </c>
      <c r="D2923" s="14">
        <v>45863</v>
      </c>
      <c r="E2923" s="5" t="s">
        <v>3833</v>
      </c>
      <c r="F2923" s="5"/>
      <c r="G2923" s="6" t="s">
        <v>196</v>
      </c>
      <c r="H2923" s="6" t="s">
        <v>68</v>
      </c>
      <c r="I2923" s="6" t="s">
        <v>2226</v>
      </c>
      <c r="J2923" s="6">
        <v>6647</v>
      </c>
      <c r="K2923" s="7" t="s">
        <v>4010</v>
      </c>
      <c r="L2923" s="8">
        <v>1012882</v>
      </c>
      <c r="M2923" s="8" t="str">
        <f t="shared" si="237"/>
        <v>PEN</v>
      </c>
      <c r="N2923" s="13">
        <v>99</v>
      </c>
      <c r="O2923" s="13"/>
      <c r="P2923" s="3">
        <f t="shared" si="238"/>
        <v>0</v>
      </c>
      <c r="Q2923" s="3">
        <f t="shared" si="239"/>
        <v>0</v>
      </c>
      <c r="R2923" s="3">
        <f t="shared" si="235"/>
        <v>57550.5</v>
      </c>
      <c r="S2923" s="24" t="s">
        <v>1334</v>
      </c>
      <c r="T2923" s="24" t="s">
        <v>1334</v>
      </c>
      <c r="U2923" s="55"/>
      <c r="V2923" s="25">
        <f>IFERROR(VLOOKUP(BCP_Soles[[#This Row],[destinatario]],CHOOSE({1,2},Clientes_Proveedores[Razon Social],Clientes_Proveedores[Ruc / Dni]),2,0),"")</f>
        <v>20100055237</v>
      </c>
      <c r="W2923" s="25"/>
      <c r="X2923" s="25"/>
      <c r="Y2923" s="25"/>
      <c r="Z2923" s="77" t="s">
        <v>3666</v>
      </c>
      <c r="AA2923" s="3" t="str">
        <f>IF(BCP_Soles[[#This Row],[fecha]]&gt;0,TEXT(BCP_Soles[[#This Row],[fecha]],"mmmm"),0)</f>
        <v>Julio</v>
      </c>
    </row>
    <row r="2924" spans="1:27" x14ac:dyDescent="0.3">
      <c r="A2924" s="2">
        <f>IF(BCP_Soles[[#This Row],[tipo_registro]]="R",COUNTIFS($C$1:$C2923,"R")+1,A2923)</f>
        <v>2059</v>
      </c>
      <c r="B2924" s="19" t="str">
        <f t="shared" si="236"/>
        <v>B-BCP - Soles</v>
      </c>
      <c r="C2924" s="3" t="s">
        <v>1352</v>
      </c>
      <c r="D2924" s="14">
        <v>45863</v>
      </c>
      <c r="E2924" s="5" t="s">
        <v>3833</v>
      </c>
      <c r="F2924" s="5"/>
      <c r="G2924" s="6" t="s">
        <v>196</v>
      </c>
      <c r="H2924" s="6" t="s">
        <v>68</v>
      </c>
      <c r="I2924" s="6" t="s">
        <v>2226</v>
      </c>
      <c r="J2924" s="6">
        <v>6646</v>
      </c>
      <c r="K2924" s="7" t="s">
        <v>4010</v>
      </c>
      <c r="L2924" s="8">
        <v>1012882</v>
      </c>
      <c r="M2924" s="8" t="str">
        <f t="shared" si="237"/>
        <v>PEN</v>
      </c>
      <c r="N2924" s="13">
        <v>2</v>
      </c>
      <c r="O2924" s="13"/>
      <c r="P2924" s="3">
        <f t="shared" si="238"/>
        <v>0</v>
      </c>
      <c r="Q2924" s="3">
        <f t="shared" si="239"/>
        <v>0</v>
      </c>
      <c r="R2924" s="3">
        <f t="shared" si="235"/>
        <v>57550.5</v>
      </c>
      <c r="S2924" s="24" t="s">
        <v>1334</v>
      </c>
      <c r="T2924" s="24" t="s">
        <v>1334</v>
      </c>
      <c r="U2924" s="55"/>
      <c r="V2924" s="25">
        <f>IFERROR(VLOOKUP(BCP_Soles[[#This Row],[destinatario]],CHOOSE({1,2},Clientes_Proveedores[Razon Social],Clientes_Proveedores[Ruc / Dni]),2,0),"")</f>
        <v>20100055237</v>
      </c>
      <c r="W2924" s="25"/>
      <c r="X2924" s="25"/>
      <c r="Y2924" s="25"/>
      <c r="Z2924" s="77" t="s">
        <v>3666</v>
      </c>
      <c r="AA2924" s="3" t="str">
        <f>IF(BCP_Soles[[#This Row],[fecha]]&gt;0,TEXT(BCP_Soles[[#This Row],[fecha]],"mmmm"),0)</f>
        <v>Julio</v>
      </c>
    </row>
    <row r="2925" spans="1:27" x14ac:dyDescent="0.3">
      <c r="A2925" s="2">
        <f>IF(BCP_Soles[[#This Row],[tipo_registro]]="R",COUNTIFS($C$1:$C2924,"R")+1,A2924)</f>
        <v>2059</v>
      </c>
      <c r="B2925" s="19" t="str">
        <f t="shared" si="236"/>
        <v>B-BCP - Soles</v>
      </c>
      <c r="C2925" s="3" t="s">
        <v>1352</v>
      </c>
      <c r="D2925" s="14">
        <v>45863</v>
      </c>
      <c r="E2925" s="5" t="s">
        <v>3833</v>
      </c>
      <c r="F2925" s="5"/>
      <c r="G2925" s="6" t="s">
        <v>196</v>
      </c>
      <c r="H2925" s="6" t="s">
        <v>68</v>
      </c>
      <c r="I2925" s="6" t="s">
        <v>2226</v>
      </c>
      <c r="J2925" s="6">
        <v>6648</v>
      </c>
      <c r="K2925" s="7" t="s">
        <v>4010</v>
      </c>
      <c r="L2925" s="8">
        <v>1012882</v>
      </c>
      <c r="M2925" s="8" t="str">
        <f t="shared" si="237"/>
        <v>PEN</v>
      </c>
      <c r="N2925" s="13">
        <v>170</v>
      </c>
      <c r="O2925" s="13"/>
      <c r="P2925" s="3">
        <f t="shared" si="238"/>
        <v>0</v>
      </c>
      <c r="Q2925" s="3">
        <f t="shared" si="239"/>
        <v>0</v>
      </c>
      <c r="R2925" s="3">
        <f t="shared" si="235"/>
        <v>57550.5</v>
      </c>
      <c r="S2925" s="24" t="s">
        <v>1334</v>
      </c>
      <c r="T2925" s="24" t="s">
        <v>1334</v>
      </c>
      <c r="U2925" s="55"/>
      <c r="V2925" s="25">
        <f>IFERROR(VLOOKUP(BCP_Soles[[#This Row],[destinatario]],CHOOSE({1,2},Clientes_Proveedores[Razon Social],Clientes_Proveedores[Ruc / Dni]),2,0),"")</f>
        <v>20100055237</v>
      </c>
      <c r="W2925" s="25"/>
      <c r="X2925" s="25"/>
      <c r="Y2925" s="25"/>
      <c r="Z2925" s="77" t="s">
        <v>3666</v>
      </c>
      <c r="AA2925" s="3" t="str">
        <f>IF(BCP_Soles[[#This Row],[fecha]]&gt;0,TEXT(BCP_Soles[[#This Row],[fecha]],"mmmm"),0)</f>
        <v>Julio</v>
      </c>
    </row>
    <row r="2926" spans="1:27" x14ac:dyDescent="0.3">
      <c r="A2926" s="2">
        <f>IF(BCP_Soles[[#This Row],[tipo_registro]]="R",COUNTIFS($C$1:$C2925,"R")+1,A2925)</f>
        <v>2059</v>
      </c>
      <c r="B2926" s="19" t="str">
        <f t="shared" si="236"/>
        <v>B-BCP - Soles</v>
      </c>
      <c r="C2926" s="3" t="s">
        <v>1352</v>
      </c>
      <c r="D2926" s="14">
        <v>45863</v>
      </c>
      <c r="E2926" s="5" t="s">
        <v>3833</v>
      </c>
      <c r="F2926" s="5"/>
      <c r="G2926" s="6" t="s">
        <v>196</v>
      </c>
      <c r="H2926" s="6" t="s">
        <v>68</v>
      </c>
      <c r="I2926" s="6" t="s">
        <v>2226</v>
      </c>
      <c r="J2926" s="6">
        <v>6643</v>
      </c>
      <c r="K2926" s="7" t="s">
        <v>4010</v>
      </c>
      <c r="L2926" s="8">
        <v>1012882</v>
      </c>
      <c r="M2926" s="8" t="str">
        <f t="shared" si="237"/>
        <v>PEN</v>
      </c>
      <c r="N2926" s="13">
        <v>33</v>
      </c>
      <c r="O2926" s="13"/>
      <c r="P2926" s="3">
        <f t="shared" si="238"/>
        <v>0</v>
      </c>
      <c r="Q2926" s="3">
        <f t="shared" si="239"/>
        <v>0</v>
      </c>
      <c r="R2926" s="3">
        <f t="shared" si="235"/>
        <v>57550.5</v>
      </c>
      <c r="S2926" s="24" t="s">
        <v>1334</v>
      </c>
      <c r="T2926" s="24" t="s">
        <v>1334</v>
      </c>
      <c r="U2926" s="55"/>
      <c r="V2926" s="25">
        <f>IFERROR(VLOOKUP(BCP_Soles[[#This Row],[destinatario]],CHOOSE({1,2},Clientes_Proveedores[Razon Social],Clientes_Proveedores[Ruc / Dni]),2,0),"")</f>
        <v>20100055237</v>
      </c>
      <c r="W2926" s="25"/>
      <c r="X2926" s="25"/>
      <c r="Y2926" s="25"/>
      <c r="Z2926" s="77" t="s">
        <v>3666</v>
      </c>
      <c r="AA2926" s="3" t="str">
        <f>IF(BCP_Soles[[#This Row],[fecha]]&gt;0,TEXT(BCP_Soles[[#This Row],[fecha]],"mmmm"),0)</f>
        <v>Julio</v>
      </c>
    </row>
    <row r="2927" spans="1:27" x14ac:dyDescent="0.3">
      <c r="A2927" s="2">
        <f>IF(BCP_Soles[[#This Row],[tipo_registro]]="R",COUNTIFS($C$1:$C2926,"R")+1,A2926)</f>
        <v>2059</v>
      </c>
      <c r="B2927" s="19" t="str">
        <f t="shared" si="236"/>
        <v>B-BCP - Soles</v>
      </c>
      <c r="C2927" s="3" t="s">
        <v>1352</v>
      </c>
      <c r="D2927" s="14">
        <v>45863</v>
      </c>
      <c r="E2927" s="5" t="s">
        <v>3833</v>
      </c>
      <c r="F2927" s="5"/>
      <c r="G2927" s="6" t="s">
        <v>286</v>
      </c>
      <c r="H2927" s="6" t="s">
        <v>68</v>
      </c>
      <c r="I2927" s="6" t="s">
        <v>1386</v>
      </c>
      <c r="J2927" s="6">
        <v>1714</v>
      </c>
      <c r="K2927" s="7" t="s">
        <v>4010</v>
      </c>
      <c r="L2927" s="8">
        <v>1012882</v>
      </c>
      <c r="M2927" s="8" t="str">
        <f t="shared" si="237"/>
        <v>PEN</v>
      </c>
      <c r="N2927" s="13">
        <v>35</v>
      </c>
      <c r="O2927" s="13"/>
      <c r="P2927" s="3">
        <f t="shared" si="238"/>
        <v>0</v>
      </c>
      <c r="Q2927" s="3">
        <f t="shared" si="239"/>
        <v>0</v>
      </c>
      <c r="R2927" s="3">
        <f t="shared" si="235"/>
        <v>57550.5</v>
      </c>
      <c r="S2927" s="24" t="s">
        <v>1334</v>
      </c>
      <c r="T2927" s="24" t="s">
        <v>1334</v>
      </c>
      <c r="U2927" s="55"/>
      <c r="V2927" s="25">
        <f>IFERROR(VLOOKUP(BCP_Soles[[#This Row],[destinatario]],CHOOSE({1,2},Clientes_Proveedores[Razon Social],Clientes_Proveedores[Ruc / Dni]),2,0),"")</f>
        <v>20454186002</v>
      </c>
      <c r="W2927" s="25"/>
      <c r="X2927" s="25"/>
      <c r="Y2927" s="25"/>
      <c r="Z2927" s="77" t="s">
        <v>3666</v>
      </c>
      <c r="AA2927" s="3" t="str">
        <f>IF(BCP_Soles[[#This Row],[fecha]]&gt;0,TEXT(BCP_Soles[[#This Row],[fecha]],"mmmm"),0)</f>
        <v>Julio</v>
      </c>
    </row>
    <row r="2928" spans="1:27" x14ac:dyDescent="0.3">
      <c r="A2928" s="2">
        <f>IF(BCP_Soles[[#This Row],[tipo_registro]]="R",COUNTIFS($C$1:$C2927,"R")+1,A2927)</f>
        <v>2059</v>
      </c>
      <c r="B2928" s="19" t="str">
        <f t="shared" si="236"/>
        <v>B-BCP - Soles</v>
      </c>
      <c r="C2928" s="3" t="s">
        <v>1352</v>
      </c>
      <c r="D2928" s="14">
        <v>45863</v>
      </c>
      <c r="E2928" s="5" t="s">
        <v>3833</v>
      </c>
      <c r="F2928" s="5"/>
      <c r="G2928" s="6" t="s">
        <v>286</v>
      </c>
      <c r="H2928" s="6" t="s">
        <v>68</v>
      </c>
      <c r="I2928" s="6" t="s">
        <v>1386</v>
      </c>
      <c r="J2928" s="6">
        <v>1713</v>
      </c>
      <c r="K2928" s="7" t="s">
        <v>4010</v>
      </c>
      <c r="L2928" s="8">
        <v>1012882</v>
      </c>
      <c r="M2928" s="8" t="str">
        <f t="shared" si="237"/>
        <v>PEN</v>
      </c>
      <c r="N2928" s="13">
        <v>40</v>
      </c>
      <c r="O2928" s="13"/>
      <c r="P2928" s="3">
        <f t="shared" si="238"/>
        <v>0</v>
      </c>
      <c r="Q2928" s="3">
        <f t="shared" si="239"/>
        <v>0</v>
      </c>
      <c r="R2928" s="3">
        <f t="shared" si="235"/>
        <v>57550.5</v>
      </c>
      <c r="S2928" s="24" t="s">
        <v>1334</v>
      </c>
      <c r="T2928" s="24" t="s">
        <v>1334</v>
      </c>
      <c r="U2928" s="55"/>
      <c r="V2928" s="25">
        <f>IFERROR(VLOOKUP(BCP_Soles[[#This Row],[destinatario]],CHOOSE({1,2},Clientes_Proveedores[Razon Social],Clientes_Proveedores[Ruc / Dni]),2,0),"")</f>
        <v>20454186002</v>
      </c>
      <c r="W2928" s="25"/>
      <c r="X2928" s="25"/>
      <c r="Y2928" s="25"/>
      <c r="Z2928" s="77" t="s">
        <v>3666</v>
      </c>
      <c r="AA2928" s="3" t="str">
        <f>IF(BCP_Soles[[#This Row],[fecha]]&gt;0,TEXT(BCP_Soles[[#This Row],[fecha]],"mmmm"),0)</f>
        <v>Julio</v>
      </c>
    </row>
    <row r="2929" spans="1:27" x14ac:dyDescent="0.3">
      <c r="A2929" s="2">
        <f>IF(BCP_Soles[[#This Row],[tipo_registro]]="R",COUNTIFS($C$1:$C2928,"R")+1,A2928)</f>
        <v>2059</v>
      </c>
      <c r="B2929" s="19" t="str">
        <f t="shared" si="236"/>
        <v>B-BCP - Soles</v>
      </c>
      <c r="C2929" s="3" t="s">
        <v>1352</v>
      </c>
      <c r="D2929" s="14">
        <v>45863</v>
      </c>
      <c r="E2929" s="5" t="s">
        <v>3833</v>
      </c>
      <c r="F2929" s="5"/>
      <c r="G2929" s="6" t="s">
        <v>286</v>
      </c>
      <c r="H2929" s="6" t="s">
        <v>68</v>
      </c>
      <c r="I2929" s="6" t="s">
        <v>1386</v>
      </c>
      <c r="J2929" s="6">
        <v>1712</v>
      </c>
      <c r="K2929" s="7" t="s">
        <v>4010</v>
      </c>
      <c r="L2929" s="8">
        <v>1012882</v>
      </c>
      <c r="M2929" s="8" t="str">
        <f t="shared" si="237"/>
        <v>PEN</v>
      </c>
      <c r="N2929" s="13">
        <v>31</v>
      </c>
      <c r="O2929" s="13"/>
      <c r="P2929" s="3">
        <f t="shared" si="238"/>
        <v>0</v>
      </c>
      <c r="Q2929" s="3">
        <f t="shared" si="239"/>
        <v>0</v>
      </c>
      <c r="R2929" s="3">
        <f t="shared" si="235"/>
        <v>57550.5</v>
      </c>
      <c r="S2929" s="24" t="s">
        <v>1334</v>
      </c>
      <c r="T2929" s="24" t="s">
        <v>1334</v>
      </c>
      <c r="U2929" s="55"/>
      <c r="V2929" s="25">
        <f>IFERROR(VLOOKUP(BCP_Soles[[#This Row],[destinatario]],CHOOSE({1,2},Clientes_Proveedores[Razon Social],Clientes_Proveedores[Ruc / Dni]),2,0),"")</f>
        <v>20454186002</v>
      </c>
      <c r="W2929" s="25"/>
      <c r="X2929" s="25"/>
      <c r="Y2929" s="25"/>
      <c r="Z2929" s="77" t="s">
        <v>3666</v>
      </c>
      <c r="AA2929" s="3" t="str">
        <f>IF(BCP_Soles[[#This Row],[fecha]]&gt;0,TEXT(BCP_Soles[[#This Row],[fecha]],"mmmm"),0)</f>
        <v>Julio</v>
      </c>
    </row>
    <row r="2930" spans="1:27" x14ac:dyDescent="0.3">
      <c r="A2930" s="2">
        <f>IF(BCP_Soles[[#This Row],[tipo_registro]]="R",COUNTIFS($C$1:$C2929,"R")+1,A2929)</f>
        <v>2059</v>
      </c>
      <c r="B2930" s="19" t="str">
        <f t="shared" si="236"/>
        <v>B-BCP - Soles</v>
      </c>
      <c r="C2930" s="3" t="s">
        <v>1352</v>
      </c>
      <c r="D2930" s="14">
        <v>45863</v>
      </c>
      <c r="E2930" s="5" t="s">
        <v>3833</v>
      </c>
      <c r="F2930" s="5"/>
      <c r="G2930" s="6" t="s">
        <v>286</v>
      </c>
      <c r="H2930" s="6" t="s">
        <v>68</v>
      </c>
      <c r="I2930" s="6" t="s">
        <v>1386</v>
      </c>
      <c r="J2930" s="6">
        <v>1711</v>
      </c>
      <c r="K2930" s="7" t="s">
        <v>4010</v>
      </c>
      <c r="L2930" s="8">
        <v>1012882</v>
      </c>
      <c r="M2930" s="8" t="str">
        <f t="shared" si="237"/>
        <v>PEN</v>
      </c>
      <c r="N2930" s="13">
        <v>3</v>
      </c>
      <c r="O2930" s="13"/>
      <c r="P2930" s="3">
        <f t="shared" si="238"/>
        <v>0</v>
      </c>
      <c r="Q2930" s="3">
        <f t="shared" si="239"/>
        <v>0</v>
      </c>
      <c r="R2930" s="3">
        <f t="shared" si="235"/>
        <v>57550.5</v>
      </c>
      <c r="S2930" s="24" t="s">
        <v>1334</v>
      </c>
      <c r="T2930" s="24" t="s">
        <v>1334</v>
      </c>
      <c r="U2930" s="55"/>
      <c r="V2930" s="25">
        <f>IFERROR(VLOOKUP(BCP_Soles[[#This Row],[destinatario]],CHOOSE({1,2},Clientes_Proveedores[Razon Social],Clientes_Proveedores[Ruc / Dni]),2,0),"")</f>
        <v>20454186002</v>
      </c>
      <c r="W2930" s="25"/>
      <c r="X2930" s="25"/>
      <c r="Y2930" s="25"/>
      <c r="Z2930" s="77" t="s">
        <v>3666</v>
      </c>
      <c r="AA2930" s="3" t="str">
        <f>IF(BCP_Soles[[#This Row],[fecha]]&gt;0,TEXT(BCP_Soles[[#This Row],[fecha]],"mmmm"),0)</f>
        <v>Julio</v>
      </c>
    </row>
    <row r="2931" spans="1:27" ht="24" x14ac:dyDescent="0.3">
      <c r="A2931" s="2">
        <f>IF(BCP_Soles[[#This Row],[tipo_registro]]="R",COUNTIFS($C$1:$C2930,"R")+1,A2930)</f>
        <v>2059</v>
      </c>
      <c r="B2931" s="19" t="str">
        <f t="shared" si="236"/>
        <v>B-BCP - Soles</v>
      </c>
      <c r="C2931" s="3" t="s">
        <v>1352</v>
      </c>
      <c r="D2931" s="14">
        <v>45863</v>
      </c>
      <c r="E2931" s="5" t="s">
        <v>3833</v>
      </c>
      <c r="F2931" s="5"/>
      <c r="G2931" s="6" t="s">
        <v>271</v>
      </c>
      <c r="H2931" s="6" t="s">
        <v>68</v>
      </c>
      <c r="I2931" s="6" t="s">
        <v>1375</v>
      </c>
      <c r="J2931" s="6">
        <v>6951</v>
      </c>
      <c r="K2931" s="7" t="s">
        <v>4010</v>
      </c>
      <c r="L2931" s="8">
        <v>1012882</v>
      </c>
      <c r="M2931" s="8" t="str">
        <f t="shared" si="237"/>
        <v>PEN</v>
      </c>
      <c r="N2931" s="13">
        <v>397</v>
      </c>
      <c r="O2931" s="13"/>
      <c r="P2931" s="3">
        <f t="shared" si="238"/>
        <v>0</v>
      </c>
      <c r="Q2931" s="3">
        <f t="shared" si="239"/>
        <v>0</v>
      </c>
      <c r="R2931" s="3">
        <f t="shared" si="235"/>
        <v>57550.5</v>
      </c>
      <c r="S2931" s="24" t="s">
        <v>1334</v>
      </c>
      <c r="T2931" s="24" t="s">
        <v>1334</v>
      </c>
      <c r="U2931" s="55"/>
      <c r="V2931" s="25">
        <f>IFERROR(VLOOKUP(BCP_Soles[[#This Row],[destinatario]],CHOOSE({1,2},Clientes_Proveedores[Razon Social],Clientes_Proveedores[Ruc / Dni]),2,0),"")</f>
        <v>20419158462</v>
      </c>
      <c r="W2931" s="25"/>
      <c r="X2931" s="25"/>
      <c r="Y2931" s="25"/>
      <c r="Z2931" s="77" t="s">
        <v>3666</v>
      </c>
      <c r="AA2931" s="3" t="str">
        <f>IF(BCP_Soles[[#This Row],[fecha]]&gt;0,TEXT(BCP_Soles[[#This Row],[fecha]],"mmmm"),0)</f>
        <v>Julio</v>
      </c>
    </row>
    <row r="2932" spans="1:27" ht="24" x14ac:dyDescent="0.3">
      <c r="A2932" s="2">
        <f>IF(BCP_Soles[[#This Row],[tipo_registro]]="R",COUNTIFS($C$1:$C2931,"R")+1,A2931)</f>
        <v>2059</v>
      </c>
      <c r="B2932" s="19" t="str">
        <f t="shared" si="236"/>
        <v>B-BCP - Soles</v>
      </c>
      <c r="C2932" s="3" t="s">
        <v>1352</v>
      </c>
      <c r="D2932" s="14">
        <v>45863</v>
      </c>
      <c r="E2932" s="5" t="s">
        <v>3833</v>
      </c>
      <c r="F2932" s="5"/>
      <c r="G2932" s="6" t="s">
        <v>271</v>
      </c>
      <c r="H2932" s="6" t="s">
        <v>68</v>
      </c>
      <c r="I2932" s="6" t="s">
        <v>1375</v>
      </c>
      <c r="J2932" s="6">
        <v>6950</v>
      </c>
      <c r="K2932" s="7" t="s">
        <v>4010</v>
      </c>
      <c r="L2932" s="8">
        <v>1012882</v>
      </c>
      <c r="M2932" s="8" t="str">
        <f t="shared" si="237"/>
        <v>PEN</v>
      </c>
      <c r="N2932" s="13">
        <v>123</v>
      </c>
      <c r="O2932" s="13"/>
      <c r="P2932" s="3">
        <f t="shared" si="238"/>
        <v>0</v>
      </c>
      <c r="Q2932" s="3">
        <f t="shared" si="239"/>
        <v>0</v>
      </c>
      <c r="R2932" s="3">
        <f t="shared" si="235"/>
        <v>57550.5</v>
      </c>
      <c r="S2932" s="24" t="s">
        <v>1334</v>
      </c>
      <c r="T2932" s="24" t="s">
        <v>1334</v>
      </c>
      <c r="U2932" s="55"/>
      <c r="V2932" s="25">
        <f>IFERROR(VLOOKUP(BCP_Soles[[#This Row],[destinatario]],CHOOSE({1,2},Clientes_Proveedores[Razon Social],Clientes_Proveedores[Ruc / Dni]),2,0),"")</f>
        <v>20419158462</v>
      </c>
      <c r="W2932" s="25"/>
      <c r="X2932" s="25"/>
      <c r="Y2932" s="25"/>
      <c r="Z2932" s="77" t="s">
        <v>3666</v>
      </c>
      <c r="AA2932" s="3" t="str">
        <f>IF(BCP_Soles[[#This Row],[fecha]]&gt;0,TEXT(BCP_Soles[[#This Row],[fecha]],"mmmm"),0)</f>
        <v>Julio</v>
      </c>
    </row>
    <row r="2933" spans="1:27" x14ac:dyDescent="0.3">
      <c r="A2933" s="2">
        <f>IF(BCP_Soles[[#This Row],[tipo_registro]]="R",COUNTIFS($C$1:$C2932,"R")+1,A2932)</f>
        <v>2059</v>
      </c>
      <c r="B2933" s="19" t="str">
        <f t="shared" si="236"/>
        <v>B-BCP - Soles</v>
      </c>
      <c r="C2933" s="3" t="s">
        <v>1352</v>
      </c>
      <c r="D2933" s="14">
        <v>45863</v>
      </c>
      <c r="E2933" s="5" t="s">
        <v>3833</v>
      </c>
      <c r="F2933" s="5"/>
      <c r="G2933" s="6" t="s">
        <v>286</v>
      </c>
      <c r="H2933" s="6" t="s">
        <v>68</v>
      </c>
      <c r="I2933" s="6" t="s">
        <v>1386</v>
      </c>
      <c r="J2933" s="6">
        <v>1715</v>
      </c>
      <c r="K2933" s="7" t="s">
        <v>4010</v>
      </c>
      <c r="L2933" s="8">
        <v>1012882</v>
      </c>
      <c r="M2933" s="8" t="str">
        <f t="shared" si="237"/>
        <v>PEN</v>
      </c>
      <c r="N2933" s="13">
        <v>26</v>
      </c>
      <c r="O2933" s="13"/>
      <c r="P2933" s="3">
        <f t="shared" si="238"/>
        <v>0</v>
      </c>
      <c r="Q2933" s="3">
        <f t="shared" si="239"/>
        <v>0</v>
      </c>
      <c r="R2933" s="3">
        <f t="shared" si="235"/>
        <v>57550.5</v>
      </c>
      <c r="S2933" s="24" t="s">
        <v>1334</v>
      </c>
      <c r="T2933" s="24" t="s">
        <v>1334</v>
      </c>
      <c r="U2933" s="55"/>
      <c r="V2933" s="25">
        <f>IFERROR(VLOOKUP(BCP_Soles[[#This Row],[destinatario]],CHOOSE({1,2},Clientes_Proveedores[Razon Social],Clientes_Proveedores[Ruc / Dni]),2,0),"")</f>
        <v>20454186002</v>
      </c>
      <c r="W2933" s="25"/>
      <c r="X2933" s="25"/>
      <c r="Y2933" s="25"/>
      <c r="Z2933" s="77" t="s">
        <v>3666</v>
      </c>
      <c r="AA2933" s="3" t="str">
        <f>IF(BCP_Soles[[#This Row],[fecha]]&gt;0,TEXT(BCP_Soles[[#This Row],[fecha]],"mmmm"),0)</f>
        <v>Julio</v>
      </c>
    </row>
    <row r="2934" spans="1:27" ht="24" x14ac:dyDescent="0.3">
      <c r="A2934" s="2">
        <f>IF(BCP_Soles[[#This Row],[tipo_registro]]="R",COUNTIFS($C$1:$C2933,"R")+1,A2933)</f>
        <v>2060</v>
      </c>
      <c r="B2934" s="19" t="str">
        <f t="shared" si="236"/>
        <v>B-BCP - Soles</v>
      </c>
      <c r="C2934" s="3" t="s">
        <v>1330</v>
      </c>
      <c r="D2934" s="14">
        <v>45863</v>
      </c>
      <c r="E2934" s="5" t="s">
        <v>1335</v>
      </c>
      <c r="F2934" s="5" t="s">
        <v>1336</v>
      </c>
      <c r="G2934" s="6" t="s">
        <v>1060</v>
      </c>
      <c r="H2934" s="6" t="s">
        <v>68</v>
      </c>
      <c r="I2934" s="6" t="s">
        <v>1397</v>
      </c>
      <c r="J2934" s="6">
        <v>35203372</v>
      </c>
      <c r="K2934" s="7" t="s">
        <v>1400</v>
      </c>
      <c r="L2934" s="8">
        <v>583</v>
      </c>
      <c r="M2934" s="8" t="str">
        <f t="shared" si="237"/>
        <v>PEN</v>
      </c>
      <c r="N2934" s="13"/>
      <c r="O2934" s="13">
        <v>10</v>
      </c>
      <c r="P2934" s="3">
        <f t="shared" si="238"/>
        <v>0</v>
      </c>
      <c r="Q2934" s="3">
        <f t="shared" si="239"/>
        <v>10</v>
      </c>
      <c r="R2934" s="3">
        <f t="shared" si="235"/>
        <v>57540.5</v>
      </c>
      <c r="S2934" s="24" t="s">
        <v>1334</v>
      </c>
      <c r="T2934" s="24" t="s">
        <v>1334</v>
      </c>
      <c r="U2934" s="55"/>
      <c r="V2934" s="25">
        <f>IFERROR(VLOOKUP(BCP_Soles[[#This Row],[destinatario]],CHOOSE({1,2},Clientes_Proveedores[Razon Social],Clientes_Proveedores[Ruc / Dni]),2,0),"")</f>
        <v>20100047218</v>
      </c>
      <c r="W2934" s="25"/>
      <c r="X2934" s="25"/>
      <c r="Y2934" s="25"/>
      <c r="Z2934" s="77"/>
      <c r="AA2934" s="3" t="str">
        <f>IF(BCP_Soles[[#This Row],[fecha]]&gt;0,TEXT(BCP_Soles[[#This Row],[fecha]],"mmmm"),0)</f>
        <v>Julio</v>
      </c>
    </row>
    <row r="2935" spans="1:27" x14ac:dyDescent="0.3">
      <c r="A2935" s="2">
        <f>IF(BCP_Soles[[#This Row],[tipo_registro]]="R",COUNTIFS($C$1:$C2934,"R")+1,A2934)</f>
        <v>2061</v>
      </c>
      <c r="B2935" s="19" t="str">
        <f t="shared" si="236"/>
        <v>B-BCP - Soles</v>
      </c>
      <c r="C2935" s="3" t="s">
        <v>1330</v>
      </c>
      <c r="D2935" s="14">
        <v>45863</v>
      </c>
      <c r="E2935" s="5" t="s">
        <v>1335</v>
      </c>
      <c r="F2935" s="5" t="s">
        <v>1336</v>
      </c>
      <c r="G2935" s="6" t="s">
        <v>1009</v>
      </c>
      <c r="H2935" s="6" t="s">
        <v>64</v>
      </c>
      <c r="I2935" s="6" t="s">
        <v>3673</v>
      </c>
      <c r="J2935" s="6">
        <v>2061</v>
      </c>
      <c r="K2935" s="7" t="s">
        <v>3160</v>
      </c>
      <c r="L2935" s="8"/>
      <c r="M2935" s="8" t="str">
        <f t="shared" si="237"/>
        <v>PEN</v>
      </c>
      <c r="N2935" s="13"/>
      <c r="O2935" s="13">
        <v>2.5</v>
      </c>
      <c r="P2935" s="3">
        <f t="shared" si="238"/>
        <v>0</v>
      </c>
      <c r="Q2935" s="3">
        <f t="shared" si="239"/>
        <v>2.5</v>
      </c>
      <c r="R2935" s="3">
        <f t="shared" si="235"/>
        <v>57538</v>
      </c>
      <c r="S2935" s="24" t="s">
        <v>1334</v>
      </c>
      <c r="T2935" s="24" t="s">
        <v>1334</v>
      </c>
      <c r="U2935" s="55"/>
      <c r="V2935" s="25">
        <f>IFERROR(VLOOKUP(BCP_Soles[[#This Row],[destinatario]],CHOOSE({1,2},Clientes_Proveedores[Razon Social],Clientes_Proveedores[Ruc / Dni]),2,0),"")</f>
        <v>11111111</v>
      </c>
      <c r="W2935" s="25"/>
      <c r="X2935" s="25"/>
      <c r="Y2935" s="25"/>
      <c r="Z2935" s="77"/>
      <c r="AA2935" s="3" t="str">
        <f>IF(BCP_Soles[[#This Row],[fecha]]&gt;0,TEXT(BCP_Soles[[#This Row],[fecha]],"mmmm"),0)</f>
        <v>Julio</v>
      </c>
    </row>
    <row r="2936" spans="1:27" ht="60" x14ac:dyDescent="0.3">
      <c r="A2936" s="2">
        <f>IF(BCP_Soles[[#This Row],[tipo_registro]]="R",COUNTIFS($C$1:$C2935,"R")+1,A2935)</f>
        <v>2062</v>
      </c>
      <c r="B2936" s="19" t="str">
        <f t="shared" si="236"/>
        <v>B-BCP - Soles</v>
      </c>
      <c r="C2936" s="3" t="s">
        <v>1330</v>
      </c>
      <c r="D2936" s="14">
        <v>45865</v>
      </c>
      <c r="E2936" s="5" t="s">
        <v>295</v>
      </c>
      <c r="F2936" s="5" t="s">
        <v>1303</v>
      </c>
      <c r="G2936" s="6" t="s">
        <v>425</v>
      </c>
      <c r="H2936" s="6" t="s">
        <v>68</v>
      </c>
      <c r="I2936" s="6" t="s">
        <v>3302</v>
      </c>
      <c r="J2936" s="6">
        <v>91</v>
      </c>
      <c r="K2936" s="7" t="s">
        <v>1428</v>
      </c>
      <c r="L2936" s="8">
        <v>2120783</v>
      </c>
      <c r="M2936" s="8" t="str">
        <f t="shared" si="237"/>
        <v>PEN</v>
      </c>
      <c r="N2936" s="13"/>
      <c r="O2936" s="13">
        <v>892.02</v>
      </c>
      <c r="P2936" s="3">
        <f t="shared" si="238"/>
        <v>892.02</v>
      </c>
      <c r="Q2936" s="3">
        <f t="shared" si="239"/>
        <v>0</v>
      </c>
      <c r="R2936" s="3">
        <f t="shared" si="235"/>
        <v>58430.02</v>
      </c>
      <c r="S2936" s="24" t="s">
        <v>1334</v>
      </c>
      <c r="T2936" s="24" t="s">
        <v>1334</v>
      </c>
      <c r="U2936" s="55"/>
      <c r="V2936" s="25">
        <f>IFERROR(VLOOKUP(BCP_Soles[[#This Row],[destinatario]],CHOOSE({1,2},Clientes_Proveedores[Razon Social],Clientes_Proveedores[Ruc / Dni]),2,0),"")</f>
        <v>20558226979</v>
      </c>
      <c r="W2936" s="25"/>
      <c r="X2936" s="25"/>
      <c r="Y2936" s="25"/>
      <c r="Z2936" s="77"/>
      <c r="AA2936" s="3" t="str">
        <f>IF(BCP_Soles[[#This Row],[fecha]]&gt;0,TEXT(BCP_Soles[[#This Row],[fecha]],"mmmm"),0)</f>
        <v>Julio</v>
      </c>
    </row>
    <row r="2937" spans="1:27" ht="60" x14ac:dyDescent="0.3">
      <c r="A2937" s="2">
        <f>IF(BCP_Soles[[#This Row],[tipo_registro]]="R",COUNTIFS($C$1:$C2936,"R")+1,A2936)</f>
        <v>2063</v>
      </c>
      <c r="B2937" s="19" t="str">
        <f t="shared" si="236"/>
        <v>B-BCP - Soles</v>
      </c>
      <c r="C2937" s="3" t="s">
        <v>1330</v>
      </c>
      <c r="D2937" s="14">
        <v>45865</v>
      </c>
      <c r="E2937" s="5" t="s">
        <v>295</v>
      </c>
      <c r="F2937" s="5" t="s">
        <v>1303</v>
      </c>
      <c r="G2937" s="6" t="s">
        <v>425</v>
      </c>
      <c r="H2937" s="6" t="s">
        <v>68</v>
      </c>
      <c r="I2937" s="6" t="s">
        <v>3302</v>
      </c>
      <c r="J2937" s="6">
        <v>90</v>
      </c>
      <c r="K2937" s="7" t="s">
        <v>1428</v>
      </c>
      <c r="L2937" s="8">
        <v>2122748</v>
      </c>
      <c r="M2937" s="8" t="str">
        <f t="shared" si="237"/>
        <v>PEN</v>
      </c>
      <c r="N2937" s="13"/>
      <c r="O2937" s="13">
        <v>505.72</v>
      </c>
      <c r="P2937" s="3">
        <f t="shared" si="238"/>
        <v>505.72</v>
      </c>
      <c r="Q2937" s="3">
        <f t="shared" si="239"/>
        <v>0</v>
      </c>
      <c r="R2937" s="3">
        <f t="shared" si="235"/>
        <v>58935.74</v>
      </c>
      <c r="S2937" s="24" t="s">
        <v>1334</v>
      </c>
      <c r="T2937" s="24" t="s">
        <v>1334</v>
      </c>
      <c r="U2937" s="55"/>
      <c r="V2937" s="25">
        <f>IFERROR(VLOOKUP(BCP_Soles[[#This Row],[destinatario]],CHOOSE({1,2},Clientes_Proveedores[Razon Social],Clientes_Proveedores[Ruc / Dni]),2,0),"")</f>
        <v>20558226979</v>
      </c>
      <c r="W2937" s="25"/>
      <c r="X2937" s="25"/>
      <c r="Y2937" s="25"/>
      <c r="Z2937" s="77"/>
      <c r="AA2937" s="3" t="str">
        <f>IF(BCP_Soles[[#This Row],[fecha]]&gt;0,TEXT(BCP_Soles[[#This Row],[fecha]],"mmmm"),0)</f>
        <v>Julio</v>
      </c>
    </row>
    <row r="2938" spans="1:27" ht="60" x14ac:dyDescent="0.3">
      <c r="A2938" s="2">
        <f>IF(BCP_Soles[[#This Row],[tipo_registro]]="R",COUNTIFS($C$1:$C2937,"R")+1,A2937)</f>
        <v>2064</v>
      </c>
      <c r="B2938" s="19" t="str">
        <f t="shared" si="236"/>
        <v>B-BCP - Soles</v>
      </c>
      <c r="C2938" s="3" t="s">
        <v>1330</v>
      </c>
      <c r="D2938" s="14">
        <v>45865</v>
      </c>
      <c r="E2938" s="5" t="s">
        <v>295</v>
      </c>
      <c r="F2938" s="5" t="s">
        <v>1303</v>
      </c>
      <c r="G2938" s="6" t="s">
        <v>425</v>
      </c>
      <c r="H2938" s="6" t="s">
        <v>68</v>
      </c>
      <c r="I2938" s="6" t="s">
        <v>3302</v>
      </c>
      <c r="J2938" s="6">
        <v>89</v>
      </c>
      <c r="K2938" s="7" t="s">
        <v>1428</v>
      </c>
      <c r="L2938" s="8">
        <v>2120289</v>
      </c>
      <c r="M2938" s="8" t="str">
        <f t="shared" si="237"/>
        <v>PEN</v>
      </c>
      <c r="N2938" s="13"/>
      <c r="O2938" s="13">
        <v>352.18</v>
      </c>
      <c r="P2938" s="3">
        <f t="shared" si="238"/>
        <v>352.18</v>
      </c>
      <c r="Q2938" s="3">
        <f t="shared" si="239"/>
        <v>0</v>
      </c>
      <c r="R2938" s="3">
        <f t="shared" si="235"/>
        <v>59287.92</v>
      </c>
      <c r="S2938" s="24" t="s">
        <v>1334</v>
      </c>
      <c r="T2938" s="24" t="s">
        <v>1334</v>
      </c>
      <c r="U2938" s="55"/>
      <c r="V2938" s="25">
        <f>IFERROR(VLOOKUP(BCP_Soles[[#This Row],[destinatario]],CHOOSE({1,2},Clientes_Proveedores[Razon Social],Clientes_Proveedores[Ruc / Dni]),2,0),"")</f>
        <v>20558226979</v>
      </c>
      <c r="W2938" s="25"/>
      <c r="X2938" s="25"/>
      <c r="Y2938" s="25"/>
      <c r="Z2938" s="77"/>
      <c r="AA2938" s="3" t="str">
        <f>IF(BCP_Soles[[#This Row],[fecha]]&gt;0,TEXT(BCP_Soles[[#This Row],[fecha]],"mmmm"),0)</f>
        <v>Julio</v>
      </c>
    </row>
    <row r="2939" spans="1:27" x14ac:dyDescent="0.3">
      <c r="A2939" s="2">
        <f>IF(BCP_Soles[[#This Row],[tipo_registro]]="R",COUNTIFS($C$1:$C2938,"R")+1,A2938)</f>
        <v>2065</v>
      </c>
      <c r="B2939" s="19" t="str">
        <f t="shared" si="236"/>
        <v>B-BCP - Soles</v>
      </c>
      <c r="C2939" s="3" t="s">
        <v>1330</v>
      </c>
      <c r="D2939" s="14">
        <v>45868</v>
      </c>
      <c r="E2939" s="5" t="s">
        <v>4011</v>
      </c>
      <c r="F2939" s="5" t="s">
        <v>1303</v>
      </c>
      <c r="G2939" s="6" t="s">
        <v>425</v>
      </c>
      <c r="H2939" s="6"/>
      <c r="I2939" s="6" t="s">
        <v>1376</v>
      </c>
      <c r="J2939" s="6">
        <v>736</v>
      </c>
      <c r="K2939" s="7" t="s">
        <v>4012</v>
      </c>
      <c r="L2939" s="8">
        <v>2247065</v>
      </c>
      <c r="M2939" s="8" t="str">
        <f t="shared" si="237"/>
        <v>PEN</v>
      </c>
      <c r="N2939" s="13"/>
      <c r="O2939" s="13">
        <v>63</v>
      </c>
      <c r="P2939" s="3">
        <f t="shared" si="238"/>
        <v>63</v>
      </c>
      <c r="Q2939" s="3">
        <f t="shared" si="239"/>
        <v>0</v>
      </c>
      <c r="R2939" s="3">
        <f t="shared" si="235"/>
        <v>59350.92</v>
      </c>
      <c r="S2939" s="24" t="s">
        <v>1334</v>
      </c>
      <c r="T2939" s="24" t="s">
        <v>1334</v>
      </c>
      <c r="U2939" s="55"/>
      <c r="V2939" s="25">
        <f>IFERROR(VLOOKUP(BCP_Soles[[#This Row],[destinatario]],CHOOSE({1,2},Clientes_Proveedores[Razon Social],Clientes_Proveedores[Ruc / Dni]),2,0),"")</f>
        <v>20558226979</v>
      </c>
      <c r="W2939" s="25"/>
      <c r="X2939" s="25"/>
      <c r="Y2939" s="25"/>
      <c r="Z2939" s="77"/>
      <c r="AA2939" s="3" t="str">
        <f>IF(BCP_Soles[[#This Row],[fecha]]&gt;0,TEXT(BCP_Soles[[#This Row],[fecha]],"mmmm"),0)</f>
        <v>Julio</v>
      </c>
    </row>
    <row r="2940" spans="1:27" ht="24" x14ac:dyDescent="0.3">
      <c r="A2940" s="2">
        <f>IF(BCP_Soles[[#This Row],[tipo_registro]]="R",COUNTIFS($C$1:$C2939,"R")+1,A2939)</f>
        <v>2066</v>
      </c>
      <c r="B2940" s="19" t="str">
        <f t="shared" si="236"/>
        <v>B-BCP - Soles</v>
      </c>
      <c r="C2940" s="3" t="s">
        <v>1330</v>
      </c>
      <c r="D2940" s="14">
        <v>45868</v>
      </c>
      <c r="E2940" s="5" t="s">
        <v>666</v>
      </c>
      <c r="F2940" s="5" t="s">
        <v>1303</v>
      </c>
      <c r="G2940" s="6" t="s">
        <v>425</v>
      </c>
      <c r="H2940" s="6" t="s">
        <v>68</v>
      </c>
      <c r="I2940" s="6" t="s">
        <v>1784</v>
      </c>
      <c r="J2940" s="6">
        <v>176</v>
      </c>
      <c r="K2940" s="7" t="s">
        <v>4013</v>
      </c>
      <c r="L2940" s="8">
        <v>5917656</v>
      </c>
      <c r="M2940" s="8" t="str">
        <f t="shared" si="237"/>
        <v>PEN</v>
      </c>
      <c r="N2940" s="13"/>
      <c r="O2940" s="13">
        <v>696.11</v>
      </c>
      <c r="P2940" s="3">
        <f t="shared" si="238"/>
        <v>696.11</v>
      </c>
      <c r="Q2940" s="3">
        <f t="shared" si="239"/>
        <v>0</v>
      </c>
      <c r="R2940" s="3">
        <f t="shared" si="235"/>
        <v>60047.03</v>
      </c>
      <c r="S2940" s="24" t="s">
        <v>1334</v>
      </c>
      <c r="T2940" s="24" t="s">
        <v>1334</v>
      </c>
      <c r="U2940" s="55"/>
      <c r="V2940" s="25">
        <f>IFERROR(VLOOKUP(BCP_Soles[[#This Row],[destinatario]],CHOOSE({1,2},Clientes_Proveedores[Razon Social],Clientes_Proveedores[Ruc / Dni]),2,0),"")</f>
        <v>20558226979</v>
      </c>
      <c r="W2940" s="25"/>
      <c r="X2940" s="25"/>
      <c r="Y2940" s="25"/>
      <c r="Z2940" s="77"/>
      <c r="AA2940" s="3" t="str">
        <f>IF(BCP_Soles[[#This Row],[fecha]]&gt;0,TEXT(BCP_Soles[[#This Row],[fecha]],"mmmm"),0)</f>
        <v>Julio</v>
      </c>
    </row>
    <row r="2941" spans="1:27" x14ac:dyDescent="0.3">
      <c r="A2941" s="2">
        <f>IF(BCP_Soles[[#This Row],[tipo_registro]]="R",COUNTIFS($C$1:$C2940,"R")+1,A2940)</f>
        <v>2067</v>
      </c>
      <c r="B2941" s="19" t="str">
        <f t="shared" si="236"/>
        <v>B-BCP - Soles</v>
      </c>
      <c r="C2941" s="3" t="s">
        <v>1330</v>
      </c>
      <c r="D2941" s="14">
        <v>45868</v>
      </c>
      <c r="E2941" s="5" t="s">
        <v>1338</v>
      </c>
      <c r="F2941" s="5" t="s">
        <v>1336</v>
      </c>
      <c r="G2941" s="6" t="s">
        <v>425</v>
      </c>
      <c r="H2941" s="6"/>
      <c r="I2941" s="6"/>
      <c r="J2941" s="6"/>
      <c r="K2941" s="7" t="s">
        <v>4014</v>
      </c>
      <c r="L2941" s="8">
        <v>1021268</v>
      </c>
      <c r="M2941" s="8" t="str">
        <f t="shared" si="237"/>
        <v>PEN</v>
      </c>
      <c r="N2941" s="13"/>
      <c r="O2941" s="13">
        <v>14800</v>
      </c>
      <c r="P2941" s="3">
        <f t="shared" si="238"/>
        <v>0</v>
      </c>
      <c r="Q2941" s="3">
        <f t="shared" si="239"/>
        <v>14800</v>
      </c>
      <c r="R2941" s="3">
        <f t="shared" si="235"/>
        <v>45247.03</v>
      </c>
      <c r="S2941" s="24" t="s">
        <v>1334</v>
      </c>
      <c r="T2941" s="24" t="s">
        <v>1334</v>
      </c>
      <c r="U2941" s="55"/>
      <c r="V2941" s="25">
        <f>IFERROR(VLOOKUP(BCP_Soles[[#This Row],[destinatario]],CHOOSE({1,2},Clientes_Proveedores[Razon Social],Clientes_Proveedores[Ruc / Dni]),2,0),"")</f>
        <v>20558226979</v>
      </c>
      <c r="W2941" s="25"/>
      <c r="X2941" s="25"/>
      <c r="Y2941" s="25"/>
      <c r="Z2941" s="77"/>
      <c r="AA2941" s="3" t="str">
        <f>IF(BCP_Soles[[#This Row],[fecha]]&gt;0,TEXT(BCP_Soles[[#This Row],[fecha]],"mmmm"),0)</f>
        <v>Julio</v>
      </c>
    </row>
    <row r="2942" spans="1:27" ht="36" x14ac:dyDescent="0.3">
      <c r="A2942" s="2">
        <f>IF(BCP_Soles[[#This Row],[tipo_registro]]="R",COUNTIFS($C$1:$C2941,"R")+1,A2941)</f>
        <v>2068</v>
      </c>
      <c r="B2942" s="19" t="str">
        <f t="shared" si="236"/>
        <v>B-BCP - Soles</v>
      </c>
      <c r="C2942" s="3" t="s">
        <v>1330</v>
      </c>
      <c r="D2942" s="14">
        <v>45868</v>
      </c>
      <c r="E2942" s="5" t="s">
        <v>1338</v>
      </c>
      <c r="F2942" s="5" t="s">
        <v>1336</v>
      </c>
      <c r="G2942" s="6" t="s">
        <v>714</v>
      </c>
      <c r="H2942" s="6" t="s">
        <v>68</v>
      </c>
      <c r="I2942" s="6" t="s">
        <v>1374</v>
      </c>
      <c r="J2942" s="6">
        <v>43333</v>
      </c>
      <c r="K2942" s="7" t="s">
        <v>4015</v>
      </c>
      <c r="L2942" s="8" t="s">
        <v>4016</v>
      </c>
      <c r="M2942" s="8" t="str">
        <f t="shared" si="237"/>
        <v>PEN</v>
      </c>
      <c r="N2942" s="13"/>
      <c r="O2942" s="13">
        <v>35</v>
      </c>
      <c r="P2942" s="3">
        <f t="shared" si="238"/>
        <v>0</v>
      </c>
      <c r="Q2942" s="3">
        <f t="shared" si="239"/>
        <v>35</v>
      </c>
      <c r="R2942" s="3">
        <f t="shared" si="235"/>
        <v>45212.03</v>
      </c>
      <c r="S2942" s="24" t="s">
        <v>1334</v>
      </c>
      <c r="T2942" s="24" t="s">
        <v>1334</v>
      </c>
      <c r="U2942" s="79" t="s">
        <v>4017</v>
      </c>
      <c r="V2942" s="25">
        <f>IFERROR(VLOOKUP(BCP_Soles[[#This Row],[destinatario]],CHOOSE({1,2},Clientes_Proveedores[Razon Social],Clientes_Proveedores[Ruc / Dni]),2,0),"")</f>
        <v>20514464881</v>
      </c>
      <c r="W2942" s="25"/>
      <c r="X2942" s="25"/>
      <c r="Y2942" s="25"/>
      <c r="Z2942" s="77"/>
      <c r="AA2942" s="3" t="str">
        <f>IF(BCP_Soles[[#This Row],[fecha]]&gt;0,TEXT(BCP_Soles[[#This Row],[fecha]],"mmmm"),0)</f>
        <v>Julio</v>
      </c>
    </row>
    <row r="2943" spans="1:27" ht="24" x14ac:dyDescent="0.3">
      <c r="A2943" s="2">
        <f>IF(BCP_Soles[[#This Row],[tipo_registro]]="R",COUNTIFS($C$1:$C2942,"R")+1,A2942)</f>
        <v>2069</v>
      </c>
      <c r="B2943" s="19" t="str">
        <f t="shared" si="236"/>
        <v>B-BCP - Soles</v>
      </c>
      <c r="C2943" s="3" t="s">
        <v>1330</v>
      </c>
      <c r="D2943" s="14">
        <v>45868</v>
      </c>
      <c r="E2943" s="5" t="s">
        <v>1338</v>
      </c>
      <c r="F2943" s="5" t="s">
        <v>1336</v>
      </c>
      <c r="G2943" s="6" t="s">
        <v>708</v>
      </c>
      <c r="H2943" s="6" t="s">
        <v>68</v>
      </c>
      <c r="I2943" s="6" t="s">
        <v>1655</v>
      </c>
      <c r="J2943" s="6">
        <v>305476</v>
      </c>
      <c r="K2943" s="7" t="s">
        <v>4018</v>
      </c>
      <c r="L2943" s="8">
        <v>247366</v>
      </c>
      <c r="M2943" s="8" t="str">
        <f t="shared" si="237"/>
        <v>PEN</v>
      </c>
      <c r="N2943" s="13"/>
      <c r="O2943" s="13">
        <v>35.36</v>
      </c>
      <c r="P2943" s="3">
        <f t="shared" si="238"/>
        <v>0</v>
      </c>
      <c r="Q2943" s="3">
        <f t="shared" si="239"/>
        <v>35.36</v>
      </c>
      <c r="R2943" s="3">
        <f t="shared" si="235"/>
        <v>45176.67</v>
      </c>
      <c r="S2943" s="24" t="s">
        <v>1334</v>
      </c>
      <c r="T2943" s="24" t="s">
        <v>1334</v>
      </c>
      <c r="U2943" s="79" t="s">
        <v>4019</v>
      </c>
      <c r="V2943" s="25">
        <f>IFERROR(VLOOKUP(BCP_Soles[[#This Row],[destinatario]],CHOOSE({1,2},Clientes_Proveedores[Razon Social],Clientes_Proveedores[Ruc / Dni]),2,0),"")</f>
        <v>20467534026</v>
      </c>
      <c r="W2943" s="25"/>
      <c r="X2943" s="25"/>
      <c r="Y2943" s="25"/>
      <c r="Z2943" s="77"/>
      <c r="AA2943" s="3" t="str">
        <f>IF(BCP_Soles[[#This Row],[fecha]]&gt;0,TEXT(BCP_Soles[[#This Row],[fecha]],"mmmm"),0)</f>
        <v>Julio</v>
      </c>
    </row>
    <row r="2944" spans="1:27" ht="24" x14ac:dyDescent="0.3">
      <c r="A2944" s="2">
        <f>IF(BCP_Soles[[#This Row],[tipo_registro]]="R",COUNTIFS($C$1:$C2943,"R")+1,A2943)</f>
        <v>2070</v>
      </c>
      <c r="B2944" s="19" t="str">
        <f t="shared" si="236"/>
        <v>B-BCP - Soles</v>
      </c>
      <c r="C2944" s="3" t="s">
        <v>1330</v>
      </c>
      <c r="D2944" s="14">
        <v>45868</v>
      </c>
      <c r="E2944" s="5" t="s">
        <v>1338</v>
      </c>
      <c r="F2944" s="5" t="s">
        <v>1336</v>
      </c>
      <c r="G2944" s="6" t="s">
        <v>708</v>
      </c>
      <c r="H2944" s="6" t="s">
        <v>68</v>
      </c>
      <c r="I2944" s="6" t="s">
        <v>1655</v>
      </c>
      <c r="J2944" s="6">
        <v>305475</v>
      </c>
      <c r="K2944" s="7" t="s">
        <v>4020</v>
      </c>
      <c r="L2944" s="8">
        <v>246907</v>
      </c>
      <c r="M2944" s="8" t="str">
        <f t="shared" si="237"/>
        <v>PEN</v>
      </c>
      <c r="N2944" s="13"/>
      <c r="O2944" s="13">
        <v>530.41</v>
      </c>
      <c r="P2944" s="3">
        <f t="shared" si="238"/>
        <v>0</v>
      </c>
      <c r="Q2944" s="3">
        <f t="shared" si="239"/>
        <v>530.41</v>
      </c>
      <c r="R2944" s="3">
        <f t="shared" si="235"/>
        <v>44646.259999999995</v>
      </c>
      <c r="S2944" s="24" t="s">
        <v>1334</v>
      </c>
      <c r="T2944" s="24" t="s">
        <v>1334</v>
      </c>
      <c r="U2944" s="79" t="s">
        <v>4021</v>
      </c>
      <c r="V2944" s="25">
        <f>IFERROR(VLOOKUP(BCP_Soles[[#This Row],[destinatario]],CHOOSE({1,2},Clientes_Proveedores[Razon Social],Clientes_Proveedores[Ruc / Dni]),2,0),"")</f>
        <v>20467534026</v>
      </c>
      <c r="W2944" s="25"/>
      <c r="X2944" s="25"/>
      <c r="Y2944" s="25"/>
      <c r="Z2944" s="77"/>
      <c r="AA2944" s="3" t="str">
        <f>IF(BCP_Soles[[#This Row],[fecha]]&gt;0,TEXT(BCP_Soles[[#This Row],[fecha]],"mmmm"),0)</f>
        <v>Julio</v>
      </c>
    </row>
    <row r="2945" spans="1:27" x14ac:dyDescent="0.3">
      <c r="A2945" s="2">
        <f>IF(BCP_Soles[[#This Row],[tipo_registro]]="R",COUNTIFS($C$1:$C2944,"R")+1,A2944)</f>
        <v>2071</v>
      </c>
      <c r="B2945" s="19" t="str">
        <f t="shared" si="236"/>
        <v>B-BCP - Soles</v>
      </c>
      <c r="C2945" s="3" t="s">
        <v>1330</v>
      </c>
      <c r="D2945" s="14">
        <v>45868</v>
      </c>
      <c r="E2945" s="5" t="s">
        <v>1338</v>
      </c>
      <c r="F2945" s="5" t="s">
        <v>1336</v>
      </c>
      <c r="G2945" s="6" t="s">
        <v>696</v>
      </c>
      <c r="H2945" s="6"/>
      <c r="I2945" s="6"/>
      <c r="J2945" s="6"/>
      <c r="K2945" s="7" t="s">
        <v>4022</v>
      </c>
      <c r="L2945" s="8">
        <v>5935656</v>
      </c>
      <c r="M2945" s="8" t="str">
        <f t="shared" si="237"/>
        <v>PEN</v>
      </c>
      <c r="N2945" s="13"/>
      <c r="O2945" s="13">
        <v>2159.4</v>
      </c>
      <c r="P2945" s="3">
        <f t="shared" si="238"/>
        <v>0</v>
      </c>
      <c r="Q2945" s="3">
        <f t="shared" si="239"/>
        <v>2159.4</v>
      </c>
      <c r="R2945" s="3">
        <f t="shared" si="235"/>
        <v>42486.859999999993</v>
      </c>
      <c r="S2945" s="24" t="s">
        <v>1334</v>
      </c>
      <c r="T2945" s="24" t="s">
        <v>1334</v>
      </c>
      <c r="U2945" s="79" t="s">
        <v>4023</v>
      </c>
      <c r="V2945" s="25">
        <f>IFERROR(VLOOKUP(BCP_Soles[[#This Row],[destinatario]],CHOOSE({1,2},Clientes_Proveedores[Razon Social],Clientes_Proveedores[Ruc / Dni]),2,0),"")</f>
        <v>0</v>
      </c>
      <c r="W2945" s="25"/>
      <c r="X2945" s="25"/>
      <c r="Y2945" s="25"/>
      <c r="Z2945" s="77"/>
      <c r="AA2945" s="3" t="str">
        <f>IF(BCP_Soles[[#This Row],[fecha]]&gt;0,TEXT(BCP_Soles[[#This Row],[fecha]],"mmmm"),0)</f>
        <v>Julio</v>
      </c>
    </row>
    <row r="2946" spans="1:27" x14ac:dyDescent="0.3">
      <c r="A2946" s="2">
        <f>IF(BCP_Soles[[#This Row],[tipo_registro]]="R",COUNTIFS($C$1:$C2945,"R")+1,A2945)</f>
        <v>2071</v>
      </c>
      <c r="B2946" s="19" t="str">
        <f t="shared" si="236"/>
        <v>B-BCP - Soles</v>
      </c>
      <c r="C2946" s="3" t="s">
        <v>1352</v>
      </c>
      <c r="D2946" s="14">
        <v>45868</v>
      </c>
      <c r="E2946" s="5" t="s">
        <v>1338</v>
      </c>
      <c r="F2946" s="5"/>
      <c r="G2946" s="6" t="s">
        <v>522</v>
      </c>
      <c r="H2946" s="6" t="s">
        <v>68</v>
      </c>
      <c r="I2946" s="6" t="s">
        <v>1376</v>
      </c>
      <c r="J2946" s="6">
        <v>4046</v>
      </c>
      <c r="K2946" s="7" t="s">
        <v>4022</v>
      </c>
      <c r="L2946" s="8">
        <v>5935656</v>
      </c>
      <c r="M2946" s="8" t="str">
        <f t="shared" si="237"/>
        <v>PEN</v>
      </c>
      <c r="N2946" s="13">
        <v>250.75</v>
      </c>
      <c r="O2946" s="13"/>
      <c r="P2946" s="3">
        <f t="shared" si="238"/>
        <v>0</v>
      </c>
      <c r="Q2946" s="3">
        <f t="shared" si="239"/>
        <v>0</v>
      </c>
      <c r="R2946" s="3">
        <f t="shared" si="235"/>
        <v>42486.859999999993</v>
      </c>
      <c r="S2946" s="24" t="s">
        <v>1334</v>
      </c>
      <c r="T2946" s="24" t="s">
        <v>1334</v>
      </c>
      <c r="U2946" s="55"/>
      <c r="V2946" s="25">
        <f>IFERROR(VLOOKUP(BCP_Soles[[#This Row],[destinatario]],CHOOSE({1,2},Clientes_Proveedores[Razon Social],Clientes_Proveedores[Ruc / Dni]),2,0),"")</f>
        <v>20603974817</v>
      </c>
      <c r="W2946" s="25"/>
      <c r="X2946" s="25"/>
      <c r="Y2946" s="25"/>
      <c r="Z2946" s="77"/>
      <c r="AA2946" s="3" t="str">
        <f>IF(BCP_Soles[[#This Row],[fecha]]&gt;0,TEXT(BCP_Soles[[#This Row],[fecha]],"mmmm"),0)</f>
        <v>Julio</v>
      </c>
    </row>
    <row r="2947" spans="1:27" x14ac:dyDescent="0.3">
      <c r="A2947" s="2">
        <f>IF(BCP_Soles[[#This Row],[tipo_registro]]="R",COUNTIFS($C$1:$C2946,"R")+1,A2946)</f>
        <v>2071</v>
      </c>
      <c r="B2947" s="19" t="str">
        <f t="shared" si="236"/>
        <v>B-BCP - Soles</v>
      </c>
      <c r="C2947" s="3" t="s">
        <v>1352</v>
      </c>
      <c r="D2947" s="14">
        <v>45868</v>
      </c>
      <c r="E2947" s="5" t="s">
        <v>1338</v>
      </c>
      <c r="F2947" s="5"/>
      <c r="G2947" s="6" t="s">
        <v>338</v>
      </c>
      <c r="H2947" s="6" t="s">
        <v>68</v>
      </c>
      <c r="I2947" s="6" t="s">
        <v>1376</v>
      </c>
      <c r="J2947" s="6">
        <v>485</v>
      </c>
      <c r="K2947" s="7" t="s">
        <v>4022</v>
      </c>
      <c r="L2947" s="8">
        <v>5935656</v>
      </c>
      <c r="M2947" s="8" t="str">
        <f t="shared" si="237"/>
        <v>PEN</v>
      </c>
      <c r="N2947" s="13">
        <v>354</v>
      </c>
      <c r="O2947" s="13"/>
      <c r="P2947" s="3">
        <f t="shared" si="238"/>
        <v>0</v>
      </c>
      <c r="Q2947" s="3">
        <f t="shared" si="239"/>
        <v>0</v>
      </c>
      <c r="R2947" s="3">
        <f t="shared" si="235"/>
        <v>42486.859999999993</v>
      </c>
      <c r="S2947" s="24" t="s">
        <v>1334</v>
      </c>
      <c r="T2947" s="24" t="s">
        <v>1334</v>
      </c>
      <c r="U2947" s="55"/>
      <c r="V2947" s="25">
        <f>IFERROR(VLOOKUP(BCP_Soles[[#This Row],[destinatario]],CHOOSE({1,2},Clientes_Proveedores[Razon Social],Clientes_Proveedores[Ruc / Dni]),2,0),"")</f>
        <v>20498380931</v>
      </c>
      <c r="W2947" s="25"/>
      <c r="X2947" s="25"/>
      <c r="Y2947" s="25"/>
      <c r="Z2947" s="77"/>
      <c r="AA2947" s="3" t="str">
        <f>IF(BCP_Soles[[#This Row],[fecha]]&gt;0,TEXT(BCP_Soles[[#This Row],[fecha]],"mmmm"),0)</f>
        <v>Julio</v>
      </c>
    </row>
    <row r="2948" spans="1:27" x14ac:dyDescent="0.3">
      <c r="A2948" s="2">
        <f>IF(BCP_Soles[[#This Row],[tipo_registro]]="R",COUNTIFS($C$1:$C2947,"R")+1,A2947)</f>
        <v>2071</v>
      </c>
      <c r="B2948" s="19" t="str">
        <f t="shared" si="236"/>
        <v>B-BCP - Soles</v>
      </c>
      <c r="C2948" s="3" t="s">
        <v>1352</v>
      </c>
      <c r="D2948" s="14">
        <v>45868</v>
      </c>
      <c r="E2948" s="5" t="s">
        <v>1338</v>
      </c>
      <c r="F2948" s="5"/>
      <c r="G2948" s="6" t="s">
        <v>522</v>
      </c>
      <c r="H2948" s="6" t="s">
        <v>68</v>
      </c>
      <c r="I2948" s="6" t="s">
        <v>1376</v>
      </c>
      <c r="J2948" s="6">
        <v>4045</v>
      </c>
      <c r="K2948" s="7" t="s">
        <v>4022</v>
      </c>
      <c r="L2948" s="8">
        <v>5935656</v>
      </c>
      <c r="M2948" s="8" t="str">
        <f t="shared" si="237"/>
        <v>PEN</v>
      </c>
      <c r="N2948" s="13">
        <v>200.6</v>
      </c>
      <c r="O2948" s="13"/>
      <c r="P2948" s="3">
        <f t="shared" si="238"/>
        <v>0</v>
      </c>
      <c r="Q2948" s="3">
        <f t="shared" si="239"/>
        <v>0</v>
      </c>
      <c r="R2948" s="3">
        <f t="shared" si="235"/>
        <v>42486.859999999993</v>
      </c>
      <c r="S2948" s="24" t="s">
        <v>1334</v>
      </c>
      <c r="T2948" s="24" t="s">
        <v>1334</v>
      </c>
      <c r="U2948" s="55"/>
      <c r="V2948" s="25">
        <f>IFERROR(VLOOKUP(BCP_Soles[[#This Row],[destinatario]],CHOOSE({1,2},Clientes_Proveedores[Razon Social],Clientes_Proveedores[Ruc / Dni]),2,0),"")</f>
        <v>20603974817</v>
      </c>
      <c r="W2948" s="25"/>
      <c r="X2948" s="25"/>
      <c r="Y2948" s="25"/>
      <c r="Z2948" s="77"/>
      <c r="AA2948" s="3" t="str">
        <f>IF(BCP_Soles[[#This Row],[fecha]]&gt;0,TEXT(BCP_Soles[[#This Row],[fecha]],"mmmm"),0)</f>
        <v>Julio</v>
      </c>
    </row>
    <row r="2949" spans="1:27" x14ac:dyDescent="0.3">
      <c r="A2949" s="2">
        <f>IF(BCP_Soles[[#This Row],[tipo_registro]]="R",COUNTIFS($C$1:$C2948,"R")+1,A2948)</f>
        <v>2071</v>
      </c>
      <c r="B2949" s="19" t="str">
        <f t="shared" si="236"/>
        <v>B-BCP - Soles</v>
      </c>
      <c r="C2949" s="3" t="s">
        <v>1352</v>
      </c>
      <c r="D2949" s="14">
        <v>45868</v>
      </c>
      <c r="E2949" s="5" t="s">
        <v>1338</v>
      </c>
      <c r="F2949" s="5"/>
      <c r="G2949" s="6" t="s">
        <v>522</v>
      </c>
      <c r="H2949" s="6" t="s">
        <v>68</v>
      </c>
      <c r="I2949" s="6" t="s">
        <v>1376</v>
      </c>
      <c r="J2949" s="6">
        <v>4036</v>
      </c>
      <c r="K2949" s="7" t="s">
        <v>4022</v>
      </c>
      <c r="L2949" s="8">
        <v>5935656</v>
      </c>
      <c r="M2949" s="8" t="str">
        <f t="shared" si="237"/>
        <v>PEN</v>
      </c>
      <c r="N2949" s="13">
        <v>300.89999999999998</v>
      </c>
      <c r="O2949" s="13"/>
      <c r="P2949" s="3">
        <f t="shared" si="238"/>
        <v>0</v>
      </c>
      <c r="Q2949" s="3">
        <f t="shared" si="239"/>
        <v>0</v>
      </c>
      <c r="R2949" s="3">
        <f t="shared" si="235"/>
        <v>42486.859999999993</v>
      </c>
      <c r="S2949" s="24" t="s">
        <v>1334</v>
      </c>
      <c r="T2949" s="24" t="s">
        <v>1334</v>
      </c>
      <c r="U2949" s="55"/>
      <c r="V2949" s="25">
        <f>IFERROR(VLOOKUP(BCP_Soles[[#This Row],[destinatario]],CHOOSE({1,2},Clientes_Proveedores[Razon Social],Clientes_Proveedores[Ruc / Dni]),2,0),"")</f>
        <v>20603974817</v>
      </c>
      <c r="W2949" s="25"/>
      <c r="X2949" s="25"/>
      <c r="Y2949" s="25"/>
      <c r="Z2949" s="77"/>
      <c r="AA2949" s="3" t="str">
        <f>IF(BCP_Soles[[#This Row],[fecha]]&gt;0,TEXT(BCP_Soles[[#This Row],[fecha]],"mmmm"),0)</f>
        <v>Julio</v>
      </c>
    </row>
    <row r="2950" spans="1:27" x14ac:dyDescent="0.3">
      <c r="A2950" s="2">
        <f>IF(BCP_Soles[[#This Row],[tipo_registro]]="R",COUNTIFS($C$1:$C2949,"R")+1,A2949)</f>
        <v>2071</v>
      </c>
      <c r="B2950" s="19" t="str">
        <f t="shared" si="236"/>
        <v>B-BCP - Soles</v>
      </c>
      <c r="C2950" s="3" t="s">
        <v>1352</v>
      </c>
      <c r="D2950" s="14">
        <v>45868</v>
      </c>
      <c r="E2950" s="5" t="s">
        <v>1338</v>
      </c>
      <c r="F2950" s="5"/>
      <c r="G2950" s="6" t="s">
        <v>522</v>
      </c>
      <c r="H2950" s="6" t="s">
        <v>68</v>
      </c>
      <c r="I2950" s="6" t="s">
        <v>1376</v>
      </c>
      <c r="J2950" s="6">
        <v>4039</v>
      </c>
      <c r="K2950" s="7" t="s">
        <v>4022</v>
      </c>
      <c r="L2950" s="8">
        <v>5935656</v>
      </c>
      <c r="M2950" s="8" t="str">
        <f t="shared" si="237"/>
        <v>PEN</v>
      </c>
      <c r="N2950" s="13">
        <v>451.35</v>
      </c>
      <c r="O2950" s="13"/>
      <c r="P2950" s="3">
        <f t="shared" si="238"/>
        <v>0</v>
      </c>
      <c r="Q2950" s="3">
        <f t="shared" si="239"/>
        <v>0</v>
      </c>
      <c r="R2950" s="3">
        <f t="shared" si="235"/>
        <v>42486.859999999993</v>
      </c>
      <c r="S2950" s="24" t="s">
        <v>1334</v>
      </c>
      <c r="T2950" s="24" t="s">
        <v>1334</v>
      </c>
      <c r="U2950" s="55"/>
      <c r="V2950" s="25">
        <f>IFERROR(VLOOKUP(BCP_Soles[[#This Row],[destinatario]],CHOOSE({1,2},Clientes_Proveedores[Razon Social],Clientes_Proveedores[Ruc / Dni]),2,0),"")</f>
        <v>20603974817</v>
      </c>
      <c r="W2950" s="25"/>
      <c r="X2950" s="25"/>
      <c r="Y2950" s="25"/>
      <c r="Z2950" s="77"/>
      <c r="AA2950" s="3" t="str">
        <f>IF(BCP_Soles[[#This Row],[fecha]]&gt;0,TEXT(BCP_Soles[[#This Row],[fecha]],"mmmm"),0)</f>
        <v>Julio</v>
      </c>
    </row>
    <row r="2951" spans="1:27" x14ac:dyDescent="0.3">
      <c r="A2951" s="2">
        <f>IF(BCP_Soles[[#This Row],[tipo_registro]]="R",COUNTIFS($C$1:$C2950,"R")+1,A2950)</f>
        <v>2071</v>
      </c>
      <c r="B2951" s="19" t="str">
        <f t="shared" si="236"/>
        <v>B-BCP - Soles</v>
      </c>
      <c r="C2951" s="3" t="s">
        <v>1352</v>
      </c>
      <c r="D2951" s="14">
        <v>45868</v>
      </c>
      <c r="E2951" s="5" t="s">
        <v>1338</v>
      </c>
      <c r="F2951" s="5"/>
      <c r="G2951" s="6" t="s">
        <v>522</v>
      </c>
      <c r="H2951" s="6" t="s">
        <v>68</v>
      </c>
      <c r="I2951" s="6" t="s">
        <v>1376</v>
      </c>
      <c r="J2951" s="6">
        <v>4047</v>
      </c>
      <c r="K2951" s="7" t="s">
        <v>4022</v>
      </c>
      <c r="L2951" s="8">
        <v>5935656</v>
      </c>
      <c r="M2951" s="8" t="str">
        <f t="shared" si="237"/>
        <v>PEN</v>
      </c>
      <c r="N2951" s="13">
        <v>601.79999999999995</v>
      </c>
      <c r="O2951" s="13"/>
      <c r="P2951" s="3">
        <f t="shared" si="238"/>
        <v>0</v>
      </c>
      <c r="Q2951" s="3">
        <f t="shared" si="239"/>
        <v>0</v>
      </c>
      <c r="R2951" s="3">
        <f t="shared" si="235"/>
        <v>42486.859999999993</v>
      </c>
      <c r="S2951" s="24" t="s">
        <v>1334</v>
      </c>
      <c r="T2951" s="24" t="s">
        <v>1334</v>
      </c>
      <c r="U2951" s="55"/>
      <c r="V2951" s="25">
        <f>IFERROR(VLOOKUP(BCP_Soles[[#This Row],[destinatario]],CHOOSE({1,2},Clientes_Proveedores[Razon Social],Clientes_Proveedores[Ruc / Dni]),2,0),"")</f>
        <v>20603974817</v>
      </c>
      <c r="W2951" s="25"/>
      <c r="X2951" s="25"/>
      <c r="Y2951" s="25"/>
      <c r="Z2951" s="77"/>
      <c r="AA2951" s="3" t="str">
        <f>IF(BCP_Soles[[#This Row],[fecha]]&gt;0,TEXT(BCP_Soles[[#This Row],[fecha]],"mmmm"),0)</f>
        <v>Julio</v>
      </c>
    </row>
    <row r="2952" spans="1:27" x14ac:dyDescent="0.3">
      <c r="A2952" s="2">
        <f>IF(BCP_Soles[[#This Row],[tipo_registro]]="R",COUNTIFS($C$1:$C2951,"R")+1,A2951)</f>
        <v>2072</v>
      </c>
      <c r="B2952" s="19" t="str">
        <f t="shared" si="236"/>
        <v>B-BCP - Soles</v>
      </c>
      <c r="C2952" s="3" t="s">
        <v>1330</v>
      </c>
      <c r="D2952" s="14">
        <v>45868</v>
      </c>
      <c r="E2952" s="5" t="s">
        <v>1335</v>
      </c>
      <c r="F2952" s="5" t="s">
        <v>1336</v>
      </c>
      <c r="G2952" s="6" t="s">
        <v>1009</v>
      </c>
      <c r="H2952" s="6" t="s">
        <v>64</v>
      </c>
      <c r="I2952" s="6" t="s">
        <v>3673</v>
      </c>
      <c r="J2952" s="6">
        <v>2072</v>
      </c>
      <c r="K2952" s="7" t="s">
        <v>3160</v>
      </c>
      <c r="L2952" s="8"/>
      <c r="M2952" s="8" t="str">
        <f t="shared" si="237"/>
        <v>PEN</v>
      </c>
      <c r="N2952" s="13"/>
      <c r="O2952" s="13">
        <v>0.1</v>
      </c>
      <c r="P2952" s="3">
        <f t="shared" si="238"/>
        <v>0</v>
      </c>
      <c r="Q2952" s="3">
        <f t="shared" si="239"/>
        <v>0.1</v>
      </c>
      <c r="R2952" s="3">
        <f t="shared" si="235"/>
        <v>42486.759999999995</v>
      </c>
      <c r="S2952" s="24" t="s">
        <v>1334</v>
      </c>
      <c r="T2952" s="24" t="s">
        <v>1334</v>
      </c>
      <c r="U2952" s="55"/>
      <c r="V2952" s="25">
        <f>IFERROR(VLOOKUP(BCP_Soles[[#This Row],[destinatario]],CHOOSE({1,2},Clientes_Proveedores[Razon Social],Clientes_Proveedores[Ruc / Dni]),2,0),"")</f>
        <v>11111111</v>
      </c>
      <c r="W2952" s="25"/>
      <c r="X2952" s="25"/>
      <c r="Y2952" s="25"/>
      <c r="Z2952" s="77"/>
      <c r="AA2952" s="3" t="str">
        <f>IF(BCP_Soles[[#This Row],[fecha]]&gt;0,TEXT(BCP_Soles[[#This Row],[fecha]],"mmmm"),0)</f>
        <v>Julio</v>
      </c>
    </row>
    <row r="2953" spans="1:27" x14ac:dyDescent="0.3">
      <c r="A2953" s="2">
        <f>IF(BCP_Soles[[#This Row],[tipo_registro]]="R",COUNTIFS($C$1:$C2952,"R")+1,A2952)</f>
        <v>2073</v>
      </c>
      <c r="B2953" s="19" t="str">
        <f t="shared" si="236"/>
        <v>B-BCP - Soles</v>
      </c>
      <c r="C2953" s="3" t="s">
        <v>1330</v>
      </c>
      <c r="D2953" s="14">
        <v>45869</v>
      </c>
      <c r="E2953" s="5" t="s">
        <v>286</v>
      </c>
      <c r="F2953" s="5" t="s">
        <v>1303</v>
      </c>
      <c r="G2953" s="6" t="s">
        <v>425</v>
      </c>
      <c r="H2953" s="6"/>
      <c r="I2953" s="6"/>
      <c r="J2953" s="6"/>
      <c r="K2953" s="7" t="s">
        <v>4024</v>
      </c>
      <c r="L2953" s="8">
        <v>13259</v>
      </c>
      <c r="M2953" s="8" t="str">
        <f t="shared" si="237"/>
        <v>PEN</v>
      </c>
      <c r="N2953" s="13"/>
      <c r="O2953" s="13">
        <v>9526.41</v>
      </c>
      <c r="P2953" s="3">
        <f t="shared" si="238"/>
        <v>9526.41</v>
      </c>
      <c r="Q2953" s="3">
        <f t="shared" si="239"/>
        <v>0</v>
      </c>
      <c r="R2953" s="3">
        <f t="shared" ref="R2953:R3016" si="240">IFERROR(IF(F2953="SALDO",P2953,R2952+P2953-Q2953),0)</f>
        <v>52013.17</v>
      </c>
      <c r="S2953" s="24" t="s">
        <v>1334</v>
      </c>
      <c r="T2953" s="24" t="s">
        <v>1334</v>
      </c>
      <c r="U2953" s="55"/>
      <c r="V2953" s="25">
        <f>IFERROR(VLOOKUP(BCP_Soles[[#This Row],[destinatario]],CHOOSE({1,2},Clientes_Proveedores[Razon Social],Clientes_Proveedores[Ruc / Dni]),2,0),"")</f>
        <v>20558226979</v>
      </c>
      <c r="W2953" s="25"/>
      <c r="X2953" s="25"/>
      <c r="Y2953" s="25"/>
      <c r="Z2953" s="77"/>
      <c r="AA2953" s="3" t="str">
        <f>IF(BCP_Soles[[#This Row],[fecha]]&gt;0,TEXT(BCP_Soles[[#This Row],[fecha]],"mmmm"),0)</f>
        <v>Julio</v>
      </c>
    </row>
    <row r="2954" spans="1:27" x14ac:dyDescent="0.3">
      <c r="A2954" s="2">
        <f>IF(BCP_Soles[[#This Row],[tipo_registro]]="R",COUNTIFS($C$1:$C2953,"R")+1,A2953)</f>
        <v>2073</v>
      </c>
      <c r="B2954" s="19" t="str">
        <f t="shared" si="236"/>
        <v>B-BCP - Soles</v>
      </c>
      <c r="C2954" s="3" t="s">
        <v>1352</v>
      </c>
      <c r="D2954" s="14">
        <v>45869</v>
      </c>
      <c r="E2954" s="5" t="s">
        <v>286</v>
      </c>
      <c r="F2954" s="5"/>
      <c r="G2954" s="6"/>
      <c r="H2954" s="6" t="s">
        <v>68</v>
      </c>
      <c r="I2954" s="6" t="s">
        <v>1784</v>
      </c>
      <c r="J2954" s="6">
        <v>179</v>
      </c>
      <c r="K2954" s="7" t="s">
        <v>4024</v>
      </c>
      <c r="L2954" s="8">
        <v>13259</v>
      </c>
      <c r="M2954" s="8" t="str">
        <f t="shared" si="237"/>
        <v>PEN</v>
      </c>
      <c r="N2954" s="13">
        <v>2583.5300000000002</v>
      </c>
      <c r="O2954" s="13"/>
      <c r="P2954" s="3">
        <f t="shared" si="238"/>
        <v>0</v>
      </c>
      <c r="Q2954" s="3">
        <f t="shared" si="239"/>
        <v>0</v>
      </c>
      <c r="R2954" s="3">
        <f t="shared" si="240"/>
        <v>52013.17</v>
      </c>
      <c r="S2954" s="24" t="s">
        <v>1334</v>
      </c>
      <c r="T2954" s="24" t="s">
        <v>1334</v>
      </c>
      <c r="U2954" s="55"/>
      <c r="V2954" s="25" t="str">
        <f>IFERROR(VLOOKUP(BCP_Soles[[#This Row],[destinatario]],CHOOSE({1,2},Clientes_Proveedores[Razon Social],Clientes_Proveedores[Ruc / Dni]),2,0),"")</f>
        <v/>
      </c>
      <c r="W2954" s="25"/>
      <c r="X2954" s="25"/>
      <c r="Y2954" s="25"/>
      <c r="Z2954" s="77"/>
      <c r="AA2954" s="3" t="str">
        <f>IF(BCP_Soles[[#This Row],[fecha]]&gt;0,TEXT(BCP_Soles[[#This Row],[fecha]],"mmmm"),0)</f>
        <v>Julio</v>
      </c>
    </row>
    <row r="2955" spans="1:27" x14ac:dyDescent="0.3">
      <c r="A2955" s="2">
        <f>IF(BCP_Soles[[#This Row],[tipo_registro]]="R",COUNTIFS($C$1:$C2954,"R")+1,A2954)</f>
        <v>2073</v>
      </c>
      <c r="B2955" s="19" t="str">
        <f t="shared" si="236"/>
        <v>B-BCP - Soles</v>
      </c>
      <c r="C2955" s="3" t="s">
        <v>1352</v>
      </c>
      <c r="D2955" s="14">
        <v>45869</v>
      </c>
      <c r="E2955" s="5" t="s">
        <v>286</v>
      </c>
      <c r="F2955" s="5"/>
      <c r="G2955" s="6"/>
      <c r="H2955" s="6" t="s">
        <v>68</v>
      </c>
      <c r="I2955" s="6" t="s">
        <v>1784</v>
      </c>
      <c r="J2955" s="6">
        <v>180</v>
      </c>
      <c r="K2955" s="7" t="s">
        <v>4024</v>
      </c>
      <c r="L2955" s="8">
        <v>13259</v>
      </c>
      <c r="M2955" s="8" t="str">
        <f t="shared" si="237"/>
        <v>PEN</v>
      </c>
      <c r="N2955" s="13">
        <v>3467.02</v>
      </c>
      <c r="O2955" s="13"/>
      <c r="P2955" s="3">
        <f t="shared" si="238"/>
        <v>0</v>
      </c>
      <c r="Q2955" s="3">
        <f t="shared" si="239"/>
        <v>0</v>
      </c>
      <c r="R2955" s="3">
        <f t="shared" si="240"/>
        <v>52013.17</v>
      </c>
      <c r="S2955" s="24" t="s">
        <v>1334</v>
      </c>
      <c r="T2955" s="24" t="s">
        <v>1334</v>
      </c>
      <c r="U2955" s="55"/>
      <c r="V2955" s="25" t="str">
        <f>IFERROR(VLOOKUP(BCP_Soles[[#This Row],[destinatario]],CHOOSE({1,2},Clientes_Proveedores[Razon Social],Clientes_Proveedores[Ruc / Dni]),2,0),"")</f>
        <v/>
      </c>
      <c r="W2955" s="25"/>
      <c r="X2955" s="25"/>
      <c r="Y2955" s="25"/>
      <c r="Z2955" s="77"/>
      <c r="AA2955" s="3" t="str">
        <f>IF(BCP_Soles[[#This Row],[fecha]]&gt;0,TEXT(BCP_Soles[[#This Row],[fecha]],"mmmm"),0)</f>
        <v>Julio</v>
      </c>
    </row>
    <row r="2956" spans="1:27" x14ac:dyDescent="0.3">
      <c r="A2956" s="2">
        <f>IF(BCP_Soles[[#This Row],[tipo_registro]]="R",COUNTIFS($C$1:$C2955,"R")+1,A2955)</f>
        <v>2073</v>
      </c>
      <c r="B2956" s="19" t="str">
        <f t="shared" si="236"/>
        <v>B-BCP - Soles</v>
      </c>
      <c r="C2956" s="3" t="s">
        <v>1352</v>
      </c>
      <c r="D2956" s="14">
        <v>45869</v>
      </c>
      <c r="E2956" s="5" t="s">
        <v>286</v>
      </c>
      <c r="F2956" s="5"/>
      <c r="G2956" s="6"/>
      <c r="H2956" s="6" t="s">
        <v>68</v>
      </c>
      <c r="I2956" s="6" t="s">
        <v>1784</v>
      </c>
      <c r="J2956" s="6">
        <v>182</v>
      </c>
      <c r="K2956" s="7" t="s">
        <v>4024</v>
      </c>
      <c r="L2956" s="8">
        <v>13259</v>
      </c>
      <c r="M2956" s="8" t="str">
        <f t="shared" si="237"/>
        <v>PEN</v>
      </c>
      <c r="N2956" s="13">
        <v>1933.54</v>
      </c>
      <c r="O2956" s="13"/>
      <c r="P2956" s="3">
        <f t="shared" si="238"/>
        <v>0</v>
      </c>
      <c r="Q2956" s="3">
        <f t="shared" si="239"/>
        <v>0</v>
      </c>
      <c r="R2956" s="3">
        <f t="shared" si="240"/>
        <v>52013.17</v>
      </c>
      <c r="S2956" s="24" t="s">
        <v>1334</v>
      </c>
      <c r="T2956" s="24" t="s">
        <v>1334</v>
      </c>
      <c r="U2956" s="55"/>
      <c r="V2956" s="25" t="str">
        <f>IFERROR(VLOOKUP(BCP_Soles[[#This Row],[destinatario]],CHOOSE({1,2},Clientes_Proveedores[Razon Social],Clientes_Proveedores[Ruc / Dni]),2,0),"")</f>
        <v/>
      </c>
      <c r="W2956" s="25"/>
      <c r="X2956" s="25"/>
      <c r="Y2956" s="25"/>
      <c r="Z2956" s="77"/>
      <c r="AA2956" s="3" t="str">
        <f>IF(BCP_Soles[[#This Row],[fecha]]&gt;0,TEXT(BCP_Soles[[#This Row],[fecha]],"mmmm"),0)</f>
        <v>Julio</v>
      </c>
    </row>
    <row r="2957" spans="1:27" x14ac:dyDescent="0.3">
      <c r="A2957" s="2">
        <f>IF(BCP_Soles[[#This Row],[tipo_registro]]="R",COUNTIFS($C$1:$C2956,"R")+1,A2956)</f>
        <v>2073</v>
      </c>
      <c r="B2957" s="19" t="str">
        <f t="shared" si="236"/>
        <v>B-BCP - Soles</v>
      </c>
      <c r="C2957" s="3" t="s">
        <v>1352</v>
      </c>
      <c r="D2957" s="14">
        <v>45869</v>
      </c>
      <c r="E2957" s="5" t="s">
        <v>286</v>
      </c>
      <c r="F2957" s="5"/>
      <c r="G2957" s="6"/>
      <c r="H2957" s="6" t="s">
        <v>68</v>
      </c>
      <c r="I2957" s="6" t="s">
        <v>1784</v>
      </c>
      <c r="J2957" s="6">
        <v>183</v>
      </c>
      <c r="K2957" s="7" t="s">
        <v>4024</v>
      </c>
      <c r="L2957" s="8">
        <v>13259</v>
      </c>
      <c r="M2957" s="8" t="str">
        <f t="shared" si="237"/>
        <v>PEN</v>
      </c>
      <c r="N2957" s="13">
        <v>1542.32</v>
      </c>
      <c r="O2957" s="13"/>
      <c r="P2957" s="3">
        <f t="shared" si="238"/>
        <v>0</v>
      </c>
      <c r="Q2957" s="3">
        <f t="shared" si="239"/>
        <v>0</v>
      </c>
      <c r="R2957" s="3">
        <f t="shared" si="240"/>
        <v>52013.17</v>
      </c>
      <c r="S2957" s="24" t="s">
        <v>1334</v>
      </c>
      <c r="T2957" s="24" t="s">
        <v>1334</v>
      </c>
      <c r="U2957" s="55"/>
      <c r="V2957" s="25" t="str">
        <f>IFERROR(VLOOKUP(BCP_Soles[[#This Row],[destinatario]],CHOOSE({1,2},Clientes_Proveedores[Razon Social],Clientes_Proveedores[Ruc / Dni]),2,0),"")</f>
        <v/>
      </c>
      <c r="W2957" s="25"/>
      <c r="X2957" s="25"/>
      <c r="Y2957" s="25"/>
      <c r="Z2957" s="77"/>
      <c r="AA2957" s="3" t="str">
        <f>IF(BCP_Soles[[#This Row],[fecha]]&gt;0,TEXT(BCP_Soles[[#This Row],[fecha]],"mmmm"),0)</f>
        <v>Julio</v>
      </c>
    </row>
    <row r="2958" spans="1:27" x14ac:dyDescent="0.3">
      <c r="A2958" s="2">
        <f>IF(BCP_Soles[[#This Row],[tipo_registro]]="R",COUNTIFS($C$1:$C2957,"R")+1,A2957)</f>
        <v>2074</v>
      </c>
      <c r="B2958" s="19" t="str">
        <f t="shared" si="236"/>
        <v>B-BCP - Soles</v>
      </c>
      <c r="C2958" s="3" t="s">
        <v>1330</v>
      </c>
      <c r="D2958" s="14">
        <v>45869</v>
      </c>
      <c r="E2958" s="5" t="s">
        <v>4025</v>
      </c>
      <c r="F2958" s="5" t="s">
        <v>1303</v>
      </c>
      <c r="G2958" s="6" t="s">
        <v>425</v>
      </c>
      <c r="H2958" s="6"/>
      <c r="I2958" s="6"/>
      <c r="J2958" s="6"/>
      <c r="K2958" s="7" t="s">
        <v>4026</v>
      </c>
      <c r="L2958" s="8">
        <v>2361629</v>
      </c>
      <c r="M2958" s="8" t="str">
        <f t="shared" si="237"/>
        <v>PEN</v>
      </c>
      <c r="N2958" s="13"/>
      <c r="O2958" s="13">
        <v>22757</v>
      </c>
      <c r="P2958" s="3">
        <f t="shared" si="238"/>
        <v>22757</v>
      </c>
      <c r="Q2958" s="3">
        <f t="shared" si="239"/>
        <v>0</v>
      </c>
      <c r="R2958" s="3">
        <f t="shared" si="240"/>
        <v>74770.17</v>
      </c>
      <c r="S2958" s="24"/>
      <c r="T2958" s="24"/>
      <c r="U2958" s="55"/>
      <c r="V2958" s="25">
        <f>IFERROR(VLOOKUP(BCP_Soles[[#This Row],[destinatario]],CHOOSE({1,2},Clientes_Proveedores[Razon Social],Clientes_Proveedores[Ruc / Dni]),2,0),"")</f>
        <v>20558226979</v>
      </c>
      <c r="W2958" s="25"/>
      <c r="X2958" s="25"/>
      <c r="Y2958" s="25"/>
      <c r="Z2958" s="77"/>
      <c r="AA2958" s="3" t="str">
        <f>IF(BCP_Soles[[#This Row],[fecha]]&gt;0,TEXT(BCP_Soles[[#This Row],[fecha]],"mmmm"),0)</f>
        <v>Julio</v>
      </c>
    </row>
    <row r="2959" spans="1:27" x14ac:dyDescent="0.3">
      <c r="A2959" s="2">
        <f>IF(BCP_Soles[[#This Row],[tipo_registro]]="R",COUNTIFS($C$1:$C2958,"R")+1,A2958)</f>
        <v>2075</v>
      </c>
      <c r="B2959" s="19" t="str">
        <f t="shared" si="236"/>
        <v>B-BCP - Soles</v>
      </c>
      <c r="C2959" s="3" t="s">
        <v>1330</v>
      </c>
      <c r="D2959" s="14">
        <v>45869</v>
      </c>
      <c r="E2959" s="5" t="s">
        <v>4027</v>
      </c>
      <c r="F2959" s="5" t="s">
        <v>1303</v>
      </c>
      <c r="G2959" s="6" t="s">
        <v>425</v>
      </c>
      <c r="H2959" s="6"/>
      <c r="I2959" s="6"/>
      <c r="J2959" s="6"/>
      <c r="K2959" s="7" t="s">
        <v>4028</v>
      </c>
      <c r="L2959" s="8">
        <v>2416103</v>
      </c>
      <c r="M2959" s="8" t="str">
        <f t="shared" si="237"/>
        <v>PEN</v>
      </c>
      <c r="N2959" s="13"/>
      <c r="O2959" s="13">
        <v>22220.799999999999</v>
      </c>
      <c r="P2959" s="3">
        <f t="shared" si="238"/>
        <v>22220.799999999999</v>
      </c>
      <c r="Q2959" s="3">
        <f t="shared" si="239"/>
        <v>0</v>
      </c>
      <c r="R2959" s="3">
        <f t="shared" si="240"/>
        <v>96990.97</v>
      </c>
      <c r="S2959" s="24" t="s">
        <v>1334</v>
      </c>
      <c r="T2959" s="24" t="s">
        <v>1334</v>
      </c>
      <c r="U2959" s="55"/>
      <c r="V2959" s="25">
        <f>IFERROR(VLOOKUP(BCP_Soles[[#This Row],[destinatario]],CHOOSE({1,2},Clientes_Proveedores[Razon Social],Clientes_Proveedores[Ruc / Dni]),2,0),"")</f>
        <v>20558226979</v>
      </c>
      <c r="W2959" s="25"/>
      <c r="X2959" s="25"/>
      <c r="Y2959" s="25"/>
      <c r="Z2959" s="77"/>
      <c r="AA2959" s="3" t="str">
        <f>IF(BCP_Soles[[#This Row],[fecha]]&gt;0,TEXT(BCP_Soles[[#This Row],[fecha]],"mmmm"),0)</f>
        <v>Julio</v>
      </c>
    </row>
    <row r="2960" spans="1:27" x14ac:dyDescent="0.3">
      <c r="A2960" s="2">
        <f>IF(BCP_Soles[[#This Row],[tipo_registro]]="R",COUNTIFS($C$1:$C2959,"R")+1,A2959)</f>
        <v>2076</v>
      </c>
      <c r="B2960" s="19" t="str">
        <f t="shared" si="236"/>
        <v>B-BCP - Soles</v>
      </c>
      <c r="C2960" s="3" t="s">
        <v>1330</v>
      </c>
      <c r="D2960" s="14">
        <v>45869</v>
      </c>
      <c r="E2960" s="5"/>
      <c r="F2960" s="5" t="s">
        <v>1303</v>
      </c>
      <c r="G2960" s="6" t="s">
        <v>425</v>
      </c>
      <c r="H2960" s="6"/>
      <c r="I2960" s="6"/>
      <c r="J2960" s="6"/>
      <c r="K2960" s="7" t="s">
        <v>4029</v>
      </c>
      <c r="L2960" s="8">
        <v>7197969</v>
      </c>
      <c r="M2960" s="8" t="str">
        <f t="shared" si="237"/>
        <v>PEN</v>
      </c>
      <c r="N2960" s="13"/>
      <c r="O2960" s="13">
        <v>1394.18</v>
      </c>
      <c r="P2960" s="3">
        <f t="shared" si="238"/>
        <v>1394.18</v>
      </c>
      <c r="Q2960" s="3">
        <f t="shared" si="239"/>
        <v>0</v>
      </c>
      <c r="R2960" s="3">
        <f t="shared" si="240"/>
        <v>98385.15</v>
      </c>
      <c r="S2960" s="24" t="s">
        <v>1334</v>
      </c>
      <c r="T2960" s="24" t="s">
        <v>1334</v>
      </c>
      <c r="U2960" s="55"/>
      <c r="V2960" s="25">
        <f>IFERROR(VLOOKUP(BCP_Soles[[#This Row],[destinatario]],CHOOSE({1,2},Clientes_Proveedores[Razon Social],Clientes_Proveedores[Ruc / Dni]),2,0),"")</f>
        <v>20558226979</v>
      </c>
      <c r="W2960" s="25"/>
      <c r="X2960" s="25"/>
      <c r="Y2960" s="25"/>
      <c r="Z2960" s="77"/>
      <c r="AA2960" s="3" t="str">
        <f>IF(BCP_Soles[[#This Row],[fecha]]&gt;0,TEXT(BCP_Soles[[#This Row],[fecha]],"mmmm"),0)</f>
        <v>Julio</v>
      </c>
    </row>
    <row r="2961" spans="1:30" ht="24" x14ac:dyDescent="0.3">
      <c r="A2961" s="2">
        <f>IF(BCP_Soles[[#This Row],[tipo_registro]]="R",COUNTIFS($C$1:$C2960,"R")+1,A2960)</f>
        <v>2077</v>
      </c>
      <c r="B2961" s="19" t="str">
        <f t="shared" si="236"/>
        <v>B-BCP - Soles</v>
      </c>
      <c r="C2961" s="3" t="s">
        <v>1330</v>
      </c>
      <c r="D2961" s="14">
        <v>45869</v>
      </c>
      <c r="E2961" s="5" t="s">
        <v>2269</v>
      </c>
      <c r="F2961" s="5" t="s">
        <v>1336</v>
      </c>
      <c r="G2961" s="6" t="s">
        <v>658</v>
      </c>
      <c r="H2961" s="6" t="s">
        <v>68</v>
      </c>
      <c r="I2961" s="6" t="s">
        <v>1376</v>
      </c>
      <c r="J2961" s="6">
        <v>49</v>
      </c>
      <c r="K2961" s="7" t="s">
        <v>4030</v>
      </c>
      <c r="L2961" s="8">
        <v>1112271</v>
      </c>
      <c r="M2961" s="8" t="str">
        <f t="shared" si="237"/>
        <v>PEN</v>
      </c>
      <c r="N2961" s="13"/>
      <c r="O2961" s="13">
        <v>416</v>
      </c>
      <c r="P2961" s="3">
        <f t="shared" si="238"/>
        <v>0</v>
      </c>
      <c r="Q2961" s="3">
        <f t="shared" si="239"/>
        <v>416</v>
      </c>
      <c r="R2961" s="3">
        <f t="shared" si="240"/>
        <v>97969.15</v>
      </c>
      <c r="S2961" s="24" t="s">
        <v>1334</v>
      </c>
      <c r="T2961" s="24" t="s">
        <v>1334</v>
      </c>
      <c r="U2961" s="79" t="s">
        <v>4031</v>
      </c>
      <c r="V2961" s="25">
        <f>IFERROR(VLOOKUP(BCP_Soles[[#This Row],[destinatario]],CHOOSE({1,2},Clientes_Proveedores[Razon Social],Clientes_Proveedores[Ruc / Dni]),2,0),"")</f>
        <v>15609125303</v>
      </c>
      <c r="W2961" s="25"/>
      <c r="X2961" s="25"/>
      <c r="Y2961" s="25"/>
      <c r="Z2961" s="77"/>
      <c r="AA2961" s="3" t="str">
        <f>IF(BCP_Soles[[#This Row],[fecha]]&gt;0,TEXT(BCP_Soles[[#This Row],[fecha]],"mmmm"),0)</f>
        <v>Julio</v>
      </c>
    </row>
    <row r="2962" spans="1:30" ht="24" x14ac:dyDescent="0.3">
      <c r="A2962" s="2">
        <f>IF(BCP_Soles[[#This Row],[tipo_registro]]="R",COUNTIFS($C$1:$C2961,"R")+1,A2961)</f>
        <v>2078</v>
      </c>
      <c r="B2962" s="19" t="str">
        <f t="shared" si="236"/>
        <v>B-BCP - Soles</v>
      </c>
      <c r="C2962" s="3" t="s">
        <v>1330</v>
      </c>
      <c r="D2962" s="14">
        <v>45869</v>
      </c>
      <c r="E2962" s="5" t="s">
        <v>2269</v>
      </c>
      <c r="F2962" s="5" t="s">
        <v>1336</v>
      </c>
      <c r="G2962" s="6" t="s">
        <v>658</v>
      </c>
      <c r="H2962" s="6" t="s">
        <v>68</v>
      </c>
      <c r="I2962" s="6" t="s">
        <v>1376</v>
      </c>
      <c r="J2962" s="6">
        <v>48</v>
      </c>
      <c r="K2962" s="7" t="s">
        <v>4032</v>
      </c>
      <c r="L2962" s="8">
        <v>1113732</v>
      </c>
      <c r="M2962" s="8" t="str">
        <f t="shared" si="237"/>
        <v>PEN</v>
      </c>
      <c r="N2962" s="13"/>
      <c r="O2962" s="13">
        <v>1580.6</v>
      </c>
      <c r="P2962" s="3">
        <f t="shared" si="238"/>
        <v>0</v>
      </c>
      <c r="Q2962" s="3">
        <f t="shared" si="239"/>
        <v>1580.6</v>
      </c>
      <c r="R2962" s="3">
        <f t="shared" si="240"/>
        <v>96388.549999999988</v>
      </c>
      <c r="S2962" s="24" t="s">
        <v>1334</v>
      </c>
      <c r="T2962" s="24" t="s">
        <v>1334</v>
      </c>
      <c r="U2962" s="79" t="s">
        <v>4033</v>
      </c>
      <c r="V2962" s="25">
        <f>IFERROR(VLOOKUP(BCP_Soles[[#This Row],[destinatario]],CHOOSE({1,2},Clientes_Proveedores[Razon Social],Clientes_Proveedores[Ruc / Dni]),2,0),"")</f>
        <v>15609125303</v>
      </c>
      <c r="W2962" s="25"/>
      <c r="X2962" s="25"/>
      <c r="Y2962" s="25"/>
      <c r="Z2962" s="77"/>
      <c r="AA2962" s="3" t="str">
        <f>IF(BCP_Soles[[#This Row],[fecha]]&gt;0,TEXT(BCP_Soles[[#This Row],[fecha]],"mmmm"),0)</f>
        <v>Julio</v>
      </c>
    </row>
    <row r="2963" spans="1:30" ht="24" x14ac:dyDescent="0.3">
      <c r="A2963" s="2">
        <f>IF(BCP_Soles[[#This Row],[tipo_registro]]="R",COUNTIFS($C$1:$C2962,"R")+1,A2962)</f>
        <v>2079</v>
      </c>
      <c r="B2963" s="19" t="str">
        <f t="shared" si="236"/>
        <v>B-BCP - Soles</v>
      </c>
      <c r="C2963" s="3" t="s">
        <v>1330</v>
      </c>
      <c r="D2963" s="14">
        <v>45869</v>
      </c>
      <c r="E2963" s="5" t="s">
        <v>2269</v>
      </c>
      <c r="F2963" s="5" t="s">
        <v>1336</v>
      </c>
      <c r="G2963" s="6" t="s">
        <v>704</v>
      </c>
      <c r="H2963" s="6" t="s">
        <v>106</v>
      </c>
      <c r="I2963" s="6" t="s">
        <v>1559</v>
      </c>
      <c r="J2963" s="6">
        <v>10516763</v>
      </c>
      <c r="K2963" s="7" t="s">
        <v>4034</v>
      </c>
      <c r="L2963" s="8">
        <v>4114220</v>
      </c>
      <c r="M2963" s="8" t="str">
        <f t="shared" si="237"/>
        <v>PEN</v>
      </c>
      <c r="N2963" s="13"/>
      <c r="O2963" s="13">
        <v>15.2</v>
      </c>
      <c r="P2963" s="3">
        <f t="shared" si="238"/>
        <v>0</v>
      </c>
      <c r="Q2963" s="3">
        <f t="shared" si="239"/>
        <v>15.2</v>
      </c>
      <c r="R2963" s="3">
        <f t="shared" si="240"/>
        <v>96373.349999999991</v>
      </c>
      <c r="S2963" s="24" t="s">
        <v>1334</v>
      </c>
      <c r="T2963" s="24" t="s">
        <v>1334</v>
      </c>
      <c r="U2963" s="79" t="s">
        <v>4035</v>
      </c>
      <c r="V2963" s="25">
        <f>IFERROR(VLOOKUP(BCP_Soles[[#This Row],[destinatario]],CHOOSE({1,2},Clientes_Proveedores[Razon Social],Clientes_Proveedores[Ruc / Dni]),2,0),"")</f>
        <v>20100152356</v>
      </c>
      <c r="W2963" s="25" t="s">
        <v>4036</v>
      </c>
      <c r="X2963" s="25"/>
      <c r="Y2963" s="25"/>
      <c r="Z2963" s="77"/>
      <c r="AA2963" s="3" t="str">
        <f>IF(BCP_Soles[[#This Row],[fecha]]&gt;0,TEXT(BCP_Soles[[#This Row],[fecha]],"mmmm"),0)</f>
        <v>Julio</v>
      </c>
    </row>
    <row r="2964" spans="1:30" x14ac:dyDescent="0.3">
      <c r="A2964" s="2">
        <f>IF(BCP_Soles[[#This Row],[tipo_registro]]="R",COUNTIFS($C$1:$C2963,"R")+1,A2963)</f>
        <v>2080</v>
      </c>
      <c r="B2964" s="19" t="str">
        <f t="shared" si="236"/>
        <v>B-BCP - Soles</v>
      </c>
      <c r="C2964" s="3" t="s">
        <v>1330</v>
      </c>
      <c r="D2964" s="14">
        <v>45869</v>
      </c>
      <c r="E2964" s="5" t="s">
        <v>2269</v>
      </c>
      <c r="F2964" s="5" t="s">
        <v>1336</v>
      </c>
      <c r="G2964" s="6" t="s">
        <v>413</v>
      </c>
      <c r="H2964" s="6"/>
      <c r="I2964" s="6"/>
      <c r="J2964" s="6"/>
      <c r="K2964" s="7" t="s">
        <v>4037</v>
      </c>
      <c r="L2964" s="8">
        <v>1112768</v>
      </c>
      <c r="M2964" s="8" t="str">
        <f t="shared" si="237"/>
        <v>PEN</v>
      </c>
      <c r="N2964" s="13"/>
      <c r="O2964" s="13">
        <v>67.849999999999994</v>
      </c>
      <c r="P2964" s="3">
        <f t="shared" si="238"/>
        <v>0</v>
      </c>
      <c r="Q2964" s="3">
        <f t="shared" si="239"/>
        <v>67.849999999999994</v>
      </c>
      <c r="R2964" s="3">
        <f t="shared" si="240"/>
        <v>96305.499999999985</v>
      </c>
      <c r="S2964" s="24"/>
      <c r="T2964" s="24"/>
      <c r="U2964" s="79" t="s">
        <v>4038</v>
      </c>
      <c r="V2964" s="25">
        <f>IFERROR(VLOOKUP(BCP_Soles[[#This Row],[destinatario]],CHOOSE({1,2},Clientes_Proveedores[Razon Social],Clientes_Proveedores[Ruc / Dni]),2,0),"")</f>
        <v>20552024355</v>
      </c>
      <c r="W2964" s="25"/>
      <c r="X2964" s="25"/>
      <c r="Y2964" s="25"/>
      <c r="Z2964" s="77"/>
      <c r="AA2964" s="3" t="str">
        <f>IF(BCP_Soles[[#This Row],[fecha]]&gt;0,TEXT(BCP_Soles[[#This Row],[fecha]],"mmmm"),0)</f>
        <v>Julio</v>
      </c>
    </row>
    <row r="2965" spans="1:30" x14ac:dyDescent="0.3">
      <c r="A2965" s="2">
        <f>IF(BCP_Soles[[#This Row],[tipo_registro]]="R",COUNTIFS($C$1:$C2964,"R")+1,A2964)</f>
        <v>2081</v>
      </c>
      <c r="B2965" s="19" t="str">
        <f t="shared" si="236"/>
        <v>B-BCP - Soles</v>
      </c>
      <c r="C2965" s="3" t="s">
        <v>1330</v>
      </c>
      <c r="D2965" s="14">
        <v>45869</v>
      </c>
      <c r="E2965" s="5" t="s">
        <v>2269</v>
      </c>
      <c r="F2965" s="5" t="s">
        <v>1336</v>
      </c>
      <c r="G2965" s="6" t="s">
        <v>809</v>
      </c>
      <c r="H2965" s="6"/>
      <c r="I2965" s="6"/>
      <c r="J2965" s="6"/>
      <c r="K2965" s="7" t="s">
        <v>4039</v>
      </c>
      <c r="L2965" s="8">
        <v>1113239</v>
      </c>
      <c r="M2965" s="8" t="str">
        <f t="shared" si="237"/>
        <v>PEN</v>
      </c>
      <c r="N2965" s="13"/>
      <c r="O2965" s="13">
        <v>3000</v>
      </c>
      <c r="P2965" s="3">
        <f t="shared" si="238"/>
        <v>0</v>
      </c>
      <c r="Q2965" s="3">
        <f t="shared" si="239"/>
        <v>3000</v>
      </c>
      <c r="R2965" s="3">
        <f t="shared" si="240"/>
        <v>93305.499999999985</v>
      </c>
      <c r="S2965" s="24"/>
      <c r="T2965" s="24"/>
      <c r="U2965" s="79" t="s">
        <v>4040</v>
      </c>
      <c r="V2965" s="25">
        <f>IFERROR(VLOOKUP(BCP_Soles[[#This Row],[destinatario]],CHOOSE({1,2},Clientes_Proveedores[Razon Social],Clientes_Proveedores[Ruc / Dni]),2,0),"")</f>
        <v>45286301</v>
      </c>
      <c r="W2965" s="25"/>
      <c r="X2965" s="25"/>
      <c r="Y2965" s="25"/>
      <c r="Z2965" s="77"/>
      <c r="AA2965" s="3" t="str">
        <f>IF(BCP_Soles[[#This Row],[fecha]]&gt;0,TEXT(BCP_Soles[[#This Row],[fecha]],"mmmm"),0)</f>
        <v>Julio</v>
      </c>
    </row>
    <row r="2966" spans="1:30" ht="24" x14ac:dyDescent="0.3">
      <c r="A2966" s="2">
        <f>IF(BCP_Soles[[#This Row],[tipo_registro]]="R",COUNTIFS($C$1:$C2965,"R")+1,A2965)</f>
        <v>2082</v>
      </c>
      <c r="B2966" s="19" t="str">
        <f t="shared" si="236"/>
        <v>B-BCP - Soles</v>
      </c>
      <c r="C2966" s="3" t="s">
        <v>1330</v>
      </c>
      <c r="D2966" s="14">
        <v>45869</v>
      </c>
      <c r="E2966" s="5" t="s">
        <v>2269</v>
      </c>
      <c r="F2966" s="5" t="s">
        <v>1336</v>
      </c>
      <c r="G2966" s="6" t="s">
        <v>806</v>
      </c>
      <c r="H2966" s="6"/>
      <c r="I2966" s="6"/>
      <c r="J2966" s="6"/>
      <c r="K2966" s="7" t="s">
        <v>4041</v>
      </c>
      <c r="L2966" s="8">
        <v>1114222</v>
      </c>
      <c r="M2966" s="8" t="str">
        <f t="shared" si="237"/>
        <v>PEN</v>
      </c>
      <c r="N2966" s="13"/>
      <c r="O2966" s="13">
        <v>2000</v>
      </c>
      <c r="P2966" s="3">
        <f t="shared" si="238"/>
        <v>0</v>
      </c>
      <c r="Q2966" s="3">
        <f t="shared" si="239"/>
        <v>2000</v>
      </c>
      <c r="R2966" s="3">
        <f t="shared" si="240"/>
        <v>91305.499999999985</v>
      </c>
      <c r="S2966" s="24"/>
      <c r="T2966" s="24"/>
      <c r="U2966" s="79" t="s">
        <v>4042</v>
      </c>
      <c r="V2966" s="25">
        <f>IFERROR(VLOOKUP(BCP_Soles[[#This Row],[destinatario]],CHOOSE({1,2},Clientes_Proveedores[Razon Social],Clientes_Proveedores[Ruc / Dni]),2,0),"")</f>
        <v>44162989</v>
      </c>
      <c r="W2966" s="25"/>
      <c r="X2966" s="25"/>
      <c r="Y2966" s="25"/>
      <c r="Z2966" s="77"/>
      <c r="AA2966" s="3" t="str">
        <f>IF(BCP_Soles[[#This Row],[fecha]]&gt;0,TEXT(BCP_Soles[[#This Row],[fecha]],"mmmm"),0)</f>
        <v>Julio</v>
      </c>
    </row>
    <row r="2967" spans="1:30" x14ac:dyDescent="0.3">
      <c r="A2967" s="2">
        <f>IF(BCP_Soles[[#This Row],[tipo_registro]]="R",COUNTIFS($C$1:$C2966,"R")+1,A2966)</f>
        <v>2083</v>
      </c>
      <c r="B2967" s="19" t="str">
        <f t="shared" si="236"/>
        <v>B-BCP - Soles</v>
      </c>
      <c r="C2967" s="3" t="s">
        <v>1330</v>
      </c>
      <c r="D2967" s="14">
        <v>45869</v>
      </c>
      <c r="E2967" s="5" t="s">
        <v>1338</v>
      </c>
      <c r="F2967" s="5" t="s">
        <v>1336</v>
      </c>
      <c r="G2967" s="6" t="s">
        <v>696</v>
      </c>
      <c r="H2967" s="6"/>
      <c r="I2967" s="6"/>
      <c r="J2967" s="6"/>
      <c r="K2967" s="7" t="s">
        <v>4043</v>
      </c>
      <c r="L2967" s="8">
        <v>6986228</v>
      </c>
      <c r="M2967" s="8" t="str">
        <f t="shared" si="237"/>
        <v>PEN</v>
      </c>
      <c r="N2967" s="13"/>
      <c r="O2967" s="13">
        <v>4027.01</v>
      </c>
      <c r="P2967" s="3">
        <f t="shared" si="238"/>
        <v>0</v>
      </c>
      <c r="Q2967" s="3">
        <f t="shared" si="239"/>
        <v>4027.01</v>
      </c>
      <c r="R2967" s="3">
        <f t="shared" si="240"/>
        <v>87278.489999999991</v>
      </c>
      <c r="S2967" s="24" t="s">
        <v>1334</v>
      </c>
      <c r="T2967" s="24" t="s">
        <v>1334</v>
      </c>
      <c r="U2967" s="79" t="s">
        <v>4044</v>
      </c>
      <c r="V2967" s="25">
        <f>IFERROR(VLOOKUP(BCP_Soles[[#This Row],[destinatario]],CHOOSE({1,2},Clientes_Proveedores[Razon Social],Clientes_Proveedores[Ruc / Dni]),2,0),"")</f>
        <v>0</v>
      </c>
      <c r="W2967" s="25"/>
      <c r="X2967" s="25"/>
      <c r="Y2967" s="25"/>
      <c r="Z2967" s="77"/>
      <c r="AA2967" s="3" t="str">
        <f>IF(BCP_Soles[[#This Row],[fecha]]&gt;0,TEXT(BCP_Soles[[#This Row],[fecha]],"mmmm"),0)</f>
        <v>Julio</v>
      </c>
    </row>
    <row r="2968" spans="1:30" ht="24" x14ac:dyDescent="0.3">
      <c r="A2968" s="2">
        <f>IF(BCP_Soles[[#This Row],[tipo_registro]]="R",COUNTIFS($C$1:$C2967,"R")+1,A2967)</f>
        <v>2083</v>
      </c>
      <c r="B2968" s="19" t="str">
        <f t="shared" si="236"/>
        <v>B-BCP - Soles</v>
      </c>
      <c r="C2968" s="3" t="s">
        <v>1352</v>
      </c>
      <c r="D2968" s="14">
        <v>45869</v>
      </c>
      <c r="E2968" s="5" t="s">
        <v>1338</v>
      </c>
      <c r="F2968" s="5"/>
      <c r="G2968" s="6" t="s">
        <v>185</v>
      </c>
      <c r="H2968" s="6" t="s">
        <v>68</v>
      </c>
      <c r="I2968" s="6" t="s">
        <v>1376</v>
      </c>
      <c r="J2968" s="6">
        <v>141</v>
      </c>
      <c r="K2968" s="7" t="s">
        <v>4043</v>
      </c>
      <c r="L2968" s="8">
        <v>6986228</v>
      </c>
      <c r="M2968" s="8" t="str">
        <f t="shared" si="237"/>
        <v>PEN</v>
      </c>
      <c r="N2968" s="13">
        <v>1152</v>
      </c>
      <c r="O2968" s="13"/>
      <c r="P2968" s="3">
        <f t="shared" si="238"/>
        <v>0</v>
      </c>
      <c r="Q2968" s="3">
        <f t="shared" si="239"/>
        <v>0</v>
      </c>
      <c r="R2968" s="3">
        <f t="shared" si="240"/>
        <v>87278.489999999991</v>
      </c>
      <c r="S2968" s="24" t="s">
        <v>1334</v>
      </c>
      <c r="T2968" s="24" t="s">
        <v>1334</v>
      </c>
      <c r="U2968" s="55"/>
      <c r="V2968" s="25">
        <f>IFERROR(VLOOKUP(BCP_Soles[[#This Row],[destinatario]],CHOOSE({1,2},Clientes_Proveedores[Razon Social],Clientes_Proveedores[Ruc / Dni]),2,0),"")</f>
        <v>10489531963</v>
      </c>
      <c r="W2968" s="25"/>
      <c r="X2968" s="25"/>
      <c r="Y2968" s="25"/>
      <c r="Z2968" s="77"/>
      <c r="AA2968" s="3" t="str">
        <f>IF(BCP_Soles[[#This Row],[fecha]]&gt;0,TEXT(BCP_Soles[[#This Row],[fecha]],"mmmm"),0)</f>
        <v>Julio</v>
      </c>
    </row>
    <row r="2969" spans="1:30" ht="24" x14ac:dyDescent="0.3">
      <c r="A2969" s="2">
        <f>IF(BCP_Soles[[#This Row],[tipo_registro]]="R",COUNTIFS($C$1:$C2968,"R")+1,A2968)</f>
        <v>2083</v>
      </c>
      <c r="B2969" s="19" t="str">
        <f t="shared" si="236"/>
        <v>B-BCP - Soles</v>
      </c>
      <c r="C2969" s="3" t="s">
        <v>1352</v>
      </c>
      <c r="D2969" s="14">
        <v>45869</v>
      </c>
      <c r="E2969" s="5" t="s">
        <v>1338</v>
      </c>
      <c r="F2969" s="5"/>
      <c r="G2969" s="6" t="s">
        <v>692</v>
      </c>
      <c r="H2969" s="6" t="s">
        <v>68</v>
      </c>
      <c r="I2969" s="6" t="s">
        <v>1376</v>
      </c>
      <c r="J2969" s="6">
        <v>13</v>
      </c>
      <c r="K2969" s="7" t="s">
        <v>4043</v>
      </c>
      <c r="L2969" s="8">
        <v>6986228</v>
      </c>
      <c r="M2969" s="8" t="str">
        <f t="shared" si="237"/>
        <v>PEN</v>
      </c>
      <c r="N2969" s="13">
        <v>480</v>
      </c>
      <c r="O2969" s="13"/>
      <c r="P2969" s="3">
        <f t="shared" si="238"/>
        <v>0</v>
      </c>
      <c r="Q2969" s="3">
        <f t="shared" si="239"/>
        <v>0</v>
      </c>
      <c r="R2969" s="3">
        <f t="shared" si="240"/>
        <v>87278.489999999991</v>
      </c>
      <c r="S2969" s="24" t="s">
        <v>1334</v>
      </c>
      <c r="T2969" s="24" t="s">
        <v>1334</v>
      </c>
      <c r="U2969" s="55"/>
      <c r="V2969" s="25">
        <f>IFERROR(VLOOKUP(BCP_Soles[[#This Row],[destinatario]],CHOOSE({1,2},Clientes_Proveedores[Razon Social],Clientes_Proveedores[Ruc / Dni]),2,0),"")</f>
        <v>10736055631</v>
      </c>
      <c r="W2969" s="25"/>
      <c r="X2969" s="25"/>
      <c r="Y2969" s="25"/>
      <c r="Z2969" s="77"/>
      <c r="AA2969" s="3" t="str">
        <f>IF(BCP_Soles[[#This Row],[fecha]]&gt;0,TEXT(BCP_Soles[[#This Row],[fecha]],"mmmm"),0)</f>
        <v>Julio</v>
      </c>
    </row>
    <row r="2970" spans="1:30" ht="24" x14ac:dyDescent="0.3">
      <c r="A2970" s="2">
        <f>IF(BCP_Soles[[#This Row],[tipo_registro]]="R",COUNTIFS($C$1:$C2969,"R")+1,A2969)</f>
        <v>2083</v>
      </c>
      <c r="B2970" s="19" t="str">
        <f t="shared" ref="B2970:B3033" si="241">"B-BCP - Soles"</f>
        <v>B-BCP - Soles</v>
      </c>
      <c r="C2970" s="3" t="s">
        <v>1352</v>
      </c>
      <c r="D2970" s="14">
        <v>45869</v>
      </c>
      <c r="E2970" s="5" t="s">
        <v>1338</v>
      </c>
      <c r="F2970" s="5"/>
      <c r="G2970" s="6" t="s">
        <v>667</v>
      </c>
      <c r="H2970" s="6" t="s">
        <v>68</v>
      </c>
      <c r="I2970" s="6" t="s">
        <v>1376</v>
      </c>
      <c r="J2970" s="6">
        <v>50</v>
      </c>
      <c r="K2970" s="7" t="s">
        <v>4043</v>
      </c>
      <c r="L2970" s="8">
        <v>6986228</v>
      </c>
      <c r="M2970" s="8" t="str">
        <f t="shared" ref="M2970:M3033" si="242">"PEN"</f>
        <v>PEN</v>
      </c>
      <c r="N2970" s="13">
        <v>623</v>
      </c>
      <c r="O2970" s="13"/>
      <c r="P2970" s="3">
        <f t="shared" ref="P2970:P3033" si="243">+IF(OR($F2970="SALDO",$F2970="INGRESO"),$O2970,0)</f>
        <v>0</v>
      </c>
      <c r="Q2970" s="3">
        <f t="shared" ref="Q2970:Q3033" si="244">+IF($F2970="EGRESO",$O2970,0)</f>
        <v>0</v>
      </c>
      <c r="R2970" s="3">
        <f t="shared" si="240"/>
        <v>87278.489999999991</v>
      </c>
      <c r="S2970" s="24" t="s">
        <v>1334</v>
      </c>
      <c r="T2970" s="24" t="s">
        <v>1334</v>
      </c>
      <c r="U2970" s="55"/>
      <c r="V2970" s="25">
        <f>IFERROR(VLOOKUP(BCP_Soles[[#This Row],[destinatario]],CHOOSE({1,2},Clientes_Proveedores[Razon Social],Clientes_Proveedores[Ruc / Dni]),2,0),"")</f>
        <v>10410687491</v>
      </c>
      <c r="W2970" s="25"/>
      <c r="X2970" s="25"/>
      <c r="Y2970" s="25"/>
      <c r="Z2970" s="77"/>
      <c r="AA2970" s="3" t="str">
        <f>IF(BCP_Soles[[#This Row],[fecha]]&gt;0,TEXT(BCP_Soles[[#This Row],[fecha]],"mmmm"),0)</f>
        <v>Julio</v>
      </c>
    </row>
    <row r="2971" spans="1:30" ht="24" x14ac:dyDescent="0.3">
      <c r="A2971" s="2">
        <f>IF(BCP_Soles[[#This Row],[tipo_registro]]="R",COUNTIFS($C$1:$C2970,"R")+1,A2970)</f>
        <v>2083</v>
      </c>
      <c r="B2971" s="19" t="str">
        <f t="shared" si="241"/>
        <v>B-BCP - Soles</v>
      </c>
      <c r="C2971" s="3" t="s">
        <v>1352</v>
      </c>
      <c r="D2971" s="14">
        <v>45869</v>
      </c>
      <c r="E2971" s="5" t="s">
        <v>1338</v>
      </c>
      <c r="F2971" s="5"/>
      <c r="G2971" s="6" t="s">
        <v>1023</v>
      </c>
      <c r="H2971" s="6" t="s">
        <v>68</v>
      </c>
      <c r="I2971" s="6" t="s">
        <v>1376</v>
      </c>
      <c r="J2971" s="6">
        <v>34</v>
      </c>
      <c r="K2971" s="7" t="s">
        <v>4043</v>
      </c>
      <c r="L2971" s="8">
        <v>6986228</v>
      </c>
      <c r="M2971" s="8" t="str">
        <f t="shared" si="242"/>
        <v>PEN</v>
      </c>
      <c r="N2971" s="13">
        <v>432</v>
      </c>
      <c r="O2971" s="13"/>
      <c r="P2971" s="3">
        <f t="shared" si="243"/>
        <v>0</v>
      </c>
      <c r="Q2971" s="3">
        <f t="shared" si="244"/>
        <v>0</v>
      </c>
      <c r="R2971" s="3">
        <f t="shared" si="240"/>
        <v>87278.489999999991</v>
      </c>
      <c r="S2971" s="24" t="s">
        <v>1334</v>
      </c>
      <c r="T2971" s="24" t="s">
        <v>1334</v>
      </c>
      <c r="U2971" s="55"/>
      <c r="V2971" s="25">
        <f>IFERROR(VLOOKUP(BCP_Soles[[#This Row],[destinatario]],CHOOSE({1,2},Clientes_Proveedores[Razon Social],Clientes_Proveedores[Ruc / Dni]),2,0),"")</f>
        <v>10410162551</v>
      </c>
      <c r="W2971" s="25"/>
      <c r="X2971" s="25"/>
      <c r="Y2971" s="25"/>
      <c r="Z2971" s="77"/>
      <c r="AA2971" s="3" t="str">
        <f>IF(BCP_Soles[[#This Row],[fecha]]&gt;0,TEXT(BCP_Soles[[#This Row],[fecha]],"mmmm"),0)</f>
        <v>Julio</v>
      </c>
    </row>
    <row r="2972" spans="1:30" ht="24" x14ac:dyDescent="0.3">
      <c r="A2972" s="2">
        <f>IF(BCP_Soles[[#This Row],[tipo_registro]]="R",COUNTIFS($C$1:$C2971,"R")+1,A2971)</f>
        <v>2083</v>
      </c>
      <c r="B2972" s="19" t="str">
        <f t="shared" si="241"/>
        <v>B-BCP - Soles</v>
      </c>
      <c r="C2972" s="3" t="s">
        <v>1352</v>
      </c>
      <c r="D2972" s="14">
        <v>45869</v>
      </c>
      <c r="E2972" s="5" t="s">
        <v>1338</v>
      </c>
      <c r="F2972" s="5"/>
      <c r="G2972" s="6" t="s">
        <v>692</v>
      </c>
      <c r="H2972" s="6" t="s">
        <v>68</v>
      </c>
      <c r="I2972" s="6" t="s">
        <v>1376</v>
      </c>
      <c r="J2972" s="6">
        <v>15</v>
      </c>
      <c r="K2972" s="7" t="s">
        <v>4043</v>
      </c>
      <c r="L2972" s="8">
        <v>6986228</v>
      </c>
      <c r="M2972" s="8" t="str">
        <f t="shared" si="242"/>
        <v>PEN</v>
      </c>
      <c r="N2972" s="13">
        <v>864.01</v>
      </c>
      <c r="O2972" s="13"/>
      <c r="P2972" s="3">
        <f t="shared" si="243"/>
        <v>0</v>
      </c>
      <c r="Q2972" s="3">
        <f t="shared" si="244"/>
        <v>0</v>
      </c>
      <c r="R2972" s="3">
        <f t="shared" si="240"/>
        <v>87278.489999999991</v>
      </c>
      <c r="S2972" s="24" t="s">
        <v>1334</v>
      </c>
      <c r="T2972" s="24" t="s">
        <v>1334</v>
      </c>
      <c r="U2972" s="55"/>
      <c r="V2972" s="25">
        <f>IFERROR(VLOOKUP(BCP_Soles[[#This Row],[destinatario]],CHOOSE({1,2},Clientes_Proveedores[Razon Social],Clientes_Proveedores[Ruc / Dni]),2,0),"")</f>
        <v>10736055631</v>
      </c>
      <c r="W2972" s="25"/>
      <c r="X2972" s="25"/>
      <c r="Y2972" s="25"/>
      <c r="Z2972" s="77"/>
      <c r="AA2972" s="3" t="str">
        <f>IF(BCP_Soles[[#This Row],[fecha]]&gt;0,TEXT(BCP_Soles[[#This Row],[fecha]],"mmmm"),0)</f>
        <v>Julio</v>
      </c>
    </row>
    <row r="2973" spans="1:30" ht="24" x14ac:dyDescent="0.3">
      <c r="A2973" s="2">
        <f>IF(BCP_Soles[[#This Row],[tipo_registro]]="R",COUNTIFS($C$1:$C2972,"R")+1,A2972)</f>
        <v>2083</v>
      </c>
      <c r="B2973" s="19" t="str">
        <f t="shared" si="241"/>
        <v>B-BCP - Soles</v>
      </c>
      <c r="C2973" s="3" t="s">
        <v>1352</v>
      </c>
      <c r="D2973" s="14">
        <v>45869</v>
      </c>
      <c r="E2973" s="5" t="s">
        <v>1338</v>
      </c>
      <c r="F2973" s="5"/>
      <c r="G2973" s="6" t="s">
        <v>537</v>
      </c>
      <c r="H2973" s="6" t="s">
        <v>68</v>
      </c>
      <c r="I2973" s="6" t="s">
        <v>1376</v>
      </c>
      <c r="J2973" s="6">
        <v>877</v>
      </c>
      <c r="K2973" s="7" t="s">
        <v>4043</v>
      </c>
      <c r="L2973" s="8">
        <v>6986228</v>
      </c>
      <c r="M2973" s="8" t="str">
        <f t="shared" si="242"/>
        <v>PEN</v>
      </c>
      <c r="N2973" s="13">
        <v>476</v>
      </c>
      <c r="O2973" s="13"/>
      <c r="P2973" s="3">
        <f t="shared" si="243"/>
        <v>0</v>
      </c>
      <c r="Q2973" s="3">
        <f t="shared" si="244"/>
        <v>0</v>
      </c>
      <c r="R2973" s="3">
        <f t="shared" si="240"/>
        <v>87278.489999999991</v>
      </c>
      <c r="S2973" s="24" t="s">
        <v>1334</v>
      </c>
      <c r="T2973" s="24" t="s">
        <v>1334</v>
      </c>
      <c r="U2973" s="55"/>
      <c r="V2973" s="25">
        <f>IFERROR(VLOOKUP(BCP_Soles[[#This Row],[destinatario]],CHOOSE({1,2},Clientes_Proveedores[Razon Social],Clientes_Proveedores[Ruc / Dni]),2,0),"")</f>
        <v>20605447814</v>
      </c>
      <c r="W2973" s="25"/>
      <c r="X2973" s="25"/>
      <c r="Y2973" s="25"/>
      <c r="Z2973" s="77"/>
      <c r="AA2973" s="3" t="str">
        <f>IF(BCP_Soles[[#This Row],[fecha]]&gt;0,TEXT(BCP_Soles[[#This Row],[fecha]],"mmmm"),0)</f>
        <v>Julio</v>
      </c>
    </row>
    <row r="2974" spans="1:30" x14ac:dyDescent="0.3">
      <c r="A2974" s="2">
        <f>IF(BCP_Soles[[#This Row],[tipo_registro]]="R",COUNTIFS($C$1:$C2973,"R")+1,A2973)</f>
        <v>2084</v>
      </c>
      <c r="B2974" s="19" t="str">
        <f t="shared" si="241"/>
        <v>B-BCP - Soles</v>
      </c>
      <c r="C2974" s="3" t="s">
        <v>1330</v>
      </c>
      <c r="D2974" s="14">
        <v>45869</v>
      </c>
      <c r="E2974" s="5" t="s">
        <v>1338</v>
      </c>
      <c r="F2974" s="5" t="s">
        <v>1336</v>
      </c>
      <c r="G2974" s="6"/>
      <c r="H2974" s="6"/>
      <c r="I2974" s="6"/>
      <c r="J2974" s="6"/>
      <c r="K2974" s="7" t="s">
        <v>4045</v>
      </c>
      <c r="L2974" s="8">
        <v>7197909</v>
      </c>
      <c r="M2974" s="8" t="str">
        <f t="shared" si="242"/>
        <v>PEN</v>
      </c>
      <c r="N2974" s="13"/>
      <c r="O2974" s="13">
        <v>83939.18</v>
      </c>
      <c r="P2974" s="3">
        <f t="shared" si="243"/>
        <v>0</v>
      </c>
      <c r="Q2974" s="3">
        <f t="shared" si="244"/>
        <v>83939.18</v>
      </c>
      <c r="R2974" s="3">
        <f t="shared" si="240"/>
        <v>3339.3099999999977</v>
      </c>
      <c r="S2974" s="24" t="s">
        <v>1334</v>
      </c>
      <c r="T2974" s="24" t="s">
        <v>1334</v>
      </c>
      <c r="U2974" s="55"/>
      <c r="V2974" s="25" t="str">
        <f>IFERROR(VLOOKUP(BCP_Soles[[#This Row],[destinatario]],CHOOSE({1,2},Clientes_Proveedores[Razon Social],Clientes_Proveedores[Ruc / Dni]),2,0),"")</f>
        <v/>
      </c>
      <c r="W2974" s="25"/>
      <c r="X2974" s="25"/>
      <c r="Y2974" s="25"/>
      <c r="Z2974" s="77"/>
      <c r="AA2974" s="3" t="str">
        <f>IF(BCP_Soles[[#This Row],[fecha]]&gt;0,TEXT(BCP_Soles[[#This Row],[fecha]],"mmmm"),0)</f>
        <v>Julio</v>
      </c>
      <c r="AD2974" s="63">
        <f>BCP_Soles[[#This Row],[retiro]]-P2960</f>
        <v>82545</v>
      </c>
    </row>
    <row r="2975" spans="1:30" ht="24" x14ac:dyDescent="0.3">
      <c r="A2975" s="2">
        <f>IF(BCP_Soles[[#This Row],[tipo_registro]]="R",COUNTIFS($C$1:$C2974,"R")+1,A2974)</f>
        <v>2084</v>
      </c>
      <c r="B2975" s="19" t="str">
        <f t="shared" si="241"/>
        <v>B-BCP - Soles</v>
      </c>
      <c r="C2975" s="3" t="s">
        <v>1352</v>
      </c>
      <c r="D2975" s="14">
        <v>45869</v>
      </c>
      <c r="E2975" s="5" t="s">
        <v>1338</v>
      </c>
      <c r="F2975" s="5"/>
      <c r="G2975" s="6" t="s">
        <v>1013</v>
      </c>
      <c r="H2975" s="6" t="s">
        <v>151</v>
      </c>
      <c r="I2975" s="6" t="s">
        <v>4046</v>
      </c>
      <c r="J2975" s="6">
        <v>1</v>
      </c>
      <c r="K2975" s="7" t="s">
        <v>4045</v>
      </c>
      <c r="L2975" s="8">
        <v>7197909</v>
      </c>
      <c r="M2975" s="8" t="str">
        <f t="shared" si="242"/>
        <v>PEN</v>
      </c>
      <c r="N2975" s="13">
        <v>1150.52</v>
      </c>
      <c r="O2975" s="13"/>
      <c r="P2975" s="3">
        <f t="shared" si="243"/>
        <v>0</v>
      </c>
      <c r="Q2975" s="3">
        <f t="shared" si="244"/>
        <v>0</v>
      </c>
      <c r="R2975" s="3">
        <f t="shared" si="240"/>
        <v>3339.3099999999977</v>
      </c>
      <c r="S2975" s="24" t="s">
        <v>1334</v>
      </c>
      <c r="T2975" s="24" t="s">
        <v>1334</v>
      </c>
      <c r="U2975" s="55"/>
      <c r="V2975" s="25">
        <f>IFERROR(VLOOKUP(BCP_Soles[[#This Row],[destinatario]],CHOOSE({1,2},Clientes_Proveedores[Razon Social],Clientes_Proveedores[Ruc / Dni]),2,0),"")</f>
        <v>60945818</v>
      </c>
      <c r="W2975" s="25"/>
      <c r="X2975" s="25"/>
      <c r="Y2975" s="25"/>
      <c r="Z2975" s="77"/>
      <c r="AA2975" s="3" t="str">
        <f>IF(BCP_Soles[[#This Row],[fecha]]&gt;0,TEXT(BCP_Soles[[#This Row],[fecha]],"mmmm"),0)</f>
        <v>Julio</v>
      </c>
    </row>
    <row r="2976" spans="1:30" ht="24" x14ac:dyDescent="0.3">
      <c r="A2976" s="2">
        <f>IF(BCP_Soles[[#This Row],[tipo_registro]]="R",COUNTIFS($C$1:$C2975,"R")+1,A2975)</f>
        <v>2084</v>
      </c>
      <c r="B2976" s="19" t="str">
        <f t="shared" si="241"/>
        <v>B-BCP - Soles</v>
      </c>
      <c r="C2976" s="3" t="s">
        <v>1352</v>
      </c>
      <c r="D2976" s="14">
        <v>45869</v>
      </c>
      <c r="E2976" s="5" t="s">
        <v>1338</v>
      </c>
      <c r="F2976" s="5"/>
      <c r="G2976" s="6" t="s">
        <v>788</v>
      </c>
      <c r="H2976" s="6" t="s">
        <v>151</v>
      </c>
      <c r="I2976" s="6" t="s">
        <v>4046</v>
      </c>
      <c r="J2976" s="6">
        <v>2</v>
      </c>
      <c r="K2976" s="7" t="s">
        <v>4045</v>
      </c>
      <c r="L2976" s="8">
        <v>7197909</v>
      </c>
      <c r="M2976" s="8" t="str">
        <f t="shared" si="242"/>
        <v>PEN</v>
      </c>
      <c r="N2976" s="13">
        <v>153.25</v>
      </c>
      <c r="O2976" s="13"/>
      <c r="P2976" s="3">
        <f t="shared" si="243"/>
        <v>0</v>
      </c>
      <c r="Q2976" s="3">
        <f t="shared" si="244"/>
        <v>0</v>
      </c>
      <c r="R2976" s="3">
        <f t="shared" si="240"/>
        <v>3339.3099999999977</v>
      </c>
      <c r="S2976" s="24" t="s">
        <v>1334</v>
      </c>
      <c r="T2976" s="24" t="s">
        <v>1334</v>
      </c>
      <c r="U2976" s="55"/>
      <c r="V2976" s="25">
        <f>IFERROR(VLOOKUP(BCP_Soles[[#This Row],[destinatario]],CHOOSE({1,2},Clientes_Proveedores[Razon Social],Clientes_Proveedores[Ruc / Dni]),2,0),"")</f>
        <v>73238347</v>
      </c>
      <c r="W2976" s="25"/>
      <c r="X2976" s="25"/>
      <c r="Y2976" s="25"/>
      <c r="Z2976" s="77"/>
      <c r="AA2976" s="3" t="str">
        <f>IF(BCP_Soles[[#This Row],[fecha]]&gt;0,TEXT(BCP_Soles[[#This Row],[fecha]],"mmmm"),0)</f>
        <v>Julio</v>
      </c>
    </row>
    <row r="2977" spans="1:27" ht="24" x14ac:dyDescent="0.3">
      <c r="A2977" s="2">
        <f>IF(BCP_Soles[[#This Row],[tipo_registro]]="R",COUNTIFS($C$1:$C2976,"R")+1,A2976)</f>
        <v>2084</v>
      </c>
      <c r="B2977" s="19" t="str">
        <f t="shared" si="241"/>
        <v>B-BCP - Soles</v>
      </c>
      <c r="C2977" s="3" t="s">
        <v>1352</v>
      </c>
      <c r="D2977" s="14">
        <v>45869</v>
      </c>
      <c r="E2977" s="5" t="s">
        <v>1338</v>
      </c>
      <c r="F2977" s="5"/>
      <c r="G2977" s="6" t="s">
        <v>1014</v>
      </c>
      <c r="H2977" s="6" t="s">
        <v>151</v>
      </c>
      <c r="I2977" s="6" t="s">
        <v>4046</v>
      </c>
      <c r="J2977" s="6">
        <v>3</v>
      </c>
      <c r="K2977" s="7" t="s">
        <v>4045</v>
      </c>
      <c r="L2977" s="8">
        <v>7197909</v>
      </c>
      <c r="M2977" s="8" t="str">
        <f t="shared" si="242"/>
        <v>PEN</v>
      </c>
      <c r="N2977" s="13">
        <v>1439.88</v>
      </c>
      <c r="O2977" s="13"/>
      <c r="P2977" s="3">
        <f t="shared" si="243"/>
        <v>0</v>
      </c>
      <c r="Q2977" s="3">
        <f t="shared" si="244"/>
        <v>0</v>
      </c>
      <c r="R2977" s="3">
        <f t="shared" si="240"/>
        <v>3339.3099999999977</v>
      </c>
      <c r="S2977" s="24" t="s">
        <v>1334</v>
      </c>
      <c r="T2977" s="24" t="s">
        <v>1334</v>
      </c>
      <c r="U2977" s="55"/>
      <c r="V2977" s="25">
        <f>IFERROR(VLOOKUP(BCP_Soles[[#This Row],[destinatario]],CHOOSE({1,2},Clientes_Proveedores[Razon Social],Clientes_Proveedores[Ruc / Dni]),2,0),"")</f>
        <v>75560789</v>
      </c>
      <c r="W2977" s="25"/>
      <c r="X2977" s="25"/>
      <c r="Y2977" s="25"/>
      <c r="Z2977" s="77"/>
      <c r="AA2977" s="3" t="str">
        <f>IF(BCP_Soles[[#This Row],[fecha]]&gt;0,TEXT(BCP_Soles[[#This Row],[fecha]],"mmmm"),0)</f>
        <v>Julio</v>
      </c>
    </row>
    <row r="2978" spans="1:27" ht="24" x14ac:dyDescent="0.3">
      <c r="A2978" s="2">
        <f>IF(BCP_Soles[[#This Row],[tipo_registro]]="R",COUNTIFS($C$1:$C2977,"R")+1,A2977)</f>
        <v>2084</v>
      </c>
      <c r="B2978" s="19" t="str">
        <f t="shared" si="241"/>
        <v>B-BCP - Soles</v>
      </c>
      <c r="C2978" s="3" t="s">
        <v>1352</v>
      </c>
      <c r="D2978" s="14">
        <v>45869</v>
      </c>
      <c r="E2978" s="5" t="s">
        <v>1338</v>
      </c>
      <c r="F2978" s="5"/>
      <c r="G2978" s="6" t="s">
        <v>790</v>
      </c>
      <c r="H2978" s="6" t="s">
        <v>151</v>
      </c>
      <c r="I2978" s="6" t="s">
        <v>4046</v>
      </c>
      <c r="J2978" s="6">
        <v>4</v>
      </c>
      <c r="K2978" s="7" t="s">
        <v>4045</v>
      </c>
      <c r="L2978" s="8">
        <v>7197909</v>
      </c>
      <c r="M2978" s="8" t="str">
        <f t="shared" si="242"/>
        <v>PEN</v>
      </c>
      <c r="N2978" s="13">
        <v>1604.15</v>
      </c>
      <c r="O2978" s="13"/>
      <c r="P2978" s="3">
        <f t="shared" si="243"/>
        <v>0</v>
      </c>
      <c r="Q2978" s="3">
        <f t="shared" si="244"/>
        <v>0</v>
      </c>
      <c r="R2978" s="3">
        <f t="shared" si="240"/>
        <v>3339.3099999999977</v>
      </c>
      <c r="S2978" s="24" t="s">
        <v>1334</v>
      </c>
      <c r="T2978" s="24" t="s">
        <v>1334</v>
      </c>
      <c r="U2978" s="55"/>
      <c r="V2978" s="25">
        <f>IFERROR(VLOOKUP(BCP_Soles[[#This Row],[destinatario]],CHOOSE({1,2},Clientes_Proveedores[Razon Social],Clientes_Proveedores[Ruc / Dni]),2,0),"")</f>
        <v>72169020</v>
      </c>
      <c r="W2978" s="25"/>
      <c r="X2978" s="25"/>
      <c r="Y2978" s="25"/>
      <c r="Z2978" s="77"/>
      <c r="AA2978" s="3" t="str">
        <f>IF(BCP_Soles[[#This Row],[fecha]]&gt;0,TEXT(BCP_Soles[[#This Row],[fecha]],"mmmm"),0)</f>
        <v>Julio</v>
      </c>
    </row>
    <row r="2979" spans="1:27" ht="24" x14ac:dyDescent="0.3">
      <c r="A2979" s="2">
        <f>IF(BCP_Soles[[#This Row],[tipo_registro]]="R",COUNTIFS($C$1:$C2978,"R")+1,A2978)</f>
        <v>2084</v>
      </c>
      <c r="B2979" s="19" t="str">
        <f t="shared" si="241"/>
        <v>B-BCP - Soles</v>
      </c>
      <c r="C2979" s="3" t="s">
        <v>1352</v>
      </c>
      <c r="D2979" s="14">
        <v>45869</v>
      </c>
      <c r="E2979" s="5" t="s">
        <v>1338</v>
      </c>
      <c r="F2979" s="5"/>
      <c r="G2979" s="6" t="s">
        <v>1015</v>
      </c>
      <c r="H2979" s="6" t="s">
        <v>151</v>
      </c>
      <c r="I2979" s="6" t="s">
        <v>4046</v>
      </c>
      <c r="J2979" s="6">
        <v>5</v>
      </c>
      <c r="K2979" s="7" t="s">
        <v>4045</v>
      </c>
      <c r="L2979" s="8">
        <v>7197909</v>
      </c>
      <c r="M2979" s="8" t="str">
        <f t="shared" si="242"/>
        <v>PEN</v>
      </c>
      <c r="N2979" s="13">
        <v>1168.67</v>
      </c>
      <c r="O2979" s="13"/>
      <c r="P2979" s="3">
        <f t="shared" si="243"/>
        <v>0</v>
      </c>
      <c r="Q2979" s="3">
        <f t="shared" si="244"/>
        <v>0</v>
      </c>
      <c r="R2979" s="3">
        <f t="shared" si="240"/>
        <v>3339.3099999999977</v>
      </c>
      <c r="S2979" s="24" t="s">
        <v>1334</v>
      </c>
      <c r="T2979" s="24" t="s">
        <v>1334</v>
      </c>
      <c r="U2979" s="55"/>
      <c r="V2979" s="25">
        <f>IFERROR(VLOOKUP(BCP_Soles[[#This Row],[destinatario]],CHOOSE({1,2},Clientes_Proveedores[Razon Social],Clientes_Proveedores[Ruc / Dni]),2,0),"")</f>
        <v>48298276</v>
      </c>
      <c r="W2979" s="25"/>
      <c r="X2979" s="25"/>
      <c r="Y2979" s="25"/>
      <c r="Z2979" s="77"/>
      <c r="AA2979" s="3" t="str">
        <f>IF(BCP_Soles[[#This Row],[fecha]]&gt;0,TEXT(BCP_Soles[[#This Row],[fecha]],"mmmm"),0)</f>
        <v>Julio</v>
      </c>
    </row>
    <row r="2980" spans="1:27" ht="36" x14ac:dyDescent="0.3">
      <c r="A2980" s="2">
        <f>IF(BCP_Soles[[#This Row],[tipo_registro]]="R",COUNTIFS($C$1:$C2979,"R")+1,A2979)</f>
        <v>2084</v>
      </c>
      <c r="B2980" s="19" t="str">
        <f t="shared" si="241"/>
        <v>B-BCP - Soles</v>
      </c>
      <c r="C2980" s="3" t="s">
        <v>1352</v>
      </c>
      <c r="D2980" s="14">
        <v>45869</v>
      </c>
      <c r="E2980" s="5" t="s">
        <v>1338</v>
      </c>
      <c r="F2980" s="5"/>
      <c r="G2980" s="6" t="s">
        <v>795</v>
      </c>
      <c r="H2980" s="6" t="s">
        <v>151</v>
      </c>
      <c r="I2980" s="6" t="s">
        <v>4046</v>
      </c>
      <c r="J2980" s="6">
        <v>6</v>
      </c>
      <c r="K2980" s="7" t="s">
        <v>4045</v>
      </c>
      <c r="L2980" s="8">
        <v>7197909</v>
      </c>
      <c r="M2980" s="8" t="str">
        <f t="shared" si="242"/>
        <v>PEN</v>
      </c>
      <c r="N2980" s="13">
        <v>1295.05</v>
      </c>
      <c r="O2980" s="13"/>
      <c r="P2980" s="3">
        <f t="shared" si="243"/>
        <v>0</v>
      </c>
      <c r="Q2980" s="3">
        <f t="shared" si="244"/>
        <v>0</v>
      </c>
      <c r="R2980" s="3">
        <f t="shared" si="240"/>
        <v>3339.3099999999977</v>
      </c>
      <c r="S2980" s="24" t="s">
        <v>1334</v>
      </c>
      <c r="T2980" s="24" t="s">
        <v>1334</v>
      </c>
      <c r="U2980" s="55"/>
      <c r="V2980" s="25">
        <f>IFERROR(VLOOKUP(BCP_Soles[[#This Row],[destinatario]],CHOOSE({1,2},Clientes_Proveedores[Razon Social],Clientes_Proveedores[Ruc / Dni]),2,0),"")</f>
        <v>48164743</v>
      </c>
      <c r="W2980" s="25"/>
      <c r="X2980" s="25"/>
      <c r="Y2980" s="25"/>
      <c r="Z2980" s="77"/>
      <c r="AA2980" s="3" t="str">
        <f>IF(BCP_Soles[[#This Row],[fecha]]&gt;0,TEXT(BCP_Soles[[#This Row],[fecha]],"mmmm"),0)</f>
        <v>Julio</v>
      </c>
    </row>
    <row r="2981" spans="1:27" ht="24" x14ac:dyDescent="0.3">
      <c r="A2981" s="2">
        <f>IF(BCP_Soles[[#This Row],[tipo_registro]]="R",COUNTIFS($C$1:$C2980,"R")+1,A2980)</f>
        <v>2084</v>
      </c>
      <c r="B2981" s="19" t="str">
        <f t="shared" si="241"/>
        <v>B-BCP - Soles</v>
      </c>
      <c r="C2981" s="3" t="s">
        <v>1352</v>
      </c>
      <c r="D2981" s="14">
        <v>45869</v>
      </c>
      <c r="E2981" s="5" t="s">
        <v>1338</v>
      </c>
      <c r="F2981" s="5"/>
      <c r="G2981" s="6" t="s">
        <v>1016</v>
      </c>
      <c r="H2981" s="6" t="s">
        <v>151</v>
      </c>
      <c r="I2981" s="6" t="s">
        <v>4046</v>
      </c>
      <c r="J2981" s="6">
        <v>7</v>
      </c>
      <c r="K2981" s="7" t="s">
        <v>4045</v>
      </c>
      <c r="L2981" s="8">
        <v>7197909</v>
      </c>
      <c r="M2981" s="8" t="str">
        <f t="shared" si="242"/>
        <v>PEN</v>
      </c>
      <c r="N2981" s="13">
        <v>1156.74</v>
      </c>
      <c r="O2981" s="13"/>
      <c r="P2981" s="3">
        <f t="shared" si="243"/>
        <v>0</v>
      </c>
      <c r="Q2981" s="3">
        <f t="shared" si="244"/>
        <v>0</v>
      </c>
      <c r="R2981" s="3">
        <f t="shared" si="240"/>
        <v>3339.3099999999977</v>
      </c>
      <c r="S2981" s="24" t="s">
        <v>1334</v>
      </c>
      <c r="T2981" s="24" t="s">
        <v>1334</v>
      </c>
      <c r="U2981" s="55"/>
      <c r="V2981" s="25">
        <f>IFERROR(VLOOKUP(BCP_Soles[[#This Row],[destinatario]],CHOOSE({1,2},Clientes_Proveedores[Razon Social],Clientes_Proveedores[Ruc / Dni]),2,0),"")</f>
        <v>76140901</v>
      </c>
      <c r="W2981" s="25"/>
      <c r="X2981" s="25"/>
      <c r="Y2981" s="25"/>
      <c r="Z2981" s="77"/>
      <c r="AA2981" s="3" t="str">
        <f>IF(BCP_Soles[[#This Row],[fecha]]&gt;0,TEXT(BCP_Soles[[#This Row],[fecha]],"mmmm"),0)</f>
        <v>Julio</v>
      </c>
    </row>
    <row r="2982" spans="1:27" ht="24" x14ac:dyDescent="0.3">
      <c r="A2982" s="2">
        <f>IF(BCP_Soles[[#This Row],[tipo_registro]]="R",COUNTIFS($C$1:$C2981,"R")+1,A2981)</f>
        <v>2084</v>
      </c>
      <c r="B2982" s="19" t="str">
        <f t="shared" si="241"/>
        <v>B-BCP - Soles</v>
      </c>
      <c r="C2982" s="3" t="s">
        <v>1352</v>
      </c>
      <c r="D2982" s="14">
        <v>45869</v>
      </c>
      <c r="E2982" s="5" t="s">
        <v>1338</v>
      </c>
      <c r="F2982" s="5"/>
      <c r="G2982" s="6" t="s">
        <v>806</v>
      </c>
      <c r="H2982" s="6" t="s">
        <v>151</v>
      </c>
      <c r="I2982" s="6" t="s">
        <v>4046</v>
      </c>
      <c r="J2982" s="6">
        <v>8</v>
      </c>
      <c r="K2982" s="7" t="s">
        <v>4045</v>
      </c>
      <c r="L2982" s="8">
        <v>7197909</v>
      </c>
      <c r="M2982" s="8" t="str">
        <f t="shared" si="242"/>
        <v>PEN</v>
      </c>
      <c r="N2982" s="13">
        <v>1562.55</v>
      </c>
      <c r="O2982" s="13"/>
      <c r="P2982" s="3">
        <f t="shared" si="243"/>
        <v>0</v>
      </c>
      <c r="Q2982" s="3">
        <f t="shared" si="244"/>
        <v>0</v>
      </c>
      <c r="R2982" s="3">
        <f t="shared" si="240"/>
        <v>3339.3099999999977</v>
      </c>
      <c r="S2982" s="24" t="s">
        <v>1334</v>
      </c>
      <c r="T2982" s="24" t="s">
        <v>1334</v>
      </c>
      <c r="U2982" s="55"/>
      <c r="V2982" s="25">
        <f>IFERROR(VLOOKUP(BCP_Soles[[#This Row],[destinatario]],CHOOSE({1,2},Clientes_Proveedores[Razon Social],Clientes_Proveedores[Ruc / Dni]),2,0),"")</f>
        <v>44162989</v>
      </c>
      <c r="W2982" s="25"/>
      <c r="X2982" s="25"/>
      <c r="Y2982" s="25"/>
      <c r="Z2982" s="77"/>
      <c r="AA2982" s="3" t="str">
        <f>IF(BCP_Soles[[#This Row],[fecha]]&gt;0,TEXT(BCP_Soles[[#This Row],[fecha]],"mmmm"),0)</f>
        <v>Julio</v>
      </c>
    </row>
    <row r="2983" spans="1:27" ht="24" x14ac:dyDescent="0.3">
      <c r="A2983" s="2">
        <f>IF(BCP_Soles[[#This Row],[tipo_registro]]="R",COUNTIFS($C$1:$C2982,"R")+1,A2982)</f>
        <v>2084</v>
      </c>
      <c r="B2983" s="19" t="str">
        <f t="shared" si="241"/>
        <v>B-BCP - Soles</v>
      </c>
      <c r="C2983" s="3" t="s">
        <v>1352</v>
      </c>
      <c r="D2983" s="14">
        <v>45869</v>
      </c>
      <c r="E2983" s="5" t="s">
        <v>1338</v>
      </c>
      <c r="F2983" s="5"/>
      <c r="G2983" s="6" t="s">
        <v>809</v>
      </c>
      <c r="H2983" s="6" t="s">
        <v>151</v>
      </c>
      <c r="I2983" s="6" t="s">
        <v>4046</v>
      </c>
      <c r="J2983" s="6">
        <v>9</v>
      </c>
      <c r="K2983" s="7" t="s">
        <v>4045</v>
      </c>
      <c r="L2983" s="8">
        <v>7197909</v>
      </c>
      <c r="M2983" s="8" t="str">
        <f t="shared" si="242"/>
        <v>PEN</v>
      </c>
      <c r="N2983" s="13">
        <v>3583.25</v>
      </c>
      <c r="O2983" s="13"/>
      <c r="P2983" s="3">
        <f t="shared" si="243"/>
        <v>0</v>
      </c>
      <c r="Q2983" s="3">
        <f t="shared" si="244"/>
        <v>0</v>
      </c>
      <c r="R2983" s="3">
        <f t="shared" si="240"/>
        <v>3339.3099999999977</v>
      </c>
      <c r="S2983" s="24" t="s">
        <v>1334</v>
      </c>
      <c r="T2983" s="24" t="s">
        <v>1334</v>
      </c>
      <c r="U2983" s="55"/>
      <c r="V2983" s="25">
        <f>IFERROR(VLOOKUP(BCP_Soles[[#This Row],[destinatario]],CHOOSE({1,2},Clientes_Proveedores[Razon Social],Clientes_Proveedores[Ruc / Dni]),2,0),"")</f>
        <v>45286301</v>
      </c>
      <c r="W2983" s="25"/>
      <c r="X2983" s="25"/>
      <c r="Y2983" s="25"/>
      <c r="Z2983" s="77"/>
      <c r="AA2983" s="3" t="str">
        <f>IF(BCP_Soles[[#This Row],[fecha]]&gt;0,TEXT(BCP_Soles[[#This Row],[fecha]],"mmmm"),0)</f>
        <v>Julio</v>
      </c>
    </row>
    <row r="2984" spans="1:27" ht="24" x14ac:dyDescent="0.3">
      <c r="A2984" s="2">
        <f>IF(BCP_Soles[[#This Row],[tipo_registro]]="R",COUNTIFS($C$1:$C2983,"R")+1,A2983)</f>
        <v>2084</v>
      </c>
      <c r="B2984" s="19" t="str">
        <f t="shared" si="241"/>
        <v>B-BCP - Soles</v>
      </c>
      <c r="C2984" s="3" t="s">
        <v>1352</v>
      </c>
      <c r="D2984" s="14">
        <v>45869</v>
      </c>
      <c r="E2984" s="5" t="s">
        <v>1338</v>
      </c>
      <c r="F2984" s="5"/>
      <c r="G2984" s="6" t="s">
        <v>812</v>
      </c>
      <c r="H2984" s="6" t="s">
        <v>151</v>
      </c>
      <c r="I2984" s="6" t="s">
        <v>4046</v>
      </c>
      <c r="J2984" s="6">
        <v>10</v>
      </c>
      <c r="K2984" s="7" t="s">
        <v>4045</v>
      </c>
      <c r="L2984" s="8">
        <v>7197909</v>
      </c>
      <c r="M2984" s="8" t="str">
        <f t="shared" si="242"/>
        <v>PEN</v>
      </c>
      <c r="N2984" s="13">
        <v>2160.0100000000002</v>
      </c>
      <c r="O2984" s="13"/>
      <c r="P2984" s="3">
        <f t="shared" si="243"/>
        <v>0</v>
      </c>
      <c r="Q2984" s="3">
        <f t="shared" si="244"/>
        <v>0</v>
      </c>
      <c r="R2984" s="3">
        <f t="shared" si="240"/>
        <v>3339.3099999999977</v>
      </c>
      <c r="S2984" s="24" t="s">
        <v>1334</v>
      </c>
      <c r="T2984" s="24" t="s">
        <v>1334</v>
      </c>
      <c r="U2984" s="55"/>
      <c r="V2984" s="25">
        <f>IFERROR(VLOOKUP(BCP_Soles[[#This Row],[destinatario]],CHOOSE({1,2},Clientes_Proveedores[Razon Social],Clientes_Proveedores[Ruc / Dni]),2,0),"")</f>
        <v>73444362</v>
      </c>
      <c r="W2984" s="25"/>
      <c r="X2984" s="25"/>
      <c r="Y2984" s="25"/>
      <c r="Z2984" s="77"/>
      <c r="AA2984" s="3" t="str">
        <f>IF(BCP_Soles[[#This Row],[fecha]]&gt;0,TEXT(BCP_Soles[[#This Row],[fecha]],"mmmm"),0)</f>
        <v>Julio</v>
      </c>
    </row>
    <row r="2985" spans="1:27" ht="24" x14ac:dyDescent="0.3">
      <c r="A2985" s="2">
        <f>IF(BCP_Soles[[#This Row],[tipo_registro]]="R",COUNTIFS($C$1:$C2984,"R")+1,A2984)</f>
        <v>2084</v>
      </c>
      <c r="B2985" s="19" t="str">
        <f t="shared" si="241"/>
        <v>B-BCP - Soles</v>
      </c>
      <c r="C2985" s="3" t="s">
        <v>1352</v>
      </c>
      <c r="D2985" s="14">
        <v>45869</v>
      </c>
      <c r="E2985" s="5" t="s">
        <v>1338</v>
      </c>
      <c r="F2985" s="5"/>
      <c r="G2985" s="6" t="s">
        <v>1017</v>
      </c>
      <c r="H2985" s="6" t="s">
        <v>151</v>
      </c>
      <c r="I2985" s="6" t="s">
        <v>4046</v>
      </c>
      <c r="J2985" s="6">
        <v>11</v>
      </c>
      <c r="K2985" s="7" t="s">
        <v>4045</v>
      </c>
      <c r="L2985" s="8">
        <v>7197909</v>
      </c>
      <c r="M2985" s="8" t="str">
        <f t="shared" si="242"/>
        <v>PEN</v>
      </c>
      <c r="N2985" s="13">
        <v>1510.4</v>
      </c>
      <c r="O2985" s="13"/>
      <c r="P2985" s="3">
        <f t="shared" si="243"/>
        <v>0</v>
      </c>
      <c r="Q2985" s="3">
        <f t="shared" si="244"/>
        <v>0</v>
      </c>
      <c r="R2985" s="3">
        <f t="shared" si="240"/>
        <v>3339.3099999999977</v>
      </c>
      <c r="S2985" s="24" t="s">
        <v>1334</v>
      </c>
      <c r="T2985" s="24" t="s">
        <v>1334</v>
      </c>
      <c r="U2985" s="55"/>
      <c r="V2985" s="25">
        <f>IFERROR(VLOOKUP(BCP_Soles[[#This Row],[destinatario]],CHOOSE({1,2},Clientes_Proveedores[Razon Social],Clientes_Proveedores[Ruc / Dni]),2,0),"")</f>
        <v>72458502</v>
      </c>
      <c r="W2985" s="25"/>
      <c r="X2985" s="25"/>
      <c r="Y2985" s="25"/>
      <c r="Z2985" s="77"/>
      <c r="AA2985" s="3" t="str">
        <f>IF(BCP_Soles[[#This Row],[fecha]]&gt;0,TEXT(BCP_Soles[[#This Row],[fecha]],"mmmm"),0)</f>
        <v>Julio</v>
      </c>
    </row>
    <row r="2986" spans="1:27" ht="24" x14ac:dyDescent="0.3">
      <c r="A2986" s="2">
        <f>IF(BCP_Soles[[#This Row],[tipo_registro]]="R",COUNTIFS($C$1:$C2985,"R")+1,A2985)</f>
        <v>2084</v>
      </c>
      <c r="B2986" s="19" t="str">
        <f t="shared" si="241"/>
        <v>B-BCP - Soles</v>
      </c>
      <c r="C2986" s="3" t="s">
        <v>1352</v>
      </c>
      <c r="D2986" s="14">
        <v>45869</v>
      </c>
      <c r="E2986" s="5" t="s">
        <v>1338</v>
      </c>
      <c r="F2986" s="5"/>
      <c r="G2986" s="6" t="s">
        <v>820</v>
      </c>
      <c r="H2986" s="6" t="s">
        <v>151</v>
      </c>
      <c r="I2986" s="6" t="s">
        <v>4046</v>
      </c>
      <c r="J2986" s="6">
        <v>12</v>
      </c>
      <c r="K2986" s="7" t="s">
        <v>4045</v>
      </c>
      <c r="L2986" s="8">
        <v>7197909</v>
      </c>
      <c r="M2986" s="8" t="str">
        <f t="shared" si="242"/>
        <v>PEN</v>
      </c>
      <c r="N2986" s="13">
        <v>1366.38</v>
      </c>
      <c r="O2986" s="13"/>
      <c r="P2986" s="3">
        <f t="shared" si="243"/>
        <v>0</v>
      </c>
      <c r="Q2986" s="3">
        <f t="shared" si="244"/>
        <v>0</v>
      </c>
      <c r="R2986" s="3">
        <f t="shared" si="240"/>
        <v>3339.3099999999977</v>
      </c>
      <c r="S2986" s="24" t="s">
        <v>1334</v>
      </c>
      <c r="T2986" s="24" t="s">
        <v>1334</v>
      </c>
      <c r="U2986" s="55"/>
      <c r="V2986" s="25">
        <f>IFERROR(VLOOKUP(BCP_Soles[[#This Row],[destinatario]],CHOOSE({1,2},Clientes_Proveedores[Razon Social],Clientes_Proveedores[Ruc / Dni]),2,0),"")</f>
        <v>75424672</v>
      </c>
      <c r="W2986" s="25"/>
      <c r="X2986" s="25"/>
      <c r="Y2986" s="25"/>
      <c r="Z2986" s="77"/>
      <c r="AA2986" s="3" t="str">
        <f>IF(BCP_Soles[[#This Row],[fecha]]&gt;0,TEXT(BCP_Soles[[#This Row],[fecha]],"mmmm"),0)</f>
        <v>Julio</v>
      </c>
    </row>
    <row r="2987" spans="1:27" ht="24" x14ac:dyDescent="0.3">
      <c r="A2987" s="2">
        <f>IF(BCP_Soles[[#This Row],[tipo_registro]]="R",COUNTIFS($C$1:$C2986,"R")+1,A2986)</f>
        <v>2084</v>
      </c>
      <c r="B2987" s="19" t="str">
        <f t="shared" si="241"/>
        <v>B-BCP - Soles</v>
      </c>
      <c r="C2987" s="3" t="s">
        <v>1352</v>
      </c>
      <c r="D2987" s="14">
        <v>45869</v>
      </c>
      <c r="E2987" s="5" t="s">
        <v>1338</v>
      </c>
      <c r="F2987" s="5"/>
      <c r="G2987" s="6" t="s">
        <v>829</v>
      </c>
      <c r="H2987" s="6" t="s">
        <v>151</v>
      </c>
      <c r="I2987" s="6" t="s">
        <v>4046</v>
      </c>
      <c r="J2987" s="6">
        <v>13</v>
      </c>
      <c r="K2987" s="7" t="s">
        <v>4045</v>
      </c>
      <c r="L2987" s="8">
        <v>7197909</v>
      </c>
      <c r="M2987" s="8" t="str">
        <f t="shared" si="242"/>
        <v>PEN</v>
      </c>
      <c r="N2987" s="13">
        <v>1665.38</v>
      </c>
      <c r="O2987" s="13"/>
      <c r="P2987" s="3">
        <f t="shared" si="243"/>
        <v>0</v>
      </c>
      <c r="Q2987" s="3">
        <f t="shared" si="244"/>
        <v>0</v>
      </c>
      <c r="R2987" s="3">
        <f t="shared" si="240"/>
        <v>3339.3099999999977</v>
      </c>
      <c r="S2987" s="24" t="s">
        <v>1334</v>
      </c>
      <c r="T2987" s="24" t="s">
        <v>1334</v>
      </c>
      <c r="U2987" s="55"/>
      <c r="V2987" s="25">
        <f>IFERROR(VLOOKUP(BCP_Soles[[#This Row],[destinatario]],CHOOSE({1,2},Clientes_Proveedores[Razon Social],Clientes_Proveedores[Ruc / Dni]),2,0),"")</f>
        <v>70198916</v>
      </c>
      <c r="W2987" s="25"/>
      <c r="X2987" s="25"/>
      <c r="Y2987" s="25"/>
      <c r="Z2987" s="77"/>
      <c r="AA2987" s="3" t="str">
        <f>IF(BCP_Soles[[#This Row],[fecha]]&gt;0,TEXT(BCP_Soles[[#This Row],[fecha]],"mmmm"),0)</f>
        <v>Julio</v>
      </c>
    </row>
    <row r="2988" spans="1:27" ht="24" x14ac:dyDescent="0.3">
      <c r="A2988" s="2">
        <f>IF(BCP_Soles[[#This Row],[tipo_registro]]="R",COUNTIFS($C$1:$C2987,"R")+1,A2987)</f>
        <v>2084</v>
      </c>
      <c r="B2988" s="19" t="str">
        <f t="shared" si="241"/>
        <v>B-BCP - Soles</v>
      </c>
      <c r="C2988" s="3" t="s">
        <v>1352</v>
      </c>
      <c r="D2988" s="14">
        <v>45869</v>
      </c>
      <c r="E2988" s="5" t="s">
        <v>1338</v>
      </c>
      <c r="F2988" s="5"/>
      <c r="G2988" s="6" t="s">
        <v>827</v>
      </c>
      <c r="H2988" s="6" t="s">
        <v>151</v>
      </c>
      <c r="I2988" s="6" t="s">
        <v>4046</v>
      </c>
      <c r="J2988" s="6">
        <v>14</v>
      </c>
      <c r="K2988" s="7" t="s">
        <v>4045</v>
      </c>
      <c r="L2988" s="8">
        <v>7197909</v>
      </c>
      <c r="M2988" s="8" t="str">
        <f t="shared" si="242"/>
        <v>PEN</v>
      </c>
      <c r="N2988" s="13">
        <v>1532.59</v>
      </c>
      <c r="O2988" s="13"/>
      <c r="P2988" s="3">
        <f t="shared" si="243"/>
        <v>0</v>
      </c>
      <c r="Q2988" s="3">
        <f t="shared" si="244"/>
        <v>0</v>
      </c>
      <c r="R2988" s="3">
        <f t="shared" si="240"/>
        <v>3339.3099999999977</v>
      </c>
      <c r="S2988" s="24" t="s">
        <v>1334</v>
      </c>
      <c r="T2988" s="24" t="s">
        <v>1334</v>
      </c>
      <c r="U2988" s="55"/>
      <c r="V2988" s="25">
        <f>IFERROR(VLOOKUP(BCP_Soles[[#This Row],[destinatario]],CHOOSE({1,2},Clientes_Proveedores[Razon Social],Clientes_Proveedores[Ruc / Dni]),2,0),"")</f>
        <v>74600892</v>
      </c>
      <c r="W2988" s="25"/>
      <c r="X2988" s="25"/>
      <c r="Y2988" s="25"/>
      <c r="Z2988" s="77"/>
      <c r="AA2988" s="3" t="str">
        <f>IF(BCP_Soles[[#This Row],[fecha]]&gt;0,TEXT(BCP_Soles[[#This Row],[fecha]],"mmmm"),0)</f>
        <v>Julio</v>
      </c>
    </row>
    <row r="2989" spans="1:27" ht="24" x14ac:dyDescent="0.3">
      <c r="A2989" s="2">
        <f>IF(BCP_Soles[[#This Row],[tipo_registro]]="R",COUNTIFS($C$1:$C2988,"R")+1,A2988)</f>
        <v>2084</v>
      </c>
      <c r="B2989" s="19" t="str">
        <f t="shared" si="241"/>
        <v>B-BCP - Soles</v>
      </c>
      <c r="C2989" s="3" t="s">
        <v>1352</v>
      </c>
      <c r="D2989" s="14">
        <v>45869</v>
      </c>
      <c r="E2989" s="5" t="s">
        <v>1338</v>
      </c>
      <c r="F2989" s="5"/>
      <c r="G2989" s="6" t="s">
        <v>836</v>
      </c>
      <c r="H2989" s="6" t="s">
        <v>151</v>
      </c>
      <c r="I2989" s="6" t="s">
        <v>4046</v>
      </c>
      <c r="J2989" s="6">
        <v>15</v>
      </c>
      <c r="K2989" s="7" t="s">
        <v>4045</v>
      </c>
      <c r="L2989" s="8">
        <v>7197909</v>
      </c>
      <c r="M2989" s="8" t="str">
        <f t="shared" si="242"/>
        <v>PEN</v>
      </c>
      <c r="N2989" s="13">
        <v>1664.39</v>
      </c>
      <c r="O2989" s="13"/>
      <c r="P2989" s="3">
        <f t="shared" si="243"/>
        <v>0</v>
      </c>
      <c r="Q2989" s="3">
        <f t="shared" si="244"/>
        <v>0</v>
      </c>
      <c r="R2989" s="3">
        <f t="shared" si="240"/>
        <v>3339.3099999999977</v>
      </c>
      <c r="S2989" s="24" t="s">
        <v>1334</v>
      </c>
      <c r="T2989" s="24" t="s">
        <v>1334</v>
      </c>
      <c r="U2989" s="55"/>
      <c r="V2989" s="25">
        <f>IFERROR(VLOOKUP(BCP_Soles[[#This Row],[destinatario]],CHOOSE({1,2},Clientes_Proveedores[Razon Social],Clientes_Proveedores[Ruc / Dni]),2,0),"")</f>
        <v>44468346</v>
      </c>
      <c r="W2989" s="25"/>
      <c r="X2989" s="25"/>
      <c r="Y2989" s="25"/>
      <c r="Z2989" s="77"/>
      <c r="AA2989" s="3" t="str">
        <f>IF(BCP_Soles[[#This Row],[fecha]]&gt;0,TEXT(BCP_Soles[[#This Row],[fecha]],"mmmm"),0)</f>
        <v>Julio</v>
      </c>
    </row>
    <row r="2990" spans="1:27" ht="24" x14ac:dyDescent="0.3">
      <c r="A2990" s="2">
        <f>IF(BCP_Soles[[#This Row],[tipo_registro]]="R",COUNTIFS($C$1:$C2989,"R")+1,A2989)</f>
        <v>2084</v>
      </c>
      <c r="B2990" s="19" t="str">
        <f t="shared" si="241"/>
        <v>B-BCP - Soles</v>
      </c>
      <c r="C2990" s="3" t="s">
        <v>1352</v>
      </c>
      <c r="D2990" s="14">
        <v>45869</v>
      </c>
      <c r="E2990" s="5" t="s">
        <v>1338</v>
      </c>
      <c r="F2990" s="5"/>
      <c r="G2990" s="6" t="s">
        <v>997</v>
      </c>
      <c r="H2990" s="6" t="s">
        <v>151</v>
      </c>
      <c r="I2990" s="6" t="s">
        <v>4046</v>
      </c>
      <c r="J2990" s="6">
        <v>16</v>
      </c>
      <c r="K2990" s="7" t="s">
        <v>4045</v>
      </c>
      <c r="L2990" s="8">
        <v>7197909</v>
      </c>
      <c r="M2990" s="8" t="str">
        <f t="shared" si="242"/>
        <v>PEN</v>
      </c>
      <c r="N2990" s="13">
        <v>1574.31</v>
      </c>
      <c r="O2990" s="13"/>
      <c r="P2990" s="3">
        <f t="shared" si="243"/>
        <v>0</v>
      </c>
      <c r="Q2990" s="3">
        <f t="shared" si="244"/>
        <v>0</v>
      </c>
      <c r="R2990" s="3">
        <f t="shared" si="240"/>
        <v>3339.3099999999977</v>
      </c>
      <c r="S2990" s="24" t="s">
        <v>1334</v>
      </c>
      <c r="T2990" s="24" t="s">
        <v>1334</v>
      </c>
      <c r="U2990" s="55"/>
      <c r="V2990" s="25">
        <f>IFERROR(VLOOKUP(BCP_Soles[[#This Row],[destinatario]],CHOOSE({1,2},Clientes_Proveedores[Razon Social],Clientes_Proveedores[Ruc / Dni]),2,0),"")</f>
        <v>71334789</v>
      </c>
      <c r="W2990" s="25"/>
      <c r="X2990" s="25"/>
      <c r="Y2990" s="25"/>
      <c r="Z2990" s="77"/>
      <c r="AA2990" s="3" t="str">
        <f>IF(BCP_Soles[[#This Row],[fecha]]&gt;0,TEXT(BCP_Soles[[#This Row],[fecha]],"mmmm"),0)</f>
        <v>Julio</v>
      </c>
    </row>
    <row r="2991" spans="1:27" ht="24" x14ac:dyDescent="0.3">
      <c r="A2991" s="2">
        <f>IF(BCP_Soles[[#This Row],[tipo_registro]]="R",COUNTIFS($C$1:$C2990,"R")+1,A2990)</f>
        <v>2084</v>
      </c>
      <c r="B2991" s="19" t="str">
        <f t="shared" si="241"/>
        <v>B-BCP - Soles</v>
      </c>
      <c r="C2991" s="3" t="s">
        <v>1352</v>
      </c>
      <c r="D2991" s="14">
        <v>45869</v>
      </c>
      <c r="E2991" s="5" t="s">
        <v>1338</v>
      </c>
      <c r="F2991" s="5"/>
      <c r="G2991" s="6" t="s">
        <v>967</v>
      </c>
      <c r="H2991" s="6" t="s">
        <v>151</v>
      </c>
      <c r="I2991" s="6" t="s">
        <v>4046</v>
      </c>
      <c r="J2991" s="6">
        <v>17</v>
      </c>
      <c r="K2991" s="7" t="s">
        <v>4045</v>
      </c>
      <c r="L2991" s="8">
        <v>7197909</v>
      </c>
      <c r="M2991" s="8" t="str">
        <f t="shared" si="242"/>
        <v>PEN</v>
      </c>
      <c r="N2991" s="13">
        <v>1249.68</v>
      </c>
      <c r="O2991" s="13"/>
      <c r="P2991" s="3">
        <f t="shared" si="243"/>
        <v>0</v>
      </c>
      <c r="Q2991" s="3">
        <f t="shared" si="244"/>
        <v>0</v>
      </c>
      <c r="R2991" s="3">
        <f t="shared" si="240"/>
        <v>3339.3099999999977</v>
      </c>
      <c r="S2991" s="24" t="s">
        <v>1334</v>
      </c>
      <c r="T2991" s="24" t="s">
        <v>1334</v>
      </c>
      <c r="U2991" s="55"/>
      <c r="V2991" s="25">
        <f>IFERROR(VLOOKUP(BCP_Soles[[#This Row],[destinatario]],CHOOSE({1,2},Clientes_Proveedores[Razon Social],Clientes_Proveedores[Ruc / Dni]),2,0),"")</f>
        <v>70517150</v>
      </c>
      <c r="W2991" s="25"/>
      <c r="X2991" s="25"/>
      <c r="Y2991" s="25"/>
      <c r="Z2991" s="77"/>
      <c r="AA2991" s="3" t="str">
        <f>IF(BCP_Soles[[#This Row],[fecha]]&gt;0,TEXT(BCP_Soles[[#This Row],[fecha]],"mmmm"),0)</f>
        <v>Julio</v>
      </c>
    </row>
    <row r="2992" spans="1:27" ht="24" x14ac:dyDescent="0.3">
      <c r="A2992" s="2">
        <f>IF(BCP_Soles[[#This Row],[tipo_registro]]="R",COUNTIFS($C$1:$C2991,"R")+1,A2991)</f>
        <v>2084</v>
      </c>
      <c r="B2992" s="19" t="str">
        <f t="shared" si="241"/>
        <v>B-BCP - Soles</v>
      </c>
      <c r="C2992" s="3" t="s">
        <v>1352</v>
      </c>
      <c r="D2992" s="14">
        <v>45869</v>
      </c>
      <c r="E2992" s="5" t="s">
        <v>1338</v>
      </c>
      <c r="F2992" s="5"/>
      <c r="G2992" s="6" t="s">
        <v>857</v>
      </c>
      <c r="H2992" s="6" t="s">
        <v>151</v>
      </c>
      <c r="I2992" s="6" t="s">
        <v>4046</v>
      </c>
      <c r="J2992" s="6">
        <v>18</v>
      </c>
      <c r="K2992" s="7" t="s">
        <v>4045</v>
      </c>
      <c r="L2992" s="8">
        <v>7197909</v>
      </c>
      <c r="M2992" s="8" t="str">
        <f t="shared" si="242"/>
        <v>PEN</v>
      </c>
      <c r="N2992" s="13">
        <v>1620.76</v>
      </c>
      <c r="O2992" s="13"/>
      <c r="P2992" s="3">
        <f t="shared" si="243"/>
        <v>0</v>
      </c>
      <c r="Q2992" s="3">
        <f t="shared" si="244"/>
        <v>0</v>
      </c>
      <c r="R2992" s="3">
        <f t="shared" si="240"/>
        <v>3339.3099999999977</v>
      </c>
      <c r="S2992" s="24" t="s">
        <v>1334</v>
      </c>
      <c r="T2992" s="24" t="s">
        <v>1334</v>
      </c>
      <c r="U2992" s="55"/>
      <c r="V2992" s="25">
        <f>IFERROR(VLOOKUP(BCP_Soles[[#This Row],[destinatario]],CHOOSE({1,2},Clientes_Proveedores[Razon Social],Clientes_Proveedores[Ruc / Dni]),2,0),"")</f>
        <v>70666331</v>
      </c>
      <c r="W2992" s="25"/>
      <c r="X2992" s="25"/>
      <c r="Y2992" s="25"/>
      <c r="Z2992" s="77"/>
      <c r="AA2992" s="3" t="str">
        <f>IF(BCP_Soles[[#This Row],[fecha]]&gt;0,TEXT(BCP_Soles[[#This Row],[fecha]],"mmmm"),0)</f>
        <v>Julio</v>
      </c>
    </row>
    <row r="2993" spans="1:27" ht="24" x14ac:dyDescent="0.3">
      <c r="A2993" s="2">
        <f>IF(BCP_Soles[[#This Row],[tipo_registro]]="R",COUNTIFS($C$1:$C2992,"R")+1,A2992)</f>
        <v>2084</v>
      </c>
      <c r="B2993" s="19" t="str">
        <f t="shared" si="241"/>
        <v>B-BCP - Soles</v>
      </c>
      <c r="C2993" s="3" t="s">
        <v>1352</v>
      </c>
      <c r="D2993" s="14">
        <v>45869</v>
      </c>
      <c r="E2993" s="5" t="s">
        <v>1338</v>
      </c>
      <c r="F2993" s="5"/>
      <c r="G2993" s="6" t="s">
        <v>859</v>
      </c>
      <c r="H2993" s="6" t="s">
        <v>151</v>
      </c>
      <c r="I2993" s="6" t="s">
        <v>4046</v>
      </c>
      <c r="J2993" s="6">
        <v>19</v>
      </c>
      <c r="K2993" s="7" t="s">
        <v>4045</v>
      </c>
      <c r="L2993" s="8">
        <v>7197909</v>
      </c>
      <c r="M2993" s="8" t="str">
        <f t="shared" si="242"/>
        <v>PEN</v>
      </c>
      <c r="N2993" s="13">
        <v>1056.19</v>
      </c>
      <c r="O2993" s="13"/>
      <c r="P2993" s="3">
        <f t="shared" si="243"/>
        <v>0</v>
      </c>
      <c r="Q2993" s="3">
        <f t="shared" si="244"/>
        <v>0</v>
      </c>
      <c r="R2993" s="3">
        <f t="shared" si="240"/>
        <v>3339.3099999999977</v>
      </c>
      <c r="S2993" s="24" t="s">
        <v>1334</v>
      </c>
      <c r="T2993" s="24" t="s">
        <v>1334</v>
      </c>
      <c r="U2993" s="55"/>
      <c r="V2993" s="25">
        <f>IFERROR(VLOOKUP(BCP_Soles[[#This Row],[destinatario]],CHOOSE({1,2},Clientes_Proveedores[Razon Social],Clientes_Proveedores[Ruc / Dni]),2,0),"")</f>
        <v>43814375</v>
      </c>
      <c r="W2993" s="25"/>
      <c r="X2993" s="25"/>
      <c r="Y2993" s="25"/>
      <c r="Z2993" s="77"/>
      <c r="AA2993" s="3" t="str">
        <f>IF(BCP_Soles[[#This Row],[fecha]]&gt;0,TEXT(BCP_Soles[[#This Row],[fecha]],"mmmm"),0)</f>
        <v>Julio</v>
      </c>
    </row>
    <row r="2994" spans="1:27" ht="24" x14ac:dyDescent="0.3">
      <c r="A2994" s="2">
        <f>IF(BCP_Soles[[#This Row],[tipo_registro]]="R",COUNTIFS($C$1:$C2993,"R")+1,A2993)</f>
        <v>2084</v>
      </c>
      <c r="B2994" s="19" t="str">
        <f t="shared" si="241"/>
        <v>B-BCP - Soles</v>
      </c>
      <c r="C2994" s="3" t="s">
        <v>1352</v>
      </c>
      <c r="D2994" s="14">
        <v>45869</v>
      </c>
      <c r="E2994" s="5" t="s">
        <v>1338</v>
      </c>
      <c r="F2994" s="5"/>
      <c r="G2994" s="6" t="s">
        <v>692</v>
      </c>
      <c r="H2994" s="6" t="s">
        <v>151</v>
      </c>
      <c r="I2994" s="6" t="s">
        <v>4046</v>
      </c>
      <c r="J2994" s="6">
        <v>20</v>
      </c>
      <c r="K2994" s="7" t="s">
        <v>4045</v>
      </c>
      <c r="L2994" s="8">
        <v>7197909</v>
      </c>
      <c r="M2994" s="8" t="str">
        <f t="shared" si="242"/>
        <v>PEN</v>
      </c>
      <c r="N2994" s="13">
        <v>2688.89</v>
      </c>
      <c r="O2994" s="13"/>
      <c r="P2994" s="3">
        <f t="shared" si="243"/>
        <v>0</v>
      </c>
      <c r="Q2994" s="3">
        <f t="shared" si="244"/>
        <v>0</v>
      </c>
      <c r="R2994" s="3">
        <f t="shared" si="240"/>
        <v>3339.3099999999977</v>
      </c>
      <c r="S2994" s="24" t="s">
        <v>1334</v>
      </c>
      <c r="T2994" s="24" t="s">
        <v>1334</v>
      </c>
      <c r="U2994" s="55"/>
      <c r="V2994" s="25">
        <f>IFERROR(VLOOKUP(BCP_Soles[[#This Row],[destinatario]],CHOOSE({1,2},Clientes_Proveedores[Razon Social],Clientes_Proveedores[Ruc / Dni]),2,0),"")</f>
        <v>10736055631</v>
      </c>
      <c r="W2994" s="25"/>
      <c r="X2994" s="25"/>
      <c r="Y2994" s="25"/>
      <c r="Z2994" s="77"/>
      <c r="AA2994" s="3" t="str">
        <f>IF(BCP_Soles[[#This Row],[fecha]]&gt;0,TEXT(BCP_Soles[[#This Row],[fecha]],"mmmm"),0)</f>
        <v>Julio</v>
      </c>
    </row>
    <row r="2995" spans="1:27" ht="24" x14ac:dyDescent="0.3">
      <c r="A2995" s="2">
        <f>IF(BCP_Soles[[#This Row],[tipo_registro]]="R",COUNTIFS($C$1:$C2994,"R")+1,A2994)</f>
        <v>2084</v>
      </c>
      <c r="B2995" s="19" t="str">
        <f t="shared" si="241"/>
        <v>B-BCP - Soles</v>
      </c>
      <c r="C2995" s="3" t="s">
        <v>1352</v>
      </c>
      <c r="D2995" s="14">
        <v>45869</v>
      </c>
      <c r="E2995" s="5" t="s">
        <v>1338</v>
      </c>
      <c r="F2995" s="5"/>
      <c r="G2995" s="6" t="s">
        <v>866</v>
      </c>
      <c r="H2995" s="6" t="s">
        <v>151</v>
      </c>
      <c r="I2995" s="6" t="s">
        <v>4046</v>
      </c>
      <c r="J2995" s="6">
        <v>21</v>
      </c>
      <c r="K2995" s="7" t="s">
        <v>4045</v>
      </c>
      <c r="L2995" s="8">
        <v>7197909</v>
      </c>
      <c r="M2995" s="8" t="str">
        <f t="shared" si="242"/>
        <v>PEN</v>
      </c>
      <c r="N2995" s="13">
        <v>948.74</v>
      </c>
      <c r="O2995" s="13"/>
      <c r="P2995" s="3">
        <f t="shared" si="243"/>
        <v>0</v>
      </c>
      <c r="Q2995" s="3">
        <f t="shared" si="244"/>
        <v>0</v>
      </c>
      <c r="R2995" s="3">
        <f t="shared" si="240"/>
        <v>3339.3099999999977</v>
      </c>
      <c r="S2995" s="24" t="s">
        <v>1334</v>
      </c>
      <c r="T2995" s="24" t="s">
        <v>1334</v>
      </c>
      <c r="U2995" s="55"/>
      <c r="V2995" s="25">
        <f>IFERROR(VLOOKUP(BCP_Soles[[#This Row],[destinatario]],CHOOSE({1,2},Clientes_Proveedores[Razon Social],Clientes_Proveedores[Ruc / Dni]),2,0),"")</f>
        <v>45921913</v>
      </c>
      <c r="W2995" s="25"/>
      <c r="X2995" s="25"/>
      <c r="Y2995" s="25"/>
      <c r="Z2995" s="77"/>
      <c r="AA2995" s="3" t="str">
        <f>IF(BCP_Soles[[#This Row],[fecha]]&gt;0,TEXT(BCP_Soles[[#This Row],[fecha]],"mmmm"),0)</f>
        <v>Julio</v>
      </c>
    </row>
    <row r="2996" spans="1:27" ht="24" x14ac:dyDescent="0.3">
      <c r="A2996" s="2">
        <f>IF(BCP_Soles[[#This Row],[tipo_registro]]="R",COUNTIFS($C$1:$C2995,"R")+1,A2995)</f>
        <v>2084</v>
      </c>
      <c r="B2996" s="19" t="str">
        <f t="shared" si="241"/>
        <v>B-BCP - Soles</v>
      </c>
      <c r="C2996" s="3" t="s">
        <v>1352</v>
      </c>
      <c r="D2996" s="14">
        <v>45869</v>
      </c>
      <c r="E2996" s="5" t="s">
        <v>1338</v>
      </c>
      <c r="F2996" s="5"/>
      <c r="G2996" s="6" t="s">
        <v>1075</v>
      </c>
      <c r="H2996" s="6" t="s">
        <v>151</v>
      </c>
      <c r="I2996" s="6" t="s">
        <v>4046</v>
      </c>
      <c r="J2996" s="6">
        <v>22</v>
      </c>
      <c r="K2996" s="7" t="s">
        <v>4045</v>
      </c>
      <c r="L2996" s="8">
        <v>7197909</v>
      </c>
      <c r="M2996" s="8" t="str">
        <f t="shared" si="242"/>
        <v>PEN</v>
      </c>
      <c r="N2996" s="13">
        <v>1166.29</v>
      </c>
      <c r="O2996" s="13"/>
      <c r="P2996" s="3">
        <f t="shared" si="243"/>
        <v>0</v>
      </c>
      <c r="Q2996" s="3">
        <f t="shared" si="244"/>
        <v>0</v>
      </c>
      <c r="R2996" s="3">
        <f t="shared" si="240"/>
        <v>3339.3099999999977</v>
      </c>
      <c r="S2996" s="24" t="s">
        <v>1334</v>
      </c>
      <c r="T2996" s="24" t="s">
        <v>1334</v>
      </c>
      <c r="U2996" s="55"/>
      <c r="V2996" s="25">
        <f>IFERROR(VLOOKUP(BCP_Soles[[#This Row],[destinatario]],CHOOSE({1,2},Clientes_Proveedores[Razon Social],Clientes_Proveedores[Ruc / Dni]),2,0),"")</f>
        <v>72551423</v>
      </c>
      <c r="W2996" s="25"/>
      <c r="X2996" s="25"/>
      <c r="Y2996" s="25"/>
      <c r="Z2996" s="77"/>
      <c r="AA2996" s="3" t="str">
        <f>IF(BCP_Soles[[#This Row],[fecha]]&gt;0,TEXT(BCP_Soles[[#This Row],[fecha]],"mmmm"),0)</f>
        <v>Julio</v>
      </c>
    </row>
    <row r="2997" spans="1:27" ht="24" x14ac:dyDescent="0.3">
      <c r="A2997" s="2">
        <f>IF(BCP_Soles[[#This Row],[tipo_registro]]="R",COUNTIFS($C$1:$C2996,"R")+1,A2996)</f>
        <v>2084</v>
      </c>
      <c r="B2997" s="19" t="str">
        <f t="shared" si="241"/>
        <v>B-BCP - Soles</v>
      </c>
      <c r="C2997" s="3" t="s">
        <v>1352</v>
      </c>
      <c r="D2997" s="14">
        <v>45869</v>
      </c>
      <c r="E2997" s="5" t="s">
        <v>1338</v>
      </c>
      <c r="F2997" s="5"/>
      <c r="G2997" s="6" t="s">
        <v>871</v>
      </c>
      <c r="H2997" s="6" t="s">
        <v>151</v>
      </c>
      <c r="I2997" s="6" t="s">
        <v>4046</v>
      </c>
      <c r="J2997" s="6">
        <v>23</v>
      </c>
      <c r="K2997" s="7" t="s">
        <v>4045</v>
      </c>
      <c r="L2997" s="8">
        <v>7197909</v>
      </c>
      <c r="M2997" s="8" t="str">
        <f t="shared" si="242"/>
        <v>PEN</v>
      </c>
      <c r="N2997" s="13">
        <v>1564.89</v>
      </c>
      <c r="O2997" s="13"/>
      <c r="P2997" s="3">
        <f t="shared" si="243"/>
        <v>0</v>
      </c>
      <c r="Q2997" s="3">
        <f t="shared" si="244"/>
        <v>0</v>
      </c>
      <c r="R2997" s="3">
        <f t="shared" si="240"/>
        <v>3339.3099999999977</v>
      </c>
      <c r="S2997" s="24" t="s">
        <v>1334</v>
      </c>
      <c r="T2997" s="24" t="s">
        <v>1334</v>
      </c>
      <c r="U2997" s="55"/>
      <c r="V2997" s="25">
        <f>IFERROR(VLOOKUP(BCP_Soles[[#This Row],[destinatario]],CHOOSE({1,2},Clientes_Proveedores[Razon Social],Clientes_Proveedores[Ruc / Dni]),2,0),"")</f>
        <v>72302392</v>
      </c>
      <c r="W2997" s="25"/>
      <c r="X2997" s="25"/>
      <c r="Y2997" s="25"/>
      <c r="Z2997" s="77"/>
      <c r="AA2997" s="3" t="str">
        <f>IF(BCP_Soles[[#This Row],[fecha]]&gt;0,TEXT(BCP_Soles[[#This Row],[fecha]],"mmmm"),0)</f>
        <v>Julio</v>
      </c>
    </row>
    <row r="2998" spans="1:27" ht="24" x14ac:dyDescent="0.3">
      <c r="A2998" s="2">
        <f>IF(BCP_Soles[[#This Row],[tipo_registro]]="R",COUNTIFS($C$1:$C2997,"R")+1,A2997)</f>
        <v>2084</v>
      </c>
      <c r="B2998" s="19" t="str">
        <f t="shared" si="241"/>
        <v>B-BCP - Soles</v>
      </c>
      <c r="C2998" s="3" t="s">
        <v>1352</v>
      </c>
      <c r="D2998" s="14">
        <v>45869</v>
      </c>
      <c r="E2998" s="5" t="s">
        <v>1338</v>
      </c>
      <c r="F2998" s="5"/>
      <c r="G2998" s="6" t="s">
        <v>873</v>
      </c>
      <c r="H2998" s="6" t="s">
        <v>151</v>
      </c>
      <c r="I2998" s="6" t="s">
        <v>4046</v>
      </c>
      <c r="J2998" s="6">
        <v>24</v>
      </c>
      <c r="K2998" s="7" t="s">
        <v>4045</v>
      </c>
      <c r="L2998" s="8">
        <v>7197909</v>
      </c>
      <c r="M2998" s="8" t="str">
        <f t="shared" si="242"/>
        <v>PEN</v>
      </c>
      <c r="N2998" s="13">
        <v>1168.31</v>
      </c>
      <c r="O2998" s="13"/>
      <c r="P2998" s="3">
        <f t="shared" si="243"/>
        <v>0</v>
      </c>
      <c r="Q2998" s="3">
        <f t="shared" si="244"/>
        <v>0</v>
      </c>
      <c r="R2998" s="3">
        <f t="shared" si="240"/>
        <v>3339.3099999999977</v>
      </c>
      <c r="S2998" s="24" t="s">
        <v>1334</v>
      </c>
      <c r="T2998" s="24" t="s">
        <v>1334</v>
      </c>
      <c r="U2998" s="55"/>
      <c r="V2998" s="25">
        <f>IFERROR(VLOOKUP(BCP_Soles[[#This Row],[destinatario]],CHOOSE({1,2},Clientes_Proveedores[Razon Social],Clientes_Proveedores[Ruc / Dni]),2,0),"")</f>
        <v>80355193</v>
      </c>
      <c r="W2998" s="25"/>
      <c r="X2998" s="25"/>
      <c r="Y2998" s="25"/>
      <c r="Z2998" s="77"/>
      <c r="AA2998" s="3" t="str">
        <f>IF(BCP_Soles[[#This Row],[fecha]]&gt;0,TEXT(BCP_Soles[[#This Row],[fecha]],"mmmm"),0)</f>
        <v>Julio</v>
      </c>
    </row>
    <row r="2999" spans="1:27" ht="24" x14ac:dyDescent="0.3">
      <c r="A2999" s="2">
        <f>IF(BCP_Soles[[#This Row],[tipo_registro]]="R",COUNTIFS($C$1:$C2998,"R")+1,A2998)</f>
        <v>2084</v>
      </c>
      <c r="B2999" s="19" t="str">
        <f t="shared" si="241"/>
        <v>B-BCP - Soles</v>
      </c>
      <c r="C2999" s="3" t="s">
        <v>1352</v>
      </c>
      <c r="D2999" s="14">
        <v>45869</v>
      </c>
      <c r="E2999" s="5" t="s">
        <v>1338</v>
      </c>
      <c r="F2999" s="5"/>
      <c r="G2999" s="6" t="s">
        <v>882</v>
      </c>
      <c r="H2999" s="6" t="s">
        <v>151</v>
      </c>
      <c r="I2999" s="6" t="s">
        <v>4046</v>
      </c>
      <c r="J2999" s="6">
        <v>26</v>
      </c>
      <c r="K2999" s="7" t="s">
        <v>4045</v>
      </c>
      <c r="L2999" s="8">
        <v>7197909</v>
      </c>
      <c r="M2999" s="8" t="str">
        <f t="shared" si="242"/>
        <v>PEN</v>
      </c>
      <c r="N2999" s="13">
        <v>2567.52</v>
      </c>
      <c r="O2999" s="13"/>
      <c r="P2999" s="3">
        <f t="shared" si="243"/>
        <v>0</v>
      </c>
      <c r="Q2999" s="3">
        <f t="shared" si="244"/>
        <v>0</v>
      </c>
      <c r="R2999" s="3">
        <f t="shared" si="240"/>
        <v>3339.3099999999977</v>
      </c>
      <c r="S2999" s="24" t="s">
        <v>1334</v>
      </c>
      <c r="T2999" s="24" t="s">
        <v>1334</v>
      </c>
      <c r="U2999" s="55"/>
      <c r="V2999" s="25">
        <f>IFERROR(VLOOKUP(BCP_Soles[[#This Row],[destinatario]],CHOOSE({1,2},Clientes_Proveedores[Razon Social],Clientes_Proveedores[Ruc / Dni]),2,0),"")</f>
        <v>72450429</v>
      </c>
      <c r="W2999" s="25"/>
      <c r="X2999" s="25"/>
      <c r="Y2999" s="25"/>
      <c r="Z2999" s="77"/>
      <c r="AA2999" s="3" t="str">
        <f>IF(BCP_Soles[[#This Row],[fecha]]&gt;0,TEXT(BCP_Soles[[#This Row],[fecha]],"mmmm"),0)</f>
        <v>Julio</v>
      </c>
    </row>
    <row r="3000" spans="1:27" ht="24" x14ac:dyDescent="0.3">
      <c r="A3000" s="2">
        <f>IF(BCP_Soles[[#This Row],[tipo_registro]]="R",COUNTIFS($C$1:$C2999,"R")+1,A2999)</f>
        <v>2084</v>
      </c>
      <c r="B3000" s="19" t="str">
        <f t="shared" si="241"/>
        <v>B-BCP - Soles</v>
      </c>
      <c r="C3000" s="3" t="s">
        <v>1352</v>
      </c>
      <c r="D3000" s="14">
        <v>45869</v>
      </c>
      <c r="E3000" s="5" t="s">
        <v>1338</v>
      </c>
      <c r="F3000" s="5"/>
      <c r="G3000" s="6" t="s">
        <v>1010</v>
      </c>
      <c r="H3000" s="6" t="s">
        <v>151</v>
      </c>
      <c r="I3000" s="6" t="s">
        <v>4046</v>
      </c>
      <c r="J3000" s="6">
        <v>27</v>
      </c>
      <c r="K3000" s="7" t="s">
        <v>4045</v>
      </c>
      <c r="L3000" s="8">
        <v>7197909</v>
      </c>
      <c r="M3000" s="8" t="str">
        <f t="shared" si="242"/>
        <v>PEN</v>
      </c>
      <c r="N3000" s="13">
        <v>1025.94</v>
      </c>
      <c r="O3000" s="13"/>
      <c r="P3000" s="3">
        <f t="shared" si="243"/>
        <v>0</v>
      </c>
      <c r="Q3000" s="3">
        <f t="shared" si="244"/>
        <v>0</v>
      </c>
      <c r="R3000" s="3">
        <f t="shared" si="240"/>
        <v>3339.3099999999977</v>
      </c>
      <c r="S3000" s="24" t="s">
        <v>1334</v>
      </c>
      <c r="T3000" s="24" t="s">
        <v>1334</v>
      </c>
      <c r="U3000" s="55"/>
      <c r="V3000" s="25">
        <f>IFERROR(VLOOKUP(BCP_Soles[[#This Row],[destinatario]],CHOOSE({1,2},Clientes_Proveedores[Razon Social],Clientes_Proveedores[Ruc / Dni]),2,0),"")</f>
        <v>48197510</v>
      </c>
      <c r="W3000" s="25"/>
      <c r="X3000" s="25"/>
      <c r="Y3000" s="25"/>
      <c r="Z3000" s="77"/>
      <c r="AA3000" s="3" t="str">
        <f>IF(BCP_Soles[[#This Row],[fecha]]&gt;0,TEXT(BCP_Soles[[#This Row],[fecha]],"mmmm"),0)</f>
        <v>Julio</v>
      </c>
    </row>
    <row r="3001" spans="1:27" ht="24" x14ac:dyDescent="0.3">
      <c r="A3001" s="2">
        <f>IF(BCP_Soles[[#This Row],[tipo_registro]]="R",COUNTIFS($C$1:$C3000,"R")+1,A3000)</f>
        <v>2084</v>
      </c>
      <c r="B3001" s="19" t="str">
        <f t="shared" si="241"/>
        <v>B-BCP - Soles</v>
      </c>
      <c r="C3001" s="3" t="s">
        <v>1352</v>
      </c>
      <c r="D3001" s="14">
        <v>45869</v>
      </c>
      <c r="E3001" s="5" t="s">
        <v>1338</v>
      </c>
      <c r="F3001" s="5"/>
      <c r="G3001" s="6" t="s">
        <v>888</v>
      </c>
      <c r="H3001" s="6" t="s">
        <v>151</v>
      </c>
      <c r="I3001" s="6" t="s">
        <v>4046</v>
      </c>
      <c r="J3001" s="6">
        <v>28</v>
      </c>
      <c r="K3001" s="7" t="s">
        <v>4045</v>
      </c>
      <c r="L3001" s="8">
        <v>7197909</v>
      </c>
      <c r="M3001" s="8" t="str">
        <f t="shared" si="242"/>
        <v>PEN</v>
      </c>
      <c r="N3001" s="13">
        <v>2041.81</v>
      </c>
      <c r="O3001" s="13"/>
      <c r="P3001" s="3">
        <f t="shared" si="243"/>
        <v>0</v>
      </c>
      <c r="Q3001" s="3">
        <f t="shared" si="244"/>
        <v>0</v>
      </c>
      <c r="R3001" s="3">
        <f t="shared" si="240"/>
        <v>3339.3099999999977</v>
      </c>
      <c r="S3001" s="24" t="s">
        <v>1334</v>
      </c>
      <c r="T3001" s="24" t="s">
        <v>1334</v>
      </c>
      <c r="U3001" s="55"/>
      <c r="V3001" s="25">
        <f>IFERROR(VLOOKUP(BCP_Soles[[#This Row],[destinatario]],CHOOSE({1,2},Clientes_Proveedores[Razon Social],Clientes_Proveedores[Ruc / Dni]),2,0),"")</f>
        <v>47461440</v>
      </c>
      <c r="W3001" s="25"/>
      <c r="X3001" s="25"/>
      <c r="Y3001" s="25"/>
      <c r="Z3001" s="77"/>
      <c r="AA3001" s="3" t="str">
        <f>IF(BCP_Soles[[#This Row],[fecha]]&gt;0,TEXT(BCP_Soles[[#This Row],[fecha]],"mmmm"),0)</f>
        <v>Julio</v>
      </c>
    </row>
    <row r="3002" spans="1:27" ht="24" x14ac:dyDescent="0.3">
      <c r="A3002" s="2">
        <f>IF(BCP_Soles[[#This Row],[tipo_registro]]="R",COUNTIFS($C$1:$C3001,"R")+1,A3001)</f>
        <v>2084</v>
      </c>
      <c r="B3002" s="19" t="str">
        <f t="shared" si="241"/>
        <v>B-BCP - Soles</v>
      </c>
      <c r="C3002" s="3" t="s">
        <v>1352</v>
      </c>
      <c r="D3002" s="14">
        <v>45869</v>
      </c>
      <c r="E3002" s="5" t="s">
        <v>1338</v>
      </c>
      <c r="F3002" s="5"/>
      <c r="G3002" s="6" t="s">
        <v>890</v>
      </c>
      <c r="H3002" s="6" t="s">
        <v>151</v>
      </c>
      <c r="I3002" s="6" t="s">
        <v>4046</v>
      </c>
      <c r="J3002" s="6">
        <v>29</v>
      </c>
      <c r="K3002" s="7" t="s">
        <v>4045</v>
      </c>
      <c r="L3002" s="8">
        <v>7197909</v>
      </c>
      <c r="M3002" s="8" t="str">
        <f t="shared" si="242"/>
        <v>PEN</v>
      </c>
      <c r="N3002" s="13">
        <v>1978.18</v>
      </c>
      <c r="O3002" s="13"/>
      <c r="P3002" s="3">
        <f t="shared" si="243"/>
        <v>0</v>
      </c>
      <c r="Q3002" s="3">
        <f t="shared" si="244"/>
        <v>0</v>
      </c>
      <c r="R3002" s="3">
        <f t="shared" si="240"/>
        <v>3339.3099999999977</v>
      </c>
      <c r="S3002" s="24" t="s">
        <v>1334</v>
      </c>
      <c r="T3002" s="24" t="s">
        <v>1334</v>
      </c>
      <c r="U3002" s="55"/>
      <c r="V3002" s="25">
        <f>IFERROR(VLOOKUP(BCP_Soles[[#This Row],[destinatario]],CHOOSE({1,2},Clientes_Proveedores[Razon Social],Clientes_Proveedores[Ruc / Dni]),2,0),"")</f>
        <v>78803424</v>
      </c>
      <c r="W3002" s="25"/>
      <c r="X3002" s="25"/>
      <c r="Y3002" s="25"/>
      <c r="Z3002" s="77"/>
      <c r="AA3002" s="3" t="str">
        <f>IF(BCP_Soles[[#This Row],[fecha]]&gt;0,TEXT(BCP_Soles[[#This Row],[fecha]],"mmmm"),0)</f>
        <v>Julio</v>
      </c>
    </row>
    <row r="3003" spans="1:27" ht="24" x14ac:dyDescent="0.3">
      <c r="A3003" s="2">
        <f>IF(BCP_Soles[[#This Row],[tipo_registro]]="R",COUNTIFS($C$1:$C3002,"R")+1,A3002)</f>
        <v>2084</v>
      </c>
      <c r="B3003" s="19" t="str">
        <f t="shared" si="241"/>
        <v>B-BCP - Soles</v>
      </c>
      <c r="C3003" s="3" t="s">
        <v>1352</v>
      </c>
      <c r="D3003" s="14">
        <v>45869</v>
      </c>
      <c r="E3003" s="5" t="s">
        <v>1338</v>
      </c>
      <c r="F3003" s="5"/>
      <c r="G3003" s="6" t="s">
        <v>1038</v>
      </c>
      <c r="H3003" s="6" t="s">
        <v>151</v>
      </c>
      <c r="I3003" s="6" t="s">
        <v>4046</v>
      </c>
      <c r="J3003" s="6">
        <v>30</v>
      </c>
      <c r="K3003" s="7" t="s">
        <v>4045</v>
      </c>
      <c r="L3003" s="8">
        <v>7197909</v>
      </c>
      <c r="M3003" s="8" t="str">
        <f t="shared" si="242"/>
        <v>PEN</v>
      </c>
      <c r="N3003" s="13">
        <v>1339.35</v>
      </c>
      <c r="O3003" s="13"/>
      <c r="P3003" s="3">
        <f t="shared" si="243"/>
        <v>0</v>
      </c>
      <c r="Q3003" s="3">
        <f t="shared" si="244"/>
        <v>0</v>
      </c>
      <c r="R3003" s="3">
        <f t="shared" si="240"/>
        <v>3339.3099999999977</v>
      </c>
      <c r="S3003" s="24" t="s">
        <v>1334</v>
      </c>
      <c r="T3003" s="24" t="s">
        <v>1334</v>
      </c>
      <c r="U3003" s="55"/>
      <c r="V3003" s="25">
        <f>IFERROR(VLOOKUP(BCP_Soles[[#This Row],[destinatario]],CHOOSE({1,2},Clientes_Proveedores[Razon Social],Clientes_Proveedores[Ruc / Dni]),2,0),"")</f>
        <v>72204134</v>
      </c>
      <c r="W3003" s="25"/>
      <c r="X3003" s="25"/>
      <c r="Y3003" s="25"/>
      <c r="Z3003" s="77"/>
      <c r="AA3003" s="3" t="str">
        <f>IF(BCP_Soles[[#This Row],[fecha]]&gt;0,TEXT(BCP_Soles[[#This Row],[fecha]],"mmmm"),0)</f>
        <v>Julio</v>
      </c>
    </row>
    <row r="3004" spans="1:27" ht="24" x14ac:dyDescent="0.3">
      <c r="A3004" s="2">
        <f>IF(BCP_Soles[[#This Row],[tipo_registro]]="R",COUNTIFS($C$1:$C3003,"R")+1,A3003)</f>
        <v>2084</v>
      </c>
      <c r="B3004" s="19" t="str">
        <f t="shared" si="241"/>
        <v>B-BCP - Soles</v>
      </c>
      <c r="C3004" s="3" t="s">
        <v>1352</v>
      </c>
      <c r="D3004" s="14">
        <v>45869</v>
      </c>
      <c r="E3004" s="5" t="s">
        <v>1338</v>
      </c>
      <c r="F3004" s="5"/>
      <c r="G3004" s="6" t="s">
        <v>895</v>
      </c>
      <c r="H3004" s="6" t="s">
        <v>151</v>
      </c>
      <c r="I3004" s="6" t="s">
        <v>4046</v>
      </c>
      <c r="J3004" s="6">
        <v>31</v>
      </c>
      <c r="K3004" s="7" t="s">
        <v>4045</v>
      </c>
      <c r="L3004" s="8">
        <v>7197909</v>
      </c>
      <c r="M3004" s="8" t="str">
        <f t="shared" si="242"/>
        <v>PEN</v>
      </c>
      <c r="N3004" s="13">
        <v>1911.65</v>
      </c>
      <c r="O3004" s="13"/>
      <c r="P3004" s="3">
        <f t="shared" si="243"/>
        <v>0</v>
      </c>
      <c r="Q3004" s="3">
        <f t="shared" si="244"/>
        <v>0</v>
      </c>
      <c r="R3004" s="3">
        <f t="shared" si="240"/>
        <v>3339.3099999999977</v>
      </c>
      <c r="S3004" s="24" t="s">
        <v>1334</v>
      </c>
      <c r="T3004" s="24" t="s">
        <v>1334</v>
      </c>
      <c r="U3004" s="55"/>
      <c r="V3004" s="25">
        <f>IFERROR(VLOOKUP(BCP_Soles[[#This Row],[destinatario]],CHOOSE({1,2},Clientes_Proveedores[Razon Social],Clientes_Proveedores[Ruc / Dni]),2,0),"")</f>
        <v>72144092</v>
      </c>
      <c r="W3004" s="25"/>
      <c r="X3004" s="25"/>
      <c r="Y3004" s="25"/>
      <c r="Z3004" s="77"/>
      <c r="AA3004" s="3" t="str">
        <f>IF(BCP_Soles[[#This Row],[fecha]]&gt;0,TEXT(BCP_Soles[[#This Row],[fecha]],"mmmm"),0)</f>
        <v>Julio</v>
      </c>
    </row>
    <row r="3005" spans="1:27" ht="24" x14ac:dyDescent="0.3">
      <c r="A3005" s="2">
        <f>IF(BCP_Soles[[#This Row],[tipo_registro]]="R",COUNTIFS($C$1:$C3004,"R")+1,A3004)</f>
        <v>2084</v>
      </c>
      <c r="B3005" s="19" t="str">
        <f t="shared" si="241"/>
        <v>B-BCP - Soles</v>
      </c>
      <c r="C3005" s="3" t="s">
        <v>1352</v>
      </c>
      <c r="D3005" s="14">
        <v>45869</v>
      </c>
      <c r="E3005" s="5" t="s">
        <v>1338</v>
      </c>
      <c r="F3005" s="5"/>
      <c r="G3005" s="6" t="s">
        <v>901</v>
      </c>
      <c r="H3005" s="6" t="s">
        <v>151</v>
      </c>
      <c r="I3005" s="6" t="s">
        <v>4046</v>
      </c>
      <c r="J3005" s="6">
        <v>32</v>
      </c>
      <c r="K3005" s="7" t="s">
        <v>4045</v>
      </c>
      <c r="L3005" s="8">
        <v>7197909</v>
      </c>
      <c r="M3005" s="8" t="str">
        <f t="shared" si="242"/>
        <v>PEN</v>
      </c>
      <c r="N3005" s="13">
        <v>2326.29</v>
      </c>
      <c r="O3005" s="13"/>
      <c r="P3005" s="3">
        <f t="shared" si="243"/>
        <v>0</v>
      </c>
      <c r="Q3005" s="3">
        <f t="shared" si="244"/>
        <v>0</v>
      </c>
      <c r="R3005" s="3">
        <f t="shared" si="240"/>
        <v>3339.3099999999977</v>
      </c>
      <c r="S3005" s="24" t="s">
        <v>1334</v>
      </c>
      <c r="T3005" s="24" t="s">
        <v>1334</v>
      </c>
      <c r="U3005" s="55"/>
      <c r="V3005" s="25">
        <f>IFERROR(VLOOKUP(BCP_Soles[[#This Row],[destinatario]],CHOOSE({1,2},Clientes_Proveedores[Razon Social],Clientes_Proveedores[Ruc / Dni]),2,0),"")</f>
        <v>72131384</v>
      </c>
      <c r="W3005" s="25"/>
      <c r="X3005" s="25"/>
      <c r="Y3005" s="25"/>
      <c r="Z3005" s="77"/>
      <c r="AA3005" s="3" t="str">
        <f>IF(BCP_Soles[[#This Row],[fecha]]&gt;0,TEXT(BCP_Soles[[#This Row],[fecha]],"mmmm"),0)</f>
        <v>Julio</v>
      </c>
    </row>
    <row r="3006" spans="1:27" ht="24" x14ac:dyDescent="0.3">
      <c r="A3006" s="2">
        <f>IF(BCP_Soles[[#This Row],[tipo_registro]]="R",COUNTIFS($C$1:$C3005,"R")+1,A3005)</f>
        <v>2084</v>
      </c>
      <c r="B3006" s="19" t="str">
        <f t="shared" si="241"/>
        <v>B-BCP - Soles</v>
      </c>
      <c r="C3006" s="3" t="s">
        <v>1352</v>
      </c>
      <c r="D3006" s="14">
        <v>45869</v>
      </c>
      <c r="E3006" s="5" t="s">
        <v>1338</v>
      </c>
      <c r="F3006" s="5"/>
      <c r="G3006" s="6" t="s">
        <v>993</v>
      </c>
      <c r="H3006" s="6" t="s">
        <v>151</v>
      </c>
      <c r="I3006" s="6" t="s">
        <v>4046</v>
      </c>
      <c r="J3006" s="6">
        <v>33</v>
      </c>
      <c r="K3006" s="7" t="s">
        <v>4045</v>
      </c>
      <c r="L3006" s="8">
        <v>7197909</v>
      </c>
      <c r="M3006" s="8" t="str">
        <f t="shared" si="242"/>
        <v>PEN</v>
      </c>
      <c r="N3006" s="13">
        <v>1453.68</v>
      </c>
      <c r="O3006" s="13"/>
      <c r="P3006" s="3">
        <f t="shared" si="243"/>
        <v>0</v>
      </c>
      <c r="Q3006" s="3">
        <f t="shared" si="244"/>
        <v>0</v>
      </c>
      <c r="R3006" s="3">
        <f t="shared" si="240"/>
        <v>3339.3099999999977</v>
      </c>
      <c r="S3006" s="24" t="s">
        <v>1334</v>
      </c>
      <c r="T3006" s="24" t="s">
        <v>1334</v>
      </c>
      <c r="U3006" s="55"/>
      <c r="V3006" s="25">
        <f>IFERROR(VLOOKUP(BCP_Soles[[#This Row],[destinatario]],CHOOSE({1,2},Clientes_Proveedores[Razon Social],Clientes_Proveedores[Ruc / Dni]),2,0),"")</f>
        <v>76390500</v>
      </c>
      <c r="W3006" s="25"/>
      <c r="X3006" s="25"/>
      <c r="Y3006" s="25"/>
      <c r="Z3006" s="77"/>
      <c r="AA3006" s="3" t="str">
        <f>IF(BCP_Soles[[#This Row],[fecha]]&gt;0,TEXT(BCP_Soles[[#This Row],[fecha]],"mmmm"),0)</f>
        <v>Julio</v>
      </c>
    </row>
    <row r="3007" spans="1:27" ht="24" x14ac:dyDescent="0.3">
      <c r="A3007" s="2">
        <f>IF(BCP_Soles[[#This Row],[tipo_registro]]="R",COUNTIFS($C$1:$C3006,"R")+1,A3006)</f>
        <v>2084</v>
      </c>
      <c r="B3007" s="19" t="str">
        <f t="shared" si="241"/>
        <v>B-BCP - Soles</v>
      </c>
      <c r="C3007" s="3" t="s">
        <v>1352</v>
      </c>
      <c r="D3007" s="14">
        <v>45869</v>
      </c>
      <c r="E3007" s="5" t="s">
        <v>1338</v>
      </c>
      <c r="F3007" s="5"/>
      <c r="G3007" s="6" t="s">
        <v>909</v>
      </c>
      <c r="H3007" s="6" t="s">
        <v>151</v>
      </c>
      <c r="I3007" s="6" t="s">
        <v>4046</v>
      </c>
      <c r="J3007" s="6">
        <v>34</v>
      </c>
      <c r="K3007" s="7" t="s">
        <v>4045</v>
      </c>
      <c r="L3007" s="8">
        <v>7197909</v>
      </c>
      <c r="M3007" s="8" t="str">
        <f t="shared" si="242"/>
        <v>PEN</v>
      </c>
      <c r="N3007" s="13">
        <v>3523.85</v>
      </c>
      <c r="O3007" s="13"/>
      <c r="P3007" s="3">
        <f t="shared" si="243"/>
        <v>0</v>
      </c>
      <c r="Q3007" s="3">
        <f t="shared" si="244"/>
        <v>0</v>
      </c>
      <c r="R3007" s="3">
        <f t="shared" si="240"/>
        <v>3339.3099999999977</v>
      </c>
      <c r="S3007" s="24" t="s">
        <v>1334</v>
      </c>
      <c r="T3007" s="24" t="s">
        <v>1334</v>
      </c>
      <c r="U3007" s="55"/>
      <c r="V3007" s="25">
        <f>IFERROR(VLOOKUP(BCP_Soles[[#This Row],[destinatario]],CHOOSE({1,2},Clientes_Proveedores[Razon Social],Clientes_Proveedores[Ruc / Dni]),2,0),"")</f>
        <v>44314304</v>
      </c>
      <c r="W3007" s="25"/>
      <c r="X3007" s="25"/>
      <c r="Y3007" s="25"/>
      <c r="Z3007" s="77"/>
      <c r="AA3007" s="3" t="str">
        <f>IF(BCP_Soles[[#This Row],[fecha]]&gt;0,TEXT(BCP_Soles[[#This Row],[fecha]],"mmmm"),0)</f>
        <v>Julio</v>
      </c>
    </row>
    <row r="3008" spans="1:27" ht="24" x14ac:dyDescent="0.3">
      <c r="A3008" s="2">
        <f>IF(BCP_Soles[[#This Row],[tipo_registro]]="R",COUNTIFS($C$1:$C3007,"R")+1,A3007)</f>
        <v>2084</v>
      </c>
      <c r="B3008" s="19" t="str">
        <f t="shared" si="241"/>
        <v>B-BCP - Soles</v>
      </c>
      <c r="C3008" s="3" t="s">
        <v>1352</v>
      </c>
      <c r="D3008" s="14">
        <v>45869</v>
      </c>
      <c r="E3008" s="5" t="s">
        <v>1338</v>
      </c>
      <c r="F3008" s="5"/>
      <c r="G3008" s="6" t="s">
        <v>913</v>
      </c>
      <c r="H3008" s="6" t="s">
        <v>151</v>
      </c>
      <c r="I3008" s="6" t="s">
        <v>4046</v>
      </c>
      <c r="J3008" s="6">
        <v>35</v>
      </c>
      <c r="K3008" s="7" t="s">
        <v>4045</v>
      </c>
      <c r="L3008" s="8">
        <v>7197909</v>
      </c>
      <c r="M3008" s="8" t="str">
        <f t="shared" si="242"/>
        <v>PEN</v>
      </c>
      <c r="N3008" s="13">
        <v>1876.49</v>
      </c>
      <c r="O3008" s="13"/>
      <c r="P3008" s="3">
        <f t="shared" si="243"/>
        <v>0</v>
      </c>
      <c r="Q3008" s="3">
        <f t="shared" si="244"/>
        <v>0</v>
      </c>
      <c r="R3008" s="3">
        <f t="shared" si="240"/>
        <v>3339.3099999999977</v>
      </c>
      <c r="S3008" s="24" t="s">
        <v>1334</v>
      </c>
      <c r="T3008" s="24" t="s">
        <v>1334</v>
      </c>
      <c r="U3008" s="55"/>
      <c r="V3008" s="25">
        <f>IFERROR(VLOOKUP(BCP_Soles[[#This Row],[destinatario]],CHOOSE({1,2},Clientes_Proveedores[Razon Social],Clientes_Proveedores[Ruc / Dni]),2,0),"")</f>
        <v>47760988</v>
      </c>
      <c r="W3008" s="25"/>
      <c r="X3008" s="25"/>
      <c r="Y3008" s="25"/>
      <c r="Z3008" s="77"/>
      <c r="AA3008" s="3" t="str">
        <f>IF(BCP_Soles[[#This Row],[fecha]]&gt;0,TEXT(BCP_Soles[[#This Row],[fecha]],"mmmm"),0)</f>
        <v>Julio</v>
      </c>
    </row>
    <row r="3009" spans="1:27" ht="24" x14ac:dyDescent="0.3">
      <c r="A3009" s="2">
        <f>IF(BCP_Soles[[#This Row],[tipo_registro]]="R",COUNTIFS($C$1:$C3008,"R")+1,A3008)</f>
        <v>2084</v>
      </c>
      <c r="B3009" s="19" t="str">
        <f t="shared" si="241"/>
        <v>B-BCP - Soles</v>
      </c>
      <c r="C3009" s="3" t="s">
        <v>1352</v>
      </c>
      <c r="D3009" s="14">
        <v>45869</v>
      </c>
      <c r="E3009" s="5" t="s">
        <v>1338</v>
      </c>
      <c r="F3009" s="5"/>
      <c r="G3009" s="6" t="s">
        <v>916</v>
      </c>
      <c r="H3009" s="6" t="s">
        <v>151</v>
      </c>
      <c r="I3009" s="6" t="s">
        <v>4046</v>
      </c>
      <c r="J3009" s="6">
        <v>36</v>
      </c>
      <c r="K3009" s="7" t="s">
        <v>4045</v>
      </c>
      <c r="L3009" s="8">
        <v>7197909</v>
      </c>
      <c r="M3009" s="8" t="str">
        <f t="shared" si="242"/>
        <v>PEN</v>
      </c>
      <c r="N3009" s="13">
        <v>1310.54</v>
      </c>
      <c r="O3009" s="13"/>
      <c r="P3009" s="3">
        <f t="shared" si="243"/>
        <v>0</v>
      </c>
      <c r="Q3009" s="3">
        <f t="shared" si="244"/>
        <v>0</v>
      </c>
      <c r="R3009" s="3">
        <f t="shared" si="240"/>
        <v>3339.3099999999977</v>
      </c>
      <c r="S3009" s="24" t="s">
        <v>1334</v>
      </c>
      <c r="T3009" s="24" t="s">
        <v>1334</v>
      </c>
      <c r="U3009" s="55"/>
      <c r="V3009" s="25">
        <f>IFERROR(VLOOKUP(BCP_Soles[[#This Row],[destinatario]],CHOOSE({1,2},Clientes_Proveedores[Razon Social],Clientes_Proveedores[Ruc / Dni]),2,0),"")</f>
        <v>24800480</v>
      </c>
      <c r="W3009" s="25"/>
      <c r="X3009" s="25"/>
      <c r="Y3009" s="25"/>
      <c r="Z3009" s="77"/>
      <c r="AA3009" s="3" t="str">
        <f>IF(BCP_Soles[[#This Row],[fecha]]&gt;0,TEXT(BCP_Soles[[#This Row],[fecha]],"mmmm"),0)</f>
        <v>Julio</v>
      </c>
    </row>
    <row r="3010" spans="1:27" ht="24" x14ac:dyDescent="0.3">
      <c r="A3010" s="2">
        <f>IF(BCP_Soles[[#This Row],[tipo_registro]]="R",COUNTIFS($C$1:$C3009,"R")+1,A3009)</f>
        <v>2084</v>
      </c>
      <c r="B3010" s="19" t="str">
        <f t="shared" si="241"/>
        <v>B-BCP - Soles</v>
      </c>
      <c r="C3010" s="3" t="s">
        <v>1352</v>
      </c>
      <c r="D3010" s="14">
        <v>45869</v>
      </c>
      <c r="E3010" s="5" t="s">
        <v>1338</v>
      </c>
      <c r="F3010" s="5"/>
      <c r="G3010" s="6" t="s">
        <v>918</v>
      </c>
      <c r="H3010" s="6" t="s">
        <v>151</v>
      </c>
      <c r="I3010" s="6" t="s">
        <v>4046</v>
      </c>
      <c r="J3010" s="6">
        <v>37</v>
      </c>
      <c r="K3010" s="7" t="s">
        <v>4045</v>
      </c>
      <c r="L3010" s="8">
        <v>7197909</v>
      </c>
      <c r="M3010" s="8" t="str">
        <f t="shared" si="242"/>
        <v>PEN</v>
      </c>
      <c r="N3010" s="13">
        <v>1797.81</v>
      </c>
      <c r="O3010" s="13"/>
      <c r="P3010" s="3">
        <f t="shared" si="243"/>
        <v>0</v>
      </c>
      <c r="Q3010" s="3">
        <f t="shared" si="244"/>
        <v>0</v>
      </c>
      <c r="R3010" s="3">
        <f t="shared" si="240"/>
        <v>3339.3099999999977</v>
      </c>
      <c r="S3010" s="24" t="s">
        <v>1334</v>
      </c>
      <c r="T3010" s="24" t="s">
        <v>1334</v>
      </c>
      <c r="U3010" s="55"/>
      <c r="V3010" s="25">
        <f>IFERROR(VLOOKUP(BCP_Soles[[#This Row],[destinatario]],CHOOSE({1,2},Clientes_Proveedores[Razon Social],Clientes_Proveedores[Ruc / Dni]),2,0),"")</f>
        <v>48536654</v>
      </c>
      <c r="W3010" s="25"/>
      <c r="X3010" s="25"/>
      <c r="Y3010" s="25"/>
      <c r="Z3010" s="77"/>
      <c r="AA3010" s="3" t="str">
        <f>IF(BCP_Soles[[#This Row],[fecha]]&gt;0,TEXT(BCP_Soles[[#This Row],[fecha]],"mmmm"),0)</f>
        <v>Julio</v>
      </c>
    </row>
    <row r="3011" spans="1:27" ht="24" x14ac:dyDescent="0.3">
      <c r="A3011" s="2">
        <f>IF(BCP_Soles[[#This Row],[tipo_registro]]="R",COUNTIFS($C$1:$C3010,"R")+1,A3010)</f>
        <v>2084</v>
      </c>
      <c r="B3011" s="19" t="str">
        <f t="shared" si="241"/>
        <v>B-BCP - Soles</v>
      </c>
      <c r="C3011" s="3" t="s">
        <v>1352</v>
      </c>
      <c r="D3011" s="14">
        <v>45869</v>
      </c>
      <c r="E3011" s="5" t="s">
        <v>1338</v>
      </c>
      <c r="F3011" s="5"/>
      <c r="G3011" s="6" t="s">
        <v>922</v>
      </c>
      <c r="H3011" s="6" t="s">
        <v>151</v>
      </c>
      <c r="I3011" s="6" t="s">
        <v>4046</v>
      </c>
      <c r="J3011" s="6">
        <v>38</v>
      </c>
      <c r="K3011" s="7" t="s">
        <v>4045</v>
      </c>
      <c r="L3011" s="8">
        <v>7197909</v>
      </c>
      <c r="M3011" s="8" t="str">
        <f t="shared" si="242"/>
        <v>PEN</v>
      </c>
      <c r="N3011" s="13">
        <v>1874.27</v>
      </c>
      <c r="O3011" s="13"/>
      <c r="P3011" s="3">
        <f t="shared" si="243"/>
        <v>0</v>
      </c>
      <c r="Q3011" s="3">
        <f t="shared" si="244"/>
        <v>0</v>
      </c>
      <c r="R3011" s="3">
        <f t="shared" si="240"/>
        <v>3339.3099999999977</v>
      </c>
      <c r="S3011" s="24" t="s">
        <v>1334</v>
      </c>
      <c r="T3011" s="24" t="s">
        <v>1334</v>
      </c>
      <c r="U3011" s="55"/>
      <c r="V3011" s="25">
        <f>IFERROR(VLOOKUP(BCP_Soles[[#This Row],[destinatario]],CHOOSE({1,2},Clientes_Proveedores[Razon Social],Clientes_Proveedores[Ruc / Dni]),2,0),"")</f>
        <v>72537561</v>
      </c>
      <c r="W3011" s="25"/>
      <c r="X3011" s="25"/>
      <c r="Y3011" s="25"/>
      <c r="Z3011" s="77"/>
      <c r="AA3011" s="3" t="str">
        <f>IF(BCP_Soles[[#This Row],[fecha]]&gt;0,TEXT(BCP_Soles[[#This Row],[fecha]],"mmmm"),0)</f>
        <v>Julio</v>
      </c>
    </row>
    <row r="3012" spans="1:27" ht="24" x14ac:dyDescent="0.3">
      <c r="A3012" s="2">
        <f>IF(BCP_Soles[[#This Row],[tipo_registro]]="R",COUNTIFS($C$1:$C3011,"R")+1,A3011)</f>
        <v>2084</v>
      </c>
      <c r="B3012" s="19" t="str">
        <f t="shared" si="241"/>
        <v>B-BCP - Soles</v>
      </c>
      <c r="C3012" s="3" t="s">
        <v>1352</v>
      </c>
      <c r="D3012" s="14">
        <v>45869</v>
      </c>
      <c r="E3012" s="5" t="s">
        <v>1338</v>
      </c>
      <c r="F3012" s="5"/>
      <c r="G3012" s="6" t="s">
        <v>1018</v>
      </c>
      <c r="H3012" s="6" t="s">
        <v>151</v>
      </c>
      <c r="I3012" s="6" t="s">
        <v>4046</v>
      </c>
      <c r="J3012" s="6">
        <v>39</v>
      </c>
      <c r="K3012" s="7" t="s">
        <v>4045</v>
      </c>
      <c r="L3012" s="8">
        <v>7197909</v>
      </c>
      <c r="M3012" s="8" t="str">
        <f t="shared" si="242"/>
        <v>PEN</v>
      </c>
      <c r="N3012" s="13">
        <v>1112.51</v>
      </c>
      <c r="O3012" s="13"/>
      <c r="P3012" s="3">
        <f t="shared" si="243"/>
        <v>0</v>
      </c>
      <c r="Q3012" s="3">
        <f t="shared" si="244"/>
        <v>0</v>
      </c>
      <c r="R3012" s="3">
        <f t="shared" si="240"/>
        <v>3339.3099999999977</v>
      </c>
      <c r="S3012" s="24" t="s">
        <v>1334</v>
      </c>
      <c r="T3012" s="24" t="s">
        <v>1334</v>
      </c>
      <c r="U3012" s="55"/>
      <c r="V3012" s="25">
        <f>IFERROR(VLOOKUP(BCP_Soles[[#This Row],[destinatario]],CHOOSE({1,2},Clientes_Proveedores[Razon Social],Clientes_Proveedores[Ruc / Dni]),2,0),"")</f>
        <v>75276411</v>
      </c>
      <c r="W3012" s="25"/>
      <c r="X3012" s="25"/>
      <c r="Y3012" s="25"/>
      <c r="Z3012" s="77"/>
      <c r="AA3012" s="3" t="str">
        <f>IF(BCP_Soles[[#This Row],[fecha]]&gt;0,TEXT(BCP_Soles[[#This Row],[fecha]],"mmmm"),0)</f>
        <v>Julio</v>
      </c>
    </row>
    <row r="3013" spans="1:27" ht="24" x14ac:dyDescent="0.3">
      <c r="A3013" s="2">
        <f>IF(BCP_Soles[[#This Row],[tipo_registro]]="R",COUNTIFS($C$1:$C3012,"R")+1,A3012)</f>
        <v>2084</v>
      </c>
      <c r="B3013" s="19" t="str">
        <f t="shared" si="241"/>
        <v>B-BCP - Soles</v>
      </c>
      <c r="C3013" s="3" t="s">
        <v>1352</v>
      </c>
      <c r="D3013" s="14">
        <v>45869</v>
      </c>
      <c r="E3013" s="5" t="s">
        <v>1338</v>
      </c>
      <c r="F3013" s="5"/>
      <c r="G3013" s="6" t="s">
        <v>925</v>
      </c>
      <c r="H3013" s="6" t="s">
        <v>151</v>
      </c>
      <c r="I3013" s="6" t="s">
        <v>4046</v>
      </c>
      <c r="J3013" s="6">
        <v>40</v>
      </c>
      <c r="K3013" s="7" t="s">
        <v>4045</v>
      </c>
      <c r="L3013" s="8">
        <v>7197909</v>
      </c>
      <c r="M3013" s="8" t="str">
        <f t="shared" si="242"/>
        <v>PEN</v>
      </c>
      <c r="N3013" s="13">
        <v>1183.1500000000001</v>
      </c>
      <c r="O3013" s="13"/>
      <c r="P3013" s="3">
        <f t="shared" si="243"/>
        <v>0</v>
      </c>
      <c r="Q3013" s="3">
        <f t="shared" si="244"/>
        <v>0</v>
      </c>
      <c r="R3013" s="3">
        <f t="shared" si="240"/>
        <v>3339.3099999999977</v>
      </c>
      <c r="S3013" s="24" t="s">
        <v>1334</v>
      </c>
      <c r="T3013" s="24" t="s">
        <v>1334</v>
      </c>
      <c r="U3013" s="55"/>
      <c r="V3013" s="25">
        <f>IFERROR(VLOOKUP(BCP_Soles[[#This Row],[destinatario]],CHOOSE({1,2},Clientes_Proveedores[Razon Social],Clientes_Proveedores[Ruc / Dni]),2,0),"")</f>
        <v>73530159</v>
      </c>
      <c r="W3013" s="25"/>
      <c r="X3013" s="25"/>
      <c r="Y3013" s="25"/>
      <c r="Z3013" s="77"/>
      <c r="AA3013" s="3" t="str">
        <f>IF(BCP_Soles[[#This Row],[fecha]]&gt;0,TEXT(BCP_Soles[[#This Row],[fecha]],"mmmm"),0)</f>
        <v>Julio</v>
      </c>
    </row>
    <row r="3014" spans="1:27" ht="24" x14ac:dyDescent="0.3">
      <c r="A3014" s="2">
        <f>IF(BCP_Soles[[#This Row],[tipo_registro]]="R",COUNTIFS($C$1:$C3013,"R")+1,A3013)</f>
        <v>2084</v>
      </c>
      <c r="B3014" s="19" t="str">
        <f t="shared" si="241"/>
        <v>B-BCP - Soles</v>
      </c>
      <c r="C3014" s="3" t="s">
        <v>1352</v>
      </c>
      <c r="D3014" s="14">
        <v>45869</v>
      </c>
      <c r="E3014" s="5" t="s">
        <v>1338</v>
      </c>
      <c r="F3014" s="5"/>
      <c r="G3014" s="6" t="s">
        <v>928</v>
      </c>
      <c r="H3014" s="6" t="s">
        <v>151</v>
      </c>
      <c r="I3014" s="6" t="s">
        <v>4046</v>
      </c>
      <c r="J3014" s="6">
        <v>41</v>
      </c>
      <c r="K3014" s="7" t="s">
        <v>4045</v>
      </c>
      <c r="L3014" s="8">
        <v>7197909</v>
      </c>
      <c r="M3014" s="8" t="str">
        <f t="shared" si="242"/>
        <v>PEN</v>
      </c>
      <c r="N3014" s="13">
        <v>1393.43</v>
      </c>
      <c r="O3014" s="13"/>
      <c r="P3014" s="3">
        <f t="shared" si="243"/>
        <v>0</v>
      </c>
      <c r="Q3014" s="3">
        <f t="shared" si="244"/>
        <v>0</v>
      </c>
      <c r="R3014" s="3">
        <f t="shared" si="240"/>
        <v>3339.3099999999977</v>
      </c>
      <c r="S3014" s="24" t="s">
        <v>1334</v>
      </c>
      <c r="T3014" s="24" t="s">
        <v>1334</v>
      </c>
      <c r="U3014" s="55"/>
      <c r="V3014" s="25">
        <f>IFERROR(VLOOKUP(BCP_Soles[[#This Row],[destinatario]],CHOOSE({1,2},Clientes_Proveedores[Razon Social],Clientes_Proveedores[Ruc / Dni]),2,0),"")</f>
        <v>46126507</v>
      </c>
      <c r="W3014" s="25"/>
      <c r="X3014" s="25"/>
      <c r="Y3014" s="25"/>
      <c r="Z3014" s="77"/>
      <c r="AA3014" s="3" t="str">
        <f>IF(BCP_Soles[[#This Row],[fecha]]&gt;0,TEXT(BCP_Soles[[#This Row],[fecha]],"mmmm"),0)</f>
        <v>Julio</v>
      </c>
    </row>
    <row r="3015" spans="1:27" ht="24" x14ac:dyDescent="0.3">
      <c r="A3015" s="2">
        <f>IF(BCP_Soles[[#This Row],[tipo_registro]]="R",COUNTIFS($C$1:$C3014,"R")+1,A3014)</f>
        <v>2084</v>
      </c>
      <c r="B3015" s="19" t="str">
        <f t="shared" si="241"/>
        <v>B-BCP - Soles</v>
      </c>
      <c r="C3015" s="3" t="s">
        <v>1352</v>
      </c>
      <c r="D3015" s="14">
        <v>45869</v>
      </c>
      <c r="E3015" s="5" t="s">
        <v>1338</v>
      </c>
      <c r="F3015" s="5"/>
      <c r="G3015" s="6" t="s">
        <v>933</v>
      </c>
      <c r="H3015" s="6" t="s">
        <v>151</v>
      </c>
      <c r="I3015" s="6" t="s">
        <v>4046</v>
      </c>
      <c r="J3015" s="6">
        <v>42</v>
      </c>
      <c r="K3015" s="7" t="s">
        <v>4045</v>
      </c>
      <c r="L3015" s="8">
        <v>7197909</v>
      </c>
      <c r="M3015" s="8" t="str">
        <f t="shared" si="242"/>
        <v>PEN</v>
      </c>
      <c r="N3015" s="13">
        <v>1422.82</v>
      </c>
      <c r="O3015" s="13"/>
      <c r="P3015" s="3">
        <f t="shared" si="243"/>
        <v>0</v>
      </c>
      <c r="Q3015" s="3">
        <f t="shared" si="244"/>
        <v>0</v>
      </c>
      <c r="R3015" s="3">
        <f t="shared" si="240"/>
        <v>3339.3099999999977</v>
      </c>
      <c r="S3015" s="24" t="s">
        <v>1334</v>
      </c>
      <c r="T3015" s="24" t="s">
        <v>1334</v>
      </c>
      <c r="U3015" s="55"/>
      <c r="V3015" s="25">
        <f>IFERROR(VLOOKUP(BCP_Soles[[#This Row],[destinatario]],CHOOSE({1,2},Clientes_Proveedores[Razon Social],Clientes_Proveedores[Ruc / Dni]),2,0),"")</f>
        <v>73195103</v>
      </c>
      <c r="W3015" s="25"/>
      <c r="X3015" s="25"/>
      <c r="Y3015" s="25"/>
      <c r="Z3015" s="77"/>
      <c r="AA3015" s="3" t="str">
        <f>IF(BCP_Soles[[#This Row],[fecha]]&gt;0,TEXT(BCP_Soles[[#This Row],[fecha]],"mmmm"),0)</f>
        <v>Julio</v>
      </c>
    </row>
    <row r="3016" spans="1:27" ht="24" x14ac:dyDescent="0.3">
      <c r="A3016" s="2">
        <f>IF(BCP_Soles[[#This Row],[tipo_registro]]="R",COUNTIFS($C$1:$C3015,"R")+1,A3015)</f>
        <v>2084</v>
      </c>
      <c r="B3016" s="19" t="str">
        <f t="shared" si="241"/>
        <v>B-BCP - Soles</v>
      </c>
      <c r="C3016" s="3" t="s">
        <v>1352</v>
      </c>
      <c r="D3016" s="14">
        <v>45869</v>
      </c>
      <c r="E3016" s="5" t="s">
        <v>1338</v>
      </c>
      <c r="F3016" s="5"/>
      <c r="G3016" s="6" t="s">
        <v>935</v>
      </c>
      <c r="H3016" s="6" t="s">
        <v>151</v>
      </c>
      <c r="I3016" s="6" t="s">
        <v>4046</v>
      </c>
      <c r="J3016" s="6">
        <v>43</v>
      </c>
      <c r="K3016" s="7" t="s">
        <v>4045</v>
      </c>
      <c r="L3016" s="8">
        <v>7197909</v>
      </c>
      <c r="M3016" s="8" t="str">
        <f t="shared" si="242"/>
        <v>PEN</v>
      </c>
      <c r="N3016" s="13">
        <v>1321.49</v>
      </c>
      <c r="O3016" s="13"/>
      <c r="P3016" s="3">
        <f t="shared" si="243"/>
        <v>0</v>
      </c>
      <c r="Q3016" s="3">
        <f t="shared" si="244"/>
        <v>0</v>
      </c>
      <c r="R3016" s="3">
        <f t="shared" si="240"/>
        <v>3339.3099999999977</v>
      </c>
      <c r="S3016" s="24" t="s">
        <v>1334</v>
      </c>
      <c r="T3016" s="24" t="s">
        <v>1334</v>
      </c>
      <c r="U3016" s="55"/>
      <c r="V3016" s="25">
        <f>IFERROR(VLOOKUP(BCP_Soles[[#This Row],[destinatario]],CHOOSE({1,2},Clientes_Proveedores[Razon Social],Clientes_Proveedores[Ruc / Dni]),2,0),"")</f>
        <v>47557239</v>
      </c>
      <c r="W3016" s="25"/>
      <c r="X3016" s="25"/>
      <c r="Y3016" s="25"/>
      <c r="Z3016" s="77"/>
      <c r="AA3016" s="3" t="str">
        <f>IF(BCP_Soles[[#This Row],[fecha]]&gt;0,TEXT(BCP_Soles[[#This Row],[fecha]],"mmmm"),0)</f>
        <v>Julio</v>
      </c>
    </row>
    <row r="3017" spans="1:27" ht="36" x14ac:dyDescent="0.3">
      <c r="A3017" s="2">
        <f>IF(BCP_Soles[[#This Row],[tipo_registro]]="R",COUNTIFS($C$1:$C3016,"R")+1,A3016)</f>
        <v>2084</v>
      </c>
      <c r="B3017" s="19" t="str">
        <f t="shared" si="241"/>
        <v>B-BCP - Soles</v>
      </c>
      <c r="C3017" s="3" t="s">
        <v>1352</v>
      </c>
      <c r="D3017" s="14">
        <v>45869</v>
      </c>
      <c r="E3017" s="5" t="s">
        <v>1338</v>
      </c>
      <c r="F3017" s="5"/>
      <c r="G3017" s="6" t="s">
        <v>937</v>
      </c>
      <c r="H3017" s="6" t="s">
        <v>151</v>
      </c>
      <c r="I3017" s="6" t="s">
        <v>4046</v>
      </c>
      <c r="J3017" s="6">
        <v>44</v>
      </c>
      <c r="K3017" s="7" t="s">
        <v>4045</v>
      </c>
      <c r="L3017" s="8">
        <v>7197909</v>
      </c>
      <c r="M3017" s="8" t="str">
        <f t="shared" si="242"/>
        <v>PEN</v>
      </c>
      <c r="N3017" s="13">
        <v>1521.15</v>
      </c>
      <c r="O3017" s="13"/>
      <c r="P3017" s="3">
        <f t="shared" si="243"/>
        <v>0</v>
      </c>
      <c r="Q3017" s="3">
        <f t="shared" si="244"/>
        <v>0</v>
      </c>
      <c r="R3017" s="3">
        <f t="shared" ref="R3017:R3080" si="245">IFERROR(IF(F3017="SALDO",P3017,R3016+P3017-Q3017),0)</f>
        <v>3339.3099999999977</v>
      </c>
      <c r="S3017" s="24" t="s">
        <v>1334</v>
      </c>
      <c r="T3017" s="24" t="s">
        <v>1334</v>
      </c>
      <c r="U3017" s="55"/>
      <c r="V3017" s="25">
        <f>IFERROR(VLOOKUP(BCP_Soles[[#This Row],[destinatario]],CHOOSE({1,2},Clientes_Proveedores[Razon Social],Clientes_Proveedores[Ruc / Dni]),2,0),"")</f>
        <v>72728100</v>
      </c>
      <c r="W3017" s="25"/>
      <c r="X3017" s="25"/>
      <c r="Y3017" s="25"/>
      <c r="Z3017" s="77"/>
      <c r="AA3017" s="3" t="str">
        <f>IF(BCP_Soles[[#This Row],[fecha]]&gt;0,TEXT(BCP_Soles[[#This Row],[fecha]],"mmmm"),0)</f>
        <v>Julio</v>
      </c>
    </row>
    <row r="3018" spans="1:27" ht="36" x14ac:dyDescent="0.3">
      <c r="A3018" s="2">
        <f>IF(BCP_Soles[[#This Row],[tipo_registro]]="R",COUNTIFS($C$1:$C3017,"R")+1,A3017)</f>
        <v>2084</v>
      </c>
      <c r="B3018" s="19" t="str">
        <f t="shared" si="241"/>
        <v>B-BCP - Soles</v>
      </c>
      <c r="C3018" s="3" t="s">
        <v>1352</v>
      </c>
      <c r="D3018" s="14">
        <v>45869</v>
      </c>
      <c r="E3018" s="5" t="s">
        <v>1338</v>
      </c>
      <c r="F3018" s="5"/>
      <c r="G3018" s="6" t="s">
        <v>948</v>
      </c>
      <c r="H3018" s="6" t="s">
        <v>151</v>
      </c>
      <c r="I3018" s="6" t="s">
        <v>4046</v>
      </c>
      <c r="J3018" s="6">
        <v>45</v>
      </c>
      <c r="K3018" s="7" t="s">
        <v>4045</v>
      </c>
      <c r="L3018" s="8">
        <v>7197909</v>
      </c>
      <c r="M3018" s="8" t="str">
        <f t="shared" si="242"/>
        <v>PEN</v>
      </c>
      <c r="N3018" s="13">
        <v>1309.77</v>
      </c>
      <c r="O3018" s="13"/>
      <c r="P3018" s="3">
        <f t="shared" si="243"/>
        <v>0</v>
      </c>
      <c r="Q3018" s="3">
        <f t="shared" si="244"/>
        <v>0</v>
      </c>
      <c r="R3018" s="3">
        <f t="shared" si="245"/>
        <v>3339.3099999999977</v>
      </c>
      <c r="S3018" s="24" t="s">
        <v>1334</v>
      </c>
      <c r="T3018" s="24" t="s">
        <v>1334</v>
      </c>
      <c r="U3018" s="55"/>
      <c r="V3018" s="25">
        <f>IFERROR(VLOOKUP(BCP_Soles[[#This Row],[destinatario]],CHOOSE({1,2},Clientes_Proveedores[Razon Social],Clientes_Proveedores[Ruc / Dni]),2,0),"")</f>
        <v>71311214</v>
      </c>
      <c r="W3018" s="25"/>
      <c r="X3018" s="25"/>
      <c r="Y3018" s="25"/>
      <c r="Z3018" s="77"/>
      <c r="AA3018" s="3" t="str">
        <f>IF(BCP_Soles[[#This Row],[fecha]]&gt;0,TEXT(BCP_Soles[[#This Row],[fecha]],"mmmm"),0)</f>
        <v>Julio</v>
      </c>
    </row>
    <row r="3019" spans="1:27" ht="24" x14ac:dyDescent="0.3">
      <c r="A3019" s="2">
        <f>IF(BCP_Soles[[#This Row],[tipo_registro]]="R",COUNTIFS($C$1:$C3018,"R")+1,A3018)</f>
        <v>2084</v>
      </c>
      <c r="B3019" s="19" t="str">
        <f t="shared" si="241"/>
        <v>B-BCP - Soles</v>
      </c>
      <c r="C3019" s="3" t="s">
        <v>1352</v>
      </c>
      <c r="D3019" s="14">
        <v>45869</v>
      </c>
      <c r="E3019" s="5" t="s">
        <v>1338</v>
      </c>
      <c r="F3019" s="5"/>
      <c r="G3019" s="6" t="s">
        <v>1019</v>
      </c>
      <c r="H3019" s="6" t="s">
        <v>151</v>
      </c>
      <c r="I3019" s="6" t="s">
        <v>4046</v>
      </c>
      <c r="J3019" s="6">
        <v>46</v>
      </c>
      <c r="K3019" s="7" t="s">
        <v>4045</v>
      </c>
      <c r="L3019" s="8">
        <v>7197909</v>
      </c>
      <c r="M3019" s="8" t="str">
        <f t="shared" si="242"/>
        <v>PEN</v>
      </c>
      <c r="N3019" s="13">
        <v>2016.67</v>
      </c>
      <c r="O3019" s="13"/>
      <c r="P3019" s="3">
        <f t="shared" si="243"/>
        <v>0</v>
      </c>
      <c r="Q3019" s="3">
        <f t="shared" si="244"/>
        <v>0</v>
      </c>
      <c r="R3019" s="3">
        <f t="shared" si="245"/>
        <v>3339.3099999999977</v>
      </c>
      <c r="S3019" s="24" t="s">
        <v>1334</v>
      </c>
      <c r="T3019" s="24" t="s">
        <v>1334</v>
      </c>
      <c r="U3019" s="55"/>
      <c r="V3019" s="25">
        <f>IFERROR(VLOOKUP(BCP_Soles[[#This Row],[destinatario]],CHOOSE({1,2},Clientes_Proveedores[Razon Social],Clientes_Proveedores[Ruc / Dni]),2,0),"")</f>
        <v>71654750</v>
      </c>
      <c r="W3019" s="25"/>
      <c r="X3019" s="25"/>
      <c r="Y3019" s="25"/>
      <c r="Z3019" s="77"/>
      <c r="AA3019" s="3" t="str">
        <f>IF(BCP_Soles[[#This Row],[fecha]]&gt;0,TEXT(BCP_Soles[[#This Row],[fecha]],"mmmm"),0)</f>
        <v>Julio</v>
      </c>
    </row>
    <row r="3020" spans="1:27" ht="24" x14ac:dyDescent="0.3">
      <c r="A3020" s="2">
        <f>IF(BCP_Soles[[#This Row],[tipo_registro]]="R",COUNTIFS($C$1:$C3019,"R")+1,A3019)</f>
        <v>2084</v>
      </c>
      <c r="B3020" s="19" t="str">
        <f t="shared" si="241"/>
        <v>B-BCP - Soles</v>
      </c>
      <c r="C3020" s="3" t="s">
        <v>1352</v>
      </c>
      <c r="D3020" s="14">
        <v>45869</v>
      </c>
      <c r="E3020" s="5" t="s">
        <v>1338</v>
      </c>
      <c r="F3020" s="5"/>
      <c r="G3020" s="6" t="s">
        <v>953</v>
      </c>
      <c r="H3020" s="6" t="s">
        <v>151</v>
      </c>
      <c r="I3020" s="6" t="s">
        <v>4046</v>
      </c>
      <c r="J3020" s="6">
        <v>47</v>
      </c>
      <c r="K3020" s="7" t="s">
        <v>4045</v>
      </c>
      <c r="L3020" s="8">
        <v>7197909</v>
      </c>
      <c r="M3020" s="8" t="str">
        <f t="shared" si="242"/>
        <v>PEN</v>
      </c>
      <c r="N3020" s="13">
        <v>1339.72</v>
      </c>
      <c r="O3020" s="13"/>
      <c r="P3020" s="3">
        <f t="shared" si="243"/>
        <v>0</v>
      </c>
      <c r="Q3020" s="3">
        <f t="shared" si="244"/>
        <v>0</v>
      </c>
      <c r="R3020" s="3">
        <f t="shared" si="245"/>
        <v>3339.3099999999977</v>
      </c>
      <c r="S3020" s="24" t="s">
        <v>1334</v>
      </c>
      <c r="T3020" s="24" t="s">
        <v>1334</v>
      </c>
      <c r="U3020" s="55"/>
      <c r="V3020" s="25">
        <f>IFERROR(VLOOKUP(BCP_Soles[[#This Row],[destinatario]],CHOOSE({1,2},Clientes_Proveedores[Razon Social],Clientes_Proveedores[Ruc / Dni]),2,0),"")</f>
        <v>72682665</v>
      </c>
      <c r="W3020" s="25"/>
      <c r="X3020" s="25"/>
      <c r="Y3020" s="25"/>
      <c r="Z3020" s="77"/>
      <c r="AA3020" s="3" t="str">
        <f>IF(BCP_Soles[[#This Row],[fecha]]&gt;0,TEXT(BCP_Soles[[#This Row],[fecha]],"mmmm"),0)</f>
        <v>Julio</v>
      </c>
    </row>
    <row r="3021" spans="1:27" ht="24" x14ac:dyDescent="0.3">
      <c r="A3021" s="2">
        <f>IF(BCP_Soles[[#This Row],[tipo_registro]]="R",COUNTIFS($C$1:$C3020,"R")+1,A3020)</f>
        <v>2084</v>
      </c>
      <c r="B3021" s="19" t="str">
        <f t="shared" si="241"/>
        <v>B-BCP - Soles</v>
      </c>
      <c r="C3021" s="3" t="s">
        <v>1352</v>
      </c>
      <c r="D3021" s="14">
        <v>45869</v>
      </c>
      <c r="E3021" s="5" t="s">
        <v>1338</v>
      </c>
      <c r="F3021" s="5"/>
      <c r="G3021" s="6" t="s">
        <v>955</v>
      </c>
      <c r="H3021" s="6" t="s">
        <v>151</v>
      </c>
      <c r="I3021" s="6" t="s">
        <v>4046</v>
      </c>
      <c r="J3021" s="6">
        <v>48</v>
      </c>
      <c r="K3021" s="7" t="s">
        <v>4045</v>
      </c>
      <c r="L3021" s="8">
        <v>7197909</v>
      </c>
      <c r="M3021" s="8" t="str">
        <f t="shared" si="242"/>
        <v>PEN</v>
      </c>
      <c r="N3021" s="13">
        <v>1171.3900000000001</v>
      </c>
      <c r="O3021" s="13"/>
      <c r="P3021" s="3">
        <f t="shared" si="243"/>
        <v>0</v>
      </c>
      <c r="Q3021" s="3">
        <f t="shared" si="244"/>
        <v>0</v>
      </c>
      <c r="R3021" s="3">
        <f t="shared" si="245"/>
        <v>3339.3099999999977</v>
      </c>
      <c r="S3021" s="24" t="s">
        <v>1334</v>
      </c>
      <c r="T3021" s="24" t="s">
        <v>1334</v>
      </c>
      <c r="U3021" s="55"/>
      <c r="V3021" s="25">
        <f>IFERROR(VLOOKUP(BCP_Soles[[#This Row],[destinatario]],CHOOSE({1,2},Clientes_Proveedores[Razon Social],Clientes_Proveedores[Ruc / Dni]),2,0),"")</f>
        <v>48362717</v>
      </c>
      <c r="W3021" s="25"/>
      <c r="X3021" s="25"/>
      <c r="Y3021" s="25"/>
      <c r="Z3021" s="77"/>
      <c r="AA3021" s="3" t="str">
        <f>IF(BCP_Soles[[#This Row],[fecha]]&gt;0,TEXT(BCP_Soles[[#This Row],[fecha]],"mmmm"),0)</f>
        <v>Julio</v>
      </c>
    </row>
    <row r="3022" spans="1:27" ht="24" x14ac:dyDescent="0.3">
      <c r="A3022" s="2">
        <f>IF(BCP_Soles[[#This Row],[tipo_registro]]="R",COUNTIFS($C$1:$C3021,"R")+1,A3021)</f>
        <v>2084</v>
      </c>
      <c r="B3022" s="19" t="str">
        <f t="shared" si="241"/>
        <v>B-BCP - Soles</v>
      </c>
      <c r="C3022" s="3" t="s">
        <v>1352</v>
      </c>
      <c r="D3022" s="14">
        <v>45869</v>
      </c>
      <c r="E3022" s="5" t="s">
        <v>1338</v>
      </c>
      <c r="F3022" s="5"/>
      <c r="G3022" s="6" t="s">
        <v>957</v>
      </c>
      <c r="H3022" s="6" t="s">
        <v>151</v>
      </c>
      <c r="I3022" s="6" t="s">
        <v>4046</v>
      </c>
      <c r="J3022" s="6">
        <v>49</v>
      </c>
      <c r="K3022" s="7" t="s">
        <v>4045</v>
      </c>
      <c r="L3022" s="8">
        <v>7197909</v>
      </c>
      <c r="M3022" s="8" t="str">
        <f t="shared" si="242"/>
        <v>PEN</v>
      </c>
      <c r="N3022" s="13">
        <v>1941.37</v>
      </c>
      <c r="O3022" s="13"/>
      <c r="P3022" s="3">
        <f t="shared" si="243"/>
        <v>0</v>
      </c>
      <c r="Q3022" s="3">
        <f t="shared" si="244"/>
        <v>0</v>
      </c>
      <c r="R3022" s="3">
        <f t="shared" si="245"/>
        <v>3339.3099999999977</v>
      </c>
      <c r="S3022" s="24" t="s">
        <v>1334</v>
      </c>
      <c r="T3022" s="24" t="s">
        <v>1334</v>
      </c>
      <c r="U3022" s="55"/>
      <c r="V3022" s="25">
        <f>IFERROR(VLOOKUP(BCP_Soles[[#This Row],[destinatario]],CHOOSE({1,2},Clientes_Proveedores[Razon Social],Clientes_Proveedores[Ruc / Dni]),2,0),"")</f>
        <v>80454870</v>
      </c>
      <c r="W3022" s="25"/>
      <c r="X3022" s="25"/>
      <c r="Y3022" s="25"/>
      <c r="Z3022" s="77"/>
      <c r="AA3022" s="3" t="str">
        <f>IF(BCP_Soles[[#This Row],[fecha]]&gt;0,TEXT(BCP_Soles[[#This Row],[fecha]],"mmmm"),0)</f>
        <v>Julio</v>
      </c>
    </row>
    <row r="3023" spans="1:27" ht="24" x14ac:dyDescent="0.3">
      <c r="A3023" s="2">
        <f>IF(BCP_Soles[[#This Row],[tipo_registro]]="R",COUNTIFS($C$1:$C3022,"R")+1,A3022)</f>
        <v>2084</v>
      </c>
      <c r="B3023" s="19" t="str">
        <f t="shared" si="241"/>
        <v>B-BCP - Soles</v>
      </c>
      <c r="C3023" s="3" t="s">
        <v>1352</v>
      </c>
      <c r="D3023" s="14">
        <v>45869</v>
      </c>
      <c r="E3023" s="5" t="s">
        <v>1338</v>
      </c>
      <c r="F3023" s="5"/>
      <c r="G3023" s="6" t="s">
        <v>1020</v>
      </c>
      <c r="H3023" s="6" t="s">
        <v>151</v>
      </c>
      <c r="I3023" s="6" t="s">
        <v>4046</v>
      </c>
      <c r="J3023" s="6">
        <v>50</v>
      </c>
      <c r="K3023" s="7" t="s">
        <v>4045</v>
      </c>
      <c r="L3023" s="8">
        <v>7197909</v>
      </c>
      <c r="M3023" s="8" t="str">
        <f t="shared" si="242"/>
        <v>PEN</v>
      </c>
      <c r="N3023" s="13">
        <v>1179.72</v>
      </c>
      <c r="O3023" s="13"/>
      <c r="P3023" s="3">
        <f t="shared" si="243"/>
        <v>0</v>
      </c>
      <c r="Q3023" s="3">
        <f t="shared" si="244"/>
        <v>0</v>
      </c>
      <c r="R3023" s="3">
        <f t="shared" si="245"/>
        <v>3339.3099999999977</v>
      </c>
      <c r="S3023" s="24" t="s">
        <v>1334</v>
      </c>
      <c r="T3023" s="24" t="s">
        <v>1334</v>
      </c>
      <c r="U3023" s="55"/>
      <c r="V3023" s="25">
        <f>IFERROR(VLOOKUP(BCP_Soles[[#This Row],[destinatario]],CHOOSE({1,2},Clientes_Proveedores[Razon Social],Clientes_Proveedores[Ruc / Dni]),2,0),"")</f>
        <v>60248415</v>
      </c>
      <c r="W3023" s="25"/>
      <c r="X3023" s="25"/>
      <c r="Y3023" s="25"/>
      <c r="Z3023" s="77"/>
      <c r="AA3023" s="3" t="str">
        <f>IF(BCP_Soles[[#This Row],[fecha]]&gt;0,TEXT(BCP_Soles[[#This Row],[fecha]],"mmmm"),0)</f>
        <v>Julio</v>
      </c>
    </row>
    <row r="3024" spans="1:27" ht="36" x14ac:dyDescent="0.3">
      <c r="A3024" s="2">
        <f>IF(BCP_Soles[[#This Row],[tipo_registro]]="R",COUNTIFS($C$1:$C3023,"R")+1,A3023)</f>
        <v>2084</v>
      </c>
      <c r="B3024" s="19" t="str">
        <f t="shared" si="241"/>
        <v>B-BCP - Soles</v>
      </c>
      <c r="C3024" s="3" t="s">
        <v>1352</v>
      </c>
      <c r="D3024" s="14">
        <v>45869</v>
      </c>
      <c r="E3024" s="5" t="s">
        <v>1338</v>
      </c>
      <c r="F3024" s="5"/>
      <c r="G3024" s="6" t="s">
        <v>1076</v>
      </c>
      <c r="H3024" s="6" t="s">
        <v>151</v>
      </c>
      <c r="I3024" s="6" t="s">
        <v>4046</v>
      </c>
      <c r="J3024" s="6">
        <v>51</v>
      </c>
      <c r="K3024" s="7" t="s">
        <v>4045</v>
      </c>
      <c r="L3024" s="8">
        <v>7197909</v>
      </c>
      <c r="M3024" s="8" t="str">
        <f t="shared" si="242"/>
        <v>PEN</v>
      </c>
      <c r="N3024" s="13">
        <v>901.62</v>
      </c>
      <c r="O3024" s="13"/>
      <c r="P3024" s="3">
        <f t="shared" si="243"/>
        <v>0</v>
      </c>
      <c r="Q3024" s="3">
        <f t="shared" si="244"/>
        <v>0</v>
      </c>
      <c r="R3024" s="3">
        <f t="shared" si="245"/>
        <v>3339.3099999999977</v>
      </c>
      <c r="S3024" s="24" t="s">
        <v>1334</v>
      </c>
      <c r="T3024" s="24" t="s">
        <v>1334</v>
      </c>
      <c r="U3024" s="55"/>
      <c r="V3024" s="25">
        <f>IFERROR(VLOOKUP(BCP_Soles[[#This Row],[destinatario]],CHOOSE({1,2},Clientes_Proveedores[Razon Social],Clientes_Proveedores[Ruc / Dni]),2,0),"")</f>
        <v>77175568</v>
      </c>
      <c r="W3024" s="25"/>
      <c r="X3024" s="25"/>
      <c r="Y3024" s="25"/>
      <c r="Z3024" s="77"/>
      <c r="AA3024" s="3" t="str">
        <f>IF(BCP_Soles[[#This Row],[fecha]]&gt;0,TEXT(BCP_Soles[[#This Row],[fecha]],"mmmm"),0)</f>
        <v>Julio</v>
      </c>
    </row>
    <row r="3025" spans="1:27" ht="24" x14ac:dyDescent="0.3">
      <c r="A3025" s="2">
        <f>IF(BCP_Soles[[#This Row],[tipo_registro]]="R",COUNTIFS($C$1:$C3024,"R")+1,A3024)</f>
        <v>2084</v>
      </c>
      <c r="B3025" s="19" t="str">
        <f t="shared" si="241"/>
        <v>B-BCP - Soles</v>
      </c>
      <c r="C3025" s="3" t="s">
        <v>1352</v>
      </c>
      <c r="D3025" s="14">
        <v>45869</v>
      </c>
      <c r="E3025" s="5" t="s">
        <v>1338</v>
      </c>
      <c r="F3025" s="5"/>
      <c r="G3025" s="6" t="s">
        <v>1021</v>
      </c>
      <c r="H3025" s="6" t="s">
        <v>151</v>
      </c>
      <c r="I3025" s="6" t="s">
        <v>4046</v>
      </c>
      <c r="J3025" s="6">
        <v>52</v>
      </c>
      <c r="K3025" s="7" t="s">
        <v>4045</v>
      </c>
      <c r="L3025" s="8">
        <v>7197909</v>
      </c>
      <c r="M3025" s="8" t="str">
        <f t="shared" si="242"/>
        <v>PEN</v>
      </c>
      <c r="N3025" s="13">
        <v>1500.23</v>
      </c>
      <c r="O3025" s="13"/>
      <c r="P3025" s="3">
        <f t="shared" si="243"/>
        <v>0</v>
      </c>
      <c r="Q3025" s="3">
        <f t="shared" si="244"/>
        <v>0</v>
      </c>
      <c r="R3025" s="3">
        <f t="shared" si="245"/>
        <v>3339.3099999999977</v>
      </c>
      <c r="S3025" s="24" t="s">
        <v>1334</v>
      </c>
      <c r="T3025" s="24" t="s">
        <v>1334</v>
      </c>
      <c r="U3025" s="55"/>
      <c r="V3025" s="25">
        <f>IFERROR(VLOOKUP(BCP_Soles[[#This Row],[destinatario]],CHOOSE({1,2},Clientes_Proveedores[Razon Social],Clientes_Proveedores[Ruc / Dni]),2,0),"")</f>
        <v>77089939</v>
      </c>
      <c r="W3025" s="25"/>
      <c r="X3025" s="25"/>
      <c r="Y3025" s="25"/>
      <c r="Z3025" s="77"/>
      <c r="AA3025" s="3" t="str">
        <f>IF(BCP_Soles[[#This Row],[fecha]]&gt;0,TEXT(BCP_Soles[[#This Row],[fecha]],"mmmm"),0)</f>
        <v>Julio</v>
      </c>
    </row>
    <row r="3026" spans="1:27" ht="24" x14ac:dyDescent="0.3">
      <c r="A3026" s="2">
        <f>IF(BCP_Soles[[#This Row],[tipo_registro]]="R",COUNTIFS($C$1:$C3025,"R")+1,A3025)</f>
        <v>2084</v>
      </c>
      <c r="B3026" s="19" t="str">
        <f t="shared" si="241"/>
        <v>B-BCP - Soles</v>
      </c>
      <c r="C3026" s="3" t="s">
        <v>1352</v>
      </c>
      <c r="D3026" s="14">
        <v>45869</v>
      </c>
      <c r="E3026" s="5" t="s">
        <v>1338</v>
      </c>
      <c r="F3026" s="5"/>
      <c r="G3026" s="6" t="s">
        <v>1022</v>
      </c>
      <c r="H3026" s="6" t="s">
        <v>151</v>
      </c>
      <c r="I3026" s="6" t="s">
        <v>4046</v>
      </c>
      <c r="J3026" s="6">
        <v>53</v>
      </c>
      <c r="K3026" s="7" t="s">
        <v>4045</v>
      </c>
      <c r="L3026" s="8">
        <v>7197909</v>
      </c>
      <c r="M3026" s="8" t="str">
        <f t="shared" si="242"/>
        <v>PEN</v>
      </c>
      <c r="N3026" s="13">
        <v>598.99</v>
      </c>
      <c r="O3026" s="13"/>
      <c r="P3026" s="3">
        <f t="shared" si="243"/>
        <v>0</v>
      </c>
      <c r="Q3026" s="3">
        <f t="shared" si="244"/>
        <v>0</v>
      </c>
      <c r="R3026" s="3">
        <f t="shared" si="245"/>
        <v>3339.3099999999977</v>
      </c>
      <c r="S3026" s="24" t="s">
        <v>1334</v>
      </c>
      <c r="T3026" s="24" t="s">
        <v>1334</v>
      </c>
      <c r="U3026" s="55"/>
      <c r="V3026" s="25">
        <f>IFERROR(VLOOKUP(BCP_Soles[[#This Row],[destinatario]],CHOOSE({1,2},Clientes_Proveedores[Razon Social],Clientes_Proveedores[Ruc / Dni]),2,0),"")</f>
        <v>73376012</v>
      </c>
      <c r="W3026" s="25"/>
      <c r="X3026" s="25"/>
      <c r="Y3026" s="25"/>
      <c r="Z3026" s="77"/>
      <c r="AA3026" s="3" t="str">
        <f>IF(BCP_Soles[[#This Row],[fecha]]&gt;0,TEXT(BCP_Soles[[#This Row],[fecha]],"mmmm"),0)</f>
        <v>Julio</v>
      </c>
    </row>
    <row r="3027" spans="1:27" ht="24" x14ac:dyDescent="0.3">
      <c r="A3027" s="2">
        <f>IF(BCP_Soles[[#This Row],[tipo_registro]]="R",COUNTIFS($C$1:$C3026,"R")+1,A3026)</f>
        <v>2084</v>
      </c>
      <c r="B3027" s="19" t="str">
        <f t="shared" si="241"/>
        <v>B-BCP - Soles</v>
      </c>
      <c r="C3027" s="3" t="s">
        <v>1352</v>
      </c>
      <c r="D3027" s="14">
        <v>45869</v>
      </c>
      <c r="E3027" s="5" t="s">
        <v>1338</v>
      </c>
      <c r="F3027" s="5"/>
      <c r="G3027" s="6" t="s">
        <v>1039</v>
      </c>
      <c r="H3027" s="6" t="s">
        <v>151</v>
      </c>
      <c r="I3027" s="6" t="s">
        <v>4046</v>
      </c>
      <c r="J3027" s="6">
        <v>54</v>
      </c>
      <c r="K3027" s="7" t="s">
        <v>4045</v>
      </c>
      <c r="L3027" s="8">
        <v>7197909</v>
      </c>
      <c r="M3027" s="8" t="str">
        <f t="shared" si="242"/>
        <v>PEN</v>
      </c>
      <c r="N3027" s="13">
        <v>1552.32</v>
      </c>
      <c r="O3027" s="13"/>
      <c r="P3027" s="3">
        <f t="shared" si="243"/>
        <v>0</v>
      </c>
      <c r="Q3027" s="3">
        <f t="shared" si="244"/>
        <v>0</v>
      </c>
      <c r="R3027" s="3">
        <f t="shared" si="245"/>
        <v>3339.3099999999977</v>
      </c>
      <c r="S3027" s="24" t="s">
        <v>1334</v>
      </c>
      <c r="T3027" s="24" t="s">
        <v>1334</v>
      </c>
      <c r="U3027" s="55"/>
      <c r="V3027" s="25">
        <f>IFERROR(VLOOKUP(BCP_Soles[[#This Row],[destinatario]],CHOOSE({1,2},Clientes_Proveedores[Razon Social],Clientes_Proveedores[Ruc / Dni]),2,0),"")</f>
        <v>70511606</v>
      </c>
      <c r="W3027" s="25"/>
      <c r="X3027" s="25"/>
      <c r="Y3027" s="25"/>
      <c r="Z3027" s="77"/>
      <c r="AA3027" s="3" t="str">
        <f>IF(BCP_Soles[[#This Row],[fecha]]&gt;0,TEXT(BCP_Soles[[#This Row],[fecha]],"mmmm"),0)</f>
        <v>Julio</v>
      </c>
    </row>
    <row r="3028" spans="1:27" ht="24" x14ac:dyDescent="0.3">
      <c r="A3028" s="2">
        <f>IF(BCP_Soles[[#This Row],[tipo_registro]]="R",COUNTIFS($C$1:$C3027,"R")+1,A3027)</f>
        <v>2085</v>
      </c>
      <c r="B3028" s="19" t="str">
        <f t="shared" si="241"/>
        <v>B-BCP - Soles</v>
      </c>
      <c r="C3028" s="3" t="s">
        <v>1330</v>
      </c>
      <c r="D3028" s="14">
        <v>45869</v>
      </c>
      <c r="E3028" s="5" t="s">
        <v>1335</v>
      </c>
      <c r="F3028" s="5" t="s">
        <v>1336</v>
      </c>
      <c r="G3028" s="6" t="s">
        <v>1060</v>
      </c>
      <c r="H3028" s="6" t="s">
        <v>68</v>
      </c>
      <c r="I3028" s="6" t="s">
        <v>2081</v>
      </c>
      <c r="J3028" s="6">
        <v>16106846</v>
      </c>
      <c r="K3028" s="7" t="s">
        <v>1758</v>
      </c>
      <c r="L3028" s="8">
        <v>975646</v>
      </c>
      <c r="M3028" s="8" t="str">
        <f t="shared" si="242"/>
        <v>PEN</v>
      </c>
      <c r="N3028" s="13"/>
      <c r="O3028" s="13">
        <v>5.5</v>
      </c>
      <c r="P3028" s="3">
        <f t="shared" si="243"/>
        <v>0</v>
      </c>
      <c r="Q3028" s="3">
        <f t="shared" si="244"/>
        <v>5.5</v>
      </c>
      <c r="R3028" s="3">
        <f t="shared" si="245"/>
        <v>3333.8099999999977</v>
      </c>
      <c r="S3028" s="24" t="s">
        <v>1334</v>
      </c>
      <c r="T3028" s="24" t="s">
        <v>1334</v>
      </c>
      <c r="U3028" s="55"/>
      <c r="V3028" s="25">
        <f>IFERROR(VLOOKUP(BCP_Soles[[#This Row],[destinatario]],CHOOSE({1,2},Clientes_Proveedores[Razon Social],Clientes_Proveedores[Ruc / Dni]),2,0),"")</f>
        <v>20100047218</v>
      </c>
      <c r="W3028" s="25"/>
      <c r="X3028" s="25"/>
      <c r="Y3028" s="25"/>
      <c r="Z3028" s="77"/>
      <c r="AA3028" s="3" t="str">
        <f>IF(BCP_Soles[[#This Row],[fecha]]&gt;0,TEXT(BCP_Soles[[#This Row],[fecha]],"mmmm"),0)</f>
        <v>Julio</v>
      </c>
    </row>
    <row r="3029" spans="1:27" ht="24" x14ac:dyDescent="0.3">
      <c r="A3029" s="2">
        <f>IF(BCP_Soles[[#This Row],[tipo_registro]]="R",COUNTIFS($C$1:$C3028,"R")+1,A3028)</f>
        <v>2086</v>
      </c>
      <c r="B3029" s="19" t="str">
        <f t="shared" si="241"/>
        <v>B-BCP - Soles</v>
      </c>
      <c r="C3029" s="3" t="s">
        <v>1330</v>
      </c>
      <c r="D3029" s="14">
        <v>45869</v>
      </c>
      <c r="E3029" s="5" t="s">
        <v>1335</v>
      </c>
      <c r="F3029" s="5" t="s">
        <v>1336</v>
      </c>
      <c r="G3029" s="6" t="s">
        <v>1060</v>
      </c>
      <c r="H3029" s="6" t="s">
        <v>68</v>
      </c>
      <c r="I3029" s="6" t="s">
        <v>2081</v>
      </c>
      <c r="J3029" s="6">
        <v>16106846</v>
      </c>
      <c r="K3029" s="7" t="s">
        <v>1756</v>
      </c>
      <c r="L3029" s="8">
        <v>0</v>
      </c>
      <c r="M3029" s="8" t="str">
        <f t="shared" si="242"/>
        <v>PEN</v>
      </c>
      <c r="N3029" s="13"/>
      <c r="O3029" s="13">
        <v>35</v>
      </c>
      <c r="P3029" s="3">
        <f t="shared" si="243"/>
        <v>0</v>
      </c>
      <c r="Q3029" s="3">
        <f t="shared" si="244"/>
        <v>35</v>
      </c>
      <c r="R3029" s="3">
        <f t="shared" si="245"/>
        <v>3298.8099999999977</v>
      </c>
      <c r="S3029" s="24" t="s">
        <v>1334</v>
      </c>
      <c r="T3029" s="24" t="s">
        <v>1334</v>
      </c>
      <c r="U3029" s="55"/>
      <c r="V3029" s="25">
        <f>IFERROR(VLOOKUP(BCP_Soles[[#This Row],[destinatario]],CHOOSE({1,2},Clientes_Proveedores[Razon Social],Clientes_Proveedores[Ruc / Dni]),2,0),"")</f>
        <v>20100047218</v>
      </c>
      <c r="W3029" s="25"/>
      <c r="X3029" s="25"/>
      <c r="Y3029" s="25"/>
      <c r="Z3029" s="77"/>
      <c r="AA3029" s="3" t="str">
        <f>IF(BCP_Soles[[#This Row],[fecha]]&gt;0,TEXT(BCP_Soles[[#This Row],[fecha]],"mmmm"),0)</f>
        <v>Julio</v>
      </c>
    </row>
    <row r="3030" spans="1:27" x14ac:dyDescent="0.3">
      <c r="A3030" s="2">
        <f>IF(BCP_Soles[[#This Row],[tipo_registro]]="R",COUNTIFS($C$1:$C3029,"R")+1,A3029)</f>
        <v>2087</v>
      </c>
      <c r="B3030" s="19" t="str">
        <f t="shared" si="241"/>
        <v>B-BCP - Soles</v>
      </c>
      <c r="C3030" s="3" t="s">
        <v>1330</v>
      </c>
      <c r="D3030" s="14">
        <v>45869</v>
      </c>
      <c r="E3030" s="5" t="s">
        <v>1335</v>
      </c>
      <c r="F3030" s="5" t="s">
        <v>1336</v>
      </c>
      <c r="G3030" s="6" t="s">
        <v>1009</v>
      </c>
      <c r="H3030" s="6" t="s">
        <v>64</v>
      </c>
      <c r="I3030" s="6" t="s">
        <v>3673</v>
      </c>
      <c r="J3030" s="6">
        <v>2087</v>
      </c>
      <c r="K3030" s="7" t="s">
        <v>3160</v>
      </c>
      <c r="L3030" s="8"/>
      <c r="M3030" s="8" t="str">
        <f t="shared" si="242"/>
        <v>PEN</v>
      </c>
      <c r="N3030" s="13"/>
      <c r="O3030" s="13">
        <v>6.2</v>
      </c>
      <c r="P3030" s="3">
        <f t="shared" si="243"/>
        <v>0</v>
      </c>
      <c r="Q3030" s="3">
        <f t="shared" si="244"/>
        <v>6.2</v>
      </c>
      <c r="R3030" s="3">
        <f t="shared" si="245"/>
        <v>3292.6099999999979</v>
      </c>
      <c r="S3030" s="24" t="s">
        <v>1334</v>
      </c>
      <c r="T3030" s="24" t="s">
        <v>1334</v>
      </c>
      <c r="U3030" s="55"/>
      <c r="V3030" s="25">
        <f>IFERROR(VLOOKUP(BCP_Soles[[#This Row],[destinatario]],CHOOSE({1,2},Clientes_Proveedores[Razon Social],Clientes_Proveedores[Ruc / Dni]),2,0),"")</f>
        <v>11111111</v>
      </c>
      <c r="W3030" s="25"/>
      <c r="X3030" s="25"/>
      <c r="Y3030" s="25"/>
      <c r="Z3030" s="77"/>
      <c r="AA3030" s="3" t="str">
        <f>IF(BCP_Soles[[#This Row],[fecha]]&gt;0,TEXT(BCP_Soles[[#This Row],[fecha]],"mmmm"),0)</f>
        <v>Julio</v>
      </c>
    </row>
    <row r="3031" spans="1:27" x14ac:dyDescent="0.3">
      <c r="A3031" s="2">
        <f>IF(BCP_Soles[[#This Row],[tipo_registro]]="R",COUNTIFS($C$1:$C3030,"R")+1,A3030)</f>
        <v>2088</v>
      </c>
      <c r="B3031" s="19" t="str">
        <f t="shared" si="241"/>
        <v>B-BCP - Soles</v>
      </c>
      <c r="C3031" s="3" t="s">
        <v>1330</v>
      </c>
      <c r="D3031" s="14">
        <v>45870</v>
      </c>
      <c r="E3031" s="5" t="s">
        <v>1335</v>
      </c>
      <c r="F3031" s="5" t="s">
        <v>1303</v>
      </c>
      <c r="G3031" s="6" t="s">
        <v>1009</v>
      </c>
      <c r="H3031" s="6" t="s">
        <v>64</v>
      </c>
      <c r="I3031" s="6" t="s">
        <v>3673</v>
      </c>
      <c r="J3031" s="6">
        <v>2088</v>
      </c>
      <c r="K3031" s="7" t="s">
        <v>4047</v>
      </c>
      <c r="L3031" s="8"/>
      <c r="M3031" s="8" t="str">
        <f t="shared" si="242"/>
        <v>PEN</v>
      </c>
      <c r="N3031" s="13"/>
      <c r="O3031" s="13">
        <v>0.05</v>
      </c>
      <c r="P3031" s="3">
        <f t="shared" si="243"/>
        <v>0.05</v>
      </c>
      <c r="Q3031" s="3">
        <f t="shared" si="244"/>
        <v>0</v>
      </c>
      <c r="R3031" s="3">
        <f t="shared" si="245"/>
        <v>3292.659999999998</v>
      </c>
      <c r="S3031" s="24" t="s">
        <v>1334</v>
      </c>
      <c r="T3031" s="24" t="s">
        <v>1334</v>
      </c>
      <c r="U3031" s="55"/>
      <c r="V3031" s="25">
        <f>IFERROR(VLOOKUP(BCP_Soles[[#This Row],[destinatario]],CHOOSE({1,2},Clientes_Proveedores[Razon Social],Clientes_Proveedores[Ruc / Dni]),2,0),"")</f>
        <v>11111111</v>
      </c>
      <c r="W3031" s="25"/>
      <c r="X3031" s="25"/>
      <c r="Y3031" s="25"/>
      <c r="Z3031" s="77"/>
      <c r="AA3031" s="3" t="str">
        <f>IF(BCP_Soles[[#This Row],[fecha]]&gt;0,TEXT(BCP_Soles[[#This Row],[fecha]],"mmmm"),0)</f>
        <v>Agosto</v>
      </c>
    </row>
    <row r="3032" spans="1:27" ht="36" x14ac:dyDescent="0.3">
      <c r="A3032" s="2">
        <f>IF(BCP_Soles[[#This Row],[tipo_registro]]="R",COUNTIFS($C$1:$C3031,"R")+1,A3031)</f>
        <v>2089</v>
      </c>
      <c r="B3032" s="19" t="str">
        <f t="shared" si="241"/>
        <v>B-BCP - Soles</v>
      </c>
      <c r="C3032" s="3" t="s">
        <v>1330</v>
      </c>
      <c r="D3032" s="14">
        <v>45870</v>
      </c>
      <c r="E3032" s="5" t="s">
        <v>324</v>
      </c>
      <c r="F3032" s="5" t="s">
        <v>1303</v>
      </c>
      <c r="G3032" s="6" t="s">
        <v>425</v>
      </c>
      <c r="H3032" s="6" t="s">
        <v>68</v>
      </c>
      <c r="I3032" s="6" t="s">
        <v>1784</v>
      </c>
      <c r="J3032" s="6">
        <v>130</v>
      </c>
      <c r="K3032" s="7" t="s">
        <v>4048</v>
      </c>
      <c r="L3032" s="8">
        <v>7633594</v>
      </c>
      <c r="M3032" s="8" t="str">
        <f t="shared" si="242"/>
        <v>PEN</v>
      </c>
      <c r="N3032" s="13"/>
      <c r="O3032" s="13">
        <v>16859.95</v>
      </c>
      <c r="P3032" s="3">
        <f t="shared" si="243"/>
        <v>16859.95</v>
      </c>
      <c r="Q3032" s="3">
        <f t="shared" si="244"/>
        <v>0</v>
      </c>
      <c r="R3032" s="3">
        <f t="shared" si="245"/>
        <v>20152.61</v>
      </c>
      <c r="S3032" s="24" t="s">
        <v>1334</v>
      </c>
      <c r="T3032" s="24" t="s">
        <v>1334</v>
      </c>
      <c r="U3032" s="55"/>
      <c r="V3032" s="25">
        <f>IFERROR(VLOOKUP(BCP_Soles[[#This Row],[destinatario]],CHOOSE({1,2},Clientes_Proveedores[Razon Social],Clientes_Proveedores[Ruc / Dni]),2,0),"")</f>
        <v>20558226979</v>
      </c>
      <c r="W3032" s="25"/>
      <c r="X3032" s="25"/>
      <c r="Y3032" s="25"/>
      <c r="Z3032" s="77"/>
      <c r="AA3032" s="3" t="str">
        <f>IF(BCP_Soles[[#This Row],[fecha]]&gt;0,TEXT(BCP_Soles[[#This Row],[fecha]],"mmmm"),0)</f>
        <v>Agosto</v>
      </c>
    </row>
    <row r="3033" spans="1:27" ht="60" x14ac:dyDescent="0.3">
      <c r="A3033" s="2">
        <f>IF(BCP_Soles[[#This Row],[tipo_registro]]="R",COUNTIFS($C$1:$C3032,"R")+1,A3032)</f>
        <v>2090</v>
      </c>
      <c r="B3033" s="19" t="str">
        <f t="shared" si="241"/>
        <v>B-BCP - Soles</v>
      </c>
      <c r="C3033" s="3" t="s">
        <v>1330</v>
      </c>
      <c r="D3033" s="14">
        <v>45870</v>
      </c>
      <c r="E3033" s="5" t="s">
        <v>403</v>
      </c>
      <c r="F3033" s="5" t="s">
        <v>1303</v>
      </c>
      <c r="G3033" s="6" t="s">
        <v>425</v>
      </c>
      <c r="H3033" s="6" t="s">
        <v>68</v>
      </c>
      <c r="I3033" s="6" t="s">
        <v>1784</v>
      </c>
      <c r="J3033" s="6">
        <v>109</v>
      </c>
      <c r="K3033" s="7" t="s">
        <v>4049</v>
      </c>
      <c r="L3033" s="8">
        <v>590581</v>
      </c>
      <c r="M3033" s="8" t="str">
        <f t="shared" si="242"/>
        <v>PEN</v>
      </c>
      <c r="N3033" s="13"/>
      <c r="O3033" s="13">
        <v>6075.02</v>
      </c>
      <c r="P3033" s="3">
        <f t="shared" si="243"/>
        <v>6075.02</v>
      </c>
      <c r="Q3033" s="3">
        <f t="shared" si="244"/>
        <v>0</v>
      </c>
      <c r="R3033" s="3">
        <f t="shared" si="245"/>
        <v>26227.63</v>
      </c>
      <c r="S3033" s="24" t="s">
        <v>1334</v>
      </c>
      <c r="T3033" s="24" t="s">
        <v>1334</v>
      </c>
      <c r="U3033" s="55"/>
      <c r="V3033" s="25">
        <f>IFERROR(VLOOKUP(BCP_Soles[[#This Row],[destinatario]],CHOOSE({1,2},Clientes_Proveedores[Razon Social],Clientes_Proveedores[Ruc / Dni]),2,0),"")</f>
        <v>20558226979</v>
      </c>
      <c r="W3033" s="25"/>
      <c r="X3033" s="25"/>
      <c r="Y3033" s="25"/>
      <c r="Z3033" s="77"/>
      <c r="AA3033" s="3" t="str">
        <f>IF(BCP_Soles[[#This Row],[fecha]]&gt;0,TEXT(BCP_Soles[[#This Row],[fecha]],"mmmm"),0)</f>
        <v>Agosto</v>
      </c>
    </row>
    <row r="3034" spans="1:27" ht="14.25" customHeight="1" x14ac:dyDescent="0.3">
      <c r="A3034" s="2">
        <f>IF(BCP_Soles[[#This Row],[tipo_registro]]="R",COUNTIFS($C$1:$C3033,"R")+1,A3033)</f>
        <v>2091</v>
      </c>
      <c r="B3034" s="19" t="str">
        <f t="shared" ref="B3034:B3097" si="246">"B-BCP - Soles"</f>
        <v>B-BCP - Soles</v>
      </c>
      <c r="C3034" s="3" t="s">
        <v>1330</v>
      </c>
      <c r="D3034" s="14">
        <v>45870</v>
      </c>
      <c r="E3034" s="5" t="s">
        <v>236</v>
      </c>
      <c r="F3034" s="5" t="s">
        <v>1303</v>
      </c>
      <c r="G3034" s="6" t="s">
        <v>425</v>
      </c>
      <c r="H3034" s="6" t="s">
        <v>68</v>
      </c>
      <c r="I3034" s="6" t="s">
        <v>1784</v>
      </c>
      <c r="J3034" s="6">
        <v>196</v>
      </c>
      <c r="K3034" s="7" t="s">
        <v>1356</v>
      </c>
      <c r="L3034" s="8">
        <v>1469665</v>
      </c>
      <c r="M3034" s="8" t="str">
        <f t="shared" ref="M3034:M3097" si="247">"PEN"</f>
        <v>PEN</v>
      </c>
      <c r="N3034" s="13"/>
      <c r="O3034" s="13">
        <v>318.60000000000002</v>
      </c>
      <c r="P3034" s="3">
        <f t="shared" ref="P3034:P3097" si="248">+IF(OR($F3034="SALDO",$F3034="INGRESO"),$O3034,0)</f>
        <v>318.60000000000002</v>
      </c>
      <c r="Q3034" s="3">
        <f t="shared" ref="Q3034:Q3097" si="249">+IF($F3034="EGRESO",$O3034,0)</f>
        <v>0</v>
      </c>
      <c r="R3034" s="3">
        <f t="shared" si="245"/>
        <v>26546.23</v>
      </c>
      <c r="S3034" s="24" t="s">
        <v>1334</v>
      </c>
      <c r="T3034" s="24" t="s">
        <v>1334</v>
      </c>
      <c r="U3034" s="55"/>
      <c r="V3034" s="25">
        <f>IFERROR(VLOOKUP(BCP_Soles[[#This Row],[destinatario]],CHOOSE({1,2},Clientes_Proveedores[Razon Social],Clientes_Proveedores[Ruc / Dni]),2,0),"")</f>
        <v>20558226979</v>
      </c>
      <c r="W3034" s="25"/>
      <c r="X3034" s="25"/>
      <c r="Y3034" s="25"/>
      <c r="Z3034" s="77"/>
      <c r="AA3034" s="3" t="str">
        <f>IF(BCP_Soles[[#This Row],[fecha]]&gt;0,TEXT(BCP_Soles[[#This Row],[fecha]],"mmmm"),0)</f>
        <v>Agosto</v>
      </c>
    </row>
    <row r="3035" spans="1:27" ht="24" x14ac:dyDescent="0.3">
      <c r="A3035" s="2">
        <f>IF(BCP_Soles[[#This Row],[tipo_registro]]="R",COUNTIFS($C$1:$C3034,"R")+1,A3034)</f>
        <v>2092</v>
      </c>
      <c r="B3035" s="19" t="str">
        <f t="shared" si="246"/>
        <v>B-BCP - Soles</v>
      </c>
      <c r="C3035" s="3" t="s">
        <v>1330</v>
      </c>
      <c r="D3035" s="14">
        <v>45870</v>
      </c>
      <c r="E3035" s="5" t="s">
        <v>2009</v>
      </c>
      <c r="F3035" s="5" t="s">
        <v>1303</v>
      </c>
      <c r="G3035" s="6" t="s">
        <v>425</v>
      </c>
      <c r="H3035" s="6" t="s">
        <v>119</v>
      </c>
      <c r="I3035" s="6">
        <v>1</v>
      </c>
      <c r="J3035" s="6">
        <v>4638</v>
      </c>
      <c r="K3035" s="7" t="s">
        <v>1356</v>
      </c>
      <c r="L3035" s="8">
        <v>1140825</v>
      </c>
      <c r="M3035" s="8" t="str">
        <f t="shared" si="247"/>
        <v>PEN</v>
      </c>
      <c r="N3035" s="13"/>
      <c r="O3035" s="13">
        <v>1000</v>
      </c>
      <c r="P3035" s="3">
        <f t="shared" si="248"/>
        <v>1000</v>
      </c>
      <c r="Q3035" s="3">
        <f t="shared" si="249"/>
        <v>0</v>
      </c>
      <c r="R3035" s="3">
        <f t="shared" si="245"/>
        <v>27546.23</v>
      </c>
      <c r="S3035" s="24" t="s">
        <v>1334</v>
      </c>
      <c r="T3035" s="24" t="s">
        <v>1334</v>
      </c>
      <c r="U3035" s="55"/>
      <c r="V3035" s="25">
        <f>IFERROR(VLOOKUP(BCP_Soles[[#This Row],[destinatario]],CHOOSE({1,2},Clientes_Proveedores[Razon Social],Clientes_Proveedores[Ruc / Dni]),2,0),"")</f>
        <v>20558226979</v>
      </c>
      <c r="W3035" s="25"/>
      <c r="X3035" s="25"/>
      <c r="Y3035" s="25"/>
      <c r="Z3035" s="77"/>
      <c r="AA3035" s="3" t="str">
        <f>IF(BCP_Soles[[#This Row],[fecha]]&gt;0,TEXT(BCP_Soles[[#This Row],[fecha]],"mmmm"),0)</f>
        <v>Agosto</v>
      </c>
    </row>
    <row r="3036" spans="1:27" ht="24" x14ac:dyDescent="0.3">
      <c r="A3036" s="2">
        <f>IF(BCP_Soles[[#This Row],[tipo_registro]]="R",COUNTIFS($C$1:$C3035,"R")+1,A3035)</f>
        <v>2093</v>
      </c>
      <c r="B3036" s="19" t="str">
        <f t="shared" si="246"/>
        <v>B-BCP - Soles</v>
      </c>
      <c r="C3036" s="3" t="s">
        <v>1330</v>
      </c>
      <c r="D3036" s="14">
        <v>45870</v>
      </c>
      <c r="E3036" s="5" t="s">
        <v>410</v>
      </c>
      <c r="F3036" s="5" t="s">
        <v>1303</v>
      </c>
      <c r="G3036" s="6" t="s">
        <v>425</v>
      </c>
      <c r="H3036" s="6" t="s">
        <v>68</v>
      </c>
      <c r="I3036" s="6" t="s">
        <v>3302</v>
      </c>
      <c r="J3036" s="6">
        <v>101</v>
      </c>
      <c r="K3036" s="7" t="s">
        <v>1356</v>
      </c>
      <c r="L3036" s="8">
        <v>3249196</v>
      </c>
      <c r="M3036" s="8" t="str">
        <f t="shared" si="247"/>
        <v>PEN</v>
      </c>
      <c r="N3036" s="13"/>
      <c r="O3036" s="13">
        <v>5813.28</v>
      </c>
      <c r="P3036" s="3">
        <f t="shared" si="248"/>
        <v>5813.28</v>
      </c>
      <c r="Q3036" s="3">
        <f t="shared" si="249"/>
        <v>0</v>
      </c>
      <c r="R3036" s="3">
        <f t="shared" si="245"/>
        <v>33359.51</v>
      </c>
      <c r="S3036" s="24" t="s">
        <v>1334</v>
      </c>
      <c r="T3036" s="24" t="s">
        <v>1334</v>
      </c>
      <c r="U3036" s="55"/>
      <c r="V3036" s="25">
        <f>IFERROR(VLOOKUP(BCP_Soles[[#This Row],[destinatario]],CHOOSE({1,2},Clientes_Proveedores[Razon Social],Clientes_Proveedores[Ruc / Dni]),2,0),"")</f>
        <v>20558226979</v>
      </c>
      <c r="W3036" s="25"/>
      <c r="X3036" s="25"/>
      <c r="Y3036" s="25"/>
      <c r="Z3036" s="77"/>
      <c r="AA3036" s="3" t="str">
        <f>IF(BCP_Soles[[#This Row],[fecha]]&gt;0,TEXT(BCP_Soles[[#This Row],[fecha]],"mmmm"),0)</f>
        <v>Agosto</v>
      </c>
    </row>
    <row r="3037" spans="1:27" ht="24" x14ac:dyDescent="0.3">
      <c r="A3037" s="2">
        <f>IF(BCP_Soles[[#This Row],[tipo_registro]]="R",COUNTIFS($C$1:$C3036,"R")+1,A3036)</f>
        <v>2094</v>
      </c>
      <c r="B3037" s="19" t="str">
        <f t="shared" si="246"/>
        <v>B-BCP - Soles</v>
      </c>
      <c r="C3037" s="3" t="s">
        <v>1330</v>
      </c>
      <c r="D3037" s="14">
        <v>45870</v>
      </c>
      <c r="E3037" s="5" t="s">
        <v>1338</v>
      </c>
      <c r="F3037" s="5" t="s">
        <v>1336</v>
      </c>
      <c r="G3037" s="6" t="s">
        <v>708</v>
      </c>
      <c r="H3037" s="6" t="s">
        <v>68</v>
      </c>
      <c r="I3037" s="6" t="s">
        <v>1655</v>
      </c>
      <c r="J3037" s="6">
        <v>305477</v>
      </c>
      <c r="K3037" s="7" t="s">
        <v>4050</v>
      </c>
      <c r="L3037" s="8">
        <v>239259</v>
      </c>
      <c r="M3037" s="8" t="str">
        <f t="shared" si="247"/>
        <v>PEN</v>
      </c>
      <c r="N3037" s="13"/>
      <c r="O3037" s="13">
        <v>20.77</v>
      </c>
      <c r="P3037" s="3">
        <f t="shared" si="248"/>
        <v>0</v>
      </c>
      <c r="Q3037" s="3">
        <f t="shared" si="249"/>
        <v>20.77</v>
      </c>
      <c r="R3037" s="3">
        <f t="shared" si="245"/>
        <v>33338.740000000005</v>
      </c>
      <c r="S3037" s="24" t="s">
        <v>1334</v>
      </c>
      <c r="T3037" s="24" t="s">
        <v>1334</v>
      </c>
      <c r="U3037" s="79" t="s">
        <v>4051</v>
      </c>
      <c r="V3037" s="25">
        <f>IFERROR(VLOOKUP(BCP_Soles[[#This Row],[destinatario]],CHOOSE({1,2},Clientes_Proveedores[Razon Social],Clientes_Proveedores[Ruc / Dni]),2,0),"")</f>
        <v>20467534026</v>
      </c>
      <c r="W3037" s="25"/>
      <c r="X3037" s="25"/>
      <c r="Y3037" s="25"/>
      <c r="Z3037" s="77"/>
      <c r="AA3037" s="3" t="str">
        <f>IF(BCP_Soles[[#This Row],[fecha]]&gt;0,TEXT(BCP_Soles[[#This Row],[fecha]],"mmmm"),0)</f>
        <v>Agosto</v>
      </c>
    </row>
    <row r="3038" spans="1:27" x14ac:dyDescent="0.3">
      <c r="A3038" s="2">
        <f>IF(BCP_Soles[[#This Row],[tipo_registro]]="R",COUNTIFS($C$1:$C3037,"R")+1,A3037)</f>
        <v>2095</v>
      </c>
      <c r="B3038" s="19" t="str">
        <f t="shared" si="246"/>
        <v>B-BCP - Soles</v>
      </c>
      <c r="C3038" s="3" t="s">
        <v>1330</v>
      </c>
      <c r="D3038" s="14">
        <v>45870</v>
      </c>
      <c r="E3038" s="5" t="s">
        <v>1338</v>
      </c>
      <c r="F3038" s="5" t="s">
        <v>1336</v>
      </c>
      <c r="G3038" s="6" t="s">
        <v>695</v>
      </c>
      <c r="H3038" s="6"/>
      <c r="I3038" s="6"/>
      <c r="J3038" s="6"/>
      <c r="K3038" s="7" t="s">
        <v>3552</v>
      </c>
      <c r="L3038" s="8">
        <v>236850</v>
      </c>
      <c r="M3038" s="8" t="str">
        <f t="shared" si="247"/>
        <v>PEN</v>
      </c>
      <c r="N3038" s="13"/>
      <c r="O3038" s="13">
        <v>3882.01</v>
      </c>
      <c r="P3038" s="3">
        <f t="shared" si="248"/>
        <v>0</v>
      </c>
      <c r="Q3038" s="3">
        <f t="shared" si="249"/>
        <v>3882.01</v>
      </c>
      <c r="R3038" s="3">
        <f t="shared" si="245"/>
        <v>29456.730000000003</v>
      </c>
      <c r="S3038" s="24" t="s">
        <v>1334</v>
      </c>
      <c r="T3038" s="24" t="s">
        <v>1334</v>
      </c>
      <c r="U3038" s="79" t="s">
        <v>4052</v>
      </c>
      <c r="V3038" s="25">
        <f>IFERROR(VLOOKUP(BCP_Soles[[#This Row],[destinatario]],CHOOSE({1,2},Clientes_Proveedores[Razon Social],Clientes_Proveedores[Ruc / Dni]),2,0),"")</f>
        <v>20127765279</v>
      </c>
      <c r="W3038" s="25"/>
      <c r="X3038" s="25"/>
      <c r="Y3038" s="25"/>
      <c r="Z3038" s="77"/>
      <c r="AA3038" s="3" t="str">
        <f>IF(BCP_Soles[[#This Row],[fecha]]&gt;0,TEXT(BCP_Soles[[#This Row],[fecha]],"mmmm"),0)</f>
        <v>Agosto</v>
      </c>
    </row>
    <row r="3039" spans="1:27" x14ac:dyDescent="0.3">
      <c r="A3039" s="2">
        <f>IF(BCP_Soles[[#This Row],[tipo_registro]]="R",COUNTIFS($C$1:$C3038,"R")+1,A3038)</f>
        <v>2095</v>
      </c>
      <c r="B3039" s="19" t="str">
        <f t="shared" si="246"/>
        <v>B-BCP - Soles</v>
      </c>
      <c r="C3039" s="3" t="s">
        <v>1352</v>
      </c>
      <c r="D3039" s="14">
        <v>45870</v>
      </c>
      <c r="E3039" s="5" t="s">
        <v>1338</v>
      </c>
      <c r="F3039" s="5"/>
      <c r="G3039" s="6" t="s">
        <v>695</v>
      </c>
      <c r="H3039" s="6" t="s">
        <v>68</v>
      </c>
      <c r="I3039" s="6" t="s">
        <v>1513</v>
      </c>
      <c r="J3039" s="6">
        <v>173479</v>
      </c>
      <c r="K3039" s="7" t="s">
        <v>3552</v>
      </c>
      <c r="L3039" s="8">
        <v>236850</v>
      </c>
      <c r="M3039" s="8" t="str">
        <f t="shared" si="247"/>
        <v>PEN</v>
      </c>
      <c r="N3039" s="13">
        <v>1444.68</v>
      </c>
      <c r="O3039" s="13"/>
      <c r="P3039" s="3">
        <f t="shared" si="248"/>
        <v>0</v>
      </c>
      <c r="Q3039" s="3">
        <f t="shared" si="249"/>
        <v>0</v>
      </c>
      <c r="R3039" s="3">
        <f t="shared" si="245"/>
        <v>29456.730000000003</v>
      </c>
      <c r="S3039" s="24" t="s">
        <v>1334</v>
      </c>
      <c r="T3039" s="24" t="s">
        <v>1334</v>
      </c>
      <c r="U3039" s="79"/>
      <c r="V3039" s="25">
        <f>IFERROR(VLOOKUP(BCP_Soles[[#This Row],[destinatario]],CHOOSE({1,2},Clientes_Proveedores[Razon Social],Clientes_Proveedores[Ruc / Dni]),2,0),"")</f>
        <v>20127765279</v>
      </c>
      <c r="W3039" s="25"/>
      <c r="X3039" s="25"/>
      <c r="Y3039" s="25"/>
      <c r="Z3039" s="77"/>
      <c r="AA3039" s="3" t="str">
        <f>IF(BCP_Soles[[#This Row],[fecha]]&gt;0,TEXT(BCP_Soles[[#This Row],[fecha]],"mmmm"),0)</f>
        <v>Agosto</v>
      </c>
    </row>
    <row r="3040" spans="1:27" x14ac:dyDescent="0.3">
      <c r="A3040" s="2">
        <f>IF(BCP_Soles[[#This Row],[tipo_registro]]="R",COUNTIFS($C$1:$C3039,"R")+1,A3039)</f>
        <v>2095</v>
      </c>
      <c r="B3040" s="19" t="str">
        <f t="shared" si="246"/>
        <v>B-BCP - Soles</v>
      </c>
      <c r="C3040" s="3" t="s">
        <v>1352</v>
      </c>
      <c r="D3040" s="14">
        <v>45870</v>
      </c>
      <c r="E3040" s="5" t="s">
        <v>1338</v>
      </c>
      <c r="F3040" s="5"/>
      <c r="G3040" s="6" t="s">
        <v>695</v>
      </c>
      <c r="H3040" s="6" t="s">
        <v>68</v>
      </c>
      <c r="I3040" s="6" t="s">
        <v>1715</v>
      </c>
      <c r="J3040" s="6">
        <v>149675</v>
      </c>
      <c r="K3040" s="7" t="s">
        <v>3552</v>
      </c>
      <c r="L3040" s="8">
        <v>236850</v>
      </c>
      <c r="M3040" s="8" t="str">
        <f t="shared" si="247"/>
        <v>PEN</v>
      </c>
      <c r="N3040" s="13">
        <v>2437.33</v>
      </c>
      <c r="O3040" s="13"/>
      <c r="P3040" s="3">
        <f t="shared" si="248"/>
        <v>0</v>
      </c>
      <c r="Q3040" s="3">
        <f t="shared" si="249"/>
        <v>0</v>
      </c>
      <c r="R3040" s="3">
        <f t="shared" si="245"/>
        <v>29456.730000000003</v>
      </c>
      <c r="S3040" s="24" t="s">
        <v>1334</v>
      </c>
      <c r="T3040" s="24" t="s">
        <v>1334</v>
      </c>
      <c r="U3040" s="79"/>
      <c r="V3040" s="25">
        <f>IFERROR(VLOOKUP(BCP_Soles[[#This Row],[destinatario]],CHOOSE({1,2},Clientes_Proveedores[Razon Social],Clientes_Proveedores[Ruc / Dni]),2,0),"")</f>
        <v>20127765279</v>
      </c>
      <c r="W3040" s="25"/>
      <c r="X3040" s="25"/>
      <c r="Y3040" s="25"/>
      <c r="Z3040" s="77"/>
      <c r="AA3040" s="3" t="str">
        <f>IF(BCP_Soles[[#This Row],[fecha]]&gt;0,TEXT(BCP_Soles[[#This Row],[fecha]],"mmmm"),0)</f>
        <v>Agosto</v>
      </c>
    </row>
    <row r="3041" spans="1:27" ht="24" x14ac:dyDescent="0.3">
      <c r="A3041" s="2">
        <f>IF(BCP_Soles[[#This Row],[tipo_registro]]="R",COUNTIFS($C$1:$C3040,"R")+1,A3040)</f>
        <v>2096</v>
      </c>
      <c r="B3041" s="19" t="str">
        <f t="shared" si="246"/>
        <v>B-BCP - Soles</v>
      </c>
      <c r="C3041" s="3" t="s">
        <v>1330</v>
      </c>
      <c r="D3041" s="14">
        <v>45870</v>
      </c>
      <c r="E3041" s="5" t="s">
        <v>1338</v>
      </c>
      <c r="F3041" s="5" t="s">
        <v>1336</v>
      </c>
      <c r="G3041" s="6" t="s">
        <v>1069</v>
      </c>
      <c r="H3041" s="6"/>
      <c r="I3041" s="6"/>
      <c r="J3041" s="6"/>
      <c r="K3041" s="7" t="s">
        <v>4053</v>
      </c>
      <c r="L3041" s="8">
        <v>1274426</v>
      </c>
      <c r="M3041" s="8" t="str">
        <f t="shared" si="247"/>
        <v>PEN</v>
      </c>
      <c r="N3041" s="13"/>
      <c r="O3041" s="13">
        <v>1306.54</v>
      </c>
      <c r="P3041" s="3">
        <f t="shared" si="248"/>
        <v>0</v>
      </c>
      <c r="Q3041" s="3">
        <f t="shared" si="249"/>
        <v>1306.54</v>
      </c>
      <c r="R3041" s="3">
        <f t="shared" si="245"/>
        <v>28150.190000000002</v>
      </c>
      <c r="S3041" s="24"/>
      <c r="T3041" s="24" t="s">
        <v>1334</v>
      </c>
      <c r="U3041" s="79" t="s">
        <v>4054</v>
      </c>
      <c r="V3041" s="25">
        <f>IFERROR(VLOOKUP(BCP_Soles[[#This Row],[destinatario]],CHOOSE({1,2},Clientes_Proveedores[Razon Social],Clientes_Proveedores[Ruc / Dni]),2,0),"")</f>
        <v>72378581</v>
      </c>
      <c r="W3041" s="25"/>
      <c r="X3041" s="25"/>
      <c r="Y3041" s="25"/>
      <c r="Z3041" s="77"/>
      <c r="AA3041" s="3" t="str">
        <f>IF(BCP_Soles[[#This Row],[fecha]]&gt;0,TEXT(BCP_Soles[[#This Row],[fecha]],"mmmm"),0)</f>
        <v>Agosto</v>
      </c>
    </row>
    <row r="3042" spans="1:27" ht="24" x14ac:dyDescent="0.3">
      <c r="A3042" s="2">
        <f>IF(BCP_Soles[[#This Row],[tipo_registro]]="R",COUNTIFS($C$1:$C3041,"R")+1,A3041)</f>
        <v>2097</v>
      </c>
      <c r="B3042" s="19" t="str">
        <f t="shared" si="246"/>
        <v>B-BCP - Soles</v>
      </c>
      <c r="C3042" s="3" t="s">
        <v>1330</v>
      </c>
      <c r="D3042" s="14">
        <v>45870</v>
      </c>
      <c r="E3042" s="5" t="s">
        <v>1338</v>
      </c>
      <c r="F3042" s="5" t="s">
        <v>1336</v>
      </c>
      <c r="G3042" s="6" t="s">
        <v>967</v>
      </c>
      <c r="H3042" s="6" t="s">
        <v>143</v>
      </c>
      <c r="I3042" s="6">
        <v>1</v>
      </c>
      <c r="J3042" s="6">
        <v>512025</v>
      </c>
      <c r="K3042" s="7" t="s">
        <v>4055</v>
      </c>
      <c r="L3042" s="8">
        <v>1275906</v>
      </c>
      <c r="M3042" s="8" t="str">
        <f t="shared" si="247"/>
        <v>PEN</v>
      </c>
      <c r="N3042" s="13"/>
      <c r="O3042" s="13">
        <v>442</v>
      </c>
      <c r="P3042" s="3">
        <f t="shared" si="248"/>
        <v>0</v>
      </c>
      <c r="Q3042" s="3">
        <f t="shared" si="249"/>
        <v>442</v>
      </c>
      <c r="R3042" s="3">
        <f t="shared" si="245"/>
        <v>27708.190000000002</v>
      </c>
      <c r="S3042" s="24" t="s">
        <v>1334</v>
      </c>
      <c r="T3042" s="24" t="s">
        <v>1334</v>
      </c>
      <c r="U3042" s="79" t="s">
        <v>4056</v>
      </c>
      <c r="V3042" s="25">
        <f>IFERROR(VLOOKUP(BCP_Soles[[#This Row],[destinatario]],CHOOSE({1,2},Clientes_Proveedores[Razon Social],Clientes_Proveedores[Ruc / Dni]),2,0),"")</f>
        <v>70517150</v>
      </c>
      <c r="W3042" s="25"/>
      <c r="X3042" s="25"/>
      <c r="Y3042" s="25"/>
      <c r="Z3042" s="77"/>
      <c r="AA3042" s="3" t="str">
        <f>IF(BCP_Soles[[#This Row],[fecha]]&gt;0,TEXT(BCP_Soles[[#This Row],[fecha]],"mmmm"),0)</f>
        <v>Agosto</v>
      </c>
    </row>
    <row r="3043" spans="1:27" ht="24" x14ac:dyDescent="0.3">
      <c r="A3043" s="2">
        <f>IF(BCP_Soles[[#This Row],[tipo_registro]]="R",COUNTIFS($C$1:$C3042,"R")+1,A3042)</f>
        <v>2098</v>
      </c>
      <c r="B3043" s="19" t="str">
        <f t="shared" si="246"/>
        <v>B-BCP - Soles</v>
      </c>
      <c r="C3043" s="3" t="s">
        <v>1330</v>
      </c>
      <c r="D3043" s="14">
        <v>45870</v>
      </c>
      <c r="E3043" s="5" t="s">
        <v>1338</v>
      </c>
      <c r="F3043" s="5" t="s">
        <v>1336</v>
      </c>
      <c r="G3043" s="6" t="s">
        <v>876</v>
      </c>
      <c r="H3043" s="6" t="s">
        <v>151</v>
      </c>
      <c r="I3043" s="6" t="s">
        <v>4046</v>
      </c>
      <c r="J3043" s="6">
        <v>25</v>
      </c>
      <c r="K3043" s="7" t="s">
        <v>4057</v>
      </c>
      <c r="L3043" s="8">
        <v>7618239</v>
      </c>
      <c r="M3043" s="8" t="str">
        <f t="shared" si="247"/>
        <v>PEN</v>
      </c>
      <c r="N3043" s="13"/>
      <c r="O3043" s="13">
        <v>1394.18</v>
      </c>
      <c r="P3043" s="3">
        <f t="shared" si="248"/>
        <v>0</v>
      </c>
      <c r="Q3043" s="3">
        <f t="shared" si="249"/>
        <v>1394.18</v>
      </c>
      <c r="R3043" s="3">
        <f t="shared" si="245"/>
        <v>26314.010000000002</v>
      </c>
      <c r="S3043" s="24" t="s">
        <v>1334</v>
      </c>
      <c r="T3043" s="24" t="s">
        <v>1334</v>
      </c>
      <c r="U3043" s="55"/>
      <c r="V3043" s="25">
        <f>IFERROR(VLOOKUP(BCP_Soles[[#This Row],[destinatario]],CHOOSE({1,2},Clientes_Proveedores[Razon Social],Clientes_Proveedores[Ruc / Dni]),2,0),"")</f>
        <v>1829028</v>
      </c>
      <c r="W3043" s="25"/>
      <c r="X3043" s="25"/>
      <c r="Y3043" s="25"/>
      <c r="Z3043" s="77"/>
      <c r="AA3043" s="3" t="str">
        <f>IF(BCP_Soles[[#This Row],[fecha]]&gt;0,TEXT(BCP_Soles[[#This Row],[fecha]],"mmmm"),0)</f>
        <v>Agosto</v>
      </c>
    </row>
    <row r="3044" spans="1:27" x14ac:dyDescent="0.3">
      <c r="A3044" s="2">
        <f>IF(BCP_Soles[[#This Row],[tipo_registro]]="R",COUNTIFS($C$1:$C3043,"R")+1,A3043)</f>
        <v>2099</v>
      </c>
      <c r="B3044" s="19" t="str">
        <f t="shared" si="246"/>
        <v>B-BCP - Soles</v>
      </c>
      <c r="C3044" s="3" t="s">
        <v>1330</v>
      </c>
      <c r="D3044" s="14">
        <v>45870</v>
      </c>
      <c r="E3044" s="5" t="s">
        <v>1338</v>
      </c>
      <c r="F3044" s="5" t="s">
        <v>1336</v>
      </c>
      <c r="G3044" s="6" t="s">
        <v>696</v>
      </c>
      <c r="H3044" s="6"/>
      <c r="I3044" s="6"/>
      <c r="J3044" s="6"/>
      <c r="K3044" s="7" t="s">
        <v>4058</v>
      </c>
      <c r="L3044" s="8">
        <v>7618301</v>
      </c>
      <c r="M3044" s="8" t="str">
        <f t="shared" si="247"/>
        <v>PEN</v>
      </c>
      <c r="N3044" s="13"/>
      <c r="O3044" s="13">
        <v>2945.2</v>
      </c>
      <c r="P3044" s="3">
        <f t="shared" si="248"/>
        <v>0</v>
      </c>
      <c r="Q3044" s="3">
        <f t="shared" si="249"/>
        <v>2945.2</v>
      </c>
      <c r="R3044" s="3">
        <f t="shared" si="245"/>
        <v>23368.81</v>
      </c>
      <c r="S3044" s="24" t="s">
        <v>1334</v>
      </c>
      <c r="T3044" s="24" t="s">
        <v>1334</v>
      </c>
      <c r="U3044" s="79" t="s">
        <v>4059</v>
      </c>
      <c r="V3044" s="25">
        <f>IFERROR(VLOOKUP(BCP_Soles[[#This Row],[destinatario]],CHOOSE({1,2},Clientes_Proveedores[Razon Social],Clientes_Proveedores[Ruc / Dni]),2,0),"")</f>
        <v>0</v>
      </c>
      <c r="W3044" s="25"/>
      <c r="X3044" s="25"/>
      <c r="Y3044" s="25"/>
      <c r="Z3044" s="77"/>
      <c r="AA3044" s="3" t="str">
        <f>IF(BCP_Soles[[#This Row],[fecha]]&gt;0,TEXT(BCP_Soles[[#This Row],[fecha]],"mmmm"),0)</f>
        <v>Agosto</v>
      </c>
    </row>
    <row r="3045" spans="1:27" ht="36" x14ac:dyDescent="0.3">
      <c r="A3045" s="2">
        <f>IF(BCP_Soles[[#This Row],[tipo_registro]]="R",COUNTIFS($C$1:$C3044,"R")+1,A3044)</f>
        <v>2099</v>
      </c>
      <c r="B3045" s="19" t="str">
        <f t="shared" si="246"/>
        <v>B-BCP - Soles</v>
      </c>
      <c r="C3045" s="3" t="s">
        <v>1352</v>
      </c>
      <c r="D3045" s="14">
        <v>45870</v>
      </c>
      <c r="E3045" s="5" t="s">
        <v>1338</v>
      </c>
      <c r="F3045" s="5"/>
      <c r="G3045" s="6" t="s">
        <v>277</v>
      </c>
      <c r="H3045" s="6" t="s">
        <v>68</v>
      </c>
      <c r="I3045" s="6" t="s">
        <v>1390</v>
      </c>
      <c r="J3045" s="6">
        <v>1802</v>
      </c>
      <c r="K3045" s="7" t="s">
        <v>4058</v>
      </c>
      <c r="L3045" s="8">
        <v>7618301</v>
      </c>
      <c r="M3045" s="8" t="str">
        <f t="shared" si="247"/>
        <v>PEN</v>
      </c>
      <c r="N3045" s="13">
        <v>2544</v>
      </c>
      <c r="O3045" s="13"/>
      <c r="P3045" s="3">
        <f t="shared" si="248"/>
        <v>0</v>
      </c>
      <c r="Q3045" s="3">
        <f t="shared" si="249"/>
        <v>0</v>
      </c>
      <c r="R3045" s="3">
        <f t="shared" si="245"/>
        <v>23368.81</v>
      </c>
      <c r="S3045" s="24" t="s">
        <v>1334</v>
      </c>
      <c r="T3045" s="24" t="s">
        <v>1334</v>
      </c>
      <c r="U3045" s="79"/>
      <c r="V3045" s="25">
        <f>IFERROR(VLOOKUP(BCP_Soles[[#This Row],[destinatario]],CHOOSE({1,2},Clientes_Proveedores[Razon Social],Clientes_Proveedores[Ruc / Dni]),2,0),"")</f>
        <v>20429640939</v>
      </c>
      <c r="W3045" s="25"/>
      <c r="X3045" s="25"/>
      <c r="Y3045" s="25"/>
      <c r="Z3045" s="77"/>
      <c r="AA3045" s="3" t="str">
        <f>IF(BCP_Soles[[#This Row],[fecha]]&gt;0,TEXT(BCP_Soles[[#This Row],[fecha]],"mmmm"),0)</f>
        <v>Agosto</v>
      </c>
    </row>
    <row r="3046" spans="1:27" x14ac:dyDescent="0.3">
      <c r="A3046" s="2">
        <f>IF(BCP_Soles[[#This Row],[tipo_registro]]="R",COUNTIFS($C$1:$C3045,"R")+1,A3045)</f>
        <v>2099</v>
      </c>
      <c r="B3046" s="19" t="str">
        <f t="shared" si="246"/>
        <v>B-BCP - Soles</v>
      </c>
      <c r="C3046" s="3" t="s">
        <v>1352</v>
      </c>
      <c r="D3046" s="14">
        <v>45870</v>
      </c>
      <c r="E3046" s="5" t="s">
        <v>1338</v>
      </c>
      <c r="F3046" s="5"/>
      <c r="G3046" s="6" t="s">
        <v>522</v>
      </c>
      <c r="H3046" s="6" t="s">
        <v>68</v>
      </c>
      <c r="I3046" s="6" t="s">
        <v>1376</v>
      </c>
      <c r="J3046" s="6">
        <v>4001</v>
      </c>
      <c r="K3046" s="7" t="s">
        <v>4058</v>
      </c>
      <c r="L3046" s="8">
        <v>7618301</v>
      </c>
      <c r="M3046" s="8" t="str">
        <f t="shared" si="247"/>
        <v>PEN</v>
      </c>
      <c r="N3046" s="13">
        <v>401.2</v>
      </c>
      <c r="O3046" s="13"/>
      <c r="P3046" s="3">
        <f t="shared" si="248"/>
        <v>0</v>
      </c>
      <c r="Q3046" s="3">
        <f t="shared" si="249"/>
        <v>0</v>
      </c>
      <c r="R3046" s="3">
        <f t="shared" si="245"/>
        <v>23368.81</v>
      </c>
      <c r="S3046" s="24" t="s">
        <v>1334</v>
      </c>
      <c r="T3046" s="24" t="s">
        <v>1334</v>
      </c>
      <c r="U3046" s="79"/>
      <c r="V3046" s="25">
        <f>IFERROR(VLOOKUP(BCP_Soles[[#This Row],[destinatario]],CHOOSE({1,2},Clientes_Proveedores[Razon Social],Clientes_Proveedores[Ruc / Dni]),2,0),"")</f>
        <v>20603974817</v>
      </c>
      <c r="W3046" s="25"/>
      <c r="X3046" s="25"/>
      <c r="Y3046" s="25"/>
      <c r="Z3046" s="77"/>
      <c r="AA3046" s="3" t="str">
        <f>IF(BCP_Soles[[#This Row],[fecha]]&gt;0,TEXT(BCP_Soles[[#This Row],[fecha]],"mmmm"),0)</f>
        <v>Agosto</v>
      </c>
    </row>
    <row r="3047" spans="1:27" x14ac:dyDescent="0.3">
      <c r="A3047" s="2">
        <f>IF(BCP_Soles[[#This Row],[tipo_registro]]="R",COUNTIFS($C$1:$C3046,"R")+1,A3046)</f>
        <v>2100</v>
      </c>
      <c r="B3047" s="19" t="str">
        <f t="shared" si="246"/>
        <v>B-BCP - Soles</v>
      </c>
      <c r="C3047" s="3" t="s">
        <v>1330</v>
      </c>
      <c r="D3047" s="14">
        <v>45870</v>
      </c>
      <c r="E3047" s="5" t="s">
        <v>1338</v>
      </c>
      <c r="F3047" s="5" t="s">
        <v>1336</v>
      </c>
      <c r="G3047" s="6" t="s">
        <v>696</v>
      </c>
      <c r="H3047" s="6"/>
      <c r="I3047" s="6"/>
      <c r="J3047" s="6"/>
      <c r="K3047" s="7" t="s">
        <v>4060</v>
      </c>
      <c r="L3047" s="8">
        <v>7623995</v>
      </c>
      <c r="M3047" s="8" t="str">
        <f t="shared" si="247"/>
        <v>PEN</v>
      </c>
      <c r="N3047" s="13"/>
      <c r="O3047" s="13">
        <v>3886.1</v>
      </c>
      <c r="P3047" s="3">
        <f t="shared" si="248"/>
        <v>0</v>
      </c>
      <c r="Q3047" s="3">
        <f t="shared" si="249"/>
        <v>3886.1</v>
      </c>
      <c r="R3047" s="3">
        <f t="shared" si="245"/>
        <v>19482.710000000003</v>
      </c>
      <c r="S3047" s="24" t="s">
        <v>1334</v>
      </c>
      <c r="T3047" s="24" t="s">
        <v>1334</v>
      </c>
      <c r="U3047" s="79" t="s">
        <v>4061</v>
      </c>
      <c r="V3047" s="25">
        <f>IFERROR(VLOOKUP(BCP_Soles[[#This Row],[destinatario]],CHOOSE({1,2},Clientes_Proveedores[Razon Social],Clientes_Proveedores[Ruc / Dni]),2,0),"")</f>
        <v>0</v>
      </c>
      <c r="W3047" s="25"/>
      <c r="X3047" s="25"/>
      <c r="Y3047" s="25"/>
      <c r="Z3047" s="77"/>
      <c r="AA3047" s="3" t="str">
        <f>IF(BCP_Soles[[#This Row],[fecha]]&gt;0,TEXT(BCP_Soles[[#This Row],[fecha]],"mmmm"),0)</f>
        <v>Agosto</v>
      </c>
    </row>
    <row r="3048" spans="1:27" ht="24" x14ac:dyDescent="0.3">
      <c r="A3048" s="2">
        <f>IF(BCP_Soles[[#This Row],[tipo_registro]]="R",COUNTIFS($C$1:$C3047,"R")+1,A3047)</f>
        <v>2100</v>
      </c>
      <c r="B3048" s="19" t="str">
        <f t="shared" si="246"/>
        <v>B-BCP - Soles</v>
      </c>
      <c r="C3048" s="3" t="s">
        <v>1352</v>
      </c>
      <c r="D3048" s="14">
        <v>45870</v>
      </c>
      <c r="E3048" s="5" t="s">
        <v>1338</v>
      </c>
      <c r="F3048" s="5"/>
      <c r="G3048" s="6" t="s">
        <v>271</v>
      </c>
      <c r="H3048" s="6" t="s">
        <v>68</v>
      </c>
      <c r="I3048" s="6" t="s">
        <v>1375</v>
      </c>
      <c r="J3048" s="6">
        <v>6961</v>
      </c>
      <c r="K3048" s="7" t="s">
        <v>4060</v>
      </c>
      <c r="L3048" s="8">
        <v>7623995</v>
      </c>
      <c r="M3048" s="8" t="str">
        <f t="shared" si="247"/>
        <v>PEN</v>
      </c>
      <c r="N3048" s="13">
        <v>806.72</v>
      </c>
      <c r="O3048" s="13"/>
      <c r="P3048" s="3">
        <f t="shared" si="248"/>
        <v>0</v>
      </c>
      <c r="Q3048" s="3">
        <f t="shared" si="249"/>
        <v>0</v>
      </c>
      <c r="R3048" s="3">
        <f t="shared" si="245"/>
        <v>19482.710000000003</v>
      </c>
      <c r="S3048" s="24" t="s">
        <v>1334</v>
      </c>
      <c r="T3048" s="24" t="s">
        <v>1334</v>
      </c>
      <c r="U3048" s="79"/>
      <c r="V3048" s="25">
        <f>IFERROR(VLOOKUP(BCP_Soles[[#This Row],[destinatario]],CHOOSE({1,2},Clientes_Proveedores[Razon Social],Clientes_Proveedores[Ruc / Dni]),2,0),"")</f>
        <v>20419158462</v>
      </c>
      <c r="W3048" s="25"/>
      <c r="X3048" s="25"/>
      <c r="Y3048" s="25"/>
      <c r="Z3048" s="77"/>
      <c r="AA3048" s="3" t="str">
        <f>IF(BCP_Soles[[#This Row],[fecha]]&gt;0,TEXT(BCP_Soles[[#This Row],[fecha]],"mmmm"),0)</f>
        <v>Agosto</v>
      </c>
    </row>
    <row r="3049" spans="1:27" ht="24" x14ac:dyDescent="0.3">
      <c r="A3049" s="2">
        <f>IF(BCP_Soles[[#This Row],[tipo_registro]]="R",COUNTIFS($C$1:$C3048,"R")+1,A3048)</f>
        <v>2100</v>
      </c>
      <c r="B3049" s="19" t="str">
        <f t="shared" si="246"/>
        <v>B-BCP - Soles</v>
      </c>
      <c r="C3049" s="3" t="s">
        <v>1352</v>
      </c>
      <c r="D3049" s="14">
        <v>45870</v>
      </c>
      <c r="E3049" s="5" t="s">
        <v>1338</v>
      </c>
      <c r="F3049" s="5"/>
      <c r="G3049" s="6" t="s">
        <v>271</v>
      </c>
      <c r="H3049" s="6" t="s">
        <v>68</v>
      </c>
      <c r="I3049" s="6" t="s">
        <v>1375</v>
      </c>
      <c r="J3049" s="6">
        <v>6957</v>
      </c>
      <c r="K3049" s="7" t="s">
        <v>4060</v>
      </c>
      <c r="L3049" s="8">
        <v>7623995</v>
      </c>
      <c r="M3049" s="8" t="str">
        <f t="shared" si="247"/>
        <v>PEN</v>
      </c>
      <c r="N3049" s="13">
        <v>1334</v>
      </c>
      <c r="O3049" s="13"/>
      <c r="P3049" s="3">
        <f t="shared" si="248"/>
        <v>0</v>
      </c>
      <c r="Q3049" s="3">
        <f t="shared" si="249"/>
        <v>0</v>
      </c>
      <c r="R3049" s="3">
        <f t="shared" si="245"/>
        <v>19482.710000000003</v>
      </c>
      <c r="S3049" s="24" t="s">
        <v>1334</v>
      </c>
      <c r="T3049" s="24" t="s">
        <v>1334</v>
      </c>
      <c r="U3049" s="79"/>
      <c r="V3049" s="25">
        <f>IFERROR(VLOOKUP(BCP_Soles[[#This Row],[destinatario]],CHOOSE({1,2},Clientes_Proveedores[Razon Social],Clientes_Proveedores[Ruc / Dni]),2,0),"")</f>
        <v>20419158462</v>
      </c>
      <c r="W3049" s="25"/>
      <c r="X3049" s="25"/>
      <c r="Y3049" s="25"/>
      <c r="Z3049" s="77"/>
      <c r="AA3049" s="3" t="str">
        <f>IF(BCP_Soles[[#This Row],[fecha]]&gt;0,TEXT(BCP_Soles[[#This Row],[fecha]],"mmmm"),0)</f>
        <v>Agosto</v>
      </c>
    </row>
    <row r="3050" spans="1:27" ht="24" x14ac:dyDescent="0.3">
      <c r="A3050" s="2">
        <f>IF(BCP_Soles[[#This Row],[tipo_registro]]="R",COUNTIFS($C$1:$C3049,"R")+1,A3049)</f>
        <v>2100</v>
      </c>
      <c r="B3050" s="19" t="str">
        <f t="shared" si="246"/>
        <v>B-BCP - Soles</v>
      </c>
      <c r="C3050" s="3" t="s">
        <v>1352</v>
      </c>
      <c r="D3050" s="14">
        <v>45870</v>
      </c>
      <c r="E3050" s="5" t="s">
        <v>1338</v>
      </c>
      <c r="F3050" s="5"/>
      <c r="G3050" s="6" t="s">
        <v>271</v>
      </c>
      <c r="H3050" s="6" t="s">
        <v>68</v>
      </c>
      <c r="I3050" s="6" t="s">
        <v>1375</v>
      </c>
      <c r="J3050" s="6">
        <v>6962</v>
      </c>
      <c r="K3050" s="7" t="s">
        <v>4060</v>
      </c>
      <c r="L3050" s="8">
        <v>7623995</v>
      </c>
      <c r="M3050" s="8" t="str">
        <f t="shared" si="247"/>
        <v>PEN</v>
      </c>
      <c r="N3050" s="13">
        <v>762.4</v>
      </c>
      <c r="O3050" s="13"/>
      <c r="P3050" s="3">
        <f t="shared" si="248"/>
        <v>0</v>
      </c>
      <c r="Q3050" s="3">
        <f t="shared" si="249"/>
        <v>0</v>
      </c>
      <c r="R3050" s="3">
        <f t="shared" si="245"/>
        <v>19482.710000000003</v>
      </c>
      <c r="S3050" s="24" t="s">
        <v>1334</v>
      </c>
      <c r="T3050" s="24" t="s">
        <v>1334</v>
      </c>
      <c r="U3050" s="79"/>
      <c r="V3050" s="25">
        <f>IFERROR(VLOOKUP(BCP_Soles[[#This Row],[destinatario]],CHOOSE({1,2},Clientes_Proveedores[Razon Social],Clientes_Proveedores[Ruc / Dni]),2,0),"")</f>
        <v>20419158462</v>
      </c>
      <c r="W3050" s="25"/>
      <c r="X3050" s="25"/>
      <c r="Y3050" s="25"/>
      <c r="Z3050" s="77"/>
      <c r="AA3050" s="3" t="str">
        <f>IF(BCP_Soles[[#This Row],[fecha]]&gt;0,TEXT(BCP_Soles[[#This Row],[fecha]],"mmmm"),0)</f>
        <v>Agosto</v>
      </c>
    </row>
    <row r="3051" spans="1:27" ht="24" x14ac:dyDescent="0.3">
      <c r="A3051" s="2">
        <f>IF(BCP_Soles[[#This Row],[tipo_registro]]="R",COUNTIFS($C$1:$C3050,"R")+1,A3050)</f>
        <v>2100</v>
      </c>
      <c r="B3051" s="19" t="str">
        <f t="shared" si="246"/>
        <v>B-BCP - Soles</v>
      </c>
      <c r="C3051" s="3" t="s">
        <v>1352</v>
      </c>
      <c r="D3051" s="14">
        <v>45870</v>
      </c>
      <c r="E3051" s="5" t="s">
        <v>1338</v>
      </c>
      <c r="F3051" s="5"/>
      <c r="G3051" s="6" t="s">
        <v>385</v>
      </c>
      <c r="H3051" s="6" t="s">
        <v>68</v>
      </c>
      <c r="I3051" s="6" t="s">
        <v>1376</v>
      </c>
      <c r="J3051" s="6">
        <v>1342</v>
      </c>
      <c r="K3051" s="7" t="s">
        <v>4060</v>
      </c>
      <c r="L3051" s="8">
        <v>7623995</v>
      </c>
      <c r="M3051" s="8" t="str">
        <f t="shared" si="247"/>
        <v>PEN</v>
      </c>
      <c r="N3051" s="13">
        <v>773</v>
      </c>
      <c r="O3051" s="13"/>
      <c r="P3051" s="3">
        <f t="shared" si="248"/>
        <v>0</v>
      </c>
      <c r="Q3051" s="3">
        <f t="shared" si="249"/>
        <v>0</v>
      </c>
      <c r="R3051" s="3">
        <f t="shared" si="245"/>
        <v>19482.710000000003</v>
      </c>
      <c r="S3051" s="24" t="s">
        <v>1334</v>
      </c>
      <c r="T3051" s="24" t="s">
        <v>1334</v>
      </c>
      <c r="U3051" s="79"/>
      <c r="V3051" s="25">
        <f>IFERROR(VLOOKUP(BCP_Soles[[#This Row],[destinatario]],CHOOSE({1,2},Clientes_Proveedores[Razon Social],Clientes_Proveedores[Ruc / Dni]),2,0),"")</f>
        <v>20539387104</v>
      </c>
      <c r="W3051" s="25"/>
      <c r="X3051" s="25"/>
      <c r="Y3051" s="25"/>
      <c r="Z3051" s="77"/>
      <c r="AA3051" s="3" t="str">
        <f>IF(BCP_Soles[[#This Row],[fecha]]&gt;0,TEXT(BCP_Soles[[#This Row],[fecha]],"mmmm"),0)</f>
        <v>Agosto</v>
      </c>
    </row>
    <row r="3052" spans="1:27" x14ac:dyDescent="0.3">
      <c r="A3052" s="2">
        <f>IF(BCP_Soles[[#This Row],[tipo_registro]]="R",COUNTIFS($C$1:$C3051,"R")+1,A3051)</f>
        <v>2100</v>
      </c>
      <c r="B3052" s="19" t="str">
        <f t="shared" si="246"/>
        <v>B-BCP - Soles</v>
      </c>
      <c r="C3052" s="3" t="s">
        <v>1352</v>
      </c>
      <c r="D3052" s="14">
        <v>45870</v>
      </c>
      <c r="E3052" s="5" t="s">
        <v>1338</v>
      </c>
      <c r="F3052" s="5"/>
      <c r="G3052" s="6" t="s">
        <v>525</v>
      </c>
      <c r="H3052" s="6" t="s">
        <v>68</v>
      </c>
      <c r="I3052" s="6" t="s">
        <v>1376</v>
      </c>
      <c r="J3052" s="6">
        <v>1439</v>
      </c>
      <c r="K3052" s="7" t="s">
        <v>4060</v>
      </c>
      <c r="L3052" s="8">
        <v>7623995</v>
      </c>
      <c r="M3052" s="8" t="str">
        <f t="shared" si="247"/>
        <v>PEN</v>
      </c>
      <c r="N3052" s="13">
        <v>209.98</v>
      </c>
      <c r="O3052" s="13"/>
      <c r="P3052" s="3">
        <f t="shared" si="248"/>
        <v>0</v>
      </c>
      <c r="Q3052" s="3">
        <f t="shared" si="249"/>
        <v>0</v>
      </c>
      <c r="R3052" s="3">
        <f t="shared" si="245"/>
        <v>19482.710000000003</v>
      </c>
      <c r="S3052" s="24" t="s">
        <v>1334</v>
      </c>
      <c r="T3052" s="24" t="s">
        <v>1334</v>
      </c>
      <c r="U3052" s="79"/>
      <c r="V3052" s="25">
        <f>IFERROR(VLOOKUP(BCP_Soles[[#This Row],[destinatario]],CHOOSE({1,2},Clientes_Proveedores[Razon Social],Clientes_Proveedores[Ruc / Dni]),2,0),"")</f>
        <v>20604304831</v>
      </c>
      <c r="W3052" s="25"/>
      <c r="X3052" s="25"/>
      <c r="Y3052" s="25"/>
      <c r="Z3052" s="77"/>
      <c r="AA3052" s="3" t="str">
        <f>IF(BCP_Soles[[#This Row],[fecha]]&gt;0,TEXT(BCP_Soles[[#This Row],[fecha]],"mmmm"),0)</f>
        <v>Agosto</v>
      </c>
    </row>
    <row r="3053" spans="1:27" ht="24" x14ac:dyDescent="0.3">
      <c r="A3053" s="2">
        <f>IF(BCP_Soles[[#This Row],[tipo_registro]]="R",COUNTIFS($C$1:$C3052,"R")+1,A3052)</f>
        <v>2101</v>
      </c>
      <c r="B3053" s="19" t="str">
        <f t="shared" si="246"/>
        <v>B-BCP - Soles</v>
      </c>
      <c r="C3053" s="3" t="s">
        <v>1330</v>
      </c>
      <c r="D3053" s="14">
        <v>45870</v>
      </c>
      <c r="E3053" s="5" t="s">
        <v>1338</v>
      </c>
      <c r="F3053" s="5" t="s">
        <v>1336</v>
      </c>
      <c r="G3053" s="6" t="s">
        <v>1025</v>
      </c>
      <c r="H3053" s="6" t="s">
        <v>68</v>
      </c>
      <c r="I3053" s="6" t="s">
        <v>1376</v>
      </c>
      <c r="J3053" s="6">
        <v>2516</v>
      </c>
      <c r="K3053" s="7" t="s">
        <v>4062</v>
      </c>
      <c r="L3053" s="8">
        <v>1279610</v>
      </c>
      <c r="M3053" s="8" t="str">
        <f t="shared" si="247"/>
        <v>PEN</v>
      </c>
      <c r="N3053" s="13"/>
      <c r="O3053" s="13">
        <v>30</v>
      </c>
      <c r="P3053" s="3">
        <f t="shared" si="248"/>
        <v>0</v>
      </c>
      <c r="Q3053" s="3">
        <f t="shared" si="249"/>
        <v>30</v>
      </c>
      <c r="R3053" s="3">
        <f t="shared" si="245"/>
        <v>19452.710000000003</v>
      </c>
      <c r="S3053" s="24" t="s">
        <v>1334</v>
      </c>
      <c r="T3053" s="24" t="s">
        <v>1334</v>
      </c>
      <c r="U3053" s="79" t="s">
        <v>4063</v>
      </c>
      <c r="V3053" s="25">
        <f>IFERROR(VLOOKUP(BCP_Soles[[#This Row],[destinatario]],CHOOSE({1,2},Clientes_Proveedores[Razon Social],Clientes_Proveedores[Ruc / Dni]),2,0),"")</f>
        <v>20601369622</v>
      </c>
      <c r="W3053" s="25"/>
      <c r="X3053" s="25"/>
      <c r="Y3053" s="25"/>
      <c r="Z3053" s="77"/>
      <c r="AA3053" s="3" t="str">
        <f>IF(BCP_Soles[[#This Row],[fecha]]&gt;0,TEXT(BCP_Soles[[#This Row],[fecha]],"mmmm"),0)</f>
        <v>Agosto</v>
      </c>
    </row>
    <row r="3054" spans="1:27" x14ac:dyDescent="0.3">
      <c r="A3054" s="2">
        <f>IF(BCP_Soles[[#This Row],[tipo_registro]]="R",COUNTIFS($C$1:$C3053,"R")+1,A3053)</f>
        <v>2102</v>
      </c>
      <c r="B3054" s="19" t="str">
        <f t="shared" si="246"/>
        <v>B-BCP - Soles</v>
      </c>
      <c r="C3054" s="3" t="s">
        <v>1330</v>
      </c>
      <c r="D3054" s="14">
        <v>45870</v>
      </c>
      <c r="E3054" s="5" t="s">
        <v>3190</v>
      </c>
      <c r="F3054" s="5" t="s">
        <v>1336</v>
      </c>
      <c r="G3054" s="6"/>
      <c r="H3054" s="6"/>
      <c r="I3054" s="6"/>
      <c r="J3054" s="6"/>
      <c r="K3054" s="7" t="s">
        <v>4064</v>
      </c>
      <c r="L3054" s="8">
        <v>1010643</v>
      </c>
      <c r="M3054" s="8" t="str">
        <f t="shared" si="247"/>
        <v>PEN</v>
      </c>
      <c r="N3054" s="13"/>
      <c r="O3054" s="13">
        <v>1404</v>
      </c>
      <c r="P3054" s="3">
        <f t="shared" si="248"/>
        <v>0</v>
      </c>
      <c r="Q3054" s="3">
        <f t="shared" si="249"/>
        <v>1404</v>
      </c>
      <c r="R3054" s="3">
        <f t="shared" si="245"/>
        <v>18048.710000000003</v>
      </c>
      <c r="S3054" s="24" t="s">
        <v>1334</v>
      </c>
      <c r="T3054" s="24" t="s">
        <v>1334</v>
      </c>
      <c r="U3054" s="55"/>
      <c r="V3054" s="25" t="str">
        <f>IFERROR(VLOOKUP(BCP_Soles[[#This Row],[destinatario]],CHOOSE({1,2},Clientes_Proveedores[Razon Social],Clientes_Proveedores[Ruc / Dni]),2,0),"")</f>
        <v/>
      </c>
      <c r="W3054" s="25"/>
      <c r="X3054" s="25"/>
      <c r="Y3054" s="25"/>
      <c r="Z3054" s="77"/>
      <c r="AA3054" s="3" t="str">
        <f>IF(BCP_Soles[[#This Row],[fecha]]&gt;0,TEXT(BCP_Soles[[#This Row],[fecha]],"mmmm"),0)</f>
        <v>Agosto</v>
      </c>
    </row>
    <row r="3055" spans="1:27" ht="24" x14ac:dyDescent="0.3">
      <c r="A3055" s="2">
        <f>IF(BCP_Soles[[#This Row],[tipo_registro]]="R",COUNTIFS($C$1:$C3054,"R")+1,A3054)</f>
        <v>2102</v>
      </c>
      <c r="B3055" s="19" t="str">
        <f t="shared" si="246"/>
        <v>B-BCP - Soles</v>
      </c>
      <c r="C3055" s="3" t="s">
        <v>1352</v>
      </c>
      <c r="D3055" s="14">
        <v>45870</v>
      </c>
      <c r="E3055" s="5" t="s">
        <v>3190</v>
      </c>
      <c r="F3055" s="5"/>
      <c r="G3055" s="6" t="s">
        <v>537</v>
      </c>
      <c r="H3055" s="6" t="s">
        <v>68</v>
      </c>
      <c r="I3055" s="6" t="s">
        <v>1376</v>
      </c>
      <c r="J3055" s="6">
        <v>877</v>
      </c>
      <c r="K3055" s="7" t="s">
        <v>4064</v>
      </c>
      <c r="L3055" s="8">
        <v>1010643</v>
      </c>
      <c r="M3055" s="8" t="str">
        <f t="shared" si="247"/>
        <v>PEN</v>
      </c>
      <c r="N3055" s="13"/>
      <c r="O3055" s="13"/>
      <c r="P3055" s="3">
        <f t="shared" si="248"/>
        <v>0</v>
      </c>
      <c r="Q3055" s="3">
        <f t="shared" si="249"/>
        <v>0</v>
      </c>
      <c r="R3055" s="3">
        <f t="shared" si="245"/>
        <v>18048.710000000003</v>
      </c>
      <c r="S3055" s="24" t="s">
        <v>1334</v>
      </c>
      <c r="T3055" s="24" t="s">
        <v>1334</v>
      </c>
      <c r="U3055" s="55"/>
      <c r="V3055" s="25">
        <f>IFERROR(VLOOKUP(BCP_Soles[[#This Row],[destinatario]],CHOOSE({1,2},Clientes_Proveedores[Razon Social],Clientes_Proveedores[Ruc / Dni]),2,0),"")</f>
        <v>20605447814</v>
      </c>
      <c r="W3055" s="25"/>
      <c r="X3055" s="25"/>
      <c r="Y3055" s="25"/>
      <c r="Z3055" s="77" t="s">
        <v>3666</v>
      </c>
      <c r="AA3055" s="3" t="str">
        <f>IF(BCP_Soles[[#This Row],[fecha]]&gt;0,TEXT(BCP_Soles[[#This Row],[fecha]],"mmmm"),0)</f>
        <v>Agosto</v>
      </c>
    </row>
    <row r="3056" spans="1:27" ht="24" x14ac:dyDescent="0.3">
      <c r="A3056" s="2">
        <f>IF(BCP_Soles[[#This Row],[tipo_registro]]="R",COUNTIFS($C$1:$C3055,"R")+1,A3055)</f>
        <v>2102</v>
      </c>
      <c r="B3056" s="19" t="str">
        <f t="shared" si="246"/>
        <v>B-BCP - Soles</v>
      </c>
      <c r="C3056" s="3" t="s">
        <v>1352</v>
      </c>
      <c r="D3056" s="14">
        <v>45870</v>
      </c>
      <c r="E3056" s="5" t="s">
        <v>3190</v>
      </c>
      <c r="F3056" s="5"/>
      <c r="G3056" s="6" t="s">
        <v>204</v>
      </c>
      <c r="H3056" s="6" t="s">
        <v>68</v>
      </c>
      <c r="I3056" s="6" t="s">
        <v>1390</v>
      </c>
      <c r="J3056" s="6">
        <v>16470</v>
      </c>
      <c r="K3056" s="7" t="s">
        <v>4064</v>
      </c>
      <c r="L3056" s="8">
        <v>1010643</v>
      </c>
      <c r="M3056" s="8" t="str">
        <f t="shared" si="247"/>
        <v>PEN</v>
      </c>
      <c r="N3056" s="13"/>
      <c r="O3056" s="13"/>
      <c r="P3056" s="3">
        <f t="shared" si="248"/>
        <v>0</v>
      </c>
      <c r="Q3056" s="3">
        <f t="shared" si="249"/>
        <v>0</v>
      </c>
      <c r="R3056" s="3">
        <f t="shared" si="245"/>
        <v>18048.710000000003</v>
      </c>
      <c r="S3056" s="24" t="s">
        <v>1334</v>
      </c>
      <c r="T3056" s="24" t="s">
        <v>1334</v>
      </c>
      <c r="U3056" s="55"/>
      <c r="V3056" s="25">
        <f>IFERROR(VLOOKUP(BCP_Soles[[#This Row],[destinatario]],CHOOSE({1,2},Clientes_Proveedores[Razon Social],Clientes_Proveedores[Ruc / Dni]),2,0),"")</f>
        <v>20100192064</v>
      </c>
      <c r="W3056" s="25"/>
      <c r="X3056" s="25"/>
      <c r="Y3056" s="25"/>
      <c r="Z3056" s="77" t="s">
        <v>3666</v>
      </c>
      <c r="AA3056" s="3" t="str">
        <f>IF(BCP_Soles[[#This Row],[fecha]]&gt;0,TEXT(BCP_Soles[[#This Row],[fecha]],"mmmm"),0)</f>
        <v>Agosto</v>
      </c>
    </row>
    <row r="3057" spans="1:27" ht="24" x14ac:dyDescent="0.3">
      <c r="A3057" s="2">
        <f>IF(BCP_Soles[[#This Row],[tipo_registro]]="R",COUNTIFS($C$1:$C3056,"R")+1,A3056)</f>
        <v>2102</v>
      </c>
      <c r="B3057" s="19" t="str">
        <f t="shared" si="246"/>
        <v>B-BCP - Soles</v>
      </c>
      <c r="C3057" s="3" t="s">
        <v>1352</v>
      </c>
      <c r="D3057" s="14">
        <v>45870</v>
      </c>
      <c r="E3057" s="5" t="s">
        <v>3190</v>
      </c>
      <c r="F3057" s="5"/>
      <c r="G3057" s="6" t="s">
        <v>204</v>
      </c>
      <c r="H3057" s="6" t="s">
        <v>68</v>
      </c>
      <c r="I3057" s="6" t="s">
        <v>1390</v>
      </c>
      <c r="J3057" s="6">
        <v>16454</v>
      </c>
      <c r="K3057" s="7" t="s">
        <v>4064</v>
      </c>
      <c r="L3057" s="8">
        <v>1010643</v>
      </c>
      <c r="M3057" s="8" t="str">
        <f t="shared" si="247"/>
        <v>PEN</v>
      </c>
      <c r="N3057" s="13"/>
      <c r="O3057" s="13"/>
      <c r="P3057" s="3">
        <f t="shared" si="248"/>
        <v>0</v>
      </c>
      <c r="Q3057" s="3">
        <f t="shared" si="249"/>
        <v>0</v>
      </c>
      <c r="R3057" s="3">
        <f t="shared" si="245"/>
        <v>18048.710000000003</v>
      </c>
      <c r="S3057" s="24" t="s">
        <v>1334</v>
      </c>
      <c r="T3057" s="24" t="s">
        <v>1334</v>
      </c>
      <c r="U3057" s="55"/>
      <c r="V3057" s="25">
        <f>IFERROR(VLOOKUP(BCP_Soles[[#This Row],[destinatario]],CHOOSE({1,2},Clientes_Proveedores[Razon Social],Clientes_Proveedores[Ruc / Dni]),2,0),"")</f>
        <v>20100192064</v>
      </c>
      <c r="W3057" s="25"/>
      <c r="X3057" s="25"/>
      <c r="Y3057" s="25"/>
      <c r="Z3057" s="77" t="s">
        <v>3666</v>
      </c>
      <c r="AA3057" s="3" t="str">
        <f>IF(BCP_Soles[[#This Row],[fecha]]&gt;0,TEXT(BCP_Soles[[#This Row],[fecha]],"mmmm"),0)</f>
        <v>Agosto</v>
      </c>
    </row>
    <row r="3058" spans="1:27" ht="24" x14ac:dyDescent="0.3">
      <c r="A3058" s="2">
        <f>IF(BCP_Soles[[#This Row],[tipo_registro]]="R",COUNTIFS($C$1:$C3057,"R")+1,A3057)</f>
        <v>2102</v>
      </c>
      <c r="B3058" s="19" t="str">
        <f t="shared" si="246"/>
        <v>B-BCP - Soles</v>
      </c>
      <c r="C3058" s="3" t="s">
        <v>1352</v>
      </c>
      <c r="D3058" s="14">
        <v>45870</v>
      </c>
      <c r="E3058" s="5" t="s">
        <v>3190</v>
      </c>
      <c r="F3058" s="5"/>
      <c r="G3058" s="6" t="s">
        <v>204</v>
      </c>
      <c r="H3058" s="6" t="s">
        <v>68</v>
      </c>
      <c r="I3058" s="6" t="s">
        <v>1390</v>
      </c>
      <c r="J3058" s="6">
        <v>16442</v>
      </c>
      <c r="K3058" s="7" t="s">
        <v>4064</v>
      </c>
      <c r="L3058" s="8">
        <v>1010643</v>
      </c>
      <c r="M3058" s="8" t="str">
        <f t="shared" si="247"/>
        <v>PEN</v>
      </c>
      <c r="N3058" s="13"/>
      <c r="O3058" s="13"/>
      <c r="P3058" s="3">
        <f t="shared" si="248"/>
        <v>0</v>
      </c>
      <c r="Q3058" s="3">
        <f t="shared" si="249"/>
        <v>0</v>
      </c>
      <c r="R3058" s="3">
        <f t="shared" si="245"/>
        <v>18048.710000000003</v>
      </c>
      <c r="S3058" s="24" t="s">
        <v>1334</v>
      </c>
      <c r="T3058" s="24" t="s">
        <v>1334</v>
      </c>
      <c r="U3058" s="55"/>
      <c r="V3058" s="25">
        <f>IFERROR(VLOOKUP(BCP_Soles[[#This Row],[destinatario]],CHOOSE({1,2},Clientes_Proveedores[Razon Social],Clientes_Proveedores[Ruc / Dni]),2,0),"")</f>
        <v>20100192064</v>
      </c>
      <c r="W3058" s="25"/>
      <c r="X3058" s="25"/>
      <c r="Y3058" s="25"/>
      <c r="Z3058" s="77" t="s">
        <v>3666</v>
      </c>
      <c r="AA3058" s="3" t="str">
        <f>IF(BCP_Soles[[#This Row],[fecha]]&gt;0,TEXT(BCP_Soles[[#This Row],[fecha]],"mmmm"),0)</f>
        <v>Agosto</v>
      </c>
    </row>
    <row r="3059" spans="1:27" ht="24" x14ac:dyDescent="0.3">
      <c r="A3059" s="2">
        <f>IF(BCP_Soles[[#This Row],[tipo_registro]]="R",COUNTIFS($C$1:$C3058,"R")+1,A3058)</f>
        <v>2102</v>
      </c>
      <c r="B3059" s="19" t="str">
        <f t="shared" si="246"/>
        <v>B-BCP - Soles</v>
      </c>
      <c r="C3059" s="3" t="s">
        <v>1352</v>
      </c>
      <c r="D3059" s="14">
        <v>45870</v>
      </c>
      <c r="E3059" s="5" t="s">
        <v>3190</v>
      </c>
      <c r="F3059" s="5"/>
      <c r="G3059" s="6" t="s">
        <v>204</v>
      </c>
      <c r="H3059" s="6" t="s">
        <v>68</v>
      </c>
      <c r="I3059" s="6" t="s">
        <v>1390</v>
      </c>
      <c r="J3059" s="6">
        <v>16476</v>
      </c>
      <c r="K3059" s="7" t="s">
        <v>4064</v>
      </c>
      <c r="L3059" s="8">
        <v>1010643</v>
      </c>
      <c r="M3059" s="8" t="str">
        <f t="shared" si="247"/>
        <v>PEN</v>
      </c>
      <c r="N3059" s="13"/>
      <c r="O3059" s="13"/>
      <c r="P3059" s="3">
        <f t="shared" si="248"/>
        <v>0</v>
      </c>
      <c r="Q3059" s="3">
        <f t="shared" si="249"/>
        <v>0</v>
      </c>
      <c r="R3059" s="3">
        <f t="shared" si="245"/>
        <v>18048.710000000003</v>
      </c>
      <c r="S3059" s="24" t="s">
        <v>1334</v>
      </c>
      <c r="T3059" s="24" t="s">
        <v>1334</v>
      </c>
      <c r="U3059" s="55"/>
      <c r="V3059" s="25">
        <f>IFERROR(VLOOKUP(BCP_Soles[[#This Row],[destinatario]],CHOOSE({1,2},Clientes_Proveedores[Razon Social],Clientes_Proveedores[Ruc / Dni]),2,0),"")</f>
        <v>20100192064</v>
      </c>
      <c r="W3059" s="25"/>
      <c r="X3059" s="25"/>
      <c r="Y3059" s="25"/>
      <c r="Z3059" s="77" t="s">
        <v>3666</v>
      </c>
      <c r="AA3059" s="3" t="str">
        <f>IF(BCP_Soles[[#This Row],[fecha]]&gt;0,TEXT(BCP_Soles[[#This Row],[fecha]],"mmmm"),0)</f>
        <v>Agosto</v>
      </c>
    </row>
    <row r="3060" spans="1:27" ht="24" x14ac:dyDescent="0.3">
      <c r="A3060" s="2">
        <f>IF(BCP_Soles[[#This Row],[tipo_registro]]="R",COUNTIFS($C$1:$C3059,"R")+1,A3059)</f>
        <v>2102</v>
      </c>
      <c r="B3060" s="19" t="str">
        <f t="shared" si="246"/>
        <v>B-BCP - Soles</v>
      </c>
      <c r="C3060" s="3" t="s">
        <v>1352</v>
      </c>
      <c r="D3060" s="14">
        <v>45870</v>
      </c>
      <c r="E3060" s="5" t="s">
        <v>3190</v>
      </c>
      <c r="F3060" s="5"/>
      <c r="G3060" s="6" t="s">
        <v>204</v>
      </c>
      <c r="H3060" s="6" t="s">
        <v>68</v>
      </c>
      <c r="I3060" s="6" t="s">
        <v>1390</v>
      </c>
      <c r="J3060" s="6">
        <v>16500</v>
      </c>
      <c r="K3060" s="7" t="s">
        <v>4064</v>
      </c>
      <c r="L3060" s="8">
        <v>1010643</v>
      </c>
      <c r="M3060" s="8" t="str">
        <f t="shared" si="247"/>
        <v>PEN</v>
      </c>
      <c r="N3060" s="13"/>
      <c r="O3060" s="13"/>
      <c r="P3060" s="3">
        <f t="shared" si="248"/>
        <v>0</v>
      </c>
      <c r="Q3060" s="3">
        <f t="shared" si="249"/>
        <v>0</v>
      </c>
      <c r="R3060" s="3">
        <f t="shared" si="245"/>
        <v>18048.710000000003</v>
      </c>
      <c r="S3060" s="24" t="s">
        <v>1334</v>
      </c>
      <c r="T3060" s="24" t="s">
        <v>1334</v>
      </c>
      <c r="U3060" s="55"/>
      <c r="V3060" s="25">
        <f>IFERROR(VLOOKUP(BCP_Soles[[#This Row],[destinatario]],CHOOSE({1,2},Clientes_Proveedores[Razon Social],Clientes_Proveedores[Ruc / Dni]),2,0),"")</f>
        <v>20100192064</v>
      </c>
      <c r="W3060" s="25"/>
      <c r="X3060" s="25"/>
      <c r="Y3060" s="25"/>
      <c r="Z3060" s="77" t="s">
        <v>3666</v>
      </c>
      <c r="AA3060" s="3" t="str">
        <f>IF(BCP_Soles[[#This Row],[fecha]]&gt;0,TEXT(BCP_Soles[[#This Row],[fecha]],"mmmm"),0)</f>
        <v>Agosto</v>
      </c>
    </row>
    <row r="3061" spans="1:27" ht="24" x14ac:dyDescent="0.3">
      <c r="A3061" s="2">
        <f>IF(BCP_Soles[[#This Row],[tipo_registro]]="R",COUNTIFS($C$1:$C3060,"R")+1,A3060)</f>
        <v>2102</v>
      </c>
      <c r="B3061" s="19" t="str">
        <f t="shared" si="246"/>
        <v>B-BCP - Soles</v>
      </c>
      <c r="C3061" s="3" t="s">
        <v>1352</v>
      </c>
      <c r="D3061" s="14">
        <v>45870</v>
      </c>
      <c r="E3061" s="5" t="s">
        <v>3190</v>
      </c>
      <c r="F3061" s="5"/>
      <c r="G3061" s="6" t="s">
        <v>204</v>
      </c>
      <c r="H3061" s="6" t="s">
        <v>68</v>
      </c>
      <c r="I3061" s="6" t="s">
        <v>1390</v>
      </c>
      <c r="J3061" s="6">
        <v>16480</v>
      </c>
      <c r="K3061" s="7" t="s">
        <v>4064</v>
      </c>
      <c r="L3061" s="8">
        <v>1010643</v>
      </c>
      <c r="M3061" s="8" t="str">
        <f t="shared" si="247"/>
        <v>PEN</v>
      </c>
      <c r="N3061" s="13"/>
      <c r="O3061" s="13"/>
      <c r="P3061" s="3">
        <f t="shared" si="248"/>
        <v>0</v>
      </c>
      <c r="Q3061" s="3">
        <f t="shared" si="249"/>
        <v>0</v>
      </c>
      <c r="R3061" s="3">
        <f t="shared" si="245"/>
        <v>18048.710000000003</v>
      </c>
      <c r="S3061" s="24" t="s">
        <v>1334</v>
      </c>
      <c r="T3061" s="24" t="s">
        <v>1334</v>
      </c>
      <c r="U3061" s="55"/>
      <c r="V3061" s="25">
        <f>IFERROR(VLOOKUP(BCP_Soles[[#This Row],[destinatario]],CHOOSE({1,2},Clientes_Proveedores[Razon Social],Clientes_Proveedores[Ruc / Dni]),2,0),"")</f>
        <v>20100192064</v>
      </c>
      <c r="W3061" s="25"/>
      <c r="X3061" s="25"/>
      <c r="Y3061" s="25"/>
      <c r="Z3061" s="77" t="s">
        <v>3666</v>
      </c>
      <c r="AA3061" s="3" t="str">
        <f>IF(BCP_Soles[[#This Row],[fecha]]&gt;0,TEXT(BCP_Soles[[#This Row],[fecha]],"mmmm"),0)</f>
        <v>Agosto</v>
      </c>
    </row>
    <row r="3062" spans="1:27" ht="24" x14ac:dyDescent="0.3">
      <c r="A3062" s="2">
        <f>IF(BCP_Soles[[#This Row],[tipo_registro]]="R",COUNTIFS($C$1:$C3061,"R")+1,A3061)</f>
        <v>2102</v>
      </c>
      <c r="B3062" s="19" t="str">
        <f t="shared" si="246"/>
        <v>B-BCP - Soles</v>
      </c>
      <c r="C3062" s="3" t="s">
        <v>1352</v>
      </c>
      <c r="D3062" s="14">
        <v>45870</v>
      </c>
      <c r="E3062" s="5" t="s">
        <v>3190</v>
      </c>
      <c r="F3062" s="5"/>
      <c r="G3062" s="6" t="s">
        <v>204</v>
      </c>
      <c r="H3062" s="6" t="s">
        <v>68</v>
      </c>
      <c r="I3062" s="6" t="s">
        <v>1390</v>
      </c>
      <c r="J3062" s="6">
        <v>16501</v>
      </c>
      <c r="K3062" s="7" t="s">
        <v>4064</v>
      </c>
      <c r="L3062" s="8">
        <v>1010643</v>
      </c>
      <c r="M3062" s="8" t="str">
        <f t="shared" si="247"/>
        <v>PEN</v>
      </c>
      <c r="N3062" s="13"/>
      <c r="O3062" s="13"/>
      <c r="P3062" s="3">
        <f t="shared" si="248"/>
        <v>0</v>
      </c>
      <c r="Q3062" s="3">
        <f t="shared" si="249"/>
        <v>0</v>
      </c>
      <c r="R3062" s="3">
        <f t="shared" si="245"/>
        <v>18048.710000000003</v>
      </c>
      <c r="S3062" s="24" t="s">
        <v>1334</v>
      </c>
      <c r="T3062" s="24" t="s">
        <v>1334</v>
      </c>
      <c r="U3062" s="55"/>
      <c r="V3062" s="25">
        <f>IFERROR(VLOOKUP(BCP_Soles[[#This Row],[destinatario]],CHOOSE({1,2},Clientes_Proveedores[Razon Social],Clientes_Proveedores[Ruc / Dni]),2,0),"")</f>
        <v>20100192064</v>
      </c>
      <c r="W3062" s="25"/>
      <c r="X3062" s="25"/>
      <c r="Y3062" s="25"/>
      <c r="Z3062" s="77" t="s">
        <v>3666</v>
      </c>
      <c r="AA3062" s="3" t="str">
        <f>IF(BCP_Soles[[#This Row],[fecha]]&gt;0,TEXT(BCP_Soles[[#This Row],[fecha]],"mmmm"),0)</f>
        <v>Agosto</v>
      </c>
    </row>
    <row r="3063" spans="1:27" ht="24" x14ac:dyDescent="0.3">
      <c r="A3063" s="2">
        <f>IF(BCP_Soles[[#This Row],[tipo_registro]]="R",COUNTIFS($C$1:$C3062,"R")+1,A3062)</f>
        <v>2102</v>
      </c>
      <c r="B3063" s="19" t="str">
        <f t="shared" si="246"/>
        <v>B-BCP - Soles</v>
      </c>
      <c r="C3063" s="3" t="s">
        <v>1352</v>
      </c>
      <c r="D3063" s="14">
        <v>45870</v>
      </c>
      <c r="E3063" s="5" t="s">
        <v>3190</v>
      </c>
      <c r="F3063" s="5"/>
      <c r="G3063" s="6" t="s">
        <v>108</v>
      </c>
      <c r="H3063" s="6" t="s">
        <v>68</v>
      </c>
      <c r="I3063" s="6" t="s">
        <v>1374</v>
      </c>
      <c r="J3063" s="6">
        <v>16709</v>
      </c>
      <c r="K3063" s="7" t="s">
        <v>4064</v>
      </c>
      <c r="L3063" s="8">
        <v>1010643</v>
      </c>
      <c r="M3063" s="8" t="str">
        <f t="shared" si="247"/>
        <v>PEN</v>
      </c>
      <c r="N3063" s="13"/>
      <c r="O3063" s="13"/>
      <c r="P3063" s="3">
        <f t="shared" si="248"/>
        <v>0</v>
      </c>
      <c r="Q3063" s="3">
        <f t="shared" si="249"/>
        <v>0</v>
      </c>
      <c r="R3063" s="3">
        <f t="shared" si="245"/>
        <v>18048.710000000003</v>
      </c>
      <c r="S3063" s="24" t="s">
        <v>1334</v>
      </c>
      <c r="T3063" s="24" t="s">
        <v>1334</v>
      </c>
      <c r="U3063" s="55"/>
      <c r="V3063" s="25">
        <f>IFERROR(VLOOKUP(BCP_Soles[[#This Row],[destinatario]],CHOOSE({1,2},Clientes_Proveedores[Razon Social],Clientes_Proveedores[Ruc / Dni]),2,0),"")</f>
        <v>10295259634</v>
      </c>
      <c r="W3063" s="25"/>
      <c r="X3063" s="25"/>
      <c r="Y3063" s="25"/>
      <c r="Z3063" s="77" t="s">
        <v>3666</v>
      </c>
      <c r="AA3063" s="3" t="str">
        <f>IF(BCP_Soles[[#This Row],[fecha]]&gt;0,TEXT(BCP_Soles[[#This Row],[fecha]],"mmmm"),0)</f>
        <v>Agosto</v>
      </c>
    </row>
    <row r="3064" spans="1:27" ht="24" x14ac:dyDescent="0.3">
      <c r="A3064" s="2">
        <f>IF(BCP_Soles[[#This Row],[tipo_registro]]="R",COUNTIFS($C$1:$C3063,"R")+1,A3063)</f>
        <v>2102</v>
      </c>
      <c r="B3064" s="19" t="str">
        <f t="shared" si="246"/>
        <v>B-BCP - Soles</v>
      </c>
      <c r="C3064" s="3" t="s">
        <v>1352</v>
      </c>
      <c r="D3064" s="14">
        <v>45870</v>
      </c>
      <c r="E3064" s="5" t="s">
        <v>3190</v>
      </c>
      <c r="F3064" s="5"/>
      <c r="G3064" s="6" t="s">
        <v>1023</v>
      </c>
      <c r="H3064" s="6" t="s">
        <v>68</v>
      </c>
      <c r="I3064" s="6" t="s">
        <v>1376</v>
      </c>
      <c r="J3064" s="6">
        <v>34</v>
      </c>
      <c r="K3064" s="7" t="s">
        <v>4064</v>
      </c>
      <c r="L3064" s="8">
        <v>1010643</v>
      </c>
      <c r="M3064" s="8" t="str">
        <f t="shared" si="247"/>
        <v>PEN</v>
      </c>
      <c r="N3064" s="13"/>
      <c r="O3064" s="13"/>
      <c r="P3064" s="3">
        <f t="shared" si="248"/>
        <v>0</v>
      </c>
      <c r="Q3064" s="3">
        <f t="shared" si="249"/>
        <v>0</v>
      </c>
      <c r="R3064" s="3">
        <f t="shared" si="245"/>
        <v>18048.710000000003</v>
      </c>
      <c r="S3064" s="24" t="s">
        <v>1334</v>
      </c>
      <c r="T3064" s="24" t="s">
        <v>1334</v>
      </c>
      <c r="U3064" s="55"/>
      <c r="V3064" s="25">
        <f>IFERROR(VLOOKUP(BCP_Soles[[#This Row],[destinatario]],CHOOSE({1,2},Clientes_Proveedores[Razon Social],Clientes_Proveedores[Ruc / Dni]),2,0),"")</f>
        <v>10410162551</v>
      </c>
      <c r="W3064" s="25"/>
      <c r="X3064" s="25"/>
      <c r="Y3064" s="25"/>
      <c r="Z3064" s="77" t="s">
        <v>3666</v>
      </c>
      <c r="AA3064" s="3" t="str">
        <f>IF(BCP_Soles[[#This Row],[fecha]]&gt;0,TEXT(BCP_Soles[[#This Row],[fecha]],"mmmm"),0)</f>
        <v>Agosto</v>
      </c>
    </row>
    <row r="3065" spans="1:27" ht="24" x14ac:dyDescent="0.3">
      <c r="A3065" s="2">
        <f>IF(BCP_Soles[[#This Row],[tipo_registro]]="R",COUNTIFS($C$1:$C3064,"R")+1,A3064)</f>
        <v>2102</v>
      </c>
      <c r="B3065" s="19" t="str">
        <f t="shared" si="246"/>
        <v>B-BCP - Soles</v>
      </c>
      <c r="C3065" s="3" t="s">
        <v>1352</v>
      </c>
      <c r="D3065" s="14">
        <v>45870</v>
      </c>
      <c r="E3065" s="5" t="s">
        <v>3190</v>
      </c>
      <c r="F3065" s="5"/>
      <c r="G3065" s="6" t="s">
        <v>667</v>
      </c>
      <c r="H3065" s="6" t="s">
        <v>68</v>
      </c>
      <c r="I3065" s="6" t="s">
        <v>1376</v>
      </c>
      <c r="J3065" s="6">
        <v>50</v>
      </c>
      <c r="K3065" s="7" t="s">
        <v>4064</v>
      </c>
      <c r="L3065" s="8">
        <v>1010643</v>
      </c>
      <c r="M3065" s="8" t="str">
        <f t="shared" si="247"/>
        <v>PEN</v>
      </c>
      <c r="N3065" s="13"/>
      <c r="O3065" s="13"/>
      <c r="P3065" s="3">
        <f t="shared" si="248"/>
        <v>0</v>
      </c>
      <c r="Q3065" s="3">
        <f t="shared" si="249"/>
        <v>0</v>
      </c>
      <c r="R3065" s="3">
        <f t="shared" si="245"/>
        <v>18048.710000000003</v>
      </c>
      <c r="S3065" s="24" t="s">
        <v>1334</v>
      </c>
      <c r="T3065" s="24" t="s">
        <v>1334</v>
      </c>
      <c r="U3065" s="55"/>
      <c r="V3065" s="25">
        <f>IFERROR(VLOOKUP(BCP_Soles[[#This Row],[destinatario]],CHOOSE({1,2},Clientes_Proveedores[Razon Social],Clientes_Proveedores[Ruc / Dni]),2,0),"")</f>
        <v>10410687491</v>
      </c>
      <c r="W3065" s="25"/>
      <c r="X3065" s="25"/>
      <c r="Y3065" s="25"/>
      <c r="Z3065" s="77" t="s">
        <v>3666</v>
      </c>
      <c r="AA3065" s="3" t="str">
        <f>IF(BCP_Soles[[#This Row],[fecha]]&gt;0,TEXT(BCP_Soles[[#This Row],[fecha]],"mmmm"),0)</f>
        <v>Agosto</v>
      </c>
    </row>
    <row r="3066" spans="1:27" ht="24" x14ac:dyDescent="0.3">
      <c r="A3066" s="2">
        <f>IF(BCP_Soles[[#This Row],[tipo_registro]]="R",COUNTIFS($C$1:$C3065,"R")+1,A3065)</f>
        <v>2102</v>
      </c>
      <c r="B3066" s="19" t="str">
        <f t="shared" si="246"/>
        <v>B-BCP - Soles</v>
      </c>
      <c r="C3066" s="3" t="s">
        <v>1352</v>
      </c>
      <c r="D3066" s="14">
        <v>45870</v>
      </c>
      <c r="E3066" s="5" t="s">
        <v>3190</v>
      </c>
      <c r="F3066" s="5"/>
      <c r="G3066" s="6" t="s">
        <v>692</v>
      </c>
      <c r="H3066" s="6" t="s">
        <v>68</v>
      </c>
      <c r="I3066" s="6" t="s">
        <v>1376</v>
      </c>
      <c r="J3066" s="6">
        <v>15</v>
      </c>
      <c r="K3066" s="7" t="s">
        <v>4064</v>
      </c>
      <c r="L3066" s="8">
        <v>1010643</v>
      </c>
      <c r="M3066" s="8" t="str">
        <f t="shared" si="247"/>
        <v>PEN</v>
      </c>
      <c r="N3066" s="13"/>
      <c r="O3066" s="13"/>
      <c r="P3066" s="3">
        <f t="shared" si="248"/>
        <v>0</v>
      </c>
      <c r="Q3066" s="3">
        <f t="shared" si="249"/>
        <v>0</v>
      </c>
      <c r="R3066" s="3">
        <f t="shared" si="245"/>
        <v>18048.710000000003</v>
      </c>
      <c r="S3066" s="24" t="s">
        <v>1334</v>
      </c>
      <c r="T3066" s="24" t="s">
        <v>1334</v>
      </c>
      <c r="U3066" s="55"/>
      <c r="V3066" s="25">
        <f>IFERROR(VLOOKUP(BCP_Soles[[#This Row],[destinatario]],CHOOSE({1,2},Clientes_Proveedores[Razon Social],Clientes_Proveedores[Ruc / Dni]),2,0),"")</f>
        <v>10736055631</v>
      </c>
      <c r="W3066" s="25"/>
      <c r="X3066" s="25"/>
      <c r="Y3066" s="25"/>
      <c r="Z3066" s="77" t="s">
        <v>3666</v>
      </c>
      <c r="AA3066" s="3" t="str">
        <f>IF(BCP_Soles[[#This Row],[fecha]]&gt;0,TEXT(BCP_Soles[[#This Row],[fecha]],"mmmm"),0)</f>
        <v>Agosto</v>
      </c>
    </row>
    <row r="3067" spans="1:27" ht="24" x14ac:dyDescent="0.3">
      <c r="A3067" s="2">
        <f>IF(BCP_Soles[[#This Row],[tipo_registro]]="R",COUNTIFS($C$1:$C3066,"R")+1,A3066)</f>
        <v>2102</v>
      </c>
      <c r="B3067" s="19" t="str">
        <f t="shared" si="246"/>
        <v>B-BCP - Soles</v>
      </c>
      <c r="C3067" s="3" t="s">
        <v>1352</v>
      </c>
      <c r="D3067" s="14">
        <v>45870</v>
      </c>
      <c r="E3067" s="5" t="s">
        <v>3190</v>
      </c>
      <c r="F3067" s="5"/>
      <c r="G3067" s="6" t="s">
        <v>185</v>
      </c>
      <c r="H3067" s="6" t="s">
        <v>68</v>
      </c>
      <c r="I3067" s="6" t="s">
        <v>1376</v>
      </c>
      <c r="J3067" s="6">
        <v>141</v>
      </c>
      <c r="K3067" s="7" t="s">
        <v>4064</v>
      </c>
      <c r="L3067" s="8">
        <v>1010643</v>
      </c>
      <c r="M3067" s="8" t="str">
        <f t="shared" si="247"/>
        <v>PEN</v>
      </c>
      <c r="N3067" s="13"/>
      <c r="O3067" s="13"/>
      <c r="P3067" s="3">
        <f t="shared" si="248"/>
        <v>0</v>
      </c>
      <c r="Q3067" s="3">
        <f t="shared" si="249"/>
        <v>0</v>
      </c>
      <c r="R3067" s="3">
        <f t="shared" si="245"/>
        <v>18048.710000000003</v>
      </c>
      <c r="S3067" s="24" t="s">
        <v>1334</v>
      </c>
      <c r="T3067" s="24" t="s">
        <v>1334</v>
      </c>
      <c r="U3067" s="55"/>
      <c r="V3067" s="25">
        <f>IFERROR(VLOOKUP(BCP_Soles[[#This Row],[destinatario]],CHOOSE({1,2},Clientes_Proveedores[Razon Social],Clientes_Proveedores[Ruc / Dni]),2,0),"")</f>
        <v>10489531963</v>
      </c>
      <c r="W3067" s="25"/>
      <c r="X3067" s="25"/>
      <c r="Y3067" s="25"/>
      <c r="Z3067" s="77" t="s">
        <v>3666</v>
      </c>
      <c r="AA3067" s="3" t="str">
        <f>IF(BCP_Soles[[#This Row],[fecha]]&gt;0,TEXT(BCP_Soles[[#This Row],[fecha]],"mmmm"),0)</f>
        <v>Agosto</v>
      </c>
    </row>
    <row r="3068" spans="1:27" ht="24" x14ac:dyDescent="0.3">
      <c r="A3068" s="2">
        <f>IF(BCP_Soles[[#This Row],[tipo_registro]]="R",COUNTIFS($C$1:$C3067,"R")+1,A3067)</f>
        <v>2102</v>
      </c>
      <c r="B3068" s="19" t="str">
        <f t="shared" si="246"/>
        <v>B-BCP - Soles</v>
      </c>
      <c r="C3068" s="3" t="s">
        <v>1352</v>
      </c>
      <c r="D3068" s="14">
        <v>45870</v>
      </c>
      <c r="E3068" s="5" t="s">
        <v>3190</v>
      </c>
      <c r="F3068" s="5"/>
      <c r="G3068" s="6" t="s">
        <v>692</v>
      </c>
      <c r="H3068" s="6" t="s">
        <v>68</v>
      </c>
      <c r="I3068" s="6" t="s">
        <v>1376</v>
      </c>
      <c r="J3068" s="6">
        <v>13</v>
      </c>
      <c r="K3068" s="7" t="s">
        <v>4064</v>
      </c>
      <c r="L3068" s="8">
        <v>1010643</v>
      </c>
      <c r="M3068" s="8" t="str">
        <f t="shared" si="247"/>
        <v>PEN</v>
      </c>
      <c r="N3068" s="13"/>
      <c r="O3068" s="13"/>
      <c r="P3068" s="3">
        <f t="shared" si="248"/>
        <v>0</v>
      </c>
      <c r="Q3068" s="3">
        <f t="shared" si="249"/>
        <v>0</v>
      </c>
      <c r="R3068" s="3">
        <f t="shared" si="245"/>
        <v>18048.710000000003</v>
      </c>
      <c r="S3068" s="24" t="s">
        <v>1334</v>
      </c>
      <c r="T3068" s="24" t="s">
        <v>1334</v>
      </c>
      <c r="U3068" s="55"/>
      <c r="V3068" s="25">
        <f>IFERROR(VLOOKUP(BCP_Soles[[#This Row],[destinatario]],CHOOSE({1,2},Clientes_Proveedores[Razon Social],Clientes_Proveedores[Ruc / Dni]),2,0),"")</f>
        <v>10736055631</v>
      </c>
      <c r="W3068" s="25"/>
      <c r="X3068" s="25"/>
      <c r="Y3068" s="25"/>
      <c r="Z3068" s="77" t="s">
        <v>3666</v>
      </c>
      <c r="AA3068" s="3" t="str">
        <f>IF(BCP_Soles[[#This Row],[fecha]]&gt;0,TEXT(BCP_Soles[[#This Row],[fecha]],"mmmm"),0)</f>
        <v>Agosto</v>
      </c>
    </row>
    <row r="3069" spans="1:27" ht="24" x14ac:dyDescent="0.3">
      <c r="A3069" s="2">
        <f>IF(BCP_Soles[[#This Row],[tipo_registro]]="R",COUNTIFS($C$1:$C3068,"R")+1,A3068)</f>
        <v>2102</v>
      </c>
      <c r="B3069" s="19" t="str">
        <f t="shared" si="246"/>
        <v>B-BCP - Soles</v>
      </c>
      <c r="C3069" s="3" t="s">
        <v>1352</v>
      </c>
      <c r="D3069" s="14">
        <v>45870</v>
      </c>
      <c r="E3069" s="5" t="s">
        <v>3190</v>
      </c>
      <c r="F3069" s="5"/>
      <c r="G3069" s="6" t="s">
        <v>271</v>
      </c>
      <c r="H3069" s="6" t="s">
        <v>68</v>
      </c>
      <c r="I3069" s="6" t="s">
        <v>1375</v>
      </c>
      <c r="J3069" s="6">
        <v>6957</v>
      </c>
      <c r="K3069" s="7" t="s">
        <v>4064</v>
      </c>
      <c r="L3069" s="8">
        <v>1010643</v>
      </c>
      <c r="M3069" s="8" t="str">
        <f t="shared" si="247"/>
        <v>PEN</v>
      </c>
      <c r="N3069" s="13"/>
      <c r="O3069" s="13"/>
      <c r="P3069" s="3">
        <f t="shared" si="248"/>
        <v>0</v>
      </c>
      <c r="Q3069" s="3">
        <f t="shared" si="249"/>
        <v>0</v>
      </c>
      <c r="R3069" s="3">
        <f t="shared" si="245"/>
        <v>18048.710000000003</v>
      </c>
      <c r="S3069" s="24" t="s">
        <v>1334</v>
      </c>
      <c r="T3069" s="24" t="s">
        <v>1334</v>
      </c>
      <c r="U3069" s="55"/>
      <c r="V3069" s="25">
        <f>IFERROR(VLOOKUP(BCP_Soles[[#This Row],[destinatario]],CHOOSE({1,2},Clientes_Proveedores[Razon Social],Clientes_Proveedores[Ruc / Dni]),2,0),"")</f>
        <v>20419158462</v>
      </c>
      <c r="W3069" s="25"/>
      <c r="X3069" s="25"/>
      <c r="Y3069" s="25"/>
      <c r="Z3069" s="77" t="s">
        <v>3666</v>
      </c>
      <c r="AA3069" s="3" t="str">
        <f>IF(BCP_Soles[[#This Row],[fecha]]&gt;0,TEXT(BCP_Soles[[#This Row],[fecha]],"mmmm"),0)</f>
        <v>Agosto</v>
      </c>
    </row>
    <row r="3070" spans="1:27" ht="24" x14ac:dyDescent="0.3">
      <c r="A3070" s="2">
        <f>IF(BCP_Soles[[#This Row],[tipo_registro]]="R",COUNTIFS($C$1:$C3069,"R")+1,A3069)</f>
        <v>2102</v>
      </c>
      <c r="B3070" s="19" t="str">
        <f t="shared" si="246"/>
        <v>B-BCP - Soles</v>
      </c>
      <c r="C3070" s="3" t="s">
        <v>1352</v>
      </c>
      <c r="D3070" s="14">
        <v>45870</v>
      </c>
      <c r="E3070" s="5" t="s">
        <v>3190</v>
      </c>
      <c r="F3070" s="5"/>
      <c r="G3070" s="6" t="s">
        <v>271</v>
      </c>
      <c r="H3070" s="6" t="s">
        <v>68</v>
      </c>
      <c r="I3070" s="6" t="s">
        <v>1375</v>
      </c>
      <c r="J3070" s="6">
        <v>6962</v>
      </c>
      <c r="K3070" s="7" t="s">
        <v>4064</v>
      </c>
      <c r="L3070" s="8">
        <v>1010643</v>
      </c>
      <c r="M3070" s="8" t="str">
        <f t="shared" si="247"/>
        <v>PEN</v>
      </c>
      <c r="N3070" s="13"/>
      <c r="O3070" s="13"/>
      <c r="P3070" s="3">
        <f t="shared" si="248"/>
        <v>0</v>
      </c>
      <c r="Q3070" s="3">
        <f t="shared" si="249"/>
        <v>0</v>
      </c>
      <c r="R3070" s="3">
        <f t="shared" si="245"/>
        <v>18048.710000000003</v>
      </c>
      <c r="S3070" s="24" t="s">
        <v>1334</v>
      </c>
      <c r="T3070" s="24" t="s">
        <v>1334</v>
      </c>
      <c r="U3070" s="55"/>
      <c r="V3070" s="25">
        <f>IFERROR(VLOOKUP(BCP_Soles[[#This Row],[destinatario]],CHOOSE({1,2},Clientes_Proveedores[Razon Social],Clientes_Proveedores[Ruc / Dni]),2,0),"")</f>
        <v>20419158462</v>
      </c>
      <c r="W3070" s="25"/>
      <c r="X3070" s="25"/>
      <c r="Y3070" s="25"/>
      <c r="Z3070" s="77" t="s">
        <v>3666</v>
      </c>
      <c r="AA3070" s="3" t="str">
        <f>IF(BCP_Soles[[#This Row],[fecha]]&gt;0,TEXT(BCP_Soles[[#This Row],[fecha]],"mmmm"),0)</f>
        <v>Agosto</v>
      </c>
    </row>
    <row r="3071" spans="1:27" ht="24" x14ac:dyDescent="0.3">
      <c r="A3071" s="2">
        <f>IF(BCP_Soles[[#This Row],[tipo_registro]]="R",COUNTIFS($C$1:$C3070,"R")+1,A3070)</f>
        <v>2102</v>
      </c>
      <c r="B3071" s="19" t="str">
        <f t="shared" si="246"/>
        <v>B-BCP - Soles</v>
      </c>
      <c r="C3071" s="3" t="s">
        <v>1352</v>
      </c>
      <c r="D3071" s="14">
        <v>45870</v>
      </c>
      <c r="E3071" s="5" t="s">
        <v>3190</v>
      </c>
      <c r="F3071" s="5"/>
      <c r="G3071" s="6" t="s">
        <v>271</v>
      </c>
      <c r="H3071" s="6" t="s">
        <v>68</v>
      </c>
      <c r="I3071" s="6" t="s">
        <v>1375</v>
      </c>
      <c r="J3071" s="6">
        <v>6961</v>
      </c>
      <c r="K3071" s="7" t="s">
        <v>4064</v>
      </c>
      <c r="L3071" s="8">
        <v>1010643</v>
      </c>
      <c r="M3071" s="8" t="str">
        <f t="shared" si="247"/>
        <v>PEN</v>
      </c>
      <c r="N3071" s="13"/>
      <c r="O3071" s="13"/>
      <c r="P3071" s="3">
        <f t="shared" si="248"/>
        <v>0</v>
      </c>
      <c r="Q3071" s="3">
        <f t="shared" si="249"/>
        <v>0</v>
      </c>
      <c r="R3071" s="3">
        <f t="shared" si="245"/>
        <v>18048.710000000003</v>
      </c>
      <c r="S3071" s="24" t="s">
        <v>1334</v>
      </c>
      <c r="T3071" s="24" t="s">
        <v>1334</v>
      </c>
      <c r="U3071" s="55"/>
      <c r="V3071" s="25">
        <f>IFERROR(VLOOKUP(BCP_Soles[[#This Row],[destinatario]],CHOOSE({1,2},Clientes_Proveedores[Razon Social],Clientes_Proveedores[Ruc / Dni]),2,0),"")</f>
        <v>20419158462</v>
      </c>
      <c r="W3071" s="25"/>
      <c r="X3071" s="25"/>
      <c r="Y3071" s="25"/>
      <c r="Z3071" s="77" t="s">
        <v>3666</v>
      </c>
      <c r="AA3071" s="3" t="str">
        <f>IF(BCP_Soles[[#This Row],[fecha]]&gt;0,TEXT(BCP_Soles[[#This Row],[fecha]],"mmmm"),0)</f>
        <v>Agosto</v>
      </c>
    </row>
    <row r="3072" spans="1:27" ht="24" x14ac:dyDescent="0.3">
      <c r="A3072" s="2">
        <f>IF(BCP_Soles[[#This Row],[tipo_registro]]="R",COUNTIFS($C$1:$C3071,"R")+1,A3071)</f>
        <v>2102</v>
      </c>
      <c r="B3072" s="19" t="str">
        <f t="shared" si="246"/>
        <v>B-BCP - Soles</v>
      </c>
      <c r="C3072" s="3" t="s">
        <v>1352</v>
      </c>
      <c r="D3072" s="14">
        <v>45870</v>
      </c>
      <c r="E3072" s="5" t="s">
        <v>3190</v>
      </c>
      <c r="F3072" s="5"/>
      <c r="G3072" s="6" t="s">
        <v>204</v>
      </c>
      <c r="H3072" s="6" t="s">
        <v>68</v>
      </c>
      <c r="I3072" s="6" t="s">
        <v>1390</v>
      </c>
      <c r="J3072" s="6">
        <v>16531</v>
      </c>
      <c r="K3072" s="7" t="s">
        <v>4064</v>
      </c>
      <c r="L3072" s="8">
        <v>1010643</v>
      </c>
      <c r="M3072" s="8" t="str">
        <f t="shared" si="247"/>
        <v>PEN</v>
      </c>
      <c r="N3072" s="13"/>
      <c r="O3072" s="13"/>
      <c r="P3072" s="3">
        <f t="shared" si="248"/>
        <v>0</v>
      </c>
      <c r="Q3072" s="3">
        <f t="shared" si="249"/>
        <v>0</v>
      </c>
      <c r="R3072" s="3">
        <f t="shared" si="245"/>
        <v>18048.710000000003</v>
      </c>
      <c r="S3072" s="24" t="s">
        <v>1334</v>
      </c>
      <c r="T3072" s="24" t="s">
        <v>1334</v>
      </c>
      <c r="U3072" s="55"/>
      <c r="V3072" s="25">
        <f>IFERROR(VLOOKUP(BCP_Soles[[#This Row],[destinatario]],CHOOSE({1,2},Clientes_Proveedores[Razon Social],Clientes_Proveedores[Ruc / Dni]),2,0),"")</f>
        <v>20100192064</v>
      </c>
      <c r="W3072" s="25"/>
      <c r="X3072" s="25"/>
      <c r="Y3072" s="25"/>
      <c r="Z3072" s="77" t="s">
        <v>3666</v>
      </c>
      <c r="AA3072" s="3" t="str">
        <f>IF(BCP_Soles[[#This Row],[fecha]]&gt;0,TEXT(BCP_Soles[[#This Row],[fecha]],"mmmm"),0)</f>
        <v>Agosto</v>
      </c>
    </row>
    <row r="3073" spans="1:27" ht="24" x14ac:dyDescent="0.3">
      <c r="A3073" s="2">
        <f>IF(BCP_Soles[[#This Row],[tipo_registro]]="R",COUNTIFS($C$1:$C3072,"R")+1,A3072)</f>
        <v>2102</v>
      </c>
      <c r="B3073" s="19" t="str">
        <f t="shared" si="246"/>
        <v>B-BCP - Soles</v>
      </c>
      <c r="C3073" s="3" t="s">
        <v>1352</v>
      </c>
      <c r="D3073" s="14">
        <v>45870</v>
      </c>
      <c r="E3073" s="5" t="s">
        <v>3190</v>
      </c>
      <c r="F3073" s="5"/>
      <c r="G3073" s="6" t="s">
        <v>204</v>
      </c>
      <c r="H3073" s="6" t="s">
        <v>68</v>
      </c>
      <c r="I3073" s="6" t="s">
        <v>1390</v>
      </c>
      <c r="J3073" s="6">
        <v>16532</v>
      </c>
      <c r="K3073" s="7" t="s">
        <v>4064</v>
      </c>
      <c r="L3073" s="8">
        <v>1010643</v>
      </c>
      <c r="M3073" s="8" t="str">
        <f t="shared" si="247"/>
        <v>PEN</v>
      </c>
      <c r="N3073" s="13"/>
      <c r="O3073" s="13"/>
      <c r="P3073" s="3">
        <f t="shared" si="248"/>
        <v>0</v>
      </c>
      <c r="Q3073" s="3">
        <f t="shared" si="249"/>
        <v>0</v>
      </c>
      <c r="R3073" s="3">
        <f t="shared" si="245"/>
        <v>18048.710000000003</v>
      </c>
      <c r="S3073" s="24" t="s">
        <v>1334</v>
      </c>
      <c r="T3073" s="24" t="s">
        <v>1334</v>
      </c>
      <c r="U3073" s="55"/>
      <c r="V3073" s="25">
        <f>IFERROR(VLOOKUP(BCP_Soles[[#This Row],[destinatario]],CHOOSE({1,2},Clientes_Proveedores[Razon Social],Clientes_Proveedores[Ruc / Dni]),2,0),"")</f>
        <v>20100192064</v>
      </c>
      <c r="W3073" s="25"/>
      <c r="X3073" s="25"/>
      <c r="Y3073" s="25"/>
      <c r="Z3073" s="77" t="s">
        <v>3666</v>
      </c>
      <c r="AA3073" s="3" t="str">
        <f>IF(BCP_Soles[[#This Row],[fecha]]&gt;0,TEXT(BCP_Soles[[#This Row],[fecha]],"mmmm"),0)</f>
        <v>Agosto</v>
      </c>
    </row>
    <row r="3074" spans="1:27" ht="24" x14ac:dyDescent="0.3">
      <c r="A3074" s="2">
        <f>IF(BCP_Soles[[#This Row],[tipo_registro]]="R",COUNTIFS($C$1:$C3073,"R")+1,A3073)</f>
        <v>2102</v>
      </c>
      <c r="B3074" s="19" t="str">
        <f t="shared" si="246"/>
        <v>B-BCP - Soles</v>
      </c>
      <c r="C3074" s="3" t="s">
        <v>1352</v>
      </c>
      <c r="D3074" s="14">
        <v>45870</v>
      </c>
      <c r="E3074" s="5" t="s">
        <v>3190</v>
      </c>
      <c r="F3074" s="5"/>
      <c r="G3074" s="6" t="s">
        <v>204</v>
      </c>
      <c r="H3074" s="6" t="s">
        <v>68</v>
      </c>
      <c r="I3074" s="6" t="s">
        <v>1390</v>
      </c>
      <c r="J3074" s="6">
        <v>16534</v>
      </c>
      <c r="K3074" s="7" t="s">
        <v>4064</v>
      </c>
      <c r="L3074" s="8">
        <v>1010643</v>
      </c>
      <c r="M3074" s="8" t="str">
        <f t="shared" si="247"/>
        <v>PEN</v>
      </c>
      <c r="N3074" s="13"/>
      <c r="O3074" s="13"/>
      <c r="P3074" s="3">
        <f t="shared" si="248"/>
        <v>0</v>
      </c>
      <c r="Q3074" s="3">
        <f t="shared" si="249"/>
        <v>0</v>
      </c>
      <c r="R3074" s="3">
        <f t="shared" si="245"/>
        <v>18048.710000000003</v>
      </c>
      <c r="S3074" s="24" t="s">
        <v>1334</v>
      </c>
      <c r="T3074" s="24" t="s">
        <v>1334</v>
      </c>
      <c r="U3074" s="55"/>
      <c r="V3074" s="25">
        <f>IFERROR(VLOOKUP(BCP_Soles[[#This Row],[destinatario]],CHOOSE({1,2},Clientes_Proveedores[Razon Social],Clientes_Proveedores[Ruc / Dni]),2,0),"")</f>
        <v>20100192064</v>
      </c>
      <c r="W3074" s="25"/>
      <c r="X3074" s="25"/>
      <c r="Y3074" s="25"/>
      <c r="Z3074" s="77" t="s">
        <v>3666</v>
      </c>
      <c r="AA3074" s="3" t="str">
        <f>IF(BCP_Soles[[#This Row],[fecha]]&gt;0,TEXT(BCP_Soles[[#This Row],[fecha]],"mmmm"),0)</f>
        <v>Agosto</v>
      </c>
    </row>
    <row r="3075" spans="1:27" ht="24" x14ac:dyDescent="0.3">
      <c r="A3075" s="2">
        <f>IF(BCP_Soles[[#This Row],[tipo_registro]]="R",COUNTIFS($C$1:$C3074,"R")+1,A3074)</f>
        <v>2102</v>
      </c>
      <c r="B3075" s="19" t="str">
        <f t="shared" si="246"/>
        <v>B-BCP - Soles</v>
      </c>
      <c r="C3075" s="3" t="s">
        <v>1352</v>
      </c>
      <c r="D3075" s="14">
        <v>45870</v>
      </c>
      <c r="E3075" s="5" t="s">
        <v>3190</v>
      </c>
      <c r="F3075" s="5"/>
      <c r="G3075" s="6" t="s">
        <v>385</v>
      </c>
      <c r="H3075" s="6" t="s">
        <v>68</v>
      </c>
      <c r="I3075" s="6" t="s">
        <v>1376</v>
      </c>
      <c r="J3075" s="6">
        <v>1342</v>
      </c>
      <c r="K3075" s="7" t="s">
        <v>4064</v>
      </c>
      <c r="L3075" s="8">
        <v>1010643</v>
      </c>
      <c r="M3075" s="8" t="str">
        <f t="shared" si="247"/>
        <v>PEN</v>
      </c>
      <c r="N3075" s="13"/>
      <c r="O3075" s="13"/>
      <c r="P3075" s="3">
        <f t="shared" si="248"/>
        <v>0</v>
      </c>
      <c r="Q3075" s="3">
        <f t="shared" si="249"/>
        <v>0</v>
      </c>
      <c r="R3075" s="3">
        <f t="shared" si="245"/>
        <v>18048.710000000003</v>
      </c>
      <c r="S3075" s="24" t="s">
        <v>1334</v>
      </c>
      <c r="T3075" s="24" t="s">
        <v>1334</v>
      </c>
      <c r="U3075" s="55"/>
      <c r="V3075" s="25">
        <f>IFERROR(VLOOKUP(BCP_Soles[[#This Row],[destinatario]],CHOOSE({1,2},Clientes_Proveedores[Razon Social],Clientes_Proveedores[Ruc / Dni]),2,0),"")</f>
        <v>20539387104</v>
      </c>
      <c r="W3075" s="25"/>
      <c r="X3075" s="25"/>
      <c r="Y3075" s="25"/>
      <c r="Z3075" s="77" t="s">
        <v>3666</v>
      </c>
      <c r="AA3075" s="3" t="str">
        <f>IF(BCP_Soles[[#This Row],[fecha]]&gt;0,TEXT(BCP_Soles[[#This Row],[fecha]],"mmmm"),0)</f>
        <v>Agosto</v>
      </c>
    </row>
    <row r="3076" spans="1:27" x14ac:dyDescent="0.3">
      <c r="A3076" s="2">
        <f>IF(BCP_Soles[[#This Row],[tipo_registro]]="R",COUNTIFS($C$1:$C3075,"R")+1,A3075)</f>
        <v>2103</v>
      </c>
      <c r="B3076" s="19" t="str">
        <f t="shared" si="246"/>
        <v>B-BCP - Soles</v>
      </c>
      <c r="C3076" s="3" t="s">
        <v>1330</v>
      </c>
      <c r="D3076" s="14">
        <v>45870</v>
      </c>
      <c r="E3076" s="5" t="s">
        <v>1335</v>
      </c>
      <c r="F3076" s="5" t="s">
        <v>1336</v>
      </c>
      <c r="G3076" s="6" t="s">
        <v>1009</v>
      </c>
      <c r="H3076" s="6" t="s">
        <v>64</v>
      </c>
      <c r="I3076" s="6" t="s">
        <v>3673</v>
      </c>
      <c r="J3076" s="6">
        <v>2103</v>
      </c>
      <c r="K3076" s="7" t="s">
        <v>3160</v>
      </c>
      <c r="L3076" s="8"/>
      <c r="M3076" s="8" t="str">
        <f t="shared" si="247"/>
        <v>PEN</v>
      </c>
      <c r="N3076" s="13"/>
      <c r="O3076" s="13">
        <v>1.95</v>
      </c>
      <c r="P3076" s="3">
        <f t="shared" si="248"/>
        <v>0</v>
      </c>
      <c r="Q3076" s="3">
        <f t="shared" si="249"/>
        <v>1.95</v>
      </c>
      <c r="R3076" s="3">
        <f t="shared" si="245"/>
        <v>18046.760000000002</v>
      </c>
      <c r="S3076" s="24" t="s">
        <v>1334</v>
      </c>
      <c r="T3076" s="24" t="s">
        <v>1334</v>
      </c>
      <c r="U3076" s="55"/>
      <c r="V3076" s="25">
        <f>IFERROR(VLOOKUP(BCP_Soles[[#This Row],[destinatario]],CHOOSE({1,2},Clientes_Proveedores[Razon Social],Clientes_Proveedores[Ruc / Dni]),2,0),"")</f>
        <v>11111111</v>
      </c>
      <c r="W3076" s="25"/>
      <c r="X3076" s="25"/>
      <c r="Y3076" s="25"/>
      <c r="Z3076" s="77"/>
      <c r="AA3076" s="3" t="str">
        <f>IF(BCP_Soles[[#This Row],[fecha]]&gt;0,TEXT(BCP_Soles[[#This Row],[fecha]],"mmmm"),0)</f>
        <v>Agosto</v>
      </c>
    </row>
    <row r="3077" spans="1:27" ht="24" x14ac:dyDescent="0.3">
      <c r="A3077" s="2">
        <f>IF(BCP_Soles[[#This Row],[tipo_registro]]="R",COUNTIFS($C$1:$C3076,"R")+1,A3076)</f>
        <v>2104</v>
      </c>
      <c r="B3077" s="19" t="str">
        <f t="shared" si="246"/>
        <v>B-BCP - Soles</v>
      </c>
      <c r="C3077" s="3" t="s">
        <v>1330</v>
      </c>
      <c r="D3077" s="14">
        <v>45870</v>
      </c>
      <c r="E3077" s="5" t="s">
        <v>1335</v>
      </c>
      <c r="F3077" s="5" t="s">
        <v>1336</v>
      </c>
      <c r="G3077" s="6" t="s">
        <v>1060</v>
      </c>
      <c r="H3077" s="6" t="s">
        <v>68</v>
      </c>
      <c r="I3077" s="6" t="s">
        <v>1397</v>
      </c>
      <c r="J3077" s="6">
        <v>35354742</v>
      </c>
      <c r="K3077" s="7" t="s">
        <v>1400</v>
      </c>
      <c r="L3077" s="8">
        <v>624</v>
      </c>
      <c r="M3077" s="8" t="str">
        <f t="shared" si="247"/>
        <v>PEN</v>
      </c>
      <c r="N3077" s="13"/>
      <c r="O3077" s="13">
        <v>10</v>
      </c>
      <c r="P3077" s="3">
        <f t="shared" si="248"/>
        <v>0</v>
      </c>
      <c r="Q3077" s="3">
        <f t="shared" si="249"/>
        <v>10</v>
      </c>
      <c r="R3077" s="3">
        <f t="shared" si="245"/>
        <v>18036.760000000002</v>
      </c>
      <c r="S3077" s="24" t="s">
        <v>1334</v>
      </c>
      <c r="T3077" s="24" t="s">
        <v>1334</v>
      </c>
      <c r="U3077" s="55"/>
      <c r="V3077" s="25">
        <f>IFERROR(VLOOKUP(BCP_Soles[[#This Row],[destinatario]],CHOOSE({1,2},Clientes_Proveedores[Razon Social],Clientes_Proveedores[Ruc / Dni]),2,0),"")</f>
        <v>20100047218</v>
      </c>
      <c r="W3077" s="25"/>
      <c r="X3077" s="25"/>
      <c r="Y3077" s="25"/>
      <c r="Z3077" s="77"/>
      <c r="AA3077" s="3" t="str">
        <f>IF(BCP_Soles[[#This Row],[fecha]]&gt;0,TEXT(BCP_Soles[[#This Row],[fecha]],"mmmm"),0)</f>
        <v>Agosto</v>
      </c>
    </row>
    <row r="3078" spans="1:27" x14ac:dyDescent="0.3">
      <c r="A3078" s="2">
        <f>IF(BCP_Soles[[#This Row],[tipo_registro]]="R",COUNTIFS($C$1:$C3077,"R")+1,A3077)</f>
        <v>2105</v>
      </c>
      <c r="B3078" s="19" t="str">
        <f t="shared" si="246"/>
        <v>B-BCP - Soles</v>
      </c>
      <c r="C3078" s="3" t="s">
        <v>1330</v>
      </c>
      <c r="D3078" s="14">
        <v>45871</v>
      </c>
      <c r="E3078" s="5" t="s">
        <v>4025</v>
      </c>
      <c r="F3078" s="5" t="s">
        <v>1303</v>
      </c>
      <c r="G3078" s="6" t="s">
        <v>425</v>
      </c>
      <c r="H3078" s="6"/>
      <c r="I3078" s="6"/>
      <c r="J3078" s="6"/>
      <c r="K3078" s="7" t="s">
        <v>4026</v>
      </c>
      <c r="L3078" s="8">
        <v>2055176</v>
      </c>
      <c r="M3078" s="8" t="str">
        <f t="shared" si="247"/>
        <v>PEN</v>
      </c>
      <c r="N3078" s="13"/>
      <c r="O3078" s="13">
        <v>2529.2399999999998</v>
      </c>
      <c r="P3078" s="3">
        <f t="shared" si="248"/>
        <v>2529.2399999999998</v>
      </c>
      <c r="Q3078" s="3">
        <f t="shared" si="249"/>
        <v>0</v>
      </c>
      <c r="R3078" s="3">
        <f t="shared" si="245"/>
        <v>20566</v>
      </c>
      <c r="S3078" s="24"/>
      <c r="T3078" s="24"/>
      <c r="U3078" s="55"/>
      <c r="V3078" s="25">
        <f>IFERROR(VLOOKUP(BCP_Soles[[#This Row],[destinatario]],CHOOSE({1,2},Clientes_Proveedores[Razon Social],Clientes_Proveedores[Ruc / Dni]),2,0),"")</f>
        <v>20558226979</v>
      </c>
      <c r="W3078" s="25"/>
      <c r="X3078" s="25"/>
      <c r="Y3078" s="25"/>
      <c r="Z3078" s="77"/>
      <c r="AA3078" s="3" t="str">
        <f>IF(BCP_Soles[[#This Row],[fecha]]&gt;0,TEXT(BCP_Soles[[#This Row],[fecha]],"mmmm"),0)</f>
        <v>Agosto</v>
      </c>
    </row>
    <row r="3079" spans="1:27" ht="36" x14ac:dyDescent="0.3">
      <c r="A3079" s="2">
        <f>IF(BCP_Soles[[#This Row],[tipo_registro]]="R",COUNTIFS($C$1:$C3078,"R")+1,A3078)</f>
        <v>2106</v>
      </c>
      <c r="B3079" s="19" t="str">
        <f t="shared" si="246"/>
        <v>B-BCP - Soles</v>
      </c>
      <c r="C3079" s="3" t="s">
        <v>1330</v>
      </c>
      <c r="D3079" s="14">
        <v>45871</v>
      </c>
      <c r="E3079" s="5" t="s">
        <v>660</v>
      </c>
      <c r="F3079" s="5" t="s">
        <v>1303</v>
      </c>
      <c r="G3079" s="6" t="s">
        <v>425</v>
      </c>
      <c r="H3079" s="6" t="s">
        <v>68</v>
      </c>
      <c r="I3079" s="6" t="s">
        <v>3302</v>
      </c>
      <c r="J3079" s="6">
        <v>106</v>
      </c>
      <c r="K3079" s="7" t="s">
        <v>1356</v>
      </c>
      <c r="L3079" s="8">
        <v>2216013</v>
      </c>
      <c r="M3079" s="8" t="str">
        <f t="shared" si="247"/>
        <v>PEN</v>
      </c>
      <c r="N3079" s="13"/>
      <c r="O3079" s="13">
        <v>584.1</v>
      </c>
      <c r="P3079" s="3">
        <f t="shared" si="248"/>
        <v>584.1</v>
      </c>
      <c r="Q3079" s="3">
        <f t="shared" si="249"/>
        <v>0</v>
      </c>
      <c r="R3079" s="3">
        <f t="shared" si="245"/>
        <v>21150.1</v>
      </c>
      <c r="S3079" s="24" t="s">
        <v>1334</v>
      </c>
      <c r="T3079" s="24" t="s">
        <v>1334</v>
      </c>
      <c r="U3079" s="55"/>
      <c r="V3079" s="25">
        <f>IFERROR(VLOOKUP(BCP_Soles[[#This Row],[destinatario]],CHOOSE({1,2},Clientes_Proveedores[Razon Social],Clientes_Proveedores[Ruc / Dni]),2,0),"")</f>
        <v>20558226979</v>
      </c>
      <c r="W3079" s="25"/>
      <c r="X3079" s="25"/>
      <c r="Y3079" s="25"/>
      <c r="Z3079" s="77"/>
      <c r="AA3079" s="3" t="str">
        <f>IF(BCP_Soles[[#This Row],[fecha]]&gt;0,TEXT(BCP_Soles[[#This Row],[fecha]],"mmmm"),0)</f>
        <v>Agosto</v>
      </c>
    </row>
    <row r="3080" spans="1:27" x14ac:dyDescent="0.3">
      <c r="A3080" s="2">
        <f>IF(BCP_Soles[[#This Row],[tipo_registro]]="R",COUNTIFS($C$1:$C3079,"R")+1,A3079)</f>
        <v>2107</v>
      </c>
      <c r="B3080" s="19" t="str">
        <f t="shared" si="246"/>
        <v>B-BCP - Soles</v>
      </c>
      <c r="C3080" s="3" t="s">
        <v>1330</v>
      </c>
      <c r="D3080" s="14">
        <v>45872</v>
      </c>
      <c r="E3080" s="5" t="s">
        <v>1335</v>
      </c>
      <c r="F3080" s="5" t="s">
        <v>1336</v>
      </c>
      <c r="G3080" s="6" t="s">
        <v>1009</v>
      </c>
      <c r="H3080" s="6" t="s">
        <v>64</v>
      </c>
      <c r="I3080" s="6" t="s">
        <v>3673</v>
      </c>
      <c r="J3080" s="6">
        <v>2107</v>
      </c>
      <c r="K3080" s="7" t="s">
        <v>3160</v>
      </c>
      <c r="L3080" s="8"/>
      <c r="M3080" s="8" t="str">
        <f t="shared" si="247"/>
        <v>PEN</v>
      </c>
      <c r="N3080" s="13"/>
      <c r="O3080" s="13">
        <v>0.1</v>
      </c>
      <c r="P3080" s="3">
        <f t="shared" si="248"/>
        <v>0</v>
      </c>
      <c r="Q3080" s="3">
        <f t="shared" si="249"/>
        <v>0.1</v>
      </c>
      <c r="R3080" s="3">
        <f t="shared" si="245"/>
        <v>21150</v>
      </c>
      <c r="S3080" s="24" t="s">
        <v>1334</v>
      </c>
      <c r="T3080" s="24" t="s">
        <v>1334</v>
      </c>
      <c r="U3080" s="55"/>
      <c r="V3080" s="25">
        <f>IFERROR(VLOOKUP(BCP_Soles[[#This Row],[destinatario]],CHOOSE({1,2},Clientes_Proveedores[Razon Social],Clientes_Proveedores[Ruc / Dni]),2,0),"")</f>
        <v>11111111</v>
      </c>
      <c r="W3080" s="25"/>
      <c r="X3080" s="25"/>
      <c r="Y3080" s="25"/>
      <c r="Z3080" s="77"/>
      <c r="AA3080" s="3" t="str">
        <f>IF(BCP_Soles[[#This Row],[fecha]]&gt;0,TEXT(BCP_Soles[[#This Row],[fecha]],"mmmm"),0)</f>
        <v>Agosto</v>
      </c>
    </row>
    <row r="3081" spans="1:27" ht="24" x14ac:dyDescent="0.3">
      <c r="A3081" s="2">
        <f>IF(BCP_Soles[[#This Row],[tipo_registro]]="R",COUNTIFS($C$1:$C3080,"R")+1,A3080)</f>
        <v>2108</v>
      </c>
      <c r="B3081" s="19" t="str">
        <f t="shared" si="246"/>
        <v>B-BCP - Soles</v>
      </c>
      <c r="C3081" s="3" t="s">
        <v>1330</v>
      </c>
      <c r="D3081" s="14">
        <v>45873</v>
      </c>
      <c r="E3081" s="5" t="s">
        <v>645</v>
      </c>
      <c r="F3081" s="5" t="s">
        <v>1303</v>
      </c>
      <c r="G3081" s="6" t="s">
        <v>425</v>
      </c>
      <c r="H3081" s="6"/>
      <c r="I3081" s="6"/>
      <c r="J3081" s="6"/>
      <c r="K3081" s="7" t="s">
        <v>2394</v>
      </c>
      <c r="L3081" s="8">
        <v>2011558</v>
      </c>
      <c r="M3081" s="8" t="str">
        <f t="shared" si="247"/>
        <v>PEN</v>
      </c>
      <c r="N3081" s="13"/>
      <c r="O3081" s="13">
        <v>8952</v>
      </c>
      <c r="P3081" s="3">
        <f t="shared" si="248"/>
        <v>8952</v>
      </c>
      <c r="Q3081" s="3">
        <f t="shared" si="249"/>
        <v>0</v>
      </c>
      <c r="R3081" s="3">
        <f t="shared" ref="R3081:R3144" si="250">IFERROR(IF(F3081="SALDO",P3081,R3080+P3081-Q3081),0)</f>
        <v>30102</v>
      </c>
      <c r="S3081" s="24" t="s">
        <v>1334</v>
      </c>
      <c r="T3081" s="24"/>
      <c r="U3081" s="55"/>
      <c r="V3081" s="25">
        <f>IFERROR(VLOOKUP(BCP_Soles[[#This Row],[destinatario]],CHOOSE({1,2},Clientes_Proveedores[Razon Social],Clientes_Proveedores[Ruc / Dni]),2,0),"")</f>
        <v>20558226979</v>
      </c>
      <c r="W3081" s="25"/>
      <c r="X3081" s="25"/>
      <c r="Y3081" s="25"/>
      <c r="Z3081" s="77"/>
      <c r="AA3081" s="3" t="str">
        <f>IF(BCP_Soles[[#This Row],[fecha]]&gt;0,TEXT(BCP_Soles[[#This Row],[fecha]],"mmmm"),0)</f>
        <v>Agosto</v>
      </c>
    </row>
    <row r="3082" spans="1:27" ht="24" x14ac:dyDescent="0.3">
      <c r="A3082" s="2">
        <f>IF(BCP_Soles[[#This Row],[tipo_registro]]="R",COUNTIFS($C$1:$C3081,"R")+1,A3081)</f>
        <v>2108</v>
      </c>
      <c r="B3082" s="19" t="str">
        <f t="shared" si="246"/>
        <v>B-BCP - Soles</v>
      </c>
      <c r="C3082" s="3" t="s">
        <v>1352</v>
      </c>
      <c r="D3082" s="14">
        <v>45873</v>
      </c>
      <c r="E3082" s="5" t="s">
        <v>645</v>
      </c>
      <c r="F3082" s="5" t="s">
        <v>1303</v>
      </c>
      <c r="G3082" s="6" t="s">
        <v>425</v>
      </c>
      <c r="H3082" s="6" t="s">
        <v>119</v>
      </c>
      <c r="I3082" s="6">
        <v>1</v>
      </c>
      <c r="J3082" s="6">
        <v>4600</v>
      </c>
      <c r="K3082" s="7" t="s">
        <v>2394</v>
      </c>
      <c r="L3082" s="8">
        <v>2011558</v>
      </c>
      <c r="M3082" s="8" t="str">
        <f t="shared" si="247"/>
        <v>PEN</v>
      </c>
      <c r="N3082" s="13">
        <v>8800</v>
      </c>
      <c r="O3082" s="13"/>
      <c r="P3082" s="3">
        <f t="shared" si="248"/>
        <v>0</v>
      </c>
      <c r="Q3082" s="3">
        <f t="shared" si="249"/>
        <v>0</v>
      </c>
      <c r="R3082" s="3">
        <f t="shared" si="250"/>
        <v>30102</v>
      </c>
      <c r="S3082" s="24" t="s">
        <v>1334</v>
      </c>
      <c r="T3082" s="24"/>
      <c r="U3082" s="55"/>
      <c r="V3082" s="25">
        <f>IFERROR(VLOOKUP(BCP_Soles[[#This Row],[destinatario]],CHOOSE({1,2},Clientes_Proveedores[Razon Social],Clientes_Proveedores[Ruc / Dni]),2,0),"")</f>
        <v>20558226979</v>
      </c>
      <c r="W3082" s="25"/>
      <c r="X3082" s="25"/>
      <c r="Y3082" s="25"/>
      <c r="Z3082" s="77"/>
      <c r="AA3082" s="3" t="str">
        <f>IF(BCP_Soles[[#This Row],[fecha]]&gt;0,TEXT(BCP_Soles[[#This Row],[fecha]],"mmmm"),0)</f>
        <v>Agosto</v>
      </c>
    </row>
    <row r="3083" spans="1:27" ht="24" x14ac:dyDescent="0.3">
      <c r="A3083" s="2">
        <f>IF(BCP_Soles[[#This Row],[tipo_registro]]="R",COUNTIFS($C$1:$C3082,"R")+1,A3082)</f>
        <v>2108</v>
      </c>
      <c r="B3083" s="19" t="str">
        <f t="shared" si="246"/>
        <v>B-BCP - Soles</v>
      </c>
      <c r="C3083" s="3" t="s">
        <v>1352</v>
      </c>
      <c r="D3083" s="14">
        <v>45873</v>
      </c>
      <c r="E3083" s="5" t="s">
        <v>645</v>
      </c>
      <c r="F3083" s="5" t="s">
        <v>1303</v>
      </c>
      <c r="G3083" s="6" t="s">
        <v>425</v>
      </c>
      <c r="H3083" s="6" t="s">
        <v>119</v>
      </c>
      <c r="I3083" s="6">
        <v>1</v>
      </c>
      <c r="J3083" s="6">
        <v>4646</v>
      </c>
      <c r="K3083" s="7" t="s">
        <v>2394</v>
      </c>
      <c r="L3083" s="8">
        <v>2011558</v>
      </c>
      <c r="M3083" s="8" t="str">
        <f t="shared" si="247"/>
        <v>PEN</v>
      </c>
      <c r="N3083" s="13">
        <v>152</v>
      </c>
      <c r="O3083" s="13"/>
      <c r="P3083" s="3">
        <f t="shared" si="248"/>
        <v>0</v>
      </c>
      <c r="Q3083" s="3">
        <f t="shared" si="249"/>
        <v>0</v>
      </c>
      <c r="R3083" s="3">
        <f t="shared" si="250"/>
        <v>30102</v>
      </c>
      <c r="S3083" s="24" t="s">
        <v>1334</v>
      </c>
      <c r="T3083" s="24"/>
      <c r="U3083" s="55"/>
      <c r="V3083" s="25">
        <f>IFERROR(VLOOKUP(BCP_Soles[[#This Row],[destinatario]],CHOOSE({1,2},Clientes_Proveedores[Razon Social],Clientes_Proveedores[Ruc / Dni]),2,0),"")</f>
        <v>20558226979</v>
      </c>
      <c r="W3083" s="25"/>
      <c r="X3083" s="25"/>
      <c r="Y3083" s="25"/>
      <c r="Z3083" s="77"/>
      <c r="AA3083" s="3" t="str">
        <f>IF(BCP_Soles[[#This Row],[fecha]]&gt;0,TEXT(BCP_Soles[[#This Row],[fecha]],"mmmm"),0)</f>
        <v>Agosto</v>
      </c>
    </row>
    <row r="3084" spans="1:27" ht="36" x14ac:dyDescent="0.3">
      <c r="A3084" s="2">
        <f>IF(BCP_Soles[[#This Row],[tipo_registro]]="R",COUNTIFS($C$1:$C3083,"R")+1,A3083)</f>
        <v>2109</v>
      </c>
      <c r="B3084" s="19" t="str">
        <f t="shared" si="246"/>
        <v>B-BCP - Soles</v>
      </c>
      <c r="C3084" s="3" t="s">
        <v>1330</v>
      </c>
      <c r="D3084" s="14">
        <v>45873</v>
      </c>
      <c r="E3084" s="5" t="s">
        <v>261</v>
      </c>
      <c r="F3084" s="5" t="s">
        <v>1303</v>
      </c>
      <c r="G3084" s="6" t="s">
        <v>425</v>
      </c>
      <c r="H3084" s="6" t="s">
        <v>68</v>
      </c>
      <c r="I3084" s="6" t="s">
        <v>3302</v>
      </c>
      <c r="J3084" s="6">
        <v>107</v>
      </c>
      <c r="K3084" s="7" t="s">
        <v>4065</v>
      </c>
      <c r="L3084" s="8">
        <v>8550540</v>
      </c>
      <c r="M3084" s="8" t="str">
        <f t="shared" si="247"/>
        <v>PEN</v>
      </c>
      <c r="N3084" s="13"/>
      <c r="O3084" s="13">
        <v>22665.58</v>
      </c>
      <c r="P3084" s="3">
        <f t="shared" si="248"/>
        <v>22665.58</v>
      </c>
      <c r="Q3084" s="3">
        <f t="shared" si="249"/>
        <v>0</v>
      </c>
      <c r="R3084" s="3">
        <f t="shared" si="250"/>
        <v>52767.58</v>
      </c>
      <c r="S3084" s="24" t="s">
        <v>1334</v>
      </c>
      <c r="T3084" s="24" t="s">
        <v>1334</v>
      </c>
      <c r="U3084" s="55"/>
      <c r="V3084" s="25">
        <f>IFERROR(VLOOKUP(BCP_Soles[[#This Row],[destinatario]],CHOOSE({1,2},Clientes_Proveedores[Razon Social],Clientes_Proveedores[Ruc / Dni]),2,0),"")</f>
        <v>20558226979</v>
      </c>
      <c r="W3084" s="25"/>
      <c r="X3084" s="25"/>
      <c r="Y3084" s="25"/>
      <c r="Z3084" s="77"/>
      <c r="AA3084" s="3" t="str">
        <f>IF(BCP_Soles[[#This Row],[fecha]]&gt;0,TEXT(BCP_Soles[[#This Row],[fecha]],"mmmm"),0)</f>
        <v>Agosto</v>
      </c>
    </row>
    <row r="3085" spans="1:27" x14ac:dyDescent="0.3">
      <c r="A3085" s="2">
        <f>IF(BCP_Soles[[#This Row],[tipo_registro]]="R",COUNTIFS($C$1:$C3084,"R")+1,A3084)</f>
        <v>2110</v>
      </c>
      <c r="B3085" s="19" t="str">
        <f t="shared" si="246"/>
        <v>B-BCP - Soles</v>
      </c>
      <c r="C3085" s="3" t="s">
        <v>1330</v>
      </c>
      <c r="D3085" s="14">
        <v>45873</v>
      </c>
      <c r="E3085" s="5" t="s">
        <v>335</v>
      </c>
      <c r="F3085" s="5" t="s">
        <v>1303</v>
      </c>
      <c r="G3085" s="6" t="s">
        <v>425</v>
      </c>
      <c r="H3085" s="6" t="s">
        <v>68</v>
      </c>
      <c r="I3085" s="6" t="s">
        <v>3302</v>
      </c>
      <c r="J3085" s="6">
        <v>99</v>
      </c>
      <c r="K3085" s="7" t="s">
        <v>4066</v>
      </c>
      <c r="L3085" s="8">
        <v>2266557</v>
      </c>
      <c r="M3085" s="8" t="str">
        <f t="shared" si="247"/>
        <v>PEN</v>
      </c>
      <c r="N3085" s="13"/>
      <c r="O3085" s="13">
        <v>550.82000000000005</v>
      </c>
      <c r="P3085" s="3">
        <f t="shared" si="248"/>
        <v>550.82000000000005</v>
      </c>
      <c r="Q3085" s="3">
        <f t="shared" si="249"/>
        <v>0</v>
      </c>
      <c r="R3085" s="3">
        <f t="shared" si="250"/>
        <v>53318.400000000001</v>
      </c>
      <c r="S3085" s="24" t="s">
        <v>1334</v>
      </c>
      <c r="T3085" s="24" t="s">
        <v>1334</v>
      </c>
      <c r="U3085" s="55"/>
      <c r="V3085" s="25">
        <f>IFERROR(VLOOKUP(BCP_Soles[[#This Row],[destinatario]],CHOOSE({1,2},Clientes_Proveedores[Razon Social],Clientes_Proveedores[Ruc / Dni]),2,0),"")</f>
        <v>20558226979</v>
      </c>
      <c r="W3085" s="25"/>
      <c r="X3085" s="25"/>
      <c r="Y3085" s="25"/>
      <c r="Z3085" s="77"/>
      <c r="AA3085" s="3" t="str">
        <f>IF(BCP_Soles[[#This Row],[fecha]]&gt;0,TEXT(BCP_Soles[[#This Row],[fecha]],"mmmm"),0)</f>
        <v>Agosto</v>
      </c>
    </row>
    <row r="3086" spans="1:27" ht="24" x14ac:dyDescent="0.3">
      <c r="A3086" s="2">
        <f>IF(BCP_Soles[[#This Row],[tipo_registro]]="R",COUNTIFS($C$1:$C3085,"R")+1,A3085)</f>
        <v>2111</v>
      </c>
      <c r="B3086" s="19" t="str">
        <f t="shared" si="246"/>
        <v>B-BCP - Soles</v>
      </c>
      <c r="C3086" s="3" t="s">
        <v>1330</v>
      </c>
      <c r="D3086" s="14">
        <v>45873</v>
      </c>
      <c r="E3086" s="5" t="s">
        <v>1338</v>
      </c>
      <c r="F3086" s="5" t="s">
        <v>1336</v>
      </c>
      <c r="G3086" s="6" t="s">
        <v>249</v>
      </c>
      <c r="H3086" s="6"/>
      <c r="I3086" s="6"/>
      <c r="J3086" s="6"/>
      <c r="K3086" s="7" t="s">
        <v>4067</v>
      </c>
      <c r="L3086" s="8">
        <v>1060305</v>
      </c>
      <c r="M3086" s="8" t="str">
        <f t="shared" si="247"/>
        <v>PEN</v>
      </c>
      <c r="N3086" s="13"/>
      <c r="O3086" s="13">
        <v>3000</v>
      </c>
      <c r="P3086" s="3">
        <f t="shared" si="248"/>
        <v>0</v>
      </c>
      <c r="Q3086" s="3">
        <f t="shared" si="249"/>
        <v>3000</v>
      </c>
      <c r="R3086" s="3">
        <f t="shared" si="250"/>
        <v>50318.400000000001</v>
      </c>
      <c r="S3086" s="24"/>
      <c r="T3086" s="24" t="s">
        <v>1334</v>
      </c>
      <c r="U3086" s="79" t="s">
        <v>4068</v>
      </c>
      <c r="V3086" s="25">
        <f>IFERROR(VLOOKUP(BCP_Soles[[#This Row],[destinatario]],CHOOSE({1,2},Clientes_Proveedores[Razon Social],Clientes_Proveedores[Ruc / Dni]),2,0),"")</f>
        <v>20302891452</v>
      </c>
      <c r="W3086" s="25"/>
      <c r="X3086" s="25"/>
      <c r="Y3086" s="25"/>
      <c r="Z3086" s="77"/>
      <c r="AA3086" s="3" t="str">
        <f>IF(BCP_Soles[[#This Row],[fecha]]&gt;0,TEXT(BCP_Soles[[#This Row],[fecha]],"mmmm"),0)</f>
        <v>Agosto</v>
      </c>
    </row>
    <row r="3087" spans="1:27" ht="24" x14ac:dyDescent="0.3">
      <c r="A3087" s="2">
        <f>IF(BCP_Soles[[#This Row],[tipo_registro]]="R",COUNTIFS($C$1:$C3086,"R")+1,A3086)</f>
        <v>2112</v>
      </c>
      <c r="B3087" s="19" t="str">
        <f t="shared" si="246"/>
        <v>B-BCP - Soles</v>
      </c>
      <c r="C3087" s="3" t="s">
        <v>1330</v>
      </c>
      <c r="D3087" s="14">
        <v>45873</v>
      </c>
      <c r="E3087" s="5" t="s">
        <v>1338</v>
      </c>
      <c r="F3087" s="5" t="s">
        <v>1336</v>
      </c>
      <c r="G3087" s="6" t="s">
        <v>994</v>
      </c>
      <c r="H3087" s="6" t="s">
        <v>68</v>
      </c>
      <c r="I3087" s="6" t="s">
        <v>1376</v>
      </c>
      <c r="J3087" s="6">
        <v>567</v>
      </c>
      <c r="K3087" s="7" t="s">
        <v>4069</v>
      </c>
      <c r="L3087" s="8">
        <v>1062260</v>
      </c>
      <c r="M3087" s="8" t="str">
        <f t="shared" si="247"/>
        <v>PEN</v>
      </c>
      <c r="N3087" s="13"/>
      <c r="O3087" s="13">
        <v>1380</v>
      </c>
      <c r="P3087" s="3">
        <f t="shared" si="248"/>
        <v>0</v>
      </c>
      <c r="Q3087" s="3">
        <f t="shared" si="249"/>
        <v>1380</v>
      </c>
      <c r="R3087" s="3">
        <f t="shared" si="250"/>
        <v>48938.400000000001</v>
      </c>
      <c r="S3087" s="24" t="s">
        <v>1334</v>
      </c>
      <c r="T3087" s="24" t="s">
        <v>1334</v>
      </c>
      <c r="U3087" s="79" t="s">
        <v>4070</v>
      </c>
      <c r="V3087" s="25">
        <f>IFERROR(VLOOKUP(BCP_Soles[[#This Row],[destinatario]],CHOOSE({1,2},Clientes_Proveedores[Razon Social],Clientes_Proveedores[Ruc / Dni]),2,0),"")</f>
        <v>20611396121</v>
      </c>
      <c r="W3087" s="25"/>
      <c r="X3087" s="25"/>
      <c r="Y3087" s="25"/>
      <c r="Z3087" s="77"/>
      <c r="AA3087" s="3" t="str">
        <f>IF(BCP_Soles[[#This Row],[fecha]]&gt;0,TEXT(BCP_Soles[[#This Row],[fecha]],"mmmm"),0)</f>
        <v>Agosto</v>
      </c>
    </row>
    <row r="3088" spans="1:27" ht="24" x14ac:dyDescent="0.3">
      <c r="A3088" s="2">
        <f>IF(BCP_Soles[[#This Row],[tipo_registro]]="R",COUNTIFS($C$1:$C3087,"R")+1,A3087)</f>
        <v>2113</v>
      </c>
      <c r="B3088" s="19" t="str">
        <f t="shared" si="246"/>
        <v>B-BCP - Soles</v>
      </c>
      <c r="C3088" s="3" t="s">
        <v>1330</v>
      </c>
      <c r="D3088" s="14">
        <v>45873</v>
      </c>
      <c r="E3088" s="5" t="s">
        <v>1338</v>
      </c>
      <c r="F3088" s="5" t="s">
        <v>1336</v>
      </c>
      <c r="G3088" s="6" t="s">
        <v>888</v>
      </c>
      <c r="H3088" s="6" t="s">
        <v>147</v>
      </c>
      <c r="I3088" s="6">
        <v>14</v>
      </c>
      <c r="J3088" s="6">
        <v>34</v>
      </c>
      <c r="K3088" s="7" t="s">
        <v>4071</v>
      </c>
      <c r="L3088" s="8">
        <v>1060304</v>
      </c>
      <c r="M3088" s="8" t="str">
        <f t="shared" si="247"/>
        <v>PEN</v>
      </c>
      <c r="N3088" s="13"/>
      <c r="O3088" s="13">
        <v>1957.54</v>
      </c>
      <c r="P3088" s="3">
        <f t="shared" si="248"/>
        <v>0</v>
      </c>
      <c r="Q3088" s="3">
        <f t="shared" si="249"/>
        <v>1957.54</v>
      </c>
      <c r="R3088" s="3">
        <f t="shared" si="250"/>
        <v>46980.86</v>
      </c>
      <c r="S3088" s="24" t="s">
        <v>1334</v>
      </c>
      <c r="T3088" s="24" t="s">
        <v>1334</v>
      </c>
      <c r="U3088" s="56" t="s">
        <v>4072</v>
      </c>
      <c r="V3088" s="25">
        <f>IFERROR(VLOOKUP(BCP_Soles[[#This Row],[destinatario]],CHOOSE({1,2},Clientes_Proveedores[Razon Social],Clientes_Proveedores[Ruc / Dni]),2,0),"")</f>
        <v>47461440</v>
      </c>
      <c r="W3088" s="25"/>
      <c r="X3088" s="25"/>
      <c r="Y3088" s="25"/>
      <c r="Z3088" s="77"/>
      <c r="AA3088" s="3" t="str">
        <f>IF(BCP_Soles[[#This Row],[fecha]]&gt;0,TEXT(BCP_Soles[[#This Row],[fecha]],"mmmm"),0)</f>
        <v>Agosto</v>
      </c>
    </row>
    <row r="3089" spans="1:27" x14ac:dyDescent="0.3">
      <c r="A3089" s="2">
        <f>IF(BCP_Soles[[#This Row],[tipo_registro]]="R",COUNTIFS($C$1:$C3088,"R")+1,A3088)</f>
        <v>2114</v>
      </c>
      <c r="B3089" s="19" t="str">
        <f t="shared" si="246"/>
        <v>B-BCP - Soles</v>
      </c>
      <c r="C3089" s="3" t="s">
        <v>1330</v>
      </c>
      <c r="D3089" s="14">
        <v>45873</v>
      </c>
      <c r="E3089" s="5" t="s">
        <v>1338</v>
      </c>
      <c r="F3089" s="5" t="s">
        <v>1336</v>
      </c>
      <c r="G3089" s="6" t="s">
        <v>695</v>
      </c>
      <c r="H3089" s="6"/>
      <c r="I3089" s="6"/>
      <c r="J3089" s="6"/>
      <c r="K3089" s="7" t="s">
        <v>3552</v>
      </c>
      <c r="L3089" s="8">
        <v>63273</v>
      </c>
      <c r="M3089" s="8" t="str">
        <f t="shared" si="247"/>
        <v>PEN</v>
      </c>
      <c r="N3089" s="13"/>
      <c r="O3089" s="13">
        <v>1966.63</v>
      </c>
      <c r="P3089" s="3">
        <f t="shared" si="248"/>
        <v>0</v>
      </c>
      <c r="Q3089" s="3">
        <f t="shared" si="249"/>
        <v>1966.63</v>
      </c>
      <c r="R3089" s="3">
        <f t="shared" si="250"/>
        <v>45014.23</v>
      </c>
      <c r="S3089" s="24" t="s">
        <v>1334</v>
      </c>
      <c r="T3089" s="24" t="s">
        <v>1334</v>
      </c>
      <c r="U3089" s="79" t="s">
        <v>4073</v>
      </c>
      <c r="V3089" s="25">
        <f>IFERROR(VLOOKUP(BCP_Soles[[#This Row],[destinatario]],CHOOSE({1,2},Clientes_Proveedores[Razon Social],Clientes_Proveedores[Ruc / Dni]),2,0),"")</f>
        <v>20127765279</v>
      </c>
      <c r="W3089" s="25"/>
      <c r="X3089" s="25"/>
      <c r="Y3089" s="25"/>
      <c r="Z3089" s="77"/>
      <c r="AA3089" s="3" t="str">
        <f>IF(BCP_Soles[[#This Row],[fecha]]&gt;0,TEXT(BCP_Soles[[#This Row],[fecha]],"mmmm"),0)</f>
        <v>Agosto</v>
      </c>
    </row>
    <row r="3090" spans="1:27" x14ac:dyDescent="0.3">
      <c r="A3090" s="2">
        <f>IF(BCP_Soles[[#This Row],[tipo_registro]]="R",COUNTIFS($C$1:$C3089,"R")+1,A3089)</f>
        <v>2114</v>
      </c>
      <c r="B3090" s="19" t="str">
        <f t="shared" si="246"/>
        <v>B-BCP - Soles</v>
      </c>
      <c r="C3090" s="3" t="s">
        <v>1352</v>
      </c>
      <c r="D3090" s="14">
        <v>45873</v>
      </c>
      <c r="E3090" s="5" t="s">
        <v>1338</v>
      </c>
      <c r="F3090" s="5"/>
      <c r="G3090" s="6" t="s">
        <v>695</v>
      </c>
      <c r="H3090" s="6" t="s">
        <v>68</v>
      </c>
      <c r="I3090" s="6" t="s">
        <v>1715</v>
      </c>
      <c r="J3090" s="6">
        <v>150566</v>
      </c>
      <c r="K3090" s="7" t="s">
        <v>3552</v>
      </c>
      <c r="L3090" s="8">
        <v>63273</v>
      </c>
      <c r="M3090" s="8" t="str">
        <f t="shared" si="247"/>
        <v>PEN</v>
      </c>
      <c r="N3090" s="13">
        <v>1371.6</v>
      </c>
      <c r="O3090" s="13"/>
      <c r="P3090" s="3">
        <f t="shared" si="248"/>
        <v>0</v>
      </c>
      <c r="Q3090" s="3">
        <f t="shared" si="249"/>
        <v>0</v>
      </c>
      <c r="R3090" s="3">
        <f t="shared" si="250"/>
        <v>45014.23</v>
      </c>
      <c r="S3090" s="24" t="s">
        <v>1334</v>
      </c>
      <c r="T3090" s="24" t="s">
        <v>1334</v>
      </c>
      <c r="U3090" s="79"/>
      <c r="V3090" s="25">
        <f>IFERROR(VLOOKUP(BCP_Soles[[#This Row],[destinatario]],CHOOSE({1,2},Clientes_Proveedores[Razon Social],Clientes_Proveedores[Ruc / Dni]),2,0),"")</f>
        <v>20127765279</v>
      </c>
      <c r="W3090" s="25"/>
      <c r="X3090" s="25"/>
      <c r="Y3090" s="25"/>
      <c r="Z3090" s="77"/>
      <c r="AA3090" s="3" t="str">
        <f>IF(BCP_Soles[[#This Row],[fecha]]&gt;0,TEXT(BCP_Soles[[#This Row],[fecha]],"mmmm"),0)</f>
        <v>Agosto</v>
      </c>
    </row>
    <row r="3091" spans="1:27" x14ac:dyDescent="0.3">
      <c r="A3091" s="2">
        <f>IF(BCP_Soles[[#This Row],[tipo_registro]]="R",COUNTIFS($C$1:$C3090,"R")+1,A3090)</f>
        <v>2114</v>
      </c>
      <c r="B3091" s="19" t="str">
        <f t="shared" si="246"/>
        <v>B-BCP - Soles</v>
      </c>
      <c r="C3091" s="3" t="s">
        <v>1352</v>
      </c>
      <c r="D3091" s="14">
        <v>45873</v>
      </c>
      <c r="E3091" s="5" t="s">
        <v>1338</v>
      </c>
      <c r="F3091" s="5"/>
      <c r="G3091" s="6" t="s">
        <v>695</v>
      </c>
      <c r="H3091" s="6" t="s">
        <v>68</v>
      </c>
      <c r="I3091" s="6" t="s">
        <v>1715</v>
      </c>
      <c r="J3091" s="6">
        <v>150575</v>
      </c>
      <c r="K3091" s="7" t="s">
        <v>4074</v>
      </c>
      <c r="L3091" s="8">
        <v>63273</v>
      </c>
      <c r="M3091" s="8" t="str">
        <f t="shared" si="247"/>
        <v>PEN</v>
      </c>
      <c r="N3091" s="13">
        <v>595.03</v>
      </c>
      <c r="O3091" s="13"/>
      <c r="P3091" s="3">
        <f t="shared" si="248"/>
        <v>0</v>
      </c>
      <c r="Q3091" s="3">
        <f t="shared" si="249"/>
        <v>0</v>
      </c>
      <c r="R3091" s="3">
        <f t="shared" si="250"/>
        <v>45014.23</v>
      </c>
      <c r="S3091" s="24" t="s">
        <v>1334</v>
      </c>
      <c r="T3091" s="24" t="s">
        <v>1334</v>
      </c>
      <c r="U3091" s="79"/>
      <c r="V3091" s="25">
        <f>IFERROR(VLOOKUP(BCP_Soles[[#This Row],[destinatario]],CHOOSE({1,2},Clientes_Proveedores[Razon Social],Clientes_Proveedores[Ruc / Dni]),2,0),"")</f>
        <v>20127765279</v>
      </c>
      <c r="W3091" s="25"/>
      <c r="X3091" s="25"/>
      <c r="Y3091" s="25"/>
      <c r="Z3091" s="77"/>
      <c r="AA3091" s="3" t="str">
        <f>IF(BCP_Soles[[#This Row],[fecha]]&gt;0,TEXT(BCP_Soles[[#This Row],[fecha]],"mmmm"),0)</f>
        <v>Agosto</v>
      </c>
    </row>
    <row r="3092" spans="1:27" ht="24" x14ac:dyDescent="0.3">
      <c r="A3092" s="2">
        <f>IF(BCP_Soles[[#This Row],[tipo_registro]]="R",COUNTIFS($C$1:$C3091,"R")+1,A3091)</f>
        <v>2115</v>
      </c>
      <c r="B3092" s="19" t="str">
        <f t="shared" si="246"/>
        <v>B-BCP - Soles</v>
      </c>
      <c r="C3092" s="3" t="s">
        <v>1330</v>
      </c>
      <c r="D3092" s="14">
        <v>45873</v>
      </c>
      <c r="E3092" s="5" t="s">
        <v>1338</v>
      </c>
      <c r="F3092" s="5" t="s">
        <v>1336</v>
      </c>
      <c r="G3092" s="6" t="s">
        <v>267</v>
      </c>
      <c r="H3092" s="6" t="s">
        <v>68</v>
      </c>
      <c r="I3092" s="6" t="s">
        <v>1977</v>
      </c>
      <c r="J3092" s="6">
        <v>27124</v>
      </c>
      <c r="K3092" s="7" t="s">
        <v>4075</v>
      </c>
      <c r="L3092" s="8">
        <v>1061770</v>
      </c>
      <c r="M3092" s="8" t="str">
        <f t="shared" si="247"/>
        <v>PEN</v>
      </c>
      <c r="N3092" s="13"/>
      <c r="O3092" s="13">
        <v>1472.51</v>
      </c>
      <c r="P3092" s="3">
        <f t="shared" si="248"/>
        <v>0</v>
      </c>
      <c r="Q3092" s="3">
        <f t="shared" si="249"/>
        <v>1472.51</v>
      </c>
      <c r="R3092" s="3">
        <f t="shared" si="250"/>
        <v>43541.72</v>
      </c>
      <c r="S3092" s="24" t="s">
        <v>1334</v>
      </c>
      <c r="T3092" s="24" t="s">
        <v>1334</v>
      </c>
      <c r="U3092" s="79" t="s">
        <v>4076</v>
      </c>
      <c r="V3092" s="25">
        <f>IFERROR(VLOOKUP(BCP_Soles[[#This Row],[destinatario]],CHOOSE({1,2},Clientes_Proveedores[Razon Social],Clientes_Proveedores[Ruc / Dni]),2,0),"")</f>
        <v>20413666130</v>
      </c>
      <c r="W3092" s="25"/>
      <c r="X3092" s="25"/>
      <c r="Y3092" s="25"/>
      <c r="Z3092" s="77"/>
      <c r="AA3092" s="3" t="str">
        <f>IF(BCP_Soles[[#This Row],[fecha]]&gt;0,TEXT(BCP_Soles[[#This Row],[fecha]],"mmmm"),0)</f>
        <v>Agosto</v>
      </c>
    </row>
    <row r="3093" spans="1:27" ht="24" x14ac:dyDescent="0.3">
      <c r="A3093" s="2">
        <f>IF(BCP_Soles[[#This Row],[tipo_registro]]="R",COUNTIFS($C$1:$C3092,"R")+1,A3092)</f>
        <v>2116</v>
      </c>
      <c r="B3093" s="19" t="str">
        <f t="shared" si="246"/>
        <v>B-BCP - Soles</v>
      </c>
      <c r="C3093" s="3" t="s">
        <v>1330</v>
      </c>
      <c r="D3093" s="14">
        <v>45873</v>
      </c>
      <c r="E3093" s="5" t="s">
        <v>1338</v>
      </c>
      <c r="F3093" s="5" t="s">
        <v>1336</v>
      </c>
      <c r="G3093" s="6" t="s">
        <v>984</v>
      </c>
      <c r="H3093" s="6" t="s">
        <v>68</v>
      </c>
      <c r="I3093" s="6" t="s">
        <v>1391</v>
      </c>
      <c r="J3093" s="6">
        <v>17597</v>
      </c>
      <c r="K3093" s="7" t="s">
        <v>4077</v>
      </c>
      <c r="L3093" s="8">
        <v>1001724</v>
      </c>
      <c r="M3093" s="8" t="str">
        <f t="shared" si="247"/>
        <v>PEN</v>
      </c>
      <c r="N3093" s="13"/>
      <c r="O3093" s="13">
        <v>366.98</v>
      </c>
      <c r="P3093" s="3">
        <f t="shared" si="248"/>
        <v>0</v>
      </c>
      <c r="Q3093" s="3">
        <f t="shared" si="249"/>
        <v>366.98</v>
      </c>
      <c r="R3093" s="3">
        <f t="shared" si="250"/>
        <v>43174.74</v>
      </c>
      <c r="S3093" s="24" t="s">
        <v>1334</v>
      </c>
      <c r="T3093" s="24"/>
      <c r="U3093" s="79" t="s">
        <v>4078</v>
      </c>
      <c r="V3093" s="25">
        <f>IFERROR(VLOOKUP(BCP_Soles[[#This Row],[destinatario]],CHOOSE({1,2},Clientes_Proveedores[Razon Social],Clientes_Proveedores[Ruc / Dni]),2,0),"")</f>
        <v>20455823880</v>
      </c>
      <c r="W3093" s="25"/>
      <c r="X3093" s="25"/>
      <c r="Y3093" s="25"/>
      <c r="Z3093" s="77"/>
      <c r="AA3093" s="3" t="str">
        <f>IF(BCP_Soles[[#This Row],[fecha]]&gt;0,TEXT(BCP_Soles[[#This Row],[fecha]],"mmmm"),0)</f>
        <v>Agosto</v>
      </c>
    </row>
    <row r="3094" spans="1:27" ht="24" x14ac:dyDescent="0.3">
      <c r="A3094" s="2">
        <f>IF(BCP_Soles[[#This Row],[tipo_registro]]="R",COUNTIFS($C$1:$C3093,"R")+1,A3093)</f>
        <v>2117</v>
      </c>
      <c r="B3094" s="19" t="str">
        <f t="shared" si="246"/>
        <v>B-BCP - Soles</v>
      </c>
      <c r="C3094" s="3" t="s">
        <v>1330</v>
      </c>
      <c r="D3094" s="14">
        <v>45873</v>
      </c>
      <c r="E3094" s="5" t="s">
        <v>1338</v>
      </c>
      <c r="F3094" s="5" t="s">
        <v>1336</v>
      </c>
      <c r="G3094" s="6" t="s">
        <v>967</v>
      </c>
      <c r="H3094" s="6"/>
      <c r="I3094" s="6"/>
      <c r="J3094" s="6"/>
      <c r="K3094" s="7" t="s">
        <v>4079</v>
      </c>
      <c r="L3094" s="8">
        <v>1003223</v>
      </c>
      <c r="M3094" s="8" t="str">
        <f t="shared" si="247"/>
        <v>PEN</v>
      </c>
      <c r="N3094" s="13"/>
      <c r="O3094" s="13">
        <v>3740</v>
      </c>
      <c r="P3094" s="3">
        <f t="shared" si="248"/>
        <v>0</v>
      </c>
      <c r="Q3094" s="3">
        <f t="shared" si="249"/>
        <v>3740</v>
      </c>
      <c r="R3094" s="3">
        <f t="shared" si="250"/>
        <v>39434.74</v>
      </c>
      <c r="S3094" s="24" t="s">
        <v>1334</v>
      </c>
      <c r="T3094" s="24" t="s">
        <v>1334</v>
      </c>
      <c r="U3094" s="79" t="s">
        <v>4080</v>
      </c>
      <c r="V3094" s="25">
        <f>IFERROR(VLOOKUP(BCP_Soles[[#This Row],[destinatario]],CHOOSE({1,2},Clientes_Proveedores[Razon Social],Clientes_Proveedores[Ruc / Dni]),2,0),"")</f>
        <v>70517150</v>
      </c>
      <c r="W3094" s="25"/>
      <c r="X3094" s="25"/>
      <c r="Y3094" s="25"/>
      <c r="Z3094" s="77"/>
      <c r="AA3094" s="3" t="str">
        <f>IF(BCP_Soles[[#This Row],[fecha]]&gt;0,TEXT(BCP_Soles[[#This Row],[fecha]],"mmmm"),0)</f>
        <v>Agosto</v>
      </c>
    </row>
    <row r="3095" spans="1:27" ht="36" x14ac:dyDescent="0.3">
      <c r="A3095" s="2">
        <f>IF(BCP_Soles[[#This Row],[tipo_registro]]="R",COUNTIFS($C$1:$C3094,"R")+1,A3094)</f>
        <v>2117</v>
      </c>
      <c r="B3095" s="19" t="str">
        <f t="shared" si="246"/>
        <v>B-BCP - Soles</v>
      </c>
      <c r="C3095" s="3" t="s">
        <v>1352</v>
      </c>
      <c r="D3095" s="14">
        <v>45873</v>
      </c>
      <c r="E3095" s="5" t="s">
        <v>1338</v>
      </c>
      <c r="F3095" s="5"/>
      <c r="G3095" s="6" t="s">
        <v>985</v>
      </c>
      <c r="H3095" s="6" t="s">
        <v>68</v>
      </c>
      <c r="I3095" s="6" t="s">
        <v>1376</v>
      </c>
      <c r="J3095" s="6">
        <v>100</v>
      </c>
      <c r="K3095" s="7" t="s">
        <v>4079</v>
      </c>
      <c r="L3095" s="8">
        <v>1003223</v>
      </c>
      <c r="M3095" s="8" t="str">
        <f t="shared" si="247"/>
        <v>PEN</v>
      </c>
      <c r="N3095" s="13">
        <v>1998.1</v>
      </c>
      <c r="O3095" s="13"/>
      <c r="P3095" s="3">
        <f t="shared" si="248"/>
        <v>0</v>
      </c>
      <c r="Q3095" s="3">
        <f t="shared" si="249"/>
        <v>0</v>
      </c>
      <c r="R3095" s="3">
        <f t="shared" si="250"/>
        <v>39434.74</v>
      </c>
      <c r="S3095" s="24" t="s">
        <v>1334</v>
      </c>
      <c r="T3095" s="24" t="s">
        <v>1334</v>
      </c>
      <c r="U3095" s="79"/>
      <c r="V3095" s="25">
        <f>IFERROR(VLOOKUP(BCP_Soles[[#This Row],[destinatario]],CHOOSE({1,2},Clientes_Proveedores[Razon Social],Clientes_Proveedores[Ruc / Dni]),2,0),"")</f>
        <v>20600922310</v>
      </c>
      <c r="W3095" s="25"/>
      <c r="X3095" s="25"/>
      <c r="Y3095" s="25"/>
      <c r="Z3095" s="77"/>
      <c r="AA3095" s="3" t="str">
        <f>IF(BCP_Soles[[#This Row],[fecha]]&gt;0,TEXT(BCP_Soles[[#This Row],[fecha]],"mmmm"),0)</f>
        <v>Agosto</v>
      </c>
    </row>
    <row r="3096" spans="1:27" ht="36" x14ac:dyDescent="0.3">
      <c r="A3096" s="2">
        <f>IF(BCP_Soles[[#This Row],[tipo_registro]]="R",COUNTIFS($C$1:$C3095,"R")+1,A3095)</f>
        <v>2117</v>
      </c>
      <c r="B3096" s="19" t="str">
        <f t="shared" si="246"/>
        <v>B-BCP - Soles</v>
      </c>
      <c r="C3096" s="3" t="s">
        <v>1352</v>
      </c>
      <c r="D3096" s="14">
        <v>45873</v>
      </c>
      <c r="E3096" s="5" t="s">
        <v>1338</v>
      </c>
      <c r="F3096" s="5"/>
      <c r="G3096" s="6" t="s">
        <v>985</v>
      </c>
      <c r="H3096" s="6" t="s">
        <v>68</v>
      </c>
      <c r="I3096" s="6" t="s">
        <v>1376</v>
      </c>
      <c r="J3096" s="6">
        <v>101</v>
      </c>
      <c r="K3096" s="7" t="s">
        <v>4079</v>
      </c>
      <c r="L3096" s="8">
        <v>1003223</v>
      </c>
      <c r="M3096" s="8" t="str">
        <f t="shared" si="247"/>
        <v>PEN</v>
      </c>
      <c r="N3096" s="13">
        <v>1741.9</v>
      </c>
      <c r="O3096" s="13"/>
      <c r="P3096" s="3">
        <f t="shared" si="248"/>
        <v>0</v>
      </c>
      <c r="Q3096" s="3">
        <f t="shared" si="249"/>
        <v>0</v>
      </c>
      <c r="R3096" s="3">
        <f t="shared" si="250"/>
        <v>39434.74</v>
      </c>
      <c r="S3096" s="24" t="s">
        <v>1334</v>
      </c>
      <c r="T3096" s="24" t="s">
        <v>1334</v>
      </c>
      <c r="U3096" s="79"/>
      <c r="V3096" s="25">
        <f>IFERROR(VLOOKUP(BCP_Soles[[#This Row],[destinatario]],CHOOSE({1,2},Clientes_Proveedores[Razon Social],Clientes_Proveedores[Ruc / Dni]),2,0),"")</f>
        <v>20600922310</v>
      </c>
      <c r="W3096" s="25"/>
      <c r="X3096" s="25"/>
      <c r="Y3096" s="25"/>
      <c r="Z3096" s="77"/>
      <c r="AA3096" s="3" t="str">
        <f>IF(BCP_Soles[[#This Row],[fecha]]&gt;0,TEXT(BCP_Soles[[#This Row],[fecha]],"mmmm"),0)</f>
        <v>Agosto</v>
      </c>
    </row>
    <row r="3097" spans="1:27" ht="24" x14ac:dyDescent="0.3">
      <c r="A3097" s="2">
        <f>IF(BCP_Soles[[#This Row],[tipo_registro]]="R",COUNTIFS($C$1:$C3096,"R")+1,A3096)</f>
        <v>2118</v>
      </c>
      <c r="B3097" s="19" t="str">
        <f t="shared" si="246"/>
        <v>B-BCP - Soles</v>
      </c>
      <c r="C3097" s="3" t="s">
        <v>1330</v>
      </c>
      <c r="D3097" s="14">
        <v>45873</v>
      </c>
      <c r="E3097" s="5" t="s">
        <v>1338</v>
      </c>
      <c r="F3097" s="5" t="s">
        <v>1336</v>
      </c>
      <c r="G3097" s="6" t="s">
        <v>895</v>
      </c>
      <c r="H3097" s="6"/>
      <c r="I3097" s="6"/>
      <c r="J3097" s="6"/>
      <c r="K3097" s="7" t="s">
        <v>4081</v>
      </c>
      <c r="L3097" s="8">
        <v>1000226</v>
      </c>
      <c r="M3097" s="8" t="str">
        <f t="shared" si="247"/>
        <v>PEN</v>
      </c>
      <c r="N3097" s="13"/>
      <c r="O3097" s="13">
        <v>900</v>
      </c>
      <c r="P3097" s="3">
        <f t="shared" si="248"/>
        <v>0</v>
      </c>
      <c r="Q3097" s="3">
        <f t="shared" si="249"/>
        <v>900</v>
      </c>
      <c r="R3097" s="3">
        <f t="shared" si="250"/>
        <v>38534.74</v>
      </c>
      <c r="S3097" s="24"/>
      <c r="T3097" s="24" t="s">
        <v>1334</v>
      </c>
      <c r="U3097" s="79" t="s">
        <v>4082</v>
      </c>
      <c r="V3097" s="25">
        <f>IFERROR(VLOOKUP(BCP_Soles[[#This Row],[destinatario]],CHOOSE({1,2},Clientes_Proveedores[Razon Social],Clientes_Proveedores[Ruc / Dni]),2,0),"")</f>
        <v>72144092</v>
      </c>
      <c r="W3097" s="25"/>
      <c r="X3097" s="25"/>
      <c r="Y3097" s="25"/>
      <c r="Z3097" s="75"/>
      <c r="AA3097" s="3" t="str">
        <f>IF(BCP_Soles[[#This Row],[fecha]]&gt;0,TEXT(BCP_Soles[[#This Row],[fecha]],"mmmm"),0)</f>
        <v>Agosto</v>
      </c>
    </row>
    <row r="3098" spans="1:27" ht="36" x14ac:dyDescent="0.3">
      <c r="A3098" s="2">
        <f>IF(BCP_Soles[[#This Row],[tipo_registro]]="R",COUNTIFS($C$1:$C3097,"R")+1,A3097)</f>
        <v>2119</v>
      </c>
      <c r="B3098" s="19" t="str">
        <f t="shared" ref="B3098:B3161" si="251">"B-BCP - Soles"</f>
        <v>B-BCP - Soles</v>
      </c>
      <c r="C3098" s="3" t="s">
        <v>1330</v>
      </c>
      <c r="D3098" s="14">
        <v>45873</v>
      </c>
      <c r="E3098" s="5" t="s">
        <v>1338</v>
      </c>
      <c r="F3098" s="5" t="s">
        <v>1336</v>
      </c>
      <c r="G3098" s="6" t="s">
        <v>588</v>
      </c>
      <c r="H3098" s="6" t="s">
        <v>68</v>
      </c>
      <c r="I3098" s="6" t="s">
        <v>1376</v>
      </c>
      <c r="J3098" s="6">
        <v>478</v>
      </c>
      <c r="K3098" s="7" t="s">
        <v>4083</v>
      </c>
      <c r="L3098" s="8">
        <v>1002224</v>
      </c>
      <c r="M3098" s="8" t="str">
        <f t="shared" ref="M3098:M3161" si="252">"PEN"</f>
        <v>PEN</v>
      </c>
      <c r="N3098" s="13"/>
      <c r="O3098" s="13">
        <v>94.28</v>
      </c>
      <c r="P3098" s="3">
        <f t="shared" ref="P3098:P3161" si="253">+IF(OR($F3098="SALDO",$F3098="INGRESO"),$O3098,0)</f>
        <v>0</v>
      </c>
      <c r="Q3098" s="3">
        <f t="shared" ref="Q3098:Q3161" si="254">+IF($F3098="EGRESO",$O3098,0)</f>
        <v>94.28</v>
      </c>
      <c r="R3098" s="3">
        <f t="shared" si="250"/>
        <v>38440.46</v>
      </c>
      <c r="S3098" s="24" t="s">
        <v>1334</v>
      </c>
      <c r="T3098" s="24" t="s">
        <v>1334</v>
      </c>
      <c r="U3098" s="79" t="s">
        <v>4084</v>
      </c>
      <c r="V3098" s="25">
        <f>IFERROR(VLOOKUP(BCP_Soles[[#This Row],[destinatario]],CHOOSE({1,2},Clientes_Proveedores[Razon Social],Clientes_Proveedores[Ruc / Dni]),2,0),"")</f>
        <v>20609368773</v>
      </c>
      <c r="W3098" s="25"/>
      <c r="X3098" s="25"/>
      <c r="Y3098" s="25"/>
      <c r="Z3098" s="77"/>
      <c r="AA3098" s="3" t="str">
        <f>IF(BCP_Soles[[#This Row],[fecha]]&gt;0,TEXT(BCP_Soles[[#This Row],[fecha]],"mmmm"),0)</f>
        <v>Agosto</v>
      </c>
    </row>
    <row r="3099" spans="1:27" ht="24" x14ac:dyDescent="0.3">
      <c r="A3099" s="2">
        <f>IF(BCP_Soles[[#This Row],[tipo_registro]]="R",COUNTIFS($C$1:$C3098,"R")+1,A3098)</f>
        <v>2120</v>
      </c>
      <c r="B3099" s="19" t="str">
        <f t="shared" si="251"/>
        <v>B-BCP - Soles</v>
      </c>
      <c r="C3099" s="3" t="s">
        <v>1330</v>
      </c>
      <c r="D3099" s="14">
        <v>45873</v>
      </c>
      <c r="E3099" s="5" t="s">
        <v>1338</v>
      </c>
      <c r="F3099" s="5" t="s">
        <v>1336</v>
      </c>
      <c r="G3099" s="6" t="s">
        <v>922</v>
      </c>
      <c r="H3099" s="6" t="s">
        <v>143</v>
      </c>
      <c r="I3099" s="6">
        <v>1</v>
      </c>
      <c r="J3099" s="6">
        <v>522025</v>
      </c>
      <c r="K3099" s="7" t="s">
        <v>4085</v>
      </c>
      <c r="L3099" s="8">
        <v>1001725</v>
      </c>
      <c r="M3099" s="8" t="str">
        <f t="shared" si="252"/>
        <v>PEN</v>
      </c>
      <c r="N3099" s="13"/>
      <c r="O3099" s="13">
        <v>800</v>
      </c>
      <c r="P3099" s="3">
        <f t="shared" si="253"/>
        <v>0</v>
      </c>
      <c r="Q3099" s="3">
        <f t="shared" si="254"/>
        <v>800</v>
      </c>
      <c r="R3099" s="3">
        <f t="shared" si="250"/>
        <v>37640.46</v>
      </c>
      <c r="S3099" s="24" t="s">
        <v>1334</v>
      </c>
      <c r="T3099" s="24" t="s">
        <v>1334</v>
      </c>
      <c r="U3099" s="79" t="s">
        <v>4086</v>
      </c>
      <c r="V3099" s="25">
        <f>IFERROR(VLOOKUP(BCP_Soles[[#This Row],[destinatario]],CHOOSE({1,2},Clientes_Proveedores[Razon Social],Clientes_Proveedores[Ruc / Dni]),2,0),"")</f>
        <v>72537561</v>
      </c>
      <c r="W3099" s="25"/>
      <c r="X3099" s="25"/>
      <c r="Y3099" s="25"/>
      <c r="Z3099" s="77"/>
      <c r="AA3099" s="3" t="str">
        <f>IF(BCP_Soles[[#This Row],[fecha]]&gt;0,TEXT(BCP_Soles[[#This Row],[fecha]],"mmmm"),0)</f>
        <v>Agosto</v>
      </c>
    </row>
    <row r="3100" spans="1:27" ht="24" x14ac:dyDescent="0.3">
      <c r="A3100" s="2">
        <f>IF(BCP_Soles[[#This Row],[tipo_registro]]="R",COUNTIFS($C$1:$C3099,"R")+1,A3099)</f>
        <v>2121</v>
      </c>
      <c r="B3100" s="19" t="str">
        <f t="shared" si="251"/>
        <v>B-BCP - Soles</v>
      </c>
      <c r="C3100" s="3" t="s">
        <v>1330</v>
      </c>
      <c r="D3100" s="14">
        <v>45873</v>
      </c>
      <c r="E3100" s="5" t="s">
        <v>1338</v>
      </c>
      <c r="F3100" s="5" t="s">
        <v>1336</v>
      </c>
      <c r="G3100" s="6" t="s">
        <v>742</v>
      </c>
      <c r="H3100" s="6" t="s">
        <v>68</v>
      </c>
      <c r="I3100" s="6" t="s">
        <v>3515</v>
      </c>
      <c r="J3100" s="6">
        <v>386030</v>
      </c>
      <c r="K3100" s="7" t="s">
        <v>4087</v>
      </c>
      <c r="L3100" s="8">
        <v>1003733</v>
      </c>
      <c r="M3100" s="8" t="str">
        <f t="shared" si="252"/>
        <v>PEN</v>
      </c>
      <c r="N3100" s="13"/>
      <c r="O3100" s="13">
        <v>153</v>
      </c>
      <c r="P3100" s="3">
        <f t="shared" si="253"/>
        <v>0</v>
      </c>
      <c r="Q3100" s="3">
        <f t="shared" si="254"/>
        <v>153</v>
      </c>
      <c r="R3100" s="3">
        <f t="shared" si="250"/>
        <v>37487.46</v>
      </c>
      <c r="S3100" s="24" t="s">
        <v>1334</v>
      </c>
      <c r="T3100" s="24" t="s">
        <v>1334</v>
      </c>
      <c r="U3100" s="79" t="s">
        <v>4088</v>
      </c>
      <c r="V3100" s="25">
        <f>IFERROR(VLOOKUP(BCP_Soles[[#This Row],[destinatario]],CHOOSE({1,2},Clientes_Proveedores[Razon Social],Clientes_Proveedores[Ruc / Dni]),2,0),"")</f>
        <v>20100210909</v>
      </c>
      <c r="W3100" s="25"/>
      <c r="X3100" s="25"/>
      <c r="Y3100" s="25"/>
      <c r="Z3100" s="77"/>
      <c r="AA3100" s="3" t="str">
        <f>IF(BCP_Soles[[#This Row],[fecha]]&gt;0,TEXT(BCP_Soles[[#This Row],[fecha]],"mmmm"),0)</f>
        <v>Agosto</v>
      </c>
    </row>
    <row r="3101" spans="1:27" x14ac:dyDescent="0.3">
      <c r="A3101" s="2">
        <f>IF(BCP_Soles[[#This Row],[tipo_registro]]="R",COUNTIFS($C$1:$C3100,"R")+1,A3100)</f>
        <v>2122</v>
      </c>
      <c r="B3101" s="19" t="str">
        <f t="shared" si="251"/>
        <v>B-BCP - Soles</v>
      </c>
      <c r="C3101" s="3" t="s">
        <v>1330</v>
      </c>
      <c r="D3101" s="14">
        <v>45873</v>
      </c>
      <c r="E3101" s="5" t="s">
        <v>1335</v>
      </c>
      <c r="F3101" s="5" t="s">
        <v>1336</v>
      </c>
      <c r="G3101" s="6" t="s">
        <v>1009</v>
      </c>
      <c r="H3101" s="6" t="s">
        <v>64</v>
      </c>
      <c r="I3101" s="6" t="s">
        <v>3673</v>
      </c>
      <c r="J3101" s="6">
        <v>2124</v>
      </c>
      <c r="K3101" s="7" t="s">
        <v>3160</v>
      </c>
      <c r="L3101" s="8"/>
      <c r="M3101" s="8" t="str">
        <f t="shared" si="252"/>
        <v>PEN</v>
      </c>
      <c r="N3101" s="13"/>
      <c r="O3101" s="13">
        <v>1.85</v>
      </c>
      <c r="P3101" s="3">
        <f t="shared" si="253"/>
        <v>0</v>
      </c>
      <c r="Q3101" s="3">
        <f t="shared" si="254"/>
        <v>1.85</v>
      </c>
      <c r="R3101" s="3">
        <f t="shared" si="250"/>
        <v>37485.61</v>
      </c>
      <c r="S3101" s="24" t="s">
        <v>1334</v>
      </c>
      <c r="T3101" s="24" t="s">
        <v>1334</v>
      </c>
      <c r="U3101" s="55"/>
      <c r="V3101" s="25">
        <f>IFERROR(VLOOKUP(BCP_Soles[[#This Row],[destinatario]],CHOOSE({1,2},Clientes_Proveedores[Razon Social],Clientes_Proveedores[Ruc / Dni]),2,0),"")</f>
        <v>11111111</v>
      </c>
      <c r="W3101" s="25"/>
      <c r="X3101" s="25"/>
      <c r="Y3101" s="25"/>
      <c r="Z3101" s="77"/>
      <c r="AA3101" s="3" t="str">
        <f>IF(BCP_Soles[[#This Row],[fecha]]&gt;0,TEXT(BCP_Soles[[#This Row],[fecha]],"mmmm"),0)</f>
        <v>Agosto</v>
      </c>
    </row>
    <row r="3102" spans="1:27" x14ac:dyDescent="0.3">
      <c r="A3102" s="2">
        <f>IF(BCP_Soles[[#This Row],[tipo_registro]]="R",COUNTIFS($C$1:$C3101,"R")+1,A3101)</f>
        <v>2123</v>
      </c>
      <c r="B3102" s="19" t="str">
        <f t="shared" si="251"/>
        <v>B-BCP - Soles</v>
      </c>
      <c r="C3102" s="3" t="s">
        <v>1330</v>
      </c>
      <c r="D3102" s="14">
        <v>45874</v>
      </c>
      <c r="E3102" s="65" t="s">
        <v>295</v>
      </c>
      <c r="F3102" s="5" t="s">
        <v>1303</v>
      </c>
      <c r="G3102" s="6" t="s">
        <v>425</v>
      </c>
      <c r="H3102" s="6" t="s">
        <v>68</v>
      </c>
      <c r="I3102" s="6" t="s">
        <v>3302</v>
      </c>
      <c r="J3102" s="6">
        <v>98</v>
      </c>
      <c r="K3102" s="7" t="s">
        <v>1428</v>
      </c>
      <c r="L3102" s="8">
        <v>2178637</v>
      </c>
      <c r="M3102" s="8" t="str">
        <f t="shared" si="252"/>
        <v>PEN</v>
      </c>
      <c r="N3102" s="13"/>
      <c r="O3102" s="13">
        <v>505.72</v>
      </c>
      <c r="P3102" s="3">
        <f t="shared" si="253"/>
        <v>505.72</v>
      </c>
      <c r="Q3102" s="3">
        <f t="shared" si="254"/>
        <v>0</v>
      </c>
      <c r="R3102" s="3">
        <f t="shared" si="250"/>
        <v>37991.33</v>
      </c>
      <c r="S3102" s="24" t="s">
        <v>1334</v>
      </c>
      <c r="T3102" s="24" t="s">
        <v>1334</v>
      </c>
      <c r="U3102" s="55"/>
      <c r="V3102" s="25">
        <f>IFERROR(VLOOKUP(BCP_Soles[[#This Row],[destinatario]],CHOOSE({1,2},Clientes_Proveedores[Razon Social],Clientes_Proveedores[Ruc / Dni]),2,0),"")</f>
        <v>20558226979</v>
      </c>
      <c r="W3102" s="25"/>
      <c r="X3102" s="25"/>
      <c r="Y3102" s="25"/>
      <c r="Z3102" s="77"/>
      <c r="AA3102" s="3" t="str">
        <f>IF(BCP_Soles[[#This Row],[fecha]]&gt;0,TEXT(BCP_Soles[[#This Row],[fecha]],"mmmm"),0)</f>
        <v>Agosto</v>
      </c>
    </row>
    <row r="3103" spans="1:27" x14ac:dyDescent="0.3">
      <c r="A3103" s="2">
        <f>IF(BCP_Soles[[#This Row],[tipo_registro]]="R",COUNTIFS($C$1:$C3102,"R")+1,A3102)</f>
        <v>2124</v>
      </c>
      <c r="B3103" s="19" t="str">
        <f t="shared" si="251"/>
        <v>B-BCP - Soles</v>
      </c>
      <c r="C3103" s="3" t="s">
        <v>1330</v>
      </c>
      <c r="D3103" s="14">
        <v>45874</v>
      </c>
      <c r="E3103" s="65" t="s">
        <v>295</v>
      </c>
      <c r="F3103" s="5" t="s">
        <v>1303</v>
      </c>
      <c r="G3103" s="6" t="s">
        <v>425</v>
      </c>
      <c r="H3103" s="6" t="s">
        <v>68</v>
      </c>
      <c r="I3103" s="6" t="s">
        <v>3302</v>
      </c>
      <c r="J3103" s="6">
        <v>97</v>
      </c>
      <c r="K3103" s="7" t="s">
        <v>1428</v>
      </c>
      <c r="L3103" s="8">
        <v>2176432</v>
      </c>
      <c r="M3103" s="8" t="str">
        <f t="shared" si="252"/>
        <v>PEN</v>
      </c>
      <c r="N3103" s="13"/>
      <c r="O3103" s="13">
        <v>556.30999999999995</v>
      </c>
      <c r="P3103" s="3">
        <f t="shared" si="253"/>
        <v>556.30999999999995</v>
      </c>
      <c r="Q3103" s="3">
        <f t="shared" si="254"/>
        <v>0</v>
      </c>
      <c r="R3103" s="3">
        <f t="shared" si="250"/>
        <v>38547.64</v>
      </c>
      <c r="S3103" s="24" t="s">
        <v>1334</v>
      </c>
      <c r="T3103" s="24" t="s">
        <v>1334</v>
      </c>
      <c r="U3103" s="55"/>
      <c r="V3103" s="25">
        <f>IFERROR(VLOOKUP(BCP_Soles[[#This Row],[destinatario]],CHOOSE({1,2},Clientes_Proveedores[Razon Social],Clientes_Proveedores[Ruc / Dni]),2,0),"")</f>
        <v>20558226979</v>
      </c>
      <c r="W3103" s="25"/>
      <c r="X3103" s="25"/>
      <c r="Y3103" s="25"/>
      <c r="Z3103" s="77"/>
      <c r="AA3103" s="3" t="str">
        <f>IF(BCP_Soles[[#This Row],[fecha]]&gt;0,TEXT(BCP_Soles[[#This Row],[fecha]],"mmmm"),0)</f>
        <v>Agosto</v>
      </c>
    </row>
    <row r="3104" spans="1:27" x14ac:dyDescent="0.3">
      <c r="A3104" s="2">
        <f>IF(BCP_Soles[[#This Row],[tipo_registro]]="R",COUNTIFS($C$1:$C3103,"R")+1,A3103)</f>
        <v>2125</v>
      </c>
      <c r="B3104" s="19" t="str">
        <f t="shared" si="251"/>
        <v>B-BCP - Soles</v>
      </c>
      <c r="C3104" s="3" t="s">
        <v>1330</v>
      </c>
      <c r="D3104" s="14">
        <v>45874</v>
      </c>
      <c r="E3104" s="65" t="s">
        <v>295</v>
      </c>
      <c r="F3104" s="5" t="s">
        <v>1303</v>
      </c>
      <c r="G3104" s="6" t="s">
        <v>425</v>
      </c>
      <c r="H3104" s="6" t="s">
        <v>68</v>
      </c>
      <c r="I3104" s="6" t="s">
        <v>3302</v>
      </c>
      <c r="J3104" s="6">
        <v>102</v>
      </c>
      <c r="K3104" s="7" t="s">
        <v>1428</v>
      </c>
      <c r="L3104" s="8">
        <v>2220787</v>
      </c>
      <c r="M3104" s="8" t="str">
        <f t="shared" si="252"/>
        <v>PEN</v>
      </c>
      <c r="N3104" s="13"/>
      <c r="O3104" s="13">
        <v>641.02</v>
      </c>
      <c r="P3104" s="3">
        <f t="shared" si="253"/>
        <v>641.02</v>
      </c>
      <c r="Q3104" s="3">
        <f t="shared" si="254"/>
        <v>0</v>
      </c>
      <c r="R3104" s="3">
        <f t="shared" si="250"/>
        <v>39188.659999999996</v>
      </c>
      <c r="S3104" s="24" t="s">
        <v>1334</v>
      </c>
      <c r="T3104" s="24" t="s">
        <v>1334</v>
      </c>
      <c r="U3104" s="55"/>
      <c r="V3104" s="25">
        <f>IFERROR(VLOOKUP(BCP_Soles[[#This Row],[destinatario]],CHOOSE({1,2},Clientes_Proveedores[Razon Social],Clientes_Proveedores[Ruc / Dni]),2,0),"")</f>
        <v>20558226979</v>
      </c>
      <c r="W3104" s="25"/>
      <c r="X3104" s="25"/>
      <c r="Y3104" s="25"/>
      <c r="Z3104" s="77"/>
      <c r="AA3104" s="3" t="str">
        <f>IF(BCP_Soles[[#This Row],[fecha]]&gt;0,TEXT(BCP_Soles[[#This Row],[fecha]],"mmmm"),0)</f>
        <v>Agosto</v>
      </c>
    </row>
    <row r="3105" spans="1:27" x14ac:dyDescent="0.3">
      <c r="A3105" s="2">
        <f>IF(BCP_Soles[[#This Row],[tipo_registro]]="R",COUNTIFS($C$1:$C3104,"R")+1,A3104)</f>
        <v>2126</v>
      </c>
      <c r="B3105" s="19" t="str">
        <f t="shared" si="251"/>
        <v>B-BCP - Soles</v>
      </c>
      <c r="C3105" s="3" t="s">
        <v>1330</v>
      </c>
      <c r="D3105" s="14">
        <v>45874</v>
      </c>
      <c r="E3105" s="65" t="s">
        <v>295</v>
      </c>
      <c r="F3105" s="5" t="s">
        <v>1303</v>
      </c>
      <c r="G3105" s="6" t="s">
        <v>425</v>
      </c>
      <c r="H3105" s="6" t="s">
        <v>68</v>
      </c>
      <c r="I3105" s="6" t="s">
        <v>3302</v>
      </c>
      <c r="J3105" s="6">
        <v>103</v>
      </c>
      <c r="K3105" s="7" t="s">
        <v>1428</v>
      </c>
      <c r="L3105" s="8">
        <v>2223847</v>
      </c>
      <c r="M3105" s="8" t="str">
        <f t="shared" si="252"/>
        <v>PEN</v>
      </c>
      <c r="N3105" s="13"/>
      <c r="O3105" s="13">
        <v>302.77</v>
      </c>
      <c r="P3105" s="3">
        <f t="shared" si="253"/>
        <v>302.77</v>
      </c>
      <c r="Q3105" s="3">
        <f t="shared" si="254"/>
        <v>0</v>
      </c>
      <c r="R3105" s="3">
        <f t="shared" si="250"/>
        <v>39491.429999999993</v>
      </c>
      <c r="S3105" s="24" t="s">
        <v>1334</v>
      </c>
      <c r="T3105" s="24" t="s">
        <v>1334</v>
      </c>
      <c r="U3105" s="55"/>
      <c r="V3105" s="25">
        <f>IFERROR(VLOOKUP(BCP_Soles[[#This Row],[destinatario]],CHOOSE({1,2},Clientes_Proveedores[Razon Social],Clientes_Proveedores[Ruc / Dni]),2,0),"")</f>
        <v>20558226979</v>
      </c>
      <c r="W3105" s="25"/>
      <c r="X3105" s="25"/>
      <c r="Y3105" s="25"/>
      <c r="Z3105" s="77"/>
      <c r="AA3105" s="3" t="str">
        <f>IF(BCP_Soles[[#This Row],[fecha]]&gt;0,TEXT(BCP_Soles[[#This Row],[fecha]],"mmmm"),0)</f>
        <v>Agosto</v>
      </c>
    </row>
    <row r="3106" spans="1:27" x14ac:dyDescent="0.3">
      <c r="A3106" s="2">
        <f>IF(BCP_Soles[[#This Row],[tipo_registro]]="R",COUNTIFS($C$1:$C3105,"R")+1,A3105)</f>
        <v>2127</v>
      </c>
      <c r="B3106" s="19" t="str">
        <f t="shared" si="251"/>
        <v>B-BCP - Soles</v>
      </c>
      <c r="C3106" s="3" t="s">
        <v>1330</v>
      </c>
      <c r="D3106" s="14">
        <v>45874</v>
      </c>
      <c r="E3106" s="65" t="s">
        <v>295</v>
      </c>
      <c r="F3106" s="5" t="s">
        <v>1303</v>
      </c>
      <c r="G3106" s="6" t="s">
        <v>425</v>
      </c>
      <c r="H3106" s="6" t="s">
        <v>68</v>
      </c>
      <c r="I3106" s="6" t="s">
        <v>3302</v>
      </c>
      <c r="J3106" s="6">
        <v>104</v>
      </c>
      <c r="K3106" s="7" t="s">
        <v>1428</v>
      </c>
      <c r="L3106" s="8">
        <v>2226191</v>
      </c>
      <c r="M3106" s="8" t="str">
        <f t="shared" si="252"/>
        <v>PEN</v>
      </c>
      <c r="N3106" s="13"/>
      <c r="O3106" s="13">
        <v>411.21</v>
      </c>
      <c r="P3106" s="3">
        <f t="shared" si="253"/>
        <v>411.21</v>
      </c>
      <c r="Q3106" s="3">
        <f t="shared" si="254"/>
        <v>0</v>
      </c>
      <c r="R3106" s="3">
        <f t="shared" si="250"/>
        <v>39902.639999999992</v>
      </c>
      <c r="S3106" s="24" t="s">
        <v>1334</v>
      </c>
      <c r="T3106" s="24" t="s">
        <v>1334</v>
      </c>
      <c r="U3106" s="55"/>
      <c r="V3106" s="25">
        <f>IFERROR(VLOOKUP(BCP_Soles[[#This Row],[destinatario]],CHOOSE({1,2},Clientes_Proveedores[Razon Social],Clientes_Proveedores[Ruc / Dni]),2,0),"")</f>
        <v>20558226979</v>
      </c>
      <c r="W3106" s="25"/>
      <c r="X3106" s="25"/>
      <c r="Y3106" s="25"/>
      <c r="Z3106" s="77"/>
      <c r="AA3106" s="3" t="str">
        <f>IF(BCP_Soles[[#This Row],[fecha]]&gt;0,TEXT(BCP_Soles[[#This Row],[fecha]],"mmmm"),0)</f>
        <v>Agosto</v>
      </c>
    </row>
    <row r="3107" spans="1:27" x14ac:dyDescent="0.3">
      <c r="A3107" s="2">
        <f>IF(BCP_Soles[[#This Row],[tipo_registro]]="R",COUNTIFS($C$1:$C3106,"R")+1,A3106)</f>
        <v>2128</v>
      </c>
      <c r="B3107" s="19" t="str">
        <f t="shared" si="251"/>
        <v>B-BCP - Soles</v>
      </c>
      <c r="C3107" s="3" t="s">
        <v>1330</v>
      </c>
      <c r="D3107" s="14">
        <v>45874</v>
      </c>
      <c r="E3107" s="65" t="s">
        <v>295</v>
      </c>
      <c r="F3107" s="5" t="s">
        <v>1303</v>
      </c>
      <c r="G3107" s="6" t="s">
        <v>425</v>
      </c>
      <c r="H3107" s="6" t="s">
        <v>68</v>
      </c>
      <c r="I3107" s="6" t="s">
        <v>3302</v>
      </c>
      <c r="J3107" s="6">
        <v>105</v>
      </c>
      <c r="K3107" s="7" t="s">
        <v>1428</v>
      </c>
      <c r="L3107" s="8">
        <v>2272587</v>
      </c>
      <c r="M3107" s="8" t="str">
        <f t="shared" si="252"/>
        <v>PEN</v>
      </c>
      <c r="N3107" s="13"/>
      <c r="O3107" s="13">
        <v>157.85</v>
      </c>
      <c r="P3107" s="3">
        <f t="shared" si="253"/>
        <v>157.85</v>
      </c>
      <c r="Q3107" s="3">
        <f t="shared" si="254"/>
        <v>0</v>
      </c>
      <c r="R3107" s="3">
        <f t="shared" si="250"/>
        <v>40060.489999999991</v>
      </c>
      <c r="S3107" s="24" t="s">
        <v>1334</v>
      </c>
      <c r="T3107" s="24" t="s">
        <v>1334</v>
      </c>
      <c r="U3107" s="55"/>
      <c r="V3107" s="25">
        <f>IFERROR(VLOOKUP(BCP_Soles[[#This Row],[destinatario]],CHOOSE({1,2},Clientes_Proveedores[Razon Social],Clientes_Proveedores[Ruc / Dni]),2,0),"")</f>
        <v>20558226979</v>
      </c>
      <c r="W3107" s="25"/>
      <c r="X3107" s="25"/>
      <c r="Y3107" s="25"/>
      <c r="Z3107" s="77"/>
      <c r="AA3107" s="3" t="str">
        <f>IF(BCP_Soles[[#This Row],[fecha]]&gt;0,TEXT(BCP_Soles[[#This Row],[fecha]],"mmmm"),0)</f>
        <v>Agosto</v>
      </c>
    </row>
    <row r="3108" spans="1:27" ht="24" x14ac:dyDescent="0.3">
      <c r="A3108" s="2">
        <f>IF(BCP_Soles[[#This Row],[tipo_registro]]="R",COUNTIFS($C$1:$C3107,"R")+1,A3107)</f>
        <v>2129</v>
      </c>
      <c r="B3108" s="19" t="str">
        <f t="shared" si="251"/>
        <v>B-BCP - Soles</v>
      </c>
      <c r="C3108" s="3" t="s">
        <v>1330</v>
      </c>
      <c r="D3108" s="14">
        <v>45874</v>
      </c>
      <c r="E3108" s="5" t="s">
        <v>1338</v>
      </c>
      <c r="F3108" s="5" t="s">
        <v>1336</v>
      </c>
      <c r="G3108" s="6" t="s">
        <v>710</v>
      </c>
      <c r="H3108" s="6" t="s">
        <v>106</v>
      </c>
      <c r="I3108" s="6">
        <v>1</v>
      </c>
      <c r="J3108" s="6">
        <v>59904887</v>
      </c>
      <c r="K3108" s="7" t="s">
        <v>4089</v>
      </c>
      <c r="L3108" s="8">
        <v>117803</v>
      </c>
      <c r="M3108" s="8" t="str">
        <f t="shared" si="252"/>
        <v>PEN</v>
      </c>
      <c r="N3108" s="13"/>
      <c r="O3108" s="13">
        <v>492.7</v>
      </c>
      <c r="P3108" s="3">
        <f t="shared" si="253"/>
        <v>0</v>
      </c>
      <c r="Q3108" s="3">
        <f t="shared" si="254"/>
        <v>492.7</v>
      </c>
      <c r="R3108" s="3">
        <f t="shared" si="250"/>
        <v>39567.789999999994</v>
      </c>
      <c r="S3108" s="24" t="s">
        <v>1334</v>
      </c>
      <c r="T3108" s="24" t="s">
        <v>1334</v>
      </c>
      <c r="U3108" s="79" t="s">
        <v>4090</v>
      </c>
      <c r="V3108" s="25">
        <f>IFERROR(VLOOKUP(BCP_Soles[[#This Row],[destinatario]],CHOOSE({1,2},Clientes_Proveedores[Razon Social],Clientes_Proveedores[Ruc / Dni]),2,0),"")</f>
        <v>20100211034</v>
      </c>
      <c r="W3108" s="25" t="s">
        <v>4091</v>
      </c>
      <c r="X3108" s="25"/>
      <c r="Y3108" s="25"/>
      <c r="Z3108" s="77"/>
      <c r="AA3108" s="3" t="str">
        <f>IF(BCP_Soles[[#This Row],[fecha]]&gt;0,TEXT(BCP_Soles[[#This Row],[fecha]],"mmmm"),0)</f>
        <v>Agosto</v>
      </c>
    </row>
    <row r="3109" spans="1:27" x14ac:dyDescent="0.3">
      <c r="A3109" s="2">
        <f>IF(BCP_Soles[[#This Row],[tipo_registro]]="R",COUNTIFS($C$1:$C3108,"R")+1,A3108)</f>
        <v>2130</v>
      </c>
      <c r="B3109" s="19" t="str">
        <f t="shared" si="251"/>
        <v>B-BCP - Soles</v>
      </c>
      <c r="C3109" s="3" t="s">
        <v>1330</v>
      </c>
      <c r="D3109" s="14">
        <v>45874</v>
      </c>
      <c r="E3109" s="5" t="s">
        <v>1338</v>
      </c>
      <c r="F3109" s="5" t="s">
        <v>1336</v>
      </c>
      <c r="G3109" s="6" t="s">
        <v>695</v>
      </c>
      <c r="H3109" s="6" t="s">
        <v>68</v>
      </c>
      <c r="I3109" s="6" t="s">
        <v>1377</v>
      </c>
      <c r="J3109" s="6">
        <v>176050</v>
      </c>
      <c r="K3109" s="7" t="s">
        <v>4092</v>
      </c>
      <c r="L3109" s="8">
        <v>118795</v>
      </c>
      <c r="M3109" s="8" t="str">
        <f t="shared" si="252"/>
        <v>PEN</v>
      </c>
      <c r="N3109" s="13"/>
      <c r="O3109" s="13">
        <v>937.81</v>
      </c>
      <c r="P3109" s="3">
        <f t="shared" si="253"/>
        <v>0</v>
      </c>
      <c r="Q3109" s="3">
        <f t="shared" si="254"/>
        <v>937.81</v>
      </c>
      <c r="R3109" s="3">
        <f t="shared" si="250"/>
        <v>38629.979999999996</v>
      </c>
      <c r="S3109" s="24" t="s">
        <v>1334</v>
      </c>
      <c r="T3109" s="24" t="s">
        <v>1334</v>
      </c>
      <c r="U3109" s="79" t="s">
        <v>4093</v>
      </c>
      <c r="V3109" s="25">
        <f>IFERROR(VLOOKUP(BCP_Soles[[#This Row],[destinatario]],CHOOSE({1,2},Clientes_Proveedores[Razon Social],Clientes_Proveedores[Ruc / Dni]),2,0),"")</f>
        <v>20127765279</v>
      </c>
      <c r="W3109" s="25"/>
      <c r="X3109" s="25"/>
      <c r="Y3109" s="25"/>
      <c r="Z3109" s="77"/>
      <c r="AA3109" s="3" t="str">
        <f>IF(BCP_Soles[[#This Row],[fecha]]&gt;0,TEXT(BCP_Soles[[#This Row],[fecha]],"mmmm"),0)</f>
        <v>Agosto</v>
      </c>
    </row>
    <row r="3110" spans="1:27" ht="24" x14ac:dyDescent="0.3">
      <c r="A3110" s="2">
        <f>IF(BCP_Soles[[#This Row],[tipo_registro]]="R",COUNTIFS($C$1:$C3109,"R")+1,A3109)</f>
        <v>2131</v>
      </c>
      <c r="B3110" s="19" t="str">
        <f t="shared" si="251"/>
        <v>B-BCP - Soles</v>
      </c>
      <c r="C3110" s="3" t="s">
        <v>1330</v>
      </c>
      <c r="D3110" s="14">
        <v>45874</v>
      </c>
      <c r="E3110" s="5" t="s">
        <v>1338</v>
      </c>
      <c r="F3110" s="5" t="s">
        <v>1336</v>
      </c>
      <c r="G3110" s="6" t="s">
        <v>583</v>
      </c>
      <c r="H3110" s="6" t="s">
        <v>68</v>
      </c>
      <c r="I3110" s="6" t="s">
        <v>1376</v>
      </c>
      <c r="J3110" s="6">
        <v>865</v>
      </c>
      <c r="K3110" s="7" t="s">
        <v>4094</v>
      </c>
      <c r="L3110" s="8">
        <v>1226603</v>
      </c>
      <c r="M3110" s="8" t="str">
        <f t="shared" si="252"/>
        <v>PEN</v>
      </c>
      <c r="N3110" s="13"/>
      <c r="O3110" s="13">
        <v>405</v>
      </c>
      <c r="P3110" s="3">
        <f t="shared" si="253"/>
        <v>0</v>
      </c>
      <c r="Q3110" s="3">
        <f t="shared" si="254"/>
        <v>405</v>
      </c>
      <c r="R3110" s="3">
        <f t="shared" si="250"/>
        <v>38224.979999999996</v>
      </c>
      <c r="S3110" s="24" t="s">
        <v>1334</v>
      </c>
      <c r="T3110" s="24" t="s">
        <v>1334</v>
      </c>
      <c r="U3110" s="79" t="s">
        <v>4095</v>
      </c>
      <c r="V3110" s="25">
        <f>IFERROR(VLOOKUP(BCP_Soles[[#This Row],[destinatario]],CHOOSE({1,2},Clientes_Proveedores[Razon Social],Clientes_Proveedores[Ruc / Dni]),2,0),"")</f>
        <v>20609155303</v>
      </c>
      <c r="W3110" s="25"/>
      <c r="X3110" s="25"/>
      <c r="Y3110" s="25"/>
      <c r="Z3110" s="77"/>
      <c r="AA3110" s="3" t="str">
        <f>IF(BCP_Soles[[#This Row],[fecha]]&gt;0,TEXT(BCP_Soles[[#This Row],[fecha]],"mmmm"),0)</f>
        <v>Agosto</v>
      </c>
    </row>
    <row r="3111" spans="1:27" ht="24" x14ac:dyDescent="0.3">
      <c r="A3111" s="2">
        <f>IF(BCP_Soles[[#This Row],[tipo_registro]]="R",COUNTIFS($C$1:$C3110,"R")+1,A3110)</f>
        <v>2132</v>
      </c>
      <c r="B3111" s="19" t="str">
        <f t="shared" si="251"/>
        <v>B-BCP - Soles</v>
      </c>
      <c r="C3111" s="3" t="s">
        <v>1330</v>
      </c>
      <c r="D3111" s="14">
        <v>45874</v>
      </c>
      <c r="E3111" s="5" t="s">
        <v>1338</v>
      </c>
      <c r="F3111" s="5" t="s">
        <v>1336</v>
      </c>
      <c r="G3111" s="6" t="s">
        <v>583</v>
      </c>
      <c r="H3111" s="6" t="s">
        <v>68</v>
      </c>
      <c r="I3111" s="6" t="s">
        <v>1376</v>
      </c>
      <c r="J3111" s="6">
        <v>864</v>
      </c>
      <c r="K3111" s="7" t="s">
        <v>4096</v>
      </c>
      <c r="L3111" s="8">
        <v>1227086</v>
      </c>
      <c r="M3111" s="8" t="str">
        <f t="shared" si="252"/>
        <v>PEN</v>
      </c>
      <c r="N3111" s="13"/>
      <c r="O3111" s="13">
        <v>3558.8</v>
      </c>
      <c r="P3111" s="3">
        <f t="shared" si="253"/>
        <v>0</v>
      </c>
      <c r="Q3111" s="3">
        <f t="shared" si="254"/>
        <v>3558.8</v>
      </c>
      <c r="R3111" s="3">
        <f t="shared" si="250"/>
        <v>34666.179999999993</v>
      </c>
      <c r="S3111" s="24" t="s">
        <v>1334</v>
      </c>
      <c r="T3111" s="24" t="s">
        <v>1334</v>
      </c>
      <c r="U3111" s="79" t="s">
        <v>4097</v>
      </c>
      <c r="V3111" s="25">
        <f>IFERROR(VLOOKUP(BCP_Soles[[#This Row],[destinatario]],CHOOSE({1,2},Clientes_Proveedores[Razon Social],Clientes_Proveedores[Ruc / Dni]),2,0),"")</f>
        <v>20609155303</v>
      </c>
      <c r="W3111" s="25"/>
      <c r="X3111" s="25"/>
      <c r="Y3111" s="25"/>
      <c r="Z3111" s="77"/>
      <c r="AA3111" s="3" t="str">
        <f>IF(BCP_Soles[[#This Row],[fecha]]&gt;0,TEXT(BCP_Soles[[#This Row],[fecha]],"mmmm"),0)</f>
        <v>Agosto</v>
      </c>
    </row>
    <row r="3112" spans="1:27" ht="24" x14ac:dyDescent="0.3">
      <c r="A3112" s="2">
        <f>IF(BCP_Soles[[#This Row],[tipo_registro]]="R",COUNTIFS($C$1:$C3111,"R")+1,A3111)</f>
        <v>2133</v>
      </c>
      <c r="B3112" s="19" t="str">
        <f t="shared" si="251"/>
        <v>B-BCP - Soles</v>
      </c>
      <c r="C3112" s="3" t="s">
        <v>1330</v>
      </c>
      <c r="D3112" s="14">
        <v>45874</v>
      </c>
      <c r="E3112" s="5" t="s">
        <v>1338</v>
      </c>
      <c r="F3112" s="5" t="s">
        <v>1336</v>
      </c>
      <c r="G3112" s="6" t="s">
        <v>471</v>
      </c>
      <c r="H3112" s="6" t="s">
        <v>68</v>
      </c>
      <c r="I3112" s="6" t="s">
        <v>1376</v>
      </c>
      <c r="J3112" s="6">
        <v>419</v>
      </c>
      <c r="K3112" s="7" t="s">
        <v>4098</v>
      </c>
      <c r="L3112" s="8">
        <v>1225148</v>
      </c>
      <c r="M3112" s="8" t="str">
        <f t="shared" si="252"/>
        <v>PEN</v>
      </c>
      <c r="N3112" s="13"/>
      <c r="O3112" s="13">
        <v>1926</v>
      </c>
      <c r="P3112" s="3">
        <f t="shared" si="253"/>
        <v>0</v>
      </c>
      <c r="Q3112" s="3">
        <f t="shared" si="254"/>
        <v>1926</v>
      </c>
      <c r="R3112" s="3">
        <f t="shared" si="250"/>
        <v>32740.179999999993</v>
      </c>
      <c r="S3112" s="24" t="s">
        <v>1334</v>
      </c>
      <c r="T3112" s="24" t="s">
        <v>1334</v>
      </c>
      <c r="U3112" s="79" t="s">
        <v>4099</v>
      </c>
      <c r="V3112" s="25">
        <f>IFERROR(VLOOKUP(BCP_Soles[[#This Row],[destinatario]],CHOOSE({1,2},Clientes_Proveedores[Razon Social],Clientes_Proveedores[Ruc / Dni]),2,0),"")</f>
        <v>20601883270</v>
      </c>
      <c r="W3112" s="25"/>
      <c r="X3112" s="25"/>
      <c r="Y3112" s="25"/>
      <c r="Z3112" s="77"/>
      <c r="AA3112" s="3" t="str">
        <f>IF(BCP_Soles[[#This Row],[fecha]]&gt;0,TEXT(BCP_Soles[[#This Row],[fecha]],"mmmm"),0)</f>
        <v>Agosto</v>
      </c>
    </row>
    <row r="3113" spans="1:27" x14ac:dyDescent="0.3">
      <c r="A3113" s="2">
        <f>IF(BCP_Soles[[#This Row],[tipo_registro]]="R",COUNTIFS($C$1:$C3112,"R")+1,A3112)</f>
        <v>2134</v>
      </c>
      <c r="B3113" s="19" t="str">
        <f t="shared" si="251"/>
        <v>B-BCP - Soles</v>
      </c>
      <c r="C3113" s="3" t="s">
        <v>1330</v>
      </c>
      <c r="D3113" s="14">
        <v>45874</v>
      </c>
      <c r="E3113" s="5" t="s">
        <v>1338</v>
      </c>
      <c r="F3113" s="5" t="s">
        <v>1336</v>
      </c>
      <c r="G3113" s="6" t="s">
        <v>696</v>
      </c>
      <c r="H3113" s="6"/>
      <c r="I3113" s="6"/>
      <c r="J3113" s="6"/>
      <c r="K3113" s="7" t="s">
        <v>4100</v>
      </c>
      <c r="L3113" s="8">
        <v>8939851</v>
      </c>
      <c r="M3113" s="8" t="str">
        <f t="shared" si="252"/>
        <v>PEN</v>
      </c>
      <c r="N3113" s="13"/>
      <c r="O3113" s="13">
        <v>1676.6</v>
      </c>
      <c r="P3113" s="3">
        <f t="shared" si="253"/>
        <v>0</v>
      </c>
      <c r="Q3113" s="3">
        <f t="shared" si="254"/>
        <v>1676.6</v>
      </c>
      <c r="R3113" s="3">
        <f t="shared" si="250"/>
        <v>31063.579999999994</v>
      </c>
      <c r="S3113" s="24" t="s">
        <v>1334</v>
      </c>
      <c r="T3113" s="24" t="s">
        <v>1334</v>
      </c>
      <c r="U3113" s="79" t="s">
        <v>4101</v>
      </c>
      <c r="V3113" s="25">
        <f>IFERROR(VLOOKUP(BCP_Soles[[#This Row],[destinatario]],CHOOSE({1,2},Clientes_Proveedores[Razon Social],Clientes_Proveedores[Ruc / Dni]),2,0),"")</f>
        <v>0</v>
      </c>
      <c r="W3113" s="25"/>
      <c r="X3113" s="25"/>
      <c r="Y3113" s="25"/>
      <c r="Z3113" s="77"/>
      <c r="AA3113" s="3" t="str">
        <f>IF(BCP_Soles[[#This Row],[fecha]]&gt;0,TEXT(BCP_Soles[[#This Row],[fecha]],"mmmm"),0)</f>
        <v>Agosto</v>
      </c>
    </row>
    <row r="3114" spans="1:27" ht="24" x14ac:dyDescent="0.3">
      <c r="A3114" s="2">
        <f>IF(BCP_Soles[[#This Row],[tipo_registro]]="R",COUNTIFS($C$1:$C3113,"R")+1,A3113)</f>
        <v>2134</v>
      </c>
      <c r="B3114" s="19" t="str">
        <f t="shared" si="251"/>
        <v>B-BCP - Soles</v>
      </c>
      <c r="C3114" s="3" t="s">
        <v>1352</v>
      </c>
      <c r="D3114" s="14">
        <v>45874</v>
      </c>
      <c r="E3114" s="5"/>
      <c r="F3114" s="5"/>
      <c r="G3114" s="6" t="s">
        <v>692</v>
      </c>
      <c r="H3114" s="6" t="s">
        <v>68</v>
      </c>
      <c r="I3114" s="6" t="s">
        <v>1376</v>
      </c>
      <c r="J3114" s="6">
        <v>16</v>
      </c>
      <c r="K3114" s="7" t="s">
        <v>4100</v>
      </c>
      <c r="L3114" s="8">
        <v>8939851</v>
      </c>
      <c r="M3114" s="8" t="str">
        <f t="shared" si="252"/>
        <v>PEN</v>
      </c>
      <c r="N3114" s="13">
        <v>510</v>
      </c>
      <c r="O3114" s="13"/>
      <c r="P3114" s="3">
        <f t="shared" si="253"/>
        <v>0</v>
      </c>
      <c r="Q3114" s="3">
        <f t="shared" si="254"/>
        <v>0</v>
      </c>
      <c r="R3114" s="3">
        <f t="shared" si="250"/>
        <v>31063.579999999994</v>
      </c>
      <c r="S3114" s="24" t="s">
        <v>1334</v>
      </c>
      <c r="T3114" s="24" t="s">
        <v>1334</v>
      </c>
      <c r="U3114" s="79"/>
      <c r="V3114" s="25">
        <f>IFERROR(VLOOKUP(BCP_Soles[[#This Row],[destinatario]],CHOOSE({1,2},Clientes_Proveedores[Razon Social],Clientes_Proveedores[Ruc / Dni]),2,0),"")</f>
        <v>10736055631</v>
      </c>
      <c r="W3114" s="25"/>
      <c r="X3114" s="25"/>
      <c r="Y3114" s="25"/>
      <c r="Z3114" s="77"/>
      <c r="AA3114" s="3" t="str">
        <f>IF(BCP_Soles[[#This Row],[fecha]]&gt;0,TEXT(BCP_Soles[[#This Row],[fecha]],"mmmm"),0)</f>
        <v>Agosto</v>
      </c>
    </row>
    <row r="3115" spans="1:27" ht="24" x14ac:dyDescent="0.3">
      <c r="A3115" s="2">
        <f>IF(BCP_Soles[[#This Row],[tipo_registro]]="R",COUNTIFS($C$1:$C3114,"R")+1,A3114)</f>
        <v>2134</v>
      </c>
      <c r="B3115" s="19" t="str">
        <f t="shared" si="251"/>
        <v>B-BCP - Soles</v>
      </c>
      <c r="C3115" s="3" t="s">
        <v>1352</v>
      </c>
      <c r="D3115" s="14">
        <v>45874</v>
      </c>
      <c r="E3115" s="5"/>
      <c r="F3115" s="5"/>
      <c r="G3115" s="6" t="s">
        <v>537</v>
      </c>
      <c r="H3115" s="6" t="s">
        <v>68</v>
      </c>
      <c r="I3115" s="6" t="s">
        <v>1376</v>
      </c>
      <c r="J3115" s="6">
        <v>896</v>
      </c>
      <c r="K3115" s="7" t="s">
        <v>4100</v>
      </c>
      <c r="L3115" s="8">
        <v>8939851</v>
      </c>
      <c r="M3115" s="8" t="str">
        <f t="shared" si="252"/>
        <v>PEN</v>
      </c>
      <c r="N3115" s="13">
        <v>666</v>
      </c>
      <c r="O3115" s="13"/>
      <c r="P3115" s="3">
        <f t="shared" si="253"/>
        <v>0</v>
      </c>
      <c r="Q3115" s="3">
        <f t="shared" si="254"/>
        <v>0</v>
      </c>
      <c r="R3115" s="3">
        <f t="shared" si="250"/>
        <v>31063.579999999994</v>
      </c>
      <c r="S3115" s="24" t="s">
        <v>1334</v>
      </c>
      <c r="T3115" s="24" t="s">
        <v>1334</v>
      </c>
      <c r="U3115" s="79"/>
      <c r="V3115" s="25">
        <f>IFERROR(VLOOKUP(BCP_Soles[[#This Row],[destinatario]],CHOOSE({1,2},Clientes_Proveedores[Razon Social],Clientes_Proveedores[Ruc / Dni]),2,0),"")</f>
        <v>20605447814</v>
      </c>
      <c r="W3115" s="25"/>
      <c r="X3115" s="25"/>
      <c r="Y3115" s="25"/>
      <c r="Z3115" s="77"/>
      <c r="AA3115" s="3" t="str">
        <f>IF(BCP_Soles[[#This Row],[fecha]]&gt;0,TEXT(BCP_Soles[[#This Row],[fecha]],"mmmm"),0)</f>
        <v>Agosto</v>
      </c>
    </row>
    <row r="3116" spans="1:27" x14ac:dyDescent="0.3">
      <c r="A3116" s="2">
        <f>IF(BCP_Soles[[#This Row],[tipo_registro]]="R",COUNTIFS($C$1:$C3115,"R")+1,A3115)</f>
        <v>2134</v>
      </c>
      <c r="B3116" s="19" t="str">
        <f t="shared" si="251"/>
        <v>B-BCP - Soles</v>
      </c>
      <c r="C3116" s="3" t="s">
        <v>1352</v>
      </c>
      <c r="D3116" s="14">
        <v>45874</v>
      </c>
      <c r="E3116" s="5"/>
      <c r="F3116" s="5"/>
      <c r="G3116" s="6" t="s">
        <v>522</v>
      </c>
      <c r="H3116" s="6" t="s">
        <v>68</v>
      </c>
      <c r="I3116" s="6" t="s">
        <v>1376</v>
      </c>
      <c r="J3116" s="6">
        <v>4055</v>
      </c>
      <c r="K3116" s="7" t="s">
        <v>4100</v>
      </c>
      <c r="L3116" s="8">
        <v>8939851</v>
      </c>
      <c r="M3116" s="8" t="str">
        <f t="shared" si="252"/>
        <v>PEN</v>
      </c>
      <c r="N3116" s="13">
        <v>200.6</v>
      </c>
      <c r="O3116" s="13"/>
      <c r="P3116" s="3">
        <f t="shared" si="253"/>
        <v>0</v>
      </c>
      <c r="Q3116" s="3">
        <f t="shared" si="254"/>
        <v>0</v>
      </c>
      <c r="R3116" s="3">
        <f t="shared" si="250"/>
        <v>31063.579999999994</v>
      </c>
      <c r="S3116" s="24" t="s">
        <v>1334</v>
      </c>
      <c r="T3116" s="24" t="s">
        <v>1334</v>
      </c>
      <c r="U3116" s="79"/>
      <c r="V3116" s="25">
        <f>IFERROR(VLOOKUP(BCP_Soles[[#This Row],[destinatario]],CHOOSE({1,2},Clientes_Proveedores[Razon Social],Clientes_Proveedores[Ruc / Dni]),2,0),"")</f>
        <v>20603974817</v>
      </c>
      <c r="W3116" s="25"/>
      <c r="X3116" s="25"/>
      <c r="Y3116" s="25"/>
      <c r="Z3116" s="77"/>
      <c r="AA3116" s="3" t="str">
        <f>IF(BCP_Soles[[#This Row],[fecha]]&gt;0,TEXT(BCP_Soles[[#This Row],[fecha]],"mmmm"),0)</f>
        <v>Agosto</v>
      </c>
    </row>
    <row r="3117" spans="1:27" ht="24" x14ac:dyDescent="0.3">
      <c r="A3117" s="2">
        <f>IF(BCP_Soles[[#This Row],[tipo_registro]]="R",COUNTIFS($C$1:$C3116,"R")+1,A3116)</f>
        <v>2134</v>
      </c>
      <c r="B3117" s="19" t="str">
        <f t="shared" si="251"/>
        <v>B-BCP - Soles</v>
      </c>
      <c r="C3117" s="3" t="s">
        <v>1352</v>
      </c>
      <c r="D3117" s="14">
        <v>45874</v>
      </c>
      <c r="E3117" s="5"/>
      <c r="F3117" s="5"/>
      <c r="G3117" s="6" t="s">
        <v>692</v>
      </c>
      <c r="H3117" s="6" t="s">
        <v>68</v>
      </c>
      <c r="I3117" s="6" t="s">
        <v>1376</v>
      </c>
      <c r="J3117" s="6">
        <v>14</v>
      </c>
      <c r="K3117" s="7" t="s">
        <v>4100</v>
      </c>
      <c r="L3117" s="8">
        <v>8939851</v>
      </c>
      <c r="M3117" s="8" t="str">
        <f t="shared" si="252"/>
        <v>PEN</v>
      </c>
      <c r="N3117" s="13">
        <v>300</v>
      </c>
      <c r="O3117" s="13"/>
      <c r="P3117" s="3">
        <f t="shared" si="253"/>
        <v>0</v>
      </c>
      <c r="Q3117" s="3">
        <f t="shared" si="254"/>
        <v>0</v>
      </c>
      <c r="R3117" s="3">
        <f t="shared" si="250"/>
        <v>31063.579999999994</v>
      </c>
      <c r="S3117" s="24" t="s">
        <v>1334</v>
      </c>
      <c r="T3117" s="24" t="s">
        <v>1334</v>
      </c>
      <c r="U3117" s="79"/>
      <c r="V3117" s="25">
        <f>IFERROR(VLOOKUP(BCP_Soles[[#This Row],[destinatario]],CHOOSE({1,2},Clientes_Proveedores[Razon Social],Clientes_Proveedores[Ruc / Dni]),2,0),"")</f>
        <v>10736055631</v>
      </c>
      <c r="W3117" s="25"/>
      <c r="X3117" s="25"/>
      <c r="Y3117" s="25"/>
      <c r="Z3117" s="77"/>
      <c r="AA3117" s="3" t="str">
        <f>IF(BCP_Soles[[#This Row],[fecha]]&gt;0,TEXT(BCP_Soles[[#This Row],[fecha]],"mmmm"),0)</f>
        <v>Agosto</v>
      </c>
    </row>
    <row r="3118" spans="1:27" x14ac:dyDescent="0.3">
      <c r="A3118" s="2">
        <f>IF(BCP_Soles[[#This Row],[tipo_registro]]="R",COUNTIFS($C$1:$C3117,"R")+1,A3117)</f>
        <v>2135</v>
      </c>
      <c r="B3118" s="19" t="str">
        <f t="shared" si="251"/>
        <v>B-BCP - Soles</v>
      </c>
      <c r="C3118" s="3" t="s">
        <v>1330</v>
      </c>
      <c r="D3118" s="14">
        <v>45874</v>
      </c>
      <c r="E3118" s="5" t="s">
        <v>3190</v>
      </c>
      <c r="F3118" s="5" t="s">
        <v>1336</v>
      </c>
      <c r="G3118" s="6"/>
      <c r="H3118" s="6"/>
      <c r="I3118" s="6"/>
      <c r="J3118" s="6"/>
      <c r="K3118" s="7" t="s">
        <v>4102</v>
      </c>
      <c r="L3118" s="8">
        <v>1011187</v>
      </c>
      <c r="M3118" s="8" t="str">
        <f t="shared" si="252"/>
        <v>PEN</v>
      </c>
      <c r="N3118" s="13"/>
      <c r="O3118" s="13">
        <v>1350</v>
      </c>
      <c r="P3118" s="3">
        <f t="shared" si="253"/>
        <v>0</v>
      </c>
      <c r="Q3118" s="3">
        <f t="shared" si="254"/>
        <v>1350</v>
      </c>
      <c r="R3118" s="3">
        <f t="shared" si="250"/>
        <v>29713.579999999994</v>
      </c>
      <c r="S3118" s="24" t="s">
        <v>1334</v>
      </c>
      <c r="T3118" s="24" t="s">
        <v>1334</v>
      </c>
      <c r="U3118" s="55"/>
      <c r="V3118" s="25" t="str">
        <f>IFERROR(VLOOKUP(BCP_Soles[[#This Row],[destinatario]],CHOOSE({1,2},Clientes_Proveedores[Razon Social],Clientes_Proveedores[Ruc / Dni]),2,0),"")</f>
        <v/>
      </c>
      <c r="W3118" s="25"/>
      <c r="X3118" s="25"/>
      <c r="Y3118" s="25"/>
      <c r="Z3118" s="77"/>
      <c r="AA3118" s="3" t="str">
        <f>IF(BCP_Soles[[#This Row],[fecha]]&gt;0,TEXT(BCP_Soles[[#This Row],[fecha]],"mmmm"),0)</f>
        <v>Agosto</v>
      </c>
    </row>
    <row r="3119" spans="1:27" x14ac:dyDescent="0.3">
      <c r="A3119" s="2">
        <f>IF(BCP_Soles[[#This Row],[tipo_registro]]="R",COUNTIFS($C$1:$C3118,"R")+1,A3118)</f>
        <v>2135</v>
      </c>
      <c r="B3119" s="19" t="str">
        <f t="shared" si="251"/>
        <v>B-BCP - Soles</v>
      </c>
      <c r="C3119" s="3" t="s">
        <v>1352</v>
      </c>
      <c r="D3119" s="14">
        <v>45874</v>
      </c>
      <c r="E3119" s="5" t="s">
        <v>3190</v>
      </c>
      <c r="F3119" s="5"/>
      <c r="G3119" s="6" t="s">
        <v>196</v>
      </c>
      <c r="H3119" s="6" t="s">
        <v>68</v>
      </c>
      <c r="I3119" s="6" t="s">
        <v>2226</v>
      </c>
      <c r="J3119" s="6">
        <v>6665</v>
      </c>
      <c r="K3119" s="7" t="s">
        <v>4102</v>
      </c>
      <c r="L3119" s="8">
        <v>1011187</v>
      </c>
      <c r="M3119" s="8" t="str">
        <f t="shared" si="252"/>
        <v>PEN</v>
      </c>
      <c r="N3119" s="13">
        <v>61</v>
      </c>
      <c r="O3119" s="13"/>
      <c r="P3119" s="3">
        <f t="shared" si="253"/>
        <v>0</v>
      </c>
      <c r="Q3119" s="3">
        <f t="shared" si="254"/>
        <v>0</v>
      </c>
      <c r="R3119" s="3">
        <f t="shared" si="250"/>
        <v>29713.579999999994</v>
      </c>
      <c r="S3119" s="24" t="s">
        <v>1334</v>
      </c>
      <c r="T3119" s="24" t="s">
        <v>1334</v>
      </c>
      <c r="U3119" s="55"/>
      <c r="V3119" s="25">
        <f>IFERROR(VLOOKUP(BCP_Soles[[#This Row],[destinatario]],CHOOSE({1,2},Clientes_Proveedores[Razon Social],Clientes_Proveedores[Ruc / Dni]),2,0),"")</f>
        <v>20100055237</v>
      </c>
      <c r="W3119" s="25"/>
      <c r="X3119" s="25"/>
      <c r="Y3119" s="25"/>
      <c r="Z3119" s="77" t="s">
        <v>3666</v>
      </c>
      <c r="AA3119" s="3" t="str">
        <f>IF(BCP_Soles[[#This Row],[fecha]]&gt;0,TEXT(BCP_Soles[[#This Row],[fecha]],"mmmm"),0)</f>
        <v>Agosto</v>
      </c>
    </row>
    <row r="3120" spans="1:27" x14ac:dyDescent="0.3">
      <c r="A3120" s="2">
        <f>IF(BCP_Soles[[#This Row],[tipo_registro]]="R",COUNTIFS($C$1:$C3119,"R")+1,A3119)</f>
        <v>2135</v>
      </c>
      <c r="B3120" s="19" t="str">
        <f t="shared" si="251"/>
        <v>B-BCP - Soles</v>
      </c>
      <c r="C3120" s="3" t="s">
        <v>1352</v>
      </c>
      <c r="D3120" s="14">
        <v>45874</v>
      </c>
      <c r="E3120" s="5" t="s">
        <v>3190</v>
      </c>
      <c r="F3120" s="5"/>
      <c r="G3120" s="6" t="s">
        <v>196</v>
      </c>
      <c r="H3120" s="6" t="s">
        <v>68</v>
      </c>
      <c r="I3120" s="6" t="s">
        <v>2226</v>
      </c>
      <c r="J3120" s="6">
        <v>6663</v>
      </c>
      <c r="K3120" s="7" t="s">
        <v>4102</v>
      </c>
      <c r="L3120" s="8">
        <v>1011187</v>
      </c>
      <c r="M3120" s="8" t="str">
        <f t="shared" si="252"/>
        <v>PEN</v>
      </c>
      <c r="N3120" s="13">
        <v>2</v>
      </c>
      <c r="O3120" s="13"/>
      <c r="P3120" s="3">
        <f t="shared" si="253"/>
        <v>0</v>
      </c>
      <c r="Q3120" s="3">
        <f t="shared" si="254"/>
        <v>0</v>
      </c>
      <c r="R3120" s="3">
        <f t="shared" si="250"/>
        <v>29713.579999999994</v>
      </c>
      <c r="S3120" s="24" t="s">
        <v>1334</v>
      </c>
      <c r="T3120" s="24" t="s">
        <v>1334</v>
      </c>
      <c r="U3120" s="55"/>
      <c r="V3120" s="25">
        <f>IFERROR(VLOOKUP(BCP_Soles[[#This Row],[destinatario]],CHOOSE({1,2},Clientes_Proveedores[Razon Social],Clientes_Proveedores[Ruc / Dni]),2,0),"")</f>
        <v>20100055237</v>
      </c>
      <c r="W3120" s="25"/>
      <c r="X3120" s="25"/>
      <c r="Y3120" s="25"/>
      <c r="Z3120" s="77" t="s">
        <v>3666</v>
      </c>
      <c r="AA3120" s="3" t="str">
        <f>IF(BCP_Soles[[#This Row],[fecha]]&gt;0,TEXT(BCP_Soles[[#This Row],[fecha]],"mmmm"),0)</f>
        <v>Agosto</v>
      </c>
    </row>
    <row r="3121" spans="1:27" x14ac:dyDescent="0.3">
      <c r="A3121" s="2">
        <f>IF(BCP_Soles[[#This Row],[tipo_registro]]="R",COUNTIFS($C$1:$C3120,"R")+1,A3120)</f>
        <v>2135</v>
      </c>
      <c r="B3121" s="19" t="str">
        <f t="shared" si="251"/>
        <v>B-BCP - Soles</v>
      </c>
      <c r="C3121" s="3" t="s">
        <v>1352</v>
      </c>
      <c r="D3121" s="14">
        <v>45874</v>
      </c>
      <c r="E3121" s="5" t="s">
        <v>3190</v>
      </c>
      <c r="F3121" s="5"/>
      <c r="G3121" s="6" t="s">
        <v>196</v>
      </c>
      <c r="H3121" s="6" t="s">
        <v>68</v>
      </c>
      <c r="I3121" s="6" t="s">
        <v>2226</v>
      </c>
      <c r="J3121" s="6">
        <v>6666</v>
      </c>
      <c r="K3121" s="7" t="s">
        <v>4102</v>
      </c>
      <c r="L3121" s="8">
        <v>1011187</v>
      </c>
      <c r="M3121" s="8" t="str">
        <f t="shared" si="252"/>
        <v>PEN</v>
      </c>
      <c r="N3121" s="13">
        <v>9</v>
      </c>
      <c r="O3121" s="13"/>
      <c r="P3121" s="3">
        <f t="shared" si="253"/>
        <v>0</v>
      </c>
      <c r="Q3121" s="3">
        <f t="shared" si="254"/>
        <v>0</v>
      </c>
      <c r="R3121" s="3">
        <f t="shared" si="250"/>
        <v>29713.579999999994</v>
      </c>
      <c r="S3121" s="24" t="s">
        <v>1334</v>
      </c>
      <c r="T3121" s="24" t="s">
        <v>1334</v>
      </c>
      <c r="U3121" s="55"/>
      <c r="V3121" s="25">
        <f>IFERROR(VLOOKUP(BCP_Soles[[#This Row],[destinatario]],CHOOSE({1,2},Clientes_Proveedores[Razon Social],Clientes_Proveedores[Ruc / Dni]),2,0),"")</f>
        <v>20100055237</v>
      </c>
      <c r="W3121" s="25"/>
      <c r="X3121" s="25"/>
      <c r="Y3121" s="25"/>
      <c r="Z3121" s="77" t="s">
        <v>3666</v>
      </c>
      <c r="AA3121" s="3" t="str">
        <f>IF(BCP_Soles[[#This Row],[fecha]]&gt;0,TEXT(BCP_Soles[[#This Row],[fecha]],"mmmm"),0)</f>
        <v>Agosto</v>
      </c>
    </row>
    <row r="3122" spans="1:27" x14ac:dyDescent="0.3">
      <c r="A3122" s="2">
        <f>IF(BCP_Soles[[#This Row],[tipo_registro]]="R",COUNTIFS($C$1:$C3121,"R")+1,A3121)</f>
        <v>2135</v>
      </c>
      <c r="B3122" s="19" t="str">
        <f t="shared" si="251"/>
        <v>B-BCP - Soles</v>
      </c>
      <c r="C3122" s="3" t="s">
        <v>1352</v>
      </c>
      <c r="D3122" s="14">
        <v>45874</v>
      </c>
      <c r="E3122" s="5" t="s">
        <v>3190</v>
      </c>
      <c r="F3122" s="5"/>
      <c r="G3122" s="6" t="s">
        <v>196</v>
      </c>
      <c r="H3122" s="6" t="s">
        <v>68</v>
      </c>
      <c r="I3122" s="6" t="s">
        <v>2226</v>
      </c>
      <c r="J3122" s="6">
        <v>6667</v>
      </c>
      <c r="K3122" s="7" t="s">
        <v>4102</v>
      </c>
      <c r="L3122" s="8">
        <v>1011187</v>
      </c>
      <c r="M3122" s="8" t="str">
        <f t="shared" si="252"/>
        <v>PEN</v>
      </c>
      <c r="N3122" s="13">
        <v>108</v>
      </c>
      <c r="O3122" s="13"/>
      <c r="P3122" s="3">
        <f t="shared" si="253"/>
        <v>0</v>
      </c>
      <c r="Q3122" s="3">
        <f t="shared" si="254"/>
        <v>0</v>
      </c>
      <c r="R3122" s="3">
        <f t="shared" si="250"/>
        <v>29713.579999999994</v>
      </c>
      <c r="S3122" s="24" t="s">
        <v>1334</v>
      </c>
      <c r="T3122" s="24" t="s">
        <v>1334</v>
      </c>
      <c r="U3122" s="55"/>
      <c r="V3122" s="25">
        <f>IFERROR(VLOOKUP(BCP_Soles[[#This Row],[destinatario]],CHOOSE({1,2},Clientes_Proveedores[Razon Social],Clientes_Proveedores[Ruc / Dni]),2,0),"")</f>
        <v>20100055237</v>
      </c>
      <c r="W3122" s="25"/>
      <c r="X3122" s="25"/>
      <c r="Y3122" s="25"/>
      <c r="Z3122" s="77" t="s">
        <v>3666</v>
      </c>
      <c r="AA3122" s="3" t="str">
        <f>IF(BCP_Soles[[#This Row],[fecha]]&gt;0,TEXT(BCP_Soles[[#This Row],[fecha]],"mmmm"),0)</f>
        <v>Agosto</v>
      </c>
    </row>
    <row r="3123" spans="1:27" x14ac:dyDescent="0.3">
      <c r="A3123" s="2">
        <f>IF(BCP_Soles[[#This Row],[tipo_registro]]="R",COUNTIFS($C$1:$C3122,"R")+1,A3122)</f>
        <v>2135</v>
      </c>
      <c r="B3123" s="19" t="str">
        <f t="shared" si="251"/>
        <v>B-BCP - Soles</v>
      </c>
      <c r="C3123" s="3" t="s">
        <v>1352</v>
      </c>
      <c r="D3123" s="14">
        <v>45874</v>
      </c>
      <c r="E3123" s="5" t="s">
        <v>3190</v>
      </c>
      <c r="F3123" s="5"/>
      <c r="G3123" s="6" t="s">
        <v>196</v>
      </c>
      <c r="H3123" s="6" t="s">
        <v>68</v>
      </c>
      <c r="I3123" s="6" t="s">
        <v>2226</v>
      </c>
      <c r="J3123" s="6">
        <v>6662</v>
      </c>
      <c r="K3123" s="7" t="s">
        <v>4102</v>
      </c>
      <c r="L3123" s="8">
        <v>1011187</v>
      </c>
      <c r="M3123" s="8" t="str">
        <f t="shared" si="252"/>
        <v>PEN</v>
      </c>
      <c r="N3123" s="13">
        <v>75</v>
      </c>
      <c r="O3123" s="13"/>
      <c r="P3123" s="3">
        <f t="shared" si="253"/>
        <v>0</v>
      </c>
      <c r="Q3123" s="3">
        <f t="shared" si="254"/>
        <v>0</v>
      </c>
      <c r="R3123" s="3">
        <f t="shared" si="250"/>
        <v>29713.579999999994</v>
      </c>
      <c r="S3123" s="24" t="s">
        <v>1334</v>
      </c>
      <c r="T3123" s="24" t="s">
        <v>1334</v>
      </c>
      <c r="U3123" s="55"/>
      <c r="V3123" s="25">
        <f>IFERROR(VLOOKUP(BCP_Soles[[#This Row],[destinatario]],CHOOSE({1,2},Clientes_Proveedores[Razon Social],Clientes_Proveedores[Ruc / Dni]),2,0),"")</f>
        <v>20100055237</v>
      </c>
      <c r="W3123" s="25"/>
      <c r="X3123" s="25"/>
      <c r="Y3123" s="25"/>
      <c r="Z3123" s="77" t="s">
        <v>3666</v>
      </c>
      <c r="AA3123" s="3" t="str">
        <f>IF(BCP_Soles[[#This Row],[fecha]]&gt;0,TEXT(BCP_Soles[[#This Row],[fecha]],"mmmm"),0)</f>
        <v>Agosto</v>
      </c>
    </row>
    <row r="3124" spans="1:27" x14ac:dyDescent="0.3">
      <c r="A3124" s="2">
        <f>IF(BCP_Soles[[#This Row],[tipo_registro]]="R",COUNTIFS($C$1:$C3123,"R")+1,A3123)</f>
        <v>2135</v>
      </c>
      <c r="B3124" s="19" t="str">
        <f t="shared" si="251"/>
        <v>B-BCP - Soles</v>
      </c>
      <c r="C3124" s="3" t="s">
        <v>1352</v>
      </c>
      <c r="D3124" s="14">
        <v>45874</v>
      </c>
      <c r="E3124" s="5" t="s">
        <v>3190</v>
      </c>
      <c r="F3124" s="5"/>
      <c r="G3124" s="6" t="s">
        <v>196</v>
      </c>
      <c r="H3124" s="6" t="s">
        <v>68</v>
      </c>
      <c r="I3124" s="6" t="s">
        <v>2226</v>
      </c>
      <c r="J3124" s="6">
        <v>6661</v>
      </c>
      <c r="K3124" s="7" t="s">
        <v>4102</v>
      </c>
      <c r="L3124" s="8">
        <v>1011187</v>
      </c>
      <c r="M3124" s="8" t="str">
        <f t="shared" si="252"/>
        <v>PEN</v>
      </c>
      <c r="N3124" s="13">
        <v>25</v>
      </c>
      <c r="O3124" s="13"/>
      <c r="P3124" s="3">
        <f t="shared" si="253"/>
        <v>0</v>
      </c>
      <c r="Q3124" s="3">
        <f t="shared" si="254"/>
        <v>0</v>
      </c>
      <c r="R3124" s="3">
        <f t="shared" si="250"/>
        <v>29713.579999999994</v>
      </c>
      <c r="S3124" s="24" t="s">
        <v>1334</v>
      </c>
      <c r="T3124" s="24" t="s">
        <v>1334</v>
      </c>
      <c r="U3124" s="55"/>
      <c r="V3124" s="25">
        <f>IFERROR(VLOOKUP(BCP_Soles[[#This Row],[destinatario]],CHOOSE({1,2},Clientes_Proveedores[Razon Social],Clientes_Proveedores[Ruc / Dni]),2,0),"")</f>
        <v>20100055237</v>
      </c>
      <c r="W3124" s="25"/>
      <c r="X3124" s="25"/>
      <c r="Y3124" s="25"/>
      <c r="Z3124" s="77" t="s">
        <v>3666</v>
      </c>
      <c r="AA3124" s="3" t="str">
        <f>IF(BCP_Soles[[#This Row],[fecha]]&gt;0,TEXT(BCP_Soles[[#This Row],[fecha]],"mmmm"),0)</f>
        <v>Agosto</v>
      </c>
    </row>
    <row r="3125" spans="1:27" ht="24" x14ac:dyDescent="0.3">
      <c r="A3125" s="2">
        <f>IF(BCP_Soles[[#This Row],[tipo_registro]]="R",COUNTIFS($C$1:$C3124,"R")+1,A3124)</f>
        <v>2135</v>
      </c>
      <c r="B3125" s="19" t="str">
        <f t="shared" si="251"/>
        <v>B-BCP - Soles</v>
      </c>
      <c r="C3125" s="3" t="s">
        <v>1352</v>
      </c>
      <c r="D3125" s="14">
        <v>45874</v>
      </c>
      <c r="E3125" s="5" t="s">
        <v>3190</v>
      </c>
      <c r="F3125" s="5"/>
      <c r="G3125" s="6" t="s">
        <v>692</v>
      </c>
      <c r="H3125" s="6" t="s">
        <v>68</v>
      </c>
      <c r="I3125" s="6" t="s">
        <v>1376</v>
      </c>
      <c r="J3125" s="6">
        <v>16</v>
      </c>
      <c r="K3125" s="7" t="s">
        <v>4102</v>
      </c>
      <c r="L3125" s="8">
        <v>1011187</v>
      </c>
      <c r="M3125" s="8" t="str">
        <f t="shared" si="252"/>
        <v>PEN</v>
      </c>
      <c r="N3125" s="13">
        <v>21</v>
      </c>
      <c r="O3125" s="13"/>
      <c r="P3125" s="3">
        <f t="shared" si="253"/>
        <v>0</v>
      </c>
      <c r="Q3125" s="3">
        <f t="shared" si="254"/>
        <v>0</v>
      </c>
      <c r="R3125" s="3">
        <f t="shared" si="250"/>
        <v>29713.579999999994</v>
      </c>
      <c r="S3125" s="24" t="s">
        <v>1334</v>
      </c>
      <c r="T3125" s="24" t="s">
        <v>1334</v>
      </c>
      <c r="U3125" s="55"/>
      <c r="V3125" s="25">
        <f>IFERROR(VLOOKUP(BCP_Soles[[#This Row],[destinatario]],CHOOSE({1,2},Clientes_Proveedores[Razon Social],Clientes_Proveedores[Ruc / Dni]),2,0),"")</f>
        <v>10736055631</v>
      </c>
      <c r="W3125" s="25"/>
      <c r="X3125" s="25"/>
      <c r="Y3125" s="25"/>
      <c r="Z3125" s="77" t="s">
        <v>3666</v>
      </c>
      <c r="AA3125" s="3" t="str">
        <f>IF(BCP_Soles[[#This Row],[fecha]]&gt;0,TEXT(BCP_Soles[[#This Row],[fecha]],"mmmm"),0)</f>
        <v>Agosto</v>
      </c>
    </row>
    <row r="3126" spans="1:27" ht="24" x14ac:dyDescent="0.3">
      <c r="A3126" s="2">
        <f>IF(BCP_Soles[[#This Row],[tipo_registro]]="R",COUNTIFS($C$1:$C3125,"R")+1,A3125)</f>
        <v>2135</v>
      </c>
      <c r="B3126" s="19" t="str">
        <f t="shared" si="251"/>
        <v>B-BCP - Soles</v>
      </c>
      <c r="C3126" s="3" t="s">
        <v>1352</v>
      </c>
      <c r="D3126" s="14">
        <v>45874</v>
      </c>
      <c r="E3126" s="5" t="s">
        <v>3190</v>
      </c>
      <c r="F3126" s="5"/>
      <c r="G3126" s="6" t="s">
        <v>204</v>
      </c>
      <c r="H3126" s="6" t="s">
        <v>68</v>
      </c>
      <c r="I3126" s="6" t="s">
        <v>1390</v>
      </c>
      <c r="J3126" s="6">
        <v>16567</v>
      </c>
      <c r="K3126" s="7" t="s">
        <v>4102</v>
      </c>
      <c r="L3126" s="8">
        <v>1011187</v>
      </c>
      <c r="M3126" s="8" t="str">
        <f t="shared" si="252"/>
        <v>PEN</v>
      </c>
      <c r="N3126" s="13">
        <v>504</v>
      </c>
      <c r="O3126" s="13"/>
      <c r="P3126" s="3">
        <f t="shared" si="253"/>
        <v>0</v>
      </c>
      <c r="Q3126" s="3">
        <f t="shared" si="254"/>
        <v>0</v>
      </c>
      <c r="R3126" s="3">
        <f t="shared" si="250"/>
        <v>29713.579999999994</v>
      </c>
      <c r="S3126" s="24" t="s">
        <v>1334</v>
      </c>
      <c r="T3126" s="24" t="s">
        <v>1334</v>
      </c>
      <c r="U3126" s="55"/>
      <c r="V3126" s="25">
        <f>IFERROR(VLOOKUP(BCP_Soles[[#This Row],[destinatario]],CHOOSE({1,2},Clientes_Proveedores[Razon Social],Clientes_Proveedores[Ruc / Dni]),2,0),"")</f>
        <v>20100192064</v>
      </c>
      <c r="W3126" s="25"/>
      <c r="X3126" s="25"/>
      <c r="Y3126" s="25"/>
      <c r="Z3126" s="77" t="s">
        <v>3666</v>
      </c>
      <c r="AA3126" s="3" t="str">
        <f>IF(BCP_Soles[[#This Row],[fecha]]&gt;0,TEXT(BCP_Soles[[#This Row],[fecha]],"mmmm"),0)</f>
        <v>Agosto</v>
      </c>
    </row>
    <row r="3127" spans="1:27" ht="24" x14ac:dyDescent="0.3">
      <c r="A3127" s="2">
        <f>IF(BCP_Soles[[#This Row],[tipo_registro]]="R",COUNTIFS($C$1:$C3126,"R")+1,A3126)</f>
        <v>2135</v>
      </c>
      <c r="B3127" s="19" t="str">
        <f t="shared" si="251"/>
        <v>B-BCP - Soles</v>
      </c>
      <c r="C3127" s="3" t="s">
        <v>1352</v>
      </c>
      <c r="D3127" s="14">
        <v>45874</v>
      </c>
      <c r="E3127" s="5" t="s">
        <v>3190</v>
      </c>
      <c r="F3127" s="5"/>
      <c r="G3127" s="6" t="s">
        <v>204</v>
      </c>
      <c r="H3127" s="6" t="s">
        <v>68</v>
      </c>
      <c r="I3127" s="6" t="s">
        <v>1390</v>
      </c>
      <c r="J3127" s="6">
        <v>16566</v>
      </c>
      <c r="K3127" s="7" t="s">
        <v>4102</v>
      </c>
      <c r="L3127" s="8">
        <v>1011187</v>
      </c>
      <c r="M3127" s="8" t="str">
        <f t="shared" si="252"/>
        <v>PEN</v>
      </c>
      <c r="N3127" s="13">
        <v>427</v>
      </c>
      <c r="O3127" s="13"/>
      <c r="P3127" s="3">
        <f t="shared" si="253"/>
        <v>0</v>
      </c>
      <c r="Q3127" s="3">
        <f t="shared" si="254"/>
        <v>0</v>
      </c>
      <c r="R3127" s="3">
        <f t="shared" si="250"/>
        <v>29713.579999999994</v>
      </c>
      <c r="S3127" s="24" t="s">
        <v>1334</v>
      </c>
      <c r="T3127" s="24" t="s">
        <v>1334</v>
      </c>
      <c r="U3127" s="55"/>
      <c r="V3127" s="25">
        <f>IFERROR(VLOOKUP(BCP_Soles[[#This Row],[destinatario]],CHOOSE({1,2},Clientes_Proveedores[Razon Social],Clientes_Proveedores[Ruc / Dni]),2,0),"")</f>
        <v>20100192064</v>
      </c>
      <c r="W3127" s="25"/>
      <c r="X3127" s="25"/>
      <c r="Y3127" s="25"/>
      <c r="Z3127" s="77" t="s">
        <v>3666</v>
      </c>
      <c r="AA3127" s="3" t="str">
        <f>IF(BCP_Soles[[#This Row],[fecha]]&gt;0,TEXT(BCP_Soles[[#This Row],[fecha]],"mmmm"),0)</f>
        <v>Agosto</v>
      </c>
    </row>
    <row r="3128" spans="1:27" ht="24" x14ac:dyDescent="0.3">
      <c r="A3128" s="2">
        <f>IF(BCP_Soles[[#This Row],[tipo_registro]]="R",COUNTIFS($C$1:$C3127,"R")+1,A3127)</f>
        <v>2135</v>
      </c>
      <c r="B3128" s="19" t="str">
        <f t="shared" si="251"/>
        <v>B-BCP - Soles</v>
      </c>
      <c r="C3128" s="3" t="s">
        <v>1352</v>
      </c>
      <c r="D3128" s="14">
        <v>45874</v>
      </c>
      <c r="E3128" s="5" t="s">
        <v>3190</v>
      </c>
      <c r="F3128" s="5"/>
      <c r="G3128" s="6" t="s">
        <v>537</v>
      </c>
      <c r="H3128" s="6" t="s">
        <v>68</v>
      </c>
      <c r="I3128" s="6" t="s">
        <v>1376</v>
      </c>
      <c r="J3128" s="6">
        <v>896</v>
      </c>
      <c r="K3128" s="7" t="s">
        <v>4102</v>
      </c>
      <c r="L3128" s="8">
        <v>1011187</v>
      </c>
      <c r="M3128" s="8" t="str">
        <f t="shared" si="252"/>
        <v>PEN</v>
      </c>
      <c r="N3128" s="13">
        <v>118</v>
      </c>
      <c r="O3128" s="13"/>
      <c r="P3128" s="3">
        <f t="shared" si="253"/>
        <v>0</v>
      </c>
      <c r="Q3128" s="3">
        <f t="shared" si="254"/>
        <v>0</v>
      </c>
      <c r="R3128" s="3">
        <f t="shared" si="250"/>
        <v>29713.579999999994</v>
      </c>
      <c r="S3128" s="24" t="s">
        <v>1334</v>
      </c>
      <c r="T3128" s="24" t="s">
        <v>1334</v>
      </c>
      <c r="U3128" s="55"/>
      <c r="V3128" s="25">
        <f>IFERROR(VLOOKUP(BCP_Soles[[#This Row],[destinatario]],CHOOSE({1,2},Clientes_Proveedores[Razon Social],Clientes_Proveedores[Ruc / Dni]),2,0),"")</f>
        <v>20605447814</v>
      </c>
      <c r="W3128" s="25"/>
      <c r="X3128" s="25"/>
      <c r="Y3128" s="25"/>
      <c r="Z3128" s="77" t="s">
        <v>3666</v>
      </c>
      <c r="AA3128" s="3" t="str">
        <f>IF(BCP_Soles[[#This Row],[fecha]]&gt;0,TEXT(BCP_Soles[[#This Row],[fecha]],"mmmm"),0)</f>
        <v>Agosto</v>
      </c>
    </row>
    <row r="3129" spans="1:27" ht="24" x14ac:dyDescent="0.3">
      <c r="A3129" s="2">
        <f>IF(BCP_Soles[[#This Row],[tipo_registro]]="R",COUNTIFS($C$1:$C3128,"R")+1,A3128)</f>
        <v>2136</v>
      </c>
      <c r="B3129" s="19" t="str">
        <f t="shared" si="251"/>
        <v>B-BCP - Soles</v>
      </c>
      <c r="C3129" s="3" t="s">
        <v>1330</v>
      </c>
      <c r="D3129" s="14">
        <v>45874</v>
      </c>
      <c r="E3129" s="5" t="s">
        <v>1335</v>
      </c>
      <c r="F3129" s="5" t="s">
        <v>1336</v>
      </c>
      <c r="G3129" s="6" t="s">
        <v>1060</v>
      </c>
      <c r="H3129" s="6" t="s">
        <v>68</v>
      </c>
      <c r="I3129" s="6" t="s">
        <v>1397</v>
      </c>
      <c r="J3129" s="6">
        <v>35455361</v>
      </c>
      <c r="K3129" s="7" t="s">
        <v>1400</v>
      </c>
      <c r="L3129" s="8">
        <v>776</v>
      </c>
      <c r="M3129" s="8" t="str">
        <f t="shared" si="252"/>
        <v>PEN</v>
      </c>
      <c r="N3129" s="13"/>
      <c r="O3129" s="13">
        <v>10</v>
      </c>
      <c r="P3129" s="3">
        <f t="shared" si="253"/>
        <v>0</v>
      </c>
      <c r="Q3129" s="3">
        <f t="shared" si="254"/>
        <v>10</v>
      </c>
      <c r="R3129" s="3">
        <f t="shared" si="250"/>
        <v>29703.579999999994</v>
      </c>
      <c r="S3129" s="24" t="s">
        <v>1334</v>
      </c>
      <c r="T3129" s="24" t="s">
        <v>1334</v>
      </c>
      <c r="U3129" s="55"/>
      <c r="V3129" s="25">
        <f>IFERROR(VLOOKUP(BCP_Soles[[#This Row],[destinatario]],CHOOSE({1,2},Clientes_Proveedores[Razon Social],Clientes_Proveedores[Ruc / Dni]),2,0),"")</f>
        <v>20100047218</v>
      </c>
      <c r="W3129" s="25"/>
      <c r="X3129" s="25"/>
      <c r="Y3129" s="25"/>
      <c r="Z3129" s="77"/>
      <c r="AA3129" s="3" t="str">
        <f>IF(BCP_Soles[[#This Row],[fecha]]&gt;0,TEXT(BCP_Soles[[#This Row],[fecha]],"mmmm"),0)</f>
        <v>Agosto</v>
      </c>
    </row>
    <row r="3130" spans="1:27" x14ac:dyDescent="0.3">
      <c r="A3130" s="2">
        <f>IF(BCP_Soles[[#This Row],[tipo_registro]]="R",COUNTIFS($C$1:$C3129,"R")+1,A3129)</f>
        <v>2137</v>
      </c>
      <c r="B3130" s="19" t="str">
        <f t="shared" si="251"/>
        <v>B-BCP - Soles</v>
      </c>
      <c r="C3130" s="3" t="s">
        <v>1330</v>
      </c>
      <c r="D3130" s="14">
        <v>45875</v>
      </c>
      <c r="E3130" s="5" t="s">
        <v>1335</v>
      </c>
      <c r="F3130" s="5" t="s">
        <v>1336</v>
      </c>
      <c r="G3130" s="6" t="s">
        <v>1009</v>
      </c>
      <c r="H3130" s="6" t="s">
        <v>64</v>
      </c>
      <c r="I3130" s="6" t="s">
        <v>3673</v>
      </c>
      <c r="J3130" s="6">
        <v>2139</v>
      </c>
      <c r="K3130" s="7" t="s">
        <v>3160</v>
      </c>
      <c r="L3130" s="8"/>
      <c r="M3130" s="8" t="str">
        <f t="shared" si="252"/>
        <v>PEN</v>
      </c>
      <c r="N3130" s="13"/>
      <c r="O3130" s="13">
        <v>0.45</v>
      </c>
      <c r="P3130" s="3">
        <f t="shared" si="253"/>
        <v>0</v>
      </c>
      <c r="Q3130" s="3">
        <f t="shared" si="254"/>
        <v>0.45</v>
      </c>
      <c r="R3130" s="3">
        <f t="shared" si="250"/>
        <v>29703.129999999994</v>
      </c>
      <c r="S3130" s="24" t="s">
        <v>1334</v>
      </c>
      <c r="T3130" s="24" t="s">
        <v>1334</v>
      </c>
      <c r="U3130" s="55"/>
      <c r="V3130" s="25">
        <f>IFERROR(VLOOKUP(BCP_Soles[[#This Row],[destinatario]],CHOOSE({1,2},Clientes_Proveedores[Razon Social],Clientes_Proveedores[Ruc / Dni]),2,0),"")</f>
        <v>11111111</v>
      </c>
      <c r="W3130" s="25"/>
      <c r="X3130" s="25"/>
      <c r="Y3130" s="25"/>
      <c r="Z3130" s="77"/>
      <c r="AA3130" s="3" t="str">
        <f>IF(BCP_Soles[[#This Row],[fecha]]&gt;0,TEXT(BCP_Soles[[#This Row],[fecha]],"mmmm"),0)</f>
        <v>Agosto</v>
      </c>
    </row>
    <row r="3131" spans="1:27" x14ac:dyDescent="0.3">
      <c r="A3131" s="2">
        <f>IF(BCP_Soles[[#This Row],[tipo_registro]]="R",COUNTIFS($C$1:$C3130,"R")+1,A3130)</f>
        <v>2138</v>
      </c>
      <c r="B3131" s="19" t="str">
        <f t="shared" si="251"/>
        <v>B-BCP - Soles</v>
      </c>
      <c r="C3131" s="3" t="s">
        <v>1330</v>
      </c>
      <c r="D3131" s="14">
        <v>45876</v>
      </c>
      <c r="E3131" s="5" t="s">
        <v>346</v>
      </c>
      <c r="F3131" s="5" t="s">
        <v>1303</v>
      </c>
      <c r="G3131" s="6" t="s">
        <v>425</v>
      </c>
      <c r="H3131" s="6"/>
      <c r="I3131" s="6"/>
      <c r="J3131" s="6"/>
      <c r="K3131" s="7" t="s">
        <v>4103</v>
      </c>
      <c r="L3131" s="8">
        <v>9487456</v>
      </c>
      <c r="M3131" s="8" t="str">
        <f t="shared" si="252"/>
        <v>PEN</v>
      </c>
      <c r="N3131" s="13"/>
      <c r="O3131" s="13">
        <v>21782.38</v>
      </c>
      <c r="P3131" s="3">
        <f t="shared" si="253"/>
        <v>21782.38</v>
      </c>
      <c r="Q3131" s="3">
        <f t="shared" si="254"/>
        <v>0</v>
      </c>
      <c r="R3131" s="3">
        <f t="shared" si="250"/>
        <v>51485.509999999995</v>
      </c>
      <c r="S3131" s="24" t="s">
        <v>1334</v>
      </c>
      <c r="T3131" s="24" t="s">
        <v>1334</v>
      </c>
      <c r="U3131" s="55"/>
      <c r="V3131" s="25">
        <f>IFERROR(VLOOKUP(BCP_Soles[[#This Row],[destinatario]],CHOOSE({1,2},Clientes_Proveedores[Razon Social],Clientes_Proveedores[Ruc / Dni]),2,0),"")</f>
        <v>20558226979</v>
      </c>
      <c r="W3131" s="25"/>
      <c r="X3131" s="25"/>
      <c r="Y3131" s="25"/>
      <c r="Z3131" s="77"/>
      <c r="AA3131" s="3" t="str">
        <f>IF(BCP_Soles[[#This Row],[fecha]]&gt;0,TEXT(BCP_Soles[[#This Row],[fecha]],"mmmm"),0)</f>
        <v>Agosto</v>
      </c>
    </row>
    <row r="3132" spans="1:27" x14ac:dyDescent="0.3">
      <c r="A3132" s="2">
        <f>IF(BCP_Soles[[#This Row],[tipo_registro]]="R",COUNTIFS($C$1:$C3131,"R")+1,A3131)</f>
        <v>2138</v>
      </c>
      <c r="B3132" s="19" t="str">
        <f t="shared" si="251"/>
        <v>B-BCP - Soles</v>
      </c>
      <c r="C3132" s="3" t="s">
        <v>1352</v>
      </c>
      <c r="D3132" s="14">
        <v>45876</v>
      </c>
      <c r="E3132" s="5"/>
      <c r="F3132" s="5"/>
      <c r="G3132" s="6" t="s">
        <v>346</v>
      </c>
      <c r="H3132" s="6" t="s">
        <v>68</v>
      </c>
      <c r="I3132" s="6" t="s">
        <v>1784</v>
      </c>
      <c r="J3132" s="6">
        <v>161</v>
      </c>
      <c r="K3132" s="7" t="s">
        <v>4103</v>
      </c>
      <c r="L3132" s="8">
        <v>9487456</v>
      </c>
      <c r="M3132" s="8" t="str">
        <f t="shared" si="252"/>
        <v>PEN</v>
      </c>
      <c r="N3132" s="13">
        <v>454.07</v>
      </c>
      <c r="O3132" s="13"/>
      <c r="P3132" s="3">
        <f t="shared" si="253"/>
        <v>0</v>
      </c>
      <c r="Q3132" s="3">
        <f t="shared" si="254"/>
        <v>0</v>
      </c>
      <c r="R3132" s="3">
        <f t="shared" si="250"/>
        <v>51485.509999999995</v>
      </c>
      <c r="S3132" s="24" t="s">
        <v>1334</v>
      </c>
      <c r="T3132" s="24" t="s">
        <v>1334</v>
      </c>
      <c r="U3132" s="55"/>
      <c r="V3132" s="25">
        <f>IFERROR(VLOOKUP(BCP_Soles[[#This Row],[destinatario]],CHOOSE({1,2},Clientes_Proveedores[Razon Social],Clientes_Proveedores[Ruc / Dni]),2,0),"")</f>
        <v>20505675836</v>
      </c>
      <c r="W3132" s="25"/>
      <c r="X3132" s="25"/>
      <c r="Y3132" s="25"/>
      <c r="Z3132" s="77"/>
      <c r="AA3132" s="3" t="str">
        <f>IF(BCP_Soles[[#This Row],[fecha]]&gt;0,TEXT(BCP_Soles[[#This Row],[fecha]],"mmmm"),0)</f>
        <v>Agosto</v>
      </c>
    </row>
    <row r="3133" spans="1:27" x14ac:dyDescent="0.3">
      <c r="A3133" s="2">
        <f>IF(BCP_Soles[[#This Row],[tipo_registro]]="R",COUNTIFS($C$1:$C3132,"R")+1,A3132)</f>
        <v>2138</v>
      </c>
      <c r="B3133" s="19" t="str">
        <f t="shared" si="251"/>
        <v>B-BCP - Soles</v>
      </c>
      <c r="C3133" s="3" t="s">
        <v>1352</v>
      </c>
      <c r="D3133" s="14">
        <v>45876</v>
      </c>
      <c r="E3133" s="5"/>
      <c r="F3133" s="5"/>
      <c r="G3133" s="6" t="s">
        <v>346</v>
      </c>
      <c r="H3133" s="6" t="s">
        <v>68</v>
      </c>
      <c r="I3133" s="6" t="s">
        <v>1784</v>
      </c>
      <c r="J3133" s="6">
        <v>162</v>
      </c>
      <c r="K3133" s="7" t="s">
        <v>4103</v>
      </c>
      <c r="L3133" s="8">
        <v>9487456</v>
      </c>
      <c r="M3133" s="8" t="str">
        <f t="shared" si="252"/>
        <v>PEN</v>
      </c>
      <c r="N3133" s="13">
        <v>4071.76</v>
      </c>
      <c r="O3133" s="13"/>
      <c r="P3133" s="3">
        <f t="shared" si="253"/>
        <v>0</v>
      </c>
      <c r="Q3133" s="3">
        <f t="shared" si="254"/>
        <v>0</v>
      </c>
      <c r="R3133" s="3">
        <f t="shared" si="250"/>
        <v>51485.509999999995</v>
      </c>
      <c r="S3133" s="24" t="s">
        <v>1334</v>
      </c>
      <c r="T3133" s="24" t="s">
        <v>1334</v>
      </c>
      <c r="U3133" s="55"/>
      <c r="V3133" s="25">
        <f>IFERROR(VLOOKUP(BCP_Soles[[#This Row],[destinatario]],CHOOSE({1,2},Clientes_Proveedores[Razon Social],Clientes_Proveedores[Ruc / Dni]),2,0),"")</f>
        <v>20505675836</v>
      </c>
      <c r="W3133" s="25"/>
      <c r="X3133" s="25"/>
      <c r="Y3133" s="25"/>
      <c r="Z3133" s="77"/>
      <c r="AA3133" s="3" t="str">
        <f>IF(BCP_Soles[[#This Row],[fecha]]&gt;0,TEXT(BCP_Soles[[#This Row],[fecha]],"mmmm"),0)</f>
        <v>Agosto</v>
      </c>
    </row>
    <row r="3134" spans="1:27" x14ac:dyDescent="0.3">
      <c r="A3134" s="2">
        <f>IF(BCP_Soles[[#This Row],[tipo_registro]]="R",COUNTIFS($C$1:$C3133,"R")+1,A3133)</f>
        <v>2138</v>
      </c>
      <c r="B3134" s="19" t="str">
        <f t="shared" si="251"/>
        <v>B-BCP - Soles</v>
      </c>
      <c r="C3134" s="3" t="s">
        <v>1352</v>
      </c>
      <c r="D3134" s="14">
        <v>45876</v>
      </c>
      <c r="E3134" s="5"/>
      <c r="F3134" s="5"/>
      <c r="G3134" s="6" t="s">
        <v>346</v>
      </c>
      <c r="H3134" s="6" t="s">
        <v>68</v>
      </c>
      <c r="I3134" s="6" t="s">
        <v>1784</v>
      </c>
      <c r="J3134" s="6">
        <v>163</v>
      </c>
      <c r="K3134" s="7" t="s">
        <v>4103</v>
      </c>
      <c r="L3134" s="8">
        <v>9487456</v>
      </c>
      <c r="M3134" s="8" t="str">
        <f t="shared" si="252"/>
        <v>PEN</v>
      </c>
      <c r="N3134" s="13">
        <v>3519.7</v>
      </c>
      <c r="O3134" s="13"/>
      <c r="P3134" s="3">
        <f t="shared" si="253"/>
        <v>0</v>
      </c>
      <c r="Q3134" s="3">
        <f t="shared" si="254"/>
        <v>0</v>
      </c>
      <c r="R3134" s="3">
        <f t="shared" si="250"/>
        <v>51485.509999999995</v>
      </c>
      <c r="S3134" s="24" t="s">
        <v>1334</v>
      </c>
      <c r="T3134" s="24" t="s">
        <v>1334</v>
      </c>
      <c r="U3134" s="55"/>
      <c r="V3134" s="25">
        <f>IFERROR(VLOOKUP(BCP_Soles[[#This Row],[destinatario]],CHOOSE({1,2},Clientes_Proveedores[Razon Social],Clientes_Proveedores[Ruc / Dni]),2,0),"")</f>
        <v>20505675836</v>
      </c>
      <c r="W3134" s="25"/>
      <c r="X3134" s="25"/>
      <c r="Y3134" s="25"/>
      <c r="Z3134" s="77"/>
      <c r="AA3134" s="3" t="str">
        <f>IF(BCP_Soles[[#This Row],[fecha]]&gt;0,TEXT(BCP_Soles[[#This Row],[fecha]],"mmmm"),0)</f>
        <v>Agosto</v>
      </c>
    </row>
    <row r="3135" spans="1:27" x14ac:dyDescent="0.3">
      <c r="A3135" s="2">
        <f>IF(BCP_Soles[[#This Row],[tipo_registro]]="R",COUNTIFS($C$1:$C3134,"R")+1,A3134)</f>
        <v>2138</v>
      </c>
      <c r="B3135" s="19" t="str">
        <f t="shared" si="251"/>
        <v>B-BCP - Soles</v>
      </c>
      <c r="C3135" s="3" t="s">
        <v>1352</v>
      </c>
      <c r="D3135" s="14">
        <v>45876</v>
      </c>
      <c r="E3135" s="5"/>
      <c r="F3135" s="5"/>
      <c r="G3135" s="6" t="s">
        <v>346</v>
      </c>
      <c r="H3135" s="6" t="s">
        <v>68</v>
      </c>
      <c r="I3135" s="6" t="s">
        <v>1784</v>
      </c>
      <c r="J3135" s="6">
        <v>164</v>
      </c>
      <c r="K3135" s="7" t="s">
        <v>4103</v>
      </c>
      <c r="L3135" s="8">
        <v>9487456</v>
      </c>
      <c r="M3135" s="8" t="str">
        <f t="shared" si="252"/>
        <v>PEN</v>
      </c>
      <c r="N3135" s="13">
        <v>7571.39</v>
      </c>
      <c r="O3135" s="13"/>
      <c r="P3135" s="3">
        <f t="shared" si="253"/>
        <v>0</v>
      </c>
      <c r="Q3135" s="3">
        <f t="shared" si="254"/>
        <v>0</v>
      </c>
      <c r="R3135" s="3">
        <f t="shared" si="250"/>
        <v>51485.509999999995</v>
      </c>
      <c r="S3135" s="24" t="s">
        <v>1334</v>
      </c>
      <c r="T3135" s="24" t="s">
        <v>1334</v>
      </c>
      <c r="U3135" s="55"/>
      <c r="V3135" s="25">
        <f>IFERROR(VLOOKUP(BCP_Soles[[#This Row],[destinatario]],CHOOSE({1,2},Clientes_Proveedores[Razon Social],Clientes_Proveedores[Ruc / Dni]),2,0),"")</f>
        <v>20505675836</v>
      </c>
      <c r="W3135" s="25"/>
      <c r="X3135" s="25"/>
      <c r="Y3135" s="25"/>
      <c r="Z3135" s="77"/>
      <c r="AA3135" s="3" t="str">
        <f>IF(BCP_Soles[[#This Row],[fecha]]&gt;0,TEXT(BCP_Soles[[#This Row],[fecha]],"mmmm"),0)</f>
        <v>Agosto</v>
      </c>
    </row>
    <row r="3136" spans="1:27" x14ac:dyDescent="0.3">
      <c r="A3136" s="2">
        <f>IF(BCP_Soles[[#This Row],[tipo_registro]]="R",COUNTIFS($C$1:$C3135,"R")+1,A3135)</f>
        <v>2138</v>
      </c>
      <c r="B3136" s="19" t="str">
        <f t="shared" si="251"/>
        <v>B-BCP - Soles</v>
      </c>
      <c r="C3136" s="3" t="s">
        <v>1352</v>
      </c>
      <c r="D3136" s="14">
        <v>45876</v>
      </c>
      <c r="E3136" s="5"/>
      <c r="F3136" s="5"/>
      <c r="G3136" s="6" t="s">
        <v>346</v>
      </c>
      <c r="H3136" s="6" t="s">
        <v>68</v>
      </c>
      <c r="I3136" s="6" t="s">
        <v>1784</v>
      </c>
      <c r="J3136" s="6">
        <v>165</v>
      </c>
      <c r="K3136" s="7" t="s">
        <v>4103</v>
      </c>
      <c r="L3136" s="8">
        <v>9487456</v>
      </c>
      <c r="M3136" s="8" t="str">
        <f t="shared" si="252"/>
        <v>PEN</v>
      </c>
      <c r="N3136" s="13">
        <v>5711.39</v>
      </c>
      <c r="O3136" s="13"/>
      <c r="P3136" s="3">
        <f t="shared" si="253"/>
        <v>0</v>
      </c>
      <c r="Q3136" s="3">
        <f t="shared" si="254"/>
        <v>0</v>
      </c>
      <c r="R3136" s="3">
        <f t="shared" si="250"/>
        <v>51485.509999999995</v>
      </c>
      <c r="S3136" s="24" t="s">
        <v>1334</v>
      </c>
      <c r="T3136" s="24" t="s">
        <v>1334</v>
      </c>
      <c r="U3136" s="55"/>
      <c r="V3136" s="25">
        <f>IFERROR(VLOOKUP(BCP_Soles[[#This Row],[destinatario]],CHOOSE({1,2},Clientes_Proveedores[Razon Social],Clientes_Proveedores[Ruc / Dni]),2,0),"")</f>
        <v>20505675836</v>
      </c>
      <c r="W3136" s="25"/>
      <c r="X3136" s="25"/>
      <c r="Y3136" s="25"/>
      <c r="Z3136" s="77"/>
      <c r="AA3136" s="3" t="str">
        <f>IF(BCP_Soles[[#This Row],[fecha]]&gt;0,TEXT(BCP_Soles[[#This Row],[fecha]],"mmmm"),0)</f>
        <v>Agosto</v>
      </c>
    </row>
    <row r="3137" spans="1:27" x14ac:dyDescent="0.3">
      <c r="A3137" s="2">
        <f>IF(BCP_Soles[[#This Row],[tipo_registro]]="R",COUNTIFS($C$1:$C3136,"R")+1,A3136)</f>
        <v>2138</v>
      </c>
      <c r="B3137" s="19" t="str">
        <f t="shared" si="251"/>
        <v>B-BCP - Soles</v>
      </c>
      <c r="C3137" s="3" t="s">
        <v>1352</v>
      </c>
      <c r="D3137" s="14">
        <v>45876</v>
      </c>
      <c r="E3137" s="5"/>
      <c r="F3137" s="5"/>
      <c r="G3137" s="6" t="s">
        <v>346</v>
      </c>
      <c r="H3137" s="6" t="s">
        <v>68</v>
      </c>
      <c r="I3137" s="6" t="s">
        <v>1784</v>
      </c>
      <c r="J3137" s="6">
        <v>170</v>
      </c>
      <c r="K3137" s="7" t="s">
        <v>4103</v>
      </c>
      <c r="L3137" s="8">
        <v>9487456</v>
      </c>
      <c r="M3137" s="8" t="str">
        <f t="shared" si="252"/>
        <v>PEN</v>
      </c>
      <c r="N3137" s="13">
        <v>454.07</v>
      </c>
      <c r="O3137" s="13"/>
      <c r="P3137" s="3">
        <f t="shared" si="253"/>
        <v>0</v>
      </c>
      <c r="Q3137" s="3">
        <f t="shared" si="254"/>
        <v>0</v>
      </c>
      <c r="R3137" s="3">
        <f t="shared" si="250"/>
        <v>51485.509999999995</v>
      </c>
      <c r="S3137" s="24" t="s">
        <v>1334</v>
      </c>
      <c r="T3137" s="24" t="s">
        <v>1334</v>
      </c>
      <c r="U3137" s="55"/>
      <c r="V3137" s="25">
        <f>IFERROR(VLOOKUP(BCP_Soles[[#This Row],[destinatario]],CHOOSE({1,2},Clientes_Proveedores[Razon Social],Clientes_Proveedores[Ruc / Dni]),2,0),"")</f>
        <v>20505675836</v>
      </c>
      <c r="W3137" s="25"/>
      <c r="X3137" s="25"/>
      <c r="Y3137" s="25"/>
      <c r="Z3137" s="77"/>
      <c r="AA3137" s="3" t="str">
        <f>IF(BCP_Soles[[#This Row],[fecha]]&gt;0,TEXT(BCP_Soles[[#This Row],[fecha]],"mmmm"),0)</f>
        <v>Agosto</v>
      </c>
    </row>
    <row r="3138" spans="1:27" ht="36" x14ac:dyDescent="0.3">
      <c r="A3138" s="2">
        <f>IF(BCP_Soles[[#This Row],[tipo_registro]]="R",COUNTIFS($C$1:$C3137,"R")+1,A3137)</f>
        <v>2139</v>
      </c>
      <c r="B3138" s="19" t="str">
        <f t="shared" si="251"/>
        <v>B-BCP - Soles</v>
      </c>
      <c r="C3138" s="3" t="s">
        <v>1330</v>
      </c>
      <c r="D3138" s="14">
        <v>45876</v>
      </c>
      <c r="E3138" s="5" t="s">
        <v>1628</v>
      </c>
      <c r="F3138" s="5" t="s">
        <v>1303</v>
      </c>
      <c r="G3138" s="6" t="s">
        <v>425</v>
      </c>
      <c r="H3138" s="6" t="s">
        <v>119</v>
      </c>
      <c r="I3138" s="6">
        <v>2</v>
      </c>
      <c r="J3138" s="6">
        <v>823</v>
      </c>
      <c r="K3138" s="7" t="s">
        <v>1356</v>
      </c>
      <c r="L3138" s="8">
        <v>2405906</v>
      </c>
      <c r="M3138" s="8" t="str">
        <f t="shared" si="252"/>
        <v>PEN</v>
      </c>
      <c r="N3138" s="13"/>
      <c r="O3138" s="13">
        <v>2760</v>
      </c>
      <c r="P3138" s="3">
        <f t="shared" si="253"/>
        <v>2760</v>
      </c>
      <c r="Q3138" s="3">
        <f t="shared" si="254"/>
        <v>0</v>
      </c>
      <c r="R3138" s="3">
        <f t="shared" si="250"/>
        <v>54245.509999999995</v>
      </c>
      <c r="S3138" s="24" t="s">
        <v>1334</v>
      </c>
      <c r="T3138" s="24" t="s">
        <v>1334</v>
      </c>
      <c r="U3138" s="55"/>
      <c r="V3138" s="25">
        <f>IFERROR(VLOOKUP(BCP_Soles[[#This Row],[destinatario]],CHOOSE({1,2},Clientes_Proveedores[Razon Social],Clientes_Proveedores[Ruc / Dni]),2,0),"")</f>
        <v>20558226979</v>
      </c>
      <c r="W3138" s="25"/>
      <c r="X3138" s="25"/>
      <c r="Y3138" s="25"/>
      <c r="Z3138" s="77"/>
      <c r="AA3138" s="3" t="str">
        <f>IF(BCP_Soles[[#This Row],[fecha]]&gt;0,TEXT(BCP_Soles[[#This Row],[fecha]],"mmmm"),0)</f>
        <v>Agosto</v>
      </c>
    </row>
    <row r="3139" spans="1:27" ht="24" x14ac:dyDescent="0.3">
      <c r="A3139" s="2">
        <f>IF(BCP_Soles[[#This Row],[tipo_registro]]="R",COUNTIFS($C$1:$C3138,"R")+1,A3138)</f>
        <v>2140</v>
      </c>
      <c r="B3139" s="19" t="str">
        <f t="shared" si="251"/>
        <v>B-BCP - Soles</v>
      </c>
      <c r="C3139" s="3" t="s">
        <v>1330</v>
      </c>
      <c r="D3139" s="14">
        <v>45876</v>
      </c>
      <c r="E3139" s="5" t="s">
        <v>4104</v>
      </c>
      <c r="F3139" s="5" t="s">
        <v>1303</v>
      </c>
      <c r="G3139" s="6" t="s">
        <v>425</v>
      </c>
      <c r="H3139" s="6" t="s">
        <v>119</v>
      </c>
      <c r="I3139" s="6">
        <v>1</v>
      </c>
      <c r="J3139" s="6">
        <v>4587</v>
      </c>
      <c r="K3139" s="7" t="s">
        <v>1356</v>
      </c>
      <c r="L3139" s="8">
        <v>432883</v>
      </c>
      <c r="M3139" s="8" t="str">
        <f t="shared" si="252"/>
        <v>PEN</v>
      </c>
      <c r="N3139" s="13"/>
      <c r="O3139" s="13">
        <v>1000</v>
      </c>
      <c r="P3139" s="3">
        <f t="shared" si="253"/>
        <v>1000</v>
      </c>
      <c r="Q3139" s="3">
        <f t="shared" si="254"/>
        <v>0</v>
      </c>
      <c r="R3139" s="3">
        <f t="shared" si="250"/>
        <v>55245.509999999995</v>
      </c>
      <c r="S3139" s="24" t="s">
        <v>1334</v>
      </c>
      <c r="T3139" s="24" t="s">
        <v>1334</v>
      </c>
      <c r="U3139" s="55"/>
      <c r="V3139" s="25">
        <f>IFERROR(VLOOKUP(BCP_Soles[[#This Row],[destinatario]],CHOOSE({1,2},Clientes_Proveedores[Razon Social],Clientes_Proveedores[Ruc / Dni]),2,0),"")</f>
        <v>20558226979</v>
      </c>
      <c r="W3139" s="25"/>
      <c r="X3139" s="25"/>
      <c r="Y3139" s="25"/>
      <c r="Z3139" s="77"/>
      <c r="AA3139" s="3" t="str">
        <f>IF(BCP_Soles[[#This Row],[fecha]]&gt;0,TEXT(BCP_Soles[[#This Row],[fecha]],"mmmm"),0)</f>
        <v>Agosto</v>
      </c>
    </row>
    <row r="3140" spans="1:27" ht="24" x14ac:dyDescent="0.3">
      <c r="A3140" s="2">
        <f>IF(BCP_Soles[[#This Row],[tipo_registro]]="R",COUNTIFS($C$1:$C3139,"R")+1,A3139)</f>
        <v>2141</v>
      </c>
      <c r="B3140" s="19" t="str">
        <f t="shared" si="251"/>
        <v>B-BCP - Soles</v>
      </c>
      <c r="C3140" s="3" t="s">
        <v>1330</v>
      </c>
      <c r="D3140" s="14">
        <v>45876</v>
      </c>
      <c r="E3140" s="5" t="s">
        <v>309</v>
      </c>
      <c r="F3140" s="5" t="s">
        <v>1303</v>
      </c>
      <c r="G3140" s="6" t="s">
        <v>425</v>
      </c>
      <c r="H3140" s="6" t="s">
        <v>119</v>
      </c>
      <c r="I3140" s="6">
        <v>1</v>
      </c>
      <c r="J3140" s="6">
        <v>3978</v>
      </c>
      <c r="K3140" s="7" t="s">
        <v>1356</v>
      </c>
      <c r="L3140" s="8">
        <v>4618763</v>
      </c>
      <c r="M3140" s="8" t="str">
        <f t="shared" si="252"/>
        <v>PEN</v>
      </c>
      <c r="N3140" s="13"/>
      <c r="O3140" s="13">
        <v>6947.5</v>
      </c>
      <c r="P3140" s="3">
        <f t="shared" si="253"/>
        <v>6947.5</v>
      </c>
      <c r="Q3140" s="3">
        <f t="shared" si="254"/>
        <v>0</v>
      </c>
      <c r="R3140" s="3">
        <f t="shared" si="250"/>
        <v>62193.009999999995</v>
      </c>
      <c r="S3140" s="24" t="s">
        <v>1334</v>
      </c>
      <c r="T3140" s="24" t="s">
        <v>1334</v>
      </c>
      <c r="U3140" s="55"/>
      <c r="V3140" s="25">
        <f>IFERROR(VLOOKUP(BCP_Soles[[#This Row],[destinatario]],CHOOSE({1,2},Clientes_Proveedores[Razon Social],Clientes_Proveedores[Ruc / Dni]),2,0),"")</f>
        <v>20558226979</v>
      </c>
      <c r="W3140" s="25"/>
      <c r="X3140" s="25"/>
      <c r="Y3140" s="25"/>
      <c r="Z3140" s="77"/>
      <c r="AA3140" s="3" t="str">
        <f>IF(BCP_Soles[[#This Row],[fecha]]&gt;0,TEXT(BCP_Soles[[#This Row],[fecha]],"mmmm"),0)</f>
        <v>Agosto</v>
      </c>
    </row>
    <row r="3141" spans="1:27" x14ac:dyDescent="0.3">
      <c r="A3141" s="2">
        <f>IF(BCP_Soles[[#This Row],[tipo_registro]]="R",COUNTIFS($C$1:$C3140,"R")+1,A3140)</f>
        <v>2142</v>
      </c>
      <c r="B3141" s="19" t="str">
        <f t="shared" si="251"/>
        <v>B-BCP - Soles</v>
      </c>
      <c r="C3141" s="3" t="s">
        <v>1330</v>
      </c>
      <c r="D3141" s="14">
        <v>45876</v>
      </c>
      <c r="E3141" s="5" t="s">
        <v>4105</v>
      </c>
      <c r="F3141" s="5" t="s">
        <v>1303</v>
      </c>
      <c r="G3141" s="6" t="s">
        <v>425</v>
      </c>
      <c r="H3141" s="6"/>
      <c r="I3141" s="6"/>
      <c r="J3141" s="6"/>
      <c r="K3141" s="7" t="s">
        <v>1356</v>
      </c>
      <c r="L3141" s="8">
        <v>3158785</v>
      </c>
      <c r="M3141" s="8" t="str">
        <f t="shared" si="252"/>
        <v>PEN</v>
      </c>
      <c r="N3141" s="13"/>
      <c r="O3141" s="13">
        <v>75</v>
      </c>
      <c r="P3141" s="3">
        <f t="shared" si="253"/>
        <v>75</v>
      </c>
      <c r="Q3141" s="3">
        <f t="shared" si="254"/>
        <v>0</v>
      </c>
      <c r="R3141" s="3">
        <f t="shared" si="250"/>
        <v>62268.009999999995</v>
      </c>
      <c r="S3141" s="24"/>
      <c r="T3141" s="24"/>
      <c r="U3141" s="55"/>
      <c r="V3141" s="25">
        <f>IFERROR(VLOOKUP(BCP_Soles[[#This Row],[destinatario]],CHOOSE({1,2},Clientes_Proveedores[Razon Social],Clientes_Proveedores[Ruc / Dni]),2,0),"")</f>
        <v>20558226979</v>
      </c>
      <c r="W3141" s="25"/>
      <c r="X3141" s="25"/>
      <c r="Y3141" s="25"/>
      <c r="Z3141" s="77"/>
      <c r="AA3141" s="3" t="str">
        <f>IF(BCP_Soles[[#This Row],[fecha]]&gt;0,TEXT(BCP_Soles[[#This Row],[fecha]],"mmmm"),0)</f>
        <v>Agosto</v>
      </c>
    </row>
    <row r="3142" spans="1:27" ht="24" x14ac:dyDescent="0.3">
      <c r="A3142" s="2">
        <f>IF(BCP_Soles[[#This Row],[tipo_registro]]="R",COUNTIFS($C$1:$C3141,"R")+1,A3141)</f>
        <v>2143</v>
      </c>
      <c r="B3142" s="19" t="str">
        <f t="shared" si="251"/>
        <v>B-BCP - Soles</v>
      </c>
      <c r="C3142" s="3" t="s">
        <v>1330</v>
      </c>
      <c r="D3142" s="14">
        <v>45876</v>
      </c>
      <c r="E3142" s="5" t="s">
        <v>1338</v>
      </c>
      <c r="F3142" s="5" t="s">
        <v>1336</v>
      </c>
      <c r="G3142" s="6" t="s">
        <v>866</v>
      </c>
      <c r="H3142" s="6" t="s">
        <v>143</v>
      </c>
      <c r="I3142" s="6">
        <v>1</v>
      </c>
      <c r="J3142" s="6">
        <v>532025</v>
      </c>
      <c r="K3142" s="7" t="s">
        <v>4106</v>
      </c>
      <c r="L3142" s="8">
        <v>1105375</v>
      </c>
      <c r="M3142" s="8" t="str">
        <f t="shared" si="252"/>
        <v>PEN</v>
      </c>
      <c r="N3142" s="13"/>
      <c r="O3142" s="13">
        <v>460</v>
      </c>
      <c r="P3142" s="3">
        <f t="shared" si="253"/>
        <v>0</v>
      </c>
      <c r="Q3142" s="3">
        <f t="shared" si="254"/>
        <v>460</v>
      </c>
      <c r="R3142" s="3">
        <f t="shared" si="250"/>
        <v>61808.009999999995</v>
      </c>
      <c r="S3142" s="24" t="s">
        <v>1334</v>
      </c>
      <c r="T3142" s="24" t="s">
        <v>1334</v>
      </c>
      <c r="U3142" s="79" t="s">
        <v>4107</v>
      </c>
      <c r="V3142" s="25">
        <f>IFERROR(VLOOKUP(BCP_Soles[[#This Row],[destinatario]],CHOOSE({1,2},Clientes_Proveedores[Razon Social],Clientes_Proveedores[Ruc / Dni]),2,0),"")</f>
        <v>45921913</v>
      </c>
      <c r="W3142" s="25"/>
      <c r="X3142" s="25"/>
      <c r="Y3142" s="25"/>
      <c r="Z3142" s="77"/>
      <c r="AA3142" s="3" t="str">
        <f>IF(BCP_Soles[[#This Row],[fecha]]&gt;0,TEXT(BCP_Soles[[#This Row],[fecha]],"mmmm"),0)</f>
        <v>Agosto</v>
      </c>
    </row>
    <row r="3143" spans="1:27" ht="48" x14ac:dyDescent="0.3">
      <c r="A3143" s="2">
        <f>IF(BCP_Soles[[#This Row],[tipo_registro]]="R",COUNTIFS($C$1:$C3142,"R")+1,A3142)</f>
        <v>2144</v>
      </c>
      <c r="B3143" s="19" t="str">
        <f t="shared" si="251"/>
        <v>B-BCP - Soles</v>
      </c>
      <c r="C3143" s="3" t="s">
        <v>1330</v>
      </c>
      <c r="D3143" s="14">
        <v>45876</v>
      </c>
      <c r="E3143" s="5" t="s">
        <v>1338</v>
      </c>
      <c r="F3143" s="5" t="s">
        <v>1336</v>
      </c>
      <c r="G3143" s="6" t="s">
        <v>501</v>
      </c>
      <c r="H3143" s="6" t="s">
        <v>68</v>
      </c>
      <c r="I3143" s="6" t="s">
        <v>1650</v>
      </c>
      <c r="J3143" s="6">
        <v>8620</v>
      </c>
      <c r="K3143" s="7" t="s">
        <v>4108</v>
      </c>
      <c r="L3143" s="8">
        <v>1053424</v>
      </c>
      <c r="M3143" s="8" t="str">
        <f t="shared" si="252"/>
        <v>PEN</v>
      </c>
      <c r="N3143" s="13"/>
      <c r="O3143" s="13">
        <v>230</v>
      </c>
      <c r="P3143" s="3">
        <f t="shared" si="253"/>
        <v>0</v>
      </c>
      <c r="Q3143" s="3">
        <f t="shared" si="254"/>
        <v>230</v>
      </c>
      <c r="R3143" s="3">
        <f t="shared" si="250"/>
        <v>61578.009999999995</v>
      </c>
      <c r="S3143" s="24" t="s">
        <v>1334</v>
      </c>
      <c r="T3143" s="24" t="s">
        <v>1334</v>
      </c>
      <c r="U3143" s="79" t="s">
        <v>4109</v>
      </c>
      <c r="V3143" s="25">
        <f>IFERROR(VLOOKUP(BCP_Soles[[#This Row],[destinatario]],CHOOSE({1,2},Clientes_Proveedores[Razon Social],Clientes_Proveedores[Ruc / Dni]),2,0),"")</f>
        <v>20602978274</v>
      </c>
      <c r="W3143" s="25"/>
      <c r="X3143" s="25"/>
      <c r="Y3143" s="25"/>
      <c r="Z3143" s="77"/>
      <c r="AA3143" s="3" t="str">
        <f>IF(BCP_Soles[[#This Row],[fecha]]&gt;0,TEXT(BCP_Soles[[#This Row],[fecha]],"mmmm"),0)</f>
        <v>Agosto</v>
      </c>
    </row>
    <row r="3144" spans="1:27" ht="48" x14ac:dyDescent="0.3">
      <c r="A3144" s="2">
        <f>IF(BCP_Soles[[#This Row],[tipo_registro]]="R",COUNTIFS($C$1:$C3143,"R")+1,A3143)</f>
        <v>2145</v>
      </c>
      <c r="B3144" s="19" t="str">
        <f t="shared" si="251"/>
        <v>B-BCP - Soles</v>
      </c>
      <c r="C3144" s="3" t="s">
        <v>1330</v>
      </c>
      <c r="D3144" s="14">
        <v>45876</v>
      </c>
      <c r="E3144" s="5" t="s">
        <v>1338</v>
      </c>
      <c r="F3144" s="5" t="s">
        <v>1336</v>
      </c>
      <c r="G3144" s="6" t="s">
        <v>501</v>
      </c>
      <c r="H3144" s="6" t="s">
        <v>68</v>
      </c>
      <c r="I3144" s="6" t="s">
        <v>1526</v>
      </c>
      <c r="J3144" s="6">
        <v>11207</v>
      </c>
      <c r="K3144" s="7" t="s">
        <v>4110</v>
      </c>
      <c r="L3144" s="8">
        <v>1053932</v>
      </c>
      <c r="M3144" s="8" t="str">
        <f t="shared" si="252"/>
        <v>PEN</v>
      </c>
      <c r="N3144" s="13"/>
      <c r="O3144" s="13">
        <v>262.89999999999998</v>
      </c>
      <c r="P3144" s="3">
        <f t="shared" si="253"/>
        <v>0</v>
      </c>
      <c r="Q3144" s="3">
        <f t="shared" si="254"/>
        <v>262.89999999999998</v>
      </c>
      <c r="R3144" s="3">
        <f t="shared" si="250"/>
        <v>61315.109999999993</v>
      </c>
      <c r="S3144" s="24" t="s">
        <v>1334</v>
      </c>
      <c r="T3144" s="24" t="s">
        <v>1334</v>
      </c>
      <c r="U3144" s="79" t="s">
        <v>4111</v>
      </c>
      <c r="V3144" s="25">
        <f>IFERROR(VLOOKUP(BCP_Soles[[#This Row],[destinatario]],CHOOSE({1,2},Clientes_Proveedores[Razon Social],Clientes_Proveedores[Ruc / Dni]),2,0),"")</f>
        <v>20602978274</v>
      </c>
      <c r="W3144" s="25"/>
      <c r="X3144" s="25"/>
      <c r="Y3144" s="25"/>
      <c r="Z3144" s="77"/>
      <c r="AA3144" s="3" t="str">
        <f>IF(BCP_Soles[[#This Row],[fecha]]&gt;0,TEXT(BCP_Soles[[#This Row],[fecha]],"mmmm"),0)</f>
        <v>Agosto</v>
      </c>
    </row>
    <row r="3145" spans="1:27" x14ac:dyDescent="0.3">
      <c r="A3145" s="2">
        <f>IF(BCP_Soles[[#This Row],[tipo_registro]]="R",COUNTIFS($C$1:$C3144,"R")+1,A3144)</f>
        <v>2146</v>
      </c>
      <c r="B3145" s="19" t="str">
        <f t="shared" si="251"/>
        <v>B-BCP - Soles</v>
      </c>
      <c r="C3145" s="3" t="s">
        <v>1330</v>
      </c>
      <c r="D3145" s="14">
        <v>45876</v>
      </c>
      <c r="E3145" s="5" t="s">
        <v>1335</v>
      </c>
      <c r="F3145" s="5" t="s">
        <v>1336</v>
      </c>
      <c r="G3145" s="6" t="s">
        <v>1009</v>
      </c>
      <c r="H3145" s="6" t="s">
        <v>64</v>
      </c>
      <c r="I3145" s="6" t="s">
        <v>3673</v>
      </c>
      <c r="J3145" s="6">
        <v>2148</v>
      </c>
      <c r="K3145" s="7" t="s">
        <v>3160</v>
      </c>
      <c r="L3145" s="8"/>
      <c r="M3145" s="8" t="str">
        <f t="shared" si="252"/>
        <v>PEN</v>
      </c>
      <c r="N3145" s="13"/>
      <c r="O3145" s="13">
        <v>1.5</v>
      </c>
      <c r="P3145" s="3">
        <f t="shared" si="253"/>
        <v>0</v>
      </c>
      <c r="Q3145" s="3">
        <f t="shared" si="254"/>
        <v>1.5</v>
      </c>
      <c r="R3145" s="3">
        <f t="shared" ref="R3145:R3208" si="255">IFERROR(IF(F3145="SALDO",P3145,R3144+P3145-Q3145),0)</f>
        <v>61313.609999999993</v>
      </c>
      <c r="S3145" s="24" t="s">
        <v>1334</v>
      </c>
      <c r="T3145" s="24" t="s">
        <v>1334</v>
      </c>
      <c r="U3145" s="79"/>
      <c r="V3145" s="25">
        <f>IFERROR(VLOOKUP(BCP_Soles[[#This Row],[destinatario]],CHOOSE({1,2},Clientes_Proveedores[Razon Social],Clientes_Proveedores[Ruc / Dni]),2,0),"")</f>
        <v>11111111</v>
      </c>
      <c r="W3145" s="25"/>
      <c r="X3145" s="25"/>
      <c r="Y3145" s="25"/>
      <c r="Z3145" s="77"/>
      <c r="AA3145" s="3" t="str">
        <f>IF(BCP_Soles[[#This Row],[fecha]]&gt;0,TEXT(BCP_Soles[[#This Row],[fecha]],"mmmm"),0)</f>
        <v>Agosto</v>
      </c>
    </row>
    <row r="3146" spans="1:27" ht="36" x14ac:dyDescent="0.3">
      <c r="A3146" s="2">
        <f>IF(BCP_Soles[[#This Row],[tipo_registro]]="R",COUNTIFS($C$1:$C3145,"R")+1,A3145)</f>
        <v>2147</v>
      </c>
      <c r="B3146" s="19" t="str">
        <f t="shared" si="251"/>
        <v>B-BCP - Soles</v>
      </c>
      <c r="C3146" s="3" t="s">
        <v>1330</v>
      </c>
      <c r="D3146" s="14">
        <v>45876</v>
      </c>
      <c r="E3146" s="5" t="s">
        <v>555</v>
      </c>
      <c r="F3146" s="5" t="s">
        <v>1303</v>
      </c>
      <c r="G3146" s="6" t="s">
        <v>425</v>
      </c>
      <c r="H3146" s="6"/>
      <c r="I3146" s="6"/>
      <c r="J3146" s="6"/>
      <c r="K3146" s="7" t="s">
        <v>4112</v>
      </c>
      <c r="L3146" s="8">
        <v>9784782</v>
      </c>
      <c r="M3146" s="8" t="str">
        <f t="shared" si="252"/>
        <v>PEN</v>
      </c>
      <c r="N3146" s="13"/>
      <c r="O3146" s="13">
        <v>3727.53</v>
      </c>
      <c r="P3146" s="3">
        <f t="shared" si="253"/>
        <v>3727.53</v>
      </c>
      <c r="Q3146" s="3">
        <f t="shared" si="254"/>
        <v>0</v>
      </c>
      <c r="R3146" s="3">
        <f t="shared" si="255"/>
        <v>65041.139999999992</v>
      </c>
      <c r="S3146" s="24" t="s">
        <v>1334</v>
      </c>
      <c r="T3146" s="24" t="s">
        <v>1334</v>
      </c>
      <c r="U3146" s="79"/>
      <c r="V3146" s="25">
        <f>IFERROR(VLOOKUP(BCP_Soles[[#This Row],[destinatario]],CHOOSE({1,2},Clientes_Proveedores[Razon Social],Clientes_Proveedores[Ruc / Dni]),2,0),"")</f>
        <v>20558226979</v>
      </c>
      <c r="W3146" s="25"/>
      <c r="X3146" s="25"/>
      <c r="Y3146" s="25"/>
      <c r="Z3146" s="77"/>
      <c r="AA3146" s="3" t="str">
        <f>IF(BCP_Soles[[#This Row],[fecha]]&gt;0,TEXT(BCP_Soles[[#This Row],[fecha]],"mmmm"),0)</f>
        <v>Agosto</v>
      </c>
    </row>
    <row r="3147" spans="1:27" ht="36" x14ac:dyDescent="0.3">
      <c r="A3147" s="2">
        <f>IF(BCP_Soles[[#This Row],[tipo_registro]]="R",COUNTIFS($C$1:$C3146,"R")+1,A3146)</f>
        <v>2147</v>
      </c>
      <c r="B3147" s="19" t="str">
        <f t="shared" si="251"/>
        <v>B-BCP - Soles</v>
      </c>
      <c r="C3147" s="3" t="s">
        <v>1352</v>
      </c>
      <c r="D3147" s="14">
        <v>45876</v>
      </c>
      <c r="E3147" s="5"/>
      <c r="F3147" s="5"/>
      <c r="G3147" s="6" t="s">
        <v>555</v>
      </c>
      <c r="H3147" s="6" t="s">
        <v>68</v>
      </c>
      <c r="I3147" s="6" t="s">
        <v>3381</v>
      </c>
      <c r="J3147" s="6">
        <v>51</v>
      </c>
      <c r="K3147" s="7" t="s">
        <v>4112</v>
      </c>
      <c r="L3147" s="8">
        <v>9784782</v>
      </c>
      <c r="M3147" s="8" t="str">
        <f t="shared" si="252"/>
        <v>PEN</v>
      </c>
      <c r="N3147" s="13">
        <v>622.19000000000005</v>
      </c>
      <c r="O3147" s="13"/>
      <c r="P3147" s="3">
        <f t="shared" si="253"/>
        <v>0</v>
      </c>
      <c r="Q3147" s="3">
        <f t="shared" si="254"/>
        <v>0</v>
      </c>
      <c r="R3147" s="3">
        <f t="shared" si="255"/>
        <v>65041.139999999992</v>
      </c>
      <c r="S3147" s="24" t="s">
        <v>1334</v>
      </c>
      <c r="T3147" s="24" t="s">
        <v>1334</v>
      </c>
      <c r="U3147" s="79"/>
      <c r="V3147" s="25">
        <f>IFERROR(VLOOKUP(BCP_Soles[[#This Row],[destinatario]],CHOOSE({1,2},Clientes_Proveedores[Razon Social],Clientes_Proveedores[Ruc / Dni]),2,0),"")</f>
        <v>20607388416</v>
      </c>
      <c r="W3147" s="25"/>
      <c r="X3147" s="25"/>
      <c r="Y3147" s="25"/>
      <c r="Z3147" s="77"/>
      <c r="AA3147" s="3" t="str">
        <f>IF(BCP_Soles[[#This Row],[fecha]]&gt;0,TEXT(BCP_Soles[[#This Row],[fecha]],"mmmm"),0)</f>
        <v>Agosto</v>
      </c>
    </row>
    <row r="3148" spans="1:27" ht="36" x14ac:dyDescent="0.3">
      <c r="A3148" s="2">
        <f>IF(BCP_Soles[[#This Row],[tipo_registro]]="R",COUNTIFS($C$1:$C3147,"R")+1,A3147)</f>
        <v>2147</v>
      </c>
      <c r="B3148" s="19" t="str">
        <f t="shared" si="251"/>
        <v>B-BCP - Soles</v>
      </c>
      <c r="C3148" s="3" t="s">
        <v>1352</v>
      </c>
      <c r="D3148" s="14">
        <v>45876</v>
      </c>
      <c r="E3148" s="5"/>
      <c r="F3148" s="5"/>
      <c r="G3148" s="6" t="s">
        <v>555</v>
      </c>
      <c r="H3148" s="6" t="s">
        <v>68</v>
      </c>
      <c r="I3148" s="6" t="s">
        <v>3381</v>
      </c>
      <c r="J3148" s="6">
        <v>52</v>
      </c>
      <c r="K3148" s="7" t="s">
        <v>4112</v>
      </c>
      <c r="L3148" s="8">
        <v>9784782</v>
      </c>
      <c r="M3148" s="8" t="str">
        <f t="shared" si="252"/>
        <v>PEN</v>
      </c>
      <c r="N3148" s="13">
        <v>556.66</v>
      </c>
      <c r="O3148" s="13"/>
      <c r="P3148" s="3">
        <f t="shared" si="253"/>
        <v>0</v>
      </c>
      <c r="Q3148" s="3">
        <f t="shared" si="254"/>
        <v>0</v>
      </c>
      <c r="R3148" s="3">
        <f t="shared" si="255"/>
        <v>65041.139999999992</v>
      </c>
      <c r="S3148" s="24" t="s">
        <v>1334</v>
      </c>
      <c r="T3148" s="24" t="s">
        <v>1334</v>
      </c>
      <c r="U3148" s="79"/>
      <c r="V3148" s="25">
        <f>IFERROR(VLOOKUP(BCP_Soles[[#This Row],[destinatario]],CHOOSE({1,2},Clientes_Proveedores[Razon Social],Clientes_Proveedores[Ruc / Dni]),2,0),"")</f>
        <v>20607388416</v>
      </c>
      <c r="W3148" s="25"/>
      <c r="X3148" s="25"/>
      <c r="Y3148" s="25"/>
      <c r="Z3148" s="77"/>
      <c r="AA3148" s="3" t="str">
        <f>IF(BCP_Soles[[#This Row],[fecha]]&gt;0,TEXT(BCP_Soles[[#This Row],[fecha]],"mmmm"),0)</f>
        <v>Agosto</v>
      </c>
    </row>
    <row r="3149" spans="1:27" ht="36" x14ac:dyDescent="0.3">
      <c r="A3149" s="2">
        <f>IF(BCP_Soles[[#This Row],[tipo_registro]]="R",COUNTIFS($C$1:$C3148,"R")+1,A3148)</f>
        <v>2147</v>
      </c>
      <c r="B3149" s="19" t="str">
        <f t="shared" si="251"/>
        <v>B-BCP - Soles</v>
      </c>
      <c r="C3149" s="3" t="s">
        <v>1352</v>
      </c>
      <c r="D3149" s="14">
        <v>45876</v>
      </c>
      <c r="E3149" s="5"/>
      <c r="F3149" s="5"/>
      <c r="G3149" s="6" t="s">
        <v>555</v>
      </c>
      <c r="H3149" s="6" t="s">
        <v>68</v>
      </c>
      <c r="I3149" s="6" t="s">
        <v>3381</v>
      </c>
      <c r="J3149" s="6">
        <v>53</v>
      </c>
      <c r="K3149" s="7" t="s">
        <v>4112</v>
      </c>
      <c r="L3149" s="8">
        <v>9784782</v>
      </c>
      <c r="M3149" s="8" t="str">
        <f t="shared" si="252"/>
        <v>PEN</v>
      </c>
      <c r="N3149" s="13">
        <v>1237.77</v>
      </c>
      <c r="O3149" s="13"/>
      <c r="P3149" s="3">
        <f t="shared" si="253"/>
        <v>0</v>
      </c>
      <c r="Q3149" s="3">
        <f t="shared" si="254"/>
        <v>0</v>
      </c>
      <c r="R3149" s="3">
        <f t="shared" si="255"/>
        <v>65041.139999999992</v>
      </c>
      <c r="S3149" s="24" t="s">
        <v>1334</v>
      </c>
      <c r="T3149" s="24" t="s">
        <v>1334</v>
      </c>
      <c r="U3149" s="79"/>
      <c r="V3149" s="25">
        <f>IFERROR(VLOOKUP(BCP_Soles[[#This Row],[destinatario]],CHOOSE({1,2},Clientes_Proveedores[Razon Social],Clientes_Proveedores[Ruc / Dni]),2,0),"")</f>
        <v>20607388416</v>
      </c>
      <c r="W3149" s="25"/>
      <c r="X3149" s="25"/>
      <c r="Y3149" s="25"/>
      <c r="Z3149" s="77"/>
      <c r="AA3149" s="3" t="str">
        <f>IF(BCP_Soles[[#This Row],[fecha]]&gt;0,TEXT(BCP_Soles[[#This Row],[fecha]],"mmmm"),0)</f>
        <v>Agosto</v>
      </c>
    </row>
    <row r="3150" spans="1:27" ht="36" x14ac:dyDescent="0.3">
      <c r="A3150" s="2">
        <f>IF(BCP_Soles[[#This Row],[tipo_registro]]="R",COUNTIFS($C$1:$C3149,"R")+1,A3149)</f>
        <v>2147</v>
      </c>
      <c r="B3150" s="19" t="str">
        <f t="shared" si="251"/>
        <v>B-BCP - Soles</v>
      </c>
      <c r="C3150" s="3" t="s">
        <v>1352</v>
      </c>
      <c r="D3150" s="14">
        <v>45876</v>
      </c>
      <c r="E3150" s="5"/>
      <c r="F3150" s="5"/>
      <c r="G3150" s="6" t="s">
        <v>555</v>
      </c>
      <c r="H3150" s="6" t="s">
        <v>68</v>
      </c>
      <c r="I3150" s="6" t="s">
        <v>3381</v>
      </c>
      <c r="J3150" s="6">
        <v>54</v>
      </c>
      <c r="K3150" s="7" t="s">
        <v>4112</v>
      </c>
      <c r="L3150" s="8">
        <v>9784782</v>
      </c>
      <c r="M3150" s="8" t="str">
        <f t="shared" si="252"/>
        <v>PEN</v>
      </c>
      <c r="N3150" s="13">
        <v>1310.91</v>
      </c>
      <c r="O3150" s="13"/>
      <c r="P3150" s="3">
        <f t="shared" si="253"/>
        <v>0</v>
      </c>
      <c r="Q3150" s="3">
        <f t="shared" si="254"/>
        <v>0</v>
      </c>
      <c r="R3150" s="3">
        <f t="shared" si="255"/>
        <v>65041.139999999992</v>
      </c>
      <c r="S3150" s="24" t="s">
        <v>1334</v>
      </c>
      <c r="T3150" s="24" t="s">
        <v>1334</v>
      </c>
      <c r="U3150" s="79"/>
      <c r="V3150" s="25">
        <f>IFERROR(VLOOKUP(BCP_Soles[[#This Row],[destinatario]],CHOOSE({1,2},Clientes_Proveedores[Razon Social],Clientes_Proveedores[Ruc / Dni]),2,0),"")</f>
        <v>20607388416</v>
      </c>
      <c r="W3150" s="25"/>
      <c r="X3150" s="25"/>
      <c r="Y3150" s="25"/>
      <c r="Z3150" s="77"/>
      <c r="AA3150" s="3" t="str">
        <f>IF(BCP_Soles[[#This Row],[fecha]]&gt;0,TEXT(BCP_Soles[[#This Row],[fecha]],"mmmm"),0)</f>
        <v>Agosto</v>
      </c>
    </row>
    <row r="3151" spans="1:27" x14ac:dyDescent="0.3">
      <c r="A3151" s="2">
        <f>IF(BCP_Soles[[#This Row],[tipo_registro]]="R",COUNTIFS($C$1:$C3150,"R")+1,A3150)</f>
        <v>2148</v>
      </c>
      <c r="B3151" s="19" t="str">
        <f t="shared" si="251"/>
        <v>B-BCP - Soles</v>
      </c>
      <c r="C3151" s="3" t="s">
        <v>1330</v>
      </c>
      <c r="D3151" s="14">
        <v>45876</v>
      </c>
      <c r="E3151" s="5"/>
      <c r="F3151" s="5" t="s">
        <v>1303</v>
      </c>
      <c r="G3151" s="6" t="s">
        <v>425</v>
      </c>
      <c r="H3151" s="6"/>
      <c r="I3151" s="6"/>
      <c r="J3151" s="6"/>
      <c r="K3151" s="7" t="s">
        <v>4113</v>
      </c>
      <c r="L3151" s="8">
        <v>940811</v>
      </c>
      <c r="M3151" s="8" t="str">
        <f t="shared" si="252"/>
        <v>PEN</v>
      </c>
      <c r="N3151" s="13"/>
      <c r="O3151" s="13">
        <v>662.3</v>
      </c>
      <c r="P3151" s="3">
        <f t="shared" si="253"/>
        <v>662.3</v>
      </c>
      <c r="Q3151" s="3">
        <f t="shared" si="254"/>
        <v>0</v>
      </c>
      <c r="R3151" s="3">
        <f t="shared" si="255"/>
        <v>65703.439999999988</v>
      </c>
      <c r="S3151" s="24" t="s">
        <v>1334</v>
      </c>
      <c r="T3151" s="24" t="s">
        <v>1334</v>
      </c>
      <c r="U3151" s="79"/>
      <c r="V3151" s="25">
        <f>IFERROR(VLOOKUP(BCP_Soles[[#This Row],[destinatario]],CHOOSE({1,2},Clientes_Proveedores[Razon Social],Clientes_Proveedores[Ruc / Dni]),2,0),"")</f>
        <v>20558226979</v>
      </c>
      <c r="W3151" s="25"/>
      <c r="X3151" s="25"/>
      <c r="Y3151" s="25"/>
      <c r="Z3151" s="77"/>
      <c r="AA3151" s="3" t="str">
        <f>IF(BCP_Soles[[#This Row],[fecha]]&gt;0,TEXT(BCP_Soles[[#This Row],[fecha]],"mmmm"),0)</f>
        <v>Agosto</v>
      </c>
    </row>
    <row r="3152" spans="1:27" x14ac:dyDescent="0.3">
      <c r="A3152" s="2">
        <f>IF(BCP_Soles[[#This Row],[tipo_registro]]="R",COUNTIFS($C$1:$C3151,"R")+1,A3151)</f>
        <v>2148</v>
      </c>
      <c r="B3152" s="19" t="str">
        <f t="shared" si="251"/>
        <v>B-BCP - Soles</v>
      </c>
      <c r="C3152" s="3" t="s">
        <v>1352</v>
      </c>
      <c r="D3152" s="14">
        <v>45876</v>
      </c>
      <c r="E3152" s="5" t="s">
        <v>4114</v>
      </c>
      <c r="F3152" s="5" t="s">
        <v>1303</v>
      </c>
      <c r="G3152" s="6" t="s">
        <v>425</v>
      </c>
      <c r="H3152" s="6" t="s">
        <v>119</v>
      </c>
      <c r="I3152" s="6">
        <v>3</v>
      </c>
      <c r="J3152" s="6">
        <v>616</v>
      </c>
      <c r="K3152" s="7" t="s">
        <v>4113</v>
      </c>
      <c r="L3152" s="8">
        <v>940811</v>
      </c>
      <c r="M3152" s="8" t="str">
        <f t="shared" si="252"/>
        <v>PEN</v>
      </c>
      <c r="N3152" s="13">
        <v>243</v>
      </c>
      <c r="O3152" s="13"/>
      <c r="P3152" s="3">
        <f t="shared" si="253"/>
        <v>0</v>
      </c>
      <c r="Q3152" s="3">
        <f t="shared" si="254"/>
        <v>0</v>
      </c>
      <c r="R3152" s="3">
        <f t="shared" si="255"/>
        <v>65703.439999999988</v>
      </c>
      <c r="S3152" s="24" t="s">
        <v>1334</v>
      </c>
      <c r="T3152" s="24" t="s">
        <v>1334</v>
      </c>
      <c r="U3152" s="79"/>
      <c r="V3152" s="25">
        <f>IFERROR(VLOOKUP(BCP_Soles[[#This Row],[destinatario]],CHOOSE({1,2},Clientes_Proveedores[Razon Social],Clientes_Proveedores[Ruc / Dni]),2,0),"")</f>
        <v>20558226979</v>
      </c>
      <c r="W3152" s="25"/>
      <c r="X3152" s="25"/>
      <c r="Y3152" s="25"/>
      <c r="Z3152" s="77"/>
      <c r="AA3152" s="3" t="str">
        <f>IF(BCP_Soles[[#This Row],[fecha]]&gt;0,TEXT(BCP_Soles[[#This Row],[fecha]],"mmmm"),0)</f>
        <v>Agosto</v>
      </c>
    </row>
    <row r="3153" spans="1:27" ht="24" x14ac:dyDescent="0.3">
      <c r="A3153" s="2">
        <f>IF(BCP_Soles[[#This Row],[tipo_registro]]="R",COUNTIFS($C$1:$C3152,"R")+1,A3152)</f>
        <v>2148</v>
      </c>
      <c r="B3153" s="19" t="str">
        <f t="shared" si="251"/>
        <v>B-BCP - Soles</v>
      </c>
      <c r="C3153" s="3" t="s">
        <v>1352</v>
      </c>
      <c r="D3153" s="14">
        <v>45876</v>
      </c>
      <c r="E3153" s="5" t="s">
        <v>3677</v>
      </c>
      <c r="F3153" s="5" t="s">
        <v>1303</v>
      </c>
      <c r="G3153" s="6" t="s">
        <v>425</v>
      </c>
      <c r="H3153" s="6" t="s">
        <v>119</v>
      </c>
      <c r="I3153" s="6">
        <v>3</v>
      </c>
      <c r="J3153" s="6">
        <v>617</v>
      </c>
      <c r="K3153" s="7" t="s">
        <v>4113</v>
      </c>
      <c r="L3153" s="8">
        <v>940811</v>
      </c>
      <c r="M3153" s="8" t="str">
        <f t="shared" si="252"/>
        <v>PEN</v>
      </c>
      <c r="N3153" s="13">
        <v>171.2</v>
      </c>
      <c r="O3153" s="13"/>
      <c r="P3153" s="3">
        <f t="shared" si="253"/>
        <v>0</v>
      </c>
      <c r="Q3153" s="3">
        <f t="shared" si="254"/>
        <v>0</v>
      </c>
      <c r="R3153" s="3">
        <f t="shared" si="255"/>
        <v>65703.439999999988</v>
      </c>
      <c r="S3153" s="24" t="s">
        <v>1334</v>
      </c>
      <c r="T3153" s="24" t="s">
        <v>1334</v>
      </c>
      <c r="U3153" s="79"/>
      <c r="V3153" s="25">
        <f>IFERROR(VLOOKUP(BCP_Soles[[#This Row],[destinatario]],CHOOSE({1,2},Clientes_Proveedores[Razon Social],Clientes_Proveedores[Ruc / Dni]),2,0),"")</f>
        <v>20558226979</v>
      </c>
      <c r="W3153" s="25"/>
      <c r="X3153" s="25"/>
      <c r="Y3153" s="25"/>
      <c r="Z3153" s="77"/>
      <c r="AA3153" s="3" t="str">
        <f>IF(BCP_Soles[[#This Row],[fecha]]&gt;0,TEXT(BCP_Soles[[#This Row],[fecha]],"mmmm"),0)</f>
        <v>Agosto</v>
      </c>
    </row>
    <row r="3154" spans="1:27" ht="24" x14ac:dyDescent="0.3">
      <c r="A3154" s="2">
        <f>IF(BCP_Soles[[#This Row],[tipo_registro]]="R",COUNTIFS($C$1:$C3153,"R")+1,A3153)</f>
        <v>2148</v>
      </c>
      <c r="B3154" s="19" t="str">
        <f t="shared" si="251"/>
        <v>B-BCP - Soles</v>
      </c>
      <c r="C3154" s="3" t="s">
        <v>1352</v>
      </c>
      <c r="D3154" s="14">
        <v>45876</v>
      </c>
      <c r="E3154" s="5" t="s">
        <v>4115</v>
      </c>
      <c r="F3154" s="5" t="s">
        <v>1303</v>
      </c>
      <c r="G3154" s="6" t="s">
        <v>425</v>
      </c>
      <c r="H3154" s="6" t="s">
        <v>119</v>
      </c>
      <c r="I3154" s="6">
        <v>3</v>
      </c>
      <c r="J3154" s="6">
        <v>618</v>
      </c>
      <c r="K3154" s="7" t="s">
        <v>4113</v>
      </c>
      <c r="L3154" s="8">
        <v>940811</v>
      </c>
      <c r="M3154" s="8" t="str">
        <f t="shared" si="252"/>
        <v>PEN</v>
      </c>
      <c r="N3154" s="13">
        <v>107.6</v>
      </c>
      <c r="O3154" s="13"/>
      <c r="P3154" s="3">
        <f t="shared" si="253"/>
        <v>0</v>
      </c>
      <c r="Q3154" s="3">
        <f t="shared" si="254"/>
        <v>0</v>
      </c>
      <c r="R3154" s="3">
        <f t="shared" si="255"/>
        <v>65703.439999999988</v>
      </c>
      <c r="S3154" s="24" t="s">
        <v>1334</v>
      </c>
      <c r="T3154" s="24" t="s">
        <v>1334</v>
      </c>
      <c r="U3154" s="79"/>
      <c r="V3154" s="25">
        <f>IFERROR(VLOOKUP(BCP_Soles[[#This Row],[destinatario]],CHOOSE({1,2},Clientes_Proveedores[Razon Social],Clientes_Proveedores[Ruc / Dni]),2,0),"")</f>
        <v>20558226979</v>
      </c>
      <c r="W3154" s="25"/>
      <c r="X3154" s="25"/>
      <c r="Y3154" s="25"/>
      <c r="Z3154" s="77"/>
      <c r="AA3154" s="3" t="str">
        <f>IF(BCP_Soles[[#This Row],[fecha]]&gt;0,TEXT(BCP_Soles[[#This Row],[fecha]],"mmmm"),0)</f>
        <v>Agosto</v>
      </c>
    </row>
    <row r="3155" spans="1:27" x14ac:dyDescent="0.3">
      <c r="A3155" s="2">
        <f>IF(BCP_Soles[[#This Row],[tipo_registro]]="R",COUNTIFS($C$1:$C3154,"R")+1,A3154)</f>
        <v>2148</v>
      </c>
      <c r="B3155" s="19" t="str">
        <f t="shared" si="251"/>
        <v>B-BCP - Soles</v>
      </c>
      <c r="C3155" s="3" t="s">
        <v>1352</v>
      </c>
      <c r="D3155" s="14">
        <v>45876</v>
      </c>
      <c r="E3155" s="5" t="s">
        <v>4116</v>
      </c>
      <c r="F3155" s="5" t="s">
        <v>1303</v>
      </c>
      <c r="G3155" s="6" t="s">
        <v>425</v>
      </c>
      <c r="H3155" s="6" t="s">
        <v>119</v>
      </c>
      <c r="I3155" s="6">
        <v>3</v>
      </c>
      <c r="J3155" s="6">
        <v>619</v>
      </c>
      <c r="K3155" s="7" t="s">
        <v>4113</v>
      </c>
      <c r="L3155" s="8">
        <v>940811</v>
      </c>
      <c r="M3155" s="8" t="str">
        <f t="shared" si="252"/>
        <v>PEN</v>
      </c>
      <c r="N3155" s="13">
        <v>98.8</v>
      </c>
      <c r="O3155" s="13"/>
      <c r="P3155" s="3">
        <f t="shared" si="253"/>
        <v>0</v>
      </c>
      <c r="Q3155" s="3">
        <f t="shared" si="254"/>
        <v>0</v>
      </c>
      <c r="R3155" s="3">
        <f t="shared" si="255"/>
        <v>65703.439999999988</v>
      </c>
      <c r="S3155" s="24" t="s">
        <v>1334</v>
      </c>
      <c r="T3155" s="24" t="s">
        <v>1334</v>
      </c>
      <c r="U3155" s="79"/>
      <c r="V3155" s="25">
        <f>IFERROR(VLOOKUP(BCP_Soles[[#This Row],[destinatario]],CHOOSE({1,2},Clientes_Proveedores[Razon Social],Clientes_Proveedores[Ruc / Dni]),2,0),"")</f>
        <v>20558226979</v>
      </c>
      <c r="W3155" s="25"/>
      <c r="X3155" s="25"/>
      <c r="Y3155" s="25"/>
      <c r="Z3155" s="77"/>
      <c r="AA3155" s="3" t="str">
        <f>IF(BCP_Soles[[#This Row],[fecha]]&gt;0,TEXT(BCP_Soles[[#This Row],[fecha]],"mmmm"),0)</f>
        <v>Agosto</v>
      </c>
    </row>
    <row r="3156" spans="1:27" x14ac:dyDescent="0.3">
      <c r="A3156" s="2">
        <f>IF(BCP_Soles[[#This Row],[tipo_registro]]="R",COUNTIFS($C$1:$C3155,"R")+1,A3155)</f>
        <v>2148</v>
      </c>
      <c r="B3156" s="19" t="str">
        <f t="shared" si="251"/>
        <v>B-BCP - Soles</v>
      </c>
      <c r="C3156" s="3" t="s">
        <v>1352</v>
      </c>
      <c r="D3156" s="14">
        <v>45876</v>
      </c>
      <c r="E3156" s="5" t="s">
        <v>1498</v>
      </c>
      <c r="F3156" s="5" t="s">
        <v>1303</v>
      </c>
      <c r="G3156" s="6" t="s">
        <v>425</v>
      </c>
      <c r="H3156" s="6" t="s">
        <v>119</v>
      </c>
      <c r="I3156" s="6">
        <v>3</v>
      </c>
      <c r="J3156" s="6">
        <v>626</v>
      </c>
      <c r="K3156" s="7" t="s">
        <v>4113</v>
      </c>
      <c r="L3156" s="8">
        <v>940811</v>
      </c>
      <c r="M3156" s="8" t="str">
        <f t="shared" si="252"/>
        <v>PEN</v>
      </c>
      <c r="N3156" s="13">
        <v>35</v>
      </c>
      <c r="O3156" s="13"/>
      <c r="P3156" s="3">
        <f t="shared" si="253"/>
        <v>0</v>
      </c>
      <c r="Q3156" s="3">
        <f t="shared" si="254"/>
        <v>0</v>
      </c>
      <c r="R3156" s="3">
        <f t="shared" si="255"/>
        <v>65703.439999999988</v>
      </c>
      <c r="S3156" s="24" t="s">
        <v>1334</v>
      </c>
      <c r="T3156" s="24" t="s">
        <v>1334</v>
      </c>
      <c r="U3156" s="79"/>
      <c r="V3156" s="25">
        <f>IFERROR(VLOOKUP(BCP_Soles[[#This Row],[destinatario]],CHOOSE({1,2},Clientes_Proveedores[Razon Social],Clientes_Proveedores[Ruc / Dni]),2,0),"")</f>
        <v>20558226979</v>
      </c>
      <c r="W3156" s="25"/>
      <c r="X3156" s="25"/>
      <c r="Y3156" s="25"/>
      <c r="Z3156" s="77"/>
      <c r="AA3156" s="3" t="str">
        <f>IF(BCP_Soles[[#This Row],[fecha]]&gt;0,TEXT(BCP_Soles[[#This Row],[fecha]],"mmmm"),0)</f>
        <v>Agosto</v>
      </c>
    </row>
    <row r="3157" spans="1:27" ht="24" x14ac:dyDescent="0.3">
      <c r="A3157" s="2">
        <f>IF(BCP_Soles[[#This Row],[tipo_registro]]="R",COUNTIFS($C$1:$C3156,"R")+1,A3156)</f>
        <v>2148</v>
      </c>
      <c r="B3157" s="19" t="str">
        <f t="shared" si="251"/>
        <v>B-BCP - Soles</v>
      </c>
      <c r="C3157" s="3" t="s">
        <v>1352</v>
      </c>
      <c r="D3157" s="14">
        <v>45876</v>
      </c>
      <c r="E3157" s="5" t="s">
        <v>3683</v>
      </c>
      <c r="F3157" s="5" t="s">
        <v>1303</v>
      </c>
      <c r="G3157" s="6" t="s">
        <v>425</v>
      </c>
      <c r="H3157" s="6" t="s">
        <v>119</v>
      </c>
      <c r="I3157" s="6">
        <v>3</v>
      </c>
      <c r="J3157" s="6">
        <v>634</v>
      </c>
      <c r="K3157" s="7" t="s">
        <v>4113</v>
      </c>
      <c r="L3157" s="8">
        <v>940811</v>
      </c>
      <c r="M3157" s="8" t="str">
        <f t="shared" si="252"/>
        <v>PEN</v>
      </c>
      <c r="N3157" s="13">
        <v>6.7</v>
      </c>
      <c r="O3157" s="13"/>
      <c r="P3157" s="3">
        <f t="shared" si="253"/>
        <v>0</v>
      </c>
      <c r="Q3157" s="3">
        <f t="shared" si="254"/>
        <v>0</v>
      </c>
      <c r="R3157" s="3">
        <f t="shared" si="255"/>
        <v>65703.439999999988</v>
      </c>
      <c r="S3157" s="24" t="s">
        <v>1334</v>
      </c>
      <c r="T3157" s="24" t="s">
        <v>1334</v>
      </c>
      <c r="U3157" s="79"/>
      <c r="V3157" s="25">
        <f>IFERROR(VLOOKUP(BCP_Soles[[#This Row],[destinatario]],CHOOSE({1,2},Clientes_Proveedores[Razon Social],Clientes_Proveedores[Ruc / Dni]),2,0),"")</f>
        <v>20558226979</v>
      </c>
      <c r="W3157" s="25"/>
      <c r="X3157" s="25"/>
      <c r="Y3157" s="25"/>
      <c r="Z3157" s="77"/>
      <c r="AA3157" s="3" t="str">
        <f>IF(BCP_Soles[[#This Row],[fecha]]&gt;0,TEXT(BCP_Soles[[#This Row],[fecha]],"mmmm"),0)</f>
        <v>Agosto</v>
      </c>
    </row>
    <row r="3158" spans="1:27" ht="36" x14ac:dyDescent="0.3">
      <c r="A3158" s="2">
        <f>IF(BCP_Soles[[#This Row],[tipo_registro]]="R",COUNTIFS($C$1:$C3157,"R")+1,A3157)</f>
        <v>2149</v>
      </c>
      <c r="B3158" s="19" t="str">
        <f t="shared" si="251"/>
        <v>B-BCP - Soles</v>
      </c>
      <c r="C3158" s="3" t="s">
        <v>1330</v>
      </c>
      <c r="D3158" s="14">
        <v>45877</v>
      </c>
      <c r="E3158" s="5" t="s">
        <v>237</v>
      </c>
      <c r="F3158" s="5" t="s">
        <v>1303</v>
      </c>
      <c r="G3158" s="6" t="s">
        <v>425</v>
      </c>
      <c r="H3158" s="6"/>
      <c r="I3158" s="6"/>
      <c r="J3158" s="6"/>
      <c r="K3158" s="7" t="s">
        <v>4117</v>
      </c>
      <c r="L3158" s="8">
        <v>9977433</v>
      </c>
      <c r="M3158" s="8" t="str">
        <f t="shared" si="252"/>
        <v>PEN</v>
      </c>
      <c r="N3158" s="13"/>
      <c r="O3158" s="13">
        <v>5962.56</v>
      </c>
      <c r="P3158" s="3">
        <f t="shared" si="253"/>
        <v>5962.56</v>
      </c>
      <c r="Q3158" s="3">
        <f t="shared" si="254"/>
        <v>0</v>
      </c>
      <c r="R3158" s="3">
        <f t="shared" si="255"/>
        <v>71665.999999999985</v>
      </c>
      <c r="S3158" s="24" t="s">
        <v>1334</v>
      </c>
      <c r="T3158" s="24" t="s">
        <v>1334</v>
      </c>
      <c r="U3158" s="79"/>
      <c r="V3158" s="25">
        <f>IFERROR(VLOOKUP(BCP_Soles[[#This Row],[destinatario]],CHOOSE({1,2},Clientes_Proveedores[Razon Social],Clientes_Proveedores[Ruc / Dni]),2,0),"")</f>
        <v>20558226979</v>
      </c>
      <c r="W3158" s="25"/>
      <c r="X3158" s="25"/>
      <c r="Y3158" s="25"/>
      <c r="Z3158" s="77"/>
      <c r="AA3158" s="3" t="str">
        <f>IF(BCP_Soles[[#This Row],[fecha]]&gt;0,TEXT(BCP_Soles[[#This Row],[fecha]],"mmmm"),0)</f>
        <v>Agosto</v>
      </c>
    </row>
    <row r="3159" spans="1:27" ht="36" x14ac:dyDescent="0.3">
      <c r="A3159" s="2">
        <f>IF(BCP_Soles[[#This Row],[tipo_registro]]="R",COUNTIFS($C$1:$C3158,"R")+1,A3158)</f>
        <v>2149</v>
      </c>
      <c r="B3159" s="19" t="str">
        <f t="shared" si="251"/>
        <v>B-BCP - Soles</v>
      </c>
      <c r="C3159" s="3" t="s">
        <v>1352</v>
      </c>
      <c r="D3159" s="14">
        <v>45877</v>
      </c>
      <c r="E3159" s="5"/>
      <c r="F3159" s="5"/>
      <c r="G3159" s="6" t="s">
        <v>237</v>
      </c>
      <c r="H3159" s="6" t="s">
        <v>68</v>
      </c>
      <c r="I3159" s="6" t="s">
        <v>1784</v>
      </c>
      <c r="J3159" s="6">
        <v>126</v>
      </c>
      <c r="K3159" s="7" t="s">
        <v>4117</v>
      </c>
      <c r="L3159" s="8">
        <v>9977433</v>
      </c>
      <c r="M3159" s="8" t="str">
        <f t="shared" si="252"/>
        <v>PEN</v>
      </c>
      <c r="N3159" s="13">
        <v>1219.32</v>
      </c>
      <c r="O3159" s="13"/>
      <c r="P3159" s="3">
        <f t="shared" si="253"/>
        <v>0</v>
      </c>
      <c r="Q3159" s="3">
        <f t="shared" si="254"/>
        <v>0</v>
      </c>
      <c r="R3159" s="3">
        <f t="shared" si="255"/>
        <v>71665.999999999985</v>
      </c>
      <c r="S3159" s="24" t="s">
        <v>1334</v>
      </c>
      <c r="T3159" s="24" t="s">
        <v>1334</v>
      </c>
      <c r="U3159" s="79"/>
      <c r="V3159" s="25">
        <f>IFERROR(VLOOKUP(BCP_Soles[[#This Row],[destinatario]],CHOOSE({1,2},Clientes_Proveedores[Razon Social],Clientes_Proveedores[Ruc / Dni]),2,0),"")</f>
        <v>20141637941</v>
      </c>
      <c r="W3159" s="25"/>
      <c r="X3159" s="25"/>
      <c r="Y3159" s="25"/>
      <c r="Z3159" s="77"/>
      <c r="AA3159" s="3" t="str">
        <f>IF(BCP_Soles[[#This Row],[fecha]]&gt;0,TEXT(BCP_Soles[[#This Row],[fecha]],"mmmm"),0)</f>
        <v>Agosto</v>
      </c>
    </row>
    <row r="3160" spans="1:27" ht="36" x14ac:dyDescent="0.3">
      <c r="A3160" s="2">
        <f>IF(BCP_Soles[[#This Row],[tipo_registro]]="R",COUNTIFS($C$1:$C3159,"R")+1,A3159)</f>
        <v>2149</v>
      </c>
      <c r="B3160" s="19" t="str">
        <f t="shared" si="251"/>
        <v>B-BCP - Soles</v>
      </c>
      <c r="C3160" s="3" t="s">
        <v>1352</v>
      </c>
      <c r="D3160" s="14">
        <v>45877</v>
      </c>
      <c r="E3160" s="5"/>
      <c r="F3160" s="5"/>
      <c r="G3160" s="6" t="s">
        <v>237</v>
      </c>
      <c r="H3160" s="6" t="s">
        <v>68</v>
      </c>
      <c r="I3160" s="6" t="s">
        <v>1784</v>
      </c>
      <c r="J3160" s="6">
        <v>136</v>
      </c>
      <c r="K3160" s="7" t="s">
        <v>4117</v>
      </c>
      <c r="L3160" s="8">
        <v>9977433</v>
      </c>
      <c r="M3160" s="8" t="str">
        <f t="shared" si="252"/>
        <v>PEN</v>
      </c>
      <c r="N3160" s="13">
        <v>4743.24</v>
      </c>
      <c r="O3160" s="13"/>
      <c r="P3160" s="3">
        <f t="shared" si="253"/>
        <v>0</v>
      </c>
      <c r="Q3160" s="3">
        <f t="shared" si="254"/>
        <v>0</v>
      </c>
      <c r="R3160" s="3">
        <f t="shared" si="255"/>
        <v>71665.999999999985</v>
      </c>
      <c r="S3160" s="24" t="s">
        <v>1334</v>
      </c>
      <c r="T3160" s="24" t="s">
        <v>1334</v>
      </c>
      <c r="U3160" s="79"/>
      <c r="V3160" s="25">
        <f>IFERROR(VLOOKUP(BCP_Soles[[#This Row],[destinatario]],CHOOSE({1,2},Clientes_Proveedores[Razon Social],Clientes_Proveedores[Ruc / Dni]),2,0),"")</f>
        <v>20141637941</v>
      </c>
      <c r="W3160" s="25"/>
      <c r="X3160" s="25"/>
      <c r="Y3160" s="25"/>
      <c r="Z3160" s="77"/>
      <c r="AA3160" s="3" t="str">
        <f>IF(BCP_Soles[[#This Row],[fecha]]&gt;0,TEXT(BCP_Soles[[#This Row],[fecha]],"mmmm"),0)</f>
        <v>Agosto</v>
      </c>
    </row>
    <row r="3161" spans="1:27" ht="24" x14ac:dyDescent="0.3">
      <c r="A3161" s="2">
        <f>IF(BCP_Soles[[#This Row],[tipo_registro]]="R",COUNTIFS($C$1:$C3160,"R")+1,A3160)</f>
        <v>2150</v>
      </c>
      <c r="B3161" s="19" t="str">
        <f t="shared" si="251"/>
        <v>B-BCP - Soles</v>
      </c>
      <c r="C3161" s="3" t="s">
        <v>1330</v>
      </c>
      <c r="D3161" s="14">
        <v>45877</v>
      </c>
      <c r="E3161" s="5" t="s">
        <v>1338</v>
      </c>
      <c r="F3161" s="5" t="s">
        <v>1336</v>
      </c>
      <c r="G3161" s="6" t="s">
        <v>1049</v>
      </c>
      <c r="H3161" s="6" t="s">
        <v>68</v>
      </c>
      <c r="I3161" s="6" t="s">
        <v>1376</v>
      </c>
      <c r="J3161" s="6">
        <v>182</v>
      </c>
      <c r="K3161" s="7" t="s">
        <v>4118</v>
      </c>
      <c r="L3161" s="8">
        <v>1014991</v>
      </c>
      <c r="M3161" s="8" t="str">
        <f t="shared" si="252"/>
        <v>PEN</v>
      </c>
      <c r="N3161" s="13"/>
      <c r="O3161" s="13">
        <v>2000</v>
      </c>
      <c r="P3161" s="3">
        <f t="shared" si="253"/>
        <v>0</v>
      </c>
      <c r="Q3161" s="3">
        <f t="shared" si="254"/>
        <v>2000</v>
      </c>
      <c r="R3161" s="3">
        <f t="shared" si="255"/>
        <v>69665.999999999985</v>
      </c>
      <c r="S3161" s="24" t="s">
        <v>1334</v>
      </c>
      <c r="T3161" s="24" t="s">
        <v>1334</v>
      </c>
      <c r="U3161" s="79" t="s">
        <v>4119</v>
      </c>
      <c r="V3161" s="25">
        <f>IFERROR(VLOOKUP(BCP_Soles[[#This Row],[destinatario]],CHOOSE({1,2},Clientes_Proveedores[Razon Social],Clientes_Proveedores[Ruc / Dni]),2,0),"")</f>
        <v>20606259116</v>
      </c>
      <c r="W3161" s="25"/>
      <c r="X3161" s="25"/>
      <c r="Y3161" s="25"/>
      <c r="Z3161" s="77"/>
      <c r="AA3161" s="3" t="str">
        <f>IF(BCP_Soles[[#This Row],[fecha]]&gt;0,TEXT(BCP_Soles[[#This Row],[fecha]],"mmmm"),0)</f>
        <v>Agosto</v>
      </c>
    </row>
    <row r="3162" spans="1:27" ht="24" x14ac:dyDescent="0.3">
      <c r="A3162" s="2">
        <f>IF(BCP_Soles[[#This Row],[tipo_registro]]="R",COUNTIFS($C$1:$C3161,"R")+1,A3161)</f>
        <v>2151</v>
      </c>
      <c r="B3162" s="19" t="str">
        <f t="shared" ref="B3162:B3225" si="256">"B-BCP - Soles"</f>
        <v>B-BCP - Soles</v>
      </c>
      <c r="C3162" s="3" t="s">
        <v>1330</v>
      </c>
      <c r="D3162" s="14">
        <v>45877</v>
      </c>
      <c r="E3162" s="5" t="s">
        <v>1338</v>
      </c>
      <c r="F3162" s="5" t="s">
        <v>1336</v>
      </c>
      <c r="G3162" s="6" t="s">
        <v>1049</v>
      </c>
      <c r="H3162" s="6" t="s">
        <v>68</v>
      </c>
      <c r="I3162" s="6" t="s">
        <v>1376</v>
      </c>
      <c r="J3162" s="6">
        <v>182</v>
      </c>
      <c r="K3162" s="7" t="s">
        <v>4120</v>
      </c>
      <c r="L3162" s="8">
        <v>1016007</v>
      </c>
      <c r="M3162" s="8" t="str">
        <f t="shared" ref="M3162:M3225" si="257">"PEN"</f>
        <v>PEN</v>
      </c>
      <c r="N3162" s="13"/>
      <c r="O3162" s="13">
        <v>950</v>
      </c>
      <c r="P3162" s="3">
        <f t="shared" ref="P3162:P3225" si="258">+IF(OR($F3162="SALDO",$F3162="INGRESO"),$O3162,0)</f>
        <v>0</v>
      </c>
      <c r="Q3162" s="3">
        <f t="shared" ref="Q3162:Q3225" si="259">+IF($F3162="EGRESO",$O3162,0)</f>
        <v>950</v>
      </c>
      <c r="R3162" s="3">
        <f t="shared" si="255"/>
        <v>68715.999999999985</v>
      </c>
      <c r="S3162" s="24" t="s">
        <v>1334</v>
      </c>
      <c r="T3162" s="24" t="s">
        <v>1334</v>
      </c>
      <c r="U3162" s="79" t="s">
        <v>4119</v>
      </c>
      <c r="V3162" s="25">
        <f>IFERROR(VLOOKUP(BCP_Soles[[#This Row],[destinatario]],CHOOSE({1,2},Clientes_Proveedores[Razon Social],Clientes_Proveedores[Ruc / Dni]),2,0),"")</f>
        <v>20606259116</v>
      </c>
      <c r="W3162" s="25" t="s">
        <v>4121</v>
      </c>
      <c r="X3162" s="25"/>
      <c r="Y3162" s="25"/>
      <c r="Z3162" s="77"/>
      <c r="AA3162" s="3" t="str">
        <f>IF(BCP_Soles[[#This Row],[fecha]]&gt;0,TEXT(BCP_Soles[[#This Row],[fecha]],"mmmm"),0)</f>
        <v>Agosto</v>
      </c>
    </row>
    <row r="3163" spans="1:27" ht="24" x14ac:dyDescent="0.3">
      <c r="A3163" s="2">
        <f>IF(BCP_Soles[[#This Row],[tipo_registro]]="R",COUNTIFS($C$1:$C3162,"R")+1,A3162)</f>
        <v>2152</v>
      </c>
      <c r="B3163" s="19" t="str">
        <f t="shared" si="256"/>
        <v>B-BCP - Soles</v>
      </c>
      <c r="C3163" s="3" t="s">
        <v>1330</v>
      </c>
      <c r="D3163" s="14">
        <v>45877</v>
      </c>
      <c r="E3163" s="5" t="s">
        <v>1338</v>
      </c>
      <c r="F3163" s="5" t="s">
        <v>1336</v>
      </c>
      <c r="G3163" s="6" t="s">
        <v>692</v>
      </c>
      <c r="H3163" s="6"/>
      <c r="I3163" s="6"/>
      <c r="J3163" s="6"/>
      <c r="K3163" s="7" t="s">
        <v>4122</v>
      </c>
      <c r="L3163" s="8">
        <v>1146030</v>
      </c>
      <c r="M3163" s="8" t="str">
        <f t="shared" si="257"/>
        <v>PEN</v>
      </c>
      <c r="N3163" s="13"/>
      <c r="O3163" s="13">
        <v>2581.12</v>
      </c>
      <c r="P3163" s="3">
        <f t="shared" si="258"/>
        <v>0</v>
      </c>
      <c r="Q3163" s="3">
        <f t="shared" si="259"/>
        <v>2581.12</v>
      </c>
      <c r="R3163" s="3">
        <f t="shared" si="255"/>
        <v>66134.87999999999</v>
      </c>
      <c r="S3163" s="24"/>
      <c r="T3163" s="24" t="s">
        <v>1334</v>
      </c>
      <c r="U3163" s="55"/>
      <c r="V3163" s="25">
        <f>IFERROR(VLOOKUP(BCP_Soles[[#This Row],[destinatario]],CHOOSE({1,2},Clientes_Proveedores[Razon Social],Clientes_Proveedores[Ruc / Dni]),2,0),"")</f>
        <v>10736055631</v>
      </c>
      <c r="W3163" s="25"/>
      <c r="X3163" s="25"/>
      <c r="Y3163" s="25"/>
      <c r="Z3163" s="77"/>
      <c r="AA3163" s="3" t="str">
        <f>IF(BCP_Soles[[#This Row],[fecha]]&gt;0,TEXT(BCP_Soles[[#This Row],[fecha]],"mmmm"),0)</f>
        <v>Agosto</v>
      </c>
    </row>
    <row r="3164" spans="1:27" ht="24" x14ac:dyDescent="0.3">
      <c r="A3164" s="2">
        <f>IF(BCP_Soles[[#This Row],[tipo_registro]]="R",COUNTIFS($C$1:$C3163,"R")+1,A3163)</f>
        <v>2153</v>
      </c>
      <c r="B3164" s="19" t="str">
        <f t="shared" si="256"/>
        <v>B-BCP - Soles</v>
      </c>
      <c r="C3164" s="3" t="s">
        <v>1330</v>
      </c>
      <c r="D3164" s="14">
        <v>45877</v>
      </c>
      <c r="E3164" s="5" t="s">
        <v>1338</v>
      </c>
      <c r="F3164" s="5" t="s">
        <v>1336</v>
      </c>
      <c r="G3164" s="6" t="s">
        <v>829</v>
      </c>
      <c r="H3164" s="6"/>
      <c r="I3164" s="6"/>
      <c r="J3164" s="6"/>
      <c r="K3164" s="7" t="s">
        <v>4123</v>
      </c>
      <c r="L3164" s="8">
        <v>1144061</v>
      </c>
      <c r="M3164" s="8" t="str">
        <f t="shared" si="257"/>
        <v>PEN</v>
      </c>
      <c r="N3164" s="13"/>
      <c r="O3164" s="13">
        <v>2752.11</v>
      </c>
      <c r="P3164" s="3">
        <f t="shared" si="258"/>
        <v>0</v>
      </c>
      <c r="Q3164" s="3">
        <f t="shared" si="259"/>
        <v>2752.11</v>
      </c>
      <c r="R3164" s="3">
        <f t="shared" si="255"/>
        <v>63382.76999999999</v>
      </c>
      <c r="S3164" s="24"/>
      <c r="T3164" s="24" t="s">
        <v>1334</v>
      </c>
      <c r="U3164" s="55"/>
      <c r="V3164" s="25">
        <f>IFERROR(VLOOKUP(BCP_Soles[[#This Row],[destinatario]],CHOOSE({1,2},Clientes_Proveedores[Razon Social],Clientes_Proveedores[Ruc / Dni]),2,0),"")</f>
        <v>70198916</v>
      </c>
      <c r="W3164" s="25"/>
      <c r="X3164" s="25"/>
      <c r="Y3164" s="25"/>
      <c r="Z3164" s="77"/>
      <c r="AA3164" s="3" t="str">
        <f>IF(BCP_Soles[[#This Row],[fecha]]&gt;0,TEXT(BCP_Soles[[#This Row],[fecha]],"mmmm"),0)</f>
        <v>Agosto</v>
      </c>
    </row>
    <row r="3165" spans="1:27" ht="24" x14ac:dyDescent="0.3">
      <c r="A3165" s="2">
        <f>IF(BCP_Soles[[#This Row],[tipo_registro]]="R",COUNTIFS($C$1:$C3164,"R")+1,A3164)</f>
        <v>2154</v>
      </c>
      <c r="B3165" s="19" t="str">
        <f t="shared" si="256"/>
        <v>B-BCP - Soles</v>
      </c>
      <c r="C3165" s="3" t="s">
        <v>1330</v>
      </c>
      <c r="D3165" s="14">
        <v>45877</v>
      </c>
      <c r="E3165" s="5" t="s">
        <v>1338</v>
      </c>
      <c r="F3165" s="5" t="s">
        <v>1336</v>
      </c>
      <c r="G3165" s="6" t="s">
        <v>1019</v>
      </c>
      <c r="H3165" s="6"/>
      <c r="I3165" s="6"/>
      <c r="J3165" s="6"/>
      <c r="K3165" s="7" t="s">
        <v>4124</v>
      </c>
      <c r="L3165" s="8">
        <v>1145541</v>
      </c>
      <c r="M3165" s="8" t="str">
        <f t="shared" si="257"/>
        <v>PEN</v>
      </c>
      <c r="N3165" s="13"/>
      <c r="O3165" s="13">
        <v>1743.6</v>
      </c>
      <c r="P3165" s="3">
        <f t="shared" si="258"/>
        <v>0</v>
      </c>
      <c r="Q3165" s="3">
        <f t="shared" si="259"/>
        <v>1743.6</v>
      </c>
      <c r="R3165" s="3">
        <f t="shared" si="255"/>
        <v>61639.169999999991</v>
      </c>
      <c r="S3165" s="24"/>
      <c r="T3165" s="24" t="s">
        <v>1334</v>
      </c>
      <c r="U3165" s="55"/>
      <c r="V3165" s="25">
        <f>IFERROR(VLOOKUP(BCP_Soles[[#This Row],[destinatario]],CHOOSE({1,2},Clientes_Proveedores[Razon Social],Clientes_Proveedores[Ruc / Dni]),2,0),"")</f>
        <v>71654750</v>
      </c>
      <c r="W3165" s="25"/>
      <c r="X3165" s="25"/>
      <c r="Y3165" s="25"/>
      <c r="Z3165" s="77"/>
      <c r="AA3165" s="3" t="str">
        <f>IF(BCP_Soles[[#This Row],[fecha]]&gt;0,TEXT(BCP_Soles[[#This Row],[fecha]],"mmmm"),0)</f>
        <v>Agosto</v>
      </c>
    </row>
    <row r="3166" spans="1:27" x14ac:dyDescent="0.3">
      <c r="A3166" s="2">
        <f>IF(BCP_Soles[[#This Row],[tipo_registro]]="R",COUNTIFS($C$1:$C3165,"R")+1,A3165)</f>
        <v>2155</v>
      </c>
      <c r="B3166" s="19" t="str">
        <f t="shared" si="256"/>
        <v>B-BCP - Soles</v>
      </c>
      <c r="C3166" s="3" t="s">
        <v>1330</v>
      </c>
      <c r="D3166" s="14">
        <v>45877</v>
      </c>
      <c r="E3166" s="5" t="s">
        <v>1338</v>
      </c>
      <c r="F3166" s="5" t="s">
        <v>1336</v>
      </c>
      <c r="G3166" s="6" t="s">
        <v>925</v>
      </c>
      <c r="H3166" s="6"/>
      <c r="I3166" s="6"/>
      <c r="J3166" s="6"/>
      <c r="K3166" s="7" t="s">
        <v>4125</v>
      </c>
      <c r="L3166" s="8">
        <v>1145542</v>
      </c>
      <c r="M3166" s="8" t="str">
        <f t="shared" si="257"/>
        <v>PEN</v>
      </c>
      <c r="N3166" s="13"/>
      <c r="O3166" s="13">
        <v>2351.41</v>
      </c>
      <c r="P3166" s="3">
        <f t="shared" si="258"/>
        <v>0</v>
      </c>
      <c r="Q3166" s="3">
        <f t="shared" si="259"/>
        <v>2351.41</v>
      </c>
      <c r="R3166" s="3">
        <f t="shared" si="255"/>
        <v>59287.759999999995</v>
      </c>
      <c r="S3166" s="24"/>
      <c r="T3166" s="24" t="s">
        <v>1334</v>
      </c>
      <c r="U3166" s="55"/>
      <c r="V3166" s="25">
        <f>IFERROR(VLOOKUP(BCP_Soles[[#This Row],[destinatario]],CHOOSE({1,2},Clientes_Proveedores[Razon Social],Clientes_Proveedores[Ruc / Dni]),2,0),"")</f>
        <v>73530159</v>
      </c>
      <c r="W3166" s="25"/>
      <c r="X3166" s="25"/>
      <c r="Y3166" s="25"/>
      <c r="Z3166" s="77"/>
      <c r="AA3166" s="3" t="str">
        <f>IF(BCP_Soles[[#This Row],[fecha]]&gt;0,TEXT(BCP_Soles[[#This Row],[fecha]],"mmmm"),0)</f>
        <v>Agosto</v>
      </c>
    </row>
    <row r="3167" spans="1:27" ht="24" x14ac:dyDescent="0.3">
      <c r="A3167" s="2">
        <f>IF(BCP_Soles[[#This Row],[tipo_registro]]="R",COUNTIFS($C$1:$C3166,"R")+1,A3166)</f>
        <v>2156</v>
      </c>
      <c r="B3167" s="19" t="str">
        <f t="shared" si="256"/>
        <v>B-BCP - Soles</v>
      </c>
      <c r="C3167" s="3" t="s">
        <v>1330</v>
      </c>
      <c r="D3167" s="14">
        <v>45877</v>
      </c>
      <c r="E3167" s="5" t="s">
        <v>1338</v>
      </c>
      <c r="F3167" s="5" t="s">
        <v>1336</v>
      </c>
      <c r="G3167" s="6" t="s">
        <v>1022</v>
      </c>
      <c r="H3167" s="6"/>
      <c r="I3167" s="6"/>
      <c r="J3167" s="6"/>
      <c r="K3167" s="7" t="s">
        <v>4126</v>
      </c>
      <c r="L3167" s="8">
        <v>1145042</v>
      </c>
      <c r="M3167" s="8" t="str">
        <f t="shared" si="257"/>
        <v>PEN</v>
      </c>
      <c r="N3167" s="13"/>
      <c r="O3167" s="13">
        <v>1025.46</v>
      </c>
      <c r="P3167" s="3">
        <f t="shared" si="258"/>
        <v>0</v>
      </c>
      <c r="Q3167" s="3">
        <f t="shared" si="259"/>
        <v>1025.46</v>
      </c>
      <c r="R3167" s="3">
        <f t="shared" si="255"/>
        <v>58262.299999999996</v>
      </c>
      <c r="S3167" s="24"/>
      <c r="T3167" s="24" t="s">
        <v>1334</v>
      </c>
      <c r="U3167" s="55"/>
      <c r="V3167" s="25">
        <f>IFERROR(VLOOKUP(BCP_Soles[[#This Row],[destinatario]],CHOOSE({1,2},Clientes_Proveedores[Razon Social],Clientes_Proveedores[Ruc / Dni]),2,0),"")</f>
        <v>73376012</v>
      </c>
      <c r="W3167" s="25"/>
      <c r="X3167" s="25"/>
      <c r="Y3167" s="25"/>
      <c r="Z3167" s="77"/>
      <c r="AA3167" s="3" t="str">
        <f>IF(BCP_Soles[[#This Row],[fecha]]&gt;0,TEXT(BCP_Soles[[#This Row],[fecha]],"mmmm"),0)</f>
        <v>Agosto</v>
      </c>
    </row>
    <row r="3168" spans="1:27" ht="24" x14ac:dyDescent="0.3">
      <c r="A3168" s="2">
        <f>IF(BCP_Soles[[#This Row],[tipo_registro]]="R",COUNTIFS($C$1:$C3167,"R")+1,A3167)</f>
        <v>2157</v>
      </c>
      <c r="B3168" s="19" t="str">
        <f t="shared" si="256"/>
        <v>B-BCP - Soles</v>
      </c>
      <c r="C3168" s="3" t="s">
        <v>1330</v>
      </c>
      <c r="D3168" s="14">
        <v>45877</v>
      </c>
      <c r="E3168" s="5" t="s">
        <v>1338</v>
      </c>
      <c r="F3168" s="5" t="s">
        <v>1336</v>
      </c>
      <c r="G3168" s="6" t="s">
        <v>1013</v>
      </c>
      <c r="H3168" s="6"/>
      <c r="I3168" s="6"/>
      <c r="J3168" s="6"/>
      <c r="K3168" s="7" t="s">
        <v>4127</v>
      </c>
      <c r="L3168" s="8">
        <v>1144542</v>
      </c>
      <c r="M3168" s="8" t="str">
        <f t="shared" si="257"/>
        <v>PEN</v>
      </c>
      <c r="N3168" s="13"/>
      <c r="O3168" s="13">
        <v>1014.31</v>
      </c>
      <c r="P3168" s="3">
        <f t="shared" si="258"/>
        <v>0</v>
      </c>
      <c r="Q3168" s="3">
        <f t="shared" si="259"/>
        <v>1014.31</v>
      </c>
      <c r="R3168" s="3">
        <f t="shared" si="255"/>
        <v>57247.99</v>
      </c>
      <c r="S3168" s="24"/>
      <c r="T3168" s="24" t="s">
        <v>1334</v>
      </c>
      <c r="U3168" s="55"/>
      <c r="V3168" s="25">
        <f>IFERROR(VLOOKUP(BCP_Soles[[#This Row],[destinatario]],CHOOSE({1,2},Clientes_Proveedores[Razon Social],Clientes_Proveedores[Ruc / Dni]),2,0),"")</f>
        <v>60945818</v>
      </c>
      <c r="W3168" s="25"/>
      <c r="X3168" s="25"/>
      <c r="Y3168" s="25"/>
      <c r="Z3168" s="77"/>
      <c r="AA3168" s="3" t="str">
        <f>IF(BCP_Soles[[#This Row],[fecha]]&gt;0,TEXT(BCP_Soles[[#This Row],[fecha]],"mmmm"),0)</f>
        <v>Agosto</v>
      </c>
    </row>
    <row r="3169" spans="1:27" x14ac:dyDescent="0.3">
      <c r="A3169" s="2">
        <f>IF(BCP_Soles[[#This Row],[tipo_registro]]="R",COUNTIFS($C$1:$C3168,"R")+1,A3168)</f>
        <v>2158</v>
      </c>
      <c r="B3169" s="19" t="str">
        <f t="shared" si="256"/>
        <v>B-BCP - Soles</v>
      </c>
      <c r="C3169" s="3" t="s">
        <v>1330</v>
      </c>
      <c r="D3169" s="14">
        <v>45877</v>
      </c>
      <c r="E3169" s="5" t="s">
        <v>1338</v>
      </c>
      <c r="F3169" s="5" t="s">
        <v>1336</v>
      </c>
      <c r="G3169" s="6" t="s">
        <v>196</v>
      </c>
      <c r="H3169" s="6" t="s">
        <v>68</v>
      </c>
      <c r="I3169" s="6" t="s">
        <v>2226</v>
      </c>
      <c r="J3169" s="6">
        <v>6708</v>
      </c>
      <c r="K3169" s="7" t="s">
        <v>2227</v>
      </c>
      <c r="L3169" s="8">
        <v>147001</v>
      </c>
      <c r="M3169" s="8" t="str">
        <f t="shared" si="257"/>
        <v>PEN</v>
      </c>
      <c r="N3169" s="13"/>
      <c r="O3169" s="13">
        <v>302.18</v>
      </c>
      <c r="P3169" s="3">
        <f t="shared" si="258"/>
        <v>0</v>
      </c>
      <c r="Q3169" s="3">
        <f t="shared" si="259"/>
        <v>302.18</v>
      </c>
      <c r="R3169" s="3">
        <f t="shared" si="255"/>
        <v>56945.81</v>
      </c>
      <c r="S3169" s="24" t="s">
        <v>1334</v>
      </c>
      <c r="T3169" s="24" t="s">
        <v>1334</v>
      </c>
      <c r="U3169" s="79" t="s">
        <v>4128</v>
      </c>
      <c r="V3169" s="25">
        <f>IFERROR(VLOOKUP(BCP_Soles[[#This Row],[destinatario]],CHOOSE({1,2},Clientes_Proveedores[Razon Social],Clientes_Proveedores[Ruc / Dni]),2,0),"")</f>
        <v>20100055237</v>
      </c>
      <c r="W3169" s="25"/>
      <c r="X3169" s="25"/>
      <c r="Y3169" s="25"/>
      <c r="Z3169" s="77"/>
      <c r="AA3169" s="3" t="str">
        <f>IF(BCP_Soles[[#This Row],[fecha]]&gt;0,TEXT(BCP_Soles[[#This Row],[fecha]],"mmmm"),0)</f>
        <v>Agosto</v>
      </c>
    </row>
    <row r="3170" spans="1:27" x14ac:dyDescent="0.3">
      <c r="A3170" s="2">
        <f>IF(BCP_Soles[[#This Row],[tipo_registro]]="R",COUNTIFS($C$1:$C3169,"R")+1,A3169)</f>
        <v>2159</v>
      </c>
      <c r="B3170" s="19" t="str">
        <f t="shared" si="256"/>
        <v>B-BCP - Soles</v>
      </c>
      <c r="C3170" s="3" t="s">
        <v>1330</v>
      </c>
      <c r="D3170" s="14">
        <v>45877</v>
      </c>
      <c r="E3170" s="5" t="s">
        <v>1338</v>
      </c>
      <c r="F3170" s="5" t="s">
        <v>1336</v>
      </c>
      <c r="G3170" s="6" t="s">
        <v>196</v>
      </c>
      <c r="H3170" s="6" t="s">
        <v>68</v>
      </c>
      <c r="I3170" s="6" t="s">
        <v>2226</v>
      </c>
      <c r="J3170" s="6">
        <v>6709</v>
      </c>
      <c r="K3170" s="7" t="s">
        <v>2227</v>
      </c>
      <c r="L3170" s="8">
        <v>144062</v>
      </c>
      <c r="M3170" s="8" t="str">
        <f t="shared" si="257"/>
        <v>PEN</v>
      </c>
      <c r="N3170" s="13"/>
      <c r="O3170" s="13">
        <v>50.59</v>
      </c>
      <c r="P3170" s="3">
        <f t="shared" si="258"/>
        <v>0</v>
      </c>
      <c r="Q3170" s="3">
        <f t="shared" si="259"/>
        <v>50.59</v>
      </c>
      <c r="R3170" s="3">
        <f t="shared" si="255"/>
        <v>56895.22</v>
      </c>
      <c r="S3170" s="24" t="s">
        <v>1334</v>
      </c>
      <c r="T3170" s="24" t="s">
        <v>1334</v>
      </c>
      <c r="U3170" s="79" t="s">
        <v>4129</v>
      </c>
      <c r="V3170" s="25">
        <f>IFERROR(VLOOKUP(BCP_Soles[[#This Row],[destinatario]],CHOOSE({1,2},Clientes_Proveedores[Razon Social],Clientes_Proveedores[Ruc / Dni]),2,0),"")</f>
        <v>20100055237</v>
      </c>
      <c r="W3170" s="25"/>
      <c r="X3170" s="25"/>
      <c r="Y3170" s="25"/>
      <c r="Z3170" s="77"/>
      <c r="AA3170" s="3" t="str">
        <f>IF(BCP_Soles[[#This Row],[fecha]]&gt;0,TEXT(BCP_Soles[[#This Row],[fecha]],"mmmm"),0)</f>
        <v>Agosto</v>
      </c>
    </row>
    <row r="3171" spans="1:27" x14ac:dyDescent="0.3">
      <c r="A3171" s="2">
        <f>IF(BCP_Soles[[#This Row],[tipo_registro]]="R",COUNTIFS($C$1:$C3170,"R")+1,A3170)</f>
        <v>2160</v>
      </c>
      <c r="B3171" s="19" t="str">
        <f t="shared" si="256"/>
        <v>B-BCP - Soles</v>
      </c>
      <c r="C3171" s="3" t="s">
        <v>1330</v>
      </c>
      <c r="D3171" s="14">
        <v>45877</v>
      </c>
      <c r="E3171" s="5" t="s">
        <v>1338</v>
      </c>
      <c r="F3171" s="5" t="s">
        <v>1336</v>
      </c>
      <c r="G3171" s="6" t="s">
        <v>196</v>
      </c>
      <c r="H3171" s="6" t="s">
        <v>68</v>
      </c>
      <c r="I3171" s="6" t="s">
        <v>2226</v>
      </c>
      <c r="J3171" s="6">
        <v>6706</v>
      </c>
      <c r="K3171" s="7" t="s">
        <v>2227</v>
      </c>
      <c r="L3171" s="8">
        <v>143497</v>
      </c>
      <c r="M3171" s="8" t="str">
        <f t="shared" si="257"/>
        <v>PEN</v>
      </c>
      <c r="N3171" s="13"/>
      <c r="O3171" s="13">
        <v>288.83999999999997</v>
      </c>
      <c r="P3171" s="3">
        <f t="shared" si="258"/>
        <v>0</v>
      </c>
      <c r="Q3171" s="3">
        <f t="shared" si="259"/>
        <v>288.83999999999997</v>
      </c>
      <c r="R3171" s="3">
        <f t="shared" si="255"/>
        <v>56606.380000000005</v>
      </c>
      <c r="S3171" s="24" t="s">
        <v>1334</v>
      </c>
      <c r="T3171" s="24" t="s">
        <v>1334</v>
      </c>
      <c r="U3171" s="79" t="s">
        <v>4130</v>
      </c>
      <c r="V3171" s="25">
        <f>IFERROR(VLOOKUP(BCP_Soles[[#This Row],[destinatario]],CHOOSE({1,2},Clientes_Proveedores[Razon Social],Clientes_Proveedores[Ruc / Dni]),2,0),"")</f>
        <v>20100055237</v>
      </c>
      <c r="W3171" s="25"/>
      <c r="X3171" s="25"/>
      <c r="Y3171" s="25"/>
      <c r="Z3171" s="77"/>
      <c r="AA3171" s="3" t="str">
        <f>IF(BCP_Soles[[#This Row],[fecha]]&gt;0,TEXT(BCP_Soles[[#This Row],[fecha]],"mmmm"),0)</f>
        <v>Agosto</v>
      </c>
    </row>
    <row r="3172" spans="1:27" x14ac:dyDescent="0.3">
      <c r="A3172" s="2">
        <f>IF(BCP_Soles[[#This Row],[tipo_registro]]="R",COUNTIFS($C$1:$C3171,"R")+1,A3171)</f>
        <v>2161</v>
      </c>
      <c r="B3172" s="19" t="str">
        <f t="shared" si="256"/>
        <v>B-BCP - Soles</v>
      </c>
      <c r="C3172" s="3" t="s">
        <v>1330</v>
      </c>
      <c r="D3172" s="14">
        <v>45877</v>
      </c>
      <c r="E3172" s="5" t="s">
        <v>1338</v>
      </c>
      <c r="F3172" s="5" t="s">
        <v>1336</v>
      </c>
      <c r="G3172" s="6" t="s">
        <v>196</v>
      </c>
      <c r="H3172" s="6" t="s">
        <v>68</v>
      </c>
      <c r="I3172" s="6" t="s">
        <v>2226</v>
      </c>
      <c r="J3172" s="6">
        <v>6707</v>
      </c>
      <c r="K3172" s="7" t="s">
        <v>2227</v>
      </c>
      <c r="L3172" s="8">
        <v>143496</v>
      </c>
      <c r="M3172" s="8" t="str">
        <f t="shared" si="257"/>
        <v>PEN</v>
      </c>
      <c r="N3172" s="13"/>
      <c r="O3172" s="13">
        <v>5.37</v>
      </c>
      <c r="P3172" s="3">
        <f t="shared" si="258"/>
        <v>0</v>
      </c>
      <c r="Q3172" s="3">
        <f t="shared" si="259"/>
        <v>5.37</v>
      </c>
      <c r="R3172" s="3">
        <f t="shared" si="255"/>
        <v>56601.01</v>
      </c>
      <c r="S3172" s="24" t="s">
        <v>1334</v>
      </c>
      <c r="T3172" s="24" t="s">
        <v>1334</v>
      </c>
      <c r="U3172" s="79" t="s">
        <v>4131</v>
      </c>
      <c r="V3172" s="25">
        <f>IFERROR(VLOOKUP(BCP_Soles[[#This Row],[destinatario]],CHOOSE({1,2},Clientes_Proveedores[Razon Social],Clientes_Proveedores[Ruc / Dni]),2,0),"")</f>
        <v>20100055237</v>
      </c>
      <c r="W3172" s="25"/>
      <c r="X3172" s="25"/>
      <c r="Y3172" s="25"/>
      <c r="Z3172" s="77"/>
      <c r="AA3172" s="3" t="str">
        <f>IF(BCP_Soles[[#This Row],[fecha]]&gt;0,TEXT(BCP_Soles[[#This Row],[fecha]],"mmmm"),0)</f>
        <v>Agosto</v>
      </c>
    </row>
    <row r="3173" spans="1:27" x14ac:dyDescent="0.3">
      <c r="A3173" s="2">
        <f>IF(BCP_Soles[[#This Row],[tipo_registro]]="R",COUNTIFS($C$1:$C3172,"R")+1,A3172)</f>
        <v>2162</v>
      </c>
      <c r="B3173" s="19" t="str">
        <f t="shared" si="256"/>
        <v>B-BCP - Soles</v>
      </c>
      <c r="C3173" s="3" t="s">
        <v>1330</v>
      </c>
      <c r="D3173" s="14">
        <v>45877</v>
      </c>
      <c r="E3173" s="5" t="s">
        <v>1338</v>
      </c>
      <c r="F3173" s="5" t="s">
        <v>1336</v>
      </c>
      <c r="G3173" s="6" t="s">
        <v>196</v>
      </c>
      <c r="H3173" s="6" t="s">
        <v>68</v>
      </c>
      <c r="I3173" s="6" t="s">
        <v>2226</v>
      </c>
      <c r="J3173" s="6">
        <v>6705</v>
      </c>
      <c r="K3173" s="7" t="s">
        <v>2227</v>
      </c>
      <c r="L3173" s="8">
        <v>144063</v>
      </c>
      <c r="M3173" s="8" t="str">
        <f t="shared" si="257"/>
        <v>PEN</v>
      </c>
      <c r="N3173" s="13"/>
      <c r="O3173" s="13">
        <v>149.22999999999999</v>
      </c>
      <c r="P3173" s="3">
        <f t="shared" si="258"/>
        <v>0</v>
      </c>
      <c r="Q3173" s="3">
        <f t="shared" si="259"/>
        <v>149.22999999999999</v>
      </c>
      <c r="R3173" s="3">
        <f t="shared" si="255"/>
        <v>56451.78</v>
      </c>
      <c r="S3173" s="24" t="s">
        <v>1334</v>
      </c>
      <c r="T3173" s="24" t="s">
        <v>1334</v>
      </c>
      <c r="U3173" s="79" t="s">
        <v>4132</v>
      </c>
      <c r="V3173" s="25">
        <f>IFERROR(VLOOKUP(BCP_Soles[[#This Row],[destinatario]],CHOOSE({1,2},Clientes_Proveedores[Razon Social],Clientes_Proveedores[Ruc / Dni]),2,0),"")</f>
        <v>20100055237</v>
      </c>
      <c r="W3173" s="25"/>
      <c r="X3173" s="25"/>
      <c r="Y3173" s="25"/>
      <c r="Z3173" s="77"/>
      <c r="AA3173" s="3" t="str">
        <f>IF(BCP_Soles[[#This Row],[fecha]]&gt;0,TEXT(BCP_Soles[[#This Row],[fecha]],"mmmm"),0)</f>
        <v>Agosto</v>
      </c>
    </row>
    <row r="3174" spans="1:27" x14ac:dyDescent="0.3">
      <c r="A3174" s="2">
        <f>IF(BCP_Soles[[#This Row],[tipo_registro]]="R",COUNTIFS($C$1:$C3173,"R")+1,A3173)</f>
        <v>2163</v>
      </c>
      <c r="B3174" s="19" t="str">
        <f t="shared" si="256"/>
        <v>B-BCP - Soles</v>
      </c>
      <c r="C3174" s="3" t="s">
        <v>1330</v>
      </c>
      <c r="D3174" s="14">
        <v>45877</v>
      </c>
      <c r="E3174" s="5" t="s">
        <v>1338</v>
      </c>
      <c r="F3174" s="5" t="s">
        <v>1336</v>
      </c>
      <c r="G3174" s="6" t="s">
        <v>328</v>
      </c>
      <c r="H3174" s="6" t="s">
        <v>68</v>
      </c>
      <c r="I3174" s="6" t="s">
        <v>1374</v>
      </c>
      <c r="J3174" s="6">
        <v>8555</v>
      </c>
      <c r="K3174" s="7" t="s">
        <v>4133</v>
      </c>
      <c r="L3174" s="8">
        <v>1146031</v>
      </c>
      <c r="M3174" s="8" t="str">
        <f t="shared" si="257"/>
        <v>PEN</v>
      </c>
      <c r="N3174" s="13"/>
      <c r="O3174" s="13">
        <v>90</v>
      </c>
      <c r="P3174" s="3">
        <f t="shared" si="258"/>
        <v>0</v>
      </c>
      <c r="Q3174" s="3">
        <f t="shared" si="259"/>
        <v>90</v>
      </c>
      <c r="R3174" s="3">
        <f t="shared" si="255"/>
        <v>56361.78</v>
      </c>
      <c r="S3174" s="24" t="s">
        <v>1334</v>
      </c>
      <c r="T3174" s="24" t="s">
        <v>1334</v>
      </c>
      <c r="U3174" s="55"/>
      <c r="V3174" s="25">
        <f>IFERROR(VLOOKUP(BCP_Soles[[#This Row],[destinatario]],CHOOSE({1,2},Clientes_Proveedores[Razon Social],Clientes_Proveedores[Ruc / Dni]),2,0),"")</f>
        <v>20498041567</v>
      </c>
      <c r="W3174" s="25"/>
      <c r="X3174" s="25"/>
      <c r="Y3174" s="25"/>
      <c r="Z3174" s="77"/>
      <c r="AA3174" s="3" t="str">
        <f>IF(BCP_Soles[[#This Row],[fecha]]&gt;0,TEXT(BCP_Soles[[#This Row],[fecha]],"mmmm"),0)</f>
        <v>Agosto</v>
      </c>
    </row>
    <row r="3175" spans="1:27" x14ac:dyDescent="0.3">
      <c r="A3175" s="2">
        <f>IF(BCP_Soles[[#This Row],[tipo_registro]]="R",COUNTIFS($C$1:$C3174,"R")+1,A3174)</f>
        <v>2164</v>
      </c>
      <c r="B3175" s="19" t="str">
        <f t="shared" si="256"/>
        <v>B-BCP - Soles</v>
      </c>
      <c r="C3175" s="3" t="s">
        <v>1330</v>
      </c>
      <c r="D3175" s="14">
        <v>45877</v>
      </c>
      <c r="E3175" s="5" t="s">
        <v>1338</v>
      </c>
      <c r="F3175" s="5" t="s">
        <v>1336</v>
      </c>
      <c r="G3175" s="6" t="s">
        <v>196</v>
      </c>
      <c r="H3175" s="6" t="s">
        <v>68</v>
      </c>
      <c r="I3175" s="6" t="s">
        <v>2226</v>
      </c>
      <c r="J3175" s="6">
        <v>6710</v>
      </c>
      <c r="K3175" s="7" t="s">
        <v>2227</v>
      </c>
      <c r="L3175" s="8">
        <v>145543</v>
      </c>
      <c r="M3175" s="8" t="str">
        <f t="shared" si="257"/>
        <v>PEN</v>
      </c>
      <c r="N3175" s="13"/>
      <c r="O3175" s="13">
        <v>609.44000000000005</v>
      </c>
      <c r="P3175" s="3">
        <f t="shared" si="258"/>
        <v>0</v>
      </c>
      <c r="Q3175" s="3">
        <f t="shared" si="259"/>
        <v>609.44000000000005</v>
      </c>
      <c r="R3175" s="3">
        <f t="shared" si="255"/>
        <v>55752.34</v>
      </c>
      <c r="S3175" s="24" t="s">
        <v>1334</v>
      </c>
      <c r="T3175" s="24" t="s">
        <v>1334</v>
      </c>
      <c r="U3175" s="79" t="s">
        <v>4134</v>
      </c>
      <c r="V3175" s="25">
        <f>IFERROR(VLOOKUP(BCP_Soles[[#This Row],[destinatario]],CHOOSE({1,2},Clientes_Proveedores[Razon Social],Clientes_Proveedores[Ruc / Dni]),2,0),"")</f>
        <v>20100055237</v>
      </c>
      <c r="W3175" s="25"/>
      <c r="X3175" s="25"/>
      <c r="Y3175" s="25"/>
      <c r="Z3175" s="77"/>
      <c r="AA3175" s="3" t="str">
        <f>IF(BCP_Soles[[#This Row],[fecha]]&gt;0,TEXT(BCP_Soles[[#This Row],[fecha]],"mmmm"),0)</f>
        <v>Agosto</v>
      </c>
    </row>
    <row r="3176" spans="1:27" x14ac:dyDescent="0.3">
      <c r="A3176" s="105">
        <f>IF(BCP_Soles[[#This Row],[tipo_registro]]="R",COUNTIFS($C$1:$C3175,"R")+1,A3175)</f>
        <v>2165</v>
      </c>
      <c r="B3176" s="74" t="str">
        <f t="shared" si="256"/>
        <v>B-BCP - Soles</v>
      </c>
      <c r="C3176" s="73" t="s">
        <v>1330</v>
      </c>
      <c r="D3176" s="14">
        <v>45877</v>
      </c>
      <c r="E3176" s="5" t="s">
        <v>1338</v>
      </c>
      <c r="F3176" s="5" t="s">
        <v>1336</v>
      </c>
      <c r="G3176" s="6" t="s">
        <v>696</v>
      </c>
      <c r="H3176" s="6"/>
      <c r="I3176" s="6"/>
      <c r="J3176" s="6"/>
      <c r="K3176" s="106" t="s">
        <v>4135</v>
      </c>
      <c r="L3176" s="8">
        <v>9810014</v>
      </c>
      <c r="M3176" s="8" t="str">
        <f t="shared" si="257"/>
        <v>PEN</v>
      </c>
      <c r="N3176" s="9"/>
      <c r="O3176" s="9">
        <v>705.05</v>
      </c>
      <c r="P3176" s="73">
        <f t="shared" si="258"/>
        <v>0</v>
      </c>
      <c r="Q3176" s="73">
        <f t="shared" si="259"/>
        <v>705.05</v>
      </c>
      <c r="R3176" s="73">
        <f t="shared" si="255"/>
        <v>55047.289999999994</v>
      </c>
      <c r="S3176" s="95" t="s">
        <v>1334</v>
      </c>
      <c r="T3176" s="95" t="s">
        <v>1334</v>
      </c>
      <c r="U3176" s="81" t="s">
        <v>4136</v>
      </c>
      <c r="V3176" s="72">
        <f>IFERROR(VLOOKUP(BCP_Soles[[#This Row],[destinatario]],CHOOSE({1,2},Clientes_Proveedores[Razon Social],Clientes_Proveedores[Ruc / Dni]),2,0),"")</f>
        <v>0</v>
      </c>
      <c r="W3176" s="72"/>
      <c r="X3176" s="72"/>
      <c r="Y3176" s="72"/>
      <c r="Z3176" s="78"/>
      <c r="AA3176" s="73" t="str">
        <f>IF(BCP_Soles[[#This Row],[fecha]]&gt;0,TEXT(BCP_Soles[[#This Row],[fecha]],"mmmm"),0)</f>
        <v>Agosto</v>
      </c>
    </row>
    <row r="3177" spans="1:27" ht="24" x14ac:dyDescent="0.3">
      <c r="A3177" s="105">
        <f>IF(BCP_Soles[[#This Row],[tipo_registro]]="R",COUNTIFS($C$1:$C3176,"R")+1,A3176)</f>
        <v>2165</v>
      </c>
      <c r="B3177" s="74" t="str">
        <f t="shared" si="256"/>
        <v>B-BCP - Soles</v>
      </c>
      <c r="C3177" s="73" t="s">
        <v>1352</v>
      </c>
      <c r="D3177" s="14">
        <v>45877</v>
      </c>
      <c r="E3177" s="5" t="s">
        <v>1338</v>
      </c>
      <c r="F3177" s="5"/>
      <c r="G3177" s="6" t="s">
        <v>594</v>
      </c>
      <c r="H3177" s="6" t="s">
        <v>68</v>
      </c>
      <c r="I3177" s="6" t="s">
        <v>1376</v>
      </c>
      <c r="J3177" s="6">
        <v>2337</v>
      </c>
      <c r="K3177" s="106" t="s">
        <v>4135</v>
      </c>
      <c r="L3177" s="8">
        <v>9810014</v>
      </c>
      <c r="M3177" s="8" t="str">
        <f t="shared" si="257"/>
        <v>PEN</v>
      </c>
      <c r="N3177" s="9">
        <v>94.4</v>
      </c>
      <c r="O3177" s="9"/>
      <c r="P3177" s="73">
        <f t="shared" si="258"/>
        <v>0</v>
      </c>
      <c r="Q3177" s="73">
        <f t="shared" si="259"/>
        <v>0</v>
      </c>
      <c r="R3177" s="73">
        <f t="shared" si="255"/>
        <v>55047.289999999994</v>
      </c>
      <c r="S3177" s="28" t="s">
        <v>1334</v>
      </c>
      <c r="T3177" s="95" t="s">
        <v>1334</v>
      </c>
      <c r="U3177" s="81"/>
      <c r="V3177" s="72">
        <f>IFERROR(VLOOKUP(BCP_Soles[[#This Row],[destinatario]],CHOOSE({1,2},Clientes_Proveedores[Razon Social],Clientes_Proveedores[Ruc / Dni]),2,0),"")</f>
        <v>20609764261</v>
      </c>
      <c r="W3177" s="72"/>
      <c r="X3177" s="72"/>
      <c r="Y3177" s="72"/>
      <c r="Z3177" s="78"/>
      <c r="AA3177" s="73" t="str">
        <f>IF(BCP_Soles[[#This Row],[fecha]]&gt;0,TEXT(BCP_Soles[[#This Row],[fecha]],"mmmm"),0)</f>
        <v>Agosto</v>
      </c>
    </row>
    <row r="3178" spans="1:27" ht="24" x14ac:dyDescent="0.3">
      <c r="A3178" s="105">
        <f>IF(BCP_Soles[[#This Row],[tipo_registro]]="R",COUNTIFS($C$1:$C3177,"R")+1,A3177)</f>
        <v>2165</v>
      </c>
      <c r="B3178" s="74" t="str">
        <f t="shared" si="256"/>
        <v>B-BCP - Soles</v>
      </c>
      <c r="C3178" s="73" t="s">
        <v>1352</v>
      </c>
      <c r="D3178" s="14">
        <v>45877</v>
      </c>
      <c r="E3178" s="5" t="s">
        <v>1338</v>
      </c>
      <c r="F3178" s="5"/>
      <c r="G3178" s="6" t="s">
        <v>594</v>
      </c>
      <c r="H3178" s="6" t="s">
        <v>68</v>
      </c>
      <c r="I3178" s="6" t="s">
        <v>1376</v>
      </c>
      <c r="J3178" s="6">
        <v>2368</v>
      </c>
      <c r="K3178" s="106" t="s">
        <v>4135</v>
      </c>
      <c r="L3178" s="8">
        <v>9810014</v>
      </c>
      <c r="M3178" s="8" t="str">
        <f t="shared" si="257"/>
        <v>PEN</v>
      </c>
      <c r="N3178" s="9">
        <v>118</v>
      </c>
      <c r="O3178" s="9"/>
      <c r="P3178" s="73">
        <f t="shared" si="258"/>
        <v>0</v>
      </c>
      <c r="Q3178" s="73">
        <f t="shared" si="259"/>
        <v>0</v>
      </c>
      <c r="R3178" s="73">
        <f t="shared" si="255"/>
        <v>55047.289999999994</v>
      </c>
      <c r="S3178" s="28" t="s">
        <v>1334</v>
      </c>
      <c r="T3178" s="95" t="s">
        <v>1334</v>
      </c>
      <c r="U3178" s="81"/>
      <c r="V3178" s="72">
        <f>IFERROR(VLOOKUP(BCP_Soles[[#This Row],[destinatario]],CHOOSE({1,2},Clientes_Proveedores[Razon Social],Clientes_Proveedores[Ruc / Dni]),2,0),"")</f>
        <v>20609764261</v>
      </c>
      <c r="W3178" s="72"/>
      <c r="X3178" s="72"/>
      <c r="Y3178" s="72"/>
      <c r="Z3178" s="78"/>
      <c r="AA3178" s="73" t="str">
        <f>IF(BCP_Soles[[#This Row],[fecha]]&gt;0,TEXT(BCP_Soles[[#This Row],[fecha]],"mmmm"),0)</f>
        <v>Agosto</v>
      </c>
    </row>
    <row r="3179" spans="1:27" ht="24" x14ac:dyDescent="0.3">
      <c r="A3179" s="105">
        <f>IF(BCP_Soles[[#This Row],[tipo_registro]]="R",COUNTIFS($C$1:$C3178,"R")+1,A3178)</f>
        <v>2165</v>
      </c>
      <c r="B3179" s="74" t="str">
        <f t="shared" si="256"/>
        <v>B-BCP - Soles</v>
      </c>
      <c r="C3179" s="73" t="s">
        <v>1352</v>
      </c>
      <c r="D3179" s="14">
        <v>45877</v>
      </c>
      <c r="E3179" s="5" t="s">
        <v>1338</v>
      </c>
      <c r="F3179" s="5"/>
      <c r="G3179" s="6" t="s">
        <v>594</v>
      </c>
      <c r="H3179" s="6" t="s">
        <v>68</v>
      </c>
      <c r="I3179" s="6" t="s">
        <v>1376</v>
      </c>
      <c r="J3179" s="6">
        <v>2369</v>
      </c>
      <c r="K3179" s="106" t="s">
        <v>4135</v>
      </c>
      <c r="L3179" s="8">
        <v>9810014</v>
      </c>
      <c r="M3179" s="8" t="str">
        <f t="shared" si="257"/>
        <v>PEN</v>
      </c>
      <c r="N3179" s="9">
        <v>177</v>
      </c>
      <c r="O3179" s="9"/>
      <c r="P3179" s="73">
        <f t="shared" si="258"/>
        <v>0</v>
      </c>
      <c r="Q3179" s="73">
        <f t="shared" si="259"/>
        <v>0</v>
      </c>
      <c r="R3179" s="73">
        <f t="shared" si="255"/>
        <v>55047.289999999994</v>
      </c>
      <c r="S3179" s="28" t="s">
        <v>1334</v>
      </c>
      <c r="T3179" s="95" t="s">
        <v>1334</v>
      </c>
      <c r="U3179" s="81"/>
      <c r="V3179" s="72">
        <f>IFERROR(VLOOKUP(BCP_Soles[[#This Row],[destinatario]],CHOOSE({1,2},Clientes_Proveedores[Razon Social],Clientes_Proveedores[Ruc / Dni]),2,0),"")</f>
        <v>20609764261</v>
      </c>
      <c r="W3179" s="72"/>
      <c r="X3179" s="72"/>
      <c r="Y3179" s="72"/>
      <c r="Z3179" s="78"/>
      <c r="AA3179" s="73" t="str">
        <f>IF(BCP_Soles[[#This Row],[fecha]]&gt;0,TEXT(BCP_Soles[[#This Row],[fecha]],"mmmm"),0)</f>
        <v>Agosto</v>
      </c>
    </row>
    <row r="3180" spans="1:27" ht="24" x14ac:dyDescent="0.3">
      <c r="A3180" s="105">
        <f>IF(BCP_Soles[[#This Row],[tipo_registro]]="R",COUNTIFS($C$1:$C3179,"R")+1,A3179)</f>
        <v>2165</v>
      </c>
      <c r="B3180" s="74" t="str">
        <f t="shared" si="256"/>
        <v>B-BCP - Soles</v>
      </c>
      <c r="C3180" s="73" t="s">
        <v>1352</v>
      </c>
      <c r="D3180" s="14">
        <v>45877</v>
      </c>
      <c r="E3180" s="5" t="s">
        <v>1338</v>
      </c>
      <c r="F3180" s="5"/>
      <c r="G3180" s="6" t="s">
        <v>594</v>
      </c>
      <c r="H3180" s="6" t="s">
        <v>68</v>
      </c>
      <c r="I3180" s="6" t="s">
        <v>1376</v>
      </c>
      <c r="J3180" s="6">
        <v>2338</v>
      </c>
      <c r="K3180" s="106" t="s">
        <v>4135</v>
      </c>
      <c r="L3180" s="8">
        <v>9810014</v>
      </c>
      <c r="M3180" s="8" t="str">
        <f t="shared" si="257"/>
        <v>PEN</v>
      </c>
      <c r="N3180" s="9">
        <v>221.25</v>
      </c>
      <c r="O3180" s="9"/>
      <c r="P3180" s="73">
        <f t="shared" si="258"/>
        <v>0</v>
      </c>
      <c r="Q3180" s="73">
        <f t="shared" si="259"/>
        <v>0</v>
      </c>
      <c r="R3180" s="73">
        <f t="shared" si="255"/>
        <v>55047.289999999994</v>
      </c>
      <c r="S3180" s="28" t="s">
        <v>1334</v>
      </c>
      <c r="T3180" s="95" t="s">
        <v>1334</v>
      </c>
      <c r="U3180" s="81"/>
      <c r="V3180" s="72">
        <f>IFERROR(VLOOKUP(BCP_Soles[[#This Row],[destinatario]],CHOOSE({1,2},Clientes_Proveedores[Razon Social],Clientes_Proveedores[Ruc / Dni]),2,0),"")</f>
        <v>20609764261</v>
      </c>
      <c r="W3180" s="72"/>
      <c r="X3180" s="72"/>
      <c r="Y3180" s="72"/>
      <c r="Z3180" s="78"/>
      <c r="AA3180" s="73" t="str">
        <f>IF(BCP_Soles[[#This Row],[fecha]]&gt;0,TEXT(BCP_Soles[[#This Row],[fecha]],"mmmm"),0)</f>
        <v>Agosto</v>
      </c>
    </row>
    <row r="3181" spans="1:27" ht="24" x14ac:dyDescent="0.3">
      <c r="A3181" s="105">
        <f>IF(BCP_Soles[[#This Row],[tipo_registro]]="R",COUNTIFS($C$1:$C3180,"R")+1,A3180)</f>
        <v>2165</v>
      </c>
      <c r="B3181" s="74" t="str">
        <f t="shared" si="256"/>
        <v>B-BCP - Soles</v>
      </c>
      <c r="C3181" s="73" t="s">
        <v>1352</v>
      </c>
      <c r="D3181" s="14">
        <v>45877</v>
      </c>
      <c r="E3181" s="5" t="s">
        <v>1338</v>
      </c>
      <c r="F3181" s="5"/>
      <c r="G3181" s="6" t="s">
        <v>594</v>
      </c>
      <c r="H3181" s="6" t="s">
        <v>68</v>
      </c>
      <c r="I3181" s="6" t="s">
        <v>1376</v>
      </c>
      <c r="J3181" s="6">
        <v>2294</v>
      </c>
      <c r="K3181" s="106" t="s">
        <v>4135</v>
      </c>
      <c r="L3181" s="8">
        <v>9810014</v>
      </c>
      <c r="M3181" s="8" t="str">
        <f t="shared" si="257"/>
        <v>PEN</v>
      </c>
      <c r="N3181" s="9">
        <v>94.4</v>
      </c>
      <c r="O3181" s="9"/>
      <c r="P3181" s="73">
        <f t="shared" si="258"/>
        <v>0</v>
      </c>
      <c r="Q3181" s="73">
        <f t="shared" si="259"/>
        <v>0</v>
      </c>
      <c r="R3181" s="73">
        <f t="shared" si="255"/>
        <v>55047.289999999994</v>
      </c>
      <c r="S3181" s="28" t="s">
        <v>1334</v>
      </c>
      <c r="T3181" s="95" t="s">
        <v>1334</v>
      </c>
      <c r="U3181" s="81"/>
      <c r="V3181" s="72">
        <f>IFERROR(VLOOKUP(BCP_Soles[[#This Row],[destinatario]],CHOOSE({1,2},Clientes_Proveedores[Razon Social],Clientes_Proveedores[Ruc / Dni]),2,0),"")</f>
        <v>20609764261</v>
      </c>
      <c r="W3181" s="72"/>
      <c r="X3181" s="72"/>
      <c r="Y3181" s="72"/>
      <c r="Z3181" s="78"/>
      <c r="AA3181" s="73" t="str">
        <f>IF(BCP_Soles[[#This Row],[fecha]]&gt;0,TEXT(BCP_Soles[[#This Row],[fecha]],"mmmm"),0)</f>
        <v>Agosto</v>
      </c>
    </row>
    <row r="3182" spans="1:27" x14ac:dyDescent="0.3">
      <c r="A3182" s="2">
        <f>IF(BCP_Soles[[#This Row],[tipo_registro]]="R",COUNTIFS($C$1:$C3181,"R")+1,A3181)</f>
        <v>2166</v>
      </c>
      <c r="B3182" s="19" t="str">
        <f t="shared" si="256"/>
        <v>B-BCP - Soles</v>
      </c>
      <c r="C3182" s="3" t="s">
        <v>1330</v>
      </c>
      <c r="D3182" s="14">
        <v>45877</v>
      </c>
      <c r="E3182" s="5" t="s">
        <v>1338</v>
      </c>
      <c r="F3182" s="5" t="s">
        <v>1336</v>
      </c>
      <c r="G3182" s="6" t="s">
        <v>724</v>
      </c>
      <c r="H3182" s="6" t="s">
        <v>68</v>
      </c>
      <c r="I3182" s="6" t="s">
        <v>1376</v>
      </c>
      <c r="J3182" s="6">
        <v>4465</v>
      </c>
      <c r="K3182" s="7" t="s">
        <v>4137</v>
      </c>
      <c r="L3182" s="8">
        <v>1146507</v>
      </c>
      <c r="M3182" s="8" t="str">
        <f t="shared" si="257"/>
        <v>PEN</v>
      </c>
      <c r="N3182" s="13"/>
      <c r="O3182" s="13">
        <v>5858</v>
      </c>
      <c r="P3182" s="3">
        <f t="shared" si="258"/>
        <v>0</v>
      </c>
      <c r="Q3182" s="3">
        <f t="shared" si="259"/>
        <v>5858</v>
      </c>
      <c r="R3182" s="3">
        <f t="shared" si="255"/>
        <v>49189.289999999994</v>
      </c>
      <c r="S3182" s="24" t="s">
        <v>1334</v>
      </c>
      <c r="T3182" s="24" t="s">
        <v>1334</v>
      </c>
      <c r="U3182" s="79" t="s">
        <v>4138</v>
      </c>
      <c r="V3182" s="25">
        <f>IFERROR(VLOOKUP(BCP_Soles[[#This Row],[destinatario]],CHOOSE({1,2},Clientes_Proveedores[Razon Social],Clientes_Proveedores[Ruc / Dni]),2,0),"")</f>
        <v>20558275082</v>
      </c>
      <c r="W3182" s="25"/>
      <c r="X3182" s="25"/>
      <c r="Y3182" s="25"/>
      <c r="Z3182" s="77"/>
      <c r="AA3182" s="3" t="str">
        <f>IF(BCP_Soles[[#This Row],[fecha]]&gt;0,TEXT(BCP_Soles[[#This Row],[fecha]],"mmmm"),0)</f>
        <v>Agosto</v>
      </c>
    </row>
    <row r="3183" spans="1:27" ht="24" x14ac:dyDescent="0.3">
      <c r="A3183" s="2">
        <f>IF(BCP_Soles[[#This Row],[tipo_registro]]="R",COUNTIFS($C$1:$C3182,"R")+1,A3182)</f>
        <v>2167</v>
      </c>
      <c r="B3183" s="19" t="str">
        <f t="shared" si="256"/>
        <v>B-BCP - Soles</v>
      </c>
      <c r="C3183" s="3" t="s">
        <v>1330</v>
      </c>
      <c r="D3183" s="14">
        <v>45877</v>
      </c>
      <c r="E3183" s="5" t="s">
        <v>1338</v>
      </c>
      <c r="F3183" s="5" t="s">
        <v>1336</v>
      </c>
      <c r="G3183" s="148" t="s">
        <v>895</v>
      </c>
      <c r="H3183" s="6"/>
      <c r="I3183" s="6"/>
      <c r="J3183" s="6"/>
      <c r="K3183" s="7" t="s">
        <v>3083</v>
      </c>
      <c r="L3183" s="8">
        <v>1296405</v>
      </c>
      <c r="M3183" s="8" t="str">
        <f t="shared" si="257"/>
        <v>PEN</v>
      </c>
      <c r="N3183" s="13"/>
      <c r="O3183" s="13">
        <v>2000</v>
      </c>
      <c r="P3183" s="3">
        <f t="shared" si="258"/>
        <v>0</v>
      </c>
      <c r="Q3183" s="3">
        <f t="shared" si="259"/>
        <v>2000</v>
      </c>
      <c r="R3183" s="3">
        <f t="shared" si="255"/>
        <v>47189.289999999994</v>
      </c>
      <c r="S3183" s="24"/>
      <c r="T3183" s="24" t="s">
        <v>1334</v>
      </c>
      <c r="U3183" s="79" t="s">
        <v>4139</v>
      </c>
      <c r="V3183" s="25">
        <f>IFERROR(VLOOKUP(BCP_Soles[[#This Row],[destinatario]],CHOOSE({1,2},Clientes_Proveedores[Razon Social],Clientes_Proveedores[Ruc / Dni]),2,0),"")</f>
        <v>72144092</v>
      </c>
      <c r="W3183" s="25"/>
      <c r="X3183" s="25"/>
      <c r="Y3183" s="25"/>
      <c r="Z3183" s="77"/>
      <c r="AA3183" s="3" t="str">
        <f>IF(BCP_Soles[[#This Row],[fecha]]&gt;0,TEXT(BCP_Soles[[#This Row],[fecha]],"mmmm"),0)</f>
        <v>Agosto</v>
      </c>
    </row>
    <row r="3184" spans="1:27" x14ac:dyDescent="0.3">
      <c r="A3184" s="2">
        <f>IF(BCP_Soles[[#This Row],[tipo_registro]]="R",COUNTIFS($C$1:$C3183,"R")+1,A3183)</f>
        <v>2168</v>
      </c>
      <c r="B3184" s="19" t="str">
        <f t="shared" si="256"/>
        <v>B-BCP - Soles</v>
      </c>
      <c r="C3184" s="3" t="s">
        <v>1330</v>
      </c>
      <c r="D3184" s="14">
        <v>45877</v>
      </c>
      <c r="E3184" s="5" t="s">
        <v>1338</v>
      </c>
      <c r="F3184" s="5" t="s">
        <v>1336</v>
      </c>
      <c r="G3184" s="6" t="s">
        <v>696</v>
      </c>
      <c r="H3184" s="6"/>
      <c r="I3184" s="6"/>
      <c r="J3184" s="6"/>
      <c r="K3184" s="7" t="s">
        <v>4140</v>
      </c>
      <c r="L3184" s="8">
        <v>58607</v>
      </c>
      <c r="M3184" s="8" t="str">
        <f t="shared" si="257"/>
        <v>PEN</v>
      </c>
      <c r="N3184" s="13"/>
      <c r="O3184" s="13">
        <v>389.8</v>
      </c>
      <c r="P3184" s="3">
        <f t="shared" si="258"/>
        <v>0</v>
      </c>
      <c r="Q3184" s="3">
        <f t="shared" si="259"/>
        <v>389.8</v>
      </c>
      <c r="R3184" s="3">
        <f t="shared" si="255"/>
        <v>46799.489999999991</v>
      </c>
      <c r="S3184" s="24" t="s">
        <v>1334</v>
      </c>
      <c r="T3184" s="24" t="s">
        <v>1334</v>
      </c>
      <c r="U3184" s="79" t="s">
        <v>4141</v>
      </c>
      <c r="V3184" s="25">
        <f>IFERROR(VLOOKUP(BCP_Soles[[#This Row],[destinatario]],CHOOSE({1,2},Clientes_Proveedores[Razon Social],Clientes_Proveedores[Ruc / Dni]),2,0),"")</f>
        <v>0</v>
      </c>
      <c r="W3184" s="25"/>
      <c r="X3184" s="25"/>
      <c r="Y3184" s="25"/>
      <c r="Z3184" s="77"/>
      <c r="AA3184" s="3" t="str">
        <f>IF(BCP_Soles[[#This Row],[fecha]]&gt;0,TEXT(BCP_Soles[[#This Row],[fecha]],"mmmm"),0)</f>
        <v>Agosto</v>
      </c>
    </row>
    <row r="3185" spans="1:27" ht="24" x14ac:dyDescent="0.3">
      <c r="A3185" s="2">
        <f>IF(BCP_Soles[[#This Row],[tipo_registro]]="R",COUNTIFS($C$1:$C3184,"R")+1,A3184)</f>
        <v>2168</v>
      </c>
      <c r="B3185" s="19" t="str">
        <f t="shared" si="256"/>
        <v>B-BCP - Soles</v>
      </c>
      <c r="C3185" s="3" t="s">
        <v>1352</v>
      </c>
      <c r="D3185" s="14">
        <v>45877</v>
      </c>
      <c r="E3185" s="5" t="s">
        <v>1338</v>
      </c>
      <c r="F3185" s="5"/>
      <c r="G3185" s="6" t="s">
        <v>594</v>
      </c>
      <c r="H3185" s="6" t="s">
        <v>68</v>
      </c>
      <c r="I3185" s="6" t="s">
        <v>1376</v>
      </c>
      <c r="J3185" s="6">
        <v>2420</v>
      </c>
      <c r="K3185" s="7" t="s">
        <v>4140</v>
      </c>
      <c r="L3185" s="8">
        <v>58607</v>
      </c>
      <c r="M3185" s="8" t="str">
        <f t="shared" si="257"/>
        <v>PEN</v>
      </c>
      <c r="N3185" s="13">
        <v>70.8</v>
      </c>
      <c r="O3185" s="13"/>
      <c r="P3185" s="3">
        <f t="shared" si="258"/>
        <v>0</v>
      </c>
      <c r="Q3185" s="3">
        <f t="shared" si="259"/>
        <v>0</v>
      </c>
      <c r="R3185" s="3">
        <f t="shared" si="255"/>
        <v>46799.489999999991</v>
      </c>
      <c r="S3185" s="24" t="s">
        <v>1334</v>
      </c>
      <c r="T3185" s="24" t="s">
        <v>1334</v>
      </c>
      <c r="U3185" s="55"/>
      <c r="V3185" s="25">
        <f>IFERROR(VLOOKUP(BCP_Soles[[#This Row],[destinatario]],CHOOSE({1,2},Clientes_Proveedores[Razon Social],Clientes_Proveedores[Ruc / Dni]),2,0),"")</f>
        <v>20609764261</v>
      </c>
      <c r="W3185" s="25"/>
      <c r="X3185" s="25"/>
      <c r="Y3185" s="25"/>
      <c r="Z3185" s="77"/>
      <c r="AA3185" s="3" t="str">
        <f>IF(BCP_Soles[[#This Row],[fecha]]&gt;0,TEXT(BCP_Soles[[#This Row],[fecha]],"mmmm"),0)</f>
        <v>Agosto</v>
      </c>
    </row>
    <row r="3186" spans="1:27" ht="24" x14ac:dyDescent="0.3">
      <c r="A3186" s="2">
        <f>IF(BCP_Soles[[#This Row],[tipo_registro]]="R",COUNTIFS($C$1:$C3185,"R")+1,A3185)</f>
        <v>2168</v>
      </c>
      <c r="B3186" s="19" t="str">
        <f t="shared" si="256"/>
        <v>B-BCP - Soles</v>
      </c>
      <c r="C3186" s="3" t="s">
        <v>1352</v>
      </c>
      <c r="D3186" s="14">
        <v>45877</v>
      </c>
      <c r="E3186" s="5" t="s">
        <v>1338</v>
      </c>
      <c r="F3186" s="5"/>
      <c r="G3186" s="6" t="s">
        <v>594</v>
      </c>
      <c r="H3186" s="6" t="s">
        <v>68</v>
      </c>
      <c r="I3186" s="6" t="s">
        <v>1376</v>
      </c>
      <c r="J3186" s="6">
        <v>2419</v>
      </c>
      <c r="K3186" s="7" t="s">
        <v>4140</v>
      </c>
      <c r="L3186" s="8">
        <v>58607</v>
      </c>
      <c r="M3186" s="8" t="str">
        <f t="shared" si="257"/>
        <v>PEN</v>
      </c>
      <c r="N3186" s="13">
        <v>94.4</v>
      </c>
      <c r="O3186" s="13"/>
      <c r="P3186" s="3">
        <f t="shared" si="258"/>
        <v>0</v>
      </c>
      <c r="Q3186" s="3">
        <f t="shared" si="259"/>
        <v>0</v>
      </c>
      <c r="R3186" s="3">
        <f t="shared" si="255"/>
        <v>46799.489999999991</v>
      </c>
      <c r="S3186" s="24" t="s">
        <v>1334</v>
      </c>
      <c r="T3186" s="24" t="s">
        <v>1334</v>
      </c>
      <c r="U3186" s="55"/>
      <c r="V3186" s="25">
        <f>IFERROR(VLOOKUP(BCP_Soles[[#This Row],[destinatario]],CHOOSE({1,2},Clientes_Proveedores[Razon Social],Clientes_Proveedores[Ruc / Dni]),2,0),"")</f>
        <v>20609764261</v>
      </c>
      <c r="W3186" s="25"/>
      <c r="X3186" s="25"/>
      <c r="Y3186" s="25"/>
      <c r="Z3186" s="77"/>
      <c r="AA3186" s="3" t="str">
        <f>IF(BCP_Soles[[#This Row],[fecha]]&gt;0,TEXT(BCP_Soles[[#This Row],[fecha]],"mmmm"),0)</f>
        <v>Agosto</v>
      </c>
    </row>
    <row r="3187" spans="1:27" ht="24" x14ac:dyDescent="0.3">
      <c r="A3187" s="2">
        <f>IF(BCP_Soles[[#This Row],[tipo_registro]]="R",COUNTIFS($C$1:$C3186,"R")+1,A3186)</f>
        <v>2168</v>
      </c>
      <c r="B3187" s="19" t="str">
        <f t="shared" si="256"/>
        <v>B-BCP - Soles</v>
      </c>
      <c r="C3187" s="3" t="s">
        <v>1352</v>
      </c>
      <c r="D3187" s="14">
        <v>45877</v>
      </c>
      <c r="E3187" s="5" t="s">
        <v>1338</v>
      </c>
      <c r="F3187" s="5"/>
      <c r="G3187" s="6" t="s">
        <v>594</v>
      </c>
      <c r="H3187" s="6" t="s">
        <v>68</v>
      </c>
      <c r="I3187" s="6" t="s">
        <v>1376</v>
      </c>
      <c r="J3187" s="6">
        <v>2401</v>
      </c>
      <c r="K3187" s="7" t="s">
        <v>4140</v>
      </c>
      <c r="L3187" s="8">
        <v>58607</v>
      </c>
      <c r="M3187" s="8" t="str">
        <f t="shared" si="257"/>
        <v>PEN</v>
      </c>
      <c r="N3187" s="13">
        <v>94.4</v>
      </c>
      <c r="O3187" s="13"/>
      <c r="P3187" s="3">
        <f t="shared" si="258"/>
        <v>0</v>
      </c>
      <c r="Q3187" s="3">
        <f t="shared" si="259"/>
        <v>0</v>
      </c>
      <c r="R3187" s="3">
        <f t="shared" si="255"/>
        <v>46799.489999999991</v>
      </c>
      <c r="S3187" s="24" t="s">
        <v>1334</v>
      </c>
      <c r="T3187" s="24" t="s">
        <v>1334</v>
      </c>
      <c r="U3187" s="55"/>
      <c r="V3187" s="25">
        <f>IFERROR(VLOOKUP(BCP_Soles[[#This Row],[destinatario]],CHOOSE({1,2},Clientes_Proveedores[Razon Social],Clientes_Proveedores[Ruc / Dni]),2,0),"")</f>
        <v>20609764261</v>
      </c>
      <c r="W3187" s="25"/>
      <c r="X3187" s="25"/>
      <c r="Y3187" s="25"/>
      <c r="Z3187" s="77"/>
      <c r="AA3187" s="3" t="str">
        <f>IF(BCP_Soles[[#This Row],[fecha]]&gt;0,TEXT(BCP_Soles[[#This Row],[fecha]],"mmmm"),0)</f>
        <v>Agosto</v>
      </c>
    </row>
    <row r="3188" spans="1:27" x14ac:dyDescent="0.3">
      <c r="A3188" s="2">
        <f>IF(BCP_Soles[[#This Row],[tipo_registro]]="R",COUNTIFS($C$1:$C3187,"R")+1,A3187)</f>
        <v>2168</v>
      </c>
      <c r="B3188" s="19" t="str">
        <f t="shared" si="256"/>
        <v>B-BCP - Soles</v>
      </c>
      <c r="C3188" s="3" t="s">
        <v>1352</v>
      </c>
      <c r="D3188" s="14">
        <v>45877</v>
      </c>
      <c r="E3188" s="5" t="s">
        <v>1338</v>
      </c>
      <c r="F3188" s="5"/>
      <c r="G3188" s="6" t="s">
        <v>286</v>
      </c>
      <c r="H3188" s="6" t="s">
        <v>68</v>
      </c>
      <c r="I3188" s="6" t="s">
        <v>1386</v>
      </c>
      <c r="J3188" s="6">
        <v>1716</v>
      </c>
      <c r="K3188" s="7" t="s">
        <v>4140</v>
      </c>
      <c r="L3188" s="8">
        <v>58607</v>
      </c>
      <c r="M3188" s="8" t="str">
        <f t="shared" si="257"/>
        <v>PEN</v>
      </c>
      <c r="N3188" s="13">
        <v>130.19999999999999</v>
      </c>
      <c r="O3188" s="13"/>
      <c r="P3188" s="3">
        <f t="shared" si="258"/>
        <v>0</v>
      </c>
      <c r="Q3188" s="3">
        <f t="shared" si="259"/>
        <v>0</v>
      </c>
      <c r="R3188" s="3">
        <f t="shared" si="255"/>
        <v>46799.489999999991</v>
      </c>
      <c r="S3188" s="24" t="s">
        <v>1334</v>
      </c>
      <c r="T3188" s="24" t="s">
        <v>1334</v>
      </c>
      <c r="U3188" s="55"/>
      <c r="V3188" s="25">
        <f>IFERROR(VLOOKUP(BCP_Soles[[#This Row],[destinatario]],CHOOSE({1,2},Clientes_Proveedores[Razon Social],Clientes_Proveedores[Ruc / Dni]),2,0),"")</f>
        <v>20454186002</v>
      </c>
      <c r="W3188" s="25"/>
      <c r="X3188" s="25"/>
      <c r="Y3188" s="25"/>
      <c r="Z3188" s="77"/>
      <c r="AA3188" s="3" t="str">
        <f>IF(BCP_Soles[[#This Row],[fecha]]&gt;0,TEXT(BCP_Soles[[#This Row],[fecha]],"mmmm"),0)</f>
        <v>Agosto</v>
      </c>
    </row>
    <row r="3189" spans="1:27" ht="24" x14ac:dyDescent="0.3">
      <c r="A3189" s="2">
        <f>IF(BCP_Soles[[#This Row],[tipo_registro]]="R",COUNTIFS($C$1:$C3188,"R")+1,A3188)</f>
        <v>2169</v>
      </c>
      <c r="B3189" s="19" t="str">
        <f t="shared" si="256"/>
        <v>B-BCP - Soles</v>
      </c>
      <c r="C3189" s="3" t="s">
        <v>1330</v>
      </c>
      <c r="D3189" s="14">
        <v>45877</v>
      </c>
      <c r="E3189" s="5" t="s">
        <v>1335</v>
      </c>
      <c r="F3189" s="5" t="s">
        <v>1336</v>
      </c>
      <c r="G3189" s="6" t="s">
        <v>1060</v>
      </c>
      <c r="H3189" s="6" t="s">
        <v>68</v>
      </c>
      <c r="I3189" s="6" t="s">
        <v>1397</v>
      </c>
      <c r="J3189" s="6">
        <v>35557942</v>
      </c>
      <c r="K3189" s="7" t="s">
        <v>4142</v>
      </c>
      <c r="L3189" s="8">
        <v>58612</v>
      </c>
      <c r="M3189" s="8" t="str">
        <f t="shared" si="257"/>
        <v>PEN</v>
      </c>
      <c r="N3189" s="13"/>
      <c r="O3189" s="13">
        <v>2.5</v>
      </c>
      <c r="P3189" s="3">
        <f t="shared" si="258"/>
        <v>0</v>
      </c>
      <c r="Q3189" s="3">
        <f t="shared" si="259"/>
        <v>2.5</v>
      </c>
      <c r="R3189" s="3">
        <f t="shared" si="255"/>
        <v>46796.989999999991</v>
      </c>
      <c r="S3189" s="24" t="s">
        <v>1334</v>
      </c>
      <c r="T3189" s="24" t="s">
        <v>1334</v>
      </c>
      <c r="U3189" s="55"/>
      <c r="V3189" s="25">
        <f>IFERROR(VLOOKUP(BCP_Soles[[#This Row],[destinatario]],CHOOSE({1,2},Clientes_Proveedores[Razon Social],Clientes_Proveedores[Ruc / Dni]),2,0),"")</f>
        <v>20100047218</v>
      </c>
      <c r="W3189" s="25"/>
      <c r="X3189" s="25"/>
      <c r="Y3189" s="25"/>
      <c r="Z3189" s="77"/>
      <c r="AA3189" s="3" t="str">
        <f>IF(BCP_Soles[[#This Row],[fecha]]&gt;0,TEXT(BCP_Soles[[#This Row],[fecha]],"mmmm"),0)</f>
        <v>Agosto</v>
      </c>
    </row>
    <row r="3190" spans="1:27" x14ac:dyDescent="0.3">
      <c r="A3190" s="2">
        <f>IF(BCP_Soles[[#This Row],[tipo_registro]]="R",COUNTIFS($C$1:$C3189,"R")+1,A3189)</f>
        <v>2170</v>
      </c>
      <c r="B3190" s="19" t="str">
        <f t="shared" si="256"/>
        <v>B-BCP - Soles</v>
      </c>
      <c r="C3190" s="3" t="s">
        <v>1330</v>
      </c>
      <c r="D3190" s="14">
        <v>45877</v>
      </c>
      <c r="E3190" s="5" t="s">
        <v>1335</v>
      </c>
      <c r="F3190" s="5" t="s">
        <v>1336</v>
      </c>
      <c r="G3190" s="6" t="s">
        <v>1009</v>
      </c>
      <c r="H3190" s="6" t="s">
        <v>64</v>
      </c>
      <c r="I3190" s="6" t="s">
        <v>3673</v>
      </c>
      <c r="J3190" s="6">
        <v>2172</v>
      </c>
      <c r="K3190" s="7" t="s">
        <v>3160</v>
      </c>
      <c r="L3190" s="8"/>
      <c r="M3190" s="8" t="str">
        <f t="shared" si="257"/>
        <v>PEN</v>
      </c>
      <c r="N3190" s="13"/>
      <c r="O3190" s="13">
        <v>1.3</v>
      </c>
      <c r="P3190" s="3">
        <f t="shared" si="258"/>
        <v>0</v>
      </c>
      <c r="Q3190" s="3">
        <f t="shared" si="259"/>
        <v>1.3</v>
      </c>
      <c r="R3190" s="3">
        <f t="shared" si="255"/>
        <v>46795.689999999988</v>
      </c>
      <c r="S3190" s="24" t="s">
        <v>1334</v>
      </c>
      <c r="T3190" s="24" t="s">
        <v>1334</v>
      </c>
      <c r="U3190" s="55"/>
      <c r="V3190" s="25">
        <f>IFERROR(VLOOKUP(BCP_Soles[[#This Row],[destinatario]],CHOOSE({1,2},Clientes_Proveedores[Razon Social],Clientes_Proveedores[Ruc / Dni]),2,0),"")</f>
        <v>11111111</v>
      </c>
      <c r="W3190" s="25"/>
      <c r="X3190" s="25"/>
      <c r="Y3190" s="25"/>
      <c r="Z3190" s="77"/>
      <c r="AA3190" s="3" t="str">
        <f>IF(BCP_Soles[[#This Row],[fecha]]&gt;0,TEXT(BCP_Soles[[#This Row],[fecha]],"mmmm"),0)</f>
        <v>Agosto</v>
      </c>
    </row>
    <row r="3191" spans="1:27" x14ac:dyDescent="0.3">
      <c r="A3191" s="2">
        <f>IF(BCP_Soles[[#This Row],[tipo_registro]]="R",COUNTIFS($C$1:$C3190,"R")+1,A3190)</f>
        <v>2171</v>
      </c>
      <c r="B3191" s="19" t="str">
        <f t="shared" si="256"/>
        <v>B-BCP - Soles</v>
      </c>
      <c r="C3191" s="3" t="s">
        <v>1330</v>
      </c>
      <c r="D3191" s="14">
        <v>45880</v>
      </c>
      <c r="E3191" s="5" t="s">
        <v>2269</v>
      </c>
      <c r="F3191" s="5" t="s">
        <v>1336</v>
      </c>
      <c r="G3191" s="6" t="s">
        <v>407</v>
      </c>
      <c r="H3191" s="6" t="s">
        <v>68</v>
      </c>
      <c r="I3191" s="6" t="s">
        <v>4143</v>
      </c>
      <c r="J3191" s="6">
        <v>15607</v>
      </c>
      <c r="K3191" s="7" t="s">
        <v>4144</v>
      </c>
      <c r="L3191" s="8">
        <v>213427</v>
      </c>
      <c r="M3191" s="8" t="str">
        <f t="shared" si="257"/>
        <v>PEN</v>
      </c>
      <c r="N3191" s="13"/>
      <c r="O3191" s="13">
        <v>196.52</v>
      </c>
      <c r="P3191" s="3">
        <f t="shared" si="258"/>
        <v>0</v>
      </c>
      <c r="Q3191" s="3">
        <f t="shared" si="259"/>
        <v>196.52</v>
      </c>
      <c r="R3191" s="3">
        <f t="shared" si="255"/>
        <v>46599.169999999991</v>
      </c>
      <c r="S3191" s="24" t="s">
        <v>1334</v>
      </c>
      <c r="T3191" s="24" t="s">
        <v>1334</v>
      </c>
      <c r="U3191" s="79" t="s">
        <v>4145</v>
      </c>
      <c r="V3191" s="25">
        <f>IFERROR(VLOOKUP(BCP_Soles[[#This Row],[destinatario]],CHOOSE({1,2},Clientes_Proveedores[Razon Social],Clientes_Proveedores[Ruc / Dni]),2,0),"")</f>
        <v>20549068201</v>
      </c>
      <c r="W3191" s="25"/>
      <c r="X3191" s="25"/>
      <c r="Y3191" s="25"/>
      <c r="Z3191" s="77"/>
      <c r="AA3191" s="3" t="str">
        <f>IF(BCP_Soles[[#This Row],[fecha]]&gt;0,TEXT(BCP_Soles[[#This Row],[fecha]],"mmmm"),0)</f>
        <v>Agosto</v>
      </c>
    </row>
    <row r="3192" spans="1:27" x14ac:dyDescent="0.3">
      <c r="A3192" s="2">
        <f>IF(BCP_Soles[[#This Row],[tipo_registro]]="R",COUNTIFS($C$1:$C3191,"R")+1,A3191)</f>
        <v>2172</v>
      </c>
      <c r="B3192" s="19" t="str">
        <f t="shared" si="256"/>
        <v>B-BCP - Soles</v>
      </c>
      <c r="C3192" s="3" t="s">
        <v>1330</v>
      </c>
      <c r="D3192" s="14">
        <v>45880</v>
      </c>
      <c r="E3192" s="5" t="s">
        <v>2269</v>
      </c>
      <c r="F3192" s="5" t="s">
        <v>1336</v>
      </c>
      <c r="G3192" s="6" t="s">
        <v>648</v>
      </c>
      <c r="H3192" s="6" t="s">
        <v>68</v>
      </c>
      <c r="I3192" s="6" t="s">
        <v>1374</v>
      </c>
      <c r="J3192" s="6">
        <v>1059728</v>
      </c>
      <c r="K3192" s="7" t="s">
        <v>1848</v>
      </c>
      <c r="L3192" s="8">
        <v>213428</v>
      </c>
      <c r="M3192" s="8" t="str">
        <f t="shared" si="257"/>
        <v>PEN</v>
      </c>
      <c r="N3192" s="13"/>
      <c r="O3192" s="13">
        <v>120.36</v>
      </c>
      <c r="P3192" s="3">
        <f t="shared" si="258"/>
        <v>0</v>
      </c>
      <c r="Q3192" s="3">
        <f t="shared" si="259"/>
        <v>120.36</v>
      </c>
      <c r="R3192" s="3">
        <f t="shared" si="255"/>
        <v>46478.80999999999</v>
      </c>
      <c r="S3192" s="24" t="s">
        <v>1334</v>
      </c>
      <c r="T3192" s="24" t="s">
        <v>1334</v>
      </c>
      <c r="U3192" s="79" t="s">
        <v>4146</v>
      </c>
      <c r="V3192" s="25">
        <f>IFERROR(VLOOKUP(BCP_Soles[[#This Row],[destinatario]],CHOOSE({1,2},Clientes_Proveedores[Razon Social],Clientes_Proveedores[Ruc / Dni]),2,0),"")</f>
        <v>20265681299</v>
      </c>
      <c r="W3192" s="25"/>
      <c r="X3192" s="25"/>
      <c r="Y3192" s="25"/>
      <c r="Z3192" s="77"/>
      <c r="AA3192" s="3" t="str">
        <f>IF(BCP_Soles[[#This Row],[fecha]]&gt;0,TEXT(BCP_Soles[[#This Row],[fecha]],"mmmm"),0)</f>
        <v>Agosto</v>
      </c>
    </row>
    <row r="3193" spans="1:27" x14ac:dyDescent="0.3">
      <c r="A3193" s="2">
        <f>IF(BCP_Soles[[#This Row],[tipo_registro]]="R",COUNTIFS($C$1:$C3192,"R")+1,A3192)</f>
        <v>2173</v>
      </c>
      <c r="B3193" s="19" t="str">
        <f t="shared" si="256"/>
        <v>B-BCP - Soles</v>
      </c>
      <c r="C3193" s="3" t="s">
        <v>1330</v>
      </c>
      <c r="D3193" s="14">
        <v>45880</v>
      </c>
      <c r="E3193" s="5" t="s">
        <v>2269</v>
      </c>
      <c r="F3193" s="5" t="s">
        <v>1336</v>
      </c>
      <c r="G3193" s="6" t="s">
        <v>696</v>
      </c>
      <c r="H3193" s="6"/>
      <c r="I3193" s="6"/>
      <c r="J3193" s="6"/>
      <c r="K3193" s="7" t="s">
        <v>4147</v>
      </c>
      <c r="L3193" s="8">
        <v>804746</v>
      </c>
      <c r="M3193" s="8" t="str">
        <f t="shared" si="257"/>
        <v>PEN</v>
      </c>
      <c r="N3193" s="13"/>
      <c r="O3193" s="13">
        <v>8322.4</v>
      </c>
      <c r="P3193" s="3">
        <f t="shared" si="258"/>
        <v>0</v>
      </c>
      <c r="Q3193" s="3">
        <f t="shared" si="259"/>
        <v>8322.4</v>
      </c>
      <c r="R3193" s="3">
        <f t="shared" si="255"/>
        <v>38156.409999999989</v>
      </c>
      <c r="S3193" s="24" t="s">
        <v>1334</v>
      </c>
      <c r="T3193" s="24" t="s">
        <v>1334</v>
      </c>
      <c r="U3193" s="79" t="s">
        <v>4148</v>
      </c>
      <c r="V3193" s="25">
        <f>IFERROR(VLOOKUP(BCP_Soles[[#This Row],[destinatario]],CHOOSE({1,2},Clientes_Proveedores[Razon Social],Clientes_Proveedores[Ruc / Dni]),2,0),"")</f>
        <v>0</v>
      </c>
      <c r="W3193" s="25"/>
      <c r="X3193" s="25"/>
      <c r="Y3193" s="25"/>
      <c r="Z3193" s="77"/>
      <c r="AA3193" s="3" t="str">
        <f>IF(BCP_Soles[[#This Row],[fecha]]&gt;0,TEXT(BCP_Soles[[#This Row],[fecha]],"mmmm"),0)</f>
        <v>Agosto</v>
      </c>
    </row>
    <row r="3194" spans="1:27" ht="36" x14ac:dyDescent="0.3">
      <c r="A3194" s="2">
        <f>IF(BCP_Soles[[#This Row],[tipo_registro]]="R",COUNTIFS($C$1:$C3193,"R")+1,A3193)</f>
        <v>2173</v>
      </c>
      <c r="B3194" s="19" t="str">
        <f t="shared" si="256"/>
        <v>B-BCP - Soles</v>
      </c>
      <c r="C3194" s="3" t="s">
        <v>1352</v>
      </c>
      <c r="D3194" s="14">
        <v>45880</v>
      </c>
      <c r="E3194" s="5" t="s">
        <v>2269</v>
      </c>
      <c r="F3194" s="5"/>
      <c r="G3194" s="6" t="s">
        <v>277</v>
      </c>
      <c r="H3194" s="6" t="s">
        <v>68</v>
      </c>
      <c r="I3194" s="6" t="s">
        <v>1390</v>
      </c>
      <c r="J3194" s="6">
        <v>1833</v>
      </c>
      <c r="K3194" s="7" t="s">
        <v>4147</v>
      </c>
      <c r="L3194" s="8">
        <v>804746</v>
      </c>
      <c r="M3194" s="8" t="str">
        <f t="shared" si="257"/>
        <v>PEN</v>
      </c>
      <c r="N3194" s="13">
        <v>1344</v>
      </c>
      <c r="O3194" s="13"/>
      <c r="P3194" s="3">
        <f t="shared" si="258"/>
        <v>0</v>
      </c>
      <c r="Q3194" s="3">
        <f t="shared" si="259"/>
        <v>0</v>
      </c>
      <c r="R3194" s="3">
        <f t="shared" si="255"/>
        <v>38156.409999999989</v>
      </c>
      <c r="S3194" s="28" t="s">
        <v>1334</v>
      </c>
      <c r="T3194" s="24" t="s">
        <v>1334</v>
      </c>
      <c r="U3194" s="55"/>
      <c r="V3194" s="25">
        <f>IFERROR(VLOOKUP(BCP_Soles[[#This Row],[destinatario]],CHOOSE({1,2},Clientes_Proveedores[Razon Social],Clientes_Proveedores[Ruc / Dni]),2,0),"")</f>
        <v>20429640939</v>
      </c>
      <c r="W3194" s="25"/>
      <c r="X3194" s="25"/>
      <c r="Y3194" s="25"/>
      <c r="Z3194" s="77"/>
      <c r="AA3194" s="3" t="str">
        <f>IF(BCP_Soles[[#This Row],[fecha]]&gt;0,TEXT(BCP_Soles[[#This Row],[fecha]],"mmmm"),0)</f>
        <v>Agosto</v>
      </c>
    </row>
    <row r="3195" spans="1:27" ht="36" x14ac:dyDescent="0.3">
      <c r="A3195" s="2">
        <f>IF(BCP_Soles[[#This Row],[tipo_registro]]="R",COUNTIFS($C$1:$C3194,"R")+1,A3194)</f>
        <v>2173</v>
      </c>
      <c r="B3195" s="19" t="str">
        <f t="shared" si="256"/>
        <v>B-BCP - Soles</v>
      </c>
      <c r="C3195" s="3" t="s">
        <v>1352</v>
      </c>
      <c r="D3195" s="14">
        <v>45880</v>
      </c>
      <c r="E3195" s="5" t="s">
        <v>2269</v>
      </c>
      <c r="F3195" s="5"/>
      <c r="G3195" s="6" t="s">
        <v>277</v>
      </c>
      <c r="H3195" s="6" t="s">
        <v>68</v>
      </c>
      <c r="I3195" s="6" t="s">
        <v>1390</v>
      </c>
      <c r="J3195" s="6">
        <v>1822</v>
      </c>
      <c r="K3195" s="7" t="s">
        <v>4147</v>
      </c>
      <c r="L3195" s="8">
        <v>804746</v>
      </c>
      <c r="M3195" s="8" t="str">
        <f t="shared" si="257"/>
        <v>PEN</v>
      </c>
      <c r="N3195" s="13">
        <v>2544</v>
      </c>
      <c r="O3195" s="13"/>
      <c r="P3195" s="3">
        <f t="shared" si="258"/>
        <v>0</v>
      </c>
      <c r="Q3195" s="3">
        <f t="shared" si="259"/>
        <v>0</v>
      </c>
      <c r="R3195" s="3">
        <f t="shared" si="255"/>
        <v>38156.409999999989</v>
      </c>
      <c r="S3195" s="28" t="s">
        <v>1334</v>
      </c>
      <c r="T3195" s="24" t="s">
        <v>1334</v>
      </c>
      <c r="U3195" s="55"/>
      <c r="V3195" s="25">
        <f>IFERROR(VLOOKUP(BCP_Soles[[#This Row],[destinatario]],CHOOSE({1,2},Clientes_Proveedores[Razon Social],Clientes_Proveedores[Ruc / Dni]),2,0),"")</f>
        <v>20429640939</v>
      </c>
      <c r="W3195" s="25"/>
      <c r="X3195" s="25"/>
      <c r="Y3195" s="25"/>
      <c r="Z3195" s="77"/>
      <c r="AA3195" s="3" t="str">
        <f>IF(BCP_Soles[[#This Row],[fecha]]&gt;0,TEXT(BCP_Soles[[#This Row],[fecha]],"mmmm"),0)</f>
        <v>Agosto</v>
      </c>
    </row>
    <row r="3196" spans="1:27" ht="36" x14ac:dyDescent="0.3">
      <c r="A3196" s="2">
        <f>IF(BCP_Soles[[#This Row],[tipo_registro]]="R",COUNTIFS($C$1:$C3195,"R")+1,A3195)</f>
        <v>2173</v>
      </c>
      <c r="B3196" s="19" t="str">
        <f t="shared" si="256"/>
        <v>B-BCP - Soles</v>
      </c>
      <c r="C3196" s="3" t="s">
        <v>1352</v>
      </c>
      <c r="D3196" s="14">
        <v>45880</v>
      </c>
      <c r="E3196" s="5" t="s">
        <v>2269</v>
      </c>
      <c r="F3196" s="5"/>
      <c r="G3196" s="6" t="s">
        <v>569</v>
      </c>
      <c r="H3196" s="6" t="s">
        <v>68</v>
      </c>
      <c r="I3196" s="6" t="s">
        <v>1376</v>
      </c>
      <c r="J3196" s="6">
        <v>684</v>
      </c>
      <c r="K3196" s="7" t="s">
        <v>4147</v>
      </c>
      <c r="L3196" s="8">
        <v>804746</v>
      </c>
      <c r="M3196" s="8" t="str">
        <f t="shared" si="257"/>
        <v>PEN</v>
      </c>
      <c r="N3196" s="13">
        <v>793</v>
      </c>
      <c r="O3196" s="13"/>
      <c r="P3196" s="3">
        <f t="shared" si="258"/>
        <v>0</v>
      </c>
      <c r="Q3196" s="3">
        <f t="shared" si="259"/>
        <v>0</v>
      </c>
      <c r="R3196" s="3">
        <f t="shared" si="255"/>
        <v>38156.409999999989</v>
      </c>
      <c r="S3196" s="28" t="s">
        <v>1334</v>
      </c>
      <c r="T3196" s="24" t="s">
        <v>1334</v>
      </c>
      <c r="U3196" s="55"/>
      <c r="V3196" s="25">
        <f>IFERROR(VLOOKUP(BCP_Soles[[#This Row],[destinatario]],CHOOSE({1,2},Clientes_Proveedores[Razon Social],Clientes_Proveedores[Ruc / Dni]),2,0),"")</f>
        <v>20608686747</v>
      </c>
      <c r="W3196" s="25"/>
      <c r="X3196" s="25"/>
      <c r="Y3196" s="25"/>
      <c r="Z3196" s="77"/>
      <c r="AA3196" s="3" t="str">
        <f>IF(BCP_Soles[[#This Row],[fecha]]&gt;0,TEXT(BCP_Soles[[#This Row],[fecha]],"mmmm"),0)</f>
        <v>Agosto</v>
      </c>
    </row>
    <row r="3197" spans="1:27" ht="36" x14ac:dyDescent="0.3">
      <c r="A3197" s="2">
        <f>IF(BCP_Soles[[#This Row],[tipo_registro]]="R",COUNTIFS($C$1:$C3196,"R")+1,A3196)</f>
        <v>2173</v>
      </c>
      <c r="B3197" s="19" t="str">
        <f t="shared" si="256"/>
        <v>B-BCP - Soles</v>
      </c>
      <c r="C3197" s="3" t="s">
        <v>1352</v>
      </c>
      <c r="D3197" s="14">
        <v>45880</v>
      </c>
      <c r="E3197" s="5" t="s">
        <v>2269</v>
      </c>
      <c r="F3197" s="5"/>
      <c r="G3197" s="6" t="s">
        <v>277</v>
      </c>
      <c r="H3197" s="6" t="s">
        <v>68</v>
      </c>
      <c r="I3197" s="6" t="s">
        <v>1390</v>
      </c>
      <c r="J3197" s="6">
        <v>1843</v>
      </c>
      <c r="K3197" s="7" t="s">
        <v>4147</v>
      </c>
      <c r="L3197" s="8">
        <v>804746</v>
      </c>
      <c r="M3197" s="8" t="str">
        <f t="shared" si="257"/>
        <v>PEN</v>
      </c>
      <c r="N3197" s="13">
        <v>2544</v>
      </c>
      <c r="O3197" s="13"/>
      <c r="P3197" s="3">
        <f t="shared" si="258"/>
        <v>0</v>
      </c>
      <c r="Q3197" s="3">
        <f t="shared" si="259"/>
        <v>0</v>
      </c>
      <c r="R3197" s="3">
        <f t="shared" si="255"/>
        <v>38156.409999999989</v>
      </c>
      <c r="S3197" s="28" t="s">
        <v>1334</v>
      </c>
      <c r="T3197" s="24" t="s">
        <v>1334</v>
      </c>
      <c r="U3197" s="55"/>
      <c r="V3197" s="25">
        <f>IFERROR(VLOOKUP(BCP_Soles[[#This Row],[destinatario]],CHOOSE({1,2},Clientes_Proveedores[Razon Social],Clientes_Proveedores[Ruc / Dni]),2,0),"")</f>
        <v>20429640939</v>
      </c>
      <c r="W3197" s="25"/>
      <c r="X3197" s="25"/>
      <c r="Y3197" s="25"/>
      <c r="Z3197" s="77"/>
      <c r="AA3197" s="3" t="str">
        <f>IF(BCP_Soles[[#This Row],[fecha]]&gt;0,TEXT(BCP_Soles[[#This Row],[fecha]],"mmmm"),0)</f>
        <v>Agosto</v>
      </c>
    </row>
    <row r="3198" spans="1:27" x14ac:dyDescent="0.3">
      <c r="A3198" s="2">
        <f>IF(BCP_Soles[[#This Row],[tipo_registro]]="R",COUNTIFS($C$1:$C3197,"R")+1,A3197)</f>
        <v>2173</v>
      </c>
      <c r="B3198" s="19" t="str">
        <f t="shared" si="256"/>
        <v>B-BCP - Soles</v>
      </c>
      <c r="C3198" s="3" t="s">
        <v>1352</v>
      </c>
      <c r="D3198" s="14">
        <v>45880</v>
      </c>
      <c r="E3198" s="5" t="s">
        <v>2269</v>
      </c>
      <c r="F3198" s="5"/>
      <c r="G3198" s="6" t="s">
        <v>522</v>
      </c>
      <c r="H3198" s="6" t="s">
        <v>68</v>
      </c>
      <c r="I3198" s="6" t="s">
        <v>1376</v>
      </c>
      <c r="J3198" s="6">
        <v>4058</v>
      </c>
      <c r="K3198" s="7" t="s">
        <v>4147</v>
      </c>
      <c r="L3198" s="8">
        <v>804746</v>
      </c>
      <c r="M3198" s="8" t="str">
        <f t="shared" si="257"/>
        <v>PEN</v>
      </c>
      <c r="N3198" s="13">
        <v>351.05</v>
      </c>
      <c r="O3198" s="13"/>
      <c r="P3198" s="3">
        <f t="shared" si="258"/>
        <v>0</v>
      </c>
      <c r="Q3198" s="3">
        <f t="shared" si="259"/>
        <v>0</v>
      </c>
      <c r="R3198" s="3">
        <f t="shared" si="255"/>
        <v>38156.409999999989</v>
      </c>
      <c r="S3198" s="28" t="s">
        <v>1334</v>
      </c>
      <c r="T3198" s="24" t="s">
        <v>1334</v>
      </c>
      <c r="U3198" s="55"/>
      <c r="V3198" s="25">
        <f>IFERROR(VLOOKUP(BCP_Soles[[#This Row],[destinatario]],CHOOSE({1,2},Clientes_Proveedores[Razon Social],Clientes_Proveedores[Ruc / Dni]),2,0),"")</f>
        <v>20603974817</v>
      </c>
      <c r="W3198" s="25"/>
      <c r="X3198" s="25"/>
      <c r="Y3198" s="25"/>
      <c r="Z3198" s="77"/>
      <c r="AA3198" s="3" t="str">
        <f>IF(BCP_Soles[[#This Row],[fecha]]&gt;0,TEXT(BCP_Soles[[#This Row],[fecha]],"mmmm"),0)</f>
        <v>Agosto</v>
      </c>
    </row>
    <row r="3199" spans="1:27" x14ac:dyDescent="0.3">
      <c r="A3199" s="2">
        <f>IF(BCP_Soles[[#This Row],[tipo_registro]]="R",COUNTIFS($C$1:$C3198,"R")+1,A3198)</f>
        <v>2173</v>
      </c>
      <c r="B3199" s="19" t="str">
        <f t="shared" si="256"/>
        <v>B-BCP - Soles</v>
      </c>
      <c r="C3199" s="3" t="s">
        <v>1352</v>
      </c>
      <c r="D3199" s="14">
        <v>45880</v>
      </c>
      <c r="E3199" s="5" t="s">
        <v>2269</v>
      </c>
      <c r="F3199" s="5"/>
      <c r="G3199" s="6" t="s">
        <v>522</v>
      </c>
      <c r="H3199" s="6" t="s">
        <v>68</v>
      </c>
      <c r="I3199" s="6" t="s">
        <v>1376</v>
      </c>
      <c r="J3199" s="6">
        <v>4083</v>
      </c>
      <c r="K3199" s="7" t="s">
        <v>4147</v>
      </c>
      <c r="L3199" s="8">
        <v>804746</v>
      </c>
      <c r="M3199" s="8" t="str">
        <f t="shared" si="257"/>
        <v>PEN</v>
      </c>
      <c r="N3199" s="13">
        <v>200.6</v>
      </c>
      <c r="O3199" s="13"/>
      <c r="P3199" s="3">
        <f t="shared" si="258"/>
        <v>0</v>
      </c>
      <c r="Q3199" s="3">
        <f t="shared" si="259"/>
        <v>0</v>
      </c>
      <c r="R3199" s="3">
        <f t="shared" si="255"/>
        <v>38156.409999999989</v>
      </c>
      <c r="S3199" s="28" t="s">
        <v>1334</v>
      </c>
      <c r="T3199" s="24" t="s">
        <v>1334</v>
      </c>
      <c r="U3199" s="55"/>
      <c r="V3199" s="25">
        <f>IFERROR(VLOOKUP(BCP_Soles[[#This Row],[destinatario]],CHOOSE({1,2},Clientes_Proveedores[Razon Social],Clientes_Proveedores[Ruc / Dni]),2,0),"")</f>
        <v>20603974817</v>
      </c>
      <c r="W3199" s="25"/>
      <c r="X3199" s="25"/>
      <c r="Y3199" s="25"/>
      <c r="Z3199" s="77"/>
      <c r="AA3199" s="3" t="str">
        <f>IF(BCP_Soles[[#This Row],[fecha]]&gt;0,TEXT(BCP_Soles[[#This Row],[fecha]],"mmmm"),0)</f>
        <v>Agosto</v>
      </c>
    </row>
    <row r="3200" spans="1:27" x14ac:dyDescent="0.3">
      <c r="A3200" s="2">
        <f>IF(BCP_Soles[[#This Row],[tipo_registro]]="R",COUNTIFS($C$1:$C3199,"R")+1,A3199)</f>
        <v>2173</v>
      </c>
      <c r="B3200" s="19" t="str">
        <f t="shared" si="256"/>
        <v>B-BCP - Soles</v>
      </c>
      <c r="C3200" s="3" t="s">
        <v>1352</v>
      </c>
      <c r="D3200" s="14">
        <v>45880</v>
      </c>
      <c r="E3200" s="5" t="s">
        <v>2269</v>
      </c>
      <c r="F3200" s="5"/>
      <c r="G3200" s="6" t="s">
        <v>522</v>
      </c>
      <c r="H3200" s="6" t="s">
        <v>68</v>
      </c>
      <c r="I3200" s="6" t="s">
        <v>1376</v>
      </c>
      <c r="J3200" s="6">
        <v>4081</v>
      </c>
      <c r="K3200" s="7" t="s">
        <v>4147</v>
      </c>
      <c r="L3200" s="8">
        <v>804746</v>
      </c>
      <c r="M3200" s="8" t="str">
        <f t="shared" si="257"/>
        <v>PEN</v>
      </c>
      <c r="N3200" s="13">
        <v>451.35</v>
      </c>
      <c r="O3200" s="13"/>
      <c r="P3200" s="3">
        <f t="shared" si="258"/>
        <v>0</v>
      </c>
      <c r="Q3200" s="3">
        <f t="shared" si="259"/>
        <v>0</v>
      </c>
      <c r="R3200" s="3">
        <f t="shared" si="255"/>
        <v>38156.409999999989</v>
      </c>
      <c r="S3200" s="28" t="s">
        <v>1334</v>
      </c>
      <c r="T3200" s="24" t="s">
        <v>1334</v>
      </c>
      <c r="U3200" s="55"/>
      <c r="V3200" s="25">
        <f>IFERROR(VLOOKUP(BCP_Soles[[#This Row],[destinatario]],CHOOSE({1,2},Clientes_Proveedores[Razon Social],Clientes_Proveedores[Ruc / Dni]),2,0),"")</f>
        <v>20603974817</v>
      </c>
      <c r="W3200" s="25"/>
      <c r="X3200" s="25"/>
      <c r="Y3200" s="25"/>
      <c r="Z3200" s="77"/>
      <c r="AA3200" s="3" t="str">
        <f>IF(BCP_Soles[[#This Row],[fecha]]&gt;0,TEXT(BCP_Soles[[#This Row],[fecha]],"mmmm"),0)</f>
        <v>Agosto</v>
      </c>
    </row>
    <row r="3201" spans="1:27" ht="24" x14ac:dyDescent="0.3">
      <c r="A3201" s="2">
        <f>IF(BCP_Soles[[#This Row],[tipo_registro]]="R",COUNTIFS($C$1:$C3200,"R")+1,A3200)</f>
        <v>2173</v>
      </c>
      <c r="B3201" s="19" t="str">
        <f t="shared" si="256"/>
        <v>B-BCP - Soles</v>
      </c>
      <c r="C3201" s="3" t="s">
        <v>1352</v>
      </c>
      <c r="D3201" s="14">
        <v>45880</v>
      </c>
      <c r="E3201" s="5" t="s">
        <v>2269</v>
      </c>
      <c r="F3201" s="5"/>
      <c r="G3201" s="6" t="s">
        <v>594</v>
      </c>
      <c r="H3201" s="6" t="s">
        <v>68</v>
      </c>
      <c r="I3201" s="6" t="s">
        <v>1376</v>
      </c>
      <c r="J3201" s="6">
        <v>2384</v>
      </c>
      <c r="K3201" s="7" t="s">
        <v>4147</v>
      </c>
      <c r="L3201" s="8">
        <v>804746</v>
      </c>
      <c r="M3201" s="8" t="str">
        <f t="shared" si="257"/>
        <v>PEN</v>
      </c>
      <c r="N3201" s="13">
        <v>94.4</v>
      </c>
      <c r="O3201" s="13"/>
      <c r="P3201" s="3">
        <f t="shared" si="258"/>
        <v>0</v>
      </c>
      <c r="Q3201" s="3">
        <f t="shared" si="259"/>
        <v>0</v>
      </c>
      <c r="R3201" s="3">
        <f t="shared" si="255"/>
        <v>38156.409999999989</v>
      </c>
      <c r="S3201" s="28" t="s">
        <v>1334</v>
      </c>
      <c r="T3201" s="24" t="s">
        <v>1334</v>
      </c>
      <c r="U3201" s="55"/>
      <c r="V3201" s="25">
        <f>IFERROR(VLOOKUP(BCP_Soles[[#This Row],[destinatario]],CHOOSE({1,2},Clientes_Proveedores[Razon Social],Clientes_Proveedores[Ruc / Dni]),2,0),"")</f>
        <v>20609764261</v>
      </c>
      <c r="W3201" s="25"/>
      <c r="X3201" s="25"/>
      <c r="Y3201" s="25"/>
      <c r="Z3201" s="77"/>
      <c r="AA3201" s="3" t="str">
        <f>IF(BCP_Soles[[#This Row],[fecha]]&gt;0,TEXT(BCP_Soles[[#This Row],[fecha]],"mmmm"),0)</f>
        <v>Agosto</v>
      </c>
    </row>
    <row r="3202" spans="1:27" ht="24" x14ac:dyDescent="0.3">
      <c r="A3202" s="2">
        <f>IF(BCP_Soles[[#This Row],[tipo_registro]]="R",COUNTIFS($C$1:$C3201,"R")+1,A3201)</f>
        <v>2174</v>
      </c>
      <c r="B3202" s="19" t="str">
        <f t="shared" si="256"/>
        <v>B-BCP - Soles</v>
      </c>
      <c r="C3202" s="3" t="s">
        <v>1330</v>
      </c>
      <c r="D3202" s="14">
        <v>45880</v>
      </c>
      <c r="E3202" s="5" t="s">
        <v>2269</v>
      </c>
      <c r="F3202" s="5" t="s">
        <v>1336</v>
      </c>
      <c r="G3202" s="6" t="s">
        <v>594</v>
      </c>
      <c r="H3202" s="6" t="s">
        <v>68</v>
      </c>
      <c r="I3202" s="6" t="s">
        <v>1376</v>
      </c>
      <c r="J3202" s="6">
        <v>2243</v>
      </c>
      <c r="K3202" s="7" t="s">
        <v>4149</v>
      </c>
      <c r="L3202" s="8">
        <v>1214390</v>
      </c>
      <c r="M3202" s="8" t="str">
        <f t="shared" si="257"/>
        <v>PEN</v>
      </c>
      <c r="N3202" s="13"/>
      <c r="O3202" s="13">
        <v>70.8</v>
      </c>
      <c r="P3202" s="3">
        <f t="shared" si="258"/>
        <v>0</v>
      </c>
      <c r="Q3202" s="3">
        <f t="shared" si="259"/>
        <v>70.8</v>
      </c>
      <c r="R3202" s="3">
        <f t="shared" si="255"/>
        <v>38085.609999999986</v>
      </c>
      <c r="S3202" s="24" t="s">
        <v>1334</v>
      </c>
      <c r="T3202" s="24" t="s">
        <v>1334</v>
      </c>
      <c r="U3202" s="79" t="s">
        <v>4150</v>
      </c>
      <c r="V3202" s="25">
        <f>IFERROR(VLOOKUP(BCP_Soles[[#This Row],[destinatario]],CHOOSE({1,2},Clientes_Proveedores[Razon Social],Clientes_Proveedores[Ruc / Dni]),2,0),"")</f>
        <v>20609764261</v>
      </c>
      <c r="W3202" s="25"/>
      <c r="X3202" s="25"/>
      <c r="Y3202" s="25"/>
      <c r="Z3202" s="77"/>
      <c r="AA3202" s="3" t="str">
        <f>IF(BCP_Soles[[#This Row],[fecha]]&gt;0,TEXT(BCP_Soles[[#This Row],[fecha]],"mmmm"),0)</f>
        <v>Agosto</v>
      </c>
    </row>
    <row r="3203" spans="1:27" x14ac:dyDescent="0.3">
      <c r="A3203" s="2">
        <f>IF(BCP_Soles[[#This Row],[tipo_registro]]="R",COUNTIFS($C$1:$C3202,"R")+1,A3202)</f>
        <v>2175</v>
      </c>
      <c r="B3203" s="19" t="str">
        <f t="shared" si="256"/>
        <v>B-BCP - Soles</v>
      </c>
      <c r="C3203" s="3" t="s">
        <v>1330</v>
      </c>
      <c r="D3203" s="14">
        <v>45880</v>
      </c>
      <c r="E3203" s="5" t="s">
        <v>2269</v>
      </c>
      <c r="F3203" s="5" t="s">
        <v>1336</v>
      </c>
      <c r="G3203" s="6" t="s">
        <v>876</v>
      </c>
      <c r="H3203" s="6"/>
      <c r="I3203" s="6"/>
      <c r="J3203" s="6"/>
      <c r="K3203" s="7" t="s">
        <v>4151</v>
      </c>
      <c r="L3203" s="8">
        <v>1214388</v>
      </c>
      <c r="M3203" s="8" t="str">
        <f t="shared" si="257"/>
        <v>PEN</v>
      </c>
      <c r="N3203" s="13"/>
      <c r="O3203" s="13">
        <v>400</v>
      </c>
      <c r="P3203" s="3">
        <f t="shared" si="258"/>
        <v>0</v>
      </c>
      <c r="Q3203" s="3">
        <f t="shared" si="259"/>
        <v>400</v>
      </c>
      <c r="R3203" s="3">
        <f t="shared" si="255"/>
        <v>37685.609999999986</v>
      </c>
      <c r="S3203" s="24"/>
      <c r="T3203" s="24" t="s">
        <v>1334</v>
      </c>
      <c r="U3203" s="79" t="s">
        <v>4152</v>
      </c>
      <c r="V3203" s="25">
        <f>IFERROR(VLOOKUP(BCP_Soles[[#This Row],[destinatario]],CHOOSE({1,2},Clientes_Proveedores[Razon Social],Clientes_Proveedores[Ruc / Dni]),2,0),"")</f>
        <v>1829028</v>
      </c>
      <c r="W3203" s="25"/>
      <c r="X3203" s="25"/>
      <c r="Y3203" s="25"/>
      <c r="Z3203" s="77"/>
      <c r="AA3203" s="3" t="str">
        <f>IF(BCP_Soles[[#This Row],[fecha]]&gt;0,TEXT(BCP_Soles[[#This Row],[fecha]],"mmmm"),0)</f>
        <v>Agosto</v>
      </c>
    </row>
    <row r="3204" spans="1:27" x14ac:dyDescent="0.3">
      <c r="A3204" s="2">
        <f>IF(BCP_Soles[[#This Row],[tipo_registro]]="R",COUNTIFS($C$1:$C3203,"R")+1,A3203)</f>
        <v>2176</v>
      </c>
      <c r="B3204" s="19" t="str">
        <f t="shared" si="256"/>
        <v>B-BCP - Soles</v>
      </c>
      <c r="C3204" s="3" t="s">
        <v>1330</v>
      </c>
      <c r="D3204" s="14">
        <v>45880</v>
      </c>
      <c r="E3204" s="5" t="s">
        <v>1335</v>
      </c>
      <c r="F3204" s="5" t="s">
        <v>1336</v>
      </c>
      <c r="G3204" s="6" t="s">
        <v>1009</v>
      </c>
      <c r="H3204" s="6" t="s">
        <v>64</v>
      </c>
      <c r="I3204" s="6" t="s">
        <v>3673</v>
      </c>
      <c r="J3204" s="6">
        <v>2178</v>
      </c>
      <c r="K3204" s="7" t="s">
        <v>3160</v>
      </c>
      <c r="L3204" s="8"/>
      <c r="M3204" s="8" t="str">
        <f t="shared" si="257"/>
        <v>PEN</v>
      </c>
      <c r="N3204" s="13"/>
      <c r="O3204" s="13">
        <v>0.4</v>
      </c>
      <c r="P3204" s="3">
        <f t="shared" si="258"/>
        <v>0</v>
      </c>
      <c r="Q3204" s="3">
        <f t="shared" si="259"/>
        <v>0.4</v>
      </c>
      <c r="R3204" s="3">
        <f t="shared" si="255"/>
        <v>37685.209999999985</v>
      </c>
      <c r="S3204" s="24" t="s">
        <v>1334</v>
      </c>
      <c r="T3204" s="24" t="s">
        <v>1334</v>
      </c>
      <c r="U3204" s="55"/>
      <c r="V3204" s="25">
        <f>IFERROR(VLOOKUP(BCP_Soles[[#This Row],[destinatario]],CHOOSE({1,2},Clientes_Proveedores[Razon Social],Clientes_Proveedores[Ruc / Dni]),2,0),"")</f>
        <v>11111111</v>
      </c>
      <c r="W3204" s="25"/>
      <c r="X3204" s="25"/>
      <c r="Y3204" s="25"/>
      <c r="Z3204" s="77"/>
      <c r="AA3204" s="3" t="str">
        <f>IF(BCP_Soles[[#This Row],[fecha]]&gt;0,TEXT(BCP_Soles[[#This Row],[fecha]],"mmmm"),0)</f>
        <v>Agosto</v>
      </c>
    </row>
    <row r="3205" spans="1:27" ht="24" x14ac:dyDescent="0.3">
      <c r="A3205" s="2">
        <f>IF(BCP_Soles[[#This Row],[tipo_registro]]="R",COUNTIFS($C$1:$C3204,"R")+1,A3204)</f>
        <v>2177</v>
      </c>
      <c r="B3205" s="19" t="str">
        <f t="shared" si="256"/>
        <v>B-BCP - Soles</v>
      </c>
      <c r="C3205" s="3" t="s">
        <v>1330</v>
      </c>
      <c r="D3205" s="14">
        <v>45881</v>
      </c>
      <c r="E3205" s="5" t="s">
        <v>2269</v>
      </c>
      <c r="F3205" s="5" t="s">
        <v>1336</v>
      </c>
      <c r="G3205" s="6" t="s">
        <v>1014</v>
      </c>
      <c r="H3205" s="6"/>
      <c r="I3205" s="6"/>
      <c r="J3205" s="6"/>
      <c r="K3205" s="7" t="s">
        <v>4151</v>
      </c>
      <c r="L3205" s="8">
        <v>1100218</v>
      </c>
      <c r="M3205" s="8" t="str">
        <f t="shared" si="257"/>
        <v>PEN</v>
      </c>
      <c r="N3205" s="13"/>
      <c r="O3205" s="13">
        <v>300</v>
      </c>
      <c r="P3205" s="3">
        <f t="shared" si="258"/>
        <v>0</v>
      </c>
      <c r="Q3205" s="3">
        <f t="shared" si="259"/>
        <v>300</v>
      </c>
      <c r="R3205" s="3">
        <f t="shared" si="255"/>
        <v>37385.209999999985</v>
      </c>
      <c r="S3205" s="24"/>
      <c r="T3205" s="24" t="s">
        <v>1334</v>
      </c>
      <c r="U3205" s="55"/>
      <c r="V3205" s="25">
        <f>IFERROR(VLOOKUP(BCP_Soles[[#This Row],[destinatario]],CHOOSE({1,2},Clientes_Proveedores[Razon Social],Clientes_Proveedores[Ruc / Dni]),2,0),"")</f>
        <v>75560789</v>
      </c>
      <c r="W3205" s="25"/>
      <c r="X3205" s="25"/>
      <c r="Y3205" s="25"/>
      <c r="Z3205" s="77"/>
      <c r="AA3205" s="3" t="str">
        <f>IF(BCP_Soles[[#This Row],[fecha]]&gt;0,TEXT(BCP_Soles[[#This Row],[fecha]],"mmmm"),0)</f>
        <v>Agosto</v>
      </c>
    </row>
    <row r="3206" spans="1:27" ht="24" x14ac:dyDescent="0.3">
      <c r="A3206" s="2">
        <f>IF(BCP_Soles[[#This Row],[tipo_registro]]="R",COUNTIFS($C$1:$C3205,"R")+1,A3205)</f>
        <v>2178</v>
      </c>
      <c r="B3206" s="19" t="str">
        <f t="shared" si="256"/>
        <v>B-BCP - Soles</v>
      </c>
      <c r="C3206" s="3" t="s">
        <v>1330</v>
      </c>
      <c r="D3206" s="14">
        <v>45881</v>
      </c>
      <c r="E3206" s="5" t="s">
        <v>2269</v>
      </c>
      <c r="F3206" s="5" t="s">
        <v>1336</v>
      </c>
      <c r="G3206" s="6" t="s">
        <v>171</v>
      </c>
      <c r="H3206" s="6" t="s">
        <v>68</v>
      </c>
      <c r="I3206" s="6" t="s">
        <v>1376</v>
      </c>
      <c r="J3206" s="6">
        <v>345</v>
      </c>
      <c r="K3206" s="7" t="s">
        <v>4153</v>
      </c>
      <c r="L3206" s="8">
        <v>1101665</v>
      </c>
      <c r="M3206" s="8" t="str">
        <f t="shared" si="257"/>
        <v>PEN</v>
      </c>
      <c r="N3206" s="13"/>
      <c r="O3206" s="13">
        <v>159</v>
      </c>
      <c r="P3206" s="3">
        <f t="shared" si="258"/>
        <v>0</v>
      </c>
      <c r="Q3206" s="3">
        <f t="shared" si="259"/>
        <v>159</v>
      </c>
      <c r="R3206" s="3">
        <f t="shared" si="255"/>
        <v>37226.209999999985</v>
      </c>
      <c r="S3206" s="24" t="s">
        <v>1334</v>
      </c>
      <c r="T3206" s="24" t="s">
        <v>1334</v>
      </c>
      <c r="U3206" s="56" t="s">
        <v>4154</v>
      </c>
      <c r="V3206" s="25">
        <f>IFERROR(VLOOKUP(BCP_Soles[[#This Row],[destinatario]],CHOOSE({1,2},Clientes_Proveedores[Razon Social],Clientes_Proveedores[Ruc / Dni]),2,0),"")</f>
        <v>10456105896</v>
      </c>
      <c r="W3206" s="25"/>
      <c r="X3206" s="25"/>
      <c r="Y3206" s="25"/>
      <c r="Z3206" s="77"/>
      <c r="AA3206" s="3" t="str">
        <f>IF(BCP_Soles[[#This Row],[fecha]]&gt;0,TEXT(BCP_Soles[[#This Row],[fecha]],"mmmm"),0)</f>
        <v>Agosto</v>
      </c>
    </row>
    <row r="3207" spans="1:27" x14ac:dyDescent="0.3">
      <c r="A3207" s="2">
        <f>IF(BCP_Soles[[#This Row],[tipo_registro]]="R",COUNTIFS($C$1:$C3206,"R")+1,A3206)</f>
        <v>2179</v>
      </c>
      <c r="B3207" s="19" t="str">
        <f t="shared" si="256"/>
        <v>B-BCP - Soles</v>
      </c>
      <c r="C3207" s="3" t="s">
        <v>1330</v>
      </c>
      <c r="D3207" s="14">
        <v>45881</v>
      </c>
      <c r="E3207" s="5" t="s">
        <v>2269</v>
      </c>
      <c r="F3207" s="5" t="s">
        <v>1336</v>
      </c>
      <c r="G3207" s="6" t="s">
        <v>696</v>
      </c>
      <c r="H3207" s="6"/>
      <c r="I3207" s="6"/>
      <c r="J3207" s="6"/>
      <c r="K3207" s="7" t="s">
        <v>4155</v>
      </c>
      <c r="L3207" s="8">
        <v>1151178</v>
      </c>
      <c r="M3207" s="8" t="str">
        <f t="shared" si="257"/>
        <v>PEN</v>
      </c>
      <c r="N3207" s="13"/>
      <c r="O3207" s="13">
        <v>2592.34</v>
      </c>
      <c r="P3207" s="3">
        <f t="shared" si="258"/>
        <v>0</v>
      </c>
      <c r="Q3207" s="3">
        <f t="shared" si="259"/>
        <v>2592.34</v>
      </c>
      <c r="R3207" s="3">
        <f t="shared" si="255"/>
        <v>34633.869999999981</v>
      </c>
      <c r="S3207" s="24" t="s">
        <v>1334</v>
      </c>
      <c r="T3207" s="24" t="s">
        <v>1334</v>
      </c>
      <c r="U3207" s="56" t="s">
        <v>4156</v>
      </c>
      <c r="V3207" s="25">
        <f>IFERROR(VLOOKUP(BCP_Soles[[#This Row],[destinatario]],CHOOSE({1,2},Clientes_Proveedores[Razon Social],Clientes_Proveedores[Ruc / Dni]),2,0),"")</f>
        <v>0</v>
      </c>
      <c r="W3207" s="25"/>
      <c r="X3207" s="25"/>
      <c r="Y3207" s="25"/>
      <c r="Z3207" s="77"/>
      <c r="AA3207" s="3" t="str">
        <f>IF(BCP_Soles[[#This Row],[fecha]]&gt;0,TEXT(BCP_Soles[[#This Row],[fecha]],"mmmm"),0)</f>
        <v>Agosto</v>
      </c>
    </row>
    <row r="3208" spans="1:27" ht="24" x14ac:dyDescent="0.3">
      <c r="A3208" s="2">
        <f>IF(BCP_Soles[[#This Row],[tipo_registro]]="R",COUNTIFS($C$1:$C3207,"R")+1,A3207)</f>
        <v>2179</v>
      </c>
      <c r="B3208" s="19" t="str">
        <f t="shared" si="256"/>
        <v>B-BCP - Soles</v>
      </c>
      <c r="C3208" s="3" t="s">
        <v>1352</v>
      </c>
      <c r="D3208" s="14">
        <v>45881</v>
      </c>
      <c r="E3208" s="5" t="s">
        <v>2269</v>
      </c>
      <c r="F3208" s="5"/>
      <c r="G3208" s="6" t="s">
        <v>271</v>
      </c>
      <c r="H3208" s="6" t="s">
        <v>68</v>
      </c>
      <c r="I3208" s="6" t="s">
        <v>1375</v>
      </c>
      <c r="J3208" s="6">
        <v>6959</v>
      </c>
      <c r="K3208" s="7" t="s">
        <v>4155</v>
      </c>
      <c r="L3208" s="8">
        <v>1151178</v>
      </c>
      <c r="M3208" s="8" t="str">
        <f t="shared" si="257"/>
        <v>PEN</v>
      </c>
      <c r="N3208" s="13">
        <v>666.34</v>
      </c>
      <c r="O3208" s="13"/>
      <c r="P3208" s="3">
        <f t="shared" si="258"/>
        <v>0</v>
      </c>
      <c r="Q3208" s="3">
        <f t="shared" si="259"/>
        <v>0</v>
      </c>
      <c r="R3208" s="3">
        <f t="shared" si="255"/>
        <v>34633.869999999981</v>
      </c>
      <c r="S3208" s="24" t="s">
        <v>1334</v>
      </c>
      <c r="T3208" s="24" t="s">
        <v>1334</v>
      </c>
      <c r="U3208" s="55"/>
      <c r="V3208" s="25">
        <f>IFERROR(VLOOKUP(BCP_Soles[[#This Row],[destinatario]],CHOOSE({1,2},Clientes_Proveedores[Razon Social],Clientes_Proveedores[Ruc / Dni]),2,0),"")</f>
        <v>20419158462</v>
      </c>
      <c r="W3208" s="25"/>
      <c r="X3208" s="25"/>
      <c r="Y3208" s="25"/>
      <c r="Z3208" s="77"/>
      <c r="AA3208" s="3" t="str">
        <f>IF(BCP_Soles[[#This Row],[fecha]]&gt;0,TEXT(BCP_Soles[[#This Row],[fecha]],"mmmm"),0)</f>
        <v>Agosto</v>
      </c>
    </row>
    <row r="3209" spans="1:27" ht="24" x14ac:dyDescent="0.3">
      <c r="A3209" s="2">
        <f>IF(BCP_Soles[[#This Row],[tipo_registro]]="R",COUNTIFS($C$1:$C3208,"R")+1,A3208)</f>
        <v>2179</v>
      </c>
      <c r="B3209" s="19" t="str">
        <f t="shared" si="256"/>
        <v>B-BCP - Soles</v>
      </c>
      <c r="C3209" s="3" t="s">
        <v>1352</v>
      </c>
      <c r="D3209" s="14">
        <v>45881</v>
      </c>
      <c r="E3209" s="5" t="s">
        <v>2269</v>
      </c>
      <c r="F3209" s="5"/>
      <c r="G3209" s="6" t="s">
        <v>667</v>
      </c>
      <c r="H3209" s="6" t="s">
        <v>68</v>
      </c>
      <c r="I3209" s="6" t="s">
        <v>1376</v>
      </c>
      <c r="J3209" s="6">
        <v>53</v>
      </c>
      <c r="K3209" s="7" t="s">
        <v>4155</v>
      </c>
      <c r="L3209" s="8">
        <v>1151178</v>
      </c>
      <c r="M3209" s="8" t="str">
        <f t="shared" si="257"/>
        <v>PEN</v>
      </c>
      <c r="N3209" s="13">
        <v>510</v>
      </c>
      <c r="O3209" s="13"/>
      <c r="P3209" s="3">
        <f t="shared" si="258"/>
        <v>0</v>
      </c>
      <c r="Q3209" s="3">
        <f t="shared" si="259"/>
        <v>0</v>
      </c>
      <c r="R3209" s="3">
        <f t="shared" ref="R3209:R3272" si="260">IFERROR(IF(F3209="SALDO",P3209,R3208+P3209-Q3209),0)</f>
        <v>34633.869999999981</v>
      </c>
      <c r="S3209" s="24" t="s">
        <v>1334</v>
      </c>
      <c r="T3209" s="24" t="s">
        <v>1334</v>
      </c>
      <c r="U3209" s="55"/>
      <c r="V3209" s="25">
        <f>IFERROR(VLOOKUP(BCP_Soles[[#This Row],[destinatario]],CHOOSE({1,2},Clientes_Proveedores[Razon Social],Clientes_Proveedores[Ruc / Dni]),2,0),"")</f>
        <v>10410687491</v>
      </c>
      <c r="W3209" s="25"/>
      <c r="X3209" s="25"/>
      <c r="Y3209" s="25"/>
      <c r="Z3209" s="77"/>
      <c r="AA3209" s="3" t="str">
        <f>IF(BCP_Soles[[#This Row],[fecha]]&gt;0,TEXT(BCP_Soles[[#This Row],[fecha]],"mmmm"),0)</f>
        <v>Agosto</v>
      </c>
    </row>
    <row r="3210" spans="1:27" ht="36" x14ac:dyDescent="0.3">
      <c r="A3210" s="2">
        <f>IF(BCP_Soles[[#This Row],[tipo_registro]]="R",COUNTIFS($C$1:$C3209,"R")+1,A3209)</f>
        <v>2179</v>
      </c>
      <c r="B3210" s="19" t="str">
        <f t="shared" si="256"/>
        <v>B-BCP - Soles</v>
      </c>
      <c r="C3210" s="3" t="s">
        <v>1352</v>
      </c>
      <c r="D3210" s="14">
        <v>45881</v>
      </c>
      <c r="E3210" s="5" t="s">
        <v>2269</v>
      </c>
      <c r="F3210" s="5"/>
      <c r="G3210" s="6" t="s">
        <v>569</v>
      </c>
      <c r="H3210" s="6" t="s">
        <v>68</v>
      </c>
      <c r="I3210" s="6" t="s">
        <v>1376</v>
      </c>
      <c r="J3210" s="6">
        <v>682</v>
      </c>
      <c r="K3210" s="7" t="s">
        <v>4155</v>
      </c>
      <c r="L3210" s="8">
        <v>1151178</v>
      </c>
      <c r="M3210" s="8" t="str">
        <f t="shared" si="257"/>
        <v>PEN</v>
      </c>
      <c r="N3210" s="13">
        <v>768</v>
      </c>
      <c r="O3210" s="13"/>
      <c r="P3210" s="3">
        <f t="shared" si="258"/>
        <v>0</v>
      </c>
      <c r="Q3210" s="3">
        <f t="shared" si="259"/>
        <v>0</v>
      </c>
      <c r="R3210" s="3">
        <f t="shared" si="260"/>
        <v>34633.869999999981</v>
      </c>
      <c r="S3210" s="24" t="s">
        <v>1334</v>
      </c>
      <c r="T3210" s="24" t="s">
        <v>1334</v>
      </c>
      <c r="U3210" s="55"/>
      <c r="V3210" s="25">
        <f>IFERROR(VLOOKUP(BCP_Soles[[#This Row],[destinatario]],CHOOSE({1,2},Clientes_Proveedores[Razon Social],Clientes_Proveedores[Ruc / Dni]),2,0),"")</f>
        <v>20608686747</v>
      </c>
      <c r="W3210" s="25"/>
      <c r="X3210" s="25"/>
      <c r="Y3210" s="25"/>
      <c r="Z3210" s="77"/>
      <c r="AA3210" s="3" t="str">
        <f>IF(BCP_Soles[[#This Row],[fecha]]&gt;0,TEXT(BCP_Soles[[#This Row],[fecha]],"mmmm"),0)</f>
        <v>Agosto</v>
      </c>
    </row>
    <row r="3211" spans="1:27" ht="24" x14ac:dyDescent="0.3">
      <c r="A3211" s="2">
        <f>IF(BCP_Soles[[#This Row],[tipo_registro]]="R",COUNTIFS($C$1:$C3210,"R")+1,A3210)</f>
        <v>2179</v>
      </c>
      <c r="B3211" s="19" t="str">
        <f t="shared" si="256"/>
        <v>B-BCP - Soles</v>
      </c>
      <c r="C3211" s="3" t="s">
        <v>1352</v>
      </c>
      <c r="D3211" s="14">
        <v>45881</v>
      </c>
      <c r="E3211" s="5" t="s">
        <v>2269</v>
      </c>
      <c r="F3211" s="5"/>
      <c r="G3211" s="6" t="s">
        <v>271</v>
      </c>
      <c r="H3211" s="6" t="s">
        <v>68</v>
      </c>
      <c r="I3211" s="6" t="s">
        <v>1375</v>
      </c>
      <c r="J3211" s="6">
        <v>6958</v>
      </c>
      <c r="K3211" s="7" t="s">
        <v>4155</v>
      </c>
      <c r="L3211" s="8">
        <v>1151178</v>
      </c>
      <c r="M3211" s="8" t="str">
        <f t="shared" si="257"/>
        <v>PEN</v>
      </c>
      <c r="N3211" s="13">
        <v>82</v>
      </c>
      <c r="O3211" s="13"/>
      <c r="P3211" s="3">
        <f t="shared" si="258"/>
        <v>0</v>
      </c>
      <c r="Q3211" s="3">
        <f t="shared" si="259"/>
        <v>0</v>
      </c>
      <c r="R3211" s="3">
        <f t="shared" si="260"/>
        <v>34633.869999999981</v>
      </c>
      <c r="S3211" s="24" t="s">
        <v>1334</v>
      </c>
      <c r="T3211" s="24" t="s">
        <v>1334</v>
      </c>
      <c r="U3211" s="55"/>
      <c r="V3211" s="25">
        <f>IFERROR(VLOOKUP(BCP_Soles[[#This Row],[destinatario]],CHOOSE({1,2},Clientes_Proveedores[Razon Social],Clientes_Proveedores[Ruc / Dni]),2,0),"")</f>
        <v>20419158462</v>
      </c>
      <c r="W3211" s="25"/>
      <c r="X3211" s="25"/>
      <c r="Y3211" s="25"/>
      <c r="Z3211" s="77"/>
      <c r="AA3211" s="3" t="str">
        <f>IF(BCP_Soles[[#This Row],[fecha]]&gt;0,TEXT(BCP_Soles[[#This Row],[fecha]],"mmmm"),0)</f>
        <v>Agosto</v>
      </c>
    </row>
    <row r="3212" spans="1:27" ht="24" x14ac:dyDescent="0.3">
      <c r="A3212" s="2">
        <f>IF(BCP_Soles[[#This Row],[tipo_registro]]="R",COUNTIFS($C$1:$C3211,"R")+1,A3211)</f>
        <v>2179</v>
      </c>
      <c r="B3212" s="19" t="str">
        <f t="shared" si="256"/>
        <v>B-BCP - Soles</v>
      </c>
      <c r="C3212" s="3" t="s">
        <v>1352</v>
      </c>
      <c r="D3212" s="14">
        <v>45881</v>
      </c>
      <c r="E3212" s="5" t="s">
        <v>2269</v>
      </c>
      <c r="F3212" s="5"/>
      <c r="G3212" s="6" t="s">
        <v>271</v>
      </c>
      <c r="H3212" s="6" t="s">
        <v>68</v>
      </c>
      <c r="I3212" s="6" t="s">
        <v>1375</v>
      </c>
      <c r="J3212" s="6">
        <v>6960</v>
      </c>
      <c r="K3212" s="7" t="s">
        <v>4155</v>
      </c>
      <c r="L3212" s="8">
        <v>1151178</v>
      </c>
      <c r="M3212" s="8" t="str">
        <f t="shared" si="257"/>
        <v>PEN</v>
      </c>
      <c r="N3212" s="13">
        <v>56</v>
      </c>
      <c r="O3212" s="13"/>
      <c r="P3212" s="3">
        <f t="shared" si="258"/>
        <v>0</v>
      </c>
      <c r="Q3212" s="3">
        <f t="shared" si="259"/>
        <v>0</v>
      </c>
      <c r="R3212" s="3">
        <f t="shared" si="260"/>
        <v>34633.869999999981</v>
      </c>
      <c r="S3212" s="24" t="s">
        <v>1334</v>
      </c>
      <c r="T3212" s="24" t="s">
        <v>1334</v>
      </c>
      <c r="U3212" s="55"/>
      <c r="V3212" s="25">
        <f>IFERROR(VLOOKUP(BCP_Soles[[#This Row],[destinatario]],CHOOSE({1,2},Clientes_Proveedores[Razon Social],Clientes_Proveedores[Ruc / Dni]),2,0),"")</f>
        <v>20419158462</v>
      </c>
      <c r="W3212" s="25"/>
      <c r="X3212" s="25"/>
      <c r="Y3212" s="25"/>
      <c r="Z3212" s="77"/>
      <c r="AA3212" s="3" t="str">
        <f>IF(BCP_Soles[[#This Row],[fecha]]&gt;0,TEXT(BCP_Soles[[#This Row],[fecha]],"mmmm"),0)</f>
        <v>Agosto</v>
      </c>
    </row>
    <row r="3213" spans="1:27" ht="24" x14ac:dyDescent="0.3">
      <c r="A3213" s="2">
        <f>IF(BCP_Soles[[#This Row],[tipo_registro]]="R",COUNTIFS($C$1:$C3212,"R")+1,A3212)</f>
        <v>2179</v>
      </c>
      <c r="B3213" s="19" t="str">
        <f t="shared" si="256"/>
        <v>B-BCP - Soles</v>
      </c>
      <c r="C3213" s="3" t="s">
        <v>1352</v>
      </c>
      <c r="D3213" s="14">
        <v>45881</v>
      </c>
      <c r="E3213" s="5" t="s">
        <v>2269</v>
      </c>
      <c r="F3213" s="5"/>
      <c r="G3213" s="6" t="s">
        <v>667</v>
      </c>
      <c r="H3213" s="6" t="s">
        <v>68</v>
      </c>
      <c r="I3213" s="6" t="s">
        <v>1376</v>
      </c>
      <c r="J3213" s="6">
        <v>55</v>
      </c>
      <c r="K3213" s="7" t="s">
        <v>4155</v>
      </c>
      <c r="L3213" s="8">
        <v>1151178</v>
      </c>
      <c r="M3213" s="8" t="str">
        <f t="shared" si="257"/>
        <v>PEN</v>
      </c>
      <c r="N3213" s="13">
        <v>510</v>
      </c>
      <c r="O3213" s="13"/>
      <c r="P3213" s="3">
        <f t="shared" si="258"/>
        <v>0</v>
      </c>
      <c r="Q3213" s="3">
        <f t="shared" si="259"/>
        <v>0</v>
      </c>
      <c r="R3213" s="3">
        <f t="shared" si="260"/>
        <v>34633.869999999981</v>
      </c>
      <c r="S3213" s="24" t="s">
        <v>1334</v>
      </c>
      <c r="T3213" s="24" t="s">
        <v>1334</v>
      </c>
      <c r="U3213" s="55"/>
      <c r="V3213" s="25">
        <f>IFERROR(VLOOKUP(BCP_Soles[[#This Row],[destinatario]],CHOOSE({1,2},Clientes_Proveedores[Razon Social],Clientes_Proveedores[Ruc / Dni]),2,0),"")</f>
        <v>10410687491</v>
      </c>
      <c r="W3213" s="25"/>
      <c r="X3213" s="25"/>
      <c r="Y3213" s="25"/>
      <c r="Z3213" s="77"/>
      <c r="AA3213" s="3" t="str">
        <f>IF(BCP_Soles[[#This Row],[fecha]]&gt;0,TEXT(BCP_Soles[[#This Row],[fecha]],"mmmm"),0)</f>
        <v>Agosto</v>
      </c>
    </row>
    <row r="3214" spans="1:27" ht="24" x14ac:dyDescent="0.3">
      <c r="A3214" s="2">
        <f>IF(BCP_Soles[[#This Row],[tipo_registro]]="R",COUNTIFS($C$1:$C3213,"R")+1,A3213)</f>
        <v>2180</v>
      </c>
      <c r="B3214" s="19" t="str">
        <f t="shared" si="256"/>
        <v>B-BCP - Soles</v>
      </c>
      <c r="C3214" s="3" t="s">
        <v>1330</v>
      </c>
      <c r="D3214" s="14">
        <v>45881</v>
      </c>
      <c r="E3214" s="5" t="s">
        <v>2269</v>
      </c>
      <c r="F3214" s="5" t="s">
        <v>1336</v>
      </c>
      <c r="G3214" s="6" t="s">
        <v>993</v>
      </c>
      <c r="H3214" s="6" t="s">
        <v>143</v>
      </c>
      <c r="I3214" s="6">
        <v>1</v>
      </c>
      <c r="J3214" s="6">
        <v>542025</v>
      </c>
      <c r="K3214" s="7" t="s">
        <v>4157</v>
      </c>
      <c r="L3214" s="8">
        <v>1210477</v>
      </c>
      <c r="M3214" s="8" t="str">
        <f t="shared" si="257"/>
        <v>PEN</v>
      </c>
      <c r="N3214" s="13"/>
      <c r="O3214" s="13">
        <v>295</v>
      </c>
      <c r="P3214" s="3">
        <f t="shared" si="258"/>
        <v>0</v>
      </c>
      <c r="Q3214" s="3">
        <f t="shared" si="259"/>
        <v>295</v>
      </c>
      <c r="R3214" s="3">
        <f t="shared" si="260"/>
        <v>34338.869999999981</v>
      </c>
      <c r="S3214" s="24" t="s">
        <v>1334</v>
      </c>
      <c r="T3214" s="24" t="s">
        <v>1334</v>
      </c>
      <c r="U3214" s="56" t="s">
        <v>4158</v>
      </c>
      <c r="V3214" s="25">
        <f>IFERROR(VLOOKUP(BCP_Soles[[#This Row],[destinatario]],CHOOSE({1,2},Clientes_Proveedores[Razon Social],Clientes_Proveedores[Ruc / Dni]),2,0),"")</f>
        <v>76390500</v>
      </c>
      <c r="W3214" s="25"/>
      <c r="X3214" s="25"/>
      <c r="Y3214" s="25"/>
      <c r="Z3214" s="77"/>
      <c r="AA3214" s="3" t="str">
        <f>IF(BCP_Soles[[#This Row],[fecha]]&gt;0,TEXT(BCP_Soles[[#This Row],[fecha]],"mmmm"),0)</f>
        <v>Agosto</v>
      </c>
    </row>
    <row r="3215" spans="1:27" ht="24" x14ac:dyDescent="0.3">
      <c r="A3215" s="2">
        <f>IF(BCP_Soles[[#This Row],[tipo_registro]]="R",COUNTIFS($C$1:$C3214,"R")+1,A3214)</f>
        <v>2181</v>
      </c>
      <c r="B3215" s="19" t="str">
        <f t="shared" si="256"/>
        <v>B-BCP - Soles</v>
      </c>
      <c r="C3215" s="3" t="s">
        <v>1330</v>
      </c>
      <c r="D3215" s="14">
        <v>45881</v>
      </c>
      <c r="E3215" s="5" t="s">
        <v>2269</v>
      </c>
      <c r="F3215" s="5" t="s">
        <v>1336</v>
      </c>
      <c r="G3215" s="6" t="s">
        <v>703</v>
      </c>
      <c r="H3215" s="6" t="s">
        <v>106</v>
      </c>
      <c r="I3215" s="6" t="s">
        <v>1484</v>
      </c>
      <c r="J3215" s="6">
        <v>31757461</v>
      </c>
      <c r="K3215" s="7" t="s">
        <v>4159</v>
      </c>
      <c r="L3215" s="8">
        <v>209493</v>
      </c>
      <c r="M3215" s="8" t="str">
        <f t="shared" si="257"/>
        <v>PEN</v>
      </c>
      <c r="N3215" s="13"/>
      <c r="O3215" s="13">
        <v>381.8</v>
      </c>
      <c r="P3215" s="3">
        <f t="shared" si="258"/>
        <v>0</v>
      </c>
      <c r="Q3215" s="3">
        <f t="shared" si="259"/>
        <v>381.8</v>
      </c>
      <c r="R3215" s="3">
        <f t="shared" si="260"/>
        <v>33957.069999999978</v>
      </c>
      <c r="S3215" s="24" t="s">
        <v>1334</v>
      </c>
      <c r="T3215" s="24" t="s">
        <v>1334</v>
      </c>
      <c r="U3215" s="56" t="s">
        <v>4160</v>
      </c>
      <c r="V3215" s="25">
        <f>IFERROR(VLOOKUP(BCP_Soles[[#This Row],[destinatario]],CHOOSE({1,2},Clientes_Proveedores[Razon Social],Clientes_Proveedores[Ruc / Dni]),2,0),"")</f>
        <v>20100188628</v>
      </c>
      <c r="W3215" s="25"/>
      <c r="X3215" s="25"/>
      <c r="Y3215" s="25"/>
      <c r="Z3215" s="77"/>
      <c r="AA3215" s="3" t="str">
        <f>IF(BCP_Soles[[#This Row],[fecha]]&gt;0,TEXT(BCP_Soles[[#This Row],[fecha]],"mmmm"),0)</f>
        <v>Agosto</v>
      </c>
    </row>
    <row r="3216" spans="1:27" ht="24" x14ac:dyDescent="0.3">
      <c r="A3216" s="2">
        <f>IF(BCP_Soles[[#This Row],[tipo_registro]]="R",COUNTIFS($C$1:$C3215,"R")+1,A3215)</f>
        <v>2182</v>
      </c>
      <c r="B3216" s="19" t="str">
        <f t="shared" si="256"/>
        <v>B-BCP - Soles</v>
      </c>
      <c r="C3216" s="3" t="s">
        <v>1330</v>
      </c>
      <c r="D3216" s="14">
        <v>45881</v>
      </c>
      <c r="E3216" s="5" t="s">
        <v>2269</v>
      </c>
      <c r="F3216" s="5" t="s">
        <v>1336</v>
      </c>
      <c r="G3216" s="6" t="s">
        <v>703</v>
      </c>
      <c r="H3216" s="6" t="s">
        <v>106</v>
      </c>
      <c r="I3216" s="6" t="s">
        <v>1484</v>
      </c>
      <c r="J3216" s="6">
        <v>31757401</v>
      </c>
      <c r="K3216" s="7" t="s">
        <v>4161</v>
      </c>
      <c r="L3216" s="8">
        <v>210965</v>
      </c>
      <c r="M3216" s="8" t="str">
        <f t="shared" si="257"/>
        <v>PEN</v>
      </c>
      <c r="N3216" s="13"/>
      <c r="O3216" s="13">
        <v>122.9</v>
      </c>
      <c r="P3216" s="3">
        <f t="shared" si="258"/>
        <v>0</v>
      </c>
      <c r="Q3216" s="3">
        <f t="shared" si="259"/>
        <v>122.9</v>
      </c>
      <c r="R3216" s="3">
        <f t="shared" si="260"/>
        <v>33834.169999999976</v>
      </c>
      <c r="S3216" s="24" t="s">
        <v>1334</v>
      </c>
      <c r="T3216" s="24" t="s">
        <v>1334</v>
      </c>
      <c r="U3216" s="56" t="s">
        <v>4162</v>
      </c>
      <c r="V3216" s="25">
        <f>IFERROR(VLOOKUP(BCP_Soles[[#This Row],[destinatario]],CHOOSE({1,2},Clientes_Proveedores[Razon Social],Clientes_Proveedores[Ruc / Dni]),2,0),"")</f>
        <v>20100188628</v>
      </c>
      <c r="W3216" s="25"/>
      <c r="X3216" s="25"/>
      <c r="Y3216" s="25"/>
      <c r="Z3216" s="77"/>
      <c r="AA3216" s="3" t="str">
        <f>IF(BCP_Soles[[#This Row],[fecha]]&gt;0,TEXT(BCP_Soles[[#This Row],[fecha]],"mmmm"),0)</f>
        <v>Agosto</v>
      </c>
    </row>
    <row r="3217" spans="1:27" ht="24" x14ac:dyDescent="0.3">
      <c r="A3217" s="2">
        <f>IF(BCP_Soles[[#This Row],[tipo_registro]]="R",COUNTIFS($C$1:$C3216,"R")+1,A3216)</f>
        <v>2183</v>
      </c>
      <c r="B3217" s="19" t="str">
        <f t="shared" si="256"/>
        <v>B-BCP - Soles</v>
      </c>
      <c r="C3217" s="3" t="s">
        <v>1330</v>
      </c>
      <c r="D3217" s="14">
        <v>45881</v>
      </c>
      <c r="E3217" s="5" t="s">
        <v>2269</v>
      </c>
      <c r="F3217" s="5" t="s">
        <v>1336</v>
      </c>
      <c r="G3217" s="6" t="s">
        <v>249</v>
      </c>
      <c r="H3217" s="6"/>
      <c r="I3217" s="6"/>
      <c r="J3217" s="6"/>
      <c r="K3217" s="7" t="s">
        <v>4163</v>
      </c>
      <c r="L3217" s="8">
        <v>1209981</v>
      </c>
      <c r="M3217" s="8" t="str">
        <f t="shared" si="257"/>
        <v>PEN</v>
      </c>
      <c r="N3217" s="13"/>
      <c r="O3217" s="13">
        <v>3000</v>
      </c>
      <c r="P3217" s="3">
        <f t="shared" si="258"/>
        <v>0</v>
      </c>
      <c r="Q3217" s="3">
        <f t="shared" si="259"/>
        <v>3000</v>
      </c>
      <c r="R3217" s="3">
        <f t="shared" si="260"/>
        <v>30834.169999999976</v>
      </c>
      <c r="S3217" s="24"/>
      <c r="T3217" s="24" t="s">
        <v>1334</v>
      </c>
      <c r="U3217" s="55"/>
      <c r="V3217" s="25">
        <f>IFERROR(VLOOKUP(BCP_Soles[[#This Row],[destinatario]],CHOOSE({1,2},Clientes_Proveedores[Razon Social],Clientes_Proveedores[Ruc / Dni]),2,0),"")</f>
        <v>20302891452</v>
      </c>
      <c r="W3217" s="25"/>
      <c r="X3217" s="25"/>
      <c r="Y3217" s="25"/>
      <c r="Z3217" s="77"/>
      <c r="AA3217" s="3" t="str">
        <f>IF(BCP_Soles[[#This Row],[fecha]]&gt;0,TEXT(BCP_Soles[[#This Row],[fecha]],"mmmm"),0)</f>
        <v>Agosto</v>
      </c>
    </row>
    <row r="3218" spans="1:27" ht="24" x14ac:dyDescent="0.3">
      <c r="A3218" s="2">
        <f>IF(BCP_Soles[[#This Row],[tipo_registro]]="R",COUNTIFS($C$1:$C3217,"R")+1,A3217)</f>
        <v>2184</v>
      </c>
      <c r="B3218" s="19" t="str">
        <f t="shared" si="256"/>
        <v>B-BCP - Soles</v>
      </c>
      <c r="C3218" s="3" t="s">
        <v>1330</v>
      </c>
      <c r="D3218" s="14">
        <v>45881</v>
      </c>
      <c r="E3218" s="5" t="s">
        <v>2269</v>
      </c>
      <c r="F3218" s="5" t="s">
        <v>1336</v>
      </c>
      <c r="G3218" s="6" t="s">
        <v>698</v>
      </c>
      <c r="H3218" s="6"/>
      <c r="I3218" s="6"/>
      <c r="J3218" s="6"/>
      <c r="K3218" s="7" t="s">
        <v>4164</v>
      </c>
      <c r="L3218" s="8">
        <v>4017179</v>
      </c>
      <c r="M3218" s="8" t="str">
        <f t="shared" si="257"/>
        <v>PEN</v>
      </c>
      <c r="N3218" s="13"/>
      <c r="O3218" s="13">
        <v>3219.5</v>
      </c>
      <c r="P3218" s="3">
        <f t="shared" si="258"/>
        <v>0</v>
      </c>
      <c r="Q3218" s="3">
        <f t="shared" si="259"/>
        <v>3219.5</v>
      </c>
      <c r="R3218" s="3">
        <f t="shared" si="260"/>
        <v>27614.669999999976</v>
      </c>
      <c r="S3218" s="24" t="s">
        <v>1334</v>
      </c>
      <c r="T3218" s="24"/>
      <c r="U3218" s="55"/>
      <c r="V3218" s="25">
        <f>IFERROR(VLOOKUP(BCP_Soles[[#This Row],[destinatario]],CHOOSE({1,2},Clientes_Proveedores[Razon Social],Clientes_Proveedores[Ruc / Dni]),2,0),"")</f>
        <v>10296347634</v>
      </c>
      <c r="W3218" s="25"/>
      <c r="X3218" s="25"/>
      <c r="Y3218" s="25"/>
      <c r="Z3218" s="77"/>
      <c r="AA3218" s="3" t="str">
        <f>IF(BCP_Soles[[#This Row],[fecha]]&gt;0,TEXT(BCP_Soles[[#This Row],[fecha]],"mmmm"),0)</f>
        <v>Agosto</v>
      </c>
    </row>
    <row r="3219" spans="1:27" ht="24" x14ac:dyDescent="0.3">
      <c r="A3219" s="2">
        <f>IF(BCP_Soles[[#This Row],[tipo_registro]]="R",COUNTIFS($C$1:$C3218,"R")+1,A3218)</f>
        <v>2184</v>
      </c>
      <c r="B3219" s="19" t="str">
        <f t="shared" si="256"/>
        <v>B-BCP - Soles</v>
      </c>
      <c r="C3219" s="3" t="s">
        <v>1352</v>
      </c>
      <c r="D3219" s="14">
        <v>45881</v>
      </c>
      <c r="E3219" s="5" t="s">
        <v>2269</v>
      </c>
      <c r="F3219" s="5"/>
      <c r="G3219" s="6" t="s">
        <v>698</v>
      </c>
      <c r="H3219" s="6" t="s">
        <v>64</v>
      </c>
      <c r="I3219" s="6"/>
      <c r="J3219" s="6"/>
      <c r="K3219" s="7" t="s">
        <v>4164</v>
      </c>
      <c r="L3219" s="8">
        <v>4017179</v>
      </c>
      <c r="M3219" s="8" t="str">
        <f t="shared" si="257"/>
        <v>PEN</v>
      </c>
      <c r="N3219" s="13">
        <v>3200</v>
      </c>
      <c r="O3219" s="13"/>
      <c r="P3219" s="3">
        <f t="shared" si="258"/>
        <v>0</v>
      </c>
      <c r="Q3219" s="3">
        <f t="shared" si="259"/>
        <v>0</v>
      </c>
      <c r="R3219" s="3">
        <f t="shared" si="260"/>
        <v>27614.669999999976</v>
      </c>
      <c r="S3219" s="24" t="s">
        <v>1334</v>
      </c>
      <c r="T3219" s="24"/>
      <c r="U3219" s="55"/>
      <c r="V3219" s="25">
        <f>IFERROR(VLOOKUP(BCP_Soles[[#This Row],[destinatario]],CHOOSE({1,2},Clientes_Proveedores[Razon Social],Clientes_Proveedores[Ruc / Dni]),2,0),"")</f>
        <v>10296347634</v>
      </c>
      <c r="W3219" s="25"/>
      <c r="X3219" s="25"/>
      <c r="Y3219" s="25"/>
      <c r="Z3219" s="77"/>
      <c r="AA3219" s="3" t="str">
        <f>IF(BCP_Soles[[#This Row],[fecha]]&gt;0,TEXT(BCP_Soles[[#This Row],[fecha]],"mmmm"),0)</f>
        <v>Agosto</v>
      </c>
    </row>
    <row r="3220" spans="1:27" ht="24" x14ac:dyDescent="0.3">
      <c r="A3220" s="2">
        <f>IF(BCP_Soles[[#This Row],[tipo_registro]]="R",COUNTIFS($C$1:$C3219,"R")+1,A3219)</f>
        <v>2184</v>
      </c>
      <c r="B3220" s="19" t="str">
        <f t="shared" si="256"/>
        <v>B-BCP - Soles</v>
      </c>
      <c r="C3220" s="3" t="s">
        <v>1352</v>
      </c>
      <c r="D3220" s="14">
        <v>45881</v>
      </c>
      <c r="E3220" s="5" t="s">
        <v>2269</v>
      </c>
      <c r="F3220" s="5"/>
      <c r="G3220" s="6" t="s">
        <v>1060</v>
      </c>
      <c r="H3220" s="6" t="s">
        <v>68</v>
      </c>
      <c r="I3220" s="6" t="s">
        <v>1397</v>
      </c>
      <c r="J3220" s="6">
        <v>35646390</v>
      </c>
      <c r="K3220" s="7" t="s">
        <v>4164</v>
      </c>
      <c r="L3220" s="8">
        <v>4017179</v>
      </c>
      <c r="M3220" s="8" t="str">
        <f t="shared" si="257"/>
        <v>PEN</v>
      </c>
      <c r="N3220" s="13">
        <v>19.5</v>
      </c>
      <c r="O3220" s="13"/>
      <c r="P3220" s="3">
        <f t="shared" si="258"/>
        <v>0</v>
      </c>
      <c r="Q3220" s="3">
        <f t="shared" si="259"/>
        <v>0</v>
      </c>
      <c r="R3220" s="3">
        <f t="shared" si="260"/>
        <v>27614.669999999976</v>
      </c>
      <c r="S3220" s="24" t="s">
        <v>1334</v>
      </c>
      <c r="T3220" s="24"/>
      <c r="U3220" s="55"/>
      <c r="V3220" s="25">
        <f>IFERROR(VLOOKUP(BCP_Soles[[#This Row],[destinatario]],CHOOSE({1,2},Clientes_Proveedores[Razon Social],Clientes_Proveedores[Ruc / Dni]),2,0),"")</f>
        <v>20100047218</v>
      </c>
      <c r="W3220" s="25"/>
      <c r="X3220" s="25"/>
      <c r="Y3220" s="25"/>
      <c r="Z3220" s="77"/>
      <c r="AA3220" s="3" t="str">
        <f>IF(BCP_Soles[[#This Row],[fecha]]&gt;0,TEXT(BCP_Soles[[#This Row],[fecha]],"mmmm"),0)</f>
        <v>Agosto</v>
      </c>
    </row>
    <row r="3221" spans="1:27" ht="24" x14ac:dyDescent="0.3">
      <c r="A3221" s="2">
        <f>IF(BCP_Soles[[#This Row],[tipo_registro]]="R",COUNTIFS($C$1:$C3220,"R")+1,A3220)</f>
        <v>2185</v>
      </c>
      <c r="B3221" s="19" t="str">
        <f t="shared" si="256"/>
        <v>B-BCP - Soles</v>
      </c>
      <c r="C3221" s="3" t="s">
        <v>1330</v>
      </c>
      <c r="D3221" s="14">
        <v>45881</v>
      </c>
      <c r="E3221" s="5" t="s">
        <v>2269</v>
      </c>
      <c r="F3221" s="5" t="s">
        <v>1336</v>
      </c>
      <c r="G3221" s="6" t="s">
        <v>984</v>
      </c>
      <c r="H3221" s="6" t="s">
        <v>68</v>
      </c>
      <c r="I3221" s="6" t="s">
        <v>1391</v>
      </c>
      <c r="J3221" s="6">
        <v>17595</v>
      </c>
      <c r="K3221" s="7" t="s">
        <v>4165</v>
      </c>
      <c r="L3221" s="8">
        <v>1210964</v>
      </c>
      <c r="M3221" s="8" t="str">
        <f t="shared" si="257"/>
        <v>PEN</v>
      </c>
      <c r="N3221" s="13"/>
      <c r="O3221" s="13">
        <v>366.98</v>
      </c>
      <c r="P3221" s="3">
        <f t="shared" si="258"/>
        <v>0</v>
      </c>
      <c r="Q3221" s="3">
        <f t="shared" si="259"/>
        <v>366.98</v>
      </c>
      <c r="R3221" s="3">
        <f t="shared" si="260"/>
        <v>27247.689999999977</v>
      </c>
      <c r="S3221" s="24" t="s">
        <v>1334</v>
      </c>
      <c r="T3221" s="24" t="s">
        <v>1334</v>
      </c>
      <c r="U3221" s="55"/>
      <c r="V3221" s="25">
        <f>IFERROR(VLOOKUP(BCP_Soles[[#This Row],[destinatario]],CHOOSE({1,2},Clientes_Proveedores[Razon Social],Clientes_Proveedores[Ruc / Dni]),2,0),"")</f>
        <v>20455823880</v>
      </c>
      <c r="W3221" s="25"/>
      <c r="X3221" s="25"/>
      <c r="Y3221" s="25"/>
      <c r="Z3221" s="77"/>
      <c r="AA3221" s="3" t="str">
        <f>IF(BCP_Soles[[#This Row],[fecha]]&gt;0,TEXT(BCP_Soles[[#This Row],[fecha]],"mmmm"),0)</f>
        <v>Agosto</v>
      </c>
    </row>
    <row r="3222" spans="1:27" x14ac:dyDescent="0.3">
      <c r="A3222" s="2">
        <f>IF(BCP_Soles[[#This Row],[tipo_registro]]="R",COUNTIFS($C$1:$C3221,"R")+1,A3221)</f>
        <v>2186</v>
      </c>
      <c r="B3222" s="19" t="str">
        <f t="shared" si="256"/>
        <v>B-BCP - Soles</v>
      </c>
      <c r="C3222" s="3" t="s">
        <v>1330</v>
      </c>
      <c r="D3222" s="14">
        <v>45881</v>
      </c>
      <c r="E3222" s="5" t="s">
        <v>2269</v>
      </c>
      <c r="F3222" s="5" t="s">
        <v>1336</v>
      </c>
      <c r="G3222" s="6" t="s">
        <v>414</v>
      </c>
      <c r="H3222" s="6" t="s">
        <v>68</v>
      </c>
      <c r="I3222" s="6" t="s">
        <v>1374</v>
      </c>
      <c r="J3222" s="6">
        <v>14701</v>
      </c>
      <c r="K3222" s="7" t="s">
        <v>4166</v>
      </c>
      <c r="L3222" s="8">
        <v>1212034</v>
      </c>
      <c r="M3222" s="8" t="str">
        <f t="shared" si="257"/>
        <v>PEN</v>
      </c>
      <c r="N3222" s="13"/>
      <c r="O3222" s="13">
        <v>529</v>
      </c>
      <c r="P3222" s="3">
        <f t="shared" si="258"/>
        <v>0</v>
      </c>
      <c r="Q3222" s="3">
        <f t="shared" si="259"/>
        <v>529</v>
      </c>
      <c r="R3222" s="3">
        <f t="shared" si="260"/>
        <v>26718.689999999977</v>
      </c>
      <c r="S3222" s="24" t="s">
        <v>1334</v>
      </c>
      <c r="T3222" s="24" t="s">
        <v>1334</v>
      </c>
      <c r="U3222" s="56" t="s">
        <v>4167</v>
      </c>
      <c r="V3222" s="25">
        <f>IFERROR(VLOOKUP(BCP_Soles[[#This Row],[destinatario]],CHOOSE({1,2},Clientes_Proveedores[Razon Social],Clientes_Proveedores[Ruc / Dni]),2,0),"")</f>
        <v>20553255709</v>
      </c>
      <c r="W3222" s="25"/>
      <c r="X3222" s="25"/>
      <c r="Y3222" s="25"/>
      <c r="Z3222" s="77"/>
      <c r="AA3222" s="3" t="str">
        <f>IF(BCP_Soles[[#This Row],[fecha]]&gt;0,TEXT(BCP_Soles[[#This Row],[fecha]],"mmmm"),0)</f>
        <v>Agosto</v>
      </c>
    </row>
    <row r="3223" spans="1:27" ht="24" x14ac:dyDescent="0.3">
      <c r="A3223" s="2">
        <f>IF(BCP_Soles[[#This Row],[tipo_registro]]="R",COUNTIFS($C$1:$C3222,"R")+1,A3222)</f>
        <v>2187</v>
      </c>
      <c r="B3223" s="19" t="str">
        <f t="shared" si="256"/>
        <v>B-BCP - Soles</v>
      </c>
      <c r="C3223" s="3" t="s">
        <v>1330</v>
      </c>
      <c r="D3223" s="14">
        <v>45881</v>
      </c>
      <c r="E3223" s="5" t="s">
        <v>2269</v>
      </c>
      <c r="F3223" s="5" t="s">
        <v>1336</v>
      </c>
      <c r="G3223" s="6" t="s">
        <v>747</v>
      </c>
      <c r="H3223" s="6"/>
      <c r="I3223" s="6"/>
      <c r="J3223" s="6"/>
      <c r="K3223" s="7" t="s">
        <v>4168</v>
      </c>
      <c r="L3223" s="8">
        <v>1209491</v>
      </c>
      <c r="M3223" s="8" t="str">
        <f t="shared" si="257"/>
        <v>PEN</v>
      </c>
      <c r="N3223" s="13"/>
      <c r="O3223" s="13">
        <v>800</v>
      </c>
      <c r="P3223" s="3">
        <f t="shared" si="258"/>
        <v>0</v>
      </c>
      <c r="Q3223" s="3">
        <f t="shared" si="259"/>
        <v>800</v>
      </c>
      <c r="R3223" s="3">
        <f t="shared" si="260"/>
        <v>25918.689999999977</v>
      </c>
      <c r="S3223" s="24" t="s">
        <v>1334</v>
      </c>
      <c r="T3223" s="24" t="s">
        <v>1334</v>
      </c>
      <c r="U3223" s="56" t="s">
        <v>4169</v>
      </c>
      <c r="V3223" s="25">
        <f>IFERROR(VLOOKUP(BCP_Soles[[#This Row],[destinatario]],CHOOSE({1,2},Clientes_Proveedores[Razon Social],Clientes_Proveedores[Ruc / Dni]),2,0),"")</f>
        <v>10446328129</v>
      </c>
      <c r="W3223" s="25"/>
      <c r="X3223" s="25"/>
      <c r="Y3223" s="25"/>
      <c r="Z3223" s="77"/>
      <c r="AA3223" s="3" t="str">
        <f>IF(BCP_Soles[[#This Row],[fecha]]&gt;0,TEXT(BCP_Soles[[#This Row],[fecha]],"mmmm"),0)</f>
        <v>Agosto</v>
      </c>
    </row>
    <row r="3224" spans="1:27" ht="24" x14ac:dyDescent="0.3">
      <c r="A3224" s="2">
        <f>IF(BCP_Soles[[#This Row],[tipo_registro]]="R",COUNTIFS($C$1:$C3223,"R")+1,A3223)</f>
        <v>2187</v>
      </c>
      <c r="B3224" s="19" t="str">
        <f t="shared" si="256"/>
        <v>B-BCP - Soles</v>
      </c>
      <c r="C3224" s="3" t="s">
        <v>1352</v>
      </c>
      <c r="D3224" s="14">
        <v>45881</v>
      </c>
      <c r="E3224" s="5" t="s">
        <v>2269</v>
      </c>
      <c r="F3224" s="5"/>
      <c r="G3224" s="6" t="s">
        <v>747</v>
      </c>
      <c r="H3224" s="6" t="s">
        <v>72</v>
      </c>
      <c r="I3224" s="6" t="s">
        <v>1376</v>
      </c>
      <c r="J3224" s="6">
        <v>32</v>
      </c>
      <c r="K3224" s="7" t="s">
        <v>4168</v>
      </c>
      <c r="L3224" s="8">
        <v>1209491</v>
      </c>
      <c r="M3224" s="8" t="str">
        <f t="shared" si="257"/>
        <v>PEN</v>
      </c>
      <c r="N3224" s="13">
        <v>250</v>
      </c>
      <c r="O3224" s="13"/>
      <c r="P3224" s="3">
        <f t="shared" si="258"/>
        <v>0</v>
      </c>
      <c r="Q3224" s="3">
        <f t="shared" si="259"/>
        <v>0</v>
      </c>
      <c r="R3224" s="3">
        <f t="shared" si="260"/>
        <v>25918.689999999977</v>
      </c>
      <c r="S3224" s="24" t="s">
        <v>1334</v>
      </c>
      <c r="T3224" s="24" t="s">
        <v>1334</v>
      </c>
      <c r="U3224" s="56" t="s">
        <v>4170</v>
      </c>
      <c r="V3224" s="25">
        <f>IFERROR(VLOOKUP(BCP_Soles[[#This Row],[destinatario]],CHOOSE({1,2},Clientes_Proveedores[Razon Social],Clientes_Proveedores[Ruc / Dni]),2,0),"")</f>
        <v>10446328129</v>
      </c>
      <c r="W3224" s="25"/>
      <c r="X3224" s="25"/>
      <c r="Y3224" s="25"/>
      <c r="Z3224" s="77"/>
      <c r="AA3224" s="3" t="str">
        <f>IF(BCP_Soles[[#This Row],[fecha]]&gt;0,TEXT(BCP_Soles[[#This Row],[fecha]],"mmmm"),0)</f>
        <v>Agosto</v>
      </c>
    </row>
    <row r="3225" spans="1:27" ht="24" x14ac:dyDescent="0.3">
      <c r="A3225" s="2">
        <f>IF(BCP_Soles[[#This Row],[tipo_registro]]="R",COUNTIFS($C$1:$C3224,"R")+1,A3224)</f>
        <v>2187</v>
      </c>
      <c r="B3225" s="19" t="str">
        <f t="shared" si="256"/>
        <v>B-BCP - Soles</v>
      </c>
      <c r="C3225" s="3" t="s">
        <v>1352</v>
      </c>
      <c r="D3225" s="14">
        <v>45881</v>
      </c>
      <c r="E3225" s="5" t="s">
        <v>2269</v>
      </c>
      <c r="F3225" s="5"/>
      <c r="G3225" s="6" t="s">
        <v>747</v>
      </c>
      <c r="H3225" s="6" t="s">
        <v>72</v>
      </c>
      <c r="I3225" s="6" t="s">
        <v>1376</v>
      </c>
      <c r="J3225" s="6">
        <v>34</v>
      </c>
      <c r="K3225" s="7" t="s">
        <v>4168</v>
      </c>
      <c r="L3225" s="8">
        <v>1209491</v>
      </c>
      <c r="M3225" s="8" t="str">
        <f t="shared" si="257"/>
        <v>PEN</v>
      </c>
      <c r="N3225" s="13">
        <v>100</v>
      </c>
      <c r="O3225" s="13"/>
      <c r="P3225" s="3">
        <f t="shared" si="258"/>
        <v>0</v>
      </c>
      <c r="Q3225" s="3">
        <f t="shared" si="259"/>
        <v>0</v>
      </c>
      <c r="R3225" s="3">
        <f t="shared" si="260"/>
        <v>25918.689999999977</v>
      </c>
      <c r="S3225" s="24" t="s">
        <v>1334</v>
      </c>
      <c r="T3225" s="24" t="s">
        <v>1334</v>
      </c>
      <c r="U3225" s="56" t="s">
        <v>4170</v>
      </c>
      <c r="V3225" s="25">
        <f>IFERROR(VLOOKUP(BCP_Soles[[#This Row],[destinatario]],CHOOSE({1,2},Clientes_Proveedores[Razon Social],Clientes_Proveedores[Ruc / Dni]),2,0),"")</f>
        <v>10446328129</v>
      </c>
      <c r="W3225" s="25"/>
      <c r="X3225" s="25"/>
      <c r="Y3225" s="25"/>
      <c r="Z3225" s="77"/>
      <c r="AA3225" s="3" t="str">
        <f>IF(BCP_Soles[[#This Row],[fecha]]&gt;0,TEXT(BCP_Soles[[#This Row],[fecha]],"mmmm"),0)</f>
        <v>Agosto</v>
      </c>
    </row>
    <row r="3226" spans="1:27" ht="24" x14ac:dyDescent="0.3">
      <c r="A3226" s="2">
        <f>IF(BCP_Soles[[#This Row],[tipo_registro]]="R",COUNTIFS($C$1:$C3225,"R")+1,A3225)</f>
        <v>2187</v>
      </c>
      <c r="B3226" s="19" t="str">
        <f t="shared" ref="B3226:B3289" si="261">"B-BCP - Soles"</f>
        <v>B-BCP - Soles</v>
      </c>
      <c r="C3226" s="3" t="s">
        <v>1352</v>
      </c>
      <c r="D3226" s="14">
        <v>45881</v>
      </c>
      <c r="E3226" s="5" t="s">
        <v>2269</v>
      </c>
      <c r="F3226" s="5"/>
      <c r="G3226" s="6" t="s">
        <v>747</v>
      </c>
      <c r="H3226" s="6" t="s">
        <v>72</v>
      </c>
      <c r="I3226" s="6" t="s">
        <v>1376</v>
      </c>
      <c r="J3226" s="6">
        <v>35</v>
      </c>
      <c r="K3226" s="7" t="s">
        <v>4168</v>
      </c>
      <c r="L3226" s="8">
        <v>1209491</v>
      </c>
      <c r="M3226" s="8" t="str">
        <f t="shared" ref="M3226:M3289" si="262">"PEN"</f>
        <v>PEN</v>
      </c>
      <c r="N3226" s="13">
        <v>200</v>
      </c>
      <c r="O3226" s="13"/>
      <c r="P3226" s="3">
        <f t="shared" ref="P3226:P3289" si="263">+IF(OR($F3226="SALDO",$F3226="INGRESO"),$O3226,0)</f>
        <v>0</v>
      </c>
      <c r="Q3226" s="3">
        <f t="shared" ref="Q3226:Q3289" si="264">+IF($F3226="EGRESO",$O3226,0)</f>
        <v>0</v>
      </c>
      <c r="R3226" s="3">
        <f t="shared" si="260"/>
        <v>25918.689999999977</v>
      </c>
      <c r="S3226" s="24" t="s">
        <v>1334</v>
      </c>
      <c r="T3226" s="24" t="s">
        <v>1334</v>
      </c>
      <c r="U3226" s="56" t="s">
        <v>4170</v>
      </c>
      <c r="V3226" s="25">
        <f>IFERROR(VLOOKUP(BCP_Soles[[#This Row],[destinatario]],CHOOSE({1,2},Clientes_Proveedores[Razon Social],Clientes_Proveedores[Ruc / Dni]),2,0),"")</f>
        <v>10446328129</v>
      </c>
      <c r="W3226" s="25"/>
      <c r="X3226" s="25"/>
      <c r="Y3226" s="25"/>
      <c r="Z3226" s="77"/>
      <c r="AA3226" s="3" t="str">
        <f>IF(BCP_Soles[[#This Row],[fecha]]&gt;0,TEXT(BCP_Soles[[#This Row],[fecha]],"mmmm"),0)</f>
        <v>Agosto</v>
      </c>
    </row>
    <row r="3227" spans="1:27" ht="24" x14ac:dyDescent="0.3">
      <c r="A3227" s="2">
        <f>IF(BCP_Soles[[#This Row],[tipo_registro]]="R",COUNTIFS($C$1:$C3226,"R")+1,A3226)</f>
        <v>2187</v>
      </c>
      <c r="B3227" s="19" t="str">
        <f t="shared" si="261"/>
        <v>B-BCP - Soles</v>
      </c>
      <c r="C3227" s="3" t="s">
        <v>1352</v>
      </c>
      <c r="D3227" s="14">
        <v>45881</v>
      </c>
      <c r="E3227" s="5" t="s">
        <v>2269</v>
      </c>
      <c r="F3227" s="5"/>
      <c r="G3227" s="6" t="s">
        <v>747</v>
      </c>
      <c r="H3227" s="6" t="s">
        <v>72</v>
      </c>
      <c r="I3227" s="6" t="s">
        <v>1376</v>
      </c>
      <c r="J3227" s="6">
        <v>36</v>
      </c>
      <c r="K3227" s="7" t="s">
        <v>4168</v>
      </c>
      <c r="L3227" s="8">
        <v>1209491</v>
      </c>
      <c r="M3227" s="8" t="str">
        <f t="shared" si="262"/>
        <v>PEN</v>
      </c>
      <c r="N3227" s="13">
        <v>250</v>
      </c>
      <c r="O3227" s="13"/>
      <c r="P3227" s="3">
        <f t="shared" si="263"/>
        <v>0</v>
      </c>
      <c r="Q3227" s="3">
        <f t="shared" si="264"/>
        <v>0</v>
      </c>
      <c r="R3227" s="3">
        <f t="shared" si="260"/>
        <v>25918.689999999977</v>
      </c>
      <c r="S3227" s="24" t="s">
        <v>1334</v>
      </c>
      <c r="T3227" s="24" t="s">
        <v>1334</v>
      </c>
      <c r="U3227" s="56" t="s">
        <v>4170</v>
      </c>
      <c r="V3227" s="25">
        <f>IFERROR(VLOOKUP(BCP_Soles[[#This Row],[destinatario]],CHOOSE({1,2},Clientes_Proveedores[Razon Social],Clientes_Proveedores[Ruc / Dni]),2,0),"")</f>
        <v>10446328129</v>
      </c>
      <c r="W3227" s="25"/>
      <c r="X3227" s="25"/>
      <c r="Y3227" s="25"/>
      <c r="Z3227" s="77"/>
      <c r="AA3227" s="3" t="str">
        <f>IF(BCP_Soles[[#This Row],[fecha]]&gt;0,TEXT(BCP_Soles[[#This Row],[fecha]],"mmmm"),0)</f>
        <v>Agosto</v>
      </c>
    </row>
    <row r="3228" spans="1:27" x14ac:dyDescent="0.3">
      <c r="A3228" s="2">
        <f>IF(BCP_Soles[[#This Row],[tipo_registro]]="R",COUNTIFS($C$1:$C3227,"R")+1,A3227)</f>
        <v>2188</v>
      </c>
      <c r="B3228" s="19" t="str">
        <f t="shared" si="261"/>
        <v>B-BCP - Soles</v>
      </c>
      <c r="C3228" s="3" t="s">
        <v>1330</v>
      </c>
      <c r="D3228" s="14">
        <v>45881</v>
      </c>
      <c r="E3228" s="5" t="s">
        <v>4171</v>
      </c>
      <c r="F3228" s="5" t="s">
        <v>1336</v>
      </c>
      <c r="G3228" s="6"/>
      <c r="H3228" s="6"/>
      <c r="I3228" s="6"/>
      <c r="J3228" s="6"/>
      <c r="K3228" s="7" t="s">
        <v>2622</v>
      </c>
      <c r="L3228" s="8">
        <v>3622</v>
      </c>
      <c r="M3228" s="8" t="str">
        <f t="shared" si="262"/>
        <v>PEN</v>
      </c>
      <c r="N3228" s="13"/>
      <c r="O3228" s="13">
        <v>515.36</v>
      </c>
      <c r="P3228" s="3">
        <f t="shared" si="263"/>
        <v>0</v>
      </c>
      <c r="Q3228" s="3">
        <f t="shared" si="264"/>
        <v>515.36</v>
      </c>
      <c r="R3228" s="3">
        <f t="shared" si="260"/>
        <v>25403.329999999976</v>
      </c>
      <c r="S3228" s="24" t="s">
        <v>1334</v>
      </c>
      <c r="T3228" s="24" t="s">
        <v>1334</v>
      </c>
      <c r="U3228" s="55"/>
      <c r="V3228" s="25" t="str">
        <f>IFERROR(VLOOKUP(BCP_Soles[[#This Row],[destinatario]],CHOOSE({1,2},Clientes_Proveedores[Razon Social],Clientes_Proveedores[Ruc / Dni]),2,0),"")</f>
        <v/>
      </c>
      <c r="W3228" s="25"/>
      <c r="X3228" s="25"/>
      <c r="Y3228" s="25"/>
      <c r="Z3228" s="77"/>
      <c r="AA3228" s="3" t="str">
        <f>IF(BCP_Soles[[#This Row],[fecha]]&gt;0,TEXT(BCP_Soles[[#This Row],[fecha]],"mmmm"),0)</f>
        <v>Agosto</v>
      </c>
    </row>
    <row r="3229" spans="1:27" ht="24" x14ac:dyDescent="0.3">
      <c r="A3229" s="2">
        <f>IF(BCP_Soles[[#This Row],[tipo_registro]]="R",COUNTIFS($C$1:$C3228,"R")+1,A3228)</f>
        <v>2188</v>
      </c>
      <c r="B3229" s="19" t="str">
        <f t="shared" si="261"/>
        <v>B-BCP - Soles</v>
      </c>
      <c r="C3229" s="3" t="s">
        <v>1352</v>
      </c>
      <c r="D3229" s="14">
        <v>45881</v>
      </c>
      <c r="E3229" s="5" t="s">
        <v>4171</v>
      </c>
      <c r="F3229" s="5"/>
      <c r="G3229" s="6" t="s">
        <v>1075</v>
      </c>
      <c r="H3229" s="6" t="s">
        <v>151</v>
      </c>
      <c r="I3229" s="6" t="s">
        <v>4172</v>
      </c>
      <c r="J3229" s="6">
        <v>1</v>
      </c>
      <c r="K3229" s="7" t="s">
        <v>2622</v>
      </c>
      <c r="L3229" s="8">
        <v>3622</v>
      </c>
      <c r="M3229" s="8" t="str">
        <f t="shared" si="262"/>
        <v>PEN</v>
      </c>
      <c r="N3229" s="13">
        <v>149.62</v>
      </c>
      <c r="O3229" s="13"/>
      <c r="P3229" s="3">
        <f t="shared" si="263"/>
        <v>0</v>
      </c>
      <c r="Q3229" s="3">
        <f t="shared" si="264"/>
        <v>0</v>
      </c>
      <c r="R3229" s="3">
        <f t="shared" si="260"/>
        <v>25403.329999999976</v>
      </c>
      <c r="S3229" s="24" t="s">
        <v>1334</v>
      </c>
      <c r="T3229" s="24" t="s">
        <v>1334</v>
      </c>
      <c r="U3229" s="55"/>
      <c r="V3229" s="25">
        <f>IFERROR(VLOOKUP(BCP_Soles[[#This Row],[destinatario]],CHOOSE({1,2},Clientes_Proveedores[Razon Social],Clientes_Proveedores[Ruc / Dni]),2,0),"")</f>
        <v>72551423</v>
      </c>
      <c r="W3229" s="25"/>
      <c r="X3229" s="25"/>
      <c r="Y3229" s="25"/>
      <c r="Z3229" s="77"/>
      <c r="AA3229" s="3" t="str">
        <f>IF(BCP_Soles[[#This Row],[fecha]]&gt;0,TEXT(BCP_Soles[[#This Row],[fecha]],"mmmm"),0)</f>
        <v>Agosto</v>
      </c>
    </row>
    <row r="3230" spans="1:27" ht="24" x14ac:dyDescent="0.3">
      <c r="A3230" s="2">
        <f>IF(BCP_Soles[[#This Row],[tipo_registro]]="R",COUNTIFS($C$1:$C3229,"R")+1,A3229)</f>
        <v>2188</v>
      </c>
      <c r="B3230" s="19" t="str">
        <f t="shared" si="261"/>
        <v>B-BCP - Soles</v>
      </c>
      <c r="C3230" s="3" t="s">
        <v>1352</v>
      </c>
      <c r="D3230" s="14">
        <v>45881</v>
      </c>
      <c r="E3230" s="5" t="s">
        <v>4171</v>
      </c>
      <c r="F3230" s="5"/>
      <c r="G3230" s="6" t="s">
        <v>957</v>
      </c>
      <c r="H3230" s="6" t="s">
        <v>151</v>
      </c>
      <c r="I3230" s="6" t="s">
        <v>4172</v>
      </c>
      <c r="J3230" s="6">
        <v>2</v>
      </c>
      <c r="K3230" s="7" t="s">
        <v>2622</v>
      </c>
      <c r="L3230" s="8">
        <v>3622</v>
      </c>
      <c r="M3230" s="8" t="str">
        <f t="shared" si="262"/>
        <v>PEN</v>
      </c>
      <c r="N3230" s="13">
        <v>249.56</v>
      </c>
      <c r="O3230" s="13"/>
      <c r="P3230" s="3">
        <f t="shared" si="263"/>
        <v>0</v>
      </c>
      <c r="Q3230" s="3">
        <f t="shared" si="264"/>
        <v>0</v>
      </c>
      <c r="R3230" s="3">
        <f t="shared" si="260"/>
        <v>25403.329999999976</v>
      </c>
      <c r="S3230" s="24" t="s">
        <v>1334</v>
      </c>
      <c r="T3230" s="24" t="s">
        <v>1334</v>
      </c>
      <c r="U3230" s="55"/>
      <c r="V3230" s="25">
        <f>IFERROR(VLOOKUP(BCP_Soles[[#This Row],[destinatario]],CHOOSE({1,2},Clientes_Proveedores[Razon Social],Clientes_Proveedores[Ruc / Dni]),2,0),"")</f>
        <v>80454870</v>
      </c>
      <c r="W3230" s="25"/>
      <c r="X3230" s="25"/>
      <c r="Y3230" s="25"/>
      <c r="Z3230" s="77"/>
      <c r="AA3230" s="3" t="str">
        <f>IF(BCP_Soles[[#This Row],[fecha]]&gt;0,TEXT(BCP_Soles[[#This Row],[fecha]],"mmmm"),0)</f>
        <v>Agosto</v>
      </c>
    </row>
    <row r="3231" spans="1:27" ht="36" x14ac:dyDescent="0.3">
      <c r="A3231" s="2">
        <f>IF(BCP_Soles[[#This Row],[tipo_registro]]="R",COUNTIFS($C$1:$C3230,"R")+1,A3230)</f>
        <v>2188</v>
      </c>
      <c r="B3231" s="19" t="str">
        <f t="shared" si="261"/>
        <v>B-BCP - Soles</v>
      </c>
      <c r="C3231" s="3" t="s">
        <v>1352</v>
      </c>
      <c r="D3231" s="14">
        <v>45881</v>
      </c>
      <c r="E3231" s="5" t="s">
        <v>4171</v>
      </c>
      <c r="F3231" s="5"/>
      <c r="G3231" s="6" t="s">
        <v>1076</v>
      </c>
      <c r="H3231" s="6" t="s">
        <v>151</v>
      </c>
      <c r="I3231" s="6" t="s">
        <v>4172</v>
      </c>
      <c r="J3231" s="6">
        <v>3</v>
      </c>
      <c r="K3231" s="7" t="s">
        <v>2622</v>
      </c>
      <c r="L3231" s="8">
        <v>3622</v>
      </c>
      <c r="M3231" s="8" t="str">
        <f t="shared" si="262"/>
        <v>PEN</v>
      </c>
      <c r="N3231" s="13">
        <v>115.67</v>
      </c>
      <c r="O3231" s="13"/>
      <c r="P3231" s="3">
        <f t="shared" si="263"/>
        <v>0</v>
      </c>
      <c r="Q3231" s="3">
        <f t="shared" si="264"/>
        <v>0</v>
      </c>
      <c r="R3231" s="3">
        <f t="shared" si="260"/>
        <v>25403.329999999976</v>
      </c>
      <c r="S3231" s="24" t="s">
        <v>1334</v>
      </c>
      <c r="T3231" s="24" t="s">
        <v>1334</v>
      </c>
      <c r="U3231" s="55"/>
      <c r="V3231" s="25">
        <f>IFERROR(VLOOKUP(BCP_Soles[[#This Row],[destinatario]],CHOOSE({1,2},Clientes_Proveedores[Razon Social],Clientes_Proveedores[Ruc / Dni]),2,0),"")</f>
        <v>77175568</v>
      </c>
      <c r="W3231" s="25"/>
      <c r="X3231" s="25"/>
      <c r="Y3231" s="25"/>
      <c r="Z3231" s="77"/>
      <c r="AA3231" s="3" t="str">
        <f>IF(BCP_Soles[[#This Row],[fecha]]&gt;0,TEXT(BCP_Soles[[#This Row],[fecha]],"mmmm"),0)</f>
        <v>Agosto</v>
      </c>
    </row>
    <row r="3232" spans="1:27" ht="24" x14ac:dyDescent="0.3">
      <c r="A3232" s="2">
        <f>IF(BCP_Soles[[#This Row],[tipo_registro]]="R",COUNTIFS($C$1:$C3231,"R")+1,A3231)</f>
        <v>2188</v>
      </c>
      <c r="B3232" s="19" t="str">
        <f t="shared" si="261"/>
        <v>B-BCP - Soles</v>
      </c>
      <c r="C3232" s="3" t="s">
        <v>1352</v>
      </c>
      <c r="D3232" s="14">
        <v>45881</v>
      </c>
      <c r="E3232" s="5" t="s">
        <v>4171</v>
      </c>
      <c r="F3232" s="5"/>
      <c r="G3232" s="6" t="s">
        <v>425</v>
      </c>
      <c r="H3232" s="6" t="s">
        <v>64</v>
      </c>
      <c r="I3232" s="6" t="s">
        <v>4173</v>
      </c>
      <c r="J3232" s="6">
        <v>1</v>
      </c>
      <c r="K3232" s="7" t="s">
        <v>2622</v>
      </c>
      <c r="L3232" s="8">
        <v>3622</v>
      </c>
      <c r="M3232" s="8" t="str">
        <f t="shared" si="262"/>
        <v>PEN</v>
      </c>
      <c r="N3232" s="13">
        <v>0.51</v>
      </c>
      <c r="O3232" s="13"/>
      <c r="P3232" s="3">
        <f t="shared" si="263"/>
        <v>0</v>
      </c>
      <c r="Q3232" s="3">
        <f t="shared" si="264"/>
        <v>0</v>
      </c>
      <c r="R3232" s="3">
        <f t="shared" si="260"/>
        <v>25403.329999999976</v>
      </c>
      <c r="S3232" s="24" t="s">
        <v>1334</v>
      </c>
      <c r="T3232" s="24" t="s">
        <v>1334</v>
      </c>
      <c r="U3232" s="55"/>
      <c r="V3232" s="25">
        <f>IFERROR(VLOOKUP(BCP_Soles[[#This Row],[destinatario]],CHOOSE({1,2},Clientes_Proveedores[Razon Social],Clientes_Proveedores[Ruc / Dni]),2,0),"")</f>
        <v>20558226979</v>
      </c>
      <c r="W3232" s="25"/>
      <c r="X3232" s="25"/>
      <c r="Y3232" s="25"/>
      <c r="Z3232" s="77"/>
      <c r="AA3232" s="3" t="str">
        <f>IF(BCP_Soles[[#This Row],[fecha]]&gt;0,TEXT(BCP_Soles[[#This Row],[fecha]],"mmmm"),0)</f>
        <v>Agosto</v>
      </c>
    </row>
    <row r="3233" spans="1:27" x14ac:dyDescent="0.3">
      <c r="A3233" s="2">
        <f>IF(BCP_Soles[[#This Row],[tipo_registro]]="R",COUNTIFS($C$1:$C3232,"R")+1,A3232)</f>
        <v>2189</v>
      </c>
      <c r="B3233" s="19" t="str">
        <f t="shared" si="261"/>
        <v>B-BCP - Soles</v>
      </c>
      <c r="C3233" s="3" t="s">
        <v>1330</v>
      </c>
      <c r="D3233" s="14">
        <v>45881</v>
      </c>
      <c r="E3233" s="5" t="s">
        <v>4171</v>
      </c>
      <c r="F3233" s="5" t="s">
        <v>1336</v>
      </c>
      <c r="G3233" s="6"/>
      <c r="H3233" s="6"/>
      <c r="I3233" s="6"/>
      <c r="J3233" s="6"/>
      <c r="K3233" s="7" t="s">
        <v>2625</v>
      </c>
      <c r="L3233" s="8">
        <v>3616</v>
      </c>
      <c r="M3233" s="8" t="str">
        <f t="shared" si="262"/>
        <v>PEN</v>
      </c>
      <c r="N3233" s="13"/>
      <c r="O3233" s="13">
        <v>837.24</v>
      </c>
      <c r="P3233" s="3">
        <f t="shared" si="263"/>
        <v>0</v>
      </c>
      <c r="Q3233" s="3">
        <f t="shared" si="264"/>
        <v>837.24</v>
      </c>
      <c r="R3233" s="3">
        <f t="shared" si="260"/>
        <v>24566.089999999975</v>
      </c>
      <c r="S3233" s="24" t="s">
        <v>1334</v>
      </c>
      <c r="T3233" s="24" t="s">
        <v>1334</v>
      </c>
      <c r="U3233" s="55"/>
      <c r="V3233" s="25" t="str">
        <f>IFERROR(VLOOKUP(BCP_Soles[[#This Row],[destinatario]],CHOOSE({1,2},Clientes_Proveedores[Razon Social],Clientes_Proveedores[Ruc / Dni]),2,0),"")</f>
        <v/>
      </c>
      <c r="W3233" s="25"/>
      <c r="X3233" s="25"/>
      <c r="Y3233" s="25"/>
      <c r="Z3233" s="77"/>
      <c r="AA3233" s="3" t="str">
        <f>IF(BCP_Soles[[#This Row],[fecha]]&gt;0,TEXT(BCP_Soles[[#This Row],[fecha]],"mmmm"),0)</f>
        <v>Agosto</v>
      </c>
    </row>
    <row r="3234" spans="1:27" ht="24" x14ac:dyDescent="0.3">
      <c r="A3234" s="2">
        <f>IF(BCP_Soles[[#This Row],[tipo_registro]]="R",COUNTIFS($C$1:$C3233,"R")+1,A3233)</f>
        <v>2189</v>
      </c>
      <c r="B3234" s="19" t="str">
        <f t="shared" si="261"/>
        <v>B-BCP - Soles</v>
      </c>
      <c r="C3234" s="3" t="s">
        <v>1352</v>
      </c>
      <c r="D3234" s="14">
        <v>45881</v>
      </c>
      <c r="E3234" s="5" t="s">
        <v>4171</v>
      </c>
      <c r="F3234" s="5"/>
      <c r="G3234" s="6" t="s">
        <v>788</v>
      </c>
      <c r="H3234" s="6" t="s">
        <v>151</v>
      </c>
      <c r="I3234" s="6" t="s">
        <v>4174</v>
      </c>
      <c r="J3234" s="6">
        <v>1</v>
      </c>
      <c r="K3234" s="7" t="s">
        <v>2625</v>
      </c>
      <c r="L3234" s="8">
        <v>3616</v>
      </c>
      <c r="M3234" s="8" t="str">
        <f t="shared" si="262"/>
        <v>PEN</v>
      </c>
      <c r="N3234" s="13">
        <v>134.47</v>
      </c>
      <c r="O3234" s="13"/>
      <c r="P3234" s="3">
        <f t="shared" si="263"/>
        <v>0</v>
      </c>
      <c r="Q3234" s="3">
        <f t="shared" si="264"/>
        <v>0</v>
      </c>
      <c r="R3234" s="3">
        <f t="shared" si="260"/>
        <v>24566.089999999975</v>
      </c>
      <c r="S3234" s="24" t="s">
        <v>1334</v>
      </c>
      <c r="T3234" s="24" t="s">
        <v>1334</v>
      </c>
      <c r="U3234" s="55"/>
      <c r="V3234" s="25">
        <f>IFERROR(VLOOKUP(BCP_Soles[[#This Row],[destinatario]],CHOOSE({1,2},Clientes_Proveedores[Razon Social],Clientes_Proveedores[Ruc / Dni]),2,0),"")</f>
        <v>73238347</v>
      </c>
      <c r="W3234" s="25"/>
      <c r="X3234" s="25"/>
      <c r="Y3234" s="25"/>
      <c r="Z3234" s="77"/>
      <c r="AA3234" s="3" t="str">
        <f>IF(BCP_Soles[[#This Row],[fecha]]&gt;0,TEXT(BCP_Soles[[#This Row],[fecha]],"mmmm"),0)</f>
        <v>Agosto</v>
      </c>
    </row>
    <row r="3235" spans="1:27" ht="24" x14ac:dyDescent="0.3">
      <c r="A3235" s="2">
        <f>IF(BCP_Soles[[#This Row],[tipo_registro]]="R",COUNTIFS($C$1:$C3234,"R")+1,A3234)</f>
        <v>2189</v>
      </c>
      <c r="B3235" s="19" t="str">
        <f t="shared" si="261"/>
        <v>B-BCP - Soles</v>
      </c>
      <c r="C3235" s="3" t="s">
        <v>1352</v>
      </c>
      <c r="D3235" s="14">
        <v>45881</v>
      </c>
      <c r="E3235" s="5" t="s">
        <v>4171</v>
      </c>
      <c r="F3235" s="5"/>
      <c r="G3235" s="6" t="s">
        <v>1017</v>
      </c>
      <c r="H3235" s="6" t="s">
        <v>151</v>
      </c>
      <c r="I3235" s="6" t="s">
        <v>4174</v>
      </c>
      <c r="J3235" s="6">
        <v>2</v>
      </c>
      <c r="K3235" s="7" t="s">
        <v>2625</v>
      </c>
      <c r="L3235" s="8">
        <v>3616</v>
      </c>
      <c r="M3235" s="8" t="str">
        <f t="shared" si="262"/>
        <v>PEN</v>
      </c>
      <c r="N3235" s="13">
        <v>193.77</v>
      </c>
      <c r="O3235" s="13"/>
      <c r="P3235" s="3">
        <f t="shared" si="263"/>
        <v>0</v>
      </c>
      <c r="Q3235" s="3">
        <f t="shared" si="264"/>
        <v>0</v>
      </c>
      <c r="R3235" s="3">
        <f t="shared" si="260"/>
        <v>24566.089999999975</v>
      </c>
      <c r="S3235" s="24" t="s">
        <v>1334</v>
      </c>
      <c r="T3235" s="24" t="s">
        <v>1334</v>
      </c>
      <c r="U3235" s="55"/>
      <c r="V3235" s="25">
        <f>IFERROR(VLOOKUP(BCP_Soles[[#This Row],[destinatario]],CHOOSE({1,2},Clientes_Proveedores[Razon Social],Clientes_Proveedores[Ruc / Dni]),2,0),"")</f>
        <v>72458502</v>
      </c>
      <c r="W3235" s="25"/>
      <c r="X3235" s="25"/>
      <c r="Y3235" s="25"/>
      <c r="Z3235" s="77"/>
      <c r="AA3235" s="3" t="str">
        <f>IF(BCP_Soles[[#This Row],[fecha]]&gt;0,TEXT(BCP_Soles[[#This Row],[fecha]],"mmmm"),0)</f>
        <v>Agosto</v>
      </c>
    </row>
    <row r="3236" spans="1:27" ht="24" x14ac:dyDescent="0.3">
      <c r="A3236" s="2">
        <f>IF(BCP_Soles[[#This Row],[tipo_registro]]="R",COUNTIFS($C$1:$C3235,"R")+1,A3235)</f>
        <v>2189</v>
      </c>
      <c r="B3236" s="19" t="str">
        <f t="shared" si="261"/>
        <v>B-BCP - Soles</v>
      </c>
      <c r="C3236" s="3" t="s">
        <v>1352</v>
      </c>
      <c r="D3236" s="14">
        <v>45881</v>
      </c>
      <c r="E3236" s="5" t="s">
        <v>4171</v>
      </c>
      <c r="F3236" s="5"/>
      <c r="G3236" s="6" t="s">
        <v>901</v>
      </c>
      <c r="H3236" s="6" t="s">
        <v>151</v>
      </c>
      <c r="I3236" s="6" t="s">
        <v>4174</v>
      </c>
      <c r="J3236" s="6">
        <v>3</v>
      </c>
      <c r="K3236" s="7" t="s">
        <v>2625</v>
      </c>
      <c r="L3236" s="8">
        <v>3616</v>
      </c>
      <c r="M3236" s="8" t="str">
        <f t="shared" si="262"/>
        <v>PEN</v>
      </c>
      <c r="N3236" s="13">
        <v>298.43</v>
      </c>
      <c r="O3236" s="13"/>
      <c r="P3236" s="3">
        <f t="shared" si="263"/>
        <v>0</v>
      </c>
      <c r="Q3236" s="3">
        <f t="shared" si="264"/>
        <v>0</v>
      </c>
      <c r="R3236" s="3">
        <f t="shared" si="260"/>
        <v>24566.089999999975</v>
      </c>
      <c r="S3236" s="24" t="s">
        <v>1334</v>
      </c>
      <c r="T3236" s="24" t="s">
        <v>1334</v>
      </c>
      <c r="U3236" s="55"/>
      <c r="V3236" s="25">
        <f>IFERROR(VLOOKUP(BCP_Soles[[#This Row],[destinatario]],CHOOSE({1,2},Clientes_Proveedores[Razon Social],Clientes_Proveedores[Ruc / Dni]),2,0),"")</f>
        <v>72131384</v>
      </c>
      <c r="W3236" s="25"/>
      <c r="X3236" s="25"/>
      <c r="Y3236" s="25"/>
      <c r="Z3236" s="77"/>
      <c r="AA3236" s="3" t="str">
        <f>IF(BCP_Soles[[#This Row],[fecha]]&gt;0,TEXT(BCP_Soles[[#This Row],[fecha]],"mmmm"),0)</f>
        <v>Agosto</v>
      </c>
    </row>
    <row r="3237" spans="1:27" ht="24" x14ac:dyDescent="0.3">
      <c r="A3237" s="2">
        <f>IF(BCP_Soles[[#This Row],[tipo_registro]]="R",COUNTIFS($C$1:$C3236,"R")+1,A3236)</f>
        <v>2189</v>
      </c>
      <c r="B3237" s="19" t="str">
        <f t="shared" si="261"/>
        <v>B-BCP - Soles</v>
      </c>
      <c r="C3237" s="3" t="s">
        <v>1352</v>
      </c>
      <c r="D3237" s="14">
        <v>45881</v>
      </c>
      <c r="E3237" s="5" t="s">
        <v>4171</v>
      </c>
      <c r="F3237" s="5"/>
      <c r="G3237" s="6" t="s">
        <v>922</v>
      </c>
      <c r="H3237" s="6" t="s">
        <v>151</v>
      </c>
      <c r="I3237" s="6" t="s">
        <v>4174</v>
      </c>
      <c r="J3237" s="6">
        <v>4</v>
      </c>
      <c r="K3237" s="7" t="s">
        <v>2625</v>
      </c>
      <c r="L3237" s="8">
        <v>3616</v>
      </c>
      <c r="M3237" s="8" t="str">
        <f t="shared" si="262"/>
        <v>PEN</v>
      </c>
      <c r="N3237" s="13">
        <v>209.73</v>
      </c>
      <c r="O3237" s="13"/>
      <c r="P3237" s="3">
        <f t="shared" si="263"/>
        <v>0</v>
      </c>
      <c r="Q3237" s="3">
        <f t="shared" si="264"/>
        <v>0</v>
      </c>
      <c r="R3237" s="3">
        <f t="shared" si="260"/>
        <v>24566.089999999975</v>
      </c>
      <c r="S3237" s="24" t="s">
        <v>1334</v>
      </c>
      <c r="T3237" s="24" t="s">
        <v>1334</v>
      </c>
      <c r="U3237" s="55"/>
      <c r="V3237" s="25">
        <f>IFERROR(VLOOKUP(BCP_Soles[[#This Row],[destinatario]],CHOOSE({1,2},Clientes_Proveedores[Razon Social],Clientes_Proveedores[Ruc / Dni]),2,0),"")</f>
        <v>72537561</v>
      </c>
      <c r="W3237" s="25"/>
      <c r="X3237" s="25"/>
      <c r="Y3237" s="25"/>
      <c r="Z3237" s="77"/>
      <c r="AA3237" s="3" t="str">
        <f>IF(BCP_Soles[[#This Row],[fecha]]&gt;0,TEXT(BCP_Soles[[#This Row],[fecha]],"mmmm"),0)</f>
        <v>Agosto</v>
      </c>
    </row>
    <row r="3238" spans="1:27" ht="24" x14ac:dyDescent="0.3">
      <c r="A3238" s="2">
        <f>IF(BCP_Soles[[#This Row],[tipo_registro]]="R",COUNTIFS($C$1:$C3237,"R")+1,A3237)</f>
        <v>2189</v>
      </c>
      <c r="B3238" s="19" t="str">
        <f t="shared" si="261"/>
        <v>B-BCP - Soles</v>
      </c>
      <c r="C3238" s="3" t="s">
        <v>1352</v>
      </c>
      <c r="D3238" s="14">
        <v>45881</v>
      </c>
      <c r="E3238" s="5" t="s">
        <v>4171</v>
      </c>
      <c r="F3238" s="5"/>
      <c r="G3238" s="6" t="s">
        <v>425</v>
      </c>
      <c r="H3238" s="6" t="s">
        <v>64</v>
      </c>
      <c r="I3238" s="6" t="s">
        <v>4175</v>
      </c>
      <c r="J3238" s="6">
        <v>1</v>
      </c>
      <c r="K3238" s="7" t="s">
        <v>2625</v>
      </c>
      <c r="L3238" s="8">
        <v>3616</v>
      </c>
      <c r="M3238" s="8" t="str">
        <f t="shared" si="262"/>
        <v>PEN</v>
      </c>
      <c r="N3238" s="13">
        <v>0.84</v>
      </c>
      <c r="O3238" s="13"/>
      <c r="P3238" s="3">
        <f t="shared" si="263"/>
        <v>0</v>
      </c>
      <c r="Q3238" s="3">
        <f t="shared" si="264"/>
        <v>0</v>
      </c>
      <c r="R3238" s="3">
        <f t="shared" si="260"/>
        <v>24566.089999999975</v>
      </c>
      <c r="S3238" s="24" t="s">
        <v>1334</v>
      </c>
      <c r="T3238" s="24" t="s">
        <v>1334</v>
      </c>
      <c r="U3238" s="55"/>
      <c r="V3238" s="25">
        <f>IFERROR(VLOOKUP(BCP_Soles[[#This Row],[destinatario]],CHOOSE({1,2},Clientes_Proveedores[Razon Social],Clientes_Proveedores[Ruc / Dni]),2,0),"")</f>
        <v>20558226979</v>
      </c>
      <c r="W3238" s="25"/>
      <c r="X3238" s="25"/>
      <c r="Y3238" s="25"/>
      <c r="Z3238" s="77"/>
      <c r="AA3238" s="3" t="str">
        <f>IF(BCP_Soles[[#This Row],[fecha]]&gt;0,TEXT(BCP_Soles[[#This Row],[fecha]],"mmmm"),0)</f>
        <v>Agosto</v>
      </c>
    </row>
    <row r="3239" spans="1:27" x14ac:dyDescent="0.3">
      <c r="A3239" s="2">
        <f>IF(BCP_Soles[[#This Row],[tipo_registro]]="R",COUNTIFS($C$1:$C3238,"R")+1,A3238)</f>
        <v>2190</v>
      </c>
      <c r="B3239" s="19" t="str">
        <f t="shared" si="261"/>
        <v>B-BCP - Soles</v>
      </c>
      <c r="C3239" s="3" t="s">
        <v>1330</v>
      </c>
      <c r="D3239" s="14">
        <v>45881</v>
      </c>
      <c r="E3239" s="5" t="s">
        <v>4171</v>
      </c>
      <c r="F3239" s="5" t="s">
        <v>1336</v>
      </c>
      <c r="G3239" s="6"/>
      <c r="H3239" s="6"/>
      <c r="I3239" s="6"/>
      <c r="J3239" s="6"/>
      <c r="K3239" s="7" t="s">
        <v>2629</v>
      </c>
      <c r="L3239" s="8">
        <v>3620</v>
      </c>
      <c r="M3239" s="8" t="str">
        <f t="shared" si="262"/>
        <v>PEN</v>
      </c>
      <c r="N3239" s="13"/>
      <c r="O3239" s="13">
        <v>2004.49</v>
      </c>
      <c r="P3239" s="3">
        <f t="shared" si="263"/>
        <v>0</v>
      </c>
      <c r="Q3239" s="3">
        <f t="shared" si="264"/>
        <v>2004.49</v>
      </c>
      <c r="R3239" s="3">
        <f t="shared" si="260"/>
        <v>22561.599999999973</v>
      </c>
      <c r="S3239" s="24" t="s">
        <v>1334</v>
      </c>
      <c r="T3239" s="24" t="s">
        <v>1334</v>
      </c>
      <c r="U3239" s="55"/>
      <c r="V3239" s="25" t="str">
        <f>IFERROR(VLOOKUP(BCP_Soles[[#This Row],[destinatario]],CHOOSE({1,2},Clientes_Proveedores[Razon Social],Clientes_Proveedores[Ruc / Dni]),2,0),"")</f>
        <v/>
      </c>
      <c r="W3239" s="25"/>
      <c r="X3239" s="25"/>
      <c r="Y3239" s="25"/>
      <c r="Z3239" s="77"/>
      <c r="AA3239" s="3" t="str">
        <f>IF(BCP_Soles[[#This Row],[fecha]]&gt;0,TEXT(BCP_Soles[[#This Row],[fecha]],"mmmm"),0)</f>
        <v>Agosto</v>
      </c>
    </row>
    <row r="3240" spans="1:27" ht="24" x14ac:dyDescent="0.3">
      <c r="A3240" s="2">
        <f>IF(BCP_Soles[[#This Row],[tipo_registro]]="R",COUNTIFS($C$1:$C3239,"R")+1,A3239)</f>
        <v>2190</v>
      </c>
      <c r="B3240" s="19" t="str">
        <f t="shared" si="261"/>
        <v>B-BCP - Soles</v>
      </c>
      <c r="C3240" s="3" t="s">
        <v>1352</v>
      </c>
      <c r="D3240" s="14">
        <v>45881</v>
      </c>
      <c r="E3240" s="5" t="s">
        <v>4171</v>
      </c>
      <c r="F3240" s="5"/>
      <c r="G3240" s="6" t="s">
        <v>1014</v>
      </c>
      <c r="H3240" s="6" t="s">
        <v>151</v>
      </c>
      <c r="I3240" s="6" t="s">
        <v>4176</v>
      </c>
      <c r="J3240" s="6">
        <v>1</v>
      </c>
      <c r="K3240" s="7" t="s">
        <v>2629</v>
      </c>
      <c r="L3240" s="8">
        <v>3620</v>
      </c>
      <c r="M3240" s="8" t="str">
        <f t="shared" si="262"/>
        <v>PEN</v>
      </c>
      <c r="N3240" s="13">
        <v>184.72</v>
      </c>
      <c r="O3240" s="13"/>
      <c r="P3240" s="3">
        <f t="shared" si="263"/>
        <v>0</v>
      </c>
      <c r="Q3240" s="3">
        <f t="shared" si="264"/>
        <v>0</v>
      </c>
      <c r="R3240" s="3">
        <f t="shared" si="260"/>
        <v>22561.599999999973</v>
      </c>
      <c r="S3240" s="24" t="s">
        <v>1334</v>
      </c>
      <c r="T3240" s="24" t="s">
        <v>1334</v>
      </c>
      <c r="U3240" s="55"/>
      <c r="V3240" s="25">
        <f>IFERROR(VLOOKUP(BCP_Soles[[#This Row],[destinatario]],CHOOSE({1,2},Clientes_Proveedores[Razon Social],Clientes_Proveedores[Ruc / Dni]),2,0),"")</f>
        <v>75560789</v>
      </c>
      <c r="W3240" s="25"/>
      <c r="X3240" s="25"/>
      <c r="Y3240" s="25"/>
      <c r="Z3240" s="77"/>
      <c r="AA3240" s="3" t="str">
        <f>IF(BCP_Soles[[#This Row],[fecha]]&gt;0,TEXT(BCP_Soles[[#This Row],[fecha]],"mmmm"),0)</f>
        <v>Agosto</v>
      </c>
    </row>
    <row r="3241" spans="1:27" ht="24" x14ac:dyDescent="0.3">
      <c r="A3241" s="2">
        <f>IF(BCP_Soles[[#This Row],[tipo_registro]]="R",COUNTIFS($C$1:$C3240,"R")+1,A3240)</f>
        <v>2190</v>
      </c>
      <c r="B3241" s="19" t="str">
        <f t="shared" si="261"/>
        <v>B-BCP - Soles</v>
      </c>
      <c r="C3241" s="3" t="s">
        <v>1352</v>
      </c>
      <c r="D3241" s="14">
        <v>45881</v>
      </c>
      <c r="E3241" s="5" t="s">
        <v>4171</v>
      </c>
      <c r="F3241" s="5"/>
      <c r="G3241" s="6" t="s">
        <v>1015</v>
      </c>
      <c r="H3241" s="6" t="s">
        <v>151</v>
      </c>
      <c r="I3241" s="6" t="s">
        <v>4176</v>
      </c>
      <c r="J3241" s="6">
        <v>2</v>
      </c>
      <c r="K3241" s="7" t="s">
        <v>2629</v>
      </c>
      <c r="L3241" s="8">
        <v>3620</v>
      </c>
      <c r="M3241" s="8" t="str">
        <f t="shared" si="262"/>
        <v>PEN</v>
      </c>
      <c r="N3241" s="13">
        <v>143.51</v>
      </c>
      <c r="O3241" s="13"/>
      <c r="P3241" s="3">
        <f t="shared" si="263"/>
        <v>0</v>
      </c>
      <c r="Q3241" s="3">
        <f t="shared" si="264"/>
        <v>0</v>
      </c>
      <c r="R3241" s="3">
        <f t="shared" si="260"/>
        <v>22561.599999999973</v>
      </c>
      <c r="S3241" s="24" t="s">
        <v>1334</v>
      </c>
      <c r="T3241" s="24" t="s">
        <v>1334</v>
      </c>
      <c r="U3241" s="55"/>
      <c r="V3241" s="25">
        <f>IFERROR(VLOOKUP(BCP_Soles[[#This Row],[destinatario]],CHOOSE({1,2},Clientes_Proveedores[Razon Social],Clientes_Proveedores[Ruc / Dni]),2,0),"")</f>
        <v>48298276</v>
      </c>
      <c r="W3241" s="25"/>
      <c r="X3241" s="25"/>
      <c r="Y3241" s="25"/>
      <c r="Z3241" s="77"/>
      <c r="AA3241" s="3" t="str">
        <f>IF(BCP_Soles[[#This Row],[fecha]]&gt;0,TEXT(BCP_Soles[[#This Row],[fecha]],"mmmm"),0)</f>
        <v>Agosto</v>
      </c>
    </row>
    <row r="3242" spans="1:27" ht="24" x14ac:dyDescent="0.3">
      <c r="A3242" s="2">
        <f>IF(BCP_Soles[[#This Row],[tipo_registro]]="R",COUNTIFS($C$1:$C3241,"R")+1,A3241)</f>
        <v>2190</v>
      </c>
      <c r="B3242" s="19" t="str">
        <f t="shared" si="261"/>
        <v>B-BCP - Soles</v>
      </c>
      <c r="C3242" s="3" t="s">
        <v>1352</v>
      </c>
      <c r="D3242" s="14">
        <v>45881</v>
      </c>
      <c r="E3242" s="5" t="s">
        <v>4171</v>
      </c>
      <c r="F3242" s="5"/>
      <c r="G3242" s="6" t="s">
        <v>829</v>
      </c>
      <c r="H3242" s="6" t="s">
        <v>151</v>
      </c>
      <c r="I3242" s="6" t="s">
        <v>4176</v>
      </c>
      <c r="J3242" s="6">
        <v>3</v>
      </c>
      <c r="K3242" s="7" t="s">
        <v>2629</v>
      </c>
      <c r="L3242" s="8">
        <v>3620</v>
      </c>
      <c r="M3242" s="8" t="str">
        <f t="shared" si="262"/>
        <v>PEN</v>
      </c>
      <c r="N3242" s="13">
        <v>470.5</v>
      </c>
      <c r="O3242" s="13"/>
      <c r="P3242" s="3">
        <f t="shared" si="263"/>
        <v>0</v>
      </c>
      <c r="Q3242" s="3">
        <f t="shared" si="264"/>
        <v>0</v>
      </c>
      <c r="R3242" s="3">
        <f t="shared" si="260"/>
        <v>22561.599999999973</v>
      </c>
      <c r="S3242" s="24" t="s">
        <v>1334</v>
      </c>
      <c r="T3242" s="24" t="s">
        <v>1334</v>
      </c>
      <c r="U3242" s="55"/>
      <c r="V3242" s="25">
        <f>IFERROR(VLOOKUP(BCP_Soles[[#This Row],[destinatario]],CHOOSE({1,2},Clientes_Proveedores[Razon Social],Clientes_Proveedores[Ruc / Dni]),2,0),"")</f>
        <v>70198916</v>
      </c>
      <c r="W3242" s="25"/>
      <c r="X3242" s="25"/>
      <c r="Y3242" s="25"/>
      <c r="Z3242" s="77"/>
      <c r="AA3242" s="3" t="str">
        <f>IF(BCP_Soles[[#This Row],[fecha]]&gt;0,TEXT(BCP_Soles[[#This Row],[fecha]],"mmmm"),0)</f>
        <v>Agosto</v>
      </c>
    </row>
    <row r="3243" spans="1:27" ht="24" x14ac:dyDescent="0.3">
      <c r="A3243" s="2">
        <f>IF(BCP_Soles[[#This Row],[tipo_registro]]="R",COUNTIFS($C$1:$C3242,"R")+1,A3242)</f>
        <v>2190</v>
      </c>
      <c r="B3243" s="19" t="str">
        <f t="shared" si="261"/>
        <v>B-BCP - Soles</v>
      </c>
      <c r="C3243" s="3" t="s">
        <v>1352</v>
      </c>
      <c r="D3243" s="14">
        <v>45881</v>
      </c>
      <c r="E3243" s="5" t="s">
        <v>4171</v>
      </c>
      <c r="F3243" s="5"/>
      <c r="G3243" s="6" t="s">
        <v>873</v>
      </c>
      <c r="H3243" s="6" t="s">
        <v>151</v>
      </c>
      <c r="I3243" s="6" t="s">
        <v>4176</v>
      </c>
      <c r="J3243" s="6">
        <v>4</v>
      </c>
      <c r="K3243" s="7" t="s">
        <v>2629</v>
      </c>
      <c r="L3243" s="8">
        <v>3620</v>
      </c>
      <c r="M3243" s="8" t="str">
        <f t="shared" si="262"/>
        <v>PEN</v>
      </c>
      <c r="N3243" s="13">
        <v>149.88</v>
      </c>
      <c r="O3243" s="13"/>
      <c r="P3243" s="3">
        <f t="shared" si="263"/>
        <v>0</v>
      </c>
      <c r="Q3243" s="3">
        <f t="shared" si="264"/>
        <v>0</v>
      </c>
      <c r="R3243" s="3">
        <f t="shared" si="260"/>
        <v>22561.599999999973</v>
      </c>
      <c r="S3243" s="24" t="s">
        <v>1334</v>
      </c>
      <c r="T3243" s="24" t="s">
        <v>1334</v>
      </c>
      <c r="U3243" s="55"/>
      <c r="V3243" s="25">
        <f>IFERROR(VLOOKUP(BCP_Soles[[#This Row],[destinatario]],CHOOSE({1,2},Clientes_Proveedores[Razon Social],Clientes_Proveedores[Ruc / Dni]),2,0),"")</f>
        <v>80355193</v>
      </c>
      <c r="W3243" s="25"/>
      <c r="X3243" s="25"/>
      <c r="Y3243" s="25"/>
      <c r="Z3243" s="77"/>
      <c r="AA3243" s="3" t="str">
        <f>IF(BCP_Soles[[#This Row],[fecha]]&gt;0,TEXT(BCP_Soles[[#This Row],[fecha]],"mmmm"),0)</f>
        <v>Agosto</v>
      </c>
    </row>
    <row r="3244" spans="1:27" ht="24" x14ac:dyDescent="0.3">
      <c r="A3244" s="2">
        <f>IF(BCP_Soles[[#This Row],[tipo_registro]]="R",COUNTIFS($C$1:$C3243,"R")+1,A3243)</f>
        <v>2190</v>
      </c>
      <c r="B3244" s="19" t="str">
        <f t="shared" si="261"/>
        <v>B-BCP - Soles</v>
      </c>
      <c r="C3244" s="3" t="s">
        <v>1352</v>
      </c>
      <c r="D3244" s="14">
        <v>45881</v>
      </c>
      <c r="E3244" s="5" t="s">
        <v>4171</v>
      </c>
      <c r="F3244" s="5"/>
      <c r="G3244" s="6" t="s">
        <v>876</v>
      </c>
      <c r="H3244" s="6" t="s">
        <v>151</v>
      </c>
      <c r="I3244" s="6" t="s">
        <v>4176</v>
      </c>
      <c r="J3244" s="6">
        <v>5</v>
      </c>
      <c r="K3244" s="7" t="s">
        <v>2629</v>
      </c>
      <c r="L3244" s="8">
        <v>3620</v>
      </c>
      <c r="M3244" s="8" t="str">
        <f t="shared" si="262"/>
        <v>PEN</v>
      </c>
      <c r="N3244" s="13">
        <v>217.34</v>
      </c>
      <c r="O3244" s="13"/>
      <c r="P3244" s="3">
        <f t="shared" si="263"/>
        <v>0</v>
      </c>
      <c r="Q3244" s="3">
        <f t="shared" si="264"/>
        <v>0</v>
      </c>
      <c r="R3244" s="3">
        <f t="shared" si="260"/>
        <v>22561.599999999973</v>
      </c>
      <c r="S3244" s="24" t="s">
        <v>1334</v>
      </c>
      <c r="T3244" s="24" t="s">
        <v>1334</v>
      </c>
      <c r="U3244" s="55"/>
      <c r="V3244" s="25">
        <f>IFERROR(VLOOKUP(BCP_Soles[[#This Row],[destinatario]],CHOOSE({1,2},Clientes_Proveedores[Razon Social],Clientes_Proveedores[Ruc / Dni]),2,0),"")</f>
        <v>1829028</v>
      </c>
      <c r="W3244" s="25"/>
      <c r="X3244" s="25"/>
      <c r="Y3244" s="25"/>
      <c r="Z3244" s="77"/>
      <c r="AA3244" s="3" t="str">
        <f>IF(BCP_Soles[[#This Row],[fecha]]&gt;0,TEXT(BCP_Soles[[#This Row],[fecha]],"mmmm"),0)</f>
        <v>Agosto</v>
      </c>
    </row>
    <row r="3245" spans="1:27" ht="24" x14ac:dyDescent="0.3">
      <c r="A3245" s="2">
        <f>IF(BCP_Soles[[#This Row],[tipo_registro]]="R",COUNTIFS($C$1:$C3244,"R")+1,A3244)</f>
        <v>2190</v>
      </c>
      <c r="B3245" s="19" t="str">
        <f t="shared" si="261"/>
        <v>B-BCP - Soles</v>
      </c>
      <c r="C3245" s="3" t="s">
        <v>1352</v>
      </c>
      <c r="D3245" s="14">
        <v>45881</v>
      </c>
      <c r="E3245" s="5" t="s">
        <v>4171</v>
      </c>
      <c r="F3245" s="5"/>
      <c r="G3245" s="6" t="s">
        <v>890</v>
      </c>
      <c r="H3245" s="6" t="s">
        <v>151</v>
      </c>
      <c r="I3245" s="6" t="s">
        <v>4176</v>
      </c>
      <c r="J3245" s="6">
        <v>6</v>
      </c>
      <c r="K3245" s="7" t="s">
        <v>2629</v>
      </c>
      <c r="L3245" s="8">
        <v>3620</v>
      </c>
      <c r="M3245" s="8" t="str">
        <f t="shared" si="262"/>
        <v>PEN</v>
      </c>
      <c r="N3245" s="13">
        <v>234.53</v>
      </c>
      <c r="O3245" s="13"/>
      <c r="P3245" s="3">
        <f t="shared" si="263"/>
        <v>0</v>
      </c>
      <c r="Q3245" s="3">
        <f t="shared" si="264"/>
        <v>0</v>
      </c>
      <c r="R3245" s="3">
        <f t="shared" si="260"/>
        <v>22561.599999999973</v>
      </c>
      <c r="S3245" s="24" t="s">
        <v>1334</v>
      </c>
      <c r="T3245" s="24" t="s">
        <v>1334</v>
      </c>
      <c r="U3245" s="55"/>
      <c r="V3245" s="25">
        <f>IFERROR(VLOOKUP(BCP_Soles[[#This Row],[destinatario]],CHOOSE({1,2},Clientes_Proveedores[Razon Social],Clientes_Proveedores[Ruc / Dni]),2,0),"")</f>
        <v>78803424</v>
      </c>
      <c r="W3245" s="25"/>
      <c r="X3245" s="25"/>
      <c r="Y3245" s="25"/>
      <c r="Z3245" s="77"/>
      <c r="AA3245" s="3" t="str">
        <f>IF(BCP_Soles[[#This Row],[fecha]]&gt;0,TEXT(BCP_Soles[[#This Row],[fecha]],"mmmm"),0)</f>
        <v>Agosto</v>
      </c>
    </row>
    <row r="3246" spans="1:27" ht="24" x14ac:dyDescent="0.3">
      <c r="A3246" s="2">
        <f>IF(BCP_Soles[[#This Row],[tipo_registro]]="R",COUNTIFS($C$1:$C3245,"R")+1,A3245)</f>
        <v>2190</v>
      </c>
      <c r="B3246" s="19" t="str">
        <f t="shared" si="261"/>
        <v>B-BCP - Soles</v>
      </c>
      <c r="C3246" s="3" t="s">
        <v>1352</v>
      </c>
      <c r="D3246" s="14">
        <v>45881</v>
      </c>
      <c r="E3246" s="5" t="s">
        <v>4171</v>
      </c>
      <c r="F3246" s="5"/>
      <c r="G3246" s="6" t="s">
        <v>913</v>
      </c>
      <c r="H3246" s="6" t="s">
        <v>151</v>
      </c>
      <c r="I3246" s="6" t="s">
        <v>4176</v>
      </c>
      <c r="J3246" s="6">
        <v>7</v>
      </c>
      <c r="K3246" s="7" t="s">
        <v>2629</v>
      </c>
      <c r="L3246" s="8">
        <v>3620</v>
      </c>
      <c r="M3246" s="8" t="str">
        <f t="shared" si="262"/>
        <v>PEN</v>
      </c>
      <c r="N3246" s="13">
        <v>240.73</v>
      </c>
      <c r="O3246" s="13"/>
      <c r="P3246" s="3">
        <f t="shared" si="263"/>
        <v>0</v>
      </c>
      <c r="Q3246" s="3">
        <f t="shared" si="264"/>
        <v>0</v>
      </c>
      <c r="R3246" s="3">
        <f t="shared" si="260"/>
        <v>22561.599999999973</v>
      </c>
      <c r="S3246" s="24" t="s">
        <v>1334</v>
      </c>
      <c r="T3246" s="24" t="s">
        <v>1334</v>
      </c>
      <c r="U3246" s="55"/>
      <c r="V3246" s="25">
        <f>IFERROR(VLOOKUP(BCP_Soles[[#This Row],[destinatario]],CHOOSE({1,2},Clientes_Proveedores[Razon Social],Clientes_Proveedores[Ruc / Dni]),2,0),"")</f>
        <v>47760988</v>
      </c>
      <c r="W3246" s="25"/>
      <c r="X3246" s="25"/>
      <c r="Y3246" s="25"/>
      <c r="Z3246" s="77"/>
      <c r="AA3246" s="3" t="str">
        <f>IF(BCP_Soles[[#This Row],[fecha]]&gt;0,TEXT(BCP_Soles[[#This Row],[fecha]],"mmmm"),0)</f>
        <v>Agosto</v>
      </c>
    </row>
    <row r="3247" spans="1:27" ht="24" x14ac:dyDescent="0.3">
      <c r="A3247" s="2">
        <f>IF(BCP_Soles[[#This Row],[tipo_registro]]="R",COUNTIFS($C$1:$C3246,"R")+1,A3246)</f>
        <v>2190</v>
      </c>
      <c r="B3247" s="19" t="str">
        <f t="shared" si="261"/>
        <v>B-BCP - Soles</v>
      </c>
      <c r="C3247" s="3" t="s">
        <v>1352</v>
      </c>
      <c r="D3247" s="14">
        <v>45881</v>
      </c>
      <c r="E3247" s="5" t="s">
        <v>4171</v>
      </c>
      <c r="F3247" s="5"/>
      <c r="G3247" s="6" t="s">
        <v>928</v>
      </c>
      <c r="H3247" s="6" t="s">
        <v>151</v>
      </c>
      <c r="I3247" s="6" t="s">
        <v>4176</v>
      </c>
      <c r="J3247" s="6">
        <v>8</v>
      </c>
      <c r="K3247" s="7" t="s">
        <v>2629</v>
      </c>
      <c r="L3247" s="8">
        <v>3620</v>
      </c>
      <c r="M3247" s="8" t="str">
        <f t="shared" si="262"/>
        <v>PEN</v>
      </c>
      <c r="N3247" s="13">
        <v>178.76</v>
      </c>
      <c r="O3247" s="13"/>
      <c r="P3247" s="3">
        <f t="shared" si="263"/>
        <v>0</v>
      </c>
      <c r="Q3247" s="3">
        <f t="shared" si="264"/>
        <v>0</v>
      </c>
      <c r="R3247" s="3">
        <f t="shared" si="260"/>
        <v>22561.599999999973</v>
      </c>
      <c r="S3247" s="24" t="s">
        <v>1334</v>
      </c>
      <c r="T3247" s="24" t="s">
        <v>1334</v>
      </c>
      <c r="U3247" s="55"/>
      <c r="V3247" s="25">
        <f>IFERROR(VLOOKUP(BCP_Soles[[#This Row],[destinatario]],CHOOSE({1,2},Clientes_Proveedores[Razon Social],Clientes_Proveedores[Ruc / Dni]),2,0),"")</f>
        <v>46126507</v>
      </c>
      <c r="W3247" s="25"/>
      <c r="X3247" s="25"/>
      <c r="Y3247" s="25"/>
      <c r="Z3247" s="77"/>
      <c r="AA3247" s="3" t="str">
        <f>IF(BCP_Soles[[#This Row],[fecha]]&gt;0,TEXT(BCP_Soles[[#This Row],[fecha]],"mmmm"),0)</f>
        <v>Agosto</v>
      </c>
    </row>
    <row r="3248" spans="1:27" ht="24" x14ac:dyDescent="0.3">
      <c r="A3248" s="2">
        <f>IF(BCP_Soles[[#This Row],[tipo_registro]]="R",COUNTIFS($C$1:$C3247,"R")+1,A3247)</f>
        <v>2190</v>
      </c>
      <c r="B3248" s="19" t="str">
        <f t="shared" si="261"/>
        <v>B-BCP - Soles</v>
      </c>
      <c r="C3248" s="3" t="s">
        <v>1352</v>
      </c>
      <c r="D3248" s="14">
        <v>45881</v>
      </c>
      <c r="E3248" s="5" t="s">
        <v>4171</v>
      </c>
      <c r="F3248" s="5"/>
      <c r="G3248" s="6" t="s">
        <v>933</v>
      </c>
      <c r="H3248" s="6" t="s">
        <v>151</v>
      </c>
      <c r="I3248" s="6" t="s">
        <v>4176</v>
      </c>
      <c r="J3248" s="6">
        <v>9</v>
      </c>
      <c r="K3248" s="7" t="s">
        <v>2629</v>
      </c>
      <c r="L3248" s="8">
        <v>3620</v>
      </c>
      <c r="M3248" s="8" t="str">
        <f t="shared" si="262"/>
        <v>PEN</v>
      </c>
      <c r="N3248" s="13">
        <v>182.52</v>
      </c>
      <c r="O3248" s="13"/>
      <c r="P3248" s="3">
        <f t="shared" si="263"/>
        <v>0</v>
      </c>
      <c r="Q3248" s="3">
        <f t="shared" si="264"/>
        <v>0</v>
      </c>
      <c r="R3248" s="3">
        <f t="shared" si="260"/>
        <v>22561.599999999973</v>
      </c>
      <c r="S3248" s="24" t="s">
        <v>1334</v>
      </c>
      <c r="T3248" s="24" t="s">
        <v>1334</v>
      </c>
      <c r="U3248" s="55"/>
      <c r="V3248" s="25">
        <f>IFERROR(VLOOKUP(BCP_Soles[[#This Row],[destinatario]],CHOOSE({1,2},Clientes_Proveedores[Razon Social],Clientes_Proveedores[Ruc / Dni]),2,0),"")</f>
        <v>73195103</v>
      </c>
      <c r="W3248" s="25"/>
      <c r="X3248" s="25"/>
      <c r="Y3248" s="25"/>
      <c r="Z3248" s="77"/>
      <c r="AA3248" s="3" t="str">
        <f>IF(BCP_Soles[[#This Row],[fecha]]&gt;0,TEXT(BCP_Soles[[#This Row],[fecha]],"mmmm"),0)</f>
        <v>Agosto</v>
      </c>
    </row>
    <row r="3249" spans="1:27" ht="24" x14ac:dyDescent="0.3">
      <c r="A3249" s="2">
        <f>IF(BCP_Soles[[#This Row],[tipo_registro]]="R",COUNTIFS($C$1:$C3248,"R")+1,A3248)</f>
        <v>2190</v>
      </c>
      <c r="B3249" s="19" t="str">
        <f t="shared" si="261"/>
        <v>B-BCP - Soles</v>
      </c>
      <c r="C3249" s="3" t="s">
        <v>1352</v>
      </c>
      <c r="D3249" s="14">
        <v>45881</v>
      </c>
      <c r="E3249" s="5" t="s">
        <v>4171</v>
      </c>
      <c r="F3249" s="5"/>
      <c r="G3249" s="6" t="s">
        <v>425</v>
      </c>
      <c r="H3249" s="6" t="s">
        <v>64</v>
      </c>
      <c r="I3249" s="6" t="s">
        <v>4177</v>
      </c>
      <c r="J3249" s="6">
        <v>1</v>
      </c>
      <c r="K3249" s="7" t="s">
        <v>2629</v>
      </c>
      <c r="L3249" s="8">
        <v>3620</v>
      </c>
      <c r="M3249" s="8" t="str">
        <f t="shared" si="262"/>
        <v>PEN</v>
      </c>
      <c r="N3249" s="13">
        <v>2</v>
      </c>
      <c r="O3249" s="13"/>
      <c r="P3249" s="3">
        <f t="shared" si="263"/>
        <v>0</v>
      </c>
      <c r="Q3249" s="3">
        <f t="shared" si="264"/>
        <v>0</v>
      </c>
      <c r="R3249" s="3">
        <f t="shared" si="260"/>
        <v>22561.599999999973</v>
      </c>
      <c r="S3249" s="24" t="s">
        <v>1334</v>
      </c>
      <c r="T3249" s="24" t="s">
        <v>1334</v>
      </c>
      <c r="U3249" s="55"/>
      <c r="V3249" s="25">
        <f>IFERROR(VLOOKUP(BCP_Soles[[#This Row],[destinatario]],CHOOSE({1,2},Clientes_Proveedores[Razon Social],Clientes_Proveedores[Ruc / Dni]),2,0),"")</f>
        <v>20558226979</v>
      </c>
      <c r="W3249" s="25"/>
      <c r="X3249" s="25"/>
      <c r="Y3249" s="25"/>
      <c r="Z3249" s="77"/>
      <c r="AA3249" s="3" t="str">
        <f>IF(BCP_Soles[[#This Row],[fecha]]&gt;0,TEXT(BCP_Soles[[#This Row],[fecha]],"mmmm"),0)</f>
        <v>Agosto</v>
      </c>
    </row>
    <row r="3250" spans="1:27" x14ac:dyDescent="0.3">
      <c r="A3250" s="2">
        <f>IF(BCP_Soles[[#This Row],[tipo_registro]]="R",COUNTIFS($C$1:$C3249,"R")+1,A3249)</f>
        <v>2191</v>
      </c>
      <c r="B3250" s="19" t="str">
        <f t="shared" si="261"/>
        <v>B-BCP - Soles</v>
      </c>
      <c r="C3250" s="3" t="s">
        <v>1330</v>
      </c>
      <c r="D3250" s="14">
        <v>45881</v>
      </c>
      <c r="E3250" s="5" t="s">
        <v>4171</v>
      </c>
      <c r="F3250" s="5" t="s">
        <v>1336</v>
      </c>
      <c r="G3250" s="6"/>
      <c r="H3250" s="6"/>
      <c r="I3250" s="6"/>
      <c r="J3250" s="6"/>
      <c r="K3250" s="7" t="s">
        <v>2631</v>
      </c>
      <c r="L3250" s="8">
        <v>3617</v>
      </c>
      <c r="M3250" s="8" t="str">
        <f t="shared" si="262"/>
        <v>PEN</v>
      </c>
      <c r="N3250" s="13"/>
      <c r="O3250" s="13">
        <v>6051.52</v>
      </c>
      <c r="P3250" s="3">
        <f t="shared" si="263"/>
        <v>0</v>
      </c>
      <c r="Q3250" s="3">
        <f t="shared" si="264"/>
        <v>6051.52</v>
      </c>
      <c r="R3250" s="3">
        <f t="shared" si="260"/>
        <v>16510.079999999973</v>
      </c>
      <c r="S3250" s="24" t="s">
        <v>1334</v>
      </c>
      <c r="T3250" s="24" t="s">
        <v>1334</v>
      </c>
      <c r="U3250" s="55"/>
      <c r="V3250" s="25" t="str">
        <f>IFERROR(VLOOKUP(BCP_Soles[[#This Row],[destinatario]],CHOOSE({1,2},Clientes_Proveedores[Razon Social],Clientes_Proveedores[Ruc / Dni]),2,0),"")</f>
        <v/>
      </c>
      <c r="W3250" s="25"/>
      <c r="X3250" s="25"/>
      <c r="Y3250" s="25"/>
      <c r="Z3250" s="77"/>
      <c r="AA3250" s="3" t="str">
        <f>IF(BCP_Soles[[#This Row],[fecha]]&gt;0,TEXT(BCP_Soles[[#This Row],[fecha]],"mmmm"),0)</f>
        <v>Agosto</v>
      </c>
    </row>
    <row r="3251" spans="1:27" ht="24" x14ac:dyDescent="0.3">
      <c r="A3251" s="2">
        <f>IF(BCP_Soles[[#This Row],[tipo_registro]]="R",COUNTIFS($C$1:$C3250,"R")+1,A3250)</f>
        <v>2191</v>
      </c>
      <c r="B3251" s="19" t="str">
        <f t="shared" si="261"/>
        <v>B-BCP - Soles</v>
      </c>
      <c r="C3251" s="3" t="s">
        <v>1352</v>
      </c>
      <c r="D3251" s="14">
        <v>45881</v>
      </c>
      <c r="E3251" s="5" t="s">
        <v>4171</v>
      </c>
      <c r="F3251" s="5"/>
      <c r="G3251" s="6" t="s">
        <v>1013</v>
      </c>
      <c r="H3251" s="6" t="s">
        <v>151</v>
      </c>
      <c r="I3251" s="6" t="s">
        <v>4178</v>
      </c>
      <c r="J3251" s="6">
        <v>1</v>
      </c>
      <c r="K3251" s="7" t="s">
        <v>2631</v>
      </c>
      <c r="L3251" s="8">
        <v>3617</v>
      </c>
      <c r="M3251" s="8" t="str">
        <f t="shared" si="262"/>
        <v>PEN</v>
      </c>
      <c r="N3251" s="13">
        <v>198.98</v>
      </c>
      <c r="O3251" s="13"/>
      <c r="P3251" s="3">
        <f t="shared" si="263"/>
        <v>0</v>
      </c>
      <c r="Q3251" s="3">
        <f t="shared" si="264"/>
        <v>0</v>
      </c>
      <c r="R3251" s="3">
        <f t="shared" si="260"/>
        <v>16510.079999999973</v>
      </c>
      <c r="S3251" s="24" t="s">
        <v>1334</v>
      </c>
      <c r="T3251" s="24" t="s">
        <v>1334</v>
      </c>
      <c r="U3251" s="55"/>
      <c r="V3251" s="25">
        <f>IFERROR(VLOOKUP(BCP_Soles[[#This Row],[destinatario]],CHOOSE({1,2},Clientes_Proveedores[Razon Social],Clientes_Proveedores[Ruc / Dni]),2,0),"")</f>
        <v>60945818</v>
      </c>
      <c r="W3251" s="25"/>
      <c r="X3251" s="25"/>
      <c r="Y3251" s="25"/>
      <c r="Z3251" s="77"/>
      <c r="AA3251" s="3" t="str">
        <f>IF(BCP_Soles[[#This Row],[fecha]]&gt;0,TEXT(BCP_Soles[[#This Row],[fecha]],"mmmm"),0)</f>
        <v>Agosto</v>
      </c>
    </row>
    <row r="3252" spans="1:27" ht="24" x14ac:dyDescent="0.3">
      <c r="A3252" s="2">
        <f>IF(BCP_Soles[[#This Row],[tipo_registro]]="R",COUNTIFS($C$1:$C3251,"R")+1,A3251)</f>
        <v>2191</v>
      </c>
      <c r="B3252" s="19" t="str">
        <f t="shared" si="261"/>
        <v>B-BCP - Soles</v>
      </c>
      <c r="C3252" s="3" t="s">
        <v>1352</v>
      </c>
      <c r="D3252" s="14">
        <v>45881</v>
      </c>
      <c r="E3252" s="5" t="s">
        <v>4171</v>
      </c>
      <c r="F3252" s="5"/>
      <c r="G3252" s="6" t="s">
        <v>790</v>
      </c>
      <c r="H3252" s="6" t="s">
        <v>151</v>
      </c>
      <c r="I3252" s="6" t="s">
        <v>4178</v>
      </c>
      <c r="J3252" s="6">
        <v>2</v>
      </c>
      <c r="K3252" s="7" t="s">
        <v>2631</v>
      </c>
      <c r="L3252" s="8">
        <v>3617</v>
      </c>
      <c r="M3252" s="8" t="str">
        <f t="shared" si="262"/>
        <v>PEN</v>
      </c>
      <c r="N3252" s="13">
        <v>205.8</v>
      </c>
      <c r="O3252" s="13"/>
      <c r="P3252" s="3">
        <f t="shared" si="263"/>
        <v>0</v>
      </c>
      <c r="Q3252" s="3">
        <f t="shared" si="264"/>
        <v>0</v>
      </c>
      <c r="R3252" s="3">
        <f t="shared" si="260"/>
        <v>16510.079999999973</v>
      </c>
      <c r="S3252" s="24" t="s">
        <v>1334</v>
      </c>
      <c r="T3252" s="24" t="s">
        <v>1334</v>
      </c>
      <c r="U3252" s="55"/>
      <c r="V3252" s="25">
        <f>IFERROR(VLOOKUP(BCP_Soles[[#This Row],[destinatario]],CHOOSE({1,2},Clientes_Proveedores[Razon Social],Clientes_Proveedores[Ruc / Dni]),2,0),"")</f>
        <v>72169020</v>
      </c>
      <c r="W3252" s="25"/>
      <c r="X3252" s="25"/>
      <c r="Y3252" s="25"/>
      <c r="Z3252" s="77"/>
      <c r="AA3252" s="3" t="str">
        <f>IF(BCP_Soles[[#This Row],[fecha]]&gt;0,TEXT(BCP_Soles[[#This Row],[fecha]],"mmmm"),0)</f>
        <v>Agosto</v>
      </c>
    </row>
    <row r="3253" spans="1:27" ht="24" x14ac:dyDescent="0.3">
      <c r="A3253" s="2">
        <f>IF(BCP_Soles[[#This Row],[tipo_registro]]="R",COUNTIFS($C$1:$C3252,"R")+1,A3252)</f>
        <v>2191</v>
      </c>
      <c r="B3253" s="19" t="str">
        <f t="shared" si="261"/>
        <v>B-BCP - Soles</v>
      </c>
      <c r="C3253" s="3" t="s">
        <v>1352</v>
      </c>
      <c r="D3253" s="14">
        <v>45881</v>
      </c>
      <c r="E3253" s="5" t="s">
        <v>4171</v>
      </c>
      <c r="F3253" s="5"/>
      <c r="G3253" s="6" t="s">
        <v>1016</v>
      </c>
      <c r="H3253" s="6" t="s">
        <v>151</v>
      </c>
      <c r="I3253" s="6" t="s">
        <v>4178</v>
      </c>
      <c r="J3253" s="6">
        <v>3</v>
      </c>
      <c r="K3253" s="7" t="s">
        <v>2631</v>
      </c>
      <c r="L3253" s="8">
        <v>3617</v>
      </c>
      <c r="M3253" s="8" t="str">
        <f t="shared" si="262"/>
        <v>PEN</v>
      </c>
      <c r="N3253" s="13">
        <v>148.38999999999999</v>
      </c>
      <c r="O3253" s="13"/>
      <c r="P3253" s="3">
        <f t="shared" si="263"/>
        <v>0</v>
      </c>
      <c r="Q3253" s="3">
        <f t="shared" si="264"/>
        <v>0</v>
      </c>
      <c r="R3253" s="3">
        <f t="shared" si="260"/>
        <v>16510.079999999973</v>
      </c>
      <c r="S3253" s="24" t="s">
        <v>1334</v>
      </c>
      <c r="T3253" s="24" t="s">
        <v>1334</v>
      </c>
      <c r="U3253" s="55"/>
      <c r="V3253" s="25">
        <f>IFERROR(VLOOKUP(BCP_Soles[[#This Row],[destinatario]],CHOOSE({1,2},Clientes_Proveedores[Razon Social],Clientes_Proveedores[Ruc / Dni]),2,0),"")</f>
        <v>76140901</v>
      </c>
      <c r="W3253" s="25"/>
      <c r="X3253" s="25"/>
      <c r="Y3253" s="25"/>
      <c r="Z3253" s="77"/>
      <c r="AA3253" s="3" t="str">
        <f>IF(BCP_Soles[[#This Row],[fecha]]&gt;0,TEXT(BCP_Soles[[#This Row],[fecha]],"mmmm"),0)</f>
        <v>Agosto</v>
      </c>
    </row>
    <row r="3254" spans="1:27" ht="24" x14ac:dyDescent="0.3">
      <c r="A3254" s="2">
        <f>IF(BCP_Soles[[#This Row],[tipo_registro]]="R",COUNTIFS($C$1:$C3253,"R")+1,A3253)</f>
        <v>2191</v>
      </c>
      <c r="B3254" s="19" t="str">
        <f t="shared" si="261"/>
        <v>B-BCP - Soles</v>
      </c>
      <c r="C3254" s="3" t="s">
        <v>1352</v>
      </c>
      <c r="D3254" s="14">
        <v>45881</v>
      </c>
      <c r="E3254" s="5" t="s">
        <v>4171</v>
      </c>
      <c r="F3254" s="5"/>
      <c r="G3254" s="6" t="s">
        <v>806</v>
      </c>
      <c r="H3254" s="6" t="s">
        <v>151</v>
      </c>
      <c r="I3254" s="6" t="s">
        <v>4178</v>
      </c>
      <c r="J3254" s="6">
        <v>4</v>
      </c>
      <c r="K3254" s="7" t="s">
        <v>2631</v>
      </c>
      <c r="L3254" s="8">
        <v>3617</v>
      </c>
      <c r="M3254" s="8" t="str">
        <f t="shared" si="262"/>
        <v>PEN</v>
      </c>
      <c r="N3254" s="13">
        <v>200.45000000000002</v>
      </c>
      <c r="O3254" s="13"/>
      <c r="P3254" s="3">
        <f t="shared" si="263"/>
        <v>0</v>
      </c>
      <c r="Q3254" s="3">
        <f t="shared" si="264"/>
        <v>0</v>
      </c>
      <c r="R3254" s="3">
        <f t="shared" si="260"/>
        <v>16510.079999999973</v>
      </c>
      <c r="S3254" s="24" t="s">
        <v>1334</v>
      </c>
      <c r="T3254" s="24" t="s">
        <v>1334</v>
      </c>
      <c r="U3254" s="55"/>
      <c r="V3254" s="25">
        <f>IFERROR(VLOOKUP(BCP_Soles[[#This Row],[destinatario]],CHOOSE({1,2},Clientes_Proveedores[Razon Social],Clientes_Proveedores[Ruc / Dni]),2,0),"")</f>
        <v>44162989</v>
      </c>
      <c r="W3254" s="25"/>
      <c r="X3254" s="25"/>
      <c r="Y3254" s="25"/>
      <c r="Z3254" s="77"/>
      <c r="AA3254" s="3" t="str">
        <f>IF(BCP_Soles[[#This Row],[fecha]]&gt;0,TEXT(BCP_Soles[[#This Row],[fecha]],"mmmm"),0)</f>
        <v>Agosto</v>
      </c>
    </row>
    <row r="3255" spans="1:27" ht="24" x14ac:dyDescent="0.3">
      <c r="A3255" s="2">
        <f>IF(BCP_Soles[[#This Row],[tipo_registro]]="R",COUNTIFS($C$1:$C3254,"R")+1,A3254)</f>
        <v>2191</v>
      </c>
      <c r="B3255" s="19" t="str">
        <f t="shared" si="261"/>
        <v>B-BCP - Soles</v>
      </c>
      <c r="C3255" s="3" t="s">
        <v>1352</v>
      </c>
      <c r="D3255" s="14">
        <v>45881</v>
      </c>
      <c r="E3255" s="5" t="s">
        <v>4171</v>
      </c>
      <c r="F3255" s="5"/>
      <c r="G3255" s="6" t="s">
        <v>812</v>
      </c>
      <c r="H3255" s="6" t="s">
        <v>151</v>
      </c>
      <c r="I3255" s="6" t="s">
        <v>4178</v>
      </c>
      <c r="J3255" s="6">
        <v>5</v>
      </c>
      <c r="K3255" s="7" t="s">
        <v>2631</v>
      </c>
      <c r="L3255" s="8">
        <v>3617</v>
      </c>
      <c r="M3255" s="8" t="str">
        <f t="shared" si="262"/>
        <v>PEN</v>
      </c>
      <c r="N3255" s="13">
        <v>274.92</v>
      </c>
      <c r="O3255" s="13"/>
      <c r="P3255" s="3">
        <f t="shared" si="263"/>
        <v>0</v>
      </c>
      <c r="Q3255" s="3">
        <f t="shared" si="264"/>
        <v>0</v>
      </c>
      <c r="R3255" s="3">
        <f t="shared" si="260"/>
        <v>16510.079999999973</v>
      </c>
      <c r="S3255" s="24" t="s">
        <v>1334</v>
      </c>
      <c r="T3255" s="24" t="s">
        <v>1334</v>
      </c>
      <c r="U3255" s="55"/>
      <c r="V3255" s="25">
        <f>IFERROR(VLOOKUP(BCP_Soles[[#This Row],[destinatario]],CHOOSE({1,2},Clientes_Proveedores[Razon Social],Clientes_Proveedores[Ruc / Dni]),2,0),"")</f>
        <v>73444362</v>
      </c>
      <c r="W3255" s="25"/>
      <c r="X3255" s="25"/>
      <c r="Y3255" s="25"/>
      <c r="Z3255" s="77"/>
      <c r="AA3255" s="3" t="str">
        <f>IF(BCP_Soles[[#This Row],[fecha]]&gt;0,TEXT(BCP_Soles[[#This Row],[fecha]],"mmmm"),0)</f>
        <v>Agosto</v>
      </c>
    </row>
    <row r="3256" spans="1:27" ht="24" x14ac:dyDescent="0.3">
      <c r="A3256" s="2">
        <f>IF(BCP_Soles[[#This Row],[tipo_registro]]="R",COUNTIFS($C$1:$C3255,"R")+1,A3255)</f>
        <v>2191</v>
      </c>
      <c r="B3256" s="19" t="str">
        <f t="shared" si="261"/>
        <v>B-BCP - Soles</v>
      </c>
      <c r="C3256" s="3" t="s">
        <v>1352</v>
      </c>
      <c r="D3256" s="14">
        <v>45881</v>
      </c>
      <c r="E3256" s="5" t="s">
        <v>4171</v>
      </c>
      <c r="F3256" s="5"/>
      <c r="G3256" s="6" t="s">
        <v>820</v>
      </c>
      <c r="H3256" s="6" t="s">
        <v>151</v>
      </c>
      <c r="I3256" s="6" t="s">
        <v>4178</v>
      </c>
      <c r="J3256" s="6">
        <v>6</v>
      </c>
      <c r="K3256" s="7" t="s">
        <v>2631</v>
      </c>
      <c r="L3256" s="8">
        <v>3617</v>
      </c>
      <c r="M3256" s="8" t="str">
        <f t="shared" si="262"/>
        <v>PEN</v>
      </c>
      <c r="N3256" s="13">
        <v>175.29</v>
      </c>
      <c r="O3256" s="13"/>
      <c r="P3256" s="3">
        <f t="shared" si="263"/>
        <v>0</v>
      </c>
      <c r="Q3256" s="3">
        <f t="shared" si="264"/>
        <v>0</v>
      </c>
      <c r="R3256" s="3">
        <f t="shared" si="260"/>
        <v>16510.079999999973</v>
      </c>
      <c r="S3256" s="24" t="s">
        <v>1334</v>
      </c>
      <c r="T3256" s="24" t="s">
        <v>1334</v>
      </c>
      <c r="U3256" s="55"/>
      <c r="V3256" s="25">
        <f>IFERROR(VLOOKUP(BCP_Soles[[#This Row],[destinatario]],CHOOSE({1,2},Clientes_Proveedores[Razon Social],Clientes_Proveedores[Ruc / Dni]),2,0),"")</f>
        <v>75424672</v>
      </c>
      <c r="W3256" s="25"/>
      <c r="X3256" s="25"/>
      <c r="Y3256" s="25"/>
      <c r="Z3256" s="77"/>
      <c r="AA3256" s="3" t="str">
        <f>IF(BCP_Soles[[#This Row],[fecha]]&gt;0,TEXT(BCP_Soles[[#This Row],[fecha]],"mmmm"),0)</f>
        <v>Agosto</v>
      </c>
    </row>
    <row r="3257" spans="1:27" ht="24" x14ac:dyDescent="0.3">
      <c r="A3257" s="2">
        <f>IF(BCP_Soles[[#This Row],[tipo_registro]]="R",COUNTIFS($C$1:$C3256,"R")+1,A3256)</f>
        <v>2191</v>
      </c>
      <c r="B3257" s="19" t="str">
        <f t="shared" si="261"/>
        <v>B-BCP - Soles</v>
      </c>
      <c r="C3257" s="3" t="s">
        <v>1352</v>
      </c>
      <c r="D3257" s="14">
        <v>45881</v>
      </c>
      <c r="E3257" s="5" t="s">
        <v>4171</v>
      </c>
      <c r="F3257" s="5"/>
      <c r="G3257" s="6" t="s">
        <v>827</v>
      </c>
      <c r="H3257" s="6" t="s">
        <v>151</v>
      </c>
      <c r="I3257" s="6" t="s">
        <v>4178</v>
      </c>
      <c r="J3257" s="6">
        <v>7</v>
      </c>
      <c r="K3257" s="7" t="s">
        <v>2631</v>
      </c>
      <c r="L3257" s="8">
        <v>3617</v>
      </c>
      <c r="M3257" s="8" t="str">
        <f t="shared" si="262"/>
        <v>PEN</v>
      </c>
      <c r="N3257" s="13">
        <v>192.24</v>
      </c>
      <c r="O3257" s="13"/>
      <c r="P3257" s="3">
        <f t="shared" si="263"/>
        <v>0</v>
      </c>
      <c r="Q3257" s="3">
        <f t="shared" si="264"/>
        <v>0</v>
      </c>
      <c r="R3257" s="3">
        <f t="shared" si="260"/>
        <v>16510.079999999973</v>
      </c>
      <c r="S3257" s="24" t="s">
        <v>1334</v>
      </c>
      <c r="T3257" s="24" t="s">
        <v>1334</v>
      </c>
      <c r="U3257" s="55"/>
      <c r="V3257" s="25">
        <f>IFERROR(VLOOKUP(BCP_Soles[[#This Row],[destinatario]],CHOOSE({1,2},Clientes_Proveedores[Razon Social],Clientes_Proveedores[Ruc / Dni]),2,0),"")</f>
        <v>74600892</v>
      </c>
      <c r="W3257" s="25"/>
      <c r="X3257" s="25"/>
      <c r="Y3257" s="25"/>
      <c r="Z3257" s="77"/>
      <c r="AA3257" s="3" t="str">
        <f>IF(BCP_Soles[[#This Row],[fecha]]&gt;0,TEXT(BCP_Soles[[#This Row],[fecha]],"mmmm"),0)</f>
        <v>Agosto</v>
      </c>
    </row>
    <row r="3258" spans="1:27" ht="24" x14ac:dyDescent="0.3">
      <c r="A3258" s="2">
        <f>IF(BCP_Soles[[#This Row],[tipo_registro]]="R",COUNTIFS($C$1:$C3257,"R")+1,A3257)</f>
        <v>2191</v>
      </c>
      <c r="B3258" s="19" t="str">
        <f t="shared" si="261"/>
        <v>B-BCP - Soles</v>
      </c>
      <c r="C3258" s="3" t="s">
        <v>1352</v>
      </c>
      <c r="D3258" s="14">
        <v>45881</v>
      </c>
      <c r="E3258" s="5" t="s">
        <v>4171</v>
      </c>
      <c r="F3258" s="5"/>
      <c r="G3258" s="6" t="s">
        <v>997</v>
      </c>
      <c r="H3258" s="6" t="s">
        <v>151</v>
      </c>
      <c r="I3258" s="6" t="s">
        <v>4178</v>
      </c>
      <c r="J3258" s="6">
        <v>8</v>
      </c>
      <c r="K3258" s="7" t="s">
        <v>2631</v>
      </c>
      <c r="L3258" s="8">
        <v>3617</v>
      </c>
      <c r="M3258" s="8" t="str">
        <f t="shared" si="262"/>
        <v>PEN</v>
      </c>
      <c r="N3258" s="13">
        <v>199.85000000000002</v>
      </c>
      <c r="O3258" s="13"/>
      <c r="P3258" s="3">
        <f t="shared" si="263"/>
        <v>0</v>
      </c>
      <c r="Q3258" s="3">
        <f t="shared" si="264"/>
        <v>0</v>
      </c>
      <c r="R3258" s="3">
        <f t="shared" si="260"/>
        <v>16510.079999999973</v>
      </c>
      <c r="S3258" s="24" t="s">
        <v>1334</v>
      </c>
      <c r="T3258" s="24" t="s">
        <v>1334</v>
      </c>
      <c r="U3258" s="55"/>
      <c r="V3258" s="25">
        <f>IFERROR(VLOOKUP(BCP_Soles[[#This Row],[destinatario]],CHOOSE({1,2},Clientes_Proveedores[Razon Social],Clientes_Proveedores[Ruc / Dni]),2,0),"")</f>
        <v>71334789</v>
      </c>
      <c r="W3258" s="25"/>
      <c r="X3258" s="25"/>
      <c r="Y3258" s="25"/>
      <c r="Z3258" s="77"/>
      <c r="AA3258" s="3" t="str">
        <f>IF(BCP_Soles[[#This Row],[fecha]]&gt;0,TEXT(BCP_Soles[[#This Row],[fecha]],"mmmm"),0)</f>
        <v>Agosto</v>
      </c>
    </row>
    <row r="3259" spans="1:27" ht="24" x14ac:dyDescent="0.3">
      <c r="A3259" s="2">
        <f>IF(BCP_Soles[[#This Row],[tipo_registro]]="R",COUNTIFS($C$1:$C3258,"R")+1,A3258)</f>
        <v>2191</v>
      </c>
      <c r="B3259" s="19" t="str">
        <f t="shared" si="261"/>
        <v>B-BCP - Soles</v>
      </c>
      <c r="C3259" s="3" t="s">
        <v>1352</v>
      </c>
      <c r="D3259" s="14">
        <v>45881</v>
      </c>
      <c r="E3259" s="5" t="s">
        <v>4171</v>
      </c>
      <c r="F3259" s="5"/>
      <c r="G3259" s="6" t="s">
        <v>967</v>
      </c>
      <c r="H3259" s="6" t="s">
        <v>151</v>
      </c>
      <c r="I3259" s="6" t="s">
        <v>4178</v>
      </c>
      <c r="J3259" s="6">
        <v>9</v>
      </c>
      <c r="K3259" s="7" t="s">
        <v>2631</v>
      </c>
      <c r="L3259" s="8">
        <v>3617</v>
      </c>
      <c r="M3259" s="8" t="str">
        <f t="shared" si="262"/>
        <v>PEN</v>
      </c>
      <c r="N3259" s="13">
        <v>160.32</v>
      </c>
      <c r="O3259" s="13"/>
      <c r="P3259" s="3">
        <f t="shared" si="263"/>
        <v>0</v>
      </c>
      <c r="Q3259" s="3">
        <f t="shared" si="264"/>
        <v>0</v>
      </c>
      <c r="R3259" s="3">
        <f t="shared" si="260"/>
        <v>16510.079999999973</v>
      </c>
      <c r="S3259" s="24" t="s">
        <v>1334</v>
      </c>
      <c r="T3259" s="24" t="s">
        <v>1334</v>
      </c>
      <c r="U3259" s="55"/>
      <c r="V3259" s="25">
        <f>IFERROR(VLOOKUP(BCP_Soles[[#This Row],[destinatario]],CHOOSE({1,2},Clientes_Proveedores[Razon Social],Clientes_Proveedores[Ruc / Dni]),2,0),"")</f>
        <v>70517150</v>
      </c>
      <c r="W3259" s="25"/>
      <c r="X3259" s="25"/>
      <c r="Y3259" s="25"/>
      <c r="Z3259" s="77"/>
      <c r="AA3259" s="3" t="str">
        <f>IF(BCP_Soles[[#This Row],[fecha]]&gt;0,TEXT(BCP_Soles[[#This Row],[fecha]],"mmmm"),0)</f>
        <v>Agosto</v>
      </c>
    </row>
    <row r="3260" spans="1:27" ht="24" x14ac:dyDescent="0.3">
      <c r="A3260" s="2">
        <f>IF(BCP_Soles[[#This Row],[tipo_registro]]="R",COUNTIFS($C$1:$C3259,"R")+1,A3259)</f>
        <v>2191</v>
      </c>
      <c r="B3260" s="19" t="str">
        <f t="shared" si="261"/>
        <v>B-BCP - Soles</v>
      </c>
      <c r="C3260" s="3" t="s">
        <v>1352</v>
      </c>
      <c r="D3260" s="14">
        <v>45881</v>
      </c>
      <c r="E3260" s="5" t="s">
        <v>4171</v>
      </c>
      <c r="F3260" s="5"/>
      <c r="G3260" s="6" t="s">
        <v>857</v>
      </c>
      <c r="H3260" s="6" t="s">
        <v>151</v>
      </c>
      <c r="I3260" s="6" t="s">
        <v>4178</v>
      </c>
      <c r="J3260" s="6">
        <v>10</v>
      </c>
      <c r="K3260" s="7" t="s">
        <v>2631</v>
      </c>
      <c r="L3260" s="8">
        <v>3617</v>
      </c>
      <c r="M3260" s="8" t="str">
        <f t="shared" si="262"/>
        <v>PEN</v>
      </c>
      <c r="N3260" s="13">
        <v>207.92000000000002</v>
      </c>
      <c r="O3260" s="13"/>
      <c r="P3260" s="3">
        <f t="shared" si="263"/>
        <v>0</v>
      </c>
      <c r="Q3260" s="3">
        <f t="shared" si="264"/>
        <v>0</v>
      </c>
      <c r="R3260" s="3">
        <f t="shared" si="260"/>
        <v>16510.079999999973</v>
      </c>
      <c r="S3260" s="24" t="s">
        <v>1334</v>
      </c>
      <c r="T3260" s="24" t="s">
        <v>1334</v>
      </c>
      <c r="U3260" s="55"/>
      <c r="V3260" s="25">
        <f>IFERROR(VLOOKUP(BCP_Soles[[#This Row],[destinatario]],CHOOSE({1,2},Clientes_Proveedores[Razon Social],Clientes_Proveedores[Ruc / Dni]),2,0),"")</f>
        <v>70666331</v>
      </c>
      <c r="W3260" s="25"/>
      <c r="X3260" s="25"/>
      <c r="Y3260" s="25"/>
      <c r="Z3260" s="77"/>
      <c r="AA3260" s="3" t="str">
        <f>IF(BCP_Soles[[#This Row],[fecha]]&gt;0,TEXT(BCP_Soles[[#This Row],[fecha]],"mmmm"),0)</f>
        <v>Agosto</v>
      </c>
    </row>
    <row r="3261" spans="1:27" ht="24" x14ac:dyDescent="0.3">
      <c r="A3261" s="2">
        <f>IF(BCP_Soles[[#This Row],[tipo_registro]]="R",COUNTIFS($C$1:$C3260,"R")+1,A3260)</f>
        <v>2191</v>
      </c>
      <c r="B3261" s="19" t="str">
        <f t="shared" si="261"/>
        <v>B-BCP - Soles</v>
      </c>
      <c r="C3261" s="3" t="s">
        <v>1352</v>
      </c>
      <c r="D3261" s="14">
        <v>45881</v>
      </c>
      <c r="E3261" s="5" t="s">
        <v>4171</v>
      </c>
      <c r="F3261" s="5"/>
      <c r="G3261" s="6" t="s">
        <v>859</v>
      </c>
      <c r="H3261" s="6" t="s">
        <v>151</v>
      </c>
      <c r="I3261" s="6" t="s">
        <v>4178</v>
      </c>
      <c r="J3261" s="6">
        <v>11</v>
      </c>
      <c r="K3261" s="7" t="s">
        <v>2631</v>
      </c>
      <c r="L3261" s="8">
        <v>3617</v>
      </c>
      <c r="M3261" s="8" t="str">
        <f t="shared" si="262"/>
        <v>PEN</v>
      </c>
      <c r="N3261" s="13">
        <v>135.5</v>
      </c>
      <c r="O3261" s="13"/>
      <c r="P3261" s="3">
        <f t="shared" si="263"/>
        <v>0</v>
      </c>
      <c r="Q3261" s="3">
        <f t="shared" si="264"/>
        <v>0</v>
      </c>
      <c r="R3261" s="3">
        <f t="shared" si="260"/>
        <v>16510.079999999973</v>
      </c>
      <c r="S3261" s="24" t="s">
        <v>1334</v>
      </c>
      <c r="T3261" s="24" t="s">
        <v>1334</v>
      </c>
      <c r="U3261" s="55"/>
      <c r="V3261" s="25">
        <f>IFERROR(VLOOKUP(BCP_Soles[[#This Row],[destinatario]],CHOOSE({1,2},Clientes_Proveedores[Razon Social],Clientes_Proveedores[Ruc / Dni]),2,0),"")</f>
        <v>43814375</v>
      </c>
      <c r="W3261" s="25"/>
      <c r="X3261" s="25"/>
      <c r="Y3261" s="25"/>
      <c r="Z3261" s="77"/>
      <c r="AA3261" s="3" t="str">
        <f>IF(BCP_Soles[[#This Row],[fecha]]&gt;0,TEXT(BCP_Soles[[#This Row],[fecha]],"mmmm"),0)</f>
        <v>Agosto</v>
      </c>
    </row>
    <row r="3262" spans="1:27" ht="24" x14ac:dyDescent="0.3">
      <c r="A3262" s="2">
        <f>IF(BCP_Soles[[#This Row],[tipo_registro]]="R",COUNTIFS($C$1:$C3261,"R")+1,A3261)</f>
        <v>2191</v>
      </c>
      <c r="B3262" s="19" t="str">
        <f t="shared" si="261"/>
        <v>B-BCP - Soles</v>
      </c>
      <c r="C3262" s="3" t="s">
        <v>1352</v>
      </c>
      <c r="D3262" s="14">
        <v>45881</v>
      </c>
      <c r="E3262" s="5" t="s">
        <v>4171</v>
      </c>
      <c r="F3262" s="5"/>
      <c r="G3262" s="6" t="s">
        <v>692</v>
      </c>
      <c r="H3262" s="6" t="s">
        <v>151</v>
      </c>
      <c r="I3262" s="6" t="s">
        <v>4178</v>
      </c>
      <c r="J3262" s="6">
        <v>12</v>
      </c>
      <c r="K3262" s="7" t="s">
        <v>2631</v>
      </c>
      <c r="L3262" s="8">
        <v>3617</v>
      </c>
      <c r="M3262" s="8" t="str">
        <f t="shared" si="262"/>
        <v>PEN</v>
      </c>
      <c r="N3262" s="13">
        <v>438.38</v>
      </c>
      <c r="O3262" s="13"/>
      <c r="P3262" s="3">
        <f t="shared" si="263"/>
        <v>0</v>
      </c>
      <c r="Q3262" s="3">
        <f t="shared" si="264"/>
        <v>0</v>
      </c>
      <c r="R3262" s="3">
        <f t="shared" si="260"/>
        <v>16510.079999999973</v>
      </c>
      <c r="S3262" s="24" t="s">
        <v>1334</v>
      </c>
      <c r="T3262" s="24" t="s">
        <v>1334</v>
      </c>
      <c r="U3262" s="55"/>
      <c r="V3262" s="25">
        <f>IFERROR(VLOOKUP(BCP_Soles[[#This Row],[destinatario]],CHOOSE({1,2},Clientes_Proveedores[Razon Social],Clientes_Proveedores[Ruc / Dni]),2,0),"")</f>
        <v>10736055631</v>
      </c>
      <c r="W3262" s="25"/>
      <c r="X3262" s="25"/>
      <c r="Y3262" s="25"/>
      <c r="Z3262" s="77"/>
      <c r="AA3262" s="3" t="str">
        <f>IF(BCP_Soles[[#This Row],[fecha]]&gt;0,TEXT(BCP_Soles[[#This Row],[fecha]],"mmmm"),0)</f>
        <v>Agosto</v>
      </c>
    </row>
    <row r="3263" spans="1:27" ht="24" x14ac:dyDescent="0.3">
      <c r="A3263" s="2">
        <f>IF(BCP_Soles[[#This Row],[tipo_registro]]="R",COUNTIFS($C$1:$C3262,"R")+1,A3262)</f>
        <v>2191</v>
      </c>
      <c r="B3263" s="19" t="str">
        <f t="shared" si="261"/>
        <v>B-BCP - Soles</v>
      </c>
      <c r="C3263" s="3" t="s">
        <v>1352</v>
      </c>
      <c r="D3263" s="14">
        <v>45881</v>
      </c>
      <c r="E3263" s="5" t="s">
        <v>4171</v>
      </c>
      <c r="F3263" s="5"/>
      <c r="G3263" s="6" t="s">
        <v>866</v>
      </c>
      <c r="H3263" s="6" t="s">
        <v>151</v>
      </c>
      <c r="I3263" s="6" t="s">
        <v>4178</v>
      </c>
      <c r="J3263" s="6">
        <v>13</v>
      </c>
      <c r="K3263" s="7" t="s">
        <v>2631</v>
      </c>
      <c r="L3263" s="8">
        <v>3617</v>
      </c>
      <c r="M3263" s="8" t="str">
        <f t="shared" si="262"/>
        <v>PEN</v>
      </c>
      <c r="N3263" s="13">
        <v>166.62</v>
      </c>
      <c r="O3263" s="13"/>
      <c r="P3263" s="3">
        <f t="shared" si="263"/>
        <v>0</v>
      </c>
      <c r="Q3263" s="3">
        <f t="shared" si="264"/>
        <v>0</v>
      </c>
      <c r="R3263" s="3">
        <f t="shared" si="260"/>
        <v>16510.079999999973</v>
      </c>
      <c r="S3263" s="24" t="s">
        <v>1334</v>
      </c>
      <c r="T3263" s="24" t="s">
        <v>1334</v>
      </c>
      <c r="U3263" s="55"/>
      <c r="V3263" s="25">
        <f>IFERROR(VLOOKUP(BCP_Soles[[#This Row],[destinatario]],CHOOSE({1,2},Clientes_Proveedores[Razon Social],Clientes_Proveedores[Ruc / Dni]),2,0),"")</f>
        <v>45921913</v>
      </c>
      <c r="W3263" s="25"/>
      <c r="X3263" s="25"/>
      <c r="Y3263" s="25"/>
      <c r="Z3263" s="77"/>
      <c r="AA3263" s="3" t="str">
        <f>IF(BCP_Soles[[#This Row],[fecha]]&gt;0,TEXT(BCP_Soles[[#This Row],[fecha]],"mmmm"),0)</f>
        <v>Agosto</v>
      </c>
    </row>
    <row r="3264" spans="1:27" ht="24" x14ac:dyDescent="0.3">
      <c r="A3264" s="2">
        <f>IF(BCP_Soles[[#This Row],[tipo_registro]]="R",COUNTIFS($C$1:$C3263,"R")+1,A3263)</f>
        <v>2191</v>
      </c>
      <c r="B3264" s="19" t="str">
        <f t="shared" si="261"/>
        <v>B-BCP - Soles</v>
      </c>
      <c r="C3264" s="3" t="s">
        <v>1352</v>
      </c>
      <c r="D3264" s="14">
        <v>45881</v>
      </c>
      <c r="E3264" s="5" t="s">
        <v>4171</v>
      </c>
      <c r="F3264" s="5"/>
      <c r="G3264" s="6" t="s">
        <v>871</v>
      </c>
      <c r="H3264" s="6" t="s">
        <v>151</v>
      </c>
      <c r="I3264" s="6" t="s">
        <v>4178</v>
      </c>
      <c r="J3264" s="6">
        <v>14</v>
      </c>
      <c r="K3264" s="7" t="s">
        <v>2631</v>
      </c>
      <c r="L3264" s="8">
        <v>3617</v>
      </c>
      <c r="M3264" s="8" t="str">
        <f t="shared" si="262"/>
        <v>PEN</v>
      </c>
      <c r="N3264" s="13">
        <v>200.76</v>
      </c>
      <c r="O3264" s="13"/>
      <c r="P3264" s="3">
        <f t="shared" si="263"/>
        <v>0</v>
      </c>
      <c r="Q3264" s="3">
        <f t="shared" si="264"/>
        <v>0</v>
      </c>
      <c r="R3264" s="3">
        <f t="shared" si="260"/>
        <v>16510.079999999973</v>
      </c>
      <c r="S3264" s="24" t="s">
        <v>1334</v>
      </c>
      <c r="T3264" s="24" t="s">
        <v>1334</v>
      </c>
      <c r="U3264" s="55"/>
      <c r="V3264" s="25">
        <f>IFERROR(VLOOKUP(BCP_Soles[[#This Row],[destinatario]],CHOOSE({1,2},Clientes_Proveedores[Razon Social],Clientes_Proveedores[Ruc / Dni]),2,0),"")</f>
        <v>72302392</v>
      </c>
      <c r="W3264" s="25"/>
      <c r="X3264" s="25"/>
      <c r="Y3264" s="25"/>
      <c r="Z3264" s="77"/>
      <c r="AA3264" s="3" t="str">
        <f>IF(BCP_Soles[[#This Row],[fecha]]&gt;0,TEXT(BCP_Soles[[#This Row],[fecha]],"mmmm"),0)</f>
        <v>Agosto</v>
      </c>
    </row>
    <row r="3265" spans="1:27" ht="24" x14ac:dyDescent="0.3">
      <c r="A3265" s="2">
        <f>IF(BCP_Soles[[#This Row],[tipo_registro]]="R",COUNTIFS($C$1:$C3264,"R")+1,A3264)</f>
        <v>2191</v>
      </c>
      <c r="B3265" s="19" t="str">
        <f t="shared" si="261"/>
        <v>B-BCP - Soles</v>
      </c>
      <c r="C3265" s="3" t="s">
        <v>1352</v>
      </c>
      <c r="D3265" s="14">
        <v>45881</v>
      </c>
      <c r="E3265" s="5" t="s">
        <v>4171</v>
      </c>
      <c r="F3265" s="5"/>
      <c r="G3265" s="6" t="s">
        <v>882</v>
      </c>
      <c r="H3265" s="6" t="s">
        <v>151</v>
      </c>
      <c r="I3265" s="6" t="s">
        <v>4178</v>
      </c>
      <c r="J3265" s="6">
        <v>15</v>
      </c>
      <c r="K3265" s="7" t="s">
        <v>2631</v>
      </c>
      <c r="L3265" s="8">
        <v>3617</v>
      </c>
      <c r="M3265" s="8" t="str">
        <f t="shared" si="262"/>
        <v>PEN</v>
      </c>
      <c r="N3265" s="13">
        <v>329.38</v>
      </c>
      <c r="O3265" s="13"/>
      <c r="P3265" s="3">
        <f t="shared" si="263"/>
        <v>0</v>
      </c>
      <c r="Q3265" s="3">
        <f t="shared" si="264"/>
        <v>0</v>
      </c>
      <c r="R3265" s="3">
        <f t="shared" si="260"/>
        <v>16510.079999999973</v>
      </c>
      <c r="S3265" s="24" t="s">
        <v>1334</v>
      </c>
      <c r="T3265" s="24" t="s">
        <v>1334</v>
      </c>
      <c r="U3265" s="55"/>
      <c r="V3265" s="25">
        <f>IFERROR(VLOOKUP(BCP_Soles[[#This Row],[destinatario]],CHOOSE({1,2},Clientes_Proveedores[Razon Social],Clientes_Proveedores[Ruc / Dni]),2,0),"")</f>
        <v>72450429</v>
      </c>
      <c r="W3265" s="25"/>
      <c r="X3265" s="25"/>
      <c r="Y3265" s="25"/>
      <c r="Z3265" s="77"/>
      <c r="AA3265" s="3" t="str">
        <f>IF(BCP_Soles[[#This Row],[fecha]]&gt;0,TEXT(BCP_Soles[[#This Row],[fecha]],"mmmm"),0)</f>
        <v>Agosto</v>
      </c>
    </row>
    <row r="3266" spans="1:27" ht="24" x14ac:dyDescent="0.3">
      <c r="A3266" s="2">
        <f>IF(BCP_Soles[[#This Row],[tipo_registro]]="R",COUNTIFS($C$1:$C3265,"R")+1,A3265)</f>
        <v>2191</v>
      </c>
      <c r="B3266" s="19" t="str">
        <f t="shared" si="261"/>
        <v>B-BCP - Soles</v>
      </c>
      <c r="C3266" s="3" t="s">
        <v>1352</v>
      </c>
      <c r="D3266" s="14">
        <v>45881</v>
      </c>
      <c r="E3266" s="5" t="s">
        <v>4171</v>
      </c>
      <c r="F3266" s="5"/>
      <c r="G3266" s="6" t="s">
        <v>1010</v>
      </c>
      <c r="H3266" s="6" t="s">
        <v>151</v>
      </c>
      <c r="I3266" s="6" t="s">
        <v>4178</v>
      </c>
      <c r="J3266" s="6">
        <v>16</v>
      </c>
      <c r="K3266" s="7" t="s">
        <v>2631</v>
      </c>
      <c r="L3266" s="8">
        <v>3617</v>
      </c>
      <c r="M3266" s="8" t="str">
        <f t="shared" si="262"/>
        <v>PEN</v>
      </c>
      <c r="N3266" s="13">
        <v>215.45</v>
      </c>
      <c r="O3266" s="13"/>
      <c r="P3266" s="3">
        <f t="shared" si="263"/>
        <v>0</v>
      </c>
      <c r="Q3266" s="3">
        <f t="shared" si="264"/>
        <v>0</v>
      </c>
      <c r="R3266" s="3">
        <f t="shared" si="260"/>
        <v>16510.079999999973</v>
      </c>
      <c r="S3266" s="24" t="s">
        <v>1334</v>
      </c>
      <c r="T3266" s="24" t="s">
        <v>1334</v>
      </c>
      <c r="U3266" s="55"/>
      <c r="V3266" s="25">
        <f>IFERROR(VLOOKUP(BCP_Soles[[#This Row],[destinatario]],CHOOSE({1,2},Clientes_Proveedores[Razon Social],Clientes_Proveedores[Ruc / Dni]),2,0),"")</f>
        <v>48197510</v>
      </c>
      <c r="W3266" s="25"/>
      <c r="X3266" s="25"/>
      <c r="Y3266" s="25"/>
      <c r="Z3266" s="77"/>
      <c r="AA3266" s="3" t="str">
        <f>IF(BCP_Soles[[#This Row],[fecha]]&gt;0,TEXT(BCP_Soles[[#This Row],[fecha]],"mmmm"),0)</f>
        <v>Agosto</v>
      </c>
    </row>
    <row r="3267" spans="1:27" ht="24" x14ac:dyDescent="0.3">
      <c r="A3267" s="2">
        <f>IF(BCP_Soles[[#This Row],[tipo_registro]]="R",COUNTIFS($C$1:$C3266,"R")+1,A3266)</f>
        <v>2191</v>
      </c>
      <c r="B3267" s="19" t="str">
        <f t="shared" si="261"/>
        <v>B-BCP - Soles</v>
      </c>
      <c r="C3267" s="3" t="s">
        <v>1352</v>
      </c>
      <c r="D3267" s="14">
        <v>45881</v>
      </c>
      <c r="E3267" s="5" t="s">
        <v>4171</v>
      </c>
      <c r="F3267" s="5"/>
      <c r="G3267" s="6" t="s">
        <v>1038</v>
      </c>
      <c r="H3267" s="6" t="s">
        <v>151</v>
      </c>
      <c r="I3267" s="6" t="s">
        <v>4178</v>
      </c>
      <c r="J3267" s="6">
        <v>17</v>
      </c>
      <c r="K3267" s="7" t="s">
        <v>2631</v>
      </c>
      <c r="L3267" s="8">
        <v>3617</v>
      </c>
      <c r="M3267" s="8" t="str">
        <f t="shared" si="262"/>
        <v>PEN</v>
      </c>
      <c r="N3267" s="13">
        <v>152.29</v>
      </c>
      <c r="O3267" s="13"/>
      <c r="P3267" s="3">
        <f t="shared" si="263"/>
        <v>0</v>
      </c>
      <c r="Q3267" s="3">
        <f t="shared" si="264"/>
        <v>0</v>
      </c>
      <c r="R3267" s="3">
        <f t="shared" si="260"/>
        <v>16510.079999999973</v>
      </c>
      <c r="S3267" s="24" t="s">
        <v>1334</v>
      </c>
      <c r="T3267" s="24" t="s">
        <v>1334</v>
      </c>
      <c r="U3267" s="55"/>
      <c r="V3267" s="25">
        <f>IFERROR(VLOOKUP(BCP_Soles[[#This Row],[destinatario]],CHOOSE({1,2},Clientes_Proveedores[Razon Social],Clientes_Proveedores[Ruc / Dni]),2,0),"")</f>
        <v>72204134</v>
      </c>
      <c r="W3267" s="25"/>
      <c r="X3267" s="25"/>
      <c r="Y3267" s="25"/>
      <c r="Z3267" s="77"/>
      <c r="AA3267" s="3" t="str">
        <f>IF(BCP_Soles[[#This Row],[fecha]]&gt;0,TEXT(BCP_Soles[[#This Row],[fecha]],"mmmm"),0)</f>
        <v>Agosto</v>
      </c>
    </row>
    <row r="3268" spans="1:27" ht="24" x14ac:dyDescent="0.3">
      <c r="A3268" s="2">
        <f>IF(BCP_Soles[[#This Row],[tipo_registro]]="R",COUNTIFS($C$1:$C3267,"R")+1,A3267)</f>
        <v>2191</v>
      </c>
      <c r="B3268" s="19" t="str">
        <f t="shared" si="261"/>
        <v>B-BCP - Soles</v>
      </c>
      <c r="C3268" s="3" t="s">
        <v>1352</v>
      </c>
      <c r="D3268" s="14">
        <v>45881</v>
      </c>
      <c r="E3268" s="5" t="s">
        <v>4171</v>
      </c>
      <c r="F3268" s="5"/>
      <c r="G3268" s="6" t="s">
        <v>895</v>
      </c>
      <c r="H3268" s="6" t="s">
        <v>151</v>
      </c>
      <c r="I3268" s="6" t="s">
        <v>4178</v>
      </c>
      <c r="J3268" s="6">
        <v>18</v>
      </c>
      <c r="K3268" s="7" t="s">
        <v>2631</v>
      </c>
      <c r="L3268" s="8">
        <v>3617</v>
      </c>
      <c r="M3268" s="8" t="str">
        <f t="shared" si="262"/>
        <v>PEN</v>
      </c>
      <c r="N3268" s="13">
        <v>245.24</v>
      </c>
      <c r="O3268" s="13"/>
      <c r="P3268" s="3">
        <f t="shared" si="263"/>
        <v>0</v>
      </c>
      <c r="Q3268" s="3">
        <f t="shared" si="264"/>
        <v>0</v>
      </c>
      <c r="R3268" s="3">
        <f t="shared" si="260"/>
        <v>16510.079999999973</v>
      </c>
      <c r="S3268" s="24" t="s">
        <v>1334</v>
      </c>
      <c r="T3268" s="24" t="s">
        <v>1334</v>
      </c>
      <c r="U3268" s="55"/>
      <c r="V3268" s="25">
        <f>IFERROR(VLOOKUP(BCP_Soles[[#This Row],[destinatario]],CHOOSE({1,2},Clientes_Proveedores[Razon Social],Clientes_Proveedores[Ruc / Dni]),2,0),"")</f>
        <v>72144092</v>
      </c>
      <c r="W3268" s="25"/>
      <c r="X3268" s="25"/>
      <c r="Y3268" s="25"/>
      <c r="Z3268" s="77"/>
      <c r="AA3268" s="3" t="str">
        <f>IF(BCP_Soles[[#This Row],[fecha]]&gt;0,TEXT(BCP_Soles[[#This Row],[fecha]],"mmmm"),0)</f>
        <v>Agosto</v>
      </c>
    </row>
    <row r="3269" spans="1:27" ht="24" x14ac:dyDescent="0.3">
      <c r="A3269" s="2">
        <f>IF(BCP_Soles[[#This Row],[tipo_registro]]="R",COUNTIFS($C$1:$C3268,"R")+1,A3268)</f>
        <v>2191</v>
      </c>
      <c r="B3269" s="19" t="str">
        <f t="shared" si="261"/>
        <v>B-BCP - Soles</v>
      </c>
      <c r="C3269" s="3" t="s">
        <v>1352</v>
      </c>
      <c r="D3269" s="14">
        <v>45881</v>
      </c>
      <c r="E3269" s="5" t="s">
        <v>4171</v>
      </c>
      <c r="F3269" s="5"/>
      <c r="G3269" s="6" t="s">
        <v>993</v>
      </c>
      <c r="H3269" s="6" t="s">
        <v>151</v>
      </c>
      <c r="I3269" s="6" t="s">
        <v>4178</v>
      </c>
      <c r="J3269" s="6">
        <v>19</v>
      </c>
      <c r="K3269" s="7" t="s">
        <v>2631</v>
      </c>
      <c r="L3269" s="8">
        <v>3617</v>
      </c>
      <c r="M3269" s="8" t="str">
        <f t="shared" si="262"/>
        <v>PEN</v>
      </c>
      <c r="N3269" s="13">
        <v>186.49</v>
      </c>
      <c r="O3269" s="13"/>
      <c r="P3269" s="3">
        <f t="shared" si="263"/>
        <v>0</v>
      </c>
      <c r="Q3269" s="3">
        <f t="shared" si="264"/>
        <v>0</v>
      </c>
      <c r="R3269" s="3">
        <f t="shared" si="260"/>
        <v>16510.079999999973</v>
      </c>
      <c r="S3269" s="24" t="s">
        <v>1334</v>
      </c>
      <c r="T3269" s="24" t="s">
        <v>1334</v>
      </c>
      <c r="U3269" s="55"/>
      <c r="V3269" s="25">
        <f>IFERROR(VLOOKUP(BCP_Soles[[#This Row],[destinatario]],CHOOSE({1,2},Clientes_Proveedores[Razon Social],Clientes_Proveedores[Ruc / Dni]),2,0),"")</f>
        <v>76390500</v>
      </c>
      <c r="W3269" s="25"/>
      <c r="X3269" s="25"/>
      <c r="Y3269" s="25"/>
      <c r="Z3269" s="77"/>
      <c r="AA3269" s="3" t="str">
        <f>IF(BCP_Soles[[#This Row],[fecha]]&gt;0,TEXT(BCP_Soles[[#This Row],[fecha]],"mmmm"),0)</f>
        <v>Agosto</v>
      </c>
    </row>
    <row r="3270" spans="1:27" ht="24" x14ac:dyDescent="0.3">
      <c r="A3270" s="2">
        <f>IF(BCP_Soles[[#This Row],[tipo_registro]]="R",COUNTIFS($C$1:$C3269,"R")+1,A3269)</f>
        <v>2191</v>
      </c>
      <c r="B3270" s="19" t="str">
        <f t="shared" si="261"/>
        <v>B-BCP - Soles</v>
      </c>
      <c r="C3270" s="3" t="s">
        <v>1352</v>
      </c>
      <c r="D3270" s="14">
        <v>45881</v>
      </c>
      <c r="E3270" s="5" t="s">
        <v>4171</v>
      </c>
      <c r="F3270" s="5"/>
      <c r="G3270" s="6" t="s">
        <v>918</v>
      </c>
      <c r="H3270" s="6" t="s">
        <v>151</v>
      </c>
      <c r="I3270" s="6" t="s">
        <v>4178</v>
      </c>
      <c r="J3270" s="6">
        <v>20</v>
      </c>
      <c r="K3270" s="7" t="s">
        <v>2631</v>
      </c>
      <c r="L3270" s="8">
        <v>3617</v>
      </c>
      <c r="M3270" s="8" t="str">
        <f t="shared" si="262"/>
        <v>PEN</v>
      </c>
      <c r="N3270" s="13">
        <v>243.66000000000003</v>
      </c>
      <c r="O3270" s="13"/>
      <c r="P3270" s="3">
        <f t="shared" si="263"/>
        <v>0</v>
      </c>
      <c r="Q3270" s="3">
        <f t="shared" si="264"/>
        <v>0</v>
      </c>
      <c r="R3270" s="3">
        <f t="shared" si="260"/>
        <v>16510.079999999973</v>
      </c>
      <c r="S3270" s="24" t="s">
        <v>1334</v>
      </c>
      <c r="T3270" s="24" t="s">
        <v>1334</v>
      </c>
      <c r="U3270" s="55"/>
      <c r="V3270" s="25">
        <f>IFERROR(VLOOKUP(BCP_Soles[[#This Row],[destinatario]],CHOOSE({1,2},Clientes_Proveedores[Razon Social],Clientes_Proveedores[Ruc / Dni]),2,0),"")</f>
        <v>48536654</v>
      </c>
      <c r="W3270" s="25"/>
      <c r="X3270" s="25"/>
      <c r="Y3270" s="25"/>
      <c r="Z3270" s="77"/>
      <c r="AA3270" s="3" t="str">
        <f>IF(BCP_Soles[[#This Row],[fecha]]&gt;0,TEXT(BCP_Soles[[#This Row],[fecha]],"mmmm"),0)</f>
        <v>Agosto</v>
      </c>
    </row>
    <row r="3271" spans="1:27" ht="24" x14ac:dyDescent="0.3">
      <c r="A3271" s="2">
        <f>IF(BCP_Soles[[#This Row],[tipo_registro]]="R",COUNTIFS($C$1:$C3270,"R")+1,A3270)</f>
        <v>2191</v>
      </c>
      <c r="B3271" s="19" t="str">
        <f t="shared" si="261"/>
        <v>B-BCP - Soles</v>
      </c>
      <c r="C3271" s="3" t="s">
        <v>1352</v>
      </c>
      <c r="D3271" s="14">
        <v>45881</v>
      </c>
      <c r="E3271" s="5" t="s">
        <v>4171</v>
      </c>
      <c r="F3271" s="5"/>
      <c r="G3271" s="6" t="s">
        <v>1018</v>
      </c>
      <c r="H3271" s="6" t="s">
        <v>151</v>
      </c>
      <c r="I3271" s="6" t="s">
        <v>4178</v>
      </c>
      <c r="J3271" s="6">
        <v>21</v>
      </c>
      <c r="K3271" s="7" t="s">
        <v>2631</v>
      </c>
      <c r="L3271" s="8">
        <v>3617</v>
      </c>
      <c r="M3271" s="8" t="str">
        <f t="shared" si="262"/>
        <v>PEN</v>
      </c>
      <c r="N3271" s="13">
        <v>142.72</v>
      </c>
      <c r="O3271" s="13"/>
      <c r="P3271" s="3">
        <f t="shared" si="263"/>
        <v>0</v>
      </c>
      <c r="Q3271" s="3">
        <f t="shared" si="264"/>
        <v>0</v>
      </c>
      <c r="R3271" s="3">
        <f t="shared" si="260"/>
        <v>16510.079999999973</v>
      </c>
      <c r="S3271" s="24" t="s">
        <v>1334</v>
      </c>
      <c r="T3271" s="24" t="s">
        <v>1334</v>
      </c>
      <c r="U3271" s="55"/>
      <c r="V3271" s="25">
        <f>IFERROR(VLOOKUP(BCP_Soles[[#This Row],[destinatario]],CHOOSE({1,2},Clientes_Proveedores[Razon Social],Clientes_Proveedores[Ruc / Dni]),2,0),"")</f>
        <v>75276411</v>
      </c>
      <c r="W3271" s="25"/>
      <c r="X3271" s="25"/>
      <c r="Y3271" s="25"/>
      <c r="Z3271" s="77"/>
      <c r="AA3271" s="3" t="str">
        <f>IF(BCP_Soles[[#This Row],[fecha]]&gt;0,TEXT(BCP_Soles[[#This Row],[fecha]],"mmmm"),0)</f>
        <v>Agosto</v>
      </c>
    </row>
    <row r="3272" spans="1:27" ht="24" x14ac:dyDescent="0.3">
      <c r="A3272" s="2">
        <f>IF(BCP_Soles[[#This Row],[tipo_registro]]="R",COUNTIFS($C$1:$C3271,"R")+1,A3271)</f>
        <v>2191</v>
      </c>
      <c r="B3272" s="19" t="str">
        <f t="shared" si="261"/>
        <v>B-BCP - Soles</v>
      </c>
      <c r="C3272" s="3" t="s">
        <v>1352</v>
      </c>
      <c r="D3272" s="14">
        <v>45881</v>
      </c>
      <c r="E3272" s="5" t="s">
        <v>4171</v>
      </c>
      <c r="F3272" s="5"/>
      <c r="G3272" s="6" t="s">
        <v>925</v>
      </c>
      <c r="H3272" s="6" t="s">
        <v>151</v>
      </c>
      <c r="I3272" s="6" t="s">
        <v>4178</v>
      </c>
      <c r="J3272" s="6">
        <v>22</v>
      </c>
      <c r="K3272" s="7" t="s">
        <v>2631</v>
      </c>
      <c r="L3272" s="8">
        <v>3617</v>
      </c>
      <c r="M3272" s="8" t="str">
        <f t="shared" si="262"/>
        <v>PEN</v>
      </c>
      <c r="N3272" s="13">
        <v>411.07000000000005</v>
      </c>
      <c r="O3272" s="13"/>
      <c r="P3272" s="3">
        <f t="shared" si="263"/>
        <v>0</v>
      </c>
      <c r="Q3272" s="3">
        <f t="shared" si="264"/>
        <v>0</v>
      </c>
      <c r="R3272" s="3">
        <f t="shared" si="260"/>
        <v>16510.079999999973</v>
      </c>
      <c r="S3272" s="24" t="s">
        <v>1334</v>
      </c>
      <c r="T3272" s="24" t="s">
        <v>1334</v>
      </c>
      <c r="U3272" s="55"/>
      <c r="V3272" s="25">
        <f>IFERROR(VLOOKUP(BCP_Soles[[#This Row],[destinatario]],CHOOSE({1,2},Clientes_Proveedores[Razon Social],Clientes_Proveedores[Ruc / Dni]),2,0),"")</f>
        <v>73530159</v>
      </c>
      <c r="W3272" s="25"/>
      <c r="X3272" s="25"/>
      <c r="Y3272" s="25"/>
      <c r="Z3272" s="77"/>
      <c r="AA3272" s="3" t="str">
        <f>IF(BCP_Soles[[#This Row],[fecha]]&gt;0,TEXT(BCP_Soles[[#This Row],[fecha]],"mmmm"),0)</f>
        <v>Agosto</v>
      </c>
    </row>
    <row r="3273" spans="1:27" ht="24" x14ac:dyDescent="0.3">
      <c r="A3273" s="2">
        <f>IF(BCP_Soles[[#This Row],[tipo_registro]]="R",COUNTIFS($C$1:$C3272,"R")+1,A3272)</f>
        <v>2191</v>
      </c>
      <c r="B3273" s="19" t="str">
        <f t="shared" si="261"/>
        <v>B-BCP - Soles</v>
      </c>
      <c r="C3273" s="3" t="s">
        <v>1352</v>
      </c>
      <c r="D3273" s="14">
        <v>45881</v>
      </c>
      <c r="E3273" s="5" t="s">
        <v>4171</v>
      </c>
      <c r="F3273" s="5"/>
      <c r="G3273" s="6" t="s">
        <v>935</v>
      </c>
      <c r="H3273" s="6" t="s">
        <v>151</v>
      </c>
      <c r="I3273" s="6" t="s">
        <v>4178</v>
      </c>
      <c r="J3273" s="6">
        <v>23</v>
      </c>
      <c r="K3273" s="7" t="s">
        <v>2631</v>
      </c>
      <c r="L3273" s="8">
        <v>3617</v>
      </c>
      <c r="M3273" s="8" t="str">
        <f t="shared" si="262"/>
        <v>PEN</v>
      </c>
      <c r="N3273" s="13">
        <v>169.53</v>
      </c>
      <c r="O3273" s="13"/>
      <c r="P3273" s="3">
        <f t="shared" si="263"/>
        <v>0</v>
      </c>
      <c r="Q3273" s="3">
        <f t="shared" si="264"/>
        <v>0</v>
      </c>
      <c r="R3273" s="3">
        <f t="shared" ref="R3273:R3336" si="265">IFERROR(IF(F3273="SALDO",P3273,R3272+P3273-Q3273),0)</f>
        <v>16510.079999999973</v>
      </c>
      <c r="S3273" s="24" t="s">
        <v>1334</v>
      </c>
      <c r="T3273" s="24" t="s">
        <v>1334</v>
      </c>
      <c r="U3273" s="55"/>
      <c r="V3273" s="25">
        <f>IFERROR(VLOOKUP(BCP_Soles[[#This Row],[destinatario]],CHOOSE({1,2},Clientes_Proveedores[Razon Social],Clientes_Proveedores[Ruc / Dni]),2,0),"")</f>
        <v>47557239</v>
      </c>
      <c r="W3273" s="25"/>
      <c r="X3273" s="25"/>
      <c r="Y3273" s="25"/>
      <c r="Z3273" s="77"/>
      <c r="AA3273" s="3" t="str">
        <f>IF(BCP_Soles[[#This Row],[fecha]]&gt;0,TEXT(BCP_Soles[[#This Row],[fecha]],"mmmm"),0)</f>
        <v>Agosto</v>
      </c>
    </row>
    <row r="3274" spans="1:27" ht="36" x14ac:dyDescent="0.3">
      <c r="A3274" s="2">
        <f>IF(BCP_Soles[[#This Row],[tipo_registro]]="R",COUNTIFS($C$1:$C3273,"R")+1,A3273)</f>
        <v>2191</v>
      </c>
      <c r="B3274" s="19" t="str">
        <f t="shared" si="261"/>
        <v>B-BCP - Soles</v>
      </c>
      <c r="C3274" s="3" t="s">
        <v>1352</v>
      </c>
      <c r="D3274" s="14">
        <v>45881</v>
      </c>
      <c r="E3274" s="5" t="s">
        <v>4171</v>
      </c>
      <c r="F3274" s="5"/>
      <c r="G3274" s="6" t="s">
        <v>937</v>
      </c>
      <c r="H3274" s="6" t="s">
        <v>151</v>
      </c>
      <c r="I3274" s="6" t="s">
        <v>4178</v>
      </c>
      <c r="J3274" s="6">
        <v>24</v>
      </c>
      <c r="K3274" s="7" t="s">
        <v>2631</v>
      </c>
      <c r="L3274" s="8">
        <v>3617</v>
      </c>
      <c r="M3274" s="8" t="str">
        <f t="shared" si="262"/>
        <v>PEN</v>
      </c>
      <c r="N3274" s="13">
        <v>195.14</v>
      </c>
      <c r="O3274" s="13"/>
      <c r="P3274" s="3">
        <f t="shared" si="263"/>
        <v>0</v>
      </c>
      <c r="Q3274" s="3">
        <f t="shared" si="264"/>
        <v>0</v>
      </c>
      <c r="R3274" s="3">
        <f t="shared" si="265"/>
        <v>16510.079999999973</v>
      </c>
      <c r="S3274" s="24" t="s">
        <v>1334</v>
      </c>
      <c r="T3274" s="24" t="s">
        <v>1334</v>
      </c>
      <c r="U3274" s="55"/>
      <c r="V3274" s="25">
        <f>IFERROR(VLOOKUP(BCP_Soles[[#This Row],[destinatario]],CHOOSE({1,2},Clientes_Proveedores[Razon Social],Clientes_Proveedores[Ruc / Dni]),2,0),"")</f>
        <v>72728100</v>
      </c>
      <c r="W3274" s="25"/>
      <c r="X3274" s="25"/>
      <c r="Y3274" s="25"/>
      <c r="Z3274" s="77"/>
      <c r="AA3274" s="3" t="str">
        <f>IF(BCP_Soles[[#This Row],[fecha]]&gt;0,TEXT(BCP_Soles[[#This Row],[fecha]],"mmmm"),0)</f>
        <v>Agosto</v>
      </c>
    </row>
    <row r="3275" spans="1:27" ht="24" x14ac:dyDescent="0.3">
      <c r="A3275" s="2">
        <f>IF(BCP_Soles[[#This Row],[tipo_registro]]="R",COUNTIFS($C$1:$C3274,"R")+1,A3274)</f>
        <v>2191</v>
      </c>
      <c r="B3275" s="19" t="str">
        <f t="shared" si="261"/>
        <v>B-BCP - Soles</v>
      </c>
      <c r="C3275" s="3" t="s">
        <v>1352</v>
      </c>
      <c r="D3275" s="14">
        <v>45881</v>
      </c>
      <c r="E3275" s="5" t="s">
        <v>4171</v>
      </c>
      <c r="F3275" s="5"/>
      <c r="G3275" s="6" t="s">
        <v>953</v>
      </c>
      <c r="H3275" s="6" t="s">
        <v>151</v>
      </c>
      <c r="I3275" s="6" t="s">
        <v>4178</v>
      </c>
      <c r="J3275" s="6">
        <v>25</v>
      </c>
      <c r="K3275" s="7" t="s">
        <v>2631</v>
      </c>
      <c r="L3275" s="8">
        <v>3617</v>
      </c>
      <c r="M3275" s="8" t="str">
        <f t="shared" si="262"/>
        <v>PEN</v>
      </c>
      <c r="N3275" s="13">
        <v>168.81</v>
      </c>
      <c r="O3275" s="13"/>
      <c r="P3275" s="3">
        <f t="shared" si="263"/>
        <v>0</v>
      </c>
      <c r="Q3275" s="3">
        <f t="shared" si="264"/>
        <v>0</v>
      </c>
      <c r="R3275" s="3">
        <f t="shared" si="265"/>
        <v>16510.079999999973</v>
      </c>
      <c r="S3275" s="24" t="s">
        <v>1334</v>
      </c>
      <c r="T3275" s="24" t="s">
        <v>1334</v>
      </c>
      <c r="U3275" s="55"/>
      <c r="V3275" s="25">
        <f>IFERROR(VLOOKUP(BCP_Soles[[#This Row],[destinatario]],CHOOSE({1,2},Clientes_Proveedores[Razon Social],Clientes_Proveedores[Ruc / Dni]),2,0),"")</f>
        <v>72682665</v>
      </c>
      <c r="W3275" s="25"/>
      <c r="X3275" s="25"/>
      <c r="Y3275" s="25"/>
      <c r="Z3275" s="77"/>
      <c r="AA3275" s="3" t="str">
        <f>IF(BCP_Soles[[#This Row],[fecha]]&gt;0,TEXT(BCP_Soles[[#This Row],[fecha]],"mmmm"),0)</f>
        <v>Agosto</v>
      </c>
    </row>
    <row r="3276" spans="1:27" ht="24" x14ac:dyDescent="0.3">
      <c r="A3276" s="2">
        <f>IF(BCP_Soles[[#This Row],[tipo_registro]]="R",COUNTIFS($C$1:$C3275,"R")+1,A3275)</f>
        <v>2191</v>
      </c>
      <c r="B3276" s="19" t="str">
        <f t="shared" si="261"/>
        <v>B-BCP - Soles</v>
      </c>
      <c r="C3276" s="3" t="s">
        <v>1352</v>
      </c>
      <c r="D3276" s="14">
        <v>45881</v>
      </c>
      <c r="E3276" s="5" t="s">
        <v>4171</v>
      </c>
      <c r="F3276" s="5"/>
      <c r="G3276" s="6" t="s">
        <v>955</v>
      </c>
      <c r="H3276" s="6" t="s">
        <v>151</v>
      </c>
      <c r="I3276" s="6" t="s">
        <v>4178</v>
      </c>
      <c r="J3276" s="6">
        <v>26</v>
      </c>
      <c r="K3276" s="7" t="s">
        <v>2631</v>
      </c>
      <c r="L3276" s="8">
        <v>3617</v>
      </c>
      <c r="M3276" s="8" t="str">
        <f t="shared" si="262"/>
        <v>PEN</v>
      </c>
      <c r="N3276" s="13">
        <v>150.27999999999997</v>
      </c>
      <c r="O3276" s="13"/>
      <c r="P3276" s="3">
        <f t="shared" si="263"/>
        <v>0</v>
      </c>
      <c r="Q3276" s="3">
        <f t="shared" si="264"/>
        <v>0</v>
      </c>
      <c r="R3276" s="3">
        <f t="shared" si="265"/>
        <v>16510.079999999973</v>
      </c>
      <c r="S3276" s="24" t="s">
        <v>1334</v>
      </c>
      <c r="T3276" s="24" t="s">
        <v>1334</v>
      </c>
      <c r="U3276" s="55"/>
      <c r="V3276" s="25">
        <f>IFERROR(VLOOKUP(BCP_Soles[[#This Row],[destinatario]],CHOOSE({1,2},Clientes_Proveedores[Razon Social],Clientes_Proveedores[Ruc / Dni]),2,0),"")</f>
        <v>48362717</v>
      </c>
      <c r="W3276" s="25"/>
      <c r="X3276" s="25"/>
      <c r="Y3276" s="25"/>
      <c r="Z3276" s="77"/>
      <c r="AA3276" s="3" t="str">
        <f>IF(BCP_Soles[[#This Row],[fecha]]&gt;0,TEXT(BCP_Soles[[#This Row],[fecha]],"mmmm"),0)</f>
        <v>Agosto</v>
      </c>
    </row>
    <row r="3277" spans="1:27" ht="24" x14ac:dyDescent="0.3">
      <c r="A3277" s="2">
        <f>IF(BCP_Soles[[#This Row],[tipo_registro]]="R",COUNTIFS($C$1:$C3276,"R")+1,A3276)</f>
        <v>2191</v>
      </c>
      <c r="B3277" s="19" t="str">
        <f t="shared" si="261"/>
        <v>B-BCP - Soles</v>
      </c>
      <c r="C3277" s="3" t="s">
        <v>1352</v>
      </c>
      <c r="D3277" s="14">
        <v>45881</v>
      </c>
      <c r="E3277" s="5" t="s">
        <v>4171</v>
      </c>
      <c r="F3277" s="5"/>
      <c r="G3277" s="6" t="s">
        <v>1020</v>
      </c>
      <c r="H3277" s="6" t="s">
        <v>151</v>
      </c>
      <c r="I3277" s="6" t="s">
        <v>4178</v>
      </c>
      <c r="J3277" s="6">
        <v>27</v>
      </c>
      <c r="K3277" s="7" t="s">
        <v>2631</v>
      </c>
      <c r="L3277" s="8">
        <v>3617</v>
      </c>
      <c r="M3277" s="8" t="str">
        <f t="shared" si="262"/>
        <v>PEN</v>
      </c>
      <c r="N3277" s="13">
        <v>144.93</v>
      </c>
      <c r="O3277" s="13"/>
      <c r="P3277" s="3">
        <f t="shared" si="263"/>
        <v>0</v>
      </c>
      <c r="Q3277" s="3">
        <f t="shared" si="264"/>
        <v>0</v>
      </c>
      <c r="R3277" s="3">
        <f t="shared" si="265"/>
        <v>16510.079999999973</v>
      </c>
      <c r="S3277" s="24" t="s">
        <v>1334</v>
      </c>
      <c r="T3277" s="24" t="s">
        <v>1334</v>
      </c>
      <c r="U3277" s="55"/>
      <c r="V3277" s="25">
        <f>IFERROR(VLOOKUP(BCP_Soles[[#This Row],[destinatario]],CHOOSE({1,2},Clientes_Proveedores[Razon Social],Clientes_Proveedores[Ruc / Dni]),2,0),"")</f>
        <v>60248415</v>
      </c>
      <c r="W3277" s="25"/>
      <c r="X3277" s="25"/>
      <c r="Y3277" s="25"/>
      <c r="Z3277" s="77"/>
      <c r="AA3277" s="3" t="str">
        <f>IF(BCP_Soles[[#This Row],[fecha]]&gt;0,TEXT(BCP_Soles[[#This Row],[fecha]],"mmmm"),0)</f>
        <v>Agosto</v>
      </c>
    </row>
    <row r="3278" spans="1:27" ht="24" x14ac:dyDescent="0.3">
      <c r="A3278" s="2">
        <f>IF(BCP_Soles[[#This Row],[tipo_registro]]="R",COUNTIFS($C$1:$C3277,"R")+1,A3277)</f>
        <v>2191</v>
      </c>
      <c r="B3278" s="19" t="str">
        <f t="shared" si="261"/>
        <v>B-BCP - Soles</v>
      </c>
      <c r="C3278" s="3" t="s">
        <v>1352</v>
      </c>
      <c r="D3278" s="14">
        <v>45881</v>
      </c>
      <c r="E3278" s="5" t="s">
        <v>4171</v>
      </c>
      <c r="F3278" s="5"/>
      <c r="G3278" s="6" t="s">
        <v>1021</v>
      </c>
      <c r="H3278" s="6" t="s">
        <v>151</v>
      </c>
      <c r="I3278" s="6" t="s">
        <v>4178</v>
      </c>
      <c r="J3278" s="6">
        <v>28</v>
      </c>
      <c r="K3278" s="7" t="s">
        <v>2631</v>
      </c>
      <c r="L3278" s="8">
        <v>3617</v>
      </c>
      <c r="M3278" s="8" t="str">
        <f t="shared" si="262"/>
        <v>PEN</v>
      </c>
      <c r="N3278" s="13">
        <v>185.92000000000002</v>
      </c>
      <c r="O3278" s="13"/>
      <c r="P3278" s="3">
        <f t="shared" si="263"/>
        <v>0</v>
      </c>
      <c r="Q3278" s="3">
        <f t="shared" si="264"/>
        <v>0</v>
      </c>
      <c r="R3278" s="3">
        <f t="shared" si="265"/>
        <v>16510.079999999973</v>
      </c>
      <c r="S3278" s="24" t="s">
        <v>1334</v>
      </c>
      <c r="T3278" s="24" t="s">
        <v>1334</v>
      </c>
      <c r="U3278" s="55"/>
      <c r="V3278" s="25">
        <f>IFERROR(VLOOKUP(BCP_Soles[[#This Row],[destinatario]],CHOOSE({1,2},Clientes_Proveedores[Razon Social],Clientes_Proveedores[Ruc / Dni]),2,0),"")</f>
        <v>77089939</v>
      </c>
      <c r="W3278" s="25"/>
      <c r="X3278" s="25"/>
      <c r="Y3278" s="25"/>
      <c r="Z3278" s="77"/>
      <c r="AA3278" s="3" t="str">
        <f>IF(BCP_Soles[[#This Row],[fecha]]&gt;0,TEXT(BCP_Soles[[#This Row],[fecha]],"mmmm"),0)</f>
        <v>Agosto</v>
      </c>
    </row>
    <row r="3279" spans="1:27" ht="24" x14ac:dyDescent="0.3">
      <c r="A3279" s="2">
        <f>IF(BCP_Soles[[#This Row],[tipo_registro]]="R",COUNTIFS($C$1:$C3278,"R")+1,A3278)</f>
        <v>2191</v>
      </c>
      <c r="B3279" s="19" t="str">
        <f t="shared" si="261"/>
        <v>B-BCP - Soles</v>
      </c>
      <c r="C3279" s="3" t="s">
        <v>1352</v>
      </c>
      <c r="D3279" s="14">
        <v>45881</v>
      </c>
      <c r="E3279" s="5" t="s">
        <v>4171</v>
      </c>
      <c r="F3279" s="5"/>
      <c r="G3279" s="6" t="s">
        <v>1039</v>
      </c>
      <c r="H3279" s="6" t="s">
        <v>151</v>
      </c>
      <c r="I3279" s="6" t="s">
        <v>4178</v>
      </c>
      <c r="J3279" s="6">
        <v>29</v>
      </c>
      <c r="K3279" s="7" t="s">
        <v>2631</v>
      </c>
      <c r="L3279" s="8">
        <v>3617</v>
      </c>
      <c r="M3279" s="8" t="str">
        <f t="shared" si="262"/>
        <v>PEN</v>
      </c>
      <c r="N3279" s="13">
        <v>199.15</v>
      </c>
      <c r="O3279" s="13"/>
      <c r="P3279" s="3">
        <f t="shared" si="263"/>
        <v>0</v>
      </c>
      <c r="Q3279" s="3">
        <f t="shared" si="264"/>
        <v>0</v>
      </c>
      <c r="R3279" s="3">
        <f t="shared" si="265"/>
        <v>16510.079999999973</v>
      </c>
      <c r="S3279" s="24" t="s">
        <v>1334</v>
      </c>
      <c r="T3279" s="24" t="s">
        <v>1334</v>
      </c>
      <c r="U3279" s="55"/>
      <c r="V3279" s="25">
        <f>IFERROR(VLOOKUP(BCP_Soles[[#This Row],[destinatario]],CHOOSE({1,2},Clientes_Proveedores[Razon Social],Clientes_Proveedores[Ruc / Dni]),2,0),"")</f>
        <v>70511606</v>
      </c>
      <c r="W3279" s="25"/>
      <c r="X3279" s="25"/>
      <c r="Y3279" s="25"/>
      <c r="Z3279" s="77"/>
      <c r="AA3279" s="3" t="str">
        <f>IF(BCP_Soles[[#This Row],[fecha]]&gt;0,TEXT(BCP_Soles[[#This Row],[fecha]],"mmmm"),0)</f>
        <v>Agosto</v>
      </c>
    </row>
    <row r="3280" spans="1:27" ht="24" x14ac:dyDescent="0.3">
      <c r="A3280" s="2">
        <f>IF(BCP_Soles[[#This Row],[tipo_registro]]="R",COUNTIFS($C$1:$C3279,"R")+1,A3279)</f>
        <v>2191</v>
      </c>
      <c r="B3280" s="19" t="str">
        <f t="shared" si="261"/>
        <v>B-BCP - Soles</v>
      </c>
      <c r="C3280" s="3" t="s">
        <v>1352</v>
      </c>
      <c r="D3280" s="14">
        <v>45881</v>
      </c>
      <c r="E3280" s="5" t="s">
        <v>4171</v>
      </c>
      <c r="F3280" s="5"/>
      <c r="G3280" s="6" t="s">
        <v>425</v>
      </c>
      <c r="H3280" s="6" t="s">
        <v>64</v>
      </c>
      <c r="I3280" s="6" t="s">
        <v>4179</v>
      </c>
      <c r="J3280" s="6">
        <v>1</v>
      </c>
      <c r="K3280" s="7" t="s">
        <v>2631</v>
      </c>
      <c r="L3280" s="8">
        <v>3617</v>
      </c>
      <c r="M3280" s="8" t="str">
        <f t="shared" si="262"/>
        <v>PEN</v>
      </c>
      <c r="N3280" s="13">
        <v>6.04</v>
      </c>
      <c r="O3280" s="13"/>
      <c r="P3280" s="3">
        <f t="shared" si="263"/>
        <v>0</v>
      </c>
      <c r="Q3280" s="3">
        <f t="shared" si="264"/>
        <v>0</v>
      </c>
      <c r="R3280" s="3">
        <f t="shared" si="265"/>
        <v>16510.079999999973</v>
      </c>
      <c r="S3280" s="24" t="s">
        <v>1334</v>
      </c>
      <c r="T3280" s="24" t="s">
        <v>1334</v>
      </c>
      <c r="U3280" s="55"/>
      <c r="V3280" s="25">
        <f>IFERROR(VLOOKUP(BCP_Soles[[#This Row],[destinatario]],CHOOSE({1,2},Clientes_Proveedores[Razon Social],Clientes_Proveedores[Ruc / Dni]),2,0),"")</f>
        <v>20558226979</v>
      </c>
      <c r="W3280" s="25"/>
      <c r="X3280" s="25"/>
      <c r="Y3280" s="25"/>
      <c r="Z3280" s="77"/>
      <c r="AA3280" s="3" t="str">
        <f>IF(BCP_Soles[[#This Row],[fecha]]&gt;0,TEXT(BCP_Soles[[#This Row],[fecha]],"mmmm"),0)</f>
        <v>Agosto</v>
      </c>
    </row>
    <row r="3281" spans="1:27" x14ac:dyDescent="0.3">
      <c r="A3281" s="2">
        <f>IF(BCP_Soles[[#This Row],[tipo_registro]]="R",COUNTIFS($C$1:$C3280,"R")+1,A3280)</f>
        <v>2192</v>
      </c>
      <c r="B3281" s="19" t="str">
        <f t="shared" si="261"/>
        <v>B-BCP - Soles</v>
      </c>
      <c r="C3281" s="3" t="s">
        <v>1330</v>
      </c>
      <c r="D3281" s="14">
        <v>45881</v>
      </c>
      <c r="E3281" s="5" t="s">
        <v>4171</v>
      </c>
      <c r="F3281" s="5" t="s">
        <v>1336</v>
      </c>
      <c r="G3281" s="6"/>
      <c r="H3281" s="6"/>
      <c r="I3281" s="6"/>
      <c r="J3281" s="6"/>
      <c r="K3281" s="7" t="s">
        <v>4180</v>
      </c>
      <c r="L3281" s="8">
        <v>1002643</v>
      </c>
      <c r="M3281" s="8" t="str">
        <f t="shared" si="262"/>
        <v>PEN</v>
      </c>
      <c r="N3281" s="13"/>
      <c r="O3281" s="13">
        <v>302</v>
      </c>
      <c r="P3281" s="3">
        <f t="shared" si="263"/>
        <v>0</v>
      </c>
      <c r="Q3281" s="3">
        <f t="shared" si="264"/>
        <v>302</v>
      </c>
      <c r="R3281" s="3">
        <f t="shared" si="265"/>
        <v>16208.079999999973</v>
      </c>
      <c r="S3281" s="24"/>
      <c r="T3281" s="24"/>
      <c r="U3281" s="55"/>
      <c r="V3281" s="25" t="str">
        <f>IFERROR(VLOOKUP(BCP_Soles[[#This Row],[destinatario]],CHOOSE({1,2},Clientes_Proveedores[Razon Social],Clientes_Proveedores[Ruc / Dni]),2,0),"")</f>
        <v/>
      </c>
      <c r="W3281" s="25"/>
      <c r="X3281" s="25"/>
      <c r="Y3281" s="25"/>
      <c r="Z3281" s="77"/>
      <c r="AA3281" s="3" t="str">
        <f>IF(BCP_Soles[[#This Row],[fecha]]&gt;0,TEXT(BCP_Soles[[#This Row],[fecha]],"mmmm"),0)</f>
        <v>Agosto</v>
      </c>
    </row>
    <row r="3282" spans="1:27" x14ac:dyDescent="0.3">
      <c r="A3282" s="2">
        <f>IF(BCP_Soles[[#This Row],[tipo_registro]]="R",COUNTIFS($C$1:$C3281,"R")+1,A3281)</f>
        <v>2193</v>
      </c>
      <c r="B3282" s="19" t="str">
        <f t="shared" si="261"/>
        <v>B-BCP - Soles</v>
      </c>
      <c r="C3282" s="3" t="s">
        <v>1330</v>
      </c>
      <c r="D3282" s="14">
        <v>45881</v>
      </c>
      <c r="E3282" s="5" t="s">
        <v>3190</v>
      </c>
      <c r="F3282" s="5" t="s">
        <v>1336</v>
      </c>
      <c r="G3282" s="6"/>
      <c r="H3282" s="6"/>
      <c r="I3282" s="6"/>
      <c r="J3282" s="6"/>
      <c r="K3282" s="7" t="s">
        <v>4181</v>
      </c>
      <c r="L3282" s="8">
        <v>1009540</v>
      </c>
      <c r="M3282" s="8" t="str">
        <f t="shared" si="262"/>
        <v>PEN</v>
      </c>
      <c r="N3282" s="13"/>
      <c r="O3282" s="13">
        <v>2877</v>
      </c>
      <c r="P3282" s="3">
        <f t="shared" si="263"/>
        <v>0</v>
      </c>
      <c r="Q3282" s="3">
        <f t="shared" si="264"/>
        <v>2877</v>
      </c>
      <c r="R3282" s="3">
        <f t="shared" si="265"/>
        <v>13331.079999999973</v>
      </c>
      <c r="S3282" s="24" t="s">
        <v>1334</v>
      </c>
      <c r="T3282" s="24" t="s">
        <v>1334</v>
      </c>
      <c r="U3282" s="55"/>
      <c r="V3282" s="25" t="str">
        <f>IFERROR(VLOOKUP(BCP_Soles[[#This Row],[destinatario]],CHOOSE({1,2},Clientes_Proveedores[Razon Social],Clientes_Proveedores[Ruc / Dni]),2,0),"")</f>
        <v/>
      </c>
      <c r="W3282" s="25"/>
      <c r="X3282" s="25"/>
      <c r="Y3282" s="25"/>
      <c r="Z3282" s="77"/>
      <c r="AA3282" s="3" t="str">
        <f>IF(BCP_Soles[[#This Row],[fecha]]&gt;0,TEXT(BCP_Soles[[#This Row],[fecha]],"mmmm"),0)</f>
        <v>Agosto</v>
      </c>
    </row>
    <row r="3283" spans="1:27" x14ac:dyDescent="0.3">
      <c r="A3283" s="2">
        <f>IF(BCP_Soles[[#This Row],[tipo_registro]]="R",COUNTIFS($C$1:$C3282,"R")+1,A3282)</f>
        <v>2193</v>
      </c>
      <c r="B3283" s="19" t="str">
        <f t="shared" si="261"/>
        <v>B-BCP - Soles</v>
      </c>
      <c r="C3283" s="3" t="s">
        <v>1352</v>
      </c>
      <c r="D3283" s="14">
        <v>45881</v>
      </c>
      <c r="E3283" s="5" t="s">
        <v>3190</v>
      </c>
      <c r="F3283" s="5"/>
      <c r="G3283" s="6" t="s">
        <v>414</v>
      </c>
      <c r="H3283" s="6" t="s">
        <v>68</v>
      </c>
      <c r="I3283" s="6" t="s">
        <v>1374</v>
      </c>
      <c r="J3283" s="6">
        <v>14701</v>
      </c>
      <c r="K3283" s="7" t="s">
        <v>4181</v>
      </c>
      <c r="L3283" s="8">
        <v>1009540</v>
      </c>
      <c r="M3283" s="8" t="str">
        <f t="shared" si="262"/>
        <v>PEN</v>
      </c>
      <c r="N3283" s="13">
        <v>2116</v>
      </c>
      <c r="O3283" s="13"/>
      <c r="P3283" s="3">
        <f t="shared" si="263"/>
        <v>0</v>
      </c>
      <c r="Q3283" s="3">
        <f t="shared" si="264"/>
        <v>0</v>
      </c>
      <c r="R3283" s="3">
        <f t="shared" si="265"/>
        <v>13331.079999999973</v>
      </c>
      <c r="S3283" s="24" t="s">
        <v>1334</v>
      </c>
      <c r="T3283" s="24" t="s">
        <v>1334</v>
      </c>
      <c r="U3283" s="55"/>
      <c r="V3283" s="25">
        <f>IFERROR(VLOOKUP(BCP_Soles[[#This Row],[destinatario]],CHOOSE({1,2},Clientes_Proveedores[Razon Social],Clientes_Proveedores[Ruc / Dni]),2,0),"")</f>
        <v>20553255709</v>
      </c>
      <c r="W3283" s="25"/>
      <c r="X3283" s="25"/>
      <c r="Y3283" s="25"/>
      <c r="Z3283" s="77" t="s">
        <v>3666</v>
      </c>
      <c r="AA3283" s="3" t="str">
        <f>IF(BCP_Soles[[#This Row],[fecha]]&gt;0,TEXT(BCP_Soles[[#This Row],[fecha]],"mmmm"),0)</f>
        <v>Agosto</v>
      </c>
    </row>
    <row r="3284" spans="1:27" x14ac:dyDescent="0.3">
      <c r="A3284" s="2">
        <f>IF(BCP_Soles[[#This Row],[tipo_registro]]="R",COUNTIFS($C$1:$C3283,"R")+1,A3283)</f>
        <v>2193</v>
      </c>
      <c r="B3284" s="19" t="str">
        <f t="shared" si="261"/>
        <v>B-BCP - Soles</v>
      </c>
      <c r="C3284" s="3" t="s">
        <v>1352</v>
      </c>
      <c r="D3284" s="14">
        <v>45881</v>
      </c>
      <c r="E3284" s="5" t="s">
        <v>3190</v>
      </c>
      <c r="F3284" s="5"/>
      <c r="G3284" s="6" t="s">
        <v>286</v>
      </c>
      <c r="H3284" s="6" t="s">
        <v>68</v>
      </c>
      <c r="I3284" s="6" t="s">
        <v>1386</v>
      </c>
      <c r="J3284" s="6">
        <v>1716</v>
      </c>
      <c r="K3284" s="7" t="s">
        <v>4181</v>
      </c>
      <c r="L3284" s="8">
        <v>1009540</v>
      </c>
      <c r="M3284" s="8" t="str">
        <f t="shared" si="262"/>
        <v>PEN</v>
      </c>
      <c r="N3284" s="13">
        <v>23</v>
      </c>
      <c r="O3284" s="13"/>
      <c r="P3284" s="3">
        <f t="shared" si="263"/>
        <v>0</v>
      </c>
      <c r="Q3284" s="3">
        <f t="shared" si="264"/>
        <v>0</v>
      </c>
      <c r="R3284" s="3">
        <f t="shared" si="265"/>
        <v>13331.079999999973</v>
      </c>
      <c r="S3284" s="24" t="s">
        <v>1334</v>
      </c>
      <c r="T3284" s="24" t="s">
        <v>1334</v>
      </c>
      <c r="U3284" s="55"/>
      <c r="V3284" s="25">
        <f>IFERROR(VLOOKUP(BCP_Soles[[#This Row],[destinatario]],CHOOSE({1,2},Clientes_Proveedores[Razon Social],Clientes_Proveedores[Ruc / Dni]),2,0),"")</f>
        <v>20454186002</v>
      </c>
      <c r="W3284" s="25"/>
      <c r="X3284" s="25"/>
      <c r="Y3284" s="25"/>
      <c r="Z3284" s="77" t="s">
        <v>3666</v>
      </c>
      <c r="AA3284" s="3" t="str">
        <f>IF(BCP_Soles[[#This Row],[fecha]]&gt;0,TEXT(BCP_Soles[[#This Row],[fecha]],"mmmm"),0)</f>
        <v>Agosto</v>
      </c>
    </row>
    <row r="3285" spans="1:27" ht="36" x14ac:dyDescent="0.3">
      <c r="A3285" s="2">
        <f>IF(BCP_Soles[[#This Row],[tipo_registro]]="R",COUNTIFS($C$1:$C3284,"R")+1,A3284)</f>
        <v>2193</v>
      </c>
      <c r="B3285" s="19" t="str">
        <f t="shared" si="261"/>
        <v>B-BCP - Soles</v>
      </c>
      <c r="C3285" s="3" t="s">
        <v>1352</v>
      </c>
      <c r="D3285" s="14">
        <v>45881</v>
      </c>
      <c r="E3285" s="5" t="s">
        <v>3190</v>
      </c>
      <c r="F3285" s="5"/>
      <c r="G3285" s="6" t="s">
        <v>277</v>
      </c>
      <c r="H3285" s="6" t="s">
        <v>68</v>
      </c>
      <c r="I3285" s="6" t="s">
        <v>1390</v>
      </c>
      <c r="J3285" s="6">
        <v>1802</v>
      </c>
      <c r="K3285" s="7" t="s">
        <v>4181</v>
      </c>
      <c r="L3285" s="8">
        <v>1009540</v>
      </c>
      <c r="M3285" s="8" t="str">
        <f t="shared" si="262"/>
        <v>PEN</v>
      </c>
      <c r="N3285" s="13">
        <v>106</v>
      </c>
      <c r="O3285" s="13"/>
      <c r="P3285" s="3">
        <f t="shared" si="263"/>
        <v>0</v>
      </c>
      <c r="Q3285" s="3">
        <f t="shared" si="264"/>
        <v>0</v>
      </c>
      <c r="R3285" s="3">
        <f t="shared" si="265"/>
        <v>13331.079999999973</v>
      </c>
      <c r="S3285" s="24" t="s">
        <v>1334</v>
      </c>
      <c r="T3285" s="24" t="s">
        <v>1334</v>
      </c>
      <c r="U3285" s="55"/>
      <c r="V3285" s="25">
        <f>IFERROR(VLOOKUP(BCP_Soles[[#This Row],[destinatario]],CHOOSE({1,2},Clientes_Proveedores[Razon Social],Clientes_Proveedores[Ruc / Dni]),2,0),"")</f>
        <v>20429640939</v>
      </c>
      <c r="W3285" s="25"/>
      <c r="X3285" s="25"/>
      <c r="Y3285" s="25"/>
      <c r="Z3285" s="77" t="s">
        <v>3666</v>
      </c>
      <c r="AA3285" s="3" t="str">
        <f>IF(BCP_Soles[[#This Row],[fecha]]&gt;0,TEXT(BCP_Soles[[#This Row],[fecha]],"mmmm"),0)</f>
        <v>Agosto</v>
      </c>
    </row>
    <row r="3286" spans="1:27" ht="36" x14ac:dyDescent="0.3">
      <c r="A3286" s="2">
        <f>IF(BCP_Soles[[#This Row],[tipo_registro]]="R",COUNTIFS($C$1:$C3285,"R")+1,A3285)</f>
        <v>2193</v>
      </c>
      <c r="B3286" s="19" t="str">
        <f t="shared" si="261"/>
        <v>B-BCP - Soles</v>
      </c>
      <c r="C3286" s="3" t="s">
        <v>1352</v>
      </c>
      <c r="D3286" s="14">
        <v>45881</v>
      </c>
      <c r="E3286" s="5" t="s">
        <v>3190</v>
      </c>
      <c r="F3286" s="5"/>
      <c r="G3286" s="6" t="s">
        <v>277</v>
      </c>
      <c r="H3286" s="6" t="s">
        <v>68</v>
      </c>
      <c r="I3286" s="6" t="s">
        <v>1390</v>
      </c>
      <c r="J3286" s="6">
        <v>1822</v>
      </c>
      <c r="K3286" s="7" t="s">
        <v>4181</v>
      </c>
      <c r="L3286" s="8">
        <v>1009540</v>
      </c>
      <c r="M3286" s="8" t="str">
        <f t="shared" si="262"/>
        <v>PEN</v>
      </c>
      <c r="N3286" s="13">
        <v>106</v>
      </c>
      <c r="O3286" s="13"/>
      <c r="P3286" s="3">
        <f t="shared" si="263"/>
        <v>0</v>
      </c>
      <c r="Q3286" s="3">
        <f t="shared" si="264"/>
        <v>0</v>
      </c>
      <c r="R3286" s="3">
        <f t="shared" si="265"/>
        <v>13331.079999999973</v>
      </c>
      <c r="S3286" s="24" t="s">
        <v>1334</v>
      </c>
      <c r="T3286" s="24" t="s">
        <v>1334</v>
      </c>
      <c r="U3286" s="55"/>
      <c r="V3286" s="25">
        <f>IFERROR(VLOOKUP(BCP_Soles[[#This Row],[destinatario]],CHOOSE({1,2},Clientes_Proveedores[Razon Social],Clientes_Proveedores[Ruc / Dni]),2,0),"")</f>
        <v>20429640939</v>
      </c>
      <c r="W3286" s="25"/>
      <c r="X3286" s="25"/>
      <c r="Y3286" s="25"/>
      <c r="Z3286" s="77" t="s">
        <v>3666</v>
      </c>
      <c r="AA3286" s="3" t="str">
        <f>IF(BCP_Soles[[#This Row],[fecha]]&gt;0,TEXT(BCP_Soles[[#This Row],[fecha]],"mmmm"),0)</f>
        <v>Agosto</v>
      </c>
    </row>
    <row r="3287" spans="1:27" ht="24" x14ac:dyDescent="0.3">
      <c r="A3287" s="2">
        <f>IF(BCP_Soles[[#This Row],[tipo_registro]]="R",COUNTIFS($C$1:$C3286,"R")+1,A3286)</f>
        <v>2193</v>
      </c>
      <c r="B3287" s="19" t="str">
        <f t="shared" si="261"/>
        <v>B-BCP - Soles</v>
      </c>
      <c r="C3287" s="3" t="s">
        <v>1352</v>
      </c>
      <c r="D3287" s="14">
        <v>45881</v>
      </c>
      <c r="E3287" s="5" t="s">
        <v>3190</v>
      </c>
      <c r="F3287" s="5"/>
      <c r="G3287" s="6" t="s">
        <v>204</v>
      </c>
      <c r="H3287" s="6" t="s">
        <v>68</v>
      </c>
      <c r="I3287" s="6" t="s">
        <v>1390</v>
      </c>
      <c r="J3287" s="6">
        <v>16475</v>
      </c>
      <c r="K3287" s="7" t="s">
        <v>4181</v>
      </c>
      <c r="L3287" s="8">
        <v>1009540</v>
      </c>
      <c r="M3287" s="8" t="str">
        <f t="shared" si="262"/>
        <v>PEN</v>
      </c>
      <c r="N3287" s="13">
        <v>54</v>
      </c>
      <c r="O3287" s="13"/>
      <c r="P3287" s="3">
        <f t="shared" si="263"/>
        <v>0</v>
      </c>
      <c r="Q3287" s="3">
        <f t="shared" si="264"/>
        <v>0</v>
      </c>
      <c r="R3287" s="3">
        <f t="shared" si="265"/>
        <v>13331.079999999973</v>
      </c>
      <c r="S3287" s="24" t="s">
        <v>1334</v>
      </c>
      <c r="T3287" s="24" t="s">
        <v>1334</v>
      </c>
      <c r="U3287" s="55"/>
      <c r="V3287" s="25">
        <f>IFERROR(VLOOKUP(BCP_Soles[[#This Row],[destinatario]],CHOOSE({1,2},Clientes_Proveedores[Razon Social],Clientes_Proveedores[Ruc / Dni]),2,0),"")</f>
        <v>20100192064</v>
      </c>
      <c r="W3287" s="25"/>
      <c r="X3287" s="25"/>
      <c r="Y3287" s="25"/>
      <c r="Z3287" s="77" t="s">
        <v>3666</v>
      </c>
      <c r="AA3287" s="3" t="str">
        <f>IF(BCP_Soles[[#This Row],[fecha]]&gt;0,TEXT(BCP_Soles[[#This Row],[fecha]],"mmmm"),0)</f>
        <v>Agosto</v>
      </c>
    </row>
    <row r="3288" spans="1:27" ht="24" x14ac:dyDescent="0.3">
      <c r="A3288" s="2">
        <f>IF(BCP_Soles[[#This Row],[tipo_registro]]="R",COUNTIFS($C$1:$C3287,"R")+1,A3287)</f>
        <v>2193</v>
      </c>
      <c r="B3288" s="19" t="str">
        <f t="shared" si="261"/>
        <v>B-BCP - Soles</v>
      </c>
      <c r="C3288" s="3" t="s">
        <v>1352</v>
      </c>
      <c r="D3288" s="14">
        <v>45881</v>
      </c>
      <c r="E3288" s="5" t="s">
        <v>3190</v>
      </c>
      <c r="F3288" s="5"/>
      <c r="G3288" s="6" t="s">
        <v>204</v>
      </c>
      <c r="H3288" s="6" t="s">
        <v>68</v>
      </c>
      <c r="I3288" s="6" t="s">
        <v>1390</v>
      </c>
      <c r="J3288" s="6">
        <v>16474</v>
      </c>
      <c r="K3288" s="7" t="s">
        <v>4181</v>
      </c>
      <c r="L3288" s="8">
        <v>1009540</v>
      </c>
      <c r="M3288" s="8" t="str">
        <f t="shared" si="262"/>
        <v>PEN</v>
      </c>
      <c r="N3288" s="13">
        <v>42</v>
      </c>
      <c r="O3288" s="13"/>
      <c r="P3288" s="3">
        <f t="shared" si="263"/>
        <v>0</v>
      </c>
      <c r="Q3288" s="3">
        <f t="shared" si="264"/>
        <v>0</v>
      </c>
      <c r="R3288" s="3">
        <f t="shared" si="265"/>
        <v>13331.079999999973</v>
      </c>
      <c r="S3288" s="24" t="s">
        <v>1334</v>
      </c>
      <c r="T3288" s="24" t="s">
        <v>1334</v>
      </c>
      <c r="U3288" s="55"/>
      <c r="V3288" s="25">
        <f>IFERROR(VLOOKUP(BCP_Soles[[#This Row],[destinatario]],CHOOSE({1,2},Clientes_Proveedores[Razon Social],Clientes_Proveedores[Ruc / Dni]),2,0),"")</f>
        <v>20100192064</v>
      </c>
      <c r="W3288" s="25"/>
      <c r="X3288" s="25"/>
      <c r="Y3288" s="25"/>
      <c r="Z3288" s="77" t="s">
        <v>3666</v>
      </c>
      <c r="AA3288" s="3" t="str">
        <f>IF(BCP_Soles[[#This Row],[fecha]]&gt;0,TEXT(BCP_Soles[[#This Row],[fecha]],"mmmm"),0)</f>
        <v>Agosto</v>
      </c>
    </row>
    <row r="3289" spans="1:27" ht="36" x14ac:dyDescent="0.3">
      <c r="A3289" s="2">
        <f>IF(BCP_Soles[[#This Row],[tipo_registro]]="R",COUNTIFS($C$1:$C3288,"R")+1,A3288)</f>
        <v>2193</v>
      </c>
      <c r="B3289" s="19" t="str">
        <f t="shared" si="261"/>
        <v>B-BCP - Soles</v>
      </c>
      <c r="C3289" s="3" t="s">
        <v>1352</v>
      </c>
      <c r="D3289" s="14">
        <v>45881</v>
      </c>
      <c r="E3289" s="5" t="s">
        <v>3190</v>
      </c>
      <c r="F3289" s="5"/>
      <c r="G3289" s="6" t="s">
        <v>277</v>
      </c>
      <c r="H3289" s="6" t="s">
        <v>68</v>
      </c>
      <c r="I3289" s="6" t="s">
        <v>1390</v>
      </c>
      <c r="J3289" s="6">
        <v>1843</v>
      </c>
      <c r="K3289" s="7" t="s">
        <v>4181</v>
      </c>
      <c r="L3289" s="8">
        <v>1009540</v>
      </c>
      <c r="M3289" s="8" t="str">
        <f t="shared" si="262"/>
        <v>PEN</v>
      </c>
      <c r="N3289" s="13">
        <v>106</v>
      </c>
      <c r="O3289" s="13"/>
      <c r="P3289" s="3">
        <f t="shared" si="263"/>
        <v>0</v>
      </c>
      <c r="Q3289" s="3">
        <f t="shared" si="264"/>
        <v>0</v>
      </c>
      <c r="R3289" s="3">
        <f t="shared" si="265"/>
        <v>13331.079999999973</v>
      </c>
      <c r="S3289" s="24" t="s">
        <v>1334</v>
      </c>
      <c r="T3289" s="24" t="s">
        <v>1334</v>
      </c>
      <c r="U3289" s="55"/>
      <c r="V3289" s="25">
        <f>IFERROR(VLOOKUP(BCP_Soles[[#This Row],[destinatario]],CHOOSE({1,2},Clientes_Proveedores[Razon Social],Clientes_Proveedores[Ruc / Dni]),2,0),"")</f>
        <v>20429640939</v>
      </c>
      <c r="W3289" s="25"/>
      <c r="X3289" s="25"/>
      <c r="Y3289" s="25"/>
      <c r="Z3289" s="77" t="s">
        <v>3666</v>
      </c>
      <c r="AA3289" s="3" t="str">
        <f>IF(BCP_Soles[[#This Row],[fecha]]&gt;0,TEXT(BCP_Soles[[#This Row],[fecha]],"mmmm"),0)</f>
        <v>Agosto</v>
      </c>
    </row>
    <row r="3290" spans="1:27" ht="36" x14ac:dyDescent="0.3">
      <c r="A3290" s="2">
        <f>IF(BCP_Soles[[#This Row],[tipo_registro]]="R",COUNTIFS($C$1:$C3289,"R")+1,A3289)</f>
        <v>2193</v>
      </c>
      <c r="B3290" s="19" t="str">
        <f t="shared" ref="B3290:B3353" si="266">"B-BCP - Soles"</f>
        <v>B-BCP - Soles</v>
      </c>
      <c r="C3290" s="3" t="s">
        <v>1352</v>
      </c>
      <c r="D3290" s="14">
        <v>45881</v>
      </c>
      <c r="E3290" s="5" t="s">
        <v>3190</v>
      </c>
      <c r="F3290" s="5"/>
      <c r="G3290" s="6" t="s">
        <v>277</v>
      </c>
      <c r="H3290" s="6" t="s">
        <v>68</v>
      </c>
      <c r="I3290" s="6" t="s">
        <v>1390</v>
      </c>
      <c r="J3290" s="6">
        <v>1833</v>
      </c>
      <c r="K3290" s="7" t="s">
        <v>4181</v>
      </c>
      <c r="L3290" s="8">
        <v>1009540</v>
      </c>
      <c r="M3290" s="8" t="str">
        <f t="shared" ref="M3290:M3353" si="267">"PEN"</f>
        <v>PEN</v>
      </c>
      <c r="N3290" s="13">
        <v>56</v>
      </c>
      <c r="O3290" s="13"/>
      <c r="P3290" s="3">
        <f t="shared" ref="P3290:P3353" si="268">+IF(OR($F3290="SALDO",$F3290="INGRESO"),$O3290,0)</f>
        <v>0</v>
      </c>
      <c r="Q3290" s="3">
        <f t="shared" ref="Q3290:Q3353" si="269">+IF($F3290="EGRESO",$O3290,0)</f>
        <v>0</v>
      </c>
      <c r="R3290" s="3">
        <f t="shared" si="265"/>
        <v>13331.079999999973</v>
      </c>
      <c r="S3290" s="24" t="s">
        <v>1334</v>
      </c>
      <c r="T3290" s="24" t="s">
        <v>1334</v>
      </c>
      <c r="U3290" s="55"/>
      <c r="V3290" s="25">
        <f>IFERROR(VLOOKUP(BCP_Soles[[#This Row],[destinatario]],CHOOSE({1,2},Clientes_Proveedores[Razon Social],Clientes_Proveedores[Ruc / Dni]),2,0),"")</f>
        <v>20429640939</v>
      </c>
      <c r="W3290" s="25"/>
      <c r="X3290" s="25"/>
      <c r="Y3290" s="25"/>
      <c r="Z3290" s="77" t="s">
        <v>3666</v>
      </c>
      <c r="AA3290" s="3" t="str">
        <f>IF(BCP_Soles[[#This Row],[fecha]]&gt;0,TEXT(BCP_Soles[[#This Row],[fecha]],"mmmm"),0)</f>
        <v>Agosto</v>
      </c>
    </row>
    <row r="3291" spans="1:27" ht="36" x14ac:dyDescent="0.3">
      <c r="A3291" s="2">
        <f>IF(BCP_Soles[[#This Row],[tipo_registro]]="R",COUNTIFS($C$1:$C3290,"R")+1,A3290)</f>
        <v>2193</v>
      </c>
      <c r="B3291" s="19" t="str">
        <f t="shared" si="266"/>
        <v>B-BCP - Soles</v>
      </c>
      <c r="C3291" s="3" t="s">
        <v>1352</v>
      </c>
      <c r="D3291" s="14">
        <v>45881</v>
      </c>
      <c r="E3291" s="5" t="s">
        <v>3190</v>
      </c>
      <c r="F3291" s="5"/>
      <c r="G3291" s="6" t="s">
        <v>117</v>
      </c>
      <c r="H3291" s="6" t="s">
        <v>68</v>
      </c>
      <c r="I3291" s="6" t="s">
        <v>1376</v>
      </c>
      <c r="J3291" s="6">
        <v>535</v>
      </c>
      <c r="K3291" s="7" t="s">
        <v>4181</v>
      </c>
      <c r="L3291" s="8">
        <v>1009540</v>
      </c>
      <c r="M3291" s="8" t="str">
        <f t="shared" si="267"/>
        <v>PEN</v>
      </c>
      <c r="N3291" s="13">
        <v>19</v>
      </c>
      <c r="O3291" s="13"/>
      <c r="P3291" s="3">
        <f t="shared" si="268"/>
        <v>0</v>
      </c>
      <c r="Q3291" s="3">
        <f t="shared" si="269"/>
        <v>0</v>
      </c>
      <c r="R3291" s="3">
        <f t="shared" si="265"/>
        <v>13331.079999999973</v>
      </c>
      <c r="S3291" s="24" t="s">
        <v>1334</v>
      </c>
      <c r="T3291" s="24" t="s">
        <v>1334</v>
      </c>
      <c r="U3291" s="55"/>
      <c r="V3291" s="25">
        <f>IFERROR(VLOOKUP(BCP_Soles[[#This Row],[destinatario]],CHOOSE({1,2},Clientes_Proveedores[Razon Social],Clientes_Proveedores[Ruc / Dni]),2,0),"")</f>
        <v>10295492908</v>
      </c>
      <c r="W3291" s="25"/>
      <c r="X3291" s="25"/>
      <c r="Y3291" s="25"/>
      <c r="Z3291" s="77" t="s">
        <v>3666</v>
      </c>
      <c r="AA3291" s="3" t="str">
        <f>IF(BCP_Soles[[#This Row],[fecha]]&gt;0,TEXT(BCP_Soles[[#This Row],[fecha]],"mmmm"),0)</f>
        <v>Agosto</v>
      </c>
    </row>
    <row r="3292" spans="1:27" ht="24" x14ac:dyDescent="0.3">
      <c r="A3292" s="2">
        <f>IF(BCP_Soles[[#This Row],[tipo_registro]]="R",COUNTIFS($C$1:$C3291,"R")+1,A3291)</f>
        <v>2193</v>
      </c>
      <c r="B3292" s="19" t="str">
        <f t="shared" si="266"/>
        <v>B-BCP - Soles</v>
      </c>
      <c r="C3292" s="3" t="s">
        <v>1352</v>
      </c>
      <c r="D3292" s="14">
        <v>45881</v>
      </c>
      <c r="E3292" s="5" t="s">
        <v>3190</v>
      </c>
      <c r="F3292" s="5"/>
      <c r="G3292" s="6" t="s">
        <v>271</v>
      </c>
      <c r="H3292" s="6" t="s">
        <v>68</v>
      </c>
      <c r="I3292" s="6" t="s">
        <v>1375</v>
      </c>
      <c r="J3292" s="6">
        <v>6959</v>
      </c>
      <c r="K3292" s="7" t="s">
        <v>4181</v>
      </c>
      <c r="L3292" s="8">
        <v>1009540</v>
      </c>
      <c r="M3292" s="8" t="str">
        <f t="shared" si="267"/>
        <v>PEN</v>
      </c>
      <c r="N3292" s="13">
        <v>118</v>
      </c>
      <c r="O3292" s="13"/>
      <c r="P3292" s="3">
        <f t="shared" si="268"/>
        <v>0</v>
      </c>
      <c r="Q3292" s="3">
        <f t="shared" si="269"/>
        <v>0</v>
      </c>
      <c r="R3292" s="3">
        <f t="shared" si="265"/>
        <v>13331.079999999973</v>
      </c>
      <c r="S3292" s="24" t="s">
        <v>1334</v>
      </c>
      <c r="T3292" s="24" t="s">
        <v>1334</v>
      </c>
      <c r="U3292" s="55"/>
      <c r="V3292" s="25">
        <f>IFERROR(VLOOKUP(BCP_Soles[[#This Row],[destinatario]],CHOOSE({1,2},Clientes_Proveedores[Razon Social],Clientes_Proveedores[Ruc / Dni]),2,0),"")</f>
        <v>20419158462</v>
      </c>
      <c r="W3292" s="25"/>
      <c r="X3292" s="25"/>
      <c r="Y3292" s="25"/>
      <c r="Z3292" s="77" t="s">
        <v>3666</v>
      </c>
      <c r="AA3292" s="3" t="str">
        <f>IF(BCP_Soles[[#This Row],[fecha]]&gt;0,TEXT(BCP_Soles[[#This Row],[fecha]],"mmmm"),0)</f>
        <v>Agosto</v>
      </c>
    </row>
    <row r="3293" spans="1:27" ht="24" x14ac:dyDescent="0.3">
      <c r="A3293" s="2">
        <f>IF(BCP_Soles[[#This Row],[tipo_registro]]="R",COUNTIFS($C$1:$C3292,"R")+1,A3292)</f>
        <v>2193</v>
      </c>
      <c r="B3293" s="19" t="str">
        <f t="shared" si="266"/>
        <v>B-BCP - Soles</v>
      </c>
      <c r="C3293" s="3" t="s">
        <v>1352</v>
      </c>
      <c r="D3293" s="14">
        <v>45881</v>
      </c>
      <c r="E3293" s="5" t="s">
        <v>3190</v>
      </c>
      <c r="F3293" s="5"/>
      <c r="G3293" s="6" t="s">
        <v>271</v>
      </c>
      <c r="H3293" s="6" t="s">
        <v>68</v>
      </c>
      <c r="I3293" s="6" t="s">
        <v>1375</v>
      </c>
      <c r="J3293" s="6">
        <v>6960</v>
      </c>
      <c r="K3293" s="7" t="s">
        <v>4181</v>
      </c>
      <c r="L3293" s="8">
        <v>1009540</v>
      </c>
      <c r="M3293" s="8" t="str">
        <f t="shared" si="267"/>
        <v>PEN</v>
      </c>
      <c r="N3293" s="13">
        <v>10</v>
      </c>
      <c r="O3293" s="13"/>
      <c r="P3293" s="3">
        <f t="shared" si="268"/>
        <v>0</v>
      </c>
      <c r="Q3293" s="3">
        <f t="shared" si="269"/>
        <v>0</v>
      </c>
      <c r="R3293" s="3">
        <f t="shared" si="265"/>
        <v>13331.079999999973</v>
      </c>
      <c r="S3293" s="24" t="s">
        <v>1334</v>
      </c>
      <c r="T3293" s="24" t="s">
        <v>1334</v>
      </c>
      <c r="U3293" s="55"/>
      <c r="V3293" s="25">
        <f>IFERROR(VLOOKUP(BCP_Soles[[#This Row],[destinatario]],CHOOSE({1,2},Clientes_Proveedores[Razon Social],Clientes_Proveedores[Ruc / Dni]),2,0),"")</f>
        <v>20419158462</v>
      </c>
      <c r="W3293" s="25"/>
      <c r="X3293" s="25"/>
      <c r="Y3293" s="25"/>
      <c r="Z3293" s="77" t="s">
        <v>3666</v>
      </c>
      <c r="AA3293" s="3" t="str">
        <f>IF(BCP_Soles[[#This Row],[fecha]]&gt;0,TEXT(BCP_Soles[[#This Row],[fecha]],"mmmm"),0)</f>
        <v>Agosto</v>
      </c>
    </row>
    <row r="3294" spans="1:27" ht="24" x14ac:dyDescent="0.3">
      <c r="A3294" s="2">
        <f>IF(BCP_Soles[[#This Row],[tipo_registro]]="R",COUNTIFS($C$1:$C3293,"R")+1,A3293)</f>
        <v>2193</v>
      </c>
      <c r="B3294" s="19" t="str">
        <f t="shared" si="266"/>
        <v>B-BCP - Soles</v>
      </c>
      <c r="C3294" s="3" t="s">
        <v>1352</v>
      </c>
      <c r="D3294" s="14">
        <v>45881</v>
      </c>
      <c r="E3294" s="5" t="s">
        <v>3190</v>
      </c>
      <c r="F3294" s="5"/>
      <c r="G3294" s="6" t="s">
        <v>271</v>
      </c>
      <c r="H3294" s="6" t="s">
        <v>68</v>
      </c>
      <c r="I3294" s="6" t="s">
        <v>1375</v>
      </c>
      <c r="J3294" s="6">
        <v>6958</v>
      </c>
      <c r="K3294" s="7" t="s">
        <v>4181</v>
      </c>
      <c r="L3294" s="8">
        <v>1009540</v>
      </c>
      <c r="M3294" s="8" t="str">
        <f t="shared" si="267"/>
        <v>PEN</v>
      </c>
      <c r="N3294" s="13">
        <v>14</v>
      </c>
      <c r="O3294" s="13"/>
      <c r="P3294" s="3">
        <f t="shared" si="268"/>
        <v>0</v>
      </c>
      <c r="Q3294" s="3">
        <f t="shared" si="269"/>
        <v>0</v>
      </c>
      <c r="R3294" s="3">
        <f t="shared" si="265"/>
        <v>13331.079999999973</v>
      </c>
      <c r="S3294" s="24" t="s">
        <v>1334</v>
      </c>
      <c r="T3294" s="24" t="s">
        <v>1334</v>
      </c>
      <c r="U3294" s="55"/>
      <c r="V3294" s="25">
        <f>IFERROR(VLOOKUP(BCP_Soles[[#This Row],[destinatario]],CHOOSE({1,2},Clientes_Proveedores[Razon Social],Clientes_Proveedores[Ruc / Dni]),2,0),"")</f>
        <v>20419158462</v>
      </c>
      <c r="W3294" s="25"/>
      <c r="X3294" s="25"/>
      <c r="Y3294" s="25"/>
      <c r="Z3294" s="77" t="s">
        <v>3666</v>
      </c>
      <c r="AA3294" s="3" t="str">
        <f>IF(BCP_Soles[[#This Row],[fecha]]&gt;0,TEXT(BCP_Soles[[#This Row],[fecha]],"mmmm"),0)</f>
        <v>Agosto</v>
      </c>
    </row>
    <row r="3295" spans="1:27" ht="24" x14ac:dyDescent="0.3">
      <c r="A3295" s="2">
        <f>IF(BCP_Soles[[#This Row],[tipo_registro]]="R",COUNTIFS($C$1:$C3294,"R")+1,A3294)</f>
        <v>2193</v>
      </c>
      <c r="B3295" s="19" t="str">
        <f t="shared" si="266"/>
        <v>B-BCP - Soles</v>
      </c>
      <c r="C3295" s="3" t="s">
        <v>1352</v>
      </c>
      <c r="D3295" s="14">
        <v>45881</v>
      </c>
      <c r="E3295" s="5" t="s">
        <v>3190</v>
      </c>
      <c r="F3295" s="5"/>
      <c r="G3295" s="6" t="s">
        <v>667</v>
      </c>
      <c r="H3295" s="6" t="s">
        <v>68</v>
      </c>
      <c r="I3295" s="6" t="s">
        <v>1376</v>
      </c>
      <c r="J3295" s="6">
        <v>55</v>
      </c>
      <c r="K3295" s="7" t="s">
        <v>4181</v>
      </c>
      <c r="L3295" s="8">
        <v>1009540</v>
      </c>
      <c r="M3295" s="8" t="str">
        <f t="shared" si="267"/>
        <v>PEN</v>
      </c>
      <c r="N3295" s="13">
        <v>21</v>
      </c>
      <c r="O3295" s="13"/>
      <c r="P3295" s="3">
        <f t="shared" si="268"/>
        <v>0</v>
      </c>
      <c r="Q3295" s="3">
        <f t="shared" si="269"/>
        <v>0</v>
      </c>
      <c r="R3295" s="3">
        <f t="shared" si="265"/>
        <v>13331.079999999973</v>
      </c>
      <c r="S3295" s="24" t="s">
        <v>1334</v>
      </c>
      <c r="T3295" s="24" t="s">
        <v>1334</v>
      </c>
      <c r="U3295" s="55"/>
      <c r="V3295" s="25">
        <f>IFERROR(VLOOKUP(BCP_Soles[[#This Row],[destinatario]],CHOOSE({1,2},Clientes_Proveedores[Razon Social],Clientes_Proveedores[Ruc / Dni]),2,0),"")</f>
        <v>10410687491</v>
      </c>
      <c r="W3295" s="25"/>
      <c r="X3295" s="25"/>
      <c r="Y3295" s="25"/>
      <c r="Z3295" s="77" t="s">
        <v>3666</v>
      </c>
      <c r="AA3295" s="3" t="str">
        <f>IF(BCP_Soles[[#This Row],[fecha]]&gt;0,TEXT(BCP_Soles[[#This Row],[fecha]],"mmmm"),0)</f>
        <v>Agosto</v>
      </c>
    </row>
    <row r="3296" spans="1:27" ht="36" x14ac:dyDescent="0.3">
      <c r="A3296" s="2">
        <f>IF(BCP_Soles[[#This Row],[tipo_registro]]="R",COUNTIFS($C$1:$C3295,"R")+1,A3295)</f>
        <v>2193</v>
      </c>
      <c r="B3296" s="19" t="str">
        <f t="shared" si="266"/>
        <v>B-BCP - Soles</v>
      </c>
      <c r="C3296" s="3" t="s">
        <v>1352</v>
      </c>
      <c r="D3296" s="14">
        <v>45881</v>
      </c>
      <c r="E3296" s="5" t="s">
        <v>3190</v>
      </c>
      <c r="F3296" s="5"/>
      <c r="G3296" s="6" t="s">
        <v>569</v>
      </c>
      <c r="H3296" s="6" t="s">
        <v>68</v>
      </c>
      <c r="I3296" s="6" t="s">
        <v>1376</v>
      </c>
      <c r="J3296" s="6">
        <v>684</v>
      </c>
      <c r="K3296" s="7" t="s">
        <v>4181</v>
      </c>
      <c r="L3296" s="8">
        <v>1009540</v>
      </c>
      <c r="M3296" s="8" t="str">
        <f t="shared" si="267"/>
        <v>PEN</v>
      </c>
      <c r="N3296" s="13">
        <v>33</v>
      </c>
      <c r="O3296" s="13"/>
      <c r="P3296" s="3">
        <f t="shared" si="268"/>
        <v>0</v>
      </c>
      <c r="Q3296" s="3">
        <f t="shared" si="269"/>
        <v>0</v>
      </c>
      <c r="R3296" s="3">
        <f t="shared" si="265"/>
        <v>13331.079999999973</v>
      </c>
      <c r="S3296" s="24" t="s">
        <v>1334</v>
      </c>
      <c r="T3296" s="24" t="s">
        <v>1334</v>
      </c>
      <c r="U3296" s="55"/>
      <c r="V3296" s="25">
        <f>IFERROR(VLOOKUP(BCP_Soles[[#This Row],[destinatario]],CHOOSE({1,2},Clientes_Proveedores[Razon Social],Clientes_Proveedores[Ruc / Dni]),2,0),"")</f>
        <v>20608686747</v>
      </c>
      <c r="W3296" s="25"/>
      <c r="X3296" s="25"/>
      <c r="Y3296" s="25"/>
      <c r="Z3296" s="77" t="s">
        <v>3666</v>
      </c>
      <c r="AA3296" s="3" t="str">
        <f>IF(BCP_Soles[[#This Row],[fecha]]&gt;0,TEXT(BCP_Soles[[#This Row],[fecha]],"mmmm"),0)</f>
        <v>Agosto</v>
      </c>
    </row>
    <row r="3297" spans="1:27" ht="36" x14ac:dyDescent="0.3">
      <c r="A3297" s="2">
        <f>IF(BCP_Soles[[#This Row],[tipo_registro]]="R",COUNTIFS($C$1:$C3296,"R")+1,A3296)</f>
        <v>2193</v>
      </c>
      <c r="B3297" s="19" t="str">
        <f t="shared" si="266"/>
        <v>B-BCP - Soles</v>
      </c>
      <c r="C3297" s="3" t="s">
        <v>1352</v>
      </c>
      <c r="D3297" s="14">
        <v>45881</v>
      </c>
      <c r="E3297" s="5" t="s">
        <v>3190</v>
      </c>
      <c r="F3297" s="5"/>
      <c r="G3297" s="6" t="s">
        <v>569</v>
      </c>
      <c r="H3297" s="6" t="s">
        <v>68</v>
      </c>
      <c r="I3297" s="6" t="s">
        <v>1376</v>
      </c>
      <c r="J3297" s="6">
        <v>682</v>
      </c>
      <c r="K3297" s="7" t="s">
        <v>4181</v>
      </c>
      <c r="L3297" s="8">
        <v>1009540</v>
      </c>
      <c r="M3297" s="8" t="str">
        <f t="shared" si="267"/>
        <v>PEN</v>
      </c>
      <c r="N3297" s="13">
        <v>32</v>
      </c>
      <c r="O3297" s="13"/>
      <c r="P3297" s="3">
        <f t="shared" si="268"/>
        <v>0</v>
      </c>
      <c r="Q3297" s="3">
        <f t="shared" si="269"/>
        <v>0</v>
      </c>
      <c r="R3297" s="3">
        <f t="shared" si="265"/>
        <v>13331.079999999973</v>
      </c>
      <c r="S3297" s="24" t="s">
        <v>1334</v>
      </c>
      <c r="T3297" s="24" t="s">
        <v>1334</v>
      </c>
      <c r="U3297" s="55"/>
      <c r="V3297" s="25">
        <f>IFERROR(VLOOKUP(BCP_Soles[[#This Row],[destinatario]],CHOOSE({1,2},Clientes_Proveedores[Razon Social],Clientes_Proveedores[Ruc / Dni]),2,0),"")</f>
        <v>20608686747</v>
      </c>
      <c r="W3297" s="25"/>
      <c r="X3297" s="25"/>
      <c r="Y3297" s="25"/>
      <c r="Z3297" s="77" t="s">
        <v>3666</v>
      </c>
      <c r="AA3297" s="3" t="str">
        <f>IF(BCP_Soles[[#This Row],[fecha]]&gt;0,TEXT(BCP_Soles[[#This Row],[fecha]],"mmmm"),0)</f>
        <v>Agosto</v>
      </c>
    </row>
    <row r="3298" spans="1:27" ht="24" x14ac:dyDescent="0.3">
      <c r="A3298" s="2">
        <f>IF(BCP_Soles[[#This Row],[tipo_registro]]="R",COUNTIFS($C$1:$C3297,"R")+1,A3297)</f>
        <v>2193</v>
      </c>
      <c r="B3298" s="19" t="str">
        <f t="shared" si="266"/>
        <v>B-BCP - Soles</v>
      </c>
      <c r="C3298" s="3" t="s">
        <v>1352</v>
      </c>
      <c r="D3298" s="14">
        <v>45881</v>
      </c>
      <c r="E3298" s="5" t="s">
        <v>3190</v>
      </c>
      <c r="F3298" s="5"/>
      <c r="G3298" s="6" t="s">
        <v>667</v>
      </c>
      <c r="H3298" s="6" t="s">
        <v>68</v>
      </c>
      <c r="I3298" s="6" t="s">
        <v>1376</v>
      </c>
      <c r="J3298" s="6">
        <v>53</v>
      </c>
      <c r="K3298" s="7" t="s">
        <v>4181</v>
      </c>
      <c r="L3298" s="8">
        <v>1009540</v>
      </c>
      <c r="M3298" s="8" t="str">
        <f t="shared" si="267"/>
        <v>PEN</v>
      </c>
      <c r="N3298" s="13">
        <v>21</v>
      </c>
      <c r="O3298" s="13"/>
      <c r="P3298" s="3">
        <f t="shared" si="268"/>
        <v>0</v>
      </c>
      <c r="Q3298" s="3">
        <f t="shared" si="269"/>
        <v>0</v>
      </c>
      <c r="R3298" s="3">
        <f t="shared" si="265"/>
        <v>13331.079999999973</v>
      </c>
      <c r="S3298" s="24" t="s">
        <v>1334</v>
      </c>
      <c r="T3298" s="24" t="s">
        <v>1334</v>
      </c>
      <c r="U3298" s="55"/>
      <c r="V3298" s="25">
        <f>IFERROR(VLOOKUP(BCP_Soles[[#This Row],[destinatario]],CHOOSE({1,2},Clientes_Proveedores[Razon Social],Clientes_Proveedores[Ruc / Dni]),2,0),"")</f>
        <v>10410687491</v>
      </c>
      <c r="W3298" s="25"/>
      <c r="X3298" s="25"/>
      <c r="Y3298" s="25"/>
      <c r="Z3298" s="77" t="s">
        <v>3666</v>
      </c>
      <c r="AA3298" s="3" t="str">
        <f>IF(BCP_Soles[[#This Row],[fecha]]&gt;0,TEXT(BCP_Soles[[#This Row],[fecha]],"mmmm"),0)</f>
        <v>Agosto</v>
      </c>
    </row>
    <row r="3299" spans="1:27" x14ac:dyDescent="0.3">
      <c r="A3299" s="2">
        <f>IF(BCP_Soles[[#This Row],[tipo_registro]]="R",COUNTIFS($C$1:$C3298,"R")+1,A3298)</f>
        <v>2194</v>
      </c>
      <c r="B3299" s="19" t="str">
        <f t="shared" si="266"/>
        <v>B-BCP - Soles</v>
      </c>
      <c r="C3299" s="3" t="s">
        <v>1330</v>
      </c>
      <c r="D3299" s="14">
        <v>45881</v>
      </c>
      <c r="E3299" s="5" t="s">
        <v>3190</v>
      </c>
      <c r="F3299" s="5" t="s">
        <v>1336</v>
      </c>
      <c r="G3299" s="6"/>
      <c r="H3299" s="6"/>
      <c r="I3299" s="6"/>
      <c r="J3299" s="6"/>
      <c r="K3299" s="7" t="s">
        <v>4182</v>
      </c>
      <c r="L3299" s="8">
        <v>1002407</v>
      </c>
      <c r="M3299" s="8" t="str">
        <f t="shared" si="267"/>
        <v>PEN</v>
      </c>
      <c r="N3299" s="13"/>
      <c r="O3299" s="13">
        <v>249</v>
      </c>
      <c r="P3299" s="3">
        <f t="shared" si="268"/>
        <v>0</v>
      </c>
      <c r="Q3299" s="3">
        <f t="shared" si="269"/>
        <v>249</v>
      </c>
      <c r="R3299" s="3">
        <f t="shared" si="265"/>
        <v>13082.079999999973</v>
      </c>
      <c r="S3299" s="24" t="s">
        <v>1334</v>
      </c>
      <c r="T3299" s="24" t="s">
        <v>1334</v>
      </c>
      <c r="U3299" s="55"/>
      <c r="V3299" s="25" t="str">
        <f>IFERROR(VLOOKUP(BCP_Soles[[#This Row],[destinatario]],CHOOSE({1,2},Clientes_Proveedores[Razon Social],Clientes_Proveedores[Ruc / Dni]),2,0),"")</f>
        <v/>
      </c>
      <c r="W3299" s="25"/>
      <c r="X3299" s="25"/>
      <c r="Y3299" s="25"/>
      <c r="Z3299" s="77"/>
      <c r="AA3299" s="3" t="str">
        <f>IF(BCP_Soles[[#This Row],[fecha]]&gt;0,TEXT(BCP_Soles[[#This Row],[fecha]],"mmmm"),0)</f>
        <v>Agosto</v>
      </c>
    </row>
    <row r="3300" spans="1:27" x14ac:dyDescent="0.3">
      <c r="A3300" s="2">
        <f>IF(BCP_Soles[[#This Row],[tipo_registro]]="R",COUNTIFS($C$1:$C3299,"R")+1,A3299)</f>
        <v>2194</v>
      </c>
      <c r="B3300" s="19" t="str">
        <f t="shared" si="266"/>
        <v>B-BCP - Soles</v>
      </c>
      <c r="C3300" s="3" t="s">
        <v>1352</v>
      </c>
      <c r="D3300" s="14">
        <v>45881</v>
      </c>
      <c r="E3300" s="5" t="s">
        <v>3190</v>
      </c>
      <c r="F3300" s="5"/>
      <c r="G3300" s="6" t="s">
        <v>196</v>
      </c>
      <c r="H3300" s="6" t="s">
        <v>68</v>
      </c>
      <c r="I3300" s="6" t="s">
        <v>2226</v>
      </c>
      <c r="J3300" s="6">
        <v>6664</v>
      </c>
      <c r="K3300" s="7" t="s">
        <v>4182</v>
      </c>
      <c r="L3300" s="8">
        <v>1002407</v>
      </c>
      <c r="M3300" s="8" t="str">
        <f t="shared" si="267"/>
        <v>PEN</v>
      </c>
      <c r="N3300" s="13">
        <v>1</v>
      </c>
      <c r="O3300" s="13"/>
      <c r="P3300" s="3">
        <f t="shared" si="268"/>
        <v>0</v>
      </c>
      <c r="Q3300" s="3">
        <f t="shared" si="269"/>
        <v>0</v>
      </c>
      <c r="R3300" s="3">
        <f t="shared" si="265"/>
        <v>13082.079999999973</v>
      </c>
      <c r="S3300" s="24" t="s">
        <v>1334</v>
      </c>
      <c r="T3300" s="24" t="s">
        <v>1334</v>
      </c>
      <c r="U3300" s="55"/>
      <c r="V3300" s="25">
        <f>IFERROR(VLOOKUP(BCP_Soles[[#This Row],[destinatario]],CHOOSE({1,2},Clientes_Proveedores[Razon Social],Clientes_Proveedores[Ruc / Dni]),2,0),"")</f>
        <v>20100055237</v>
      </c>
      <c r="W3300" s="25"/>
      <c r="X3300" s="25"/>
      <c r="Y3300" s="25"/>
      <c r="Z3300" s="77" t="s">
        <v>3666</v>
      </c>
      <c r="AA3300" s="3" t="str">
        <f>IF(BCP_Soles[[#This Row],[fecha]]&gt;0,TEXT(BCP_Soles[[#This Row],[fecha]],"mmmm"),0)</f>
        <v>Agosto</v>
      </c>
    </row>
    <row r="3301" spans="1:27" x14ac:dyDescent="0.3">
      <c r="A3301" s="2">
        <f>IF(BCP_Soles[[#This Row],[tipo_registro]]="R",COUNTIFS($C$1:$C3300,"R")+1,A3300)</f>
        <v>2194</v>
      </c>
      <c r="B3301" s="19" t="str">
        <f t="shared" si="266"/>
        <v>B-BCP - Soles</v>
      </c>
      <c r="C3301" s="3" t="s">
        <v>1352</v>
      </c>
      <c r="D3301" s="14">
        <v>45881</v>
      </c>
      <c r="E3301" s="5" t="s">
        <v>3190</v>
      </c>
      <c r="F3301" s="5"/>
      <c r="G3301" s="6" t="s">
        <v>196</v>
      </c>
      <c r="H3301" s="6" t="s">
        <v>68</v>
      </c>
      <c r="I3301" s="6" t="s">
        <v>2226</v>
      </c>
      <c r="J3301" s="6">
        <v>6705</v>
      </c>
      <c r="K3301" s="7" t="s">
        <v>4182</v>
      </c>
      <c r="L3301" s="8">
        <v>1002407</v>
      </c>
      <c r="M3301" s="8" t="str">
        <f t="shared" si="267"/>
        <v>PEN</v>
      </c>
      <c r="N3301" s="13">
        <v>26</v>
      </c>
      <c r="O3301" s="13"/>
      <c r="P3301" s="3">
        <f t="shared" si="268"/>
        <v>0</v>
      </c>
      <c r="Q3301" s="3">
        <f t="shared" si="269"/>
        <v>0</v>
      </c>
      <c r="R3301" s="3">
        <f t="shared" si="265"/>
        <v>13082.079999999973</v>
      </c>
      <c r="S3301" s="24" t="s">
        <v>1334</v>
      </c>
      <c r="T3301" s="24" t="s">
        <v>1334</v>
      </c>
      <c r="U3301" s="55"/>
      <c r="V3301" s="25">
        <f>IFERROR(VLOOKUP(BCP_Soles[[#This Row],[destinatario]],CHOOSE({1,2},Clientes_Proveedores[Razon Social],Clientes_Proveedores[Ruc / Dni]),2,0),"")</f>
        <v>20100055237</v>
      </c>
      <c r="W3301" s="25"/>
      <c r="X3301" s="25"/>
      <c r="Y3301" s="25"/>
      <c r="Z3301" s="77" t="s">
        <v>3666</v>
      </c>
      <c r="AA3301" s="3" t="str">
        <f>IF(BCP_Soles[[#This Row],[fecha]]&gt;0,TEXT(BCP_Soles[[#This Row],[fecha]],"mmmm"),0)</f>
        <v>Agosto</v>
      </c>
    </row>
    <row r="3302" spans="1:27" x14ac:dyDescent="0.3">
      <c r="A3302" s="2">
        <f>IF(BCP_Soles[[#This Row],[tipo_registro]]="R",COUNTIFS($C$1:$C3301,"R")+1,A3301)</f>
        <v>2194</v>
      </c>
      <c r="B3302" s="19" t="str">
        <f t="shared" si="266"/>
        <v>B-BCP - Soles</v>
      </c>
      <c r="C3302" s="3" t="s">
        <v>1352</v>
      </c>
      <c r="D3302" s="14">
        <v>45881</v>
      </c>
      <c r="E3302" s="5" t="s">
        <v>3190</v>
      </c>
      <c r="F3302" s="5"/>
      <c r="G3302" s="6" t="s">
        <v>196</v>
      </c>
      <c r="H3302" s="6" t="s">
        <v>68</v>
      </c>
      <c r="I3302" s="6" t="s">
        <v>2226</v>
      </c>
      <c r="J3302" s="6">
        <v>6707</v>
      </c>
      <c r="K3302" s="7" t="s">
        <v>4182</v>
      </c>
      <c r="L3302" s="8">
        <v>1002407</v>
      </c>
      <c r="M3302" s="8" t="str">
        <f t="shared" si="267"/>
        <v>PEN</v>
      </c>
      <c r="N3302" s="13">
        <v>1</v>
      </c>
      <c r="O3302" s="13"/>
      <c r="P3302" s="3">
        <f t="shared" si="268"/>
        <v>0</v>
      </c>
      <c r="Q3302" s="3">
        <f t="shared" si="269"/>
        <v>0</v>
      </c>
      <c r="R3302" s="3">
        <f t="shared" si="265"/>
        <v>13082.079999999973</v>
      </c>
      <c r="S3302" s="24" t="s">
        <v>1334</v>
      </c>
      <c r="T3302" s="24" t="s">
        <v>1334</v>
      </c>
      <c r="U3302" s="55"/>
      <c r="V3302" s="25">
        <f>IFERROR(VLOOKUP(BCP_Soles[[#This Row],[destinatario]],CHOOSE({1,2},Clientes_Proveedores[Razon Social],Clientes_Proveedores[Ruc / Dni]),2,0),"")</f>
        <v>20100055237</v>
      </c>
      <c r="W3302" s="25"/>
      <c r="X3302" s="25"/>
      <c r="Y3302" s="25"/>
      <c r="Z3302" s="77" t="s">
        <v>3666</v>
      </c>
      <c r="AA3302" s="3" t="str">
        <f>IF(BCP_Soles[[#This Row],[fecha]]&gt;0,TEXT(BCP_Soles[[#This Row],[fecha]],"mmmm"),0)</f>
        <v>Agosto</v>
      </c>
    </row>
    <row r="3303" spans="1:27" x14ac:dyDescent="0.3">
      <c r="A3303" s="2">
        <f>IF(BCP_Soles[[#This Row],[tipo_registro]]="R",COUNTIFS($C$1:$C3302,"R")+1,A3302)</f>
        <v>2194</v>
      </c>
      <c r="B3303" s="19" t="str">
        <f t="shared" si="266"/>
        <v>B-BCP - Soles</v>
      </c>
      <c r="C3303" s="3" t="s">
        <v>1352</v>
      </c>
      <c r="D3303" s="14">
        <v>45881</v>
      </c>
      <c r="E3303" s="5" t="s">
        <v>3190</v>
      </c>
      <c r="F3303" s="5"/>
      <c r="G3303" s="6" t="s">
        <v>196</v>
      </c>
      <c r="H3303" s="6" t="s">
        <v>68</v>
      </c>
      <c r="I3303" s="6" t="s">
        <v>2226</v>
      </c>
      <c r="J3303" s="6">
        <v>6706</v>
      </c>
      <c r="K3303" s="7" t="s">
        <v>4182</v>
      </c>
      <c r="L3303" s="8">
        <v>1002407</v>
      </c>
      <c r="M3303" s="8" t="str">
        <f t="shared" si="267"/>
        <v>PEN</v>
      </c>
      <c r="N3303" s="13">
        <v>51</v>
      </c>
      <c r="O3303" s="13"/>
      <c r="P3303" s="3">
        <f t="shared" si="268"/>
        <v>0</v>
      </c>
      <c r="Q3303" s="3">
        <f t="shared" si="269"/>
        <v>0</v>
      </c>
      <c r="R3303" s="3">
        <f t="shared" si="265"/>
        <v>13082.079999999973</v>
      </c>
      <c r="S3303" s="24" t="s">
        <v>1334</v>
      </c>
      <c r="T3303" s="24" t="s">
        <v>1334</v>
      </c>
      <c r="U3303" s="55"/>
      <c r="V3303" s="25">
        <f>IFERROR(VLOOKUP(BCP_Soles[[#This Row],[destinatario]],CHOOSE({1,2},Clientes_Proveedores[Razon Social],Clientes_Proveedores[Ruc / Dni]),2,0),"")</f>
        <v>20100055237</v>
      </c>
      <c r="W3303" s="25"/>
      <c r="X3303" s="25"/>
      <c r="Y3303" s="25"/>
      <c r="Z3303" s="77" t="s">
        <v>3666</v>
      </c>
      <c r="AA3303" s="3" t="str">
        <f>IF(BCP_Soles[[#This Row],[fecha]]&gt;0,TEXT(BCP_Soles[[#This Row],[fecha]],"mmmm"),0)</f>
        <v>Agosto</v>
      </c>
    </row>
    <row r="3304" spans="1:27" x14ac:dyDescent="0.3">
      <c r="A3304" s="2">
        <f>IF(BCP_Soles[[#This Row],[tipo_registro]]="R",COUNTIFS($C$1:$C3303,"R")+1,A3303)</f>
        <v>2194</v>
      </c>
      <c r="B3304" s="19" t="str">
        <f t="shared" si="266"/>
        <v>B-BCP - Soles</v>
      </c>
      <c r="C3304" s="3" t="s">
        <v>1352</v>
      </c>
      <c r="D3304" s="14">
        <v>45881</v>
      </c>
      <c r="E3304" s="5" t="s">
        <v>3190</v>
      </c>
      <c r="F3304" s="5"/>
      <c r="G3304" s="6" t="s">
        <v>196</v>
      </c>
      <c r="H3304" s="6" t="s">
        <v>68</v>
      </c>
      <c r="I3304" s="6" t="s">
        <v>2226</v>
      </c>
      <c r="J3304" s="6">
        <v>6709</v>
      </c>
      <c r="K3304" s="7" t="s">
        <v>4182</v>
      </c>
      <c r="L3304" s="8">
        <v>1002407</v>
      </c>
      <c r="M3304" s="8" t="str">
        <f t="shared" si="267"/>
        <v>PEN</v>
      </c>
      <c r="N3304" s="13">
        <v>9</v>
      </c>
      <c r="O3304" s="13"/>
      <c r="P3304" s="3">
        <f t="shared" si="268"/>
        <v>0</v>
      </c>
      <c r="Q3304" s="3">
        <f t="shared" si="269"/>
        <v>0</v>
      </c>
      <c r="R3304" s="3">
        <f t="shared" si="265"/>
        <v>13082.079999999973</v>
      </c>
      <c r="S3304" s="24" t="s">
        <v>1334</v>
      </c>
      <c r="T3304" s="24" t="s">
        <v>1334</v>
      </c>
      <c r="U3304" s="55"/>
      <c r="V3304" s="25">
        <f>IFERROR(VLOOKUP(BCP_Soles[[#This Row],[destinatario]],CHOOSE({1,2},Clientes_Proveedores[Razon Social],Clientes_Proveedores[Ruc / Dni]),2,0),"")</f>
        <v>20100055237</v>
      </c>
      <c r="W3304" s="25"/>
      <c r="X3304" s="25"/>
      <c r="Y3304" s="25"/>
      <c r="Z3304" s="77" t="s">
        <v>3666</v>
      </c>
      <c r="AA3304" s="3" t="str">
        <f>IF(BCP_Soles[[#This Row],[fecha]]&gt;0,TEXT(BCP_Soles[[#This Row],[fecha]],"mmmm"),0)</f>
        <v>Agosto</v>
      </c>
    </row>
    <row r="3305" spans="1:27" x14ac:dyDescent="0.3">
      <c r="A3305" s="2">
        <f>IF(BCP_Soles[[#This Row],[tipo_registro]]="R",COUNTIFS($C$1:$C3304,"R")+1,A3304)</f>
        <v>2194</v>
      </c>
      <c r="B3305" s="19" t="str">
        <f t="shared" si="266"/>
        <v>B-BCP - Soles</v>
      </c>
      <c r="C3305" s="3" t="s">
        <v>1352</v>
      </c>
      <c r="D3305" s="14">
        <v>45881</v>
      </c>
      <c r="E3305" s="5" t="s">
        <v>3190</v>
      </c>
      <c r="F3305" s="5"/>
      <c r="G3305" s="6" t="s">
        <v>196</v>
      </c>
      <c r="H3305" s="6" t="s">
        <v>68</v>
      </c>
      <c r="I3305" s="6" t="s">
        <v>2226</v>
      </c>
      <c r="J3305" s="6">
        <v>6708</v>
      </c>
      <c r="K3305" s="7" t="s">
        <v>4182</v>
      </c>
      <c r="L3305" s="8">
        <v>1002407</v>
      </c>
      <c r="M3305" s="8" t="str">
        <f t="shared" si="267"/>
        <v>PEN</v>
      </c>
      <c r="N3305" s="13">
        <v>53</v>
      </c>
      <c r="O3305" s="13"/>
      <c r="P3305" s="3">
        <f t="shared" si="268"/>
        <v>0</v>
      </c>
      <c r="Q3305" s="3">
        <f t="shared" si="269"/>
        <v>0</v>
      </c>
      <c r="R3305" s="3">
        <f t="shared" si="265"/>
        <v>13082.079999999973</v>
      </c>
      <c r="S3305" s="24" t="s">
        <v>1334</v>
      </c>
      <c r="T3305" s="24" t="s">
        <v>1334</v>
      </c>
      <c r="U3305" s="55"/>
      <c r="V3305" s="25">
        <f>IFERROR(VLOOKUP(BCP_Soles[[#This Row],[destinatario]],CHOOSE({1,2},Clientes_Proveedores[Razon Social],Clientes_Proveedores[Ruc / Dni]),2,0),"")</f>
        <v>20100055237</v>
      </c>
      <c r="W3305" s="25"/>
      <c r="X3305" s="25"/>
      <c r="Y3305" s="25"/>
      <c r="Z3305" s="77" t="s">
        <v>3666</v>
      </c>
      <c r="AA3305" s="3" t="str">
        <f>IF(BCP_Soles[[#This Row],[fecha]]&gt;0,TEXT(BCP_Soles[[#This Row],[fecha]],"mmmm"),0)</f>
        <v>Agosto</v>
      </c>
    </row>
    <row r="3306" spans="1:27" x14ac:dyDescent="0.3">
      <c r="A3306" s="2">
        <f>IF(BCP_Soles[[#This Row],[tipo_registro]]="R",COUNTIFS($C$1:$C3305,"R")+1,A3305)</f>
        <v>2194</v>
      </c>
      <c r="B3306" s="19" t="str">
        <f t="shared" si="266"/>
        <v>B-BCP - Soles</v>
      </c>
      <c r="C3306" s="3" t="s">
        <v>1352</v>
      </c>
      <c r="D3306" s="14">
        <v>45881</v>
      </c>
      <c r="E3306" s="5" t="s">
        <v>3190</v>
      </c>
      <c r="F3306" s="5"/>
      <c r="G3306" s="6" t="s">
        <v>196</v>
      </c>
      <c r="H3306" s="6" t="s">
        <v>68</v>
      </c>
      <c r="I3306" s="6" t="s">
        <v>2226</v>
      </c>
      <c r="J3306" s="6">
        <v>6710</v>
      </c>
      <c r="K3306" s="7" t="s">
        <v>4182</v>
      </c>
      <c r="L3306" s="8">
        <v>1002407</v>
      </c>
      <c r="M3306" s="8" t="str">
        <f t="shared" si="267"/>
        <v>PEN</v>
      </c>
      <c r="N3306" s="13">
        <v>108</v>
      </c>
      <c r="O3306" s="13"/>
      <c r="P3306" s="3">
        <f t="shared" si="268"/>
        <v>0</v>
      </c>
      <c r="Q3306" s="3">
        <f t="shared" si="269"/>
        <v>0</v>
      </c>
      <c r="R3306" s="3">
        <f t="shared" si="265"/>
        <v>13082.079999999973</v>
      </c>
      <c r="S3306" s="24" t="s">
        <v>1334</v>
      </c>
      <c r="T3306" s="24" t="s">
        <v>1334</v>
      </c>
      <c r="U3306" s="55"/>
      <c r="V3306" s="25">
        <f>IFERROR(VLOOKUP(BCP_Soles[[#This Row],[destinatario]],CHOOSE({1,2},Clientes_Proveedores[Razon Social],Clientes_Proveedores[Ruc / Dni]),2,0),"")</f>
        <v>20100055237</v>
      </c>
      <c r="W3306" s="25"/>
      <c r="X3306" s="25"/>
      <c r="Y3306" s="25"/>
      <c r="Z3306" s="77" t="s">
        <v>3666</v>
      </c>
      <c r="AA3306" s="3" t="str">
        <f>IF(BCP_Soles[[#This Row],[fecha]]&gt;0,TEXT(BCP_Soles[[#This Row],[fecha]],"mmmm"),0)</f>
        <v>Agosto</v>
      </c>
    </row>
    <row r="3307" spans="1:27" ht="24" x14ac:dyDescent="0.3">
      <c r="A3307" s="2">
        <f>IF(BCP_Soles[[#This Row],[tipo_registro]]="R",COUNTIFS($C$1:$C3306,"R")+1,A3306)</f>
        <v>2195</v>
      </c>
      <c r="B3307" s="19" t="str">
        <f t="shared" si="266"/>
        <v>B-BCP - Soles</v>
      </c>
      <c r="C3307" s="3" t="s">
        <v>1330</v>
      </c>
      <c r="D3307" s="14">
        <v>45881</v>
      </c>
      <c r="E3307" s="5" t="s">
        <v>1335</v>
      </c>
      <c r="F3307" s="5" t="s">
        <v>1336</v>
      </c>
      <c r="G3307" s="6" t="s">
        <v>1060</v>
      </c>
      <c r="H3307" s="6" t="s">
        <v>68</v>
      </c>
      <c r="I3307" s="6" t="s">
        <v>1397</v>
      </c>
      <c r="J3307" s="6">
        <v>35625336</v>
      </c>
      <c r="K3307" s="7" t="s">
        <v>1400</v>
      </c>
      <c r="L3307" s="8">
        <v>433</v>
      </c>
      <c r="M3307" s="8" t="str">
        <f t="shared" si="267"/>
        <v>PEN</v>
      </c>
      <c r="N3307" s="13"/>
      <c r="O3307" s="13">
        <v>10</v>
      </c>
      <c r="P3307" s="3">
        <f t="shared" si="268"/>
        <v>0</v>
      </c>
      <c r="Q3307" s="3">
        <f t="shared" si="269"/>
        <v>10</v>
      </c>
      <c r="R3307" s="3">
        <f t="shared" si="265"/>
        <v>13072.079999999973</v>
      </c>
      <c r="S3307" s="24" t="s">
        <v>1334</v>
      </c>
      <c r="T3307" s="24" t="s">
        <v>1334</v>
      </c>
      <c r="U3307" s="55"/>
      <c r="V3307" s="25">
        <f>IFERROR(VLOOKUP(BCP_Soles[[#This Row],[destinatario]],CHOOSE({1,2},Clientes_Proveedores[Razon Social],Clientes_Proveedores[Ruc / Dni]),2,0),"")</f>
        <v>20100047218</v>
      </c>
      <c r="W3307" s="25"/>
      <c r="X3307" s="25"/>
      <c r="Y3307" s="25"/>
      <c r="Z3307" s="77"/>
      <c r="AA3307" s="3" t="str">
        <f>IF(BCP_Soles[[#This Row],[fecha]]&gt;0,TEXT(BCP_Soles[[#This Row],[fecha]],"mmmm"),0)</f>
        <v>Agosto</v>
      </c>
    </row>
    <row r="3308" spans="1:27" ht="24" x14ac:dyDescent="0.3">
      <c r="A3308" s="2">
        <f>IF(BCP_Soles[[#This Row],[tipo_registro]]="R",COUNTIFS($C$1:$C3307,"R")+1,A3307)</f>
        <v>2196</v>
      </c>
      <c r="B3308" s="19" t="str">
        <f t="shared" si="266"/>
        <v>B-BCP - Soles</v>
      </c>
      <c r="C3308" s="3" t="s">
        <v>1330</v>
      </c>
      <c r="D3308" s="14">
        <v>45881</v>
      </c>
      <c r="E3308" s="5" t="s">
        <v>1335</v>
      </c>
      <c r="F3308" s="5" t="s">
        <v>1336</v>
      </c>
      <c r="G3308" s="6" t="s">
        <v>1060</v>
      </c>
      <c r="H3308" s="6" t="s">
        <v>68</v>
      </c>
      <c r="I3308" s="6" t="s">
        <v>1397</v>
      </c>
      <c r="J3308" s="6">
        <v>35625336</v>
      </c>
      <c r="K3308" s="7" t="s">
        <v>1400</v>
      </c>
      <c r="L3308" s="8">
        <v>433</v>
      </c>
      <c r="M3308" s="8" t="str">
        <f t="shared" si="267"/>
        <v>PEN</v>
      </c>
      <c r="N3308" s="13"/>
      <c r="O3308" s="13">
        <v>10</v>
      </c>
      <c r="P3308" s="3">
        <f t="shared" si="268"/>
        <v>0</v>
      </c>
      <c r="Q3308" s="3">
        <f t="shared" si="269"/>
        <v>10</v>
      </c>
      <c r="R3308" s="3">
        <f t="shared" si="265"/>
        <v>13062.079999999973</v>
      </c>
      <c r="S3308" s="24" t="s">
        <v>1334</v>
      </c>
      <c r="T3308" s="24" t="s">
        <v>1334</v>
      </c>
      <c r="U3308" s="55"/>
      <c r="V3308" s="25">
        <f>IFERROR(VLOOKUP(BCP_Soles[[#This Row],[destinatario]],CHOOSE({1,2},Clientes_Proveedores[Razon Social],Clientes_Proveedores[Ruc / Dni]),2,0),"")</f>
        <v>20100047218</v>
      </c>
      <c r="W3308" s="25"/>
      <c r="X3308" s="25"/>
      <c r="Y3308" s="25"/>
      <c r="Z3308" s="77"/>
      <c r="AA3308" s="3" t="str">
        <f>IF(BCP_Soles[[#This Row],[fecha]]&gt;0,TEXT(BCP_Soles[[#This Row],[fecha]],"mmmm"),0)</f>
        <v>Agosto</v>
      </c>
    </row>
    <row r="3309" spans="1:27" ht="24" x14ac:dyDescent="0.3">
      <c r="A3309" s="2">
        <f>IF(BCP_Soles[[#This Row],[tipo_registro]]="R",COUNTIFS($C$1:$C3308,"R")+1,A3308)</f>
        <v>2197</v>
      </c>
      <c r="B3309" s="19" t="str">
        <f t="shared" si="266"/>
        <v>B-BCP - Soles</v>
      </c>
      <c r="C3309" s="3" t="s">
        <v>1330</v>
      </c>
      <c r="D3309" s="14">
        <v>45881</v>
      </c>
      <c r="E3309" s="5" t="s">
        <v>1335</v>
      </c>
      <c r="F3309" s="5" t="s">
        <v>1336</v>
      </c>
      <c r="G3309" s="6" t="s">
        <v>1060</v>
      </c>
      <c r="H3309" s="6" t="s">
        <v>68</v>
      </c>
      <c r="I3309" s="6" t="s">
        <v>1397</v>
      </c>
      <c r="J3309" s="6">
        <v>35625336</v>
      </c>
      <c r="K3309" s="7" t="s">
        <v>1400</v>
      </c>
      <c r="L3309" s="8">
        <v>433</v>
      </c>
      <c r="M3309" s="8" t="str">
        <f t="shared" si="267"/>
        <v>PEN</v>
      </c>
      <c r="N3309" s="13"/>
      <c r="O3309" s="13">
        <v>3.5</v>
      </c>
      <c r="P3309" s="3">
        <f t="shared" si="268"/>
        <v>0</v>
      </c>
      <c r="Q3309" s="3">
        <f t="shared" si="269"/>
        <v>3.5</v>
      </c>
      <c r="R3309" s="3">
        <f t="shared" si="265"/>
        <v>13058.579999999973</v>
      </c>
      <c r="S3309" s="24" t="s">
        <v>1334</v>
      </c>
      <c r="T3309" s="24" t="s">
        <v>1334</v>
      </c>
      <c r="U3309" s="55"/>
      <c r="V3309" s="25">
        <f>IFERROR(VLOOKUP(BCP_Soles[[#This Row],[destinatario]],CHOOSE({1,2},Clientes_Proveedores[Razon Social],Clientes_Proveedores[Ruc / Dni]),2,0),"")</f>
        <v>20100047218</v>
      </c>
      <c r="W3309" s="25"/>
      <c r="X3309" s="25"/>
      <c r="Y3309" s="25"/>
      <c r="Z3309" s="77"/>
      <c r="AA3309" s="3" t="str">
        <f>IF(BCP_Soles[[#This Row],[fecha]]&gt;0,TEXT(BCP_Soles[[#This Row],[fecha]],"mmmm"),0)</f>
        <v>Agosto</v>
      </c>
    </row>
    <row r="3310" spans="1:27" x14ac:dyDescent="0.3">
      <c r="A3310" s="2">
        <f>IF(BCP_Soles[[#This Row],[tipo_registro]]="R",COUNTIFS($C$1:$C3309,"R")+1,A3309)</f>
        <v>2198</v>
      </c>
      <c r="B3310" s="19" t="str">
        <f t="shared" si="266"/>
        <v>B-BCP - Soles</v>
      </c>
      <c r="C3310" s="3" t="s">
        <v>1330</v>
      </c>
      <c r="D3310" s="14">
        <v>45881</v>
      </c>
      <c r="E3310" s="5" t="s">
        <v>1335</v>
      </c>
      <c r="F3310" s="5" t="s">
        <v>1336</v>
      </c>
      <c r="G3310" s="6" t="s">
        <v>1009</v>
      </c>
      <c r="H3310" s="6" t="s">
        <v>64</v>
      </c>
      <c r="I3310" s="6" t="s">
        <v>3673</v>
      </c>
      <c r="J3310" s="6">
        <v>2200</v>
      </c>
      <c r="K3310" s="7" t="s">
        <v>3160</v>
      </c>
      <c r="L3310" s="8"/>
      <c r="M3310" s="8" t="str">
        <f t="shared" si="267"/>
        <v>PEN</v>
      </c>
      <c r="N3310" s="13"/>
      <c r="O3310" s="13">
        <v>0.9</v>
      </c>
      <c r="P3310" s="3">
        <f t="shared" si="268"/>
        <v>0</v>
      </c>
      <c r="Q3310" s="3">
        <f t="shared" si="269"/>
        <v>0.9</v>
      </c>
      <c r="R3310" s="3">
        <f t="shared" si="265"/>
        <v>13057.679999999973</v>
      </c>
      <c r="S3310" s="24" t="s">
        <v>1334</v>
      </c>
      <c r="T3310" s="24" t="s">
        <v>1334</v>
      </c>
      <c r="U3310" s="55"/>
      <c r="V3310" s="25">
        <f>IFERROR(VLOOKUP(BCP_Soles[[#This Row],[destinatario]],CHOOSE({1,2},Clientes_Proveedores[Razon Social],Clientes_Proveedores[Ruc / Dni]),2,0),"")</f>
        <v>11111111</v>
      </c>
      <c r="W3310" s="25"/>
      <c r="X3310" s="25"/>
      <c r="Y3310" s="25"/>
      <c r="Z3310" s="77"/>
      <c r="AA3310" s="3" t="str">
        <f>IF(BCP_Soles[[#This Row],[fecha]]&gt;0,TEXT(BCP_Soles[[#This Row],[fecha]],"mmmm"),0)</f>
        <v>Agosto</v>
      </c>
    </row>
    <row r="3311" spans="1:27" x14ac:dyDescent="0.3">
      <c r="A3311" s="2">
        <f>IF(BCP_Soles[[#This Row],[tipo_registro]]="R",COUNTIFS($C$1:$C3310,"R")+1,A3310)</f>
        <v>2199</v>
      </c>
      <c r="B3311" s="19" t="str">
        <f t="shared" si="266"/>
        <v>B-BCP - Soles</v>
      </c>
      <c r="C3311" s="3" t="s">
        <v>1330</v>
      </c>
      <c r="D3311" s="14">
        <v>45882</v>
      </c>
      <c r="E3311" s="5" t="s">
        <v>1498</v>
      </c>
      <c r="F3311" s="5" t="s">
        <v>1303</v>
      </c>
      <c r="G3311" s="6" t="s">
        <v>425</v>
      </c>
      <c r="H3311" s="6" t="s">
        <v>119</v>
      </c>
      <c r="I3311" s="6">
        <v>1</v>
      </c>
      <c r="J3311" s="6">
        <v>4668</v>
      </c>
      <c r="K3311" s="7" t="s">
        <v>1356</v>
      </c>
      <c r="L3311" s="8">
        <v>3013554</v>
      </c>
      <c r="M3311" s="8" t="str">
        <f t="shared" si="267"/>
        <v>PEN</v>
      </c>
      <c r="N3311" s="13"/>
      <c r="O3311" s="13">
        <v>175</v>
      </c>
      <c r="P3311" s="3">
        <f t="shared" si="268"/>
        <v>175</v>
      </c>
      <c r="Q3311" s="3">
        <f t="shared" si="269"/>
        <v>0</v>
      </c>
      <c r="R3311" s="3">
        <f t="shared" si="265"/>
        <v>13232.679999999973</v>
      </c>
      <c r="S3311" s="24" t="s">
        <v>1334</v>
      </c>
      <c r="T3311" s="24" t="s">
        <v>1334</v>
      </c>
      <c r="U3311" s="55"/>
      <c r="V3311" s="25">
        <f>IFERROR(VLOOKUP(BCP_Soles[[#This Row],[destinatario]],CHOOSE({1,2},Clientes_Proveedores[Razon Social],Clientes_Proveedores[Ruc / Dni]),2,0),"")</f>
        <v>20558226979</v>
      </c>
      <c r="W3311" s="25"/>
      <c r="X3311" s="25"/>
      <c r="Y3311" s="25"/>
      <c r="Z3311" s="77"/>
      <c r="AA3311" s="3" t="str">
        <f>IF(BCP_Soles[[#This Row],[fecha]]&gt;0,TEXT(BCP_Soles[[#This Row],[fecha]],"mmmm"),0)</f>
        <v>Agosto</v>
      </c>
    </row>
    <row r="3312" spans="1:27" ht="24" x14ac:dyDescent="0.3">
      <c r="A3312" s="2">
        <f>IF(BCP_Soles[[#This Row],[tipo_registro]]="R",COUNTIFS($C$1:$C3311,"R")+1,A3311)</f>
        <v>2200</v>
      </c>
      <c r="B3312" s="19" t="str">
        <f t="shared" si="266"/>
        <v>B-BCP - Soles</v>
      </c>
      <c r="C3312" s="3" t="s">
        <v>1330</v>
      </c>
      <c r="D3312" s="14">
        <v>45882</v>
      </c>
      <c r="E3312" s="5" t="s">
        <v>1617</v>
      </c>
      <c r="F3312" s="5" t="s">
        <v>1303</v>
      </c>
      <c r="G3312" s="6" t="s">
        <v>425</v>
      </c>
      <c r="H3312" s="6" t="s">
        <v>119</v>
      </c>
      <c r="I3312" s="6">
        <v>1</v>
      </c>
      <c r="J3312" s="6">
        <v>4639</v>
      </c>
      <c r="K3312" s="7" t="s">
        <v>1356</v>
      </c>
      <c r="L3312" s="8">
        <v>2849830</v>
      </c>
      <c r="M3312" s="8" t="str">
        <f t="shared" si="267"/>
        <v>PEN</v>
      </c>
      <c r="N3312" s="13"/>
      <c r="O3312" s="13">
        <v>1000</v>
      </c>
      <c r="P3312" s="3">
        <f t="shared" si="268"/>
        <v>1000</v>
      </c>
      <c r="Q3312" s="3">
        <f t="shared" si="269"/>
        <v>0</v>
      </c>
      <c r="R3312" s="3">
        <f t="shared" si="265"/>
        <v>14232.679999999973</v>
      </c>
      <c r="S3312" s="24" t="s">
        <v>1334</v>
      </c>
      <c r="T3312" s="24" t="s">
        <v>1334</v>
      </c>
      <c r="U3312" s="55"/>
      <c r="V3312" s="25">
        <f>IFERROR(VLOOKUP(BCP_Soles[[#This Row],[destinatario]],CHOOSE({1,2},Clientes_Proveedores[Razon Social],Clientes_Proveedores[Ruc / Dni]),2,0),"")</f>
        <v>20558226979</v>
      </c>
      <c r="W3312" s="25"/>
      <c r="X3312" s="25"/>
      <c r="Y3312" s="25"/>
      <c r="Z3312" s="77"/>
      <c r="AA3312" s="3" t="str">
        <f>IF(BCP_Soles[[#This Row],[fecha]]&gt;0,TEXT(BCP_Soles[[#This Row],[fecha]],"mmmm"),0)</f>
        <v>Agosto</v>
      </c>
    </row>
    <row r="3313" spans="1:27" ht="36" x14ac:dyDescent="0.3">
      <c r="A3313" s="2">
        <f>IF(BCP_Soles[[#This Row],[tipo_registro]]="R",COUNTIFS($C$1:$C3312,"R")+1,A3312)</f>
        <v>2201</v>
      </c>
      <c r="B3313" s="19" t="str">
        <f t="shared" si="266"/>
        <v>B-BCP - Soles</v>
      </c>
      <c r="C3313" s="3" t="s">
        <v>1330</v>
      </c>
      <c r="D3313" s="14">
        <v>45882</v>
      </c>
      <c r="E3313" s="5" t="s">
        <v>1338</v>
      </c>
      <c r="F3313" s="5" t="s">
        <v>1336</v>
      </c>
      <c r="G3313" s="6" t="s">
        <v>714</v>
      </c>
      <c r="H3313" s="6" t="s">
        <v>68</v>
      </c>
      <c r="I3313" s="6" t="s">
        <v>1374</v>
      </c>
      <c r="J3313" s="6">
        <v>43786</v>
      </c>
      <c r="K3313" s="7" t="s">
        <v>4183</v>
      </c>
      <c r="L3313" s="8">
        <v>1108216</v>
      </c>
      <c r="M3313" s="8" t="str">
        <f t="shared" si="267"/>
        <v>PEN</v>
      </c>
      <c r="N3313" s="13"/>
      <c r="O3313" s="13">
        <v>105</v>
      </c>
      <c r="P3313" s="3">
        <f t="shared" si="268"/>
        <v>0</v>
      </c>
      <c r="Q3313" s="3">
        <f t="shared" si="269"/>
        <v>105</v>
      </c>
      <c r="R3313" s="3">
        <f t="shared" si="265"/>
        <v>14127.679999999973</v>
      </c>
      <c r="S3313" s="24" t="s">
        <v>1334</v>
      </c>
      <c r="T3313" s="24" t="s">
        <v>1334</v>
      </c>
      <c r="U3313" s="56" t="s">
        <v>4184</v>
      </c>
      <c r="V3313" s="25">
        <f>IFERROR(VLOOKUP(BCP_Soles[[#This Row],[destinatario]],CHOOSE({1,2},Clientes_Proveedores[Razon Social],Clientes_Proveedores[Ruc / Dni]),2,0),"")</f>
        <v>20514464881</v>
      </c>
      <c r="W3313" s="25"/>
      <c r="X3313" s="25"/>
      <c r="Y3313" s="25"/>
      <c r="Z3313" s="77"/>
      <c r="AA3313" s="3" t="str">
        <f>IF(BCP_Soles[[#This Row],[fecha]]&gt;0,TEXT(BCP_Soles[[#This Row],[fecha]],"mmmm"),0)</f>
        <v>Agosto</v>
      </c>
    </row>
    <row r="3314" spans="1:27" x14ac:dyDescent="0.3">
      <c r="A3314" s="2">
        <f>IF(BCP_Soles[[#This Row],[tipo_registro]]="R",COUNTIFS($C$1:$C3313,"R")+1,A3313)</f>
        <v>2202</v>
      </c>
      <c r="B3314" s="19" t="str">
        <f t="shared" si="266"/>
        <v>B-BCP - Soles</v>
      </c>
      <c r="C3314" s="3" t="s">
        <v>1330</v>
      </c>
      <c r="D3314" s="14">
        <v>45882</v>
      </c>
      <c r="E3314" s="5" t="s">
        <v>1338</v>
      </c>
      <c r="F3314" s="5" t="s">
        <v>1336</v>
      </c>
      <c r="G3314" s="6" t="s">
        <v>565</v>
      </c>
      <c r="H3314" s="6" t="s">
        <v>68</v>
      </c>
      <c r="I3314" s="6" t="s">
        <v>1432</v>
      </c>
      <c r="J3314" s="6">
        <v>255</v>
      </c>
      <c r="K3314" s="7" t="s">
        <v>4185</v>
      </c>
      <c r="L3314" s="8">
        <v>1109205</v>
      </c>
      <c r="M3314" s="8" t="str">
        <f t="shared" si="267"/>
        <v>PEN</v>
      </c>
      <c r="N3314" s="13"/>
      <c r="O3314" s="13">
        <v>180</v>
      </c>
      <c r="P3314" s="3">
        <f t="shared" si="268"/>
        <v>0</v>
      </c>
      <c r="Q3314" s="3">
        <f t="shared" si="269"/>
        <v>180</v>
      </c>
      <c r="R3314" s="3">
        <f t="shared" si="265"/>
        <v>13947.679999999973</v>
      </c>
      <c r="S3314" s="24" t="s">
        <v>1334</v>
      </c>
      <c r="T3314" s="24" t="s">
        <v>1334</v>
      </c>
      <c r="U3314" s="56" t="s">
        <v>4186</v>
      </c>
      <c r="V3314" s="25">
        <f>IFERROR(VLOOKUP(BCP_Soles[[#This Row],[destinatario]],CHOOSE({1,2},Clientes_Proveedores[Razon Social],Clientes_Proveedores[Ruc / Dni]),2,0),"")</f>
        <v>20608587803</v>
      </c>
      <c r="W3314" s="25"/>
      <c r="X3314" s="25"/>
      <c r="Y3314" s="25"/>
      <c r="Z3314" s="77"/>
      <c r="AA3314" s="3" t="str">
        <f>IF(BCP_Soles[[#This Row],[fecha]]&gt;0,TEXT(BCP_Soles[[#This Row],[fecha]],"mmmm"),0)</f>
        <v>Agosto</v>
      </c>
    </row>
    <row r="3315" spans="1:27" ht="24" x14ac:dyDescent="0.3">
      <c r="A3315" s="2">
        <f>IF(BCP_Soles[[#This Row],[tipo_registro]]="R",COUNTIFS($C$1:$C3314,"R")+1,A3314)</f>
        <v>2203</v>
      </c>
      <c r="B3315" s="19" t="str">
        <f t="shared" si="266"/>
        <v>B-BCP - Soles</v>
      </c>
      <c r="C3315" s="3" t="s">
        <v>1330</v>
      </c>
      <c r="D3315" s="14">
        <v>45882</v>
      </c>
      <c r="E3315" s="5" t="s">
        <v>1338</v>
      </c>
      <c r="F3315" s="5" t="s">
        <v>1336</v>
      </c>
      <c r="G3315" s="6" t="s">
        <v>705</v>
      </c>
      <c r="H3315" s="6" t="s">
        <v>106</v>
      </c>
      <c r="I3315" s="6" t="s">
        <v>2488</v>
      </c>
      <c r="J3315" s="6">
        <v>72257387</v>
      </c>
      <c r="K3315" s="7" t="s">
        <v>4187</v>
      </c>
      <c r="L3315" s="8">
        <v>4109689</v>
      </c>
      <c r="M3315" s="8" t="str">
        <f t="shared" si="267"/>
        <v>PEN</v>
      </c>
      <c r="N3315" s="13"/>
      <c r="O3315" s="13">
        <v>142.9</v>
      </c>
      <c r="P3315" s="3">
        <f t="shared" si="268"/>
        <v>0</v>
      </c>
      <c r="Q3315" s="3">
        <f t="shared" si="269"/>
        <v>142.9</v>
      </c>
      <c r="R3315" s="3">
        <f t="shared" si="265"/>
        <v>13804.779999999973</v>
      </c>
      <c r="S3315" s="24" t="s">
        <v>1334</v>
      </c>
      <c r="T3315" s="24" t="s">
        <v>1334</v>
      </c>
      <c r="U3315" s="56" t="s">
        <v>4186</v>
      </c>
      <c r="V3315" s="25">
        <f>IFERROR(VLOOKUP(BCP_Soles[[#This Row],[destinatario]],CHOOSE({1,2},Clientes_Proveedores[Razon Social],Clientes_Proveedores[Ruc / Dni]),2,0),"")</f>
        <v>20100017491</v>
      </c>
      <c r="W3315" s="25"/>
      <c r="X3315" s="25"/>
      <c r="Y3315" s="25"/>
      <c r="Z3315" s="77"/>
      <c r="AA3315" s="3" t="str">
        <f>IF(BCP_Soles[[#This Row],[fecha]]&gt;0,TEXT(BCP_Soles[[#This Row],[fecha]],"mmmm"),0)</f>
        <v>Agosto</v>
      </c>
    </row>
    <row r="3316" spans="1:27" ht="24" x14ac:dyDescent="0.3">
      <c r="A3316" s="2">
        <f>IF(BCP_Soles[[#This Row],[tipo_registro]]="R",COUNTIFS($C$1:$C3315,"R")+1,A3315)</f>
        <v>2204</v>
      </c>
      <c r="B3316" s="19" t="str">
        <f t="shared" si="266"/>
        <v>B-BCP - Soles</v>
      </c>
      <c r="C3316" s="3" t="s">
        <v>1330</v>
      </c>
      <c r="D3316" s="14">
        <v>45882</v>
      </c>
      <c r="E3316" s="5" t="s">
        <v>1338</v>
      </c>
      <c r="F3316" s="5" t="s">
        <v>1336</v>
      </c>
      <c r="G3316" s="6" t="s">
        <v>1077</v>
      </c>
      <c r="H3316" s="6" t="s">
        <v>68</v>
      </c>
      <c r="I3316" s="6" t="s">
        <v>2086</v>
      </c>
      <c r="J3316" s="6">
        <v>1005</v>
      </c>
      <c r="K3316" s="7" t="s">
        <v>4188</v>
      </c>
      <c r="L3316" s="8">
        <v>1203493</v>
      </c>
      <c r="M3316" s="8" t="str">
        <f t="shared" si="267"/>
        <v>PEN</v>
      </c>
      <c r="N3316" s="13"/>
      <c r="O3316" s="13">
        <v>220</v>
      </c>
      <c r="P3316" s="3">
        <f t="shared" si="268"/>
        <v>0</v>
      </c>
      <c r="Q3316" s="3">
        <f t="shared" si="269"/>
        <v>220</v>
      </c>
      <c r="R3316" s="3">
        <f t="shared" si="265"/>
        <v>13584.779999999973</v>
      </c>
      <c r="S3316" s="24" t="s">
        <v>1334</v>
      </c>
      <c r="T3316" s="24" t="s">
        <v>1334</v>
      </c>
      <c r="U3316" s="56" t="s">
        <v>4189</v>
      </c>
      <c r="V3316" s="25">
        <f>IFERROR(VLOOKUP(BCP_Soles[[#This Row],[destinatario]],CHOOSE({1,2},Clientes_Proveedores[Razon Social],Clientes_Proveedores[Ruc / Dni]),2,0),"")</f>
        <v>20605533125</v>
      </c>
      <c r="W3316" s="25"/>
      <c r="X3316" s="25"/>
      <c r="Y3316" s="25"/>
      <c r="Z3316" s="77"/>
      <c r="AA3316" s="3" t="str">
        <f>IF(BCP_Soles[[#This Row],[fecha]]&gt;0,TEXT(BCP_Soles[[#This Row],[fecha]],"mmmm"),0)</f>
        <v>Agosto</v>
      </c>
    </row>
    <row r="3317" spans="1:27" ht="24" x14ac:dyDescent="0.3">
      <c r="A3317" s="2">
        <f>IF(BCP_Soles[[#This Row],[tipo_registro]]="R",COUNTIFS($C$1:$C3316,"R")+1,A3316)</f>
        <v>2205</v>
      </c>
      <c r="B3317" s="19" t="str">
        <f t="shared" si="266"/>
        <v>B-BCP - Soles</v>
      </c>
      <c r="C3317" s="3" t="s">
        <v>1330</v>
      </c>
      <c r="D3317" s="14">
        <v>45882</v>
      </c>
      <c r="E3317" s="5" t="s">
        <v>1338</v>
      </c>
      <c r="F3317" s="5" t="s">
        <v>1336</v>
      </c>
      <c r="G3317" s="6" t="s">
        <v>922</v>
      </c>
      <c r="H3317" s="6" t="s">
        <v>143</v>
      </c>
      <c r="I3317" s="6">
        <v>1</v>
      </c>
      <c r="J3317" s="6">
        <v>552025</v>
      </c>
      <c r="K3317" s="7" t="s">
        <v>4190</v>
      </c>
      <c r="L3317" s="8">
        <v>1202989</v>
      </c>
      <c r="M3317" s="8" t="str">
        <f t="shared" si="267"/>
        <v>PEN</v>
      </c>
      <c r="N3317" s="13"/>
      <c r="O3317" s="13">
        <v>250</v>
      </c>
      <c r="P3317" s="3">
        <f t="shared" si="268"/>
        <v>0</v>
      </c>
      <c r="Q3317" s="3">
        <f t="shared" si="269"/>
        <v>250</v>
      </c>
      <c r="R3317" s="3">
        <f t="shared" si="265"/>
        <v>13334.779999999973</v>
      </c>
      <c r="S3317" s="24" t="s">
        <v>1334</v>
      </c>
      <c r="T3317" s="24" t="s">
        <v>1334</v>
      </c>
      <c r="U3317" s="56" t="s">
        <v>4191</v>
      </c>
      <c r="V3317" s="25">
        <f>IFERROR(VLOOKUP(BCP_Soles[[#This Row],[destinatario]],CHOOSE({1,2},Clientes_Proveedores[Razon Social],Clientes_Proveedores[Ruc / Dni]),2,0),"")</f>
        <v>72537561</v>
      </c>
      <c r="W3317" s="25"/>
      <c r="X3317" s="25"/>
      <c r="Y3317" s="25"/>
      <c r="Z3317" s="77"/>
      <c r="AA3317" s="3" t="str">
        <f>IF(BCP_Soles[[#This Row],[fecha]]&gt;0,TEXT(BCP_Soles[[#This Row],[fecha]],"mmmm"),0)</f>
        <v>Agosto</v>
      </c>
    </row>
    <row r="3318" spans="1:27" x14ac:dyDescent="0.3">
      <c r="A3318" s="2">
        <f>IF(BCP_Soles[[#This Row],[tipo_registro]]="R",COUNTIFS($C$1:$C3317,"R")+1,A3317)</f>
        <v>2206</v>
      </c>
      <c r="B3318" s="19" t="str">
        <f t="shared" si="266"/>
        <v>B-BCP - Soles</v>
      </c>
      <c r="C3318" s="3" t="s">
        <v>1330</v>
      </c>
      <c r="D3318" s="14">
        <v>45882</v>
      </c>
      <c r="E3318" s="5" t="s">
        <v>1335</v>
      </c>
      <c r="F3318" s="5" t="s">
        <v>1336</v>
      </c>
      <c r="G3318" s="6" t="s">
        <v>1009</v>
      </c>
      <c r="H3318" s="6" t="s">
        <v>64</v>
      </c>
      <c r="I3318" s="6" t="s">
        <v>3673</v>
      </c>
      <c r="J3318" s="6">
        <v>2208</v>
      </c>
      <c r="K3318" s="7" t="s">
        <v>3160</v>
      </c>
      <c r="L3318" s="8"/>
      <c r="M3318" s="8" t="str">
        <f t="shared" si="267"/>
        <v>PEN</v>
      </c>
      <c r="N3318" s="13"/>
      <c r="O3318" s="13">
        <v>0.05</v>
      </c>
      <c r="P3318" s="3">
        <f t="shared" si="268"/>
        <v>0</v>
      </c>
      <c r="Q3318" s="3">
        <f t="shared" si="269"/>
        <v>0.05</v>
      </c>
      <c r="R3318" s="3">
        <f t="shared" si="265"/>
        <v>13334.729999999974</v>
      </c>
      <c r="S3318" s="24" t="s">
        <v>1334</v>
      </c>
      <c r="T3318" s="24" t="s">
        <v>1334</v>
      </c>
      <c r="U3318" s="55"/>
      <c r="V3318" s="25">
        <f>IFERROR(VLOOKUP(BCP_Soles[[#This Row],[destinatario]],CHOOSE({1,2},Clientes_Proveedores[Razon Social],Clientes_Proveedores[Ruc / Dni]),2,0),"")</f>
        <v>11111111</v>
      </c>
      <c r="W3318" s="25"/>
      <c r="X3318" s="25"/>
      <c r="Y3318" s="25"/>
      <c r="Z3318" s="77"/>
      <c r="AA3318" s="3" t="str">
        <f>IF(BCP_Soles[[#This Row],[fecha]]&gt;0,TEXT(BCP_Soles[[#This Row],[fecha]],"mmmm"),0)</f>
        <v>Agosto</v>
      </c>
    </row>
    <row r="3319" spans="1:27" ht="24" x14ac:dyDescent="0.3">
      <c r="A3319" s="2">
        <f>IF(BCP_Soles[[#This Row],[tipo_registro]]="R",COUNTIFS($C$1:$C3318,"R")+1,A3318)</f>
        <v>2207</v>
      </c>
      <c r="B3319" s="19" t="str">
        <f t="shared" si="266"/>
        <v>B-BCP - Soles</v>
      </c>
      <c r="C3319" s="3" t="s">
        <v>1330</v>
      </c>
      <c r="D3319" s="14">
        <v>45883</v>
      </c>
      <c r="E3319" s="5" t="s">
        <v>2409</v>
      </c>
      <c r="F3319" s="5" t="s">
        <v>1303</v>
      </c>
      <c r="G3319" s="6" t="s">
        <v>425</v>
      </c>
      <c r="H3319" s="6" t="s">
        <v>119</v>
      </c>
      <c r="I3319" s="6">
        <v>1</v>
      </c>
      <c r="J3319" s="6">
        <v>4669</v>
      </c>
      <c r="K3319" s="7" t="s">
        <v>1356</v>
      </c>
      <c r="L3319" s="8">
        <v>1955044</v>
      </c>
      <c r="M3319" s="8" t="str">
        <f t="shared" si="267"/>
        <v>PEN</v>
      </c>
      <c r="N3319" s="13"/>
      <c r="O3319" s="13">
        <v>980</v>
      </c>
      <c r="P3319" s="3">
        <f t="shared" si="268"/>
        <v>980</v>
      </c>
      <c r="Q3319" s="3">
        <f t="shared" si="269"/>
        <v>0</v>
      </c>
      <c r="R3319" s="3">
        <f t="shared" si="265"/>
        <v>14314.729999999974</v>
      </c>
      <c r="S3319" s="24" t="s">
        <v>1334</v>
      </c>
      <c r="T3319" s="24" t="s">
        <v>1334</v>
      </c>
      <c r="U3319" s="55"/>
      <c r="V3319" s="25">
        <f>IFERROR(VLOOKUP(BCP_Soles[[#This Row],[destinatario]],CHOOSE({1,2},Clientes_Proveedores[Razon Social],Clientes_Proveedores[Ruc / Dni]),2,0),"")</f>
        <v>20558226979</v>
      </c>
      <c r="W3319" s="25"/>
      <c r="X3319" s="25"/>
      <c r="Y3319" s="25"/>
      <c r="Z3319" s="77"/>
      <c r="AA3319" s="3" t="str">
        <f>IF(BCP_Soles[[#This Row],[fecha]]&gt;0,TEXT(BCP_Soles[[#This Row],[fecha]],"mmmm"),0)</f>
        <v>Agosto</v>
      </c>
    </row>
    <row r="3320" spans="1:27" ht="36" x14ac:dyDescent="0.3">
      <c r="A3320" s="2">
        <f>IF(BCP_Soles[[#This Row],[tipo_registro]]="R",COUNTIFS($C$1:$C3319,"R")+1,A3319)</f>
        <v>2208</v>
      </c>
      <c r="B3320" s="19" t="str">
        <f t="shared" si="266"/>
        <v>B-BCP - Soles</v>
      </c>
      <c r="C3320" s="3" t="s">
        <v>1330</v>
      </c>
      <c r="D3320" s="14">
        <v>45883</v>
      </c>
      <c r="E3320" s="5" t="s">
        <v>555</v>
      </c>
      <c r="F3320" s="5" t="s">
        <v>1303</v>
      </c>
      <c r="G3320" s="6" t="s">
        <v>425</v>
      </c>
      <c r="H3320" s="6" t="s">
        <v>68</v>
      </c>
      <c r="I3320" s="6" t="s">
        <v>3381</v>
      </c>
      <c r="J3320" s="6">
        <v>55</v>
      </c>
      <c r="K3320" s="7" t="s">
        <v>4192</v>
      </c>
      <c r="L3320" s="8">
        <v>1761716</v>
      </c>
      <c r="M3320" s="8" t="str">
        <f t="shared" si="267"/>
        <v>PEN</v>
      </c>
      <c r="N3320" s="13"/>
      <c r="O3320" s="13">
        <v>607.96</v>
      </c>
      <c r="P3320" s="3">
        <f t="shared" si="268"/>
        <v>607.96</v>
      </c>
      <c r="Q3320" s="3">
        <f t="shared" si="269"/>
        <v>0</v>
      </c>
      <c r="R3320" s="3">
        <f t="shared" si="265"/>
        <v>14922.689999999973</v>
      </c>
      <c r="S3320" s="24" t="s">
        <v>1334</v>
      </c>
      <c r="T3320" s="24" t="s">
        <v>1334</v>
      </c>
      <c r="U3320" s="55"/>
      <c r="V3320" s="25">
        <f>IFERROR(VLOOKUP(BCP_Soles[[#This Row],[destinatario]],CHOOSE({1,2},Clientes_Proveedores[Razon Social],Clientes_Proveedores[Ruc / Dni]),2,0),"")</f>
        <v>20558226979</v>
      </c>
      <c r="W3320" s="25"/>
      <c r="X3320" s="25"/>
      <c r="Y3320" s="25"/>
      <c r="Z3320" s="77"/>
      <c r="AA3320" s="3" t="str">
        <f>IF(BCP_Soles[[#This Row],[fecha]]&gt;0,TEXT(BCP_Soles[[#This Row],[fecha]],"mmmm"),0)</f>
        <v>Agosto</v>
      </c>
    </row>
    <row r="3321" spans="1:27" x14ac:dyDescent="0.3">
      <c r="A3321" s="2">
        <f>IF(BCP_Soles[[#This Row],[tipo_registro]]="R",COUNTIFS($C$1:$C3320,"R")+1,A3320)</f>
        <v>2209</v>
      </c>
      <c r="B3321" s="19" t="str">
        <f t="shared" si="266"/>
        <v>B-BCP - Soles</v>
      </c>
      <c r="C3321" s="3" t="s">
        <v>1330</v>
      </c>
      <c r="D3321" s="14">
        <v>45883</v>
      </c>
      <c r="E3321" s="5"/>
      <c r="F3321" s="5" t="s">
        <v>1303</v>
      </c>
      <c r="G3321" s="6" t="s">
        <v>425</v>
      </c>
      <c r="H3321" s="6"/>
      <c r="I3321" s="6"/>
      <c r="J3321" s="6"/>
      <c r="K3321" s="7" t="s">
        <v>1356</v>
      </c>
      <c r="L3321" s="8">
        <v>624172</v>
      </c>
      <c r="M3321" s="8" t="str">
        <f t="shared" si="267"/>
        <v>PEN</v>
      </c>
      <c r="N3321" s="13"/>
      <c r="O3321" s="13">
        <v>932.5</v>
      </c>
      <c r="P3321" s="3">
        <f t="shared" si="268"/>
        <v>932.5</v>
      </c>
      <c r="Q3321" s="3">
        <f t="shared" si="269"/>
        <v>0</v>
      </c>
      <c r="R3321" s="3">
        <f t="shared" si="265"/>
        <v>15855.189999999973</v>
      </c>
      <c r="S3321" s="24"/>
      <c r="T3321" s="24"/>
      <c r="U3321" s="55"/>
      <c r="V3321" s="25">
        <f>IFERROR(VLOOKUP(BCP_Soles[[#This Row],[destinatario]],CHOOSE({1,2},Clientes_Proveedores[Razon Social],Clientes_Proveedores[Ruc / Dni]),2,0),"")</f>
        <v>20558226979</v>
      </c>
      <c r="W3321" s="25"/>
      <c r="X3321" s="25"/>
      <c r="Y3321" s="25"/>
      <c r="Z3321" s="77"/>
      <c r="AA3321" s="3" t="str">
        <f>IF(BCP_Soles[[#This Row],[fecha]]&gt;0,TEXT(BCP_Soles[[#This Row],[fecha]],"mmmm"),0)</f>
        <v>Agosto</v>
      </c>
    </row>
    <row r="3322" spans="1:27" x14ac:dyDescent="0.3">
      <c r="A3322" s="2">
        <f>IF(BCP_Soles[[#This Row],[tipo_registro]]="R",COUNTIFS($C$1:$C3321,"R")+1,A3321)</f>
        <v>2210</v>
      </c>
      <c r="B3322" s="19" t="str">
        <f t="shared" si="266"/>
        <v>B-BCP - Soles</v>
      </c>
      <c r="C3322" s="3" t="s">
        <v>1330</v>
      </c>
      <c r="D3322" s="14">
        <v>45883</v>
      </c>
      <c r="E3322" s="5"/>
      <c r="F3322" s="5" t="s">
        <v>1303</v>
      </c>
      <c r="G3322" s="6" t="s">
        <v>425</v>
      </c>
      <c r="H3322" s="6"/>
      <c r="I3322" s="6"/>
      <c r="J3322" s="6"/>
      <c r="K3322" s="7" t="s">
        <v>4193</v>
      </c>
      <c r="L3322" s="8">
        <v>1959767</v>
      </c>
      <c r="M3322" s="8" t="str">
        <f t="shared" si="267"/>
        <v>PEN</v>
      </c>
      <c r="N3322" s="13"/>
      <c r="O3322" s="13">
        <v>74.7</v>
      </c>
      <c r="P3322" s="3">
        <f t="shared" si="268"/>
        <v>74.7</v>
      </c>
      <c r="Q3322" s="3">
        <f t="shared" si="269"/>
        <v>0</v>
      </c>
      <c r="R3322" s="3">
        <f t="shared" si="265"/>
        <v>15929.889999999974</v>
      </c>
      <c r="S3322" s="24"/>
      <c r="T3322" s="24"/>
      <c r="U3322" s="55"/>
      <c r="V3322" s="25">
        <f>IFERROR(VLOOKUP(BCP_Soles[[#This Row],[destinatario]],CHOOSE({1,2},Clientes_Proveedores[Razon Social],Clientes_Proveedores[Ruc / Dni]),2,0),"")</f>
        <v>20558226979</v>
      </c>
      <c r="W3322" s="25"/>
      <c r="X3322" s="25"/>
      <c r="Y3322" s="25"/>
      <c r="Z3322" s="77"/>
      <c r="AA3322" s="3" t="str">
        <f>IF(BCP_Soles[[#This Row],[fecha]]&gt;0,TEXT(BCP_Soles[[#This Row],[fecha]],"mmmm"),0)</f>
        <v>Agosto</v>
      </c>
    </row>
    <row r="3323" spans="1:27" ht="24" x14ac:dyDescent="0.3">
      <c r="A3323" s="2">
        <f>IF(BCP_Soles[[#This Row],[tipo_registro]]="R",COUNTIFS($C$1:$C3322,"R")+1,A3322)</f>
        <v>2211</v>
      </c>
      <c r="B3323" s="19" t="str">
        <f t="shared" si="266"/>
        <v>B-BCP - Soles</v>
      </c>
      <c r="C3323" s="3" t="s">
        <v>1330</v>
      </c>
      <c r="D3323" s="14">
        <v>45883</v>
      </c>
      <c r="E3323" s="5" t="s">
        <v>1338</v>
      </c>
      <c r="F3323" s="5" t="s">
        <v>1336</v>
      </c>
      <c r="G3323" s="6" t="s">
        <v>993</v>
      </c>
      <c r="H3323" s="6" t="s">
        <v>143</v>
      </c>
      <c r="I3323" s="6">
        <v>1</v>
      </c>
      <c r="J3323" s="6">
        <v>562025</v>
      </c>
      <c r="K3323" s="7" t="s">
        <v>4194</v>
      </c>
      <c r="L3323" s="8">
        <v>1236796</v>
      </c>
      <c r="M3323" s="8" t="str">
        <f t="shared" si="267"/>
        <v>PEN</v>
      </c>
      <c r="N3323" s="13"/>
      <c r="O3323" s="13">
        <v>89</v>
      </c>
      <c r="P3323" s="3">
        <f t="shared" si="268"/>
        <v>0</v>
      </c>
      <c r="Q3323" s="3">
        <f t="shared" si="269"/>
        <v>89</v>
      </c>
      <c r="R3323" s="3">
        <f t="shared" si="265"/>
        <v>15840.889999999974</v>
      </c>
      <c r="S3323" s="24" t="s">
        <v>1334</v>
      </c>
      <c r="T3323" s="24" t="s">
        <v>1334</v>
      </c>
      <c r="U3323" s="56" t="s">
        <v>4191</v>
      </c>
      <c r="V3323" s="25">
        <f>IFERROR(VLOOKUP(BCP_Soles[[#This Row],[destinatario]],CHOOSE({1,2},Clientes_Proveedores[Razon Social],Clientes_Proveedores[Ruc / Dni]),2,0),"")</f>
        <v>76390500</v>
      </c>
      <c r="W3323" s="25"/>
      <c r="X3323" s="25"/>
      <c r="Y3323" s="25"/>
      <c r="Z3323" s="77"/>
      <c r="AA3323" s="3" t="str">
        <f>IF(BCP_Soles[[#This Row],[fecha]]&gt;0,TEXT(BCP_Soles[[#This Row],[fecha]],"mmmm"),0)</f>
        <v>Agosto</v>
      </c>
    </row>
    <row r="3324" spans="1:27" x14ac:dyDescent="0.3">
      <c r="A3324" s="2">
        <f>IF(BCP_Soles[[#This Row],[tipo_registro]]="R",COUNTIFS($C$1:$C3323,"R")+1,A3323)</f>
        <v>2212</v>
      </c>
      <c r="B3324" s="19" t="str">
        <f t="shared" si="266"/>
        <v>B-BCP - Soles</v>
      </c>
      <c r="C3324" s="3" t="s">
        <v>1330</v>
      </c>
      <c r="D3324" s="14">
        <v>45883</v>
      </c>
      <c r="E3324" s="5" t="s">
        <v>1338</v>
      </c>
      <c r="F3324" s="5" t="s">
        <v>1336</v>
      </c>
      <c r="G3324" s="6" t="s">
        <v>196</v>
      </c>
      <c r="H3324" s="6" t="s">
        <v>68</v>
      </c>
      <c r="I3324" s="6" t="s">
        <v>2226</v>
      </c>
      <c r="J3324" s="6">
        <v>6739</v>
      </c>
      <c r="K3324" s="7" t="s">
        <v>2227</v>
      </c>
      <c r="L3324" s="8">
        <v>236324</v>
      </c>
      <c r="M3324" s="8" t="str">
        <f t="shared" si="267"/>
        <v>PEN</v>
      </c>
      <c r="N3324" s="13"/>
      <c r="O3324" s="13">
        <v>120.6</v>
      </c>
      <c r="P3324" s="3">
        <f t="shared" si="268"/>
        <v>0</v>
      </c>
      <c r="Q3324" s="3">
        <f t="shared" si="269"/>
        <v>120.6</v>
      </c>
      <c r="R3324" s="3">
        <f t="shared" si="265"/>
        <v>15720.289999999974</v>
      </c>
      <c r="S3324" s="24" t="s">
        <v>1334</v>
      </c>
      <c r="T3324" s="24" t="s">
        <v>1334</v>
      </c>
      <c r="U3324" s="56" t="s">
        <v>4195</v>
      </c>
      <c r="V3324" s="25">
        <f>IFERROR(VLOOKUP(BCP_Soles[[#This Row],[destinatario]],CHOOSE({1,2},Clientes_Proveedores[Razon Social],Clientes_Proveedores[Ruc / Dni]),2,0),"")</f>
        <v>20100055237</v>
      </c>
      <c r="W3324" s="25"/>
      <c r="X3324" s="25"/>
      <c r="Y3324" s="25"/>
      <c r="Z3324" s="77"/>
      <c r="AA3324" s="3" t="str">
        <f>IF(BCP_Soles[[#This Row],[fecha]]&gt;0,TEXT(BCP_Soles[[#This Row],[fecha]],"mmmm"),0)</f>
        <v>Agosto</v>
      </c>
    </row>
    <row r="3325" spans="1:27" x14ac:dyDescent="0.3">
      <c r="A3325" s="2">
        <f>IF(BCP_Soles[[#This Row],[tipo_registro]]="R",COUNTIFS($C$1:$C3324,"R")+1,A3324)</f>
        <v>2213</v>
      </c>
      <c r="B3325" s="19" t="str">
        <f t="shared" si="266"/>
        <v>B-BCP - Soles</v>
      </c>
      <c r="C3325" s="3" t="s">
        <v>1330</v>
      </c>
      <c r="D3325" s="14">
        <v>45883</v>
      </c>
      <c r="E3325" s="5" t="s">
        <v>1338</v>
      </c>
      <c r="F3325" s="5" t="s">
        <v>1336</v>
      </c>
      <c r="G3325" s="6" t="s">
        <v>196</v>
      </c>
      <c r="H3325" s="6" t="s">
        <v>68</v>
      </c>
      <c r="I3325" s="6" t="s">
        <v>2226</v>
      </c>
      <c r="J3325" s="6">
        <v>6738</v>
      </c>
      <c r="K3325" s="7" t="s">
        <v>2227</v>
      </c>
      <c r="L3325" s="8">
        <v>239242</v>
      </c>
      <c r="M3325" s="8" t="str">
        <f t="shared" si="267"/>
        <v>PEN</v>
      </c>
      <c r="N3325" s="13"/>
      <c r="O3325" s="13">
        <v>344.92</v>
      </c>
      <c r="P3325" s="3">
        <f t="shared" si="268"/>
        <v>0</v>
      </c>
      <c r="Q3325" s="3">
        <f t="shared" si="269"/>
        <v>344.92</v>
      </c>
      <c r="R3325" s="3">
        <f t="shared" si="265"/>
        <v>15375.369999999974</v>
      </c>
      <c r="S3325" s="24" t="s">
        <v>1334</v>
      </c>
      <c r="T3325" s="24" t="s">
        <v>1334</v>
      </c>
      <c r="U3325" s="56" t="s">
        <v>4196</v>
      </c>
      <c r="V3325" s="25">
        <f>IFERROR(VLOOKUP(BCP_Soles[[#This Row],[destinatario]],CHOOSE({1,2},Clientes_Proveedores[Razon Social],Clientes_Proveedores[Ruc / Dni]),2,0),"")</f>
        <v>20100055237</v>
      </c>
      <c r="W3325" s="25"/>
      <c r="X3325" s="25"/>
      <c r="Y3325" s="25"/>
      <c r="Z3325" s="77"/>
      <c r="AA3325" s="3" t="str">
        <f>IF(BCP_Soles[[#This Row],[fecha]]&gt;0,TEXT(BCP_Soles[[#This Row],[fecha]],"mmmm"),0)</f>
        <v>Agosto</v>
      </c>
    </row>
    <row r="3326" spans="1:27" x14ac:dyDescent="0.3">
      <c r="A3326" s="2">
        <f>IF(BCP_Soles[[#This Row],[tipo_registro]]="R",COUNTIFS($C$1:$C3325,"R")+1,A3325)</f>
        <v>2214</v>
      </c>
      <c r="B3326" s="19" t="str">
        <f t="shared" si="266"/>
        <v>B-BCP - Soles</v>
      </c>
      <c r="C3326" s="3" t="s">
        <v>1330</v>
      </c>
      <c r="D3326" s="14">
        <v>45883</v>
      </c>
      <c r="E3326" s="5" t="s">
        <v>1338</v>
      </c>
      <c r="F3326" s="5" t="s">
        <v>1336</v>
      </c>
      <c r="G3326" s="6" t="s">
        <v>196</v>
      </c>
      <c r="H3326" s="6" t="s">
        <v>68</v>
      </c>
      <c r="I3326" s="6" t="s">
        <v>2226</v>
      </c>
      <c r="J3326" s="6">
        <v>6737</v>
      </c>
      <c r="K3326" s="7" t="s">
        <v>2227</v>
      </c>
      <c r="L3326" s="8">
        <v>236325</v>
      </c>
      <c r="M3326" s="8" t="str">
        <f t="shared" si="267"/>
        <v>PEN</v>
      </c>
      <c r="N3326" s="13"/>
      <c r="O3326" s="13">
        <v>7.14</v>
      </c>
      <c r="P3326" s="3">
        <f t="shared" si="268"/>
        <v>0</v>
      </c>
      <c r="Q3326" s="3">
        <f t="shared" si="269"/>
        <v>7.14</v>
      </c>
      <c r="R3326" s="3">
        <f t="shared" si="265"/>
        <v>15368.229999999974</v>
      </c>
      <c r="S3326" s="24" t="s">
        <v>1334</v>
      </c>
      <c r="T3326" s="24" t="s">
        <v>1334</v>
      </c>
      <c r="U3326" s="56" t="s">
        <v>4197</v>
      </c>
      <c r="V3326" s="25">
        <f>IFERROR(VLOOKUP(BCP_Soles[[#This Row],[destinatario]],CHOOSE({1,2},Clientes_Proveedores[Razon Social],Clientes_Proveedores[Ruc / Dni]),2,0),"")</f>
        <v>20100055237</v>
      </c>
      <c r="W3326" s="25"/>
      <c r="X3326" s="25"/>
      <c r="Y3326" s="25"/>
      <c r="Z3326" s="77"/>
      <c r="AA3326" s="3" t="str">
        <f>IF(BCP_Soles[[#This Row],[fecha]]&gt;0,TEXT(BCP_Soles[[#This Row],[fecha]],"mmmm"),0)</f>
        <v>Agosto</v>
      </c>
    </row>
    <row r="3327" spans="1:27" x14ac:dyDescent="0.3">
      <c r="A3327" s="2">
        <f>IF(BCP_Soles[[#This Row],[tipo_registro]]="R",COUNTIFS($C$1:$C3326,"R")+1,A3326)</f>
        <v>2215</v>
      </c>
      <c r="B3327" s="19" t="str">
        <f t="shared" si="266"/>
        <v>B-BCP - Soles</v>
      </c>
      <c r="C3327" s="3" t="s">
        <v>1330</v>
      </c>
      <c r="D3327" s="14">
        <v>45883</v>
      </c>
      <c r="E3327" s="5" t="s">
        <v>1338</v>
      </c>
      <c r="F3327" s="5" t="s">
        <v>1336</v>
      </c>
      <c r="G3327" s="6" t="s">
        <v>196</v>
      </c>
      <c r="H3327" s="6" t="s">
        <v>68</v>
      </c>
      <c r="I3327" s="6" t="s">
        <v>2226</v>
      </c>
      <c r="J3327" s="6">
        <v>6736</v>
      </c>
      <c r="K3327" s="7" t="s">
        <v>2227</v>
      </c>
      <c r="L3327" s="8">
        <v>239746</v>
      </c>
      <c r="M3327" s="8" t="str">
        <f t="shared" si="267"/>
        <v>PEN</v>
      </c>
      <c r="N3327" s="13"/>
      <c r="O3327" s="13">
        <v>379.04</v>
      </c>
      <c r="P3327" s="3">
        <f t="shared" si="268"/>
        <v>0</v>
      </c>
      <c r="Q3327" s="3">
        <f t="shared" si="269"/>
        <v>379.04</v>
      </c>
      <c r="R3327" s="3">
        <f t="shared" si="265"/>
        <v>14989.189999999973</v>
      </c>
      <c r="S3327" s="24" t="s">
        <v>1334</v>
      </c>
      <c r="T3327" s="24" t="s">
        <v>1334</v>
      </c>
      <c r="U3327" s="56" t="s">
        <v>4198</v>
      </c>
      <c r="V3327" s="25">
        <f>IFERROR(VLOOKUP(BCP_Soles[[#This Row],[destinatario]],CHOOSE({1,2},Clientes_Proveedores[Razon Social],Clientes_Proveedores[Ruc / Dni]),2,0),"")</f>
        <v>20100055237</v>
      </c>
      <c r="W3327" s="25"/>
      <c r="X3327" s="25"/>
      <c r="Y3327" s="25"/>
      <c r="Z3327" s="77"/>
      <c r="AA3327" s="3" t="str">
        <f>IF(BCP_Soles[[#This Row],[fecha]]&gt;0,TEXT(BCP_Soles[[#This Row],[fecha]],"mmmm"),0)</f>
        <v>Agosto</v>
      </c>
    </row>
    <row r="3328" spans="1:27" x14ac:dyDescent="0.3">
      <c r="A3328" s="2">
        <f>IF(BCP_Soles[[#This Row],[tipo_registro]]="R",COUNTIFS($C$1:$C3327,"R")+1,A3327)</f>
        <v>2216</v>
      </c>
      <c r="B3328" s="19" t="str">
        <f t="shared" si="266"/>
        <v>B-BCP - Soles</v>
      </c>
      <c r="C3328" s="3" t="s">
        <v>1330</v>
      </c>
      <c r="D3328" s="14">
        <v>45883</v>
      </c>
      <c r="E3328" s="5" t="s">
        <v>1338</v>
      </c>
      <c r="F3328" s="5" t="s">
        <v>1336</v>
      </c>
      <c r="G3328" s="6" t="s">
        <v>196</v>
      </c>
      <c r="H3328" s="6" t="s">
        <v>68</v>
      </c>
      <c r="I3328" s="6" t="s">
        <v>2226</v>
      </c>
      <c r="J3328" s="6">
        <v>6740</v>
      </c>
      <c r="K3328" s="7" t="s">
        <v>2227</v>
      </c>
      <c r="L3328" s="8">
        <v>236326</v>
      </c>
      <c r="M3328" s="8" t="str">
        <f t="shared" si="267"/>
        <v>PEN</v>
      </c>
      <c r="N3328" s="13"/>
      <c r="O3328" s="13">
        <v>513.16</v>
      </c>
      <c r="P3328" s="3">
        <f t="shared" si="268"/>
        <v>0</v>
      </c>
      <c r="Q3328" s="3">
        <f t="shared" si="269"/>
        <v>513.16</v>
      </c>
      <c r="R3328" s="3">
        <f t="shared" si="265"/>
        <v>14476.029999999973</v>
      </c>
      <c r="S3328" s="24" t="s">
        <v>1334</v>
      </c>
      <c r="T3328" s="24" t="s">
        <v>1334</v>
      </c>
      <c r="U3328" s="56" t="s">
        <v>4199</v>
      </c>
      <c r="V3328" s="25">
        <f>IFERROR(VLOOKUP(BCP_Soles[[#This Row],[destinatario]],CHOOSE({1,2},Clientes_Proveedores[Razon Social],Clientes_Proveedores[Ruc / Dni]),2,0),"")</f>
        <v>20100055237</v>
      </c>
      <c r="W3328" s="25"/>
      <c r="X3328" s="25"/>
      <c r="Y3328" s="25"/>
      <c r="Z3328" s="77"/>
      <c r="AA3328" s="3" t="str">
        <f>IF(BCP_Soles[[#This Row],[fecha]]&gt;0,TEXT(BCP_Soles[[#This Row],[fecha]],"mmmm"),0)</f>
        <v>Agosto</v>
      </c>
    </row>
    <row r="3329" spans="1:27" x14ac:dyDescent="0.3">
      <c r="A3329" s="2">
        <f>IF(BCP_Soles[[#This Row],[tipo_registro]]="R",COUNTIFS($C$1:$C3328,"R")+1,A3328)</f>
        <v>2217</v>
      </c>
      <c r="B3329" s="19" t="str">
        <f t="shared" si="266"/>
        <v>B-BCP - Soles</v>
      </c>
      <c r="C3329" s="3" t="s">
        <v>1330</v>
      </c>
      <c r="D3329" s="14">
        <v>45883</v>
      </c>
      <c r="E3329" s="5" t="s">
        <v>1338</v>
      </c>
      <c r="F3329" s="5" t="s">
        <v>1336</v>
      </c>
      <c r="G3329" s="6" t="s">
        <v>196</v>
      </c>
      <c r="H3329" s="6" t="s">
        <v>68</v>
      </c>
      <c r="I3329" s="6" t="s">
        <v>2226</v>
      </c>
      <c r="J3329" s="6">
        <v>6735</v>
      </c>
      <c r="K3329" s="7" t="s">
        <v>2227</v>
      </c>
      <c r="L3329" s="8">
        <v>238256</v>
      </c>
      <c r="M3329" s="8" t="str">
        <f t="shared" si="267"/>
        <v>PEN</v>
      </c>
      <c r="N3329" s="13"/>
      <c r="O3329" s="13">
        <v>151.41999999999999</v>
      </c>
      <c r="P3329" s="3">
        <f t="shared" si="268"/>
        <v>0</v>
      </c>
      <c r="Q3329" s="3">
        <f t="shared" si="269"/>
        <v>151.41999999999999</v>
      </c>
      <c r="R3329" s="3">
        <f t="shared" si="265"/>
        <v>14324.609999999973</v>
      </c>
      <c r="S3329" s="24" t="s">
        <v>1334</v>
      </c>
      <c r="T3329" s="24" t="s">
        <v>1334</v>
      </c>
      <c r="U3329" s="56" t="s">
        <v>4200</v>
      </c>
      <c r="V3329" s="25">
        <f>IFERROR(VLOOKUP(BCP_Soles[[#This Row],[destinatario]],CHOOSE({1,2},Clientes_Proveedores[Razon Social],Clientes_Proveedores[Ruc / Dni]),2,0),"")</f>
        <v>20100055237</v>
      </c>
      <c r="W3329" s="25"/>
      <c r="X3329" s="25"/>
      <c r="Y3329" s="25"/>
      <c r="Z3329" s="77"/>
      <c r="AA3329" s="3" t="str">
        <f>IF(BCP_Soles[[#This Row],[fecha]]&gt;0,TEXT(BCP_Soles[[#This Row],[fecha]],"mmmm"),0)</f>
        <v>Agosto</v>
      </c>
    </row>
    <row r="3330" spans="1:27" x14ac:dyDescent="0.3">
      <c r="A3330" s="2">
        <f>IF(BCP_Soles[[#This Row],[tipo_registro]]="R",COUNTIFS($C$1:$C3329,"R")+1,A3329)</f>
        <v>2218</v>
      </c>
      <c r="B3330" s="19" t="str">
        <f t="shared" si="266"/>
        <v>B-BCP - Soles</v>
      </c>
      <c r="C3330" s="3" t="s">
        <v>1330</v>
      </c>
      <c r="D3330" s="14">
        <v>45883</v>
      </c>
      <c r="E3330" s="5" t="s">
        <v>1338</v>
      </c>
      <c r="F3330" s="5" t="s">
        <v>1336</v>
      </c>
      <c r="G3330" s="6" t="s">
        <v>696</v>
      </c>
      <c r="H3330" s="6"/>
      <c r="I3330" s="6"/>
      <c r="J3330" s="6"/>
      <c r="K3330" s="7" t="s">
        <v>4201</v>
      </c>
      <c r="L3330" s="8">
        <v>1929985</v>
      </c>
      <c r="M3330" s="8" t="str">
        <f t="shared" si="267"/>
        <v>PEN</v>
      </c>
      <c r="N3330" s="13"/>
      <c r="O3330" s="13">
        <v>1413</v>
      </c>
      <c r="P3330" s="3">
        <f t="shared" si="268"/>
        <v>0</v>
      </c>
      <c r="Q3330" s="3">
        <f t="shared" si="269"/>
        <v>1413</v>
      </c>
      <c r="R3330" s="3">
        <f t="shared" si="265"/>
        <v>12911.609999999973</v>
      </c>
      <c r="S3330" s="24" t="s">
        <v>1334</v>
      </c>
      <c r="T3330" s="24" t="s">
        <v>1334</v>
      </c>
      <c r="U3330" s="56" t="s">
        <v>4202</v>
      </c>
      <c r="V3330" s="25">
        <f>IFERROR(VLOOKUP(BCP_Soles[[#This Row],[destinatario]],CHOOSE({1,2},Clientes_Proveedores[Razon Social],Clientes_Proveedores[Ruc / Dni]),2,0),"")</f>
        <v>0</v>
      </c>
      <c r="W3330" s="25"/>
      <c r="X3330" s="25"/>
      <c r="Y3330" s="25"/>
      <c r="Z3330" s="77"/>
      <c r="AA3330" s="3" t="str">
        <f>IF(BCP_Soles[[#This Row],[fecha]]&gt;0,TEXT(BCP_Soles[[#This Row],[fecha]],"mmmm"),0)</f>
        <v>Agosto</v>
      </c>
    </row>
    <row r="3331" spans="1:27" ht="24" x14ac:dyDescent="0.3">
      <c r="A3331" s="2">
        <f>IF(BCP_Soles[[#This Row],[tipo_registro]]="R",COUNTIFS($C$1:$C3330,"R")+1,A3330)</f>
        <v>2218</v>
      </c>
      <c r="B3331" s="19" t="str">
        <f t="shared" si="266"/>
        <v>B-BCP - Soles</v>
      </c>
      <c r="C3331" s="3" t="s">
        <v>1352</v>
      </c>
      <c r="D3331" s="14">
        <v>45883</v>
      </c>
      <c r="E3331" s="5" t="s">
        <v>1338</v>
      </c>
      <c r="F3331" s="5"/>
      <c r="G3331" s="6" t="s">
        <v>1058</v>
      </c>
      <c r="H3331" s="6" t="s">
        <v>68</v>
      </c>
      <c r="I3331" s="6" t="s">
        <v>1376</v>
      </c>
      <c r="J3331" s="6">
        <v>211</v>
      </c>
      <c r="K3331" s="7" t="s">
        <v>4201</v>
      </c>
      <c r="L3331" s="8">
        <v>1929985</v>
      </c>
      <c r="M3331" s="8" t="str">
        <f t="shared" si="267"/>
        <v>PEN</v>
      </c>
      <c r="N3331" s="13">
        <v>960</v>
      </c>
      <c r="O3331" s="13"/>
      <c r="P3331" s="3">
        <f t="shared" si="268"/>
        <v>0</v>
      </c>
      <c r="Q3331" s="3">
        <f t="shared" si="269"/>
        <v>0</v>
      </c>
      <c r="R3331" s="3">
        <f t="shared" si="265"/>
        <v>12911.609999999973</v>
      </c>
      <c r="S3331" s="24" t="s">
        <v>1334</v>
      </c>
      <c r="T3331" s="24" t="s">
        <v>1334</v>
      </c>
      <c r="U3331" s="56" t="s">
        <v>4202</v>
      </c>
      <c r="V3331" s="25">
        <f>IFERROR(VLOOKUP(BCP_Soles[[#This Row],[destinatario]],CHOOSE({1,2},Clientes_Proveedores[Razon Social],Clientes_Proveedores[Ruc / Dni]),2,0),"")</f>
        <v>10801606542</v>
      </c>
      <c r="W3331" s="25"/>
      <c r="X3331" s="25"/>
      <c r="Y3331" s="25"/>
      <c r="Z3331" s="77"/>
      <c r="AA3331" s="3" t="str">
        <f>IF(BCP_Soles[[#This Row],[fecha]]&gt;0,TEXT(BCP_Soles[[#This Row],[fecha]],"mmmm"),0)</f>
        <v>Agosto</v>
      </c>
    </row>
    <row r="3332" spans="1:27" ht="36" x14ac:dyDescent="0.3">
      <c r="A3332" s="2">
        <f>IF(BCP_Soles[[#This Row],[tipo_registro]]="R",COUNTIFS($C$1:$C3331,"R")+1,A3331)</f>
        <v>2218</v>
      </c>
      <c r="B3332" s="19" t="str">
        <f t="shared" si="266"/>
        <v>B-BCP - Soles</v>
      </c>
      <c r="C3332" s="3" t="s">
        <v>1352</v>
      </c>
      <c r="D3332" s="14">
        <v>45883</v>
      </c>
      <c r="E3332" s="5" t="s">
        <v>1338</v>
      </c>
      <c r="F3332" s="5"/>
      <c r="G3332" s="6" t="s">
        <v>117</v>
      </c>
      <c r="H3332" s="6" t="s">
        <v>68</v>
      </c>
      <c r="I3332" s="6" t="s">
        <v>1376</v>
      </c>
      <c r="J3332" s="6">
        <v>535</v>
      </c>
      <c r="K3332" s="7" t="s">
        <v>4201</v>
      </c>
      <c r="L3332" s="8">
        <v>1929985</v>
      </c>
      <c r="M3332" s="8" t="str">
        <f t="shared" si="267"/>
        <v>PEN</v>
      </c>
      <c r="N3332" s="13">
        <v>453</v>
      </c>
      <c r="O3332" s="13"/>
      <c r="P3332" s="3">
        <f t="shared" si="268"/>
        <v>0</v>
      </c>
      <c r="Q3332" s="3">
        <f t="shared" si="269"/>
        <v>0</v>
      </c>
      <c r="R3332" s="3">
        <f t="shared" si="265"/>
        <v>12911.609999999973</v>
      </c>
      <c r="S3332" s="24" t="s">
        <v>1334</v>
      </c>
      <c r="T3332" s="24" t="s">
        <v>1334</v>
      </c>
      <c r="U3332" s="56" t="s">
        <v>4202</v>
      </c>
      <c r="V3332" s="25">
        <f>IFERROR(VLOOKUP(BCP_Soles[[#This Row],[destinatario]],CHOOSE({1,2},Clientes_Proveedores[Razon Social],Clientes_Proveedores[Ruc / Dni]),2,0),"")</f>
        <v>10295492908</v>
      </c>
      <c r="W3332" s="25"/>
      <c r="X3332" s="25"/>
      <c r="Y3332" s="25"/>
      <c r="Z3332" s="77"/>
      <c r="AA3332" s="3" t="str">
        <f>IF(BCP_Soles[[#This Row],[fecha]]&gt;0,TEXT(BCP_Soles[[#This Row],[fecha]],"mmmm"),0)</f>
        <v>Agosto</v>
      </c>
    </row>
    <row r="3333" spans="1:27" x14ac:dyDescent="0.3">
      <c r="A3333" s="2">
        <f>IF(BCP_Soles[[#This Row],[tipo_registro]]="R",COUNTIFS($C$1:$C3332,"R")+1,A3332)</f>
        <v>2219</v>
      </c>
      <c r="B3333" s="19" t="str">
        <f t="shared" si="266"/>
        <v>B-BCP - Soles</v>
      </c>
      <c r="C3333" s="3" t="s">
        <v>1330</v>
      </c>
      <c r="D3333" s="14">
        <v>45883</v>
      </c>
      <c r="E3333" s="5" t="s">
        <v>1338</v>
      </c>
      <c r="F3333" s="5" t="s">
        <v>1336</v>
      </c>
      <c r="G3333" s="6" t="s">
        <v>695</v>
      </c>
      <c r="H3333" s="6"/>
      <c r="I3333" s="6"/>
      <c r="J3333" s="6"/>
      <c r="K3333" s="7" t="s">
        <v>4203</v>
      </c>
      <c r="L3333" s="8">
        <v>239747</v>
      </c>
      <c r="M3333" s="8" t="str">
        <f t="shared" si="267"/>
        <v>PEN</v>
      </c>
      <c r="N3333" s="13"/>
      <c r="O3333" s="13">
        <v>2989.51</v>
      </c>
      <c r="P3333" s="3">
        <f t="shared" si="268"/>
        <v>0</v>
      </c>
      <c r="Q3333" s="3">
        <f t="shared" si="269"/>
        <v>2989.51</v>
      </c>
      <c r="R3333" s="3">
        <f t="shared" si="265"/>
        <v>9922.0999999999731</v>
      </c>
      <c r="S3333" s="24" t="s">
        <v>1334</v>
      </c>
      <c r="T3333" s="24" t="s">
        <v>1334</v>
      </c>
      <c r="U3333" s="56" t="s">
        <v>4204</v>
      </c>
      <c r="V3333" s="25">
        <f>IFERROR(VLOOKUP(BCP_Soles[[#This Row],[destinatario]],CHOOSE({1,2},Clientes_Proveedores[Razon Social],Clientes_Proveedores[Ruc / Dni]),2,0),"")</f>
        <v>20127765279</v>
      </c>
      <c r="W3333" s="25"/>
      <c r="X3333" s="25"/>
      <c r="Y3333" s="25"/>
      <c r="Z3333" s="77"/>
      <c r="AA3333" s="3" t="str">
        <f>IF(BCP_Soles[[#This Row],[fecha]]&gt;0,TEXT(BCP_Soles[[#This Row],[fecha]],"mmmm"),0)</f>
        <v>Agosto</v>
      </c>
    </row>
    <row r="3334" spans="1:27" x14ac:dyDescent="0.3">
      <c r="A3334" s="2">
        <f>IF(BCP_Soles[[#This Row],[tipo_registro]]="R",COUNTIFS($C$1:$C3333,"R")+1,A3333)</f>
        <v>2219</v>
      </c>
      <c r="B3334" s="19" t="str">
        <f t="shared" si="266"/>
        <v>B-BCP - Soles</v>
      </c>
      <c r="C3334" s="3" t="s">
        <v>1352</v>
      </c>
      <c r="D3334" s="14">
        <v>45883</v>
      </c>
      <c r="E3334" s="5" t="s">
        <v>1338</v>
      </c>
      <c r="F3334" s="5"/>
      <c r="G3334" s="6" t="s">
        <v>695</v>
      </c>
      <c r="H3334" s="6" t="s">
        <v>68</v>
      </c>
      <c r="I3334" s="6" t="s">
        <v>1377</v>
      </c>
      <c r="J3334" s="6">
        <v>177226</v>
      </c>
      <c r="K3334" s="7" t="s">
        <v>4203</v>
      </c>
      <c r="L3334" s="8">
        <v>239747</v>
      </c>
      <c r="M3334" s="8" t="str">
        <f t="shared" si="267"/>
        <v>PEN</v>
      </c>
      <c r="N3334" s="13">
        <v>1134.47</v>
      </c>
      <c r="O3334" s="13"/>
      <c r="P3334" s="3">
        <f t="shared" si="268"/>
        <v>0</v>
      </c>
      <c r="Q3334" s="3">
        <f t="shared" si="269"/>
        <v>0</v>
      </c>
      <c r="R3334" s="3">
        <f t="shared" si="265"/>
        <v>9922.0999999999731</v>
      </c>
      <c r="S3334" s="24" t="s">
        <v>1334</v>
      </c>
      <c r="T3334" s="24" t="s">
        <v>1334</v>
      </c>
      <c r="U3334" s="56"/>
      <c r="V3334" s="25">
        <f>IFERROR(VLOOKUP(BCP_Soles[[#This Row],[destinatario]],CHOOSE({1,2},Clientes_Proveedores[Razon Social],Clientes_Proveedores[Ruc / Dni]),2,0),"")</f>
        <v>20127765279</v>
      </c>
      <c r="W3334" s="25"/>
      <c r="X3334" s="25"/>
      <c r="Y3334" s="25"/>
      <c r="Z3334" s="77"/>
      <c r="AA3334" s="3" t="str">
        <f>IF(BCP_Soles[[#This Row],[fecha]]&gt;0,TEXT(BCP_Soles[[#This Row],[fecha]],"mmmm"),0)</f>
        <v>Agosto</v>
      </c>
    </row>
    <row r="3335" spans="1:27" x14ac:dyDescent="0.3">
      <c r="A3335" s="2">
        <f>IF(BCP_Soles[[#This Row],[tipo_registro]]="R",COUNTIFS($C$1:$C3334,"R")+1,A3334)</f>
        <v>2219</v>
      </c>
      <c r="B3335" s="19" t="str">
        <f t="shared" si="266"/>
        <v>B-BCP - Soles</v>
      </c>
      <c r="C3335" s="3" t="s">
        <v>1352</v>
      </c>
      <c r="D3335" s="14">
        <v>45883</v>
      </c>
      <c r="E3335" s="5" t="s">
        <v>1338</v>
      </c>
      <c r="F3335" s="5"/>
      <c r="G3335" s="6" t="s">
        <v>695</v>
      </c>
      <c r="H3335" s="6" t="s">
        <v>68</v>
      </c>
      <c r="I3335" s="6" t="s">
        <v>1377</v>
      </c>
      <c r="J3335" s="6">
        <v>177266</v>
      </c>
      <c r="K3335" s="7" t="s">
        <v>4203</v>
      </c>
      <c r="L3335" s="8">
        <v>239747</v>
      </c>
      <c r="M3335" s="8" t="str">
        <f t="shared" si="267"/>
        <v>PEN</v>
      </c>
      <c r="N3335" s="13">
        <v>1855.04</v>
      </c>
      <c r="O3335" s="13"/>
      <c r="P3335" s="3">
        <f t="shared" si="268"/>
        <v>0</v>
      </c>
      <c r="Q3335" s="3">
        <f t="shared" si="269"/>
        <v>0</v>
      </c>
      <c r="R3335" s="3">
        <f t="shared" si="265"/>
        <v>9922.0999999999731</v>
      </c>
      <c r="S3335" s="24" t="s">
        <v>1334</v>
      </c>
      <c r="T3335" s="24" t="s">
        <v>1334</v>
      </c>
      <c r="U3335" s="56"/>
      <c r="V3335" s="25">
        <f>IFERROR(VLOOKUP(BCP_Soles[[#This Row],[destinatario]],CHOOSE({1,2},Clientes_Proveedores[Razon Social],Clientes_Proveedores[Ruc / Dni]),2,0),"")</f>
        <v>20127765279</v>
      </c>
      <c r="W3335" s="25"/>
      <c r="X3335" s="25"/>
      <c r="Y3335" s="25"/>
      <c r="Z3335" s="77"/>
      <c r="AA3335" s="3" t="str">
        <f>IF(BCP_Soles[[#This Row],[fecha]]&gt;0,TEXT(BCP_Soles[[#This Row],[fecha]],"mmmm"),0)</f>
        <v>Agosto</v>
      </c>
    </row>
    <row r="3336" spans="1:27" x14ac:dyDescent="0.3">
      <c r="A3336" s="2">
        <f>IF(BCP_Soles[[#This Row],[tipo_registro]]="R",COUNTIFS($C$1:$C3335,"R")+1,A3335)</f>
        <v>2220</v>
      </c>
      <c r="B3336" s="19" t="str">
        <f t="shared" si="266"/>
        <v>B-BCP - Soles</v>
      </c>
      <c r="C3336" s="3" t="s">
        <v>1330</v>
      </c>
      <c r="D3336" s="14">
        <v>45883</v>
      </c>
      <c r="E3336" s="5" t="s">
        <v>1338</v>
      </c>
      <c r="F3336" s="5" t="s">
        <v>1336</v>
      </c>
      <c r="G3336" s="6" t="s">
        <v>425</v>
      </c>
      <c r="H3336" s="6"/>
      <c r="I3336" s="6"/>
      <c r="J3336" s="6"/>
      <c r="K3336" s="7" t="s">
        <v>4205</v>
      </c>
      <c r="L3336" s="8">
        <v>1237723</v>
      </c>
      <c r="M3336" s="8" t="str">
        <f t="shared" si="267"/>
        <v>PEN</v>
      </c>
      <c r="N3336" s="13"/>
      <c r="O3336" s="13">
        <v>2000</v>
      </c>
      <c r="P3336" s="3">
        <f t="shared" si="268"/>
        <v>0</v>
      </c>
      <c r="Q3336" s="3">
        <f t="shared" si="269"/>
        <v>2000</v>
      </c>
      <c r="R3336" s="3">
        <f t="shared" si="265"/>
        <v>7922.0999999999731</v>
      </c>
      <c r="S3336" s="24" t="s">
        <v>1334</v>
      </c>
      <c r="T3336" s="24" t="s">
        <v>1334</v>
      </c>
      <c r="U3336" s="56" t="s">
        <v>4204</v>
      </c>
      <c r="V3336" s="25">
        <f>IFERROR(VLOOKUP(BCP_Soles[[#This Row],[destinatario]],CHOOSE({1,2},Clientes_Proveedores[Razon Social],Clientes_Proveedores[Ruc / Dni]),2,0),"")</f>
        <v>20558226979</v>
      </c>
      <c r="W3336" s="25"/>
      <c r="X3336" s="25"/>
      <c r="Y3336" s="25"/>
      <c r="Z3336" s="77"/>
      <c r="AA3336" s="3" t="str">
        <f>IF(BCP_Soles[[#This Row],[fecha]]&gt;0,TEXT(BCP_Soles[[#This Row],[fecha]],"mmmm"),0)</f>
        <v>Agosto</v>
      </c>
    </row>
    <row r="3337" spans="1:27" ht="24" x14ac:dyDescent="0.3">
      <c r="A3337" s="2">
        <f>IF(BCP_Soles[[#This Row],[tipo_registro]]="R",COUNTIFS($C$1:$C3336,"R")+1,A3336)</f>
        <v>2221</v>
      </c>
      <c r="B3337" s="19" t="str">
        <f t="shared" si="266"/>
        <v>B-BCP - Soles</v>
      </c>
      <c r="C3337" s="3" t="s">
        <v>1330</v>
      </c>
      <c r="D3337" s="14">
        <v>45883</v>
      </c>
      <c r="E3337" s="5" t="s">
        <v>1338</v>
      </c>
      <c r="F3337" s="5" t="s">
        <v>1336</v>
      </c>
      <c r="G3337" s="6" t="s">
        <v>888</v>
      </c>
      <c r="H3337" s="6" t="s">
        <v>147</v>
      </c>
      <c r="I3337" s="6">
        <v>13</v>
      </c>
      <c r="J3337" s="6">
        <v>34</v>
      </c>
      <c r="K3337" s="7" t="s">
        <v>4206</v>
      </c>
      <c r="L3337" s="8">
        <v>1239243</v>
      </c>
      <c r="M3337" s="8" t="str">
        <f t="shared" si="267"/>
        <v>PEN</v>
      </c>
      <c r="N3337" s="13"/>
      <c r="O3337" s="13">
        <v>1165</v>
      </c>
      <c r="P3337" s="3">
        <f t="shared" si="268"/>
        <v>0</v>
      </c>
      <c r="Q3337" s="3">
        <f t="shared" si="269"/>
        <v>1165</v>
      </c>
      <c r="R3337" s="3">
        <f t="shared" ref="R3337:R3400" si="270">IFERROR(IF(F3337="SALDO",P3337,R3336+P3337-Q3337),0)</f>
        <v>6757.0999999999731</v>
      </c>
      <c r="S3337" s="24" t="s">
        <v>1334</v>
      </c>
      <c r="T3337" s="24" t="s">
        <v>1334</v>
      </c>
      <c r="U3337" s="56" t="s">
        <v>4207</v>
      </c>
      <c r="V3337" s="25">
        <f>IFERROR(VLOOKUP(BCP_Soles[[#This Row],[destinatario]],CHOOSE({1,2},Clientes_Proveedores[Razon Social],Clientes_Proveedores[Ruc / Dni]),2,0),"")</f>
        <v>47461440</v>
      </c>
      <c r="W3337" s="25"/>
      <c r="X3337" s="25"/>
      <c r="Y3337" s="25"/>
      <c r="Z3337" s="77"/>
      <c r="AA3337" s="3" t="str">
        <f>IF(BCP_Soles[[#This Row],[fecha]]&gt;0,TEXT(BCP_Soles[[#This Row],[fecha]],"mmmm"),0)</f>
        <v>Agosto</v>
      </c>
    </row>
    <row r="3338" spans="1:27" ht="24" x14ac:dyDescent="0.3">
      <c r="A3338" s="2">
        <f>IF(BCP_Soles[[#This Row],[tipo_registro]]="R",COUNTIFS($C$1:$C3337,"R")+1,A3337)</f>
        <v>2222</v>
      </c>
      <c r="B3338" s="19" t="str">
        <f t="shared" si="266"/>
        <v>B-BCP - Soles</v>
      </c>
      <c r="C3338" s="3" t="s">
        <v>1330</v>
      </c>
      <c r="D3338" s="14">
        <v>45883</v>
      </c>
      <c r="E3338" s="5" t="s">
        <v>1338</v>
      </c>
      <c r="F3338" s="5" t="s">
        <v>1336</v>
      </c>
      <c r="G3338" s="6" t="s">
        <v>1066</v>
      </c>
      <c r="H3338" s="6" t="s">
        <v>68</v>
      </c>
      <c r="I3338" s="6" t="s">
        <v>1376</v>
      </c>
      <c r="J3338" s="6">
        <v>179</v>
      </c>
      <c r="K3338" s="7" t="s">
        <v>4208</v>
      </c>
      <c r="L3338" s="8">
        <v>1238763</v>
      </c>
      <c r="M3338" s="8" t="str">
        <f t="shared" si="267"/>
        <v>PEN</v>
      </c>
      <c r="N3338" s="13"/>
      <c r="O3338" s="13">
        <v>90</v>
      </c>
      <c r="P3338" s="3">
        <f t="shared" si="268"/>
        <v>0</v>
      </c>
      <c r="Q3338" s="3">
        <f t="shared" si="269"/>
        <v>90</v>
      </c>
      <c r="R3338" s="3">
        <f t="shared" si="270"/>
        <v>6667.0999999999731</v>
      </c>
      <c r="S3338" s="24" t="s">
        <v>1334</v>
      </c>
      <c r="T3338" s="24" t="s">
        <v>1334</v>
      </c>
      <c r="U3338" s="56" t="s">
        <v>4209</v>
      </c>
      <c r="V3338" s="25">
        <f>IFERROR(VLOOKUP(BCP_Soles[[#This Row],[destinatario]],CHOOSE({1,2},Clientes_Proveedores[Razon Social],Clientes_Proveedores[Ruc / Dni]),2,0),"")</f>
        <v>10721906774</v>
      </c>
      <c r="W3338" s="25"/>
      <c r="X3338" s="25"/>
      <c r="Y3338" s="25"/>
      <c r="Z3338" s="77"/>
      <c r="AA3338" s="3" t="str">
        <f>IF(BCP_Soles[[#This Row],[fecha]]&gt;0,TEXT(BCP_Soles[[#This Row],[fecha]],"mmmm"),0)</f>
        <v>Agosto</v>
      </c>
    </row>
    <row r="3339" spans="1:27" x14ac:dyDescent="0.3">
      <c r="A3339" s="2">
        <f>IF(BCP_Soles[[#This Row],[tipo_registro]]="R",COUNTIFS($C$1:$C3338,"R")+1,A3338)</f>
        <v>2223</v>
      </c>
      <c r="B3339" s="19" t="str">
        <f t="shared" si="266"/>
        <v>B-BCP - Soles</v>
      </c>
      <c r="C3339" s="13" t="s">
        <v>1330</v>
      </c>
      <c r="D3339" s="14">
        <v>45883</v>
      </c>
      <c r="E3339" s="5" t="s">
        <v>1335</v>
      </c>
      <c r="F3339" s="5" t="s">
        <v>1336</v>
      </c>
      <c r="G3339" s="6" t="s">
        <v>1009</v>
      </c>
      <c r="H3339" s="6" t="s">
        <v>64</v>
      </c>
      <c r="I3339" s="6" t="s">
        <v>3673</v>
      </c>
      <c r="J3339" s="6">
        <v>2225</v>
      </c>
      <c r="K3339" s="7" t="s">
        <v>3160</v>
      </c>
      <c r="L3339" s="8"/>
      <c r="M3339" s="8" t="str">
        <f t="shared" si="267"/>
        <v>PEN</v>
      </c>
      <c r="N3339" s="13"/>
      <c r="O3339" s="13">
        <v>0.2</v>
      </c>
      <c r="P3339" s="3">
        <f t="shared" si="268"/>
        <v>0</v>
      </c>
      <c r="Q3339" s="3">
        <f t="shared" si="269"/>
        <v>0.2</v>
      </c>
      <c r="R3339" s="3">
        <f t="shared" si="270"/>
        <v>6666.8999999999733</v>
      </c>
      <c r="S3339" s="24" t="s">
        <v>1334</v>
      </c>
      <c r="T3339" s="24" t="s">
        <v>1334</v>
      </c>
      <c r="U3339" s="55"/>
      <c r="V3339" s="25">
        <f>IFERROR(VLOOKUP(BCP_Soles[[#This Row],[destinatario]],CHOOSE({1,2},Clientes_Proveedores[Razon Social],Clientes_Proveedores[Ruc / Dni]),2,0),"")</f>
        <v>11111111</v>
      </c>
      <c r="W3339" s="25"/>
      <c r="X3339" s="25"/>
      <c r="Y3339" s="25"/>
      <c r="Z3339" s="77"/>
      <c r="AA3339" s="3" t="str">
        <f>IF(BCP_Soles[[#This Row],[fecha]]&gt;0,TEXT(BCP_Soles[[#This Row],[fecha]],"mmmm"),0)</f>
        <v>Agosto</v>
      </c>
    </row>
    <row r="3340" spans="1:27" ht="24" x14ac:dyDescent="0.3">
      <c r="A3340" s="2">
        <f>IF(BCP_Soles[[#This Row],[tipo_registro]]="R",COUNTIFS($C$1:$C3339,"R")+1,A3339)</f>
        <v>2224</v>
      </c>
      <c r="B3340" s="19" t="str">
        <f t="shared" si="266"/>
        <v>B-BCP - Soles</v>
      </c>
      <c r="C3340" s="3" t="s">
        <v>1330</v>
      </c>
      <c r="D3340" s="14">
        <v>45884</v>
      </c>
      <c r="E3340" s="5" t="s">
        <v>1338</v>
      </c>
      <c r="F3340" s="5" t="s">
        <v>1336</v>
      </c>
      <c r="G3340" s="6" t="s">
        <v>1060</v>
      </c>
      <c r="H3340" s="6" t="s">
        <v>68</v>
      </c>
      <c r="I3340" s="6" t="s">
        <v>1397</v>
      </c>
      <c r="J3340" s="6">
        <v>35928154</v>
      </c>
      <c r="K3340" s="7" t="s">
        <v>4210</v>
      </c>
      <c r="L3340" s="8">
        <v>960888</v>
      </c>
      <c r="M3340" s="8" t="str">
        <f t="shared" si="267"/>
        <v>PEN</v>
      </c>
      <c r="N3340" s="13"/>
      <c r="O3340" s="13">
        <v>10</v>
      </c>
      <c r="P3340" s="3">
        <f t="shared" si="268"/>
        <v>0</v>
      </c>
      <c r="Q3340" s="3">
        <f t="shared" si="269"/>
        <v>10</v>
      </c>
      <c r="R3340" s="3">
        <f t="shared" si="270"/>
        <v>6656.8999999999733</v>
      </c>
      <c r="S3340" s="24" t="s">
        <v>1334</v>
      </c>
      <c r="T3340" s="24" t="s">
        <v>1334</v>
      </c>
      <c r="U3340" s="56"/>
      <c r="V3340" s="25">
        <f>IFERROR(VLOOKUP(BCP_Soles[[#This Row],[destinatario]],CHOOSE({1,2},Clientes_Proveedores[Razon Social],Clientes_Proveedores[Ruc / Dni]),2,0),"")</f>
        <v>20100047218</v>
      </c>
      <c r="W3340" s="25"/>
      <c r="X3340" s="25"/>
      <c r="Y3340" s="25"/>
      <c r="Z3340" s="77"/>
      <c r="AA3340" s="3" t="str">
        <f>IF(BCP_Soles[[#This Row],[fecha]]&gt;0,TEXT(BCP_Soles[[#This Row],[fecha]],"mmmm"),0)</f>
        <v>Agosto</v>
      </c>
    </row>
    <row r="3341" spans="1:27" ht="24" x14ac:dyDescent="0.3">
      <c r="A3341" s="2">
        <f>IF(BCP_Soles[[#This Row],[tipo_registro]]="R",COUNTIFS($C$1:$C3340,"R")+1,A3340)</f>
        <v>2225</v>
      </c>
      <c r="B3341" s="19" t="str">
        <f t="shared" si="266"/>
        <v>B-BCP - Soles</v>
      </c>
      <c r="C3341" s="3" t="s">
        <v>1330</v>
      </c>
      <c r="D3341" s="14">
        <v>45887</v>
      </c>
      <c r="E3341" s="5" t="s">
        <v>645</v>
      </c>
      <c r="F3341" s="5" t="s">
        <v>1303</v>
      </c>
      <c r="G3341" s="6" t="s">
        <v>425</v>
      </c>
      <c r="H3341" s="6" t="s">
        <v>68</v>
      </c>
      <c r="I3341" s="6" t="s">
        <v>3302</v>
      </c>
      <c r="J3341" s="6">
        <v>108</v>
      </c>
      <c r="K3341" s="7" t="s">
        <v>2394</v>
      </c>
      <c r="L3341" s="8">
        <v>2207484</v>
      </c>
      <c r="M3341" s="8" t="str">
        <f t="shared" si="267"/>
        <v>PEN</v>
      </c>
      <c r="N3341" s="13"/>
      <c r="O3341" s="13">
        <v>14100</v>
      </c>
      <c r="P3341" s="3">
        <f t="shared" si="268"/>
        <v>14100</v>
      </c>
      <c r="Q3341" s="3">
        <f t="shared" si="269"/>
        <v>0</v>
      </c>
      <c r="R3341" s="3">
        <f t="shared" si="270"/>
        <v>20756.899999999972</v>
      </c>
      <c r="S3341" s="24" t="s">
        <v>1334</v>
      </c>
      <c r="T3341" s="24" t="s">
        <v>1334</v>
      </c>
      <c r="U3341" s="56"/>
      <c r="V3341" s="25">
        <f>IFERROR(VLOOKUP(BCP_Soles[[#This Row],[destinatario]],CHOOSE({1,2},Clientes_Proveedores[Razon Social],Clientes_Proveedores[Ruc / Dni]),2,0),"")</f>
        <v>20558226979</v>
      </c>
      <c r="W3341" s="25"/>
      <c r="X3341" s="25"/>
      <c r="Y3341" s="25"/>
      <c r="Z3341" s="77"/>
      <c r="AA3341" s="3" t="str">
        <f>IF(BCP_Soles[[#This Row],[fecha]]&gt;0,TEXT(BCP_Soles[[#This Row],[fecha]],"mmmm"),0)</f>
        <v>Agosto</v>
      </c>
    </row>
    <row r="3342" spans="1:27" ht="48" x14ac:dyDescent="0.3">
      <c r="A3342" s="2">
        <f>IF(BCP_Soles[[#This Row],[tipo_registro]]="R",COUNTIFS($C$1:$C3341,"R")+1,A3341)</f>
        <v>2226</v>
      </c>
      <c r="B3342" s="19" t="str">
        <f t="shared" si="266"/>
        <v>B-BCP - Soles</v>
      </c>
      <c r="C3342" s="13" t="s">
        <v>1330</v>
      </c>
      <c r="D3342" s="14">
        <v>45887</v>
      </c>
      <c r="E3342" s="5" t="s">
        <v>1100</v>
      </c>
      <c r="F3342" s="5" t="s">
        <v>1303</v>
      </c>
      <c r="G3342" s="6" t="s">
        <v>425</v>
      </c>
      <c r="H3342" s="6" t="s">
        <v>68</v>
      </c>
      <c r="I3342" s="6" t="s">
        <v>1784</v>
      </c>
      <c r="J3342" s="6">
        <v>214</v>
      </c>
      <c r="K3342" s="7" t="s">
        <v>4211</v>
      </c>
      <c r="L3342" s="8">
        <v>2234054</v>
      </c>
      <c r="M3342" s="8" t="str">
        <f t="shared" si="267"/>
        <v>PEN</v>
      </c>
      <c r="N3342" s="13"/>
      <c r="O3342" s="13">
        <v>1051.97</v>
      </c>
      <c r="P3342" s="3">
        <f t="shared" si="268"/>
        <v>1051.97</v>
      </c>
      <c r="Q3342" s="3">
        <f t="shared" si="269"/>
        <v>0</v>
      </c>
      <c r="R3342" s="3">
        <f t="shared" si="270"/>
        <v>21808.869999999974</v>
      </c>
      <c r="S3342" s="24" t="s">
        <v>1334</v>
      </c>
      <c r="T3342" s="24"/>
      <c r="U3342" s="55"/>
      <c r="V3342" s="25">
        <f>IFERROR(VLOOKUP(BCP_Soles[[#This Row],[destinatario]],CHOOSE({1,2},Clientes_Proveedores[Razon Social],Clientes_Proveedores[Ruc / Dni]),2,0),"")</f>
        <v>20558226979</v>
      </c>
      <c r="W3342" s="25"/>
      <c r="X3342" s="25"/>
      <c r="Y3342" s="25"/>
      <c r="Z3342" s="77"/>
      <c r="AA3342" s="3" t="str">
        <f>IF(BCP_Soles[[#This Row],[fecha]]&gt;0,TEXT(BCP_Soles[[#This Row],[fecha]],"mmmm"),0)</f>
        <v>Agosto</v>
      </c>
    </row>
    <row r="3343" spans="1:27" ht="24" x14ac:dyDescent="0.3">
      <c r="A3343" s="2">
        <f>IF(BCP_Soles[[#This Row],[tipo_registro]]="R",COUNTIFS($C$1:$C3342,"R")+1,A3342)</f>
        <v>2227</v>
      </c>
      <c r="B3343" s="19" t="str">
        <f t="shared" si="266"/>
        <v>B-BCP - Soles</v>
      </c>
      <c r="C3343" s="13" t="s">
        <v>1330</v>
      </c>
      <c r="D3343" s="14">
        <v>45887</v>
      </c>
      <c r="E3343" s="5" t="s">
        <v>1338</v>
      </c>
      <c r="F3343" s="5" t="s">
        <v>1336</v>
      </c>
      <c r="G3343" s="6" t="s">
        <v>909</v>
      </c>
      <c r="H3343" s="6"/>
      <c r="I3343" s="6"/>
      <c r="J3343" s="6"/>
      <c r="K3343" s="7" t="s">
        <v>4212</v>
      </c>
      <c r="L3343" s="8">
        <v>1097151</v>
      </c>
      <c r="M3343" s="8" t="str">
        <f t="shared" si="267"/>
        <v>PEN</v>
      </c>
      <c r="N3343" s="13"/>
      <c r="O3343" s="13">
        <v>400</v>
      </c>
      <c r="P3343" s="3">
        <f t="shared" si="268"/>
        <v>0</v>
      </c>
      <c r="Q3343" s="3">
        <f t="shared" si="269"/>
        <v>400</v>
      </c>
      <c r="R3343" s="3">
        <f t="shared" si="270"/>
        <v>21408.869999999974</v>
      </c>
      <c r="S3343" s="24"/>
      <c r="T3343" s="24" t="s">
        <v>1334</v>
      </c>
      <c r="U3343" s="56" t="s">
        <v>4213</v>
      </c>
      <c r="V3343" s="25">
        <f>IFERROR(VLOOKUP(BCP_Soles[[#This Row],[destinatario]],CHOOSE({1,2},Clientes_Proveedores[Razon Social],Clientes_Proveedores[Ruc / Dni]),2,0),"")</f>
        <v>44314304</v>
      </c>
      <c r="W3343" s="25"/>
      <c r="X3343" s="25"/>
      <c r="Y3343" s="25"/>
      <c r="Z3343" s="77"/>
      <c r="AA3343" s="3" t="str">
        <f>IF(BCP_Soles[[#This Row],[fecha]]&gt;0,TEXT(BCP_Soles[[#This Row],[fecha]],"mmmm"),0)</f>
        <v>Agosto</v>
      </c>
    </row>
    <row r="3344" spans="1:27" ht="24" x14ac:dyDescent="0.3">
      <c r="A3344" s="2">
        <f>IF(BCP_Soles[[#This Row],[tipo_registro]]="R",COUNTIFS($C$1:$C3343,"R")+1,A3343)</f>
        <v>2228</v>
      </c>
      <c r="B3344" s="19" t="str">
        <f t="shared" si="266"/>
        <v>B-BCP - Soles</v>
      </c>
      <c r="C3344" s="13" t="s">
        <v>1330</v>
      </c>
      <c r="D3344" s="14">
        <v>45887</v>
      </c>
      <c r="E3344" s="5" t="s">
        <v>1338</v>
      </c>
      <c r="F3344" s="5" t="s">
        <v>1336</v>
      </c>
      <c r="G3344" s="6" t="s">
        <v>857</v>
      </c>
      <c r="H3344" s="6"/>
      <c r="I3344" s="6"/>
      <c r="J3344" s="6"/>
      <c r="K3344" s="7" t="s">
        <v>4212</v>
      </c>
      <c r="L3344" s="8">
        <v>1099619</v>
      </c>
      <c r="M3344" s="8" t="str">
        <f t="shared" si="267"/>
        <v>PEN</v>
      </c>
      <c r="N3344" s="13"/>
      <c r="O3344" s="13">
        <v>250</v>
      </c>
      <c r="P3344" s="3">
        <f t="shared" si="268"/>
        <v>0</v>
      </c>
      <c r="Q3344" s="3">
        <f t="shared" si="269"/>
        <v>250</v>
      </c>
      <c r="R3344" s="3">
        <f t="shared" si="270"/>
        <v>21158.869999999974</v>
      </c>
      <c r="S3344" s="24"/>
      <c r="T3344" s="24" t="s">
        <v>1334</v>
      </c>
      <c r="U3344" s="56" t="s">
        <v>4214</v>
      </c>
      <c r="V3344" s="25">
        <f>IFERROR(VLOOKUP(BCP_Soles[[#This Row],[destinatario]],CHOOSE({1,2},Clientes_Proveedores[Razon Social],Clientes_Proveedores[Ruc / Dni]),2,0),"")</f>
        <v>70666331</v>
      </c>
      <c r="W3344" s="25"/>
      <c r="X3344" s="25"/>
      <c r="Y3344" s="25"/>
      <c r="Z3344" s="77"/>
      <c r="AA3344" s="3" t="str">
        <f>IF(BCP_Soles[[#This Row],[fecha]]&gt;0,TEXT(BCP_Soles[[#This Row],[fecha]],"mmmm"),0)</f>
        <v>Agosto</v>
      </c>
    </row>
    <row r="3345" spans="1:27" ht="24" x14ac:dyDescent="0.3">
      <c r="A3345" s="2">
        <f>IF(BCP_Soles[[#This Row],[tipo_registro]]="R",COUNTIFS($C$1:$C3344,"R")+1,A3344)</f>
        <v>2229</v>
      </c>
      <c r="B3345" s="19" t="str">
        <f t="shared" si="266"/>
        <v>B-BCP - Soles</v>
      </c>
      <c r="C3345" s="13" t="s">
        <v>1330</v>
      </c>
      <c r="D3345" s="14">
        <v>45887</v>
      </c>
      <c r="E3345" s="5" t="s">
        <v>1338</v>
      </c>
      <c r="F3345" s="5" t="s">
        <v>1336</v>
      </c>
      <c r="G3345" s="6" t="s">
        <v>866</v>
      </c>
      <c r="H3345" s="6"/>
      <c r="I3345" s="6"/>
      <c r="J3345" s="6"/>
      <c r="K3345" s="7" t="s">
        <v>4215</v>
      </c>
      <c r="L3345" s="8">
        <v>1099128</v>
      </c>
      <c r="M3345" s="8" t="str">
        <f t="shared" si="267"/>
        <v>PEN</v>
      </c>
      <c r="N3345" s="13"/>
      <c r="O3345" s="13">
        <v>200</v>
      </c>
      <c r="P3345" s="3">
        <f t="shared" si="268"/>
        <v>0</v>
      </c>
      <c r="Q3345" s="3">
        <f t="shared" si="269"/>
        <v>200</v>
      </c>
      <c r="R3345" s="3">
        <f t="shared" si="270"/>
        <v>20958.869999999974</v>
      </c>
      <c r="S3345" s="24"/>
      <c r="T3345" s="24" t="s">
        <v>1334</v>
      </c>
      <c r="U3345" s="56" t="s">
        <v>4216</v>
      </c>
      <c r="V3345" s="25">
        <f>IFERROR(VLOOKUP(BCP_Soles[[#This Row],[destinatario]],CHOOSE({1,2},Clientes_Proveedores[Razon Social],Clientes_Proveedores[Ruc / Dni]),2,0),"")</f>
        <v>45921913</v>
      </c>
      <c r="W3345" s="25"/>
      <c r="X3345" s="25"/>
      <c r="Y3345" s="25"/>
      <c r="Z3345" s="77"/>
      <c r="AA3345" s="3" t="str">
        <f>IF(BCP_Soles[[#This Row],[fecha]]&gt;0,TEXT(BCP_Soles[[#This Row],[fecha]],"mmmm"),0)</f>
        <v>Agosto</v>
      </c>
    </row>
    <row r="3346" spans="1:27" ht="24" x14ac:dyDescent="0.3">
      <c r="A3346" s="2">
        <f>IF(BCP_Soles[[#This Row],[tipo_registro]]="R",COUNTIFS($C$1:$C3345,"R")+1,A3345)</f>
        <v>2230</v>
      </c>
      <c r="B3346" s="19" t="str">
        <f t="shared" si="266"/>
        <v>B-BCP - Soles</v>
      </c>
      <c r="C3346" s="13" t="s">
        <v>1330</v>
      </c>
      <c r="D3346" s="14">
        <v>45887</v>
      </c>
      <c r="E3346" s="5" t="s">
        <v>1338</v>
      </c>
      <c r="F3346" s="5" t="s">
        <v>1336</v>
      </c>
      <c r="G3346" s="6" t="s">
        <v>873</v>
      </c>
      <c r="H3346" s="6"/>
      <c r="I3346" s="6"/>
      <c r="J3346" s="6"/>
      <c r="K3346" s="7" t="s">
        <v>4212</v>
      </c>
      <c r="L3346" s="8">
        <v>1097152</v>
      </c>
      <c r="M3346" s="8" t="str">
        <f t="shared" si="267"/>
        <v>PEN</v>
      </c>
      <c r="N3346" s="13"/>
      <c r="O3346" s="13">
        <v>150</v>
      </c>
      <c r="P3346" s="3">
        <f t="shared" si="268"/>
        <v>0</v>
      </c>
      <c r="Q3346" s="3">
        <f t="shared" si="269"/>
        <v>150</v>
      </c>
      <c r="R3346" s="3">
        <f t="shared" si="270"/>
        <v>20808.869999999974</v>
      </c>
      <c r="S3346" s="24"/>
      <c r="T3346" s="24" t="s">
        <v>1334</v>
      </c>
      <c r="U3346" s="56" t="s">
        <v>4217</v>
      </c>
      <c r="V3346" s="25">
        <f>IFERROR(VLOOKUP(BCP_Soles[[#This Row],[destinatario]],CHOOSE({1,2},Clientes_Proveedores[Razon Social],Clientes_Proveedores[Ruc / Dni]),2,0),"")</f>
        <v>80355193</v>
      </c>
      <c r="W3346" s="25"/>
      <c r="X3346" s="25"/>
      <c r="Y3346" s="25"/>
      <c r="Z3346" s="77"/>
      <c r="AA3346" s="3" t="str">
        <f>IF(BCP_Soles[[#This Row],[fecha]]&gt;0,TEXT(BCP_Soles[[#This Row],[fecha]],"mmmm"),0)</f>
        <v>Agosto</v>
      </c>
    </row>
    <row r="3347" spans="1:27" ht="24" x14ac:dyDescent="0.3">
      <c r="A3347" s="2">
        <f>IF(BCP_Soles[[#This Row],[tipo_registro]]="R",COUNTIFS($C$1:$C3346,"R")+1,A3346)</f>
        <v>2231</v>
      </c>
      <c r="B3347" s="19" t="str">
        <f t="shared" si="266"/>
        <v>B-BCP - Soles</v>
      </c>
      <c r="C3347" s="13" t="s">
        <v>1330</v>
      </c>
      <c r="D3347" s="14">
        <v>45887</v>
      </c>
      <c r="E3347" s="5" t="s">
        <v>1338</v>
      </c>
      <c r="F3347" s="5" t="s">
        <v>1336</v>
      </c>
      <c r="G3347" s="6" t="s">
        <v>790</v>
      </c>
      <c r="H3347" s="6" t="s">
        <v>143</v>
      </c>
      <c r="I3347" s="6">
        <v>1</v>
      </c>
      <c r="J3347" s="6">
        <v>572025</v>
      </c>
      <c r="K3347" s="7" t="s">
        <v>4218</v>
      </c>
      <c r="L3347" s="8">
        <v>1097649</v>
      </c>
      <c r="M3347" s="8" t="str">
        <f t="shared" si="267"/>
        <v>PEN</v>
      </c>
      <c r="N3347" s="13"/>
      <c r="O3347" s="13">
        <v>165</v>
      </c>
      <c r="P3347" s="3">
        <f t="shared" si="268"/>
        <v>0</v>
      </c>
      <c r="Q3347" s="3">
        <f t="shared" si="269"/>
        <v>165</v>
      </c>
      <c r="R3347" s="3">
        <f t="shared" si="270"/>
        <v>20643.869999999974</v>
      </c>
      <c r="S3347" s="24" t="s">
        <v>1334</v>
      </c>
      <c r="T3347" s="24" t="s">
        <v>1334</v>
      </c>
      <c r="U3347" s="56" t="s">
        <v>4219</v>
      </c>
      <c r="V3347" s="25">
        <f>IFERROR(VLOOKUP(BCP_Soles[[#This Row],[destinatario]],CHOOSE({1,2},Clientes_Proveedores[Razon Social],Clientes_Proveedores[Ruc / Dni]),2,0),"")</f>
        <v>72169020</v>
      </c>
      <c r="W3347" s="25"/>
      <c r="X3347" s="25"/>
      <c r="Y3347" s="25"/>
      <c r="Z3347" s="77"/>
      <c r="AA3347" s="3" t="str">
        <f>IF(BCP_Soles[[#This Row],[fecha]]&gt;0,TEXT(BCP_Soles[[#This Row],[fecha]],"mmmm"),0)</f>
        <v>Agosto</v>
      </c>
    </row>
    <row r="3348" spans="1:27" x14ac:dyDescent="0.3">
      <c r="A3348" s="2">
        <f>IF(BCP_Soles[[#This Row],[tipo_registro]]="R",COUNTIFS($C$1:$C3347,"R")+1,A3347)</f>
        <v>2232</v>
      </c>
      <c r="B3348" s="19" t="str">
        <f t="shared" si="266"/>
        <v>B-BCP - Soles</v>
      </c>
      <c r="C3348" s="13" t="s">
        <v>1330</v>
      </c>
      <c r="D3348" s="14">
        <v>45887</v>
      </c>
      <c r="E3348" s="5" t="s">
        <v>1338</v>
      </c>
      <c r="F3348" s="5" t="s">
        <v>1336</v>
      </c>
      <c r="G3348" s="6" t="s">
        <v>575</v>
      </c>
      <c r="H3348" s="6"/>
      <c r="I3348" s="6"/>
      <c r="J3348" s="6"/>
      <c r="K3348" s="7" t="s">
        <v>4220</v>
      </c>
      <c r="L3348" s="8">
        <v>4010056</v>
      </c>
      <c r="M3348" s="8" t="str">
        <f t="shared" si="267"/>
        <v>PEN</v>
      </c>
      <c r="N3348" s="13"/>
      <c r="O3348" s="13">
        <v>600.5</v>
      </c>
      <c r="P3348" s="3">
        <f t="shared" si="268"/>
        <v>0</v>
      </c>
      <c r="Q3348" s="3">
        <f t="shared" si="269"/>
        <v>600.5</v>
      </c>
      <c r="R3348" s="3">
        <f t="shared" si="270"/>
        <v>20043.369999999974</v>
      </c>
      <c r="S3348" s="24" t="s">
        <v>1334</v>
      </c>
      <c r="T3348" s="24" t="s">
        <v>1334</v>
      </c>
      <c r="U3348" s="56" t="s">
        <v>4221</v>
      </c>
      <c r="V3348" s="25">
        <f>IFERROR(VLOOKUP(BCP_Soles[[#This Row],[destinatario]],CHOOSE({1,2},Clientes_Proveedores[Razon Social],Clientes_Proveedores[Ruc / Dni]),2,0),"")</f>
        <v>20608970909</v>
      </c>
      <c r="W3348" s="25"/>
      <c r="X3348" s="25"/>
      <c r="Y3348" s="25"/>
      <c r="Z3348" s="77"/>
      <c r="AA3348" s="3" t="str">
        <f>IF(BCP_Soles[[#This Row],[fecha]]&gt;0,TEXT(BCP_Soles[[#This Row],[fecha]],"mmmm"),0)</f>
        <v>Agosto</v>
      </c>
    </row>
    <row r="3349" spans="1:27" x14ac:dyDescent="0.3">
      <c r="A3349" s="2">
        <f>IF(BCP_Soles[[#This Row],[tipo_registro]]="R",COUNTIFS($C$1:$C3348,"R")+1,A3348)</f>
        <v>2232</v>
      </c>
      <c r="B3349" s="19" t="str">
        <f t="shared" si="266"/>
        <v>B-BCP - Soles</v>
      </c>
      <c r="C3349" s="13" t="s">
        <v>1352</v>
      </c>
      <c r="D3349" s="14">
        <v>45887</v>
      </c>
      <c r="E3349" s="5" t="s">
        <v>1338</v>
      </c>
      <c r="F3349" s="5"/>
      <c r="G3349" s="6" t="s">
        <v>575</v>
      </c>
      <c r="H3349" s="6" t="s">
        <v>68</v>
      </c>
      <c r="I3349" s="6" t="s">
        <v>1376</v>
      </c>
      <c r="J3349" s="6">
        <v>1273</v>
      </c>
      <c r="K3349" s="7" t="s">
        <v>4220</v>
      </c>
      <c r="L3349" s="8">
        <v>4010056</v>
      </c>
      <c r="M3349" s="8" t="str">
        <f t="shared" si="267"/>
        <v>PEN</v>
      </c>
      <c r="N3349" s="13">
        <v>590</v>
      </c>
      <c r="O3349" s="13"/>
      <c r="P3349" s="3">
        <f t="shared" si="268"/>
        <v>0</v>
      </c>
      <c r="Q3349" s="3">
        <f t="shared" si="269"/>
        <v>0</v>
      </c>
      <c r="R3349" s="3">
        <f t="shared" si="270"/>
        <v>20043.369999999974</v>
      </c>
      <c r="S3349" s="24" t="s">
        <v>1334</v>
      </c>
      <c r="T3349" s="24" t="s">
        <v>1334</v>
      </c>
      <c r="U3349" s="56"/>
      <c r="V3349" s="25">
        <f>IFERROR(VLOOKUP(BCP_Soles[[#This Row],[destinatario]],CHOOSE({1,2},Clientes_Proveedores[Razon Social],Clientes_Proveedores[Ruc / Dni]),2,0),"")</f>
        <v>20608970909</v>
      </c>
      <c r="W3349" s="25"/>
      <c r="X3349" s="25"/>
      <c r="Y3349" s="25"/>
      <c r="Z3349" s="77"/>
      <c r="AA3349" s="3" t="str">
        <f>IF(BCP_Soles[[#This Row],[fecha]]&gt;0,TEXT(BCP_Soles[[#This Row],[fecha]],"mmmm"),0)</f>
        <v>Agosto</v>
      </c>
    </row>
    <row r="3350" spans="1:27" ht="24" x14ac:dyDescent="0.3">
      <c r="A3350" s="2">
        <f>IF(BCP_Soles[[#This Row],[tipo_registro]]="R",COUNTIFS($C$1:$C3349,"R")+1,A3349)</f>
        <v>2232</v>
      </c>
      <c r="B3350" s="19" t="str">
        <f t="shared" si="266"/>
        <v>B-BCP - Soles</v>
      </c>
      <c r="C3350" s="13" t="s">
        <v>1352</v>
      </c>
      <c r="D3350" s="14">
        <v>45887</v>
      </c>
      <c r="E3350" s="5" t="s">
        <v>1338</v>
      </c>
      <c r="F3350" s="5"/>
      <c r="G3350" s="6" t="s">
        <v>1060</v>
      </c>
      <c r="H3350" s="6" t="s">
        <v>68</v>
      </c>
      <c r="I3350" s="6" t="s">
        <v>1397</v>
      </c>
      <c r="J3350" s="6">
        <v>36077173</v>
      </c>
      <c r="K3350" s="7" t="s">
        <v>4220</v>
      </c>
      <c r="L3350" s="8">
        <v>4010056</v>
      </c>
      <c r="M3350" s="8" t="str">
        <f t="shared" si="267"/>
        <v>PEN</v>
      </c>
      <c r="N3350" s="13">
        <v>10.5</v>
      </c>
      <c r="O3350" s="13"/>
      <c r="P3350" s="3">
        <f t="shared" si="268"/>
        <v>0</v>
      </c>
      <c r="Q3350" s="3">
        <f t="shared" si="269"/>
        <v>0</v>
      </c>
      <c r="R3350" s="3">
        <f t="shared" si="270"/>
        <v>20043.369999999974</v>
      </c>
      <c r="S3350" s="24" t="s">
        <v>1334</v>
      </c>
      <c r="T3350" s="24" t="s">
        <v>1334</v>
      </c>
      <c r="U3350" s="56"/>
      <c r="V3350" s="25">
        <f>IFERROR(VLOOKUP(BCP_Soles[[#This Row],[destinatario]],CHOOSE({1,2},Clientes_Proveedores[Razon Social],Clientes_Proveedores[Ruc / Dni]),2,0),"")</f>
        <v>20100047218</v>
      </c>
      <c r="W3350" s="25"/>
      <c r="X3350" s="25"/>
      <c r="Y3350" s="25"/>
      <c r="Z3350" s="77"/>
      <c r="AA3350" s="3" t="str">
        <f>IF(BCP_Soles[[#This Row],[fecha]]&gt;0,TEXT(BCP_Soles[[#This Row],[fecha]],"mmmm"),0)</f>
        <v>Agosto</v>
      </c>
    </row>
    <row r="3351" spans="1:27" ht="24" x14ac:dyDescent="0.3">
      <c r="A3351" s="2">
        <f>IF(BCP_Soles[[#This Row],[tipo_registro]]="R",COUNTIFS($C$1:$C3350,"R")+1,A3350)</f>
        <v>2233</v>
      </c>
      <c r="B3351" s="19" t="str">
        <f t="shared" si="266"/>
        <v>B-BCP - Soles</v>
      </c>
      <c r="C3351" s="13" t="s">
        <v>1330</v>
      </c>
      <c r="D3351" s="14">
        <v>45887</v>
      </c>
      <c r="E3351" s="5" t="s">
        <v>1338</v>
      </c>
      <c r="F3351" s="5" t="s">
        <v>1336</v>
      </c>
      <c r="G3351" s="6" t="s">
        <v>1018</v>
      </c>
      <c r="H3351" s="6"/>
      <c r="I3351" s="6"/>
      <c r="J3351" s="6"/>
      <c r="K3351" s="7" t="s">
        <v>4222</v>
      </c>
      <c r="L3351" s="8">
        <v>1099130</v>
      </c>
      <c r="M3351" s="8" t="str">
        <f t="shared" si="267"/>
        <v>PEN</v>
      </c>
      <c r="N3351" s="13"/>
      <c r="O3351" s="13">
        <v>1062.83</v>
      </c>
      <c r="P3351" s="3">
        <f t="shared" si="268"/>
        <v>0</v>
      </c>
      <c r="Q3351" s="3">
        <f t="shared" si="269"/>
        <v>1062.83</v>
      </c>
      <c r="R3351" s="3">
        <f t="shared" si="270"/>
        <v>18980.539999999972</v>
      </c>
      <c r="S3351" s="24"/>
      <c r="T3351" s="24" t="s">
        <v>1334</v>
      </c>
      <c r="U3351" s="55"/>
      <c r="V3351" s="25">
        <f>IFERROR(VLOOKUP(BCP_Soles[[#This Row],[destinatario]],CHOOSE({1,2},Clientes_Proveedores[Razon Social],Clientes_Proveedores[Ruc / Dni]),2,0),"")</f>
        <v>75276411</v>
      </c>
      <c r="W3351" s="25"/>
      <c r="X3351" s="25"/>
      <c r="Y3351" s="25"/>
      <c r="Z3351" s="77"/>
      <c r="AA3351" s="3" t="str">
        <f>IF(BCP_Soles[[#This Row],[fecha]]&gt;0,TEXT(BCP_Soles[[#This Row],[fecha]],"mmmm"),0)</f>
        <v>Agosto</v>
      </c>
    </row>
    <row r="3352" spans="1:27" x14ac:dyDescent="0.3">
      <c r="A3352" s="2">
        <f>IF(BCP_Soles[[#This Row],[tipo_registro]]="R",COUNTIFS($C$1:$C3351,"R")+1,A3351)</f>
        <v>2234</v>
      </c>
      <c r="B3352" s="19" t="str">
        <f t="shared" si="266"/>
        <v>B-BCP - Soles</v>
      </c>
      <c r="C3352" s="13" t="s">
        <v>1330</v>
      </c>
      <c r="D3352" s="14">
        <v>45887</v>
      </c>
      <c r="E3352" s="5" t="s">
        <v>1338</v>
      </c>
      <c r="F3352" s="5" t="s">
        <v>1336</v>
      </c>
      <c r="G3352" s="6" t="s">
        <v>493</v>
      </c>
      <c r="H3352" s="6"/>
      <c r="I3352" s="6"/>
      <c r="J3352" s="6"/>
      <c r="K3352" s="7" t="s">
        <v>4223</v>
      </c>
      <c r="L3352" s="8">
        <v>1096208</v>
      </c>
      <c r="M3352" s="8" t="str">
        <f t="shared" si="267"/>
        <v>PEN</v>
      </c>
      <c r="N3352" s="13"/>
      <c r="O3352" s="13">
        <v>271.39999999999998</v>
      </c>
      <c r="P3352" s="3">
        <f t="shared" si="268"/>
        <v>0</v>
      </c>
      <c r="Q3352" s="3">
        <f t="shared" si="269"/>
        <v>271.39999999999998</v>
      </c>
      <c r="R3352" s="3">
        <f t="shared" si="270"/>
        <v>18709.13999999997</v>
      </c>
      <c r="S3352" s="24" t="s">
        <v>1334</v>
      </c>
      <c r="T3352" s="24" t="s">
        <v>1334</v>
      </c>
      <c r="U3352" s="56" t="s">
        <v>4224</v>
      </c>
      <c r="V3352" s="25">
        <f>IFERROR(VLOOKUP(BCP_Soles[[#This Row],[destinatario]],CHOOSE({1,2},Clientes_Proveedores[Razon Social],Clientes_Proveedores[Ruc / Dni]),2,0),"")</f>
        <v>20602751326</v>
      </c>
      <c r="W3352" s="25"/>
      <c r="X3352" s="25"/>
      <c r="Y3352" s="25"/>
      <c r="Z3352" s="77"/>
      <c r="AA3352" s="3" t="str">
        <f>IF(BCP_Soles[[#This Row],[fecha]]&gt;0,TEXT(BCP_Soles[[#This Row],[fecha]],"mmmm"),0)</f>
        <v>Agosto</v>
      </c>
    </row>
    <row r="3353" spans="1:27" x14ac:dyDescent="0.3">
      <c r="A3353" s="2">
        <f>IF(BCP_Soles[[#This Row],[tipo_registro]]="R",COUNTIFS($C$1:$C3352,"R")+1,A3352)</f>
        <v>2234</v>
      </c>
      <c r="B3353" s="19" t="str">
        <f t="shared" si="266"/>
        <v>B-BCP - Soles</v>
      </c>
      <c r="C3353" s="13" t="s">
        <v>1352</v>
      </c>
      <c r="D3353" s="14">
        <v>45887</v>
      </c>
      <c r="E3353" s="5" t="s">
        <v>1338</v>
      </c>
      <c r="F3353" s="5"/>
      <c r="G3353" s="6" t="s">
        <v>493</v>
      </c>
      <c r="H3353" s="6" t="s">
        <v>68</v>
      </c>
      <c r="I3353" s="6" t="s">
        <v>1841</v>
      </c>
      <c r="J3353" s="6">
        <v>1192</v>
      </c>
      <c r="K3353" s="7" t="s">
        <v>4223</v>
      </c>
      <c r="L3353" s="8">
        <v>1096208</v>
      </c>
      <c r="M3353" s="8" t="str">
        <f t="shared" si="267"/>
        <v>PEN</v>
      </c>
      <c r="N3353" s="13">
        <v>103.13</v>
      </c>
      <c r="O3353" s="13"/>
      <c r="P3353" s="3">
        <f t="shared" si="268"/>
        <v>0</v>
      </c>
      <c r="Q3353" s="3">
        <f t="shared" si="269"/>
        <v>0</v>
      </c>
      <c r="R3353" s="3">
        <f t="shared" si="270"/>
        <v>18709.13999999997</v>
      </c>
      <c r="S3353" s="24" t="s">
        <v>1334</v>
      </c>
      <c r="T3353" s="24" t="s">
        <v>1334</v>
      </c>
      <c r="U3353" s="56" t="s">
        <v>4224</v>
      </c>
      <c r="V3353" s="25">
        <f>IFERROR(VLOOKUP(BCP_Soles[[#This Row],[destinatario]],CHOOSE({1,2},Clientes_Proveedores[Razon Social],Clientes_Proveedores[Ruc / Dni]),2,0),"")</f>
        <v>20602751326</v>
      </c>
      <c r="W3353" s="25"/>
      <c r="X3353" s="25"/>
      <c r="Y3353" s="25"/>
      <c r="Z3353" s="77"/>
      <c r="AA3353" s="3" t="str">
        <f>IF(BCP_Soles[[#This Row],[fecha]]&gt;0,TEXT(BCP_Soles[[#This Row],[fecha]],"mmmm"),0)</f>
        <v>Agosto</v>
      </c>
    </row>
    <row r="3354" spans="1:27" x14ac:dyDescent="0.3">
      <c r="A3354" s="2">
        <f>IF(BCP_Soles[[#This Row],[tipo_registro]]="R",COUNTIFS($C$1:$C3353,"R")+1,A3353)</f>
        <v>2234</v>
      </c>
      <c r="B3354" s="19" t="str">
        <f t="shared" ref="B3354:B3417" si="271">"B-BCP - Soles"</f>
        <v>B-BCP - Soles</v>
      </c>
      <c r="C3354" s="13" t="s">
        <v>1352</v>
      </c>
      <c r="D3354" s="14">
        <v>45887</v>
      </c>
      <c r="E3354" s="5" t="s">
        <v>1338</v>
      </c>
      <c r="F3354" s="5"/>
      <c r="G3354" s="6" t="s">
        <v>493</v>
      </c>
      <c r="H3354" s="6" t="s">
        <v>68</v>
      </c>
      <c r="I3354" s="6" t="s">
        <v>1841</v>
      </c>
      <c r="J3354" s="6">
        <v>1220</v>
      </c>
      <c r="K3354" s="7" t="s">
        <v>4223</v>
      </c>
      <c r="L3354" s="8">
        <v>1096208</v>
      </c>
      <c r="M3354" s="8" t="str">
        <f t="shared" ref="M3354:M3417" si="272">"PEN"</f>
        <v>PEN</v>
      </c>
      <c r="N3354" s="13">
        <v>168.27</v>
      </c>
      <c r="O3354" s="13"/>
      <c r="P3354" s="3">
        <f t="shared" ref="P3354:P3417" si="273">+IF(OR($F3354="SALDO",$F3354="INGRESO"),$O3354,0)</f>
        <v>0</v>
      </c>
      <c r="Q3354" s="3">
        <f t="shared" ref="Q3354:Q3417" si="274">+IF($F3354="EGRESO",$O3354,0)</f>
        <v>0</v>
      </c>
      <c r="R3354" s="3">
        <f t="shared" si="270"/>
        <v>18709.13999999997</v>
      </c>
      <c r="S3354" s="24" t="s">
        <v>1334</v>
      </c>
      <c r="T3354" s="24" t="s">
        <v>1334</v>
      </c>
      <c r="U3354" s="56" t="s">
        <v>4224</v>
      </c>
      <c r="V3354" s="25">
        <f>IFERROR(VLOOKUP(BCP_Soles[[#This Row],[destinatario]],CHOOSE({1,2},Clientes_Proveedores[Razon Social],Clientes_Proveedores[Ruc / Dni]),2,0),"")</f>
        <v>20602751326</v>
      </c>
      <c r="W3354" s="25"/>
      <c r="X3354" s="25"/>
      <c r="Y3354" s="25"/>
      <c r="Z3354" s="77"/>
      <c r="AA3354" s="3" t="str">
        <f>IF(BCP_Soles[[#This Row],[fecha]]&gt;0,TEXT(BCP_Soles[[#This Row],[fecha]],"mmmm"),0)</f>
        <v>Agosto</v>
      </c>
    </row>
    <row r="3355" spans="1:27" ht="24" x14ac:dyDescent="0.3">
      <c r="A3355" s="2">
        <f>IF(BCP_Soles[[#This Row],[tipo_registro]]="R",COUNTIFS($C$1:$C3354,"R")+1,A3354)</f>
        <v>2235</v>
      </c>
      <c r="B3355" s="19" t="str">
        <f t="shared" si="271"/>
        <v>B-BCP - Soles</v>
      </c>
      <c r="C3355" s="3" t="s">
        <v>1330</v>
      </c>
      <c r="D3355" s="14">
        <v>45887</v>
      </c>
      <c r="E3355" s="5" t="s">
        <v>1338</v>
      </c>
      <c r="F3355" s="5" t="s">
        <v>1336</v>
      </c>
      <c r="G3355" s="6" t="s">
        <v>895</v>
      </c>
      <c r="H3355" s="6"/>
      <c r="I3355" s="6"/>
      <c r="J3355" s="6"/>
      <c r="K3355" s="7" t="s">
        <v>4225</v>
      </c>
      <c r="L3355" s="8">
        <v>1222659</v>
      </c>
      <c r="M3355" s="8" t="str">
        <f t="shared" si="272"/>
        <v>PEN</v>
      </c>
      <c r="N3355" s="13"/>
      <c r="O3355" s="13">
        <v>900</v>
      </c>
      <c r="P3355" s="3">
        <f t="shared" si="273"/>
        <v>0</v>
      </c>
      <c r="Q3355" s="3">
        <f t="shared" si="274"/>
        <v>900</v>
      </c>
      <c r="R3355" s="3">
        <f t="shared" si="270"/>
        <v>17809.13999999997</v>
      </c>
      <c r="S3355" s="24"/>
      <c r="T3355" s="24" t="s">
        <v>1334</v>
      </c>
      <c r="U3355" s="56" t="s">
        <v>4226</v>
      </c>
      <c r="V3355" s="25">
        <f>IFERROR(VLOOKUP(BCP_Soles[[#This Row],[destinatario]],CHOOSE({1,2},Clientes_Proveedores[Razon Social],Clientes_Proveedores[Ruc / Dni]),2,0),"")</f>
        <v>72144092</v>
      </c>
      <c r="W3355" s="25"/>
      <c r="X3355" s="25"/>
      <c r="Y3355" s="25"/>
      <c r="Z3355" s="77"/>
      <c r="AA3355" s="3" t="str">
        <f>IF(BCP_Soles[[#This Row],[fecha]]&gt;0,TEXT(BCP_Soles[[#This Row],[fecha]],"mmmm"),0)</f>
        <v>Agosto</v>
      </c>
    </row>
    <row r="3356" spans="1:27" ht="24" x14ac:dyDescent="0.3">
      <c r="A3356" s="2">
        <f>IF(BCP_Soles[[#This Row],[tipo_registro]]="R",COUNTIFS($C$1:$C3355,"R")+1,A3355)</f>
        <v>2236</v>
      </c>
      <c r="B3356" s="19" t="str">
        <f t="shared" si="271"/>
        <v>B-BCP - Soles</v>
      </c>
      <c r="C3356" s="3" t="s">
        <v>1330</v>
      </c>
      <c r="D3356" s="14">
        <v>45887</v>
      </c>
      <c r="E3356" s="5" t="s">
        <v>1338</v>
      </c>
      <c r="F3356" s="5" t="s">
        <v>1336</v>
      </c>
      <c r="G3356" s="6" t="s">
        <v>256</v>
      </c>
      <c r="H3356" s="6" t="s">
        <v>68</v>
      </c>
      <c r="I3356" s="6" t="s">
        <v>1374</v>
      </c>
      <c r="J3356" s="6">
        <v>49553</v>
      </c>
      <c r="K3356" s="7" t="s">
        <v>4227</v>
      </c>
      <c r="L3356" s="8">
        <v>1221667</v>
      </c>
      <c r="M3356" s="8" t="str">
        <f t="shared" si="272"/>
        <v>PEN</v>
      </c>
      <c r="N3356" s="13"/>
      <c r="O3356" s="13">
        <v>720</v>
      </c>
      <c r="P3356" s="3">
        <f t="shared" si="273"/>
        <v>0</v>
      </c>
      <c r="Q3356" s="3">
        <f t="shared" si="274"/>
        <v>720</v>
      </c>
      <c r="R3356" s="3">
        <f t="shared" si="270"/>
        <v>17089.13999999997</v>
      </c>
      <c r="S3356" s="24" t="s">
        <v>1334</v>
      </c>
      <c r="T3356" s="24" t="s">
        <v>1334</v>
      </c>
      <c r="U3356" s="56" t="s">
        <v>4228</v>
      </c>
      <c r="V3356" s="25">
        <f>IFERROR(VLOOKUP(BCP_Soles[[#This Row],[destinatario]],CHOOSE({1,2},Clientes_Proveedores[Razon Social],Clientes_Proveedores[Ruc / Dni]),2,0),"")</f>
        <v>20371310160</v>
      </c>
      <c r="W3356" s="25"/>
      <c r="X3356" s="25"/>
      <c r="Y3356" s="25"/>
      <c r="Z3356" s="77"/>
      <c r="AA3356" s="3" t="str">
        <f>IF(BCP_Soles[[#This Row],[fecha]]&gt;0,TEXT(BCP_Soles[[#This Row],[fecha]],"mmmm"),0)</f>
        <v>Agosto</v>
      </c>
    </row>
    <row r="3357" spans="1:27" x14ac:dyDescent="0.3">
      <c r="A3357" s="2">
        <f>IF(BCP_Soles[[#This Row],[tipo_registro]]="R",COUNTIFS($C$1:$C3356,"R")+1,A3356)</f>
        <v>2237</v>
      </c>
      <c r="B3357" s="19" t="str">
        <f t="shared" si="271"/>
        <v>B-BCP - Soles</v>
      </c>
      <c r="C3357" s="3" t="s">
        <v>1330</v>
      </c>
      <c r="D3357" s="14">
        <v>45887</v>
      </c>
      <c r="E3357" s="5" t="s">
        <v>4171</v>
      </c>
      <c r="F3357" s="5" t="s">
        <v>1336</v>
      </c>
      <c r="G3357" s="6"/>
      <c r="H3357" s="6"/>
      <c r="I3357" s="6"/>
      <c r="J3357" s="6"/>
      <c r="K3357" s="7" t="s">
        <v>4229</v>
      </c>
      <c r="L3357" s="8">
        <v>1010737</v>
      </c>
      <c r="M3357" s="8" t="str">
        <f t="shared" si="272"/>
        <v>PEN</v>
      </c>
      <c r="N3357" s="13"/>
      <c r="O3357" s="13">
        <v>1706</v>
      </c>
      <c r="P3357" s="3">
        <f t="shared" si="273"/>
        <v>0</v>
      </c>
      <c r="Q3357" s="3">
        <f t="shared" si="274"/>
        <v>1706</v>
      </c>
      <c r="R3357" s="3">
        <f t="shared" si="270"/>
        <v>15383.13999999997</v>
      </c>
      <c r="S3357" s="24"/>
      <c r="T3357" s="24"/>
      <c r="U3357" s="55"/>
      <c r="V3357" s="25" t="str">
        <f>IFERROR(VLOOKUP(BCP_Soles[[#This Row],[destinatario]],CHOOSE({1,2},Clientes_Proveedores[Razon Social],Clientes_Proveedores[Ruc / Dni]),2,0),"")</f>
        <v/>
      </c>
      <c r="W3357" s="25"/>
      <c r="X3357" s="25"/>
      <c r="Y3357" s="25"/>
      <c r="Z3357" s="77"/>
      <c r="AA3357" s="3" t="str">
        <f>IF(BCP_Soles[[#This Row],[fecha]]&gt;0,TEXT(BCP_Soles[[#This Row],[fecha]],"mmmm"),0)</f>
        <v>Agosto</v>
      </c>
    </row>
    <row r="3358" spans="1:27" ht="24" x14ac:dyDescent="0.3">
      <c r="A3358" s="2">
        <f>IF(BCP_Soles[[#This Row],[tipo_registro]]="R",COUNTIFS($C$1:$C3357,"R")+1,A3357)</f>
        <v>2238</v>
      </c>
      <c r="B3358" s="19" t="str">
        <f t="shared" si="271"/>
        <v>B-BCP - Soles</v>
      </c>
      <c r="C3358" s="3" t="s">
        <v>1330</v>
      </c>
      <c r="D3358" s="14">
        <v>45887</v>
      </c>
      <c r="E3358" s="5" t="s">
        <v>1335</v>
      </c>
      <c r="F3358" s="5" t="s">
        <v>1336</v>
      </c>
      <c r="G3358" s="6" t="s">
        <v>1060</v>
      </c>
      <c r="H3358" s="6" t="s">
        <v>68</v>
      </c>
      <c r="I3358" s="6" t="s">
        <v>1397</v>
      </c>
      <c r="J3358" s="6">
        <v>36068959</v>
      </c>
      <c r="K3358" s="7" t="s">
        <v>4230</v>
      </c>
      <c r="L3358" s="8">
        <v>537</v>
      </c>
      <c r="M3358" s="8" t="str">
        <f t="shared" si="272"/>
        <v>PEN</v>
      </c>
      <c r="N3358" s="13"/>
      <c r="O3358" s="13">
        <v>10</v>
      </c>
      <c r="P3358" s="3">
        <f t="shared" si="273"/>
        <v>0</v>
      </c>
      <c r="Q3358" s="3">
        <f t="shared" si="274"/>
        <v>10</v>
      </c>
      <c r="R3358" s="3">
        <f t="shared" si="270"/>
        <v>15373.13999999997</v>
      </c>
      <c r="S3358" s="24" t="s">
        <v>1334</v>
      </c>
      <c r="T3358" s="24" t="s">
        <v>1334</v>
      </c>
      <c r="U3358" s="55"/>
      <c r="V3358" s="25">
        <f>IFERROR(VLOOKUP(BCP_Soles[[#This Row],[destinatario]],CHOOSE({1,2},Clientes_Proveedores[Razon Social],Clientes_Proveedores[Ruc / Dni]),2,0),"")</f>
        <v>20100047218</v>
      </c>
      <c r="W3358" s="25"/>
      <c r="X3358" s="25"/>
      <c r="Y3358" s="25"/>
      <c r="Z3358" s="77"/>
      <c r="AA3358" s="3" t="str">
        <f>IF(BCP_Soles[[#This Row],[fecha]]&gt;0,TEXT(BCP_Soles[[#This Row],[fecha]],"mmmm"),0)</f>
        <v>Agosto</v>
      </c>
    </row>
    <row r="3359" spans="1:27" x14ac:dyDescent="0.3">
      <c r="A3359" s="2">
        <f>IF(BCP_Soles[[#This Row],[tipo_registro]]="R",COUNTIFS($C$1:$C3358,"R")+1,A3358)</f>
        <v>2239</v>
      </c>
      <c r="B3359" s="19" t="str">
        <f t="shared" si="271"/>
        <v>B-BCP - Soles</v>
      </c>
      <c r="C3359" s="3" t="s">
        <v>1330</v>
      </c>
      <c r="D3359" s="14">
        <v>45887</v>
      </c>
      <c r="E3359" s="5" t="s">
        <v>1335</v>
      </c>
      <c r="F3359" s="5" t="s">
        <v>1336</v>
      </c>
      <c r="G3359" s="6" t="s">
        <v>1009</v>
      </c>
      <c r="H3359" s="6" t="s">
        <v>64</v>
      </c>
      <c r="I3359" s="6" t="s">
        <v>3673</v>
      </c>
      <c r="J3359" s="6">
        <v>2241</v>
      </c>
      <c r="K3359" s="7" t="s">
        <v>3160</v>
      </c>
      <c r="L3359" s="8"/>
      <c r="M3359" s="8" t="str">
        <f t="shared" si="272"/>
        <v>PEN</v>
      </c>
      <c r="N3359" s="13"/>
      <c r="O3359" s="13">
        <v>0.85</v>
      </c>
      <c r="P3359" s="3">
        <f t="shared" si="273"/>
        <v>0</v>
      </c>
      <c r="Q3359" s="3">
        <f t="shared" si="274"/>
        <v>0.85</v>
      </c>
      <c r="R3359" s="3">
        <f t="shared" si="270"/>
        <v>15372.28999999997</v>
      </c>
      <c r="S3359" s="24" t="s">
        <v>1334</v>
      </c>
      <c r="T3359" s="24" t="s">
        <v>1334</v>
      </c>
      <c r="U3359" s="55"/>
      <c r="V3359" s="25">
        <f>IFERROR(VLOOKUP(BCP_Soles[[#This Row],[destinatario]],CHOOSE({1,2},Clientes_Proveedores[Razon Social],Clientes_Proveedores[Ruc / Dni]),2,0),"")</f>
        <v>11111111</v>
      </c>
      <c r="W3359" s="25"/>
      <c r="X3359" s="25"/>
      <c r="Y3359" s="25"/>
      <c r="Z3359" s="77"/>
      <c r="AA3359" s="3" t="str">
        <f>IF(BCP_Soles[[#This Row],[fecha]]&gt;0,TEXT(BCP_Soles[[#This Row],[fecha]],"mmmm"),0)</f>
        <v>Agosto</v>
      </c>
    </row>
    <row r="3360" spans="1:27" x14ac:dyDescent="0.3">
      <c r="A3360" s="2">
        <f>IF(BCP_Soles[[#This Row],[tipo_registro]]="R",COUNTIFS($C$1:$C3359,"R")+1,A3359)</f>
        <v>2240</v>
      </c>
      <c r="B3360" s="19" t="str">
        <f t="shared" si="271"/>
        <v>B-BCP - Soles</v>
      </c>
      <c r="C3360" s="3" t="s">
        <v>1330</v>
      </c>
      <c r="D3360" s="14">
        <v>45888</v>
      </c>
      <c r="E3360" s="5"/>
      <c r="F3360" s="5" t="s">
        <v>1303</v>
      </c>
      <c r="G3360" s="6" t="s">
        <v>425</v>
      </c>
      <c r="H3360" s="6"/>
      <c r="I3360" s="6"/>
      <c r="J3360" s="6"/>
      <c r="K3360" s="7" t="s">
        <v>1356</v>
      </c>
      <c r="L3360" s="8">
        <v>3167569</v>
      </c>
      <c r="M3360" s="8" t="str">
        <f t="shared" si="272"/>
        <v>PEN</v>
      </c>
      <c r="N3360" s="13"/>
      <c r="O3360" s="13">
        <v>53.1</v>
      </c>
      <c r="P3360" s="3">
        <f t="shared" si="273"/>
        <v>53.1</v>
      </c>
      <c r="Q3360" s="3">
        <f t="shared" si="274"/>
        <v>0</v>
      </c>
      <c r="R3360" s="3">
        <f t="shared" si="270"/>
        <v>15425.38999999997</v>
      </c>
      <c r="S3360" s="24"/>
      <c r="T3360" s="24"/>
      <c r="U3360" s="55"/>
      <c r="V3360" s="25">
        <f>IFERROR(VLOOKUP(BCP_Soles[[#This Row],[destinatario]],CHOOSE({1,2},Clientes_Proveedores[Razon Social],Clientes_Proveedores[Ruc / Dni]),2,0),"")</f>
        <v>20558226979</v>
      </c>
      <c r="W3360" s="25"/>
      <c r="X3360" s="25"/>
      <c r="Y3360" s="25"/>
      <c r="Z3360" s="77"/>
      <c r="AA3360" s="3" t="str">
        <f>IF(BCP_Soles[[#This Row],[fecha]]&gt;0,TEXT(BCP_Soles[[#This Row],[fecha]],"mmmm"),0)</f>
        <v>Agosto</v>
      </c>
    </row>
    <row r="3361" spans="1:27" x14ac:dyDescent="0.3">
      <c r="A3361" s="2">
        <f>IF(BCP_Soles[[#This Row],[tipo_registro]]="R",COUNTIFS($C$1:$C3360,"R")+1,A3360)</f>
        <v>2241</v>
      </c>
      <c r="B3361" s="19" t="str">
        <f t="shared" si="271"/>
        <v>B-BCP - Soles</v>
      </c>
      <c r="C3361" s="3" t="s">
        <v>1330</v>
      </c>
      <c r="D3361" s="14">
        <v>45888</v>
      </c>
      <c r="E3361" s="5" t="s">
        <v>1338</v>
      </c>
      <c r="F3361" s="5" t="s">
        <v>1336</v>
      </c>
      <c r="G3361" s="6" t="s">
        <v>575</v>
      </c>
      <c r="H3361" s="6"/>
      <c r="I3361" s="6"/>
      <c r="J3361" s="6"/>
      <c r="K3361" s="7" t="s">
        <v>4231</v>
      </c>
      <c r="L3361" s="8">
        <v>4002853</v>
      </c>
      <c r="M3361" s="8" t="str">
        <f t="shared" si="272"/>
        <v>PEN</v>
      </c>
      <c r="N3361" s="13"/>
      <c r="O3361" s="13">
        <v>600.5</v>
      </c>
      <c r="P3361" s="3">
        <f t="shared" si="273"/>
        <v>0</v>
      </c>
      <c r="Q3361" s="3">
        <f t="shared" si="274"/>
        <v>600.5</v>
      </c>
      <c r="R3361" s="3">
        <f t="shared" si="270"/>
        <v>14824.88999999997</v>
      </c>
      <c r="S3361" s="24" t="s">
        <v>1334</v>
      </c>
      <c r="T3361" s="24" t="s">
        <v>1334</v>
      </c>
      <c r="U3361" s="56" t="s">
        <v>4232</v>
      </c>
      <c r="V3361" s="25">
        <f>IFERROR(VLOOKUP(BCP_Soles[[#This Row],[destinatario]],CHOOSE({1,2},Clientes_Proveedores[Razon Social],Clientes_Proveedores[Ruc / Dni]),2,0),"")</f>
        <v>20608970909</v>
      </c>
      <c r="W3361" s="25"/>
      <c r="X3361" s="25"/>
      <c r="Y3361" s="25"/>
      <c r="Z3361" s="77"/>
      <c r="AA3361" s="3" t="str">
        <f>IF(BCP_Soles[[#This Row],[fecha]]&gt;0,TEXT(BCP_Soles[[#This Row],[fecha]],"mmmm"),0)</f>
        <v>Agosto</v>
      </c>
    </row>
    <row r="3362" spans="1:27" x14ac:dyDescent="0.3">
      <c r="A3362" s="2">
        <f>IF(BCP_Soles[[#This Row],[tipo_registro]]="R",COUNTIFS($C$1:$C3361,"R")+1,A3361)</f>
        <v>2241</v>
      </c>
      <c r="B3362" s="19" t="str">
        <f t="shared" si="271"/>
        <v>B-BCP - Soles</v>
      </c>
      <c r="C3362" s="3" t="s">
        <v>1352</v>
      </c>
      <c r="D3362" s="14">
        <v>45888</v>
      </c>
      <c r="E3362" s="5" t="s">
        <v>1338</v>
      </c>
      <c r="F3362" s="5"/>
      <c r="G3362" s="6" t="s">
        <v>575</v>
      </c>
      <c r="H3362" s="6" t="s">
        <v>68</v>
      </c>
      <c r="I3362" s="6" t="s">
        <v>1376</v>
      </c>
      <c r="J3362" s="6">
        <v>1274</v>
      </c>
      <c r="K3362" s="7" t="s">
        <v>4231</v>
      </c>
      <c r="L3362" s="8">
        <v>4002853</v>
      </c>
      <c r="M3362" s="8" t="str">
        <f t="shared" si="272"/>
        <v>PEN</v>
      </c>
      <c r="N3362" s="13">
        <v>590</v>
      </c>
      <c r="O3362" s="13"/>
      <c r="P3362" s="3">
        <f t="shared" si="273"/>
        <v>0</v>
      </c>
      <c r="Q3362" s="3">
        <f t="shared" si="274"/>
        <v>0</v>
      </c>
      <c r="R3362" s="3">
        <f t="shared" si="270"/>
        <v>14824.88999999997</v>
      </c>
      <c r="S3362" s="24" t="s">
        <v>1334</v>
      </c>
      <c r="T3362" s="24" t="s">
        <v>1334</v>
      </c>
      <c r="U3362" s="56"/>
      <c r="V3362" s="25">
        <f>IFERROR(VLOOKUP(BCP_Soles[[#This Row],[destinatario]],CHOOSE({1,2},Clientes_Proveedores[Razon Social],Clientes_Proveedores[Ruc / Dni]),2,0),"")</f>
        <v>20608970909</v>
      </c>
      <c r="W3362" s="25"/>
      <c r="X3362" s="25"/>
      <c r="Y3362" s="25"/>
      <c r="Z3362" s="77"/>
      <c r="AA3362" s="3" t="str">
        <f>IF(BCP_Soles[[#This Row],[fecha]]&gt;0,TEXT(BCP_Soles[[#This Row],[fecha]],"mmmm"),0)</f>
        <v>Agosto</v>
      </c>
    </row>
    <row r="3363" spans="1:27" ht="24" x14ac:dyDescent="0.3">
      <c r="A3363" s="2">
        <f>IF(BCP_Soles[[#This Row],[tipo_registro]]="R",COUNTIFS($C$1:$C3362,"R")+1,A3362)</f>
        <v>2241</v>
      </c>
      <c r="B3363" s="19" t="str">
        <f t="shared" si="271"/>
        <v>B-BCP - Soles</v>
      </c>
      <c r="C3363" s="3" t="s">
        <v>1352</v>
      </c>
      <c r="D3363" s="14">
        <v>45888</v>
      </c>
      <c r="E3363" s="5" t="s">
        <v>1338</v>
      </c>
      <c r="F3363" s="5"/>
      <c r="G3363" s="6" t="s">
        <v>1060</v>
      </c>
      <c r="H3363" s="6" t="s">
        <v>68</v>
      </c>
      <c r="I3363" s="6" t="s">
        <v>1397</v>
      </c>
      <c r="J3363" s="6">
        <v>36132771</v>
      </c>
      <c r="K3363" s="7" t="s">
        <v>4231</v>
      </c>
      <c r="L3363" s="8">
        <v>4002853</v>
      </c>
      <c r="M3363" s="8" t="str">
        <f t="shared" si="272"/>
        <v>PEN</v>
      </c>
      <c r="N3363" s="13">
        <v>10.5</v>
      </c>
      <c r="O3363" s="13"/>
      <c r="P3363" s="3">
        <f t="shared" si="273"/>
        <v>0</v>
      </c>
      <c r="Q3363" s="3">
        <f t="shared" si="274"/>
        <v>0</v>
      </c>
      <c r="R3363" s="3">
        <f t="shared" si="270"/>
        <v>14824.88999999997</v>
      </c>
      <c r="S3363" s="24" t="s">
        <v>1334</v>
      </c>
      <c r="T3363" s="24" t="s">
        <v>1334</v>
      </c>
      <c r="U3363" s="56"/>
      <c r="V3363" s="25">
        <f>IFERROR(VLOOKUP(BCP_Soles[[#This Row],[destinatario]],CHOOSE({1,2},Clientes_Proveedores[Razon Social],Clientes_Proveedores[Ruc / Dni]),2,0),"")</f>
        <v>20100047218</v>
      </c>
      <c r="W3363" s="25"/>
      <c r="X3363" s="25"/>
      <c r="Y3363" s="25"/>
      <c r="Z3363" s="77"/>
      <c r="AA3363" s="3" t="str">
        <f>IF(BCP_Soles[[#This Row],[fecha]]&gt;0,TEXT(BCP_Soles[[#This Row],[fecha]],"mmmm"),0)</f>
        <v>Agosto</v>
      </c>
    </row>
    <row r="3364" spans="1:27" ht="24" x14ac:dyDescent="0.3">
      <c r="A3364" s="2">
        <f>IF(BCP_Soles[[#This Row],[tipo_registro]]="R",COUNTIFS($C$1:$C3363,"R")+1,A3363)</f>
        <v>2242</v>
      </c>
      <c r="B3364" s="19" t="str">
        <f t="shared" si="271"/>
        <v>B-BCP - Soles</v>
      </c>
      <c r="C3364" s="3" t="s">
        <v>1330</v>
      </c>
      <c r="D3364" s="14">
        <v>45888</v>
      </c>
      <c r="E3364" s="5" t="s">
        <v>1338</v>
      </c>
      <c r="F3364" s="5" t="s">
        <v>1336</v>
      </c>
      <c r="G3364" s="6" t="s">
        <v>895</v>
      </c>
      <c r="H3364" s="6"/>
      <c r="I3364" s="6"/>
      <c r="J3364" s="6"/>
      <c r="K3364" s="7" t="s">
        <v>4233</v>
      </c>
      <c r="L3364" s="8">
        <v>1210613</v>
      </c>
      <c r="M3364" s="8" t="str">
        <f t="shared" si="272"/>
        <v>PEN</v>
      </c>
      <c r="N3364" s="13"/>
      <c r="O3364" s="13">
        <v>900</v>
      </c>
      <c r="P3364" s="3">
        <f t="shared" si="273"/>
        <v>0</v>
      </c>
      <c r="Q3364" s="3">
        <f t="shared" si="274"/>
        <v>900</v>
      </c>
      <c r="R3364" s="3">
        <f t="shared" si="270"/>
        <v>13924.88999999997</v>
      </c>
      <c r="S3364" s="24"/>
      <c r="T3364" s="24" t="s">
        <v>1334</v>
      </c>
      <c r="U3364" s="56" t="s">
        <v>4234</v>
      </c>
      <c r="V3364" s="25">
        <f>IFERROR(VLOOKUP(BCP_Soles[[#This Row],[destinatario]],CHOOSE({1,2},Clientes_Proveedores[Razon Social],Clientes_Proveedores[Ruc / Dni]),2,0),"")</f>
        <v>72144092</v>
      </c>
      <c r="W3364" s="25"/>
      <c r="X3364" s="25"/>
      <c r="Y3364" s="25"/>
      <c r="Z3364" s="77"/>
      <c r="AA3364" s="3" t="str">
        <f>IF(BCP_Soles[[#This Row],[fecha]]&gt;0,TEXT(BCP_Soles[[#This Row],[fecha]],"mmmm"),0)</f>
        <v>Agosto</v>
      </c>
    </row>
    <row r="3365" spans="1:27" ht="24" x14ac:dyDescent="0.3">
      <c r="A3365" s="2">
        <f>IF(BCP_Soles[[#This Row],[tipo_registro]]="R",COUNTIFS($C$1:$C3364,"R")+1,A3364)</f>
        <v>2243</v>
      </c>
      <c r="B3365" s="19" t="str">
        <f t="shared" si="271"/>
        <v>B-BCP - Soles</v>
      </c>
      <c r="C3365" s="3" t="s">
        <v>1330</v>
      </c>
      <c r="D3365" s="14">
        <v>45888</v>
      </c>
      <c r="E3365" s="5" t="s">
        <v>1338</v>
      </c>
      <c r="F3365" s="5" t="s">
        <v>1336</v>
      </c>
      <c r="G3365" s="6" t="s">
        <v>976</v>
      </c>
      <c r="H3365" s="6" t="s">
        <v>68</v>
      </c>
      <c r="I3365" s="6" t="s">
        <v>1374</v>
      </c>
      <c r="J3365" s="6">
        <v>1866</v>
      </c>
      <c r="K3365" s="7" t="s">
        <v>4235</v>
      </c>
      <c r="L3365" s="8">
        <v>1210141</v>
      </c>
      <c r="M3365" s="8" t="str">
        <f t="shared" si="272"/>
        <v>PEN</v>
      </c>
      <c r="N3365" s="13"/>
      <c r="O3365" s="13">
        <v>223.06</v>
      </c>
      <c r="P3365" s="3">
        <f t="shared" si="273"/>
        <v>0</v>
      </c>
      <c r="Q3365" s="3">
        <f t="shared" si="274"/>
        <v>223.06</v>
      </c>
      <c r="R3365" s="3">
        <f t="shared" si="270"/>
        <v>13701.829999999971</v>
      </c>
      <c r="S3365" s="24" t="s">
        <v>1334</v>
      </c>
      <c r="T3365" s="24" t="s">
        <v>1334</v>
      </c>
      <c r="U3365" s="56" t="s">
        <v>4236</v>
      </c>
      <c r="V3365" s="25">
        <f>IFERROR(VLOOKUP(BCP_Soles[[#This Row],[destinatario]],CHOOSE({1,2},Clientes_Proveedores[Razon Social],Clientes_Proveedores[Ruc / Dni]),2,0),"")</f>
        <v>20454029918</v>
      </c>
      <c r="W3365" s="25"/>
      <c r="X3365" s="25"/>
      <c r="Y3365" s="25"/>
      <c r="Z3365" s="77"/>
      <c r="AA3365" s="3" t="str">
        <f>IF(BCP_Soles[[#This Row],[fecha]]&gt;0,TEXT(BCP_Soles[[#This Row],[fecha]],"mmmm"),0)</f>
        <v>Agosto</v>
      </c>
    </row>
    <row r="3366" spans="1:27" ht="24" x14ac:dyDescent="0.3">
      <c r="A3366" s="2">
        <f>IF(BCP_Soles[[#This Row],[tipo_registro]]="R",COUNTIFS($C$1:$C3365,"R")+1,A3365)</f>
        <v>2244</v>
      </c>
      <c r="B3366" s="19" t="str">
        <f t="shared" si="271"/>
        <v>B-BCP - Soles</v>
      </c>
      <c r="C3366" s="3" t="s">
        <v>1330</v>
      </c>
      <c r="D3366" s="14">
        <v>45888</v>
      </c>
      <c r="E3366" s="5" t="s">
        <v>1338</v>
      </c>
      <c r="F3366" s="5" t="s">
        <v>1336</v>
      </c>
      <c r="G3366" s="6" t="s">
        <v>706</v>
      </c>
      <c r="H3366" s="6" t="s">
        <v>106</v>
      </c>
      <c r="I3366" s="6" t="s">
        <v>1489</v>
      </c>
      <c r="J3366" s="6">
        <v>324866</v>
      </c>
      <c r="K3366" s="7" t="s">
        <v>4237</v>
      </c>
      <c r="L3366" s="8">
        <v>4208673</v>
      </c>
      <c r="M3366" s="8" t="str">
        <f t="shared" si="272"/>
        <v>PEN</v>
      </c>
      <c r="N3366" s="13"/>
      <c r="O3366" s="13">
        <v>19.3</v>
      </c>
      <c r="P3366" s="3">
        <f t="shared" si="273"/>
        <v>0</v>
      </c>
      <c r="Q3366" s="3">
        <f t="shared" si="274"/>
        <v>19.3</v>
      </c>
      <c r="R3366" s="3">
        <f t="shared" si="270"/>
        <v>13682.529999999972</v>
      </c>
      <c r="S3366" s="24" t="s">
        <v>1334</v>
      </c>
      <c r="T3366" s="24" t="s">
        <v>1334</v>
      </c>
      <c r="U3366" s="56" t="s">
        <v>4238</v>
      </c>
      <c r="V3366" s="25">
        <f>IFERROR(VLOOKUP(BCP_Soles[[#This Row],[destinatario]],CHOOSE({1,2},Clientes_Proveedores[Razon Social],Clientes_Proveedores[Ruc / Dni]),2,0),"")</f>
        <v>20331898008</v>
      </c>
      <c r="W3366" s="25"/>
      <c r="X3366" s="25"/>
      <c r="Y3366" s="25"/>
      <c r="Z3366" s="77"/>
      <c r="AA3366" s="3" t="str">
        <f>IF(BCP_Soles[[#This Row],[fecha]]&gt;0,TEXT(BCP_Soles[[#This Row],[fecha]],"mmmm"),0)</f>
        <v>Agosto</v>
      </c>
    </row>
    <row r="3367" spans="1:27" ht="24" x14ac:dyDescent="0.3">
      <c r="A3367" s="2">
        <f>IF(BCP_Soles[[#This Row],[tipo_registro]]="R",COUNTIFS($C$1:$C3366,"R")+1,A3366)</f>
        <v>2245</v>
      </c>
      <c r="B3367" s="19" t="str">
        <f t="shared" si="271"/>
        <v>B-BCP - Soles</v>
      </c>
      <c r="C3367" s="3" t="s">
        <v>1330</v>
      </c>
      <c r="D3367" s="14">
        <v>45888</v>
      </c>
      <c r="E3367" s="5" t="s">
        <v>1338</v>
      </c>
      <c r="F3367" s="5" t="s">
        <v>1336</v>
      </c>
      <c r="G3367" s="6" t="s">
        <v>704</v>
      </c>
      <c r="H3367" s="6" t="s">
        <v>106</v>
      </c>
      <c r="I3367" s="6" t="s">
        <v>1559</v>
      </c>
      <c r="J3367" s="6">
        <v>12189708</v>
      </c>
      <c r="K3367" s="7" t="s">
        <v>4239</v>
      </c>
      <c r="L3367" s="8">
        <v>4211609</v>
      </c>
      <c r="M3367" s="8" t="str">
        <f t="shared" si="272"/>
        <v>PEN</v>
      </c>
      <c r="N3367" s="13"/>
      <c r="O3367" s="13">
        <v>15.3</v>
      </c>
      <c r="P3367" s="3">
        <f t="shared" si="273"/>
        <v>0</v>
      </c>
      <c r="Q3367" s="3">
        <f t="shared" si="274"/>
        <v>15.3</v>
      </c>
      <c r="R3367" s="3">
        <f t="shared" si="270"/>
        <v>13667.229999999972</v>
      </c>
      <c r="S3367" s="24" t="s">
        <v>1334</v>
      </c>
      <c r="T3367" s="24" t="s">
        <v>1334</v>
      </c>
      <c r="U3367" s="56" t="s">
        <v>4240</v>
      </c>
      <c r="V3367" s="25">
        <f>IFERROR(VLOOKUP(BCP_Soles[[#This Row],[destinatario]],CHOOSE({1,2},Clientes_Proveedores[Razon Social],Clientes_Proveedores[Ruc / Dni]),2,0),"")</f>
        <v>20100152356</v>
      </c>
      <c r="W3367" s="25"/>
      <c r="X3367" s="25"/>
      <c r="Y3367" s="25"/>
      <c r="Z3367" s="77"/>
      <c r="AA3367" s="3" t="str">
        <f>IF(BCP_Soles[[#This Row],[fecha]]&gt;0,TEXT(BCP_Soles[[#This Row],[fecha]],"mmmm"),0)</f>
        <v>Agosto</v>
      </c>
    </row>
    <row r="3368" spans="1:27" ht="36" x14ac:dyDescent="0.3">
      <c r="A3368" s="2">
        <f>IF(BCP_Soles[[#This Row],[tipo_registro]]="R",COUNTIFS($C$1:$C3367,"R")+1,A3367)</f>
        <v>2246</v>
      </c>
      <c r="B3368" s="19" t="str">
        <f t="shared" si="271"/>
        <v>B-BCP - Soles</v>
      </c>
      <c r="C3368" s="3" t="s">
        <v>1330</v>
      </c>
      <c r="D3368" s="14">
        <v>45888</v>
      </c>
      <c r="E3368" s="5" t="s">
        <v>1338</v>
      </c>
      <c r="F3368" s="5" t="s">
        <v>1336</v>
      </c>
      <c r="G3368" s="6" t="s">
        <v>675</v>
      </c>
      <c r="H3368" s="6"/>
      <c r="I3368" s="6"/>
      <c r="J3368" s="6"/>
      <c r="K3368" s="7" t="s">
        <v>4241</v>
      </c>
      <c r="L3368" s="8">
        <v>1209638</v>
      </c>
      <c r="M3368" s="8" t="str">
        <f t="shared" si="272"/>
        <v>PEN</v>
      </c>
      <c r="N3368" s="13"/>
      <c r="O3368" s="13">
        <v>588.82000000000005</v>
      </c>
      <c r="P3368" s="3">
        <f t="shared" si="273"/>
        <v>0</v>
      </c>
      <c r="Q3368" s="3">
        <f t="shared" si="274"/>
        <v>588.82000000000005</v>
      </c>
      <c r="R3368" s="3">
        <f t="shared" si="270"/>
        <v>13078.409999999973</v>
      </c>
      <c r="S3368" s="24" t="s">
        <v>1334</v>
      </c>
      <c r="T3368" s="24" t="s">
        <v>1334</v>
      </c>
      <c r="U3368" s="56" t="s">
        <v>4242</v>
      </c>
      <c r="V3368" s="25">
        <f>IFERROR(VLOOKUP(BCP_Soles[[#This Row],[destinatario]],CHOOSE({1,2},Clientes_Proveedores[Razon Social],Clientes_Proveedores[Ruc / Dni]),2,0),"")</f>
        <v>20455911401</v>
      </c>
      <c r="W3368" s="25"/>
      <c r="X3368" s="25"/>
      <c r="Y3368" s="25"/>
      <c r="Z3368" s="77"/>
      <c r="AA3368" s="3" t="str">
        <f>IF(BCP_Soles[[#This Row],[fecha]]&gt;0,TEXT(BCP_Soles[[#This Row],[fecha]],"mmmm"),0)</f>
        <v>Agosto</v>
      </c>
    </row>
    <row r="3369" spans="1:27" ht="36" x14ac:dyDescent="0.3">
      <c r="A3369" s="2">
        <f>IF(BCP_Soles[[#This Row],[tipo_registro]]="R",COUNTIFS($C$1:$C3368,"R")+1,A3368)</f>
        <v>2246</v>
      </c>
      <c r="B3369" s="19" t="str">
        <f t="shared" si="271"/>
        <v>B-BCP - Soles</v>
      </c>
      <c r="C3369" s="3" t="s">
        <v>1352</v>
      </c>
      <c r="D3369" s="14">
        <v>45888</v>
      </c>
      <c r="E3369" s="5" t="s">
        <v>1338</v>
      </c>
      <c r="F3369" s="5"/>
      <c r="G3369" s="6" t="s">
        <v>675</v>
      </c>
      <c r="H3369" s="6" t="s">
        <v>68</v>
      </c>
      <c r="I3369" s="6" t="s">
        <v>2912</v>
      </c>
      <c r="J3369" s="6">
        <v>1962</v>
      </c>
      <c r="K3369" s="7" t="s">
        <v>4241</v>
      </c>
      <c r="L3369" s="8">
        <v>1209638</v>
      </c>
      <c r="M3369" s="8" t="str">
        <f t="shared" si="272"/>
        <v>PEN</v>
      </c>
      <c r="N3369" s="13">
        <v>329.74</v>
      </c>
      <c r="O3369" s="13"/>
      <c r="P3369" s="3">
        <f t="shared" si="273"/>
        <v>0</v>
      </c>
      <c r="Q3369" s="3">
        <f t="shared" si="274"/>
        <v>0</v>
      </c>
      <c r="R3369" s="3">
        <f t="shared" si="270"/>
        <v>13078.409999999973</v>
      </c>
      <c r="S3369" s="24" t="s">
        <v>1334</v>
      </c>
      <c r="T3369" s="24" t="s">
        <v>1334</v>
      </c>
      <c r="U3369" s="56" t="s">
        <v>4242</v>
      </c>
      <c r="V3369" s="25">
        <f>IFERROR(VLOOKUP(BCP_Soles[[#This Row],[destinatario]],CHOOSE({1,2},Clientes_Proveedores[Razon Social],Clientes_Proveedores[Ruc / Dni]),2,0),"")</f>
        <v>20455911401</v>
      </c>
      <c r="W3369" s="25"/>
      <c r="X3369" s="25"/>
      <c r="Y3369" s="25"/>
      <c r="Z3369" s="77"/>
      <c r="AA3369" s="3" t="str">
        <f>IF(BCP_Soles[[#This Row],[fecha]]&gt;0,TEXT(BCP_Soles[[#This Row],[fecha]],"mmmm"),0)</f>
        <v>Agosto</v>
      </c>
    </row>
    <row r="3370" spans="1:27" ht="36" x14ac:dyDescent="0.3">
      <c r="A3370" s="2">
        <f>IF(BCP_Soles[[#This Row],[tipo_registro]]="R",COUNTIFS($C$1:$C3369,"R")+1,A3369)</f>
        <v>2246</v>
      </c>
      <c r="B3370" s="19" t="str">
        <f t="shared" si="271"/>
        <v>B-BCP - Soles</v>
      </c>
      <c r="C3370" s="3" t="s">
        <v>1352</v>
      </c>
      <c r="D3370" s="14">
        <v>45888</v>
      </c>
      <c r="E3370" s="5" t="s">
        <v>1338</v>
      </c>
      <c r="F3370" s="5"/>
      <c r="G3370" s="6" t="s">
        <v>675</v>
      </c>
      <c r="H3370" s="6" t="s">
        <v>68</v>
      </c>
      <c r="I3370" s="6" t="s">
        <v>2912</v>
      </c>
      <c r="J3370" s="6">
        <v>2138</v>
      </c>
      <c r="K3370" s="7" t="s">
        <v>4241</v>
      </c>
      <c r="L3370" s="8">
        <v>1209638</v>
      </c>
      <c r="M3370" s="8" t="str">
        <f t="shared" si="272"/>
        <v>PEN</v>
      </c>
      <c r="N3370" s="13">
        <v>259.08</v>
      </c>
      <c r="O3370" s="13"/>
      <c r="P3370" s="3">
        <f t="shared" si="273"/>
        <v>0</v>
      </c>
      <c r="Q3370" s="3">
        <f t="shared" si="274"/>
        <v>0</v>
      </c>
      <c r="R3370" s="3">
        <f t="shared" si="270"/>
        <v>13078.409999999973</v>
      </c>
      <c r="S3370" s="24" t="s">
        <v>1334</v>
      </c>
      <c r="T3370" s="24" t="s">
        <v>1334</v>
      </c>
      <c r="U3370" s="56" t="s">
        <v>4242</v>
      </c>
      <c r="V3370" s="25">
        <f>IFERROR(VLOOKUP(BCP_Soles[[#This Row],[destinatario]],CHOOSE({1,2},Clientes_Proveedores[Razon Social],Clientes_Proveedores[Ruc / Dni]),2,0),"")</f>
        <v>20455911401</v>
      </c>
      <c r="W3370" s="25"/>
      <c r="X3370" s="25"/>
      <c r="Y3370" s="25"/>
      <c r="Z3370" s="77"/>
      <c r="AA3370" s="3" t="str">
        <f>IF(BCP_Soles[[#This Row],[fecha]]&gt;0,TEXT(BCP_Soles[[#This Row],[fecha]],"mmmm"),0)</f>
        <v>Agosto</v>
      </c>
    </row>
    <row r="3371" spans="1:27" ht="24" x14ac:dyDescent="0.3">
      <c r="A3371" s="2">
        <f>IF(BCP_Soles[[#This Row],[tipo_registro]]="R",COUNTIFS($C$1:$C3370,"R")+1,A3370)</f>
        <v>2247</v>
      </c>
      <c r="B3371" s="19" t="str">
        <f t="shared" si="271"/>
        <v>B-BCP - Soles</v>
      </c>
      <c r="C3371" s="3" t="s">
        <v>1330</v>
      </c>
      <c r="D3371" s="14">
        <v>45888</v>
      </c>
      <c r="E3371" s="5" t="s">
        <v>1338</v>
      </c>
      <c r="F3371" s="5" t="s">
        <v>1336</v>
      </c>
      <c r="G3371" s="6" t="s">
        <v>983</v>
      </c>
      <c r="H3371" s="6" t="s">
        <v>68</v>
      </c>
      <c r="I3371" s="6" t="s">
        <v>1376</v>
      </c>
      <c r="J3371" s="6">
        <v>2</v>
      </c>
      <c r="K3371" s="7" t="s">
        <v>4243</v>
      </c>
      <c r="L3371" s="8">
        <v>1211610</v>
      </c>
      <c r="M3371" s="8" t="str">
        <f t="shared" si="272"/>
        <v>PEN</v>
      </c>
      <c r="N3371" s="13"/>
      <c r="O3371" s="13">
        <v>623</v>
      </c>
      <c r="P3371" s="3">
        <f t="shared" si="273"/>
        <v>0</v>
      </c>
      <c r="Q3371" s="3">
        <f t="shared" si="274"/>
        <v>623</v>
      </c>
      <c r="R3371" s="3">
        <f t="shared" si="270"/>
        <v>12455.409999999973</v>
      </c>
      <c r="S3371" s="24" t="s">
        <v>1334</v>
      </c>
      <c r="T3371" s="24" t="s">
        <v>1334</v>
      </c>
      <c r="U3371" s="56" t="s">
        <v>4244</v>
      </c>
      <c r="V3371" s="25">
        <f>IFERROR(VLOOKUP(BCP_Soles[[#This Row],[destinatario]],CHOOSE({1,2},Clientes_Proveedores[Razon Social],Clientes_Proveedores[Ruc / Dni]),2,0),"")</f>
        <v>20613747096</v>
      </c>
      <c r="W3371" s="25"/>
      <c r="X3371" s="25"/>
      <c r="Y3371" s="25"/>
      <c r="Z3371" s="77"/>
      <c r="AA3371" s="3" t="str">
        <f>IF(BCP_Soles[[#This Row],[fecha]]&gt;0,TEXT(BCP_Soles[[#This Row],[fecha]],"mmmm"),0)</f>
        <v>Agosto</v>
      </c>
    </row>
    <row r="3372" spans="1:27" ht="24" x14ac:dyDescent="0.3">
      <c r="A3372" s="2">
        <f>IF(BCP_Soles[[#This Row],[tipo_registro]]="R",COUNTIFS($C$1:$C3371,"R")+1,A3371)</f>
        <v>2248</v>
      </c>
      <c r="B3372" s="19" t="str">
        <f t="shared" si="271"/>
        <v>B-BCP - Soles</v>
      </c>
      <c r="C3372" s="3" t="s">
        <v>1330</v>
      </c>
      <c r="D3372" s="14">
        <v>45888</v>
      </c>
      <c r="E3372" s="5" t="s">
        <v>1338</v>
      </c>
      <c r="F3372" s="5" t="s">
        <v>1336</v>
      </c>
      <c r="G3372" s="6" t="s">
        <v>873</v>
      </c>
      <c r="H3372" s="6"/>
      <c r="I3372" s="6"/>
      <c r="J3372" s="6"/>
      <c r="K3372" s="7" t="s">
        <v>4245</v>
      </c>
      <c r="L3372" s="8">
        <v>1209174</v>
      </c>
      <c r="M3372" s="8" t="str">
        <f t="shared" si="272"/>
        <v>PEN</v>
      </c>
      <c r="N3372" s="13"/>
      <c r="O3372" s="13">
        <v>1000</v>
      </c>
      <c r="P3372" s="3">
        <f t="shared" si="273"/>
        <v>0</v>
      </c>
      <c r="Q3372" s="3">
        <f t="shared" si="274"/>
        <v>1000</v>
      </c>
      <c r="R3372" s="3">
        <f t="shared" si="270"/>
        <v>11455.409999999973</v>
      </c>
      <c r="S3372" s="24"/>
      <c r="T3372" s="24" t="s">
        <v>1334</v>
      </c>
      <c r="U3372" s="56" t="s">
        <v>4246</v>
      </c>
      <c r="V3372" s="25">
        <f>IFERROR(VLOOKUP(BCP_Soles[[#This Row],[destinatario]],CHOOSE({1,2},Clientes_Proveedores[Razon Social],Clientes_Proveedores[Ruc / Dni]),2,0),"")</f>
        <v>80355193</v>
      </c>
      <c r="W3372" s="25"/>
      <c r="X3372" s="25"/>
      <c r="Y3372" s="25"/>
      <c r="Z3372" s="77"/>
      <c r="AA3372" s="3" t="str">
        <f>IF(BCP_Soles[[#This Row],[fecha]]&gt;0,TEXT(BCP_Soles[[#This Row],[fecha]],"mmmm"),0)</f>
        <v>Agosto</v>
      </c>
    </row>
    <row r="3373" spans="1:27" ht="24" x14ac:dyDescent="0.3">
      <c r="A3373" s="2">
        <f>IF(BCP_Soles[[#This Row],[tipo_registro]]="R",COUNTIFS($C$1:$C3372,"R")+1,A3372)</f>
        <v>2249</v>
      </c>
      <c r="B3373" s="19" t="str">
        <f t="shared" si="271"/>
        <v>B-BCP - Soles</v>
      </c>
      <c r="C3373" s="3" t="s">
        <v>1330</v>
      </c>
      <c r="D3373" s="14">
        <v>45888</v>
      </c>
      <c r="E3373" s="5" t="s">
        <v>1338</v>
      </c>
      <c r="F3373" s="5" t="s">
        <v>1336</v>
      </c>
      <c r="G3373" s="6" t="s">
        <v>249</v>
      </c>
      <c r="H3373" s="6"/>
      <c r="I3373" s="6"/>
      <c r="J3373" s="6"/>
      <c r="K3373" s="7" t="s">
        <v>4247</v>
      </c>
      <c r="L3373" s="8">
        <v>1209173</v>
      </c>
      <c r="M3373" s="8" t="str">
        <f t="shared" si="272"/>
        <v>PEN</v>
      </c>
      <c r="N3373" s="13"/>
      <c r="O3373" s="13">
        <v>3000</v>
      </c>
      <c r="P3373" s="3">
        <f t="shared" si="273"/>
        <v>0</v>
      </c>
      <c r="Q3373" s="3">
        <f t="shared" si="274"/>
        <v>3000</v>
      </c>
      <c r="R3373" s="3">
        <f t="shared" si="270"/>
        <v>8455.4099999999726</v>
      </c>
      <c r="S3373" s="24"/>
      <c r="T3373" s="24" t="s">
        <v>1334</v>
      </c>
      <c r="U3373" s="56" t="s">
        <v>4248</v>
      </c>
      <c r="V3373" s="25">
        <f>IFERROR(VLOOKUP(BCP_Soles[[#This Row],[destinatario]],CHOOSE({1,2},Clientes_Proveedores[Razon Social],Clientes_Proveedores[Ruc / Dni]),2,0),"")</f>
        <v>20302891452</v>
      </c>
      <c r="W3373" s="25"/>
      <c r="X3373" s="25"/>
      <c r="Y3373" s="25"/>
      <c r="Z3373" s="77"/>
      <c r="AA3373" s="3" t="str">
        <f>IF(BCP_Soles[[#This Row],[fecha]]&gt;0,TEXT(BCP_Soles[[#This Row],[fecha]],"mmmm"),0)</f>
        <v>Agosto</v>
      </c>
    </row>
    <row r="3374" spans="1:27" x14ac:dyDescent="0.3">
      <c r="A3374" s="2">
        <f>IF(BCP_Soles[[#This Row],[tipo_registro]]="R",COUNTIFS($C$1:$C3373,"R")+1,A3373)</f>
        <v>2250</v>
      </c>
      <c r="B3374" s="19" t="str">
        <f t="shared" si="271"/>
        <v>B-BCP - Soles</v>
      </c>
      <c r="C3374" s="3" t="s">
        <v>1330</v>
      </c>
      <c r="D3374" s="14">
        <v>45888</v>
      </c>
      <c r="E3374" s="5" t="s">
        <v>1335</v>
      </c>
      <c r="F3374" s="5" t="s">
        <v>1336</v>
      </c>
      <c r="G3374" s="6" t="s">
        <v>1009</v>
      </c>
      <c r="H3374" s="6" t="s">
        <v>64</v>
      </c>
      <c r="I3374" s="6" t="s">
        <v>3673</v>
      </c>
      <c r="J3374" s="6">
        <v>2252</v>
      </c>
      <c r="K3374" s="7" t="s">
        <v>3160</v>
      </c>
      <c r="L3374" s="8"/>
      <c r="M3374" s="8" t="str">
        <f t="shared" si="272"/>
        <v>PEN</v>
      </c>
      <c r="N3374" s="13"/>
      <c r="O3374" s="13">
        <v>0.2</v>
      </c>
      <c r="P3374" s="3">
        <f t="shared" si="273"/>
        <v>0</v>
      </c>
      <c r="Q3374" s="3">
        <f t="shared" si="274"/>
        <v>0.2</v>
      </c>
      <c r="R3374" s="3">
        <f t="shared" si="270"/>
        <v>8455.2099999999718</v>
      </c>
      <c r="S3374" s="24" t="s">
        <v>1334</v>
      </c>
      <c r="T3374" s="24" t="s">
        <v>1334</v>
      </c>
      <c r="U3374" s="55"/>
      <c r="V3374" s="25">
        <f>IFERROR(VLOOKUP(BCP_Soles[[#This Row],[destinatario]],CHOOSE({1,2},Clientes_Proveedores[Razon Social],Clientes_Proveedores[Ruc / Dni]),2,0),"")</f>
        <v>11111111</v>
      </c>
      <c r="W3374" s="25"/>
      <c r="X3374" s="25"/>
      <c r="Y3374" s="25"/>
      <c r="Z3374" s="77"/>
      <c r="AA3374" s="3" t="str">
        <f>IF(BCP_Soles[[#This Row],[fecha]]&gt;0,TEXT(BCP_Soles[[#This Row],[fecha]],"mmmm"),0)</f>
        <v>Agosto</v>
      </c>
    </row>
    <row r="3375" spans="1:27" ht="24" x14ac:dyDescent="0.3">
      <c r="A3375" s="2">
        <f>IF(BCP_Soles[[#This Row],[tipo_registro]]="R",COUNTIFS($C$1:$C3374,"R")+1,A3374)</f>
        <v>2251</v>
      </c>
      <c r="B3375" s="19" t="str">
        <f t="shared" si="271"/>
        <v>B-BCP - Soles</v>
      </c>
      <c r="C3375" s="3" t="s">
        <v>1330</v>
      </c>
      <c r="D3375" s="14">
        <v>45889</v>
      </c>
      <c r="E3375" s="5" t="s">
        <v>274</v>
      </c>
      <c r="F3375" s="5" t="s">
        <v>1303</v>
      </c>
      <c r="G3375" s="6" t="s">
        <v>425</v>
      </c>
      <c r="H3375" s="6" t="s">
        <v>68</v>
      </c>
      <c r="I3375" s="6" t="s">
        <v>3302</v>
      </c>
      <c r="J3375" s="6">
        <v>109</v>
      </c>
      <c r="K3375" s="7" t="s">
        <v>4249</v>
      </c>
      <c r="L3375" s="8">
        <v>2227995</v>
      </c>
      <c r="M3375" s="8" t="str">
        <f t="shared" si="272"/>
        <v>PEN</v>
      </c>
      <c r="N3375" s="13"/>
      <c r="O3375" s="13">
        <v>541.20000000000005</v>
      </c>
      <c r="P3375" s="3">
        <f t="shared" si="273"/>
        <v>541.20000000000005</v>
      </c>
      <c r="Q3375" s="3">
        <f t="shared" si="274"/>
        <v>0</v>
      </c>
      <c r="R3375" s="3">
        <f t="shared" si="270"/>
        <v>8996.4099999999726</v>
      </c>
      <c r="S3375" s="24" t="s">
        <v>1334</v>
      </c>
      <c r="T3375" s="24" t="s">
        <v>1334</v>
      </c>
      <c r="U3375" s="55"/>
      <c r="V3375" s="25">
        <f>IFERROR(VLOOKUP(BCP_Soles[[#This Row],[destinatario]],CHOOSE({1,2},Clientes_Proveedores[Razon Social],Clientes_Proveedores[Ruc / Dni]),2,0),"")</f>
        <v>20558226979</v>
      </c>
      <c r="W3375" s="25"/>
      <c r="X3375" s="25"/>
      <c r="Y3375" s="25"/>
      <c r="Z3375" s="77"/>
      <c r="AA3375" s="3" t="str">
        <f>IF(BCP_Soles[[#This Row],[fecha]]&gt;0,TEXT(BCP_Soles[[#This Row],[fecha]],"mmmm"),0)</f>
        <v>Agosto</v>
      </c>
    </row>
    <row r="3376" spans="1:27" x14ac:dyDescent="0.3">
      <c r="A3376" s="2">
        <f>IF(BCP_Soles[[#This Row],[tipo_registro]]="R",COUNTIFS($C$1:$C3375,"R")+1,A3375)</f>
        <v>2252</v>
      </c>
      <c r="B3376" s="19" t="str">
        <f t="shared" si="271"/>
        <v>B-BCP - Soles</v>
      </c>
      <c r="C3376" s="3" t="s">
        <v>1330</v>
      </c>
      <c r="D3376" s="14">
        <v>45889</v>
      </c>
      <c r="E3376" s="5"/>
      <c r="F3376" s="5" t="s">
        <v>1303</v>
      </c>
      <c r="G3376" s="6" t="s">
        <v>425</v>
      </c>
      <c r="H3376" s="6"/>
      <c r="I3376" s="6"/>
      <c r="J3376" s="6"/>
      <c r="K3376" s="7" t="s">
        <v>1356</v>
      </c>
      <c r="L3376" s="8">
        <v>716583</v>
      </c>
      <c r="M3376" s="8" t="str">
        <f t="shared" si="272"/>
        <v>PEN</v>
      </c>
      <c r="N3376" s="13"/>
      <c r="O3376" s="13">
        <v>44.5</v>
      </c>
      <c r="P3376" s="3">
        <f t="shared" si="273"/>
        <v>44.5</v>
      </c>
      <c r="Q3376" s="3">
        <f t="shared" si="274"/>
        <v>0</v>
      </c>
      <c r="R3376" s="3">
        <f t="shared" si="270"/>
        <v>9040.9099999999726</v>
      </c>
      <c r="S3376" s="24" t="s">
        <v>1334</v>
      </c>
      <c r="T3376" s="24" t="s">
        <v>1334</v>
      </c>
      <c r="U3376" s="55"/>
      <c r="V3376" s="25">
        <f>IFERROR(VLOOKUP(BCP_Soles[[#This Row],[destinatario]],CHOOSE({1,2},Clientes_Proveedores[Razon Social],Clientes_Proveedores[Ruc / Dni]),2,0),"")</f>
        <v>20558226979</v>
      </c>
      <c r="W3376" s="25"/>
      <c r="X3376" s="25"/>
      <c r="Y3376" s="25"/>
      <c r="Z3376" s="77"/>
      <c r="AA3376" s="3" t="str">
        <f>IF(BCP_Soles[[#This Row],[fecha]]&gt;0,TEXT(BCP_Soles[[#This Row],[fecha]],"mmmm"),0)</f>
        <v>Agosto</v>
      </c>
    </row>
    <row r="3377" spans="1:27" x14ac:dyDescent="0.3">
      <c r="A3377" s="2">
        <f>IF(BCP_Soles[[#This Row],[tipo_registro]]="R",COUNTIFS($C$1:$C3376,"R")+1,A3376)</f>
        <v>2252</v>
      </c>
      <c r="B3377" s="19" t="str">
        <f t="shared" si="271"/>
        <v>B-BCP - Soles</v>
      </c>
      <c r="C3377" s="3" t="s">
        <v>1352</v>
      </c>
      <c r="D3377" s="14">
        <v>45889</v>
      </c>
      <c r="E3377" s="5" t="s">
        <v>4250</v>
      </c>
      <c r="F3377" s="5" t="s">
        <v>1303</v>
      </c>
      <c r="G3377" s="6" t="s">
        <v>425</v>
      </c>
      <c r="H3377" s="6" t="s">
        <v>119</v>
      </c>
      <c r="I3377" s="6">
        <v>1</v>
      </c>
      <c r="J3377" s="6">
        <v>4680</v>
      </c>
      <c r="K3377" s="7" t="s">
        <v>1356</v>
      </c>
      <c r="L3377" s="8">
        <v>716583</v>
      </c>
      <c r="M3377" s="8" t="str">
        <f t="shared" si="272"/>
        <v>PEN</v>
      </c>
      <c r="N3377" s="13">
        <v>41</v>
      </c>
      <c r="O3377" s="13"/>
      <c r="P3377" s="3">
        <f t="shared" si="273"/>
        <v>0</v>
      </c>
      <c r="Q3377" s="3">
        <f t="shared" si="274"/>
        <v>0</v>
      </c>
      <c r="R3377" s="3">
        <f t="shared" si="270"/>
        <v>9040.9099999999726</v>
      </c>
      <c r="S3377" s="24" t="s">
        <v>1334</v>
      </c>
      <c r="T3377" s="24" t="s">
        <v>1334</v>
      </c>
      <c r="U3377" s="55"/>
      <c r="V3377" s="25">
        <f>IFERROR(VLOOKUP(BCP_Soles[[#This Row],[destinatario]],CHOOSE({1,2},Clientes_Proveedores[Razon Social],Clientes_Proveedores[Ruc / Dni]),2,0),"")</f>
        <v>20558226979</v>
      </c>
      <c r="W3377" s="25"/>
      <c r="X3377" s="25"/>
      <c r="Y3377" s="25"/>
      <c r="Z3377" s="77"/>
      <c r="AA3377" s="3" t="str">
        <f>IF(BCP_Soles[[#This Row],[fecha]]&gt;0,TEXT(BCP_Soles[[#This Row],[fecha]],"mmmm"),0)</f>
        <v>Agosto</v>
      </c>
    </row>
    <row r="3378" spans="1:27" x14ac:dyDescent="0.3">
      <c r="A3378" s="2">
        <f>IF(BCP_Soles[[#This Row],[tipo_registro]]="R",COUNTIFS($C$1:$C3377,"R")+1,A3377)</f>
        <v>2252</v>
      </c>
      <c r="B3378" s="19" t="str">
        <f t="shared" si="271"/>
        <v>B-BCP - Soles</v>
      </c>
      <c r="C3378" s="3" t="s">
        <v>1352</v>
      </c>
      <c r="D3378" s="14">
        <v>45889</v>
      </c>
      <c r="E3378" s="5" t="s">
        <v>4250</v>
      </c>
      <c r="F3378" s="5" t="s">
        <v>1303</v>
      </c>
      <c r="G3378" s="6" t="s">
        <v>425</v>
      </c>
      <c r="H3378" s="6" t="s">
        <v>119</v>
      </c>
      <c r="I3378" s="6">
        <v>1</v>
      </c>
      <c r="J3378" s="6">
        <v>4681</v>
      </c>
      <c r="K3378" s="7" t="s">
        <v>1356</v>
      </c>
      <c r="L3378" s="8">
        <v>716583</v>
      </c>
      <c r="M3378" s="8" t="str">
        <f t="shared" si="272"/>
        <v>PEN</v>
      </c>
      <c r="N3378" s="13">
        <v>3.5</v>
      </c>
      <c r="O3378" s="13"/>
      <c r="P3378" s="3">
        <f t="shared" si="273"/>
        <v>0</v>
      </c>
      <c r="Q3378" s="3">
        <f t="shared" si="274"/>
        <v>0</v>
      </c>
      <c r="R3378" s="3">
        <f t="shared" si="270"/>
        <v>9040.9099999999726</v>
      </c>
      <c r="S3378" s="24" t="s">
        <v>1334</v>
      </c>
      <c r="T3378" s="24" t="s">
        <v>1334</v>
      </c>
      <c r="U3378" s="55"/>
      <c r="V3378" s="25">
        <f>IFERROR(VLOOKUP(BCP_Soles[[#This Row],[destinatario]],CHOOSE({1,2},Clientes_Proveedores[Razon Social],Clientes_Proveedores[Ruc / Dni]),2,0),"")</f>
        <v>20558226979</v>
      </c>
      <c r="W3378" s="25"/>
      <c r="X3378" s="25"/>
      <c r="Y3378" s="25"/>
      <c r="Z3378" s="77"/>
      <c r="AA3378" s="3" t="str">
        <f>IF(BCP_Soles[[#This Row],[fecha]]&gt;0,TEXT(BCP_Soles[[#This Row],[fecha]],"mmmm"),0)</f>
        <v>Agosto</v>
      </c>
    </row>
    <row r="3379" spans="1:27" ht="24" x14ac:dyDescent="0.3">
      <c r="A3379" s="2">
        <f>IF(BCP_Soles[[#This Row],[tipo_registro]]="R",COUNTIFS($C$1:$C3378,"R")+1,A3378)</f>
        <v>2253</v>
      </c>
      <c r="B3379" s="19" t="str">
        <f t="shared" si="271"/>
        <v>B-BCP - Soles</v>
      </c>
      <c r="C3379" s="3" t="s">
        <v>1330</v>
      </c>
      <c r="D3379" s="14">
        <v>45889</v>
      </c>
      <c r="E3379" s="5" t="s">
        <v>2009</v>
      </c>
      <c r="F3379" s="5" t="s">
        <v>1303</v>
      </c>
      <c r="G3379" s="6" t="s">
        <v>425</v>
      </c>
      <c r="H3379" s="6" t="s">
        <v>119</v>
      </c>
      <c r="I3379" s="6">
        <v>1</v>
      </c>
      <c r="J3379" s="6">
        <v>4675</v>
      </c>
      <c r="K3379" s="7" t="s">
        <v>1356</v>
      </c>
      <c r="L3379" s="8">
        <v>701593</v>
      </c>
      <c r="M3379" s="8" t="str">
        <f t="shared" si="272"/>
        <v>PEN</v>
      </c>
      <c r="N3379" s="13"/>
      <c r="O3379" s="13">
        <v>214</v>
      </c>
      <c r="P3379" s="3">
        <f t="shared" si="273"/>
        <v>214</v>
      </c>
      <c r="Q3379" s="3">
        <f t="shared" si="274"/>
        <v>0</v>
      </c>
      <c r="R3379" s="3">
        <f t="shared" si="270"/>
        <v>9254.9099999999726</v>
      </c>
      <c r="S3379" s="24" t="s">
        <v>1334</v>
      </c>
      <c r="T3379" s="24" t="s">
        <v>1334</v>
      </c>
      <c r="U3379" s="56"/>
      <c r="V3379" s="25">
        <f>IFERROR(VLOOKUP(BCP_Soles[[#This Row],[destinatario]],CHOOSE({1,2},Clientes_Proveedores[Razon Social],Clientes_Proveedores[Ruc / Dni]),2,0),"")</f>
        <v>20558226979</v>
      </c>
      <c r="W3379" s="25"/>
      <c r="X3379" s="25"/>
      <c r="Y3379" s="25"/>
      <c r="Z3379" s="77"/>
      <c r="AA3379" s="3" t="str">
        <f>IF(BCP_Soles[[#This Row],[fecha]]&gt;0,TEXT(BCP_Soles[[#This Row],[fecha]],"mmmm"),0)</f>
        <v>Agosto</v>
      </c>
    </row>
    <row r="3380" spans="1:27" ht="24" x14ac:dyDescent="0.3">
      <c r="A3380" s="2">
        <f>IF(BCP_Soles[[#This Row],[tipo_registro]]="R",COUNTIFS($C$1:$C3379,"R")+1,A3379)</f>
        <v>2254</v>
      </c>
      <c r="B3380" s="19" t="str">
        <f t="shared" si="271"/>
        <v>B-BCP - Soles</v>
      </c>
      <c r="C3380" s="3" t="s">
        <v>1330</v>
      </c>
      <c r="D3380" s="14">
        <v>45889</v>
      </c>
      <c r="E3380" s="5" t="s">
        <v>4171</v>
      </c>
      <c r="F3380" s="5" t="s">
        <v>1336</v>
      </c>
      <c r="G3380" s="6" t="s">
        <v>984</v>
      </c>
      <c r="H3380" s="6" t="s">
        <v>68</v>
      </c>
      <c r="I3380" s="6" t="s">
        <v>1391</v>
      </c>
      <c r="J3380" s="6">
        <v>17315</v>
      </c>
      <c r="K3380" s="7" t="s">
        <v>4251</v>
      </c>
      <c r="L3380" s="8">
        <v>1015180</v>
      </c>
      <c r="M3380" s="8" t="str">
        <f t="shared" si="272"/>
        <v>PEN</v>
      </c>
      <c r="N3380" s="13"/>
      <c r="O3380" s="13">
        <v>434.24</v>
      </c>
      <c r="P3380" s="3">
        <f t="shared" si="273"/>
        <v>0</v>
      </c>
      <c r="Q3380" s="3">
        <f t="shared" si="274"/>
        <v>434.24</v>
      </c>
      <c r="R3380" s="3">
        <f t="shared" si="270"/>
        <v>8820.6699999999728</v>
      </c>
      <c r="S3380" s="24" t="s">
        <v>1334</v>
      </c>
      <c r="T3380" s="24" t="s">
        <v>1334</v>
      </c>
      <c r="U3380" s="56" t="s">
        <v>4252</v>
      </c>
      <c r="V3380" s="25">
        <f>IFERROR(VLOOKUP(BCP_Soles[[#This Row],[destinatario]],CHOOSE({1,2},Clientes_Proveedores[Razon Social],Clientes_Proveedores[Ruc / Dni]),2,0),"")</f>
        <v>20455823880</v>
      </c>
      <c r="W3380" s="25"/>
      <c r="X3380" s="25"/>
      <c r="Y3380" s="25"/>
      <c r="Z3380" s="77"/>
      <c r="AA3380" s="3" t="str">
        <f>IF(BCP_Soles[[#This Row],[fecha]]&gt;0,TEXT(BCP_Soles[[#This Row],[fecha]],"mmmm"),0)</f>
        <v>Agosto</v>
      </c>
    </row>
    <row r="3381" spans="1:27" ht="24" x14ac:dyDescent="0.3">
      <c r="A3381" s="2">
        <f>IF(BCP_Soles[[#This Row],[tipo_registro]]="R",COUNTIFS($C$1:$C3380,"R")+1,A3380)</f>
        <v>2255</v>
      </c>
      <c r="B3381" s="19" t="str">
        <f t="shared" si="271"/>
        <v>B-BCP - Soles</v>
      </c>
      <c r="C3381" s="3" t="s">
        <v>1330</v>
      </c>
      <c r="D3381" s="14">
        <v>45889</v>
      </c>
      <c r="E3381" s="5" t="s">
        <v>1338</v>
      </c>
      <c r="F3381" s="5" t="s">
        <v>1336</v>
      </c>
      <c r="G3381" s="6" t="s">
        <v>857</v>
      </c>
      <c r="H3381" s="6" t="s">
        <v>143</v>
      </c>
      <c r="I3381" s="6">
        <v>1</v>
      </c>
      <c r="J3381" s="6">
        <v>582025</v>
      </c>
      <c r="K3381" s="7" t="s">
        <v>4253</v>
      </c>
      <c r="L3381" s="8">
        <v>1013388</v>
      </c>
      <c r="M3381" s="8" t="str">
        <f t="shared" si="272"/>
        <v>PEN</v>
      </c>
      <c r="N3381" s="13"/>
      <c r="O3381" s="13">
        <v>238</v>
      </c>
      <c r="P3381" s="3">
        <f t="shared" si="273"/>
        <v>0</v>
      </c>
      <c r="Q3381" s="3">
        <f t="shared" si="274"/>
        <v>238</v>
      </c>
      <c r="R3381" s="3">
        <f t="shared" si="270"/>
        <v>8582.6699999999728</v>
      </c>
      <c r="S3381" s="24" t="s">
        <v>1334</v>
      </c>
      <c r="T3381" s="24" t="s">
        <v>1334</v>
      </c>
      <c r="U3381" s="56" t="s">
        <v>4254</v>
      </c>
      <c r="V3381" s="25">
        <f>IFERROR(VLOOKUP(BCP_Soles[[#This Row],[destinatario]],CHOOSE({1,2},Clientes_Proveedores[Razon Social],Clientes_Proveedores[Ruc / Dni]),2,0),"")</f>
        <v>70666331</v>
      </c>
      <c r="W3381" s="25"/>
      <c r="X3381" s="25"/>
      <c r="Y3381" s="25"/>
      <c r="Z3381" s="77"/>
      <c r="AA3381" s="3" t="str">
        <f>IF(BCP_Soles[[#This Row],[fecha]]&gt;0,TEXT(BCP_Soles[[#This Row],[fecha]],"mmmm"),0)</f>
        <v>Agosto</v>
      </c>
    </row>
    <row r="3382" spans="1:27" ht="24" x14ac:dyDescent="0.3">
      <c r="A3382" s="2">
        <f>IF(BCP_Soles[[#This Row],[tipo_registro]]="R",COUNTIFS($C$1:$C3381,"R")+1,A3381)</f>
        <v>2256</v>
      </c>
      <c r="B3382" s="19" t="str">
        <f t="shared" si="271"/>
        <v>B-BCP - Soles</v>
      </c>
      <c r="C3382" s="3" t="s">
        <v>1330</v>
      </c>
      <c r="D3382" s="14">
        <v>45889</v>
      </c>
      <c r="E3382" s="5" t="s">
        <v>1338</v>
      </c>
      <c r="F3382" s="5" t="s">
        <v>1336</v>
      </c>
      <c r="G3382" s="6" t="s">
        <v>984</v>
      </c>
      <c r="H3382" s="6" t="s">
        <v>68</v>
      </c>
      <c r="I3382" s="6" t="s">
        <v>1391</v>
      </c>
      <c r="J3382" s="6">
        <v>17315</v>
      </c>
      <c r="K3382" s="7" t="s">
        <v>4255</v>
      </c>
      <c r="L3382" s="8">
        <v>1015674</v>
      </c>
      <c r="M3382" s="8" t="str">
        <f t="shared" si="272"/>
        <v>PEN</v>
      </c>
      <c r="N3382" s="13"/>
      <c r="O3382" s="13">
        <v>434.24</v>
      </c>
      <c r="P3382" s="3">
        <f t="shared" si="273"/>
        <v>0</v>
      </c>
      <c r="Q3382" s="3">
        <f t="shared" si="274"/>
        <v>434.24</v>
      </c>
      <c r="R3382" s="3">
        <f t="shared" si="270"/>
        <v>8148.429999999973</v>
      </c>
      <c r="S3382" s="24" t="s">
        <v>1334</v>
      </c>
      <c r="T3382" s="24" t="s">
        <v>1334</v>
      </c>
      <c r="U3382" s="56" t="s">
        <v>4256</v>
      </c>
      <c r="V3382" s="25">
        <f>IFERROR(VLOOKUP(BCP_Soles[[#This Row],[destinatario]],CHOOSE({1,2},Clientes_Proveedores[Razon Social],Clientes_Proveedores[Ruc / Dni]),2,0),"")</f>
        <v>20455823880</v>
      </c>
      <c r="W3382" s="25"/>
      <c r="X3382" s="25"/>
      <c r="Y3382" s="25"/>
      <c r="Z3382" s="77"/>
      <c r="AA3382" s="3" t="str">
        <f>IF(BCP_Soles[[#This Row],[fecha]]&gt;0,TEXT(BCP_Soles[[#This Row],[fecha]],"mmmm"),0)</f>
        <v>Agosto</v>
      </c>
    </row>
    <row r="3383" spans="1:27" ht="24" x14ac:dyDescent="0.3">
      <c r="A3383" s="2">
        <f>IF(BCP_Soles[[#This Row],[tipo_registro]]="R",COUNTIFS($C$1:$C3382,"R")+1,A3382)</f>
        <v>2257</v>
      </c>
      <c r="B3383" s="19" t="str">
        <f t="shared" si="271"/>
        <v>B-BCP - Soles</v>
      </c>
      <c r="C3383" s="3" t="s">
        <v>1330</v>
      </c>
      <c r="D3383" s="14">
        <v>45889</v>
      </c>
      <c r="E3383" s="5" t="s">
        <v>1338</v>
      </c>
      <c r="F3383" s="5" t="s">
        <v>1336</v>
      </c>
      <c r="G3383" s="6" t="s">
        <v>575</v>
      </c>
      <c r="H3383" s="6"/>
      <c r="I3383" s="6"/>
      <c r="J3383" s="6"/>
      <c r="K3383" s="7" t="s">
        <v>4257</v>
      </c>
      <c r="L3383" s="8">
        <v>4016078</v>
      </c>
      <c r="M3383" s="8" t="str">
        <f t="shared" si="272"/>
        <v>PEN</v>
      </c>
      <c r="N3383" s="13"/>
      <c r="O3383" s="13">
        <v>1852.78</v>
      </c>
      <c r="P3383" s="3">
        <f t="shared" si="273"/>
        <v>0</v>
      </c>
      <c r="Q3383" s="3">
        <f t="shared" si="274"/>
        <v>1852.78</v>
      </c>
      <c r="R3383" s="3">
        <f t="shared" si="270"/>
        <v>6295.6499999999733</v>
      </c>
      <c r="S3383" s="24"/>
      <c r="T3383" s="24"/>
      <c r="U3383" s="56" t="s">
        <v>4258</v>
      </c>
      <c r="V3383" s="25">
        <f>IFERROR(VLOOKUP(BCP_Soles[[#This Row],[destinatario]],CHOOSE({1,2},Clientes_Proveedores[Razon Social],Clientes_Proveedores[Ruc / Dni]),2,0),"")</f>
        <v>20608970909</v>
      </c>
      <c r="W3383" s="25"/>
      <c r="X3383" s="25"/>
      <c r="Y3383" s="25"/>
      <c r="Z3383" s="77"/>
      <c r="AA3383" s="3" t="str">
        <f>IF(BCP_Soles[[#This Row],[fecha]]&gt;0,TEXT(BCP_Soles[[#This Row],[fecha]],"mmmm"),0)</f>
        <v>Agosto</v>
      </c>
    </row>
    <row r="3384" spans="1:27" ht="24" x14ac:dyDescent="0.3">
      <c r="A3384" s="2">
        <f>IF(BCP_Soles[[#This Row],[tipo_registro]]="R",COUNTIFS($C$1:$C3383,"R")+1,A3383)</f>
        <v>2257</v>
      </c>
      <c r="B3384" s="19" t="str">
        <f t="shared" si="271"/>
        <v>B-BCP - Soles</v>
      </c>
      <c r="C3384" s="3" t="s">
        <v>1352</v>
      </c>
      <c r="D3384" s="14">
        <v>45889</v>
      </c>
      <c r="E3384" s="5" t="s">
        <v>1338</v>
      </c>
      <c r="F3384" s="5" t="s">
        <v>1336</v>
      </c>
      <c r="G3384" s="6" t="s">
        <v>575</v>
      </c>
      <c r="H3384" s="6" t="s">
        <v>68</v>
      </c>
      <c r="I3384" s="6" t="s">
        <v>1376</v>
      </c>
      <c r="J3384" s="51">
        <v>1444</v>
      </c>
      <c r="K3384" s="7" t="s">
        <v>4257</v>
      </c>
      <c r="L3384" s="8">
        <v>4016078</v>
      </c>
      <c r="M3384" s="8" t="str">
        <f t="shared" si="272"/>
        <v>PEN</v>
      </c>
      <c r="N3384" s="13">
        <v>1840.08</v>
      </c>
      <c r="O3384" s="13"/>
      <c r="P3384" s="3">
        <f t="shared" si="273"/>
        <v>0</v>
      </c>
      <c r="Q3384" s="3">
        <f t="shared" si="274"/>
        <v>0</v>
      </c>
      <c r="R3384" s="3">
        <f t="shared" si="270"/>
        <v>6295.6499999999733</v>
      </c>
      <c r="S3384" s="24"/>
      <c r="T3384" s="24"/>
      <c r="U3384" s="56"/>
      <c r="V3384" s="25">
        <f>IFERROR(VLOOKUP(BCP_Soles[[#This Row],[destinatario]],CHOOSE({1,2},Clientes_Proveedores[Razon Social],Clientes_Proveedores[Ruc / Dni]),2,0),"")</f>
        <v>20608970909</v>
      </c>
      <c r="W3384" s="25"/>
      <c r="X3384" s="25"/>
      <c r="Y3384" s="25"/>
      <c r="Z3384" s="77"/>
      <c r="AA3384" s="3" t="str">
        <f>IF(BCP_Soles[[#This Row],[fecha]]&gt;0,TEXT(BCP_Soles[[#This Row],[fecha]],"mmmm"),0)</f>
        <v>Agosto</v>
      </c>
    </row>
    <row r="3385" spans="1:27" ht="24" x14ac:dyDescent="0.3">
      <c r="A3385" s="2">
        <f>IF(BCP_Soles[[#This Row],[tipo_registro]]="R",COUNTIFS($C$1:$C3384,"R")+1,A3384)</f>
        <v>2257</v>
      </c>
      <c r="B3385" s="19" t="str">
        <f t="shared" si="271"/>
        <v>B-BCP - Soles</v>
      </c>
      <c r="C3385" s="3" t="s">
        <v>1352</v>
      </c>
      <c r="D3385" s="14">
        <v>45889</v>
      </c>
      <c r="E3385" s="5" t="s">
        <v>1338</v>
      </c>
      <c r="F3385" s="5" t="s">
        <v>1336</v>
      </c>
      <c r="G3385" s="6" t="s">
        <v>1060</v>
      </c>
      <c r="H3385" s="6" t="s">
        <v>68</v>
      </c>
      <c r="I3385" s="6" t="s">
        <v>1397</v>
      </c>
      <c r="J3385" s="6">
        <v>36153787</v>
      </c>
      <c r="K3385" s="7" t="s">
        <v>4257</v>
      </c>
      <c r="L3385" s="8">
        <v>4016078</v>
      </c>
      <c r="M3385" s="8" t="str">
        <f t="shared" si="272"/>
        <v>PEN</v>
      </c>
      <c r="N3385" s="13">
        <v>12.7</v>
      </c>
      <c r="O3385" s="13"/>
      <c r="P3385" s="3">
        <f t="shared" si="273"/>
        <v>0</v>
      </c>
      <c r="Q3385" s="3">
        <f t="shared" si="274"/>
        <v>0</v>
      </c>
      <c r="R3385" s="3">
        <f t="shared" si="270"/>
        <v>6295.6499999999733</v>
      </c>
      <c r="S3385" s="24" t="s">
        <v>1334</v>
      </c>
      <c r="T3385" s="24"/>
      <c r="U3385" s="56"/>
      <c r="V3385" s="25">
        <f>IFERROR(VLOOKUP(BCP_Soles[[#This Row],[destinatario]],CHOOSE({1,2},Clientes_Proveedores[Razon Social],Clientes_Proveedores[Ruc / Dni]),2,0),"")</f>
        <v>20100047218</v>
      </c>
      <c r="W3385" s="25"/>
      <c r="X3385" s="25"/>
      <c r="Y3385" s="25"/>
      <c r="Z3385" s="77"/>
      <c r="AA3385" s="3" t="str">
        <f>IF(BCP_Soles[[#This Row],[fecha]]&gt;0,TEXT(BCP_Soles[[#This Row],[fecha]],"mmmm"),0)</f>
        <v>Agosto</v>
      </c>
    </row>
    <row r="3386" spans="1:27" ht="24" x14ac:dyDescent="0.3">
      <c r="A3386" s="2">
        <f>IF(BCP_Soles[[#This Row],[tipo_registro]]="R",COUNTIFS($C$1:$C3385,"R")+1,A3385)</f>
        <v>2258</v>
      </c>
      <c r="B3386" s="19" t="str">
        <f t="shared" si="271"/>
        <v>B-BCP - Soles</v>
      </c>
      <c r="C3386" s="3" t="s">
        <v>1330</v>
      </c>
      <c r="D3386" s="14">
        <v>45889</v>
      </c>
      <c r="E3386" s="5" t="s">
        <v>1338</v>
      </c>
      <c r="F3386" s="5" t="s">
        <v>1336</v>
      </c>
      <c r="G3386" s="6" t="s">
        <v>569</v>
      </c>
      <c r="H3386" s="6" t="s">
        <v>68</v>
      </c>
      <c r="I3386" s="6" t="s">
        <v>1376</v>
      </c>
      <c r="J3386" s="6">
        <v>692</v>
      </c>
      <c r="K3386" s="7" t="s">
        <v>4259</v>
      </c>
      <c r="L3386" s="8">
        <v>1219263</v>
      </c>
      <c r="M3386" s="8" t="str">
        <f t="shared" si="272"/>
        <v>PEN</v>
      </c>
      <c r="N3386" s="13"/>
      <c r="O3386" s="13">
        <v>623</v>
      </c>
      <c r="P3386" s="3">
        <f t="shared" si="273"/>
        <v>0</v>
      </c>
      <c r="Q3386" s="3">
        <f t="shared" si="274"/>
        <v>623</v>
      </c>
      <c r="R3386" s="3">
        <f t="shared" si="270"/>
        <v>5672.6499999999733</v>
      </c>
      <c r="S3386" s="24" t="s">
        <v>1334</v>
      </c>
      <c r="T3386" s="24" t="s">
        <v>1334</v>
      </c>
      <c r="U3386" s="56" t="s">
        <v>4260</v>
      </c>
      <c r="V3386" s="25">
        <f>IFERROR(VLOOKUP(BCP_Soles[[#This Row],[destinatario]],CHOOSE({1,2},Clientes_Proveedores[Razon Social],Clientes_Proveedores[Ruc / Dni]),2,0),"")</f>
        <v>20608686747</v>
      </c>
      <c r="W3386" s="25"/>
      <c r="X3386" s="25"/>
      <c r="Y3386" s="25"/>
      <c r="Z3386" s="77"/>
      <c r="AA3386" s="3" t="str">
        <f>IF(BCP_Soles[[#This Row],[fecha]]&gt;0,TEXT(BCP_Soles[[#This Row],[fecha]],"mmmm"),0)</f>
        <v>Agosto</v>
      </c>
    </row>
    <row r="3387" spans="1:27" x14ac:dyDescent="0.3">
      <c r="A3387" s="2">
        <f>IF(BCP_Soles[[#This Row],[tipo_registro]]="R",COUNTIFS($C$1:$C3386,"R")+1,A3386)</f>
        <v>2259</v>
      </c>
      <c r="B3387" s="19" t="str">
        <f t="shared" si="271"/>
        <v>B-BCP - Soles</v>
      </c>
      <c r="C3387" s="3" t="s">
        <v>1330</v>
      </c>
      <c r="D3387" s="14">
        <v>45889</v>
      </c>
      <c r="E3387" s="5" t="s">
        <v>1338</v>
      </c>
      <c r="F3387" s="5" t="s">
        <v>1336</v>
      </c>
      <c r="G3387" s="6" t="s">
        <v>518</v>
      </c>
      <c r="H3387" s="6" t="s">
        <v>68</v>
      </c>
      <c r="I3387" s="6" t="s">
        <v>1376</v>
      </c>
      <c r="J3387" s="6">
        <v>1522</v>
      </c>
      <c r="K3387" s="7" t="s">
        <v>4261</v>
      </c>
      <c r="L3387" s="8">
        <v>1216812</v>
      </c>
      <c r="M3387" s="8" t="str">
        <f t="shared" si="272"/>
        <v>PEN</v>
      </c>
      <c r="N3387" s="13"/>
      <c r="O3387" s="13">
        <v>500</v>
      </c>
      <c r="P3387" s="3">
        <f t="shared" si="273"/>
        <v>0</v>
      </c>
      <c r="Q3387" s="3">
        <f t="shared" si="274"/>
        <v>500</v>
      </c>
      <c r="R3387" s="3">
        <f t="shared" si="270"/>
        <v>5172.6499999999733</v>
      </c>
      <c r="S3387" s="24" t="s">
        <v>1334</v>
      </c>
      <c r="T3387" s="24" t="s">
        <v>1334</v>
      </c>
      <c r="U3387" s="56" t="s">
        <v>4262</v>
      </c>
      <c r="V3387" s="25">
        <f>IFERROR(VLOOKUP(BCP_Soles[[#This Row],[destinatario]],CHOOSE({1,2},Clientes_Proveedores[Razon Social],Clientes_Proveedores[Ruc / Dni]),2,0),"")</f>
        <v>20603912838</v>
      </c>
      <c r="W3387" s="25"/>
      <c r="X3387" s="25"/>
      <c r="Y3387" s="25"/>
      <c r="Z3387" s="77"/>
      <c r="AA3387" s="3" t="str">
        <f>IF(BCP_Soles[[#This Row],[fecha]]&gt;0,TEXT(BCP_Soles[[#This Row],[fecha]],"mmmm"),0)</f>
        <v>Agosto</v>
      </c>
    </row>
    <row r="3388" spans="1:27" x14ac:dyDescent="0.3">
      <c r="A3388" s="2">
        <f>IF(BCP_Soles[[#This Row],[tipo_registro]]="R",COUNTIFS($C$1:$C3387,"R")+1,A3387)</f>
        <v>2260</v>
      </c>
      <c r="B3388" s="19" t="str">
        <f t="shared" si="271"/>
        <v>B-BCP - Soles</v>
      </c>
      <c r="C3388" s="3" t="s">
        <v>1330</v>
      </c>
      <c r="D3388" s="14">
        <v>45889</v>
      </c>
      <c r="E3388" s="5" t="s">
        <v>3190</v>
      </c>
      <c r="F3388" s="5" t="s">
        <v>1336</v>
      </c>
      <c r="G3388" s="6"/>
      <c r="H3388" s="6"/>
      <c r="I3388" s="6"/>
      <c r="J3388" s="6"/>
      <c r="K3388" s="7" t="s">
        <v>4263</v>
      </c>
      <c r="L3388" s="8">
        <v>1006250</v>
      </c>
      <c r="M3388" s="8" t="str">
        <f t="shared" si="272"/>
        <v>PEN</v>
      </c>
      <c r="N3388" s="13"/>
      <c r="O3388" s="13">
        <v>80</v>
      </c>
      <c r="P3388" s="3">
        <f t="shared" si="273"/>
        <v>0</v>
      </c>
      <c r="Q3388" s="3">
        <f t="shared" si="274"/>
        <v>80</v>
      </c>
      <c r="R3388" s="3">
        <f t="shared" si="270"/>
        <v>5092.6499999999733</v>
      </c>
      <c r="S3388" s="24"/>
      <c r="T3388" s="24"/>
      <c r="U3388" s="56"/>
      <c r="V3388" s="25" t="str">
        <f>IFERROR(VLOOKUP(BCP_Soles[[#This Row],[destinatario]],CHOOSE({1,2},Clientes_Proveedores[Razon Social],Clientes_Proveedores[Ruc / Dni]),2,0),"")</f>
        <v/>
      </c>
      <c r="W3388" s="25"/>
      <c r="X3388" s="25"/>
      <c r="Y3388" s="25"/>
      <c r="Z3388" s="77"/>
      <c r="AA3388" s="3" t="str">
        <f>IF(BCP_Soles[[#This Row],[fecha]]&gt;0,TEXT(BCP_Soles[[#This Row],[fecha]],"mmmm"),0)</f>
        <v>Agosto</v>
      </c>
    </row>
    <row r="3389" spans="1:27" ht="24" x14ac:dyDescent="0.3">
      <c r="A3389" s="2">
        <f>IF(BCP_Soles[[#This Row],[tipo_registro]]="R",COUNTIFS($C$1:$C3388,"R")+1,A3388)</f>
        <v>2261</v>
      </c>
      <c r="B3389" s="19" t="str">
        <f t="shared" si="271"/>
        <v>B-BCP - Soles</v>
      </c>
      <c r="C3389" s="3" t="s">
        <v>1330</v>
      </c>
      <c r="D3389" s="14">
        <v>45889</v>
      </c>
      <c r="E3389" s="5" t="s">
        <v>1335</v>
      </c>
      <c r="F3389" s="5" t="s">
        <v>1336</v>
      </c>
      <c r="G3389" s="6" t="s">
        <v>1060</v>
      </c>
      <c r="H3389" s="6" t="s">
        <v>68</v>
      </c>
      <c r="I3389" s="6" t="s">
        <v>1397</v>
      </c>
      <c r="J3389" s="6">
        <v>36147787</v>
      </c>
      <c r="K3389" s="7" t="s">
        <v>4230</v>
      </c>
      <c r="L3389" s="8">
        <v>417</v>
      </c>
      <c r="M3389" s="8" t="str">
        <f t="shared" si="272"/>
        <v>PEN</v>
      </c>
      <c r="N3389" s="13"/>
      <c r="O3389" s="13">
        <v>3.5</v>
      </c>
      <c r="P3389" s="3">
        <f t="shared" si="273"/>
        <v>0</v>
      </c>
      <c r="Q3389" s="3">
        <f t="shared" si="274"/>
        <v>3.5</v>
      </c>
      <c r="R3389" s="3">
        <f t="shared" si="270"/>
        <v>5089.1499999999733</v>
      </c>
      <c r="S3389" s="24" t="s">
        <v>1334</v>
      </c>
      <c r="T3389" s="24" t="s">
        <v>1334</v>
      </c>
      <c r="U3389" s="56"/>
      <c r="V3389" s="25">
        <f>IFERROR(VLOOKUP(BCP_Soles[[#This Row],[destinatario]],CHOOSE({1,2},Clientes_Proveedores[Razon Social],Clientes_Proveedores[Ruc / Dni]),2,0),"")</f>
        <v>20100047218</v>
      </c>
      <c r="W3389" s="25"/>
      <c r="X3389" s="25"/>
      <c r="Y3389" s="25"/>
      <c r="Z3389" s="77"/>
      <c r="AA3389" s="3" t="str">
        <f>IF(BCP_Soles[[#This Row],[fecha]]&gt;0,TEXT(BCP_Soles[[#This Row],[fecha]],"mmmm"),0)</f>
        <v>Agosto</v>
      </c>
    </row>
    <row r="3390" spans="1:27" x14ac:dyDescent="0.3">
      <c r="A3390" s="2">
        <f>IF(BCP_Soles[[#This Row],[tipo_registro]]="R",COUNTIFS($C$1:$C3389,"R")+1,A3389)</f>
        <v>2262</v>
      </c>
      <c r="B3390" s="19" t="str">
        <f t="shared" si="271"/>
        <v>B-BCP - Soles</v>
      </c>
      <c r="C3390" s="3" t="s">
        <v>1330</v>
      </c>
      <c r="D3390" s="14">
        <v>45889</v>
      </c>
      <c r="E3390" s="5" t="s">
        <v>1335</v>
      </c>
      <c r="F3390" s="5" t="s">
        <v>1336</v>
      </c>
      <c r="G3390" s="6" t="s">
        <v>1009</v>
      </c>
      <c r="H3390" s="6" t="s">
        <v>64</v>
      </c>
      <c r="I3390" s="6" t="s">
        <v>3673</v>
      </c>
      <c r="J3390" s="6">
        <v>2264</v>
      </c>
      <c r="K3390" s="7" t="s">
        <v>3160</v>
      </c>
      <c r="L3390" s="8"/>
      <c r="M3390" s="8" t="str">
        <f t="shared" si="272"/>
        <v>PEN</v>
      </c>
      <c r="N3390" s="13"/>
      <c r="O3390" s="13">
        <v>0.05</v>
      </c>
      <c r="P3390" s="3">
        <f t="shared" si="273"/>
        <v>0</v>
      </c>
      <c r="Q3390" s="3">
        <f t="shared" si="274"/>
        <v>0.05</v>
      </c>
      <c r="R3390" s="3">
        <f t="shared" si="270"/>
        <v>5089.0999999999731</v>
      </c>
      <c r="S3390" s="24" t="s">
        <v>1334</v>
      </c>
      <c r="T3390" s="24" t="s">
        <v>1334</v>
      </c>
      <c r="U3390" s="56"/>
      <c r="V3390" s="25">
        <f>IFERROR(VLOOKUP(BCP_Soles[[#This Row],[destinatario]],CHOOSE({1,2},Clientes_Proveedores[Razon Social],Clientes_Proveedores[Ruc / Dni]),2,0),"")</f>
        <v>11111111</v>
      </c>
      <c r="W3390" s="25"/>
      <c r="X3390" s="25"/>
      <c r="Y3390" s="25"/>
      <c r="Z3390" s="77"/>
      <c r="AA3390" s="3" t="str">
        <f>IF(BCP_Soles[[#This Row],[fecha]]&gt;0,TEXT(BCP_Soles[[#This Row],[fecha]],"mmmm"),0)</f>
        <v>Agosto</v>
      </c>
    </row>
    <row r="3391" spans="1:27" x14ac:dyDescent="0.3">
      <c r="A3391" s="2">
        <f>IF(BCP_Soles[[#This Row],[tipo_registro]]="R",COUNTIFS($C$1:$C3390,"R")+1,A3390)</f>
        <v>2263</v>
      </c>
      <c r="B3391" s="19" t="str">
        <f t="shared" si="271"/>
        <v>B-BCP - Soles</v>
      </c>
      <c r="C3391" s="3" t="s">
        <v>1330</v>
      </c>
      <c r="D3391" s="14">
        <v>45890</v>
      </c>
      <c r="E3391" s="5"/>
      <c r="F3391" s="5" t="s">
        <v>1303</v>
      </c>
      <c r="G3391" s="6" t="s">
        <v>425</v>
      </c>
      <c r="H3391" s="6"/>
      <c r="I3391" s="6"/>
      <c r="J3391" s="6"/>
      <c r="K3391" s="7" t="s">
        <v>1356</v>
      </c>
      <c r="L3391" s="8">
        <v>1828616</v>
      </c>
      <c r="M3391" s="8" t="str">
        <f t="shared" si="272"/>
        <v>PEN</v>
      </c>
      <c r="N3391" s="13"/>
      <c r="O3391" s="13">
        <v>205.2</v>
      </c>
      <c r="P3391" s="3">
        <f t="shared" si="273"/>
        <v>205.2</v>
      </c>
      <c r="Q3391" s="3">
        <f t="shared" si="274"/>
        <v>0</v>
      </c>
      <c r="R3391" s="3">
        <f t="shared" si="270"/>
        <v>5294.2999999999729</v>
      </c>
      <c r="S3391" s="24"/>
      <c r="T3391" s="24"/>
      <c r="U3391" s="56"/>
      <c r="V3391" s="25">
        <f>IFERROR(VLOOKUP(BCP_Soles[[#This Row],[destinatario]],CHOOSE({1,2},Clientes_Proveedores[Razon Social],Clientes_Proveedores[Ruc / Dni]),2,0),"")</f>
        <v>20558226979</v>
      </c>
      <c r="W3391" s="25"/>
      <c r="X3391" s="25"/>
      <c r="Y3391" s="25"/>
      <c r="Z3391" s="77"/>
      <c r="AA3391" s="3" t="str">
        <f>IF(BCP_Soles[[#This Row],[fecha]]&gt;0,TEXT(BCP_Soles[[#This Row],[fecha]],"mmmm"),0)</f>
        <v>Agosto</v>
      </c>
    </row>
    <row r="3392" spans="1:27" x14ac:dyDescent="0.3">
      <c r="A3392" s="2">
        <f>IF(BCP_Soles[[#This Row],[tipo_registro]]="R",COUNTIFS($C$1:$C3391,"R")+1,A3391)</f>
        <v>2264</v>
      </c>
      <c r="B3392" s="19" t="str">
        <f t="shared" si="271"/>
        <v>B-BCP - Soles</v>
      </c>
      <c r="C3392" s="3" t="s">
        <v>1330</v>
      </c>
      <c r="D3392" s="14">
        <v>45890</v>
      </c>
      <c r="E3392" s="5" t="s">
        <v>196</v>
      </c>
      <c r="F3392" s="5" t="s">
        <v>1303</v>
      </c>
      <c r="G3392" s="6" t="s">
        <v>425</v>
      </c>
      <c r="H3392" s="6" t="s">
        <v>68</v>
      </c>
      <c r="I3392" s="6" t="s">
        <v>1784</v>
      </c>
      <c r="J3392" s="6">
        <v>169</v>
      </c>
      <c r="K3392" s="7" t="s">
        <v>4264</v>
      </c>
      <c r="L3392" s="8">
        <v>2218</v>
      </c>
      <c r="M3392" s="8" t="str">
        <f t="shared" si="272"/>
        <v>PEN</v>
      </c>
      <c r="N3392" s="13"/>
      <c r="O3392" s="13">
        <v>2025.27</v>
      </c>
      <c r="P3392" s="3">
        <f t="shared" si="273"/>
        <v>2025.27</v>
      </c>
      <c r="Q3392" s="3">
        <f t="shared" si="274"/>
        <v>0</v>
      </c>
      <c r="R3392" s="3">
        <f t="shared" si="270"/>
        <v>7319.5699999999724</v>
      </c>
      <c r="S3392" s="24" t="s">
        <v>1334</v>
      </c>
      <c r="T3392" s="24" t="s">
        <v>1334</v>
      </c>
      <c r="U3392" s="56"/>
      <c r="V3392" s="25">
        <f>IFERROR(VLOOKUP(BCP_Soles[[#This Row],[destinatario]],CHOOSE({1,2},Clientes_Proveedores[Razon Social],Clientes_Proveedores[Ruc / Dni]),2,0),"")</f>
        <v>20558226979</v>
      </c>
      <c r="W3392" s="25"/>
      <c r="X3392" s="25"/>
      <c r="Y3392" s="25"/>
      <c r="Z3392" s="77"/>
      <c r="AA3392" s="3" t="str">
        <f>IF(BCP_Soles[[#This Row],[fecha]]&gt;0,TEXT(BCP_Soles[[#This Row],[fecha]],"mmmm"),0)</f>
        <v>Agosto</v>
      </c>
    </row>
    <row r="3393" spans="1:27" ht="48" x14ac:dyDescent="0.3">
      <c r="A3393" s="2">
        <f>IF(BCP_Soles[[#This Row],[tipo_registro]]="R",COUNTIFS($C$1:$C3392,"R")+1,A3392)</f>
        <v>2265</v>
      </c>
      <c r="B3393" s="19" t="str">
        <f t="shared" si="271"/>
        <v>B-BCP - Soles</v>
      </c>
      <c r="C3393" s="3" t="s">
        <v>1330</v>
      </c>
      <c r="D3393" s="14">
        <v>45890</v>
      </c>
      <c r="E3393" s="5" t="s">
        <v>1100</v>
      </c>
      <c r="F3393" s="5" t="s">
        <v>1303</v>
      </c>
      <c r="G3393" s="6" t="s">
        <v>425</v>
      </c>
      <c r="H3393" s="6" t="s">
        <v>68</v>
      </c>
      <c r="I3393" s="6" t="s">
        <v>1784</v>
      </c>
      <c r="J3393" s="6">
        <v>214</v>
      </c>
      <c r="K3393" s="7" t="s">
        <v>4211</v>
      </c>
      <c r="L3393" s="8">
        <v>2256751</v>
      </c>
      <c r="M3393" s="8" t="str">
        <f t="shared" si="272"/>
        <v>PEN</v>
      </c>
      <c r="N3393" s="13"/>
      <c r="O3393" s="13">
        <v>1920</v>
      </c>
      <c r="P3393" s="3">
        <f t="shared" si="273"/>
        <v>1920</v>
      </c>
      <c r="Q3393" s="3">
        <f t="shared" si="274"/>
        <v>0</v>
      </c>
      <c r="R3393" s="3">
        <f t="shared" si="270"/>
        <v>9239.5699999999724</v>
      </c>
      <c r="S3393" s="24" t="s">
        <v>1334</v>
      </c>
      <c r="T3393" s="24"/>
      <c r="U3393" s="56"/>
      <c r="V3393" s="25">
        <f>IFERROR(VLOOKUP(BCP_Soles[[#This Row],[destinatario]],CHOOSE({1,2},Clientes_Proveedores[Razon Social],Clientes_Proveedores[Ruc / Dni]),2,0),"")</f>
        <v>20558226979</v>
      </c>
      <c r="W3393" s="25"/>
      <c r="X3393" s="25"/>
      <c r="Y3393" s="25"/>
      <c r="Z3393" s="77"/>
      <c r="AA3393" s="3" t="str">
        <f>IF(BCP_Soles[[#This Row],[fecha]]&gt;0,TEXT(BCP_Soles[[#This Row],[fecha]],"mmmm"),0)</f>
        <v>Agosto</v>
      </c>
    </row>
    <row r="3394" spans="1:27" ht="24" x14ac:dyDescent="0.3">
      <c r="A3394" s="2">
        <f>IF(BCP_Soles[[#This Row],[tipo_registro]]="R",COUNTIFS($C$1:$C3393,"R")+1,A3393)</f>
        <v>2266</v>
      </c>
      <c r="B3394" s="19" t="str">
        <f t="shared" si="271"/>
        <v>B-BCP - Soles</v>
      </c>
      <c r="C3394" s="3" t="s">
        <v>1330</v>
      </c>
      <c r="D3394" s="14">
        <v>45890</v>
      </c>
      <c r="E3394" s="5" t="s">
        <v>1338</v>
      </c>
      <c r="F3394" s="5" t="s">
        <v>1336</v>
      </c>
      <c r="G3394" s="6" t="s">
        <v>997</v>
      </c>
      <c r="H3394" s="6" t="s">
        <v>143</v>
      </c>
      <c r="I3394" s="6">
        <v>1</v>
      </c>
      <c r="J3394" s="6">
        <v>592025</v>
      </c>
      <c r="K3394" s="7" t="s">
        <v>4265</v>
      </c>
      <c r="L3394" s="8">
        <v>1136926</v>
      </c>
      <c r="M3394" s="8" t="str">
        <f t="shared" si="272"/>
        <v>PEN</v>
      </c>
      <c r="N3394" s="13"/>
      <c r="O3394" s="13">
        <v>319</v>
      </c>
      <c r="P3394" s="3">
        <f t="shared" si="273"/>
        <v>0</v>
      </c>
      <c r="Q3394" s="3">
        <f t="shared" si="274"/>
        <v>319</v>
      </c>
      <c r="R3394" s="3">
        <f t="shared" si="270"/>
        <v>8920.5699999999724</v>
      </c>
      <c r="S3394" s="24" t="s">
        <v>1334</v>
      </c>
      <c r="T3394" s="24" t="s">
        <v>1334</v>
      </c>
      <c r="U3394" s="56" t="s">
        <v>4266</v>
      </c>
      <c r="V3394" s="25">
        <f>IFERROR(VLOOKUP(BCP_Soles[[#This Row],[destinatario]],CHOOSE({1,2},Clientes_Proveedores[Razon Social],Clientes_Proveedores[Ruc / Dni]),2,0),"")</f>
        <v>71334789</v>
      </c>
      <c r="W3394" s="25"/>
      <c r="X3394" s="25"/>
      <c r="Y3394" s="25"/>
      <c r="Z3394" s="77"/>
      <c r="AA3394" s="3" t="str">
        <f>IF(BCP_Soles[[#This Row],[fecha]]&gt;0,TEXT(BCP_Soles[[#This Row],[fecha]],"mmmm"),0)</f>
        <v>Agosto</v>
      </c>
    </row>
    <row r="3395" spans="1:27" x14ac:dyDescent="0.3">
      <c r="A3395" s="2">
        <f>IF(BCP_Soles[[#This Row],[tipo_registro]]="R",COUNTIFS($C$1:$C3394,"R")+1,A3394)</f>
        <v>2267</v>
      </c>
      <c r="B3395" s="19" t="str">
        <f t="shared" si="271"/>
        <v>B-BCP - Soles</v>
      </c>
      <c r="C3395" s="3" t="s">
        <v>1330</v>
      </c>
      <c r="D3395" s="14">
        <v>45890</v>
      </c>
      <c r="E3395" s="5" t="s">
        <v>1338</v>
      </c>
      <c r="F3395" s="5" t="s">
        <v>1336</v>
      </c>
      <c r="G3395" s="6" t="s">
        <v>696</v>
      </c>
      <c r="H3395" s="6"/>
      <c r="I3395" s="6"/>
      <c r="J3395" s="6"/>
      <c r="K3395" s="7" t="s">
        <v>4267</v>
      </c>
      <c r="L3395" s="8">
        <v>4818029</v>
      </c>
      <c r="M3395" s="8" t="str">
        <f t="shared" si="272"/>
        <v>PEN</v>
      </c>
      <c r="N3395" s="13"/>
      <c r="O3395" s="13">
        <v>1085.5999999999999</v>
      </c>
      <c r="P3395" s="3">
        <f t="shared" si="273"/>
        <v>0</v>
      </c>
      <c r="Q3395" s="3">
        <f t="shared" si="274"/>
        <v>1085.5999999999999</v>
      </c>
      <c r="R3395" s="3">
        <f t="shared" si="270"/>
        <v>7834.9699999999721</v>
      </c>
      <c r="S3395" s="24" t="s">
        <v>1334</v>
      </c>
      <c r="T3395" s="24" t="s">
        <v>1334</v>
      </c>
      <c r="U3395" s="56" t="s">
        <v>4268</v>
      </c>
      <c r="V3395" s="25">
        <f>IFERROR(VLOOKUP(BCP_Soles[[#This Row],[destinatario]],CHOOSE({1,2},Clientes_Proveedores[Razon Social],Clientes_Proveedores[Ruc / Dni]),2,0),"")</f>
        <v>0</v>
      </c>
      <c r="W3395" s="25"/>
      <c r="X3395" s="25"/>
      <c r="Y3395" s="25"/>
      <c r="Z3395" s="77"/>
      <c r="AA3395" s="3" t="str">
        <f>IF(BCP_Soles[[#This Row],[fecha]]&gt;0,TEXT(BCP_Soles[[#This Row],[fecha]],"mmmm"),0)</f>
        <v>Agosto</v>
      </c>
    </row>
    <row r="3396" spans="1:27" x14ac:dyDescent="0.3">
      <c r="A3396" s="2">
        <f>IF(BCP_Soles[[#This Row],[tipo_registro]]="R",COUNTIFS($C$1:$C3395,"R")+1,A3395)</f>
        <v>2267</v>
      </c>
      <c r="B3396" s="19" t="str">
        <f t="shared" si="271"/>
        <v>B-BCP - Soles</v>
      </c>
      <c r="C3396" s="3" t="s">
        <v>1352</v>
      </c>
      <c r="D3396" s="14">
        <v>45890</v>
      </c>
      <c r="E3396" s="5" t="s">
        <v>1338</v>
      </c>
      <c r="F3396" s="5"/>
      <c r="G3396" s="6" t="s">
        <v>522</v>
      </c>
      <c r="H3396" s="6" t="s">
        <v>68</v>
      </c>
      <c r="I3396" s="6" t="s">
        <v>1376</v>
      </c>
      <c r="J3396" s="6">
        <v>4107</v>
      </c>
      <c r="K3396" s="7" t="s">
        <v>4267</v>
      </c>
      <c r="L3396" s="8">
        <v>4818029</v>
      </c>
      <c r="M3396" s="8" t="str">
        <f t="shared" si="272"/>
        <v>PEN</v>
      </c>
      <c r="N3396" s="13">
        <v>519.20000000000005</v>
      </c>
      <c r="O3396" s="13"/>
      <c r="P3396" s="3">
        <f t="shared" si="273"/>
        <v>0</v>
      </c>
      <c r="Q3396" s="3">
        <f t="shared" si="274"/>
        <v>0</v>
      </c>
      <c r="R3396" s="3">
        <f t="shared" si="270"/>
        <v>7834.9699999999721</v>
      </c>
      <c r="S3396" s="24" t="s">
        <v>1334</v>
      </c>
      <c r="T3396" s="24" t="s">
        <v>1334</v>
      </c>
      <c r="U3396" s="56" t="s">
        <v>4268</v>
      </c>
      <c r="V3396" s="25">
        <f>IFERROR(VLOOKUP(BCP_Soles[[#This Row],[destinatario]],CHOOSE({1,2},Clientes_Proveedores[Razon Social],Clientes_Proveedores[Ruc / Dni]),2,0),"")</f>
        <v>20603974817</v>
      </c>
      <c r="W3396" s="25"/>
      <c r="X3396" s="25"/>
      <c r="Y3396" s="25"/>
      <c r="Z3396" s="77"/>
      <c r="AA3396" s="3" t="str">
        <f>IF(BCP_Soles[[#This Row],[fecha]]&gt;0,TEXT(BCP_Soles[[#This Row],[fecha]],"mmmm"),0)</f>
        <v>Agosto</v>
      </c>
    </row>
    <row r="3397" spans="1:27" x14ac:dyDescent="0.3">
      <c r="A3397" s="2">
        <f>IF(BCP_Soles[[#This Row],[tipo_registro]]="R",COUNTIFS($C$1:$C3396,"R")+1,A3396)</f>
        <v>2267</v>
      </c>
      <c r="B3397" s="19" t="str">
        <f t="shared" si="271"/>
        <v>B-BCP - Soles</v>
      </c>
      <c r="C3397" s="3" t="s">
        <v>1352</v>
      </c>
      <c r="D3397" s="14">
        <v>45890</v>
      </c>
      <c r="E3397" s="5" t="s">
        <v>1338</v>
      </c>
      <c r="F3397" s="5"/>
      <c r="G3397" s="6" t="s">
        <v>338</v>
      </c>
      <c r="H3397" s="6" t="s">
        <v>68</v>
      </c>
      <c r="I3397" s="6" t="s">
        <v>1376</v>
      </c>
      <c r="J3397" s="6">
        <v>490</v>
      </c>
      <c r="K3397" s="7" t="s">
        <v>4267</v>
      </c>
      <c r="L3397" s="8">
        <v>4818029</v>
      </c>
      <c r="M3397" s="8" t="str">
        <f t="shared" si="272"/>
        <v>PEN</v>
      </c>
      <c r="N3397" s="13">
        <v>354</v>
      </c>
      <c r="O3397" s="13"/>
      <c r="P3397" s="3">
        <f t="shared" si="273"/>
        <v>0</v>
      </c>
      <c r="Q3397" s="3">
        <f t="shared" si="274"/>
        <v>0</v>
      </c>
      <c r="R3397" s="3">
        <f t="shared" si="270"/>
        <v>7834.9699999999721</v>
      </c>
      <c r="S3397" s="24" t="s">
        <v>1334</v>
      </c>
      <c r="T3397" s="24" t="s">
        <v>1334</v>
      </c>
      <c r="U3397" s="56" t="s">
        <v>4268</v>
      </c>
      <c r="V3397" s="25">
        <f>IFERROR(VLOOKUP(BCP_Soles[[#This Row],[destinatario]],CHOOSE({1,2},Clientes_Proveedores[Razon Social],Clientes_Proveedores[Ruc / Dni]),2,0),"")</f>
        <v>20498380931</v>
      </c>
      <c r="W3397" s="25"/>
      <c r="X3397" s="25"/>
      <c r="Y3397" s="25"/>
      <c r="Z3397" s="77"/>
      <c r="AA3397" s="3" t="str">
        <f>IF(BCP_Soles[[#This Row],[fecha]]&gt;0,TEXT(BCP_Soles[[#This Row],[fecha]],"mmmm"),0)</f>
        <v>Agosto</v>
      </c>
    </row>
    <row r="3398" spans="1:27" ht="24" x14ac:dyDescent="0.3">
      <c r="A3398" s="2">
        <f>IF(BCP_Soles[[#This Row],[tipo_registro]]="R",COUNTIFS($C$1:$C3397,"R")+1,A3397)</f>
        <v>2267</v>
      </c>
      <c r="B3398" s="19" t="str">
        <f t="shared" si="271"/>
        <v>B-BCP - Soles</v>
      </c>
      <c r="C3398" s="3" t="s">
        <v>1352</v>
      </c>
      <c r="D3398" s="14">
        <v>45890</v>
      </c>
      <c r="E3398" s="5" t="s">
        <v>1338</v>
      </c>
      <c r="F3398" s="5"/>
      <c r="G3398" s="6" t="s">
        <v>594</v>
      </c>
      <c r="H3398" s="6" t="s">
        <v>68</v>
      </c>
      <c r="I3398" s="6" t="s">
        <v>1376</v>
      </c>
      <c r="J3398" s="6">
        <v>2470</v>
      </c>
      <c r="K3398" s="7" t="s">
        <v>4267</v>
      </c>
      <c r="L3398" s="8">
        <v>4818029</v>
      </c>
      <c r="M3398" s="8" t="str">
        <f t="shared" si="272"/>
        <v>PEN</v>
      </c>
      <c r="N3398" s="13">
        <v>70.8</v>
      </c>
      <c r="O3398" s="13"/>
      <c r="P3398" s="3">
        <f t="shared" si="273"/>
        <v>0</v>
      </c>
      <c r="Q3398" s="3">
        <f t="shared" si="274"/>
        <v>0</v>
      </c>
      <c r="R3398" s="3">
        <f t="shared" si="270"/>
        <v>7834.9699999999721</v>
      </c>
      <c r="S3398" s="24" t="s">
        <v>1334</v>
      </c>
      <c r="T3398" s="24" t="s">
        <v>1334</v>
      </c>
      <c r="U3398" s="56" t="s">
        <v>4268</v>
      </c>
      <c r="V3398" s="25">
        <f>IFERROR(VLOOKUP(BCP_Soles[[#This Row],[destinatario]],CHOOSE({1,2},Clientes_Proveedores[Razon Social],Clientes_Proveedores[Ruc / Dni]),2,0),"")</f>
        <v>20609764261</v>
      </c>
      <c r="W3398" s="25"/>
      <c r="X3398" s="25"/>
      <c r="Y3398" s="25"/>
      <c r="Z3398" s="77"/>
      <c r="AA3398" s="3" t="str">
        <f>IF(BCP_Soles[[#This Row],[fecha]]&gt;0,TEXT(BCP_Soles[[#This Row],[fecha]],"mmmm"),0)</f>
        <v>Agosto</v>
      </c>
    </row>
    <row r="3399" spans="1:27" ht="24" x14ac:dyDescent="0.3">
      <c r="A3399" s="2">
        <f>IF(BCP_Soles[[#This Row],[tipo_registro]]="R",COUNTIFS($C$1:$C3398,"R")+1,A3398)</f>
        <v>2267</v>
      </c>
      <c r="B3399" s="19" t="str">
        <f t="shared" si="271"/>
        <v>B-BCP - Soles</v>
      </c>
      <c r="C3399" s="3" t="s">
        <v>1352</v>
      </c>
      <c r="D3399" s="14">
        <v>45890</v>
      </c>
      <c r="E3399" s="5" t="s">
        <v>1338</v>
      </c>
      <c r="F3399" s="5"/>
      <c r="G3399" s="6" t="s">
        <v>594</v>
      </c>
      <c r="H3399" s="6" t="s">
        <v>68</v>
      </c>
      <c r="I3399" s="6" t="s">
        <v>1376</v>
      </c>
      <c r="J3399" s="6">
        <v>2471</v>
      </c>
      <c r="K3399" s="7" t="s">
        <v>4267</v>
      </c>
      <c r="L3399" s="8">
        <v>4818029</v>
      </c>
      <c r="M3399" s="8" t="str">
        <f t="shared" si="272"/>
        <v>PEN</v>
      </c>
      <c r="N3399" s="13">
        <v>70.8</v>
      </c>
      <c r="O3399" s="13"/>
      <c r="P3399" s="3">
        <f t="shared" si="273"/>
        <v>0</v>
      </c>
      <c r="Q3399" s="3">
        <f t="shared" si="274"/>
        <v>0</v>
      </c>
      <c r="R3399" s="3">
        <f t="shared" si="270"/>
        <v>7834.9699999999721</v>
      </c>
      <c r="S3399" s="24" t="s">
        <v>1334</v>
      </c>
      <c r="T3399" s="24" t="s">
        <v>1334</v>
      </c>
      <c r="U3399" s="56" t="s">
        <v>4268</v>
      </c>
      <c r="V3399" s="25">
        <f>IFERROR(VLOOKUP(BCP_Soles[[#This Row],[destinatario]],CHOOSE({1,2},Clientes_Proveedores[Razon Social],Clientes_Proveedores[Ruc / Dni]),2,0),"")</f>
        <v>20609764261</v>
      </c>
      <c r="W3399" s="25"/>
      <c r="X3399" s="25"/>
      <c r="Y3399" s="25"/>
      <c r="Z3399" s="77"/>
      <c r="AA3399" s="3" t="str">
        <f>IF(BCP_Soles[[#This Row],[fecha]]&gt;0,TEXT(BCP_Soles[[#This Row],[fecha]],"mmmm"),0)</f>
        <v>Agosto</v>
      </c>
    </row>
    <row r="3400" spans="1:27" ht="24" x14ac:dyDescent="0.3">
      <c r="A3400" s="2">
        <f>IF(BCP_Soles[[#This Row],[tipo_registro]]="R",COUNTIFS($C$1:$C3399,"R")+1,A3399)</f>
        <v>2267</v>
      </c>
      <c r="B3400" s="19" t="str">
        <f t="shared" si="271"/>
        <v>B-BCP - Soles</v>
      </c>
      <c r="C3400" s="3" t="s">
        <v>1352</v>
      </c>
      <c r="D3400" s="14">
        <v>45890</v>
      </c>
      <c r="E3400" s="5" t="s">
        <v>1338</v>
      </c>
      <c r="F3400" s="5"/>
      <c r="G3400" s="6" t="s">
        <v>594</v>
      </c>
      <c r="H3400" s="6" t="s">
        <v>68</v>
      </c>
      <c r="I3400" s="6" t="s">
        <v>1376</v>
      </c>
      <c r="J3400" s="6">
        <v>2463</v>
      </c>
      <c r="K3400" s="7" t="s">
        <v>4267</v>
      </c>
      <c r="L3400" s="8">
        <v>4818029</v>
      </c>
      <c r="M3400" s="8" t="str">
        <f t="shared" si="272"/>
        <v>PEN</v>
      </c>
      <c r="N3400" s="13">
        <v>70.8</v>
      </c>
      <c r="O3400" s="13"/>
      <c r="P3400" s="3">
        <f t="shared" si="273"/>
        <v>0</v>
      </c>
      <c r="Q3400" s="3">
        <f t="shared" si="274"/>
        <v>0</v>
      </c>
      <c r="R3400" s="3">
        <f t="shared" si="270"/>
        <v>7834.9699999999721</v>
      </c>
      <c r="S3400" s="24" t="s">
        <v>1334</v>
      </c>
      <c r="T3400" s="24" t="s">
        <v>1334</v>
      </c>
      <c r="U3400" s="56" t="s">
        <v>4268</v>
      </c>
      <c r="V3400" s="25">
        <f>IFERROR(VLOOKUP(BCP_Soles[[#This Row],[destinatario]],CHOOSE({1,2},Clientes_Proveedores[Razon Social],Clientes_Proveedores[Ruc / Dni]),2,0),"")</f>
        <v>20609764261</v>
      </c>
      <c r="W3400" s="25"/>
      <c r="X3400" s="25"/>
      <c r="Y3400" s="25"/>
      <c r="Z3400" s="77"/>
      <c r="AA3400" s="3" t="str">
        <f>IF(BCP_Soles[[#This Row],[fecha]]&gt;0,TEXT(BCP_Soles[[#This Row],[fecha]],"mmmm"),0)</f>
        <v>Agosto</v>
      </c>
    </row>
    <row r="3401" spans="1:27" ht="36" x14ac:dyDescent="0.3">
      <c r="A3401" s="2">
        <f>IF(BCP_Soles[[#This Row],[tipo_registro]]="R",COUNTIFS($C$1:$C3400,"R")+1,A3400)</f>
        <v>2268</v>
      </c>
      <c r="B3401" s="19" t="str">
        <f t="shared" si="271"/>
        <v>B-BCP - Soles</v>
      </c>
      <c r="C3401" s="3" t="s">
        <v>1330</v>
      </c>
      <c r="D3401" s="14">
        <v>45890</v>
      </c>
      <c r="E3401" s="5" t="s">
        <v>1338</v>
      </c>
      <c r="F3401" s="5" t="s">
        <v>1336</v>
      </c>
      <c r="G3401" s="6" t="s">
        <v>1025</v>
      </c>
      <c r="H3401" s="6" t="s">
        <v>68</v>
      </c>
      <c r="I3401" s="6" t="s">
        <v>1376</v>
      </c>
      <c r="J3401" s="6">
        <v>2744</v>
      </c>
      <c r="K3401" s="7" t="s">
        <v>4269</v>
      </c>
      <c r="L3401" s="8">
        <v>1137920</v>
      </c>
      <c r="M3401" s="8" t="str">
        <f t="shared" si="272"/>
        <v>PEN</v>
      </c>
      <c r="N3401" s="13"/>
      <c r="O3401" s="13">
        <v>105</v>
      </c>
      <c r="P3401" s="3">
        <f t="shared" si="273"/>
        <v>0</v>
      </c>
      <c r="Q3401" s="3">
        <f t="shared" si="274"/>
        <v>105</v>
      </c>
      <c r="R3401" s="3">
        <f t="shared" ref="R3401:R3464" si="275">IFERROR(IF(F3401="SALDO",P3401,R3400+P3401-Q3401),0)</f>
        <v>7729.9699999999721</v>
      </c>
      <c r="S3401" s="24" t="s">
        <v>1334</v>
      </c>
      <c r="T3401" s="24" t="s">
        <v>1334</v>
      </c>
      <c r="U3401" s="55"/>
      <c r="V3401" s="25">
        <f>IFERROR(VLOOKUP(BCP_Soles[[#This Row],[destinatario]],CHOOSE({1,2},Clientes_Proveedores[Razon Social],Clientes_Proveedores[Ruc / Dni]),2,0),"")</f>
        <v>20601369622</v>
      </c>
      <c r="W3401" s="25"/>
      <c r="X3401" s="25"/>
      <c r="Y3401" s="25"/>
      <c r="Z3401" s="77"/>
      <c r="AA3401" s="3" t="str">
        <f>IF(BCP_Soles[[#This Row],[fecha]]&gt;0,TEXT(BCP_Soles[[#This Row],[fecha]],"mmmm"),0)</f>
        <v>Agosto</v>
      </c>
    </row>
    <row r="3402" spans="1:27" x14ac:dyDescent="0.3">
      <c r="A3402" s="2">
        <f>IF(BCP_Soles[[#This Row],[tipo_registro]]="R",COUNTIFS($C$1:$C3401,"R")+1,A3401)</f>
        <v>2269</v>
      </c>
      <c r="B3402" s="19" t="str">
        <f t="shared" si="271"/>
        <v>B-BCP - Soles</v>
      </c>
      <c r="C3402" s="3" t="s">
        <v>1330</v>
      </c>
      <c r="D3402" s="14">
        <v>45890</v>
      </c>
      <c r="E3402" s="5" t="s">
        <v>4171</v>
      </c>
      <c r="F3402" s="5" t="s">
        <v>1336</v>
      </c>
      <c r="G3402" s="6" t="s">
        <v>575</v>
      </c>
      <c r="H3402" s="6"/>
      <c r="I3402" s="6"/>
      <c r="J3402" s="6"/>
      <c r="K3402" s="7" t="s">
        <v>4270</v>
      </c>
      <c r="L3402" s="8">
        <v>4010463</v>
      </c>
      <c r="M3402" s="8" t="str">
        <f t="shared" si="272"/>
        <v>PEN</v>
      </c>
      <c r="N3402" s="13"/>
      <c r="O3402" s="13">
        <v>247.04</v>
      </c>
      <c r="P3402" s="3">
        <f t="shared" si="273"/>
        <v>0</v>
      </c>
      <c r="Q3402" s="3">
        <f t="shared" si="274"/>
        <v>247.04</v>
      </c>
      <c r="R3402" s="3">
        <f t="shared" si="275"/>
        <v>7482.9299999999721</v>
      </c>
      <c r="S3402" s="24" t="s">
        <v>1334</v>
      </c>
      <c r="T3402" s="24" t="s">
        <v>1334</v>
      </c>
      <c r="U3402" s="55"/>
      <c r="V3402" s="25">
        <f>IFERROR(VLOOKUP(BCP_Soles[[#This Row],[destinatario]],CHOOSE({1,2},Clientes_Proveedores[Razon Social],Clientes_Proveedores[Ruc / Dni]),2,0),"")</f>
        <v>20608970909</v>
      </c>
      <c r="W3402" s="25"/>
      <c r="X3402" s="25"/>
      <c r="Y3402" s="25"/>
      <c r="Z3402" s="77"/>
      <c r="AA3402" s="3" t="str">
        <f>IF(BCP_Soles[[#This Row],[fecha]]&gt;0,TEXT(BCP_Soles[[#This Row],[fecha]],"mmmm"),0)</f>
        <v>Agosto</v>
      </c>
    </row>
    <row r="3403" spans="1:27" x14ac:dyDescent="0.3">
      <c r="A3403" s="2">
        <f>IF(BCP_Soles[[#This Row],[tipo_registro]]="R",COUNTIFS($C$1:$C3402,"R")+1,A3402)</f>
        <v>2269</v>
      </c>
      <c r="B3403" s="19" t="str">
        <f t="shared" si="271"/>
        <v>B-BCP - Soles</v>
      </c>
      <c r="C3403" s="3" t="s">
        <v>1352</v>
      </c>
      <c r="D3403" s="14">
        <v>45890</v>
      </c>
      <c r="E3403" s="5" t="s">
        <v>4171</v>
      </c>
      <c r="F3403" s="5"/>
      <c r="G3403" s="6" t="s">
        <v>575</v>
      </c>
      <c r="H3403" s="6" t="s">
        <v>68</v>
      </c>
      <c r="I3403" s="6" t="s">
        <v>1376</v>
      </c>
      <c r="J3403" s="6">
        <v>1271</v>
      </c>
      <c r="K3403" s="7" t="s">
        <v>4270</v>
      </c>
      <c r="L3403" s="8">
        <v>4010463</v>
      </c>
      <c r="M3403" s="8" t="str">
        <f t="shared" si="272"/>
        <v>PEN</v>
      </c>
      <c r="N3403" s="13">
        <v>90.86</v>
      </c>
      <c r="O3403" s="13"/>
      <c r="P3403" s="3">
        <f t="shared" si="273"/>
        <v>0</v>
      </c>
      <c r="Q3403" s="3">
        <f t="shared" si="274"/>
        <v>0</v>
      </c>
      <c r="R3403" s="3">
        <f t="shared" si="275"/>
        <v>7482.9299999999721</v>
      </c>
      <c r="S3403" s="24" t="s">
        <v>1334</v>
      </c>
      <c r="T3403" s="24" t="s">
        <v>1334</v>
      </c>
      <c r="U3403" s="55"/>
      <c r="V3403" s="25">
        <f>IFERROR(VLOOKUP(BCP_Soles[[#This Row],[destinatario]],CHOOSE({1,2},Clientes_Proveedores[Razon Social],Clientes_Proveedores[Ruc / Dni]),2,0),"")</f>
        <v>20608970909</v>
      </c>
      <c r="W3403" s="25"/>
      <c r="X3403" s="25"/>
      <c r="Y3403" s="25"/>
      <c r="Z3403" s="77"/>
      <c r="AA3403" s="3" t="str">
        <f>IF(BCP_Soles[[#This Row],[fecha]]&gt;0,TEXT(BCP_Soles[[#This Row],[fecha]],"mmmm"),0)</f>
        <v>Agosto</v>
      </c>
    </row>
    <row r="3404" spans="1:27" x14ac:dyDescent="0.3">
      <c r="A3404" s="2">
        <f>IF(BCP_Soles[[#This Row],[tipo_registro]]="R",COUNTIFS($C$1:$C3403,"R")+1,A3403)</f>
        <v>2269</v>
      </c>
      <c r="B3404" s="19" t="str">
        <f t="shared" si="271"/>
        <v>B-BCP - Soles</v>
      </c>
      <c r="C3404" s="3" t="s">
        <v>1352</v>
      </c>
      <c r="D3404" s="14">
        <v>45890</v>
      </c>
      <c r="E3404" s="5" t="s">
        <v>4171</v>
      </c>
      <c r="F3404" s="5"/>
      <c r="G3404" s="6" t="s">
        <v>575</v>
      </c>
      <c r="H3404" s="6" t="s">
        <v>68</v>
      </c>
      <c r="I3404" s="6" t="s">
        <v>1376</v>
      </c>
      <c r="J3404" s="6">
        <v>1272</v>
      </c>
      <c r="K3404" s="7" t="s">
        <v>4270</v>
      </c>
      <c r="L3404" s="8">
        <v>4010463</v>
      </c>
      <c r="M3404" s="8" t="str">
        <f t="shared" si="272"/>
        <v>PEN</v>
      </c>
      <c r="N3404" s="13">
        <v>86.42</v>
      </c>
      <c r="O3404" s="13"/>
      <c r="P3404" s="3">
        <f t="shared" si="273"/>
        <v>0</v>
      </c>
      <c r="Q3404" s="3">
        <f t="shared" si="274"/>
        <v>0</v>
      </c>
      <c r="R3404" s="3">
        <f t="shared" si="275"/>
        <v>7482.9299999999721</v>
      </c>
      <c r="S3404" s="24" t="s">
        <v>1334</v>
      </c>
      <c r="T3404" s="24" t="s">
        <v>1334</v>
      </c>
      <c r="U3404" s="55"/>
      <c r="V3404" s="25">
        <f>IFERROR(VLOOKUP(BCP_Soles[[#This Row],[destinatario]],CHOOSE({1,2},Clientes_Proveedores[Razon Social],Clientes_Proveedores[Ruc / Dni]),2,0),"")</f>
        <v>20608970909</v>
      </c>
      <c r="W3404" s="25"/>
      <c r="X3404" s="25"/>
      <c r="Y3404" s="25"/>
      <c r="Z3404" s="77"/>
      <c r="AA3404" s="3" t="str">
        <f>IF(BCP_Soles[[#This Row],[fecha]]&gt;0,TEXT(BCP_Soles[[#This Row],[fecha]],"mmmm"),0)</f>
        <v>Agosto</v>
      </c>
    </row>
    <row r="3405" spans="1:27" x14ac:dyDescent="0.3">
      <c r="A3405" s="2">
        <f>IF(BCP_Soles[[#This Row],[tipo_registro]]="R",COUNTIFS($C$1:$C3404,"R")+1,A3404)</f>
        <v>2269</v>
      </c>
      <c r="B3405" s="19" t="str">
        <f t="shared" si="271"/>
        <v>B-BCP - Soles</v>
      </c>
      <c r="C3405" s="3" t="s">
        <v>1352</v>
      </c>
      <c r="D3405" s="14">
        <v>45890</v>
      </c>
      <c r="E3405" s="5" t="s">
        <v>4171</v>
      </c>
      <c r="F3405" s="5"/>
      <c r="G3405" s="6" t="s">
        <v>575</v>
      </c>
      <c r="H3405" s="6" t="s">
        <v>68</v>
      </c>
      <c r="I3405" s="6" t="s">
        <v>1376</v>
      </c>
      <c r="J3405" s="6">
        <v>1273</v>
      </c>
      <c r="K3405" s="7" t="s">
        <v>4270</v>
      </c>
      <c r="L3405" s="8">
        <v>4010463</v>
      </c>
      <c r="M3405" s="8" t="str">
        <f t="shared" si="272"/>
        <v>PEN</v>
      </c>
      <c r="N3405" s="13">
        <v>50.39</v>
      </c>
      <c r="O3405" s="13"/>
      <c r="P3405" s="3">
        <f t="shared" si="273"/>
        <v>0</v>
      </c>
      <c r="Q3405" s="3">
        <f t="shared" si="274"/>
        <v>0</v>
      </c>
      <c r="R3405" s="3">
        <f t="shared" si="275"/>
        <v>7482.9299999999721</v>
      </c>
      <c r="S3405" s="24" t="s">
        <v>1334</v>
      </c>
      <c r="T3405" s="24" t="s">
        <v>1334</v>
      </c>
      <c r="U3405" s="55"/>
      <c r="V3405" s="25">
        <f>IFERROR(VLOOKUP(BCP_Soles[[#This Row],[destinatario]],CHOOSE({1,2},Clientes_Proveedores[Razon Social],Clientes_Proveedores[Ruc / Dni]),2,0),"")</f>
        <v>20608970909</v>
      </c>
      <c r="W3405" s="25"/>
      <c r="X3405" s="25"/>
      <c r="Y3405" s="25"/>
      <c r="Z3405" s="77"/>
      <c r="AA3405" s="3" t="str">
        <f>IF(BCP_Soles[[#This Row],[fecha]]&gt;0,TEXT(BCP_Soles[[#This Row],[fecha]],"mmmm"),0)</f>
        <v>Agosto</v>
      </c>
    </row>
    <row r="3406" spans="1:27" x14ac:dyDescent="0.3">
      <c r="A3406" s="2">
        <f>IF(BCP_Soles[[#This Row],[tipo_registro]]="R",COUNTIFS($C$1:$C3405,"R")+1,A3405)</f>
        <v>2269</v>
      </c>
      <c r="B3406" s="19" t="str">
        <f t="shared" si="271"/>
        <v>B-BCP - Soles</v>
      </c>
      <c r="C3406" s="3" t="s">
        <v>1352</v>
      </c>
      <c r="D3406" s="14">
        <v>45890</v>
      </c>
      <c r="E3406" s="5" t="s">
        <v>4171</v>
      </c>
      <c r="F3406" s="5"/>
      <c r="G3406" s="6" t="s">
        <v>575</v>
      </c>
      <c r="H3406" s="6" t="s">
        <v>68</v>
      </c>
      <c r="I3406" s="6" t="s">
        <v>1376</v>
      </c>
      <c r="J3406" s="6">
        <v>1274</v>
      </c>
      <c r="K3406" s="7" t="s">
        <v>4270</v>
      </c>
      <c r="L3406" s="8">
        <v>4010463</v>
      </c>
      <c r="M3406" s="8" t="str">
        <f t="shared" si="272"/>
        <v>PEN</v>
      </c>
      <c r="N3406" s="13">
        <v>8.8699999999999992</v>
      </c>
      <c r="O3406" s="13"/>
      <c r="P3406" s="3">
        <f t="shared" si="273"/>
        <v>0</v>
      </c>
      <c r="Q3406" s="3">
        <f t="shared" si="274"/>
        <v>0</v>
      </c>
      <c r="R3406" s="3">
        <f t="shared" si="275"/>
        <v>7482.9299999999721</v>
      </c>
      <c r="S3406" s="24" t="s">
        <v>1334</v>
      </c>
      <c r="T3406" s="24" t="s">
        <v>1334</v>
      </c>
      <c r="U3406" s="55"/>
      <c r="V3406" s="25">
        <f>IFERROR(VLOOKUP(BCP_Soles[[#This Row],[destinatario]],CHOOSE({1,2},Clientes_Proveedores[Razon Social],Clientes_Proveedores[Ruc / Dni]),2,0),"")</f>
        <v>20608970909</v>
      </c>
      <c r="W3406" s="25"/>
      <c r="X3406" s="25"/>
      <c r="Y3406" s="25"/>
      <c r="Z3406" s="77"/>
      <c r="AA3406" s="3" t="str">
        <f>IF(BCP_Soles[[#This Row],[fecha]]&gt;0,TEXT(BCP_Soles[[#This Row],[fecha]],"mmmm"),0)</f>
        <v>Agosto</v>
      </c>
    </row>
    <row r="3407" spans="1:27" ht="24" x14ac:dyDescent="0.3">
      <c r="A3407" s="2">
        <f>IF(BCP_Soles[[#This Row],[tipo_registro]]="R",COUNTIFS($C$1:$C3406,"R")+1,A3406)</f>
        <v>2269</v>
      </c>
      <c r="B3407" s="19" t="str">
        <f t="shared" si="271"/>
        <v>B-BCP - Soles</v>
      </c>
      <c r="C3407" s="3" t="s">
        <v>1352</v>
      </c>
      <c r="D3407" s="14">
        <v>45890</v>
      </c>
      <c r="E3407" s="5" t="s">
        <v>4171</v>
      </c>
      <c r="F3407" s="5"/>
      <c r="G3407" s="6" t="s">
        <v>1060</v>
      </c>
      <c r="H3407" s="6" t="s">
        <v>68</v>
      </c>
      <c r="I3407" s="6" t="s">
        <v>1397</v>
      </c>
      <c r="J3407" s="6">
        <v>36182178</v>
      </c>
      <c r="K3407" s="7" t="s">
        <v>4270</v>
      </c>
      <c r="L3407" s="8">
        <v>4010463</v>
      </c>
      <c r="M3407" s="8" t="str">
        <f t="shared" si="272"/>
        <v>PEN</v>
      </c>
      <c r="N3407" s="13">
        <v>10.5</v>
      </c>
      <c r="O3407" s="13"/>
      <c r="P3407" s="3">
        <f t="shared" si="273"/>
        <v>0</v>
      </c>
      <c r="Q3407" s="3">
        <f t="shared" si="274"/>
        <v>0</v>
      </c>
      <c r="R3407" s="3">
        <f t="shared" si="275"/>
        <v>7482.9299999999721</v>
      </c>
      <c r="S3407" s="24" t="s">
        <v>1334</v>
      </c>
      <c r="T3407" s="24" t="s">
        <v>1334</v>
      </c>
      <c r="U3407" s="55"/>
      <c r="V3407" s="25">
        <f>IFERROR(VLOOKUP(BCP_Soles[[#This Row],[destinatario]],CHOOSE({1,2},Clientes_Proveedores[Razon Social],Clientes_Proveedores[Ruc / Dni]),2,0),"")</f>
        <v>20100047218</v>
      </c>
      <c r="W3407" s="25"/>
      <c r="X3407" s="25"/>
      <c r="Y3407" s="25"/>
      <c r="Z3407" s="77"/>
      <c r="AA3407" s="3" t="str">
        <f>IF(BCP_Soles[[#This Row],[fecha]]&gt;0,TEXT(BCP_Soles[[#This Row],[fecha]],"mmmm"),0)</f>
        <v>Agosto</v>
      </c>
    </row>
    <row r="3408" spans="1:27" x14ac:dyDescent="0.3">
      <c r="A3408" s="2">
        <f>IF(BCP_Soles[[#This Row],[tipo_registro]]="R",COUNTIFS($C$1:$C3407,"R")+1,A3407)</f>
        <v>2270</v>
      </c>
      <c r="B3408" s="19" t="str">
        <f t="shared" si="271"/>
        <v>B-BCP - Soles</v>
      </c>
      <c r="C3408" s="3" t="s">
        <v>1330</v>
      </c>
      <c r="D3408" s="14">
        <v>45890</v>
      </c>
      <c r="E3408" s="5" t="s">
        <v>1338</v>
      </c>
      <c r="F3408" s="5" t="s">
        <v>1336</v>
      </c>
      <c r="G3408" s="6" t="s">
        <v>696</v>
      </c>
      <c r="H3408" s="6"/>
      <c r="I3408" s="6"/>
      <c r="J3408" s="6"/>
      <c r="K3408" s="7" t="s">
        <v>4271</v>
      </c>
      <c r="L3408" s="8">
        <v>4888942</v>
      </c>
      <c r="M3408" s="8" t="str">
        <f t="shared" si="272"/>
        <v>PEN</v>
      </c>
      <c r="N3408" s="13"/>
      <c r="O3408" s="13">
        <v>2195.1</v>
      </c>
      <c r="P3408" s="3">
        <f t="shared" si="273"/>
        <v>0</v>
      </c>
      <c r="Q3408" s="3">
        <f t="shared" si="274"/>
        <v>2195.1</v>
      </c>
      <c r="R3408" s="3">
        <f t="shared" si="275"/>
        <v>5287.8299999999726</v>
      </c>
      <c r="S3408" s="24" t="s">
        <v>1334</v>
      </c>
      <c r="T3408" s="24" t="s">
        <v>1334</v>
      </c>
      <c r="U3408" s="56" t="s">
        <v>4272</v>
      </c>
      <c r="V3408" s="25">
        <f>IFERROR(VLOOKUP(BCP_Soles[[#This Row],[destinatario]],CHOOSE({1,2},Clientes_Proveedores[Razon Social],Clientes_Proveedores[Ruc / Dni]),2,0),"")</f>
        <v>0</v>
      </c>
      <c r="W3408" s="25"/>
      <c r="X3408" s="25"/>
      <c r="Y3408" s="25"/>
      <c r="Z3408" s="77"/>
      <c r="AA3408" s="3" t="str">
        <f>IF(BCP_Soles[[#This Row],[fecha]]&gt;0,TEXT(BCP_Soles[[#This Row],[fecha]],"mmmm"),0)</f>
        <v>Agosto</v>
      </c>
    </row>
    <row r="3409" spans="1:27" ht="24" x14ac:dyDescent="0.3">
      <c r="A3409" s="2">
        <f>IF(BCP_Soles[[#This Row],[tipo_registro]]="R",COUNTIFS($C$1:$C3408,"R")+1,A3408)</f>
        <v>2270</v>
      </c>
      <c r="B3409" s="19" t="str">
        <f t="shared" si="271"/>
        <v>B-BCP - Soles</v>
      </c>
      <c r="C3409" s="3" t="s">
        <v>1352</v>
      </c>
      <c r="D3409" s="14">
        <v>45890</v>
      </c>
      <c r="E3409" s="5" t="s">
        <v>1338</v>
      </c>
      <c r="F3409" s="5"/>
      <c r="G3409" s="6" t="s">
        <v>166</v>
      </c>
      <c r="H3409" s="6" t="s">
        <v>68</v>
      </c>
      <c r="I3409" s="6" t="s">
        <v>1376</v>
      </c>
      <c r="J3409" s="6">
        <v>5270</v>
      </c>
      <c r="K3409" s="7" t="s">
        <v>4271</v>
      </c>
      <c r="L3409" s="8">
        <v>4888942</v>
      </c>
      <c r="M3409" s="8" t="str">
        <f t="shared" si="272"/>
        <v>PEN</v>
      </c>
      <c r="N3409" s="13">
        <v>59</v>
      </c>
      <c r="O3409" s="13"/>
      <c r="P3409" s="3">
        <f t="shared" si="273"/>
        <v>0</v>
      </c>
      <c r="Q3409" s="3">
        <f t="shared" si="274"/>
        <v>0</v>
      </c>
      <c r="R3409" s="3">
        <f t="shared" si="275"/>
        <v>5287.8299999999726</v>
      </c>
      <c r="S3409" s="24" t="s">
        <v>1334</v>
      </c>
      <c r="T3409" s="24" t="s">
        <v>1334</v>
      </c>
      <c r="U3409" s="56" t="s">
        <v>4272</v>
      </c>
      <c r="V3409" s="25">
        <f>IFERROR(VLOOKUP(BCP_Soles[[#This Row],[destinatario]],CHOOSE({1,2},Clientes_Proveedores[Razon Social],Clientes_Proveedores[Ruc / Dni]),2,0),"")</f>
        <v>10425371652</v>
      </c>
      <c r="W3409" s="25"/>
      <c r="X3409" s="25"/>
      <c r="Y3409" s="25"/>
      <c r="Z3409" s="77"/>
      <c r="AA3409" s="3" t="str">
        <f>IF(BCP_Soles[[#This Row],[fecha]]&gt;0,TEXT(BCP_Soles[[#This Row],[fecha]],"mmmm"),0)</f>
        <v>Agosto</v>
      </c>
    </row>
    <row r="3410" spans="1:27" ht="24" x14ac:dyDescent="0.3">
      <c r="A3410" s="2">
        <f>IF(BCP_Soles[[#This Row],[tipo_registro]]="R",COUNTIFS($C$1:$C3409,"R")+1,A3409)</f>
        <v>2270</v>
      </c>
      <c r="B3410" s="19" t="str">
        <f t="shared" si="271"/>
        <v>B-BCP - Soles</v>
      </c>
      <c r="C3410" s="3" t="s">
        <v>1352</v>
      </c>
      <c r="D3410" s="14">
        <v>45890</v>
      </c>
      <c r="E3410" s="5" t="s">
        <v>1338</v>
      </c>
      <c r="F3410" s="5"/>
      <c r="G3410" s="6" t="s">
        <v>594</v>
      </c>
      <c r="H3410" s="6" t="s">
        <v>68</v>
      </c>
      <c r="I3410" s="6" t="s">
        <v>1376</v>
      </c>
      <c r="J3410" s="6">
        <v>2468</v>
      </c>
      <c r="K3410" s="7" t="s">
        <v>4271</v>
      </c>
      <c r="L3410" s="8">
        <v>4888942</v>
      </c>
      <c r="M3410" s="8" t="str">
        <f t="shared" si="272"/>
        <v>PEN</v>
      </c>
      <c r="N3410" s="13">
        <v>94.4</v>
      </c>
      <c r="O3410" s="13"/>
      <c r="P3410" s="3">
        <f t="shared" si="273"/>
        <v>0</v>
      </c>
      <c r="Q3410" s="3">
        <f t="shared" si="274"/>
        <v>0</v>
      </c>
      <c r="R3410" s="3">
        <f t="shared" si="275"/>
        <v>5287.8299999999726</v>
      </c>
      <c r="S3410" s="24" t="s">
        <v>1334</v>
      </c>
      <c r="T3410" s="24" t="s">
        <v>1334</v>
      </c>
      <c r="U3410" s="56" t="s">
        <v>4272</v>
      </c>
      <c r="V3410" s="25">
        <f>IFERROR(VLOOKUP(BCP_Soles[[#This Row],[destinatario]],CHOOSE({1,2},Clientes_Proveedores[Razon Social],Clientes_Proveedores[Ruc / Dni]),2,0),"")</f>
        <v>20609764261</v>
      </c>
      <c r="W3410" s="25"/>
      <c r="X3410" s="25"/>
      <c r="Y3410" s="25"/>
      <c r="Z3410" s="77"/>
      <c r="AA3410" s="3" t="str">
        <f>IF(BCP_Soles[[#This Row],[fecha]]&gt;0,TEXT(BCP_Soles[[#This Row],[fecha]],"mmmm"),0)</f>
        <v>Agosto</v>
      </c>
    </row>
    <row r="3411" spans="1:27" ht="36" x14ac:dyDescent="0.3">
      <c r="A3411" s="2">
        <f>IF(BCP_Soles[[#This Row],[tipo_registro]]="R",COUNTIFS($C$1:$C3410,"R")+1,A3410)</f>
        <v>2270</v>
      </c>
      <c r="B3411" s="19" t="str">
        <f t="shared" si="271"/>
        <v>B-BCP - Soles</v>
      </c>
      <c r="C3411" s="3" t="s">
        <v>1352</v>
      </c>
      <c r="D3411" s="14">
        <v>45890</v>
      </c>
      <c r="E3411" s="5" t="s">
        <v>1338</v>
      </c>
      <c r="F3411" s="5"/>
      <c r="G3411" s="6" t="s">
        <v>623</v>
      </c>
      <c r="H3411" s="6" t="s">
        <v>68</v>
      </c>
      <c r="I3411" s="6" t="s">
        <v>1374</v>
      </c>
      <c r="J3411" s="6">
        <v>8006</v>
      </c>
      <c r="K3411" s="7" t="s">
        <v>4271</v>
      </c>
      <c r="L3411" s="8">
        <v>4888942</v>
      </c>
      <c r="M3411" s="8" t="str">
        <f t="shared" si="272"/>
        <v>PEN</v>
      </c>
      <c r="N3411" s="13">
        <v>1012.5</v>
      </c>
      <c r="O3411" s="13"/>
      <c r="P3411" s="3">
        <f t="shared" si="273"/>
        <v>0</v>
      </c>
      <c r="Q3411" s="3">
        <f t="shared" si="274"/>
        <v>0</v>
      </c>
      <c r="R3411" s="3">
        <f t="shared" si="275"/>
        <v>5287.8299999999726</v>
      </c>
      <c r="S3411" s="24" t="s">
        <v>1334</v>
      </c>
      <c r="T3411" s="24" t="s">
        <v>1334</v>
      </c>
      <c r="U3411" s="56" t="s">
        <v>4272</v>
      </c>
      <c r="V3411" s="25">
        <f>IFERROR(VLOOKUP(BCP_Soles[[#This Row],[destinatario]],CHOOSE({1,2},Clientes_Proveedores[Razon Social],Clientes_Proveedores[Ruc / Dni]),2,0),"")</f>
        <v>20454819137</v>
      </c>
      <c r="W3411" s="25"/>
      <c r="X3411" s="25"/>
      <c r="Y3411" s="25"/>
      <c r="Z3411" s="77"/>
      <c r="AA3411" s="3" t="str">
        <f>IF(BCP_Soles[[#This Row],[fecha]]&gt;0,TEXT(BCP_Soles[[#This Row],[fecha]],"mmmm"),0)</f>
        <v>Agosto</v>
      </c>
    </row>
    <row r="3412" spans="1:27" ht="24" x14ac:dyDescent="0.3">
      <c r="A3412" s="2">
        <f>IF(BCP_Soles[[#This Row],[tipo_registro]]="R",COUNTIFS($C$1:$C3411,"R")+1,A3411)</f>
        <v>2270</v>
      </c>
      <c r="B3412" s="19" t="str">
        <f t="shared" si="271"/>
        <v>B-BCP - Soles</v>
      </c>
      <c r="C3412" s="3" t="s">
        <v>1352</v>
      </c>
      <c r="D3412" s="14">
        <v>45890</v>
      </c>
      <c r="E3412" s="5" t="s">
        <v>1338</v>
      </c>
      <c r="F3412" s="5"/>
      <c r="G3412" s="6" t="s">
        <v>667</v>
      </c>
      <c r="H3412" s="6" t="s">
        <v>68</v>
      </c>
      <c r="I3412" s="6" t="s">
        <v>1376</v>
      </c>
      <c r="J3412" s="6">
        <v>59</v>
      </c>
      <c r="K3412" s="7" t="s">
        <v>4271</v>
      </c>
      <c r="L3412" s="8">
        <v>4888942</v>
      </c>
      <c r="M3412" s="8" t="str">
        <f t="shared" si="272"/>
        <v>PEN</v>
      </c>
      <c r="N3412" s="13">
        <v>510</v>
      </c>
      <c r="O3412" s="13"/>
      <c r="P3412" s="3">
        <f t="shared" si="273"/>
        <v>0</v>
      </c>
      <c r="Q3412" s="3">
        <f t="shared" si="274"/>
        <v>0</v>
      </c>
      <c r="R3412" s="3">
        <f t="shared" si="275"/>
        <v>5287.8299999999726</v>
      </c>
      <c r="S3412" s="24" t="s">
        <v>1334</v>
      </c>
      <c r="T3412" s="24" t="s">
        <v>1334</v>
      </c>
      <c r="U3412" s="56" t="s">
        <v>4272</v>
      </c>
      <c r="V3412" s="25">
        <f>IFERROR(VLOOKUP(BCP_Soles[[#This Row],[destinatario]],CHOOSE({1,2},Clientes_Proveedores[Razon Social],Clientes_Proveedores[Ruc / Dni]),2,0),"")</f>
        <v>10410687491</v>
      </c>
      <c r="W3412" s="25"/>
      <c r="X3412" s="25"/>
      <c r="Y3412" s="25"/>
      <c r="Z3412" s="77"/>
      <c r="AA3412" s="3" t="str">
        <f>IF(BCP_Soles[[#This Row],[fecha]]&gt;0,TEXT(BCP_Soles[[#This Row],[fecha]],"mmmm"),0)</f>
        <v>Agosto</v>
      </c>
    </row>
    <row r="3413" spans="1:27" ht="24" x14ac:dyDescent="0.3">
      <c r="A3413" s="2">
        <f>IF(BCP_Soles[[#This Row],[tipo_registro]]="R",COUNTIFS($C$1:$C3412,"R")+1,A3412)</f>
        <v>2270</v>
      </c>
      <c r="B3413" s="19" t="str">
        <f t="shared" si="271"/>
        <v>B-BCP - Soles</v>
      </c>
      <c r="C3413" s="3" t="s">
        <v>1352</v>
      </c>
      <c r="D3413" s="14">
        <v>45890</v>
      </c>
      <c r="E3413" s="5" t="s">
        <v>1338</v>
      </c>
      <c r="F3413" s="5"/>
      <c r="G3413" s="6" t="s">
        <v>594</v>
      </c>
      <c r="H3413" s="6" t="s">
        <v>68</v>
      </c>
      <c r="I3413" s="6" t="s">
        <v>1376</v>
      </c>
      <c r="J3413" s="6">
        <v>2461</v>
      </c>
      <c r="K3413" s="7" t="s">
        <v>4271</v>
      </c>
      <c r="L3413" s="8">
        <v>4888942</v>
      </c>
      <c r="M3413" s="8" t="str">
        <f t="shared" si="272"/>
        <v>PEN</v>
      </c>
      <c r="N3413" s="13">
        <v>141.6</v>
      </c>
      <c r="O3413" s="13"/>
      <c r="P3413" s="3">
        <f t="shared" si="273"/>
        <v>0</v>
      </c>
      <c r="Q3413" s="3">
        <f t="shared" si="274"/>
        <v>0</v>
      </c>
      <c r="R3413" s="3">
        <f t="shared" si="275"/>
        <v>5287.8299999999726</v>
      </c>
      <c r="S3413" s="24" t="s">
        <v>1334</v>
      </c>
      <c r="T3413" s="24" t="s">
        <v>1334</v>
      </c>
      <c r="U3413" s="56" t="s">
        <v>4272</v>
      </c>
      <c r="V3413" s="25">
        <f>IFERROR(VLOOKUP(BCP_Soles[[#This Row],[destinatario]],CHOOSE({1,2},Clientes_Proveedores[Razon Social],Clientes_Proveedores[Ruc / Dni]),2,0),"")</f>
        <v>20609764261</v>
      </c>
      <c r="W3413" s="25"/>
      <c r="X3413" s="25"/>
      <c r="Y3413" s="25"/>
      <c r="Z3413" s="77"/>
      <c r="AA3413" s="3" t="str">
        <f>IF(BCP_Soles[[#This Row],[fecha]]&gt;0,TEXT(BCP_Soles[[#This Row],[fecha]],"mmmm"),0)</f>
        <v>Agosto</v>
      </c>
    </row>
    <row r="3414" spans="1:27" ht="24" x14ac:dyDescent="0.3">
      <c r="A3414" s="2">
        <f>IF(BCP_Soles[[#This Row],[tipo_registro]]="R",COUNTIFS($C$1:$C3413,"R")+1,A3413)</f>
        <v>2270</v>
      </c>
      <c r="B3414" s="19" t="str">
        <f t="shared" si="271"/>
        <v>B-BCP - Soles</v>
      </c>
      <c r="C3414" s="3" t="s">
        <v>1352</v>
      </c>
      <c r="D3414" s="14">
        <v>45890</v>
      </c>
      <c r="E3414" s="5" t="s">
        <v>1338</v>
      </c>
      <c r="F3414" s="5"/>
      <c r="G3414" s="6" t="s">
        <v>594</v>
      </c>
      <c r="H3414" s="6" t="s">
        <v>68</v>
      </c>
      <c r="I3414" s="6" t="s">
        <v>1376</v>
      </c>
      <c r="J3414" s="6">
        <v>2460</v>
      </c>
      <c r="K3414" s="7" t="s">
        <v>4271</v>
      </c>
      <c r="L3414" s="8">
        <v>4888942</v>
      </c>
      <c r="M3414" s="8" t="str">
        <f t="shared" si="272"/>
        <v>PEN</v>
      </c>
      <c r="N3414" s="13">
        <v>106.2</v>
      </c>
      <c r="O3414" s="13"/>
      <c r="P3414" s="3">
        <f t="shared" si="273"/>
        <v>0</v>
      </c>
      <c r="Q3414" s="3">
        <f t="shared" si="274"/>
        <v>0</v>
      </c>
      <c r="R3414" s="3">
        <f t="shared" si="275"/>
        <v>5287.8299999999726</v>
      </c>
      <c r="S3414" s="24" t="s">
        <v>1334</v>
      </c>
      <c r="T3414" s="24" t="s">
        <v>1334</v>
      </c>
      <c r="U3414" s="56" t="s">
        <v>4272</v>
      </c>
      <c r="V3414" s="25">
        <f>IFERROR(VLOOKUP(BCP_Soles[[#This Row],[destinatario]],CHOOSE({1,2},Clientes_Proveedores[Razon Social],Clientes_Proveedores[Ruc / Dni]),2,0),"")</f>
        <v>20609764261</v>
      </c>
      <c r="W3414" s="25"/>
      <c r="X3414" s="25"/>
      <c r="Y3414" s="25"/>
      <c r="Z3414" s="77"/>
      <c r="AA3414" s="3" t="str">
        <f>IF(BCP_Soles[[#This Row],[fecha]]&gt;0,TEXT(BCP_Soles[[#This Row],[fecha]],"mmmm"),0)</f>
        <v>Agosto</v>
      </c>
    </row>
    <row r="3415" spans="1:27" ht="24" x14ac:dyDescent="0.3">
      <c r="A3415" s="2">
        <f>IF(BCP_Soles[[#This Row],[tipo_registro]]="R",COUNTIFS($C$1:$C3414,"R")+1,A3414)</f>
        <v>2270</v>
      </c>
      <c r="B3415" s="19" t="str">
        <f t="shared" si="271"/>
        <v>B-BCP - Soles</v>
      </c>
      <c r="C3415" s="3" t="s">
        <v>1352</v>
      </c>
      <c r="D3415" s="14">
        <v>45890</v>
      </c>
      <c r="E3415" s="5" t="s">
        <v>1338</v>
      </c>
      <c r="F3415" s="5"/>
      <c r="G3415" s="6" t="s">
        <v>594</v>
      </c>
      <c r="H3415" s="6" t="s">
        <v>68</v>
      </c>
      <c r="I3415" s="6" t="s">
        <v>1376</v>
      </c>
      <c r="J3415" s="6">
        <v>2462</v>
      </c>
      <c r="K3415" s="7" t="s">
        <v>4271</v>
      </c>
      <c r="L3415" s="8">
        <v>4888942</v>
      </c>
      <c r="M3415" s="8" t="str">
        <f t="shared" si="272"/>
        <v>PEN</v>
      </c>
      <c r="N3415" s="13">
        <v>70.8</v>
      </c>
      <c r="O3415" s="13"/>
      <c r="P3415" s="3">
        <f t="shared" si="273"/>
        <v>0</v>
      </c>
      <c r="Q3415" s="3">
        <f t="shared" si="274"/>
        <v>0</v>
      </c>
      <c r="R3415" s="3">
        <f t="shared" si="275"/>
        <v>5287.8299999999726</v>
      </c>
      <c r="S3415" s="24" t="s">
        <v>1334</v>
      </c>
      <c r="T3415" s="24" t="s">
        <v>1334</v>
      </c>
      <c r="U3415" s="56" t="s">
        <v>4272</v>
      </c>
      <c r="V3415" s="25">
        <f>IFERROR(VLOOKUP(BCP_Soles[[#This Row],[destinatario]],CHOOSE({1,2},Clientes_Proveedores[Razon Social],Clientes_Proveedores[Ruc / Dni]),2,0),"")</f>
        <v>20609764261</v>
      </c>
      <c r="W3415" s="25"/>
      <c r="X3415" s="25"/>
      <c r="Y3415" s="25"/>
      <c r="Z3415" s="77"/>
      <c r="AA3415" s="3" t="str">
        <f>IF(BCP_Soles[[#This Row],[fecha]]&gt;0,TEXT(BCP_Soles[[#This Row],[fecha]],"mmmm"),0)</f>
        <v>Agosto</v>
      </c>
    </row>
    <row r="3416" spans="1:27" x14ac:dyDescent="0.3">
      <c r="A3416" s="2">
        <f>IF(BCP_Soles[[#This Row],[tipo_registro]]="R",COUNTIFS($C$1:$C3415,"R")+1,A3415)</f>
        <v>2270</v>
      </c>
      <c r="B3416" s="19" t="str">
        <f t="shared" si="271"/>
        <v>B-BCP - Soles</v>
      </c>
      <c r="C3416" s="3" t="s">
        <v>1352</v>
      </c>
      <c r="D3416" s="14">
        <v>45890</v>
      </c>
      <c r="E3416" s="5" t="s">
        <v>1338</v>
      </c>
      <c r="F3416" s="5"/>
      <c r="G3416" s="6" t="s">
        <v>522</v>
      </c>
      <c r="H3416" s="6" t="s">
        <v>68</v>
      </c>
      <c r="I3416" s="6" t="s">
        <v>1376</v>
      </c>
      <c r="J3416" s="6">
        <v>4037</v>
      </c>
      <c r="K3416" s="7" t="s">
        <v>4271</v>
      </c>
      <c r="L3416" s="8">
        <v>4888942</v>
      </c>
      <c r="M3416" s="8" t="str">
        <f t="shared" si="272"/>
        <v>PEN</v>
      </c>
      <c r="N3416" s="13">
        <v>200.6</v>
      </c>
      <c r="O3416" s="13"/>
      <c r="P3416" s="3">
        <f t="shared" si="273"/>
        <v>0</v>
      </c>
      <c r="Q3416" s="3">
        <f t="shared" si="274"/>
        <v>0</v>
      </c>
      <c r="R3416" s="3">
        <f t="shared" si="275"/>
        <v>5287.8299999999726</v>
      </c>
      <c r="S3416" s="24" t="s">
        <v>1334</v>
      </c>
      <c r="T3416" s="24" t="s">
        <v>1334</v>
      </c>
      <c r="U3416" s="56" t="s">
        <v>4272</v>
      </c>
      <c r="V3416" s="25">
        <f>IFERROR(VLOOKUP(BCP_Soles[[#This Row],[destinatario]],CHOOSE({1,2},Clientes_Proveedores[Razon Social],Clientes_Proveedores[Ruc / Dni]),2,0),"")</f>
        <v>20603974817</v>
      </c>
      <c r="W3416" s="25"/>
      <c r="X3416" s="25"/>
      <c r="Y3416" s="25"/>
      <c r="Z3416" s="77"/>
      <c r="AA3416" s="3" t="str">
        <f>IF(BCP_Soles[[#This Row],[fecha]]&gt;0,TEXT(BCP_Soles[[#This Row],[fecha]],"mmmm"),0)</f>
        <v>Agosto</v>
      </c>
    </row>
    <row r="3417" spans="1:27" x14ac:dyDescent="0.3">
      <c r="A3417" s="2">
        <f>IF(BCP_Soles[[#This Row],[tipo_registro]]="R",COUNTIFS($C$1:$C3416,"R")+1,A3416)</f>
        <v>2271</v>
      </c>
      <c r="B3417" s="19" t="str">
        <f t="shared" si="271"/>
        <v>B-BCP - Soles</v>
      </c>
      <c r="C3417" s="3" t="s">
        <v>1330</v>
      </c>
      <c r="D3417" s="14">
        <v>45890</v>
      </c>
      <c r="E3417" s="5" t="s">
        <v>3190</v>
      </c>
      <c r="F3417" s="5" t="s">
        <v>1336</v>
      </c>
      <c r="G3417" s="6"/>
      <c r="H3417" s="6"/>
      <c r="I3417" s="6"/>
      <c r="J3417" s="6"/>
      <c r="K3417" s="7" t="s">
        <v>4273</v>
      </c>
      <c r="L3417" s="8">
        <v>1002082</v>
      </c>
      <c r="M3417" s="8" t="str">
        <f t="shared" si="272"/>
        <v>PEN</v>
      </c>
      <c r="N3417" s="13"/>
      <c r="O3417" s="13">
        <v>1909</v>
      </c>
      <c r="P3417" s="3">
        <f t="shared" si="273"/>
        <v>0</v>
      </c>
      <c r="Q3417" s="3">
        <f t="shared" si="274"/>
        <v>1909</v>
      </c>
      <c r="R3417" s="3">
        <f t="shared" si="275"/>
        <v>3378.8299999999726</v>
      </c>
      <c r="S3417" s="24"/>
      <c r="T3417" s="24"/>
      <c r="U3417" s="55"/>
      <c r="V3417" s="25" t="str">
        <f>IFERROR(VLOOKUP(BCP_Soles[[#This Row],[destinatario]],CHOOSE({1,2},Clientes_Proveedores[Razon Social],Clientes_Proveedores[Ruc / Dni]),2,0),"")</f>
        <v/>
      </c>
      <c r="W3417" s="25"/>
      <c r="X3417" s="25"/>
      <c r="Y3417" s="25"/>
      <c r="Z3417" s="77"/>
      <c r="AA3417" s="3" t="str">
        <f>IF(BCP_Soles[[#This Row],[fecha]]&gt;0,TEXT(BCP_Soles[[#This Row],[fecha]],"mmmm"),0)</f>
        <v>Agosto</v>
      </c>
    </row>
    <row r="3418" spans="1:27" ht="24" x14ac:dyDescent="0.3">
      <c r="A3418" s="2">
        <f>IF(BCP_Soles[[#This Row],[tipo_registro]]="R",COUNTIFS($C$1:$C3417,"R")+1,A3417)</f>
        <v>2272</v>
      </c>
      <c r="B3418" s="19" t="str">
        <f t="shared" ref="B3418:B3484" si="276">"B-BCP - Soles"</f>
        <v>B-BCP - Soles</v>
      </c>
      <c r="C3418" s="3" t="s">
        <v>1330</v>
      </c>
      <c r="D3418" s="14">
        <v>45890</v>
      </c>
      <c r="E3418" s="5" t="s">
        <v>1335</v>
      </c>
      <c r="F3418" s="5" t="s">
        <v>1336</v>
      </c>
      <c r="G3418" s="6" t="s">
        <v>1060</v>
      </c>
      <c r="H3418" s="6" t="s">
        <v>68</v>
      </c>
      <c r="I3418" s="6" t="s">
        <v>1397</v>
      </c>
      <c r="J3418" s="6">
        <v>36178159</v>
      </c>
      <c r="K3418" s="7" t="s">
        <v>4230</v>
      </c>
      <c r="L3418" s="8">
        <v>426</v>
      </c>
      <c r="M3418" s="8" t="str">
        <f t="shared" ref="M3418:M3484" si="277">"PEN"</f>
        <v>PEN</v>
      </c>
      <c r="N3418" s="13"/>
      <c r="O3418" s="13">
        <v>10</v>
      </c>
      <c r="P3418" s="3">
        <f t="shared" ref="P3418:P3484" si="278">+IF(OR($F3418="SALDO",$F3418="INGRESO"),$O3418,0)</f>
        <v>0</v>
      </c>
      <c r="Q3418" s="3">
        <f t="shared" ref="Q3418:Q3484" si="279">+IF($F3418="EGRESO",$O3418,0)</f>
        <v>10</v>
      </c>
      <c r="R3418" s="3">
        <f t="shared" si="275"/>
        <v>3368.8299999999726</v>
      </c>
      <c r="S3418" s="24" t="s">
        <v>1334</v>
      </c>
      <c r="T3418" s="24" t="s">
        <v>1334</v>
      </c>
      <c r="U3418" s="55"/>
      <c r="V3418" s="25">
        <f>IFERROR(VLOOKUP(BCP_Soles[[#This Row],[destinatario]],CHOOSE({1,2},Clientes_Proveedores[Razon Social],Clientes_Proveedores[Ruc / Dni]),2,0),"")</f>
        <v>20100047218</v>
      </c>
      <c r="W3418" s="25"/>
      <c r="X3418" s="25"/>
      <c r="Y3418" s="25"/>
      <c r="Z3418" s="77"/>
      <c r="AA3418" s="3" t="str">
        <f>IF(BCP_Soles[[#This Row],[fecha]]&gt;0,TEXT(BCP_Soles[[#This Row],[fecha]],"mmmm"),0)</f>
        <v>Agosto</v>
      </c>
    </row>
    <row r="3419" spans="1:27" x14ac:dyDescent="0.3">
      <c r="A3419" s="2">
        <f>IF(BCP_Soles[[#This Row],[tipo_registro]]="R",COUNTIFS($C$1:$C3418,"R")+1,A3418)</f>
        <v>2273</v>
      </c>
      <c r="B3419" s="19" t="str">
        <f t="shared" si="276"/>
        <v>B-BCP - Soles</v>
      </c>
      <c r="C3419" s="3" t="s">
        <v>1330</v>
      </c>
      <c r="D3419" s="14">
        <v>45890</v>
      </c>
      <c r="E3419" s="5" t="s">
        <v>1335</v>
      </c>
      <c r="F3419" s="5" t="s">
        <v>1336</v>
      </c>
      <c r="G3419" s="6" t="s">
        <v>1009</v>
      </c>
      <c r="H3419" s="6" t="s">
        <v>64</v>
      </c>
      <c r="I3419" s="6" t="s">
        <v>3673</v>
      </c>
      <c r="J3419" s="6">
        <v>2275</v>
      </c>
      <c r="K3419" s="7" t="s">
        <v>3160</v>
      </c>
      <c r="L3419" s="8"/>
      <c r="M3419" s="8" t="str">
        <f t="shared" si="277"/>
        <v>PEN</v>
      </c>
      <c r="N3419" s="13"/>
      <c r="O3419" s="13">
        <v>0.35</v>
      </c>
      <c r="P3419" s="3">
        <f t="shared" si="278"/>
        <v>0</v>
      </c>
      <c r="Q3419" s="3">
        <f t="shared" si="279"/>
        <v>0.35</v>
      </c>
      <c r="R3419" s="3">
        <f t="shared" si="275"/>
        <v>3368.4799999999727</v>
      </c>
      <c r="S3419" s="24" t="s">
        <v>1334</v>
      </c>
      <c r="T3419" s="24" t="s">
        <v>1334</v>
      </c>
      <c r="U3419" s="55"/>
      <c r="V3419" s="25">
        <f>IFERROR(VLOOKUP(BCP_Soles[[#This Row],[destinatario]],CHOOSE({1,2},Clientes_Proveedores[Razon Social],Clientes_Proveedores[Ruc / Dni]),2,0),"")</f>
        <v>11111111</v>
      </c>
      <c r="W3419" s="25"/>
      <c r="X3419" s="25"/>
      <c r="Y3419" s="25"/>
      <c r="Z3419" s="77"/>
      <c r="AA3419" s="3" t="str">
        <f>IF(BCP_Soles[[#This Row],[fecha]]&gt;0,TEXT(BCP_Soles[[#This Row],[fecha]],"mmmm"),0)</f>
        <v>Agosto</v>
      </c>
    </row>
    <row r="3420" spans="1:27" x14ac:dyDescent="0.3">
      <c r="A3420" s="2">
        <f>IF(BCP_Soles[[#This Row],[tipo_registro]]="R",COUNTIFS($C$1:$C3419,"R")+1,A3419)</f>
        <v>2274</v>
      </c>
      <c r="B3420" s="19" t="str">
        <f t="shared" si="276"/>
        <v>B-BCP - Soles</v>
      </c>
      <c r="C3420" s="3" t="s">
        <v>1330</v>
      </c>
      <c r="D3420" s="14">
        <v>45891</v>
      </c>
      <c r="E3420" s="5"/>
      <c r="F3420" s="5" t="s">
        <v>1303</v>
      </c>
      <c r="G3420" s="6" t="s">
        <v>425</v>
      </c>
      <c r="H3420" s="6"/>
      <c r="I3420" s="6"/>
      <c r="J3420" s="6"/>
      <c r="K3420" s="7" t="s">
        <v>4274</v>
      </c>
      <c r="L3420" s="8">
        <v>2094314</v>
      </c>
      <c r="M3420" s="8" t="str">
        <f t="shared" si="277"/>
        <v>PEN</v>
      </c>
      <c r="N3420" s="13"/>
      <c r="O3420" s="13">
        <v>2300</v>
      </c>
      <c r="P3420" s="3">
        <f t="shared" si="278"/>
        <v>2300</v>
      </c>
      <c r="Q3420" s="3">
        <f t="shared" si="279"/>
        <v>0</v>
      </c>
      <c r="R3420" s="3">
        <f t="shared" si="275"/>
        <v>5668.4799999999723</v>
      </c>
      <c r="S3420" s="24"/>
      <c r="T3420" s="24"/>
      <c r="U3420" s="55"/>
      <c r="V3420" s="25">
        <f>IFERROR(VLOOKUP(BCP_Soles[[#This Row],[destinatario]],CHOOSE({1,2},Clientes_Proveedores[Razon Social],Clientes_Proveedores[Ruc / Dni]),2,0),"")</f>
        <v>20558226979</v>
      </c>
      <c r="W3420" s="25"/>
      <c r="X3420" s="25"/>
      <c r="Y3420" s="25"/>
      <c r="Z3420" s="77"/>
      <c r="AA3420" s="3" t="str">
        <f>IF(BCP_Soles[[#This Row],[fecha]]&gt;0,TEXT(BCP_Soles[[#This Row],[fecha]],"mmmm"),0)</f>
        <v>Agosto</v>
      </c>
    </row>
    <row r="3421" spans="1:27" ht="36" x14ac:dyDescent="0.3">
      <c r="A3421" s="2">
        <f>IF(BCP_Soles[[#This Row],[tipo_registro]]="R",COUNTIFS($C$1:$C3420,"R")+1,A3420)</f>
        <v>2275</v>
      </c>
      <c r="B3421" s="19" t="str">
        <f t="shared" si="276"/>
        <v>B-BCP - Soles</v>
      </c>
      <c r="C3421" s="3" t="s">
        <v>1330</v>
      </c>
      <c r="D3421" s="14">
        <v>45891</v>
      </c>
      <c r="E3421" s="5" t="s">
        <v>555</v>
      </c>
      <c r="F3421" s="5" t="s">
        <v>1303</v>
      </c>
      <c r="G3421" s="6" t="s">
        <v>425</v>
      </c>
      <c r="H3421" s="6"/>
      <c r="I3421" s="6"/>
      <c r="J3421" s="6"/>
      <c r="K3421" s="7" t="s">
        <v>4112</v>
      </c>
      <c r="L3421" s="8">
        <v>5364545</v>
      </c>
      <c r="M3421" s="8" t="str">
        <f t="shared" si="277"/>
        <v>PEN</v>
      </c>
      <c r="N3421" s="13"/>
      <c r="O3421" s="13">
        <v>2827.01</v>
      </c>
      <c r="P3421" s="3">
        <f t="shared" si="278"/>
        <v>2827.01</v>
      </c>
      <c r="Q3421" s="3">
        <f t="shared" si="279"/>
        <v>0</v>
      </c>
      <c r="R3421" s="3">
        <f t="shared" si="275"/>
        <v>8495.4899999999725</v>
      </c>
      <c r="S3421" s="24" t="s">
        <v>1334</v>
      </c>
      <c r="T3421" s="24" t="s">
        <v>1334</v>
      </c>
      <c r="U3421" s="55"/>
      <c r="V3421" s="25">
        <f>IFERROR(VLOOKUP(BCP_Soles[[#This Row],[destinatario]],CHOOSE({1,2},Clientes_Proveedores[Razon Social],Clientes_Proveedores[Ruc / Dni]),2,0),"")</f>
        <v>20558226979</v>
      </c>
      <c r="W3421" s="25"/>
      <c r="X3421" s="25"/>
      <c r="Y3421" s="25"/>
      <c r="Z3421" s="77"/>
      <c r="AA3421" s="3" t="str">
        <f>IF(BCP_Soles[[#This Row],[fecha]]&gt;0,TEXT(BCP_Soles[[#This Row],[fecha]],"mmmm"),0)</f>
        <v>Agosto</v>
      </c>
    </row>
    <row r="3422" spans="1:27" ht="36" x14ac:dyDescent="0.3">
      <c r="A3422" s="2">
        <f>IF(BCP_Soles[[#This Row],[tipo_registro]]="R",COUNTIFS($C$1:$C3421,"R")+1,A3421)</f>
        <v>2275</v>
      </c>
      <c r="B3422" s="19" t="str">
        <f t="shared" si="276"/>
        <v>B-BCP - Soles</v>
      </c>
      <c r="C3422" s="3" t="s">
        <v>1352</v>
      </c>
      <c r="D3422" s="14">
        <v>45891</v>
      </c>
      <c r="E3422" s="5"/>
      <c r="F3422" s="5"/>
      <c r="G3422" s="6" t="s">
        <v>555</v>
      </c>
      <c r="H3422" s="6" t="s">
        <v>68</v>
      </c>
      <c r="I3422" s="6" t="s">
        <v>3381</v>
      </c>
      <c r="J3422" s="6">
        <v>56</v>
      </c>
      <c r="K3422" s="7" t="s">
        <v>4112</v>
      </c>
      <c r="L3422" s="8">
        <v>5364545</v>
      </c>
      <c r="M3422" s="8" t="str">
        <f t="shared" si="277"/>
        <v>PEN</v>
      </c>
      <c r="N3422" s="13">
        <v>1040.19</v>
      </c>
      <c r="O3422" s="13"/>
      <c r="P3422" s="3">
        <f t="shared" si="278"/>
        <v>0</v>
      </c>
      <c r="Q3422" s="3">
        <f t="shared" si="279"/>
        <v>0</v>
      </c>
      <c r="R3422" s="3">
        <f t="shared" si="275"/>
        <v>8495.4899999999725</v>
      </c>
      <c r="S3422" s="24" t="s">
        <v>1334</v>
      </c>
      <c r="T3422" s="24" t="s">
        <v>1334</v>
      </c>
      <c r="U3422" s="55"/>
      <c r="V3422" s="25">
        <f>IFERROR(VLOOKUP(BCP_Soles[[#This Row],[destinatario]],CHOOSE({1,2},Clientes_Proveedores[Razon Social],Clientes_Proveedores[Ruc / Dni]),2,0),"")</f>
        <v>20607388416</v>
      </c>
      <c r="W3422" s="25"/>
      <c r="X3422" s="25"/>
      <c r="Y3422" s="25"/>
      <c r="Z3422" s="77"/>
      <c r="AA3422" s="3" t="str">
        <f>IF(BCP_Soles[[#This Row],[fecha]]&gt;0,TEXT(BCP_Soles[[#This Row],[fecha]],"mmmm"),0)</f>
        <v>Agosto</v>
      </c>
    </row>
    <row r="3423" spans="1:27" ht="36" x14ac:dyDescent="0.3">
      <c r="A3423" s="2">
        <f>IF(BCP_Soles[[#This Row],[tipo_registro]]="R",COUNTIFS($C$1:$C3422,"R")+1,A3422)</f>
        <v>2275</v>
      </c>
      <c r="B3423" s="19" t="str">
        <f t="shared" si="276"/>
        <v>B-BCP - Soles</v>
      </c>
      <c r="C3423" s="3" t="s">
        <v>1352</v>
      </c>
      <c r="D3423" s="14">
        <v>45891</v>
      </c>
      <c r="E3423" s="5"/>
      <c r="F3423" s="5"/>
      <c r="G3423" s="6" t="s">
        <v>555</v>
      </c>
      <c r="H3423" s="6" t="s">
        <v>68</v>
      </c>
      <c r="I3423" s="6" t="s">
        <v>3381</v>
      </c>
      <c r="J3423" s="6">
        <v>58</v>
      </c>
      <c r="K3423" s="7" t="s">
        <v>4112</v>
      </c>
      <c r="L3423" s="8">
        <v>5364545</v>
      </c>
      <c r="M3423" s="8" t="str">
        <f t="shared" si="277"/>
        <v>PEN</v>
      </c>
      <c r="N3423" s="13">
        <v>1786.82</v>
      </c>
      <c r="O3423" s="13"/>
      <c r="P3423" s="3">
        <f t="shared" si="278"/>
        <v>0</v>
      </c>
      <c r="Q3423" s="3">
        <f t="shared" si="279"/>
        <v>0</v>
      </c>
      <c r="R3423" s="3">
        <f t="shared" si="275"/>
        <v>8495.4899999999725</v>
      </c>
      <c r="S3423" s="24" t="s">
        <v>1334</v>
      </c>
      <c r="T3423" s="24" t="s">
        <v>1334</v>
      </c>
      <c r="U3423" s="55"/>
      <c r="V3423" s="25">
        <f>IFERROR(VLOOKUP(BCP_Soles[[#This Row],[destinatario]],CHOOSE({1,2},Clientes_Proveedores[Razon Social],Clientes_Proveedores[Ruc / Dni]),2,0),"")</f>
        <v>20607388416</v>
      </c>
      <c r="W3423" s="25"/>
      <c r="X3423" s="25"/>
      <c r="Y3423" s="25"/>
      <c r="Z3423" s="77"/>
      <c r="AA3423" s="3" t="str">
        <f>IF(BCP_Soles[[#This Row],[fecha]]&gt;0,TEXT(BCP_Soles[[#This Row],[fecha]],"mmmm"),0)</f>
        <v>Agosto</v>
      </c>
    </row>
    <row r="3424" spans="1:27" x14ac:dyDescent="0.3">
      <c r="A3424" s="2">
        <f>IF(BCP_Soles[[#This Row],[tipo_registro]]="R",COUNTIFS($C$1:$C3423,"R")+1,A3423)</f>
        <v>2276</v>
      </c>
      <c r="B3424" s="19" t="str">
        <f t="shared" si="276"/>
        <v>B-BCP - Soles</v>
      </c>
      <c r="C3424" s="3" t="s">
        <v>1330</v>
      </c>
      <c r="D3424" s="14">
        <v>45891</v>
      </c>
      <c r="E3424" s="5" t="s">
        <v>439</v>
      </c>
      <c r="F3424" s="5" t="s">
        <v>1303</v>
      </c>
      <c r="G3424" s="6" t="s">
        <v>425</v>
      </c>
      <c r="H3424" s="6" t="s">
        <v>119</v>
      </c>
      <c r="I3424" s="6">
        <v>1</v>
      </c>
      <c r="J3424" s="6">
        <v>4694</v>
      </c>
      <c r="K3424" s="7" t="s">
        <v>1356</v>
      </c>
      <c r="L3424" s="8">
        <v>2376204</v>
      </c>
      <c r="M3424" s="8" t="str">
        <f t="shared" si="277"/>
        <v>PEN</v>
      </c>
      <c r="N3424" s="13"/>
      <c r="O3424" s="13">
        <v>760</v>
      </c>
      <c r="P3424" s="3">
        <f t="shared" si="278"/>
        <v>760</v>
      </c>
      <c r="Q3424" s="3">
        <f t="shared" si="279"/>
        <v>0</v>
      </c>
      <c r="R3424" s="3">
        <f t="shared" si="275"/>
        <v>9255.4899999999725</v>
      </c>
      <c r="S3424" s="24" t="s">
        <v>1334</v>
      </c>
      <c r="T3424" s="24" t="s">
        <v>1334</v>
      </c>
      <c r="U3424" s="55"/>
      <c r="V3424" s="25">
        <f>IFERROR(VLOOKUP(BCP_Soles[[#This Row],[destinatario]],CHOOSE({1,2},Clientes_Proveedores[Razon Social],Clientes_Proveedores[Ruc / Dni]),2,0),"")</f>
        <v>20558226979</v>
      </c>
      <c r="W3424" s="25"/>
      <c r="X3424" s="25"/>
      <c r="Y3424" s="25"/>
      <c r="Z3424" s="77"/>
      <c r="AA3424" s="3" t="str">
        <f>IF(BCP_Soles[[#This Row],[fecha]]&gt;0,TEXT(BCP_Soles[[#This Row],[fecha]],"mmmm"),0)</f>
        <v>Agosto</v>
      </c>
    </row>
    <row r="3425" spans="1:27" ht="24" x14ac:dyDescent="0.3">
      <c r="A3425" s="2">
        <f>IF(BCP_Soles[[#This Row],[tipo_registro]]="R",COUNTIFS($C$1:$C3424,"R")+1,A3424)</f>
        <v>2277</v>
      </c>
      <c r="B3425" s="19" t="str">
        <f t="shared" si="276"/>
        <v>B-BCP - Soles</v>
      </c>
      <c r="C3425" s="3" t="s">
        <v>1330</v>
      </c>
      <c r="D3425" s="14">
        <v>45891</v>
      </c>
      <c r="E3425" s="5" t="s">
        <v>4104</v>
      </c>
      <c r="F3425" s="5" t="s">
        <v>1303</v>
      </c>
      <c r="G3425" s="6" t="s">
        <v>425</v>
      </c>
      <c r="H3425" s="6" t="s">
        <v>119</v>
      </c>
      <c r="I3425" s="6">
        <v>1</v>
      </c>
      <c r="J3425" s="6">
        <v>4587</v>
      </c>
      <c r="K3425" s="7" t="s">
        <v>1356</v>
      </c>
      <c r="L3425" s="8">
        <v>2312750</v>
      </c>
      <c r="M3425" s="8" t="str">
        <f t="shared" si="277"/>
        <v>PEN</v>
      </c>
      <c r="N3425" s="13"/>
      <c r="O3425" s="13">
        <v>500</v>
      </c>
      <c r="P3425" s="3">
        <f t="shared" si="278"/>
        <v>500</v>
      </c>
      <c r="Q3425" s="3">
        <f t="shared" si="279"/>
        <v>0</v>
      </c>
      <c r="R3425" s="3">
        <f t="shared" si="275"/>
        <v>9755.4899999999725</v>
      </c>
      <c r="S3425" s="24" t="s">
        <v>1334</v>
      </c>
      <c r="T3425" s="24" t="s">
        <v>1334</v>
      </c>
      <c r="U3425" s="55"/>
      <c r="V3425" s="25">
        <f>IFERROR(VLOOKUP(BCP_Soles[[#This Row],[destinatario]],CHOOSE({1,2},Clientes_Proveedores[Razon Social],Clientes_Proveedores[Ruc / Dni]),2,0),"")</f>
        <v>20558226979</v>
      </c>
      <c r="W3425" s="25"/>
      <c r="X3425" s="25"/>
      <c r="Y3425" s="25"/>
      <c r="Z3425" s="77"/>
      <c r="AA3425" s="3" t="str">
        <f>IF(BCP_Soles[[#This Row],[fecha]]&gt;0,TEXT(BCP_Soles[[#This Row],[fecha]],"mmmm"),0)</f>
        <v>Agosto</v>
      </c>
    </row>
    <row r="3426" spans="1:27" x14ac:dyDescent="0.3">
      <c r="A3426" s="2">
        <f>IF(BCP_Soles[[#This Row],[tipo_registro]]="R",COUNTIFS($C$1:$C3425,"R")+1,A3425)</f>
        <v>2278</v>
      </c>
      <c r="B3426" s="19" t="str">
        <f t="shared" si="276"/>
        <v>B-BCP - Soles</v>
      </c>
      <c r="C3426" s="3" t="s">
        <v>1330</v>
      </c>
      <c r="D3426" s="14">
        <v>45891</v>
      </c>
      <c r="E3426" s="5" t="s">
        <v>4275</v>
      </c>
      <c r="F3426" s="5" t="s">
        <v>1303</v>
      </c>
      <c r="G3426" s="6" t="s">
        <v>425</v>
      </c>
      <c r="H3426" s="6"/>
      <c r="I3426" s="6"/>
      <c r="J3426" s="6"/>
      <c r="K3426" s="7" t="s">
        <v>4276</v>
      </c>
      <c r="L3426" s="8">
        <v>3602172</v>
      </c>
      <c r="M3426" s="8" t="str">
        <f t="shared" si="277"/>
        <v>PEN</v>
      </c>
      <c r="N3426" s="13"/>
      <c r="O3426" s="13">
        <v>113.6</v>
      </c>
      <c r="P3426" s="3">
        <f t="shared" si="278"/>
        <v>113.6</v>
      </c>
      <c r="Q3426" s="3">
        <f t="shared" si="279"/>
        <v>0</v>
      </c>
      <c r="R3426" s="3">
        <f t="shared" si="275"/>
        <v>9869.0899999999729</v>
      </c>
      <c r="S3426" s="24"/>
      <c r="T3426" s="24"/>
      <c r="U3426" s="55"/>
      <c r="V3426" s="25">
        <f>IFERROR(VLOOKUP(BCP_Soles[[#This Row],[destinatario]],CHOOSE({1,2},Clientes_Proveedores[Razon Social],Clientes_Proveedores[Ruc / Dni]),2,0),"")</f>
        <v>20558226979</v>
      </c>
      <c r="W3426" s="25"/>
      <c r="X3426" s="25"/>
      <c r="Y3426" s="25"/>
      <c r="Z3426" s="77"/>
      <c r="AA3426" s="3" t="str">
        <f>IF(BCP_Soles[[#This Row],[fecha]]&gt;0,TEXT(BCP_Soles[[#This Row],[fecha]],"mmmm"),0)</f>
        <v>Agosto</v>
      </c>
    </row>
    <row r="3427" spans="1:27" x14ac:dyDescent="0.3">
      <c r="A3427" s="2">
        <f>IF(BCP_Soles[[#This Row],[tipo_registro]]="R",COUNTIFS($C$1:$C3426,"R")+1,A3426)</f>
        <v>2279</v>
      </c>
      <c r="B3427" s="19" t="str">
        <f t="shared" si="276"/>
        <v>B-BCP - Soles</v>
      </c>
      <c r="C3427" s="3" t="s">
        <v>1330</v>
      </c>
      <c r="D3427" s="14">
        <v>45891</v>
      </c>
      <c r="E3427" s="5" t="s">
        <v>4171</v>
      </c>
      <c r="F3427" s="5" t="s">
        <v>1336</v>
      </c>
      <c r="G3427" s="6"/>
      <c r="H3427" s="6"/>
      <c r="I3427" s="6"/>
      <c r="J3427" s="6"/>
      <c r="K3427" s="7" t="s">
        <v>4277</v>
      </c>
      <c r="L3427" s="8">
        <v>1113121</v>
      </c>
      <c r="M3427" s="8" t="str">
        <f t="shared" si="277"/>
        <v>PEN</v>
      </c>
      <c r="N3427" s="13"/>
      <c r="O3427" s="13">
        <v>1920</v>
      </c>
      <c r="P3427" s="3">
        <f t="shared" si="278"/>
        <v>0</v>
      </c>
      <c r="Q3427" s="3">
        <f t="shared" si="279"/>
        <v>1920</v>
      </c>
      <c r="R3427" s="3">
        <f t="shared" si="275"/>
        <v>7949.0899999999729</v>
      </c>
      <c r="S3427" s="24"/>
      <c r="T3427" s="24"/>
      <c r="U3427" s="55"/>
      <c r="V3427" s="25" t="str">
        <f>IFERROR(VLOOKUP(BCP_Soles[[#This Row],[destinatario]],CHOOSE({1,2},Clientes_Proveedores[Razon Social],Clientes_Proveedores[Ruc / Dni]),2,0),"")</f>
        <v/>
      </c>
      <c r="W3427" s="25"/>
      <c r="X3427" s="25"/>
      <c r="Y3427" s="25"/>
      <c r="Z3427" s="77"/>
      <c r="AA3427" s="3" t="str">
        <f>IF(BCP_Soles[[#This Row],[fecha]]&gt;0,TEXT(BCP_Soles[[#This Row],[fecha]],"mmmm"),0)</f>
        <v>Agosto</v>
      </c>
    </row>
    <row r="3428" spans="1:27" x14ac:dyDescent="0.3">
      <c r="A3428" s="2">
        <f>IF(BCP_Soles[[#This Row],[tipo_registro]]="R",COUNTIFS($C$1:$C3427,"R")+1,A3427)</f>
        <v>2280</v>
      </c>
      <c r="B3428" s="19" t="str">
        <f t="shared" si="276"/>
        <v>B-BCP - Soles</v>
      </c>
      <c r="C3428" s="3" t="s">
        <v>1330</v>
      </c>
      <c r="D3428" s="14">
        <v>45891</v>
      </c>
      <c r="E3428" s="5" t="s">
        <v>4171</v>
      </c>
      <c r="F3428" s="5" t="s">
        <v>1336</v>
      </c>
      <c r="G3428" s="6" t="s">
        <v>268</v>
      </c>
      <c r="H3428" s="6" t="s">
        <v>68</v>
      </c>
      <c r="I3428" s="6" t="s">
        <v>1374</v>
      </c>
      <c r="J3428" s="6">
        <v>35714</v>
      </c>
      <c r="K3428" s="7" t="s">
        <v>4278</v>
      </c>
      <c r="L3428" s="8">
        <v>1239506</v>
      </c>
      <c r="M3428" s="8" t="str">
        <f t="shared" si="277"/>
        <v>PEN</v>
      </c>
      <c r="N3428" s="13"/>
      <c r="O3428" s="13">
        <v>603.99</v>
      </c>
      <c r="P3428" s="3">
        <f t="shared" si="278"/>
        <v>0</v>
      </c>
      <c r="Q3428" s="3">
        <f t="shared" si="279"/>
        <v>603.99</v>
      </c>
      <c r="R3428" s="3">
        <f t="shared" si="275"/>
        <v>7345.0999999999731</v>
      </c>
      <c r="S3428" s="24" t="s">
        <v>1334</v>
      </c>
      <c r="T3428" s="24" t="s">
        <v>1334</v>
      </c>
      <c r="U3428" s="55"/>
      <c r="V3428" s="25">
        <f>IFERROR(VLOOKUP(BCP_Soles[[#This Row],[destinatario]],CHOOSE({1,2},Clientes_Proveedores[Razon Social],Clientes_Proveedores[Ruc / Dni]),2,0),"")</f>
        <v>20413815071</v>
      </c>
      <c r="W3428" s="25"/>
      <c r="X3428" s="25"/>
      <c r="Y3428" s="25"/>
      <c r="Z3428" s="77"/>
      <c r="AA3428" s="3" t="str">
        <f>IF(BCP_Soles[[#This Row],[fecha]]&gt;0,TEXT(BCP_Soles[[#This Row],[fecha]],"mmmm"),0)</f>
        <v>Agosto</v>
      </c>
    </row>
    <row r="3429" spans="1:27" x14ac:dyDescent="0.3">
      <c r="A3429" s="2">
        <f>IF(BCP_Soles[[#This Row],[tipo_registro]]="R",COUNTIFS($C$1:$C3428,"R")+1,A3428)</f>
        <v>2281</v>
      </c>
      <c r="B3429" s="19" t="str">
        <f t="shared" si="276"/>
        <v>B-BCP - Soles</v>
      </c>
      <c r="C3429" s="3" t="s">
        <v>1330</v>
      </c>
      <c r="D3429" s="14">
        <v>45891</v>
      </c>
      <c r="E3429" s="5" t="s">
        <v>1338</v>
      </c>
      <c r="F3429" s="5" t="s">
        <v>1336</v>
      </c>
      <c r="G3429" s="6" t="s">
        <v>695</v>
      </c>
      <c r="H3429" s="6"/>
      <c r="I3429" s="6"/>
      <c r="J3429" s="6"/>
      <c r="K3429" s="7" t="s">
        <v>4203</v>
      </c>
      <c r="L3429" s="8">
        <v>238054</v>
      </c>
      <c r="M3429" s="8" t="str">
        <f t="shared" si="277"/>
        <v>PEN</v>
      </c>
      <c r="N3429" s="13"/>
      <c r="O3429" s="13">
        <v>2271.15</v>
      </c>
      <c r="P3429" s="3">
        <f t="shared" si="278"/>
        <v>0</v>
      </c>
      <c r="Q3429" s="3">
        <f t="shared" si="279"/>
        <v>2271.15</v>
      </c>
      <c r="R3429" s="3">
        <f t="shared" si="275"/>
        <v>5073.9499999999734</v>
      </c>
      <c r="S3429" s="24" t="s">
        <v>1334</v>
      </c>
      <c r="T3429" s="24" t="s">
        <v>1334</v>
      </c>
      <c r="U3429" s="56" t="s">
        <v>4279</v>
      </c>
      <c r="V3429" s="25">
        <f>IFERROR(VLOOKUP(BCP_Soles[[#This Row],[destinatario]],CHOOSE({1,2},Clientes_Proveedores[Razon Social],Clientes_Proveedores[Ruc / Dni]),2,0),"")</f>
        <v>20127765279</v>
      </c>
      <c r="W3429" s="25"/>
      <c r="X3429" s="25"/>
      <c r="Y3429" s="25"/>
      <c r="Z3429" s="77"/>
      <c r="AA3429" s="3" t="str">
        <f>IF(BCP_Soles[[#This Row],[fecha]]&gt;0,TEXT(BCP_Soles[[#This Row],[fecha]],"mmmm"),0)</f>
        <v>Agosto</v>
      </c>
    </row>
    <row r="3430" spans="1:27" x14ac:dyDescent="0.3">
      <c r="A3430" s="2">
        <f>IF(BCP_Soles[[#This Row],[tipo_registro]]="R",COUNTIFS($C$1:$C3429,"R")+1,A3429)</f>
        <v>2281</v>
      </c>
      <c r="B3430" s="19" t="str">
        <f t="shared" si="276"/>
        <v>B-BCP - Soles</v>
      </c>
      <c r="C3430" s="3" t="s">
        <v>1352</v>
      </c>
      <c r="D3430" s="14">
        <v>45891</v>
      </c>
      <c r="E3430" s="5" t="s">
        <v>1338</v>
      </c>
      <c r="F3430" s="5"/>
      <c r="G3430" s="6" t="s">
        <v>695</v>
      </c>
      <c r="H3430" s="6" t="s">
        <v>68</v>
      </c>
      <c r="I3430" s="6" t="s">
        <v>1377</v>
      </c>
      <c r="J3430" s="6">
        <v>178193</v>
      </c>
      <c r="K3430" s="7" t="s">
        <v>4203</v>
      </c>
      <c r="L3430" s="8">
        <v>238054</v>
      </c>
      <c r="M3430" s="8" t="str">
        <f t="shared" si="277"/>
        <v>PEN</v>
      </c>
      <c r="N3430" s="13">
        <v>1231.77</v>
      </c>
      <c r="O3430" s="13"/>
      <c r="P3430" s="3">
        <f t="shared" si="278"/>
        <v>0</v>
      </c>
      <c r="Q3430" s="3">
        <f t="shared" si="279"/>
        <v>0</v>
      </c>
      <c r="R3430" s="3">
        <f t="shared" si="275"/>
        <v>5073.9499999999734</v>
      </c>
      <c r="S3430" s="24" t="s">
        <v>1334</v>
      </c>
      <c r="T3430" s="24" t="s">
        <v>1334</v>
      </c>
      <c r="U3430" s="56" t="s">
        <v>4279</v>
      </c>
      <c r="V3430" s="25">
        <f>IFERROR(VLOOKUP(BCP_Soles[[#This Row],[destinatario]],CHOOSE({1,2},Clientes_Proveedores[Razon Social],Clientes_Proveedores[Ruc / Dni]),2,0),"")</f>
        <v>20127765279</v>
      </c>
      <c r="W3430" s="25"/>
      <c r="X3430" s="25"/>
      <c r="Y3430" s="25"/>
      <c r="Z3430" s="77"/>
      <c r="AA3430" s="3" t="str">
        <f>IF(BCP_Soles[[#This Row],[fecha]]&gt;0,TEXT(BCP_Soles[[#This Row],[fecha]],"mmmm"),0)</f>
        <v>Agosto</v>
      </c>
    </row>
    <row r="3431" spans="1:27" x14ac:dyDescent="0.3">
      <c r="A3431" s="2">
        <f>IF(BCP_Soles[[#This Row],[tipo_registro]]="R",COUNTIFS($C$1:$C3430,"R")+1,A3430)</f>
        <v>2281</v>
      </c>
      <c r="B3431" s="19" t="str">
        <f t="shared" si="276"/>
        <v>B-BCP - Soles</v>
      </c>
      <c r="C3431" s="3" t="s">
        <v>1352</v>
      </c>
      <c r="D3431" s="14">
        <v>45891</v>
      </c>
      <c r="E3431" s="5" t="s">
        <v>1338</v>
      </c>
      <c r="F3431" s="5"/>
      <c r="G3431" s="6" t="s">
        <v>695</v>
      </c>
      <c r="H3431" s="6" t="s">
        <v>68</v>
      </c>
      <c r="I3431" s="6" t="s">
        <v>1715</v>
      </c>
      <c r="J3431" s="6">
        <v>153202</v>
      </c>
      <c r="K3431" s="7" t="s">
        <v>4203</v>
      </c>
      <c r="L3431" s="8">
        <v>238054</v>
      </c>
      <c r="M3431" s="8" t="str">
        <f t="shared" si="277"/>
        <v>PEN</v>
      </c>
      <c r="N3431" s="13">
        <v>1039.3800000000001</v>
      </c>
      <c r="O3431" s="13"/>
      <c r="P3431" s="3">
        <f t="shared" si="278"/>
        <v>0</v>
      </c>
      <c r="Q3431" s="3">
        <f t="shared" si="279"/>
        <v>0</v>
      </c>
      <c r="R3431" s="3">
        <f t="shared" si="275"/>
        <v>5073.9499999999734</v>
      </c>
      <c r="S3431" s="24" t="s">
        <v>1334</v>
      </c>
      <c r="T3431" s="24" t="s">
        <v>1334</v>
      </c>
      <c r="U3431" s="56" t="s">
        <v>4279</v>
      </c>
      <c r="V3431" s="25">
        <f>IFERROR(VLOOKUP(BCP_Soles[[#This Row],[destinatario]],CHOOSE({1,2},Clientes_Proveedores[Razon Social],Clientes_Proveedores[Ruc / Dni]),2,0),"")</f>
        <v>20127765279</v>
      </c>
      <c r="W3431" s="25"/>
      <c r="X3431" s="25"/>
      <c r="Y3431" s="25"/>
      <c r="Z3431" s="77"/>
      <c r="AA3431" s="3" t="str">
        <f>IF(BCP_Soles[[#This Row],[fecha]]&gt;0,TEXT(BCP_Soles[[#This Row],[fecha]],"mmmm"),0)</f>
        <v>Agosto</v>
      </c>
    </row>
    <row r="3432" spans="1:27" ht="36" x14ac:dyDescent="0.3">
      <c r="A3432" s="2">
        <f>IF(BCP_Soles[[#This Row],[tipo_registro]]="R",COUNTIFS($C$1:$C3431,"R")+1,A3431)</f>
        <v>2282</v>
      </c>
      <c r="B3432" s="19" t="str">
        <f t="shared" si="276"/>
        <v>B-BCP - Soles</v>
      </c>
      <c r="C3432" s="3" t="s">
        <v>1330</v>
      </c>
      <c r="D3432" s="14">
        <v>45891</v>
      </c>
      <c r="E3432" s="5" t="s">
        <v>1338</v>
      </c>
      <c r="F3432" s="5" t="s">
        <v>1336</v>
      </c>
      <c r="G3432" s="6" t="s">
        <v>588</v>
      </c>
      <c r="H3432" s="6" t="s">
        <v>68</v>
      </c>
      <c r="I3432" s="6" t="s">
        <v>1376</v>
      </c>
      <c r="J3432" s="6">
        <v>486</v>
      </c>
      <c r="K3432" s="7" t="s">
        <v>4280</v>
      </c>
      <c r="L3432" s="8">
        <v>1239017</v>
      </c>
      <c r="M3432" s="8" t="str">
        <f t="shared" si="277"/>
        <v>PEN</v>
      </c>
      <c r="N3432" s="13"/>
      <c r="O3432" s="13">
        <v>70.680000000000007</v>
      </c>
      <c r="P3432" s="3">
        <f t="shared" si="278"/>
        <v>0</v>
      </c>
      <c r="Q3432" s="3">
        <f t="shared" si="279"/>
        <v>70.680000000000007</v>
      </c>
      <c r="R3432" s="3">
        <f t="shared" si="275"/>
        <v>5003.2699999999732</v>
      </c>
      <c r="S3432" s="24" t="s">
        <v>1334</v>
      </c>
      <c r="T3432" s="24" t="s">
        <v>1334</v>
      </c>
      <c r="U3432" s="56" t="s">
        <v>4281</v>
      </c>
      <c r="V3432" s="25">
        <f>IFERROR(VLOOKUP(BCP_Soles[[#This Row],[destinatario]],CHOOSE({1,2},Clientes_Proveedores[Razon Social],Clientes_Proveedores[Ruc / Dni]),2,0),"")</f>
        <v>20609368773</v>
      </c>
      <c r="W3432" s="25"/>
      <c r="X3432" s="25"/>
      <c r="Y3432" s="25"/>
      <c r="Z3432" s="77"/>
      <c r="AA3432" s="3" t="str">
        <f>IF(BCP_Soles[[#This Row],[fecha]]&gt;0,TEXT(BCP_Soles[[#This Row],[fecha]],"mmmm"),0)</f>
        <v>Agosto</v>
      </c>
    </row>
    <row r="3433" spans="1:27" ht="48" x14ac:dyDescent="0.3">
      <c r="A3433" s="2">
        <f>IF(BCP_Soles[[#This Row],[tipo_registro]]="R",COUNTIFS($C$1:$C3432,"R")+1,A3432)</f>
        <v>2283</v>
      </c>
      <c r="B3433" s="19" t="str">
        <f t="shared" si="276"/>
        <v>B-BCP - Soles</v>
      </c>
      <c r="C3433" s="3" t="s">
        <v>1330</v>
      </c>
      <c r="D3433" s="14">
        <v>45891</v>
      </c>
      <c r="E3433" s="5" t="s">
        <v>1338</v>
      </c>
      <c r="F3433" s="5" t="s">
        <v>1336</v>
      </c>
      <c r="G3433" s="6" t="s">
        <v>488</v>
      </c>
      <c r="H3433" s="6"/>
      <c r="I3433" s="6"/>
      <c r="J3433" s="6"/>
      <c r="K3433" s="7" t="s">
        <v>4282</v>
      </c>
      <c r="L3433" s="8">
        <v>1236073</v>
      </c>
      <c r="M3433" s="8" t="str">
        <f t="shared" si="277"/>
        <v>PEN</v>
      </c>
      <c r="N3433" s="13"/>
      <c r="O3433" s="13">
        <v>220</v>
      </c>
      <c r="P3433" s="3">
        <f t="shared" si="278"/>
        <v>0</v>
      </c>
      <c r="Q3433" s="3">
        <f t="shared" si="279"/>
        <v>220</v>
      </c>
      <c r="R3433" s="3">
        <f t="shared" si="275"/>
        <v>4783.2699999999732</v>
      </c>
      <c r="S3433" s="24" t="s">
        <v>1334</v>
      </c>
      <c r="T3433" s="24" t="s">
        <v>1334</v>
      </c>
      <c r="U3433" s="55"/>
      <c r="V3433" s="25">
        <f>IFERROR(VLOOKUP(BCP_Soles[[#This Row],[destinatario]],CHOOSE({1,2},Clientes_Proveedores[Razon Social],Clientes_Proveedores[Ruc / Dni]),2,0),"")</f>
        <v>20602484425</v>
      </c>
      <c r="W3433" s="25"/>
      <c r="X3433" s="25"/>
      <c r="Y3433" s="25"/>
      <c r="Z3433" s="77"/>
      <c r="AA3433" s="3" t="str">
        <f>IF(BCP_Soles[[#This Row],[fecha]]&gt;0,TEXT(BCP_Soles[[#This Row],[fecha]],"mmmm"),0)</f>
        <v>Agosto</v>
      </c>
    </row>
    <row r="3434" spans="1:27" ht="48" x14ac:dyDescent="0.3">
      <c r="A3434" s="2">
        <f>IF(BCP_Soles[[#This Row],[tipo_registro]]="R",COUNTIFS($C$1:$C3433,"R")+1,A3433)</f>
        <v>2283</v>
      </c>
      <c r="B3434" s="19" t="str">
        <f t="shared" si="276"/>
        <v>B-BCP - Soles</v>
      </c>
      <c r="C3434" s="3" t="s">
        <v>1352</v>
      </c>
      <c r="D3434" s="14">
        <v>45891</v>
      </c>
      <c r="E3434" s="5" t="s">
        <v>1338</v>
      </c>
      <c r="F3434" s="5"/>
      <c r="G3434" s="6" t="s">
        <v>488</v>
      </c>
      <c r="H3434" s="6" t="s">
        <v>68</v>
      </c>
      <c r="I3434" s="6" t="s">
        <v>1374</v>
      </c>
      <c r="J3434" s="6">
        <v>37491</v>
      </c>
      <c r="K3434" s="7" t="s">
        <v>4282</v>
      </c>
      <c r="L3434" s="8">
        <v>1236073</v>
      </c>
      <c r="M3434" s="8" t="str">
        <f t="shared" si="277"/>
        <v>PEN</v>
      </c>
      <c r="N3434" s="13">
        <v>120</v>
      </c>
      <c r="O3434" s="13"/>
      <c r="P3434" s="3">
        <f t="shared" si="278"/>
        <v>0</v>
      </c>
      <c r="Q3434" s="3">
        <f t="shared" si="279"/>
        <v>0</v>
      </c>
      <c r="R3434" s="3">
        <f t="shared" si="275"/>
        <v>4783.2699999999732</v>
      </c>
      <c r="S3434" s="24" t="s">
        <v>1334</v>
      </c>
      <c r="T3434" s="24" t="s">
        <v>1334</v>
      </c>
      <c r="U3434" s="55"/>
      <c r="V3434" s="25">
        <f>IFERROR(VLOOKUP(BCP_Soles[[#This Row],[destinatario]],CHOOSE({1,2},Clientes_Proveedores[Razon Social],Clientes_Proveedores[Ruc / Dni]),2,0),"")</f>
        <v>20602484425</v>
      </c>
      <c r="W3434" s="25"/>
      <c r="X3434" s="25"/>
      <c r="Y3434" s="25"/>
      <c r="Z3434" s="77"/>
      <c r="AA3434" s="3" t="str">
        <f>IF(BCP_Soles[[#This Row],[fecha]]&gt;0,TEXT(BCP_Soles[[#This Row],[fecha]],"mmmm"),0)</f>
        <v>Agosto</v>
      </c>
    </row>
    <row r="3435" spans="1:27" ht="48" x14ac:dyDescent="0.3">
      <c r="A3435" s="2">
        <f>IF(BCP_Soles[[#This Row],[tipo_registro]]="R",COUNTIFS($C$1:$C3434,"R")+1,A3434)</f>
        <v>2283</v>
      </c>
      <c r="B3435" s="19" t="str">
        <f t="shared" si="276"/>
        <v>B-BCP - Soles</v>
      </c>
      <c r="C3435" s="3" t="s">
        <v>1352</v>
      </c>
      <c r="D3435" s="14">
        <v>45891</v>
      </c>
      <c r="E3435" s="5" t="s">
        <v>1338</v>
      </c>
      <c r="F3435" s="5"/>
      <c r="G3435" s="6" t="s">
        <v>488</v>
      </c>
      <c r="H3435" s="6" t="s">
        <v>68</v>
      </c>
      <c r="I3435" s="6" t="s">
        <v>1374</v>
      </c>
      <c r="J3435" s="6">
        <v>37490</v>
      </c>
      <c r="K3435" s="7" t="s">
        <v>4282</v>
      </c>
      <c r="L3435" s="8">
        <v>1236073</v>
      </c>
      <c r="M3435" s="8" t="str">
        <f t="shared" si="277"/>
        <v>PEN</v>
      </c>
      <c r="N3435" s="13">
        <v>100</v>
      </c>
      <c r="O3435" s="13"/>
      <c r="P3435" s="3">
        <f t="shared" si="278"/>
        <v>0</v>
      </c>
      <c r="Q3435" s="3">
        <f t="shared" si="279"/>
        <v>0</v>
      </c>
      <c r="R3435" s="3">
        <f t="shared" si="275"/>
        <v>4783.2699999999732</v>
      </c>
      <c r="S3435" s="24" t="s">
        <v>1334</v>
      </c>
      <c r="T3435" s="24" t="s">
        <v>1334</v>
      </c>
      <c r="U3435" s="55"/>
      <c r="V3435" s="25">
        <f>IFERROR(VLOOKUP(BCP_Soles[[#This Row],[destinatario]],CHOOSE({1,2},Clientes_Proveedores[Razon Social],Clientes_Proveedores[Ruc / Dni]),2,0),"")</f>
        <v>20602484425</v>
      </c>
      <c r="W3435" s="25"/>
      <c r="X3435" s="25"/>
      <c r="Y3435" s="25"/>
      <c r="Z3435" s="77"/>
      <c r="AA3435" s="3" t="str">
        <f>IF(BCP_Soles[[#This Row],[fecha]]&gt;0,TEXT(BCP_Soles[[#This Row],[fecha]],"mmmm"),0)</f>
        <v>Agosto</v>
      </c>
    </row>
    <row r="3436" spans="1:27" ht="24" x14ac:dyDescent="0.3">
      <c r="A3436" s="2">
        <f>IF(BCP_Soles[[#This Row],[tipo_registro]]="R",COUNTIFS($C$1:$C3435,"R")+1,A3435)</f>
        <v>2284</v>
      </c>
      <c r="B3436" s="19" t="str">
        <f t="shared" si="276"/>
        <v>B-BCP - Soles</v>
      </c>
      <c r="C3436" s="3" t="s">
        <v>1330</v>
      </c>
      <c r="D3436" s="14">
        <v>45891</v>
      </c>
      <c r="E3436" s="5" t="s">
        <v>1338</v>
      </c>
      <c r="F3436" s="5" t="s">
        <v>1336</v>
      </c>
      <c r="G3436" s="6" t="s">
        <v>672</v>
      </c>
      <c r="H3436" s="6" t="s">
        <v>68</v>
      </c>
      <c r="I3436" s="6" t="s">
        <v>1376</v>
      </c>
      <c r="J3436" s="6">
        <v>542</v>
      </c>
      <c r="K3436" s="7" t="s">
        <v>4283</v>
      </c>
      <c r="L3436" s="8">
        <v>1238053</v>
      </c>
      <c r="M3436" s="8" t="str">
        <f t="shared" si="277"/>
        <v>PEN</v>
      </c>
      <c r="N3436" s="13"/>
      <c r="O3436" s="13">
        <v>480</v>
      </c>
      <c r="P3436" s="3">
        <f t="shared" si="278"/>
        <v>0</v>
      </c>
      <c r="Q3436" s="3">
        <f t="shared" si="279"/>
        <v>480</v>
      </c>
      <c r="R3436" s="3">
        <f t="shared" si="275"/>
        <v>4303.2699999999732</v>
      </c>
      <c r="S3436" s="24" t="s">
        <v>1334</v>
      </c>
      <c r="T3436" s="24" t="s">
        <v>1334</v>
      </c>
      <c r="U3436" s="56" t="s">
        <v>4284</v>
      </c>
      <c r="V3436" s="25">
        <f>IFERROR(VLOOKUP(BCP_Soles[[#This Row],[destinatario]],CHOOSE({1,2},Clientes_Proveedores[Razon Social],Clientes_Proveedores[Ruc / Dni]),2,0),"")</f>
        <v>10439205666</v>
      </c>
      <c r="W3436" s="25"/>
      <c r="X3436" s="25"/>
      <c r="Y3436" s="25"/>
      <c r="Z3436" s="77"/>
      <c r="AA3436" s="3" t="str">
        <f>IF(BCP_Soles[[#This Row],[fecha]]&gt;0,TEXT(BCP_Soles[[#This Row],[fecha]],"mmmm"),0)</f>
        <v>Agosto</v>
      </c>
    </row>
    <row r="3437" spans="1:27" x14ac:dyDescent="0.3">
      <c r="A3437" s="2">
        <f>IF(BCP_Soles[[#This Row],[tipo_registro]]="R",COUNTIFS($C$1:$C3436,"R")+1,A3436)</f>
        <v>2285</v>
      </c>
      <c r="B3437" s="19" t="str">
        <f t="shared" si="276"/>
        <v>B-BCP - Soles</v>
      </c>
      <c r="C3437" s="3" t="s">
        <v>1330</v>
      </c>
      <c r="D3437" s="14">
        <v>45891</v>
      </c>
      <c r="E3437" s="5" t="s">
        <v>1335</v>
      </c>
      <c r="F3437" s="5" t="s">
        <v>1336</v>
      </c>
      <c r="G3437" s="6" t="s">
        <v>1009</v>
      </c>
      <c r="H3437" s="6" t="s">
        <v>64</v>
      </c>
      <c r="I3437" s="6" t="s">
        <v>3673</v>
      </c>
      <c r="J3437" s="6">
        <v>2287</v>
      </c>
      <c r="K3437" s="7" t="s">
        <v>3160</v>
      </c>
      <c r="L3437" s="8"/>
      <c r="M3437" s="8" t="str">
        <f t="shared" si="277"/>
        <v>PEN</v>
      </c>
      <c r="N3437" s="13"/>
      <c r="O3437" s="13">
        <v>0.25</v>
      </c>
      <c r="P3437" s="3">
        <f t="shared" si="278"/>
        <v>0</v>
      </c>
      <c r="Q3437" s="3">
        <f t="shared" si="279"/>
        <v>0.25</v>
      </c>
      <c r="R3437" s="3">
        <f t="shared" si="275"/>
        <v>4303.0199999999732</v>
      </c>
      <c r="S3437" s="24" t="s">
        <v>1334</v>
      </c>
      <c r="T3437" s="24" t="s">
        <v>1334</v>
      </c>
      <c r="U3437" s="55"/>
      <c r="V3437" s="25">
        <f>IFERROR(VLOOKUP(BCP_Soles[[#This Row],[destinatario]],CHOOSE({1,2},Clientes_Proveedores[Razon Social],Clientes_Proveedores[Ruc / Dni]),2,0),"")</f>
        <v>11111111</v>
      </c>
      <c r="W3437" s="25"/>
      <c r="X3437" s="25"/>
      <c r="Y3437" s="25"/>
      <c r="Z3437" s="77"/>
      <c r="AA3437" s="3" t="str">
        <f>IF(BCP_Soles[[#This Row],[fecha]]&gt;0,TEXT(BCP_Soles[[#This Row],[fecha]],"mmmm"),0)</f>
        <v>Agosto</v>
      </c>
    </row>
    <row r="3438" spans="1:27" ht="36" x14ac:dyDescent="0.3">
      <c r="A3438" s="2">
        <f>IF(BCP_Soles[[#This Row],[tipo_registro]]="R",COUNTIFS($C$1:$C3437,"R")+1,A3437)</f>
        <v>2286</v>
      </c>
      <c r="B3438" s="19" t="str">
        <f t="shared" si="276"/>
        <v>B-BCP - Soles</v>
      </c>
      <c r="C3438" s="3" t="s">
        <v>1330</v>
      </c>
      <c r="D3438" s="14">
        <v>45894</v>
      </c>
      <c r="E3438" s="5" t="s">
        <v>660</v>
      </c>
      <c r="F3438" s="5" t="s">
        <v>1303</v>
      </c>
      <c r="G3438" s="6" t="s">
        <v>425</v>
      </c>
      <c r="H3438" s="6" t="s">
        <v>68</v>
      </c>
      <c r="I3438" s="6" t="s">
        <v>3302</v>
      </c>
      <c r="J3438" s="6">
        <v>119</v>
      </c>
      <c r="K3438" s="7" t="s">
        <v>1356</v>
      </c>
      <c r="L3438" s="8">
        <v>667269</v>
      </c>
      <c r="M3438" s="8" t="str">
        <f t="shared" si="277"/>
        <v>PEN</v>
      </c>
      <c r="N3438" s="13"/>
      <c r="O3438" s="13">
        <v>696.2</v>
      </c>
      <c r="P3438" s="3">
        <f t="shared" si="278"/>
        <v>696.2</v>
      </c>
      <c r="Q3438" s="3">
        <f t="shared" si="279"/>
        <v>0</v>
      </c>
      <c r="R3438" s="3">
        <f t="shared" si="275"/>
        <v>4999.219999999973</v>
      </c>
      <c r="S3438" s="24" t="s">
        <v>1334</v>
      </c>
      <c r="T3438" s="24" t="s">
        <v>1334</v>
      </c>
      <c r="U3438" s="55"/>
      <c r="V3438" s="25">
        <f>IFERROR(VLOOKUP(BCP_Soles[[#This Row],[destinatario]],CHOOSE({1,2},Clientes_Proveedores[Razon Social],Clientes_Proveedores[Ruc / Dni]),2,0),"")</f>
        <v>20558226979</v>
      </c>
      <c r="W3438" s="25"/>
      <c r="X3438" s="25"/>
      <c r="Y3438" s="25"/>
      <c r="Z3438" s="77"/>
      <c r="AA3438" s="3" t="str">
        <f>IF(BCP_Soles[[#This Row],[fecha]]&gt;0,TEXT(BCP_Soles[[#This Row],[fecha]],"mmmm"),0)</f>
        <v>Agosto</v>
      </c>
    </row>
    <row r="3439" spans="1:27" ht="36" x14ac:dyDescent="0.3">
      <c r="A3439" s="2">
        <f>IF(BCP_Soles[[#This Row],[tipo_registro]]="R",COUNTIFS($C$1:$C3438,"R")+1,A3438)</f>
        <v>2287</v>
      </c>
      <c r="B3439" s="19" t="str">
        <f t="shared" si="276"/>
        <v>B-BCP - Soles</v>
      </c>
      <c r="C3439" s="3" t="s">
        <v>1330</v>
      </c>
      <c r="D3439" s="14">
        <v>45894</v>
      </c>
      <c r="E3439" s="5" t="s">
        <v>516</v>
      </c>
      <c r="F3439" s="5" t="s">
        <v>1303</v>
      </c>
      <c r="G3439" s="6" t="s">
        <v>425</v>
      </c>
      <c r="H3439" s="6" t="s">
        <v>68</v>
      </c>
      <c r="I3439" s="6" t="s">
        <v>1784</v>
      </c>
      <c r="J3439" s="6">
        <v>206</v>
      </c>
      <c r="K3439" s="7" t="s">
        <v>3144</v>
      </c>
      <c r="L3439" s="8">
        <v>2121485</v>
      </c>
      <c r="M3439" s="8" t="str">
        <f t="shared" si="277"/>
        <v>PEN</v>
      </c>
      <c r="N3439" s="13"/>
      <c r="O3439" s="13">
        <v>8325.89</v>
      </c>
      <c r="P3439" s="3">
        <f t="shared" si="278"/>
        <v>8325.89</v>
      </c>
      <c r="Q3439" s="3">
        <f t="shared" si="279"/>
        <v>0</v>
      </c>
      <c r="R3439" s="3">
        <f t="shared" si="275"/>
        <v>13325.109999999971</v>
      </c>
      <c r="S3439" s="24" t="s">
        <v>1334</v>
      </c>
      <c r="T3439" s="24" t="s">
        <v>1334</v>
      </c>
      <c r="U3439" s="55"/>
      <c r="V3439" s="25">
        <f>IFERROR(VLOOKUP(BCP_Soles[[#This Row],[destinatario]],CHOOSE({1,2},Clientes_Proveedores[Razon Social],Clientes_Proveedores[Ruc / Dni]),2,0),"")</f>
        <v>20558226979</v>
      </c>
      <c r="W3439" s="25"/>
      <c r="X3439" s="25"/>
      <c r="Y3439" s="25"/>
      <c r="Z3439" s="77"/>
      <c r="AA3439" s="3" t="str">
        <f>IF(BCP_Soles[[#This Row],[fecha]]&gt;0,TEXT(BCP_Soles[[#This Row],[fecha]],"mmmm"),0)</f>
        <v>Agosto</v>
      </c>
    </row>
    <row r="3440" spans="1:27" ht="24" x14ac:dyDescent="0.3">
      <c r="A3440" s="2">
        <f>IF(BCP_Soles[[#This Row],[tipo_registro]]="R",COUNTIFS($C$1:$C3439,"R")+1,A3439)</f>
        <v>2288</v>
      </c>
      <c r="B3440" s="19" t="str">
        <f t="shared" si="276"/>
        <v>B-BCP - Soles</v>
      </c>
      <c r="C3440" s="3" t="s">
        <v>1330</v>
      </c>
      <c r="D3440" s="14">
        <v>45894</v>
      </c>
      <c r="E3440" s="5" t="s">
        <v>666</v>
      </c>
      <c r="F3440" s="5" t="s">
        <v>1303</v>
      </c>
      <c r="G3440" s="6" t="s">
        <v>425</v>
      </c>
      <c r="H3440" s="6" t="s">
        <v>68</v>
      </c>
      <c r="I3440" s="6" t="s">
        <v>1784</v>
      </c>
      <c r="J3440" s="6">
        <v>202</v>
      </c>
      <c r="K3440" s="7" t="s">
        <v>4285</v>
      </c>
      <c r="L3440" s="8">
        <v>6356820</v>
      </c>
      <c r="M3440" s="8" t="str">
        <f t="shared" si="277"/>
        <v>PEN</v>
      </c>
      <c r="N3440" s="13"/>
      <c r="O3440" s="13">
        <v>696.11</v>
      </c>
      <c r="P3440" s="3">
        <f t="shared" si="278"/>
        <v>696.11</v>
      </c>
      <c r="Q3440" s="3">
        <f t="shared" si="279"/>
        <v>0</v>
      </c>
      <c r="R3440" s="3">
        <f t="shared" si="275"/>
        <v>14021.219999999972</v>
      </c>
      <c r="S3440" s="24" t="s">
        <v>1334</v>
      </c>
      <c r="T3440" s="24" t="s">
        <v>1334</v>
      </c>
      <c r="U3440" s="55"/>
      <c r="V3440" s="25">
        <f>IFERROR(VLOOKUP(BCP_Soles[[#This Row],[destinatario]],CHOOSE({1,2},Clientes_Proveedores[Razon Social],Clientes_Proveedores[Ruc / Dni]),2,0),"")</f>
        <v>20558226979</v>
      </c>
      <c r="W3440" s="25"/>
      <c r="X3440" s="25"/>
      <c r="Y3440" s="25"/>
      <c r="Z3440" s="77"/>
      <c r="AA3440" s="3" t="str">
        <f>IF(BCP_Soles[[#This Row],[fecha]]&gt;0,TEXT(BCP_Soles[[#This Row],[fecha]],"mmmm"),0)</f>
        <v>Agosto</v>
      </c>
    </row>
    <row r="3441" spans="1:27" x14ac:dyDescent="0.3">
      <c r="A3441" s="2">
        <f>IF(BCP_Soles[[#This Row],[tipo_registro]]="R",COUNTIFS($C$1:$C3440,"R")+1,A3440)</f>
        <v>2289</v>
      </c>
      <c r="B3441" s="19" t="str">
        <f t="shared" si="276"/>
        <v>B-BCP - Soles</v>
      </c>
      <c r="C3441" s="3" t="s">
        <v>1330</v>
      </c>
      <c r="D3441" s="14">
        <v>45894</v>
      </c>
      <c r="E3441" s="5" t="s">
        <v>1338</v>
      </c>
      <c r="F3441" s="5" t="s">
        <v>1336</v>
      </c>
      <c r="G3441" s="6" t="s">
        <v>268</v>
      </c>
      <c r="H3441" s="6" t="s">
        <v>68</v>
      </c>
      <c r="I3441" s="6" t="s">
        <v>1374</v>
      </c>
      <c r="J3441" s="6">
        <v>35714</v>
      </c>
      <c r="K3441" s="7" t="s">
        <v>4286</v>
      </c>
      <c r="L3441" s="8">
        <v>1091377</v>
      </c>
      <c r="M3441" s="8" t="str">
        <f t="shared" si="277"/>
        <v>PEN</v>
      </c>
      <c r="N3441" s="13"/>
      <c r="O3441" s="13">
        <v>603.98</v>
      </c>
      <c r="P3441" s="3">
        <f t="shared" si="278"/>
        <v>0</v>
      </c>
      <c r="Q3441" s="3">
        <f t="shared" si="279"/>
        <v>603.98</v>
      </c>
      <c r="R3441" s="3">
        <f t="shared" si="275"/>
        <v>13417.239999999972</v>
      </c>
      <c r="S3441" s="24" t="s">
        <v>1334</v>
      </c>
      <c r="T3441" s="24" t="s">
        <v>1334</v>
      </c>
      <c r="U3441" s="55"/>
      <c r="V3441" s="25">
        <f>IFERROR(VLOOKUP(BCP_Soles[[#This Row],[destinatario]],CHOOSE({1,2},Clientes_Proveedores[Razon Social],Clientes_Proveedores[Ruc / Dni]),2,0),"")</f>
        <v>20413815071</v>
      </c>
      <c r="W3441" s="25"/>
      <c r="X3441" s="25"/>
      <c r="Y3441" s="25"/>
      <c r="Z3441" s="77"/>
      <c r="AA3441" s="3" t="str">
        <f>IF(BCP_Soles[[#This Row],[fecha]]&gt;0,TEXT(BCP_Soles[[#This Row],[fecha]],"mmmm"),0)</f>
        <v>Agosto</v>
      </c>
    </row>
    <row r="3442" spans="1:27" ht="24" x14ac:dyDescent="0.3">
      <c r="A3442" s="2">
        <f>IF(BCP_Soles[[#This Row],[tipo_registro]]="R",COUNTIFS($C$1:$C3441,"R")+1,A3441)</f>
        <v>2290</v>
      </c>
      <c r="B3442" s="19" t="str">
        <f t="shared" si="276"/>
        <v>B-BCP - Soles</v>
      </c>
      <c r="C3442" s="3" t="s">
        <v>1330</v>
      </c>
      <c r="D3442" s="14">
        <v>45894</v>
      </c>
      <c r="E3442" s="5" t="s">
        <v>1338</v>
      </c>
      <c r="F3442" s="5" t="s">
        <v>1336</v>
      </c>
      <c r="G3442" s="6" t="s">
        <v>328</v>
      </c>
      <c r="H3442" s="6" t="s">
        <v>68</v>
      </c>
      <c r="I3442" s="6" t="s">
        <v>1374</v>
      </c>
      <c r="J3442" s="6">
        <v>8608</v>
      </c>
      <c r="K3442" s="7" t="s">
        <v>4287</v>
      </c>
      <c r="L3442" s="8">
        <v>1091851</v>
      </c>
      <c r="M3442" s="8" t="str">
        <f t="shared" si="277"/>
        <v>PEN</v>
      </c>
      <c r="N3442" s="13"/>
      <c r="O3442" s="13">
        <v>686</v>
      </c>
      <c r="P3442" s="3">
        <f t="shared" si="278"/>
        <v>0</v>
      </c>
      <c r="Q3442" s="3">
        <f t="shared" si="279"/>
        <v>686</v>
      </c>
      <c r="R3442" s="3">
        <f t="shared" si="275"/>
        <v>12731.239999999972</v>
      </c>
      <c r="S3442" s="24" t="s">
        <v>1334</v>
      </c>
      <c r="T3442" s="24" t="s">
        <v>1334</v>
      </c>
      <c r="U3442" s="56" t="s">
        <v>4284</v>
      </c>
      <c r="V3442" s="25">
        <f>IFERROR(VLOOKUP(BCP_Soles[[#This Row],[destinatario]],CHOOSE({1,2},Clientes_Proveedores[Razon Social],Clientes_Proveedores[Ruc / Dni]),2,0),"")</f>
        <v>20498041567</v>
      </c>
      <c r="W3442" s="25"/>
      <c r="X3442" s="25"/>
      <c r="Y3442" s="25"/>
      <c r="Z3442" s="77"/>
      <c r="AA3442" s="3" t="str">
        <f>IF(BCP_Soles[[#This Row],[fecha]]&gt;0,TEXT(BCP_Soles[[#This Row],[fecha]],"mmmm"),0)</f>
        <v>Agosto</v>
      </c>
    </row>
    <row r="3443" spans="1:27" x14ac:dyDescent="0.3">
      <c r="A3443" s="2">
        <f>IF(BCP_Soles[[#This Row],[tipo_registro]]="R",COUNTIFS($C$1:$C3442,"R")+1,A3442)</f>
        <v>2291</v>
      </c>
      <c r="B3443" s="19" t="str">
        <f t="shared" si="276"/>
        <v>B-BCP - Soles</v>
      </c>
      <c r="C3443" s="3" t="s">
        <v>1330</v>
      </c>
      <c r="D3443" s="14">
        <v>45894</v>
      </c>
      <c r="E3443" s="5" t="s">
        <v>1338</v>
      </c>
      <c r="F3443" s="5" t="s">
        <v>1336</v>
      </c>
      <c r="G3443" s="6" t="s">
        <v>696</v>
      </c>
      <c r="H3443" s="6"/>
      <c r="I3443" s="6"/>
      <c r="J3443" s="6"/>
      <c r="K3443" s="7" t="s">
        <v>4288</v>
      </c>
      <c r="L3443" s="8">
        <v>6324877</v>
      </c>
      <c r="M3443" s="8" t="str">
        <f t="shared" si="277"/>
        <v>PEN</v>
      </c>
      <c r="N3443" s="13"/>
      <c r="O3443" s="13">
        <v>1003</v>
      </c>
      <c r="P3443" s="3">
        <f t="shared" si="278"/>
        <v>0</v>
      </c>
      <c r="Q3443" s="3">
        <f t="shared" si="279"/>
        <v>1003</v>
      </c>
      <c r="R3443" s="3">
        <f t="shared" si="275"/>
        <v>11728.239999999972</v>
      </c>
      <c r="S3443" s="24" t="s">
        <v>1334</v>
      </c>
      <c r="T3443" s="24" t="s">
        <v>1334</v>
      </c>
      <c r="U3443" s="56" t="s">
        <v>4289</v>
      </c>
      <c r="V3443" s="25">
        <f>IFERROR(VLOOKUP(BCP_Soles[[#This Row],[destinatario]],CHOOSE({1,2},Clientes_Proveedores[Razon Social],Clientes_Proveedores[Ruc / Dni]),2,0),"")</f>
        <v>0</v>
      </c>
      <c r="W3443" s="25"/>
      <c r="X3443" s="25"/>
      <c r="Y3443" s="25"/>
      <c r="Z3443" s="77"/>
      <c r="AA3443" s="3" t="str">
        <f>IF(BCP_Soles[[#This Row],[fecha]]&gt;0,TEXT(BCP_Soles[[#This Row],[fecha]],"mmmm"),0)</f>
        <v>Agosto</v>
      </c>
    </row>
    <row r="3444" spans="1:27" x14ac:dyDescent="0.3">
      <c r="A3444" s="2">
        <f>IF(BCP_Soles[[#This Row],[tipo_registro]]="R",COUNTIFS($C$1:$C3443,"R")+1,A3443)</f>
        <v>2291</v>
      </c>
      <c r="B3444" s="19" t="str">
        <f t="shared" si="276"/>
        <v>B-BCP - Soles</v>
      </c>
      <c r="C3444" s="3" t="s">
        <v>1352</v>
      </c>
      <c r="D3444" s="14">
        <v>45894</v>
      </c>
      <c r="E3444" s="5" t="s">
        <v>1338</v>
      </c>
      <c r="F3444" s="5"/>
      <c r="G3444" s="6" t="s">
        <v>522</v>
      </c>
      <c r="H3444" s="6" t="s">
        <v>68</v>
      </c>
      <c r="I3444" s="6" t="s">
        <v>1376</v>
      </c>
      <c r="J3444" s="6">
        <v>3959</v>
      </c>
      <c r="K3444" s="7" t="s">
        <v>4288</v>
      </c>
      <c r="L3444" s="8">
        <v>6324877</v>
      </c>
      <c r="M3444" s="8" t="str">
        <f t="shared" si="277"/>
        <v>PEN</v>
      </c>
      <c r="N3444" s="13">
        <v>651.95000000000005</v>
      </c>
      <c r="O3444" s="13"/>
      <c r="P3444" s="3">
        <f t="shared" si="278"/>
        <v>0</v>
      </c>
      <c r="Q3444" s="3">
        <f t="shared" si="279"/>
        <v>0</v>
      </c>
      <c r="R3444" s="3">
        <f t="shared" si="275"/>
        <v>11728.239999999972</v>
      </c>
      <c r="S3444" s="24" t="s">
        <v>1334</v>
      </c>
      <c r="T3444" s="24" t="s">
        <v>1334</v>
      </c>
      <c r="U3444" s="56" t="s">
        <v>4289</v>
      </c>
      <c r="V3444" s="25">
        <f>IFERROR(VLOOKUP(BCP_Soles[[#This Row],[destinatario]],CHOOSE({1,2},Clientes_Proveedores[Razon Social],Clientes_Proveedores[Ruc / Dni]),2,0),"")</f>
        <v>20603974817</v>
      </c>
      <c r="W3444" s="25"/>
      <c r="X3444" s="25"/>
      <c r="Y3444" s="25"/>
      <c r="Z3444" s="77"/>
      <c r="AA3444" s="3" t="str">
        <f>IF(BCP_Soles[[#This Row],[fecha]]&gt;0,TEXT(BCP_Soles[[#This Row],[fecha]],"mmmm"),0)</f>
        <v>Agosto</v>
      </c>
    </row>
    <row r="3445" spans="1:27" x14ac:dyDescent="0.3">
      <c r="A3445" s="2">
        <f>IF(BCP_Soles[[#This Row],[tipo_registro]]="R",COUNTIFS($C$1:$C3444,"R")+1,A3444)</f>
        <v>2291</v>
      </c>
      <c r="B3445" s="19" t="str">
        <f t="shared" si="276"/>
        <v>B-BCP - Soles</v>
      </c>
      <c r="C3445" s="3" t="s">
        <v>1352</v>
      </c>
      <c r="D3445" s="14">
        <v>45894</v>
      </c>
      <c r="E3445" s="5" t="s">
        <v>1338</v>
      </c>
      <c r="F3445" s="5"/>
      <c r="G3445" s="6" t="s">
        <v>522</v>
      </c>
      <c r="H3445" s="6" t="s">
        <v>68</v>
      </c>
      <c r="I3445" s="6" t="s">
        <v>1376</v>
      </c>
      <c r="J3445" s="6">
        <v>3913</v>
      </c>
      <c r="K3445" s="7" t="s">
        <v>4288</v>
      </c>
      <c r="L3445" s="8">
        <v>6324877</v>
      </c>
      <c r="M3445" s="8" t="str">
        <f t="shared" si="277"/>
        <v>PEN</v>
      </c>
      <c r="N3445" s="13">
        <v>351.05</v>
      </c>
      <c r="O3445" s="13"/>
      <c r="P3445" s="3">
        <f t="shared" si="278"/>
        <v>0</v>
      </c>
      <c r="Q3445" s="3">
        <f t="shared" si="279"/>
        <v>0</v>
      </c>
      <c r="R3445" s="3">
        <f t="shared" si="275"/>
        <v>11728.239999999972</v>
      </c>
      <c r="S3445" s="24" t="s">
        <v>1334</v>
      </c>
      <c r="T3445" s="24" t="s">
        <v>1334</v>
      </c>
      <c r="U3445" s="56" t="s">
        <v>4289</v>
      </c>
      <c r="V3445" s="25">
        <f>IFERROR(VLOOKUP(BCP_Soles[[#This Row],[destinatario]],CHOOSE({1,2},Clientes_Proveedores[Razon Social],Clientes_Proveedores[Ruc / Dni]),2,0),"")</f>
        <v>20603974817</v>
      </c>
      <c r="W3445" s="25"/>
      <c r="X3445" s="25"/>
      <c r="Y3445" s="25"/>
      <c r="Z3445" s="77"/>
      <c r="AA3445" s="3" t="str">
        <f>IF(BCP_Soles[[#This Row],[fecha]]&gt;0,TEXT(BCP_Soles[[#This Row],[fecha]],"mmmm"),0)</f>
        <v>Agosto</v>
      </c>
    </row>
    <row r="3446" spans="1:27" x14ac:dyDescent="0.3">
      <c r="A3446" s="2">
        <f>IF(BCP_Soles[[#This Row],[tipo_registro]]="R",COUNTIFS($C$1:$C3445,"R")+1,A3445)</f>
        <v>2292</v>
      </c>
      <c r="B3446" s="19" t="str">
        <f t="shared" si="276"/>
        <v>B-BCP - Soles</v>
      </c>
      <c r="C3446" s="3" t="s">
        <v>1330</v>
      </c>
      <c r="D3446" s="14">
        <v>45894</v>
      </c>
      <c r="E3446" s="5" t="s">
        <v>1338</v>
      </c>
      <c r="F3446" s="5" t="s">
        <v>1336</v>
      </c>
      <c r="G3446" s="6" t="s">
        <v>696</v>
      </c>
      <c r="H3446" s="6"/>
      <c r="I3446" s="6"/>
      <c r="J3446" s="6"/>
      <c r="K3446" s="7" t="s">
        <v>4290</v>
      </c>
      <c r="L3446" s="8">
        <v>6324899</v>
      </c>
      <c r="M3446" s="8" t="str">
        <f t="shared" si="277"/>
        <v>PEN</v>
      </c>
      <c r="N3446" s="13"/>
      <c r="O3446" s="13">
        <v>4956.55</v>
      </c>
      <c r="P3446" s="3">
        <f t="shared" si="278"/>
        <v>0</v>
      </c>
      <c r="Q3446" s="3">
        <f t="shared" si="279"/>
        <v>4956.55</v>
      </c>
      <c r="R3446" s="3">
        <f t="shared" si="275"/>
        <v>6771.6899999999723</v>
      </c>
      <c r="S3446" s="24" t="s">
        <v>1334</v>
      </c>
      <c r="T3446" s="24" t="s">
        <v>1334</v>
      </c>
      <c r="U3446" s="56" t="s">
        <v>4291</v>
      </c>
      <c r="V3446" s="25">
        <f>IFERROR(VLOOKUP(BCP_Soles[[#This Row],[destinatario]],CHOOSE({1,2},Clientes_Proveedores[Razon Social],Clientes_Proveedores[Ruc / Dni]),2,0),"")</f>
        <v>0</v>
      </c>
      <c r="W3446" s="25"/>
      <c r="X3446" s="25"/>
      <c r="Y3446" s="25"/>
      <c r="Z3446" s="77"/>
      <c r="AA3446" s="3" t="str">
        <f>IF(BCP_Soles[[#This Row],[fecha]]&gt;0,TEXT(BCP_Soles[[#This Row],[fecha]],"mmmm"),0)</f>
        <v>Agosto</v>
      </c>
    </row>
    <row r="3447" spans="1:27" ht="36" x14ac:dyDescent="0.3">
      <c r="A3447" s="2">
        <f>IF(BCP_Soles[[#This Row],[tipo_registro]]="R",COUNTIFS($C$1:$C3446,"R")+1,A3446)</f>
        <v>2292</v>
      </c>
      <c r="B3447" s="19" t="str">
        <f t="shared" si="276"/>
        <v>B-BCP - Soles</v>
      </c>
      <c r="C3447" s="3" t="s">
        <v>1352</v>
      </c>
      <c r="D3447" s="14">
        <v>45894</v>
      </c>
      <c r="E3447" s="5" t="s">
        <v>1338</v>
      </c>
      <c r="F3447" s="5"/>
      <c r="G3447" s="6" t="s">
        <v>277</v>
      </c>
      <c r="H3447" s="6" t="s">
        <v>68</v>
      </c>
      <c r="I3447" s="6" t="s">
        <v>1390</v>
      </c>
      <c r="J3447" s="6">
        <v>1869</v>
      </c>
      <c r="K3447" s="7" t="s">
        <v>4290</v>
      </c>
      <c r="L3447" s="8">
        <v>6324899</v>
      </c>
      <c r="M3447" s="8" t="str">
        <f t="shared" si="277"/>
        <v>PEN</v>
      </c>
      <c r="N3447" s="13">
        <v>1344</v>
      </c>
      <c r="O3447" s="13"/>
      <c r="P3447" s="3">
        <f t="shared" si="278"/>
        <v>0</v>
      </c>
      <c r="Q3447" s="3">
        <f t="shared" si="279"/>
        <v>0</v>
      </c>
      <c r="R3447" s="3">
        <f t="shared" si="275"/>
        <v>6771.6899999999723</v>
      </c>
      <c r="S3447" s="24" t="s">
        <v>1334</v>
      </c>
      <c r="T3447" s="24" t="s">
        <v>1334</v>
      </c>
      <c r="U3447" s="56" t="s">
        <v>4291</v>
      </c>
      <c r="V3447" s="25">
        <f>IFERROR(VLOOKUP(BCP_Soles[[#This Row],[destinatario]],CHOOSE({1,2},Clientes_Proveedores[Razon Social],Clientes_Proveedores[Ruc / Dni]),2,0),"")</f>
        <v>20429640939</v>
      </c>
      <c r="W3447" s="25"/>
      <c r="X3447" s="25"/>
      <c r="Y3447" s="25"/>
      <c r="Z3447" s="77"/>
      <c r="AA3447" s="3" t="str">
        <f>IF(BCP_Soles[[#This Row],[fecha]]&gt;0,TEXT(BCP_Soles[[#This Row],[fecha]],"mmmm"),0)</f>
        <v>Agosto</v>
      </c>
    </row>
    <row r="3448" spans="1:27" x14ac:dyDescent="0.3">
      <c r="A3448" s="2">
        <f>IF(BCP_Soles[[#This Row],[tipo_registro]]="R",COUNTIFS($C$1:$C3447,"R")+1,A3447)</f>
        <v>2292</v>
      </c>
      <c r="B3448" s="19" t="str">
        <f t="shared" si="276"/>
        <v>B-BCP - Soles</v>
      </c>
      <c r="C3448" s="3" t="s">
        <v>1352</v>
      </c>
      <c r="D3448" s="14">
        <v>45894</v>
      </c>
      <c r="E3448" s="5" t="s">
        <v>1338</v>
      </c>
      <c r="F3448" s="5"/>
      <c r="G3448" s="6" t="s">
        <v>522</v>
      </c>
      <c r="H3448" s="6" t="s">
        <v>68</v>
      </c>
      <c r="I3448" s="6" t="s">
        <v>1376</v>
      </c>
      <c r="J3448" s="6">
        <v>4108</v>
      </c>
      <c r="K3448" s="7" t="s">
        <v>4290</v>
      </c>
      <c r="L3448" s="8">
        <v>6324899</v>
      </c>
      <c r="M3448" s="8" t="str">
        <f t="shared" si="277"/>
        <v>PEN</v>
      </c>
      <c r="N3448" s="13">
        <v>651.95000000000005</v>
      </c>
      <c r="O3448" s="13"/>
      <c r="P3448" s="3">
        <f t="shared" si="278"/>
        <v>0</v>
      </c>
      <c r="Q3448" s="3">
        <f t="shared" si="279"/>
        <v>0</v>
      </c>
      <c r="R3448" s="3">
        <f t="shared" si="275"/>
        <v>6771.6899999999723</v>
      </c>
      <c r="S3448" s="24" t="s">
        <v>1334</v>
      </c>
      <c r="T3448" s="24" t="s">
        <v>1334</v>
      </c>
      <c r="U3448" s="56" t="s">
        <v>4291</v>
      </c>
      <c r="V3448" s="25">
        <f>IFERROR(VLOOKUP(BCP_Soles[[#This Row],[destinatario]],CHOOSE({1,2},Clientes_Proveedores[Razon Social],Clientes_Proveedores[Ruc / Dni]),2,0),"")</f>
        <v>20603974817</v>
      </c>
      <c r="W3448" s="25"/>
      <c r="X3448" s="25"/>
      <c r="Y3448" s="25"/>
      <c r="Z3448" s="77"/>
      <c r="AA3448" s="3" t="str">
        <f>IF(BCP_Soles[[#This Row],[fecha]]&gt;0,TEXT(BCP_Soles[[#This Row],[fecha]],"mmmm"),0)</f>
        <v>Agosto</v>
      </c>
    </row>
    <row r="3449" spans="1:27" x14ac:dyDescent="0.3">
      <c r="A3449" s="2">
        <f>IF(BCP_Soles[[#This Row],[tipo_registro]]="R",COUNTIFS($C$1:$C3448,"R")+1,A3448)</f>
        <v>2292</v>
      </c>
      <c r="B3449" s="19" t="str">
        <f t="shared" si="276"/>
        <v>B-BCP - Soles</v>
      </c>
      <c r="C3449" s="3" t="s">
        <v>1352</v>
      </c>
      <c r="D3449" s="14">
        <v>45894</v>
      </c>
      <c r="E3449" s="5" t="s">
        <v>1338</v>
      </c>
      <c r="F3449" s="5"/>
      <c r="G3449" s="6" t="s">
        <v>522</v>
      </c>
      <c r="H3449" s="6" t="s">
        <v>68</v>
      </c>
      <c r="I3449" s="6" t="s">
        <v>1376</v>
      </c>
      <c r="J3449" s="6">
        <v>4095</v>
      </c>
      <c r="K3449" s="7" t="s">
        <v>4290</v>
      </c>
      <c r="L3449" s="8">
        <v>6324899</v>
      </c>
      <c r="M3449" s="8" t="str">
        <f t="shared" si="277"/>
        <v>PEN</v>
      </c>
      <c r="N3449" s="13">
        <v>451.35</v>
      </c>
      <c r="O3449" s="13"/>
      <c r="P3449" s="3">
        <f t="shared" si="278"/>
        <v>0</v>
      </c>
      <c r="Q3449" s="3">
        <f t="shared" si="279"/>
        <v>0</v>
      </c>
      <c r="R3449" s="3">
        <f t="shared" si="275"/>
        <v>6771.6899999999723</v>
      </c>
      <c r="S3449" s="24" t="s">
        <v>1334</v>
      </c>
      <c r="T3449" s="24" t="s">
        <v>1334</v>
      </c>
      <c r="U3449" s="56" t="s">
        <v>4291</v>
      </c>
      <c r="V3449" s="25">
        <f>IFERROR(VLOOKUP(BCP_Soles[[#This Row],[destinatario]],CHOOSE({1,2},Clientes_Proveedores[Razon Social],Clientes_Proveedores[Ruc / Dni]),2,0),"")</f>
        <v>20603974817</v>
      </c>
      <c r="W3449" s="25"/>
      <c r="X3449" s="25"/>
      <c r="Y3449" s="25"/>
      <c r="Z3449" s="77"/>
      <c r="AA3449" s="3" t="str">
        <f>IF(BCP_Soles[[#This Row],[fecha]]&gt;0,TEXT(BCP_Soles[[#This Row],[fecha]],"mmmm"),0)</f>
        <v>Agosto</v>
      </c>
    </row>
    <row r="3450" spans="1:27" x14ac:dyDescent="0.3">
      <c r="A3450" s="2">
        <f>IF(BCP_Soles[[#This Row],[tipo_registro]]="R",COUNTIFS($C$1:$C3449,"R")+1,A3449)</f>
        <v>2292</v>
      </c>
      <c r="B3450" s="19" t="str">
        <f t="shared" si="276"/>
        <v>B-BCP - Soles</v>
      </c>
      <c r="C3450" s="3" t="s">
        <v>1352</v>
      </c>
      <c r="D3450" s="14">
        <v>45894</v>
      </c>
      <c r="E3450" s="5" t="s">
        <v>1338</v>
      </c>
      <c r="F3450" s="5"/>
      <c r="G3450" s="6" t="s">
        <v>522</v>
      </c>
      <c r="H3450" s="6" t="s">
        <v>68</v>
      </c>
      <c r="I3450" s="6" t="s">
        <v>1376</v>
      </c>
      <c r="J3450" s="6">
        <v>4125</v>
      </c>
      <c r="K3450" s="7" t="s">
        <v>4290</v>
      </c>
      <c r="L3450" s="8">
        <v>6324899</v>
      </c>
      <c r="M3450" s="8" t="str">
        <f t="shared" si="277"/>
        <v>PEN</v>
      </c>
      <c r="N3450" s="13">
        <v>300.89999999999998</v>
      </c>
      <c r="O3450" s="13"/>
      <c r="P3450" s="3">
        <f t="shared" si="278"/>
        <v>0</v>
      </c>
      <c r="Q3450" s="3">
        <f t="shared" si="279"/>
        <v>0</v>
      </c>
      <c r="R3450" s="3">
        <f t="shared" si="275"/>
        <v>6771.6899999999723</v>
      </c>
      <c r="S3450" s="24" t="s">
        <v>1334</v>
      </c>
      <c r="T3450" s="24" t="s">
        <v>1334</v>
      </c>
      <c r="U3450" s="56" t="s">
        <v>4291</v>
      </c>
      <c r="V3450" s="25">
        <f>IFERROR(VLOOKUP(BCP_Soles[[#This Row],[destinatario]],CHOOSE({1,2},Clientes_Proveedores[Razon Social],Clientes_Proveedores[Ruc / Dni]),2,0),"")</f>
        <v>20603974817</v>
      </c>
      <c r="W3450" s="25"/>
      <c r="X3450" s="25"/>
      <c r="Y3450" s="25"/>
      <c r="Z3450" s="77"/>
      <c r="AA3450" s="3" t="str">
        <f>IF(BCP_Soles[[#This Row],[fecha]]&gt;0,TEXT(BCP_Soles[[#This Row],[fecha]],"mmmm"),0)</f>
        <v>Agosto</v>
      </c>
    </row>
    <row r="3451" spans="1:27" x14ac:dyDescent="0.3">
      <c r="A3451" s="2">
        <f>IF(BCP_Soles[[#This Row],[tipo_registro]]="R",COUNTIFS($C$1:$C3450,"R")+1,A3450)</f>
        <v>2292</v>
      </c>
      <c r="B3451" s="19" t="str">
        <f t="shared" si="276"/>
        <v>B-BCP - Soles</v>
      </c>
      <c r="C3451" s="3" t="s">
        <v>1352</v>
      </c>
      <c r="D3451" s="14">
        <v>45894</v>
      </c>
      <c r="E3451" s="5" t="s">
        <v>1338</v>
      </c>
      <c r="F3451" s="5"/>
      <c r="G3451" s="6" t="s">
        <v>522</v>
      </c>
      <c r="H3451" s="6" t="s">
        <v>68</v>
      </c>
      <c r="I3451" s="6" t="s">
        <v>1376</v>
      </c>
      <c r="J3451" s="6">
        <v>4113</v>
      </c>
      <c r="K3451" s="7" t="s">
        <v>4290</v>
      </c>
      <c r="L3451" s="8">
        <v>6324899</v>
      </c>
      <c r="M3451" s="8" t="str">
        <f t="shared" si="277"/>
        <v>PEN</v>
      </c>
      <c r="N3451" s="13">
        <v>401.2</v>
      </c>
      <c r="O3451" s="13"/>
      <c r="P3451" s="3">
        <f t="shared" si="278"/>
        <v>0</v>
      </c>
      <c r="Q3451" s="3">
        <f t="shared" si="279"/>
        <v>0</v>
      </c>
      <c r="R3451" s="3">
        <f t="shared" si="275"/>
        <v>6771.6899999999723</v>
      </c>
      <c r="S3451" s="24" t="s">
        <v>1334</v>
      </c>
      <c r="T3451" s="24" t="s">
        <v>1334</v>
      </c>
      <c r="U3451" s="56" t="s">
        <v>4291</v>
      </c>
      <c r="V3451" s="25">
        <f>IFERROR(VLOOKUP(BCP_Soles[[#This Row],[destinatario]],CHOOSE({1,2},Clientes_Proveedores[Razon Social],Clientes_Proveedores[Ruc / Dni]),2,0),"")</f>
        <v>20603974817</v>
      </c>
      <c r="W3451" s="25"/>
      <c r="X3451" s="25"/>
      <c r="Y3451" s="25"/>
      <c r="Z3451" s="77"/>
      <c r="AA3451" s="3" t="str">
        <f>IF(BCP_Soles[[#This Row],[fecha]]&gt;0,TEXT(BCP_Soles[[#This Row],[fecha]],"mmmm"),0)</f>
        <v>Agosto</v>
      </c>
    </row>
    <row r="3452" spans="1:27" x14ac:dyDescent="0.3">
      <c r="A3452" s="2">
        <f>IF(BCP_Soles[[#This Row],[tipo_registro]]="R",COUNTIFS($C$1:$C3451,"R")+1,A3451)</f>
        <v>2292</v>
      </c>
      <c r="B3452" s="19" t="str">
        <f t="shared" si="276"/>
        <v>B-BCP - Soles</v>
      </c>
      <c r="C3452" s="3" t="s">
        <v>1352</v>
      </c>
      <c r="D3452" s="14">
        <v>45894</v>
      </c>
      <c r="E3452" s="5" t="s">
        <v>1338</v>
      </c>
      <c r="F3452" s="5"/>
      <c r="G3452" s="6" t="s">
        <v>522</v>
      </c>
      <c r="H3452" s="6" t="s">
        <v>68</v>
      </c>
      <c r="I3452" s="6" t="s">
        <v>1376</v>
      </c>
      <c r="J3452" s="6">
        <v>4114</v>
      </c>
      <c r="K3452" s="7" t="s">
        <v>4290</v>
      </c>
      <c r="L3452" s="8">
        <v>6324899</v>
      </c>
      <c r="M3452" s="8" t="str">
        <f t="shared" si="277"/>
        <v>PEN</v>
      </c>
      <c r="N3452" s="13">
        <v>300.89999999999998</v>
      </c>
      <c r="O3452" s="13"/>
      <c r="P3452" s="3">
        <f t="shared" si="278"/>
        <v>0</v>
      </c>
      <c r="Q3452" s="3">
        <f t="shared" si="279"/>
        <v>0</v>
      </c>
      <c r="R3452" s="3">
        <f t="shared" si="275"/>
        <v>6771.6899999999723</v>
      </c>
      <c r="S3452" s="24" t="s">
        <v>1334</v>
      </c>
      <c r="T3452" s="24" t="s">
        <v>1334</v>
      </c>
      <c r="U3452" s="56" t="s">
        <v>4291</v>
      </c>
      <c r="V3452" s="25">
        <f>IFERROR(VLOOKUP(BCP_Soles[[#This Row],[destinatario]],CHOOSE({1,2},Clientes_Proveedores[Razon Social],Clientes_Proveedores[Ruc / Dni]),2,0),"")</f>
        <v>20603974817</v>
      </c>
      <c r="W3452" s="25"/>
      <c r="X3452" s="25"/>
      <c r="Y3452" s="25"/>
      <c r="Z3452" s="77"/>
      <c r="AA3452" s="3" t="str">
        <f>IF(BCP_Soles[[#This Row],[fecha]]&gt;0,TEXT(BCP_Soles[[#This Row],[fecha]],"mmmm"),0)</f>
        <v>Agosto</v>
      </c>
    </row>
    <row r="3453" spans="1:27" x14ac:dyDescent="0.3">
      <c r="A3453" s="2">
        <f>IF(BCP_Soles[[#This Row],[tipo_registro]]="R",COUNTIFS($C$1:$C3452,"R")+1,A3452)</f>
        <v>2292</v>
      </c>
      <c r="B3453" s="19" t="str">
        <f t="shared" si="276"/>
        <v>B-BCP - Soles</v>
      </c>
      <c r="C3453" s="3" t="s">
        <v>1352</v>
      </c>
      <c r="D3453" s="14">
        <v>45894</v>
      </c>
      <c r="E3453" s="5" t="s">
        <v>1338</v>
      </c>
      <c r="F3453" s="5"/>
      <c r="G3453" s="6" t="s">
        <v>522</v>
      </c>
      <c r="H3453" s="6" t="s">
        <v>68</v>
      </c>
      <c r="I3453" s="6" t="s">
        <v>1376</v>
      </c>
      <c r="J3453" s="6">
        <v>4094</v>
      </c>
      <c r="K3453" s="7" t="s">
        <v>4290</v>
      </c>
      <c r="L3453" s="8">
        <v>6324899</v>
      </c>
      <c r="M3453" s="8" t="str">
        <f t="shared" si="277"/>
        <v>PEN</v>
      </c>
      <c r="N3453" s="13">
        <v>401.2</v>
      </c>
      <c r="O3453" s="13"/>
      <c r="P3453" s="3">
        <f t="shared" si="278"/>
        <v>0</v>
      </c>
      <c r="Q3453" s="3">
        <f t="shared" si="279"/>
        <v>0</v>
      </c>
      <c r="R3453" s="3">
        <f t="shared" si="275"/>
        <v>6771.6899999999723</v>
      </c>
      <c r="S3453" s="24" t="s">
        <v>1334</v>
      </c>
      <c r="T3453" s="24" t="s">
        <v>1334</v>
      </c>
      <c r="U3453" s="56" t="s">
        <v>4291</v>
      </c>
      <c r="V3453" s="25">
        <f>IFERROR(VLOOKUP(BCP_Soles[[#This Row],[destinatario]],CHOOSE({1,2},Clientes_Proveedores[Razon Social],Clientes_Proveedores[Ruc / Dni]),2,0),"")</f>
        <v>20603974817</v>
      </c>
      <c r="W3453" s="25"/>
      <c r="X3453" s="25"/>
      <c r="Y3453" s="25"/>
      <c r="Z3453" s="77"/>
      <c r="AA3453" s="3" t="str">
        <f>IF(BCP_Soles[[#This Row],[fecha]]&gt;0,TEXT(BCP_Soles[[#This Row],[fecha]],"mmmm"),0)</f>
        <v>Agosto</v>
      </c>
    </row>
    <row r="3454" spans="1:27" ht="36" x14ac:dyDescent="0.3">
      <c r="A3454" s="2">
        <f>IF(BCP_Soles[[#This Row],[tipo_registro]]="R",COUNTIFS($C$1:$C3453,"R")+1,A3453)</f>
        <v>2292</v>
      </c>
      <c r="B3454" s="19" t="str">
        <f t="shared" si="276"/>
        <v>B-BCP - Soles</v>
      </c>
      <c r="C3454" s="3" t="s">
        <v>1352</v>
      </c>
      <c r="D3454" s="14">
        <v>45894</v>
      </c>
      <c r="E3454" s="5" t="s">
        <v>1338</v>
      </c>
      <c r="F3454" s="5"/>
      <c r="G3454" s="6" t="s">
        <v>315</v>
      </c>
      <c r="H3454" s="6" t="s">
        <v>68</v>
      </c>
      <c r="I3454" s="6" t="s">
        <v>1376</v>
      </c>
      <c r="J3454" s="6">
        <v>2877</v>
      </c>
      <c r="K3454" s="7" t="s">
        <v>4290</v>
      </c>
      <c r="L3454" s="8">
        <v>6324899</v>
      </c>
      <c r="M3454" s="8" t="str">
        <f t="shared" si="277"/>
        <v>PEN</v>
      </c>
      <c r="N3454" s="13">
        <v>164</v>
      </c>
      <c r="O3454" s="13"/>
      <c r="P3454" s="3">
        <f t="shared" si="278"/>
        <v>0</v>
      </c>
      <c r="Q3454" s="3">
        <f t="shared" si="279"/>
        <v>0</v>
      </c>
      <c r="R3454" s="3">
        <f t="shared" si="275"/>
        <v>6771.6899999999723</v>
      </c>
      <c r="S3454" s="24" t="s">
        <v>1334</v>
      </c>
      <c r="T3454" s="24" t="s">
        <v>1334</v>
      </c>
      <c r="U3454" s="56" t="s">
        <v>4291</v>
      </c>
      <c r="V3454" s="25">
        <f>IFERROR(VLOOKUP(BCP_Soles[[#This Row],[destinatario]],CHOOSE({1,2},Clientes_Proveedores[Razon Social],Clientes_Proveedores[Ruc / Dni]),2,0),"")</f>
        <v>20456565353</v>
      </c>
      <c r="W3454" s="25"/>
      <c r="X3454" s="25"/>
      <c r="Y3454" s="25"/>
      <c r="Z3454" s="77"/>
      <c r="AA3454" s="3" t="str">
        <f>IF(BCP_Soles[[#This Row],[fecha]]&gt;0,TEXT(BCP_Soles[[#This Row],[fecha]],"mmmm"),0)</f>
        <v>Agosto</v>
      </c>
    </row>
    <row r="3455" spans="1:27" ht="24" x14ac:dyDescent="0.3">
      <c r="A3455" s="2">
        <f>IF(BCP_Soles[[#This Row],[tipo_registro]]="R",COUNTIFS($C$1:$C3454,"R")+1,A3454)</f>
        <v>2292</v>
      </c>
      <c r="B3455" s="19" t="str">
        <f t="shared" si="276"/>
        <v>B-BCP - Soles</v>
      </c>
      <c r="C3455" s="3" t="s">
        <v>1352</v>
      </c>
      <c r="D3455" s="14">
        <v>45894</v>
      </c>
      <c r="E3455" s="5" t="s">
        <v>1338</v>
      </c>
      <c r="F3455" s="5"/>
      <c r="G3455" s="6" t="s">
        <v>594</v>
      </c>
      <c r="H3455" s="6" t="s">
        <v>68</v>
      </c>
      <c r="I3455" s="6" t="s">
        <v>1376</v>
      </c>
      <c r="J3455" s="6">
        <v>2469</v>
      </c>
      <c r="K3455" s="7" t="s">
        <v>4290</v>
      </c>
      <c r="L3455" s="8">
        <v>6324899</v>
      </c>
      <c r="M3455" s="8" t="str">
        <f t="shared" si="277"/>
        <v>PEN</v>
      </c>
      <c r="N3455" s="13">
        <v>188.8</v>
      </c>
      <c r="O3455" s="13"/>
      <c r="P3455" s="3">
        <f t="shared" si="278"/>
        <v>0</v>
      </c>
      <c r="Q3455" s="3">
        <f t="shared" si="279"/>
        <v>0</v>
      </c>
      <c r="R3455" s="3">
        <f t="shared" si="275"/>
        <v>6771.6899999999723</v>
      </c>
      <c r="S3455" s="24" t="s">
        <v>1334</v>
      </c>
      <c r="T3455" s="24" t="s">
        <v>1334</v>
      </c>
      <c r="U3455" s="56" t="s">
        <v>4291</v>
      </c>
      <c r="V3455" s="25">
        <f>IFERROR(VLOOKUP(BCP_Soles[[#This Row],[destinatario]],CHOOSE({1,2},Clientes_Proveedores[Razon Social],Clientes_Proveedores[Ruc / Dni]),2,0),"")</f>
        <v>20609764261</v>
      </c>
      <c r="W3455" s="25"/>
      <c r="X3455" s="25"/>
      <c r="Y3455" s="25"/>
      <c r="Z3455" s="77"/>
      <c r="AA3455" s="3" t="str">
        <f>IF(BCP_Soles[[#This Row],[fecha]]&gt;0,TEXT(BCP_Soles[[#This Row],[fecha]],"mmmm"),0)</f>
        <v>Agosto</v>
      </c>
    </row>
    <row r="3456" spans="1:27" x14ac:dyDescent="0.3">
      <c r="A3456" s="2">
        <f>IF(BCP_Soles[[#This Row],[tipo_registro]]="R",COUNTIFS($C$1:$C3455,"R")+1,A3455)</f>
        <v>2292</v>
      </c>
      <c r="B3456" s="19" t="str">
        <f t="shared" si="276"/>
        <v>B-BCP - Soles</v>
      </c>
      <c r="C3456" s="3" t="s">
        <v>1352</v>
      </c>
      <c r="D3456" s="14">
        <v>45894</v>
      </c>
      <c r="E3456" s="5" t="s">
        <v>1338</v>
      </c>
      <c r="F3456" s="5"/>
      <c r="G3456" s="6" t="s">
        <v>522</v>
      </c>
      <c r="H3456" s="6" t="s">
        <v>68</v>
      </c>
      <c r="I3456" s="6" t="s">
        <v>1376</v>
      </c>
      <c r="J3456" s="6">
        <v>4105</v>
      </c>
      <c r="K3456" s="7" t="s">
        <v>4290</v>
      </c>
      <c r="L3456" s="8">
        <v>6324899</v>
      </c>
      <c r="M3456" s="8" t="str">
        <f t="shared" si="277"/>
        <v>PEN</v>
      </c>
      <c r="N3456" s="13">
        <v>551.65</v>
      </c>
      <c r="O3456" s="13"/>
      <c r="P3456" s="3">
        <f t="shared" si="278"/>
        <v>0</v>
      </c>
      <c r="Q3456" s="3">
        <f t="shared" si="279"/>
        <v>0</v>
      </c>
      <c r="R3456" s="3">
        <f t="shared" si="275"/>
        <v>6771.6899999999723</v>
      </c>
      <c r="S3456" s="24" t="s">
        <v>1334</v>
      </c>
      <c r="T3456" s="24" t="s">
        <v>1334</v>
      </c>
      <c r="U3456" s="56" t="s">
        <v>4291</v>
      </c>
      <c r="V3456" s="25">
        <f>IFERROR(VLOOKUP(BCP_Soles[[#This Row],[destinatario]],CHOOSE({1,2},Clientes_Proveedores[Razon Social],Clientes_Proveedores[Ruc / Dni]),2,0),"")</f>
        <v>20603974817</v>
      </c>
      <c r="W3456" s="25"/>
      <c r="X3456" s="25"/>
      <c r="Y3456" s="25"/>
      <c r="Z3456" s="77"/>
      <c r="AA3456" s="3" t="str">
        <f>IF(BCP_Soles[[#This Row],[fecha]]&gt;0,TEXT(BCP_Soles[[#This Row],[fecha]],"mmmm"),0)</f>
        <v>Agosto</v>
      </c>
    </row>
    <row r="3457" spans="1:27" x14ac:dyDescent="0.3">
      <c r="A3457" s="2">
        <f>IF(BCP_Soles[[#This Row],[tipo_registro]]="R",COUNTIFS($C$1:$C3456,"R")+1,A3456)</f>
        <v>2292</v>
      </c>
      <c r="B3457" s="19" t="str">
        <f t="shared" si="276"/>
        <v>B-BCP - Soles</v>
      </c>
      <c r="C3457" s="3" t="s">
        <v>1352</v>
      </c>
      <c r="D3457" s="14">
        <v>45894</v>
      </c>
      <c r="E3457" s="5" t="s">
        <v>1338</v>
      </c>
      <c r="F3457" s="5"/>
      <c r="G3457" s="6" t="s">
        <v>522</v>
      </c>
      <c r="H3457" s="6" t="s">
        <v>68</v>
      </c>
      <c r="I3457" s="6" t="s">
        <v>1376</v>
      </c>
      <c r="J3457" s="6">
        <v>4096</v>
      </c>
      <c r="K3457" s="7" t="s">
        <v>4290</v>
      </c>
      <c r="L3457" s="8">
        <v>6324899</v>
      </c>
      <c r="M3457" s="8" t="str">
        <f t="shared" si="277"/>
        <v>PEN</v>
      </c>
      <c r="N3457" s="13">
        <v>200.6</v>
      </c>
      <c r="O3457" s="13"/>
      <c r="P3457" s="3">
        <f t="shared" si="278"/>
        <v>0</v>
      </c>
      <c r="Q3457" s="3">
        <f t="shared" si="279"/>
        <v>0</v>
      </c>
      <c r="R3457" s="3">
        <f t="shared" si="275"/>
        <v>6771.6899999999723</v>
      </c>
      <c r="S3457" s="24" t="s">
        <v>1334</v>
      </c>
      <c r="T3457" s="24" t="s">
        <v>1334</v>
      </c>
      <c r="U3457" s="56" t="s">
        <v>4291</v>
      </c>
      <c r="V3457" s="25">
        <f>IFERROR(VLOOKUP(BCP_Soles[[#This Row],[destinatario]],CHOOSE({1,2},Clientes_Proveedores[Razon Social],Clientes_Proveedores[Ruc / Dni]),2,0),"")</f>
        <v>20603974817</v>
      </c>
      <c r="W3457" s="25"/>
      <c r="X3457" s="25"/>
      <c r="Y3457" s="25"/>
      <c r="Z3457" s="77"/>
      <c r="AA3457" s="3" t="str">
        <f>IF(BCP_Soles[[#This Row],[fecha]]&gt;0,TEXT(BCP_Soles[[#This Row],[fecha]],"mmmm"),0)</f>
        <v>Agosto</v>
      </c>
    </row>
    <row r="3458" spans="1:27" x14ac:dyDescent="0.3">
      <c r="A3458" s="2">
        <f>IF(BCP_Soles[[#This Row],[tipo_registro]]="R",COUNTIFS($C$1:$C3457,"R")+1,A3457)</f>
        <v>2293</v>
      </c>
      <c r="B3458" s="19" t="str">
        <f t="shared" si="276"/>
        <v>B-BCP - Soles</v>
      </c>
      <c r="C3458" s="3" t="s">
        <v>1330</v>
      </c>
      <c r="D3458" s="14">
        <v>45894</v>
      </c>
      <c r="E3458" s="5" t="s">
        <v>1338</v>
      </c>
      <c r="F3458" s="5" t="s">
        <v>1336</v>
      </c>
      <c r="G3458" s="6" t="s">
        <v>493</v>
      </c>
      <c r="H3458" s="6" t="s">
        <v>68</v>
      </c>
      <c r="I3458" s="6" t="s">
        <v>1841</v>
      </c>
      <c r="J3458" s="6">
        <v>1563</v>
      </c>
      <c r="K3458" s="7" t="s">
        <v>4292</v>
      </c>
      <c r="L3458" s="8">
        <v>1208619</v>
      </c>
      <c r="M3458" s="8" t="str">
        <f t="shared" si="277"/>
        <v>PEN</v>
      </c>
      <c r="N3458" s="13"/>
      <c r="O3458" s="13">
        <v>1000</v>
      </c>
      <c r="P3458" s="3">
        <f t="shared" si="278"/>
        <v>0</v>
      </c>
      <c r="Q3458" s="3">
        <f t="shared" si="279"/>
        <v>1000</v>
      </c>
      <c r="R3458" s="3">
        <f t="shared" si="275"/>
        <v>5771.6899999999723</v>
      </c>
      <c r="S3458" s="24" t="s">
        <v>1334</v>
      </c>
      <c r="T3458" s="24" t="s">
        <v>1334</v>
      </c>
      <c r="U3458" s="56" t="s">
        <v>4293</v>
      </c>
      <c r="V3458" s="25">
        <f>IFERROR(VLOOKUP(BCP_Soles[[#This Row],[destinatario]],CHOOSE({1,2},Clientes_Proveedores[Razon Social],Clientes_Proveedores[Ruc / Dni]),2,0),"")</f>
        <v>20602751326</v>
      </c>
      <c r="W3458" s="25"/>
      <c r="X3458" s="25"/>
      <c r="Y3458" s="25"/>
      <c r="Z3458" s="77"/>
      <c r="AA3458" s="3" t="str">
        <f>IF(BCP_Soles[[#This Row],[fecha]]&gt;0,TEXT(BCP_Soles[[#This Row],[fecha]],"mmmm"),0)</f>
        <v>Agosto</v>
      </c>
    </row>
    <row r="3459" spans="1:27" x14ac:dyDescent="0.3">
      <c r="A3459" s="2">
        <f>IF(BCP_Soles[[#This Row],[tipo_registro]]="R",COUNTIFS($C$1:$C3458,"R")+1,A3458)</f>
        <v>2294</v>
      </c>
      <c r="B3459" s="19" t="str">
        <f t="shared" si="276"/>
        <v>B-BCP - Soles</v>
      </c>
      <c r="C3459" s="3" t="s">
        <v>1330</v>
      </c>
      <c r="D3459" s="14">
        <v>45894</v>
      </c>
      <c r="E3459" s="5" t="s">
        <v>1338</v>
      </c>
      <c r="F3459" s="5" t="s">
        <v>1336</v>
      </c>
      <c r="G3459" s="6" t="s">
        <v>503</v>
      </c>
      <c r="H3459" s="6" t="s">
        <v>68</v>
      </c>
      <c r="I3459" s="6" t="s">
        <v>1376</v>
      </c>
      <c r="J3459" s="6">
        <v>756</v>
      </c>
      <c r="K3459" s="7" t="s">
        <v>4294</v>
      </c>
      <c r="L3459" s="8">
        <v>1210537</v>
      </c>
      <c r="M3459" s="8" t="str">
        <f t="shared" si="277"/>
        <v>PEN</v>
      </c>
      <c r="N3459" s="13"/>
      <c r="O3459" s="13">
        <v>60</v>
      </c>
      <c r="P3459" s="3">
        <f t="shared" si="278"/>
        <v>0</v>
      </c>
      <c r="Q3459" s="3">
        <f t="shared" si="279"/>
        <v>60</v>
      </c>
      <c r="R3459" s="3">
        <f t="shared" si="275"/>
        <v>5711.6899999999723</v>
      </c>
      <c r="S3459" s="24" t="s">
        <v>1334</v>
      </c>
      <c r="T3459" s="24" t="s">
        <v>1334</v>
      </c>
      <c r="U3459" s="56" t="s">
        <v>4295</v>
      </c>
      <c r="V3459" s="25">
        <f>IFERROR(VLOOKUP(BCP_Soles[[#This Row],[destinatario]],CHOOSE({1,2},Clientes_Proveedores[Razon Social],Clientes_Proveedores[Ruc / Dni]),2,0),"")</f>
        <v>20603001461</v>
      </c>
      <c r="W3459" s="25"/>
      <c r="X3459" s="25"/>
      <c r="Y3459" s="25"/>
      <c r="Z3459" s="77"/>
      <c r="AA3459" s="3" t="str">
        <f>IF(BCP_Soles[[#This Row],[fecha]]&gt;0,TEXT(BCP_Soles[[#This Row],[fecha]],"mmmm"),0)</f>
        <v>Agosto</v>
      </c>
    </row>
    <row r="3460" spans="1:27" ht="24" x14ac:dyDescent="0.3">
      <c r="A3460" s="2">
        <f>IF(BCP_Soles[[#This Row],[tipo_registro]]="R",COUNTIFS($C$1:$C3459,"R")+1,A3459)</f>
        <v>2295</v>
      </c>
      <c r="B3460" s="19" t="str">
        <f t="shared" si="276"/>
        <v>B-BCP - Soles</v>
      </c>
      <c r="C3460" s="3" t="s">
        <v>1330</v>
      </c>
      <c r="D3460" s="14">
        <v>45894</v>
      </c>
      <c r="E3460" s="5" t="s">
        <v>1338</v>
      </c>
      <c r="F3460" s="5" t="s">
        <v>1336</v>
      </c>
      <c r="G3460" s="6" t="s">
        <v>708</v>
      </c>
      <c r="H3460" s="6"/>
      <c r="I3460" s="6"/>
      <c r="J3460" s="6"/>
      <c r="K3460" s="7" t="s">
        <v>4296</v>
      </c>
      <c r="L3460" s="8">
        <v>209597</v>
      </c>
      <c r="M3460" s="8" t="str">
        <f t="shared" si="277"/>
        <v>PEN</v>
      </c>
      <c r="N3460" s="13"/>
      <c r="O3460" s="13">
        <v>2155.41</v>
      </c>
      <c r="P3460" s="3">
        <f t="shared" si="278"/>
        <v>0</v>
      </c>
      <c r="Q3460" s="3">
        <f t="shared" si="279"/>
        <v>2155.41</v>
      </c>
      <c r="R3460" s="3">
        <f t="shared" si="275"/>
        <v>3556.2799999999725</v>
      </c>
      <c r="S3460" s="24" t="s">
        <v>1334</v>
      </c>
      <c r="T3460" s="24" t="s">
        <v>1334</v>
      </c>
      <c r="U3460" s="56" t="s">
        <v>4297</v>
      </c>
      <c r="V3460" s="25">
        <f>IFERROR(VLOOKUP(BCP_Soles[[#This Row],[destinatario]],CHOOSE({1,2},Clientes_Proveedores[Razon Social],Clientes_Proveedores[Ruc / Dni]),2,0),"")</f>
        <v>20467534026</v>
      </c>
      <c r="W3460" s="25"/>
      <c r="X3460" s="25"/>
      <c r="Y3460" s="25"/>
      <c r="Z3460" s="77"/>
      <c r="AA3460" s="3" t="str">
        <f>IF(BCP_Soles[[#This Row],[fecha]]&gt;0,TEXT(BCP_Soles[[#This Row],[fecha]],"mmmm"),0)</f>
        <v>Agosto</v>
      </c>
    </row>
    <row r="3461" spans="1:27" ht="24" x14ac:dyDescent="0.3">
      <c r="A3461" s="2">
        <f>IF(BCP_Soles[[#This Row],[tipo_registro]]="R",COUNTIFS($C$1:$C3460,"R")+1,A3460)</f>
        <v>2295</v>
      </c>
      <c r="B3461" s="19" t="str">
        <f>"B-BCP - Soles"</f>
        <v>B-BCP - Soles</v>
      </c>
      <c r="C3461" s="3" t="s">
        <v>1352</v>
      </c>
      <c r="D3461" s="14">
        <v>45894</v>
      </c>
      <c r="E3461" s="5" t="s">
        <v>1338</v>
      </c>
      <c r="F3461" s="5" t="s">
        <v>1336</v>
      </c>
      <c r="G3461" s="6" t="s">
        <v>708</v>
      </c>
      <c r="H3461" s="6" t="s">
        <v>106</v>
      </c>
      <c r="I3461" s="6" t="s">
        <v>1661</v>
      </c>
      <c r="J3461" s="6">
        <v>559624262</v>
      </c>
      <c r="K3461" s="7" t="s">
        <v>4296</v>
      </c>
      <c r="L3461" s="8">
        <v>209597</v>
      </c>
      <c r="M3461" s="8" t="str">
        <f>"PEN"</f>
        <v>PEN</v>
      </c>
      <c r="N3461" s="13">
        <v>1037.3599999999999</v>
      </c>
      <c r="O3461" s="13"/>
      <c r="P3461" s="3">
        <f>+IF(OR($F3461="SALDO",$F3461="INGRESO"),$O3461,0)</f>
        <v>0</v>
      </c>
      <c r="Q3461" s="3">
        <f>+IF($F3461="EGRESO",$O3461,0)</f>
        <v>0</v>
      </c>
      <c r="R3461" s="3">
        <f t="shared" si="275"/>
        <v>3556.2799999999725</v>
      </c>
      <c r="S3461" s="24" t="s">
        <v>1334</v>
      </c>
      <c r="T3461" s="24" t="s">
        <v>1334</v>
      </c>
      <c r="U3461" s="56"/>
      <c r="V3461" s="25">
        <f>IFERROR(VLOOKUP(BCP_Soles[[#This Row],[destinatario]],CHOOSE({1,2},Clientes_Proveedores[Razon Social],Clientes_Proveedores[Ruc / Dni]),2,0),"")</f>
        <v>20467534026</v>
      </c>
      <c r="W3461" s="25"/>
      <c r="X3461" s="25"/>
      <c r="Y3461" s="25"/>
      <c r="Z3461" s="77"/>
      <c r="AA3461" s="3" t="str">
        <f>IF(BCP_Soles[[#This Row],[fecha]]&gt;0,TEXT(BCP_Soles[[#This Row],[fecha]],"mmmm"),0)</f>
        <v>Agosto</v>
      </c>
    </row>
    <row r="3462" spans="1:27" ht="24" x14ac:dyDescent="0.3">
      <c r="A3462" s="2">
        <f>IF(BCP_Soles[[#This Row],[tipo_registro]]="R",COUNTIFS($C$1:$C3461,"R")+1,A3461)</f>
        <v>2295</v>
      </c>
      <c r="B3462" s="19" t="str">
        <f>"B-BCP - Soles"</f>
        <v>B-BCP - Soles</v>
      </c>
      <c r="C3462" s="3" t="s">
        <v>1352</v>
      </c>
      <c r="D3462" s="14">
        <v>45894</v>
      </c>
      <c r="E3462" s="5" t="s">
        <v>1338</v>
      </c>
      <c r="F3462" s="5" t="s">
        <v>1336</v>
      </c>
      <c r="G3462" s="6" t="s">
        <v>708</v>
      </c>
      <c r="H3462" s="6" t="s">
        <v>68</v>
      </c>
      <c r="I3462" s="6" t="s">
        <v>1662</v>
      </c>
      <c r="J3462" s="6">
        <v>88790</v>
      </c>
      <c r="K3462" s="7" t="s">
        <v>4298</v>
      </c>
      <c r="L3462" s="8">
        <v>209597</v>
      </c>
      <c r="M3462" s="8" t="str">
        <f>"PEN"</f>
        <v>PEN</v>
      </c>
      <c r="N3462" s="13">
        <v>293.22000000000003</v>
      </c>
      <c r="O3462" s="13"/>
      <c r="P3462" s="3">
        <f>+IF(OR($F3462="SALDO",$F3462="INGRESO"),$O3462,0)</f>
        <v>0</v>
      </c>
      <c r="Q3462" s="3">
        <f>+IF($F3462="EGRESO",$O3462,0)</f>
        <v>0</v>
      </c>
      <c r="R3462" s="3">
        <f t="shared" si="275"/>
        <v>3556.2799999999725</v>
      </c>
      <c r="S3462" s="24" t="s">
        <v>1334</v>
      </c>
      <c r="T3462" s="24" t="s">
        <v>1334</v>
      </c>
      <c r="U3462" s="56"/>
      <c r="V3462" s="25">
        <f>IFERROR(VLOOKUP(BCP_Soles[[#This Row],[destinatario]],CHOOSE({1,2},Clientes_Proveedores[Razon Social],Clientes_Proveedores[Ruc / Dni]),2,0),"")</f>
        <v>20467534026</v>
      </c>
      <c r="W3462" s="25"/>
      <c r="X3462" s="25"/>
      <c r="Y3462" s="25"/>
      <c r="Z3462" s="77"/>
      <c r="AA3462" s="3" t="str">
        <f>IF(BCP_Soles[[#This Row],[fecha]]&gt;0,TEXT(BCP_Soles[[#This Row],[fecha]],"mmmm"),0)</f>
        <v>Agosto</v>
      </c>
    </row>
    <row r="3463" spans="1:27" ht="24" x14ac:dyDescent="0.3">
      <c r="A3463" s="2">
        <f>IF(BCP_Soles[[#This Row],[tipo_registro]]="R",COUNTIFS($C$1:$C3462,"R")+1,A3462)</f>
        <v>2295</v>
      </c>
      <c r="B3463" s="19" t="str">
        <f>"B-BCP - Soles"</f>
        <v>B-BCP - Soles</v>
      </c>
      <c r="C3463" s="3" t="s">
        <v>1352</v>
      </c>
      <c r="D3463" s="14">
        <v>45894</v>
      </c>
      <c r="E3463" s="5" t="s">
        <v>1338</v>
      </c>
      <c r="F3463" s="5" t="s">
        <v>1336</v>
      </c>
      <c r="G3463" s="6" t="s">
        <v>708</v>
      </c>
      <c r="H3463" s="6" t="s">
        <v>68</v>
      </c>
      <c r="I3463" s="6" t="s">
        <v>1662</v>
      </c>
      <c r="J3463" s="6">
        <v>91984</v>
      </c>
      <c r="K3463" s="7" t="s">
        <v>4299</v>
      </c>
      <c r="L3463" s="8">
        <v>209597</v>
      </c>
      <c r="M3463" s="8" t="str">
        <f>"PEN"</f>
        <v>PEN</v>
      </c>
      <c r="N3463" s="13">
        <v>824.83</v>
      </c>
      <c r="O3463" s="13"/>
      <c r="P3463" s="3">
        <f>+IF(OR($F3463="SALDO",$F3463="INGRESO"),$O3463,0)</f>
        <v>0</v>
      </c>
      <c r="Q3463" s="3">
        <f>+IF($F3463="EGRESO",$O3463,0)</f>
        <v>0</v>
      </c>
      <c r="R3463" s="3">
        <f t="shared" si="275"/>
        <v>3556.2799999999725</v>
      </c>
      <c r="S3463" s="24" t="s">
        <v>1334</v>
      </c>
      <c r="T3463" s="24" t="s">
        <v>1334</v>
      </c>
      <c r="U3463" s="56"/>
      <c r="V3463" s="25">
        <f>IFERROR(VLOOKUP(BCP_Soles[[#This Row],[destinatario]],CHOOSE({1,2},Clientes_Proveedores[Razon Social],Clientes_Proveedores[Ruc / Dni]),2,0),"")</f>
        <v>20467534026</v>
      </c>
      <c r="W3463" s="25"/>
      <c r="X3463" s="25"/>
      <c r="Y3463" s="25"/>
      <c r="Z3463" s="77"/>
      <c r="AA3463" s="3" t="str">
        <f>IF(BCP_Soles[[#This Row],[fecha]]&gt;0,TEXT(BCP_Soles[[#This Row],[fecha]],"mmmm"),0)</f>
        <v>Agosto</v>
      </c>
    </row>
    <row r="3464" spans="1:27" x14ac:dyDescent="0.3">
      <c r="A3464" s="2">
        <f>IF(BCP_Soles[[#This Row],[tipo_registro]]="R",COUNTIFS($C$1:$C3463,"R")+1,A3463)</f>
        <v>2296</v>
      </c>
      <c r="B3464" s="19" t="str">
        <f t="shared" si="276"/>
        <v>B-BCP - Soles</v>
      </c>
      <c r="C3464" s="3" t="s">
        <v>1330</v>
      </c>
      <c r="D3464" s="14">
        <v>45894</v>
      </c>
      <c r="E3464" s="5" t="s">
        <v>1335</v>
      </c>
      <c r="F3464" s="5" t="s">
        <v>1336</v>
      </c>
      <c r="G3464" s="6" t="s">
        <v>1009</v>
      </c>
      <c r="H3464" s="6" t="s">
        <v>64</v>
      </c>
      <c r="I3464" s="6" t="s">
        <v>3673</v>
      </c>
      <c r="J3464" s="6">
        <v>2298</v>
      </c>
      <c r="K3464" s="7" t="s">
        <v>3160</v>
      </c>
      <c r="L3464" s="8"/>
      <c r="M3464" s="8" t="str">
        <f t="shared" si="277"/>
        <v>PEN</v>
      </c>
      <c r="N3464" s="13"/>
      <c r="O3464" s="13">
        <v>0.8</v>
      </c>
      <c r="P3464" s="3">
        <f t="shared" si="278"/>
        <v>0</v>
      </c>
      <c r="Q3464" s="3">
        <f t="shared" si="279"/>
        <v>0.8</v>
      </c>
      <c r="R3464" s="3">
        <f t="shared" si="275"/>
        <v>3555.4799999999723</v>
      </c>
      <c r="S3464" s="24" t="s">
        <v>1334</v>
      </c>
      <c r="T3464" s="24" t="s">
        <v>1334</v>
      </c>
      <c r="U3464" s="55"/>
      <c r="V3464" s="25">
        <f>IFERROR(VLOOKUP(BCP_Soles[[#This Row],[destinatario]],CHOOSE({1,2},Clientes_Proveedores[Razon Social],Clientes_Proveedores[Ruc / Dni]),2,0),"")</f>
        <v>11111111</v>
      </c>
      <c r="W3464" s="25"/>
      <c r="X3464" s="25"/>
      <c r="Y3464" s="25"/>
      <c r="Z3464" s="77"/>
      <c r="AA3464" s="3" t="str">
        <f>IF(BCP_Soles[[#This Row],[fecha]]&gt;0,TEXT(BCP_Soles[[#This Row],[fecha]],"mmmm"),0)</f>
        <v>Agosto</v>
      </c>
    </row>
    <row r="3465" spans="1:27" ht="24" x14ac:dyDescent="0.3">
      <c r="A3465" s="2">
        <f>IF(BCP_Soles[[#This Row],[tipo_registro]]="R",COUNTIFS($C$1:$C3464,"R")+1,A3464)</f>
        <v>2297</v>
      </c>
      <c r="B3465" s="19" t="str">
        <f t="shared" si="276"/>
        <v>B-BCP - Soles</v>
      </c>
      <c r="C3465" s="3" t="s">
        <v>1330</v>
      </c>
      <c r="D3465" s="14">
        <v>45895</v>
      </c>
      <c r="E3465" s="5" t="s">
        <v>1751</v>
      </c>
      <c r="F3465" s="5" t="s">
        <v>1303</v>
      </c>
      <c r="G3465" s="6" t="s">
        <v>425</v>
      </c>
      <c r="H3465" s="6" t="s">
        <v>119</v>
      </c>
      <c r="I3465" s="6">
        <v>1</v>
      </c>
      <c r="J3465" s="6">
        <v>4699</v>
      </c>
      <c r="K3465" s="7" t="s">
        <v>1356</v>
      </c>
      <c r="L3465" s="8">
        <v>822951</v>
      </c>
      <c r="M3465" s="8" t="str">
        <f t="shared" si="277"/>
        <v>PEN</v>
      </c>
      <c r="N3465" s="13"/>
      <c r="O3465" s="13">
        <v>265</v>
      </c>
      <c r="P3465" s="3">
        <f t="shared" si="278"/>
        <v>265</v>
      </c>
      <c r="Q3465" s="3">
        <f t="shared" si="279"/>
        <v>0</v>
      </c>
      <c r="R3465" s="3">
        <f t="shared" ref="R3465:R3528" si="280">IFERROR(IF(F3465="SALDO",P3465,R3464+P3465-Q3465),0)</f>
        <v>3820.4799999999723</v>
      </c>
      <c r="S3465" s="24" t="s">
        <v>1334</v>
      </c>
      <c r="T3465" s="24" t="s">
        <v>1334</v>
      </c>
      <c r="U3465" s="55"/>
      <c r="V3465" s="25">
        <f>IFERROR(VLOOKUP(BCP_Soles[[#This Row],[destinatario]],CHOOSE({1,2},Clientes_Proveedores[Razon Social],Clientes_Proveedores[Ruc / Dni]),2,0),"")</f>
        <v>20558226979</v>
      </c>
      <c r="W3465" s="25"/>
      <c r="X3465" s="25"/>
      <c r="Y3465" s="25"/>
      <c r="Z3465" s="77"/>
      <c r="AA3465" s="3" t="str">
        <f>IF(BCP_Soles[[#This Row],[fecha]]&gt;0,TEXT(BCP_Soles[[#This Row],[fecha]],"mmmm"),0)</f>
        <v>Agosto</v>
      </c>
    </row>
    <row r="3466" spans="1:27" ht="24" x14ac:dyDescent="0.3">
      <c r="A3466" s="2">
        <f>IF(BCP_Soles[[#This Row],[tipo_registro]]="R",COUNTIFS($C$1:$C3465,"R")+1,A3465)</f>
        <v>2298</v>
      </c>
      <c r="B3466" s="19" t="str">
        <f t="shared" si="276"/>
        <v>B-BCP - Soles</v>
      </c>
      <c r="C3466" s="3" t="s">
        <v>1330</v>
      </c>
      <c r="D3466" s="14">
        <v>45895</v>
      </c>
      <c r="E3466" s="5" t="s">
        <v>3443</v>
      </c>
      <c r="F3466" s="5" t="s">
        <v>1303</v>
      </c>
      <c r="G3466" s="6" t="s">
        <v>425</v>
      </c>
      <c r="H3466" s="6" t="s">
        <v>119</v>
      </c>
      <c r="I3466" s="6">
        <v>1</v>
      </c>
      <c r="J3466" s="6">
        <v>4648</v>
      </c>
      <c r="K3466" s="7" t="s">
        <v>2394</v>
      </c>
      <c r="L3466" s="8">
        <v>2003930</v>
      </c>
      <c r="M3466" s="8" t="str">
        <f t="shared" si="277"/>
        <v>PEN</v>
      </c>
      <c r="N3466" s="13"/>
      <c r="O3466" s="13">
        <v>9400</v>
      </c>
      <c r="P3466" s="3">
        <f t="shared" si="278"/>
        <v>9400</v>
      </c>
      <c r="Q3466" s="3">
        <f t="shared" si="279"/>
        <v>0</v>
      </c>
      <c r="R3466" s="3">
        <f t="shared" si="280"/>
        <v>13220.479999999972</v>
      </c>
      <c r="S3466" s="24" t="s">
        <v>1334</v>
      </c>
      <c r="T3466" s="24" t="s">
        <v>1334</v>
      </c>
      <c r="U3466" s="55"/>
      <c r="V3466" s="25">
        <f>IFERROR(VLOOKUP(BCP_Soles[[#This Row],[destinatario]],CHOOSE({1,2},Clientes_Proveedores[Razon Social],Clientes_Proveedores[Ruc / Dni]),2,0),"")</f>
        <v>20558226979</v>
      </c>
      <c r="W3466" s="25"/>
      <c r="X3466" s="25"/>
      <c r="Y3466" s="25"/>
      <c r="Z3466" s="77"/>
      <c r="AA3466" s="3" t="str">
        <f>IF(BCP_Soles[[#This Row],[fecha]]&gt;0,TEXT(BCP_Soles[[#This Row],[fecha]],"mmmm"),0)</f>
        <v>Agosto</v>
      </c>
    </row>
    <row r="3467" spans="1:27" x14ac:dyDescent="0.3">
      <c r="A3467" s="2">
        <f>IF(BCP_Soles[[#This Row],[tipo_registro]]="R",COUNTIFS($C$1:$C3466,"R")+1,A3466)</f>
        <v>2299</v>
      </c>
      <c r="B3467" s="19" t="str">
        <f t="shared" si="276"/>
        <v>B-BCP - Soles</v>
      </c>
      <c r="C3467" s="3" t="s">
        <v>1330</v>
      </c>
      <c r="D3467" s="14">
        <v>45895</v>
      </c>
      <c r="E3467" s="5"/>
      <c r="F3467" s="5" t="s">
        <v>1303</v>
      </c>
      <c r="G3467" s="6" t="s">
        <v>425</v>
      </c>
      <c r="H3467" s="6"/>
      <c r="I3467" s="6"/>
      <c r="J3467" s="6"/>
      <c r="K3467" s="7" t="s">
        <v>1356</v>
      </c>
      <c r="L3467" s="8">
        <v>3232429</v>
      </c>
      <c r="M3467" s="8" t="str">
        <f t="shared" si="277"/>
        <v>PEN</v>
      </c>
      <c r="N3467" s="13"/>
      <c r="O3467" s="13">
        <v>3700</v>
      </c>
      <c r="P3467" s="3">
        <f t="shared" si="278"/>
        <v>3700</v>
      </c>
      <c r="Q3467" s="3">
        <f t="shared" si="279"/>
        <v>0</v>
      </c>
      <c r="R3467" s="3">
        <f t="shared" si="280"/>
        <v>16920.479999999974</v>
      </c>
      <c r="S3467" s="24" t="s">
        <v>1334</v>
      </c>
      <c r="T3467" s="24" t="s">
        <v>1334</v>
      </c>
      <c r="U3467" s="55"/>
      <c r="V3467" s="25">
        <f>IFERROR(VLOOKUP(BCP_Soles[[#This Row],[destinatario]],CHOOSE({1,2},Clientes_Proveedores[Razon Social],Clientes_Proveedores[Ruc / Dni]),2,0),"")</f>
        <v>20558226979</v>
      </c>
      <c r="W3467" s="25"/>
      <c r="X3467" s="25"/>
      <c r="Y3467" s="25"/>
      <c r="Z3467" s="77"/>
      <c r="AA3467" s="3" t="str">
        <f>IF(BCP_Soles[[#This Row],[fecha]]&gt;0,TEXT(BCP_Soles[[#This Row],[fecha]],"mmmm"),0)</f>
        <v>Agosto</v>
      </c>
    </row>
    <row r="3468" spans="1:27" ht="24" x14ac:dyDescent="0.3">
      <c r="A3468" s="2">
        <f>IF(BCP_Soles[[#This Row],[tipo_registro]]="R",COUNTIFS($C$1:$C3467,"R")+1,A3467)</f>
        <v>2299</v>
      </c>
      <c r="B3468" s="19" t="str">
        <f t="shared" si="276"/>
        <v>B-BCP - Soles</v>
      </c>
      <c r="C3468" s="3" t="s">
        <v>1352</v>
      </c>
      <c r="D3468" s="14">
        <v>45895</v>
      </c>
      <c r="E3468" s="5" t="s">
        <v>309</v>
      </c>
      <c r="F3468" s="5" t="s">
        <v>1303</v>
      </c>
      <c r="G3468" s="6" t="s">
        <v>425</v>
      </c>
      <c r="H3468" s="6" t="s">
        <v>119</v>
      </c>
      <c r="I3468" s="6">
        <v>1</v>
      </c>
      <c r="J3468" s="6">
        <v>4691</v>
      </c>
      <c r="K3468" s="7" t="s">
        <v>1356</v>
      </c>
      <c r="L3468" s="8">
        <v>3232429</v>
      </c>
      <c r="M3468" s="8" t="str">
        <f t="shared" si="277"/>
        <v>PEN</v>
      </c>
      <c r="N3468" s="13">
        <v>1034</v>
      </c>
      <c r="O3468" s="13"/>
      <c r="P3468" s="3">
        <f t="shared" si="278"/>
        <v>0</v>
      </c>
      <c r="Q3468" s="3">
        <f t="shared" si="279"/>
        <v>0</v>
      </c>
      <c r="R3468" s="3">
        <f t="shared" si="280"/>
        <v>16920.479999999974</v>
      </c>
      <c r="S3468" s="24" t="s">
        <v>1334</v>
      </c>
      <c r="T3468" s="24" t="s">
        <v>1334</v>
      </c>
      <c r="U3468" s="55"/>
      <c r="V3468" s="25">
        <f>IFERROR(VLOOKUP(BCP_Soles[[#This Row],[destinatario]],CHOOSE({1,2},Clientes_Proveedores[Razon Social],Clientes_Proveedores[Ruc / Dni]),2,0),"")</f>
        <v>20558226979</v>
      </c>
      <c r="W3468" s="25"/>
      <c r="X3468" s="25"/>
      <c r="Y3468" s="25"/>
      <c r="Z3468" s="77"/>
      <c r="AA3468" s="3" t="str">
        <f>IF(BCP_Soles[[#This Row],[fecha]]&gt;0,TEXT(BCP_Soles[[#This Row],[fecha]],"mmmm"),0)</f>
        <v>Agosto</v>
      </c>
    </row>
    <row r="3469" spans="1:27" ht="24" x14ac:dyDescent="0.3">
      <c r="A3469" s="2">
        <f>IF(BCP_Soles[[#This Row],[tipo_registro]]="R",COUNTIFS($C$1:$C3468,"R")+1,A3468)</f>
        <v>2299</v>
      </c>
      <c r="B3469" s="19" t="str">
        <f t="shared" si="276"/>
        <v>B-BCP - Soles</v>
      </c>
      <c r="C3469" s="3" t="s">
        <v>1352</v>
      </c>
      <c r="D3469" s="14">
        <v>45895</v>
      </c>
      <c r="E3469" s="5" t="s">
        <v>309</v>
      </c>
      <c r="F3469" s="5" t="s">
        <v>1303</v>
      </c>
      <c r="G3469" s="6" t="s">
        <v>425</v>
      </c>
      <c r="H3469" s="6" t="s">
        <v>119</v>
      </c>
      <c r="I3469" s="6">
        <v>1</v>
      </c>
      <c r="J3469" s="6">
        <v>4703</v>
      </c>
      <c r="K3469" s="7" t="s">
        <v>1356</v>
      </c>
      <c r="L3469" s="8">
        <v>3232429</v>
      </c>
      <c r="M3469" s="8" t="str">
        <f t="shared" si="277"/>
        <v>PEN</v>
      </c>
      <c r="N3469" s="13">
        <v>2666</v>
      </c>
      <c r="O3469" s="13"/>
      <c r="P3469" s="3">
        <f t="shared" si="278"/>
        <v>0</v>
      </c>
      <c r="Q3469" s="3">
        <f t="shared" si="279"/>
        <v>0</v>
      </c>
      <c r="R3469" s="3">
        <f t="shared" si="280"/>
        <v>16920.479999999974</v>
      </c>
      <c r="S3469" s="24" t="s">
        <v>1334</v>
      </c>
      <c r="T3469" s="24" t="s">
        <v>1334</v>
      </c>
      <c r="U3469" s="55"/>
      <c r="V3469" s="25">
        <f>IFERROR(VLOOKUP(BCP_Soles[[#This Row],[destinatario]],CHOOSE({1,2},Clientes_Proveedores[Razon Social],Clientes_Proveedores[Ruc / Dni]),2,0),"")</f>
        <v>20558226979</v>
      </c>
      <c r="W3469" s="25"/>
      <c r="X3469" s="25"/>
      <c r="Y3469" s="25"/>
      <c r="Z3469" s="77"/>
      <c r="AA3469" s="3" t="str">
        <f>IF(BCP_Soles[[#This Row],[fecha]]&gt;0,TEXT(BCP_Soles[[#This Row],[fecha]],"mmmm"),0)</f>
        <v>Agosto</v>
      </c>
    </row>
    <row r="3470" spans="1:27" ht="24" x14ac:dyDescent="0.3">
      <c r="A3470" s="2">
        <f>IF(BCP_Soles[[#This Row],[tipo_registro]]="R",COUNTIFS($C$1:$C3469,"R")+1,A3469)</f>
        <v>2300</v>
      </c>
      <c r="B3470" s="19" t="str">
        <f t="shared" si="276"/>
        <v>B-BCP - Soles</v>
      </c>
      <c r="C3470" s="3" t="s">
        <v>1330</v>
      </c>
      <c r="D3470" s="14">
        <v>45895</v>
      </c>
      <c r="E3470" s="5" t="s">
        <v>3198</v>
      </c>
      <c r="F3470" s="5" t="s">
        <v>1303</v>
      </c>
      <c r="G3470" s="6" t="s">
        <v>425</v>
      </c>
      <c r="H3470" s="6" t="s">
        <v>119</v>
      </c>
      <c r="I3470" s="6">
        <v>1</v>
      </c>
      <c r="J3470" s="6">
        <v>4643</v>
      </c>
      <c r="K3470" s="7" t="s">
        <v>4300</v>
      </c>
      <c r="L3470" s="8">
        <v>22331</v>
      </c>
      <c r="M3470" s="8" t="str">
        <f t="shared" si="277"/>
        <v>PEN</v>
      </c>
      <c r="N3470" s="13"/>
      <c r="O3470" s="13">
        <v>2000</v>
      </c>
      <c r="P3470" s="3">
        <f t="shared" si="278"/>
        <v>2000</v>
      </c>
      <c r="Q3470" s="3">
        <f t="shared" si="279"/>
        <v>0</v>
      </c>
      <c r="R3470" s="3">
        <f t="shared" si="280"/>
        <v>18920.479999999974</v>
      </c>
      <c r="S3470" s="24" t="s">
        <v>1334</v>
      </c>
      <c r="T3470" s="24" t="s">
        <v>1334</v>
      </c>
      <c r="U3470" s="55"/>
      <c r="V3470" s="25">
        <f>IFERROR(VLOOKUP(BCP_Soles[[#This Row],[destinatario]],CHOOSE({1,2},Clientes_Proveedores[Razon Social],Clientes_Proveedores[Ruc / Dni]),2,0),"")</f>
        <v>20558226979</v>
      </c>
      <c r="W3470" s="25"/>
      <c r="X3470" s="25"/>
      <c r="Y3470" s="25"/>
      <c r="Z3470" s="77"/>
      <c r="AA3470" s="3" t="str">
        <f>IF(BCP_Soles[[#This Row],[fecha]]&gt;0,TEXT(BCP_Soles[[#This Row],[fecha]],"mmmm"),0)</f>
        <v>Agosto</v>
      </c>
    </row>
    <row r="3471" spans="1:27" ht="36" x14ac:dyDescent="0.3">
      <c r="A3471" s="2">
        <f>IF(BCP_Soles[[#This Row],[tipo_registro]]="R",COUNTIFS($C$1:$C3470,"R")+1,A3470)</f>
        <v>2301</v>
      </c>
      <c r="B3471" s="19" t="str">
        <f t="shared" si="276"/>
        <v>B-BCP - Soles</v>
      </c>
      <c r="C3471" s="3" t="s">
        <v>1330</v>
      </c>
      <c r="D3471" s="14">
        <v>45895</v>
      </c>
      <c r="E3471" s="5" t="s">
        <v>261</v>
      </c>
      <c r="F3471" s="5" t="s">
        <v>1303</v>
      </c>
      <c r="G3471" s="6" t="s">
        <v>425</v>
      </c>
      <c r="H3471" s="6" t="s">
        <v>68</v>
      </c>
      <c r="I3471" s="6" t="s">
        <v>3302</v>
      </c>
      <c r="J3471" s="6">
        <v>120</v>
      </c>
      <c r="K3471" s="7" t="s">
        <v>4301</v>
      </c>
      <c r="L3471" s="8">
        <v>6598504</v>
      </c>
      <c r="M3471" s="8" t="str">
        <f t="shared" si="277"/>
        <v>PEN</v>
      </c>
      <c r="N3471" s="13"/>
      <c r="O3471" s="13">
        <v>19969.560000000001</v>
      </c>
      <c r="P3471" s="3">
        <f t="shared" si="278"/>
        <v>19969.560000000001</v>
      </c>
      <c r="Q3471" s="3">
        <f t="shared" si="279"/>
        <v>0</v>
      </c>
      <c r="R3471" s="3">
        <f t="shared" si="280"/>
        <v>38890.039999999979</v>
      </c>
      <c r="S3471" s="24" t="s">
        <v>1334</v>
      </c>
      <c r="T3471" s="24" t="s">
        <v>1334</v>
      </c>
      <c r="U3471" s="55"/>
      <c r="V3471" s="25">
        <f>IFERROR(VLOOKUP(BCP_Soles[[#This Row],[destinatario]],CHOOSE({1,2},Clientes_Proveedores[Razon Social],Clientes_Proveedores[Ruc / Dni]),2,0),"")</f>
        <v>20558226979</v>
      </c>
      <c r="W3471" s="25"/>
      <c r="X3471" s="25"/>
      <c r="Y3471" s="25"/>
      <c r="Z3471" s="77"/>
      <c r="AA3471" s="3" t="str">
        <f>IF(BCP_Soles[[#This Row],[fecha]]&gt;0,TEXT(BCP_Soles[[#This Row],[fecha]],"mmmm"),0)</f>
        <v>Agosto</v>
      </c>
    </row>
    <row r="3472" spans="1:27" x14ac:dyDescent="0.3">
      <c r="A3472" s="2">
        <f>IF(BCP_Soles[[#This Row],[tipo_registro]]="R",COUNTIFS($C$1:$C3471,"R")+1,A3471)</f>
        <v>2302</v>
      </c>
      <c r="B3472" s="19" t="str">
        <f t="shared" si="276"/>
        <v>B-BCP - Soles</v>
      </c>
      <c r="C3472" s="3" t="s">
        <v>1330</v>
      </c>
      <c r="D3472" s="14">
        <v>45895</v>
      </c>
      <c r="E3472" s="5" t="s">
        <v>1338</v>
      </c>
      <c r="F3472" s="5" t="s">
        <v>1336</v>
      </c>
      <c r="G3472" s="6" t="s">
        <v>696</v>
      </c>
      <c r="H3472" s="6"/>
      <c r="I3472" s="6"/>
      <c r="J3472" s="6"/>
      <c r="K3472" s="7" t="s">
        <v>4302</v>
      </c>
      <c r="L3472" s="8">
        <v>6597704</v>
      </c>
      <c r="M3472" s="8" t="str">
        <f t="shared" si="277"/>
        <v>PEN</v>
      </c>
      <c r="N3472" s="13"/>
      <c r="O3472" s="13">
        <v>7229.59</v>
      </c>
      <c r="P3472" s="3">
        <f t="shared" si="278"/>
        <v>0</v>
      </c>
      <c r="Q3472" s="3">
        <f t="shared" si="279"/>
        <v>7229.59</v>
      </c>
      <c r="R3472" s="3">
        <f t="shared" si="280"/>
        <v>31660.449999999979</v>
      </c>
      <c r="S3472" s="24" t="s">
        <v>1334</v>
      </c>
      <c r="T3472" s="24" t="s">
        <v>1334</v>
      </c>
      <c r="U3472" s="56" t="s">
        <v>4303</v>
      </c>
      <c r="V3472" s="25">
        <f>IFERROR(VLOOKUP(BCP_Soles[[#This Row],[destinatario]],CHOOSE({1,2},Clientes_Proveedores[Razon Social],Clientes_Proveedores[Ruc / Dni]),2,0),"")</f>
        <v>0</v>
      </c>
      <c r="W3472" s="25"/>
      <c r="X3472" s="25"/>
      <c r="Y3472" s="25"/>
      <c r="Z3472" s="77"/>
      <c r="AA3472" s="3" t="str">
        <f>IF(BCP_Soles[[#This Row],[fecha]]&gt;0,TEXT(BCP_Soles[[#This Row],[fecha]],"mmmm"),0)</f>
        <v>Agosto</v>
      </c>
    </row>
    <row r="3473" spans="1:27" ht="24" x14ac:dyDescent="0.3">
      <c r="A3473" s="2">
        <f>IF(BCP_Soles[[#This Row],[tipo_registro]]="R",COUNTIFS($C$1:$C3472,"R")+1,A3472)</f>
        <v>2302</v>
      </c>
      <c r="B3473" s="19" t="str">
        <f t="shared" si="276"/>
        <v>B-BCP - Soles</v>
      </c>
      <c r="C3473" s="3" t="s">
        <v>1352</v>
      </c>
      <c r="D3473" s="14">
        <v>45895</v>
      </c>
      <c r="E3473" s="5" t="s">
        <v>1338</v>
      </c>
      <c r="F3473" s="5"/>
      <c r="G3473" s="6" t="s">
        <v>166</v>
      </c>
      <c r="H3473" s="6" t="s">
        <v>68</v>
      </c>
      <c r="I3473" s="6" t="s">
        <v>1376</v>
      </c>
      <c r="J3473" s="6">
        <v>5283</v>
      </c>
      <c r="K3473" s="7" t="s">
        <v>4302</v>
      </c>
      <c r="L3473" s="8">
        <v>6597704</v>
      </c>
      <c r="M3473" s="8" t="str">
        <f t="shared" si="277"/>
        <v>PEN</v>
      </c>
      <c r="N3473" s="13">
        <v>59</v>
      </c>
      <c r="O3473" s="13"/>
      <c r="P3473" s="3">
        <f t="shared" si="278"/>
        <v>0</v>
      </c>
      <c r="Q3473" s="3">
        <f t="shared" si="279"/>
        <v>0</v>
      </c>
      <c r="R3473" s="3">
        <f t="shared" si="280"/>
        <v>31660.449999999979</v>
      </c>
      <c r="S3473" s="24" t="s">
        <v>1334</v>
      </c>
      <c r="T3473" s="24" t="s">
        <v>1334</v>
      </c>
      <c r="U3473" s="56" t="s">
        <v>4303</v>
      </c>
      <c r="V3473" s="25">
        <f>IFERROR(VLOOKUP(BCP_Soles[[#This Row],[destinatario]],CHOOSE({1,2},Clientes_Proveedores[Razon Social],Clientes_Proveedores[Ruc / Dni]),2,0),"")</f>
        <v>10425371652</v>
      </c>
      <c r="W3473" s="25"/>
      <c r="X3473" s="25"/>
      <c r="Y3473" s="25"/>
      <c r="Z3473" s="77"/>
      <c r="AA3473" s="3" t="str">
        <f>IF(BCP_Soles[[#This Row],[fecha]]&gt;0,TEXT(BCP_Soles[[#This Row],[fecha]],"mmmm"),0)</f>
        <v>Agosto</v>
      </c>
    </row>
    <row r="3474" spans="1:27" x14ac:dyDescent="0.3">
      <c r="A3474" s="2">
        <f>IF(BCP_Soles[[#This Row],[tipo_registro]]="R",COUNTIFS($C$1:$C3473,"R")+1,A3473)</f>
        <v>2302</v>
      </c>
      <c r="B3474" s="19" t="str">
        <f t="shared" si="276"/>
        <v>B-BCP - Soles</v>
      </c>
      <c r="C3474" s="3" t="s">
        <v>1352</v>
      </c>
      <c r="D3474" s="14">
        <v>45895</v>
      </c>
      <c r="E3474" s="5" t="s">
        <v>1338</v>
      </c>
      <c r="F3474" s="5"/>
      <c r="G3474" s="6" t="s">
        <v>493</v>
      </c>
      <c r="H3474" s="6" t="s">
        <v>68</v>
      </c>
      <c r="I3474" s="6" t="s">
        <v>1841</v>
      </c>
      <c r="J3474" s="6">
        <v>1563</v>
      </c>
      <c r="K3474" s="7" t="s">
        <v>4302</v>
      </c>
      <c r="L3474" s="8">
        <v>6597704</v>
      </c>
      <c r="M3474" s="8" t="str">
        <f t="shared" si="277"/>
        <v>PEN</v>
      </c>
      <c r="N3474" s="13">
        <v>1001.91</v>
      </c>
      <c r="O3474" s="13"/>
      <c r="P3474" s="3">
        <f t="shared" si="278"/>
        <v>0</v>
      </c>
      <c r="Q3474" s="3">
        <f t="shared" si="279"/>
        <v>0</v>
      </c>
      <c r="R3474" s="3">
        <f t="shared" si="280"/>
        <v>31660.449999999979</v>
      </c>
      <c r="S3474" s="24" t="s">
        <v>1334</v>
      </c>
      <c r="T3474" s="24" t="s">
        <v>1334</v>
      </c>
      <c r="U3474" s="56" t="s">
        <v>4303</v>
      </c>
      <c r="V3474" s="25">
        <f>IFERROR(VLOOKUP(BCP_Soles[[#This Row],[destinatario]],CHOOSE({1,2},Clientes_Proveedores[Razon Social],Clientes_Proveedores[Ruc / Dni]),2,0),"")</f>
        <v>20602751326</v>
      </c>
      <c r="W3474" s="25"/>
      <c r="X3474" s="25"/>
      <c r="Y3474" s="25"/>
      <c r="Z3474" s="77"/>
      <c r="AA3474" s="3" t="str">
        <f>IF(BCP_Soles[[#This Row],[fecha]]&gt;0,TEXT(BCP_Soles[[#This Row],[fecha]],"mmmm"),0)</f>
        <v>Agosto</v>
      </c>
    </row>
    <row r="3475" spans="1:27" ht="24" x14ac:dyDescent="0.3">
      <c r="A3475" s="2">
        <f>IF(BCP_Soles[[#This Row],[tipo_registro]]="R",COUNTIFS($C$1:$C3474,"R")+1,A3474)</f>
        <v>2302</v>
      </c>
      <c r="B3475" s="19" t="str">
        <f t="shared" si="276"/>
        <v>B-BCP - Soles</v>
      </c>
      <c r="C3475" s="3" t="s">
        <v>1352</v>
      </c>
      <c r="D3475" s="14">
        <v>45895</v>
      </c>
      <c r="E3475" s="5" t="s">
        <v>1338</v>
      </c>
      <c r="F3475" s="5"/>
      <c r="G3475" s="6" t="s">
        <v>166</v>
      </c>
      <c r="H3475" s="6" t="s">
        <v>68</v>
      </c>
      <c r="I3475" s="6" t="s">
        <v>1376</v>
      </c>
      <c r="J3475" s="6">
        <v>5287</v>
      </c>
      <c r="K3475" s="7" t="s">
        <v>4302</v>
      </c>
      <c r="L3475" s="8">
        <v>6597704</v>
      </c>
      <c r="M3475" s="8" t="str">
        <f t="shared" si="277"/>
        <v>PEN</v>
      </c>
      <c r="N3475" s="13">
        <v>59</v>
      </c>
      <c r="O3475" s="13"/>
      <c r="P3475" s="3">
        <f t="shared" si="278"/>
        <v>0</v>
      </c>
      <c r="Q3475" s="3">
        <f t="shared" si="279"/>
        <v>0</v>
      </c>
      <c r="R3475" s="3">
        <f t="shared" si="280"/>
        <v>31660.449999999979</v>
      </c>
      <c r="S3475" s="24" t="s">
        <v>1334</v>
      </c>
      <c r="T3475" s="24" t="s">
        <v>1334</v>
      </c>
      <c r="U3475" s="56" t="s">
        <v>4303</v>
      </c>
      <c r="V3475" s="25">
        <f>IFERROR(VLOOKUP(BCP_Soles[[#This Row],[destinatario]],CHOOSE({1,2},Clientes_Proveedores[Razon Social],Clientes_Proveedores[Ruc / Dni]),2,0),"")</f>
        <v>10425371652</v>
      </c>
      <c r="W3475" s="25"/>
      <c r="X3475" s="25"/>
      <c r="Y3475" s="25"/>
      <c r="Z3475" s="77"/>
      <c r="AA3475" s="3" t="str">
        <f>IF(BCP_Soles[[#This Row],[fecha]]&gt;0,TEXT(BCP_Soles[[#This Row],[fecha]],"mmmm"),0)</f>
        <v>Agosto</v>
      </c>
    </row>
    <row r="3476" spans="1:27" ht="24" x14ac:dyDescent="0.3">
      <c r="A3476" s="2">
        <f>IF(BCP_Soles[[#This Row],[tipo_registro]]="R",COUNTIFS($C$1:$C3475,"R")+1,A3475)</f>
        <v>2302</v>
      </c>
      <c r="B3476" s="19" t="str">
        <f t="shared" si="276"/>
        <v>B-BCP - Soles</v>
      </c>
      <c r="C3476" s="3" t="s">
        <v>1352</v>
      </c>
      <c r="D3476" s="14">
        <v>45895</v>
      </c>
      <c r="E3476" s="5" t="s">
        <v>1338</v>
      </c>
      <c r="F3476" s="5"/>
      <c r="G3476" s="6" t="s">
        <v>70</v>
      </c>
      <c r="H3476" s="6" t="s">
        <v>68</v>
      </c>
      <c r="I3476" s="6" t="s">
        <v>1376</v>
      </c>
      <c r="J3476" s="6">
        <v>598</v>
      </c>
      <c r="K3476" s="7" t="s">
        <v>4302</v>
      </c>
      <c r="L3476" s="8">
        <v>6597704</v>
      </c>
      <c r="M3476" s="8" t="str">
        <f t="shared" si="277"/>
        <v>PEN</v>
      </c>
      <c r="N3476" s="13">
        <v>1699</v>
      </c>
      <c r="O3476" s="13"/>
      <c r="P3476" s="3">
        <f t="shared" si="278"/>
        <v>0</v>
      </c>
      <c r="Q3476" s="3">
        <f t="shared" si="279"/>
        <v>0</v>
      </c>
      <c r="R3476" s="3">
        <f t="shared" si="280"/>
        <v>31660.449999999979</v>
      </c>
      <c r="S3476" s="24" t="s">
        <v>1334</v>
      </c>
      <c r="T3476" s="24" t="s">
        <v>1334</v>
      </c>
      <c r="U3476" s="56" t="s">
        <v>4303</v>
      </c>
      <c r="V3476" s="25">
        <f>IFERROR(VLOOKUP(BCP_Soles[[#This Row],[destinatario]],CHOOSE({1,2},Clientes_Proveedores[Razon Social],Clientes_Proveedores[Ruc / Dni]),2,0),"")</f>
        <v>10211014194</v>
      </c>
      <c r="W3476" s="25"/>
      <c r="X3476" s="25"/>
      <c r="Y3476" s="25"/>
      <c r="Z3476" s="77"/>
      <c r="AA3476" s="3" t="str">
        <f>IF(BCP_Soles[[#This Row],[fecha]]&gt;0,TEXT(BCP_Soles[[#This Row],[fecha]],"mmmm"),0)</f>
        <v>Agosto</v>
      </c>
    </row>
    <row r="3477" spans="1:27" ht="24" x14ac:dyDescent="0.3">
      <c r="A3477" s="2">
        <f>IF(BCP_Soles[[#This Row],[tipo_registro]]="R",COUNTIFS($C$1:$C3476,"R")+1,A3476)</f>
        <v>2302</v>
      </c>
      <c r="B3477" s="19" t="str">
        <f t="shared" si="276"/>
        <v>B-BCP - Soles</v>
      </c>
      <c r="C3477" s="3" t="s">
        <v>1352</v>
      </c>
      <c r="D3477" s="14">
        <v>45895</v>
      </c>
      <c r="E3477" s="5" t="s">
        <v>1338</v>
      </c>
      <c r="F3477" s="5"/>
      <c r="G3477" s="6" t="s">
        <v>553</v>
      </c>
      <c r="H3477" s="6" t="s">
        <v>68</v>
      </c>
      <c r="I3477" s="6" t="s">
        <v>1376</v>
      </c>
      <c r="J3477" s="6">
        <v>350</v>
      </c>
      <c r="K3477" s="7" t="s">
        <v>4302</v>
      </c>
      <c r="L3477" s="8">
        <v>6597704</v>
      </c>
      <c r="M3477" s="8" t="str">
        <f t="shared" si="277"/>
        <v>PEN</v>
      </c>
      <c r="N3477" s="13">
        <v>480</v>
      </c>
      <c r="O3477" s="13"/>
      <c r="P3477" s="3">
        <f t="shared" si="278"/>
        <v>0</v>
      </c>
      <c r="Q3477" s="3">
        <f t="shared" si="279"/>
        <v>0</v>
      </c>
      <c r="R3477" s="3">
        <f t="shared" si="280"/>
        <v>31660.449999999979</v>
      </c>
      <c r="S3477" s="24" t="s">
        <v>1334</v>
      </c>
      <c r="T3477" s="24" t="s">
        <v>1334</v>
      </c>
      <c r="U3477" s="56" t="s">
        <v>4303</v>
      </c>
      <c r="V3477" s="25">
        <f>IFERROR(VLOOKUP(BCP_Soles[[#This Row],[destinatario]],CHOOSE({1,2},Clientes_Proveedores[Razon Social],Clientes_Proveedores[Ruc / Dni]),2,0),"")</f>
        <v>20606866861</v>
      </c>
      <c r="W3477" s="25"/>
      <c r="X3477" s="25"/>
      <c r="Y3477" s="25"/>
      <c r="Z3477" s="77"/>
      <c r="AA3477" s="3" t="str">
        <f>IF(BCP_Soles[[#This Row],[fecha]]&gt;0,TEXT(BCP_Soles[[#This Row],[fecha]],"mmmm"),0)</f>
        <v>Agosto</v>
      </c>
    </row>
    <row r="3478" spans="1:27" x14ac:dyDescent="0.3">
      <c r="A3478" s="2">
        <f>IF(BCP_Soles[[#This Row],[tipo_registro]]="R",COUNTIFS($C$1:$C3477,"R")+1,A3477)</f>
        <v>2302</v>
      </c>
      <c r="B3478" s="19" t="str">
        <f t="shared" si="276"/>
        <v>B-BCP - Soles</v>
      </c>
      <c r="C3478" s="3" t="s">
        <v>1352</v>
      </c>
      <c r="D3478" s="14">
        <v>45895</v>
      </c>
      <c r="E3478" s="5" t="s">
        <v>1338</v>
      </c>
      <c r="F3478" s="5"/>
      <c r="G3478" s="6" t="s">
        <v>522</v>
      </c>
      <c r="H3478" s="6" t="s">
        <v>68</v>
      </c>
      <c r="I3478" s="6" t="s">
        <v>1376</v>
      </c>
      <c r="J3478" s="6">
        <v>4134</v>
      </c>
      <c r="K3478" s="7" t="s">
        <v>4302</v>
      </c>
      <c r="L3478" s="8">
        <v>6597704</v>
      </c>
      <c r="M3478" s="8" t="str">
        <f t="shared" si="277"/>
        <v>PEN</v>
      </c>
      <c r="N3478" s="13">
        <v>351.05</v>
      </c>
      <c r="O3478" s="13"/>
      <c r="P3478" s="3">
        <f t="shared" si="278"/>
        <v>0</v>
      </c>
      <c r="Q3478" s="3">
        <f t="shared" si="279"/>
        <v>0</v>
      </c>
      <c r="R3478" s="3">
        <f t="shared" si="280"/>
        <v>31660.449999999979</v>
      </c>
      <c r="S3478" s="24" t="s">
        <v>1334</v>
      </c>
      <c r="T3478" s="24" t="s">
        <v>1334</v>
      </c>
      <c r="U3478" s="56" t="s">
        <v>4303</v>
      </c>
      <c r="V3478" s="25">
        <f>IFERROR(VLOOKUP(BCP_Soles[[#This Row],[destinatario]],CHOOSE({1,2},Clientes_Proveedores[Razon Social],Clientes_Proveedores[Ruc / Dni]),2,0),"")</f>
        <v>20603974817</v>
      </c>
      <c r="W3478" s="25"/>
      <c r="X3478" s="25"/>
      <c r="Y3478" s="25"/>
      <c r="Z3478" s="77"/>
      <c r="AA3478" s="3" t="str">
        <f>IF(BCP_Soles[[#This Row],[fecha]]&gt;0,TEXT(BCP_Soles[[#This Row],[fecha]],"mmmm"),0)</f>
        <v>Agosto</v>
      </c>
    </row>
    <row r="3479" spans="1:27" ht="24" x14ac:dyDescent="0.3">
      <c r="A3479" s="2">
        <f>IF(BCP_Soles[[#This Row],[tipo_registro]]="R",COUNTIFS($C$1:$C3478,"R")+1,A3478)</f>
        <v>2302</v>
      </c>
      <c r="B3479" s="19" t="str">
        <f t="shared" si="276"/>
        <v>B-BCP - Soles</v>
      </c>
      <c r="C3479" s="3" t="s">
        <v>1352</v>
      </c>
      <c r="D3479" s="14">
        <v>45895</v>
      </c>
      <c r="E3479" s="5" t="s">
        <v>1338</v>
      </c>
      <c r="F3479" s="5"/>
      <c r="G3479" s="6" t="s">
        <v>163</v>
      </c>
      <c r="H3479" s="6" t="s">
        <v>68</v>
      </c>
      <c r="I3479" s="6" t="s">
        <v>1376</v>
      </c>
      <c r="J3479" s="6">
        <v>318</v>
      </c>
      <c r="K3479" s="7" t="s">
        <v>4302</v>
      </c>
      <c r="L3479" s="8">
        <v>6597704</v>
      </c>
      <c r="M3479" s="8" t="str">
        <f t="shared" si="277"/>
        <v>PEN</v>
      </c>
      <c r="N3479" s="13">
        <v>1149.2</v>
      </c>
      <c r="O3479" s="13"/>
      <c r="P3479" s="3">
        <f t="shared" si="278"/>
        <v>0</v>
      </c>
      <c r="Q3479" s="3">
        <f t="shared" si="279"/>
        <v>0</v>
      </c>
      <c r="R3479" s="3">
        <f t="shared" si="280"/>
        <v>31660.449999999979</v>
      </c>
      <c r="S3479" s="24" t="s">
        <v>1334</v>
      </c>
      <c r="T3479" s="24" t="s">
        <v>1334</v>
      </c>
      <c r="U3479" s="56" t="s">
        <v>4303</v>
      </c>
      <c r="V3479" s="25">
        <f>IFERROR(VLOOKUP(BCP_Soles[[#This Row],[destinatario]],CHOOSE({1,2},Clientes_Proveedores[Razon Social],Clientes_Proveedores[Ruc / Dni]),2,0),"")</f>
        <v>10416031679</v>
      </c>
      <c r="W3479" s="25"/>
      <c r="X3479" s="25"/>
      <c r="Y3479" s="25"/>
      <c r="Z3479" s="77"/>
      <c r="AA3479" s="3" t="str">
        <f>IF(BCP_Soles[[#This Row],[fecha]]&gt;0,TEXT(BCP_Soles[[#This Row],[fecha]],"mmmm"),0)</f>
        <v>Agosto</v>
      </c>
    </row>
    <row r="3480" spans="1:27" ht="24" x14ac:dyDescent="0.3">
      <c r="A3480" s="2">
        <f>IF(BCP_Soles[[#This Row],[tipo_registro]]="R",COUNTIFS($C$1:$C3479,"R")+1,A3479)</f>
        <v>2302</v>
      </c>
      <c r="B3480" s="19" t="str">
        <f t="shared" si="276"/>
        <v>B-BCP - Soles</v>
      </c>
      <c r="C3480" s="3" t="s">
        <v>1352</v>
      </c>
      <c r="D3480" s="14">
        <v>45895</v>
      </c>
      <c r="E3480" s="5" t="s">
        <v>1338</v>
      </c>
      <c r="F3480" s="5"/>
      <c r="G3480" s="6" t="s">
        <v>163</v>
      </c>
      <c r="H3480" s="6" t="s">
        <v>68</v>
      </c>
      <c r="I3480" s="6" t="s">
        <v>1376</v>
      </c>
      <c r="J3480" s="6">
        <v>311</v>
      </c>
      <c r="K3480" s="7" t="s">
        <v>4302</v>
      </c>
      <c r="L3480" s="8">
        <v>6597704</v>
      </c>
      <c r="M3480" s="8" t="str">
        <f t="shared" si="277"/>
        <v>PEN</v>
      </c>
      <c r="N3480" s="13">
        <v>98</v>
      </c>
      <c r="O3480" s="13"/>
      <c r="P3480" s="3">
        <f t="shared" si="278"/>
        <v>0</v>
      </c>
      <c r="Q3480" s="3">
        <f t="shared" si="279"/>
        <v>0</v>
      </c>
      <c r="R3480" s="3">
        <f t="shared" si="280"/>
        <v>31660.449999999979</v>
      </c>
      <c r="S3480" s="24" t="s">
        <v>1334</v>
      </c>
      <c r="T3480" s="24" t="s">
        <v>1334</v>
      </c>
      <c r="U3480" s="56" t="s">
        <v>4303</v>
      </c>
      <c r="V3480" s="25">
        <f>IFERROR(VLOOKUP(BCP_Soles[[#This Row],[destinatario]],CHOOSE({1,2},Clientes_Proveedores[Razon Social],Clientes_Proveedores[Ruc / Dni]),2,0),"")</f>
        <v>10416031679</v>
      </c>
      <c r="W3480" s="25"/>
      <c r="X3480" s="25"/>
      <c r="Y3480" s="25"/>
      <c r="Z3480" s="77"/>
      <c r="AA3480" s="3" t="str">
        <f>IF(BCP_Soles[[#This Row],[fecha]]&gt;0,TEXT(BCP_Soles[[#This Row],[fecha]],"mmmm"),0)</f>
        <v>Agosto</v>
      </c>
    </row>
    <row r="3481" spans="1:27" x14ac:dyDescent="0.3">
      <c r="A3481" s="2">
        <f>IF(BCP_Soles[[#This Row],[tipo_registro]]="R",COUNTIFS($C$1:$C3480,"R")+1,A3480)</f>
        <v>2302</v>
      </c>
      <c r="B3481" s="19" t="str">
        <f t="shared" si="276"/>
        <v>B-BCP - Soles</v>
      </c>
      <c r="C3481" s="3" t="s">
        <v>1352</v>
      </c>
      <c r="D3481" s="14">
        <v>45895</v>
      </c>
      <c r="E3481" s="5" t="s">
        <v>1338</v>
      </c>
      <c r="F3481" s="5"/>
      <c r="G3481" s="6" t="s">
        <v>286</v>
      </c>
      <c r="H3481" s="6" t="s">
        <v>68</v>
      </c>
      <c r="I3481" s="6" t="s">
        <v>1386</v>
      </c>
      <c r="J3481" s="6">
        <v>1717</v>
      </c>
      <c r="K3481" s="7" t="s">
        <v>4302</v>
      </c>
      <c r="L3481" s="8">
        <v>6597704</v>
      </c>
      <c r="M3481" s="8" t="str">
        <f t="shared" si="277"/>
        <v>PEN</v>
      </c>
      <c r="N3481" s="13">
        <v>1348.21</v>
      </c>
      <c r="O3481" s="13"/>
      <c r="P3481" s="3">
        <f t="shared" si="278"/>
        <v>0</v>
      </c>
      <c r="Q3481" s="3">
        <f t="shared" si="279"/>
        <v>0</v>
      </c>
      <c r="R3481" s="3">
        <f t="shared" si="280"/>
        <v>31660.449999999979</v>
      </c>
      <c r="S3481" s="24" t="s">
        <v>1334</v>
      </c>
      <c r="T3481" s="24" t="s">
        <v>1334</v>
      </c>
      <c r="U3481" s="56" t="s">
        <v>4303</v>
      </c>
      <c r="V3481" s="25">
        <f>IFERROR(VLOOKUP(BCP_Soles[[#This Row],[destinatario]],CHOOSE({1,2},Clientes_Proveedores[Razon Social],Clientes_Proveedores[Ruc / Dni]),2,0),"")</f>
        <v>20454186002</v>
      </c>
      <c r="W3481" s="25"/>
      <c r="X3481" s="25"/>
      <c r="Y3481" s="25"/>
      <c r="Z3481" s="77"/>
      <c r="AA3481" s="3" t="str">
        <f>IF(BCP_Soles[[#This Row],[fecha]]&gt;0,TEXT(BCP_Soles[[#This Row],[fecha]],"mmmm"),0)</f>
        <v>Agosto</v>
      </c>
    </row>
    <row r="3482" spans="1:27" x14ac:dyDescent="0.3">
      <c r="A3482" s="2">
        <f>IF(BCP_Soles[[#This Row],[tipo_registro]]="R",COUNTIFS($C$1:$C3481,"R")+1,A3481)</f>
        <v>2302</v>
      </c>
      <c r="B3482" s="19" t="str">
        <f t="shared" si="276"/>
        <v>B-BCP - Soles</v>
      </c>
      <c r="C3482" s="3" t="s">
        <v>1352</v>
      </c>
      <c r="D3482" s="14">
        <v>45895</v>
      </c>
      <c r="E3482" s="5" t="s">
        <v>1338</v>
      </c>
      <c r="F3482" s="5"/>
      <c r="G3482" s="6" t="s">
        <v>286</v>
      </c>
      <c r="H3482" s="6" t="s">
        <v>68</v>
      </c>
      <c r="I3482" s="6" t="s">
        <v>1386</v>
      </c>
      <c r="J3482" s="6">
        <v>1720</v>
      </c>
      <c r="K3482" s="7" t="s">
        <v>4302</v>
      </c>
      <c r="L3482" s="8">
        <v>6597704</v>
      </c>
      <c r="M3482" s="8" t="str">
        <f t="shared" si="277"/>
        <v>PEN</v>
      </c>
      <c r="N3482" s="13">
        <v>144.1</v>
      </c>
      <c r="O3482" s="13"/>
      <c r="P3482" s="3">
        <f t="shared" si="278"/>
        <v>0</v>
      </c>
      <c r="Q3482" s="3">
        <f t="shared" si="279"/>
        <v>0</v>
      </c>
      <c r="R3482" s="3">
        <f t="shared" si="280"/>
        <v>31660.449999999979</v>
      </c>
      <c r="S3482" s="24" t="s">
        <v>1334</v>
      </c>
      <c r="T3482" s="24" t="s">
        <v>1334</v>
      </c>
      <c r="U3482" s="56" t="s">
        <v>4303</v>
      </c>
      <c r="V3482" s="25">
        <f>IFERROR(VLOOKUP(BCP_Soles[[#This Row],[destinatario]],CHOOSE({1,2},Clientes_Proveedores[Razon Social],Clientes_Proveedores[Ruc / Dni]),2,0),"")</f>
        <v>20454186002</v>
      </c>
      <c r="W3482" s="25"/>
      <c r="X3482" s="25"/>
      <c r="Y3482" s="25"/>
      <c r="Z3482" s="77"/>
      <c r="AA3482" s="3" t="str">
        <f>IF(BCP_Soles[[#This Row],[fecha]]&gt;0,TEXT(BCP_Soles[[#This Row],[fecha]],"mmmm"),0)</f>
        <v>Agosto</v>
      </c>
    </row>
    <row r="3483" spans="1:27" x14ac:dyDescent="0.3">
      <c r="A3483" s="2">
        <f>IF(BCP_Soles[[#This Row],[tipo_registro]]="R",COUNTIFS($C$1:$C3482,"R")+1,A3482)</f>
        <v>2302</v>
      </c>
      <c r="B3483" s="19" t="str">
        <f t="shared" si="276"/>
        <v>B-BCP - Soles</v>
      </c>
      <c r="C3483" s="3" t="s">
        <v>1352</v>
      </c>
      <c r="D3483" s="14">
        <v>45895</v>
      </c>
      <c r="E3483" s="5" t="s">
        <v>1338</v>
      </c>
      <c r="F3483" s="5"/>
      <c r="G3483" s="6" t="s">
        <v>286</v>
      </c>
      <c r="H3483" s="6" t="s">
        <v>68</v>
      </c>
      <c r="I3483" s="6" t="s">
        <v>1386</v>
      </c>
      <c r="J3483" s="6">
        <v>1718</v>
      </c>
      <c r="K3483" s="7" t="s">
        <v>4302</v>
      </c>
      <c r="L3483" s="8">
        <v>6597704</v>
      </c>
      <c r="M3483" s="8" t="str">
        <f t="shared" si="277"/>
        <v>PEN</v>
      </c>
      <c r="N3483" s="13">
        <v>369</v>
      </c>
      <c r="O3483" s="13"/>
      <c r="P3483" s="3">
        <f t="shared" si="278"/>
        <v>0</v>
      </c>
      <c r="Q3483" s="3">
        <f t="shared" si="279"/>
        <v>0</v>
      </c>
      <c r="R3483" s="3">
        <f t="shared" si="280"/>
        <v>31660.449999999979</v>
      </c>
      <c r="S3483" s="24" t="s">
        <v>1334</v>
      </c>
      <c r="T3483" s="24" t="s">
        <v>1334</v>
      </c>
      <c r="U3483" s="56" t="s">
        <v>4303</v>
      </c>
      <c r="V3483" s="25">
        <f>IFERROR(VLOOKUP(BCP_Soles[[#This Row],[destinatario]],CHOOSE({1,2},Clientes_Proveedores[Razon Social],Clientes_Proveedores[Ruc / Dni]),2,0),"")</f>
        <v>20454186002</v>
      </c>
      <c r="W3483" s="25"/>
      <c r="X3483" s="25"/>
      <c r="Y3483" s="25"/>
      <c r="Z3483" s="77"/>
      <c r="AA3483" s="3" t="str">
        <f>IF(BCP_Soles[[#This Row],[fecha]]&gt;0,TEXT(BCP_Soles[[#This Row],[fecha]],"mmmm"),0)</f>
        <v>Agosto</v>
      </c>
    </row>
    <row r="3484" spans="1:27" x14ac:dyDescent="0.3">
      <c r="A3484" s="2">
        <f>IF(BCP_Soles[[#This Row],[tipo_registro]]="R",COUNTIFS($C$1:$C3483,"R")+1,A3483)</f>
        <v>2302</v>
      </c>
      <c r="B3484" s="19" t="str">
        <f t="shared" si="276"/>
        <v>B-BCP - Soles</v>
      </c>
      <c r="C3484" s="3" t="s">
        <v>1352</v>
      </c>
      <c r="D3484" s="14">
        <v>45895</v>
      </c>
      <c r="E3484" s="5" t="s">
        <v>1338</v>
      </c>
      <c r="F3484" s="5"/>
      <c r="G3484" s="6" t="s">
        <v>286</v>
      </c>
      <c r="H3484" s="6" t="s">
        <v>68</v>
      </c>
      <c r="I3484" s="6" t="s">
        <v>1386</v>
      </c>
      <c r="J3484" s="6">
        <v>1719</v>
      </c>
      <c r="K3484" s="7" t="s">
        <v>4302</v>
      </c>
      <c r="L3484" s="8">
        <v>6597704</v>
      </c>
      <c r="M3484" s="8" t="str">
        <f t="shared" si="277"/>
        <v>PEN</v>
      </c>
      <c r="N3484" s="13">
        <v>471.12</v>
      </c>
      <c r="O3484" s="13"/>
      <c r="P3484" s="3">
        <f t="shared" si="278"/>
        <v>0</v>
      </c>
      <c r="Q3484" s="3">
        <f t="shared" si="279"/>
        <v>0</v>
      </c>
      <c r="R3484" s="3">
        <f t="shared" si="280"/>
        <v>31660.449999999979</v>
      </c>
      <c r="S3484" s="24" t="s">
        <v>1334</v>
      </c>
      <c r="T3484" s="24" t="s">
        <v>1334</v>
      </c>
      <c r="U3484" s="56" t="s">
        <v>4303</v>
      </c>
      <c r="V3484" s="25">
        <f>IFERROR(VLOOKUP(BCP_Soles[[#This Row],[destinatario]],CHOOSE({1,2},Clientes_Proveedores[Razon Social],Clientes_Proveedores[Ruc / Dni]),2,0),"")</f>
        <v>20454186002</v>
      </c>
      <c r="W3484" s="25"/>
      <c r="X3484" s="25"/>
      <c r="Y3484" s="25"/>
      <c r="Z3484" s="77"/>
      <c r="AA3484" s="3" t="str">
        <f>IF(BCP_Soles[[#This Row],[fecha]]&gt;0,TEXT(BCP_Soles[[#This Row],[fecha]],"mmmm"),0)</f>
        <v>Agosto</v>
      </c>
    </row>
    <row r="3485" spans="1:27" ht="24" x14ac:dyDescent="0.3">
      <c r="A3485" s="2">
        <f>IF(BCP_Soles[[#This Row],[tipo_registro]]="R",COUNTIFS($C$1:$C3484,"R")+1,A3484)</f>
        <v>2303</v>
      </c>
      <c r="B3485" s="19" t="str">
        <f t="shared" ref="B3485:B3548" si="281">"B-BCP - Soles"</f>
        <v>B-BCP - Soles</v>
      </c>
      <c r="C3485" s="3" t="s">
        <v>1330</v>
      </c>
      <c r="D3485" s="14">
        <v>45895</v>
      </c>
      <c r="E3485" s="5" t="s">
        <v>1338</v>
      </c>
      <c r="F3485" s="5" t="s">
        <v>1336</v>
      </c>
      <c r="G3485" s="6" t="s">
        <v>790</v>
      </c>
      <c r="H3485" s="6" t="s">
        <v>143</v>
      </c>
      <c r="I3485" s="6">
        <v>1</v>
      </c>
      <c r="J3485" s="6">
        <v>612025</v>
      </c>
      <c r="K3485" s="7" t="s">
        <v>4304</v>
      </c>
      <c r="L3485" s="8">
        <v>1213483</v>
      </c>
      <c r="M3485" s="8" t="str">
        <f t="shared" ref="M3485:M3548" si="282">"PEN"</f>
        <v>PEN</v>
      </c>
      <c r="N3485" s="13"/>
      <c r="O3485" s="13">
        <v>345</v>
      </c>
      <c r="P3485" s="3">
        <f t="shared" ref="P3485:P3548" si="283">+IF(OR($F3485="SALDO",$F3485="INGRESO"),$O3485,0)</f>
        <v>0</v>
      </c>
      <c r="Q3485" s="3">
        <f t="shared" ref="Q3485:Q3548" si="284">+IF($F3485="EGRESO",$O3485,0)</f>
        <v>345</v>
      </c>
      <c r="R3485" s="3">
        <f t="shared" si="280"/>
        <v>31315.449999999979</v>
      </c>
      <c r="S3485" s="24" t="s">
        <v>1334</v>
      </c>
      <c r="T3485" s="24" t="s">
        <v>1334</v>
      </c>
      <c r="U3485" s="55"/>
      <c r="V3485" s="25">
        <f>IFERROR(VLOOKUP(BCP_Soles[[#This Row],[destinatario]],CHOOSE({1,2},Clientes_Proveedores[Razon Social],Clientes_Proveedores[Ruc / Dni]),2,0),"")</f>
        <v>72169020</v>
      </c>
      <c r="W3485" s="25"/>
      <c r="X3485" s="25"/>
      <c r="Y3485" s="25"/>
      <c r="Z3485" s="77"/>
      <c r="AA3485" s="3" t="str">
        <f>IF(BCP_Soles[[#This Row],[fecha]]&gt;0,TEXT(BCP_Soles[[#This Row],[fecha]],"mmmm"),0)</f>
        <v>Agosto</v>
      </c>
    </row>
    <row r="3486" spans="1:27" x14ac:dyDescent="0.3">
      <c r="A3486" s="2">
        <f>IF(BCP_Soles[[#This Row],[tipo_registro]]="R",COUNTIFS($C$1:$C3485,"R")+1,A3485)</f>
        <v>2304</v>
      </c>
      <c r="B3486" s="19" t="str">
        <f t="shared" si="281"/>
        <v>B-BCP - Soles</v>
      </c>
      <c r="C3486" s="3" t="s">
        <v>1330</v>
      </c>
      <c r="D3486" s="14">
        <v>45895</v>
      </c>
      <c r="E3486" s="5" t="s">
        <v>1338</v>
      </c>
      <c r="F3486" s="5" t="s">
        <v>1336</v>
      </c>
      <c r="G3486" s="6" t="s">
        <v>425</v>
      </c>
      <c r="H3486" s="6"/>
      <c r="I3486" s="6"/>
      <c r="J3486" s="6"/>
      <c r="K3486" s="7" t="s">
        <v>4305</v>
      </c>
      <c r="L3486" s="8">
        <v>1213438</v>
      </c>
      <c r="M3486" s="8" t="str">
        <f t="shared" si="282"/>
        <v>PEN</v>
      </c>
      <c r="N3486" s="13"/>
      <c r="O3486" s="13">
        <v>6500</v>
      </c>
      <c r="P3486" s="3">
        <f t="shared" si="283"/>
        <v>0</v>
      </c>
      <c r="Q3486" s="3">
        <f t="shared" si="284"/>
        <v>6500</v>
      </c>
      <c r="R3486" s="3">
        <f t="shared" si="280"/>
        <v>24815.449999999979</v>
      </c>
      <c r="S3486" s="24" t="s">
        <v>1334</v>
      </c>
      <c r="T3486" s="24" t="s">
        <v>1334</v>
      </c>
      <c r="U3486" s="55"/>
      <c r="V3486" s="25">
        <f>IFERROR(VLOOKUP(BCP_Soles[[#This Row],[destinatario]],CHOOSE({1,2},Clientes_Proveedores[Razon Social],Clientes_Proveedores[Ruc / Dni]),2,0),"")</f>
        <v>20558226979</v>
      </c>
      <c r="W3486" s="25"/>
      <c r="X3486" s="25"/>
      <c r="Y3486" s="25"/>
      <c r="Z3486" s="77"/>
      <c r="AA3486" s="3" t="str">
        <f>IF(BCP_Soles[[#This Row],[fecha]]&gt;0,TEXT(BCP_Soles[[#This Row],[fecha]],"mmmm"),0)</f>
        <v>Agosto</v>
      </c>
    </row>
    <row r="3487" spans="1:27" x14ac:dyDescent="0.3">
      <c r="A3487" s="2">
        <f>IF(BCP_Soles[[#This Row],[tipo_registro]]="R",COUNTIFS($C$1:$C3486,"R")+1,A3486)</f>
        <v>2305</v>
      </c>
      <c r="B3487" s="19" t="str">
        <f t="shared" si="281"/>
        <v>B-BCP - Soles</v>
      </c>
      <c r="C3487" s="3" t="s">
        <v>1330</v>
      </c>
      <c r="D3487" s="14">
        <v>45895</v>
      </c>
      <c r="E3487" s="5" t="s">
        <v>1338</v>
      </c>
      <c r="F3487" s="5" t="s">
        <v>1336</v>
      </c>
      <c r="G3487" s="6" t="s">
        <v>695</v>
      </c>
      <c r="H3487" s="6"/>
      <c r="I3487" s="6"/>
      <c r="J3487" s="6"/>
      <c r="K3487" s="7" t="s">
        <v>3552</v>
      </c>
      <c r="L3487" s="8">
        <v>214454</v>
      </c>
      <c r="M3487" s="8" t="str">
        <f t="shared" si="282"/>
        <v>PEN</v>
      </c>
      <c r="N3487" s="13"/>
      <c r="O3487" s="13">
        <v>3024.7</v>
      </c>
      <c r="P3487" s="3">
        <f t="shared" si="283"/>
        <v>0</v>
      </c>
      <c r="Q3487" s="3">
        <f t="shared" si="284"/>
        <v>3024.7</v>
      </c>
      <c r="R3487" s="3">
        <f t="shared" si="280"/>
        <v>21790.749999999978</v>
      </c>
      <c r="S3487" s="24" t="s">
        <v>1334</v>
      </c>
      <c r="T3487" s="24" t="s">
        <v>1334</v>
      </c>
      <c r="U3487" s="56" t="s">
        <v>4306</v>
      </c>
      <c r="V3487" s="25">
        <f>IFERROR(VLOOKUP(BCP_Soles[[#This Row],[destinatario]],CHOOSE({1,2},Clientes_Proveedores[Razon Social],Clientes_Proveedores[Ruc / Dni]),2,0),"")</f>
        <v>20127765279</v>
      </c>
      <c r="W3487" s="25"/>
      <c r="X3487" s="25"/>
      <c r="Y3487" s="25"/>
      <c r="Z3487" s="77"/>
      <c r="AA3487" s="3" t="str">
        <f>IF(BCP_Soles[[#This Row],[fecha]]&gt;0,TEXT(BCP_Soles[[#This Row],[fecha]],"mmmm"),0)</f>
        <v>Agosto</v>
      </c>
    </row>
    <row r="3488" spans="1:27" x14ac:dyDescent="0.3">
      <c r="A3488" s="2">
        <f>IF(BCP_Soles[[#This Row],[tipo_registro]]="R",COUNTIFS($C$1:$C3487,"R")+1,A3487)</f>
        <v>2305</v>
      </c>
      <c r="B3488" s="19" t="str">
        <f t="shared" si="281"/>
        <v>B-BCP - Soles</v>
      </c>
      <c r="C3488" s="3" t="s">
        <v>1352</v>
      </c>
      <c r="D3488" s="14">
        <v>45895</v>
      </c>
      <c r="E3488" s="5" t="s">
        <v>1338</v>
      </c>
      <c r="F3488" s="5"/>
      <c r="G3488" s="6" t="s">
        <v>695</v>
      </c>
      <c r="H3488" s="6" t="s">
        <v>68</v>
      </c>
      <c r="I3488" s="6" t="s">
        <v>1377</v>
      </c>
      <c r="J3488" s="6">
        <v>179587</v>
      </c>
      <c r="K3488" s="7" t="s">
        <v>3552</v>
      </c>
      <c r="L3488" s="8">
        <v>214454</v>
      </c>
      <c r="M3488" s="8" t="str">
        <f t="shared" si="282"/>
        <v>PEN</v>
      </c>
      <c r="N3488" s="13">
        <v>1324.4</v>
      </c>
      <c r="O3488" s="13"/>
      <c r="P3488" s="3">
        <f t="shared" si="283"/>
        <v>0</v>
      </c>
      <c r="Q3488" s="3">
        <f t="shared" si="284"/>
        <v>0</v>
      </c>
      <c r="R3488" s="3">
        <f t="shared" si="280"/>
        <v>21790.749999999978</v>
      </c>
      <c r="S3488" s="24" t="s">
        <v>1334</v>
      </c>
      <c r="T3488" s="24" t="s">
        <v>1334</v>
      </c>
      <c r="U3488" s="56"/>
      <c r="V3488" s="25">
        <f>IFERROR(VLOOKUP(BCP_Soles[[#This Row],[destinatario]],CHOOSE({1,2},Clientes_Proveedores[Razon Social],Clientes_Proveedores[Ruc / Dni]),2,0),"")</f>
        <v>20127765279</v>
      </c>
      <c r="W3488" s="25"/>
      <c r="X3488" s="25"/>
      <c r="Y3488" s="25"/>
      <c r="Z3488" s="77"/>
      <c r="AA3488" s="3" t="str">
        <f>IF(BCP_Soles[[#This Row],[fecha]]&gt;0,TEXT(BCP_Soles[[#This Row],[fecha]],"mmmm"),0)</f>
        <v>Agosto</v>
      </c>
    </row>
    <row r="3489" spans="1:27" x14ac:dyDescent="0.3">
      <c r="A3489" s="2">
        <f>IF(BCP_Soles[[#This Row],[tipo_registro]]="R",COUNTIFS($C$1:$C3488,"R")+1,A3488)</f>
        <v>2305</v>
      </c>
      <c r="B3489" s="19" t="str">
        <f t="shared" si="281"/>
        <v>B-BCP - Soles</v>
      </c>
      <c r="C3489" s="3" t="s">
        <v>1352</v>
      </c>
      <c r="D3489" s="14">
        <v>45895</v>
      </c>
      <c r="E3489" s="5" t="s">
        <v>1338</v>
      </c>
      <c r="F3489" s="5"/>
      <c r="G3489" s="6" t="s">
        <v>695</v>
      </c>
      <c r="H3489" s="6" t="s">
        <v>68</v>
      </c>
      <c r="I3489" s="6" t="s">
        <v>1513</v>
      </c>
      <c r="J3489" s="6">
        <v>178706</v>
      </c>
      <c r="K3489" s="7" t="s">
        <v>3552</v>
      </c>
      <c r="L3489" s="8">
        <v>214454</v>
      </c>
      <c r="M3489" s="8" t="str">
        <f t="shared" si="282"/>
        <v>PEN</v>
      </c>
      <c r="N3489" s="13">
        <v>1700.3</v>
      </c>
      <c r="O3489" s="13"/>
      <c r="P3489" s="3">
        <f t="shared" si="283"/>
        <v>0</v>
      </c>
      <c r="Q3489" s="3">
        <f t="shared" si="284"/>
        <v>0</v>
      </c>
      <c r="R3489" s="3">
        <f t="shared" si="280"/>
        <v>21790.749999999978</v>
      </c>
      <c r="S3489" s="24" t="s">
        <v>1334</v>
      </c>
      <c r="T3489" s="24" t="s">
        <v>1334</v>
      </c>
      <c r="U3489" s="56"/>
      <c r="V3489" s="25">
        <f>IFERROR(VLOOKUP(BCP_Soles[[#This Row],[destinatario]],CHOOSE({1,2},Clientes_Proveedores[Razon Social],Clientes_Proveedores[Ruc / Dni]),2,0),"")</f>
        <v>20127765279</v>
      </c>
      <c r="W3489" s="25"/>
      <c r="X3489" s="25"/>
      <c r="Y3489" s="25"/>
      <c r="Z3489" s="77"/>
      <c r="AA3489" s="3" t="str">
        <f>IF(BCP_Soles[[#This Row],[fecha]]&gt;0,TEXT(BCP_Soles[[#This Row],[fecha]],"mmmm"),0)</f>
        <v>Agosto</v>
      </c>
    </row>
    <row r="3490" spans="1:27" ht="24" x14ac:dyDescent="0.3">
      <c r="A3490" s="2">
        <f>IF(BCP_Soles[[#This Row],[tipo_registro]]="R",COUNTIFS($C$1:$C3489,"R")+1,A3489)</f>
        <v>2306</v>
      </c>
      <c r="B3490" s="19" t="str">
        <f t="shared" si="281"/>
        <v>B-BCP - Soles</v>
      </c>
      <c r="C3490" s="3" t="s">
        <v>1330</v>
      </c>
      <c r="D3490" s="14">
        <v>45895</v>
      </c>
      <c r="E3490" s="5" t="s">
        <v>1335</v>
      </c>
      <c r="F3490" s="5" t="s">
        <v>1336</v>
      </c>
      <c r="G3490" s="6" t="s">
        <v>1060</v>
      </c>
      <c r="H3490" s="6" t="s">
        <v>68</v>
      </c>
      <c r="I3490" s="6" t="s">
        <v>1397</v>
      </c>
      <c r="J3490" s="6">
        <v>36292322</v>
      </c>
      <c r="K3490" s="7" t="s">
        <v>4307</v>
      </c>
      <c r="L3490" s="8">
        <v>6597730</v>
      </c>
      <c r="M3490" s="8" t="str">
        <f t="shared" si="282"/>
        <v>PEN</v>
      </c>
      <c r="N3490" s="13"/>
      <c r="O3490" s="13">
        <v>10</v>
      </c>
      <c r="P3490" s="3">
        <f t="shared" si="283"/>
        <v>0</v>
      </c>
      <c r="Q3490" s="3">
        <f t="shared" si="284"/>
        <v>10</v>
      </c>
      <c r="R3490" s="3">
        <f t="shared" si="280"/>
        <v>21780.749999999978</v>
      </c>
      <c r="S3490" s="24" t="s">
        <v>1334</v>
      </c>
      <c r="T3490" s="24" t="s">
        <v>1334</v>
      </c>
      <c r="U3490" s="55"/>
      <c r="V3490" s="25">
        <f>IFERROR(VLOOKUP(BCP_Soles[[#This Row],[destinatario]],CHOOSE({1,2},Clientes_Proveedores[Razon Social],Clientes_Proveedores[Ruc / Dni]),2,0),"")</f>
        <v>20100047218</v>
      </c>
      <c r="W3490" s="25"/>
      <c r="X3490" s="25"/>
      <c r="Y3490" s="25"/>
      <c r="Z3490" s="77"/>
      <c r="AA3490" s="3" t="str">
        <f>IF(BCP_Soles[[#This Row],[fecha]]&gt;0,TEXT(BCP_Soles[[#This Row],[fecha]],"mmmm"),0)</f>
        <v>Agosto</v>
      </c>
    </row>
    <row r="3491" spans="1:27" x14ac:dyDescent="0.3">
      <c r="A3491" s="2">
        <f>IF(BCP_Soles[[#This Row],[tipo_registro]]="R",COUNTIFS($C$1:$C3490,"R")+1,A3490)</f>
        <v>2307</v>
      </c>
      <c r="B3491" s="19" t="str">
        <f t="shared" si="281"/>
        <v>B-BCP - Soles</v>
      </c>
      <c r="C3491" s="3" t="s">
        <v>1330</v>
      </c>
      <c r="D3491" s="14">
        <v>45895</v>
      </c>
      <c r="E3491" s="5" t="s">
        <v>1335</v>
      </c>
      <c r="F3491" s="5" t="s">
        <v>1336</v>
      </c>
      <c r="G3491" s="6" t="s">
        <v>1009</v>
      </c>
      <c r="H3491" s="6" t="s">
        <v>64</v>
      </c>
      <c r="I3491" s="6" t="s">
        <v>3673</v>
      </c>
      <c r="J3491" s="6">
        <v>2309</v>
      </c>
      <c r="K3491" s="7" t="s">
        <v>3160</v>
      </c>
      <c r="L3491" s="8"/>
      <c r="M3491" s="8" t="str">
        <f t="shared" si="282"/>
        <v>PEN</v>
      </c>
      <c r="N3491" s="13"/>
      <c r="O3491" s="13">
        <v>2.15</v>
      </c>
      <c r="P3491" s="3">
        <f t="shared" si="283"/>
        <v>0</v>
      </c>
      <c r="Q3491" s="3">
        <f t="shared" si="284"/>
        <v>2.15</v>
      </c>
      <c r="R3491" s="3">
        <f t="shared" si="280"/>
        <v>21778.599999999977</v>
      </c>
      <c r="S3491" s="28" t="s">
        <v>1334</v>
      </c>
      <c r="T3491" s="28" t="s">
        <v>1334</v>
      </c>
      <c r="U3491" s="55"/>
      <c r="V3491" s="25">
        <f>IFERROR(VLOOKUP(BCP_Soles[[#This Row],[destinatario]],CHOOSE({1,2},Clientes_Proveedores[Razon Social],Clientes_Proveedores[Ruc / Dni]),2,0),"")</f>
        <v>11111111</v>
      </c>
      <c r="W3491" s="25"/>
      <c r="X3491" s="25"/>
      <c r="Y3491" s="25"/>
      <c r="Z3491" s="77"/>
      <c r="AA3491" s="3" t="str">
        <f>IF(BCP_Soles[[#This Row],[fecha]]&gt;0,TEXT(BCP_Soles[[#This Row],[fecha]],"mmmm"),0)</f>
        <v>Agosto</v>
      </c>
    </row>
    <row r="3492" spans="1:27" ht="36" x14ac:dyDescent="0.3">
      <c r="A3492" s="2">
        <f>IF(BCP_Soles[[#This Row],[tipo_registro]]="R",COUNTIFS($C$1:$C3491,"R")+1,A3491)</f>
        <v>2308</v>
      </c>
      <c r="B3492" s="19" t="str">
        <f t="shared" si="281"/>
        <v>B-BCP - Soles</v>
      </c>
      <c r="C3492" s="3" t="s">
        <v>1330</v>
      </c>
      <c r="D3492" s="14">
        <v>45896</v>
      </c>
      <c r="E3492" s="5" t="s">
        <v>1628</v>
      </c>
      <c r="F3492" s="5" t="s">
        <v>1303</v>
      </c>
      <c r="G3492" s="6" t="s">
        <v>425</v>
      </c>
      <c r="H3492" s="6" t="s">
        <v>119</v>
      </c>
      <c r="I3492" s="6">
        <v>2</v>
      </c>
      <c r="J3492" s="6">
        <v>825</v>
      </c>
      <c r="K3492" s="7" t="s">
        <v>1356</v>
      </c>
      <c r="L3492" s="8">
        <v>1000006</v>
      </c>
      <c r="M3492" s="8" t="str">
        <f t="shared" si="282"/>
        <v>PEN</v>
      </c>
      <c r="N3492" s="13"/>
      <c r="O3492" s="13">
        <v>268</v>
      </c>
      <c r="P3492" s="3">
        <f t="shared" si="283"/>
        <v>268</v>
      </c>
      <c r="Q3492" s="3">
        <f t="shared" si="284"/>
        <v>0</v>
      </c>
      <c r="R3492" s="3">
        <f t="shared" si="280"/>
        <v>22046.599999999977</v>
      </c>
      <c r="S3492" s="24" t="s">
        <v>1334</v>
      </c>
      <c r="T3492" s="24" t="s">
        <v>1334</v>
      </c>
      <c r="U3492" s="55"/>
      <c r="V3492" s="25">
        <f>IFERROR(VLOOKUP(BCP_Soles[[#This Row],[destinatario]],CHOOSE({1,2},Clientes_Proveedores[Razon Social],Clientes_Proveedores[Ruc / Dni]),2,0),"")</f>
        <v>20558226979</v>
      </c>
      <c r="W3492" s="25"/>
      <c r="X3492" s="25"/>
      <c r="Y3492" s="25"/>
      <c r="Z3492" s="77"/>
      <c r="AA3492" s="3" t="str">
        <f>IF(BCP_Soles[[#This Row],[fecha]]&gt;0,TEXT(BCP_Soles[[#This Row],[fecha]],"mmmm"),0)</f>
        <v>Agosto</v>
      </c>
    </row>
    <row r="3493" spans="1:27" x14ac:dyDescent="0.3">
      <c r="A3493" s="2">
        <f>IF(BCP_Soles[[#This Row],[tipo_registro]]="R",COUNTIFS($C$1:$C3492,"R")+1,A3492)</f>
        <v>2309</v>
      </c>
      <c r="B3493" s="19" t="str">
        <f t="shared" si="281"/>
        <v>B-BCP - Soles</v>
      </c>
      <c r="C3493" s="3" t="s">
        <v>1330</v>
      </c>
      <c r="D3493" s="14">
        <v>45896</v>
      </c>
      <c r="E3493" s="5"/>
      <c r="F3493" s="5" t="s">
        <v>1303</v>
      </c>
      <c r="G3493" s="6" t="s">
        <v>425</v>
      </c>
      <c r="H3493" s="6"/>
      <c r="I3493" s="6"/>
      <c r="J3493" s="6"/>
      <c r="K3493" s="7" t="s">
        <v>4308</v>
      </c>
      <c r="L3493" s="8">
        <v>6008817</v>
      </c>
      <c r="M3493" s="8" t="str">
        <f t="shared" si="282"/>
        <v>PEN</v>
      </c>
      <c r="N3493" s="13"/>
      <c r="O3493" s="13">
        <v>2752.33</v>
      </c>
      <c r="P3493" s="3">
        <f t="shared" si="283"/>
        <v>2752.33</v>
      </c>
      <c r="Q3493" s="3">
        <f t="shared" si="284"/>
        <v>0</v>
      </c>
      <c r="R3493" s="3">
        <f t="shared" si="280"/>
        <v>24798.929999999978</v>
      </c>
      <c r="S3493" s="24" t="s">
        <v>1334</v>
      </c>
      <c r="T3493" s="24" t="s">
        <v>1334</v>
      </c>
      <c r="U3493" s="55"/>
      <c r="V3493" s="25">
        <f>IFERROR(VLOOKUP(BCP_Soles[[#This Row],[destinatario]],CHOOSE({1,2},Clientes_Proveedores[Razon Social],Clientes_Proveedores[Ruc / Dni]),2,0),"")</f>
        <v>20558226979</v>
      </c>
      <c r="W3493" s="25"/>
      <c r="X3493" s="25"/>
      <c r="Y3493" s="25"/>
      <c r="Z3493" s="77"/>
      <c r="AA3493" s="3" t="str">
        <f>IF(BCP_Soles[[#This Row],[fecha]]&gt;0,TEXT(BCP_Soles[[#This Row],[fecha]],"mmmm"),0)</f>
        <v>Agosto</v>
      </c>
    </row>
    <row r="3494" spans="1:27" ht="48" x14ac:dyDescent="0.3">
      <c r="A3494" s="2">
        <f>IF(BCP_Soles[[#This Row],[tipo_registro]]="R",COUNTIFS($C$1:$C3493,"R")+1,A3493)</f>
        <v>2309</v>
      </c>
      <c r="B3494" s="19" t="str">
        <f t="shared" si="281"/>
        <v>B-BCP - Soles</v>
      </c>
      <c r="C3494" s="3" t="s">
        <v>1352</v>
      </c>
      <c r="D3494" s="14">
        <v>45896</v>
      </c>
      <c r="E3494" s="5" t="s">
        <v>505</v>
      </c>
      <c r="F3494" s="5"/>
      <c r="G3494" s="6"/>
      <c r="H3494" s="6" t="s">
        <v>68</v>
      </c>
      <c r="I3494" s="6" t="s">
        <v>3381</v>
      </c>
      <c r="J3494" s="6">
        <v>57</v>
      </c>
      <c r="K3494" s="7" t="s">
        <v>4308</v>
      </c>
      <c r="L3494" s="8">
        <v>6008817</v>
      </c>
      <c r="M3494" s="8" t="str">
        <f t="shared" si="282"/>
        <v>PEN</v>
      </c>
      <c r="N3494" s="13">
        <v>745.15</v>
      </c>
      <c r="O3494" s="13"/>
      <c r="P3494" s="3">
        <f t="shared" si="283"/>
        <v>0</v>
      </c>
      <c r="Q3494" s="3">
        <f t="shared" si="284"/>
        <v>0</v>
      </c>
      <c r="R3494" s="3">
        <f t="shared" si="280"/>
        <v>24798.929999999978</v>
      </c>
      <c r="S3494" s="24" t="s">
        <v>1334</v>
      </c>
      <c r="T3494" s="24" t="s">
        <v>1334</v>
      </c>
      <c r="U3494" s="55"/>
      <c r="V3494" s="25" t="str">
        <f>IFERROR(VLOOKUP(BCP_Soles[[#This Row],[destinatario]],CHOOSE({1,2},Clientes_Proveedores[Razon Social],Clientes_Proveedores[Ruc / Dni]),2,0),"")</f>
        <v/>
      </c>
      <c r="W3494" s="25"/>
      <c r="X3494" s="25"/>
      <c r="Y3494" s="25"/>
      <c r="Z3494" s="77"/>
      <c r="AA3494" s="3" t="str">
        <f>IF(BCP_Soles[[#This Row],[fecha]]&gt;0,TEXT(BCP_Soles[[#This Row],[fecha]],"mmmm"),0)</f>
        <v>Agosto</v>
      </c>
    </row>
    <row r="3495" spans="1:27" ht="48" x14ac:dyDescent="0.3">
      <c r="A3495" s="2">
        <f>IF(BCP_Soles[[#This Row],[tipo_registro]]="R",COUNTIFS($C$1:$C3494,"R")+1,A3494)</f>
        <v>2309</v>
      </c>
      <c r="B3495" s="19" t="str">
        <f t="shared" si="281"/>
        <v>B-BCP - Soles</v>
      </c>
      <c r="C3495" s="3" t="s">
        <v>1352</v>
      </c>
      <c r="D3495" s="14">
        <v>45896</v>
      </c>
      <c r="E3495" s="5" t="s">
        <v>505</v>
      </c>
      <c r="F3495" s="5"/>
      <c r="G3495" s="6"/>
      <c r="H3495" s="6" t="s">
        <v>68</v>
      </c>
      <c r="I3495" s="6" t="s">
        <v>3381</v>
      </c>
      <c r="J3495" s="6">
        <v>59</v>
      </c>
      <c r="K3495" s="7" t="s">
        <v>4308</v>
      </c>
      <c r="L3495" s="8">
        <v>6008817</v>
      </c>
      <c r="M3495" s="8" t="str">
        <f t="shared" si="282"/>
        <v>PEN</v>
      </c>
      <c r="N3495" s="13">
        <v>2007.18</v>
      </c>
      <c r="O3495" s="13"/>
      <c r="P3495" s="3">
        <f t="shared" si="283"/>
        <v>0</v>
      </c>
      <c r="Q3495" s="3">
        <f t="shared" si="284"/>
        <v>0</v>
      </c>
      <c r="R3495" s="3">
        <f t="shared" si="280"/>
        <v>24798.929999999978</v>
      </c>
      <c r="S3495" s="24" t="s">
        <v>1334</v>
      </c>
      <c r="T3495" s="24" t="s">
        <v>1334</v>
      </c>
      <c r="U3495" s="55"/>
      <c r="V3495" s="25" t="str">
        <f>IFERROR(VLOOKUP(BCP_Soles[[#This Row],[destinatario]],CHOOSE({1,2},Clientes_Proveedores[Razon Social],Clientes_Proveedores[Ruc / Dni]),2,0),"")</f>
        <v/>
      </c>
      <c r="W3495" s="25"/>
      <c r="X3495" s="25"/>
      <c r="Y3495" s="25"/>
      <c r="Z3495" s="77"/>
      <c r="AA3495" s="3" t="str">
        <f>IF(BCP_Soles[[#This Row],[fecha]]&gt;0,TEXT(BCP_Soles[[#This Row],[fecha]],"mmmm"),0)</f>
        <v>Agosto</v>
      </c>
    </row>
    <row r="3496" spans="1:27" ht="24" x14ac:dyDescent="0.3">
      <c r="A3496" s="2">
        <f>IF(BCP_Soles[[#This Row],[tipo_registro]]="R",COUNTIFS($C$1:$C3495,"R")+1,A3495)</f>
        <v>2310</v>
      </c>
      <c r="B3496" s="19" t="str">
        <f t="shared" si="281"/>
        <v>B-BCP - Soles</v>
      </c>
      <c r="C3496" s="3" t="s">
        <v>1330</v>
      </c>
      <c r="D3496" s="14">
        <v>45896</v>
      </c>
      <c r="E3496" s="5" t="s">
        <v>2009</v>
      </c>
      <c r="F3496" s="5" t="s">
        <v>1303</v>
      </c>
      <c r="G3496" s="6" t="s">
        <v>425</v>
      </c>
      <c r="H3496" s="6" t="s">
        <v>119</v>
      </c>
      <c r="I3496" s="6">
        <v>1</v>
      </c>
      <c r="J3496" s="6">
        <v>4708</v>
      </c>
      <c r="K3496" s="7" t="s">
        <v>1356</v>
      </c>
      <c r="L3496" s="8">
        <v>2619706</v>
      </c>
      <c r="M3496" s="8" t="str">
        <f t="shared" si="282"/>
        <v>PEN</v>
      </c>
      <c r="N3496" s="13"/>
      <c r="O3496" s="13">
        <v>438</v>
      </c>
      <c r="P3496" s="3">
        <f t="shared" si="283"/>
        <v>438</v>
      </c>
      <c r="Q3496" s="3">
        <f t="shared" si="284"/>
        <v>0</v>
      </c>
      <c r="R3496" s="3">
        <f t="shared" si="280"/>
        <v>25236.929999999978</v>
      </c>
      <c r="S3496" s="24" t="s">
        <v>1334</v>
      </c>
      <c r="T3496" s="24" t="s">
        <v>1334</v>
      </c>
      <c r="U3496" s="55"/>
      <c r="V3496" s="25">
        <f>IFERROR(VLOOKUP(BCP_Soles[[#This Row],[destinatario]],CHOOSE({1,2},Clientes_Proveedores[Razon Social],Clientes_Proveedores[Ruc / Dni]),2,0),"")</f>
        <v>20558226979</v>
      </c>
      <c r="W3496" s="25"/>
      <c r="X3496" s="25"/>
      <c r="Y3496" s="25"/>
      <c r="Z3496" s="77"/>
      <c r="AA3496" s="3" t="str">
        <f>IF(BCP_Soles[[#This Row],[fecha]]&gt;0,TEXT(BCP_Soles[[#This Row],[fecha]],"mmmm"),0)</f>
        <v>Agosto</v>
      </c>
    </row>
    <row r="3497" spans="1:27" ht="24" x14ac:dyDescent="0.3">
      <c r="A3497" s="2">
        <f>IF(BCP_Soles[[#This Row],[tipo_registro]]="R",COUNTIFS($C$1:$C3496,"R")+1,A3496)</f>
        <v>2311</v>
      </c>
      <c r="B3497" s="19" t="str">
        <f t="shared" si="281"/>
        <v>B-BCP - Soles</v>
      </c>
      <c r="C3497" s="3" t="s">
        <v>1330</v>
      </c>
      <c r="D3497" s="14">
        <v>45896</v>
      </c>
      <c r="E3497" s="5" t="s">
        <v>2009</v>
      </c>
      <c r="F3497" s="5" t="s">
        <v>1303</v>
      </c>
      <c r="G3497" s="6" t="s">
        <v>425</v>
      </c>
      <c r="H3497" s="6" t="s">
        <v>119</v>
      </c>
      <c r="I3497" s="6">
        <v>1</v>
      </c>
      <c r="J3497" s="6">
        <v>4707</v>
      </c>
      <c r="K3497" s="7" t="s">
        <v>1356</v>
      </c>
      <c r="L3497" s="8">
        <v>2610919</v>
      </c>
      <c r="M3497" s="8" t="str">
        <f t="shared" si="282"/>
        <v>PEN</v>
      </c>
      <c r="N3497" s="13"/>
      <c r="O3497" s="13">
        <v>560</v>
      </c>
      <c r="P3497" s="3">
        <f t="shared" si="283"/>
        <v>560</v>
      </c>
      <c r="Q3497" s="3">
        <f t="shared" si="284"/>
        <v>0</v>
      </c>
      <c r="R3497" s="3">
        <f t="shared" si="280"/>
        <v>25796.929999999978</v>
      </c>
      <c r="S3497" s="24" t="s">
        <v>1334</v>
      </c>
      <c r="T3497" s="24" t="s">
        <v>1334</v>
      </c>
      <c r="U3497" s="55"/>
      <c r="V3497" s="25">
        <f>IFERROR(VLOOKUP(BCP_Soles[[#This Row],[destinatario]],CHOOSE({1,2},Clientes_Proveedores[Razon Social],Clientes_Proveedores[Ruc / Dni]),2,0),"")</f>
        <v>20558226979</v>
      </c>
      <c r="W3497" s="25"/>
      <c r="X3497" s="25"/>
      <c r="Y3497" s="25"/>
      <c r="Z3497" s="77"/>
      <c r="AA3497" s="3" t="str">
        <f>IF(BCP_Soles[[#This Row],[fecha]]&gt;0,TEXT(BCP_Soles[[#This Row],[fecha]],"mmmm"),0)</f>
        <v>Agosto</v>
      </c>
    </row>
    <row r="3498" spans="1:27" ht="24" x14ac:dyDescent="0.3">
      <c r="A3498" s="2">
        <f>IF(BCP_Soles[[#This Row],[tipo_registro]]="R",COUNTIFS($C$1:$C3497,"R")+1,A3497)</f>
        <v>2312</v>
      </c>
      <c r="B3498" s="19" t="str">
        <f t="shared" si="281"/>
        <v>B-BCP - Soles</v>
      </c>
      <c r="C3498" s="3" t="s">
        <v>1330</v>
      </c>
      <c r="D3498" s="14">
        <v>45896</v>
      </c>
      <c r="E3498" s="5" t="s">
        <v>462</v>
      </c>
      <c r="F3498" s="5" t="s">
        <v>1303</v>
      </c>
      <c r="G3498" s="6" t="s">
        <v>425</v>
      </c>
      <c r="H3498" s="6" t="s">
        <v>68</v>
      </c>
      <c r="I3498" s="6" t="s">
        <v>3381</v>
      </c>
      <c r="J3498" s="6">
        <v>60</v>
      </c>
      <c r="K3498" s="7" t="s">
        <v>1356</v>
      </c>
      <c r="L3498" s="8">
        <v>2033827</v>
      </c>
      <c r="M3498" s="8" t="str">
        <f t="shared" si="282"/>
        <v>PEN</v>
      </c>
      <c r="N3498" s="13"/>
      <c r="O3498" s="13">
        <v>989.49</v>
      </c>
      <c r="P3498" s="3">
        <f t="shared" si="283"/>
        <v>989.49</v>
      </c>
      <c r="Q3498" s="3">
        <f t="shared" si="284"/>
        <v>0</v>
      </c>
      <c r="R3498" s="3">
        <f t="shared" si="280"/>
        <v>26786.41999999998</v>
      </c>
      <c r="S3498" s="24" t="s">
        <v>1334</v>
      </c>
      <c r="T3498" s="24" t="s">
        <v>1334</v>
      </c>
      <c r="U3498" s="55"/>
      <c r="V3498" s="25">
        <f>IFERROR(VLOOKUP(BCP_Soles[[#This Row],[destinatario]],CHOOSE({1,2},Clientes_Proveedores[Razon Social],Clientes_Proveedores[Ruc / Dni]),2,0),"")</f>
        <v>20558226979</v>
      </c>
      <c r="W3498" s="25"/>
      <c r="X3498" s="25"/>
      <c r="Y3498" s="25"/>
      <c r="Z3498" s="77"/>
      <c r="AA3498" s="3" t="str">
        <f>IF(BCP_Soles[[#This Row],[fecha]]&gt;0,TEXT(BCP_Soles[[#This Row],[fecha]],"mmmm"),0)</f>
        <v>Agosto</v>
      </c>
    </row>
    <row r="3499" spans="1:27" ht="24" x14ac:dyDescent="0.3">
      <c r="A3499" s="2">
        <f>IF(BCP_Soles[[#This Row],[tipo_registro]]="R",COUNTIFS($C$1:$C3498,"R")+1,A3498)</f>
        <v>2313</v>
      </c>
      <c r="B3499" s="19" t="str">
        <f t="shared" si="281"/>
        <v>B-BCP - Soles</v>
      </c>
      <c r="C3499" s="3" t="s">
        <v>1330</v>
      </c>
      <c r="D3499" s="14">
        <v>45896</v>
      </c>
      <c r="E3499" s="5" t="s">
        <v>4309</v>
      </c>
      <c r="F3499" s="5" t="s">
        <v>1303</v>
      </c>
      <c r="G3499" s="6" t="s">
        <v>425</v>
      </c>
      <c r="H3499" s="6" t="s">
        <v>119</v>
      </c>
      <c r="I3499" s="6">
        <v>1</v>
      </c>
      <c r="J3499" s="6">
        <v>4710</v>
      </c>
      <c r="K3499" s="7" t="s">
        <v>1356</v>
      </c>
      <c r="L3499" s="8">
        <v>3127851</v>
      </c>
      <c r="M3499" s="8" t="str">
        <f t="shared" si="282"/>
        <v>PEN</v>
      </c>
      <c r="N3499" s="13"/>
      <c r="O3499" s="13">
        <v>680</v>
      </c>
      <c r="P3499" s="3">
        <f t="shared" si="283"/>
        <v>680</v>
      </c>
      <c r="Q3499" s="3">
        <f t="shared" si="284"/>
        <v>0</v>
      </c>
      <c r="R3499" s="3">
        <f t="shared" si="280"/>
        <v>27466.41999999998</v>
      </c>
      <c r="S3499" s="24" t="s">
        <v>1334</v>
      </c>
      <c r="T3499" s="24" t="s">
        <v>1334</v>
      </c>
      <c r="U3499" s="55"/>
      <c r="V3499" s="25">
        <f>IFERROR(VLOOKUP(BCP_Soles[[#This Row],[destinatario]],CHOOSE({1,2},Clientes_Proveedores[Razon Social],Clientes_Proveedores[Ruc / Dni]),2,0),"")</f>
        <v>20558226979</v>
      </c>
      <c r="W3499" s="25"/>
      <c r="X3499" s="25"/>
      <c r="Y3499" s="25"/>
      <c r="Z3499" s="77"/>
      <c r="AA3499" s="3" t="str">
        <f>IF(BCP_Soles[[#This Row],[fecha]]&gt;0,TEXT(BCP_Soles[[#This Row],[fecha]],"mmmm"),0)</f>
        <v>Agosto</v>
      </c>
    </row>
    <row r="3500" spans="1:27" x14ac:dyDescent="0.3">
      <c r="A3500" s="2">
        <f>IF(BCP_Soles[[#This Row],[tipo_registro]]="R",COUNTIFS($C$1:$C3499,"R")+1,A3499)</f>
        <v>2314</v>
      </c>
      <c r="B3500" s="19" t="str">
        <f t="shared" si="281"/>
        <v>B-BCP - Soles</v>
      </c>
      <c r="C3500" s="3" t="s">
        <v>1330</v>
      </c>
      <c r="D3500" s="14">
        <v>45896</v>
      </c>
      <c r="E3500" s="5" t="s">
        <v>4025</v>
      </c>
      <c r="F3500" s="5" t="s">
        <v>1303</v>
      </c>
      <c r="G3500" s="6" t="s">
        <v>425</v>
      </c>
      <c r="H3500" s="6"/>
      <c r="I3500" s="6"/>
      <c r="J3500" s="6"/>
      <c r="K3500" s="7" t="s">
        <v>4310</v>
      </c>
      <c r="L3500" s="8">
        <v>2243184</v>
      </c>
      <c r="M3500" s="8" t="str">
        <f t="shared" si="282"/>
        <v>PEN</v>
      </c>
      <c r="N3500" s="13"/>
      <c r="O3500" s="13">
        <v>260.02</v>
      </c>
      <c r="P3500" s="3">
        <f t="shared" si="283"/>
        <v>260.02</v>
      </c>
      <c r="Q3500" s="3">
        <f t="shared" si="284"/>
        <v>0</v>
      </c>
      <c r="R3500" s="3">
        <f t="shared" si="280"/>
        <v>27726.439999999981</v>
      </c>
      <c r="S3500" s="24"/>
      <c r="T3500" s="24"/>
      <c r="U3500" s="55"/>
      <c r="V3500" s="25">
        <f>IFERROR(VLOOKUP(BCP_Soles[[#This Row],[destinatario]],CHOOSE({1,2},Clientes_Proveedores[Razon Social],Clientes_Proveedores[Ruc / Dni]),2,0),"")</f>
        <v>20558226979</v>
      </c>
      <c r="W3500" s="25"/>
      <c r="X3500" s="25"/>
      <c r="Y3500" s="25"/>
      <c r="Z3500" s="77"/>
      <c r="AA3500" s="3" t="str">
        <f>IF(BCP_Soles[[#This Row],[fecha]]&gt;0,TEXT(BCP_Soles[[#This Row],[fecha]],"mmmm"),0)</f>
        <v>Agosto</v>
      </c>
    </row>
    <row r="3501" spans="1:27" ht="48" x14ac:dyDescent="0.3">
      <c r="A3501" s="2">
        <f>IF(BCP_Soles[[#This Row],[tipo_registro]]="R",COUNTIFS($C$1:$C3500,"R")+1,A3500)</f>
        <v>2315</v>
      </c>
      <c r="B3501" s="19" t="str">
        <f t="shared" si="281"/>
        <v>B-BCP - Soles</v>
      </c>
      <c r="C3501" s="3" t="s">
        <v>1330</v>
      </c>
      <c r="D3501" s="14">
        <v>45896</v>
      </c>
      <c r="E3501" s="5" t="s">
        <v>1338</v>
      </c>
      <c r="F3501" s="5" t="s">
        <v>1336</v>
      </c>
      <c r="G3501" s="6" t="s">
        <v>501</v>
      </c>
      <c r="H3501" s="6" t="s">
        <v>68</v>
      </c>
      <c r="I3501" s="6" t="s">
        <v>1650</v>
      </c>
      <c r="J3501" s="6">
        <v>8871</v>
      </c>
      <c r="K3501" s="7" t="s">
        <v>4311</v>
      </c>
      <c r="L3501" s="8">
        <v>1011286</v>
      </c>
      <c r="M3501" s="8" t="str">
        <f t="shared" si="282"/>
        <v>PEN</v>
      </c>
      <c r="N3501" s="13"/>
      <c r="O3501" s="13">
        <v>200.01</v>
      </c>
      <c r="P3501" s="3">
        <f t="shared" si="283"/>
        <v>0</v>
      </c>
      <c r="Q3501" s="3">
        <f t="shared" si="284"/>
        <v>200.01</v>
      </c>
      <c r="R3501" s="3">
        <f t="shared" si="280"/>
        <v>27526.429999999982</v>
      </c>
      <c r="S3501" s="24" t="s">
        <v>1334</v>
      </c>
      <c r="T3501" s="24" t="s">
        <v>1334</v>
      </c>
      <c r="U3501" s="56" t="s">
        <v>4312</v>
      </c>
      <c r="V3501" s="25">
        <f>IFERROR(VLOOKUP(BCP_Soles[[#This Row],[destinatario]],CHOOSE({1,2},Clientes_Proveedores[Razon Social],Clientes_Proveedores[Ruc / Dni]),2,0),"")</f>
        <v>20602978274</v>
      </c>
      <c r="W3501" s="25"/>
      <c r="X3501" s="25"/>
      <c r="Y3501" s="25"/>
      <c r="Z3501" s="77"/>
      <c r="AA3501" s="3" t="str">
        <f>IF(BCP_Soles[[#This Row],[fecha]]&gt;0,TEXT(BCP_Soles[[#This Row],[fecha]],"mmmm"),0)</f>
        <v>Agosto</v>
      </c>
    </row>
    <row r="3502" spans="1:27" ht="48" x14ac:dyDescent="0.3">
      <c r="A3502" s="2">
        <f>IF(BCP_Soles[[#This Row],[tipo_registro]]="R",COUNTIFS($C$1:$C3501,"R")+1,A3501)</f>
        <v>2316</v>
      </c>
      <c r="B3502" s="19" t="str">
        <f t="shared" si="281"/>
        <v>B-BCP - Soles</v>
      </c>
      <c r="C3502" s="3" t="s">
        <v>1330</v>
      </c>
      <c r="D3502" s="14">
        <v>45896</v>
      </c>
      <c r="E3502" s="5" t="s">
        <v>1338</v>
      </c>
      <c r="F3502" s="5" t="s">
        <v>1336</v>
      </c>
      <c r="G3502" s="6" t="s">
        <v>501</v>
      </c>
      <c r="H3502" s="6" t="s">
        <v>68</v>
      </c>
      <c r="I3502" s="6" t="s">
        <v>1526</v>
      </c>
      <c r="J3502" s="6">
        <v>11406</v>
      </c>
      <c r="K3502" s="7" t="s">
        <v>4313</v>
      </c>
      <c r="L3502" s="8">
        <v>1009289</v>
      </c>
      <c r="M3502" s="8" t="str">
        <f t="shared" si="282"/>
        <v>PEN</v>
      </c>
      <c r="N3502" s="13"/>
      <c r="O3502" s="13">
        <v>259.01</v>
      </c>
      <c r="P3502" s="3">
        <f t="shared" si="283"/>
        <v>0</v>
      </c>
      <c r="Q3502" s="3">
        <f t="shared" si="284"/>
        <v>259.01</v>
      </c>
      <c r="R3502" s="3">
        <f t="shared" si="280"/>
        <v>27267.419999999984</v>
      </c>
      <c r="S3502" s="24" t="s">
        <v>1334</v>
      </c>
      <c r="T3502" s="24" t="s">
        <v>1334</v>
      </c>
      <c r="U3502" s="56" t="s">
        <v>4314</v>
      </c>
      <c r="V3502" s="25">
        <f>IFERROR(VLOOKUP(BCP_Soles[[#This Row],[destinatario]],CHOOSE({1,2},Clientes_Proveedores[Razon Social],Clientes_Proveedores[Ruc / Dni]),2,0),"")</f>
        <v>20602978274</v>
      </c>
      <c r="W3502" s="25"/>
      <c r="X3502" s="25"/>
      <c r="Y3502" s="25"/>
      <c r="Z3502" s="77"/>
      <c r="AA3502" s="3" t="str">
        <f>IF(BCP_Soles[[#This Row],[fecha]]&gt;0,TEXT(BCP_Soles[[#This Row],[fecha]],"mmmm"),0)</f>
        <v>Agosto</v>
      </c>
    </row>
    <row r="3503" spans="1:27" ht="24" x14ac:dyDescent="0.3">
      <c r="A3503" s="2">
        <f>IF(BCP_Soles[[#This Row],[tipo_registro]]="R",COUNTIFS($C$1:$C3502,"R")+1,A3502)</f>
        <v>2317</v>
      </c>
      <c r="B3503" s="19" t="str">
        <f t="shared" si="281"/>
        <v>B-BCP - Soles</v>
      </c>
      <c r="C3503" s="3" t="s">
        <v>1330</v>
      </c>
      <c r="D3503" s="14">
        <v>45896</v>
      </c>
      <c r="E3503" s="5" t="s">
        <v>1338</v>
      </c>
      <c r="F3503" s="5" t="s">
        <v>1336</v>
      </c>
      <c r="G3503" s="6" t="s">
        <v>895</v>
      </c>
      <c r="H3503" s="6"/>
      <c r="I3503" s="6"/>
      <c r="J3503" s="6"/>
      <c r="K3503" s="7" t="s">
        <v>4315</v>
      </c>
      <c r="L3503" s="8">
        <v>1094423</v>
      </c>
      <c r="M3503" s="8" t="str">
        <f t="shared" si="282"/>
        <v>PEN</v>
      </c>
      <c r="N3503" s="13"/>
      <c r="O3503" s="13">
        <v>900</v>
      </c>
      <c r="P3503" s="3">
        <f t="shared" si="283"/>
        <v>0</v>
      </c>
      <c r="Q3503" s="3">
        <f t="shared" si="284"/>
        <v>900</v>
      </c>
      <c r="R3503" s="3">
        <f t="shared" si="280"/>
        <v>26367.419999999984</v>
      </c>
      <c r="S3503" s="24"/>
      <c r="T3503" s="24" t="s">
        <v>1334</v>
      </c>
      <c r="U3503" s="55"/>
      <c r="V3503" s="25">
        <f>IFERROR(VLOOKUP(BCP_Soles[[#This Row],[destinatario]],CHOOSE({1,2},Clientes_Proveedores[Razon Social],Clientes_Proveedores[Ruc / Dni]),2,0),"")</f>
        <v>72144092</v>
      </c>
      <c r="W3503" s="25"/>
      <c r="X3503" s="25"/>
      <c r="Y3503" s="25"/>
      <c r="Z3503" s="77"/>
      <c r="AA3503" s="3" t="str">
        <f>IF(BCP_Soles[[#This Row],[fecha]]&gt;0,TEXT(BCP_Soles[[#This Row],[fecha]],"mmmm"),0)</f>
        <v>Agosto</v>
      </c>
    </row>
    <row r="3504" spans="1:27" ht="24" x14ac:dyDescent="0.3">
      <c r="A3504" s="2">
        <f>IF(BCP_Soles[[#This Row],[tipo_registro]]="R",COUNTIFS($C$1:$C3503,"R")+1,A3503)</f>
        <v>2318</v>
      </c>
      <c r="B3504" s="19" t="str">
        <f t="shared" si="281"/>
        <v>B-BCP - Soles</v>
      </c>
      <c r="C3504" s="3" t="s">
        <v>1330</v>
      </c>
      <c r="D3504" s="14">
        <v>45896</v>
      </c>
      <c r="E3504" s="5" t="s">
        <v>1338</v>
      </c>
      <c r="F3504" s="5" t="s">
        <v>1336</v>
      </c>
      <c r="G3504" s="6" t="s">
        <v>1111</v>
      </c>
      <c r="H3504" s="6" t="s">
        <v>68</v>
      </c>
      <c r="I3504" s="6" t="s">
        <v>1376</v>
      </c>
      <c r="J3504" s="6">
        <v>214</v>
      </c>
      <c r="K3504" s="7" t="s">
        <v>4316</v>
      </c>
      <c r="L3504" s="8">
        <v>1119844</v>
      </c>
      <c r="M3504" s="8" t="str">
        <f t="shared" si="282"/>
        <v>PEN</v>
      </c>
      <c r="N3504" s="13"/>
      <c r="O3504" s="13">
        <v>377.6</v>
      </c>
      <c r="P3504" s="3">
        <f t="shared" si="283"/>
        <v>0</v>
      </c>
      <c r="Q3504" s="3">
        <f t="shared" si="284"/>
        <v>377.6</v>
      </c>
      <c r="R3504" s="3">
        <f t="shared" si="280"/>
        <v>25989.819999999985</v>
      </c>
      <c r="S3504" s="24" t="s">
        <v>1334</v>
      </c>
      <c r="T3504" s="24" t="s">
        <v>1334</v>
      </c>
      <c r="U3504" s="56" t="s">
        <v>4317</v>
      </c>
      <c r="V3504" s="25">
        <f>IFERROR(VLOOKUP(BCP_Soles[[#This Row],[destinatario]],CHOOSE({1,2},Clientes_Proveedores[Razon Social],Clientes_Proveedores[Ruc / Dni]),2,0),"")</f>
        <v>10207191685</v>
      </c>
      <c r="W3504" s="25"/>
      <c r="X3504" s="25"/>
      <c r="Y3504" s="25"/>
      <c r="Z3504" s="77"/>
      <c r="AA3504" s="3" t="str">
        <f>IF(BCP_Soles[[#This Row],[fecha]]&gt;0,TEXT(BCP_Soles[[#This Row],[fecha]],"mmmm"),0)</f>
        <v>Agosto</v>
      </c>
    </row>
    <row r="3505" spans="1:27" ht="24" x14ac:dyDescent="0.3">
      <c r="A3505" s="2">
        <f>IF(BCP_Soles[[#This Row],[tipo_registro]]="R",COUNTIFS($C$1:$C3504,"R")+1,A3504)</f>
        <v>2319</v>
      </c>
      <c r="B3505" s="19" t="str">
        <f t="shared" si="281"/>
        <v>B-BCP - Soles</v>
      </c>
      <c r="C3505" s="3" t="s">
        <v>1330</v>
      </c>
      <c r="D3505" s="14">
        <v>45896</v>
      </c>
      <c r="E3505" s="5" t="s">
        <v>1338</v>
      </c>
      <c r="F3505" s="5" t="s">
        <v>1336</v>
      </c>
      <c r="G3505" s="6" t="s">
        <v>784</v>
      </c>
      <c r="H3505" s="6" t="s">
        <v>68</v>
      </c>
      <c r="I3505" s="6" t="s">
        <v>2331</v>
      </c>
      <c r="J3505" s="6">
        <v>72</v>
      </c>
      <c r="K3505" s="7" t="s">
        <v>4318</v>
      </c>
      <c r="L3505" s="8">
        <v>1218915</v>
      </c>
      <c r="M3505" s="8" t="str">
        <f t="shared" si="282"/>
        <v>PEN</v>
      </c>
      <c r="N3505" s="13"/>
      <c r="O3505" s="13">
        <v>217.12</v>
      </c>
      <c r="P3505" s="3">
        <f t="shared" si="283"/>
        <v>0</v>
      </c>
      <c r="Q3505" s="3">
        <f t="shared" si="284"/>
        <v>217.12</v>
      </c>
      <c r="R3505" s="3">
        <f t="shared" si="280"/>
        <v>25772.699999999986</v>
      </c>
      <c r="S3505" s="24" t="s">
        <v>1334</v>
      </c>
      <c r="T3505" s="24" t="s">
        <v>1334</v>
      </c>
      <c r="U3505" s="56" t="s">
        <v>4319</v>
      </c>
      <c r="V3505" s="25">
        <f>IFERROR(VLOOKUP(BCP_Soles[[#This Row],[destinatario]],CHOOSE({1,2},Clientes_Proveedores[Razon Social],Clientes_Proveedores[Ruc / Dni]),2,0),"")</f>
        <v>20611593920</v>
      </c>
      <c r="W3505" s="25"/>
      <c r="X3505" s="25"/>
      <c r="Y3505" s="25"/>
      <c r="Z3505" s="77"/>
      <c r="AA3505" s="3" t="str">
        <f>IF(BCP_Soles[[#This Row],[fecha]]&gt;0,TEXT(BCP_Soles[[#This Row],[fecha]],"mmmm"),0)</f>
        <v>Agosto</v>
      </c>
    </row>
    <row r="3506" spans="1:27" ht="24" x14ac:dyDescent="0.3">
      <c r="A3506" s="2">
        <f>IF(BCP_Soles[[#This Row],[tipo_registro]]="R",COUNTIFS($C$1:$C3505,"R")+1,A3505)</f>
        <v>2320</v>
      </c>
      <c r="B3506" s="19" t="str">
        <f t="shared" si="281"/>
        <v>B-BCP - Soles</v>
      </c>
      <c r="C3506" s="3" t="s">
        <v>1330</v>
      </c>
      <c r="D3506" s="14">
        <v>45896</v>
      </c>
      <c r="E3506" s="5" t="s">
        <v>1338</v>
      </c>
      <c r="F3506" s="5" t="s">
        <v>1336</v>
      </c>
      <c r="G3506" s="6" t="s">
        <v>497</v>
      </c>
      <c r="H3506" s="6" t="s">
        <v>68</v>
      </c>
      <c r="I3506" s="6" t="s">
        <v>1390</v>
      </c>
      <c r="J3506" s="6">
        <v>20805</v>
      </c>
      <c r="K3506" s="7" t="s">
        <v>4320</v>
      </c>
      <c r="L3506" s="8">
        <v>1219908</v>
      </c>
      <c r="M3506" s="8" t="str">
        <f t="shared" si="282"/>
        <v>PEN</v>
      </c>
      <c r="N3506" s="13"/>
      <c r="O3506" s="13">
        <v>565</v>
      </c>
      <c r="P3506" s="3">
        <f t="shared" si="283"/>
        <v>0</v>
      </c>
      <c r="Q3506" s="3">
        <f t="shared" si="284"/>
        <v>565</v>
      </c>
      <c r="R3506" s="3">
        <f t="shared" si="280"/>
        <v>25207.699999999986</v>
      </c>
      <c r="S3506" s="24" t="s">
        <v>1334</v>
      </c>
      <c r="T3506" s="24" t="s">
        <v>1334</v>
      </c>
      <c r="U3506" s="56" t="s">
        <v>4321</v>
      </c>
      <c r="V3506" s="25">
        <f>IFERROR(VLOOKUP(BCP_Soles[[#This Row],[destinatario]],CHOOSE({1,2},Clientes_Proveedores[Razon Social],Clientes_Proveedores[Ruc / Dni]),2,0),"")</f>
        <v>20602810497</v>
      </c>
      <c r="W3506" s="25"/>
      <c r="X3506" s="25"/>
      <c r="Y3506" s="25"/>
      <c r="Z3506" s="77"/>
      <c r="AA3506" s="3" t="str">
        <f>IF(BCP_Soles[[#This Row],[fecha]]&gt;0,TEXT(BCP_Soles[[#This Row],[fecha]],"mmmm"),0)</f>
        <v>Agosto</v>
      </c>
    </row>
    <row r="3507" spans="1:27" ht="24" x14ac:dyDescent="0.3">
      <c r="A3507" s="2">
        <f>IF(BCP_Soles[[#This Row],[tipo_registro]]="R",COUNTIFS($C$1:$C3506,"R")+1,A3506)</f>
        <v>2321</v>
      </c>
      <c r="B3507" s="19" t="str">
        <f t="shared" si="281"/>
        <v>B-BCP - Soles</v>
      </c>
      <c r="C3507" s="3" t="s">
        <v>1330</v>
      </c>
      <c r="D3507" s="14">
        <v>45896</v>
      </c>
      <c r="E3507" s="5" t="s">
        <v>1338</v>
      </c>
      <c r="F3507" s="5" t="s">
        <v>1336</v>
      </c>
      <c r="G3507" s="6" t="s">
        <v>333</v>
      </c>
      <c r="H3507" s="6" t="s">
        <v>68</v>
      </c>
      <c r="I3507" s="6" t="s">
        <v>1376</v>
      </c>
      <c r="J3507" s="6">
        <v>744</v>
      </c>
      <c r="K3507" s="7" t="s">
        <v>4322</v>
      </c>
      <c r="L3507" s="8">
        <v>1217939</v>
      </c>
      <c r="M3507" s="8" t="str">
        <f t="shared" si="282"/>
        <v>PEN</v>
      </c>
      <c r="N3507" s="13"/>
      <c r="O3507" s="13">
        <v>265.5</v>
      </c>
      <c r="P3507" s="3">
        <f t="shared" si="283"/>
        <v>0</v>
      </c>
      <c r="Q3507" s="3">
        <f t="shared" si="284"/>
        <v>265.5</v>
      </c>
      <c r="R3507" s="3">
        <f t="shared" si="280"/>
        <v>24942.199999999986</v>
      </c>
      <c r="S3507" s="24" t="s">
        <v>1334</v>
      </c>
      <c r="T3507" s="24" t="s">
        <v>1334</v>
      </c>
      <c r="U3507" s="56" t="s">
        <v>4323</v>
      </c>
      <c r="V3507" s="25">
        <f>IFERROR(VLOOKUP(BCP_Soles[[#This Row],[destinatario]],CHOOSE({1,2},Clientes_Proveedores[Razon Social],Clientes_Proveedores[Ruc / Dni]),2,0),"")</f>
        <v>20498218831</v>
      </c>
      <c r="W3507" s="25"/>
      <c r="X3507" s="25"/>
      <c r="Y3507" s="25"/>
      <c r="Z3507" s="77"/>
      <c r="AA3507" s="3" t="str">
        <f>IF(BCP_Soles[[#This Row],[fecha]]&gt;0,TEXT(BCP_Soles[[#This Row],[fecha]],"mmmm"),0)</f>
        <v>Agosto</v>
      </c>
    </row>
    <row r="3508" spans="1:27" x14ac:dyDescent="0.3">
      <c r="A3508" s="2">
        <f>IF(BCP_Soles[[#This Row],[tipo_registro]]="R",COUNTIFS($C$1:$C3507,"R")+1,A3507)</f>
        <v>2322</v>
      </c>
      <c r="B3508" s="19" t="str">
        <f t="shared" si="281"/>
        <v>B-BCP - Soles</v>
      </c>
      <c r="C3508" s="3" t="s">
        <v>1330</v>
      </c>
      <c r="D3508" s="14">
        <v>45896</v>
      </c>
      <c r="E3508" s="5" t="s">
        <v>1335</v>
      </c>
      <c r="F3508" s="5" t="s">
        <v>1336</v>
      </c>
      <c r="G3508" s="6" t="s">
        <v>1009</v>
      </c>
      <c r="H3508" s="6" t="s">
        <v>64</v>
      </c>
      <c r="I3508" s="6" t="s">
        <v>3673</v>
      </c>
      <c r="J3508" s="6">
        <v>2324</v>
      </c>
      <c r="K3508" s="7" t="s">
        <v>3160</v>
      </c>
      <c r="L3508" s="8"/>
      <c r="M3508" s="8" t="str">
        <f t="shared" si="282"/>
        <v>PEN</v>
      </c>
      <c r="N3508" s="13"/>
      <c r="O3508" s="13">
        <v>0.1</v>
      </c>
      <c r="P3508" s="3">
        <f t="shared" si="283"/>
        <v>0</v>
      </c>
      <c r="Q3508" s="3">
        <f t="shared" si="284"/>
        <v>0.1</v>
      </c>
      <c r="R3508" s="3">
        <f t="shared" si="280"/>
        <v>24942.099999999988</v>
      </c>
      <c r="S3508" s="28" t="s">
        <v>1334</v>
      </c>
      <c r="T3508" s="28" t="s">
        <v>1334</v>
      </c>
      <c r="U3508" s="55"/>
      <c r="V3508" s="25">
        <f>IFERROR(VLOOKUP(BCP_Soles[[#This Row],[destinatario]],CHOOSE({1,2},Clientes_Proveedores[Razon Social],Clientes_Proveedores[Ruc / Dni]),2,0),"")</f>
        <v>11111111</v>
      </c>
      <c r="W3508" s="25"/>
      <c r="X3508" s="25"/>
      <c r="Y3508" s="25"/>
      <c r="Z3508" s="77"/>
      <c r="AA3508" s="3" t="str">
        <f>IF(BCP_Soles[[#This Row],[fecha]]&gt;0,TEXT(BCP_Soles[[#This Row],[fecha]],"mmmm"),0)</f>
        <v>Agosto</v>
      </c>
    </row>
    <row r="3509" spans="1:27" x14ac:dyDescent="0.3">
      <c r="A3509" s="2">
        <f>IF(BCP_Soles[[#This Row],[tipo_registro]]="R",COUNTIFS($C$1:$C3508,"R")+1,A3508)</f>
        <v>2323</v>
      </c>
      <c r="B3509" s="19" t="str">
        <f t="shared" si="281"/>
        <v>B-BCP - Soles</v>
      </c>
      <c r="C3509" s="3" t="s">
        <v>1330</v>
      </c>
      <c r="D3509" s="14">
        <v>45897</v>
      </c>
      <c r="E3509" s="5"/>
      <c r="F3509" s="5" t="s">
        <v>1303</v>
      </c>
      <c r="G3509" s="6" t="s">
        <v>425</v>
      </c>
      <c r="H3509" s="6"/>
      <c r="I3509" s="6"/>
      <c r="J3509" s="6"/>
      <c r="K3509" s="7" t="s">
        <v>4324</v>
      </c>
      <c r="L3509" s="8">
        <v>8165</v>
      </c>
      <c r="M3509" s="8" t="str">
        <f t="shared" si="282"/>
        <v>PEN</v>
      </c>
      <c r="N3509" s="13"/>
      <c r="O3509" s="13">
        <v>2100</v>
      </c>
      <c r="P3509" s="3">
        <f t="shared" si="283"/>
        <v>2100</v>
      </c>
      <c r="Q3509" s="3">
        <f t="shared" si="284"/>
        <v>0</v>
      </c>
      <c r="R3509" s="3">
        <f t="shared" si="280"/>
        <v>27042.099999999988</v>
      </c>
      <c r="S3509" s="24" t="s">
        <v>1334</v>
      </c>
      <c r="T3509" s="24" t="s">
        <v>1334</v>
      </c>
      <c r="U3509" s="55"/>
      <c r="V3509" s="25">
        <f>IFERROR(VLOOKUP(BCP_Soles[[#This Row],[destinatario]],CHOOSE({1,2},Clientes_Proveedores[Razon Social],Clientes_Proveedores[Ruc / Dni]),2,0),"")</f>
        <v>20558226979</v>
      </c>
      <c r="W3509" s="25"/>
      <c r="X3509" s="25"/>
      <c r="Y3509" s="25"/>
      <c r="Z3509" s="77"/>
      <c r="AA3509" s="3" t="str">
        <f>IF(BCP_Soles[[#This Row],[fecha]]&gt;0,TEXT(BCP_Soles[[#This Row],[fecha]],"mmmm"),0)</f>
        <v>Agosto</v>
      </c>
    </row>
    <row r="3510" spans="1:27" ht="24" x14ac:dyDescent="0.3">
      <c r="A3510" s="2">
        <f>IF(BCP_Soles[[#This Row],[tipo_registro]]="R",COUNTIFS($C$1:$C3509,"R")+1,A3509)</f>
        <v>2323</v>
      </c>
      <c r="B3510" s="19" t="str">
        <f t="shared" si="281"/>
        <v>B-BCP - Soles</v>
      </c>
      <c r="C3510" s="3" t="s">
        <v>1352</v>
      </c>
      <c r="D3510" s="14">
        <v>45897</v>
      </c>
      <c r="E3510" s="5" t="s">
        <v>4309</v>
      </c>
      <c r="F3510" s="5" t="s">
        <v>1303</v>
      </c>
      <c r="G3510" s="6" t="s">
        <v>425</v>
      </c>
      <c r="H3510" s="6" t="s">
        <v>119</v>
      </c>
      <c r="I3510" s="6">
        <v>1</v>
      </c>
      <c r="J3510" s="6">
        <v>4710</v>
      </c>
      <c r="K3510" s="7" t="s">
        <v>4324</v>
      </c>
      <c r="L3510" s="8">
        <v>8165</v>
      </c>
      <c r="M3510" s="8" t="str">
        <f t="shared" si="282"/>
        <v>PEN</v>
      </c>
      <c r="N3510" s="13">
        <v>100</v>
      </c>
      <c r="O3510" s="13"/>
      <c r="P3510" s="3">
        <f t="shared" si="283"/>
        <v>0</v>
      </c>
      <c r="Q3510" s="3">
        <f t="shared" si="284"/>
        <v>0</v>
      </c>
      <c r="R3510" s="3">
        <f t="shared" si="280"/>
        <v>27042.099999999988</v>
      </c>
      <c r="S3510" s="24" t="s">
        <v>1334</v>
      </c>
      <c r="T3510" s="24" t="s">
        <v>1334</v>
      </c>
      <c r="U3510" s="55"/>
      <c r="V3510" s="25">
        <f>IFERROR(VLOOKUP(BCP_Soles[[#This Row],[destinatario]],CHOOSE({1,2},Clientes_Proveedores[Razon Social],Clientes_Proveedores[Ruc / Dni]),2,0),"")</f>
        <v>20558226979</v>
      </c>
      <c r="W3510" s="25"/>
      <c r="X3510" s="25"/>
      <c r="Y3510" s="25"/>
      <c r="Z3510" s="77"/>
      <c r="AA3510" s="3" t="str">
        <f>IF(BCP_Soles[[#This Row],[fecha]]&gt;0,TEXT(BCP_Soles[[#This Row],[fecha]],"mmmm"),0)</f>
        <v>Agosto</v>
      </c>
    </row>
    <row r="3511" spans="1:27" ht="24" x14ac:dyDescent="0.3">
      <c r="A3511" s="2">
        <f>IF(BCP_Soles[[#This Row],[tipo_registro]]="R",COUNTIFS($C$1:$C3510,"R")+1,A3510)</f>
        <v>2323</v>
      </c>
      <c r="B3511" s="19" t="str">
        <f t="shared" si="281"/>
        <v>B-BCP - Soles</v>
      </c>
      <c r="C3511" s="3" t="s">
        <v>1352</v>
      </c>
      <c r="D3511" s="14">
        <v>45897</v>
      </c>
      <c r="E3511" s="5" t="s">
        <v>1825</v>
      </c>
      <c r="F3511" s="5" t="s">
        <v>1303</v>
      </c>
      <c r="G3511" s="6" t="s">
        <v>425</v>
      </c>
      <c r="H3511" s="6" t="s">
        <v>119</v>
      </c>
      <c r="I3511" s="6">
        <v>1</v>
      </c>
      <c r="J3511" s="6">
        <v>4711</v>
      </c>
      <c r="K3511" s="7" t="s">
        <v>4324</v>
      </c>
      <c r="L3511" s="8">
        <v>8165</v>
      </c>
      <c r="M3511" s="8" t="str">
        <f t="shared" si="282"/>
        <v>PEN</v>
      </c>
      <c r="N3511" s="13">
        <v>2000</v>
      </c>
      <c r="O3511" s="13"/>
      <c r="P3511" s="3">
        <f t="shared" si="283"/>
        <v>0</v>
      </c>
      <c r="Q3511" s="3">
        <f t="shared" si="284"/>
        <v>0</v>
      </c>
      <c r="R3511" s="3">
        <f t="shared" si="280"/>
        <v>27042.099999999988</v>
      </c>
      <c r="S3511" s="24" t="s">
        <v>1334</v>
      </c>
      <c r="T3511" s="24" t="s">
        <v>1334</v>
      </c>
      <c r="U3511" s="55"/>
      <c r="V3511" s="25">
        <f>IFERROR(VLOOKUP(BCP_Soles[[#This Row],[destinatario]],CHOOSE({1,2},Clientes_Proveedores[Razon Social],Clientes_Proveedores[Ruc / Dni]),2,0),"")</f>
        <v>20558226979</v>
      </c>
      <c r="W3511" s="25"/>
      <c r="X3511" s="25"/>
      <c r="Y3511" s="25"/>
      <c r="Z3511" s="77"/>
      <c r="AA3511" s="3" t="str">
        <f>IF(BCP_Soles[[#This Row],[fecha]]&gt;0,TEXT(BCP_Soles[[#This Row],[fecha]],"mmmm"),0)</f>
        <v>Agosto</v>
      </c>
    </row>
    <row r="3512" spans="1:27" x14ac:dyDescent="0.3">
      <c r="A3512" s="2">
        <f>IF(BCP_Soles[[#This Row],[tipo_registro]]="R",COUNTIFS($C$1:$C3511,"R")+1,A3511)</f>
        <v>2324</v>
      </c>
      <c r="B3512" s="19" t="str">
        <f t="shared" si="281"/>
        <v>B-BCP - Soles</v>
      </c>
      <c r="C3512" s="3" t="s">
        <v>1330</v>
      </c>
      <c r="D3512" s="14">
        <v>45897</v>
      </c>
      <c r="E3512" s="5"/>
      <c r="F3512" s="5" t="s">
        <v>1303</v>
      </c>
      <c r="G3512" s="6" t="s">
        <v>425</v>
      </c>
      <c r="H3512" s="6"/>
      <c r="I3512" s="6"/>
      <c r="J3512" s="6"/>
      <c r="K3512" s="7" t="s">
        <v>1356</v>
      </c>
      <c r="L3512" s="8">
        <v>3147278</v>
      </c>
      <c r="M3512" s="8" t="str">
        <f t="shared" si="282"/>
        <v>PEN</v>
      </c>
      <c r="N3512" s="13"/>
      <c r="O3512" s="13">
        <v>3331.1</v>
      </c>
      <c r="P3512" s="3">
        <f t="shared" si="283"/>
        <v>3331.1</v>
      </c>
      <c r="Q3512" s="3">
        <f t="shared" si="284"/>
        <v>0</v>
      </c>
      <c r="R3512" s="3">
        <f t="shared" si="280"/>
        <v>30373.199999999986</v>
      </c>
      <c r="S3512" s="24" t="s">
        <v>1334</v>
      </c>
      <c r="T3512" s="24" t="s">
        <v>1334</v>
      </c>
      <c r="U3512" s="55"/>
      <c r="V3512" s="25">
        <f>IFERROR(VLOOKUP(BCP_Soles[[#This Row],[destinatario]],CHOOSE({1,2},Clientes_Proveedores[Razon Social],Clientes_Proveedores[Ruc / Dni]),2,0),"")</f>
        <v>20558226979</v>
      </c>
      <c r="W3512" s="25"/>
      <c r="X3512" s="25"/>
      <c r="Y3512" s="25"/>
      <c r="Z3512" s="77"/>
      <c r="AA3512" s="3" t="str">
        <f>IF(BCP_Soles[[#This Row],[fecha]]&gt;0,TEXT(BCP_Soles[[#This Row],[fecha]],"mmmm"),0)</f>
        <v>Agosto</v>
      </c>
    </row>
    <row r="3513" spans="1:27" ht="24" x14ac:dyDescent="0.3">
      <c r="A3513" s="2">
        <f>IF(BCP_Soles[[#This Row],[tipo_registro]]="R",COUNTIFS($C$1:$C3512,"R")+1,A3512)</f>
        <v>2324</v>
      </c>
      <c r="B3513" s="19" t="str">
        <f t="shared" si="281"/>
        <v>B-BCP - Soles</v>
      </c>
      <c r="C3513" s="3" t="s">
        <v>1352</v>
      </c>
      <c r="D3513" s="14">
        <v>45897</v>
      </c>
      <c r="E3513" s="5" t="s">
        <v>1875</v>
      </c>
      <c r="F3513" s="5" t="s">
        <v>1303</v>
      </c>
      <c r="G3513" s="6" t="s">
        <v>425</v>
      </c>
      <c r="H3513" s="6" t="s">
        <v>119</v>
      </c>
      <c r="I3513" s="6">
        <v>1</v>
      </c>
      <c r="J3513" s="6">
        <v>4683</v>
      </c>
      <c r="K3513" s="7" t="s">
        <v>1356</v>
      </c>
      <c r="L3513" s="8">
        <v>3147278</v>
      </c>
      <c r="M3513" s="8" t="str">
        <f t="shared" si="282"/>
        <v>PEN</v>
      </c>
      <c r="N3513" s="13">
        <v>2882.5</v>
      </c>
      <c r="O3513" s="13"/>
      <c r="P3513" s="3">
        <f t="shared" si="283"/>
        <v>0</v>
      </c>
      <c r="Q3513" s="3">
        <f t="shared" si="284"/>
        <v>0</v>
      </c>
      <c r="R3513" s="3">
        <f t="shared" si="280"/>
        <v>30373.199999999986</v>
      </c>
      <c r="S3513" s="24" t="s">
        <v>1334</v>
      </c>
      <c r="T3513" s="24" t="s">
        <v>1334</v>
      </c>
      <c r="U3513" s="55"/>
      <c r="V3513" s="25">
        <f>IFERROR(VLOOKUP(BCP_Soles[[#This Row],[destinatario]],CHOOSE({1,2},Clientes_Proveedores[Razon Social],Clientes_Proveedores[Ruc / Dni]),2,0),"")</f>
        <v>20558226979</v>
      </c>
      <c r="W3513" s="25"/>
      <c r="X3513" s="25"/>
      <c r="Y3513" s="25"/>
      <c r="Z3513" s="77"/>
      <c r="AA3513" s="3" t="str">
        <f>IF(BCP_Soles[[#This Row],[fecha]]&gt;0,TEXT(BCP_Soles[[#This Row],[fecha]],"mmmm"),0)</f>
        <v>Agosto</v>
      </c>
    </row>
    <row r="3514" spans="1:27" ht="24" x14ac:dyDescent="0.3">
      <c r="A3514" s="2">
        <f>IF(BCP_Soles[[#This Row],[tipo_registro]]="R",COUNTIFS($C$1:$C3513,"R")+1,A3513)</f>
        <v>2324</v>
      </c>
      <c r="B3514" s="19" t="str">
        <f t="shared" si="281"/>
        <v>B-BCP - Soles</v>
      </c>
      <c r="C3514" s="3" t="s">
        <v>1352</v>
      </c>
      <c r="D3514" s="14">
        <v>45897</v>
      </c>
      <c r="E3514" s="5" t="s">
        <v>1875</v>
      </c>
      <c r="F3514" s="5" t="s">
        <v>1303</v>
      </c>
      <c r="G3514" s="6" t="s">
        <v>425</v>
      </c>
      <c r="H3514" s="6" t="s">
        <v>119</v>
      </c>
      <c r="I3514" s="6">
        <v>1</v>
      </c>
      <c r="J3514" s="6">
        <v>4689</v>
      </c>
      <c r="K3514" s="7" t="s">
        <v>1356</v>
      </c>
      <c r="L3514" s="8">
        <v>3147278</v>
      </c>
      <c r="M3514" s="8" t="str">
        <f t="shared" si="282"/>
        <v>PEN</v>
      </c>
      <c r="N3514" s="13">
        <v>448.6</v>
      </c>
      <c r="O3514" s="13"/>
      <c r="P3514" s="3">
        <f t="shared" si="283"/>
        <v>0</v>
      </c>
      <c r="Q3514" s="3">
        <f t="shared" si="284"/>
        <v>0</v>
      </c>
      <c r="R3514" s="3">
        <f t="shared" si="280"/>
        <v>30373.199999999986</v>
      </c>
      <c r="S3514" s="24" t="s">
        <v>1334</v>
      </c>
      <c r="T3514" s="24" t="s">
        <v>1334</v>
      </c>
      <c r="U3514" s="55"/>
      <c r="V3514" s="25">
        <f>IFERROR(VLOOKUP(BCP_Soles[[#This Row],[destinatario]],CHOOSE({1,2},Clientes_Proveedores[Razon Social],Clientes_Proveedores[Ruc / Dni]),2,0),"")</f>
        <v>20558226979</v>
      </c>
      <c r="W3514" s="25"/>
      <c r="X3514" s="25"/>
      <c r="Y3514" s="25"/>
      <c r="Z3514" s="77"/>
      <c r="AA3514" s="3" t="str">
        <f>IF(BCP_Soles[[#This Row],[fecha]]&gt;0,TEXT(BCP_Soles[[#This Row],[fecha]],"mmmm"),0)</f>
        <v>Agosto</v>
      </c>
    </row>
    <row r="3515" spans="1:27" ht="24" x14ac:dyDescent="0.3">
      <c r="A3515" s="2">
        <f>IF(BCP_Soles[[#This Row],[tipo_registro]]="R",COUNTIFS($C$1:$C3514,"R")+1,A3514)</f>
        <v>2325</v>
      </c>
      <c r="B3515" s="19" t="str">
        <f t="shared" si="281"/>
        <v>B-BCP - Soles</v>
      </c>
      <c r="C3515" s="3" t="s">
        <v>1330</v>
      </c>
      <c r="D3515" s="14">
        <v>45897</v>
      </c>
      <c r="E3515" s="5" t="s">
        <v>1338</v>
      </c>
      <c r="F3515" s="5" t="s">
        <v>1336</v>
      </c>
      <c r="G3515" s="148" t="s">
        <v>895</v>
      </c>
      <c r="H3515" s="6"/>
      <c r="I3515" s="6"/>
      <c r="J3515" s="6"/>
      <c r="K3515" s="7" t="s">
        <v>4325</v>
      </c>
      <c r="L3515" s="8">
        <v>1159393</v>
      </c>
      <c r="M3515" s="8" t="str">
        <f t="shared" si="282"/>
        <v>PEN</v>
      </c>
      <c r="N3515" s="13"/>
      <c r="O3515" s="13">
        <v>1300</v>
      </c>
      <c r="P3515" s="3">
        <f t="shared" si="283"/>
        <v>0</v>
      </c>
      <c r="Q3515" s="3">
        <f t="shared" si="284"/>
        <v>1300</v>
      </c>
      <c r="R3515" s="3">
        <f t="shared" si="280"/>
        <v>29073.199999999986</v>
      </c>
      <c r="S3515" s="24" t="s">
        <v>1334</v>
      </c>
      <c r="T3515" s="24" t="s">
        <v>1334</v>
      </c>
      <c r="U3515" s="55"/>
      <c r="V3515" s="25">
        <f>IFERROR(VLOOKUP(BCP_Soles[[#This Row],[destinatario]],CHOOSE({1,2},Clientes_Proveedores[Razon Social],Clientes_Proveedores[Ruc / Dni]),2,0),"")</f>
        <v>72144092</v>
      </c>
      <c r="W3515" s="25"/>
      <c r="X3515" s="25"/>
      <c r="Y3515" s="25"/>
      <c r="Z3515" s="77"/>
      <c r="AA3515" s="3" t="str">
        <f>IF(BCP_Soles[[#This Row],[fecha]]&gt;0,TEXT(BCP_Soles[[#This Row],[fecha]],"mmmm"),0)</f>
        <v>Agosto</v>
      </c>
    </row>
    <row r="3516" spans="1:27" ht="36" x14ac:dyDescent="0.3">
      <c r="A3516" s="2">
        <f>IF(BCP_Soles[[#This Row],[tipo_registro]]="R",COUNTIFS($C$1:$C3515,"R")+1,A3515)</f>
        <v>2326</v>
      </c>
      <c r="B3516" s="19" t="str">
        <f t="shared" si="281"/>
        <v>B-BCP - Soles</v>
      </c>
      <c r="C3516" s="3" t="s">
        <v>1330</v>
      </c>
      <c r="D3516" s="14">
        <v>45897</v>
      </c>
      <c r="E3516" s="5" t="s">
        <v>1338</v>
      </c>
      <c r="F3516" s="5" t="s">
        <v>1336</v>
      </c>
      <c r="G3516" s="213" t="s">
        <v>948</v>
      </c>
      <c r="H3516" s="6"/>
      <c r="I3516" s="6"/>
      <c r="J3516" s="6"/>
      <c r="K3516" s="7" t="s">
        <v>4326</v>
      </c>
      <c r="L3516" s="8">
        <v>1124412</v>
      </c>
      <c r="M3516" s="8" t="str">
        <f t="shared" si="282"/>
        <v>PEN</v>
      </c>
      <c r="N3516" s="13"/>
      <c r="O3516" s="13">
        <v>1500</v>
      </c>
      <c r="P3516" s="3">
        <f t="shared" si="283"/>
        <v>0</v>
      </c>
      <c r="Q3516" s="3">
        <f t="shared" si="284"/>
        <v>1500</v>
      </c>
      <c r="R3516" s="3">
        <f t="shared" si="280"/>
        <v>27573.199999999986</v>
      </c>
      <c r="S3516" s="24"/>
      <c r="T3516" s="24" t="s">
        <v>1334</v>
      </c>
      <c r="U3516" s="55"/>
      <c r="V3516" s="25">
        <f>IFERROR(VLOOKUP(BCP_Soles[[#This Row],[destinatario]],CHOOSE({1,2},Clientes_Proveedores[Razon Social],Clientes_Proveedores[Ruc / Dni]),2,0),"")</f>
        <v>71311214</v>
      </c>
      <c r="W3516" s="25"/>
      <c r="X3516" s="25"/>
      <c r="Y3516" s="25"/>
      <c r="Z3516" s="77"/>
      <c r="AA3516" s="3" t="str">
        <f>IF(BCP_Soles[[#This Row],[fecha]]&gt;0,TEXT(BCP_Soles[[#This Row],[fecha]],"mmmm"),0)</f>
        <v>Agosto</v>
      </c>
    </row>
    <row r="3517" spans="1:27" ht="24" x14ac:dyDescent="0.3">
      <c r="A3517" s="2">
        <f>IF(BCP_Soles[[#This Row],[tipo_registro]]="R",COUNTIFS($C$1:$C3516,"R")+1,A3516)</f>
        <v>2327</v>
      </c>
      <c r="B3517" s="19" t="str">
        <f t="shared" si="281"/>
        <v>B-BCP - Soles</v>
      </c>
      <c r="C3517" s="3" t="s">
        <v>1330</v>
      </c>
      <c r="D3517" s="14">
        <v>45897</v>
      </c>
      <c r="E3517" s="5" t="s">
        <v>1338</v>
      </c>
      <c r="F3517" s="5" t="s">
        <v>1336</v>
      </c>
      <c r="G3517" s="6" t="s">
        <v>708</v>
      </c>
      <c r="H3517" s="6" t="s">
        <v>68</v>
      </c>
      <c r="I3517" s="6" t="s">
        <v>1655</v>
      </c>
      <c r="J3517" s="6">
        <v>309951</v>
      </c>
      <c r="K3517" s="7" t="s">
        <v>4327</v>
      </c>
      <c r="L3517" s="8">
        <v>126858</v>
      </c>
      <c r="M3517" s="8" t="str">
        <f t="shared" si="282"/>
        <v>PEN</v>
      </c>
      <c r="N3517" s="13"/>
      <c r="O3517" s="13">
        <v>12.57</v>
      </c>
      <c r="P3517" s="3">
        <f t="shared" si="283"/>
        <v>0</v>
      </c>
      <c r="Q3517" s="3">
        <f t="shared" si="284"/>
        <v>12.57</v>
      </c>
      <c r="R3517" s="3">
        <f t="shared" si="280"/>
        <v>27560.629999999986</v>
      </c>
      <c r="S3517" s="24" t="s">
        <v>1334</v>
      </c>
      <c r="T3517" s="24" t="s">
        <v>1334</v>
      </c>
      <c r="U3517" s="56" t="s">
        <v>4328</v>
      </c>
      <c r="V3517" s="25">
        <f>IFERROR(VLOOKUP(BCP_Soles[[#This Row],[destinatario]],CHOOSE({1,2},Clientes_Proveedores[Razon Social],Clientes_Proveedores[Ruc / Dni]),2,0),"")</f>
        <v>20467534026</v>
      </c>
      <c r="W3517" s="25"/>
      <c r="X3517" s="25"/>
      <c r="Y3517" s="25"/>
      <c r="Z3517" s="77"/>
      <c r="AA3517" s="3" t="str">
        <f>IF(BCP_Soles[[#This Row],[fecha]]&gt;0,TEXT(BCP_Soles[[#This Row],[fecha]],"mmmm"),0)</f>
        <v>Agosto</v>
      </c>
    </row>
    <row r="3518" spans="1:27" ht="24" x14ac:dyDescent="0.3">
      <c r="A3518" s="2">
        <f>IF(BCP_Soles[[#This Row],[tipo_registro]]="R",COUNTIFS($C$1:$C3517,"R")+1,A3517)</f>
        <v>2328</v>
      </c>
      <c r="B3518" s="19" t="str">
        <f t="shared" si="281"/>
        <v>B-BCP - Soles</v>
      </c>
      <c r="C3518" s="3" t="s">
        <v>1330</v>
      </c>
      <c r="D3518" s="14">
        <v>45897</v>
      </c>
      <c r="E3518" s="5" t="s">
        <v>1338</v>
      </c>
      <c r="F3518" s="5" t="s">
        <v>1336</v>
      </c>
      <c r="G3518" s="6" t="s">
        <v>708</v>
      </c>
      <c r="H3518" s="6" t="s">
        <v>68</v>
      </c>
      <c r="I3518" s="6" t="s">
        <v>1655</v>
      </c>
      <c r="J3518" s="6">
        <v>309950</v>
      </c>
      <c r="K3518" s="7" t="s">
        <v>4329</v>
      </c>
      <c r="L3518" s="8">
        <v>127358</v>
      </c>
      <c r="M3518" s="8" t="str">
        <f t="shared" si="282"/>
        <v>PEN</v>
      </c>
      <c r="N3518" s="13"/>
      <c r="O3518" s="13">
        <v>623.04</v>
      </c>
      <c r="P3518" s="3">
        <f t="shared" si="283"/>
        <v>0</v>
      </c>
      <c r="Q3518" s="3">
        <f t="shared" si="284"/>
        <v>623.04</v>
      </c>
      <c r="R3518" s="3">
        <f t="shared" si="280"/>
        <v>26937.589999999986</v>
      </c>
      <c r="S3518" s="24" t="s">
        <v>1334</v>
      </c>
      <c r="T3518" s="24" t="s">
        <v>1334</v>
      </c>
      <c r="U3518" s="56" t="s">
        <v>4330</v>
      </c>
      <c r="V3518" s="25">
        <f>IFERROR(VLOOKUP(BCP_Soles[[#This Row],[destinatario]],CHOOSE({1,2},Clientes_Proveedores[Razon Social],Clientes_Proveedores[Ruc / Dni]),2,0),"")</f>
        <v>20467534026</v>
      </c>
      <c r="W3518" s="25"/>
      <c r="X3518" s="25"/>
      <c r="Y3518" s="25"/>
      <c r="Z3518" s="77"/>
      <c r="AA3518" s="3" t="str">
        <f>IF(BCP_Soles[[#This Row],[fecha]]&gt;0,TEXT(BCP_Soles[[#This Row],[fecha]],"mmmm"),0)</f>
        <v>Agosto</v>
      </c>
    </row>
    <row r="3519" spans="1:27" ht="24" x14ac:dyDescent="0.3">
      <c r="A3519" s="2">
        <f>IF(BCP_Soles[[#This Row],[tipo_registro]]="R",COUNTIFS($C$1:$C3518,"R")+1,A3518)</f>
        <v>2329</v>
      </c>
      <c r="B3519" s="19" t="str">
        <f t="shared" si="281"/>
        <v>B-BCP - Soles</v>
      </c>
      <c r="C3519" s="3" t="s">
        <v>1330</v>
      </c>
      <c r="D3519" s="14">
        <v>45897</v>
      </c>
      <c r="E3519" s="5" t="s">
        <v>1338</v>
      </c>
      <c r="F3519" s="5" t="s">
        <v>1336</v>
      </c>
      <c r="G3519" s="6" t="s">
        <v>705</v>
      </c>
      <c r="H3519" s="6" t="s">
        <v>106</v>
      </c>
      <c r="I3519" s="6" t="s">
        <v>2488</v>
      </c>
      <c r="J3519" s="6">
        <v>73504685</v>
      </c>
      <c r="K3519" s="7" t="s">
        <v>4331</v>
      </c>
      <c r="L3519" s="8">
        <v>4124892</v>
      </c>
      <c r="M3519" s="8" t="str">
        <f t="shared" si="282"/>
        <v>PEN</v>
      </c>
      <c r="N3519" s="13"/>
      <c r="O3519" s="13">
        <v>142.9</v>
      </c>
      <c r="P3519" s="3">
        <f t="shared" si="283"/>
        <v>0</v>
      </c>
      <c r="Q3519" s="3">
        <f t="shared" si="284"/>
        <v>142.9</v>
      </c>
      <c r="R3519" s="3">
        <f t="shared" si="280"/>
        <v>26794.689999999984</v>
      </c>
      <c r="S3519" s="24" t="s">
        <v>1334</v>
      </c>
      <c r="T3519" s="24" t="s">
        <v>1334</v>
      </c>
      <c r="U3519" s="56" t="s">
        <v>4332</v>
      </c>
      <c r="V3519" s="25">
        <f>IFERROR(VLOOKUP(BCP_Soles[[#This Row],[destinatario]],CHOOSE({1,2},Clientes_Proveedores[Razon Social],Clientes_Proveedores[Ruc / Dni]),2,0),"")</f>
        <v>20100017491</v>
      </c>
      <c r="W3519" s="25"/>
      <c r="X3519" s="25"/>
      <c r="Y3519" s="25"/>
      <c r="Z3519" s="77"/>
      <c r="AA3519" s="3" t="str">
        <f>IF(BCP_Soles[[#This Row],[fecha]]&gt;0,TEXT(BCP_Soles[[#This Row],[fecha]],"mmmm"),0)</f>
        <v>Agosto</v>
      </c>
    </row>
    <row r="3520" spans="1:27" x14ac:dyDescent="0.3">
      <c r="A3520" s="2">
        <f>IF(BCP_Soles[[#This Row],[tipo_registro]]="R",COUNTIFS($C$1:$C3519,"R")+1,A3519)</f>
        <v>2330</v>
      </c>
      <c r="B3520" s="19" t="str">
        <f t="shared" si="281"/>
        <v>B-BCP - Soles</v>
      </c>
      <c r="C3520" s="3" t="s">
        <v>1330</v>
      </c>
      <c r="D3520" s="14">
        <v>45897</v>
      </c>
      <c r="E3520" s="5" t="s">
        <v>1338</v>
      </c>
      <c r="F3520" s="5" t="s">
        <v>1336</v>
      </c>
      <c r="G3520" s="6" t="s">
        <v>648</v>
      </c>
      <c r="H3520" s="6" t="s">
        <v>68</v>
      </c>
      <c r="I3520" s="6" t="s">
        <v>1374</v>
      </c>
      <c r="J3520" s="6">
        <v>1068769</v>
      </c>
      <c r="K3520" s="7" t="s">
        <v>1848</v>
      </c>
      <c r="L3520" s="8">
        <v>126373</v>
      </c>
      <c r="M3520" s="8" t="str">
        <f t="shared" si="282"/>
        <v>PEN</v>
      </c>
      <c r="N3520" s="13"/>
      <c r="O3520" s="13">
        <v>120.36</v>
      </c>
      <c r="P3520" s="3">
        <f t="shared" si="283"/>
        <v>0</v>
      </c>
      <c r="Q3520" s="3">
        <f t="shared" si="284"/>
        <v>120.36</v>
      </c>
      <c r="R3520" s="3">
        <f t="shared" si="280"/>
        <v>26674.329999999984</v>
      </c>
      <c r="S3520" s="24" t="s">
        <v>1334</v>
      </c>
      <c r="T3520" s="24" t="s">
        <v>1334</v>
      </c>
      <c r="U3520" s="56" t="s">
        <v>4333</v>
      </c>
      <c r="V3520" s="25">
        <f>IFERROR(VLOOKUP(BCP_Soles[[#This Row],[destinatario]],CHOOSE({1,2},Clientes_Proveedores[Razon Social],Clientes_Proveedores[Ruc / Dni]),2,0),"")</f>
        <v>20265681299</v>
      </c>
      <c r="W3520" s="25"/>
      <c r="X3520" s="25"/>
      <c r="Y3520" s="25"/>
      <c r="Z3520" s="77"/>
      <c r="AA3520" s="3" t="str">
        <f>IF(BCP_Soles[[#This Row],[fecha]]&gt;0,TEXT(BCP_Soles[[#This Row],[fecha]],"mmmm"),0)</f>
        <v>Agosto</v>
      </c>
    </row>
    <row r="3521" spans="1:27" x14ac:dyDescent="0.3">
      <c r="A3521" s="2">
        <f>IF(BCP_Soles[[#This Row],[tipo_registro]]="R",COUNTIFS($C$1:$C3520,"R")+1,A3520)</f>
        <v>2331</v>
      </c>
      <c r="B3521" s="19" t="str">
        <f t="shared" si="281"/>
        <v>B-BCP - Soles</v>
      </c>
      <c r="C3521" s="3" t="s">
        <v>1330</v>
      </c>
      <c r="D3521" s="14">
        <v>45897</v>
      </c>
      <c r="E3521" s="5" t="s">
        <v>1338</v>
      </c>
      <c r="F3521" s="5" t="s">
        <v>1336</v>
      </c>
      <c r="G3521" s="6" t="s">
        <v>196</v>
      </c>
      <c r="H3521" s="6" t="s">
        <v>68</v>
      </c>
      <c r="I3521" s="6" t="s">
        <v>2226</v>
      </c>
      <c r="J3521" s="6">
        <v>6798</v>
      </c>
      <c r="K3521" s="7" t="s">
        <v>2227</v>
      </c>
      <c r="L3521" s="8">
        <v>237397</v>
      </c>
      <c r="M3521" s="8" t="str">
        <f t="shared" si="282"/>
        <v>PEN</v>
      </c>
      <c r="N3521" s="13"/>
      <c r="O3521" s="13">
        <v>154.6</v>
      </c>
      <c r="P3521" s="3">
        <f t="shared" si="283"/>
        <v>0</v>
      </c>
      <c r="Q3521" s="3">
        <f t="shared" si="284"/>
        <v>154.6</v>
      </c>
      <c r="R3521" s="3">
        <f t="shared" si="280"/>
        <v>26519.729999999985</v>
      </c>
      <c r="S3521" s="24" t="s">
        <v>1334</v>
      </c>
      <c r="T3521" s="24" t="s">
        <v>1334</v>
      </c>
      <c r="U3521" s="56" t="s">
        <v>4334</v>
      </c>
      <c r="V3521" s="25">
        <f>IFERROR(VLOOKUP(BCP_Soles[[#This Row],[destinatario]],CHOOSE({1,2},Clientes_Proveedores[Razon Social],Clientes_Proveedores[Ruc / Dni]),2,0),"")</f>
        <v>20100055237</v>
      </c>
      <c r="W3521" s="25"/>
      <c r="X3521" s="25"/>
      <c r="Y3521" s="25"/>
      <c r="Z3521" s="77"/>
      <c r="AA3521" s="3" t="str">
        <f>IF(BCP_Soles[[#This Row],[fecha]]&gt;0,TEXT(BCP_Soles[[#This Row],[fecha]],"mmmm"),0)</f>
        <v>Agosto</v>
      </c>
    </row>
    <row r="3522" spans="1:27" x14ac:dyDescent="0.3">
      <c r="A3522" s="2">
        <f>IF(BCP_Soles[[#This Row],[tipo_registro]]="R",COUNTIFS($C$1:$C3521,"R")+1,A3521)</f>
        <v>2332</v>
      </c>
      <c r="B3522" s="19" t="str">
        <f t="shared" si="281"/>
        <v>B-BCP - Soles</v>
      </c>
      <c r="C3522" s="3" t="s">
        <v>1330</v>
      </c>
      <c r="D3522" s="14">
        <v>45897</v>
      </c>
      <c r="E3522" s="5" t="s">
        <v>1338</v>
      </c>
      <c r="F3522" s="5" t="s">
        <v>1336</v>
      </c>
      <c r="G3522" s="6" t="s">
        <v>196</v>
      </c>
      <c r="H3522" s="6" t="s">
        <v>68</v>
      </c>
      <c r="I3522" s="6" t="s">
        <v>2226</v>
      </c>
      <c r="J3522" s="6">
        <v>6802</v>
      </c>
      <c r="K3522" s="7" t="s">
        <v>2227</v>
      </c>
      <c r="L3522" s="8">
        <v>237396</v>
      </c>
      <c r="M3522" s="8" t="str">
        <f t="shared" si="282"/>
        <v>PEN</v>
      </c>
      <c r="N3522" s="13"/>
      <c r="O3522" s="13">
        <v>121.37</v>
      </c>
      <c r="P3522" s="3">
        <f t="shared" si="283"/>
        <v>0</v>
      </c>
      <c r="Q3522" s="3">
        <f t="shared" si="284"/>
        <v>121.37</v>
      </c>
      <c r="R3522" s="3">
        <f t="shared" si="280"/>
        <v>26398.359999999986</v>
      </c>
      <c r="S3522" s="24" t="s">
        <v>1334</v>
      </c>
      <c r="T3522" s="24" t="s">
        <v>1334</v>
      </c>
      <c r="U3522" s="56" t="s">
        <v>4335</v>
      </c>
      <c r="V3522" s="25">
        <f>IFERROR(VLOOKUP(BCP_Soles[[#This Row],[destinatario]],CHOOSE({1,2},Clientes_Proveedores[Razon Social],Clientes_Proveedores[Ruc / Dni]),2,0),"")</f>
        <v>20100055237</v>
      </c>
      <c r="W3522" s="25"/>
      <c r="X3522" s="25"/>
      <c r="Y3522" s="25"/>
      <c r="Z3522" s="77"/>
      <c r="AA3522" s="3" t="str">
        <f>IF(BCP_Soles[[#This Row],[fecha]]&gt;0,TEXT(BCP_Soles[[#This Row],[fecha]],"mmmm"),0)</f>
        <v>Agosto</v>
      </c>
    </row>
    <row r="3523" spans="1:27" x14ac:dyDescent="0.3">
      <c r="A3523" s="2">
        <f>IF(BCP_Soles[[#This Row],[tipo_registro]]="R",COUNTIFS($C$1:$C3522,"R")+1,A3522)</f>
        <v>2333</v>
      </c>
      <c r="B3523" s="19" t="str">
        <f t="shared" si="281"/>
        <v>B-BCP - Soles</v>
      </c>
      <c r="C3523" s="3" t="s">
        <v>1330</v>
      </c>
      <c r="D3523" s="14">
        <v>45897</v>
      </c>
      <c r="E3523" s="5" t="s">
        <v>1338</v>
      </c>
      <c r="F3523" s="5" t="s">
        <v>1336</v>
      </c>
      <c r="G3523" s="6" t="s">
        <v>196</v>
      </c>
      <c r="H3523" s="6" t="s">
        <v>68</v>
      </c>
      <c r="I3523" s="6" t="s">
        <v>2226</v>
      </c>
      <c r="J3523" s="6">
        <v>6800</v>
      </c>
      <c r="K3523" s="7" t="s">
        <v>2227</v>
      </c>
      <c r="L3523" s="8">
        <v>237886</v>
      </c>
      <c r="M3523" s="8" t="str">
        <f t="shared" si="282"/>
        <v>PEN</v>
      </c>
      <c r="N3523" s="13"/>
      <c r="O3523" s="13">
        <v>388.66</v>
      </c>
      <c r="P3523" s="3">
        <f t="shared" si="283"/>
        <v>0</v>
      </c>
      <c r="Q3523" s="3">
        <f t="shared" si="284"/>
        <v>388.66</v>
      </c>
      <c r="R3523" s="3">
        <f t="shared" si="280"/>
        <v>26009.699999999986</v>
      </c>
      <c r="S3523" s="24" t="s">
        <v>1334</v>
      </c>
      <c r="T3523" s="24" t="s">
        <v>1334</v>
      </c>
      <c r="U3523" s="56" t="s">
        <v>4336</v>
      </c>
      <c r="V3523" s="25">
        <f>IFERROR(VLOOKUP(BCP_Soles[[#This Row],[destinatario]],CHOOSE({1,2},Clientes_Proveedores[Razon Social],Clientes_Proveedores[Ruc / Dni]),2,0),"")</f>
        <v>20100055237</v>
      </c>
      <c r="W3523" s="25"/>
      <c r="X3523" s="25"/>
      <c r="Y3523" s="25"/>
      <c r="Z3523" s="77"/>
      <c r="AA3523" s="3" t="str">
        <f>IF(BCP_Soles[[#This Row],[fecha]]&gt;0,TEXT(BCP_Soles[[#This Row],[fecha]],"mmmm"),0)</f>
        <v>Agosto</v>
      </c>
    </row>
    <row r="3524" spans="1:27" x14ac:dyDescent="0.3">
      <c r="A3524" s="2">
        <f>IF(BCP_Soles[[#This Row],[tipo_registro]]="R",COUNTIFS($C$1:$C3523,"R")+1,A3523)</f>
        <v>2334</v>
      </c>
      <c r="B3524" s="19" t="str">
        <f t="shared" si="281"/>
        <v>B-BCP - Soles</v>
      </c>
      <c r="C3524" s="3" t="s">
        <v>1330</v>
      </c>
      <c r="D3524" s="14">
        <v>45897</v>
      </c>
      <c r="E3524" s="5" t="s">
        <v>1338</v>
      </c>
      <c r="F3524" s="5" t="s">
        <v>1336</v>
      </c>
      <c r="G3524" s="6" t="s">
        <v>196</v>
      </c>
      <c r="H3524" s="6" t="s">
        <v>68</v>
      </c>
      <c r="I3524" s="6" t="s">
        <v>2226</v>
      </c>
      <c r="J3524" s="6">
        <v>6801</v>
      </c>
      <c r="K3524" s="7" t="s">
        <v>2227</v>
      </c>
      <c r="L3524" s="8">
        <v>236916</v>
      </c>
      <c r="M3524" s="8" t="str">
        <f t="shared" si="282"/>
        <v>PEN</v>
      </c>
      <c r="N3524" s="13"/>
      <c r="O3524" s="13">
        <v>258.44</v>
      </c>
      <c r="P3524" s="3">
        <f t="shared" si="283"/>
        <v>0</v>
      </c>
      <c r="Q3524" s="3">
        <f t="shared" si="284"/>
        <v>258.44</v>
      </c>
      <c r="R3524" s="3">
        <f t="shared" si="280"/>
        <v>25751.259999999987</v>
      </c>
      <c r="S3524" s="24" t="s">
        <v>1334</v>
      </c>
      <c r="T3524" s="24" t="s">
        <v>1334</v>
      </c>
      <c r="U3524" s="56" t="s">
        <v>4337</v>
      </c>
      <c r="V3524" s="25">
        <f>IFERROR(VLOOKUP(BCP_Soles[[#This Row],[destinatario]],CHOOSE({1,2},Clientes_Proveedores[Razon Social],Clientes_Proveedores[Ruc / Dni]),2,0),"")</f>
        <v>20100055237</v>
      </c>
      <c r="W3524" s="25"/>
      <c r="X3524" s="25"/>
      <c r="Y3524" s="25"/>
      <c r="Z3524" s="77"/>
      <c r="AA3524" s="3" t="str">
        <f>IF(BCP_Soles[[#This Row],[fecha]]&gt;0,TEXT(BCP_Soles[[#This Row],[fecha]],"mmmm"),0)</f>
        <v>Agosto</v>
      </c>
    </row>
    <row r="3525" spans="1:27" x14ac:dyDescent="0.3">
      <c r="A3525" s="2">
        <f>IF(BCP_Soles[[#This Row],[tipo_registro]]="R",COUNTIFS($C$1:$C3524,"R")+1,A3524)</f>
        <v>2335</v>
      </c>
      <c r="B3525" s="19" t="str">
        <f t="shared" si="281"/>
        <v>B-BCP - Soles</v>
      </c>
      <c r="C3525" s="3" t="s">
        <v>1330</v>
      </c>
      <c r="D3525" s="14">
        <v>45897</v>
      </c>
      <c r="E3525" s="5" t="s">
        <v>1338</v>
      </c>
      <c r="F3525" s="5" t="s">
        <v>1336</v>
      </c>
      <c r="G3525" s="6" t="s">
        <v>196</v>
      </c>
      <c r="H3525" s="6" t="s">
        <v>68</v>
      </c>
      <c r="I3525" s="6" t="s">
        <v>2226</v>
      </c>
      <c r="J3525" s="6">
        <v>6799</v>
      </c>
      <c r="K3525" s="7" t="s">
        <v>2227</v>
      </c>
      <c r="L3525" s="8">
        <v>237885</v>
      </c>
      <c r="M3525" s="8" t="str">
        <f t="shared" si="282"/>
        <v>PEN</v>
      </c>
      <c r="N3525" s="13"/>
      <c r="O3525" s="13">
        <v>5.73</v>
      </c>
      <c r="P3525" s="3">
        <f t="shared" si="283"/>
        <v>0</v>
      </c>
      <c r="Q3525" s="3">
        <f t="shared" si="284"/>
        <v>5.73</v>
      </c>
      <c r="R3525" s="3">
        <f t="shared" si="280"/>
        <v>25745.529999999988</v>
      </c>
      <c r="S3525" s="24" t="s">
        <v>1334</v>
      </c>
      <c r="T3525" s="24" t="s">
        <v>1334</v>
      </c>
      <c r="U3525" s="56" t="s">
        <v>4338</v>
      </c>
      <c r="V3525" s="25">
        <f>IFERROR(VLOOKUP(BCP_Soles[[#This Row],[destinatario]],CHOOSE({1,2},Clientes_Proveedores[Razon Social],Clientes_Proveedores[Ruc / Dni]),2,0),"")</f>
        <v>20100055237</v>
      </c>
      <c r="W3525" s="25"/>
      <c r="X3525" s="25"/>
      <c r="Y3525" s="25"/>
      <c r="Z3525" s="77"/>
      <c r="AA3525" s="3" t="str">
        <f>IF(BCP_Soles[[#This Row],[fecha]]&gt;0,TEXT(BCP_Soles[[#This Row],[fecha]],"mmmm"),0)</f>
        <v>Agosto</v>
      </c>
    </row>
    <row r="3526" spans="1:27" x14ac:dyDescent="0.3">
      <c r="A3526" s="2">
        <f>IF(BCP_Soles[[#This Row],[tipo_registro]]="R",COUNTIFS($C$1:$C3525,"R")+1,A3525)</f>
        <v>2336</v>
      </c>
      <c r="B3526" s="19" t="str">
        <f t="shared" si="281"/>
        <v>B-BCP - Soles</v>
      </c>
      <c r="C3526" s="3" t="s">
        <v>1330</v>
      </c>
      <c r="D3526" s="14">
        <v>45897</v>
      </c>
      <c r="E3526" s="5" t="s">
        <v>1338</v>
      </c>
      <c r="F3526" s="5" t="s">
        <v>1336</v>
      </c>
      <c r="G3526" s="6" t="s">
        <v>196</v>
      </c>
      <c r="H3526" s="6" t="s">
        <v>68</v>
      </c>
      <c r="I3526" s="6" t="s">
        <v>2226</v>
      </c>
      <c r="J3526" s="6">
        <v>6803</v>
      </c>
      <c r="K3526" s="7" t="s">
        <v>2227</v>
      </c>
      <c r="L3526" s="8">
        <v>238857</v>
      </c>
      <c r="M3526" s="8" t="str">
        <f t="shared" si="282"/>
        <v>PEN</v>
      </c>
      <c r="N3526" s="13"/>
      <c r="O3526" s="13">
        <v>37.840000000000003</v>
      </c>
      <c r="P3526" s="3">
        <f t="shared" si="283"/>
        <v>0</v>
      </c>
      <c r="Q3526" s="3">
        <f t="shared" si="284"/>
        <v>37.840000000000003</v>
      </c>
      <c r="R3526" s="3">
        <f t="shared" si="280"/>
        <v>25707.689999999988</v>
      </c>
      <c r="S3526" s="24" t="s">
        <v>1334</v>
      </c>
      <c r="T3526" s="24" t="s">
        <v>1334</v>
      </c>
      <c r="U3526" s="56" t="s">
        <v>4339</v>
      </c>
      <c r="V3526" s="25">
        <f>IFERROR(VLOOKUP(BCP_Soles[[#This Row],[destinatario]],CHOOSE({1,2},Clientes_Proveedores[Razon Social],Clientes_Proveedores[Ruc / Dni]),2,0),"")</f>
        <v>20100055237</v>
      </c>
      <c r="W3526" s="25"/>
      <c r="X3526" s="25"/>
      <c r="Y3526" s="25"/>
      <c r="Z3526" s="77"/>
      <c r="AA3526" s="3" t="str">
        <f>IF(BCP_Soles[[#This Row],[fecha]]&gt;0,TEXT(BCP_Soles[[#This Row],[fecha]],"mmmm"),0)</f>
        <v>Agosto</v>
      </c>
    </row>
    <row r="3527" spans="1:27" x14ac:dyDescent="0.3">
      <c r="A3527" s="2">
        <f>IF(BCP_Soles[[#This Row],[tipo_registro]]="R",COUNTIFS($C$1:$C3526,"R")+1,A3526)</f>
        <v>2337</v>
      </c>
      <c r="B3527" s="19" t="str">
        <f t="shared" si="281"/>
        <v>B-BCP - Soles</v>
      </c>
      <c r="C3527" s="3" t="s">
        <v>1330</v>
      </c>
      <c r="D3527" s="14">
        <v>45897</v>
      </c>
      <c r="E3527" s="5" t="s">
        <v>1338</v>
      </c>
      <c r="F3527" s="5" t="s">
        <v>1336</v>
      </c>
      <c r="G3527" s="6" t="s">
        <v>196</v>
      </c>
      <c r="H3527" s="6" t="s">
        <v>68</v>
      </c>
      <c r="I3527" s="6" t="s">
        <v>2226</v>
      </c>
      <c r="J3527" s="6">
        <v>6804</v>
      </c>
      <c r="K3527" s="7" t="s">
        <v>2227</v>
      </c>
      <c r="L3527" s="8">
        <v>237395</v>
      </c>
      <c r="M3527" s="8" t="str">
        <f t="shared" si="282"/>
        <v>PEN</v>
      </c>
      <c r="N3527" s="13"/>
      <c r="O3527" s="13">
        <v>694.56</v>
      </c>
      <c r="P3527" s="3">
        <f t="shared" si="283"/>
        <v>0</v>
      </c>
      <c r="Q3527" s="3">
        <f t="shared" si="284"/>
        <v>694.56</v>
      </c>
      <c r="R3527" s="3">
        <f t="shared" si="280"/>
        <v>25013.129999999986</v>
      </c>
      <c r="S3527" s="24" t="s">
        <v>1334</v>
      </c>
      <c r="T3527" s="24" t="s">
        <v>1334</v>
      </c>
      <c r="U3527" s="56" t="s">
        <v>4340</v>
      </c>
      <c r="V3527" s="25">
        <f>IFERROR(VLOOKUP(BCP_Soles[[#This Row],[destinatario]],CHOOSE({1,2},Clientes_Proveedores[Razon Social],Clientes_Proveedores[Ruc / Dni]),2,0),"")</f>
        <v>20100055237</v>
      </c>
      <c r="W3527" s="25"/>
      <c r="X3527" s="25"/>
      <c r="Y3527" s="25"/>
      <c r="Z3527" s="77"/>
      <c r="AA3527" s="3" t="str">
        <f>IF(BCP_Soles[[#This Row],[fecha]]&gt;0,TEXT(BCP_Soles[[#This Row],[fecha]],"mmmm"),0)</f>
        <v>Agosto</v>
      </c>
    </row>
    <row r="3528" spans="1:27" x14ac:dyDescent="0.3">
      <c r="A3528" s="2">
        <f>IF(BCP_Soles[[#This Row],[tipo_registro]]="R",COUNTIFS($C$1:$C3527,"R")+1,A3527)</f>
        <v>2338</v>
      </c>
      <c r="B3528" s="19" t="str">
        <f t="shared" si="281"/>
        <v>B-BCP - Soles</v>
      </c>
      <c r="C3528" s="3" t="s">
        <v>1330</v>
      </c>
      <c r="D3528" s="14">
        <v>45897</v>
      </c>
      <c r="E3528" s="5" t="s">
        <v>1338</v>
      </c>
      <c r="F3528" s="5" t="s">
        <v>1336</v>
      </c>
      <c r="G3528" s="6" t="s">
        <v>196</v>
      </c>
      <c r="H3528" s="6" t="s">
        <v>68</v>
      </c>
      <c r="I3528" s="6" t="s">
        <v>2226</v>
      </c>
      <c r="J3528" s="6">
        <v>6811</v>
      </c>
      <c r="K3528" s="7" t="s">
        <v>2227</v>
      </c>
      <c r="L3528" s="8">
        <v>236427</v>
      </c>
      <c r="M3528" s="8" t="str">
        <f t="shared" si="282"/>
        <v>PEN</v>
      </c>
      <c r="N3528" s="13"/>
      <c r="O3528" s="13">
        <v>53.72</v>
      </c>
      <c r="P3528" s="3">
        <f t="shared" si="283"/>
        <v>0</v>
      </c>
      <c r="Q3528" s="3">
        <f t="shared" si="284"/>
        <v>53.72</v>
      </c>
      <c r="R3528" s="3">
        <f t="shared" si="280"/>
        <v>24959.409999999985</v>
      </c>
      <c r="S3528" s="24" t="s">
        <v>1334</v>
      </c>
      <c r="T3528" s="24" t="s">
        <v>1334</v>
      </c>
      <c r="U3528" s="56" t="s">
        <v>4341</v>
      </c>
      <c r="V3528" s="25">
        <f>IFERROR(VLOOKUP(BCP_Soles[[#This Row],[destinatario]],CHOOSE({1,2},Clientes_Proveedores[Razon Social],Clientes_Proveedores[Ruc / Dni]),2,0),"")</f>
        <v>20100055237</v>
      </c>
      <c r="W3528" s="25"/>
      <c r="X3528" s="25"/>
      <c r="Y3528" s="25"/>
      <c r="Z3528" s="77"/>
      <c r="AA3528" s="3" t="str">
        <f>IF(BCP_Soles[[#This Row],[fecha]]&gt;0,TEXT(BCP_Soles[[#This Row],[fecha]],"mmmm"),0)</f>
        <v>Agosto</v>
      </c>
    </row>
    <row r="3529" spans="1:27" x14ac:dyDescent="0.3">
      <c r="A3529" s="2">
        <f>IF(BCP_Soles[[#This Row],[tipo_registro]]="R",COUNTIFS($C$1:$C3528,"R")+1,A3528)</f>
        <v>2339</v>
      </c>
      <c r="B3529" s="19" t="str">
        <f t="shared" si="281"/>
        <v>B-BCP - Soles</v>
      </c>
      <c r="C3529" s="3" t="s">
        <v>1330</v>
      </c>
      <c r="D3529" s="14">
        <v>45897</v>
      </c>
      <c r="E3529" s="5" t="s">
        <v>1338</v>
      </c>
      <c r="F3529" s="5" t="s">
        <v>1336</v>
      </c>
      <c r="G3529" s="6" t="s">
        <v>196</v>
      </c>
      <c r="H3529" s="6" t="s">
        <v>68</v>
      </c>
      <c r="I3529" s="6" t="s">
        <v>2226</v>
      </c>
      <c r="J3529" s="6">
        <v>6813</v>
      </c>
      <c r="K3529" s="7" t="s">
        <v>2227</v>
      </c>
      <c r="L3529" s="8">
        <v>239304</v>
      </c>
      <c r="M3529" s="8" t="str">
        <f t="shared" si="282"/>
        <v>PEN</v>
      </c>
      <c r="N3529" s="13"/>
      <c r="O3529" s="13">
        <v>20.010000000000002</v>
      </c>
      <c r="P3529" s="3">
        <f t="shared" si="283"/>
        <v>0</v>
      </c>
      <c r="Q3529" s="3">
        <f t="shared" si="284"/>
        <v>20.010000000000002</v>
      </c>
      <c r="R3529" s="3">
        <f t="shared" ref="R3529:R3592" si="285">IFERROR(IF(F3529="SALDO",P3529,R3528+P3529-Q3529),0)</f>
        <v>24939.399999999987</v>
      </c>
      <c r="S3529" s="24" t="s">
        <v>1334</v>
      </c>
      <c r="T3529" s="24" t="s">
        <v>1334</v>
      </c>
      <c r="U3529" s="56" t="s">
        <v>4342</v>
      </c>
      <c r="V3529" s="25">
        <f>IFERROR(VLOOKUP(BCP_Soles[[#This Row],[destinatario]],CHOOSE({1,2},Clientes_Proveedores[Razon Social],Clientes_Proveedores[Ruc / Dni]),2,0),"")</f>
        <v>20100055237</v>
      </c>
      <c r="W3529" s="25"/>
      <c r="X3529" s="25"/>
      <c r="Y3529" s="25"/>
      <c r="Z3529" s="77"/>
      <c r="AA3529" s="3" t="str">
        <f>IF(BCP_Soles[[#This Row],[fecha]]&gt;0,TEXT(BCP_Soles[[#This Row],[fecha]],"mmmm"),0)</f>
        <v>Agosto</v>
      </c>
    </row>
    <row r="3530" spans="1:27" x14ac:dyDescent="0.3">
      <c r="A3530" s="2">
        <f>IF(BCP_Soles[[#This Row],[tipo_registro]]="R",COUNTIFS($C$1:$C3529,"R")+1,A3529)</f>
        <v>2340</v>
      </c>
      <c r="B3530" s="19" t="str">
        <f t="shared" si="281"/>
        <v>B-BCP - Soles</v>
      </c>
      <c r="C3530" s="3" t="s">
        <v>1330</v>
      </c>
      <c r="D3530" s="14">
        <v>45897</v>
      </c>
      <c r="E3530" s="5" t="s">
        <v>1338</v>
      </c>
      <c r="F3530" s="5" t="s">
        <v>1336</v>
      </c>
      <c r="G3530" s="6" t="s">
        <v>196</v>
      </c>
      <c r="H3530" s="6" t="s">
        <v>68</v>
      </c>
      <c r="I3530" s="6" t="s">
        <v>2226</v>
      </c>
      <c r="J3530" s="6">
        <v>6812</v>
      </c>
      <c r="K3530" s="7" t="s">
        <v>2227</v>
      </c>
      <c r="L3530" s="8">
        <v>239796</v>
      </c>
      <c r="M3530" s="8" t="str">
        <f t="shared" si="282"/>
        <v>PEN</v>
      </c>
      <c r="N3530" s="13"/>
      <c r="O3530" s="13">
        <v>523.96</v>
      </c>
      <c r="P3530" s="3">
        <f t="shared" si="283"/>
        <v>0</v>
      </c>
      <c r="Q3530" s="3">
        <f t="shared" si="284"/>
        <v>523.96</v>
      </c>
      <c r="R3530" s="3">
        <f t="shared" si="285"/>
        <v>24415.439999999988</v>
      </c>
      <c r="S3530" s="24" t="s">
        <v>1334</v>
      </c>
      <c r="T3530" s="24" t="s">
        <v>1334</v>
      </c>
      <c r="U3530" s="56" t="s">
        <v>4343</v>
      </c>
      <c r="V3530" s="25">
        <f>IFERROR(VLOOKUP(BCP_Soles[[#This Row],[destinatario]],CHOOSE({1,2},Clientes_Proveedores[Razon Social],Clientes_Proveedores[Ruc / Dni]),2,0),"")</f>
        <v>20100055237</v>
      </c>
      <c r="W3530" s="25"/>
      <c r="X3530" s="25"/>
      <c r="Y3530" s="25"/>
      <c r="Z3530" s="77"/>
      <c r="AA3530" s="3" t="str">
        <f>IF(BCP_Soles[[#This Row],[fecha]]&gt;0,TEXT(BCP_Soles[[#This Row],[fecha]],"mmmm"),0)</f>
        <v>Agosto</v>
      </c>
    </row>
    <row r="3531" spans="1:27" x14ac:dyDescent="0.3">
      <c r="A3531" s="2">
        <f>IF(BCP_Soles[[#This Row],[tipo_registro]]="R",COUNTIFS($C$1:$C3530,"R")+1,A3530)</f>
        <v>2341</v>
      </c>
      <c r="B3531" s="19" t="str">
        <f t="shared" si="281"/>
        <v>B-BCP - Soles</v>
      </c>
      <c r="C3531" s="3" t="s">
        <v>1330</v>
      </c>
      <c r="D3531" s="14">
        <v>45897</v>
      </c>
      <c r="E3531" s="5" t="s">
        <v>1338</v>
      </c>
      <c r="F3531" s="5" t="s">
        <v>1336</v>
      </c>
      <c r="G3531" s="6" t="s">
        <v>196</v>
      </c>
      <c r="H3531" s="6" t="s">
        <v>68</v>
      </c>
      <c r="I3531" s="6" t="s">
        <v>2226</v>
      </c>
      <c r="J3531" s="6">
        <v>6808</v>
      </c>
      <c r="K3531" s="7" t="s">
        <v>2227</v>
      </c>
      <c r="L3531" s="8">
        <v>238376</v>
      </c>
      <c r="M3531" s="8" t="str">
        <f t="shared" si="282"/>
        <v>PEN</v>
      </c>
      <c r="N3531" s="13"/>
      <c r="O3531" s="13">
        <v>65.459999999999994</v>
      </c>
      <c r="P3531" s="3">
        <f t="shared" si="283"/>
        <v>0</v>
      </c>
      <c r="Q3531" s="3">
        <f t="shared" si="284"/>
        <v>65.459999999999994</v>
      </c>
      <c r="R3531" s="3">
        <f t="shared" si="285"/>
        <v>24349.979999999989</v>
      </c>
      <c r="S3531" s="24" t="s">
        <v>1334</v>
      </c>
      <c r="T3531" s="24" t="s">
        <v>1334</v>
      </c>
      <c r="U3531" s="56" t="s">
        <v>4344</v>
      </c>
      <c r="V3531" s="25">
        <f>IFERROR(VLOOKUP(BCP_Soles[[#This Row],[destinatario]],CHOOSE({1,2},Clientes_Proveedores[Razon Social],Clientes_Proveedores[Ruc / Dni]),2,0),"")</f>
        <v>20100055237</v>
      </c>
      <c r="W3531" s="25"/>
      <c r="X3531" s="25"/>
      <c r="Y3531" s="25"/>
      <c r="Z3531" s="77"/>
      <c r="AA3531" s="3" t="str">
        <f>IF(BCP_Soles[[#This Row],[fecha]]&gt;0,TEXT(BCP_Soles[[#This Row],[fecha]],"mmmm"),0)</f>
        <v>Agosto</v>
      </c>
    </row>
    <row r="3532" spans="1:27" x14ac:dyDescent="0.3">
      <c r="A3532" s="2">
        <f>IF(BCP_Soles[[#This Row],[tipo_registro]]="R",COUNTIFS($C$1:$C3531,"R")+1,A3531)</f>
        <v>2342</v>
      </c>
      <c r="B3532" s="19" t="str">
        <f t="shared" si="281"/>
        <v>B-BCP - Soles</v>
      </c>
      <c r="C3532" s="3" t="s">
        <v>1330</v>
      </c>
      <c r="D3532" s="14">
        <v>45897</v>
      </c>
      <c r="E3532" s="5" t="s">
        <v>1338</v>
      </c>
      <c r="F3532" s="5" t="s">
        <v>1336</v>
      </c>
      <c r="G3532" s="6" t="s">
        <v>196</v>
      </c>
      <c r="H3532" s="6" t="s">
        <v>68</v>
      </c>
      <c r="I3532" s="6" t="s">
        <v>2226</v>
      </c>
      <c r="J3532" s="6">
        <v>6810</v>
      </c>
      <c r="K3532" s="7" t="s">
        <v>2227</v>
      </c>
      <c r="L3532" s="8">
        <v>238377</v>
      </c>
      <c r="M3532" s="8" t="str">
        <f t="shared" si="282"/>
        <v>PEN</v>
      </c>
      <c r="N3532" s="13"/>
      <c r="O3532" s="13">
        <v>52.36</v>
      </c>
      <c r="P3532" s="3">
        <f t="shared" si="283"/>
        <v>0</v>
      </c>
      <c r="Q3532" s="3">
        <f t="shared" si="284"/>
        <v>52.36</v>
      </c>
      <c r="R3532" s="3">
        <f t="shared" si="285"/>
        <v>24297.619999999988</v>
      </c>
      <c r="S3532" s="24" t="s">
        <v>1334</v>
      </c>
      <c r="T3532" s="24" t="s">
        <v>1334</v>
      </c>
      <c r="U3532" s="56" t="s">
        <v>4345</v>
      </c>
      <c r="V3532" s="25">
        <f>IFERROR(VLOOKUP(BCP_Soles[[#This Row],[destinatario]],CHOOSE({1,2},Clientes_Proveedores[Razon Social],Clientes_Proveedores[Ruc / Dni]),2,0),"")</f>
        <v>20100055237</v>
      </c>
      <c r="W3532" s="25"/>
      <c r="X3532" s="25"/>
      <c r="Y3532" s="25"/>
      <c r="Z3532" s="77"/>
      <c r="AA3532" s="3" t="str">
        <f>IF(BCP_Soles[[#This Row],[fecha]]&gt;0,TEXT(BCP_Soles[[#This Row],[fecha]],"mmmm"),0)</f>
        <v>Agosto</v>
      </c>
    </row>
    <row r="3533" spans="1:27" x14ac:dyDescent="0.3">
      <c r="A3533" s="2">
        <f>IF(BCP_Soles[[#This Row],[tipo_registro]]="R",COUNTIFS($C$1:$C3532,"R")+1,A3532)</f>
        <v>2343</v>
      </c>
      <c r="B3533" s="19" t="str">
        <f t="shared" si="281"/>
        <v>B-BCP - Soles</v>
      </c>
      <c r="C3533" s="3" t="s">
        <v>1330</v>
      </c>
      <c r="D3533" s="14">
        <v>45897</v>
      </c>
      <c r="E3533" s="5" t="s">
        <v>1338</v>
      </c>
      <c r="F3533" s="5" t="s">
        <v>1336</v>
      </c>
      <c r="G3533" s="6" t="s">
        <v>196</v>
      </c>
      <c r="H3533" s="6" t="s">
        <v>68</v>
      </c>
      <c r="I3533" s="6" t="s">
        <v>2226</v>
      </c>
      <c r="J3533" s="6">
        <v>6809</v>
      </c>
      <c r="K3533" s="7" t="s">
        <v>2227</v>
      </c>
      <c r="L3533" s="8">
        <v>239795</v>
      </c>
      <c r="M3533" s="8" t="str">
        <f t="shared" si="282"/>
        <v>PEN</v>
      </c>
      <c r="N3533" s="13"/>
      <c r="O3533" s="13">
        <v>63.34</v>
      </c>
      <c r="P3533" s="3">
        <f t="shared" si="283"/>
        <v>0</v>
      </c>
      <c r="Q3533" s="3">
        <f t="shared" si="284"/>
        <v>63.34</v>
      </c>
      <c r="R3533" s="3">
        <f t="shared" si="285"/>
        <v>24234.279999999988</v>
      </c>
      <c r="S3533" s="24" t="s">
        <v>1334</v>
      </c>
      <c r="T3533" s="24" t="s">
        <v>1334</v>
      </c>
      <c r="U3533" s="56" t="s">
        <v>4346</v>
      </c>
      <c r="V3533" s="25">
        <f>IFERROR(VLOOKUP(BCP_Soles[[#This Row],[destinatario]],CHOOSE({1,2},Clientes_Proveedores[Razon Social],Clientes_Proveedores[Ruc / Dni]),2,0),"")</f>
        <v>20100055237</v>
      </c>
      <c r="W3533" s="25"/>
      <c r="X3533" s="25"/>
      <c r="Y3533" s="25"/>
      <c r="Z3533" s="77"/>
      <c r="AA3533" s="3" t="str">
        <f>IF(BCP_Soles[[#This Row],[fecha]]&gt;0,TEXT(BCP_Soles[[#This Row],[fecha]],"mmmm"),0)</f>
        <v>Agosto</v>
      </c>
    </row>
    <row r="3534" spans="1:27" x14ac:dyDescent="0.3">
      <c r="A3534" s="2">
        <f>IF(BCP_Soles[[#This Row],[tipo_registro]]="R",COUNTIFS($C$1:$C3533,"R")+1,A3533)</f>
        <v>2344</v>
      </c>
      <c r="B3534" s="19" t="str">
        <f t="shared" si="281"/>
        <v>B-BCP - Soles</v>
      </c>
      <c r="C3534" s="3" t="s">
        <v>1330</v>
      </c>
      <c r="D3534" s="14">
        <v>45897</v>
      </c>
      <c r="E3534" s="5" t="s">
        <v>1338</v>
      </c>
      <c r="F3534" s="5" t="s">
        <v>1336</v>
      </c>
      <c r="G3534" s="6" t="s">
        <v>196</v>
      </c>
      <c r="H3534" s="6" t="s">
        <v>68</v>
      </c>
      <c r="I3534" s="6" t="s">
        <v>2226</v>
      </c>
      <c r="J3534" s="6">
        <v>6807</v>
      </c>
      <c r="K3534" s="7" t="s">
        <v>2227</v>
      </c>
      <c r="L3534" s="8">
        <v>239303</v>
      </c>
      <c r="M3534" s="8" t="str">
        <f t="shared" si="282"/>
        <v>PEN</v>
      </c>
      <c r="N3534" s="13"/>
      <c r="O3534" s="13">
        <v>1.77</v>
      </c>
      <c r="P3534" s="3">
        <f t="shared" si="283"/>
        <v>0</v>
      </c>
      <c r="Q3534" s="3">
        <f t="shared" si="284"/>
        <v>1.77</v>
      </c>
      <c r="R3534" s="3">
        <f t="shared" si="285"/>
        <v>24232.509999999987</v>
      </c>
      <c r="S3534" s="24" t="s">
        <v>1334</v>
      </c>
      <c r="T3534" s="24" t="s">
        <v>1334</v>
      </c>
      <c r="U3534" s="56" t="s">
        <v>4347</v>
      </c>
      <c r="V3534" s="25">
        <f>IFERROR(VLOOKUP(BCP_Soles[[#This Row],[destinatario]],CHOOSE({1,2},Clientes_Proveedores[Razon Social],Clientes_Proveedores[Ruc / Dni]),2,0),"")</f>
        <v>20100055237</v>
      </c>
      <c r="W3534" s="25"/>
      <c r="X3534" s="25"/>
      <c r="Y3534" s="25"/>
      <c r="Z3534" s="77"/>
      <c r="AA3534" s="3" t="str">
        <f>IF(BCP_Soles[[#This Row],[fecha]]&gt;0,TEXT(BCP_Soles[[#This Row],[fecha]],"mmmm"),0)</f>
        <v>Agosto</v>
      </c>
    </row>
    <row r="3535" spans="1:27" x14ac:dyDescent="0.3">
      <c r="A3535" s="2">
        <f>IF(BCP_Soles[[#This Row],[tipo_registro]]="R",COUNTIFS($C$1:$C3534,"R")+1,A3534)</f>
        <v>2345</v>
      </c>
      <c r="B3535" s="19" t="str">
        <f t="shared" si="281"/>
        <v>B-BCP - Soles</v>
      </c>
      <c r="C3535" s="3" t="s">
        <v>1330</v>
      </c>
      <c r="D3535" s="14">
        <v>45897</v>
      </c>
      <c r="E3535" s="5" t="s">
        <v>1338</v>
      </c>
      <c r="F3535" s="5" t="s">
        <v>1336</v>
      </c>
      <c r="G3535" s="6" t="s">
        <v>196</v>
      </c>
      <c r="H3535" s="6" t="s">
        <v>68</v>
      </c>
      <c r="I3535" s="6" t="s">
        <v>2226</v>
      </c>
      <c r="J3535" s="6">
        <v>6806</v>
      </c>
      <c r="K3535" s="7" t="s">
        <v>2227</v>
      </c>
      <c r="L3535" s="8">
        <v>236428</v>
      </c>
      <c r="M3535" s="8" t="str">
        <f t="shared" si="282"/>
        <v>PEN</v>
      </c>
      <c r="N3535" s="13"/>
      <c r="O3535" s="13">
        <v>84.71</v>
      </c>
      <c r="P3535" s="3">
        <f t="shared" si="283"/>
        <v>0</v>
      </c>
      <c r="Q3535" s="3">
        <f t="shared" si="284"/>
        <v>84.71</v>
      </c>
      <c r="R3535" s="3">
        <f t="shared" si="285"/>
        <v>24147.799999999988</v>
      </c>
      <c r="S3535" s="24" t="s">
        <v>1334</v>
      </c>
      <c r="T3535" s="24" t="s">
        <v>1334</v>
      </c>
      <c r="U3535" s="56" t="s">
        <v>4348</v>
      </c>
      <c r="V3535" s="25">
        <f>IFERROR(VLOOKUP(BCP_Soles[[#This Row],[destinatario]],CHOOSE({1,2},Clientes_Proveedores[Razon Social],Clientes_Proveedores[Ruc / Dni]),2,0),"")</f>
        <v>20100055237</v>
      </c>
      <c r="W3535" s="25"/>
      <c r="X3535" s="25"/>
      <c r="Y3535" s="25"/>
      <c r="Z3535" s="77"/>
      <c r="AA3535" s="3" t="str">
        <f>IF(BCP_Soles[[#This Row],[fecha]]&gt;0,TEXT(BCP_Soles[[#This Row],[fecha]],"mmmm"),0)</f>
        <v>Agosto</v>
      </c>
    </row>
    <row r="3536" spans="1:27" x14ac:dyDescent="0.3">
      <c r="A3536" s="2">
        <f>IF(BCP_Soles[[#This Row],[tipo_registro]]="R",COUNTIFS($C$1:$C3535,"R")+1,A3535)</f>
        <v>2346</v>
      </c>
      <c r="B3536" s="19" t="str">
        <f t="shared" si="281"/>
        <v>B-BCP - Soles</v>
      </c>
      <c r="C3536" s="3" t="s">
        <v>1330</v>
      </c>
      <c r="D3536" s="14">
        <v>45897</v>
      </c>
      <c r="E3536" s="5" t="s">
        <v>1338</v>
      </c>
      <c r="F3536" s="5" t="s">
        <v>1336</v>
      </c>
      <c r="G3536" s="6" t="s">
        <v>196</v>
      </c>
      <c r="H3536" s="6" t="s">
        <v>68</v>
      </c>
      <c r="I3536" s="6" t="s">
        <v>2226</v>
      </c>
      <c r="J3536" s="6">
        <v>6805</v>
      </c>
      <c r="K3536" s="7" t="s">
        <v>2227</v>
      </c>
      <c r="L3536" s="8">
        <v>236429</v>
      </c>
      <c r="M3536" s="8" t="str">
        <f t="shared" si="282"/>
        <v>PEN</v>
      </c>
      <c r="N3536" s="13"/>
      <c r="O3536" s="13">
        <v>42.74</v>
      </c>
      <c r="P3536" s="3">
        <f t="shared" si="283"/>
        <v>0</v>
      </c>
      <c r="Q3536" s="3">
        <f t="shared" si="284"/>
        <v>42.74</v>
      </c>
      <c r="R3536" s="3">
        <f t="shared" si="285"/>
        <v>24105.059999999987</v>
      </c>
      <c r="S3536" s="24" t="s">
        <v>1334</v>
      </c>
      <c r="T3536" s="24" t="s">
        <v>1334</v>
      </c>
      <c r="U3536" s="56" t="s">
        <v>4349</v>
      </c>
      <c r="V3536" s="25">
        <f>IFERROR(VLOOKUP(BCP_Soles[[#This Row],[destinatario]],CHOOSE({1,2},Clientes_Proveedores[Razon Social],Clientes_Proveedores[Ruc / Dni]),2,0),"")</f>
        <v>20100055237</v>
      </c>
      <c r="W3536" s="25"/>
      <c r="X3536" s="25"/>
      <c r="Y3536" s="25"/>
      <c r="Z3536" s="77"/>
      <c r="AA3536" s="3" t="str">
        <f>IF(BCP_Soles[[#This Row],[fecha]]&gt;0,TEXT(BCP_Soles[[#This Row],[fecha]],"mmmm"),0)</f>
        <v>Agosto</v>
      </c>
    </row>
    <row r="3537" spans="1:27" ht="24" x14ac:dyDescent="0.3">
      <c r="A3537" s="2">
        <f>IF(BCP_Soles[[#This Row],[tipo_registro]]="R",COUNTIFS($C$1:$C3536,"R")+1,A3536)</f>
        <v>2347</v>
      </c>
      <c r="B3537" s="19" t="str">
        <f t="shared" si="281"/>
        <v>B-BCP - Soles</v>
      </c>
      <c r="C3537" s="3" t="s">
        <v>1330</v>
      </c>
      <c r="D3537" s="14">
        <v>45897</v>
      </c>
      <c r="E3537" s="5" t="s">
        <v>1338</v>
      </c>
      <c r="F3537" s="5" t="s">
        <v>1336</v>
      </c>
      <c r="G3537" s="6" t="s">
        <v>249</v>
      </c>
      <c r="H3537" s="6"/>
      <c r="I3537" s="6"/>
      <c r="J3537" s="6"/>
      <c r="K3537" s="7" t="s">
        <v>4350</v>
      </c>
      <c r="L3537" s="8">
        <v>1238858</v>
      </c>
      <c r="M3537" s="8" t="str">
        <f t="shared" si="282"/>
        <v>PEN</v>
      </c>
      <c r="N3537" s="13"/>
      <c r="O3537" s="13">
        <v>3000</v>
      </c>
      <c r="P3537" s="3">
        <f t="shared" si="283"/>
        <v>0</v>
      </c>
      <c r="Q3537" s="3">
        <f t="shared" si="284"/>
        <v>3000</v>
      </c>
      <c r="R3537" s="3">
        <f t="shared" si="285"/>
        <v>21105.059999999987</v>
      </c>
      <c r="S3537" s="24"/>
      <c r="T3537" s="24" t="s">
        <v>1334</v>
      </c>
      <c r="U3537" s="56" t="s">
        <v>4351</v>
      </c>
      <c r="V3537" s="25">
        <f>IFERROR(VLOOKUP(BCP_Soles[[#This Row],[destinatario]],CHOOSE({1,2},Clientes_Proveedores[Razon Social],Clientes_Proveedores[Ruc / Dni]),2,0),"")</f>
        <v>20302891452</v>
      </c>
      <c r="W3537" s="25"/>
      <c r="X3537" s="25"/>
      <c r="Y3537" s="25"/>
      <c r="Z3537" s="77"/>
      <c r="AA3537" s="3" t="str">
        <f>IF(BCP_Soles[[#This Row],[fecha]]&gt;0,TEXT(BCP_Soles[[#This Row],[fecha]],"mmmm"),0)</f>
        <v>Agosto</v>
      </c>
    </row>
    <row r="3538" spans="1:27" ht="24" x14ac:dyDescent="0.3">
      <c r="A3538" s="2">
        <f>IF(BCP_Soles[[#This Row],[tipo_registro]]="R",COUNTIFS($C$1:$C3537,"R")+1,A3537)</f>
        <v>2348</v>
      </c>
      <c r="B3538" s="19" t="str">
        <f t="shared" si="281"/>
        <v>B-BCP - Soles</v>
      </c>
      <c r="C3538" s="3" t="s">
        <v>1330</v>
      </c>
      <c r="D3538" s="14">
        <v>45897</v>
      </c>
      <c r="E3538" s="5" t="s">
        <v>1338</v>
      </c>
      <c r="F3538" s="5" t="s">
        <v>1336</v>
      </c>
      <c r="G3538" s="6" t="s">
        <v>1112</v>
      </c>
      <c r="H3538" s="6" t="s">
        <v>68</v>
      </c>
      <c r="I3538" s="6" t="s">
        <v>1376</v>
      </c>
      <c r="J3538" s="6">
        <v>48</v>
      </c>
      <c r="K3538" s="7" t="s">
        <v>4352</v>
      </c>
      <c r="L3538" s="8">
        <v>1239797</v>
      </c>
      <c r="M3538" s="8" t="str">
        <f t="shared" si="282"/>
        <v>PEN</v>
      </c>
      <c r="N3538" s="13"/>
      <c r="O3538" s="13">
        <v>1056</v>
      </c>
      <c r="P3538" s="3">
        <f t="shared" si="283"/>
        <v>0</v>
      </c>
      <c r="Q3538" s="3">
        <f t="shared" si="284"/>
        <v>1056</v>
      </c>
      <c r="R3538" s="3">
        <f t="shared" si="285"/>
        <v>20049.059999999987</v>
      </c>
      <c r="S3538" s="24" t="s">
        <v>1334</v>
      </c>
      <c r="T3538" s="24" t="s">
        <v>1334</v>
      </c>
      <c r="U3538" s="56" t="s">
        <v>4353</v>
      </c>
      <c r="V3538" s="25">
        <f>IFERROR(VLOOKUP(BCP_Soles[[#This Row],[destinatario]],CHOOSE({1,2},Clientes_Proveedores[Razon Social],Clientes_Proveedores[Ruc / Dni]),2,0),"")</f>
        <v>10295579221</v>
      </c>
      <c r="W3538" s="25"/>
      <c r="X3538" s="25"/>
      <c r="Y3538" s="25"/>
      <c r="Z3538" s="77"/>
      <c r="AA3538" s="3" t="str">
        <f>IF(BCP_Soles[[#This Row],[fecha]]&gt;0,TEXT(BCP_Soles[[#This Row],[fecha]],"mmmm"),0)</f>
        <v>Agosto</v>
      </c>
    </row>
    <row r="3539" spans="1:27" x14ac:dyDescent="0.3">
      <c r="A3539" s="2">
        <f>IF(BCP_Soles[[#This Row],[tipo_registro]]="R",COUNTIFS($C$1:$C3538,"R")+1,A3538)</f>
        <v>2349</v>
      </c>
      <c r="B3539" s="19" t="str">
        <f t="shared" si="281"/>
        <v>B-BCP - Soles</v>
      </c>
      <c r="C3539" s="3" t="s">
        <v>1330</v>
      </c>
      <c r="D3539" s="14">
        <v>45897</v>
      </c>
      <c r="E3539" s="5" t="s">
        <v>1338</v>
      </c>
      <c r="F3539" s="5" t="s">
        <v>1336</v>
      </c>
      <c r="G3539" s="6" t="s">
        <v>696</v>
      </c>
      <c r="H3539" s="6"/>
      <c r="I3539" s="6"/>
      <c r="J3539" s="6"/>
      <c r="K3539" s="7" t="s">
        <v>4354</v>
      </c>
      <c r="L3539" s="8">
        <v>7618200</v>
      </c>
      <c r="M3539" s="8" t="str">
        <f t="shared" si="282"/>
        <v>PEN</v>
      </c>
      <c r="N3539" s="13"/>
      <c r="O3539" s="13">
        <v>197.9</v>
      </c>
      <c r="P3539" s="3">
        <f t="shared" si="283"/>
        <v>0</v>
      </c>
      <c r="Q3539" s="3">
        <f t="shared" si="284"/>
        <v>197.9</v>
      </c>
      <c r="R3539" s="3">
        <f t="shared" si="285"/>
        <v>19851.159999999985</v>
      </c>
      <c r="S3539" s="24" t="s">
        <v>1334</v>
      </c>
      <c r="T3539" s="24" t="s">
        <v>1334</v>
      </c>
      <c r="U3539" s="56" t="s">
        <v>4355</v>
      </c>
      <c r="V3539" s="25">
        <f>IFERROR(VLOOKUP(BCP_Soles[[#This Row],[destinatario]],CHOOSE({1,2},Clientes_Proveedores[Razon Social],Clientes_Proveedores[Ruc / Dni]),2,0),"")</f>
        <v>0</v>
      </c>
      <c r="W3539" s="25"/>
      <c r="X3539" s="25"/>
      <c r="Y3539" s="25"/>
      <c r="Z3539" s="77"/>
      <c r="AA3539" s="3" t="str">
        <f>IF(BCP_Soles[[#This Row],[fecha]]&gt;0,TEXT(BCP_Soles[[#This Row],[fecha]],"mmmm"),0)</f>
        <v>Agosto</v>
      </c>
    </row>
    <row r="3540" spans="1:27" ht="24" x14ac:dyDescent="0.3">
      <c r="A3540" s="2">
        <f>IF(BCP_Soles[[#This Row],[tipo_registro]]="R",COUNTIFS($C$1:$C3539,"R")+1,A3539)</f>
        <v>2349</v>
      </c>
      <c r="B3540" s="19" t="str">
        <f t="shared" si="281"/>
        <v>B-BCP - Soles</v>
      </c>
      <c r="C3540" s="3" t="s">
        <v>1352</v>
      </c>
      <c r="D3540" s="14">
        <v>45897</v>
      </c>
      <c r="E3540" s="5"/>
      <c r="F3540" s="5"/>
      <c r="G3540" s="6" t="s">
        <v>580</v>
      </c>
      <c r="H3540" s="6" t="s">
        <v>68</v>
      </c>
      <c r="I3540" s="51" t="s">
        <v>1376</v>
      </c>
      <c r="J3540" s="51">
        <v>3059</v>
      </c>
      <c r="K3540" s="7" t="s">
        <v>4354</v>
      </c>
      <c r="L3540" s="8">
        <v>7618200</v>
      </c>
      <c r="M3540" s="8" t="str">
        <f t="shared" si="282"/>
        <v>PEN</v>
      </c>
      <c r="N3540" s="13">
        <v>73</v>
      </c>
      <c r="O3540" s="13"/>
      <c r="P3540" s="3">
        <f t="shared" si="283"/>
        <v>0</v>
      </c>
      <c r="Q3540" s="3">
        <f t="shared" si="284"/>
        <v>0</v>
      </c>
      <c r="R3540" s="3">
        <f t="shared" si="285"/>
        <v>19851.159999999985</v>
      </c>
      <c r="S3540" s="24" t="s">
        <v>1334</v>
      </c>
      <c r="T3540" s="24" t="s">
        <v>1334</v>
      </c>
      <c r="U3540" s="56"/>
      <c r="V3540" s="25">
        <f>IFERROR(VLOOKUP(BCP_Soles[[#This Row],[destinatario]],CHOOSE({1,2},Clientes_Proveedores[Razon Social],Clientes_Proveedores[Ruc / Dni]),2,0),"")</f>
        <v>20609123762</v>
      </c>
      <c r="W3540" s="25"/>
      <c r="X3540" s="25" t="s">
        <v>4356</v>
      </c>
      <c r="Y3540" s="25"/>
      <c r="Z3540" s="77"/>
      <c r="AA3540" s="3" t="str">
        <f>IF(BCP_Soles[[#This Row],[fecha]]&gt;0,TEXT(BCP_Soles[[#This Row],[fecha]],"mmmm"),0)</f>
        <v>Agosto</v>
      </c>
    </row>
    <row r="3541" spans="1:27" ht="36" x14ac:dyDescent="0.3">
      <c r="A3541" s="2">
        <f>IF(BCP_Soles[[#This Row],[tipo_registro]]="R",COUNTIFS($C$1:$C3540,"R")+1,A3540)</f>
        <v>2349</v>
      </c>
      <c r="B3541" s="19" t="str">
        <f t="shared" si="281"/>
        <v>B-BCP - Soles</v>
      </c>
      <c r="C3541" s="3" t="s">
        <v>1352</v>
      </c>
      <c r="D3541" s="14">
        <v>45897</v>
      </c>
      <c r="E3541" s="5"/>
      <c r="F3541" s="5"/>
      <c r="G3541" s="6" t="s">
        <v>315</v>
      </c>
      <c r="H3541" s="6" t="s">
        <v>68</v>
      </c>
      <c r="I3541" s="6" t="s">
        <v>1376</v>
      </c>
      <c r="J3541" s="6">
        <v>2827</v>
      </c>
      <c r="K3541" s="7" t="s">
        <v>4354</v>
      </c>
      <c r="L3541" s="8">
        <v>7618200</v>
      </c>
      <c r="M3541" s="8" t="str">
        <f t="shared" si="282"/>
        <v>PEN</v>
      </c>
      <c r="N3541" s="13">
        <v>124.9</v>
      </c>
      <c r="O3541" s="13"/>
      <c r="P3541" s="3">
        <f t="shared" si="283"/>
        <v>0</v>
      </c>
      <c r="Q3541" s="3">
        <f t="shared" si="284"/>
        <v>0</v>
      </c>
      <c r="R3541" s="3">
        <f t="shared" si="285"/>
        <v>19851.159999999985</v>
      </c>
      <c r="S3541" s="24" t="s">
        <v>1334</v>
      </c>
      <c r="T3541" s="24" t="s">
        <v>1334</v>
      </c>
      <c r="U3541" s="56"/>
      <c r="V3541" s="25">
        <f>IFERROR(VLOOKUP(BCP_Soles[[#This Row],[destinatario]],CHOOSE({1,2},Clientes_Proveedores[Razon Social],Clientes_Proveedores[Ruc / Dni]),2,0),"")</f>
        <v>20456565353</v>
      </c>
      <c r="W3541" s="25"/>
      <c r="X3541" s="25"/>
      <c r="Y3541" s="25"/>
      <c r="Z3541" s="77"/>
      <c r="AA3541" s="3" t="str">
        <f>IF(BCP_Soles[[#This Row],[fecha]]&gt;0,TEXT(BCP_Soles[[#This Row],[fecha]],"mmmm"),0)</f>
        <v>Agosto</v>
      </c>
    </row>
    <row r="3542" spans="1:27" x14ac:dyDescent="0.3">
      <c r="A3542" s="2">
        <f>IF(BCP_Soles[[#This Row],[tipo_registro]]="R",COUNTIFS($C$1:$C3541,"R")+1,A3541)</f>
        <v>2350</v>
      </c>
      <c r="B3542" s="19" t="str">
        <f t="shared" si="281"/>
        <v>B-BCP - Soles</v>
      </c>
      <c r="C3542" s="3" t="s">
        <v>1330</v>
      </c>
      <c r="D3542" s="14">
        <v>45897</v>
      </c>
      <c r="E3542" s="5" t="s">
        <v>1335</v>
      </c>
      <c r="F3542" s="5" t="s">
        <v>1336</v>
      </c>
      <c r="G3542" s="6" t="s">
        <v>1009</v>
      </c>
      <c r="H3542" s="6" t="s">
        <v>64</v>
      </c>
      <c r="I3542" s="6" t="s">
        <v>3673</v>
      </c>
      <c r="J3542" s="6">
        <v>2352</v>
      </c>
      <c r="K3542" s="7" t="s">
        <v>3160</v>
      </c>
      <c r="L3542" s="8"/>
      <c r="M3542" s="8" t="str">
        <f t="shared" si="282"/>
        <v>PEN</v>
      </c>
      <c r="N3542" s="13"/>
      <c r="O3542" s="13">
        <v>0.55000000000000004</v>
      </c>
      <c r="P3542" s="3">
        <f t="shared" si="283"/>
        <v>0</v>
      </c>
      <c r="Q3542" s="3">
        <f t="shared" si="284"/>
        <v>0.55000000000000004</v>
      </c>
      <c r="R3542" s="3">
        <f t="shared" si="285"/>
        <v>19850.609999999986</v>
      </c>
      <c r="S3542" s="28" t="s">
        <v>1334</v>
      </c>
      <c r="T3542" s="28" t="s">
        <v>1334</v>
      </c>
      <c r="U3542" s="55"/>
      <c r="V3542" s="25">
        <f>IFERROR(VLOOKUP(BCP_Soles[[#This Row],[destinatario]],CHOOSE({1,2},Clientes_Proveedores[Razon Social],Clientes_Proveedores[Ruc / Dni]),2,0),"")</f>
        <v>11111111</v>
      </c>
      <c r="W3542" s="25"/>
      <c r="X3542" s="25"/>
      <c r="Y3542" s="25"/>
      <c r="Z3542" s="77"/>
      <c r="AA3542" s="3" t="str">
        <f>IF(BCP_Soles[[#This Row],[fecha]]&gt;0,TEXT(BCP_Soles[[#This Row],[fecha]],"mmmm"),0)</f>
        <v>Agosto</v>
      </c>
    </row>
    <row r="3543" spans="1:27" ht="24" x14ac:dyDescent="0.3">
      <c r="A3543" s="2">
        <f>IF(BCP_Soles[[#This Row],[tipo_registro]]="R",COUNTIFS($C$1:$C3542,"R")+1,A3542)</f>
        <v>2351</v>
      </c>
      <c r="B3543" s="19" t="str">
        <f t="shared" si="281"/>
        <v>B-BCP - Soles</v>
      </c>
      <c r="C3543" s="3" t="s">
        <v>1330</v>
      </c>
      <c r="D3543" s="14">
        <v>45898</v>
      </c>
      <c r="E3543" s="5" t="s">
        <v>4357</v>
      </c>
      <c r="F3543" s="5" t="s">
        <v>1303</v>
      </c>
      <c r="G3543" s="6" t="s">
        <v>425</v>
      </c>
      <c r="H3543" s="6" t="s">
        <v>119</v>
      </c>
      <c r="I3543" s="6">
        <v>2</v>
      </c>
      <c r="J3543" s="6">
        <v>832</v>
      </c>
      <c r="K3543" s="7" t="s">
        <v>1356</v>
      </c>
      <c r="L3543" s="8">
        <v>140553</v>
      </c>
      <c r="M3543" s="8" t="str">
        <f t="shared" si="282"/>
        <v>PEN</v>
      </c>
      <c r="N3543" s="13"/>
      <c r="O3543" s="13">
        <v>3542</v>
      </c>
      <c r="P3543" s="3">
        <f t="shared" si="283"/>
        <v>3542</v>
      </c>
      <c r="Q3543" s="3">
        <f t="shared" si="284"/>
        <v>0</v>
      </c>
      <c r="R3543" s="3">
        <f t="shared" si="285"/>
        <v>23392.609999999986</v>
      </c>
      <c r="S3543" s="24" t="s">
        <v>1334</v>
      </c>
      <c r="T3543" s="24" t="s">
        <v>1334</v>
      </c>
      <c r="U3543" s="55"/>
      <c r="V3543" s="25">
        <f>IFERROR(VLOOKUP(BCP_Soles[[#This Row],[destinatario]],CHOOSE({1,2},Clientes_Proveedores[Razon Social],Clientes_Proveedores[Ruc / Dni]),2,0),"")</f>
        <v>20558226979</v>
      </c>
      <c r="W3543" s="25"/>
      <c r="X3543" s="25"/>
      <c r="Y3543" s="25"/>
      <c r="Z3543" s="77"/>
      <c r="AA3543" s="3" t="str">
        <f>IF(BCP_Soles[[#This Row],[fecha]]&gt;0,TEXT(BCP_Soles[[#This Row],[fecha]],"mmmm"),0)</f>
        <v>Agosto</v>
      </c>
    </row>
    <row r="3544" spans="1:27" ht="24" x14ac:dyDescent="0.3">
      <c r="A3544" s="2">
        <f>IF(BCP_Soles[[#This Row],[tipo_registro]]="R",COUNTIFS($C$1:$C3543,"R")+1,A3543)</f>
        <v>2352</v>
      </c>
      <c r="B3544" s="19" t="str">
        <f t="shared" si="281"/>
        <v>B-BCP - Soles</v>
      </c>
      <c r="C3544" s="3" t="s">
        <v>1330</v>
      </c>
      <c r="D3544" s="14">
        <v>45898</v>
      </c>
      <c r="E3544" s="5" t="s">
        <v>309</v>
      </c>
      <c r="F3544" s="5" t="s">
        <v>1303</v>
      </c>
      <c r="G3544" s="6" t="s">
        <v>425</v>
      </c>
      <c r="H3544" s="6"/>
      <c r="I3544" s="6"/>
      <c r="J3544" s="6"/>
      <c r="K3544" s="7" t="s">
        <v>1356</v>
      </c>
      <c r="L3544" s="8">
        <v>1457606</v>
      </c>
      <c r="M3544" s="8" t="str">
        <f t="shared" si="282"/>
        <v>PEN</v>
      </c>
      <c r="N3544" s="13"/>
      <c r="O3544" s="13">
        <v>8200</v>
      </c>
      <c r="P3544" s="3">
        <f t="shared" si="283"/>
        <v>8200</v>
      </c>
      <c r="Q3544" s="3">
        <f t="shared" si="284"/>
        <v>0</v>
      </c>
      <c r="R3544" s="3">
        <f t="shared" si="285"/>
        <v>31592.609999999986</v>
      </c>
      <c r="S3544" s="24" t="s">
        <v>1334</v>
      </c>
      <c r="T3544" s="24" t="s">
        <v>1334</v>
      </c>
      <c r="U3544" s="55"/>
      <c r="V3544" s="25">
        <f>IFERROR(VLOOKUP(BCP_Soles[[#This Row],[destinatario]],CHOOSE({1,2},Clientes_Proveedores[Razon Social],Clientes_Proveedores[Ruc / Dni]),2,0),"")</f>
        <v>20558226979</v>
      </c>
      <c r="W3544" s="25"/>
      <c r="X3544" s="25"/>
      <c r="Y3544" s="25"/>
      <c r="Z3544" s="77"/>
      <c r="AA3544" s="3" t="str">
        <f>IF(BCP_Soles[[#This Row],[fecha]]&gt;0,TEXT(BCP_Soles[[#This Row],[fecha]],"mmmm"),0)</f>
        <v>Agosto</v>
      </c>
    </row>
    <row r="3545" spans="1:27" ht="24" x14ac:dyDescent="0.3">
      <c r="A3545" s="2">
        <f>IF(BCP_Soles[[#This Row],[tipo_registro]]="R",COUNTIFS($C$1:$C3544,"R")+1,A3544)</f>
        <v>2352</v>
      </c>
      <c r="B3545" s="19" t="str">
        <f t="shared" si="281"/>
        <v>B-BCP - Soles</v>
      </c>
      <c r="C3545" s="3" t="s">
        <v>1352</v>
      </c>
      <c r="D3545" s="14">
        <v>45898</v>
      </c>
      <c r="E3545" s="5" t="s">
        <v>309</v>
      </c>
      <c r="F3545" s="5" t="s">
        <v>1303</v>
      </c>
      <c r="G3545" s="6" t="s">
        <v>425</v>
      </c>
      <c r="H3545" s="6" t="s">
        <v>119</v>
      </c>
      <c r="I3545" s="6">
        <v>1</v>
      </c>
      <c r="J3545" s="6">
        <v>4703</v>
      </c>
      <c r="K3545" s="7" t="s">
        <v>1356</v>
      </c>
      <c r="L3545" s="8">
        <v>1457606</v>
      </c>
      <c r="M3545" s="8" t="str">
        <f t="shared" si="282"/>
        <v>PEN</v>
      </c>
      <c r="N3545" s="13">
        <v>6334</v>
      </c>
      <c r="O3545" s="13"/>
      <c r="P3545" s="3">
        <f t="shared" si="283"/>
        <v>0</v>
      </c>
      <c r="Q3545" s="3">
        <f t="shared" si="284"/>
        <v>0</v>
      </c>
      <c r="R3545" s="3">
        <f t="shared" si="285"/>
        <v>31592.609999999986</v>
      </c>
      <c r="S3545" s="24" t="s">
        <v>1334</v>
      </c>
      <c r="T3545" s="24" t="s">
        <v>1334</v>
      </c>
      <c r="U3545" s="55"/>
      <c r="V3545" s="25">
        <f>IFERROR(VLOOKUP(BCP_Soles[[#This Row],[destinatario]],CHOOSE({1,2},Clientes_Proveedores[Razon Social],Clientes_Proveedores[Ruc / Dni]),2,0),"")</f>
        <v>20558226979</v>
      </c>
      <c r="W3545" s="25"/>
      <c r="X3545" s="25"/>
      <c r="Y3545" s="25"/>
      <c r="Z3545" s="77"/>
      <c r="AA3545" s="3" t="str">
        <f>IF(BCP_Soles[[#This Row],[fecha]]&gt;0,TEXT(BCP_Soles[[#This Row],[fecha]],"mmmm"),0)</f>
        <v>Agosto</v>
      </c>
    </row>
    <row r="3546" spans="1:27" ht="24" x14ac:dyDescent="0.3">
      <c r="A3546" s="2">
        <f>IF(BCP_Soles[[#This Row],[tipo_registro]]="R",COUNTIFS($C$1:$C3545,"R")+1,A3545)</f>
        <v>2352</v>
      </c>
      <c r="B3546" s="19" t="str">
        <f t="shared" si="281"/>
        <v>B-BCP - Soles</v>
      </c>
      <c r="C3546" s="3" t="s">
        <v>1352</v>
      </c>
      <c r="D3546" s="14">
        <v>45898</v>
      </c>
      <c r="E3546" s="5" t="s">
        <v>4358</v>
      </c>
      <c r="F3546" s="5" t="s">
        <v>1303</v>
      </c>
      <c r="G3546" s="6" t="s">
        <v>425</v>
      </c>
      <c r="H3546" s="6" t="s">
        <v>119</v>
      </c>
      <c r="I3546" s="6">
        <v>1</v>
      </c>
      <c r="J3546" s="6">
        <v>4705</v>
      </c>
      <c r="K3546" s="7" t="s">
        <v>1356</v>
      </c>
      <c r="L3546" s="8">
        <v>1457606</v>
      </c>
      <c r="M3546" s="8" t="str">
        <f t="shared" si="282"/>
        <v>PEN</v>
      </c>
      <c r="N3546" s="13">
        <v>1866</v>
      </c>
      <c r="O3546" s="13"/>
      <c r="P3546" s="3">
        <f t="shared" si="283"/>
        <v>0</v>
      </c>
      <c r="Q3546" s="3">
        <f t="shared" si="284"/>
        <v>0</v>
      </c>
      <c r="R3546" s="3">
        <f t="shared" si="285"/>
        <v>31592.609999999986</v>
      </c>
      <c r="S3546" s="24" t="s">
        <v>1334</v>
      </c>
      <c r="T3546" s="24" t="s">
        <v>1334</v>
      </c>
      <c r="U3546" s="55"/>
      <c r="V3546" s="25">
        <f>IFERROR(VLOOKUP(BCP_Soles[[#This Row],[destinatario]],CHOOSE({1,2},Clientes_Proveedores[Razon Social],Clientes_Proveedores[Ruc / Dni]),2,0),"")</f>
        <v>20558226979</v>
      </c>
      <c r="W3546" s="25"/>
      <c r="X3546" s="25"/>
      <c r="Y3546" s="25"/>
      <c r="Z3546" s="77"/>
      <c r="AA3546" s="3" t="str">
        <f>IF(BCP_Soles[[#This Row],[fecha]]&gt;0,TEXT(BCP_Soles[[#This Row],[fecha]],"mmmm"),0)</f>
        <v>Agosto</v>
      </c>
    </row>
    <row r="3547" spans="1:27" ht="36" x14ac:dyDescent="0.3">
      <c r="A3547" s="2">
        <f>IF(BCP_Soles[[#This Row],[tipo_registro]]="R",COUNTIFS($C$1:$C3546,"R")+1,A3546)</f>
        <v>2353</v>
      </c>
      <c r="B3547" s="19" t="str">
        <f t="shared" si="281"/>
        <v>B-BCP - Soles</v>
      </c>
      <c r="C3547" s="3" t="s">
        <v>1330</v>
      </c>
      <c r="D3547" s="133">
        <v>45898</v>
      </c>
      <c r="E3547" s="5" t="s">
        <v>324</v>
      </c>
      <c r="F3547" s="5" t="s">
        <v>1303</v>
      </c>
      <c r="G3547" s="6" t="s">
        <v>425</v>
      </c>
      <c r="H3547" s="6" t="s">
        <v>68</v>
      </c>
      <c r="I3547" s="6" t="s">
        <v>1784</v>
      </c>
      <c r="J3547" s="6">
        <v>178</v>
      </c>
      <c r="K3547" s="7" t="s">
        <v>4359</v>
      </c>
      <c r="L3547" s="8">
        <v>8660230</v>
      </c>
      <c r="M3547" s="8" t="str">
        <f t="shared" si="282"/>
        <v>PEN</v>
      </c>
      <c r="N3547" s="13"/>
      <c r="O3547" s="13">
        <v>1845.66</v>
      </c>
      <c r="P3547" s="3">
        <f t="shared" si="283"/>
        <v>1845.66</v>
      </c>
      <c r="Q3547" s="3">
        <f t="shared" si="284"/>
        <v>0</v>
      </c>
      <c r="R3547" s="3">
        <f t="shared" si="285"/>
        <v>33438.26999999999</v>
      </c>
      <c r="S3547" s="24" t="s">
        <v>1334</v>
      </c>
      <c r="T3547" s="24" t="s">
        <v>1334</v>
      </c>
      <c r="U3547" s="55"/>
      <c r="V3547" s="25">
        <f>IFERROR(VLOOKUP(BCP_Soles[[#This Row],[destinatario]],CHOOSE({1,2},Clientes_Proveedores[Razon Social],Clientes_Proveedores[Ruc / Dni]),2,0),"")</f>
        <v>20558226979</v>
      </c>
      <c r="W3547" s="25"/>
      <c r="X3547" s="25"/>
      <c r="Y3547" s="25"/>
      <c r="Z3547" s="77"/>
      <c r="AA3547" s="3" t="str">
        <f>IF(BCP_Soles[[#This Row],[fecha]]&gt;0,TEXT(BCP_Soles[[#This Row],[fecha]],"mmmm"),0)</f>
        <v>Agosto</v>
      </c>
    </row>
    <row r="3548" spans="1:27" ht="36" x14ac:dyDescent="0.3">
      <c r="A3548" s="2">
        <f>IF(BCP_Soles[[#This Row],[tipo_registro]]="R",COUNTIFS($C$1:$C3547,"R")+1,A3547)</f>
        <v>2354</v>
      </c>
      <c r="B3548" s="19" t="str">
        <f t="shared" si="281"/>
        <v>B-BCP - Soles</v>
      </c>
      <c r="C3548" s="3" t="s">
        <v>1330</v>
      </c>
      <c r="D3548" s="133">
        <v>45898</v>
      </c>
      <c r="E3548" s="5" t="s">
        <v>237</v>
      </c>
      <c r="F3548" s="5" t="s">
        <v>1303</v>
      </c>
      <c r="G3548" s="6" t="s">
        <v>425</v>
      </c>
      <c r="H3548" s="6" t="s">
        <v>68</v>
      </c>
      <c r="I3548" s="6" t="s">
        <v>1784</v>
      </c>
      <c r="J3548" s="6">
        <v>204</v>
      </c>
      <c r="K3548" s="7" t="s">
        <v>4360</v>
      </c>
      <c r="L3548" s="8">
        <v>8645558</v>
      </c>
      <c r="M3548" s="8" t="str">
        <f t="shared" si="282"/>
        <v>PEN</v>
      </c>
      <c r="N3548" s="13"/>
      <c r="O3548" s="13">
        <v>2841.48</v>
      </c>
      <c r="P3548" s="3">
        <f t="shared" si="283"/>
        <v>2841.48</v>
      </c>
      <c r="Q3548" s="3">
        <f t="shared" si="284"/>
        <v>0</v>
      </c>
      <c r="R3548" s="3">
        <f t="shared" si="285"/>
        <v>36279.749999999993</v>
      </c>
      <c r="S3548" s="24" t="s">
        <v>1334</v>
      </c>
      <c r="T3548" s="24" t="s">
        <v>1334</v>
      </c>
      <c r="U3548" s="55"/>
      <c r="V3548" s="25">
        <f>IFERROR(VLOOKUP(BCP_Soles[[#This Row],[destinatario]],CHOOSE({1,2},Clientes_Proveedores[Razon Social],Clientes_Proveedores[Ruc / Dni]),2,0),"")</f>
        <v>20558226979</v>
      </c>
      <c r="W3548" s="25"/>
      <c r="X3548" s="25"/>
      <c r="Y3548" s="25"/>
      <c r="Z3548" s="77"/>
      <c r="AA3548" s="3" t="str">
        <f>IF(BCP_Soles[[#This Row],[fecha]]&gt;0,TEXT(BCP_Soles[[#This Row],[fecha]],"mmmm"),0)</f>
        <v>Agosto</v>
      </c>
    </row>
    <row r="3549" spans="1:27" x14ac:dyDescent="0.3">
      <c r="A3549" s="2">
        <f>IF(BCP_Soles[[#This Row],[tipo_registro]]="R",COUNTIFS($C$1:$C3548,"R")+1,A3548)</f>
        <v>2355</v>
      </c>
      <c r="B3549" s="19" t="str">
        <f t="shared" ref="B3549:B3612" si="286">"B-BCP - Soles"</f>
        <v>B-BCP - Soles</v>
      </c>
      <c r="C3549" s="3" t="s">
        <v>1330</v>
      </c>
      <c r="D3549" s="133">
        <v>45898</v>
      </c>
      <c r="E3549" s="5" t="s">
        <v>304</v>
      </c>
      <c r="F3549" s="5" t="s">
        <v>1303</v>
      </c>
      <c r="G3549" s="6" t="s">
        <v>425</v>
      </c>
      <c r="H3549" s="6" t="s">
        <v>68</v>
      </c>
      <c r="I3549" s="6" t="s">
        <v>1784</v>
      </c>
      <c r="J3549" s="6">
        <v>135</v>
      </c>
      <c r="K3549" s="7" t="s">
        <v>4361</v>
      </c>
      <c r="L3549" s="8">
        <v>2277693</v>
      </c>
      <c r="M3549" s="8" t="str">
        <f t="shared" ref="M3549:M3612" si="287">"PEN"</f>
        <v>PEN</v>
      </c>
      <c r="N3549" s="13"/>
      <c r="O3549" s="13">
        <v>2359.4299999999998</v>
      </c>
      <c r="P3549" s="3">
        <f t="shared" ref="P3549:P3612" si="288">+IF(OR($F3549="SALDO",$F3549="INGRESO"),$O3549,0)</f>
        <v>2359.4299999999998</v>
      </c>
      <c r="Q3549" s="3">
        <f t="shared" ref="Q3549:Q3612" si="289">+IF($F3549="EGRESO",$O3549,0)</f>
        <v>0</v>
      </c>
      <c r="R3549" s="3">
        <f t="shared" si="285"/>
        <v>38639.179999999993</v>
      </c>
      <c r="S3549" s="24" t="s">
        <v>1334</v>
      </c>
      <c r="T3549" s="24" t="s">
        <v>1334</v>
      </c>
      <c r="U3549" s="55"/>
      <c r="V3549" s="25">
        <f>IFERROR(VLOOKUP(BCP_Soles[[#This Row],[destinatario]],CHOOSE({1,2},Clientes_Proveedores[Razon Social],Clientes_Proveedores[Ruc / Dni]),2,0),"")</f>
        <v>20558226979</v>
      </c>
      <c r="W3549" s="25"/>
      <c r="X3549" s="25"/>
      <c r="Y3549" s="25"/>
      <c r="Z3549" s="77"/>
      <c r="AA3549" s="3" t="str">
        <f>IF(BCP_Soles[[#This Row],[fecha]]&gt;0,TEXT(BCP_Soles[[#This Row],[fecha]],"mmmm"),0)</f>
        <v>Agosto</v>
      </c>
    </row>
    <row r="3550" spans="1:27" x14ac:dyDescent="0.3">
      <c r="A3550" s="2">
        <f>IF(BCP_Soles[[#This Row],[tipo_registro]]="R",COUNTIFS($C$1:$C3549,"R")+1,A3549)</f>
        <v>2356</v>
      </c>
      <c r="B3550" s="19" t="str">
        <f t="shared" si="286"/>
        <v>B-BCP - Soles</v>
      </c>
      <c r="C3550" s="3" t="s">
        <v>1330</v>
      </c>
      <c r="D3550" s="133">
        <v>45898</v>
      </c>
      <c r="E3550" s="5" t="s">
        <v>4171</v>
      </c>
      <c r="F3550" s="5" t="s">
        <v>1303</v>
      </c>
      <c r="G3550" s="6" t="s">
        <v>425</v>
      </c>
      <c r="H3550" s="6"/>
      <c r="I3550" s="6"/>
      <c r="J3550" s="6"/>
      <c r="K3550" s="7" t="s">
        <v>4362</v>
      </c>
      <c r="L3550" s="8">
        <v>2399838</v>
      </c>
      <c r="M3550" s="8" t="str">
        <f t="shared" si="287"/>
        <v>PEN</v>
      </c>
      <c r="N3550" s="13"/>
      <c r="O3550" s="13">
        <v>52860</v>
      </c>
      <c r="P3550" s="3">
        <f t="shared" si="288"/>
        <v>52860</v>
      </c>
      <c r="Q3550" s="3">
        <f t="shared" si="289"/>
        <v>0</v>
      </c>
      <c r="R3550" s="3">
        <f t="shared" si="285"/>
        <v>91499.18</v>
      </c>
      <c r="S3550" s="24" t="s">
        <v>1334</v>
      </c>
      <c r="T3550" s="24" t="s">
        <v>1334</v>
      </c>
      <c r="U3550" s="55"/>
      <c r="V3550" s="25">
        <f>IFERROR(VLOOKUP(BCP_Soles[[#This Row],[destinatario]],CHOOSE({1,2},Clientes_Proveedores[Razon Social],Clientes_Proveedores[Ruc / Dni]),2,0),"")</f>
        <v>20558226979</v>
      </c>
      <c r="W3550" s="25"/>
      <c r="X3550" s="25"/>
      <c r="Y3550" s="25"/>
      <c r="Z3550" s="77"/>
      <c r="AA3550" s="3" t="str">
        <f>IF(BCP_Soles[[#This Row],[fecha]]&gt;0,TEXT(BCP_Soles[[#This Row],[fecha]],"mmmm"),0)</f>
        <v>Agosto</v>
      </c>
    </row>
    <row r="3551" spans="1:27" x14ac:dyDescent="0.3">
      <c r="A3551" s="2">
        <f>IF(BCP_Soles[[#This Row],[tipo_registro]]="R",COUNTIFS($C$1:$C3550,"R")+1,A3550)</f>
        <v>2357</v>
      </c>
      <c r="B3551" s="19" t="str">
        <f t="shared" si="286"/>
        <v>B-BCP - Soles</v>
      </c>
      <c r="C3551" s="3" t="s">
        <v>1330</v>
      </c>
      <c r="D3551" s="133">
        <v>45898</v>
      </c>
      <c r="E3551" s="5" t="s">
        <v>551</v>
      </c>
      <c r="F3551" s="5" t="s">
        <v>1303</v>
      </c>
      <c r="G3551" s="6" t="s">
        <v>425</v>
      </c>
      <c r="H3551" s="6" t="s">
        <v>68</v>
      </c>
      <c r="I3551" s="6" t="s">
        <v>3736</v>
      </c>
      <c r="J3551" s="6">
        <v>10</v>
      </c>
      <c r="K3551" s="7" t="s">
        <v>1356</v>
      </c>
      <c r="L3551" s="8">
        <v>5684462</v>
      </c>
      <c r="M3551" s="8" t="str">
        <f t="shared" si="287"/>
        <v>PEN</v>
      </c>
      <c r="N3551" s="13"/>
      <c r="O3551" s="13">
        <v>5192</v>
      </c>
      <c r="P3551" s="3">
        <f t="shared" si="288"/>
        <v>5192</v>
      </c>
      <c r="Q3551" s="3">
        <f t="shared" si="289"/>
        <v>0</v>
      </c>
      <c r="R3551" s="3">
        <f t="shared" si="285"/>
        <v>96691.18</v>
      </c>
      <c r="S3551" s="24" t="s">
        <v>1334</v>
      </c>
      <c r="T3551" s="24" t="s">
        <v>1334</v>
      </c>
      <c r="U3551" s="55"/>
      <c r="V3551" s="25">
        <f>IFERROR(VLOOKUP(BCP_Soles[[#This Row],[destinatario]],CHOOSE({1,2},Clientes_Proveedores[Razon Social],Clientes_Proveedores[Ruc / Dni]),2,0),"")</f>
        <v>20558226979</v>
      </c>
      <c r="W3551" s="25"/>
      <c r="X3551" s="25"/>
      <c r="Y3551" s="25"/>
      <c r="Z3551" s="77"/>
      <c r="AA3551" s="3" t="str">
        <f>IF(BCP_Soles[[#This Row],[fecha]]&gt;0,TEXT(BCP_Soles[[#This Row],[fecha]],"mmmm"),0)</f>
        <v>Agosto</v>
      </c>
    </row>
    <row r="3552" spans="1:27" x14ac:dyDescent="0.3">
      <c r="A3552" s="2">
        <f>IF(BCP_Soles[[#This Row],[tipo_registro]]="R",COUNTIFS($C$1:$C3551,"R")+1,A3551)</f>
        <v>2358</v>
      </c>
      <c r="B3552" s="19" t="str">
        <f t="shared" si="286"/>
        <v>B-BCP - Soles</v>
      </c>
      <c r="C3552" s="3" t="s">
        <v>1330</v>
      </c>
      <c r="D3552" s="133">
        <v>45898</v>
      </c>
      <c r="E3552" s="5"/>
      <c r="F3552" s="5" t="s">
        <v>1303</v>
      </c>
      <c r="G3552" s="6" t="s">
        <v>425</v>
      </c>
      <c r="H3552" s="6"/>
      <c r="I3552" s="6"/>
      <c r="J3552" s="6"/>
      <c r="K3552" s="7" t="s">
        <v>4324</v>
      </c>
      <c r="L3552" s="8">
        <v>85014</v>
      </c>
      <c r="M3552" s="8" t="str">
        <f t="shared" si="287"/>
        <v>PEN</v>
      </c>
      <c r="N3552" s="13"/>
      <c r="O3552" s="13">
        <v>5000</v>
      </c>
      <c r="P3552" s="3">
        <f t="shared" si="288"/>
        <v>5000</v>
      </c>
      <c r="Q3552" s="3">
        <f t="shared" si="289"/>
        <v>0</v>
      </c>
      <c r="R3552" s="3">
        <f t="shared" si="285"/>
        <v>101691.18</v>
      </c>
      <c r="S3552" s="24" t="s">
        <v>1334</v>
      </c>
      <c r="T3552" s="24" t="s">
        <v>1334</v>
      </c>
      <c r="U3552" s="55"/>
      <c r="V3552" s="25">
        <f>IFERROR(VLOOKUP(BCP_Soles[[#This Row],[destinatario]],CHOOSE({1,2},Clientes_Proveedores[Razon Social],Clientes_Proveedores[Ruc / Dni]),2,0),"")</f>
        <v>20558226979</v>
      </c>
      <c r="W3552" s="25"/>
      <c r="X3552" s="25"/>
      <c r="Y3552" s="25"/>
      <c r="Z3552" s="77"/>
      <c r="AA3552" s="3" t="str">
        <f>IF(BCP_Soles[[#This Row],[fecha]]&gt;0,TEXT(BCP_Soles[[#This Row],[fecha]],"mmmm"),0)</f>
        <v>Agosto</v>
      </c>
    </row>
    <row r="3553" spans="1:27" ht="24" x14ac:dyDescent="0.3">
      <c r="A3553" s="2">
        <f>IF(BCP_Soles[[#This Row],[tipo_registro]]="R",COUNTIFS($C$1:$C3552,"R")+1,A3552)</f>
        <v>2358</v>
      </c>
      <c r="B3553" s="19" t="str">
        <f t="shared" si="286"/>
        <v>B-BCP - Soles</v>
      </c>
      <c r="C3553" s="3" t="s">
        <v>1352</v>
      </c>
      <c r="D3553" s="133">
        <v>45898</v>
      </c>
      <c r="E3553" s="5" t="s">
        <v>309</v>
      </c>
      <c r="F3553" s="5" t="s">
        <v>1303</v>
      </c>
      <c r="G3553" s="6" t="s">
        <v>425</v>
      </c>
      <c r="H3553" s="6" t="s">
        <v>119</v>
      </c>
      <c r="I3553" s="6">
        <v>1</v>
      </c>
      <c r="J3553" s="6">
        <v>4705</v>
      </c>
      <c r="K3553" s="7" t="s">
        <v>4324</v>
      </c>
      <c r="L3553" s="8">
        <v>85014</v>
      </c>
      <c r="M3553" s="8" t="str">
        <f t="shared" si="287"/>
        <v>PEN</v>
      </c>
      <c r="N3553" s="13">
        <v>634</v>
      </c>
      <c r="O3553" s="13"/>
      <c r="P3553" s="3">
        <f t="shared" si="288"/>
        <v>0</v>
      </c>
      <c r="Q3553" s="3">
        <f t="shared" si="289"/>
        <v>0</v>
      </c>
      <c r="R3553" s="3">
        <f t="shared" si="285"/>
        <v>101691.18</v>
      </c>
      <c r="S3553" s="24" t="s">
        <v>1334</v>
      </c>
      <c r="T3553" s="24" t="s">
        <v>1334</v>
      </c>
      <c r="U3553" s="55"/>
      <c r="V3553" s="25">
        <f>IFERROR(VLOOKUP(BCP_Soles[[#This Row],[destinatario]],CHOOSE({1,2},Clientes_Proveedores[Razon Social],Clientes_Proveedores[Ruc / Dni]),2,0),"")</f>
        <v>20558226979</v>
      </c>
      <c r="W3553" s="25"/>
      <c r="X3553" s="25"/>
      <c r="Y3553" s="25"/>
      <c r="Z3553" s="77"/>
      <c r="AA3553" s="3" t="str">
        <f>IF(BCP_Soles[[#This Row],[fecha]]&gt;0,TEXT(BCP_Soles[[#This Row],[fecha]],"mmmm"),0)</f>
        <v>Agosto</v>
      </c>
    </row>
    <row r="3554" spans="1:27" ht="24" x14ac:dyDescent="0.3">
      <c r="A3554" s="2">
        <f>IF(BCP_Soles[[#This Row],[tipo_registro]]="R",COUNTIFS($C$1:$C3553,"R")+1,A3553)</f>
        <v>2358</v>
      </c>
      <c r="B3554" s="19" t="str">
        <f t="shared" si="286"/>
        <v>B-BCP - Soles</v>
      </c>
      <c r="C3554" s="3" t="s">
        <v>1352</v>
      </c>
      <c r="D3554" s="133">
        <v>45898</v>
      </c>
      <c r="E3554" s="5" t="s">
        <v>309</v>
      </c>
      <c r="F3554" s="5" t="s">
        <v>1303</v>
      </c>
      <c r="G3554" s="6" t="s">
        <v>425</v>
      </c>
      <c r="H3554" s="6" t="s">
        <v>119</v>
      </c>
      <c r="I3554" s="6">
        <v>1</v>
      </c>
      <c r="J3554" s="6">
        <v>4706</v>
      </c>
      <c r="K3554" s="7" t="s">
        <v>4324</v>
      </c>
      <c r="L3554" s="8">
        <v>85014</v>
      </c>
      <c r="M3554" s="8" t="str">
        <f t="shared" si="287"/>
        <v>PEN</v>
      </c>
      <c r="N3554" s="13">
        <v>4366</v>
      </c>
      <c r="O3554" s="13"/>
      <c r="P3554" s="3">
        <f t="shared" si="288"/>
        <v>0</v>
      </c>
      <c r="Q3554" s="3">
        <f t="shared" si="289"/>
        <v>0</v>
      </c>
      <c r="R3554" s="3">
        <f t="shared" si="285"/>
        <v>101691.18</v>
      </c>
      <c r="S3554" s="24" t="s">
        <v>1334</v>
      </c>
      <c r="T3554" s="24" t="s">
        <v>1334</v>
      </c>
      <c r="U3554" s="55"/>
      <c r="V3554" s="25">
        <f>IFERROR(VLOOKUP(BCP_Soles[[#This Row],[destinatario]],CHOOSE({1,2},Clientes_Proveedores[Razon Social],Clientes_Proveedores[Ruc / Dni]),2,0),"")</f>
        <v>20558226979</v>
      </c>
      <c r="W3554" s="25"/>
      <c r="X3554" s="25"/>
      <c r="Y3554" s="25"/>
      <c r="Z3554" s="77"/>
      <c r="AA3554" s="3" t="str">
        <f>IF(BCP_Soles[[#This Row],[fecha]]&gt;0,TEXT(BCP_Soles[[#This Row],[fecha]],"mmmm"),0)</f>
        <v>Agosto</v>
      </c>
    </row>
    <row r="3555" spans="1:27" x14ac:dyDescent="0.3">
      <c r="A3555" s="2">
        <f>IF(BCP_Soles[[#This Row],[tipo_registro]]="R",COUNTIFS($C$1:$C3554,"R")+1,A3554)</f>
        <v>2359</v>
      </c>
      <c r="B3555" s="19" t="str">
        <f t="shared" si="286"/>
        <v>B-BCP - Soles</v>
      </c>
      <c r="C3555" s="3" t="s">
        <v>1330</v>
      </c>
      <c r="D3555" s="133">
        <v>45898</v>
      </c>
      <c r="E3555" s="5" t="s">
        <v>551</v>
      </c>
      <c r="F3555" s="5" t="s">
        <v>1303</v>
      </c>
      <c r="G3555" s="6" t="s">
        <v>425</v>
      </c>
      <c r="H3555" s="6" t="s">
        <v>68</v>
      </c>
      <c r="I3555" s="6" t="s">
        <v>3736</v>
      </c>
      <c r="J3555" s="6">
        <v>12</v>
      </c>
      <c r="K3555" s="7" t="s">
        <v>1356</v>
      </c>
      <c r="L3555" s="8">
        <v>5757655</v>
      </c>
      <c r="M3555" s="8" t="str">
        <f t="shared" si="287"/>
        <v>PEN</v>
      </c>
      <c r="N3555" s="13"/>
      <c r="O3555" s="13">
        <v>3186</v>
      </c>
      <c r="P3555" s="3">
        <f t="shared" si="288"/>
        <v>3186</v>
      </c>
      <c r="Q3555" s="3">
        <f t="shared" si="289"/>
        <v>0</v>
      </c>
      <c r="R3555" s="3">
        <f t="shared" si="285"/>
        <v>104877.18</v>
      </c>
      <c r="S3555" s="24" t="s">
        <v>1334</v>
      </c>
      <c r="T3555" s="24" t="s">
        <v>1334</v>
      </c>
      <c r="U3555" s="55"/>
      <c r="V3555" s="25">
        <f>IFERROR(VLOOKUP(BCP_Soles[[#This Row],[destinatario]],CHOOSE({1,2},Clientes_Proveedores[Razon Social],Clientes_Proveedores[Ruc / Dni]),2,0),"")</f>
        <v>20558226979</v>
      </c>
      <c r="W3555" s="25"/>
      <c r="X3555" s="25"/>
      <c r="Y3555" s="25"/>
      <c r="Z3555" s="77"/>
      <c r="AA3555" s="3" t="str">
        <f>IF(BCP_Soles[[#This Row],[fecha]]&gt;0,TEXT(BCP_Soles[[#This Row],[fecha]],"mmmm"),0)</f>
        <v>Agosto</v>
      </c>
    </row>
    <row r="3556" spans="1:27" x14ac:dyDescent="0.3">
      <c r="A3556" s="2">
        <f>IF(BCP_Soles[[#This Row],[tipo_registro]]="R",COUNTIFS($C$1:$C3555,"R")+1,A3555)</f>
        <v>2360</v>
      </c>
      <c r="B3556" s="19" t="str">
        <f t="shared" si="286"/>
        <v>B-BCP - Soles</v>
      </c>
      <c r="C3556" s="3" t="s">
        <v>1330</v>
      </c>
      <c r="D3556" s="133">
        <v>45898</v>
      </c>
      <c r="E3556" s="5" t="s">
        <v>551</v>
      </c>
      <c r="F3556" s="5" t="s">
        <v>1303</v>
      </c>
      <c r="G3556" s="6" t="s">
        <v>425</v>
      </c>
      <c r="H3556" s="6" t="s">
        <v>68</v>
      </c>
      <c r="I3556" s="6" t="s">
        <v>3736</v>
      </c>
      <c r="J3556" s="6">
        <v>11</v>
      </c>
      <c r="K3556" s="7" t="s">
        <v>1356</v>
      </c>
      <c r="L3556" s="8">
        <v>5733620</v>
      </c>
      <c r="M3556" s="8" t="str">
        <f t="shared" si="287"/>
        <v>PEN</v>
      </c>
      <c r="N3556" s="13"/>
      <c r="O3556" s="13">
        <v>2832</v>
      </c>
      <c r="P3556" s="3">
        <f t="shared" si="288"/>
        <v>2832</v>
      </c>
      <c r="Q3556" s="3">
        <f t="shared" si="289"/>
        <v>0</v>
      </c>
      <c r="R3556" s="3">
        <f t="shared" si="285"/>
        <v>107709.18</v>
      </c>
      <c r="S3556" s="24" t="s">
        <v>1334</v>
      </c>
      <c r="T3556" s="24" t="s">
        <v>1334</v>
      </c>
      <c r="U3556" s="55"/>
      <c r="V3556" s="25">
        <f>IFERROR(VLOOKUP(BCP_Soles[[#This Row],[destinatario]],CHOOSE({1,2},Clientes_Proveedores[Razon Social],Clientes_Proveedores[Ruc / Dni]),2,0),"")</f>
        <v>20558226979</v>
      </c>
      <c r="W3556" s="25"/>
      <c r="X3556" s="25"/>
      <c r="Y3556" s="25"/>
      <c r="Z3556" s="77"/>
      <c r="AA3556" s="3" t="str">
        <f>IF(BCP_Soles[[#This Row],[fecha]]&gt;0,TEXT(BCP_Soles[[#This Row],[fecha]],"mmmm"),0)</f>
        <v>Agosto</v>
      </c>
    </row>
    <row r="3557" spans="1:27" x14ac:dyDescent="0.3">
      <c r="A3557" s="2">
        <f>IF(BCP_Soles[[#This Row],[tipo_registro]]="R",COUNTIFS($C$1:$C3556,"R")+1,A3556)</f>
        <v>2361</v>
      </c>
      <c r="B3557" s="19" t="str">
        <f t="shared" si="286"/>
        <v>B-BCP - Soles</v>
      </c>
      <c r="C3557" s="3" t="s">
        <v>1330</v>
      </c>
      <c r="D3557" s="133">
        <v>45898</v>
      </c>
      <c r="E3557" s="5" t="s">
        <v>551</v>
      </c>
      <c r="F3557" s="5" t="s">
        <v>1303</v>
      </c>
      <c r="G3557" s="6" t="s">
        <v>425</v>
      </c>
      <c r="H3557" s="6" t="s">
        <v>68</v>
      </c>
      <c r="I3557" s="6" t="s">
        <v>3736</v>
      </c>
      <c r="J3557" s="6">
        <v>13</v>
      </c>
      <c r="K3557" s="7" t="s">
        <v>1356</v>
      </c>
      <c r="L3557" s="8">
        <v>5775602</v>
      </c>
      <c r="M3557" s="8" t="str">
        <f t="shared" si="287"/>
        <v>PEN</v>
      </c>
      <c r="N3557" s="13"/>
      <c r="O3557" s="13">
        <v>2655</v>
      </c>
      <c r="P3557" s="3">
        <f t="shared" si="288"/>
        <v>2655</v>
      </c>
      <c r="Q3557" s="3">
        <f t="shared" si="289"/>
        <v>0</v>
      </c>
      <c r="R3557" s="3">
        <f t="shared" si="285"/>
        <v>110364.18</v>
      </c>
      <c r="S3557" s="24" t="s">
        <v>1334</v>
      </c>
      <c r="T3557" s="24" t="s">
        <v>1334</v>
      </c>
      <c r="U3557" s="55"/>
      <c r="V3557" s="25">
        <f>IFERROR(VLOOKUP(BCP_Soles[[#This Row],[destinatario]],CHOOSE({1,2},Clientes_Proveedores[Razon Social],Clientes_Proveedores[Ruc / Dni]),2,0),"")</f>
        <v>20558226979</v>
      </c>
      <c r="W3557" s="25"/>
      <c r="X3557" s="25"/>
      <c r="Y3557" s="25"/>
      <c r="Z3557" s="77"/>
      <c r="AA3557" s="3" t="str">
        <f>IF(BCP_Soles[[#This Row],[fecha]]&gt;0,TEXT(BCP_Soles[[#This Row],[fecha]],"mmmm"),0)</f>
        <v>Agosto</v>
      </c>
    </row>
    <row r="3558" spans="1:27" x14ac:dyDescent="0.3">
      <c r="A3558" s="2">
        <f>IF(BCP_Soles[[#This Row],[tipo_registro]]="R",COUNTIFS($C$1:$C3557,"R")+1,A3557)</f>
        <v>2362</v>
      </c>
      <c r="B3558" s="19" t="str">
        <f t="shared" si="286"/>
        <v>B-BCP - Soles</v>
      </c>
      <c r="C3558" s="3" t="s">
        <v>1330</v>
      </c>
      <c r="D3558" s="133">
        <v>45898</v>
      </c>
      <c r="E3558" s="5"/>
      <c r="F3558" s="5" t="s">
        <v>1303</v>
      </c>
      <c r="G3558" s="6" t="s">
        <v>425</v>
      </c>
      <c r="H3558" s="6"/>
      <c r="I3558" s="6"/>
      <c r="J3558" s="6"/>
      <c r="K3558" s="7" t="s">
        <v>1612</v>
      </c>
      <c r="L3558" s="8">
        <v>8734</v>
      </c>
      <c r="M3558" s="8" t="str">
        <f t="shared" si="287"/>
        <v>PEN</v>
      </c>
      <c r="N3558" s="13"/>
      <c r="O3558" s="13">
        <v>2190</v>
      </c>
      <c r="P3558" s="3">
        <f t="shared" si="288"/>
        <v>2190</v>
      </c>
      <c r="Q3558" s="3">
        <f t="shared" si="289"/>
        <v>0</v>
      </c>
      <c r="R3558" s="3">
        <f t="shared" si="285"/>
        <v>112554.18</v>
      </c>
      <c r="S3558" s="24" t="s">
        <v>1334</v>
      </c>
      <c r="T3558" s="24" t="s">
        <v>1334</v>
      </c>
      <c r="U3558" s="55"/>
      <c r="V3558" s="25">
        <f>IFERROR(VLOOKUP(BCP_Soles[[#This Row],[destinatario]],CHOOSE({1,2},Clientes_Proveedores[Razon Social],Clientes_Proveedores[Ruc / Dni]),2,0),"")</f>
        <v>20558226979</v>
      </c>
      <c r="W3558" s="25"/>
      <c r="X3558" s="25"/>
      <c r="Y3558" s="25"/>
      <c r="Z3558" s="77"/>
      <c r="AA3558" s="3" t="str">
        <f>IF(BCP_Soles[[#This Row],[fecha]]&gt;0,TEXT(BCP_Soles[[#This Row],[fecha]],"mmmm"),0)</f>
        <v>Agosto</v>
      </c>
    </row>
    <row r="3559" spans="1:27" ht="24" x14ac:dyDescent="0.3">
      <c r="A3559" s="2">
        <f>IF(BCP_Soles[[#This Row],[tipo_registro]]="R",COUNTIFS($C$1:$C3558,"R")+1,A3558)</f>
        <v>2362</v>
      </c>
      <c r="B3559" s="19" t="str">
        <f t="shared" si="286"/>
        <v>B-BCP - Soles</v>
      </c>
      <c r="C3559" s="3" t="s">
        <v>1352</v>
      </c>
      <c r="D3559" s="133">
        <v>45898</v>
      </c>
      <c r="E3559" s="5" t="s">
        <v>3445</v>
      </c>
      <c r="F3559" s="5" t="s">
        <v>1303</v>
      </c>
      <c r="G3559" s="6" t="s">
        <v>425</v>
      </c>
      <c r="H3559" s="6" t="s">
        <v>119</v>
      </c>
      <c r="I3559" s="6">
        <v>1</v>
      </c>
      <c r="J3559" s="6">
        <v>4715</v>
      </c>
      <c r="K3559" s="7" t="s">
        <v>1612</v>
      </c>
      <c r="L3559" s="8">
        <v>8734</v>
      </c>
      <c r="M3559" s="8" t="str">
        <f t="shared" si="287"/>
        <v>PEN</v>
      </c>
      <c r="N3559" s="13">
        <v>2060</v>
      </c>
      <c r="O3559" s="13"/>
      <c r="P3559" s="3">
        <f t="shared" si="288"/>
        <v>0</v>
      </c>
      <c r="Q3559" s="3">
        <f t="shared" si="289"/>
        <v>0</v>
      </c>
      <c r="R3559" s="3">
        <f t="shared" si="285"/>
        <v>112554.18</v>
      </c>
      <c r="S3559" s="24" t="s">
        <v>1334</v>
      </c>
      <c r="T3559" s="24" t="s">
        <v>1334</v>
      </c>
      <c r="U3559" s="55"/>
      <c r="V3559" s="25">
        <f>IFERROR(VLOOKUP(BCP_Soles[[#This Row],[destinatario]],CHOOSE({1,2},Clientes_Proveedores[Razon Social],Clientes_Proveedores[Ruc / Dni]),2,0),"")</f>
        <v>20558226979</v>
      </c>
      <c r="W3559" s="25"/>
      <c r="X3559" s="25"/>
      <c r="Y3559" s="25"/>
      <c r="Z3559" s="77"/>
      <c r="AA3559" s="3" t="str">
        <f>IF(BCP_Soles[[#This Row],[fecha]]&gt;0,TEXT(BCP_Soles[[#This Row],[fecha]],"mmmm"),0)</f>
        <v>Agosto</v>
      </c>
    </row>
    <row r="3560" spans="1:27" ht="24" x14ac:dyDescent="0.3">
      <c r="A3560" s="2">
        <f>IF(BCP_Soles[[#This Row],[tipo_registro]]="R",COUNTIFS($C$1:$C3559,"R")+1,A3559)</f>
        <v>2362</v>
      </c>
      <c r="B3560" s="19" t="str">
        <f t="shared" si="286"/>
        <v>B-BCP - Soles</v>
      </c>
      <c r="C3560" s="3" t="s">
        <v>1352</v>
      </c>
      <c r="D3560" s="133">
        <v>45898</v>
      </c>
      <c r="E3560" s="5" t="s">
        <v>4309</v>
      </c>
      <c r="F3560" s="5" t="s">
        <v>1303</v>
      </c>
      <c r="G3560" s="6" t="s">
        <v>425</v>
      </c>
      <c r="H3560" s="6" t="s">
        <v>119</v>
      </c>
      <c r="I3560" s="6">
        <v>1</v>
      </c>
      <c r="J3560" s="6">
        <v>4710</v>
      </c>
      <c r="K3560" s="7" t="s">
        <v>1612</v>
      </c>
      <c r="L3560" s="8">
        <v>8734</v>
      </c>
      <c r="M3560" s="8" t="str">
        <f t="shared" si="287"/>
        <v>PEN</v>
      </c>
      <c r="N3560" s="13">
        <v>60</v>
      </c>
      <c r="O3560" s="13"/>
      <c r="P3560" s="3">
        <f t="shared" si="288"/>
        <v>0</v>
      </c>
      <c r="Q3560" s="3">
        <f t="shared" si="289"/>
        <v>0</v>
      </c>
      <c r="R3560" s="3">
        <f t="shared" si="285"/>
        <v>112554.18</v>
      </c>
      <c r="S3560" s="24" t="s">
        <v>1334</v>
      </c>
      <c r="T3560" s="24" t="s">
        <v>1334</v>
      </c>
      <c r="U3560" s="55"/>
      <c r="V3560" s="25">
        <f>IFERROR(VLOOKUP(BCP_Soles[[#This Row],[destinatario]],CHOOSE({1,2},Clientes_Proveedores[Razon Social],Clientes_Proveedores[Ruc / Dni]),2,0),"")</f>
        <v>20558226979</v>
      </c>
      <c r="W3560" s="25"/>
      <c r="X3560" s="25"/>
      <c r="Y3560" s="25"/>
      <c r="Z3560" s="77"/>
      <c r="AA3560" s="3" t="str">
        <f>IF(BCP_Soles[[#This Row],[fecha]]&gt;0,TEXT(BCP_Soles[[#This Row],[fecha]],"mmmm"),0)</f>
        <v>Agosto</v>
      </c>
    </row>
    <row r="3561" spans="1:27" ht="24" x14ac:dyDescent="0.3">
      <c r="A3561" s="2">
        <f>IF(BCP_Soles[[#This Row],[tipo_registro]]="R",COUNTIFS($C$1:$C3560,"R")+1,A3560)</f>
        <v>2362</v>
      </c>
      <c r="B3561" s="19" t="str">
        <f t="shared" si="286"/>
        <v>B-BCP - Soles</v>
      </c>
      <c r="C3561" s="3" t="s">
        <v>1352</v>
      </c>
      <c r="D3561" s="133">
        <v>45898</v>
      </c>
      <c r="E3561" s="5" t="s">
        <v>1825</v>
      </c>
      <c r="F3561" s="5" t="s">
        <v>1303</v>
      </c>
      <c r="G3561" s="6" t="s">
        <v>425</v>
      </c>
      <c r="H3561" s="6" t="s">
        <v>119</v>
      </c>
      <c r="I3561" s="6">
        <v>1</v>
      </c>
      <c r="J3561" s="6">
        <v>4711</v>
      </c>
      <c r="K3561" s="7" t="s">
        <v>1612</v>
      </c>
      <c r="L3561" s="8">
        <v>8734</v>
      </c>
      <c r="M3561" s="8" t="str">
        <f t="shared" si="287"/>
        <v>PEN</v>
      </c>
      <c r="N3561" s="13">
        <v>70</v>
      </c>
      <c r="O3561" s="13"/>
      <c r="P3561" s="3">
        <f t="shared" si="288"/>
        <v>0</v>
      </c>
      <c r="Q3561" s="3">
        <f t="shared" si="289"/>
        <v>0</v>
      </c>
      <c r="R3561" s="3">
        <f t="shared" si="285"/>
        <v>112554.18</v>
      </c>
      <c r="S3561" s="24" t="s">
        <v>1334</v>
      </c>
      <c r="T3561" s="24" t="s">
        <v>1334</v>
      </c>
      <c r="U3561" s="55"/>
      <c r="V3561" s="25">
        <f>IFERROR(VLOOKUP(BCP_Soles[[#This Row],[destinatario]],CHOOSE({1,2},Clientes_Proveedores[Razon Social],Clientes_Proveedores[Ruc / Dni]),2,0),"")</f>
        <v>20558226979</v>
      </c>
      <c r="W3561" s="25"/>
      <c r="X3561" s="25"/>
      <c r="Y3561" s="25"/>
      <c r="Z3561" s="77"/>
      <c r="AA3561" s="3" t="str">
        <f>IF(BCP_Soles[[#This Row],[fecha]]&gt;0,TEXT(BCP_Soles[[#This Row],[fecha]],"mmmm"),0)</f>
        <v>Agosto</v>
      </c>
    </row>
    <row r="3562" spans="1:27" x14ac:dyDescent="0.3">
      <c r="A3562" s="2">
        <f>IF(BCP_Soles[[#This Row],[tipo_registro]]="R",COUNTIFS($C$1:$C3561,"R")+1,A3561)</f>
        <v>2363</v>
      </c>
      <c r="B3562" s="19" t="str">
        <f t="shared" si="286"/>
        <v>B-BCP - Soles</v>
      </c>
      <c r="C3562" s="3" t="s">
        <v>1330</v>
      </c>
      <c r="D3562" s="133">
        <v>45898</v>
      </c>
      <c r="E3562" s="5" t="s">
        <v>551</v>
      </c>
      <c r="F3562" s="5" t="s">
        <v>1303</v>
      </c>
      <c r="G3562" s="6" t="s">
        <v>425</v>
      </c>
      <c r="H3562" s="6" t="s">
        <v>68</v>
      </c>
      <c r="I3562" s="6" t="s">
        <v>3736</v>
      </c>
      <c r="J3562" s="6">
        <v>14</v>
      </c>
      <c r="K3562" s="7" t="s">
        <v>1356</v>
      </c>
      <c r="L3562" s="8">
        <v>5770668</v>
      </c>
      <c r="M3562" s="8" t="str">
        <f t="shared" si="287"/>
        <v>PEN</v>
      </c>
      <c r="N3562" s="13"/>
      <c r="O3562" s="13">
        <v>1180</v>
      </c>
      <c r="P3562" s="3">
        <f t="shared" si="288"/>
        <v>1180</v>
      </c>
      <c r="Q3562" s="3">
        <f t="shared" si="289"/>
        <v>0</v>
      </c>
      <c r="R3562" s="3">
        <f t="shared" si="285"/>
        <v>113734.18</v>
      </c>
      <c r="S3562" s="24" t="s">
        <v>1334</v>
      </c>
      <c r="T3562" s="24" t="s">
        <v>1334</v>
      </c>
      <c r="U3562" s="55"/>
      <c r="V3562" s="25">
        <f>IFERROR(VLOOKUP(BCP_Soles[[#This Row],[destinatario]],CHOOSE({1,2},Clientes_Proveedores[Razon Social],Clientes_Proveedores[Ruc / Dni]),2,0),"")</f>
        <v>20558226979</v>
      </c>
      <c r="W3562" s="25"/>
      <c r="X3562" s="25"/>
      <c r="Y3562" s="25"/>
      <c r="Z3562" s="77"/>
      <c r="AA3562" s="3" t="str">
        <f>IF(BCP_Soles[[#This Row],[fecha]]&gt;0,TEXT(BCP_Soles[[#This Row],[fecha]],"mmmm"),0)</f>
        <v>Agosto</v>
      </c>
    </row>
    <row r="3563" spans="1:27" x14ac:dyDescent="0.3">
      <c r="A3563" s="2">
        <f>IF(BCP_Soles[[#This Row],[tipo_registro]]="R",COUNTIFS($C$1:$C3562,"R")+1,A3562)</f>
        <v>2364</v>
      </c>
      <c r="B3563" s="19" t="str">
        <f t="shared" si="286"/>
        <v>B-BCP - Soles</v>
      </c>
      <c r="C3563" s="3" t="s">
        <v>1330</v>
      </c>
      <c r="D3563" s="133">
        <v>45898</v>
      </c>
      <c r="E3563" s="5" t="s">
        <v>1511</v>
      </c>
      <c r="F3563" s="5" t="s">
        <v>1303</v>
      </c>
      <c r="G3563" s="6" t="s">
        <v>425</v>
      </c>
      <c r="H3563" s="6"/>
      <c r="I3563" s="6"/>
      <c r="J3563" s="6"/>
      <c r="K3563" s="7" t="s">
        <v>4363</v>
      </c>
      <c r="L3563" s="8">
        <v>4578477</v>
      </c>
      <c r="M3563" s="8" t="str">
        <f t="shared" si="287"/>
        <v>PEN</v>
      </c>
      <c r="N3563" s="13"/>
      <c r="O3563" s="13">
        <v>300</v>
      </c>
      <c r="P3563" s="3">
        <f t="shared" si="288"/>
        <v>300</v>
      </c>
      <c r="Q3563" s="3">
        <f t="shared" si="289"/>
        <v>0</v>
      </c>
      <c r="R3563" s="3">
        <f t="shared" si="285"/>
        <v>114034.18</v>
      </c>
      <c r="S3563" s="24"/>
      <c r="T3563" s="24"/>
      <c r="U3563" s="55"/>
      <c r="V3563" s="25">
        <f>IFERROR(VLOOKUP(BCP_Soles[[#This Row],[destinatario]],CHOOSE({1,2},Clientes_Proveedores[Razon Social],Clientes_Proveedores[Ruc / Dni]),2,0),"")</f>
        <v>20558226979</v>
      </c>
      <c r="W3563" s="25"/>
      <c r="X3563" s="25"/>
      <c r="Y3563" s="25"/>
      <c r="Z3563" s="77"/>
      <c r="AA3563" s="3" t="str">
        <f>IF(BCP_Soles[[#This Row],[fecha]]&gt;0,TEXT(BCP_Soles[[#This Row],[fecha]],"mmmm"),0)</f>
        <v>Agosto</v>
      </c>
    </row>
    <row r="3564" spans="1:27" x14ac:dyDescent="0.3">
      <c r="A3564" s="2">
        <f>IF(BCP_Soles[[#This Row],[tipo_registro]]="R",COUNTIFS($C$1:$C3563,"R")+1,A3563)</f>
        <v>2365</v>
      </c>
      <c r="B3564" s="19" t="str">
        <f t="shared" si="286"/>
        <v>B-BCP - Soles</v>
      </c>
      <c r="C3564" s="3" t="s">
        <v>1330</v>
      </c>
      <c r="D3564" s="14">
        <v>45898</v>
      </c>
      <c r="E3564" s="5" t="s">
        <v>3833</v>
      </c>
      <c r="F3564" s="5" t="s">
        <v>1336</v>
      </c>
      <c r="G3564" s="6"/>
      <c r="H3564" s="6"/>
      <c r="I3564" s="6"/>
      <c r="J3564" s="6"/>
      <c r="K3564" s="7" t="s">
        <v>4364</v>
      </c>
      <c r="L3564" s="8">
        <v>1001518</v>
      </c>
      <c r="M3564" s="8" t="str">
        <f t="shared" si="287"/>
        <v>PEN</v>
      </c>
      <c r="N3564" s="13"/>
      <c r="O3564" s="13">
        <v>1098</v>
      </c>
      <c r="P3564" s="3">
        <f t="shared" si="288"/>
        <v>0</v>
      </c>
      <c r="Q3564" s="3">
        <f t="shared" si="289"/>
        <v>1098</v>
      </c>
      <c r="R3564" s="3">
        <f t="shared" si="285"/>
        <v>112936.18</v>
      </c>
      <c r="S3564" s="24"/>
      <c r="T3564" s="24"/>
      <c r="U3564" s="55"/>
      <c r="V3564" s="25" t="str">
        <f>IFERROR(VLOOKUP(BCP_Soles[[#This Row],[destinatario]],CHOOSE({1,2},Clientes_Proveedores[Razon Social],Clientes_Proveedores[Ruc / Dni]),2,0),"")</f>
        <v/>
      </c>
      <c r="W3564" s="25"/>
      <c r="X3564" s="25"/>
      <c r="Y3564" s="25"/>
      <c r="Z3564" s="77"/>
      <c r="AA3564" s="3" t="str">
        <f>IF(BCP_Soles[[#This Row],[fecha]]&gt;0,TEXT(BCP_Soles[[#This Row],[fecha]],"mmmm"),0)</f>
        <v>Agosto</v>
      </c>
    </row>
    <row r="3565" spans="1:27" x14ac:dyDescent="0.3">
      <c r="A3565" s="2">
        <f>IF(BCP_Soles[[#This Row],[tipo_registro]]="R",COUNTIFS($C$1:$C3564,"R")+1,A3564)</f>
        <v>2366</v>
      </c>
      <c r="B3565" s="19" t="str">
        <f t="shared" si="286"/>
        <v>B-BCP - Soles</v>
      </c>
      <c r="C3565" s="3" t="s">
        <v>1330</v>
      </c>
      <c r="D3565" s="14">
        <v>45898</v>
      </c>
      <c r="E3565" s="5" t="s">
        <v>3833</v>
      </c>
      <c r="F3565" s="5" t="s">
        <v>1336</v>
      </c>
      <c r="G3565" s="6"/>
      <c r="H3565" s="6"/>
      <c r="I3565" s="6"/>
      <c r="J3565" s="6"/>
      <c r="K3565" s="7" t="s">
        <v>4365</v>
      </c>
      <c r="L3565" s="8">
        <v>1001599</v>
      </c>
      <c r="M3565" s="8" t="str">
        <f t="shared" si="287"/>
        <v>PEN</v>
      </c>
      <c r="N3565" s="13"/>
      <c r="O3565" s="13">
        <v>866</v>
      </c>
      <c r="P3565" s="3">
        <f t="shared" si="288"/>
        <v>0</v>
      </c>
      <c r="Q3565" s="3">
        <f t="shared" si="289"/>
        <v>866</v>
      </c>
      <c r="R3565" s="3">
        <f t="shared" si="285"/>
        <v>112070.18</v>
      </c>
      <c r="S3565" s="24"/>
      <c r="T3565" s="24"/>
      <c r="U3565" s="55"/>
      <c r="V3565" s="25" t="str">
        <f>IFERROR(VLOOKUP(BCP_Soles[[#This Row],[destinatario]],CHOOSE({1,2},Clientes_Proveedores[Razon Social],Clientes_Proveedores[Ruc / Dni]),2,0),"")</f>
        <v/>
      </c>
      <c r="W3565" s="25"/>
      <c r="X3565" s="25"/>
      <c r="Y3565" s="25"/>
      <c r="Z3565" s="77"/>
      <c r="AA3565" s="3" t="str">
        <f>IF(BCP_Soles[[#This Row],[fecha]]&gt;0,TEXT(BCP_Soles[[#This Row],[fecha]],"mmmm"),0)</f>
        <v>Agosto</v>
      </c>
    </row>
    <row r="3566" spans="1:27" x14ac:dyDescent="0.3">
      <c r="A3566" s="2">
        <f>IF(BCP_Soles[[#This Row],[tipo_registro]]="R",COUNTIFS($C$1:$C3565,"R")+1,A3565)</f>
        <v>2367</v>
      </c>
      <c r="B3566" s="19" t="str">
        <f t="shared" si="286"/>
        <v>B-BCP - Soles</v>
      </c>
      <c r="C3566" s="3" t="s">
        <v>1330</v>
      </c>
      <c r="D3566" s="14">
        <v>45898</v>
      </c>
      <c r="E3566" s="5" t="s">
        <v>3190</v>
      </c>
      <c r="F3566" s="5" t="s">
        <v>1336</v>
      </c>
      <c r="G3566" s="6"/>
      <c r="H3566" s="6"/>
      <c r="I3566" s="6"/>
      <c r="J3566" s="6"/>
      <c r="K3566" s="7" t="s">
        <v>4366</v>
      </c>
      <c r="L3566" s="8">
        <v>1015858</v>
      </c>
      <c r="M3566" s="8" t="str">
        <f t="shared" si="287"/>
        <v>PEN</v>
      </c>
      <c r="N3566" s="13"/>
      <c r="O3566" s="13">
        <v>453</v>
      </c>
      <c r="P3566" s="3">
        <f t="shared" si="288"/>
        <v>0</v>
      </c>
      <c r="Q3566" s="3">
        <f t="shared" si="289"/>
        <v>453</v>
      </c>
      <c r="R3566" s="3">
        <f t="shared" si="285"/>
        <v>111617.18</v>
      </c>
      <c r="S3566" s="24" t="s">
        <v>1334</v>
      </c>
      <c r="T3566" s="24" t="s">
        <v>1334</v>
      </c>
      <c r="U3566" s="55"/>
      <c r="V3566" s="25" t="str">
        <f>IFERROR(VLOOKUP(BCP_Soles[[#This Row],[destinatario]],CHOOSE({1,2},Clientes_Proveedores[Razon Social],Clientes_Proveedores[Ruc / Dni]),2,0),"")</f>
        <v/>
      </c>
      <c r="W3566" s="25"/>
      <c r="X3566" s="25"/>
      <c r="Y3566" s="25"/>
      <c r="Z3566" s="77"/>
      <c r="AA3566" s="3" t="str">
        <f>IF(BCP_Soles[[#This Row],[fecha]]&gt;0,TEXT(BCP_Soles[[#This Row],[fecha]],"mmmm"),0)</f>
        <v>Agosto</v>
      </c>
    </row>
    <row r="3567" spans="1:27" x14ac:dyDescent="0.3">
      <c r="A3567" s="2">
        <f>IF(BCP_Soles[[#This Row],[tipo_registro]]="R",COUNTIFS($C$1:$C3566,"R")+1,A3566)</f>
        <v>2367</v>
      </c>
      <c r="B3567" s="19" t="str">
        <f t="shared" si="286"/>
        <v>B-BCP - Soles</v>
      </c>
      <c r="C3567" s="3" t="s">
        <v>1352</v>
      </c>
      <c r="D3567" s="14">
        <v>45898</v>
      </c>
      <c r="E3567" s="5" t="s">
        <v>3190</v>
      </c>
      <c r="F3567" s="5"/>
      <c r="G3567" s="6" t="s">
        <v>196</v>
      </c>
      <c r="H3567" s="6" t="s">
        <v>68</v>
      </c>
      <c r="I3567" s="6" t="s">
        <v>2226</v>
      </c>
      <c r="J3567" s="6">
        <v>6805</v>
      </c>
      <c r="K3567" s="7" t="s">
        <v>4366</v>
      </c>
      <c r="L3567" s="8">
        <v>1015858</v>
      </c>
      <c r="M3567" s="8" t="str">
        <f t="shared" si="287"/>
        <v>PEN</v>
      </c>
      <c r="N3567" s="13">
        <v>8</v>
      </c>
      <c r="O3567" s="13"/>
      <c r="P3567" s="3">
        <f t="shared" si="288"/>
        <v>0</v>
      </c>
      <c r="Q3567" s="3">
        <f t="shared" si="289"/>
        <v>0</v>
      </c>
      <c r="R3567" s="3">
        <f t="shared" si="285"/>
        <v>111617.18</v>
      </c>
      <c r="S3567" s="24" t="s">
        <v>1334</v>
      </c>
      <c r="T3567" s="24" t="s">
        <v>1334</v>
      </c>
      <c r="U3567" s="55"/>
      <c r="V3567" s="25">
        <f>IFERROR(VLOOKUP(BCP_Soles[[#This Row],[destinatario]],CHOOSE({1,2},Clientes_Proveedores[Razon Social],Clientes_Proveedores[Ruc / Dni]),2,0),"")</f>
        <v>20100055237</v>
      </c>
      <c r="W3567" s="25"/>
      <c r="X3567" s="25"/>
      <c r="Y3567" s="25"/>
      <c r="Z3567" s="77" t="s">
        <v>3666</v>
      </c>
      <c r="AA3567" s="3" t="str">
        <f>IF(BCP_Soles[[#This Row],[fecha]]&gt;0,TEXT(BCP_Soles[[#This Row],[fecha]],"mmmm"),0)</f>
        <v>Agosto</v>
      </c>
    </row>
    <row r="3568" spans="1:27" x14ac:dyDescent="0.3">
      <c r="A3568" s="2">
        <f>IF(BCP_Soles[[#This Row],[tipo_registro]]="R",COUNTIFS($C$1:$C3567,"R")+1,A3567)</f>
        <v>2367</v>
      </c>
      <c r="B3568" s="19" t="str">
        <f t="shared" si="286"/>
        <v>B-BCP - Soles</v>
      </c>
      <c r="C3568" s="3" t="s">
        <v>1352</v>
      </c>
      <c r="D3568" s="14">
        <v>45898</v>
      </c>
      <c r="E3568" s="5" t="s">
        <v>3190</v>
      </c>
      <c r="F3568" s="5"/>
      <c r="G3568" s="6" t="s">
        <v>196</v>
      </c>
      <c r="H3568" s="6" t="s">
        <v>68</v>
      </c>
      <c r="I3568" s="6" t="s">
        <v>2226</v>
      </c>
      <c r="J3568" s="6">
        <v>6806</v>
      </c>
      <c r="K3568" s="7" t="s">
        <v>4366</v>
      </c>
      <c r="L3568" s="8">
        <v>1015858</v>
      </c>
      <c r="M3568" s="8" t="str">
        <f t="shared" si="287"/>
        <v>PEN</v>
      </c>
      <c r="N3568" s="13">
        <v>15</v>
      </c>
      <c r="O3568" s="13"/>
      <c r="P3568" s="3">
        <f t="shared" si="288"/>
        <v>0</v>
      </c>
      <c r="Q3568" s="3">
        <f t="shared" si="289"/>
        <v>0</v>
      </c>
      <c r="R3568" s="3">
        <f t="shared" si="285"/>
        <v>111617.18</v>
      </c>
      <c r="S3568" s="24" t="s">
        <v>1334</v>
      </c>
      <c r="T3568" s="24" t="s">
        <v>1334</v>
      </c>
      <c r="U3568" s="55"/>
      <c r="V3568" s="25">
        <f>IFERROR(VLOOKUP(BCP_Soles[[#This Row],[destinatario]],CHOOSE({1,2},Clientes_Proveedores[Razon Social],Clientes_Proveedores[Ruc / Dni]),2,0),"")</f>
        <v>20100055237</v>
      </c>
      <c r="W3568" s="25"/>
      <c r="X3568" s="25"/>
      <c r="Y3568" s="25"/>
      <c r="Z3568" s="77" t="s">
        <v>3666</v>
      </c>
      <c r="AA3568" s="3" t="str">
        <f>IF(BCP_Soles[[#This Row],[fecha]]&gt;0,TEXT(BCP_Soles[[#This Row],[fecha]],"mmmm"),0)</f>
        <v>Agosto</v>
      </c>
    </row>
    <row r="3569" spans="1:27" x14ac:dyDescent="0.3">
      <c r="A3569" s="2">
        <f>IF(BCP_Soles[[#This Row],[tipo_registro]]="R",COUNTIFS($C$1:$C3568,"R")+1,A3568)</f>
        <v>2367</v>
      </c>
      <c r="B3569" s="19" t="str">
        <f t="shared" si="286"/>
        <v>B-BCP - Soles</v>
      </c>
      <c r="C3569" s="3" t="s">
        <v>1352</v>
      </c>
      <c r="D3569" s="14">
        <v>45898</v>
      </c>
      <c r="E3569" s="5" t="s">
        <v>3190</v>
      </c>
      <c r="F3569" s="5"/>
      <c r="G3569" s="6" t="s">
        <v>196</v>
      </c>
      <c r="H3569" s="6" t="s">
        <v>68</v>
      </c>
      <c r="I3569" s="6" t="s">
        <v>2226</v>
      </c>
      <c r="J3569" s="6">
        <v>6809</v>
      </c>
      <c r="K3569" s="7" t="s">
        <v>4366</v>
      </c>
      <c r="L3569" s="8">
        <v>1015858</v>
      </c>
      <c r="M3569" s="8" t="str">
        <f t="shared" si="287"/>
        <v>PEN</v>
      </c>
      <c r="N3569" s="13">
        <v>11</v>
      </c>
      <c r="O3569" s="13"/>
      <c r="P3569" s="3">
        <f t="shared" si="288"/>
        <v>0</v>
      </c>
      <c r="Q3569" s="3">
        <f t="shared" si="289"/>
        <v>0</v>
      </c>
      <c r="R3569" s="3">
        <f t="shared" si="285"/>
        <v>111617.18</v>
      </c>
      <c r="S3569" s="24" t="s">
        <v>1334</v>
      </c>
      <c r="T3569" s="24" t="s">
        <v>1334</v>
      </c>
      <c r="U3569" s="55"/>
      <c r="V3569" s="25">
        <f>IFERROR(VLOOKUP(BCP_Soles[[#This Row],[destinatario]],CHOOSE({1,2},Clientes_Proveedores[Razon Social],Clientes_Proveedores[Ruc / Dni]),2,0),"")</f>
        <v>20100055237</v>
      </c>
      <c r="W3569" s="25"/>
      <c r="X3569" s="25"/>
      <c r="Y3569" s="25"/>
      <c r="Z3569" s="77" t="s">
        <v>3666</v>
      </c>
      <c r="AA3569" s="3" t="str">
        <f>IF(BCP_Soles[[#This Row],[fecha]]&gt;0,TEXT(BCP_Soles[[#This Row],[fecha]],"mmmm"),0)</f>
        <v>Agosto</v>
      </c>
    </row>
    <row r="3570" spans="1:27" x14ac:dyDescent="0.3">
      <c r="A3570" s="2">
        <f>IF(BCP_Soles[[#This Row],[tipo_registro]]="R",COUNTIFS($C$1:$C3569,"R")+1,A3569)</f>
        <v>2367</v>
      </c>
      <c r="B3570" s="19" t="str">
        <f t="shared" si="286"/>
        <v>B-BCP - Soles</v>
      </c>
      <c r="C3570" s="3" t="s">
        <v>1352</v>
      </c>
      <c r="D3570" s="14">
        <v>45898</v>
      </c>
      <c r="E3570" s="5" t="s">
        <v>3190</v>
      </c>
      <c r="F3570" s="5"/>
      <c r="G3570" s="6" t="s">
        <v>196</v>
      </c>
      <c r="H3570" s="6" t="s">
        <v>68</v>
      </c>
      <c r="I3570" s="6" t="s">
        <v>2226</v>
      </c>
      <c r="J3570" s="6">
        <v>6810</v>
      </c>
      <c r="K3570" s="7" t="s">
        <v>4366</v>
      </c>
      <c r="L3570" s="8">
        <v>1015858</v>
      </c>
      <c r="M3570" s="8" t="str">
        <f t="shared" si="287"/>
        <v>PEN</v>
      </c>
      <c r="N3570" s="13">
        <v>9</v>
      </c>
      <c r="O3570" s="13"/>
      <c r="P3570" s="3">
        <f t="shared" si="288"/>
        <v>0</v>
      </c>
      <c r="Q3570" s="3">
        <f t="shared" si="289"/>
        <v>0</v>
      </c>
      <c r="R3570" s="3">
        <f t="shared" si="285"/>
        <v>111617.18</v>
      </c>
      <c r="S3570" s="24" t="s">
        <v>1334</v>
      </c>
      <c r="T3570" s="24" t="s">
        <v>1334</v>
      </c>
      <c r="U3570" s="55"/>
      <c r="V3570" s="25">
        <f>IFERROR(VLOOKUP(BCP_Soles[[#This Row],[destinatario]],CHOOSE({1,2},Clientes_Proveedores[Razon Social],Clientes_Proveedores[Ruc / Dni]),2,0),"")</f>
        <v>20100055237</v>
      </c>
      <c r="W3570" s="25"/>
      <c r="X3570" s="25"/>
      <c r="Y3570" s="25"/>
      <c r="Z3570" s="77" t="s">
        <v>3666</v>
      </c>
      <c r="AA3570" s="3" t="str">
        <f>IF(BCP_Soles[[#This Row],[fecha]]&gt;0,TEXT(BCP_Soles[[#This Row],[fecha]],"mmmm"),0)</f>
        <v>Agosto</v>
      </c>
    </row>
    <row r="3571" spans="1:27" x14ac:dyDescent="0.3">
      <c r="A3571" s="2">
        <f>IF(BCP_Soles[[#This Row],[tipo_registro]]="R",COUNTIFS($C$1:$C3570,"R")+1,A3570)</f>
        <v>2367</v>
      </c>
      <c r="B3571" s="19" t="str">
        <f t="shared" si="286"/>
        <v>B-BCP - Soles</v>
      </c>
      <c r="C3571" s="3" t="s">
        <v>1352</v>
      </c>
      <c r="D3571" s="14">
        <v>45898</v>
      </c>
      <c r="E3571" s="5" t="s">
        <v>3190</v>
      </c>
      <c r="F3571" s="5"/>
      <c r="G3571" s="6" t="s">
        <v>196</v>
      </c>
      <c r="H3571" s="6" t="s">
        <v>68</v>
      </c>
      <c r="I3571" s="6" t="s">
        <v>2226</v>
      </c>
      <c r="J3571" s="6">
        <v>6808</v>
      </c>
      <c r="K3571" s="7" t="s">
        <v>4366</v>
      </c>
      <c r="L3571" s="8">
        <v>1015858</v>
      </c>
      <c r="M3571" s="8" t="str">
        <f t="shared" si="287"/>
        <v>PEN</v>
      </c>
      <c r="N3571" s="13">
        <v>11</v>
      </c>
      <c r="O3571" s="13"/>
      <c r="P3571" s="3">
        <f t="shared" si="288"/>
        <v>0</v>
      </c>
      <c r="Q3571" s="3">
        <f t="shared" si="289"/>
        <v>0</v>
      </c>
      <c r="R3571" s="3">
        <f t="shared" si="285"/>
        <v>111617.18</v>
      </c>
      <c r="S3571" s="24" t="s">
        <v>1334</v>
      </c>
      <c r="T3571" s="24" t="s">
        <v>1334</v>
      </c>
      <c r="U3571" s="55"/>
      <c r="V3571" s="25">
        <f>IFERROR(VLOOKUP(BCP_Soles[[#This Row],[destinatario]],CHOOSE({1,2},Clientes_Proveedores[Razon Social],Clientes_Proveedores[Ruc / Dni]),2,0),"")</f>
        <v>20100055237</v>
      </c>
      <c r="W3571" s="25"/>
      <c r="X3571" s="25"/>
      <c r="Y3571" s="25"/>
      <c r="Z3571" s="77" t="s">
        <v>3666</v>
      </c>
      <c r="AA3571" s="3" t="str">
        <f>IF(BCP_Soles[[#This Row],[fecha]]&gt;0,TEXT(BCP_Soles[[#This Row],[fecha]],"mmmm"),0)</f>
        <v>Agosto</v>
      </c>
    </row>
    <row r="3572" spans="1:27" x14ac:dyDescent="0.3">
      <c r="A3572" s="2">
        <f>IF(BCP_Soles[[#This Row],[tipo_registro]]="R",COUNTIFS($C$1:$C3571,"R")+1,A3571)</f>
        <v>2367</v>
      </c>
      <c r="B3572" s="19" t="str">
        <f t="shared" si="286"/>
        <v>B-BCP - Soles</v>
      </c>
      <c r="C3572" s="3" t="s">
        <v>1352</v>
      </c>
      <c r="D3572" s="14">
        <v>45898</v>
      </c>
      <c r="E3572" s="5" t="s">
        <v>3190</v>
      </c>
      <c r="F3572" s="5"/>
      <c r="G3572" s="6" t="s">
        <v>196</v>
      </c>
      <c r="H3572" s="6" t="s">
        <v>68</v>
      </c>
      <c r="I3572" s="6" t="s">
        <v>2226</v>
      </c>
      <c r="J3572" s="6">
        <v>6812</v>
      </c>
      <c r="K3572" s="7" t="s">
        <v>4366</v>
      </c>
      <c r="L3572" s="8">
        <v>1015858</v>
      </c>
      <c r="M3572" s="8" t="str">
        <f t="shared" si="287"/>
        <v>PEN</v>
      </c>
      <c r="N3572" s="13">
        <v>92</v>
      </c>
      <c r="O3572" s="13"/>
      <c r="P3572" s="3">
        <f t="shared" si="288"/>
        <v>0</v>
      </c>
      <c r="Q3572" s="3">
        <f t="shared" si="289"/>
        <v>0</v>
      </c>
      <c r="R3572" s="3">
        <f t="shared" si="285"/>
        <v>111617.18</v>
      </c>
      <c r="S3572" s="24" t="s">
        <v>1334</v>
      </c>
      <c r="T3572" s="24" t="s">
        <v>1334</v>
      </c>
      <c r="U3572" s="55"/>
      <c r="V3572" s="25">
        <f>IFERROR(VLOOKUP(BCP_Soles[[#This Row],[destinatario]],CHOOSE({1,2},Clientes_Proveedores[Razon Social],Clientes_Proveedores[Ruc / Dni]),2,0),"")</f>
        <v>20100055237</v>
      </c>
      <c r="W3572" s="25"/>
      <c r="X3572" s="25"/>
      <c r="Y3572" s="25"/>
      <c r="Z3572" s="77" t="s">
        <v>3666</v>
      </c>
      <c r="AA3572" s="3" t="str">
        <f>IF(BCP_Soles[[#This Row],[fecha]]&gt;0,TEXT(BCP_Soles[[#This Row],[fecha]],"mmmm"),0)</f>
        <v>Agosto</v>
      </c>
    </row>
    <row r="3573" spans="1:27" x14ac:dyDescent="0.3">
      <c r="A3573" s="2">
        <f>IF(BCP_Soles[[#This Row],[tipo_registro]]="R",COUNTIFS($C$1:$C3572,"R")+1,A3572)</f>
        <v>2367</v>
      </c>
      <c r="B3573" s="19" t="str">
        <f t="shared" si="286"/>
        <v>B-BCP - Soles</v>
      </c>
      <c r="C3573" s="3" t="s">
        <v>1352</v>
      </c>
      <c r="D3573" s="14">
        <v>45898</v>
      </c>
      <c r="E3573" s="5" t="s">
        <v>3190</v>
      </c>
      <c r="F3573" s="5"/>
      <c r="G3573" s="6" t="s">
        <v>196</v>
      </c>
      <c r="H3573" s="6" t="s">
        <v>68</v>
      </c>
      <c r="I3573" s="6" t="s">
        <v>2226</v>
      </c>
      <c r="J3573" s="6">
        <v>6813</v>
      </c>
      <c r="K3573" s="7" t="s">
        <v>4366</v>
      </c>
      <c r="L3573" s="8">
        <v>1015858</v>
      </c>
      <c r="M3573" s="8" t="str">
        <f t="shared" si="287"/>
        <v>PEN</v>
      </c>
      <c r="N3573" s="13">
        <v>3</v>
      </c>
      <c r="O3573" s="13"/>
      <c r="P3573" s="3">
        <f t="shared" si="288"/>
        <v>0</v>
      </c>
      <c r="Q3573" s="3">
        <f t="shared" si="289"/>
        <v>0</v>
      </c>
      <c r="R3573" s="3">
        <f t="shared" si="285"/>
        <v>111617.18</v>
      </c>
      <c r="S3573" s="24" t="s">
        <v>1334</v>
      </c>
      <c r="T3573" s="24" t="s">
        <v>1334</v>
      </c>
      <c r="U3573" s="55"/>
      <c r="V3573" s="25">
        <f>IFERROR(VLOOKUP(BCP_Soles[[#This Row],[destinatario]],CHOOSE({1,2},Clientes_Proveedores[Razon Social],Clientes_Proveedores[Ruc / Dni]),2,0),"")</f>
        <v>20100055237</v>
      </c>
      <c r="W3573" s="25"/>
      <c r="X3573" s="25"/>
      <c r="Y3573" s="25"/>
      <c r="Z3573" s="77" t="s">
        <v>3666</v>
      </c>
      <c r="AA3573" s="3" t="str">
        <f>IF(BCP_Soles[[#This Row],[fecha]]&gt;0,TEXT(BCP_Soles[[#This Row],[fecha]],"mmmm"),0)</f>
        <v>Agosto</v>
      </c>
    </row>
    <row r="3574" spans="1:27" x14ac:dyDescent="0.3">
      <c r="A3574" s="2">
        <f>IF(BCP_Soles[[#This Row],[tipo_registro]]="R",COUNTIFS($C$1:$C3573,"R")+1,A3573)</f>
        <v>2367</v>
      </c>
      <c r="B3574" s="19" t="str">
        <f t="shared" si="286"/>
        <v>B-BCP - Soles</v>
      </c>
      <c r="C3574" s="3" t="s">
        <v>1352</v>
      </c>
      <c r="D3574" s="14">
        <v>45898</v>
      </c>
      <c r="E3574" s="5" t="s">
        <v>3190</v>
      </c>
      <c r="F3574" s="5"/>
      <c r="G3574" s="6" t="s">
        <v>196</v>
      </c>
      <c r="H3574" s="6" t="s">
        <v>68</v>
      </c>
      <c r="I3574" s="6" t="s">
        <v>2226</v>
      </c>
      <c r="J3574" s="6">
        <v>6811</v>
      </c>
      <c r="K3574" s="7" t="s">
        <v>4366</v>
      </c>
      <c r="L3574" s="8">
        <v>1015858</v>
      </c>
      <c r="M3574" s="8" t="str">
        <f t="shared" si="287"/>
        <v>PEN</v>
      </c>
      <c r="N3574" s="13">
        <v>10</v>
      </c>
      <c r="O3574" s="13"/>
      <c r="P3574" s="3">
        <f t="shared" si="288"/>
        <v>0</v>
      </c>
      <c r="Q3574" s="3">
        <f t="shared" si="289"/>
        <v>0</v>
      </c>
      <c r="R3574" s="3">
        <f t="shared" si="285"/>
        <v>111617.18</v>
      </c>
      <c r="S3574" s="24" t="s">
        <v>1334</v>
      </c>
      <c r="T3574" s="24" t="s">
        <v>1334</v>
      </c>
      <c r="U3574" s="55"/>
      <c r="V3574" s="25">
        <f>IFERROR(VLOOKUP(BCP_Soles[[#This Row],[destinatario]],CHOOSE({1,2},Clientes_Proveedores[Razon Social],Clientes_Proveedores[Ruc / Dni]),2,0),"")</f>
        <v>20100055237</v>
      </c>
      <c r="W3574" s="25"/>
      <c r="X3574" s="25"/>
      <c r="Y3574" s="25"/>
      <c r="Z3574" s="77" t="s">
        <v>3666</v>
      </c>
      <c r="AA3574" s="3" t="str">
        <f>IF(BCP_Soles[[#This Row],[fecha]]&gt;0,TEXT(BCP_Soles[[#This Row],[fecha]],"mmmm"),0)</f>
        <v>Agosto</v>
      </c>
    </row>
    <row r="3575" spans="1:27" x14ac:dyDescent="0.3">
      <c r="A3575" s="2">
        <f>IF(BCP_Soles[[#This Row],[tipo_registro]]="R",COUNTIFS($C$1:$C3574,"R")+1,A3574)</f>
        <v>2367</v>
      </c>
      <c r="B3575" s="19" t="str">
        <f t="shared" si="286"/>
        <v>B-BCP - Soles</v>
      </c>
      <c r="C3575" s="3" t="s">
        <v>1352</v>
      </c>
      <c r="D3575" s="14">
        <v>45898</v>
      </c>
      <c r="E3575" s="5" t="s">
        <v>3190</v>
      </c>
      <c r="F3575" s="5"/>
      <c r="G3575" s="6" t="s">
        <v>196</v>
      </c>
      <c r="H3575" s="6" t="s">
        <v>68</v>
      </c>
      <c r="I3575" s="6" t="s">
        <v>2226</v>
      </c>
      <c r="J3575" s="6">
        <v>6804</v>
      </c>
      <c r="K3575" s="7" t="s">
        <v>4366</v>
      </c>
      <c r="L3575" s="8">
        <v>1015858</v>
      </c>
      <c r="M3575" s="8" t="str">
        <f t="shared" si="287"/>
        <v>PEN</v>
      </c>
      <c r="N3575" s="13">
        <v>122</v>
      </c>
      <c r="O3575" s="13"/>
      <c r="P3575" s="3">
        <f t="shared" si="288"/>
        <v>0</v>
      </c>
      <c r="Q3575" s="3">
        <f t="shared" si="289"/>
        <v>0</v>
      </c>
      <c r="R3575" s="3">
        <f t="shared" si="285"/>
        <v>111617.18</v>
      </c>
      <c r="S3575" s="24" t="s">
        <v>1334</v>
      </c>
      <c r="T3575" s="24" t="s">
        <v>1334</v>
      </c>
      <c r="U3575" s="55"/>
      <c r="V3575" s="25">
        <f>IFERROR(VLOOKUP(BCP_Soles[[#This Row],[destinatario]],CHOOSE({1,2},Clientes_Proveedores[Razon Social],Clientes_Proveedores[Ruc / Dni]),2,0),"")</f>
        <v>20100055237</v>
      </c>
      <c r="W3575" s="25"/>
      <c r="X3575" s="25"/>
      <c r="Y3575" s="25"/>
      <c r="Z3575" s="77" t="s">
        <v>3666</v>
      </c>
      <c r="AA3575" s="3" t="str">
        <f>IF(BCP_Soles[[#This Row],[fecha]]&gt;0,TEXT(BCP_Soles[[#This Row],[fecha]],"mmmm"),0)</f>
        <v>Agosto</v>
      </c>
    </row>
    <row r="3576" spans="1:27" x14ac:dyDescent="0.3">
      <c r="A3576" s="2">
        <f>IF(BCP_Soles[[#This Row],[tipo_registro]]="R",COUNTIFS($C$1:$C3575,"R")+1,A3575)</f>
        <v>2367</v>
      </c>
      <c r="B3576" s="19" t="str">
        <f t="shared" si="286"/>
        <v>B-BCP - Soles</v>
      </c>
      <c r="C3576" s="3" t="s">
        <v>1352</v>
      </c>
      <c r="D3576" s="14">
        <v>45898</v>
      </c>
      <c r="E3576" s="5" t="s">
        <v>3190</v>
      </c>
      <c r="F3576" s="5"/>
      <c r="G3576" s="6" t="s">
        <v>196</v>
      </c>
      <c r="H3576" s="6" t="s">
        <v>68</v>
      </c>
      <c r="I3576" s="6" t="s">
        <v>2226</v>
      </c>
      <c r="J3576" s="6">
        <v>6803</v>
      </c>
      <c r="K3576" s="7" t="s">
        <v>4366</v>
      </c>
      <c r="L3576" s="8">
        <v>1015858</v>
      </c>
      <c r="M3576" s="8" t="str">
        <f t="shared" si="287"/>
        <v>PEN</v>
      </c>
      <c r="N3576" s="13">
        <v>7</v>
      </c>
      <c r="O3576" s="13"/>
      <c r="P3576" s="3">
        <f t="shared" si="288"/>
        <v>0</v>
      </c>
      <c r="Q3576" s="3">
        <f t="shared" si="289"/>
        <v>0</v>
      </c>
      <c r="R3576" s="3">
        <f t="shared" si="285"/>
        <v>111617.18</v>
      </c>
      <c r="S3576" s="24" t="s">
        <v>1334</v>
      </c>
      <c r="T3576" s="24" t="s">
        <v>1334</v>
      </c>
      <c r="U3576" s="55"/>
      <c r="V3576" s="25">
        <f>IFERROR(VLOOKUP(BCP_Soles[[#This Row],[destinatario]],CHOOSE({1,2},Clientes_Proveedores[Razon Social],Clientes_Proveedores[Ruc / Dni]),2,0),"")</f>
        <v>20100055237</v>
      </c>
      <c r="W3576" s="25"/>
      <c r="X3576" s="25"/>
      <c r="Y3576" s="25"/>
      <c r="Z3576" s="77" t="s">
        <v>3666</v>
      </c>
      <c r="AA3576" s="3" t="str">
        <f>IF(BCP_Soles[[#This Row],[fecha]]&gt;0,TEXT(BCP_Soles[[#This Row],[fecha]],"mmmm"),0)</f>
        <v>Agosto</v>
      </c>
    </row>
    <row r="3577" spans="1:27" x14ac:dyDescent="0.3">
      <c r="A3577" s="2">
        <f>IF(BCP_Soles[[#This Row],[tipo_registro]]="R",COUNTIFS($C$1:$C3576,"R")+1,A3576)</f>
        <v>2367</v>
      </c>
      <c r="B3577" s="19" t="str">
        <f t="shared" si="286"/>
        <v>B-BCP - Soles</v>
      </c>
      <c r="C3577" s="3" t="s">
        <v>1352</v>
      </c>
      <c r="D3577" s="14">
        <v>45898</v>
      </c>
      <c r="E3577" s="5" t="s">
        <v>3190</v>
      </c>
      <c r="F3577" s="5"/>
      <c r="G3577" s="6" t="s">
        <v>196</v>
      </c>
      <c r="H3577" s="6" t="s">
        <v>68</v>
      </c>
      <c r="I3577" s="6" t="s">
        <v>2226</v>
      </c>
      <c r="J3577" s="6">
        <v>6799</v>
      </c>
      <c r="K3577" s="7" t="s">
        <v>4366</v>
      </c>
      <c r="L3577" s="8">
        <v>1015858</v>
      </c>
      <c r="M3577" s="8" t="str">
        <f t="shared" si="287"/>
        <v>PEN</v>
      </c>
      <c r="N3577" s="13">
        <v>1</v>
      </c>
      <c r="O3577" s="13"/>
      <c r="P3577" s="3">
        <f t="shared" si="288"/>
        <v>0</v>
      </c>
      <c r="Q3577" s="3">
        <f t="shared" si="289"/>
        <v>0</v>
      </c>
      <c r="R3577" s="3">
        <f t="shared" si="285"/>
        <v>111617.18</v>
      </c>
      <c r="S3577" s="24" t="s">
        <v>1334</v>
      </c>
      <c r="T3577" s="24" t="s">
        <v>1334</v>
      </c>
      <c r="U3577" s="55"/>
      <c r="V3577" s="25">
        <f>IFERROR(VLOOKUP(BCP_Soles[[#This Row],[destinatario]],CHOOSE({1,2},Clientes_Proveedores[Razon Social],Clientes_Proveedores[Ruc / Dni]),2,0),"")</f>
        <v>20100055237</v>
      </c>
      <c r="W3577" s="25"/>
      <c r="X3577" s="25"/>
      <c r="Y3577" s="25"/>
      <c r="Z3577" s="77" t="s">
        <v>3666</v>
      </c>
      <c r="AA3577" s="3" t="str">
        <f>IF(BCP_Soles[[#This Row],[fecha]]&gt;0,TEXT(BCP_Soles[[#This Row],[fecha]],"mmmm"),0)</f>
        <v>Agosto</v>
      </c>
    </row>
    <row r="3578" spans="1:27" x14ac:dyDescent="0.3">
      <c r="A3578" s="2">
        <f>IF(BCP_Soles[[#This Row],[tipo_registro]]="R",COUNTIFS($C$1:$C3577,"R")+1,A3577)</f>
        <v>2367</v>
      </c>
      <c r="B3578" s="19" t="str">
        <f t="shared" si="286"/>
        <v>B-BCP - Soles</v>
      </c>
      <c r="C3578" s="3" t="s">
        <v>1352</v>
      </c>
      <c r="D3578" s="14">
        <v>45898</v>
      </c>
      <c r="E3578" s="5" t="s">
        <v>3190</v>
      </c>
      <c r="F3578" s="5"/>
      <c r="G3578" s="6" t="s">
        <v>196</v>
      </c>
      <c r="H3578" s="6" t="s">
        <v>68</v>
      </c>
      <c r="I3578" s="6" t="s">
        <v>2226</v>
      </c>
      <c r="J3578" s="6">
        <v>6801</v>
      </c>
      <c r="K3578" s="7" t="s">
        <v>4366</v>
      </c>
      <c r="L3578" s="8">
        <v>1015858</v>
      </c>
      <c r="M3578" s="8" t="str">
        <f t="shared" si="287"/>
        <v>PEN</v>
      </c>
      <c r="N3578" s="13">
        <v>46</v>
      </c>
      <c r="O3578" s="13"/>
      <c r="P3578" s="3">
        <f t="shared" si="288"/>
        <v>0</v>
      </c>
      <c r="Q3578" s="3">
        <f t="shared" si="289"/>
        <v>0</v>
      </c>
      <c r="R3578" s="3">
        <f t="shared" si="285"/>
        <v>111617.18</v>
      </c>
      <c r="S3578" s="24" t="s">
        <v>1334</v>
      </c>
      <c r="T3578" s="24" t="s">
        <v>1334</v>
      </c>
      <c r="U3578" s="55"/>
      <c r="V3578" s="25">
        <f>IFERROR(VLOOKUP(BCP_Soles[[#This Row],[destinatario]],CHOOSE({1,2},Clientes_Proveedores[Razon Social],Clientes_Proveedores[Ruc / Dni]),2,0),"")</f>
        <v>20100055237</v>
      </c>
      <c r="W3578" s="25"/>
      <c r="X3578" s="25"/>
      <c r="Y3578" s="25"/>
      <c r="Z3578" s="77" t="s">
        <v>3666</v>
      </c>
      <c r="AA3578" s="3" t="str">
        <f>IF(BCP_Soles[[#This Row],[fecha]]&gt;0,TEXT(BCP_Soles[[#This Row],[fecha]],"mmmm"),0)</f>
        <v>Agosto</v>
      </c>
    </row>
    <row r="3579" spans="1:27" x14ac:dyDescent="0.3">
      <c r="A3579" s="2">
        <f>IF(BCP_Soles[[#This Row],[tipo_registro]]="R",COUNTIFS($C$1:$C3578,"R")+1,A3578)</f>
        <v>2367</v>
      </c>
      <c r="B3579" s="19" t="str">
        <f t="shared" si="286"/>
        <v>B-BCP - Soles</v>
      </c>
      <c r="C3579" s="3" t="s">
        <v>1352</v>
      </c>
      <c r="D3579" s="14">
        <v>45898</v>
      </c>
      <c r="E3579" s="5" t="s">
        <v>3190</v>
      </c>
      <c r="F3579" s="5"/>
      <c r="G3579" s="6" t="s">
        <v>196</v>
      </c>
      <c r="H3579" s="6" t="s">
        <v>68</v>
      </c>
      <c r="I3579" s="6" t="s">
        <v>2226</v>
      </c>
      <c r="J3579" s="6">
        <v>6800</v>
      </c>
      <c r="K3579" s="7" t="s">
        <v>4366</v>
      </c>
      <c r="L3579" s="8">
        <v>1015858</v>
      </c>
      <c r="M3579" s="8" t="str">
        <f t="shared" si="287"/>
        <v>PEN</v>
      </c>
      <c r="N3579" s="13">
        <v>69</v>
      </c>
      <c r="O3579" s="13"/>
      <c r="P3579" s="3">
        <f t="shared" si="288"/>
        <v>0</v>
      </c>
      <c r="Q3579" s="3">
        <f t="shared" si="289"/>
        <v>0</v>
      </c>
      <c r="R3579" s="3">
        <f t="shared" si="285"/>
        <v>111617.18</v>
      </c>
      <c r="S3579" s="24" t="s">
        <v>1334</v>
      </c>
      <c r="T3579" s="24" t="s">
        <v>1334</v>
      </c>
      <c r="U3579" s="55"/>
      <c r="V3579" s="25">
        <f>IFERROR(VLOOKUP(BCP_Soles[[#This Row],[destinatario]],CHOOSE({1,2},Clientes_Proveedores[Razon Social],Clientes_Proveedores[Ruc / Dni]),2,0),"")</f>
        <v>20100055237</v>
      </c>
      <c r="W3579" s="25"/>
      <c r="X3579" s="25"/>
      <c r="Y3579" s="25"/>
      <c r="Z3579" s="77" t="s">
        <v>3666</v>
      </c>
      <c r="AA3579" s="3" t="str">
        <f>IF(BCP_Soles[[#This Row],[fecha]]&gt;0,TEXT(BCP_Soles[[#This Row],[fecha]],"mmmm"),0)</f>
        <v>Agosto</v>
      </c>
    </row>
    <row r="3580" spans="1:27" x14ac:dyDescent="0.3">
      <c r="A3580" s="2">
        <f>IF(BCP_Soles[[#This Row],[tipo_registro]]="R",COUNTIFS($C$1:$C3579,"R")+1,A3579)</f>
        <v>2367</v>
      </c>
      <c r="B3580" s="19" t="str">
        <f t="shared" si="286"/>
        <v>B-BCP - Soles</v>
      </c>
      <c r="C3580" s="3" t="s">
        <v>1352</v>
      </c>
      <c r="D3580" s="14">
        <v>45898</v>
      </c>
      <c r="E3580" s="5" t="s">
        <v>3190</v>
      </c>
      <c r="F3580" s="5"/>
      <c r="G3580" s="6" t="s">
        <v>196</v>
      </c>
      <c r="H3580" s="6" t="s">
        <v>68</v>
      </c>
      <c r="I3580" s="6" t="s">
        <v>2226</v>
      </c>
      <c r="J3580" s="6">
        <v>6802</v>
      </c>
      <c r="K3580" s="7" t="s">
        <v>4366</v>
      </c>
      <c r="L3580" s="8">
        <v>1015858</v>
      </c>
      <c r="M3580" s="8" t="str">
        <f t="shared" si="287"/>
        <v>PEN</v>
      </c>
      <c r="N3580" s="13">
        <v>22</v>
      </c>
      <c r="O3580" s="13"/>
      <c r="P3580" s="3">
        <f t="shared" si="288"/>
        <v>0</v>
      </c>
      <c r="Q3580" s="3">
        <f t="shared" si="289"/>
        <v>0</v>
      </c>
      <c r="R3580" s="3">
        <f t="shared" si="285"/>
        <v>111617.18</v>
      </c>
      <c r="S3580" s="24" t="s">
        <v>1334</v>
      </c>
      <c r="T3580" s="24" t="s">
        <v>1334</v>
      </c>
      <c r="U3580" s="55"/>
      <c r="V3580" s="25">
        <f>IFERROR(VLOOKUP(BCP_Soles[[#This Row],[destinatario]],CHOOSE({1,2},Clientes_Proveedores[Razon Social],Clientes_Proveedores[Ruc / Dni]),2,0),"")</f>
        <v>20100055237</v>
      </c>
      <c r="W3580" s="25"/>
      <c r="X3580" s="25"/>
      <c r="Y3580" s="25"/>
      <c r="Z3580" s="77" t="s">
        <v>3666</v>
      </c>
      <c r="AA3580" s="3" t="str">
        <f>IF(BCP_Soles[[#This Row],[fecha]]&gt;0,TEXT(BCP_Soles[[#This Row],[fecha]],"mmmm"),0)</f>
        <v>Agosto</v>
      </c>
    </row>
    <row r="3581" spans="1:27" x14ac:dyDescent="0.3">
      <c r="A3581" s="2">
        <f>IF(BCP_Soles[[#This Row],[tipo_registro]]="R",COUNTIFS($C$1:$C3580,"R")+1,A3580)</f>
        <v>2367</v>
      </c>
      <c r="B3581" s="19" t="str">
        <f t="shared" si="286"/>
        <v>B-BCP - Soles</v>
      </c>
      <c r="C3581" s="3" t="s">
        <v>1352</v>
      </c>
      <c r="D3581" s="14">
        <v>45898</v>
      </c>
      <c r="E3581" s="5" t="s">
        <v>3190</v>
      </c>
      <c r="F3581" s="5"/>
      <c r="G3581" s="6" t="s">
        <v>196</v>
      </c>
      <c r="H3581" s="6" t="s">
        <v>68</v>
      </c>
      <c r="I3581" s="6" t="s">
        <v>2226</v>
      </c>
      <c r="J3581" s="6">
        <v>6798</v>
      </c>
      <c r="K3581" s="7" t="s">
        <v>4366</v>
      </c>
      <c r="L3581" s="8">
        <v>1015858</v>
      </c>
      <c r="M3581" s="8" t="str">
        <f t="shared" si="287"/>
        <v>PEN</v>
      </c>
      <c r="N3581" s="13">
        <v>27</v>
      </c>
      <c r="O3581" s="13"/>
      <c r="P3581" s="3">
        <f t="shared" si="288"/>
        <v>0</v>
      </c>
      <c r="Q3581" s="3">
        <f t="shared" si="289"/>
        <v>0</v>
      </c>
      <c r="R3581" s="3">
        <f t="shared" si="285"/>
        <v>111617.18</v>
      </c>
      <c r="S3581" s="24" t="s">
        <v>1334</v>
      </c>
      <c r="T3581" s="24" t="s">
        <v>1334</v>
      </c>
      <c r="U3581" s="55"/>
      <c r="V3581" s="25">
        <f>IFERROR(VLOOKUP(BCP_Soles[[#This Row],[destinatario]],CHOOSE({1,2},Clientes_Proveedores[Razon Social],Clientes_Proveedores[Ruc / Dni]),2,0),"")</f>
        <v>20100055237</v>
      </c>
      <c r="W3581" s="25"/>
      <c r="X3581" s="25"/>
      <c r="Y3581" s="25"/>
      <c r="Z3581" s="77" t="s">
        <v>3666</v>
      </c>
      <c r="AA3581" s="3" t="str">
        <f>IF(BCP_Soles[[#This Row],[fecha]]&gt;0,TEXT(BCP_Soles[[#This Row],[fecha]],"mmmm"),0)</f>
        <v>Agosto</v>
      </c>
    </row>
    <row r="3582" spans="1:27" ht="24" x14ac:dyDescent="0.3">
      <c r="A3582" s="2">
        <f>IF(BCP_Soles[[#This Row],[tipo_registro]]="R",COUNTIFS($C$1:$C3581,"R")+1,A3581)</f>
        <v>2368</v>
      </c>
      <c r="B3582" s="19" t="str">
        <f t="shared" si="286"/>
        <v>B-BCP - Soles</v>
      </c>
      <c r="C3582" s="3" t="s">
        <v>1330</v>
      </c>
      <c r="D3582" s="14">
        <v>45898</v>
      </c>
      <c r="E3582" s="5" t="s">
        <v>1335</v>
      </c>
      <c r="F3582" s="5" t="s">
        <v>1336</v>
      </c>
      <c r="G3582" s="6" t="s">
        <v>1060</v>
      </c>
      <c r="H3582" s="6" t="s">
        <v>68</v>
      </c>
      <c r="I3582" s="6" t="s">
        <v>1397</v>
      </c>
      <c r="J3582" s="6">
        <v>36366365</v>
      </c>
      <c r="K3582" s="7" t="s">
        <v>1400</v>
      </c>
      <c r="L3582" s="8">
        <v>893</v>
      </c>
      <c r="M3582" s="8" t="str">
        <f t="shared" si="287"/>
        <v>PEN</v>
      </c>
      <c r="N3582" s="13"/>
      <c r="O3582" s="13">
        <v>10</v>
      </c>
      <c r="P3582" s="3">
        <f t="shared" si="288"/>
        <v>0</v>
      </c>
      <c r="Q3582" s="3">
        <f t="shared" si="289"/>
        <v>10</v>
      </c>
      <c r="R3582" s="3">
        <f t="shared" si="285"/>
        <v>111607.18</v>
      </c>
      <c r="S3582" s="24" t="s">
        <v>1334</v>
      </c>
      <c r="T3582" s="24" t="s">
        <v>1334</v>
      </c>
      <c r="U3582" s="55"/>
      <c r="V3582" s="25">
        <f>IFERROR(VLOOKUP(BCP_Soles[[#This Row],[destinatario]],CHOOSE({1,2},Clientes_Proveedores[Razon Social],Clientes_Proveedores[Ruc / Dni]),2,0),"")</f>
        <v>20100047218</v>
      </c>
      <c r="W3582" s="25"/>
      <c r="X3582" s="25"/>
      <c r="Y3582" s="25"/>
      <c r="Z3582" s="77"/>
      <c r="AA3582" s="3" t="str">
        <f>IF(BCP_Soles[[#This Row],[fecha]]&gt;0,TEXT(BCP_Soles[[#This Row],[fecha]],"mmmm"),0)</f>
        <v>Agosto</v>
      </c>
    </row>
    <row r="3583" spans="1:27" ht="24" x14ac:dyDescent="0.3">
      <c r="A3583" s="2">
        <f>IF(BCP_Soles[[#This Row],[tipo_registro]]="R",COUNTIFS($C$1:$C3582,"R")+1,A3582)</f>
        <v>2369</v>
      </c>
      <c r="B3583" s="19" t="str">
        <f t="shared" si="286"/>
        <v>B-BCP - Soles</v>
      </c>
      <c r="C3583" s="3" t="s">
        <v>1330</v>
      </c>
      <c r="D3583" s="14">
        <v>45898</v>
      </c>
      <c r="E3583" s="5" t="s">
        <v>1338</v>
      </c>
      <c r="F3583" s="5" t="s">
        <v>1336</v>
      </c>
      <c r="G3583" s="6" t="s">
        <v>1125</v>
      </c>
      <c r="H3583" s="6" t="s">
        <v>68</v>
      </c>
      <c r="I3583" s="6" t="s">
        <v>1376</v>
      </c>
      <c r="J3583" s="6">
        <v>3580</v>
      </c>
      <c r="K3583" s="7" t="s">
        <v>4367</v>
      </c>
      <c r="L3583" s="8">
        <v>1183283</v>
      </c>
      <c r="M3583" s="8" t="str">
        <f t="shared" si="287"/>
        <v>PEN</v>
      </c>
      <c r="N3583" s="13"/>
      <c r="O3583" s="13">
        <v>95</v>
      </c>
      <c r="P3583" s="3">
        <f t="shared" si="288"/>
        <v>0</v>
      </c>
      <c r="Q3583" s="3">
        <f t="shared" si="289"/>
        <v>95</v>
      </c>
      <c r="R3583" s="3">
        <f t="shared" si="285"/>
        <v>111512.18</v>
      </c>
      <c r="S3583" s="24" t="s">
        <v>1334</v>
      </c>
      <c r="T3583" s="24" t="s">
        <v>1334</v>
      </c>
      <c r="U3583" s="56" t="s">
        <v>4368</v>
      </c>
      <c r="V3583" s="25">
        <f>IFERROR(VLOOKUP(BCP_Soles[[#This Row],[destinatario]],CHOOSE({1,2},Clientes_Proveedores[Razon Social],Clientes_Proveedores[Ruc / Dni]),2,0),"")</f>
        <v>10294459419</v>
      </c>
      <c r="W3583" s="25"/>
      <c r="X3583" s="25"/>
      <c r="Y3583" s="25"/>
      <c r="Z3583" s="77"/>
      <c r="AA3583" s="3" t="str">
        <f>IF(BCP_Soles[[#This Row],[fecha]]&gt;0,TEXT(BCP_Soles[[#This Row],[fecha]],"mmmm"),0)</f>
        <v>Agosto</v>
      </c>
    </row>
    <row r="3584" spans="1:27" x14ac:dyDescent="0.3">
      <c r="A3584" s="2">
        <f>IF(BCP_Soles[[#This Row],[tipo_registro]]="R",COUNTIFS($C$1:$C3583,"R")+1,A3583)</f>
        <v>2370</v>
      </c>
      <c r="B3584" s="19" t="str">
        <f t="shared" si="286"/>
        <v>B-BCP - Soles</v>
      </c>
      <c r="C3584" s="3" t="s">
        <v>1330</v>
      </c>
      <c r="D3584" s="14">
        <v>45898</v>
      </c>
      <c r="E3584" s="5" t="s">
        <v>4171</v>
      </c>
      <c r="F3584" s="5" t="s">
        <v>1336</v>
      </c>
      <c r="G3584" s="6" t="s">
        <v>696</v>
      </c>
      <c r="H3584" s="6"/>
      <c r="I3584" s="6"/>
      <c r="J3584" s="6"/>
      <c r="K3584" s="7" t="s">
        <v>4369</v>
      </c>
      <c r="L3584" s="8">
        <v>8770643</v>
      </c>
      <c r="M3584" s="8" t="str">
        <f t="shared" si="287"/>
        <v>PEN</v>
      </c>
      <c r="N3584" s="13"/>
      <c r="O3584" s="13">
        <v>91297.63</v>
      </c>
      <c r="P3584" s="3">
        <f t="shared" si="288"/>
        <v>0</v>
      </c>
      <c r="Q3584" s="3">
        <f t="shared" si="289"/>
        <v>91297.63</v>
      </c>
      <c r="R3584" s="3">
        <f t="shared" si="285"/>
        <v>20214.549999999988</v>
      </c>
      <c r="S3584" s="24"/>
      <c r="T3584" s="24"/>
      <c r="U3584" s="55"/>
      <c r="V3584" s="25">
        <f>IFERROR(VLOOKUP(BCP_Soles[[#This Row],[destinatario]],CHOOSE({1,2},Clientes_Proveedores[Razon Social],Clientes_Proveedores[Ruc / Dni]),2,0),"")</f>
        <v>0</v>
      </c>
      <c r="W3584" s="25"/>
      <c r="X3584" s="25"/>
      <c r="Y3584" s="25"/>
      <c r="Z3584" s="77"/>
      <c r="AA3584" s="3" t="str">
        <f>IF(BCP_Soles[[#This Row],[fecha]]&gt;0,TEXT(BCP_Soles[[#This Row],[fecha]],"mmmm"),0)</f>
        <v>Agosto</v>
      </c>
    </row>
    <row r="3585" spans="1:27" x14ac:dyDescent="0.3">
      <c r="A3585" s="2">
        <f>IF(BCP_Soles[[#This Row],[tipo_registro]]="R",COUNTIFS($C$1:$C3584,"R")+1,A3584)</f>
        <v>2371</v>
      </c>
      <c r="B3585" s="19" t="str">
        <f t="shared" si="286"/>
        <v>B-BCP - Soles</v>
      </c>
      <c r="C3585" s="3" t="s">
        <v>1330</v>
      </c>
      <c r="D3585" s="14">
        <v>45898</v>
      </c>
      <c r="E3585" s="5" t="s">
        <v>1335</v>
      </c>
      <c r="F3585" s="5" t="s">
        <v>1336</v>
      </c>
      <c r="G3585" s="6" t="s">
        <v>1009</v>
      </c>
      <c r="H3585" s="6" t="s">
        <v>64</v>
      </c>
      <c r="I3585" s="6" t="s">
        <v>3673</v>
      </c>
      <c r="J3585" s="6">
        <v>2373</v>
      </c>
      <c r="K3585" s="7" t="s">
        <v>3160</v>
      </c>
      <c r="L3585" s="8"/>
      <c r="M3585" s="8" t="str">
        <f t="shared" si="287"/>
        <v>PEN</v>
      </c>
      <c r="N3585" s="13"/>
      <c r="O3585" s="13">
        <v>6.35</v>
      </c>
      <c r="P3585" s="3">
        <f t="shared" si="288"/>
        <v>0</v>
      </c>
      <c r="Q3585" s="3">
        <f t="shared" si="289"/>
        <v>6.35</v>
      </c>
      <c r="R3585" s="3">
        <f t="shared" si="285"/>
        <v>20208.19999999999</v>
      </c>
      <c r="S3585" s="28" t="s">
        <v>1334</v>
      </c>
      <c r="T3585" s="28" t="s">
        <v>1334</v>
      </c>
      <c r="U3585" s="55"/>
      <c r="V3585" s="25">
        <f>IFERROR(VLOOKUP(BCP_Soles[[#This Row],[destinatario]],CHOOSE({1,2},Clientes_Proveedores[Razon Social],Clientes_Proveedores[Ruc / Dni]),2,0),"")</f>
        <v>11111111</v>
      </c>
      <c r="W3585" s="25"/>
      <c r="X3585" s="25"/>
      <c r="Y3585" s="25"/>
      <c r="Z3585" s="77"/>
      <c r="AA3585" s="3" t="str">
        <f>IF(BCP_Soles[[#This Row],[fecha]]&gt;0,TEXT(BCP_Soles[[#This Row],[fecha]],"mmmm"),0)</f>
        <v>Agosto</v>
      </c>
    </row>
    <row r="3586" spans="1:27" x14ac:dyDescent="0.3">
      <c r="A3586" s="2">
        <f>IF(BCP_Soles[[#This Row],[tipo_registro]]="R",COUNTIFS($C$1:$C3585,"R")+1,A3585)</f>
        <v>2372</v>
      </c>
      <c r="B3586" s="19" t="str">
        <f t="shared" si="286"/>
        <v>B-BCP - Soles</v>
      </c>
      <c r="C3586" s="3" t="s">
        <v>1330</v>
      </c>
      <c r="D3586" s="14">
        <v>45899</v>
      </c>
      <c r="E3586" s="65" t="s">
        <v>295</v>
      </c>
      <c r="F3586" s="5" t="s">
        <v>1303</v>
      </c>
      <c r="G3586" s="6" t="s">
        <v>425</v>
      </c>
      <c r="H3586" s="6" t="s">
        <v>68</v>
      </c>
      <c r="I3586" s="6" t="s">
        <v>3302</v>
      </c>
      <c r="J3586" s="6">
        <v>122</v>
      </c>
      <c r="K3586" s="7" t="s">
        <v>1428</v>
      </c>
      <c r="L3586" s="8">
        <v>2023814</v>
      </c>
      <c r="M3586" s="8" t="str">
        <f t="shared" si="287"/>
        <v>PEN</v>
      </c>
      <c r="N3586" s="13"/>
      <c r="O3586" s="13">
        <v>901.23</v>
      </c>
      <c r="P3586" s="3">
        <f t="shared" si="288"/>
        <v>901.23</v>
      </c>
      <c r="Q3586" s="3">
        <f t="shared" si="289"/>
        <v>0</v>
      </c>
      <c r="R3586" s="3">
        <f t="shared" si="285"/>
        <v>21109.429999999989</v>
      </c>
      <c r="S3586" s="24" t="s">
        <v>1334</v>
      </c>
      <c r="T3586" s="24" t="s">
        <v>1334</v>
      </c>
      <c r="U3586" s="55"/>
      <c r="V3586" s="25">
        <f>IFERROR(VLOOKUP(BCP_Soles[[#This Row],[destinatario]],CHOOSE({1,2},Clientes_Proveedores[Razon Social],Clientes_Proveedores[Ruc / Dni]),2,0),"")</f>
        <v>20558226979</v>
      </c>
      <c r="W3586" s="25"/>
      <c r="X3586" s="25"/>
      <c r="Y3586" s="25"/>
      <c r="Z3586" s="77"/>
      <c r="AA3586" s="3" t="str">
        <f>IF(BCP_Soles[[#This Row],[fecha]]&gt;0,TEXT(BCP_Soles[[#This Row],[fecha]],"mmmm"),0)</f>
        <v>Agosto</v>
      </c>
    </row>
    <row r="3587" spans="1:27" x14ac:dyDescent="0.3">
      <c r="A3587" s="2">
        <f>IF(BCP_Soles[[#This Row],[tipo_registro]]="R",COUNTIFS($C$1:$C3586,"R")+1,A3586)</f>
        <v>2373</v>
      </c>
      <c r="B3587" s="19" t="str">
        <f t="shared" si="286"/>
        <v>B-BCP - Soles</v>
      </c>
      <c r="C3587" s="3" t="s">
        <v>1330</v>
      </c>
      <c r="D3587" s="14">
        <v>45899</v>
      </c>
      <c r="E3587" s="65" t="s">
        <v>295</v>
      </c>
      <c r="F3587" s="5" t="s">
        <v>1303</v>
      </c>
      <c r="G3587" s="6" t="s">
        <v>425</v>
      </c>
      <c r="H3587" s="6" t="s">
        <v>68</v>
      </c>
      <c r="I3587" s="6" t="s">
        <v>3302</v>
      </c>
      <c r="J3587" s="6">
        <v>112</v>
      </c>
      <c r="K3587" s="7" t="s">
        <v>1428</v>
      </c>
      <c r="L3587" s="8">
        <v>2017500</v>
      </c>
      <c r="M3587" s="8" t="str">
        <f t="shared" si="287"/>
        <v>PEN</v>
      </c>
      <c r="N3587" s="13"/>
      <c r="O3587" s="13">
        <v>600.23</v>
      </c>
      <c r="P3587" s="3">
        <f t="shared" si="288"/>
        <v>600.23</v>
      </c>
      <c r="Q3587" s="3">
        <f t="shared" si="289"/>
        <v>0</v>
      </c>
      <c r="R3587" s="3">
        <f t="shared" si="285"/>
        <v>21709.659999999989</v>
      </c>
      <c r="S3587" s="24" t="s">
        <v>1334</v>
      </c>
      <c r="T3587" s="24" t="s">
        <v>1334</v>
      </c>
      <c r="U3587" s="55"/>
      <c r="V3587" s="25">
        <f>IFERROR(VLOOKUP(BCP_Soles[[#This Row],[destinatario]],CHOOSE({1,2},Clientes_Proveedores[Razon Social],Clientes_Proveedores[Ruc / Dni]),2,0),"")</f>
        <v>20558226979</v>
      </c>
      <c r="W3587" s="25"/>
      <c r="X3587" s="25"/>
      <c r="Y3587" s="25"/>
      <c r="Z3587" s="77"/>
      <c r="AA3587" s="3" t="str">
        <f>IF(BCP_Soles[[#This Row],[fecha]]&gt;0,TEXT(BCP_Soles[[#This Row],[fecha]],"mmmm"),0)</f>
        <v>Agosto</v>
      </c>
    </row>
    <row r="3588" spans="1:27" x14ac:dyDescent="0.3">
      <c r="A3588" s="2">
        <f>IF(BCP_Soles[[#This Row],[tipo_registro]]="R",COUNTIFS($C$1:$C3587,"R")+1,A3587)</f>
        <v>2374</v>
      </c>
      <c r="B3588" s="19" t="str">
        <f t="shared" si="286"/>
        <v>B-BCP - Soles</v>
      </c>
      <c r="C3588" s="3" t="s">
        <v>1330</v>
      </c>
      <c r="D3588" s="14">
        <v>45899</v>
      </c>
      <c r="E3588" s="65" t="s">
        <v>295</v>
      </c>
      <c r="F3588" s="5" t="s">
        <v>1303</v>
      </c>
      <c r="G3588" s="6" t="s">
        <v>425</v>
      </c>
      <c r="H3588" s="6" t="s">
        <v>68</v>
      </c>
      <c r="I3588" s="6" t="s">
        <v>3302</v>
      </c>
      <c r="J3588" s="6">
        <v>115</v>
      </c>
      <c r="K3588" s="7" t="s">
        <v>1428</v>
      </c>
      <c r="L3588" s="8">
        <v>2021631</v>
      </c>
      <c r="M3588" s="8" t="str">
        <f t="shared" si="287"/>
        <v>PEN</v>
      </c>
      <c r="N3588" s="13"/>
      <c r="O3588" s="13">
        <v>579.45000000000005</v>
      </c>
      <c r="P3588" s="3">
        <f t="shared" si="288"/>
        <v>579.45000000000005</v>
      </c>
      <c r="Q3588" s="3">
        <f t="shared" si="289"/>
        <v>0</v>
      </c>
      <c r="R3588" s="3">
        <f t="shared" si="285"/>
        <v>22289.10999999999</v>
      </c>
      <c r="S3588" s="24" t="s">
        <v>1334</v>
      </c>
      <c r="T3588" s="24" t="s">
        <v>1334</v>
      </c>
      <c r="U3588" s="55"/>
      <c r="V3588" s="25">
        <f>IFERROR(VLOOKUP(BCP_Soles[[#This Row],[destinatario]],CHOOSE({1,2},Clientes_Proveedores[Razon Social],Clientes_Proveedores[Ruc / Dni]),2,0),"")</f>
        <v>20558226979</v>
      </c>
      <c r="W3588" s="25"/>
      <c r="X3588" s="25"/>
      <c r="Y3588" s="25"/>
      <c r="Z3588" s="77"/>
      <c r="AA3588" s="3" t="str">
        <f>IF(BCP_Soles[[#This Row],[fecha]]&gt;0,TEXT(BCP_Soles[[#This Row],[fecha]],"mmmm"),0)</f>
        <v>Agosto</v>
      </c>
    </row>
    <row r="3589" spans="1:27" x14ac:dyDescent="0.3">
      <c r="A3589" s="2">
        <f>IF(BCP_Soles[[#This Row],[tipo_registro]]="R",COUNTIFS($C$1:$C3588,"R")+1,A3588)</f>
        <v>2375</v>
      </c>
      <c r="B3589" s="19" t="str">
        <f t="shared" si="286"/>
        <v>B-BCP - Soles</v>
      </c>
      <c r="C3589" s="3" t="s">
        <v>1330</v>
      </c>
      <c r="D3589" s="14">
        <v>45899</v>
      </c>
      <c r="E3589" s="65" t="s">
        <v>295</v>
      </c>
      <c r="F3589" s="5" t="s">
        <v>1303</v>
      </c>
      <c r="G3589" s="6" t="s">
        <v>425</v>
      </c>
      <c r="H3589" s="6" t="s">
        <v>68</v>
      </c>
      <c r="I3589" s="6" t="s">
        <v>3302</v>
      </c>
      <c r="J3589" s="6">
        <v>123</v>
      </c>
      <c r="K3589" s="7" t="s">
        <v>1428</v>
      </c>
      <c r="L3589" s="8">
        <v>2020873</v>
      </c>
      <c r="M3589" s="8" t="str">
        <f t="shared" si="287"/>
        <v>PEN</v>
      </c>
      <c r="N3589" s="13"/>
      <c r="O3589" s="13">
        <v>501.41</v>
      </c>
      <c r="P3589" s="3">
        <f t="shared" si="288"/>
        <v>501.41</v>
      </c>
      <c r="Q3589" s="3">
        <f t="shared" si="289"/>
        <v>0</v>
      </c>
      <c r="R3589" s="3">
        <f t="shared" si="285"/>
        <v>22790.51999999999</v>
      </c>
      <c r="S3589" s="24" t="s">
        <v>1334</v>
      </c>
      <c r="T3589" s="24" t="s">
        <v>1334</v>
      </c>
      <c r="U3589" s="55"/>
      <c r="V3589" s="25">
        <f>IFERROR(VLOOKUP(BCP_Soles[[#This Row],[destinatario]],CHOOSE({1,2},Clientes_Proveedores[Razon Social],Clientes_Proveedores[Ruc / Dni]),2,0),"")</f>
        <v>20558226979</v>
      </c>
      <c r="W3589" s="25"/>
      <c r="X3589" s="25"/>
      <c r="Y3589" s="25"/>
      <c r="Z3589" s="77"/>
      <c r="AA3589" s="3" t="str">
        <f>IF(BCP_Soles[[#This Row],[fecha]]&gt;0,TEXT(BCP_Soles[[#This Row],[fecha]],"mmmm"),0)</f>
        <v>Agosto</v>
      </c>
    </row>
    <row r="3590" spans="1:27" x14ac:dyDescent="0.3">
      <c r="A3590" s="2">
        <f>IF(BCP_Soles[[#This Row],[tipo_registro]]="R",COUNTIFS($C$1:$C3589,"R")+1,A3589)</f>
        <v>2376</v>
      </c>
      <c r="B3590" s="19" t="str">
        <f t="shared" si="286"/>
        <v>B-BCP - Soles</v>
      </c>
      <c r="C3590" s="3" t="s">
        <v>1330</v>
      </c>
      <c r="D3590" s="14">
        <v>45899</v>
      </c>
      <c r="E3590" s="65" t="s">
        <v>295</v>
      </c>
      <c r="F3590" s="5" t="s">
        <v>1303</v>
      </c>
      <c r="G3590" s="6" t="s">
        <v>425</v>
      </c>
      <c r="H3590" s="6" t="s">
        <v>68</v>
      </c>
      <c r="I3590" s="6" t="s">
        <v>3302</v>
      </c>
      <c r="J3590" s="6">
        <v>116</v>
      </c>
      <c r="K3590" s="7" t="s">
        <v>1428</v>
      </c>
      <c r="L3590" s="8">
        <v>2021204</v>
      </c>
      <c r="M3590" s="8" t="str">
        <f t="shared" si="287"/>
        <v>PEN</v>
      </c>
      <c r="N3590" s="13"/>
      <c r="O3590" s="13">
        <v>397.28</v>
      </c>
      <c r="P3590" s="3">
        <f t="shared" si="288"/>
        <v>397.28</v>
      </c>
      <c r="Q3590" s="3">
        <f t="shared" si="289"/>
        <v>0</v>
      </c>
      <c r="R3590" s="3">
        <f t="shared" si="285"/>
        <v>23187.799999999988</v>
      </c>
      <c r="S3590" s="24" t="s">
        <v>1334</v>
      </c>
      <c r="T3590" s="24" t="s">
        <v>1334</v>
      </c>
      <c r="U3590" s="55"/>
      <c r="V3590" s="25">
        <f>IFERROR(VLOOKUP(BCP_Soles[[#This Row],[destinatario]],CHOOSE({1,2},Clientes_Proveedores[Razon Social],Clientes_Proveedores[Ruc / Dni]),2,0),"")</f>
        <v>20558226979</v>
      </c>
      <c r="W3590" s="25"/>
      <c r="X3590" s="25"/>
      <c r="Y3590" s="25"/>
      <c r="Z3590" s="77"/>
      <c r="AA3590" s="3" t="str">
        <f>IF(BCP_Soles[[#This Row],[fecha]]&gt;0,TEXT(BCP_Soles[[#This Row],[fecha]],"mmmm"),0)</f>
        <v>Agosto</v>
      </c>
    </row>
    <row r="3591" spans="1:27" x14ac:dyDescent="0.3">
      <c r="A3591" s="2">
        <f>IF(BCP_Soles[[#This Row],[tipo_registro]]="R",COUNTIFS($C$1:$C3590,"R")+1,A3590)</f>
        <v>2377</v>
      </c>
      <c r="B3591" s="19" t="str">
        <f t="shared" si="286"/>
        <v>B-BCP - Soles</v>
      </c>
      <c r="C3591" s="3" t="s">
        <v>1330</v>
      </c>
      <c r="D3591" s="14">
        <v>45899</v>
      </c>
      <c r="E3591" s="65" t="s">
        <v>295</v>
      </c>
      <c r="F3591" s="5" t="s">
        <v>1303</v>
      </c>
      <c r="G3591" s="6" t="s">
        <v>425</v>
      </c>
      <c r="H3591" s="6" t="s">
        <v>68</v>
      </c>
      <c r="I3591" s="6" t="s">
        <v>3302</v>
      </c>
      <c r="J3591" s="6">
        <v>125</v>
      </c>
      <c r="K3591" s="7" t="s">
        <v>1428</v>
      </c>
      <c r="L3591" s="8">
        <v>2020937</v>
      </c>
      <c r="M3591" s="8" t="str">
        <f t="shared" si="287"/>
        <v>PEN</v>
      </c>
      <c r="N3591" s="13"/>
      <c r="O3591" s="13">
        <v>389.43</v>
      </c>
      <c r="P3591" s="3">
        <f t="shared" si="288"/>
        <v>389.43</v>
      </c>
      <c r="Q3591" s="3">
        <f t="shared" si="289"/>
        <v>0</v>
      </c>
      <c r="R3591" s="3">
        <f t="shared" si="285"/>
        <v>23577.229999999989</v>
      </c>
      <c r="S3591" s="24" t="s">
        <v>1334</v>
      </c>
      <c r="T3591" s="24" t="s">
        <v>1334</v>
      </c>
      <c r="U3591" s="55"/>
      <c r="V3591" s="25">
        <f>IFERROR(VLOOKUP(BCP_Soles[[#This Row],[destinatario]],CHOOSE({1,2},Clientes_Proveedores[Razon Social],Clientes_Proveedores[Ruc / Dni]),2,0),"")</f>
        <v>20558226979</v>
      </c>
      <c r="W3591" s="25"/>
      <c r="X3591" s="25"/>
      <c r="Y3591" s="25"/>
      <c r="Z3591" s="77"/>
      <c r="AA3591" s="3" t="str">
        <f>IF(BCP_Soles[[#This Row],[fecha]]&gt;0,TEXT(BCP_Soles[[#This Row],[fecha]],"mmmm"),0)</f>
        <v>Agosto</v>
      </c>
    </row>
    <row r="3592" spans="1:27" x14ac:dyDescent="0.3">
      <c r="A3592" s="2">
        <f>IF(BCP_Soles[[#This Row],[tipo_registro]]="R",COUNTIFS($C$1:$C3591,"R")+1,A3591)</f>
        <v>2378</v>
      </c>
      <c r="B3592" s="19" t="str">
        <f t="shared" si="286"/>
        <v>B-BCP - Soles</v>
      </c>
      <c r="C3592" s="3" t="s">
        <v>1330</v>
      </c>
      <c r="D3592" s="14">
        <v>45899</v>
      </c>
      <c r="E3592" s="65" t="s">
        <v>295</v>
      </c>
      <c r="F3592" s="5" t="s">
        <v>1303</v>
      </c>
      <c r="G3592" s="6" t="s">
        <v>425</v>
      </c>
      <c r="H3592" s="6" t="s">
        <v>68</v>
      </c>
      <c r="I3592" s="6" t="s">
        <v>3302</v>
      </c>
      <c r="J3592" s="6">
        <v>113</v>
      </c>
      <c r="K3592" s="7" t="s">
        <v>1428</v>
      </c>
      <c r="L3592" s="8">
        <v>2022533</v>
      </c>
      <c r="M3592" s="8" t="str">
        <f t="shared" si="287"/>
        <v>PEN</v>
      </c>
      <c r="N3592" s="13"/>
      <c r="O3592" s="13">
        <v>364.34</v>
      </c>
      <c r="P3592" s="3">
        <f t="shared" si="288"/>
        <v>364.34</v>
      </c>
      <c r="Q3592" s="3">
        <f t="shared" si="289"/>
        <v>0</v>
      </c>
      <c r="R3592" s="3">
        <f t="shared" si="285"/>
        <v>23941.569999999989</v>
      </c>
      <c r="S3592" s="24" t="s">
        <v>1334</v>
      </c>
      <c r="T3592" s="24" t="s">
        <v>1334</v>
      </c>
      <c r="U3592" s="55"/>
      <c r="V3592" s="25">
        <f>IFERROR(VLOOKUP(BCP_Soles[[#This Row],[destinatario]],CHOOSE({1,2},Clientes_Proveedores[Razon Social],Clientes_Proveedores[Ruc / Dni]),2,0),"")</f>
        <v>20558226979</v>
      </c>
      <c r="W3592" s="25"/>
      <c r="X3592" s="25"/>
      <c r="Y3592" s="25"/>
      <c r="Z3592" s="77"/>
      <c r="AA3592" s="3" t="str">
        <f>IF(BCP_Soles[[#This Row],[fecha]]&gt;0,TEXT(BCP_Soles[[#This Row],[fecha]],"mmmm"),0)</f>
        <v>Agosto</v>
      </c>
    </row>
    <row r="3593" spans="1:27" x14ac:dyDescent="0.3">
      <c r="A3593" s="2">
        <f>IF(BCP_Soles[[#This Row],[tipo_registro]]="R",COUNTIFS($C$1:$C3592,"R")+1,A3592)</f>
        <v>2379</v>
      </c>
      <c r="B3593" s="19" t="str">
        <f t="shared" si="286"/>
        <v>B-BCP - Soles</v>
      </c>
      <c r="C3593" s="3" t="s">
        <v>1330</v>
      </c>
      <c r="D3593" s="14">
        <v>45899</v>
      </c>
      <c r="E3593" s="65" t="s">
        <v>295</v>
      </c>
      <c r="F3593" s="5" t="s">
        <v>1303</v>
      </c>
      <c r="G3593" s="6" t="s">
        <v>425</v>
      </c>
      <c r="H3593" s="6" t="s">
        <v>68</v>
      </c>
      <c r="I3593" s="6" t="s">
        <v>3302</v>
      </c>
      <c r="J3593" s="6">
        <v>124</v>
      </c>
      <c r="K3593" s="7" t="s">
        <v>1428</v>
      </c>
      <c r="L3593" s="8">
        <v>2020414</v>
      </c>
      <c r="M3593" s="8" t="str">
        <f t="shared" si="287"/>
        <v>PEN</v>
      </c>
      <c r="N3593" s="13"/>
      <c r="O3593" s="13">
        <v>307.08</v>
      </c>
      <c r="P3593" s="3">
        <f t="shared" si="288"/>
        <v>307.08</v>
      </c>
      <c r="Q3593" s="3">
        <f t="shared" si="289"/>
        <v>0</v>
      </c>
      <c r="R3593" s="3">
        <f t="shared" ref="R3593:R3656" si="290">IFERROR(IF(F3593="SALDO",P3593,R3592+P3593-Q3593),0)</f>
        <v>24248.649999999991</v>
      </c>
      <c r="S3593" s="24" t="s">
        <v>1334</v>
      </c>
      <c r="T3593" s="24" t="s">
        <v>1334</v>
      </c>
      <c r="U3593" s="55"/>
      <c r="V3593" s="25">
        <f>IFERROR(VLOOKUP(BCP_Soles[[#This Row],[destinatario]],CHOOSE({1,2},Clientes_Proveedores[Razon Social],Clientes_Proveedores[Ruc / Dni]),2,0),"")</f>
        <v>20558226979</v>
      </c>
      <c r="W3593" s="25"/>
      <c r="X3593" s="25"/>
      <c r="Y3593" s="25"/>
      <c r="Z3593" s="77"/>
      <c r="AA3593" s="3" t="str">
        <f>IF(BCP_Soles[[#This Row],[fecha]]&gt;0,TEXT(BCP_Soles[[#This Row],[fecha]],"mmmm"),0)</f>
        <v>Agosto</v>
      </c>
    </row>
    <row r="3594" spans="1:27" x14ac:dyDescent="0.3">
      <c r="A3594" s="2">
        <f>IF(BCP_Soles[[#This Row],[tipo_registro]]="R",COUNTIFS($C$1:$C3593,"R")+1,A3593)</f>
        <v>2380</v>
      </c>
      <c r="B3594" s="19" t="str">
        <f t="shared" si="286"/>
        <v>B-BCP - Soles</v>
      </c>
      <c r="C3594" s="3" t="s">
        <v>1330</v>
      </c>
      <c r="D3594" s="14">
        <v>45899</v>
      </c>
      <c r="E3594" s="65" t="s">
        <v>295</v>
      </c>
      <c r="F3594" s="5" t="s">
        <v>1303</v>
      </c>
      <c r="G3594" s="6" t="s">
        <v>425</v>
      </c>
      <c r="H3594" s="6" t="s">
        <v>68</v>
      </c>
      <c r="I3594" s="6" t="s">
        <v>3302</v>
      </c>
      <c r="J3594" s="6">
        <v>114</v>
      </c>
      <c r="K3594" s="7" t="s">
        <v>1428</v>
      </c>
      <c r="L3594" s="8">
        <v>2023589</v>
      </c>
      <c r="M3594" s="8" t="str">
        <f t="shared" si="287"/>
        <v>PEN</v>
      </c>
      <c r="N3594" s="13"/>
      <c r="O3594" s="13">
        <v>184.71</v>
      </c>
      <c r="P3594" s="3">
        <f t="shared" si="288"/>
        <v>184.71</v>
      </c>
      <c r="Q3594" s="3">
        <f t="shared" si="289"/>
        <v>0</v>
      </c>
      <c r="R3594" s="3">
        <f t="shared" si="290"/>
        <v>24433.35999999999</v>
      </c>
      <c r="S3594" s="24" t="s">
        <v>1334</v>
      </c>
      <c r="T3594" s="24" t="s">
        <v>1334</v>
      </c>
      <c r="U3594" s="55"/>
      <c r="V3594" s="25">
        <f>IFERROR(VLOOKUP(BCP_Soles[[#This Row],[destinatario]],CHOOSE({1,2},Clientes_Proveedores[Razon Social],Clientes_Proveedores[Ruc / Dni]),2,0),"")</f>
        <v>20558226979</v>
      </c>
      <c r="W3594" s="25"/>
      <c r="X3594" s="25"/>
      <c r="Y3594" s="25"/>
      <c r="Z3594" s="77"/>
      <c r="AA3594" s="3" t="str">
        <f>IF(BCP_Soles[[#This Row],[fecha]]&gt;0,TEXT(BCP_Soles[[#This Row],[fecha]],"mmmm"),0)</f>
        <v>Agosto</v>
      </c>
    </row>
    <row r="3595" spans="1:27" ht="24" x14ac:dyDescent="0.3">
      <c r="A3595" s="2">
        <f>IF(BCP_Soles[[#This Row],[tipo_registro]]="R",COUNTIFS($C$1:$C3594,"R")+1,A3594)</f>
        <v>2381</v>
      </c>
      <c r="B3595" s="19" t="str">
        <f t="shared" si="286"/>
        <v>B-BCP - Soles</v>
      </c>
      <c r="C3595" s="3" t="s">
        <v>1330</v>
      </c>
      <c r="D3595" s="14">
        <v>45899</v>
      </c>
      <c r="E3595" s="5" t="s">
        <v>1335</v>
      </c>
      <c r="F3595" s="5" t="s">
        <v>1336</v>
      </c>
      <c r="G3595" s="6" t="s">
        <v>1060</v>
      </c>
      <c r="H3595" s="6" t="s">
        <v>68</v>
      </c>
      <c r="I3595" s="6" t="s">
        <v>2081</v>
      </c>
      <c r="J3595" s="6">
        <v>16485598</v>
      </c>
      <c r="K3595" s="7" t="s">
        <v>1758</v>
      </c>
      <c r="L3595" s="8">
        <v>976418</v>
      </c>
      <c r="M3595" s="8" t="str">
        <f t="shared" si="287"/>
        <v>PEN</v>
      </c>
      <c r="N3595" s="13"/>
      <c r="O3595" s="13">
        <v>5.5</v>
      </c>
      <c r="P3595" s="3">
        <f t="shared" si="288"/>
        <v>0</v>
      </c>
      <c r="Q3595" s="3">
        <f t="shared" si="289"/>
        <v>5.5</v>
      </c>
      <c r="R3595" s="3">
        <f t="shared" si="290"/>
        <v>24427.85999999999</v>
      </c>
      <c r="S3595" s="24" t="s">
        <v>1334</v>
      </c>
      <c r="T3595" s="24" t="s">
        <v>1334</v>
      </c>
      <c r="U3595" s="55"/>
      <c r="V3595" s="25">
        <f>IFERROR(VLOOKUP(BCP_Soles[[#This Row],[destinatario]],CHOOSE({1,2},Clientes_Proveedores[Razon Social],Clientes_Proveedores[Ruc / Dni]),2,0),"")</f>
        <v>20100047218</v>
      </c>
      <c r="W3595" s="25"/>
      <c r="X3595" s="25"/>
      <c r="Y3595" s="25"/>
      <c r="Z3595" s="77"/>
      <c r="AA3595" s="3" t="str">
        <f>IF(BCP_Soles[[#This Row],[fecha]]&gt;0,TEXT(BCP_Soles[[#This Row],[fecha]],"mmmm"),0)</f>
        <v>Agosto</v>
      </c>
    </row>
    <row r="3596" spans="1:27" ht="24" x14ac:dyDescent="0.3">
      <c r="A3596" s="2">
        <f>IF(BCP_Soles[[#This Row],[tipo_registro]]="R",COUNTIFS($C$1:$C3595,"R")+1,A3595)</f>
        <v>2382</v>
      </c>
      <c r="B3596" s="19" t="str">
        <f t="shared" si="286"/>
        <v>B-BCP - Soles</v>
      </c>
      <c r="C3596" s="3" t="s">
        <v>1330</v>
      </c>
      <c r="D3596" s="14">
        <v>45899</v>
      </c>
      <c r="E3596" s="5" t="s">
        <v>1335</v>
      </c>
      <c r="F3596" s="5" t="s">
        <v>1336</v>
      </c>
      <c r="G3596" s="6" t="s">
        <v>1060</v>
      </c>
      <c r="H3596" s="6" t="s">
        <v>68</v>
      </c>
      <c r="I3596" s="6" t="s">
        <v>2081</v>
      </c>
      <c r="J3596" s="6">
        <v>16485598</v>
      </c>
      <c r="K3596" s="7" t="s">
        <v>1756</v>
      </c>
      <c r="L3596" s="8">
        <v>0</v>
      </c>
      <c r="M3596" s="8" t="str">
        <f t="shared" si="287"/>
        <v>PEN</v>
      </c>
      <c r="N3596" s="13"/>
      <c r="O3596" s="13">
        <v>35</v>
      </c>
      <c r="P3596" s="3">
        <f t="shared" si="288"/>
        <v>0</v>
      </c>
      <c r="Q3596" s="3">
        <f t="shared" si="289"/>
        <v>35</v>
      </c>
      <c r="R3596" s="3">
        <f t="shared" si="290"/>
        <v>24392.85999999999</v>
      </c>
      <c r="S3596" s="24" t="s">
        <v>1334</v>
      </c>
      <c r="T3596" s="24" t="s">
        <v>1334</v>
      </c>
      <c r="U3596" s="55"/>
      <c r="V3596" s="25">
        <f>IFERROR(VLOOKUP(BCP_Soles[[#This Row],[destinatario]],CHOOSE({1,2},Clientes_Proveedores[Razon Social],Clientes_Proveedores[Ruc / Dni]),2,0),"")</f>
        <v>20100047218</v>
      </c>
      <c r="W3596" s="25"/>
      <c r="X3596" s="25"/>
      <c r="Y3596" s="25"/>
      <c r="Z3596" s="77"/>
      <c r="AA3596" s="3" t="str">
        <f>IF(BCP_Soles[[#This Row],[fecha]]&gt;0,TEXT(BCP_Soles[[#This Row],[fecha]],"mmmm"),0)</f>
        <v>Agosto</v>
      </c>
    </row>
    <row r="3597" spans="1:27" ht="48" x14ac:dyDescent="0.3">
      <c r="A3597" s="2">
        <f>IF(BCP_Soles[[#This Row],[tipo_registro]]="R",COUNTIFS($C$1:$C3596,"R")+1,A3596)</f>
        <v>2383</v>
      </c>
      <c r="B3597" s="19" t="str">
        <f t="shared" si="286"/>
        <v>B-BCP - Soles</v>
      </c>
      <c r="C3597" s="3" t="s">
        <v>1330</v>
      </c>
      <c r="D3597" s="14">
        <v>45901</v>
      </c>
      <c r="E3597" s="5" t="s">
        <v>1135</v>
      </c>
      <c r="F3597" s="5" t="s">
        <v>1303</v>
      </c>
      <c r="G3597" s="6" t="s">
        <v>425</v>
      </c>
      <c r="H3597" s="6" t="s">
        <v>68</v>
      </c>
      <c r="I3597" s="6" t="s">
        <v>1784</v>
      </c>
      <c r="J3597" s="6">
        <v>232</v>
      </c>
      <c r="K3597" s="7" t="s">
        <v>4370</v>
      </c>
      <c r="L3597" s="8">
        <v>2150313</v>
      </c>
      <c r="M3597" s="8" t="str">
        <f t="shared" si="287"/>
        <v>PEN</v>
      </c>
      <c r="N3597" s="13"/>
      <c r="O3597" s="13">
        <v>1091.3399999999999</v>
      </c>
      <c r="P3597" s="3">
        <f t="shared" si="288"/>
        <v>1091.3399999999999</v>
      </c>
      <c r="Q3597" s="3">
        <f t="shared" si="289"/>
        <v>0</v>
      </c>
      <c r="R3597" s="3">
        <f t="shared" si="290"/>
        <v>25484.19999999999</v>
      </c>
      <c r="S3597" s="24" t="s">
        <v>1334</v>
      </c>
      <c r="T3597" s="24" t="s">
        <v>1334</v>
      </c>
      <c r="U3597" s="55"/>
      <c r="V3597" s="25">
        <f>IFERROR(VLOOKUP(BCP_Soles[[#This Row],[destinatario]],CHOOSE({1,2},Clientes_Proveedores[Razon Social],Clientes_Proveedores[Ruc / Dni]),2,0),"")</f>
        <v>20558226979</v>
      </c>
      <c r="W3597" s="25"/>
      <c r="X3597" s="25"/>
      <c r="Y3597" s="25"/>
      <c r="Z3597" s="77"/>
      <c r="AA3597" s="3" t="str">
        <f>IF(BCP_Soles[[#This Row],[fecha]]&gt;0,TEXT(BCP_Soles[[#This Row],[fecha]],"mmmm"),0)</f>
        <v>Setiembre</v>
      </c>
    </row>
    <row r="3598" spans="1:27" x14ac:dyDescent="0.3">
      <c r="A3598" s="2">
        <f>IF(BCP_Soles[[#This Row],[tipo_registro]]="R",COUNTIFS($C$1:$C3597,"R")+1,A3597)</f>
        <v>2384</v>
      </c>
      <c r="B3598" s="19" t="str">
        <f t="shared" si="286"/>
        <v>B-BCP - Soles</v>
      </c>
      <c r="C3598" s="3" t="s">
        <v>1330</v>
      </c>
      <c r="D3598" s="14">
        <v>45901</v>
      </c>
      <c r="E3598" s="5" t="s">
        <v>335</v>
      </c>
      <c r="F3598" s="5" t="s">
        <v>1303</v>
      </c>
      <c r="G3598" s="6" t="s">
        <v>425</v>
      </c>
      <c r="H3598" s="6" t="s">
        <v>68</v>
      </c>
      <c r="I3598" s="6" t="s">
        <v>3302</v>
      </c>
      <c r="J3598" s="6">
        <v>126</v>
      </c>
      <c r="K3598" s="7" t="s">
        <v>4066</v>
      </c>
      <c r="L3598" s="8">
        <v>2096332</v>
      </c>
      <c r="M3598" s="8" t="str">
        <f t="shared" si="287"/>
        <v>PEN</v>
      </c>
      <c r="N3598" s="13"/>
      <c r="O3598" s="13">
        <v>1305.18</v>
      </c>
      <c r="P3598" s="3">
        <f t="shared" si="288"/>
        <v>1305.18</v>
      </c>
      <c r="Q3598" s="3">
        <f t="shared" si="289"/>
        <v>0</v>
      </c>
      <c r="R3598" s="3">
        <f t="shared" si="290"/>
        <v>26789.37999999999</v>
      </c>
      <c r="S3598" s="24" t="s">
        <v>1334</v>
      </c>
      <c r="T3598" s="24" t="s">
        <v>1334</v>
      </c>
      <c r="U3598" s="55"/>
      <c r="V3598" s="25">
        <f>IFERROR(VLOOKUP(BCP_Soles[[#This Row],[destinatario]],CHOOSE({1,2},Clientes_Proveedores[Razon Social],Clientes_Proveedores[Ruc / Dni]),2,0),"")</f>
        <v>20558226979</v>
      </c>
      <c r="W3598" s="25"/>
      <c r="X3598" s="25"/>
      <c r="Y3598" s="25"/>
      <c r="Z3598" s="77"/>
      <c r="AA3598" s="3" t="str">
        <f>IF(BCP_Soles[[#This Row],[fecha]]&gt;0,TEXT(BCP_Soles[[#This Row],[fecha]],"mmmm"),0)</f>
        <v>Setiembre</v>
      </c>
    </row>
    <row r="3599" spans="1:27" ht="24" x14ac:dyDescent="0.3">
      <c r="A3599" s="2">
        <f>IF(BCP_Soles[[#This Row],[tipo_registro]]="R",COUNTIFS($C$1:$C3598,"R")+1,A3598)</f>
        <v>2385</v>
      </c>
      <c r="B3599" s="19" t="str">
        <f t="shared" si="286"/>
        <v>B-BCP - Soles</v>
      </c>
      <c r="C3599" s="3" t="s">
        <v>1330</v>
      </c>
      <c r="D3599" s="14">
        <v>45901</v>
      </c>
      <c r="E3599" s="5" t="s">
        <v>1338</v>
      </c>
      <c r="F3599" s="5" t="s">
        <v>1336</v>
      </c>
      <c r="G3599" s="6" t="s">
        <v>895</v>
      </c>
      <c r="H3599" s="6"/>
      <c r="I3599" s="6"/>
      <c r="J3599" s="6"/>
      <c r="K3599" s="7" t="s">
        <v>4371</v>
      </c>
      <c r="L3599" s="8">
        <v>1107128</v>
      </c>
      <c r="M3599" s="8" t="str">
        <f t="shared" si="287"/>
        <v>PEN</v>
      </c>
      <c r="N3599" s="13"/>
      <c r="O3599" s="13">
        <v>900</v>
      </c>
      <c r="P3599" s="3">
        <f t="shared" si="288"/>
        <v>0</v>
      </c>
      <c r="Q3599" s="3">
        <f t="shared" si="289"/>
        <v>900</v>
      </c>
      <c r="R3599" s="3">
        <f t="shared" si="290"/>
        <v>25889.37999999999</v>
      </c>
      <c r="S3599" s="24"/>
      <c r="T3599" s="24" t="s">
        <v>1334</v>
      </c>
      <c r="U3599" s="55"/>
      <c r="V3599" s="25">
        <f>IFERROR(VLOOKUP(BCP_Soles[[#This Row],[destinatario]],CHOOSE({1,2},Clientes_Proveedores[Razon Social],Clientes_Proveedores[Ruc / Dni]),2,0),"")</f>
        <v>72144092</v>
      </c>
      <c r="W3599" s="25"/>
      <c r="X3599" s="25"/>
      <c r="Y3599" s="25"/>
      <c r="Z3599" s="77"/>
      <c r="AA3599" s="3" t="str">
        <f>IF(BCP_Soles[[#This Row],[fecha]]&gt;0,TEXT(BCP_Soles[[#This Row],[fecha]],"mmmm"),0)</f>
        <v>Setiembre</v>
      </c>
    </row>
    <row r="3600" spans="1:27" ht="24" x14ac:dyDescent="0.3">
      <c r="A3600" s="2">
        <f>IF(BCP_Soles[[#This Row],[tipo_registro]]="R",COUNTIFS($C$1:$C3599,"R")+1,A3599)</f>
        <v>2386</v>
      </c>
      <c r="B3600" s="19" t="str">
        <f t="shared" si="286"/>
        <v>B-BCP - Soles</v>
      </c>
      <c r="C3600" s="3" t="s">
        <v>1330</v>
      </c>
      <c r="D3600" s="14">
        <v>45901</v>
      </c>
      <c r="E3600" s="5" t="s">
        <v>1338</v>
      </c>
      <c r="F3600" s="5" t="s">
        <v>1336</v>
      </c>
      <c r="G3600" s="6" t="s">
        <v>722</v>
      </c>
      <c r="H3600" s="6" t="s">
        <v>68</v>
      </c>
      <c r="I3600" s="6" t="s">
        <v>1376</v>
      </c>
      <c r="J3600" s="6">
        <v>3443</v>
      </c>
      <c r="K3600" s="7" t="s">
        <v>4372</v>
      </c>
      <c r="L3600" s="8">
        <v>1105663</v>
      </c>
      <c r="M3600" s="8" t="str">
        <f t="shared" si="287"/>
        <v>PEN</v>
      </c>
      <c r="N3600" s="13"/>
      <c r="O3600" s="13">
        <v>521</v>
      </c>
      <c r="P3600" s="3">
        <f t="shared" si="288"/>
        <v>0</v>
      </c>
      <c r="Q3600" s="3">
        <f t="shared" si="289"/>
        <v>521</v>
      </c>
      <c r="R3600" s="3">
        <f t="shared" si="290"/>
        <v>25368.37999999999</v>
      </c>
      <c r="S3600" s="24" t="s">
        <v>1334</v>
      </c>
      <c r="T3600" s="24" t="s">
        <v>1334</v>
      </c>
      <c r="U3600" s="56" t="s">
        <v>4373</v>
      </c>
      <c r="V3600" s="25">
        <f>IFERROR(VLOOKUP(BCP_Soles[[#This Row],[destinatario]],CHOOSE({1,2},Clientes_Proveedores[Razon Social],Clientes_Proveedores[Ruc / Dni]),2,0),"")</f>
        <v>10402383548</v>
      </c>
      <c r="W3600" s="25"/>
      <c r="X3600" s="25"/>
      <c r="Y3600" s="25"/>
      <c r="Z3600" s="77"/>
      <c r="AA3600" s="3" t="str">
        <f>IF(BCP_Soles[[#This Row],[fecha]]&gt;0,TEXT(BCP_Soles[[#This Row],[fecha]],"mmmm"),0)</f>
        <v>Setiembre</v>
      </c>
    </row>
    <row r="3601" spans="1:27" ht="24" x14ac:dyDescent="0.3">
      <c r="A3601" s="2">
        <f>IF(BCP_Soles[[#This Row],[tipo_registro]]="R",COUNTIFS($C$1:$C3600,"R")+1,A3600)</f>
        <v>2387</v>
      </c>
      <c r="B3601" s="19" t="str">
        <f t="shared" si="286"/>
        <v>B-BCP - Soles</v>
      </c>
      <c r="C3601" s="3" t="s">
        <v>1330</v>
      </c>
      <c r="D3601" s="14">
        <v>45901</v>
      </c>
      <c r="E3601" s="5" t="s">
        <v>1338</v>
      </c>
      <c r="F3601" s="5" t="s">
        <v>1336</v>
      </c>
      <c r="G3601" s="6" t="s">
        <v>525</v>
      </c>
      <c r="H3601" s="6"/>
      <c r="I3601" s="6"/>
      <c r="J3601" s="6"/>
      <c r="K3601" s="7" t="s">
        <v>4374</v>
      </c>
      <c r="L3601" s="8">
        <v>1106637</v>
      </c>
      <c r="M3601" s="8" t="str">
        <f t="shared" si="287"/>
        <v>PEN</v>
      </c>
      <c r="N3601" s="13"/>
      <c r="O3601" s="13">
        <v>787.92</v>
      </c>
      <c r="P3601" s="3">
        <f t="shared" si="288"/>
        <v>0</v>
      </c>
      <c r="Q3601" s="3">
        <f t="shared" si="289"/>
        <v>787.92</v>
      </c>
      <c r="R3601" s="3">
        <f t="shared" si="290"/>
        <v>24580.459999999992</v>
      </c>
      <c r="S3601" s="24" t="s">
        <v>1334</v>
      </c>
      <c r="T3601" s="24" t="s">
        <v>1334</v>
      </c>
      <c r="U3601" s="56" t="s">
        <v>4375</v>
      </c>
      <c r="V3601" s="25">
        <f>IFERROR(VLOOKUP(BCP_Soles[[#This Row],[destinatario]],CHOOSE({1,2},Clientes_Proveedores[Razon Social],Clientes_Proveedores[Ruc / Dni]),2,0),"")</f>
        <v>20604304831</v>
      </c>
      <c r="W3601" s="25"/>
      <c r="X3601" s="25"/>
      <c r="Y3601" s="25"/>
      <c r="Z3601" s="77"/>
      <c r="AA3601" s="3" t="str">
        <f>IF(BCP_Soles[[#This Row],[fecha]]&gt;0,TEXT(BCP_Soles[[#This Row],[fecha]],"mmmm"),0)</f>
        <v>Setiembre</v>
      </c>
    </row>
    <row r="3602" spans="1:27" ht="24" x14ac:dyDescent="0.3">
      <c r="A3602" s="2">
        <f>IF(BCP_Soles[[#This Row],[tipo_registro]]="R",COUNTIFS($C$1:$C3601,"R")+1,A3601)</f>
        <v>2387</v>
      </c>
      <c r="B3602" s="19" t="str">
        <f t="shared" si="286"/>
        <v>B-BCP - Soles</v>
      </c>
      <c r="C3602" s="3" t="s">
        <v>1352</v>
      </c>
      <c r="D3602" s="14">
        <v>45901</v>
      </c>
      <c r="E3602" s="5" t="s">
        <v>1338</v>
      </c>
      <c r="F3602" s="5"/>
      <c r="G3602" s="6" t="s">
        <v>525</v>
      </c>
      <c r="H3602" s="6" t="s">
        <v>68</v>
      </c>
      <c r="I3602" s="6" t="s">
        <v>1376</v>
      </c>
      <c r="J3602" s="6">
        <v>1462</v>
      </c>
      <c r="K3602" s="7" t="s">
        <v>4374</v>
      </c>
      <c r="L3602" s="8">
        <v>1106637</v>
      </c>
      <c r="M3602" s="8" t="str">
        <f t="shared" si="287"/>
        <v>PEN</v>
      </c>
      <c r="N3602" s="13">
        <v>292.24</v>
      </c>
      <c r="O3602" s="13"/>
      <c r="P3602" s="3">
        <f t="shared" si="288"/>
        <v>0</v>
      </c>
      <c r="Q3602" s="3">
        <f t="shared" si="289"/>
        <v>0</v>
      </c>
      <c r="R3602" s="3">
        <f t="shared" si="290"/>
        <v>24580.459999999992</v>
      </c>
      <c r="S3602" s="28" t="s">
        <v>1334</v>
      </c>
      <c r="T3602" s="28" t="s">
        <v>1334</v>
      </c>
      <c r="U3602" s="55"/>
      <c r="V3602" s="25">
        <f>IFERROR(VLOOKUP(BCP_Soles[[#This Row],[destinatario]],CHOOSE({1,2},Clientes_Proveedores[Razon Social],Clientes_Proveedores[Ruc / Dni]),2,0),"")</f>
        <v>20604304831</v>
      </c>
      <c r="W3602" s="25"/>
      <c r="X3602" s="25"/>
      <c r="Y3602" s="25"/>
      <c r="Z3602" s="77"/>
      <c r="AA3602" s="3" t="str">
        <f>IF(BCP_Soles[[#This Row],[fecha]]&gt;0,TEXT(BCP_Soles[[#This Row],[fecha]],"mmmm"),0)</f>
        <v>Setiembre</v>
      </c>
    </row>
    <row r="3603" spans="1:27" ht="24" x14ac:dyDescent="0.3">
      <c r="A3603" s="2">
        <f>IF(BCP_Soles[[#This Row],[tipo_registro]]="R",COUNTIFS($C$1:$C3602,"R")+1,A3602)</f>
        <v>2387</v>
      </c>
      <c r="B3603" s="19" t="str">
        <f t="shared" si="286"/>
        <v>B-BCP - Soles</v>
      </c>
      <c r="C3603" s="3" t="s">
        <v>1352</v>
      </c>
      <c r="D3603" s="14">
        <v>45901</v>
      </c>
      <c r="E3603" s="5" t="s">
        <v>1338</v>
      </c>
      <c r="F3603" s="5"/>
      <c r="G3603" s="6" t="s">
        <v>525</v>
      </c>
      <c r="H3603" s="6" t="s">
        <v>68</v>
      </c>
      <c r="I3603" s="6" t="s">
        <v>1376</v>
      </c>
      <c r="J3603" s="6">
        <v>1463</v>
      </c>
      <c r="K3603" s="7" t="s">
        <v>4374</v>
      </c>
      <c r="L3603" s="8">
        <v>1106637</v>
      </c>
      <c r="M3603" s="8" t="str">
        <f t="shared" si="287"/>
        <v>PEN</v>
      </c>
      <c r="N3603" s="13">
        <v>495.68</v>
      </c>
      <c r="O3603" s="13"/>
      <c r="P3603" s="3">
        <f t="shared" si="288"/>
        <v>0</v>
      </c>
      <c r="Q3603" s="3">
        <f t="shared" si="289"/>
        <v>0</v>
      </c>
      <c r="R3603" s="3">
        <f t="shared" si="290"/>
        <v>24580.459999999992</v>
      </c>
      <c r="S3603" s="28" t="s">
        <v>1334</v>
      </c>
      <c r="T3603" s="28" t="s">
        <v>1334</v>
      </c>
      <c r="U3603" s="55"/>
      <c r="V3603" s="25">
        <f>IFERROR(VLOOKUP(BCP_Soles[[#This Row],[destinatario]],CHOOSE({1,2},Clientes_Proveedores[Razon Social],Clientes_Proveedores[Ruc / Dni]),2,0),"")</f>
        <v>20604304831</v>
      </c>
      <c r="W3603" s="25"/>
      <c r="X3603" s="25"/>
      <c r="Y3603" s="25"/>
      <c r="Z3603" s="77"/>
      <c r="AA3603" s="3" t="str">
        <f>IF(BCP_Soles[[#This Row],[fecha]]&gt;0,TEXT(BCP_Soles[[#This Row],[fecha]],"mmmm"),0)</f>
        <v>Setiembre</v>
      </c>
    </row>
    <row r="3604" spans="1:27" x14ac:dyDescent="0.3">
      <c r="A3604" s="2">
        <f>IF(BCP_Soles[[#This Row],[tipo_registro]]="R",COUNTIFS($C$1:$C3603,"R")+1,A3603)</f>
        <v>2388</v>
      </c>
      <c r="B3604" s="19" t="str">
        <f t="shared" si="286"/>
        <v>B-BCP - Soles</v>
      </c>
      <c r="C3604" s="3" t="s">
        <v>1330</v>
      </c>
      <c r="D3604" s="14">
        <v>45901</v>
      </c>
      <c r="E3604" s="5" t="s">
        <v>1338</v>
      </c>
      <c r="F3604" s="5" t="s">
        <v>1336</v>
      </c>
      <c r="G3604" s="6" t="s">
        <v>695</v>
      </c>
      <c r="H3604" s="6"/>
      <c r="I3604" s="6"/>
      <c r="J3604" s="6"/>
      <c r="K3604" s="7" t="s">
        <v>4376</v>
      </c>
      <c r="L3604" s="8">
        <v>107127</v>
      </c>
      <c r="M3604" s="8" t="str">
        <f t="shared" si="287"/>
        <v>PEN</v>
      </c>
      <c r="N3604" s="13"/>
      <c r="O3604" s="13">
        <v>2116.77</v>
      </c>
      <c r="P3604" s="3">
        <f t="shared" si="288"/>
        <v>0</v>
      </c>
      <c r="Q3604" s="3">
        <f t="shared" si="289"/>
        <v>2116.77</v>
      </c>
      <c r="R3604" s="3">
        <f t="shared" si="290"/>
        <v>22463.689999999991</v>
      </c>
      <c r="S3604" s="24" t="s">
        <v>1334</v>
      </c>
      <c r="T3604" s="24" t="s">
        <v>1334</v>
      </c>
      <c r="U3604" s="56" t="s">
        <v>4377</v>
      </c>
      <c r="V3604" s="25">
        <f>IFERROR(VLOOKUP(BCP_Soles[[#This Row],[destinatario]],CHOOSE({1,2},Clientes_Proveedores[Razon Social],Clientes_Proveedores[Ruc / Dni]),2,0),"")</f>
        <v>20127765279</v>
      </c>
      <c r="W3604" s="25"/>
      <c r="X3604" s="25"/>
      <c r="Y3604" s="25"/>
      <c r="Z3604" s="77"/>
      <c r="AA3604" s="3" t="str">
        <f>IF(BCP_Soles[[#This Row],[fecha]]&gt;0,TEXT(BCP_Soles[[#This Row],[fecha]],"mmmm"),0)</f>
        <v>Setiembre</v>
      </c>
    </row>
    <row r="3605" spans="1:27" x14ac:dyDescent="0.3">
      <c r="A3605" s="2">
        <f>IF(BCP_Soles[[#This Row],[tipo_registro]]="R",COUNTIFS($C$1:$C3604,"R")+1,A3604)</f>
        <v>2388</v>
      </c>
      <c r="B3605" s="19" t="str">
        <f t="shared" si="286"/>
        <v>B-BCP - Soles</v>
      </c>
      <c r="C3605" s="3" t="s">
        <v>1352</v>
      </c>
      <c r="D3605" s="14">
        <v>45901</v>
      </c>
      <c r="E3605" s="5" t="s">
        <v>1338</v>
      </c>
      <c r="F3605" s="5"/>
      <c r="G3605" s="6" t="s">
        <v>695</v>
      </c>
      <c r="H3605" s="6" t="s">
        <v>68</v>
      </c>
      <c r="I3605" s="6" t="s">
        <v>1513</v>
      </c>
      <c r="J3605" s="6">
        <v>179531</v>
      </c>
      <c r="K3605" s="7" t="s">
        <v>4376</v>
      </c>
      <c r="L3605" s="8">
        <v>107127</v>
      </c>
      <c r="M3605" s="8" t="str">
        <f t="shared" si="287"/>
        <v>PEN</v>
      </c>
      <c r="N3605" s="13">
        <v>1635.11</v>
      </c>
      <c r="O3605" s="13"/>
      <c r="P3605" s="3">
        <f t="shared" si="288"/>
        <v>0</v>
      </c>
      <c r="Q3605" s="3">
        <f t="shared" si="289"/>
        <v>0</v>
      </c>
      <c r="R3605" s="3">
        <f t="shared" si="290"/>
        <v>22463.689999999991</v>
      </c>
      <c r="S3605" s="28" t="s">
        <v>1334</v>
      </c>
      <c r="T3605" s="28" t="s">
        <v>1334</v>
      </c>
      <c r="U3605" s="56"/>
      <c r="V3605" s="25">
        <f>IFERROR(VLOOKUP(BCP_Soles[[#This Row],[destinatario]],CHOOSE({1,2},Clientes_Proveedores[Razon Social],Clientes_Proveedores[Ruc / Dni]),2,0),"")</f>
        <v>20127765279</v>
      </c>
      <c r="W3605" s="25"/>
      <c r="X3605" s="25"/>
      <c r="Y3605" s="25"/>
      <c r="Z3605" s="77"/>
      <c r="AA3605" s="3" t="str">
        <f>IF(BCP_Soles[[#This Row],[fecha]]&gt;0,TEXT(BCP_Soles[[#This Row],[fecha]],"mmmm"),0)</f>
        <v>Setiembre</v>
      </c>
    </row>
    <row r="3606" spans="1:27" x14ac:dyDescent="0.3">
      <c r="A3606" s="2">
        <f>IF(BCP_Soles[[#This Row],[tipo_registro]]="R",COUNTIFS($C$1:$C3605,"R")+1,A3605)</f>
        <v>2388</v>
      </c>
      <c r="B3606" s="19" t="str">
        <f t="shared" si="286"/>
        <v>B-BCP - Soles</v>
      </c>
      <c r="C3606" s="3" t="s">
        <v>1352</v>
      </c>
      <c r="D3606" s="14">
        <v>45901</v>
      </c>
      <c r="E3606" s="5" t="s">
        <v>1338</v>
      </c>
      <c r="F3606" s="5"/>
      <c r="G3606" s="6" t="s">
        <v>695</v>
      </c>
      <c r="H3606" s="6" t="s">
        <v>68</v>
      </c>
      <c r="I3606" s="6" t="s">
        <v>1513</v>
      </c>
      <c r="J3606" s="6">
        <v>179605</v>
      </c>
      <c r="K3606" s="7" t="s">
        <v>4376</v>
      </c>
      <c r="L3606" s="8">
        <v>107127</v>
      </c>
      <c r="M3606" s="8" t="str">
        <f t="shared" si="287"/>
        <v>PEN</v>
      </c>
      <c r="N3606" s="13">
        <v>481.66</v>
      </c>
      <c r="O3606" s="13"/>
      <c r="P3606" s="3">
        <f t="shared" si="288"/>
        <v>0</v>
      </c>
      <c r="Q3606" s="3">
        <f t="shared" si="289"/>
        <v>0</v>
      </c>
      <c r="R3606" s="3">
        <f t="shared" si="290"/>
        <v>22463.689999999991</v>
      </c>
      <c r="S3606" s="28" t="s">
        <v>1334</v>
      </c>
      <c r="T3606" s="28" t="s">
        <v>1334</v>
      </c>
      <c r="U3606" s="56"/>
      <c r="V3606" s="25">
        <f>IFERROR(VLOOKUP(BCP_Soles[[#This Row],[destinatario]],CHOOSE({1,2},Clientes_Proveedores[Razon Social],Clientes_Proveedores[Ruc / Dni]),2,0),"")</f>
        <v>20127765279</v>
      </c>
      <c r="W3606" s="25"/>
      <c r="X3606" s="25"/>
      <c r="Y3606" s="25"/>
      <c r="Z3606" s="77"/>
      <c r="AA3606" s="3" t="str">
        <f>IF(BCP_Soles[[#This Row],[fecha]]&gt;0,TEXT(BCP_Soles[[#This Row],[fecha]],"mmmm"),0)</f>
        <v>Setiembre</v>
      </c>
    </row>
    <row r="3607" spans="1:27" x14ac:dyDescent="0.3">
      <c r="A3607" s="2">
        <f>IF(BCP_Soles[[#This Row],[tipo_registro]]="R",COUNTIFS($C$1:$C3606,"R")+1,A3606)</f>
        <v>2389</v>
      </c>
      <c r="B3607" s="19" t="str">
        <f t="shared" si="286"/>
        <v>B-BCP - Soles</v>
      </c>
      <c r="C3607" s="3" t="s">
        <v>1330</v>
      </c>
      <c r="D3607" s="14">
        <v>45901</v>
      </c>
      <c r="E3607" s="5" t="s">
        <v>4171</v>
      </c>
      <c r="F3607" s="5" t="s">
        <v>1336</v>
      </c>
      <c r="G3607" s="6"/>
      <c r="H3607" s="6"/>
      <c r="I3607" s="6"/>
      <c r="J3607" s="6"/>
      <c r="K3607" s="7" t="s">
        <v>4378</v>
      </c>
      <c r="L3607" s="8">
        <v>9516086</v>
      </c>
      <c r="M3607" s="8" t="str">
        <f t="shared" si="287"/>
        <v>PEN</v>
      </c>
      <c r="N3607" s="13"/>
      <c r="O3607" s="13">
        <v>1329.45</v>
      </c>
      <c r="P3607" s="3">
        <f t="shared" si="288"/>
        <v>0</v>
      </c>
      <c r="Q3607" s="3">
        <f t="shared" si="289"/>
        <v>1329.45</v>
      </c>
      <c r="R3607" s="3">
        <f t="shared" si="290"/>
        <v>21134.239999999991</v>
      </c>
      <c r="S3607" s="24"/>
      <c r="T3607" s="24"/>
      <c r="U3607" s="55"/>
      <c r="V3607" s="25" t="str">
        <f>IFERROR(VLOOKUP(BCP_Soles[[#This Row],[destinatario]],CHOOSE({1,2},Clientes_Proveedores[Razon Social],Clientes_Proveedores[Ruc / Dni]),2,0),"")</f>
        <v/>
      </c>
      <c r="W3607" s="25"/>
      <c r="X3607" s="25"/>
      <c r="Y3607" s="25"/>
      <c r="Z3607" s="77"/>
      <c r="AA3607" s="3" t="str">
        <f>IF(BCP_Soles[[#This Row],[fecha]]&gt;0,TEXT(BCP_Soles[[#This Row],[fecha]],"mmmm"),0)</f>
        <v>Setiembre</v>
      </c>
    </row>
    <row r="3608" spans="1:27" ht="24" x14ac:dyDescent="0.3">
      <c r="A3608" s="2">
        <f>IF(BCP_Soles[[#This Row],[tipo_registro]]="R",COUNTIFS($C$1:$C3607,"R")+1,A3607)</f>
        <v>2390</v>
      </c>
      <c r="B3608" s="19" t="str">
        <f t="shared" si="286"/>
        <v>B-BCP - Soles</v>
      </c>
      <c r="C3608" s="3" t="s">
        <v>1330</v>
      </c>
      <c r="D3608" s="14">
        <v>45901</v>
      </c>
      <c r="E3608" s="5" t="s">
        <v>1338</v>
      </c>
      <c r="F3608" s="5" t="s">
        <v>1336</v>
      </c>
      <c r="G3608" s="6" t="s">
        <v>895</v>
      </c>
      <c r="H3608" s="6"/>
      <c r="I3608" s="6"/>
      <c r="J3608" s="6"/>
      <c r="K3608" s="7" t="s">
        <v>4379</v>
      </c>
      <c r="L3608" s="8">
        <v>1227852</v>
      </c>
      <c r="M3608" s="8" t="str">
        <f t="shared" si="287"/>
        <v>PEN</v>
      </c>
      <c r="N3608" s="13"/>
      <c r="O3608" s="13">
        <v>300</v>
      </c>
      <c r="P3608" s="3">
        <f t="shared" si="288"/>
        <v>0</v>
      </c>
      <c r="Q3608" s="3">
        <f t="shared" si="289"/>
        <v>300</v>
      </c>
      <c r="R3608" s="3">
        <f t="shared" si="290"/>
        <v>20834.239999999991</v>
      </c>
      <c r="S3608" s="24"/>
      <c r="T3608" s="24"/>
      <c r="U3608" s="55"/>
      <c r="V3608" s="25">
        <f>IFERROR(VLOOKUP(BCP_Soles[[#This Row],[destinatario]],CHOOSE({1,2},Clientes_Proveedores[Razon Social],Clientes_Proveedores[Ruc / Dni]),2,0),"")</f>
        <v>72144092</v>
      </c>
      <c r="W3608" s="25"/>
      <c r="X3608" s="25"/>
      <c r="Y3608" s="25"/>
      <c r="Z3608" s="77"/>
      <c r="AA3608" s="3" t="str">
        <f>IF(BCP_Soles[[#This Row],[fecha]]&gt;0,TEXT(BCP_Soles[[#This Row],[fecha]],"mmmm"),0)</f>
        <v>Setiembre</v>
      </c>
    </row>
    <row r="3609" spans="1:27" ht="24" x14ac:dyDescent="0.3">
      <c r="A3609" s="2">
        <f>IF(BCP_Soles[[#This Row],[tipo_registro]]="R",COUNTIFS($C$1:$C3608,"R")+1,A3608)</f>
        <v>2391</v>
      </c>
      <c r="B3609" s="19" t="str">
        <f t="shared" si="286"/>
        <v>B-BCP - Soles</v>
      </c>
      <c r="C3609" s="3" t="s">
        <v>1330</v>
      </c>
      <c r="D3609" s="14">
        <v>45901</v>
      </c>
      <c r="E3609" s="5" t="s">
        <v>1338</v>
      </c>
      <c r="F3609" s="5" t="s">
        <v>1336</v>
      </c>
      <c r="G3609" s="6" t="s">
        <v>895</v>
      </c>
      <c r="H3609" s="6"/>
      <c r="I3609" s="6"/>
      <c r="J3609" s="6"/>
      <c r="K3609" s="7" t="s">
        <v>4380</v>
      </c>
      <c r="L3609" s="8">
        <v>1224475</v>
      </c>
      <c r="M3609" s="8" t="str">
        <f t="shared" si="287"/>
        <v>PEN</v>
      </c>
      <c r="N3609" s="13"/>
      <c r="O3609" s="13">
        <v>900</v>
      </c>
      <c r="P3609" s="3">
        <f t="shared" si="288"/>
        <v>0</v>
      </c>
      <c r="Q3609" s="3">
        <f t="shared" si="289"/>
        <v>900</v>
      </c>
      <c r="R3609" s="3">
        <f t="shared" si="290"/>
        <v>19934.239999999991</v>
      </c>
      <c r="S3609" s="24"/>
      <c r="T3609" s="24" t="s">
        <v>1334</v>
      </c>
      <c r="U3609" s="55"/>
      <c r="V3609" s="25">
        <f>IFERROR(VLOOKUP(BCP_Soles[[#This Row],[destinatario]],CHOOSE({1,2},Clientes_Proveedores[Razon Social],Clientes_Proveedores[Ruc / Dni]),2,0),"")</f>
        <v>72144092</v>
      </c>
      <c r="W3609" s="25"/>
      <c r="X3609" s="25"/>
      <c r="Y3609" s="25"/>
      <c r="Z3609" s="77"/>
      <c r="AA3609" s="3" t="str">
        <f>IF(BCP_Soles[[#This Row],[fecha]]&gt;0,TEXT(BCP_Soles[[#This Row],[fecha]],"mmmm"),0)</f>
        <v>Setiembre</v>
      </c>
    </row>
    <row r="3610" spans="1:27" x14ac:dyDescent="0.3">
      <c r="A3610" s="2">
        <f>IF(BCP_Soles[[#This Row],[tipo_registro]]="R",COUNTIFS($C$1:$C3609,"R")+1,A3609)</f>
        <v>2392</v>
      </c>
      <c r="B3610" s="19" t="str">
        <f t="shared" si="286"/>
        <v>B-BCP - Soles</v>
      </c>
      <c r="C3610" s="3" t="s">
        <v>1330</v>
      </c>
      <c r="D3610" s="14">
        <v>45901</v>
      </c>
      <c r="E3610" s="5" t="s">
        <v>1338</v>
      </c>
      <c r="F3610" s="5" t="s">
        <v>1336</v>
      </c>
      <c r="G3610" s="6" t="s">
        <v>696</v>
      </c>
      <c r="H3610" s="6"/>
      <c r="I3610" s="6"/>
      <c r="J3610" s="6"/>
      <c r="K3610" s="7" t="s">
        <v>4381</v>
      </c>
      <c r="L3610" s="8">
        <v>9653391</v>
      </c>
      <c r="M3610" s="8" t="str">
        <f t="shared" si="287"/>
        <v>PEN</v>
      </c>
      <c r="N3610" s="13"/>
      <c r="O3610" s="13">
        <v>4496.6499999999996</v>
      </c>
      <c r="P3610" s="3">
        <f t="shared" si="288"/>
        <v>0</v>
      </c>
      <c r="Q3610" s="3">
        <f t="shared" si="289"/>
        <v>4496.6499999999996</v>
      </c>
      <c r="R3610" s="3">
        <f t="shared" si="290"/>
        <v>15437.589999999991</v>
      </c>
      <c r="S3610" s="24" t="s">
        <v>1334</v>
      </c>
      <c r="T3610" s="24" t="s">
        <v>1334</v>
      </c>
      <c r="U3610" s="56" t="s">
        <v>4382</v>
      </c>
      <c r="V3610" s="25">
        <f>IFERROR(VLOOKUP(BCP_Soles[[#This Row],[destinatario]],CHOOSE({1,2},Clientes_Proveedores[Razon Social],Clientes_Proveedores[Ruc / Dni]),2,0),"")</f>
        <v>0</v>
      </c>
      <c r="W3610" s="25"/>
      <c r="X3610" s="25"/>
      <c r="Y3610" s="25"/>
      <c r="Z3610" s="77"/>
      <c r="AA3610" s="3" t="str">
        <f>IF(BCP_Soles[[#This Row],[fecha]]&gt;0,TEXT(BCP_Soles[[#This Row],[fecha]],"mmmm"),0)</f>
        <v>Setiembre</v>
      </c>
    </row>
    <row r="3611" spans="1:27" x14ac:dyDescent="0.3">
      <c r="A3611" s="2">
        <f>IF(BCP_Soles[[#This Row],[tipo_registro]]="R",COUNTIFS($C$1:$C3610,"R")+1,A3610)</f>
        <v>2392</v>
      </c>
      <c r="B3611" s="19" t="str">
        <f t="shared" si="286"/>
        <v>B-BCP - Soles</v>
      </c>
      <c r="C3611" s="3" t="s">
        <v>1352</v>
      </c>
      <c r="D3611" s="14">
        <v>45901</v>
      </c>
      <c r="E3611" s="5" t="s">
        <v>1338</v>
      </c>
      <c r="F3611" s="5"/>
      <c r="G3611" s="6" t="s">
        <v>638</v>
      </c>
      <c r="H3611" s="6" t="s">
        <v>68</v>
      </c>
      <c r="I3611" s="6" t="s">
        <v>1374</v>
      </c>
      <c r="J3611" s="6">
        <v>17235</v>
      </c>
      <c r="K3611" s="7" t="s">
        <v>4381</v>
      </c>
      <c r="L3611" s="8">
        <v>9653391</v>
      </c>
      <c r="M3611" s="8" t="str">
        <f t="shared" si="287"/>
        <v>PEN</v>
      </c>
      <c r="N3611" s="13">
        <v>1276.4100000000001</v>
      </c>
      <c r="O3611" s="13"/>
      <c r="P3611" s="3">
        <f t="shared" si="288"/>
        <v>0</v>
      </c>
      <c r="Q3611" s="3">
        <f t="shared" si="289"/>
        <v>0</v>
      </c>
      <c r="R3611" s="3">
        <f t="shared" si="290"/>
        <v>15437.589999999991</v>
      </c>
      <c r="S3611" s="24" t="s">
        <v>1334</v>
      </c>
      <c r="T3611" s="24" t="s">
        <v>1334</v>
      </c>
      <c r="U3611" s="56"/>
      <c r="V3611" s="25">
        <f>IFERROR(VLOOKUP(BCP_Soles[[#This Row],[destinatario]],CHOOSE({1,2},Clientes_Proveedores[Razon Social],Clientes_Proveedores[Ruc / Dni]),2,0),"")</f>
        <v>20602484344</v>
      </c>
      <c r="W3611" s="25"/>
      <c r="X3611" s="25"/>
      <c r="Y3611" s="25"/>
      <c r="Z3611" s="77"/>
      <c r="AA3611" s="3" t="str">
        <f>IF(BCP_Soles[[#This Row],[fecha]]&gt;0,TEXT(BCP_Soles[[#This Row],[fecha]],"mmmm"),0)</f>
        <v>Setiembre</v>
      </c>
    </row>
    <row r="3612" spans="1:27" x14ac:dyDescent="0.3">
      <c r="A3612" s="2">
        <f>IF(BCP_Soles[[#This Row],[tipo_registro]]="R",COUNTIFS($C$1:$C3611,"R")+1,A3611)</f>
        <v>2392</v>
      </c>
      <c r="B3612" s="19" t="str">
        <f t="shared" si="286"/>
        <v>B-BCP - Soles</v>
      </c>
      <c r="C3612" s="3" t="s">
        <v>1352</v>
      </c>
      <c r="D3612" s="14">
        <v>45901</v>
      </c>
      <c r="E3612" s="5" t="s">
        <v>1338</v>
      </c>
      <c r="F3612" s="5"/>
      <c r="G3612" s="6" t="s">
        <v>638</v>
      </c>
      <c r="H3612" s="6" t="s">
        <v>68</v>
      </c>
      <c r="I3612" s="6" t="s">
        <v>1374</v>
      </c>
      <c r="J3612" s="6">
        <v>17197</v>
      </c>
      <c r="K3612" s="7" t="s">
        <v>4381</v>
      </c>
      <c r="L3612" s="8">
        <v>9653391</v>
      </c>
      <c r="M3612" s="8" t="str">
        <f t="shared" si="287"/>
        <v>PEN</v>
      </c>
      <c r="N3612" s="13">
        <v>2676.24</v>
      </c>
      <c r="O3612" s="13"/>
      <c r="P3612" s="3">
        <f t="shared" si="288"/>
        <v>0</v>
      </c>
      <c r="Q3612" s="3">
        <f t="shared" si="289"/>
        <v>0</v>
      </c>
      <c r="R3612" s="3">
        <f t="shared" si="290"/>
        <v>15437.589999999991</v>
      </c>
      <c r="S3612" s="24" t="s">
        <v>1334</v>
      </c>
      <c r="T3612" s="24" t="s">
        <v>1334</v>
      </c>
      <c r="U3612" s="56"/>
      <c r="V3612" s="25">
        <f>IFERROR(VLOOKUP(BCP_Soles[[#This Row],[destinatario]],CHOOSE({1,2},Clientes_Proveedores[Razon Social],Clientes_Proveedores[Ruc / Dni]),2,0),"")</f>
        <v>20602484344</v>
      </c>
      <c r="W3612" s="25"/>
      <c r="X3612" s="25"/>
      <c r="Y3612" s="25"/>
      <c r="Z3612" s="77"/>
      <c r="AA3612" s="3" t="str">
        <f>IF(BCP_Soles[[#This Row],[fecha]]&gt;0,TEXT(BCP_Soles[[#This Row],[fecha]],"mmmm"),0)</f>
        <v>Setiembre</v>
      </c>
    </row>
    <row r="3613" spans="1:27" x14ac:dyDescent="0.3">
      <c r="A3613" s="2">
        <f>IF(BCP_Soles[[#This Row],[tipo_registro]]="R",COUNTIFS($C$1:$C3612,"R")+1,A3612)</f>
        <v>2392</v>
      </c>
      <c r="B3613" s="19" t="str">
        <f t="shared" ref="B3613:B3676" si="291">"B-BCP - Soles"</f>
        <v>B-BCP - Soles</v>
      </c>
      <c r="C3613" s="3" t="s">
        <v>1352</v>
      </c>
      <c r="D3613" s="14">
        <v>45901</v>
      </c>
      <c r="E3613" s="5" t="s">
        <v>1338</v>
      </c>
      <c r="F3613" s="5"/>
      <c r="G3613" s="6" t="s">
        <v>286</v>
      </c>
      <c r="H3613" s="6" t="s">
        <v>68</v>
      </c>
      <c r="I3613" s="6" t="s">
        <v>1386</v>
      </c>
      <c r="J3613" s="6">
        <v>1721</v>
      </c>
      <c r="K3613" s="7" t="s">
        <v>4381</v>
      </c>
      <c r="L3613" s="8">
        <v>9653391</v>
      </c>
      <c r="M3613" s="8" t="str">
        <f t="shared" ref="M3613:M3676" si="292">"PEN"</f>
        <v>PEN</v>
      </c>
      <c r="N3613" s="13">
        <v>544</v>
      </c>
      <c r="O3613" s="13"/>
      <c r="P3613" s="3">
        <f t="shared" ref="P3613:P3676" si="293">+IF(OR($F3613="SALDO",$F3613="INGRESO"),$O3613,0)</f>
        <v>0</v>
      </c>
      <c r="Q3613" s="3">
        <f t="shared" ref="Q3613:Q3676" si="294">+IF($F3613="EGRESO",$O3613,0)</f>
        <v>0</v>
      </c>
      <c r="R3613" s="3">
        <f t="shared" si="290"/>
        <v>15437.589999999991</v>
      </c>
      <c r="S3613" s="24" t="s">
        <v>1334</v>
      </c>
      <c r="T3613" s="24" t="s">
        <v>1334</v>
      </c>
      <c r="U3613" s="56"/>
      <c r="V3613" s="25">
        <f>IFERROR(VLOOKUP(BCP_Soles[[#This Row],[destinatario]],CHOOSE({1,2},Clientes_Proveedores[Razon Social],Clientes_Proveedores[Ruc / Dni]),2,0),"")</f>
        <v>20454186002</v>
      </c>
      <c r="W3613" s="25"/>
      <c r="X3613" s="25"/>
      <c r="Y3613" s="25"/>
      <c r="Z3613" s="77"/>
      <c r="AA3613" s="3" t="str">
        <f>IF(BCP_Soles[[#This Row],[fecha]]&gt;0,TEXT(BCP_Soles[[#This Row],[fecha]],"mmmm"),0)</f>
        <v>Setiembre</v>
      </c>
    </row>
    <row r="3614" spans="1:27" ht="24" x14ac:dyDescent="0.3">
      <c r="A3614" s="2">
        <f>IF(BCP_Soles[[#This Row],[tipo_registro]]="R",COUNTIFS($C$1:$C3613,"R")+1,A3613)</f>
        <v>2393</v>
      </c>
      <c r="B3614" s="19" t="str">
        <f t="shared" si="291"/>
        <v>B-BCP - Soles</v>
      </c>
      <c r="C3614" s="3" t="s">
        <v>1330</v>
      </c>
      <c r="D3614" s="14">
        <v>45901</v>
      </c>
      <c r="E3614" s="5" t="s">
        <v>1338</v>
      </c>
      <c r="F3614" s="5" t="s">
        <v>1336</v>
      </c>
      <c r="G3614" s="6"/>
      <c r="H3614" s="6"/>
      <c r="I3614" s="6"/>
      <c r="J3614" s="6"/>
      <c r="K3614" s="7" t="s">
        <v>4383</v>
      </c>
      <c r="L3614" s="8">
        <v>225968</v>
      </c>
      <c r="M3614" s="8" t="str">
        <f t="shared" si="292"/>
        <v>PEN</v>
      </c>
      <c r="N3614" s="13"/>
      <c r="O3614" s="13">
        <v>1389.86</v>
      </c>
      <c r="P3614" s="3">
        <f t="shared" si="293"/>
        <v>0</v>
      </c>
      <c r="Q3614" s="3">
        <f t="shared" si="294"/>
        <v>1389.86</v>
      </c>
      <c r="R3614" s="3">
        <f t="shared" si="290"/>
        <v>14047.72999999999</v>
      </c>
      <c r="S3614" s="24"/>
      <c r="T3614" s="24"/>
      <c r="U3614" s="56" t="s">
        <v>4384</v>
      </c>
      <c r="V3614" s="25" t="str">
        <f>IFERROR(VLOOKUP(BCP_Soles[[#This Row],[destinatario]],CHOOSE({1,2},Clientes_Proveedores[Razon Social],Clientes_Proveedores[Ruc / Dni]),2,0),"")</f>
        <v/>
      </c>
      <c r="W3614" s="25"/>
      <c r="X3614" s="25"/>
      <c r="Y3614" s="25"/>
      <c r="Z3614" s="77"/>
      <c r="AA3614" s="3" t="str">
        <f>IF(BCP_Soles[[#This Row],[fecha]]&gt;0,TEXT(BCP_Soles[[#This Row],[fecha]],"mmmm"),0)</f>
        <v>Setiembre</v>
      </c>
    </row>
    <row r="3615" spans="1:27" ht="24" x14ac:dyDescent="0.3">
      <c r="A3615" s="2">
        <f>IF(BCP_Soles[[#This Row],[tipo_registro]]="R",COUNTIFS($C$1:$C3614,"R")+1,A3614)</f>
        <v>2394</v>
      </c>
      <c r="B3615" s="19" t="str">
        <f t="shared" si="291"/>
        <v>B-BCP - Soles</v>
      </c>
      <c r="C3615" s="3" t="s">
        <v>1330</v>
      </c>
      <c r="D3615" s="14">
        <v>45901</v>
      </c>
      <c r="E3615" s="5" t="s">
        <v>1338</v>
      </c>
      <c r="F3615" s="5" t="s">
        <v>1336</v>
      </c>
      <c r="G3615" s="6" t="s">
        <v>583</v>
      </c>
      <c r="H3615" s="6" t="s">
        <v>68</v>
      </c>
      <c r="I3615" s="6" t="s">
        <v>1376</v>
      </c>
      <c r="J3615" s="6">
        <v>864</v>
      </c>
      <c r="K3615" s="7" t="s">
        <v>4385</v>
      </c>
      <c r="L3615" s="8">
        <v>1225967</v>
      </c>
      <c r="M3615" s="8" t="str">
        <f t="shared" si="292"/>
        <v>PEN</v>
      </c>
      <c r="N3615" s="13"/>
      <c r="O3615" s="13">
        <v>4158.79</v>
      </c>
      <c r="P3615" s="3">
        <f t="shared" si="293"/>
        <v>0</v>
      </c>
      <c r="Q3615" s="3">
        <f t="shared" si="294"/>
        <v>4158.79</v>
      </c>
      <c r="R3615" s="3">
        <f t="shared" si="290"/>
        <v>9888.9399999999914</v>
      </c>
      <c r="S3615" s="24" t="s">
        <v>1334</v>
      </c>
      <c r="T3615" s="24" t="s">
        <v>1334</v>
      </c>
      <c r="U3615" s="56" t="s">
        <v>4384</v>
      </c>
      <c r="V3615" s="25">
        <f>IFERROR(VLOOKUP(BCP_Soles[[#This Row],[destinatario]],CHOOSE({1,2},Clientes_Proveedores[Razon Social],Clientes_Proveedores[Ruc / Dni]),2,0),"")</f>
        <v>20609155303</v>
      </c>
      <c r="W3615" s="25"/>
      <c r="X3615" s="25"/>
      <c r="Y3615" s="25"/>
      <c r="Z3615" s="77"/>
      <c r="AA3615" s="3" t="str">
        <f>IF(BCP_Soles[[#This Row],[fecha]]&gt;0,TEXT(BCP_Soles[[#This Row],[fecha]],"mmmm"),0)</f>
        <v>Setiembre</v>
      </c>
    </row>
    <row r="3616" spans="1:27" ht="24" x14ac:dyDescent="0.3">
      <c r="A3616" s="2">
        <f>IF(BCP_Soles[[#This Row],[tipo_registro]]="R",COUNTIFS($C$1:$C3615,"R")+1,A3615)</f>
        <v>2395</v>
      </c>
      <c r="B3616" s="19" t="str">
        <f t="shared" si="291"/>
        <v>B-BCP - Soles</v>
      </c>
      <c r="C3616" s="3" t="s">
        <v>1330</v>
      </c>
      <c r="D3616" s="14">
        <v>45901</v>
      </c>
      <c r="E3616" s="5"/>
      <c r="F3616" s="5" t="s">
        <v>1336</v>
      </c>
      <c r="G3616" s="6" t="s">
        <v>1060</v>
      </c>
      <c r="H3616" s="6" t="s">
        <v>68</v>
      </c>
      <c r="I3616" s="6" t="s">
        <v>1397</v>
      </c>
      <c r="J3616" s="6">
        <v>36421736</v>
      </c>
      <c r="K3616" s="7" t="s">
        <v>4386</v>
      </c>
      <c r="L3616" s="8">
        <v>9653398</v>
      </c>
      <c r="M3616" s="8" t="str">
        <f t="shared" si="292"/>
        <v>PEN</v>
      </c>
      <c r="N3616" s="13"/>
      <c r="O3616" s="13">
        <v>2.5</v>
      </c>
      <c r="P3616" s="3">
        <f t="shared" si="293"/>
        <v>0</v>
      </c>
      <c r="Q3616" s="3">
        <f t="shared" si="294"/>
        <v>2.5</v>
      </c>
      <c r="R3616" s="3">
        <f t="shared" si="290"/>
        <v>9886.4399999999914</v>
      </c>
      <c r="S3616" s="24" t="s">
        <v>1334</v>
      </c>
      <c r="T3616" s="24" t="s">
        <v>1334</v>
      </c>
      <c r="U3616" s="55"/>
      <c r="V3616" s="25">
        <f>IFERROR(VLOOKUP(BCP_Soles[[#This Row],[destinatario]],CHOOSE({1,2},Clientes_Proveedores[Razon Social],Clientes_Proveedores[Ruc / Dni]),2,0),"")</f>
        <v>20100047218</v>
      </c>
      <c r="W3616" s="25"/>
      <c r="X3616" s="25"/>
      <c r="Y3616" s="25"/>
      <c r="Z3616" s="77"/>
      <c r="AA3616" s="3" t="str">
        <f>IF(BCP_Soles[[#This Row],[fecha]]&gt;0,TEXT(BCP_Soles[[#This Row],[fecha]],"mmmm"),0)</f>
        <v>Setiembre</v>
      </c>
    </row>
    <row r="3617" spans="1:27" x14ac:dyDescent="0.3">
      <c r="A3617" s="2">
        <f>IF(BCP_Soles[[#This Row],[tipo_registro]]="R",COUNTIFS($C$1:$C3616,"R")+1,A3616)</f>
        <v>2396</v>
      </c>
      <c r="B3617" s="19" t="str">
        <f t="shared" si="291"/>
        <v>B-BCP - Soles</v>
      </c>
      <c r="C3617" s="3" t="s">
        <v>1330</v>
      </c>
      <c r="D3617" s="14">
        <v>45901</v>
      </c>
      <c r="E3617" s="5" t="s">
        <v>3190</v>
      </c>
      <c r="F3617" s="5" t="s">
        <v>1336</v>
      </c>
      <c r="G3617" s="6"/>
      <c r="H3617" s="6"/>
      <c r="I3617" s="6"/>
      <c r="J3617" s="6"/>
      <c r="K3617" s="7" t="s">
        <v>4387</v>
      </c>
      <c r="L3617" s="8">
        <v>1012174</v>
      </c>
      <c r="M3617" s="8" t="str">
        <f t="shared" si="292"/>
        <v>PEN</v>
      </c>
      <c r="N3617" s="13"/>
      <c r="O3617" s="13">
        <v>2808</v>
      </c>
      <c r="P3617" s="3">
        <f t="shared" si="293"/>
        <v>0</v>
      </c>
      <c r="Q3617" s="3">
        <f t="shared" si="294"/>
        <v>2808</v>
      </c>
      <c r="R3617" s="3">
        <f t="shared" si="290"/>
        <v>7078.4399999999914</v>
      </c>
      <c r="S3617" s="24"/>
      <c r="T3617" s="24"/>
      <c r="U3617" s="55"/>
      <c r="V3617" s="25" t="str">
        <f>IFERROR(VLOOKUP(BCP_Soles[[#This Row],[destinatario]],CHOOSE({1,2},Clientes_Proveedores[Razon Social],Clientes_Proveedores[Ruc / Dni]),2,0),"")</f>
        <v/>
      </c>
      <c r="W3617" s="25"/>
      <c r="X3617" s="25"/>
      <c r="Y3617" s="25"/>
      <c r="Z3617" s="77"/>
      <c r="AA3617" s="3" t="str">
        <f>IF(BCP_Soles[[#This Row],[fecha]]&gt;0,TEXT(BCP_Soles[[#This Row],[fecha]],"mmmm"),0)</f>
        <v>Setiembre</v>
      </c>
    </row>
    <row r="3618" spans="1:27" ht="24" x14ac:dyDescent="0.3">
      <c r="A3618" s="2">
        <f>IF(BCP_Soles[[#This Row],[tipo_registro]]="R",COUNTIFS($C$1:$C3617,"R")+1,A3617)</f>
        <v>2397</v>
      </c>
      <c r="B3618" s="19" t="str">
        <f t="shared" si="291"/>
        <v>B-BCP - Soles</v>
      </c>
      <c r="C3618" s="3" t="s">
        <v>1330</v>
      </c>
      <c r="D3618" s="14">
        <v>45901</v>
      </c>
      <c r="E3618" s="5" t="s">
        <v>1335</v>
      </c>
      <c r="F3618" s="5" t="s">
        <v>1336</v>
      </c>
      <c r="G3618" s="6" t="s">
        <v>1060</v>
      </c>
      <c r="H3618" s="6" t="s">
        <v>68</v>
      </c>
      <c r="I3618" s="6" t="s">
        <v>1397</v>
      </c>
      <c r="J3618" s="6">
        <v>36414788</v>
      </c>
      <c r="K3618" s="7" t="s">
        <v>4230</v>
      </c>
      <c r="L3618" s="8">
        <v>674</v>
      </c>
      <c r="M3618" s="8" t="str">
        <f t="shared" si="292"/>
        <v>PEN</v>
      </c>
      <c r="N3618" s="13"/>
      <c r="O3618" s="13">
        <v>10</v>
      </c>
      <c r="P3618" s="3">
        <f t="shared" si="293"/>
        <v>0</v>
      </c>
      <c r="Q3618" s="3">
        <f t="shared" si="294"/>
        <v>10</v>
      </c>
      <c r="R3618" s="3">
        <f t="shared" si="290"/>
        <v>7068.4399999999914</v>
      </c>
      <c r="S3618" s="24" t="s">
        <v>1334</v>
      </c>
      <c r="T3618" s="24" t="s">
        <v>1334</v>
      </c>
      <c r="U3618" s="55"/>
      <c r="V3618" s="25">
        <f>IFERROR(VLOOKUP(BCP_Soles[[#This Row],[destinatario]],CHOOSE({1,2},Clientes_Proveedores[Razon Social],Clientes_Proveedores[Ruc / Dni]),2,0),"")</f>
        <v>20100047218</v>
      </c>
      <c r="W3618" s="25"/>
      <c r="X3618" s="25"/>
      <c r="Y3618" s="25"/>
      <c r="Z3618" s="77"/>
      <c r="AA3618" s="3" t="str">
        <f>IF(BCP_Soles[[#This Row],[fecha]]&gt;0,TEXT(BCP_Soles[[#This Row],[fecha]],"mmmm"),0)</f>
        <v>Setiembre</v>
      </c>
    </row>
    <row r="3619" spans="1:27" x14ac:dyDescent="0.3">
      <c r="A3619" s="2">
        <f>IF(BCP_Soles[[#This Row],[tipo_registro]]="R",COUNTIFS($C$1:$C3618,"R")+1,A3618)</f>
        <v>2398</v>
      </c>
      <c r="B3619" s="19" t="str">
        <f t="shared" si="291"/>
        <v>B-BCP - Soles</v>
      </c>
      <c r="C3619" s="3" t="s">
        <v>1330</v>
      </c>
      <c r="D3619" s="14">
        <v>45901</v>
      </c>
      <c r="E3619" s="5" t="s">
        <v>1335</v>
      </c>
      <c r="F3619" s="5" t="s">
        <v>1336</v>
      </c>
      <c r="G3619" s="6" t="s">
        <v>1009</v>
      </c>
      <c r="H3619" s="6" t="s">
        <v>64</v>
      </c>
      <c r="I3619" s="6" t="s">
        <v>3673</v>
      </c>
      <c r="J3619" s="6">
        <v>2400</v>
      </c>
      <c r="K3619" s="7" t="s">
        <v>3160</v>
      </c>
      <c r="L3619" s="8"/>
      <c r="M3619" s="8" t="str">
        <f t="shared" si="292"/>
        <v>PEN</v>
      </c>
      <c r="N3619" s="13"/>
      <c r="O3619" s="13">
        <v>0.8</v>
      </c>
      <c r="P3619" s="3">
        <f t="shared" si="293"/>
        <v>0</v>
      </c>
      <c r="Q3619" s="3">
        <f t="shared" si="294"/>
        <v>0.8</v>
      </c>
      <c r="R3619" s="3">
        <f t="shared" si="290"/>
        <v>7067.6399999999912</v>
      </c>
      <c r="S3619" s="24"/>
      <c r="T3619" s="24" t="s">
        <v>1334</v>
      </c>
      <c r="U3619" s="55"/>
      <c r="V3619" s="25">
        <f>IFERROR(VLOOKUP(BCP_Soles[[#This Row],[destinatario]],CHOOSE({1,2},Clientes_Proveedores[Razon Social],Clientes_Proveedores[Ruc / Dni]),2,0),"")</f>
        <v>11111111</v>
      </c>
      <c r="W3619" s="25"/>
      <c r="X3619" s="25"/>
      <c r="Y3619" s="25"/>
      <c r="Z3619" s="77"/>
      <c r="AA3619" s="3" t="str">
        <f>IF(BCP_Soles[[#This Row],[fecha]]&gt;0,TEXT(BCP_Soles[[#This Row],[fecha]],"mmmm"),0)</f>
        <v>Setiembre</v>
      </c>
    </row>
    <row r="3620" spans="1:27" x14ac:dyDescent="0.3">
      <c r="A3620" s="2">
        <f>IF(BCP_Soles[[#This Row],[tipo_registro]]="R",COUNTIFS($C$1:$C3619,"R")+1,A3619)</f>
        <v>2399</v>
      </c>
      <c r="B3620" s="19" t="str">
        <f t="shared" si="291"/>
        <v>B-BCP - Soles</v>
      </c>
      <c r="C3620" s="3" t="s">
        <v>1330</v>
      </c>
      <c r="D3620" s="14">
        <v>45902</v>
      </c>
      <c r="E3620" s="5"/>
      <c r="F3620" s="5" t="s">
        <v>1303</v>
      </c>
      <c r="G3620" s="6" t="s">
        <v>425</v>
      </c>
      <c r="H3620" s="6"/>
      <c r="I3620" s="6"/>
      <c r="J3620" s="6"/>
      <c r="K3620" s="7" t="s">
        <v>1356</v>
      </c>
      <c r="L3620" s="8">
        <v>1135288</v>
      </c>
      <c r="M3620" s="8" t="str">
        <f t="shared" si="292"/>
        <v>PEN</v>
      </c>
      <c r="N3620" s="13"/>
      <c r="O3620" s="13">
        <v>152</v>
      </c>
      <c r="P3620" s="3">
        <f t="shared" si="293"/>
        <v>152</v>
      </c>
      <c r="Q3620" s="3">
        <f t="shared" si="294"/>
        <v>0</v>
      </c>
      <c r="R3620" s="3">
        <f t="shared" si="290"/>
        <v>7219.6399999999912</v>
      </c>
      <c r="S3620" s="24" t="s">
        <v>1334</v>
      </c>
      <c r="T3620" s="24" t="s">
        <v>1334</v>
      </c>
      <c r="U3620" s="55"/>
      <c r="V3620" s="25">
        <f>IFERROR(VLOOKUP(BCP_Soles[[#This Row],[destinatario]],CHOOSE({1,2},Clientes_Proveedores[Razon Social],Clientes_Proveedores[Ruc / Dni]),2,0),"")</f>
        <v>20558226979</v>
      </c>
      <c r="W3620" s="25"/>
      <c r="X3620" s="25"/>
      <c r="Y3620" s="25"/>
      <c r="Z3620" s="77"/>
      <c r="AA3620" s="3" t="str">
        <f>IF(BCP_Soles[[#This Row],[fecha]]&gt;0,TEXT(BCP_Soles[[#This Row],[fecha]],"mmmm"),0)</f>
        <v>Setiembre</v>
      </c>
    </row>
    <row r="3621" spans="1:27" x14ac:dyDescent="0.3">
      <c r="A3621" s="2">
        <f>IF(BCP_Soles[[#This Row],[tipo_registro]]="R",COUNTIFS($C$1:$C3620,"R")+1,A3620)</f>
        <v>2399</v>
      </c>
      <c r="B3621" s="19" t="str">
        <f t="shared" si="291"/>
        <v>B-BCP - Soles</v>
      </c>
      <c r="C3621" s="3" t="s">
        <v>1352</v>
      </c>
      <c r="D3621" s="14">
        <v>45902</v>
      </c>
      <c r="E3621" s="5" t="s">
        <v>1739</v>
      </c>
      <c r="F3621" s="5" t="s">
        <v>1303</v>
      </c>
      <c r="G3621" s="6" t="s">
        <v>425</v>
      </c>
      <c r="H3621" s="6" t="s">
        <v>119</v>
      </c>
      <c r="I3621" s="6">
        <v>1</v>
      </c>
      <c r="J3621" s="6">
        <v>4663</v>
      </c>
      <c r="K3621" s="7" t="s">
        <v>1356</v>
      </c>
      <c r="L3621" s="8">
        <v>1135288</v>
      </c>
      <c r="M3621" s="8" t="str">
        <f t="shared" si="292"/>
        <v>PEN</v>
      </c>
      <c r="N3621" s="13">
        <v>72</v>
      </c>
      <c r="O3621" s="13"/>
      <c r="P3621" s="3">
        <f t="shared" si="293"/>
        <v>0</v>
      </c>
      <c r="Q3621" s="3">
        <f t="shared" si="294"/>
        <v>0</v>
      </c>
      <c r="R3621" s="3">
        <f t="shared" si="290"/>
        <v>7219.6399999999912</v>
      </c>
      <c r="S3621" s="24" t="s">
        <v>1334</v>
      </c>
      <c r="T3621" s="24" t="s">
        <v>1334</v>
      </c>
      <c r="U3621" s="55"/>
      <c r="V3621" s="25">
        <f>IFERROR(VLOOKUP(BCP_Soles[[#This Row],[destinatario]],CHOOSE({1,2},Clientes_Proveedores[Razon Social],Clientes_Proveedores[Ruc / Dni]),2,0),"")</f>
        <v>20558226979</v>
      </c>
      <c r="W3621" s="25"/>
      <c r="X3621" s="25"/>
      <c r="Y3621" s="25"/>
      <c r="Z3621" s="77"/>
      <c r="AA3621" s="3" t="str">
        <f>IF(BCP_Soles[[#This Row],[fecha]]&gt;0,TEXT(BCP_Soles[[#This Row],[fecha]],"mmmm"),0)</f>
        <v>Setiembre</v>
      </c>
    </row>
    <row r="3622" spans="1:27" x14ac:dyDescent="0.3">
      <c r="A3622" s="2">
        <f>IF(BCP_Soles[[#This Row],[tipo_registro]]="R",COUNTIFS($C$1:$C3621,"R")+1,A3621)</f>
        <v>2399</v>
      </c>
      <c r="B3622" s="19" t="str">
        <f t="shared" si="291"/>
        <v>B-BCP - Soles</v>
      </c>
      <c r="C3622" s="3" t="s">
        <v>1352</v>
      </c>
      <c r="D3622" s="14">
        <v>45902</v>
      </c>
      <c r="E3622" s="5" t="s">
        <v>1739</v>
      </c>
      <c r="F3622" s="5" t="s">
        <v>1303</v>
      </c>
      <c r="G3622" s="6" t="s">
        <v>425</v>
      </c>
      <c r="H3622" s="6" t="s">
        <v>119</v>
      </c>
      <c r="I3622" s="6">
        <v>1</v>
      </c>
      <c r="J3622" s="6">
        <v>4717</v>
      </c>
      <c r="K3622" s="7" t="s">
        <v>1356</v>
      </c>
      <c r="L3622" s="8">
        <v>1135288</v>
      </c>
      <c r="M3622" s="8" t="str">
        <f t="shared" si="292"/>
        <v>PEN</v>
      </c>
      <c r="N3622" s="13">
        <v>80</v>
      </c>
      <c r="O3622" s="13"/>
      <c r="P3622" s="3">
        <f t="shared" si="293"/>
        <v>0</v>
      </c>
      <c r="Q3622" s="3">
        <f t="shared" si="294"/>
        <v>0</v>
      </c>
      <c r="R3622" s="3">
        <f t="shared" si="290"/>
        <v>7219.6399999999912</v>
      </c>
      <c r="S3622" s="24" t="s">
        <v>1334</v>
      </c>
      <c r="T3622" s="24" t="s">
        <v>1334</v>
      </c>
      <c r="U3622" s="55"/>
      <c r="V3622" s="25">
        <f>IFERROR(VLOOKUP(BCP_Soles[[#This Row],[destinatario]],CHOOSE({1,2},Clientes_Proveedores[Razon Social],Clientes_Proveedores[Ruc / Dni]),2,0),"")</f>
        <v>20558226979</v>
      </c>
      <c r="W3622" s="25"/>
      <c r="X3622" s="25"/>
      <c r="Y3622" s="25"/>
      <c r="Z3622" s="77"/>
      <c r="AA3622" s="3" t="str">
        <f>IF(BCP_Soles[[#This Row],[fecha]]&gt;0,TEXT(BCP_Soles[[#This Row],[fecha]],"mmmm"),0)</f>
        <v>Setiembre</v>
      </c>
    </row>
    <row r="3623" spans="1:27" ht="24" x14ac:dyDescent="0.3">
      <c r="A3623" s="2">
        <f>IF(BCP_Soles[[#This Row],[tipo_registro]]="R",COUNTIFS($C$1:$C3622,"R")+1,A3622)</f>
        <v>2400</v>
      </c>
      <c r="B3623" s="19" t="str">
        <f t="shared" si="291"/>
        <v>B-BCP - Soles</v>
      </c>
      <c r="C3623" s="3" t="s">
        <v>1330</v>
      </c>
      <c r="D3623" s="14">
        <v>45902</v>
      </c>
      <c r="E3623" s="5" t="s">
        <v>1338</v>
      </c>
      <c r="F3623" s="5" t="s">
        <v>1336</v>
      </c>
      <c r="G3623" s="6" t="s">
        <v>482</v>
      </c>
      <c r="H3623" s="6" t="s">
        <v>68</v>
      </c>
      <c r="I3623" s="6" t="s">
        <v>1374</v>
      </c>
      <c r="J3623" s="6">
        <v>523</v>
      </c>
      <c r="K3623" s="7" t="s">
        <v>4388</v>
      </c>
      <c r="L3623" s="8">
        <v>1106309</v>
      </c>
      <c r="M3623" s="8" t="str">
        <f t="shared" si="292"/>
        <v>PEN</v>
      </c>
      <c r="N3623" s="13"/>
      <c r="O3623" s="13">
        <v>810.4</v>
      </c>
      <c r="P3623" s="3">
        <f t="shared" si="293"/>
        <v>0</v>
      </c>
      <c r="Q3623" s="3">
        <f t="shared" si="294"/>
        <v>810.4</v>
      </c>
      <c r="R3623" s="3">
        <f t="shared" si="290"/>
        <v>6409.2399999999916</v>
      </c>
      <c r="S3623" s="24" t="s">
        <v>1334</v>
      </c>
      <c r="T3623" s="24" t="s">
        <v>1334</v>
      </c>
      <c r="U3623" s="56" t="s">
        <v>4389</v>
      </c>
      <c r="V3623" s="25">
        <f>IFERROR(VLOOKUP(BCP_Soles[[#This Row],[destinatario]],CHOOSE({1,2},Clientes_Proveedores[Razon Social],Clientes_Proveedores[Ruc / Dni]),2,0),"")</f>
        <v>20602441165</v>
      </c>
      <c r="W3623" s="25"/>
      <c r="X3623" s="25"/>
      <c r="Y3623" s="25"/>
      <c r="Z3623" s="77"/>
      <c r="AA3623" s="3" t="str">
        <f>IF(BCP_Soles[[#This Row],[fecha]]&gt;0,TEXT(BCP_Soles[[#This Row],[fecha]],"mmmm"),0)</f>
        <v>Setiembre</v>
      </c>
    </row>
    <row r="3624" spans="1:27" ht="24" x14ac:dyDescent="0.3">
      <c r="A3624" s="2">
        <f>IF(BCP_Soles[[#This Row],[tipo_registro]]="R",COUNTIFS($C$1:$C3623,"R")+1,A3623)</f>
        <v>2401</v>
      </c>
      <c r="B3624" s="19" t="str">
        <f t="shared" si="291"/>
        <v>B-BCP - Soles</v>
      </c>
      <c r="C3624" s="3" t="s">
        <v>1330</v>
      </c>
      <c r="D3624" s="14">
        <v>45902</v>
      </c>
      <c r="E3624" s="5" t="s">
        <v>1338</v>
      </c>
      <c r="F3624" s="5" t="s">
        <v>1336</v>
      </c>
      <c r="G3624" s="6" t="s">
        <v>705</v>
      </c>
      <c r="H3624" s="6" t="s">
        <v>106</v>
      </c>
      <c r="I3624" s="6" t="s">
        <v>1563</v>
      </c>
      <c r="J3624" s="6">
        <v>71247968</v>
      </c>
      <c r="K3624" s="7" t="s">
        <v>4390</v>
      </c>
      <c r="L3624" s="8">
        <v>4105310</v>
      </c>
      <c r="M3624" s="8" t="str">
        <f t="shared" si="292"/>
        <v>PEN</v>
      </c>
      <c r="N3624" s="13"/>
      <c r="O3624" s="13">
        <v>79.900000000000006</v>
      </c>
      <c r="P3624" s="3">
        <f t="shared" si="293"/>
        <v>0</v>
      </c>
      <c r="Q3624" s="3">
        <f t="shared" si="294"/>
        <v>79.900000000000006</v>
      </c>
      <c r="R3624" s="3">
        <f t="shared" si="290"/>
        <v>6329.339999999992</v>
      </c>
      <c r="S3624" s="24" t="s">
        <v>1334</v>
      </c>
      <c r="T3624" s="24" t="s">
        <v>1334</v>
      </c>
      <c r="U3624" s="56" t="s">
        <v>4389</v>
      </c>
      <c r="V3624" s="25">
        <f>IFERROR(VLOOKUP(BCP_Soles[[#This Row],[destinatario]],CHOOSE({1,2},Clientes_Proveedores[Razon Social],Clientes_Proveedores[Ruc / Dni]),2,0),"")</f>
        <v>20100017491</v>
      </c>
      <c r="W3624" s="25"/>
      <c r="X3624" s="25"/>
      <c r="Y3624" s="25"/>
      <c r="Z3624" s="77"/>
      <c r="AA3624" s="3" t="str">
        <f>IF(BCP_Soles[[#This Row],[fecha]]&gt;0,TEXT(BCP_Soles[[#This Row],[fecha]],"mmmm"),0)</f>
        <v>Setiembre</v>
      </c>
    </row>
    <row r="3625" spans="1:27" x14ac:dyDescent="0.3">
      <c r="A3625" s="2">
        <f>IF(BCP_Soles[[#This Row],[tipo_registro]]="R",COUNTIFS($C$1:$C3624,"R")+1,A3624)</f>
        <v>2402</v>
      </c>
      <c r="B3625" s="136" t="str">
        <f t="shared" si="291"/>
        <v>B-BCP - Soles</v>
      </c>
      <c r="C3625" s="135" t="s">
        <v>1330</v>
      </c>
      <c r="D3625" s="14">
        <v>45902</v>
      </c>
      <c r="E3625" s="5" t="s">
        <v>1338</v>
      </c>
      <c r="F3625" s="5" t="s">
        <v>1336</v>
      </c>
      <c r="G3625" s="6" t="s">
        <v>425</v>
      </c>
      <c r="H3625" s="6"/>
      <c r="I3625" s="6"/>
      <c r="J3625" s="6"/>
      <c r="K3625" s="7" t="s">
        <v>4391</v>
      </c>
      <c r="L3625" s="8">
        <v>1221257</v>
      </c>
      <c r="M3625" s="8" t="str">
        <f t="shared" si="292"/>
        <v>PEN</v>
      </c>
      <c r="N3625" s="135"/>
      <c r="O3625" s="135">
        <v>2400</v>
      </c>
      <c r="P3625" s="137">
        <f t="shared" si="293"/>
        <v>0</v>
      </c>
      <c r="Q3625" s="137">
        <f t="shared" si="294"/>
        <v>2400</v>
      </c>
      <c r="R3625" s="137">
        <f t="shared" si="290"/>
        <v>3929.339999999992</v>
      </c>
      <c r="S3625" s="138" t="s">
        <v>1334</v>
      </c>
      <c r="T3625" s="138" t="s">
        <v>1334</v>
      </c>
      <c r="U3625" s="139"/>
      <c r="V3625" s="25">
        <f>IFERROR(VLOOKUP(BCP_Soles[[#This Row],[destinatario]],CHOOSE({1,2},Clientes_Proveedores[Razon Social],Clientes_Proveedores[Ruc / Dni]),2,0),"")</f>
        <v>20558226979</v>
      </c>
      <c r="W3625" s="25"/>
      <c r="X3625" s="25"/>
      <c r="Y3625" s="25"/>
      <c r="Z3625" s="77"/>
      <c r="AA3625" s="137" t="str">
        <f>IF(BCP_Soles[[#This Row],[fecha]]&gt;0,TEXT(BCP_Soles[[#This Row],[fecha]],"mmmm"),0)</f>
        <v>Setiembre</v>
      </c>
    </row>
    <row r="3626" spans="1:27" x14ac:dyDescent="0.3">
      <c r="A3626" s="2">
        <f>IF(BCP_Soles[[#This Row],[tipo_registro]]="R",COUNTIFS($C$1:$C3625,"R")+1,A3625)</f>
        <v>2403</v>
      </c>
      <c r="B3626" s="136" t="str">
        <f t="shared" si="291"/>
        <v>B-BCP - Soles</v>
      </c>
      <c r="C3626" s="135" t="s">
        <v>1330</v>
      </c>
      <c r="D3626" s="14">
        <v>45903</v>
      </c>
      <c r="E3626" s="5" t="s">
        <v>427</v>
      </c>
      <c r="F3626" s="5" t="s">
        <v>1303</v>
      </c>
      <c r="G3626" s="6" t="s">
        <v>425</v>
      </c>
      <c r="H3626" s="6" t="s">
        <v>68</v>
      </c>
      <c r="I3626" s="6" t="s">
        <v>1784</v>
      </c>
      <c r="J3626" s="6">
        <v>215</v>
      </c>
      <c r="K3626" s="7" t="s">
        <v>4392</v>
      </c>
      <c r="L3626" s="8">
        <v>509955</v>
      </c>
      <c r="M3626" s="8" t="str">
        <f t="shared" si="292"/>
        <v>PEN</v>
      </c>
      <c r="N3626" s="135"/>
      <c r="O3626" s="135">
        <v>5038.01</v>
      </c>
      <c r="P3626" s="137">
        <f t="shared" si="293"/>
        <v>5038.01</v>
      </c>
      <c r="Q3626" s="137">
        <f t="shared" si="294"/>
        <v>0</v>
      </c>
      <c r="R3626" s="137">
        <f t="shared" si="290"/>
        <v>8967.3499999999913</v>
      </c>
      <c r="S3626" s="138" t="s">
        <v>1334</v>
      </c>
      <c r="T3626" s="138" t="s">
        <v>1334</v>
      </c>
      <c r="U3626" s="139"/>
      <c r="V3626" s="25">
        <f>IFERROR(VLOOKUP(BCP_Soles[[#This Row],[destinatario]],CHOOSE({1,2},Clientes_Proveedores[Razon Social],Clientes_Proveedores[Ruc / Dni]),2,0),"")</f>
        <v>20558226979</v>
      </c>
      <c r="W3626" s="25"/>
      <c r="X3626" s="25"/>
      <c r="Y3626" s="25"/>
      <c r="Z3626" s="77"/>
      <c r="AA3626" s="137" t="str">
        <f>IF(BCP_Soles[[#This Row],[fecha]]&gt;0,TEXT(BCP_Soles[[#This Row],[fecha]],"mmmm"),0)</f>
        <v>Setiembre</v>
      </c>
    </row>
    <row r="3627" spans="1:27" ht="24" x14ac:dyDescent="0.3">
      <c r="A3627" s="2">
        <f>IF(BCP_Soles[[#This Row],[tipo_registro]]="R",COUNTIFS($C$1:$C3626,"R")+1,A3626)</f>
        <v>2404</v>
      </c>
      <c r="B3627" s="136" t="str">
        <f t="shared" si="291"/>
        <v>B-BCP - Soles</v>
      </c>
      <c r="C3627" s="135" t="s">
        <v>1330</v>
      </c>
      <c r="D3627" s="14">
        <v>45903</v>
      </c>
      <c r="E3627" s="5" t="s">
        <v>2409</v>
      </c>
      <c r="F3627" s="5" t="s">
        <v>1303</v>
      </c>
      <c r="G3627" s="6" t="s">
        <v>425</v>
      </c>
      <c r="H3627" s="6" t="s">
        <v>119</v>
      </c>
      <c r="I3627" s="6">
        <v>1</v>
      </c>
      <c r="J3627" s="6">
        <v>4721</v>
      </c>
      <c r="K3627" s="7" t="s">
        <v>1356</v>
      </c>
      <c r="L3627" s="8">
        <v>1889028</v>
      </c>
      <c r="M3627" s="8" t="str">
        <f t="shared" si="292"/>
        <v>PEN</v>
      </c>
      <c r="N3627" s="135"/>
      <c r="O3627" s="135">
        <v>500</v>
      </c>
      <c r="P3627" s="137">
        <f t="shared" si="293"/>
        <v>500</v>
      </c>
      <c r="Q3627" s="137">
        <f t="shared" si="294"/>
        <v>0</v>
      </c>
      <c r="R3627" s="137">
        <f t="shared" si="290"/>
        <v>9467.3499999999913</v>
      </c>
      <c r="S3627" s="138" t="s">
        <v>1334</v>
      </c>
      <c r="T3627" s="138" t="s">
        <v>1334</v>
      </c>
      <c r="U3627" s="139"/>
      <c r="V3627" s="25">
        <f>IFERROR(VLOOKUP(BCP_Soles[[#This Row],[destinatario]],CHOOSE({1,2},Clientes_Proveedores[Razon Social],Clientes_Proveedores[Ruc / Dni]),2,0),"")</f>
        <v>20558226979</v>
      </c>
      <c r="W3627" s="25"/>
      <c r="X3627" s="25"/>
      <c r="Y3627" s="25"/>
      <c r="Z3627" s="77"/>
      <c r="AA3627" s="137" t="str">
        <f>IF(BCP_Soles[[#This Row],[fecha]]&gt;0,TEXT(BCP_Soles[[#This Row],[fecha]],"mmmm"),0)</f>
        <v>Setiembre</v>
      </c>
    </row>
    <row r="3628" spans="1:27" ht="24" x14ac:dyDescent="0.3">
      <c r="A3628" s="2">
        <f>IF(BCP_Soles[[#This Row],[tipo_registro]]="R",COUNTIFS($C$1:$C3627,"R")+1,A3627)</f>
        <v>2405</v>
      </c>
      <c r="B3628" s="136" t="str">
        <f t="shared" si="291"/>
        <v>B-BCP - Soles</v>
      </c>
      <c r="C3628" s="135" t="s">
        <v>1330</v>
      </c>
      <c r="D3628" s="14">
        <v>45903</v>
      </c>
      <c r="E3628" s="5" t="s">
        <v>2374</v>
      </c>
      <c r="F3628" s="5" t="s">
        <v>1303</v>
      </c>
      <c r="G3628" s="6" t="s">
        <v>425</v>
      </c>
      <c r="H3628" s="6" t="s">
        <v>119</v>
      </c>
      <c r="I3628" s="6">
        <v>1</v>
      </c>
      <c r="J3628" s="6">
        <v>4720</v>
      </c>
      <c r="K3628" s="7" t="s">
        <v>4393</v>
      </c>
      <c r="L3628" s="8">
        <v>33611</v>
      </c>
      <c r="M3628" s="8" t="str">
        <f t="shared" si="292"/>
        <v>PEN</v>
      </c>
      <c r="N3628" s="135"/>
      <c r="O3628" s="135">
        <v>500</v>
      </c>
      <c r="P3628" s="137">
        <f t="shared" si="293"/>
        <v>500</v>
      </c>
      <c r="Q3628" s="137">
        <f t="shared" si="294"/>
        <v>0</v>
      </c>
      <c r="R3628" s="137">
        <f t="shared" si="290"/>
        <v>9967.3499999999913</v>
      </c>
      <c r="S3628" s="138" t="s">
        <v>1334</v>
      </c>
      <c r="T3628" s="138" t="s">
        <v>1334</v>
      </c>
      <c r="U3628" s="139"/>
      <c r="V3628" s="25">
        <f>IFERROR(VLOOKUP(BCP_Soles[[#This Row],[destinatario]],CHOOSE({1,2},Clientes_Proveedores[Razon Social],Clientes_Proveedores[Ruc / Dni]),2,0),"")</f>
        <v>20558226979</v>
      </c>
      <c r="W3628" s="25"/>
      <c r="X3628" s="25"/>
      <c r="Y3628" s="25"/>
      <c r="Z3628" s="77"/>
      <c r="AA3628" s="137" t="str">
        <f>IF(BCP_Soles[[#This Row],[fecha]]&gt;0,TEXT(BCP_Soles[[#This Row],[fecha]],"mmmm"),0)</f>
        <v>Setiembre</v>
      </c>
    </row>
    <row r="3629" spans="1:27" ht="24" x14ac:dyDescent="0.3">
      <c r="A3629" s="2">
        <f>IF(BCP_Soles[[#This Row],[tipo_registro]]="R",COUNTIFS($C$1:$C3628,"R")+1,A3628)</f>
        <v>2406</v>
      </c>
      <c r="B3629" s="136" t="str">
        <f t="shared" si="291"/>
        <v>B-BCP - Soles</v>
      </c>
      <c r="C3629" s="135" t="s">
        <v>1330</v>
      </c>
      <c r="D3629" s="14">
        <v>45903</v>
      </c>
      <c r="E3629" s="5" t="s">
        <v>2374</v>
      </c>
      <c r="F3629" s="5" t="s">
        <v>1303</v>
      </c>
      <c r="G3629" s="6" t="s">
        <v>425</v>
      </c>
      <c r="H3629" s="6" t="s">
        <v>119</v>
      </c>
      <c r="I3629" s="6">
        <v>1</v>
      </c>
      <c r="J3629" s="6">
        <v>4720</v>
      </c>
      <c r="K3629" s="7" t="s">
        <v>4393</v>
      </c>
      <c r="L3629" s="8">
        <v>33589</v>
      </c>
      <c r="M3629" s="8" t="str">
        <f t="shared" si="292"/>
        <v>PEN</v>
      </c>
      <c r="N3629" s="135"/>
      <c r="O3629" s="135">
        <v>800</v>
      </c>
      <c r="P3629" s="137">
        <f t="shared" si="293"/>
        <v>800</v>
      </c>
      <c r="Q3629" s="137">
        <f t="shared" si="294"/>
        <v>0</v>
      </c>
      <c r="R3629" s="137">
        <f t="shared" si="290"/>
        <v>10767.349999999991</v>
      </c>
      <c r="S3629" s="138" t="s">
        <v>1334</v>
      </c>
      <c r="T3629" s="138" t="s">
        <v>1334</v>
      </c>
      <c r="U3629" s="139"/>
      <c r="V3629" s="25">
        <f>IFERROR(VLOOKUP(BCP_Soles[[#This Row],[destinatario]],CHOOSE({1,2},Clientes_Proveedores[Razon Social],Clientes_Proveedores[Ruc / Dni]),2,0),"")</f>
        <v>20558226979</v>
      </c>
      <c r="W3629" s="25"/>
      <c r="X3629" s="25"/>
      <c r="Y3629" s="25"/>
      <c r="Z3629" s="77"/>
      <c r="AA3629" s="137" t="str">
        <f>IF(BCP_Soles[[#This Row],[fecha]]&gt;0,TEXT(BCP_Soles[[#This Row],[fecha]],"mmmm"),0)</f>
        <v>Setiembre</v>
      </c>
    </row>
    <row r="3630" spans="1:27" ht="24" x14ac:dyDescent="0.3">
      <c r="A3630" s="2">
        <f>IF(BCP_Soles[[#This Row],[tipo_registro]]="R",COUNTIFS($C$1:$C3629,"R")+1,A3629)</f>
        <v>2407</v>
      </c>
      <c r="B3630" s="136" t="str">
        <f t="shared" si="291"/>
        <v>B-BCP - Soles</v>
      </c>
      <c r="C3630" s="135" t="s">
        <v>1330</v>
      </c>
      <c r="D3630" s="14">
        <v>45903</v>
      </c>
      <c r="E3630" s="5" t="s">
        <v>2374</v>
      </c>
      <c r="F3630" s="5" t="s">
        <v>1303</v>
      </c>
      <c r="G3630" s="6" t="s">
        <v>425</v>
      </c>
      <c r="H3630" s="6" t="s">
        <v>119</v>
      </c>
      <c r="I3630" s="6">
        <v>1</v>
      </c>
      <c r="J3630" s="6">
        <v>4720</v>
      </c>
      <c r="K3630" s="7" t="s">
        <v>4393</v>
      </c>
      <c r="L3630" s="8">
        <v>33594</v>
      </c>
      <c r="M3630" s="8" t="str">
        <f t="shared" si="292"/>
        <v>PEN</v>
      </c>
      <c r="N3630" s="135"/>
      <c r="O3630" s="135">
        <v>200</v>
      </c>
      <c r="P3630" s="137">
        <f t="shared" si="293"/>
        <v>200</v>
      </c>
      <c r="Q3630" s="137">
        <f t="shared" si="294"/>
        <v>0</v>
      </c>
      <c r="R3630" s="137">
        <f t="shared" si="290"/>
        <v>10967.349999999991</v>
      </c>
      <c r="S3630" s="138" t="s">
        <v>1334</v>
      </c>
      <c r="T3630" s="138" t="s">
        <v>1334</v>
      </c>
      <c r="U3630" s="139"/>
      <c r="V3630" s="25">
        <f>IFERROR(VLOOKUP(BCP_Soles[[#This Row],[destinatario]],CHOOSE({1,2},Clientes_Proveedores[Razon Social],Clientes_Proveedores[Ruc / Dni]),2,0),"")</f>
        <v>20558226979</v>
      </c>
      <c r="W3630" s="25"/>
      <c r="X3630" s="25"/>
      <c r="Y3630" s="25"/>
      <c r="Z3630" s="77"/>
      <c r="AA3630" s="137" t="str">
        <f>IF(BCP_Soles[[#This Row],[fecha]]&gt;0,TEXT(BCP_Soles[[#This Row],[fecha]],"mmmm"),0)</f>
        <v>Setiembre</v>
      </c>
    </row>
    <row r="3631" spans="1:27" ht="24" x14ac:dyDescent="0.3">
      <c r="A3631" s="2">
        <f>IF(BCP_Soles[[#This Row],[tipo_registro]]="R",COUNTIFS($C$1:$C3630,"R")+1,A3630)</f>
        <v>2408</v>
      </c>
      <c r="B3631" s="136" t="str">
        <f t="shared" si="291"/>
        <v>B-BCP - Soles</v>
      </c>
      <c r="C3631" s="135" t="s">
        <v>1330</v>
      </c>
      <c r="D3631" s="14">
        <v>45903</v>
      </c>
      <c r="E3631" s="5" t="s">
        <v>1617</v>
      </c>
      <c r="F3631" s="5" t="s">
        <v>1303</v>
      </c>
      <c r="G3631" s="6" t="s">
        <v>425</v>
      </c>
      <c r="H3631" s="6" t="s">
        <v>119</v>
      </c>
      <c r="I3631" s="6">
        <v>1</v>
      </c>
      <c r="J3631" s="6">
        <v>4709</v>
      </c>
      <c r="K3631" s="7" t="s">
        <v>1356</v>
      </c>
      <c r="L3631" s="8">
        <v>1891243</v>
      </c>
      <c r="M3631" s="8" t="str">
        <f t="shared" si="292"/>
        <v>PEN</v>
      </c>
      <c r="N3631" s="135"/>
      <c r="O3631" s="135">
        <v>1000</v>
      </c>
      <c r="P3631" s="137">
        <f t="shared" si="293"/>
        <v>1000</v>
      </c>
      <c r="Q3631" s="137">
        <f t="shared" si="294"/>
        <v>0</v>
      </c>
      <c r="R3631" s="137">
        <f t="shared" si="290"/>
        <v>11967.349999999991</v>
      </c>
      <c r="S3631" s="138" t="s">
        <v>1334</v>
      </c>
      <c r="T3631" s="138" t="s">
        <v>1334</v>
      </c>
      <c r="U3631" s="139"/>
      <c r="V3631" s="25">
        <f>IFERROR(VLOOKUP(BCP_Soles[[#This Row],[destinatario]],CHOOSE({1,2},Clientes_Proveedores[Razon Social],Clientes_Proveedores[Ruc / Dni]),2,0),"")</f>
        <v>20558226979</v>
      </c>
      <c r="W3631" s="25"/>
      <c r="X3631" s="25"/>
      <c r="Y3631" s="25"/>
      <c r="Z3631" s="77"/>
      <c r="AA3631" s="137" t="str">
        <f>IF(BCP_Soles[[#This Row],[fecha]]&gt;0,TEXT(BCP_Soles[[#This Row],[fecha]],"mmmm"),0)</f>
        <v>Setiembre</v>
      </c>
    </row>
    <row r="3632" spans="1:27" ht="36" x14ac:dyDescent="0.3">
      <c r="A3632" s="2">
        <f>IF(BCP_Soles[[#This Row],[tipo_registro]]="R",COUNTIFS($C$1:$C3631,"R")+1,A3631)</f>
        <v>2409</v>
      </c>
      <c r="B3632" s="136" t="str">
        <f t="shared" si="291"/>
        <v>B-BCP - Soles</v>
      </c>
      <c r="C3632" s="135" t="s">
        <v>1330</v>
      </c>
      <c r="D3632" s="14">
        <v>45903</v>
      </c>
      <c r="E3632" s="5" t="s">
        <v>1628</v>
      </c>
      <c r="F3632" s="5" t="s">
        <v>1303</v>
      </c>
      <c r="G3632" s="6" t="s">
        <v>425</v>
      </c>
      <c r="H3632" s="6" t="s">
        <v>119</v>
      </c>
      <c r="I3632" s="6">
        <v>2</v>
      </c>
      <c r="J3632" s="6">
        <v>835</v>
      </c>
      <c r="K3632" s="7" t="s">
        <v>1356</v>
      </c>
      <c r="L3632" s="8">
        <v>3304556</v>
      </c>
      <c r="M3632" s="8" t="str">
        <f t="shared" si="292"/>
        <v>PEN</v>
      </c>
      <c r="N3632" s="135"/>
      <c r="O3632" s="135">
        <v>6600</v>
      </c>
      <c r="P3632" s="137">
        <f t="shared" si="293"/>
        <v>6600</v>
      </c>
      <c r="Q3632" s="137">
        <f t="shared" si="294"/>
        <v>0</v>
      </c>
      <c r="R3632" s="137">
        <f t="shared" si="290"/>
        <v>18567.349999999991</v>
      </c>
      <c r="S3632" s="138" t="s">
        <v>1334</v>
      </c>
      <c r="T3632" s="138" t="s">
        <v>1334</v>
      </c>
      <c r="U3632" s="139"/>
      <c r="V3632" s="25">
        <f>IFERROR(VLOOKUP(BCP_Soles[[#This Row],[destinatario]],CHOOSE({1,2},Clientes_Proveedores[Razon Social],Clientes_Proveedores[Ruc / Dni]),2,0),"")</f>
        <v>20558226979</v>
      </c>
      <c r="W3632" s="25"/>
      <c r="X3632" s="25"/>
      <c r="Y3632" s="25"/>
      <c r="Z3632" s="77"/>
      <c r="AA3632" s="137" t="str">
        <f>IF(BCP_Soles[[#This Row],[fecha]]&gt;0,TEXT(BCP_Soles[[#This Row],[fecha]],"mmmm"),0)</f>
        <v>Setiembre</v>
      </c>
    </row>
    <row r="3633" spans="1:27" x14ac:dyDescent="0.3">
      <c r="A3633" s="2">
        <f>IF(BCP_Soles[[#This Row],[tipo_registro]]="R",COUNTIFS($C$1:$C3632,"R")+1,A3632)</f>
        <v>2410</v>
      </c>
      <c r="B3633" s="136" t="str">
        <f t="shared" si="291"/>
        <v>B-BCP - Soles</v>
      </c>
      <c r="C3633" s="135" t="s">
        <v>1330</v>
      </c>
      <c r="D3633" s="14">
        <v>45903</v>
      </c>
      <c r="E3633" s="5"/>
      <c r="F3633" s="5" t="s">
        <v>1303</v>
      </c>
      <c r="G3633" s="6" t="s">
        <v>425</v>
      </c>
      <c r="H3633" s="6"/>
      <c r="I3633" s="6"/>
      <c r="J3633" s="6"/>
      <c r="K3633" s="7" t="s">
        <v>4103</v>
      </c>
      <c r="L3633" s="8">
        <v>571956</v>
      </c>
      <c r="M3633" s="8" t="str">
        <f t="shared" si="292"/>
        <v>PEN</v>
      </c>
      <c r="N3633" s="135"/>
      <c r="O3633" s="135">
        <v>26139.34</v>
      </c>
      <c r="P3633" s="137">
        <f t="shared" si="293"/>
        <v>26139.34</v>
      </c>
      <c r="Q3633" s="137">
        <f t="shared" si="294"/>
        <v>0</v>
      </c>
      <c r="R3633" s="137">
        <f t="shared" si="290"/>
        <v>44706.689999999988</v>
      </c>
      <c r="S3633" s="138" t="s">
        <v>1334</v>
      </c>
      <c r="T3633" s="138" t="s">
        <v>1334</v>
      </c>
      <c r="U3633" s="139"/>
      <c r="V3633" s="25">
        <f>IFERROR(VLOOKUP(BCP_Soles[[#This Row],[destinatario]],CHOOSE({1,2},Clientes_Proveedores[Razon Social],Clientes_Proveedores[Ruc / Dni]),2,0),"")</f>
        <v>20558226979</v>
      </c>
      <c r="W3633" s="25"/>
      <c r="X3633" s="25"/>
      <c r="Y3633" s="25"/>
      <c r="Z3633" s="77"/>
      <c r="AA3633" s="137" t="str">
        <f>IF(BCP_Soles[[#This Row],[fecha]]&gt;0,TEXT(BCP_Soles[[#This Row],[fecha]],"mmmm"),0)</f>
        <v>Setiembre</v>
      </c>
    </row>
    <row r="3634" spans="1:27" x14ac:dyDescent="0.3">
      <c r="A3634" s="2">
        <f>IF(BCP_Soles[[#This Row],[tipo_registro]]="R",COUNTIFS($C$1:$C3633,"R")+1,A3633)</f>
        <v>2410</v>
      </c>
      <c r="B3634" s="136" t="str">
        <f t="shared" si="291"/>
        <v>B-BCP - Soles</v>
      </c>
      <c r="C3634" s="135" t="s">
        <v>1352</v>
      </c>
      <c r="D3634" s="14">
        <v>45903</v>
      </c>
      <c r="E3634" s="5" t="s">
        <v>346</v>
      </c>
      <c r="F3634" s="5"/>
      <c r="G3634" s="6"/>
      <c r="H3634" s="6" t="s">
        <v>68</v>
      </c>
      <c r="I3634" s="6" t="s">
        <v>1784</v>
      </c>
      <c r="J3634" s="6">
        <v>197</v>
      </c>
      <c r="K3634" s="7" t="s">
        <v>4103</v>
      </c>
      <c r="L3634" s="8">
        <v>571956</v>
      </c>
      <c r="M3634" s="8" t="str">
        <f t="shared" si="292"/>
        <v>PEN</v>
      </c>
      <c r="N3634" s="135">
        <v>16254.11</v>
      </c>
      <c r="O3634" s="135"/>
      <c r="P3634" s="137">
        <f t="shared" si="293"/>
        <v>0</v>
      </c>
      <c r="Q3634" s="137">
        <f t="shared" si="294"/>
        <v>0</v>
      </c>
      <c r="R3634" s="137">
        <f t="shared" si="290"/>
        <v>44706.689999999988</v>
      </c>
      <c r="S3634" s="138" t="s">
        <v>1334</v>
      </c>
      <c r="T3634" s="138" t="s">
        <v>1334</v>
      </c>
      <c r="U3634" s="139"/>
      <c r="V3634" s="25" t="str">
        <f>IFERROR(VLOOKUP(BCP_Soles[[#This Row],[destinatario]],CHOOSE({1,2},Clientes_Proveedores[Razon Social],Clientes_Proveedores[Ruc / Dni]),2,0),"")</f>
        <v/>
      </c>
      <c r="W3634" s="25"/>
      <c r="X3634" s="25"/>
      <c r="Y3634" s="25"/>
      <c r="Z3634" s="77"/>
      <c r="AA3634" s="137" t="str">
        <f>IF(BCP_Soles[[#This Row],[fecha]]&gt;0,TEXT(BCP_Soles[[#This Row],[fecha]],"mmmm"),0)</f>
        <v>Setiembre</v>
      </c>
    </row>
    <row r="3635" spans="1:27" x14ac:dyDescent="0.3">
      <c r="A3635" s="2">
        <f>IF(BCP_Soles[[#This Row],[tipo_registro]]="R",COUNTIFS($C$1:$C3634,"R")+1,A3634)</f>
        <v>2410</v>
      </c>
      <c r="B3635" s="136" t="str">
        <f t="shared" si="291"/>
        <v>B-BCP - Soles</v>
      </c>
      <c r="C3635" s="135" t="s">
        <v>1352</v>
      </c>
      <c r="D3635" s="14">
        <v>45903</v>
      </c>
      <c r="E3635" s="5" t="s">
        <v>346</v>
      </c>
      <c r="F3635" s="5"/>
      <c r="G3635" s="6"/>
      <c r="H3635" s="6" t="s">
        <v>68</v>
      </c>
      <c r="I3635" s="6" t="s">
        <v>1784</v>
      </c>
      <c r="J3635" s="6">
        <v>198</v>
      </c>
      <c r="K3635" s="7" t="s">
        <v>4103</v>
      </c>
      <c r="L3635" s="8">
        <v>571956</v>
      </c>
      <c r="M3635" s="8" t="str">
        <f t="shared" si="292"/>
        <v>PEN</v>
      </c>
      <c r="N3635" s="135">
        <v>6385.98</v>
      </c>
      <c r="O3635" s="135"/>
      <c r="P3635" s="137">
        <f t="shared" si="293"/>
        <v>0</v>
      </c>
      <c r="Q3635" s="137">
        <f t="shared" si="294"/>
        <v>0</v>
      </c>
      <c r="R3635" s="137">
        <f t="shared" si="290"/>
        <v>44706.689999999988</v>
      </c>
      <c r="S3635" s="138" t="s">
        <v>1334</v>
      </c>
      <c r="T3635" s="138" t="s">
        <v>1334</v>
      </c>
      <c r="U3635" s="139"/>
      <c r="V3635" s="25" t="str">
        <f>IFERROR(VLOOKUP(BCP_Soles[[#This Row],[destinatario]],CHOOSE({1,2},Clientes_Proveedores[Razon Social],Clientes_Proveedores[Ruc / Dni]),2,0),"")</f>
        <v/>
      </c>
      <c r="W3635" s="25"/>
      <c r="X3635" s="25"/>
      <c r="Y3635" s="25"/>
      <c r="Z3635" s="77"/>
      <c r="AA3635" s="137" t="str">
        <f>IF(BCP_Soles[[#This Row],[fecha]]&gt;0,TEXT(BCP_Soles[[#This Row],[fecha]],"mmmm"),0)</f>
        <v>Setiembre</v>
      </c>
    </row>
    <row r="3636" spans="1:27" x14ac:dyDescent="0.3">
      <c r="A3636" s="2">
        <f>IF(BCP_Soles[[#This Row],[tipo_registro]]="R",COUNTIFS($C$1:$C3635,"R")+1,A3635)</f>
        <v>2410</v>
      </c>
      <c r="B3636" s="136" t="str">
        <f t="shared" si="291"/>
        <v>B-BCP - Soles</v>
      </c>
      <c r="C3636" s="135" t="s">
        <v>1352</v>
      </c>
      <c r="D3636" s="14">
        <v>45903</v>
      </c>
      <c r="E3636" s="5" t="s">
        <v>346</v>
      </c>
      <c r="F3636" s="5"/>
      <c r="G3636" s="6"/>
      <c r="H3636" s="6" t="s">
        <v>68</v>
      </c>
      <c r="I3636" s="6" t="s">
        <v>1784</v>
      </c>
      <c r="J3636" s="6">
        <v>199</v>
      </c>
      <c r="K3636" s="7" t="s">
        <v>4103</v>
      </c>
      <c r="L3636" s="8">
        <v>571956</v>
      </c>
      <c r="M3636" s="8" t="str">
        <f t="shared" si="292"/>
        <v>PEN</v>
      </c>
      <c r="N3636" s="135">
        <v>3499.25</v>
      </c>
      <c r="O3636" s="135"/>
      <c r="P3636" s="137">
        <f t="shared" si="293"/>
        <v>0</v>
      </c>
      <c r="Q3636" s="137">
        <f t="shared" si="294"/>
        <v>0</v>
      </c>
      <c r="R3636" s="137">
        <f t="shared" si="290"/>
        <v>44706.689999999988</v>
      </c>
      <c r="S3636" s="138" t="s">
        <v>1334</v>
      </c>
      <c r="T3636" s="138" t="s">
        <v>1334</v>
      </c>
      <c r="U3636" s="139"/>
      <c r="V3636" s="25" t="str">
        <f>IFERROR(VLOOKUP(BCP_Soles[[#This Row],[destinatario]],CHOOSE({1,2},Clientes_Proveedores[Razon Social],Clientes_Proveedores[Ruc / Dni]),2,0),"")</f>
        <v/>
      </c>
      <c r="W3636" s="25"/>
      <c r="X3636" s="25"/>
      <c r="Y3636" s="25"/>
      <c r="Z3636" s="77"/>
      <c r="AA3636" s="137" t="str">
        <f>IF(BCP_Soles[[#This Row],[fecha]]&gt;0,TEXT(BCP_Soles[[#This Row],[fecha]],"mmmm"),0)</f>
        <v>Setiembre</v>
      </c>
    </row>
    <row r="3637" spans="1:27" x14ac:dyDescent="0.3">
      <c r="A3637" s="2">
        <f>IF(BCP_Soles[[#This Row],[tipo_registro]]="R",COUNTIFS($C$1:$C3636,"R")+1,A3636)</f>
        <v>2411</v>
      </c>
      <c r="B3637" s="136" t="str">
        <f t="shared" si="291"/>
        <v>B-BCP - Soles</v>
      </c>
      <c r="C3637" s="135" t="s">
        <v>1330</v>
      </c>
      <c r="D3637" s="14">
        <v>45903</v>
      </c>
      <c r="E3637" s="5" t="s">
        <v>346</v>
      </c>
      <c r="F3637" s="5" t="s">
        <v>1303</v>
      </c>
      <c r="G3637" s="6" t="s">
        <v>425</v>
      </c>
      <c r="H3637" s="6" t="s">
        <v>68</v>
      </c>
      <c r="I3637" s="6" t="s">
        <v>1784</v>
      </c>
      <c r="J3637" s="6">
        <v>200</v>
      </c>
      <c r="K3637" s="7" t="s">
        <v>4394</v>
      </c>
      <c r="L3637" s="8">
        <v>571872</v>
      </c>
      <c r="M3637" s="8" t="str">
        <f t="shared" si="292"/>
        <v>PEN</v>
      </c>
      <c r="N3637" s="135"/>
      <c r="O3637" s="135">
        <v>7674.2</v>
      </c>
      <c r="P3637" s="137">
        <f t="shared" si="293"/>
        <v>7674.2</v>
      </c>
      <c r="Q3637" s="137">
        <f t="shared" si="294"/>
        <v>0</v>
      </c>
      <c r="R3637" s="137">
        <f t="shared" si="290"/>
        <v>52380.889999999985</v>
      </c>
      <c r="S3637" s="138" t="s">
        <v>1334</v>
      </c>
      <c r="T3637" s="138" t="s">
        <v>1334</v>
      </c>
      <c r="U3637" s="139"/>
      <c r="V3637" s="25">
        <f>IFERROR(VLOOKUP(BCP_Soles[[#This Row],[destinatario]],CHOOSE({1,2},Clientes_Proveedores[Razon Social],Clientes_Proveedores[Ruc / Dni]),2,0),"")</f>
        <v>20558226979</v>
      </c>
      <c r="W3637" s="25"/>
      <c r="X3637" s="25"/>
      <c r="Y3637" s="25"/>
      <c r="Z3637" s="77"/>
      <c r="AA3637" s="137" t="str">
        <f>IF(BCP_Soles[[#This Row],[fecha]]&gt;0,TEXT(BCP_Soles[[#This Row],[fecha]],"mmmm"),0)</f>
        <v>Setiembre</v>
      </c>
    </row>
    <row r="3638" spans="1:27" x14ac:dyDescent="0.3">
      <c r="A3638" s="2">
        <f>IF(BCP_Soles[[#This Row],[tipo_registro]]="R",COUNTIFS($C$1:$C3637,"R")+1,A3637)</f>
        <v>2412</v>
      </c>
      <c r="B3638" s="136" t="str">
        <f t="shared" si="291"/>
        <v>B-BCP - Soles</v>
      </c>
      <c r="C3638" s="135" t="s">
        <v>1330</v>
      </c>
      <c r="D3638" s="14">
        <v>45903</v>
      </c>
      <c r="E3638" s="5"/>
      <c r="F3638" s="5" t="s">
        <v>1303</v>
      </c>
      <c r="G3638" s="6" t="s">
        <v>425</v>
      </c>
      <c r="H3638" s="6"/>
      <c r="I3638" s="6"/>
      <c r="J3638" s="6"/>
      <c r="K3638" s="7" t="s">
        <v>4395</v>
      </c>
      <c r="L3638" s="8">
        <v>2236026</v>
      </c>
      <c r="M3638" s="8" t="str">
        <f t="shared" si="292"/>
        <v>PEN</v>
      </c>
      <c r="N3638" s="135"/>
      <c r="O3638" s="135">
        <v>1263.8</v>
      </c>
      <c r="P3638" s="137">
        <f t="shared" si="293"/>
        <v>1263.8</v>
      </c>
      <c r="Q3638" s="137">
        <f t="shared" si="294"/>
        <v>0</v>
      </c>
      <c r="R3638" s="137">
        <f t="shared" si="290"/>
        <v>53644.689999999988</v>
      </c>
      <c r="S3638" s="138" t="s">
        <v>1334</v>
      </c>
      <c r="T3638" s="138" t="s">
        <v>1334</v>
      </c>
      <c r="U3638" s="139"/>
      <c r="V3638" s="25">
        <f>IFERROR(VLOOKUP(BCP_Soles[[#This Row],[destinatario]],CHOOSE({1,2},Clientes_Proveedores[Razon Social],Clientes_Proveedores[Ruc / Dni]),2,0),"")</f>
        <v>20558226979</v>
      </c>
      <c r="W3638" s="25"/>
      <c r="X3638" s="25"/>
      <c r="Y3638" s="25"/>
      <c r="Z3638" s="77"/>
      <c r="AA3638" s="137" t="str">
        <f>IF(BCP_Soles[[#This Row],[fecha]]&gt;0,TEXT(BCP_Soles[[#This Row],[fecha]],"mmmm"),0)</f>
        <v>Setiembre</v>
      </c>
    </row>
    <row r="3639" spans="1:27" ht="24" x14ac:dyDescent="0.3">
      <c r="A3639" s="2">
        <f>IF(BCP_Soles[[#This Row],[tipo_registro]]="R",COUNTIFS($C$1:$C3638,"R")+1,A3638)</f>
        <v>2412</v>
      </c>
      <c r="B3639" s="136" t="str">
        <f t="shared" si="291"/>
        <v>B-BCP - Soles</v>
      </c>
      <c r="C3639" s="135" t="s">
        <v>1352</v>
      </c>
      <c r="D3639" s="14">
        <v>45903</v>
      </c>
      <c r="E3639" s="5" t="s">
        <v>274</v>
      </c>
      <c r="F3639" s="5"/>
      <c r="G3639" s="6"/>
      <c r="H3639" s="6" t="s">
        <v>68</v>
      </c>
      <c r="I3639" s="6" t="s">
        <v>3302</v>
      </c>
      <c r="J3639" s="6">
        <v>110</v>
      </c>
      <c r="K3639" s="7" t="s">
        <v>4395</v>
      </c>
      <c r="L3639" s="8">
        <v>2236026</v>
      </c>
      <c r="M3639" s="8" t="str">
        <f t="shared" si="292"/>
        <v>PEN</v>
      </c>
      <c r="N3639" s="135">
        <v>903</v>
      </c>
      <c r="O3639" s="135"/>
      <c r="P3639" s="137">
        <f t="shared" si="293"/>
        <v>0</v>
      </c>
      <c r="Q3639" s="137">
        <f t="shared" si="294"/>
        <v>0</v>
      </c>
      <c r="R3639" s="137">
        <f t="shared" si="290"/>
        <v>53644.689999999988</v>
      </c>
      <c r="S3639" s="138" t="s">
        <v>1334</v>
      </c>
      <c r="T3639" s="138" t="s">
        <v>1334</v>
      </c>
      <c r="U3639" s="139"/>
      <c r="V3639" s="25" t="str">
        <f>IFERROR(VLOOKUP(BCP_Soles[[#This Row],[destinatario]],CHOOSE({1,2},Clientes_Proveedores[Razon Social],Clientes_Proveedores[Ruc / Dni]),2,0),"")</f>
        <v/>
      </c>
      <c r="W3639" s="25"/>
      <c r="X3639" s="25"/>
      <c r="Y3639" s="25"/>
      <c r="Z3639" s="77"/>
      <c r="AA3639" s="137" t="str">
        <f>IF(BCP_Soles[[#This Row],[fecha]]&gt;0,TEXT(BCP_Soles[[#This Row],[fecha]],"mmmm"),0)</f>
        <v>Setiembre</v>
      </c>
    </row>
    <row r="3640" spans="1:27" ht="24" x14ac:dyDescent="0.3">
      <c r="A3640" s="2">
        <f>IF(BCP_Soles[[#This Row],[tipo_registro]]="R",COUNTIFS($C$1:$C3639,"R")+1,A3639)</f>
        <v>2412</v>
      </c>
      <c r="B3640" s="136" t="str">
        <f t="shared" si="291"/>
        <v>B-BCP - Soles</v>
      </c>
      <c r="C3640" s="135" t="s">
        <v>1352</v>
      </c>
      <c r="D3640" s="14">
        <v>45903</v>
      </c>
      <c r="E3640" s="5" t="s">
        <v>274</v>
      </c>
      <c r="F3640" s="5"/>
      <c r="G3640" s="6"/>
      <c r="H3640" s="6" t="s">
        <v>68</v>
      </c>
      <c r="I3640" s="6" t="s">
        <v>3302</v>
      </c>
      <c r="J3640" s="6">
        <v>117</v>
      </c>
      <c r="K3640" s="7" t="s">
        <v>4395</v>
      </c>
      <c r="L3640" s="8">
        <v>2236026</v>
      </c>
      <c r="M3640" s="8" t="str">
        <f t="shared" si="292"/>
        <v>PEN</v>
      </c>
      <c r="N3640" s="135">
        <v>360.8</v>
      </c>
      <c r="O3640" s="135"/>
      <c r="P3640" s="137">
        <f t="shared" si="293"/>
        <v>0</v>
      </c>
      <c r="Q3640" s="137">
        <f t="shared" si="294"/>
        <v>0</v>
      </c>
      <c r="R3640" s="137">
        <f t="shared" si="290"/>
        <v>53644.689999999988</v>
      </c>
      <c r="S3640" s="138" t="s">
        <v>1334</v>
      </c>
      <c r="T3640" s="138" t="s">
        <v>1334</v>
      </c>
      <c r="U3640" s="139"/>
      <c r="V3640" s="25" t="str">
        <f>IFERROR(VLOOKUP(BCP_Soles[[#This Row],[destinatario]],CHOOSE({1,2},Clientes_Proveedores[Razon Social],Clientes_Proveedores[Ruc / Dni]),2,0),"")</f>
        <v/>
      </c>
      <c r="W3640" s="25"/>
      <c r="X3640" s="25"/>
      <c r="Y3640" s="25"/>
      <c r="Z3640" s="77"/>
      <c r="AA3640" s="137" t="str">
        <f>IF(BCP_Soles[[#This Row],[fecha]]&gt;0,TEXT(BCP_Soles[[#This Row],[fecha]],"mmmm"),0)</f>
        <v>Setiembre</v>
      </c>
    </row>
    <row r="3641" spans="1:27" x14ac:dyDescent="0.3">
      <c r="A3641" s="2">
        <f>IF(BCP_Soles[[#This Row],[tipo_registro]]="R",COUNTIFS($C$1:$C3640,"R")+1,A3640)</f>
        <v>2413</v>
      </c>
      <c r="B3641" s="19" t="str">
        <f t="shared" si="291"/>
        <v>B-BCP - Soles</v>
      </c>
      <c r="C3641" s="135" t="s">
        <v>1330</v>
      </c>
      <c r="D3641" s="14">
        <v>45903</v>
      </c>
      <c r="E3641" s="5" t="s">
        <v>1338</v>
      </c>
      <c r="F3641" s="5" t="s">
        <v>1336</v>
      </c>
      <c r="G3641" s="6" t="s">
        <v>696</v>
      </c>
      <c r="H3641" s="6"/>
      <c r="I3641" s="6"/>
      <c r="J3641" s="6"/>
      <c r="K3641" s="7" t="s">
        <v>4396</v>
      </c>
      <c r="L3641" s="8">
        <v>596113</v>
      </c>
      <c r="M3641" s="8" t="str">
        <f t="shared" si="292"/>
        <v>PEN</v>
      </c>
      <c r="N3641" s="13"/>
      <c r="O3641" s="13">
        <v>1723.15</v>
      </c>
      <c r="P3641" s="3">
        <f t="shared" si="293"/>
        <v>0</v>
      </c>
      <c r="Q3641" s="3">
        <f t="shared" si="294"/>
        <v>1723.15</v>
      </c>
      <c r="R3641" s="3">
        <f t="shared" si="290"/>
        <v>51921.539999999986</v>
      </c>
      <c r="S3641" s="24" t="s">
        <v>1334</v>
      </c>
      <c r="T3641" s="24" t="s">
        <v>1334</v>
      </c>
      <c r="U3641" s="56" t="s">
        <v>4397</v>
      </c>
      <c r="V3641" s="25">
        <f>IFERROR(VLOOKUP(BCP_Soles[[#This Row],[destinatario]],CHOOSE({1,2},Clientes_Proveedores[Razon Social],Clientes_Proveedores[Ruc / Dni]),2,0),"")</f>
        <v>0</v>
      </c>
      <c r="W3641" s="25"/>
      <c r="X3641" s="25"/>
      <c r="Y3641" s="25"/>
      <c r="Z3641" s="77"/>
      <c r="AA3641" s="3" t="str">
        <f>IF(BCP_Soles[[#This Row],[fecha]]&gt;0,TEXT(BCP_Soles[[#This Row],[fecha]],"mmmm"),0)</f>
        <v>Setiembre</v>
      </c>
    </row>
    <row r="3642" spans="1:27" ht="24" x14ac:dyDescent="0.3">
      <c r="A3642" s="2">
        <f>IF(BCP_Soles[[#This Row],[tipo_registro]]="R",COUNTIFS($C$1:$C3641,"R")+1,A3641)</f>
        <v>2413</v>
      </c>
      <c r="B3642" s="19" t="str">
        <f t="shared" si="291"/>
        <v>B-BCP - Soles</v>
      </c>
      <c r="C3642" s="135" t="s">
        <v>1352</v>
      </c>
      <c r="D3642" s="14">
        <v>45903</v>
      </c>
      <c r="E3642" s="5"/>
      <c r="F3642" s="5"/>
      <c r="G3642" s="6" t="s">
        <v>594</v>
      </c>
      <c r="H3642" s="6" t="s">
        <v>68</v>
      </c>
      <c r="I3642" s="6" t="s">
        <v>1376</v>
      </c>
      <c r="J3642" s="6">
        <v>2539</v>
      </c>
      <c r="K3642" s="7" t="s">
        <v>4396</v>
      </c>
      <c r="L3642" s="8">
        <v>596113</v>
      </c>
      <c r="M3642" s="8" t="str">
        <f t="shared" si="292"/>
        <v>PEN</v>
      </c>
      <c r="N3642" s="13">
        <v>106.2</v>
      </c>
      <c r="O3642" s="13"/>
      <c r="P3642" s="3">
        <f t="shared" si="293"/>
        <v>0</v>
      </c>
      <c r="Q3642" s="3">
        <f t="shared" si="294"/>
        <v>0</v>
      </c>
      <c r="R3642" s="3">
        <f t="shared" si="290"/>
        <v>51921.539999999986</v>
      </c>
      <c r="S3642" s="24" t="s">
        <v>1334</v>
      </c>
      <c r="T3642" s="24" t="s">
        <v>1334</v>
      </c>
      <c r="U3642" s="56" t="s">
        <v>4397</v>
      </c>
      <c r="V3642" s="25">
        <f>IFERROR(VLOOKUP(BCP_Soles[[#This Row],[destinatario]],CHOOSE({1,2},Clientes_Proveedores[Razon Social],Clientes_Proveedores[Ruc / Dni]),2,0),"")</f>
        <v>20609764261</v>
      </c>
      <c r="W3642" s="25"/>
      <c r="X3642" s="25"/>
      <c r="Y3642" s="25"/>
      <c r="Z3642" s="77"/>
      <c r="AA3642" s="3" t="str">
        <f>IF(BCP_Soles[[#This Row],[fecha]]&gt;0,TEXT(BCP_Soles[[#This Row],[fecha]],"mmmm"),0)</f>
        <v>Setiembre</v>
      </c>
    </row>
    <row r="3643" spans="1:27" ht="24" x14ac:dyDescent="0.3">
      <c r="A3643" s="2">
        <f>IF(BCP_Soles[[#This Row],[tipo_registro]]="R",COUNTIFS($C$1:$C3642,"R")+1,A3642)</f>
        <v>2413</v>
      </c>
      <c r="B3643" s="19" t="str">
        <f t="shared" si="291"/>
        <v>B-BCP - Soles</v>
      </c>
      <c r="C3643" s="135" t="s">
        <v>1352</v>
      </c>
      <c r="D3643" s="14">
        <v>45903</v>
      </c>
      <c r="E3643" s="5"/>
      <c r="F3643" s="5"/>
      <c r="G3643" s="6" t="s">
        <v>594</v>
      </c>
      <c r="H3643" s="6" t="s">
        <v>68</v>
      </c>
      <c r="I3643" s="6" t="s">
        <v>1376</v>
      </c>
      <c r="J3643" s="6">
        <v>2537</v>
      </c>
      <c r="K3643" s="7" t="s">
        <v>4396</v>
      </c>
      <c r="L3643" s="8">
        <v>596113</v>
      </c>
      <c r="M3643" s="8" t="str">
        <f t="shared" si="292"/>
        <v>PEN</v>
      </c>
      <c r="N3643" s="13">
        <v>70.8</v>
      </c>
      <c r="O3643" s="13"/>
      <c r="P3643" s="3">
        <f t="shared" si="293"/>
        <v>0</v>
      </c>
      <c r="Q3643" s="3">
        <f t="shared" si="294"/>
        <v>0</v>
      </c>
      <c r="R3643" s="3">
        <f t="shared" si="290"/>
        <v>51921.539999999986</v>
      </c>
      <c r="S3643" s="24" t="s">
        <v>1334</v>
      </c>
      <c r="T3643" s="24" t="s">
        <v>1334</v>
      </c>
      <c r="U3643" s="56" t="s">
        <v>4397</v>
      </c>
      <c r="V3643" s="25">
        <f>IFERROR(VLOOKUP(BCP_Soles[[#This Row],[destinatario]],CHOOSE({1,2},Clientes_Proveedores[Razon Social],Clientes_Proveedores[Ruc / Dni]),2,0),"")</f>
        <v>20609764261</v>
      </c>
      <c r="W3643" s="25"/>
      <c r="X3643" s="25"/>
      <c r="Y3643" s="25"/>
      <c r="Z3643" s="77"/>
      <c r="AA3643" s="3" t="str">
        <f>IF(BCP_Soles[[#This Row],[fecha]]&gt;0,TEXT(BCP_Soles[[#This Row],[fecha]],"mmmm"),0)</f>
        <v>Setiembre</v>
      </c>
    </row>
    <row r="3644" spans="1:27" ht="24" x14ac:dyDescent="0.3">
      <c r="A3644" s="2">
        <f>IF(BCP_Soles[[#This Row],[tipo_registro]]="R",COUNTIFS($C$1:$C3643,"R")+1,A3643)</f>
        <v>2413</v>
      </c>
      <c r="B3644" s="19" t="str">
        <f t="shared" si="291"/>
        <v>B-BCP - Soles</v>
      </c>
      <c r="C3644" s="135" t="s">
        <v>1352</v>
      </c>
      <c r="D3644" s="14">
        <v>45903</v>
      </c>
      <c r="E3644" s="5"/>
      <c r="F3644" s="5"/>
      <c r="G3644" s="6" t="s">
        <v>166</v>
      </c>
      <c r="H3644" s="6" t="s">
        <v>68</v>
      </c>
      <c r="I3644" s="6" t="s">
        <v>1376</v>
      </c>
      <c r="J3644" s="6">
        <v>5313</v>
      </c>
      <c r="K3644" s="7" t="s">
        <v>4396</v>
      </c>
      <c r="L3644" s="8">
        <v>596113</v>
      </c>
      <c r="M3644" s="8" t="str">
        <f t="shared" si="292"/>
        <v>PEN</v>
      </c>
      <c r="N3644" s="13">
        <v>59</v>
      </c>
      <c r="O3644" s="13"/>
      <c r="P3644" s="3">
        <f t="shared" si="293"/>
        <v>0</v>
      </c>
      <c r="Q3644" s="3">
        <f t="shared" si="294"/>
        <v>0</v>
      </c>
      <c r="R3644" s="3">
        <f t="shared" si="290"/>
        <v>51921.539999999986</v>
      </c>
      <c r="S3644" s="24" t="s">
        <v>1334</v>
      </c>
      <c r="T3644" s="24" t="s">
        <v>1334</v>
      </c>
      <c r="U3644" s="56" t="s">
        <v>4397</v>
      </c>
      <c r="V3644" s="25">
        <f>IFERROR(VLOOKUP(BCP_Soles[[#This Row],[destinatario]],CHOOSE({1,2},Clientes_Proveedores[Razon Social],Clientes_Proveedores[Ruc / Dni]),2,0),"")</f>
        <v>10425371652</v>
      </c>
      <c r="W3644" s="25"/>
      <c r="X3644" s="25"/>
      <c r="Y3644" s="25"/>
      <c r="Z3644" s="77"/>
      <c r="AA3644" s="3" t="str">
        <f>IF(BCP_Soles[[#This Row],[fecha]]&gt;0,TEXT(BCP_Soles[[#This Row],[fecha]],"mmmm"),0)</f>
        <v>Setiembre</v>
      </c>
    </row>
    <row r="3645" spans="1:27" x14ac:dyDescent="0.3">
      <c r="A3645" s="2">
        <f>IF(BCP_Soles[[#This Row],[tipo_registro]]="R",COUNTIFS($C$1:$C3644,"R")+1,A3644)</f>
        <v>2413</v>
      </c>
      <c r="B3645" s="19" t="str">
        <f t="shared" si="291"/>
        <v>B-BCP - Soles</v>
      </c>
      <c r="C3645" s="135" t="s">
        <v>1352</v>
      </c>
      <c r="D3645" s="14">
        <v>45903</v>
      </c>
      <c r="E3645" s="5"/>
      <c r="F3645" s="5"/>
      <c r="G3645" s="6" t="s">
        <v>522</v>
      </c>
      <c r="H3645" s="6" t="s">
        <v>68</v>
      </c>
      <c r="I3645" s="6" t="s">
        <v>1376</v>
      </c>
      <c r="J3645" s="6">
        <v>4153</v>
      </c>
      <c r="K3645" s="7" t="s">
        <v>4396</v>
      </c>
      <c r="L3645" s="8">
        <v>596113</v>
      </c>
      <c r="M3645" s="8" t="str">
        <f t="shared" si="292"/>
        <v>PEN</v>
      </c>
      <c r="N3645" s="13">
        <v>250.75</v>
      </c>
      <c r="O3645" s="13"/>
      <c r="P3645" s="3">
        <f t="shared" si="293"/>
        <v>0</v>
      </c>
      <c r="Q3645" s="3">
        <f t="shared" si="294"/>
        <v>0</v>
      </c>
      <c r="R3645" s="3">
        <f t="shared" si="290"/>
        <v>51921.539999999986</v>
      </c>
      <c r="S3645" s="24" t="s">
        <v>1334</v>
      </c>
      <c r="T3645" s="24" t="s">
        <v>1334</v>
      </c>
      <c r="U3645" s="56" t="s">
        <v>4397</v>
      </c>
      <c r="V3645" s="25">
        <f>IFERROR(VLOOKUP(BCP_Soles[[#This Row],[destinatario]],CHOOSE({1,2},Clientes_Proveedores[Razon Social],Clientes_Proveedores[Ruc / Dni]),2,0),"")</f>
        <v>20603974817</v>
      </c>
      <c r="W3645" s="25"/>
      <c r="X3645" s="25"/>
      <c r="Y3645" s="25"/>
      <c r="Z3645" s="77"/>
      <c r="AA3645" s="3" t="str">
        <f>IF(BCP_Soles[[#This Row],[fecha]]&gt;0,TEXT(BCP_Soles[[#This Row],[fecha]],"mmmm"),0)</f>
        <v>Setiembre</v>
      </c>
    </row>
    <row r="3646" spans="1:27" x14ac:dyDescent="0.3">
      <c r="A3646" s="2">
        <f>IF(BCP_Soles[[#This Row],[tipo_registro]]="R",COUNTIFS($C$1:$C3645,"R")+1,A3645)</f>
        <v>2413</v>
      </c>
      <c r="B3646" s="19" t="str">
        <f t="shared" si="291"/>
        <v>B-BCP - Soles</v>
      </c>
      <c r="C3646" s="135" t="s">
        <v>1352</v>
      </c>
      <c r="D3646" s="14">
        <v>45903</v>
      </c>
      <c r="E3646" s="5"/>
      <c r="F3646" s="5"/>
      <c r="G3646" s="6" t="s">
        <v>522</v>
      </c>
      <c r="H3646" s="6" t="s">
        <v>68</v>
      </c>
      <c r="I3646" s="6" t="s">
        <v>1376</v>
      </c>
      <c r="J3646" s="6">
        <v>4152</v>
      </c>
      <c r="K3646" s="7" t="s">
        <v>4396</v>
      </c>
      <c r="L3646" s="8">
        <v>596113</v>
      </c>
      <c r="M3646" s="8" t="str">
        <f t="shared" si="292"/>
        <v>PEN</v>
      </c>
      <c r="N3646" s="13">
        <v>351.05</v>
      </c>
      <c r="O3646" s="13"/>
      <c r="P3646" s="3">
        <f t="shared" si="293"/>
        <v>0</v>
      </c>
      <c r="Q3646" s="3">
        <f t="shared" si="294"/>
        <v>0</v>
      </c>
      <c r="R3646" s="3">
        <f t="shared" si="290"/>
        <v>51921.539999999986</v>
      </c>
      <c r="S3646" s="24" t="s">
        <v>1334</v>
      </c>
      <c r="T3646" s="24" t="s">
        <v>1334</v>
      </c>
      <c r="U3646" s="56" t="s">
        <v>4397</v>
      </c>
      <c r="V3646" s="25">
        <f>IFERROR(VLOOKUP(BCP_Soles[[#This Row],[destinatario]],CHOOSE({1,2},Clientes_Proveedores[Razon Social],Clientes_Proveedores[Ruc / Dni]),2,0),"")</f>
        <v>20603974817</v>
      </c>
      <c r="W3646" s="25"/>
      <c r="X3646" s="25"/>
      <c r="Y3646" s="25"/>
      <c r="Z3646" s="77"/>
      <c r="AA3646" s="3" t="str">
        <f>IF(BCP_Soles[[#This Row],[fecha]]&gt;0,TEXT(BCP_Soles[[#This Row],[fecha]],"mmmm"),0)</f>
        <v>Setiembre</v>
      </c>
    </row>
    <row r="3647" spans="1:27" ht="24" x14ac:dyDescent="0.3">
      <c r="A3647" s="2">
        <f>IF(BCP_Soles[[#This Row],[tipo_registro]]="R",COUNTIFS($C$1:$C3646,"R")+1,A3646)</f>
        <v>2413</v>
      </c>
      <c r="B3647" s="19" t="str">
        <f t="shared" si="291"/>
        <v>B-BCP - Soles</v>
      </c>
      <c r="C3647" s="135" t="s">
        <v>1352</v>
      </c>
      <c r="D3647" s="14">
        <v>45903</v>
      </c>
      <c r="E3647" s="5"/>
      <c r="F3647" s="5"/>
      <c r="G3647" s="6" t="s">
        <v>271</v>
      </c>
      <c r="H3647" s="6" t="s">
        <v>68</v>
      </c>
      <c r="I3647" s="6" t="s">
        <v>1375</v>
      </c>
      <c r="J3647" s="6">
        <v>6970</v>
      </c>
      <c r="K3647" s="7" t="s">
        <v>4396</v>
      </c>
      <c r="L3647" s="8">
        <v>596113</v>
      </c>
      <c r="M3647" s="8" t="str">
        <f t="shared" si="292"/>
        <v>PEN</v>
      </c>
      <c r="N3647" s="13">
        <v>53</v>
      </c>
      <c r="O3647" s="13"/>
      <c r="P3647" s="3">
        <f t="shared" si="293"/>
        <v>0</v>
      </c>
      <c r="Q3647" s="3">
        <f t="shared" si="294"/>
        <v>0</v>
      </c>
      <c r="R3647" s="3">
        <f t="shared" si="290"/>
        <v>51921.539999999986</v>
      </c>
      <c r="S3647" s="24" t="s">
        <v>1334</v>
      </c>
      <c r="T3647" s="24" t="s">
        <v>1334</v>
      </c>
      <c r="U3647" s="56" t="s">
        <v>4397</v>
      </c>
      <c r="V3647" s="25">
        <f>IFERROR(VLOOKUP(BCP_Soles[[#This Row],[destinatario]],CHOOSE({1,2},Clientes_Proveedores[Razon Social],Clientes_Proveedores[Ruc / Dni]),2,0),"")</f>
        <v>20419158462</v>
      </c>
      <c r="W3647" s="25"/>
      <c r="X3647" s="25"/>
      <c r="Y3647" s="25"/>
      <c r="Z3647" s="77"/>
      <c r="AA3647" s="3" t="str">
        <f>IF(BCP_Soles[[#This Row],[fecha]]&gt;0,TEXT(BCP_Soles[[#This Row],[fecha]],"mmmm"),0)</f>
        <v>Setiembre</v>
      </c>
    </row>
    <row r="3648" spans="1:27" ht="24" x14ac:dyDescent="0.3">
      <c r="A3648" s="2">
        <f>IF(BCP_Soles[[#This Row],[tipo_registro]]="R",COUNTIFS($C$1:$C3647,"R")+1,A3647)</f>
        <v>2413</v>
      </c>
      <c r="B3648" s="19" t="str">
        <f t="shared" si="291"/>
        <v>B-BCP - Soles</v>
      </c>
      <c r="C3648" s="135" t="s">
        <v>1352</v>
      </c>
      <c r="D3648" s="14">
        <v>45903</v>
      </c>
      <c r="E3648" s="5"/>
      <c r="F3648" s="5"/>
      <c r="G3648" s="6" t="s">
        <v>594</v>
      </c>
      <c r="H3648" s="6" t="s">
        <v>68</v>
      </c>
      <c r="I3648" s="6" t="s">
        <v>1376</v>
      </c>
      <c r="J3648" s="6">
        <v>2538</v>
      </c>
      <c r="K3648" s="7" t="s">
        <v>4396</v>
      </c>
      <c r="L3648" s="8">
        <v>596113</v>
      </c>
      <c r="M3648" s="8" t="str">
        <f t="shared" si="292"/>
        <v>PEN</v>
      </c>
      <c r="N3648" s="13">
        <v>70.8</v>
      </c>
      <c r="O3648" s="13"/>
      <c r="P3648" s="3">
        <f t="shared" si="293"/>
        <v>0</v>
      </c>
      <c r="Q3648" s="3">
        <f t="shared" si="294"/>
        <v>0</v>
      </c>
      <c r="R3648" s="3">
        <f t="shared" si="290"/>
        <v>51921.539999999986</v>
      </c>
      <c r="S3648" s="24" t="s">
        <v>1334</v>
      </c>
      <c r="T3648" s="24" t="s">
        <v>1334</v>
      </c>
      <c r="U3648" s="56" t="s">
        <v>4397</v>
      </c>
      <c r="V3648" s="25">
        <f>IFERROR(VLOOKUP(BCP_Soles[[#This Row],[destinatario]],CHOOSE({1,2},Clientes_Proveedores[Razon Social],Clientes_Proveedores[Ruc / Dni]),2,0),"")</f>
        <v>20609764261</v>
      </c>
      <c r="W3648" s="25"/>
      <c r="X3648" s="25"/>
      <c r="Y3648" s="25"/>
      <c r="Z3648" s="77"/>
      <c r="AA3648" s="3" t="str">
        <f>IF(BCP_Soles[[#This Row],[fecha]]&gt;0,TEXT(BCP_Soles[[#This Row],[fecha]],"mmmm"),0)</f>
        <v>Setiembre</v>
      </c>
    </row>
    <row r="3649" spans="1:27" ht="24" x14ac:dyDescent="0.3">
      <c r="A3649" s="2">
        <f>IF(BCP_Soles[[#This Row],[tipo_registro]]="R",COUNTIFS($C$1:$C3648,"R")+1,A3648)</f>
        <v>2413</v>
      </c>
      <c r="B3649" s="19" t="str">
        <f t="shared" si="291"/>
        <v>B-BCP - Soles</v>
      </c>
      <c r="C3649" s="135" t="s">
        <v>1352</v>
      </c>
      <c r="D3649" s="14">
        <v>45903</v>
      </c>
      <c r="E3649" s="5"/>
      <c r="F3649" s="5"/>
      <c r="G3649" s="6" t="s">
        <v>271</v>
      </c>
      <c r="H3649" s="6" t="s">
        <v>68</v>
      </c>
      <c r="I3649" s="6" t="s">
        <v>1375</v>
      </c>
      <c r="J3649" s="6">
        <v>6969</v>
      </c>
      <c r="K3649" s="7" t="s">
        <v>4396</v>
      </c>
      <c r="L3649" s="8">
        <v>596113</v>
      </c>
      <c r="M3649" s="8" t="str">
        <f t="shared" si="292"/>
        <v>PEN</v>
      </c>
      <c r="N3649" s="13">
        <v>384.6</v>
      </c>
      <c r="O3649" s="13"/>
      <c r="P3649" s="3">
        <f t="shared" si="293"/>
        <v>0</v>
      </c>
      <c r="Q3649" s="3">
        <f t="shared" si="294"/>
        <v>0</v>
      </c>
      <c r="R3649" s="3">
        <f t="shared" si="290"/>
        <v>51921.539999999986</v>
      </c>
      <c r="S3649" s="24" t="s">
        <v>1334</v>
      </c>
      <c r="T3649" s="24" t="s">
        <v>1334</v>
      </c>
      <c r="U3649" s="56" t="s">
        <v>4397</v>
      </c>
      <c r="V3649" s="25">
        <f>IFERROR(VLOOKUP(BCP_Soles[[#This Row],[destinatario]],CHOOSE({1,2},Clientes_Proveedores[Razon Social],Clientes_Proveedores[Ruc / Dni]),2,0),"")</f>
        <v>20419158462</v>
      </c>
      <c r="W3649" s="25"/>
      <c r="X3649" s="25"/>
      <c r="Y3649" s="25"/>
      <c r="Z3649" s="77"/>
      <c r="AA3649" s="3" t="str">
        <f>IF(BCP_Soles[[#This Row],[fecha]]&gt;0,TEXT(BCP_Soles[[#This Row],[fecha]],"mmmm"),0)</f>
        <v>Setiembre</v>
      </c>
    </row>
    <row r="3650" spans="1:27" ht="24" x14ac:dyDescent="0.3">
      <c r="A3650" s="2">
        <f>IF(BCP_Soles[[#This Row],[tipo_registro]]="R",COUNTIFS($C$1:$C3649,"R")+1,A3649)</f>
        <v>2413</v>
      </c>
      <c r="B3650" s="19" t="str">
        <f t="shared" si="291"/>
        <v>B-BCP - Soles</v>
      </c>
      <c r="C3650" s="135" t="s">
        <v>1352</v>
      </c>
      <c r="D3650" s="14">
        <v>45903</v>
      </c>
      <c r="E3650" s="5"/>
      <c r="F3650" s="5"/>
      <c r="G3650" s="6" t="s">
        <v>271</v>
      </c>
      <c r="H3650" s="6" t="s">
        <v>68</v>
      </c>
      <c r="I3650" s="6" t="s">
        <v>1375</v>
      </c>
      <c r="J3650" s="6">
        <v>6971</v>
      </c>
      <c r="K3650" s="7" t="s">
        <v>4396</v>
      </c>
      <c r="L3650" s="8">
        <v>596113</v>
      </c>
      <c r="M3650" s="8" t="str">
        <f t="shared" si="292"/>
        <v>PEN</v>
      </c>
      <c r="N3650" s="13">
        <v>376.95</v>
      </c>
      <c r="O3650" s="13"/>
      <c r="P3650" s="3">
        <f t="shared" si="293"/>
        <v>0</v>
      </c>
      <c r="Q3650" s="3">
        <f t="shared" si="294"/>
        <v>0</v>
      </c>
      <c r="R3650" s="3">
        <f t="shared" si="290"/>
        <v>51921.539999999986</v>
      </c>
      <c r="S3650" s="24" t="s">
        <v>1334</v>
      </c>
      <c r="T3650" s="24" t="s">
        <v>1334</v>
      </c>
      <c r="U3650" s="56" t="s">
        <v>4397</v>
      </c>
      <c r="V3650" s="25">
        <f>IFERROR(VLOOKUP(BCP_Soles[[#This Row],[destinatario]],CHOOSE({1,2},Clientes_Proveedores[Razon Social],Clientes_Proveedores[Ruc / Dni]),2,0),"")</f>
        <v>20419158462</v>
      </c>
      <c r="W3650" s="25"/>
      <c r="X3650" s="25"/>
      <c r="Y3650" s="25"/>
      <c r="Z3650" s="77"/>
      <c r="AA3650" s="3" t="str">
        <f>IF(BCP_Soles[[#This Row],[fecha]]&gt;0,TEXT(BCP_Soles[[#This Row],[fecha]],"mmmm"),0)</f>
        <v>Setiembre</v>
      </c>
    </row>
    <row r="3651" spans="1:27" ht="24" x14ac:dyDescent="0.3">
      <c r="A3651" s="2">
        <f>IF(BCP_Soles[[#This Row],[tipo_registro]]="R",COUNTIFS($C$1:$C3650,"R")+1,A3650)</f>
        <v>2414</v>
      </c>
      <c r="B3651" s="19" t="str">
        <f t="shared" si="291"/>
        <v>B-BCP - Soles</v>
      </c>
      <c r="C3651" s="135" t="s">
        <v>1330</v>
      </c>
      <c r="D3651" s="14">
        <v>45903</v>
      </c>
      <c r="E3651" s="5" t="s">
        <v>1338</v>
      </c>
      <c r="F3651" s="5" t="s">
        <v>1336</v>
      </c>
      <c r="G3651" s="6" t="s">
        <v>1093</v>
      </c>
      <c r="H3651" s="6"/>
      <c r="I3651" s="6"/>
      <c r="J3651" s="6"/>
      <c r="K3651" s="7" t="s">
        <v>4398</v>
      </c>
      <c r="L3651" s="8">
        <v>1133933</v>
      </c>
      <c r="M3651" s="8" t="str">
        <f t="shared" si="292"/>
        <v>PEN</v>
      </c>
      <c r="N3651" s="13"/>
      <c r="O3651" s="13">
        <v>455</v>
      </c>
      <c r="P3651" s="3">
        <f t="shared" si="293"/>
        <v>0</v>
      </c>
      <c r="Q3651" s="3">
        <f t="shared" si="294"/>
        <v>455</v>
      </c>
      <c r="R3651" s="3">
        <f t="shared" si="290"/>
        <v>51466.539999999986</v>
      </c>
      <c r="S3651" s="24" t="s">
        <v>1334</v>
      </c>
      <c r="T3651" s="24" t="s">
        <v>1334</v>
      </c>
      <c r="U3651" s="56" t="s">
        <v>4399</v>
      </c>
      <c r="V3651" s="25">
        <f>IFERROR(VLOOKUP(BCP_Soles[[#This Row],[destinatario]],CHOOSE({1,2},Clientes_Proveedores[Razon Social],Clientes_Proveedores[Ruc / Dni]),2,0),"")</f>
        <v>75846609</v>
      </c>
      <c r="W3651" s="25"/>
      <c r="X3651" s="25"/>
      <c r="Y3651" s="25"/>
      <c r="Z3651" s="77"/>
      <c r="AA3651" s="3" t="str">
        <f>IF(BCP_Soles[[#This Row],[fecha]]&gt;0,TEXT(BCP_Soles[[#This Row],[fecha]],"mmmm"),0)</f>
        <v>Setiembre</v>
      </c>
    </row>
    <row r="3652" spans="1:27" ht="24" x14ac:dyDescent="0.3">
      <c r="A3652" s="2">
        <f>IF(BCP_Soles[[#This Row],[tipo_registro]]="R",COUNTIFS($C$1:$C3651,"R")+1,A3651)</f>
        <v>2414</v>
      </c>
      <c r="B3652" s="19" t="str">
        <f t="shared" si="291"/>
        <v>B-BCP - Soles</v>
      </c>
      <c r="C3652" s="135" t="s">
        <v>1352</v>
      </c>
      <c r="D3652" s="14">
        <v>45903</v>
      </c>
      <c r="E3652" s="5"/>
      <c r="F3652" s="5" t="s">
        <v>1336</v>
      </c>
      <c r="G3652" s="6" t="s">
        <v>1117</v>
      </c>
      <c r="H3652" s="6" t="s">
        <v>68</v>
      </c>
      <c r="I3652" s="6" t="s">
        <v>4400</v>
      </c>
      <c r="J3652" s="6">
        <v>150</v>
      </c>
      <c r="K3652" s="7" t="s">
        <v>4398</v>
      </c>
      <c r="L3652" s="8">
        <v>1133933</v>
      </c>
      <c r="M3652" s="8" t="str">
        <f t="shared" si="292"/>
        <v>PEN</v>
      </c>
      <c r="N3652" s="13">
        <v>425</v>
      </c>
      <c r="O3652" s="13"/>
      <c r="P3652" s="3">
        <f t="shared" si="293"/>
        <v>0</v>
      </c>
      <c r="Q3652" s="3">
        <f t="shared" si="294"/>
        <v>0</v>
      </c>
      <c r="R3652" s="3">
        <f t="shared" si="290"/>
        <v>51466.539999999986</v>
      </c>
      <c r="S3652" s="24" t="s">
        <v>1334</v>
      </c>
      <c r="T3652" s="24" t="s">
        <v>1334</v>
      </c>
      <c r="U3652" s="56" t="s">
        <v>4399</v>
      </c>
      <c r="V3652" s="25">
        <f>IFERROR(VLOOKUP(BCP_Soles[[#This Row],[destinatario]],CHOOSE({1,2},Clientes_Proveedores[Razon Social],Clientes_Proveedores[Ruc / Dni]),2,0),"")</f>
        <v>20601185203</v>
      </c>
      <c r="W3652" s="25"/>
      <c r="X3652" s="25"/>
      <c r="Y3652" s="25"/>
      <c r="Z3652" s="77"/>
      <c r="AA3652" s="3" t="str">
        <f>IF(BCP_Soles[[#This Row],[fecha]]&gt;0,TEXT(BCP_Soles[[#This Row],[fecha]],"mmmm"),0)</f>
        <v>Setiembre</v>
      </c>
    </row>
    <row r="3653" spans="1:27" ht="24" x14ac:dyDescent="0.3">
      <c r="A3653" s="2">
        <f>IF(BCP_Soles[[#This Row],[tipo_registro]]="R",COUNTIFS($C$1:$C3652,"R")+1,A3652)</f>
        <v>2414</v>
      </c>
      <c r="B3653" s="19" t="str">
        <f t="shared" si="291"/>
        <v>B-BCP - Soles</v>
      </c>
      <c r="C3653" s="135" t="s">
        <v>1352</v>
      </c>
      <c r="D3653" s="14">
        <v>45903</v>
      </c>
      <c r="E3653" s="5"/>
      <c r="F3653" s="5" t="s">
        <v>1336</v>
      </c>
      <c r="G3653" s="6" t="s">
        <v>1116</v>
      </c>
      <c r="H3653" s="6" t="s">
        <v>68</v>
      </c>
      <c r="I3653" s="6" t="s">
        <v>1374</v>
      </c>
      <c r="J3653" s="6">
        <v>493</v>
      </c>
      <c r="K3653" s="7" t="s">
        <v>4398</v>
      </c>
      <c r="L3653" s="8">
        <v>1133933</v>
      </c>
      <c r="M3653" s="8" t="str">
        <f t="shared" si="292"/>
        <v>PEN</v>
      </c>
      <c r="N3653" s="13">
        <v>30</v>
      </c>
      <c r="O3653" s="13"/>
      <c r="P3653" s="3">
        <f t="shared" si="293"/>
        <v>0</v>
      </c>
      <c r="Q3653" s="3">
        <f t="shared" si="294"/>
        <v>0</v>
      </c>
      <c r="R3653" s="3">
        <f t="shared" si="290"/>
        <v>51466.539999999986</v>
      </c>
      <c r="S3653" s="24" t="s">
        <v>1334</v>
      </c>
      <c r="T3653" s="24" t="s">
        <v>1334</v>
      </c>
      <c r="U3653" s="56" t="s">
        <v>4399</v>
      </c>
      <c r="V3653" s="25">
        <f>IFERROR(VLOOKUP(BCP_Soles[[#This Row],[destinatario]],CHOOSE({1,2},Clientes_Proveedores[Razon Social],Clientes_Proveedores[Ruc / Dni]),2,0),"")</f>
        <v>20606656620</v>
      </c>
      <c r="W3653" s="25"/>
      <c r="X3653" s="25"/>
      <c r="Y3653" s="25"/>
      <c r="Z3653" s="77"/>
      <c r="AA3653" s="3" t="str">
        <f>IF(BCP_Soles[[#This Row],[fecha]]&gt;0,TEXT(BCP_Soles[[#This Row],[fecha]],"mmmm"),0)</f>
        <v>Setiembre</v>
      </c>
    </row>
    <row r="3654" spans="1:27" x14ac:dyDescent="0.3">
      <c r="A3654" s="2">
        <f>IF(BCP_Soles[[#This Row],[tipo_registro]]="R",COUNTIFS($C$1:$C3653,"R")+1,A3653)</f>
        <v>2415</v>
      </c>
      <c r="B3654" s="19" t="str">
        <f t="shared" si="291"/>
        <v>B-BCP - Soles</v>
      </c>
      <c r="C3654" s="3" t="s">
        <v>1330</v>
      </c>
      <c r="D3654" s="14">
        <v>45903</v>
      </c>
      <c r="E3654" s="5" t="s">
        <v>1338</v>
      </c>
      <c r="F3654" s="5" t="s">
        <v>1336</v>
      </c>
      <c r="G3654" s="6" t="s">
        <v>196</v>
      </c>
      <c r="H3654" s="6" t="s">
        <v>68</v>
      </c>
      <c r="I3654" s="6" t="s">
        <v>2226</v>
      </c>
      <c r="J3654" s="6">
        <v>6846</v>
      </c>
      <c r="K3654" s="7" t="s">
        <v>2227</v>
      </c>
      <c r="L3654" s="8">
        <v>132939</v>
      </c>
      <c r="M3654" s="8" t="str">
        <f t="shared" si="292"/>
        <v>PEN</v>
      </c>
      <c r="N3654" s="13"/>
      <c r="O3654" s="13">
        <v>839.66</v>
      </c>
      <c r="P3654" s="3">
        <f t="shared" si="293"/>
        <v>0</v>
      </c>
      <c r="Q3654" s="3">
        <f t="shared" si="294"/>
        <v>839.66</v>
      </c>
      <c r="R3654" s="3">
        <f t="shared" si="290"/>
        <v>50626.879999999983</v>
      </c>
      <c r="S3654" s="24" t="s">
        <v>1334</v>
      </c>
      <c r="T3654" s="24" t="s">
        <v>1334</v>
      </c>
      <c r="U3654" s="56" t="s">
        <v>4399</v>
      </c>
      <c r="V3654" s="25">
        <f>IFERROR(VLOOKUP(BCP_Soles[[#This Row],[destinatario]],CHOOSE({1,2},Clientes_Proveedores[Razon Social],Clientes_Proveedores[Ruc / Dni]),2,0),"")</f>
        <v>20100055237</v>
      </c>
      <c r="W3654" s="25"/>
      <c r="X3654" s="25"/>
      <c r="Y3654" s="25"/>
      <c r="Z3654" s="77"/>
      <c r="AA3654" s="3" t="str">
        <f>IF(BCP_Soles[[#This Row],[fecha]]&gt;0,TEXT(BCP_Soles[[#This Row],[fecha]],"mmmm"),0)</f>
        <v>Setiembre</v>
      </c>
    </row>
    <row r="3655" spans="1:27" x14ac:dyDescent="0.3">
      <c r="A3655" s="2">
        <f>IF(BCP_Soles[[#This Row],[tipo_registro]]="R",COUNTIFS($C$1:$C3654,"R")+1,A3654)</f>
        <v>2416</v>
      </c>
      <c r="B3655" s="19" t="str">
        <f t="shared" si="291"/>
        <v>B-BCP - Soles</v>
      </c>
      <c r="C3655" s="3" t="s">
        <v>1330</v>
      </c>
      <c r="D3655" s="14">
        <v>45903</v>
      </c>
      <c r="E3655" s="5" t="s">
        <v>1338</v>
      </c>
      <c r="F3655" s="5" t="s">
        <v>1336</v>
      </c>
      <c r="G3655" s="6" t="s">
        <v>196</v>
      </c>
      <c r="H3655" s="6" t="s">
        <v>68</v>
      </c>
      <c r="I3655" s="6" t="s">
        <v>2226</v>
      </c>
      <c r="J3655" s="6">
        <v>6845</v>
      </c>
      <c r="K3655" s="7" t="s">
        <v>2227</v>
      </c>
      <c r="L3655" s="8">
        <v>135372</v>
      </c>
      <c r="M3655" s="8" t="str">
        <f t="shared" si="292"/>
        <v>PEN</v>
      </c>
      <c r="N3655" s="13"/>
      <c r="O3655" s="13">
        <v>1065.1600000000001</v>
      </c>
      <c r="P3655" s="3">
        <f t="shared" si="293"/>
        <v>0</v>
      </c>
      <c r="Q3655" s="3">
        <f t="shared" si="294"/>
        <v>1065.1600000000001</v>
      </c>
      <c r="R3655" s="3">
        <f t="shared" si="290"/>
        <v>49561.719999999979</v>
      </c>
      <c r="S3655" s="24" t="s">
        <v>1334</v>
      </c>
      <c r="T3655" s="24" t="s">
        <v>1334</v>
      </c>
      <c r="U3655" s="56" t="s">
        <v>4401</v>
      </c>
      <c r="V3655" s="25">
        <f>IFERROR(VLOOKUP(BCP_Soles[[#This Row],[destinatario]],CHOOSE({1,2},Clientes_Proveedores[Razon Social],Clientes_Proveedores[Ruc / Dni]),2,0),"")</f>
        <v>20100055237</v>
      </c>
      <c r="W3655" s="25"/>
      <c r="X3655" s="25"/>
      <c r="Y3655" s="25"/>
      <c r="Z3655" s="77"/>
      <c r="AA3655" s="3" t="str">
        <f>IF(BCP_Soles[[#This Row],[fecha]]&gt;0,TEXT(BCP_Soles[[#This Row],[fecha]],"mmmm"),0)</f>
        <v>Setiembre</v>
      </c>
    </row>
    <row r="3656" spans="1:27" x14ac:dyDescent="0.3">
      <c r="A3656" s="2">
        <f>IF(BCP_Soles[[#This Row],[tipo_registro]]="R",COUNTIFS($C$1:$C3655,"R")+1,A3655)</f>
        <v>2417</v>
      </c>
      <c r="B3656" s="19" t="str">
        <f t="shared" si="291"/>
        <v>B-BCP - Soles</v>
      </c>
      <c r="C3656" s="3" t="s">
        <v>1330</v>
      </c>
      <c r="D3656" s="14">
        <v>45903</v>
      </c>
      <c r="E3656" s="5" t="s">
        <v>1338</v>
      </c>
      <c r="F3656" s="5" t="s">
        <v>1336</v>
      </c>
      <c r="G3656" s="6" t="s">
        <v>196</v>
      </c>
      <c r="H3656" s="6" t="s">
        <v>68</v>
      </c>
      <c r="I3656" s="6" t="s">
        <v>2226</v>
      </c>
      <c r="J3656" s="6">
        <v>6844</v>
      </c>
      <c r="K3656" s="7" t="s">
        <v>2227</v>
      </c>
      <c r="L3656" s="8">
        <v>133427</v>
      </c>
      <c r="M3656" s="8" t="str">
        <f t="shared" si="292"/>
        <v>PEN</v>
      </c>
      <c r="N3656" s="13"/>
      <c r="O3656" s="13">
        <v>129.22</v>
      </c>
      <c r="P3656" s="3">
        <f t="shared" si="293"/>
        <v>0</v>
      </c>
      <c r="Q3656" s="3">
        <f t="shared" si="294"/>
        <v>129.22</v>
      </c>
      <c r="R3656" s="3">
        <f t="shared" si="290"/>
        <v>49432.499999999978</v>
      </c>
      <c r="S3656" s="24" t="s">
        <v>1334</v>
      </c>
      <c r="T3656" s="24" t="s">
        <v>1334</v>
      </c>
      <c r="U3656" s="56" t="s">
        <v>4402</v>
      </c>
      <c r="V3656" s="25">
        <f>IFERROR(VLOOKUP(BCP_Soles[[#This Row],[destinatario]],CHOOSE({1,2},Clientes_Proveedores[Razon Social],Clientes_Proveedores[Ruc / Dni]),2,0),"")</f>
        <v>20100055237</v>
      </c>
      <c r="W3656" s="25"/>
      <c r="X3656" s="25"/>
      <c r="Y3656" s="25"/>
      <c r="Z3656" s="77"/>
      <c r="AA3656" s="3" t="str">
        <f>IF(BCP_Soles[[#This Row],[fecha]]&gt;0,TEXT(BCP_Soles[[#This Row],[fecha]],"mmmm"),0)</f>
        <v>Setiembre</v>
      </c>
    </row>
    <row r="3657" spans="1:27" x14ac:dyDescent="0.3">
      <c r="A3657" s="2">
        <f>IF(BCP_Soles[[#This Row],[tipo_registro]]="R",COUNTIFS($C$1:$C3656,"R")+1,A3656)</f>
        <v>2418</v>
      </c>
      <c r="B3657" s="19" t="str">
        <f t="shared" si="291"/>
        <v>B-BCP - Soles</v>
      </c>
      <c r="C3657" s="3" t="s">
        <v>1330</v>
      </c>
      <c r="D3657" s="14">
        <v>45903</v>
      </c>
      <c r="E3657" s="5" t="s">
        <v>1338</v>
      </c>
      <c r="F3657" s="5" t="s">
        <v>1336</v>
      </c>
      <c r="G3657" s="6" t="s">
        <v>196</v>
      </c>
      <c r="H3657" s="6" t="s">
        <v>68</v>
      </c>
      <c r="I3657" s="6" t="s">
        <v>2226</v>
      </c>
      <c r="J3657" s="6">
        <v>6843</v>
      </c>
      <c r="K3657" s="7" t="s">
        <v>2227</v>
      </c>
      <c r="L3657" s="8">
        <v>132940</v>
      </c>
      <c r="M3657" s="8" t="str">
        <f t="shared" si="292"/>
        <v>PEN</v>
      </c>
      <c r="N3657" s="13"/>
      <c r="O3657" s="13">
        <v>99.88</v>
      </c>
      <c r="P3657" s="3">
        <f t="shared" si="293"/>
        <v>0</v>
      </c>
      <c r="Q3657" s="3">
        <f t="shared" si="294"/>
        <v>99.88</v>
      </c>
      <c r="R3657" s="3">
        <f t="shared" ref="R3657:R3720" si="295">IFERROR(IF(F3657="SALDO",P3657,R3656+P3657-Q3657),0)</f>
        <v>49332.619999999981</v>
      </c>
      <c r="S3657" s="24" t="s">
        <v>1334</v>
      </c>
      <c r="T3657" s="24" t="s">
        <v>1334</v>
      </c>
      <c r="U3657" s="56" t="s">
        <v>4403</v>
      </c>
      <c r="V3657" s="25">
        <f>IFERROR(VLOOKUP(BCP_Soles[[#This Row],[destinatario]],CHOOSE({1,2},Clientes_Proveedores[Razon Social],Clientes_Proveedores[Ruc / Dni]),2,0),"")</f>
        <v>20100055237</v>
      </c>
      <c r="W3657" s="25"/>
      <c r="X3657" s="25"/>
      <c r="Y3657" s="25"/>
      <c r="Z3657" s="77"/>
      <c r="AA3657" s="3" t="str">
        <f>IF(BCP_Soles[[#This Row],[fecha]]&gt;0,TEXT(BCP_Soles[[#This Row],[fecha]],"mmmm"),0)</f>
        <v>Setiembre</v>
      </c>
    </row>
    <row r="3658" spans="1:27" x14ac:dyDescent="0.3">
      <c r="A3658" s="2">
        <f>IF(BCP_Soles[[#This Row],[tipo_registro]]="R",COUNTIFS($C$1:$C3657,"R")+1,A3657)</f>
        <v>2419</v>
      </c>
      <c r="B3658" s="19" t="str">
        <f t="shared" si="291"/>
        <v>B-BCP - Soles</v>
      </c>
      <c r="C3658" s="3" t="s">
        <v>1330</v>
      </c>
      <c r="D3658" s="14">
        <v>45903</v>
      </c>
      <c r="E3658" s="5" t="s">
        <v>1338</v>
      </c>
      <c r="F3658" s="5" t="s">
        <v>1336</v>
      </c>
      <c r="G3658" s="6" t="s">
        <v>196</v>
      </c>
      <c r="H3658" s="6" t="s">
        <v>68</v>
      </c>
      <c r="I3658" s="6" t="s">
        <v>2226</v>
      </c>
      <c r="J3658" s="6">
        <v>6842</v>
      </c>
      <c r="K3658" s="7" t="s">
        <v>2227</v>
      </c>
      <c r="L3658" s="8">
        <v>134901</v>
      </c>
      <c r="M3658" s="8" t="str">
        <f t="shared" si="292"/>
        <v>PEN</v>
      </c>
      <c r="N3658" s="13"/>
      <c r="O3658" s="13">
        <v>26.86</v>
      </c>
      <c r="P3658" s="3">
        <f t="shared" si="293"/>
        <v>0</v>
      </c>
      <c r="Q3658" s="3">
        <f t="shared" si="294"/>
        <v>26.86</v>
      </c>
      <c r="R3658" s="3">
        <f t="shared" si="295"/>
        <v>49305.75999999998</v>
      </c>
      <c r="S3658" s="24" t="s">
        <v>1334</v>
      </c>
      <c r="T3658" s="24" t="s">
        <v>1334</v>
      </c>
      <c r="U3658" s="56" t="s">
        <v>4404</v>
      </c>
      <c r="V3658" s="25">
        <f>IFERROR(VLOOKUP(BCP_Soles[[#This Row],[destinatario]],CHOOSE({1,2},Clientes_Proveedores[Razon Social],Clientes_Proveedores[Ruc / Dni]),2,0),"")</f>
        <v>20100055237</v>
      </c>
      <c r="W3658" s="25"/>
      <c r="X3658" s="25"/>
      <c r="Y3658" s="25"/>
      <c r="Z3658" s="77"/>
      <c r="AA3658" s="3" t="str">
        <f>IF(BCP_Soles[[#This Row],[fecha]]&gt;0,TEXT(BCP_Soles[[#This Row],[fecha]],"mmmm"),0)</f>
        <v>Setiembre</v>
      </c>
    </row>
    <row r="3659" spans="1:27" x14ac:dyDescent="0.3">
      <c r="A3659" s="2">
        <f>IF(BCP_Soles[[#This Row],[tipo_registro]]="R",COUNTIFS($C$1:$C3658,"R")+1,A3658)</f>
        <v>2420</v>
      </c>
      <c r="B3659" s="19" t="str">
        <f t="shared" si="291"/>
        <v>B-BCP - Soles</v>
      </c>
      <c r="C3659" s="3" t="s">
        <v>1330</v>
      </c>
      <c r="D3659" s="14">
        <v>45903</v>
      </c>
      <c r="E3659" s="5" t="s">
        <v>1338</v>
      </c>
      <c r="F3659" s="5" t="s">
        <v>1336</v>
      </c>
      <c r="G3659" s="6" t="s">
        <v>196</v>
      </c>
      <c r="H3659" s="6" t="s">
        <v>68</v>
      </c>
      <c r="I3659" s="6" t="s">
        <v>2226</v>
      </c>
      <c r="J3659" s="6">
        <v>6841</v>
      </c>
      <c r="K3659" s="7" t="s">
        <v>2227</v>
      </c>
      <c r="L3659" s="8">
        <v>132468</v>
      </c>
      <c r="M3659" s="8" t="str">
        <f t="shared" si="292"/>
        <v>PEN</v>
      </c>
      <c r="N3659" s="13"/>
      <c r="O3659" s="13">
        <v>333.94</v>
      </c>
      <c r="P3659" s="3">
        <f t="shared" si="293"/>
        <v>0</v>
      </c>
      <c r="Q3659" s="3">
        <f t="shared" si="294"/>
        <v>333.94</v>
      </c>
      <c r="R3659" s="3">
        <f t="shared" si="295"/>
        <v>48971.819999999978</v>
      </c>
      <c r="S3659" s="24" t="s">
        <v>1334</v>
      </c>
      <c r="T3659" s="24" t="s">
        <v>1334</v>
      </c>
      <c r="U3659" s="56" t="s">
        <v>4405</v>
      </c>
      <c r="V3659" s="25">
        <f>IFERROR(VLOOKUP(BCP_Soles[[#This Row],[destinatario]],CHOOSE({1,2},Clientes_Proveedores[Razon Social],Clientes_Proveedores[Ruc / Dni]),2,0),"")</f>
        <v>20100055237</v>
      </c>
      <c r="W3659" s="25"/>
      <c r="X3659" s="25"/>
      <c r="Y3659" s="25"/>
      <c r="Z3659" s="77"/>
      <c r="AA3659" s="3" t="str">
        <f>IF(BCP_Soles[[#This Row],[fecha]]&gt;0,TEXT(BCP_Soles[[#This Row],[fecha]],"mmmm"),0)</f>
        <v>Setiembre</v>
      </c>
    </row>
    <row r="3660" spans="1:27" x14ac:dyDescent="0.3">
      <c r="A3660" s="2">
        <f>IF(BCP_Soles[[#This Row],[tipo_registro]]="R",COUNTIFS($C$1:$C3659,"R")+1,A3659)</f>
        <v>2421</v>
      </c>
      <c r="B3660" s="19" t="str">
        <f t="shared" si="291"/>
        <v>B-BCP - Soles</v>
      </c>
      <c r="C3660" s="3" t="s">
        <v>1330</v>
      </c>
      <c r="D3660" s="14">
        <v>45903</v>
      </c>
      <c r="E3660" s="5" t="s">
        <v>1338</v>
      </c>
      <c r="F3660" s="5" t="s">
        <v>1336</v>
      </c>
      <c r="G3660" s="6" t="s">
        <v>196</v>
      </c>
      <c r="H3660" s="6" t="s">
        <v>68</v>
      </c>
      <c r="I3660" s="6" t="s">
        <v>2226</v>
      </c>
      <c r="J3660" s="6">
        <v>6840</v>
      </c>
      <c r="K3660" s="7" t="s">
        <v>2227</v>
      </c>
      <c r="L3660" s="8">
        <v>135866</v>
      </c>
      <c r="M3660" s="8" t="str">
        <f t="shared" si="292"/>
        <v>PEN</v>
      </c>
      <c r="N3660" s="13"/>
      <c r="O3660" s="13">
        <v>561.79999999999995</v>
      </c>
      <c r="P3660" s="3">
        <f t="shared" si="293"/>
        <v>0</v>
      </c>
      <c r="Q3660" s="3">
        <f t="shared" si="294"/>
        <v>561.79999999999995</v>
      </c>
      <c r="R3660" s="3">
        <f t="shared" si="295"/>
        <v>48410.019999999975</v>
      </c>
      <c r="S3660" s="24" t="s">
        <v>1334</v>
      </c>
      <c r="T3660" s="24" t="s">
        <v>1334</v>
      </c>
      <c r="U3660" s="56" t="s">
        <v>4406</v>
      </c>
      <c r="V3660" s="25">
        <f>IFERROR(VLOOKUP(BCP_Soles[[#This Row],[destinatario]],CHOOSE({1,2},Clientes_Proveedores[Razon Social],Clientes_Proveedores[Ruc / Dni]),2,0),"")</f>
        <v>20100055237</v>
      </c>
      <c r="W3660" s="25"/>
      <c r="X3660" s="25"/>
      <c r="Y3660" s="25"/>
      <c r="Z3660" s="77"/>
      <c r="AA3660" s="3" t="str">
        <f>IF(BCP_Soles[[#This Row],[fecha]]&gt;0,TEXT(BCP_Soles[[#This Row],[fecha]],"mmmm"),0)</f>
        <v>Setiembre</v>
      </c>
    </row>
    <row r="3661" spans="1:27" ht="24" x14ac:dyDescent="0.3">
      <c r="A3661" s="2">
        <f>IF(BCP_Soles[[#This Row],[tipo_registro]]="R",COUNTIFS($C$1:$C3660,"R")+1,A3660)</f>
        <v>2422</v>
      </c>
      <c r="B3661" s="19" t="str">
        <f t="shared" si="291"/>
        <v>B-BCP - Soles</v>
      </c>
      <c r="C3661" s="3" t="s">
        <v>1330</v>
      </c>
      <c r="D3661" s="14">
        <v>45903</v>
      </c>
      <c r="E3661" s="5" t="s">
        <v>1338</v>
      </c>
      <c r="F3661" s="5" t="s">
        <v>1336</v>
      </c>
      <c r="G3661" s="6" t="s">
        <v>1025</v>
      </c>
      <c r="H3661" s="6" t="s">
        <v>68</v>
      </c>
      <c r="I3661" s="6" t="s">
        <v>1376</v>
      </c>
      <c r="J3661" s="6">
        <v>2830</v>
      </c>
      <c r="K3661" s="7" t="s">
        <v>4407</v>
      </c>
      <c r="L3661" s="8">
        <v>1134413</v>
      </c>
      <c r="M3661" s="8" t="str">
        <f t="shared" si="292"/>
        <v>PEN</v>
      </c>
      <c r="N3661" s="13"/>
      <c r="O3661" s="13">
        <v>15</v>
      </c>
      <c r="P3661" s="3">
        <f t="shared" si="293"/>
        <v>0</v>
      </c>
      <c r="Q3661" s="3">
        <f t="shared" si="294"/>
        <v>15</v>
      </c>
      <c r="R3661" s="3">
        <f t="shared" si="295"/>
        <v>48395.019999999975</v>
      </c>
      <c r="S3661" s="24" t="s">
        <v>1334</v>
      </c>
      <c r="T3661" s="24" t="s">
        <v>1334</v>
      </c>
      <c r="U3661" s="56" t="s">
        <v>4408</v>
      </c>
      <c r="V3661" s="25">
        <f>IFERROR(VLOOKUP(BCP_Soles[[#This Row],[destinatario]],CHOOSE({1,2},Clientes_Proveedores[Razon Social],Clientes_Proveedores[Ruc / Dni]),2,0),"")</f>
        <v>20601369622</v>
      </c>
      <c r="W3661" s="25"/>
      <c r="X3661" s="25"/>
      <c r="Y3661" s="25"/>
      <c r="Z3661" s="77"/>
      <c r="AA3661" s="3" t="str">
        <f>IF(BCP_Soles[[#This Row],[fecha]]&gt;0,TEXT(BCP_Soles[[#This Row],[fecha]],"mmmm"),0)</f>
        <v>Setiembre</v>
      </c>
    </row>
    <row r="3662" spans="1:27" ht="24" x14ac:dyDescent="0.3">
      <c r="A3662" s="2">
        <f>IF(BCP_Soles[[#This Row],[tipo_registro]]="R",COUNTIFS($C$1:$C3661,"R")+1,A3661)</f>
        <v>2423</v>
      </c>
      <c r="B3662" s="19" t="str">
        <f t="shared" si="291"/>
        <v>B-BCP - Soles</v>
      </c>
      <c r="C3662" s="3" t="s">
        <v>1330</v>
      </c>
      <c r="D3662" s="14">
        <v>45903</v>
      </c>
      <c r="E3662" s="5" t="s">
        <v>1338</v>
      </c>
      <c r="F3662" s="5" t="s">
        <v>1336</v>
      </c>
      <c r="G3662" s="6" t="s">
        <v>790</v>
      </c>
      <c r="H3662" s="6" t="s">
        <v>143</v>
      </c>
      <c r="I3662" s="6">
        <v>1</v>
      </c>
      <c r="J3662" s="6">
        <v>622025</v>
      </c>
      <c r="K3662" s="7" t="s">
        <v>4409</v>
      </c>
      <c r="L3662" s="8">
        <v>1133428</v>
      </c>
      <c r="M3662" s="8" t="str">
        <f t="shared" si="292"/>
        <v>PEN</v>
      </c>
      <c r="N3662" s="13"/>
      <c r="O3662" s="13">
        <v>70</v>
      </c>
      <c r="P3662" s="3">
        <f t="shared" si="293"/>
        <v>0</v>
      </c>
      <c r="Q3662" s="3">
        <f t="shared" si="294"/>
        <v>70</v>
      </c>
      <c r="R3662" s="3">
        <f t="shared" si="295"/>
        <v>48325.019999999975</v>
      </c>
      <c r="S3662" s="24"/>
      <c r="T3662" s="24"/>
      <c r="U3662" s="56" t="s">
        <v>4410</v>
      </c>
      <c r="V3662" s="25">
        <f>IFERROR(VLOOKUP(BCP_Soles[[#This Row],[destinatario]],CHOOSE({1,2},Clientes_Proveedores[Razon Social],Clientes_Proveedores[Ruc / Dni]),2,0),"")</f>
        <v>72169020</v>
      </c>
      <c r="W3662" s="25"/>
      <c r="X3662" s="25"/>
      <c r="Y3662" s="25"/>
      <c r="Z3662" s="77"/>
      <c r="AA3662" s="3" t="str">
        <f>IF(BCP_Soles[[#This Row],[fecha]]&gt;0,TEXT(BCP_Soles[[#This Row],[fecha]],"mmmm"),0)</f>
        <v>Setiembre</v>
      </c>
    </row>
    <row r="3663" spans="1:27" ht="24" x14ac:dyDescent="0.3">
      <c r="A3663" s="2">
        <f>IF(BCP_Soles[[#This Row],[tipo_registro]]="R",COUNTIFS($C$1:$C3662,"R")+1,A3662)</f>
        <v>2424</v>
      </c>
      <c r="B3663" s="19" t="str">
        <f t="shared" si="291"/>
        <v>B-BCP - Soles</v>
      </c>
      <c r="C3663" s="3" t="s">
        <v>1330</v>
      </c>
      <c r="D3663" s="14">
        <v>45903</v>
      </c>
      <c r="E3663" s="5" t="s">
        <v>1338</v>
      </c>
      <c r="F3663" s="5" t="s">
        <v>1336</v>
      </c>
      <c r="G3663" s="6" t="s">
        <v>1108</v>
      </c>
      <c r="H3663" s="6"/>
      <c r="I3663" s="6"/>
      <c r="J3663" s="6"/>
      <c r="K3663" s="7" t="s">
        <v>4411</v>
      </c>
      <c r="L3663" s="8">
        <v>4014078</v>
      </c>
      <c r="M3663" s="8" t="str">
        <f t="shared" si="292"/>
        <v>PEN</v>
      </c>
      <c r="N3663" s="13"/>
      <c r="O3663" s="13">
        <v>124.3</v>
      </c>
      <c r="P3663" s="3">
        <f t="shared" si="293"/>
        <v>0</v>
      </c>
      <c r="Q3663" s="3">
        <f t="shared" si="294"/>
        <v>124.3</v>
      </c>
      <c r="R3663" s="3">
        <f t="shared" si="295"/>
        <v>48200.719999999972</v>
      </c>
      <c r="S3663" s="24" t="s">
        <v>1334</v>
      </c>
      <c r="T3663" s="24" t="s">
        <v>1334</v>
      </c>
      <c r="U3663" s="56" t="s">
        <v>4412</v>
      </c>
      <c r="V3663" s="25">
        <f>IFERROR(VLOOKUP(BCP_Soles[[#This Row],[destinatario]],CHOOSE({1,2},Clientes_Proveedores[Razon Social],Clientes_Proveedores[Ruc / Dni]),2,0),"")</f>
        <v>20610912070</v>
      </c>
      <c r="W3663" s="25"/>
      <c r="X3663" s="25"/>
      <c r="Y3663" s="25"/>
      <c r="Z3663" s="77"/>
      <c r="AA3663" s="3" t="str">
        <f>IF(BCP_Soles[[#This Row],[fecha]]&gt;0,TEXT(BCP_Soles[[#This Row],[fecha]],"mmmm"),0)</f>
        <v>Setiembre</v>
      </c>
    </row>
    <row r="3664" spans="1:27" ht="24" x14ac:dyDescent="0.3">
      <c r="A3664" s="2">
        <f>IF(BCP_Soles[[#This Row],[tipo_registro]]="R",COUNTIFS($C$1:$C3663,"R")+1,A3663)</f>
        <v>2424</v>
      </c>
      <c r="B3664" s="19" t="str">
        <f t="shared" si="291"/>
        <v>B-BCP - Soles</v>
      </c>
      <c r="C3664" s="3" t="s">
        <v>1352</v>
      </c>
      <c r="D3664" s="14">
        <v>45903</v>
      </c>
      <c r="E3664" s="5" t="s">
        <v>1338</v>
      </c>
      <c r="F3664" s="5" t="s">
        <v>1336</v>
      </c>
      <c r="G3664" s="6" t="s">
        <v>1108</v>
      </c>
      <c r="H3664" s="6" t="s">
        <v>68</v>
      </c>
      <c r="I3664" s="6" t="s">
        <v>1376</v>
      </c>
      <c r="J3664" s="6">
        <v>109</v>
      </c>
      <c r="K3664" s="7" t="s">
        <v>4411</v>
      </c>
      <c r="L3664" s="8">
        <v>4014078</v>
      </c>
      <c r="M3664" s="8" t="str">
        <f t="shared" si="292"/>
        <v>PEN</v>
      </c>
      <c r="N3664" s="13">
        <v>120</v>
      </c>
      <c r="O3664" s="13"/>
      <c r="P3664" s="3">
        <f t="shared" si="293"/>
        <v>0</v>
      </c>
      <c r="Q3664" s="3">
        <f t="shared" si="294"/>
        <v>0</v>
      </c>
      <c r="R3664" s="3">
        <f t="shared" si="295"/>
        <v>48200.719999999972</v>
      </c>
      <c r="S3664" s="24" t="s">
        <v>1334</v>
      </c>
      <c r="T3664" s="24" t="s">
        <v>1334</v>
      </c>
      <c r="U3664" s="56"/>
      <c r="V3664" s="25">
        <f>IFERROR(VLOOKUP(BCP_Soles[[#This Row],[destinatario]],CHOOSE({1,2},Clientes_Proveedores[Razon Social],Clientes_Proveedores[Ruc / Dni]),2,0),"")</f>
        <v>20610912070</v>
      </c>
      <c r="W3664" s="25"/>
      <c r="X3664" s="25"/>
      <c r="Y3664" s="25"/>
      <c r="Z3664" s="77"/>
      <c r="AA3664" s="3" t="str">
        <f>IF(BCP_Soles[[#This Row],[fecha]]&gt;0,TEXT(BCP_Soles[[#This Row],[fecha]],"mmmm"),0)</f>
        <v>Setiembre</v>
      </c>
    </row>
    <row r="3665" spans="1:27" ht="24" x14ac:dyDescent="0.3">
      <c r="A3665" s="2">
        <f>IF(BCP_Soles[[#This Row],[tipo_registro]]="R",COUNTIFS($C$1:$C3664,"R")+1,A3664)</f>
        <v>2424</v>
      </c>
      <c r="B3665" s="19" t="str">
        <f t="shared" si="291"/>
        <v>B-BCP - Soles</v>
      </c>
      <c r="C3665" s="3" t="s">
        <v>1352</v>
      </c>
      <c r="D3665" s="14">
        <v>45903</v>
      </c>
      <c r="E3665" s="5" t="s">
        <v>1338</v>
      </c>
      <c r="F3665" s="5" t="s">
        <v>1336</v>
      </c>
      <c r="G3665" s="6" t="s">
        <v>1060</v>
      </c>
      <c r="H3665" s="6" t="s">
        <v>68</v>
      </c>
      <c r="I3665" s="6" t="s">
        <v>1397</v>
      </c>
      <c r="J3665" s="6">
        <v>36538707</v>
      </c>
      <c r="K3665" s="7" t="s">
        <v>4411</v>
      </c>
      <c r="L3665" s="8">
        <v>4014078</v>
      </c>
      <c r="M3665" s="8" t="str">
        <f t="shared" si="292"/>
        <v>PEN</v>
      </c>
      <c r="N3665" s="13">
        <v>4.3</v>
      </c>
      <c r="O3665" s="13"/>
      <c r="P3665" s="3">
        <f t="shared" si="293"/>
        <v>0</v>
      </c>
      <c r="Q3665" s="3">
        <f t="shared" si="294"/>
        <v>0</v>
      </c>
      <c r="R3665" s="3">
        <f t="shared" si="295"/>
        <v>48200.719999999972</v>
      </c>
      <c r="S3665" s="24" t="s">
        <v>1334</v>
      </c>
      <c r="T3665" s="24" t="s">
        <v>1334</v>
      </c>
      <c r="U3665" s="56"/>
      <c r="V3665" s="25">
        <f>IFERROR(VLOOKUP(BCP_Soles[[#This Row],[destinatario]],CHOOSE({1,2},Clientes_Proveedores[Razon Social],Clientes_Proveedores[Ruc / Dni]),2,0),"")</f>
        <v>20100047218</v>
      </c>
      <c r="W3665" s="25"/>
      <c r="X3665" s="25"/>
      <c r="Y3665" s="25"/>
      <c r="Z3665" s="77"/>
      <c r="AA3665" s="3" t="str">
        <f>IF(BCP_Soles[[#This Row],[fecha]]&gt;0,TEXT(BCP_Soles[[#This Row],[fecha]],"mmmm"),0)</f>
        <v>Setiembre</v>
      </c>
    </row>
    <row r="3666" spans="1:27" ht="24" x14ac:dyDescent="0.3">
      <c r="A3666" s="2">
        <f>IF(BCP_Soles[[#This Row],[tipo_registro]]="R",COUNTIFS($C$1:$C3665,"R")+1,A3665)</f>
        <v>2425</v>
      </c>
      <c r="B3666" s="19" t="str">
        <f t="shared" si="291"/>
        <v>B-BCP - Soles</v>
      </c>
      <c r="C3666" s="3" t="s">
        <v>1330</v>
      </c>
      <c r="D3666" s="14">
        <v>45903</v>
      </c>
      <c r="E3666" s="5" t="s">
        <v>1338</v>
      </c>
      <c r="F3666" s="5" t="s">
        <v>1336</v>
      </c>
      <c r="G3666" s="6" t="s">
        <v>724</v>
      </c>
      <c r="H3666" s="6" t="s">
        <v>68</v>
      </c>
      <c r="I3666" s="6" t="s">
        <v>1376</v>
      </c>
      <c r="J3666" s="6">
        <v>4539</v>
      </c>
      <c r="K3666" s="7" t="s">
        <v>4413</v>
      </c>
      <c r="L3666" s="8">
        <v>1193703</v>
      </c>
      <c r="M3666" s="8" t="str">
        <f t="shared" si="292"/>
        <v>PEN</v>
      </c>
      <c r="N3666" s="13"/>
      <c r="O3666" s="13">
        <v>755</v>
      </c>
      <c r="P3666" s="3">
        <f t="shared" si="293"/>
        <v>0</v>
      </c>
      <c r="Q3666" s="3">
        <f t="shared" si="294"/>
        <v>755</v>
      </c>
      <c r="R3666" s="3">
        <f t="shared" si="295"/>
        <v>47445.719999999972</v>
      </c>
      <c r="S3666" s="24" t="s">
        <v>1334</v>
      </c>
      <c r="T3666" s="24" t="s">
        <v>1334</v>
      </c>
      <c r="U3666" s="56" t="s">
        <v>4414</v>
      </c>
      <c r="V3666" s="25">
        <f>IFERROR(VLOOKUP(BCP_Soles[[#This Row],[destinatario]],CHOOSE({1,2},Clientes_Proveedores[Razon Social],Clientes_Proveedores[Ruc / Dni]),2,0),"")</f>
        <v>20558275082</v>
      </c>
      <c r="W3666" s="25"/>
      <c r="X3666" s="25"/>
      <c r="Y3666" s="25"/>
      <c r="Z3666" s="77"/>
      <c r="AA3666" s="3" t="str">
        <f>IF(BCP_Soles[[#This Row],[fecha]]&gt;0,TEXT(BCP_Soles[[#This Row],[fecha]],"mmmm"),0)</f>
        <v>Setiembre</v>
      </c>
    </row>
    <row r="3667" spans="1:27" x14ac:dyDescent="0.3">
      <c r="A3667" s="2">
        <f>IF(BCP_Soles[[#This Row],[tipo_registro]]="R",COUNTIFS($C$1:$C3666,"R")+1,A3666)</f>
        <v>2426</v>
      </c>
      <c r="B3667" s="19" t="str">
        <f t="shared" si="291"/>
        <v>B-BCP - Soles</v>
      </c>
      <c r="C3667" s="3" t="s">
        <v>1330</v>
      </c>
      <c r="D3667" s="14">
        <v>45903</v>
      </c>
      <c r="E3667" s="5" t="s">
        <v>3190</v>
      </c>
      <c r="F3667" s="5" t="s">
        <v>1336</v>
      </c>
      <c r="G3667" s="6"/>
      <c r="H3667" s="6"/>
      <c r="I3667" s="6"/>
      <c r="J3667" s="6"/>
      <c r="K3667" s="7" t="s">
        <v>4415</v>
      </c>
      <c r="L3667" s="8">
        <v>1011977</v>
      </c>
      <c r="M3667" s="8" t="str">
        <f t="shared" si="292"/>
        <v>PEN</v>
      </c>
      <c r="N3667" s="13"/>
      <c r="O3667" s="13">
        <v>813</v>
      </c>
      <c r="P3667" s="3">
        <f t="shared" si="293"/>
        <v>0</v>
      </c>
      <c r="Q3667" s="3">
        <f t="shared" si="294"/>
        <v>813</v>
      </c>
      <c r="R3667" s="3">
        <f t="shared" si="295"/>
        <v>46632.719999999972</v>
      </c>
      <c r="S3667" s="24"/>
      <c r="T3667" s="24"/>
      <c r="U3667" s="55"/>
      <c r="V3667" s="25" t="str">
        <f>IFERROR(VLOOKUP(BCP_Soles[[#This Row],[destinatario]],CHOOSE({1,2},Clientes_Proveedores[Razon Social],Clientes_Proveedores[Ruc / Dni]),2,0),"")</f>
        <v/>
      </c>
      <c r="W3667" s="25"/>
      <c r="X3667" s="25"/>
      <c r="Y3667" s="25"/>
      <c r="Z3667" s="77"/>
      <c r="AA3667" s="3" t="str">
        <f>IF(BCP_Soles[[#This Row],[fecha]]&gt;0,TEXT(BCP_Soles[[#This Row],[fecha]],"mmmm"),0)</f>
        <v>Setiembre</v>
      </c>
    </row>
    <row r="3668" spans="1:27" ht="24" x14ac:dyDescent="0.3">
      <c r="A3668" s="2">
        <f>IF(BCP_Soles[[#This Row],[tipo_registro]]="R",COUNTIFS($C$1:$C3667,"R")+1,A3667)</f>
        <v>2427</v>
      </c>
      <c r="B3668" s="19" t="str">
        <f t="shared" si="291"/>
        <v>B-BCP - Soles</v>
      </c>
      <c r="C3668" s="3" t="s">
        <v>1330</v>
      </c>
      <c r="D3668" s="14">
        <v>45903</v>
      </c>
      <c r="E3668" s="5" t="s">
        <v>1335</v>
      </c>
      <c r="F3668" s="5" t="s">
        <v>1336</v>
      </c>
      <c r="G3668" s="6" t="s">
        <v>1060</v>
      </c>
      <c r="H3668" s="6" t="s">
        <v>68</v>
      </c>
      <c r="I3668" s="6" t="s">
        <v>1397</v>
      </c>
      <c r="J3668" s="6">
        <v>36511655</v>
      </c>
      <c r="K3668" s="7" t="s">
        <v>4230</v>
      </c>
      <c r="L3668" s="8">
        <v>680</v>
      </c>
      <c r="M3668" s="8" t="str">
        <f t="shared" si="292"/>
        <v>PEN</v>
      </c>
      <c r="N3668" s="13"/>
      <c r="O3668" s="13">
        <v>10</v>
      </c>
      <c r="P3668" s="3">
        <f t="shared" si="293"/>
        <v>0</v>
      </c>
      <c r="Q3668" s="3">
        <f t="shared" si="294"/>
        <v>10</v>
      </c>
      <c r="R3668" s="3">
        <f t="shared" si="295"/>
        <v>46622.719999999972</v>
      </c>
      <c r="S3668" s="24" t="s">
        <v>1334</v>
      </c>
      <c r="T3668" s="24" t="s">
        <v>1334</v>
      </c>
      <c r="U3668" s="55"/>
      <c r="V3668" s="25">
        <f>IFERROR(VLOOKUP(BCP_Soles[[#This Row],[destinatario]],CHOOSE({1,2},Clientes_Proveedores[Razon Social],Clientes_Proveedores[Ruc / Dni]),2,0),"")</f>
        <v>20100047218</v>
      </c>
      <c r="W3668" s="25"/>
      <c r="X3668" s="25"/>
      <c r="Y3668" s="25"/>
      <c r="Z3668" s="77"/>
      <c r="AA3668" s="3" t="str">
        <f>IF(BCP_Soles[[#This Row],[fecha]]&gt;0,TEXT(BCP_Soles[[#This Row],[fecha]],"mmmm"),0)</f>
        <v>Setiembre</v>
      </c>
    </row>
    <row r="3669" spans="1:27" x14ac:dyDescent="0.3">
      <c r="A3669" s="2">
        <f>IF(BCP_Soles[[#This Row],[tipo_registro]]="R",COUNTIFS($C$1:$C3668,"R")+1,A3668)</f>
        <v>2428</v>
      </c>
      <c r="B3669" s="19" t="str">
        <f t="shared" si="291"/>
        <v>B-BCP - Soles</v>
      </c>
      <c r="C3669" s="3" t="s">
        <v>1330</v>
      </c>
      <c r="D3669" s="14">
        <v>45903</v>
      </c>
      <c r="E3669" s="5" t="s">
        <v>1335</v>
      </c>
      <c r="F3669" s="5" t="s">
        <v>1336</v>
      </c>
      <c r="G3669" s="6" t="s">
        <v>1009</v>
      </c>
      <c r="H3669" s="6" t="s">
        <v>64</v>
      </c>
      <c r="I3669" s="6" t="s">
        <v>3673</v>
      </c>
      <c r="J3669" s="6">
        <v>2430</v>
      </c>
      <c r="K3669" s="7" t="s">
        <v>3160</v>
      </c>
      <c r="L3669" s="8"/>
      <c r="M3669" s="8" t="str">
        <f t="shared" si="292"/>
        <v>PEN</v>
      </c>
      <c r="N3669" s="13"/>
      <c r="O3669" s="13">
        <v>2.4</v>
      </c>
      <c r="P3669" s="3">
        <f t="shared" si="293"/>
        <v>0</v>
      </c>
      <c r="Q3669" s="3">
        <f t="shared" si="294"/>
        <v>2.4</v>
      </c>
      <c r="R3669" s="3">
        <f t="shared" si="295"/>
        <v>46620.319999999971</v>
      </c>
      <c r="S3669" s="24"/>
      <c r="T3669" s="24" t="s">
        <v>1334</v>
      </c>
      <c r="U3669" s="55"/>
      <c r="V3669" s="25">
        <f>IFERROR(VLOOKUP(BCP_Soles[[#This Row],[destinatario]],CHOOSE({1,2},Clientes_Proveedores[Razon Social],Clientes_Proveedores[Ruc / Dni]),2,0),"")</f>
        <v>11111111</v>
      </c>
      <c r="W3669" s="25"/>
      <c r="X3669" s="25"/>
      <c r="Y3669" s="25"/>
      <c r="Z3669" s="77"/>
      <c r="AA3669" s="3" t="str">
        <f>IF(BCP_Soles[[#This Row],[fecha]]&gt;0,TEXT(BCP_Soles[[#This Row],[fecha]],"mmmm"),0)</f>
        <v>Setiembre</v>
      </c>
    </row>
    <row r="3670" spans="1:27" ht="36" x14ac:dyDescent="0.3">
      <c r="A3670" s="2">
        <f>IF(BCP_Soles[[#This Row],[tipo_registro]]="R",COUNTIFS($C$1:$C3669,"R")+1,A3669)</f>
        <v>2429</v>
      </c>
      <c r="B3670" s="19" t="str">
        <f t="shared" si="291"/>
        <v>B-BCP - Soles</v>
      </c>
      <c r="C3670" s="3" t="s">
        <v>1330</v>
      </c>
      <c r="D3670" s="14">
        <v>45904</v>
      </c>
      <c r="E3670" s="5" t="s">
        <v>271</v>
      </c>
      <c r="F3670" s="5" t="s">
        <v>1303</v>
      </c>
      <c r="G3670" s="6" t="s">
        <v>425</v>
      </c>
      <c r="H3670" s="6" t="s">
        <v>68</v>
      </c>
      <c r="I3670" s="6" t="s">
        <v>1784</v>
      </c>
      <c r="J3670" s="6">
        <v>210</v>
      </c>
      <c r="K3670" s="7" t="s">
        <v>4416</v>
      </c>
      <c r="L3670" s="8">
        <v>988166</v>
      </c>
      <c r="M3670" s="8" t="str">
        <f t="shared" si="292"/>
        <v>PEN</v>
      </c>
      <c r="N3670" s="13"/>
      <c r="O3670" s="13">
        <v>2697.29</v>
      </c>
      <c r="P3670" s="3">
        <f t="shared" si="293"/>
        <v>2697.29</v>
      </c>
      <c r="Q3670" s="3">
        <f t="shared" si="294"/>
        <v>0</v>
      </c>
      <c r="R3670" s="3">
        <f t="shared" si="295"/>
        <v>49317.609999999971</v>
      </c>
      <c r="S3670" s="24" t="s">
        <v>1334</v>
      </c>
      <c r="T3670" s="24" t="s">
        <v>1334</v>
      </c>
      <c r="U3670" s="55"/>
      <c r="V3670" s="25">
        <f>IFERROR(VLOOKUP(BCP_Soles[[#This Row],[destinatario]],CHOOSE({1,2},Clientes_Proveedores[Razon Social],Clientes_Proveedores[Ruc / Dni]),2,0),"")</f>
        <v>20558226979</v>
      </c>
      <c r="W3670" s="25"/>
      <c r="X3670" s="25"/>
      <c r="Y3670" s="25"/>
      <c r="Z3670" s="77"/>
      <c r="AA3670" s="3" t="str">
        <f>IF(BCP_Soles[[#This Row],[fecha]]&gt;0,TEXT(BCP_Soles[[#This Row],[fecha]],"mmmm"),0)</f>
        <v>Setiembre</v>
      </c>
    </row>
    <row r="3671" spans="1:27" ht="24" x14ac:dyDescent="0.3">
      <c r="A3671" s="2">
        <f>IF(BCP_Soles[[#This Row],[tipo_registro]]="R",COUNTIFS($C$1:$C3670,"R")+1,A3670)</f>
        <v>2430</v>
      </c>
      <c r="B3671" s="19" t="str">
        <f t="shared" si="291"/>
        <v>B-BCP - Soles</v>
      </c>
      <c r="C3671" s="3" t="s">
        <v>1330</v>
      </c>
      <c r="D3671" s="14">
        <v>45904</v>
      </c>
      <c r="E3671" s="5" t="s">
        <v>1338</v>
      </c>
      <c r="F3671" s="5" t="s">
        <v>1336</v>
      </c>
      <c r="G3671" s="6" t="s">
        <v>1039</v>
      </c>
      <c r="H3671" s="6" t="s">
        <v>143</v>
      </c>
      <c r="I3671" s="6">
        <v>1</v>
      </c>
      <c r="J3671" s="6">
        <v>632025</v>
      </c>
      <c r="K3671" s="7" t="s">
        <v>4417</v>
      </c>
      <c r="L3671" s="8">
        <v>1035442</v>
      </c>
      <c r="M3671" s="8" t="str">
        <f t="shared" si="292"/>
        <v>PEN</v>
      </c>
      <c r="N3671" s="13"/>
      <c r="O3671" s="13">
        <v>450</v>
      </c>
      <c r="P3671" s="3">
        <f t="shared" si="293"/>
        <v>0</v>
      </c>
      <c r="Q3671" s="3">
        <f t="shared" si="294"/>
        <v>450</v>
      </c>
      <c r="R3671" s="3">
        <f t="shared" si="295"/>
        <v>48867.609999999971</v>
      </c>
      <c r="S3671" s="24" t="s">
        <v>1334</v>
      </c>
      <c r="T3671" s="24" t="s">
        <v>1334</v>
      </c>
      <c r="U3671" s="56" t="s">
        <v>4418</v>
      </c>
      <c r="V3671" s="25">
        <f>IFERROR(VLOOKUP(BCP_Soles[[#This Row],[destinatario]],CHOOSE({1,2},Clientes_Proveedores[Razon Social],Clientes_Proveedores[Ruc / Dni]),2,0),"")</f>
        <v>70511606</v>
      </c>
      <c r="W3671" s="25"/>
      <c r="X3671" s="25"/>
      <c r="Y3671" s="25"/>
      <c r="Z3671" s="77"/>
      <c r="AA3671" s="3" t="str">
        <f>IF(BCP_Soles[[#This Row],[fecha]]&gt;0,TEXT(BCP_Soles[[#This Row],[fecha]],"mmmm"),0)</f>
        <v>Setiembre</v>
      </c>
    </row>
    <row r="3672" spans="1:27" ht="24" x14ac:dyDescent="0.3">
      <c r="A3672" s="2">
        <f>IF(BCP_Soles[[#This Row],[tipo_registro]]="R",COUNTIFS($C$1:$C3671,"R")+1,A3671)</f>
        <v>2431</v>
      </c>
      <c r="B3672" s="19" t="str">
        <f t="shared" si="291"/>
        <v>B-BCP - Soles</v>
      </c>
      <c r="C3672" s="3" t="s">
        <v>1330</v>
      </c>
      <c r="D3672" s="14">
        <v>45904</v>
      </c>
      <c r="E3672" s="5" t="s">
        <v>1338</v>
      </c>
      <c r="F3672" s="5" t="s">
        <v>1336</v>
      </c>
      <c r="G3672" s="6" t="s">
        <v>866</v>
      </c>
      <c r="H3672" s="6" t="s">
        <v>143</v>
      </c>
      <c r="I3672" s="6">
        <v>1</v>
      </c>
      <c r="J3672" s="6">
        <v>642025</v>
      </c>
      <c r="K3672" s="7" t="s">
        <v>4419</v>
      </c>
      <c r="L3672" s="8">
        <v>1033466</v>
      </c>
      <c r="M3672" s="8" t="str">
        <f t="shared" si="292"/>
        <v>PEN</v>
      </c>
      <c r="N3672" s="13"/>
      <c r="O3672" s="13">
        <v>398</v>
      </c>
      <c r="P3672" s="3">
        <f t="shared" si="293"/>
        <v>0</v>
      </c>
      <c r="Q3672" s="3">
        <f t="shared" si="294"/>
        <v>398</v>
      </c>
      <c r="R3672" s="3">
        <f t="shared" si="295"/>
        <v>48469.609999999971</v>
      </c>
      <c r="S3672" s="24" t="s">
        <v>1334</v>
      </c>
      <c r="T3672" s="24" t="s">
        <v>1334</v>
      </c>
      <c r="U3672" s="56" t="s">
        <v>4420</v>
      </c>
      <c r="V3672" s="25">
        <f>IFERROR(VLOOKUP(BCP_Soles[[#This Row],[destinatario]],CHOOSE({1,2},Clientes_Proveedores[Razon Social],Clientes_Proveedores[Ruc / Dni]),2,0),"")</f>
        <v>45921913</v>
      </c>
      <c r="W3672" s="25"/>
      <c r="X3672" s="25"/>
      <c r="Y3672" s="25"/>
      <c r="Z3672" s="77"/>
      <c r="AA3672" s="3" t="str">
        <f>IF(BCP_Soles[[#This Row],[fecha]]&gt;0,TEXT(BCP_Soles[[#This Row],[fecha]],"mmmm"),0)</f>
        <v>Setiembre</v>
      </c>
    </row>
    <row r="3673" spans="1:27" ht="24" x14ac:dyDescent="0.3">
      <c r="A3673" s="2">
        <f>IF(BCP_Soles[[#This Row],[tipo_registro]]="R",COUNTIFS($C$1:$C3672,"R")+1,A3672)</f>
        <v>2432</v>
      </c>
      <c r="B3673" s="19" t="str">
        <f t="shared" si="291"/>
        <v>B-BCP - Soles</v>
      </c>
      <c r="C3673" s="3" t="s">
        <v>1330</v>
      </c>
      <c r="D3673" s="14">
        <v>45904</v>
      </c>
      <c r="E3673" s="5" t="s">
        <v>1338</v>
      </c>
      <c r="F3673" s="5" t="s">
        <v>1336</v>
      </c>
      <c r="G3673" s="6" t="s">
        <v>698</v>
      </c>
      <c r="H3673" s="6"/>
      <c r="I3673" s="6"/>
      <c r="J3673" s="6"/>
      <c r="K3673" s="7" t="s">
        <v>4421</v>
      </c>
      <c r="L3673" s="8">
        <v>4003902</v>
      </c>
      <c r="M3673" s="8" t="str">
        <f t="shared" si="292"/>
        <v>PEN</v>
      </c>
      <c r="N3673" s="13"/>
      <c r="O3673" s="13">
        <v>3219.5</v>
      </c>
      <c r="P3673" s="3">
        <f t="shared" si="293"/>
        <v>0</v>
      </c>
      <c r="Q3673" s="3">
        <f t="shared" si="294"/>
        <v>3219.5</v>
      </c>
      <c r="R3673" s="3">
        <f t="shared" si="295"/>
        <v>45250.109999999971</v>
      </c>
      <c r="S3673" s="24"/>
      <c r="T3673" s="24"/>
      <c r="U3673" s="56" t="s">
        <v>4422</v>
      </c>
      <c r="V3673" s="25">
        <f>IFERROR(VLOOKUP(BCP_Soles[[#This Row],[destinatario]],CHOOSE({1,2},Clientes_Proveedores[Razon Social],Clientes_Proveedores[Ruc / Dni]),2,0),"")</f>
        <v>10296347634</v>
      </c>
      <c r="W3673" s="25"/>
      <c r="X3673" s="25"/>
      <c r="Y3673" s="25"/>
      <c r="Z3673" s="77"/>
      <c r="AA3673" s="3" t="str">
        <f>IF(BCP_Soles[[#This Row],[fecha]]&gt;0,TEXT(BCP_Soles[[#This Row],[fecha]],"mmmm"),0)</f>
        <v>Setiembre</v>
      </c>
    </row>
    <row r="3674" spans="1:27" ht="24" x14ac:dyDescent="0.3">
      <c r="A3674" s="2">
        <f>IF(BCP_Soles[[#This Row],[tipo_registro]]="R",COUNTIFS($C$1:$C3673,"R")+1,A3673)</f>
        <v>2432</v>
      </c>
      <c r="B3674" s="19" t="str">
        <f t="shared" si="291"/>
        <v>B-BCP - Soles</v>
      </c>
      <c r="C3674" s="3" t="s">
        <v>1352</v>
      </c>
      <c r="D3674" s="14">
        <v>45904</v>
      </c>
      <c r="E3674" s="5" t="s">
        <v>1338</v>
      </c>
      <c r="F3674" s="5"/>
      <c r="G3674" s="6" t="s">
        <v>698</v>
      </c>
      <c r="H3674" s="6" t="s">
        <v>64</v>
      </c>
      <c r="I3674" s="6"/>
      <c r="J3674" s="6"/>
      <c r="K3674" s="7" t="s">
        <v>4421</v>
      </c>
      <c r="L3674" s="8">
        <v>4003902</v>
      </c>
      <c r="M3674" s="8" t="str">
        <f t="shared" si="292"/>
        <v>PEN</v>
      </c>
      <c r="N3674" s="13">
        <v>3200</v>
      </c>
      <c r="O3674" s="13"/>
      <c r="P3674" s="3">
        <f t="shared" si="293"/>
        <v>0</v>
      </c>
      <c r="Q3674" s="3">
        <f t="shared" si="294"/>
        <v>0</v>
      </c>
      <c r="R3674" s="3">
        <f t="shared" si="295"/>
        <v>45250.109999999971</v>
      </c>
      <c r="S3674" s="24"/>
      <c r="T3674" s="24"/>
      <c r="U3674" s="56"/>
      <c r="V3674" s="25">
        <f>IFERROR(VLOOKUP(BCP_Soles[[#This Row],[destinatario]],CHOOSE({1,2},Clientes_Proveedores[Razon Social],Clientes_Proveedores[Ruc / Dni]),2,0),"")</f>
        <v>10296347634</v>
      </c>
      <c r="W3674" s="25"/>
      <c r="X3674" s="25"/>
      <c r="Y3674" s="25"/>
      <c r="Z3674" s="77"/>
      <c r="AA3674" s="3" t="str">
        <f>IF(BCP_Soles[[#This Row],[fecha]]&gt;0,TEXT(BCP_Soles[[#This Row],[fecha]],"mmmm"),0)</f>
        <v>Setiembre</v>
      </c>
    </row>
    <row r="3675" spans="1:27" ht="24" x14ac:dyDescent="0.3">
      <c r="A3675" s="2">
        <f>IF(BCP_Soles[[#This Row],[tipo_registro]]="R",COUNTIFS($C$1:$C3674,"R")+1,A3674)</f>
        <v>2432</v>
      </c>
      <c r="B3675" s="19" t="str">
        <f t="shared" si="291"/>
        <v>B-BCP - Soles</v>
      </c>
      <c r="C3675" s="3" t="s">
        <v>1352</v>
      </c>
      <c r="D3675" s="14">
        <v>45904</v>
      </c>
      <c r="E3675" s="5" t="s">
        <v>1338</v>
      </c>
      <c r="F3675" s="5"/>
      <c r="G3675" s="6" t="s">
        <v>1060</v>
      </c>
      <c r="H3675" s="6" t="s">
        <v>68</v>
      </c>
      <c r="I3675" s="6" t="s">
        <v>1397</v>
      </c>
      <c r="J3675" s="6">
        <v>36561557</v>
      </c>
      <c r="K3675" s="7" t="s">
        <v>4421</v>
      </c>
      <c r="L3675" s="8">
        <v>4003902</v>
      </c>
      <c r="M3675" s="8" t="str">
        <f t="shared" si="292"/>
        <v>PEN</v>
      </c>
      <c r="N3675" s="13">
        <v>19.5</v>
      </c>
      <c r="O3675" s="13"/>
      <c r="P3675" s="3">
        <f t="shared" si="293"/>
        <v>0</v>
      </c>
      <c r="Q3675" s="3">
        <f t="shared" si="294"/>
        <v>0</v>
      </c>
      <c r="R3675" s="3">
        <f t="shared" si="295"/>
        <v>45250.109999999971</v>
      </c>
      <c r="S3675" s="24"/>
      <c r="T3675" s="24"/>
      <c r="U3675" s="56"/>
      <c r="V3675" s="25">
        <f>IFERROR(VLOOKUP(BCP_Soles[[#This Row],[destinatario]],CHOOSE({1,2},Clientes_Proveedores[Razon Social],Clientes_Proveedores[Ruc / Dni]),2,0),"")</f>
        <v>20100047218</v>
      </c>
      <c r="W3675" s="25"/>
      <c r="X3675" s="25"/>
      <c r="Y3675" s="25"/>
      <c r="Z3675" s="77"/>
      <c r="AA3675" s="3" t="str">
        <f>IF(BCP_Soles[[#This Row],[fecha]]&gt;0,TEXT(BCP_Soles[[#This Row],[fecha]],"mmmm"),0)</f>
        <v>Setiembre</v>
      </c>
    </row>
    <row r="3676" spans="1:27" ht="24" x14ac:dyDescent="0.3">
      <c r="A3676" s="2">
        <f>IF(BCP_Soles[[#This Row],[tipo_registro]]="R",COUNTIFS($C$1:$C3675,"R")+1,A3675)</f>
        <v>2433</v>
      </c>
      <c r="B3676" s="19" t="str">
        <f t="shared" si="291"/>
        <v>B-BCP - Soles</v>
      </c>
      <c r="C3676" s="3" t="s">
        <v>1330</v>
      </c>
      <c r="D3676" s="14">
        <v>45904</v>
      </c>
      <c r="E3676" s="5" t="s">
        <v>1338</v>
      </c>
      <c r="F3676" s="5" t="s">
        <v>1336</v>
      </c>
      <c r="G3676" s="6" t="s">
        <v>888</v>
      </c>
      <c r="H3676" s="6" t="s">
        <v>147</v>
      </c>
      <c r="I3676" s="6">
        <v>14</v>
      </c>
      <c r="J3676" s="6">
        <v>35</v>
      </c>
      <c r="K3676" s="7" t="s">
        <v>4423</v>
      </c>
      <c r="L3676" s="8">
        <v>1033948</v>
      </c>
      <c r="M3676" s="8" t="str">
        <f t="shared" si="292"/>
        <v>PEN</v>
      </c>
      <c r="N3676" s="13"/>
      <c r="O3676" s="13">
        <v>1957.54</v>
      </c>
      <c r="P3676" s="3">
        <f t="shared" si="293"/>
        <v>0</v>
      </c>
      <c r="Q3676" s="3">
        <f t="shared" si="294"/>
        <v>1957.54</v>
      </c>
      <c r="R3676" s="3">
        <f t="shared" si="295"/>
        <v>43292.569999999971</v>
      </c>
      <c r="S3676" s="24"/>
      <c r="T3676" s="24" t="s">
        <v>1334</v>
      </c>
      <c r="U3676" s="56" t="s">
        <v>4422</v>
      </c>
      <c r="V3676" s="25">
        <f>IFERROR(VLOOKUP(BCP_Soles[[#This Row],[destinatario]],CHOOSE({1,2},Clientes_Proveedores[Razon Social],Clientes_Proveedores[Ruc / Dni]),2,0),"")</f>
        <v>47461440</v>
      </c>
      <c r="W3676" s="25"/>
      <c r="X3676" s="25"/>
      <c r="Y3676" s="25"/>
      <c r="Z3676" s="77"/>
      <c r="AA3676" s="3" t="str">
        <f>IF(BCP_Soles[[#This Row],[fecha]]&gt;0,TEXT(BCP_Soles[[#This Row],[fecha]],"mmmm"),0)</f>
        <v>Setiembre</v>
      </c>
    </row>
    <row r="3677" spans="1:27" ht="24" x14ac:dyDescent="0.3">
      <c r="A3677" s="2">
        <f>IF(BCP_Soles[[#This Row],[tipo_registro]]="R",COUNTIFS($C$1:$C3676,"R")+1,A3676)</f>
        <v>2434</v>
      </c>
      <c r="B3677" s="19" t="str">
        <f t="shared" ref="B3677:B3740" si="296">"B-BCP - Soles"</f>
        <v>B-BCP - Soles</v>
      </c>
      <c r="C3677" s="3" t="s">
        <v>1330</v>
      </c>
      <c r="D3677" s="14">
        <v>45904</v>
      </c>
      <c r="E3677" s="5" t="s">
        <v>1338</v>
      </c>
      <c r="F3677" s="5" t="s">
        <v>1336</v>
      </c>
      <c r="G3677" s="6" t="s">
        <v>705</v>
      </c>
      <c r="H3677" s="6" t="s">
        <v>106</v>
      </c>
      <c r="I3677" s="6" t="s">
        <v>1563</v>
      </c>
      <c r="J3677" s="6">
        <v>72789906</v>
      </c>
      <c r="K3677" s="7" t="s">
        <v>4424</v>
      </c>
      <c r="L3677" s="8">
        <v>4035441</v>
      </c>
      <c r="M3677" s="8" t="str">
        <f t="shared" ref="M3677:M3740" si="297">"PEN"</f>
        <v>PEN</v>
      </c>
      <c r="N3677" s="13"/>
      <c r="O3677" s="13">
        <v>79.900000000000006</v>
      </c>
      <c r="P3677" s="3">
        <f t="shared" ref="P3677:P3740" si="298">+IF(OR($F3677="SALDO",$F3677="INGRESO"),$O3677,0)</f>
        <v>0</v>
      </c>
      <c r="Q3677" s="3">
        <f t="shared" ref="Q3677:Q3740" si="299">+IF($F3677="EGRESO",$O3677,0)</f>
        <v>79.900000000000006</v>
      </c>
      <c r="R3677" s="3">
        <f t="shared" si="295"/>
        <v>43212.669999999969</v>
      </c>
      <c r="S3677" s="24" t="s">
        <v>1334</v>
      </c>
      <c r="T3677" s="24" t="s">
        <v>1334</v>
      </c>
      <c r="U3677" s="56" t="s">
        <v>4425</v>
      </c>
      <c r="V3677" s="25">
        <f>IFERROR(VLOOKUP(BCP_Soles[[#This Row],[destinatario]],CHOOSE({1,2},Clientes_Proveedores[Razon Social],Clientes_Proveedores[Ruc / Dni]),2,0),"")</f>
        <v>20100017491</v>
      </c>
      <c r="W3677" s="25"/>
      <c r="X3677" s="25"/>
      <c r="Y3677" s="25"/>
      <c r="Z3677" s="77"/>
      <c r="AA3677" s="3" t="str">
        <f>IF(BCP_Soles[[#This Row],[fecha]]&gt;0,TEXT(BCP_Soles[[#This Row],[fecha]],"mmmm"),0)</f>
        <v>Setiembre</v>
      </c>
    </row>
    <row r="3678" spans="1:27" ht="36" x14ac:dyDescent="0.3">
      <c r="A3678" s="2">
        <f>IF(BCP_Soles[[#This Row],[tipo_registro]]="R",COUNTIFS($C$1:$C3677,"R")+1,A3677)</f>
        <v>2435</v>
      </c>
      <c r="B3678" s="19" t="str">
        <f t="shared" si="296"/>
        <v>B-BCP - Soles</v>
      </c>
      <c r="C3678" s="3" t="s">
        <v>1330</v>
      </c>
      <c r="D3678" s="14">
        <v>45904</v>
      </c>
      <c r="E3678" s="5" t="s">
        <v>1338</v>
      </c>
      <c r="F3678" s="5" t="s">
        <v>1336</v>
      </c>
      <c r="G3678" s="6" t="s">
        <v>707</v>
      </c>
      <c r="H3678" s="6" t="s">
        <v>68</v>
      </c>
      <c r="I3678" s="6" t="s">
        <v>1390</v>
      </c>
      <c r="J3678" s="6">
        <v>138480</v>
      </c>
      <c r="K3678" s="7" t="s">
        <v>4426</v>
      </c>
      <c r="L3678" s="8">
        <v>1033947</v>
      </c>
      <c r="M3678" s="8" t="str">
        <f t="shared" si="297"/>
        <v>PEN</v>
      </c>
      <c r="N3678" s="13"/>
      <c r="O3678" s="13">
        <v>304</v>
      </c>
      <c r="P3678" s="3">
        <f t="shared" si="298"/>
        <v>0</v>
      </c>
      <c r="Q3678" s="3">
        <f t="shared" si="299"/>
        <v>304</v>
      </c>
      <c r="R3678" s="3">
        <f t="shared" si="295"/>
        <v>42908.669999999969</v>
      </c>
      <c r="S3678" s="24" t="s">
        <v>1334</v>
      </c>
      <c r="T3678" s="24" t="s">
        <v>1334</v>
      </c>
      <c r="U3678" s="56" t="s">
        <v>4427</v>
      </c>
      <c r="V3678" s="25">
        <f>IFERROR(VLOOKUP(BCP_Soles[[#This Row],[destinatario]],CHOOSE({1,2},Clientes_Proveedores[Razon Social],Clientes_Proveedores[Ruc / Dni]),2,0),"")</f>
        <v>20456127917</v>
      </c>
      <c r="W3678" s="25"/>
      <c r="X3678" s="25"/>
      <c r="Y3678" s="25"/>
      <c r="Z3678" s="77"/>
      <c r="AA3678" s="3" t="str">
        <f>IF(BCP_Soles[[#This Row],[fecha]]&gt;0,TEXT(BCP_Soles[[#This Row],[fecha]],"mmmm"),0)</f>
        <v>Setiembre</v>
      </c>
    </row>
    <row r="3679" spans="1:27" x14ac:dyDescent="0.3">
      <c r="A3679" s="2">
        <f>IF(BCP_Soles[[#This Row],[tipo_registro]]="R",COUNTIFS($C$1:$C3678,"R")+1,A3678)</f>
        <v>2436</v>
      </c>
      <c r="B3679" s="19" t="str">
        <f t="shared" si="296"/>
        <v>B-BCP - Soles</v>
      </c>
      <c r="C3679" s="3" t="s">
        <v>1330</v>
      </c>
      <c r="D3679" s="14">
        <v>45904</v>
      </c>
      <c r="E3679" s="5" t="s">
        <v>1338</v>
      </c>
      <c r="F3679" s="5" t="s">
        <v>1336</v>
      </c>
      <c r="G3679" s="6" t="s">
        <v>696</v>
      </c>
      <c r="H3679" s="6"/>
      <c r="I3679" s="6"/>
      <c r="J3679" s="6"/>
      <c r="K3679" s="7" t="s">
        <v>4428</v>
      </c>
      <c r="L3679" s="8">
        <v>845241</v>
      </c>
      <c r="M3679" s="8" t="str">
        <f t="shared" si="297"/>
        <v>PEN</v>
      </c>
      <c r="N3679" s="13"/>
      <c r="O3679" s="13">
        <v>800</v>
      </c>
      <c r="P3679" s="3">
        <f t="shared" si="298"/>
        <v>0</v>
      </c>
      <c r="Q3679" s="3">
        <f t="shared" si="299"/>
        <v>800</v>
      </c>
      <c r="R3679" s="3">
        <f t="shared" si="295"/>
        <v>42108.669999999969</v>
      </c>
      <c r="S3679" s="24" t="s">
        <v>1334</v>
      </c>
      <c r="T3679" s="24" t="s">
        <v>1334</v>
      </c>
      <c r="U3679" s="56" t="s">
        <v>4427</v>
      </c>
      <c r="V3679" s="25">
        <f>IFERROR(VLOOKUP(BCP_Soles[[#This Row],[destinatario]],CHOOSE({1,2},Clientes_Proveedores[Razon Social],Clientes_Proveedores[Ruc / Dni]),2,0),"")</f>
        <v>0</v>
      </c>
      <c r="W3679" s="25"/>
      <c r="X3679" s="25"/>
      <c r="Y3679" s="25"/>
      <c r="Z3679" s="77"/>
      <c r="AA3679" s="3" t="str">
        <f>IF(BCP_Soles[[#This Row],[fecha]]&gt;0,TEXT(BCP_Soles[[#This Row],[fecha]],"mmmm"),0)</f>
        <v>Setiembre</v>
      </c>
    </row>
    <row r="3680" spans="1:27" ht="24" x14ac:dyDescent="0.3">
      <c r="A3680" s="2">
        <f>IF(BCP_Soles[[#This Row],[tipo_registro]]="R",COUNTIFS($C$1:$C3679,"R")+1,A3679)</f>
        <v>2436</v>
      </c>
      <c r="B3680" s="19" t="str">
        <f t="shared" si="296"/>
        <v>B-BCP - Soles</v>
      </c>
      <c r="C3680" s="3" t="s">
        <v>1352</v>
      </c>
      <c r="D3680" s="14">
        <v>45904</v>
      </c>
      <c r="E3680" s="5"/>
      <c r="F3680" s="5"/>
      <c r="G3680" s="6" t="s">
        <v>187</v>
      </c>
      <c r="H3680" s="6" t="s">
        <v>68</v>
      </c>
      <c r="I3680" s="6" t="s">
        <v>1376</v>
      </c>
      <c r="J3680" s="6">
        <v>558</v>
      </c>
      <c r="K3680" s="7" t="s">
        <v>4428</v>
      </c>
      <c r="L3680" s="8">
        <v>845241</v>
      </c>
      <c r="M3680" s="8" t="str">
        <f t="shared" si="297"/>
        <v>PEN</v>
      </c>
      <c r="N3680" s="13">
        <v>180</v>
      </c>
      <c r="O3680" s="13"/>
      <c r="P3680" s="3">
        <f t="shared" si="298"/>
        <v>0</v>
      </c>
      <c r="Q3680" s="3">
        <f t="shared" si="299"/>
        <v>0</v>
      </c>
      <c r="R3680" s="3">
        <f t="shared" si="295"/>
        <v>42108.669999999969</v>
      </c>
      <c r="S3680" s="24" t="s">
        <v>1334</v>
      </c>
      <c r="T3680" s="24" t="s">
        <v>1334</v>
      </c>
      <c r="U3680" s="56" t="s">
        <v>4427</v>
      </c>
      <c r="V3680" s="25">
        <f>IFERROR(VLOOKUP(BCP_Soles[[#This Row],[destinatario]],CHOOSE({1,2},Clientes_Proveedores[Razon Social],Clientes_Proveedores[Ruc / Dni]),2,0),"")</f>
        <v>10706063426</v>
      </c>
      <c r="W3680" s="25"/>
      <c r="X3680" s="25"/>
      <c r="Y3680" s="25"/>
      <c r="Z3680" s="77"/>
      <c r="AA3680" s="3" t="str">
        <f>IF(BCP_Soles[[#This Row],[fecha]]&gt;0,TEXT(BCP_Soles[[#This Row],[fecha]],"mmmm"),0)</f>
        <v>Setiembre</v>
      </c>
    </row>
    <row r="3681" spans="1:27" ht="24" x14ac:dyDescent="0.3">
      <c r="A3681" s="2">
        <f>IF(BCP_Soles[[#This Row],[tipo_registro]]="R",COUNTIFS($C$1:$C3680,"R")+1,A3680)</f>
        <v>2436</v>
      </c>
      <c r="B3681" s="19" t="str">
        <f t="shared" si="296"/>
        <v>B-BCP - Soles</v>
      </c>
      <c r="C3681" s="3" t="s">
        <v>1352</v>
      </c>
      <c r="D3681" s="14">
        <v>45904</v>
      </c>
      <c r="E3681" s="5"/>
      <c r="F3681" s="5"/>
      <c r="G3681" s="6" t="s">
        <v>187</v>
      </c>
      <c r="H3681" s="6" t="s">
        <v>68</v>
      </c>
      <c r="I3681" s="6" t="s">
        <v>1376</v>
      </c>
      <c r="J3681" s="6">
        <v>514</v>
      </c>
      <c r="K3681" s="7" t="s">
        <v>4428</v>
      </c>
      <c r="L3681" s="8">
        <v>845241</v>
      </c>
      <c r="M3681" s="8" t="str">
        <f t="shared" si="297"/>
        <v>PEN</v>
      </c>
      <c r="N3681" s="13">
        <v>170</v>
      </c>
      <c r="O3681" s="13"/>
      <c r="P3681" s="3">
        <f t="shared" si="298"/>
        <v>0</v>
      </c>
      <c r="Q3681" s="3">
        <f t="shared" si="299"/>
        <v>0</v>
      </c>
      <c r="R3681" s="3">
        <f t="shared" si="295"/>
        <v>42108.669999999969</v>
      </c>
      <c r="S3681" s="24" t="s">
        <v>1334</v>
      </c>
      <c r="T3681" s="24" t="s">
        <v>1334</v>
      </c>
      <c r="U3681" s="56" t="s">
        <v>4427</v>
      </c>
      <c r="V3681" s="25">
        <f>IFERROR(VLOOKUP(BCP_Soles[[#This Row],[destinatario]],CHOOSE({1,2},Clientes_Proveedores[Razon Social],Clientes_Proveedores[Ruc / Dni]),2,0),"")</f>
        <v>10706063426</v>
      </c>
      <c r="W3681" s="25"/>
      <c r="X3681" s="25"/>
      <c r="Y3681" s="25"/>
      <c r="Z3681" s="77"/>
      <c r="AA3681" s="3" t="str">
        <f>IF(BCP_Soles[[#This Row],[fecha]]&gt;0,TEXT(BCP_Soles[[#This Row],[fecha]],"mmmm"),0)</f>
        <v>Setiembre</v>
      </c>
    </row>
    <row r="3682" spans="1:27" ht="24" x14ac:dyDescent="0.3">
      <c r="A3682" s="2">
        <f>IF(BCP_Soles[[#This Row],[tipo_registro]]="R",COUNTIFS($C$1:$C3681,"R")+1,A3681)</f>
        <v>2436</v>
      </c>
      <c r="B3682" s="19" t="str">
        <f t="shared" si="296"/>
        <v>B-BCP - Soles</v>
      </c>
      <c r="C3682" s="3" t="s">
        <v>1352</v>
      </c>
      <c r="D3682" s="14">
        <v>45904</v>
      </c>
      <c r="E3682" s="5"/>
      <c r="F3682" s="5"/>
      <c r="G3682" s="6" t="s">
        <v>187</v>
      </c>
      <c r="H3682" s="6" t="s">
        <v>68</v>
      </c>
      <c r="I3682" s="6" t="s">
        <v>1376</v>
      </c>
      <c r="J3682" s="6">
        <v>587</v>
      </c>
      <c r="K3682" s="7" t="s">
        <v>4428</v>
      </c>
      <c r="L3682" s="8">
        <v>845241</v>
      </c>
      <c r="M3682" s="8" t="str">
        <f t="shared" si="297"/>
        <v>PEN</v>
      </c>
      <c r="N3682" s="13">
        <v>160</v>
      </c>
      <c r="O3682" s="13"/>
      <c r="P3682" s="3">
        <f t="shared" si="298"/>
        <v>0</v>
      </c>
      <c r="Q3682" s="3">
        <f t="shared" si="299"/>
        <v>0</v>
      </c>
      <c r="R3682" s="3">
        <f t="shared" si="295"/>
        <v>42108.669999999969</v>
      </c>
      <c r="S3682" s="24" t="s">
        <v>1334</v>
      </c>
      <c r="T3682" s="24" t="s">
        <v>1334</v>
      </c>
      <c r="U3682" s="56" t="s">
        <v>4427</v>
      </c>
      <c r="V3682" s="25">
        <f>IFERROR(VLOOKUP(BCP_Soles[[#This Row],[destinatario]],CHOOSE({1,2},Clientes_Proveedores[Razon Social],Clientes_Proveedores[Ruc / Dni]),2,0),"")</f>
        <v>10706063426</v>
      </c>
      <c r="W3682" s="25"/>
      <c r="X3682" s="25"/>
      <c r="Y3682" s="25"/>
      <c r="Z3682" s="77"/>
      <c r="AA3682" s="3" t="str">
        <f>IF(BCP_Soles[[#This Row],[fecha]]&gt;0,TEXT(BCP_Soles[[#This Row],[fecha]],"mmmm"),0)</f>
        <v>Setiembre</v>
      </c>
    </row>
    <row r="3683" spans="1:27" ht="36" x14ac:dyDescent="0.3">
      <c r="A3683" s="2">
        <f>IF(BCP_Soles[[#This Row],[tipo_registro]]="R",COUNTIFS($C$1:$C3682,"R")+1,A3682)</f>
        <v>2436</v>
      </c>
      <c r="B3683" s="19" t="str">
        <f t="shared" si="296"/>
        <v>B-BCP - Soles</v>
      </c>
      <c r="C3683" s="3" t="s">
        <v>1352</v>
      </c>
      <c r="D3683" s="14">
        <v>45904</v>
      </c>
      <c r="E3683" s="5"/>
      <c r="F3683" s="5"/>
      <c r="G3683" s="6" t="s">
        <v>132</v>
      </c>
      <c r="H3683" s="6" t="s">
        <v>68</v>
      </c>
      <c r="I3683" s="6" t="s">
        <v>1376</v>
      </c>
      <c r="J3683" s="6">
        <v>783</v>
      </c>
      <c r="K3683" s="7" t="s">
        <v>4428</v>
      </c>
      <c r="L3683" s="8">
        <v>845241</v>
      </c>
      <c r="M3683" s="8" t="str">
        <f t="shared" si="297"/>
        <v>PEN</v>
      </c>
      <c r="N3683" s="13">
        <v>290</v>
      </c>
      <c r="O3683" s="13"/>
      <c r="P3683" s="3">
        <f t="shared" si="298"/>
        <v>0</v>
      </c>
      <c r="Q3683" s="3">
        <f t="shared" si="299"/>
        <v>0</v>
      </c>
      <c r="R3683" s="3">
        <f t="shared" si="295"/>
        <v>42108.669999999969</v>
      </c>
      <c r="S3683" s="24" t="s">
        <v>1334</v>
      </c>
      <c r="T3683" s="24" t="s">
        <v>1334</v>
      </c>
      <c r="U3683" s="56" t="s">
        <v>4427</v>
      </c>
      <c r="V3683" s="25">
        <f>IFERROR(VLOOKUP(BCP_Soles[[#This Row],[destinatario]],CHOOSE({1,2},Clientes_Proveedores[Razon Social],Clientes_Proveedores[Ruc / Dni]),2,0),"")</f>
        <v>10296695781</v>
      </c>
      <c r="W3683" s="25"/>
      <c r="X3683" s="25"/>
      <c r="Y3683" s="25"/>
      <c r="Z3683" s="77"/>
      <c r="AA3683" s="3" t="str">
        <f>IF(BCP_Soles[[#This Row],[fecha]]&gt;0,TEXT(BCP_Soles[[#This Row],[fecha]],"mmmm"),0)</f>
        <v>Setiembre</v>
      </c>
    </row>
    <row r="3684" spans="1:27" ht="24" x14ac:dyDescent="0.3">
      <c r="A3684" s="2">
        <f>IF(BCP_Soles[[#This Row],[tipo_registro]]="R",COUNTIFS($C$1:$C3683,"R")+1,A3683)</f>
        <v>2437</v>
      </c>
      <c r="B3684" s="19" t="str">
        <f t="shared" si="296"/>
        <v>B-BCP - Soles</v>
      </c>
      <c r="C3684" s="3" t="s">
        <v>1330</v>
      </c>
      <c r="D3684" s="14">
        <v>45904</v>
      </c>
      <c r="E3684" s="5" t="s">
        <v>1338</v>
      </c>
      <c r="F3684" s="5" t="s">
        <v>1336</v>
      </c>
      <c r="G3684" s="6" t="s">
        <v>933</v>
      </c>
      <c r="H3684" s="6"/>
      <c r="I3684" s="6"/>
      <c r="J3684" s="6"/>
      <c r="K3684" s="7" t="s">
        <v>4325</v>
      </c>
      <c r="L3684" s="8">
        <v>1035921</v>
      </c>
      <c r="M3684" s="8" t="str">
        <f t="shared" si="297"/>
        <v>PEN</v>
      </c>
      <c r="N3684" s="13"/>
      <c r="O3684" s="13">
        <v>2200</v>
      </c>
      <c r="P3684" s="3">
        <f t="shared" si="298"/>
        <v>0</v>
      </c>
      <c r="Q3684" s="3">
        <f t="shared" si="299"/>
        <v>2200</v>
      </c>
      <c r="R3684" s="3">
        <f t="shared" si="295"/>
        <v>39908.669999999969</v>
      </c>
      <c r="S3684" s="24" t="s">
        <v>1334</v>
      </c>
      <c r="T3684" s="24" t="s">
        <v>1334</v>
      </c>
      <c r="U3684" s="56" t="s">
        <v>4429</v>
      </c>
      <c r="V3684" s="25">
        <f>IFERROR(VLOOKUP(BCP_Soles[[#This Row],[destinatario]],CHOOSE({1,2},Clientes_Proveedores[Razon Social],Clientes_Proveedores[Ruc / Dni]),2,0),"")</f>
        <v>73195103</v>
      </c>
      <c r="W3684" s="25"/>
      <c r="X3684" s="25"/>
      <c r="Y3684" s="25"/>
      <c r="Z3684" s="77"/>
      <c r="AA3684" s="3" t="str">
        <f>IF(BCP_Soles[[#This Row],[fecha]]&gt;0,TEXT(BCP_Soles[[#This Row],[fecha]],"mmmm"),0)</f>
        <v>Setiembre</v>
      </c>
    </row>
    <row r="3685" spans="1:27" ht="24" x14ac:dyDescent="0.3">
      <c r="A3685" s="2">
        <f>IF(BCP_Soles[[#This Row],[tipo_registro]]="R",COUNTIFS($C$1:$C3684,"R")+1,A3684)</f>
        <v>2438</v>
      </c>
      <c r="B3685" s="19" t="str">
        <f t="shared" si="296"/>
        <v>B-BCP - Soles</v>
      </c>
      <c r="C3685" s="3" t="s">
        <v>1330</v>
      </c>
      <c r="D3685" s="14">
        <v>45904</v>
      </c>
      <c r="E3685" s="5" t="s">
        <v>1338</v>
      </c>
      <c r="F3685" s="5" t="s">
        <v>1336</v>
      </c>
      <c r="G3685" s="6" t="s">
        <v>1020</v>
      </c>
      <c r="H3685" s="6"/>
      <c r="I3685" s="6"/>
      <c r="J3685" s="6"/>
      <c r="K3685" s="7" t="s">
        <v>4430</v>
      </c>
      <c r="L3685" s="8">
        <v>1034941</v>
      </c>
      <c r="M3685" s="8" t="str">
        <f t="shared" si="297"/>
        <v>PEN</v>
      </c>
      <c r="N3685" s="13"/>
      <c r="O3685" s="13">
        <v>1443.84</v>
      </c>
      <c r="P3685" s="3">
        <f t="shared" si="298"/>
        <v>0</v>
      </c>
      <c r="Q3685" s="3">
        <f t="shared" si="299"/>
        <v>1443.84</v>
      </c>
      <c r="R3685" s="3">
        <f t="shared" si="295"/>
        <v>38464.829999999973</v>
      </c>
      <c r="S3685" s="24"/>
      <c r="T3685" s="24" t="s">
        <v>1334</v>
      </c>
      <c r="U3685" s="56" t="s">
        <v>4431</v>
      </c>
      <c r="V3685" s="25">
        <f>IFERROR(VLOOKUP(BCP_Soles[[#This Row],[destinatario]],CHOOSE({1,2},Clientes_Proveedores[Razon Social],Clientes_Proveedores[Ruc / Dni]),2,0),"")</f>
        <v>60248415</v>
      </c>
      <c r="W3685" s="25"/>
      <c r="X3685" s="25"/>
      <c r="Y3685" s="25"/>
      <c r="Z3685" s="77"/>
      <c r="AA3685" s="3" t="str">
        <f>IF(BCP_Soles[[#This Row],[fecha]]&gt;0,TEXT(BCP_Soles[[#This Row],[fecha]],"mmmm"),0)</f>
        <v>Setiembre</v>
      </c>
    </row>
    <row r="3686" spans="1:27" ht="24" x14ac:dyDescent="0.3">
      <c r="A3686" s="2">
        <f>IF(BCP_Soles[[#This Row],[tipo_registro]]="R",COUNTIFS($C$1:$C3685,"R")+1,A3685)</f>
        <v>2439</v>
      </c>
      <c r="B3686" s="19" t="str">
        <f t="shared" si="296"/>
        <v>B-BCP - Soles</v>
      </c>
      <c r="C3686" s="3" t="s">
        <v>1330</v>
      </c>
      <c r="D3686" s="14">
        <v>45904</v>
      </c>
      <c r="E3686" s="5" t="s">
        <v>1338</v>
      </c>
      <c r="F3686" s="5" t="s">
        <v>1336</v>
      </c>
      <c r="G3686" s="6" t="s">
        <v>812</v>
      </c>
      <c r="H3686" s="6"/>
      <c r="I3686" s="6"/>
      <c r="J3686" s="6"/>
      <c r="K3686" s="7" t="s">
        <v>4432</v>
      </c>
      <c r="L3686" s="8">
        <v>1033946</v>
      </c>
      <c r="M3686" s="8" t="str">
        <f t="shared" si="297"/>
        <v>PEN</v>
      </c>
      <c r="N3686" s="13"/>
      <c r="O3686" s="13">
        <v>3905.88</v>
      </c>
      <c r="P3686" s="3">
        <f t="shared" si="298"/>
        <v>0</v>
      </c>
      <c r="Q3686" s="3">
        <f t="shared" si="299"/>
        <v>3905.88</v>
      </c>
      <c r="R3686" s="3">
        <f t="shared" si="295"/>
        <v>34558.949999999975</v>
      </c>
      <c r="S3686" s="24"/>
      <c r="T3686" s="24" t="s">
        <v>1334</v>
      </c>
      <c r="U3686" s="56" t="s">
        <v>4431</v>
      </c>
      <c r="V3686" s="25">
        <f>IFERROR(VLOOKUP(BCP_Soles[[#This Row],[destinatario]],CHOOSE({1,2},Clientes_Proveedores[Razon Social],Clientes_Proveedores[Ruc / Dni]),2,0),"")</f>
        <v>73444362</v>
      </c>
      <c r="W3686" s="25"/>
      <c r="X3686" s="25"/>
      <c r="Y3686" s="25"/>
      <c r="Z3686" s="77"/>
      <c r="AA3686" s="3" t="str">
        <f>IF(BCP_Soles[[#This Row],[fecha]]&gt;0,TEXT(BCP_Soles[[#This Row],[fecha]],"mmmm"),0)</f>
        <v>Setiembre</v>
      </c>
    </row>
    <row r="3687" spans="1:27" x14ac:dyDescent="0.3">
      <c r="A3687" s="2">
        <f>IF(BCP_Soles[[#This Row],[tipo_registro]]="R",COUNTIFS($C$1:$C3686,"R")+1,A3686)</f>
        <v>2440</v>
      </c>
      <c r="B3687" s="19" t="str">
        <f t="shared" si="296"/>
        <v>B-BCP - Soles</v>
      </c>
      <c r="C3687" s="3" t="s">
        <v>1330</v>
      </c>
      <c r="D3687" s="14">
        <v>45904</v>
      </c>
      <c r="E3687" s="5" t="s">
        <v>1335</v>
      </c>
      <c r="F3687" s="5" t="s">
        <v>1336</v>
      </c>
      <c r="G3687" s="6" t="s">
        <v>1009</v>
      </c>
      <c r="H3687" s="6" t="s">
        <v>64</v>
      </c>
      <c r="I3687" s="6" t="s">
        <v>3673</v>
      </c>
      <c r="J3687" s="6">
        <v>2442</v>
      </c>
      <c r="K3687" s="7" t="s">
        <v>3160</v>
      </c>
      <c r="L3687" s="8"/>
      <c r="M3687" s="8" t="str">
        <f t="shared" si="297"/>
        <v>PEN</v>
      </c>
      <c r="N3687" s="13"/>
      <c r="O3687" s="13">
        <v>0.6</v>
      </c>
      <c r="P3687" s="3">
        <f t="shared" si="298"/>
        <v>0</v>
      </c>
      <c r="Q3687" s="3">
        <f t="shared" si="299"/>
        <v>0.6</v>
      </c>
      <c r="R3687" s="3">
        <f t="shared" si="295"/>
        <v>34558.349999999977</v>
      </c>
      <c r="S3687" s="24"/>
      <c r="T3687" s="24" t="s">
        <v>1334</v>
      </c>
      <c r="U3687" s="56"/>
      <c r="V3687" s="25">
        <f>IFERROR(VLOOKUP(BCP_Soles[[#This Row],[destinatario]],CHOOSE({1,2},Clientes_Proveedores[Razon Social],Clientes_Proveedores[Ruc / Dni]),2,0),"")</f>
        <v>11111111</v>
      </c>
      <c r="W3687" s="25"/>
      <c r="X3687" s="25"/>
      <c r="Y3687" s="25"/>
      <c r="Z3687" s="77"/>
      <c r="AA3687" s="3" t="str">
        <f>IF(BCP_Soles[[#This Row],[fecha]]&gt;0,TEXT(BCP_Soles[[#This Row],[fecha]],"mmmm"),0)</f>
        <v>Setiembre</v>
      </c>
    </row>
    <row r="3688" spans="1:27" x14ac:dyDescent="0.3">
      <c r="A3688" s="2">
        <f>IF(BCP_Soles[[#This Row],[tipo_registro]]="R",COUNTIFS($C$1:$C3687,"R")+1,A3687)</f>
        <v>2441</v>
      </c>
      <c r="B3688" s="19" t="str">
        <f t="shared" si="296"/>
        <v>B-BCP - Soles</v>
      </c>
      <c r="C3688" s="3" t="s">
        <v>1330</v>
      </c>
      <c r="D3688" s="14">
        <v>45905</v>
      </c>
      <c r="E3688" s="5" t="s">
        <v>286</v>
      </c>
      <c r="F3688" s="69" t="s">
        <v>1303</v>
      </c>
      <c r="G3688" s="6" t="s">
        <v>425</v>
      </c>
      <c r="H3688" s="6" t="s">
        <v>68</v>
      </c>
      <c r="I3688" s="6" t="s">
        <v>1784</v>
      </c>
      <c r="J3688" s="6">
        <v>222</v>
      </c>
      <c r="K3688" s="7" t="s">
        <v>4024</v>
      </c>
      <c r="L3688" s="8">
        <v>2335</v>
      </c>
      <c r="M3688" s="8" t="str">
        <f t="shared" si="297"/>
        <v>PEN</v>
      </c>
      <c r="N3688" s="13"/>
      <c r="O3688" s="13">
        <v>1608.49</v>
      </c>
      <c r="P3688" s="3">
        <f t="shared" si="298"/>
        <v>1608.49</v>
      </c>
      <c r="Q3688" s="3">
        <f t="shared" si="299"/>
        <v>0</v>
      </c>
      <c r="R3688" s="3">
        <f t="shared" si="295"/>
        <v>36166.839999999975</v>
      </c>
      <c r="S3688" s="24" t="s">
        <v>1334</v>
      </c>
      <c r="T3688" s="24" t="s">
        <v>1334</v>
      </c>
      <c r="U3688" s="56"/>
      <c r="V3688" s="25">
        <f>IFERROR(VLOOKUP(BCP_Soles[[#This Row],[destinatario]],CHOOSE({1,2},Clientes_Proveedores[Razon Social],Clientes_Proveedores[Ruc / Dni]),2,0),"")</f>
        <v>20558226979</v>
      </c>
      <c r="W3688" s="25"/>
      <c r="X3688" s="25"/>
      <c r="Y3688" s="25"/>
      <c r="Z3688" s="77"/>
      <c r="AA3688" s="3" t="str">
        <f>IF(BCP_Soles[[#This Row],[fecha]]&gt;0,TEXT(BCP_Soles[[#This Row],[fecha]],"mmmm"),0)</f>
        <v>Setiembre</v>
      </c>
    </row>
    <row r="3689" spans="1:27" ht="24" x14ac:dyDescent="0.3">
      <c r="A3689" s="2">
        <f>IF(BCP_Soles[[#This Row],[tipo_registro]]="R",COUNTIFS($C$1:$C3688,"R")+1,A3688)</f>
        <v>2442</v>
      </c>
      <c r="B3689" s="19" t="str">
        <f t="shared" si="296"/>
        <v>B-BCP - Soles</v>
      </c>
      <c r="C3689" s="3" t="s">
        <v>1330</v>
      </c>
      <c r="D3689" s="14">
        <v>45905</v>
      </c>
      <c r="E3689" s="5" t="s">
        <v>1338</v>
      </c>
      <c r="F3689" s="5" t="s">
        <v>1336</v>
      </c>
      <c r="G3689" s="6" t="s">
        <v>970</v>
      </c>
      <c r="H3689" s="6" t="s">
        <v>68</v>
      </c>
      <c r="I3689" s="6" t="s">
        <v>1376</v>
      </c>
      <c r="J3689" s="6">
        <v>1801</v>
      </c>
      <c r="K3689" s="7" t="s">
        <v>4433</v>
      </c>
      <c r="L3689" s="8">
        <v>1001261</v>
      </c>
      <c r="M3689" s="8" t="str">
        <f t="shared" si="297"/>
        <v>PEN</v>
      </c>
      <c r="N3689" s="13"/>
      <c r="O3689" s="13">
        <v>130</v>
      </c>
      <c r="P3689" s="3">
        <f t="shared" si="298"/>
        <v>0</v>
      </c>
      <c r="Q3689" s="3">
        <f t="shared" si="299"/>
        <v>130</v>
      </c>
      <c r="R3689" s="3">
        <f t="shared" si="295"/>
        <v>36036.839999999975</v>
      </c>
      <c r="S3689" s="24" t="s">
        <v>1334</v>
      </c>
      <c r="T3689" s="24" t="s">
        <v>1334</v>
      </c>
      <c r="U3689" s="55"/>
      <c r="V3689" s="25">
        <f>IFERROR(VLOOKUP(BCP_Soles[[#This Row],[destinatario]],CHOOSE({1,2},Clientes_Proveedores[Razon Social],Clientes_Proveedores[Ruc / Dni]),2,0),"")</f>
        <v>10297207330</v>
      </c>
      <c r="W3689" s="25"/>
      <c r="X3689" s="25"/>
      <c r="Y3689" s="25"/>
      <c r="Z3689" s="77"/>
      <c r="AA3689" s="3" t="str">
        <f>IF(BCP_Soles[[#This Row],[fecha]]&gt;0,TEXT(BCP_Soles[[#This Row],[fecha]],"mmmm"),0)</f>
        <v>Setiembre</v>
      </c>
    </row>
    <row r="3690" spans="1:27" x14ac:dyDescent="0.3">
      <c r="A3690" s="2">
        <f>IF(BCP_Soles[[#This Row],[tipo_registro]]="R",COUNTIFS($C$1:$C3689,"R")+1,A3689)</f>
        <v>2443</v>
      </c>
      <c r="B3690" s="19" t="str">
        <f t="shared" si="296"/>
        <v>B-BCP - Soles</v>
      </c>
      <c r="C3690" s="3" t="s">
        <v>1330</v>
      </c>
      <c r="D3690" s="14">
        <v>45905</v>
      </c>
      <c r="E3690" s="5" t="s">
        <v>1338</v>
      </c>
      <c r="F3690" s="5" t="s">
        <v>1336</v>
      </c>
      <c r="G3690" s="6" t="s">
        <v>695</v>
      </c>
      <c r="H3690" s="6" t="s">
        <v>68</v>
      </c>
      <c r="I3690" s="6" t="s">
        <v>1377</v>
      </c>
      <c r="J3690" s="6">
        <v>180928</v>
      </c>
      <c r="K3690" s="7" t="s">
        <v>4376</v>
      </c>
      <c r="L3690" s="8">
        <v>188090</v>
      </c>
      <c r="M3690" s="8" t="str">
        <f t="shared" si="297"/>
        <v>PEN</v>
      </c>
      <c r="N3690" s="13"/>
      <c r="O3690" s="13">
        <v>933.44</v>
      </c>
      <c r="P3690" s="3">
        <f t="shared" si="298"/>
        <v>0</v>
      </c>
      <c r="Q3690" s="3">
        <f t="shared" si="299"/>
        <v>933.44</v>
      </c>
      <c r="R3690" s="3">
        <f t="shared" si="295"/>
        <v>35103.399999999972</v>
      </c>
      <c r="S3690" s="24" t="s">
        <v>1334</v>
      </c>
      <c r="T3690" s="24" t="s">
        <v>1334</v>
      </c>
      <c r="U3690" s="55"/>
      <c r="V3690" s="25">
        <f>IFERROR(VLOOKUP(BCP_Soles[[#This Row],[destinatario]],CHOOSE({1,2},Clientes_Proveedores[Razon Social],Clientes_Proveedores[Ruc / Dni]),2,0),"")</f>
        <v>20127765279</v>
      </c>
      <c r="W3690" s="25"/>
      <c r="X3690" s="25"/>
      <c r="Y3690" s="25"/>
      <c r="Z3690" s="77"/>
      <c r="AA3690" s="3" t="str">
        <f>IF(BCP_Soles[[#This Row],[fecha]]&gt;0,TEXT(BCP_Soles[[#This Row],[fecha]],"mmmm"),0)</f>
        <v>Setiembre</v>
      </c>
    </row>
    <row r="3691" spans="1:27" ht="36" x14ac:dyDescent="0.3">
      <c r="A3691" s="2">
        <f>IF(BCP_Soles[[#This Row],[tipo_registro]]="R",COUNTIFS($C$1:$C3690,"R")+1,A3690)</f>
        <v>2444</v>
      </c>
      <c r="B3691" s="19" t="str">
        <f t="shared" si="296"/>
        <v>B-BCP - Soles</v>
      </c>
      <c r="C3691" s="3" t="s">
        <v>1330</v>
      </c>
      <c r="D3691" s="14">
        <v>45905</v>
      </c>
      <c r="E3691" s="5" t="s">
        <v>1338</v>
      </c>
      <c r="F3691" s="5" t="s">
        <v>1336</v>
      </c>
      <c r="G3691" s="213" t="s">
        <v>948</v>
      </c>
      <c r="H3691" s="6"/>
      <c r="I3691" s="6"/>
      <c r="J3691" s="6"/>
      <c r="K3691" s="7" t="s">
        <v>3083</v>
      </c>
      <c r="L3691" s="8">
        <v>1188089</v>
      </c>
      <c r="M3691" s="8" t="str">
        <f t="shared" si="297"/>
        <v>PEN</v>
      </c>
      <c r="N3691" s="13"/>
      <c r="O3691" s="13">
        <v>4500</v>
      </c>
      <c r="P3691" s="3">
        <f t="shared" si="298"/>
        <v>0</v>
      </c>
      <c r="Q3691" s="3">
        <f t="shared" si="299"/>
        <v>4500</v>
      </c>
      <c r="R3691" s="3">
        <f t="shared" si="295"/>
        <v>30603.399999999972</v>
      </c>
      <c r="S3691" s="24"/>
      <c r="T3691" s="24" t="s">
        <v>1334</v>
      </c>
      <c r="U3691" s="55"/>
      <c r="V3691" s="25">
        <f>IFERROR(VLOOKUP(BCP_Soles[[#This Row],[destinatario]],CHOOSE({1,2},Clientes_Proveedores[Razon Social],Clientes_Proveedores[Ruc / Dni]),2,0),"")</f>
        <v>71311214</v>
      </c>
      <c r="W3691" s="25"/>
      <c r="X3691" s="25"/>
      <c r="Y3691" s="25"/>
      <c r="Z3691" s="77"/>
      <c r="AA3691" s="3" t="str">
        <f>IF(BCP_Soles[[#This Row],[fecha]]&gt;0,TEXT(BCP_Soles[[#This Row],[fecha]],"mmmm"),0)</f>
        <v>Setiembre</v>
      </c>
    </row>
    <row r="3692" spans="1:27" x14ac:dyDescent="0.3">
      <c r="A3692" s="2">
        <f>IF(BCP_Soles[[#This Row],[tipo_registro]]="R",COUNTIFS($C$1:$C3691,"R")+1,A3691)</f>
        <v>2445</v>
      </c>
      <c r="B3692" s="19" t="str">
        <f t="shared" si="296"/>
        <v>B-BCP - Soles</v>
      </c>
      <c r="C3692" s="3" t="s">
        <v>1330</v>
      </c>
      <c r="D3692" s="14">
        <v>45905</v>
      </c>
      <c r="E3692" s="5" t="s">
        <v>1338</v>
      </c>
      <c r="F3692" s="5" t="s">
        <v>1336</v>
      </c>
      <c r="G3692" s="6" t="s">
        <v>425</v>
      </c>
      <c r="H3692" s="6"/>
      <c r="I3692" s="6"/>
      <c r="J3692" s="6"/>
      <c r="K3692" s="7" t="s">
        <v>4434</v>
      </c>
      <c r="L3692" s="8">
        <v>1185981</v>
      </c>
      <c r="M3692" s="8" t="str">
        <f t="shared" si="297"/>
        <v>PEN</v>
      </c>
      <c r="N3692" s="13"/>
      <c r="O3692" s="13">
        <v>250</v>
      </c>
      <c r="P3692" s="3">
        <f t="shared" si="298"/>
        <v>0</v>
      </c>
      <c r="Q3692" s="3">
        <f t="shared" si="299"/>
        <v>250</v>
      </c>
      <c r="R3692" s="3">
        <f t="shared" si="295"/>
        <v>30353.399999999972</v>
      </c>
      <c r="S3692" s="24" t="s">
        <v>1334</v>
      </c>
      <c r="T3692" s="24" t="s">
        <v>1334</v>
      </c>
      <c r="U3692" s="55"/>
      <c r="V3692" s="25">
        <f>IFERROR(VLOOKUP(BCP_Soles[[#This Row],[destinatario]],CHOOSE({1,2},Clientes_Proveedores[Razon Social],Clientes_Proveedores[Ruc / Dni]),2,0),"")</f>
        <v>20558226979</v>
      </c>
      <c r="W3692" s="25"/>
      <c r="X3692" s="25"/>
      <c r="Y3692" s="25"/>
      <c r="Z3692" s="77"/>
      <c r="AA3692" s="3" t="str">
        <f>IF(BCP_Soles[[#This Row],[fecha]]&gt;0,TEXT(BCP_Soles[[#This Row],[fecha]],"mmmm"),0)</f>
        <v>Setiembre</v>
      </c>
    </row>
    <row r="3693" spans="1:27" ht="24" x14ac:dyDescent="0.3">
      <c r="A3693" s="2">
        <f>IF(BCP_Soles[[#This Row],[tipo_registro]]="R",COUNTIFS($C$1:$C3692,"R")+1,A3692)</f>
        <v>2446</v>
      </c>
      <c r="B3693" s="19" t="str">
        <f t="shared" si="296"/>
        <v>B-BCP - Soles</v>
      </c>
      <c r="C3693" s="3" t="s">
        <v>1330</v>
      </c>
      <c r="D3693" s="14">
        <v>45905</v>
      </c>
      <c r="E3693" s="5" t="s">
        <v>1338</v>
      </c>
      <c r="F3693" s="5" t="s">
        <v>1336</v>
      </c>
      <c r="G3693" s="6" t="s">
        <v>909</v>
      </c>
      <c r="H3693" s="6" t="s">
        <v>143</v>
      </c>
      <c r="I3693" s="6">
        <v>1</v>
      </c>
      <c r="J3693" s="6">
        <v>652025</v>
      </c>
      <c r="K3693" s="7" t="s">
        <v>4435</v>
      </c>
      <c r="L3693" s="8">
        <v>1281425</v>
      </c>
      <c r="M3693" s="8" t="str">
        <f t="shared" si="297"/>
        <v>PEN</v>
      </c>
      <c r="N3693" s="13"/>
      <c r="O3693" s="13">
        <v>1300</v>
      </c>
      <c r="P3693" s="3">
        <f t="shared" si="298"/>
        <v>0</v>
      </c>
      <c r="Q3693" s="3">
        <f t="shared" si="299"/>
        <v>1300</v>
      </c>
      <c r="R3693" s="3">
        <f t="shared" si="295"/>
        <v>29053.399999999972</v>
      </c>
      <c r="S3693" s="24" t="s">
        <v>1334</v>
      </c>
      <c r="T3693" s="24" t="s">
        <v>1334</v>
      </c>
      <c r="U3693" s="55"/>
      <c r="V3693" s="25">
        <f>IFERROR(VLOOKUP(BCP_Soles[[#This Row],[destinatario]],CHOOSE({1,2},Clientes_Proveedores[Razon Social],Clientes_Proveedores[Ruc / Dni]),2,0),"")</f>
        <v>44314304</v>
      </c>
      <c r="W3693" s="25"/>
      <c r="X3693" s="25"/>
      <c r="Y3693" s="25"/>
      <c r="Z3693" s="77"/>
      <c r="AA3693" s="3" t="str">
        <f>IF(BCP_Soles[[#This Row],[fecha]]&gt;0,TEXT(BCP_Soles[[#This Row],[fecha]],"mmmm"),0)</f>
        <v>Setiembre</v>
      </c>
    </row>
    <row r="3694" spans="1:27" ht="24" x14ac:dyDescent="0.3">
      <c r="A3694" s="2">
        <f>IF(BCP_Soles[[#This Row],[tipo_registro]]="R",COUNTIFS($C$1:$C3693,"R")+1,A3693)</f>
        <v>2447</v>
      </c>
      <c r="B3694" s="19" t="str">
        <f t="shared" si="296"/>
        <v>B-BCP - Soles</v>
      </c>
      <c r="C3694" s="3" t="s">
        <v>1330</v>
      </c>
      <c r="D3694" s="14">
        <v>45905</v>
      </c>
      <c r="E3694" s="5" t="s">
        <v>1338</v>
      </c>
      <c r="F3694" s="5" t="s">
        <v>1336</v>
      </c>
      <c r="G3694" s="6" t="s">
        <v>922</v>
      </c>
      <c r="H3694" s="6" t="s">
        <v>143</v>
      </c>
      <c r="I3694" s="6">
        <v>1</v>
      </c>
      <c r="J3694" s="6">
        <v>662025</v>
      </c>
      <c r="K3694" s="7" t="s">
        <v>4436</v>
      </c>
      <c r="L3694" s="8">
        <v>1283881</v>
      </c>
      <c r="M3694" s="8" t="str">
        <f t="shared" si="297"/>
        <v>PEN</v>
      </c>
      <c r="N3694" s="13"/>
      <c r="O3694" s="13">
        <v>790</v>
      </c>
      <c r="P3694" s="3">
        <f t="shared" si="298"/>
        <v>0</v>
      </c>
      <c r="Q3694" s="3">
        <f t="shared" si="299"/>
        <v>790</v>
      </c>
      <c r="R3694" s="3">
        <f t="shared" si="295"/>
        <v>28263.399999999972</v>
      </c>
      <c r="S3694" s="24" t="s">
        <v>1334</v>
      </c>
      <c r="T3694" s="24" t="s">
        <v>1334</v>
      </c>
      <c r="U3694" s="55"/>
      <c r="V3694" s="25">
        <f>IFERROR(VLOOKUP(BCP_Soles[[#This Row],[destinatario]],CHOOSE({1,2},Clientes_Proveedores[Razon Social],Clientes_Proveedores[Ruc / Dni]),2,0),"")</f>
        <v>72537561</v>
      </c>
      <c r="W3694" s="25"/>
      <c r="X3694" s="25"/>
      <c r="Y3694" s="25"/>
      <c r="Z3694" s="77"/>
      <c r="AA3694" s="3" t="str">
        <f>IF(BCP_Soles[[#This Row],[fecha]]&gt;0,TEXT(BCP_Soles[[#This Row],[fecha]],"mmmm"),0)</f>
        <v>Setiembre</v>
      </c>
    </row>
    <row r="3695" spans="1:27" ht="24" x14ac:dyDescent="0.3">
      <c r="A3695" s="2">
        <f>IF(BCP_Soles[[#This Row],[tipo_registro]]="R",COUNTIFS($C$1:$C3694,"R")+1,A3694)</f>
        <v>2448</v>
      </c>
      <c r="B3695" s="19" t="str">
        <f t="shared" si="296"/>
        <v>B-BCP - Soles</v>
      </c>
      <c r="C3695" s="3" t="s">
        <v>1330</v>
      </c>
      <c r="D3695" s="14">
        <v>45905</v>
      </c>
      <c r="E3695" s="5" t="s">
        <v>1338</v>
      </c>
      <c r="F3695" s="5" t="s">
        <v>1336</v>
      </c>
      <c r="G3695" s="6" t="s">
        <v>185</v>
      </c>
      <c r="H3695" s="6" t="s">
        <v>68</v>
      </c>
      <c r="I3695" s="6" t="s">
        <v>1376</v>
      </c>
      <c r="J3695" s="6">
        <v>146</v>
      </c>
      <c r="K3695" s="7" t="s">
        <v>4437</v>
      </c>
      <c r="L3695" s="8">
        <v>1281926</v>
      </c>
      <c r="M3695" s="8" t="str">
        <f t="shared" si="297"/>
        <v>PEN</v>
      </c>
      <c r="N3695" s="13"/>
      <c r="O3695" s="13">
        <v>1020</v>
      </c>
      <c r="P3695" s="3">
        <f t="shared" si="298"/>
        <v>0</v>
      </c>
      <c r="Q3695" s="3">
        <f t="shared" si="299"/>
        <v>1020</v>
      </c>
      <c r="R3695" s="3">
        <f t="shared" si="295"/>
        <v>27243.399999999972</v>
      </c>
      <c r="S3695" s="24" t="s">
        <v>1334</v>
      </c>
      <c r="T3695" s="24" t="s">
        <v>1334</v>
      </c>
      <c r="U3695" s="55"/>
      <c r="V3695" s="25">
        <f>IFERROR(VLOOKUP(BCP_Soles[[#This Row],[destinatario]],CHOOSE({1,2},Clientes_Proveedores[Razon Social],Clientes_Proveedores[Ruc / Dni]),2,0),"")</f>
        <v>10489531963</v>
      </c>
      <c r="W3695" s="25"/>
      <c r="X3695" s="25"/>
      <c r="Y3695" s="25"/>
      <c r="Z3695" s="77"/>
      <c r="AA3695" s="3" t="str">
        <f>IF(BCP_Soles[[#This Row],[fecha]]&gt;0,TEXT(BCP_Soles[[#This Row],[fecha]],"mmmm"),0)</f>
        <v>Setiembre</v>
      </c>
    </row>
    <row r="3696" spans="1:27" ht="36" x14ac:dyDescent="0.3">
      <c r="A3696" s="2">
        <f>IF(BCP_Soles[[#This Row],[tipo_registro]]="R",COUNTIFS($C$1:$C3695,"R")+1,A3695)</f>
        <v>2449</v>
      </c>
      <c r="B3696" s="19" t="str">
        <f t="shared" si="296"/>
        <v>B-BCP - Soles</v>
      </c>
      <c r="C3696" s="3" t="s">
        <v>1330</v>
      </c>
      <c r="D3696" s="14">
        <v>45905</v>
      </c>
      <c r="E3696" s="5" t="s">
        <v>1338</v>
      </c>
      <c r="F3696" s="5" t="s">
        <v>1336</v>
      </c>
      <c r="G3696" s="6" t="s">
        <v>588</v>
      </c>
      <c r="H3696" s="6" t="s">
        <v>68</v>
      </c>
      <c r="I3696" s="6" t="s">
        <v>1376</v>
      </c>
      <c r="J3696" s="6">
        <v>502</v>
      </c>
      <c r="K3696" s="7" t="s">
        <v>4438</v>
      </c>
      <c r="L3696" s="8">
        <v>1283882</v>
      </c>
      <c r="M3696" s="8" t="str">
        <f t="shared" si="297"/>
        <v>PEN</v>
      </c>
      <c r="N3696" s="13"/>
      <c r="O3696" s="13">
        <v>94.28</v>
      </c>
      <c r="P3696" s="3">
        <f t="shared" si="298"/>
        <v>0</v>
      </c>
      <c r="Q3696" s="3">
        <f t="shared" si="299"/>
        <v>94.28</v>
      </c>
      <c r="R3696" s="3">
        <f t="shared" si="295"/>
        <v>27149.119999999974</v>
      </c>
      <c r="S3696" s="24" t="s">
        <v>1334</v>
      </c>
      <c r="T3696" s="24" t="s">
        <v>1334</v>
      </c>
      <c r="U3696" s="55"/>
      <c r="V3696" s="25">
        <f>IFERROR(VLOOKUP(BCP_Soles[[#This Row],[destinatario]],CHOOSE({1,2},Clientes_Proveedores[Razon Social],Clientes_Proveedores[Ruc / Dni]),2,0),"")</f>
        <v>20609368773</v>
      </c>
      <c r="W3696" s="25"/>
      <c r="X3696" s="25"/>
      <c r="Y3696" s="25"/>
      <c r="Z3696" s="77"/>
      <c r="AA3696" s="3" t="str">
        <f>IF(BCP_Soles[[#This Row],[fecha]]&gt;0,TEXT(BCP_Soles[[#This Row],[fecha]],"mmmm"),0)</f>
        <v>Setiembre</v>
      </c>
    </row>
    <row r="3697" spans="1:27" x14ac:dyDescent="0.3">
      <c r="A3697" s="2">
        <f>IF(BCP_Soles[[#This Row],[tipo_registro]]="R",COUNTIFS($C$1:$C3696,"R")+1,A3696)</f>
        <v>2450</v>
      </c>
      <c r="B3697" s="19" t="str">
        <f t="shared" si="296"/>
        <v>B-BCP - Soles</v>
      </c>
      <c r="C3697" s="3" t="s">
        <v>1330</v>
      </c>
      <c r="D3697" s="14">
        <v>45905</v>
      </c>
      <c r="E3697" s="5" t="s">
        <v>1338</v>
      </c>
      <c r="F3697" s="5" t="s">
        <v>1336</v>
      </c>
      <c r="G3697" s="6" t="s">
        <v>696</v>
      </c>
      <c r="H3697" s="6"/>
      <c r="I3697" s="6"/>
      <c r="J3697" s="6"/>
      <c r="K3697" s="7" t="s">
        <v>4439</v>
      </c>
      <c r="L3697" s="8">
        <v>1466862</v>
      </c>
      <c r="M3697" s="8" t="str">
        <f t="shared" si="297"/>
        <v>PEN</v>
      </c>
      <c r="N3697" s="13"/>
      <c r="O3697" s="13">
        <v>13382.6</v>
      </c>
      <c r="P3697" s="3">
        <f t="shared" si="298"/>
        <v>0</v>
      </c>
      <c r="Q3697" s="3">
        <f t="shared" si="299"/>
        <v>13382.6</v>
      </c>
      <c r="R3697" s="3">
        <f t="shared" si="295"/>
        <v>13766.519999999973</v>
      </c>
      <c r="S3697" s="24" t="s">
        <v>1334</v>
      </c>
      <c r="T3697" s="24" t="s">
        <v>1334</v>
      </c>
      <c r="U3697" s="55"/>
      <c r="V3697" s="25">
        <f>IFERROR(VLOOKUP(BCP_Soles[[#This Row],[destinatario]],CHOOSE({1,2},Clientes_Proveedores[Razon Social],Clientes_Proveedores[Ruc / Dni]),2,0),"")</f>
        <v>0</v>
      </c>
      <c r="W3697" s="25"/>
      <c r="X3697" s="25"/>
      <c r="Y3697" s="25"/>
      <c r="Z3697" s="77"/>
      <c r="AA3697" s="3" t="str">
        <f>IF(BCP_Soles[[#This Row],[fecha]]&gt;0,TEXT(BCP_Soles[[#This Row],[fecha]],"mmmm"),0)</f>
        <v>Setiembre</v>
      </c>
    </row>
    <row r="3698" spans="1:27" x14ac:dyDescent="0.3">
      <c r="A3698" s="2">
        <f>IF(BCP_Soles[[#This Row],[tipo_registro]]="R",COUNTIFS($C$1:$C3697,"R")+1,A3697)</f>
        <v>2450</v>
      </c>
      <c r="B3698" s="19" t="str">
        <f t="shared" si="296"/>
        <v>B-BCP - Soles</v>
      </c>
      <c r="C3698" s="3" t="s">
        <v>1352</v>
      </c>
      <c r="D3698" s="14">
        <v>45905</v>
      </c>
      <c r="E3698" s="5" t="s">
        <v>1338</v>
      </c>
      <c r="F3698" s="5"/>
      <c r="G3698" s="6" t="s">
        <v>565</v>
      </c>
      <c r="H3698" s="6" t="s">
        <v>68</v>
      </c>
      <c r="I3698" s="6" t="s">
        <v>1432</v>
      </c>
      <c r="J3698" s="6">
        <v>278</v>
      </c>
      <c r="K3698" s="7" t="s">
        <v>4439</v>
      </c>
      <c r="L3698" s="8">
        <v>1466862</v>
      </c>
      <c r="M3698" s="8" t="str">
        <f t="shared" si="297"/>
        <v>PEN</v>
      </c>
      <c r="N3698" s="13">
        <v>180</v>
      </c>
      <c r="O3698" s="13"/>
      <c r="P3698" s="3">
        <f t="shared" si="298"/>
        <v>0</v>
      </c>
      <c r="Q3698" s="3">
        <f t="shared" si="299"/>
        <v>0</v>
      </c>
      <c r="R3698" s="3">
        <f t="shared" si="295"/>
        <v>13766.519999999973</v>
      </c>
      <c r="S3698" s="24" t="s">
        <v>1334</v>
      </c>
      <c r="T3698" s="24" t="s">
        <v>1334</v>
      </c>
      <c r="U3698" s="55"/>
      <c r="V3698" s="25">
        <f>IFERROR(VLOOKUP(BCP_Soles[[#This Row],[destinatario]],CHOOSE({1,2},Clientes_Proveedores[Razon Social],Clientes_Proveedores[Ruc / Dni]),2,0),"")</f>
        <v>20608587803</v>
      </c>
      <c r="W3698" s="25"/>
      <c r="X3698" s="25"/>
      <c r="Y3698" s="25"/>
      <c r="Z3698" s="77"/>
      <c r="AA3698" s="3" t="str">
        <f>IF(BCP_Soles[[#This Row],[fecha]]&gt;0,TEXT(BCP_Soles[[#This Row],[fecha]],"mmmm"),0)</f>
        <v>Setiembre</v>
      </c>
    </row>
    <row r="3699" spans="1:27" ht="24" x14ac:dyDescent="0.3">
      <c r="A3699" s="2">
        <f>IF(BCP_Soles[[#This Row],[tipo_registro]]="R",COUNTIFS($C$1:$C3698,"R")+1,A3698)</f>
        <v>2450</v>
      </c>
      <c r="B3699" s="19" t="str">
        <f t="shared" si="296"/>
        <v>B-BCP - Soles</v>
      </c>
      <c r="C3699" s="3" t="s">
        <v>1352</v>
      </c>
      <c r="D3699" s="14">
        <v>45905</v>
      </c>
      <c r="E3699" s="5" t="s">
        <v>1338</v>
      </c>
      <c r="F3699" s="5"/>
      <c r="G3699" s="6" t="s">
        <v>209</v>
      </c>
      <c r="H3699" s="6" t="s">
        <v>68</v>
      </c>
      <c r="I3699" s="6" t="s">
        <v>2086</v>
      </c>
      <c r="J3699" s="6">
        <v>36450</v>
      </c>
      <c r="K3699" s="7" t="s">
        <v>4439</v>
      </c>
      <c r="L3699" s="8">
        <v>1466862</v>
      </c>
      <c r="M3699" s="8" t="str">
        <f t="shared" si="297"/>
        <v>PEN</v>
      </c>
      <c r="N3699" s="13">
        <v>2536.52</v>
      </c>
      <c r="O3699" s="13"/>
      <c r="P3699" s="3">
        <f t="shared" si="298"/>
        <v>0</v>
      </c>
      <c r="Q3699" s="3">
        <f t="shared" si="299"/>
        <v>0</v>
      </c>
      <c r="R3699" s="3">
        <f t="shared" si="295"/>
        <v>13766.519999999973</v>
      </c>
      <c r="S3699" s="24" t="s">
        <v>1334</v>
      </c>
      <c r="T3699" s="24" t="s">
        <v>1334</v>
      </c>
      <c r="U3699" s="55"/>
      <c r="V3699" s="25">
        <f>IFERROR(VLOOKUP(BCP_Soles[[#This Row],[destinatario]],CHOOSE({1,2},Clientes_Proveedores[Razon Social],Clientes_Proveedores[Ruc / Dni]),2,0),"")</f>
        <v>20100226902</v>
      </c>
      <c r="W3699" s="25"/>
      <c r="X3699" s="25"/>
      <c r="Y3699" s="25"/>
      <c r="Z3699" s="77"/>
      <c r="AA3699" s="3" t="str">
        <f>IF(BCP_Soles[[#This Row],[fecha]]&gt;0,TEXT(BCP_Soles[[#This Row],[fecha]],"mmmm"),0)</f>
        <v>Setiembre</v>
      </c>
    </row>
    <row r="3700" spans="1:27" ht="24" x14ac:dyDescent="0.3">
      <c r="A3700" s="2">
        <f>IF(BCP_Soles[[#This Row],[tipo_registro]]="R",COUNTIFS($C$1:$C3699,"R")+1,A3699)</f>
        <v>2450</v>
      </c>
      <c r="B3700" s="19" t="str">
        <f t="shared" si="296"/>
        <v>B-BCP - Soles</v>
      </c>
      <c r="C3700" s="3" t="s">
        <v>1352</v>
      </c>
      <c r="D3700" s="14">
        <v>45905</v>
      </c>
      <c r="E3700" s="5" t="s">
        <v>1338</v>
      </c>
      <c r="F3700" s="5"/>
      <c r="G3700" s="6" t="s">
        <v>364</v>
      </c>
      <c r="H3700" s="6" t="s">
        <v>68</v>
      </c>
      <c r="I3700" s="6" t="s">
        <v>1508</v>
      </c>
      <c r="J3700" s="6">
        <v>11464</v>
      </c>
      <c r="K3700" s="7" t="s">
        <v>4439</v>
      </c>
      <c r="L3700" s="8">
        <v>1466862</v>
      </c>
      <c r="M3700" s="8" t="str">
        <f t="shared" si="297"/>
        <v>PEN</v>
      </c>
      <c r="N3700" s="13">
        <v>258.42</v>
      </c>
      <c r="O3700" s="13"/>
      <c r="P3700" s="3">
        <f t="shared" si="298"/>
        <v>0</v>
      </c>
      <c r="Q3700" s="3">
        <f t="shared" si="299"/>
        <v>0</v>
      </c>
      <c r="R3700" s="3">
        <f t="shared" si="295"/>
        <v>13766.519999999973</v>
      </c>
      <c r="S3700" s="24" t="s">
        <v>1334</v>
      </c>
      <c r="T3700" s="24" t="s">
        <v>1334</v>
      </c>
      <c r="U3700" s="55"/>
      <c r="V3700" s="25">
        <f>IFERROR(VLOOKUP(BCP_Soles[[#This Row],[destinatario]],CHOOSE({1,2},Clientes_Proveedores[Razon Social],Clientes_Proveedores[Ruc / Dni]),2,0),"")</f>
        <v>20517035964</v>
      </c>
      <c r="W3700" s="25"/>
      <c r="X3700" s="25"/>
      <c r="Y3700" s="25"/>
      <c r="Z3700" s="77"/>
      <c r="AA3700" s="3" t="str">
        <f>IF(BCP_Soles[[#This Row],[fecha]]&gt;0,TEXT(BCP_Soles[[#This Row],[fecha]],"mmmm"),0)</f>
        <v>Setiembre</v>
      </c>
    </row>
    <row r="3701" spans="1:27" ht="36" x14ac:dyDescent="0.3">
      <c r="A3701" s="2">
        <f>IF(BCP_Soles[[#This Row],[tipo_registro]]="R",COUNTIFS($C$1:$C3700,"R")+1,A3700)</f>
        <v>2450</v>
      </c>
      <c r="B3701" s="19" t="str">
        <f t="shared" si="296"/>
        <v>B-BCP - Soles</v>
      </c>
      <c r="C3701" s="3" t="s">
        <v>1352</v>
      </c>
      <c r="D3701" s="14">
        <v>45905</v>
      </c>
      <c r="E3701" s="5" t="s">
        <v>1338</v>
      </c>
      <c r="F3701" s="5"/>
      <c r="G3701" s="6" t="s">
        <v>782</v>
      </c>
      <c r="H3701" s="6" t="s">
        <v>68</v>
      </c>
      <c r="I3701" s="6" t="s">
        <v>1376</v>
      </c>
      <c r="J3701" s="6">
        <v>11</v>
      </c>
      <c r="K3701" s="7" t="s">
        <v>4439</v>
      </c>
      <c r="L3701" s="8">
        <v>1466862</v>
      </c>
      <c r="M3701" s="8" t="str">
        <f t="shared" si="297"/>
        <v>PEN</v>
      </c>
      <c r="N3701" s="13">
        <v>8800.5</v>
      </c>
      <c r="O3701" s="13"/>
      <c r="P3701" s="3">
        <f t="shared" si="298"/>
        <v>0</v>
      </c>
      <c r="Q3701" s="3">
        <f t="shared" si="299"/>
        <v>0</v>
      </c>
      <c r="R3701" s="3">
        <f t="shared" si="295"/>
        <v>13766.519999999973</v>
      </c>
      <c r="S3701" s="24" t="s">
        <v>1334</v>
      </c>
      <c r="T3701" s="24" t="s">
        <v>1334</v>
      </c>
      <c r="U3701" s="55"/>
      <c r="V3701" s="25">
        <f>IFERROR(VLOOKUP(BCP_Soles[[#This Row],[destinatario]],CHOOSE({1,2},Clientes_Proveedores[Razon Social],Clientes_Proveedores[Ruc / Dni]),2,0),"")</f>
        <v>20612108651</v>
      </c>
      <c r="W3701" s="25"/>
      <c r="X3701" s="25"/>
      <c r="Y3701" s="25"/>
      <c r="Z3701" s="77"/>
      <c r="AA3701" s="3" t="str">
        <f>IF(BCP_Soles[[#This Row],[fecha]]&gt;0,TEXT(BCP_Soles[[#This Row],[fecha]],"mmmm"),0)</f>
        <v>Setiembre</v>
      </c>
    </row>
    <row r="3702" spans="1:27" ht="24" x14ac:dyDescent="0.3">
      <c r="A3702" s="2">
        <f>IF(BCP_Soles[[#This Row],[tipo_registro]]="R",COUNTIFS($C$1:$C3701,"R")+1,A3701)</f>
        <v>2450</v>
      </c>
      <c r="B3702" s="19" t="str">
        <f t="shared" si="296"/>
        <v>B-BCP - Soles</v>
      </c>
      <c r="C3702" s="3" t="s">
        <v>1352</v>
      </c>
      <c r="D3702" s="14">
        <v>45905</v>
      </c>
      <c r="E3702" s="5" t="s">
        <v>1338</v>
      </c>
      <c r="F3702" s="5"/>
      <c r="G3702" s="6" t="s">
        <v>364</v>
      </c>
      <c r="H3702" s="6" t="s">
        <v>68</v>
      </c>
      <c r="I3702" s="6" t="s">
        <v>4440</v>
      </c>
      <c r="J3702" s="6">
        <v>16344</v>
      </c>
      <c r="K3702" s="7" t="s">
        <v>4439</v>
      </c>
      <c r="L3702" s="8">
        <v>1466862</v>
      </c>
      <c r="M3702" s="8" t="str">
        <f t="shared" si="297"/>
        <v>PEN</v>
      </c>
      <c r="N3702" s="13">
        <v>516.84</v>
      </c>
      <c r="O3702" s="13"/>
      <c r="P3702" s="3">
        <f t="shared" si="298"/>
        <v>0</v>
      </c>
      <c r="Q3702" s="3">
        <f t="shared" si="299"/>
        <v>0</v>
      </c>
      <c r="R3702" s="3">
        <f t="shared" si="295"/>
        <v>13766.519999999973</v>
      </c>
      <c r="S3702" s="24" t="s">
        <v>1334</v>
      </c>
      <c r="T3702" s="24" t="s">
        <v>1334</v>
      </c>
      <c r="U3702" s="55"/>
      <c r="V3702" s="25">
        <f>IFERROR(VLOOKUP(BCP_Soles[[#This Row],[destinatario]],CHOOSE({1,2},Clientes_Proveedores[Razon Social],Clientes_Proveedores[Ruc / Dni]),2,0),"")</f>
        <v>20517035964</v>
      </c>
      <c r="W3702" s="25"/>
      <c r="X3702" s="25"/>
      <c r="Y3702" s="25"/>
      <c r="Z3702" s="77"/>
      <c r="AA3702" s="3" t="str">
        <f>IF(BCP_Soles[[#This Row],[fecha]]&gt;0,TEXT(BCP_Soles[[#This Row],[fecha]],"mmmm"),0)</f>
        <v>Setiembre</v>
      </c>
    </row>
    <row r="3703" spans="1:27" ht="24" x14ac:dyDescent="0.3">
      <c r="A3703" s="2">
        <f>IF(BCP_Soles[[#This Row],[tipo_registro]]="R",COUNTIFS($C$1:$C3702,"R")+1,A3702)</f>
        <v>2450</v>
      </c>
      <c r="B3703" s="19" t="str">
        <f t="shared" si="296"/>
        <v>B-BCP - Soles</v>
      </c>
      <c r="C3703" s="3" t="s">
        <v>1352</v>
      </c>
      <c r="D3703" s="14">
        <v>45905</v>
      </c>
      <c r="E3703" s="5" t="s">
        <v>1338</v>
      </c>
      <c r="F3703" s="5"/>
      <c r="G3703" s="6" t="s">
        <v>364</v>
      </c>
      <c r="H3703" s="6" t="s">
        <v>68</v>
      </c>
      <c r="I3703" s="6" t="s">
        <v>4440</v>
      </c>
      <c r="J3703" s="6">
        <v>16321</v>
      </c>
      <c r="K3703" s="7" t="s">
        <v>4439</v>
      </c>
      <c r="L3703" s="8">
        <v>1466862</v>
      </c>
      <c r="M3703" s="8" t="str">
        <f t="shared" si="297"/>
        <v>PEN</v>
      </c>
      <c r="N3703" s="13">
        <v>125.08</v>
      </c>
      <c r="O3703" s="13"/>
      <c r="P3703" s="3">
        <f t="shared" si="298"/>
        <v>0</v>
      </c>
      <c r="Q3703" s="3">
        <f t="shared" si="299"/>
        <v>0</v>
      </c>
      <c r="R3703" s="3">
        <f t="shared" si="295"/>
        <v>13766.519999999973</v>
      </c>
      <c r="S3703" s="24" t="s">
        <v>1334</v>
      </c>
      <c r="T3703" s="24" t="s">
        <v>1334</v>
      </c>
      <c r="U3703" s="55"/>
      <c r="V3703" s="25">
        <f>IFERROR(VLOOKUP(BCP_Soles[[#This Row],[destinatario]],CHOOSE({1,2},Clientes_Proveedores[Razon Social],Clientes_Proveedores[Ruc / Dni]),2,0),"")</f>
        <v>20517035964</v>
      </c>
      <c r="W3703" s="25"/>
      <c r="X3703" s="25"/>
      <c r="Y3703" s="25"/>
      <c r="Z3703" s="77"/>
      <c r="AA3703" s="3" t="str">
        <f>IF(BCP_Soles[[#This Row],[fecha]]&gt;0,TEXT(BCP_Soles[[#This Row],[fecha]],"mmmm"),0)</f>
        <v>Setiembre</v>
      </c>
    </row>
    <row r="3704" spans="1:27" ht="24" x14ac:dyDescent="0.3">
      <c r="A3704" s="2">
        <f>IF(BCP_Soles[[#This Row],[tipo_registro]]="R",COUNTIFS($C$1:$C3703,"R")+1,A3703)</f>
        <v>2450</v>
      </c>
      <c r="B3704" s="19" t="str">
        <f t="shared" si="296"/>
        <v>B-BCP - Soles</v>
      </c>
      <c r="C3704" s="3" t="s">
        <v>1352</v>
      </c>
      <c r="D3704" s="14">
        <v>45905</v>
      </c>
      <c r="E3704" s="5" t="s">
        <v>1338</v>
      </c>
      <c r="F3704" s="5"/>
      <c r="G3704" s="6" t="s">
        <v>364</v>
      </c>
      <c r="H3704" s="6" t="s">
        <v>68</v>
      </c>
      <c r="I3704" s="6" t="s">
        <v>4440</v>
      </c>
      <c r="J3704" s="6">
        <v>16340</v>
      </c>
      <c r="K3704" s="7" t="s">
        <v>4439</v>
      </c>
      <c r="L3704" s="8">
        <v>1466862</v>
      </c>
      <c r="M3704" s="8" t="str">
        <f t="shared" si="297"/>
        <v>PEN</v>
      </c>
      <c r="N3704" s="13">
        <v>489.7</v>
      </c>
      <c r="O3704" s="13"/>
      <c r="P3704" s="3">
        <f t="shared" si="298"/>
        <v>0</v>
      </c>
      <c r="Q3704" s="3">
        <f t="shared" si="299"/>
        <v>0</v>
      </c>
      <c r="R3704" s="3">
        <f t="shared" si="295"/>
        <v>13766.519999999973</v>
      </c>
      <c r="S3704" s="24" t="s">
        <v>1334</v>
      </c>
      <c r="T3704" s="24" t="s">
        <v>1334</v>
      </c>
      <c r="U3704" s="55"/>
      <c r="V3704" s="25">
        <f>IFERROR(VLOOKUP(BCP_Soles[[#This Row],[destinatario]],CHOOSE({1,2},Clientes_Proveedores[Razon Social],Clientes_Proveedores[Ruc / Dni]),2,0),"")</f>
        <v>20517035964</v>
      </c>
      <c r="W3704" s="25"/>
      <c r="X3704" s="25"/>
      <c r="Y3704" s="25"/>
      <c r="Z3704" s="77"/>
      <c r="AA3704" s="3" t="str">
        <f>IF(BCP_Soles[[#This Row],[fecha]]&gt;0,TEXT(BCP_Soles[[#This Row],[fecha]],"mmmm"),0)</f>
        <v>Setiembre</v>
      </c>
    </row>
    <row r="3705" spans="1:27" ht="24" x14ac:dyDescent="0.3">
      <c r="A3705" s="2">
        <f>IF(BCP_Soles[[#This Row],[tipo_registro]]="R",COUNTIFS($C$1:$C3704,"R")+1,A3704)</f>
        <v>2450</v>
      </c>
      <c r="B3705" s="19" t="str">
        <f t="shared" si="296"/>
        <v>B-BCP - Soles</v>
      </c>
      <c r="C3705" s="3" t="s">
        <v>1352</v>
      </c>
      <c r="D3705" s="14">
        <v>45905</v>
      </c>
      <c r="E3705" s="5" t="s">
        <v>1338</v>
      </c>
      <c r="F3705" s="5"/>
      <c r="G3705" s="6" t="s">
        <v>364</v>
      </c>
      <c r="H3705" s="6" t="s">
        <v>68</v>
      </c>
      <c r="I3705" s="6" t="s">
        <v>4440</v>
      </c>
      <c r="J3705" s="6">
        <v>16298</v>
      </c>
      <c r="K3705" s="7" t="s">
        <v>4439</v>
      </c>
      <c r="L3705" s="8">
        <v>1466862</v>
      </c>
      <c r="M3705" s="8" t="str">
        <f t="shared" si="297"/>
        <v>PEN</v>
      </c>
      <c r="N3705" s="13">
        <v>475.54</v>
      </c>
      <c r="O3705" s="13"/>
      <c r="P3705" s="3">
        <f t="shared" si="298"/>
        <v>0</v>
      </c>
      <c r="Q3705" s="3">
        <f t="shared" si="299"/>
        <v>0</v>
      </c>
      <c r="R3705" s="3">
        <f t="shared" si="295"/>
        <v>13766.519999999973</v>
      </c>
      <c r="S3705" s="24" t="s">
        <v>1334</v>
      </c>
      <c r="T3705" s="24" t="s">
        <v>1334</v>
      </c>
      <c r="U3705" s="55"/>
      <c r="V3705" s="25">
        <f>IFERROR(VLOOKUP(BCP_Soles[[#This Row],[destinatario]],CHOOSE({1,2},Clientes_Proveedores[Razon Social],Clientes_Proveedores[Ruc / Dni]),2,0),"")</f>
        <v>20517035964</v>
      </c>
      <c r="W3705" s="25"/>
      <c r="X3705" s="25"/>
      <c r="Y3705" s="25"/>
      <c r="Z3705" s="77"/>
      <c r="AA3705" s="3" t="str">
        <f>IF(BCP_Soles[[#This Row],[fecha]]&gt;0,TEXT(BCP_Soles[[#This Row],[fecha]],"mmmm"),0)</f>
        <v>Setiembre</v>
      </c>
    </row>
    <row r="3706" spans="1:27" ht="24" x14ac:dyDescent="0.3">
      <c r="A3706" s="2">
        <f>IF(BCP_Soles[[#This Row],[tipo_registro]]="R",COUNTIFS($C$1:$C3705,"R")+1,A3705)</f>
        <v>2451</v>
      </c>
      <c r="B3706" s="19" t="str">
        <f t="shared" si="296"/>
        <v>B-BCP - Soles</v>
      </c>
      <c r="C3706" s="3" t="s">
        <v>1330</v>
      </c>
      <c r="D3706" s="14">
        <v>45905</v>
      </c>
      <c r="E3706" s="5" t="s">
        <v>1338</v>
      </c>
      <c r="F3706" s="5" t="s">
        <v>1336</v>
      </c>
      <c r="G3706" s="6" t="s">
        <v>866</v>
      </c>
      <c r="H3706" s="6" t="s">
        <v>143</v>
      </c>
      <c r="I3706" s="6">
        <v>1</v>
      </c>
      <c r="J3706" s="6">
        <v>672025</v>
      </c>
      <c r="K3706" s="7" t="s">
        <v>4441</v>
      </c>
      <c r="L3706" s="8">
        <v>1283880</v>
      </c>
      <c r="M3706" s="8" t="str">
        <f t="shared" si="297"/>
        <v>PEN</v>
      </c>
      <c r="N3706" s="13"/>
      <c r="O3706" s="13">
        <v>618</v>
      </c>
      <c r="P3706" s="3">
        <f t="shared" si="298"/>
        <v>0</v>
      </c>
      <c r="Q3706" s="3">
        <f t="shared" si="299"/>
        <v>618</v>
      </c>
      <c r="R3706" s="3">
        <f t="shared" si="295"/>
        <v>13148.519999999973</v>
      </c>
      <c r="S3706" s="24" t="s">
        <v>1334</v>
      </c>
      <c r="T3706" s="24" t="s">
        <v>1334</v>
      </c>
      <c r="U3706" s="55"/>
      <c r="V3706" s="25">
        <f>IFERROR(VLOOKUP(BCP_Soles[[#This Row],[destinatario]],CHOOSE({1,2},Clientes_Proveedores[Razon Social],Clientes_Proveedores[Ruc / Dni]),2,0),"")</f>
        <v>45921913</v>
      </c>
      <c r="W3706" s="25"/>
      <c r="X3706" s="25"/>
      <c r="Y3706" s="25"/>
      <c r="Z3706" s="77"/>
      <c r="AA3706" s="3" t="str">
        <f>IF(BCP_Soles[[#This Row],[fecha]]&gt;0,TEXT(BCP_Soles[[#This Row],[fecha]],"mmmm"),0)</f>
        <v>Setiembre</v>
      </c>
    </row>
    <row r="3707" spans="1:27" ht="48" x14ac:dyDescent="0.3">
      <c r="A3707" s="2">
        <f>IF(BCP_Soles[[#This Row],[tipo_registro]]="R",COUNTIFS($C$1:$C3706,"R")+1,A3706)</f>
        <v>2452</v>
      </c>
      <c r="B3707" s="19" t="str">
        <f t="shared" si="296"/>
        <v>B-BCP - Soles</v>
      </c>
      <c r="C3707" s="3" t="s">
        <v>1330</v>
      </c>
      <c r="D3707" s="14">
        <v>45905</v>
      </c>
      <c r="E3707" s="5" t="s">
        <v>1338</v>
      </c>
      <c r="F3707" s="5" t="s">
        <v>1336</v>
      </c>
      <c r="G3707" s="6" t="s">
        <v>368</v>
      </c>
      <c r="H3707" s="6" t="s">
        <v>68</v>
      </c>
      <c r="I3707" s="6" t="s">
        <v>1461</v>
      </c>
      <c r="J3707" s="6">
        <v>1731</v>
      </c>
      <c r="K3707" s="7" t="s">
        <v>4442</v>
      </c>
      <c r="L3707" s="8">
        <v>1280930</v>
      </c>
      <c r="M3707" s="8" t="str">
        <f t="shared" si="297"/>
        <v>PEN</v>
      </c>
      <c r="N3707" s="13"/>
      <c r="O3707" s="13">
        <v>155.9</v>
      </c>
      <c r="P3707" s="3">
        <f t="shared" si="298"/>
        <v>0</v>
      </c>
      <c r="Q3707" s="3">
        <f t="shared" si="299"/>
        <v>155.9</v>
      </c>
      <c r="R3707" s="3">
        <f t="shared" si="295"/>
        <v>12992.619999999974</v>
      </c>
      <c r="S3707" s="24" t="s">
        <v>1334</v>
      </c>
      <c r="T3707" s="24" t="s">
        <v>1334</v>
      </c>
      <c r="U3707" s="55"/>
      <c r="V3707" s="25">
        <f>IFERROR(VLOOKUP(BCP_Soles[[#This Row],[destinatario]],CHOOSE({1,2},Clientes_Proveedores[Razon Social],Clientes_Proveedores[Ruc / Dni]),2,0),"")</f>
        <v>20517932346</v>
      </c>
      <c r="W3707" s="25"/>
      <c r="X3707" s="25"/>
      <c r="Y3707" s="25"/>
      <c r="Z3707" s="77"/>
      <c r="AA3707" s="3" t="str">
        <f>IF(BCP_Soles[[#This Row],[fecha]]&gt;0,TEXT(BCP_Soles[[#This Row],[fecha]],"mmmm"),0)</f>
        <v>Setiembre</v>
      </c>
    </row>
    <row r="3708" spans="1:27" ht="24" x14ac:dyDescent="0.3">
      <c r="A3708" s="2">
        <f>IF(BCP_Soles[[#This Row],[tipo_registro]]="R",COUNTIFS($C$1:$C3707,"R")+1,A3707)</f>
        <v>2453</v>
      </c>
      <c r="B3708" s="19" t="str">
        <f t="shared" si="296"/>
        <v>B-BCP - Soles</v>
      </c>
      <c r="C3708" s="3" t="s">
        <v>1330</v>
      </c>
      <c r="D3708" s="14">
        <v>45905</v>
      </c>
      <c r="E3708" s="5" t="s">
        <v>1338</v>
      </c>
      <c r="F3708" s="5" t="s">
        <v>1336</v>
      </c>
      <c r="G3708" s="6" t="s">
        <v>888</v>
      </c>
      <c r="H3708" s="6" t="s">
        <v>143</v>
      </c>
      <c r="I3708" s="6">
        <v>1</v>
      </c>
      <c r="J3708" s="6">
        <v>682025</v>
      </c>
      <c r="K3708" s="7" t="s">
        <v>4443</v>
      </c>
      <c r="L3708" s="8">
        <v>1281925</v>
      </c>
      <c r="M3708" s="8" t="str">
        <f t="shared" si="297"/>
        <v>PEN</v>
      </c>
      <c r="N3708" s="13"/>
      <c r="O3708" s="13">
        <v>740</v>
      </c>
      <c r="P3708" s="3">
        <f t="shared" si="298"/>
        <v>0</v>
      </c>
      <c r="Q3708" s="3">
        <f t="shared" si="299"/>
        <v>740</v>
      </c>
      <c r="R3708" s="3">
        <f t="shared" si="295"/>
        <v>12252.619999999974</v>
      </c>
      <c r="S3708" s="24" t="s">
        <v>1334</v>
      </c>
      <c r="T3708" s="24" t="s">
        <v>1334</v>
      </c>
      <c r="U3708" s="55"/>
      <c r="V3708" s="25">
        <f>IFERROR(VLOOKUP(BCP_Soles[[#This Row],[destinatario]],CHOOSE({1,2},Clientes_Proveedores[Razon Social],Clientes_Proveedores[Ruc / Dni]),2,0),"")</f>
        <v>47461440</v>
      </c>
      <c r="W3708" s="25"/>
      <c r="X3708" s="25"/>
      <c r="Y3708" s="25"/>
      <c r="Z3708" s="77"/>
      <c r="AA3708" s="3" t="str">
        <f>IF(BCP_Soles[[#This Row],[fecha]]&gt;0,TEXT(BCP_Soles[[#This Row],[fecha]],"mmmm"),0)</f>
        <v>Setiembre</v>
      </c>
    </row>
    <row r="3709" spans="1:27" ht="24" x14ac:dyDescent="0.3">
      <c r="A3709" s="2">
        <f>IF(BCP_Soles[[#This Row],[tipo_registro]]="R",COUNTIFS($C$1:$C3708,"R")+1,A3708)</f>
        <v>2454</v>
      </c>
      <c r="B3709" s="19" t="str">
        <f t="shared" si="296"/>
        <v>B-BCP - Soles</v>
      </c>
      <c r="C3709" s="3" t="s">
        <v>1330</v>
      </c>
      <c r="D3709" s="14">
        <v>45905</v>
      </c>
      <c r="E3709" s="5" t="s">
        <v>1338</v>
      </c>
      <c r="F3709" s="5" t="s">
        <v>1336</v>
      </c>
      <c r="G3709" s="6" t="s">
        <v>1060</v>
      </c>
      <c r="H3709" s="6" t="s">
        <v>68</v>
      </c>
      <c r="I3709" s="6" t="s">
        <v>1397</v>
      </c>
      <c r="J3709" s="6">
        <v>36610024</v>
      </c>
      <c r="K3709" s="7" t="s">
        <v>4444</v>
      </c>
      <c r="L3709" s="8">
        <v>1466872</v>
      </c>
      <c r="M3709" s="8" t="str">
        <f t="shared" si="297"/>
        <v>PEN</v>
      </c>
      <c r="N3709" s="13"/>
      <c r="O3709" s="13">
        <v>140.30000000000001</v>
      </c>
      <c r="P3709" s="3">
        <f t="shared" si="298"/>
        <v>0</v>
      </c>
      <c r="Q3709" s="3">
        <f t="shared" si="299"/>
        <v>140.30000000000001</v>
      </c>
      <c r="R3709" s="3">
        <f t="shared" si="295"/>
        <v>12112.319999999974</v>
      </c>
      <c r="S3709" s="24" t="s">
        <v>1334</v>
      </c>
      <c r="T3709" s="24" t="s">
        <v>1334</v>
      </c>
      <c r="U3709" s="55"/>
      <c r="V3709" s="25">
        <f>IFERROR(VLOOKUP(BCP_Soles[[#This Row],[destinatario]],CHOOSE({1,2},Clientes_Proveedores[Razon Social],Clientes_Proveedores[Ruc / Dni]),2,0),"")</f>
        <v>20100047218</v>
      </c>
      <c r="W3709" s="25"/>
      <c r="X3709" s="25"/>
      <c r="Y3709" s="25"/>
      <c r="Z3709" s="77"/>
      <c r="AA3709" s="3" t="str">
        <f>IF(BCP_Soles[[#This Row],[fecha]]&gt;0,TEXT(BCP_Soles[[#This Row],[fecha]],"mmmm"),0)</f>
        <v>Setiembre</v>
      </c>
    </row>
    <row r="3710" spans="1:27" x14ac:dyDescent="0.3">
      <c r="A3710" s="2">
        <f>IF(BCP_Soles[[#This Row],[tipo_registro]]="R",COUNTIFS($C$1:$C3709,"R")+1,A3709)</f>
        <v>2455</v>
      </c>
      <c r="B3710" s="19" t="str">
        <f t="shared" si="296"/>
        <v>B-BCP - Soles</v>
      </c>
      <c r="C3710" s="3" t="s">
        <v>1330</v>
      </c>
      <c r="D3710" s="14">
        <v>45905</v>
      </c>
      <c r="E3710" s="5" t="s">
        <v>4171</v>
      </c>
      <c r="F3710" s="5" t="s">
        <v>1336</v>
      </c>
      <c r="G3710" s="6"/>
      <c r="H3710" s="6"/>
      <c r="I3710" s="6"/>
      <c r="J3710" s="6"/>
      <c r="K3710" s="7" t="s">
        <v>4445</v>
      </c>
      <c r="L3710" s="8">
        <v>31292</v>
      </c>
      <c r="M3710" s="8" t="str">
        <f t="shared" si="297"/>
        <v>PEN</v>
      </c>
      <c r="N3710" s="13"/>
      <c r="O3710" s="13">
        <v>797.63</v>
      </c>
      <c r="P3710" s="3">
        <f t="shared" si="298"/>
        <v>0</v>
      </c>
      <c r="Q3710" s="3">
        <f t="shared" si="299"/>
        <v>797.63</v>
      </c>
      <c r="R3710" s="3">
        <f t="shared" si="295"/>
        <v>11314.689999999975</v>
      </c>
      <c r="S3710" s="24"/>
      <c r="T3710" s="24"/>
      <c r="U3710" s="55"/>
      <c r="V3710" s="25" t="str">
        <f>IFERROR(VLOOKUP(BCP_Soles[[#This Row],[destinatario]],CHOOSE({1,2},Clientes_Proveedores[Razon Social],Clientes_Proveedores[Ruc / Dni]),2,0),"")</f>
        <v/>
      </c>
      <c r="W3710" s="25"/>
      <c r="X3710" s="25"/>
      <c r="Y3710" s="25"/>
      <c r="Z3710" s="77"/>
      <c r="AA3710" s="3" t="str">
        <f>IF(BCP_Soles[[#This Row],[fecha]]&gt;0,TEXT(BCP_Soles[[#This Row],[fecha]],"mmmm"),0)</f>
        <v>Setiembre</v>
      </c>
    </row>
    <row r="3711" spans="1:27" x14ac:dyDescent="0.3">
      <c r="A3711" s="2">
        <f>IF(BCP_Soles[[#This Row],[tipo_registro]]="R",COUNTIFS($C$1:$C3710,"R")+1,A3710)</f>
        <v>2456</v>
      </c>
      <c r="B3711" s="19" t="str">
        <f t="shared" si="296"/>
        <v>B-BCP - Soles</v>
      </c>
      <c r="C3711" s="3" t="s">
        <v>1330</v>
      </c>
      <c r="D3711" s="14">
        <v>45905</v>
      </c>
      <c r="E3711" s="5" t="s">
        <v>4171</v>
      </c>
      <c r="F3711" s="5" t="s">
        <v>1336</v>
      </c>
      <c r="G3711" s="6"/>
      <c r="H3711" s="6"/>
      <c r="I3711" s="6"/>
      <c r="J3711" s="6"/>
      <c r="K3711" s="7" t="s">
        <v>4446</v>
      </c>
      <c r="L3711" s="8">
        <v>31264</v>
      </c>
      <c r="M3711" s="8" t="str">
        <f t="shared" si="297"/>
        <v>PEN</v>
      </c>
      <c r="N3711" s="13"/>
      <c r="O3711" s="13">
        <v>1749.64</v>
      </c>
      <c r="P3711" s="3">
        <f t="shared" si="298"/>
        <v>0</v>
      </c>
      <c r="Q3711" s="3">
        <f t="shared" si="299"/>
        <v>1749.64</v>
      </c>
      <c r="R3711" s="3">
        <f t="shared" si="295"/>
        <v>9565.0499999999756</v>
      </c>
      <c r="S3711" s="24"/>
      <c r="T3711" s="24"/>
      <c r="U3711" s="55"/>
      <c r="V3711" s="25" t="str">
        <f>IFERROR(VLOOKUP(BCP_Soles[[#This Row],[destinatario]],CHOOSE({1,2},Clientes_Proveedores[Razon Social],Clientes_Proveedores[Ruc / Dni]),2,0),"")</f>
        <v/>
      </c>
      <c r="W3711" s="25"/>
      <c r="X3711" s="25"/>
      <c r="Y3711" s="25"/>
      <c r="Z3711" s="77"/>
      <c r="AA3711" s="3" t="str">
        <f>IF(BCP_Soles[[#This Row],[fecha]]&gt;0,TEXT(BCP_Soles[[#This Row],[fecha]],"mmmm"),0)</f>
        <v>Setiembre</v>
      </c>
    </row>
    <row r="3712" spans="1:27" x14ac:dyDescent="0.3">
      <c r="A3712" s="2">
        <f>IF(BCP_Soles[[#This Row],[tipo_registro]]="R",COUNTIFS($C$1:$C3711,"R")+1,A3711)</f>
        <v>2457</v>
      </c>
      <c r="B3712" s="19" t="str">
        <f t="shared" si="296"/>
        <v>B-BCP - Soles</v>
      </c>
      <c r="C3712" s="3" t="s">
        <v>1330</v>
      </c>
      <c r="D3712" s="14">
        <v>45905</v>
      </c>
      <c r="E3712" s="5" t="s">
        <v>4171</v>
      </c>
      <c r="F3712" s="5" t="s">
        <v>1336</v>
      </c>
      <c r="G3712" s="6"/>
      <c r="H3712" s="6"/>
      <c r="I3712" s="6"/>
      <c r="J3712" s="6"/>
      <c r="K3712" s="7" t="s">
        <v>4447</v>
      </c>
      <c r="L3712" s="8">
        <v>31248</v>
      </c>
      <c r="M3712" s="8" t="str">
        <f t="shared" si="297"/>
        <v>PEN</v>
      </c>
      <c r="N3712" s="13"/>
      <c r="O3712" s="13">
        <v>5791.29</v>
      </c>
      <c r="P3712" s="3">
        <f t="shared" si="298"/>
        <v>0</v>
      </c>
      <c r="Q3712" s="3">
        <f t="shared" si="299"/>
        <v>5791.29</v>
      </c>
      <c r="R3712" s="3">
        <f t="shared" si="295"/>
        <v>3773.7599999999757</v>
      </c>
      <c r="S3712" s="24"/>
      <c r="T3712" s="24"/>
      <c r="U3712" s="55"/>
      <c r="V3712" s="25" t="str">
        <f>IFERROR(VLOOKUP(BCP_Soles[[#This Row],[destinatario]],CHOOSE({1,2},Clientes_Proveedores[Razon Social],Clientes_Proveedores[Ruc / Dni]),2,0),"")</f>
        <v/>
      </c>
      <c r="W3712" s="25"/>
      <c r="X3712" s="25"/>
      <c r="Y3712" s="25"/>
      <c r="Z3712" s="77"/>
      <c r="AA3712" s="3" t="str">
        <f>IF(BCP_Soles[[#This Row],[fecha]]&gt;0,TEXT(BCP_Soles[[#This Row],[fecha]],"mmmm"),0)</f>
        <v>Setiembre</v>
      </c>
    </row>
    <row r="3713" spans="1:27" x14ac:dyDescent="0.3">
      <c r="A3713" s="2">
        <f>IF(BCP_Soles[[#This Row],[tipo_registro]]="R",COUNTIFS($C$1:$C3712,"R")+1,A3712)</f>
        <v>2458</v>
      </c>
      <c r="B3713" s="19" t="str">
        <f t="shared" si="296"/>
        <v>B-BCP - Soles</v>
      </c>
      <c r="C3713" s="3" t="s">
        <v>1330</v>
      </c>
      <c r="D3713" s="14">
        <v>45905</v>
      </c>
      <c r="E3713" s="5" t="s">
        <v>4171</v>
      </c>
      <c r="F3713" s="5" t="s">
        <v>1336</v>
      </c>
      <c r="G3713" s="6"/>
      <c r="H3713" s="6"/>
      <c r="I3713" s="6"/>
      <c r="J3713" s="6"/>
      <c r="K3713" s="7" t="s">
        <v>4448</v>
      </c>
      <c r="L3713" s="8">
        <v>31235</v>
      </c>
      <c r="M3713" s="8" t="str">
        <f t="shared" si="297"/>
        <v>PEN</v>
      </c>
      <c r="N3713" s="13"/>
      <c r="O3713" s="13">
        <v>756.87</v>
      </c>
      <c r="P3713" s="3">
        <f t="shared" si="298"/>
        <v>0</v>
      </c>
      <c r="Q3713" s="3">
        <f t="shared" si="299"/>
        <v>756.87</v>
      </c>
      <c r="R3713" s="3">
        <f t="shared" si="295"/>
        <v>3016.8899999999758</v>
      </c>
      <c r="S3713" s="24"/>
      <c r="T3713" s="24"/>
      <c r="U3713" s="55"/>
      <c r="V3713" s="25" t="str">
        <f>IFERROR(VLOOKUP(BCP_Soles[[#This Row],[destinatario]],CHOOSE({1,2},Clientes_Proveedores[Razon Social],Clientes_Proveedores[Ruc / Dni]),2,0),"")</f>
        <v/>
      </c>
      <c r="W3713" s="25"/>
      <c r="X3713" s="25"/>
      <c r="Y3713" s="25"/>
      <c r="Z3713" s="77"/>
      <c r="AA3713" s="3" t="str">
        <f>IF(BCP_Soles[[#This Row],[fecha]]&gt;0,TEXT(BCP_Soles[[#This Row],[fecha]],"mmmm"),0)</f>
        <v>Setiembre</v>
      </c>
    </row>
    <row r="3714" spans="1:27" x14ac:dyDescent="0.3">
      <c r="A3714" s="2">
        <f>IF(BCP_Soles[[#This Row],[tipo_registro]]="R",COUNTIFS($C$1:$C3713,"R")+1,A3713)</f>
        <v>2459</v>
      </c>
      <c r="B3714" s="19" t="str">
        <f t="shared" si="296"/>
        <v>B-BCP - Soles</v>
      </c>
      <c r="C3714" s="3" t="s">
        <v>1330</v>
      </c>
      <c r="D3714" s="14">
        <v>45905</v>
      </c>
      <c r="E3714" s="5" t="s">
        <v>1335</v>
      </c>
      <c r="F3714" s="5" t="s">
        <v>1336</v>
      </c>
      <c r="G3714" s="6" t="s">
        <v>1009</v>
      </c>
      <c r="H3714" s="6" t="s">
        <v>64</v>
      </c>
      <c r="I3714" s="6" t="s">
        <v>3673</v>
      </c>
      <c r="J3714" s="6">
        <v>2461</v>
      </c>
      <c r="K3714" s="7" t="s">
        <v>3160</v>
      </c>
      <c r="L3714" s="8"/>
      <c r="M3714" s="8" t="str">
        <f t="shared" si="297"/>
        <v>PEN</v>
      </c>
      <c r="N3714" s="13"/>
      <c r="O3714" s="13">
        <v>1.3</v>
      </c>
      <c r="P3714" s="3">
        <f t="shared" si="298"/>
        <v>0</v>
      </c>
      <c r="Q3714" s="3">
        <f t="shared" si="299"/>
        <v>1.3</v>
      </c>
      <c r="R3714" s="3">
        <f t="shared" si="295"/>
        <v>3015.5899999999756</v>
      </c>
      <c r="S3714" s="24"/>
      <c r="T3714" s="24" t="s">
        <v>1334</v>
      </c>
      <c r="U3714" s="55"/>
      <c r="V3714" s="25">
        <f>IFERROR(VLOOKUP(BCP_Soles[[#This Row],[destinatario]],CHOOSE({1,2},Clientes_Proveedores[Razon Social],Clientes_Proveedores[Ruc / Dni]),2,0),"")</f>
        <v>11111111</v>
      </c>
      <c r="W3714" s="25"/>
      <c r="X3714" s="25"/>
      <c r="Y3714" s="25"/>
      <c r="Z3714" s="77"/>
      <c r="AA3714" s="3" t="str">
        <f>IF(BCP_Soles[[#This Row],[fecha]]&gt;0,TEXT(BCP_Soles[[#This Row],[fecha]],"mmmm"),0)</f>
        <v>Setiembre</v>
      </c>
    </row>
    <row r="3715" spans="1:27" ht="36" x14ac:dyDescent="0.3">
      <c r="A3715" s="2">
        <f>IF(BCP_Soles[[#This Row],[tipo_registro]]="R",COUNTIFS($C$1:$C3714,"R")+1,A3714)</f>
        <v>2460</v>
      </c>
      <c r="B3715" s="19" t="str">
        <f t="shared" si="296"/>
        <v>B-BCP - Soles</v>
      </c>
      <c r="C3715" s="3" t="s">
        <v>1330</v>
      </c>
      <c r="D3715" s="14">
        <v>45906</v>
      </c>
      <c r="E3715" s="5" t="s">
        <v>290</v>
      </c>
      <c r="F3715" s="5" t="s">
        <v>1303</v>
      </c>
      <c r="G3715" s="6" t="s">
        <v>425</v>
      </c>
      <c r="H3715" s="6" t="s">
        <v>68</v>
      </c>
      <c r="I3715" s="6" t="s">
        <v>1784</v>
      </c>
      <c r="J3715" s="6">
        <v>188</v>
      </c>
      <c r="K3715" s="7" t="s">
        <v>4449</v>
      </c>
      <c r="L3715" s="8">
        <v>2097985</v>
      </c>
      <c r="M3715" s="8" t="str">
        <f t="shared" si="297"/>
        <v>PEN</v>
      </c>
      <c r="N3715" s="13"/>
      <c r="O3715" s="13">
        <v>2657.96</v>
      </c>
      <c r="P3715" s="3">
        <f t="shared" si="298"/>
        <v>2657.96</v>
      </c>
      <c r="Q3715" s="3">
        <f t="shared" si="299"/>
        <v>0</v>
      </c>
      <c r="R3715" s="3">
        <f t="shared" si="295"/>
        <v>5673.5499999999756</v>
      </c>
      <c r="S3715" s="24" t="s">
        <v>1334</v>
      </c>
      <c r="T3715" s="24" t="s">
        <v>1334</v>
      </c>
      <c r="U3715" s="55"/>
      <c r="V3715" s="25">
        <f>IFERROR(VLOOKUP(BCP_Soles[[#This Row],[destinatario]],CHOOSE({1,2},Clientes_Proveedores[Razon Social],Clientes_Proveedores[Ruc / Dni]),2,0),"")</f>
        <v>20558226979</v>
      </c>
      <c r="W3715" s="25"/>
      <c r="X3715" s="25"/>
      <c r="Y3715" s="25"/>
      <c r="Z3715" s="77"/>
      <c r="AA3715" s="3" t="str">
        <f>IF(BCP_Soles[[#This Row],[fecha]]&gt;0,TEXT(BCP_Soles[[#This Row],[fecha]],"mmmm"),0)</f>
        <v>Setiembre</v>
      </c>
    </row>
    <row r="3716" spans="1:27" x14ac:dyDescent="0.3">
      <c r="A3716" s="2">
        <f>IF(BCP_Soles[[#This Row],[tipo_registro]]="R",COUNTIFS($C$1:$C3715,"R")+1,A3715)</f>
        <v>2461</v>
      </c>
      <c r="B3716" s="19" t="str">
        <f t="shared" si="296"/>
        <v>B-BCP - Soles</v>
      </c>
      <c r="C3716" s="3" t="s">
        <v>1330</v>
      </c>
      <c r="D3716" s="14">
        <v>45906</v>
      </c>
      <c r="E3716" s="5"/>
      <c r="F3716" s="5" t="s">
        <v>1303</v>
      </c>
      <c r="G3716" s="6" t="s">
        <v>425</v>
      </c>
      <c r="H3716" s="6"/>
      <c r="I3716" s="6"/>
      <c r="J3716" s="6"/>
      <c r="K3716" s="7" t="s">
        <v>1356</v>
      </c>
      <c r="L3716" s="8">
        <v>3237407</v>
      </c>
      <c r="M3716" s="8" t="str">
        <f t="shared" si="297"/>
        <v>PEN</v>
      </c>
      <c r="N3716" s="13"/>
      <c r="O3716" s="13">
        <v>47</v>
      </c>
      <c r="P3716" s="3">
        <f t="shared" si="298"/>
        <v>47</v>
      </c>
      <c r="Q3716" s="3">
        <f t="shared" si="299"/>
        <v>0</v>
      </c>
      <c r="R3716" s="3">
        <f t="shared" si="295"/>
        <v>5720.5499999999756</v>
      </c>
      <c r="S3716" s="24"/>
      <c r="T3716" s="24"/>
      <c r="U3716" s="55"/>
      <c r="V3716" s="25">
        <f>IFERROR(VLOOKUP(BCP_Soles[[#This Row],[destinatario]],CHOOSE({1,2},Clientes_Proveedores[Razon Social],Clientes_Proveedores[Ruc / Dni]),2,0),"")</f>
        <v>20558226979</v>
      </c>
      <c r="W3716" s="25"/>
      <c r="X3716" s="25"/>
      <c r="Y3716" s="25"/>
      <c r="Z3716" s="77"/>
      <c r="AA3716" s="3" t="str">
        <f>IF(BCP_Soles[[#This Row],[fecha]]&gt;0,TEXT(BCP_Soles[[#This Row],[fecha]],"mmmm"),0)</f>
        <v>Setiembre</v>
      </c>
    </row>
    <row r="3717" spans="1:27" x14ac:dyDescent="0.3">
      <c r="A3717" s="2">
        <f>IF(BCP_Soles[[#This Row],[tipo_registro]]="R",COUNTIFS($C$1:$C3716,"R")+1,A3716)</f>
        <v>2462</v>
      </c>
      <c r="B3717" s="19" t="str">
        <f t="shared" si="296"/>
        <v>B-BCP - Soles</v>
      </c>
      <c r="C3717" s="3" t="s">
        <v>1330</v>
      </c>
      <c r="D3717" s="14">
        <v>45907</v>
      </c>
      <c r="E3717" s="5" t="s">
        <v>1335</v>
      </c>
      <c r="F3717" s="5" t="s">
        <v>1336</v>
      </c>
      <c r="G3717" s="6" t="s">
        <v>1009</v>
      </c>
      <c r="H3717" s="6" t="s">
        <v>64</v>
      </c>
      <c r="I3717" s="6" t="s">
        <v>3673</v>
      </c>
      <c r="J3717" s="6">
        <v>2464</v>
      </c>
      <c r="K3717" s="7" t="s">
        <v>3160</v>
      </c>
      <c r="L3717" s="8"/>
      <c r="M3717" s="8" t="str">
        <f t="shared" si="297"/>
        <v>PEN</v>
      </c>
      <c r="N3717" s="13"/>
      <c r="O3717" s="13">
        <v>0.1</v>
      </c>
      <c r="P3717" s="3">
        <f t="shared" si="298"/>
        <v>0</v>
      </c>
      <c r="Q3717" s="3">
        <f t="shared" si="299"/>
        <v>0.1</v>
      </c>
      <c r="R3717" s="3">
        <f t="shared" si="295"/>
        <v>5720.4499999999753</v>
      </c>
      <c r="S3717" s="24"/>
      <c r="T3717" s="24" t="s">
        <v>1334</v>
      </c>
      <c r="U3717" s="55"/>
      <c r="V3717" s="25">
        <f>IFERROR(VLOOKUP(BCP_Soles[[#This Row],[destinatario]],CHOOSE({1,2},Clientes_Proveedores[Razon Social],Clientes_Proveedores[Ruc / Dni]),2,0),"")</f>
        <v>11111111</v>
      </c>
      <c r="W3717" s="25"/>
      <c r="X3717" s="25"/>
      <c r="Y3717" s="25"/>
      <c r="Z3717" s="77"/>
      <c r="AA3717" s="3" t="str">
        <f>IF(BCP_Soles[[#This Row],[fecha]]&gt;0,TEXT(BCP_Soles[[#This Row],[fecha]],"mmmm"),0)</f>
        <v>Setiembre</v>
      </c>
    </row>
    <row r="3718" spans="1:27" ht="36" x14ac:dyDescent="0.3">
      <c r="A3718" s="2">
        <f>IF(BCP_Soles[[#This Row],[tipo_registro]]="R",COUNTIFS($C$1:$C3717,"R")+1,A3717)</f>
        <v>2463</v>
      </c>
      <c r="B3718" s="19" t="str">
        <f t="shared" si="296"/>
        <v>B-BCP - Soles</v>
      </c>
      <c r="C3718" s="3" t="s">
        <v>1330</v>
      </c>
      <c r="D3718" s="14">
        <v>45908</v>
      </c>
      <c r="E3718" s="5" t="s">
        <v>261</v>
      </c>
      <c r="F3718" s="5" t="s">
        <v>1303</v>
      </c>
      <c r="G3718" s="6" t="s">
        <v>425</v>
      </c>
      <c r="H3718" s="6" t="s">
        <v>68</v>
      </c>
      <c r="I3718" s="6" t="s">
        <v>3302</v>
      </c>
      <c r="J3718" s="6">
        <v>128</v>
      </c>
      <c r="K3718" s="7" t="s">
        <v>4450</v>
      </c>
      <c r="L3718" s="8">
        <v>2096772</v>
      </c>
      <c r="M3718" s="8" t="str">
        <f t="shared" si="297"/>
        <v>PEN</v>
      </c>
      <c r="N3718" s="13"/>
      <c r="O3718" s="13">
        <v>17538.310000000001</v>
      </c>
      <c r="P3718" s="3">
        <f t="shared" si="298"/>
        <v>17538.310000000001</v>
      </c>
      <c r="Q3718" s="3">
        <f t="shared" si="299"/>
        <v>0</v>
      </c>
      <c r="R3718" s="3">
        <f t="shared" si="295"/>
        <v>23258.759999999977</v>
      </c>
      <c r="S3718" s="24" t="s">
        <v>1334</v>
      </c>
      <c r="T3718" s="24" t="s">
        <v>1334</v>
      </c>
      <c r="U3718" s="55"/>
      <c r="V3718" s="25">
        <f>IFERROR(VLOOKUP(BCP_Soles[[#This Row],[destinatario]],CHOOSE({1,2},Clientes_Proveedores[Razon Social],Clientes_Proveedores[Ruc / Dni]),2,0),"")</f>
        <v>20558226979</v>
      </c>
      <c r="W3718" s="25"/>
      <c r="X3718" s="25"/>
      <c r="Y3718" s="25"/>
      <c r="Z3718" s="77"/>
      <c r="AA3718" s="3" t="str">
        <f>IF(BCP_Soles[[#This Row],[fecha]]&gt;0,TEXT(BCP_Soles[[#This Row],[fecha]],"mmmm"),0)</f>
        <v>Setiembre</v>
      </c>
    </row>
    <row r="3719" spans="1:27" ht="24" x14ac:dyDescent="0.3">
      <c r="A3719" s="2">
        <f>IF(BCP_Soles[[#This Row],[tipo_registro]]="R",COUNTIFS($C$1:$C3718,"R")+1,A3718)</f>
        <v>2464</v>
      </c>
      <c r="B3719" s="19" t="str">
        <f t="shared" si="296"/>
        <v>B-BCP - Soles</v>
      </c>
      <c r="C3719" s="3" t="s">
        <v>1330</v>
      </c>
      <c r="D3719" s="14">
        <v>45908</v>
      </c>
      <c r="E3719" s="5" t="s">
        <v>424</v>
      </c>
      <c r="F3719" s="5" t="s">
        <v>1303</v>
      </c>
      <c r="G3719" s="6" t="s">
        <v>425</v>
      </c>
      <c r="H3719" s="6" t="s">
        <v>68</v>
      </c>
      <c r="I3719" s="6" t="s">
        <v>3302</v>
      </c>
      <c r="J3719" s="6">
        <v>129</v>
      </c>
      <c r="K3719" s="7" t="s">
        <v>4308</v>
      </c>
      <c r="L3719" s="8">
        <v>6100652</v>
      </c>
      <c r="M3719" s="8" t="str">
        <f t="shared" si="297"/>
        <v>PEN</v>
      </c>
      <c r="N3719" s="13"/>
      <c r="O3719" s="13">
        <v>241.2</v>
      </c>
      <c r="P3719" s="157">
        <f t="shared" si="298"/>
        <v>241.2</v>
      </c>
      <c r="Q3719" s="3">
        <f t="shared" si="299"/>
        <v>0</v>
      </c>
      <c r="R3719" s="3">
        <f t="shared" si="295"/>
        <v>23499.959999999977</v>
      </c>
      <c r="S3719" s="24" t="s">
        <v>1334</v>
      </c>
      <c r="T3719" s="24" t="s">
        <v>1334</v>
      </c>
      <c r="U3719" s="55"/>
      <c r="V3719" s="25">
        <f>IFERROR(VLOOKUP(BCP_Soles[[#This Row],[destinatario]],CHOOSE({1,2},Clientes_Proveedores[Razon Social],Clientes_Proveedores[Ruc / Dni]),2,0),"")</f>
        <v>20558226979</v>
      </c>
      <c r="W3719" s="25"/>
      <c r="X3719" s="25"/>
      <c r="Y3719" s="25"/>
      <c r="Z3719" s="77"/>
      <c r="AA3719" s="3" t="str">
        <f>IF(BCP_Soles[[#This Row],[fecha]]&gt;0,TEXT(BCP_Soles[[#This Row],[fecha]],"mmmm"),0)</f>
        <v>Setiembre</v>
      </c>
    </row>
    <row r="3720" spans="1:27" ht="24" x14ac:dyDescent="0.3">
      <c r="A3720" s="2">
        <f>IF(BCP_Soles[[#This Row],[tipo_registro]]="R",COUNTIFS($C$1:$C3719,"R")+1,A3719)</f>
        <v>2465</v>
      </c>
      <c r="B3720" s="19" t="str">
        <f t="shared" si="296"/>
        <v>B-BCP - Soles</v>
      </c>
      <c r="C3720" s="3" t="s">
        <v>1330</v>
      </c>
      <c r="D3720" s="14">
        <v>45908</v>
      </c>
      <c r="E3720" s="5" t="s">
        <v>1338</v>
      </c>
      <c r="F3720" s="5" t="s">
        <v>1336</v>
      </c>
      <c r="G3720" s="6" t="s">
        <v>790</v>
      </c>
      <c r="H3720" s="6" t="s">
        <v>143</v>
      </c>
      <c r="I3720" s="6">
        <v>1</v>
      </c>
      <c r="J3720" s="6">
        <v>692025</v>
      </c>
      <c r="K3720" s="7" t="s">
        <v>4451</v>
      </c>
      <c r="L3720" s="8">
        <v>1058859</v>
      </c>
      <c r="M3720" s="8" t="str">
        <f t="shared" si="297"/>
        <v>PEN</v>
      </c>
      <c r="N3720" s="13"/>
      <c r="O3720" s="13">
        <v>569</v>
      </c>
      <c r="P3720" s="3">
        <f t="shared" si="298"/>
        <v>0</v>
      </c>
      <c r="Q3720" s="3">
        <f t="shared" si="299"/>
        <v>569</v>
      </c>
      <c r="R3720" s="3">
        <f t="shared" si="295"/>
        <v>22930.959999999977</v>
      </c>
      <c r="S3720" s="24" t="s">
        <v>1334</v>
      </c>
      <c r="T3720" s="24" t="s">
        <v>1334</v>
      </c>
      <c r="U3720" s="55"/>
      <c r="V3720" s="25">
        <f>IFERROR(VLOOKUP(BCP_Soles[[#This Row],[destinatario]],CHOOSE({1,2},Clientes_Proveedores[Razon Social],Clientes_Proveedores[Ruc / Dni]),2,0),"")</f>
        <v>72169020</v>
      </c>
      <c r="W3720" s="25"/>
      <c r="X3720" s="25"/>
      <c r="Y3720" s="25"/>
      <c r="Z3720" s="77"/>
      <c r="AA3720" s="3" t="str">
        <f>IF(BCP_Soles[[#This Row],[fecha]]&gt;0,TEXT(BCP_Soles[[#This Row],[fecha]],"mmmm"),0)</f>
        <v>Setiembre</v>
      </c>
    </row>
    <row r="3721" spans="1:27" ht="24" x14ac:dyDescent="0.3">
      <c r="A3721" s="2">
        <f>IF(BCP_Soles[[#This Row],[tipo_registro]]="R",COUNTIFS($C$1:$C3720,"R")+1,A3720)</f>
        <v>2466</v>
      </c>
      <c r="B3721" s="19" t="str">
        <f t="shared" si="296"/>
        <v>B-BCP - Soles</v>
      </c>
      <c r="C3721" s="3" t="s">
        <v>1330</v>
      </c>
      <c r="D3721" s="14">
        <v>45908</v>
      </c>
      <c r="E3721" s="5" t="s">
        <v>1338</v>
      </c>
      <c r="F3721" s="5" t="s">
        <v>1336</v>
      </c>
      <c r="G3721" s="6" t="s">
        <v>1144</v>
      </c>
      <c r="H3721" s="6" t="s">
        <v>72</v>
      </c>
      <c r="I3721" s="6" t="s">
        <v>1376</v>
      </c>
      <c r="J3721" s="6">
        <v>182</v>
      </c>
      <c r="K3721" s="7" t="s">
        <v>4452</v>
      </c>
      <c r="L3721" s="8">
        <v>1059374</v>
      </c>
      <c r="M3721" s="8" t="str">
        <f t="shared" si="297"/>
        <v>PEN</v>
      </c>
      <c r="N3721" s="13"/>
      <c r="O3721" s="13">
        <v>550</v>
      </c>
      <c r="P3721" s="3">
        <f t="shared" si="298"/>
        <v>0</v>
      </c>
      <c r="Q3721" s="3">
        <f t="shared" si="299"/>
        <v>550</v>
      </c>
      <c r="R3721" s="3">
        <f t="shared" ref="R3721:R3784" si="300">IFERROR(IF(F3721="SALDO",P3721,R3720+P3721-Q3721),0)</f>
        <v>22380.959999999977</v>
      </c>
      <c r="S3721" s="24" t="s">
        <v>1334</v>
      </c>
      <c r="T3721" s="24" t="s">
        <v>1334</v>
      </c>
      <c r="U3721" s="55"/>
      <c r="V3721" s="25">
        <f>IFERROR(VLOOKUP(BCP_Soles[[#This Row],[destinatario]],CHOOSE({1,2},Clientes_Proveedores[Razon Social],Clientes_Proveedores[Ruc / Dni]),2,0),"")</f>
        <v>10742479299</v>
      </c>
      <c r="W3721" s="25"/>
      <c r="X3721" s="25"/>
      <c r="Y3721" s="25"/>
      <c r="Z3721" s="77"/>
      <c r="AA3721" s="3" t="str">
        <f>IF(BCP_Soles[[#This Row],[fecha]]&gt;0,TEXT(BCP_Soles[[#This Row],[fecha]],"mmmm"),0)</f>
        <v>Setiembre</v>
      </c>
    </row>
    <row r="3722" spans="1:27" x14ac:dyDescent="0.3">
      <c r="A3722" s="2">
        <f>IF(BCP_Soles[[#This Row],[tipo_registro]]="R",COUNTIFS($C$1:$C3721,"R")+1,A3721)</f>
        <v>2467</v>
      </c>
      <c r="B3722" s="19" t="str">
        <f t="shared" si="296"/>
        <v>B-BCP - Soles</v>
      </c>
      <c r="C3722" s="3" t="s">
        <v>1330</v>
      </c>
      <c r="D3722" s="14">
        <v>45908</v>
      </c>
      <c r="E3722" s="5" t="s">
        <v>1338</v>
      </c>
      <c r="F3722" s="5" t="s">
        <v>1336</v>
      </c>
      <c r="G3722" s="6" t="s">
        <v>575</v>
      </c>
      <c r="H3722" s="6"/>
      <c r="I3722" s="6"/>
      <c r="J3722" s="6"/>
      <c r="K3722" s="7" t="s">
        <v>1722</v>
      </c>
      <c r="L3722" s="8">
        <v>4010097</v>
      </c>
      <c r="M3722" s="8" t="str">
        <f t="shared" si="297"/>
        <v>PEN</v>
      </c>
      <c r="N3722" s="13"/>
      <c r="O3722" s="13">
        <v>600.5</v>
      </c>
      <c r="P3722" s="3">
        <f t="shared" si="298"/>
        <v>0</v>
      </c>
      <c r="Q3722" s="3">
        <f t="shared" si="299"/>
        <v>600.5</v>
      </c>
      <c r="R3722" s="3">
        <f t="shared" si="300"/>
        <v>21780.459999999977</v>
      </c>
      <c r="S3722" s="24"/>
      <c r="T3722" s="24"/>
      <c r="U3722" s="55"/>
      <c r="V3722" s="25">
        <f>IFERROR(VLOOKUP(BCP_Soles[[#This Row],[destinatario]],CHOOSE({1,2},Clientes_Proveedores[Razon Social],Clientes_Proveedores[Ruc / Dni]),2,0),"")</f>
        <v>20608970909</v>
      </c>
      <c r="W3722" s="25"/>
      <c r="X3722" s="25"/>
      <c r="Y3722" s="25"/>
      <c r="Z3722" s="77"/>
      <c r="AA3722" s="3" t="str">
        <f>IF(BCP_Soles[[#This Row],[fecha]]&gt;0,TEXT(BCP_Soles[[#This Row],[fecha]],"mmmm"),0)</f>
        <v>Setiembre</v>
      </c>
    </row>
    <row r="3723" spans="1:27" x14ac:dyDescent="0.3">
      <c r="A3723" s="2">
        <f>IF(BCP_Soles[[#This Row],[tipo_registro]]="R",COUNTIFS($C$1:$C3722,"R")+1,A3722)</f>
        <v>2467</v>
      </c>
      <c r="B3723" s="19" t="str">
        <f t="shared" si="296"/>
        <v>B-BCP - Soles</v>
      </c>
      <c r="C3723" s="3" t="s">
        <v>1352</v>
      </c>
      <c r="D3723" s="14">
        <v>45908</v>
      </c>
      <c r="E3723" s="5" t="s">
        <v>1338</v>
      </c>
      <c r="F3723" s="5" t="s">
        <v>1336</v>
      </c>
      <c r="G3723" s="6" t="s">
        <v>575</v>
      </c>
      <c r="H3723" s="6" t="s">
        <v>68</v>
      </c>
      <c r="I3723" s="6" t="s">
        <v>1376</v>
      </c>
      <c r="J3723" s="51">
        <v>1445</v>
      </c>
      <c r="K3723" s="7" t="s">
        <v>1722</v>
      </c>
      <c r="L3723" s="8">
        <v>4010097</v>
      </c>
      <c r="M3723" s="8" t="str">
        <f t="shared" si="297"/>
        <v>PEN</v>
      </c>
      <c r="N3723" s="13">
        <v>590</v>
      </c>
      <c r="O3723" s="13"/>
      <c r="P3723" s="3">
        <f t="shared" si="298"/>
        <v>0</v>
      </c>
      <c r="Q3723" s="3">
        <f t="shared" si="299"/>
        <v>0</v>
      </c>
      <c r="R3723" s="3">
        <f t="shared" si="300"/>
        <v>21780.459999999977</v>
      </c>
      <c r="S3723" s="24"/>
      <c r="T3723" s="24"/>
      <c r="U3723" s="55"/>
      <c r="V3723" s="25">
        <f>IFERROR(VLOOKUP(BCP_Soles[[#This Row],[destinatario]],CHOOSE({1,2},Clientes_Proveedores[Razon Social],Clientes_Proveedores[Ruc / Dni]),2,0),"")</f>
        <v>20608970909</v>
      </c>
      <c r="W3723" s="25"/>
      <c r="X3723" s="25"/>
      <c r="Y3723" s="25"/>
      <c r="Z3723" s="77"/>
      <c r="AA3723" s="3" t="str">
        <f>IF(BCP_Soles[[#This Row],[fecha]]&gt;0,TEXT(BCP_Soles[[#This Row],[fecha]],"mmmm"),0)</f>
        <v>Setiembre</v>
      </c>
    </row>
    <row r="3724" spans="1:27" ht="24" x14ac:dyDescent="0.3">
      <c r="A3724" s="2">
        <f>IF(BCP_Soles[[#This Row],[tipo_registro]]="R",COUNTIFS($C$1:$C3723,"R")+1,A3723)</f>
        <v>2467</v>
      </c>
      <c r="B3724" s="19" t="str">
        <f t="shared" si="296"/>
        <v>B-BCP - Soles</v>
      </c>
      <c r="C3724" s="3" t="s">
        <v>1352</v>
      </c>
      <c r="D3724" s="14">
        <v>45908</v>
      </c>
      <c r="E3724" s="5" t="s">
        <v>1338</v>
      </c>
      <c r="F3724" s="5" t="s">
        <v>1336</v>
      </c>
      <c r="G3724" s="6" t="s">
        <v>1060</v>
      </c>
      <c r="H3724" s="6" t="s">
        <v>68</v>
      </c>
      <c r="I3724" s="6" t="s">
        <v>1397</v>
      </c>
      <c r="J3724" s="6">
        <v>37251729</v>
      </c>
      <c r="K3724" s="7" t="s">
        <v>1722</v>
      </c>
      <c r="L3724" s="8">
        <v>4010097</v>
      </c>
      <c r="M3724" s="8" t="str">
        <f t="shared" si="297"/>
        <v>PEN</v>
      </c>
      <c r="N3724" s="13">
        <v>10.5</v>
      </c>
      <c r="O3724" s="13"/>
      <c r="P3724" s="3">
        <f t="shared" si="298"/>
        <v>0</v>
      </c>
      <c r="Q3724" s="3">
        <f t="shared" si="299"/>
        <v>0</v>
      </c>
      <c r="R3724" s="3">
        <f t="shared" si="300"/>
        <v>21780.459999999977</v>
      </c>
      <c r="S3724" s="24" t="s">
        <v>1334</v>
      </c>
      <c r="T3724" s="24"/>
      <c r="U3724" s="55"/>
      <c r="V3724" s="25">
        <f>IFERROR(VLOOKUP(BCP_Soles[[#This Row],[destinatario]],CHOOSE({1,2},Clientes_Proveedores[Razon Social],Clientes_Proveedores[Ruc / Dni]),2,0),"")</f>
        <v>20100047218</v>
      </c>
      <c r="W3724" s="25"/>
      <c r="X3724" s="25"/>
      <c r="Y3724" s="25"/>
      <c r="Z3724" s="77"/>
      <c r="AA3724" s="3" t="str">
        <f>IF(BCP_Soles[[#This Row],[fecha]]&gt;0,TEXT(BCP_Soles[[#This Row],[fecha]],"mmmm"),0)</f>
        <v>Setiembre</v>
      </c>
    </row>
    <row r="3725" spans="1:27" ht="24" x14ac:dyDescent="0.3">
      <c r="A3725" s="2">
        <f>IF(BCP_Soles[[#This Row],[tipo_registro]]="R",COUNTIFS($C$1:$C3724,"R")+1,A3724)</f>
        <v>2468</v>
      </c>
      <c r="B3725" s="19" t="str">
        <f t="shared" si="296"/>
        <v>B-BCP - Soles</v>
      </c>
      <c r="C3725" s="3" t="s">
        <v>1330</v>
      </c>
      <c r="D3725" s="14">
        <v>45908</v>
      </c>
      <c r="E3725" s="5" t="s">
        <v>1338</v>
      </c>
      <c r="F3725" s="5" t="s">
        <v>1336</v>
      </c>
      <c r="G3725" s="6" t="s">
        <v>249</v>
      </c>
      <c r="H3725" s="6"/>
      <c r="I3725" s="6"/>
      <c r="J3725" s="6"/>
      <c r="K3725" s="7" t="s">
        <v>4453</v>
      </c>
      <c r="L3725" s="8">
        <v>1227897</v>
      </c>
      <c r="M3725" s="8" t="str">
        <f t="shared" si="297"/>
        <v>PEN</v>
      </c>
      <c r="N3725" s="13"/>
      <c r="O3725" s="13">
        <v>3000</v>
      </c>
      <c r="P3725" s="3">
        <f t="shared" si="298"/>
        <v>0</v>
      </c>
      <c r="Q3725" s="3">
        <f t="shared" si="299"/>
        <v>3000</v>
      </c>
      <c r="R3725" s="3">
        <f t="shared" si="300"/>
        <v>18780.459999999977</v>
      </c>
      <c r="S3725" s="24"/>
      <c r="T3725" s="24" t="s">
        <v>1334</v>
      </c>
      <c r="U3725" s="55"/>
      <c r="V3725" s="25">
        <f>IFERROR(VLOOKUP(BCP_Soles[[#This Row],[destinatario]],CHOOSE({1,2},Clientes_Proveedores[Razon Social],Clientes_Proveedores[Ruc / Dni]),2,0),"")</f>
        <v>20302891452</v>
      </c>
      <c r="W3725" s="25"/>
      <c r="X3725" s="25"/>
      <c r="Y3725" s="25"/>
      <c r="Z3725" s="77"/>
      <c r="AA3725" s="3" t="str">
        <f>IF(BCP_Soles[[#This Row],[fecha]]&gt;0,TEXT(BCP_Soles[[#This Row],[fecha]],"mmmm"),0)</f>
        <v>Setiembre</v>
      </c>
    </row>
    <row r="3726" spans="1:27" ht="24" x14ac:dyDescent="0.3">
      <c r="A3726" s="2">
        <f>IF(BCP_Soles[[#This Row],[tipo_registro]]="R",COUNTIFS($C$1:$C3725,"R")+1,A3725)</f>
        <v>2469</v>
      </c>
      <c r="B3726" s="19" t="str">
        <f t="shared" si="296"/>
        <v>B-BCP - Soles</v>
      </c>
      <c r="C3726" s="3" t="s">
        <v>1330</v>
      </c>
      <c r="D3726" s="14">
        <v>45908</v>
      </c>
      <c r="E3726" s="5" t="s">
        <v>1338</v>
      </c>
      <c r="F3726" s="5" t="s">
        <v>1336</v>
      </c>
      <c r="G3726" s="6" t="s">
        <v>895</v>
      </c>
      <c r="H3726" s="6"/>
      <c r="I3726" s="6"/>
      <c r="J3726" s="6"/>
      <c r="K3726" s="7" t="s">
        <v>4454</v>
      </c>
      <c r="L3726" s="8">
        <v>1226957</v>
      </c>
      <c r="M3726" s="8" t="str">
        <f t="shared" si="297"/>
        <v>PEN</v>
      </c>
      <c r="N3726" s="13"/>
      <c r="O3726" s="13">
        <v>900</v>
      </c>
      <c r="P3726" s="3">
        <f t="shared" si="298"/>
        <v>0</v>
      </c>
      <c r="Q3726" s="3">
        <f t="shared" si="299"/>
        <v>900</v>
      </c>
      <c r="R3726" s="3">
        <f t="shared" si="300"/>
        <v>17880.459999999977</v>
      </c>
      <c r="S3726" s="24"/>
      <c r="T3726" s="24" t="s">
        <v>1334</v>
      </c>
      <c r="U3726" s="55"/>
      <c r="V3726" s="25">
        <f>IFERROR(VLOOKUP(BCP_Soles[[#This Row],[destinatario]],CHOOSE({1,2},Clientes_Proveedores[Razon Social],Clientes_Proveedores[Ruc / Dni]),2,0),"")</f>
        <v>72144092</v>
      </c>
      <c r="W3726" s="25"/>
      <c r="X3726" s="25"/>
      <c r="Y3726" s="25"/>
      <c r="Z3726" s="77"/>
      <c r="AA3726" s="3" t="str">
        <f>IF(BCP_Soles[[#This Row],[fecha]]&gt;0,TEXT(BCP_Soles[[#This Row],[fecha]],"mmmm"),0)</f>
        <v>Setiembre</v>
      </c>
    </row>
    <row r="3727" spans="1:27" x14ac:dyDescent="0.3">
      <c r="A3727" s="2">
        <f>IF(BCP_Soles[[#This Row],[tipo_registro]]="R",COUNTIFS($C$1:$C3726,"R")+1,A3726)</f>
        <v>2470</v>
      </c>
      <c r="B3727" s="19" t="str">
        <f t="shared" si="296"/>
        <v>B-BCP - Soles</v>
      </c>
      <c r="C3727" s="3" t="s">
        <v>1330</v>
      </c>
      <c r="D3727" s="14">
        <v>45908</v>
      </c>
      <c r="E3727" s="5" t="s">
        <v>1335</v>
      </c>
      <c r="F3727" s="5" t="s">
        <v>1336</v>
      </c>
      <c r="G3727" s="6" t="s">
        <v>1009</v>
      </c>
      <c r="H3727" s="6" t="s">
        <v>64</v>
      </c>
      <c r="I3727" s="6" t="s">
        <v>3673</v>
      </c>
      <c r="J3727" s="6">
        <v>2472</v>
      </c>
      <c r="K3727" s="7" t="s">
        <v>3160</v>
      </c>
      <c r="L3727" s="8"/>
      <c r="M3727" s="8" t="str">
        <f t="shared" si="297"/>
        <v>PEN</v>
      </c>
      <c r="N3727" s="13"/>
      <c r="O3727" s="13">
        <v>1</v>
      </c>
      <c r="P3727" s="3">
        <f t="shared" si="298"/>
        <v>0</v>
      </c>
      <c r="Q3727" s="3">
        <f t="shared" si="299"/>
        <v>1</v>
      </c>
      <c r="R3727" s="3">
        <f t="shared" si="300"/>
        <v>17879.459999999977</v>
      </c>
      <c r="S3727" s="24"/>
      <c r="T3727" s="24" t="s">
        <v>1334</v>
      </c>
      <c r="U3727" s="55"/>
      <c r="V3727" s="25">
        <f>IFERROR(VLOOKUP(BCP_Soles[[#This Row],[destinatario]],CHOOSE({1,2},Clientes_Proveedores[Razon Social],Clientes_Proveedores[Ruc / Dni]),2,0),"")</f>
        <v>11111111</v>
      </c>
      <c r="W3727" s="25"/>
      <c r="X3727" s="25"/>
      <c r="Y3727" s="25"/>
      <c r="Z3727" s="77"/>
      <c r="AA3727" s="3" t="str">
        <f>IF(BCP_Soles[[#This Row],[fecha]]&gt;0,TEXT(BCP_Soles[[#This Row],[fecha]],"mmmm"),0)</f>
        <v>Setiembre</v>
      </c>
    </row>
    <row r="3728" spans="1:27" x14ac:dyDescent="0.3">
      <c r="A3728" s="2">
        <f>IF(BCP_Soles[[#This Row],[tipo_registro]]="R",COUNTIFS($C$1:$C3727,"R")+1,A3727)</f>
        <v>2471</v>
      </c>
      <c r="B3728" s="19" t="str">
        <f t="shared" si="296"/>
        <v>B-BCP - Soles</v>
      </c>
      <c r="C3728" s="3" t="s">
        <v>1330</v>
      </c>
      <c r="D3728" s="14">
        <v>45909</v>
      </c>
      <c r="E3728" s="5" t="s">
        <v>630</v>
      </c>
      <c r="F3728" s="5" t="s">
        <v>1303</v>
      </c>
      <c r="G3728" s="6" t="s">
        <v>425</v>
      </c>
      <c r="H3728" s="6" t="s">
        <v>68</v>
      </c>
      <c r="I3728" s="6" t="s">
        <v>1784</v>
      </c>
      <c r="J3728" s="6">
        <v>143</v>
      </c>
      <c r="K3728" s="7" t="s">
        <v>4455</v>
      </c>
      <c r="L3728" s="8">
        <v>2239392</v>
      </c>
      <c r="M3728" s="8" t="str">
        <f t="shared" si="297"/>
        <v>PEN</v>
      </c>
      <c r="N3728" s="13"/>
      <c r="O3728" s="13">
        <v>4656.71</v>
      </c>
      <c r="P3728" s="3">
        <f t="shared" si="298"/>
        <v>4656.71</v>
      </c>
      <c r="Q3728" s="3">
        <f t="shared" si="299"/>
        <v>0</v>
      </c>
      <c r="R3728" s="3">
        <f t="shared" si="300"/>
        <v>22536.169999999976</v>
      </c>
      <c r="S3728" s="24" t="s">
        <v>1334</v>
      </c>
      <c r="T3728" s="24" t="s">
        <v>1334</v>
      </c>
      <c r="U3728" s="55"/>
      <c r="V3728" s="25">
        <f>IFERROR(VLOOKUP(BCP_Soles[[#This Row],[destinatario]],CHOOSE({1,2},Clientes_Proveedores[Razon Social],Clientes_Proveedores[Ruc / Dni]),2,0),"")</f>
        <v>20558226979</v>
      </c>
      <c r="W3728" s="25"/>
      <c r="X3728" s="25"/>
      <c r="Y3728" s="25"/>
      <c r="Z3728" s="77"/>
      <c r="AA3728" s="3" t="str">
        <f>IF(BCP_Soles[[#This Row],[fecha]]&gt;0,TEXT(BCP_Soles[[#This Row],[fecha]],"mmmm"),0)</f>
        <v>Setiembre</v>
      </c>
    </row>
    <row r="3729" spans="1:27" ht="24" x14ac:dyDescent="0.3">
      <c r="A3729" s="2">
        <f>IF(BCP_Soles[[#This Row],[tipo_registro]]="R",COUNTIFS($C$1:$C3728,"R")+1,A3728)</f>
        <v>2472</v>
      </c>
      <c r="B3729" s="19" t="str">
        <f t="shared" si="296"/>
        <v>B-BCP - Soles</v>
      </c>
      <c r="C3729" s="3" t="s">
        <v>1330</v>
      </c>
      <c r="D3729" s="14">
        <v>45909</v>
      </c>
      <c r="E3729" s="5" t="s">
        <v>1338</v>
      </c>
      <c r="F3729" s="5" t="s">
        <v>1336</v>
      </c>
      <c r="G3729" s="6" t="s">
        <v>909</v>
      </c>
      <c r="H3729" s="6" t="s">
        <v>143</v>
      </c>
      <c r="I3729" s="6">
        <v>1</v>
      </c>
      <c r="J3729" s="6">
        <v>702025</v>
      </c>
      <c r="K3729" s="7" t="s">
        <v>4456</v>
      </c>
      <c r="L3729" s="8">
        <v>1107728</v>
      </c>
      <c r="M3729" s="8" t="str">
        <f t="shared" si="297"/>
        <v>PEN</v>
      </c>
      <c r="N3729" s="13"/>
      <c r="O3729" s="13">
        <v>416</v>
      </c>
      <c r="P3729" s="3">
        <f t="shared" si="298"/>
        <v>0</v>
      </c>
      <c r="Q3729" s="3">
        <f t="shared" si="299"/>
        <v>416</v>
      </c>
      <c r="R3729" s="3">
        <f t="shared" si="300"/>
        <v>22120.169999999976</v>
      </c>
      <c r="S3729" s="24" t="s">
        <v>1334</v>
      </c>
      <c r="T3729" s="24" t="s">
        <v>1334</v>
      </c>
      <c r="U3729" s="55"/>
      <c r="V3729" s="25">
        <f>IFERROR(VLOOKUP(BCP_Soles[[#This Row],[destinatario]],CHOOSE({1,2},Clientes_Proveedores[Razon Social],Clientes_Proveedores[Ruc / Dni]),2,0),"")</f>
        <v>44314304</v>
      </c>
      <c r="W3729" s="25"/>
      <c r="X3729" s="25"/>
      <c r="Y3729" s="25"/>
      <c r="Z3729" s="77"/>
      <c r="AA3729" s="3" t="str">
        <f>IF(BCP_Soles[[#This Row],[fecha]]&gt;0,TEXT(BCP_Soles[[#This Row],[fecha]],"mmmm"),0)</f>
        <v>Setiembre</v>
      </c>
    </row>
    <row r="3730" spans="1:27" x14ac:dyDescent="0.3">
      <c r="A3730" s="2">
        <f>IF(BCP_Soles[[#This Row],[tipo_registro]]="R",COUNTIFS($C$1:$C3729,"R")+1,A3729)</f>
        <v>2473</v>
      </c>
      <c r="B3730" s="19" t="str">
        <f t="shared" si="296"/>
        <v>B-BCP - Soles</v>
      </c>
      <c r="C3730" s="3" t="s">
        <v>1330</v>
      </c>
      <c r="D3730" s="14">
        <v>45909</v>
      </c>
      <c r="E3730" s="5" t="s">
        <v>1338</v>
      </c>
      <c r="F3730" s="5" t="s">
        <v>1336</v>
      </c>
      <c r="G3730" s="6" t="s">
        <v>696</v>
      </c>
      <c r="H3730" s="6"/>
      <c r="I3730" s="6"/>
      <c r="J3730" s="6"/>
      <c r="K3730" s="7" t="s">
        <v>4457</v>
      </c>
      <c r="L3730" s="8">
        <v>2573601</v>
      </c>
      <c r="M3730" s="8" t="str">
        <f t="shared" si="297"/>
        <v>PEN</v>
      </c>
      <c r="N3730" s="13"/>
      <c r="O3730" s="13">
        <v>4348</v>
      </c>
      <c r="P3730" s="3">
        <f t="shared" si="298"/>
        <v>0</v>
      </c>
      <c r="Q3730" s="3">
        <f t="shared" si="299"/>
        <v>4348</v>
      </c>
      <c r="R3730" s="3">
        <f t="shared" si="300"/>
        <v>17772.169999999976</v>
      </c>
      <c r="S3730" s="24" t="s">
        <v>1334</v>
      </c>
      <c r="T3730" s="24" t="s">
        <v>1334</v>
      </c>
      <c r="U3730" s="55"/>
      <c r="V3730" s="25">
        <f>IFERROR(VLOOKUP(BCP_Soles[[#This Row],[destinatario]],CHOOSE({1,2},Clientes_Proveedores[Razon Social],Clientes_Proveedores[Ruc / Dni]),2,0),"")</f>
        <v>0</v>
      </c>
      <c r="W3730" s="25"/>
      <c r="X3730" s="25"/>
      <c r="Y3730" s="25"/>
      <c r="Z3730" s="77"/>
      <c r="AA3730" s="3" t="str">
        <f>IF(BCP_Soles[[#This Row],[fecha]]&gt;0,TEXT(BCP_Soles[[#This Row],[fecha]],"mmmm"),0)</f>
        <v>Setiembre</v>
      </c>
    </row>
    <row r="3731" spans="1:27" ht="24" x14ac:dyDescent="0.3">
      <c r="A3731" s="2">
        <f>IF(BCP_Soles[[#This Row],[tipo_registro]]="R",COUNTIFS($C$1:$C3730,"R")+1,A3730)</f>
        <v>2473</v>
      </c>
      <c r="B3731" s="19" t="str">
        <f t="shared" si="296"/>
        <v>B-BCP - Soles</v>
      </c>
      <c r="C3731" s="13" t="s">
        <v>1352</v>
      </c>
      <c r="D3731" s="14">
        <v>45909</v>
      </c>
      <c r="E3731" s="5" t="s">
        <v>2269</v>
      </c>
      <c r="F3731" s="5"/>
      <c r="G3731" s="6" t="s">
        <v>553</v>
      </c>
      <c r="H3731" s="6" t="s">
        <v>68</v>
      </c>
      <c r="I3731" s="6" t="s">
        <v>1376</v>
      </c>
      <c r="J3731" s="6">
        <v>356</v>
      </c>
      <c r="K3731" s="7" t="s">
        <v>4457</v>
      </c>
      <c r="L3731" s="8">
        <v>2573601</v>
      </c>
      <c r="M3731" s="8" t="str">
        <f t="shared" si="297"/>
        <v>PEN</v>
      </c>
      <c r="N3731" s="13">
        <v>1699</v>
      </c>
      <c r="O3731" s="13"/>
      <c r="P3731" s="3">
        <f t="shared" si="298"/>
        <v>0</v>
      </c>
      <c r="Q3731" s="3">
        <f t="shared" si="299"/>
        <v>0</v>
      </c>
      <c r="R3731" s="3">
        <f t="shared" si="300"/>
        <v>17772.169999999976</v>
      </c>
      <c r="S3731" s="28" t="s">
        <v>1334</v>
      </c>
      <c r="T3731" s="28" t="s">
        <v>1334</v>
      </c>
      <c r="U3731" s="55"/>
      <c r="V3731" s="25">
        <f>IFERROR(VLOOKUP(BCP_Soles[[#This Row],[destinatario]],CHOOSE({1,2},Clientes_Proveedores[Razon Social],Clientes_Proveedores[Ruc / Dni]),2,0),"")</f>
        <v>20606866861</v>
      </c>
      <c r="W3731" s="25"/>
      <c r="X3731" s="25"/>
      <c r="Y3731" s="25"/>
      <c r="Z3731" s="77"/>
      <c r="AA3731" s="3" t="str">
        <f>IF(BCP_Soles[[#This Row],[fecha]]&gt;0,TEXT(BCP_Soles[[#This Row],[fecha]],"mmmm"),0)</f>
        <v>Setiembre</v>
      </c>
    </row>
    <row r="3732" spans="1:27" ht="36" x14ac:dyDescent="0.3">
      <c r="A3732" s="2">
        <f>IF(BCP_Soles[[#This Row],[tipo_registro]]="R",COUNTIFS($C$1:$C3731,"R")+1,A3731)</f>
        <v>2473</v>
      </c>
      <c r="B3732" s="19" t="str">
        <f t="shared" si="296"/>
        <v>B-BCP - Soles</v>
      </c>
      <c r="C3732" s="13" t="s">
        <v>1352</v>
      </c>
      <c r="D3732" s="14">
        <v>45909</v>
      </c>
      <c r="E3732" s="5" t="s">
        <v>2269</v>
      </c>
      <c r="F3732" s="5"/>
      <c r="G3732" s="6" t="s">
        <v>277</v>
      </c>
      <c r="H3732" s="6" t="s">
        <v>68</v>
      </c>
      <c r="I3732" s="6" t="s">
        <v>1390</v>
      </c>
      <c r="J3732" s="6">
        <v>1888</v>
      </c>
      <c r="K3732" s="7" t="s">
        <v>4457</v>
      </c>
      <c r="L3732" s="8">
        <v>2573601</v>
      </c>
      <c r="M3732" s="8" t="str">
        <f t="shared" si="297"/>
        <v>PEN</v>
      </c>
      <c r="N3732" s="13">
        <v>1344</v>
      </c>
      <c r="O3732" s="13"/>
      <c r="P3732" s="3">
        <f t="shared" si="298"/>
        <v>0</v>
      </c>
      <c r="Q3732" s="3">
        <f t="shared" si="299"/>
        <v>0</v>
      </c>
      <c r="R3732" s="3">
        <f t="shared" si="300"/>
        <v>17772.169999999976</v>
      </c>
      <c r="S3732" s="28" t="s">
        <v>1334</v>
      </c>
      <c r="T3732" s="28" t="s">
        <v>1334</v>
      </c>
      <c r="U3732" s="55"/>
      <c r="V3732" s="25">
        <f>IFERROR(VLOOKUP(BCP_Soles[[#This Row],[destinatario]],CHOOSE({1,2},Clientes_Proveedores[Razon Social],Clientes_Proveedores[Ruc / Dni]),2,0),"")</f>
        <v>20429640939</v>
      </c>
      <c r="W3732" s="25"/>
      <c r="X3732" s="25"/>
      <c r="Y3732" s="25"/>
      <c r="Z3732" s="77"/>
      <c r="AA3732" s="3" t="str">
        <f>IF(BCP_Soles[[#This Row],[fecha]]&gt;0,TEXT(BCP_Soles[[#This Row],[fecha]],"mmmm"),0)</f>
        <v>Setiembre</v>
      </c>
    </row>
    <row r="3733" spans="1:27" ht="24" x14ac:dyDescent="0.3">
      <c r="A3733" s="2">
        <f>IF(BCP_Soles[[#This Row],[tipo_registro]]="R",COUNTIFS($C$1:$C3732,"R")+1,A3732)</f>
        <v>2473</v>
      </c>
      <c r="B3733" s="19" t="str">
        <f t="shared" si="296"/>
        <v>B-BCP - Soles</v>
      </c>
      <c r="C3733" s="13" t="s">
        <v>1352</v>
      </c>
      <c r="D3733" s="14">
        <v>45909</v>
      </c>
      <c r="E3733" s="5" t="s">
        <v>2269</v>
      </c>
      <c r="F3733" s="5"/>
      <c r="G3733" s="6" t="s">
        <v>166</v>
      </c>
      <c r="H3733" s="6" t="s">
        <v>68</v>
      </c>
      <c r="I3733" s="6" t="s">
        <v>1376</v>
      </c>
      <c r="J3733" s="6">
        <v>5345</v>
      </c>
      <c r="K3733" s="7" t="s">
        <v>4457</v>
      </c>
      <c r="L3733" s="8">
        <v>2573601</v>
      </c>
      <c r="M3733" s="8" t="str">
        <f t="shared" si="297"/>
        <v>PEN</v>
      </c>
      <c r="N3733" s="13">
        <v>59</v>
      </c>
      <c r="O3733" s="13"/>
      <c r="P3733" s="3">
        <f t="shared" si="298"/>
        <v>0</v>
      </c>
      <c r="Q3733" s="3">
        <f t="shared" si="299"/>
        <v>0</v>
      </c>
      <c r="R3733" s="3">
        <f t="shared" si="300"/>
        <v>17772.169999999976</v>
      </c>
      <c r="S3733" s="28" t="s">
        <v>1334</v>
      </c>
      <c r="T3733" s="28" t="s">
        <v>1334</v>
      </c>
      <c r="U3733" s="55"/>
      <c r="V3733" s="25">
        <f>IFERROR(VLOOKUP(BCP_Soles[[#This Row],[destinatario]],CHOOSE({1,2},Clientes_Proveedores[Razon Social],Clientes_Proveedores[Ruc / Dni]),2,0),"")</f>
        <v>10425371652</v>
      </c>
      <c r="W3733" s="25"/>
      <c r="X3733" s="25"/>
      <c r="Y3733" s="25"/>
      <c r="Z3733" s="77"/>
      <c r="AA3733" s="3" t="str">
        <f>IF(BCP_Soles[[#This Row],[fecha]]&gt;0,TEXT(BCP_Soles[[#This Row],[fecha]],"mmmm"),0)</f>
        <v>Setiembre</v>
      </c>
    </row>
    <row r="3734" spans="1:27" ht="36" x14ac:dyDescent="0.3">
      <c r="A3734" s="2">
        <f>IF(BCP_Soles[[#This Row],[tipo_registro]]="R",COUNTIFS($C$1:$C3733,"R")+1,A3733)</f>
        <v>2473</v>
      </c>
      <c r="B3734" s="19" t="str">
        <f t="shared" si="296"/>
        <v>B-BCP - Soles</v>
      </c>
      <c r="C3734" s="13" t="s">
        <v>1352</v>
      </c>
      <c r="D3734" s="14">
        <v>45909</v>
      </c>
      <c r="E3734" s="5" t="s">
        <v>2269</v>
      </c>
      <c r="F3734" s="5"/>
      <c r="G3734" s="6" t="s">
        <v>569</v>
      </c>
      <c r="H3734" s="6" t="s">
        <v>68</v>
      </c>
      <c r="I3734" s="6" t="s">
        <v>1376</v>
      </c>
      <c r="J3734" s="6">
        <v>709</v>
      </c>
      <c r="K3734" s="7" t="s">
        <v>4457</v>
      </c>
      <c r="L3734" s="8">
        <v>2573601</v>
      </c>
      <c r="M3734" s="8" t="str">
        <f t="shared" si="297"/>
        <v>PEN</v>
      </c>
      <c r="N3734" s="13">
        <v>623</v>
      </c>
      <c r="O3734" s="13"/>
      <c r="P3734" s="3">
        <f t="shared" si="298"/>
        <v>0</v>
      </c>
      <c r="Q3734" s="3">
        <f t="shared" si="299"/>
        <v>0</v>
      </c>
      <c r="R3734" s="3">
        <f t="shared" si="300"/>
        <v>17772.169999999976</v>
      </c>
      <c r="S3734" s="28" t="s">
        <v>1334</v>
      </c>
      <c r="T3734" s="28" t="s">
        <v>1334</v>
      </c>
      <c r="U3734" s="55"/>
      <c r="V3734" s="25">
        <f>IFERROR(VLOOKUP(BCP_Soles[[#This Row],[destinatario]],CHOOSE({1,2},Clientes_Proveedores[Razon Social],Clientes_Proveedores[Ruc / Dni]),2,0),"")</f>
        <v>20608686747</v>
      </c>
      <c r="W3734" s="25"/>
      <c r="X3734" s="25"/>
      <c r="Y3734" s="25"/>
      <c r="Z3734" s="77"/>
      <c r="AA3734" s="3" t="str">
        <f>IF(BCP_Soles[[#This Row],[fecha]]&gt;0,TEXT(BCP_Soles[[#This Row],[fecha]],"mmmm"),0)</f>
        <v>Setiembre</v>
      </c>
    </row>
    <row r="3735" spans="1:27" ht="36" x14ac:dyDescent="0.3">
      <c r="A3735" s="2">
        <f>IF(BCP_Soles[[#This Row],[tipo_registro]]="R",COUNTIFS($C$1:$C3734,"R")+1,A3734)</f>
        <v>2473</v>
      </c>
      <c r="B3735" s="19" t="str">
        <f t="shared" si="296"/>
        <v>B-BCP - Soles</v>
      </c>
      <c r="C3735" s="13" t="s">
        <v>1352</v>
      </c>
      <c r="D3735" s="14">
        <v>45909</v>
      </c>
      <c r="E3735" s="5" t="s">
        <v>2269</v>
      </c>
      <c r="F3735" s="5"/>
      <c r="G3735" s="6" t="s">
        <v>569</v>
      </c>
      <c r="H3735" s="6" t="s">
        <v>68</v>
      </c>
      <c r="I3735" s="6" t="s">
        <v>1376</v>
      </c>
      <c r="J3735" s="6">
        <v>702</v>
      </c>
      <c r="K3735" s="7" t="s">
        <v>4457</v>
      </c>
      <c r="L3735" s="8">
        <v>2573601</v>
      </c>
      <c r="M3735" s="8" t="str">
        <f t="shared" si="297"/>
        <v>PEN</v>
      </c>
      <c r="N3735" s="13">
        <v>623</v>
      </c>
      <c r="O3735" s="13"/>
      <c r="P3735" s="3">
        <f t="shared" si="298"/>
        <v>0</v>
      </c>
      <c r="Q3735" s="3">
        <f t="shared" si="299"/>
        <v>0</v>
      </c>
      <c r="R3735" s="3">
        <f t="shared" si="300"/>
        <v>17772.169999999976</v>
      </c>
      <c r="S3735" s="28" t="s">
        <v>1334</v>
      </c>
      <c r="T3735" s="28" t="s">
        <v>1334</v>
      </c>
      <c r="U3735" s="55"/>
      <c r="V3735" s="25">
        <f>IFERROR(VLOOKUP(BCP_Soles[[#This Row],[destinatario]],CHOOSE({1,2},Clientes_Proveedores[Razon Social],Clientes_Proveedores[Ruc / Dni]),2,0),"")</f>
        <v>20608686747</v>
      </c>
      <c r="W3735" s="25"/>
      <c r="X3735" s="25"/>
      <c r="Y3735" s="25"/>
      <c r="Z3735" s="77"/>
      <c r="AA3735" s="3" t="str">
        <f>IF(BCP_Soles[[#This Row],[fecha]]&gt;0,TEXT(BCP_Soles[[#This Row],[fecha]],"mmmm"),0)</f>
        <v>Setiembre</v>
      </c>
    </row>
    <row r="3736" spans="1:27" x14ac:dyDescent="0.3">
      <c r="A3736" s="2">
        <f>IF(BCP_Soles[[#This Row],[tipo_registro]]="R",COUNTIFS($C$1:$C3735,"R")+1,A3735)</f>
        <v>2474</v>
      </c>
      <c r="B3736" s="19" t="str">
        <f t="shared" si="296"/>
        <v>B-BCP - Soles</v>
      </c>
      <c r="C3736" s="3" t="s">
        <v>1330</v>
      </c>
      <c r="D3736" s="14">
        <v>45909</v>
      </c>
      <c r="E3736" s="5" t="s">
        <v>4171</v>
      </c>
      <c r="F3736" s="5" t="s">
        <v>1336</v>
      </c>
      <c r="G3736" s="6"/>
      <c r="H3736" s="6"/>
      <c r="I3736" s="6"/>
      <c r="J3736" s="6"/>
      <c r="K3736" s="7" t="s">
        <v>4458</v>
      </c>
      <c r="L3736" s="8">
        <v>1001627</v>
      </c>
      <c r="M3736" s="8" t="str">
        <f t="shared" si="297"/>
        <v>PEN</v>
      </c>
      <c r="N3736" s="13"/>
      <c r="O3736" s="13">
        <v>5001</v>
      </c>
      <c r="P3736" s="3">
        <f t="shared" si="298"/>
        <v>0</v>
      </c>
      <c r="Q3736" s="3">
        <f t="shared" si="299"/>
        <v>5001</v>
      </c>
      <c r="R3736" s="3">
        <f t="shared" si="300"/>
        <v>12771.169999999976</v>
      </c>
      <c r="S3736" s="24"/>
      <c r="T3736" s="24"/>
      <c r="U3736" s="55"/>
      <c r="V3736" s="25" t="str">
        <f>IFERROR(VLOOKUP(BCP_Soles[[#This Row],[destinatario]],CHOOSE({1,2},Clientes_Proveedores[Razon Social],Clientes_Proveedores[Ruc / Dni]),2,0),"")</f>
        <v/>
      </c>
      <c r="W3736" s="25"/>
      <c r="X3736" s="25"/>
      <c r="Y3736" s="25"/>
      <c r="Z3736" s="77"/>
      <c r="AA3736" s="3" t="str">
        <f>IF(BCP_Soles[[#This Row],[fecha]]&gt;0,TEXT(BCP_Soles[[#This Row],[fecha]],"mmmm"),0)</f>
        <v>Setiembre</v>
      </c>
    </row>
    <row r="3737" spans="1:27" ht="24" x14ac:dyDescent="0.3">
      <c r="A3737" s="2">
        <f>IF(BCP_Soles[[#This Row],[tipo_registro]]="R",COUNTIFS($C$1:$C3736,"R")+1,A3736)</f>
        <v>2475</v>
      </c>
      <c r="B3737" s="19" t="str">
        <f t="shared" si="296"/>
        <v>B-BCP - Soles</v>
      </c>
      <c r="C3737" s="3" t="s">
        <v>1330</v>
      </c>
      <c r="D3737" s="14">
        <v>45909</v>
      </c>
      <c r="E3737" s="5" t="s">
        <v>1335</v>
      </c>
      <c r="F3737" s="5" t="s">
        <v>1336</v>
      </c>
      <c r="G3737" s="6" t="s">
        <v>1060</v>
      </c>
      <c r="H3737" s="6" t="s">
        <v>68</v>
      </c>
      <c r="I3737" s="6" t="s">
        <v>1397</v>
      </c>
      <c r="J3737" s="6">
        <v>36627067</v>
      </c>
      <c r="K3737" s="7" t="s">
        <v>4230</v>
      </c>
      <c r="L3737" s="8">
        <v>377</v>
      </c>
      <c r="M3737" s="8" t="str">
        <f t="shared" si="297"/>
        <v>PEN</v>
      </c>
      <c r="N3737" s="13"/>
      <c r="O3737" s="13">
        <v>10</v>
      </c>
      <c r="P3737" s="3">
        <f t="shared" si="298"/>
        <v>0</v>
      </c>
      <c r="Q3737" s="3">
        <f t="shared" si="299"/>
        <v>10</v>
      </c>
      <c r="R3737" s="3">
        <f t="shared" si="300"/>
        <v>12761.169999999976</v>
      </c>
      <c r="S3737" s="24" t="s">
        <v>1334</v>
      </c>
      <c r="T3737" s="24" t="s">
        <v>1334</v>
      </c>
      <c r="U3737" s="55"/>
      <c r="V3737" s="25">
        <f>IFERROR(VLOOKUP(BCP_Soles[[#This Row],[destinatario]],CHOOSE({1,2},Clientes_Proveedores[Razon Social],Clientes_Proveedores[Ruc / Dni]),2,0),"")</f>
        <v>20100047218</v>
      </c>
      <c r="W3737" s="25"/>
      <c r="X3737" s="25"/>
      <c r="Y3737" s="25"/>
      <c r="Z3737" s="77"/>
      <c r="AA3737" s="3" t="str">
        <f>IF(BCP_Soles[[#This Row],[fecha]]&gt;0,TEXT(BCP_Soles[[#This Row],[fecha]],"mmmm"),0)</f>
        <v>Setiembre</v>
      </c>
    </row>
    <row r="3738" spans="1:27" x14ac:dyDescent="0.3">
      <c r="A3738" s="2">
        <f>IF(BCP_Soles[[#This Row],[tipo_registro]]="R",COUNTIFS($C$1:$C3737,"R")+1,A3737)</f>
        <v>2476</v>
      </c>
      <c r="B3738" s="19" t="str">
        <f t="shared" si="296"/>
        <v>B-BCP - Soles</v>
      </c>
      <c r="C3738" s="3" t="s">
        <v>1330</v>
      </c>
      <c r="D3738" s="14">
        <v>45909</v>
      </c>
      <c r="E3738" s="5" t="s">
        <v>1335</v>
      </c>
      <c r="F3738" s="5" t="s">
        <v>1336</v>
      </c>
      <c r="G3738" s="6" t="s">
        <v>1009</v>
      </c>
      <c r="H3738" s="6" t="s">
        <v>64</v>
      </c>
      <c r="I3738" s="6" t="s">
        <v>3673</v>
      </c>
      <c r="J3738" s="6">
        <v>2478</v>
      </c>
      <c r="K3738" s="7" t="s">
        <v>3160</v>
      </c>
      <c r="L3738" s="8"/>
      <c r="M3738" s="8" t="str">
        <f t="shared" si="297"/>
        <v>PEN</v>
      </c>
      <c r="N3738" s="13"/>
      <c r="O3738" s="13">
        <v>0.65</v>
      </c>
      <c r="P3738" s="3">
        <f t="shared" si="298"/>
        <v>0</v>
      </c>
      <c r="Q3738" s="3">
        <f t="shared" si="299"/>
        <v>0.65</v>
      </c>
      <c r="R3738" s="3">
        <f t="shared" si="300"/>
        <v>12760.519999999977</v>
      </c>
      <c r="S3738" s="24"/>
      <c r="T3738" s="24" t="s">
        <v>1334</v>
      </c>
      <c r="U3738" s="55"/>
      <c r="V3738" s="25">
        <f>IFERROR(VLOOKUP(BCP_Soles[[#This Row],[destinatario]],CHOOSE({1,2},Clientes_Proveedores[Razon Social],Clientes_Proveedores[Ruc / Dni]),2,0),"")</f>
        <v>11111111</v>
      </c>
      <c r="W3738" s="25"/>
      <c r="X3738" s="25"/>
      <c r="Y3738" s="25"/>
      <c r="Z3738" s="77"/>
      <c r="AA3738" s="3" t="str">
        <f>IF(BCP_Soles[[#This Row],[fecha]]&gt;0,TEXT(BCP_Soles[[#This Row],[fecha]],"mmmm"),0)</f>
        <v>Setiembre</v>
      </c>
    </row>
    <row r="3739" spans="1:27" x14ac:dyDescent="0.3">
      <c r="A3739" s="2">
        <f>IF(BCP_Soles[[#This Row],[tipo_registro]]="R",COUNTIFS($C$1:$C3738,"R")+1,A3738)</f>
        <v>2477</v>
      </c>
      <c r="B3739" s="19" t="str">
        <f t="shared" si="296"/>
        <v>B-BCP - Soles</v>
      </c>
      <c r="C3739" s="3" t="s">
        <v>1330</v>
      </c>
      <c r="D3739" s="14">
        <v>45910</v>
      </c>
      <c r="E3739" s="5" t="s">
        <v>4459</v>
      </c>
      <c r="F3739" s="5" t="s">
        <v>1303</v>
      </c>
      <c r="G3739" s="6" t="s">
        <v>425</v>
      </c>
      <c r="H3739" s="6"/>
      <c r="I3739" s="6"/>
      <c r="J3739" s="6"/>
      <c r="K3739" s="7" t="s">
        <v>4460</v>
      </c>
      <c r="L3739" s="8">
        <v>6068618</v>
      </c>
      <c r="M3739" s="8" t="str">
        <f t="shared" si="297"/>
        <v>PEN</v>
      </c>
      <c r="N3739" s="13"/>
      <c r="O3739" s="13">
        <v>1600</v>
      </c>
      <c r="P3739" s="3">
        <f t="shared" si="298"/>
        <v>1600</v>
      </c>
      <c r="Q3739" s="3">
        <f t="shared" si="299"/>
        <v>0</v>
      </c>
      <c r="R3739" s="3">
        <f t="shared" si="300"/>
        <v>14360.519999999977</v>
      </c>
      <c r="S3739" s="24"/>
      <c r="T3739" s="24"/>
      <c r="U3739" s="55"/>
      <c r="V3739" s="25">
        <f>IFERROR(VLOOKUP(BCP_Soles[[#This Row],[destinatario]],CHOOSE({1,2},Clientes_Proveedores[Razon Social],Clientes_Proveedores[Ruc / Dni]),2,0),"")</f>
        <v>20558226979</v>
      </c>
      <c r="W3739" s="25"/>
      <c r="X3739" s="25"/>
      <c r="Y3739" s="25"/>
      <c r="Z3739" s="77"/>
      <c r="AA3739" s="3" t="str">
        <f>IF(BCP_Soles[[#This Row],[fecha]]&gt;0,TEXT(BCP_Soles[[#This Row],[fecha]],"mmmm"),0)</f>
        <v>Setiembre</v>
      </c>
    </row>
    <row r="3740" spans="1:27" x14ac:dyDescent="0.3">
      <c r="A3740" s="2">
        <f>IF(BCP_Soles[[#This Row],[tipo_registro]]="R",COUNTIFS($C$1:$C3739,"R")+1,A3739)</f>
        <v>2478</v>
      </c>
      <c r="B3740" s="19" t="str">
        <f t="shared" si="296"/>
        <v>B-BCP - Soles</v>
      </c>
      <c r="C3740" s="3" t="s">
        <v>1330</v>
      </c>
      <c r="D3740" s="14">
        <v>45910</v>
      </c>
      <c r="E3740" s="5" t="s">
        <v>1522</v>
      </c>
      <c r="F3740" s="5" t="s">
        <v>1303</v>
      </c>
      <c r="G3740" s="6" t="s">
        <v>425</v>
      </c>
      <c r="H3740" s="6" t="s">
        <v>119</v>
      </c>
      <c r="I3740" s="6">
        <v>1</v>
      </c>
      <c r="J3740" s="6">
        <v>4673</v>
      </c>
      <c r="K3740" s="7" t="s">
        <v>3608</v>
      </c>
      <c r="L3740" s="8">
        <v>2875645</v>
      </c>
      <c r="M3740" s="8" t="str">
        <f t="shared" si="297"/>
        <v>PEN</v>
      </c>
      <c r="N3740" s="13"/>
      <c r="O3740" s="13">
        <v>2547</v>
      </c>
      <c r="P3740" s="3">
        <f t="shared" si="298"/>
        <v>2547</v>
      </c>
      <c r="Q3740" s="3">
        <f t="shared" si="299"/>
        <v>0</v>
      </c>
      <c r="R3740" s="3">
        <f t="shared" si="300"/>
        <v>16907.519999999975</v>
      </c>
      <c r="S3740" s="24" t="s">
        <v>1334</v>
      </c>
      <c r="T3740" s="24" t="s">
        <v>1334</v>
      </c>
      <c r="U3740" s="55"/>
      <c r="V3740" s="25">
        <f>IFERROR(VLOOKUP(BCP_Soles[[#This Row],[destinatario]],CHOOSE({1,2},Clientes_Proveedores[Razon Social],Clientes_Proveedores[Ruc / Dni]),2,0),"")</f>
        <v>20558226979</v>
      </c>
      <c r="W3740" s="25"/>
      <c r="X3740" s="25"/>
      <c r="Y3740" s="25"/>
      <c r="Z3740" s="77"/>
      <c r="AA3740" s="3" t="str">
        <f>IF(BCP_Soles[[#This Row],[fecha]]&gt;0,TEXT(BCP_Soles[[#This Row],[fecha]],"mmmm"),0)</f>
        <v>Setiembre</v>
      </c>
    </row>
    <row r="3741" spans="1:27" x14ac:dyDescent="0.3">
      <c r="A3741" s="2">
        <f>IF(BCP_Soles[[#This Row],[tipo_registro]]="R",COUNTIFS($C$1:$C3740,"R")+1,A3740)</f>
        <v>2479</v>
      </c>
      <c r="B3741" s="19" t="str">
        <f t="shared" ref="B3741:B3804" si="301">"B-BCP - Soles"</f>
        <v>B-BCP - Soles</v>
      </c>
      <c r="C3741" s="3" t="s">
        <v>1330</v>
      </c>
      <c r="D3741" s="14">
        <v>45910</v>
      </c>
      <c r="E3741" s="5" t="s">
        <v>203</v>
      </c>
      <c r="F3741" s="5" t="s">
        <v>1303</v>
      </c>
      <c r="G3741" s="6" t="s">
        <v>425</v>
      </c>
      <c r="H3741" s="6" t="s">
        <v>68</v>
      </c>
      <c r="I3741" s="6" t="s">
        <v>1784</v>
      </c>
      <c r="J3741" s="6">
        <v>223</v>
      </c>
      <c r="K3741" s="7" t="s">
        <v>3967</v>
      </c>
      <c r="L3741" s="8">
        <v>2161351</v>
      </c>
      <c r="M3741" s="8" t="str">
        <f t="shared" ref="M3741:M3804" si="302">"PEN"</f>
        <v>PEN</v>
      </c>
      <c r="N3741" s="13"/>
      <c r="O3741" s="13">
        <v>1292.18</v>
      </c>
      <c r="P3741" s="3">
        <f t="shared" ref="P3741:P3804" si="303">+IF(OR($F3741="SALDO",$F3741="INGRESO"),$O3741,0)</f>
        <v>1292.18</v>
      </c>
      <c r="Q3741" s="3">
        <f t="shared" ref="Q3741:Q3804" si="304">+IF($F3741="EGRESO",$O3741,0)</f>
        <v>0</v>
      </c>
      <c r="R3741" s="3">
        <f t="shared" si="300"/>
        <v>18199.699999999975</v>
      </c>
      <c r="S3741" s="24" t="s">
        <v>1334</v>
      </c>
      <c r="T3741" s="24" t="s">
        <v>1334</v>
      </c>
      <c r="U3741" s="55"/>
      <c r="V3741" s="25">
        <f>IFERROR(VLOOKUP(BCP_Soles[[#This Row],[destinatario]],CHOOSE({1,2},Clientes_Proveedores[Razon Social],Clientes_Proveedores[Ruc / Dni]),2,0),"")</f>
        <v>20558226979</v>
      </c>
      <c r="W3741" s="25"/>
      <c r="X3741" s="25"/>
      <c r="Y3741" s="25"/>
      <c r="Z3741" s="77"/>
      <c r="AA3741" s="3" t="str">
        <f>IF(BCP_Soles[[#This Row],[fecha]]&gt;0,TEXT(BCP_Soles[[#This Row],[fecha]],"mmmm"),0)</f>
        <v>Setiembre</v>
      </c>
    </row>
    <row r="3742" spans="1:27" x14ac:dyDescent="0.3">
      <c r="A3742" s="2">
        <f>IF(BCP_Soles[[#This Row],[tipo_registro]]="R",COUNTIFS($C$1:$C3741,"R")+1,A3741)</f>
        <v>2480</v>
      </c>
      <c r="B3742" s="19" t="str">
        <f t="shared" si="301"/>
        <v>B-BCP - Soles</v>
      </c>
      <c r="C3742" s="3" t="s">
        <v>1330</v>
      </c>
      <c r="D3742" s="14">
        <v>45910</v>
      </c>
      <c r="E3742" s="5"/>
      <c r="F3742" s="5" t="s">
        <v>1303</v>
      </c>
      <c r="G3742" s="6" t="s">
        <v>425</v>
      </c>
      <c r="H3742" s="6"/>
      <c r="I3742" s="6"/>
      <c r="J3742" s="6"/>
      <c r="K3742" s="7" t="s">
        <v>4117</v>
      </c>
      <c r="L3742" s="8">
        <v>2936815</v>
      </c>
      <c r="M3742" s="8" t="str">
        <f t="shared" si="302"/>
        <v>PEN</v>
      </c>
      <c r="N3742" s="13"/>
      <c r="O3742" s="13">
        <v>7581.94</v>
      </c>
      <c r="P3742" s="3">
        <f t="shared" si="303"/>
        <v>7581.94</v>
      </c>
      <c r="Q3742" s="3">
        <f t="shared" si="304"/>
        <v>0</v>
      </c>
      <c r="R3742" s="3">
        <f t="shared" si="300"/>
        <v>25781.639999999974</v>
      </c>
      <c r="S3742" s="24" t="s">
        <v>1334</v>
      </c>
      <c r="T3742" s="24" t="s">
        <v>1334</v>
      </c>
      <c r="U3742" s="55"/>
      <c r="V3742" s="25">
        <f>IFERROR(VLOOKUP(BCP_Soles[[#This Row],[destinatario]],CHOOSE({1,2},Clientes_Proveedores[Razon Social],Clientes_Proveedores[Ruc / Dni]),2,0),"")</f>
        <v>20558226979</v>
      </c>
      <c r="W3742" s="25"/>
      <c r="X3742" s="25"/>
      <c r="Y3742" s="25"/>
      <c r="Z3742" s="77"/>
      <c r="AA3742" s="3" t="str">
        <f>IF(BCP_Soles[[#This Row],[fecha]]&gt;0,TEXT(BCP_Soles[[#This Row],[fecha]],"mmmm"),0)</f>
        <v>Setiembre</v>
      </c>
    </row>
    <row r="3743" spans="1:27" ht="36" x14ac:dyDescent="0.3">
      <c r="A3743" s="2">
        <f>IF(BCP_Soles[[#This Row],[tipo_registro]]="R",COUNTIFS($C$1:$C3742,"R")+1,A3742)</f>
        <v>2480</v>
      </c>
      <c r="B3743" s="19" t="str">
        <f t="shared" si="301"/>
        <v>B-BCP - Soles</v>
      </c>
      <c r="C3743" s="3" t="s">
        <v>1352</v>
      </c>
      <c r="D3743" s="14">
        <v>45910</v>
      </c>
      <c r="E3743" s="5" t="s">
        <v>237</v>
      </c>
      <c r="F3743" s="5"/>
      <c r="G3743" s="5"/>
      <c r="H3743" s="6" t="s">
        <v>68</v>
      </c>
      <c r="I3743" s="6" t="s">
        <v>1784</v>
      </c>
      <c r="J3743" s="6">
        <v>173</v>
      </c>
      <c r="K3743" s="7" t="s">
        <v>4117</v>
      </c>
      <c r="L3743" s="8">
        <v>2936815</v>
      </c>
      <c r="M3743" s="8" t="str">
        <f t="shared" si="302"/>
        <v>PEN</v>
      </c>
      <c r="N3743" s="13">
        <v>1894.32</v>
      </c>
      <c r="O3743" s="13"/>
      <c r="P3743" s="3">
        <f t="shared" si="303"/>
        <v>0</v>
      </c>
      <c r="Q3743" s="3">
        <f t="shared" si="304"/>
        <v>0</v>
      </c>
      <c r="R3743" s="3">
        <f t="shared" si="300"/>
        <v>25781.639999999974</v>
      </c>
      <c r="S3743" s="24" t="s">
        <v>1334</v>
      </c>
      <c r="T3743" s="24" t="s">
        <v>1334</v>
      </c>
      <c r="U3743" s="55"/>
      <c r="V3743" s="25" t="str">
        <f>IFERROR(VLOOKUP(BCP_Soles[[#This Row],[destinatario]],CHOOSE({1,2},Clientes_Proveedores[Razon Social],Clientes_Proveedores[Ruc / Dni]),2,0),"")</f>
        <v/>
      </c>
      <c r="W3743" s="25"/>
      <c r="X3743" s="25"/>
      <c r="Y3743" s="25"/>
      <c r="Z3743" s="77"/>
      <c r="AA3743" s="3" t="str">
        <f>IF(BCP_Soles[[#This Row],[fecha]]&gt;0,TEXT(BCP_Soles[[#This Row],[fecha]],"mmmm"),0)</f>
        <v>Setiembre</v>
      </c>
    </row>
    <row r="3744" spans="1:27" ht="36" x14ac:dyDescent="0.3">
      <c r="A3744" s="2">
        <f>IF(BCP_Soles[[#This Row],[tipo_registro]]="R",COUNTIFS($C$1:$C3743,"R")+1,A3743)</f>
        <v>2480</v>
      </c>
      <c r="B3744" s="19" t="str">
        <f t="shared" si="301"/>
        <v>B-BCP - Soles</v>
      </c>
      <c r="C3744" s="3" t="s">
        <v>1352</v>
      </c>
      <c r="D3744" s="14">
        <v>45910</v>
      </c>
      <c r="E3744" s="5" t="s">
        <v>237</v>
      </c>
      <c r="F3744" s="5"/>
      <c r="G3744" s="6"/>
      <c r="H3744" s="6" t="s">
        <v>68</v>
      </c>
      <c r="I3744" s="6" t="s">
        <v>1784</v>
      </c>
      <c r="J3744" s="6">
        <v>177</v>
      </c>
      <c r="K3744" s="7" t="s">
        <v>4117</v>
      </c>
      <c r="L3744" s="8">
        <v>2936815</v>
      </c>
      <c r="M3744" s="8" t="str">
        <f t="shared" si="302"/>
        <v>PEN</v>
      </c>
      <c r="N3744" s="13">
        <v>2846.14</v>
      </c>
      <c r="O3744" s="13"/>
      <c r="P3744" s="3">
        <f t="shared" si="303"/>
        <v>0</v>
      </c>
      <c r="Q3744" s="3">
        <f t="shared" si="304"/>
        <v>0</v>
      </c>
      <c r="R3744" s="3">
        <f t="shared" si="300"/>
        <v>25781.639999999974</v>
      </c>
      <c r="S3744" s="24" t="s">
        <v>1334</v>
      </c>
      <c r="T3744" s="24" t="s">
        <v>1334</v>
      </c>
      <c r="U3744" s="55"/>
      <c r="V3744" s="25" t="str">
        <f>IFERROR(VLOOKUP(BCP_Soles[[#This Row],[destinatario]],CHOOSE({1,2},Clientes_Proveedores[Razon Social],Clientes_Proveedores[Ruc / Dni]),2,0),"")</f>
        <v/>
      </c>
      <c r="W3744" s="25"/>
      <c r="X3744" s="25"/>
      <c r="Y3744" s="25"/>
      <c r="Z3744" s="77"/>
      <c r="AA3744" s="3" t="str">
        <f>IF(BCP_Soles[[#This Row],[fecha]]&gt;0,TEXT(BCP_Soles[[#This Row],[fecha]],"mmmm"),0)</f>
        <v>Setiembre</v>
      </c>
    </row>
    <row r="3745" spans="1:27" ht="36" x14ac:dyDescent="0.3">
      <c r="A3745" s="2">
        <f>IF(BCP_Soles[[#This Row],[tipo_registro]]="R",COUNTIFS($C$1:$C3744,"R")+1,A3744)</f>
        <v>2480</v>
      </c>
      <c r="B3745" s="19" t="str">
        <f t="shared" si="301"/>
        <v>B-BCP - Soles</v>
      </c>
      <c r="C3745" s="3" t="s">
        <v>1352</v>
      </c>
      <c r="D3745" s="14">
        <v>45910</v>
      </c>
      <c r="E3745" s="5" t="s">
        <v>237</v>
      </c>
      <c r="F3745" s="5"/>
      <c r="G3745" s="6"/>
      <c r="H3745" s="6" t="s">
        <v>68</v>
      </c>
      <c r="I3745" s="6" t="s">
        <v>1784</v>
      </c>
      <c r="J3745" s="6">
        <v>181</v>
      </c>
      <c r="K3745" s="7" t="s">
        <v>4117</v>
      </c>
      <c r="L3745" s="8">
        <v>2936815</v>
      </c>
      <c r="M3745" s="8" t="str">
        <f t="shared" si="302"/>
        <v>PEN</v>
      </c>
      <c r="N3745" s="13">
        <v>2841.48</v>
      </c>
      <c r="O3745" s="13"/>
      <c r="P3745" s="3">
        <f t="shared" si="303"/>
        <v>0</v>
      </c>
      <c r="Q3745" s="3">
        <f t="shared" si="304"/>
        <v>0</v>
      </c>
      <c r="R3745" s="3">
        <f t="shared" si="300"/>
        <v>25781.639999999974</v>
      </c>
      <c r="S3745" s="24" t="s">
        <v>1334</v>
      </c>
      <c r="T3745" s="24" t="s">
        <v>1334</v>
      </c>
      <c r="U3745" s="55"/>
      <c r="V3745" s="25" t="str">
        <f>IFERROR(VLOOKUP(BCP_Soles[[#This Row],[destinatario]],CHOOSE({1,2},Clientes_Proveedores[Razon Social],Clientes_Proveedores[Ruc / Dni]),2,0),"")</f>
        <v/>
      </c>
      <c r="W3745" s="25"/>
      <c r="X3745" s="25"/>
      <c r="Y3745" s="25"/>
      <c r="Z3745" s="77"/>
      <c r="AA3745" s="3" t="str">
        <f>IF(BCP_Soles[[#This Row],[fecha]]&gt;0,TEXT(BCP_Soles[[#This Row],[fecha]],"mmmm"),0)</f>
        <v>Setiembre</v>
      </c>
    </row>
    <row r="3746" spans="1:27" ht="36" x14ac:dyDescent="0.3">
      <c r="A3746" s="2">
        <f>IF(BCP_Soles[[#This Row],[tipo_registro]]="R",COUNTIFS($C$1:$C3745,"R")+1,A3745)</f>
        <v>2481</v>
      </c>
      <c r="B3746" s="19" t="str">
        <f t="shared" si="301"/>
        <v>B-BCP - Soles</v>
      </c>
      <c r="C3746" s="3" t="s">
        <v>1330</v>
      </c>
      <c r="D3746" s="14">
        <v>45910</v>
      </c>
      <c r="E3746" s="5" t="s">
        <v>2269</v>
      </c>
      <c r="F3746" s="5" t="s">
        <v>1336</v>
      </c>
      <c r="G3746" s="6" t="s">
        <v>713</v>
      </c>
      <c r="H3746" s="6" t="s">
        <v>68</v>
      </c>
      <c r="I3746" s="6" t="s">
        <v>1376</v>
      </c>
      <c r="J3746" s="6">
        <v>2424</v>
      </c>
      <c r="K3746" s="7" t="s">
        <v>4461</v>
      </c>
      <c r="L3746" s="8">
        <v>1095901</v>
      </c>
      <c r="M3746" s="8" t="str">
        <f t="shared" si="302"/>
        <v>PEN</v>
      </c>
      <c r="N3746" s="13"/>
      <c r="O3746" s="13">
        <v>155</v>
      </c>
      <c r="P3746" s="3">
        <f t="shared" si="303"/>
        <v>0</v>
      </c>
      <c r="Q3746" s="3">
        <f t="shared" si="304"/>
        <v>155</v>
      </c>
      <c r="R3746" s="3">
        <f t="shared" si="300"/>
        <v>25626.639999999974</v>
      </c>
      <c r="S3746" s="24" t="s">
        <v>1334</v>
      </c>
      <c r="T3746" s="24" t="s">
        <v>1334</v>
      </c>
      <c r="U3746" s="55"/>
      <c r="V3746" s="25">
        <f>IFERROR(VLOOKUP(BCP_Soles[[#This Row],[destinatario]],CHOOSE({1,2},Clientes_Proveedores[Razon Social],Clientes_Proveedores[Ruc / Dni]),2,0),"")</f>
        <v>20601981255</v>
      </c>
      <c r="W3746" s="25"/>
      <c r="X3746" s="25"/>
      <c r="Y3746" s="25"/>
      <c r="Z3746" s="77"/>
      <c r="AA3746" s="3" t="str">
        <f>IF(BCP_Soles[[#This Row],[fecha]]&gt;0,TEXT(BCP_Soles[[#This Row],[fecha]],"mmmm"),0)</f>
        <v>Setiembre</v>
      </c>
    </row>
    <row r="3747" spans="1:27" x14ac:dyDescent="0.3">
      <c r="A3747" s="2">
        <f>IF(BCP_Soles[[#This Row],[tipo_registro]]="R",COUNTIFS($C$1:$C3746,"R")+1,A3746)</f>
        <v>2482</v>
      </c>
      <c r="B3747" s="19" t="str">
        <f t="shared" si="301"/>
        <v>B-BCP - Soles</v>
      </c>
      <c r="C3747" s="3" t="s">
        <v>1330</v>
      </c>
      <c r="D3747" s="14">
        <v>45910</v>
      </c>
      <c r="E3747" s="5" t="s">
        <v>2269</v>
      </c>
      <c r="F3747" s="5" t="s">
        <v>1336</v>
      </c>
      <c r="G3747" s="6" t="s">
        <v>696</v>
      </c>
      <c r="H3747" s="6"/>
      <c r="I3747" s="6"/>
      <c r="J3747" s="6"/>
      <c r="K3747" s="7" t="s">
        <v>4462</v>
      </c>
      <c r="L3747" s="8">
        <v>2897239</v>
      </c>
      <c r="M3747" s="8" t="str">
        <f t="shared" si="302"/>
        <v>PEN</v>
      </c>
      <c r="N3747" s="13"/>
      <c r="O3747" s="13">
        <v>3690.6</v>
      </c>
      <c r="P3747" s="3">
        <f t="shared" si="303"/>
        <v>0</v>
      </c>
      <c r="Q3747" s="3">
        <f t="shared" si="304"/>
        <v>3690.6</v>
      </c>
      <c r="R3747" s="3">
        <f t="shared" si="300"/>
        <v>21936.039999999975</v>
      </c>
      <c r="S3747" s="24" t="s">
        <v>1334</v>
      </c>
      <c r="T3747" s="24" t="s">
        <v>1334</v>
      </c>
      <c r="U3747" s="56" t="s">
        <v>4463</v>
      </c>
      <c r="V3747" s="25">
        <f>IFERROR(VLOOKUP(BCP_Soles[[#This Row],[destinatario]],CHOOSE({1,2},Clientes_Proveedores[Razon Social],Clientes_Proveedores[Ruc / Dni]),2,0),"")</f>
        <v>0</v>
      </c>
      <c r="W3747" s="25"/>
      <c r="X3747" s="25"/>
      <c r="Y3747" s="25"/>
      <c r="Z3747" s="77"/>
      <c r="AA3747" s="3" t="str">
        <f>IF(BCP_Soles[[#This Row],[fecha]]&gt;0,TEXT(BCP_Soles[[#This Row],[fecha]],"mmmm"),0)</f>
        <v>Setiembre</v>
      </c>
    </row>
    <row r="3748" spans="1:27" ht="36" x14ac:dyDescent="0.3">
      <c r="A3748" s="2">
        <f>IF(BCP_Soles[[#This Row],[tipo_registro]]="R",COUNTIFS($C$1:$C3747,"R")+1,A3747)</f>
        <v>2482</v>
      </c>
      <c r="B3748" s="19" t="str">
        <f t="shared" si="301"/>
        <v>B-BCP - Soles</v>
      </c>
      <c r="C3748" s="3" t="s">
        <v>1352</v>
      </c>
      <c r="D3748" s="14">
        <v>45910</v>
      </c>
      <c r="E3748" s="5" t="s">
        <v>2269</v>
      </c>
      <c r="F3748" s="5"/>
      <c r="G3748" s="6" t="s">
        <v>1139</v>
      </c>
      <c r="H3748" s="6" t="s">
        <v>68</v>
      </c>
      <c r="I3748" s="6" t="s">
        <v>1376</v>
      </c>
      <c r="J3748" s="6">
        <v>74</v>
      </c>
      <c r="K3748" s="7" t="s">
        <v>4462</v>
      </c>
      <c r="L3748" s="8">
        <v>2897239</v>
      </c>
      <c r="M3748" s="8" t="str">
        <f t="shared" si="302"/>
        <v>PEN</v>
      </c>
      <c r="N3748" s="13">
        <v>1056</v>
      </c>
      <c r="O3748" s="13"/>
      <c r="P3748" s="3">
        <f t="shared" si="303"/>
        <v>0</v>
      </c>
      <c r="Q3748" s="3">
        <f t="shared" si="304"/>
        <v>0</v>
      </c>
      <c r="R3748" s="3">
        <f t="shared" si="300"/>
        <v>21936.039999999975</v>
      </c>
      <c r="S3748" s="24" t="s">
        <v>1334</v>
      </c>
      <c r="T3748" s="24" t="s">
        <v>1334</v>
      </c>
      <c r="U3748" s="56" t="s">
        <v>4463</v>
      </c>
      <c r="V3748" s="25">
        <f>IFERROR(VLOOKUP(BCP_Soles[[#This Row],[destinatario]],CHOOSE({1,2},Clientes_Proveedores[Razon Social],Clientes_Proveedores[Ruc / Dni]),2,0),"")</f>
        <v>20613536184</v>
      </c>
      <c r="W3748" s="25"/>
      <c r="X3748" s="25"/>
      <c r="Y3748" s="25"/>
      <c r="Z3748" s="77"/>
      <c r="AA3748" s="3" t="str">
        <f>IF(BCP_Soles[[#This Row],[fecha]]&gt;0,TEXT(BCP_Soles[[#This Row],[fecha]],"mmmm"),0)</f>
        <v>Setiembre</v>
      </c>
    </row>
    <row r="3749" spans="1:27" ht="36" x14ac:dyDescent="0.3">
      <c r="A3749" s="2">
        <f>IF(BCP_Soles[[#This Row],[tipo_registro]]="R",COUNTIFS($C$1:$C3748,"R")+1,A3748)</f>
        <v>2482</v>
      </c>
      <c r="B3749" s="19" t="str">
        <f t="shared" si="301"/>
        <v>B-BCP - Soles</v>
      </c>
      <c r="C3749" s="3" t="s">
        <v>1352</v>
      </c>
      <c r="D3749" s="14">
        <v>45910</v>
      </c>
      <c r="E3749" s="5" t="s">
        <v>2269</v>
      </c>
      <c r="F3749" s="5"/>
      <c r="G3749" s="6" t="s">
        <v>117</v>
      </c>
      <c r="H3749" s="6" t="s">
        <v>68</v>
      </c>
      <c r="I3749" s="6" t="s">
        <v>1376</v>
      </c>
      <c r="J3749" s="6">
        <v>554</v>
      </c>
      <c r="K3749" s="7" t="s">
        <v>4462</v>
      </c>
      <c r="L3749" s="8">
        <v>2897239</v>
      </c>
      <c r="M3749" s="8" t="str">
        <f t="shared" si="302"/>
        <v>PEN</v>
      </c>
      <c r="N3749" s="13">
        <v>566</v>
      </c>
      <c r="O3749" s="13"/>
      <c r="P3749" s="3">
        <f t="shared" si="303"/>
        <v>0</v>
      </c>
      <c r="Q3749" s="3">
        <f t="shared" si="304"/>
        <v>0</v>
      </c>
      <c r="R3749" s="3">
        <f t="shared" si="300"/>
        <v>21936.039999999975</v>
      </c>
      <c r="S3749" s="24" t="s">
        <v>1334</v>
      </c>
      <c r="T3749" s="24" t="s">
        <v>1334</v>
      </c>
      <c r="U3749" s="56" t="s">
        <v>4463</v>
      </c>
      <c r="V3749" s="25">
        <f>IFERROR(VLOOKUP(BCP_Soles[[#This Row],[destinatario]],CHOOSE({1,2},Clientes_Proveedores[Razon Social],Clientes_Proveedores[Ruc / Dni]),2,0),"")</f>
        <v>10295492908</v>
      </c>
      <c r="W3749" s="25"/>
      <c r="X3749" s="25"/>
      <c r="Y3749" s="25"/>
      <c r="Z3749" s="77"/>
      <c r="AA3749" s="3" t="str">
        <f>IF(BCP_Soles[[#This Row],[fecha]]&gt;0,TEXT(BCP_Soles[[#This Row],[fecha]],"mmmm"),0)</f>
        <v>Setiembre</v>
      </c>
    </row>
    <row r="3750" spans="1:27" ht="24" x14ac:dyDescent="0.3">
      <c r="A3750" s="2">
        <f>IF(BCP_Soles[[#This Row],[tipo_registro]]="R",COUNTIFS($C$1:$C3749,"R")+1,A3749)</f>
        <v>2482</v>
      </c>
      <c r="B3750" s="19" t="str">
        <f t="shared" si="301"/>
        <v>B-BCP - Soles</v>
      </c>
      <c r="C3750" s="3" t="s">
        <v>1352</v>
      </c>
      <c r="D3750" s="14">
        <v>45910</v>
      </c>
      <c r="E3750" s="5" t="s">
        <v>2269</v>
      </c>
      <c r="F3750" s="5"/>
      <c r="G3750" s="6" t="s">
        <v>385</v>
      </c>
      <c r="H3750" s="6" t="s">
        <v>68</v>
      </c>
      <c r="I3750" s="6" t="s">
        <v>1376</v>
      </c>
      <c r="J3750" s="6">
        <v>1355</v>
      </c>
      <c r="K3750" s="7" t="s">
        <v>4462</v>
      </c>
      <c r="L3750" s="8">
        <v>2897239</v>
      </c>
      <c r="M3750" s="8" t="str">
        <f t="shared" si="302"/>
        <v>PEN</v>
      </c>
      <c r="N3750" s="13">
        <v>134.19999999999999</v>
      </c>
      <c r="O3750" s="13"/>
      <c r="P3750" s="3">
        <f t="shared" si="303"/>
        <v>0</v>
      </c>
      <c r="Q3750" s="3">
        <f t="shared" si="304"/>
        <v>0</v>
      </c>
      <c r="R3750" s="3">
        <f t="shared" si="300"/>
        <v>21936.039999999975</v>
      </c>
      <c r="S3750" s="24" t="s">
        <v>1334</v>
      </c>
      <c r="T3750" s="24" t="s">
        <v>1334</v>
      </c>
      <c r="U3750" s="56" t="s">
        <v>4463</v>
      </c>
      <c r="V3750" s="25">
        <f>IFERROR(VLOOKUP(BCP_Soles[[#This Row],[destinatario]],CHOOSE({1,2},Clientes_Proveedores[Razon Social],Clientes_Proveedores[Ruc / Dni]),2,0),"")</f>
        <v>20539387104</v>
      </c>
      <c r="W3750" s="25"/>
      <c r="X3750" s="25"/>
      <c r="Y3750" s="25"/>
      <c r="Z3750" s="77"/>
      <c r="AA3750" s="3" t="str">
        <f>IF(BCP_Soles[[#This Row],[fecha]]&gt;0,TEXT(BCP_Soles[[#This Row],[fecha]],"mmmm"),0)</f>
        <v>Setiembre</v>
      </c>
    </row>
    <row r="3751" spans="1:27" ht="36" x14ac:dyDescent="0.3">
      <c r="A3751" s="2">
        <f>IF(BCP_Soles[[#This Row],[tipo_registro]]="R",COUNTIFS($C$1:$C3750,"R")+1,A3750)</f>
        <v>2482</v>
      </c>
      <c r="B3751" s="19" t="str">
        <f t="shared" si="301"/>
        <v>B-BCP - Soles</v>
      </c>
      <c r="C3751" s="3" t="s">
        <v>1352</v>
      </c>
      <c r="D3751" s="14">
        <v>45910</v>
      </c>
      <c r="E3751" s="5" t="s">
        <v>2269</v>
      </c>
      <c r="F3751" s="5"/>
      <c r="G3751" s="6" t="s">
        <v>117</v>
      </c>
      <c r="H3751" s="6" t="s">
        <v>68</v>
      </c>
      <c r="I3751" s="6" t="s">
        <v>1376</v>
      </c>
      <c r="J3751" s="6">
        <v>555</v>
      </c>
      <c r="K3751" s="7" t="s">
        <v>4462</v>
      </c>
      <c r="L3751" s="8">
        <v>2897239</v>
      </c>
      <c r="M3751" s="8" t="str">
        <f t="shared" si="302"/>
        <v>PEN</v>
      </c>
      <c r="N3751" s="13">
        <v>453</v>
      </c>
      <c r="O3751" s="13"/>
      <c r="P3751" s="3">
        <f t="shared" si="303"/>
        <v>0</v>
      </c>
      <c r="Q3751" s="3">
        <f t="shared" si="304"/>
        <v>0</v>
      </c>
      <c r="R3751" s="3">
        <f t="shared" si="300"/>
        <v>21936.039999999975</v>
      </c>
      <c r="S3751" s="24" t="s">
        <v>1334</v>
      </c>
      <c r="T3751" s="24" t="s">
        <v>1334</v>
      </c>
      <c r="U3751" s="56" t="s">
        <v>4463</v>
      </c>
      <c r="V3751" s="25">
        <f>IFERROR(VLOOKUP(BCP_Soles[[#This Row],[destinatario]],CHOOSE({1,2},Clientes_Proveedores[Razon Social],Clientes_Proveedores[Ruc / Dni]),2,0),"")</f>
        <v>10295492908</v>
      </c>
      <c r="W3751" s="25"/>
      <c r="X3751" s="25"/>
      <c r="Y3751" s="25"/>
      <c r="Z3751" s="77"/>
      <c r="AA3751" s="3" t="str">
        <f>IF(BCP_Soles[[#This Row],[fecha]]&gt;0,TEXT(BCP_Soles[[#This Row],[fecha]],"mmmm"),0)</f>
        <v>Setiembre</v>
      </c>
    </row>
    <row r="3752" spans="1:27" x14ac:dyDescent="0.3">
      <c r="A3752" s="2">
        <f>IF(BCP_Soles[[#This Row],[tipo_registro]]="R",COUNTIFS($C$1:$C3751,"R")+1,A3751)</f>
        <v>2482</v>
      </c>
      <c r="B3752" s="19" t="str">
        <f t="shared" si="301"/>
        <v>B-BCP - Soles</v>
      </c>
      <c r="C3752" s="3" t="s">
        <v>1352</v>
      </c>
      <c r="D3752" s="14">
        <v>45910</v>
      </c>
      <c r="E3752" s="5" t="s">
        <v>2269</v>
      </c>
      <c r="F3752" s="5"/>
      <c r="G3752" s="6" t="s">
        <v>286</v>
      </c>
      <c r="H3752" s="6" t="s">
        <v>68</v>
      </c>
      <c r="I3752" s="6" t="s">
        <v>1386</v>
      </c>
      <c r="J3752" s="6">
        <v>1722</v>
      </c>
      <c r="K3752" s="7" t="s">
        <v>4462</v>
      </c>
      <c r="L3752" s="8">
        <v>2897239</v>
      </c>
      <c r="M3752" s="8" t="str">
        <f t="shared" si="302"/>
        <v>PEN</v>
      </c>
      <c r="N3752" s="13">
        <v>1481.4</v>
      </c>
      <c r="O3752" s="13"/>
      <c r="P3752" s="3">
        <f t="shared" si="303"/>
        <v>0</v>
      </c>
      <c r="Q3752" s="3">
        <f t="shared" si="304"/>
        <v>0</v>
      </c>
      <c r="R3752" s="3">
        <f t="shared" si="300"/>
        <v>21936.039999999975</v>
      </c>
      <c r="S3752" s="24" t="s">
        <v>1334</v>
      </c>
      <c r="T3752" s="24" t="s">
        <v>1334</v>
      </c>
      <c r="U3752" s="56" t="s">
        <v>4463</v>
      </c>
      <c r="V3752" s="25">
        <f>IFERROR(VLOOKUP(BCP_Soles[[#This Row],[destinatario]],CHOOSE({1,2},Clientes_Proveedores[Razon Social],Clientes_Proveedores[Ruc / Dni]),2,0),"")</f>
        <v>20454186002</v>
      </c>
      <c r="W3752" s="25"/>
      <c r="X3752" s="25"/>
      <c r="Y3752" s="25"/>
      <c r="Z3752" s="77"/>
      <c r="AA3752" s="3" t="str">
        <f>IF(BCP_Soles[[#This Row],[fecha]]&gt;0,TEXT(BCP_Soles[[#This Row],[fecha]],"mmmm"),0)</f>
        <v>Setiembre</v>
      </c>
    </row>
    <row r="3753" spans="1:27" ht="48" x14ac:dyDescent="0.3">
      <c r="A3753" s="2">
        <f>IF(BCP_Soles[[#This Row],[tipo_registro]]="R",COUNTIFS($C$1:$C3752,"R")+1,A3752)</f>
        <v>2483</v>
      </c>
      <c r="B3753" s="19" t="str">
        <f t="shared" si="301"/>
        <v>B-BCP - Soles</v>
      </c>
      <c r="C3753" s="3" t="s">
        <v>1330</v>
      </c>
      <c r="D3753" s="14">
        <v>45910</v>
      </c>
      <c r="E3753" s="5" t="s">
        <v>2269</v>
      </c>
      <c r="F3753" s="5" t="s">
        <v>1336</v>
      </c>
      <c r="G3753" s="6" t="s">
        <v>501</v>
      </c>
      <c r="H3753" s="6" t="s">
        <v>68</v>
      </c>
      <c r="I3753" s="6" t="s">
        <v>4464</v>
      </c>
      <c r="J3753" s="6">
        <v>37049</v>
      </c>
      <c r="K3753" s="7" t="s">
        <v>4465</v>
      </c>
      <c r="L3753" s="8">
        <v>1157691</v>
      </c>
      <c r="M3753" s="8" t="str">
        <f t="shared" si="302"/>
        <v>PEN</v>
      </c>
      <c r="N3753" s="13"/>
      <c r="O3753" s="13">
        <v>220.06</v>
      </c>
      <c r="P3753" s="3">
        <f t="shared" si="303"/>
        <v>0</v>
      </c>
      <c r="Q3753" s="3">
        <f t="shared" si="304"/>
        <v>220.06</v>
      </c>
      <c r="R3753" s="3">
        <f t="shared" si="300"/>
        <v>21715.979999999974</v>
      </c>
      <c r="S3753" s="24" t="s">
        <v>1334</v>
      </c>
      <c r="T3753" s="24" t="s">
        <v>1334</v>
      </c>
      <c r="U3753" s="55"/>
      <c r="V3753" s="25">
        <f>IFERROR(VLOOKUP(BCP_Soles[[#This Row],[destinatario]],CHOOSE({1,2},Clientes_Proveedores[Razon Social],Clientes_Proveedores[Ruc / Dni]),2,0),"")</f>
        <v>20602978274</v>
      </c>
      <c r="W3753" s="25"/>
      <c r="X3753" s="25"/>
      <c r="Y3753" s="25"/>
      <c r="Z3753" s="77"/>
      <c r="AA3753" s="3" t="str">
        <f>IF(BCP_Soles[[#This Row],[fecha]]&gt;0,TEXT(BCP_Soles[[#This Row],[fecha]],"mmmm"),0)</f>
        <v>Setiembre</v>
      </c>
    </row>
    <row r="3754" spans="1:27" ht="48" x14ac:dyDescent="0.3">
      <c r="A3754" s="2">
        <f>IF(BCP_Soles[[#This Row],[tipo_registro]]="R",COUNTIFS($C$1:$C3753,"R")+1,A3753)</f>
        <v>2484</v>
      </c>
      <c r="B3754" s="19" t="str">
        <f t="shared" si="301"/>
        <v>B-BCP - Soles</v>
      </c>
      <c r="C3754" s="3" t="s">
        <v>1330</v>
      </c>
      <c r="D3754" s="14">
        <v>45910</v>
      </c>
      <c r="E3754" s="5" t="s">
        <v>2269</v>
      </c>
      <c r="F3754" s="5" t="s">
        <v>1336</v>
      </c>
      <c r="G3754" s="6" t="s">
        <v>501</v>
      </c>
      <c r="H3754" s="6" t="s">
        <v>68</v>
      </c>
      <c r="I3754" s="6" t="s">
        <v>4466</v>
      </c>
      <c r="J3754" s="6">
        <v>115551</v>
      </c>
      <c r="K3754" s="7" t="s">
        <v>4467</v>
      </c>
      <c r="L3754" s="8">
        <v>1158664</v>
      </c>
      <c r="M3754" s="8" t="str">
        <f t="shared" si="302"/>
        <v>PEN</v>
      </c>
      <c r="N3754" s="13"/>
      <c r="O3754" s="13">
        <v>211.4</v>
      </c>
      <c r="P3754" s="3">
        <f t="shared" si="303"/>
        <v>0</v>
      </c>
      <c r="Q3754" s="3">
        <f t="shared" si="304"/>
        <v>211.4</v>
      </c>
      <c r="R3754" s="3">
        <f t="shared" si="300"/>
        <v>21504.579999999973</v>
      </c>
      <c r="S3754" s="24" t="s">
        <v>1334</v>
      </c>
      <c r="T3754" s="24" t="s">
        <v>1334</v>
      </c>
      <c r="U3754" s="55"/>
      <c r="V3754" s="25">
        <f>IFERROR(VLOOKUP(BCP_Soles[[#This Row],[destinatario]],CHOOSE({1,2},Clientes_Proveedores[Razon Social],Clientes_Proveedores[Ruc / Dni]),2,0),"")</f>
        <v>20602978274</v>
      </c>
      <c r="W3754" s="25"/>
      <c r="X3754" s="25"/>
      <c r="Y3754" s="25"/>
      <c r="Z3754" s="77"/>
      <c r="AA3754" s="3" t="str">
        <f>IF(BCP_Soles[[#This Row],[fecha]]&gt;0,TEXT(BCP_Soles[[#This Row],[fecha]],"mmmm"),0)</f>
        <v>Setiembre</v>
      </c>
    </row>
    <row r="3755" spans="1:27" ht="24" x14ac:dyDescent="0.3">
      <c r="A3755" s="2">
        <f>IF(BCP_Soles[[#This Row],[tipo_registro]]="R",COUNTIFS($C$1:$C3754,"R")+1,A3754)</f>
        <v>2485</v>
      </c>
      <c r="B3755" s="19" t="str">
        <f t="shared" si="301"/>
        <v>B-BCP - Soles</v>
      </c>
      <c r="C3755" s="3" t="s">
        <v>1330</v>
      </c>
      <c r="D3755" s="14">
        <v>45910</v>
      </c>
      <c r="E3755" s="5"/>
      <c r="F3755" s="5" t="s">
        <v>1336</v>
      </c>
      <c r="G3755" s="6" t="s">
        <v>1060</v>
      </c>
      <c r="H3755" s="6" t="s">
        <v>68</v>
      </c>
      <c r="I3755" s="6" t="s">
        <v>1397</v>
      </c>
      <c r="J3755" s="6">
        <v>36672665</v>
      </c>
      <c r="K3755" s="7" t="s">
        <v>4468</v>
      </c>
      <c r="L3755" s="8">
        <v>2897245</v>
      </c>
      <c r="M3755" s="8" t="str">
        <f t="shared" si="302"/>
        <v>PEN</v>
      </c>
      <c r="N3755" s="13"/>
      <c r="O3755" s="13">
        <v>2.5</v>
      </c>
      <c r="P3755" s="3">
        <f t="shared" si="303"/>
        <v>0</v>
      </c>
      <c r="Q3755" s="3">
        <f t="shared" si="304"/>
        <v>2.5</v>
      </c>
      <c r="R3755" s="3">
        <f t="shared" si="300"/>
        <v>21502.079999999973</v>
      </c>
      <c r="S3755" s="24" t="s">
        <v>1334</v>
      </c>
      <c r="T3755" s="24" t="s">
        <v>1334</v>
      </c>
      <c r="U3755" s="55"/>
      <c r="V3755" s="25">
        <f>IFERROR(VLOOKUP(BCP_Soles[[#This Row],[destinatario]],CHOOSE({1,2},Clientes_Proveedores[Razon Social],Clientes_Proveedores[Ruc / Dni]),2,0),"")</f>
        <v>20100047218</v>
      </c>
      <c r="W3755" s="25"/>
      <c r="X3755" s="25"/>
      <c r="Y3755" s="25"/>
      <c r="Z3755" s="77"/>
      <c r="AA3755" s="3" t="str">
        <f>IF(BCP_Soles[[#This Row],[fecha]]&gt;0,TEXT(BCP_Soles[[#This Row],[fecha]],"mmmm"),0)</f>
        <v>Setiembre</v>
      </c>
    </row>
    <row r="3756" spans="1:27" x14ac:dyDescent="0.3">
      <c r="A3756" s="2">
        <f>IF(BCP_Soles[[#This Row],[tipo_registro]]="R",COUNTIFS($C$1:$C3755,"R")+1,A3755)</f>
        <v>2486</v>
      </c>
      <c r="B3756" s="19" t="str">
        <f t="shared" si="301"/>
        <v>B-BCP - Soles</v>
      </c>
      <c r="C3756" s="3" t="s">
        <v>1330</v>
      </c>
      <c r="D3756" s="14">
        <v>45910</v>
      </c>
      <c r="E3756" s="5" t="s">
        <v>3190</v>
      </c>
      <c r="F3756" s="5" t="s">
        <v>1336</v>
      </c>
      <c r="G3756" s="6"/>
      <c r="H3756" s="6"/>
      <c r="I3756" s="6"/>
      <c r="J3756" s="6"/>
      <c r="K3756" s="7" t="s">
        <v>4469</v>
      </c>
      <c r="L3756" s="8">
        <v>1008345</v>
      </c>
      <c r="M3756" s="8" t="str">
        <f t="shared" si="302"/>
        <v>PEN</v>
      </c>
      <c r="N3756" s="13"/>
      <c r="O3756" s="13">
        <v>3023</v>
      </c>
      <c r="P3756" s="3">
        <f t="shared" si="303"/>
        <v>0</v>
      </c>
      <c r="Q3756" s="3">
        <f t="shared" si="304"/>
        <v>3023</v>
      </c>
      <c r="R3756" s="3">
        <f t="shared" si="300"/>
        <v>18479.079999999973</v>
      </c>
      <c r="S3756" s="24"/>
      <c r="T3756" s="24"/>
      <c r="U3756" s="55"/>
      <c r="V3756" s="25" t="str">
        <f>IFERROR(VLOOKUP(BCP_Soles[[#This Row],[destinatario]],CHOOSE({1,2},Clientes_Proveedores[Razon Social],Clientes_Proveedores[Ruc / Dni]),2,0),"")</f>
        <v/>
      </c>
      <c r="W3756" s="25"/>
      <c r="X3756" s="25"/>
      <c r="Y3756" s="25"/>
      <c r="Z3756" s="77"/>
      <c r="AA3756" s="3" t="str">
        <f>IF(BCP_Soles[[#This Row],[fecha]]&gt;0,TEXT(BCP_Soles[[#This Row],[fecha]],"mmmm"),0)</f>
        <v>Setiembre</v>
      </c>
    </row>
    <row r="3757" spans="1:27" ht="24" x14ac:dyDescent="0.3">
      <c r="A3757" s="2">
        <f>IF(BCP_Soles[[#This Row],[tipo_registro]]="R",COUNTIFS($C$1:$C3756,"R")+1,A3756)</f>
        <v>2487</v>
      </c>
      <c r="B3757" s="19" t="str">
        <f t="shared" si="301"/>
        <v>B-BCP - Soles</v>
      </c>
      <c r="C3757" s="3" t="s">
        <v>1330</v>
      </c>
      <c r="D3757" s="14">
        <v>45910</v>
      </c>
      <c r="E3757" s="5" t="s">
        <v>1335</v>
      </c>
      <c r="F3757" s="5" t="s">
        <v>1336</v>
      </c>
      <c r="G3757" s="6" t="s">
        <v>1060</v>
      </c>
      <c r="H3757" s="6" t="s">
        <v>68</v>
      </c>
      <c r="I3757" s="6" t="s">
        <v>1397</v>
      </c>
      <c r="J3757" s="6">
        <v>36654037</v>
      </c>
      <c r="K3757" s="7" t="s">
        <v>4230</v>
      </c>
      <c r="L3757" s="8">
        <v>371</v>
      </c>
      <c r="M3757" s="8" t="str">
        <f t="shared" si="302"/>
        <v>PEN</v>
      </c>
      <c r="N3757" s="13"/>
      <c r="O3757" s="13">
        <v>10</v>
      </c>
      <c r="P3757" s="3">
        <f t="shared" si="303"/>
        <v>0</v>
      </c>
      <c r="Q3757" s="3">
        <f t="shared" si="304"/>
        <v>10</v>
      </c>
      <c r="R3757" s="3">
        <f t="shared" si="300"/>
        <v>18469.079999999973</v>
      </c>
      <c r="S3757" s="24" t="s">
        <v>1334</v>
      </c>
      <c r="T3757" s="24" t="s">
        <v>1334</v>
      </c>
      <c r="U3757" s="55"/>
      <c r="V3757" s="25">
        <f>IFERROR(VLOOKUP(BCP_Soles[[#This Row],[destinatario]],CHOOSE({1,2},Clientes_Proveedores[Razon Social],Clientes_Proveedores[Ruc / Dni]),2,0),"")</f>
        <v>20100047218</v>
      </c>
      <c r="W3757" s="25"/>
      <c r="X3757" s="25"/>
      <c r="Y3757" s="25"/>
      <c r="Z3757" s="77"/>
      <c r="AA3757" s="3" t="str">
        <f>IF(BCP_Soles[[#This Row],[fecha]]&gt;0,TEXT(BCP_Soles[[#This Row],[fecha]],"mmmm"),0)</f>
        <v>Setiembre</v>
      </c>
    </row>
    <row r="3758" spans="1:27" x14ac:dyDescent="0.3">
      <c r="A3758" s="2">
        <f>IF(BCP_Soles[[#This Row],[tipo_registro]]="R",COUNTIFS($C$1:$C3757,"R")+1,A3757)</f>
        <v>2488</v>
      </c>
      <c r="B3758" s="19" t="str">
        <f t="shared" si="301"/>
        <v>B-BCP - Soles</v>
      </c>
      <c r="C3758" s="3" t="s">
        <v>1330</v>
      </c>
      <c r="D3758" s="14">
        <v>45910</v>
      </c>
      <c r="E3758" s="5" t="s">
        <v>1335</v>
      </c>
      <c r="F3758" s="5" t="s">
        <v>1336</v>
      </c>
      <c r="G3758" s="6" t="s">
        <v>1009</v>
      </c>
      <c r="H3758" s="6" t="s">
        <v>64</v>
      </c>
      <c r="I3758" s="6" t="s">
        <v>3673</v>
      </c>
      <c r="J3758" s="6">
        <v>2490</v>
      </c>
      <c r="K3758" s="7" t="s">
        <v>3160</v>
      </c>
      <c r="L3758" s="8"/>
      <c r="M3758" s="8" t="str">
        <f t="shared" si="302"/>
        <v>PEN</v>
      </c>
      <c r="N3758" s="13"/>
      <c r="O3758" s="13">
        <v>0.85</v>
      </c>
      <c r="P3758" s="3">
        <f t="shared" si="303"/>
        <v>0</v>
      </c>
      <c r="Q3758" s="3">
        <f t="shared" si="304"/>
        <v>0.85</v>
      </c>
      <c r="R3758" s="3">
        <f t="shared" si="300"/>
        <v>18468.229999999974</v>
      </c>
      <c r="S3758" s="24"/>
      <c r="T3758" s="24" t="s">
        <v>1334</v>
      </c>
      <c r="U3758" s="55"/>
      <c r="V3758" s="25">
        <f>IFERROR(VLOOKUP(BCP_Soles[[#This Row],[destinatario]],CHOOSE({1,2},Clientes_Proveedores[Razon Social],Clientes_Proveedores[Ruc / Dni]),2,0),"")</f>
        <v>11111111</v>
      </c>
      <c r="W3758" s="25"/>
      <c r="X3758" s="25"/>
      <c r="Y3758" s="25"/>
      <c r="Z3758" s="77"/>
      <c r="AA3758" s="3" t="str">
        <f>IF(BCP_Soles[[#This Row],[fecha]]&gt;0,TEXT(BCP_Soles[[#This Row],[fecha]],"mmmm"),0)</f>
        <v>Setiembre</v>
      </c>
    </row>
    <row r="3759" spans="1:27" x14ac:dyDescent="0.3">
      <c r="A3759" s="2">
        <f>IF(BCP_Soles[[#This Row],[tipo_registro]]="R",COUNTIFS($C$1:$C3758,"R")+1,A3758)</f>
        <v>2489</v>
      </c>
      <c r="B3759" s="19" t="str">
        <f t="shared" si="301"/>
        <v>B-BCP - Soles</v>
      </c>
      <c r="C3759" s="3" t="s">
        <v>1330</v>
      </c>
      <c r="D3759" s="14">
        <v>45911</v>
      </c>
      <c r="E3759" s="5"/>
      <c r="F3759" s="5" t="s">
        <v>1303</v>
      </c>
      <c r="G3759" s="6" t="s">
        <v>425</v>
      </c>
      <c r="H3759" s="6"/>
      <c r="I3759" s="6"/>
      <c r="J3759" s="6"/>
      <c r="K3759" s="7" t="s">
        <v>4470</v>
      </c>
      <c r="L3759" s="8">
        <v>454445</v>
      </c>
      <c r="M3759" s="8" t="str">
        <f t="shared" si="302"/>
        <v>PEN</v>
      </c>
      <c r="N3759" s="13"/>
      <c r="O3759" s="13">
        <v>1000</v>
      </c>
      <c r="P3759" s="3">
        <f t="shared" si="303"/>
        <v>1000</v>
      </c>
      <c r="Q3759" s="3">
        <f t="shared" si="304"/>
        <v>0</v>
      </c>
      <c r="R3759" s="3">
        <f t="shared" si="300"/>
        <v>19468.229999999974</v>
      </c>
      <c r="S3759" s="24"/>
      <c r="T3759" s="24"/>
      <c r="U3759" s="55"/>
      <c r="V3759" s="25">
        <f>IFERROR(VLOOKUP(BCP_Soles[[#This Row],[destinatario]],CHOOSE({1,2},Clientes_Proveedores[Razon Social],Clientes_Proveedores[Ruc / Dni]),2,0),"")</f>
        <v>20558226979</v>
      </c>
      <c r="W3759" s="25"/>
      <c r="X3759" s="25"/>
      <c r="Y3759" s="25"/>
      <c r="Z3759" s="77"/>
      <c r="AA3759" s="3" t="str">
        <f>IF(BCP_Soles[[#This Row],[fecha]]&gt;0,TEXT(BCP_Soles[[#This Row],[fecha]],"mmmm"),0)</f>
        <v>Setiembre</v>
      </c>
    </row>
    <row r="3760" spans="1:27" ht="24" x14ac:dyDescent="0.3">
      <c r="A3760" s="2">
        <f>IF(BCP_Soles[[#This Row],[tipo_registro]]="R",COUNTIFS($C$1:$C3759,"R")+1,A3759)</f>
        <v>2490</v>
      </c>
      <c r="B3760" s="19" t="str">
        <f t="shared" si="301"/>
        <v>B-BCP - Soles</v>
      </c>
      <c r="C3760" s="3" t="s">
        <v>1330</v>
      </c>
      <c r="D3760" s="14">
        <v>45911</v>
      </c>
      <c r="E3760" s="5" t="s">
        <v>1617</v>
      </c>
      <c r="F3760" s="5" t="s">
        <v>1303</v>
      </c>
      <c r="G3760" s="6" t="s">
        <v>425</v>
      </c>
      <c r="H3760" s="6" t="s">
        <v>119</v>
      </c>
      <c r="I3760" s="6">
        <v>1</v>
      </c>
      <c r="J3760" s="6">
        <v>4709</v>
      </c>
      <c r="K3760" s="7" t="s">
        <v>3608</v>
      </c>
      <c r="L3760" s="8">
        <v>774750</v>
      </c>
      <c r="M3760" s="8" t="str">
        <f t="shared" si="302"/>
        <v>PEN</v>
      </c>
      <c r="N3760" s="13"/>
      <c r="O3760" s="13">
        <v>1020.5</v>
      </c>
      <c r="P3760" s="3">
        <f t="shared" si="303"/>
        <v>1020.5</v>
      </c>
      <c r="Q3760" s="3">
        <f t="shared" si="304"/>
        <v>0</v>
      </c>
      <c r="R3760" s="3">
        <f t="shared" si="300"/>
        <v>20488.729999999974</v>
      </c>
      <c r="S3760" s="24" t="s">
        <v>1334</v>
      </c>
      <c r="T3760" s="24" t="s">
        <v>1334</v>
      </c>
      <c r="U3760" s="55"/>
      <c r="V3760" s="25">
        <f>IFERROR(VLOOKUP(BCP_Soles[[#This Row],[destinatario]],CHOOSE({1,2},Clientes_Proveedores[Razon Social],Clientes_Proveedores[Ruc / Dni]),2,0),"")</f>
        <v>20558226979</v>
      </c>
      <c r="W3760" s="25"/>
      <c r="X3760" s="25"/>
      <c r="Y3760" s="25"/>
      <c r="Z3760" s="77"/>
      <c r="AA3760" s="3" t="str">
        <f>IF(BCP_Soles[[#This Row],[fecha]]&gt;0,TEXT(BCP_Soles[[#This Row],[fecha]],"mmmm"),0)</f>
        <v>Setiembre</v>
      </c>
    </row>
    <row r="3761" spans="1:27" x14ac:dyDescent="0.3">
      <c r="A3761" s="2">
        <f>IF(BCP_Soles[[#This Row],[tipo_registro]]="R",COUNTIFS($C$1:$C3760,"R")+1,A3760)</f>
        <v>2491</v>
      </c>
      <c r="B3761" s="19" t="str">
        <f t="shared" si="301"/>
        <v>B-BCP - Soles</v>
      </c>
      <c r="C3761" s="3" t="s">
        <v>1330</v>
      </c>
      <c r="D3761" s="14">
        <v>45911</v>
      </c>
      <c r="E3761" s="5" t="s">
        <v>4471</v>
      </c>
      <c r="F3761" s="5" t="s">
        <v>1303</v>
      </c>
      <c r="G3761" s="6" t="s">
        <v>425</v>
      </c>
      <c r="H3761" s="6"/>
      <c r="I3761" s="6"/>
      <c r="J3761" s="6"/>
      <c r="K3761" s="7" t="s">
        <v>4472</v>
      </c>
      <c r="L3761" s="8">
        <v>675581</v>
      </c>
      <c r="M3761" s="8" t="str">
        <f t="shared" si="302"/>
        <v>PEN</v>
      </c>
      <c r="N3761" s="13"/>
      <c r="O3761" s="13">
        <v>500</v>
      </c>
      <c r="P3761" s="3">
        <f t="shared" si="303"/>
        <v>500</v>
      </c>
      <c r="Q3761" s="3">
        <f t="shared" si="304"/>
        <v>0</v>
      </c>
      <c r="R3761" s="3">
        <f t="shared" si="300"/>
        <v>20988.729999999974</v>
      </c>
      <c r="S3761" s="24"/>
      <c r="T3761" s="24"/>
      <c r="U3761" s="55"/>
      <c r="V3761" s="25">
        <f>IFERROR(VLOOKUP(BCP_Soles[[#This Row],[destinatario]],CHOOSE({1,2},Clientes_Proveedores[Razon Social],Clientes_Proveedores[Ruc / Dni]),2,0),"")</f>
        <v>20558226979</v>
      </c>
      <c r="W3761" s="25"/>
      <c r="X3761" s="25"/>
      <c r="Y3761" s="25"/>
      <c r="Z3761" s="77"/>
      <c r="AA3761" s="3" t="str">
        <f>IF(BCP_Soles[[#This Row],[fecha]]&gt;0,TEXT(BCP_Soles[[#This Row],[fecha]],"mmmm"),0)</f>
        <v>Setiembre</v>
      </c>
    </row>
    <row r="3762" spans="1:27" ht="36" x14ac:dyDescent="0.3">
      <c r="A3762" s="2">
        <f>IF(BCP_Soles[[#This Row],[tipo_registro]]="R",COUNTIFS($C$1:$C3761,"R")+1,A3761)</f>
        <v>2492</v>
      </c>
      <c r="B3762" s="19" t="str">
        <f t="shared" si="301"/>
        <v>B-BCP - Soles</v>
      </c>
      <c r="C3762" s="3" t="s">
        <v>1330</v>
      </c>
      <c r="D3762" s="14">
        <v>45911</v>
      </c>
      <c r="E3762" s="5" t="s">
        <v>271</v>
      </c>
      <c r="F3762" s="5" t="s">
        <v>1303</v>
      </c>
      <c r="G3762" s="6" t="s">
        <v>425</v>
      </c>
      <c r="H3762" s="6"/>
      <c r="I3762" s="6"/>
      <c r="J3762" s="6"/>
      <c r="K3762" s="7" t="s">
        <v>4473</v>
      </c>
      <c r="L3762" s="8">
        <v>3307622</v>
      </c>
      <c r="M3762" s="8" t="str">
        <f t="shared" si="302"/>
        <v>PEN</v>
      </c>
      <c r="N3762" s="13"/>
      <c r="O3762" s="13">
        <v>2753.54</v>
      </c>
      <c r="P3762" s="3">
        <f t="shared" si="303"/>
        <v>2753.54</v>
      </c>
      <c r="Q3762" s="3">
        <f t="shared" si="304"/>
        <v>0</v>
      </c>
      <c r="R3762" s="3">
        <f t="shared" si="300"/>
        <v>23742.269999999975</v>
      </c>
      <c r="S3762" s="24" t="s">
        <v>1334</v>
      </c>
      <c r="T3762" s="24" t="s">
        <v>1334</v>
      </c>
      <c r="U3762" s="55"/>
      <c r="V3762" s="25">
        <f>IFERROR(VLOOKUP(BCP_Soles[[#This Row],[destinatario]],CHOOSE({1,2},Clientes_Proveedores[Razon Social],Clientes_Proveedores[Ruc / Dni]),2,0),"")</f>
        <v>20558226979</v>
      </c>
      <c r="W3762" s="25"/>
      <c r="X3762" s="25"/>
      <c r="Y3762" s="25"/>
      <c r="Z3762" s="77"/>
      <c r="AA3762" s="3" t="str">
        <f>IF(BCP_Soles[[#This Row],[fecha]]&gt;0,TEXT(BCP_Soles[[#This Row],[fecha]],"mmmm"),0)</f>
        <v>Setiembre</v>
      </c>
    </row>
    <row r="3763" spans="1:27" ht="36" x14ac:dyDescent="0.3">
      <c r="A3763" s="2">
        <f>IF(BCP_Soles[[#This Row],[tipo_registro]]="R",COUNTIFS($C$1:$C3762,"R")+1,A3762)</f>
        <v>2492</v>
      </c>
      <c r="B3763" s="19" t="str">
        <f t="shared" si="301"/>
        <v>B-BCP - Soles</v>
      </c>
      <c r="C3763" s="3" t="s">
        <v>1352</v>
      </c>
      <c r="D3763" s="14">
        <v>45911</v>
      </c>
      <c r="E3763" s="5" t="s">
        <v>271</v>
      </c>
      <c r="F3763" s="5"/>
      <c r="G3763" s="6"/>
      <c r="H3763" s="6" t="s">
        <v>68</v>
      </c>
      <c r="I3763" s="6" t="s">
        <v>1784</v>
      </c>
      <c r="J3763" s="6">
        <v>218</v>
      </c>
      <c r="K3763" s="7" t="s">
        <v>4473</v>
      </c>
      <c r="L3763" s="8">
        <v>3307622</v>
      </c>
      <c r="M3763" s="8" t="str">
        <f t="shared" si="302"/>
        <v>PEN</v>
      </c>
      <c r="N3763" s="13">
        <v>1268.49</v>
      </c>
      <c r="O3763" s="13"/>
      <c r="P3763" s="3">
        <f t="shared" si="303"/>
        <v>0</v>
      </c>
      <c r="Q3763" s="3">
        <f t="shared" si="304"/>
        <v>0</v>
      </c>
      <c r="R3763" s="3">
        <f t="shared" si="300"/>
        <v>23742.269999999975</v>
      </c>
      <c r="S3763" s="28" t="s">
        <v>1334</v>
      </c>
      <c r="T3763" s="24" t="s">
        <v>1334</v>
      </c>
      <c r="U3763" s="55"/>
      <c r="V3763" s="25" t="str">
        <f>IFERROR(VLOOKUP(BCP_Soles[[#This Row],[destinatario]],CHOOSE({1,2},Clientes_Proveedores[Razon Social],Clientes_Proveedores[Ruc / Dni]),2,0),"")</f>
        <v/>
      </c>
      <c r="W3763" s="25"/>
      <c r="X3763" s="25"/>
      <c r="Y3763" s="25"/>
      <c r="Z3763" s="77"/>
      <c r="AA3763" s="3" t="str">
        <f>IF(BCP_Soles[[#This Row],[fecha]]&gt;0,TEXT(BCP_Soles[[#This Row],[fecha]],"mmmm"),0)</f>
        <v>Setiembre</v>
      </c>
    </row>
    <row r="3764" spans="1:27" ht="36" x14ac:dyDescent="0.3">
      <c r="A3764" s="2">
        <f>IF(BCP_Soles[[#This Row],[tipo_registro]]="R",COUNTIFS($C$1:$C3763,"R")+1,A3763)</f>
        <v>2492</v>
      </c>
      <c r="B3764" s="19" t="str">
        <f t="shared" si="301"/>
        <v>B-BCP - Soles</v>
      </c>
      <c r="C3764" s="3" t="s">
        <v>1352</v>
      </c>
      <c r="D3764" s="14">
        <v>45911</v>
      </c>
      <c r="E3764" s="5" t="s">
        <v>271</v>
      </c>
      <c r="F3764" s="5"/>
      <c r="G3764" s="6"/>
      <c r="H3764" s="6" t="s">
        <v>68</v>
      </c>
      <c r="I3764" s="6" t="s">
        <v>1784</v>
      </c>
      <c r="J3764" s="6">
        <v>219</v>
      </c>
      <c r="K3764" s="7" t="s">
        <v>4473</v>
      </c>
      <c r="L3764" s="8">
        <v>3307622</v>
      </c>
      <c r="M3764" s="8" t="str">
        <f t="shared" si="302"/>
        <v>PEN</v>
      </c>
      <c r="N3764" s="13">
        <v>1485.05</v>
      </c>
      <c r="O3764" s="13"/>
      <c r="P3764" s="3">
        <f t="shared" si="303"/>
        <v>0</v>
      </c>
      <c r="Q3764" s="3">
        <f t="shared" si="304"/>
        <v>0</v>
      </c>
      <c r="R3764" s="3">
        <f t="shared" si="300"/>
        <v>23742.269999999975</v>
      </c>
      <c r="S3764" s="28" t="s">
        <v>1334</v>
      </c>
      <c r="T3764" s="24" t="s">
        <v>1334</v>
      </c>
      <c r="U3764" s="55"/>
      <c r="V3764" s="25" t="str">
        <f>IFERROR(VLOOKUP(BCP_Soles[[#This Row],[destinatario]],CHOOSE({1,2},Clientes_Proveedores[Razon Social],Clientes_Proveedores[Ruc / Dni]),2,0),"")</f>
        <v/>
      </c>
      <c r="W3764" s="25"/>
      <c r="X3764" s="25"/>
      <c r="Y3764" s="25"/>
      <c r="Z3764" s="77"/>
      <c r="AA3764" s="3" t="str">
        <f>IF(BCP_Soles[[#This Row],[fecha]]&gt;0,TEXT(BCP_Soles[[#This Row],[fecha]],"mmmm"),0)</f>
        <v>Setiembre</v>
      </c>
    </row>
    <row r="3765" spans="1:27" ht="36" x14ac:dyDescent="0.3">
      <c r="A3765" s="2">
        <f>IF(BCP_Soles[[#This Row],[tipo_registro]]="R",COUNTIFS($C$1:$C3764,"R")+1,A3764)</f>
        <v>2493</v>
      </c>
      <c r="B3765" s="19" t="str">
        <f t="shared" si="301"/>
        <v>B-BCP - Soles</v>
      </c>
      <c r="C3765" s="13" t="s">
        <v>1330</v>
      </c>
      <c r="D3765" s="14">
        <v>45911</v>
      </c>
      <c r="E3765" s="5" t="s">
        <v>2269</v>
      </c>
      <c r="F3765" s="5" t="s">
        <v>1336</v>
      </c>
      <c r="G3765" s="6" t="s">
        <v>756</v>
      </c>
      <c r="H3765" s="6"/>
      <c r="I3765" s="6"/>
      <c r="J3765" s="6"/>
      <c r="K3765" s="7" t="s">
        <v>4474</v>
      </c>
      <c r="L3765" s="8">
        <v>1112250</v>
      </c>
      <c r="M3765" s="8" t="str">
        <f t="shared" si="302"/>
        <v>PEN</v>
      </c>
      <c r="N3765" s="13"/>
      <c r="O3765" s="13">
        <v>586</v>
      </c>
      <c r="P3765" s="3">
        <f t="shared" si="303"/>
        <v>0</v>
      </c>
      <c r="Q3765" s="3">
        <f t="shared" si="304"/>
        <v>586</v>
      </c>
      <c r="R3765" s="3">
        <f t="shared" si="300"/>
        <v>23156.269999999975</v>
      </c>
      <c r="S3765" s="24" t="s">
        <v>1334</v>
      </c>
      <c r="T3765" s="24" t="s">
        <v>1334</v>
      </c>
      <c r="U3765" s="56" t="s">
        <v>4475</v>
      </c>
      <c r="V3765" s="25">
        <f>IFERROR(VLOOKUP(BCP_Soles[[#This Row],[destinatario]],CHOOSE({1,2},Clientes_Proveedores[Razon Social],Clientes_Proveedores[Ruc / Dni]),2,0),"")</f>
        <v>10450776578</v>
      </c>
      <c r="W3765" s="25"/>
      <c r="X3765" s="25"/>
      <c r="Y3765" s="25"/>
      <c r="Z3765" s="77"/>
      <c r="AA3765" s="3" t="str">
        <f>IF(BCP_Soles[[#This Row],[fecha]]&gt;0,TEXT(BCP_Soles[[#This Row],[fecha]],"mmmm"),0)</f>
        <v>Setiembre</v>
      </c>
    </row>
    <row r="3766" spans="1:27" ht="36" x14ac:dyDescent="0.3">
      <c r="A3766" s="2">
        <f>IF(BCP_Soles[[#This Row],[tipo_registro]]="R",COUNTIFS($C$1:$C3765,"R")+1,A3765)</f>
        <v>2493</v>
      </c>
      <c r="B3766" s="19" t="str">
        <f t="shared" si="301"/>
        <v>B-BCP - Soles</v>
      </c>
      <c r="C3766" s="13" t="s">
        <v>1352</v>
      </c>
      <c r="D3766" s="14">
        <v>45911</v>
      </c>
      <c r="E3766" s="5" t="s">
        <v>2269</v>
      </c>
      <c r="F3766" s="5"/>
      <c r="G3766" s="6" t="s">
        <v>756</v>
      </c>
      <c r="H3766" s="6" t="s">
        <v>68</v>
      </c>
      <c r="I3766" s="6" t="s">
        <v>1376</v>
      </c>
      <c r="J3766" s="6">
        <v>1487</v>
      </c>
      <c r="K3766" s="7" t="s">
        <v>4474</v>
      </c>
      <c r="L3766" s="8">
        <v>1112250</v>
      </c>
      <c r="M3766" s="8" t="str">
        <f t="shared" si="302"/>
        <v>PEN</v>
      </c>
      <c r="N3766" s="13">
        <v>376</v>
      </c>
      <c r="O3766" s="13"/>
      <c r="P3766" s="3">
        <f t="shared" si="303"/>
        <v>0</v>
      </c>
      <c r="Q3766" s="3">
        <f t="shared" si="304"/>
        <v>0</v>
      </c>
      <c r="R3766" s="3">
        <f t="shared" si="300"/>
        <v>23156.269999999975</v>
      </c>
      <c r="S3766" s="24" t="s">
        <v>1334</v>
      </c>
      <c r="T3766" s="24" t="s">
        <v>1334</v>
      </c>
      <c r="U3766" s="56" t="s">
        <v>4475</v>
      </c>
      <c r="V3766" s="25">
        <f>IFERROR(VLOOKUP(BCP_Soles[[#This Row],[destinatario]],CHOOSE({1,2},Clientes_Proveedores[Razon Social],Clientes_Proveedores[Ruc / Dni]),2,0),"")</f>
        <v>10450776578</v>
      </c>
      <c r="W3766" s="25"/>
      <c r="X3766" s="25"/>
      <c r="Y3766" s="25"/>
      <c r="Z3766" s="77"/>
      <c r="AA3766" s="3" t="str">
        <f>IF(BCP_Soles[[#This Row],[fecha]]&gt;0,TEXT(BCP_Soles[[#This Row],[fecha]],"mmmm"),0)</f>
        <v>Setiembre</v>
      </c>
    </row>
    <row r="3767" spans="1:27" ht="36" x14ac:dyDescent="0.3">
      <c r="A3767" s="2">
        <f>IF(BCP_Soles[[#This Row],[tipo_registro]]="R",COUNTIFS($C$1:$C3766,"R")+1,A3766)</f>
        <v>2493</v>
      </c>
      <c r="B3767" s="19" t="str">
        <f t="shared" si="301"/>
        <v>B-BCP - Soles</v>
      </c>
      <c r="C3767" s="13" t="s">
        <v>1352</v>
      </c>
      <c r="D3767" s="14">
        <v>45911</v>
      </c>
      <c r="E3767" s="5" t="s">
        <v>2269</v>
      </c>
      <c r="F3767" s="5"/>
      <c r="G3767" s="6" t="s">
        <v>756</v>
      </c>
      <c r="H3767" s="6" t="s">
        <v>72</v>
      </c>
      <c r="I3767" s="6" t="s">
        <v>1376</v>
      </c>
      <c r="J3767" s="6">
        <v>1324</v>
      </c>
      <c r="K3767" s="7" t="s">
        <v>4474</v>
      </c>
      <c r="L3767" s="8">
        <v>1112250</v>
      </c>
      <c r="M3767" s="8" t="str">
        <f t="shared" si="302"/>
        <v>PEN</v>
      </c>
      <c r="N3767" s="13">
        <v>210</v>
      </c>
      <c r="O3767" s="13"/>
      <c r="P3767" s="3">
        <f t="shared" si="303"/>
        <v>0</v>
      </c>
      <c r="Q3767" s="3">
        <f t="shared" si="304"/>
        <v>0</v>
      </c>
      <c r="R3767" s="3">
        <f t="shared" si="300"/>
        <v>23156.269999999975</v>
      </c>
      <c r="S3767" s="24" t="s">
        <v>1334</v>
      </c>
      <c r="T3767" s="24" t="s">
        <v>1334</v>
      </c>
      <c r="U3767" s="56" t="s">
        <v>4475</v>
      </c>
      <c r="V3767" s="25">
        <f>IFERROR(VLOOKUP(BCP_Soles[[#This Row],[destinatario]],CHOOSE({1,2},Clientes_Proveedores[Razon Social],Clientes_Proveedores[Ruc / Dni]),2,0),"")</f>
        <v>10450776578</v>
      </c>
      <c r="W3767" s="25"/>
      <c r="X3767" s="25"/>
      <c r="Y3767" s="25"/>
      <c r="Z3767" s="77"/>
      <c r="AA3767" s="3" t="str">
        <f>IF(BCP_Soles[[#This Row],[fecha]]&gt;0,TEXT(BCP_Soles[[#This Row],[fecha]],"mmmm"),0)</f>
        <v>Setiembre</v>
      </c>
    </row>
    <row r="3768" spans="1:27" ht="36" x14ac:dyDescent="0.3">
      <c r="A3768" s="2">
        <f>IF(BCP_Soles[[#This Row],[tipo_registro]]="R",COUNTIFS($C$1:$C3767,"R")+1,A3767)</f>
        <v>2494</v>
      </c>
      <c r="B3768" s="19" t="str">
        <f t="shared" si="301"/>
        <v>B-BCP - Soles</v>
      </c>
      <c r="C3768" s="13" t="s">
        <v>1330</v>
      </c>
      <c r="D3768" s="14">
        <v>45911</v>
      </c>
      <c r="E3768" s="5" t="s">
        <v>2269</v>
      </c>
      <c r="F3768" s="5" t="s">
        <v>1336</v>
      </c>
      <c r="G3768" s="6" t="s">
        <v>1133</v>
      </c>
      <c r="H3768" s="6" t="s">
        <v>75</v>
      </c>
      <c r="I3768" s="6">
        <v>1</v>
      </c>
      <c r="J3768" s="6">
        <v>936</v>
      </c>
      <c r="K3768" s="7" t="s">
        <v>4476</v>
      </c>
      <c r="L3768" s="8">
        <v>1112758</v>
      </c>
      <c r="M3768" s="8" t="str">
        <f t="shared" si="302"/>
        <v>PEN</v>
      </c>
      <c r="N3768" s="13"/>
      <c r="O3768" s="13">
        <v>462</v>
      </c>
      <c r="P3768" s="3">
        <f t="shared" si="303"/>
        <v>0</v>
      </c>
      <c r="Q3768" s="3">
        <f t="shared" si="304"/>
        <v>462</v>
      </c>
      <c r="R3768" s="3">
        <f t="shared" si="300"/>
        <v>22694.269999999975</v>
      </c>
      <c r="S3768" s="24" t="s">
        <v>1334</v>
      </c>
      <c r="T3768" s="24" t="s">
        <v>1334</v>
      </c>
      <c r="U3768" s="55"/>
      <c r="V3768" s="25">
        <f>IFERROR(VLOOKUP(BCP_Soles[[#This Row],[destinatario]],CHOOSE({1,2},Clientes_Proveedores[Razon Social],Clientes_Proveedores[Ruc / Dni]),2,0),"")</f>
        <v>10749040918</v>
      </c>
      <c r="W3768" s="25"/>
      <c r="X3768" s="25"/>
      <c r="Y3768" s="25"/>
      <c r="Z3768" s="77"/>
      <c r="AA3768" s="3" t="str">
        <f>IF(BCP_Soles[[#This Row],[fecha]]&gt;0,TEXT(BCP_Soles[[#This Row],[fecha]],"mmmm"),0)</f>
        <v>Setiembre</v>
      </c>
    </row>
    <row r="3769" spans="1:27" ht="24" x14ac:dyDescent="0.3">
      <c r="A3769" s="2">
        <f>IF(BCP_Soles[[#This Row],[tipo_registro]]="R",COUNTIFS($C$1:$C3768,"R")+1,A3768)</f>
        <v>2495</v>
      </c>
      <c r="B3769" s="19" t="str">
        <f t="shared" si="301"/>
        <v>B-BCP - Soles</v>
      </c>
      <c r="C3769" s="13" t="s">
        <v>1330</v>
      </c>
      <c r="D3769" s="14">
        <v>45911</v>
      </c>
      <c r="E3769" s="5" t="s">
        <v>2269</v>
      </c>
      <c r="F3769" s="5" t="s">
        <v>1336</v>
      </c>
      <c r="G3769" s="6" t="s">
        <v>1025</v>
      </c>
      <c r="H3769" s="6" t="s">
        <v>68</v>
      </c>
      <c r="I3769" s="6" t="s">
        <v>1376</v>
      </c>
      <c r="J3769" s="6">
        <v>3013</v>
      </c>
      <c r="K3769" s="7" t="s">
        <v>4477</v>
      </c>
      <c r="L3769" s="8">
        <v>1214456</v>
      </c>
      <c r="M3769" s="8" t="str">
        <f t="shared" si="302"/>
        <v>PEN</v>
      </c>
      <c r="N3769" s="13"/>
      <c r="O3769" s="13">
        <v>15</v>
      </c>
      <c r="P3769" s="3">
        <f t="shared" si="303"/>
        <v>0</v>
      </c>
      <c r="Q3769" s="3">
        <f t="shared" si="304"/>
        <v>15</v>
      </c>
      <c r="R3769" s="3">
        <f t="shared" si="300"/>
        <v>22679.269999999975</v>
      </c>
      <c r="S3769" s="24" t="s">
        <v>1334</v>
      </c>
      <c r="T3769" s="24" t="s">
        <v>1334</v>
      </c>
      <c r="U3769" s="55"/>
      <c r="V3769" s="25">
        <f>IFERROR(VLOOKUP(BCP_Soles[[#This Row],[destinatario]],CHOOSE({1,2},Clientes_Proveedores[Razon Social],Clientes_Proveedores[Ruc / Dni]),2,0),"")</f>
        <v>20601369622</v>
      </c>
      <c r="W3769" s="25"/>
      <c r="X3769" s="25"/>
      <c r="Y3769" s="25"/>
      <c r="Z3769" s="77"/>
      <c r="AA3769" s="3" t="str">
        <f>IF(BCP_Soles[[#This Row],[fecha]]&gt;0,TEXT(BCP_Soles[[#This Row],[fecha]],"mmmm"),0)</f>
        <v>Setiembre</v>
      </c>
    </row>
    <row r="3770" spans="1:27" ht="24" x14ac:dyDescent="0.3">
      <c r="A3770" s="2">
        <f>IF(BCP_Soles[[#This Row],[tipo_registro]]="R",COUNTIFS($C$1:$C3769,"R")+1,A3769)</f>
        <v>2496</v>
      </c>
      <c r="B3770" s="19" t="str">
        <f t="shared" si="301"/>
        <v>B-BCP - Soles</v>
      </c>
      <c r="C3770" s="3" t="s">
        <v>1330</v>
      </c>
      <c r="D3770" s="14">
        <v>45911</v>
      </c>
      <c r="E3770" s="5" t="s">
        <v>2269</v>
      </c>
      <c r="F3770" s="5" t="s">
        <v>1336</v>
      </c>
      <c r="G3770" s="6" t="s">
        <v>790</v>
      </c>
      <c r="H3770" s="6" t="s">
        <v>143</v>
      </c>
      <c r="I3770" s="6">
        <v>1</v>
      </c>
      <c r="J3770" s="6">
        <v>722025</v>
      </c>
      <c r="K3770" s="7" t="s">
        <v>4478</v>
      </c>
      <c r="L3770" s="8">
        <v>1215381</v>
      </c>
      <c r="M3770" s="8" t="str">
        <f t="shared" si="302"/>
        <v>PEN</v>
      </c>
      <c r="N3770" s="13"/>
      <c r="O3770" s="13">
        <v>55</v>
      </c>
      <c r="P3770" s="3">
        <f t="shared" si="303"/>
        <v>0</v>
      </c>
      <c r="Q3770" s="3">
        <f t="shared" si="304"/>
        <v>55</v>
      </c>
      <c r="R3770" s="3">
        <f t="shared" si="300"/>
        <v>22624.269999999975</v>
      </c>
      <c r="S3770" s="24" t="s">
        <v>1334</v>
      </c>
      <c r="T3770" s="24" t="s">
        <v>1334</v>
      </c>
      <c r="U3770" s="55"/>
      <c r="V3770" s="25">
        <f>IFERROR(VLOOKUP(BCP_Soles[[#This Row],[destinatario]],CHOOSE({1,2},Clientes_Proveedores[Razon Social],Clientes_Proveedores[Ruc / Dni]),2,0),"")</f>
        <v>72169020</v>
      </c>
      <c r="W3770" s="25"/>
      <c r="X3770" s="25"/>
      <c r="Y3770" s="25"/>
      <c r="Z3770" s="77"/>
      <c r="AA3770" s="3" t="str">
        <f>IF(BCP_Soles[[#This Row],[fecha]]&gt;0,TEXT(BCP_Soles[[#This Row],[fecha]],"mmmm"),0)</f>
        <v>Setiembre</v>
      </c>
    </row>
    <row r="3771" spans="1:27" x14ac:dyDescent="0.3">
      <c r="A3771" s="2">
        <f>IF(BCP_Soles[[#This Row],[tipo_registro]]="R",COUNTIFS($C$1:$C3770,"R")+1,A3770)</f>
        <v>2497</v>
      </c>
      <c r="B3771" s="19" t="str">
        <f t="shared" si="301"/>
        <v>B-BCP - Soles</v>
      </c>
      <c r="C3771" s="3" t="s">
        <v>1330</v>
      </c>
      <c r="D3771" s="14">
        <v>45911</v>
      </c>
      <c r="E3771" s="5" t="s">
        <v>2269</v>
      </c>
      <c r="F3771" s="5" t="s">
        <v>1336</v>
      </c>
      <c r="G3771" s="6" t="s">
        <v>425</v>
      </c>
      <c r="H3771" s="6"/>
      <c r="I3771" s="6"/>
      <c r="J3771" s="6"/>
      <c r="K3771" s="7" t="s">
        <v>4479</v>
      </c>
      <c r="L3771" s="8">
        <v>1213273</v>
      </c>
      <c r="M3771" s="8" t="str">
        <f t="shared" si="302"/>
        <v>PEN</v>
      </c>
      <c r="N3771" s="13"/>
      <c r="O3771" s="13">
        <v>6200</v>
      </c>
      <c r="P3771" s="3">
        <f t="shared" si="303"/>
        <v>0</v>
      </c>
      <c r="Q3771" s="3">
        <f t="shared" si="304"/>
        <v>6200</v>
      </c>
      <c r="R3771" s="3">
        <f t="shared" si="300"/>
        <v>16424.269999999975</v>
      </c>
      <c r="S3771" s="24" t="s">
        <v>1334</v>
      </c>
      <c r="T3771" s="24" t="s">
        <v>1334</v>
      </c>
      <c r="U3771" s="55"/>
      <c r="V3771" s="25">
        <f>IFERROR(VLOOKUP(BCP_Soles[[#This Row],[destinatario]],CHOOSE({1,2},Clientes_Proveedores[Razon Social],Clientes_Proveedores[Ruc / Dni]),2,0),"")</f>
        <v>20558226979</v>
      </c>
      <c r="W3771" s="25"/>
      <c r="X3771" s="25"/>
      <c r="Y3771" s="25"/>
      <c r="Z3771" s="77"/>
      <c r="AA3771" s="3" t="str">
        <f>IF(BCP_Soles[[#This Row],[fecha]]&gt;0,TEXT(BCP_Soles[[#This Row],[fecha]],"mmmm"),0)</f>
        <v>Setiembre</v>
      </c>
    </row>
    <row r="3772" spans="1:27" x14ac:dyDescent="0.3">
      <c r="A3772" s="2">
        <f>IF(BCP_Soles[[#This Row],[tipo_registro]]="R",COUNTIFS($C$1:$C3771,"R")+1,A3771)</f>
        <v>2498</v>
      </c>
      <c r="B3772" s="19" t="str">
        <f t="shared" si="301"/>
        <v>B-BCP - Soles</v>
      </c>
      <c r="C3772" s="3" t="s">
        <v>1330</v>
      </c>
      <c r="D3772" s="14">
        <v>45911</v>
      </c>
      <c r="E3772" s="5" t="s">
        <v>2269</v>
      </c>
      <c r="F3772" s="5" t="s">
        <v>1336</v>
      </c>
      <c r="G3772" s="6" t="s">
        <v>696</v>
      </c>
      <c r="H3772" s="6"/>
      <c r="I3772" s="6"/>
      <c r="J3772" s="6"/>
      <c r="K3772" s="7" t="s">
        <v>4480</v>
      </c>
      <c r="L3772" s="8">
        <v>3271282</v>
      </c>
      <c r="M3772" s="8" t="str">
        <f t="shared" si="302"/>
        <v>PEN</v>
      </c>
      <c r="N3772" s="13"/>
      <c r="O3772" s="13">
        <v>9076.77</v>
      </c>
      <c r="P3772" s="3">
        <f t="shared" si="303"/>
        <v>0</v>
      </c>
      <c r="Q3772" s="3">
        <f t="shared" si="304"/>
        <v>9076.77</v>
      </c>
      <c r="R3772" s="3">
        <f t="shared" si="300"/>
        <v>7347.4999999999745</v>
      </c>
      <c r="S3772" s="24" t="s">
        <v>1334</v>
      </c>
      <c r="T3772" s="24" t="s">
        <v>1334</v>
      </c>
      <c r="U3772" s="56" t="s">
        <v>4481</v>
      </c>
      <c r="V3772" s="25">
        <f>IFERROR(VLOOKUP(BCP_Soles[[#This Row],[destinatario]],CHOOSE({1,2},Clientes_Proveedores[Razon Social],Clientes_Proveedores[Ruc / Dni]),2,0),"")</f>
        <v>0</v>
      </c>
      <c r="W3772" s="25"/>
      <c r="X3772" s="25"/>
      <c r="Y3772" s="25"/>
      <c r="Z3772" s="77"/>
      <c r="AA3772" s="3" t="str">
        <f>IF(BCP_Soles[[#This Row],[fecha]]&gt;0,TEXT(BCP_Soles[[#This Row],[fecha]],"mmmm"),0)</f>
        <v>Setiembre</v>
      </c>
    </row>
    <row r="3773" spans="1:27" x14ac:dyDescent="0.3">
      <c r="A3773" s="2">
        <f>IF(BCP_Soles[[#This Row],[tipo_registro]]="R",COUNTIFS($C$1:$C3772,"R")+1,A3772)</f>
        <v>2498</v>
      </c>
      <c r="B3773" s="19" t="str">
        <f t="shared" si="301"/>
        <v>B-BCP - Soles</v>
      </c>
      <c r="C3773" s="3" t="s">
        <v>1352</v>
      </c>
      <c r="D3773" s="14">
        <v>45911</v>
      </c>
      <c r="E3773" s="5" t="s">
        <v>2269</v>
      </c>
      <c r="F3773" s="5"/>
      <c r="G3773" s="6" t="s">
        <v>346</v>
      </c>
      <c r="H3773" s="6" t="s">
        <v>68</v>
      </c>
      <c r="I3773" s="6" t="s">
        <v>1461</v>
      </c>
      <c r="J3773" s="6">
        <v>43594</v>
      </c>
      <c r="K3773" s="7" t="s">
        <v>4480</v>
      </c>
      <c r="L3773" s="8">
        <v>3271282</v>
      </c>
      <c r="M3773" s="8" t="str">
        <f t="shared" si="302"/>
        <v>PEN</v>
      </c>
      <c r="N3773" s="13">
        <v>557.5</v>
      </c>
      <c r="O3773" s="13"/>
      <c r="P3773" s="3">
        <f t="shared" si="303"/>
        <v>0</v>
      </c>
      <c r="Q3773" s="3">
        <f t="shared" si="304"/>
        <v>0</v>
      </c>
      <c r="R3773" s="3">
        <f t="shared" si="300"/>
        <v>7347.4999999999745</v>
      </c>
      <c r="S3773" s="24" t="s">
        <v>1334</v>
      </c>
      <c r="T3773" s="24" t="s">
        <v>1334</v>
      </c>
      <c r="U3773" s="56" t="s">
        <v>4481</v>
      </c>
      <c r="V3773" s="25">
        <f>IFERROR(VLOOKUP(BCP_Soles[[#This Row],[destinatario]],CHOOSE({1,2},Clientes_Proveedores[Razon Social],Clientes_Proveedores[Ruc / Dni]),2,0),"")</f>
        <v>20505675836</v>
      </c>
      <c r="W3773" s="25"/>
      <c r="X3773" s="25"/>
      <c r="Y3773" s="25"/>
      <c r="Z3773" s="77"/>
      <c r="AA3773" s="3" t="str">
        <f>IF(BCP_Soles[[#This Row],[fecha]]&gt;0,TEXT(BCP_Soles[[#This Row],[fecha]],"mmmm"),0)</f>
        <v>Setiembre</v>
      </c>
    </row>
    <row r="3774" spans="1:27" x14ac:dyDescent="0.3">
      <c r="A3774" s="2">
        <f>IF(BCP_Soles[[#This Row],[tipo_registro]]="R",COUNTIFS($C$1:$C3773,"R")+1,A3773)</f>
        <v>2498</v>
      </c>
      <c r="B3774" s="19" t="str">
        <f t="shared" si="301"/>
        <v>B-BCP - Soles</v>
      </c>
      <c r="C3774" s="3" t="s">
        <v>1352</v>
      </c>
      <c r="D3774" s="14">
        <v>45911</v>
      </c>
      <c r="E3774" s="5" t="s">
        <v>2269</v>
      </c>
      <c r="F3774" s="5"/>
      <c r="G3774" s="6" t="s">
        <v>346</v>
      </c>
      <c r="H3774" s="6" t="s">
        <v>68</v>
      </c>
      <c r="I3774" s="6" t="s">
        <v>1461</v>
      </c>
      <c r="J3774" s="6">
        <v>43596</v>
      </c>
      <c r="K3774" s="7" t="s">
        <v>4480</v>
      </c>
      <c r="L3774" s="8">
        <v>3271282</v>
      </c>
      <c r="M3774" s="8" t="str">
        <f t="shared" si="302"/>
        <v>PEN</v>
      </c>
      <c r="N3774" s="13">
        <v>2628.7</v>
      </c>
      <c r="O3774" s="13"/>
      <c r="P3774" s="3">
        <f t="shared" si="303"/>
        <v>0</v>
      </c>
      <c r="Q3774" s="3">
        <f t="shared" si="304"/>
        <v>0</v>
      </c>
      <c r="R3774" s="3">
        <f t="shared" si="300"/>
        <v>7347.4999999999745</v>
      </c>
      <c r="S3774" s="24" t="s">
        <v>1334</v>
      </c>
      <c r="T3774" s="24" t="s">
        <v>1334</v>
      </c>
      <c r="U3774" s="56" t="s">
        <v>4481</v>
      </c>
      <c r="V3774" s="25">
        <f>IFERROR(VLOOKUP(BCP_Soles[[#This Row],[destinatario]],CHOOSE({1,2},Clientes_Proveedores[Razon Social],Clientes_Proveedores[Ruc / Dni]),2,0),"")</f>
        <v>20505675836</v>
      </c>
      <c r="W3774" s="25"/>
      <c r="X3774" s="25"/>
      <c r="Y3774" s="25"/>
      <c r="Z3774" s="77"/>
      <c r="AA3774" s="3" t="str">
        <f>IF(BCP_Soles[[#This Row],[fecha]]&gt;0,TEXT(BCP_Soles[[#This Row],[fecha]],"mmmm"),0)</f>
        <v>Setiembre</v>
      </c>
    </row>
    <row r="3775" spans="1:27" x14ac:dyDescent="0.3">
      <c r="A3775" s="2">
        <f>IF(BCP_Soles[[#This Row],[tipo_registro]]="R",COUNTIFS($C$1:$C3774,"R")+1,A3774)</f>
        <v>2498</v>
      </c>
      <c r="B3775" s="19" t="str">
        <f t="shared" si="301"/>
        <v>B-BCP - Soles</v>
      </c>
      <c r="C3775" s="3" t="s">
        <v>1352</v>
      </c>
      <c r="D3775" s="14">
        <v>45911</v>
      </c>
      <c r="E3775" s="5" t="s">
        <v>2269</v>
      </c>
      <c r="F3775" s="5"/>
      <c r="G3775" s="6" t="s">
        <v>346</v>
      </c>
      <c r="H3775" s="6" t="s">
        <v>68</v>
      </c>
      <c r="I3775" s="6" t="s">
        <v>1461</v>
      </c>
      <c r="J3775" s="6">
        <v>43595</v>
      </c>
      <c r="K3775" s="7" t="s">
        <v>4480</v>
      </c>
      <c r="L3775" s="8">
        <v>3271282</v>
      </c>
      <c r="M3775" s="8" t="str">
        <f t="shared" si="302"/>
        <v>PEN</v>
      </c>
      <c r="N3775" s="13">
        <v>1497.99</v>
      </c>
      <c r="O3775" s="13"/>
      <c r="P3775" s="3">
        <f t="shared" si="303"/>
        <v>0</v>
      </c>
      <c r="Q3775" s="3">
        <f t="shared" si="304"/>
        <v>0</v>
      </c>
      <c r="R3775" s="3">
        <f t="shared" si="300"/>
        <v>7347.4999999999745</v>
      </c>
      <c r="S3775" s="24" t="s">
        <v>1334</v>
      </c>
      <c r="T3775" s="24" t="s">
        <v>1334</v>
      </c>
      <c r="U3775" s="56" t="s">
        <v>4481</v>
      </c>
      <c r="V3775" s="25">
        <f>IFERROR(VLOOKUP(BCP_Soles[[#This Row],[destinatario]],CHOOSE({1,2},Clientes_Proveedores[Razon Social],Clientes_Proveedores[Ruc / Dni]),2,0),"")</f>
        <v>20505675836</v>
      </c>
      <c r="W3775" s="25"/>
      <c r="X3775" s="25"/>
      <c r="Y3775" s="25"/>
      <c r="Z3775" s="77"/>
      <c r="AA3775" s="3" t="str">
        <f>IF(BCP_Soles[[#This Row],[fecha]]&gt;0,TEXT(BCP_Soles[[#This Row],[fecha]],"mmmm"),0)</f>
        <v>Setiembre</v>
      </c>
    </row>
    <row r="3776" spans="1:27" x14ac:dyDescent="0.3">
      <c r="A3776" s="2">
        <f>IF(BCP_Soles[[#This Row],[tipo_registro]]="R",COUNTIFS($C$1:$C3775,"R")+1,A3775)</f>
        <v>2498</v>
      </c>
      <c r="B3776" s="19" t="str">
        <f t="shared" si="301"/>
        <v>B-BCP - Soles</v>
      </c>
      <c r="C3776" s="3" t="s">
        <v>1352</v>
      </c>
      <c r="D3776" s="14">
        <v>45911</v>
      </c>
      <c r="E3776" s="5" t="s">
        <v>2269</v>
      </c>
      <c r="F3776" s="5"/>
      <c r="G3776" s="6" t="s">
        <v>346</v>
      </c>
      <c r="H3776" s="6" t="s">
        <v>68</v>
      </c>
      <c r="I3776" s="6" t="s">
        <v>1461</v>
      </c>
      <c r="J3776" s="6">
        <v>43592</v>
      </c>
      <c r="K3776" s="7" t="s">
        <v>4480</v>
      </c>
      <c r="L3776" s="8">
        <v>3271282</v>
      </c>
      <c r="M3776" s="8" t="str">
        <f t="shared" si="302"/>
        <v>PEN</v>
      </c>
      <c r="N3776" s="13">
        <v>460.79</v>
      </c>
      <c r="O3776" s="13"/>
      <c r="P3776" s="3">
        <f t="shared" si="303"/>
        <v>0</v>
      </c>
      <c r="Q3776" s="3">
        <f t="shared" si="304"/>
        <v>0</v>
      </c>
      <c r="R3776" s="3">
        <f t="shared" si="300"/>
        <v>7347.4999999999745</v>
      </c>
      <c r="S3776" s="24" t="s">
        <v>1334</v>
      </c>
      <c r="T3776" s="24" t="s">
        <v>1334</v>
      </c>
      <c r="U3776" s="56" t="s">
        <v>4481</v>
      </c>
      <c r="V3776" s="25">
        <f>IFERROR(VLOOKUP(BCP_Soles[[#This Row],[destinatario]],CHOOSE({1,2},Clientes_Proveedores[Razon Social],Clientes_Proveedores[Ruc / Dni]),2,0),"")</f>
        <v>20505675836</v>
      </c>
      <c r="W3776" s="25"/>
      <c r="X3776" s="25"/>
      <c r="Y3776" s="25"/>
      <c r="Z3776" s="77"/>
      <c r="AA3776" s="3" t="str">
        <f>IF(BCP_Soles[[#This Row],[fecha]]&gt;0,TEXT(BCP_Soles[[#This Row],[fecha]],"mmmm"),0)</f>
        <v>Setiembre</v>
      </c>
    </row>
    <row r="3777" spans="1:27" x14ac:dyDescent="0.3">
      <c r="A3777" s="2">
        <f>IF(BCP_Soles[[#This Row],[tipo_registro]]="R",COUNTIFS($C$1:$C3776,"R")+1,A3776)</f>
        <v>2498</v>
      </c>
      <c r="B3777" s="19" t="str">
        <f t="shared" si="301"/>
        <v>B-BCP - Soles</v>
      </c>
      <c r="C3777" s="3" t="s">
        <v>1352</v>
      </c>
      <c r="D3777" s="14">
        <v>45911</v>
      </c>
      <c r="E3777" s="5" t="s">
        <v>2269</v>
      </c>
      <c r="F3777" s="5"/>
      <c r="G3777" s="6" t="s">
        <v>346</v>
      </c>
      <c r="H3777" s="6" t="s">
        <v>68</v>
      </c>
      <c r="I3777" s="6" t="s">
        <v>1461</v>
      </c>
      <c r="J3777" s="6">
        <v>43593</v>
      </c>
      <c r="K3777" s="7" t="s">
        <v>4480</v>
      </c>
      <c r="L3777" s="8">
        <v>3271282</v>
      </c>
      <c r="M3777" s="8" t="str">
        <f t="shared" si="302"/>
        <v>PEN</v>
      </c>
      <c r="N3777" s="13">
        <v>320.79000000000002</v>
      </c>
      <c r="O3777" s="13"/>
      <c r="P3777" s="3">
        <f t="shared" si="303"/>
        <v>0</v>
      </c>
      <c r="Q3777" s="3">
        <f t="shared" si="304"/>
        <v>0</v>
      </c>
      <c r="R3777" s="3">
        <f t="shared" si="300"/>
        <v>7347.4999999999745</v>
      </c>
      <c r="S3777" s="24" t="s">
        <v>1334</v>
      </c>
      <c r="T3777" s="24" t="s">
        <v>1334</v>
      </c>
      <c r="U3777" s="56" t="s">
        <v>4481</v>
      </c>
      <c r="V3777" s="25">
        <f>IFERROR(VLOOKUP(BCP_Soles[[#This Row],[destinatario]],CHOOSE({1,2},Clientes_Proveedores[Razon Social],Clientes_Proveedores[Ruc / Dni]),2,0),"")</f>
        <v>20505675836</v>
      </c>
      <c r="W3777" s="25"/>
      <c r="X3777" s="25"/>
      <c r="Y3777" s="25"/>
      <c r="Z3777" s="77"/>
      <c r="AA3777" s="3" t="str">
        <f>IF(BCP_Soles[[#This Row],[fecha]]&gt;0,TEXT(BCP_Soles[[#This Row],[fecha]],"mmmm"),0)</f>
        <v>Setiembre</v>
      </c>
    </row>
    <row r="3778" spans="1:27" x14ac:dyDescent="0.3">
      <c r="A3778" s="2">
        <f>IF(BCP_Soles[[#This Row],[tipo_registro]]="R",COUNTIFS($C$1:$C3777,"R")+1,A3777)</f>
        <v>2498</v>
      </c>
      <c r="B3778" s="19" t="str">
        <f t="shared" si="301"/>
        <v>B-BCP - Soles</v>
      </c>
      <c r="C3778" s="3" t="s">
        <v>1352</v>
      </c>
      <c r="D3778" s="14">
        <v>45911</v>
      </c>
      <c r="E3778" s="5" t="s">
        <v>2269</v>
      </c>
      <c r="F3778" s="5"/>
      <c r="G3778" s="6" t="s">
        <v>346</v>
      </c>
      <c r="H3778" s="6" t="s">
        <v>68</v>
      </c>
      <c r="I3778" s="6" t="s">
        <v>1461</v>
      </c>
      <c r="J3778" s="6">
        <v>43597</v>
      </c>
      <c r="K3778" s="7" t="s">
        <v>4480</v>
      </c>
      <c r="L3778" s="8">
        <v>3271282</v>
      </c>
      <c r="M3778" s="8" t="str">
        <f t="shared" si="302"/>
        <v>PEN</v>
      </c>
      <c r="N3778" s="13">
        <v>3611</v>
      </c>
      <c r="O3778" s="13"/>
      <c r="P3778" s="3">
        <f t="shared" si="303"/>
        <v>0</v>
      </c>
      <c r="Q3778" s="3">
        <f t="shared" si="304"/>
        <v>0</v>
      </c>
      <c r="R3778" s="3">
        <f t="shared" si="300"/>
        <v>7347.4999999999745</v>
      </c>
      <c r="S3778" s="24" t="s">
        <v>1334</v>
      </c>
      <c r="T3778" s="24" t="s">
        <v>1334</v>
      </c>
      <c r="U3778" s="56" t="s">
        <v>4481</v>
      </c>
      <c r="V3778" s="25">
        <f>IFERROR(VLOOKUP(BCP_Soles[[#This Row],[destinatario]],CHOOSE({1,2},Clientes_Proveedores[Razon Social],Clientes_Proveedores[Ruc / Dni]),2,0),"")</f>
        <v>20505675836</v>
      </c>
      <c r="W3778" s="25"/>
      <c r="X3778" s="25"/>
      <c r="Y3778" s="25"/>
      <c r="Z3778" s="77"/>
      <c r="AA3778" s="3" t="str">
        <f>IF(BCP_Soles[[#This Row],[fecha]]&gt;0,TEXT(BCP_Soles[[#This Row],[fecha]],"mmmm"),0)</f>
        <v>Setiembre</v>
      </c>
    </row>
    <row r="3779" spans="1:27" ht="24" x14ac:dyDescent="0.3">
      <c r="A3779" s="2">
        <f>IF(BCP_Soles[[#This Row],[tipo_registro]]="R",COUNTIFS($C$1:$C3778,"R")+1,A3778)</f>
        <v>2499</v>
      </c>
      <c r="B3779" s="19" t="str">
        <f t="shared" si="301"/>
        <v>B-BCP - Soles</v>
      </c>
      <c r="C3779" s="3" t="s">
        <v>1330</v>
      </c>
      <c r="D3779" s="14">
        <v>45911</v>
      </c>
      <c r="E3779" s="5" t="s">
        <v>2269</v>
      </c>
      <c r="F3779" s="5" t="s">
        <v>1336</v>
      </c>
      <c r="G3779" s="6" t="s">
        <v>703</v>
      </c>
      <c r="H3779" s="6" t="s">
        <v>106</v>
      </c>
      <c r="I3779" s="6" t="s">
        <v>1484</v>
      </c>
      <c r="J3779" s="6">
        <v>32272169</v>
      </c>
      <c r="K3779" s="7">
        <v>564036</v>
      </c>
      <c r="L3779" s="8">
        <v>235222</v>
      </c>
      <c r="M3779" s="8" t="str">
        <f t="shared" si="302"/>
        <v>PEN</v>
      </c>
      <c r="N3779" s="13"/>
      <c r="O3779" s="13">
        <v>121.9</v>
      </c>
      <c r="P3779" s="3">
        <f t="shared" si="303"/>
        <v>0</v>
      </c>
      <c r="Q3779" s="3">
        <f t="shared" si="304"/>
        <v>121.9</v>
      </c>
      <c r="R3779" s="3">
        <f t="shared" si="300"/>
        <v>7225.5999999999749</v>
      </c>
      <c r="S3779" s="24" t="s">
        <v>1334</v>
      </c>
      <c r="T3779" s="24" t="s">
        <v>1334</v>
      </c>
      <c r="U3779" s="56" t="s">
        <v>4482</v>
      </c>
      <c r="V3779" s="25">
        <f>IFERROR(VLOOKUP(BCP_Soles[[#This Row],[destinatario]],CHOOSE({1,2},Clientes_Proveedores[Razon Social],Clientes_Proveedores[Ruc / Dni]),2,0),"")</f>
        <v>20100188628</v>
      </c>
      <c r="W3779" s="25"/>
      <c r="X3779" s="25"/>
      <c r="Y3779" s="25"/>
      <c r="Z3779" s="77"/>
      <c r="AA3779" s="3" t="str">
        <f>IF(BCP_Soles[[#This Row],[fecha]]&gt;0,TEXT(BCP_Soles[[#This Row],[fecha]],"mmmm"),0)</f>
        <v>Setiembre</v>
      </c>
    </row>
    <row r="3780" spans="1:27" ht="24" x14ac:dyDescent="0.3">
      <c r="A3780" s="2">
        <f>IF(BCP_Soles[[#This Row],[tipo_registro]]="R",COUNTIFS($C$1:$C3779,"R")+1,A3779)</f>
        <v>2500</v>
      </c>
      <c r="B3780" s="19" t="str">
        <f t="shared" si="301"/>
        <v>B-BCP - Soles</v>
      </c>
      <c r="C3780" s="3" t="s">
        <v>1330</v>
      </c>
      <c r="D3780" s="14">
        <v>45911</v>
      </c>
      <c r="E3780" s="5" t="s">
        <v>2269</v>
      </c>
      <c r="F3780" s="5" t="s">
        <v>1336</v>
      </c>
      <c r="G3780" s="6" t="s">
        <v>703</v>
      </c>
      <c r="H3780" s="6" t="s">
        <v>106</v>
      </c>
      <c r="I3780" s="6" t="s">
        <v>1484</v>
      </c>
      <c r="J3780" s="6">
        <v>32272229</v>
      </c>
      <c r="K3780" s="7">
        <v>352931</v>
      </c>
      <c r="L3780" s="8">
        <v>233801</v>
      </c>
      <c r="M3780" s="8" t="str">
        <f t="shared" si="302"/>
        <v>PEN</v>
      </c>
      <c r="N3780" s="13"/>
      <c r="O3780" s="13">
        <v>446</v>
      </c>
      <c r="P3780" s="3">
        <f t="shared" si="303"/>
        <v>0</v>
      </c>
      <c r="Q3780" s="3">
        <f t="shared" si="304"/>
        <v>446</v>
      </c>
      <c r="R3780" s="3">
        <f t="shared" si="300"/>
        <v>6779.5999999999749</v>
      </c>
      <c r="S3780" s="24" t="s">
        <v>1334</v>
      </c>
      <c r="T3780" s="24" t="s">
        <v>1334</v>
      </c>
      <c r="U3780" s="56" t="s">
        <v>4483</v>
      </c>
      <c r="V3780" s="25">
        <f>IFERROR(VLOOKUP(BCP_Soles[[#This Row],[destinatario]],CHOOSE({1,2},Clientes_Proveedores[Razon Social],Clientes_Proveedores[Ruc / Dni]),2,0),"")</f>
        <v>20100188628</v>
      </c>
      <c r="W3780" s="25"/>
      <c r="X3780" s="25"/>
      <c r="Y3780" s="25"/>
      <c r="Z3780" s="77"/>
      <c r="AA3780" s="3" t="str">
        <f>IF(BCP_Soles[[#This Row],[fecha]]&gt;0,TEXT(BCP_Soles[[#This Row],[fecha]],"mmmm"),0)</f>
        <v>Setiembre</v>
      </c>
    </row>
    <row r="3781" spans="1:27" x14ac:dyDescent="0.3">
      <c r="A3781" s="2">
        <f>IF(BCP_Soles[[#This Row],[tipo_registro]]="R",COUNTIFS($C$1:$C3780,"R")+1,A3780)</f>
        <v>2501</v>
      </c>
      <c r="B3781" s="19" t="str">
        <f t="shared" si="301"/>
        <v>B-BCP - Soles</v>
      </c>
      <c r="C3781" s="13" t="s">
        <v>1330</v>
      </c>
      <c r="D3781" s="14">
        <v>45911</v>
      </c>
      <c r="E3781" s="5" t="s">
        <v>1335</v>
      </c>
      <c r="F3781" s="5" t="s">
        <v>1336</v>
      </c>
      <c r="G3781" s="6" t="s">
        <v>1009</v>
      </c>
      <c r="H3781" s="6" t="s">
        <v>64</v>
      </c>
      <c r="I3781" s="6" t="s">
        <v>3673</v>
      </c>
      <c r="J3781" s="6">
        <v>2503</v>
      </c>
      <c r="K3781" s="7" t="s">
        <v>3160</v>
      </c>
      <c r="L3781" s="8"/>
      <c r="M3781" s="8" t="str">
        <f t="shared" si="302"/>
        <v>PEN</v>
      </c>
      <c r="N3781" s="13"/>
      <c r="O3781" s="13">
        <v>0.65</v>
      </c>
      <c r="P3781" s="3">
        <f t="shared" si="303"/>
        <v>0</v>
      </c>
      <c r="Q3781" s="3">
        <f t="shared" si="304"/>
        <v>0.65</v>
      </c>
      <c r="R3781" s="3">
        <f t="shared" si="300"/>
        <v>6778.9499999999753</v>
      </c>
      <c r="S3781" s="24"/>
      <c r="T3781" s="24" t="s">
        <v>1334</v>
      </c>
      <c r="U3781" s="55"/>
      <c r="V3781" s="25">
        <f>IFERROR(VLOOKUP(BCP_Soles[[#This Row],[destinatario]],CHOOSE({1,2},Clientes_Proveedores[Razon Social],Clientes_Proveedores[Ruc / Dni]),2,0),"")</f>
        <v>11111111</v>
      </c>
      <c r="W3781" s="25"/>
      <c r="X3781" s="25"/>
      <c r="Y3781" s="25"/>
      <c r="Z3781" s="77"/>
      <c r="AA3781" s="3" t="str">
        <f>IF(BCP_Soles[[#This Row],[fecha]]&gt;0,TEXT(BCP_Soles[[#This Row],[fecha]],"mmmm"),0)</f>
        <v>Setiembre</v>
      </c>
    </row>
    <row r="3782" spans="1:27" x14ac:dyDescent="0.3">
      <c r="A3782" s="2">
        <f>IF(BCP_Soles[[#This Row],[tipo_registro]]="R",COUNTIFS($C$1:$C3781,"R")+1,A3781)</f>
        <v>2502</v>
      </c>
      <c r="B3782" s="19" t="str">
        <f t="shared" si="301"/>
        <v>B-BCP - Soles</v>
      </c>
      <c r="C3782" s="13" t="s">
        <v>1330</v>
      </c>
      <c r="D3782" s="14">
        <v>45912</v>
      </c>
      <c r="E3782" s="5" t="s">
        <v>286</v>
      </c>
      <c r="F3782" s="5" t="s">
        <v>1303</v>
      </c>
      <c r="G3782" s="6" t="s">
        <v>425</v>
      </c>
      <c r="H3782" s="6" t="s">
        <v>68</v>
      </c>
      <c r="I3782" s="6" t="s">
        <v>1784</v>
      </c>
      <c r="J3782" s="6">
        <v>207</v>
      </c>
      <c r="K3782" s="7" t="s">
        <v>4024</v>
      </c>
      <c r="L3782" s="8">
        <v>8623</v>
      </c>
      <c r="M3782" s="8" t="str">
        <f t="shared" si="302"/>
        <v>PEN</v>
      </c>
      <c r="N3782" s="13"/>
      <c r="O3782" s="13">
        <v>2010.27</v>
      </c>
      <c r="P3782" s="3">
        <f t="shared" si="303"/>
        <v>2010.27</v>
      </c>
      <c r="Q3782" s="3">
        <f t="shared" si="304"/>
        <v>0</v>
      </c>
      <c r="R3782" s="3">
        <f t="shared" si="300"/>
        <v>8789.2199999999757</v>
      </c>
      <c r="S3782" s="24" t="s">
        <v>1334</v>
      </c>
      <c r="T3782" s="24" t="s">
        <v>1334</v>
      </c>
      <c r="U3782" s="55"/>
      <c r="V3782" s="25">
        <f>IFERROR(VLOOKUP(BCP_Soles[[#This Row],[destinatario]],CHOOSE({1,2},Clientes_Proveedores[Razon Social],Clientes_Proveedores[Ruc / Dni]),2,0),"")</f>
        <v>20558226979</v>
      </c>
      <c r="W3782" s="25"/>
      <c r="X3782" s="25"/>
      <c r="Y3782" s="25"/>
      <c r="Z3782" s="77"/>
      <c r="AA3782" s="3" t="str">
        <f>IF(BCP_Soles[[#This Row],[fecha]]&gt;0,TEXT(BCP_Soles[[#This Row],[fecha]],"mmmm"),0)</f>
        <v>Setiembre</v>
      </c>
    </row>
    <row r="3783" spans="1:27" ht="60" x14ac:dyDescent="0.3">
      <c r="A3783" s="2">
        <f>IF(BCP_Soles[[#This Row],[tipo_registro]]="R",COUNTIFS($C$1:$C3782,"R")+1,A3782)</f>
        <v>2503</v>
      </c>
      <c r="B3783" s="19" t="str">
        <f t="shared" si="301"/>
        <v>B-BCP - Soles</v>
      </c>
      <c r="C3783" s="13" t="s">
        <v>1330</v>
      </c>
      <c r="D3783" s="14">
        <v>45912</v>
      </c>
      <c r="E3783" s="5" t="s">
        <v>403</v>
      </c>
      <c r="F3783" s="5" t="s">
        <v>1303</v>
      </c>
      <c r="G3783" s="6" t="s">
        <v>425</v>
      </c>
      <c r="H3783" s="6" t="s">
        <v>68</v>
      </c>
      <c r="I3783" s="6" t="s">
        <v>1784</v>
      </c>
      <c r="J3783" s="6">
        <v>184</v>
      </c>
      <c r="K3783" s="7" t="s">
        <v>4484</v>
      </c>
      <c r="L3783" s="8">
        <v>2176851</v>
      </c>
      <c r="M3783" s="8" t="str">
        <f t="shared" si="302"/>
        <v>PEN</v>
      </c>
      <c r="N3783" s="13"/>
      <c r="O3783" s="13">
        <v>6603.25</v>
      </c>
      <c r="P3783" s="3">
        <f t="shared" si="303"/>
        <v>6603.25</v>
      </c>
      <c r="Q3783" s="3">
        <f t="shared" si="304"/>
        <v>0</v>
      </c>
      <c r="R3783" s="3">
        <f t="shared" si="300"/>
        <v>15392.469999999976</v>
      </c>
      <c r="S3783" s="24" t="s">
        <v>1334</v>
      </c>
      <c r="T3783" s="24" t="s">
        <v>1334</v>
      </c>
      <c r="U3783" s="55"/>
      <c r="V3783" s="25">
        <f>IFERROR(VLOOKUP(BCP_Soles[[#This Row],[destinatario]],CHOOSE({1,2},Clientes_Proveedores[Razon Social],Clientes_Proveedores[Ruc / Dni]),2,0),"")</f>
        <v>20558226979</v>
      </c>
      <c r="W3783" s="25"/>
      <c r="X3783" s="25"/>
      <c r="Y3783" s="25"/>
      <c r="Z3783" s="77"/>
      <c r="AA3783" s="3" t="str">
        <f>IF(BCP_Soles[[#This Row],[fecha]]&gt;0,TEXT(BCP_Soles[[#This Row],[fecha]],"mmmm"),0)</f>
        <v>Setiembre</v>
      </c>
    </row>
    <row r="3784" spans="1:27" x14ac:dyDescent="0.3">
      <c r="A3784" s="2">
        <f>IF(BCP_Soles[[#This Row],[tipo_registro]]="R",COUNTIFS($C$1:$C3783,"R")+1,A3783)</f>
        <v>2504</v>
      </c>
      <c r="B3784" s="19" t="str">
        <f t="shared" si="301"/>
        <v>B-BCP - Soles</v>
      </c>
      <c r="C3784" s="13" t="s">
        <v>1330</v>
      </c>
      <c r="D3784" s="14">
        <v>45912</v>
      </c>
      <c r="E3784" s="5" t="s">
        <v>236</v>
      </c>
      <c r="F3784" s="5" t="s">
        <v>1303</v>
      </c>
      <c r="G3784" s="6" t="s">
        <v>425</v>
      </c>
      <c r="H3784" s="6" t="s">
        <v>68</v>
      </c>
      <c r="I3784" s="6" t="s">
        <v>1784</v>
      </c>
      <c r="J3784" s="6">
        <v>53</v>
      </c>
      <c r="K3784" s="7" t="s">
        <v>4485</v>
      </c>
      <c r="L3784" s="8">
        <v>2105164</v>
      </c>
      <c r="M3784" s="8" t="str">
        <f t="shared" si="302"/>
        <v>PEN</v>
      </c>
      <c r="N3784" s="13"/>
      <c r="O3784" s="13">
        <v>870.6</v>
      </c>
      <c r="P3784" s="3">
        <f t="shared" si="303"/>
        <v>870.6</v>
      </c>
      <c r="Q3784" s="3">
        <f t="shared" si="304"/>
        <v>0</v>
      </c>
      <c r="R3784" s="3">
        <f t="shared" si="300"/>
        <v>16263.069999999976</v>
      </c>
      <c r="S3784" s="24" t="s">
        <v>1334</v>
      </c>
      <c r="T3784" s="24" t="s">
        <v>1334</v>
      </c>
      <c r="U3784" s="55"/>
      <c r="V3784" s="25">
        <f>IFERROR(VLOOKUP(BCP_Soles[[#This Row],[destinatario]],CHOOSE({1,2},Clientes_Proveedores[Razon Social],Clientes_Proveedores[Ruc / Dni]),2,0),"")</f>
        <v>20558226979</v>
      </c>
      <c r="W3784" s="25"/>
      <c r="X3784" s="25"/>
      <c r="Y3784" s="25"/>
      <c r="Z3784" s="77"/>
      <c r="AA3784" s="3" t="str">
        <f>IF(BCP_Soles[[#This Row],[fecha]]&gt;0,TEXT(BCP_Soles[[#This Row],[fecha]],"mmmm"),0)</f>
        <v>Setiembre</v>
      </c>
    </row>
    <row r="3785" spans="1:27" x14ac:dyDescent="0.3">
      <c r="A3785" s="2">
        <f>IF(BCP_Soles[[#This Row],[tipo_registro]]="R",COUNTIFS($C$1:$C3784,"R")+1,A3784)</f>
        <v>2505</v>
      </c>
      <c r="B3785" s="19" t="str">
        <f t="shared" si="301"/>
        <v>B-BCP - Soles</v>
      </c>
      <c r="C3785" s="13" t="s">
        <v>1330</v>
      </c>
      <c r="D3785" s="14">
        <v>45912</v>
      </c>
      <c r="E3785" s="5" t="s">
        <v>2800</v>
      </c>
      <c r="F3785" s="5" t="s">
        <v>1303</v>
      </c>
      <c r="G3785" s="6" t="s">
        <v>425</v>
      </c>
      <c r="H3785" s="6" t="s">
        <v>119</v>
      </c>
      <c r="I3785" s="6">
        <v>1</v>
      </c>
      <c r="J3785" s="6">
        <v>4742</v>
      </c>
      <c r="K3785" s="7" t="s">
        <v>3608</v>
      </c>
      <c r="L3785" s="8">
        <v>1595216</v>
      </c>
      <c r="M3785" s="8" t="str">
        <f t="shared" si="302"/>
        <v>PEN</v>
      </c>
      <c r="N3785" s="13"/>
      <c r="O3785" s="13">
        <v>450</v>
      </c>
      <c r="P3785" s="3">
        <f t="shared" si="303"/>
        <v>450</v>
      </c>
      <c r="Q3785" s="3">
        <f t="shared" si="304"/>
        <v>0</v>
      </c>
      <c r="R3785" s="3">
        <f t="shared" ref="R3785:R3848" si="305">IFERROR(IF(F3785="SALDO",P3785,R3784+P3785-Q3785),0)</f>
        <v>16713.069999999978</v>
      </c>
      <c r="S3785" s="24" t="s">
        <v>1334</v>
      </c>
      <c r="T3785" s="24" t="s">
        <v>1334</v>
      </c>
      <c r="U3785" s="55"/>
      <c r="V3785" s="25">
        <f>IFERROR(VLOOKUP(BCP_Soles[[#This Row],[destinatario]],CHOOSE({1,2},Clientes_Proveedores[Razon Social],Clientes_Proveedores[Ruc / Dni]),2,0),"")</f>
        <v>20558226979</v>
      </c>
      <c r="W3785" s="25"/>
      <c r="X3785" s="25"/>
      <c r="Y3785" s="25"/>
      <c r="Z3785" s="77"/>
      <c r="AA3785" s="3" t="str">
        <f>IF(BCP_Soles[[#This Row],[fecha]]&gt;0,TEXT(BCP_Soles[[#This Row],[fecha]],"mmmm"),0)</f>
        <v>Setiembre</v>
      </c>
    </row>
    <row r="3786" spans="1:27" ht="24" x14ac:dyDescent="0.3">
      <c r="A3786" s="2">
        <f>IF(BCP_Soles[[#This Row],[tipo_registro]]="R",COUNTIFS($C$1:$C3785,"R")+1,A3785)</f>
        <v>2506</v>
      </c>
      <c r="B3786" s="19" t="str">
        <f t="shared" si="301"/>
        <v>B-BCP - Soles</v>
      </c>
      <c r="C3786" s="13" t="s">
        <v>1330</v>
      </c>
      <c r="D3786" s="14">
        <v>45912</v>
      </c>
      <c r="E3786" s="5" t="s">
        <v>4357</v>
      </c>
      <c r="F3786" s="5" t="s">
        <v>1303</v>
      </c>
      <c r="G3786" s="6" t="s">
        <v>425</v>
      </c>
      <c r="H3786" s="6" t="s">
        <v>119</v>
      </c>
      <c r="I3786" s="6">
        <v>2</v>
      </c>
      <c r="J3786" s="6">
        <v>840</v>
      </c>
      <c r="K3786" s="7" t="s">
        <v>3608</v>
      </c>
      <c r="L3786" s="8">
        <v>341036</v>
      </c>
      <c r="M3786" s="8" t="str">
        <f t="shared" si="302"/>
        <v>PEN</v>
      </c>
      <c r="N3786" s="13"/>
      <c r="O3786" s="13">
        <v>5580</v>
      </c>
      <c r="P3786" s="3">
        <f t="shared" si="303"/>
        <v>5580</v>
      </c>
      <c r="Q3786" s="3">
        <f t="shared" si="304"/>
        <v>0</v>
      </c>
      <c r="R3786" s="3">
        <f t="shared" si="305"/>
        <v>22293.069999999978</v>
      </c>
      <c r="S3786" s="24" t="s">
        <v>1334</v>
      </c>
      <c r="T3786" s="24" t="s">
        <v>1334</v>
      </c>
      <c r="U3786" s="55"/>
      <c r="V3786" s="25">
        <f>IFERROR(VLOOKUP(BCP_Soles[[#This Row],[destinatario]],CHOOSE({1,2},Clientes_Proveedores[Razon Social],Clientes_Proveedores[Ruc / Dni]),2,0),"")</f>
        <v>20558226979</v>
      </c>
      <c r="W3786" s="25"/>
      <c r="X3786" s="25"/>
      <c r="Y3786" s="25"/>
      <c r="Z3786" s="77"/>
      <c r="AA3786" s="3" t="str">
        <f>IF(BCP_Soles[[#This Row],[fecha]]&gt;0,TEXT(BCP_Soles[[#This Row],[fecha]],"mmmm"),0)</f>
        <v>Setiembre</v>
      </c>
    </row>
    <row r="3787" spans="1:27" x14ac:dyDescent="0.3">
      <c r="A3787" s="2">
        <f>IF(BCP_Soles[[#This Row],[tipo_registro]]="R",COUNTIFS($C$1:$C3786,"R")+1,A3786)</f>
        <v>2507</v>
      </c>
      <c r="B3787" s="19" t="str">
        <f t="shared" si="301"/>
        <v>B-BCP - Soles</v>
      </c>
      <c r="C3787" s="3" t="s">
        <v>1330</v>
      </c>
      <c r="D3787" s="14">
        <v>45912</v>
      </c>
      <c r="E3787" s="5" t="s">
        <v>2269</v>
      </c>
      <c r="F3787" s="5" t="s">
        <v>1336</v>
      </c>
      <c r="G3787" s="6" t="s">
        <v>196</v>
      </c>
      <c r="H3787" s="6" t="s">
        <v>68</v>
      </c>
      <c r="I3787" s="6" t="s">
        <v>2226</v>
      </c>
      <c r="J3787" s="6">
        <v>6890</v>
      </c>
      <c r="K3787" s="7" t="s">
        <v>2227</v>
      </c>
      <c r="L3787" s="8">
        <v>171371</v>
      </c>
      <c r="M3787" s="8" t="str">
        <f t="shared" si="302"/>
        <v>PEN</v>
      </c>
      <c r="N3787" s="13"/>
      <c r="O3787" s="13">
        <v>78.39</v>
      </c>
      <c r="P3787" s="3">
        <f t="shared" si="303"/>
        <v>0</v>
      </c>
      <c r="Q3787" s="3">
        <f t="shared" si="304"/>
        <v>78.39</v>
      </c>
      <c r="R3787" s="3">
        <f t="shared" si="305"/>
        <v>22214.679999999978</v>
      </c>
      <c r="S3787" s="24" t="s">
        <v>1334</v>
      </c>
      <c r="T3787" s="24" t="s">
        <v>1334</v>
      </c>
      <c r="U3787" s="55"/>
      <c r="V3787" s="25">
        <f>IFERROR(VLOOKUP(BCP_Soles[[#This Row],[destinatario]],CHOOSE({1,2},Clientes_Proveedores[Razon Social],Clientes_Proveedores[Ruc / Dni]),2,0),"")</f>
        <v>20100055237</v>
      </c>
      <c r="W3787" s="25"/>
      <c r="X3787" s="25"/>
      <c r="Y3787" s="25"/>
      <c r="Z3787" s="77"/>
      <c r="AA3787" s="3" t="str">
        <f>IF(BCP_Soles[[#This Row],[fecha]]&gt;0,TEXT(BCP_Soles[[#This Row],[fecha]],"mmmm"),0)</f>
        <v>Setiembre</v>
      </c>
    </row>
    <row r="3788" spans="1:27" x14ac:dyDescent="0.3">
      <c r="A3788" s="2">
        <f>IF(BCP_Soles[[#This Row],[tipo_registro]]="R",COUNTIFS($C$1:$C3787,"R")+1,A3787)</f>
        <v>2508</v>
      </c>
      <c r="B3788" s="19" t="str">
        <f t="shared" si="301"/>
        <v>B-BCP - Soles</v>
      </c>
      <c r="C3788" s="3" t="s">
        <v>1330</v>
      </c>
      <c r="D3788" s="14">
        <v>45912</v>
      </c>
      <c r="E3788" s="5" t="s">
        <v>2269</v>
      </c>
      <c r="F3788" s="5" t="s">
        <v>1336</v>
      </c>
      <c r="G3788" s="6" t="s">
        <v>196</v>
      </c>
      <c r="H3788" s="6" t="s">
        <v>68</v>
      </c>
      <c r="I3788" s="6" t="s">
        <v>2226</v>
      </c>
      <c r="J3788" s="6">
        <v>6892</v>
      </c>
      <c r="K3788" s="7" t="s">
        <v>2227</v>
      </c>
      <c r="L3788" s="8">
        <v>170383</v>
      </c>
      <c r="M3788" s="8" t="str">
        <f t="shared" si="302"/>
        <v>PEN</v>
      </c>
      <c r="N3788" s="13"/>
      <c r="O3788" s="13">
        <v>45.69</v>
      </c>
      <c r="P3788" s="3">
        <f t="shared" si="303"/>
        <v>0</v>
      </c>
      <c r="Q3788" s="3">
        <f t="shared" si="304"/>
        <v>45.69</v>
      </c>
      <c r="R3788" s="3">
        <f t="shared" si="305"/>
        <v>22168.98999999998</v>
      </c>
      <c r="S3788" s="24" t="s">
        <v>1334</v>
      </c>
      <c r="T3788" s="24" t="s">
        <v>1334</v>
      </c>
      <c r="U3788" s="55"/>
      <c r="V3788" s="25">
        <f>IFERROR(VLOOKUP(BCP_Soles[[#This Row],[destinatario]],CHOOSE({1,2},Clientes_Proveedores[Razon Social],Clientes_Proveedores[Ruc / Dni]),2,0),"")</f>
        <v>20100055237</v>
      </c>
      <c r="W3788" s="25"/>
      <c r="X3788" s="25"/>
      <c r="Y3788" s="25"/>
      <c r="Z3788" s="77"/>
      <c r="AA3788" s="3" t="str">
        <f>IF(BCP_Soles[[#This Row],[fecha]]&gt;0,TEXT(BCP_Soles[[#This Row],[fecha]],"mmmm"),0)</f>
        <v>Setiembre</v>
      </c>
    </row>
    <row r="3789" spans="1:27" x14ac:dyDescent="0.3">
      <c r="A3789" s="2">
        <f>IF(BCP_Soles[[#This Row],[tipo_registro]]="R",COUNTIFS($C$1:$C3788,"R")+1,A3788)</f>
        <v>2509</v>
      </c>
      <c r="B3789" s="19" t="str">
        <f t="shared" si="301"/>
        <v>B-BCP - Soles</v>
      </c>
      <c r="C3789" s="3" t="s">
        <v>1330</v>
      </c>
      <c r="D3789" s="14">
        <v>45912</v>
      </c>
      <c r="E3789" s="5" t="s">
        <v>2269</v>
      </c>
      <c r="F3789" s="5" t="s">
        <v>1336</v>
      </c>
      <c r="G3789" s="6" t="s">
        <v>196</v>
      </c>
      <c r="H3789" s="6" t="s">
        <v>68</v>
      </c>
      <c r="I3789" s="6" t="s">
        <v>2226</v>
      </c>
      <c r="J3789" s="6">
        <v>6891</v>
      </c>
      <c r="K3789" s="7" t="s">
        <v>2227</v>
      </c>
      <c r="L3789" s="8">
        <v>168920</v>
      </c>
      <c r="M3789" s="8" t="str">
        <f t="shared" si="302"/>
        <v>PEN</v>
      </c>
      <c r="N3789" s="13"/>
      <c r="O3789" s="13">
        <v>129.22</v>
      </c>
      <c r="P3789" s="3">
        <f t="shared" si="303"/>
        <v>0</v>
      </c>
      <c r="Q3789" s="3">
        <f t="shared" si="304"/>
        <v>129.22</v>
      </c>
      <c r="R3789" s="3">
        <f t="shared" si="305"/>
        <v>22039.769999999979</v>
      </c>
      <c r="S3789" s="24" t="s">
        <v>1334</v>
      </c>
      <c r="T3789" s="24" t="s">
        <v>1334</v>
      </c>
      <c r="U3789" s="55"/>
      <c r="V3789" s="25">
        <f>IFERROR(VLOOKUP(BCP_Soles[[#This Row],[destinatario]],CHOOSE({1,2},Clientes_Proveedores[Razon Social],Clientes_Proveedores[Ruc / Dni]),2,0),"")</f>
        <v>20100055237</v>
      </c>
      <c r="W3789" s="25"/>
      <c r="X3789" s="25"/>
      <c r="Y3789" s="25"/>
      <c r="Z3789" s="77"/>
      <c r="AA3789" s="3" t="str">
        <f>IF(BCP_Soles[[#This Row],[fecha]]&gt;0,TEXT(BCP_Soles[[#This Row],[fecha]],"mmmm"),0)</f>
        <v>Setiembre</v>
      </c>
    </row>
    <row r="3790" spans="1:27" x14ac:dyDescent="0.3">
      <c r="A3790" s="2">
        <f>IF(BCP_Soles[[#This Row],[tipo_registro]]="R",COUNTIFS($C$1:$C3789,"R")+1,A3789)</f>
        <v>2510</v>
      </c>
      <c r="B3790" s="19" t="str">
        <f t="shared" si="301"/>
        <v>B-BCP - Soles</v>
      </c>
      <c r="C3790" s="3" t="s">
        <v>1330</v>
      </c>
      <c r="D3790" s="14">
        <v>45912</v>
      </c>
      <c r="E3790" s="5" t="s">
        <v>2269</v>
      </c>
      <c r="F3790" s="5" t="s">
        <v>1336</v>
      </c>
      <c r="G3790" s="6" t="s">
        <v>196</v>
      </c>
      <c r="H3790" s="6" t="s">
        <v>68</v>
      </c>
      <c r="I3790" s="6" t="s">
        <v>2226</v>
      </c>
      <c r="J3790" s="6">
        <v>6889</v>
      </c>
      <c r="K3790" s="7" t="s">
        <v>2227</v>
      </c>
      <c r="L3790" s="8">
        <v>170878</v>
      </c>
      <c r="M3790" s="8" t="str">
        <f t="shared" si="302"/>
        <v>PEN</v>
      </c>
      <c r="N3790" s="13"/>
      <c r="O3790" s="13">
        <v>7.14</v>
      </c>
      <c r="P3790" s="3">
        <f t="shared" si="303"/>
        <v>0</v>
      </c>
      <c r="Q3790" s="3">
        <f t="shared" si="304"/>
        <v>7.14</v>
      </c>
      <c r="R3790" s="3">
        <f t="shared" si="305"/>
        <v>22032.629999999979</v>
      </c>
      <c r="S3790" s="24" t="s">
        <v>1334</v>
      </c>
      <c r="T3790" s="24" t="s">
        <v>1334</v>
      </c>
      <c r="U3790" s="55"/>
      <c r="V3790" s="25">
        <f>IFERROR(VLOOKUP(BCP_Soles[[#This Row],[destinatario]],CHOOSE({1,2},Clientes_Proveedores[Razon Social],Clientes_Proveedores[Ruc / Dni]),2,0),"")</f>
        <v>20100055237</v>
      </c>
      <c r="W3790" s="25"/>
      <c r="X3790" s="25"/>
      <c r="Y3790" s="25"/>
      <c r="Z3790" s="77"/>
      <c r="AA3790" s="3" t="str">
        <f>IF(BCP_Soles[[#This Row],[fecha]]&gt;0,TEXT(BCP_Soles[[#This Row],[fecha]],"mmmm"),0)</f>
        <v>Setiembre</v>
      </c>
    </row>
    <row r="3791" spans="1:27" x14ac:dyDescent="0.3">
      <c r="A3791" s="2">
        <f>IF(BCP_Soles[[#This Row],[tipo_registro]]="R",COUNTIFS($C$1:$C3790,"R")+1,A3790)</f>
        <v>2511</v>
      </c>
      <c r="B3791" s="19" t="str">
        <f t="shared" si="301"/>
        <v>B-BCP - Soles</v>
      </c>
      <c r="C3791" s="3" t="s">
        <v>1330</v>
      </c>
      <c r="D3791" s="14">
        <v>45912</v>
      </c>
      <c r="E3791" s="5" t="s">
        <v>2269</v>
      </c>
      <c r="F3791" s="5" t="s">
        <v>1336</v>
      </c>
      <c r="G3791" s="6" t="s">
        <v>196</v>
      </c>
      <c r="H3791" s="6" t="s">
        <v>68</v>
      </c>
      <c r="I3791" s="6" t="s">
        <v>2226</v>
      </c>
      <c r="J3791" s="6">
        <v>6888</v>
      </c>
      <c r="K3791" s="7" t="s">
        <v>2227</v>
      </c>
      <c r="L3791" s="8">
        <v>170877</v>
      </c>
      <c r="M3791" s="8" t="str">
        <f t="shared" si="302"/>
        <v>PEN</v>
      </c>
      <c r="N3791" s="13"/>
      <c r="O3791" s="13">
        <v>458.85</v>
      </c>
      <c r="P3791" s="3">
        <f t="shared" si="303"/>
        <v>0</v>
      </c>
      <c r="Q3791" s="3">
        <f t="shared" si="304"/>
        <v>458.85</v>
      </c>
      <c r="R3791" s="3">
        <f t="shared" si="305"/>
        <v>21573.779999999981</v>
      </c>
      <c r="S3791" s="24" t="s">
        <v>1334</v>
      </c>
      <c r="T3791" s="24" t="s">
        <v>1334</v>
      </c>
      <c r="U3791" s="55"/>
      <c r="V3791" s="25">
        <f>IFERROR(VLOOKUP(BCP_Soles[[#This Row],[destinatario]],CHOOSE({1,2},Clientes_Proveedores[Razon Social],Clientes_Proveedores[Ruc / Dni]),2,0),"")</f>
        <v>20100055237</v>
      </c>
      <c r="W3791" s="25"/>
      <c r="X3791" s="25"/>
      <c r="Y3791" s="25"/>
      <c r="Z3791" s="77"/>
      <c r="AA3791" s="3" t="str">
        <f>IF(BCP_Soles[[#This Row],[fecha]]&gt;0,TEXT(BCP_Soles[[#This Row],[fecha]],"mmmm"),0)</f>
        <v>Setiembre</v>
      </c>
    </row>
    <row r="3792" spans="1:27" x14ac:dyDescent="0.3">
      <c r="A3792" s="2">
        <f>IF(BCP_Soles[[#This Row],[tipo_registro]]="R",COUNTIFS($C$1:$C3791,"R")+1,A3791)</f>
        <v>2512</v>
      </c>
      <c r="B3792" s="19" t="str">
        <f t="shared" si="301"/>
        <v>B-BCP - Soles</v>
      </c>
      <c r="C3792" s="3" t="s">
        <v>1330</v>
      </c>
      <c r="D3792" s="14">
        <v>45912</v>
      </c>
      <c r="E3792" s="5" t="s">
        <v>2269</v>
      </c>
      <c r="F3792" s="5" t="s">
        <v>1336</v>
      </c>
      <c r="G3792" s="6" t="s">
        <v>196</v>
      </c>
      <c r="H3792" s="6" t="s">
        <v>68</v>
      </c>
      <c r="I3792" s="6" t="s">
        <v>2226</v>
      </c>
      <c r="J3792" s="6">
        <v>6887</v>
      </c>
      <c r="K3792" s="7" t="s">
        <v>2227</v>
      </c>
      <c r="L3792" s="8">
        <v>170382</v>
      </c>
      <c r="M3792" s="8" t="str">
        <f t="shared" si="302"/>
        <v>PEN</v>
      </c>
      <c r="N3792" s="13"/>
      <c r="O3792" s="13">
        <v>388.66</v>
      </c>
      <c r="P3792" s="3">
        <f t="shared" si="303"/>
        <v>0</v>
      </c>
      <c r="Q3792" s="3">
        <f t="shared" si="304"/>
        <v>388.66</v>
      </c>
      <c r="R3792" s="3">
        <f t="shared" si="305"/>
        <v>21185.119999999981</v>
      </c>
      <c r="S3792" s="24" t="s">
        <v>1334</v>
      </c>
      <c r="T3792" s="24" t="s">
        <v>1334</v>
      </c>
      <c r="U3792" s="55"/>
      <c r="V3792" s="25">
        <f>IFERROR(VLOOKUP(BCP_Soles[[#This Row],[destinatario]],CHOOSE({1,2},Clientes_Proveedores[Razon Social],Clientes_Proveedores[Ruc / Dni]),2,0),"")</f>
        <v>20100055237</v>
      </c>
      <c r="W3792" s="25"/>
      <c r="X3792" s="25"/>
      <c r="Y3792" s="25"/>
      <c r="Z3792" s="77"/>
      <c r="AA3792" s="3" t="str">
        <f>IF(BCP_Soles[[#This Row],[fecha]]&gt;0,TEXT(BCP_Soles[[#This Row],[fecha]],"mmmm"),0)</f>
        <v>Setiembre</v>
      </c>
    </row>
    <row r="3793" spans="1:27" x14ac:dyDescent="0.3">
      <c r="A3793" s="2">
        <f>IF(BCP_Soles[[#This Row],[tipo_registro]]="R",COUNTIFS($C$1:$C3792,"R")+1,A3792)</f>
        <v>2513</v>
      </c>
      <c r="B3793" s="19" t="str">
        <f t="shared" si="301"/>
        <v>B-BCP - Soles</v>
      </c>
      <c r="C3793" s="3" t="s">
        <v>1330</v>
      </c>
      <c r="D3793" s="14">
        <v>45912</v>
      </c>
      <c r="E3793" s="5" t="s">
        <v>2269</v>
      </c>
      <c r="F3793" s="5" t="s">
        <v>1336</v>
      </c>
      <c r="G3793" s="6" t="s">
        <v>196</v>
      </c>
      <c r="H3793" s="6" t="s">
        <v>68</v>
      </c>
      <c r="I3793" s="6" t="s">
        <v>2226</v>
      </c>
      <c r="J3793" s="6">
        <v>6886</v>
      </c>
      <c r="K3793" s="7" t="s">
        <v>2227</v>
      </c>
      <c r="L3793" s="8">
        <v>169387</v>
      </c>
      <c r="M3793" s="8" t="str">
        <f t="shared" si="302"/>
        <v>PEN</v>
      </c>
      <c r="N3793" s="13"/>
      <c r="O3793" s="13">
        <v>770.24</v>
      </c>
      <c r="P3793" s="3">
        <f t="shared" si="303"/>
        <v>0</v>
      </c>
      <c r="Q3793" s="3">
        <f t="shared" si="304"/>
        <v>770.24</v>
      </c>
      <c r="R3793" s="3">
        <f t="shared" si="305"/>
        <v>20414.879999999979</v>
      </c>
      <c r="S3793" s="24" t="s">
        <v>1334</v>
      </c>
      <c r="T3793" s="24" t="s">
        <v>1334</v>
      </c>
      <c r="U3793" s="55"/>
      <c r="V3793" s="25">
        <f>IFERROR(VLOOKUP(BCP_Soles[[#This Row],[destinatario]],CHOOSE({1,2},Clientes_Proveedores[Razon Social],Clientes_Proveedores[Ruc / Dni]),2,0),"")</f>
        <v>20100055237</v>
      </c>
      <c r="W3793" s="25"/>
      <c r="X3793" s="25"/>
      <c r="Y3793" s="25"/>
      <c r="Z3793" s="77"/>
      <c r="AA3793" s="3" t="str">
        <f>IF(BCP_Soles[[#This Row],[fecha]]&gt;0,TEXT(BCP_Soles[[#This Row],[fecha]],"mmmm"),0)</f>
        <v>Setiembre</v>
      </c>
    </row>
    <row r="3794" spans="1:27" ht="24" x14ac:dyDescent="0.3">
      <c r="A3794" s="2">
        <f>IF(BCP_Soles[[#This Row],[tipo_registro]]="R",COUNTIFS($C$1:$C3793,"R")+1,A3793)</f>
        <v>2514</v>
      </c>
      <c r="B3794" s="19" t="str">
        <f t="shared" si="301"/>
        <v>B-BCP - Soles</v>
      </c>
      <c r="C3794" s="3" t="s">
        <v>1330</v>
      </c>
      <c r="D3794" s="14">
        <v>45912</v>
      </c>
      <c r="E3794" s="5" t="s">
        <v>2269</v>
      </c>
      <c r="F3794" s="5" t="s">
        <v>1336</v>
      </c>
      <c r="G3794" s="6" t="s">
        <v>1149</v>
      </c>
      <c r="H3794" s="6" t="s">
        <v>68</v>
      </c>
      <c r="I3794" s="6" t="s">
        <v>1376</v>
      </c>
      <c r="J3794" s="6">
        <v>604</v>
      </c>
      <c r="K3794" s="7" t="s">
        <v>4486</v>
      </c>
      <c r="L3794" s="8">
        <v>1171843</v>
      </c>
      <c r="M3794" s="8" t="str">
        <f t="shared" si="302"/>
        <v>PEN</v>
      </c>
      <c r="N3794" s="13"/>
      <c r="O3794" s="13">
        <v>1152</v>
      </c>
      <c r="P3794" s="3">
        <f t="shared" si="303"/>
        <v>0</v>
      </c>
      <c r="Q3794" s="3">
        <f t="shared" si="304"/>
        <v>1152</v>
      </c>
      <c r="R3794" s="3">
        <f t="shared" si="305"/>
        <v>19262.879999999979</v>
      </c>
      <c r="S3794" s="24" t="s">
        <v>1334</v>
      </c>
      <c r="T3794" s="24" t="s">
        <v>1334</v>
      </c>
      <c r="U3794" s="56" t="s">
        <v>4487</v>
      </c>
      <c r="V3794" s="25">
        <f>IFERROR(VLOOKUP(BCP_Soles[[#This Row],[destinatario]],CHOOSE({1,2},Clientes_Proveedores[Razon Social],Clientes_Proveedores[Ruc / Dni]),2,0),"")</f>
        <v>20600066324</v>
      </c>
      <c r="W3794" s="25"/>
      <c r="X3794" s="25"/>
      <c r="Y3794" s="25"/>
      <c r="Z3794" s="77"/>
      <c r="AA3794" s="3" t="str">
        <f>IF(BCP_Soles[[#This Row],[fecha]]&gt;0,TEXT(BCP_Soles[[#This Row],[fecha]],"mmmm"),0)</f>
        <v>Setiembre</v>
      </c>
    </row>
    <row r="3795" spans="1:27" x14ac:dyDescent="0.3">
      <c r="A3795" s="2">
        <f>IF(BCP_Soles[[#This Row],[tipo_registro]]="R",COUNTIFS($C$1:$C3794,"R")+1,A3794)</f>
        <v>2515</v>
      </c>
      <c r="B3795" s="19" t="str">
        <f t="shared" si="301"/>
        <v>B-BCP - Soles</v>
      </c>
      <c r="C3795" s="3" t="s">
        <v>1330</v>
      </c>
      <c r="D3795" s="14">
        <v>45912</v>
      </c>
      <c r="E3795" s="5" t="s">
        <v>2269</v>
      </c>
      <c r="F3795" s="5" t="s">
        <v>1336</v>
      </c>
      <c r="G3795" s="6" t="s">
        <v>425</v>
      </c>
      <c r="H3795" s="6"/>
      <c r="I3795" s="6"/>
      <c r="J3795" s="6"/>
      <c r="K3795" s="7" t="s">
        <v>4488</v>
      </c>
      <c r="L3795" s="8">
        <v>1269464</v>
      </c>
      <c r="M3795" s="8" t="str">
        <f t="shared" si="302"/>
        <v>PEN</v>
      </c>
      <c r="N3795" s="13"/>
      <c r="O3795" s="13">
        <v>2000</v>
      </c>
      <c r="P3795" s="3">
        <f t="shared" si="303"/>
        <v>0</v>
      </c>
      <c r="Q3795" s="3">
        <f t="shared" si="304"/>
        <v>2000</v>
      </c>
      <c r="R3795" s="3">
        <f t="shared" si="305"/>
        <v>17262.879999999979</v>
      </c>
      <c r="S3795" s="24" t="s">
        <v>1334</v>
      </c>
      <c r="T3795" s="24" t="s">
        <v>1334</v>
      </c>
      <c r="U3795" s="55"/>
      <c r="V3795" s="25">
        <f>IFERROR(VLOOKUP(BCP_Soles[[#This Row],[destinatario]],CHOOSE({1,2},Clientes_Proveedores[Razon Social],Clientes_Proveedores[Ruc / Dni]),2,0),"")</f>
        <v>20558226979</v>
      </c>
      <c r="W3795" s="25"/>
      <c r="X3795" s="25"/>
      <c r="Y3795" s="25"/>
      <c r="Z3795" s="77"/>
      <c r="AA3795" s="3" t="str">
        <f>IF(BCP_Soles[[#This Row],[fecha]]&gt;0,TEXT(BCP_Soles[[#This Row],[fecha]],"mmmm"),0)</f>
        <v>Setiembre</v>
      </c>
    </row>
    <row r="3796" spans="1:27" x14ac:dyDescent="0.3">
      <c r="A3796" s="2">
        <f>IF(BCP_Soles[[#This Row],[tipo_registro]]="R",COUNTIFS($C$1:$C3795,"R")+1,A3795)</f>
        <v>2516</v>
      </c>
      <c r="B3796" s="19" t="str">
        <f t="shared" si="301"/>
        <v>B-BCP - Soles</v>
      </c>
      <c r="C3796" s="3" t="s">
        <v>1330</v>
      </c>
      <c r="D3796" s="14">
        <v>45912</v>
      </c>
      <c r="E3796" s="5" t="s">
        <v>2269</v>
      </c>
      <c r="F3796" s="5" t="s">
        <v>1336</v>
      </c>
      <c r="G3796" s="6" t="s">
        <v>407</v>
      </c>
      <c r="H3796" s="6" t="s">
        <v>68</v>
      </c>
      <c r="I3796" s="6" t="s">
        <v>4489</v>
      </c>
      <c r="J3796" s="6">
        <v>16690</v>
      </c>
      <c r="K3796" s="7" t="s">
        <v>4490</v>
      </c>
      <c r="L3796" s="8">
        <v>272067</v>
      </c>
      <c r="M3796" s="8" t="str">
        <f t="shared" si="302"/>
        <v>PEN</v>
      </c>
      <c r="N3796" s="13"/>
      <c r="O3796" s="13">
        <v>196.52</v>
      </c>
      <c r="P3796" s="3">
        <f t="shared" si="303"/>
        <v>0</v>
      </c>
      <c r="Q3796" s="3">
        <f t="shared" si="304"/>
        <v>196.52</v>
      </c>
      <c r="R3796" s="3">
        <f t="shared" si="305"/>
        <v>17066.359999999979</v>
      </c>
      <c r="S3796" s="24" t="s">
        <v>1334</v>
      </c>
      <c r="T3796" s="24" t="s">
        <v>1334</v>
      </c>
      <c r="U3796" s="56" t="s">
        <v>4491</v>
      </c>
      <c r="V3796" s="25">
        <f>IFERROR(VLOOKUP(BCP_Soles[[#This Row],[destinatario]],CHOOSE({1,2},Clientes_Proveedores[Razon Social],Clientes_Proveedores[Ruc / Dni]),2,0),"")</f>
        <v>20549068201</v>
      </c>
      <c r="W3796" s="25"/>
      <c r="X3796" s="25"/>
      <c r="Y3796" s="25"/>
      <c r="Z3796" s="77"/>
      <c r="AA3796" s="3" t="str">
        <f>IF(BCP_Soles[[#This Row],[fecha]]&gt;0,TEXT(BCP_Soles[[#This Row],[fecha]],"mmmm"),0)</f>
        <v>Setiembre</v>
      </c>
    </row>
    <row r="3797" spans="1:27" x14ac:dyDescent="0.3">
      <c r="A3797" s="2">
        <f>IF(BCP_Soles[[#This Row],[tipo_registro]]="R",COUNTIFS($C$1:$C3796,"R")+1,A3796)</f>
        <v>2517</v>
      </c>
      <c r="B3797" s="19" t="str">
        <f t="shared" si="301"/>
        <v>B-BCP - Soles</v>
      </c>
      <c r="C3797" s="3" t="s">
        <v>1330</v>
      </c>
      <c r="D3797" s="14">
        <v>45912</v>
      </c>
      <c r="E3797" s="5" t="s">
        <v>2269</v>
      </c>
      <c r="F3797" s="5" t="s">
        <v>1336</v>
      </c>
      <c r="G3797" s="6" t="s">
        <v>696</v>
      </c>
      <c r="H3797" s="6"/>
      <c r="I3797" s="6"/>
      <c r="J3797" s="6"/>
      <c r="K3797" s="7" t="s">
        <v>4492</v>
      </c>
      <c r="L3797" s="8">
        <v>3778444</v>
      </c>
      <c r="M3797" s="8" t="str">
        <f t="shared" si="302"/>
        <v>PEN</v>
      </c>
      <c r="N3797" s="13"/>
      <c r="O3797" s="13">
        <v>1805.55</v>
      </c>
      <c r="P3797" s="3">
        <f t="shared" si="303"/>
        <v>0</v>
      </c>
      <c r="Q3797" s="3">
        <f t="shared" si="304"/>
        <v>1805.55</v>
      </c>
      <c r="R3797" s="3">
        <f t="shared" si="305"/>
        <v>15260.809999999979</v>
      </c>
      <c r="S3797" s="24" t="s">
        <v>1334</v>
      </c>
      <c r="T3797" s="24" t="s">
        <v>1334</v>
      </c>
      <c r="U3797" s="56" t="s">
        <v>4493</v>
      </c>
      <c r="V3797" s="25">
        <f>IFERROR(VLOOKUP(BCP_Soles[[#This Row],[destinatario]],CHOOSE({1,2},Clientes_Proveedores[Razon Social],Clientes_Proveedores[Ruc / Dni]),2,0),"")</f>
        <v>0</v>
      </c>
      <c r="W3797" s="25"/>
      <c r="X3797" s="25"/>
      <c r="Y3797" s="25"/>
      <c r="Z3797" s="77"/>
      <c r="AA3797" s="3" t="str">
        <f>IF(BCP_Soles[[#This Row],[fecha]]&gt;0,TEXT(BCP_Soles[[#This Row],[fecha]],"mmmm"),0)</f>
        <v>Setiembre</v>
      </c>
    </row>
    <row r="3798" spans="1:27" x14ac:dyDescent="0.3">
      <c r="A3798" s="2">
        <f>IF(BCP_Soles[[#This Row],[tipo_registro]]="R",COUNTIFS($C$1:$C3797,"R")+1,A3797)</f>
        <v>2517</v>
      </c>
      <c r="B3798" s="19" t="str">
        <f t="shared" si="301"/>
        <v>B-BCP - Soles</v>
      </c>
      <c r="C3798" s="3" t="s">
        <v>1352</v>
      </c>
      <c r="D3798" s="14">
        <v>45912</v>
      </c>
      <c r="E3798" s="5" t="s">
        <v>2269</v>
      </c>
      <c r="F3798" s="5"/>
      <c r="G3798" s="6" t="s">
        <v>338</v>
      </c>
      <c r="H3798" s="6" t="s">
        <v>68</v>
      </c>
      <c r="I3798" s="6" t="s">
        <v>1376</v>
      </c>
      <c r="J3798" s="6">
        <v>509</v>
      </c>
      <c r="K3798" s="7" t="s">
        <v>4492</v>
      </c>
      <c r="L3798" s="8">
        <v>3778444</v>
      </c>
      <c r="M3798" s="8" t="str">
        <f t="shared" si="302"/>
        <v>PEN</v>
      </c>
      <c r="N3798" s="13">
        <v>1038</v>
      </c>
      <c r="O3798" s="13"/>
      <c r="P3798" s="3">
        <f t="shared" si="303"/>
        <v>0</v>
      </c>
      <c r="Q3798" s="3">
        <f t="shared" si="304"/>
        <v>0</v>
      </c>
      <c r="R3798" s="3">
        <f t="shared" si="305"/>
        <v>15260.809999999979</v>
      </c>
      <c r="S3798" s="24" t="s">
        <v>1334</v>
      </c>
      <c r="T3798" s="24" t="s">
        <v>1334</v>
      </c>
      <c r="U3798" s="56" t="s">
        <v>4493</v>
      </c>
      <c r="V3798" s="25">
        <f>IFERROR(VLOOKUP(BCP_Soles[[#This Row],[destinatario]],CHOOSE({1,2},Clientes_Proveedores[Razon Social],Clientes_Proveedores[Ruc / Dni]),2,0),"")</f>
        <v>20498380931</v>
      </c>
      <c r="W3798" s="25"/>
      <c r="X3798" s="25"/>
      <c r="Y3798" s="25"/>
      <c r="Z3798" s="77"/>
      <c r="AA3798" s="3" t="str">
        <f>IF(BCP_Soles[[#This Row],[fecha]]&gt;0,TEXT(BCP_Soles[[#This Row],[fecha]],"mmmm"),0)</f>
        <v>Setiembre</v>
      </c>
    </row>
    <row r="3799" spans="1:27" x14ac:dyDescent="0.3">
      <c r="A3799" s="2">
        <f>IF(BCP_Soles[[#This Row],[tipo_registro]]="R",COUNTIFS($C$1:$C3798,"R")+1,A3798)</f>
        <v>2517</v>
      </c>
      <c r="B3799" s="19" t="str">
        <f t="shared" si="301"/>
        <v>B-BCP - Soles</v>
      </c>
      <c r="C3799" s="3" t="s">
        <v>1352</v>
      </c>
      <c r="D3799" s="14">
        <v>45912</v>
      </c>
      <c r="E3799" s="5" t="s">
        <v>2269</v>
      </c>
      <c r="F3799" s="5"/>
      <c r="G3799" s="6" t="s">
        <v>522</v>
      </c>
      <c r="H3799" s="6" t="s">
        <v>68</v>
      </c>
      <c r="I3799" s="6" t="s">
        <v>1376</v>
      </c>
      <c r="J3799" s="6">
        <v>4186</v>
      </c>
      <c r="K3799" s="7" t="s">
        <v>4492</v>
      </c>
      <c r="L3799" s="8">
        <v>3778444</v>
      </c>
      <c r="M3799" s="8" t="str">
        <f t="shared" si="302"/>
        <v>PEN</v>
      </c>
      <c r="N3799" s="13">
        <v>767.55</v>
      </c>
      <c r="O3799" s="13"/>
      <c r="P3799" s="3">
        <f t="shared" si="303"/>
        <v>0</v>
      </c>
      <c r="Q3799" s="3">
        <f t="shared" si="304"/>
        <v>0</v>
      </c>
      <c r="R3799" s="3">
        <f t="shared" si="305"/>
        <v>15260.809999999979</v>
      </c>
      <c r="S3799" s="24" t="s">
        <v>1334</v>
      </c>
      <c r="T3799" s="24" t="s">
        <v>1334</v>
      </c>
      <c r="U3799" s="56" t="s">
        <v>4493</v>
      </c>
      <c r="V3799" s="25">
        <f>IFERROR(VLOOKUP(BCP_Soles[[#This Row],[destinatario]],CHOOSE({1,2},Clientes_Proveedores[Razon Social],Clientes_Proveedores[Ruc / Dni]),2,0),"")</f>
        <v>20603974817</v>
      </c>
      <c r="W3799" s="25"/>
      <c r="X3799" s="25"/>
      <c r="Y3799" s="25"/>
      <c r="Z3799" s="77"/>
      <c r="AA3799" s="3" t="str">
        <f>IF(BCP_Soles[[#This Row],[fecha]]&gt;0,TEXT(BCP_Soles[[#This Row],[fecha]],"mmmm"),0)</f>
        <v>Setiembre</v>
      </c>
    </row>
    <row r="3800" spans="1:27" ht="24" x14ac:dyDescent="0.3">
      <c r="A3800" s="2">
        <f>IF(BCP_Soles[[#This Row],[tipo_registro]]="R",COUNTIFS($C$1:$C3799,"R")+1,A3799)</f>
        <v>2518</v>
      </c>
      <c r="B3800" s="19" t="str">
        <f t="shared" si="301"/>
        <v>B-BCP - Soles</v>
      </c>
      <c r="C3800" s="13" t="s">
        <v>1330</v>
      </c>
      <c r="D3800" s="14">
        <v>45912</v>
      </c>
      <c r="E3800" s="5" t="s">
        <v>2269</v>
      </c>
      <c r="F3800" s="5" t="s">
        <v>1336</v>
      </c>
      <c r="G3800" s="6" t="s">
        <v>984</v>
      </c>
      <c r="H3800" s="6" t="s">
        <v>68</v>
      </c>
      <c r="I3800" s="6" t="s">
        <v>1391</v>
      </c>
      <c r="J3800" s="6">
        <v>17695</v>
      </c>
      <c r="K3800" s="7" t="s">
        <v>4494</v>
      </c>
      <c r="L3800" s="8">
        <v>1271907</v>
      </c>
      <c r="M3800" s="8" t="str">
        <f t="shared" si="302"/>
        <v>PEN</v>
      </c>
      <c r="N3800" s="13"/>
      <c r="O3800" s="13">
        <v>743.4</v>
      </c>
      <c r="P3800" s="3">
        <f t="shared" si="303"/>
        <v>0</v>
      </c>
      <c r="Q3800" s="3">
        <f t="shared" si="304"/>
        <v>743.4</v>
      </c>
      <c r="R3800" s="3">
        <f t="shared" si="305"/>
        <v>14517.40999999998</v>
      </c>
      <c r="S3800" s="24" t="s">
        <v>1334</v>
      </c>
      <c r="T3800" s="24" t="s">
        <v>1334</v>
      </c>
      <c r="U3800" s="55"/>
      <c r="V3800" s="25">
        <f>IFERROR(VLOOKUP(BCP_Soles[[#This Row],[destinatario]],CHOOSE({1,2},Clientes_Proveedores[Razon Social],Clientes_Proveedores[Ruc / Dni]),2,0),"")</f>
        <v>20455823880</v>
      </c>
      <c r="W3800" s="25"/>
      <c r="X3800" s="25"/>
      <c r="Y3800" s="25"/>
      <c r="Z3800" s="77"/>
      <c r="AA3800" s="3" t="str">
        <f>IF(BCP_Soles[[#This Row],[fecha]]&gt;0,TEXT(BCP_Soles[[#This Row],[fecha]],"mmmm"),0)</f>
        <v>Setiembre</v>
      </c>
    </row>
    <row r="3801" spans="1:27" x14ac:dyDescent="0.3">
      <c r="A3801" s="2">
        <f>IF(BCP_Soles[[#This Row],[tipo_registro]]="R",COUNTIFS($C$1:$C3800,"R")+1,A3800)</f>
        <v>2519</v>
      </c>
      <c r="B3801" s="19" t="str">
        <f t="shared" si="301"/>
        <v>B-BCP - Soles</v>
      </c>
      <c r="C3801" s="13" t="s">
        <v>1330</v>
      </c>
      <c r="D3801" s="14">
        <v>45912</v>
      </c>
      <c r="E3801" s="5" t="s">
        <v>1335</v>
      </c>
      <c r="F3801" s="5" t="s">
        <v>1336</v>
      </c>
      <c r="G3801" s="6" t="s">
        <v>1009</v>
      </c>
      <c r="H3801" s="6" t="s">
        <v>64</v>
      </c>
      <c r="I3801" s="6" t="s">
        <v>3673</v>
      </c>
      <c r="J3801" s="6">
        <v>2521</v>
      </c>
      <c r="K3801" s="7" t="s">
        <v>3160</v>
      </c>
      <c r="L3801" s="8"/>
      <c r="M3801" s="8" t="str">
        <f t="shared" si="302"/>
        <v>PEN</v>
      </c>
      <c r="N3801" s="13"/>
      <c r="O3801" s="13">
        <v>0.75</v>
      </c>
      <c r="P3801" s="3">
        <f t="shared" si="303"/>
        <v>0</v>
      </c>
      <c r="Q3801" s="3">
        <f t="shared" si="304"/>
        <v>0.75</v>
      </c>
      <c r="R3801" s="3">
        <f t="shared" si="305"/>
        <v>14516.65999999998</v>
      </c>
      <c r="S3801" s="24"/>
      <c r="T3801" s="24" t="s">
        <v>1334</v>
      </c>
      <c r="U3801" s="55"/>
      <c r="V3801" s="25">
        <f>IFERROR(VLOOKUP(BCP_Soles[[#This Row],[destinatario]],CHOOSE({1,2},Clientes_Proveedores[Razon Social],Clientes_Proveedores[Ruc / Dni]),2,0),"")</f>
        <v>11111111</v>
      </c>
      <c r="W3801" s="25"/>
      <c r="X3801" s="25"/>
      <c r="Y3801" s="25"/>
      <c r="Z3801" s="77"/>
      <c r="AA3801" s="3" t="str">
        <f>IF(BCP_Soles[[#This Row],[fecha]]&gt;0,TEXT(BCP_Soles[[#This Row],[fecha]],"mmmm"),0)</f>
        <v>Setiembre</v>
      </c>
    </row>
    <row r="3802" spans="1:27" ht="24" x14ac:dyDescent="0.3">
      <c r="A3802" s="2">
        <f>IF(BCP_Soles[[#This Row],[tipo_registro]]="R",COUNTIFS($C$1:$C3801,"R")+1,A3801)</f>
        <v>2520</v>
      </c>
      <c r="B3802" s="19" t="str">
        <f t="shared" si="301"/>
        <v>B-BCP - Soles</v>
      </c>
      <c r="C3802" s="3" t="s">
        <v>1330</v>
      </c>
      <c r="D3802" s="133">
        <v>45915</v>
      </c>
      <c r="E3802" s="5" t="s">
        <v>697</v>
      </c>
      <c r="F3802" s="5" t="s">
        <v>1303</v>
      </c>
      <c r="G3802" s="6" t="s">
        <v>425</v>
      </c>
      <c r="H3802" s="6" t="s">
        <v>68</v>
      </c>
      <c r="I3802" s="6" t="s">
        <v>3302</v>
      </c>
      <c r="J3802" s="6">
        <v>135</v>
      </c>
      <c r="K3802" s="7" t="s">
        <v>4308</v>
      </c>
      <c r="L3802" s="8">
        <v>6101573</v>
      </c>
      <c r="M3802" s="8" t="str">
        <f t="shared" si="302"/>
        <v>PEN</v>
      </c>
      <c r="N3802" s="13"/>
      <c r="O3802" s="13">
        <v>280.39999999999998</v>
      </c>
      <c r="P3802" s="3">
        <f t="shared" si="303"/>
        <v>280.39999999999998</v>
      </c>
      <c r="Q3802" s="3">
        <f t="shared" si="304"/>
        <v>0</v>
      </c>
      <c r="R3802" s="3">
        <f t="shared" si="305"/>
        <v>14797.059999999979</v>
      </c>
      <c r="S3802" s="24" t="s">
        <v>1334</v>
      </c>
      <c r="T3802" s="24" t="s">
        <v>1334</v>
      </c>
      <c r="U3802" s="55"/>
      <c r="V3802" s="25">
        <f>IFERROR(VLOOKUP(BCP_Soles[[#This Row],[destinatario]],CHOOSE({1,2},Clientes_Proveedores[Razon Social],Clientes_Proveedores[Ruc / Dni]),2,0),"")</f>
        <v>20558226979</v>
      </c>
      <c r="W3802" s="25"/>
      <c r="X3802" s="25"/>
      <c r="Y3802" s="25"/>
      <c r="Z3802" s="77"/>
      <c r="AA3802" s="3" t="str">
        <f>IF(BCP_Soles[[#This Row],[fecha]]&gt;0,TEXT(BCP_Soles[[#This Row],[fecha]],"mmmm"),0)</f>
        <v>Setiembre</v>
      </c>
    </row>
    <row r="3803" spans="1:27" ht="24" x14ac:dyDescent="0.3">
      <c r="A3803" s="2">
        <f>IF(BCP_Soles[[#This Row],[tipo_registro]]="R",COUNTIFS($C$1:$C3802,"R")+1,A3802)</f>
        <v>2521</v>
      </c>
      <c r="B3803" s="19" t="str">
        <f t="shared" si="301"/>
        <v>B-BCP - Soles</v>
      </c>
      <c r="C3803" s="3" t="s">
        <v>1330</v>
      </c>
      <c r="D3803" s="14">
        <v>45915</v>
      </c>
      <c r="E3803" s="5" t="s">
        <v>410</v>
      </c>
      <c r="F3803" s="5" t="s">
        <v>1303</v>
      </c>
      <c r="G3803" s="6" t="s">
        <v>425</v>
      </c>
      <c r="H3803" s="6" t="s">
        <v>68</v>
      </c>
      <c r="I3803" s="6" t="s">
        <v>3302</v>
      </c>
      <c r="J3803" s="6">
        <v>134</v>
      </c>
      <c r="K3803" s="7" t="s">
        <v>3608</v>
      </c>
      <c r="L3803" s="8">
        <v>3741060</v>
      </c>
      <c r="M3803" s="8" t="str">
        <f t="shared" si="302"/>
        <v>PEN</v>
      </c>
      <c r="N3803" s="13"/>
      <c r="O3803" s="13">
        <v>8126.12</v>
      </c>
      <c r="P3803" s="3">
        <f t="shared" si="303"/>
        <v>8126.12</v>
      </c>
      <c r="Q3803" s="3">
        <f t="shared" si="304"/>
        <v>0</v>
      </c>
      <c r="R3803" s="3">
        <f t="shared" si="305"/>
        <v>22923.179999999978</v>
      </c>
      <c r="S3803" s="24" t="s">
        <v>1334</v>
      </c>
      <c r="T3803" s="24" t="s">
        <v>1334</v>
      </c>
      <c r="U3803" s="55"/>
      <c r="V3803" s="25">
        <f>IFERROR(VLOOKUP(BCP_Soles[[#This Row],[destinatario]],CHOOSE({1,2},Clientes_Proveedores[Razon Social],Clientes_Proveedores[Ruc / Dni]),2,0),"")</f>
        <v>20558226979</v>
      </c>
      <c r="W3803" s="25"/>
      <c r="X3803" s="25"/>
      <c r="Y3803" s="25"/>
      <c r="Z3803" s="77"/>
      <c r="AA3803" s="3" t="str">
        <f>IF(BCP_Soles[[#This Row],[fecha]]&gt;0,TEXT(BCP_Soles[[#This Row],[fecha]],"mmmm"),0)</f>
        <v>Setiembre</v>
      </c>
    </row>
    <row r="3804" spans="1:27" ht="24" x14ac:dyDescent="0.3">
      <c r="A3804" s="2">
        <f>IF(BCP_Soles[[#This Row],[tipo_registro]]="R",COUNTIFS($C$1:$C3803,"R")+1,A3803)</f>
        <v>2522</v>
      </c>
      <c r="B3804" s="19" t="str">
        <f t="shared" si="301"/>
        <v>B-BCP - Soles</v>
      </c>
      <c r="C3804" s="3" t="s">
        <v>1330</v>
      </c>
      <c r="D3804" s="14">
        <v>45915</v>
      </c>
      <c r="E3804" s="5" t="s">
        <v>2269</v>
      </c>
      <c r="F3804" s="5" t="s">
        <v>1336</v>
      </c>
      <c r="G3804" s="6" t="s">
        <v>993</v>
      </c>
      <c r="H3804" s="6" t="s">
        <v>143</v>
      </c>
      <c r="I3804" s="6">
        <v>1</v>
      </c>
      <c r="J3804" s="6">
        <v>732025</v>
      </c>
      <c r="K3804" s="7" t="s">
        <v>4495</v>
      </c>
      <c r="L3804" s="8">
        <v>1119191</v>
      </c>
      <c r="M3804" s="8" t="str">
        <f t="shared" si="302"/>
        <v>PEN</v>
      </c>
      <c r="N3804" s="13"/>
      <c r="O3804" s="13">
        <v>115</v>
      </c>
      <c r="P3804" s="3">
        <f t="shared" si="303"/>
        <v>0</v>
      </c>
      <c r="Q3804" s="3">
        <f t="shared" si="304"/>
        <v>115</v>
      </c>
      <c r="R3804" s="3">
        <f t="shared" si="305"/>
        <v>22808.179999999978</v>
      </c>
      <c r="S3804" s="24" t="s">
        <v>1334</v>
      </c>
      <c r="T3804" s="24" t="s">
        <v>1334</v>
      </c>
      <c r="U3804" s="55"/>
      <c r="V3804" s="25">
        <f>IFERROR(VLOOKUP(BCP_Soles[[#This Row],[destinatario]],CHOOSE({1,2},Clientes_Proveedores[Razon Social],Clientes_Proveedores[Ruc / Dni]),2,0),"")</f>
        <v>76390500</v>
      </c>
      <c r="W3804" s="25"/>
      <c r="X3804" s="25"/>
      <c r="Y3804" s="25"/>
      <c r="Z3804" s="77"/>
      <c r="AA3804" s="3" t="str">
        <f>IF(BCP_Soles[[#This Row],[fecha]]&gt;0,TEXT(BCP_Soles[[#This Row],[fecha]],"mmmm"),0)</f>
        <v>Setiembre</v>
      </c>
    </row>
    <row r="3805" spans="1:27" ht="24" x14ac:dyDescent="0.3">
      <c r="A3805" s="2">
        <f>IF(BCP_Soles[[#This Row],[tipo_registro]]="R",COUNTIFS($C$1:$C3804,"R")+1,A3804)</f>
        <v>2523</v>
      </c>
      <c r="B3805" s="19" t="str">
        <f t="shared" ref="B3805:B3868" si="306">"B-BCP - Soles"</f>
        <v>B-BCP - Soles</v>
      </c>
      <c r="C3805" s="3" t="s">
        <v>1330</v>
      </c>
      <c r="D3805" s="14">
        <v>45915</v>
      </c>
      <c r="E3805" s="5" t="s">
        <v>2269</v>
      </c>
      <c r="F3805" s="5" t="s">
        <v>1336</v>
      </c>
      <c r="G3805" s="6" t="s">
        <v>922</v>
      </c>
      <c r="H3805" s="6" t="s">
        <v>143</v>
      </c>
      <c r="I3805" s="6">
        <v>1</v>
      </c>
      <c r="J3805" s="6">
        <v>742025</v>
      </c>
      <c r="K3805" s="7" t="s">
        <v>4496</v>
      </c>
      <c r="L3805" s="8">
        <v>1119190</v>
      </c>
      <c r="M3805" s="8" t="str">
        <f t="shared" ref="M3805:M3868" si="307">"PEN"</f>
        <v>PEN</v>
      </c>
      <c r="N3805" s="13"/>
      <c r="O3805" s="13">
        <v>990</v>
      </c>
      <c r="P3805" s="3">
        <f t="shared" ref="P3805:P3868" si="308">+IF(OR($F3805="SALDO",$F3805="INGRESO"),$O3805,0)</f>
        <v>0</v>
      </c>
      <c r="Q3805" s="3">
        <f t="shared" ref="Q3805:Q3868" si="309">+IF($F3805="EGRESO",$O3805,0)</f>
        <v>990</v>
      </c>
      <c r="R3805" s="3">
        <f t="shared" si="305"/>
        <v>21818.179999999978</v>
      </c>
      <c r="S3805" s="24" t="s">
        <v>1334</v>
      </c>
      <c r="T3805" s="24" t="s">
        <v>1334</v>
      </c>
      <c r="U3805" s="55"/>
      <c r="V3805" s="25">
        <f>IFERROR(VLOOKUP(BCP_Soles[[#This Row],[destinatario]],CHOOSE({1,2},Clientes_Proveedores[Razon Social],Clientes_Proveedores[Ruc / Dni]),2,0),"")</f>
        <v>72537561</v>
      </c>
      <c r="W3805" s="25"/>
      <c r="X3805" s="25"/>
      <c r="Y3805" s="25"/>
      <c r="Z3805" s="77"/>
      <c r="AA3805" s="3" t="str">
        <f>IF(BCP_Soles[[#This Row],[fecha]]&gt;0,TEXT(BCP_Soles[[#This Row],[fecha]],"mmmm"),0)</f>
        <v>Setiembre</v>
      </c>
    </row>
    <row r="3806" spans="1:27" ht="24" x14ac:dyDescent="0.3">
      <c r="A3806" s="2">
        <f>IF(BCP_Soles[[#This Row],[tipo_registro]]="R",COUNTIFS($C$1:$C3805,"R")+1,A3805)</f>
        <v>2524</v>
      </c>
      <c r="B3806" s="19" t="str">
        <f t="shared" si="306"/>
        <v>B-BCP - Soles</v>
      </c>
      <c r="C3806" s="13" t="s">
        <v>1330</v>
      </c>
      <c r="D3806" s="14">
        <v>45915</v>
      </c>
      <c r="E3806" s="5" t="s">
        <v>2269</v>
      </c>
      <c r="F3806" s="5" t="s">
        <v>1336</v>
      </c>
      <c r="G3806" s="6" t="s">
        <v>464</v>
      </c>
      <c r="H3806" s="6"/>
      <c r="I3806" s="6"/>
      <c r="J3806" s="6"/>
      <c r="K3806" s="7" t="s">
        <v>4497</v>
      </c>
      <c r="L3806" s="8">
        <v>1117744</v>
      </c>
      <c r="M3806" s="8" t="str">
        <f t="shared" si="307"/>
        <v>PEN</v>
      </c>
      <c r="N3806" s="13"/>
      <c r="O3806" s="13">
        <v>1600</v>
      </c>
      <c r="P3806" s="3">
        <f t="shared" si="308"/>
        <v>0</v>
      </c>
      <c r="Q3806" s="3">
        <f t="shared" si="309"/>
        <v>1600</v>
      </c>
      <c r="R3806" s="3">
        <f t="shared" si="305"/>
        <v>20218.179999999978</v>
      </c>
      <c r="S3806" s="24"/>
      <c r="T3806" s="24"/>
      <c r="U3806" s="55"/>
      <c r="V3806" s="25">
        <f>IFERROR(VLOOKUP(BCP_Soles[[#This Row],[destinatario]],CHOOSE({1,2},Clientes_Proveedores[Razon Social],Clientes_Proveedores[Ruc / Dni]),2,0),"")</f>
        <v>20601279666</v>
      </c>
      <c r="W3806" s="25"/>
      <c r="X3806" s="25"/>
      <c r="Y3806" s="25"/>
      <c r="Z3806" s="77"/>
      <c r="AA3806" s="3" t="str">
        <f>IF(BCP_Soles[[#This Row],[fecha]]&gt;0,TEXT(BCP_Soles[[#This Row],[fecha]],"mmmm"),0)</f>
        <v>Setiembre</v>
      </c>
    </row>
    <row r="3807" spans="1:27" x14ac:dyDescent="0.3">
      <c r="A3807" s="2">
        <f>IF(BCP_Soles[[#This Row],[tipo_registro]]="R",COUNTIFS($C$1:$C3806,"R")+1,A3806)</f>
        <v>2525</v>
      </c>
      <c r="B3807" s="19" t="str">
        <f t="shared" si="306"/>
        <v>B-BCP - Soles</v>
      </c>
      <c r="C3807" s="13" t="s">
        <v>1330</v>
      </c>
      <c r="D3807" s="14">
        <v>45915</v>
      </c>
      <c r="E3807" s="5" t="s">
        <v>2269</v>
      </c>
      <c r="F3807" s="5" t="s">
        <v>1336</v>
      </c>
      <c r="G3807" s="6" t="s">
        <v>696</v>
      </c>
      <c r="H3807" s="6"/>
      <c r="I3807" s="6"/>
      <c r="J3807" s="6"/>
      <c r="K3807" s="7" t="s">
        <v>4498</v>
      </c>
      <c r="L3807" s="8">
        <v>4440069</v>
      </c>
      <c r="M3807" s="8" t="str">
        <f t="shared" si="307"/>
        <v>PEN</v>
      </c>
      <c r="N3807" s="13"/>
      <c r="O3807" s="13">
        <v>4049.3</v>
      </c>
      <c r="P3807" s="3">
        <f t="shared" si="308"/>
        <v>0</v>
      </c>
      <c r="Q3807" s="3">
        <f t="shared" si="309"/>
        <v>4049.3</v>
      </c>
      <c r="R3807" s="3">
        <f t="shared" si="305"/>
        <v>16168.879999999979</v>
      </c>
      <c r="S3807" s="24" t="s">
        <v>1334</v>
      </c>
      <c r="T3807" s="24" t="s">
        <v>1334</v>
      </c>
      <c r="U3807" s="56" t="s">
        <v>4499</v>
      </c>
      <c r="V3807" s="25">
        <f>IFERROR(VLOOKUP(BCP_Soles[[#This Row],[destinatario]],CHOOSE({1,2},Clientes_Proveedores[Razon Social],Clientes_Proveedores[Ruc / Dni]),2,0),"")</f>
        <v>0</v>
      </c>
      <c r="W3807" s="25"/>
      <c r="X3807" s="25"/>
      <c r="Y3807" s="25"/>
      <c r="Z3807" s="77"/>
      <c r="AA3807" s="3" t="str">
        <f>IF(BCP_Soles[[#This Row],[fecha]]&gt;0,TEXT(BCP_Soles[[#This Row],[fecha]],"mmmm"),0)</f>
        <v>Setiembre</v>
      </c>
    </row>
    <row r="3808" spans="1:27" ht="36" x14ac:dyDescent="0.3">
      <c r="A3808" s="2">
        <f>IF(BCP_Soles[[#This Row],[tipo_registro]]="R",COUNTIFS($C$1:$C3807,"R")+1,A3807)</f>
        <v>2525</v>
      </c>
      <c r="B3808" s="19" t="str">
        <f t="shared" si="306"/>
        <v>B-BCP - Soles</v>
      </c>
      <c r="C3808" s="13" t="s">
        <v>1352</v>
      </c>
      <c r="D3808" s="14">
        <v>45915</v>
      </c>
      <c r="E3808" s="5" t="s">
        <v>2269</v>
      </c>
      <c r="F3808" s="5" t="s">
        <v>1336</v>
      </c>
      <c r="G3808" s="6" t="s">
        <v>623</v>
      </c>
      <c r="H3808" s="6" t="s">
        <v>68</v>
      </c>
      <c r="I3808" s="6" t="s">
        <v>1374</v>
      </c>
      <c r="J3808" s="6">
        <v>7681</v>
      </c>
      <c r="K3808" s="7" t="s">
        <v>4498</v>
      </c>
      <c r="L3808" s="8">
        <v>4440069</v>
      </c>
      <c r="M3808" s="8" t="str">
        <f t="shared" si="307"/>
        <v>PEN</v>
      </c>
      <c r="N3808" s="13">
        <v>1012.5</v>
      </c>
      <c r="O3808" s="13"/>
      <c r="P3808" s="3">
        <f t="shared" si="308"/>
        <v>0</v>
      </c>
      <c r="Q3808" s="3">
        <f t="shared" si="309"/>
        <v>0</v>
      </c>
      <c r="R3808" s="3">
        <f t="shared" si="305"/>
        <v>16168.879999999979</v>
      </c>
      <c r="S3808" s="24" t="s">
        <v>1334</v>
      </c>
      <c r="T3808" s="24" t="s">
        <v>1334</v>
      </c>
      <c r="U3808" s="56" t="s">
        <v>4499</v>
      </c>
      <c r="V3808" s="25">
        <f>IFERROR(VLOOKUP(BCP_Soles[[#This Row],[destinatario]],CHOOSE({1,2},Clientes_Proveedores[Razon Social],Clientes_Proveedores[Ruc / Dni]),2,0),"")</f>
        <v>20454819137</v>
      </c>
      <c r="W3808" s="25"/>
      <c r="X3808" s="25"/>
      <c r="Y3808" s="25"/>
      <c r="Z3808" s="77"/>
      <c r="AA3808" s="3" t="str">
        <f>IF(BCP_Soles[[#This Row],[fecha]]&gt;0,TEXT(BCP_Soles[[#This Row],[fecha]],"mmmm"),0)</f>
        <v>Setiembre</v>
      </c>
    </row>
    <row r="3809" spans="1:27" ht="36" x14ac:dyDescent="0.3">
      <c r="A3809" s="2">
        <f>IF(BCP_Soles[[#This Row],[tipo_registro]]="R",COUNTIFS($C$1:$C3808,"R")+1,A3808)</f>
        <v>2525</v>
      </c>
      <c r="B3809" s="19" t="str">
        <f t="shared" si="306"/>
        <v>B-BCP - Soles</v>
      </c>
      <c r="C3809" s="13" t="s">
        <v>1352</v>
      </c>
      <c r="D3809" s="14">
        <v>45915</v>
      </c>
      <c r="E3809" s="5" t="s">
        <v>2269</v>
      </c>
      <c r="F3809" s="5" t="s">
        <v>1336</v>
      </c>
      <c r="G3809" s="6" t="s">
        <v>277</v>
      </c>
      <c r="H3809" s="6" t="s">
        <v>68</v>
      </c>
      <c r="I3809" s="6" t="s">
        <v>1390</v>
      </c>
      <c r="J3809" s="6">
        <v>1887</v>
      </c>
      <c r="K3809" s="7" t="s">
        <v>4498</v>
      </c>
      <c r="L3809" s="8">
        <v>4440069</v>
      </c>
      <c r="M3809" s="8" t="str">
        <f t="shared" si="307"/>
        <v>PEN</v>
      </c>
      <c r="N3809" s="13">
        <v>1728</v>
      </c>
      <c r="O3809" s="13"/>
      <c r="P3809" s="3">
        <f t="shared" si="308"/>
        <v>0</v>
      </c>
      <c r="Q3809" s="3">
        <f t="shared" si="309"/>
        <v>0</v>
      </c>
      <c r="R3809" s="3">
        <f t="shared" si="305"/>
        <v>16168.879999999979</v>
      </c>
      <c r="S3809" s="24" t="s">
        <v>1334</v>
      </c>
      <c r="T3809" s="24" t="s">
        <v>1334</v>
      </c>
      <c r="U3809" s="56" t="s">
        <v>4499</v>
      </c>
      <c r="V3809" s="25">
        <f>IFERROR(VLOOKUP(BCP_Soles[[#This Row],[destinatario]],CHOOSE({1,2},Clientes_Proveedores[Razon Social],Clientes_Proveedores[Ruc / Dni]),2,0),"")</f>
        <v>20429640939</v>
      </c>
      <c r="W3809" s="25"/>
      <c r="X3809" s="25"/>
      <c r="Y3809" s="25"/>
      <c r="Z3809" s="77"/>
      <c r="AA3809" s="3" t="str">
        <f>IF(BCP_Soles[[#This Row],[fecha]]&gt;0,TEXT(BCP_Soles[[#This Row],[fecha]],"mmmm"),0)</f>
        <v>Setiembre</v>
      </c>
    </row>
    <row r="3810" spans="1:27" ht="36" x14ac:dyDescent="0.3">
      <c r="A3810" s="2">
        <f>IF(BCP_Soles[[#This Row],[tipo_registro]]="R",COUNTIFS($C$1:$C3809,"R")+1,A3809)</f>
        <v>2525</v>
      </c>
      <c r="B3810" s="19" t="str">
        <f t="shared" si="306"/>
        <v>B-BCP - Soles</v>
      </c>
      <c r="C3810" s="13" t="s">
        <v>1352</v>
      </c>
      <c r="D3810" s="14">
        <v>45915</v>
      </c>
      <c r="E3810" s="5" t="s">
        <v>2269</v>
      </c>
      <c r="F3810" s="5" t="s">
        <v>1336</v>
      </c>
      <c r="G3810" s="6" t="s">
        <v>623</v>
      </c>
      <c r="H3810" s="6" t="s">
        <v>68</v>
      </c>
      <c r="I3810" s="6" t="s">
        <v>1374</v>
      </c>
      <c r="J3810" s="6">
        <v>7604</v>
      </c>
      <c r="K3810" s="7" t="s">
        <v>4498</v>
      </c>
      <c r="L3810" s="8">
        <v>4440069</v>
      </c>
      <c r="M3810" s="8" t="str">
        <f t="shared" si="307"/>
        <v>PEN</v>
      </c>
      <c r="N3810" s="13">
        <v>1308.8</v>
      </c>
      <c r="O3810" s="13"/>
      <c r="P3810" s="3">
        <f t="shared" si="308"/>
        <v>0</v>
      </c>
      <c r="Q3810" s="3">
        <f t="shared" si="309"/>
        <v>0</v>
      </c>
      <c r="R3810" s="3">
        <f t="shared" si="305"/>
        <v>16168.879999999979</v>
      </c>
      <c r="S3810" s="24" t="s">
        <v>1334</v>
      </c>
      <c r="T3810" s="24" t="s">
        <v>1334</v>
      </c>
      <c r="U3810" s="56" t="s">
        <v>4499</v>
      </c>
      <c r="V3810" s="25">
        <f>IFERROR(VLOOKUP(BCP_Soles[[#This Row],[destinatario]],CHOOSE({1,2},Clientes_Proveedores[Razon Social],Clientes_Proveedores[Ruc / Dni]),2,0),"")</f>
        <v>20454819137</v>
      </c>
      <c r="W3810" s="25"/>
      <c r="X3810" s="25"/>
      <c r="Y3810" s="25"/>
      <c r="Z3810" s="77"/>
      <c r="AA3810" s="3" t="str">
        <f>IF(BCP_Soles[[#This Row],[fecha]]&gt;0,TEXT(BCP_Soles[[#This Row],[fecha]],"mmmm"),0)</f>
        <v>Setiembre</v>
      </c>
    </row>
    <row r="3811" spans="1:27" x14ac:dyDescent="0.3">
      <c r="A3811" s="2">
        <f>IF(BCP_Soles[[#This Row],[tipo_registro]]="R",COUNTIFS($C$1:$C3810,"R")+1,A3810)</f>
        <v>2526</v>
      </c>
      <c r="B3811" s="19" t="str">
        <f t="shared" si="306"/>
        <v>B-BCP - Soles</v>
      </c>
      <c r="C3811" s="13" t="s">
        <v>1330</v>
      </c>
      <c r="D3811" s="14">
        <v>45915</v>
      </c>
      <c r="E3811" s="5" t="s">
        <v>3190</v>
      </c>
      <c r="F3811" s="5" t="s">
        <v>1336</v>
      </c>
      <c r="G3811" s="6"/>
      <c r="H3811" s="6"/>
      <c r="I3811" s="6"/>
      <c r="J3811" s="6"/>
      <c r="K3811" s="7" t="s">
        <v>4500</v>
      </c>
      <c r="L3811" s="8">
        <v>1013957</v>
      </c>
      <c r="M3811" s="8" t="str">
        <f t="shared" si="307"/>
        <v>PEN</v>
      </c>
      <c r="N3811" s="13"/>
      <c r="O3811" s="13">
        <v>648</v>
      </c>
      <c r="P3811" s="3">
        <f t="shared" si="308"/>
        <v>0</v>
      </c>
      <c r="Q3811" s="3">
        <f t="shared" si="309"/>
        <v>648</v>
      </c>
      <c r="R3811" s="3">
        <f t="shared" si="305"/>
        <v>15520.879999999979</v>
      </c>
      <c r="S3811" s="24"/>
      <c r="T3811" s="24"/>
      <c r="U3811" s="55"/>
      <c r="V3811" s="25" t="str">
        <f>IFERROR(VLOOKUP(BCP_Soles[[#This Row],[destinatario]],CHOOSE({1,2},Clientes_Proveedores[Razon Social],Clientes_Proveedores[Ruc / Dni]),2,0),"")</f>
        <v/>
      </c>
      <c r="W3811" s="25"/>
      <c r="X3811" s="25"/>
      <c r="Y3811" s="25"/>
      <c r="Z3811" s="77"/>
      <c r="AA3811" s="3" t="str">
        <f>IF(BCP_Soles[[#This Row],[fecha]]&gt;0,TEXT(BCP_Soles[[#This Row],[fecha]],"mmmm"),0)</f>
        <v>Setiembre</v>
      </c>
    </row>
    <row r="3812" spans="1:27" ht="24" x14ac:dyDescent="0.3">
      <c r="A3812" s="2">
        <f>IF(BCP_Soles[[#This Row],[tipo_registro]]="R",COUNTIFS($C$1:$C3811,"R")+1,A3811)</f>
        <v>2527</v>
      </c>
      <c r="B3812" s="19" t="str">
        <f t="shared" si="306"/>
        <v>B-BCP - Soles</v>
      </c>
      <c r="C3812" s="13" t="s">
        <v>1330</v>
      </c>
      <c r="D3812" s="14">
        <v>45915</v>
      </c>
      <c r="E3812" s="5" t="s">
        <v>1335</v>
      </c>
      <c r="F3812" s="5" t="s">
        <v>1336</v>
      </c>
      <c r="G3812" s="6" t="s">
        <v>1060</v>
      </c>
      <c r="H3812" s="6" t="s">
        <v>68</v>
      </c>
      <c r="I3812" s="6" t="s">
        <v>1397</v>
      </c>
      <c r="J3812" s="6">
        <v>37117075</v>
      </c>
      <c r="K3812" s="7" t="s">
        <v>4230</v>
      </c>
      <c r="L3812" s="8">
        <v>503</v>
      </c>
      <c r="M3812" s="8" t="str">
        <f t="shared" si="307"/>
        <v>PEN</v>
      </c>
      <c r="N3812" s="13"/>
      <c r="O3812" s="13">
        <v>10</v>
      </c>
      <c r="P3812" s="3">
        <f t="shared" si="308"/>
        <v>0</v>
      </c>
      <c r="Q3812" s="3">
        <f t="shared" si="309"/>
        <v>10</v>
      </c>
      <c r="R3812" s="3">
        <f t="shared" si="305"/>
        <v>15510.879999999979</v>
      </c>
      <c r="S3812" s="24" t="s">
        <v>1334</v>
      </c>
      <c r="T3812" s="24" t="s">
        <v>1334</v>
      </c>
      <c r="U3812" s="55"/>
      <c r="V3812" s="25">
        <f>IFERROR(VLOOKUP(BCP_Soles[[#This Row],[destinatario]],CHOOSE({1,2},Clientes_Proveedores[Razon Social],Clientes_Proveedores[Ruc / Dni]),2,0),"")</f>
        <v>20100047218</v>
      </c>
      <c r="W3812" s="25"/>
      <c r="X3812" s="25"/>
      <c r="Y3812" s="25"/>
      <c r="Z3812" s="77"/>
      <c r="AA3812" s="3" t="str">
        <f>IF(BCP_Soles[[#This Row],[fecha]]&gt;0,TEXT(BCP_Soles[[#This Row],[fecha]],"mmmm"),0)</f>
        <v>Setiembre</v>
      </c>
    </row>
    <row r="3813" spans="1:27" ht="24" x14ac:dyDescent="0.3">
      <c r="A3813" s="2">
        <f>IF(BCP_Soles[[#This Row],[tipo_registro]]="R",COUNTIFS($C$1:$C3812,"R")+1,A3812)</f>
        <v>2528</v>
      </c>
      <c r="B3813" s="19" t="str">
        <f t="shared" si="306"/>
        <v>B-BCP - Soles</v>
      </c>
      <c r="C3813" s="13" t="s">
        <v>1330</v>
      </c>
      <c r="D3813" s="14">
        <v>45915</v>
      </c>
      <c r="E3813" s="5" t="s">
        <v>1335</v>
      </c>
      <c r="F3813" s="5" t="s">
        <v>1336</v>
      </c>
      <c r="G3813" s="6" t="s">
        <v>1060</v>
      </c>
      <c r="H3813" s="6" t="s">
        <v>68</v>
      </c>
      <c r="I3813" s="6" t="s">
        <v>1397</v>
      </c>
      <c r="J3813" s="6">
        <v>37044016</v>
      </c>
      <c r="K3813" s="7" t="s">
        <v>4210</v>
      </c>
      <c r="L3813" s="8">
        <v>966682</v>
      </c>
      <c r="M3813" s="8" t="str">
        <f t="shared" si="307"/>
        <v>PEN</v>
      </c>
      <c r="N3813" s="13"/>
      <c r="O3813" s="13">
        <v>10</v>
      </c>
      <c r="P3813" s="3">
        <f t="shared" si="308"/>
        <v>0</v>
      </c>
      <c r="Q3813" s="3">
        <f t="shared" si="309"/>
        <v>10</v>
      </c>
      <c r="R3813" s="3">
        <f t="shared" si="305"/>
        <v>15500.879999999979</v>
      </c>
      <c r="S3813" s="24" t="s">
        <v>1334</v>
      </c>
      <c r="T3813" s="24" t="s">
        <v>1334</v>
      </c>
      <c r="U3813" s="55"/>
      <c r="V3813" s="25">
        <f>IFERROR(VLOOKUP(BCP_Soles[[#This Row],[destinatario]],CHOOSE({1,2},Clientes_Proveedores[Razon Social],Clientes_Proveedores[Ruc / Dni]),2,0),"")</f>
        <v>20100047218</v>
      </c>
      <c r="W3813" s="25"/>
      <c r="X3813" s="25"/>
      <c r="Y3813" s="25"/>
      <c r="Z3813" s="77"/>
      <c r="AA3813" s="3" t="str">
        <f>IF(BCP_Soles[[#This Row],[fecha]]&gt;0,TEXT(BCP_Soles[[#This Row],[fecha]],"mmmm"),0)</f>
        <v>Setiembre</v>
      </c>
    </row>
    <row r="3814" spans="1:27" x14ac:dyDescent="0.3">
      <c r="A3814" s="2">
        <f>IF(BCP_Soles[[#This Row],[tipo_registro]]="R",COUNTIFS($C$1:$C3813,"R")+1,A3813)</f>
        <v>2529</v>
      </c>
      <c r="B3814" s="19" t="str">
        <f t="shared" si="306"/>
        <v>B-BCP - Soles</v>
      </c>
      <c r="C3814" s="13" t="s">
        <v>1330</v>
      </c>
      <c r="D3814" s="14">
        <v>45915</v>
      </c>
      <c r="E3814" s="5" t="s">
        <v>1335</v>
      </c>
      <c r="F3814" s="5" t="s">
        <v>1336</v>
      </c>
      <c r="G3814" s="6" t="s">
        <v>1009</v>
      </c>
      <c r="H3814" s="6" t="s">
        <v>64</v>
      </c>
      <c r="I3814" s="6" t="s">
        <v>3673</v>
      </c>
      <c r="J3814" s="6">
        <v>2531</v>
      </c>
      <c r="K3814" s="7" t="s">
        <v>3160</v>
      </c>
      <c r="L3814" s="8"/>
      <c r="M3814" s="8" t="str">
        <f t="shared" si="307"/>
        <v>PEN</v>
      </c>
      <c r="N3814" s="13"/>
      <c r="O3814" s="13">
        <v>0.65</v>
      </c>
      <c r="P3814" s="3">
        <f t="shared" si="308"/>
        <v>0</v>
      </c>
      <c r="Q3814" s="3">
        <f t="shared" si="309"/>
        <v>0.65</v>
      </c>
      <c r="R3814" s="3">
        <f t="shared" si="305"/>
        <v>15500.22999999998</v>
      </c>
      <c r="S3814" s="24"/>
      <c r="T3814" s="24" t="s">
        <v>1334</v>
      </c>
      <c r="U3814" s="55"/>
      <c r="V3814" s="25">
        <f>IFERROR(VLOOKUP(BCP_Soles[[#This Row],[destinatario]],CHOOSE({1,2},Clientes_Proveedores[Razon Social],Clientes_Proveedores[Ruc / Dni]),2,0),"")</f>
        <v>11111111</v>
      </c>
      <c r="W3814" s="25"/>
      <c r="X3814" s="25"/>
      <c r="Y3814" s="25"/>
      <c r="Z3814" s="77"/>
      <c r="AA3814" s="3" t="str">
        <f>IF(BCP_Soles[[#This Row],[fecha]]&gt;0,TEXT(BCP_Soles[[#This Row],[fecha]],"mmmm"),0)</f>
        <v>Setiembre</v>
      </c>
    </row>
    <row r="3815" spans="1:27" ht="36" x14ac:dyDescent="0.3">
      <c r="A3815" s="2">
        <f>IF(BCP_Soles[[#This Row],[tipo_registro]]="R",COUNTIFS($C$1:$C3814,"R")+1,A3814)</f>
        <v>2530</v>
      </c>
      <c r="B3815" s="19" t="str">
        <f t="shared" si="306"/>
        <v>B-BCP - Soles</v>
      </c>
      <c r="C3815" s="13" t="s">
        <v>1330</v>
      </c>
      <c r="D3815" s="14">
        <v>45916</v>
      </c>
      <c r="E3815" s="5" t="s">
        <v>660</v>
      </c>
      <c r="F3815" s="5" t="s">
        <v>1303</v>
      </c>
      <c r="G3815" s="6" t="s">
        <v>425</v>
      </c>
      <c r="H3815" s="6" t="s">
        <v>68</v>
      </c>
      <c r="I3815" s="6" t="s">
        <v>3302</v>
      </c>
      <c r="J3815" s="6">
        <v>130</v>
      </c>
      <c r="K3815" s="7" t="s">
        <v>3608</v>
      </c>
      <c r="L3815" s="8">
        <v>3061193</v>
      </c>
      <c r="M3815" s="8" t="str">
        <f t="shared" si="307"/>
        <v>PEN</v>
      </c>
      <c r="N3815" s="13"/>
      <c r="O3815" s="13">
        <v>601.79999999999995</v>
      </c>
      <c r="P3815" s="3">
        <f t="shared" si="308"/>
        <v>601.79999999999995</v>
      </c>
      <c r="Q3815" s="3">
        <f t="shared" si="309"/>
        <v>0</v>
      </c>
      <c r="R3815" s="3">
        <f t="shared" si="305"/>
        <v>16102.029999999979</v>
      </c>
      <c r="S3815" s="24" t="s">
        <v>1334</v>
      </c>
      <c r="T3815" s="24" t="s">
        <v>1334</v>
      </c>
      <c r="U3815" s="55"/>
      <c r="V3815" s="25">
        <f>IFERROR(VLOOKUP(BCP_Soles[[#This Row],[destinatario]],CHOOSE({1,2},Clientes_Proveedores[Razon Social],Clientes_Proveedores[Ruc / Dni]),2,0),"")</f>
        <v>20558226979</v>
      </c>
      <c r="W3815" s="25"/>
      <c r="X3815" s="25"/>
      <c r="Y3815" s="25"/>
      <c r="Z3815" s="77"/>
      <c r="AA3815" s="3" t="str">
        <f>IF(BCP_Soles[[#This Row],[fecha]]&gt;0,TEXT(BCP_Soles[[#This Row],[fecha]],"mmmm"),0)</f>
        <v>Setiembre</v>
      </c>
    </row>
    <row r="3816" spans="1:27" x14ac:dyDescent="0.3">
      <c r="A3816" s="2">
        <f>IF(BCP_Soles[[#This Row],[tipo_registro]]="R",COUNTIFS($C$1:$C3815,"R")+1,A3815)</f>
        <v>2531</v>
      </c>
      <c r="B3816" s="19" t="str">
        <f t="shared" si="306"/>
        <v>B-BCP - Soles</v>
      </c>
      <c r="C3816" s="13" t="s">
        <v>1330</v>
      </c>
      <c r="D3816" s="14">
        <v>45916</v>
      </c>
      <c r="E3816" s="5" t="s">
        <v>376</v>
      </c>
      <c r="F3816" s="5" t="s">
        <v>1303</v>
      </c>
      <c r="G3816" s="6" t="s">
        <v>425</v>
      </c>
      <c r="H3816" s="6"/>
      <c r="I3816" s="6"/>
      <c r="J3816" s="6"/>
      <c r="K3816" s="7" t="s">
        <v>4024</v>
      </c>
      <c r="L3816" s="8">
        <v>1529</v>
      </c>
      <c r="M3816" s="8" t="str">
        <f t="shared" si="307"/>
        <v>PEN</v>
      </c>
      <c r="N3816" s="13"/>
      <c r="O3816" s="13">
        <v>4681.4799999999996</v>
      </c>
      <c r="P3816" s="3">
        <f t="shared" si="308"/>
        <v>4681.4799999999996</v>
      </c>
      <c r="Q3816" s="3">
        <f t="shared" si="309"/>
        <v>0</v>
      </c>
      <c r="R3816" s="3">
        <f t="shared" si="305"/>
        <v>20783.50999999998</v>
      </c>
      <c r="S3816" s="24" t="s">
        <v>1334</v>
      </c>
      <c r="T3816" s="24" t="s">
        <v>1334</v>
      </c>
      <c r="U3816" s="55"/>
      <c r="V3816" s="25">
        <f>IFERROR(VLOOKUP(BCP_Soles[[#This Row],[destinatario]],CHOOSE({1,2},Clientes_Proveedores[Razon Social],Clientes_Proveedores[Ruc / Dni]),2,0),"")</f>
        <v>20558226979</v>
      </c>
      <c r="W3816" s="25"/>
      <c r="X3816" s="25"/>
      <c r="Y3816" s="25"/>
      <c r="Z3816" s="77"/>
      <c r="AA3816" s="3" t="str">
        <f>IF(BCP_Soles[[#This Row],[fecha]]&gt;0,TEXT(BCP_Soles[[#This Row],[fecha]],"mmmm"),0)</f>
        <v>Setiembre</v>
      </c>
    </row>
    <row r="3817" spans="1:27" x14ac:dyDescent="0.3">
      <c r="A3817" s="2">
        <f>IF(BCP_Soles[[#This Row],[tipo_registro]]="R",COUNTIFS($C$1:$C3816,"R")+1,A3816)</f>
        <v>2531</v>
      </c>
      <c r="B3817" s="19" t="str">
        <f t="shared" si="306"/>
        <v>B-BCP - Soles</v>
      </c>
      <c r="C3817" s="13" t="s">
        <v>1352</v>
      </c>
      <c r="D3817" s="14">
        <v>45916</v>
      </c>
      <c r="E3817" s="5" t="s">
        <v>376</v>
      </c>
      <c r="F3817" s="5" t="s">
        <v>1303</v>
      </c>
      <c r="G3817" s="6" t="s">
        <v>425</v>
      </c>
      <c r="H3817" s="6" t="s">
        <v>68</v>
      </c>
      <c r="I3817" s="6" t="s">
        <v>1784</v>
      </c>
      <c r="J3817" s="6">
        <v>227</v>
      </c>
      <c r="K3817" s="7" t="s">
        <v>4024</v>
      </c>
      <c r="L3817" s="8">
        <v>1529</v>
      </c>
      <c r="M3817" s="8" t="str">
        <f t="shared" si="307"/>
        <v>PEN</v>
      </c>
      <c r="N3817" s="13">
        <v>3556.26</v>
      </c>
      <c r="O3817" s="13"/>
      <c r="P3817" s="3">
        <f t="shared" si="308"/>
        <v>0</v>
      </c>
      <c r="Q3817" s="3">
        <f t="shared" si="309"/>
        <v>0</v>
      </c>
      <c r="R3817" s="3">
        <f t="shared" si="305"/>
        <v>20783.50999999998</v>
      </c>
      <c r="S3817" s="24" t="s">
        <v>1334</v>
      </c>
      <c r="T3817" s="24" t="s">
        <v>1334</v>
      </c>
      <c r="U3817" s="55"/>
      <c r="V3817" s="25">
        <f>IFERROR(VLOOKUP(BCP_Soles[[#This Row],[destinatario]],CHOOSE({1,2},Clientes_Proveedores[Razon Social],Clientes_Proveedores[Ruc / Dni]),2,0),"")</f>
        <v>20558226979</v>
      </c>
      <c r="W3817" s="25"/>
      <c r="X3817" s="25"/>
      <c r="Y3817" s="25"/>
      <c r="Z3817" s="77"/>
      <c r="AA3817" s="3" t="str">
        <f>IF(BCP_Soles[[#This Row],[fecha]]&gt;0,TEXT(BCP_Soles[[#This Row],[fecha]],"mmmm"),0)</f>
        <v>Setiembre</v>
      </c>
    </row>
    <row r="3818" spans="1:27" x14ac:dyDescent="0.3">
      <c r="A3818" s="2">
        <f>IF(BCP_Soles[[#This Row],[tipo_registro]]="R",COUNTIFS($C$1:$C3817,"R")+1,A3817)</f>
        <v>2531</v>
      </c>
      <c r="B3818" s="19" t="str">
        <f t="shared" si="306"/>
        <v>B-BCP - Soles</v>
      </c>
      <c r="C3818" s="13" t="s">
        <v>1352</v>
      </c>
      <c r="D3818" s="14">
        <v>45916</v>
      </c>
      <c r="E3818" s="5" t="s">
        <v>376</v>
      </c>
      <c r="F3818" s="5" t="s">
        <v>1303</v>
      </c>
      <c r="G3818" s="6" t="s">
        <v>425</v>
      </c>
      <c r="H3818" s="6" t="s">
        <v>68</v>
      </c>
      <c r="I3818" s="6" t="s">
        <v>1784</v>
      </c>
      <c r="J3818" s="6">
        <v>228</v>
      </c>
      <c r="K3818" s="7" t="s">
        <v>4024</v>
      </c>
      <c r="L3818" s="8">
        <v>1529</v>
      </c>
      <c r="M3818" s="8" t="str">
        <f t="shared" si="307"/>
        <v>PEN</v>
      </c>
      <c r="N3818" s="13">
        <v>1125.22</v>
      </c>
      <c r="O3818" s="13"/>
      <c r="P3818" s="3">
        <f t="shared" si="308"/>
        <v>0</v>
      </c>
      <c r="Q3818" s="3">
        <f t="shared" si="309"/>
        <v>0</v>
      </c>
      <c r="R3818" s="3">
        <f t="shared" si="305"/>
        <v>20783.50999999998</v>
      </c>
      <c r="S3818" s="24" t="s">
        <v>1334</v>
      </c>
      <c r="T3818" s="24" t="s">
        <v>1334</v>
      </c>
      <c r="U3818" s="55"/>
      <c r="V3818" s="25">
        <f>IFERROR(VLOOKUP(BCP_Soles[[#This Row],[destinatario]],CHOOSE({1,2},Clientes_Proveedores[Razon Social],Clientes_Proveedores[Ruc / Dni]),2,0),"")</f>
        <v>20558226979</v>
      </c>
      <c r="W3818" s="25"/>
      <c r="X3818" s="25"/>
      <c r="Y3818" s="25"/>
      <c r="Z3818" s="77"/>
      <c r="AA3818" s="3" t="str">
        <f>IF(BCP_Soles[[#This Row],[fecha]]&gt;0,TEXT(BCP_Soles[[#This Row],[fecha]],"mmmm"),0)</f>
        <v>Setiembre</v>
      </c>
    </row>
    <row r="3819" spans="1:27" ht="36" x14ac:dyDescent="0.3">
      <c r="A3819" s="2">
        <f>IF(BCP_Soles[[#This Row],[tipo_registro]]="R",COUNTIFS($C$1:$C3818,"R")+1,A3818)</f>
        <v>2532</v>
      </c>
      <c r="B3819" s="19" t="str">
        <f t="shared" si="306"/>
        <v>B-BCP - Soles</v>
      </c>
      <c r="C3819" s="13" t="s">
        <v>1330</v>
      </c>
      <c r="D3819" s="14">
        <v>45916</v>
      </c>
      <c r="E3819" s="5" t="s">
        <v>261</v>
      </c>
      <c r="F3819" s="5" t="s">
        <v>1303</v>
      </c>
      <c r="G3819" s="6" t="s">
        <v>425</v>
      </c>
      <c r="H3819" s="6" t="s">
        <v>68</v>
      </c>
      <c r="I3819" s="6" t="s">
        <v>3302</v>
      </c>
      <c r="J3819" s="6">
        <v>131</v>
      </c>
      <c r="K3819" s="7" t="s">
        <v>4501</v>
      </c>
      <c r="L3819" s="8">
        <v>5435760</v>
      </c>
      <c r="M3819" s="8" t="str">
        <f t="shared" si="307"/>
        <v>PEN</v>
      </c>
      <c r="N3819" s="13"/>
      <c r="O3819" s="13">
        <v>1534.54</v>
      </c>
      <c r="P3819" s="3">
        <f t="shared" si="308"/>
        <v>1534.54</v>
      </c>
      <c r="Q3819" s="3">
        <f t="shared" si="309"/>
        <v>0</v>
      </c>
      <c r="R3819" s="3">
        <f t="shared" si="305"/>
        <v>22318.049999999981</v>
      </c>
      <c r="S3819" s="24" t="s">
        <v>1334</v>
      </c>
      <c r="T3819" s="24" t="s">
        <v>1334</v>
      </c>
      <c r="U3819" s="55"/>
      <c r="V3819" s="25">
        <f>IFERROR(VLOOKUP(BCP_Soles[[#This Row],[destinatario]],CHOOSE({1,2},Clientes_Proveedores[Razon Social],Clientes_Proveedores[Ruc / Dni]),2,0),"")</f>
        <v>20558226979</v>
      </c>
      <c r="W3819" s="25"/>
      <c r="X3819" s="25"/>
      <c r="Y3819" s="25"/>
      <c r="Z3819" s="77"/>
      <c r="AA3819" s="3" t="str">
        <f>IF(BCP_Soles[[#This Row],[fecha]]&gt;0,TEXT(BCP_Soles[[#This Row],[fecha]],"mmmm"),0)</f>
        <v>Setiembre</v>
      </c>
    </row>
    <row r="3820" spans="1:27" ht="36" x14ac:dyDescent="0.3">
      <c r="A3820" s="2">
        <f>IF(BCP_Soles[[#This Row],[tipo_registro]]="R",COUNTIFS($C$1:$C3819,"R")+1,A3819)</f>
        <v>2533</v>
      </c>
      <c r="B3820" s="19" t="str">
        <f t="shared" si="306"/>
        <v>B-BCP - Soles</v>
      </c>
      <c r="C3820" s="3" t="s">
        <v>1330</v>
      </c>
      <c r="D3820" s="14">
        <v>45916</v>
      </c>
      <c r="E3820" s="5" t="s">
        <v>2269</v>
      </c>
      <c r="F3820" s="5" t="s">
        <v>1336</v>
      </c>
      <c r="G3820" s="6" t="s">
        <v>948</v>
      </c>
      <c r="H3820" s="6"/>
      <c r="I3820" s="6"/>
      <c r="J3820" s="6"/>
      <c r="K3820" s="7" t="s">
        <v>4502</v>
      </c>
      <c r="L3820" s="8">
        <v>1013569</v>
      </c>
      <c r="M3820" s="8" t="str">
        <f t="shared" si="307"/>
        <v>PEN</v>
      </c>
      <c r="N3820" s="13"/>
      <c r="O3820" s="13">
        <v>4000</v>
      </c>
      <c r="P3820" s="3">
        <f t="shared" si="308"/>
        <v>0</v>
      </c>
      <c r="Q3820" s="3">
        <f t="shared" si="309"/>
        <v>4000</v>
      </c>
      <c r="R3820" s="3">
        <f t="shared" si="305"/>
        <v>18318.049999999981</v>
      </c>
      <c r="S3820" s="24"/>
      <c r="T3820" s="24" t="s">
        <v>1334</v>
      </c>
      <c r="U3820" s="56" t="s">
        <v>4503</v>
      </c>
      <c r="V3820" s="25">
        <f>IFERROR(VLOOKUP(BCP_Soles[[#This Row],[destinatario]],CHOOSE({1,2},Clientes_Proveedores[Razon Social],Clientes_Proveedores[Ruc / Dni]),2,0),"")</f>
        <v>71311214</v>
      </c>
      <c r="W3820" s="25"/>
      <c r="X3820" s="25"/>
      <c r="Y3820" s="25"/>
      <c r="Z3820" s="77"/>
      <c r="AA3820" s="3" t="str">
        <f>IF(BCP_Soles[[#This Row],[fecha]]&gt;0,TEXT(BCP_Soles[[#This Row],[fecha]],"mmmm"),0)</f>
        <v>Setiembre</v>
      </c>
    </row>
    <row r="3821" spans="1:27" ht="24" x14ac:dyDescent="0.3">
      <c r="A3821" s="2">
        <f>IF(BCP_Soles[[#This Row],[tipo_registro]]="R",COUNTIFS($C$1:$C3820,"R")+1,A3820)</f>
        <v>2534</v>
      </c>
      <c r="B3821" s="19" t="str">
        <f t="shared" si="306"/>
        <v>B-BCP - Soles</v>
      </c>
      <c r="C3821" s="3" t="s">
        <v>1330</v>
      </c>
      <c r="D3821" s="14">
        <v>45916</v>
      </c>
      <c r="E3821" s="5" t="s">
        <v>2269</v>
      </c>
      <c r="F3821" s="5" t="s">
        <v>1336</v>
      </c>
      <c r="G3821" s="6" t="s">
        <v>249</v>
      </c>
      <c r="H3821" s="6"/>
      <c r="I3821" s="6"/>
      <c r="J3821" s="6"/>
      <c r="K3821" s="7" t="s">
        <v>4504</v>
      </c>
      <c r="L3821" s="8">
        <v>1224905</v>
      </c>
      <c r="M3821" s="8" t="str">
        <f t="shared" si="307"/>
        <v>PEN</v>
      </c>
      <c r="N3821" s="13"/>
      <c r="O3821" s="13">
        <v>3000</v>
      </c>
      <c r="P3821" s="3">
        <f t="shared" si="308"/>
        <v>0</v>
      </c>
      <c r="Q3821" s="3">
        <f t="shared" si="309"/>
        <v>3000</v>
      </c>
      <c r="R3821" s="3">
        <f t="shared" si="305"/>
        <v>15318.049999999981</v>
      </c>
      <c r="S3821" s="24"/>
      <c r="T3821" s="24" t="s">
        <v>1334</v>
      </c>
      <c r="U3821" s="56" t="s">
        <v>4505</v>
      </c>
      <c r="V3821" s="25">
        <f>IFERROR(VLOOKUP(BCP_Soles[[#This Row],[destinatario]],CHOOSE({1,2},Clientes_Proveedores[Razon Social],Clientes_Proveedores[Ruc / Dni]),2,0),"")</f>
        <v>20302891452</v>
      </c>
      <c r="W3821" s="25"/>
      <c r="X3821" s="25"/>
      <c r="Y3821" s="25"/>
      <c r="Z3821" s="77"/>
      <c r="AA3821" s="3" t="str">
        <f>IF(BCP_Soles[[#This Row],[fecha]]&gt;0,TEXT(BCP_Soles[[#This Row],[fecha]],"mmmm"),0)</f>
        <v>Setiembre</v>
      </c>
    </row>
    <row r="3822" spans="1:27" x14ac:dyDescent="0.3">
      <c r="A3822" s="2">
        <f>IF(BCP_Soles[[#This Row],[tipo_registro]]="R",COUNTIFS($C$1:$C3821,"R")+1,A3821)</f>
        <v>2535</v>
      </c>
      <c r="B3822" s="19" t="str">
        <f t="shared" si="306"/>
        <v>B-BCP - Soles</v>
      </c>
      <c r="C3822" s="3" t="s">
        <v>1330</v>
      </c>
      <c r="D3822" s="14">
        <v>45916</v>
      </c>
      <c r="E3822" s="5" t="s">
        <v>2269</v>
      </c>
      <c r="F3822" s="5" t="s">
        <v>1336</v>
      </c>
      <c r="G3822" s="6" t="s">
        <v>696</v>
      </c>
      <c r="H3822" s="6"/>
      <c r="I3822" s="6"/>
      <c r="J3822" s="6"/>
      <c r="K3822" s="7" t="s">
        <v>4506</v>
      </c>
      <c r="L3822" s="8">
        <v>5555846</v>
      </c>
      <c r="M3822" s="8" t="str">
        <f t="shared" si="307"/>
        <v>PEN</v>
      </c>
      <c r="N3822" s="13"/>
      <c r="O3822" s="13">
        <v>10095.24</v>
      </c>
      <c r="P3822" s="3">
        <f t="shared" si="308"/>
        <v>0</v>
      </c>
      <c r="Q3822" s="3">
        <f t="shared" si="309"/>
        <v>10095.24</v>
      </c>
      <c r="R3822" s="3">
        <f t="shared" si="305"/>
        <v>5222.8099999999813</v>
      </c>
      <c r="S3822" s="24" t="s">
        <v>1334</v>
      </c>
      <c r="T3822" s="24" t="s">
        <v>1334</v>
      </c>
      <c r="U3822" s="56" t="s">
        <v>4507</v>
      </c>
      <c r="V3822" s="25">
        <f>IFERROR(VLOOKUP(BCP_Soles[[#This Row],[destinatario]],CHOOSE({1,2},Clientes_Proveedores[Razon Social],Clientes_Proveedores[Ruc / Dni]),2,0),"")</f>
        <v>0</v>
      </c>
      <c r="W3822" s="25"/>
      <c r="X3822" s="25"/>
      <c r="Y3822" s="25"/>
      <c r="Z3822" s="77"/>
      <c r="AA3822" s="3" t="str">
        <f>IF(BCP_Soles[[#This Row],[fecha]]&gt;0,TEXT(BCP_Soles[[#This Row],[fecha]],"mmmm"),0)</f>
        <v>Setiembre</v>
      </c>
    </row>
    <row r="3823" spans="1:27" x14ac:dyDescent="0.3">
      <c r="A3823" s="2">
        <f>IF(BCP_Soles[[#This Row],[tipo_registro]]="R",COUNTIFS($C$1:$C3822,"R")+1,A3822)</f>
        <v>2535</v>
      </c>
      <c r="B3823" s="19" t="str">
        <f t="shared" si="306"/>
        <v>B-BCP - Soles</v>
      </c>
      <c r="C3823" s="3" t="s">
        <v>1352</v>
      </c>
      <c r="D3823" s="14">
        <v>45916</v>
      </c>
      <c r="E3823" s="5" t="s">
        <v>2269</v>
      </c>
      <c r="F3823" s="5"/>
      <c r="G3823" s="6" t="s">
        <v>522</v>
      </c>
      <c r="H3823" s="6" t="s">
        <v>68</v>
      </c>
      <c r="I3823" s="6" t="s">
        <v>1376</v>
      </c>
      <c r="J3823" s="6">
        <v>4106</v>
      </c>
      <c r="K3823" s="7" t="s">
        <v>4506</v>
      </c>
      <c r="L3823" s="8">
        <v>5555846</v>
      </c>
      <c r="M3823" s="8" t="str">
        <f t="shared" si="307"/>
        <v>PEN</v>
      </c>
      <c r="N3823" s="13">
        <v>651.95000000000005</v>
      </c>
      <c r="O3823" s="13"/>
      <c r="P3823" s="3">
        <f t="shared" si="308"/>
        <v>0</v>
      </c>
      <c r="Q3823" s="3">
        <f t="shared" si="309"/>
        <v>0</v>
      </c>
      <c r="R3823" s="3">
        <f t="shared" si="305"/>
        <v>5222.8099999999813</v>
      </c>
      <c r="S3823" s="24" t="s">
        <v>1334</v>
      </c>
      <c r="T3823" s="24" t="s">
        <v>1334</v>
      </c>
      <c r="U3823" s="56" t="s">
        <v>4507</v>
      </c>
      <c r="V3823" s="25">
        <f>IFERROR(VLOOKUP(BCP_Soles[[#This Row],[destinatario]],CHOOSE({1,2},Clientes_Proveedores[Razon Social],Clientes_Proveedores[Ruc / Dni]),2,0),"")</f>
        <v>20603974817</v>
      </c>
      <c r="W3823" s="25"/>
      <c r="X3823" s="25"/>
      <c r="Y3823" s="25"/>
      <c r="Z3823" s="77"/>
      <c r="AA3823" s="3" t="str">
        <f>IF(BCP_Soles[[#This Row],[fecha]]&gt;0,TEXT(BCP_Soles[[#This Row],[fecha]],"mmmm"),0)</f>
        <v>Setiembre</v>
      </c>
    </row>
    <row r="3824" spans="1:27" ht="36" x14ac:dyDescent="0.3">
      <c r="A3824" s="2">
        <f>IF(BCP_Soles[[#This Row],[tipo_registro]]="R",COUNTIFS($C$1:$C3823,"R")+1,A3823)</f>
        <v>2535</v>
      </c>
      <c r="B3824" s="19" t="str">
        <f t="shared" si="306"/>
        <v>B-BCP - Soles</v>
      </c>
      <c r="C3824" s="3" t="s">
        <v>1352</v>
      </c>
      <c r="D3824" s="14">
        <v>45916</v>
      </c>
      <c r="E3824" s="5" t="s">
        <v>2269</v>
      </c>
      <c r="F3824" s="5"/>
      <c r="G3824" s="6" t="s">
        <v>277</v>
      </c>
      <c r="H3824" s="6" t="s">
        <v>68</v>
      </c>
      <c r="I3824" s="6" t="s">
        <v>1390</v>
      </c>
      <c r="J3824" s="6">
        <v>1919</v>
      </c>
      <c r="K3824" s="7" t="s">
        <v>4506</v>
      </c>
      <c r="L3824" s="8">
        <v>5555846</v>
      </c>
      <c r="M3824" s="8" t="str">
        <f t="shared" si="307"/>
        <v>PEN</v>
      </c>
      <c r="N3824" s="13">
        <v>1440</v>
      </c>
      <c r="O3824" s="13"/>
      <c r="P3824" s="3">
        <f t="shared" si="308"/>
        <v>0</v>
      </c>
      <c r="Q3824" s="3">
        <f t="shared" si="309"/>
        <v>0</v>
      </c>
      <c r="R3824" s="3">
        <f t="shared" si="305"/>
        <v>5222.8099999999813</v>
      </c>
      <c r="S3824" s="24" t="s">
        <v>1334</v>
      </c>
      <c r="T3824" s="24" t="s">
        <v>1334</v>
      </c>
      <c r="U3824" s="56" t="s">
        <v>4507</v>
      </c>
      <c r="V3824" s="25">
        <f>IFERROR(VLOOKUP(BCP_Soles[[#This Row],[destinatario]],CHOOSE({1,2},Clientes_Proveedores[Razon Social],Clientes_Proveedores[Ruc / Dni]),2,0),"")</f>
        <v>20429640939</v>
      </c>
      <c r="W3824" s="25"/>
      <c r="X3824" s="25"/>
      <c r="Y3824" s="25"/>
      <c r="Z3824" s="77"/>
      <c r="AA3824" s="3" t="str">
        <f>IF(BCP_Soles[[#This Row],[fecha]]&gt;0,TEXT(BCP_Soles[[#This Row],[fecha]],"mmmm"),0)</f>
        <v>Setiembre</v>
      </c>
    </row>
    <row r="3825" spans="1:27" ht="36" x14ac:dyDescent="0.3">
      <c r="A3825" s="2">
        <f>IF(BCP_Soles[[#This Row],[tipo_registro]]="R",COUNTIFS($C$1:$C3824,"R")+1,A3824)</f>
        <v>2535</v>
      </c>
      <c r="B3825" s="19" t="str">
        <f t="shared" si="306"/>
        <v>B-BCP - Soles</v>
      </c>
      <c r="C3825" s="3" t="s">
        <v>1352</v>
      </c>
      <c r="D3825" s="14">
        <v>45916</v>
      </c>
      <c r="E3825" s="5" t="s">
        <v>2269</v>
      </c>
      <c r="F3825" s="5"/>
      <c r="G3825" s="6" t="s">
        <v>277</v>
      </c>
      <c r="H3825" s="6" t="s">
        <v>68</v>
      </c>
      <c r="I3825" s="6" t="s">
        <v>1390</v>
      </c>
      <c r="J3825" s="6">
        <v>1913</v>
      </c>
      <c r="K3825" s="7" t="s">
        <v>4506</v>
      </c>
      <c r="L3825" s="8">
        <v>5555846</v>
      </c>
      <c r="M3825" s="8" t="str">
        <f t="shared" si="307"/>
        <v>PEN</v>
      </c>
      <c r="N3825" s="13">
        <v>1152</v>
      </c>
      <c r="O3825" s="13"/>
      <c r="P3825" s="3">
        <f t="shared" si="308"/>
        <v>0</v>
      </c>
      <c r="Q3825" s="3">
        <f t="shared" si="309"/>
        <v>0</v>
      </c>
      <c r="R3825" s="3">
        <f t="shared" si="305"/>
        <v>5222.8099999999813</v>
      </c>
      <c r="S3825" s="24" t="s">
        <v>1334</v>
      </c>
      <c r="T3825" s="24" t="s">
        <v>1334</v>
      </c>
      <c r="U3825" s="56" t="s">
        <v>4507</v>
      </c>
      <c r="V3825" s="25">
        <f>IFERROR(VLOOKUP(BCP_Soles[[#This Row],[destinatario]],CHOOSE({1,2},Clientes_Proveedores[Razon Social],Clientes_Proveedores[Ruc / Dni]),2,0),"")</f>
        <v>20429640939</v>
      </c>
      <c r="W3825" s="25"/>
      <c r="X3825" s="25"/>
      <c r="Y3825" s="25"/>
      <c r="Z3825" s="77"/>
      <c r="AA3825" s="3" t="str">
        <f>IF(BCP_Soles[[#This Row],[fecha]]&gt;0,TEXT(BCP_Soles[[#This Row],[fecha]],"mmmm"),0)</f>
        <v>Setiembre</v>
      </c>
    </row>
    <row r="3826" spans="1:27" x14ac:dyDescent="0.3">
      <c r="A3826" s="2">
        <f>IF(BCP_Soles[[#This Row],[tipo_registro]]="R",COUNTIFS($C$1:$C3825,"R")+1,A3825)</f>
        <v>2535</v>
      </c>
      <c r="B3826" s="19" t="str">
        <f t="shared" si="306"/>
        <v>B-BCP - Soles</v>
      </c>
      <c r="C3826" s="3" t="s">
        <v>1352</v>
      </c>
      <c r="D3826" s="14">
        <v>45916</v>
      </c>
      <c r="E3826" s="5" t="s">
        <v>2269</v>
      </c>
      <c r="F3826" s="5"/>
      <c r="G3826" s="6" t="s">
        <v>724</v>
      </c>
      <c r="H3826" s="6" t="s">
        <v>68</v>
      </c>
      <c r="I3826" s="6" t="s">
        <v>1376</v>
      </c>
      <c r="J3826" s="6">
        <v>4570</v>
      </c>
      <c r="K3826" s="7" t="s">
        <v>4506</v>
      </c>
      <c r="L3826" s="8">
        <v>5555846</v>
      </c>
      <c r="M3826" s="8" t="str">
        <f t="shared" si="307"/>
        <v>PEN</v>
      </c>
      <c r="N3826" s="13">
        <v>4430</v>
      </c>
      <c r="O3826" s="13"/>
      <c r="P3826" s="3">
        <f t="shared" si="308"/>
        <v>0</v>
      </c>
      <c r="Q3826" s="3">
        <f t="shared" si="309"/>
        <v>0</v>
      </c>
      <c r="R3826" s="3">
        <f t="shared" si="305"/>
        <v>5222.8099999999813</v>
      </c>
      <c r="S3826" s="24" t="s">
        <v>1334</v>
      </c>
      <c r="T3826" s="24" t="s">
        <v>1334</v>
      </c>
      <c r="U3826" s="56" t="s">
        <v>4507</v>
      </c>
      <c r="V3826" s="25">
        <f>IFERROR(VLOOKUP(BCP_Soles[[#This Row],[destinatario]],CHOOSE({1,2},Clientes_Proveedores[Razon Social],Clientes_Proveedores[Ruc / Dni]),2,0),"")</f>
        <v>20558275082</v>
      </c>
      <c r="W3826" s="25"/>
      <c r="X3826" s="25"/>
      <c r="Y3826" s="25"/>
      <c r="Z3826" s="77"/>
      <c r="AA3826" s="3" t="str">
        <f>IF(BCP_Soles[[#This Row],[fecha]]&gt;0,TEXT(BCP_Soles[[#This Row],[fecha]],"mmmm"),0)</f>
        <v>Setiembre</v>
      </c>
    </row>
    <row r="3827" spans="1:27" x14ac:dyDescent="0.3">
      <c r="A3827" s="2">
        <f>IF(BCP_Soles[[#This Row],[tipo_registro]]="R",COUNTIFS($C$1:$C3826,"R")+1,A3826)</f>
        <v>2535</v>
      </c>
      <c r="B3827" s="19" t="str">
        <f t="shared" si="306"/>
        <v>B-BCP - Soles</v>
      </c>
      <c r="C3827" s="3" t="s">
        <v>1352</v>
      </c>
      <c r="D3827" s="14">
        <v>45916</v>
      </c>
      <c r="E3827" s="5" t="s">
        <v>2269</v>
      </c>
      <c r="F3827" s="5"/>
      <c r="G3827" s="6" t="s">
        <v>1185</v>
      </c>
      <c r="H3827" s="6" t="s">
        <v>68</v>
      </c>
      <c r="I3827" s="6" t="s">
        <v>1376</v>
      </c>
      <c r="J3827" s="6">
        <v>413</v>
      </c>
      <c r="K3827" s="7" t="s">
        <v>4506</v>
      </c>
      <c r="L3827" s="8">
        <v>5555846</v>
      </c>
      <c r="M3827" s="8" t="str">
        <f t="shared" si="307"/>
        <v>PEN</v>
      </c>
      <c r="N3827" s="13">
        <v>188.8</v>
      </c>
      <c r="O3827" s="13"/>
      <c r="P3827" s="3">
        <f t="shared" si="308"/>
        <v>0</v>
      </c>
      <c r="Q3827" s="3">
        <f t="shared" si="309"/>
        <v>0</v>
      </c>
      <c r="R3827" s="3">
        <f t="shared" si="305"/>
        <v>5222.8099999999813</v>
      </c>
      <c r="S3827" s="24" t="s">
        <v>1334</v>
      </c>
      <c r="T3827" s="24" t="s">
        <v>1334</v>
      </c>
      <c r="U3827" s="56" t="s">
        <v>4507</v>
      </c>
      <c r="V3827" s="25">
        <f>IFERROR(VLOOKUP(BCP_Soles[[#This Row],[destinatario]],CHOOSE({1,2},Clientes_Proveedores[Razon Social],Clientes_Proveedores[Ruc / Dni]),2,0),"")</f>
        <v>20607192872</v>
      </c>
      <c r="W3827" s="25"/>
      <c r="X3827" s="25"/>
      <c r="Y3827" s="25"/>
      <c r="Z3827" s="77"/>
      <c r="AA3827" s="3" t="str">
        <f>IF(BCP_Soles[[#This Row],[fecha]]&gt;0,TEXT(BCP_Soles[[#This Row],[fecha]],"mmmm"),0)</f>
        <v>Setiembre</v>
      </c>
    </row>
    <row r="3828" spans="1:27" x14ac:dyDescent="0.3">
      <c r="A3828" s="2">
        <f>IF(BCP_Soles[[#This Row],[tipo_registro]]="R",COUNTIFS($C$1:$C3827,"R")+1,A3827)</f>
        <v>2535</v>
      </c>
      <c r="B3828" s="19" t="str">
        <f t="shared" si="306"/>
        <v>B-BCP - Soles</v>
      </c>
      <c r="C3828" s="3" t="s">
        <v>1352</v>
      </c>
      <c r="D3828" s="14">
        <v>45916</v>
      </c>
      <c r="E3828" s="5" t="s">
        <v>2269</v>
      </c>
      <c r="F3828" s="5"/>
      <c r="G3828" s="6" t="s">
        <v>1185</v>
      </c>
      <c r="H3828" s="6" t="s">
        <v>68</v>
      </c>
      <c r="I3828" s="6" t="s">
        <v>1376</v>
      </c>
      <c r="J3828" s="6">
        <v>414</v>
      </c>
      <c r="K3828" s="7" t="s">
        <v>4506</v>
      </c>
      <c r="L3828" s="8">
        <v>5555846</v>
      </c>
      <c r="M3828" s="8" t="str">
        <f t="shared" si="307"/>
        <v>PEN</v>
      </c>
      <c r="N3828" s="13">
        <v>236</v>
      </c>
      <c r="O3828" s="13"/>
      <c r="P3828" s="3">
        <f t="shared" si="308"/>
        <v>0</v>
      </c>
      <c r="Q3828" s="3">
        <f t="shared" si="309"/>
        <v>0</v>
      </c>
      <c r="R3828" s="3">
        <f t="shared" si="305"/>
        <v>5222.8099999999813</v>
      </c>
      <c r="S3828" s="24" t="s">
        <v>1334</v>
      </c>
      <c r="T3828" s="24" t="s">
        <v>1334</v>
      </c>
      <c r="U3828" s="56" t="s">
        <v>4507</v>
      </c>
      <c r="V3828" s="25">
        <f>IFERROR(VLOOKUP(BCP_Soles[[#This Row],[destinatario]],CHOOSE({1,2},Clientes_Proveedores[Razon Social],Clientes_Proveedores[Ruc / Dni]),2,0),"")</f>
        <v>20607192872</v>
      </c>
      <c r="W3828" s="25"/>
      <c r="X3828" s="25"/>
      <c r="Y3828" s="25"/>
      <c r="Z3828" s="77"/>
      <c r="AA3828" s="3" t="str">
        <f>IF(BCP_Soles[[#This Row],[fecha]]&gt;0,TEXT(BCP_Soles[[#This Row],[fecha]],"mmmm"),0)</f>
        <v>Setiembre</v>
      </c>
    </row>
    <row r="3829" spans="1:27" x14ac:dyDescent="0.3">
      <c r="A3829" s="2">
        <f>IF(BCP_Soles[[#This Row],[tipo_registro]]="R",COUNTIFS($C$1:$C3828,"R")+1,A3828)</f>
        <v>2535</v>
      </c>
      <c r="B3829" s="19" t="str">
        <f t="shared" si="306"/>
        <v>B-BCP - Soles</v>
      </c>
      <c r="C3829" s="3" t="s">
        <v>1352</v>
      </c>
      <c r="D3829" s="14">
        <v>45916</v>
      </c>
      <c r="E3829" s="5" t="s">
        <v>2269</v>
      </c>
      <c r="F3829" s="5"/>
      <c r="G3829" s="6" t="s">
        <v>286</v>
      </c>
      <c r="H3829" s="6" t="s">
        <v>68</v>
      </c>
      <c r="I3829" s="6" t="s">
        <v>1386</v>
      </c>
      <c r="J3829" s="6">
        <v>1725</v>
      </c>
      <c r="K3829" s="7" t="s">
        <v>4506</v>
      </c>
      <c r="L3829" s="8">
        <v>5555846</v>
      </c>
      <c r="M3829" s="8" t="str">
        <f t="shared" si="307"/>
        <v>PEN</v>
      </c>
      <c r="N3829" s="13">
        <v>1193.1099999999999</v>
      </c>
      <c r="O3829" s="13"/>
      <c r="P3829" s="3">
        <f t="shared" si="308"/>
        <v>0</v>
      </c>
      <c r="Q3829" s="3">
        <f t="shared" si="309"/>
        <v>0</v>
      </c>
      <c r="R3829" s="3">
        <f t="shared" si="305"/>
        <v>5222.8099999999813</v>
      </c>
      <c r="S3829" s="24" t="s">
        <v>1334</v>
      </c>
      <c r="T3829" s="24" t="s">
        <v>1334</v>
      </c>
      <c r="U3829" s="56" t="s">
        <v>4507</v>
      </c>
      <c r="V3829" s="25">
        <f>IFERROR(VLOOKUP(BCP_Soles[[#This Row],[destinatario]],CHOOSE({1,2},Clientes_Proveedores[Razon Social],Clientes_Proveedores[Ruc / Dni]),2,0),"")</f>
        <v>20454186002</v>
      </c>
      <c r="W3829" s="25"/>
      <c r="X3829" s="25"/>
      <c r="Y3829" s="25"/>
      <c r="Z3829" s="77"/>
      <c r="AA3829" s="3" t="str">
        <f>IF(BCP_Soles[[#This Row],[fecha]]&gt;0,TEXT(BCP_Soles[[#This Row],[fecha]],"mmmm"),0)</f>
        <v>Setiembre</v>
      </c>
    </row>
    <row r="3830" spans="1:27" x14ac:dyDescent="0.3">
      <c r="A3830" s="2">
        <f>IF(BCP_Soles[[#This Row],[tipo_registro]]="R",COUNTIFS($C$1:$C3829,"R")+1,A3829)</f>
        <v>2535</v>
      </c>
      <c r="B3830" s="19" t="str">
        <f t="shared" si="306"/>
        <v>B-BCP - Soles</v>
      </c>
      <c r="C3830" s="3" t="s">
        <v>1352</v>
      </c>
      <c r="D3830" s="14">
        <v>45916</v>
      </c>
      <c r="E3830" s="5" t="s">
        <v>2269</v>
      </c>
      <c r="F3830" s="5"/>
      <c r="G3830" s="6" t="s">
        <v>286</v>
      </c>
      <c r="H3830" s="6" t="s">
        <v>68</v>
      </c>
      <c r="I3830" s="6" t="s">
        <v>1386</v>
      </c>
      <c r="J3830" s="6">
        <v>1727</v>
      </c>
      <c r="K3830" s="7" t="s">
        <v>4506</v>
      </c>
      <c r="L3830" s="8">
        <v>5555846</v>
      </c>
      <c r="M3830" s="8" t="str">
        <f t="shared" si="307"/>
        <v>PEN</v>
      </c>
      <c r="N3830" s="13">
        <v>108.99</v>
      </c>
      <c r="O3830" s="13"/>
      <c r="P3830" s="3">
        <f t="shared" si="308"/>
        <v>0</v>
      </c>
      <c r="Q3830" s="3">
        <f t="shared" si="309"/>
        <v>0</v>
      </c>
      <c r="R3830" s="3">
        <f t="shared" si="305"/>
        <v>5222.8099999999813</v>
      </c>
      <c r="S3830" s="24" t="s">
        <v>1334</v>
      </c>
      <c r="T3830" s="24" t="s">
        <v>1334</v>
      </c>
      <c r="U3830" s="56" t="s">
        <v>4507</v>
      </c>
      <c r="V3830" s="25">
        <f>IFERROR(VLOOKUP(BCP_Soles[[#This Row],[destinatario]],CHOOSE({1,2},Clientes_Proveedores[Razon Social],Clientes_Proveedores[Ruc / Dni]),2,0),"")</f>
        <v>20454186002</v>
      </c>
      <c r="W3830" s="25"/>
      <c r="X3830" s="25"/>
      <c r="Y3830" s="25"/>
      <c r="Z3830" s="77"/>
      <c r="AA3830" s="3" t="str">
        <f>IF(BCP_Soles[[#This Row],[fecha]]&gt;0,TEXT(BCP_Soles[[#This Row],[fecha]],"mmmm"),0)</f>
        <v>Setiembre</v>
      </c>
    </row>
    <row r="3831" spans="1:27" x14ac:dyDescent="0.3">
      <c r="A3831" s="2">
        <f>IF(BCP_Soles[[#This Row],[tipo_registro]]="R",COUNTIFS($C$1:$C3830,"R")+1,A3830)</f>
        <v>2535</v>
      </c>
      <c r="B3831" s="19" t="str">
        <f t="shared" si="306"/>
        <v>B-BCP - Soles</v>
      </c>
      <c r="C3831" s="3" t="s">
        <v>1352</v>
      </c>
      <c r="D3831" s="14">
        <v>45916</v>
      </c>
      <c r="E3831" s="5" t="s">
        <v>2269</v>
      </c>
      <c r="F3831" s="5"/>
      <c r="G3831" s="6" t="s">
        <v>286</v>
      </c>
      <c r="H3831" s="6" t="s">
        <v>68</v>
      </c>
      <c r="I3831" s="6" t="s">
        <v>1386</v>
      </c>
      <c r="J3831" s="6">
        <v>1726</v>
      </c>
      <c r="K3831" s="7" t="s">
        <v>4506</v>
      </c>
      <c r="L3831" s="8">
        <v>5555846</v>
      </c>
      <c r="M3831" s="8" t="str">
        <f t="shared" si="307"/>
        <v>PEN</v>
      </c>
      <c r="N3831" s="13">
        <v>165.4</v>
      </c>
      <c r="O3831" s="13"/>
      <c r="P3831" s="3">
        <f t="shared" si="308"/>
        <v>0</v>
      </c>
      <c r="Q3831" s="3">
        <f t="shared" si="309"/>
        <v>0</v>
      </c>
      <c r="R3831" s="3">
        <f t="shared" si="305"/>
        <v>5222.8099999999813</v>
      </c>
      <c r="S3831" s="24" t="s">
        <v>1334</v>
      </c>
      <c r="T3831" s="24" t="s">
        <v>1334</v>
      </c>
      <c r="U3831" s="56" t="s">
        <v>4507</v>
      </c>
      <c r="V3831" s="25">
        <f>IFERROR(VLOOKUP(BCP_Soles[[#This Row],[destinatario]],CHOOSE({1,2},Clientes_Proveedores[Razon Social],Clientes_Proveedores[Ruc / Dni]),2,0),"")</f>
        <v>20454186002</v>
      </c>
      <c r="W3831" s="25"/>
      <c r="X3831" s="25"/>
      <c r="Y3831" s="25"/>
      <c r="Z3831" s="77"/>
      <c r="AA3831" s="3" t="str">
        <f>IF(BCP_Soles[[#This Row],[fecha]]&gt;0,TEXT(BCP_Soles[[#This Row],[fecha]],"mmmm"),0)</f>
        <v>Setiembre</v>
      </c>
    </row>
    <row r="3832" spans="1:27" x14ac:dyDescent="0.3">
      <c r="A3832" s="2">
        <f>IF(BCP_Soles[[#This Row],[tipo_registro]]="R",COUNTIFS($C$1:$C3831,"R")+1,A3831)</f>
        <v>2535</v>
      </c>
      <c r="B3832" s="19" t="str">
        <f t="shared" si="306"/>
        <v>B-BCP - Soles</v>
      </c>
      <c r="C3832" s="3" t="s">
        <v>1352</v>
      </c>
      <c r="D3832" s="14">
        <v>45916</v>
      </c>
      <c r="E3832" s="5" t="s">
        <v>2269</v>
      </c>
      <c r="F3832" s="5"/>
      <c r="G3832" s="6" t="s">
        <v>286</v>
      </c>
      <c r="H3832" s="6" t="s">
        <v>68</v>
      </c>
      <c r="I3832" s="6" t="s">
        <v>1386</v>
      </c>
      <c r="J3832" s="6">
        <v>1724</v>
      </c>
      <c r="K3832" s="7" t="s">
        <v>4506</v>
      </c>
      <c r="L3832" s="8">
        <v>5555846</v>
      </c>
      <c r="M3832" s="8" t="str">
        <f t="shared" si="307"/>
        <v>PEN</v>
      </c>
      <c r="N3832" s="13">
        <v>320</v>
      </c>
      <c r="O3832" s="13"/>
      <c r="P3832" s="3">
        <f t="shared" si="308"/>
        <v>0</v>
      </c>
      <c r="Q3832" s="3">
        <f t="shared" si="309"/>
        <v>0</v>
      </c>
      <c r="R3832" s="3">
        <f t="shared" si="305"/>
        <v>5222.8099999999813</v>
      </c>
      <c r="S3832" s="24" t="s">
        <v>1334</v>
      </c>
      <c r="T3832" s="24" t="s">
        <v>1334</v>
      </c>
      <c r="U3832" s="56" t="s">
        <v>4507</v>
      </c>
      <c r="V3832" s="25">
        <f>IFERROR(VLOOKUP(BCP_Soles[[#This Row],[destinatario]],CHOOSE({1,2},Clientes_Proveedores[Razon Social],Clientes_Proveedores[Ruc / Dni]),2,0),"")</f>
        <v>20454186002</v>
      </c>
      <c r="W3832" s="25"/>
      <c r="X3832" s="25"/>
      <c r="Y3832" s="25"/>
      <c r="Z3832" s="77"/>
      <c r="AA3832" s="3" t="str">
        <f>IF(BCP_Soles[[#This Row],[fecha]]&gt;0,TEXT(BCP_Soles[[#This Row],[fecha]],"mmmm"),0)</f>
        <v>Setiembre</v>
      </c>
    </row>
    <row r="3833" spans="1:27" x14ac:dyDescent="0.3">
      <c r="A3833" s="2">
        <f>IF(BCP_Soles[[#This Row],[tipo_registro]]="R",COUNTIFS($C$1:$C3832,"R")+1,A3832)</f>
        <v>2535</v>
      </c>
      <c r="B3833" s="19" t="str">
        <f t="shared" si="306"/>
        <v>B-BCP - Soles</v>
      </c>
      <c r="C3833" s="3" t="s">
        <v>1352</v>
      </c>
      <c r="D3833" s="14">
        <v>45916</v>
      </c>
      <c r="E3833" s="5" t="s">
        <v>2269</v>
      </c>
      <c r="F3833" s="5"/>
      <c r="G3833" s="6" t="s">
        <v>286</v>
      </c>
      <c r="H3833" s="6" t="s">
        <v>68</v>
      </c>
      <c r="I3833" s="6" t="s">
        <v>1386</v>
      </c>
      <c r="J3833" s="6">
        <v>1723</v>
      </c>
      <c r="K3833" s="7" t="s">
        <v>4506</v>
      </c>
      <c r="L3833" s="8">
        <v>5555846</v>
      </c>
      <c r="M3833" s="8" t="str">
        <f t="shared" si="307"/>
        <v>PEN</v>
      </c>
      <c r="N3833" s="13">
        <v>208.99</v>
      </c>
      <c r="O3833" s="13"/>
      <c r="P3833" s="3">
        <f t="shared" si="308"/>
        <v>0</v>
      </c>
      <c r="Q3833" s="3">
        <f t="shared" si="309"/>
        <v>0</v>
      </c>
      <c r="R3833" s="3">
        <f t="shared" si="305"/>
        <v>5222.8099999999813</v>
      </c>
      <c r="S3833" s="24" t="s">
        <v>1334</v>
      </c>
      <c r="T3833" s="24" t="s">
        <v>1334</v>
      </c>
      <c r="U3833" s="56" t="s">
        <v>4507</v>
      </c>
      <c r="V3833" s="25">
        <f>IFERROR(VLOOKUP(BCP_Soles[[#This Row],[destinatario]],CHOOSE({1,2},Clientes_Proveedores[Razon Social],Clientes_Proveedores[Ruc / Dni]),2,0),"")</f>
        <v>20454186002</v>
      </c>
      <c r="W3833" s="25"/>
      <c r="X3833" s="25"/>
      <c r="Y3833" s="25"/>
      <c r="Z3833" s="77"/>
      <c r="AA3833" s="3" t="str">
        <f>IF(BCP_Soles[[#This Row],[fecha]]&gt;0,TEXT(BCP_Soles[[#This Row],[fecha]],"mmmm"),0)</f>
        <v>Setiembre</v>
      </c>
    </row>
    <row r="3834" spans="1:27" ht="24" x14ac:dyDescent="0.3">
      <c r="A3834" s="2">
        <f>IF(BCP_Soles[[#This Row],[tipo_registro]]="R",COUNTIFS($C$1:$C3833,"R")+1,A3833)</f>
        <v>2536</v>
      </c>
      <c r="B3834" s="19" t="str">
        <f t="shared" si="306"/>
        <v>B-BCP - Soles</v>
      </c>
      <c r="C3834" s="3" t="s">
        <v>1330</v>
      </c>
      <c r="D3834" s="14">
        <v>45916</v>
      </c>
      <c r="E3834" s="5" t="s">
        <v>2269</v>
      </c>
      <c r="F3834" s="5" t="s">
        <v>1336</v>
      </c>
      <c r="G3834" s="6" t="s">
        <v>464</v>
      </c>
      <c r="H3834" s="6" t="s">
        <v>68</v>
      </c>
      <c r="I3834" s="6" t="s">
        <v>1376</v>
      </c>
      <c r="J3834" s="6">
        <v>835</v>
      </c>
      <c r="K3834" s="7" t="s">
        <v>4508</v>
      </c>
      <c r="L3834" s="8">
        <v>1225908</v>
      </c>
      <c r="M3834" s="8" t="str">
        <f t="shared" si="307"/>
        <v>PEN</v>
      </c>
      <c r="N3834" s="13"/>
      <c r="O3834" s="13">
        <v>3120</v>
      </c>
      <c r="P3834" s="3">
        <f t="shared" si="308"/>
        <v>0</v>
      </c>
      <c r="Q3834" s="3">
        <f t="shared" si="309"/>
        <v>3120</v>
      </c>
      <c r="R3834" s="3">
        <f t="shared" si="305"/>
        <v>2102.8099999999813</v>
      </c>
      <c r="S3834" s="24" t="s">
        <v>1334</v>
      </c>
      <c r="T3834" s="24" t="s">
        <v>1334</v>
      </c>
      <c r="U3834" s="56" t="s">
        <v>4509</v>
      </c>
      <c r="V3834" s="25">
        <f>IFERROR(VLOOKUP(BCP_Soles[[#This Row],[destinatario]],CHOOSE({1,2},Clientes_Proveedores[Razon Social],Clientes_Proveedores[Ruc / Dni]),2,0),"")</f>
        <v>20601279666</v>
      </c>
      <c r="W3834" s="25"/>
      <c r="X3834" s="25"/>
      <c r="Y3834" s="25"/>
      <c r="Z3834" s="77"/>
      <c r="AA3834" s="3" t="str">
        <f>IF(BCP_Soles[[#This Row],[fecha]]&gt;0,TEXT(BCP_Soles[[#This Row],[fecha]],"mmmm"),0)</f>
        <v>Setiembre</v>
      </c>
    </row>
    <row r="3835" spans="1:27" ht="24" x14ac:dyDescent="0.3">
      <c r="A3835" s="2">
        <f>IF(BCP_Soles[[#This Row],[tipo_registro]]="R",COUNTIFS($C$1:$C3834,"R")+1,A3834)</f>
        <v>2537</v>
      </c>
      <c r="B3835" s="19" t="str">
        <f t="shared" si="306"/>
        <v>B-BCP - Soles</v>
      </c>
      <c r="C3835" s="3" t="s">
        <v>1330</v>
      </c>
      <c r="D3835" s="14">
        <v>45916</v>
      </c>
      <c r="E3835" s="5" t="s">
        <v>1335</v>
      </c>
      <c r="F3835" s="5" t="s">
        <v>1336</v>
      </c>
      <c r="G3835" s="6" t="s">
        <v>1060</v>
      </c>
      <c r="H3835" s="6" t="s">
        <v>68</v>
      </c>
      <c r="I3835" s="6" t="s">
        <v>1397</v>
      </c>
      <c r="J3835" s="6">
        <v>37123676</v>
      </c>
      <c r="K3835" s="7" t="s">
        <v>4510</v>
      </c>
      <c r="L3835" s="8">
        <v>5555881</v>
      </c>
      <c r="M3835" s="8" t="str">
        <f t="shared" si="307"/>
        <v>PEN</v>
      </c>
      <c r="N3835" s="13"/>
      <c r="O3835" s="13">
        <v>17.5</v>
      </c>
      <c r="P3835" s="3">
        <f t="shared" si="308"/>
        <v>0</v>
      </c>
      <c r="Q3835" s="3">
        <f t="shared" si="309"/>
        <v>17.5</v>
      </c>
      <c r="R3835" s="3">
        <f t="shared" si="305"/>
        <v>2085.3099999999813</v>
      </c>
      <c r="S3835" s="24" t="s">
        <v>1334</v>
      </c>
      <c r="T3835" s="24" t="s">
        <v>1334</v>
      </c>
      <c r="U3835" s="55"/>
      <c r="V3835" s="25">
        <f>IFERROR(VLOOKUP(BCP_Soles[[#This Row],[destinatario]],CHOOSE({1,2},Clientes_Proveedores[Razon Social],Clientes_Proveedores[Ruc / Dni]),2,0),"")</f>
        <v>20100047218</v>
      </c>
      <c r="W3835" s="25"/>
      <c r="X3835" s="25"/>
      <c r="Y3835" s="25"/>
      <c r="Z3835" s="77"/>
      <c r="AA3835" s="3" t="str">
        <f>IF(BCP_Soles[[#This Row],[fecha]]&gt;0,TEXT(BCP_Soles[[#This Row],[fecha]],"mmmm"),0)</f>
        <v>Setiembre</v>
      </c>
    </row>
    <row r="3836" spans="1:27" x14ac:dyDescent="0.3">
      <c r="A3836" s="2">
        <f>IF(BCP_Soles[[#This Row],[tipo_registro]]="R",COUNTIFS($C$1:$C3835,"R")+1,A3835)</f>
        <v>2538</v>
      </c>
      <c r="B3836" s="19" t="str">
        <f t="shared" si="306"/>
        <v>B-BCP - Soles</v>
      </c>
      <c r="C3836" s="3" t="s">
        <v>1330</v>
      </c>
      <c r="D3836" s="14">
        <v>45916</v>
      </c>
      <c r="E3836" s="5" t="s">
        <v>1335</v>
      </c>
      <c r="F3836" s="5" t="s">
        <v>1336</v>
      </c>
      <c r="G3836" s="6" t="s">
        <v>1009</v>
      </c>
      <c r="H3836" s="6" t="s">
        <v>64</v>
      </c>
      <c r="I3836" s="6" t="s">
        <v>3673</v>
      </c>
      <c r="J3836" s="6">
        <v>2540</v>
      </c>
      <c r="K3836" s="7" t="s">
        <v>3160</v>
      </c>
      <c r="L3836" s="8"/>
      <c r="M3836" s="8" t="str">
        <f t="shared" si="307"/>
        <v>PEN</v>
      </c>
      <c r="N3836" s="13"/>
      <c r="O3836" s="13">
        <v>1.25</v>
      </c>
      <c r="P3836" s="3">
        <f t="shared" si="308"/>
        <v>0</v>
      </c>
      <c r="Q3836" s="3">
        <f t="shared" si="309"/>
        <v>1.25</v>
      </c>
      <c r="R3836" s="3">
        <f t="shared" si="305"/>
        <v>2084.0599999999813</v>
      </c>
      <c r="S3836" s="24"/>
      <c r="T3836" s="24" t="s">
        <v>1334</v>
      </c>
      <c r="U3836" s="55"/>
      <c r="V3836" s="25">
        <f>IFERROR(VLOOKUP(BCP_Soles[[#This Row],[destinatario]],CHOOSE({1,2},Clientes_Proveedores[Razon Social],Clientes_Proveedores[Ruc / Dni]),2,0),"")</f>
        <v>11111111</v>
      </c>
      <c r="W3836" s="25"/>
      <c r="X3836" s="25"/>
      <c r="Y3836" s="25"/>
      <c r="Z3836" s="77"/>
      <c r="AA3836" s="3" t="str">
        <f>IF(BCP_Soles[[#This Row],[fecha]]&gt;0,TEXT(BCP_Soles[[#This Row],[fecha]],"mmmm"),0)</f>
        <v>Setiembre</v>
      </c>
    </row>
    <row r="3837" spans="1:27" ht="48" x14ac:dyDescent="0.3">
      <c r="A3837" s="2">
        <f>IF(BCP_Soles[[#This Row],[tipo_registro]]="R",COUNTIFS($C$1:$C3836,"R")+1,A3836)</f>
        <v>2539</v>
      </c>
      <c r="B3837" s="19" t="str">
        <f t="shared" si="306"/>
        <v>B-BCP - Soles</v>
      </c>
      <c r="C3837" s="3" t="s">
        <v>1330</v>
      </c>
      <c r="D3837" s="14">
        <v>45917</v>
      </c>
      <c r="E3837" s="5" t="s">
        <v>310</v>
      </c>
      <c r="F3837" s="5" t="s">
        <v>1303</v>
      </c>
      <c r="G3837" s="6" t="s">
        <v>425</v>
      </c>
      <c r="H3837" s="6" t="s">
        <v>68</v>
      </c>
      <c r="I3837" s="6" t="s">
        <v>1784</v>
      </c>
      <c r="J3837" s="6">
        <v>213</v>
      </c>
      <c r="K3837" s="7" t="s">
        <v>4511</v>
      </c>
      <c r="L3837" s="8">
        <v>67169</v>
      </c>
      <c r="M3837" s="8" t="str">
        <f t="shared" si="307"/>
        <v>PEN</v>
      </c>
      <c r="N3837" s="13"/>
      <c r="O3837" s="13">
        <v>979.4</v>
      </c>
      <c r="P3837" s="3">
        <f t="shared" si="308"/>
        <v>979.4</v>
      </c>
      <c r="Q3837" s="3">
        <f t="shared" si="309"/>
        <v>0</v>
      </c>
      <c r="R3837" s="3">
        <f t="shared" si="305"/>
        <v>3063.4599999999814</v>
      </c>
      <c r="S3837" s="24" t="s">
        <v>1334</v>
      </c>
      <c r="T3837" s="24" t="s">
        <v>1334</v>
      </c>
      <c r="U3837" s="55"/>
      <c r="V3837" s="25">
        <f>IFERROR(VLOOKUP(BCP_Soles[[#This Row],[destinatario]],CHOOSE({1,2},Clientes_Proveedores[Razon Social],Clientes_Proveedores[Ruc / Dni]),2,0),"")</f>
        <v>20558226979</v>
      </c>
      <c r="W3837" s="25"/>
      <c r="X3837" s="25"/>
      <c r="Y3837" s="25"/>
      <c r="Z3837" s="77"/>
      <c r="AA3837" s="3" t="str">
        <f>IF(BCP_Soles[[#This Row],[fecha]]&gt;0,TEXT(BCP_Soles[[#This Row],[fecha]],"mmmm"),0)</f>
        <v>Setiembre</v>
      </c>
    </row>
    <row r="3838" spans="1:27" ht="48" x14ac:dyDescent="0.3">
      <c r="A3838" s="2">
        <f>IF(BCP_Soles[[#This Row],[tipo_registro]]="R",COUNTIFS($C$1:$C3837,"R")+1,A3837)</f>
        <v>2540</v>
      </c>
      <c r="B3838" s="19" t="str">
        <f t="shared" si="306"/>
        <v>B-BCP - Soles</v>
      </c>
      <c r="C3838" s="3" t="s">
        <v>1330</v>
      </c>
      <c r="D3838" s="14">
        <v>45917</v>
      </c>
      <c r="E3838" s="5" t="s">
        <v>1135</v>
      </c>
      <c r="F3838" s="5" t="s">
        <v>1303</v>
      </c>
      <c r="G3838" s="6" t="s">
        <v>425</v>
      </c>
      <c r="H3838" s="6" t="s">
        <v>68</v>
      </c>
      <c r="I3838" s="6" t="s">
        <v>1784</v>
      </c>
      <c r="J3838" s="6">
        <v>247</v>
      </c>
      <c r="K3838" s="7" t="s">
        <v>4370</v>
      </c>
      <c r="L3838" s="8">
        <v>2190718</v>
      </c>
      <c r="M3838" s="8" t="str">
        <f t="shared" si="307"/>
        <v>PEN</v>
      </c>
      <c r="N3838" s="13"/>
      <c r="O3838" s="13">
        <v>1000.34</v>
      </c>
      <c r="P3838" s="3">
        <f t="shared" si="308"/>
        <v>1000.34</v>
      </c>
      <c r="Q3838" s="3">
        <f t="shared" si="309"/>
        <v>0</v>
      </c>
      <c r="R3838" s="3">
        <f t="shared" si="305"/>
        <v>4063.7999999999815</v>
      </c>
      <c r="S3838" s="24" t="s">
        <v>1334</v>
      </c>
      <c r="T3838" s="24" t="s">
        <v>1334</v>
      </c>
      <c r="U3838" s="55"/>
      <c r="V3838" s="25">
        <f>IFERROR(VLOOKUP(BCP_Soles[[#This Row],[destinatario]],CHOOSE({1,2},Clientes_Proveedores[Razon Social],Clientes_Proveedores[Ruc / Dni]),2,0),"")</f>
        <v>20558226979</v>
      </c>
      <c r="W3838" s="25"/>
      <c r="X3838" s="25"/>
      <c r="Y3838" s="25"/>
      <c r="Z3838" s="77"/>
      <c r="AA3838" s="3" t="str">
        <f>IF(BCP_Soles[[#This Row],[fecha]]&gt;0,TEXT(BCP_Soles[[#This Row],[fecha]],"mmmm"),0)</f>
        <v>Setiembre</v>
      </c>
    </row>
    <row r="3839" spans="1:27" x14ac:dyDescent="0.3">
      <c r="A3839" s="2">
        <f>IF(BCP_Soles[[#This Row],[tipo_registro]]="R",COUNTIFS($C$1:$C3838,"R")+1,A3838)</f>
        <v>2541</v>
      </c>
      <c r="B3839" s="19" t="str">
        <f t="shared" si="306"/>
        <v>B-BCP - Soles</v>
      </c>
      <c r="C3839" s="3" t="s">
        <v>1330</v>
      </c>
      <c r="D3839" s="14">
        <v>45917</v>
      </c>
      <c r="E3839" s="5" t="s">
        <v>4171</v>
      </c>
      <c r="F3839" s="5" t="s">
        <v>1303</v>
      </c>
      <c r="G3839" s="6" t="s">
        <v>425</v>
      </c>
      <c r="H3839" s="6"/>
      <c r="I3839" s="6"/>
      <c r="J3839" s="6"/>
      <c r="K3839" s="7" t="s">
        <v>4512</v>
      </c>
      <c r="L3839" s="8">
        <v>3612015</v>
      </c>
      <c r="M3839" s="8" t="str">
        <f t="shared" si="307"/>
        <v>PEN</v>
      </c>
      <c r="N3839" s="13"/>
      <c r="O3839" s="13">
        <v>710</v>
      </c>
      <c r="P3839" s="3">
        <f t="shared" si="308"/>
        <v>710</v>
      </c>
      <c r="Q3839" s="3">
        <f t="shared" si="309"/>
        <v>0</v>
      </c>
      <c r="R3839" s="3">
        <f t="shared" si="305"/>
        <v>4773.7999999999811</v>
      </c>
      <c r="S3839" s="24"/>
      <c r="T3839" s="24"/>
      <c r="U3839" s="55"/>
      <c r="V3839" s="25">
        <f>IFERROR(VLOOKUP(BCP_Soles[[#This Row],[destinatario]],CHOOSE({1,2},Clientes_Proveedores[Razon Social],Clientes_Proveedores[Ruc / Dni]),2,0),"")</f>
        <v>20558226979</v>
      </c>
      <c r="W3839" s="25"/>
      <c r="X3839" s="25"/>
      <c r="Y3839" s="25"/>
      <c r="Z3839" s="77"/>
      <c r="AA3839" s="3" t="str">
        <f>IF(BCP_Soles[[#This Row],[fecha]]&gt;0,TEXT(BCP_Soles[[#This Row],[fecha]],"mmmm"),0)</f>
        <v>Setiembre</v>
      </c>
    </row>
    <row r="3840" spans="1:27" ht="24" x14ac:dyDescent="0.3">
      <c r="A3840" s="2">
        <f>IF(BCP_Soles[[#This Row],[tipo_registro]]="R",COUNTIFS($C$1:$C3839,"R")+1,A3839)</f>
        <v>2542</v>
      </c>
      <c r="B3840" s="19" t="str">
        <f t="shared" si="306"/>
        <v>B-BCP - Soles</v>
      </c>
      <c r="C3840" s="3" t="s">
        <v>1330</v>
      </c>
      <c r="D3840" s="14">
        <v>45917</v>
      </c>
      <c r="E3840" s="5" t="s">
        <v>274</v>
      </c>
      <c r="F3840" s="5" t="s">
        <v>1303</v>
      </c>
      <c r="G3840" s="6" t="s">
        <v>425</v>
      </c>
      <c r="H3840" s="6" t="s">
        <v>68</v>
      </c>
      <c r="I3840" s="6" t="s">
        <v>3302</v>
      </c>
      <c r="J3840" s="6">
        <v>121</v>
      </c>
      <c r="K3840" s="7" t="s">
        <v>4249</v>
      </c>
      <c r="L3840" s="8">
        <v>2245892</v>
      </c>
      <c r="M3840" s="8" t="str">
        <f t="shared" si="307"/>
        <v>PEN</v>
      </c>
      <c r="N3840" s="13"/>
      <c r="O3840" s="13">
        <v>802</v>
      </c>
      <c r="P3840" s="3">
        <f t="shared" si="308"/>
        <v>802</v>
      </c>
      <c r="Q3840" s="3">
        <f t="shared" si="309"/>
        <v>0</v>
      </c>
      <c r="R3840" s="3">
        <f t="shared" si="305"/>
        <v>5575.7999999999811</v>
      </c>
      <c r="S3840" s="24" t="s">
        <v>1334</v>
      </c>
      <c r="T3840" s="24" t="s">
        <v>1334</v>
      </c>
      <c r="U3840" s="55"/>
      <c r="V3840" s="25">
        <f>IFERROR(VLOOKUP(BCP_Soles[[#This Row],[destinatario]],CHOOSE({1,2},Clientes_Proveedores[Razon Social],Clientes_Proveedores[Ruc / Dni]),2,0),"")</f>
        <v>20558226979</v>
      </c>
      <c r="W3840" s="25"/>
      <c r="X3840" s="25"/>
      <c r="Y3840" s="25"/>
      <c r="Z3840" s="77"/>
      <c r="AA3840" s="3" t="str">
        <f>IF(BCP_Soles[[#This Row],[fecha]]&gt;0,TEXT(BCP_Soles[[#This Row],[fecha]],"mmmm"),0)</f>
        <v>Setiembre</v>
      </c>
    </row>
    <row r="3841" spans="1:27" ht="48" x14ac:dyDescent="0.3">
      <c r="A3841" s="2">
        <f>IF(BCP_Soles[[#This Row],[tipo_registro]]="R",COUNTIFS($C$1:$C3840,"R")+1,A3840)</f>
        <v>2543</v>
      </c>
      <c r="B3841" s="19" t="str">
        <f t="shared" si="306"/>
        <v>B-BCP - Soles</v>
      </c>
      <c r="C3841" s="3" t="s">
        <v>1330</v>
      </c>
      <c r="D3841" s="14">
        <v>45917</v>
      </c>
      <c r="E3841" s="5" t="s">
        <v>505</v>
      </c>
      <c r="F3841" s="5" t="s">
        <v>1303</v>
      </c>
      <c r="G3841" s="6" t="s">
        <v>425</v>
      </c>
      <c r="H3841" s="6" t="s">
        <v>68</v>
      </c>
      <c r="I3841" s="6" t="s">
        <v>3381</v>
      </c>
      <c r="J3841" s="6">
        <v>65</v>
      </c>
      <c r="K3841" s="7" t="s">
        <v>4308</v>
      </c>
      <c r="L3841" s="8">
        <v>6098077</v>
      </c>
      <c r="M3841" s="8" t="str">
        <f t="shared" si="307"/>
        <v>PEN</v>
      </c>
      <c r="N3841" s="13"/>
      <c r="O3841" s="13">
        <v>1759.9</v>
      </c>
      <c r="P3841" s="3">
        <f t="shared" si="308"/>
        <v>1759.9</v>
      </c>
      <c r="Q3841" s="3">
        <f t="shared" si="309"/>
        <v>0</v>
      </c>
      <c r="R3841" s="3">
        <f t="shared" si="305"/>
        <v>7335.6999999999807</v>
      </c>
      <c r="S3841" s="24" t="s">
        <v>1334</v>
      </c>
      <c r="T3841" s="24" t="s">
        <v>1334</v>
      </c>
      <c r="U3841" s="55"/>
      <c r="V3841" s="25">
        <f>IFERROR(VLOOKUP(BCP_Soles[[#This Row],[destinatario]],CHOOSE({1,2},Clientes_Proveedores[Razon Social],Clientes_Proveedores[Ruc / Dni]),2,0),"")</f>
        <v>20558226979</v>
      </c>
      <c r="W3841" s="25"/>
      <c r="X3841" s="25"/>
      <c r="Y3841" s="25"/>
      <c r="Z3841" s="77"/>
      <c r="AA3841" s="3" t="str">
        <f>IF(BCP_Soles[[#This Row],[fecha]]&gt;0,TEXT(BCP_Soles[[#This Row],[fecha]],"mmmm"),0)</f>
        <v>Setiembre</v>
      </c>
    </row>
    <row r="3842" spans="1:27" ht="24" x14ac:dyDescent="0.3">
      <c r="A3842" s="2">
        <f>IF(BCP_Soles[[#This Row],[tipo_registro]]="R",COUNTIFS($C$1:$C3841,"R")+1,A3841)</f>
        <v>2544</v>
      </c>
      <c r="B3842" s="19" t="str">
        <f t="shared" si="306"/>
        <v>B-BCP - Soles</v>
      </c>
      <c r="C3842" s="3" t="s">
        <v>1330</v>
      </c>
      <c r="D3842" s="14">
        <v>45917</v>
      </c>
      <c r="E3842" s="5" t="s">
        <v>2269</v>
      </c>
      <c r="F3842" s="5" t="s">
        <v>1336</v>
      </c>
      <c r="G3842" s="6" t="s">
        <v>1039</v>
      </c>
      <c r="H3842" s="6" t="s">
        <v>143</v>
      </c>
      <c r="I3842" s="6">
        <v>1</v>
      </c>
      <c r="J3842" s="6">
        <v>632025</v>
      </c>
      <c r="K3842" s="7" t="s">
        <v>4513</v>
      </c>
      <c r="L3842" s="8">
        <v>1211119</v>
      </c>
      <c r="M3842" s="8" t="str">
        <f t="shared" si="307"/>
        <v>PEN</v>
      </c>
      <c r="N3842" s="13"/>
      <c r="O3842" s="13">
        <v>138.6</v>
      </c>
      <c r="P3842" s="3">
        <f t="shared" si="308"/>
        <v>0</v>
      </c>
      <c r="Q3842" s="3">
        <f t="shared" si="309"/>
        <v>138.6</v>
      </c>
      <c r="R3842" s="3">
        <f t="shared" si="305"/>
        <v>7197.0999999999804</v>
      </c>
      <c r="S3842" s="24" t="s">
        <v>1334</v>
      </c>
      <c r="T3842" s="24" t="s">
        <v>1334</v>
      </c>
      <c r="U3842" s="56" t="s">
        <v>4514</v>
      </c>
      <c r="V3842" s="25">
        <f>IFERROR(VLOOKUP(BCP_Soles[[#This Row],[destinatario]],CHOOSE({1,2},Clientes_Proveedores[Razon Social],Clientes_Proveedores[Ruc / Dni]),2,0),"")</f>
        <v>70511606</v>
      </c>
      <c r="W3842" s="25"/>
      <c r="X3842" s="25"/>
      <c r="Y3842" s="25"/>
      <c r="Z3842" s="77"/>
      <c r="AA3842" s="3" t="str">
        <f>IF(BCP_Soles[[#This Row],[fecha]]&gt;0,TEXT(BCP_Soles[[#This Row],[fecha]],"mmmm"),0)</f>
        <v>Setiembre</v>
      </c>
    </row>
    <row r="3843" spans="1:27" x14ac:dyDescent="0.3">
      <c r="A3843" s="2">
        <f>IF(BCP_Soles[[#This Row],[tipo_registro]]="R",COUNTIFS($C$1:$C3842,"R")+1,A3842)</f>
        <v>2545</v>
      </c>
      <c r="B3843" s="19" t="str">
        <f t="shared" si="306"/>
        <v>B-BCP - Soles</v>
      </c>
      <c r="C3843" s="3" t="s">
        <v>1330</v>
      </c>
      <c r="D3843" s="14">
        <v>45917</v>
      </c>
      <c r="E3843" s="5" t="s">
        <v>2269</v>
      </c>
      <c r="F3843" s="5" t="s">
        <v>1336</v>
      </c>
      <c r="G3843" s="6" t="s">
        <v>196</v>
      </c>
      <c r="H3843" s="6" t="s">
        <v>68</v>
      </c>
      <c r="I3843" s="6" t="s">
        <v>2226</v>
      </c>
      <c r="J3843" s="6">
        <v>6912</v>
      </c>
      <c r="K3843" s="7" t="s">
        <v>2227</v>
      </c>
      <c r="L3843" s="8">
        <v>208528</v>
      </c>
      <c r="M3843" s="8" t="str">
        <f t="shared" si="307"/>
        <v>PEN</v>
      </c>
      <c r="N3843" s="13"/>
      <c r="O3843" s="13">
        <v>469.24</v>
      </c>
      <c r="P3843" s="3">
        <f t="shared" si="308"/>
        <v>0</v>
      </c>
      <c r="Q3843" s="3">
        <f t="shared" si="309"/>
        <v>469.24</v>
      </c>
      <c r="R3843" s="3">
        <f t="shared" si="305"/>
        <v>6727.8599999999806</v>
      </c>
      <c r="S3843" s="24" t="s">
        <v>1334</v>
      </c>
      <c r="T3843" s="24" t="s">
        <v>1334</v>
      </c>
      <c r="U3843" s="55"/>
      <c r="V3843" s="25">
        <f>IFERROR(VLOOKUP(BCP_Soles[[#This Row],[destinatario]],CHOOSE({1,2},Clientes_Proveedores[Razon Social],Clientes_Proveedores[Ruc / Dni]),2,0),"")</f>
        <v>20100055237</v>
      </c>
      <c r="W3843" s="25"/>
      <c r="X3843" s="25"/>
      <c r="Y3843" s="25"/>
      <c r="Z3843" s="77"/>
      <c r="AA3843" s="3" t="str">
        <f>IF(BCP_Soles[[#This Row],[fecha]]&gt;0,TEXT(BCP_Soles[[#This Row],[fecha]],"mmmm"),0)</f>
        <v>Setiembre</v>
      </c>
    </row>
    <row r="3844" spans="1:27" x14ac:dyDescent="0.3">
      <c r="A3844" s="2">
        <f>IF(BCP_Soles[[#This Row],[tipo_registro]]="R",COUNTIFS($C$1:$C3843,"R")+1,A3843)</f>
        <v>2546</v>
      </c>
      <c r="B3844" s="19" t="str">
        <f t="shared" si="306"/>
        <v>B-BCP - Soles</v>
      </c>
      <c r="C3844" s="3" t="s">
        <v>1330</v>
      </c>
      <c r="D3844" s="14">
        <v>45917</v>
      </c>
      <c r="E3844" s="5" t="s">
        <v>2269</v>
      </c>
      <c r="F3844" s="5" t="s">
        <v>1336</v>
      </c>
      <c r="G3844" s="6" t="s">
        <v>196</v>
      </c>
      <c r="H3844" s="6" t="s">
        <v>68</v>
      </c>
      <c r="I3844" s="6" t="s">
        <v>2226</v>
      </c>
      <c r="J3844" s="6">
        <v>6917</v>
      </c>
      <c r="K3844" s="7" t="s">
        <v>2227</v>
      </c>
      <c r="L3844" s="8">
        <v>206461</v>
      </c>
      <c r="M3844" s="8" t="str">
        <f t="shared" si="307"/>
        <v>PEN</v>
      </c>
      <c r="N3844" s="13"/>
      <c r="O3844" s="13">
        <v>14.7</v>
      </c>
      <c r="P3844" s="3">
        <f t="shared" si="308"/>
        <v>0</v>
      </c>
      <c r="Q3844" s="3">
        <f t="shared" si="309"/>
        <v>14.7</v>
      </c>
      <c r="R3844" s="3">
        <f t="shared" si="305"/>
        <v>6713.1599999999808</v>
      </c>
      <c r="S3844" s="24" t="s">
        <v>1334</v>
      </c>
      <c r="T3844" s="24" t="s">
        <v>1334</v>
      </c>
      <c r="U3844" s="55"/>
      <c r="V3844" s="25">
        <f>IFERROR(VLOOKUP(BCP_Soles[[#This Row],[destinatario]],CHOOSE({1,2},Clientes_Proveedores[Razon Social],Clientes_Proveedores[Ruc / Dni]),2,0),"")</f>
        <v>20100055237</v>
      </c>
      <c r="W3844" s="25"/>
      <c r="X3844" s="25"/>
      <c r="Y3844" s="25"/>
      <c r="Z3844" s="77"/>
      <c r="AA3844" s="3" t="str">
        <f>IF(BCP_Soles[[#This Row],[fecha]]&gt;0,TEXT(BCP_Soles[[#This Row],[fecha]],"mmmm"),0)</f>
        <v>Setiembre</v>
      </c>
    </row>
    <row r="3845" spans="1:27" x14ac:dyDescent="0.3">
      <c r="A3845" s="2">
        <f>IF(BCP_Soles[[#This Row],[tipo_registro]]="R",COUNTIFS($C$1:$C3844,"R")+1,A3844)</f>
        <v>2547</v>
      </c>
      <c r="B3845" s="19" t="str">
        <f t="shared" si="306"/>
        <v>B-BCP - Soles</v>
      </c>
      <c r="C3845" s="3" t="s">
        <v>1330</v>
      </c>
      <c r="D3845" s="14">
        <v>45917</v>
      </c>
      <c r="E3845" s="5" t="s">
        <v>2269</v>
      </c>
      <c r="F3845" s="5" t="s">
        <v>1336</v>
      </c>
      <c r="G3845" s="6" t="s">
        <v>196</v>
      </c>
      <c r="H3845" s="6" t="s">
        <v>68</v>
      </c>
      <c r="I3845" s="6" t="s">
        <v>2226</v>
      </c>
      <c r="J3845" s="6">
        <v>6915</v>
      </c>
      <c r="K3845" s="7" t="s">
        <v>2227</v>
      </c>
      <c r="L3845" s="8">
        <v>209005</v>
      </c>
      <c r="M3845" s="8" t="str">
        <f t="shared" si="307"/>
        <v>PEN</v>
      </c>
      <c r="N3845" s="13"/>
      <c r="O3845" s="13">
        <v>3.25</v>
      </c>
      <c r="P3845" s="3">
        <f t="shared" si="308"/>
        <v>0</v>
      </c>
      <c r="Q3845" s="3">
        <f t="shared" si="309"/>
        <v>3.25</v>
      </c>
      <c r="R3845" s="3">
        <f t="shared" si="305"/>
        <v>6709.9099999999808</v>
      </c>
      <c r="S3845" s="24" t="s">
        <v>1334</v>
      </c>
      <c r="T3845" s="24" t="s">
        <v>1334</v>
      </c>
      <c r="U3845" s="55"/>
      <c r="V3845" s="25">
        <f>IFERROR(VLOOKUP(BCP_Soles[[#This Row],[destinatario]],CHOOSE({1,2},Clientes_Proveedores[Razon Social],Clientes_Proveedores[Ruc / Dni]),2,0),"")</f>
        <v>20100055237</v>
      </c>
      <c r="W3845" s="25"/>
      <c r="X3845" s="25"/>
      <c r="Y3845" s="25"/>
      <c r="Z3845" s="77"/>
      <c r="AA3845" s="3" t="str">
        <f>IF(BCP_Soles[[#This Row],[fecha]]&gt;0,TEXT(BCP_Soles[[#This Row],[fecha]],"mmmm"),0)</f>
        <v>Setiembre</v>
      </c>
    </row>
    <row r="3846" spans="1:27" x14ac:dyDescent="0.3">
      <c r="A3846" s="2">
        <f>IF(BCP_Soles[[#This Row],[tipo_registro]]="R",COUNTIFS($C$1:$C3845,"R")+1,A3845)</f>
        <v>2548</v>
      </c>
      <c r="B3846" s="19" t="str">
        <f t="shared" si="306"/>
        <v>B-BCP - Soles</v>
      </c>
      <c r="C3846" s="3" t="s">
        <v>1330</v>
      </c>
      <c r="D3846" s="14">
        <v>45917</v>
      </c>
      <c r="E3846" s="5" t="s">
        <v>2269</v>
      </c>
      <c r="F3846" s="5" t="s">
        <v>1336</v>
      </c>
      <c r="G3846" s="6" t="s">
        <v>196</v>
      </c>
      <c r="H3846" s="6" t="s">
        <v>68</v>
      </c>
      <c r="I3846" s="6" t="s">
        <v>2226</v>
      </c>
      <c r="J3846" s="6">
        <v>6916</v>
      </c>
      <c r="K3846" s="7" t="s">
        <v>2227</v>
      </c>
      <c r="L3846" s="8">
        <v>209006</v>
      </c>
      <c r="M3846" s="8" t="str">
        <f t="shared" si="307"/>
        <v>PEN</v>
      </c>
      <c r="N3846" s="13"/>
      <c r="O3846" s="13">
        <v>302.18</v>
      </c>
      <c r="P3846" s="3">
        <f t="shared" si="308"/>
        <v>0</v>
      </c>
      <c r="Q3846" s="3">
        <f t="shared" si="309"/>
        <v>302.18</v>
      </c>
      <c r="R3846" s="3">
        <f t="shared" si="305"/>
        <v>6407.7299999999805</v>
      </c>
      <c r="S3846" s="24" t="s">
        <v>1334</v>
      </c>
      <c r="T3846" s="24" t="s">
        <v>1334</v>
      </c>
      <c r="U3846" s="55"/>
      <c r="V3846" s="25">
        <f>IFERROR(VLOOKUP(BCP_Soles[[#This Row],[destinatario]],CHOOSE({1,2},Clientes_Proveedores[Razon Social],Clientes_Proveedores[Ruc / Dni]),2,0),"")</f>
        <v>20100055237</v>
      </c>
      <c r="W3846" s="25"/>
      <c r="X3846" s="25"/>
      <c r="Y3846" s="25"/>
      <c r="Z3846" s="77"/>
      <c r="AA3846" s="3" t="str">
        <f>IF(BCP_Soles[[#This Row],[fecha]]&gt;0,TEXT(BCP_Soles[[#This Row],[fecha]],"mmmm"),0)</f>
        <v>Setiembre</v>
      </c>
    </row>
    <row r="3847" spans="1:27" x14ac:dyDescent="0.3">
      <c r="A3847" s="2">
        <f>IF(BCP_Soles[[#This Row],[tipo_registro]]="R",COUNTIFS($C$1:$C3846,"R")+1,A3846)</f>
        <v>2549</v>
      </c>
      <c r="B3847" s="19" t="str">
        <f t="shared" si="306"/>
        <v>B-BCP - Soles</v>
      </c>
      <c r="C3847" s="3" t="s">
        <v>1330</v>
      </c>
      <c r="D3847" s="14">
        <v>45917</v>
      </c>
      <c r="E3847" s="5" t="s">
        <v>2269</v>
      </c>
      <c r="F3847" s="5" t="s">
        <v>1336</v>
      </c>
      <c r="G3847" s="6" t="s">
        <v>196</v>
      </c>
      <c r="H3847" s="6" t="s">
        <v>68</v>
      </c>
      <c r="I3847" s="6" t="s">
        <v>2226</v>
      </c>
      <c r="J3847" s="6">
        <v>6913</v>
      </c>
      <c r="K3847" s="7" t="s">
        <v>2227</v>
      </c>
      <c r="L3847" s="8">
        <v>207422</v>
      </c>
      <c r="M3847" s="8" t="str">
        <f t="shared" si="307"/>
        <v>PEN</v>
      </c>
      <c r="N3847" s="13"/>
      <c r="O3847" s="13">
        <v>261.98</v>
      </c>
      <c r="P3847" s="3">
        <f t="shared" si="308"/>
        <v>0</v>
      </c>
      <c r="Q3847" s="3">
        <f t="shared" si="309"/>
        <v>261.98</v>
      </c>
      <c r="R3847" s="3">
        <f t="shared" si="305"/>
        <v>6145.74999999998</v>
      </c>
      <c r="S3847" s="24" t="s">
        <v>1334</v>
      </c>
      <c r="T3847" s="24" t="s">
        <v>1334</v>
      </c>
      <c r="U3847" s="55"/>
      <c r="V3847" s="25">
        <f>IFERROR(VLOOKUP(BCP_Soles[[#This Row],[destinatario]],CHOOSE({1,2},Clientes_Proveedores[Razon Social],Clientes_Proveedores[Ruc / Dni]),2,0),"")</f>
        <v>20100055237</v>
      </c>
      <c r="W3847" s="25"/>
      <c r="X3847" s="25"/>
      <c r="Y3847" s="25"/>
      <c r="Z3847" s="77"/>
      <c r="AA3847" s="3" t="str">
        <f>IF(BCP_Soles[[#This Row],[fecha]]&gt;0,TEXT(BCP_Soles[[#This Row],[fecha]],"mmmm"),0)</f>
        <v>Setiembre</v>
      </c>
    </row>
    <row r="3848" spans="1:27" x14ac:dyDescent="0.3">
      <c r="A3848" s="2">
        <f>IF(BCP_Soles[[#This Row],[tipo_registro]]="R",COUNTIFS($C$1:$C3847,"R")+1,A3847)</f>
        <v>2550</v>
      </c>
      <c r="B3848" s="19" t="str">
        <f t="shared" si="306"/>
        <v>B-BCP - Soles</v>
      </c>
      <c r="C3848" s="3" t="s">
        <v>1330</v>
      </c>
      <c r="D3848" s="14">
        <v>45917</v>
      </c>
      <c r="E3848" s="5" t="s">
        <v>2269</v>
      </c>
      <c r="F3848" s="5" t="s">
        <v>1336</v>
      </c>
      <c r="G3848" s="6" t="s">
        <v>196</v>
      </c>
      <c r="H3848" s="6" t="s">
        <v>68</v>
      </c>
      <c r="I3848" s="6" t="s">
        <v>2226</v>
      </c>
      <c r="J3848" s="6">
        <v>6914</v>
      </c>
      <c r="K3848" s="7" t="s">
        <v>2227</v>
      </c>
      <c r="L3848" s="8">
        <v>205970</v>
      </c>
      <c r="M3848" s="8" t="str">
        <f t="shared" si="307"/>
        <v>PEN</v>
      </c>
      <c r="N3848" s="13"/>
      <c r="O3848" s="13">
        <v>181.46</v>
      </c>
      <c r="P3848" s="3">
        <f t="shared" si="308"/>
        <v>0</v>
      </c>
      <c r="Q3848" s="3">
        <f t="shared" si="309"/>
        <v>181.46</v>
      </c>
      <c r="R3848" s="3">
        <f t="shared" si="305"/>
        <v>5964.28999999998</v>
      </c>
      <c r="S3848" s="24" t="s">
        <v>1334</v>
      </c>
      <c r="T3848" s="24" t="s">
        <v>1334</v>
      </c>
      <c r="U3848" s="55"/>
      <c r="V3848" s="25">
        <f>IFERROR(VLOOKUP(BCP_Soles[[#This Row],[destinatario]],CHOOSE({1,2},Clientes_Proveedores[Razon Social],Clientes_Proveedores[Ruc / Dni]),2,0),"")</f>
        <v>20100055237</v>
      </c>
      <c r="W3848" s="25"/>
      <c r="X3848" s="25"/>
      <c r="Y3848" s="25"/>
      <c r="Z3848" s="77"/>
      <c r="AA3848" s="3" t="str">
        <f>IF(BCP_Soles[[#This Row],[fecha]]&gt;0,TEXT(BCP_Soles[[#This Row],[fecha]],"mmmm"),0)</f>
        <v>Setiembre</v>
      </c>
    </row>
    <row r="3849" spans="1:27" x14ac:dyDescent="0.3">
      <c r="A3849" s="2">
        <f>IF(BCP_Soles[[#This Row],[tipo_registro]]="R",COUNTIFS($C$1:$C3848,"R")+1,A3848)</f>
        <v>2551</v>
      </c>
      <c r="B3849" s="19" t="str">
        <f t="shared" si="306"/>
        <v>B-BCP - Soles</v>
      </c>
      <c r="C3849" s="3" t="s">
        <v>1330</v>
      </c>
      <c r="D3849" s="14">
        <v>45917</v>
      </c>
      <c r="E3849" s="5" t="s">
        <v>2269</v>
      </c>
      <c r="F3849" s="5" t="s">
        <v>1336</v>
      </c>
      <c r="G3849" s="6" t="s">
        <v>696</v>
      </c>
      <c r="H3849" s="6"/>
      <c r="I3849" s="6"/>
      <c r="J3849" s="6"/>
      <c r="K3849" s="7" t="s">
        <v>4515</v>
      </c>
      <c r="L3849" s="8">
        <v>5930312</v>
      </c>
      <c r="M3849" s="8" t="str">
        <f t="shared" si="307"/>
        <v>PEN</v>
      </c>
      <c r="N3849" s="13"/>
      <c r="O3849" s="13">
        <v>3048</v>
      </c>
      <c r="P3849" s="3">
        <f t="shared" si="308"/>
        <v>0</v>
      </c>
      <c r="Q3849" s="3">
        <f t="shared" si="309"/>
        <v>3048</v>
      </c>
      <c r="R3849" s="3">
        <f t="shared" ref="R3849:R3912" si="310">IFERROR(IF(F3849="SALDO",P3849,R3848+P3849-Q3849),0)</f>
        <v>2916.28999999998</v>
      </c>
      <c r="S3849" s="24" t="s">
        <v>1334</v>
      </c>
      <c r="T3849" s="24" t="s">
        <v>1334</v>
      </c>
      <c r="U3849" s="56" t="s">
        <v>4516</v>
      </c>
      <c r="V3849" s="25">
        <f>IFERROR(VLOOKUP(BCP_Soles[[#This Row],[destinatario]],CHOOSE({1,2},Clientes_Proveedores[Razon Social],Clientes_Proveedores[Ruc / Dni]),2,0),"")</f>
        <v>0</v>
      </c>
      <c r="W3849" s="25"/>
      <c r="X3849" s="25"/>
      <c r="Y3849" s="25"/>
      <c r="Z3849" s="77"/>
      <c r="AA3849" s="3" t="str">
        <f>IF(BCP_Soles[[#This Row],[fecha]]&gt;0,TEXT(BCP_Soles[[#This Row],[fecha]],"mmmm"),0)</f>
        <v>Setiembre</v>
      </c>
    </row>
    <row r="3850" spans="1:27" x14ac:dyDescent="0.3">
      <c r="A3850" s="2">
        <f>IF(BCP_Soles[[#This Row],[tipo_registro]]="R",COUNTIFS($C$1:$C3849,"R")+1,A3849)</f>
        <v>2551</v>
      </c>
      <c r="B3850" s="19" t="str">
        <f t="shared" si="306"/>
        <v>B-BCP - Soles</v>
      </c>
      <c r="C3850" s="3" t="s">
        <v>1352</v>
      </c>
      <c r="D3850" s="14">
        <v>45917</v>
      </c>
      <c r="E3850" s="5" t="s">
        <v>2269</v>
      </c>
      <c r="F3850" s="5"/>
      <c r="G3850" s="6" t="s">
        <v>1191</v>
      </c>
      <c r="H3850" s="6" t="s">
        <v>68</v>
      </c>
      <c r="I3850" s="6" t="s">
        <v>1376</v>
      </c>
      <c r="J3850" s="6">
        <v>1907</v>
      </c>
      <c r="K3850" s="7" t="s">
        <v>4515</v>
      </c>
      <c r="L3850" s="8">
        <v>5930312</v>
      </c>
      <c r="M3850" s="8" t="str">
        <f t="shared" si="307"/>
        <v>PEN</v>
      </c>
      <c r="N3850" s="13">
        <v>1710</v>
      </c>
      <c r="O3850" s="13"/>
      <c r="P3850" s="3">
        <f t="shared" si="308"/>
        <v>0</v>
      </c>
      <c r="Q3850" s="3">
        <f t="shared" si="309"/>
        <v>0</v>
      </c>
      <c r="R3850" s="3">
        <f t="shared" si="310"/>
        <v>2916.28999999998</v>
      </c>
      <c r="S3850" s="24" t="s">
        <v>1334</v>
      </c>
      <c r="T3850" s="24" t="s">
        <v>1334</v>
      </c>
      <c r="U3850" s="56" t="s">
        <v>4516</v>
      </c>
      <c r="V3850" s="25">
        <f>IFERROR(VLOOKUP(BCP_Soles[[#This Row],[destinatario]],CHOOSE({1,2},Clientes_Proveedores[Razon Social],Clientes_Proveedores[Ruc / Dni]),2,0),"")</f>
        <v>20601162165</v>
      </c>
      <c r="W3850" s="25"/>
      <c r="X3850" s="25"/>
      <c r="Y3850" s="25"/>
      <c r="Z3850" s="77"/>
      <c r="AA3850" s="3" t="str">
        <f>IF(BCP_Soles[[#This Row],[fecha]]&gt;0,TEXT(BCP_Soles[[#This Row],[fecha]],"mmmm"),0)</f>
        <v>Setiembre</v>
      </c>
    </row>
    <row r="3851" spans="1:27" x14ac:dyDescent="0.3">
      <c r="A3851" s="2">
        <f>IF(BCP_Soles[[#This Row],[tipo_registro]]="R",COUNTIFS($C$1:$C3850,"R")+1,A3850)</f>
        <v>2551</v>
      </c>
      <c r="B3851" s="19" t="str">
        <f t="shared" si="306"/>
        <v>B-BCP - Soles</v>
      </c>
      <c r="C3851" s="3" t="s">
        <v>1352</v>
      </c>
      <c r="D3851" s="14">
        <v>45917</v>
      </c>
      <c r="E3851" s="5" t="s">
        <v>2269</v>
      </c>
      <c r="F3851" s="5"/>
      <c r="G3851" s="6" t="s">
        <v>518</v>
      </c>
      <c r="H3851" s="6" t="s">
        <v>68</v>
      </c>
      <c r="I3851" s="6" t="s">
        <v>1376</v>
      </c>
      <c r="J3851" s="6">
        <v>1575</v>
      </c>
      <c r="K3851" s="7" t="s">
        <v>4515</v>
      </c>
      <c r="L3851" s="8">
        <v>5930312</v>
      </c>
      <c r="M3851" s="8" t="str">
        <f t="shared" si="307"/>
        <v>PEN</v>
      </c>
      <c r="N3851" s="13">
        <v>1338</v>
      </c>
      <c r="O3851" s="13"/>
      <c r="P3851" s="3">
        <f t="shared" si="308"/>
        <v>0</v>
      </c>
      <c r="Q3851" s="3">
        <f t="shared" si="309"/>
        <v>0</v>
      </c>
      <c r="R3851" s="3">
        <f t="shared" si="310"/>
        <v>2916.28999999998</v>
      </c>
      <c r="S3851" s="24" t="s">
        <v>1334</v>
      </c>
      <c r="T3851" s="24" t="s">
        <v>1334</v>
      </c>
      <c r="U3851" s="56" t="s">
        <v>4516</v>
      </c>
      <c r="V3851" s="25">
        <f>IFERROR(VLOOKUP(BCP_Soles[[#This Row],[destinatario]],CHOOSE({1,2},Clientes_Proveedores[Razon Social],Clientes_Proveedores[Ruc / Dni]),2,0),"")</f>
        <v>20603912838</v>
      </c>
      <c r="W3851" s="25"/>
      <c r="X3851" s="25"/>
      <c r="Y3851" s="25"/>
      <c r="Z3851" s="77"/>
      <c r="AA3851" s="3" t="str">
        <f>IF(BCP_Soles[[#This Row],[fecha]]&gt;0,TEXT(BCP_Soles[[#This Row],[fecha]],"mmmm"),0)</f>
        <v>Setiembre</v>
      </c>
    </row>
    <row r="3852" spans="1:27" ht="24" x14ac:dyDescent="0.3">
      <c r="A3852" s="2">
        <f>IF(BCP_Soles[[#This Row],[tipo_registro]]="R",COUNTIFS($C$1:$C3851,"R")+1,A3851)</f>
        <v>2552</v>
      </c>
      <c r="B3852" s="19" t="str">
        <f t="shared" si="306"/>
        <v>B-BCP - Soles</v>
      </c>
      <c r="C3852" s="3" t="s">
        <v>1330</v>
      </c>
      <c r="D3852" s="14">
        <v>45917</v>
      </c>
      <c r="E3852" s="5" t="s">
        <v>2269</v>
      </c>
      <c r="F3852" s="5" t="s">
        <v>1336</v>
      </c>
      <c r="G3852" s="6" t="s">
        <v>132</v>
      </c>
      <c r="H3852" s="6" t="s">
        <v>68</v>
      </c>
      <c r="I3852" s="6" t="s">
        <v>1376</v>
      </c>
      <c r="J3852" s="6">
        <v>793</v>
      </c>
      <c r="K3852" s="7" t="s">
        <v>4517</v>
      </c>
      <c r="L3852" s="8">
        <v>1211609</v>
      </c>
      <c r="M3852" s="8" t="str">
        <f t="shared" si="307"/>
        <v>PEN</v>
      </c>
      <c r="N3852" s="13"/>
      <c r="O3852" s="13">
        <v>350</v>
      </c>
      <c r="P3852" s="3">
        <f t="shared" si="308"/>
        <v>0</v>
      </c>
      <c r="Q3852" s="3">
        <f t="shared" si="309"/>
        <v>350</v>
      </c>
      <c r="R3852" s="3">
        <f t="shared" si="310"/>
        <v>2566.28999999998</v>
      </c>
      <c r="S3852" s="24" t="s">
        <v>1334</v>
      </c>
      <c r="T3852" s="24" t="s">
        <v>1334</v>
      </c>
      <c r="U3852" s="56" t="s">
        <v>4518</v>
      </c>
      <c r="V3852" s="25">
        <f>IFERROR(VLOOKUP(BCP_Soles[[#This Row],[destinatario]],CHOOSE({1,2},Clientes_Proveedores[Razon Social],Clientes_Proveedores[Ruc / Dni]),2,0),"")</f>
        <v>10296695781</v>
      </c>
      <c r="W3852" s="25"/>
      <c r="X3852" s="25"/>
      <c r="Y3852" s="25"/>
      <c r="Z3852" s="77"/>
      <c r="AA3852" s="3" t="str">
        <f>IF(BCP_Soles[[#This Row],[fecha]]&gt;0,TEXT(BCP_Soles[[#This Row],[fecha]],"mmmm"),0)</f>
        <v>Setiembre</v>
      </c>
    </row>
    <row r="3853" spans="1:27" x14ac:dyDescent="0.3">
      <c r="A3853" s="2">
        <f>IF(BCP_Soles[[#This Row],[tipo_registro]]="R",COUNTIFS($C$1:$C3852,"R")+1,A3852)</f>
        <v>2553</v>
      </c>
      <c r="B3853" s="19" t="str">
        <f t="shared" si="306"/>
        <v>B-BCP - Soles</v>
      </c>
      <c r="C3853" s="3" t="s">
        <v>1330</v>
      </c>
      <c r="D3853" s="14">
        <v>45917</v>
      </c>
      <c r="E3853" s="5" t="s">
        <v>1335</v>
      </c>
      <c r="F3853" s="5" t="s">
        <v>1336</v>
      </c>
      <c r="G3853" s="6" t="s">
        <v>1009</v>
      </c>
      <c r="H3853" s="6" t="s">
        <v>64</v>
      </c>
      <c r="I3853" s="6" t="s">
        <v>3673</v>
      </c>
      <c r="J3853" s="6">
        <v>2555</v>
      </c>
      <c r="K3853" s="7" t="s">
        <v>3160</v>
      </c>
      <c r="L3853" s="8"/>
      <c r="M3853" s="8" t="str">
        <f t="shared" si="307"/>
        <v>PEN</v>
      </c>
      <c r="N3853" s="13"/>
      <c r="O3853" s="13">
        <v>0.25</v>
      </c>
      <c r="P3853" s="3">
        <f t="shared" si="308"/>
        <v>0</v>
      </c>
      <c r="Q3853" s="3">
        <f t="shared" si="309"/>
        <v>0.25</v>
      </c>
      <c r="R3853" s="3">
        <f t="shared" si="310"/>
        <v>2566.03999999998</v>
      </c>
      <c r="S3853" s="24"/>
      <c r="T3853" s="24" t="s">
        <v>1334</v>
      </c>
      <c r="U3853" s="55"/>
      <c r="V3853" s="25">
        <f>IFERROR(VLOOKUP(BCP_Soles[[#This Row],[destinatario]],CHOOSE({1,2},Clientes_Proveedores[Razon Social],Clientes_Proveedores[Ruc / Dni]),2,0),"")</f>
        <v>11111111</v>
      </c>
      <c r="W3853" s="25"/>
      <c r="X3853" s="25"/>
      <c r="Y3853" s="25"/>
      <c r="Z3853" s="77"/>
      <c r="AA3853" s="3" t="str">
        <f>IF(BCP_Soles[[#This Row],[fecha]]&gt;0,TEXT(BCP_Soles[[#This Row],[fecha]],"mmmm"),0)</f>
        <v>Setiembre</v>
      </c>
    </row>
    <row r="3854" spans="1:27" ht="24" x14ac:dyDescent="0.3">
      <c r="A3854" s="2">
        <f>IF(BCP_Soles[[#This Row],[tipo_registro]]="R",COUNTIFS($C$1:$C3853,"R")+1,A3853)</f>
        <v>2554</v>
      </c>
      <c r="B3854" s="19" t="str">
        <f t="shared" si="306"/>
        <v>B-BCP - Soles</v>
      </c>
      <c r="C3854" s="3" t="s">
        <v>1330</v>
      </c>
      <c r="D3854" s="14">
        <v>45918</v>
      </c>
      <c r="E3854" s="5" t="s">
        <v>2009</v>
      </c>
      <c r="F3854" s="5" t="s">
        <v>1303</v>
      </c>
      <c r="G3854" s="6" t="s">
        <v>425</v>
      </c>
      <c r="H3854" s="6" t="s">
        <v>119</v>
      </c>
      <c r="I3854" s="6">
        <v>1</v>
      </c>
      <c r="J3854" s="6">
        <v>4754</v>
      </c>
      <c r="K3854" s="7" t="s">
        <v>3608</v>
      </c>
      <c r="L3854" s="8">
        <v>801168</v>
      </c>
      <c r="M3854" s="8" t="str">
        <f t="shared" si="307"/>
        <v>PEN</v>
      </c>
      <c r="N3854" s="13"/>
      <c r="O3854" s="13">
        <v>980</v>
      </c>
      <c r="P3854" s="3">
        <f t="shared" si="308"/>
        <v>980</v>
      </c>
      <c r="Q3854" s="3">
        <f t="shared" si="309"/>
        <v>0</v>
      </c>
      <c r="R3854" s="3">
        <f t="shared" si="310"/>
        <v>3546.03999999998</v>
      </c>
      <c r="S3854" s="24" t="s">
        <v>1334</v>
      </c>
      <c r="T3854" s="24" t="s">
        <v>1334</v>
      </c>
      <c r="U3854" s="55"/>
      <c r="V3854" s="25">
        <f>IFERROR(VLOOKUP(BCP_Soles[[#This Row],[destinatario]],CHOOSE({1,2},Clientes_Proveedores[Razon Social],Clientes_Proveedores[Ruc / Dni]),2,0),"")</f>
        <v>20558226979</v>
      </c>
      <c r="W3854" s="25"/>
      <c r="X3854" s="25"/>
      <c r="Y3854" s="25"/>
      <c r="Z3854" s="77"/>
      <c r="AA3854" s="3" t="str">
        <f>IF(BCP_Soles[[#This Row],[fecha]]&gt;0,TEXT(BCP_Soles[[#This Row],[fecha]],"mmmm"),0)</f>
        <v>Setiembre</v>
      </c>
    </row>
    <row r="3855" spans="1:27" x14ac:dyDescent="0.3">
      <c r="A3855" s="2">
        <f>IF(BCP_Soles[[#This Row],[tipo_registro]]="R",COUNTIFS($C$1:$C3854,"R")+1,A3854)</f>
        <v>2555</v>
      </c>
      <c r="B3855" s="19" t="str">
        <f t="shared" si="306"/>
        <v>B-BCP - Soles</v>
      </c>
      <c r="C3855" s="3" t="s">
        <v>1330</v>
      </c>
      <c r="D3855" s="14">
        <v>45918</v>
      </c>
      <c r="E3855" s="5" t="s">
        <v>1442</v>
      </c>
      <c r="F3855" s="5" t="s">
        <v>1303</v>
      </c>
      <c r="G3855" s="6" t="s">
        <v>425</v>
      </c>
      <c r="H3855" s="6" t="s">
        <v>119</v>
      </c>
      <c r="I3855" s="6">
        <v>1</v>
      </c>
      <c r="J3855" s="6">
        <v>4755</v>
      </c>
      <c r="K3855" s="7" t="s">
        <v>3608</v>
      </c>
      <c r="L3855" s="8">
        <v>884542</v>
      </c>
      <c r="M3855" s="8" t="str">
        <f t="shared" si="307"/>
        <v>PEN</v>
      </c>
      <c r="N3855" s="13"/>
      <c r="O3855" s="13">
        <v>548</v>
      </c>
      <c r="P3855" s="3">
        <f t="shared" si="308"/>
        <v>548</v>
      </c>
      <c r="Q3855" s="3">
        <f t="shared" si="309"/>
        <v>0</v>
      </c>
      <c r="R3855" s="3">
        <f t="shared" si="310"/>
        <v>4094.03999999998</v>
      </c>
      <c r="S3855" s="24" t="s">
        <v>1334</v>
      </c>
      <c r="T3855" s="24" t="s">
        <v>1334</v>
      </c>
      <c r="U3855" s="55"/>
      <c r="V3855" s="25">
        <f>IFERROR(VLOOKUP(BCP_Soles[[#This Row],[destinatario]],CHOOSE({1,2},Clientes_Proveedores[Razon Social],Clientes_Proveedores[Ruc / Dni]),2,0),"")</f>
        <v>20558226979</v>
      </c>
      <c r="W3855" s="25"/>
      <c r="X3855" s="25"/>
      <c r="Y3855" s="25"/>
      <c r="Z3855" s="77"/>
      <c r="AA3855" s="3" t="str">
        <f>IF(BCP_Soles[[#This Row],[fecha]]&gt;0,TEXT(BCP_Soles[[#This Row],[fecha]],"mmmm"),0)</f>
        <v>Setiembre</v>
      </c>
    </row>
    <row r="3856" spans="1:27" x14ac:dyDescent="0.3">
      <c r="A3856" s="2">
        <f>IF(BCP_Soles[[#This Row],[tipo_registro]]="R",COUNTIFS($C$1:$C3855,"R")+1,A3855)</f>
        <v>2556</v>
      </c>
      <c r="B3856" s="19" t="str">
        <f t="shared" si="306"/>
        <v>B-BCP - Soles</v>
      </c>
      <c r="C3856" s="3" t="s">
        <v>1330</v>
      </c>
      <c r="D3856" s="14">
        <v>45918</v>
      </c>
      <c r="E3856" s="5" t="s">
        <v>196</v>
      </c>
      <c r="F3856" s="5" t="s">
        <v>1303</v>
      </c>
      <c r="G3856" s="6" t="s">
        <v>425</v>
      </c>
      <c r="H3856" s="6" t="s">
        <v>68</v>
      </c>
      <c r="I3856" s="6" t="s">
        <v>1784</v>
      </c>
      <c r="J3856" s="6">
        <v>205</v>
      </c>
      <c r="K3856" s="7" t="s">
        <v>4519</v>
      </c>
      <c r="L3856" s="8">
        <v>11777</v>
      </c>
      <c r="M3856" s="8" t="str">
        <f t="shared" si="307"/>
        <v>PEN</v>
      </c>
      <c r="N3856" s="13"/>
      <c r="O3856" s="13">
        <v>3036.91</v>
      </c>
      <c r="P3856" s="3">
        <f t="shared" si="308"/>
        <v>3036.91</v>
      </c>
      <c r="Q3856" s="3">
        <f t="shared" si="309"/>
        <v>0</v>
      </c>
      <c r="R3856" s="3">
        <f t="shared" si="310"/>
        <v>7130.9499999999798</v>
      </c>
      <c r="S3856" s="24" t="s">
        <v>1334</v>
      </c>
      <c r="T3856" s="24" t="s">
        <v>1334</v>
      </c>
      <c r="U3856" s="55"/>
      <c r="V3856" s="25">
        <f>IFERROR(VLOOKUP(BCP_Soles[[#This Row],[destinatario]],CHOOSE({1,2},Clientes_Proveedores[Razon Social],Clientes_Proveedores[Ruc / Dni]),2,0),"")</f>
        <v>20558226979</v>
      </c>
      <c r="W3856" s="25"/>
      <c r="X3856" s="25"/>
      <c r="Y3856" s="25"/>
      <c r="Z3856" s="77"/>
      <c r="AA3856" s="3" t="str">
        <f>IF(BCP_Soles[[#This Row],[fecha]]&gt;0,TEXT(BCP_Soles[[#This Row],[fecha]],"mmmm"),0)</f>
        <v>Setiembre</v>
      </c>
    </row>
    <row r="3857" spans="1:27" ht="36" x14ac:dyDescent="0.3">
      <c r="A3857" s="2">
        <f>IF(BCP_Soles[[#This Row],[tipo_registro]]="R",COUNTIFS($C$1:$C3856,"R")+1,A3856)</f>
        <v>2557</v>
      </c>
      <c r="B3857" s="19" t="str">
        <f t="shared" si="306"/>
        <v>B-BCP - Soles</v>
      </c>
      <c r="C3857" s="3" t="s">
        <v>1330</v>
      </c>
      <c r="D3857" s="14">
        <v>45918</v>
      </c>
      <c r="E3857" s="5" t="s">
        <v>237</v>
      </c>
      <c r="F3857" s="5" t="s">
        <v>1303</v>
      </c>
      <c r="G3857" s="6" t="s">
        <v>425</v>
      </c>
      <c r="H3857" s="6" t="s">
        <v>68</v>
      </c>
      <c r="I3857" s="6" t="s">
        <v>1784</v>
      </c>
      <c r="J3857" s="6">
        <v>239</v>
      </c>
      <c r="K3857" s="7" t="s">
        <v>4520</v>
      </c>
      <c r="L3857" s="8">
        <v>6275267</v>
      </c>
      <c r="M3857" s="8" t="str">
        <f t="shared" si="307"/>
        <v>PEN</v>
      </c>
      <c r="N3857" s="13"/>
      <c r="O3857" s="13">
        <v>2541.64</v>
      </c>
      <c r="P3857" s="3">
        <f t="shared" si="308"/>
        <v>2541.64</v>
      </c>
      <c r="Q3857" s="3">
        <f t="shared" si="309"/>
        <v>0</v>
      </c>
      <c r="R3857" s="3">
        <f t="shared" si="310"/>
        <v>9672.5899999999801</v>
      </c>
      <c r="S3857" s="24" t="s">
        <v>1334</v>
      </c>
      <c r="T3857" s="24" t="s">
        <v>1334</v>
      </c>
      <c r="U3857" s="55"/>
      <c r="V3857" s="25">
        <f>IFERROR(VLOOKUP(BCP_Soles[[#This Row],[destinatario]],CHOOSE({1,2},Clientes_Proveedores[Razon Social],Clientes_Proveedores[Ruc / Dni]),2,0),"")</f>
        <v>20558226979</v>
      </c>
      <c r="W3857" s="25"/>
      <c r="X3857" s="25"/>
      <c r="Y3857" s="25"/>
      <c r="Z3857" s="77"/>
      <c r="AA3857" s="3" t="str">
        <f>IF(BCP_Soles[[#This Row],[fecha]]&gt;0,TEXT(BCP_Soles[[#This Row],[fecha]],"mmmm"),0)</f>
        <v>Setiembre</v>
      </c>
    </row>
    <row r="3858" spans="1:27" ht="36" x14ac:dyDescent="0.3">
      <c r="A3858" s="2">
        <f>IF(BCP_Soles[[#This Row],[tipo_registro]]="R",COUNTIFS($C$1:$C3857,"R")+1,A3857)</f>
        <v>2558</v>
      </c>
      <c r="B3858" s="19" t="str">
        <f t="shared" si="306"/>
        <v>B-BCP - Soles</v>
      </c>
      <c r="C3858" s="3" t="s">
        <v>1330</v>
      </c>
      <c r="D3858" s="14">
        <v>45918</v>
      </c>
      <c r="E3858" s="5" t="s">
        <v>261</v>
      </c>
      <c r="F3858" s="5" t="s">
        <v>1303</v>
      </c>
      <c r="G3858" s="6" t="s">
        <v>425</v>
      </c>
      <c r="H3858" s="6" t="s">
        <v>68</v>
      </c>
      <c r="I3858" s="6" t="s">
        <v>3302</v>
      </c>
      <c r="J3858" s="6">
        <v>136</v>
      </c>
      <c r="K3858" s="7" t="s">
        <v>4521</v>
      </c>
      <c r="L3858" s="8">
        <v>6331391</v>
      </c>
      <c r="M3858" s="8" t="str">
        <f t="shared" si="307"/>
        <v>PEN</v>
      </c>
      <c r="N3858" s="13"/>
      <c r="O3858" s="13">
        <v>14634.73</v>
      </c>
      <c r="P3858" s="3">
        <f t="shared" si="308"/>
        <v>14634.73</v>
      </c>
      <c r="Q3858" s="3">
        <f t="shared" si="309"/>
        <v>0</v>
      </c>
      <c r="R3858" s="3">
        <f t="shared" si="310"/>
        <v>24307.319999999978</v>
      </c>
      <c r="S3858" s="24" t="s">
        <v>1334</v>
      </c>
      <c r="T3858" s="24" t="s">
        <v>1334</v>
      </c>
      <c r="U3858" s="55"/>
      <c r="V3858" s="25">
        <f>IFERROR(VLOOKUP(BCP_Soles[[#This Row],[destinatario]],CHOOSE({1,2},Clientes_Proveedores[Razon Social],Clientes_Proveedores[Ruc / Dni]),2,0),"")</f>
        <v>20558226979</v>
      </c>
      <c r="W3858" s="25"/>
      <c r="X3858" s="25"/>
      <c r="Y3858" s="25"/>
      <c r="Z3858" s="77"/>
      <c r="AA3858" s="3" t="str">
        <f>IF(BCP_Soles[[#This Row],[fecha]]&gt;0,TEXT(BCP_Soles[[#This Row],[fecha]],"mmmm"),0)</f>
        <v>Setiembre</v>
      </c>
    </row>
    <row r="3859" spans="1:27" x14ac:dyDescent="0.3">
      <c r="A3859" s="2">
        <f>IF(BCP_Soles[[#This Row],[tipo_registro]]="R",COUNTIFS($C$1:$C3858,"R")+1,A3858)</f>
        <v>2559</v>
      </c>
      <c r="B3859" s="19" t="str">
        <f t="shared" si="306"/>
        <v>B-BCP - Soles</v>
      </c>
      <c r="C3859" s="3" t="s">
        <v>1330</v>
      </c>
      <c r="D3859" s="14">
        <v>45918</v>
      </c>
      <c r="E3859" s="5"/>
      <c r="F3859" s="5" t="s">
        <v>1303</v>
      </c>
      <c r="G3859" s="6" t="s">
        <v>425</v>
      </c>
      <c r="H3859" s="6"/>
      <c r="I3859" s="6"/>
      <c r="J3859" s="6"/>
      <c r="K3859" s="7" t="s">
        <v>4324</v>
      </c>
      <c r="L3859" s="8">
        <v>4728</v>
      </c>
      <c r="M3859" s="8" t="str">
        <f t="shared" si="307"/>
        <v>PEN</v>
      </c>
      <c r="N3859" s="13"/>
      <c r="O3859" s="13">
        <v>4300</v>
      </c>
      <c r="P3859" s="3">
        <f t="shared" si="308"/>
        <v>4300</v>
      </c>
      <c r="Q3859" s="3">
        <f t="shared" si="309"/>
        <v>0</v>
      </c>
      <c r="R3859" s="3">
        <f t="shared" si="310"/>
        <v>28607.319999999978</v>
      </c>
      <c r="S3859" s="24" t="s">
        <v>1334</v>
      </c>
      <c r="T3859" s="24" t="s">
        <v>1334</v>
      </c>
      <c r="U3859" s="55"/>
      <c r="V3859" s="25">
        <f>IFERROR(VLOOKUP(BCP_Soles[[#This Row],[destinatario]],CHOOSE({1,2},Clientes_Proveedores[Razon Social],Clientes_Proveedores[Ruc / Dni]),2,0),"")</f>
        <v>20558226979</v>
      </c>
      <c r="W3859" s="25"/>
      <c r="X3859" s="25"/>
      <c r="Y3859" s="25"/>
      <c r="Z3859" s="77"/>
      <c r="AA3859" s="3" t="str">
        <f>IF(BCP_Soles[[#This Row],[fecha]]&gt;0,TEXT(BCP_Soles[[#This Row],[fecha]],"mmmm"),0)</f>
        <v>Setiembre</v>
      </c>
    </row>
    <row r="3860" spans="1:27" ht="24" x14ac:dyDescent="0.3">
      <c r="A3860" s="2">
        <f>IF(BCP_Soles[[#This Row],[tipo_registro]]="R",COUNTIFS($C$1:$C3859,"R")+1,A3859)</f>
        <v>2559</v>
      </c>
      <c r="B3860" s="19" t="str">
        <f t="shared" si="306"/>
        <v>B-BCP - Soles</v>
      </c>
      <c r="C3860" s="3" t="s">
        <v>1352</v>
      </c>
      <c r="D3860" s="14">
        <v>45918</v>
      </c>
      <c r="E3860" s="5" t="s">
        <v>4522</v>
      </c>
      <c r="F3860" s="5" t="s">
        <v>1303</v>
      </c>
      <c r="G3860" s="6" t="s">
        <v>425</v>
      </c>
      <c r="H3860" s="6" t="s">
        <v>119</v>
      </c>
      <c r="I3860" s="6">
        <v>1</v>
      </c>
      <c r="J3860" s="6">
        <v>4757</v>
      </c>
      <c r="K3860" s="7" t="s">
        <v>4324</v>
      </c>
      <c r="L3860" s="8">
        <v>4728</v>
      </c>
      <c r="M3860" s="8" t="str">
        <f t="shared" si="307"/>
        <v>PEN</v>
      </c>
      <c r="N3860" s="13">
        <v>400</v>
      </c>
      <c r="O3860" s="13"/>
      <c r="P3860" s="3">
        <f t="shared" si="308"/>
        <v>0</v>
      </c>
      <c r="Q3860" s="3">
        <f t="shared" si="309"/>
        <v>0</v>
      </c>
      <c r="R3860" s="3">
        <f t="shared" si="310"/>
        <v>28607.319999999978</v>
      </c>
      <c r="S3860" s="24" t="s">
        <v>1334</v>
      </c>
      <c r="T3860" s="24" t="s">
        <v>1334</v>
      </c>
      <c r="U3860" s="55"/>
      <c r="V3860" s="25">
        <f>IFERROR(VLOOKUP(BCP_Soles[[#This Row],[destinatario]],CHOOSE({1,2},Clientes_Proveedores[Razon Social],Clientes_Proveedores[Ruc / Dni]),2,0),"")</f>
        <v>20558226979</v>
      </c>
      <c r="W3860" s="25"/>
      <c r="X3860" s="25"/>
      <c r="Y3860" s="25"/>
      <c r="Z3860" s="77"/>
      <c r="AA3860" s="3" t="str">
        <f>IF(BCP_Soles[[#This Row],[fecha]]&gt;0,TEXT(BCP_Soles[[#This Row],[fecha]],"mmmm"),0)</f>
        <v>Setiembre</v>
      </c>
    </row>
    <row r="3861" spans="1:27" x14ac:dyDescent="0.3">
      <c r="A3861" s="2">
        <f>IF(BCP_Soles[[#This Row],[tipo_registro]]="R",COUNTIFS($C$1:$C3860,"R")+1,A3860)</f>
        <v>2559</v>
      </c>
      <c r="B3861" s="19" t="str">
        <f t="shared" si="306"/>
        <v>B-BCP - Soles</v>
      </c>
      <c r="C3861" s="3" t="s">
        <v>1352</v>
      </c>
      <c r="D3861" s="14">
        <v>45918</v>
      </c>
      <c r="E3861" s="5" t="s">
        <v>1498</v>
      </c>
      <c r="F3861" s="5" t="s">
        <v>1303</v>
      </c>
      <c r="G3861" s="6" t="s">
        <v>425</v>
      </c>
      <c r="H3861" s="6" t="s">
        <v>119</v>
      </c>
      <c r="I3861" s="6">
        <v>1</v>
      </c>
      <c r="J3861" s="6">
        <v>4759</v>
      </c>
      <c r="K3861" s="7" t="s">
        <v>4324</v>
      </c>
      <c r="L3861" s="8">
        <v>4728</v>
      </c>
      <c r="M3861" s="8" t="str">
        <f t="shared" si="307"/>
        <v>PEN</v>
      </c>
      <c r="N3861" s="13">
        <v>387.5</v>
      </c>
      <c r="O3861" s="13"/>
      <c r="P3861" s="3">
        <f t="shared" si="308"/>
        <v>0</v>
      </c>
      <c r="Q3861" s="3">
        <f t="shared" si="309"/>
        <v>0</v>
      </c>
      <c r="R3861" s="3">
        <f t="shared" si="310"/>
        <v>28607.319999999978</v>
      </c>
      <c r="S3861" s="24" t="s">
        <v>1334</v>
      </c>
      <c r="T3861" s="24" t="s">
        <v>1334</v>
      </c>
      <c r="U3861" s="55"/>
      <c r="V3861" s="25">
        <f>IFERROR(VLOOKUP(BCP_Soles[[#This Row],[destinatario]],CHOOSE({1,2},Clientes_Proveedores[Razon Social],Clientes_Proveedores[Ruc / Dni]),2,0),"")</f>
        <v>20558226979</v>
      </c>
      <c r="W3861" s="25"/>
      <c r="X3861" s="25"/>
      <c r="Y3861" s="25"/>
      <c r="Z3861" s="77"/>
      <c r="AA3861" s="3" t="str">
        <f>IF(BCP_Soles[[#This Row],[fecha]]&gt;0,TEXT(BCP_Soles[[#This Row],[fecha]],"mmmm"),0)</f>
        <v>Setiembre</v>
      </c>
    </row>
    <row r="3862" spans="1:27" ht="24" x14ac:dyDescent="0.3">
      <c r="A3862" s="2">
        <f>IF(BCP_Soles[[#This Row],[tipo_registro]]="R",COUNTIFS($C$1:$C3861,"R")+1,A3861)</f>
        <v>2559</v>
      </c>
      <c r="B3862" s="19" t="str">
        <f t="shared" si="306"/>
        <v>B-BCP - Soles</v>
      </c>
      <c r="C3862" s="3" t="s">
        <v>1352</v>
      </c>
      <c r="D3862" s="14">
        <v>45918</v>
      </c>
      <c r="E3862" s="5" t="s">
        <v>1875</v>
      </c>
      <c r="F3862" s="5" t="s">
        <v>1303</v>
      </c>
      <c r="G3862" s="6" t="s">
        <v>425</v>
      </c>
      <c r="H3862" s="6" t="s">
        <v>119</v>
      </c>
      <c r="I3862" s="6">
        <v>1</v>
      </c>
      <c r="J3862" s="6">
        <v>4760</v>
      </c>
      <c r="K3862" s="7" t="s">
        <v>4324</v>
      </c>
      <c r="L3862" s="8">
        <v>4728</v>
      </c>
      <c r="M3862" s="8" t="str">
        <f t="shared" si="307"/>
        <v>PEN</v>
      </c>
      <c r="N3862" s="13">
        <v>3372.5</v>
      </c>
      <c r="O3862" s="13"/>
      <c r="P3862" s="3">
        <f t="shared" si="308"/>
        <v>0</v>
      </c>
      <c r="Q3862" s="3">
        <f t="shared" si="309"/>
        <v>0</v>
      </c>
      <c r="R3862" s="3">
        <f t="shared" si="310"/>
        <v>28607.319999999978</v>
      </c>
      <c r="S3862" s="24" t="s">
        <v>1334</v>
      </c>
      <c r="T3862" s="24" t="s">
        <v>1334</v>
      </c>
      <c r="U3862" s="55"/>
      <c r="V3862" s="25">
        <f>IFERROR(VLOOKUP(BCP_Soles[[#This Row],[destinatario]],CHOOSE({1,2},Clientes_Proveedores[Razon Social],Clientes_Proveedores[Ruc / Dni]),2,0),"")</f>
        <v>20558226979</v>
      </c>
      <c r="W3862" s="25"/>
      <c r="X3862" s="25"/>
      <c r="Y3862" s="25"/>
      <c r="Z3862" s="77"/>
      <c r="AA3862" s="3" t="str">
        <f>IF(BCP_Soles[[#This Row],[fecha]]&gt;0,TEXT(BCP_Soles[[#This Row],[fecha]],"mmmm"),0)</f>
        <v>Setiembre</v>
      </c>
    </row>
    <row r="3863" spans="1:27" ht="36" x14ac:dyDescent="0.3">
      <c r="A3863" s="2">
        <f>IF(BCP_Soles[[#This Row],[tipo_registro]]="R",COUNTIFS($C$1:$C3862,"R")+1,A3862)</f>
        <v>2559</v>
      </c>
      <c r="B3863" s="19" t="str">
        <f t="shared" si="306"/>
        <v>B-BCP - Soles</v>
      </c>
      <c r="C3863" s="3" t="s">
        <v>1352</v>
      </c>
      <c r="D3863" s="14">
        <v>45918</v>
      </c>
      <c r="E3863" s="5" t="s">
        <v>4523</v>
      </c>
      <c r="F3863" s="5" t="s">
        <v>1303</v>
      </c>
      <c r="G3863" s="6" t="s">
        <v>425</v>
      </c>
      <c r="H3863" s="6" t="s">
        <v>119</v>
      </c>
      <c r="I3863" s="6">
        <v>1</v>
      </c>
      <c r="J3863" s="6">
        <v>4756</v>
      </c>
      <c r="K3863" s="7" t="s">
        <v>4324</v>
      </c>
      <c r="L3863" s="8">
        <v>4728</v>
      </c>
      <c r="M3863" s="8" t="str">
        <f t="shared" si="307"/>
        <v>PEN</v>
      </c>
      <c r="N3863" s="13">
        <v>140</v>
      </c>
      <c r="O3863" s="13"/>
      <c r="P3863" s="3">
        <f t="shared" si="308"/>
        <v>0</v>
      </c>
      <c r="Q3863" s="3">
        <f t="shared" si="309"/>
        <v>0</v>
      </c>
      <c r="R3863" s="3">
        <f t="shared" si="310"/>
        <v>28607.319999999978</v>
      </c>
      <c r="S3863" s="24" t="s">
        <v>1334</v>
      </c>
      <c r="T3863" s="24" t="s">
        <v>1334</v>
      </c>
      <c r="U3863" s="55"/>
      <c r="V3863" s="25">
        <f>IFERROR(VLOOKUP(BCP_Soles[[#This Row],[destinatario]],CHOOSE({1,2},Clientes_Proveedores[Razon Social],Clientes_Proveedores[Ruc / Dni]),2,0),"")</f>
        <v>20558226979</v>
      </c>
      <c r="W3863" s="25"/>
      <c r="X3863" s="25"/>
      <c r="Y3863" s="25"/>
      <c r="Z3863" s="77"/>
      <c r="AA3863" s="3" t="str">
        <f>IF(BCP_Soles[[#This Row],[fecha]]&gt;0,TEXT(BCP_Soles[[#This Row],[fecha]],"mmmm"),0)</f>
        <v>Setiembre</v>
      </c>
    </row>
    <row r="3864" spans="1:27" ht="24" x14ac:dyDescent="0.3">
      <c r="A3864" s="2">
        <f>IF(BCP_Soles[[#This Row],[tipo_registro]]="R",COUNTIFS($C$1:$C3863,"R")+1,A3863)</f>
        <v>2560</v>
      </c>
      <c r="B3864" s="19" t="str">
        <f t="shared" si="306"/>
        <v>B-BCP - Soles</v>
      </c>
      <c r="C3864" s="3" t="s">
        <v>1330</v>
      </c>
      <c r="D3864" s="14">
        <v>45918</v>
      </c>
      <c r="E3864" s="5" t="s">
        <v>659</v>
      </c>
      <c r="F3864" s="5" t="s">
        <v>1303</v>
      </c>
      <c r="G3864" s="6" t="s">
        <v>425</v>
      </c>
      <c r="H3864" s="6" t="s">
        <v>68</v>
      </c>
      <c r="I3864" s="6" t="s">
        <v>1784</v>
      </c>
      <c r="J3864" s="6">
        <v>233</v>
      </c>
      <c r="K3864" s="7" t="s">
        <v>4524</v>
      </c>
      <c r="L3864" s="8">
        <v>6341668</v>
      </c>
      <c r="M3864" s="8" t="str">
        <f t="shared" si="307"/>
        <v>PEN</v>
      </c>
      <c r="N3864" s="13"/>
      <c r="O3864" s="13">
        <v>4433.7299999999996</v>
      </c>
      <c r="P3864" s="3">
        <f t="shared" si="308"/>
        <v>4433.7299999999996</v>
      </c>
      <c r="Q3864" s="3">
        <f t="shared" si="309"/>
        <v>0</v>
      </c>
      <c r="R3864" s="3">
        <f t="shared" si="310"/>
        <v>33041.049999999974</v>
      </c>
      <c r="S3864" s="24" t="s">
        <v>1334</v>
      </c>
      <c r="T3864" s="24" t="s">
        <v>1334</v>
      </c>
      <c r="U3864" s="55"/>
      <c r="V3864" s="25">
        <f>IFERROR(VLOOKUP(BCP_Soles[[#This Row],[destinatario]],CHOOSE({1,2},Clientes_Proveedores[Razon Social],Clientes_Proveedores[Ruc / Dni]),2,0),"")</f>
        <v>20558226979</v>
      </c>
      <c r="W3864" s="25"/>
      <c r="X3864" s="25"/>
      <c r="Y3864" s="25"/>
      <c r="Z3864" s="77"/>
      <c r="AA3864" s="3" t="str">
        <f>IF(BCP_Soles[[#This Row],[fecha]]&gt;0,TEXT(BCP_Soles[[#This Row],[fecha]],"mmmm"),0)</f>
        <v>Setiembre</v>
      </c>
    </row>
    <row r="3865" spans="1:27" ht="24" x14ac:dyDescent="0.3">
      <c r="A3865" s="2">
        <f>IF(BCP_Soles[[#This Row],[tipo_registro]]="R",COUNTIFS($C$1:$C3864,"R")+1,A3864)</f>
        <v>2561</v>
      </c>
      <c r="B3865" s="19" t="str">
        <f t="shared" si="306"/>
        <v>B-BCP - Soles</v>
      </c>
      <c r="C3865" s="3" t="s">
        <v>1330</v>
      </c>
      <c r="D3865" s="14">
        <v>45918</v>
      </c>
      <c r="E3865" s="5" t="s">
        <v>4171</v>
      </c>
      <c r="F3865" s="5" t="s">
        <v>1336</v>
      </c>
      <c r="G3865" s="6" t="s">
        <v>866</v>
      </c>
      <c r="H3865" s="6" t="s">
        <v>143</v>
      </c>
      <c r="I3865" s="6">
        <v>1</v>
      </c>
      <c r="J3865" s="6">
        <v>752025</v>
      </c>
      <c r="K3865" s="7" t="s">
        <v>4525</v>
      </c>
      <c r="L3865" s="8">
        <v>1119936</v>
      </c>
      <c r="M3865" s="8" t="str">
        <f t="shared" si="307"/>
        <v>PEN</v>
      </c>
      <c r="N3865" s="13"/>
      <c r="O3865" s="13">
        <v>420</v>
      </c>
      <c r="P3865" s="3">
        <f t="shared" si="308"/>
        <v>0</v>
      </c>
      <c r="Q3865" s="3">
        <f t="shared" si="309"/>
        <v>420</v>
      </c>
      <c r="R3865" s="3">
        <f t="shared" si="310"/>
        <v>32621.049999999974</v>
      </c>
      <c r="S3865" s="24" t="s">
        <v>1334</v>
      </c>
      <c r="T3865" s="24" t="s">
        <v>1334</v>
      </c>
      <c r="U3865" s="55"/>
      <c r="V3865" s="25">
        <f>IFERROR(VLOOKUP(BCP_Soles[[#This Row],[destinatario]],CHOOSE({1,2},Clientes_Proveedores[Razon Social],Clientes_Proveedores[Ruc / Dni]),2,0),"")</f>
        <v>45921913</v>
      </c>
      <c r="W3865" s="25"/>
      <c r="X3865" s="25"/>
      <c r="Y3865" s="25"/>
      <c r="Z3865" s="77"/>
      <c r="AA3865" s="3" t="str">
        <f>IF(BCP_Soles[[#This Row],[fecha]]&gt;0,TEXT(BCP_Soles[[#This Row],[fecha]],"mmmm"),0)</f>
        <v>Setiembre</v>
      </c>
    </row>
    <row r="3866" spans="1:27" ht="24" x14ac:dyDescent="0.3">
      <c r="A3866" s="2">
        <f>IF(BCP_Soles[[#This Row],[tipo_registro]]="R",COUNTIFS($C$1:$C3865,"R")+1,A3865)</f>
        <v>2562</v>
      </c>
      <c r="B3866" s="19" t="str">
        <f t="shared" si="306"/>
        <v>B-BCP - Soles</v>
      </c>
      <c r="C3866" s="3" t="s">
        <v>1330</v>
      </c>
      <c r="D3866" s="14">
        <v>45918</v>
      </c>
      <c r="E3866" s="5" t="s">
        <v>2269</v>
      </c>
      <c r="F3866" s="5" t="s">
        <v>1336</v>
      </c>
      <c r="G3866" s="6" t="s">
        <v>993</v>
      </c>
      <c r="H3866" s="6" t="s">
        <v>143</v>
      </c>
      <c r="I3866" s="6">
        <v>1</v>
      </c>
      <c r="J3866" s="6">
        <v>762025</v>
      </c>
      <c r="K3866" s="7" t="s">
        <v>4526</v>
      </c>
      <c r="L3866" s="8">
        <v>1225936</v>
      </c>
      <c r="M3866" s="8" t="str">
        <f t="shared" si="307"/>
        <v>PEN</v>
      </c>
      <c r="N3866" s="13"/>
      <c r="O3866" s="13">
        <v>2019.8</v>
      </c>
      <c r="P3866" s="3">
        <f t="shared" si="308"/>
        <v>0</v>
      </c>
      <c r="Q3866" s="3">
        <f t="shared" si="309"/>
        <v>2019.8</v>
      </c>
      <c r="R3866" s="3">
        <f t="shared" si="310"/>
        <v>30601.249999999975</v>
      </c>
      <c r="S3866" s="24" t="s">
        <v>1334</v>
      </c>
      <c r="T3866" s="24" t="s">
        <v>1334</v>
      </c>
      <c r="U3866" s="55"/>
      <c r="V3866" s="25">
        <f>IFERROR(VLOOKUP(BCP_Soles[[#This Row],[destinatario]],CHOOSE({1,2},Clientes_Proveedores[Razon Social],Clientes_Proveedores[Ruc / Dni]),2,0),"")</f>
        <v>76390500</v>
      </c>
      <c r="W3866" s="25"/>
      <c r="X3866" s="25"/>
      <c r="Y3866" s="25"/>
      <c r="Z3866" s="77"/>
      <c r="AA3866" s="3" t="str">
        <f>IF(BCP_Soles[[#This Row],[fecha]]&gt;0,TEXT(BCP_Soles[[#This Row],[fecha]],"mmmm"),0)</f>
        <v>Setiembre</v>
      </c>
    </row>
    <row r="3867" spans="1:27" x14ac:dyDescent="0.3">
      <c r="A3867" s="2">
        <f>IF(BCP_Soles[[#This Row],[tipo_registro]]="R",COUNTIFS($C$1:$C3866,"R")+1,A3866)</f>
        <v>2563</v>
      </c>
      <c r="B3867" s="19" t="str">
        <f t="shared" si="306"/>
        <v>B-BCP - Soles</v>
      </c>
      <c r="C3867" s="3" t="s">
        <v>1330</v>
      </c>
      <c r="D3867" s="14">
        <v>45918</v>
      </c>
      <c r="E3867" s="5" t="s">
        <v>2269</v>
      </c>
      <c r="F3867" s="5" t="s">
        <v>1336</v>
      </c>
      <c r="G3867" s="6" t="s">
        <v>425</v>
      </c>
      <c r="H3867" s="6"/>
      <c r="I3867" s="6"/>
      <c r="J3867" s="6"/>
      <c r="K3867" s="7" t="s">
        <v>4527</v>
      </c>
      <c r="L3867" s="8"/>
      <c r="M3867" s="8" t="str">
        <f t="shared" si="307"/>
        <v>PEN</v>
      </c>
      <c r="N3867" s="13"/>
      <c r="O3867" s="13">
        <v>3500</v>
      </c>
      <c r="P3867" s="3">
        <f t="shared" si="308"/>
        <v>0</v>
      </c>
      <c r="Q3867" s="3">
        <f t="shared" si="309"/>
        <v>3500</v>
      </c>
      <c r="R3867" s="3">
        <f t="shared" si="310"/>
        <v>27101.249999999975</v>
      </c>
      <c r="S3867" s="24" t="s">
        <v>1334</v>
      </c>
      <c r="T3867" s="24" t="s">
        <v>1334</v>
      </c>
      <c r="U3867" s="55"/>
      <c r="V3867" s="25">
        <f>IFERROR(VLOOKUP(BCP_Soles[[#This Row],[destinatario]],CHOOSE({1,2},Clientes_Proveedores[Razon Social],Clientes_Proveedores[Ruc / Dni]),2,0),"")</f>
        <v>20558226979</v>
      </c>
      <c r="W3867" s="25"/>
      <c r="X3867" s="25"/>
      <c r="Y3867" s="25"/>
      <c r="Z3867" s="77"/>
      <c r="AA3867" s="3" t="str">
        <f>IF(BCP_Soles[[#This Row],[fecha]]&gt;0,TEXT(BCP_Soles[[#This Row],[fecha]],"mmmm"),0)</f>
        <v>Setiembre</v>
      </c>
    </row>
    <row r="3868" spans="1:27" ht="24" x14ac:dyDescent="0.3">
      <c r="A3868" s="2">
        <f>IF(BCP_Soles[[#This Row],[tipo_registro]]="R",COUNTIFS($C$1:$C3867,"R")+1,A3867)</f>
        <v>2564</v>
      </c>
      <c r="B3868" s="19" t="str">
        <f t="shared" si="306"/>
        <v>B-BCP - Soles</v>
      </c>
      <c r="C3868" s="3" t="s">
        <v>1330</v>
      </c>
      <c r="D3868" s="14">
        <v>45918</v>
      </c>
      <c r="E3868" s="5" t="s">
        <v>2269</v>
      </c>
      <c r="F3868" s="5" t="s">
        <v>1336</v>
      </c>
      <c r="G3868" s="6" t="s">
        <v>909</v>
      </c>
      <c r="H3868" s="6"/>
      <c r="I3868" s="6"/>
      <c r="J3868" s="6"/>
      <c r="K3868" s="7" t="s">
        <v>4528</v>
      </c>
      <c r="L3868" s="8">
        <v>1227881</v>
      </c>
      <c r="M3868" s="8" t="str">
        <f t="shared" si="307"/>
        <v>PEN</v>
      </c>
      <c r="N3868" s="13"/>
      <c r="O3868" s="13">
        <v>300</v>
      </c>
      <c r="P3868" s="3">
        <f t="shared" si="308"/>
        <v>0</v>
      </c>
      <c r="Q3868" s="3">
        <f t="shared" si="309"/>
        <v>300</v>
      </c>
      <c r="R3868" s="3">
        <f t="shared" si="310"/>
        <v>26801.249999999975</v>
      </c>
      <c r="S3868" s="24"/>
      <c r="T3868" s="24" t="s">
        <v>1334</v>
      </c>
      <c r="U3868" s="55"/>
      <c r="V3868" s="25">
        <f>IFERROR(VLOOKUP(BCP_Soles[[#This Row],[destinatario]],CHOOSE({1,2},Clientes_Proveedores[Razon Social],Clientes_Proveedores[Ruc / Dni]),2,0),"")</f>
        <v>44314304</v>
      </c>
      <c r="W3868" s="25"/>
      <c r="X3868" s="25"/>
      <c r="Y3868" s="25"/>
      <c r="Z3868" s="77"/>
      <c r="AA3868" s="3" t="str">
        <f>IF(BCP_Soles[[#This Row],[fecha]]&gt;0,TEXT(BCP_Soles[[#This Row],[fecha]],"mmmm"),0)</f>
        <v>Setiembre</v>
      </c>
    </row>
    <row r="3869" spans="1:27" ht="24" x14ac:dyDescent="0.3">
      <c r="A3869" s="2">
        <f>IF(BCP_Soles[[#This Row],[tipo_registro]]="R",COUNTIFS($C$1:$C3868,"R")+1,A3868)</f>
        <v>2565</v>
      </c>
      <c r="B3869" s="19" t="str">
        <f t="shared" ref="B3869:B3944" si="311">"B-BCP - Soles"</f>
        <v>B-BCP - Soles</v>
      </c>
      <c r="C3869" s="3" t="s">
        <v>1330</v>
      </c>
      <c r="D3869" s="14">
        <v>45918</v>
      </c>
      <c r="E3869" s="5" t="s">
        <v>2269</v>
      </c>
      <c r="F3869" s="5" t="s">
        <v>1336</v>
      </c>
      <c r="G3869" s="6" t="s">
        <v>876</v>
      </c>
      <c r="H3869" s="6"/>
      <c r="I3869" s="6"/>
      <c r="J3869" s="6"/>
      <c r="K3869" s="7" t="s">
        <v>4529</v>
      </c>
      <c r="L3869" s="8">
        <v>1227880</v>
      </c>
      <c r="M3869" s="8" t="str">
        <f t="shared" ref="M3869:M3944" si="312">"PEN"</f>
        <v>PEN</v>
      </c>
      <c r="N3869" s="13"/>
      <c r="O3869" s="13">
        <v>250</v>
      </c>
      <c r="P3869" s="3">
        <f t="shared" ref="P3869:P3944" si="313">+IF(OR($F3869="SALDO",$F3869="INGRESO"),$O3869,0)</f>
        <v>0</v>
      </c>
      <c r="Q3869" s="3">
        <f t="shared" ref="Q3869:Q3944" si="314">+IF($F3869="EGRESO",$O3869,0)</f>
        <v>250</v>
      </c>
      <c r="R3869" s="3">
        <f t="shared" si="310"/>
        <v>26551.249999999975</v>
      </c>
      <c r="S3869" s="24"/>
      <c r="T3869" s="24" t="s">
        <v>1334</v>
      </c>
      <c r="U3869" s="55"/>
      <c r="V3869" s="25">
        <f>IFERROR(VLOOKUP(BCP_Soles[[#This Row],[destinatario]],CHOOSE({1,2},Clientes_Proveedores[Razon Social],Clientes_Proveedores[Ruc / Dni]),2,0),"")</f>
        <v>1829028</v>
      </c>
      <c r="W3869" s="25"/>
      <c r="X3869" s="25"/>
      <c r="Y3869" s="25"/>
      <c r="Z3869" s="77"/>
      <c r="AA3869" s="3" t="str">
        <f>IF(BCP_Soles[[#This Row],[fecha]]&gt;0,TEXT(BCP_Soles[[#This Row],[fecha]],"mmmm"),0)</f>
        <v>Setiembre</v>
      </c>
    </row>
    <row r="3870" spans="1:27" ht="24" x14ac:dyDescent="0.3">
      <c r="A3870" s="2">
        <f>IF(BCP_Soles[[#This Row],[tipo_registro]]="R",COUNTIFS($C$1:$C3869,"R")+1,A3869)</f>
        <v>2566</v>
      </c>
      <c r="B3870" s="19" t="str">
        <f t="shared" si="311"/>
        <v>B-BCP - Soles</v>
      </c>
      <c r="C3870" s="3" t="s">
        <v>1330</v>
      </c>
      <c r="D3870" s="14">
        <v>45918</v>
      </c>
      <c r="E3870" s="5" t="s">
        <v>2269</v>
      </c>
      <c r="F3870" s="5" t="s">
        <v>1336</v>
      </c>
      <c r="G3870" s="6" t="s">
        <v>873</v>
      </c>
      <c r="H3870" s="6"/>
      <c r="I3870" s="6"/>
      <c r="J3870" s="6"/>
      <c r="K3870" s="7" t="s">
        <v>4530</v>
      </c>
      <c r="L3870" s="8">
        <v>1226403</v>
      </c>
      <c r="M3870" s="8" t="str">
        <f t="shared" si="312"/>
        <v>PEN</v>
      </c>
      <c r="N3870" s="13"/>
      <c r="O3870" s="13">
        <v>150</v>
      </c>
      <c r="P3870" s="3">
        <f t="shared" si="313"/>
        <v>0</v>
      </c>
      <c r="Q3870" s="3">
        <f t="shared" si="314"/>
        <v>150</v>
      </c>
      <c r="R3870" s="3">
        <f t="shared" si="310"/>
        <v>26401.249999999975</v>
      </c>
      <c r="S3870" s="24"/>
      <c r="T3870" s="24" t="s">
        <v>1334</v>
      </c>
      <c r="U3870" s="55"/>
      <c r="V3870" s="25">
        <f>IFERROR(VLOOKUP(BCP_Soles[[#This Row],[destinatario]],CHOOSE({1,2},Clientes_Proveedores[Razon Social],Clientes_Proveedores[Ruc / Dni]),2,0),"")</f>
        <v>80355193</v>
      </c>
      <c r="W3870" s="25"/>
      <c r="X3870" s="25"/>
      <c r="Y3870" s="25"/>
      <c r="Z3870" s="77"/>
      <c r="AA3870" s="3" t="str">
        <f>IF(BCP_Soles[[#This Row],[fecha]]&gt;0,TEXT(BCP_Soles[[#This Row],[fecha]],"mmmm"),0)</f>
        <v>Setiembre</v>
      </c>
    </row>
    <row r="3871" spans="1:27" ht="24" x14ac:dyDescent="0.3">
      <c r="A3871" s="2">
        <f>IF(BCP_Soles[[#This Row],[tipo_registro]]="R",COUNTIFS($C$1:$C3870,"R")+1,A3870)</f>
        <v>2567</v>
      </c>
      <c r="B3871" s="19" t="str">
        <f t="shared" si="311"/>
        <v>B-BCP - Soles</v>
      </c>
      <c r="C3871" s="3" t="s">
        <v>1330</v>
      </c>
      <c r="D3871" s="14">
        <v>45918</v>
      </c>
      <c r="E3871" s="5" t="s">
        <v>2269</v>
      </c>
      <c r="F3871" s="5" t="s">
        <v>1336</v>
      </c>
      <c r="G3871" s="6" t="s">
        <v>888</v>
      </c>
      <c r="H3871" s="6" t="s">
        <v>147</v>
      </c>
      <c r="I3871" s="6">
        <v>13</v>
      </c>
      <c r="J3871" s="6">
        <v>35</v>
      </c>
      <c r="K3871" s="7" t="s">
        <v>4531</v>
      </c>
      <c r="L3871" s="8">
        <v>1227398</v>
      </c>
      <c r="M3871" s="8" t="str">
        <f t="shared" si="312"/>
        <v>PEN</v>
      </c>
      <c r="N3871" s="13"/>
      <c r="O3871" s="13">
        <v>1165</v>
      </c>
      <c r="P3871" s="3">
        <f t="shared" si="313"/>
        <v>0</v>
      </c>
      <c r="Q3871" s="3">
        <f t="shared" si="314"/>
        <v>1165</v>
      </c>
      <c r="R3871" s="3">
        <f t="shared" si="310"/>
        <v>25236.249999999975</v>
      </c>
      <c r="S3871" s="24"/>
      <c r="T3871" s="24" t="s">
        <v>1334</v>
      </c>
      <c r="U3871" s="55"/>
      <c r="V3871" s="25">
        <f>IFERROR(VLOOKUP(BCP_Soles[[#This Row],[destinatario]],CHOOSE({1,2},Clientes_Proveedores[Razon Social],Clientes_Proveedores[Ruc / Dni]),2,0),"")</f>
        <v>47461440</v>
      </c>
      <c r="W3871" s="25"/>
      <c r="X3871" s="25"/>
      <c r="Y3871" s="25"/>
      <c r="Z3871" s="77"/>
      <c r="AA3871" s="3" t="str">
        <f>IF(BCP_Soles[[#This Row],[fecha]]&gt;0,TEXT(BCP_Soles[[#This Row],[fecha]],"mmmm"),0)</f>
        <v>Setiembre</v>
      </c>
    </row>
    <row r="3872" spans="1:27" x14ac:dyDescent="0.3">
      <c r="A3872" s="2">
        <f>IF(BCP_Soles[[#This Row],[tipo_registro]]="R",COUNTIFS($C$1:$C3871,"R")+1,A3871)</f>
        <v>2568</v>
      </c>
      <c r="B3872" s="19" t="str">
        <f t="shared" si="311"/>
        <v>B-BCP - Soles</v>
      </c>
      <c r="C3872" s="3" t="s">
        <v>1330</v>
      </c>
      <c r="D3872" s="14">
        <v>45918</v>
      </c>
      <c r="E3872" s="5" t="s">
        <v>1335</v>
      </c>
      <c r="F3872" s="5" t="s">
        <v>1336</v>
      </c>
      <c r="G3872" s="6" t="s">
        <v>1009</v>
      </c>
      <c r="H3872" s="6" t="s">
        <v>64</v>
      </c>
      <c r="I3872" s="6" t="s">
        <v>3673</v>
      </c>
      <c r="J3872" s="6">
        <v>2570</v>
      </c>
      <c r="K3872" s="7" t="s">
        <v>3160</v>
      </c>
      <c r="L3872" s="8"/>
      <c r="M3872" s="8" t="str">
        <f t="shared" si="312"/>
        <v>PEN</v>
      </c>
      <c r="N3872" s="13"/>
      <c r="O3872" s="13">
        <v>1.5</v>
      </c>
      <c r="P3872" s="3">
        <f t="shared" si="313"/>
        <v>0</v>
      </c>
      <c r="Q3872" s="3">
        <f t="shared" si="314"/>
        <v>1.5</v>
      </c>
      <c r="R3872" s="3">
        <f t="shared" si="310"/>
        <v>25234.749999999975</v>
      </c>
      <c r="S3872" s="24"/>
      <c r="T3872" s="24" t="s">
        <v>1334</v>
      </c>
      <c r="U3872" s="55"/>
      <c r="V3872" s="25">
        <f>IFERROR(VLOOKUP(BCP_Soles[[#This Row],[destinatario]],CHOOSE({1,2},Clientes_Proveedores[Razon Social],Clientes_Proveedores[Ruc / Dni]),2,0),"")</f>
        <v>11111111</v>
      </c>
      <c r="W3872" s="25"/>
      <c r="X3872" s="25"/>
      <c r="Y3872" s="25"/>
      <c r="Z3872" s="77"/>
      <c r="AA3872" s="3" t="str">
        <f>IF(BCP_Soles[[#This Row],[fecha]]&gt;0,TEXT(BCP_Soles[[#This Row],[fecha]],"mmmm"),0)</f>
        <v>Setiembre</v>
      </c>
    </row>
    <row r="3873" spans="1:27" x14ac:dyDescent="0.3">
      <c r="A3873" s="2">
        <f>IF(BCP_Soles[[#This Row],[tipo_registro]]="R",COUNTIFS($C$1:$C3872,"R")+1,A3872)</f>
        <v>2569</v>
      </c>
      <c r="B3873" s="19" t="str">
        <f t="shared" si="311"/>
        <v>B-BCP - Soles</v>
      </c>
      <c r="C3873" s="3" t="s">
        <v>1330</v>
      </c>
      <c r="D3873" s="14">
        <v>45919</v>
      </c>
      <c r="E3873" s="5" t="s">
        <v>286</v>
      </c>
      <c r="F3873" s="5" t="s">
        <v>1303</v>
      </c>
      <c r="G3873" s="6" t="s">
        <v>425</v>
      </c>
      <c r="H3873" s="6" t="s">
        <v>68</v>
      </c>
      <c r="I3873" s="6" t="s">
        <v>1784</v>
      </c>
      <c r="J3873" s="6">
        <v>246</v>
      </c>
      <c r="K3873" s="7" t="s">
        <v>4024</v>
      </c>
      <c r="L3873" s="8">
        <v>10771</v>
      </c>
      <c r="M3873" s="8" t="str">
        <f t="shared" si="312"/>
        <v>PEN</v>
      </c>
      <c r="N3873" s="13"/>
      <c r="O3873" s="13">
        <v>1888.5</v>
      </c>
      <c r="P3873" s="3">
        <f t="shared" si="313"/>
        <v>1888.5</v>
      </c>
      <c r="Q3873" s="3">
        <f t="shared" si="314"/>
        <v>0</v>
      </c>
      <c r="R3873" s="3">
        <f t="shared" si="310"/>
        <v>27123.249999999975</v>
      </c>
      <c r="S3873" s="24" t="s">
        <v>1334</v>
      </c>
      <c r="T3873" s="24" t="s">
        <v>1334</v>
      </c>
      <c r="U3873" s="55"/>
      <c r="V3873" s="25">
        <f>IFERROR(VLOOKUP(BCP_Soles[[#This Row],[destinatario]],CHOOSE({1,2},Clientes_Proveedores[Razon Social],Clientes_Proveedores[Ruc / Dni]),2,0),"")</f>
        <v>20558226979</v>
      </c>
      <c r="W3873" s="25"/>
      <c r="X3873" s="25"/>
      <c r="Y3873" s="25"/>
      <c r="Z3873" s="77"/>
      <c r="AA3873" s="3" t="str">
        <f>IF(BCP_Soles[[#This Row],[fecha]]&gt;0,TEXT(BCP_Soles[[#This Row],[fecha]],"mmmm"),0)</f>
        <v>Setiembre</v>
      </c>
    </row>
    <row r="3874" spans="1:27" ht="24" x14ac:dyDescent="0.3">
      <c r="A3874" s="2">
        <f>IF(BCP_Soles[[#This Row],[tipo_registro]]="R",COUNTIFS($C$1:$C3873,"R")+1,A3873)</f>
        <v>2570</v>
      </c>
      <c r="B3874" s="19" t="str">
        <f t="shared" si="311"/>
        <v>B-BCP - Soles</v>
      </c>
      <c r="C3874" s="3" t="s">
        <v>1330</v>
      </c>
      <c r="D3874" s="14">
        <v>45919</v>
      </c>
      <c r="E3874" s="5" t="s">
        <v>240</v>
      </c>
      <c r="F3874" s="5" t="s">
        <v>1303</v>
      </c>
      <c r="G3874" s="6" t="s">
        <v>425</v>
      </c>
      <c r="H3874" s="6" t="s">
        <v>68</v>
      </c>
      <c r="I3874" s="6" t="s">
        <v>1784</v>
      </c>
      <c r="J3874" s="6">
        <v>217</v>
      </c>
      <c r="K3874" s="7" t="s">
        <v>4532</v>
      </c>
      <c r="L3874" s="8">
        <v>6770786</v>
      </c>
      <c r="M3874" s="8" t="str">
        <f t="shared" si="312"/>
        <v>PEN</v>
      </c>
      <c r="N3874" s="13"/>
      <c r="O3874" s="13">
        <v>234.82</v>
      </c>
      <c r="P3874" s="3">
        <f t="shared" si="313"/>
        <v>234.82</v>
      </c>
      <c r="Q3874" s="3">
        <f t="shared" si="314"/>
        <v>0</v>
      </c>
      <c r="R3874" s="3">
        <f t="shared" si="310"/>
        <v>27358.069999999974</v>
      </c>
      <c r="S3874" s="24" t="s">
        <v>1334</v>
      </c>
      <c r="T3874" s="24" t="s">
        <v>1334</v>
      </c>
      <c r="U3874" s="55"/>
      <c r="V3874" s="25">
        <f>IFERROR(VLOOKUP(BCP_Soles[[#This Row],[destinatario]],CHOOSE({1,2},Clientes_Proveedores[Razon Social],Clientes_Proveedores[Ruc / Dni]),2,0),"")</f>
        <v>20558226979</v>
      </c>
      <c r="W3874" s="25"/>
      <c r="X3874" s="25"/>
      <c r="Y3874" s="25"/>
      <c r="Z3874" s="77"/>
      <c r="AA3874" s="3" t="str">
        <f>IF(BCP_Soles[[#This Row],[fecha]]&gt;0,TEXT(BCP_Soles[[#This Row],[fecha]],"mmmm"),0)</f>
        <v>Setiembre</v>
      </c>
    </row>
    <row r="3875" spans="1:27" ht="24" x14ac:dyDescent="0.3">
      <c r="A3875" s="2">
        <f>IF(BCP_Soles[[#This Row],[tipo_registro]]="R",COUNTIFS($C$1:$C3874,"R")+1,A3874)</f>
        <v>2571</v>
      </c>
      <c r="B3875" s="19" t="str">
        <f t="shared" si="311"/>
        <v>B-BCP - Soles</v>
      </c>
      <c r="C3875" s="3" t="s">
        <v>1330</v>
      </c>
      <c r="D3875" s="14">
        <v>45919</v>
      </c>
      <c r="E3875" s="5" t="s">
        <v>240</v>
      </c>
      <c r="F3875" s="5" t="s">
        <v>1303</v>
      </c>
      <c r="G3875" s="6" t="s">
        <v>425</v>
      </c>
      <c r="H3875" s="6" t="s">
        <v>68</v>
      </c>
      <c r="I3875" s="6" t="s">
        <v>1784</v>
      </c>
      <c r="J3875" s="6">
        <v>216</v>
      </c>
      <c r="K3875" s="7" t="s">
        <v>4533</v>
      </c>
      <c r="L3875" s="8">
        <v>6770762</v>
      </c>
      <c r="M3875" s="8" t="str">
        <f t="shared" si="312"/>
        <v>PEN</v>
      </c>
      <c r="N3875" s="13"/>
      <c r="O3875" s="13">
        <v>1060.02</v>
      </c>
      <c r="P3875" s="3">
        <f t="shared" si="313"/>
        <v>1060.02</v>
      </c>
      <c r="Q3875" s="3">
        <f t="shared" si="314"/>
        <v>0</v>
      </c>
      <c r="R3875" s="3">
        <f t="shared" si="310"/>
        <v>28418.089999999975</v>
      </c>
      <c r="S3875" s="24" t="s">
        <v>1334</v>
      </c>
      <c r="T3875" s="24" t="s">
        <v>1334</v>
      </c>
      <c r="U3875" s="55"/>
      <c r="V3875" s="25">
        <f>IFERROR(VLOOKUP(BCP_Soles[[#This Row],[destinatario]],CHOOSE({1,2},Clientes_Proveedores[Razon Social],Clientes_Proveedores[Ruc / Dni]),2,0),"")</f>
        <v>20558226979</v>
      </c>
      <c r="W3875" s="25"/>
      <c r="X3875" s="25"/>
      <c r="Y3875" s="25"/>
      <c r="Z3875" s="77"/>
      <c r="AA3875" s="3" t="str">
        <f>IF(BCP_Soles[[#This Row],[fecha]]&gt;0,TEXT(BCP_Soles[[#This Row],[fecha]],"mmmm"),0)</f>
        <v>Setiembre</v>
      </c>
    </row>
    <row r="3876" spans="1:27" x14ac:dyDescent="0.3">
      <c r="A3876" s="2">
        <f>IF(BCP_Soles[[#This Row],[tipo_registro]]="R",COUNTIFS($C$1:$C3875,"R")+1,A3875)</f>
        <v>2572</v>
      </c>
      <c r="B3876" s="19" t="str">
        <f t="shared" si="311"/>
        <v>B-BCP - Soles</v>
      </c>
      <c r="C3876" s="3" t="s">
        <v>1330</v>
      </c>
      <c r="D3876" s="14">
        <v>45919</v>
      </c>
      <c r="E3876" s="5" t="s">
        <v>216</v>
      </c>
      <c r="F3876" s="5" t="s">
        <v>1303</v>
      </c>
      <c r="G3876" s="6" t="s">
        <v>425</v>
      </c>
      <c r="H3876" s="6" t="s">
        <v>68</v>
      </c>
      <c r="I3876" s="6" t="s">
        <v>1784</v>
      </c>
      <c r="J3876" s="6">
        <v>208</v>
      </c>
      <c r="K3876" s="7" t="s">
        <v>4534</v>
      </c>
      <c r="L3876" s="8">
        <v>6770675</v>
      </c>
      <c r="M3876" s="8" t="str">
        <f t="shared" si="312"/>
        <v>PEN</v>
      </c>
      <c r="N3876" s="13"/>
      <c r="O3876" s="13">
        <v>1067.98</v>
      </c>
      <c r="P3876" s="3">
        <f t="shared" si="313"/>
        <v>1067.98</v>
      </c>
      <c r="Q3876" s="3">
        <f t="shared" si="314"/>
        <v>0</v>
      </c>
      <c r="R3876" s="3">
        <f t="shared" si="310"/>
        <v>29486.069999999974</v>
      </c>
      <c r="S3876" s="24" t="s">
        <v>1334</v>
      </c>
      <c r="T3876" s="24" t="s">
        <v>1334</v>
      </c>
      <c r="U3876" s="55"/>
      <c r="V3876" s="25">
        <f>IFERROR(VLOOKUP(BCP_Soles[[#This Row],[destinatario]],CHOOSE({1,2},Clientes_Proveedores[Razon Social],Clientes_Proveedores[Ruc / Dni]),2,0),"")</f>
        <v>20558226979</v>
      </c>
      <c r="W3876" s="25"/>
      <c r="X3876" s="25"/>
      <c r="Y3876" s="25"/>
      <c r="Z3876" s="77"/>
      <c r="AA3876" s="3" t="str">
        <f>IF(BCP_Soles[[#This Row],[fecha]]&gt;0,TEXT(BCP_Soles[[#This Row],[fecha]],"mmmm"),0)</f>
        <v>Setiembre</v>
      </c>
    </row>
    <row r="3877" spans="1:27" x14ac:dyDescent="0.3">
      <c r="A3877" s="2">
        <f>IF(BCP_Soles[[#This Row],[tipo_registro]]="R",COUNTIFS($C$1:$C3876,"R")+1,A3876)</f>
        <v>2573</v>
      </c>
      <c r="B3877" s="19" t="str">
        <f t="shared" si="311"/>
        <v>B-BCP - Soles</v>
      </c>
      <c r="C3877" s="3" t="s">
        <v>1330</v>
      </c>
      <c r="D3877" s="14">
        <v>45919</v>
      </c>
      <c r="E3877" s="5" t="s">
        <v>2269</v>
      </c>
      <c r="F3877" s="5" t="s">
        <v>1336</v>
      </c>
      <c r="G3877" s="6" t="s">
        <v>256</v>
      </c>
      <c r="H3877" s="6" t="s">
        <v>68</v>
      </c>
      <c r="I3877" s="6" t="s">
        <v>1374</v>
      </c>
      <c r="J3877" s="6">
        <v>49603</v>
      </c>
      <c r="K3877" s="7" t="s">
        <v>4535</v>
      </c>
      <c r="L3877" s="8">
        <v>1128185</v>
      </c>
      <c r="M3877" s="8" t="str">
        <f t="shared" si="312"/>
        <v>PEN</v>
      </c>
      <c r="N3877" s="13"/>
      <c r="O3877" s="13">
        <v>450</v>
      </c>
      <c r="P3877" s="3">
        <f t="shared" si="313"/>
        <v>0</v>
      </c>
      <c r="Q3877" s="3">
        <f t="shared" si="314"/>
        <v>450</v>
      </c>
      <c r="R3877" s="3">
        <f t="shared" si="310"/>
        <v>29036.069999999974</v>
      </c>
      <c r="S3877" s="24" t="s">
        <v>1334</v>
      </c>
      <c r="T3877" s="24" t="s">
        <v>1334</v>
      </c>
      <c r="U3877" s="56" t="s">
        <v>4536</v>
      </c>
      <c r="V3877" s="25">
        <f>IFERROR(VLOOKUP(BCP_Soles[[#This Row],[destinatario]],CHOOSE({1,2},Clientes_Proveedores[Razon Social],Clientes_Proveedores[Ruc / Dni]),2,0),"")</f>
        <v>20371310160</v>
      </c>
      <c r="W3877" s="25"/>
      <c r="X3877" s="25"/>
      <c r="Y3877" s="25"/>
      <c r="Z3877" s="77"/>
      <c r="AA3877" s="3" t="str">
        <f>IF(BCP_Soles[[#This Row],[fecha]]&gt;0,TEXT(BCP_Soles[[#This Row],[fecha]],"mmmm"),0)</f>
        <v>Setiembre</v>
      </c>
    </row>
    <row r="3878" spans="1:27" ht="24" x14ac:dyDescent="0.3">
      <c r="A3878" s="2">
        <f>IF(BCP_Soles[[#This Row],[tipo_registro]]="R",COUNTIFS($C$1:$C3877,"R")+1,A3877)</f>
        <v>2574</v>
      </c>
      <c r="B3878" s="19" t="str">
        <f t="shared" si="311"/>
        <v>B-BCP - Soles</v>
      </c>
      <c r="C3878" s="3" t="s">
        <v>1330</v>
      </c>
      <c r="D3878" s="14">
        <v>45919</v>
      </c>
      <c r="E3878" s="5" t="s">
        <v>2269</v>
      </c>
      <c r="F3878" s="5" t="s">
        <v>1336</v>
      </c>
      <c r="G3878" s="6" t="s">
        <v>729</v>
      </c>
      <c r="H3878" s="6" t="s">
        <v>68</v>
      </c>
      <c r="I3878" s="6" t="s">
        <v>1390</v>
      </c>
      <c r="J3878" s="6">
        <v>4624</v>
      </c>
      <c r="K3878" s="7" t="s">
        <v>4537</v>
      </c>
      <c r="L3878" s="8">
        <v>1130613</v>
      </c>
      <c r="M3878" s="8" t="str">
        <f t="shared" si="312"/>
        <v>PEN</v>
      </c>
      <c r="N3878" s="13"/>
      <c r="O3878" s="13">
        <v>201</v>
      </c>
      <c r="P3878" s="3">
        <f t="shared" si="313"/>
        <v>0</v>
      </c>
      <c r="Q3878" s="3">
        <f t="shared" si="314"/>
        <v>201</v>
      </c>
      <c r="R3878" s="3">
        <f t="shared" si="310"/>
        <v>28835.069999999974</v>
      </c>
      <c r="S3878" s="24" t="s">
        <v>1334</v>
      </c>
      <c r="T3878" s="24" t="s">
        <v>1334</v>
      </c>
      <c r="U3878" s="56" t="s">
        <v>4538</v>
      </c>
      <c r="V3878" s="25">
        <f>IFERROR(VLOOKUP(BCP_Soles[[#This Row],[destinatario]],CHOOSE({1,2},Clientes_Proveedores[Razon Social],Clientes_Proveedores[Ruc / Dni]),2,0),"")</f>
        <v>20456141235</v>
      </c>
      <c r="W3878" s="25"/>
      <c r="X3878" s="25"/>
      <c r="Y3878" s="25"/>
      <c r="Z3878" s="77"/>
      <c r="AA3878" s="3" t="str">
        <f>IF(BCP_Soles[[#This Row],[fecha]]&gt;0,TEXT(BCP_Soles[[#This Row],[fecha]],"mmmm"),0)</f>
        <v>Setiembre</v>
      </c>
    </row>
    <row r="3879" spans="1:27" ht="24" x14ac:dyDescent="0.3">
      <c r="A3879" s="2">
        <f>IF(BCP_Soles[[#This Row],[tipo_registro]]="R",COUNTIFS($C$1:$C3878,"R")+1,A3878)</f>
        <v>2575</v>
      </c>
      <c r="B3879" s="19" t="str">
        <f t="shared" si="311"/>
        <v>B-BCP - Soles</v>
      </c>
      <c r="C3879" s="3" t="s">
        <v>1330</v>
      </c>
      <c r="D3879" s="14">
        <v>45919</v>
      </c>
      <c r="E3879" s="5" t="s">
        <v>2269</v>
      </c>
      <c r="F3879" s="5" t="s">
        <v>1336</v>
      </c>
      <c r="G3879" s="6" t="s">
        <v>888</v>
      </c>
      <c r="H3879" s="6" t="s">
        <v>143</v>
      </c>
      <c r="I3879" s="6">
        <v>1</v>
      </c>
      <c r="J3879" s="6">
        <v>772025</v>
      </c>
      <c r="K3879" s="7" t="s">
        <v>4539</v>
      </c>
      <c r="L3879" s="8">
        <v>1130127</v>
      </c>
      <c r="M3879" s="8" t="str">
        <f t="shared" si="312"/>
        <v>PEN</v>
      </c>
      <c r="N3879" s="13"/>
      <c r="O3879" s="13">
        <v>502</v>
      </c>
      <c r="P3879" s="3">
        <f t="shared" si="313"/>
        <v>0</v>
      </c>
      <c r="Q3879" s="3">
        <f t="shared" si="314"/>
        <v>502</v>
      </c>
      <c r="R3879" s="3">
        <f t="shared" si="310"/>
        <v>28333.069999999974</v>
      </c>
      <c r="S3879" s="24" t="s">
        <v>1334</v>
      </c>
      <c r="T3879" s="24" t="s">
        <v>1334</v>
      </c>
      <c r="U3879" s="56" t="s">
        <v>4540</v>
      </c>
      <c r="V3879" s="25">
        <f>IFERROR(VLOOKUP(BCP_Soles[[#This Row],[destinatario]],CHOOSE({1,2},Clientes_Proveedores[Razon Social],Clientes_Proveedores[Ruc / Dni]),2,0),"")</f>
        <v>47461440</v>
      </c>
      <c r="W3879" s="25"/>
      <c r="X3879" s="25"/>
      <c r="Y3879" s="25"/>
      <c r="Z3879" s="77"/>
      <c r="AA3879" s="3" t="str">
        <f>IF(BCP_Soles[[#This Row],[fecha]]&gt;0,TEXT(BCP_Soles[[#This Row],[fecha]],"mmmm"),0)</f>
        <v>Setiembre</v>
      </c>
    </row>
    <row r="3880" spans="1:27" ht="24" x14ac:dyDescent="0.3">
      <c r="A3880" s="2">
        <f>IF(BCP_Soles[[#This Row],[tipo_registro]]="R",COUNTIFS($C$1:$C3879,"R")+1,A3879)</f>
        <v>2576</v>
      </c>
      <c r="B3880" s="19" t="str">
        <f t="shared" si="311"/>
        <v>B-BCP - Soles</v>
      </c>
      <c r="C3880" s="3" t="s">
        <v>1330</v>
      </c>
      <c r="D3880" s="14">
        <v>45919</v>
      </c>
      <c r="E3880" s="5" t="s">
        <v>2269</v>
      </c>
      <c r="F3880" s="5" t="s">
        <v>1336</v>
      </c>
      <c r="G3880" s="6" t="s">
        <v>742</v>
      </c>
      <c r="H3880" s="6" t="s">
        <v>68</v>
      </c>
      <c r="I3880" s="6" t="s">
        <v>1463</v>
      </c>
      <c r="J3880" s="6">
        <v>727959</v>
      </c>
      <c r="K3880" s="7" t="s">
        <v>4541</v>
      </c>
      <c r="L3880" s="8">
        <v>131570</v>
      </c>
      <c r="M3880" s="8" t="str">
        <f t="shared" si="312"/>
        <v>PEN</v>
      </c>
      <c r="N3880" s="13"/>
      <c r="O3880" s="13">
        <v>35.4</v>
      </c>
      <c r="P3880" s="3">
        <f t="shared" si="313"/>
        <v>0</v>
      </c>
      <c r="Q3880" s="3">
        <f t="shared" si="314"/>
        <v>35.4</v>
      </c>
      <c r="R3880" s="3">
        <f t="shared" si="310"/>
        <v>28297.669999999973</v>
      </c>
      <c r="S3880" s="24" t="s">
        <v>1334</v>
      </c>
      <c r="T3880" s="24" t="s">
        <v>1334</v>
      </c>
      <c r="U3880" s="56" t="s">
        <v>4542</v>
      </c>
      <c r="V3880" s="25">
        <f>IFERROR(VLOOKUP(BCP_Soles[[#This Row],[destinatario]],CHOOSE({1,2},Clientes_Proveedores[Razon Social],Clientes_Proveedores[Ruc / Dni]),2,0),"")</f>
        <v>20100210909</v>
      </c>
      <c r="W3880" s="25"/>
      <c r="X3880" s="25"/>
      <c r="Y3880" s="25"/>
      <c r="Z3880" s="77"/>
      <c r="AA3880" s="3" t="str">
        <f>IF(BCP_Soles[[#This Row],[fecha]]&gt;0,TEXT(BCP_Soles[[#This Row],[fecha]],"mmmm"),0)</f>
        <v>Setiembre</v>
      </c>
    </row>
    <row r="3881" spans="1:27" ht="36" x14ac:dyDescent="0.3">
      <c r="A3881" s="2">
        <f>IF(BCP_Soles[[#This Row],[tipo_registro]]="R",COUNTIFS($C$1:$C3880,"R")+1,A3880)</f>
        <v>2577</v>
      </c>
      <c r="B3881" s="19" t="str">
        <f t="shared" si="311"/>
        <v>B-BCP - Soles</v>
      </c>
      <c r="C3881" s="3" t="s">
        <v>1330</v>
      </c>
      <c r="D3881" s="14">
        <v>45919</v>
      </c>
      <c r="E3881" s="5" t="s">
        <v>2269</v>
      </c>
      <c r="F3881" s="5" t="s">
        <v>1336</v>
      </c>
      <c r="G3881" s="6" t="s">
        <v>1050</v>
      </c>
      <c r="H3881" s="6" t="s">
        <v>68</v>
      </c>
      <c r="I3881" s="6" t="s">
        <v>1463</v>
      </c>
      <c r="J3881" s="6">
        <v>557314</v>
      </c>
      <c r="K3881" s="7" t="s">
        <v>4543</v>
      </c>
      <c r="L3881" s="8">
        <v>131116</v>
      </c>
      <c r="M3881" s="8" t="str">
        <f t="shared" si="312"/>
        <v>PEN</v>
      </c>
      <c r="N3881" s="13"/>
      <c r="O3881" s="13">
        <v>128.01</v>
      </c>
      <c r="P3881" s="3">
        <f t="shared" si="313"/>
        <v>0</v>
      </c>
      <c r="Q3881" s="3">
        <f t="shared" si="314"/>
        <v>128.01</v>
      </c>
      <c r="R3881" s="3">
        <f t="shared" si="310"/>
        <v>28169.659999999974</v>
      </c>
      <c r="S3881" s="24" t="s">
        <v>1334</v>
      </c>
      <c r="T3881" s="24" t="s">
        <v>1334</v>
      </c>
      <c r="U3881" s="56" t="s">
        <v>4544</v>
      </c>
      <c r="V3881" s="25">
        <f>IFERROR(VLOOKUP(BCP_Soles[[#This Row],[destinatario]],CHOOSE({1,2},Clientes_Proveedores[Razon Social],Clientes_Proveedores[Ruc / Dni]),2,0),"")</f>
        <v>20601978572</v>
      </c>
      <c r="W3881" s="25"/>
      <c r="X3881" s="25"/>
      <c r="Y3881" s="25"/>
      <c r="Z3881" s="77"/>
      <c r="AA3881" s="3" t="str">
        <f>IF(BCP_Soles[[#This Row],[fecha]]&gt;0,TEXT(BCP_Soles[[#This Row],[fecha]],"mmmm"),0)</f>
        <v>Setiembre</v>
      </c>
    </row>
    <row r="3882" spans="1:27" ht="24" x14ac:dyDescent="0.3">
      <c r="A3882" s="2">
        <f>IF(BCP_Soles[[#This Row],[tipo_registro]]="R",COUNTIFS($C$1:$C3881,"R")+1,A3881)</f>
        <v>2578</v>
      </c>
      <c r="B3882" s="19" t="str">
        <f t="shared" si="311"/>
        <v>B-BCP - Soles</v>
      </c>
      <c r="C3882" s="3" t="s">
        <v>1330</v>
      </c>
      <c r="D3882" s="14">
        <v>45919</v>
      </c>
      <c r="E3882" s="5" t="s">
        <v>2269</v>
      </c>
      <c r="F3882" s="5" t="s">
        <v>1336</v>
      </c>
      <c r="G3882" s="6" t="s">
        <v>895</v>
      </c>
      <c r="H3882" s="6"/>
      <c r="I3882" s="6"/>
      <c r="J3882" s="6"/>
      <c r="K3882" s="7" t="s">
        <v>4545</v>
      </c>
      <c r="L3882" s="8">
        <v>1128635</v>
      </c>
      <c r="M3882" s="8" t="str">
        <f t="shared" si="312"/>
        <v>PEN</v>
      </c>
      <c r="N3882" s="13"/>
      <c r="O3882" s="13">
        <v>710</v>
      </c>
      <c r="P3882" s="3">
        <f t="shared" si="313"/>
        <v>0</v>
      </c>
      <c r="Q3882" s="3">
        <f t="shared" si="314"/>
        <v>710</v>
      </c>
      <c r="R3882" s="3">
        <f t="shared" si="310"/>
        <v>27459.659999999974</v>
      </c>
      <c r="S3882" s="24"/>
      <c r="T3882" s="24"/>
      <c r="U3882" s="56" t="s">
        <v>4546</v>
      </c>
      <c r="V3882" s="25">
        <f>IFERROR(VLOOKUP(BCP_Soles[[#This Row],[destinatario]],CHOOSE({1,2},Clientes_Proveedores[Razon Social],Clientes_Proveedores[Ruc / Dni]),2,0),"")</f>
        <v>72144092</v>
      </c>
      <c r="W3882" s="25"/>
      <c r="X3882" s="25"/>
      <c r="Y3882" s="25"/>
      <c r="Z3882" s="77"/>
      <c r="AA3882" s="3" t="str">
        <f>IF(BCP_Soles[[#This Row],[fecha]]&gt;0,TEXT(BCP_Soles[[#This Row],[fecha]],"mmmm"),0)</f>
        <v>Setiembre</v>
      </c>
    </row>
    <row r="3883" spans="1:27" ht="36" x14ac:dyDescent="0.3">
      <c r="A3883" s="2">
        <f>IF(BCP_Soles[[#This Row],[tipo_registro]]="R",COUNTIFS($C$1:$C3882,"R")+1,A3882)</f>
        <v>2579</v>
      </c>
      <c r="B3883" s="19" t="str">
        <f t="shared" si="311"/>
        <v>B-BCP - Soles</v>
      </c>
      <c r="C3883" s="3" t="s">
        <v>1330</v>
      </c>
      <c r="D3883" s="14">
        <v>45919</v>
      </c>
      <c r="E3883" s="5" t="s">
        <v>2269</v>
      </c>
      <c r="F3883" s="5" t="s">
        <v>1336</v>
      </c>
      <c r="G3883" s="6" t="s">
        <v>499</v>
      </c>
      <c r="H3883" s="6"/>
      <c r="I3883" s="6"/>
      <c r="J3883" s="6"/>
      <c r="K3883" s="7" t="s">
        <v>4547</v>
      </c>
      <c r="L3883" s="8">
        <v>4011464</v>
      </c>
      <c r="M3883" s="8" t="str">
        <f t="shared" si="312"/>
        <v>PEN</v>
      </c>
      <c r="N3883" s="13"/>
      <c r="O3883" s="13">
        <v>1410.3</v>
      </c>
      <c r="P3883" s="3">
        <f t="shared" si="313"/>
        <v>0</v>
      </c>
      <c r="Q3883" s="3">
        <f t="shared" si="314"/>
        <v>1410.3</v>
      </c>
      <c r="R3883" s="3">
        <f t="shared" si="310"/>
        <v>26049.359999999975</v>
      </c>
      <c r="S3883" s="24"/>
      <c r="T3883" s="24"/>
      <c r="U3883" s="56" t="s">
        <v>4548</v>
      </c>
      <c r="V3883" s="25">
        <f>IFERROR(VLOOKUP(BCP_Soles[[#This Row],[destinatario]],CHOOSE({1,2},Clientes_Proveedores[Razon Social],Clientes_Proveedores[Ruc / Dni]),2,0),"")</f>
        <v>20602818161</v>
      </c>
      <c r="W3883" s="25"/>
      <c r="X3883" s="25"/>
      <c r="Y3883" s="25"/>
      <c r="Z3883" s="77"/>
      <c r="AA3883" s="3" t="str">
        <f>IF(BCP_Soles[[#This Row],[fecha]]&gt;0,TEXT(BCP_Soles[[#This Row],[fecha]],"mmmm"),0)</f>
        <v>Setiembre</v>
      </c>
    </row>
    <row r="3884" spans="1:27" ht="36" x14ac:dyDescent="0.3">
      <c r="A3884" s="2">
        <f>IF(BCP_Soles[[#This Row],[tipo_registro]]="R",COUNTIFS($C$1:$C3883,"R")+1,A3883)</f>
        <v>2579</v>
      </c>
      <c r="B3884" s="19" t="str">
        <f>"B-BCP - Soles"</f>
        <v>B-BCP - Soles</v>
      </c>
      <c r="C3884" s="3" t="s">
        <v>1352</v>
      </c>
      <c r="D3884" s="14">
        <v>45919</v>
      </c>
      <c r="E3884" s="5" t="s">
        <v>2269</v>
      </c>
      <c r="F3884" s="5" t="s">
        <v>1336</v>
      </c>
      <c r="G3884" s="6" t="s">
        <v>499</v>
      </c>
      <c r="H3884" s="6"/>
      <c r="I3884" s="6"/>
      <c r="J3884" s="6"/>
      <c r="K3884" s="7" t="s">
        <v>4547</v>
      </c>
      <c r="L3884" s="8">
        <v>4011464</v>
      </c>
      <c r="M3884" s="8" t="str">
        <f>"PEN"</f>
        <v>PEN</v>
      </c>
      <c r="N3884" s="13">
        <v>1406</v>
      </c>
      <c r="O3884" s="13"/>
      <c r="P3884" s="3">
        <f>+IF(OR($F3884="SALDO",$F3884="INGRESO"),$O3884,0)</f>
        <v>0</v>
      </c>
      <c r="Q3884" s="3">
        <f>+IF($F3884="EGRESO",$O3884,0)</f>
        <v>0</v>
      </c>
      <c r="R3884" s="3">
        <f t="shared" si="310"/>
        <v>26049.359999999975</v>
      </c>
      <c r="S3884" s="24"/>
      <c r="T3884" s="24"/>
      <c r="U3884" s="56" t="s">
        <v>4548</v>
      </c>
      <c r="V3884" s="25">
        <f>IFERROR(VLOOKUP(BCP_Soles[[#This Row],[destinatario]],CHOOSE({1,2},Clientes_Proveedores[Razon Social],Clientes_Proveedores[Ruc / Dni]),2,0),"")</f>
        <v>20602818161</v>
      </c>
      <c r="W3884" s="25"/>
      <c r="X3884" s="25"/>
      <c r="Y3884" s="25"/>
      <c r="Z3884" s="77"/>
      <c r="AA3884" s="3" t="str">
        <f>IF(BCP_Soles[[#This Row],[fecha]]&gt;0,TEXT(BCP_Soles[[#This Row],[fecha]],"mmmm"),0)</f>
        <v>Setiembre</v>
      </c>
    </row>
    <row r="3885" spans="1:27" ht="24" x14ac:dyDescent="0.3">
      <c r="A3885" s="2">
        <f>IF(BCP_Soles[[#This Row],[tipo_registro]]="R",COUNTIFS($C$1:$C3884,"R")+1,A3884)</f>
        <v>2579</v>
      </c>
      <c r="B3885" s="19" t="str">
        <f>"B-BCP - Soles"</f>
        <v>B-BCP - Soles</v>
      </c>
      <c r="C3885" s="3" t="s">
        <v>1352</v>
      </c>
      <c r="D3885" s="14">
        <v>45919</v>
      </c>
      <c r="E3885" s="5" t="s">
        <v>2269</v>
      </c>
      <c r="F3885" s="5" t="s">
        <v>1336</v>
      </c>
      <c r="G3885" s="6" t="s">
        <v>1060</v>
      </c>
      <c r="H3885" s="6" t="s">
        <v>68</v>
      </c>
      <c r="I3885" s="6" t="s">
        <v>1397</v>
      </c>
      <c r="J3885" s="6">
        <v>37216544</v>
      </c>
      <c r="K3885" s="7" t="s">
        <v>4547</v>
      </c>
      <c r="L3885" s="8">
        <v>4011464</v>
      </c>
      <c r="M3885" s="8" t="str">
        <f>"PEN"</f>
        <v>PEN</v>
      </c>
      <c r="N3885" s="13">
        <v>4.3</v>
      </c>
      <c r="O3885" s="13"/>
      <c r="P3885" s="3">
        <f>+IF(OR($F3885="SALDO",$F3885="INGRESO"),$O3885,0)</f>
        <v>0</v>
      </c>
      <c r="Q3885" s="3">
        <f>+IF($F3885="EGRESO",$O3885,0)</f>
        <v>0</v>
      </c>
      <c r="R3885" s="3">
        <f t="shared" si="310"/>
        <v>26049.359999999975</v>
      </c>
      <c r="S3885" s="24" t="s">
        <v>1334</v>
      </c>
      <c r="T3885" s="24"/>
      <c r="U3885" s="55"/>
      <c r="V3885" s="25">
        <f>IFERROR(VLOOKUP(BCP_Soles[[#This Row],[destinatario]],CHOOSE({1,2},Clientes_Proveedores[Razon Social],Clientes_Proveedores[Ruc / Dni]),2,0),"")</f>
        <v>20100047218</v>
      </c>
      <c r="W3885" s="25"/>
      <c r="X3885" s="25"/>
      <c r="Y3885" s="25"/>
      <c r="Z3885" s="77"/>
      <c r="AA3885" s="3" t="str">
        <f>IF(BCP_Soles[[#This Row],[fecha]]&gt;0,TEXT(BCP_Soles[[#This Row],[fecha]],"mmmm"),0)</f>
        <v>Setiembre</v>
      </c>
    </row>
    <row r="3886" spans="1:27" ht="24" x14ac:dyDescent="0.3">
      <c r="A3886" s="2">
        <f>IF(BCP_Soles[[#This Row],[tipo_registro]]="R",COUNTIFS($C$1:$C3885,"R")+1,A3885)</f>
        <v>2580</v>
      </c>
      <c r="B3886" s="19" t="str">
        <f t="shared" si="311"/>
        <v>B-BCP - Soles</v>
      </c>
      <c r="C3886" s="3" t="s">
        <v>1330</v>
      </c>
      <c r="D3886" s="14">
        <v>45919</v>
      </c>
      <c r="E3886" s="5" t="s">
        <v>2269</v>
      </c>
      <c r="F3886" s="5" t="s">
        <v>1336</v>
      </c>
      <c r="G3886" s="6" t="s">
        <v>742</v>
      </c>
      <c r="H3886" s="6" t="s">
        <v>68</v>
      </c>
      <c r="I3886" s="6" t="s">
        <v>1463</v>
      </c>
      <c r="J3886" s="6">
        <v>716579</v>
      </c>
      <c r="K3886" s="7" t="s">
        <v>4549</v>
      </c>
      <c r="L3886" s="8">
        <v>252258</v>
      </c>
      <c r="M3886" s="8" t="str">
        <f t="shared" si="312"/>
        <v>PEN</v>
      </c>
      <c r="N3886" s="13"/>
      <c r="O3886" s="13">
        <v>69.900000000000006</v>
      </c>
      <c r="P3886" s="3">
        <f t="shared" si="313"/>
        <v>0</v>
      </c>
      <c r="Q3886" s="3">
        <f t="shared" si="314"/>
        <v>69.900000000000006</v>
      </c>
      <c r="R3886" s="3">
        <f t="shared" si="310"/>
        <v>25979.459999999974</v>
      </c>
      <c r="S3886" s="24" t="s">
        <v>1334</v>
      </c>
      <c r="T3886" s="24" t="s">
        <v>1334</v>
      </c>
      <c r="U3886" s="55"/>
      <c r="V3886" s="25">
        <f>IFERROR(VLOOKUP(BCP_Soles[[#This Row],[destinatario]],CHOOSE({1,2},Clientes_Proveedores[Razon Social],Clientes_Proveedores[Ruc / Dni]),2,0),"")</f>
        <v>20100210909</v>
      </c>
      <c r="W3886" s="25"/>
      <c r="X3886" s="25"/>
      <c r="Y3886" s="25"/>
      <c r="Z3886" s="77"/>
      <c r="AA3886" s="3" t="str">
        <f>IF(BCP_Soles[[#This Row],[fecha]]&gt;0,TEXT(BCP_Soles[[#This Row],[fecha]],"mmmm"),0)</f>
        <v>Setiembre</v>
      </c>
    </row>
    <row r="3887" spans="1:27" ht="36" x14ac:dyDescent="0.3">
      <c r="A3887" s="2">
        <f>IF(BCP_Soles[[#This Row],[tipo_registro]]="R",COUNTIFS($C$1:$C3886,"R")+1,A3886)</f>
        <v>2581</v>
      </c>
      <c r="B3887" s="19" t="str">
        <f t="shared" si="311"/>
        <v>B-BCP - Soles</v>
      </c>
      <c r="C3887" s="3" t="s">
        <v>1330</v>
      </c>
      <c r="D3887" s="14">
        <v>45919</v>
      </c>
      <c r="E3887" s="5" t="s">
        <v>2269</v>
      </c>
      <c r="F3887" s="5" t="s">
        <v>1336</v>
      </c>
      <c r="G3887" s="6" t="s">
        <v>1050</v>
      </c>
      <c r="H3887" s="6" t="s">
        <v>68</v>
      </c>
      <c r="I3887" s="6" t="s">
        <v>1463</v>
      </c>
      <c r="J3887" s="6">
        <v>557455</v>
      </c>
      <c r="K3887" s="7" t="s">
        <v>4550</v>
      </c>
      <c r="L3887" s="8">
        <v>254702</v>
      </c>
      <c r="M3887" s="8" t="str">
        <f t="shared" si="312"/>
        <v>PEN</v>
      </c>
      <c r="N3887" s="13"/>
      <c r="O3887" s="13">
        <v>59</v>
      </c>
      <c r="P3887" s="3">
        <f t="shared" si="313"/>
        <v>0</v>
      </c>
      <c r="Q3887" s="3">
        <f t="shared" si="314"/>
        <v>59</v>
      </c>
      <c r="R3887" s="3">
        <f t="shared" si="310"/>
        <v>25920.459999999974</v>
      </c>
      <c r="S3887" s="24" t="s">
        <v>1334</v>
      </c>
      <c r="T3887" s="24" t="s">
        <v>1334</v>
      </c>
      <c r="U3887" s="55"/>
      <c r="V3887" s="25">
        <f>IFERROR(VLOOKUP(BCP_Soles[[#This Row],[destinatario]],CHOOSE({1,2},Clientes_Proveedores[Razon Social],Clientes_Proveedores[Ruc / Dni]),2,0),"")</f>
        <v>20601978572</v>
      </c>
      <c r="W3887" s="25"/>
      <c r="X3887" s="25"/>
      <c r="Y3887" s="25"/>
      <c r="Z3887" s="77"/>
      <c r="AA3887" s="3" t="str">
        <f>IF(BCP_Soles[[#This Row],[fecha]]&gt;0,TEXT(BCP_Soles[[#This Row],[fecha]],"mmmm"),0)</f>
        <v>Setiembre</v>
      </c>
    </row>
    <row r="3888" spans="1:27" x14ac:dyDescent="0.3">
      <c r="A3888" s="2">
        <f>IF(BCP_Soles[[#This Row],[tipo_registro]]="R",COUNTIFS($C$1:$C3887,"R")+1,A3887)</f>
        <v>2582</v>
      </c>
      <c r="B3888" s="19" t="str">
        <f t="shared" si="311"/>
        <v>B-BCP - Soles</v>
      </c>
      <c r="C3888" s="3" t="s">
        <v>1330</v>
      </c>
      <c r="D3888" s="14">
        <v>45919</v>
      </c>
      <c r="E3888" s="5" t="s">
        <v>2269</v>
      </c>
      <c r="F3888" s="5" t="s">
        <v>1336</v>
      </c>
      <c r="G3888" s="6" t="s">
        <v>696</v>
      </c>
      <c r="H3888" s="6"/>
      <c r="I3888" s="6"/>
      <c r="J3888" s="6"/>
      <c r="K3888" s="7" t="s">
        <v>4551</v>
      </c>
      <c r="L3888" s="8">
        <v>6759377</v>
      </c>
      <c r="M3888" s="8" t="str">
        <f t="shared" si="312"/>
        <v>PEN</v>
      </c>
      <c r="N3888" s="13"/>
      <c r="O3888" s="13">
        <v>14035.67</v>
      </c>
      <c r="P3888" s="3">
        <f t="shared" si="313"/>
        <v>0</v>
      </c>
      <c r="Q3888" s="3">
        <f t="shared" si="314"/>
        <v>14035.67</v>
      </c>
      <c r="R3888" s="3">
        <f t="shared" si="310"/>
        <v>11884.789999999974</v>
      </c>
      <c r="S3888" s="24" t="s">
        <v>1334</v>
      </c>
      <c r="T3888" s="24" t="s">
        <v>1334</v>
      </c>
      <c r="U3888" s="56" t="s">
        <v>4552</v>
      </c>
      <c r="V3888" s="25">
        <f>IFERROR(VLOOKUP(BCP_Soles[[#This Row],[destinatario]],CHOOSE({1,2},Clientes_Proveedores[Razon Social],Clientes_Proveedores[Ruc / Dni]),2,0),"")</f>
        <v>0</v>
      </c>
      <c r="W3888" s="25"/>
      <c r="X3888" s="25"/>
      <c r="Y3888" s="25"/>
      <c r="Z3888" s="77"/>
      <c r="AA3888" s="3" t="str">
        <f>IF(BCP_Soles[[#This Row],[fecha]]&gt;0,TEXT(BCP_Soles[[#This Row],[fecha]],"mmmm"),0)</f>
        <v>Setiembre</v>
      </c>
    </row>
    <row r="3889" spans="1:27" ht="24" x14ac:dyDescent="0.3">
      <c r="A3889" s="2">
        <f>IF(BCP_Soles[[#This Row],[tipo_registro]]="R",COUNTIFS($C$1:$C3888,"R")+1,A3888)</f>
        <v>2582</v>
      </c>
      <c r="B3889" s="19" t="str">
        <f t="shared" si="311"/>
        <v>B-BCP - Soles</v>
      </c>
      <c r="C3889" s="3" t="s">
        <v>1352</v>
      </c>
      <c r="D3889" s="14">
        <v>45919</v>
      </c>
      <c r="E3889" s="5" t="s">
        <v>2269</v>
      </c>
      <c r="F3889" s="5" t="s">
        <v>1336</v>
      </c>
      <c r="G3889" s="6" t="s">
        <v>163</v>
      </c>
      <c r="H3889" s="6" t="s">
        <v>68</v>
      </c>
      <c r="I3889" s="6" t="s">
        <v>1376</v>
      </c>
      <c r="J3889" s="6">
        <v>318</v>
      </c>
      <c r="K3889" s="7" t="s">
        <v>4551</v>
      </c>
      <c r="L3889" s="8">
        <v>6759377</v>
      </c>
      <c r="M3889" s="8" t="str">
        <f t="shared" si="312"/>
        <v>PEN</v>
      </c>
      <c r="N3889" s="13">
        <v>157</v>
      </c>
      <c r="O3889" s="13"/>
      <c r="P3889" s="3">
        <f t="shared" si="313"/>
        <v>0</v>
      </c>
      <c r="Q3889" s="3">
        <f t="shared" si="314"/>
        <v>0</v>
      </c>
      <c r="R3889" s="3">
        <f t="shared" si="310"/>
        <v>11884.789999999974</v>
      </c>
      <c r="S3889" s="24" t="s">
        <v>1334</v>
      </c>
      <c r="T3889" s="24" t="s">
        <v>1334</v>
      </c>
      <c r="U3889" s="56" t="s">
        <v>4552</v>
      </c>
      <c r="V3889" s="25">
        <f>IFERROR(VLOOKUP(BCP_Soles[[#This Row],[destinatario]],CHOOSE({1,2},Clientes_Proveedores[Razon Social],Clientes_Proveedores[Ruc / Dni]),2,0),"")</f>
        <v>10416031679</v>
      </c>
      <c r="W3889" s="25"/>
      <c r="X3889" s="25"/>
      <c r="Y3889" s="25"/>
      <c r="Z3889" s="77"/>
      <c r="AA3889" s="3" t="str">
        <f>IF(BCP_Soles[[#This Row],[fecha]]&gt;0,TEXT(BCP_Soles[[#This Row],[fecha]],"mmmm"),0)</f>
        <v>Setiembre</v>
      </c>
    </row>
    <row r="3890" spans="1:27" x14ac:dyDescent="0.3">
      <c r="A3890" s="2">
        <f>IF(BCP_Soles[[#This Row],[tipo_registro]]="R",COUNTIFS($C$1:$C3889,"R")+1,A3889)</f>
        <v>2582</v>
      </c>
      <c r="B3890" s="19" t="str">
        <f t="shared" si="311"/>
        <v>B-BCP - Soles</v>
      </c>
      <c r="C3890" s="3" t="s">
        <v>1352</v>
      </c>
      <c r="D3890" s="14">
        <v>45919</v>
      </c>
      <c r="E3890" s="5" t="s">
        <v>2269</v>
      </c>
      <c r="F3890" s="5" t="s">
        <v>1336</v>
      </c>
      <c r="G3890" s="6" t="s">
        <v>414</v>
      </c>
      <c r="H3890" s="6" t="s">
        <v>68</v>
      </c>
      <c r="I3890" s="6" t="s">
        <v>1374</v>
      </c>
      <c r="J3890" s="6">
        <v>15164</v>
      </c>
      <c r="K3890" s="7" t="s">
        <v>4551</v>
      </c>
      <c r="L3890" s="8">
        <v>6759377</v>
      </c>
      <c r="M3890" s="8" t="str">
        <f t="shared" si="312"/>
        <v>PEN</v>
      </c>
      <c r="N3890" s="13">
        <v>8779.99</v>
      </c>
      <c r="O3890" s="13"/>
      <c r="P3890" s="3">
        <f t="shared" si="313"/>
        <v>0</v>
      </c>
      <c r="Q3890" s="3">
        <f t="shared" si="314"/>
        <v>0</v>
      </c>
      <c r="R3890" s="3">
        <f t="shared" si="310"/>
        <v>11884.789999999974</v>
      </c>
      <c r="S3890" s="24" t="s">
        <v>1334</v>
      </c>
      <c r="T3890" s="24" t="s">
        <v>1334</v>
      </c>
      <c r="U3890" s="56" t="s">
        <v>4552</v>
      </c>
      <c r="V3890" s="25">
        <f>IFERROR(VLOOKUP(BCP_Soles[[#This Row],[destinatario]],CHOOSE({1,2},Clientes_Proveedores[Razon Social],Clientes_Proveedores[Ruc / Dni]),2,0),"")</f>
        <v>20553255709</v>
      </c>
      <c r="W3890" s="25"/>
      <c r="X3890" s="25"/>
      <c r="Y3890" s="25"/>
      <c r="Z3890" s="77"/>
      <c r="AA3890" s="3" t="str">
        <f>IF(BCP_Soles[[#This Row],[fecha]]&gt;0,TEXT(BCP_Soles[[#This Row],[fecha]],"mmmm"),0)</f>
        <v>Setiembre</v>
      </c>
    </row>
    <row r="3891" spans="1:27" ht="24" x14ac:dyDescent="0.3">
      <c r="A3891" s="2">
        <f>IF(BCP_Soles[[#This Row],[tipo_registro]]="R",COUNTIFS($C$1:$C3890,"R")+1,A3890)</f>
        <v>2582</v>
      </c>
      <c r="B3891" s="19" t="str">
        <f t="shared" si="311"/>
        <v>B-BCP - Soles</v>
      </c>
      <c r="C3891" s="3" t="s">
        <v>1352</v>
      </c>
      <c r="D3891" s="14">
        <v>45919</v>
      </c>
      <c r="E3891" s="5" t="s">
        <v>2269</v>
      </c>
      <c r="F3891" s="5" t="s">
        <v>1336</v>
      </c>
      <c r="G3891" s="6" t="s">
        <v>209</v>
      </c>
      <c r="H3891" s="6" t="s">
        <v>68</v>
      </c>
      <c r="I3891" s="6" t="s">
        <v>2086</v>
      </c>
      <c r="J3891" s="6">
        <v>36571</v>
      </c>
      <c r="K3891" s="7" t="s">
        <v>4551</v>
      </c>
      <c r="L3891" s="8">
        <v>6759377</v>
      </c>
      <c r="M3891" s="8" t="str">
        <f t="shared" si="312"/>
        <v>PEN</v>
      </c>
      <c r="N3891" s="13">
        <v>3289.88</v>
      </c>
      <c r="O3891" s="13"/>
      <c r="P3891" s="3">
        <f t="shared" si="313"/>
        <v>0</v>
      </c>
      <c r="Q3891" s="3">
        <f t="shared" si="314"/>
        <v>0</v>
      </c>
      <c r="R3891" s="3">
        <f t="shared" si="310"/>
        <v>11884.789999999974</v>
      </c>
      <c r="S3891" s="24" t="s">
        <v>1334</v>
      </c>
      <c r="T3891" s="24" t="s">
        <v>1334</v>
      </c>
      <c r="U3891" s="56" t="s">
        <v>4552</v>
      </c>
      <c r="V3891" s="25">
        <f>IFERROR(VLOOKUP(BCP_Soles[[#This Row],[destinatario]],CHOOSE({1,2},Clientes_Proveedores[Razon Social],Clientes_Proveedores[Ruc / Dni]),2,0),"")</f>
        <v>20100226902</v>
      </c>
      <c r="W3891" s="25"/>
      <c r="X3891" s="25"/>
      <c r="Y3891" s="25"/>
      <c r="Z3891" s="77"/>
      <c r="AA3891" s="3" t="str">
        <f>IF(BCP_Soles[[#This Row],[fecha]]&gt;0,TEXT(BCP_Soles[[#This Row],[fecha]],"mmmm"),0)</f>
        <v>Setiembre</v>
      </c>
    </row>
    <row r="3892" spans="1:27" x14ac:dyDescent="0.3">
      <c r="A3892" s="2">
        <f>IF(BCP_Soles[[#This Row],[tipo_registro]]="R",COUNTIFS($C$1:$C3891,"R")+1,A3891)</f>
        <v>2582</v>
      </c>
      <c r="B3892" s="19" t="str">
        <f t="shared" si="311"/>
        <v>B-BCP - Soles</v>
      </c>
      <c r="C3892" s="3" t="s">
        <v>1352</v>
      </c>
      <c r="D3892" s="14">
        <v>45919</v>
      </c>
      <c r="E3892" s="5" t="s">
        <v>2269</v>
      </c>
      <c r="F3892" s="5" t="s">
        <v>1336</v>
      </c>
      <c r="G3892" s="6" t="s">
        <v>518</v>
      </c>
      <c r="H3892" s="6" t="s">
        <v>68</v>
      </c>
      <c r="I3892" s="6" t="s">
        <v>1376</v>
      </c>
      <c r="J3892" s="6">
        <v>1575</v>
      </c>
      <c r="K3892" s="7" t="s">
        <v>4551</v>
      </c>
      <c r="L3892" s="8">
        <v>6759377</v>
      </c>
      <c r="M3892" s="8" t="str">
        <f t="shared" si="312"/>
        <v>PEN</v>
      </c>
      <c r="N3892" s="13">
        <v>182</v>
      </c>
      <c r="O3892" s="13"/>
      <c r="P3892" s="3">
        <f t="shared" si="313"/>
        <v>0</v>
      </c>
      <c r="Q3892" s="3">
        <f t="shared" si="314"/>
        <v>0</v>
      </c>
      <c r="R3892" s="3">
        <f t="shared" si="310"/>
        <v>11884.789999999974</v>
      </c>
      <c r="S3892" s="24" t="s">
        <v>1334</v>
      </c>
      <c r="T3892" s="24" t="s">
        <v>1334</v>
      </c>
      <c r="U3892" s="56" t="s">
        <v>4552</v>
      </c>
      <c r="V3892" s="25">
        <f>IFERROR(VLOOKUP(BCP_Soles[[#This Row],[destinatario]],CHOOSE({1,2},Clientes_Proveedores[Razon Social],Clientes_Proveedores[Ruc / Dni]),2,0),"")</f>
        <v>20603912838</v>
      </c>
      <c r="W3892" s="25"/>
      <c r="X3892" s="25"/>
      <c r="Y3892" s="25"/>
      <c r="Z3892" s="77"/>
      <c r="AA3892" s="3" t="str">
        <f>IF(BCP_Soles[[#This Row],[fecha]]&gt;0,TEXT(BCP_Soles[[#This Row],[fecha]],"mmmm"),0)</f>
        <v>Setiembre</v>
      </c>
    </row>
    <row r="3893" spans="1:27" ht="36" x14ac:dyDescent="0.3">
      <c r="A3893" s="2">
        <f>IF(BCP_Soles[[#This Row],[tipo_registro]]="R",COUNTIFS($C$1:$C3892,"R")+1,A3892)</f>
        <v>2582</v>
      </c>
      <c r="B3893" s="19" t="str">
        <f t="shared" si="311"/>
        <v>B-BCP - Soles</v>
      </c>
      <c r="C3893" s="3" t="s">
        <v>1352</v>
      </c>
      <c r="D3893" s="14">
        <v>45919</v>
      </c>
      <c r="E3893" s="5" t="s">
        <v>2269</v>
      </c>
      <c r="F3893" s="5" t="s">
        <v>1336</v>
      </c>
      <c r="G3893" s="6" t="s">
        <v>132</v>
      </c>
      <c r="H3893" s="6" t="s">
        <v>68</v>
      </c>
      <c r="I3893" s="6" t="s">
        <v>1376</v>
      </c>
      <c r="J3893" s="6">
        <v>791</v>
      </c>
      <c r="K3893" s="7" t="s">
        <v>4551</v>
      </c>
      <c r="L3893" s="8">
        <v>6759377</v>
      </c>
      <c r="M3893" s="8" t="str">
        <f t="shared" si="312"/>
        <v>PEN</v>
      </c>
      <c r="N3893" s="13">
        <v>46</v>
      </c>
      <c r="O3893" s="13"/>
      <c r="P3893" s="3">
        <f t="shared" si="313"/>
        <v>0</v>
      </c>
      <c r="Q3893" s="3">
        <f t="shared" si="314"/>
        <v>0</v>
      </c>
      <c r="R3893" s="3">
        <f t="shared" si="310"/>
        <v>11884.789999999974</v>
      </c>
      <c r="S3893" s="24" t="s">
        <v>1334</v>
      </c>
      <c r="T3893" s="24" t="s">
        <v>1334</v>
      </c>
      <c r="U3893" s="56" t="s">
        <v>4552</v>
      </c>
      <c r="V3893" s="25">
        <f>IFERROR(VLOOKUP(BCP_Soles[[#This Row],[destinatario]],CHOOSE({1,2},Clientes_Proveedores[Razon Social],Clientes_Proveedores[Ruc / Dni]),2,0),"")</f>
        <v>10296695781</v>
      </c>
      <c r="W3893" s="25"/>
      <c r="X3893" s="25"/>
      <c r="Y3893" s="25"/>
      <c r="Z3893" s="77"/>
      <c r="AA3893" s="3" t="str">
        <f>IF(BCP_Soles[[#This Row],[fecha]]&gt;0,TEXT(BCP_Soles[[#This Row],[fecha]],"mmmm"),0)</f>
        <v>Setiembre</v>
      </c>
    </row>
    <row r="3894" spans="1:27" x14ac:dyDescent="0.3">
      <c r="A3894" s="2">
        <f>IF(BCP_Soles[[#This Row],[tipo_registro]]="R",COUNTIFS($C$1:$C3893,"R")+1,A3893)</f>
        <v>2582</v>
      </c>
      <c r="B3894" s="19" t="str">
        <f t="shared" si="311"/>
        <v>B-BCP - Soles</v>
      </c>
      <c r="C3894" s="3" t="s">
        <v>1352</v>
      </c>
      <c r="D3894" s="14">
        <v>45919</v>
      </c>
      <c r="E3894" s="5" t="s">
        <v>2269</v>
      </c>
      <c r="F3894" s="5" t="s">
        <v>1336</v>
      </c>
      <c r="G3894" s="6" t="s">
        <v>522</v>
      </c>
      <c r="H3894" s="6" t="s">
        <v>68</v>
      </c>
      <c r="I3894" s="6" t="s">
        <v>1376</v>
      </c>
      <c r="J3894" s="6">
        <v>4206</v>
      </c>
      <c r="K3894" s="7" t="s">
        <v>4551</v>
      </c>
      <c r="L3894" s="8">
        <v>6759377</v>
      </c>
      <c r="M3894" s="8" t="str">
        <f t="shared" si="312"/>
        <v>PEN</v>
      </c>
      <c r="N3894" s="13">
        <v>551.65</v>
      </c>
      <c r="O3894" s="13"/>
      <c r="P3894" s="3">
        <f t="shared" si="313"/>
        <v>0</v>
      </c>
      <c r="Q3894" s="3">
        <f t="shared" si="314"/>
        <v>0</v>
      </c>
      <c r="R3894" s="3">
        <f t="shared" si="310"/>
        <v>11884.789999999974</v>
      </c>
      <c r="S3894" s="24" t="s">
        <v>1334</v>
      </c>
      <c r="T3894" s="24" t="s">
        <v>1334</v>
      </c>
      <c r="U3894" s="56" t="s">
        <v>4552</v>
      </c>
      <c r="V3894" s="25">
        <f>IFERROR(VLOOKUP(BCP_Soles[[#This Row],[destinatario]],CHOOSE({1,2},Clientes_Proveedores[Razon Social],Clientes_Proveedores[Ruc / Dni]),2,0),"")</f>
        <v>20603974817</v>
      </c>
      <c r="W3894" s="25"/>
      <c r="X3894" s="25"/>
      <c r="Y3894" s="25"/>
      <c r="Z3894" s="77"/>
      <c r="AA3894" s="3" t="str">
        <f>IF(BCP_Soles[[#This Row],[fecha]]&gt;0,TEXT(BCP_Soles[[#This Row],[fecha]],"mmmm"),0)</f>
        <v>Setiembre</v>
      </c>
    </row>
    <row r="3895" spans="1:27" ht="24" x14ac:dyDescent="0.3">
      <c r="A3895" s="2">
        <f>IF(BCP_Soles[[#This Row],[tipo_registro]]="R",COUNTIFS($C$1:$C3894,"R")+1,A3894)</f>
        <v>2582</v>
      </c>
      <c r="B3895" s="19" t="str">
        <f t="shared" si="311"/>
        <v>B-BCP - Soles</v>
      </c>
      <c r="C3895" s="3" t="s">
        <v>1352</v>
      </c>
      <c r="D3895" s="14">
        <v>45919</v>
      </c>
      <c r="E3895" s="5" t="s">
        <v>2269</v>
      </c>
      <c r="F3895" s="5" t="s">
        <v>1336</v>
      </c>
      <c r="G3895" s="6" t="s">
        <v>594</v>
      </c>
      <c r="H3895" s="6" t="s">
        <v>68</v>
      </c>
      <c r="I3895" s="6" t="s">
        <v>1376</v>
      </c>
      <c r="J3895" s="6">
        <v>2568</v>
      </c>
      <c r="K3895" s="7" t="s">
        <v>4551</v>
      </c>
      <c r="L3895" s="8">
        <v>6759377</v>
      </c>
      <c r="M3895" s="8" t="str">
        <f t="shared" si="312"/>
        <v>PEN</v>
      </c>
      <c r="N3895" s="13">
        <v>70.8</v>
      </c>
      <c r="O3895" s="13"/>
      <c r="P3895" s="3">
        <f t="shared" si="313"/>
        <v>0</v>
      </c>
      <c r="Q3895" s="3">
        <f t="shared" si="314"/>
        <v>0</v>
      </c>
      <c r="R3895" s="3">
        <f t="shared" si="310"/>
        <v>11884.789999999974</v>
      </c>
      <c r="S3895" s="24" t="s">
        <v>1334</v>
      </c>
      <c r="T3895" s="24" t="s">
        <v>1334</v>
      </c>
      <c r="U3895" s="56" t="s">
        <v>4552</v>
      </c>
      <c r="V3895" s="25">
        <f>IFERROR(VLOOKUP(BCP_Soles[[#This Row],[destinatario]],CHOOSE({1,2},Clientes_Proveedores[Razon Social],Clientes_Proveedores[Ruc / Dni]),2,0),"")</f>
        <v>20609764261</v>
      </c>
      <c r="W3895" s="25"/>
      <c r="X3895" s="25"/>
      <c r="Y3895" s="25"/>
      <c r="Z3895" s="77"/>
      <c r="AA3895" s="3" t="str">
        <f>IF(BCP_Soles[[#This Row],[fecha]]&gt;0,TEXT(BCP_Soles[[#This Row],[fecha]],"mmmm"),0)</f>
        <v>Setiembre</v>
      </c>
    </row>
    <row r="3896" spans="1:27" ht="24" x14ac:dyDescent="0.3">
      <c r="A3896" s="2">
        <f>IF(BCP_Soles[[#This Row],[tipo_registro]]="R",COUNTIFS($C$1:$C3895,"R")+1,A3895)</f>
        <v>2582</v>
      </c>
      <c r="B3896" s="19" t="str">
        <f t="shared" si="311"/>
        <v>B-BCP - Soles</v>
      </c>
      <c r="C3896" s="3" t="s">
        <v>1352</v>
      </c>
      <c r="D3896" s="14">
        <v>45919</v>
      </c>
      <c r="E3896" s="5" t="s">
        <v>2269</v>
      </c>
      <c r="F3896" s="5" t="s">
        <v>1336</v>
      </c>
      <c r="G3896" s="6" t="s">
        <v>594</v>
      </c>
      <c r="H3896" s="6" t="s">
        <v>68</v>
      </c>
      <c r="I3896" s="6" t="s">
        <v>1376</v>
      </c>
      <c r="J3896" s="6">
        <v>2569</v>
      </c>
      <c r="K3896" s="7" t="s">
        <v>4551</v>
      </c>
      <c r="L3896" s="8">
        <v>6759377</v>
      </c>
      <c r="M3896" s="8" t="str">
        <f t="shared" si="312"/>
        <v>PEN</v>
      </c>
      <c r="N3896" s="13">
        <v>70.8</v>
      </c>
      <c r="O3896" s="13"/>
      <c r="P3896" s="3">
        <f t="shared" si="313"/>
        <v>0</v>
      </c>
      <c r="Q3896" s="3">
        <f t="shared" si="314"/>
        <v>0</v>
      </c>
      <c r="R3896" s="3">
        <f t="shared" si="310"/>
        <v>11884.789999999974</v>
      </c>
      <c r="S3896" s="24" t="s">
        <v>1334</v>
      </c>
      <c r="T3896" s="24" t="s">
        <v>1334</v>
      </c>
      <c r="U3896" s="56" t="s">
        <v>4552</v>
      </c>
      <c r="V3896" s="25">
        <f>IFERROR(VLOOKUP(BCP_Soles[[#This Row],[destinatario]],CHOOSE({1,2},Clientes_Proveedores[Razon Social],Clientes_Proveedores[Ruc / Dni]),2,0),"")</f>
        <v>20609764261</v>
      </c>
      <c r="W3896" s="25"/>
      <c r="X3896" s="25"/>
      <c r="Y3896" s="25"/>
      <c r="Z3896" s="77"/>
      <c r="AA3896" s="3" t="str">
        <f>IF(BCP_Soles[[#This Row],[fecha]]&gt;0,TEXT(BCP_Soles[[#This Row],[fecha]],"mmmm"),0)</f>
        <v>Setiembre</v>
      </c>
    </row>
    <row r="3897" spans="1:27" ht="24" x14ac:dyDescent="0.3">
      <c r="A3897" s="2">
        <f>IF(BCP_Soles[[#This Row],[tipo_registro]]="R",COUNTIFS($C$1:$C3896,"R")+1,A3896)</f>
        <v>2582</v>
      </c>
      <c r="B3897" s="19" t="str">
        <f t="shared" si="311"/>
        <v>B-BCP - Soles</v>
      </c>
      <c r="C3897" s="3" t="s">
        <v>1352</v>
      </c>
      <c r="D3897" s="14">
        <v>45919</v>
      </c>
      <c r="E3897" s="5" t="s">
        <v>2269</v>
      </c>
      <c r="F3897" s="5" t="s">
        <v>1336</v>
      </c>
      <c r="G3897" s="6" t="s">
        <v>594</v>
      </c>
      <c r="H3897" s="6" t="s">
        <v>68</v>
      </c>
      <c r="I3897" s="6" t="s">
        <v>1376</v>
      </c>
      <c r="J3897" s="6">
        <v>2570</v>
      </c>
      <c r="K3897" s="7" t="s">
        <v>4551</v>
      </c>
      <c r="L3897" s="8">
        <v>6759377</v>
      </c>
      <c r="M3897" s="8" t="str">
        <f t="shared" si="312"/>
        <v>PEN</v>
      </c>
      <c r="N3897" s="13">
        <v>70.8</v>
      </c>
      <c r="O3897" s="13"/>
      <c r="P3897" s="3">
        <f t="shared" si="313"/>
        <v>0</v>
      </c>
      <c r="Q3897" s="3">
        <f t="shared" si="314"/>
        <v>0</v>
      </c>
      <c r="R3897" s="3">
        <f t="shared" si="310"/>
        <v>11884.789999999974</v>
      </c>
      <c r="S3897" s="24" t="s">
        <v>1334</v>
      </c>
      <c r="T3897" s="24" t="s">
        <v>1334</v>
      </c>
      <c r="U3897" s="56" t="s">
        <v>4552</v>
      </c>
      <c r="V3897" s="25">
        <f>IFERROR(VLOOKUP(BCP_Soles[[#This Row],[destinatario]],CHOOSE({1,2},Clientes_Proveedores[Razon Social],Clientes_Proveedores[Ruc / Dni]),2,0),"")</f>
        <v>20609764261</v>
      </c>
      <c r="W3897" s="25"/>
      <c r="X3897" s="25"/>
      <c r="Y3897" s="25"/>
      <c r="Z3897" s="77"/>
      <c r="AA3897" s="3" t="str">
        <f>IF(BCP_Soles[[#This Row],[fecha]]&gt;0,TEXT(BCP_Soles[[#This Row],[fecha]],"mmmm"),0)</f>
        <v>Setiembre</v>
      </c>
    </row>
    <row r="3898" spans="1:27" x14ac:dyDescent="0.3">
      <c r="A3898" s="2">
        <f>IF(BCP_Soles[[#This Row],[tipo_registro]]="R",COUNTIFS($C$1:$C3897,"R")+1,A3897)</f>
        <v>2582</v>
      </c>
      <c r="B3898" s="19" t="str">
        <f t="shared" si="311"/>
        <v>B-BCP - Soles</v>
      </c>
      <c r="C3898" s="3" t="s">
        <v>1352</v>
      </c>
      <c r="D3898" s="14">
        <v>45919</v>
      </c>
      <c r="E3898" s="5" t="s">
        <v>2269</v>
      </c>
      <c r="F3898" s="5" t="s">
        <v>1336</v>
      </c>
      <c r="G3898" s="6" t="s">
        <v>522</v>
      </c>
      <c r="H3898" s="6" t="s">
        <v>68</v>
      </c>
      <c r="I3898" s="6" t="s">
        <v>1376</v>
      </c>
      <c r="J3898" s="6">
        <v>4167</v>
      </c>
      <c r="K3898" s="7" t="s">
        <v>4551</v>
      </c>
      <c r="L3898" s="8">
        <v>6759377</v>
      </c>
      <c r="M3898" s="8" t="str">
        <f t="shared" si="312"/>
        <v>PEN</v>
      </c>
      <c r="N3898" s="13">
        <v>250.75</v>
      </c>
      <c r="O3898" s="13"/>
      <c r="P3898" s="3">
        <f t="shared" si="313"/>
        <v>0</v>
      </c>
      <c r="Q3898" s="3">
        <f t="shared" si="314"/>
        <v>0</v>
      </c>
      <c r="R3898" s="3">
        <f t="shared" si="310"/>
        <v>11884.789999999974</v>
      </c>
      <c r="S3898" s="24" t="s">
        <v>1334</v>
      </c>
      <c r="T3898" s="24" t="s">
        <v>1334</v>
      </c>
      <c r="U3898" s="56" t="s">
        <v>4552</v>
      </c>
      <c r="V3898" s="25">
        <f>IFERROR(VLOOKUP(BCP_Soles[[#This Row],[destinatario]],CHOOSE({1,2},Clientes_Proveedores[Razon Social],Clientes_Proveedores[Ruc / Dni]),2,0),"")</f>
        <v>20603974817</v>
      </c>
      <c r="W3898" s="25"/>
      <c r="X3898" s="25"/>
      <c r="Y3898" s="25"/>
      <c r="Z3898" s="77"/>
      <c r="AA3898" s="3" t="str">
        <f>IF(BCP_Soles[[#This Row],[fecha]]&gt;0,TEXT(BCP_Soles[[#This Row],[fecha]],"mmmm"),0)</f>
        <v>Setiembre</v>
      </c>
    </row>
    <row r="3899" spans="1:27" ht="24" x14ac:dyDescent="0.3">
      <c r="A3899" s="2">
        <f>IF(BCP_Soles[[#This Row],[tipo_registro]]="R",COUNTIFS($C$1:$C3898,"R")+1,A3898)</f>
        <v>2582</v>
      </c>
      <c r="B3899" s="19" t="str">
        <f t="shared" si="311"/>
        <v>B-BCP - Soles</v>
      </c>
      <c r="C3899" s="3" t="s">
        <v>1352</v>
      </c>
      <c r="D3899" s="14">
        <v>45919</v>
      </c>
      <c r="E3899" s="5" t="s">
        <v>2269</v>
      </c>
      <c r="F3899" s="5" t="s">
        <v>1336</v>
      </c>
      <c r="G3899" s="6" t="s">
        <v>667</v>
      </c>
      <c r="H3899" s="6" t="s">
        <v>68</v>
      </c>
      <c r="I3899" s="6" t="s">
        <v>1376</v>
      </c>
      <c r="J3899" s="6">
        <v>67</v>
      </c>
      <c r="K3899" s="7" t="s">
        <v>4551</v>
      </c>
      <c r="L3899" s="8">
        <v>6759377</v>
      </c>
      <c r="M3899" s="8" t="str">
        <f t="shared" si="312"/>
        <v>PEN</v>
      </c>
      <c r="N3899" s="13">
        <v>566</v>
      </c>
      <c r="O3899" s="13"/>
      <c r="P3899" s="3">
        <f t="shared" si="313"/>
        <v>0</v>
      </c>
      <c r="Q3899" s="3">
        <f t="shared" si="314"/>
        <v>0</v>
      </c>
      <c r="R3899" s="3">
        <f t="shared" si="310"/>
        <v>11884.789999999974</v>
      </c>
      <c r="S3899" s="24" t="s">
        <v>1334</v>
      </c>
      <c r="T3899" s="24" t="s">
        <v>1334</v>
      </c>
      <c r="U3899" s="56" t="s">
        <v>4552</v>
      </c>
      <c r="V3899" s="25">
        <f>IFERROR(VLOOKUP(BCP_Soles[[#This Row],[destinatario]],CHOOSE({1,2},Clientes_Proveedores[Razon Social],Clientes_Proveedores[Ruc / Dni]),2,0),"")</f>
        <v>10410687491</v>
      </c>
      <c r="W3899" s="25"/>
      <c r="X3899" s="25"/>
      <c r="Y3899" s="25"/>
      <c r="Z3899" s="77"/>
      <c r="AA3899" s="3" t="str">
        <f>IF(BCP_Soles[[#This Row],[fecha]]&gt;0,TEXT(BCP_Soles[[#This Row],[fecha]],"mmmm"),0)</f>
        <v>Setiembre</v>
      </c>
    </row>
    <row r="3900" spans="1:27" x14ac:dyDescent="0.3">
      <c r="A3900" s="2">
        <f>IF(BCP_Soles[[#This Row],[tipo_registro]]="R",COUNTIFS($C$1:$C3899,"R")+1,A3899)</f>
        <v>2583</v>
      </c>
      <c r="B3900" s="19" t="str">
        <f t="shared" si="311"/>
        <v>B-BCP - Soles</v>
      </c>
      <c r="C3900" s="3" t="s">
        <v>1330</v>
      </c>
      <c r="D3900" s="14">
        <v>45919</v>
      </c>
      <c r="E3900" s="5" t="s">
        <v>2269</v>
      </c>
      <c r="F3900" s="5" t="s">
        <v>1336</v>
      </c>
      <c r="G3900" s="6" t="s">
        <v>425</v>
      </c>
      <c r="H3900" s="6"/>
      <c r="I3900" s="6"/>
      <c r="J3900" s="6"/>
      <c r="K3900" s="7" t="s">
        <v>4553</v>
      </c>
      <c r="L3900" s="8">
        <v>1255013</v>
      </c>
      <c r="M3900" s="8" t="str">
        <f t="shared" si="312"/>
        <v>PEN</v>
      </c>
      <c r="N3900" s="13"/>
      <c r="O3900" s="13">
        <v>6100</v>
      </c>
      <c r="P3900" s="3">
        <f t="shared" si="313"/>
        <v>0</v>
      </c>
      <c r="Q3900" s="3">
        <f t="shared" si="314"/>
        <v>6100</v>
      </c>
      <c r="R3900" s="3">
        <f t="shared" si="310"/>
        <v>5784.7899999999736</v>
      </c>
      <c r="S3900" s="24" t="s">
        <v>1334</v>
      </c>
      <c r="T3900" s="24" t="s">
        <v>1334</v>
      </c>
      <c r="U3900" s="55"/>
      <c r="V3900" s="25">
        <f>IFERROR(VLOOKUP(BCP_Soles[[#This Row],[destinatario]],CHOOSE({1,2},Clientes_Proveedores[Razon Social],Clientes_Proveedores[Ruc / Dni]),2,0),"")</f>
        <v>20558226979</v>
      </c>
      <c r="W3900" s="25"/>
      <c r="X3900" s="25"/>
      <c r="Y3900" s="25"/>
      <c r="Z3900" s="77"/>
      <c r="AA3900" s="3" t="str">
        <f>IF(BCP_Soles[[#This Row],[fecha]]&gt;0,TEXT(BCP_Soles[[#This Row],[fecha]],"mmmm"),0)</f>
        <v>Setiembre</v>
      </c>
    </row>
    <row r="3901" spans="1:27" x14ac:dyDescent="0.3">
      <c r="A3901" s="2">
        <f>IF(BCP_Soles[[#This Row],[tipo_registro]]="R",COUNTIFS($C$1:$C3900,"R")+1,A3900)</f>
        <v>2584</v>
      </c>
      <c r="B3901" s="19" t="str">
        <f t="shared" si="311"/>
        <v>B-BCP - Soles</v>
      </c>
      <c r="C3901" s="3" t="s">
        <v>1330</v>
      </c>
      <c r="D3901" s="14">
        <v>45919</v>
      </c>
      <c r="E3901" s="5" t="s">
        <v>3190</v>
      </c>
      <c r="F3901" s="5" t="s">
        <v>1336</v>
      </c>
      <c r="G3901" s="6"/>
      <c r="H3901" s="6"/>
      <c r="I3901" s="6"/>
      <c r="J3901" s="6"/>
      <c r="K3901" s="7" t="s">
        <v>4554</v>
      </c>
      <c r="L3901" s="8">
        <v>1015184</v>
      </c>
      <c r="M3901" s="8" t="str">
        <f t="shared" si="312"/>
        <v>PEN</v>
      </c>
      <c r="N3901" s="13"/>
      <c r="O3901" s="13">
        <v>2879</v>
      </c>
      <c r="P3901" s="3">
        <f t="shared" si="313"/>
        <v>0</v>
      </c>
      <c r="Q3901" s="3">
        <f t="shared" si="314"/>
        <v>2879</v>
      </c>
      <c r="R3901" s="3">
        <f t="shared" si="310"/>
        <v>2905.7899999999736</v>
      </c>
      <c r="S3901" s="24"/>
      <c r="T3901" s="24"/>
      <c r="U3901" s="55"/>
      <c r="V3901" s="25" t="str">
        <f>IFERROR(VLOOKUP(BCP_Soles[[#This Row],[destinatario]],CHOOSE({1,2},Clientes_Proveedores[Razon Social],Clientes_Proveedores[Ruc / Dni]),2,0),"")</f>
        <v/>
      </c>
      <c r="W3901" s="25"/>
      <c r="X3901" s="25"/>
      <c r="Y3901" s="25"/>
      <c r="Z3901" s="77"/>
      <c r="AA3901" s="3" t="str">
        <f>IF(BCP_Soles[[#This Row],[fecha]]&gt;0,TEXT(BCP_Soles[[#This Row],[fecha]],"mmmm"),0)</f>
        <v>Setiembre</v>
      </c>
    </row>
    <row r="3902" spans="1:27" ht="24" x14ac:dyDescent="0.3">
      <c r="A3902" s="2">
        <f>IF(BCP_Soles[[#This Row],[tipo_registro]]="R",COUNTIFS($C$1:$C3901,"R")+1,A3901)</f>
        <v>2585</v>
      </c>
      <c r="B3902" s="19" t="str">
        <f t="shared" si="311"/>
        <v>B-BCP - Soles</v>
      </c>
      <c r="C3902" s="3" t="s">
        <v>1330</v>
      </c>
      <c r="D3902" s="14">
        <v>45919</v>
      </c>
      <c r="E3902" s="5" t="s">
        <v>1335</v>
      </c>
      <c r="F3902" s="5" t="s">
        <v>1336</v>
      </c>
      <c r="G3902" s="6" t="s">
        <v>1060</v>
      </c>
      <c r="H3902" s="6" t="s">
        <v>68</v>
      </c>
      <c r="I3902" s="6" t="s">
        <v>1397</v>
      </c>
      <c r="J3902" s="6">
        <v>37207119</v>
      </c>
      <c r="K3902" s="7" t="s">
        <v>4230</v>
      </c>
      <c r="L3902" s="8">
        <v>462</v>
      </c>
      <c r="M3902" s="8" t="str">
        <f t="shared" si="312"/>
        <v>PEN</v>
      </c>
      <c r="N3902" s="13"/>
      <c r="O3902" s="13">
        <v>10</v>
      </c>
      <c r="P3902" s="3">
        <f t="shared" si="313"/>
        <v>0</v>
      </c>
      <c r="Q3902" s="3">
        <f t="shared" si="314"/>
        <v>10</v>
      </c>
      <c r="R3902" s="3">
        <f t="shared" si="310"/>
        <v>2895.7899999999736</v>
      </c>
      <c r="S3902" s="24" t="s">
        <v>1334</v>
      </c>
      <c r="T3902" s="24" t="s">
        <v>1334</v>
      </c>
      <c r="U3902" s="55"/>
      <c r="V3902" s="25">
        <f>IFERROR(VLOOKUP(BCP_Soles[[#This Row],[destinatario]],CHOOSE({1,2},Clientes_Proveedores[Razon Social],Clientes_Proveedores[Ruc / Dni]),2,0),"")</f>
        <v>20100047218</v>
      </c>
      <c r="W3902" s="25"/>
      <c r="X3902" s="25"/>
      <c r="Y3902" s="25"/>
      <c r="Z3902" s="77"/>
      <c r="AA3902" s="3" t="str">
        <f>IF(BCP_Soles[[#This Row],[fecha]]&gt;0,TEXT(BCP_Soles[[#This Row],[fecha]],"mmmm"),0)</f>
        <v>Setiembre</v>
      </c>
    </row>
    <row r="3903" spans="1:27" x14ac:dyDescent="0.3">
      <c r="A3903" s="2">
        <f>IF(BCP_Soles[[#This Row],[tipo_registro]]="R",COUNTIFS($C$1:$C3902,"R")+1,A3902)</f>
        <v>2586</v>
      </c>
      <c r="B3903" s="19" t="str">
        <f t="shared" si="311"/>
        <v>B-BCP - Soles</v>
      </c>
      <c r="C3903" s="3" t="s">
        <v>1330</v>
      </c>
      <c r="D3903" s="14">
        <v>45919</v>
      </c>
      <c r="E3903" s="5" t="s">
        <v>1335</v>
      </c>
      <c r="F3903" s="5" t="s">
        <v>1336</v>
      </c>
      <c r="G3903" s="6" t="s">
        <v>1009</v>
      </c>
      <c r="H3903" s="6" t="s">
        <v>64</v>
      </c>
      <c r="I3903" s="6" t="s">
        <v>3673</v>
      </c>
      <c r="J3903" s="6">
        <v>2588</v>
      </c>
      <c r="K3903" s="7" t="s">
        <v>3160</v>
      </c>
      <c r="L3903" s="8"/>
      <c r="M3903" s="8" t="str">
        <f t="shared" si="312"/>
        <v>PEN</v>
      </c>
      <c r="N3903" s="13"/>
      <c r="O3903" s="13">
        <v>1</v>
      </c>
      <c r="P3903" s="3">
        <f t="shared" si="313"/>
        <v>0</v>
      </c>
      <c r="Q3903" s="3">
        <f t="shared" si="314"/>
        <v>1</v>
      </c>
      <c r="R3903" s="3">
        <f t="shared" si="310"/>
        <v>2894.7899999999736</v>
      </c>
      <c r="S3903" s="24"/>
      <c r="T3903" s="24" t="s">
        <v>1334</v>
      </c>
      <c r="U3903" s="55"/>
      <c r="V3903" s="25">
        <f>IFERROR(VLOOKUP(BCP_Soles[[#This Row],[destinatario]],CHOOSE({1,2},Clientes_Proveedores[Razon Social],Clientes_Proveedores[Ruc / Dni]),2,0),"")</f>
        <v>11111111</v>
      </c>
      <c r="W3903" s="25"/>
      <c r="X3903" s="25"/>
      <c r="Y3903" s="25"/>
      <c r="Z3903" s="77"/>
      <c r="AA3903" s="3" t="str">
        <f>IF(BCP_Soles[[#This Row],[fecha]]&gt;0,TEXT(BCP_Soles[[#This Row],[fecha]],"mmmm"),0)</f>
        <v>Setiembre</v>
      </c>
    </row>
    <row r="3904" spans="1:27" x14ac:dyDescent="0.3">
      <c r="A3904" s="2">
        <f>IF(BCP_Soles[[#This Row],[tipo_registro]]="R",COUNTIFS($C$1:$C3903,"R")+1,A3903)</f>
        <v>2587</v>
      </c>
      <c r="B3904" s="19" t="str">
        <f t="shared" si="311"/>
        <v>B-BCP - Soles</v>
      </c>
      <c r="C3904" s="3" t="s">
        <v>1330</v>
      </c>
      <c r="D3904" s="14">
        <v>45920</v>
      </c>
      <c r="E3904" s="5"/>
      <c r="F3904" s="5" t="s">
        <v>1303</v>
      </c>
      <c r="G3904" s="6" t="s">
        <v>425</v>
      </c>
      <c r="H3904" s="6"/>
      <c r="I3904" s="6"/>
      <c r="J3904" s="6"/>
      <c r="K3904" s="7" t="s">
        <v>4555</v>
      </c>
      <c r="L3904" s="8">
        <v>446471</v>
      </c>
      <c r="M3904" s="8" t="str">
        <f t="shared" si="312"/>
        <v>PEN</v>
      </c>
      <c r="N3904" s="13"/>
      <c r="O3904" s="13">
        <v>2700</v>
      </c>
      <c r="P3904" s="3">
        <f t="shared" si="313"/>
        <v>2700</v>
      </c>
      <c r="Q3904" s="3">
        <f t="shared" si="314"/>
        <v>0</v>
      </c>
      <c r="R3904" s="3">
        <f t="shared" si="310"/>
        <v>5594.7899999999736</v>
      </c>
      <c r="S3904" s="24" t="s">
        <v>1334</v>
      </c>
      <c r="T3904" s="24" t="s">
        <v>1334</v>
      </c>
      <c r="U3904" s="55"/>
      <c r="V3904" s="25">
        <f>IFERROR(VLOOKUP(BCP_Soles[[#This Row],[destinatario]],CHOOSE({1,2},Clientes_Proveedores[Razon Social],Clientes_Proveedores[Ruc / Dni]),2,0),"")</f>
        <v>20558226979</v>
      </c>
      <c r="W3904" s="25"/>
      <c r="X3904" s="25"/>
      <c r="Y3904" s="25"/>
      <c r="Z3904" s="77"/>
      <c r="AA3904" s="3" t="str">
        <f>IF(BCP_Soles[[#This Row],[fecha]]&gt;0,TEXT(BCP_Soles[[#This Row],[fecha]],"mmmm"),0)</f>
        <v>Setiembre</v>
      </c>
    </row>
    <row r="3905" spans="1:27" ht="24" x14ac:dyDescent="0.3">
      <c r="A3905" s="2">
        <f>IF(BCP_Soles[[#This Row],[tipo_registro]]="R",COUNTIFS($C$1:$C3904,"R")+1,A3904)</f>
        <v>2587</v>
      </c>
      <c r="B3905" s="19" t="str">
        <f t="shared" si="311"/>
        <v>B-BCP - Soles</v>
      </c>
      <c r="C3905" s="3" t="s">
        <v>1352</v>
      </c>
      <c r="D3905" s="14">
        <v>45920</v>
      </c>
      <c r="E3905" s="5" t="s">
        <v>4358</v>
      </c>
      <c r="F3905" s="5" t="s">
        <v>1303</v>
      </c>
      <c r="G3905" s="6" t="s">
        <v>425</v>
      </c>
      <c r="H3905" s="6" t="s">
        <v>119</v>
      </c>
      <c r="I3905" s="6">
        <v>1</v>
      </c>
      <c r="J3905" s="6">
        <v>4706</v>
      </c>
      <c r="K3905" s="7" t="s">
        <v>4555</v>
      </c>
      <c r="L3905" s="8">
        <v>446471</v>
      </c>
      <c r="M3905" s="8" t="str">
        <f t="shared" si="312"/>
        <v>PEN</v>
      </c>
      <c r="N3905" s="13">
        <v>1154</v>
      </c>
      <c r="O3905" s="13"/>
      <c r="P3905" s="3">
        <f t="shared" si="313"/>
        <v>0</v>
      </c>
      <c r="Q3905" s="3">
        <f t="shared" si="314"/>
        <v>0</v>
      </c>
      <c r="R3905" s="3">
        <f t="shared" si="310"/>
        <v>5594.7899999999736</v>
      </c>
      <c r="S3905" s="24" t="s">
        <v>1334</v>
      </c>
      <c r="T3905" s="24" t="s">
        <v>1334</v>
      </c>
      <c r="U3905" s="55"/>
      <c r="V3905" s="25">
        <f>IFERROR(VLOOKUP(BCP_Soles[[#This Row],[destinatario]],CHOOSE({1,2},Clientes_Proveedores[Razon Social],Clientes_Proveedores[Ruc / Dni]),2,0),"")</f>
        <v>20558226979</v>
      </c>
      <c r="W3905" s="25"/>
      <c r="X3905" s="25"/>
      <c r="Y3905" s="25"/>
      <c r="Z3905" s="77"/>
      <c r="AA3905" s="3" t="str">
        <f>IF(BCP_Soles[[#This Row],[fecha]]&gt;0,TEXT(BCP_Soles[[#This Row],[fecha]],"mmmm"),0)</f>
        <v>Setiembre</v>
      </c>
    </row>
    <row r="3906" spans="1:27" ht="24" x14ac:dyDescent="0.3">
      <c r="A3906" s="2">
        <f>IF(BCP_Soles[[#This Row],[tipo_registro]]="R",COUNTIFS($C$1:$C3905,"R")+1,A3905)</f>
        <v>2587</v>
      </c>
      <c r="B3906" s="19" t="str">
        <f t="shared" si="311"/>
        <v>B-BCP - Soles</v>
      </c>
      <c r="C3906" s="3" t="s">
        <v>1352</v>
      </c>
      <c r="D3906" s="14">
        <v>45920</v>
      </c>
      <c r="E3906" s="5" t="s">
        <v>309</v>
      </c>
      <c r="F3906" s="5" t="s">
        <v>1303</v>
      </c>
      <c r="G3906" s="6" t="s">
        <v>425</v>
      </c>
      <c r="H3906" s="6" t="s">
        <v>119</v>
      </c>
      <c r="I3906" s="6">
        <v>1</v>
      </c>
      <c r="J3906" s="6">
        <v>4712</v>
      </c>
      <c r="K3906" s="7" t="s">
        <v>4555</v>
      </c>
      <c r="L3906" s="8">
        <v>446471</v>
      </c>
      <c r="M3906" s="8" t="str">
        <f t="shared" si="312"/>
        <v>PEN</v>
      </c>
      <c r="N3906" s="13">
        <v>1546</v>
      </c>
      <c r="O3906" s="13"/>
      <c r="P3906" s="3">
        <f t="shared" si="313"/>
        <v>0</v>
      </c>
      <c r="Q3906" s="3">
        <f t="shared" si="314"/>
        <v>0</v>
      </c>
      <c r="R3906" s="3">
        <f t="shared" si="310"/>
        <v>5594.7899999999736</v>
      </c>
      <c r="S3906" s="24" t="s">
        <v>1334</v>
      </c>
      <c r="T3906" s="24" t="s">
        <v>1334</v>
      </c>
      <c r="U3906" s="55"/>
      <c r="V3906" s="25">
        <f>IFERROR(VLOOKUP(BCP_Soles[[#This Row],[destinatario]],CHOOSE({1,2},Clientes_Proveedores[Razon Social],Clientes_Proveedores[Ruc / Dni]),2,0),"")</f>
        <v>20558226979</v>
      </c>
      <c r="W3906" s="25"/>
      <c r="X3906" s="25"/>
      <c r="Y3906" s="25"/>
      <c r="Z3906" s="77"/>
      <c r="AA3906" s="3" t="str">
        <f>IF(BCP_Soles[[#This Row],[fecha]]&gt;0,TEXT(BCP_Soles[[#This Row],[fecha]],"mmmm"),0)</f>
        <v>Setiembre</v>
      </c>
    </row>
    <row r="3907" spans="1:27" x14ac:dyDescent="0.3">
      <c r="A3907" s="2">
        <f>IF(BCP_Soles[[#This Row],[tipo_registro]]="R",COUNTIFS($C$1:$C3906,"R")+1,A3906)</f>
        <v>2588</v>
      </c>
      <c r="B3907" s="19" t="str">
        <f t="shared" si="311"/>
        <v>B-BCP - Soles</v>
      </c>
      <c r="C3907" s="3" t="s">
        <v>1330</v>
      </c>
      <c r="D3907" s="14">
        <v>45921</v>
      </c>
      <c r="E3907" s="5" t="s">
        <v>1335</v>
      </c>
      <c r="F3907" s="5" t="s">
        <v>1336</v>
      </c>
      <c r="G3907" s="6" t="s">
        <v>1009</v>
      </c>
      <c r="H3907" s="6" t="s">
        <v>64</v>
      </c>
      <c r="I3907" s="6" t="s">
        <v>3673</v>
      </c>
      <c r="J3907" s="6">
        <v>2590</v>
      </c>
      <c r="K3907" s="7" t="s">
        <v>3160</v>
      </c>
      <c r="L3907" s="8"/>
      <c r="M3907" s="8" t="str">
        <f t="shared" si="312"/>
        <v>PEN</v>
      </c>
      <c r="N3907" s="13"/>
      <c r="O3907" s="13">
        <v>0.1</v>
      </c>
      <c r="P3907" s="3">
        <f t="shared" si="313"/>
        <v>0</v>
      </c>
      <c r="Q3907" s="3">
        <f t="shared" si="314"/>
        <v>0.1</v>
      </c>
      <c r="R3907" s="3">
        <f t="shared" si="310"/>
        <v>5594.6899999999732</v>
      </c>
      <c r="S3907" s="24"/>
      <c r="T3907" s="24" t="s">
        <v>1334</v>
      </c>
      <c r="U3907" s="55"/>
      <c r="V3907" s="25">
        <f>IFERROR(VLOOKUP(BCP_Soles[[#This Row],[destinatario]],CHOOSE({1,2},Clientes_Proveedores[Razon Social],Clientes_Proveedores[Ruc / Dni]),2,0),"")</f>
        <v>11111111</v>
      </c>
      <c r="W3907" s="25"/>
      <c r="X3907" s="25"/>
      <c r="Y3907" s="25"/>
      <c r="Z3907" s="77"/>
      <c r="AA3907" s="3" t="str">
        <f>IF(BCP_Soles[[#This Row],[fecha]]&gt;0,TEXT(BCP_Soles[[#This Row],[fecha]],"mmmm"),0)</f>
        <v>Setiembre</v>
      </c>
    </row>
    <row r="3908" spans="1:27" ht="24" x14ac:dyDescent="0.3">
      <c r="A3908" s="2">
        <f>IF(BCP_Soles[[#This Row],[tipo_registro]]="R",COUNTIFS($C$1:$C3907,"R")+1,A3907)</f>
        <v>2589</v>
      </c>
      <c r="B3908" s="19" t="str">
        <f t="shared" si="311"/>
        <v>B-BCP - Soles</v>
      </c>
      <c r="C3908" s="3" t="s">
        <v>1330</v>
      </c>
      <c r="D3908" s="14">
        <v>45922</v>
      </c>
      <c r="E3908" s="5" t="s">
        <v>309</v>
      </c>
      <c r="F3908" s="5" t="s">
        <v>1303</v>
      </c>
      <c r="G3908" s="6" t="s">
        <v>425</v>
      </c>
      <c r="H3908" s="6" t="s">
        <v>119</v>
      </c>
      <c r="I3908" s="6">
        <v>1</v>
      </c>
      <c r="J3908" s="6">
        <v>4734</v>
      </c>
      <c r="K3908" s="7" t="s">
        <v>3608</v>
      </c>
      <c r="L3908" s="8">
        <v>3196335</v>
      </c>
      <c r="M3908" s="8" t="str">
        <f t="shared" si="312"/>
        <v>PEN</v>
      </c>
      <c r="N3908" s="13"/>
      <c r="O3908" s="13">
        <v>5000</v>
      </c>
      <c r="P3908" s="3">
        <f t="shared" si="313"/>
        <v>5000</v>
      </c>
      <c r="Q3908" s="3">
        <f t="shared" si="314"/>
        <v>0</v>
      </c>
      <c r="R3908" s="3">
        <f t="shared" si="310"/>
        <v>10594.689999999973</v>
      </c>
      <c r="S3908" s="24" t="s">
        <v>1334</v>
      </c>
      <c r="T3908" s="24" t="s">
        <v>1334</v>
      </c>
      <c r="U3908" s="55"/>
      <c r="V3908" s="25">
        <f>IFERROR(VLOOKUP(BCP_Soles[[#This Row],[destinatario]],CHOOSE({1,2},Clientes_Proveedores[Razon Social],Clientes_Proveedores[Ruc / Dni]),2,0),"")</f>
        <v>20558226979</v>
      </c>
      <c r="W3908" s="25"/>
      <c r="X3908" s="25"/>
      <c r="Y3908" s="25"/>
      <c r="Z3908" s="77"/>
      <c r="AA3908" s="3" t="str">
        <f>IF(BCP_Soles[[#This Row],[fecha]]&gt;0,TEXT(BCP_Soles[[#This Row],[fecha]],"mmmm"),0)</f>
        <v>Setiembre</v>
      </c>
    </row>
    <row r="3909" spans="1:27" x14ac:dyDescent="0.3">
      <c r="A3909" s="2">
        <f>IF(BCP_Soles[[#This Row],[tipo_registro]]="R",COUNTIFS($C$1:$C3908,"R")+1,A3908)</f>
        <v>2590</v>
      </c>
      <c r="B3909" s="19" t="str">
        <f t="shared" si="311"/>
        <v>B-BCP - Soles</v>
      </c>
      <c r="C3909" s="3" t="s">
        <v>1330</v>
      </c>
      <c r="D3909" s="14">
        <v>45922</v>
      </c>
      <c r="E3909" s="5"/>
      <c r="F3909" s="5" t="s">
        <v>1303</v>
      </c>
      <c r="G3909" s="6" t="s">
        <v>425</v>
      </c>
      <c r="H3909" s="6"/>
      <c r="I3909" s="6"/>
      <c r="J3909" s="6"/>
      <c r="K3909" s="7" t="s">
        <v>3608</v>
      </c>
      <c r="L3909" s="8">
        <v>1542850</v>
      </c>
      <c r="M3909" s="8" t="str">
        <f t="shared" si="312"/>
        <v>PEN</v>
      </c>
      <c r="N3909" s="13"/>
      <c r="O3909" s="13">
        <v>10000</v>
      </c>
      <c r="P3909" s="3">
        <f t="shared" si="313"/>
        <v>10000</v>
      </c>
      <c r="Q3909" s="3">
        <f t="shared" si="314"/>
        <v>0</v>
      </c>
      <c r="R3909" s="3">
        <f t="shared" si="310"/>
        <v>20594.689999999973</v>
      </c>
      <c r="S3909" s="24" t="s">
        <v>1334</v>
      </c>
      <c r="T3909" s="24" t="s">
        <v>1334</v>
      </c>
      <c r="U3909" s="55"/>
      <c r="V3909" s="25">
        <f>IFERROR(VLOOKUP(BCP_Soles[[#This Row],[destinatario]],CHOOSE({1,2},Clientes_Proveedores[Razon Social],Clientes_Proveedores[Ruc / Dni]),2,0),"")</f>
        <v>20558226979</v>
      </c>
      <c r="W3909" s="25"/>
      <c r="X3909" s="25"/>
      <c r="Y3909" s="25"/>
      <c r="Z3909" s="77"/>
      <c r="AA3909" s="3" t="str">
        <f>IF(BCP_Soles[[#This Row],[fecha]]&gt;0,TEXT(BCP_Soles[[#This Row],[fecha]],"mmmm"),0)</f>
        <v>Setiembre</v>
      </c>
    </row>
    <row r="3910" spans="1:27" ht="24" x14ac:dyDescent="0.3">
      <c r="A3910" s="2">
        <f>IF(BCP_Soles[[#This Row],[tipo_registro]]="R",COUNTIFS($C$1:$C3909,"R")+1,A3909)</f>
        <v>2590</v>
      </c>
      <c r="B3910" s="19" t="str">
        <f t="shared" si="311"/>
        <v>B-BCP - Soles</v>
      </c>
      <c r="C3910" s="3" t="s">
        <v>1352</v>
      </c>
      <c r="D3910" s="14">
        <v>45922</v>
      </c>
      <c r="E3910" s="5" t="s">
        <v>309</v>
      </c>
      <c r="F3910" s="5" t="s">
        <v>1303</v>
      </c>
      <c r="G3910" s="6" t="s">
        <v>425</v>
      </c>
      <c r="H3910" s="6" t="s">
        <v>119</v>
      </c>
      <c r="I3910" s="6">
        <v>1</v>
      </c>
      <c r="J3910" s="6">
        <v>4712</v>
      </c>
      <c r="K3910" s="7" t="s">
        <v>3608</v>
      </c>
      <c r="L3910" s="8">
        <v>1542850</v>
      </c>
      <c r="M3910" s="8" t="str">
        <f t="shared" si="312"/>
        <v>PEN</v>
      </c>
      <c r="N3910" s="13">
        <v>4454</v>
      </c>
      <c r="O3910" s="13"/>
      <c r="P3910" s="3">
        <f t="shared" si="313"/>
        <v>0</v>
      </c>
      <c r="Q3910" s="3">
        <f t="shared" si="314"/>
        <v>0</v>
      </c>
      <c r="R3910" s="3">
        <f t="shared" si="310"/>
        <v>20594.689999999973</v>
      </c>
      <c r="S3910" s="24" t="s">
        <v>1334</v>
      </c>
      <c r="T3910" s="24" t="s">
        <v>1334</v>
      </c>
      <c r="U3910" s="55"/>
      <c r="V3910" s="25">
        <f>IFERROR(VLOOKUP(BCP_Soles[[#This Row],[destinatario]],CHOOSE({1,2},Clientes_Proveedores[Razon Social],Clientes_Proveedores[Ruc / Dni]),2,0),"")</f>
        <v>20558226979</v>
      </c>
      <c r="W3910" s="25"/>
      <c r="X3910" s="25"/>
      <c r="Y3910" s="25"/>
      <c r="Z3910" s="77"/>
      <c r="AA3910" s="3" t="str">
        <f>IF(BCP_Soles[[#This Row],[fecha]]&gt;0,TEXT(BCP_Soles[[#This Row],[fecha]],"mmmm"),0)</f>
        <v>Setiembre</v>
      </c>
    </row>
    <row r="3911" spans="1:27" ht="24" x14ac:dyDescent="0.3">
      <c r="A3911" s="2">
        <f>IF(BCP_Soles[[#This Row],[tipo_registro]]="R",COUNTIFS($C$1:$C3910,"R")+1,A3910)</f>
        <v>2590</v>
      </c>
      <c r="B3911" s="19" t="str">
        <f t="shared" si="311"/>
        <v>B-BCP - Soles</v>
      </c>
      <c r="C3911" s="3" t="s">
        <v>1352</v>
      </c>
      <c r="D3911" s="14">
        <v>45922</v>
      </c>
      <c r="E3911" s="5" t="s">
        <v>309</v>
      </c>
      <c r="F3911" s="5" t="s">
        <v>1303</v>
      </c>
      <c r="G3911" s="6" t="s">
        <v>425</v>
      </c>
      <c r="H3911" s="6" t="s">
        <v>119</v>
      </c>
      <c r="I3911" s="6">
        <v>1</v>
      </c>
      <c r="J3911" s="6">
        <v>4713</v>
      </c>
      <c r="K3911" s="7" t="s">
        <v>3608</v>
      </c>
      <c r="L3911" s="8">
        <v>1542850</v>
      </c>
      <c r="M3911" s="8" t="str">
        <f t="shared" si="312"/>
        <v>PEN</v>
      </c>
      <c r="N3911" s="13">
        <v>3000</v>
      </c>
      <c r="O3911" s="13"/>
      <c r="P3911" s="3">
        <f t="shared" si="313"/>
        <v>0</v>
      </c>
      <c r="Q3911" s="3">
        <f t="shared" si="314"/>
        <v>0</v>
      </c>
      <c r="R3911" s="3">
        <f t="shared" si="310"/>
        <v>20594.689999999973</v>
      </c>
      <c r="S3911" s="24" t="s">
        <v>1334</v>
      </c>
      <c r="T3911" s="24" t="s">
        <v>1334</v>
      </c>
      <c r="U3911" s="55"/>
      <c r="V3911" s="25">
        <f>IFERROR(VLOOKUP(BCP_Soles[[#This Row],[destinatario]],CHOOSE({1,2},Clientes_Proveedores[Razon Social],Clientes_Proveedores[Ruc / Dni]),2,0),"")</f>
        <v>20558226979</v>
      </c>
      <c r="W3911" s="25"/>
      <c r="X3911" s="25"/>
      <c r="Y3911" s="25"/>
      <c r="Z3911" s="77"/>
      <c r="AA3911" s="3" t="str">
        <f>IF(BCP_Soles[[#This Row],[fecha]]&gt;0,TEXT(BCP_Soles[[#This Row],[fecha]],"mmmm"),0)</f>
        <v>Setiembre</v>
      </c>
    </row>
    <row r="3912" spans="1:27" ht="24" x14ac:dyDescent="0.3">
      <c r="A3912" s="2">
        <f>IF(BCP_Soles[[#This Row],[tipo_registro]]="R",COUNTIFS($C$1:$C3911,"R")+1,A3911)</f>
        <v>2590</v>
      </c>
      <c r="B3912" s="19" t="str">
        <f t="shared" si="311"/>
        <v>B-BCP - Soles</v>
      </c>
      <c r="C3912" s="3" t="s">
        <v>1352</v>
      </c>
      <c r="D3912" s="14">
        <v>45922</v>
      </c>
      <c r="E3912" s="5" t="s">
        <v>4358</v>
      </c>
      <c r="F3912" s="5" t="s">
        <v>1303</v>
      </c>
      <c r="G3912" s="6" t="s">
        <v>425</v>
      </c>
      <c r="H3912" s="6" t="s">
        <v>119</v>
      </c>
      <c r="I3912" s="6">
        <v>1</v>
      </c>
      <c r="J3912" s="6">
        <v>4714</v>
      </c>
      <c r="K3912" s="7" t="s">
        <v>3608</v>
      </c>
      <c r="L3912" s="8">
        <v>1542850</v>
      </c>
      <c r="M3912" s="8" t="str">
        <f t="shared" si="312"/>
        <v>PEN</v>
      </c>
      <c r="N3912" s="13">
        <v>429</v>
      </c>
      <c r="O3912" s="13"/>
      <c r="P3912" s="3">
        <f t="shared" si="313"/>
        <v>0</v>
      </c>
      <c r="Q3912" s="3">
        <f t="shared" si="314"/>
        <v>0</v>
      </c>
      <c r="R3912" s="3">
        <f t="shared" si="310"/>
        <v>20594.689999999973</v>
      </c>
      <c r="S3912" s="24" t="s">
        <v>1334</v>
      </c>
      <c r="T3912" s="24" t="s">
        <v>1334</v>
      </c>
      <c r="U3912" s="55"/>
      <c r="V3912" s="25">
        <f>IFERROR(VLOOKUP(BCP_Soles[[#This Row],[destinatario]],CHOOSE({1,2},Clientes_Proveedores[Razon Social],Clientes_Proveedores[Ruc / Dni]),2,0),"")</f>
        <v>20558226979</v>
      </c>
      <c r="W3912" s="25"/>
      <c r="X3912" s="25"/>
      <c r="Y3912" s="25"/>
      <c r="Z3912" s="77"/>
      <c r="AA3912" s="3" t="str">
        <f>IF(BCP_Soles[[#This Row],[fecha]]&gt;0,TEXT(BCP_Soles[[#This Row],[fecha]],"mmmm"),0)</f>
        <v>Setiembre</v>
      </c>
    </row>
    <row r="3913" spans="1:27" ht="24" x14ac:dyDescent="0.3">
      <c r="A3913" s="2">
        <f>IF(BCP_Soles[[#This Row],[tipo_registro]]="R",COUNTIFS($C$1:$C3912,"R")+1,A3912)</f>
        <v>2590</v>
      </c>
      <c r="B3913" s="19" t="str">
        <f t="shared" si="311"/>
        <v>B-BCP - Soles</v>
      </c>
      <c r="C3913" s="3" t="s">
        <v>1352</v>
      </c>
      <c r="D3913" s="14">
        <v>45922</v>
      </c>
      <c r="E3913" s="5" t="s">
        <v>309</v>
      </c>
      <c r="F3913" s="5" t="s">
        <v>1303</v>
      </c>
      <c r="G3913" s="6" t="s">
        <v>425</v>
      </c>
      <c r="H3913" s="6" t="s">
        <v>119</v>
      </c>
      <c r="I3913" s="6">
        <v>1</v>
      </c>
      <c r="J3913" s="6">
        <v>4734</v>
      </c>
      <c r="K3913" s="7" t="s">
        <v>3608</v>
      </c>
      <c r="L3913" s="8">
        <v>1542850</v>
      </c>
      <c r="M3913" s="8" t="str">
        <f t="shared" si="312"/>
        <v>PEN</v>
      </c>
      <c r="N3913" s="13">
        <v>2117</v>
      </c>
      <c r="O3913" s="13"/>
      <c r="P3913" s="3">
        <f t="shared" si="313"/>
        <v>0</v>
      </c>
      <c r="Q3913" s="3">
        <f t="shared" si="314"/>
        <v>0</v>
      </c>
      <c r="R3913" s="3">
        <f t="shared" ref="R3913:R3978" si="315">IFERROR(IF(F3913="SALDO",P3913,R3912+P3913-Q3913),0)</f>
        <v>20594.689999999973</v>
      </c>
      <c r="S3913" s="24" t="s">
        <v>1334</v>
      </c>
      <c r="T3913" s="24" t="s">
        <v>1334</v>
      </c>
      <c r="U3913" s="55"/>
      <c r="V3913" s="25">
        <f>IFERROR(VLOOKUP(BCP_Soles[[#This Row],[destinatario]],CHOOSE({1,2},Clientes_Proveedores[Razon Social],Clientes_Proveedores[Ruc / Dni]),2,0),"")</f>
        <v>20558226979</v>
      </c>
      <c r="W3913" s="25"/>
      <c r="X3913" s="25"/>
      <c r="Y3913" s="25"/>
      <c r="Z3913" s="77"/>
      <c r="AA3913" s="3" t="str">
        <f>IF(BCP_Soles[[#This Row],[fecha]]&gt;0,TEXT(BCP_Soles[[#This Row],[fecha]],"mmmm"),0)</f>
        <v>Setiembre</v>
      </c>
    </row>
    <row r="3914" spans="1:27" ht="36" x14ac:dyDescent="0.3">
      <c r="A3914" s="2">
        <f>IF(BCP_Soles[[#This Row],[tipo_registro]]="R",COUNTIFS($C$1:$C3913,"R")+1,A3913)</f>
        <v>2591</v>
      </c>
      <c r="B3914" s="19" t="str">
        <f t="shared" si="311"/>
        <v>B-BCP - Soles</v>
      </c>
      <c r="C3914" s="3" t="s">
        <v>1330</v>
      </c>
      <c r="D3914" s="14">
        <v>45922</v>
      </c>
      <c r="E3914" s="5" t="s">
        <v>2269</v>
      </c>
      <c r="F3914" s="5" t="s">
        <v>1336</v>
      </c>
      <c r="G3914" s="6" t="s">
        <v>1050</v>
      </c>
      <c r="H3914" s="6" t="s">
        <v>68</v>
      </c>
      <c r="I3914" s="6" t="s">
        <v>1463</v>
      </c>
      <c r="J3914" s="6">
        <v>558135</v>
      </c>
      <c r="K3914" s="7" t="s">
        <v>4556</v>
      </c>
      <c r="L3914" s="8">
        <v>221148</v>
      </c>
      <c r="M3914" s="8" t="str">
        <f t="shared" si="312"/>
        <v>PEN</v>
      </c>
      <c r="N3914" s="13"/>
      <c r="O3914" s="13">
        <v>29.5</v>
      </c>
      <c r="P3914" s="3">
        <f t="shared" si="313"/>
        <v>0</v>
      </c>
      <c r="Q3914" s="3">
        <f t="shared" si="314"/>
        <v>29.5</v>
      </c>
      <c r="R3914" s="3">
        <f t="shared" si="315"/>
        <v>20565.189999999973</v>
      </c>
      <c r="S3914" s="24" t="s">
        <v>1334</v>
      </c>
      <c r="T3914" s="24" t="s">
        <v>1334</v>
      </c>
      <c r="U3914" s="56" t="s">
        <v>4557</v>
      </c>
      <c r="V3914" s="25">
        <f>IFERROR(VLOOKUP(BCP_Soles[[#This Row],[destinatario]],CHOOSE({1,2},Clientes_Proveedores[Razon Social],Clientes_Proveedores[Ruc / Dni]),2,0),"")</f>
        <v>20601978572</v>
      </c>
      <c r="W3914" s="25"/>
      <c r="X3914" s="25"/>
      <c r="Y3914" s="25"/>
      <c r="Z3914" s="77"/>
      <c r="AA3914" s="3" t="str">
        <f>IF(BCP_Soles[[#This Row],[fecha]]&gt;0,TEXT(BCP_Soles[[#This Row],[fecha]],"mmmm"),0)</f>
        <v>Setiembre</v>
      </c>
    </row>
    <row r="3915" spans="1:27" x14ac:dyDescent="0.3">
      <c r="A3915" s="2">
        <f>IF(BCP_Soles[[#This Row],[tipo_registro]]="R",COUNTIFS($C$1:$C3914,"R")+1,A3914)</f>
        <v>2592</v>
      </c>
      <c r="B3915" s="19" t="str">
        <f t="shared" si="311"/>
        <v>B-BCP - Soles</v>
      </c>
      <c r="C3915" s="3" t="s">
        <v>1330</v>
      </c>
      <c r="D3915" s="14">
        <v>45922</v>
      </c>
      <c r="E3915" s="5" t="s">
        <v>2269</v>
      </c>
      <c r="F3915" s="5" t="s">
        <v>1336</v>
      </c>
      <c r="G3915" s="6" t="s">
        <v>695</v>
      </c>
      <c r="H3915" s="6"/>
      <c r="I3915" s="6"/>
      <c r="J3915" s="6"/>
      <c r="K3915" s="7" t="s">
        <v>4376</v>
      </c>
      <c r="L3915" s="8">
        <v>223127</v>
      </c>
      <c r="M3915" s="8" t="str">
        <f t="shared" si="312"/>
        <v>PEN</v>
      </c>
      <c r="N3915" s="13"/>
      <c r="O3915" s="13">
        <v>1998.06</v>
      </c>
      <c r="P3915" s="3">
        <f t="shared" si="313"/>
        <v>0</v>
      </c>
      <c r="Q3915" s="3">
        <f t="shared" si="314"/>
        <v>1998.06</v>
      </c>
      <c r="R3915" s="3">
        <f t="shared" si="315"/>
        <v>18567.129999999972</v>
      </c>
      <c r="S3915" s="24" t="s">
        <v>1334</v>
      </c>
      <c r="T3915" s="24" t="s">
        <v>1334</v>
      </c>
      <c r="U3915" s="56" t="s">
        <v>4558</v>
      </c>
      <c r="V3915" s="25">
        <f>IFERROR(VLOOKUP(BCP_Soles[[#This Row],[destinatario]],CHOOSE({1,2},Clientes_Proveedores[Razon Social],Clientes_Proveedores[Ruc / Dni]),2,0),"")</f>
        <v>20127765279</v>
      </c>
      <c r="W3915" s="25"/>
      <c r="X3915" s="25"/>
      <c r="Y3915" s="25"/>
      <c r="Z3915" s="77"/>
      <c r="AA3915" s="3" t="str">
        <f>IF(BCP_Soles[[#This Row],[fecha]]&gt;0,TEXT(BCP_Soles[[#This Row],[fecha]],"mmmm"),0)</f>
        <v>Setiembre</v>
      </c>
    </row>
    <row r="3916" spans="1:27" x14ac:dyDescent="0.3">
      <c r="A3916" s="2">
        <f>IF(BCP_Soles[[#This Row],[tipo_registro]]="R",COUNTIFS($C$1:$C3915,"R")+1,A3915)</f>
        <v>2592</v>
      </c>
      <c r="B3916" s="19" t="str">
        <f>"B-BCP - Soles"</f>
        <v>B-BCP - Soles</v>
      </c>
      <c r="C3916" s="3" t="s">
        <v>1352</v>
      </c>
      <c r="D3916" s="14">
        <v>45922</v>
      </c>
      <c r="E3916" s="5" t="s">
        <v>2269</v>
      </c>
      <c r="F3916" s="5" t="s">
        <v>1336</v>
      </c>
      <c r="G3916" s="6" t="s">
        <v>695</v>
      </c>
      <c r="H3916" s="6" t="s">
        <v>68</v>
      </c>
      <c r="I3916" s="6" t="s">
        <v>1513</v>
      </c>
      <c r="J3916" s="6">
        <v>182742</v>
      </c>
      <c r="K3916" s="7" t="s">
        <v>4376</v>
      </c>
      <c r="L3916" s="8">
        <v>223127</v>
      </c>
      <c r="M3916" s="8" t="str">
        <f>"PEN"</f>
        <v>PEN</v>
      </c>
      <c r="N3916" s="13">
        <v>651.84</v>
      </c>
      <c r="O3916" s="13"/>
      <c r="P3916" s="3">
        <f>+IF(OR($F3916="SALDO",$F3916="INGRESO"),$O3916,0)</f>
        <v>0</v>
      </c>
      <c r="Q3916" s="3">
        <f>+IF($F3916="EGRESO",$O3916,0)</f>
        <v>0</v>
      </c>
      <c r="R3916" s="3">
        <f t="shared" si="315"/>
        <v>18567.129999999972</v>
      </c>
      <c r="S3916" s="24" t="s">
        <v>1334</v>
      </c>
      <c r="T3916" s="24" t="s">
        <v>1334</v>
      </c>
      <c r="U3916" s="56" t="s">
        <v>4558</v>
      </c>
      <c r="V3916" s="25">
        <f>IFERROR(VLOOKUP(BCP_Soles[[#This Row],[destinatario]],CHOOSE({1,2},Clientes_Proveedores[Razon Social],Clientes_Proveedores[Ruc / Dni]),2,0),"")</f>
        <v>20127765279</v>
      </c>
      <c r="W3916" s="25"/>
      <c r="X3916" s="25"/>
      <c r="Y3916" s="25"/>
      <c r="Z3916" s="77"/>
      <c r="AA3916" s="3" t="str">
        <f>IF(BCP_Soles[[#This Row],[fecha]]&gt;0,TEXT(BCP_Soles[[#This Row],[fecha]],"mmmm"),0)</f>
        <v>Setiembre</v>
      </c>
    </row>
    <row r="3917" spans="1:27" x14ac:dyDescent="0.3">
      <c r="A3917" s="2">
        <f>IF(BCP_Soles[[#This Row],[tipo_registro]]="R",COUNTIFS($C$1:$C3916,"R")+1,A3916)</f>
        <v>2592</v>
      </c>
      <c r="B3917" s="19" t="str">
        <f>"B-BCP - Soles"</f>
        <v>B-BCP - Soles</v>
      </c>
      <c r="C3917" s="3" t="s">
        <v>1352</v>
      </c>
      <c r="D3917" s="14">
        <v>45922</v>
      </c>
      <c r="E3917" s="5" t="s">
        <v>2269</v>
      </c>
      <c r="F3917" s="5" t="s">
        <v>1336</v>
      </c>
      <c r="G3917" s="6" t="s">
        <v>695</v>
      </c>
      <c r="H3917" s="6" t="s">
        <v>68</v>
      </c>
      <c r="I3917" s="6" t="s">
        <v>1715</v>
      </c>
      <c r="J3917" s="6">
        <v>157829</v>
      </c>
      <c r="K3917" s="7" t="s">
        <v>4376</v>
      </c>
      <c r="L3917" s="8">
        <v>223127</v>
      </c>
      <c r="M3917" s="8" t="str">
        <f>"PEN"</f>
        <v>PEN</v>
      </c>
      <c r="N3917" s="13">
        <v>1346.22</v>
      </c>
      <c r="O3917" s="13"/>
      <c r="P3917" s="3">
        <f>+IF(OR($F3917="SALDO",$F3917="INGRESO"),$O3917,0)</f>
        <v>0</v>
      </c>
      <c r="Q3917" s="3">
        <f>+IF($F3917="EGRESO",$O3917,0)</f>
        <v>0</v>
      </c>
      <c r="R3917" s="3">
        <f t="shared" si="315"/>
        <v>18567.129999999972</v>
      </c>
      <c r="S3917" s="24" t="s">
        <v>1334</v>
      </c>
      <c r="T3917" s="24" t="s">
        <v>1334</v>
      </c>
      <c r="U3917" s="56" t="s">
        <v>4558</v>
      </c>
      <c r="V3917" s="25">
        <f>IFERROR(VLOOKUP(BCP_Soles[[#This Row],[destinatario]],CHOOSE({1,2},Clientes_Proveedores[Razon Social],Clientes_Proveedores[Ruc / Dni]),2,0),"")</f>
        <v>20127765279</v>
      </c>
      <c r="W3917" s="25"/>
      <c r="X3917" s="25"/>
      <c r="Y3917" s="25"/>
      <c r="Z3917" s="77"/>
      <c r="AA3917" s="3" t="str">
        <f>IF(BCP_Soles[[#This Row],[fecha]]&gt;0,TEXT(BCP_Soles[[#This Row],[fecha]],"mmmm"),0)</f>
        <v>Setiembre</v>
      </c>
    </row>
    <row r="3918" spans="1:27" x14ac:dyDescent="0.3">
      <c r="A3918" s="2">
        <f>IF(BCP_Soles[[#This Row],[tipo_registro]]="R",COUNTIFS($C$1:$C3917,"R")+1,A3917)</f>
        <v>2593</v>
      </c>
      <c r="B3918" s="19" t="str">
        <f t="shared" si="311"/>
        <v>B-BCP - Soles</v>
      </c>
      <c r="C3918" s="3" t="s">
        <v>1330</v>
      </c>
      <c r="D3918" s="14">
        <v>45922</v>
      </c>
      <c r="E3918" s="5"/>
      <c r="F3918" s="5" t="s">
        <v>1336</v>
      </c>
      <c r="G3918" s="6" t="s">
        <v>809</v>
      </c>
      <c r="H3918" s="6"/>
      <c r="I3918" s="6"/>
      <c r="J3918" s="6"/>
      <c r="K3918" s="7" t="s">
        <v>4559</v>
      </c>
      <c r="L3918" s="8">
        <v>1227272</v>
      </c>
      <c r="M3918" s="8" t="str">
        <f t="shared" si="312"/>
        <v>PEN</v>
      </c>
      <c r="N3918" s="13"/>
      <c r="O3918" s="13">
        <v>3000</v>
      </c>
      <c r="P3918" s="3">
        <f t="shared" si="313"/>
        <v>0</v>
      </c>
      <c r="Q3918" s="3">
        <f t="shared" si="314"/>
        <v>3000</v>
      </c>
      <c r="R3918" s="3">
        <f t="shared" si="315"/>
        <v>15567.129999999972</v>
      </c>
      <c r="S3918" s="24"/>
      <c r="T3918" s="24"/>
      <c r="U3918" s="55"/>
      <c r="V3918" s="25">
        <f>IFERROR(VLOOKUP(BCP_Soles[[#This Row],[destinatario]],CHOOSE({1,2},Clientes_Proveedores[Razon Social],Clientes_Proveedores[Ruc / Dni]),2,0),"")</f>
        <v>45286301</v>
      </c>
      <c r="W3918" s="25"/>
      <c r="X3918" s="25"/>
      <c r="Y3918" s="25"/>
      <c r="Z3918" s="77"/>
      <c r="AA3918" s="3" t="str">
        <f>IF(BCP_Soles[[#This Row],[fecha]]&gt;0,TEXT(BCP_Soles[[#This Row],[fecha]],"mmmm"),0)</f>
        <v>Setiembre</v>
      </c>
    </row>
    <row r="3919" spans="1:27" x14ac:dyDescent="0.3">
      <c r="A3919" s="2">
        <f>IF(BCP_Soles[[#This Row],[tipo_registro]]="R",COUNTIFS($C$1:$C3918,"R")+1,A3918)</f>
        <v>2594</v>
      </c>
      <c r="B3919" s="19" t="str">
        <f t="shared" si="311"/>
        <v>B-BCP - Soles</v>
      </c>
      <c r="C3919" s="3" t="s">
        <v>1330</v>
      </c>
      <c r="D3919" s="14">
        <v>45922</v>
      </c>
      <c r="E3919" s="5" t="s">
        <v>1335</v>
      </c>
      <c r="F3919" s="5" t="s">
        <v>1336</v>
      </c>
      <c r="G3919" s="6" t="s">
        <v>1009</v>
      </c>
      <c r="H3919" s="6" t="s">
        <v>64</v>
      </c>
      <c r="I3919" s="6" t="s">
        <v>3673</v>
      </c>
      <c r="J3919" s="6">
        <v>2596</v>
      </c>
      <c r="K3919" s="7" t="s">
        <v>3160</v>
      </c>
      <c r="L3919" s="8"/>
      <c r="M3919" s="8" t="str">
        <f t="shared" si="312"/>
        <v>PEN</v>
      </c>
      <c r="N3919" s="13"/>
      <c r="O3919" s="13">
        <v>0.95</v>
      </c>
      <c r="P3919" s="3">
        <f t="shared" si="313"/>
        <v>0</v>
      </c>
      <c r="Q3919" s="3">
        <f t="shared" si="314"/>
        <v>0.95</v>
      </c>
      <c r="R3919" s="3">
        <f t="shared" si="315"/>
        <v>15566.179999999971</v>
      </c>
      <c r="S3919" s="24"/>
      <c r="T3919" s="24" t="s">
        <v>1334</v>
      </c>
      <c r="U3919" s="55"/>
      <c r="V3919" s="25">
        <f>IFERROR(VLOOKUP(BCP_Soles[[#This Row],[destinatario]],CHOOSE({1,2},Clientes_Proveedores[Razon Social],Clientes_Proveedores[Ruc / Dni]),2,0),"")</f>
        <v>11111111</v>
      </c>
      <c r="W3919" s="25"/>
      <c r="X3919" s="25"/>
      <c r="Y3919" s="25"/>
      <c r="Z3919" s="77"/>
      <c r="AA3919" s="3" t="str">
        <f>IF(BCP_Soles[[#This Row],[fecha]]&gt;0,TEXT(BCP_Soles[[#This Row],[fecha]],"mmmm"),0)</f>
        <v>Setiembre</v>
      </c>
    </row>
    <row r="3920" spans="1:27" ht="36" x14ac:dyDescent="0.3">
      <c r="A3920" s="2">
        <f>IF(BCP_Soles[[#This Row],[tipo_registro]]="R",COUNTIFS($C$1:$C3919,"R")+1,A3919)</f>
        <v>2595</v>
      </c>
      <c r="B3920" s="19" t="str">
        <f t="shared" si="311"/>
        <v>B-BCP - Soles</v>
      </c>
      <c r="C3920" s="3" t="s">
        <v>1330</v>
      </c>
      <c r="D3920" s="14">
        <v>45923</v>
      </c>
      <c r="E3920" s="5" t="s">
        <v>516</v>
      </c>
      <c r="F3920" s="5" t="s">
        <v>1303</v>
      </c>
      <c r="G3920" s="6" t="s">
        <v>425</v>
      </c>
      <c r="H3920" s="6"/>
      <c r="I3920" s="6"/>
      <c r="J3920" s="6"/>
      <c r="K3920" s="7" t="s">
        <v>3144</v>
      </c>
      <c r="L3920" s="8">
        <v>2053259</v>
      </c>
      <c r="M3920" s="8" t="str">
        <f t="shared" si="312"/>
        <v>PEN</v>
      </c>
      <c r="N3920" s="13"/>
      <c r="O3920" s="13">
        <v>17226.439999999999</v>
      </c>
      <c r="P3920" s="3">
        <f t="shared" si="313"/>
        <v>17226.439999999999</v>
      </c>
      <c r="Q3920" s="3">
        <f t="shared" si="314"/>
        <v>0</v>
      </c>
      <c r="R3920" s="3">
        <f t="shared" si="315"/>
        <v>32792.619999999966</v>
      </c>
      <c r="S3920" s="24" t="s">
        <v>1334</v>
      </c>
      <c r="T3920" s="24" t="s">
        <v>1334</v>
      </c>
      <c r="U3920" s="55"/>
      <c r="V3920" s="25">
        <f>IFERROR(VLOOKUP(BCP_Soles[[#This Row],[destinatario]],CHOOSE({1,2},Clientes_Proveedores[Razon Social],Clientes_Proveedores[Ruc / Dni]),2,0),"")</f>
        <v>20558226979</v>
      </c>
      <c r="W3920" s="25"/>
      <c r="X3920" s="25"/>
      <c r="Y3920" s="25"/>
      <c r="Z3920" s="77"/>
      <c r="AA3920" s="3" t="str">
        <f>IF(BCP_Soles[[#This Row],[fecha]]&gt;0,TEXT(BCP_Soles[[#This Row],[fecha]],"mmmm"),0)</f>
        <v>Setiembre</v>
      </c>
    </row>
    <row r="3921" spans="1:27" ht="36" x14ac:dyDescent="0.3">
      <c r="A3921" s="2">
        <f>IF(BCP_Soles[[#This Row],[tipo_registro]]="R",COUNTIFS($C$1:$C3920,"R")+1,A3920)</f>
        <v>2595</v>
      </c>
      <c r="B3921" s="19" t="str">
        <f t="shared" si="311"/>
        <v>B-BCP - Soles</v>
      </c>
      <c r="C3921" s="3" t="s">
        <v>1352</v>
      </c>
      <c r="D3921" s="14">
        <v>45923</v>
      </c>
      <c r="E3921" s="5" t="s">
        <v>516</v>
      </c>
      <c r="F3921" s="5" t="s">
        <v>1303</v>
      </c>
      <c r="G3921" s="6" t="s">
        <v>425</v>
      </c>
      <c r="H3921" s="6" t="s">
        <v>68</v>
      </c>
      <c r="I3921" s="6" t="s">
        <v>1784</v>
      </c>
      <c r="J3921" s="6">
        <v>238</v>
      </c>
      <c r="K3921" s="7" t="s">
        <v>3144</v>
      </c>
      <c r="L3921" s="8">
        <v>2053259</v>
      </c>
      <c r="M3921" s="8" t="str">
        <f t="shared" si="312"/>
        <v>PEN</v>
      </c>
      <c r="N3921" s="13">
        <v>8212.5</v>
      </c>
      <c r="O3921" s="13"/>
      <c r="P3921" s="3">
        <f t="shared" si="313"/>
        <v>0</v>
      </c>
      <c r="Q3921" s="3">
        <f t="shared" si="314"/>
        <v>0</v>
      </c>
      <c r="R3921" s="3">
        <f t="shared" si="315"/>
        <v>32792.619999999966</v>
      </c>
      <c r="S3921" s="24" t="s">
        <v>1334</v>
      </c>
      <c r="T3921" s="24" t="s">
        <v>1334</v>
      </c>
      <c r="U3921" s="55"/>
      <c r="V3921" s="25">
        <f>IFERROR(VLOOKUP(BCP_Soles[[#This Row],[destinatario]],CHOOSE({1,2},Clientes_Proveedores[Razon Social],Clientes_Proveedores[Ruc / Dni]),2,0),"")</f>
        <v>20558226979</v>
      </c>
      <c r="W3921" s="25"/>
      <c r="X3921" s="25"/>
      <c r="Y3921" s="25"/>
      <c r="Z3921" s="77"/>
      <c r="AA3921" s="3" t="str">
        <f>IF(BCP_Soles[[#This Row],[fecha]]&gt;0,TEXT(BCP_Soles[[#This Row],[fecha]],"mmmm"),0)</f>
        <v>Setiembre</v>
      </c>
    </row>
    <row r="3922" spans="1:27" ht="36" x14ac:dyDescent="0.3">
      <c r="A3922" s="2">
        <f>IF(BCP_Soles[[#This Row],[tipo_registro]]="R",COUNTIFS($C$1:$C3921,"R")+1,A3921)</f>
        <v>2595</v>
      </c>
      <c r="B3922" s="19" t="str">
        <f t="shared" si="311"/>
        <v>B-BCP - Soles</v>
      </c>
      <c r="C3922" s="3" t="s">
        <v>1352</v>
      </c>
      <c r="D3922" s="14">
        <v>45923</v>
      </c>
      <c r="E3922" s="5" t="s">
        <v>516</v>
      </c>
      <c r="F3922" s="5" t="s">
        <v>1303</v>
      </c>
      <c r="G3922" s="6" t="s">
        <v>425</v>
      </c>
      <c r="H3922" s="6" t="s">
        <v>68</v>
      </c>
      <c r="I3922" s="6" t="s">
        <v>1784</v>
      </c>
      <c r="J3922" s="6">
        <v>241</v>
      </c>
      <c r="K3922" s="7" t="s">
        <v>3144</v>
      </c>
      <c r="L3922" s="8">
        <v>2053259</v>
      </c>
      <c r="M3922" s="8" t="str">
        <f t="shared" si="312"/>
        <v>PEN</v>
      </c>
      <c r="N3922" s="13">
        <v>9013.94</v>
      </c>
      <c r="O3922" s="13"/>
      <c r="P3922" s="3">
        <f t="shared" si="313"/>
        <v>0</v>
      </c>
      <c r="Q3922" s="3">
        <f t="shared" si="314"/>
        <v>0</v>
      </c>
      <c r="R3922" s="3">
        <f t="shared" si="315"/>
        <v>32792.619999999966</v>
      </c>
      <c r="S3922" s="24" t="s">
        <v>1334</v>
      </c>
      <c r="T3922" s="24" t="s">
        <v>1334</v>
      </c>
      <c r="U3922" s="55"/>
      <c r="V3922" s="25">
        <f>IFERROR(VLOOKUP(BCP_Soles[[#This Row],[destinatario]],CHOOSE({1,2},Clientes_Proveedores[Razon Social],Clientes_Proveedores[Ruc / Dni]),2,0),"")</f>
        <v>20558226979</v>
      </c>
      <c r="W3922" s="25"/>
      <c r="X3922" s="25"/>
      <c r="Y3922" s="25"/>
      <c r="Z3922" s="77"/>
      <c r="AA3922" s="3" t="str">
        <f>IF(BCP_Soles[[#This Row],[fecha]]&gt;0,TEXT(BCP_Soles[[#This Row],[fecha]],"mmmm"),0)</f>
        <v>Setiembre</v>
      </c>
    </row>
    <row r="3923" spans="1:27" ht="24" x14ac:dyDescent="0.3">
      <c r="A3923" s="2">
        <f>IF(BCP_Soles[[#This Row],[tipo_registro]]="R",COUNTIFS($C$1:$C3922,"R")+1,A3922)</f>
        <v>2596</v>
      </c>
      <c r="B3923" s="19" t="str">
        <f t="shared" si="311"/>
        <v>B-BCP - Soles</v>
      </c>
      <c r="C3923" s="3" t="s">
        <v>1330</v>
      </c>
      <c r="D3923" s="14">
        <v>45923</v>
      </c>
      <c r="E3923" s="5" t="s">
        <v>666</v>
      </c>
      <c r="F3923" s="5" t="s">
        <v>1303</v>
      </c>
      <c r="G3923" s="6" t="s">
        <v>425</v>
      </c>
      <c r="H3923" s="6" t="s">
        <v>68</v>
      </c>
      <c r="I3923" s="6" t="s">
        <v>1784</v>
      </c>
      <c r="J3923" s="6">
        <v>235</v>
      </c>
      <c r="K3923" s="7" t="s">
        <v>4560</v>
      </c>
      <c r="L3923" s="8">
        <v>7710388</v>
      </c>
      <c r="M3923" s="8" t="str">
        <f t="shared" si="312"/>
        <v>PEN</v>
      </c>
      <c r="N3923" s="13"/>
      <c r="O3923" s="13">
        <v>696.11</v>
      </c>
      <c r="P3923" s="3">
        <f t="shared" si="313"/>
        <v>696.11</v>
      </c>
      <c r="Q3923" s="3">
        <f t="shared" si="314"/>
        <v>0</v>
      </c>
      <c r="R3923" s="3">
        <f t="shared" si="315"/>
        <v>33488.729999999967</v>
      </c>
      <c r="S3923" s="24" t="s">
        <v>1334</v>
      </c>
      <c r="T3923" s="24" t="s">
        <v>1334</v>
      </c>
      <c r="U3923" s="55"/>
      <c r="V3923" s="25">
        <f>IFERROR(VLOOKUP(BCP_Soles[[#This Row],[destinatario]],CHOOSE({1,2},Clientes_Proveedores[Razon Social],Clientes_Proveedores[Ruc / Dni]),2,0),"")</f>
        <v>20558226979</v>
      </c>
      <c r="W3923" s="25"/>
      <c r="X3923" s="25"/>
      <c r="Y3923" s="25"/>
      <c r="Z3923" s="77"/>
      <c r="AA3923" s="3" t="str">
        <f>IF(BCP_Soles[[#This Row],[fecha]]&gt;0,TEXT(BCP_Soles[[#This Row],[fecha]],"mmmm"),0)</f>
        <v>Setiembre</v>
      </c>
    </row>
    <row r="3924" spans="1:27" x14ac:dyDescent="0.3">
      <c r="A3924" s="2">
        <f>IF(BCP_Soles[[#This Row],[tipo_registro]]="R",COUNTIFS($C$1:$C3923,"R")+1,A3923)</f>
        <v>2597</v>
      </c>
      <c r="B3924" s="19" t="str">
        <f t="shared" si="311"/>
        <v>B-BCP - Soles</v>
      </c>
      <c r="C3924" s="3" t="s">
        <v>1330</v>
      </c>
      <c r="D3924" s="14">
        <v>45923</v>
      </c>
      <c r="E3924" s="5" t="s">
        <v>439</v>
      </c>
      <c r="F3924" s="5" t="s">
        <v>1303</v>
      </c>
      <c r="G3924" s="6" t="s">
        <v>425</v>
      </c>
      <c r="H3924" s="6" t="s">
        <v>119</v>
      </c>
      <c r="I3924" s="6">
        <v>1</v>
      </c>
      <c r="J3924" s="6">
        <v>4763</v>
      </c>
      <c r="K3924" s="7" t="s">
        <v>3608</v>
      </c>
      <c r="L3924" s="8">
        <v>1616307</v>
      </c>
      <c r="M3924" s="8" t="str">
        <f t="shared" si="312"/>
        <v>PEN</v>
      </c>
      <c r="N3924" s="13"/>
      <c r="O3924" s="13">
        <v>540</v>
      </c>
      <c r="P3924" s="3">
        <f t="shared" si="313"/>
        <v>540</v>
      </c>
      <c r="Q3924" s="3">
        <f t="shared" si="314"/>
        <v>0</v>
      </c>
      <c r="R3924" s="3">
        <f t="shared" si="315"/>
        <v>34028.729999999967</v>
      </c>
      <c r="S3924" s="24" t="s">
        <v>1334</v>
      </c>
      <c r="T3924" s="24" t="s">
        <v>1334</v>
      </c>
      <c r="U3924" s="55"/>
      <c r="V3924" s="25">
        <f>IFERROR(VLOOKUP(BCP_Soles[[#This Row],[destinatario]],CHOOSE({1,2},Clientes_Proveedores[Razon Social],Clientes_Proveedores[Ruc / Dni]),2,0),"")</f>
        <v>20558226979</v>
      </c>
      <c r="W3924" s="25"/>
      <c r="X3924" s="25"/>
      <c r="Y3924" s="25"/>
      <c r="Z3924" s="77"/>
      <c r="AA3924" s="3" t="str">
        <f>IF(BCP_Soles[[#This Row],[fecha]]&gt;0,TEXT(BCP_Soles[[#This Row],[fecha]],"mmmm"),0)</f>
        <v>Setiembre</v>
      </c>
    </row>
    <row r="3925" spans="1:27" ht="24" x14ac:dyDescent="0.3">
      <c r="A3925" s="2">
        <f>IF(BCP_Soles[[#This Row],[tipo_registro]]="R",COUNTIFS($C$1:$C3924,"R")+1,A3924)</f>
        <v>2598</v>
      </c>
      <c r="B3925" s="19" t="str">
        <f t="shared" si="311"/>
        <v>B-BCP - Soles</v>
      </c>
      <c r="C3925" s="3" t="s">
        <v>1330</v>
      </c>
      <c r="D3925" s="14">
        <v>45923</v>
      </c>
      <c r="E3925" s="5" t="s">
        <v>2269</v>
      </c>
      <c r="F3925" s="5" t="s">
        <v>1336</v>
      </c>
      <c r="G3925" s="6" t="s">
        <v>1134</v>
      </c>
      <c r="H3925" s="6"/>
      <c r="I3925" s="6"/>
      <c r="J3925" s="6"/>
      <c r="K3925" s="7" t="s">
        <v>4561</v>
      </c>
      <c r="L3925" s="8">
        <v>1104682</v>
      </c>
      <c r="M3925" s="8" t="str">
        <f t="shared" si="312"/>
        <v>PEN</v>
      </c>
      <c r="N3925" s="13"/>
      <c r="O3925" s="13">
        <v>350</v>
      </c>
      <c r="P3925" s="3">
        <f t="shared" si="313"/>
        <v>0</v>
      </c>
      <c r="Q3925" s="3">
        <f t="shared" si="314"/>
        <v>350</v>
      </c>
      <c r="R3925" s="3">
        <f t="shared" si="315"/>
        <v>33678.729999999967</v>
      </c>
      <c r="S3925" s="24"/>
      <c r="T3925" s="24" t="s">
        <v>1334</v>
      </c>
      <c r="U3925" s="55"/>
      <c r="V3925" s="25">
        <f>IFERROR(VLOOKUP(BCP_Soles[[#This Row],[destinatario]],CHOOSE({1,2},Clientes_Proveedores[Razon Social],Clientes_Proveedores[Ruc / Dni]),2,0),"")</f>
        <v>71662026</v>
      </c>
      <c r="W3925" s="25"/>
      <c r="X3925" s="25"/>
      <c r="Y3925" s="25"/>
      <c r="Z3925" s="77"/>
      <c r="AA3925" s="3" t="str">
        <f>IF(BCP_Soles[[#This Row],[fecha]]&gt;0,TEXT(BCP_Soles[[#This Row],[fecha]],"mmmm"),0)</f>
        <v>Setiembre</v>
      </c>
    </row>
    <row r="3926" spans="1:27" x14ac:dyDescent="0.3">
      <c r="A3926" s="2">
        <f>IF(BCP_Soles[[#This Row],[tipo_registro]]="R",COUNTIFS($C$1:$C3925,"R")+1,A3925)</f>
        <v>2599</v>
      </c>
      <c r="B3926" s="19" t="str">
        <f t="shared" si="311"/>
        <v>B-BCP - Soles</v>
      </c>
      <c r="C3926" s="3" t="s">
        <v>1330</v>
      </c>
      <c r="D3926" s="14">
        <v>45923</v>
      </c>
      <c r="E3926" s="5" t="s">
        <v>2269</v>
      </c>
      <c r="F3926" s="5" t="s">
        <v>1336</v>
      </c>
      <c r="G3926" s="6" t="s">
        <v>696</v>
      </c>
      <c r="H3926" s="6"/>
      <c r="I3926" s="6"/>
      <c r="J3926" s="6"/>
      <c r="K3926" s="7" t="s">
        <v>4562</v>
      </c>
      <c r="L3926" s="8">
        <v>7793642</v>
      </c>
      <c r="M3926" s="8" t="str">
        <f t="shared" si="312"/>
        <v>PEN</v>
      </c>
      <c r="N3926" s="13"/>
      <c r="O3926" s="13">
        <v>4233.3</v>
      </c>
      <c r="P3926" s="3">
        <f t="shared" si="313"/>
        <v>0</v>
      </c>
      <c r="Q3926" s="3">
        <f t="shared" si="314"/>
        <v>4233.3</v>
      </c>
      <c r="R3926" s="3">
        <f t="shared" si="315"/>
        <v>29445.429999999968</v>
      </c>
      <c r="S3926" s="24" t="s">
        <v>1334</v>
      </c>
      <c r="T3926" s="24" t="s">
        <v>1334</v>
      </c>
      <c r="U3926" s="56" t="s">
        <v>4563</v>
      </c>
      <c r="V3926" s="25">
        <f>IFERROR(VLOOKUP(BCP_Soles[[#This Row],[destinatario]],CHOOSE({1,2},Clientes_Proveedores[Razon Social],Clientes_Proveedores[Ruc / Dni]),2,0),"")</f>
        <v>0</v>
      </c>
      <c r="W3926" s="25"/>
      <c r="X3926" s="25"/>
      <c r="Y3926" s="25"/>
      <c r="Z3926" s="77"/>
      <c r="AA3926" s="3" t="str">
        <f>IF(BCP_Soles[[#This Row],[fecha]]&gt;0,TEXT(BCP_Soles[[#This Row],[fecha]],"mmmm"),0)</f>
        <v>Setiembre</v>
      </c>
    </row>
    <row r="3927" spans="1:27" ht="24" x14ac:dyDescent="0.3">
      <c r="A3927" s="2">
        <f>IF(BCP_Soles[[#This Row],[tipo_registro]]="R",COUNTIFS($C$1:$C3926,"R")+1,A3926)</f>
        <v>2599</v>
      </c>
      <c r="B3927" s="19" t="str">
        <f t="shared" ref="B3927:B3934" si="316">"B-BCP - Soles"</f>
        <v>B-BCP - Soles</v>
      </c>
      <c r="C3927" s="3" t="s">
        <v>1352</v>
      </c>
      <c r="D3927" s="14">
        <v>45923</v>
      </c>
      <c r="E3927" s="5" t="s">
        <v>2269</v>
      </c>
      <c r="F3927" s="5" t="s">
        <v>1336</v>
      </c>
      <c r="G3927" s="6" t="s">
        <v>166</v>
      </c>
      <c r="H3927" s="6" t="s">
        <v>68</v>
      </c>
      <c r="I3927" s="6" t="s">
        <v>1376</v>
      </c>
      <c r="J3927" s="6">
        <v>5417</v>
      </c>
      <c r="K3927" s="7" t="s">
        <v>4562</v>
      </c>
      <c r="L3927" s="8">
        <v>7793642</v>
      </c>
      <c r="M3927" s="8" t="str">
        <f t="shared" ref="M3927:M3934" si="317">"PEN"</f>
        <v>PEN</v>
      </c>
      <c r="N3927" s="13">
        <v>59</v>
      </c>
      <c r="O3927" s="13"/>
      <c r="P3927" s="3">
        <f t="shared" ref="P3927:P3934" si="318">+IF(OR($F3927="SALDO",$F3927="INGRESO"),$O3927,0)</f>
        <v>0</v>
      </c>
      <c r="Q3927" s="3">
        <f t="shared" ref="Q3927:Q3934" si="319">+IF($F3927="EGRESO",$O3927,0)</f>
        <v>0</v>
      </c>
      <c r="R3927" s="3">
        <f t="shared" si="315"/>
        <v>29445.429999999968</v>
      </c>
      <c r="S3927" s="24" t="s">
        <v>1334</v>
      </c>
      <c r="T3927" s="24" t="s">
        <v>1334</v>
      </c>
      <c r="U3927" s="56" t="s">
        <v>4563</v>
      </c>
      <c r="V3927" s="25">
        <f>IFERROR(VLOOKUP(BCP_Soles[[#This Row],[destinatario]],CHOOSE({1,2},Clientes_Proveedores[Razon Social],Clientes_Proveedores[Ruc / Dni]),2,0),"")</f>
        <v>10425371652</v>
      </c>
      <c r="W3927" s="25"/>
      <c r="X3927" s="25"/>
      <c r="Y3927" s="25"/>
      <c r="Z3927" s="77"/>
      <c r="AA3927" s="3" t="str">
        <f>IF(BCP_Soles[[#This Row],[fecha]]&gt;0,TEXT(BCP_Soles[[#This Row],[fecha]],"mmmm"),0)</f>
        <v>Setiembre</v>
      </c>
    </row>
    <row r="3928" spans="1:27" ht="24" x14ac:dyDescent="0.3">
      <c r="A3928" s="2">
        <f>IF(BCP_Soles[[#This Row],[tipo_registro]]="R",COUNTIFS($C$1:$C3927,"R")+1,A3927)</f>
        <v>2599</v>
      </c>
      <c r="B3928" s="19" t="str">
        <f t="shared" si="316"/>
        <v>B-BCP - Soles</v>
      </c>
      <c r="C3928" s="3" t="s">
        <v>1352</v>
      </c>
      <c r="D3928" s="14">
        <v>45923</v>
      </c>
      <c r="E3928" s="5" t="s">
        <v>2269</v>
      </c>
      <c r="F3928" s="5" t="s">
        <v>1336</v>
      </c>
      <c r="G3928" s="6" t="s">
        <v>553</v>
      </c>
      <c r="H3928" s="6" t="s">
        <v>68</v>
      </c>
      <c r="I3928" s="6" t="s">
        <v>1376</v>
      </c>
      <c r="J3928" s="6">
        <v>358</v>
      </c>
      <c r="K3928" s="7" t="s">
        <v>4562</v>
      </c>
      <c r="L3928" s="8">
        <v>7793642</v>
      </c>
      <c r="M3928" s="8" t="str">
        <f t="shared" si="317"/>
        <v>PEN</v>
      </c>
      <c r="N3928" s="13">
        <v>384.01</v>
      </c>
      <c r="O3928" s="13"/>
      <c r="P3928" s="3">
        <f t="shared" si="318"/>
        <v>0</v>
      </c>
      <c r="Q3928" s="3">
        <f t="shared" si="319"/>
        <v>0</v>
      </c>
      <c r="R3928" s="3">
        <f t="shared" si="315"/>
        <v>29445.429999999968</v>
      </c>
      <c r="S3928" s="24" t="s">
        <v>1334</v>
      </c>
      <c r="T3928" s="24" t="s">
        <v>1334</v>
      </c>
      <c r="U3928" s="56" t="s">
        <v>4563</v>
      </c>
      <c r="V3928" s="25">
        <f>IFERROR(VLOOKUP(BCP_Soles[[#This Row],[destinatario]],CHOOSE({1,2},Clientes_Proveedores[Razon Social],Clientes_Proveedores[Ruc / Dni]),2,0),"")</f>
        <v>20606866861</v>
      </c>
      <c r="W3928" s="25"/>
      <c r="X3928" s="25"/>
      <c r="Y3928" s="25"/>
      <c r="Z3928" s="77"/>
      <c r="AA3928" s="3" t="str">
        <f>IF(BCP_Soles[[#This Row],[fecha]]&gt;0,TEXT(BCP_Soles[[#This Row],[fecha]],"mmmm"),0)</f>
        <v>Setiembre</v>
      </c>
    </row>
    <row r="3929" spans="1:27" ht="36" x14ac:dyDescent="0.3">
      <c r="A3929" s="2">
        <f>IF(BCP_Soles[[#This Row],[tipo_registro]]="R",COUNTIFS($C$1:$C3928,"R")+1,A3928)</f>
        <v>2599</v>
      </c>
      <c r="B3929" s="19" t="str">
        <f t="shared" si="316"/>
        <v>B-BCP - Soles</v>
      </c>
      <c r="C3929" s="3" t="s">
        <v>1352</v>
      </c>
      <c r="D3929" s="14">
        <v>45923</v>
      </c>
      <c r="E3929" s="5" t="s">
        <v>2269</v>
      </c>
      <c r="F3929" s="5" t="s">
        <v>1336</v>
      </c>
      <c r="G3929" s="6" t="s">
        <v>623</v>
      </c>
      <c r="H3929" s="6" t="s">
        <v>68</v>
      </c>
      <c r="I3929" s="6" t="s">
        <v>1374</v>
      </c>
      <c r="J3929" s="6">
        <v>8109</v>
      </c>
      <c r="K3929" s="7" t="s">
        <v>4562</v>
      </c>
      <c r="L3929" s="8">
        <v>7793642</v>
      </c>
      <c r="M3929" s="8" t="str">
        <f t="shared" si="317"/>
        <v>PEN</v>
      </c>
      <c r="N3929" s="13">
        <v>1012.5</v>
      </c>
      <c r="O3929" s="13"/>
      <c r="P3929" s="3">
        <f t="shared" si="318"/>
        <v>0</v>
      </c>
      <c r="Q3929" s="3">
        <f t="shared" si="319"/>
        <v>0</v>
      </c>
      <c r="R3929" s="3">
        <f t="shared" si="315"/>
        <v>29445.429999999968</v>
      </c>
      <c r="S3929" s="24" t="s">
        <v>1334</v>
      </c>
      <c r="T3929" s="24" t="s">
        <v>1334</v>
      </c>
      <c r="U3929" s="56" t="s">
        <v>4563</v>
      </c>
      <c r="V3929" s="25">
        <f>IFERROR(VLOOKUP(BCP_Soles[[#This Row],[destinatario]],CHOOSE({1,2},Clientes_Proveedores[Razon Social],Clientes_Proveedores[Ruc / Dni]),2,0),"")</f>
        <v>20454819137</v>
      </c>
      <c r="W3929" s="25"/>
      <c r="X3929" s="25"/>
      <c r="Y3929" s="25"/>
      <c r="Z3929" s="77"/>
      <c r="AA3929" s="3" t="str">
        <f>IF(BCP_Soles[[#This Row],[fecha]]&gt;0,TEXT(BCP_Soles[[#This Row],[fecha]],"mmmm"),0)</f>
        <v>Setiembre</v>
      </c>
    </row>
    <row r="3930" spans="1:27" ht="36" x14ac:dyDescent="0.3">
      <c r="A3930" s="2">
        <f>IF(BCP_Soles[[#This Row],[tipo_registro]]="R",COUNTIFS($C$1:$C3929,"R")+1,A3929)</f>
        <v>2599</v>
      </c>
      <c r="B3930" s="19" t="str">
        <f t="shared" si="316"/>
        <v>B-BCP - Soles</v>
      </c>
      <c r="C3930" s="3" t="s">
        <v>1352</v>
      </c>
      <c r="D3930" s="14">
        <v>45923</v>
      </c>
      <c r="E3930" s="5" t="s">
        <v>2269</v>
      </c>
      <c r="F3930" s="5" t="s">
        <v>1336</v>
      </c>
      <c r="G3930" s="6" t="s">
        <v>623</v>
      </c>
      <c r="H3930" s="6" t="s">
        <v>68</v>
      </c>
      <c r="I3930" s="6" t="s">
        <v>1374</v>
      </c>
      <c r="J3930" s="6">
        <v>8209</v>
      </c>
      <c r="K3930" s="7" t="s">
        <v>4562</v>
      </c>
      <c r="L3930" s="8">
        <v>7793642</v>
      </c>
      <c r="M3930" s="8" t="str">
        <f t="shared" si="317"/>
        <v>PEN</v>
      </c>
      <c r="N3930" s="13">
        <v>1012.5</v>
      </c>
      <c r="O3930" s="13"/>
      <c r="P3930" s="3">
        <f t="shared" si="318"/>
        <v>0</v>
      </c>
      <c r="Q3930" s="3">
        <f t="shared" si="319"/>
        <v>0</v>
      </c>
      <c r="R3930" s="3">
        <f t="shared" si="315"/>
        <v>29445.429999999968</v>
      </c>
      <c r="S3930" s="24" t="s">
        <v>1334</v>
      </c>
      <c r="T3930" s="24" t="s">
        <v>1334</v>
      </c>
      <c r="U3930" s="56" t="s">
        <v>4563</v>
      </c>
      <c r="V3930" s="25">
        <f>IFERROR(VLOOKUP(BCP_Soles[[#This Row],[destinatario]],CHOOSE({1,2},Clientes_Proveedores[Razon Social],Clientes_Proveedores[Ruc / Dni]),2,0),"")</f>
        <v>20454819137</v>
      </c>
      <c r="W3930" s="25"/>
      <c r="X3930" s="25"/>
      <c r="Y3930" s="25"/>
      <c r="Z3930" s="77"/>
      <c r="AA3930" s="3" t="str">
        <f>IF(BCP_Soles[[#This Row],[fecha]]&gt;0,TEXT(BCP_Soles[[#This Row],[fecha]],"mmmm"),0)</f>
        <v>Setiembre</v>
      </c>
    </row>
    <row r="3931" spans="1:27" ht="36" x14ac:dyDescent="0.3">
      <c r="A3931" s="2">
        <f>IF(BCP_Soles[[#This Row],[tipo_registro]]="R",COUNTIFS($C$1:$C3930,"R")+1,A3930)</f>
        <v>2599</v>
      </c>
      <c r="B3931" s="19" t="str">
        <f t="shared" si="316"/>
        <v>B-BCP - Soles</v>
      </c>
      <c r="C3931" s="3" t="s">
        <v>1352</v>
      </c>
      <c r="D3931" s="14">
        <v>45923</v>
      </c>
      <c r="E3931" s="5" t="s">
        <v>2269</v>
      </c>
      <c r="F3931" s="5" t="s">
        <v>1336</v>
      </c>
      <c r="G3931" s="6" t="s">
        <v>153</v>
      </c>
      <c r="H3931" s="6" t="s">
        <v>68</v>
      </c>
      <c r="I3931" s="6" t="s">
        <v>1376</v>
      </c>
      <c r="J3931" s="6">
        <v>425</v>
      </c>
      <c r="K3931" s="7" t="s">
        <v>4562</v>
      </c>
      <c r="L3931" s="8">
        <v>7793642</v>
      </c>
      <c r="M3931" s="8" t="str">
        <f t="shared" si="317"/>
        <v>PEN</v>
      </c>
      <c r="N3931" s="13">
        <v>623</v>
      </c>
      <c r="O3931" s="13"/>
      <c r="P3931" s="3">
        <f t="shared" si="318"/>
        <v>0</v>
      </c>
      <c r="Q3931" s="3">
        <f t="shared" si="319"/>
        <v>0</v>
      </c>
      <c r="R3931" s="3">
        <f t="shared" si="315"/>
        <v>29445.429999999968</v>
      </c>
      <c r="S3931" s="24" t="s">
        <v>1334</v>
      </c>
      <c r="T3931" s="24" t="s">
        <v>1334</v>
      </c>
      <c r="U3931" s="56" t="s">
        <v>4563</v>
      </c>
      <c r="V3931" s="25">
        <f>IFERROR(VLOOKUP(BCP_Soles[[#This Row],[destinatario]],CHOOSE({1,2},Clientes_Proveedores[Razon Social],Clientes_Proveedores[Ruc / Dni]),2,0),"")</f>
        <v>10405211179</v>
      </c>
      <c r="W3931" s="25"/>
      <c r="X3931" s="25"/>
      <c r="Y3931" s="25"/>
      <c r="Z3931" s="77"/>
      <c r="AA3931" s="3" t="str">
        <f>IF(BCP_Soles[[#This Row],[fecha]]&gt;0,TEXT(BCP_Soles[[#This Row],[fecha]],"mmmm"),0)</f>
        <v>Setiembre</v>
      </c>
    </row>
    <row r="3932" spans="1:27" ht="24" x14ac:dyDescent="0.3">
      <c r="A3932" s="2">
        <f>IF(BCP_Soles[[#This Row],[tipo_registro]]="R",COUNTIFS($C$1:$C3931,"R")+1,A3931)</f>
        <v>2599</v>
      </c>
      <c r="B3932" s="19" t="str">
        <f t="shared" si="316"/>
        <v>B-BCP - Soles</v>
      </c>
      <c r="C3932" s="3" t="s">
        <v>1352</v>
      </c>
      <c r="D3932" s="14">
        <v>45923</v>
      </c>
      <c r="E3932" s="5" t="s">
        <v>2269</v>
      </c>
      <c r="F3932" s="5" t="s">
        <v>1336</v>
      </c>
      <c r="G3932" s="6" t="s">
        <v>553</v>
      </c>
      <c r="H3932" s="6" t="s">
        <v>68</v>
      </c>
      <c r="I3932" s="6" t="s">
        <v>1376</v>
      </c>
      <c r="J3932" s="6">
        <v>359</v>
      </c>
      <c r="K3932" s="7" t="s">
        <v>4562</v>
      </c>
      <c r="L3932" s="8">
        <v>7793642</v>
      </c>
      <c r="M3932" s="8" t="str">
        <f t="shared" si="317"/>
        <v>PEN</v>
      </c>
      <c r="N3932" s="13">
        <v>575.99</v>
      </c>
      <c r="O3932" s="13"/>
      <c r="P3932" s="3">
        <f t="shared" si="318"/>
        <v>0</v>
      </c>
      <c r="Q3932" s="3">
        <f t="shared" si="319"/>
        <v>0</v>
      </c>
      <c r="R3932" s="3">
        <f t="shared" si="315"/>
        <v>29445.429999999968</v>
      </c>
      <c r="S3932" s="24" t="s">
        <v>1334</v>
      </c>
      <c r="T3932" s="24" t="s">
        <v>1334</v>
      </c>
      <c r="U3932" s="56" t="s">
        <v>4563</v>
      </c>
      <c r="V3932" s="25">
        <f>IFERROR(VLOOKUP(BCP_Soles[[#This Row],[destinatario]],CHOOSE({1,2},Clientes_Proveedores[Razon Social],Clientes_Proveedores[Ruc / Dni]),2,0),"")</f>
        <v>20606866861</v>
      </c>
      <c r="W3932" s="25"/>
      <c r="X3932" s="25"/>
      <c r="Y3932" s="25"/>
      <c r="Z3932" s="77"/>
      <c r="AA3932" s="3" t="str">
        <f>IF(BCP_Soles[[#This Row],[fecha]]&gt;0,TEXT(BCP_Soles[[#This Row],[fecha]],"mmmm"),0)</f>
        <v>Setiembre</v>
      </c>
    </row>
    <row r="3933" spans="1:27" ht="24" x14ac:dyDescent="0.3">
      <c r="A3933" s="2">
        <f>IF(BCP_Soles[[#This Row],[tipo_registro]]="R",COUNTIFS($C$1:$C3932,"R")+1,A3932)</f>
        <v>2599</v>
      </c>
      <c r="B3933" s="19" t="str">
        <f t="shared" si="316"/>
        <v>B-BCP - Soles</v>
      </c>
      <c r="C3933" s="3" t="s">
        <v>1352</v>
      </c>
      <c r="D3933" s="14">
        <v>45923</v>
      </c>
      <c r="E3933" s="5" t="s">
        <v>2269</v>
      </c>
      <c r="F3933" s="5" t="s">
        <v>1336</v>
      </c>
      <c r="G3933" s="6" t="s">
        <v>537</v>
      </c>
      <c r="H3933" s="6" t="s">
        <v>68</v>
      </c>
      <c r="I3933" s="6" t="s">
        <v>1376</v>
      </c>
      <c r="J3933" s="6">
        <v>914</v>
      </c>
      <c r="K3933" s="7" t="s">
        <v>4562</v>
      </c>
      <c r="L3933" s="8">
        <v>7793642</v>
      </c>
      <c r="M3933" s="8" t="str">
        <f t="shared" si="317"/>
        <v>PEN</v>
      </c>
      <c r="N3933" s="13">
        <v>444</v>
      </c>
      <c r="O3933" s="13"/>
      <c r="P3933" s="3">
        <f t="shared" si="318"/>
        <v>0</v>
      </c>
      <c r="Q3933" s="3">
        <f t="shared" si="319"/>
        <v>0</v>
      </c>
      <c r="R3933" s="3">
        <f t="shared" si="315"/>
        <v>29445.429999999968</v>
      </c>
      <c r="S3933" s="24" t="s">
        <v>1334</v>
      </c>
      <c r="T3933" s="24" t="s">
        <v>1334</v>
      </c>
      <c r="U3933" s="56" t="s">
        <v>4563</v>
      </c>
      <c r="V3933" s="25">
        <f>IFERROR(VLOOKUP(BCP_Soles[[#This Row],[destinatario]],CHOOSE({1,2},Clientes_Proveedores[Razon Social],Clientes_Proveedores[Ruc / Dni]),2,0),"")</f>
        <v>20605447814</v>
      </c>
      <c r="W3933" s="25"/>
      <c r="X3933" s="25"/>
      <c r="Y3933" s="25"/>
      <c r="Z3933" s="77"/>
      <c r="AA3933" s="3" t="str">
        <f>IF(BCP_Soles[[#This Row],[fecha]]&gt;0,TEXT(BCP_Soles[[#This Row],[fecha]],"mmmm"),0)</f>
        <v>Setiembre</v>
      </c>
    </row>
    <row r="3934" spans="1:27" ht="36" x14ac:dyDescent="0.3">
      <c r="A3934" s="2">
        <f>IF(BCP_Soles[[#This Row],[tipo_registro]]="R",COUNTIFS($C$1:$C3933,"R")+1,A3933)</f>
        <v>2599</v>
      </c>
      <c r="B3934" s="19" t="str">
        <f t="shared" si="316"/>
        <v>B-BCP - Soles</v>
      </c>
      <c r="C3934" s="3" t="s">
        <v>1352</v>
      </c>
      <c r="D3934" s="14">
        <v>45923</v>
      </c>
      <c r="E3934" s="5" t="s">
        <v>2269</v>
      </c>
      <c r="F3934" s="5" t="s">
        <v>1336</v>
      </c>
      <c r="G3934" s="6" t="s">
        <v>315</v>
      </c>
      <c r="H3934" s="6" t="s">
        <v>68</v>
      </c>
      <c r="I3934" s="6" t="s">
        <v>1376</v>
      </c>
      <c r="J3934" s="6">
        <v>2976</v>
      </c>
      <c r="K3934" s="7" t="s">
        <v>4562</v>
      </c>
      <c r="L3934" s="8">
        <v>7793642</v>
      </c>
      <c r="M3934" s="8" t="str">
        <f t="shared" si="317"/>
        <v>PEN</v>
      </c>
      <c r="N3934" s="13">
        <v>122.3</v>
      </c>
      <c r="O3934" s="13"/>
      <c r="P3934" s="3">
        <f t="shared" si="318"/>
        <v>0</v>
      </c>
      <c r="Q3934" s="3">
        <f t="shared" si="319"/>
        <v>0</v>
      </c>
      <c r="R3934" s="3">
        <f t="shared" si="315"/>
        <v>29445.429999999968</v>
      </c>
      <c r="S3934" s="24" t="s">
        <v>1334</v>
      </c>
      <c r="T3934" s="24" t="s">
        <v>1334</v>
      </c>
      <c r="U3934" s="56" t="s">
        <v>4563</v>
      </c>
      <c r="V3934" s="25">
        <f>IFERROR(VLOOKUP(BCP_Soles[[#This Row],[destinatario]],CHOOSE({1,2},Clientes_Proveedores[Razon Social],Clientes_Proveedores[Ruc / Dni]),2,0),"")</f>
        <v>20456565353</v>
      </c>
      <c r="W3934" s="25"/>
      <c r="X3934" s="25"/>
      <c r="Y3934" s="25"/>
      <c r="Z3934" s="77"/>
      <c r="AA3934" s="3" t="str">
        <f>IF(BCP_Soles[[#This Row],[fecha]]&gt;0,TEXT(BCP_Soles[[#This Row],[fecha]],"mmmm"),0)</f>
        <v>Setiembre</v>
      </c>
    </row>
    <row r="3935" spans="1:27" ht="24" x14ac:dyDescent="0.3">
      <c r="A3935" s="2">
        <f>IF(BCP_Soles[[#This Row],[tipo_registro]]="R",COUNTIFS($C$1:$C3934,"R")+1,A3934)</f>
        <v>2600</v>
      </c>
      <c r="B3935" s="19" t="str">
        <f t="shared" si="311"/>
        <v>B-BCP - Soles</v>
      </c>
      <c r="C3935" s="3" t="s">
        <v>1330</v>
      </c>
      <c r="D3935" s="14">
        <v>45923</v>
      </c>
      <c r="E3935" s="5" t="s">
        <v>2269</v>
      </c>
      <c r="F3935" s="5" t="s">
        <v>1336</v>
      </c>
      <c r="G3935" s="6" t="s">
        <v>518</v>
      </c>
      <c r="H3935" s="6" t="s">
        <v>68</v>
      </c>
      <c r="I3935" s="6" t="s">
        <v>1376</v>
      </c>
      <c r="J3935" s="6">
        <v>1588</v>
      </c>
      <c r="K3935" s="7" t="s">
        <v>4564</v>
      </c>
      <c r="L3935" s="8">
        <v>1105172</v>
      </c>
      <c r="M3935" s="8" t="str">
        <f t="shared" si="312"/>
        <v>PEN</v>
      </c>
      <c r="N3935" s="13"/>
      <c r="O3935" s="13">
        <v>600</v>
      </c>
      <c r="P3935" s="3">
        <f t="shared" si="313"/>
        <v>0</v>
      </c>
      <c r="Q3935" s="3">
        <f t="shared" si="314"/>
        <v>600</v>
      </c>
      <c r="R3935" s="3">
        <f t="shared" si="315"/>
        <v>28845.429999999968</v>
      </c>
      <c r="S3935" s="24" t="s">
        <v>1334</v>
      </c>
      <c r="T3935" s="24" t="s">
        <v>1334</v>
      </c>
      <c r="U3935" s="56" t="s">
        <v>4563</v>
      </c>
      <c r="V3935" s="25">
        <f>IFERROR(VLOOKUP(BCP_Soles[[#This Row],[destinatario]],CHOOSE({1,2},Clientes_Proveedores[Razon Social],Clientes_Proveedores[Ruc / Dni]),2,0),"")</f>
        <v>20603912838</v>
      </c>
      <c r="W3935" s="25"/>
      <c r="X3935" s="25"/>
      <c r="Y3935" s="25"/>
      <c r="Z3935" s="77"/>
      <c r="AA3935" s="3" t="str">
        <f>IF(BCP_Soles[[#This Row],[fecha]]&gt;0,TEXT(BCP_Soles[[#This Row],[fecha]],"mmmm"),0)</f>
        <v>Setiembre</v>
      </c>
    </row>
    <row r="3936" spans="1:27" x14ac:dyDescent="0.3">
      <c r="A3936" s="2">
        <f>IF(BCP_Soles[[#This Row],[tipo_registro]]="R",COUNTIFS($C$1:$C3935,"R")+1,A3935)</f>
        <v>2601</v>
      </c>
      <c r="B3936" s="19" t="str">
        <f t="shared" si="311"/>
        <v>B-BCP - Soles</v>
      </c>
      <c r="C3936" s="3" t="s">
        <v>1330</v>
      </c>
      <c r="D3936" s="14">
        <v>45923</v>
      </c>
      <c r="E3936" s="5" t="s">
        <v>1335</v>
      </c>
      <c r="F3936" s="5" t="s">
        <v>1336</v>
      </c>
      <c r="G3936" s="6" t="s">
        <v>1009</v>
      </c>
      <c r="H3936" s="6" t="s">
        <v>64</v>
      </c>
      <c r="I3936" s="6" t="s">
        <v>3673</v>
      </c>
      <c r="J3936" s="6">
        <v>2603</v>
      </c>
      <c r="K3936" s="7" t="s">
        <v>3160</v>
      </c>
      <c r="L3936" s="8"/>
      <c r="M3936" s="8" t="str">
        <f t="shared" si="312"/>
        <v>PEN</v>
      </c>
      <c r="N3936" s="13"/>
      <c r="O3936" s="13">
        <v>1.05</v>
      </c>
      <c r="P3936" s="3">
        <f t="shared" si="313"/>
        <v>0</v>
      </c>
      <c r="Q3936" s="3">
        <f t="shared" si="314"/>
        <v>1.05</v>
      </c>
      <c r="R3936" s="3">
        <f t="shared" si="315"/>
        <v>28844.379999999968</v>
      </c>
      <c r="S3936" s="24"/>
      <c r="T3936" s="24" t="s">
        <v>1334</v>
      </c>
      <c r="U3936" s="55"/>
      <c r="V3936" s="25">
        <f>IFERROR(VLOOKUP(BCP_Soles[[#This Row],[destinatario]],CHOOSE({1,2},Clientes_Proveedores[Razon Social],Clientes_Proveedores[Ruc / Dni]),2,0),"")</f>
        <v>11111111</v>
      </c>
      <c r="W3936" s="25"/>
      <c r="X3936" s="25"/>
      <c r="Y3936" s="25"/>
      <c r="Z3936" s="77"/>
      <c r="AA3936" s="3" t="str">
        <f>IF(BCP_Soles[[#This Row],[fecha]]&gt;0,TEXT(BCP_Soles[[#This Row],[fecha]],"mmmm"),0)</f>
        <v>Setiembre</v>
      </c>
    </row>
    <row r="3937" spans="1:27" ht="24" x14ac:dyDescent="0.3">
      <c r="A3937" s="2">
        <f>IF(BCP_Soles[[#This Row],[tipo_registro]]="R",COUNTIFS($C$1:$C3936,"R")+1,A3936)</f>
        <v>2602</v>
      </c>
      <c r="B3937" s="19" t="str">
        <f t="shared" si="311"/>
        <v>B-BCP - Soles</v>
      </c>
      <c r="C3937" s="3" t="s">
        <v>1330</v>
      </c>
      <c r="D3937" s="14">
        <v>45924</v>
      </c>
      <c r="E3937" s="5" t="s">
        <v>4357</v>
      </c>
      <c r="F3937" s="5" t="s">
        <v>1303</v>
      </c>
      <c r="G3937" s="6" t="s">
        <v>425</v>
      </c>
      <c r="H3937" s="6" t="s">
        <v>119</v>
      </c>
      <c r="I3937" s="6">
        <v>2</v>
      </c>
      <c r="J3937" s="6">
        <v>845</v>
      </c>
      <c r="K3937" s="7" t="s">
        <v>3608</v>
      </c>
      <c r="L3937" s="8">
        <v>2437392</v>
      </c>
      <c r="M3937" s="8" t="str">
        <f t="shared" si="312"/>
        <v>PEN</v>
      </c>
      <c r="N3937" s="13"/>
      <c r="O3937" s="13">
        <v>5825.4</v>
      </c>
      <c r="P3937" s="3">
        <f t="shared" si="313"/>
        <v>5825.4</v>
      </c>
      <c r="Q3937" s="3">
        <f t="shared" si="314"/>
        <v>0</v>
      </c>
      <c r="R3937" s="3">
        <f t="shared" si="315"/>
        <v>34669.77999999997</v>
      </c>
      <c r="S3937" s="24" t="s">
        <v>1334</v>
      </c>
      <c r="T3937" s="24" t="s">
        <v>1334</v>
      </c>
      <c r="U3937" s="55"/>
      <c r="V3937" s="25">
        <f>IFERROR(VLOOKUP(BCP_Soles[[#This Row],[destinatario]],CHOOSE({1,2},Clientes_Proveedores[Razon Social],Clientes_Proveedores[Ruc / Dni]),2,0),"")</f>
        <v>20558226979</v>
      </c>
      <c r="W3937" s="25"/>
      <c r="X3937" s="25"/>
      <c r="Y3937" s="25"/>
      <c r="Z3937" s="77"/>
      <c r="AA3937" s="3" t="str">
        <f>IF(BCP_Soles[[#This Row],[fecha]]&gt;0,TEXT(BCP_Soles[[#This Row],[fecha]],"mmmm"),0)</f>
        <v>Setiembre</v>
      </c>
    </row>
    <row r="3938" spans="1:27" ht="24" x14ac:dyDescent="0.3">
      <c r="A3938" s="2">
        <f>IF(BCP_Soles[[#This Row],[tipo_registro]]="R",COUNTIFS($C$1:$C3937,"R")+1,A3937)</f>
        <v>2603</v>
      </c>
      <c r="B3938" s="19" t="str">
        <f t="shared" si="311"/>
        <v>B-BCP - Soles</v>
      </c>
      <c r="C3938" s="3" t="s">
        <v>1330</v>
      </c>
      <c r="D3938" s="14">
        <v>45924</v>
      </c>
      <c r="E3938" s="5" t="s">
        <v>2269</v>
      </c>
      <c r="F3938" s="5" t="s">
        <v>1336</v>
      </c>
      <c r="G3938" s="6" t="s">
        <v>759</v>
      </c>
      <c r="H3938" s="6" t="s">
        <v>72</v>
      </c>
      <c r="I3938" s="6" t="s">
        <v>1376</v>
      </c>
      <c r="J3938" s="6">
        <v>27</v>
      </c>
      <c r="K3938" s="7" t="s">
        <v>4565</v>
      </c>
      <c r="L3938" s="8">
        <v>1000680</v>
      </c>
      <c r="M3938" s="8" t="str">
        <f t="shared" si="312"/>
        <v>PEN</v>
      </c>
      <c r="N3938" s="13"/>
      <c r="O3938" s="13">
        <v>1250</v>
      </c>
      <c r="P3938" s="3">
        <f t="shared" si="313"/>
        <v>0</v>
      </c>
      <c r="Q3938" s="3">
        <f t="shared" si="314"/>
        <v>1250</v>
      </c>
      <c r="R3938" s="3">
        <f t="shared" si="315"/>
        <v>33419.77999999997</v>
      </c>
      <c r="S3938" s="24" t="s">
        <v>1334</v>
      </c>
      <c r="T3938" s="24" t="s">
        <v>1334</v>
      </c>
      <c r="U3938" s="56" t="s">
        <v>4566</v>
      </c>
      <c r="V3938" s="25">
        <f>IFERROR(VLOOKUP(BCP_Soles[[#This Row],[destinatario]],CHOOSE({1,2},Clientes_Proveedores[Razon Social],Clientes_Proveedores[Ruc / Dni]),2,0),"")</f>
        <v>10108661343</v>
      </c>
      <c r="W3938" s="25"/>
      <c r="X3938" s="25"/>
      <c r="Y3938" s="25"/>
      <c r="Z3938" s="77"/>
      <c r="AA3938" s="3" t="str">
        <f>IF(BCP_Soles[[#This Row],[fecha]]&gt;0,TEXT(BCP_Soles[[#This Row],[fecha]],"mmmm"),0)</f>
        <v>Setiembre</v>
      </c>
    </row>
    <row r="3939" spans="1:27" ht="36" x14ac:dyDescent="0.3">
      <c r="A3939" s="2">
        <f>IF(BCP_Soles[[#This Row],[tipo_registro]]="R",COUNTIFS($C$1:$C3938,"R")+1,A3938)</f>
        <v>2604</v>
      </c>
      <c r="B3939" s="19" t="str">
        <f t="shared" si="311"/>
        <v>B-BCP - Soles</v>
      </c>
      <c r="C3939" s="3" t="s">
        <v>1330</v>
      </c>
      <c r="D3939" s="14">
        <v>45924</v>
      </c>
      <c r="E3939" s="5" t="s">
        <v>2269</v>
      </c>
      <c r="F3939" s="5" t="s">
        <v>1336</v>
      </c>
      <c r="G3939" s="6" t="s">
        <v>497</v>
      </c>
      <c r="H3939" s="6" t="s">
        <v>68</v>
      </c>
      <c r="I3939" s="6" t="s">
        <v>1390</v>
      </c>
      <c r="J3939" s="6">
        <v>21210</v>
      </c>
      <c r="K3939" s="7" t="s">
        <v>4567</v>
      </c>
      <c r="L3939" s="8">
        <v>1096765</v>
      </c>
      <c r="M3939" s="8" t="str">
        <f t="shared" si="312"/>
        <v>PEN</v>
      </c>
      <c r="N3939" s="13"/>
      <c r="O3939" s="13">
        <v>474</v>
      </c>
      <c r="P3939" s="3">
        <f t="shared" si="313"/>
        <v>0</v>
      </c>
      <c r="Q3939" s="3">
        <f t="shared" si="314"/>
        <v>474</v>
      </c>
      <c r="R3939" s="3">
        <f t="shared" si="315"/>
        <v>32945.77999999997</v>
      </c>
      <c r="S3939" s="24" t="s">
        <v>1334</v>
      </c>
      <c r="T3939" s="24" t="s">
        <v>1334</v>
      </c>
      <c r="U3939" s="56" t="s">
        <v>4568</v>
      </c>
      <c r="V3939" s="25">
        <f>IFERROR(VLOOKUP(BCP_Soles[[#This Row],[destinatario]],CHOOSE({1,2},Clientes_Proveedores[Razon Social],Clientes_Proveedores[Ruc / Dni]),2,0),"")</f>
        <v>20602810497</v>
      </c>
      <c r="W3939" s="25"/>
      <c r="X3939" s="25"/>
      <c r="Y3939" s="25"/>
      <c r="Z3939" s="77"/>
      <c r="AA3939" s="3" t="str">
        <f>IF(BCP_Soles[[#This Row],[fecha]]&gt;0,TEXT(BCP_Soles[[#This Row],[fecha]],"mmmm"),0)</f>
        <v>Setiembre</v>
      </c>
    </row>
    <row r="3940" spans="1:27" ht="24" x14ac:dyDescent="0.3">
      <c r="A3940" s="2">
        <f>IF(BCP_Soles[[#This Row],[tipo_registro]]="R",COUNTIFS($C$1:$C3939,"R")+1,A3939)</f>
        <v>2605</v>
      </c>
      <c r="B3940" s="19" t="str">
        <f t="shared" si="311"/>
        <v>B-BCP - Soles</v>
      </c>
      <c r="C3940" s="3" t="s">
        <v>1330</v>
      </c>
      <c r="D3940" s="14">
        <v>45924</v>
      </c>
      <c r="E3940" s="5" t="s">
        <v>2269</v>
      </c>
      <c r="F3940" s="5" t="s">
        <v>1336</v>
      </c>
      <c r="G3940" s="6" t="s">
        <v>249</v>
      </c>
      <c r="H3940" s="6"/>
      <c r="I3940" s="6"/>
      <c r="J3940" s="6"/>
      <c r="K3940" s="7" t="s">
        <v>4569</v>
      </c>
      <c r="L3940" s="8">
        <v>1098221</v>
      </c>
      <c r="M3940" s="8" t="str">
        <f t="shared" si="312"/>
        <v>PEN</v>
      </c>
      <c r="N3940" s="13"/>
      <c r="O3940" s="13">
        <v>4500</v>
      </c>
      <c r="P3940" s="3">
        <f t="shared" si="313"/>
        <v>0</v>
      </c>
      <c r="Q3940" s="3">
        <f t="shared" si="314"/>
        <v>4500</v>
      </c>
      <c r="R3940" s="3">
        <f t="shared" si="315"/>
        <v>28445.77999999997</v>
      </c>
      <c r="S3940" s="24"/>
      <c r="T3940" s="24" t="s">
        <v>1334</v>
      </c>
      <c r="U3940" s="56" t="s">
        <v>4570</v>
      </c>
      <c r="V3940" s="25">
        <f>IFERROR(VLOOKUP(BCP_Soles[[#This Row],[destinatario]],CHOOSE({1,2},Clientes_Proveedores[Razon Social],Clientes_Proveedores[Ruc / Dni]),2,0),"")</f>
        <v>20302891452</v>
      </c>
      <c r="W3940" s="25"/>
      <c r="X3940" s="25"/>
      <c r="Y3940" s="25"/>
      <c r="Z3940" s="77"/>
      <c r="AA3940" s="3" t="str">
        <f>IF(BCP_Soles[[#This Row],[fecha]]&gt;0,TEXT(BCP_Soles[[#This Row],[fecha]],"mmmm"),0)</f>
        <v>Setiembre</v>
      </c>
    </row>
    <row r="3941" spans="1:27" ht="24" x14ac:dyDescent="0.3">
      <c r="A3941" s="2">
        <f>IF(BCP_Soles[[#This Row],[tipo_registro]]="R",COUNTIFS($C$1:$C3940,"R")+1,A3940)</f>
        <v>2606</v>
      </c>
      <c r="B3941" s="19" t="str">
        <f t="shared" si="311"/>
        <v>B-BCP - Soles</v>
      </c>
      <c r="C3941" s="3" t="s">
        <v>1330</v>
      </c>
      <c r="D3941" s="14">
        <v>45924</v>
      </c>
      <c r="E3941" s="5" t="s">
        <v>2269</v>
      </c>
      <c r="F3941" s="5" t="s">
        <v>1336</v>
      </c>
      <c r="G3941" s="6" t="s">
        <v>108</v>
      </c>
      <c r="H3941" s="6" t="s">
        <v>68</v>
      </c>
      <c r="I3941" s="6" t="s">
        <v>1374</v>
      </c>
      <c r="J3941" s="6">
        <v>17213</v>
      </c>
      <c r="K3941" s="7" t="s">
        <v>4571</v>
      </c>
      <c r="L3941" s="8">
        <v>1199366</v>
      </c>
      <c r="M3941" s="8" t="str">
        <f t="shared" si="312"/>
        <v>PEN</v>
      </c>
      <c r="N3941" s="13"/>
      <c r="O3941" s="13">
        <v>1760</v>
      </c>
      <c r="P3941" s="3">
        <f t="shared" si="313"/>
        <v>0</v>
      </c>
      <c r="Q3941" s="3">
        <f t="shared" si="314"/>
        <v>1760</v>
      </c>
      <c r="R3941" s="3">
        <f t="shared" si="315"/>
        <v>26685.77999999997</v>
      </c>
      <c r="S3941" s="24" t="s">
        <v>1334</v>
      </c>
      <c r="T3941" s="24" t="s">
        <v>1334</v>
      </c>
      <c r="U3941" s="56" t="s">
        <v>4572</v>
      </c>
      <c r="V3941" s="25">
        <f>IFERROR(VLOOKUP(BCP_Soles[[#This Row],[destinatario]],CHOOSE({1,2},Clientes_Proveedores[Razon Social],Clientes_Proveedores[Ruc / Dni]),2,0),"")</f>
        <v>10295259634</v>
      </c>
      <c r="W3941" s="25"/>
      <c r="X3941" s="25"/>
      <c r="Y3941" s="25"/>
      <c r="Z3941" s="77"/>
      <c r="AA3941" s="3" t="str">
        <f>IF(BCP_Soles[[#This Row],[fecha]]&gt;0,TEXT(BCP_Soles[[#This Row],[fecha]],"mmmm"),0)</f>
        <v>Setiembre</v>
      </c>
    </row>
    <row r="3942" spans="1:27" ht="24" x14ac:dyDescent="0.3">
      <c r="A3942" s="2">
        <f>IF(BCP_Soles[[#This Row],[tipo_registro]]="R",COUNTIFS($C$1:$C3941,"R")+1,A3941)</f>
        <v>2607</v>
      </c>
      <c r="B3942" s="19" t="str">
        <f t="shared" si="311"/>
        <v>B-BCP - Soles</v>
      </c>
      <c r="C3942" s="3" t="s">
        <v>1330</v>
      </c>
      <c r="D3942" s="14">
        <v>45924</v>
      </c>
      <c r="E3942" s="5" t="s">
        <v>2269</v>
      </c>
      <c r="F3942" s="5" t="s">
        <v>1336</v>
      </c>
      <c r="G3942" s="6" t="s">
        <v>1134</v>
      </c>
      <c r="H3942" s="6"/>
      <c r="I3942" s="6"/>
      <c r="J3942" s="6"/>
      <c r="K3942" s="7" t="s">
        <v>4573</v>
      </c>
      <c r="L3942" s="8">
        <v>1197916</v>
      </c>
      <c r="M3942" s="8" t="str">
        <f t="shared" si="312"/>
        <v>PEN</v>
      </c>
      <c r="N3942" s="13"/>
      <c r="O3942" s="13">
        <v>300</v>
      </c>
      <c r="P3942" s="3">
        <f t="shared" si="313"/>
        <v>0</v>
      </c>
      <c r="Q3942" s="3">
        <f t="shared" si="314"/>
        <v>300</v>
      </c>
      <c r="R3942" s="3">
        <f t="shared" si="315"/>
        <v>26385.77999999997</v>
      </c>
      <c r="S3942" s="24"/>
      <c r="T3942" s="24" t="s">
        <v>1334</v>
      </c>
      <c r="U3942" s="55"/>
      <c r="V3942" s="25">
        <f>IFERROR(VLOOKUP(BCP_Soles[[#This Row],[destinatario]],CHOOSE({1,2},Clientes_Proveedores[Razon Social],Clientes_Proveedores[Ruc / Dni]),2,0),"")</f>
        <v>71662026</v>
      </c>
      <c r="W3942" s="25"/>
      <c r="X3942" s="25"/>
      <c r="Y3942" s="25"/>
      <c r="Z3942" s="77"/>
      <c r="AA3942" s="3" t="str">
        <f>IF(BCP_Soles[[#This Row],[fecha]]&gt;0,TEXT(BCP_Soles[[#This Row],[fecha]],"mmmm"),0)</f>
        <v>Setiembre</v>
      </c>
    </row>
    <row r="3943" spans="1:27" x14ac:dyDescent="0.3">
      <c r="A3943" s="2">
        <f>IF(BCP_Soles[[#This Row],[tipo_registro]]="R",COUNTIFS($C$1:$C3942,"R")+1,A3942)</f>
        <v>2608</v>
      </c>
      <c r="B3943" s="19" t="str">
        <f t="shared" si="311"/>
        <v>B-BCP - Soles</v>
      </c>
      <c r="C3943" s="3" t="s">
        <v>1330</v>
      </c>
      <c r="D3943" s="14">
        <v>45924</v>
      </c>
      <c r="E3943" s="5" t="s">
        <v>1335</v>
      </c>
      <c r="F3943" s="5" t="s">
        <v>1336</v>
      </c>
      <c r="G3943" s="6" t="s">
        <v>1009</v>
      </c>
      <c r="H3943" s="6" t="s">
        <v>64</v>
      </c>
      <c r="I3943" s="6" t="s">
        <v>3673</v>
      </c>
      <c r="J3943" s="6">
        <v>2610</v>
      </c>
      <c r="K3943" s="7" t="s">
        <v>3160</v>
      </c>
      <c r="L3943" s="8"/>
      <c r="M3943" s="8" t="str">
        <f t="shared" si="312"/>
        <v>PEN</v>
      </c>
      <c r="N3943" s="13"/>
      <c r="O3943" s="13">
        <v>0.55000000000000004</v>
      </c>
      <c r="P3943" s="3">
        <f t="shared" si="313"/>
        <v>0</v>
      </c>
      <c r="Q3943" s="3">
        <f t="shared" si="314"/>
        <v>0.55000000000000004</v>
      </c>
      <c r="R3943" s="3">
        <f t="shared" si="315"/>
        <v>26385.22999999997</v>
      </c>
      <c r="S3943" s="24"/>
      <c r="T3943" s="24" t="s">
        <v>1334</v>
      </c>
      <c r="U3943" s="55"/>
      <c r="V3943" s="25">
        <f>IFERROR(VLOOKUP(BCP_Soles[[#This Row],[destinatario]],CHOOSE({1,2},Clientes_Proveedores[Razon Social],Clientes_Proveedores[Ruc / Dni]),2,0),"")</f>
        <v>11111111</v>
      </c>
      <c r="W3943" s="25"/>
      <c r="X3943" s="25"/>
      <c r="Y3943" s="25"/>
      <c r="Z3943" s="77"/>
      <c r="AA3943" s="3" t="str">
        <f>IF(BCP_Soles[[#This Row],[fecha]]&gt;0,TEXT(BCP_Soles[[#This Row],[fecha]],"mmmm"),0)</f>
        <v>Setiembre</v>
      </c>
    </row>
    <row r="3944" spans="1:27" ht="24" x14ac:dyDescent="0.3">
      <c r="A3944" s="2">
        <f>IF(BCP_Soles[[#This Row],[tipo_registro]]="R",COUNTIFS($C$1:$C3943,"R")+1,A3943)</f>
        <v>2609</v>
      </c>
      <c r="B3944" s="19" t="str">
        <f t="shared" si="311"/>
        <v>B-BCP - Soles</v>
      </c>
      <c r="C3944" s="3" t="s">
        <v>1330</v>
      </c>
      <c r="D3944" s="14">
        <v>45925</v>
      </c>
      <c r="E3944" s="5" t="s">
        <v>204</v>
      </c>
      <c r="F3944" s="5" t="s">
        <v>1303</v>
      </c>
      <c r="G3944" s="6" t="s">
        <v>425</v>
      </c>
      <c r="H3944" s="6" t="s">
        <v>68</v>
      </c>
      <c r="I3944" s="6" t="s">
        <v>1784</v>
      </c>
      <c r="J3944" s="6">
        <v>221</v>
      </c>
      <c r="K3944" s="7" t="s">
        <v>4574</v>
      </c>
      <c r="L3944" s="8">
        <v>8607416</v>
      </c>
      <c r="M3944" s="8" t="str">
        <f t="shared" si="312"/>
        <v>PEN</v>
      </c>
      <c r="N3944" s="13"/>
      <c r="O3944" s="13">
        <v>5884.1</v>
      </c>
      <c r="P3944" s="3">
        <f t="shared" si="313"/>
        <v>5884.1</v>
      </c>
      <c r="Q3944" s="3">
        <f t="shared" si="314"/>
        <v>0</v>
      </c>
      <c r="R3944" s="3">
        <f t="shared" si="315"/>
        <v>32269.329999999973</v>
      </c>
      <c r="S3944" s="24" t="s">
        <v>1334</v>
      </c>
      <c r="T3944" s="24" t="s">
        <v>1334</v>
      </c>
      <c r="U3944" s="55"/>
      <c r="V3944" s="25">
        <f>IFERROR(VLOOKUP(BCP_Soles[[#This Row],[destinatario]],CHOOSE({1,2},Clientes_Proveedores[Razon Social],Clientes_Proveedores[Ruc / Dni]),2,0),"")</f>
        <v>20558226979</v>
      </c>
      <c r="W3944" s="25"/>
      <c r="X3944" s="25"/>
      <c r="Y3944" s="25"/>
      <c r="Z3944" s="77"/>
      <c r="AA3944" s="3" t="str">
        <f>IF(BCP_Soles[[#This Row],[fecha]]&gt;0,TEXT(BCP_Soles[[#This Row],[fecha]],"mmmm"),0)</f>
        <v>Setiembre</v>
      </c>
    </row>
    <row r="3945" spans="1:27" x14ac:dyDescent="0.3">
      <c r="A3945" s="2">
        <f>IF(BCP_Soles[[#This Row],[tipo_registro]]="R",COUNTIFS($C$1:$C3944,"R")+1,A3944)</f>
        <v>2610</v>
      </c>
      <c r="B3945" s="19" t="str">
        <f t="shared" ref="B3945:B3956" si="320">"B-BCP - Soles"</f>
        <v>B-BCP - Soles</v>
      </c>
      <c r="C3945" s="3" t="s">
        <v>1330</v>
      </c>
      <c r="D3945" s="14">
        <v>45925</v>
      </c>
      <c r="E3945" s="5" t="s">
        <v>1498</v>
      </c>
      <c r="F3945" s="5" t="s">
        <v>1303</v>
      </c>
      <c r="G3945" s="6" t="s">
        <v>425</v>
      </c>
      <c r="H3945" s="6" t="s">
        <v>119</v>
      </c>
      <c r="I3945" s="6">
        <v>1</v>
      </c>
      <c r="J3945" s="6">
        <v>4772</v>
      </c>
      <c r="K3945" s="7" t="s">
        <v>3608</v>
      </c>
      <c r="L3945" s="8">
        <v>391080</v>
      </c>
      <c r="M3945" s="8" t="str">
        <f t="shared" ref="M3945:M3956" si="321">"PEN"</f>
        <v>PEN</v>
      </c>
      <c r="N3945" s="13"/>
      <c r="O3945" s="13">
        <v>120</v>
      </c>
      <c r="P3945" s="3">
        <f t="shared" ref="P3945:P3956" si="322">+IF(OR($F3945="SALDO",$F3945="INGRESO"),$O3945,0)</f>
        <v>120</v>
      </c>
      <c r="Q3945" s="3">
        <f t="shared" ref="Q3945:Q3956" si="323">+IF($F3945="EGRESO",$O3945,0)</f>
        <v>0</v>
      </c>
      <c r="R3945" s="3">
        <f t="shared" si="315"/>
        <v>32389.329999999973</v>
      </c>
      <c r="S3945" s="24" t="s">
        <v>1334</v>
      </c>
      <c r="T3945" s="24" t="s">
        <v>1334</v>
      </c>
      <c r="U3945" s="55"/>
      <c r="V3945" s="25">
        <f>IFERROR(VLOOKUP(BCP_Soles[[#This Row],[destinatario]],CHOOSE({1,2},Clientes_Proveedores[Razon Social],Clientes_Proveedores[Ruc / Dni]),2,0),"")</f>
        <v>20558226979</v>
      </c>
      <c r="W3945" s="25"/>
      <c r="X3945" s="25"/>
      <c r="Y3945" s="25"/>
      <c r="Z3945" s="77"/>
      <c r="AA3945" s="3" t="str">
        <f>IF(BCP_Soles[[#This Row],[fecha]]&gt;0,TEXT(BCP_Soles[[#This Row],[fecha]],"mmmm"),0)</f>
        <v>Setiembre</v>
      </c>
    </row>
    <row r="3946" spans="1:27" ht="24" x14ac:dyDescent="0.3">
      <c r="A3946" s="2">
        <f>IF(BCP_Soles[[#This Row],[tipo_registro]]="R",COUNTIFS($C$1:$C3945,"R")+1,A3945)</f>
        <v>2611</v>
      </c>
      <c r="B3946" s="19" t="str">
        <f t="shared" si="320"/>
        <v>B-BCP - Soles</v>
      </c>
      <c r="C3946" s="3" t="s">
        <v>1330</v>
      </c>
      <c r="D3946" s="14">
        <v>45925</v>
      </c>
      <c r="E3946" s="5" t="s">
        <v>2269</v>
      </c>
      <c r="F3946" s="5" t="s">
        <v>1336</v>
      </c>
      <c r="G3946" s="6" t="s">
        <v>1014</v>
      </c>
      <c r="H3946" s="6"/>
      <c r="I3946" s="6"/>
      <c r="J3946" s="6"/>
      <c r="K3946" s="7" t="s">
        <v>4575</v>
      </c>
      <c r="L3946" s="8">
        <v>1105287</v>
      </c>
      <c r="M3946" s="8" t="str">
        <f t="shared" si="321"/>
        <v>PEN</v>
      </c>
      <c r="N3946" s="13"/>
      <c r="O3946" s="13">
        <v>100</v>
      </c>
      <c r="P3946" s="3">
        <f t="shared" si="322"/>
        <v>0</v>
      </c>
      <c r="Q3946" s="3">
        <f t="shared" si="323"/>
        <v>100</v>
      </c>
      <c r="R3946" s="3">
        <f t="shared" si="315"/>
        <v>32289.329999999973</v>
      </c>
      <c r="S3946" s="24"/>
      <c r="T3946" s="24" t="s">
        <v>1334</v>
      </c>
      <c r="U3946" s="55"/>
      <c r="V3946" s="25">
        <f>IFERROR(VLOOKUP(BCP_Soles[[#This Row],[destinatario]],CHOOSE({1,2},Clientes_Proveedores[Razon Social],Clientes_Proveedores[Ruc / Dni]),2,0),"")</f>
        <v>75560789</v>
      </c>
      <c r="W3946" s="25"/>
      <c r="X3946" s="25"/>
      <c r="Y3946" s="25"/>
      <c r="Z3946" s="77"/>
      <c r="AA3946" s="3" t="str">
        <f>IF(BCP_Soles[[#This Row],[fecha]]&gt;0,TEXT(BCP_Soles[[#This Row],[fecha]],"mmmm"),0)</f>
        <v>Setiembre</v>
      </c>
    </row>
    <row r="3947" spans="1:27" ht="36" x14ac:dyDescent="0.3">
      <c r="A3947" s="2">
        <f>IF(BCP_Soles[[#This Row],[tipo_registro]]="R",COUNTIFS($C$1:$C3946,"R")+1,A3946)</f>
        <v>2612</v>
      </c>
      <c r="B3947" s="19" t="str">
        <f t="shared" si="320"/>
        <v>B-BCP - Soles</v>
      </c>
      <c r="C3947" s="3" t="s">
        <v>1330</v>
      </c>
      <c r="D3947" s="14">
        <v>45925</v>
      </c>
      <c r="E3947" s="5" t="s">
        <v>2269</v>
      </c>
      <c r="F3947" s="5" t="s">
        <v>1336</v>
      </c>
      <c r="G3947" s="6" t="s">
        <v>588</v>
      </c>
      <c r="H3947" s="6" t="s">
        <v>68</v>
      </c>
      <c r="I3947" s="6" t="s">
        <v>1376</v>
      </c>
      <c r="J3947" s="6">
        <v>510</v>
      </c>
      <c r="K3947" s="7" t="s">
        <v>4576</v>
      </c>
      <c r="L3947" s="8">
        <v>1105286</v>
      </c>
      <c r="M3947" s="8" t="str">
        <f t="shared" si="321"/>
        <v>PEN</v>
      </c>
      <c r="N3947" s="13"/>
      <c r="O3947" s="13">
        <v>70.680000000000007</v>
      </c>
      <c r="P3947" s="3">
        <f t="shared" si="322"/>
        <v>0</v>
      </c>
      <c r="Q3947" s="3">
        <f t="shared" si="323"/>
        <v>70.680000000000007</v>
      </c>
      <c r="R3947" s="3">
        <f t="shared" si="315"/>
        <v>32218.649999999972</v>
      </c>
      <c r="S3947" s="24" t="s">
        <v>1334</v>
      </c>
      <c r="T3947" s="24" t="s">
        <v>1334</v>
      </c>
      <c r="U3947" s="56" t="s">
        <v>4577</v>
      </c>
      <c r="V3947" s="25">
        <f>IFERROR(VLOOKUP(BCP_Soles[[#This Row],[destinatario]],CHOOSE({1,2},Clientes_Proveedores[Razon Social],Clientes_Proveedores[Ruc / Dni]),2,0),"")</f>
        <v>20609368773</v>
      </c>
      <c r="W3947" s="25"/>
      <c r="X3947" s="25"/>
      <c r="Y3947" s="25"/>
      <c r="Z3947" s="77"/>
      <c r="AA3947" s="3" t="str">
        <f>IF(BCP_Soles[[#This Row],[fecha]]&gt;0,TEXT(BCP_Soles[[#This Row],[fecha]],"mmmm"),0)</f>
        <v>Setiembre</v>
      </c>
    </row>
    <row r="3948" spans="1:27" ht="24" x14ac:dyDescent="0.3">
      <c r="A3948" s="2">
        <f>IF(BCP_Soles[[#This Row],[tipo_registro]]="R",COUNTIFS($C$1:$C3947,"R")+1,A3947)</f>
        <v>2613</v>
      </c>
      <c r="B3948" s="19" t="str">
        <f t="shared" si="320"/>
        <v>B-BCP - Soles</v>
      </c>
      <c r="C3948" s="3" t="s">
        <v>1330</v>
      </c>
      <c r="D3948" s="14">
        <v>45925</v>
      </c>
      <c r="E3948" s="5" t="s">
        <v>2269</v>
      </c>
      <c r="F3948" s="5" t="s">
        <v>1336</v>
      </c>
      <c r="G3948" s="6" t="s">
        <v>741</v>
      </c>
      <c r="H3948" s="6" t="s">
        <v>68</v>
      </c>
      <c r="I3948" s="6" t="s">
        <v>1376</v>
      </c>
      <c r="J3948" s="6">
        <v>457</v>
      </c>
      <c r="K3948" s="7" t="s">
        <v>4578</v>
      </c>
      <c r="L3948" s="8">
        <v>1104332</v>
      </c>
      <c r="M3948" s="8" t="str">
        <f t="shared" si="321"/>
        <v>PEN</v>
      </c>
      <c r="N3948" s="13"/>
      <c r="O3948" s="13">
        <v>240</v>
      </c>
      <c r="P3948" s="3">
        <f t="shared" si="322"/>
        <v>0</v>
      </c>
      <c r="Q3948" s="3">
        <f t="shared" si="323"/>
        <v>240</v>
      </c>
      <c r="R3948" s="3">
        <f t="shared" si="315"/>
        <v>31978.649999999972</v>
      </c>
      <c r="S3948" s="24" t="s">
        <v>1334</v>
      </c>
      <c r="T3948" s="24" t="s">
        <v>1334</v>
      </c>
      <c r="U3948" s="56" t="s">
        <v>4579</v>
      </c>
      <c r="V3948" s="25">
        <f>IFERROR(VLOOKUP(BCP_Soles[[#This Row],[destinatario]],CHOOSE({1,2},Clientes_Proveedores[Razon Social],Clientes_Proveedores[Ruc / Dni]),2,0),"")</f>
        <v>10802636143</v>
      </c>
      <c r="W3948" s="25"/>
      <c r="X3948" s="25"/>
      <c r="Y3948" s="25"/>
      <c r="Z3948" s="77"/>
      <c r="AA3948" s="3" t="str">
        <f>IF(BCP_Soles[[#This Row],[fecha]]&gt;0,TEXT(BCP_Soles[[#This Row],[fecha]],"mmmm"),0)</f>
        <v>Setiembre</v>
      </c>
    </row>
    <row r="3949" spans="1:27" ht="24" x14ac:dyDescent="0.3">
      <c r="A3949" s="2">
        <f>IF(BCP_Soles[[#This Row],[tipo_registro]]="R",COUNTIFS($C$1:$C3948,"R")+1,A3948)</f>
        <v>2614</v>
      </c>
      <c r="B3949" s="19" t="str">
        <f t="shared" si="320"/>
        <v>B-BCP - Soles</v>
      </c>
      <c r="C3949" s="3" t="s">
        <v>1330</v>
      </c>
      <c r="D3949" s="14">
        <v>45925</v>
      </c>
      <c r="E3949" s="5" t="s">
        <v>2269</v>
      </c>
      <c r="F3949" s="5" t="s">
        <v>1336</v>
      </c>
      <c r="G3949" s="6" t="s">
        <v>708</v>
      </c>
      <c r="H3949" s="6" t="s">
        <v>68</v>
      </c>
      <c r="I3949" s="6" t="s">
        <v>1655</v>
      </c>
      <c r="J3949" s="6">
        <v>318743</v>
      </c>
      <c r="K3949" s="7" t="s">
        <v>4580</v>
      </c>
      <c r="L3949" s="8">
        <v>106770</v>
      </c>
      <c r="M3949" s="8" t="str">
        <f t="shared" si="321"/>
        <v>PEN</v>
      </c>
      <c r="N3949" s="13"/>
      <c r="O3949" s="13">
        <v>623.04</v>
      </c>
      <c r="P3949" s="3">
        <f t="shared" si="322"/>
        <v>0</v>
      </c>
      <c r="Q3949" s="3">
        <f t="shared" si="323"/>
        <v>623.04</v>
      </c>
      <c r="R3949" s="3">
        <f t="shared" si="315"/>
        <v>31355.609999999971</v>
      </c>
      <c r="S3949" s="24" t="s">
        <v>1334</v>
      </c>
      <c r="T3949" s="24" t="s">
        <v>1334</v>
      </c>
      <c r="U3949" s="56" t="s">
        <v>4581</v>
      </c>
      <c r="V3949" s="25">
        <f>IFERROR(VLOOKUP(BCP_Soles[[#This Row],[destinatario]],CHOOSE({1,2},Clientes_Proveedores[Razon Social],Clientes_Proveedores[Ruc / Dni]),2,0),"")</f>
        <v>20467534026</v>
      </c>
      <c r="W3949" s="25"/>
      <c r="X3949" s="25"/>
      <c r="Y3949" s="25"/>
      <c r="Z3949" s="77"/>
      <c r="AA3949" s="3" t="str">
        <f>IF(BCP_Soles[[#This Row],[fecha]]&gt;0,TEXT(BCP_Soles[[#This Row],[fecha]],"mmmm"),0)</f>
        <v>Setiembre</v>
      </c>
    </row>
    <row r="3950" spans="1:27" ht="24" x14ac:dyDescent="0.3">
      <c r="A3950" s="2">
        <f>IF(BCP_Soles[[#This Row],[tipo_registro]]="R",COUNTIFS($C$1:$C3949,"R")+1,A3949)</f>
        <v>2615</v>
      </c>
      <c r="B3950" s="19" t="str">
        <f t="shared" si="320"/>
        <v>B-BCP - Soles</v>
      </c>
      <c r="C3950" s="3" t="s">
        <v>1330</v>
      </c>
      <c r="D3950" s="14">
        <v>45925</v>
      </c>
      <c r="E3950" s="5" t="s">
        <v>2269</v>
      </c>
      <c r="F3950" s="5" t="s">
        <v>1336</v>
      </c>
      <c r="G3950" s="6" t="s">
        <v>708</v>
      </c>
      <c r="H3950" s="6"/>
      <c r="I3950" s="6"/>
      <c r="J3950" s="6"/>
      <c r="K3950" s="7" t="s">
        <v>4582</v>
      </c>
      <c r="L3950" s="8">
        <v>104788</v>
      </c>
      <c r="M3950" s="8" t="str">
        <f t="shared" si="321"/>
        <v>PEN</v>
      </c>
      <c r="N3950" s="13"/>
      <c r="O3950" s="13">
        <v>2175.5100000000002</v>
      </c>
      <c r="P3950" s="3">
        <f t="shared" si="322"/>
        <v>0</v>
      </c>
      <c r="Q3950" s="3">
        <f t="shared" si="323"/>
        <v>2175.5100000000002</v>
      </c>
      <c r="R3950" s="3">
        <f t="shared" si="315"/>
        <v>29180.099999999969</v>
      </c>
      <c r="S3950" s="24" t="s">
        <v>1334</v>
      </c>
      <c r="T3950" s="24" t="s">
        <v>1334</v>
      </c>
      <c r="U3950" s="56" t="s">
        <v>4583</v>
      </c>
      <c r="V3950" s="25">
        <f>IFERROR(VLOOKUP(BCP_Soles[[#This Row],[destinatario]],CHOOSE({1,2},Clientes_Proveedores[Razon Social],Clientes_Proveedores[Ruc / Dni]),2,0),"")</f>
        <v>20467534026</v>
      </c>
      <c r="W3950" s="25"/>
      <c r="X3950" s="25"/>
      <c r="Y3950" s="25"/>
      <c r="Z3950" s="77"/>
      <c r="AA3950" s="3" t="str">
        <f>IF(BCP_Soles[[#This Row],[fecha]]&gt;0,TEXT(BCP_Soles[[#This Row],[fecha]],"mmmm"),0)</f>
        <v>Setiembre</v>
      </c>
    </row>
    <row r="3951" spans="1:27" ht="24" x14ac:dyDescent="0.3">
      <c r="A3951" s="2">
        <f>IF(BCP_Soles[[#This Row],[tipo_registro]]="R",COUNTIFS($C$1:$C3950,"R")+1,A3950)</f>
        <v>2615</v>
      </c>
      <c r="B3951" s="19" t="str">
        <f>"B-BCP - Soles"</f>
        <v>B-BCP - Soles</v>
      </c>
      <c r="C3951" s="3" t="s">
        <v>1352</v>
      </c>
      <c r="D3951" s="14">
        <v>45925</v>
      </c>
      <c r="E3951" s="5" t="s">
        <v>2269</v>
      </c>
      <c r="F3951" s="5" t="s">
        <v>1336</v>
      </c>
      <c r="G3951" s="6" t="s">
        <v>708</v>
      </c>
      <c r="H3951" s="6" t="s">
        <v>106</v>
      </c>
      <c r="I3951" s="6" t="s">
        <v>1661</v>
      </c>
      <c r="J3951" s="6">
        <v>566480060</v>
      </c>
      <c r="K3951" s="7" t="s">
        <v>4582</v>
      </c>
      <c r="L3951" s="8">
        <v>104788</v>
      </c>
      <c r="M3951" s="8" t="str">
        <f>"PEN"</f>
        <v>PEN</v>
      </c>
      <c r="N3951" s="13">
        <v>1057.46</v>
      </c>
      <c r="O3951" s="13"/>
      <c r="P3951" s="3">
        <f>+IF(OR($F3951="SALDO",$F3951="INGRESO"),$O3951,0)</f>
        <v>0</v>
      </c>
      <c r="Q3951" s="3">
        <f>+IF($F3951="EGRESO",$O3951,0)</f>
        <v>0</v>
      </c>
      <c r="R3951" s="3">
        <f t="shared" si="315"/>
        <v>29180.099999999969</v>
      </c>
      <c r="S3951" s="24" t="s">
        <v>1334</v>
      </c>
      <c r="T3951" s="24" t="s">
        <v>1334</v>
      </c>
      <c r="U3951" s="56" t="s">
        <v>4583</v>
      </c>
      <c r="V3951" s="25">
        <f>IFERROR(VLOOKUP(BCP_Soles[[#This Row],[destinatario]],CHOOSE({1,2},Clientes_Proveedores[Razon Social],Clientes_Proveedores[Ruc / Dni]),2,0),"")</f>
        <v>20467534026</v>
      </c>
      <c r="W3951" s="25"/>
      <c r="X3951" s="25"/>
      <c r="Y3951" s="25"/>
      <c r="Z3951" s="77"/>
      <c r="AA3951" s="3" t="str">
        <f>IF(BCP_Soles[[#This Row],[fecha]]&gt;0,TEXT(BCP_Soles[[#This Row],[fecha]],"mmmm"),0)</f>
        <v>Setiembre</v>
      </c>
    </row>
    <row r="3952" spans="1:27" ht="24" x14ac:dyDescent="0.3">
      <c r="A3952" s="2">
        <f>IF(BCP_Soles[[#This Row],[tipo_registro]]="R",COUNTIFS($C$1:$C3951,"R")+1,A3951)</f>
        <v>2615</v>
      </c>
      <c r="B3952" s="19" t="str">
        <f>"B-BCP - Soles"</f>
        <v>B-BCP - Soles</v>
      </c>
      <c r="C3952" s="3" t="s">
        <v>1352</v>
      </c>
      <c r="D3952" s="14">
        <v>45925</v>
      </c>
      <c r="E3952" s="5" t="s">
        <v>2269</v>
      </c>
      <c r="F3952" s="5" t="s">
        <v>1336</v>
      </c>
      <c r="G3952" s="6" t="s">
        <v>708</v>
      </c>
      <c r="H3952" s="6" t="s">
        <v>68</v>
      </c>
      <c r="I3952" s="6" t="s">
        <v>1662</v>
      </c>
      <c r="J3952" s="6">
        <v>88790</v>
      </c>
      <c r="K3952" s="7" t="s">
        <v>4584</v>
      </c>
      <c r="L3952" s="8">
        <v>104788</v>
      </c>
      <c r="M3952" s="8" t="str">
        <f>"PEN"</f>
        <v>PEN</v>
      </c>
      <c r="N3952" s="13">
        <v>293.22000000000003</v>
      </c>
      <c r="O3952" s="13"/>
      <c r="P3952" s="3">
        <f>+IF(OR($F3952="SALDO",$F3952="INGRESO"),$O3952,0)</f>
        <v>0</v>
      </c>
      <c r="Q3952" s="3">
        <f>+IF($F3952="EGRESO",$O3952,0)</f>
        <v>0</v>
      </c>
      <c r="R3952" s="3">
        <f t="shared" si="315"/>
        <v>29180.099999999969</v>
      </c>
      <c r="S3952" s="24" t="s">
        <v>1334</v>
      </c>
      <c r="T3952" s="24" t="s">
        <v>1334</v>
      </c>
      <c r="U3952" s="56" t="s">
        <v>4583</v>
      </c>
      <c r="V3952" s="25">
        <f>IFERROR(VLOOKUP(BCP_Soles[[#This Row],[destinatario]],CHOOSE({1,2},Clientes_Proveedores[Razon Social],Clientes_Proveedores[Ruc / Dni]),2,0),"")</f>
        <v>20467534026</v>
      </c>
      <c r="W3952" s="25"/>
      <c r="X3952" s="25"/>
      <c r="Y3952" s="25"/>
      <c r="Z3952" s="77"/>
      <c r="AA3952" s="3" t="str">
        <f>IF(BCP_Soles[[#This Row],[fecha]]&gt;0,TEXT(BCP_Soles[[#This Row],[fecha]],"mmmm"),0)</f>
        <v>Setiembre</v>
      </c>
    </row>
    <row r="3953" spans="1:27" ht="24" x14ac:dyDescent="0.3">
      <c r="A3953" s="2">
        <f>IF(BCP_Soles[[#This Row],[tipo_registro]]="R",COUNTIFS($C$1:$C3952,"R")+1,A3952)</f>
        <v>2615</v>
      </c>
      <c r="B3953" s="19" t="str">
        <f>"B-BCP - Soles"</f>
        <v>B-BCP - Soles</v>
      </c>
      <c r="C3953" s="3" t="s">
        <v>1352</v>
      </c>
      <c r="D3953" s="14">
        <v>45925</v>
      </c>
      <c r="E3953" s="5" t="s">
        <v>2269</v>
      </c>
      <c r="F3953" s="5" t="s">
        <v>1336</v>
      </c>
      <c r="G3953" s="6" t="s">
        <v>708</v>
      </c>
      <c r="H3953" s="6" t="s">
        <v>68</v>
      </c>
      <c r="I3953" s="6" t="s">
        <v>1662</v>
      </c>
      <c r="J3953" s="6">
        <v>91984</v>
      </c>
      <c r="K3953" s="7" t="s">
        <v>4585</v>
      </c>
      <c r="L3953" s="8">
        <v>104788</v>
      </c>
      <c r="M3953" s="8" t="str">
        <f>"PEN"</f>
        <v>PEN</v>
      </c>
      <c r="N3953" s="13">
        <v>824.83</v>
      </c>
      <c r="O3953" s="13"/>
      <c r="P3953" s="3">
        <f>+IF(OR($F3953="SALDO",$F3953="INGRESO"),$O3953,0)</f>
        <v>0</v>
      </c>
      <c r="Q3953" s="3">
        <f>+IF($F3953="EGRESO",$O3953,0)</f>
        <v>0</v>
      </c>
      <c r="R3953" s="3">
        <f t="shared" si="315"/>
        <v>29180.099999999969</v>
      </c>
      <c r="S3953" s="24" t="s">
        <v>1334</v>
      </c>
      <c r="T3953" s="24" t="s">
        <v>1334</v>
      </c>
      <c r="U3953" s="56" t="s">
        <v>4583</v>
      </c>
      <c r="V3953" s="25">
        <f>IFERROR(VLOOKUP(BCP_Soles[[#This Row],[destinatario]],CHOOSE({1,2},Clientes_Proveedores[Razon Social],Clientes_Proveedores[Ruc / Dni]),2,0),"")</f>
        <v>20467534026</v>
      </c>
      <c r="W3953" s="25"/>
      <c r="X3953" s="25"/>
      <c r="Y3953" s="25"/>
      <c r="Z3953" s="77"/>
      <c r="AA3953" s="3" t="str">
        <f>IF(BCP_Soles[[#This Row],[fecha]]&gt;0,TEXT(BCP_Soles[[#This Row],[fecha]],"mmmm"),0)</f>
        <v>Setiembre</v>
      </c>
    </row>
    <row r="3954" spans="1:27" ht="24" x14ac:dyDescent="0.3">
      <c r="A3954" s="2">
        <f>IF(BCP_Soles[[#This Row],[tipo_registro]]="R",COUNTIFS($C$1:$C3953,"R")+1,A3953)</f>
        <v>2616</v>
      </c>
      <c r="B3954" s="19" t="str">
        <f t="shared" si="320"/>
        <v>B-BCP - Soles</v>
      </c>
      <c r="C3954" s="3" t="s">
        <v>1330</v>
      </c>
      <c r="D3954" s="14">
        <v>45925</v>
      </c>
      <c r="E3954" s="5" t="s">
        <v>2269</v>
      </c>
      <c r="F3954" s="5" t="s">
        <v>1336</v>
      </c>
      <c r="G3954" s="6" t="s">
        <v>706</v>
      </c>
      <c r="H3954" s="6" t="s">
        <v>106</v>
      </c>
      <c r="I3954" s="6" t="s">
        <v>1489</v>
      </c>
      <c r="J3954" s="6">
        <v>394724</v>
      </c>
      <c r="K3954" s="7" t="s">
        <v>4586</v>
      </c>
      <c r="L3954" s="8">
        <v>4104333</v>
      </c>
      <c r="M3954" s="8" t="str">
        <f t="shared" si="321"/>
        <v>PEN</v>
      </c>
      <c r="N3954" s="13"/>
      <c r="O3954" s="13">
        <v>27</v>
      </c>
      <c r="P3954" s="3">
        <f t="shared" si="322"/>
        <v>0</v>
      </c>
      <c r="Q3954" s="3">
        <f t="shared" si="323"/>
        <v>27</v>
      </c>
      <c r="R3954" s="3">
        <f t="shared" si="315"/>
        <v>29153.099999999969</v>
      </c>
      <c r="S3954" s="24" t="s">
        <v>1334</v>
      </c>
      <c r="T3954" s="24" t="s">
        <v>1334</v>
      </c>
      <c r="U3954" s="56" t="s">
        <v>4587</v>
      </c>
      <c r="V3954" s="25">
        <f>IFERROR(VLOOKUP(BCP_Soles[[#This Row],[destinatario]],CHOOSE({1,2},Clientes_Proveedores[Razon Social],Clientes_Proveedores[Ruc / Dni]),2,0),"")</f>
        <v>20331898008</v>
      </c>
      <c r="W3954" s="25"/>
      <c r="X3954" s="25"/>
      <c r="Y3954" s="25"/>
      <c r="Z3954" s="77"/>
      <c r="AA3954" s="3" t="str">
        <f>IF(BCP_Soles[[#This Row],[fecha]]&gt;0,TEXT(BCP_Soles[[#This Row],[fecha]],"mmmm"),0)</f>
        <v>Setiembre</v>
      </c>
    </row>
    <row r="3955" spans="1:27" ht="24" x14ac:dyDescent="0.3">
      <c r="A3955" s="2">
        <f>IF(BCP_Soles[[#This Row],[tipo_registro]]="R",COUNTIFS($C$1:$C3954,"R")+1,A3954)</f>
        <v>2617</v>
      </c>
      <c r="B3955" s="19" t="str">
        <f t="shared" si="320"/>
        <v>B-BCP - Soles</v>
      </c>
      <c r="C3955" s="3" t="s">
        <v>1330</v>
      </c>
      <c r="D3955" s="14">
        <v>45925</v>
      </c>
      <c r="E3955" s="5" t="s">
        <v>2269</v>
      </c>
      <c r="F3955" s="5" t="s">
        <v>1336</v>
      </c>
      <c r="G3955" s="6" t="s">
        <v>704</v>
      </c>
      <c r="H3955" s="6" t="s">
        <v>106</v>
      </c>
      <c r="I3955" s="6" t="s">
        <v>1559</v>
      </c>
      <c r="J3955" s="6">
        <v>13895876</v>
      </c>
      <c r="K3955" s="7" t="s">
        <v>4588</v>
      </c>
      <c r="L3955" s="8">
        <v>4105784</v>
      </c>
      <c r="M3955" s="8" t="str">
        <f t="shared" si="321"/>
        <v>PEN</v>
      </c>
      <c r="N3955" s="13"/>
      <c r="O3955" s="13">
        <v>23.1</v>
      </c>
      <c r="P3955" s="3">
        <f t="shared" si="322"/>
        <v>0</v>
      </c>
      <c r="Q3955" s="3">
        <f t="shared" si="323"/>
        <v>23.1</v>
      </c>
      <c r="R3955" s="3">
        <f t="shared" si="315"/>
        <v>29129.999999999971</v>
      </c>
      <c r="S3955" s="24" t="s">
        <v>1334</v>
      </c>
      <c r="T3955" s="24" t="s">
        <v>1334</v>
      </c>
      <c r="U3955" s="56" t="s">
        <v>4589</v>
      </c>
      <c r="V3955" s="25">
        <f>IFERROR(VLOOKUP(BCP_Soles[[#This Row],[destinatario]],CHOOSE({1,2},Clientes_Proveedores[Razon Social],Clientes_Proveedores[Ruc / Dni]),2,0),"")</f>
        <v>20100152356</v>
      </c>
      <c r="W3955" s="25"/>
      <c r="X3955" s="25"/>
      <c r="Y3955" s="25"/>
      <c r="Z3955" s="77"/>
      <c r="AA3955" s="3" t="str">
        <f>IF(BCP_Soles[[#This Row],[fecha]]&gt;0,TEXT(BCP_Soles[[#This Row],[fecha]],"mmmm"),0)</f>
        <v>Setiembre</v>
      </c>
    </row>
    <row r="3956" spans="1:27" ht="24" x14ac:dyDescent="0.3">
      <c r="A3956" s="2">
        <f>IF(BCP_Soles[[#This Row],[tipo_registro]]="R",COUNTIFS($C$1:$C3955,"R")+1,A3955)</f>
        <v>2618</v>
      </c>
      <c r="B3956" s="19" t="str">
        <f t="shared" si="320"/>
        <v>B-BCP - Soles</v>
      </c>
      <c r="C3956" s="3" t="s">
        <v>1330</v>
      </c>
      <c r="D3956" s="14">
        <v>45925</v>
      </c>
      <c r="E3956" s="5" t="s">
        <v>2269</v>
      </c>
      <c r="F3956" s="5" t="s">
        <v>1336</v>
      </c>
      <c r="G3956" s="6" t="s">
        <v>1052</v>
      </c>
      <c r="H3956" s="6"/>
      <c r="I3956" s="6"/>
      <c r="J3956" s="6"/>
      <c r="K3956" s="7" t="s">
        <v>4590</v>
      </c>
      <c r="L3956" s="8">
        <v>4009731</v>
      </c>
      <c r="M3956" s="8" t="str">
        <f t="shared" si="321"/>
        <v>PEN</v>
      </c>
      <c r="N3956" s="13"/>
      <c r="O3956" s="13">
        <v>4004.3</v>
      </c>
      <c r="P3956" s="3">
        <f t="shared" si="322"/>
        <v>0</v>
      </c>
      <c r="Q3956" s="3">
        <f t="shared" si="323"/>
        <v>4004.3</v>
      </c>
      <c r="R3956" s="3">
        <f t="shared" si="315"/>
        <v>25125.699999999972</v>
      </c>
      <c r="S3956" s="24"/>
      <c r="T3956" s="24" t="s">
        <v>1334</v>
      </c>
      <c r="U3956" s="56" t="s">
        <v>4591</v>
      </c>
      <c r="V3956" s="25">
        <f>IFERROR(VLOOKUP(BCP_Soles[[#This Row],[destinatario]],CHOOSE({1,2},Clientes_Proveedores[Razon Social],Clientes_Proveedores[Ruc / Dni]),2,0),"")</f>
        <v>20613525093</v>
      </c>
      <c r="W3956" s="25"/>
      <c r="X3956" s="25"/>
      <c r="Y3956" s="25"/>
      <c r="Z3956" s="77"/>
      <c r="AA3956" s="3" t="str">
        <f>IF(BCP_Soles[[#This Row],[fecha]]&gt;0,TEXT(BCP_Soles[[#This Row],[fecha]],"mmmm"),0)</f>
        <v>Setiembre</v>
      </c>
    </row>
    <row r="3957" spans="1:27" ht="24" x14ac:dyDescent="0.3">
      <c r="A3957" s="2">
        <f>IF(BCP_Soles[[#This Row],[tipo_registro]]="R",COUNTIFS($C$1:$C3956,"R")+1,A3956)</f>
        <v>2618</v>
      </c>
      <c r="B3957" s="19" t="str">
        <f t="shared" ref="B3957:B3969" si="324">"B-BCP - Soles"</f>
        <v>B-BCP - Soles</v>
      </c>
      <c r="C3957" s="3" t="s">
        <v>1352</v>
      </c>
      <c r="D3957" s="14">
        <v>45925</v>
      </c>
      <c r="E3957" s="5" t="s">
        <v>2269</v>
      </c>
      <c r="F3957" s="5" t="s">
        <v>1336</v>
      </c>
      <c r="G3957" s="6" t="s">
        <v>1052</v>
      </c>
      <c r="H3957" s="6" t="s">
        <v>68</v>
      </c>
      <c r="I3957" s="6" t="s">
        <v>1376</v>
      </c>
      <c r="J3957" s="6">
        <v>5</v>
      </c>
      <c r="K3957" s="7" t="s">
        <v>4592</v>
      </c>
      <c r="L3957" s="8">
        <v>4009731</v>
      </c>
      <c r="M3957" s="8" t="str">
        <f t="shared" ref="M3957:M3969" si="325">"PEN"</f>
        <v>PEN</v>
      </c>
      <c r="N3957" s="13">
        <v>4000</v>
      </c>
      <c r="O3957" s="13"/>
      <c r="P3957" s="3">
        <f t="shared" ref="P3957:P3969" si="326">+IF(OR($F3957="SALDO",$F3957="INGRESO"),$O3957,0)</f>
        <v>0</v>
      </c>
      <c r="Q3957" s="3">
        <f t="shared" ref="Q3957:Q3969" si="327">+IF($F3957="EGRESO",$O3957,0)</f>
        <v>0</v>
      </c>
      <c r="R3957" s="3">
        <f t="shared" si="315"/>
        <v>25125.699999999972</v>
      </c>
      <c r="S3957" s="24" t="s">
        <v>1334</v>
      </c>
      <c r="T3957" s="24" t="s">
        <v>1334</v>
      </c>
      <c r="U3957" s="56" t="s">
        <v>4591</v>
      </c>
      <c r="V3957" s="25">
        <f>IFERROR(VLOOKUP(BCP_Soles[[#This Row],[destinatario]],CHOOSE({1,2},Clientes_Proveedores[Razon Social],Clientes_Proveedores[Ruc / Dni]),2,0),"")</f>
        <v>20613525093</v>
      </c>
      <c r="W3957" s="25"/>
      <c r="X3957" s="25"/>
      <c r="Y3957" s="25"/>
      <c r="Z3957" s="77"/>
      <c r="AA3957" s="3" t="str">
        <f>IF(BCP_Soles[[#This Row],[fecha]]&gt;0,TEXT(BCP_Soles[[#This Row],[fecha]],"mmmm"),0)</f>
        <v>Setiembre</v>
      </c>
    </row>
    <row r="3958" spans="1:27" ht="24" x14ac:dyDescent="0.3">
      <c r="A3958" s="2">
        <f>IF(BCP_Soles[[#This Row],[tipo_registro]]="R",COUNTIFS($C$1:$C3957,"R")+1,A3957)</f>
        <v>2618</v>
      </c>
      <c r="B3958" s="19" t="str">
        <f t="shared" si="324"/>
        <v>B-BCP - Soles</v>
      </c>
      <c r="C3958" s="3" t="s">
        <v>1352</v>
      </c>
      <c r="D3958" s="14">
        <v>45925</v>
      </c>
      <c r="E3958" s="5" t="s">
        <v>2269</v>
      </c>
      <c r="F3958" s="5" t="s">
        <v>1336</v>
      </c>
      <c r="G3958" s="6" t="s">
        <v>1060</v>
      </c>
      <c r="H3958" s="6" t="s">
        <v>68</v>
      </c>
      <c r="I3958" s="6" t="s">
        <v>1397</v>
      </c>
      <c r="J3958" s="6">
        <v>37388975</v>
      </c>
      <c r="K3958" s="7" t="s">
        <v>4592</v>
      </c>
      <c r="L3958" s="8">
        <v>4009731</v>
      </c>
      <c r="M3958" s="8" t="str">
        <f t="shared" si="325"/>
        <v>PEN</v>
      </c>
      <c r="N3958" s="13">
        <v>4.3</v>
      </c>
      <c r="O3958" s="13"/>
      <c r="P3958" s="3">
        <f t="shared" si="326"/>
        <v>0</v>
      </c>
      <c r="Q3958" s="3">
        <f t="shared" si="327"/>
        <v>0</v>
      </c>
      <c r="R3958" s="3">
        <f t="shared" si="315"/>
        <v>25125.699999999972</v>
      </c>
      <c r="S3958" s="24" t="s">
        <v>1334</v>
      </c>
      <c r="T3958" s="24" t="s">
        <v>1334</v>
      </c>
      <c r="U3958" s="55"/>
      <c r="V3958" s="25">
        <f>IFERROR(VLOOKUP(BCP_Soles[[#This Row],[destinatario]],CHOOSE({1,2},Clientes_Proveedores[Razon Social],Clientes_Proveedores[Ruc / Dni]),2,0),"")</f>
        <v>20100047218</v>
      </c>
      <c r="W3958" s="25"/>
      <c r="X3958" s="25"/>
      <c r="Y3958" s="25"/>
      <c r="Z3958" s="77"/>
      <c r="AA3958" s="3" t="str">
        <f>IF(BCP_Soles[[#This Row],[fecha]]&gt;0,TEXT(BCP_Soles[[#This Row],[fecha]],"mmmm"),0)</f>
        <v>Setiembre</v>
      </c>
    </row>
    <row r="3959" spans="1:27" ht="24" x14ac:dyDescent="0.3">
      <c r="A3959" s="2">
        <f>IF(BCP_Soles[[#This Row],[tipo_registro]]="R",COUNTIFS($C$1:$C3958,"R")+1,A3958)</f>
        <v>2619</v>
      </c>
      <c r="B3959" s="19" t="str">
        <f t="shared" si="324"/>
        <v>B-BCP - Soles</v>
      </c>
      <c r="C3959" s="3" t="s">
        <v>1330</v>
      </c>
      <c r="D3959" s="14">
        <v>45925</v>
      </c>
      <c r="E3959" s="5" t="s">
        <v>2269</v>
      </c>
      <c r="F3959" s="5" t="s">
        <v>1336</v>
      </c>
      <c r="G3959" s="6" t="s">
        <v>710</v>
      </c>
      <c r="H3959" s="6" t="s">
        <v>106</v>
      </c>
      <c r="I3959" s="6" t="s">
        <v>1484</v>
      </c>
      <c r="J3959" s="6">
        <v>60166906</v>
      </c>
      <c r="K3959" s="7" t="s">
        <v>4593</v>
      </c>
      <c r="L3959" s="8">
        <v>262048</v>
      </c>
      <c r="M3959" s="8" t="str">
        <f t="shared" si="325"/>
        <v>PEN</v>
      </c>
      <c r="N3959" s="13"/>
      <c r="O3959" s="13">
        <v>429.1</v>
      </c>
      <c r="P3959" s="3">
        <f t="shared" si="326"/>
        <v>0</v>
      </c>
      <c r="Q3959" s="3">
        <f t="shared" si="327"/>
        <v>429.1</v>
      </c>
      <c r="R3959" s="3">
        <f t="shared" si="315"/>
        <v>24696.599999999973</v>
      </c>
      <c r="S3959" s="24" t="s">
        <v>1334</v>
      </c>
      <c r="T3959" s="24" t="s">
        <v>1334</v>
      </c>
      <c r="U3959" s="56" t="s">
        <v>4594</v>
      </c>
      <c r="V3959" s="25">
        <f>IFERROR(VLOOKUP(BCP_Soles[[#This Row],[destinatario]],CHOOSE({1,2},Clientes_Proveedores[Razon Social],Clientes_Proveedores[Ruc / Dni]),2,0),"")</f>
        <v>20100211034</v>
      </c>
      <c r="W3959" s="25"/>
      <c r="X3959" s="25"/>
      <c r="Y3959" s="25"/>
      <c r="Z3959" s="77"/>
      <c r="AA3959" s="3" t="str">
        <f>IF(BCP_Soles[[#This Row],[fecha]]&gt;0,TEXT(BCP_Soles[[#This Row],[fecha]],"mmmm"),0)</f>
        <v>Setiembre</v>
      </c>
    </row>
    <row r="3960" spans="1:27" ht="24" x14ac:dyDescent="0.3">
      <c r="A3960" s="2">
        <f>IF(BCP_Soles[[#This Row],[tipo_registro]]="R",COUNTIFS($C$1:$C3959,"R")+1,A3959)</f>
        <v>2620</v>
      </c>
      <c r="B3960" s="19" t="str">
        <f t="shared" si="324"/>
        <v>B-BCP - Soles</v>
      </c>
      <c r="C3960" s="3" t="s">
        <v>1330</v>
      </c>
      <c r="D3960" s="14">
        <v>45925</v>
      </c>
      <c r="E3960" s="5" t="s">
        <v>2269</v>
      </c>
      <c r="F3960" s="5" t="s">
        <v>1336</v>
      </c>
      <c r="G3960" s="6" t="s">
        <v>431</v>
      </c>
      <c r="H3960" s="6" t="s">
        <v>68</v>
      </c>
      <c r="I3960" s="6" t="s">
        <v>1374</v>
      </c>
      <c r="J3960" s="6">
        <v>2244</v>
      </c>
      <c r="K3960" s="7" t="s">
        <v>4595</v>
      </c>
      <c r="L3960" s="8">
        <v>1262518</v>
      </c>
      <c r="M3960" s="8" t="str">
        <f t="shared" si="325"/>
        <v>PEN</v>
      </c>
      <c r="N3960" s="13"/>
      <c r="O3960" s="13">
        <v>600</v>
      </c>
      <c r="P3960" s="3">
        <f t="shared" si="326"/>
        <v>0</v>
      </c>
      <c r="Q3960" s="3">
        <f t="shared" si="327"/>
        <v>600</v>
      </c>
      <c r="R3960" s="3">
        <f t="shared" si="315"/>
        <v>24096.599999999973</v>
      </c>
      <c r="S3960" s="24" t="s">
        <v>1334</v>
      </c>
      <c r="T3960" s="24" t="s">
        <v>1334</v>
      </c>
      <c r="U3960" s="56" t="s">
        <v>4596</v>
      </c>
      <c r="V3960" s="25">
        <f>IFERROR(VLOOKUP(BCP_Soles[[#This Row],[destinatario]],CHOOSE({1,2},Clientes_Proveedores[Razon Social],Clientes_Proveedores[Ruc / Dni]),2,0),"")</f>
        <v>20558627299</v>
      </c>
      <c r="W3960" s="25"/>
      <c r="X3960" s="25"/>
      <c r="Y3960" s="25"/>
      <c r="Z3960" s="77"/>
      <c r="AA3960" s="3" t="str">
        <f>IF(BCP_Soles[[#This Row],[fecha]]&gt;0,TEXT(BCP_Soles[[#This Row],[fecha]],"mmmm"),0)</f>
        <v>Setiembre</v>
      </c>
    </row>
    <row r="3961" spans="1:27" ht="24" x14ac:dyDescent="0.3">
      <c r="A3961" s="2">
        <f>IF(BCP_Soles[[#This Row],[tipo_registro]]="R",COUNTIFS($C$1:$C3960,"R")+1,A3960)</f>
        <v>2621</v>
      </c>
      <c r="B3961" s="19" t="str">
        <f t="shared" si="324"/>
        <v>B-BCP - Soles</v>
      </c>
      <c r="C3961" s="3" t="s">
        <v>1330</v>
      </c>
      <c r="D3961" s="14">
        <v>45925</v>
      </c>
      <c r="E3961" s="5" t="s">
        <v>2269</v>
      </c>
      <c r="F3961" s="5" t="s">
        <v>1336</v>
      </c>
      <c r="G3961" s="6" t="s">
        <v>249</v>
      </c>
      <c r="H3961" s="6"/>
      <c r="I3961" s="6"/>
      <c r="J3961" s="6"/>
      <c r="K3961" s="7" t="s">
        <v>4597</v>
      </c>
      <c r="L3961" s="8">
        <v>1261559</v>
      </c>
      <c r="M3961" s="8" t="str">
        <f t="shared" si="325"/>
        <v>PEN</v>
      </c>
      <c r="N3961" s="13"/>
      <c r="O3961" s="13">
        <v>3000</v>
      </c>
      <c r="P3961" s="3">
        <f t="shared" si="326"/>
        <v>0</v>
      </c>
      <c r="Q3961" s="3">
        <f t="shared" si="327"/>
        <v>3000</v>
      </c>
      <c r="R3961" s="3">
        <f t="shared" si="315"/>
        <v>21096.599999999973</v>
      </c>
      <c r="S3961" s="24"/>
      <c r="T3961" s="24" t="s">
        <v>1334</v>
      </c>
      <c r="U3961" s="56" t="s">
        <v>4598</v>
      </c>
      <c r="V3961" s="25">
        <f>IFERROR(VLOOKUP(BCP_Soles[[#This Row],[destinatario]],CHOOSE({1,2},Clientes_Proveedores[Razon Social],Clientes_Proveedores[Ruc / Dni]),2,0),"")</f>
        <v>20302891452</v>
      </c>
      <c r="W3961" s="25"/>
      <c r="X3961" s="25"/>
      <c r="Y3961" s="25"/>
      <c r="Z3961" s="77"/>
      <c r="AA3961" s="3" t="str">
        <f>IF(BCP_Soles[[#This Row],[fecha]]&gt;0,TEXT(BCP_Soles[[#This Row],[fecha]],"mmmm"),0)</f>
        <v>Setiembre</v>
      </c>
    </row>
    <row r="3962" spans="1:27" x14ac:dyDescent="0.3">
      <c r="A3962" s="2">
        <f>IF(BCP_Soles[[#This Row],[tipo_registro]]="R",COUNTIFS($C$1:$C3961,"R")+1,A3961)</f>
        <v>2622</v>
      </c>
      <c r="B3962" s="19" t="str">
        <f t="shared" ref="B3962:B3968" si="328">"B-BCP - Soles"</f>
        <v>B-BCP - Soles</v>
      </c>
      <c r="C3962" s="3" t="s">
        <v>1330</v>
      </c>
      <c r="D3962" s="14">
        <v>45925</v>
      </c>
      <c r="E3962" s="5" t="s">
        <v>3190</v>
      </c>
      <c r="F3962" s="5" t="s">
        <v>1336</v>
      </c>
      <c r="G3962" s="6"/>
      <c r="H3962" s="6"/>
      <c r="I3962" s="6"/>
      <c r="J3962" s="6"/>
      <c r="K3962" s="7" t="s">
        <v>4599</v>
      </c>
      <c r="L3962" s="8">
        <v>1007284</v>
      </c>
      <c r="M3962" s="8" t="str">
        <f t="shared" ref="M3962:M3968" si="329">"PEN"</f>
        <v>PEN</v>
      </c>
      <c r="N3962" s="13"/>
      <c r="O3962" s="13">
        <v>1725</v>
      </c>
      <c r="P3962" s="3">
        <f t="shared" ref="P3962:P3968" si="330">+IF(OR($F3962="SALDO",$F3962="INGRESO"),$O3962,0)</f>
        <v>0</v>
      </c>
      <c r="Q3962" s="3">
        <f t="shared" ref="Q3962:Q3968" si="331">+IF($F3962="EGRESO",$O3962,0)</f>
        <v>1725</v>
      </c>
      <c r="R3962" s="3">
        <f t="shared" si="315"/>
        <v>19371.599999999973</v>
      </c>
      <c r="S3962" s="24"/>
      <c r="T3962" s="24"/>
      <c r="U3962" s="55"/>
      <c r="V3962" s="25" t="str">
        <f>IFERROR(VLOOKUP(BCP_Soles[[#This Row],[destinatario]],CHOOSE({1,2},Clientes_Proveedores[Razon Social],Clientes_Proveedores[Ruc / Dni]),2,0),"")</f>
        <v/>
      </c>
      <c r="W3962" s="25"/>
      <c r="X3962" s="25"/>
      <c r="Y3962" s="25"/>
      <c r="Z3962" s="77"/>
      <c r="AA3962" s="3" t="str">
        <f>IF(BCP_Soles[[#This Row],[fecha]]&gt;0,TEXT(BCP_Soles[[#This Row],[fecha]],"mmmm"),0)</f>
        <v>Setiembre</v>
      </c>
    </row>
    <row r="3963" spans="1:27" ht="24" x14ac:dyDescent="0.3">
      <c r="A3963" s="2">
        <f>IF(BCP_Soles[[#This Row],[tipo_registro]]="R",COUNTIFS($C$1:$C3962,"R")+1,A3962)</f>
        <v>2623</v>
      </c>
      <c r="B3963" s="19" t="str">
        <f t="shared" si="328"/>
        <v>B-BCP - Soles</v>
      </c>
      <c r="C3963" s="3" t="s">
        <v>1330</v>
      </c>
      <c r="D3963" s="14">
        <v>45925</v>
      </c>
      <c r="E3963" s="5" t="s">
        <v>1335</v>
      </c>
      <c r="F3963" s="5" t="s">
        <v>1336</v>
      </c>
      <c r="G3963" s="6" t="s">
        <v>1060</v>
      </c>
      <c r="H3963" s="6" t="s">
        <v>68</v>
      </c>
      <c r="I3963" s="6" t="s">
        <v>1397</v>
      </c>
      <c r="J3963" s="6">
        <v>37383160</v>
      </c>
      <c r="K3963" s="7" t="s">
        <v>4230</v>
      </c>
      <c r="L3963" s="8">
        <v>436</v>
      </c>
      <c r="M3963" s="8" t="str">
        <f t="shared" si="329"/>
        <v>PEN</v>
      </c>
      <c r="N3963" s="13"/>
      <c r="O3963" s="13">
        <v>10</v>
      </c>
      <c r="P3963" s="3">
        <f t="shared" si="330"/>
        <v>0</v>
      </c>
      <c r="Q3963" s="3">
        <f t="shared" si="331"/>
        <v>10</v>
      </c>
      <c r="R3963" s="3">
        <f t="shared" si="315"/>
        <v>19361.599999999973</v>
      </c>
      <c r="S3963" s="24" t="s">
        <v>1334</v>
      </c>
      <c r="T3963" s="24" t="s">
        <v>1334</v>
      </c>
      <c r="U3963" s="55"/>
      <c r="V3963" s="25">
        <f>IFERROR(VLOOKUP(BCP_Soles[[#This Row],[destinatario]],CHOOSE({1,2},Clientes_Proveedores[Razon Social],Clientes_Proveedores[Ruc / Dni]),2,0),"")</f>
        <v>20100047218</v>
      </c>
      <c r="W3963" s="25"/>
      <c r="X3963" s="25"/>
      <c r="Y3963" s="25"/>
      <c r="Z3963" s="77"/>
      <c r="AA3963" s="3" t="str">
        <f>IF(BCP_Soles[[#This Row],[fecha]]&gt;0,TEXT(BCP_Soles[[#This Row],[fecha]],"mmmm"),0)</f>
        <v>Setiembre</v>
      </c>
    </row>
    <row r="3964" spans="1:27" x14ac:dyDescent="0.3">
      <c r="A3964" s="2">
        <f>IF(BCP_Soles[[#This Row],[tipo_registro]]="R",COUNTIFS($C$1:$C3963,"R")+1,A3963)</f>
        <v>2624</v>
      </c>
      <c r="B3964" s="19" t="str">
        <f t="shared" si="328"/>
        <v>B-BCP - Soles</v>
      </c>
      <c r="C3964" s="3" t="s">
        <v>1330</v>
      </c>
      <c r="D3964" s="14">
        <v>45925</v>
      </c>
      <c r="E3964" s="5" t="s">
        <v>1335</v>
      </c>
      <c r="F3964" s="5" t="s">
        <v>1336</v>
      </c>
      <c r="G3964" s="6" t="s">
        <v>1009</v>
      </c>
      <c r="H3964" s="6" t="s">
        <v>64</v>
      </c>
      <c r="I3964" s="6" t="s">
        <v>3673</v>
      </c>
      <c r="J3964" s="6">
        <v>2626</v>
      </c>
      <c r="K3964" s="7" t="s">
        <v>3160</v>
      </c>
      <c r="L3964" s="8"/>
      <c r="M3964" s="8" t="str">
        <f t="shared" si="329"/>
        <v>PEN</v>
      </c>
      <c r="N3964" s="13"/>
      <c r="O3964" s="13">
        <v>0.75</v>
      </c>
      <c r="P3964" s="3">
        <f t="shared" si="330"/>
        <v>0</v>
      </c>
      <c r="Q3964" s="3">
        <f t="shared" si="331"/>
        <v>0.75</v>
      </c>
      <c r="R3964" s="3">
        <f t="shared" si="315"/>
        <v>19360.849999999973</v>
      </c>
      <c r="S3964" s="24"/>
      <c r="T3964" s="24" t="s">
        <v>1334</v>
      </c>
      <c r="U3964" s="55"/>
      <c r="V3964" s="25">
        <f>IFERROR(VLOOKUP(BCP_Soles[[#This Row],[destinatario]],CHOOSE({1,2},Clientes_Proveedores[Razon Social],Clientes_Proveedores[Ruc / Dni]),2,0),"")</f>
        <v>11111111</v>
      </c>
      <c r="W3964" s="25"/>
      <c r="X3964" s="25"/>
      <c r="Y3964" s="25"/>
      <c r="Z3964" s="77"/>
      <c r="AA3964" s="3" t="str">
        <f>IF(BCP_Soles[[#This Row],[fecha]]&gt;0,TEXT(BCP_Soles[[#This Row],[fecha]],"mmmm"),0)</f>
        <v>Setiembre</v>
      </c>
    </row>
    <row r="3965" spans="1:27" x14ac:dyDescent="0.3">
      <c r="A3965" s="2">
        <f>IF(BCP_Soles[[#This Row],[tipo_registro]]="R",COUNTIFS($C$1:$C3964,"R")+1,A3964)</f>
        <v>2625</v>
      </c>
      <c r="B3965" s="19" t="str">
        <f t="shared" si="328"/>
        <v>B-BCP - Soles</v>
      </c>
      <c r="C3965" s="3" t="s">
        <v>1330</v>
      </c>
      <c r="D3965" s="14">
        <v>45926</v>
      </c>
      <c r="E3965" s="5" t="s">
        <v>206</v>
      </c>
      <c r="F3965" s="5" t="s">
        <v>1303</v>
      </c>
      <c r="G3965" s="6" t="s">
        <v>425</v>
      </c>
      <c r="H3965" s="6" t="s">
        <v>68</v>
      </c>
      <c r="I3965" s="6" t="s">
        <v>1784</v>
      </c>
      <c r="J3965" s="6">
        <v>249</v>
      </c>
      <c r="K3965" s="7" t="s">
        <v>4600</v>
      </c>
      <c r="L3965" s="8">
        <v>9136242</v>
      </c>
      <c r="M3965" s="8" t="str">
        <f t="shared" si="329"/>
        <v>PEN</v>
      </c>
      <c r="N3965" s="13"/>
      <c r="O3965" s="13">
        <v>6908.82</v>
      </c>
      <c r="P3965" s="3">
        <f t="shared" si="330"/>
        <v>6908.82</v>
      </c>
      <c r="Q3965" s="3">
        <f t="shared" si="331"/>
        <v>0</v>
      </c>
      <c r="R3965" s="3">
        <f t="shared" si="315"/>
        <v>26269.669999999973</v>
      </c>
      <c r="S3965" s="24" t="s">
        <v>1334</v>
      </c>
      <c r="T3965" s="24" t="s">
        <v>1334</v>
      </c>
      <c r="U3965" s="55"/>
      <c r="V3965" s="25">
        <f>IFERROR(VLOOKUP(BCP_Soles[[#This Row],[destinatario]],CHOOSE({1,2},Clientes_Proveedores[Razon Social],Clientes_Proveedores[Ruc / Dni]),2,0),"")</f>
        <v>20558226979</v>
      </c>
      <c r="W3965" s="25"/>
      <c r="X3965" s="25"/>
      <c r="Y3965" s="25"/>
      <c r="Z3965" s="77"/>
      <c r="AA3965" s="3" t="str">
        <f>IF(BCP_Soles[[#This Row],[fecha]]&gt;0,TEXT(BCP_Soles[[#This Row],[fecha]],"mmmm"),0)</f>
        <v>Setiembre</v>
      </c>
    </row>
    <row r="3966" spans="1:27" x14ac:dyDescent="0.3">
      <c r="A3966" s="2">
        <f>IF(BCP_Soles[[#This Row],[tipo_registro]]="R",COUNTIFS($C$1:$C3965,"R")+1,A3965)</f>
        <v>2626</v>
      </c>
      <c r="B3966" s="19" t="str">
        <f t="shared" si="328"/>
        <v>B-BCP - Soles</v>
      </c>
      <c r="C3966" s="3" t="s">
        <v>1330</v>
      </c>
      <c r="D3966" s="14">
        <v>45926</v>
      </c>
      <c r="E3966" s="5"/>
      <c r="F3966" s="5" t="s">
        <v>1303</v>
      </c>
      <c r="G3966" s="6" t="s">
        <v>425</v>
      </c>
      <c r="H3966" s="6"/>
      <c r="I3966" s="6"/>
      <c r="J3966" s="6"/>
      <c r="K3966" s="7" t="s">
        <v>4601</v>
      </c>
      <c r="L3966" s="8">
        <v>2337830</v>
      </c>
      <c r="M3966" s="8" t="str">
        <f t="shared" si="329"/>
        <v>PEN</v>
      </c>
      <c r="N3966" s="13"/>
      <c r="O3966" s="13">
        <v>4000</v>
      </c>
      <c r="P3966" s="3">
        <f t="shared" si="330"/>
        <v>4000</v>
      </c>
      <c r="Q3966" s="3">
        <f t="shared" si="331"/>
        <v>0</v>
      </c>
      <c r="R3966" s="3">
        <f t="shared" si="315"/>
        <v>30269.669999999973</v>
      </c>
      <c r="S3966" s="24" t="s">
        <v>1334</v>
      </c>
      <c r="T3966" s="24" t="s">
        <v>1334</v>
      </c>
      <c r="U3966" s="55"/>
      <c r="V3966" s="25">
        <f>IFERROR(VLOOKUP(BCP_Soles[[#This Row],[destinatario]],CHOOSE({1,2},Clientes_Proveedores[Razon Social],Clientes_Proveedores[Ruc / Dni]),2,0),"")</f>
        <v>20558226979</v>
      </c>
      <c r="W3966" s="25"/>
      <c r="X3966" s="25"/>
      <c r="Y3966" s="25"/>
      <c r="Z3966" s="77"/>
      <c r="AA3966" s="3" t="str">
        <f>IF(BCP_Soles[[#This Row],[fecha]]&gt;0,TEXT(BCP_Soles[[#This Row],[fecha]],"mmmm"),0)</f>
        <v>Setiembre</v>
      </c>
    </row>
    <row r="3967" spans="1:27" ht="24" x14ac:dyDescent="0.3">
      <c r="A3967" s="2">
        <f>IF(BCP_Soles[[#This Row],[tipo_registro]]="R",COUNTIFS($C$1:$C3966,"R")+1,A3966)</f>
        <v>2626</v>
      </c>
      <c r="B3967" s="19" t="str">
        <f t="shared" si="328"/>
        <v>B-BCP - Soles</v>
      </c>
      <c r="C3967" s="3" t="s">
        <v>1352</v>
      </c>
      <c r="D3967" s="14">
        <v>45926</v>
      </c>
      <c r="E3967" s="5" t="s">
        <v>309</v>
      </c>
      <c r="F3967" s="5" t="s">
        <v>1303</v>
      </c>
      <c r="G3967" s="6" t="s">
        <v>425</v>
      </c>
      <c r="H3967" s="6" t="s">
        <v>119</v>
      </c>
      <c r="I3967" s="6">
        <v>1</v>
      </c>
      <c r="J3967" s="6">
        <v>4734</v>
      </c>
      <c r="K3967" s="7" t="s">
        <v>4601</v>
      </c>
      <c r="L3967" s="8">
        <v>2337830</v>
      </c>
      <c r="M3967" s="8" t="str">
        <f t="shared" si="329"/>
        <v>PEN</v>
      </c>
      <c r="N3967" s="13">
        <v>2631.6</v>
      </c>
      <c r="O3967" s="13"/>
      <c r="P3967" s="3">
        <f t="shared" si="330"/>
        <v>0</v>
      </c>
      <c r="Q3967" s="3">
        <f t="shared" si="331"/>
        <v>0</v>
      </c>
      <c r="R3967" s="3">
        <f t="shared" si="315"/>
        <v>30269.669999999973</v>
      </c>
      <c r="S3967" s="24" t="s">
        <v>1334</v>
      </c>
      <c r="T3967" s="24" t="s">
        <v>1334</v>
      </c>
      <c r="U3967" s="55"/>
      <c r="V3967" s="25">
        <f>IFERROR(VLOOKUP(BCP_Soles[[#This Row],[destinatario]],CHOOSE({1,2},Clientes_Proveedores[Razon Social],Clientes_Proveedores[Ruc / Dni]),2,0),"")</f>
        <v>20558226979</v>
      </c>
      <c r="W3967" s="25"/>
      <c r="X3967" s="25"/>
      <c r="Y3967" s="25"/>
      <c r="Z3967" s="77"/>
      <c r="AA3967" s="3" t="str">
        <f>IF(BCP_Soles[[#This Row],[fecha]]&gt;0,TEXT(BCP_Soles[[#This Row],[fecha]],"mmmm"),0)</f>
        <v>Setiembre</v>
      </c>
    </row>
    <row r="3968" spans="1:27" ht="24" x14ac:dyDescent="0.3">
      <c r="A3968" s="2">
        <f>IF(BCP_Soles[[#This Row],[tipo_registro]]="R",COUNTIFS($C$1:$C3967,"R")+1,A3967)</f>
        <v>2626</v>
      </c>
      <c r="B3968" s="19" t="str">
        <f t="shared" si="328"/>
        <v>B-BCP - Soles</v>
      </c>
      <c r="C3968" s="3" t="s">
        <v>1352</v>
      </c>
      <c r="D3968" s="14">
        <v>45926</v>
      </c>
      <c r="E3968" s="5" t="s">
        <v>309</v>
      </c>
      <c r="F3968" s="5" t="s">
        <v>1303</v>
      </c>
      <c r="G3968" s="6" t="s">
        <v>425</v>
      </c>
      <c r="H3968" s="6" t="s">
        <v>119</v>
      </c>
      <c r="I3968" s="6">
        <v>1</v>
      </c>
      <c r="J3968" s="6">
        <v>4775</v>
      </c>
      <c r="K3968" s="7" t="s">
        <v>4601</v>
      </c>
      <c r="L3968" s="8">
        <v>2337830</v>
      </c>
      <c r="M3968" s="8" t="str">
        <f t="shared" si="329"/>
        <v>PEN</v>
      </c>
      <c r="N3968" s="13">
        <v>1368.4</v>
      </c>
      <c r="O3968" s="13"/>
      <c r="P3968" s="3">
        <f t="shared" si="330"/>
        <v>0</v>
      </c>
      <c r="Q3968" s="3">
        <f t="shared" si="331"/>
        <v>0</v>
      </c>
      <c r="R3968" s="3">
        <f t="shared" si="315"/>
        <v>30269.669999999973</v>
      </c>
      <c r="S3968" s="24" t="s">
        <v>1334</v>
      </c>
      <c r="T3968" s="24" t="s">
        <v>1334</v>
      </c>
      <c r="U3968" s="55"/>
      <c r="V3968" s="25">
        <f>IFERROR(VLOOKUP(BCP_Soles[[#This Row],[destinatario]],CHOOSE({1,2},Clientes_Proveedores[Razon Social],Clientes_Proveedores[Ruc / Dni]),2,0),"")</f>
        <v>20558226979</v>
      </c>
      <c r="W3968" s="25"/>
      <c r="X3968" s="25"/>
      <c r="Y3968" s="25"/>
      <c r="Z3968" s="77"/>
      <c r="AA3968" s="3" t="str">
        <f>IF(BCP_Soles[[#This Row],[fecha]]&gt;0,TEXT(BCP_Soles[[#This Row],[fecha]],"mmmm"),0)</f>
        <v>Setiembre</v>
      </c>
    </row>
    <row r="3969" spans="1:27" x14ac:dyDescent="0.3">
      <c r="A3969" s="2">
        <f>IF(BCP_Soles[[#This Row],[tipo_registro]]="R",COUNTIFS($C$1:$C3968,"R")+1,A3968)</f>
        <v>2627</v>
      </c>
      <c r="B3969" s="19" t="str">
        <f t="shared" si="324"/>
        <v>B-BCP - Soles</v>
      </c>
      <c r="C3969" s="3" t="s">
        <v>1330</v>
      </c>
      <c r="D3969" s="14">
        <v>45926</v>
      </c>
      <c r="E3969" s="5" t="s">
        <v>2269</v>
      </c>
      <c r="F3969" s="5" t="s">
        <v>1336</v>
      </c>
      <c r="G3969" s="6" t="s">
        <v>695</v>
      </c>
      <c r="H3969" s="6"/>
      <c r="I3969" s="6"/>
      <c r="J3969" s="6"/>
      <c r="K3969" s="7" t="s">
        <v>4376</v>
      </c>
      <c r="L3969" s="8">
        <v>286974</v>
      </c>
      <c r="M3969" s="8" t="str">
        <f t="shared" si="325"/>
        <v>PEN</v>
      </c>
      <c r="N3969" s="13"/>
      <c r="O3969" s="13">
        <v>4432.1000000000004</v>
      </c>
      <c r="P3969" s="3">
        <f t="shared" si="326"/>
        <v>0</v>
      </c>
      <c r="Q3969" s="3">
        <f t="shared" si="327"/>
        <v>4432.1000000000004</v>
      </c>
      <c r="R3969" s="3">
        <f t="shared" si="315"/>
        <v>25837.569999999971</v>
      </c>
      <c r="S3969" s="24" t="s">
        <v>1334</v>
      </c>
      <c r="T3969" s="24" t="s">
        <v>1334</v>
      </c>
      <c r="U3969" s="56" t="s">
        <v>4602</v>
      </c>
      <c r="V3969" s="25">
        <f>IFERROR(VLOOKUP(BCP_Soles[[#This Row],[destinatario]],CHOOSE({1,2},Clientes_Proveedores[Razon Social],Clientes_Proveedores[Ruc / Dni]),2,0),"")</f>
        <v>20127765279</v>
      </c>
      <c r="W3969" s="25"/>
      <c r="X3969" s="25"/>
      <c r="Y3969" s="25"/>
      <c r="Z3969" s="77"/>
      <c r="AA3969" s="3" t="str">
        <f>IF(BCP_Soles[[#This Row],[fecha]]&gt;0,TEXT(BCP_Soles[[#This Row],[fecha]],"mmmm"),0)</f>
        <v>Setiembre</v>
      </c>
    </row>
    <row r="3970" spans="1:27" x14ac:dyDescent="0.3">
      <c r="A3970" s="2">
        <f>IF(BCP_Soles[[#This Row],[tipo_registro]]="R",COUNTIFS($C$1:$C3969,"R")+1,A3969)</f>
        <v>2627</v>
      </c>
      <c r="B3970" s="19" t="str">
        <f>"B-BCP - Soles"</f>
        <v>B-BCP - Soles</v>
      </c>
      <c r="C3970" s="3" t="s">
        <v>1352</v>
      </c>
      <c r="D3970" s="14">
        <v>45926</v>
      </c>
      <c r="E3970" s="5" t="s">
        <v>2269</v>
      </c>
      <c r="F3970" s="5" t="s">
        <v>1336</v>
      </c>
      <c r="G3970" s="6" t="s">
        <v>695</v>
      </c>
      <c r="H3970" s="6" t="s">
        <v>68</v>
      </c>
      <c r="I3970" s="6" t="s">
        <v>1377</v>
      </c>
      <c r="J3970" s="6">
        <v>184240</v>
      </c>
      <c r="K3970" s="7" t="s">
        <v>4376</v>
      </c>
      <c r="L3970" s="8">
        <v>286974</v>
      </c>
      <c r="M3970" s="8" t="str">
        <f>"PEN"</f>
        <v>PEN</v>
      </c>
      <c r="N3970" s="13">
        <v>3360.55</v>
      </c>
      <c r="O3970" s="13"/>
      <c r="P3970" s="3">
        <f>+IF(OR($F3970="SALDO",$F3970="INGRESO"),$O3970,0)</f>
        <v>0</v>
      </c>
      <c r="Q3970" s="3">
        <f>+IF($F3970="EGRESO",$O3970,0)</f>
        <v>0</v>
      </c>
      <c r="R3970" s="3">
        <f t="shared" si="315"/>
        <v>25837.569999999971</v>
      </c>
      <c r="S3970" s="24" t="s">
        <v>1334</v>
      </c>
      <c r="T3970" s="24" t="s">
        <v>1334</v>
      </c>
      <c r="U3970" s="56" t="s">
        <v>4602</v>
      </c>
      <c r="V3970" s="25">
        <f>IFERROR(VLOOKUP(BCP_Soles[[#This Row],[destinatario]],CHOOSE({1,2},Clientes_Proveedores[Razon Social],Clientes_Proveedores[Ruc / Dni]),2,0),"")</f>
        <v>20127765279</v>
      </c>
      <c r="W3970" s="25"/>
      <c r="X3970" s="25"/>
      <c r="Y3970" s="25"/>
      <c r="Z3970" s="77"/>
      <c r="AA3970" s="3" t="str">
        <f>IF(BCP_Soles[[#This Row],[fecha]]&gt;0,TEXT(BCP_Soles[[#This Row],[fecha]],"mmmm"),0)</f>
        <v>Setiembre</v>
      </c>
    </row>
    <row r="3971" spans="1:27" x14ac:dyDescent="0.3">
      <c r="A3971" s="2">
        <f>IF(BCP_Soles[[#This Row],[tipo_registro]]="R",COUNTIFS($C$1:$C3970,"R")+1,A3970)</f>
        <v>2627</v>
      </c>
      <c r="B3971" s="19" t="str">
        <f>"B-BCP - Soles"</f>
        <v>B-BCP - Soles</v>
      </c>
      <c r="C3971" s="3" t="s">
        <v>1352</v>
      </c>
      <c r="D3971" s="14">
        <v>45926</v>
      </c>
      <c r="E3971" s="5" t="s">
        <v>2269</v>
      </c>
      <c r="F3971" s="5" t="s">
        <v>1336</v>
      </c>
      <c r="G3971" s="6" t="s">
        <v>695</v>
      </c>
      <c r="H3971" s="6" t="s">
        <v>68</v>
      </c>
      <c r="I3971" s="6" t="s">
        <v>1377</v>
      </c>
      <c r="J3971" s="6">
        <v>184368</v>
      </c>
      <c r="K3971" s="7" t="s">
        <v>4376</v>
      </c>
      <c r="L3971" s="8">
        <v>286974</v>
      </c>
      <c r="M3971" s="8" t="str">
        <f>"PEN"</f>
        <v>PEN</v>
      </c>
      <c r="N3971" s="13">
        <v>1071.55</v>
      </c>
      <c r="O3971" s="13"/>
      <c r="P3971" s="3">
        <f>+IF(OR($F3971="SALDO",$F3971="INGRESO"),$O3971,0)</f>
        <v>0</v>
      </c>
      <c r="Q3971" s="3">
        <f>+IF($F3971="EGRESO",$O3971,0)</f>
        <v>0</v>
      </c>
      <c r="R3971" s="3">
        <f t="shared" si="315"/>
        <v>25837.569999999971</v>
      </c>
      <c r="S3971" s="24" t="s">
        <v>1334</v>
      </c>
      <c r="T3971" s="24" t="s">
        <v>1334</v>
      </c>
      <c r="U3971" s="56" t="s">
        <v>4602</v>
      </c>
      <c r="V3971" s="25">
        <f>IFERROR(VLOOKUP(BCP_Soles[[#This Row],[destinatario]],CHOOSE({1,2},Clientes_Proveedores[Razon Social],Clientes_Proveedores[Ruc / Dni]),2,0),"")</f>
        <v>20127765279</v>
      </c>
      <c r="W3971" s="25"/>
      <c r="X3971" s="25"/>
      <c r="Y3971" s="25"/>
      <c r="Z3971" s="77"/>
      <c r="AA3971" s="3" t="str">
        <f>IF(BCP_Soles[[#This Row],[fecha]]&gt;0,TEXT(BCP_Soles[[#This Row],[fecha]],"mmmm"),0)</f>
        <v>Setiembre</v>
      </c>
    </row>
    <row r="3972" spans="1:27" x14ac:dyDescent="0.3">
      <c r="A3972" s="2">
        <f>IF(BCP_Soles[[#This Row],[tipo_registro]]="R",COUNTIFS($C$1:$C3971,"R")+1,A3971)</f>
        <v>2628</v>
      </c>
      <c r="B3972" s="19" t="str">
        <f t="shared" ref="B3972:B3996" si="332">"B-BCP - Soles"</f>
        <v>B-BCP - Soles</v>
      </c>
      <c r="C3972" s="3" t="s">
        <v>1330</v>
      </c>
      <c r="D3972" s="14">
        <v>45926</v>
      </c>
      <c r="E3972" s="5" t="s">
        <v>2269</v>
      </c>
      <c r="F3972" s="5" t="s">
        <v>1336</v>
      </c>
      <c r="G3972" s="6" t="s">
        <v>575</v>
      </c>
      <c r="H3972" s="6"/>
      <c r="I3972" s="6"/>
      <c r="J3972" s="6"/>
      <c r="K3972" s="7" t="s">
        <v>4603</v>
      </c>
      <c r="L3972" s="8">
        <v>4024479</v>
      </c>
      <c r="M3972" s="8" t="str">
        <f t="shared" ref="M3972:M3996" si="333">"PEN"</f>
        <v>PEN</v>
      </c>
      <c r="N3972" s="13"/>
      <c r="O3972" s="13">
        <v>600.5</v>
      </c>
      <c r="P3972" s="3">
        <f t="shared" ref="P3972:P3996" si="334">+IF(OR($F3972="SALDO",$F3972="INGRESO"),$O3972,0)</f>
        <v>0</v>
      </c>
      <c r="Q3972" s="3">
        <f t="shared" ref="Q3972:Q3996" si="335">+IF($F3972="EGRESO",$O3972,0)</f>
        <v>600.5</v>
      </c>
      <c r="R3972" s="3">
        <f t="shared" si="315"/>
        <v>25237.069999999971</v>
      </c>
      <c r="S3972" s="24"/>
      <c r="T3972" s="24"/>
      <c r="U3972" s="56" t="s">
        <v>4604</v>
      </c>
      <c r="V3972" s="25">
        <f>IFERROR(VLOOKUP(BCP_Soles[[#This Row],[destinatario]],CHOOSE({1,2},Clientes_Proveedores[Razon Social],Clientes_Proveedores[Ruc / Dni]),2,0),"")</f>
        <v>20608970909</v>
      </c>
      <c r="W3972" s="25"/>
      <c r="X3972" s="25"/>
      <c r="Y3972" s="25"/>
      <c r="Z3972" s="77"/>
      <c r="AA3972" s="3" t="str">
        <f>IF(BCP_Soles[[#This Row],[fecha]]&gt;0,TEXT(BCP_Soles[[#This Row],[fecha]],"mmmm"),0)</f>
        <v>Setiembre</v>
      </c>
    </row>
    <row r="3973" spans="1:27" x14ac:dyDescent="0.3">
      <c r="A3973" s="2">
        <f>IF(BCP_Soles[[#This Row],[tipo_registro]]="R",COUNTIFS($C$1:$C3972,"R")+1,A3972)</f>
        <v>2628</v>
      </c>
      <c r="B3973" s="19" t="str">
        <f>"B-BCP - Soles"</f>
        <v>B-BCP - Soles</v>
      </c>
      <c r="C3973" s="3" t="s">
        <v>1352</v>
      </c>
      <c r="D3973" s="14">
        <v>45926</v>
      </c>
      <c r="E3973" s="5" t="s">
        <v>2269</v>
      </c>
      <c r="F3973" s="5" t="s">
        <v>1336</v>
      </c>
      <c r="G3973" s="6" t="s">
        <v>575</v>
      </c>
      <c r="H3973" s="6" t="s">
        <v>68</v>
      </c>
      <c r="I3973" s="6" t="s">
        <v>1376</v>
      </c>
      <c r="J3973" s="51">
        <v>1443</v>
      </c>
      <c r="K3973" s="7" t="s">
        <v>4603</v>
      </c>
      <c r="L3973" s="8">
        <v>4024479</v>
      </c>
      <c r="M3973" s="8" t="str">
        <f>"PEN"</f>
        <v>PEN</v>
      </c>
      <c r="N3973" s="13">
        <v>590</v>
      </c>
      <c r="O3973" s="13"/>
      <c r="P3973" s="3">
        <f>+IF(OR($F3973="SALDO",$F3973="INGRESO"),$O3973,0)</f>
        <v>0</v>
      </c>
      <c r="Q3973" s="3">
        <f>+IF($F3973="EGRESO",$O3973,0)</f>
        <v>0</v>
      </c>
      <c r="R3973" s="3">
        <f>IFERROR(IF(F3973="SALDO",P3973,R3972+P3973-Q3973),0)</f>
        <v>25237.069999999971</v>
      </c>
      <c r="S3973" s="24"/>
      <c r="T3973" s="24"/>
      <c r="U3973" s="56"/>
      <c r="V3973" s="25">
        <f>IFERROR(VLOOKUP(BCP_Soles[[#This Row],[destinatario]],CHOOSE({1,2},Clientes_Proveedores[Razon Social],Clientes_Proveedores[Ruc / Dni]),2,0),"")</f>
        <v>20608970909</v>
      </c>
      <c r="W3973" s="25"/>
      <c r="X3973" s="25"/>
      <c r="Y3973" s="25"/>
      <c r="Z3973" s="77"/>
      <c r="AA3973" s="3" t="str">
        <f>IF(BCP_Soles[[#This Row],[fecha]]&gt;0,TEXT(BCP_Soles[[#This Row],[fecha]],"mmmm"),0)</f>
        <v>Setiembre</v>
      </c>
    </row>
    <row r="3974" spans="1:27" ht="24" x14ac:dyDescent="0.3">
      <c r="A3974" s="2">
        <f>IF(BCP_Soles[[#This Row],[tipo_registro]]="R",COUNTIFS($C$1:$C3973,"R")+1,A3973)</f>
        <v>2628</v>
      </c>
      <c r="B3974" s="19" t="str">
        <f>"B-BCP - Soles"</f>
        <v>B-BCP - Soles</v>
      </c>
      <c r="C3974" s="3" t="s">
        <v>1352</v>
      </c>
      <c r="D3974" s="14">
        <v>45926</v>
      </c>
      <c r="E3974" s="5" t="s">
        <v>2269</v>
      </c>
      <c r="F3974" s="5" t="s">
        <v>1336</v>
      </c>
      <c r="G3974" s="6" t="s">
        <v>1060</v>
      </c>
      <c r="H3974" s="6" t="s">
        <v>68</v>
      </c>
      <c r="I3974" s="6" t="s">
        <v>1397</v>
      </c>
      <c r="J3974" s="6">
        <v>37414056</v>
      </c>
      <c r="K3974" s="7" t="s">
        <v>4603</v>
      </c>
      <c r="L3974" s="8">
        <v>4024479</v>
      </c>
      <c r="M3974" s="8" t="str">
        <f>"PEN"</f>
        <v>PEN</v>
      </c>
      <c r="N3974" s="13">
        <v>10.5</v>
      </c>
      <c r="O3974" s="13"/>
      <c r="P3974" s="3">
        <f>+IF(OR($F3974="SALDO",$F3974="INGRESO"),$O3974,0)</f>
        <v>0</v>
      </c>
      <c r="Q3974" s="3">
        <f>+IF($F3974="EGRESO",$O3974,0)</f>
        <v>0</v>
      </c>
      <c r="R3974" s="3">
        <f t="shared" ref="R3974:R3975" si="336">IFERROR(IF(F3974="SALDO",P3974,R3973+P3974-Q3974),0)</f>
        <v>25237.069999999971</v>
      </c>
      <c r="S3974" s="24" t="s">
        <v>1334</v>
      </c>
      <c r="T3974" s="24"/>
      <c r="U3974" s="56"/>
      <c r="V3974" s="25">
        <f>IFERROR(VLOOKUP(BCP_Soles[[#This Row],[destinatario]],CHOOSE({1,2},Clientes_Proveedores[Razon Social],Clientes_Proveedores[Ruc / Dni]),2,0),"")</f>
        <v>20100047218</v>
      </c>
      <c r="W3974" s="25"/>
      <c r="X3974" s="25"/>
      <c r="Y3974" s="25"/>
      <c r="Z3974" s="77"/>
      <c r="AA3974" s="3" t="str">
        <f>IF(BCP_Soles[[#This Row],[fecha]]&gt;0,TEXT(BCP_Soles[[#This Row],[fecha]],"mmmm"),0)</f>
        <v>Setiembre</v>
      </c>
    </row>
    <row r="3975" spans="1:27" ht="48" x14ac:dyDescent="0.3">
      <c r="A3975" s="2">
        <f>IF(BCP_Soles[[#This Row],[tipo_registro]]="R",COUNTIFS($C$1:$C3974,"R")+1,A3974)</f>
        <v>2629</v>
      </c>
      <c r="B3975" s="19" t="str">
        <f t="shared" si="332"/>
        <v>B-BCP - Soles</v>
      </c>
      <c r="C3975" s="3" t="s">
        <v>1330</v>
      </c>
      <c r="D3975" s="14">
        <v>45926</v>
      </c>
      <c r="E3975" s="5" t="s">
        <v>2269</v>
      </c>
      <c r="F3975" s="5" t="s">
        <v>1336</v>
      </c>
      <c r="G3975" s="6" t="s">
        <v>756</v>
      </c>
      <c r="H3975" s="6"/>
      <c r="I3975" s="6"/>
      <c r="J3975" s="6"/>
      <c r="K3975" s="7" t="s">
        <v>4605</v>
      </c>
      <c r="L3975" s="8">
        <v>1288069</v>
      </c>
      <c r="M3975" s="8" t="str">
        <f t="shared" si="333"/>
        <v>PEN</v>
      </c>
      <c r="N3975" s="13"/>
      <c r="O3975" s="13">
        <v>900</v>
      </c>
      <c r="P3975" s="3">
        <f t="shared" si="334"/>
        <v>0</v>
      </c>
      <c r="Q3975" s="3">
        <f t="shared" si="335"/>
        <v>900</v>
      </c>
      <c r="R3975" s="3">
        <f t="shared" si="336"/>
        <v>24337.069999999971</v>
      </c>
      <c r="S3975" s="24" t="s">
        <v>1334</v>
      </c>
      <c r="T3975" s="24" t="s">
        <v>1334</v>
      </c>
      <c r="U3975" s="56" t="s">
        <v>4606</v>
      </c>
      <c r="V3975" s="25">
        <f>IFERROR(VLOOKUP(BCP_Soles[[#This Row],[destinatario]],CHOOSE({1,2},Clientes_Proveedores[Razon Social],Clientes_Proveedores[Ruc / Dni]),2,0),"")</f>
        <v>10450776578</v>
      </c>
      <c r="W3975" s="25"/>
      <c r="X3975" s="25"/>
      <c r="Y3975" s="25"/>
      <c r="Z3975" s="77"/>
      <c r="AA3975" s="3" t="str">
        <f>IF(BCP_Soles[[#This Row],[fecha]]&gt;0,TEXT(BCP_Soles[[#This Row],[fecha]],"mmmm"),0)</f>
        <v>Setiembre</v>
      </c>
    </row>
    <row r="3976" spans="1:27" ht="48" x14ac:dyDescent="0.3">
      <c r="A3976" s="2">
        <f>IF(BCP_Soles[[#This Row],[tipo_registro]]="R",COUNTIFS($C$1:$C3975,"R")+1,A3975)</f>
        <v>2629</v>
      </c>
      <c r="B3976" s="19" t="str">
        <f>"B-BCP - Soles"</f>
        <v>B-BCP - Soles</v>
      </c>
      <c r="C3976" s="3" t="s">
        <v>1352</v>
      </c>
      <c r="D3976" s="14">
        <v>45926</v>
      </c>
      <c r="E3976" s="5" t="s">
        <v>2269</v>
      </c>
      <c r="F3976" s="5" t="s">
        <v>1336</v>
      </c>
      <c r="G3976" s="6" t="s">
        <v>756</v>
      </c>
      <c r="H3976" s="6" t="s">
        <v>68</v>
      </c>
      <c r="I3976" s="6" t="s">
        <v>1376</v>
      </c>
      <c r="J3976" s="6">
        <v>1496</v>
      </c>
      <c r="K3976" s="7" t="s">
        <v>4605</v>
      </c>
      <c r="L3976" s="8">
        <v>1288069</v>
      </c>
      <c r="M3976" s="8" t="str">
        <f>"PEN"</f>
        <v>PEN</v>
      </c>
      <c r="N3976" s="13">
        <v>495</v>
      </c>
      <c r="O3976" s="13"/>
      <c r="P3976" s="3">
        <f>+IF(OR($F3976="SALDO",$F3976="INGRESO"),$O3976,0)</f>
        <v>0</v>
      </c>
      <c r="Q3976" s="3">
        <f>+IF($F3976="EGRESO",$O3976,0)</f>
        <v>0</v>
      </c>
      <c r="R3976" s="3">
        <f t="shared" si="315"/>
        <v>24337.069999999971</v>
      </c>
      <c r="S3976" s="24" t="s">
        <v>1334</v>
      </c>
      <c r="T3976" s="24" t="s">
        <v>1334</v>
      </c>
      <c r="U3976" s="56" t="s">
        <v>4606</v>
      </c>
      <c r="V3976" s="25">
        <f>IFERROR(VLOOKUP(BCP_Soles[[#This Row],[destinatario]],CHOOSE({1,2},Clientes_Proveedores[Razon Social],Clientes_Proveedores[Ruc / Dni]),2,0),"")</f>
        <v>10450776578</v>
      </c>
      <c r="W3976" s="25"/>
      <c r="X3976" s="25"/>
      <c r="Y3976" s="25"/>
      <c r="Z3976" s="77"/>
      <c r="AA3976" s="3" t="str">
        <f>IF(BCP_Soles[[#This Row],[fecha]]&gt;0,TEXT(BCP_Soles[[#This Row],[fecha]],"mmmm"),0)</f>
        <v>Setiembre</v>
      </c>
    </row>
    <row r="3977" spans="1:27" ht="48" x14ac:dyDescent="0.3">
      <c r="A3977" s="2">
        <f>IF(BCP_Soles[[#This Row],[tipo_registro]]="R",COUNTIFS($C$1:$C3976,"R")+1,A3976)</f>
        <v>2629</v>
      </c>
      <c r="B3977" s="19" t="str">
        <f>"B-BCP - Soles"</f>
        <v>B-BCP - Soles</v>
      </c>
      <c r="C3977" s="3" t="s">
        <v>1352</v>
      </c>
      <c r="D3977" s="14">
        <v>45926</v>
      </c>
      <c r="E3977" s="5" t="s">
        <v>2269</v>
      </c>
      <c r="F3977" s="5" t="s">
        <v>1336</v>
      </c>
      <c r="G3977" s="6" t="s">
        <v>756</v>
      </c>
      <c r="H3977" s="6" t="s">
        <v>72</v>
      </c>
      <c r="I3977" s="6" t="s">
        <v>1376</v>
      </c>
      <c r="J3977" s="6">
        <v>1335</v>
      </c>
      <c r="K3977" s="7" t="s">
        <v>4605</v>
      </c>
      <c r="L3977" s="8">
        <v>1288069</v>
      </c>
      <c r="M3977" s="8" t="str">
        <f>"PEN"</f>
        <v>PEN</v>
      </c>
      <c r="N3977" s="13">
        <v>405</v>
      </c>
      <c r="O3977" s="13"/>
      <c r="P3977" s="3">
        <f>+IF(OR($F3977="SALDO",$F3977="INGRESO"),$O3977,0)</f>
        <v>0</v>
      </c>
      <c r="Q3977" s="3">
        <f>+IF($F3977="EGRESO",$O3977,0)</f>
        <v>0</v>
      </c>
      <c r="R3977" s="3">
        <f t="shared" si="315"/>
        <v>24337.069999999971</v>
      </c>
      <c r="S3977" s="24" t="s">
        <v>1334</v>
      </c>
      <c r="T3977" s="24" t="s">
        <v>1334</v>
      </c>
      <c r="U3977" s="56" t="s">
        <v>4606</v>
      </c>
      <c r="V3977" s="25">
        <f>IFERROR(VLOOKUP(BCP_Soles[[#This Row],[destinatario]],CHOOSE({1,2},Clientes_Proveedores[Razon Social],Clientes_Proveedores[Ruc / Dni]),2,0),"")</f>
        <v>10450776578</v>
      </c>
      <c r="W3977" s="25"/>
      <c r="X3977" s="25"/>
      <c r="Y3977" s="25"/>
      <c r="Z3977" s="77"/>
      <c r="AA3977" s="3" t="str">
        <f>IF(BCP_Soles[[#This Row],[fecha]]&gt;0,TEXT(BCP_Soles[[#This Row],[fecha]],"mmmm"),0)</f>
        <v>Setiembre</v>
      </c>
    </row>
    <row r="3978" spans="1:27" x14ac:dyDescent="0.3">
      <c r="A3978" s="2">
        <f>IF(BCP_Soles[[#This Row],[tipo_registro]]="R",COUNTIFS($C$1:$C3977,"R")+1,A3977)</f>
        <v>2630</v>
      </c>
      <c r="B3978" s="19" t="str">
        <f t="shared" si="332"/>
        <v>B-BCP - Soles</v>
      </c>
      <c r="C3978" s="3" t="s">
        <v>1330</v>
      </c>
      <c r="D3978" s="14">
        <v>45926</v>
      </c>
      <c r="E3978" s="5" t="s">
        <v>2269</v>
      </c>
      <c r="F3978" s="5" t="s">
        <v>1336</v>
      </c>
      <c r="G3978" s="6" t="s">
        <v>696</v>
      </c>
      <c r="H3978" s="6"/>
      <c r="I3978" s="6"/>
      <c r="J3978" s="6"/>
      <c r="K3978" s="7" t="s">
        <v>4607</v>
      </c>
      <c r="L3978" s="8">
        <v>9388041</v>
      </c>
      <c r="M3978" s="8" t="str">
        <f t="shared" si="333"/>
        <v>PEN</v>
      </c>
      <c r="N3978" s="13"/>
      <c r="O3978" s="13">
        <v>3618.15</v>
      </c>
      <c r="P3978" s="3">
        <f t="shared" si="334"/>
        <v>0</v>
      </c>
      <c r="Q3978" s="3">
        <f t="shared" si="335"/>
        <v>3618.15</v>
      </c>
      <c r="R3978" s="3">
        <f t="shared" si="315"/>
        <v>20718.919999999969</v>
      </c>
      <c r="S3978" s="24" t="s">
        <v>1334</v>
      </c>
      <c r="T3978" s="24" t="s">
        <v>1334</v>
      </c>
      <c r="U3978" s="56" t="s">
        <v>4608</v>
      </c>
      <c r="V3978" s="25">
        <f>IFERROR(VLOOKUP(BCP_Soles[[#This Row],[destinatario]],CHOOSE({1,2},Clientes_Proveedores[Razon Social],Clientes_Proveedores[Ruc / Dni]),2,0),"")</f>
        <v>0</v>
      </c>
      <c r="W3978" s="25"/>
      <c r="X3978" s="25"/>
      <c r="Y3978" s="25"/>
      <c r="Z3978" s="77"/>
      <c r="AA3978" s="3" t="str">
        <f>IF(BCP_Soles[[#This Row],[fecha]]&gt;0,TEXT(BCP_Soles[[#This Row],[fecha]],"mmmm"),0)</f>
        <v>Setiembre</v>
      </c>
    </row>
    <row r="3979" spans="1:27" ht="24" x14ac:dyDescent="0.3">
      <c r="A3979" s="2">
        <f>IF(BCP_Soles[[#This Row],[tipo_registro]]="R",COUNTIFS($C$1:$C3978,"R")+1,A3978)</f>
        <v>2630</v>
      </c>
      <c r="B3979" s="19" t="str">
        <f t="shared" ref="B3979:B3992" si="337">"B-BCP - Soles"</f>
        <v>B-BCP - Soles</v>
      </c>
      <c r="C3979" s="3" t="s">
        <v>1352</v>
      </c>
      <c r="D3979" s="14">
        <v>45926</v>
      </c>
      <c r="E3979" s="5" t="s">
        <v>2269</v>
      </c>
      <c r="F3979" s="5" t="s">
        <v>1336</v>
      </c>
      <c r="G3979" s="6" t="s">
        <v>328</v>
      </c>
      <c r="H3979" s="6" t="s">
        <v>68</v>
      </c>
      <c r="I3979" s="6" t="s">
        <v>1374</v>
      </c>
      <c r="J3979" s="6">
        <v>8766</v>
      </c>
      <c r="K3979" s="7" t="s">
        <v>4607</v>
      </c>
      <c r="L3979" s="8">
        <v>9388041</v>
      </c>
      <c r="M3979" s="8" t="str">
        <f t="shared" ref="M3979:M3992" si="338">"PEN"</f>
        <v>PEN</v>
      </c>
      <c r="N3979" s="13">
        <v>90</v>
      </c>
      <c r="O3979" s="13"/>
      <c r="P3979" s="3">
        <f t="shared" ref="P3979:P3992" si="339">+IF(OR($F3979="SALDO",$F3979="INGRESO"),$O3979,0)</f>
        <v>0</v>
      </c>
      <c r="Q3979" s="3">
        <f t="shared" ref="Q3979:Q3992" si="340">+IF($F3979="EGRESO",$O3979,0)</f>
        <v>0</v>
      </c>
      <c r="R3979" s="3">
        <f t="shared" ref="R3979:R4042" si="341">IFERROR(IF(F3979="SALDO",P3979,R3978+P3979-Q3979),0)</f>
        <v>20718.919999999969</v>
      </c>
      <c r="S3979" s="24" t="s">
        <v>1334</v>
      </c>
      <c r="T3979" s="24" t="s">
        <v>1334</v>
      </c>
      <c r="U3979" s="56" t="s">
        <v>4608</v>
      </c>
      <c r="V3979" s="25">
        <f>IFERROR(VLOOKUP(BCP_Soles[[#This Row],[destinatario]],CHOOSE({1,2},Clientes_Proveedores[Razon Social],Clientes_Proveedores[Ruc / Dni]),2,0),"")</f>
        <v>20498041567</v>
      </c>
      <c r="W3979" s="25"/>
      <c r="X3979" s="25"/>
      <c r="Y3979" s="25"/>
      <c r="Z3979" s="77"/>
      <c r="AA3979" s="3" t="str">
        <f>IF(BCP_Soles[[#This Row],[fecha]]&gt;0,TEXT(BCP_Soles[[#This Row],[fecha]],"mmmm"),0)</f>
        <v>Setiembre</v>
      </c>
    </row>
    <row r="3980" spans="1:27" ht="24" x14ac:dyDescent="0.3">
      <c r="A3980" s="2">
        <f>IF(BCP_Soles[[#This Row],[tipo_registro]]="R",COUNTIFS($C$1:$C3979,"R")+1,A3979)</f>
        <v>2630</v>
      </c>
      <c r="B3980" s="19" t="str">
        <f t="shared" si="337"/>
        <v>B-BCP - Soles</v>
      </c>
      <c r="C3980" s="3" t="s">
        <v>1352</v>
      </c>
      <c r="D3980" s="14">
        <v>45926</v>
      </c>
      <c r="E3980" s="5" t="s">
        <v>2269</v>
      </c>
      <c r="F3980" s="5" t="s">
        <v>1336</v>
      </c>
      <c r="G3980" s="6" t="s">
        <v>187</v>
      </c>
      <c r="H3980" s="6" t="s">
        <v>68</v>
      </c>
      <c r="I3980" s="6" t="s">
        <v>1376</v>
      </c>
      <c r="J3980" s="6">
        <v>647</v>
      </c>
      <c r="K3980" s="7" t="s">
        <v>4607</v>
      </c>
      <c r="L3980" s="8">
        <v>9388041</v>
      </c>
      <c r="M3980" s="8" t="str">
        <f t="shared" si="338"/>
        <v>PEN</v>
      </c>
      <c r="N3980" s="13">
        <v>200</v>
      </c>
      <c r="O3980" s="13"/>
      <c r="P3980" s="3">
        <f t="shared" si="339"/>
        <v>0</v>
      </c>
      <c r="Q3980" s="3">
        <f t="shared" si="340"/>
        <v>0</v>
      </c>
      <c r="R3980" s="3">
        <f t="shared" si="341"/>
        <v>20718.919999999969</v>
      </c>
      <c r="S3980" s="24" t="s">
        <v>1334</v>
      </c>
      <c r="T3980" s="24" t="s">
        <v>1334</v>
      </c>
      <c r="U3980" s="56" t="s">
        <v>4608</v>
      </c>
      <c r="V3980" s="25">
        <f>IFERROR(VLOOKUP(BCP_Soles[[#This Row],[destinatario]],CHOOSE({1,2},Clientes_Proveedores[Razon Social],Clientes_Proveedores[Ruc / Dni]),2,0),"")</f>
        <v>10706063426</v>
      </c>
      <c r="W3980" s="25"/>
      <c r="X3980" s="25"/>
      <c r="Y3980" s="25"/>
      <c r="Z3980" s="77"/>
      <c r="AA3980" s="3" t="str">
        <f>IF(BCP_Soles[[#This Row],[fecha]]&gt;0,TEXT(BCP_Soles[[#This Row],[fecha]],"mmmm"),0)</f>
        <v>Setiembre</v>
      </c>
    </row>
    <row r="3981" spans="1:27" ht="24" x14ac:dyDescent="0.3">
      <c r="A3981" s="2">
        <f>IF(BCP_Soles[[#This Row],[tipo_registro]]="R",COUNTIFS($C$1:$C3980,"R")+1,A3980)</f>
        <v>2630</v>
      </c>
      <c r="B3981" s="19" t="str">
        <f t="shared" si="337"/>
        <v>B-BCP - Soles</v>
      </c>
      <c r="C3981" s="3" t="s">
        <v>1352</v>
      </c>
      <c r="D3981" s="14">
        <v>45926</v>
      </c>
      <c r="E3981" s="5" t="s">
        <v>2269</v>
      </c>
      <c r="F3981" s="5" t="s">
        <v>1336</v>
      </c>
      <c r="G3981" s="6" t="s">
        <v>328</v>
      </c>
      <c r="H3981" s="6" t="s">
        <v>68</v>
      </c>
      <c r="I3981" s="6" t="s">
        <v>1374</v>
      </c>
      <c r="J3981" s="6">
        <v>8765</v>
      </c>
      <c r="K3981" s="7" t="s">
        <v>4607</v>
      </c>
      <c r="L3981" s="8">
        <v>9388041</v>
      </c>
      <c r="M3981" s="8" t="str">
        <f t="shared" si="338"/>
        <v>PEN</v>
      </c>
      <c r="N3981" s="13">
        <v>686</v>
      </c>
      <c r="O3981" s="13"/>
      <c r="P3981" s="3">
        <f t="shared" si="339"/>
        <v>0</v>
      </c>
      <c r="Q3981" s="3">
        <f t="shared" si="340"/>
        <v>0</v>
      </c>
      <c r="R3981" s="3">
        <f t="shared" si="341"/>
        <v>20718.919999999969</v>
      </c>
      <c r="S3981" s="24" t="s">
        <v>1334</v>
      </c>
      <c r="T3981" s="24" t="s">
        <v>1334</v>
      </c>
      <c r="U3981" s="56" t="s">
        <v>4608</v>
      </c>
      <c r="V3981" s="25">
        <f>IFERROR(VLOOKUP(BCP_Soles[[#This Row],[destinatario]],CHOOSE({1,2},Clientes_Proveedores[Razon Social],Clientes_Proveedores[Ruc / Dni]),2,0),"")</f>
        <v>20498041567</v>
      </c>
      <c r="W3981" s="25"/>
      <c r="X3981" s="25"/>
      <c r="Y3981" s="25"/>
      <c r="Z3981" s="77"/>
      <c r="AA3981" s="3" t="str">
        <f>IF(BCP_Soles[[#This Row],[fecha]]&gt;0,TEXT(BCP_Soles[[#This Row],[fecha]],"mmmm"),0)</f>
        <v>Setiembre</v>
      </c>
    </row>
    <row r="3982" spans="1:27" ht="36" x14ac:dyDescent="0.3">
      <c r="A3982" s="2">
        <f>IF(BCP_Soles[[#This Row],[tipo_registro]]="R",COUNTIFS($C$1:$C3981,"R")+1,A3981)</f>
        <v>2630</v>
      </c>
      <c r="B3982" s="19" t="str">
        <f t="shared" si="337"/>
        <v>B-BCP - Soles</v>
      </c>
      <c r="C3982" s="3" t="s">
        <v>1352</v>
      </c>
      <c r="D3982" s="14">
        <v>45926</v>
      </c>
      <c r="E3982" s="5" t="s">
        <v>2269</v>
      </c>
      <c r="F3982" s="5" t="s">
        <v>1336</v>
      </c>
      <c r="G3982" s="6" t="s">
        <v>675</v>
      </c>
      <c r="H3982" s="6" t="s">
        <v>68</v>
      </c>
      <c r="I3982" s="6" t="s">
        <v>2912</v>
      </c>
      <c r="J3982" s="6">
        <v>2264</v>
      </c>
      <c r="K3982" s="7" t="s">
        <v>4607</v>
      </c>
      <c r="L3982" s="8">
        <v>9388041</v>
      </c>
      <c r="M3982" s="8" t="str">
        <f t="shared" si="338"/>
        <v>PEN</v>
      </c>
      <c r="N3982" s="13">
        <v>588.82000000000005</v>
      </c>
      <c r="O3982" s="13"/>
      <c r="P3982" s="3">
        <f t="shared" si="339"/>
        <v>0</v>
      </c>
      <c r="Q3982" s="3">
        <f t="shared" si="340"/>
        <v>0</v>
      </c>
      <c r="R3982" s="3">
        <f t="shared" si="341"/>
        <v>20718.919999999969</v>
      </c>
      <c r="S3982" s="24" t="s">
        <v>1334</v>
      </c>
      <c r="T3982" s="24" t="s">
        <v>1334</v>
      </c>
      <c r="U3982" s="56" t="s">
        <v>4608</v>
      </c>
      <c r="V3982" s="25">
        <f>IFERROR(VLOOKUP(BCP_Soles[[#This Row],[destinatario]],CHOOSE({1,2},Clientes_Proveedores[Razon Social],Clientes_Proveedores[Ruc / Dni]),2,0),"")</f>
        <v>20455911401</v>
      </c>
      <c r="W3982" s="25"/>
      <c r="X3982" s="25"/>
      <c r="Y3982" s="25"/>
      <c r="Z3982" s="77"/>
      <c r="AA3982" s="3" t="str">
        <f>IF(BCP_Soles[[#This Row],[fecha]]&gt;0,TEXT(BCP_Soles[[#This Row],[fecha]],"mmmm"),0)</f>
        <v>Setiembre</v>
      </c>
    </row>
    <row r="3983" spans="1:27" ht="24" x14ac:dyDescent="0.3">
      <c r="A3983" s="2">
        <f>IF(BCP_Soles[[#This Row],[tipo_registro]]="R",COUNTIFS($C$1:$C3982,"R")+1,A3982)</f>
        <v>2630</v>
      </c>
      <c r="B3983" s="19" t="str">
        <f t="shared" si="337"/>
        <v>B-BCP - Soles</v>
      </c>
      <c r="C3983" s="3" t="s">
        <v>1352</v>
      </c>
      <c r="D3983" s="14">
        <v>45926</v>
      </c>
      <c r="E3983" s="5" t="s">
        <v>2269</v>
      </c>
      <c r="F3983" s="5" t="s">
        <v>1336</v>
      </c>
      <c r="G3983" s="6" t="s">
        <v>756</v>
      </c>
      <c r="H3983" s="6" t="s">
        <v>72</v>
      </c>
      <c r="I3983" s="6" t="s">
        <v>1376</v>
      </c>
      <c r="J3983" s="6">
        <v>1326</v>
      </c>
      <c r="K3983" s="7" t="s">
        <v>4609</v>
      </c>
      <c r="L3983" s="8">
        <v>9388041</v>
      </c>
      <c r="M3983" s="8" t="str">
        <f t="shared" si="338"/>
        <v>PEN</v>
      </c>
      <c r="N3983" s="13">
        <v>50</v>
      </c>
      <c r="O3983" s="13"/>
      <c r="P3983" s="3">
        <f t="shared" si="339"/>
        <v>0</v>
      </c>
      <c r="Q3983" s="3">
        <f t="shared" si="340"/>
        <v>0</v>
      </c>
      <c r="R3983" s="3">
        <f t="shared" si="341"/>
        <v>20718.919999999969</v>
      </c>
      <c r="S3983" s="24" t="s">
        <v>1334</v>
      </c>
      <c r="T3983" s="24" t="s">
        <v>1334</v>
      </c>
      <c r="U3983" s="56" t="s">
        <v>4608</v>
      </c>
      <c r="V3983" s="25">
        <f>IFERROR(VLOOKUP(BCP_Soles[[#This Row],[destinatario]],CHOOSE({1,2},Clientes_Proveedores[Razon Social],Clientes_Proveedores[Ruc / Dni]),2,0),"")</f>
        <v>10450776578</v>
      </c>
      <c r="W3983" s="25"/>
      <c r="X3983" s="25"/>
      <c r="Y3983" s="25"/>
      <c r="Z3983" s="77"/>
      <c r="AA3983" s="3" t="str">
        <f>IF(BCP_Soles[[#This Row],[fecha]]&gt;0,TEXT(BCP_Soles[[#This Row],[fecha]],"mmmm"),0)</f>
        <v>Setiembre</v>
      </c>
    </row>
    <row r="3984" spans="1:27" ht="24" x14ac:dyDescent="0.3">
      <c r="A3984" s="2">
        <f>IF(BCP_Soles[[#This Row],[tipo_registro]]="R",COUNTIFS($C$1:$C3983,"R")+1,A3983)</f>
        <v>2630</v>
      </c>
      <c r="B3984" s="19" t="str">
        <f t="shared" si="337"/>
        <v>B-BCP - Soles</v>
      </c>
      <c r="C3984" s="3" t="s">
        <v>1352</v>
      </c>
      <c r="D3984" s="14">
        <v>45926</v>
      </c>
      <c r="E3984" s="5" t="s">
        <v>2269</v>
      </c>
      <c r="F3984" s="5" t="s">
        <v>1336</v>
      </c>
      <c r="G3984" s="6" t="s">
        <v>187</v>
      </c>
      <c r="H3984" s="6" t="s">
        <v>68</v>
      </c>
      <c r="I3984" s="6" t="s">
        <v>1376</v>
      </c>
      <c r="J3984" s="6">
        <v>600</v>
      </c>
      <c r="K3984" s="7" t="s">
        <v>4607</v>
      </c>
      <c r="L3984" s="8">
        <v>9388041</v>
      </c>
      <c r="M3984" s="8" t="str">
        <f t="shared" si="338"/>
        <v>PEN</v>
      </c>
      <c r="N3984" s="13">
        <v>120</v>
      </c>
      <c r="O3984" s="13"/>
      <c r="P3984" s="3">
        <f t="shared" si="339"/>
        <v>0</v>
      </c>
      <c r="Q3984" s="3">
        <f t="shared" si="340"/>
        <v>0</v>
      </c>
      <c r="R3984" s="3">
        <f t="shared" si="341"/>
        <v>20718.919999999969</v>
      </c>
      <c r="S3984" s="24" t="s">
        <v>1334</v>
      </c>
      <c r="T3984" s="24" t="s">
        <v>1334</v>
      </c>
      <c r="U3984" s="56" t="s">
        <v>4608</v>
      </c>
      <c r="V3984" s="25">
        <f>IFERROR(VLOOKUP(BCP_Soles[[#This Row],[destinatario]],CHOOSE({1,2},Clientes_Proveedores[Razon Social],Clientes_Proveedores[Ruc / Dni]),2,0),"")</f>
        <v>10706063426</v>
      </c>
      <c r="W3984" s="25"/>
      <c r="X3984" s="25"/>
      <c r="Y3984" s="25"/>
      <c r="Z3984" s="77"/>
      <c r="AA3984" s="3" t="str">
        <f>IF(BCP_Soles[[#This Row],[fecha]]&gt;0,TEXT(BCP_Soles[[#This Row],[fecha]],"mmmm"),0)</f>
        <v>Setiembre</v>
      </c>
    </row>
    <row r="3985" spans="1:27" ht="24" x14ac:dyDescent="0.3">
      <c r="A3985" s="2">
        <f>IF(BCP_Soles[[#This Row],[tipo_registro]]="R",COUNTIFS($C$1:$C3984,"R")+1,A3984)</f>
        <v>2630</v>
      </c>
      <c r="B3985" s="19" t="str">
        <f t="shared" si="337"/>
        <v>B-BCP - Soles</v>
      </c>
      <c r="C3985" s="3" t="s">
        <v>1352</v>
      </c>
      <c r="D3985" s="14">
        <v>45926</v>
      </c>
      <c r="E3985" s="5" t="s">
        <v>2269</v>
      </c>
      <c r="F3985" s="5" t="s">
        <v>1336</v>
      </c>
      <c r="G3985" s="6" t="s">
        <v>187</v>
      </c>
      <c r="H3985" s="6" t="s">
        <v>68</v>
      </c>
      <c r="I3985" s="6" t="s">
        <v>1376</v>
      </c>
      <c r="J3985" s="6">
        <v>621</v>
      </c>
      <c r="K3985" s="7" t="s">
        <v>4607</v>
      </c>
      <c r="L3985" s="8">
        <v>9388041</v>
      </c>
      <c r="M3985" s="8" t="str">
        <f t="shared" si="338"/>
        <v>PEN</v>
      </c>
      <c r="N3985" s="13">
        <v>150</v>
      </c>
      <c r="O3985" s="13"/>
      <c r="P3985" s="3">
        <f t="shared" si="339"/>
        <v>0</v>
      </c>
      <c r="Q3985" s="3">
        <f t="shared" si="340"/>
        <v>0</v>
      </c>
      <c r="R3985" s="3">
        <f t="shared" si="341"/>
        <v>20718.919999999969</v>
      </c>
      <c r="S3985" s="24" t="s">
        <v>1334</v>
      </c>
      <c r="T3985" s="24" t="s">
        <v>1334</v>
      </c>
      <c r="U3985" s="56" t="s">
        <v>4608</v>
      </c>
      <c r="V3985" s="25">
        <f>IFERROR(VLOOKUP(BCP_Soles[[#This Row],[destinatario]],CHOOSE({1,2},Clientes_Proveedores[Razon Social],Clientes_Proveedores[Ruc / Dni]),2,0),"")</f>
        <v>10706063426</v>
      </c>
      <c r="W3985" s="25"/>
      <c r="X3985" s="25"/>
      <c r="Y3985" s="25"/>
      <c r="Z3985" s="77"/>
      <c r="AA3985" s="3" t="str">
        <f>IF(BCP_Soles[[#This Row],[fecha]]&gt;0,TEXT(BCP_Soles[[#This Row],[fecha]],"mmmm"),0)</f>
        <v>Setiembre</v>
      </c>
    </row>
    <row r="3986" spans="1:27" ht="36" x14ac:dyDescent="0.3">
      <c r="A3986" s="2">
        <f>IF(BCP_Soles[[#This Row],[tipo_registro]]="R",COUNTIFS($C$1:$C3985,"R")+1,A3985)</f>
        <v>2630</v>
      </c>
      <c r="B3986" s="19" t="str">
        <f t="shared" si="337"/>
        <v>B-BCP - Soles</v>
      </c>
      <c r="C3986" s="3" t="s">
        <v>1352</v>
      </c>
      <c r="D3986" s="14">
        <v>45926</v>
      </c>
      <c r="E3986" s="5" t="s">
        <v>2269</v>
      </c>
      <c r="F3986" s="5" t="s">
        <v>1336</v>
      </c>
      <c r="G3986" s="6" t="s">
        <v>474</v>
      </c>
      <c r="H3986" s="6" t="s">
        <v>68</v>
      </c>
      <c r="I3986" s="6" t="s">
        <v>1376</v>
      </c>
      <c r="J3986" s="6">
        <v>866</v>
      </c>
      <c r="K3986" s="7" t="s">
        <v>4607</v>
      </c>
      <c r="L3986" s="8">
        <v>9388041</v>
      </c>
      <c r="M3986" s="8" t="str">
        <f t="shared" si="338"/>
        <v>PEN</v>
      </c>
      <c r="N3986" s="13">
        <v>250</v>
      </c>
      <c r="O3986" s="13"/>
      <c r="P3986" s="3">
        <f t="shared" si="339"/>
        <v>0</v>
      </c>
      <c r="Q3986" s="3">
        <f t="shared" si="340"/>
        <v>0</v>
      </c>
      <c r="R3986" s="3">
        <f t="shared" si="341"/>
        <v>20718.919999999969</v>
      </c>
      <c r="S3986" s="24" t="s">
        <v>1334</v>
      </c>
      <c r="T3986" s="24" t="s">
        <v>1334</v>
      </c>
      <c r="U3986" s="56" t="s">
        <v>4608</v>
      </c>
      <c r="V3986" s="25">
        <f>IFERROR(VLOOKUP(BCP_Soles[[#This Row],[destinatario]],CHOOSE({1,2},Clientes_Proveedores[Razon Social],Clientes_Proveedores[Ruc / Dni]),2,0),"")</f>
        <v>20602075177</v>
      </c>
      <c r="W3986" s="25"/>
      <c r="X3986" s="25"/>
      <c r="Y3986" s="25"/>
      <c r="Z3986" s="77"/>
      <c r="AA3986" s="3" t="str">
        <f>IF(BCP_Soles[[#This Row],[fecha]]&gt;0,TEXT(BCP_Soles[[#This Row],[fecha]],"mmmm"),0)</f>
        <v>Setiembre</v>
      </c>
    </row>
    <row r="3987" spans="1:27" ht="36" x14ac:dyDescent="0.3">
      <c r="A3987" s="2">
        <f>IF(BCP_Soles[[#This Row],[tipo_registro]]="R",COUNTIFS($C$1:$C3986,"R")+1,A3986)</f>
        <v>2630</v>
      </c>
      <c r="B3987" s="19" t="str">
        <f t="shared" si="337"/>
        <v>B-BCP - Soles</v>
      </c>
      <c r="C3987" s="3" t="s">
        <v>1352</v>
      </c>
      <c r="D3987" s="14">
        <v>45926</v>
      </c>
      <c r="E3987" s="5" t="s">
        <v>2269</v>
      </c>
      <c r="F3987" s="5" t="s">
        <v>1336</v>
      </c>
      <c r="G3987" s="6" t="s">
        <v>383</v>
      </c>
      <c r="H3987" s="6" t="s">
        <v>68</v>
      </c>
      <c r="I3987" s="6" t="s">
        <v>1804</v>
      </c>
      <c r="J3987" s="6">
        <v>986</v>
      </c>
      <c r="K3987" s="7" t="s">
        <v>4607</v>
      </c>
      <c r="L3987" s="8">
        <v>9388041</v>
      </c>
      <c r="M3987" s="8" t="str">
        <f t="shared" si="338"/>
        <v>PEN</v>
      </c>
      <c r="N3987" s="13">
        <v>65</v>
      </c>
      <c r="O3987" s="13"/>
      <c r="P3987" s="3">
        <f t="shared" si="339"/>
        <v>0</v>
      </c>
      <c r="Q3987" s="3">
        <f t="shared" si="340"/>
        <v>0</v>
      </c>
      <c r="R3987" s="3">
        <f t="shared" si="341"/>
        <v>20718.919999999969</v>
      </c>
      <c r="S3987" s="24" t="s">
        <v>1334</v>
      </c>
      <c r="T3987" s="24" t="s">
        <v>1334</v>
      </c>
      <c r="U3987" s="56" t="s">
        <v>4608</v>
      </c>
      <c r="V3987" s="25">
        <f>IFERROR(VLOOKUP(BCP_Soles[[#This Row],[destinatario]],CHOOSE({1,2},Clientes_Proveedores[Razon Social],Clientes_Proveedores[Ruc / Dni]),2,0),"")</f>
        <v>20538593053</v>
      </c>
      <c r="W3987" s="25"/>
      <c r="X3987" s="25"/>
      <c r="Y3987" s="25"/>
      <c r="Z3987" s="77"/>
      <c r="AA3987" s="3" t="str">
        <f>IF(BCP_Soles[[#This Row],[fecha]]&gt;0,TEXT(BCP_Soles[[#This Row],[fecha]],"mmmm"),0)</f>
        <v>Setiembre</v>
      </c>
    </row>
    <row r="3988" spans="1:27" x14ac:dyDescent="0.3">
      <c r="A3988" s="2">
        <f>IF(BCP_Soles[[#This Row],[tipo_registro]]="R",COUNTIFS($C$1:$C3987,"R")+1,A3987)</f>
        <v>2630</v>
      </c>
      <c r="B3988" s="19" t="str">
        <f t="shared" si="337"/>
        <v>B-BCP - Soles</v>
      </c>
      <c r="C3988" s="3" t="s">
        <v>1352</v>
      </c>
      <c r="D3988" s="14">
        <v>45926</v>
      </c>
      <c r="E3988" s="5" t="s">
        <v>2269</v>
      </c>
      <c r="F3988" s="5" t="s">
        <v>1336</v>
      </c>
      <c r="G3988" s="6" t="s">
        <v>286</v>
      </c>
      <c r="H3988" s="6" t="s">
        <v>68</v>
      </c>
      <c r="I3988" s="6" t="s">
        <v>1386</v>
      </c>
      <c r="J3988" s="6">
        <v>1731</v>
      </c>
      <c r="K3988" s="7" t="s">
        <v>4607</v>
      </c>
      <c r="L3988" s="8">
        <v>9388041</v>
      </c>
      <c r="M3988" s="8" t="str">
        <f t="shared" si="338"/>
        <v>PEN</v>
      </c>
      <c r="N3988" s="13">
        <v>148.86000000000001</v>
      </c>
      <c r="O3988" s="13"/>
      <c r="P3988" s="3">
        <f t="shared" si="339"/>
        <v>0</v>
      </c>
      <c r="Q3988" s="3">
        <f t="shared" si="340"/>
        <v>0</v>
      </c>
      <c r="R3988" s="3">
        <f t="shared" si="341"/>
        <v>20718.919999999969</v>
      </c>
      <c r="S3988" s="24" t="s">
        <v>1334</v>
      </c>
      <c r="T3988" s="24" t="s">
        <v>1334</v>
      </c>
      <c r="U3988" s="56" t="s">
        <v>4608</v>
      </c>
      <c r="V3988" s="25">
        <f>IFERROR(VLOOKUP(BCP_Soles[[#This Row],[destinatario]],CHOOSE({1,2},Clientes_Proveedores[Razon Social],Clientes_Proveedores[Ruc / Dni]),2,0),"")</f>
        <v>20454186002</v>
      </c>
      <c r="W3988" s="25"/>
      <c r="X3988" s="25"/>
      <c r="Y3988" s="25"/>
      <c r="Z3988" s="77"/>
      <c r="AA3988" s="3" t="str">
        <f>IF(BCP_Soles[[#This Row],[fecha]]&gt;0,TEXT(BCP_Soles[[#This Row],[fecha]],"mmmm"),0)</f>
        <v>Setiembre</v>
      </c>
    </row>
    <row r="3989" spans="1:27" x14ac:dyDescent="0.3">
      <c r="A3989" s="2">
        <f>IF(BCP_Soles[[#This Row],[tipo_registro]]="R",COUNTIFS($C$1:$C3988,"R")+1,A3988)</f>
        <v>2630</v>
      </c>
      <c r="B3989" s="19" t="str">
        <f t="shared" si="337"/>
        <v>B-BCP - Soles</v>
      </c>
      <c r="C3989" s="3" t="s">
        <v>1352</v>
      </c>
      <c r="D3989" s="14">
        <v>45926</v>
      </c>
      <c r="E3989" s="5" t="s">
        <v>2269</v>
      </c>
      <c r="F3989" s="5" t="s">
        <v>1336</v>
      </c>
      <c r="G3989" s="6" t="s">
        <v>286</v>
      </c>
      <c r="H3989" s="6" t="s">
        <v>68</v>
      </c>
      <c r="I3989" s="6" t="s">
        <v>1386</v>
      </c>
      <c r="J3989" s="6">
        <v>1732</v>
      </c>
      <c r="K3989" s="7" t="s">
        <v>4607</v>
      </c>
      <c r="L3989" s="8">
        <v>9388041</v>
      </c>
      <c r="M3989" s="8" t="str">
        <f t="shared" si="338"/>
        <v>PEN</v>
      </c>
      <c r="N3989" s="13">
        <v>154.34</v>
      </c>
      <c r="O3989" s="13"/>
      <c r="P3989" s="3">
        <f t="shared" si="339"/>
        <v>0</v>
      </c>
      <c r="Q3989" s="3">
        <f t="shared" si="340"/>
        <v>0</v>
      </c>
      <c r="R3989" s="3">
        <f t="shared" si="341"/>
        <v>20718.919999999969</v>
      </c>
      <c r="S3989" s="24" t="s">
        <v>1334</v>
      </c>
      <c r="T3989" s="24" t="s">
        <v>1334</v>
      </c>
      <c r="U3989" s="56" t="s">
        <v>4608</v>
      </c>
      <c r="V3989" s="25">
        <f>IFERROR(VLOOKUP(BCP_Soles[[#This Row],[destinatario]],CHOOSE({1,2},Clientes_Proveedores[Razon Social],Clientes_Proveedores[Ruc / Dni]),2,0),"")</f>
        <v>20454186002</v>
      </c>
      <c r="W3989" s="25"/>
      <c r="X3989" s="25"/>
      <c r="Y3989" s="25"/>
      <c r="Z3989" s="77"/>
      <c r="AA3989" s="3" t="str">
        <f>IF(BCP_Soles[[#This Row],[fecha]]&gt;0,TEXT(BCP_Soles[[#This Row],[fecha]],"mmmm"),0)</f>
        <v>Setiembre</v>
      </c>
    </row>
    <row r="3990" spans="1:27" x14ac:dyDescent="0.3">
      <c r="A3990" s="2">
        <f>IF(BCP_Soles[[#This Row],[tipo_registro]]="R",COUNTIFS($C$1:$C3989,"R")+1,A3989)</f>
        <v>2630</v>
      </c>
      <c r="B3990" s="19" t="str">
        <f t="shared" si="337"/>
        <v>B-BCP - Soles</v>
      </c>
      <c r="C3990" s="3" t="s">
        <v>1352</v>
      </c>
      <c r="D3990" s="14">
        <v>45926</v>
      </c>
      <c r="E3990" s="5" t="s">
        <v>2269</v>
      </c>
      <c r="F3990" s="5" t="s">
        <v>1336</v>
      </c>
      <c r="G3990" s="6" t="s">
        <v>286</v>
      </c>
      <c r="H3990" s="6" t="s">
        <v>68</v>
      </c>
      <c r="I3990" s="6" t="s">
        <v>1386</v>
      </c>
      <c r="J3990" s="6">
        <v>1730</v>
      </c>
      <c r="K3990" s="7" t="s">
        <v>4607</v>
      </c>
      <c r="L3990" s="8">
        <v>9388041</v>
      </c>
      <c r="M3990" s="8" t="str">
        <f t="shared" si="338"/>
        <v>PEN</v>
      </c>
      <c r="N3990" s="13">
        <v>326.02</v>
      </c>
      <c r="O3990" s="13"/>
      <c r="P3990" s="3">
        <f t="shared" si="339"/>
        <v>0</v>
      </c>
      <c r="Q3990" s="3">
        <f t="shared" si="340"/>
        <v>0</v>
      </c>
      <c r="R3990" s="3">
        <f t="shared" si="341"/>
        <v>20718.919999999969</v>
      </c>
      <c r="S3990" s="24" t="s">
        <v>1334</v>
      </c>
      <c r="T3990" s="24" t="s">
        <v>1334</v>
      </c>
      <c r="U3990" s="56" t="s">
        <v>4608</v>
      </c>
      <c r="V3990" s="25">
        <f>IFERROR(VLOOKUP(BCP_Soles[[#This Row],[destinatario]],CHOOSE({1,2},Clientes_Proveedores[Razon Social],Clientes_Proveedores[Ruc / Dni]),2,0),"")</f>
        <v>20454186002</v>
      </c>
      <c r="W3990" s="25"/>
      <c r="X3990" s="25"/>
      <c r="Y3990" s="25"/>
      <c r="Z3990" s="77"/>
      <c r="AA3990" s="3" t="str">
        <f>IF(BCP_Soles[[#This Row],[fecha]]&gt;0,TEXT(BCP_Soles[[#This Row],[fecha]],"mmmm"),0)</f>
        <v>Setiembre</v>
      </c>
    </row>
    <row r="3991" spans="1:27" x14ac:dyDescent="0.3">
      <c r="A3991" s="2">
        <f>IF(BCP_Soles[[#This Row],[tipo_registro]]="R",COUNTIFS($C$1:$C3990,"R")+1,A3990)</f>
        <v>2630</v>
      </c>
      <c r="B3991" s="19" t="str">
        <f t="shared" si="337"/>
        <v>B-BCP - Soles</v>
      </c>
      <c r="C3991" s="3" t="s">
        <v>1352</v>
      </c>
      <c r="D3991" s="14">
        <v>45926</v>
      </c>
      <c r="E3991" s="5" t="s">
        <v>2269</v>
      </c>
      <c r="F3991" s="5" t="s">
        <v>1336</v>
      </c>
      <c r="G3991" s="6" t="s">
        <v>286</v>
      </c>
      <c r="H3991" s="6" t="s">
        <v>68</v>
      </c>
      <c r="I3991" s="6" t="s">
        <v>1386</v>
      </c>
      <c r="J3991" s="6">
        <v>1729</v>
      </c>
      <c r="K3991" s="7" t="s">
        <v>4607</v>
      </c>
      <c r="L3991" s="8">
        <v>9388041</v>
      </c>
      <c r="M3991" s="8" t="str">
        <f t="shared" si="338"/>
        <v>PEN</v>
      </c>
      <c r="N3991" s="13">
        <v>94.5</v>
      </c>
      <c r="O3991" s="13"/>
      <c r="P3991" s="3">
        <f t="shared" si="339"/>
        <v>0</v>
      </c>
      <c r="Q3991" s="3">
        <f t="shared" si="340"/>
        <v>0</v>
      </c>
      <c r="R3991" s="3">
        <f t="shared" si="341"/>
        <v>20718.919999999969</v>
      </c>
      <c r="S3991" s="24" t="s">
        <v>1334</v>
      </c>
      <c r="T3991" s="24" t="s">
        <v>1334</v>
      </c>
      <c r="U3991" s="56" t="s">
        <v>4608</v>
      </c>
      <c r="V3991" s="25">
        <f>IFERROR(VLOOKUP(BCP_Soles[[#This Row],[destinatario]],CHOOSE({1,2},Clientes_Proveedores[Razon Social],Clientes_Proveedores[Ruc / Dni]),2,0),"")</f>
        <v>20454186002</v>
      </c>
      <c r="W3991" s="25"/>
      <c r="X3991" s="25"/>
      <c r="Y3991" s="25"/>
      <c r="Z3991" s="77"/>
      <c r="AA3991" s="3" t="str">
        <f>IF(BCP_Soles[[#This Row],[fecha]]&gt;0,TEXT(BCP_Soles[[#This Row],[fecha]],"mmmm"),0)</f>
        <v>Setiembre</v>
      </c>
    </row>
    <row r="3992" spans="1:27" x14ac:dyDescent="0.3">
      <c r="A3992" s="2">
        <f>IF(BCP_Soles[[#This Row],[tipo_registro]]="R",COUNTIFS($C$1:$C3991,"R")+1,A3991)</f>
        <v>2630</v>
      </c>
      <c r="B3992" s="19" t="str">
        <f t="shared" si="337"/>
        <v>B-BCP - Soles</v>
      </c>
      <c r="C3992" s="3" t="s">
        <v>1352</v>
      </c>
      <c r="D3992" s="14">
        <v>45926</v>
      </c>
      <c r="E3992" s="5" t="s">
        <v>2269</v>
      </c>
      <c r="F3992" s="5" t="s">
        <v>1336</v>
      </c>
      <c r="G3992" s="6" t="s">
        <v>286</v>
      </c>
      <c r="H3992" s="6" t="s">
        <v>68</v>
      </c>
      <c r="I3992" s="6" t="s">
        <v>1386</v>
      </c>
      <c r="J3992" s="6">
        <v>1728</v>
      </c>
      <c r="K3992" s="7" t="s">
        <v>4607</v>
      </c>
      <c r="L3992" s="8">
        <v>9388041</v>
      </c>
      <c r="M3992" s="8" t="str">
        <f t="shared" si="338"/>
        <v>PEN</v>
      </c>
      <c r="N3992" s="13">
        <v>694.61</v>
      </c>
      <c r="O3992" s="13"/>
      <c r="P3992" s="3">
        <f t="shared" si="339"/>
        <v>0</v>
      </c>
      <c r="Q3992" s="3">
        <f t="shared" si="340"/>
        <v>0</v>
      </c>
      <c r="R3992" s="3">
        <f t="shared" si="341"/>
        <v>20718.919999999969</v>
      </c>
      <c r="S3992" s="24" t="s">
        <v>1334</v>
      </c>
      <c r="T3992" s="24" t="s">
        <v>1334</v>
      </c>
      <c r="U3992" s="56" t="s">
        <v>4608</v>
      </c>
      <c r="V3992" s="25">
        <f>IFERROR(VLOOKUP(BCP_Soles[[#This Row],[destinatario]],CHOOSE({1,2},Clientes_Proveedores[Razon Social],Clientes_Proveedores[Ruc / Dni]),2,0),"")</f>
        <v>20454186002</v>
      </c>
      <c r="W3992" s="25"/>
      <c r="X3992" s="25"/>
      <c r="Y3992" s="25"/>
      <c r="Z3992" s="77"/>
      <c r="AA3992" s="3" t="str">
        <f>IF(BCP_Soles[[#This Row],[fecha]]&gt;0,TEXT(BCP_Soles[[#This Row],[fecha]],"mmmm"),0)</f>
        <v>Setiembre</v>
      </c>
    </row>
    <row r="3993" spans="1:27" ht="24" x14ac:dyDescent="0.3">
      <c r="A3993" s="2">
        <f>IF(BCP_Soles[[#This Row],[tipo_registro]]="R",COUNTIFS($C$1:$C3992,"R")+1,A3992)</f>
        <v>2631</v>
      </c>
      <c r="B3993" s="19" t="str">
        <f t="shared" si="332"/>
        <v>B-BCP - Soles</v>
      </c>
      <c r="C3993" s="3" t="s">
        <v>1330</v>
      </c>
      <c r="D3993" s="14">
        <v>45926</v>
      </c>
      <c r="E3993" s="5" t="s">
        <v>1335</v>
      </c>
      <c r="F3993" s="5" t="s">
        <v>1336</v>
      </c>
      <c r="G3993" s="6" t="s">
        <v>1060</v>
      </c>
      <c r="H3993" s="6" t="s">
        <v>68</v>
      </c>
      <c r="I3993" s="6" t="s">
        <v>1397</v>
      </c>
      <c r="J3993" s="6">
        <v>37414056</v>
      </c>
      <c r="K3993" s="7" t="s">
        <v>4610</v>
      </c>
      <c r="L3993" s="8">
        <v>9388107</v>
      </c>
      <c r="M3993" s="8" t="str">
        <f t="shared" si="333"/>
        <v>PEN</v>
      </c>
      <c r="N3993" s="13"/>
      <c r="O3993" s="13">
        <v>12.5</v>
      </c>
      <c r="P3993" s="3">
        <f t="shared" si="334"/>
        <v>0</v>
      </c>
      <c r="Q3993" s="3">
        <f t="shared" si="335"/>
        <v>12.5</v>
      </c>
      <c r="R3993" s="3">
        <f t="shared" si="341"/>
        <v>20706.419999999969</v>
      </c>
      <c r="S3993" s="24" t="s">
        <v>1334</v>
      </c>
      <c r="T3993" s="24" t="s">
        <v>1334</v>
      </c>
      <c r="U3993" s="55"/>
      <c r="V3993" s="25">
        <f>IFERROR(VLOOKUP(BCP_Soles[[#This Row],[destinatario]],CHOOSE({1,2},Clientes_Proveedores[Razon Social],Clientes_Proveedores[Ruc / Dni]),2,0),"")</f>
        <v>20100047218</v>
      </c>
      <c r="W3993" s="25"/>
      <c r="X3993" s="25"/>
      <c r="Y3993" s="25"/>
      <c r="Z3993" s="77"/>
      <c r="AA3993" s="3" t="str">
        <f>IF(BCP_Soles[[#This Row],[fecha]]&gt;0,TEXT(BCP_Soles[[#This Row],[fecha]],"mmmm"),0)</f>
        <v>Setiembre</v>
      </c>
    </row>
    <row r="3994" spans="1:27" x14ac:dyDescent="0.3">
      <c r="A3994" s="2">
        <f>IF(BCP_Soles[[#This Row],[tipo_registro]]="R",COUNTIFS($C$1:$C3993,"R")+1,A3993)</f>
        <v>2632</v>
      </c>
      <c r="B3994" s="19" t="str">
        <f t="shared" si="332"/>
        <v>B-BCP - Soles</v>
      </c>
      <c r="C3994" s="3" t="s">
        <v>1330</v>
      </c>
      <c r="D3994" s="14">
        <v>45926</v>
      </c>
      <c r="E3994" s="5" t="s">
        <v>1335</v>
      </c>
      <c r="F3994" s="5" t="s">
        <v>1336</v>
      </c>
      <c r="G3994" s="6" t="s">
        <v>1009</v>
      </c>
      <c r="H3994" s="6" t="s">
        <v>64</v>
      </c>
      <c r="I3994" s="6" t="s">
        <v>3673</v>
      </c>
      <c r="J3994" s="6">
        <v>2634</v>
      </c>
      <c r="K3994" s="7" t="s">
        <v>3160</v>
      </c>
      <c r="L3994" s="8"/>
      <c r="M3994" s="8" t="str">
        <f t="shared" si="333"/>
        <v>PEN</v>
      </c>
      <c r="N3994" s="13"/>
      <c r="O3994" s="13">
        <v>0.85</v>
      </c>
      <c r="P3994" s="3">
        <f t="shared" si="334"/>
        <v>0</v>
      </c>
      <c r="Q3994" s="3">
        <f t="shared" si="335"/>
        <v>0.85</v>
      </c>
      <c r="R3994" s="3">
        <f t="shared" si="341"/>
        <v>20705.569999999971</v>
      </c>
      <c r="S3994" s="24"/>
      <c r="T3994" s="24" t="s">
        <v>1334</v>
      </c>
      <c r="U3994" s="55"/>
      <c r="V3994" s="25">
        <f>IFERROR(VLOOKUP(BCP_Soles[[#This Row],[destinatario]],CHOOSE({1,2},Clientes_Proveedores[Razon Social],Clientes_Proveedores[Ruc / Dni]),2,0),"")</f>
        <v>11111111</v>
      </c>
      <c r="W3994" s="25"/>
      <c r="X3994" s="25"/>
      <c r="Y3994" s="25"/>
      <c r="Z3994" s="77"/>
      <c r="AA3994" s="3" t="str">
        <f>IF(BCP_Soles[[#This Row],[fecha]]&gt;0,TEXT(BCP_Soles[[#This Row],[fecha]],"mmmm"),0)</f>
        <v>Setiembre</v>
      </c>
    </row>
    <row r="3995" spans="1:27" x14ac:dyDescent="0.3">
      <c r="A3995" s="2">
        <f>IF(BCP_Soles[[#This Row],[tipo_registro]]="R",COUNTIFS($C$1:$C3994,"R")+1,A3994)</f>
        <v>2633</v>
      </c>
      <c r="B3995" s="19" t="str">
        <f>"B-BCP - Soles"</f>
        <v>B-BCP - Soles</v>
      </c>
      <c r="C3995" s="3" t="s">
        <v>1330</v>
      </c>
      <c r="D3995" s="14">
        <v>45929</v>
      </c>
      <c r="E3995" s="5" t="s">
        <v>439</v>
      </c>
      <c r="F3995" s="5" t="s">
        <v>1303</v>
      </c>
      <c r="G3995" s="6" t="s">
        <v>425</v>
      </c>
      <c r="H3995" s="6" t="s">
        <v>119</v>
      </c>
      <c r="I3995" s="6">
        <v>1</v>
      </c>
      <c r="J3995" s="6">
        <v>4777</v>
      </c>
      <c r="K3995" s="7" t="s">
        <v>3608</v>
      </c>
      <c r="L3995" s="8">
        <v>436005</v>
      </c>
      <c r="M3995" s="8" t="str">
        <f>"PEN"</f>
        <v>PEN</v>
      </c>
      <c r="N3995" s="13"/>
      <c r="O3995" s="13">
        <v>630</v>
      </c>
      <c r="P3995" s="3">
        <f>+IF(OR($F3995="SALDO",$F3995="INGRESO"),$O3995,0)</f>
        <v>630</v>
      </c>
      <c r="Q3995" s="3">
        <f>+IF($F3995="EGRESO",$O3995,0)</f>
        <v>0</v>
      </c>
      <c r="R3995" s="3">
        <f t="shared" si="341"/>
        <v>21335.569999999971</v>
      </c>
      <c r="S3995" s="24" t="s">
        <v>1334</v>
      </c>
      <c r="T3995" s="24" t="s">
        <v>1334</v>
      </c>
      <c r="U3995" s="55"/>
      <c r="V3995" s="25">
        <f>IFERROR(VLOOKUP(BCP_Soles[[#This Row],[destinatario]],CHOOSE({1,2},Clientes_Proveedores[Razon Social],Clientes_Proveedores[Ruc / Dni]),2,0),"")</f>
        <v>20558226979</v>
      </c>
      <c r="W3995" s="25"/>
      <c r="X3995" s="25"/>
      <c r="Y3995" s="25"/>
      <c r="Z3995" s="77"/>
      <c r="AA3995" s="3" t="str">
        <f>IF(BCP_Soles[[#This Row],[fecha]]&gt;0,TEXT(BCP_Soles[[#This Row],[fecha]],"mmmm"),0)</f>
        <v>Setiembre</v>
      </c>
    </row>
    <row r="3996" spans="1:27" ht="36" x14ac:dyDescent="0.3">
      <c r="A3996" s="2">
        <f>IF(BCP_Soles[[#This Row],[tipo_registro]]="R",COUNTIFS($C$1:$C3995,"R")+1,A3995)</f>
        <v>2634</v>
      </c>
      <c r="B3996" s="19" t="str">
        <f t="shared" si="332"/>
        <v>B-BCP - Soles</v>
      </c>
      <c r="C3996" s="3" t="s">
        <v>1330</v>
      </c>
      <c r="D3996" s="14">
        <v>45929</v>
      </c>
      <c r="E3996" s="5" t="s">
        <v>2269</v>
      </c>
      <c r="F3996" s="5" t="s">
        <v>1336</v>
      </c>
      <c r="G3996" s="6" t="s">
        <v>497</v>
      </c>
      <c r="H3996" s="6" t="s">
        <v>68</v>
      </c>
      <c r="I3996" s="6" t="s">
        <v>1390</v>
      </c>
      <c r="J3996" s="6">
        <v>21258</v>
      </c>
      <c r="K3996" s="7" t="s">
        <v>4611</v>
      </c>
      <c r="L3996" s="8">
        <v>1242038</v>
      </c>
      <c r="M3996" s="8" t="str">
        <f t="shared" si="333"/>
        <v>PEN</v>
      </c>
      <c r="N3996" s="13"/>
      <c r="O3996" s="13">
        <v>550</v>
      </c>
      <c r="P3996" s="3">
        <f t="shared" si="334"/>
        <v>0</v>
      </c>
      <c r="Q3996" s="3">
        <f t="shared" si="335"/>
        <v>550</v>
      </c>
      <c r="R3996" s="3">
        <f t="shared" si="341"/>
        <v>20785.569999999971</v>
      </c>
      <c r="S3996" s="24" t="s">
        <v>1334</v>
      </c>
      <c r="T3996" s="24" t="s">
        <v>1334</v>
      </c>
      <c r="U3996" s="55"/>
      <c r="V3996" s="25">
        <f>IFERROR(VLOOKUP(BCP_Soles[[#This Row],[destinatario]],CHOOSE({1,2},Clientes_Proveedores[Razon Social],Clientes_Proveedores[Ruc / Dni]),2,0),"")</f>
        <v>20602810497</v>
      </c>
      <c r="W3996" s="25"/>
      <c r="X3996" s="25"/>
      <c r="Y3996" s="25"/>
      <c r="Z3996" s="77"/>
      <c r="AA3996" s="3" t="str">
        <f>IF(BCP_Soles[[#This Row],[fecha]]&gt;0,TEXT(BCP_Soles[[#This Row],[fecha]],"mmmm"),0)</f>
        <v>Setiembre</v>
      </c>
    </row>
    <row r="3997" spans="1:27" ht="24" x14ac:dyDescent="0.3">
      <c r="A3997" s="2">
        <f>IF(BCP_Soles[[#This Row],[tipo_registro]]="R",COUNTIFS($C$1:$C3996,"R")+1,A3996)</f>
        <v>2635</v>
      </c>
      <c r="B3997" s="19" t="str">
        <f t="shared" ref="B3997:B4004" si="342">"B-BCP - Soles"</f>
        <v>B-BCP - Soles</v>
      </c>
      <c r="C3997" s="3" t="s">
        <v>1330</v>
      </c>
      <c r="D3997" s="14">
        <v>45929</v>
      </c>
      <c r="E3997" s="5" t="s">
        <v>2269</v>
      </c>
      <c r="F3997" s="5" t="s">
        <v>1336</v>
      </c>
      <c r="G3997" s="6" t="s">
        <v>1133</v>
      </c>
      <c r="H3997" s="6" t="s">
        <v>75</v>
      </c>
      <c r="I3997" s="6">
        <v>1</v>
      </c>
      <c r="J3997" s="6">
        <v>943</v>
      </c>
      <c r="K3997" s="7" t="s">
        <v>4612</v>
      </c>
      <c r="L3997" s="8">
        <v>1241072</v>
      </c>
      <c r="M3997" s="8" t="str">
        <f t="shared" ref="M3997:M4004" si="343">"PEN"</f>
        <v>PEN</v>
      </c>
      <c r="N3997" s="13"/>
      <c r="O3997" s="13">
        <v>403</v>
      </c>
      <c r="P3997" s="3">
        <f t="shared" ref="P3997:P4004" si="344">+IF(OR($F3997="SALDO",$F3997="INGRESO"),$O3997,0)</f>
        <v>0</v>
      </c>
      <c r="Q3997" s="3">
        <f t="shared" ref="Q3997:Q4004" si="345">+IF($F3997="EGRESO",$O3997,0)</f>
        <v>403</v>
      </c>
      <c r="R3997" s="3">
        <f t="shared" si="341"/>
        <v>20382.569999999971</v>
      </c>
      <c r="S3997" s="24" t="s">
        <v>1334</v>
      </c>
      <c r="T3997" s="24" t="s">
        <v>1334</v>
      </c>
      <c r="U3997" s="55"/>
      <c r="V3997" s="25">
        <f>IFERROR(VLOOKUP(BCP_Soles[[#This Row],[destinatario]],CHOOSE({1,2},Clientes_Proveedores[Razon Social],Clientes_Proveedores[Ruc / Dni]),2,0),"")</f>
        <v>10749040918</v>
      </c>
      <c r="W3997" s="25"/>
      <c r="X3997" s="25"/>
      <c r="Y3997" s="25"/>
      <c r="Z3997" s="77"/>
      <c r="AA3997" s="3" t="str">
        <f>IF(BCP_Soles[[#This Row],[fecha]]&gt;0,TEXT(BCP_Soles[[#This Row],[fecha]],"mmmm"),0)</f>
        <v>Setiembre</v>
      </c>
    </row>
    <row r="3998" spans="1:27" x14ac:dyDescent="0.3">
      <c r="A3998" s="2">
        <f>IF(BCP_Soles[[#This Row],[tipo_registro]]="R",COUNTIFS($C$1:$C3997,"R")+1,A3997)</f>
        <v>2636</v>
      </c>
      <c r="B3998" s="19" t="str">
        <f t="shared" si="342"/>
        <v>B-BCP - Soles</v>
      </c>
      <c r="C3998" s="3" t="s">
        <v>1330</v>
      </c>
      <c r="D3998" s="14">
        <v>45929</v>
      </c>
      <c r="E3998" s="5" t="s">
        <v>2269</v>
      </c>
      <c r="F3998" s="5" t="s">
        <v>1336</v>
      </c>
      <c r="G3998" s="6" t="s">
        <v>648</v>
      </c>
      <c r="H3998" s="6" t="s">
        <v>68</v>
      </c>
      <c r="I3998" s="6" t="s">
        <v>1374</v>
      </c>
      <c r="J3998" s="6">
        <v>1075421</v>
      </c>
      <c r="K3998" s="7" t="s">
        <v>1848</v>
      </c>
      <c r="L3998" s="8">
        <v>239992</v>
      </c>
      <c r="M3998" s="8" t="str">
        <f t="shared" si="343"/>
        <v>PEN</v>
      </c>
      <c r="N3998" s="13"/>
      <c r="O3998" s="13">
        <v>120.36</v>
      </c>
      <c r="P3998" s="3">
        <f t="shared" si="344"/>
        <v>0</v>
      </c>
      <c r="Q3998" s="3">
        <f t="shared" si="345"/>
        <v>120.36</v>
      </c>
      <c r="R3998" s="3">
        <f t="shared" si="341"/>
        <v>20262.20999999997</v>
      </c>
      <c r="S3998" s="24" t="s">
        <v>1334</v>
      </c>
      <c r="T3998" s="24" t="s">
        <v>1334</v>
      </c>
      <c r="U3998" s="56" t="s">
        <v>4613</v>
      </c>
      <c r="V3998" s="25">
        <f>IFERROR(VLOOKUP(BCP_Soles[[#This Row],[destinatario]],CHOOSE({1,2},Clientes_Proveedores[Razon Social],Clientes_Proveedores[Ruc / Dni]),2,0),"")</f>
        <v>20265681299</v>
      </c>
      <c r="W3998" s="25"/>
      <c r="X3998" s="25"/>
      <c r="Y3998" s="25"/>
      <c r="Z3998" s="77"/>
      <c r="AA3998" s="3" t="str">
        <f>IF(BCP_Soles[[#This Row],[fecha]]&gt;0,TEXT(BCP_Soles[[#This Row],[fecha]],"mmmm"),0)</f>
        <v>Setiembre</v>
      </c>
    </row>
    <row r="3999" spans="1:27" ht="24" x14ac:dyDescent="0.3">
      <c r="A3999" s="2">
        <f>IF(BCP_Soles[[#This Row],[tipo_registro]]="R",COUNTIFS($C$1:$C3998,"R")+1,A3998)</f>
        <v>2637</v>
      </c>
      <c r="B3999" s="19" t="str">
        <f t="shared" si="342"/>
        <v>B-BCP - Soles</v>
      </c>
      <c r="C3999" s="3" t="s">
        <v>1330</v>
      </c>
      <c r="D3999" s="14">
        <v>45929</v>
      </c>
      <c r="E3999" s="5" t="s">
        <v>4171</v>
      </c>
      <c r="F3999" s="5" t="s">
        <v>1336</v>
      </c>
      <c r="G3999" s="6" t="s">
        <v>866</v>
      </c>
      <c r="H3999" s="6" t="s">
        <v>143</v>
      </c>
      <c r="I3999" s="6">
        <v>1</v>
      </c>
      <c r="J3999" s="6">
        <v>792025</v>
      </c>
      <c r="K3999" s="7" t="s">
        <v>4614</v>
      </c>
      <c r="L3999" s="8">
        <v>1239993</v>
      </c>
      <c r="M3999" s="8" t="str">
        <f t="shared" si="343"/>
        <v>PEN</v>
      </c>
      <c r="N3999" s="13"/>
      <c r="O3999" s="13">
        <v>420</v>
      </c>
      <c r="P3999" s="3">
        <f t="shared" si="344"/>
        <v>0</v>
      </c>
      <c r="Q3999" s="3">
        <f t="shared" si="345"/>
        <v>420</v>
      </c>
      <c r="R3999" s="3">
        <f t="shared" si="341"/>
        <v>19842.20999999997</v>
      </c>
      <c r="S3999" s="24"/>
      <c r="T3999" s="24"/>
      <c r="U3999" s="55"/>
      <c r="V3999" s="25">
        <f>IFERROR(VLOOKUP(BCP_Soles[[#This Row],[destinatario]],CHOOSE({1,2},Clientes_Proveedores[Razon Social],Clientes_Proveedores[Ruc / Dni]),2,0),"")</f>
        <v>45921913</v>
      </c>
      <c r="W3999" s="25"/>
      <c r="X3999" s="25"/>
      <c r="Y3999" s="25"/>
      <c r="Z3999" s="77"/>
      <c r="AA3999" s="3" t="str">
        <f>IF(BCP_Soles[[#This Row],[fecha]]&gt;0,TEXT(BCP_Soles[[#This Row],[fecha]],"mmmm"),0)</f>
        <v>Setiembre</v>
      </c>
    </row>
    <row r="4000" spans="1:27" x14ac:dyDescent="0.3">
      <c r="A4000" s="2">
        <f>IF(BCP_Soles[[#This Row],[tipo_registro]]="R",COUNTIFS($C$1:$C3999,"R")+1,A3999)</f>
        <v>2638</v>
      </c>
      <c r="B4000" s="19" t="str">
        <f t="shared" si="342"/>
        <v>B-BCP - Soles</v>
      </c>
      <c r="C4000" s="3" t="s">
        <v>1330</v>
      </c>
      <c r="D4000" s="14">
        <v>45929</v>
      </c>
      <c r="E4000" s="5" t="s">
        <v>4171</v>
      </c>
      <c r="F4000" s="5" t="s">
        <v>1336</v>
      </c>
      <c r="G4000" s="6" t="s">
        <v>696</v>
      </c>
      <c r="H4000" s="6"/>
      <c r="I4000" s="6"/>
      <c r="J4000" s="6"/>
      <c r="K4000" s="7" t="s">
        <v>4615</v>
      </c>
      <c r="L4000" s="8">
        <v>478673</v>
      </c>
      <c r="M4000" s="8" t="str">
        <f t="shared" si="343"/>
        <v>PEN</v>
      </c>
      <c r="N4000" s="13"/>
      <c r="O4000" s="13">
        <v>1650</v>
      </c>
      <c r="P4000" s="3">
        <f t="shared" si="344"/>
        <v>0</v>
      </c>
      <c r="Q4000" s="3">
        <f t="shared" si="345"/>
        <v>1650</v>
      </c>
      <c r="R4000" s="3">
        <f t="shared" si="341"/>
        <v>18192.20999999997</v>
      </c>
      <c r="S4000" s="24" t="s">
        <v>1334</v>
      </c>
      <c r="T4000" s="24" t="s">
        <v>1334</v>
      </c>
      <c r="U4000" s="56" t="s">
        <v>4616</v>
      </c>
      <c r="V4000" s="25">
        <f>IFERROR(VLOOKUP(BCP_Soles[[#This Row],[destinatario]],CHOOSE({1,2},Clientes_Proveedores[Razon Social],Clientes_Proveedores[Ruc / Dni]),2,0),"")</f>
        <v>0</v>
      </c>
      <c r="W4000" s="25"/>
      <c r="X4000" s="25"/>
      <c r="Y4000" s="25"/>
      <c r="Z4000" s="77"/>
      <c r="AA4000" s="3" t="str">
        <f>IF(BCP_Soles[[#This Row],[fecha]]&gt;0,TEXT(BCP_Soles[[#This Row],[fecha]],"mmmm"),0)</f>
        <v>Setiembre</v>
      </c>
    </row>
    <row r="4001" spans="1:27" x14ac:dyDescent="0.3">
      <c r="A4001" s="2">
        <f>IF(BCP_Soles[[#This Row],[tipo_registro]]="R",COUNTIFS($C$1:$C4000,"R")+1,A4000)</f>
        <v>2638</v>
      </c>
      <c r="B4001" s="19" t="str">
        <f>"B-BCP - Soles"</f>
        <v>B-BCP - Soles</v>
      </c>
      <c r="C4001" s="3" t="s">
        <v>1352</v>
      </c>
      <c r="D4001" s="14">
        <v>45929</v>
      </c>
      <c r="E4001" s="5" t="s">
        <v>4171</v>
      </c>
      <c r="F4001" s="5" t="s">
        <v>1336</v>
      </c>
      <c r="G4001" s="6" t="s">
        <v>338</v>
      </c>
      <c r="H4001" s="6" t="s">
        <v>68</v>
      </c>
      <c r="I4001" s="6" t="s">
        <v>1376</v>
      </c>
      <c r="J4001" s="6">
        <v>512</v>
      </c>
      <c r="K4001" s="7" t="s">
        <v>4615</v>
      </c>
      <c r="L4001" s="8">
        <v>478673</v>
      </c>
      <c r="M4001" s="8" t="str">
        <f>"PEN"</f>
        <v>PEN</v>
      </c>
      <c r="N4001" s="13">
        <v>354</v>
      </c>
      <c r="O4001" s="13"/>
      <c r="P4001" s="3">
        <f>+IF(OR($F4001="SALDO",$F4001="INGRESO"),$O4001,0)</f>
        <v>0</v>
      </c>
      <c r="Q4001" s="3">
        <f>+IF($F4001="EGRESO",$O4001,0)</f>
        <v>0</v>
      </c>
      <c r="R4001" s="3">
        <f t="shared" si="341"/>
        <v>18192.20999999997</v>
      </c>
      <c r="S4001" s="24" t="s">
        <v>1334</v>
      </c>
      <c r="T4001" s="24" t="s">
        <v>1334</v>
      </c>
      <c r="U4001" s="56"/>
      <c r="V4001" s="25">
        <f>IFERROR(VLOOKUP(BCP_Soles[[#This Row],[destinatario]],CHOOSE({1,2},Clientes_Proveedores[Razon Social],Clientes_Proveedores[Ruc / Dni]),2,0),"")</f>
        <v>20498380931</v>
      </c>
      <c r="W4001" s="25"/>
      <c r="X4001" s="25"/>
      <c r="Y4001" s="25"/>
      <c r="Z4001" s="77"/>
      <c r="AA4001" s="3" t="str">
        <f>IF(BCP_Soles[[#This Row],[fecha]]&gt;0,TEXT(BCP_Soles[[#This Row],[fecha]],"mmmm"),0)</f>
        <v>Setiembre</v>
      </c>
    </row>
    <row r="4002" spans="1:27" ht="36" x14ac:dyDescent="0.3">
      <c r="A4002" s="2">
        <f>IF(BCP_Soles[[#This Row],[tipo_registro]]="R",COUNTIFS($C$1:$C4001,"R")+1,A4001)</f>
        <v>2638</v>
      </c>
      <c r="B4002" s="19" t="str">
        <f>"B-BCP - Soles"</f>
        <v>B-BCP - Soles</v>
      </c>
      <c r="C4002" s="3" t="s">
        <v>1352</v>
      </c>
      <c r="D4002" s="14">
        <v>45929</v>
      </c>
      <c r="E4002" s="5" t="s">
        <v>4171</v>
      </c>
      <c r="F4002" s="5" t="s">
        <v>1336</v>
      </c>
      <c r="G4002" s="6" t="s">
        <v>495</v>
      </c>
      <c r="H4002" s="6" t="s">
        <v>68</v>
      </c>
      <c r="I4002" s="6" t="s">
        <v>1376</v>
      </c>
      <c r="J4002" s="6">
        <v>3985</v>
      </c>
      <c r="K4002" s="7" t="s">
        <v>4615</v>
      </c>
      <c r="L4002" s="8">
        <v>478673</v>
      </c>
      <c r="M4002" s="8" t="str">
        <f>"PEN"</f>
        <v>PEN</v>
      </c>
      <c r="N4002" s="13">
        <v>1296</v>
      </c>
      <c r="O4002" s="13"/>
      <c r="P4002" s="3">
        <f>+IF(OR($F4002="SALDO",$F4002="INGRESO"),$O4002,0)</f>
        <v>0</v>
      </c>
      <c r="Q4002" s="3">
        <f>+IF($F4002="EGRESO",$O4002,0)</f>
        <v>0</v>
      </c>
      <c r="R4002" s="3">
        <f t="shared" si="341"/>
        <v>18192.20999999997</v>
      </c>
      <c r="S4002" s="24" t="s">
        <v>1334</v>
      </c>
      <c r="T4002" s="24" t="s">
        <v>1334</v>
      </c>
      <c r="U4002" s="56"/>
      <c r="V4002" s="25">
        <f>IFERROR(VLOOKUP(BCP_Soles[[#This Row],[destinatario]],CHOOSE({1,2},Clientes_Proveedores[Razon Social],Clientes_Proveedores[Ruc / Dni]),2,0),"")</f>
        <v>20602778861</v>
      </c>
      <c r="W4002" s="25"/>
      <c r="X4002" s="25"/>
      <c r="Y4002" s="25"/>
      <c r="Z4002" s="77"/>
      <c r="AA4002" s="3" t="str">
        <f>IF(BCP_Soles[[#This Row],[fecha]]&gt;0,TEXT(BCP_Soles[[#This Row],[fecha]],"mmmm"),0)</f>
        <v>Setiembre</v>
      </c>
    </row>
    <row r="4003" spans="1:27" ht="24" x14ac:dyDescent="0.3">
      <c r="A4003" s="2">
        <f>IF(BCP_Soles[[#This Row],[tipo_registro]]="R",COUNTIFS($C$1:$C4002,"R")+1,A4002)</f>
        <v>2639</v>
      </c>
      <c r="B4003" s="19" t="str">
        <f t="shared" si="342"/>
        <v>B-BCP - Soles</v>
      </c>
      <c r="C4003" s="3" t="s">
        <v>1330</v>
      </c>
      <c r="D4003" s="14">
        <v>45929</v>
      </c>
      <c r="E4003" s="5" t="s">
        <v>4171</v>
      </c>
      <c r="F4003" s="5" t="s">
        <v>1336</v>
      </c>
      <c r="G4003" s="6" t="s">
        <v>1243</v>
      </c>
      <c r="H4003" s="6" t="s">
        <v>68</v>
      </c>
      <c r="I4003" s="6" t="s">
        <v>3302</v>
      </c>
      <c r="J4003" s="6">
        <v>3001</v>
      </c>
      <c r="K4003" s="7" t="s">
        <v>4617</v>
      </c>
      <c r="L4003" s="8">
        <v>1240575</v>
      </c>
      <c r="M4003" s="8" t="str">
        <f t="shared" si="343"/>
        <v>PEN</v>
      </c>
      <c r="N4003" s="13"/>
      <c r="O4003" s="13">
        <v>695</v>
      </c>
      <c r="P4003" s="3">
        <f t="shared" si="344"/>
        <v>0</v>
      </c>
      <c r="Q4003" s="3">
        <f t="shared" si="345"/>
        <v>695</v>
      </c>
      <c r="R4003" s="3">
        <f t="shared" si="341"/>
        <v>17497.20999999997</v>
      </c>
      <c r="S4003" s="24" t="s">
        <v>1334</v>
      </c>
      <c r="T4003" s="24" t="s">
        <v>1334</v>
      </c>
      <c r="U4003" s="56" t="s">
        <v>4618</v>
      </c>
      <c r="V4003" s="25">
        <f>IFERROR(VLOOKUP(BCP_Soles[[#This Row],[destinatario]],CHOOSE({1,2},Clientes_Proveedores[Razon Social],Clientes_Proveedores[Ruc / Dni]),2,0),"")</f>
        <v>20600384423</v>
      </c>
      <c r="W4003" s="25"/>
      <c r="X4003" s="25"/>
      <c r="Y4003" s="25"/>
      <c r="Z4003" s="77"/>
      <c r="AA4003" s="3" t="str">
        <f>IF(BCP_Soles[[#This Row],[fecha]]&gt;0,TEXT(BCP_Soles[[#This Row],[fecha]],"mmmm"),0)</f>
        <v>Setiembre</v>
      </c>
    </row>
    <row r="4004" spans="1:27" x14ac:dyDescent="0.3">
      <c r="A4004" s="2">
        <f>IF(BCP_Soles[[#This Row],[tipo_registro]]="R",COUNTIFS($C$1:$C4003,"R")+1,A4003)</f>
        <v>2640</v>
      </c>
      <c r="B4004" s="19" t="str">
        <f t="shared" si="342"/>
        <v>B-BCP - Soles</v>
      </c>
      <c r="C4004" s="3" t="s">
        <v>1330</v>
      </c>
      <c r="D4004" s="14">
        <v>45929</v>
      </c>
      <c r="E4004" s="5" t="s">
        <v>4171</v>
      </c>
      <c r="F4004" s="5" t="s">
        <v>1336</v>
      </c>
      <c r="G4004" s="6" t="s">
        <v>809</v>
      </c>
      <c r="H4004" s="6"/>
      <c r="I4004" s="6"/>
      <c r="J4004" s="6"/>
      <c r="K4004" s="7" t="s">
        <v>4559</v>
      </c>
      <c r="L4004" s="8">
        <v>1242039</v>
      </c>
      <c r="M4004" s="8" t="str">
        <f t="shared" si="343"/>
        <v>PEN</v>
      </c>
      <c r="N4004" s="13"/>
      <c r="O4004" s="13">
        <v>3000</v>
      </c>
      <c r="P4004" s="3">
        <f t="shared" si="344"/>
        <v>0</v>
      </c>
      <c r="Q4004" s="3">
        <f t="shared" si="345"/>
        <v>3000</v>
      </c>
      <c r="R4004" s="3">
        <f t="shared" si="341"/>
        <v>14497.20999999997</v>
      </c>
      <c r="S4004" s="24"/>
      <c r="T4004" s="24"/>
      <c r="U4004" s="56" t="s">
        <v>4619</v>
      </c>
      <c r="V4004" s="25">
        <f>IFERROR(VLOOKUP(BCP_Soles[[#This Row],[destinatario]],CHOOSE({1,2},Clientes_Proveedores[Razon Social],Clientes_Proveedores[Ruc / Dni]),2,0),"")</f>
        <v>45286301</v>
      </c>
      <c r="W4004" s="25"/>
      <c r="X4004" s="25"/>
      <c r="Y4004" s="25"/>
      <c r="Z4004" s="77"/>
      <c r="AA4004" s="3" t="str">
        <f>IF(BCP_Soles[[#This Row],[fecha]]&gt;0,TEXT(BCP_Soles[[#This Row],[fecha]],"mmmm"),0)</f>
        <v>Setiembre</v>
      </c>
    </row>
    <row r="4005" spans="1:27" x14ac:dyDescent="0.3">
      <c r="A4005" s="2">
        <f>IF(BCP_Soles[[#This Row],[tipo_registro]]="R",COUNTIFS($C$1:$C4004,"R")+1,A4004)</f>
        <v>2641</v>
      </c>
      <c r="B4005" s="19" t="str">
        <f t="shared" ref="B4005:B4031" si="346">"B-BCP - Soles"</f>
        <v>B-BCP - Soles</v>
      </c>
      <c r="C4005" s="3" t="s">
        <v>1330</v>
      </c>
      <c r="D4005" s="14">
        <v>45929</v>
      </c>
      <c r="E4005" s="5" t="s">
        <v>1335</v>
      </c>
      <c r="F4005" s="5" t="s">
        <v>1336</v>
      </c>
      <c r="G4005" s="6" t="s">
        <v>1009</v>
      </c>
      <c r="H4005" s="6" t="s">
        <v>64</v>
      </c>
      <c r="I4005" s="6" t="s">
        <v>3673</v>
      </c>
      <c r="J4005" s="6">
        <v>2643</v>
      </c>
      <c r="K4005" s="7" t="s">
        <v>3160</v>
      </c>
      <c r="L4005" s="8"/>
      <c r="M4005" s="8" t="str">
        <f t="shared" ref="M4005:M4031" si="347">"PEN"</f>
        <v>PEN</v>
      </c>
      <c r="N4005" s="13"/>
      <c r="O4005" s="13">
        <v>0.2</v>
      </c>
      <c r="P4005" s="3">
        <f t="shared" ref="P4005:P4031" si="348">+IF(OR($F4005="SALDO",$F4005="INGRESO"),$O4005,0)</f>
        <v>0</v>
      </c>
      <c r="Q4005" s="3">
        <f t="shared" ref="Q4005:Q4031" si="349">+IF($F4005="EGRESO",$O4005,0)</f>
        <v>0.2</v>
      </c>
      <c r="R4005" s="3">
        <f t="shared" si="341"/>
        <v>14497.009999999969</v>
      </c>
      <c r="S4005" s="24"/>
      <c r="T4005" s="24" t="s">
        <v>1334</v>
      </c>
      <c r="U4005" s="55"/>
      <c r="V4005" s="25">
        <f>IFERROR(VLOOKUP(BCP_Soles[[#This Row],[destinatario]],CHOOSE({1,2},Clientes_Proveedores[Razon Social],Clientes_Proveedores[Ruc / Dni]),2,0),"")</f>
        <v>11111111</v>
      </c>
      <c r="W4005" s="25"/>
      <c r="X4005" s="25"/>
      <c r="Y4005" s="25"/>
      <c r="Z4005" s="77"/>
      <c r="AA4005" s="3" t="str">
        <f>IF(BCP_Soles[[#This Row],[fecha]]&gt;0,TEXT(BCP_Soles[[#This Row],[fecha]],"mmmm"),0)</f>
        <v>Setiembre</v>
      </c>
    </row>
    <row r="4006" spans="1:27" ht="24" x14ac:dyDescent="0.3">
      <c r="A4006" s="2">
        <f>IF(BCP_Soles[[#This Row],[tipo_registro]]="R",COUNTIFS($C$1:$C4005,"R")+1,A4005)</f>
        <v>2642</v>
      </c>
      <c r="B4006" s="19" t="str">
        <f t="shared" si="346"/>
        <v>B-BCP - Soles</v>
      </c>
      <c r="C4006" s="3" t="s">
        <v>1330</v>
      </c>
      <c r="D4006" s="14">
        <v>45930</v>
      </c>
      <c r="E4006" s="5" t="s">
        <v>4357</v>
      </c>
      <c r="F4006" s="5" t="s">
        <v>1303</v>
      </c>
      <c r="G4006" s="6" t="s">
        <v>425</v>
      </c>
      <c r="H4006" s="6" t="s">
        <v>119</v>
      </c>
      <c r="I4006" s="6">
        <v>1</v>
      </c>
      <c r="J4006" s="6">
        <v>4785</v>
      </c>
      <c r="K4006" s="7" t="s">
        <v>3608</v>
      </c>
      <c r="L4006" s="8">
        <v>2319798</v>
      </c>
      <c r="M4006" s="8" t="str">
        <f t="shared" si="347"/>
        <v>PEN</v>
      </c>
      <c r="N4006" s="13"/>
      <c r="O4006" s="13">
        <v>5076</v>
      </c>
      <c r="P4006" s="3">
        <f t="shared" si="348"/>
        <v>5076</v>
      </c>
      <c r="Q4006" s="3">
        <f t="shared" si="349"/>
        <v>0</v>
      </c>
      <c r="R4006" s="3">
        <f t="shared" si="341"/>
        <v>19573.009999999969</v>
      </c>
      <c r="S4006" s="24" t="s">
        <v>1334</v>
      </c>
      <c r="T4006" s="24" t="s">
        <v>1334</v>
      </c>
      <c r="U4006" s="55"/>
      <c r="V4006" s="25">
        <f>IFERROR(VLOOKUP(BCP_Soles[[#This Row],[destinatario]],CHOOSE({1,2},Clientes_Proveedores[Razon Social],Clientes_Proveedores[Ruc / Dni]),2,0),"")</f>
        <v>20558226979</v>
      </c>
      <c r="W4006" s="25"/>
      <c r="X4006" s="25"/>
      <c r="Y4006" s="25"/>
      <c r="Z4006" s="77"/>
      <c r="AA4006" s="3" t="str">
        <f>IF(BCP_Soles[[#This Row],[fecha]]&gt;0,TEXT(BCP_Soles[[#This Row],[fecha]],"mmmm"),0)</f>
        <v>Setiembre</v>
      </c>
    </row>
    <row r="4007" spans="1:27" x14ac:dyDescent="0.3">
      <c r="A4007" s="2">
        <f>IF(BCP_Soles[[#This Row],[tipo_registro]]="R",COUNTIFS($C$1:$C4006,"R")+1,A4006)</f>
        <v>2643</v>
      </c>
      <c r="B4007" s="19" t="str">
        <f t="shared" si="346"/>
        <v>B-BCP - Soles</v>
      </c>
      <c r="C4007" s="3" t="s">
        <v>1330</v>
      </c>
      <c r="D4007" s="14">
        <v>45930</v>
      </c>
      <c r="E4007" s="5" t="s">
        <v>4171</v>
      </c>
      <c r="F4007" s="5" t="s">
        <v>1303</v>
      </c>
      <c r="G4007" s="6" t="s">
        <v>425</v>
      </c>
      <c r="H4007" s="6"/>
      <c r="I4007" s="6"/>
      <c r="J4007" s="6"/>
      <c r="K4007" s="7" t="s">
        <v>4620</v>
      </c>
      <c r="L4007" s="8">
        <v>2391123</v>
      </c>
      <c r="M4007" s="8" t="str">
        <f t="shared" si="347"/>
        <v>PEN</v>
      </c>
      <c r="N4007" s="13"/>
      <c r="O4007" s="13">
        <v>26836.43</v>
      </c>
      <c r="P4007" s="3">
        <f t="shared" si="348"/>
        <v>26836.43</v>
      </c>
      <c r="Q4007" s="3">
        <f t="shared" si="349"/>
        <v>0</v>
      </c>
      <c r="R4007" s="3">
        <f t="shared" si="341"/>
        <v>46409.439999999973</v>
      </c>
      <c r="S4007" s="24" t="s">
        <v>1334</v>
      </c>
      <c r="T4007" s="24" t="s">
        <v>1334</v>
      </c>
      <c r="U4007" s="55"/>
      <c r="V4007" s="25">
        <f>IFERROR(VLOOKUP(BCP_Soles[[#This Row],[destinatario]],CHOOSE({1,2},Clientes_Proveedores[Razon Social],Clientes_Proveedores[Ruc / Dni]),2,0),"")</f>
        <v>20558226979</v>
      </c>
      <c r="W4007" s="25"/>
      <c r="X4007" s="25"/>
      <c r="Y4007" s="25"/>
      <c r="Z4007" s="77"/>
      <c r="AA4007" s="3" t="str">
        <f>IF(BCP_Soles[[#This Row],[fecha]]&gt;0,TEXT(BCP_Soles[[#This Row],[fecha]],"mmmm"),0)</f>
        <v>Setiembre</v>
      </c>
    </row>
    <row r="4008" spans="1:27" x14ac:dyDescent="0.3">
      <c r="A4008" s="2">
        <f>IF(BCP_Soles[[#This Row],[tipo_registro]]="R",COUNTIFS($C$1:$C4007,"R")+1,A4007)</f>
        <v>2644</v>
      </c>
      <c r="B4008" s="19" t="str">
        <f t="shared" si="346"/>
        <v>B-BCP - Soles</v>
      </c>
      <c r="C4008" s="3" t="s">
        <v>1330</v>
      </c>
      <c r="D4008" s="14">
        <v>45930</v>
      </c>
      <c r="E4008" s="5" t="s">
        <v>4621</v>
      </c>
      <c r="F4008" s="5" t="s">
        <v>1303</v>
      </c>
      <c r="G4008" s="6" t="s">
        <v>425</v>
      </c>
      <c r="H4008" s="6"/>
      <c r="I4008" s="6"/>
      <c r="J4008" s="6"/>
      <c r="K4008" s="7" t="s">
        <v>1634</v>
      </c>
      <c r="L4008" s="8">
        <v>2185890</v>
      </c>
      <c r="M4008" s="8" t="str">
        <f t="shared" si="347"/>
        <v>PEN</v>
      </c>
      <c r="N4008" s="13"/>
      <c r="O4008" s="13">
        <v>10000</v>
      </c>
      <c r="P4008" s="3">
        <f t="shared" si="348"/>
        <v>10000</v>
      </c>
      <c r="Q4008" s="3">
        <f t="shared" si="349"/>
        <v>0</v>
      </c>
      <c r="R4008" s="3">
        <f t="shared" si="341"/>
        <v>56409.439999999973</v>
      </c>
      <c r="S4008" s="24"/>
      <c r="T4008" s="24"/>
      <c r="U4008" s="55"/>
      <c r="V4008" s="25">
        <f>IFERROR(VLOOKUP(BCP_Soles[[#This Row],[destinatario]],CHOOSE({1,2},Clientes_Proveedores[Razon Social],Clientes_Proveedores[Ruc / Dni]),2,0),"")</f>
        <v>20558226979</v>
      </c>
      <c r="W4008" s="25"/>
      <c r="X4008" s="25"/>
      <c r="Y4008" s="25"/>
      <c r="Z4008" s="77"/>
      <c r="AA4008" s="3" t="str">
        <f>IF(BCP_Soles[[#This Row],[fecha]]&gt;0,TEXT(BCP_Soles[[#This Row],[fecha]],"mmmm"),0)</f>
        <v>Setiembre</v>
      </c>
    </row>
    <row r="4009" spans="1:27" ht="24" x14ac:dyDescent="0.3">
      <c r="A4009" s="2">
        <f>IF(BCP_Soles[[#This Row],[tipo_registro]]="R",COUNTIFS($C$1:$C4008,"R")+1,A4008)</f>
        <v>2645</v>
      </c>
      <c r="B4009" s="19" t="str">
        <f t="shared" si="346"/>
        <v>B-BCP - Soles</v>
      </c>
      <c r="C4009" s="3" t="s">
        <v>1330</v>
      </c>
      <c r="D4009" s="14">
        <v>45930</v>
      </c>
      <c r="E4009" s="5" t="s">
        <v>309</v>
      </c>
      <c r="F4009" s="5" t="s">
        <v>1303</v>
      </c>
      <c r="G4009" s="6" t="s">
        <v>425</v>
      </c>
      <c r="H4009" s="6" t="s">
        <v>119</v>
      </c>
      <c r="I4009" s="6">
        <v>1</v>
      </c>
      <c r="J4009" s="6">
        <v>4775</v>
      </c>
      <c r="K4009" s="7" t="s">
        <v>1356</v>
      </c>
      <c r="L4009" s="8">
        <v>2589972</v>
      </c>
      <c r="M4009" s="8" t="str">
        <f t="shared" si="347"/>
        <v>PEN</v>
      </c>
      <c r="N4009" s="13"/>
      <c r="O4009" s="13">
        <v>8000</v>
      </c>
      <c r="P4009" s="3">
        <f t="shared" si="348"/>
        <v>8000</v>
      </c>
      <c r="Q4009" s="3">
        <f t="shared" si="349"/>
        <v>0</v>
      </c>
      <c r="R4009" s="3">
        <f t="shared" si="341"/>
        <v>64409.439999999973</v>
      </c>
      <c r="S4009" s="24" t="s">
        <v>1334</v>
      </c>
      <c r="T4009" s="24" t="s">
        <v>1334</v>
      </c>
      <c r="U4009" s="55"/>
      <c r="V4009" s="25">
        <f>IFERROR(VLOOKUP(BCP_Soles[[#This Row],[destinatario]],CHOOSE({1,2},Clientes_Proveedores[Razon Social],Clientes_Proveedores[Ruc / Dni]),2,0),"")</f>
        <v>20558226979</v>
      </c>
      <c r="W4009" s="25"/>
      <c r="X4009" s="25"/>
      <c r="Y4009" s="25"/>
      <c r="Z4009" s="77"/>
      <c r="AA4009" s="3" t="str">
        <f>IF(BCP_Soles[[#This Row],[fecha]]&gt;0,TEXT(BCP_Soles[[#This Row],[fecha]],"mmmm"),0)</f>
        <v>Setiembre</v>
      </c>
    </row>
    <row r="4010" spans="1:27" x14ac:dyDescent="0.3">
      <c r="A4010" s="2">
        <f>IF(BCP_Soles[[#This Row],[tipo_registro]]="R",COUNTIFS($C$1:$C4009,"R")+1,A4009)</f>
        <v>2646</v>
      </c>
      <c r="B4010" s="19" t="str">
        <f t="shared" si="346"/>
        <v>B-BCP - Soles</v>
      </c>
      <c r="C4010" s="3" t="s">
        <v>1330</v>
      </c>
      <c r="D4010" s="14">
        <v>45930</v>
      </c>
      <c r="E4010" s="5"/>
      <c r="F4010" s="5" t="s">
        <v>1303</v>
      </c>
      <c r="G4010" s="6" t="s">
        <v>425</v>
      </c>
      <c r="H4010" s="6"/>
      <c r="I4010" s="6"/>
      <c r="J4010" s="6"/>
      <c r="K4010" s="7" t="s">
        <v>4622</v>
      </c>
      <c r="L4010" s="8">
        <v>886903</v>
      </c>
      <c r="M4010" s="8" t="str">
        <f t="shared" si="347"/>
        <v>PEN</v>
      </c>
      <c r="N4010" s="13"/>
      <c r="O4010" s="13">
        <v>7200</v>
      </c>
      <c r="P4010" s="3">
        <f t="shared" si="348"/>
        <v>7200</v>
      </c>
      <c r="Q4010" s="3">
        <f t="shared" si="349"/>
        <v>0</v>
      </c>
      <c r="R4010" s="3">
        <f t="shared" si="341"/>
        <v>71609.439999999973</v>
      </c>
      <c r="S4010" s="24" t="s">
        <v>1334</v>
      </c>
      <c r="T4010" s="24" t="s">
        <v>1334</v>
      </c>
      <c r="U4010" s="55"/>
      <c r="V4010" s="25">
        <f>IFERROR(VLOOKUP(BCP_Soles[[#This Row],[destinatario]],CHOOSE({1,2},Clientes_Proveedores[Razon Social],Clientes_Proveedores[Ruc / Dni]),2,0),"")</f>
        <v>20558226979</v>
      </c>
      <c r="W4010" s="25"/>
      <c r="X4010" s="25"/>
      <c r="Y4010" s="25"/>
      <c r="Z4010" s="77"/>
      <c r="AA4010" s="3" t="str">
        <f>IF(BCP_Soles[[#This Row],[fecha]]&gt;0,TEXT(BCP_Soles[[#This Row],[fecha]],"mmmm"),0)</f>
        <v>Setiembre</v>
      </c>
    </row>
    <row r="4011" spans="1:27" ht="24" x14ac:dyDescent="0.3">
      <c r="A4011" s="2">
        <f>IF(BCP_Soles[[#This Row],[tipo_registro]]="R",COUNTIFS($C$1:$C4010,"R")+1,A4010)</f>
        <v>2646</v>
      </c>
      <c r="B4011" s="19" t="str">
        <f t="shared" si="346"/>
        <v>B-BCP - Soles</v>
      </c>
      <c r="C4011" s="3" t="s">
        <v>1352</v>
      </c>
      <c r="D4011" s="14">
        <v>45930</v>
      </c>
      <c r="E4011" s="5" t="s">
        <v>2502</v>
      </c>
      <c r="F4011" s="5" t="s">
        <v>1303</v>
      </c>
      <c r="G4011" s="6" t="s">
        <v>425</v>
      </c>
      <c r="H4011" s="6" t="s">
        <v>119</v>
      </c>
      <c r="I4011" s="6">
        <v>1</v>
      </c>
      <c r="J4011" s="6">
        <v>4786</v>
      </c>
      <c r="K4011" s="7" t="s">
        <v>4622</v>
      </c>
      <c r="L4011" s="8">
        <v>886903</v>
      </c>
      <c r="M4011" s="8" t="str">
        <f t="shared" si="347"/>
        <v>PEN</v>
      </c>
      <c r="N4011" s="13">
        <v>3525</v>
      </c>
      <c r="O4011" s="13"/>
      <c r="P4011" s="3">
        <f t="shared" si="348"/>
        <v>0</v>
      </c>
      <c r="Q4011" s="3">
        <f t="shared" si="349"/>
        <v>0</v>
      </c>
      <c r="R4011" s="3">
        <f t="shared" si="341"/>
        <v>71609.439999999973</v>
      </c>
      <c r="S4011" s="24" t="s">
        <v>1334</v>
      </c>
      <c r="T4011" s="24" t="s">
        <v>1334</v>
      </c>
      <c r="U4011" s="55"/>
      <c r="V4011" s="25">
        <f>IFERROR(VLOOKUP(BCP_Soles[[#This Row],[destinatario]],CHOOSE({1,2},Clientes_Proveedores[Razon Social],Clientes_Proveedores[Ruc / Dni]),2,0),"")</f>
        <v>20558226979</v>
      </c>
      <c r="W4011" s="25"/>
      <c r="X4011" s="25"/>
      <c r="Y4011" s="25"/>
      <c r="Z4011" s="77"/>
      <c r="AA4011" s="3" t="str">
        <f>IF(BCP_Soles[[#This Row],[fecha]]&gt;0,TEXT(BCP_Soles[[#This Row],[fecha]],"mmmm"),0)</f>
        <v>Setiembre</v>
      </c>
    </row>
    <row r="4012" spans="1:27" ht="24" x14ac:dyDescent="0.3">
      <c r="A4012" s="2">
        <f>IF(BCP_Soles[[#This Row],[tipo_registro]]="R",COUNTIFS($C$1:$C4011,"R")+1,A4011)</f>
        <v>2646</v>
      </c>
      <c r="B4012" s="19" t="str">
        <f t="shared" si="346"/>
        <v>B-BCP - Soles</v>
      </c>
      <c r="C4012" s="3" t="s">
        <v>1352</v>
      </c>
      <c r="D4012" s="14">
        <v>45930</v>
      </c>
      <c r="E4012" s="5" t="s">
        <v>2502</v>
      </c>
      <c r="F4012" s="5" t="s">
        <v>1303</v>
      </c>
      <c r="G4012" s="6" t="s">
        <v>425</v>
      </c>
      <c r="H4012" s="6" t="s">
        <v>119</v>
      </c>
      <c r="I4012" s="6">
        <v>1</v>
      </c>
      <c r="J4012" s="6">
        <v>4787</v>
      </c>
      <c r="K4012" s="7" t="s">
        <v>4622</v>
      </c>
      <c r="L4012" s="8">
        <v>886903</v>
      </c>
      <c r="M4012" s="8" t="str">
        <f t="shared" si="347"/>
        <v>PEN</v>
      </c>
      <c r="N4012" s="13">
        <v>2220</v>
      </c>
      <c r="O4012" s="13"/>
      <c r="P4012" s="3">
        <f t="shared" si="348"/>
        <v>0</v>
      </c>
      <c r="Q4012" s="3">
        <f t="shared" si="349"/>
        <v>0</v>
      </c>
      <c r="R4012" s="3">
        <f t="shared" si="341"/>
        <v>71609.439999999973</v>
      </c>
      <c r="S4012" s="24" t="s">
        <v>1334</v>
      </c>
      <c r="T4012" s="24" t="s">
        <v>1334</v>
      </c>
      <c r="U4012" s="55"/>
      <c r="V4012" s="25">
        <f>IFERROR(VLOOKUP(BCP_Soles[[#This Row],[destinatario]],CHOOSE({1,2},Clientes_Proveedores[Razon Social],Clientes_Proveedores[Ruc / Dni]),2,0),"")</f>
        <v>20558226979</v>
      </c>
      <c r="W4012" s="25"/>
      <c r="X4012" s="25"/>
      <c r="Y4012" s="25"/>
      <c r="Z4012" s="77"/>
      <c r="AA4012" s="3" t="str">
        <f>IF(BCP_Soles[[#This Row],[fecha]]&gt;0,TEXT(BCP_Soles[[#This Row],[fecha]],"mmmm"),0)</f>
        <v>Setiembre</v>
      </c>
    </row>
    <row r="4013" spans="1:27" ht="24" x14ac:dyDescent="0.3">
      <c r="A4013" s="2">
        <f>IF(BCP_Soles[[#This Row],[tipo_registro]]="R",COUNTIFS($C$1:$C4012,"R")+1,A4012)</f>
        <v>2646</v>
      </c>
      <c r="B4013" s="19" t="str">
        <f t="shared" si="346"/>
        <v>B-BCP - Soles</v>
      </c>
      <c r="C4013" s="3" t="s">
        <v>1352</v>
      </c>
      <c r="D4013" s="14">
        <v>45930</v>
      </c>
      <c r="E4013" s="5" t="s">
        <v>2502</v>
      </c>
      <c r="F4013" s="5" t="s">
        <v>1303</v>
      </c>
      <c r="G4013" s="6" t="s">
        <v>425</v>
      </c>
      <c r="H4013" s="6" t="s">
        <v>119</v>
      </c>
      <c r="I4013" s="6">
        <v>1</v>
      </c>
      <c r="J4013" s="6">
        <v>4788</v>
      </c>
      <c r="K4013" s="7" t="s">
        <v>4622</v>
      </c>
      <c r="L4013" s="8">
        <v>886903</v>
      </c>
      <c r="M4013" s="8" t="str">
        <f t="shared" si="347"/>
        <v>PEN</v>
      </c>
      <c r="N4013" s="13">
        <v>1455</v>
      </c>
      <c r="O4013" s="13"/>
      <c r="P4013" s="3">
        <f t="shared" si="348"/>
        <v>0</v>
      </c>
      <c r="Q4013" s="3">
        <f t="shared" si="349"/>
        <v>0</v>
      </c>
      <c r="R4013" s="3">
        <f t="shared" si="341"/>
        <v>71609.439999999973</v>
      </c>
      <c r="S4013" s="24" t="s">
        <v>1334</v>
      </c>
      <c r="T4013" s="24" t="s">
        <v>1334</v>
      </c>
      <c r="U4013" s="55"/>
      <c r="V4013" s="25">
        <f>IFERROR(VLOOKUP(BCP_Soles[[#This Row],[destinatario]],CHOOSE({1,2},Clientes_Proveedores[Razon Social],Clientes_Proveedores[Ruc / Dni]),2,0),"")</f>
        <v>20558226979</v>
      </c>
      <c r="W4013" s="25"/>
      <c r="X4013" s="25"/>
      <c r="Y4013" s="25"/>
      <c r="Z4013" s="77"/>
      <c r="AA4013" s="3" t="str">
        <f>IF(BCP_Soles[[#This Row],[fecha]]&gt;0,TEXT(BCP_Soles[[#This Row],[fecha]],"mmmm"),0)</f>
        <v>Setiembre</v>
      </c>
    </row>
    <row r="4014" spans="1:27" x14ac:dyDescent="0.3">
      <c r="A4014" s="2">
        <f>IF(BCP_Soles[[#This Row],[tipo_registro]]="R",COUNTIFS($C$1:$C4013,"R")+1,A4013)</f>
        <v>2647</v>
      </c>
      <c r="B4014" s="19" t="str">
        <f t="shared" si="346"/>
        <v>B-BCP - Soles</v>
      </c>
      <c r="C4014" s="3" t="s">
        <v>1330</v>
      </c>
      <c r="D4014" s="14">
        <v>45930</v>
      </c>
      <c r="E4014" s="65" t="s">
        <v>295</v>
      </c>
      <c r="F4014" s="5" t="s">
        <v>1303</v>
      </c>
      <c r="G4014" s="6" t="s">
        <v>425</v>
      </c>
      <c r="H4014" s="6" t="s">
        <v>68</v>
      </c>
      <c r="I4014" s="6" t="s">
        <v>3302</v>
      </c>
      <c r="J4014" s="6">
        <v>139</v>
      </c>
      <c r="K4014" s="7" t="s">
        <v>1428</v>
      </c>
      <c r="L4014" s="8">
        <v>2418450</v>
      </c>
      <c r="M4014" s="8" t="str">
        <f t="shared" si="347"/>
        <v>PEN</v>
      </c>
      <c r="N4014" s="13"/>
      <c r="O4014" s="13">
        <v>3423.34</v>
      </c>
      <c r="P4014" s="3">
        <f t="shared" si="348"/>
        <v>3423.34</v>
      </c>
      <c r="Q4014" s="3">
        <f t="shared" si="349"/>
        <v>0</v>
      </c>
      <c r="R4014" s="3">
        <f t="shared" si="341"/>
        <v>75032.77999999997</v>
      </c>
      <c r="S4014" s="24" t="s">
        <v>1334</v>
      </c>
      <c r="T4014" s="24" t="s">
        <v>1334</v>
      </c>
      <c r="U4014" s="55"/>
      <c r="V4014" s="25">
        <f>IFERROR(VLOOKUP(BCP_Soles[[#This Row],[destinatario]],CHOOSE({1,2},Clientes_Proveedores[Razon Social],Clientes_Proveedores[Ruc / Dni]),2,0),"")</f>
        <v>20558226979</v>
      </c>
      <c r="W4014" s="25"/>
      <c r="X4014" s="25"/>
      <c r="Y4014" s="25"/>
      <c r="Z4014" s="77"/>
      <c r="AA4014" s="3" t="str">
        <f>IF(BCP_Soles[[#This Row],[fecha]]&gt;0,TEXT(BCP_Soles[[#This Row],[fecha]],"mmmm"),0)</f>
        <v>Setiembre</v>
      </c>
    </row>
    <row r="4015" spans="1:27" x14ac:dyDescent="0.3">
      <c r="A4015" s="2">
        <f>IF(BCP_Soles[[#This Row],[tipo_registro]]="R",COUNTIFS($C$1:$C4014,"R")+1,A4014)</f>
        <v>2648</v>
      </c>
      <c r="B4015" s="19" t="str">
        <f t="shared" si="346"/>
        <v>B-BCP - Soles</v>
      </c>
      <c r="C4015" s="3" t="s">
        <v>1330</v>
      </c>
      <c r="D4015" s="14">
        <v>45930</v>
      </c>
      <c r="E4015" s="5" t="s">
        <v>1421</v>
      </c>
      <c r="F4015" s="5" t="s">
        <v>1303</v>
      </c>
      <c r="G4015" s="6" t="s">
        <v>425</v>
      </c>
      <c r="H4015" s="6"/>
      <c r="I4015" s="6"/>
      <c r="J4015" s="6"/>
      <c r="K4015" s="7" t="s">
        <v>3224</v>
      </c>
      <c r="L4015" s="8">
        <v>2761</v>
      </c>
      <c r="M4015" s="8" t="str">
        <f t="shared" si="347"/>
        <v>PEN</v>
      </c>
      <c r="N4015" s="13"/>
      <c r="O4015" s="13">
        <v>3000</v>
      </c>
      <c r="P4015" s="3">
        <f t="shared" si="348"/>
        <v>3000</v>
      </c>
      <c r="Q4015" s="3">
        <f t="shared" si="349"/>
        <v>0</v>
      </c>
      <c r="R4015" s="3">
        <f t="shared" si="341"/>
        <v>78032.77999999997</v>
      </c>
      <c r="S4015" s="24" t="s">
        <v>1334</v>
      </c>
      <c r="T4015" s="24" t="s">
        <v>1334</v>
      </c>
      <c r="U4015" s="55"/>
      <c r="V4015" s="25">
        <f>IFERROR(VLOOKUP(BCP_Soles[[#This Row],[destinatario]],CHOOSE({1,2},Clientes_Proveedores[Razon Social],Clientes_Proveedores[Ruc / Dni]),2,0),"")</f>
        <v>20558226979</v>
      </c>
      <c r="W4015" s="25"/>
      <c r="X4015" s="25"/>
      <c r="Y4015" s="25"/>
      <c r="Z4015" s="77"/>
      <c r="AA4015" s="3" t="str">
        <f>IF(BCP_Soles[[#This Row],[fecha]]&gt;0,TEXT(BCP_Soles[[#This Row],[fecha]],"mmmm"),0)</f>
        <v>Setiembre</v>
      </c>
    </row>
    <row r="4016" spans="1:27" x14ac:dyDescent="0.3">
      <c r="A4016" s="2">
        <f>IF(BCP_Soles[[#This Row],[tipo_registro]]="R",COUNTIFS($C$1:$C4015,"R")+1,A4015)</f>
        <v>2649</v>
      </c>
      <c r="B4016" s="19" t="str">
        <f t="shared" si="346"/>
        <v>B-BCP - Soles</v>
      </c>
      <c r="C4016" s="3" t="s">
        <v>1330</v>
      </c>
      <c r="D4016" s="14">
        <v>45930</v>
      </c>
      <c r="E4016" s="65" t="s">
        <v>295</v>
      </c>
      <c r="F4016" s="5" t="s">
        <v>1303</v>
      </c>
      <c r="G4016" s="6" t="s">
        <v>425</v>
      </c>
      <c r="H4016" s="6" t="s">
        <v>68</v>
      </c>
      <c r="I4016" s="6" t="s">
        <v>3302</v>
      </c>
      <c r="J4016" s="6">
        <v>141</v>
      </c>
      <c r="K4016" s="7" t="s">
        <v>1428</v>
      </c>
      <c r="L4016" s="8">
        <v>2424121</v>
      </c>
      <c r="M4016" s="8" t="str">
        <f t="shared" si="347"/>
        <v>PEN</v>
      </c>
      <c r="N4016" s="13"/>
      <c r="O4016" s="13">
        <v>2102.87</v>
      </c>
      <c r="P4016" s="3">
        <f t="shared" si="348"/>
        <v>2102.87</v>
      </c>
      <c r="Q4016" s="3">
        <f t="shared" si="349"/>
        <v>0</v>
      </c>
      <c r="R4016" s="3">
        <f t="shared" si="341"/>
        <v>80135.649999999965</v>
      </c>
      <c r="S4016" s="24" t="s">
        <v>1334</v>
      </c>
      <c r="T4016" s="24" t="s">
        <v>1334</v>
      </c>
      <c r="U4016" s="55"/>
      <c r="V4016" s="25">
        <f>IFERROR(VLOOKUP(BCP_Soles[[#This Row],[destinatario]],CHOOSE({1,2},Clientes_Proveedores[Razon Social],Clientes_Proveedores[Ruc / Dni]),2,0),"")</f>
        <v>20558226979</v>
      </c>
      <c r="W4016" s="25"/>
      <c r="X4016" s="25"/>
      <c r="Y4016" s="25"/>
      <c r="Z4016" s="77"/>
      <c r="AA4016" s="3" t="str">
        <f>IF(BCP_Soles[[#This Row],[fecha]]&gt;0,TEXT(BCP_Soles[[#This Row],[fecha]],"mmmm"),0)</f>
        <v>Setiembre</v>
      </c>
    </row>
    <row r="4017" spans="1:27" x14ac:dyDescent="0.3">
      <c r="A4017" s="2">
        <f>IF(BCP_Soles[[#This Row],[tipo_registro]]="R",COUNTIFS($C$1:$C4016,"R")+1,A4016)</f>
        <v>2650</v>
      </c>
      <c r="B4017" s="19" t="str">
        <f t="shared" si="346"/>
        <v>B-BCP - Soles</v>
      </c>
      <c r="C4017" s="3" t="s">
        <v>1330</v>
      </c>
      <c r="D4017" s="14">
        <v>45930</v>
      </c>
      <c r="E4017" s="5"/>
      <c r="F4017" s="5" t="s">
        <v>1303</v>
      </c>
      <c r="G4017" s="6" t="s">
        <v>425</v>
      </c>
      <c r="H4017" s="6"/>
      <c r="I4017" s="6"/>
      <c r="J4017" s="6"/>
      <c r="K4017" s="7" t="s">
        <v>4623</v>
      </c>
      <c r="L4017" s="8">
        <v>1621713</v>
      </c>
      <c r="M4017" s="8" t="str">
        <f t="shared" si="347"/>
        <v>PEN</v>
      </c>
      <c r="N4017" s="13"/>
      <c r="O4017" s="13">
        <v>1634.75</v>
      </c>
      <c r="P4017" s="3">
        <f t="shared" si="348"/>
        <v>1634.75</v>
      </c>
      <c r="Q4017" s="3">
        <f t="shared" si="349"/>
        <v>0</v>
      </c>
      <c r="R4017" s="3">
        <f t="shared" si="341"/>
        <v>81770.399999999965</v>
      </c>
      <c r="S4017" s="24"/>
      <c r="T4017" s="24"/>
      <c r="U4017" s="55"/>
      <c r="V4017" s="25">
        <f>IFERROR(VLOOKUP(BCP_Soles[[#This Row],[destinatario]],CHOOSE({1,2},Clientes_Proveedores[Razon Social],Clientes_Proveedores[Ruc / Dni]),2,0),"")</f>
        <v>20558226979</v>
      </c>
      <c r="W4017" s="25"/>
      <c r="X4017" s="25"/>
      <c r="Y4017" s="25"/>
      <c r="Z4017" s="77"/>
      <c r="AA4017" s="3" t="str">
        <f>IF(BCP_Soles[[#This Row],[fecha]]&gt;0,TEXT(BCP_Soles[[#This Row],[fecha]],"mmmm"),0)</f>
        <v>Setiembre</v>
      </c>
    </row>
    <row r="4018" spans="1:27" x14ac:dyDescent="0.3">
      <c r="A4018" s="2">
        <f>IF(BCP_Soles[[#This Row],[tipo_registro]]="R",COUNTIFS($C$1:$C4017,"R")+1,A4017)</f>
        <v>2651</v>
      </c>
      <c r="B4018" s="19" t="str">
        <f t="shared" si="346"/>
        <v>B-BCP - Soles</v>
      </c>
      <c r="C4018" s="3" t="s">
        <v>1330</v>
      </c>
      <c r="D4018" s="14">
        <v>45930</v>
      </c>
      <c r="E4018" s="65" t="s">
        <v>295</v>
      </c>
      <c r="F4018" s="5" t="s">
        <v>1303</v>
      </c>
      <c r="G4018" s="6" t="s">
        <v>425</v>
      </c>
      <c r="H4018" s="6" t="s">
        <v>68</v>
      </c>
      <c r="I4018" s="6" t="s">
        <v>3302</v>
      </c>
      <c r="J4018" s="6">
        <v>140</v>
      </c>
      <c r="K4018" s="7" t="s">
        <v>1428</v>
      </c>
      <c r="L4018" s="8">
        <v>2420096</v>
      </c>
      <c r="M4018" s="8" t="str">
        <f t="shared" si="347"/>
        <v>PEN</v>
      </c>
      <c r="N4018" s="13"/>
      <c r="O4018" s="13">
        <v>315.7</v>
      </c>
      <c r="P4018" s="3">
        <f t="shared" si="348"/>
        <v>315.7</v>
      </c>
      <c r="Q4018" s="3">
        <f t="shared" si="349"/>
        <v>0</v>
      </c>
      <c r="R4018" s="3">
        <f t="shared" si="341"/>
        <v>82086.099999999962</v>
      </c>
      <c r="S4018" s="24" t="s">
        <v>1334</v>
      </c>
      <c r="T4018" s="24" t="s">
        <v>1334</v>
      </c>
      <c r="U4018" s="55"/>
      <c r="V4018" s="25">
        <f>IFERROR(VLOOKUP(BCP_Soles[[#This Row],[destinatario]],CHOOSE({1,2},Clientes_Proveedores[Razon Social],Clientes_Proveedores[Ruc / Dni]),2,0),"")</f>
        <v>20558226979</v>
      </c>
      <c r="W4018" s="25"/>
      <c r="X4018" s="25"/>
      <c r="Y4018" s="25"/>
      <c r="Z4018" s="77"/>
      <c r="AA4018" s="3" t="str">
        <f>IF(BCP_Soles[[#This Row],[fecha]]&gt;0,TEXT(BCP_Soles[[#This Row],[fecha]],"mmmm"),0)</f>
        <v>Setiembre</v>
      </c>
    </row>
    <row r="4019" spans="1:27" x14ac:dyDescent="0.3">
      <c r="A4019" s="2">
        <f>IF(BCP_Soles[[#This Row],[tipo_registro]]="R",COUNTIFS($C$1:$C4018,"R")+1,A4018)</f>
        <v>2652</v>
      </c>
      <c r="B4019" s="19" t="str">
        <f t="shared" si="346"/>
        <v>B-BCP - Soles</v>
      </c>
      <c r="C4019" s="3" t="s">
        <v>1330</v>
      </c>
      <c r="D4019" s="14">
        <v>45930</v>
      </c>
      <c r="E4019" s="5" t="s">
        <v>4171</v>
      </c>
      <c r="F4019" s="5" t="s">
        <v>1336</v>
      </c>
      <c r="G4019" s="6"/>
      <c r="H4019" s="6"/>
      <c r="I4019" s="6"/>
      <c r="J4019" s="6"/>
      <c r="K4019" s="7" t="s">
        <v>4624</v>
      </c>
      <c r="L4019" s="8">
        <v>1621558</v>
      </c>
      <c r="M4019" s="8" t="str">
        <f t="shared" si="347"/>
        <v>PEN</v>
      </c>
      <c r="N4019" s="13"/>
      <c r="O4019" s="13">
        <v>73619.92</v>
      </c>
      <c r="P4019" s="3">
        <f t="shared" si="348"/>
        <v>0</v>
      </c>
      <c r="Q4019" s="3">
        <f t="shared" si="349"/>
        <v>73619.92</v>
      </c>
      <c r="R4019" s="3">
        <f t="shared" si="341"/>
        <v>8466.1799999999639</v>
      </c>
      <c r="S4019" s="24"/>
      <c r="T4019" s="24"/>
      <c r="U4019" s="55"/>
      <c r="V4019" s="25" t="str">
        <f>IFERROR(VLOOKUP(BCP_Soles[[#This Row],[destinatario]],CHOOSE({1,2},Clientes_Proveedores[Razon Social],Clientes_Proveedores[Ruc / Dni]),2,0),"")</f>
        <v/>
      </c>
      <c r="W4019" s="25"/>
      <c r="X4019" s="25"/>
      <c r="Y4019" s="25"/>
      <c r="Z4019" s="77"/>
      <c r="AA4019" s="3" t="str">
        <f>IF(BCP_Soles[[#This Row],[fecha]]&gt;0,TEXT(BCP_Soles[[#This Row],[fecha]],"mmmm"),0)</f>
        <v>Setiembre</v>
      </c>
    </row>
    <row r="4020" spans="1:27" x14ac:dyDescent="0.3">
      <c r="A4020" s="2">
        <f>IF(BCP_Soles[[#This Row],[tipo_registro]]="R",COUNTIFS($C$1:$C4019,"R")+1,A4019)</f>
        <v>2653</v>
      </c>
      <c r="B4020" s="19" t="str">
        <f t="shared" si="346"/>
        <v>B-BCP - Soles</v>
      </c>
      <c r="C4020" s="3" t="s">
        <v>1330</v>
      </c>
      <c r="D4020" s="14">
        <v>45930</v>
      </c>
      <c r="E4020" s="5" t="s">
        <v>4171</v>
      </c>
      <c r="F4020" s="5" t="s">
        <v>1336</v>
      </c>
      <c r="G4020" s="6"/>
      <c r="H4020" s="6"/>
      <c r="I4020" s="6"/>
      <c r="J4020" s="6"/>
      <c r="K4020" s="7" t="s">
        <v>4625</v>
      </c>
      <c r="L4020" s="8">
        <v>1665492</v>
      </c>
      <c r="M4020" s="8" t="str">
        <f t="shared" si="347"/>
        <v>PEN</v>
      </c>
      <c r="N4020" s="13"/>
      <c r="O4020" s="13">
        <v>1634.75</v>
      </c>
      <c r="P4020" s="3">
        <f t="shared" si="348"/>
        <v>0</v>
      </c>
      <c r="Q4020" s="3">
        <f t="shared" si="349"/>
        <v>1634.75</v>
      </c>
      <c r="R4020" s="3">
        <f t="shared" si="341"/>
        <v>6831.4299999999639</v>
      </c>
      <c r="S4020" s="24"/>
      <c r="T4020" s="24"/>
      <c r="U4020" s="55"/>
      <c r="V4020" s="25" t="str">
        <f>IFERROR(VLOOKUP(BCP_Soles[[#This Row],[destinatario]],CHOOSE({1,2},Clientes_Proveedores[Razon Social],Clientes_Proveedores[Ruc / Dni]),2,0),"")</f>
        <v/>
      </c>
      <c r="W4020" s="25"/>
      <c r="X4020" s="25"/>
      <c r="Y4020" s="25"/>
      <c r="Z4020" s="77"/>
      <c r="AA4020" s="3" t="str">
        <f>IF(BCP_Soles[[#This Row],[fecha]]&gt;0,TEXT(BCP_Soles[[#This Row],[fecha]],"mmmm"),0)</f>
        <v>Setiembre</v>
      </c>
    </row>
    <row r="4021" spans="1:27" ht="24" x14ac:dyDescent="0.3">
      <c r="A4021" s="2">
        <f>IF(BCP_Soles[[#This Row],[tipo_registro]]="R",COUNTIFS($C$1:$C4020,"R")+1,A4020)</f>
        <v>2654</v>
      </c>
      <c r="B4021" s="19" t="str">
        <f t="shared" si="346"/>
        <v>B-BCP - Soles</v>
      </c>
      <c r="C4021" s="3" t="s">
        <v>1330</v>
      </c>
      <c r="D4021" s="14">
        <v>45930</v>
      </c>
      <c r="E4021" s="5" t="s">
        <v>1335</v>
      </c>
      <c r="F4021" s="5" t="s">
        <v>1336</v>
      </c>
      <c r="G4021" s="6" t="s">
        <v>1060</v>
      </c>
      <c r="H4021" s="6"/>
      <c r="I4021" s="6"/>
      <c r="J4021" s="6"/>
      <c r="K4021" s="7" t="s">
        <v>1756</v>
      </c>
      <c r="L4021" s="8">
        <v>0</v>
      </c>
      <c r="M4021" s="8" t="str">
        <f t="shared" si="347"/>
        <v>PEN</v>
      </c>
      <c r="N4021" s="13"/>
      <c r="O4021" s="13">
        <v>35</v>
      </c>
      <c r="P4021" s="3">
        <f t="shared" si="348"/>
        <v>0</v>
      </c>
      <c r="Q4021" s="3">
        <f t="shared" si="349"/>
        <v>35</v>
      </c>
      <c r="R4021" s="3">
        <f t="shared" si="341"/>
        <v>6796.4299999999639</v>
      </c>
      <c r="S4021" s="24"/>
      <c r="T4021" s="24"/>
      <c r="U4021" s="55"/>
      <c r="V4021" s="25">
        <f>IFERROR(VLOOKUP(BCP_Soles[[#This Row],[destinatario]],CHOOSE({1,2},Clientes_Proveedores[Razon Social],Clientes_Proveedores[Ruc / Dni]),2,0),"")</f>
        <v>20100047218</v>
      </c>
      <c r="W4021" s="25"/>
      <c r="X4021" s="25"/>
      <c r="Y4021" s="25"/>
      <c r="Z4021" s="77"/>
      <c r="AA4021" s="3" t="str">
        <f>IF(BCP_Soles[[#This Row],[fecha]]&gt;0,TEXT(BCP_Soles[[#This Row],[fecha]],"mmmm"),0)</f>
        <v>Setiembre</v>
      </c>
    </row>
    <row r="4022" spans="1:27" ht="24" x14ac:dyDescent="0.3">
      <c r="A4022" s="2">
        <f>IF(BCP_Soles[[#This Row],[tipo_registro]]="R",COUNTIFS($C$1:$C4021,"R")+1,A4021)</f>
        <v>2655</v>
      </c>
      <c r="B4022" s="19" t="str">
        <f t="shared" si="346"/>
        <v>B-BCP - Soles</v>
      </c>
      <c r="C4022" s="3" t="s">
        <v>1330</v>
      </c>
      <c r="D4022" s="14">
        <v>45930</v>
      </c>
      <c r="E4022" s="5" t="s">
        <v>1335</v>
      </c>
      <c r="F4022" s="5" t="s">
        <v>1336</v>
      </c>
      <c r="G4022" s="6" t="s">
        <v>1060</v>
      </c>
      <c r="H4022" s="6"/>
      <c r="I4022" s="6"/>
      <c r="J4022" s="6"/>
      <c r="K4022" s="7" t="s">
        <v>1758</v>
      </c>
      <c r="L4022" s="8">
        <v>978352</v>
      </c>
      <c r="M4022" s="8" t="str">
        <f t="shared" si="347"/>
        <v>PEN</v>
      </c>
      <c r="N4022" s="13"/>
      <c r="O4022" s="13">
        <v>5.5</v>
      </c>
      <c r="P4022" s="3">
        <f t="shared" si="348"/>
        <v>0</v>
      </c>
      <c r="Q4022" s="3">
        <f t="shared" si="349"/>
        <v>5.5</v>
      </c>
      <c r="R4022" s="3">
        <f t="shared" si="341"/>
        <v>6790.9299999999639</v>
      </c>
      <c r="S4022" s="24"/>
      <c r="T4022" s="24"/>
      <c r="U4022" s="55"/>
      <c r="V4022" s="25">
        <f>IFERROR(VLOOKUP(BCP_Soles[[#This Row],[destinatario]],CHOOSE({1,2},Clientes_Proveedores[Razon Social],Clientes_Proveedores[Ruc / Dni]),2,0),"")</f>
        <v>20100047218</v>
      </c>
      <c r="W4022" s="25"/>
      <c r="X4022" s="25"/>
      <c r="Y4022" s="25"/>
      <c r="Z4022" s="77"/>
      <c r="AA4022" s="3" t="str">
        <f>IF(BCP_Soles[[#This Row],[fecha]]&gt;0,TEXT(BCP_Soles[[#This Row],[fecha]],"mmmm"),0)</f>
        <v>Setiembre</v>
      </c>
    </row>
    <row r="4023" spans="1:27" x14ac:dyDescent="0.3">
      <c r="A4023" s="2">
        <f>IF(BCP_Soles[[#This Row],[tipo_registro]]="R",COUNTIFS($C$1:$C4022,"R")+1,A4022)</f>
        <v>2656</v>
      </c>
      <c r="B4023" s="19" t="str">
        <f t="shared" si="346"/>
        <v>B-BCP - Soles</v>
      </c>
      <c r="C4023" s="3" t="s">
        <v>1330</v>
      </c>
      <c r="D4023" s="14">
        <v>45930</v>
      </c>
      <c r="E4023" s="5" t="s">
        <v>1335</v>
      </c>
      <c r="F4023" s="5" t="s">
        <v>1336</v>
      </c>
      <c r="G4023" s="6" t="s">
        <v>1009</v>
      </c>
      <c r="H4023" s="6" t="s">
        <v>64</v>
      </c>
      <c r="I4023" s="6" t="s">
        <v>3673</v>
      </c>
      <c r="J4023" s="6">
        <v>2658</v>
      </c>
      <c r="K4023" s="7" t="s">
        <v>3160</v>
      </c>
      <c r="L4023" s="8"/>
      <c r="M4023" s="8" t="str">
        <f t="shared" si="347"/>
        <v>PEN</v>
      </c>
      <c r="N4023" s="13"/>
      <c r="O4023" s="13">
        <v>5.0999999999999996</v>
      </c>
      <c r="P4023" s="3">
        <f t="shared" si="348"/>
        <v>0</v>
      </c>
      <c r="Q4023" s="3">
        <f t="shared" si="349"/>
        <v>5.0999999999999996</v>
      </c>
      <c r="R4023" s="3">
        <f t="shared" si="341"/>
        <v>6785.8299999999635</v>
      </c>
      <c r="S4023" s="24"/>
      <c r="T4023" s="24" t="s">
        <v>1334</v>
      </c>
      <c r="U4023" s="55"/>
      <c r="V4023" s="25">
        <f>IFERROR(VLOOKUP(BCP_Soles[[#This Row],[destinatario]],CHOOSE({1,2},Clientes_Proveedores[Razon Social],Clientes_Proveedores[Ruc / Dni]),2,0),"")</f>
        <v>11111111</v>
      </c>
      <c r="W4023" s="25"/>
      <c r="X4023" s="25"/>
      <c r="Y4023" s="25"/>
      <c r="Z4023" s="77"/>
      <c r="AA4023" s="3" t="str">
        <f>IF(BCP_Soles[[#This Row],[fecha]]&gt;0,TEXT(BCP_Soles[[#This Row],[fecha]],"mmmm"),0)</f>
        <v>Setiembre</v>
      </c>
    </row>
    <row r="4024" spans="1:27" x14ac:dyDescent="0.3">
      <c r="A4024" s="2">
        <f>IF(BCP_Soles[[#This Row],[tipo_registro]]="R",COUNTIFS($C$1:$C4023,"R")+1,A4023)</f>
        <v>2657</v>
      </c>
      <c r="B4024" s="19" t="str">
        <f t="shared" si="346"/>
        <v>B-BCP - Soles</v>
      </c>
      <c r="C4024" s="3" t="s">
        <v>1330</v>
      </c>
      <c r="D4024" s="14">
        <v>45931</v>
      </c>
      <c r="E4024" s="5" t="s">
        <v>1335</v>
      </c>
      <c r="F4024" s="5" t="s">
        <v>1303</v>
      </c>
      <c r="G4024" s="6" t="s">
        <v>1009</v>
      </c>
      <c r="H4024" s="6" t="s">
        <v>64</v>
      </c>
      <c r="I4024" s="6" t="s">
        <v>3673</v>
      </c>
      <c r="J4024" s="6">
        <v>2659</v>
      </c>
      <c r="K4024" s="7" t="s">
        <v>3674</v>
      </c>
      <c r="L4024" s="8"/>
      <c r="M4024" s="8" t="str">
        <f t="shared" si="347"/>
        <v>PEN</v>
      </c>
      <c r="N4024" s="13"/>
      <c r="O4024" s="13">
        <v>0.05</v>
      </c>
      <c r="P4024" s="3">
        <f t="shared" si="348"/>
        <v>0.05</v>
      </c>
      <c r="Q4024" s="3">
        <f t="shared" si="349"/>
        <v>0</v>
      </c>
      <c r="R4024" s="3">
        <f t="shared" si="341"/>
        <v>6785.8799999999637</v>
      </c>
      <c r="S4024" s="24"/>
      <c r="T4024" s="24"/>
      <c r="U4024" s="55"/>
      <c r="V4024" s="25">
        <f>IFERROR(VLOOKUP(BCP_Soles[[#This Row],[destinatario]],CHOOSE({1,2},Clientes_Proveedores[Razon Social],Clientes_Proveedores[Ruc / Dni]),2,0),"")</f>
        <v>11111111</v>
      </c>
      <c r="W4024" s="25"/>
      <c r="X4024" s="25"/>
      <c r="Y4024" s="25"/>
      <c r="Z4024" s="77"/>
      <c r="AA4024" s="3" t="str">
        <f>IF(BCP_Soles[[#This Row],[fecha]]&gt;0,TEXT(BCP_Soles[[#This Row],[fecha]],"mmmm"),0)</f>
        <v>Octubre</v>
      </c>
    </row>
    <row r="4025" spans="1:27" ht="24" x14ac:dyDescent="0.3">
      <c r="A4025" s="2">
        <f>IF(BCP_Soles[[#This Row],[tipo_registro]]="R",COUNTIFS($C$1:$C4024,"R")+1,A4024)</f>
        <v>2658</v>
      </c>
      <c r="B4025" s="19" t="str">
        <f t="shared" si="346"/>
        <v>B-BCP - Soles</v>
      </c>
      <c r="C4025" s="3" t="s">
        <v>1330</v>
      </c>
      <c r="D4025" s="14">
        <v>45931</v>
      </c>
      <c r="E4025" s="5"/>
      <c r="F4025" s="5" t="s">
        <v>1303</v>
      </c>
      <c r="G4025" s="6" t="s">
        <v>425</v>
      </c>
      <c r="H4025" s="6"/>
      <c r="I4025" s="6"/>
      <c r="J4025" s="6"/>
      <c r="K4025" s="7" t="s">
        <v>4626</v>
      </c>
      <c r="L4025" s="8">
        <v>2927625</v>
      </c>
      <c r="M4025" s="8" t="str">
        <f t="shared" si="347"/>
        <v>PEN</v>
      </c>
      <c r="N4025" s="13"/>
      <c r="O4025" s="13">
        <v>1699.8</v>
      </c>
      <c r="P4025" s="3">
        <f t="shared" si="348"/>
        <v>1699.8</v>
      </c>
      <c r="Q4025" s="3">
        <f t="shared" si="349"/>
        <v>0</v>
      </c>
      <c r="R4025" s="3">
        <f t="shared" si="341"/>
        <v>8485.6799999999639</v>
      </c>
      <c r="S4025" s="24"/>
      <c r="T4025" s="24"/>
      <c r="U4025" s="55"/>
      <c r="V4025" s="25">
        <f>IFERROR(VLOOKUP(BCP_Soles[[#This Row],[destinatario]],CHOOSE({1,2},Clientes_Proveedores[Razon Social],Clientes_Proveedores[Ruc / Dni]),2,0),"")</f>
        <v>20558226979</v>
      </c>
      <c r="W4025" s="25"/>
      <c r="X4025" s="25"/>
      <c r="Y4025" s="25"/>
      <c r="Z4025" s="77"/>
      <c r="AA4025" s="3" t="str">
        <f>IF(BCP_Soles[[#This Row],[fecha]]&gt;0,TEXT(BCP_Soles[[#This Row],[fecha]],"mmmm"),0)</f>
        <v>Octubre</v>
      </c>
    </row>
    <row r="4026" spans="1:27" ht="36" x14ac:dyDescent="0.3">
      <c r="A4026" s="2">
        <f>IF(BCP_Soles[[#This Row],[tipo_registro]]="R",COUNTIFS($C$1:$C4025,"R")+1,A4025)</f>
        <v>2659</v>
      </c>
      <c r="B4026" s="19" t="str">
        <f t="shared" si="346"/>
        <v>B-BCP - Soles</v>
      </c>
      <c r="C4026" s="3" t="s">
        <v>1330</v>
      </c>
      <c r="D4026" s="14">
        <v>45931</v>
      </c>
      <c r="E4026" s="5" t="s">
        <v>261</v>
      </c>
      <c r="F4026" s="5" t="s">
        <v>1303</v>
      </c>
      <c r="G4026" s="6" t="s">
        <v>425</v>
      </c>
      <c r="H4026" s="6" t="s">
        <v>68</v>
      </c>
      <c r="I4026" s="6" t="s">
        <v>3302</v>
      </c>
      <c r="J4026" s="6">
        <v>142</v>
      </c>
      <c r="K4026" s="7" t="s">
        <v>4627</v>
      </c>
      <c r="L4026" s="8">
        <v>2062285</v>
      </c>
      <c r="M4026" s="8" t="str">
        <f t="shared" si="347"/>
        <v>PEN</v>
      </c>
      <c r="N4026" s="13"/>
      <c r="O4026" s="13">
        <v>16103.73</v>
      </c>
      <c r="P4026" s="3">
        <f t="shared" si="348"/>
        <v>16103.73</v>
      </c>
      <c r="Q4026" s="3">
        <f t="shared" si="349"/>
        <v>0</v>
      </c>
      <c r="R4026" s="3">
        <f t="shared" si="341"/>
        <v>24589.409999999963</v>
      </c>
      <c r="S4026" s="24" t="s">
        <v>1334</v>
      </c>
      <c r="T4026" s="24" t="s">
        <v>1334</v>
      </c>
      <c r="U4026" s="55"/>
      <c r="V4026" s="25">
        <f>IFERROR(VLOOKUP(BCP_Soles[[#This Row],[destinatario]],CHOOSE({1,2},Clientes_Proveedores[Razon Social],Clientes_Proveedores[Ruc / Dni]),2,0),"")</f>
        <v>20558226979</v>
      </c>
      <c r="W4026" s="25"/>
      <c r="X4026" s="25"/>
      <c r="Y4026" s="25"/>
      <c r="Z4026" s="77"/>
      <c r="AA4026" s="3" t="str">
        <f>IF(BCP_Soles[[#This Row],[fecha]]&gt;0,TEXT(BCP_Soles[[#This Row],[fecha]],"mmmm"),0)</f>
        <v>Octubre</v>
      </c>
    </row>
    <row r="4027" spans="1:27" ht="24" x14ac:dyDescent="0.3">
      <c r="A4027" s="2">
        <f>IF(BCP_Soles[[#This Row],[tipo_registro]]="R",COUNTIFS($C$1:$C4026,"R")+1,A4026)</f>
        <v>2660</v>
      </c>
      <c r="B4027" s="19" t="str">
        <f>"B-BCP - Soles"</f>
        <v>B-BCP - Soles</v>
      </c>
      <c r="C4027" s="3" t="s">
        <v>1330</v>
      </c>
      <c r="D4027" s="14">
        <v>45931</v>
      </c>
      <c r="E4027" s="5" t="s">
        <v>274</v>
      </c>
      <c r="F4027" s="5" t="s">
        <v>1303</v>
      </c>
      <c r="G4027" s="6" t="s">
        <v>425</v>
      </c>
      <c r="H4027" s="6" t="s">
        <v>68</v>
      </c>
      <c r="I4027" s="6" t="s">
        <v>3302</v>
      </c>
      <c r="J4027" s="6">
        <v>127</v>
      </c>
      <c r="K4027" s="7" t="s">
        <v>4249</v>
      </c>
      <c r="L4027" s="8">
        <v>2265679</v>
      </c>
      <c r="M4027" s="8" t="str">
        <f>"PEN"</f>
        <v>PEN</v>
      </c>
      <c r="N4027" s="13"/>
      <c r="O4027" s="13">
        <v>802</v>
      </c>
      <c r="P4027" s="3">
        <f>+IF(OR($F4027="SALDO",$F4027="INGRESO"),$O4027,0)</f>
        <v>802</v>
      </c>
      <c r="Q4027" s="3">
        <f>+IF($F4027="EGRESO",$O4027,0)</f>
        <v>0</v>
      </c>
      <c r="R4027" s="3">
        <f t="shared" si="341"/>
        <v>25391.409999999963</v>
      </c>
      <c r="S4027" s="24" t="s">
        <v>1334</v>
      </c>
      <c r="T4027" s="24" t="s">
        <v>1334</v>
      </c>
      <c r="U4027" s="55"/>
      <c r="V4027" s="25">
        <f>IFERROR(VLOOKUP(BCP_Soles[[#This Row],[destinatario]],CHOOSE({1,2},Clientes_Proveedores[Razon Social],Clientes_Proveedores[Ruc / Dni]),2,0),"")</f>
        <v>20558226979</v>
      </c>
      <c r="W4027" s="25"/>
      <c r="X4027" s="25"/>
      <c r="Y4027" s="25"/>
      <c r="Z4027" s="77"/>
      <c r="AA4027" s="3" t="str">
        <f>IF(BCP_Soles[[#This Row],[fecha]]&gt;0,TEXT(BCP_Soles[[#This Row],[fecha]],"mmmm"),0)</f>
        <v>Octubre</v>
      </c>
    </row>
    <row r="4028" spans="1:27" ht="36" x14ac:dyDescent="0.3">
      <c r="A4028" s="2">
        <f>IF(BCP_Soles[[#This Row],[tipo_registro]]="R",COUNTIFS($C$1:$C4027,"R")+1,A4027)</f>
        <v>2661</v>
      </c>
      <c r="B4028" s="19" t="str">
        <f t="shared" si="346"/>
        <v>B-BCP - Soles</v>
      </c>
      <c r="C4028" s="3" t="s">
        <v>1330</v>
      </c>
      <c r="D4028" s="14">
        <v>45931</v>
      </c>
      <c r="E4028" s="5" t="s">
        <v>1338</v>
      </c>
      <c r="F4028" s="5" t="s">
        <v>1336</v>
      </c>
      <c r="G4028" s="6" t="s">
        <v>1200</v>
      </c>
      <c r="H4028" s="6" t="s">
        <v>68</v>
      </c>
      <c r="I4028" s="6" t="s">
        <v>1784</v>
      </c>
      <c r="J4028" s="6">
        <v>883</v>
      </c>
      <c r="K4028" s="7" t="s">
        <v>4628</v>
      </c>
      <c r="L4028" s="8">
        <v>1003802</v>
      </c>
      <c r="M4028" s="8" t="str">
        <f t="shared" si="347"/>
        <v>PEN</v>
      </c>
      <c r="N4028" s="13"/>
      <c r="O4028" s="13">
        <v>2656.2</v>
      </c>
      <c r="P4028" s="3">
        <f t="shared" si="348"/>
        <v>0</v>
      </c>
      <c r="Q4028" s="3">
        <f t="shared" si="349"/>
        <v>2656.2</v>
      </c>
      <c r="R4028" s="3">
        <f t="shared" si="341"/>
        <v>22735.209999999963</v>
      </c>
      <c r="S4028" s="24" t="s">
        <v>1334</v>
      </c>
      <c r="T4028" s="24"/>
      <c r="U4028" s="56" t="s">
        <v>4629</v>
      </c>
      <c r="V4028" s="25">
        <f>IFERROR(VLOOKUP(BCP_Soles[[#This Row],[destinatario]],CHOOSE({1,2},Clientes_Proveedores[Razon Social],Clientes_Proveedores[Ruc / Dni]),2,0),"")</f>
        <v>20603045638</v>
      </c>
      <c r="W4028" s="25"/>
      <c r="X4028" s="25"/>
      <c r="Y4028" s="25"/>
      <c r="Z4028" s="77"/>
      <c r="AA4028" s="3" t="str">
        <f>IF(BCP_Soles[[#This Row],[fecha]]&gt;0,TEXT(BCP_Soles[[#This Row],[fecha]],"mmmm"),0)</f>
        <v>Octubre</v>
      </c>
    </row>
    <row r="4029" spans="1:27" ht="24" x14ac:dyDescent="0.3">
      <c r="A4029" s="2">
        <f>IF(BCP_Soles[[#This Row],[tipo_registro]]="R",COUNTIFS($C$1:$C4028,"R")+1,A4028)</f>
        <v>2662</v>
      </c>
      <c r="B4029" s="19" t="str">
        <f t="shared" si="346"/>
        <v>B-BCP - Soles</v>
      </c>
      <c r="C4029" s="3" t="s">
        <v>1330</v>
      </c>
      <c r="D4029" s="14">
        <v>45931</v>
      </c>
      <c r="E4029" s="5" t="s">
        <v>1338</v>
      </c>
      <c r="F4029" s="5" t="s">
        <v>1336</v>
      </c>
      <c r="G4029" s="6" t="s">
        <v>1032</v>
      </c>
      <c r="H4029" s="6" t="s">
        <v>68</v>
      </c>
      <c r="I4029" s="6" t="s">
        <v>1376</v>
      </c>
      <c r="J4029" s="6">
        <v>228</v>
      </c>
      <c r="K4029" s="7" t="s">
        <v>4630</v>
      </c>
      <c r="L4029" s="8">
        <v>1231324</v>
      </c>
      <c r="M4029" s="8" t="str">
        <f t="shared" si="347"/>
        <v>PEN</v>
      </c>
      <c r="N4029" s="13"/>
      <c r="O4029" s="13">
        <v>320</v>
      </c>
      <c r="P4029" s="3">
        <f t="shared" si="348"/>
        <v>0</v>
      </c>
      <c r="Q4029" s="3">
        <f t="shared" si="349"/>
        <v>320</v>
      </c>
      <c r="R4029" s="3">
        <f t="shared" si="341"/>
        <v>22415.209999999963</v>
      </c>
      <c r="S4029" s="24" t="s">
        <v>1334</v>
      </c>
      <c r="T4029" s="24" t="s">
        <v>1334</v>
      </c>
      <c r="U4029" s="56" t="s">
        <v>4631</v>
      </c>
      <c r="V4029" s="25">
        <f>IFERROR(VLOOKUP(BCP_Soles[[#This Row],[destinatario]],CHOOSE({1,2},Clientes_Proveedores[Razon Social],Clientes_Proveedores[Ruc / Dni]),2,0),"")</f>
        <v>10440377497</v>
      </c>
      <c r="W4029" s="25"/>
      <c r="X4029" s="25"/>
      <c r="Y4029" s="25"/>
      <c r="Z4029" s="77"/>
      <c r="AA4029" s="3" t="str">
        <f>IF(BCP_Soles[[#This Row],[fecha]]&gt;0,TEXT(BCP_Soles[[#This Row],[fecha]],"mmmm"),0)</f>
        <v>Octubre</v>
      </c>
    </row>
    <row r="4030" spans="1:27" ht="36" x14ac:dyDescent="0.3">
      <c r="A4030" s="2">
        <f>IF(BCP_Soles[[#This Row],[tipo_registro]]="R",COUNTIFS($C$1:$C4029,"R")+1,A4029)</f>
        <v>2663</v>
      </c>
      <c r="B4030" s="19" t="str">
        <f t="shared" si="346"/>
        <v>B-BCP - Soles</v>
      </c>
      <c r="C4030" s="3" t="s">
        <v>1330</v>
      </c>
      <c r="D4030" s="14">
        <v>45931</v>
      </c>
      <c r="E4030" s="5" t="s">
        <v>1338</v>
      </c>
      <c r="F4030" s="5" t="s">
        <v>1336</v>
      </c>
      <c r="G4030" s="6" t="s">
        <v>1231</v>
      </c>
      <c r="H4030" s="6" t="s">
        <v>68</v>
      </c>
      <c r="I4030" s="6" t="s">
        <v>1376</v>
      </c>
      <c r="J4030" s="6">
        <v>7</v>
      </c>
      <c r="K4030" s="7" t="s">
        <v>4632</v>
      </c>
      <c r="L4030" s="8">
        <v>1231325</v>
      </c>
      <c r="M4030" s="8" t="str">
        <f t="shared" si="347"/>
        <v>PEN</v>
      </c>
      <c r="N4030" s="13"/>
      <c r="O4030" s="13">
        <v>216</v>
      </c>
      <c r="P4030" s="3">
        <f t="shared" si="348"/>
        <v>0</v>
      </c>
      <c r="Q4030" s="3">
        <f t="shared" si="349"/>
        <v>216</v>
      </c>
      <c r="R4030" s="3">
        <f t="shared" si="341"/>
        <v>22199.209999999963</v>
      </c>
      <c r="S4030" s="24" t="s">
        <v>1334</v>
      </c>
      <c r="T4030" s="24" t="s">
        <v>1334</v>
      </c>
      <c r="U4030" s="56" t="s">
        <v>4633</v>
      </c>
      <c r="V4030" s="25">
        <f>IFERROR(VLOOKUP(BCP_Soles[[#This Row],[destinatario]],CHOOSE({1,2},Clientes_Proveedores[Razon Social],Clientes_Proveedores[Ruc / Dni]),2,0),"")</f>
        <v>10466320973</v>
      </c>
      <c r="W4030" s="25"/>
      <c r="X4030" s="25"/>
      <c r="Y4030" s="25"/>
      <c r="Z4030" s="77"/>
      <c r="AA4030" s="3" t="str">
        <f>IF(BCP_Soles[[#This Row],[fecha]]&gt;0,TEXT(BCP_Soles[[#This Row],[fecha]],"mmmm"),0)</f>
        <v>Octubre</v>
      </c>
    </row>
    <row r="4031" spans="1:27" x14ac:dyDescent="0.3">
      <c r="A4031" s="2">
        <f>IF(BCP_Soles[[#This Row],[tipo_registro]]="R",COUNTIFS($C$1:$C4030,"R")+1,A4030)</f>
        <v>2664</v>
      </c>
      <c r="B4031" s="19" t="str">
        <f t="shared" si="346"/>
        <v>B-BCP - Soles</v>
      </c>
      <c r="C4031" s="3" t="s">
        <v>1330</v>
      </c>
      <c r="D4031" s="14">
        <v>45931</v>
      </c>
      <c r="E4031" s="5" t="s">
        <v>4171</v>
      </c>
      <c r="F4031" s="5" t="s">
        <v>1336</v>
      </c>
      <c r="G4031" s="6"/>
      <c r="H4031" s="6"/>
      <c r="I4031" s="6"/>
      <c r="J4031" s="6"/>
      <c r="K4031" s="7" t="s">
        <v>4634</v>
      </c>
      <c r="L4031" s="8">
        <v>2098734</v>
      </c>
      <c r="M4031" s="8" t="str">
        <f t="shared" si="347"/>
        <v>PEN</v>
      </c>
      <c r="N4031" s="13"/>
      <c r="O4031" s="13">
        <v>12380.29</v>
      </c>
      <c r="P4031" s="3">
        <f t="shared" si="348"/>
        <v>0</v>
      </c>
      <c r="Q4031" s="3">
        <f t="shared" si="349"/>
        <v>12380.29</v>
      </c>
      <c r="R4031" s="3">
        <f t="shared" si="341"/>
        <v>9818.9199999999619</v>
      </c>
      <c r="S4031" s="24"/>
      <c r="T4031" s="24"/>
      <c r="U4031" s="55"/>
      <c r="V4031" s="25" t="str">
        <f>IFERROR(VLOOKUP(BCP_Soles[[#This Row],[destinatario]],CHOOSE({1,2},Clientes_Proveedores[Razon Social],Clientes_Proveedores[Ruc / Dni]),2,0),"")</f>
        <v/>
      </c>
      <c r="W4031" s="25"/>
      <c r="X4031" s="25"/>
      <c r="Y4031" s="25"/>
      <c r="Z4031" s="77"/>
      <c r="AA4031" s="3" t="str">
        <f>IF(BCP_Soles[[#This Row],[fecha]]&gt;0,TEXT(BCP_Soles[[#This Row],[fecha]],"mmmm"),0)</f>
        <v>Octubre</v>
      </c>
    </row>
    <row r="4032" spans="1:27" x14ac:dyDescent="0.3">
      <c r="A4032" s="2">
        <f>IF(BCP_Soles[[#This Row],[tipo_registro]]="R",COUNTIFS($C$1:$C4031,"R")+1,A4031)</f>
        <v>2665</v>
      </c>
      <c r="B4032" s="19" t="str">
        <f t="shared" ref="B4032:B4069" si="350">"B-BCP - Soles"</f>
        <v>B-BCP - Soles</v>
      </c>
      <c r="C4032" s="3" t="s">
        <v>1330</v>
      </c>
      <c r="D4032" s="14">
        <v>45931</v>
      </c>
      <c r="E4032" s="5" t="s">
        <v>1335</v>
      </c>
      <c r="F4032" s="5" t="s">
        <v>1336</v>
      </c>
      <c r="G4032" s="6" t="s">
        <v>1009</v>
      </c>
      <c r="H4032" s="6" t="s">
        <v>64</v>
      </c>
      <c r="I4032" s="6" t="s">
        <v>3673</v>
      </c>
      <c r="J4032" s="6">
        <v>2667</v>
      </c>
      <c r="K4032" s="7" t="s">
        <v>3160</v>
      </c>
      <c r="L4032" s="8"/>
      <c r="M4032" s="8" t="str">
        <f t="shared" ref="M4032:M4069" si="351">"PEN"</f>
        <v>PEN</v>
      </c>
      <c r="N4032" s="13"/>
      <c r="O4032" s="13">
        <v>1.55</v>
      </c>
      <c r="P4032" s="3">
        <f t="shared" ref="P4032:P4069" si="352">+IF(OR($F4032="SALDO",$F4032="INGRESO"),$O4032,0)</f>
        <v>0</v>
      </c>
      <c r="Q4032" s="3">
        <f t="shared" ref="Q4032:Q4069" si="353">+IF($F4032="EGRESO",$O4032,0)</f>
        <v>1.55</v>
      </c>
      <c r="R4032" s="3">
        <f t="shared" si="341"/>
        <v>9817.3699999999626</v>
      </c>
      <c r="S4032" s="24"/>
      <c r="T4032" s="24"/>
      <c r="U4032" s="55"/>
      <c r="V4032" s="25">
        <f>IFERROR(VLOOKUP(BCP_Soles[[#This Row],[destinatario]],CHOOSE({1,2},Clientes_Proveedores[Razon Social],Clientes_Proveedores[Ruc / Dni]),2,0),"")</f>
        <v>11111111</v>
      </c>
      <c r="W4032" s="25"/>
      <c r="X4032" s="25"/>
      <c r="Y4032" s="25"/>
      <c r="Z4032" s="77"/>
      <c r="AA4032" s="3" t="str">
        <f>IF(BCP_Soles[[#This Row],[fecha]]&gt;0,TEXT(BCP_Soles[[#This Row],[fecha]],"mmmm"),0)</f>
        <v>Octubre</v>
      </c>
    </row>
    <row r="4033" spans="1:27" ht="36" x14ac:dyDescent="0.3">
      <c r="A4033" s="2">
        <f>IF(BCP_Soles[[#This Row],[tipo_registro]]="R",COUNTIFS($C$1:$C4032,"R")+1,A4032)</f>
        <v>2666</v>
      </c>
      <c r="B4033" s="19" t="str">
        <f t="shared" ref="B4033:B4040" si="354">"B-BCP - Soles"</f>
        <v>B-BCP - Soles</v>
      </c>
      <c r="C4033" s="3" t="s">
        <v>1330</v>
      </c>
      <c r="D4033" s="14">
        <v>45932</v>
      </c>
      <c r="E4033" s="5" t="s">
        <v>4635</v>
      </c>
      <c r="F4033" s="5" t="s">
        <v>1303</v>
      </c>
      <c r="G4033" s="6" t="s">
        <v>425</v>
      </c>
      <c r="H4033" s="6" t="s">
        <v>119</v>
      </c>
      <c r="I4033" s="6">
        <v>1</v>
      </c>
      <c r="J4033" s="6">
        <v>4802</v>
      </c>
      <c r="K4033" s="7" t="s">
        <v>3608</v>
      </c>
      <c r="L4033" s="8">
        <v>4241130</v>
      </c>
      <c r="M4033" s="8" t="str">
        <f t="shared" ref="M4033:M4040" si="355">"PEN"</f>
        <v>PEN</v>
      </c>
      <c r="N4033" s="13"/>
      <c r="O4033" s="13">
        <v>1248</v>
      </c>
      <c r="P4033" s="3">
        <f t="shared" ref="P4033:P4040" si="356">+IF(OR($F4033="SALDO",$F4033="INGRESO"),$O4033,0)</f>
        <v>1248</v>
      </c>
      <c r="Q4033" s="3">
        <f t="shared" ref="Q4033:Q4040" si="357">+IF($F4033="EGRESO",$O4033,0)</f>
        <v>0</v>
      </c>
      <c r="R4033" s="3">
        <f t="shared" si="341"/>
        <v>11065.369999999963</v>
      </c>
      <c r="S4033" s="24" t="s">
        <v>1334</v>
      </c>
      <c r="T4033" s="24" t="s">
        <v>1334</v>
      </c>
      <c r="U4033" s="55"/>
      <c r="V4033" s="25">
        <f>IFERROR(VLOOKUP(BCP_Soles[[#This Row],[destinatario]],CHOOSE({1,2},Clientes_Proveedores[Razon Social],Clientes_Proveedores[Ruc / Dni]),2,0),"")</f>
        <v>20558226979</v>
      </c>
      <c r="W4033" s="25"/>
      <c r="X4033" s="25"/>
      <c r="Y4033" s="25"/>
      <c r="Z4033" s="77"/>
      <c r="AA4033" s="3" t="str">
        <f>IF(BCP_Soles[[#This Row],[fecha]]&gt;0,TEXT(BCP_Soles[[#This Row],[fecha]],"mmmm"),0)</f>
        <v>Octubre</v>
      </c>
    </row>
    <row r="4034" spans="1:27" ht="24" x14ac:dyDescent="0.3">
      <c r="A4034" s="2">
        <f>IF(BCP_Soles[[#This Row],[tipo_registro]]="R",COUNTIFS($C$1:$C4033,"R")+1,A4033)</f>
        <v>2667</v>
      </c>
      <c r="B4034" s="19" t="str">
        <f t="shared" si="354"/>
        <v>B-BCP - Soles</v>
      </c>
      <c r="C4034" s="3" t="s">
        <v>1330</v>
      </c>
      <c r="D4034" s="14">
        <v>45932</v>
      </c>
      <c r="E4034" s="5" t="s">
        <v>4636</v>
      </c>
      <c r="F4034" s="5" t="s">
        <v>1303</v>
      </c>
      <c r="G4034" s="6" t="s">
        <v>425</v>
      </c>
      <c r="H4034" s="6" t="s">
        <v>119</v>
      </c>
      <c r="I4034" s="6">
        <v>1</v>
      </c>
      <c r="J4034" s="6">
        <v>4796</v>
      </c>
      <c r="K4034" s="7" t="s">
        <v>3608</v>
      </c>
      <c r="L4034" s="8">
        <v>4197810</v>
      </c>
      <c r="M4034" s="8" t="str">
        <f t="shared" si="355"/>
        <v>PEN</v>
      </c>
      <c r="N4034" s="13"/>
      <c r="O4034" s="13">
        <v>450</v>
      </c>
      <c r="P4034" s="3">
        <f t="shared" si="356"/>
        <v>450</v>
      </c>
      <c r="Q4034" s="3">
        <f t="shared" si="357"/>
        <v>0</v>
      </c>
      <c r="R4034" s="3">
        <f t="shared" si="341"/>
        <v>11515.369999999963</v>
      </c>
      <c r="S4034" s="24" t="s">
        <v>1334</v>
      </c>
      <c r="T4034" s="24" t="s">
        <v>1334</v>
      </c>
      <c r="U4034" s="55"/>
      <c r="V4034" s="25">
        <f>IFERROR(VLOOKUP(BCP_Soles[[#This Row],[destinatario]],CHOOSE({1,2},Clientes_Proveedores[Razon Social],Clientes_Proveedores[Ruc / Dni]),2,0),"")</f>
        <v>20558226979</v>
      </c>
      <c r="W4034" s="25"/>
      <c r="X4034" s="25"/>
      <c r="Y4034" s="25"/>
      <c r="Z4034" s="77"/>
      <c r="AA4034" s="3" t="str">
        <f>IF(BCP_Soles[[#This Row],[fecha]]&gt;0,TEXT(BCP_Soles[[#This Row],[fecha]],"mmmm"),0)</f>
        <v>Octubre</v>
      </c>
    </row>
    <row r="4035" spans="1:27" x14ac:dyDescent="0.3">
      <c r="A4035" s="2">
        <f>IF(BCP_Soles[[#This Row],[tipo_registro]]="R",COUNTIFS($C$1:$C4034,"R")+1,A4034)</f>
        <v>2668</v>
      </c>
      <c r="B4035" s="19" t="str">
        <f t="shared" si="354"/>
        <v>B-BCP - Soles</v>
      </c>
      <c r="C4035" s="3" t="s">
        <v>1330</v>
      </c>
      <c r="D4035" s="14">
        <v>45932</v>
      </c>
      <c r="E4035" s="5"/>
      <c r="F4035" s="5" t="s">
        <v>1303</v>
      </c>
      <c r="G4035" s="6" t="s">
        <v>425</v>
      </c>
      <c r="H4035" s="6"/>
      <c r="I4035" s="6"/>
      <c r="J4035" s="6"/>
      <c r="K4035" s="7" t="s">
        <v>3608</v>
      </c>
      <c r="L4035" s="8">
        <v>4127123</v>
      </c>
      <c r="M4035" s="8" t="str">
        <f t="shared" si="355"/>
        <v>PEN</v>
      </c>
      <c r="N4035" s="13"/>
      <c r="O4035" s="13">
        <v>1326.34</v>
      </c>
      <c r="P4035" s="3">
        <f t="shared" si="356"/>
        <v>1326.34</v>
      </c>
      <c r="Q4035" s="3">
        <f t="shared" si="357"/>
        <v>0</v>
      </c>
      <c r="R4035" s="3">
        <f t="shared" si="341"/>
        <v>12841.709999999963</v>
      </c>
      <c r="S4035" s="24"/>
      <c r="T4035" s="24"/>
      <c r="U4035" s="55"/>
      <c r="V4035" s="25">
        <f>IFERROR(VLOOKUP(BCP_Soles[[#This Row],[destinatario]],CHOOSE({1,2},Clientes_Proveedores[Razon Social],Clientes_Proveedores[Ruc / Dni]),2,0),"")</f>
        <v>20558226979</v>
      </c>
      <c r="W4035" s="25"/>
      <c r="X4035" s="25"/>
      <c r="Y4035" s="25"/>
      <c r="Z4035" s="77"/>
      <c r="AA4035" s="3" t="str">
        <f>IF(BCP_Soles[[#This Row],[fecha]]&gt;0,TEXT(BCP_Soles[[#This Row],[fecha]],"mmmm"),0)</f>
        <v>Octubre</v>
      </c>
    </row>
    <row r="4036" spans="1:27" ht="36" x14ac:dyDescent="0.3">
      <c r="A4036" s="2">
        <f>IF(BCP_Soles[[#This Row],[tipo_registro]]="R",COUNTIFS($C$1:$C4035,"R")+1,A4035)</f>
        <v>2669</v>
      </c>
      <c r="B4036" s="19" t="str">
        <f t="shared" si="354"/>
        <v>B-BCP - Soles</v>
      </c>
      <c r="C4036" s="3" t="s">
        <v>1330</v>
      </c>
      <c r="D4036" s="14">
        <v>45932</v>
      </c>
      <c r="E4036" s="5" t="s">
        <v>271</v>
      </c>
      <c r="F4036" s="5" t="s">
        <v>1303</v>
      </c>
      <c r="G4036" s="6" t="s">
        <v>425</v>
      </c>
      <c r="H4036" s="6"/>
      <c r="I4036" s="6"/>
      <c r="J4036" s="6"/>
      <c r="K4036" s="7" t="s">
        <v>4637</v>
      </c>
      <c r="L4036" s="8">
        <v>2753339</v>
      </c>
      <c r="M4036" s="8" t="str">
        <f t="shared" si="355"/>
        <v>PEN</v>
      </c>
      <c r="N4036" s="13"/>
      <c r="O4036" s="13">
        <v>4455.1499999999996</v>
      </c>
      <c r="P4036" s="3">
        <f t="shared" si="356"/>
        <v>4455.1499999999996</v>
      </c>
      <c r="Q4036" s="3">
        <f t="shared" si="357"/>
        <v>0</v>
      </c>
      <c r="R4036" s="3">
        <f t="shared" si="341"/>
        <v>17296.859999999964</v>
      </c>
      <c r="S4036" s="24" t="s">
        <v>1334</v>
      </c>
      <c r="T4036" s="24" t="s">
        <v>1334</v>
      </c>
      <c r="U4036" s="55"/>
      <c r="V4036" s="25">
        <f>IFERROR(VLOOKUP(BCP_Soles[[#This Row],[destinatario]],CHOOSE({1,2},Clientes_Proveedores[Razon Social],Clientes_Proveedores[Ruc / Dni]),2,0),"")</f>
        <v>20558226979</v>
      </c>
      <c r="W4036" s="25"/>
      <c r="X4036" s="25"/>
      <c r="Y4036" s="25"/>
      <c r="Z4036" s="77"/>
      <c r="AA4036" s="3" t="str">
        <f>IF(BCP_Soles[[#This Row],[fecha]]&gt;0,TEXT(BCP_Soles[[#This Row],[fecha]],"mmmm"),0)</f>
        <v>Octubre</v>
      </c>
    </row>
    <row r="4037" spans="1:27" ht="36" x14ac:dyDescent="0.3">
      <c r="A4037" s="2">
        <f>IF(BCP_Soles[[#This Row],[tipo_registro]]="R",COUNTIFS($C$1:$C4036,"R")+1,A4036)</f>
        <v>2669</v>
      </c>
      <c r="B4037" s="19" t="str">
        <f t="shared" si="354"/>
        <v>B-BCP - Soles</v>
      </c>
      <c r="C4037" s="3" t="s">
        <v>1352</v>
      </c>
      <c r="D4037" s="14">
        <v>45932</v>
      </c>
      <c r="E4037" s="5" t="s">
        <v>271</v>
      </c>
      <c r="F4037" s="5" t="s">
        <v>1303</v>
      </c>
      <c r="G4037" s="6" t="s">
        <v>425</v>
      </c>
      <c r="H4037" s="6" t="s">
        <v>68</v>
      </c>
      <c r="I4037" s="6" t="s">
        <v>1784</v>
      </c>
      <c r="J4037" s="6">
        <v>255</v>
      </c>
      <c r="K4037" s="7" t="s">
        <v>4637</v>
      </c>
      <c r="L4037" s="8">
        <v>2753339</v>
      </c>
      <c r="M4037" s="8" t="str">
        <f t="shared" si="355"/>
        <v>PEN</v>
      </c>
      <c r="N4037" s="13">
        <v>1485.05</v>
      </c>
      <c r="O4037" s="13"/>
      <c r="P4037" s="3">
        <f t="shared" si="356"/>
        <v>0</v>
      </c>
      <c r="Q4037" s="3">
        <f t="shared" si="357"/>
        <v>0</v>
      </c>
      <c r="R4037" s="3">
        <f t="shared" si="341"/>
        <v>17296.859999999964</v>
      </c>
      <c r="S4037" s="24" t="s">
        <v>1334</v>
      </c>
      <c r="T4037" s="28" t="s">
        <v>1334</v>
      </c>
      <c r="U4037" s="55"/>
      <c r="V4037" s="25">
        <f>IFERROR(VLOOKUP(BCP_Soles[[#This Row],[destinatario]],CHOOSE({1,2},Clientes_Proveedores[Razon Social],Clientes_Proveedores[Ruc / Dni]),2,0),"")</f>
        <v>20558226979</v>
      </c>
      <c r="W4037" s="25"/>
      <c r="X4037" s="25"/>
      <c r="Y4037" s="25"/>
      <c r="Z4037" s="77"/>
      <c r="AA4037" s="3" t="str">
        <f>IF(BCP_Soles[[#This Row],[fecha]]&gt;0,TEXT(BCP_Soles[[#This Row],[fecha]],"mmmm"),0)</f>
        <v>Octubre</v>
      </c>
    </row>
    <row r="4038" spans="1:27" ht="36" x14ac:dyDescent="0.3">
      <c r="A4038" s="2">
        <f>IF(BCP_Soles[[#This Row],[tipo_registro]]="R",COUNTIFS($C$1:$C4037,"R")+1,A4037)</f>
        <v>2669</v>
      </c>
      <c r="B4038" s="19" t="str">
        <f t="shared" si="354"/>
        <v>B-BCP - Soles</v>
      </c>
      <c r="C4038" s="3" t="s">
        <v>1352</v>
      </c>
      <c r="D4038" s="14">
        <v>45932</v>
      </c>
      <c r="E4038" s="5" t="s">
        <v>271</v>
      </c>
      <c r="F4038" s="5" t="s">
        <v>1303</v>
      </c>
      <c r="G4038" s="6" t="s">
        <v>425</v>
      </c>
      <c r="H4038" s="6" t="s">
        <v>68</v>
      </c>
      <c r="I4038" s="6" t="s">
        <v>1784</v>
      </c>
      <c r="J4038" s="6">
        <v>256</v>
      </c>
      <c r="K4038" s="7" t="s">
        <v>4637</v>
      </c>
      <c r="L4038" s="8">
        <v>2753339</v>
      </c>
      <c r="M4038" s="8" t="str">
        <f t="shared" si="355"/>
        <v>PEN</v>
      </c>
      <c r="N4038" s="13">
        <v>1485.05</v>
      </c>
      <c r="O4038" s="13"/>
      <c r="P4038" s="3">
        <f t="shared" si="356"/>
        <v>0</v>
      </c>
      <c r="Q4038" s="3">
        <f t="shared" si="357"/>
        <v>0</v>
      </c>
      <c r="R4038" s="3">
        <f t="shared" si="341"/>
        <v>17296.859999999964</v>
      </c>
      <c r="S4038" s="24" t="s">
        <v>1334</v>
      </c>
      <c r="T4038" s="28" t="s">
        <v>1334</v>
      </c>
      <c r="U4038" s="55"/>
      <c r="V4038" s="25">
        <f>IFERROR(VLOOKUP(BCP_Soles[[#This Row],[destinatario]],CHOOSE({1,2},Clientes_Proveedores[Razon Social],Clientes_Proveedores[Ruc / Dni]),2,0),"")</f>
        <v>20558226979</v>
      </c>
      <c r="W4038" s="25"/>
      <c r="X4038" s="25"/>
      <c r="Y4038" s="25"/>
      <c r="Z4038" s="77"/>
      <c r="AA4038" s="3" t="str">
        <f>IF(BCP_Soles[[#This Row],[fecha]]&gt;0,TEXT(BCP_Soles[[#This Row],[fecha]],"mmmm"),0)</f>
        <v>Octubre</v>
      </c>
    </row>
    <row r="4039" spans="1:27" ht="36" x14ac:dyDescent="0.3">
      <c r="A4039" s="2">
        <f>IF(BCP_Soles[[#This Row],[tipo_registro]]="R",COUNTIFS($C$1:$C4038,"R")+1,A4038)</f>
        <v>2669</v>
      </c>
      <c r="B4039" s="19" t="str">
        <f t="shared" si="354"/>
        <v>B-BCP - Soles</v>
      </c>
      <c r="C4039" s="3" t="s">
        <v>1352</v>
      </c>
      <c r="D4039" s="14">
        <v>45932</v>
      </c>
      <c r="E4039" s="5" t="s">
        <v>271</v>
      </c>
      <c r="F4039" s="5" t="s">
        <v>1303</v>
      </c>
      <c r="G4039" s="6" t="s">
        <v>425</v>
      </c>
      <c r="H4039" s="6" t="s">
        <v>68</v>
      </c>
      <c r="I4039" s="6" t="s">
        <v>1784</v>
      </c>
      <c r="J4039" s="6">
        <v>257</v>
      </c>
      <c r="K4039" s="7" t="s">
        <v>4637</v>
      </c>
      <c r="L4039" s="8">
        <v>2753339</v>
      </c>
      <c r="M4039" s="8" t="str">
        <f t="shared" si="355"/>
        <v>PEN</v>
      </c>
      <c r="N4039" s="13">
        <v>1485.05</v>
      </c>
      <c r="O4039" s="13"/>
      <c r="P4039" s="3">
        <f t="shared" si="356"/>
        <v>0</v>
      </c>
      <c r="Q4039" s="3">
        <f t="shared" si="357"/>
        <v>0</v>
      </c>
      <c r="R4039" s="3">
        <f t="shared" si="341"/>
        <v>17296.859999999964</v>
      </c>
      <c r="S4039" s="24" t="s">
        <v>1334</v>
      </c>
      <c r="T4039" s="28" t="s">
        <v>1334</v>
      </c>
      <c r="U4039" s="55"/>
      <c r="V4039" s="25">
        <f>IFERROR(VLOOKUP(BCP_Soles[[#This Row],[destinatario]],CHOOSE({1,2},Clientes_Proveedores[Razon Social],Clientes_Proveedores[Ruc / Dni]),2,0),"")</f>
        <v>20558226979</v>
      </c>
      <c r="W4039" s="25"/>
      <c r="X4039" s="25"/>
      <c r="Y4039" s="25"/>
      <c r="Z4039" s="77"/>
      <c r="AA4039" s="3" t="str">
        <f>IF(BCP_Soles[[#This Row],[fecha]]&gt;0,TEXT(BCP_Soles[[#This Row],[fecha]],"mmmm"),0)</f>
        <v>Octubre</v>
      </c>
    </row>
    <row r="4040" spans="1:27" x14ac:dyDescent="0.3">
      <c r="A4040" s="2">
        <f>IF(BCP_Soles[[#This Row],[tipo_registro]]="R",COUNTIFS($C$1:$C4039,"R")+1,A4039)</f>
        <v>2670</v>
      </c>
      <c r="B4040" s="19" t="str">
        <f t="shared" si="354"/>
        <v>B-BCP - Soles</v>
      </c>
      <c r="C4040" s="3" t="s">
        <v>1330</v>
      </c>
      <c r="D4040" s="14">
        <v>45932</v>
      </c>
      <c r="E4040" s="5"/>
      <c r="F4040" s="5" t="s">
        <v>1303</v>
      </c>
      <c r="G4040" s="6" t="s">
        <v>425</v>
      </c>
      <c r="H4040" s="6"/>
      <c r="I4040" s="6"/>
      <c r="J4040" s="6"/>
      <c r="K4040" s="7" t="s">
        <v>4638</v>
      </c>
      <c r="L4040" s="8">
        <v>2765739</v>
      </c>
      <c r="M4040" s="8" t="str">
        <f t="shared" si="355"/>
        <v>PEN</v>
      </c>
      <c r="N4040" s="13"/>
      <c r="O4040" s="13">
        <v>105.02</v>
      </c>
      <c r="P4040" s="3">
        <f t="shared" si="356"/>
        <v>105.02</v>
      </c>
      <c r="Q4040" s="3">
        <f t="shared" si="357"/>
        <v>0</v>
      </c>
      <c r="R4040" s="3">
        <f t="shared" si="341"/>
        <v>17401.879999999965</v>
      </c>
      <c r="S4040" s="24"/>
      <c r="T4040" s="24"/>
      <c r="U4040" s="55"/>
      <c r="V4040" s="25">
        <f>IFERROR(VLOOKUP(BCP_Soles[[#This Row],[destinatario]],CHOOSE({1,2},Clientes_Proveedores[Razon Social],Clientes_Proveedores[Ruc / Dni]),2,0),"")</f>
        <v>20558226979</v>
      </c>
      <c r="W4040" s="25"/>
      <c r="X4040" s="25"/>
      <c r="Y4040" s="25"/>
      <c r="Z4040" s="77"/>
      <c r="AA4040" s="3" t="str">
        <f>IF(BCP_Soles[[#This Row],[fecha]]&gt;0,TEXT(BCP_Soles[[#This Row],[fecha]],"mmmm"),0)</f>
        <v>Octubre</v>
      </c>
    </row>
    <row r="4041" spans="1:27" ht="60" x14ac:dyDescent="0.3">
      <c r="A4041" s="2">
        <f>IF(BCP_Soles[[#This Row],[tipo_registro]]="R",COUNTIFS($C$1:$C4040,"R")+1,A4040)</f>
        <v>2671</v>
      </c>
      <c r="B4041" s="19" t="str">
        <f t="shared" si="350"/>
        <v>B-BCP - Soles</v>
      </c>
      <c r="C4041" s="3" t="s">
        <v>1330</v>
      </c>
      <c r="D4041" s="14">
        <v>45932</v>
      </c>
      <c r="E4041" s="5" t="s">
        <v>2269</v>
      </c>
      <c r="F4041" s="5" t="s">
        <v>1336</v>
      </c>
      <c r="G4041" s="6" t="s">
        <v>670</v>
      </c>
      <c r="H4041" s="6" t="s">
        <v>68</v>
      </c>
      <c r="I4041" s="6" t="s">
        <v>1374</v>
      </c>
      <c r="J4041" s="6">
        <v>254</v>
      </c>
      <c r="K4041" s="7" t="s">
        <v>4639</v>
      </c>
      <c r="L4041" s="8">
        <v>1120541</v>
      </c>
      <c r="M4041" s="8" t="str">
        <f t="shared" si="351"/>
        <v>PEN</v>
      </c>
      <c r="N4041" s="13"/>
      <c r="O4041" s="13">
        <v>177</v>
      </c>
      <c r="P4041" s="3">
        <f t="shared" si="352"/>
        <v>0</v>
      </c>
      <c r="Q4041" s="3">
        <f t="shared" si="353"/>
        <v>177</v>
      </c>
      <c r="R4041" s="3">
        <f t="shared" si="341"/>
        <v>17224.879999999965</v>
      </c>
      <c r="S4041" s="24" t="s">
        <v>1334</v>
      </c>
      <c r="T4041" s="24" t="s">
        <v>1334</v>
      </c>
      <c r="U4041" s="56" t="s">
        <v>4640</v>
      </c>
      <c r="V4041" s="25">
        <f>IFERROR(VLOOKUP(BCP_Soles[[#This Row],[destinatario]],CHOOSE({1,2},Clientes_Proveedores[Razon Social],Clientes_Proveedores[Ruc / Dni]),2,0),"")</f>
        <v>20523363337</v>
      </c>
      <c r="W4041" s="25"/>
      <c r="X4041" s="25"/>
      <c r="Y4041" s="25"/>
      <c r="Z4041" s="77"/>
      <c r="AA4041" s="3" t="str">
        <f>IF(BCP_Soles[[#This Row],[fecha]]&gt;0,TEXT(BCP_Soles[[#This Row],[fecha]],"mmmm"),0)</f>
        <v>Octubre</v>
      </c>
    </row>
    <row r="4042" spans="1:27" ht="24" x14ac:dyDescent="0.3">
      <c r="A4042" s="2">
        <f>IF(BCP_Soles[[#This Row],[tipo_registro]]="R",COUNTIFS($C$1:$C4041,"R")+1,A4041)</f>
        <v>2672</v>
      </c>
      <c r="B4042" s="19" t="str">
        <f t="shared" si="350"/>
        <v>B-BCP - Soles</v>
      </c>
      <c r="C4042" s="3" t="s">
        <v>1330</v>
      </c>
      <c r="D4042" s="14">
        <v>45932</v>
      </c>
      <c r="E4042" s="5" t="s">
        <v>2269</v>
      </c>
      <c r="F4042" s="5" t="s">
        <v>1336</v>
      </c>
      <c r="G4042" s="6" t="s">
        <v>1014</v>
      </c>
      <c r="H4042" s="6"/>
      <c r="I4042" s="6"/>
      <c r="J4042" s="6"/>
      <c r="K4042" s="7" t="s">
        <v>4641</v>
      </c>
      <c r="L4042" s="8">
        <v>1119088</v>
      </c>
      <c r="M4042" s="8" t="str">
        <f t="shared" si="351"/>
        <v>PEN</v>
      </c>
      <c r="N4042" s="13"/>
      <c r="O4042" s="13">
        <v>500</v>
      </c>
      <c r="P4042" s="3">
        <f t="shared" si="352"/>
        <v>0</v>
      </c>
      <c r="Q4042" s="3">
        <f t="shared" si="353"/>
        <v>500</v>
      </c>
      <c r="R4042" s="3">
        <f t="shared" si="341"/>
        <v>16724.879999999965</v>
      </c>
      <c r="S4042" s="24"/>
      <c r="T4042" s="24" t="s">
        <v>1334</v>
      </c>
      <c r="U4042" s="55"/>
      <c r="V4042" s="25">
        <f>IFERROR(VLOOKUP(BCP_Soles[[#This Row],[destinatario]],CHOOSE({1,2},Clientes_Proveedores[Razon Social],Clientes_Proveedores[Ruc / Dni]),2,0),"")</f>
        <v>75560789</v>
      </c>
      <c r="W4042" s="25"/>
      <c r="X4042" s="25"/>
      <c r="Y4042" s="25"/>
      <c r="Z4042" s="77"/>
      <c r="AA4042" s="3" t="str">
        <f>IF(BCP_Soles[[#This Row],[fecha]]&gt;0,TEXT(BCP_Soles[[#This Row],[fecha]],"mmmm"),0)</f>
        <v>Octubre</v>
      </c>
    </row>
    <row r="4043" spans="1:27" ht="48" x14ac:dyDescent="0.3">
      <c r="A4043" s="2">
        <f>IF(BCP_Soles[[#This Row],[tipo_registro]]="R",COUNTIFS($C$1:$C4042,"R")+1,A4042)</f>
        <v>2673</v>
      </c>
      <c r="B4043" s="19" t="str">
        <f t="shared" si="350"/>
        <v>B-BCP - Soles</v>
      </c>
      <c r="C4043" s="3" t="s">
        <v>1330</v>
      </c>
      <c r="D4043" s="14">
        <v>45932</v>
      </c>
      <c r="E4043" s="5" t="s">
        <v>2269</v>
      </c>
      <c r="F4043" s="5" t="s">
        <v>1336</v>
      </c>
      <c r="G4043" s="6" t="s">
        <v>501</v>
      </c>
      <c r="H4043" s="6" t="s">
        <v>68</v>
      </c>
      <c r="I4043" s="6" t="s">
        <v>1526</v>
      </c>
      <c r="J4043" s="6">
        <v>11785</v>
      </c>
      <c r="K4043" s="7" t="s">
        <v>4642</v>
      </c>
      <c r="L4043" s="8">
        <v>1121037</v>
      </c>
      <c r="M4043" s="8" t="str">
        <f t="shared" si="351"/>
        <v>PEN</v>
      </c>
      <c r="N4043" s="13"/>
      <c r="O4043" s="13">
        <v>75</v>
      </c>
      <c r="P4043" s="3">
        <f t="shared" si="352"/>
        <v>0</v>
      </c>
      <c r="Q4043" s="3">
        <f t="shared" si="353"/>
        <v>75</v>
      </c>
      <c r="R4043" s="3">
        <f t="shared" ref="R4043:R4107" si="358">IFERROR(IF(F4043="SALDO",P4043,R4042+P4043-Q4043),0)</f>
        <v>16649.879999999965</v>
      </c>
      <c r="S4043" s="24" t="s">
        <v>1334</v>
      </c>
      <c r="T4043" s="24" t="s">
        <v>1334</v>
      </c>
      <c r="U4043" s="56" t="s">
        <v>4643</v>
      </c>
      <c r="V4043" s="25">
        <f>IFERROR(VLOOKUP(BCP_Soles[[#This Row],[destinatario]],CHOOSE({1,2},Clientes_Proveedores[Razon Social],Clientes_Proveedores[Ruc / Dni]),2,0),"")</f>
        <v>20602978274</v>
      </c>
      <c r="W4043" s="25"/>
      <c r="X4043" s="25"/>
      <c r="Y4043" s="25"/>
      <c r="Z4043" s="77"/>
      <c r="AA4043" s="3" t="str">
        <f>IF(BCP_Soles[[#This Row],[fecha]]&gt;0,TEXT(BCP_Soles[[#This Row],[fecha]],"mmmm"),0)</f>
        <v>Octubre</v>
      </c>
    </row>
    <row r="4044" spans="1:27" ht="24" x14ac:dyDescent="0.3">
      <c r="A4044" s="2">
        <f>IF(BCP_Soles[[#This Row],[tipo_registro]]="R",COUNTIFS($C$1:$C4043,"R")+1,A4043)</f>
        <v>2674</v>
      </c>
      <c r="B4044" s="19" t="str">
        <f t="shared" si="350"/>
        <v>B-BCP - Soles</v>
      </c>
      <c r="C4044" s="3" t="s">
        <v>1330</v>
      </c>
      <c r="D4044" s="14">
        <v>45932</v>
      </c>
      <c r="E4044" s="5" t="s">
        <v>2269</v>
      </c>
      <c r="F4044" s="5" t="s">
        <v>1336</v>
      </c>
      <c r="G4044" s="6" t="s">
        <v>866</v>
      </c>
      <c r="H4044" s="6" t="s">
        <v>143</v>
      </c>
      <c r="I4044" s="6">
        <v>1</v>
      </c>
      <c r="J4044" s="6">
        <v>792025</v>
      </c>
      <c r="K4044" s="7" t="s">
        <v>4614</v>
      </c>
      <c r="L4044" s="8">
        <v>1226278</v>
      </c>
      <c r="M4044" s="8" t="str">
        <f t="shared" si="351"/>
        <v>PEN</v>
      </c>
      <c r="N4044" s="13"/>
      <c r="O4044" s="13">
        <v>200</v>
      </c>
      <c r="P4044" s="3">
        <f t="shared" si="352"/>
        <v>0</v>
      </c>
      <c r="Q4044" s="3">
        <f t="shared" si="353"/>
        <v>200</v>
      </c>
      <c r="R4044" s="3">
        <f t="shared" si="358"/>
        <v>16449.879999999965</v>
      </c>
      <c r="S4044" s="24"/>
      <c r="T4044" s="24"/>
      <c r="U4044" s="55"/>
      <c r="V4044" s="25">
        <f>IFERROR(VLOOKUP(BCP_Soles[[#This Row],[destinatario]],CHOOSE({1,2},Clientes_Proveedores[Razon Social],Clientes_Proveedores[Ruc / Dni]),2,0),"")</f>
        <v>45921913</v>
      </c>
      <c r="W4044" s="25"/>
      <c r="X4044" s="25"/>
      <c r="Y4044" s="25"/>
      <c r="Z4044" s="77"/>
      <c r="AA4044" s="3" t="str">
        <f>IF(BCP_Soles[[#This Row],[fecha]]&gt;0,TEXT(BCP_Soles[[#This Row],[fecha]],"mmmm"),0)</f>
        <v>Octubre</v>
      </c>
    </row>
    <row r="4045" spans="1:27" ht="24" x14ac:dyDescent="0.3">
      <c r="A4045" s="2">
        <f>IF(BCP_Soles[[#This Row],[tipo_registro]]="R",COUNTIFS($C$1:$C4044,"R")+1,A4044)</f>
        <v>2675</v>
      </c>
      <c r="B4045" s="19" t="str">
        <f t="shared" si="350"/>
        <v>B-BCP - Soles</v>
      </c>
      <c r="C4045" s="3" t="s">
        <v>1330</v>
      </c>
      <c r="D4045" s="14">
        <v>45932</v>
      </c>
      <c r="E4045" s="5" t="s">
        <v>2269</v>
      </c>
      <c r="F4045" s="5" t="s">
        <v>1336</v>
      </c>
      <c r="G4045" s="6" t="s">
        <v>1052</v>
      </c>
      <c r="H4045" s="6"/>
      <c r="I4045" s="6"/>
      <c r="J4045" s="6"/>
      <c r="K4045" s="7" t="s">
        <v>4592</v>
      </c>
      <c r="L4045" s="8">
        <v>4024124</v>
      </c>
      <c r="M4045" s="8" t="str">
        <f t="shared" si="351"/>
        <v>PEN</v>
      </c>
      <c r="N4045" s="13"/>
      <c r="O4045" s="13">
        <v>2004.3</v>
      </c>
      <c r="P4045" s="3">
        <f t="shared" si="352"/>
        <v>0</v>
      </c>
      <c r="Q4045" s="3">
        <f t="shared" si="353"/>
        <v>2004.3</v>
      </c>
      <c r="R4045" s="3">
        <f t="shared" si="358"/>
        <v>14445.579999999965</v>
      </c>
      <c r="S4045" s="24" t="s">
        <v>1334</v>
      </c>
      <c r="T4045" s="24" t="s">
        <v>1334</v>
      </c>
      <c r="U4045" s="56" t="s">
        <v>4644</v>
      </c>
      <c r="V4045" s="25">
        <f>IFERROR(VLOOKUP(BCP_Soles[[#This Row],[destinatario]],CHOOSE({1,2},Clientes_Proveedores[Razon Social],Clientes_Proveedores[Ruc / Dni]),2,0),"")</f>
        <v>20613525093</v>
      </c>
      <c r="W4045" s="25"/>
      <c r="X4045" s="25"/>
      <c r="Y4045" s="25"/>
      <c r="Z4045" s="77"/>
      <c r="AA4045" s="3" t="str">
        <f>IF(BCP_Soles[[#This Row],[fecha]]&gt;0,TEXT(BCP_Soles[[#This Row],[fecha]],"mmmm"),0)</f>
        <v>Octubre</v>
      </c>
    </row>
    <row r="4046" spans="1:27" ht="24" x14ac:dyDescent="0.3">
      <c r="A4046" s="2">
        <f>IF(BCP_Soles[[#This Row],[tipo_registro]]="R",COUNTIFS($C$1:$C4045,"R")+1,A4045)</f>
        <v>2675</v>
      </c>
      <c r="B4046" s="19" t="str">
        <f t="shared" si="350"/>
        <v>B-BCP - Soles</v>
      </c>
      <c r="C4046" s="3" t="s">
        <v>1352</v>
      </c>
      <c r="D4046" s="14">
        <v>45932</v>
      </c>
      <c r="E4046" s="5" t="s">
        <v>2269</v>
      </c>
      <c r="F4046" s="5" t="s">
        <v>1336</v>
      </c>
      <c r="G4046" s="6" t="s">
        <v>1052</v>
      </c>
      <c r="H4046" s="6" t="s">
        <v>68</v>
      </c>
      <c r="I4046" s="6" t="s">
        <v>1376</v>
      </c>
      <c r="J4046" s="6">
        <v>5</v>
      </c>
      <c r="K4046" s="7" t="s">
        <v>4592</v>
      </c>
      <c r="L4046" s="8">
        <v>4024124</v>
      </c>
      <c r="M4046" s="8" t="str">
        <f t="shared" si="351"/>
        <v>PEN</v>
      </c>
      <c r="N4046" s="13">
        <v>550</v>
      </c>
      <c r="O4046" s="13"/>
      <c r="P4046" s="3">
        <f t="shared" si="352"/>
        <v>0</v>
      </c>
      <c r="Q4046" s="3">
        <f t="shared" si="353"/>
        <v>0</v>
      </c>
      <c r="R4046" s="3">
        <f t="shared" si="358"/>
        <v>14445.579999999965</v>
      </c>
      <c r="S4046" s="24" t="s">
        <v>1334</v>
      </c>
      <c r="T4046" s="24" t="s">
        <v>1334</v>
      </c>
      <c r="U4046" s="55"/>
      <c r="V4046" s="25">
        <f>IFERROR(VLOOKUP(BCP_Soles[[#This Row],[destinatario]],CHOOSE({1,2},Clientes_Proveedores[Razon Social],Clientes_Proveedores[Ruc / Dni]),2,0),"")</f>
        <v>20613525093</v>
      </c>
      <c r="W4046" s="25"/>
      <c r="X4046" s="25"/>
      <c r="Y4046" s="25"/>
      <c r="Z4046" s="77"/>
      <c r="AA4046" s="3" t="str">
        <f>IF(BCP_Soles[[#This Row],[fecha]]&gt;0,TEXT(BCP_Soles[[#This Row],[fecha]],"mmmm"),0)</f>
        <v>Octubre</v>
      </c>
    </row>
    <row r="4047" spans="1:27" ht="24" x14ac:dyDescent="0.3">
      <c r="A4047" s="2">
        <f>IF(BCP_Soles[[#This Row],[tipo_registro]]="R",COUNTIFS($C$1:$C4046,"R")+1,A4046)</f>
        <v>2675</v>
      </c>
      <c r="B4047" s="19" t="str">
        <f>"B-BCP - Soles"</f>
        <v>B-BCP - Soles</v>
      </c>
      <c r="C4047" s="3" t="s">
        <v>1352</v>
      </c>
      <c r="D4047" s="14">
        <v>45932</v>
      </c>
      <c r="E4047" s="5" t="s">
        <v>2269</v>
      </c>
      <c r="F4047" s="5" t="s">
        <v>1336</v>
      </c>
      <c r="G4047" s="6" t="s">
        <v>1052</v>
      </c>
      <c r="H4047" s="6" t="s">
        <v>68</v>
      </c>
      <c r="I4047" s="6" t="s">
        <v>1376</v>
      </c>
      <c r="J4047" s="6">
        <v>6</v>
      </c>
      <c r="K4047" s="7" t="s">
        <v>4592</v>
      </c>
      <c r="L4047" s="8">
        <v>4024124</v>
      </c>
      <c r="M4047" s="8" t="str">
        <f>"PEN"</f>
        <v>PEN</v>
      </c>
      <c r="N4047" s="13">
        <v>1450</v>
      </c>
      <c r="O4047" s="13"/>
      <c r="P4047" s="3">
        <f>+IF(OR($F4047="SALDO",$F4047="INGRESO"),$O4047,0)</f>
        <v>0</v>
      </c>
      <c r="Q4047" s="3">
        <f>+IF($F4047="EGRESO",$O4047,0)</f>
        <v>0</v>
      </c>
      <c r="R4047" s="3">
        <f>IFERROR(IF(F4047="SALDO",P4047,R4046+P4047-Q4047),0)</f>
        <v>14445.579999999965</v>
      </c>
      <c r="S4047" s="24" t="s">
        <v>1334</v>
      </c>
      <c r="T4047" s="24" t="s">
        <v>1334</v>
      </c>
      <c r="U4047" s="55"/>
      <c r="V4047" s="25">
        <f>IFERROR(VLOOKUP(BCP_Soles[[#This Row],[destinatario]],CHOOSE({1,2},Clientes_Proveedores[Razon Social],Clientes_Proveedores[Ruc / Dni]),2,0),"")</f>
        <v>20613525093</v>
      </c>
      <c r="W4047" s="25"/>
      <c r="X4047" s="25"/>
      <c r="Y4047" s="25"/>
      <c r="Z4047" s="77"/>
      <c r="AA4047" s="3" t="str">
        <f>IF(BCP_Soles[[#This Row],[fecha]]&gt;0,TEXT(BCP_Soles[[#This Row],[fecha]],"mmmm"),0)</f>
        <v>Octubre</v>
      </c>
    </row>
    <row r="4048" spans="1:27" ht="24" x14ac:dyDescent="0.3">
      <c r="A4048" s="2">
        <f>IF(BCP_Soles[[#This Row],[tipo_registro]]="R",COUNTIFS($C$1:$C4047,"R")+1,A4047)</f>
        <v>2675</v>
      </c>
      <c r="B4048" s="19" t="str">
        <f t="shared" si="350"/>
        <v>B-BCP - Soles</v>
      </c>
      <c r="C4048" s="3" t="s">
        <v>1352</v>
      </c>
      <c r="D4048" s="14">
        <v>45932</v>
      </c>
      <c r="E4048" s="5" t="s">
        <v>2269</v>
      </c>
      <c r="F4048" s="5" t="s">
        <v>1336</v>
      </c>
      <c r="G4048" s="6" t="s">
        <v>1060</v>
      </c>
      <c r="H4048" s="6" t="s">
        <v>68</v>
      </c>
      <c r="I4048" s="6" t="s">
        <v>1397</v>
      </c>
      <c r="J4048" s="6">
        <v>37598621</v>
      </c>
      <c r="K4048" s="7" t="s">
        <v>4592</v>
      </c>
      <c r="L4048" s="8">
        <v>4024124</v>
      </c>
      <c r="M4048" s="8" t="str">
        <f t="shared" si="351"/>
        <v>PEN</v>
      </c>
      <c r="N4048" s="13">
        <v>4.3</v>
      </c>
      <c r="O4048" s="13"/>
      <c r="P4048" s="3">
        <f t="shared" si="352"/>
        <v>0</v>
      </c>
      <c r="Q4048" s="3">
        <f t="shared" si="353"/>
        <v>0</v>
      </c>
      <c r="R4048" s="3">
        <f>IFERROR(IF(F4048="SALDO",P4048,R4047+P4048-Q4048),0)</f>
        <v>14445.579999999965</v>
      </c>
      <c r="S4048" s="24" t="s">
        <v>1334</v>
      </c>
      <c r="T4048" s="24" t="s">
        <v>1334</v>
      </c>
      <c r="U4048" s="55"/>
      <c r="V4048" s="25">
        <f>IFERROR(VLOOKUP(BCP_Soles[[#This Row],[destinatario]],CHOOSE({1,2},Clientes_Proveedores[Razon Social],Clientes_Proveedores[Ruc / Dni]),2,0),"")</f>
        <v>20100047218</v>
      </c>
      <c r="W4048" s="25"/>
      <c r="X4048" s="25"/>
      <c r="Y4048" s="25"/>
      <c r="Z4048" s="77"/>
      <c r="AA4048" s="3" t="str">
        <f>IF(BCP_Soles[[#This Row],[fecha]]&gt;0,TEXT(BCP_Soles[[#This Row],[fecha]],"mmmm"),0)</f>
        <v>Octubre</v>
      </c>
    </row>
    <row r="4049" spans="1:27" x14ac:dyDescent="0.3">
      <c r="A4049" s="2">
        <f>IF(BCP_Soles[[#This Row],[tipo_registro]]="R",COUNTIFS($C$1:$C4048,"R")+1,A4048)</f>
        <v>2676</v>
      </c>
      <c r="B4049" s="19" t="str">
        <f t="shared" si="350"/>
        <v>B-BCP - Soles</v>
      </c>
      <c r="C4049" s="3" t="s">
        <v>1330</v>
      </c>
      <c r="D4049" s="14">
        <v>45932</v>
      </c>
      <c r="E4049" s="5" t="s">
        <v>2269</v>
      </c>
      <c r="F4049" s="5" t="s">
        <v>1336</v>
      </c>
      <c r="G4049" s="6" t="s">
        <v>737</v>
      </c>
      <c r="H4049" s="6" t="s">
        <v>68</v>
      </c>
      <c r="I4049" s="6" t="s">
        <v>2331</v>
      </c>
      <c r="J4049" s="6">
        <v>3222</v>
      </c>
      <c r="K4049" s="7" t="s">
        <v>4645</v>
      </c>
      <c r="L4049" s="8">
        <v>1225319</v>
      </c>
      <c r="M4049" s="8" t="str">
        <f t="shared" si="351"/>
        <v>PEN</v>
      </c>
      <c r="N4049" s="13"/>
      <c r="O4049" s="13">
        <v>166.5</v>
      </c>
      <c r="P4049" s="3">
        <f t="shared" si="352"/>
        <v>0</v>
      </c>
      <c r="Q4049" s="3">
        <f t="shared" si="353"/>
        <v>166.5</v>
      </c>
      <c r="R4049" s="3">
        <f t="shared" si="358"/>
        <v>14279.079999999965</v>
      </c>
      <c r="S4049" s="24" t="s">
        <v>1334</v>
      </c>
      <c r="T4049" s="24" t="s">
        <v>1334</v>
      </c>
      <c r="U4049" s="56" t="s">
        <v>4646</v>
      </c>
      <c r="V4049" s="25">
        <f>IFERROR(VLOOKUP(BCP_Soles[[#This Row],[destinatario]],CHOOSE({1,2},Clientes_Proveedores[Razon Social],Clientes_Proveedores[Ruc / Dni]),2,0),"")</f>
        <v>20559169774</v>
      </c>
      <c r="W4049" s="25"/>
      <c r="X4049" s="25"/>
      <c r="Y4049" s="25"/>
      <c r="Z4049" s="77"/>
      <c r="AA4049" s="3" t="str">
        <f>IF(BCP_Soles[[#This Row],[fecha]]&gt;0,TEXT(BCP_Soles[[#This Row],[fecha]],"mmmm"),0)</f>
        <v>Octubre</v>
      </c>
    </row>
    <row r="4050" spans="1:27" x14ac:dyDescent="0.3">
      <c r="A4050" s="2">
        <f>IF(BCP_Soles[[#This Row],[tipo_registro]]="R",COUNTIFS($C$1:$C4049,"R")+1,A4049)</f>
        <v>2677</v>
      </c>
      <c r="B4050" s="19" t="str">
        <f t="shared" si="350"/>
        <v>B-BCP - Soles</v>
      </c>
      <c r="C4050" s="3" t="s">
        <v>1330</v>
      </c>
      <c r="D4050" s="14">
        <v>45932</v>
      </c>
      <c r="E4050" s="5" t="s">
        <v>2269</v>
      </c>
      <c r="F4050" s="5" t="s">
        <v>1336</v>
      </c>
      <c r="G4050" s="6" t="s">
        <v>196</v>
      </c>
      <c r="H4050" s="6" t="s">
        <v>68</v>
      </c>
      <c r="I4050" s="6" t="s">
        <v>2226</v>
      </c>
      <c r="J4050" s="6">
        <v>7006</v>
      </c>
      <c r="K4050" s="7" t="s">
        <v>2227</v>
      </c>
      <c r="L4050" s="8">
        <v>226277</v>
      </c>
      <c r="M4050" s="8" t="str">
        <f t="shared" si="351"/>
        <v>PEN</v>
      </c>
      <c r="N4050" s="13"/>
      <c r="O4050" s="13">
        <v>387.66</v>
      </c>
      <c r="P4050" s="3">
        <f t="shared" si="352"/>
        <v>0</v>
      </c>
      <c r="Q4050" s="3">
        <f t="shared" si="353"/>
        <v>387.66</v>
      </c>
      <c r="R4050" s="3">
        <f t="shared" si="358"/>
        <v>13891.419999999966</v>
      </c>
      <c r="S4050" s="24" t="s">
        <v>1334</v>
      </c>
      <c r="T4050" s="24" t="s">
        <v>1334</v>
      </c>
      <c r="U4050" s="55"/>
      <c r="V4050" s="25">
        <f>IFERROR(VLOOKUP(BCP_Soles[[#This Row],[destinatario]],CHOOSE({1,2},Clientes_Proveedores[Razon Social],Clientes_Proveedores[Ruc / Dni]),2,0),"")</f>
        <v>20100055237</v>
      </c>
      <c r="W4050" s="25"/>
      <c r="X4050" s="25"/>
      <c r="Y4050" s="25"/>
      <c r="Z4050" s="77"/>
      <c r="AA4050" s="3" t="str">
        <f>IF(BCP_Soles[[#This Row],[fecha]]&gt;0,TEXT(BCP_Soles[[#This Row],[fecha]],"mmmm"),0)</f>
        <v>Octubre</v>
      </c>
    </row>
    <row r="4051" spans="1:27" x14ac:dyDescent="0.3">
      <c r="A4051" s="2">
        <f>IF(BCP_Soles[[#This Row],[tipo_registro]]="R",COUNTIFS($C$1:$C4050,"R")+1,A4050)</f>
        <v>2678</v>
      </c>
      <c r="B4051" s="19" t="str">
        <f t="shared" si="350"/>
        <v>B-BCP - Soles</v>
      </c>
      <c r="C4051" s="13" t="s">
        <v>1330</v>
      </c>
      <c r="D4051" s="14">
        <v>45932</v>
      </c>
      <c r="E4051" s="5" t="s">
        <v>2269</v>
      </c>
      <c r="F4051" s="5" t="s">
        <v>1336</v>
      </c>
      <c r="G4051" s="6" t="s">
        <v>196</v>
      </c>
      <c r="H4051" s="6" t="s">
        <v>68</v>
      </c>
      <c r="I4051" s="6" t="s">
        <v>2226</v>
      </c>
      <c r="J4051" s="6">
        <v>7005</v>
      </c>
      <c r="K4051" s="7" t="s">
        <v>2227</v>
      </c>
      <c r="L4051" s="8">
        <v>223829</v>
      </c>
      <c r="M4051" s="8" t="str">
        <f t="shared" si="351"/>
        <v>PEN</v>
      </c>
      <c r="N4051" s="13"/>
      <c r="O4051" s="13">
        <v>100</v>
      </c>
      <c r="P4051" s="3">
        <f t="shared" si="352"/>
        <v>0</v>
      </c>
      <c r="Q4051" s="3">
        <f t="shared" si="353"/>
        <v>100</v>
      </c>
      <c r="R4051" s="3">
        <f t="shared" si="358"/>
        <v>13791.419999999966</v>
      </c>
      <c r="S4051" s="24" t="s">
        <v>1334</v>
      </c>
      <c r="T4051" s="24" t="s">
        <v>1334</v>
      </c>
      <c r="U4051" s="55"/>
      <c r="V4051" s="25">
        <f>IFERROR(VLOOKUP(BCP_Soles[[#This Row],[destinatario]],CHOOSE({1,2},Clientes_Proveedores[Razon Social],Clientes_Proveedores[Ruc / Dni]),2,0),"")</f>
        <v>20100055237</v>
      </c>
      <c r="W4051" s="25"/>
      <c r="X4051" s="25"/>
      <c r="Y4051" s="25"/>
      <c r="Z4051" s="77"/>
      <c r="AA4051" s="3" t="str">
        <f>IF(BCP_Soles[[#This Row],[fecha]]&gt;0,TEXT(BCP_Soles[[#This Row],[fecha]],"mmmm"),0)</f>
        <v>Octubre</v>
      </c>
    </row>
    <row r="4052" spans="1:27" x14ac:dyDescent="0.3">
      <c r="A4052" s="2">
        <f>IF(BCP_Soles[[#This Row],[tipo_registro]]="R",COUNTIFS($C$1:$C4051,"R")+1,A4051)</f>
        <v>2679</v>
      </c>
      <c r="B4052" s="19" t="str">
        <f t="shared" si="350"/>
        <v>B-BCP - Soles</v>
      </c>
      <c r="C4052" s="13" t="s">
        <v>1330</v>
      </c>
      <c r="D4052" s="14">
        <v>45932</v>
      </c>
      <c r="E4052" s="5" t="s">
        <v>2269</v>
      </c>
      <c r="F4052" s="5" t="s">
        <v>1336</v>
      </c>
      <c r="G4052" s="6" t="s">
        <v>196</v>
      </c>
      <c r="H4052" s="6" t="s">
        <v>68</v>
      </c>
      <c r="I4052" s="6" t="s">
        <v>2226</v>
      </c>
      <c r="J4052" s="6">
        <v>7004</v>
      </c>
      <c r="K4052" s="7" t="s">
        <v>2227</v>
      </c>
      <c r="L4052" s="8">
        <v>225801</v>
      </c>
      <c r="M4052" s="8" t="str">
        <f t="shared" si="351"/>
        <v>PEN</v>
      </c>
      <c r="N4052" s="13"/>
      <c r="O4052" s="13">
        <v>6.43</v>
      </c>
      <c r="P4052" s="3">
        <f t="shared" si="352"/>
        <v>0</v>
      </c>
      <c r="Q4052" s="3">
        <f t="shared" si="353"/>
        <v>6.43</v>
      </c>
      <c r="R4052" s="3">
        <f t="shared" si="358"/>
        <v>13784.989999999965</v>
      </c>
      <c r="S4052" s="24" t="s">
        <v>1334</v>
      </c>
      <c r="T4052" s="24" t="s">
        <v>1334</v>
      </c>
      <c r="U4052" s="55"/>
      <c r="V4052" s="25">
        <f>IFERROR(VLOOKUP(BCP_Soles[[#This Row],[destinatario]],CHOOSE({1,2},Clientes_Proveedores[Razon Social],Clientes_Proveedores[Ruc / Dni]),2,0),"")</f>
        <v>20100055237</v>
      </c>
      <c r="W4052" s="25"/>
      <c r="X4052" s="25"/>
      <c r="Y4052" s="25"/>
      <c r="Z4052" s="77"/>
      <c r="AA4052" s="3" t="str">
        <f>IF(BCP_Soles[[#This Row],[fecha]]&gt;0,TEXT(BCP_Soles[[#This Row],[fecha]],"mmmm"),0)</f>
        <v>Octubre</v>
      </c>
    </row>
    <row r="4053" spans="1:27" x14ac:dyDescent="0.3">
      <c r="A4053" s="2">
        <f>IF(BCP_Soles[[#This Row],[tipo_registro]]="R",COUNTIFS($C$1:$C4052,"R")+1,A4052)</f>
        <v>2680</v>
      </c>
      <c r="B4053" s="19" t="str">
        <f t="shared" si="350"/>
        <v>B-BCP - Soles</v>
      </c>
      <c r="C4053" s="13" t="s">
        <v>1330</v>
      </c>
      <c r="D4053" s="14">
        <v>45932</v>
      </c>
      <c r="E4053" s="5" t="s">
        <v>2269</v>
      </c>
      <c r="F4053" s="5" t="s">
        <v>1336</v>
      </c>
      <c r="G4053" s="6" t="s">
        <v>196</v>
      </c>
      <c r="H4053" s="6" t="s">
        <v>68</v>
      </c>
      <c r="I4053" s="6" t="s">
        <v>2226</v>
      </c>
      <c r="J4053" s="6">
        <v>7003</v>
      </c>
      <c r="K4053" s="7" t="s">
        <v>2227</v>
      </c>
      <c r="L4053" s="8">
        <v>224822</v>
      </c>
      <c r="M4053" s="8" t="str">
        <f t="shared" si="351"/>
        <v>PEN</v>
      </c>
      <c r="N4053" s="13"/>
      <c r="O4053" s="13">
        <v>211.51</v>
      </c>
      <c r="P4053" s="3">
        <f t="shared" si="352"/>
        <v>0</v>
      </c>
      <c r="Q4053" s="3">
        <f t="shared" si="353"/>
        <v>211.51</v>
      </c>
      <c r="R4053" s="3">
        <f t="shared" si="358"/>
        <v>13573.479999999965</v>
      </c>
      <c r="S4053" s="24" t="s">
        <v>1334</v>
      </c>
      <c r="T4053" s="24" t="s">
        <v>1334</v>
      </c>
      <c r="U4053" s="55"/>
      <c r="V4053" s="25">
        <f>IFERROR(VLOOKUP(BCP_Soles[[#This Row],[destinatario]],CHOOSE({1,2},Clientes_Proveedores[Razon Social],Clientes_Proveedores[Ruc / Dni]),2,0),"")</f>
        <v>20100055237</v>
      </c>
      <c r="W4053" s="25"/>
      <c r="X4053" s="25"/>
      <c r="Y4053" s="25"/>
      <c r="Z4053" s="77"/>
      <c r="AA4053" s="3" t="str">
        <f>IF(BCP_Soles[[#This Row],[fecha]]&gt;0,TEXT(BCP_Soles[[#This Row],[fecha]],"mmmm"),0)</f>
        <v>Octubre</v>
      </c>
    </row>
    <row r="4054" spans="1:27" x14ac:dyDescent="0.3">
      <c r="A4054" s="2">
        <f>IF(BCP_Soles[[#This Row],[tipo_registro]]="R",COUNTIFS($C$1:$C4053,"R")+1,A4053)</f>
        <v>2681</v>
      </c>
      <c r="B4054" s="19" t="str">
        <f t="shared" si="350"/>
        <v>B-BCP - Soles</v>
      </c>
      <c r="C4054" s="13" t="s">
        <v>1330</v>
      </c>
      <c r="D4054" s="14">
        <v>45932</v>
      </c>
      <c r="E4054" s="5" t="s">
        <v>2269</v>
      </c>
      <c r="F4054" s="5" t="s">
        <v>1336</v>
      </c>
      <c r="G4054" s="6" t="s">
        <v>196</v>
      </c>
      <c r="H4054" s="6" t="s">
        <v>68</v>
      </c>
      <c r="I4054" s="6" t="s">
        <v>2226</v>
      </c>
      <c r="J4054" s="6">
        <v>7002</v>
      </c>
      <c r="K4054" s="7" t="s">
        <v>2227</v>
      </c>
      <c r="L4054" s="8">
        <v>226275</v>
      </c>
      <c r="M4054" s="8" t="str">
        <f t="shared" si="351"/>
        <v>PEN</v>
      </c>
      <c r="N4054" s="13"/>
      <c r="O4054" s="13">
        <v>469.24</v>
      </c>
      <c r="P4054" s="3">
        <f t="shared" si="352"/>
        <v>0</v>
      </c>
      <c r="Q4054" s="3">
        <f t="shared" si="353"/>
        <v>469.24</v>
      </c>
      <c r="R4054" s="3">
        <f t="shared" si="358"/>
        <v>13104.239999999965</v>
      </c>
      <c r="S4054" s="24" t="s">
        <v>1334</v>
      </c>
      <c r="T4054" s="24" t="s">
        <v>1334</v>
      </c>
      <c r="U4054" s="55"/>
      <c r="V4054" s="25">
        <f>IFERROR(VLOOKUP(BCP_Soles[[#This Row],[destinatario]],CHOOSE({1,2},Clientes_Proveedores[Razon Social],Clientes_Proveedores[Ruc / Dni]),2,0),"")</f>
        <v>20100055237</v>
      </c>
      <c r="W4054" s="25"/>
      <c r="X4054" s="25"/>
      <c r="Y4054" s="25"/>
      <c r="Z4054" s="77"/>
      <c r="AA4054" s="3" t="str">
        <f>IF(BCP_Soles[[#This Row],[fecha]]&gt;0,TEXT(BCP_Soles[[#This Row],[fecha]],"mmmm"),0)</f>
        <v>Octubre</v>
      </c>
    </row>
    <row r="4055" spans="1:27" x14ac:dyDescent="0.3">
      <c r="A4055" s="2">
        <f>IF(BCP_Soles[[#This Row],[tipo_registro]]="R",COUNTIFS($C$1:$C4054,"R")+1,A4054)</f>
        <v>2682</v>
      </c>
      <c r="B4055" s="19" t="str">
        <f t="shared" si="350"/>
        <v>B-BCP - Soles</v>
      </c>
      <c r="C4055" s="13" t="s">
        <v>1330</v>
      </c>
      <c r="D4055" s="14">
        <v>45932</v>
      </c>
      <c r="E4055" s="5" t="s">
        <v>2269</v>
      </c>
      <c r="F4055" s="5" t="s">
        <v>1336</v>
      </c>
      <c r="G4055" s="6" t="s">
        <v>196</v>
      </c>
      <c r="H4055" s="6" t="s">
        <v>68</v>
      </c>
      <c r="I4055" s="6" t="s">
        <v>2226</v>
      </c>
      <c r="J4055" s="6">
        <v>7001</v>
      </c>
      <c r="K4055" s="7" t="s">
        <v>2227</v>
      </c>
      <c r="L4055" s="8">
        <v>225317</v>
      </c>
      <c r="M4055" s="8" t="str">
        <f t="shared" si="351"/>
        <v>PEN</v>
      </c>
      <c r="N4055" s="13"/>
      <c r="O4055" s="13">
        <v>112.75</v>
      </c>
      <c r="P4055" s="3">
        <f t="shared" si="352"/>
        <v>0</v>
      </c>
      <c r="Q4055" s="3">
        <f t="shared" si="353"/>
        <v>112.75</v>
      </c>
      <c r="R4055" s="3">
        <f t="shared" si="358"/>
        <v>12991.489999999965</v>
      </c>
      <c r="S4055" s="24" t="s">
        <v>1334</v>
      </c>
      <c r="T4055" s="24" t="s">
        <v>1334</v>
      </c>
      <c r="U4055" s="55"/>
      <c r="V4055" s="25">
        <f>IFERROR(VLOOKUP(BCP_Soles[[#This Row],[destinatario]],CHOOSE({1,2},Clientes_Proveedores[Razon Social],Clientes_Proveedores[Ruc / Dni]),2,0),"")</f>
        <v>20100055237</v>
      </c>
      <c r="W4055" s="25"/>
      <c r="X4055" s="25"/>
      <c r="Y4055" s="25"/>
      <c r="Z4055" s="77"/>
      <c r="AA4055" s="3" t="str">
        <f>IF(BCP_Soles[[#This Row],[fecha]]&gt;0,TEXT(BCP_Soles[[#This Row],[fecha]],"mmmm"),0)</f>
        <v>Octubre</v>
      </c>
    </row>
    <row r="4056" spans="1:27" x14ac:dyDescent="0.3">
      <c r="A4056" s="2">
        <f>IF(BCP_Soles[[#This Row],[tipo_registro]]="R",COUNTIFS($C$1:$C4055,"R")+1,A4055)</f>
        <v>2683</v>
      </c>
      <c r="B4056" s="19" t="str">
        <f t="shared" si="350"/>
        <v>B-BCP - Soles</v>
      </c>
      <c r="C4056" s="13" t="s">
        <v>1330</v>
      </c>
      <c r="D4056" s="14">
        <v>45932</v>
      </c>
      <c r="E4056" s="5" t="s">
        <v>2269</v>
      </c>
      <c r="F4056" s="5" t="s">
        <v>1336</v>
      </c>
      <c r="G4056" s="6" t="s">
        <v>196</v>
      </c>
      <c r="H4056" s="6" t="s">
        <v>68</v>
      </c>
      <c r="I4056" s="6" t="s">
        <v>2226</v>
      </c>
      <c r="J4056" s="6">
        <v>7000</v>
      </c>
      <c r="K4056" s="7" t="s">
        <v>2227</v>
      </c>
      <c r="L4056" s="8">
        <v>226758</v>
      </c>
      <c r="M4056" s="8" t="str">
        <f t="shared" si="351"/>
        <v>PEN</v>
      </c>
      <c r="N4056" s="13"/>
      <c r="O4056" s="13">
        <v>113.81</v>
      </c>
      <c r="P4056" s="3">
        <f t="shared" si="352"/>
        <v>0</v>
      </c>
      <c r="Q4056" s="3">
        <f t="shared" si="353"/>
        <v>113.81</v>
      </c>
      <c r="R4056" s="3">
        <f t="shared" si="358"/>
        <v>12877.679999999966</v>
      </c>
      <c r="S4056" s="24" t="s">
        <v>1334</v>
      </c>
      <c r="T4056" s="24" t="s">
        <v>1334</v>
      </c>
      <c r="U4056" s="55"/>
      <c r="V4056" s="25">
        <f>IFERROR(VLOOKUP(BCP_Soles[[#This Row],[destinatario]],CHOOSE({1,2},Clientes_Proveedores[Razon Social],Clientes_Proveedores[Ruc / Dni]),2,0),"")</f>
        <v>20100055237</v>
      </c>
      <c r="W4056" s="25"/>
      <c r="X4056" s="25"/>
      <c r="Y4056" s="25"/>
      <c r="Z4056" s="77"/>
      <c r="AA4056" s="3" t="str">
        <f>IF(BCP_Soles[[#This Row],[fecha]]&gt;0,TEXT(BCP_Soles[[#This Row],[fecha]],"mmmm"),0)</f>
        <v>Octubre</v>
      </c>
    </row>
    <row r="4057" spans="1:27" x14ac:dyDescent="0.3">
      <c r="A4057" s="2">
        <f>IF(BCP_Soles[[#This Row],[tipo_registro]]="R",COUNTIFS($C$1:$C4056,"R")+1,A4056)</f>
        <v>2684</v>
      </c>
      <c r="B4057" s="19" t="str">
        <f t="shared" si="350"/>
        <v>B-BCP - Soles</v>
      </c>
      <c r="C4057" s="13" t="s">
        <v>1330</v>
      </c>
      <c r="D4057" s="14">
        <v>45932</v>
      </c>
      <c r="E4057" s="5" t="s">
        <v>2269</v>
      </c>
      <c r="F4057" s="5" t="s">
        <v>1336</v>
      </c>
      <c r="G4057" s="6" t="s">
        <v>196</v>
      </c>
      <c r="H4057" s="6" t="s">
        <v>68</v>
      </c>
      <c r="I4057" s="6" t="s">
        <v>2226</v>
      </c>
      <c r="J4057" s="6">
        <v>6999</v>
      </c>
      <c r="K4057" s="7" t="s">
        <v>2227</v>
      </c>
      <c r="L4057" s="8">
        <v>227247</v>
      </c>
      <c r="M4057" s="8" t="str">
        <f t="shared" si="351"/>
        <v>PEN</v>
      </c>
      <c r="N4057" s="13"/>
      <c r="O4057" s="13">
        <v>53.72</v>
      </c>
      <c r="P4057" s="3">
        <f t="shared" si="352"/>
        <v>0</v>
      </c>
      <c r="Q4057" s="3">
        <f t="shared" si="353"/>
        <v>53.72</v>
      </c>
      <c r="R4057" s="3">
        <f t="shared" si="358"/>
        <v>12823.959999999966</v>
      </c>
      <c r="S4057" s="24" t="s">
        <v>1334</v>
      </c>
      <c r="T4057" s="24" t="s">
        <v>1334</v>
      </c>
      <c r="U4057" s="55"/>
      <c r="V4057" s="25">
        <f>IFERROR(VLOOKUP(BCP_Soles[[#This Row],[destinatario]],CHOOSE({1,2},Clientes_Proveedores[Razon Social],Clientes_Proveedores[Ruc / Dni]),2,0),"")</f>
        <v>20100055237</v>
      </c>
      <c r="W4057" s="25"/>
      <c r="X4057" s="25"/>
      <c r="Y4057" s="25"/>
      <c r="Z4057" s="77"/>
      <c r="AA4057" s="3" t="str">
        <f>IF(BCP_Soles[[#This Row],[fecha]]&gt;0,TEXT(BCP_Soles[[#This Row],[fecha]],"mmmm"),0)</f>
        <v>Octubre</v>
      </c>
    </row>
    <row r="4058" spans="1:27" x14ac:dyDescent="0.3">
      <c r="A4058" s="2">
        <f>IF(BCP_Soles[[#This Row],[tipo_registro]]="R",COUNTIFS($C$1:$C4057,"R")+1,A4057)</f>
        <v>2685</v>
      </c>
      <c r="B4058" s="19" t="str">
        <f t="shared" si="350"/>
        <v>B-BCP - Soles</v>
      </c>
      <c r="C4058" s="13" t="s">
        <v>1330</v>
      </c>
      <c r="D4058" s="14">
        <v>45932</v>
      </c>
      <c r="E4058" s="5" t="s">
        <v>2269</v>
      </c>
      <c r="F4058" s="5" t="s">
        <v>1336</v>
      </c>
      <c r="G4058" s="6" t="s">
        <v>196</v>
      </c>
      <c r="H4058" s="6" t="s">
        <v>68</v>
      </c>
      <c r="I4058" s="6" t="s">
        <v>2226</v>
      </c>
      <c r="J4058" s="6">
        <v>7015</v>
      </c>
      <c r="K4058" s="7" t="s">
        <v>2227</v>
      </c>
      <c r="L4058" s="8">
        <v>223827</v>
      </c>
      <c r="M4058" s="8" t="str">
        <f t="shared" si="351"/>
        <v>PEN</v>
      </c>
      <c r="N4058" s="13"/>
      <c r="O4058" s="13">
        <v>237.66</v>
      </c>
      <c r="P4058" s="3">
        <f t="shared" si="352"/>
        <v>0</v>
      </c>
      <c r="Q4058" s="3">
        <f t="shared" si="353"/>
        <v>237.66</v>
      </c>
      <c r="R4058" s="3">
        <f t="shared" si="358"/>
        <v>12586.299999999967</v>
      </c>
      <c r="S4058" s="24" t="s">
        <v>1334</v>
      </c>
      <c r="T4058" s="24" t="s">
        <v>1334</v>
      </c>
      <c r="U4058" s="55"/>
      <c r="V4058" s="25">
        <f>IFERROR(VLOOKUP(BCP_Soles[[#This Row],[destinatario]],CHOOSE({1,2},Clientes_Proveedores[Razon Social],Clientes_Proveedores[Ruc / Dni]),2,0),"")</f>
        <v>20100055237</v>
      </c>
      <c r="W4058" s="25"/>
      <c r="X4058" s="25"/>
      <c r="Y4058" s="25"/>
      <c r="Z4058" s="77"/>
      <c r="AA4058" s="3" t="str">
        <f>IF(BCP_Soles[[#This Row],[fecha]]&gt;0,TEXT(BCP_Soles[[#This Row],[fecha]],"mmmm"),0)</f>
        <v>Octubre</v>
      </c>
    </row>
    <row r="4059" spans="1:27" x14ac:dyDescent="0.3">
      <c r="A4059" s="2">
        <f>IF(BCP_Soles[[#This Row],[tipo_registro]]="R",COUNTIFS($C$1:$C4058,"R")+1,A4058)</f>
        <v>2686</v>
      </c>
      <c r="B4059" s="19" t="str">
        <f t="shared" si="350"/>
        <v>B-BCP - Soles</v>
      </c>
      <c r="C4059" s="13" t="s">
        <v>1330</v>
      </c>
      <c r="D4059" s="14">
        <v>45932</v>
      </c>
      <c r="E4059" s="5" t="s">
        <v>2269</v>
      </c>
      <c r="F4059" s="5" t="s">
        <v>1336</v>
      </c>
      <c r="G4059" s="6" t="s">
        <v>196</v>
      </c>
      <c r="H4059" s="6" t="s">
        <v>68</v>
      </c>
      <c r="I4059" s="6" t="s">
        <v>2226</v>
      </c>
      <c r="J4059" s="6">
        <v>7008</v>
      </c>
      <c r="K4059" s="7" t="s">
        <v>2227</v>
      </c>
      <c r="L4059" s="8">
        <v>226759</v>
      </c>
      <c r="M4059" s="8" t="str">
        <f t="shared" si="351"/>
        <v>PEN</v>
      </c>
      <c r="N4059" s="13"/>
      <c r="O4059" s="13">
        <v>129.22</v>
      </c>
      <c r="P4059" s="3">
        <f t="shared" si="352"/>
        <v>0</v>
      </c>
      <c r="Q4059" s="3">
        <f t="shared" si="353"/>
        <v>129.22</v>
      </c>
      <c r="R4059" s="3">
        <f t="shared" si="358"/>
        <v>12457.079999999967</v>
      </c>
      <c r="S4059" s="24" t="s">
        <v>1334</v>
      </c>
      <c r="T4059" s="24" t="s">
        <v>1334</v>
      </c>
      <c r="U4059" s="55"/>
      <c r="V4059" s="25">
        <f>IFERROR(VLOOKUP(BCP_Soles[[#This Row],[destinatario]],CHOOSE({1,2},Clientes_Proveedores[Razon Social],Clientes_Proveedores[Ruc / Dni]),2,0),"")</f>
        <v>20100055237</v>
      </c>
      <c r="W4059" s="25"/>
      <c r="X4059" s="25"/>
      <c r="Y4059" s="25"/>
      <c r="Z4059" s="77"/>
      <c r="AA4059" s="3" t="str">
        <f>IF(BCP_Soles[[#This Row],[fecha]]&gt;0,TEXT(BCP_Soles[[#This Row],[fecha]],"mmmm"),0)</f>
        <v>Octubre</v>
      </c>
    </row>
    <row r="4060" spans="1:27" x14ac:dyDescent="0.3">
      <c r="A4060" s="2">
        <f>IF(BCP_Soles[[#This Row],[tipo_registro]]="R",COUNTIFS($C$1:$C4059,"R")+1,A4059)</f>
        <v>2687</v>
      </c>
      <c r="B4060" s="19" t="str">
        <f t="shared" si="350"/>
        <v>B-BCP - Soles</v>
      </c>
      <c r="C4060" s="13" t="s">
        <v>1330</v>
      </c>
      <c r="D4060" s="14">
        <v>45932</v>
      </c>
      <c r="E4060" s="5" t="s">
        <v>2269</v>
      </c>
      <c r="F4060" s="5" t="s">
        <v>1336</v>
      </c>
      <c r="G4060" s="6" t="s">
        <v>196</v>
      </c>
      <c r="H4060" s="6" t="s">
        <v>68</v>
      </c>
      <c r="I4060" s="6" t="s">
        <v>2226</v>
      </c>
      <c r="J4060" s="6">
        <v>7007</v>
      </c>
      <c r="K4060" s="7" t="s">
        <v>2227</v>
      </c>
      <c r="L4060" s="8">
        <v>226274</v>
      </c>
      <c r="M4060" s="8" t="str">
        <f t="shared" si="351"/>
        <v>PEN</v>
      </c>
      <c r="N4060" s="13"/>
      <c r="O4060" s="13">
        <v>1015.16</v>
      </c>
      <c r="P4060" s="3">
        <f t="shared" si="352"/>
        <v>0</v>
      </c>
      <c r="Q4060" s="3">
        <f t="shared" si="353"/>
        <v>1015.16</v>
      </c>
      <c r="R4060" s="3">
        <f t="shared" si="358"/>
        <v>11441.919999999967</v>
      </c>
      <c r="S4060" s="24" t="s">
        <v>1334</v>
      </c>
      <c r="T4060" s="24" t="s">
        <v>1334</v>
      </c>
      <c r="U4060" s="55"/>
      <c r="V4060" s="25">
        <f>IFERROR(VLOOKUP(BCP_Soles[[#This Row],[destinatario]],CHOOSE({1,2},Clientes_Proveedores[Razon Social],Clientes_Proveedores[Ruc / Dni]),2,0),"")</f>
        <v>20100055237</v>
      </c>
      <c r="W4060" s="25"/>
      <c r="X4060" s="25"/>
      <c r="Y4060" s="25"/>
      <c r="Z4060" s="77"/>
      <c r="AA4060" s="3" t="str">
        <f>IF(BCP_Soles[[#This Row],[fecha]]&gt;0,TEXT(BCP_Soles[[#This Row],[fecha]],"mmmm"),0)</f>
        <v>Octubre</v>
      </c>
    </row>
    <row r="4061" spans="1:27" x14ac:dyDescent="0.3">
      <c r="A4061" s="2">
        <f>IF(BCP_Soles[[#This Row],[tipo_registro]]="R",COUNTIFS($C$1:$C4060,"R")+1,A4060)</f>
        <v>2688</v>
      </c>
      <c r="B4061" s="19" t="str">
        <f t="shared" si="350"/>
        <v>B-BCP - Soles</v>
      </c>
      <c r="C4061" s="13" t="s">
        <v>1330</v>
      </c>
      <c r="D4061" s="14">
        <v>45932</v>
      </c>
      <c r="E4061" s="5" t="s">
        <v>2269</v>
      </c>
      <c r="F4061" s="5" t="s">
        <v>1336</v>
      </c>
      <c r="G4061" s="6" t="s">
        <v>196</v>
      </c>
      <c r="H4061" s="6" t="s">
        <v>68</v>
      </c>
      <c r="I4061" s="6" t="s">
        <v>2226</v>
      </c>
      <c r="J4061" s="6">
        <v>7009</v>
      </c>
      <c r="K4061" s="7" t="s">
        <v>2227</v>
      </c>
      <c r="L4061" s="8">
        <v>227248</v>
      </c>
      <c r="M4061" s="8" t="str">
        <f t="shared" si="351"/>
        <v>PEN</v>
      </c>
      <c r="N4061" s="13"/>
      <c r="O4061" s="13">
        <v>47.64</v>
      </c>
      <c r="P4061" s="3">
        <f t="shared" si="352"/>
        <v>0</v>
      </c>
      <c r="Q4061" s="3">
        <f t="shared" si="353"/>
        <v>47.64</v>
      </c>
      <c r="R4061" s="3">
        <f t="shared" si="358"/>
        <v>11394.279999999968</v>
      </c>
      <c r="S4061" s="24" t="s">
        <v>1334</v>
      </c>
      <c r="T4061" s="24" t="s">
        <v>1334</v>
      </c>
      <c r="U4061" s="55"/>
      <c r="V4061" s="25">
        <f>IFERROR(VLOOKUP(BCP_Soles[[#This Row],[destinatario]],CHOOSE({1,2},Clientes_Proveedores[Razon Social],Clientes_Proveedores[Ruc / Dni]),2,0),"")</f>
        <v>20100055237</v>
      </c>
      <c r="W4061" s="25"/>
      <c r="X4061" s="25"/>
      <c r="Y4061" s="25"/>
      <c r="Z4061" s="77"/>
      <c r="AA4061" s="3" t="str">
        <f>IF(BCP_Soles[[#This Row],[fecha]]&gt;0,TEXT(BCP_Soles[[#This Row],[fecha]],"mmmm"),0)</f>
        <v>Octubre</v>
      </c>
    </row>
    <row r="4062" spans="1:27" x14ac:dyDescent="0.3">
      <c r="A4062" s="2">
        <f>IF(BCP_Soles[[#This Row],[tipo_registro]]="R",COUNTIFS($C$1:$C4061,"R")+1,A4061)</f>
        <v>2689</v>
      </c>
      <c r="B4062" s="19" t="str">
        <f t="shared" si="350"/>
        <v>B-BCP - Soles</v>
      </c>
      <c r="C4062" s="13" t="s">
        <v>1330</v>
      </c>
      <c r="D4062" s="14">
        <v>45932</v>
      </c>
      <c r="E4062" s="5" t="s">
        <v>2269</v>
      </c>
      <c r="F4062" s="5" t="s">
        <v>1336</v>
      </c>
      <c r="G4062" s="6" t="s">
        <v>196</v>
      </c>
      <c r="H4062" s="6" t="s">
        <v>68</v>
      </c>
      <c r="I4062" s="6" t="s">
        <v>2226</v>
      </c>
      <c r="J4062" s="6">
        <v>7010</v>
      </c>
      <c r="K4062" s="7" t="s">
        <v>2227</v>
      </c>
      <c r="L4062" s="8">
        <v>226276</v>
      </c>
      <c r="M4062" s="8" t="str">
        <f t="shared" si="351"/>
        <v>PEN</v>
      </c>
      <c r="N4062" s="13"/>
      <c r="O4062" s="13">
        <v>233</v>
      </c>
      <c r="P4062" s="3">
        <f t="shared" si="352"/>
        <v>0</v>
      </c>
      <c r="Q4062" s="3">
        <f t="shared" si="353"/>
        <v>233</v>
      </c>
      <c r="R4062" s="3">
        <f t="shared" si="358"/>
        <v>11161.279999999968</v>
      </c>
      <c r="S4062" s="24" t="s">
        <v>1334</v>
      </c>
      <c r="T4062" s="24" t="s">
        <v>1334</v>
      </c>
      <c r="U4062" s="55"/>
      <c r="V4062" s="25">
        <f>IFERROR(VLOOKUP(BCP_Soles[[#This Row],[destinatario]],CHOOSE({1,2},Clientes_Proveedores[Razon Social],Clientes_Proveedores[Ruc / Dni]),2,0),"")</f>
        <v>20100055237</v>
      </c>
      <c r="W4062" s="25"/>
      <c r="X4062" s="25"/>
      <c r="Y4062" s="25"/>
      <c r="Z4062" s="77"/>
      <c r="AA4062" s="3" t="str">
        <f>IF(BCP_Soles[[#This Row],[fecha]]&gt;0,TEXT(BCP_Soles[[#This Row],[fecha]],"mmmm"),0)</f>
        <v>Octubre</v>
      </c>
    </row>
    <row r="4063" spans="1:27" x14ac:dyDescent="0.3">
      <c r="A4063" s="2">
        <f>IF(BCP_Soles[[#This Row],[tipo_registro]]="R",COUNTIFS($C$1:$C4062,"R")+1,A4062)</f>
        <v>2690</v>
      </c>
      <c r="B4063" s="19" t="str">
        <f t="shared" si="350"/>
        <v>B-BCP - Soles</v>
      </c>
      <c r="C4063" s="13" t="s">
        <v>1330</v>
      </c>
      <c r="D4063" s="14">
        <v>45932</v>
      </c>
      <c r="E4063" s="5" t="s">
        <v>2269</v>
      </c>
      <c r="F4063" s="5" t="s">
        <v>1336</v>
      </c>
      <c r="G4063" s="6" t="s">
        <v>196</v>
      </c>
      <c r="H4063" s="6" t="s">
        <v>68</v>
      </c>
      <c r="I4063" s="6" t="s">
        <v>2226</v>
      </c>
      <c r="J4063" s="6">
        <v>7011</v>
      </c>
      <c r="K4063" s="7" t="s">
        <v>2227</v>
      </c>
      <c r="L4063" s="8">
        <v>224323</v>
      </c>
      <c r="M4063" s="8" t="str">
        <f t="shared" si="351"/>
        <v>PEN</v>
      </c>
      <c r="N4063" s="13"/>
      <c r="O4063" s="13">
        <v>505.72</v>
      </c>
      <c r="P4063" s="3">
        <f t="shared" si="352"/>
        <v>0</v>
      </c>
      <c r="Q4063" s="3">
        <f t="shared" si="353"/>
        <v>505.72</v>
      </c>
      <c r="R4063" s="3">
        <f t="shared" si="358"/>
        <v>10655.559999999969</v>
      </c>
      <c r="S4063" s="24" t="s">
        <v>1334</v>
      </c>
      <c r="T4063" s="24" t="s">
        <v>1334</v>
      </c>
      <c r="U4063" s="55"/>
      <c r="V4063" s="25">
        <f>IFERROR(VLOOKUP(BCP_Soles[[#This Row],[destinatario]],CHOOSE({1,2},Clientes_Proveedores[Razon Social],Clientes_Proveedores[Ruc / Dni]),2,0),"")</f>
        <v>20100055237</v>
      </c>
      <c r="W4063" s="25"/>
      <c r="X4063" s="25"/>
      <c r="Y4063" s="25"/>
      <c r="Z4063" s="77"/>
      <c r="AA4063" s="3" t="str">
        <f>IF(BCP_Soles[[#This Row],[fecha]]&gt;0,TEXT(BCP_Soles[[#This Row],[fecha]],"mmmm"),0)</f>
        <v>Octubre</v>
      </c>
    </row>
    <row r="4064" spans="1:27" x14ac:dyDescent="0.3">
      <c r="A4064" s="2">
        <f>IF(BCP_Soles[[#This Row],[tipo_registro]]="R",COUNTIFS($C$1:$C4063,"R")+1,A4063)</f>
        <v>2691</v>
      </c>
      <c r="B4064" s="19" t="str">
        <f t="shared" si="350"/>
        <v>B-BCP - Soles</v>
      </c>
      <c r="C4064" s="13" t="s">
        <v>1330</v>
      </c>
      <c r="D4064" s="14">
        <v>45932</v>
      </c>
      <c r="E4064" s="5" t="s">
        <v>2269</v>
      </c>
      <c r="F4064" s="5" t="s">
        <v>1336</v>
      </c>
      <c r="G4064" s="6" t="s">
        <v>196</v>
      </c>
      <c r="H4064" s="6" t="s">
        <v>68</v>
      </c>
      <c r="I4064" s="6" t="s">
        <v>2226</v>
      </c>
      <c r="J4064" s="6">
        <v>7013</v>
      </c>
      <c r="K4064" s="7" t="s">
        <v>2227</v>
      </c>
      <c r="L4064" s="8">
        <v>223828</v>
      </c>
      <c r="M4064" s="8" t="str">
        <f t="shared" si="351"/>
        <v>PEN</v>
      </c>
      <c r="N4064" s="13"/>
      <c r="O4064" s="13">
        <v>90.2</v>
      </c>
      <c r="P4064" s="3">
        <f t="shared" si="352"/>
        <v>0</v>
      </c>
      <c r="Q4064" s="3">
        <f t="shared" si="353"/>
        <v>90.2</v>
      </c>
      <c r="R4064" s="3">
        <f t="shared" si="358"/>
        <v>10565.359999999968</v>
      </c>
      <c r="S4064" s="24" t="s">
        <v>1334</v>
      </c>
      <c r="T4064" s="24" t="s">
        <v>1334</v>
      </c>
      <c r="U4064" s="55"/>
      <c r="V4064" s="25">
        <f>IFERROR(VLOOKUP(BCP_Soles[[#This Row],[destinatario]],CHOOSE({1,2},Clientes_Proveedores[Razon Social],Clientes_Proveedores[Ruc / Dni]),2,0),"")</f>
        <v>20100055237</v>
      </c>
      <c r="W4064" s="25"/>
      <c r="X4064" s="25"/>
      <c r="Y4064" s="25"/>
      <c r="Z4064" s="77"/>
      <c r="AA4064" s="3" t="str">
        <f>IF(BCP_Soles[[#This Row],[fecha]]&gt;0,TEXT(BCP_Soles[[#This Row],[fecha]],"mmmm"),0)</f>
        <v>Octubre</v>
      </c>
    </row>
    <row r="4065" spans="1:27" x14ac:dyDescent="0.3">
      <c r="A4065" s="2">
        <f>IF(BCP_Soles[[#This Row],[tipo_registro]]="R",COUNTIFS($C$1:$C4064,"R")+1,A4064)</f>
        <v>2692</v>
      </c>
      <c r="B4065" s="19" t="str">
        <f t="shared" si="350"/>
        <v>B-BCP - Soles</v>
      </c>
      <c r="C4065" s="13" t="s">
        <v>1330</v>
      </c>
      <c r="D4065" s="14">
        <v>45932</v>
      </c>
      <c r="E4065" s="5" t="s">
        <v>2269</v>
      </c>
      <c r="F4065" s="5" t="s">
        <v>1336</v>
      </c>
      <c r="G4065" s="6" t="s">
        <v>196</v>
      </c>
      <c r="H4065" s="6" t="s">
        <v>68</v>
      </c>
      <c r="I4065" s="6" t="s">
        <v>2226</v>
      </c>
      <c r="J4065" s="6">
        <v>7014</v>
      </c>
      <c r="K4065" s="7" t="s">
        <v>2227</v>
      </c>
      <c r="L4065" s="8">
        <v>226760</v>
      </c>
      <c r="M4065" s="8" t="str">
        <f t="shared" si="351"/>
        <v>PEN</v>
      </c>
      <c r="N4065" s="13"/>
      <c r="O4065" s="13">
        <v>7.14</v>
      </c>
      <c r="P4065" s="3">
        <f t="shared" si="352"/>
        <v>0</v>
      </c>
      <c r="Q4065" s="3">
        <f t="shared" si="353"/>
        <v>7.14</v>
      </c>
      <c r="R4065" s="3">
        <f t="shared" si="358"/>
        <v>10558.219999999968</v>
      </c>
      <c r="S4065" s="24" t="s">
        <v>1334</v>
      </c>
      <c r="T4065" s="24" t="s">
        <v>1334</v>
      </c>
      <c r="U4065" s="55"/>
      <c r="V4065" s="25">
        <f>IFERROR(VLOOKUP(BCP_Soles[[#This Row],[destinatario]],CHOOSE({1,2},Clientes_Proveedores[Razon Social],Clientes_Proveedores[Ruc / Dni]),2,0),"")</f>
        <v>20100055237</v>
      </c>
      <c r="W4065" s="25"/>
      <c r="X4065" s="25"/>
      <c r="Y4065" s="25"/>
      <c r="Z4065" s="77"/>
      <c r="AA4065" s="3" t="str">
        <f>IF(BCP_Soles[[#This Row],[fecha]]&gt;0,TEXT(BCP_Soles[[#This Row],[fecha]],"mmmm"),0)</f>
        <v>Octubre</v>
      </c>
    </row>
    <row r="4066" spans="1:27" x14ac:dyDescent="0.3">
      <c r="A4066" s="2">
        <f>IF(BCP_Soles[[#This Row],[tipo_registro]]="R",COUNTIFS($C$1:$C4065,"R")+1,A4065)</f>
        <v>2693</v>
      </c>
      <c r="B4066" s="19" t="str">
        <f t="shared" si="350"/>
        <v>B-BCP - Soles</v>
      </c>
      <c r="C4066" s="3" t="s">
        <v>1330</v>
      </c>
      <c r="D4066" s="14">
        <v>45932</v>
      </c>
      <c r="E4066" s="5" t="s">
        <v>2269</v>
      </c>
      <c r="F4066" s="5" t="s">
        <v>1336</v>
      </c>
      <c r="G4066" s="6" t="s">
        <v>196</v>
      </c>
      <c r="H4066" s="6" t="s">
        <v>68</v>
      </c>
      <c r="I4066" s="6" t="s">
        <v>2226</v>
      </c>
      <c r="J4066" s="6">
        <v>7012</v>
      </c>
      <c r="K4066" s="7" t="s">
        <v>2227</v>
      </c>
      <c r="L4066" s="8">
        <v>224324</v>
      </c>
      <c r="M4066" s="8" t="str">
        <f t="shared" si="351"/>
        <v>PEN</v>
      </c>
      <c r="N4066" s="13"/>
      <c r="O4066" s="13">
        <v>302.18</v>
      </c>
      <c r="P4066" s="3">
        <f t="shared" si="352"/>
        <v>0</v>
      </c>
      <c r="Q4066" s="3">
        <f t="shared" si="353"/>
        <v>302.18</v>
      </c>
      <c r="R4066" s="3">
        <f t="shared" si="358"/>
        <v>10256.039999999968</v>
      </c>
      <c r="S4066" s="24" t="s">
        <v>1334</v>
      </c>
      <c r="T4066" s="24" t="s">
        <v>1334</v>
      </c>
      <c r="U4066" s="55"/>
      <c r="V4066" s="25">
        <f>IFERROR(VLOOKUP(BCP_Soles[[#This Row],[destinatario]],CHOOSE({1,2},Clientes_Proveedores[Razon Social],Clientes_Proveedores[Ruc / Dni]),2,0),"")</f>
        <v>20100055237</v>
      </c>
      <c r="W4066" s="25"/>
      <c r="X4066" s="25"/>
      <c r="Y4066" s="25"/>
      <c r="Z4066" s="77"/>
      <c r="AA4066" s="3" t="str">
        <f>IF(BCP_Soles[[#This Row],[fecha]]&gt;0,TEXT(BCP_Soles[[#This Row],[fecha]],"mmmm"),0)</f>
        <v>Octubre</v>
      </c>
    </row>
    <row r="4067" spans="1:27" x14ac:dyDescent="0.3">
      <c r="A4067" s="2">
        <f>IF(BCP_Soles[[#This Row],[tipo_registro]]="R",COUNTIFS($C$1:$C4066,"R")+1,A4066)</f>
        <v>2694</v>
      </c>
      <c r="B4067" s="19" t="str">
        <f t="shared" si="350"/>
        <v>B-BCP - Soles</v>
      </c>
      <c r="C4067" s="3" t="s">
        <v>1330</v>
      </c>
      <c r="D4067" s="14">
        <v>45932</v>
      </c>
      <c r="E4067" s="5" t="s">
        <v>2269</v>
      </c>
      <c r="F4067" s="5" t="s">
        <v>1336</v>
      </c>
      <c r="G4067" s="6" t="s">
        <v>518</v>
      </c>
      <c r="H4067" s="6" t="s">
        <v>68</v>
      </c>
      <c r="I4067" s="6" t="s">
        <v>1376</v>
      </c>
      <c r="J4067" s="6">
        <v>1610</v>
      </c>
      <c r="K4067" s="7" t="s">
        <v>4647</v>
      </c>
      <c r="L4067" s="8">
        <v>1225802</v>
      </c>
      <c r="M4067" s="8" t="str">
        <f t="shared" si="351"/>
        <v>PEN</v>
      </c>
      <c r="N4067" s="13"/>
      <c r="O4067" s="13">
        <v>400</v>
      </c>
      <c r="P4067" s="3">
        <f t="shared" si="352"/>
        <v>0</v>
      </c>
      <c r="Q4067" s="3">
        <f t="shared" si="353"/>
        <v>400</v>
      </c>
      <c r="R4067" s="3">
        <f t="shared" si="358"/>
        <v>9856.0399999999681</v>
      </c>
      <c r="S4067" s="24" t="s">
        <v>1334</v>
      </c>
      <c r="T4067" s="24" t="s">
        <v>1334</v>
      </c>
      <c r="U4067" s="56" t="s">
        <v>4648</v>
      </c>
      <c r="V4067" s="25">
        <f>IFERROR(VLOOKUP(BCP_Soles[[#This Row],[destinatario]],CHOOSE({1,2},Clientes_Proveedores[Razon Social],Clientes_Proveedores[Ruc / Dni]),2,0),"")</f>
        <v>20603912838</v>
      </c>
      <c r="W4067" s="25"/>
      <c r="X4067" s="25"/>
      <c r="Y4067" s="25"/>
      <c r="Z4067" s="77"/>
      <c r="AA4067" s="3" t="str">
        <f>IF(BCP_Soles[[#This Row],[fecha]]&gt;0,TEXT(BCP_Soles[[#This Row],[fecha]],"mmmm"),0)</f>
        <v>Octubre</v>
      </c>
    </row>
    <row r="4068" spans="1:27" ht="24" x14ac:dyDescent="0.3">
      <c r="A4068" s="2">
        <f>IF(BCP_Soles[[#This Row],[tipo_registro]]="R",COUNTIFS($C$1:$C4067,"R")+1,A4067)</f>
        <v>2695</v>
      </c>
      <c r="B4068" s="19" t="str">
        <f t="shared" si="350"/>
        <v>B-BCP - Soles</v>
      </c>
      <c r="C4068" s="3" t="s">
        <v>1330</v>
      </c>
      <c r="D4068" s="14">
        <v>45932</v>
      </c>
      <c r="E4068" s="5" t="s">
        <v>2269</v>
      </c>
      <c r="F4068" s="5" t="s">
        <v>1336</v>
      </c>
      <c r="G4068" s="6" t="s">
        <v>580</v>
      </c>
      <c r="H4068" s="6" t="s">
        <v>68</v>
      </c>
      <c r="I4068" s="6" t="s">
        <v>1376</v>
      </c>
      <c r="J4068" s="6">
        <v>3153</v>
      </c>
      <c r="K4068" s="7" t="s">
        <v>4649</v>
      </c>
      <c r="L4068" s="8">
        <v>1225318</v>
      </c>
      <c r="M4068" s="8" t="str">
        <f t="shared" si="351"/>
        <v>PEN</v>
      </c>
      <c r="N4068" s="13"/>
      <c r="O4068" s="13">
        <v>110</v>
      </c>
      <c r="P4068" s="3">
        <f t="shared" si="352"/>
        <v>0</v>
      </c>
      <c r="Q4068" s="3">
        <f t="shared" si="353"/>
        <v>110</v>
      </c>
      <c r="R4068" s="3">
        <f t="shared" si="358"/>
        <v>9746.0399999999681</v>
      </c>
      <c r="S4068" s="24" t="s">
        <v>1334</v>
      </c>
      <c r="T4068" s="24" t="s">
        <v>1334</v>
      </c>
      <c r="U4068" s="56" t="s">
        <v>4650</v>
      </c>
      <c r="V4068" s="25">
        <f>IFERROR(VLOOKUP(BCP_Soles[[#This Row],[destinatario]],CHOOSE({1,2},Clientes_Proveedores[Razon Social],Clientes_Proveedores[Ruc / Dni]),2,0),"")</f>
        <v>20609123762</v>
      </c>
      <c r="W4068" s="25"/>
      <c r="X4068" s="25"/>
      <c r="Y4068" s="25"/>
      <c r="Z4068" s="77"/>
      <c r="AA4068" s="3" t="str">
        <f>IF(BCP_Soles[[#This Row],[fecha]]&gt;0,TEXT(BCP_Soles[[#This Row],[fecha]],"mmmm"),0)</f>
        <v>Octubre</v>
      </c>
    </row>
    <row r="4069" spans="1:27" ht="24" x14ac:dyDescent="0.3">
      <c r="A4069" s="2">
        <f>IF(BCP_Soles[[#This Row],[tipo_registro]]="R",COUNTIFS($C$1:$C4068,"R")+1,A4068)</f>
        <v>2696</v>
      </c>
      <c r="B4069" s="19" t="str">
        <f t="shared" si="350"/>
        <v>B-BCP - Soles</v>
      </c>
      <c r="C4069" s="3" t="s">
        <v>1330</v>
      </c>
      <c r="D4069" s="14">
        <v>45932</v>
      </c>
      <c r="E4069" s="5" t="s">
        <v>2269</v>
      </c>
      <c r="F4069" s="5" t="s">
        <v>1336</v>
      </c>
      <c r="G4069" s="6" t="s">
        <v>705</v>
      </c>
      <c r="H4069" s="6" t="s">
        <v>106</v>
      </c>
      <c r="I4069" s="6" t="s">
        <v>2488</v>
      </c>
      <c r="J4069" s="6">
        <v>74428686</v>
      </c>
      <c r="K4069" s="7" t="s">
        <v>4651</v>
      </c>
      <c r="L4069" s="8">
        <v>4224824</v>
      </c>
      <c r="M4069" s="8" t="str">
        <f t="shared" si="351"/>
        <v>PEN</v>
      </c>
      <c r="N4069" s="13"/>
      <c r="O4069" s="13">
        <v>142.9</v>
      </c>
      <c r="P4069" s="3">
        <f t="shared" si="352"/>
        <v>0</v>
      </c>
      <c r="Q4069" s="3">
        <f t="shared" si="353"/>
        <v>142.9</v>
      </c>
      <c r="R4069" s="3">
        <f t="shared" si="358"/>
        <v>9603.1399999999685</v>
      </c>
      <c r="S4069" s="24" t="s">
        <v>1334</v>
      </c>
      <c r="T4069" s="24" t="s">
        <v>1334</v>
      </c>
      <c r="U4069" s="56" t="s">
        <v>4652</v>
      </c>
      <c r="V4069" s="25">
        <f>IFERROR(VLOOKUP(BCP_Soles[[#This Row],[destinatario]],CHOOSE({1,2},Clientes_Proveedores[Razon Social],Clientes_Proveedores[Ruc / Dni]),2,0),"")</f>
        <v>20100017491</v>
      </c>
      <c r="W4069" s="25"/>
      <c r="X4069" s="25"/>
      <c r="Y4069" s="25"/>
      <c r="Z4069" s="77"/>
      <c r="AA4069" s="3" t="str">
        <f>IF(BCP_Soles[[#This Row],[fecha]]&gt;0,TEXT(BCP_Soles[[#This Row],[fecha]],"mmmm"),0)</f>
        <v>Octubre</v>
      </c>
    </row>
    <row r="4070" spans="1:27" ht="24" x14ac:dyDescent="0.3">
      <c r="A4070" s="2">
        <f>IF(BCP_Soles[[#This Row],[tipo_registro]]="R",COUNTIFS($C$1:$C4069,"R")+1,A4069)</f>
        <v>2697</v>
      </c>
      <c r="B4070" s="19" t="str">
        <f t="shared" ref="B4070:B4088" si="359">"B-BCP - Soles"</f>
        <v>B-BCP - Soles</v>
      </c>
      <c r="C4070" s="3" t="s">
        <v>1330</v>
      </c>
      <c r="D4070" s="14">
        <v>45932</v>
      </c>
      <c r="E4070" s="5" t="s">
        <v>2269</v>
      </c>
      <c r="F4070" s="5" t="s">
        <v>1336</v>
      </c>
      <c r="G4070" s="6" t="s">
        <v>364</v>
      </c>
      <c r="H4070" s="6"/>
      <c r="I4070" s="6"/>
      <c r="J4070" s="6"/>
      <c r="K4070" s="7" t="s">
        <v>4653</v>
      </c>
      <c r="L4070" s="8">
        <v>2679651</v>
      </c>
      <c r="M4070" s="8" t="str">
        <f t="shared" ref="M4070:M4088" si="360">"PEN"</f>
        <v>PEN</v>
      </c>
      <c r="N4070" s="13"/>
      <c r="O4070" s="13">
        <v>886.18</v>
      </c>
      <c r="P4070" s="3">
        <f t="shared" ref="P4070:P4088" si="361">+IF(OR($F4070="SALDO",$F4070="INGRESO"),$O4070,0)</f>
        <v>0</v>
      </c>
      <c r="Q4070" s="3">
        <f t="shared" ref="Q4070:Q4088" si="362">+IF($F4070="EGRESO",$O4070,0)</f>
        <v>886.18</v>
      </c>
      <c r="R4070" s="3">
        <f t="shared" si="358"/>
        <v>8716.9599999999682</v>
      </c>
      <c r="S4070" s="24" t="s">
        <v>1334</v>
      </c>
      <c r="T4070" s="24" t="s">
        <v>1334</v>
      </c>
      <c r="U4070" s="56" t="s">
        <v>4654</v>
      </c>
      <c r="V4070" s="25">
        <f>IFERROR(VLOOKUP(BCP_Soles[[#This Row],[destinatario]],CHOOSE({1,2},Clientes_Proveedores[Razon Social],Clientes_Proveedores[Ruc / Dni]),2,0),"")</f>
        <v>20517035964</v>
      </c>
      <c r="W4070" s="25"/>
      <c r="X4070" s="25"/>
      <c r="Y4070" s="25"/>
      <c r="Z4070" s="77"/>
      <c r="AA4070" s="3" t="str">
        <f>IF(BCP_Soles[[#This Row],[fecha]]&gt;0,TEXT(BCP_Soles[[#This Row],[fecha]],"mmmm"),0)</f>
        <v>Octubre</v>
      </c>
    </row>
    <row r="4071" spans="1:27" ht="24" x14ac:dyDescent="0.3">
      <c r="A4071" s="2">
        <f>IF(BCP_Soles[[#This Row],[tipo_registro]]="R",COUNTIFS($C$1:$C4070,"R")+1,A4070)</f>
        <v>2697</v>
      </c>
      <c r="B4071" s="19" t="str">
        <f>"B-BCP - Soles"</f>
        <v>B-BCP - Soles</v>
      </c>
      <c r="C4071" s="3" t="s">
        <v>1352</v>
      </c>
      <c r="D4071" s="14">
        <v>45932</v>
      </c>
      <c r="E4071" s="5" t="s">
        <v>2269</v>
      </c>
      <c r="F4071" s="5" t="s">
        <v>1336</v>
      </c>
      <c r="G4071" s="6" t="s">
        <v>364</v>
      </c>
      <c r="H4071" s="6" t="s">
        <v>68</v>
      </c>
      <c r="I4071" s="6" t="s">
        <v>4440</v>
      </c>
      <c r="J4071" s="6">
        <v>16524</v>
      </c>
      <c r="K4071" s="7" t="s">
        <v>4653</v>
      </c>
      <c r="L4071" s="8">
        <v>2679651</v>
      </c>
      <c r="M4071" s="8" t="str">
        <f>"PEN"</f>
        <v>PEN</v>
      </c>
      <c r="N4071" s="13">
        <v>108.56</v>
      </c>
      <c r="O4071" s="13"/>
      <c r="P4071" s="3">
        <f>+IF(OR($F4071="SALDO",$F4071="INGRESO"),$O4071,0)</f>
        <v>0</v>
      </c>
      <c r="Q4071" s="3">
        <f>+IF($F4071="EGRESO",$O4071,0)</f>
        <v>0</v>
      </c>
      <c r="R4071" s="3">
        <f t="shared" si="358"/>
        <v>8716.9599999999682</v>
      </c>
      <c r="S4071" s="24" t="s">
        <v>1334</v>
      </c>
      <c r="T4071" s="24" t="s">
        <v>1334</v>
      </c>
      <c r="U4071" s="56" t="s">
        <v>4654</v>
      </c>
      <c r="V4071" s="25">
        <f>IFERROR(VLOOKUP(BCP_Soles[[#This Row],[destinatario]],CHOOSE({1,2},Clientes_Proveedores[Razon Social],Clientes_Proveedores[Ruc / Dni]),2,0),"")</f>
        <v>20517035964</v>
      </c>
      <c r="W4071" s="25"/>
      <c r="X4071" s="25"/>
      <c r="Y4071" s="25"/>
      <c r="Z4071" s="77"/>
      <c r="AA4071" s="3" t="str">
        <f>IF(BCP_Soles[[#This Row],[fecha]]&gt;0,TEXT(BCP_Soles[[#This Row],[fecha]],"mmmm"),0)</f>
        <v>Octubre</v>
      </c>
    </row>
    <row r="4072" spans="1:27" ht="24" x14ac:dyDescent="0.3">
      <c r="A4072" s="2">
        <f>IF(BCP_Soles[[#This Row],[tipo_registro]]="R",COUNTIFS($C$1:$C4071,"R")+1,A4071)</f>
        <v>2697</v>
      </c>
      <c r="B4072" s="19" t="str">
        <f>"B-BCP - Soles"</f>
        <v>B-BCP - Soles</v>
      </c>
      <c r="C4072" s="3" t="s">
        <v>1352</v>
      </c>
      <c r="D4072" s="14">
        <v>45932</v>
      </c>
      <c r="E4072" s="5" t="s">
        <v>2269</v>
      </c>
      <c r="F4072" s="5" t="s">
        <v>1336</v>
      </c>
      <c r="G4072" s="6" t="s">
        <v>364</v>
      </c>
      <c r="H4072" s="6" t="s">
        <v>68</v>
      </c>
      <c r="I4072" s="6" t="s">
        <v>4440</v>
      </c>
      <c r="J4072" s="6">
        <v>16567</v>
      </c>
      <c r="K4072" s="7" t="s">
        <v>4653</v>
      </c>
      <c r="L4072" s="8">
        <v>2679651</v>
      </c>
      <c r="M4072" s="8" t="str">
        <f>"PEN"</f>
        <v>PEN</v>
      </c>
      <c r="N4072" s="13">
        <v>231.28</v>
      </c>
      <c r="O4072" s="13"/>
      <c r="P4072" s="3">
        <f>+IF(OR($F4072="SALDO",$F4072="INGRESO"),$O4072,0)</f>
        <v>0</v>
      </c>
      <c r="Q4072" s="3">
        <f>+IF($F4072="EGRESO",$O4072,0)</f>
        <v>0</v>
      </c>
      <c r="R4072" s="3">
        <f t="shared" si="358"/>
        <v>8716.9599999999682</v>
      </c>
      <c r="S4072" s="24" t="s">
        <v>1334</v>
      </c>
      <c r="T4072" s="24" t="s">
        <v>1334</v>
      </c>
      <c r="U4072" s="56" t="s">
        <v>4654</v>
      </c>
      <c r="V4072" s="25">
        <f>IFERROR(VLOOKUP(BCP_Soles[[#This Row],[destinatario]],CHOOSE({1,2},Clientes_Proveedores[Razon Social],Clientes_Proveedores[Ruc / Dni]),2,0),"")</f>
        <v>20517035964</v>
      </c>
      <c r="W4072" s="25"/>
      <c r="X4072" s="25"/>
      <c r="Y4072" s="25"/>
      <c r="Z4072" s="77"/>
      <c r="AA4072" s="3" t="str">
        <f>IF(BCP_Soles[[#This Row],[fecha]]&gt;0,TEXT(BCP_Soles[[#This Row],[fecha]],"mmmm"),0)</f>
        <v>Octubre</v>
      </c>
    </row>
    <row r="4073" spans="1:27" ht="24" x14ac:dyDescent="0.3">
      <c r="A4073" s="2">
        <f>IF(BCP_Soles[[#This Row],[tipo_registro]]="R",COUNTIFS($C$1:$C4072,"R")+1,A4072)</f>
        <v>2697</v>
      </c>
      <c r="B4073" s="19" t="str">
        <f>"B-BCP - Soles"</f>
        <v>B-BCP - Soles</v>
      </c>
      <c r="C4073" s="3" t="s">
        <v>1352</v>
      </c>
      <c r="D4073" s="14">
        <v>45932</v>
      </c>
      <c r="E4073" s="5" t="s">
        <v>2269</v>
      </c>
      <c r="F4073" s="5" t="s">
        <v>1336</v>
      </c>
      <c r="G4073" s="6" t="s">
        <v>364</v>
      </c>
      <c r="H4073" s="6" t="s">
        <v>68</v>
      </c>
      <c r="I4073" s="6" t="s">
        <v>4440</v>
      </c>
      <c r="J4073" s="6">
        <v>16460</v>
      </c>
      <c r="K4073" s="7" t="s">
        <v>4653</v>
      </c>
      <c r="L4073" s="8">
        <v>2679651</v>
      </c>
      <c r="M4073" s="8" t="str">
        <f>"PEN"</f>
        <v>PEN</v>
      </c>
      <c r="N4073" s="13">
        <v>258.42</v>
      </c>
      <c r="O4073" s="13"/>
      <c r="P4073" s="3">
        <f>+IF(OR($F4073="SALDO",$F4073="INGRESO"),$O4073,0)</f>
        <v>0</v>
      </c>
      <c r="Q4073" s="3">
        <f>+IF($F4073="EGRESO",$O4073,0)</f>
        <v>0</v>
      </c>
      <c r="R4073" s="3">
        <f t="shared" si="358"/>
        <v>8716.9599999999682</v>
      </c>
      <c r="S4073" s="24" t="s">
        <v>1334</v>
      </c>
      <c r="T4073" s="24" t="s">
        <v>1334</v>
      </c>
      <c r="U4073" s="56" t="s">
        <v>4654</v>
      </c>
      <c r="V4073" s="25">
        <f>IFERROR(VLOOKUP(BCP_Soles[[#This Row],[destinatario]],CHOOSE({1,2},Clientes_Proveedores[Razon Social],Clientes_Proveedores[Ruc / Dni]),2,0),"")</f>
        <v>20517035964</v>
      </c>
      <c r="W4073" s="25"/>
      <c r="X4073" s="25"/>
      <c r="Y4073" s="25"/>
      <c r="Z4073" s="77"/>
      <c r="AA4073" s="3" t="str">
        <f>IF(BCP_Soles[[#This Row],[fecha]]&gt;0,TEXT(BCP_Soles[[#This Row],[fecha]],"mmmm"),0)</f>
        <v>Octubre</v>
      </c>
    </row>
    <row r="4074" spans="1:27" ht="24" x14ac:dyDescent="0.3">
      <c r="A4074" s="2">
        <f>IF(BCP_Soles[[#This Row],[tipo_registro]]="R",COUNTIFS($C$1:$C4073,"R")+1,A4073)</f>
        <v>2697</v>
      </c>
      <c r="B4074" s="19" t="str">
        <f>"B-BCP - Soles"</f>
        <v>B-BCP - Soles</v>
      </c>
      <c r="C4074" s="3" t="s">
        <v>1352</v>
      </c>
      <c r="D4074" s="14">
        <v>45932</v>
      </c>
      <c r="E4074" s="5" t="s">
        <v>2269</v>
      </c>
      <c r="F4074" s="5" t="s">
        <v>1336</v>
      </c>
      <c r="G4074" s="6" t="s">
        <v>364</v>
      </c>
      <c r="H4074" s="6" t="s">
        <v>68</v>
      </c>
      <c r="I4074" s="6" t="s">
        <v>4440</v>
      </c>
      <c r="J4074" s="6">
        <v>16401</v>
      </c>
      <c r="K4074" s="7" t="s">
        <v>4653</v>
      </c>
      <c r="L4074" s="8">
        <v>2679651</v>
      </c>
      <c r="M4074" s="8" t="str">
        <f>"PEN"</f>
        <v>PEN</v>
      </c>
      <c r="N4074" s="13">
        <v>287.92</v>
      </c>
      <c r="O4074" s="13"/>
      <c r="P4074" s="3">
        <f>+IF(OR($F4074="SALDO",$F4074="INGRESO"),$O4074,0)</f>
        <v>0</v>
      </c>
      <c r="Q4074" s="3">
        <f>+IF($F4074="EGRESO",$O4074,0)</f>
        <v>0</v>
      </c>
      <c r="R4074" s="3">
        <f t="shared" si="358"/>
        <v>8716.9599999999682</v>
      </c>
      <c r="S4074" s="24" t="s">
        <v>1334</v>
      </c>
      <c r="T4074" s="24" t="s">
        <v>1334</v>
      </c>
      <c r="U4074" s="56" t="s">
        <v>4654</v>
      </c>
      <c r="V4074" s="25">
        <f>IFERROR(VLOOKUP(BCP_Soles[[#This Row],[destinatario]],CHOOSE({1,2},Clientes_Proveedores[Razon Social],Clientes_Proveedores[Ruc / Dni]),2,0),"")</f>
        <v>20517035964</v>
      </c>
      <c r="W4074" s="25"/>
      <c r="X4074" s="25"/>
      <c r="Y4074" s="25"/>
      <c r="Z4074" s="77"/>
      <c r="AA4074" s="3" t="str">
        <f>IF(BCP_Soles[[#This Row],[fecha]]&gt;0,TEXT(BCP_Soles[[#This Row],[fecha]],"mmmm"),0)</f>
        <v>Octubre</v>
      </c>
    </row>
    <row r="4075" spans="1:27" ht="24" x14ac:dyDescent="0.3">
      <c r="A4075" s="2">
        <f>IF(BCP_Soles[[#This Row],[tipo_registro]]="R",COUNTIFS($C$1:$C4074,"R")+1,A4074)</f>
        <v>2698</v>
      </c>
      <c r="B4075" s="19" t="str">
        <f t="shared" si="359"/>
        <v>B-BCP - Soles</v>
      </c>
      <c r="C4075" s="3" t="s">
        <v>1330</v>
      </c>
      <c r="D4075" s="14">
        <v>45932</v>
      </c>
      <c r="E4075" s="5" t="s">
        <v>2269</v>
      </c>
      <c r="F4075" s="5" t="s">
        <v>1336</v>
      </c>
      <c r="G4075" s="6" t="s">
        <v>1060</v>
      </c>
      <c r="H4075" s="6" t="s">
        <v>68</v>
      </c>
      <c r="I4075" s="6" t="s">
        <v>1397</v>
      </c>
      <c r="J4075" s="6">
        <v>37598621</v>
      </c>
      <c r="K4075" s="7" t="s">
        <v>4655</v>
      </c>
      <c r="L4075" s="8">
        <v>2679657</v>
      </c>
      <c r="M4075" s="8" t="str">
        <f t="shared" si="360"/>
        <v>PEN</v>
      </c>
      <c r="N4075" s="13"/>
      <c r="O4075" s="13">
        <v>70</v>
      </c>
      <c r="P4075" s="3">
        <f t="shared" si="361"/>
        <v>0</v>
      </c>
      <c r="Q4075" s="3">
        <f t="shared" si="362"/>
        <v>70</v>
      </c>
      <c r="R4075" s="3">
        <f t="shared" si="358"/>
        <v>8646.9599999999682</v>
      </c>
      <c r="S4075" s="24" t="s">
        <v>1334</v>
      </c>
      <c r="T4075" s="24" t="s">
        <v>1334</v>
      </c>
      <c r="U4075" s="56" t="s">
        <v>4654</v>
      </c>
      <c r="V4075" s="25">
        <f>IFERROR(VLOOKUP(BCP_Soles[[#This Row],[destinatario]],CHOOSE({1,2},Clientes_Proveedores[Razon Social],Clientes_Proveedores[Ruc / Dni]),2,0),"")</f>
        <v>20100047218</v>
      </c>
      <c r="W4075" s="25"/>
      <c r="X4075" s="25"/>
      <c r="Y4075" s="25"/>
      <c r="Z4075" s="77"/>
      <c r="AA4075" s="3" t="str">
        <f>IF(BCP_Soles[[#This Row],[fecha]]&gt;0,TEXT(BCP_Soles[[#This Row],[fecha]],"mmmm"),0)</f>
        <v>Octubre</v>
      </c>
    </row>
    <row r="4076" spans="1:27" x14ac:dyDescent="0.3">
      <c r="A4076" s="2">
        <f>IF(BCP_Soles[[#This Row],[tipo_registro]]="R",COUNTIFS($C$1:$C4075,"R")+1,A4075)</f>
        <v>2699</v>
      </c>
      <c r="B4076" s="19" t="str">
        <f t="shared" si="359"/>
        <v>B-BCP - Soles</v>
      </c>
      <c r="C4076" s="3" t="s">
        <v>1330</v>
      </c>
      <c r="D4076" s="14">
        <v>45932</v>
      </c>
      <c r="E4076" s="5" t="s">
        <v>1335</v>
      </c>
      <c r="F4076" s="5" t="s">
        <v>1336</v>
      </c>
      <c r="G4076" s="6" t="s">
        <v>1009</v>
      </c>
      <c r="H4076" s="6" t="s">
        <v>64</v>
      </c>
      <c r="I4076" s="6" t="s">
        <v>3673</v>
      </c>
      <c r="J4076" s="6">
        <v>2701</v>
      </c>
      <c r="K4076" s="7" t="s">
        <v>3160</v>
      </c>
      <c r="L4076" s="8"/>
      <c r="M4076" s="8" t="str">
        <f t="shared" si="360"/>
        <v>PEN</v>
      </c>
      <c r="N4076" s="13"/>
      <c r="O4076" s="13">
        <v>0.45</v>
      </c>
      <c r="P4076" s="3">
        <f t="shared" si="361"/>
        <v>0</v>
      </c>
      <c r="Q4076" s="3">
        <f t="shared" si="362"/>
        <v>0.45</v>
      </c>
      <c r="R4076" s="3">
        <f t="shared" si="358"/>
        <v>8646.5099999999675</v>
      </c>
      <c r="S4076" s="24"/>
      <c r="T4076" s="24"/>
      <c r="U4076" s="55"/>
      <c r="V4076" s="25">
        <f>IFERROR(VLOOKUP(BCP_Soles[[#This Row],[destinatario]],CHOOSE({1,2},Clientes_Proveedores[Razon Social],Clientes_Proveedores[Ruc / Dni]),2,0),"")</f>
        <v>11111111</v>
      </c>
      <c r="W4076" s="25"/>
      <c r="X4076" s="25"/>
      <c r="Y4076" s="25"/>
      <c r="Z4076" s="77"/>
      <c r="AA4076" s="3" t="str">
        <f>IF(BCP_Soles[[#This Row],[fecha]]&gt;0,TEXT(BCP_Soles[[#This Row],[fecha]],"mmmm"),0)</f>
        <v>Octubre</v>
      </c>
    </row>
    <row r="4077" spans="1:27" x14ac:dyDescent="0.3">
      <c r="A4077" s="2">
        <f>IF(BCP_Soles[[#This Row],[tipo_registro]]="R",COUNTIFS($C$1:$C4076,"R")+1,A4076)</f>
        <v>2700</v>
      </c>
      <c r="B4077" s="19" t="str">
        <f t="shared" si="359"/>
        <v>B-BCP - Soles</v>
      </c>
      <c r="C4077" s="3" t="s">
        <v>1330</v>
      </c>
      <c r="D4077" s="14">
        <v>45933</v>
      </c>
      <c r="E4077" s="5"/>
      <c r="F4077" s="5" t="s">
        <v>1303</v>
      </c>
      <c r="G4077" s="6" t="s">
        <v>425</v>
      </c>
      <c r="H4077" s="6"/>
      <c r="I4077" s="6"/>
      <c r="J4077" s="6"/>
      <c r="K4077" s="7" t="s">
        <v>3608</v>
      </c>
      <c r="L4077" s="8">
        <v>970988</v>
      </c>
      <c r="M4077" s="8" t="str">
        <f t="shared" si="360"/>
        <v>PEN</v>
      </c>
      <c r="N4077" s="13"/>
      <c r="O4077" s="13">
        <v>18.5</v>
      </c>
      <c r="P4077" s="3">
        <f t="shared" si="361"/>
        <v>18.5</v>
      </c>
      <c r="Q4077" s="3">
        <f t="shared" si="362"/>
        <v>0</v>
      </c>
      <c r="R4077" s="3">
        <f t="shared" si="358"/>
        <v>8665.0099999999675</v>
      </c>
      <c r="S4077" s="24"/>
      <c r="T4077" s="24"/>
      <c r="U4077" s="55"/>
      <c r="V4077" s="25">
        <f>IFERROR(VLOOKUP(BCP_Soles[[#This Row],[destinatario]],CHOOSE({1,2},Clientes_Proveedores[Razon Social],Clientes_Proveedores[Ruc / Dni]),2,0),"")</f>
        <v>20558226979</v>
      </c>
      <c r="W4077" s="25"/>
      <c r="X4077" s="25"/>
      <c r="Y4077" s="25"/>
      <c r="Z4077" s="77"/>
      <c r="AA4077" s="3" t="str">
        <f>IF(BCP_Soles[[#This Row],[fecha]]&gt;0,TEXT(BCP_Soles[[#This Row],[fecha]],"mmmm"),0)</f>
        <v>Octubre</v>
      </c>
    </row>
    <row r="4078" spans="1:27" x14ac:dyDescent="0.3">
      <c r="A4078" s="2">
        <f>IF(BCP_Soles[[#This Row],[tipo_registro]]="R",COUNTIFS($C$1:$C4077,"R")+1,A4077)</f>
        <v>2701</v>
      </c>
      <c r="B4078" s="19" t="str">
        <f t="shared" si="359"/>
        <v>B-BCP - Soles</v>
      </c>
      <c r="C4078" s="3" t="s">
        <v>1330</v>
      </c>
      <c r="D4078" s="14">
        <v>45933</v>
      </c>
      <c r="E4078" s="5"/>
      <c r="F4078" s="5" t="s">
        <v>1303</v>
      </c>
      <c r="G4078" s="6" t="s">
        <v>425</v>
      </c>
      <c r="H4078" s="6"/>
      <c r="I4078" s="6"/>
      <c r="J4078" s="6"/>
      <c r="K4078" s="7" t="s">
        <v>3608</v>
      </c>
      <c r="L4078" s="8">
        <v>960045</v>
      </c>
      <c r="M4078" s="8" t="str">
        <f t="shared" si="360"/>
        <v>PEN</v>
      </c>
      <c r="N4078" s="13"/>
      <c r="O4078" s="13">
        <v>364.5</v>
      </c>
      <c r="P4078" s="3">
        <f t="shared" si="361"/>
        <v>364.5</v>
      </c>
      <c r="Q4078" s="3">
        <f t="shared" si="362"/>
        <v>0</v>
      </c>
      <c r="R4078" s="3">
        <f t="shared" si="358"/>
        <v>9029.5099999999675</v>
      </c>
      <c r="S4078" s="24"/>
      <c r="T4078" s="24"/>
      <c r="U4078" s="55"/>
      <c r="V4078" s="25">
        <f>IFERROR(VLOOKUP(BCP_Soles[[#This Row],[destinatario]],CHOOSE({1,2},Clientes_Proveedores[Razon Social],Clientes_Proveedores[Ruc / Dni]),2,0),"")</f>
        <v>20558226979</v>
      </c>
      <c r="W4078" s="25"/>
      <c r="X4078" s="25"/>
      <c r="Y4078" s="25"/>
      <c r="Z4078" s="77"/>
      <c r="AA4078" s="3" t="str">
        <f>IF(BCP_Soles[[#This Row],[fecha]]&gt;0,TEXT(BCP_Soles[[#This Row],[fecha]],"mmmm"),0)</f>
        <v>Octubre</v>
      </c>
    </row>
    <row r="4079" spans="1:27" x14ac:dyDescent="0.3">
      <c r="A4079" s="2">
        <f>IF(BCP_Soles[[#This Row],[tipo_registro]]="R",COUNTIFS($C$1:$C4078,"R")+1,A4078)</f>
        <v>2702</v>
      </c>
      <c r="B4079" s="19" t="str">
        <f t="shared" si="359"/>
        <v>B-BCP - Soles</v>
      </c>
      <c r="C4079" s="3" t="s">
        <v>1330</v>
      </c>
      <c r="D4079" s="14">
        <v>45933</v>
      </c>
      <c r="E4079" s="5"/>
      <c r="F4079" s="5" t="s">
        <v>1303</v>
      </c>
      <c r="G4079" s="6" t="s">
        <v>425</v>
      </c>
      <c r="H4079" s="6"/>
      <c r="I4079" s="6"/>
      <c r="J4079" s="6"/>
      <c r="K4079" s="7" t="s">
        <v>3608</v>
      </c>
      <c r="L4079" s="8">
        <v>3075760</v>
      </c>
      <c r="M4079" s="8" t="str">
        <f t="shared" si="360"/>
        <v>PEN</v>
      </c>
      <c r="N4079" s="13"/>
      <c r="O4079" s="13">
        <v>495.6</v>
      </c>
      <c r="P4079" s="3">
        <f t="shared" si="361"/>
        <v>495.6</v>
      </c>
      <c r="Q4079" s="3">
        <f t="shared" si="362"/>
        <v>0</v>
      </c>
      <c r="R4079" s="3">
        <f t="shared" si="358"/>
        <v>9525.1099999999678</v>
      </c>
      <c r="S4079" s="24"/>
      <c r="T4079" s="24"/>
      <c r="U4079" s="55"/>
      <c r="V4079" s="25">
        <f>IFERROR(VLOOKUP(BCP_Soles[[#This Row],[destinatario]],CHOOSE({1,2},Clientes_Proveedores[Razon Social],Clientes_Proveedores[Ruc / Dni]),2,0),"")</f>
        <v>20558226979</v>
      </c>
      <c r="W4079" s="25"/>
      <c r="X4079" s="25"/>
      <c r="Y4079" s="25"/>
      <c r="Z4079" s="77"/>
      <c r="AA4079" s="3" t="str">
        <f>IF(BCP_Soles[[#This Row],[fecha]]&gt;0,TEXT(BCP_Soles[[#This Row],[fecha]],"mmmm"),0)</f>
        <v>Octubre</v>
      </c>
    </row>
    <row r="4080" spans="1:27" x14ac:dyDescent="0.3">
      <c r="A4080" s="2">
        <f>IF(BCP_Soles[[#This Row],[tipo_registro]]="R",COUNTIFS($C$1:$C4079,"R")+1,A4079)</f>
        <v>2703</v>
      </c>
      <c r="B4080" s="19" t="str">
        <f t="shared" si="359"/>
        <v>B-BCP - Soles</v>
      </c>
      <c r="C4080" s="3" t="s">
        <v>1330</v>
      </c>
      <c r="D4080" s="14">
        <v>45933</v>
      </c>
      <c r="E4080" s="5" t="s">
        <v>1498</v>
      </c>
      <c r="F4080" s="5" t="s">
        <v>1303</v>
      </c>
      <c r="G4080" s="6" t="s">
        <v>425</v>
      </c>
      <c r="H4080" s="6" t="s">
        <v>119</v>
      </c>
      <c r="I4080" s="6">
        <v>1</v>
      </c>
      <c r="J4080" s="6">
        <v>4804</v>
      </c>
      <c r="K4080" s="7" t="s">
        <v>3608</v>
      </c>
      <c r="L4080" s="8">
        <v>3163419</v>
      </c>
      <c r="M4080" s="8" t="str">
        <f t="shared" si="360"/>
        <v>PEN</v>
      </c>
      <c r="N4080" s="13"/>
      <c r="O4080" s="13">
        <v>301.5</v>
      </c>
      <c r="P4080" s="3">
        <f t="shared" si="361"/>
        <v>301.5</v>
      </c>
      <c r="Q4080" s="3">
        <f t="shared" si="362"/>
        <v>0</v>
      </c>
      <c r="R4080" s="3">
        <f t="shared" si="358"/>
        <v>9826.6099999999678</v>
      </c>
      <c r="S4080" s="24" t="s">
        <v>1334</v>
      </c>
      <c r="T4080" s="24" t="s">
        <v>1334</v>
      </c>
      <c r="U4080" s="55"/>
      <c r="V4080" s="25">
        <f>IFERROR(VLOOKUP(BCP_Soles[[#This Row],[destinatario]],CHOOSE({1,2},Clientes_Proveedores[Razon Social],Clientes_Proveedores[Ruc / Dni]),2,0),"")</f>
        <v>20558226979</v>
      </c>
      <c r="W4080" s="25"/>
      <c r="X4080" s="25"/>
      <c r="Y4080" s="25"/>
      <c r="Z4080" s="77"/>
      <c r="AA4080" s="3" t="str">
        <f>IF(BCP_Soles[[#This Row],[fecha]]&gt;0,TEXT(BCP_Soles[[#This Row],[fecha]],"mmmm"),0)</f>
        <v>Octubre</v>
      </c>
    </row>
    <row r="4081" spans="1:27" x14ac:dyDescent="0.3">
      <c r="A4081" s="2">
        <f>IF(BCP_Soles[[#This Row],[tipo_registro]]="R",COUNTIFS($C$1:$C4080,"R")+1,A4080)</f>
        <v>2704</v>
      </c>
      <c r="B4081" s="19" t="str">
        <f t="shared" si="359"/>
        <v>B-BCP - Soles</v>
      </c>
      <c r="C4081" s="3" t="s">
        <v>1330</v>
      </c>
      <c r="D4081" s="14">
        <v>45933</v>
      </c>
      <c r="E4081" s="5"/>
      <c r="F4081" s="5" t="s">
        <v>1303</v>
      </c>
      <c r="G4081" s="6" t="s">
        <v>425</v>
      </c>
      <c r="H4081" s="6"/>
      <c r="I4081" s="6"/>
      <c r="J4081" s="6"/>
      <c r="K4081" s="7" t="s">
        <v>3608</v>
      </c>
      <c r="L4081" s="8">
        <v>3156552</v>
      </c>
      <c r="M4081" s="8" t="str">
        <f t="shared" si="360"/>
        <v>PEN</v>
      </c>
      <c r="N4081" s="13"/>
      <c r="O4081" s="13">
        <v>910</v>
      </c>
      <c r="P4081" s="3">
        <f t="shared" si="361"/>
        <v>910</v>
      </c>
      <c r="Q4081" s="3">
        <f t="shared" si="362"/>
        <v>0</v>
      </c>
      <c r="R4081" s="3">
        <f t="shared" si="358"/>
        <v>10736.609999999968</v>
      </c>
      <c r="S4081" s="24" t="s">
        <v>1334</v>
      </c>
      <c r="T4081" s="24" t="s">
        <v>1334</v>
      </c>
      <c r="U4081" s="55"/>
      <c r="V4081" s="25">
        <f>IFERROR(VLOOKUP(BCP_Soles[[#This Row],[destinatario]],CHOOSE({1,2},Clientes_Proveedores[Razon Social],Clientes_Proveedores[Ruc / Dni]),2,0),"")</f>
        <v>20558226979</v>
      </c>
      <c r="W4081" s="25"/>
      <c r="X4081" s="25"/>
      <c r="Y4081" s="25"/>
      <c r="Z4081" s="77"/>
      <c r="AA4081" s="3" t="str">
        <f>IF(BCP_Soles[[#This Row],[fecha]]&gt;0,TEXT(BCP_Soles[[#This Row],[fecha]],"mmmm"),0)</f>
        <v>Octubre</v>
      </c>
    </row>
    <row r="4082" spans="1:27" ht="24" x14ac:dyDescent="0.3">
      <c r="A4082" s="2">
        <f>IF(BCP_Soles[[#This Row],[tipo_registro]]="R",COUNTIFS($C$1:$C4081,"R")+1,A4081)</f>
        <v>2704</v>
      </c>
      <c r="B4082" s="19" t="str">
        <f t="shared" si="359"/>
        <v>B-BCP - Soles</v>
      </c>
      <c r="C4082" s="3" t="s">
        <v>1352</v>
      </c>
      <c r="D4082" s="14">
        <v>45933</v>
      </c>
      <c r="E4082" s="5" t="s">
        <v>2409</v>
      </c>
      <c r="F4082" s="5" t="s">
        <v>1303</v>
      </c>
      <c r="G4082" s="6" t="s">
        <v>425</v>
      </c>
      <c r="H4082" s="6" t="s">
        <v>119</v>
      </c>
      <c r="I4082" s="6">
        <v>1</v>
      </c>
      <c r="J4082" s="6">
        <v>4795</v>
      </c>
      <c r="K4082" s="7" t="s">
        <v>3608</v>
      </c>
      <c r="L4082" s="8">
        <v>3156552</v>
      </c>
      <c r="M4082" s="8" t="str">
        <f t="shared" si="360"/>
        <v>PEN</v>
      </c>
      <c r="N4082" s="13">
        <v>100</v>
      </c>
      <c r="O4082" s="13"/>
      <c r="P4082" s="3">
        <f t="shared" si="361"/>
        <v>0</v>
      </c>
      <c r="Q4082" s="3">
        <f t="shared" si="362"/>
        <v>0</v>
      </c>
      <c r="R4082" s="3">
        <f t="shared" si="358"/>
        <v>10736.609999999968</v>
      </c>
      <c r="S4082" s="24" t="s">
        <v>1334</v>
      </c>
      <c r="T4082" s="24" t="s">
        <v>1334</v>
      </c>
      <c r="U4082" s="55"/>
      <c r="V4082" s="25">
        <f>IFERROR(VLOOKUP(BCP_Soles[[#This Row],[destinatario]],CHOOSE({1,2},Clientes_Proveedores[Razon Social],Clientes_Proveedores[Ruc / Dni]),2,0),"")</f>
        <v>20558226979</v>
      </c>
      <c r="W4082" s="25"/>
      <c r="X4082" s="25"/>
      <c r="Y4082" s="25"/>
      <c r="Z4082" s="77"/>
      <c r="AA4082" s="3" t="str">
        <f>IF(BCP_Soles[[#This Row],[fecha]]&gt;0,TEXT(BCP_Soles[[#This Row],[fecha]],"mmmm"),0)</f>
        <v>Octubre</v>
      </c>
    </row>
    <row r="4083" spans="1:27" ht="24" x14ac:dyDescent="0.3">
      <c r="A4083" s="2">
        <f>IF(BCP_Soles[[#This Row],[tipo_registro]]="R",COUNTIFS($C$1:$C4082,"R")+1,A4082)</f>
        <v>2704</v>
      </c>
      <c r="B4083" s="19" t="str">
        <f t="shared" si="359"/>
        <v>B-BCP - Soles</v>
      </c>
      <c r="C4083" s="3" t="s">
        <v>1352</v>
      </c>
      <c r="D4083" s="14">
        <v>45933</v>
      </c>
      <c r="E4083" s="5" t="s">
        <v>2409</v>
      </c>
      <c r="F4083" s="5" t="s">
        <v>1303</v>
      </c>
      <c r="G4083" s="6" t="s">
        <v>425</v>
      </c>
      <c r="H4083" s="6" t="s">
        <v>119</v>
      </c>
      <c r="I4083" s="6">
        <v>1</v>
      </c>
      <c r="J4083" s="6">
        <v>4798</v>
      </c>
      <c r="K4083" s="7" t="s">
        <v>3608</v>
      </c>
      <c r="L4083" s="8">
        <v>3156552</v>
      </c>
      <c r="M4083" s="8" t="str">
        <f t="shared" si="360"/>
        <v>PEN</v>
      </c>
      <c r="N4083" s="13">
        <v>810</v>
      </c>
      <c r="O4083" s="13"/>
      <c r="P4083" s="3">
        <f t="shared" si="361"/>
        <v>0</v>
      </c>
      <c r="Q4083" s="3">
        <f t="shared" si="362"/>
        <v>0</v>
      </c>
      <c r="R4083" s="3">
        <f t="shared" si="358"/>
        <v>10736.609999999968</v>
      </c>
      <c r="S4083" s="24" t="s">
        <v>1334</v>
      </c>
      <c r="T4083" s="24" t="s">
        <v>1334</v>
      </c>
      <c r="U4083" s="55"/>
      <c r="V4083" s="25">
        <f>IFERROR(VLOOKUP(BCP_Soles[[#This Row],[destinatario]],CHOOSE({1,2},Clientes_Proveedores[Razon Social],Clientes_Proveedores[Ruc / Dni]),2,0),"")</f>
        <v>20558226979</v>
      </c>
      <c r="W4083" s="25"/>
      <c r="X4083" s="25"/>
      <c r="Y4083" s="25"/>
      <c r="Z4083" s="77"/>
      <c r="AA4083" s="3" t="str">
        <f>IF(BCP_Soles[[#This Row],[fecha]]&gt;0,TEXT(BCP_Soles[[#This Row],[fecha]],"mmmm"),0)</f>
        <v>Octubre</v>
      </c>
    </row>
    <row r="4084" spans="1:27" ht="24" x14ac:dyDescent="0.3">
      <c r="A4084" s="2">
        <f>IF(BCP_Soles[[#This Row],[tipo_registro]]="R",COUNTIFS($C$1:$C4083,"R")+1,A4083)</f>
        <v>2705</v>
      </c>
      <c r="B4084" s="19" t="str">
        <f t="shared" si="359"/>
        <v>B-BCP - Soles</v>
      </c>
      <c r="C4084" s="3" t="s">
        <v>1330</v>
      </c>
      <c r="D4084" s="14">
        <v>45933</v>
      </c>
      <c r="E4084" s="5" t="s">
        <v>4357</v>
      </c>
      <c r="F4084" s="5" t="s">
        <v>1303</v>
      </c>
      <c r="G4084" s="6" t="s">
        <v>425</v>
      </c>
      <c r="H4084" s="6" t="s">
        <v>119</v>
      </c>
      <c r="I4084" s="6">
        <v>1</v>
      </c>
      <c r="J4084" s="6">
        <v>4803</v>
      </c>
      <c r="K4084" s="7" t="s">
        <v>3608</v>
      </c>
      <c r="L4084" s="8">
        <v>3059524</v>
      </c>
      <c r="M4084" s="8" t="str">
        <f t="shared" si="360"/>
        <v>PEN</v>
      </c>
      <c r="N4084" s="13"/>
      <c r="O4084" s="13">
        <v>2365</v>
      </c>
      <c r="P4084" s="3">
        <f t="shared" si="361"/>
        <v>2365</v>
      </c>
      <c r="Q4084" s="3">
        <f t="shared" si="362"/>
        <v>0</v>
      </c>
      <c r="R4084" s="3">
        <f t="shared" si="358"/>
        <v>13101.609999999968</v>
      </c>
      <c r="S4084" s="24" t="s">
        <v>1334</v>
      </c>
      <c r="T4084" s="24" t="s">
        <v>1334</v>
      </c>
      <c r="U4084" s="55"/>
      <c r="V4084" s="25">
        <f>IFERROR(VLOOKUP(BCP_Soles[[#This Row],[destinatario]],CHOOSE({1,2},Clientes_Proveedores[Razon Social],Clientes_Proveedores[Ruc / Dni]),2,0),"")</f>
        <v>20558226979</v>
      </c>
      <c r="W4084" s="25"/>
      <c r="X4084" s="25"/>
      <c r="Y4084" s="25"/>
      <c r="Z4084" s="77"/>
      <c r="AA4084" s="3" t="str">
        <f>IF(BCP_Soles[[#This Row],[fecha]]&gt;0,TEXT(BCP_Soles[[#This Row],[fecha]],"mmmm"),0)</f>
        <v>Octubre</v>
      </c>
    </row>
    <row r="4085" spans="1:27" ht="24" x14ac:dyDescent="0.3">
      <c r="A4085" s="2">
        <f>IF(BCP_Soles[[#This Row],[tipo_registro]]="R",COUNTIFS($C$1:$C4084,"R")+1,A4084)</f>
        <v>2706</v>
      </c>
      <c r="B4085" s="19" t="str">
        <f t="shared" si="359"/>
        <v>B-BCP - Soles</v>
      </c>
      <c r="C4085" s="3" t="s">
        <v>1330</v>
      </c>
      <c r="D4085" s="14">
        <v>45933</v>
      </c>
      <c r="E4085" s="5" t="s">
        <v>2269</v>
      </c>
      <c r="F4085" s="5" t="s">
        <v>1336</v>
      </c>
      <c r="G4085" s="6" t="s">
        <v>888</v>
      </c>
      <c r="H4085" s="6" t="s">
        <v>147</v>
      </c>
      <c r="I4085" s="6">
        <v>14</v>
      </c>
      <c r="J4085" s="6">
        <v>36</v>
      </c>
      <c r="K4085" s="7" t="s">
        <v>4656</v>
      </c>
      <c r="L4085" s="8">
        <v>1186854</v>
      </c>
      <c r="M4085" s="8" t="str">
        <f t="shared" si="360"/>
        <v>PEN</v>
      </c>
      <c r="N4085" s="13"/>
      <c r="O4085" s="13">
        <v>1957.54</v>
      </c>
      <c r="P4085" s="3">
        <f t="shared" si="361"/>
        <v>0</v>
      </c>
      <c r="Q4085" s="3">
        <f t="shared" si="362"/>
        <v>1957.54</v>
      </c>
      <c r="R4085" s="3">
        <f t="shared" si="358"/>
        <v>11144.069999999967</v>
      </c>
      <c r="S4085" s="24"/>
      <c r="T4085" s="24" t="s">
        <v>1334</v>
      </c>
      <c r="U4085" s="56" t="s">
        <v>4657</v>
      </c>
      <c r="V4085" s="25">
        <f>IFERROR(VLOOKUP(BCP_Soles[[#This Row],[destinatario]],CHOOSE({1,2},Clientes_Proveedores[Razon Social],Clientes_Proveedores[Ruc / Dni]),2,0),"")</f>
        <v>47461440</v>
      </c>
      <c r="W4085" s="25"/>
      <c r="X4085" s="25"/>
      <c r="Y4085" s="25"/>
      <c r="Z4085" s="77"/>
      <c r="AA4085" s="3" t="str">
        <f>IF(BCP_Soles[[#This Row],[fecha]]&gt;0,TEXT(BCP_Soles[[#This Row],[fecha]],"mmmm"),0)</f>
        <v>Octubre</v>
      </c>
    </row>
    <row r="4086" spans="1:27" ht="24" x14ac:dyDescent="0.3">
      <c r="A4086" s="2">
        <f>IF(BCP_Soles[[#This Row],[tipo_registro]]="R",COUNTIFS($C$1:$C4085,"R")+1,A4085)</f>
        <v>2707</v>
      </c>
      <c r="B4086" s="19" t="str">
        <f t="shared" si="359"/>
        <v>B-BCP - Soles</v>
      </c>
      <c r="C4086" s="3" t="s">
        <v>1330</v>
      </c>
      <c r="D4086" s="14">
        <v>45933</v>
      </c>
      <c r="E4086" s="5" t="s">
        <v>2269</v>
      </c>
      <c r="F4086" s="5" t="s">
        <v>1336</v>
      </c>
      <c r="G4086" s="6" t="s">
        <v>249</v>
      </c>
      <c r="H4086" s="6"/>
      <c r="I4086" s="6"/>
      <c r="J4086" s="6"/>
      <c r="K4086" s="7" t="s">
        <v>4658</v>
      </c>
      <c r="L4086" s="8">
        <v>1170712</v>
      </c>
      <c r="M4086" s="8" t="str">
        <f t="shared" si="360"/>
        <v>PEN</v>
      </c>
      <c r="N4086" s="13"/>
      <c r="O4086" s="13">
        <v>4500</v>
      </c>
      <c r="P4086" s="3">
        <f t="shared" si="361"/>
        <v>0</v>
      </c>
      <c r="Q4086" s="3">
        <f t="shared" si="362"/>
        <v>4500</v>
      </c>
      <c r="R4086" s="3">
        <f t="shared" si="358"/>
        <v>6644.069999999967</v>
      </c>
      <c r="S4086" s="24"/>
      <c r="T4086" s="24" t="s">
        <v>1334</v>
      </c>
      <c r="U4086" s="55"/>
      <c r="V4086" s="25">
        <f>IFERROR(VLOOKUP(BCP_Soles[[#This Row],[destinatario]],CHOOSE({1,2},Clientes_Proveedores[Razon Social],Clientes_Proveedores[Ruc / Dni]),2,0),"")</f>
        <v>20302891452</v>
      </c>
      <c r="W4086" s="25"/>
      <c r="X4086" s="25"/>
      <c r="Y4086" s="25"/>
      <c r="Z4086" s="77"/>
      <c r="AA4086" s="3" t="str">
        <f>IF(BCP_Soles[[#This Row],[fecha]]&gt;0,TEXT(BCP_Soles[[#This Row],[fecha]],"mmmm"),0)</f>
        <v>Octubre</v>
      </c>
    </row>
    <row r="4087" spans="1:27" ht="36" x14ac:dyDescent="0.3">
      <c r="A4087" s="2">
        <f>IF(BCP_Soles[[#This Row],[tipo_registro]]="R",COUNTIFS($C$1:$C4086,"R")+1,A4086)</f>
        <v>2708</v>
      </c>
      <c r="B4087" s="19" t="str">
        <f t="shared" si="359"/>
        <v>B-BCP - Soles</v>
      </c>
      <c r="C4087" s="3" t="s">
        <v>1330</v>
      </c>
      <c r="D4087" s="14">
        <v>45933</v>
      </c>
      <c r="E4087" s="5" t="s">
        <v>2269</v>
      </c>
      <c r="F4087" s="5" t="s">
        <v>1336</v>
      </c>
      <c r="G4087" s="6" t="s">
        <v>948</v>
      </c>
      <c r="H4087" s="6"/>
      <c r="I4087" s="6"/>
      <c r="J4087" s="6"/>
      <c r="K4087" s="7" t="s">
        <v>4659</v>
      </c>
      <c r="L4087" s="8">
        <v>1168257</v>
      </c>
      <c r="M4087" s="8" t="str">
        <f t="shared" si="360"/>
        <v>PEN</v>
      </c>
      <c r="N4087" s="13"/>
      <c r="O4087" s="13">
        <v>2500</v>
      </c>
      <c r="P4087" s="3">
        <f t="shared" si="361"/>
        <v>0</v>
      </c>
      <c r="Q4087" s="3">
        <f t="shared" si="362"/>
        <v>2500</v>
      </c>
      <c r="R4087" s="3">
        <f t="shared" si="358"/>
        <v>4144.069999999967</v>
      </c>
      <c r="S4087" s="24"/>
      <c r="T4087" s="24" t="s">
        <v>1334</v>
      </c>
      <c r="U4087" s="55"/>
      <c r="V4087" s="25">
        <f>IFERROR(VLOOKUP(BCP_Soles[[#This Row],[destinatario]],CHOOSE({1,2},Clientes_Proveedores[Razon Social],Clientes_Proveedores[Ruc / Dni]),2,0),"")</f>
        <v>71311214</v>
      </c>
      <c r="W4087" s="25"/>
      <c r="X4087" s="25"/>
      <c r="Y4087" s="25"/>
      <c r="Z4087" s="77"/>
      <c r="AA4087" s="3" t="str">
        <f>IF(BCP_Soles[[#This Row],[fecha]]&gt;0,TEXT(BCP_Soles[[#This Row],[fecha]],"mmmm"),0)</f>
        <v>Octubre</v>
      </c>
    </row>
    <row r="4088" spans="1:27" x14ac:dyDescent="0.3">
      <c r="A4088" s="2">
        <f>IF(BCP_Soles[[#This Row],[tipo_registro]]="R",COUNTIFS($C$1:$C4087,"R")+1,A4087)</f>
        <v>2709</v>
      </c>
      <c r="B4088" s="19" t="str">
        <f t="shared" si="359"/>
        <v>B-BCP - Soles</v>
      </c>
      <c r="C4088" s="3" t="s">
        <v>1330</v>
      </c>
      <c r="D4088" s="14">
        <v>45933</v>
      </c>
      <c r="E4088" s="5" t="s">
        <v>3190</v>
      </c>
      <c r="F4088" s="5" t="s">
        <v>1336</v>
      </c>
      <c r="G4088" s="6"/>
      <c r="H4088" s="6"/>
      <c r="I4088" s="6"/>
      <c r="J4088" s="6"/>
      <c r="K4088" s="7" t="s">
        <v>4660</v>
      </c>
      <c r="L4088" s="8">
        <v>1006135</v>
      </c>
      <c r="M4088" s="8" t="str">
        <f t="shared" si="360"/>
        <v>PEN</v>
      </c>
      <c r="N4088" s="13"/>
      <c r="O4088" s="13">
        <v>711</v>
      </c>
      <c r="P4088" s="3">
        <f t="shared" si="361"/>
        <v>0</v>
      </c>
      <c r="Q4088" s="3">
        <f t="shared" si="362"/>
        <v>711</v>
      </c>
      <c r="R4088" s="3">
        <f t="shared" si="358"/>
        <v>3433.069999999967</v>
      </c>
      <c r="S4088" s="24"/>
      <c r="T4088" s="24"/>
      <c r="U4088" s="55"/>
      <c r="V4088" s="25" t="str">
        <f>IFERROR(VLOOKUP(BCP_Soles[[#This Row],[destinatario]],CHOOSE({1,2},Clientes_Proveedores[Razon Social],Clientes_Proveedores[Ruc / Dni]),2,0),"")</f>
        <v/>
      </c>
      <c r="W4088" s="25"/>
      <c r="X4088" s="25"/>
      <c r="Y4088" s="25"/>
      <c r="Z4088" s="77"/>
      <c r="AA4088" s="3" t="str">
        <f>IF(BCP_Soles[[#This Row],[fecha]]&gt;0,TEXT(BCP_Soles[[#This Row],[fecha]],"mmmm"),0)</f>
        <v>Octubre</v>
      </c>
    </row>
    <row r="4089" spans="1:27" ht="48" x14ac:dyDescent="0.3">
      <c r="A4089" s="2">
        <f>IF(BCP_Soles[[#This Row],[tipo_registro]]="R",COUNTIFS($C$1:$C4088,"R")+1,A4088)</f>
        <v>2710</v>
      </c>
      <c r="B4089" s="19" t="str">
        <f t="shared" ref="B4089:B4111" si="363">"B-BCP - Soles"</f>
        <v>B-BCP - Soles</v>
      </c>
      <c r="C4089" s="3" t="s">
        <v>1330</v>
      </c>
      <c r="D4089" s="14">
        <v>45933</v>
      </c>
      <c r="E4089" s="5" t="s">
        <v>1338</v>
      </c>
      <c r="F4089" s="5" t="s">
        <v>1336</v>
      </c>
      <c r="G4089" s="6" t="s">
        <v>1241</v>
      </c>
      <c r="H4089" s="6" t="s">
        <v>68</v>
      </c>
      <c r="I4089" s="6" t="s">
        <v>1376</v>
      </c>
      <c r="J4089" s="6">
        <v>518</v>
      </c>
      <c r="K4089" s="7" t="s">
        <v>4661</v>
      </c>
      <c r="L4089" s="8">
        <v>1303208</v>
      </c>
      <c r="M4089" s="8" t="str">
        <f t="shared" ref="M4089:M4111" si="364">"PEN"</f>
        <v>PEN</v>
      </c>
      <c r="N4089" s="13"/>
      <c r="O4089" s="13">
        <v>1344</v>
      </c>
      <c r="P4089" s="3">
        <f t="shared" ref="P4089:P4111" si="365">+IF(OR($F4089="SALDO",$F4089="INGRESO"),$O4089,0)</f>
        <v>0</v>
      </c>
      <c r="Q4089" s="3">
        <f t="shared" ref="Q4089:Q4111" si="366">+IF($F4089="EGRESO",$O4089,0)</f>
        <v>1344</v>
      </c>
      <c r="R4089" s="3">
        <f t="shared" si="358"/>
        <v>2089.069999999967</v>
      </c>
      <c r="S4089" s="24" t="s">
        <v>1334</v>
      </c>
      <c r="T4089" s="24" t="s">
        <v>1334</v>
      </c>
      <c r="U4089" s="56" t="s">
        <v>4662</v>
      </c>
      <c r="V4089" s="25">
        <f>IFERROR(VLOOKUP(BCP_Soles[[#This Row],[destinatario]],CHOOSE({1,2},Clientes_Proveedores[Razon Social],Clientes_Proveedores[Ruc / Dni]),2,0),"")</f>
        <v>20600571541</v>
      </c>
      <c r="W4089" s="25"/>
      <c r="X4089" s="25"/>
      <c r="Y4089" s="25"/>
      <c r="Z4089" s="77"/>
      <c r="AA4089" s="3" t="str">
        <f>IF(BCP_Soles[[#This Row],[fecha]]&gt;0,TEXT(BCP_Soles[[#This Row],[fecha]],"mmmm"),0)</f>
        <v>Octubre</v>
      </c>
    </row>
    <row r="4090" spans="1:27" ht="24" x14ac:dyDescent="0.3">
      <c r="A4090" s="2">
        <f>IF(BCP_Soles[[#This Row],[tipo_registro]]="R",COUNTIFS($C$1:$C4089,"R")+1,A4089)</f>
        <v>2711</v>
      </c>
      <c r="B4090" s="19" t="str">
        <f t="shared" si="363"/>
        <v>B-BCP - Soles</v>
      </c>
      <c r="C4090" s="3" t="s">
        <v>1330</v>
      </c>
      <c r="D4090" s="14">
        <v>45933</v>
      </c>
      <c r="E4090" s="5" t="s">
        <v>1338</v>
      </c>
      <c r="F4090" s="5" t="s">
        <v>1336</v>
      </c>
      <c r="G4090" s="6" t="s">
        <v>1112</v>
      </c>
      <c r="H4090" s="6" t="s">
        <v>68</v>
      </c>
      <c r="I4090" s="6" t="s">
        <v>1376</v>
      </c>
      <c r="J4090" s="6">
        <v>52</v>
      </c>
      <c r="K4090" s="7" t="s">
        <v>4663</v>
      </c>
      <c r="L4090" s="8">
        <v>1303207</v>
      </c>
      <c r="M4090" s="8" t="str">
        <f t="shared" si="364"/>
        <v>PEN</v>
      </c>
      <c r="N4090" s="13"/>
      <c r="O4090" s="13">
        <v>1056</v>
      </c>
      <c r="P4090" s="3">
        <f t="shared" si="365"/>
        <v>0</v>
      </c>
      <c r="Q4090" s="3">
        <f t="shared" si="366"/>
        <v>1056</v>
      </c>
      <c r="R4090" s="3">
        <f t="shared" si="358"/>
        <v>1033.069999999967</v>
      </c>
      <c r="S4090" s="24" t="s">
        <v>1334</v>
      </c>
      <c r="T4090" s="24" t="s">
        <v>1334</v>
      </c>
      <c r="U4090" s="56" t="s">
        <v>4664</v>
      </c>
      <c r="V4090" s="25">
        <f>IFERROR(VLOOKUP(BCP_Soles[[#This Row],[destinatario]],CHOOSE({1,2},Clientes_Proveedores[Razon Social],Clientes_Proveedores[Ruc / Dni]),2,0),"")</f>
        <v>10295579221</v>
      </c>
      <c r="W4090" s="25"/>
      <c r="X4090" s="25"/>
      <c r="Y4090" s="25"/>
      <c r="Z4090" s="77"/>
      <c r="AA4090" s="3" t="str">
        <f>IF(BCP_Soles[[#This Row],[fecha]]&gt;0,TEXT(BCP_Soles[[#This Row],[fecha]],"mmmm"),0)</f>
        <v>Octubre</v>
      </c>
    </row>
    <row r="4091" spans="1:27" ht="48" x14ac:dyDescent="0.3">
      <c r="A4091" s="2">
        <f>IF(BCP_Soles[[#This Row],[tipo_registro]]="R",COUNTIFS($C$1:$C4090,"R")+1,A4090)</f>
        <v>2712</v>
      </c>
      <c r="B4091" s="19" t="str">
        <f t="shared" si="363"/>
        <v>B-BCP - Soles</v>
      </c>
      <c r="C4091" s="3" t="s">
        <v>1330</v>
      </c>
      <c r="D4091" s="14">
        <v>45933</v>
      </c>
      <c r="E4091" s="5" t="s">
        <v>1338</v>
      </c>
      <c r="F4091" s="5" t="s">
        <v>1336</v>
      </c>
      <c r="G4091" s="6" t="s">
        <v>501</v>
      </c>
      <c r="H4091" s="6" t="s">
        <v>68</v>
      </c>
      <c r="I4091" s="6" t="s">
        <v>1650</v>
      </c>
      <c r="J4091" s="6">
        <v>9359</v>
      </c>
      <c r="K4091" s="7" t="s">
        <v>4665</v>
      </c>
      <c r="L4091" s="8">
        <v>1235087</v>
      </c>
      <c r="M4091" s="8" t="str">
        <f t="shared" si="364"/>
        <v>PEN</v>
      </c>
      <c r="N4091" s="13"/>
      <c r="O4091" s="13">
        <v>269.64</v>
      </c>
      <c r="P4091" s="3">
        <f t="shared" si="365"/>
        <v>0</v>
      </c>
      <c r="Q4091" s="3">
        <f t="shared" si="366"/>
        <v>269.64</v>
      </c>
      <c r="R4091" s="3">
        <f t="shared" si="358"/>
        <v>763.42999999996698</v>
      </c>
      <c r="S4091" s="24" t="s">
        <v>1334</v>
      </c>
      <c r="T4091" s="24" t="s">
        <v>1334</v>
      </c>
      <c r="U4091" s="56" t="s">
        <v>4666</v>
      </c>
      <c r="V4091" s="25">
        <f>IFERROR(VLOOKUP(BCP_Soles[[#This Row],[destinatario]],CHOOSE({1,2},Clientes_Proveedores[Razon Social],Clientes_Proveedores[Ruc / Dni]),2,0),"")</f>
        <v>20602978274</v>
      </c>
      <c r="W4091" s="25"/>
      <c r="X4091" s="25"/>
      <c r="Y4091" s="25"/>
      <c r="Z4091" s="77"/>
      <c r="AA4091" s="3" t="str">
        <f>IF(BCP_Soles[[#This Row],[fecha]]&gt;0,TEXT(BCP_Soles[[#This Row],[fecha]],"mmmm"),0)</f>
        <v>Octubre</v>
      </c>
    </row>
    <row r="4092" spans="1:27" ht="48" x14ac:dyDescent="0.3">
      <c r="A4092" s="2">
        <f>IF(BCP_Soles[[#This Row],[tipo_registro]]="R",COUNTIFS($C$1:$C4091,"R")+1,A4091)</f>
        <v>2713</v>
      </c>
      <c r="B4092" s="19" t="str">
        <f t="shared" si="363"/>
        <v>B-BCP - Soles</v>
      </c>
      <c r="C4092" s="3" t="s">
        <v>1330</v>
      </c>
      <c r="D4092" s="14">
        <v>45933</v>
      </c>
      <c r="E4092" s="5" t="s">
        <v>1338</v>
      </c>
      <c r="F4092" s="5" t="s">
        <v>1336</v>
      </c>
      <c r="G4092" s="6" t="s">
        <v>501</v>
      </c>
      <c r="H4092" s="6" t="s">
        <v>68</v>
      </c>
      <c r="I4092" s="6" t="s">
        <v>1526</v>
      </c>
      <c r="J4092" s="6">
        <v>11797</v>
      </c>
      <c r="K4092" s="7" t="s">
        <v>4667</v>
      </c>
      <c r="L4092" s="8">
        <v>1235086</v>
      </c>
      <c r="M4092" s="8" t="str">
        <f t="shared" si="364"/>
        <v>PEN</v>
      </c>
      <c r="N4092" s="13"/>
      <c r="O4092" s="13">
        <v>216.2</v>
      </c>
      <c r="P4092" s="3">
        <f t="shared" si="365"/>
        <v>0</v>
      </c>
      <c r="Q4092" s="3">
        <f t="shared" si="366"/>
        <v>216.2</v>
      </c>
      <c r="R4092" s="3">
        <f t="shared" si="358"/>
        <v>547.22999999996705</v>
      </c>
      <c r="S4092" s="24" t="s">
        <v>1334</v>
      </c>
      <c r="T4092" s="24" t="s">
        <v>1334</v>
      </c>
      <c r="U4092" s="56" t="s">
        <v>4668</v>
      </c>
      <c r="V4092" s="25">
        <f>IFERROR(VLOOKUP(BCP_Soles[[#This Row],[destinatario]],CHOOSE({1,2},Clientes_Proveedores[Razon Social],Clientes_Proveedores[Ruc / Dni]),2,0),"")</f>
        <v>20602978274</v>
      </c>
      <c r="W4092" s="25"/>
      <c r="X4092" s="25"/>
      <c r="Y4092" s="25"/>
      <c r="Z4092" s="77"/>
      <c r="AA4092" s="3" t="str">
        <f>IF(BCP_Soles[[#This Row],[fecha]]&gt;0,TEXT(BCP_Soles[[#This Row],[fecha]],"mmmm"),0)</f>
        <v>Octubre</v>
      </c>
    </row>
    <row r="4093" spans="1:27" ht="24" x14ac:dyDescent="0.3">
      <c r="A4093" s="2">
        <f>IF(BCP_Soles[[#This Row],[tipo_registro]]="R",COUNTIFS($C$1:$C4092,"R")+1,A4092)</f>
        <v>2714</v>
      </c>
      <c r="B4093" s="19" t="str">
        <f t="shared" si="363"/>
        <v>B-BCP - Soles</v>
      </c>
      <c r="C4093" s="3" t="s">
        <v>1330</v>
      </c>
      <c r="D4093" s="14">
        <v>45933</v>
      </c>
      <c r="E4093" s="5" t="s">
        <v>1335</v>
      </c>
      <c r="F4093" s="5" t="s">
        <v>1336</v>
      </c>
      <c r="G4093" s="6" t="s">
        <v>1060</v>
      </c>
      <c r="H4093" s="6" t="s">
        <v>68</v>
      </c>
      <c r="I4093" s="6" t="s">
        <v>1397</v>
      </c>
      <c r="J4093" s="6">
        <v>37623591</v>
      </c>
      <c r="K4093" s="7" t="s">
        <v>4230</v>
      </c>
      <c r="L4093" s="8">
        <v>805</v>
      </c>
      <c r="M4093" s="8" t="str">
        <f t="shared" si="364"/>
        <v>PEN</v>
      </c>
      <c r="N4093" s="13"/>
      <c r="O4093" s="13">
        <v>10</v>
      </c>
      <c r="P4093" s="3">
        <f t="shared" si="365"/>
        <v>0</v>
      </c>
      <c r="Q4093" s="3">
        <f t="shared" si="366"/>
        <v>10</v>
      </c>
      <c r="R4093" s="3">
        <f t="shared" si="358"/>
        <v>537.22999999996705</v>
      </c>
      <c r="S4093" s="24" t="s">
        <v>1334</v>
      </c>
      <c r="T4093" s="24" t="s">
        <v>1334</v>
      </c>
      <c r="U4093" s="55"/>
      <c r="V4093" s="25">
        <f>IFERROR(VLOOKUP(BCP_Soles[[#This Row],[destinatario]],CHOOSE({1,2},Clientes_Proveedores[Razon Social],Clientes_Proveedores[Ruc / Dni]),2,0),"")</f>
        <v>20100047218</v>
      </c>
      <c r="W4093" s="25"/>
      <c r="X4093" s="25"/>
      <c r="Y4093" s="25"/>
      <c r="Z4093" s="77"/>
      <c r="AA4093" s="3" t="str">
        <f>IF(BCP_Soles[[#This Row],[fecha]]&gt;0,TEXT(BCP_Soles[[#This Row],[fecha]],"mmmm"),0)</f>
        <v>Octubre</v>
      </c>
    </row>
    <row r="4094" spans="1:27" x14ac:dyDescent="0.3">
      <c r="A4094" s="2">
        <f>IF(BCP_Soles[[#This Row],[tipo_registro]]="R",COUNTIFS($C$1:$C4093,"R")+1,A4093)</f>
        <v>2715</v>
      </c>
      <c r="B4094" s="19" t="str">
        <f t="shared" si="363"/>
        <v>B-BCP - Soles</v>
      </c>
      <c r="C4094" s="3" t="s">
        <v>1330</v>
      </c>
      <c r="D4094" s="14">
        <v>45933</v>
      </c>
      <c r="E4094" s="5" t="s">
        <v>1335</v>
      </c>
      <c r="F4094" s="5" t="s">
        <v>1336</v>
      </c>
      <c r="G4094" s="6" t="s">
        <v>1009</v>
      </c>
      <c r="H4094" s="6" t="s">
        <v>64</v>
      </c>
      <c r="I4094" s="6"/>
      <c r="J4094" s="6"/>
      <c r="K4094" s="7" t="s">
        <v>3160</v>
      </c>
      <c r="L4094" s="8"/>
      <c r="M4094" s="8" t="str">
        <f t="shared" si="364"/>
        <v>PEN</v>
      </c>
      <c r="N4094" s="13"/>
      <c r="O4094" s="13">
        <v>0.55000000000000004</v>
      </c>
      <c r="P4094" s="3">
        <f t="shared" si="365"/>
        <v>0</v>
      </c>
      <c r="Q4094" s="3">
        <f t="shared" si="366"/>
        <v>0.55000000000000004</v>
      </c>
      <c r="R4094" s="3">
        <f t="shared" si="358"/>
        <v>536.67999999996709</v>
      </c>
      <c r="S4094" s="24"/>
      <c r="T4094" s="24"/>
      <c r="U4094" s="55"/>
      <c r="V4094" s="25">
        <f>IFERROR(VLOOKUP(BCP_Soles[[#This Row],[destinatario]],CHOOSE({1,2},Clientes_Proveedores[Razon Social],Clientes_Proveedores[Ruc / Dni]),2,0),"")</f>
        <v>11111111</v>
      </c>
      <c r="W4094" s="25"/>
      <c r="X4094" s="25"/>
      <c r="Y4094" s="25"/>
      <c r="Z4094" s="77"/>
      <c r="AA4094" s="3" t="str">
        <f>IF(BCP_Soles[[#This Row],[fecha]]&gt;0,TEXT(BCP_Soles[[#This Row],[fecha]],"mmmm"),0)</f>
        <v>Octubre</v>
      </c>
    </row>
    <row r="4095" spans="1:27" ht="24" x14ac:dyDescent="0.3">
      <c r="A4095" s="2">
        <f>IF(BCP_Soles[[#This Row],[tipo_registro]]="R",COUNTIFS($C$1:$C4094,"R")+1,A4094)</f>
        <v>2716</v>
      </c>
      <c r="B4095" s="19" t="str">
        <f t="shared" si="363"/>
        <v>B-BCP - Soles</v>
      </c>
      <c r="C4095" s="3" t="s">
        <v>1330</v>
      </c>
      <c r="D4095" s="14">
        <v>45935</v>
      </c>
      <c r="E4095" s="5" t="s">
        <v>4357</v>
      </c>
      <c r="F4095" s="5" t="s">
        <v>1303</v>
      </c>
      <c r="G4095" s="6" t="s">
        <v>425</v>
      </c>
      <c r="H4095" s="6" t="s">
        <v>119</v>
      </c>
      <c r="I4095" s="6">
        <v>2</v>
      </c>
      <c r="J4095" s="6">
        <v>848</v>
      </c>
      <c r="K4095" s="7" t="s">
        <v>3608</v>
      </c>
      <c r="L4095" s="8">
        <v>2303520</v>
      </c>
      <c r="M4095" s="8" t="str">
        <f t="shared" si="364"/>
        <v>PEN</v>
      </c>
      <c r="N4095" s="13"/>
      <c r="O4095" s="13">
        <v>4930</v>
      </c>
      <c r="P4095" s="3">
        <f t="shared" si="365"/>
        <v>4930</v>
      </c>
      <c r="Q4095" s="3">
        <f t="shared" si="366"/>
        <v>0</v>
      </c>
      <c r="R4095" s="3">
        <f t="shared" si="358"/>
        <v>5466.6799999999675</v>
      </c>
      <c r="S4095" s="24" t="s">
        <v>1334</v>
      </c>
      <c r="T4095" s="24" t="s">
        <v>1334</v>
      </c>
      <c r="U4095" s="55"/>
      <c r="V4095" s="25">
        <f>IFERROR(VLOOKUP(BCP_Soles[[#This Row],[destinatario]],CHOOSE({1,2},Clientes_Proveedores[Razon Social],Clientes_Proveedores[Ruc / Dni]),2,0),"")</f>
        <v>20558226979</v>
      </c>
      <c r="W4095" s="25"/>
      <c r="X4095" s="25"/>
      <c r="Y4095" s="25"/>
      <c r="Z4095" s="77"/>
      <c r="AA4095" s="3" t="str">
        <f>IF(BCP_Soles[[#This Row],[fecha]]&gt;0,TEXT(BCP_Soles[[#This Row],[fecha]],"mmmm"),0)</f>
        <v>Octubre</v>
      </c>
    </row>
    <row r="4096" spans="1:27" ht="24" x14ac:dyDescent="0.3">
      <c r="A4096" s="2">
        <f>IF(BCP_Soles[[#This Row],[tipo_registro]]="R",COUNTIFS($C$1:$C4095,"R")+1,A4095)</f>
        <v>2717</v>
      </c>
      <c r="B4096" s="19" t="str">
        <f t="shared" si="363"/>
        <v>B-BCP - Soles</v>
      </c>
      <c r="C4096" s="3" t="s">
        <v>1330</v>
      </c>
      <c r="D4096" s="14">
        <v>45935</v>
      </c>
      <c r="E4096" s="5" t="s">
        <v>4357</v>
      </c>
      <c r="F4096" s="5" t="s">
        <v>1303</v>
      </c>
      <c r="G4096" s="6" t="s">
        <v>425</v>
      </c>
      <c r="H4096" s="6" t="s">
        <v>119</v>
      </c>
      <c r="I4096" s="6">
        <v>1</v>
      </c>
      <c r="J4096" s="6">
        <v>4803</v>
      </c>
      <c r="K4096" s="7" t="s">
        <v>3608</v>
      </c>
      <c r="L4096" s="8">
        <v>2305462</v>
      </c>
      <c r="M4096" s="8" t="str">
        <f t="shared" si="364"/>
        <v>PEN</v>
      </c>
      <c r="N4096" s="13"/>
      <c r="O4096" s="13">
        <v>2100</v>
      </c>
      <c r="P4096" s="3">
        <f t="shared" si="365"/>
        <v>2100</v>
      </c>
      <c r="Q4096" s="3">
        <f t="shared" si="366"/>
        <v>0</v>
      </c>
      <c r="R4096" s="3">
        <f t="shared" si="358"/>
        <v>7566.6799999999675</v>
      </c>
      <c r="S4096" s="24" t="s">
        <v>1334</v>
      </c>
      <c r="T4096" s="24" t="s">
        <v>1334</v>
      </c>
      <c r="U4096" s="55"/>
      <c r="V4096" s="25">
        <f>IFERROR(VLOOKUP(BCP_Soles[[#This Row],[destinatario]],CHOOSE({1,2},Clientes_Proveedores[Razon Social],Clientes_Proveedores[Ruc / Dni]),2,0),"")</f>
        <v>20558226979</v>
      </c>
      <c r="W4096" s="25"/>
      <c r="X4096" s="25"/>
      <c r="Y4096" s="25"/>
      <c r="Z4096" s="77"/>
      <c r="AA4096" s="3" t="str">
        <f>IF(BCP_Soles[[#This Row],[fecha]]&gt;0,TEXT(BCP_Soles[[#This Row],[fecha]],"mmmm"),0)</f>
        <v>Octubre</v>
      </c>
    </row>
    <row r="4097" spans="1:27" x14ac:dyDescent="0.3">
      <c r="A4097" s="2">
        <f>IF(BCP_Soles[[#This Row],[tipo_registro]]="R",COUNTIFS($C$1:$C4096,"R")+1,A4096)</f>
        <v>2718</v>
      </c>
      <c r="B4097" s="19" t="str">
        <f t="shared" si="363"/>
        <v>B-BCP - Soles</v>
      </c>
      <c r="C4097" s="3" t="s">
        <v>1330</v>
      </c>
      <c r="D4097" s="14">
        <v>45935</v>
      </c>
      <c r="E4097" s="5" t="s">
        <v>1335</v>
      </c>
      <c r="F4097" s="5" t="s">
        <v>1336</v>
      </c>
      <c r="G4097" s="6" t="s">
        <v>1009</v>
      </c>
      <c r="H4097" s="6" t="s">
        <v>64</v>
      </c>
      <c r="I4097" s="6"/>
      <c r="J4097" s="6"/>
      <c r="K4097" s="7" t="s">
        <v>3160</v>
      </c>
      <c r="L4097" s="8"/>
      <c r="M4097" s="8" t="str">
        <f t="shared" si="364"/>
        <v>PEN</v>
      </c>
      <c r="N4097" s="13"/>
      <c r="O4097" s="13">
        <v>0.3</v>
      </c>
      <c r="P4097" s="3">
        <f t="shared" si="365"/>
        <v>0</v>
      </c>
      <c r="Q4097" s="3">
        <f t="shared" si="366"/>
        <v>0.3</v>
      </c>
      <c r="R4097" s="3">
        <f t="shared" si="358"/>
        <v>7566.3799999999674</v>
      </c>
      <c r="S4097" s="24"/>
      <c r="T4097" s="24"/>
      <c r="U4097" s="55"/>
      <c r="V4097" s="25">
        <f>IFERROR(VLOOKUP(BCP_Soles[[#This Row],[destinatario]],CHOOSE({1,2},Clientes_Proveedores[Razon Social],Clientes_Proveedores[Ruc / Dni]),2,0),"")</f>
        <v>11111111</v>
      </c>
      <c r="W4097" s="25"/>
      <c r="X4097" s="25"/>
      <c r="Y4097" s="25"/>
      <c r="Z4097" s="77"/>
      <c r="AA4097" s="3" t="str">
        <f>IF(BCP_Soles[[#This Row],[fecha]]&gt;0,TEXT(BCP_Soles[[#This Row],[fecha]],"mmmm"),0)</f>
        <v>Octubre</v>
      </c>
    </row>
    <row r="4098" spans="1:27" x14ac:dyDescent="0.3">
      <c r="A4098" s="2">
        <f>IF(BCP_Soles[[#This Row],[tipo_registro]]="R",COUNTIFS($C$1:$C4097,"R")+1,A4097)</f>
        <v>2719</v>
      </c>
      <c r="B4098" s="19" t="str">
        <f t="shared" si="363"/>
        <v>B-BCP - Soles</v>
      </c>
      <c r="C4098" s="3" t="s">
        <v>1330</v>
      </c>
      <c r="D4098" s="14">
        <v>45936</v>
      </c>
      <c r="E4098" s="5"/>
      <c r="F4098" s="5" t="s">
        <v>1303</v>
      </c>
      <c r="G4098" s="6" t="s">
        <v>425</v>
      </c>
      <c r="H4098" s="6"/>
      <c r="I4098" s="6"/>
      <c r="J4098" s="6"/>
      <c r="K4098" s="7" t="s">
        <v>3608</v>
      </c>
      <c r="L4098" s="8">
        <v>2126410</v>
      </c>
      <c r="M4098" s="8" t="str">
        <f t="shared" si="364"/>
        <v>PEN</v>
      </c>
      <c r="N4098" s="13"/>
      <c r="O4098" s="13">
        <v>106.2</v>
      </c>
      <c r="P4098" s="3">
        <f t="shared" si="365"/>
        <v>106.2</v>
      </c>
      <c r="Q4098" s="3">
        <f t="shared" si="366"/>
        <v>0</v>
      </c>
      <c r="R4098" s="3">
        <f t="shared" si="358"/>
        <v>7672.5799999999672</v>
      </c>
      <c r="S4098" s="24"/>
      <c r="T4098" s="24"/>
      <c r="U4098" s="55"/>
      <c r="V4098" s="25">
        <f>IFERROR(VLOOKUP(BCP_Soles[[#This Row],[destinatario]],CHOOSE({1,2},Clientes_Proveedores[Razon Social],Clientes_Proveedores[Ruc / Dni]),2,0),"")</f>
        <v>20558226979</v>
      </c>
      <c r="W4098" s="25"/>
      <c r="X4098" s="25"/>
      <c r="Y4098" s="25"/>
      <c r="Z4098" s="77"/>
      <c r="AA4098" s="3" t="str">
        <f>IF(BCP_Soles[[#This Row],[fecha]]&gt;0,TEXT(BCP_Soles[[#This Row],[fecha]],"mmmm"),0)</f>
        <v>Octubre</v>
      </c>
    </row>
    <row r="4099" spans="1:27" x14ac:dyDescent="0.3">
      <c r="A4099" s="2">
        <f>IF(BCP_Soles[[#This Row],[tipo_registro]]="R",COUNTIFS($C$1:$C4098,"R")+1,A4098)</f>
        <v>2720</v>
      </c>
      <c r="B4099" s="19" t="str">
        <f>"B-BCP - Soles"</f>
        <v>B-BCP - Soles</v>
      </c>
      <c r="C4099" s="3" t="s">
        <v>1330</v>
      </c>
      <c r="D4099" s="14">
        <v>45936</v>
      </c>
      <c r="E4099" s="5" t="s">
        <v>4171</v>
      </c>
      <c r="F4099" s="5" t="s">
        <v>1303</v>
      </c>
      <c r="G4099" s="6" t="s">
        <v>425</v>
      </c>
      <c r="H4099" s="6"/>
      <c r="I4099" s="6"/>
      <c r="J4099" s="6"/>
      <c r="K4099" s="7" t="s">
        <v>4669</v>
      </c>
      <c r="L4099" s="8">
        <v>2818983</v>
      </c>
      <c r="M4099" s="8" t="str">
        <f>"PEN"</f>
        <v>PEN</v>
      </c>
      <c r="N4099" s="13"/>
      <c r="O4099" s="13">
        <v>400</v>
      </c>
      <c r="P4099" s="3">
        <f>+IF(OR($F4099="SALDO",$F4099="INGRESO"),$O4099,0)</f>
        <v>400</v>
      </c>
      <c r="Q4099" s="3">
        <f>+IF($F4099="EGRESO",$O4099,0)</f>
        <v>0</v>
      </c>
      <c r="R4099" s="3">
        <f t="shared" si="358"/>
        <v>8072.5799999999672</v>
      </c>
      <c r="S4099" s="24"/>
      <c r="T4099" s="24"/>
      <c r="U4099" s="55"/>
      <c r="V4099" s="25">
        <f>IFERROR(VLOOKUP(BCP_Soles[[#This Row],[destinatario]],CHOOSE({1,2},Clientes_Proveedores[Razon Social],Clientes_Proveedores[Ruc / Dni]),2,0),"")</f>
        <v>20558226979</v>
      </c>
      <c r="W4099" s="25"/>
      <c r="X4099" s="25"/>
      <c r="Y4099" s="25"/>
      <c r="Z4099" s="77"/>
      <c r="AA4099" s="3" t="str">
        <f>IF(BCP_Soles[[#This Row],[fecha]]&gt;0,TEXT(BCP_Soles[[#This Row],[fecha]],"mmmm"),0)</f>
        <v>Octubre</v>
      </c>
    </row>
    <row r="4100" spans="1:27" ht="24" x14ac:dyDescent="0.3">
      <c r="A4100" s="2">
        <f>IF(BCP_Soles[[#This Row],[tipo_registro]]="R",COUNTIFS($C$1:$C4099,"R")+1,A4099)</f>
        <v>2721</v>
      </c>
      <c r="B4100" s="19" t="str">
        <f>"B-BCP - Soles"</f>
        <v>B-BCP - Soles</v>
      </c>
      <c r="C4100" s="3" t="s">
        <v>1330</v>
      </c>
      <c r="D4100" s="14">
        <v>45936</v>
      </c>
      <c r="E4100" s="5" t="s">
        <v>3293</v>
      </c>
      <c r="F4100" s="5" t="s">
        <v>1303</v>
      </c>
      <c r="G4100" s="6" t="s">
        <v>425</v>
      </c>
      <c r="H4100" s="6" t="s">
        <v>119</v>
      </c>
      <c r="I4100" s="6">
        <v>1</v>
      </c>
      <c r="J4100" s="6">
        <v>4812</v>
      </c>
      <c r="K4100" s="7" t="s">
        <v>3608</v>
      </c>
      <c r="L4100" s="8">
        <v>4015494</v>
      </c>
      <c r="M4100" s="8" t="str">
        <f>"PEN"</f>
        <v>PEN</v>
      </c>
      <c r="N4100" s="13"/>
      <c r="O4100" s="13">
        <v>200</v>
      </c>
      <c r="P4100" s="3">
        <f>+IF(OR($F4100="SALDO",$F4100="INGRESO"),$O4100,0)</f>
        <v>200</v>
      </c>
      <c r="Q4100" s="3">
        <f>+IF($F4100="EGRESO",$O4100,0)</f>
        <v>0</v>
      </c>
      <c r="R4100" s="3">
        <f t="shared" si="358"/>
        <v>8272.5799999999672</v>
      </c>
      <c r="S4100" s="24" t="s">
        <v>1334</v>
      </c>
      <c r="T4100" s="24" t="s">
        <v>1334</v>
      </c>
      <c r="U4100" s="55"/>
      <c r="V4100" s="25">
        <f>IFERROR(VLOOKUP(BCP_Soles[[#This Row],[destinatario]],CHOOSE({1,2},Clientes_Proveedores[Razon Social],Clientes_Proveedores[Ruc / Dni]),2,0),"")</f>
        <v>20558226979</v>
      </c>
      <c r="W4100" s="25"/>
      <c r="X4100" s="25"/>
      <c r="Y4100" s="25"/>
      <c r="Z4100" s="77"/>
      <c r="AA4100" s="3" t="str">
        <f>IF(BCP_Soles[[#This Row],[fecha]]&gt;0,TEXT(BCP_Soles[[#This Row],[fecha]],"mmmm"),0)</f>
        <v>Octubre</v>
      </c>
    </row>
    <row r="4101" spans="1:27" ht="24" x14ac:dyDescent="0.3">
      <c r="A4101" s="2">
        <f>IF(BCP_Soles[[#This Row],[tipo_registro]]="R",COUNTIFS($C$1:$C4100,"R")+1,A4100)</f>
        <v>2722</v>
      </c>
      <c r="B4101" s="19" t="str">
        <f>"B-BCP - Soles"</f>
        <v>B-BCP - Soles</v>
      </c>
      <c r="C4101" s="3" t="s">
        <v>1330</v>
      </c>
      <c r="D4101" s="14">
        <v>45936</v>
      </c>
      <c r="E4101" s="5" t="s">
        <v>4670</v>
      </c>
      <c r="F4101" s="5" t="s">
        <v>1303</v>
      </c>
      <c r="G4101" s="6" t="s">
        <v>425</v>
      </c>
      <c r="H4101" s="6" t="s">
        <v>119</v>
      </c>
      <c r="I4101" s="6">
        <v>1</v>
      </c>
      <c r="J4101" s="6">
        <v>4813</v>
      </c>
      <c r="K4101" s="7" t="s">
        <v>3608</v>
      </c>
      <c r="L4101" s="8">
        <v>3382276</v>
      </c>
      <c r="M4101" s="8" t="str">
        <f>"PEN"</f>
        <v>PEN</v>
      </c>
      <c r="N4101" s="13"/>
      <c r="O4101" s="13">
        <v>40.6</v>
      </c>
      <c r="P4101" s="3">
        <f>+IF(OR($F4101="SALDO",$F4101="INGRESO"),$O4101,0)</f>
        <v>40.6</v>
      </c>
      <c r="Q4101" s="3">
        <f>+IF($F4101="EGRESO",$O4101,0)</f>
        <v>0</v>
      </c>
      <c r="R4101" s="3">
        <f t="shared" si="358"/>
        <v>8313.1799999999675</v>
      </c>
      <c r="S4101" s="24" t="s">
        <v>1334</v>
      </c>
      <c r="T4101" s="24" t="s">
        <v>1334</v>
      </c>
      <c r="U4101" s="55"/>
      <c r="V4101" s="25">
        <f>IFERROR(VLOOKUP(BCP_Soles[[#This Row],[destinatario]],CHOOSE({1,2},Clientes_Proveedores[Razon Social],Clientes_Proveedores[Ruc / Dni]),2,0),"")</f>
        <v>20558226979</v>
      </c>
      <c r="W4101" s="25"/>
      <c r="X4101" s="25"/>
      <c r="Y4101" s="25"/>
      <c r="Z4101" s="77"/>
      <c r="AA4101" s="3" t="str">
        <f>IF(BCP_Soles[[#This Row],[fecha]]&gt;0,TEXT(BCP_Soles[[#This Row],[fecha]],"mmmm"),0)</f>
        <v>Octubre</v>
      </c>
    </row>
    <row r="4102" spans="1:27" x14ac:dyDescent="0.3">
      <c r="A4102" s="16">
        <f>IF(BCP_Soles[[#This Row],[tipo_registro]]="R",COUNTIFS($C$1:$C4101,"R")+1,A4101)</f>
        <v>2723</v>
      </c>
      <c r="B4102" s="18" t="str">
        <f>"B-BCP - Soles"</f>
        <v>B-BCP - Soles</v>
      </c>
      <c r="C4102" s="13" t="s">
        <v>1330</v>
      </c>
      <c r="D4102" s="14">
        <v>45936</v>
      </c>
      <c r="E4102" s="5" t="s">
        <v>1338</v>
      </c>
      <c r="F4102" s="5" t="s">
        <v>1336</v>
      </c>
      <c r="G4102" s="6" t="s">
        <v>737</v>
      </c>
      <c r="H4102" s="6" t="s">
        <v>68</v>
      </c>
      <c r="I4102" s="6" t="s">
        <v>2331</v>
      </c>
      <c r="J4102" s="6">
        <v>3222</v>
      </c>
      <c r="K4102" s="7" t="s">
        <v>4671</v>
      </c>
      <c r="L4102" s="8">
        <v>1107514</v>
      </c>
      <c r="M4102" s="8" t="str">
        <f>"PEN"</f>
        <v>PEN</v>
      </c>
      <c r="N4102" s="13"/>
      <c r="O4102" s="13">
        <v>166.5</v>
      </c>
      <c r="P4102" s="13">
        <f>+IF(OR($F4102="SALDO",$F4102="INGRESO"),$O4102,0)</f>
        <v>0</v>
      </c>
      <c r="Q4102" s="13">
        <f>+IF($F4102="EGRESO",$O4102,0)</f>
        <v>166.5</v>
      </c>
      <c r="R4102" s="13">
        <f t="shared" si="358"/>
        <v>8146.6799999999675</v>
      </c>
      <c r="S4102" s="28" t="s">
        <v>1334</v>
      </c>
      <c r="T4102" s="28" t="s">
        <v>1334</v>
      </c>
      <c r="U4102" s="188" t="s">
        <v>4672</v>
      </c>
      <c r="V4102" s="103">
        <f>IFERROR(VLOOKUP(BCP_Soles[[#This Row],[destinatario]],CHOOSE({1,2},Clientes_Proveedores[Razon Social],Clientes_Proveedores[Ruc / Dni]),2,0),"")</f>
        <v>20559169774</v>
      </c>
      <c r="W4102" s="103"/>
      <c r="X4102" s="103"/>
      <c r="Y4102" s="103"/>
      <c r="Z4102" s="184"/>
      <c r="AA4102" s="13" t="str">
        <f>IF(BCP_Soles[[#This Row],[fecha]]&gt;0,TEXT(BCP_Soles[[#This Row],[fecha]],"mmmm"),0)</f>
        <v>Octubre</v>
      </c>
    </row>
    <row r="4103" spans="1:27" ht="24" x14ac:dyDescent="0.3">
      <c r="A4103" s="2">
        <f>IF(BCP_Soles[[#This Row],[tipo_registro]]="R",COUNTIFS($C$1:$C4102,"R")+1,A4102)</f>
        <v>2724</v>
      </c>
      <c r="B4103" s="19" t="str">
        <f t="shared" si="363"/>
        <v>B-BCP - Soles</v>
      </c>
      <c r="C4103" s="3" t="s">
        <v>1330</v>
      </c>
      <c r="D4103" s="14">
        <v>45936</v>
      </c>
      <c r="E4103" s="5" t="s">
        <v>1338</v>
      </c>
      <c r="F4103" s="5" t="s">
        <v>1336</v>
      </c>
      <c r="G4103" s="6" t="s">
        <v>866</v>
      </c>
      <c r="H4103" s="6" t="s">
        <v>143</v>
      </c>
      <c r="I4103" s="6">
        <v>1</v>
      </c>
      <c r="J4103" s="6">
        <v>812025</v>
      </c>
      <c r="K4103" s="7" t="s">
        <v>4673</v>
      </c>
      <c r="L4103" s="8">
        <v>1106029</v>
      </c>
      <c r="M4103" s="8" t="str">
        <f t="shared" si="364"/>
        <v>PEN</v>
      </c>
      <c r="N4103" s="13"/>
      <c r="O4103" s="13">
        <v>442</v>
      </c>
      <c r="P4103" s="3">
        <f t="shared" si="365"/>
        <v>0</v>
      </c>
      <c r="Q4103" s="3">
        <f t="shared" si="366"/>
        <v>442</v>
      </c>
      <c r="R4103" s="3">
        <f t="shared" si="358"/>
        <v>7704.6799999999675</v>
      </c>
      <c r="S4103" s="24"/>
      <c r="T4103" s="24"/>
      <c r="U4103" s="55"/>
      <c r="V4103" s="25">
        <f>IFERROR(VLOOKUP(BCP_Soles[[#This Row],[destinatario]],CHOOSE({1,2},Clientes_Proveedores[Razon Social],Clientes_Proveedores[Ruc / Dni]),2,0),"")</f>
        <v>45921913</v>
      </c>
      <c r="W4103" s="25"/>
      <c r="X4103" s="25"/>
      <c r="Y4103" s="25"/>
      <c r="Z4103" s="77"/>
      <c r="AA4103" s="3" t="str">
        <f>IF(BCP_Soles[[#This Row],[fecha]]&gt;0,TEXT(BCP_Soles[[#This Row],[fecha]],"mmmm"),0)</f>
        <v>Octubre</v>
      </c>
    </row>
    <row r="4104" spans="1:27" ht="24" x14ac:dyDescent="0.3">
      <c r="A4104" s="2">
        <f>IF(BCP_Soles[[#This Row],[tipo_registro]]="R",COUNTIFS($C$1:$C4103,"R")+1,A4103)</f>
        <v>2725</v>
      </c>
      <c r="B4104" s="19" t="str">
        <f t="shared" si="363"/>
        <v>B-BCP - Soles</v>
      </c>
      <c r="C4104" s="3" t="s">
        <v>1330</v>
      </c>
      <c r="D4104" s="14">
        <v>45936</v>
      </c>
      <c r="E4104" s="5" t="s">
        <v>1338</v>
      </c>
      <c r="F4104" s="5" t="s">
        <v>1336</v>
      </c>
      <c r="G4104" s="6" t="s">
        <v>984</v>
      </c>
      <c r="H4104" s="6"/>
      <c r="I4104" s="6"/>
      <c r="J4104" s="6"/>
      <c r="K4104" s="7" t="s">
        <v>4674</v>
      </c>
      <c r="L4104" s="8">
        <v>1107515</v>
      </c>
      <c r="M4104" s="8" t="str">
        <f t="shared" si="364"/>
        <v>PEN</v>
      </c>
      <c r="N4104" s="13"/>
      <c r="O4104" s="13">
        <v>1100.94</v>
      </c>
      <c r="P4104" s="3">
        <f t="shared" si="365"/>
        <v>0</v>
      </c>
      <c r="Q4104" s="3">
        <f t="shared" si="366"/>
        <v>1100.94</v>
      </c>
      <c r="R4104" s="3">
        <f t="shared" si="358"/>
        <v>6603.739999999967</v>
      </c>
      <c r="S4104" s="24"/>
      <c r="T4104" s="24"/>
      <c r="U4104" s="56" t="s">
        <v>4675</v>
      </c>
      <c r="V4104" s="25">
        <f>IFERROR(VLOOKUP(BCP_Soles[[#This Row],[destinatario]],CHOOSE({1,2},Clientes_Proveedores[Razon Social],Clientes_Proveedores[Ruc / Dni]),2,0),"")</f>
        <v>20455823880</v>
      </c>
      <c r="W4104" s="25"/>
      <c r="X4104" s="25"/>
      <c r="Y4104" s="25"/>
      <c r="Z4104" s="77"/>
      <c r="AA4104" s="3" t="str">
        <f>IF(BCP_Soles[[#This Row],[fecha]]&gt;0,TEXT(BCP_Soles[[#This Row],[fecha]],"mmmm"),0)</f>
        <v>Octubre</v>
      </c>
    </row>
    <row r="4105" spans="1:27" ht="36" x14ac:dyDescent="0.3">
      <c r="A4105" s="2">
        <f>IF(BCP_Soles[[#This Row],[tipo_registro]]="R",COUNTIFS($C$1:$C4104,"R")+1,A4104)</f>
        <v>2726</v>
      </c>
      <c r="B4105" s="19" t="str">
        <f t="shared" si="363"/>
        <v>B-BCP - Soles</v>
      </c>
      <c r="C4105" s="3" t="s">
        <v>1330</v>
      </c>
      <c r="D4105" s="14">
        <v>45936</v>
      </c>
      <c r="E4105" s="5" t="s">
        <v>1338</v>
      </c>
      <c r="F4105" s="5" t="s">
        <v>1336</v>
      </c>
      <c r="G4105" s="6" t="s">
        <v>1076</v>
      </c>
      <c r="H4105" s="6"/>
      <c r="I4105" s="6"/>
      <c r="J4105" s="6"/>
      <c r="K4105" s="7" t="s">
        <v>4676</v>
      </c>
      <c r="L4105" s="8">
        <v>1105076</v>
      </c>
      <c r="M4105" s="8" t="str">
        <f t="shared" si="364"/>
        <v>PEN</v>
      </c>
      <c r="N4105" s="13"/>
      <c r="O4105" s="13">
        <v>1240.22</v>
      </c>
      <c r="P4105" s="3">
        <f t="shared" si="365"/>
        <v>0</v>
      </c>
      <c r="Q4105" s="3">
        <f t="shared" si="366"/>
        <v>1240.22</v>
      </c>
      <c r="R4105" s="3">
        <f t="shared" si="358"/>
        <v>5363.5199999999668</v>
      </c>
      <c r="S4105" s="24"/>
      <c r="T4105" s="24" t="s">
        <v>1334</v>
      </c>
      <c r="U4105" s="55"/>
      <c r="V4105" s="25">
        <f>IFERROR(VLOOKUP(BCP_Soles[[#This Row],[destinatario]],CHOOSE({1,2},Clientes_Proveedores[Razon Social],Clientes_Proveedores[Ruc / Dni]),2,0),"")</f>
        <v>77175568</v>
      </c>
      <c r="W4105" s="25"/>
      <c r="X4105" s="25"/>
      <c r="Y4105" s="25"/>
      <c r="Z4105" s="77"/>
      <c r="AA4105" s="3" t="str">
        <f>IF(BCP_Soles[[#This Row],[fecha]]&gt;0,TEXT(BCP_Soles[[#This Row],[fecha]],"mmmm"),0)</f>
        <v>Octubre</v>
      </c>
    </row>
    <row r="4106" spans="1:27" x14ac:dyDescent="0.3">
      <c r="A4106" s="2">
        <f>IF(BCP_Soles[[#This Row],[tipo_registro]]="R",COUNTIFS($C$1:$C4105,"R")+1,A4105)</f>
        <v>2727</v>
      </c>
      <c r="B4106" s="19" t="str">
        <f t="shared" si="363"/>
        <v>B-BCP - Soles</v>
      </c>
      <c r="C4106" s="3" t="s">
        <v>1330</v>
      </c>
      <c r="D4106" s="14">
        <v>45936</v>
      </c>
      <c r="E4106" s="5" t="s">
        <v>1338</v>
      </c>
      <c r="F4106" s="5" t="s">
        <v>1336</v>
      </c>
      <c r="G4106" s="6" t="s">
        <v>695</v>
      </c>
      <c r="H4106" s="6"/>
      <c r="I4106" s="6"/>
      <c r="J4106" s="6"/>
      <c r="K4106" s="7" t="s">
        <v>3552</v>
      </c>
      <c r="L4106" s="8">
        <v>107014</v>
      </c>
      <c r="M4106" s="8" t="str">
        <f t="shared" si="364"/>
        <v>PEN</v>
      </c>
      <c r="N4106" s="13"/>
      <c r="O4106" s="13">
        <v>2818.04</v>
      </c>
      <c r="P4106" s="3">
        <f t="shared" si="365"/>
        <v>0</v>
      </c>
      <c r="Q4106" s="3">
        <f t="shared" si="366"/>
        <v>2818.04</v>
      </c>
      <c r="R4106" s="3">
        <f t="shared" si="358"/>
        <v>2545.4799999999668</v>
      </c>
      <c r="S4106" s="24" t="s">
        <v>1334</v>
      </c>
      <c r="T4106" s="24" t="s">
        <v>1334</v>
      </c>
      <c r="U4106" s="56" t="s">
        <v>4677</v>
      </c>
      <c r="V4106" s="25">
        <f>IFERROR(VLOOKUP(BCP_Soles[[#This Row],[destinatario]],CHOOSE({1,2},Clientes_Proveedores[Razon Social],Clientes_Proveedores[Ruc / Dni]),2,0),"")</f>
        <v>20127765279</v>
      </c>
      <c r="W4106" s="25"/>
      <c r="X4106" s="25"/>
      <c r="Y4106" s="25"/>
      <c r="Z4106" s="77"/>
      <c r="AA4106" s="3" t="str">
        <f>IF(BCP_Soles[[#This Row],[fecha]]&gt;0,TEXT(BCP_Soles[[#This Row],[fecha]],"mmmm"),0)</f>
        <v>Octubre</v>
      </c>
    </row>
    <row r="4107" spans="1:27" x14ac:dyDescent="0.3">
      <c r="A4107" s="2">
        <f>IF(BCP_Soles[[#This Row],[tipo_registro]]="R",COUNTIFS($C$1:$C4106,"R")+1,A4106)</f>
        <v>2727</v>
      </c>
      <c r="B4107" s="19" t="str">
        <f>"B-BCP - Soles"</f>
        <v>B-BCP - Soles</v>
      </c>
      <c r="C4107" s="3" t="s">
        <v>1352</v>
      </c>
      <c r="D4107" s="14">
        <v>45936</v>
      </c>
      <c r="E4107" s="5" t="s">
        <v>1338</v>
      </c>
      <c r="F4107" s="5" t="s">
        <v>1336</v>
      </c>
      <c r="G4107" s="6" t="s">
        <v>695</v>
      </c>
      <c r="H4107" s="6" t="s">
        <v>68</v>
      </c>
      <c r="I4107" s="6" t="s">
        <v>1513</v>
      </c>
      <c r="J4107" s="6">
        <v>185927</v>
      </c>
      <c r="K4107" s="7" t="s">
        <v>3552</v>
      </c>
      <c r="L4107" s="8">
        <v>107014</v>
      </c>
      <c r="M4107" s="8" t="str">
        <f>"PEN"</f>
        <v>PEN</v>
      </c>
      <c r="N4107" s="13">
        <v>1740.02</v>
      </c>
      <c r="O4107" s="13"/>
      <c r="P4107" s="3">
        <f>+IF(OR($F4107="SALDO",$F4107="INGRESO"),$O4107,0)</f>
        <v>0</v>
      </c>
      <c r="Q4107" s="3">
        <f>+IF($F4107="EGRESO",$O4107,0)</f>
        <v>0</v>
      </c>
      <c r="R4107" s="3">
        <f t="shared" si="358"/>
        <v>2545.4799999999668</v>
      </c>
      <c r="S4107" s="24" t="s">
        <v>1334</v>
      </c>
      <c r="T4107" s="24" t="s">
        <v>1334</v>
      </c>
      <c r="U4107" s="56" t="s">
        <v>4677</v>
      </c>
      <c r="V4107" s="25">
        <f>IFERROR(VLOOKUP(BCP_Soles[[#This Row],[destinatario]],CHOOSE({1,2},Clientes_Proveedores[Razon Social],Clientes_Proveedores[Ruc / Dni]),2,0),"")</f>
        <v>20127765279</v>
      </c>
      <c r="W4107" s="25"/>
      <c r="X4107" s="25"/>
      <c r="Y4107" s="25"/>
      <c r="Z4107" s="77"/>
      <c r="AA4107" s="3" t="str">
        <f>IF(BCP_Soles[[#This Row],[fecha]]&gt;0,TEXT(BCP_Soles[[#This Row],[fecha]],"mmmm"),0)</f>
        <v>Octubre</v>
      </c>
    </row>
    <row r="4108" spans="1:27" x14ac:dyDescent="0.3">
      <c r="A4108" s="2">
        <f>IF(BCP_Soles[[#This Row],[tipo_registro]]="R",COUNTIFS($C$1:$C4107,"R")+1,A4107)</f>
        <v>2727</v>
      </c>
      <c r="B4108" s="19" t="str">
        <f>"B-BCP - Soles"</f>
        <v>B-BCP - Soles</v>
      </c>
      <c r="C4108" s="3" t="s">
        <v>1352</v>
      </c>
      <c r="D4108" s="14">
        <v>45936</v>
      </c>
      <c r="E4108" s="5" t="s">
        <v>1338</v>
      </c>
      <c r="F4108" s="5" t="s">
        <v>1336</v>
      </c>
      <c r="G4108" s="6" t="s">
        <v>695</v>
      </c>
      <c r="H4108" s="6" t="s">
        <v>68</v>
      </c>
      <c r="I4108" s="6" t="s">
        <v>1377</v>
      </c>
      <c r="J4108" s="6">
        <v>185651</v>
      </c>
      <c r="K4108" s="7" t="s">
        <v>3552</v>
      </c>
      <c r="L4108" s="8">
        <v>107014</v>
      </c>
      <c r="M4108" s="8" t="str">
        <f>"PEN"</f>
        <v>PEN</v>
      </c>
      <c r="N4108" s="13">
        <v>1078.02</v>
      </c>
      <c r="O4108" s="13"/>
      <c r="P4108" s="3">
        <f>+IF(OR($F4108="SALDO",$F4108="INGRESO"),$O4108,0)</f>
        <v>0</v>
      </c>
      <c r="Q4108" s="3">
        <f>+IF($F4108="EGRESO",$O4108,0)</f>
        <v>0</v>
      </c>
      <c r="R4108" s="3">
        <f t="shared" ref="R4108:R4139" si="367">IFERROR(IF(F4108="SALDO",P4108,R4107+P4108-Q4108),0)</f>
        <v>2545.4799999999668</v>
      </c>
      <c r="S4108" s="24" t="s">
        <v>1334</v>
      </c>
      <c r="T4108" s="24" t="s">
        <v>1334</v>
      </c>
      <c r="U4108" s="56" t="s">
        <v>4677</v>
      </c>
      <c r="V4108" s="25">
        <f>IFERROR(VLOOKUP(BCP_Soles[[#This Row],[destinatario]],CHOOSE({1,2},Clientes_Proveedores[Razon Social],Clientes_Proveedores[Ruc / Dni]),2,0),"")</f>
        <v>20127765279</v>
      </c>
      <c r="W4108" s="25"/>
      <c r="X4108" s="25"/>
      <c r="Y4108" s="25"/>
      <c r="Z4108" s="77"/>
      <c r="AA4108" s="3" t="str">
        <f>IF(BCP_Soles[[#This Row],[fecha]]&gt;0,TEXT(BCP_Soles[[#This Row],[fecha]],"mmmm"),0)</f>
        <v>Octubre</v>
      </c>
    </row>
    <row r="4109" spans="1:27" ht="24" x14ac:dyDescent="0.3">
      <c r="A4109" s="2">
        <f>IF(BCP_Soles[[#This Row],[tipo_registro]]="R",COUNTIFS($C$1:$C4108,"R")+1,A4108)</f>
        <v>2728</v>
      </c>
      <c r="B4109" s="19" t="str">
        <f t="shared" si="363"/>
        <v>B-BCP - Soles</v>
      </c>
      <c r="C4109" s="3" t="s">
        <v>1330</v>
      </c>
      <c r="D4109" s="14">
        <v>45936</v>
      </c>
      <c r="E4109" s="5" t="s">
        <v>1338</v>
      </c>
      <c r="F4109" s="5" t="s">
        <v>1336</v>
      </c>
      <c r="G4109" s="6" t="s">
        <v>708</v>
      </c>
      <c r="H4109" s="6"/>
      <c r="I4109" s="6"/>
      <c r="J4109" s="6"/>
      <c r="K4109" s="7" t="s">
        <v>4678</v>
      </c>
      <c r="L4109" s="8">
        <v>104593</v>
      </c>
      <c r="M4109" s="8" t="str">
        <f t="shared" si="364"/>
        <v>PEN</v>
      </c>
      <c r="N4109" s="13"/>
      <c r="O4109" s="13">
        <v>6.24</v>
      </c>
      <c r="P4109" s="3">
        <f t="shared" si="365"/>
        <v>0</v>
      </c>
      <c r="Q4109" s="3">
        <f t="shared" si="366"/>
        <v>6.24</v>
      </c>
      <c r="R4109" s="3">
        <f t="shared" si="367"/>
        <v>2539.239999999967</v>
      </c>
      <c r="S4109" s="24"/>
      <c r="T4109" s="24"/>
      <c r="U4109" s="56" t="s">
        <v>4679</v>
      </c>
      <c r="V4109" s="25">
        <f>IFERROR(VLOOKUP(BCP_Soles[[#This Row],[destinatario]],CHOOSE({1,2},Clientes_Proveedores[Razon Social],Clientes_Proveedores[Ruc / Dni]),2,0),"")</f>
        <v>20467534026</v>
      </c>
      <c r="W4109" s="25"/>
      <c r="X4109" s="25"/>
      <c r="Y4109" s="25"/>
      <c r="Z4109" s="77"/>
      <c r="AA4109" s="3" t="str">
        <f>IF(BCP_Soles[[#This Row],[fecha]]&gt;0,TEXT(BCP_Soles[[#This Row],[fecha]],"mmmm"),0)</f>
        <v>Octubre</v>
      </c>
    </row>
    <row r="4110" spans="1:27" ht="24" x14ac:dyDescent="0.3">
      <c r="A4110" s="2">
        <f>IF(BCP_Soles[[#This Row],[tipo_registro]]="R",COUNTIFS($C$1:$C4109,"R")+1,A4109)</f>
        <v>2729</v>
      </c>
      <c r="B4110" s="19" t="str">
        <f t="shared" si="363"/>
        <v>B-BCP - Soles</v>
      </c>
      <c r="C4110" s="3" t="s">
        <v>1330</v>
      </c>
      <c r="D4110" s="14">
        <v>45936</v>
      </c>
      <c r="E4110" s="5" t="s">
        <v>1338</v>
      </c>
      <c r="F4110" s="5" t="s">
        <v>1336</v>
      </c>
      <c r="G4110" s="6" t="s">
        <v>708</v>
      </c>
      <c r="H4110" s="6"/>
      <c r="I4110" s="6"/>
      <c r="J4110" s="6"/>
      <c r="K4110" s="7" t="s">
        <v>4680</v>
      </c>
      <c r="L4110" s="8">
        <v>218924</v>
      </c>
      <c r="M4110" s="8" t="str">
        <f t="shared" si="364"/>
        <v>PEN</v>
      </c>
      <c r="N4110" s="13"/>
      <c r="O4110" s="13">
        <v>32.700000000000003</v>
      </c>
      <c r="P4110" s="3">
        <f t="shared" si="365"/>
        <v>0</v>
      </c>
      <c r="Q4110" s="3">
        <f t="shared" si="366"/>
        <v>32.700000000000003</v>
      </c>
      <c r="R4110" s="3">
        <f t="shared" si="367"/>
        <v>2506.5399999999672</v>
      </c>
      <c r="S4110" s="24"/>
      <c r="T4110" s="24"/>
      <c r="U4110" s="56" t="s">
        <v>4681</v>
      </c>
      <c r="V4110" s="25">
        <f>IFERROR(VLOOKUP(BCP_Soles[[#This Row],[destinatario]],CHOOSE({1,2},Clientes_Proveedores[Razon Social],Clientes_Proveedores[Ruc / Dni]),2,0),"")</f>
        <v>20467534026</v>
      </c>
      <c r="W4110" s="25"/>
      <c r="X4110" s="25"/>
      <c r="Y4110" s="25"/>
      <c r="Z4110" s="77"/>
      <c r="AA4110" s="3" t="str">
        <f>IF(BCP_Soles[[#This Row],[fecha]]&gt;0,TEXT(BCP_Soles[[#This Row],[fecha]],"mmmm"),0)</f>
        <v>Octubre</v>
      </c>
    </row>
    <row r="4111" spans="1:27" x14ac:dyDescent="0.3">
      <c r="A4111" s="2">
        <f>IF(BCP_Soles[[#This Row],[tipo_registro]]="R",COUNTIFS($C$1:$C4110,"R")+1,A4110)</f>
        <v>2730</v>
      </c>
      <c r="B4111" s="19" t="str">
        <f t="shared" si="363"/>
        <v>B-BCP - Soles</v>
      </c>
      <c r="C4111" s="3" t="s">
        <v>1330</v>
      </c>
      <c r="D4111" s="14">
        <v>45936</v>
      </c>
      <c r="E4111" s="5" t="s">
        <v>1338</v>
      </c>
      <c r="F4111" s="5" t="s">
        <v>1336</v>
      </c>
      <c r="G4111" s="6" t="s">
        <v>724</v>
      </c>
      <c r="H4111" s="6" t="s">
        <v>68</v>
      </c>
      <c r="I4111" s="6" t="s">
        <v>1376</v>
      </c>
      <c r="J4111" s="6">
        <v>4630</v>
      </c>
      <c r="K4111" s="7" t="s">
        <v>4682</v>
      </c>
      <c r="L4111" s="8">
        <v>1131859</v>
      </c>
      <c r="M4111" s="8" t="str">
        <f t="shared" si="364"/>
        <v>PEN</v>
      </c>
      <c r="N4111" s="13"/>
      <c r="O4111" s="13">
        <v>2076</v>
      </c>
      <c r="P4111" s="3">
        <f t="shared" si="365"/>
        <v>0</v>
      </c>
      <c r="Q4111" s="3">
        <f t="shared" si="366"/>
        <v>2076</v>
      </c>
      <c r="R4111" s="3">
        <f t="shared" si="367"/>
        <v>430.53999999996722</v>
      </c>
      <c r="S4111" s="24" t="s">
        <v>1334</v>
      </c>
      <c r="T4111" s="24" t="s">
        <v>1334</v>
      </c>
      <c r="U4111" s="56" t="s">
        <v>4683</v>
      </c>
      <c r="V4111" s="25">
        <f>IFERROR(VLOOKUP(BCP_Soles[[#This Row],[destinatario]],CHOOSE({1,2},Clientes_Proveedores[Razon Social],Clientes_Proveedores[Ruc / Dni]),2,0),"")</f>
        <v>20558275082</v>
      </c>
      <c r="W4111" s="25"/>
      <c r="X4111" s="25"/>
      <c r="Y4111" s="25"/>
      <c r="Z4111" s="77"/>
      <c r="AA4111" s="3" t="str">
        <f>IF(BCP_Soles[[#This Row],[fecha]]&gt;0,TEXT(BCP_Soles[[#This Row],[fecha]],"mmmm"),0)</f>
        <v>Octubre</v>
      </c>
    </row>
    <row r="4112" spans="1:27" x14ac:dyDescent="0.3">
      <c r="A4112" s="2">
        <f>IF(BCP_Soles[[#This Row],[tipo_registro]]="R",COUNTIFS($C$1:$C4111,"R")+1,A4111)</f>
        <v>2731</v>
      </c>
      <c r="B4112" s="19" t="str">
        <f t="shared" ref="B4112:B4130" si="368">"B-BCP - Soles"</f>
        <v>B-BCP - Soles</v>
      </c>
      <c r="C4112" s="3" t="s">
        <v>1330</v>
      </c>
      <c r="D4112" s="14">
        <v>45936</v>
      </c>
      <c r="E4112" s="5" t="s">
        <v>1335</v>
      </c>
      <c r="F4112" s="5" t="s">
        <v>1336</v>
      </c>
      <c r="G4112" s="6" t="s">
        <v>1009</v>
      </c>
      <c r="H4112" s="6" t="s">
        <v>64</v>
      </c>
      <c r="I4112" s="6"/>
      <c r="J4112" s="6"/>
      <c r="K4112" s="7" t="s">
        <v>3160</v>
      </c>
      <c r="L4112" s="8"/>
      <c r="M4112" s="8" t="str">
        <f t="shared" ref="M4112:M4130" si="369">"PEN"</f>
        <v>PEN</v>
      </c>
      <c r="N4112" s="13"/>
      <c r="O4112" s="13">
        <v>0.3</v>
      </c>
      <c r="P4112" s="3">
        <f t="shared" ref="P4112:P4130" si="370">+IF(OR($F4112="SALDO",$F4112="INGRESO"),$O4112,0)</f>
        <v>0</v>
      </c>
      <c r="Q4112" s="3">
        <f t="shared" ref="Q4112:Q4130" si="371">+IF($F4112="EGRESO",$O4112,0)</f>
        <v>0.3</v>
      </c>
      <c r="R4112" s="3">
        <f t="shared" si="367"/>
        <v>430.23999999996721</v>
      </c>
      <c r="S4112" s="24"/>
      <c r="T4112" s="24"/>
      <c r="U4112" s="55"/>
      <c r="V4112" s="25">
        <f>IFERROR(VLOOKUP(BCP_Soles[[#This Row],[destinatario]],CHOOSE({1,2},Clientes_Proveedores[Razon Social],Clientes_Proveedores[Ruc / Dni]),2,0),"")</f>
        <v>11111111</v>
      </c>
      <c r="W4112" s="25"/>
      <c r="X4112" s="25"/>
      <c r="Y4112" s="25"/>
      <c r="Z4112" s="77"/>
      <c r="AA4112" s="3" t="str">
        <f>IF(BCP_Soles[[#This Row],[fecha]]&gt;0,TEXT(BCP_Soles[[#This Row],[fecha]],"mmmm"),0)</f>
        <v>Octubre</v>
      </c>
    </row>
    <row r="4113" spans="1:27" x14ac:dyDescent="0.3">
      <c r="A4113" s="2">
        <f>IF(BCP_Soles[[#This Row],[tipo_registro]]="R",COUNTIFS($C$1:$C4112,"R")+1,A4112)</f>
        <v>2732</v>
      </c>
      <c r="B4113" s="19" t="str">
        <f t="shared" si="368"/>
        <v>B-BCP - Soles</v>
      </c>
      <c r="C4113" s="187" t="s">
        <v>1330</v>
      </c>
      <c r="D4113" s="185">
        <v>45937</v>
      </c>
      <c r="E4113" s="158" t="s">
        <v>2269</v>
      </c>
      <c r="F4113" s="5" t="s">
        <v>1303</v>
      </c>
      <c r="G4113" s="6" t="s">
        <v>425</v>
      </c>
      <c r="H4113" s="6"/>
      <c r="I4113" s="6"/>
      <c r="J4113" s="6"/>
      <c r="K4113" s="7" t="s">
        <v>4684</v>
      </c>
      <c r="L4113" s="8">
        <v>2115626</v>
      </c>
      <c r="M4113" s="8" t="str">
        <f t="shared" si="369"/>
        <v>PEN</v>
      </c>
      <c r="N4113" s="13"/>
      <c r="O4113" s="13">
        <v>17180</v>
      </c>
      <c r="P4113" s="3">
        <f t="shared" si="370"/>
        <v>17180</v>
      </c>
      <c r="Q4113" s="3">
        <f t="shared" si="371"/>
        <v>0</v>
      </c>
      <c r="R4113" s="3">
        <f t="shared" si="367"/>
        <v>17610.239999999969</v>
      </c>
      <c r="S4113" s="24" t="s">
        <v>1334</v>
      </c>
      <c r="T4113" s="24" t="s">
        <v>1334</v>
      </c>
      <c r="U4113" s="55"/>
      <c r="V4113" s="25">
        <f>IFERROR(VLOOKUP(BCP_Soles[[#This Row],[destinatario]],CHOOSE({1,2},Clientes_Proveedores[Razon Social],Clientes_Proveedores[Ruc / Dni]),2,0),"")</f>
        <v>20558226979</v>
      </c>
      <c r="W4113" s="25"/>
      <c r="X4113" s="25"/>
      <c r="Y4113" s="25"/>
      <c r="Z4113" s="77"/>
      <c r="AA4113" s="3" t="str">
        <f>IF(BCP_Soles[[#This Row],[fecha]]&gt;0,TEXT(BCP_Soles[[#This Row],[fecha]],"mmmm"),0)</f>
        <v>Octubre</v>
      </c>
    </row>
    <row r="4114" spans="1:27" ht="48" x14ac:dyDescent="0.3">
      <c r="A4114" s="2">
        <f>IF(BCP_Soles[[#This Row],[tipo_registro]]="R",COUNTIFS($C$1:$C4113,"R")+1,A4113)</f>
        <v>2733</v>
      </c>
      <c r="B4114" s="19" t="str">
        <f>"B-BCP - Soles"</f>
        <v>B-BCP - Soles</v>
      </c>
      <c r="C4114" s="187" t="s">
        <v>1330</v>
      </c>
      <c r="D4114" s="185">
        <v>45937</v>
      </c>
      <c r="E4114" s="158" t="s">
        <v>1222</v>
      </c>
      <c r="F4114" s="5" t="s">
        <v>1303</v>
      </c>
      <c r="G4114" s="6" t="s">
        <v>425</v>
      </c>
      <c r="H4114" s="6" t="s">
        <v>68</v>
      </c>
      <c r="I4114" s="6" t="s">
        <v>1784</v>
      </c>
      <c r="J4114" s="6">
        <v>265</v>
      </c>
      <c r="K4114" s="7" t="s">
        <v>4685</v>
      </c>
      <c r="L4114" s="8">
        <v>2244930</v>
      </c>
      <c r="M4114" s="8" t="str">
        <f>"PEN"</f>
        <v>PEN</v>
      </c>
      <c r="N4114" s="13"/>
      <c r="O4114" s="13">
        <v>3536.81</v>
      </c>
      <c r="P4114" s="3">
        <f>+IF(OR($F4114="SALDO",$F4114="INGRESO"),$O4114,0)</f>
        <v>3536.81</v>
      </c>
      <c r="Q4114" s="3">
        <f>+IF($F4114="EGRESO",$O4114,0)</f>
        <v>0</v>
      </c>
      <c r="R4114" s="3">
        <f t="shared" si="367"/>
        <v>21147.04999999997</v>
      </c>
      <c r="S4114" s="24" t="s">
        <v>1334</v>
      </c>
      <c r="T4114" s="24" t="s">
        <v>1334</v>
      </c>
      <c r="U4114" s="55"/>
      <c r="V4114" s="25">
        <f>IFERROR(VLOOKUP(BCP_Soles[[#This Row],[destinatario]],CHOOSE({1,2},Clientes_Proveedores[Razon Social],Clientes_Proveedores[Ruc / Dni]),2,0),"")</f>
        <v>20558226979</v>
      </c>
      <c r="W4114" s="25"/>
      <c r="X4114" s="25"/>
      <c r="Y4114" s="25"/>
      <c r="Z4114" s="77"/>
      <c r="AA4114" s="3" t="str">
        <f>IF(BCP_Soles[[#This Row],[fecha]]&gt;0,TEXT(BCP_Soles[[#This Row],[fecha]],"mmmm"),0)</f>
        <v>Octubre</v>
      </c>
    </row>
    <row r="4115" spans="1:27" ht="24" x14ac:dyDescent="0.3">
      <c r="A4115" s="2">
        <f>IF(BCP_Soles[[#This Row],[tipo_registro]]="R",COUNTIFS($C$1:$C4114,"R")+1,A4114)</f>
        <v>2734</v>
      </c>
      <c r="B4115" s="19" t="str">
        <f>"B-BCP - Soles"</f>
        <v>B-BCP - Soles</v>
      </c>
      <c r="C4115" s="187" t="s">
        <v>1330</v>
      </c>
      <c r="D4115" s="185">
        <v>45937</v>
      </c>
      <c r="E4115" s="158" t="s">
        <v>524</v>
      </c>
      <c r="F4115" s="5" t="s">
        <v>1303</v>
      </c>
      <c r="G4115" s="6" t="s">
        <v>425</v>
      </c>
      <c r="H4115" s="6" t="s">
        <v>68</v>
      </c>
      <c r="I4115" s="6" t="s">
        <v>1784</v>
      </c>
      <c r="J4115" s="6">
        <v>187</v>
      </c>
      <c r="K4115" s="7" t="s">
        <v>3608</v>
      </c>
      <c r="L4115" s="8">
        <v>3873978</v>
      </c>
      <c r="M4115" s="8" t="str">
        <f>"PEN"</f>
        <v>PEN</v>
      </c>
      <c r="N4115" s="13"/>
      <c r="O4115" s="13">
        <v>799.01</v>
      </c>
      <c r="P4115" s="3">
        <f>+IF(OR($F4115="SALDO",$F4115="INGRESO"),$O4115,0)</f>
        <v>799.01</v>
      </c>
      <c r="Q4115" s="3">
        <f>+IF($F4115="EGRESO",$O4115,0)</f>
        <v>0</v>
      </c>
      <c r="R4115" s="3">
        <f t="shared" si="367"/>
        <v>21946.059999999969</v>
      </c>
      <c r="S4115" s="24" t="s">
        <v>1334</v>
      </c>
      <c r="T4115" s="24" t="s">
        <v>1334</v>
      </c>
      <c r="U4115" s="55"/>
      <c r="V4115" s="25">
        <f>IFERROR(VLOOKUP(BCP_Soles[[#This Row],[destinatario]],CHOOSE({1,2},Clientes_Proveedores[Razon Social],Clientes_Proveedores[Ruc / Dni]),2,0),"")</f>
        <v>20558226979</v>
      </c>
      <c r="W4115" s="25"/>
      <c r="X4115" s="25"/>
      <c r="Y4115" s="25"/>
      <c r="Z4115" s="77"/>
      <c r="AA4115" s="3" t="str">
        <f>IF(BCP_Soles[[#This Row],[fecha]]&gt;0,TEXT(BCP_Soles[[#This Row],[fecha]],"mmmm"),0)</f>
        <v>Octubre</v>
      </c>
    </row>
    <row r="4116" spans="1:27" ht="36" x14ac:dyDescent="0.3">
      <c r="A4116" s="2">
        <f>IF(BCP_Soles[[#This Row],[tipo_registro]]="R",COUNTIFS($C$1:$C4115,"R")+1,A4115)</f>
        <v>2735</v>
      </c>
      <c r="B4116" s="19" t="str">
        <f t="shared" si="368"/>
        <v>B-BCP - Soles</v>
      </c>
      <c r="C4116" s="187" t="s">
        <v>1330</v>
      </c>
      <c r="D4116" s="185">
        <v>45937</v>
      </c>
      <c r="E4116" s="158" t="s">
        <v>1338</v>
      </c>
      <c r="F4116" s="158" t="s">
        <v>1336</v>
      </c>
      <c r="G4116" s="186" t="s">
        <v>499</v>
      </c>
      <c r="H4116" s="6"/>
      <c r="I4116" s="6"/>
      <c r="J4116" s="6"/>
      <c r="K4116" s="7" t="s">
        <v>4686</v>
      </c>
      <c r="L4116" s="8">
        <v>4011284</v>
      </c>
      <c r="M4116" s="8" t="str">
        <f t="shared" si="369"/>
        <v>PEN</v>
      </c>
      <c r="N4116" s="13"/>
      <c r="O4116" s="13">
        <v>1410.3</v>
      </c>
      <c r="P4116" s="3">
        <f t="shared" si="370"/>
        <v>0</v>
      </c>
      <c r="Q4116" s="3">
        <f t="shared" si="371"/>
        <v>1410.3</v>
      </c>
      <c r="R4116" s="3">
        <f t="shared" si="367"/>
        <v>20535.759999999969</v>
      </c>
      <c r="S4116" s="24" t="s">
        <v>1334</v>
      </c>
      <c r="T4116" s="24" t="s">
        <v>1334</v>
      </c>
      <c r="U4116" s="56" t="s">
        <v>4687</v>
      </c>
      <c r="V4116" s="25">
        <f>IFERROR(VLOOKUP(BCP_Soles[[#This Row],[destinatario]],CHOOSE({1,2},Clientes_Proveedores[Razon Social],Clientes_Proveedores[Ruc / Dni]),2,0),"")</f>
        <v>20602818161</v>
      </c>
      <c r="W4116" s="25"/>
      <c r="X4116" s="25"/>
      <c r="Y4116" s="25"/>
      <c r="Z4116" s="77"/>
      <c r="AA4116" s="3" t="str">
        <f>IF(BCP_Soles[[#This Row],[fecha]]&gt;0,TEXT(BCP_Soles[[#This Row],[fecha]],"mmmm"),0)</f>
        <v>Octubre</v>
      </c>
    </row>
    <row r="4117" spans="1:27" ht="36" x14ac:dyDescent="0.3">
      <c r="A4117" s="2">
        <f>IF(BCP_Soles[[#This Row],[tipo_registro]]="R",COUNTIFS($C$1:$C4116,"R")+1,A4116)</f>
        <v>2735</v>
      </c>
      <c r="B4117" s="19" t="str">
        <f>"B-BCP - Soles"</f>
        <v>B-BCP - Soles</v>
      </c>
      <c r="C4117" s="73" t="s">
        <v>1352</v>
      </c>
      <c r="D4117" s="185">
        <v>45937</v>
      </c>
      <c r="E4117" s="158" t="s">
        <v>1338</v>
      </c>
      <c r="F4117" s="158" t="s">
        <v>1336</v>
      </c>
      <c r="G4117" s="186" t="s">
        <v>499</v>
      </c>
      <c r="H4117" s="6" t="s">
        <v>68</v>
      </c>
      <c r="I4117" s="6" t="s">
        <v>1376</v>
      </c>
      <c r="J4117" s="6">
        <v>263</v>
      </c>
      <c r="K4117" s="7" t="s">
        <v>4686</v>
      </c>
      <c r="L4117" s="8">
        <v>4011284</v>
      </c>
      <c r="M4117" s="8" t="str">
        <f>"PEN"</f>
        <v>PEN</v>
      </c>
      <c r="N4117" s="13">
        <v>1406</v>
      </c>
      <c r="O4117" s="13"/>
      <c r="P4117" s="3">
        <f>+IF(OR($F4117="SALDO",$F4117="INGRESO"),$O4117,0)</f>
        <v>0</v>
      </c>
      <c r="Q4117" s="3">
        <f>+IF($F4117="EGRESO",$O4117,0)</f>
        <v>0</v>
      </c>
      <c r="R4117" s="3">
        <f t="shared" si="367"/>
        <v>20535.759999999969</v>
      </c>
      <c r="S4117" s="24" t="s">
        <v>1334</v>
      </c>
      <c r="T4117" s="24" t="s">
        <v>1334</v>
      </c>
      <c r="U4117" s="56" t="s">
        <v>4687</v>
      </c>
      <c r="V4117" s="25">
        <f>IFERROR(VLOOKUP(BCP_Soles[[#This Row],[destinatario]],CHOOSE({1,2},Clientes_Proveedores[Razon Social],Clientes_Proveedores[Ruc / Dni]),2,0),"")</f>
        <v>20602818161</v>
      </c>
      <c r="W4117" s="25"/>
      <c r="X4117" s="25"/>
      <c r="Y4117" s="25"/>
      <c r="Z4117" s="77"/>
      <c r="AA4117" s="3" t="str">
        <f>IF(BCP_Soles[[#This Row],[fecha]]&gt;0,TEXT(BCP_Soles[[#This Row],[fecha]],"mmmm"),0)</f>
        <v>Octubre</v>
      </c>
    </row>
    <row r="4118" spans="1:27" ht="24" x14ac:dyDescent="0.3">
      <c r="A4118" s="2">
        <f>IF(BCP_Soles[[#This Row],[tipo_registro]]="R",COUNTIFS($C$1:$C4117,"R")+1,A4117)</f>
        <v>2735</v>
      </c>
      <c r="B4118" s="19" t="str">
        <f>"B-BCP - Soles"</f>
        <v>B-BCP - Soles</v>
      </c>
      <c r="C4118" s="73" t="s">
        <v>1352</v>
      </c>
      <c r="D4118" s="185">
        <v>45937</v>
      </c>
      <c r="E4118" s="158" t="s">
        <v>1338</v>
      </c>
      <c r="F4118" s="158" t="s">
        <v>1336</v>
      </c>
      <c r="G4118" s="186" t="s">
        <v>1060</v>
      </c>
      <c r="H4118" s="6" t="s">
        <v>68</v>
      </c>
      <c r="I4118" s="6" t="s">
        <v>1397</v>
      </c>
      <c r="J4118" s="6">
        <v>37751076</v>
      </c>
      <c r="K4118" s="7" t="s">
        <v>4686</v>
      </c>
      <c r="L4118" s="8">
        <v>4011284</v>
      </c>
      <c r="M4118" s="8" t="str">
        <f>"PEN"</f>
        <v>PEN</v>
      </c>
      <c r="N4118" s="13">
        <v>4.3</v>
      </c>
      <c r="O4118" s="13"/>
      <c r="P4118" s="3">
        <f>+IF(OR($F4118="SALDO",$F4118="INGRESO"),$O4118,0)</f>
        <v>0</v>
      </c>
      <c r="Q4118" s="3">
        <f>+IF($F4118="EGRESO",$O4118,0)</f>
        <v>0</v>
      </c>
      <c r="R4118" s="3">
        <f t="shared" si="367"/>
        <v>20535.759999999969</v>
      </c>
      <c r="S4118" s="24" t="s">
        <v>1334</v>
      </c>
      <c r="T4118" s="24" t="s">
        <v>1334</v>
      </c>
      <c r="U4118" s="56" t="s">
        <v>4687</v>
      </c>
      <c r="V4118" s="25">
        <f>IFERROR(VLOOKUP(BCP_Soles[[#This Row],[destinatario]],CHOOSE({1,2},Clientes_Proveedores[Razon Social],Clientes_Proveedores[Ruc / Dni]),2,0),"")</f>
        <v>20100047218</v>
      </c>
      <c r="W4118" s="25"/>
      <c r="X4118" s="25"/>
      <c r="Y4118" s="25"/>
      <c r="Z4118" s="77"/>
      <c r="AA4118" s="3" t="str">
        <f>IF(BCP_Soles[[#This Row],[fecha]]&gt;0,TEXT(BCP_Soles[[#This Row],[fecha]],"mmmm"),0)</f>
        <v>Octubre</v>
      </c>
    </row>
    <row r="4119" spans="1:27" ht="36" x14ac:dyDescent="0.3">
      <c r="A4119" s="2">
        <f>IF(BCP_Soles[[#This Row],[tipo_registro]]="R",COUNTIFS($C$1:$C4118,"R")+1,A4118)</f>
        <v>2736</v>
      </c>
      <c r="B4119" s="19" t="str">
        <f t="shared" si="368"/>
        <v>B-BCP - Soles</v>
      </c>
      <c r="C4119" s="3" t="s">
        <v>1330</v>
      </c>
      <c r="D4119" s="185">
        <v>45937</v>
      </c>
      <c r="E4119" s="158" t="s">
        <v>1338</v>
      </c>
      <c r="F4119" s="158" t="s">
        <v>1336</v>
      </c>
      <c r="G4119" s="186" t="s">
        <v>527</v>
      </c>
      <c r="H4119" s="6"/>
      <c r="I4119" s="6"/>
      <c r="J4119" s="6"/>
      <c r="K4119" s="7" t="s">
        <v>4688</v>
      </c>
      <c r="L4119" s="8">
        <v>4010268</v>
      </c>
      <c r="M4119" s="8" t="str">
        <f t="shared" si="369"/>
        <v>PEN</v>
      </c>
      <c r="N4119" s="13"/>
      <c r="O4119" s="13">
        <v>2604.3000000000002</v>
      </c>
      <c r="P4119" s="3">
        <f t="shared" si="370"/>
        <v>0</v>
      </c>
      <c r="Q4119" s="3">
        <f t="shared" si="371"/>
        <v>2604.3000000000002</v>
      </c>
      <c r="R4119" s="3">
        <f t="shared" si="367"/>
        <v>17931.45999999997</v>
      </c>
      <c r="S4119" s="24" t="s">
        <v>1334</v>
      </c>
      <c r="T4119" s="24" t="s">
        <v>1334</v>
      </c>
      <c r="U4119" s="56" t="s">
        <v>4689</v>
      </c>
      <c r="V4119" s="25">
        <f>IFERROR(VLOOKUP(BCP_Soles[[#This Row],[destinatario]],CHOOSE({1,2},Clientes_Proveedores[Razon Social],Clientes_Proveedores[Ruc / Dni]),2,0),"")</f>
        <v>20604400865</v>
      </c>
      <c r="W4119" s="25"/>
      <c r="X4119" s="25"/>
      <c r="Y4119" s="25"/>
      <c r="Z4119" s="77"/>
      <c r="AA4119" s="3" t="str">
        <f>IF(BCP_Soles[[#This Row],[fecha]]&gt;0,TEXT(BCP_Soles[[#This Row],[fecha]],"mmmm"),0)</f>
        <v>Octubre</v>
      </c>
    </row>
    <row r="4120" spans="1:27" ht="36" x14ac:dyDescent="0.3">
      <c r="A4120" s="2">
        <f>IF(BCP_Soles[[#This Row],[tipo_registro]]="R",COUNTIFS($C$1:$C4119,"R")+1,A4119)</f>
        <v>2736</v>
      </c>
      <c r="B4120" s="19" t="str">
        <f>"B-BCP - Soles"</f>
        <v>B-BCP - Soles</v>
      </c>
      <c r="C4120" s="3" t="s">
        <v>1352</v>
      </c>
      <c r="D4120" s="185">
        <v>45937</v>
      </c>
      <c r="E4120" s="158" t="s">
        <v>1338</v>
      </c>
      <c r="F4120" s="158" t="s">
        <v>1336</v>
      </c>
      <c r="G4120" s="186" t="s">
        <v>527</v>
      </c>
      <c r="H4120" s="6" t="s">
        <v>68</v>
      </c>
      <c r="I4120" s="6" t="s">
        <v>1376</v>
      </c>
      <c r="J4120" s="6">
        <v>401</v>
      </c>
      <c r="K4120" s="7" t="s">
        <v>4688</v>
      </c>
      <c r="L4120" s="8">
        <v>4010268</v>
      </c>
      <c r="M4120" s="8" t="str">
        <f>"PEN"</f>
        <v>PEN</v>
      </c>
      <c r="N4120" s="13">
        <v>2600</v>
      </c>
      <c r="O4120" s="13"/>
      <c r="P4120" s="3">
        <f>+IF(OR($F4120="SALDO",$F4120="INGRESO"),$O4120,0)</f>
        <v>0</v>
      </c>
      <c r="Q4120" s="3">
        <f>+IF($F4120="EGRESO",$O4120,0)</f>
        <v>0</v>
      </c>
      <c r="R4120" s="3">
        <f t="shared" si="367"/>
        <v>17931.45999999997</v>
      </c>
      <c r="S4120" s="24" t="s">
        <v>1334</v>
      </c>
      <c r="T4120" s="24" t="s">
        <v>1334</v>
      </c>
      <c r="U4120" s="56" t="s">
        <v>4689</v>
      </c>
      <c r="V4120" s="25">
        <f>IFERROR(VLOOKUP(BCP_Soles[[#This Row],[destinatario]],CHOOSE({1,2},Clientes_Proveedores[Razon Social],Clientes_Proveedores[Ruc / Dni]),2,0),"")</f>
        <v>20604400865</v>
      </c>
      <c r="W4120" s="25"/>
      <c r="X4120" s="25"/>
      <c r="Y4120" s="25"/>
      <c r="Z4120" s="77"/>
      <c r="AA4120" s="3" t="str">
        <f>IF(BCP_Soles[[#This Row],[fecha]]&gt;0,TEXT(BCP_Soles[[#This Row],[fecha]],"mmmm"),0)</f>
        <v>Octubre</v>
      </c>
    </row>
    <row r="4121" spans="1:27" ht="36" x14ac:dyDescent="0.3">
      <c r="A4121" s="2">
        <f>IF(BCP_Soles[[#This Row],[tipo_registro]]="R",COUNTIFS($C$1:$C4120,"R")+1,A4120)</f>
        <v>2736</v>
      </c>
      <c r="B4121" s="19" t="str">
        <f>"B-BCP - Soles"</f>
        <v>B-BCP - Soles</v>
      </c>
      <c r="C4121" s="3" t="s">
        <v>1352</v>
      </c>
      <c r="D4121" s="185">
        <v>45937</v>
      </c>
      <c r="E4121" s="158" t="s">
        <v>1338</v>
      </c>
      <c r="F4121" s="158" t="s">
        <v>1336</v>
      </c>
      <c r="G4121" s="186" t="s">
        <v>1060</v>
      </c>
      <c r="H4121" s="6" t="s">
        <v>68</v>
      </c>
      <c r="I4121" s="6" t="s">
        <v>1397</v>
      </c>
      <c r="J4121" s="6">
        <v>37751076</v>
      </c>
      <c r="K4121" s="7" t="s">
        <v>4688</v>
      </c>
      <c r="L4121" s="8">
        <v>4010268</v>
      </c>
      <c r="M4121" s="8" t="str">
        <f>"PEN"</f>
        <v>PEN</v>
      </c>
      <c r="N4121" s="13">
        <v>4.3</v>
      </c>
      <c r="O4121" s="13"/>
      <c r="P4121" s="3">
        <f>+IF(OR($F4121="SALDO",$F4121="INGRESO"),$O4121,0)</f>
        <v>0</v>
      </c>
      <c r="Q4121" s="3">
        <f>+IF($F4121="EGRESO",$O4121,0)</f>
        <v>0</v>
      </c>
      <c r="R4121" s="3">
        <f t="shared" si="367"/>
        <v>17931.45999999997</v>
      </c>
      <c r="S4121" s="24" t="s">
        <v>1334</v>
      </c>
      <c r="T4121" s="24" t="s">
        <v>1334</v>
      </c>
      <c r="U4121" s="56" t="s">
        <v>4689</v>
      </c>
      <c r="V4121" s="25">
        <f>IFERROR(VLOOKUP(BCP_Soles[[#This Row],[destinatario]],CHOOSE({1,2},Clientes_Proveedores[Razon Social],Clientes_Proveedores[Ruc / Dni]),2,0),"")</f>
        <v>20100047218</v>
      </c>
      <c r="W4121" s="25"/>
      <c r="X4121" s="25"/>
      <c r="Y4121" s="25"/>
      <c r="Z4121" s="77"/>
      <c r="AA4121" s="3" t="str">
        <f>IF(BCP_Soles[[#This Row],[fecha]]&gt;0,TEXT(BCP_Soles[[#This Row],[fecha]],"mmmm"),0)</f>
        <v>Octubre</v>
      </c>
    </row>
    <row r="4122" spans="1:27" ht="24" x14ac:dyDescent="0.3">
      <c r="A4122" s="2">
        <f>IF(BCP_Soles[[#This Row],[tipo_registro]]="R",COUNTIFS($C$1:$C4121,"R")+1,A4121)</f>
        <v>2737</v>
      </c>
      <c r="B4122" s="19" t="str">
        <f t="shared" si="368"/>
        <v>B-BCP - Soles</v>
      </c>
      <c r="C4122" s="3" t="s">
        <v>1330</v>
      </c>
      <c r="D4122" s="185">
        <v>45937</v>
      </c>
      <c r="E4122" s="158" t="s">
        <v>1338</v>
      </c>
      <c r="F4122" s="158" t="s">
        <v>1336</v>
      </c>
      <c r="G4122" s="186" t="s">
        <v>497</v>
      </c>
      <c r="H4122" s="6" t="s">
        <v>68</v>
      </c>
      <c r="I4122" s="6" t="s">
        <v>1390</v>
      </c>
      <c r="J4122" s="6">
        <v>21327</v>
      </c>
      <c r="K4122" s="7" t="s">
        <v>4690</v>
      </c>
      <c r="L4122" s="8">
        <v>1114212</v>
      </c>
      <c r="M4122" s="8" t="str">
        <f t="shared" si="369"/>
        <v>PEN</v>
      </c>
      <c r="N4122" s="13"/>
      <c r="O4122" s="13">
        <v>717</v>
      </c>
      <c r="P4122" s="3">
        <f t="shared" si="370"/>
        <v>0</v>
      </c>
      <c r="Q4122" s="3">
        <f t="shared" si="371"/>
        <v>717</v>
      </c>
      <c r="R4122" s="3">
        <f t="shared" si="367"/>
        <v>17214.45999999997</v>
      </c>
      <c r="S4122" s="24" t="s">
        <v>1334</v>
      </c>
      <c r="T4122" s="24" t="s">
        <v>1334</v>
      </c>
      <c r="U4122" s="56" t="s">
        <v>4691</v>
      </c>
      <c r="V4122" s="25">
        <f>IFERROR(VLOOKUP(BCP_Soles[[#This Row],[destinatario]],CHOOSE({1,2},Clientes_Proveedores[Razon Social],Clientes_Proveedores[Ruc / Dni]),2,0),"")</f>
        <v>20602810497</v>
      </c>
      <c r="W4122" s="25"/>
      <c r="X4122" s="25"/>
      <c r="Y4122" s="25"/>
      <c r="Z4122" s="77"/>
      <c r="AA4122" s="3" t="str">
        <f>IF(BCP_Soles[[#This Row],[fecha]]&gt;0,TEXT(BCP_Soles[[#This Row],[fecha]],"mmmm"),0)</f>
        <v>Octubre</v>
      </c>
    </row>
    <row r="4123" spans="1:27" ht="36" x14ac:dyDescent="0.3">
      <c r="A4123" s="2">
        <f>IF(BCP_Soles[[#This Row],[tipo_registro]]="R",COUNTIFS($C$1:$C4122,"R")+1,A4122)</f>
        <v>2738</v>
      </c>
      <c r="B4123" s="19" t="str">
        <f t="shared" si="368"/>
        <v>B-BCP - Soles</v>
      </c>
      <c r="C4123" s="3" t="s">
        <v>1330</v>
      </c>
      <c r="D4123" s="185">
        <v>45937</v>
      </c>
      <c r="E4123" s="158" t="s">
        <v>1338</v>
      </c>
      <c r="F4123" s="158" t="s">
        <v>1336</v>
      </c>
      <c r="G4123" s="186" t="s">
        <v>588</v>
      </c>
      <c r="H4123" s="6" t="s">
        <v>68</v>
      </c>
      <c r="I4123" s="6" t="s">
        <v>1376</v>
      </c>
      <c r="J4123" s="6">
        <v>526</v>
      </c>
      <c r="K4123" s="7" t="s">
        <v>4692</v>
      </c>
      <c r="L4123" s="8">
        <v>1237931</v>
      </c>
      <c r="M4123" s="8" t="str">
        <f t="shared" si="369"/>
        <v>PEN</v>
      </c>
      <c r="N4123" s="13"/>
      <c r="O4123" s="13">
        <v>94.28</v>
      </c>
      <c r="P4123" s="3">
        <f t="shared" si="370"/>
        <v>0</v>
      </c>
      <c r="Q4123" s="3">
        <f t="shared" si="371"/>
        <v>94.28</v>
      </c>
      <c r="R4123" s="3">
        <f t="shared" si="367"/>
        <v>17120.179999999971</v>
      </c>
      <c r="S4123" s="24" t="s">
        <v>1334</v>
      </c>
      <c r="T4123" s="24" t="s">
        <v>1334</v>
      </c>
      <c r="U4123" s="56" t="s">
        <v>4693</v>
      </c>
      <c r="V4123" s="25">
        <f>IFERROR(VLOOKUP(BCP_Soles[[#This Row],[destinatario]],CHOOSE({1,2},Clientes_Proveedores[Razon Social],Clientes_Proveedores[Ruc / Dni]),2,0),"")</f>
        <v>20609368773</v>
      </c>
      <c r="W4123" s="25"/>
      <c r="X4123" s="25"/>
      <c r="Y4123" s="25"/>
      <c r="Z4123" s="77"/>
      <c r="AA4123" s="3" t="str">
        <f>IF(BCP_Soles[[#This Row],[fecha]]&gt;0,TEXT(BCP_Soles[[#This Row],[fecha]],"mmmm"),0)</f>
        <v>Octubre</v>
      </c>
    </row>
    <row r="4124" spans="1:27" ht="24" x14ac:dyDescent="0.3">
      <c r="A4124" s="2">
        <f>IF(BCP_Soles[[#This Row],[tipo_registro]]="R",COUNTIFS($C$1:$C4123,"R")+1,A4123)</f>
        <v>2739</v>
      </c>
      <c r="B4124" s="19" t="str">
        <f t="shared" si="368"/>
        <v>B-BCP - Soles</v>
      </c>
      <c r="C4124" s="3" t="s">
        <v>1330</v>
      </c>
      <c r="D4124" s="185">
        <v>45937</v>
      </c>
      <c r="E4124" s="158" t="s">
        <v>1338</v>
      </c>
      <c r="F4124" s="158" t="s">
        <v>1336</v>
      </c>
      <c r="G4124" s="186" t="s">
        <v>1258</v>
      </c>
      <c r="H4124" s="6"/>
      <c r="I4124" s="6"/>
      <c r="J4124" s="6"/>
      <c r="K4124" s="7" t="s">
        <v>4694</v>
      </c>
      <c r="L4124" s="8">
        <v>4011285</v>
      </c>
      <c r="M4124" s="8" t="str">
        <f t="shared" si="369"/>
        <v>PEN</v>
      </c>
      <c r="N4124" s="13"/>
      <c r="O4124" s="13">
        <v>610.5</v>
      </c>
      <c r="P4124" s="3">
        <f t="shared" si="370"/>
        <v>0</v>
      </c>
      <c r="Q4124" s="3">
        <f t="shared" si="371"/>
        <v>610.5</v>
      </c>
      <c r="R4124" s="3">
        <f t="shared" si="367"/>
        <v>16509.679999999971</v>
      </c>
      <c r="S4124" s="24" t="s">
        <v>1334</v>
      </c>
      <c r="T4124" s="24" t="s">
        <v>1334</v>
      </c>
      <c r="U4124" s="56" t="s">
        <v>4695</v>
      </c>
      <c r="V4124" s="25">
        <f>IFERROR(VLOOKUP(BCP_Soles[[#This Row],[destinatario]],CHOOSE({1,2},Clientes_Proveedores[Razon Social],Clientes_Proveedores[Ruc / Dni]),2,0),"")</f>
        <v>10717995592</v>
      </c>
      <c r="W4124" s="25"/>
      <c r="X4124" s="25"/>
      <c r="Y4124" s="25"/>
      <c r="Z4124" s="77"/>
      <c r="AA4124" s="3" t="str">
        <f>IF(BCP_Soles[[#This Row],[fecha]]&gt;0,TEXT(BCP_Soles[[#This Row],[fecha]],"mmmm"),0)</f>
        <v>Octubre</v>
      </c>
    </row>
    <row r="4125" spans="1:27" ht="24" x14ac:dyDescent="0.3">
      <c r="A4125" s="2">
        <f>IF(BCP_Soles[[#This Row],[tipo_registro]]="R",COUNTIFS($C$1:$C4124,"R")+1,A4124)</f>
        <v>2739</v>
      </c>
      <c r="B4125" s="19" t="str">
        <f>"B-BCP - Soles"</f>
        <v>B-BCP - Soles</v>
      </c>
      <c r="C4125" s="3" t="s">
        <v>1352</v>
      </c>
      <c r="D4125" s="185">
        <v>45937</v>
      </c>
      <c r="E4125" s="158" t="s">
        <v>1338</v>
      </c>
      <c r="F4125" s="158" t="s">
        <v>1336</v>
      </c>
      <c r="G4125" s="186" t="s">
        <v>1258</v>
      </c>
      <c r="H4125" s="6" t="s">
        <v>72</v>
      </c>
      <c r="I4125" s="6" t="s">
        <v>1376</v>
      </c>
      <c r="J4125" s="6">
        <v>74</v>
      </c>
      <c r="K4125" s="7" t="s">
        <v>4694</v>
      </c>
      <c r="L4125" s="8">
        <v>4011285</v>
      </c>
      <c r="M4125" s="8" t="str">
        <f>"PEN"</f>
        <v>PEN</v>
      </c>
      <c r="N4125" s="13">
        <v>600</v>
      </c>
      <c r="O4125" s="13"/>
      <c r="P4125" s="3">
        <f>+IF(OR($F4125="SALDO",$F4125="INGRESO"),$O4125,0)</f>
        <v>0</v>
      </c>
      <c r="Q4125" s="3">
        <f>+IF($F4125="EGRESO",$O4125,0)</f>
        <v>0</v>
      </c>
      <c r="R4125" s="3">
        <f t="shared" si="367"/>
        <v>16509.679999999971</v>
      </c>
      <c r="S4125" s="24" t="s">
        <v>1334</v>
      </c>
      <c r="T4125" s="24" t="s">
        <v>1334</v>
      </c>
      <c r="U4125" s="56" t="s">
        <v>4695</v>
      </c>
      <c r="V4125" s="25">
        <f>IFERROR(VLOOKUP(BCP_Soles[[#This Row],[destinatario]],CHOOSE({1,2},Clientes_Proveedores[Razon Social],Clientes_Proveedores[Ruc / Dni]),2,0),"")</f>
        <v>10717995592</v>
      </c>
      <c r="W4125" s="25"/>
      <c r="X4125" s="25"/>
      <c r="Y4125" s="25"/>
      <c r="Z4125" s="77"/>
      <c r="AA4125" s="3" t="str">
        <f>IF(BCP_Soles[[#This Row],[fecha]]&gt;0,TEXT(BCP_Soles[[#This Row],[fecha]],"mmmm"),0)</f>
        <v>Octubre</v>
      </c>
    </row>
    <row r="4126" spans="1:27" ht="24" x14ac:dyDescent="0.3">
      <c r="A4126" s="2">
        <f>IF(BCP_Soles[[#This Row],[tipo_registro]]="R",COUNTIFS($C$1:$C4125,"R")+1,A4125)</f>
        <v>2739</v>
      </c>
      <c r="B4126" s="19" t="str">
        <f>"B-BCP - Soles"</f>
        <v>B-BCP - Soles</v>
      </c>
      <c r="C4126" s="3" t="s">
        <v>1352</v>
      </c>
      <c r="D4126" s="185">
        <v>45937</v>
      </c>
      <c r="E4126" s="158" t="s">
        <v>1338</v>
      </c>
      <c r="F4126" s="158" t="s">
        <v>1336</v>
      </c>
      <c r="G4126" s="186" t="s">
        <v>1060</v>
      </c>
      <c r="H4126" s="6" t="s">
        <v>68</v>
      </c>
      <c r="I4126" s="6" t="s">
        <v>1397</v>
      </c>
      <c r="J4126" s="6">
        <v>37751076</v>
      </c>
      <c r="K4126" s="7" t="s">
        <v>4694</v>
      </c>
      <c r="L4126" s="8">
        <v>4011285</v>
      </c>
      <c r="M4126" s="8" t="str">
        <f>"PEN"</f>
        <v>PEN</v>
      </c>
      <c r="N4126" s="13">
        <v>10.5</v>
      </c>
      <c r="O4126" s="13"/>
      <c r="P4126" s="3">
        <f>+IF(OR($F4126="SALDO",$F4126="INGRESO"),$O4126,0)</f>
        <v>0</v>
      </c>
      <c r="Q4126" s="3">
        <f>+IF($F4126="EGRESO",$O4126,0)</f>
        <v>0</v>
      </c>
      <c r="R4126" s="3">
        <f t="shared" si="367"/>
        <v>16509.679999999971</v>
      </c>
      <c r="S4126" s="24" t="s">
        <v>1334</v>
      </c>
      <c r="T4126" s="24" t="s">
        <v>1334</v>
      </c>
      <c r="U4126" s="56" t="s">
        <v>4695</v>
      </c>
      <c r="V4126" s="25">
        <f>IFERROR(VLOOKUP(BCP_Soles[[#This Row],[destinatario]],CHOOSE({1,2},Clientes_Proveedores[Razon Social],Clientes_Proveedores[Ruc / Dni]),2,0),"")</f>
        <v>20100047218</v>
      </c>
      <c r="W4126" s="25"/>
      <c r="X4126" s="25"/>
      <c r="Y4126" s="25"/>
      <c r="Z4126" s="77"/>
      <c r="AA4126" s="3" t="str">
        <f>IF(BCP_Soles[[#This Row],[fecha]]&gt;0,TEXT(BCP_Soles[[#This Row],[fecha]],"mmmm"),0)</f>
        <v>Octubre</v>
      </c>
    </row>
    <row r="4127" spans="1:27" x14ac:dyDescent="0.3">
      <c r="A4127" s="105">
        <f>IF(BCP_Soles[[#This Row],[tipo_registro]]="R",COUNTIFS($C$1:$C4126,"R")+1,A4126)</f>
        <v>2740</v>
      </c>
      <c r="B4127" s="74" t="str">
        <f t="shared" si="368"/>
        <v>B-BCP - Soles</v>
      </c>
      <c r="C4127" s="73" t="s">
        <v>1330</v>
      </c>
      <c r="D4127" s="189">
        <v>45937</v>
      </c>
      <c r="E4127" s="190" t="s">
        <v>4171</v>
      </c>
      <c r="F4127" s="190" t="s">
        <v>1336</v>
      </c>
      <c r="G4127" s="186"/>
      <c r="H4127" s="6"/>
      <c r="I4127" s="6"/>
      <c r="J4127" s="6"/>
      <c r="K4127" s="7" t="s">
        <v>4445</v>
      </c>
      <c r="L4127" s="8">
        <v>21765</v>
      </c>
      <c r="M4127" s="8" t="str">
        <f t="shared" si="369"/>
        <v>PEN</v>
      </c>
      <c r="N4127" s="9"/>
      <c r="O4127" s="9">
        <v>999.22</v>
      </c>
      <c r="P4127" s="73">
        <f t="shared" si="370"/>
        <v>0</v>
      </c>
      <c r="Q4127" s="73">
        <f t="shared" si="371"/>
        <v>999.22</v>
      </c>
      <c r="R4127" s="73">
        <f t="shared" si="367"/>
        <v>15510.459999999972</v>
      </c>
      <c r="S4127" s="95"/>
      <c r="T4127" s="95"/>
      <c r="U4127" s="161"/>
      <c r="V4127" s="72" t="str">
        <f>IFERROR(VLOOKUP(BCP_Soles[[#This Row],[destinatario]],CHOOSE({1,2},Clientes_Proveedores[Razon Social],Clientes_Proveedores[Ruc / Dni]),2,0),"")</f>
        <v/>
      </c>
      <c r="W4127" s="72"/>
      <c r="X4127" s="72"/>
      <c r="Y4127" s="72"/>
      <c r="Z4127" s="78"/>
      <c r="AA4127" s="73" t="str">
        <f>IF(BCP_Soles[[#This Row],[fecha]]&gt;0,TEXT(BCP_Soles[[#This Row],[fecha]],"mmmm"),0)</f>
        <v>Octubre</v>
      </c>
    </row>
    <row r="4128" spans="1:27" x14ac:dyDescent="0.3">
      <c r="A4128" s="105">
        <f>IF(BCP_Soles[[#This Row],[tipo_registro]]="R",COUNTIFS($C$1:$C4127,"R")+1,A4127)</f>
        <v>2741</v>
      </c>
      <c r="B4128" s="74" t="str">
        <f t="shared" si="368"/>
        <v>B-BCP - Soles</v>
      </c>
      <c r="C4128" s="73" t="s">
        <v>1330</v>
      </c>
      <c r="D4128" s="189">
        <v>45937</v>
      </c>
      <c r="E4128" s="190" t="s">
        <v>4171</v>
      </c>
      <c r="F4128" s="190" t="s">
        <v>1336</v>
      </c>
      <c r="G4128" s="186"/>
      <c r="H4128" s="6"/>
      <c r="I4128" s="6"/>
      <c r="J4128" s="6"/>
      <c r="K4128" s="7" t="s">
        <v>4448</v>
      </c>
      <c r="L4128" s="8">
        <v>21751</v>
      </c>
      <c r="M4128" s="8" t="str">
        <f t="shared" si="369"/>
        <v>PEN</v>
      </c>
      <c r="N4128" s="9"/>
      <c r="O4128" s="9">
        <v>731.06</v>
      </c>
      <c r="P4128" s="73">
        <f t="shared" si="370"/>
        <v>0</v>
      </c>
      <c r="Q4128" s="73">
        <f t="shared" si="371"/>
        <v>731.06</v>
      </c>
      <c r="R4128" s="73">
        <f t="shared" si="367"/>
        <v>14779.399999999972</v>
      </c>
      <c r="S4128" s="95"/>
      <c r="T4128" s="95"/>
      <c r="U4128" s="161"/>
      <c r="V4128" s="72" t="str">
        <f>IFERROR(VLOOKUP(BCP_Soles[[#This Row],[destinatario]],CHOOSE({1,2},Clientes_Proveedores[Razon Social],Clientes_Proveedores[Ruc / Dni]),2,0),"")</f>
        <v/>
      </c>
      <c r="W4128" s="72"/>
      <c r="X4128" s="72"/>
      <c r="Y4128" s="72"/>
      <c r="Z4128" s="78"/>
      <c r="AA4128" s="73" t="str">
        <f>IF(BCP_Soles[[#This Row],[fecha]]&gt;0,TEXT(BCP_Soles[[#This Row],[fecha]],"mmmm"),0)</f>
        <v>Octubre</v>
      </c>
    </row>
    <row r="4129" spans="1:27" x14ac:dyDescent="0.3">
      <c r="A4129" s="2">
        <f>IF(BCP_Soles[[#This Row],[tipo_registro]]="R",COUNTIFS($C$1:$C4128,"R")+1,A4128)</f>
        <v>2742</v>
      </c>
      <c r="B4129" s="19" t="str">
        <f t="shared" si="368"/>
        <v>B-BCP - Soles</v>
      </c>
      <c r="C4129" s="73" t="s">
        <v>1330</v>
      </c>
      <c r="D4129" s="189">
        <v>45937</v>
      </c>
      <c r="E4129" s="190" t="s">
        <v>4171</v>
      </c>
      <c r="F4129" s="190" t="s">
        <v>1336</v>
      </c>
      <c r="G4129" s="186"/>
      <c r="H4129" s="6"/>
      <c r="I4129" s="6"/>
      <c r="J4129" s="6"/>
      <c r="K4129" s="7" t="s">
        <v>4446</v>
      </c>
      <c r="L4129" s="8">
        <v>21740</v>
      </c>
      <c r="M4129" s="8" t="str">
        <f t="shared" si="369"/>
        <v>PEN</v>
      </c>
      <c r="N4129" s="13"/>
      <c r="O4129" s="13">
        <v>2484.3200000000002</v>
      </c>
      <c r="P4129" s="3">
        <f t="shared" si="370"/>
        <v>0</v>
      </c>
      <c r="Q4129" s="3">
        <f t="shared" si="371"/>
        <v>2484.3200000000002</v>
      </c>
      <c r="R4129" s="3">
        <f t="shared" si="367"/>
        <v>12295.079999999973</v>
      </c>
      <c r="S4129" s="24"/>
      <c r="T4129" s="24"/>
      <c r="U4129" s="55"/>
      <c r="V4129" s="25" t="str">
        <f>IFERROR(VLOOKUP(BCP_Soles[[#This Row],[destinatario]],CHOOSE({1,2},Clientes_Proveedores[Razon Social],Clientes_Proveedores[Ruc / Dni]),2,0),"")</f>
        <v/>
      </c>
      <c r="W4129" s="25"/>
      <c r="X4129" s="25"/>
      <c r="Y4129" s="25"/>
      <c r="Z4129" s="77"/>
      <c r="AA4129" s="3" t="str">
        <f>IF(BCP_Soles[[#This Row],[fecha]]&gt;0,TEXT(BCP_Soles[[#This Row],[fecha]],"mmmm"),0)</f>
        <v>Octubre</v>
      </c>
    </row>
    <row r="4130" spans="1:27" x14ac:dyDescent="0.3">
      <c r="A4130" s="2">
        <f>IF(BCP_Soles[[#This Row],[tipo_registro]]="R",COUNTIFS($C$1:$C4129,"R")+1,A4129)</f>
        <v>2743</v>
      </c>
      <c r="B4130" s="19" t="str">
        <f t="shared" si="368"/>
        <v>B-BCP - Soles</v>
      </c>
      <c r="C4130" s="73" t="s">
        <v>1330</v>
      </c>
      <c r="D4130" s="189">
        <v>45937</v>
      </c>
      <c r="E4130" s="190" t="s">
        <v>4171</v>
      </c>
      <c r="F4130" s="190" t="s">
        <v>1336</v>
      </c>
      <c r="G4130" s="186"/>
      <c r="H4130" s="6"/>
      <c r="I4130" s="6"/>
      <c r="J4130" s="6"/>
      <c r="K4130" s="7" t="s">
        <v>4447</v>
      </c>
      <c r="L4130" s="8">
        <v>21724</v>
      </c>
      <c r="M4130" s="8" t="str">
        <f t="shared" si="369"/>
        <v>PEN</v>
      </c>
      <c r="N4130" s="13"/>
      <c r="O4130" s="13">
        <v>4859.12</v>
      </c>
      <c r="P4130" s="3">
        <f t="shared" si="370"/>
        <v>0</v>
      </c>
      <c r="Q4130" s="3">
        <f t="shared" si="371"/>
        <v>4859.12</v>
      </c>
      <c r="R4130" s="3">
        <f t="shared" si="367"/>
        <v>7435.9599999999728</v>
      </c>
      <c r="S4130" s="24"/>
      <c r="T4130" s="24"/>
      <c r="U4130" s="55"/>
      <c r="V4130" s="25" t="str">
        <f>IFERROR(VLOOKUP(BCP_Soles[[#This Row],[destinatario]],CHOOSE({1,2},Clientes_Proveedores[Razon Social],Clientes_Proveedores[Ruc / Dni]),2,0),"")</f>
        <v/>
      </c>
      <c r="W4130" s="25"/>
      <c r="X4130" s="25"/>
      <c r="Y4130" s="25"/>
      <c r="Z4130" s="77"/>
      <c r="AA4130" s="3" t="str">
        <f>IF(BCP_Soles[[#This Row],[fecha]]&gt;0,TEXT(BCP_Soles[[#This Row],[fecha]],"mmmm"),0)</f>
        <v>Octubre</v>
      </c>
    </row>
    <row r="4131" spans="1:27" ht="24" x14ac:dyDescent="0.3">
      <c r="A4131" s="2">
        <f>IF(BCP_Soles[[#This Row],[tipo_registro]]="R",COUNTIFS($C$1:$C4130,"R")+1,A4130)</f>
        <v>2744</v>
      </c>
      <c r="B4131" s="19" t="str">
        <f>"B-BCP - Soles"</f>
        <v>B-BCP - Soles</v>
      </c>
      <c r="C4131" s="73" t="s">
        <v>1330</v>
      </c>
      <c r="D4131" s="189">
        <v>45938</v>
      </c>
      <c r="E4131" s="5" t="s">
        <v>4696</v>
      </c>
      <c r="F4131" s="190" t="s">
        <v>1303</v>
      </c>
      <c r="G4131" s="186" t="s">
        <v>425</v>
      </c>
      <c r="H4131" s="6" t="s">
        <v>119</v>
      </c>
      <c r="I4131" s="6">
        <v>1</v>
      </c>
      <c r="J4131" s="6">
        <v>4814</v>
      </c>
      <c r="K4131" s="7" t="s">
        <v>3608</v>
      </c>
      <c r="L4131" s="8">
        <v>798034</v>
      </c>
      <c r="M4131" s="8" t="str">
        <f>"PEN"</f>
        <v>PEN</v>
      </c>
      <c r="N4131" s="13"/>
      <c r="O4131" s="13">
        <v>1500</v>
      </c>
      <c r="P4131" s="3">
        <f>+IF(OR($F4131="SALDO",$F4131="INGRESO"),$O4131,0)</f>
        <v>1500</v>
      </c>
      <c r="Q4131" s="3">
        <f>+IF($F4131="EGRESO",$O4131,0)</f>
        <v>0</v>
      </c>
      <c r="R4131" s="3">
        <f t="shared" si="367"/>
        <v>8935.9599999999737</v>
      </c>
      <c r="S4131" s="24" t="s">
        <v>1334</v>
      </c>
      <c r="T4131" s="24" t="s">
        <v>1334</v>
      </c>
      <c r="U4131" s="55"/>
      <c r="V4131" s="25">
        <f>IFERROR(VLOOKUP(BCP_Soles[[#This Row],[destinatario]],CHOOSE({1,2},Clientes_Proveedores[Razon Social],Clientes_Proveedores[Ruc / Dni]),2,0),"")</f>
        <v>20558226979</v>
      </c>
      <c r="W4131" s="25"/>
      <c r="X4131" s="25"/>
      <c r="Y4131" s="25"/>
      <c r="Z4131" s="77"/>
      <c r="AA4131" s="3" t="str">
        <f>IF(BCP_Soles[[#This Row],[fecha]]&gt;0,TEXT(BCP_Soles[[#This Row],[fecha]],"mmmm"),0)</f>
        <v>Octubre</v>
      </c>
    </row>
    <row r="4132" spans="1:27" x14ac:dyDescent="0.3">
      <c r="A4132" s="2">
        <f>IF(BCP_Soles[[#This Row],[tipo_registro]]="R",COUNTIFS($C$1:$C4131,"R")+1,A4131)</f>
        <v>2745</v>
      </c>
      <c r="B4132" s="19" t="str">
        <f>"B-BCP - Soles"</f>
        <v>B-BCP - Soles</v>
      </c>
      <c r="C4132" s="73" t="s">
        <v>1330</v>
      </c>
      <c r="D4132" s="189">
        <v>45938</v>
      </c>
      <c r="E4132" s="5" t="s">
        <v>1335</v>
      </c>
      <c r="F4132" s="190" t="s">
        <v>1336</v>
      </c>
      <c r="G4132" s="6" t="s">
        <v>1009</v>
      </c>
      <c r="H4132" s="6" t="s">
        <v>64</v>
      </c>
      <c r="I4132" s="6"/>
      <c r="J4132" s="6"/>
      <c r="K4132" s="7" t="s">
        <v>3160</v>
      </c>
      <c r="L4132" s="8"/>
      <c r="M4132" s="8" t="str">
        <f>"PEN"</f>
        <v>PEN</v>
      </c>
      <c r="N4132" s="13"/>
      <c r="O4132" s="13">
        <v>0.6</v>
      </c>
      <c r="P4132" s="3">
        <f>+IF(OR($F4132="SALDO",$F4132="INGRESO"),$O4132,0)</f>
        <v>0</v>
      </c>
      <c r="Q4132" s="3">
        <f>+IF($F4132="EGRESO",$O4132,0)</f>
        <v>0.6</v>
      </c>
      <c r="R4132" s="3">
        <f t="shared" si="367"/>
        <v>8935.3599999999733</v>
      </c>
      <c r="S4132" s="24"/>
      <c r="T4132" s="24"/>
      <c r="U4132" s="55"/>
      <c r="V4132" s="25">
        <f>IFERROR(VLOOKUP(BCP_Soles[[#This Row],[destinatario]],CHOOSE({1,2},Clientes_Proveedores[Razon Social],Clientes_Proveedores[Ruc / Dni]),2,0),"")</f>
        <v>11111111</v>
      </c>
      <c r="W4132" s="25"/>
      <c r="X4132" s="25"/>
      <c r="Y4132" s="25"/>
      <c r="Z4132" s="77"/>
      <c r="AA4132" s="3" t="str">
        <f>IF(BCP_Soles[[#This Row],[fecha]]&gt;0,TEXT(BCP_Soles[[#This Row],[fecha]],"mmmm"),0)</f>
        <v>Octubre</v>
      </c>
    </row>
    <row r="4133" spans="1:27" ht="24" x14ac:dyDescent="0.3">
      <c r="A4133" s="2">
        <f>IF(BCP_Soles[[#This Row],[tipo_registro]]="R",COUNTIFS($C$1:$C4132,"R")+1,A4132)</f>
        <v>2746</v>
      </c>
      <c r="B4133" s="19" t="str">
        <f>"B-BCP - Soles"</f>
        <v>B-BCP - Soles</v>
      </c>
      <c r="C4133" s="73" t="s">
        <v>1330</v>
      </c>
      <c r="D4133" s="189">
        <v>45939</v>
      </c>
      <c r="E4133" s="158" t="s">
        <v>1190</v>
      </c>
      <c r="F4133" s="158" t="s">
        <v>1303</v>
      </c>
      <c r="G4133" s="186" t="s">
        <v>425</v>
      </c>
      <c r="H4133" s="6" t="s">
        <v>68</v>
      </c>
      <c r="I4133" s="6" t="s">
        <v>3302</v>
      </c>
      <c r="J4133" s="6">
        <v>133</v>
      </c>
      <c r="K4133" s="7" t="s">
        <v>3608</v>
      </c>
      <c r="L4133" s="8">
        <v>1805543</v>
      </c>
      <c r="M4133" s="8" t="str">
        <f>"PEN"</f>
        <v>PEN</v>
      </c>
      <c r="N4133" s="13"/>
      <c r="O4133" s="13">
        <v>354</v>
      </c>
      <c r="P4133" s="3">
        <f>+IF(OR($F4133="SALDO",$F4133="INGRESO"),$O4133,0)</f>
        <v>354</v>
      </c>
      <c r="Q4133" s="3">
        <f>+IF($F4133="EGRESO",$O4133,0)</f>
        <v>0</v>
      </c>
      <c r="R4133" s="3">
        <f t="shared" si="367"/>
        <v>9289.3599999999733</v>
      </c>
      <c r="S4133" s="24" t="s">
        <v>1334</v>
      </c>
      <c r="T4133" s="24" t="s">
        <v>1334</v>
      </c>
      <c r="U4133" s="55"/>
      <c r="V4133" s="25">
        <f>IFERROR(VLOOKUP(BCP_Soles[[#This Row],[destinatario]],CHOOSE({1,2},Clientes_Proveedores[Razon Social],Clientes_Proveedores[Ruc / Dni]),2,0),"")</f>
        <v>20558226979</v>
      </c>
      <c r="W4133" s="25"/>
      <c r="X4133" s="25"/>
      <c r="Y4133" s="25"/>
      <c r="Z4133" s="77"/>
      <c r="AA4133" s="3" t="str">
        <f>IF(BCP_Soles[[#This Row],[fecha]]&gt;0,TEXT(BCP_Soles[[#This Row],[fecha]],"mmmm"),0)</f>
        <v>Octubre</v>
      </c>
    </row>
    <row r="4134" spans="1:27" ht="24" x14ac:dyDescent="0.3">
      <c r="A4134" s="2">
        <f>IF(BCP_Soles[[#This Row],[tipo_registro]]="R",COUNTIFS($C$1:$C4133,"R")+1,A4133)</f>
        <v>2747</v>
      </c>
      <c r="B4134" s="19" t="str">
        <f t="shared" ref="B4134:B4141" si="372">"B-BCP - Soles"</f>
        <v>B-BCP - Soles</v>
      </c>
      <c r="C4134" s="73" t="s">
        <v>1330</v>
      </c>
      <c r="D4134" s="189">
        <v>45939</v>
      </c>
      <c r="E4134" s="158" t="s">
        <v>1338</v>
      </c>
      <c r="F4134" s="158" t="s">
        <v>1336</v>
      </c>
      <c r="G4134" s="186" t="s">
        <v>1257</v>
      </c>
      <c r="H4134" s="6"/>
      <c r="I4134" s="6"/>
      <c r="J4134" s="6"/>
      <c r="K4134" s="7" t="s">
        <v>4697</v>
      </c>
      <c r="L4134" s="8">
        <v>4014618</v>
      </c>
      <c r="M4134" s="8" t="str">
        <f t="shared" ref="M4134:M4141" si="373">"PEN"</f>
        <v>PEN</v>
      </c>
      <c r="N4134" s="13"/>
      <c r="O4134" s="13">
        <v>358.3</v>
      </c>
      <c r="P4134" s="3">
        <f t="shared" ref="P4134:P4141" si="374">+IF(OR($F4134="SALDO",$F4134="INGRESO"),$O4134,0)</f>
        <v>0</v>
      </c>
      <c r="Q4134" s="3">
        <f t="shared" ref="Q4134:Q4141" si="375">+IF($F4134="EGRESO",$O4134,0)</f>
        <v>358.3</v>
      </c>
      <c r="R4134" s="3">
        <f t="shared" si="367"/>
        <v>8931.059999999974</v>
      </c>
      <c r="S4134" s="24" t="s">
        <v>1334</v>
      </c>
      <c r="T4134" s="24" t="s">
        <v>1334</v>
      </c>
      <c r="U4134" s="56" t="s">
        <v>4698</v>
      </c>
      <c r="V4134" s="25">
        <f>IFERROR(VLOOKUP(BCP_Soles[[#This Row],[destinatario]],CHOOSE({1,2},Clientes_Proveedores[Razon Social],Clientes_Proveedores[Ruc / Dni]),2,0),"")</f>
        <v>20602057365</v>
      </c>
      <c r="W4134" s="25"/>
      <c r="X4134" s="25"/>
      <c r="Y4134" s="25"/>
      <c r="Z4134" s="77"/>
      <c r="AA4134" s="3" t="str">
        <f>IF(BCP_Soles[[#This Row],[fecha]]&gt;0,TEXT(BCP_Soles[[#This Row],[fecha]],"mmmm"),0)</f>
        <v>Octubre</v>
      </c>
    </row>
    <row r="4135" spans="1:27" ht="24" x14ac:dyDescent="0.3">
      <c r="A4135" s="2">
        <f>IF(BCP_Soles[[#This Row],[tipo_registro]]="R",COUNTIFS($C$1:$C4134,"R")+1,A4134)</f>
        <v>2747</v>
      </c>
      <c r="B4135" s="19" t="str">
        <f>"B-BCP - Soles"</f>
        <v>B-BCP - Soles</v>
      </c>
      <c r="C4135" s="73" t="s">
        <v>1352</v>
      </c>
      <c r="D4135" s="189">
        <v>45939</v>
      </c>
      <c r="E4135" s="158" t="s">
        <v>1338</v>
      </c>
      <c r="F4135" s="158" t="s">
        <v>1336</v>
      </c>
      <c r="G4135" s="186" t="s">
        <v>1257</v>
      </c>
      <c r="H4135" s="6" t="s">
        <v>68</v>
      </c>
      <c r="I4135" s="6" t="s">
        <v>1376</v>
      </c>
      <c r="J4135" s="6">
        <v>40</v>
      </c>
      <c r="K4135" s="7" t="s">
        <v>4697</v>
      </c>
      <c r="L4135" s="8">
        <v>4014618</v>
      </c>
      <c r="M4135" s="8" t="str">
        <f>"PEN"</f>
        <v>PEN</v>
      </c>
      <c r="N4135" s="13">
        <v>354</v>
      </c>
      <c r="O4135" s="13"/>
      <c r="P4135" s="3">
        <f>+IF(OR($F4135="SALDO",$F4135="INGRESO"),$O4135,0)</f>
        <v>0</v>
      </c>
      <c r="Q4135" s="3">
        <f>+IF($F4135="EGRESO",$O4135,0)</f>
        <v>0</v>
      </c>
      <c r="R4135" s="3">
        <f t="shared" si="367"/>
        <v>8931.059999999974</v>
      </c>
      <c r="S4135" s="24" t="s">
        <v>1334</v>
      </c>
      <c r="T4135" s="24" t="s">
        <v>1334</v>
      </c>
      <c r="U4135" s="56" t="s">
        <v>4698</v>
      </c>
      <c r="V4135" s="25">
        <f>IFERROR(VLOOKUP(BCP_Soles[[#This Row],[destinatario]],CHOOSE({1,2},Clientes_Proveedores[Razon Social],Clientes_Proveedores[Ruc / Dni]),2,0),"")</f>
        <v>20602057365</v>
      </c>
      <c r="W4135" s="25"/>
      <c r="X4135" s="25"/>
      <c r="Y4135" s="25"/>
      <c r="Z4135" s="77"/>
      <c r="AA4135" s="3" t="str">
        <f>IF(BCP_Soles[[#This Row],[fecha]]&gt;0,TEXT(BCP_Soles[[#This Row],[fecha]],"mmmm"),0)</f>
        <v>Octubre</v>
      </c>
    </row>
    <row r="4136" spans="1:27" ht="24" x14ac:dyDescent="0.3">
      <c r="A4136" s="2">
        <f>IF(BCP_Soles[[#This Row],[tipo_registro]]="R",COUNTIFS($C$1:$C4135,"R")+1,A4135)</f>
        <v>2747</v>
      </c>
      <c r="B4136" s="19" t="str">
        <f>"B-BCP - Soles"</f>
        <v>B-BCP - Soles</v>
      </c>
      <c r="C4136" s="73" t="s">
        <v>1352</v>
      </c>
      <c r="D4136" s="189">
        <v>45939</v>
      </c>
      <c r="E4136" s="158" t="s">
        <v>1338</v>
      </c>
      <c r="F4136" s="158" t="s">
        <v>1336</v>
      </c>
      <c r="G4136" s="186" t="s">
        <v>1060</v>
      </c>
      <c r="H4136" s="6" t="s">
        <v>68</v>
      </c>
      <c r="I4136" s="6" t="s">
        <v>1397</v>
      </c>
      <c r="J4136" s="6">
        <v>37771594</v>
      </c>
      <c r="K4136" s="7" t="s">
        <v>4697</v>
      </c>
      <c r="L4136" s="8">
        <v>4014618</v>
      </c>
      <c r="M4136" s="8" t="str">
        <f>"PEN"</f>
        <v>PEN</v>
      </c>
      <c r="N4136" s="13">
        <v>4.3</v>
      </c>
      <c r="O4136" s="13"/>
      <c r="P4136" s="3">
        <f>+IF(OR($F4136="SALDO",$F4136="INGRESO"),$O4136,0)</f>
        <v>0</v>
      </c>
      <c r="Q4136" s="3">
        <f>+IF($F4136="EGRESO",$O4136,0)</f>
        <v>0</v>
      </c>
      <c r="R4136" s="3">
        <f t="shared" si="367"/>
        <v>8931.059999999974</v>
      </c>
      <c r="S4136" s="24" t="s">
        <v>1334</v>
      </c>
      <c r="T4136" s="24" t="s">
        <v>1334</v>
      </c>
      <c r="U4136" s="56" t="s">
        <v>4698</v>
      </c>
      <c r="V4136" s="25">
        <f>IFERROR(VLOOKUP(BCP_Soles[[#This Row],[destinatario]],CHOOSE({1,2},Clientes_Proveedores[Razon Social],Clientes_Proveedores[Ruc / Dni]),2,0),"")</f>
        <v>20100047218</v>
      </c>
      <c r="W4136" s="25"/>
      <c r="X4136" s="25"/>
      <c r="Y4136" s="25"/>
      <c r="Z4136" s="77"/>
      <c r="AA4136" s="3" t="str">
        <f>IF(BCP_Soles[[#This Row],[fecha]]&gt;0,TEXT(BCP_Soles[[#This Row],[fecha]],"mmmm"),0)</f>
        <v>Octubre</v>
      </c>
    </row>
    <row r="4137" spans="1:27" ht="24" x14ac:dyDescent="0.3">
      <c r="A4137" s="105">
        <f>IF(BCP_Soles[[#This Row],[tipo_registro]]="R",COUNTIFS($C$1:$C4136,"R")+1,A4136)</f>
        <v>2748</v>
      </c>
      <c r="B4137" s="74" t="str">
        <f t="shared" si="372"/>
        <v>B-BCP - Soles</v>
      </c>
      <c r="C4137" s="73" t="s">
        <v>1330</v>
      </c>
      <c r="D4137" s="189">
        <v>45939</v>
      </c>
      <c r="E4137" s="190" t="s">
        <v>1338</v>
      </c>
      <c r="F4137" s="190" t="s">
        <v>1336</v>
      </c>
      <c r="G4137" s="186" t="s">
        <v>895</v>
      </c>
      <c r="H4137" s="6"/>
      <c r="I4137" s="6"/>
      <c r="J4137" s="6"/>
      <c r="K4137" s="7" t="s">
        <v>4699</v>
      </c>
      <c r="L4137" s="8">
        <v>1149745</v>
      </c>
      <c r="M4137" s="8" t="str">
        <f t="shared" si="373"/>
        <v>PEN</v>
      </c>
      <c r="N4137" s="9"/>
      <c r="O4137" s="9">
        <v>400</v>
      </c>
      <c r="P4137" s="73">
        <f t="shared" si="374"/>
        <v>0</v>
      </c>
      <c r="Q4137" s="73">
        <f t="shared" si="375"/>
        <v>400</v>
      </c>
      <c r="R4137" s="73">
        <f t="shared" si="367"/>
        <v>8531.059999999974</v>
      </c>
      <c r="S4137" s="95"/>
      <c r="T4137" s="95"/>
      <c r="U4137" s="161"/>
      <c r="V4137" s="72">
        <f>IFERROR(VLOOKUP(BCP_Soles[[#This Row],[destinatario]],CHOOSE({1,2},Clientes_Proveedores[Razon Social],Clientes_Proveedores[Ruc / Dni]),2,0),"")</f>
        <v>72144092</v>
      </c>
      <c r="W4137" s="72"/>
      <c r="X4137" s="72"/>
      <c r="Y4137" s="72"/>
      <c r="Z4137" s="78"/>
      <c r="AA4137" s="73" t="str">
        <f>IF(BCP_Soles[[#This Row],[fecha]]&gt;0,TEXT(BCP_Soles[[#This Row],[fecha]],"mmmm"),0)</f>
        <v>Octubre</v>
      </c>
    </row>
    <row r="4138" spans="1:27" x14ac:dyDescent="0.3">
      <c r="A4138" s="105">
        <f>IF(BCP_Soles[[#This Row],[tipo_registro]]="R",COUNTIFS($C$1:$C4137,"R")+1,A4137)</f>
        <v>2749</v>
      </c>
      <c r="B4138" s="74" t="str">
        <f t="shared" si="372"/>
        <v>B-BCP - Soles</v>
      </c>
      <c r="C4138" s="73" t="s">
        <v>1330</v>
      </c>
      <c r="D4138" s="189">
        <v>45939</v>
      </c>
      <c r="E4138" s="190" t="s">
        <v>1338</v>
      </c>
      <c r="F4138" s="190" t="s">
        <v>1336</v>
      </c>
      <c r="G4138" s="191" t="s">
        <v>695</v>
      </c>
      <c r="H4138" s="6"/>
      <c r="I4138" s="6"/>
      <c r="J4138" s="6"/>
      <c r="K4138" s="7" t="s">
        <v>3552</v>
      </c>
      <c r="L4138" s="8">
        <v>148434</v>
      </c>
      <c r="M4138" s="8" t="str">
        <f t="shared" si="373"/>
        <v>PEN</v>
      </c>
      <c r="N4138" s="9"/>
      <c r="O4138" s="9">
        <v>1455.55</v>
      </c>
      <c r="P4138" s="73">
        <f t="shared" si="374"/>
        <v>0</v>
      </c>
      <c r="Q4138" s="73">
        <f t="shared" si="375"/>
        <v>1455.55</v>
      </c>
      <c r="R4138" s="73">
        <f t="shared" si="367"/>
        <v>7075.5099999999738</v>
      </c>
      <c r="S4138" s="95" t="s">
        <v>1334</v>
      </c>
      <c r="T4138" s="95" t="s">
        <v>1334</v>
      </c>
      <c r="U4138" s="201" t="s">
        <v>4700</v>
      </c>
      <c r="V4138" s="72">
        <f>IFERROR(VLOOKUP(BCP_Soles[[#This Row],[destinatario]],CHOOSE({1,2},Clientes_Proveedores[Razon Social],Clientes_Proveedores[Ruc / Dni]),2,0),"")</f>
        <v>20127765279</v>
      </c>
      <c r="W4138" s="72"/>
      <c r="X4138" s="72"/>
      <c r="Y4138" s="72"/>
      <c r="Z4138" s="78"/>
      <c r="AA4138" s="73" t="str">
        <f>IF(BCP_Soles[[#This Row],[fecha]]&gt;0,TEXT(BCP_Soles[[#This Row],[fecha]],"mmmm"),0)</f>
        <v>Octubre</v>
      </c>
    </row>
    <row r="4139" spans="1:27" x14ac:dyDescent="0.3">
      <c r="A4139" s="105">
        <f>IF(BCP_Soles[[#This Row],[tipo_registro]]="R",COUNTIFS($C$1:$C4138,"R")+1,A4138)</f>
        <v>2749</v>
      </c>
      <c r="B4139" s="74" t="str">
        <f>"B-BCP - Soles"</f>
        <v>B-BCP - Soles</v>
      </c>
      <c r="C4139" s="73" t="s">
        <v>1352</v>
      </c>
      <c r="D4139" s="189">
        <v>45939</v>
      </c>
      <c r="E4139" s="190" t="s">
        <v>1338</v>
      </c>
      <c r="F4139" s="190" t="s">
        <v>1336</v>
      </c>
      <c r="G4139" s="191" t="s">
        <v>695</v>
      </c>
      <c r="H4139" s="6" t="s">
        <v>68</v>
      </c>
      <c r="I4139" s="6" t="s">
        <v>1513</v>
      </c>
      <c r="J4139" s="6">
        <v>186709</v>
      </c>
      <c r="K4139" s="7" t="s">
        <v>3552</v>
      </c>
      <c r="L4139" s="8">
        <v>148434</v>
      </c>
      <c r="M4139" s="8" t="str">
        <f>"PEN"</f>
        <v>PEN</v>
      </c>
      <c r="N4139" s="9">
        <v>1204.01</v>
      </c>
      <c r="O4139" s="9"/>
      <c r="P4139" s="73">
        <f>+IF(OR($F4139="SALDO",$F4139="INGRESO"),$O4139,0)</f>
        <v>0</v>
      </c>
      <c r="Q4139" s="73">
        <f>+IF($F4139="EGRESO",$O4139,0)</f>
        <v>0</v>
      </c>
      <c r="R4139" s="73">
        <f t="shared" si="367"/>
        <v>7075.5099999999738</v>
      </c>
      <c r="S4139" s="28" t="s">
        <v>1334</v>
      </c>
      <c r="T4139" s="28" t="s">
        <v>1334</v>
      </c>
      <c r="U4139" s="201" t="s">
        <v>4700</v>
      </c>
      <c r="V4139" s="72">
        <f>IFERROR(VLOOKUP(BCP_Soles[[#This Row],[destinatario]],CHOOSE({1,2},Clientes_Proveedores[Razon Social],Clientes_Proveedores[Ruc / Dni]),2,0),"")</f>
        <v>20127765279</v>
      </c>
      <c r="W4139" s="72"/>
      <c r="X4139" s="72"/>
      <c r="Y4139" s="72"/>
      <c r="Z4139" s="78"/>
      <c r="AA4139" s="73" t="str">
        <f>IF(BCP_Soles[[#This Row],[fecha]]&gt;0,TEXT(BCP_Soles[[#This Row],[fecha]],"mmmm"),0)</f>
        <v>Octubre</v>
      </c>
    </row>
    <row r="4140" spans="1:27" x14ac:dyDescent="0.3">
      <c r="A4140" s="105">
        <f>IF(BCP_Soles[[#This Row],[tipo_registro]]="R",COUNTIFS($C$1:$C4139,"R")+1,A4139)</f>
        <v>2749</v>
      </c>
      <c r="B4140" s="74" t="str">
        <f>"B-BCP - Soles"</f>
        <v>B-BCP - Soles</v>
      </c>
      <c r="C4140" s="73" t="s">
        <v>1352</v>
      </c>
      <c r="D4140" s="189">
        <v>45939</v>
      </c>
      <c r="E4140" s="190" t="s">
        <v>1338</v>
      </c>
      <c r="F4140" s="190" t="s">
        <v>1336</v>
      </c>
      <c r="G4140" s="191" t="s">
        <v>695</v>
      </c>
      <c r="H4140" s="6" t="s">
        <v>68</v>
      </c>
      <c r="I4140" s="6" t="s">
        <v>1513</v>
      </c>
      <c r="J4140" s="6">
        <v>186742</v>
      </c>
      <c r="K4140" s="7" t="s">
        <v>3552</v>
      </c>
      <c r="L4140" s="8">
        <v>148434</v>
      </c>
      <c r="M4140" s="8" t="str">
        <f>"PEN"</f>
        <v>PEN</v>
      </c>
      <c r="N4140" s="9">
        <v>251.54</v>
      </c>
      <c r="O4140" s="9"/>
      <c r="P4140" s="73">
        <f>+IF(OR($F4140="SALDO",$F4140="INGRESO"),$O4140,0)</f>
        <v>0</v>
      </c>
      <c r="Q4140" s="73">
        <f>+IF($F4140="EGRESO",$O4140,0)</f>
        <v>0</v>
      </c>
      <c r="R4140" s="73">
        <f t="shared" ref="R4140:R4171" si="376">IFERROR(IF(F4140="SALDO",P4140,R4139+P4140-Q4140),0)</f>
        <v>7075.5099999999738</v>
      </c>
      <c r="S4140" s="28" t="s">
        <v>1334</v>
      </c>
      <c r="T4140" s="28" t="s">
        <v>1334</v>
      </c>
      <c r="U4140" s="201" t="s">
        <v>4700</v>
      </c>
      <c r="V4140" s="72">
        <f>IFERROR(VLOOKUP(BCP_Soles[[#This Row],[destinatario]],CHOOSE({1,2},Clientes_Proveedores[Razon Social],Clientes_Proveedores[Ruc / Dni]),2,0),"")</f>
        <v>20127765279</v>
      </c>
      <c r="W4140" s="72"/>
      <c r="X4140" s="72"/>
      <c r="Y4140" s="72"/>
      <c r="Z4140" s="78"/>
      <c r="AA4140" s="73" t="str">
        <f>IF(BCP_Soles[[#This Row],[fecha]]&gt;0,TEXT(BCP_Soles[[#This Row],[fecha]],"mmmm"),0)</f>
        <v>Octubre</v>
      </c>
    </row>
    <row r="4141" spans="1:27" ht="24" x14ac:dyDescent="0.3">
      <c r="A4141" s="2">
        <f>IF(BCP_Soles[[#This Row],[tipo_registro]]="R",COUNTIFS($C$1:$C4140,"R")+1,A4140)</f>
        <v>2750</v>
      </c>
      <c r="B4141" s="19" t="str">
        <f t="shared" si="372"/>
        <v>B-BCP - Soles</v>
      </c>
      <c r="C4141" s="3" t="s">
        <v>1330</v>
      </c>
      <c r="D4141" s="189">
        <v>45939</v>
      </c>
      <c r="E4141" s="5" t="s">
        <v>1338</v>
      </c>
      <c r="F4141" s="5" t="s">
        <v>1336</v>
      </c>
      <c r="G4141" s="6" t="s">
        <v>249</v>
      </c>
      <c r="H4141" s="6"/>
      <c r="I4141" s="6"/>
      <c r="J4141" s="6"/>
      <c r="K4141" s="7" t="s">
        <v>4701</v>
      </c>
      <c r="L4141" s="8">
        <v>1149744</v>
      </c>
      <c r="M4141" s="8" t="str">
        <f t="shared" si="373"/>
        <v>PEN</v>
      </c>
      <c r="N4141" s="13"/>
      <c r="O4141" s="13">
        <v>4500</v>
      </c>
      <c r="P4141" s="3">
        <f t="shared" si="374"/>
        <v>0</v>
      </c>
      <c r="Q4141" s="3">
        <f t="shared" si="375"/>
        <v>4500</v>
      </c>
      <c r="R4141" s="3">
        <f t="shared" si="376"/>
        <v>2575.5099999999738</v>
      </c>
      <c r="S4141" s="24"/>
      <c r="T4141" s="24" t="s">
        <v>1334</v>
      </c>
      <c r="U4141" s="56" t="s">
        <v>4702</v>
      </c>
      <c r="V4141" s="25">
        <f>IFERROR(VLOOKUP(BCP_Soles[[#This Row],[destinatario]],CHOOSE({1,2},Clientes_Proveedores[Razon Social],Clientes_Proveedores[Ruc / Dni]),2,0),"")</f>
        <v>20302891452</v>
      </c>
      <c r="W4141" s="25"/>
      <c r="X4141" s="25"/>
      <c r="Y4141" s="25"/>
      <c r="Z4141" s="77"/>
      <c r="AA4141" s="3" t="str">
        <f>IF(BCP_Soles[[#This Row],[fecha]]&gt;0,TEXT(BCP_Soles[[#This Row],[fecha]],"mmmm"),0)</f>
        <v>Octubre</v>
      </c>
    </row>
    <row r="4142" spans="1:27" x14ac:dyDescent="0.3">
      <c r="A4142" s="2">
        <f>IF(BCP_Soles[[#This Row],[tipo_registro]]="R",COUNTIFS($C$1:$C4141,"R")+1,A4141)</f>
        <v>2751</v>
      </c>
      <c r="B4142" s="19" t="str">
        <f t="shared" ref="B4142:B4155" si="377">"B-BCP - Soles"</f>
        <v>B-BCP - Soles</v>
      </c>
      <c r="C4142" s="3" t="s">
        <v>1330</v>
      </c>
      <c r="D4142" s="14">
        <v>45939</v>
      </c>
      <c r="E4142" s="5" t="s">
        <v>1335</v>
      </c>
      <c r="F4142" s="5" t="s">
        <v>1336</v>
      </c>
      <c r="G4142" s="6" t="s">
        <v>1009</v>
      </c>
      <c r="H4142" s="6" t="s">
        <v>64</v>
      </c>
      <c r="I4142" s="6"/>
      <c r="J4142" s="6"/>
      <c r="K4142" s="7" t="s">
        <v>3160</v>
      </c>
      <c r="L4142" s="8"/>
      <c r="M4142" s="8" t="str">
        <f t="shared" ref="M4142:M4155" si="378">"PEN"</f>
        <v>PEN</v>
      </c>
      <c r="N4142" s="13"/>
      <c r="O4142" s="13">
        <v>0.3</v>
      </c>
      <c r="P4142" s="3">
        <f t="shared" ref="P4142:P4155" si="379">+IF(OR($F4142="SALDO",$F4142="INGRESO"),$O4142,0)</f>
        <v>0</v>
      </c>
      <c r="Q4142" s="3">
        <f t="shared" ref="Q4142:Q4155" si="380">+IF($F4142="EGRESO",$O4142,0)</f>
        <v>0.3</v>
      </c>
      <c r="R4142" s="3">
        <f t="shared" si="376"/>
        <v>2575.2099999999737</v>
      </c>
      <c r="S4142" s="24"/>
      <c r="T4142" s="24"/>
      <c r="U4142" s="55"/>
      <c r="V4142" s="25">
        <f>IFERROR(VLOOKUP(BCP_Soles[[#This Row],[destinatario]],CHOOSE({1,2},Clientes_Proveedores[Razon Social],Clientes_Proveedores[Ruc / Dni]),2,0),"")</f>
        <v>11111111</v>
      </c>
      <c r="W4142" s="25"/>
      <c r="X4142" s="25"/>
      <c r="Y4142" s="25"/>
      <c r="Z4142" s="77"/>
      <c r="AA4142" s="3" t="str">
        <f>IF(BCP_Soles[[#This Row],[fecha]]&gt;0,TEXT(BCP_Soles[[#This Row],[fecha]],"mmmm"),0)</f>
        <v>Octubre</v>
      </c>
    </row>
    <row r="4143" spans="1:27" x14ac:dyDescent="0.3">
      <c r="A4143" s="2">
        <f>IF(BCP_Soles[[#This Row],[tipo_registro]]="R",COUNTIFS($C$1:$C4142,"R")+1,A4142)</f>
        <v>2752</v>
      </c>
      <c r="B4143" s="19" t="str">
        <f t="shared" si="377"/>
        <v>B-BCP - Soles</v>
      </c>
      <c r="C4143" s="3" t="s">
        <v>1330</v>
      </c>
      <c r="D4143" s="14">
        <v>45940</v>
      </c>
      <c r="E4143" s="5"/>
      <c r="F4143" s="5" t="s">
        <v>1303</v>
      </c>
      <c r="G4143" s="6" t="s">
        <v>425</v>
      </c>
      <c r="H4143" s="6"/>
      <c r="I4143" s="6"/>
      <c r="J4143" s="6"/>
      <c r="K4143" s="7" t="s">
        <v>4703</v>
      </c>
      <c r="L4143" s="8">
        <v>2002774</v>
      </c>
      <c r="M4143" s="8" t="str">
        <f t="shared" si="378"/>
        <v>PEN</v>
      </c>
      <c r="N4143" s="13"/>
      <c r="O4143" s="13">
        <v>4105.2</v>
      </c>
      <c r="P4143" s="3">
        <f t="shared" si="379"/>
        <v>4105.2</v>
      </c>
      <c r="Q4143" s="3">
        <f t="shared" si="380"/>
        <v>0</v>
      </c>
      <c r="R4143" s="3">
        <f t="shared" si="376"/>
        <v>6680.4099999999735</v>
      </c>
      <c r="S4143" s="24"/>
      <c r="T4143" s="24"/>
      <c r="U4143" s="55"/>
      <c r="V4143" s="25">
        <f>IFERROR(VLOOKUP(BCP_Soles[[#This Row],[destinatario]],CHOOSE({1,2},Clientes_Proveedores[Razon Social],Clientes_Proveedores[Ruc / Dni]),2,0),"")</f>
        <v>20558226979</v>
      </c>
      <c r="W4143" s="25"/>
      <c r="X4143" s="25"/>
      <c r="Y4143" s="25"/>
      <c r="Z4143" s="77"/>
      <c r="AA4143" s="3" t="str">
        <f>IF(BCP_Soles[[#This Row],[fecha]]&gt;0,TEXT(BCP_Soles[[#This Row],[fecha]],"mmmm"),0)</f>
        <v>Octubre</v>
      </c>
    </row>
    <row r="4144" spans="1:27" ht="24" x14ac:dyDescent="0.3">
      <c r="A4144" s="2">
        <f>IF(BCP_Soles[[#This Row],[tipo_registro]]="R",COUNTIFS($C$1:$C4143,"R")+1,A4143)</f>
        <v>2753</v>
      </c>
      <c r="B4144" s="19" t="str">
        <f>"B-BCP - Soles"</f>
        <v>B-BCP - Soles</v>
      </c>
      <c r="C4144" s="3" t="s">
        <v>1330</v>
      </c>
      <c r="D4144" s="14">
        <v>45940</v>
      </c>
      <c r="E4144" s="5" t="s">
        <v>4696</v>
      </c>
      <c r="F4144" s="5" t="s">
        <v>1303</v>
      </c>
      <c r="G4144" s="6" t="s">
        <v>425</v>
      </c>
      <c r="H4144" s="6" t="s">
        <v>119</v>
      </c>
      <c r="I4144" s="6">
        <v>1</v>
      </c>
      <c r="J4144" s="6">
        <v>4814</v>
      </c>
      <c r="K4144" s="7" t="s">
        <v>3608</v>
      </c>
      <c r="L4144" s="8">
        <v>1203498</v>
      </c>
      <c r="M4144" s="8" t="str">
        <f>"PEN"</f>
        <v>PEN</v>
      </c>
      <c r="N4144" s="13"/>
      <c r="O4144" s="13">
        <v>234.8</v>
      </c>
      <c r="P4144" s="3">
        <f>+IF(OR($F4144="SALDO",$F4144="INGRESO"),$O4144,0)</f>
        <v>234.8</v>
      </c>
      <c r="Q4144" s="3">
        <f>+IF($F4144="EGRESO",$O4144,0)</f>
        <v>0</v>
      </c>
      <c r="R4144" s="3">
        <f t="shared" si="376"/>
        <v>6915.2099999999737</v>
      </c>
      <c r="S4144" s="24" t="s">
        <v>1334</v>
      </c>
      <c r="T4144" s="24" t="s">
        <v>1334</v>
      </c>
      <c r="U4144" s="55"/>
      <c r="V4144" s="25">
        <f>IFERROR(VLOOKUP(BCP_Soles[[#This Row],[destinatario]],CHOOSE({1,2},Clientes_Proveedores[Razon Social],Clientes_Proveedores[Ruc / Dni]),2,0),"")</f>
        <v>20558226979</v>
      </c>
      <c r="W4144" s="25"/>
      <c r="X4144" s="25"/>
      <c r="Y4144" s="25"/>
      <c r="Z4144" s="77"/>
      <c r="AA4144" s="3" t="str">
        <f>IF(BCP_Soles[[#This Row],[fecha]]&gt;0,TEXT(BCP_Soles[[#This Row],[fecha]],"mmmm"),0)</f>
        <v>Octubre</v>
      </c>
    </row>
    <row r="4145" spans="1:27" ht="24" x14ac:dyDescent="0.3">
      <c r="A4145" s="2">
        <f>IF(BCP_Soles[[#This Row],[tipo_registro]]="R",COUNTIFS($C$1:$C4144,"R")+1,A4144)</f>
        <v>2754</v>
      </c>
      <c r="B4145" s="19" t="str">
        <f>"B-BCP - Soles"</f>
        <v>B-BCP - Soles</v>
      </c>
      <c r="C4145" s="3" t="s">
        <v>1330</v>
      </c>
      <c r="D4145" s="14">
        <v>45940</v>
      </c>
      <c r="E4145" s="5" t="s">
        <v>4696</v>
      </c>
      <c r="F4145" s="5" t="s">
        <v>1303</v>
      </c>
      <c r="G4145" s="6" t="s">
        <v>425</v>
      </c>
      <c r="H4145" s="6" t="s">
        <v>119</v>
      </c>
      <c r="I4145" s="6">
        <v>1</v>
      </c>
      <c r="J4145" s="6">
        <v>4814</v>
      </c>
      <c r="K4145" s="7" t="s">
        <v>3608</v>
      </c>
      <c r="L4145" s="8">
        <v>1127780</v>
      </c>
      <c r="M4145" s="8" t="str">
        <f>"PEN"</f>
        <v>PEN</v>
      </c>
      <c r="N4145" s="13"/>
      <c r="O4145" s="13">
        <v>430</v>
      </c>
      <c r="P4145" s="3">
        <f>+IF(OR($F4145="SALDO",$F4145="INGRESO"),$O4145,0)</f>
        <v>430</v>
      </c>
      <c r="Q4145" s="3">
        <f>+IF($F4145="EGRESO",$O4145,0)</f>
        <v>0</v>
      </c>
      <c r="R4145" s="3">
        <f t="shared" si="376"/>
        <v>7345.2099999999737</v>
      </c>
      <c r="S4145" s="24" t="s">
        <v>1334</v>
      </c>
      <c r="T4145" s="24" t="s">
        <v>1334</v>
      </c>
      <c r="U4145" s="55"/>
      <c r="V4145" s="25">
        <f>IFERROR(VLOOKUP(BCP_Soles[[#This Row],[destinatario]],CHOOSE({1,2},Clientes_Proveedores[Razon Social],Clientes_Proveedores[Ruc / Dni]),2,0),"")</f>
        <v>20558226979</v>
      </c>
      <c r="W4145" s="25"/>
      <c r="X4145" s="25"/>
      <c r="Y4145" s="25"/>
      <c r="Z4145" s="77"/>
      <c r="AA4145" s="3" t="str">
        <f>IF(BCP_Soles[[#This Row],[fecha]]&gt;0,TEXT(BCP_Soles[[#This Row],[fecha]],"mmmm"),0)</f>
        <v>Octubre</v>
      </c>
    </row>
    <row r="4146" spans="1:27" x14ac:dyDescent="0.3">
      <c r="A4146" s="2">
        <f>IF(BCP_Soles[[#This Row],[tipo_registro]]="R",COUNTIFS($C$1:$C4145,"R")+1,A4145)</f>
        <v>2755</v>
      </c>
      <c r="B4146" s="19" t="str">
        <f>"B-BCP - Soles"</f>
        <v>B-BCP - Soles</v>
      </c>
      <c r="C4146" s="3" t="s">
        <v>1330</v>
      </c>
      <c r="D4146" s="14">
        <v>45940</v>
      </c>
      <c r="E4146" s="5" t="s">
        <v>286</v>
      </c>
      <c r="F4146" s="5" t="s">
        <v>1303</v>
      </c>
      <c r="G4146" s="6" t="s">
        <v>425</v>
      </c>
      <c r="H4146" s="6" t="s">
        <v>68</v>
      </c>
      <c r="I4146" s="6" t="s">
        <v>1784</v>
      </c>
      <c r="J4146" s="6">
        <v>264</v>
      </c>
      <c r="K4146" s="7" t="s">
        <v>4024</v>
      </c>
      <c r="L4146" s="8">
        <v>2436</v>
      </c>
      <c r="M4146" s="8" t="str">
        <f>"PEN"</f>
        <v>PEN</v>
      </c>
      <c r="N4146" s="13"/>
      <c r="O4146" s="13">
        <v>2458.08</v>
      </c>
      <c r="P4146" s="3">
        <f>+IF(OR($F4146="SALDO",$F4146="INGRESO"),$O4146,0)</f>
        <v>2458.08</v>
      </c>
      <c r="Q4146" s="3">
        <f>+IF($F4146="EGRESO",$O4146,0)</f>
        <v>0</v>
      </c>
      <c r="R4146" s="3">
        <f t="shared" si="376"/>
        <v>9803.2899999999736</v>
      </c>
      <c r="S4146" s="24" t="s">
        <v>1334</v>
      </c>
      <c r="T4146" s="24" t="s">
        <v>1334</v>
      </c>
      <c r="U4146" s="55"/>
      <c r="V4146" s="25">
        <f>IFERROR(VLOOKUP(BCP_Soles[[#This Row],[destinatario]],CHOOSE({1,2},Clientes_Proveedores[Razon Social],Clientes_Proveedores[Ruc / Dni]),2,0),"")</f>
        <v>20558226979</v>
      </c>
      <c r="W4146" s="25"/>
      <c r="X4146" s="25"/>
      <c r="Y4146" s="25"/>
      <c r="Z4146" s="77"/>
      <c r="AA4146" s="3" t="str">
        <f>IF(BCP_Soles[[#This Row],[fecha]]&gt;0,TEXT(BCP_Soles[[#This Row],[fecha]],"mmmm"),0)</f>
        <v>Octubre</v>
      </c>
    </row>
    <row r="4147" spans="1:27" x14ac:dyDescent="0.3">
      <c r="A4147" s="2">
        <f>IF(BCP_Soles[[#This Row],[tipo_registro]]="R",COUNTIFS($C$1:$C4146,"R")+1,A4146)</f>
        <v>2756</v>
      </c>
      <c r="B4147" s="19" t="str">
        <f>"B-BCP - Soles"</f>
        <v>B-BCP - Soles</v>
      </c>
      <c r="C4147" s="3" t="s">
        <v>1330</v>
      </c>
      <c r="D4147" s="14">
        <v>45940</v>
      </c>
      <c r="E4147" s="5" t="s">
        <v>4704</v>
      </c>
      <c r="F4147" s="5" t="s">
        <v>1303</v>
      </c>
      <c r="G4147" s="6" t="s">
        <v>425</v>
      </c>
      <c r="H4147" s="6" t="s">
        <v>119</v>
      </c>
      <c r="I4147" s="6">
        <v>1</v>
      </c>
      <c r="J4147" s="6">
        <v>4824</v>
      </c>
      <c r="K4147" s="7" t="s">
        <v>3608</v>
      </c>
      <c r="L4147" s="8">
        <v>2340563</v>
      </c>
      <c r="M4147" s="8" t="str">
        <f>"PEN"</f>
        <v>PEN</v>
      </c>
      <c r="N4147" s="13"/>
      <c r="O4147" s="13">
        <v>12</v>
      </c>
      <c r="P4147" s="3">
        <f>+IF(OR($F4147="SALDO",$F4147="INGRESO"),$O4147,0)</f>
        <v>12</v>
      </c>
      <c r="Q4147" s="3">
        <f>+IF($F4147="EGRESO",$O4147,0)</f>
        <v>0</v>
      </c>
      <c r="R4147" s="3">
        <f t="shared" si="376"/>
        <v>9815.2899999999736</v>
      </c>
      <c r="S4147" s="24" t="s">
        <v>1334</v>
      </c>
      <c r="T4147" s="24" t="s">
        <v>1334</v>
      </c>
      <c r="U4147" s="55"/>
      <c r="V4147" s="25">
        <f>IFERROR(VLOOKUP(BCP_Soles[[#This Row],[destinatario]],CHOOSE({1,2},Clientes_Proveedores[Razon Social],Clientes_Proveedores[Ruc / Dni]),2,0),"")</f>
        <v>20558226979</v>
      </c>
      <c r="W4147" s="25"/>
      <c r="X4147" s="25"/>
      <c r="Y4147" s="25"/>
      <c r="Z4147" s="77"/>
      <c r="AA4147" s="3" t="str">
        <f>IF(BCP_Soles[[#This Row],[fecha]]&gt;0,TEXT(BCP_Soles[[#This Row],[fecha]],"mmmm"),0)</f>
        <v>Octubre</v>
      </c>
    </row>
    <row r="4148" spans="1:27" ht="36" x14ac:dyDescent="0.3">
      <c r="A4148" s="2">
        <f>IF(BCP_Soles[[#This Row],[tipo_registro]]="R",COUNTIFS($C$1:$C4147,"R")+1,A4147)</f>
        <v>2757</v>
      </c>
      <c r="B4148" s="19" t="str">
        <f>"B-BCP - Soles"</f>
        <v>B-BCP - Soles</v>
      </c>
      <c r="C4148" s="3" t="s">
        <v>1330</v>
      </c>
      <c r="D4148" s="14">
        <v>45940</v>
      </c>
      <c r="E4148" s="5" t="s">
        <v>237</v>
      </c>
      <c r="F4148" s="5" t="s">
        <v>1303</v>
      </c>
      <c r="G4148" s="6" t="s">
        <v>425</v>
      </c>
      <c r="H4148" s="6" t="s">
        <v>68</v>
      </c>
      <c r="I4148" s="6" t="s">
        <v>1784</v>
      </c>
      <c r="J4148" s="6">
        <v>275</v>
      </c>
      <c r="K4148" s="7" t="s">
        <v>4705</v>
      </c>
      <c r="L4148" s="8">
        <v>5413495</v>
      </c>
      <c r="M4148" s="8" t="str">
        <f>"PEN"</f>
        <v>PEN</v>
      </c>
      <c r="N4148" s="13"/>
      <c r="O4148" s="13">
        <v>1902.76</v>
      </c>
      <c r="P4148" s="3">
        <f>+IF(OR($F4148="SALDO",$F4148="INGRESO"),$O4148,0)</f>
        <v>1902.76</v>
      </c>
      <c r="Q4148" s="3">
        <f>+IF($F4148="EGRESO",$O4148,0)</f>
        <v>0</v>
      </c>
      <c r="R4148" s="3">
        <f t="shared" si="376"/>
        <v>11718.049999999974</v>
      </c>
      <c r="S4148" s="24" t="s">
        <v>1334</v>
      </c>
      <c r="T4148" s="24" t="s">
        <v>1334</v>
      </c>
      <c r="U4148" s="55"/>
      <c r="V4148" s="25">
        <f>IFERROR(VLOOKUP(BCP_Soles[[#This Row],[destinatario]],CHOOSE({1,2},Clientes_Proveedores[Razon Social],Clientes_Proveedores[Ruc / Dni]),2,0),"")</f>
        <v>20558226979</v>
      </c>
      <c r="W4148" s="25"/>
      <c r="X4148" s="25"/>
      <c r="Y4148" s="25"/>
      <c r="Z4148" s="77"/>
      <c r="AA4148" s="3" t="str">
        <f>IF(BCP_Soles[[#This Row],[fecha]]&gt;0,TEXT(BCP_Soles[[#This Row],[fecha]],"mmmm"),0)</f>
        <v>Octubre</v>
      </c>
    </row>
    <row r="4149" spans="1:27" ht="24" x14ac:dyDescent="0.3">
      <c r="A4149" s="2">
        <f>IF(BCP_Soles[[#This Row],[tipo_registro]]="R",COUNTIFS($C$1:$C4148,"R")+1,A4148)</f>
        <v>2758</v>
      </c>
      <c r="B4149" s="19" t="str">
        <f t="shared" si="377"/>
        <v>B-BCP - Soles</v>
      </c>
      <c r="C4149" s="3" t="s">
        <v>1330</v>
      </c>
      <c r="D4149" s="14">
        <v>45940</v>
      </c>
      <c r="E4149" s="5" t="s">
        <v>1338</v>
      </c>
      <c r="F4149" s="5" t="s">
        <v>1336</v>
      </c>
      <c r="G4149" s="191" t="s">
        <v>698</v>
      </c>
      <c r="H4149" s="6"/>
      <c r="I4149" s="6"/>
      <c r="J4149" s="6"/>
      <c r="K4149" s="106" t="s">
        <v>4706</v>
      </c>
      <c r="L4149" s="8">
        <v>4001025</v>
      </c>
      <c r="M4149" s="8" t="str">
        <f t="shared" si="378"/>
        <v>PEN</v>
      </c>
      <c r="N4149" s="13"/>
      <c r="O4149" s="13">
        <v>3219.5</v>
      </c>
      <c r="P4149" s="3">
        <f t="shared" si="379"/>
        <v>0</v>
      </c>
      <c r="Q4149" s="3">
        <f t="shared" si="380"/>
        <v>3219.5</v>
      </c>
      <c r="R4149" s="3">
        <f t="shared" si="376"/>
        <v>8498.5499999999738</v>
      </c>
      <c r="S4149" s="24"/>
      <c r="T4149" s="24"/>
      <c r="U4149" s="56" t="s">
        <v>4707</v>
      </c>
      <c r="V4149" s="25">
        <f>IFERROR(VLOOKUP(BCP_Soles[[#This Row],[destinatario]],CHOOSE({1,2},Clientes_Proveedores[Razon Social],Clientes_Proveedores[Ruc / Dni]),2,0),"")</f>
        <v>10296347634</v>
      </c>
      <c r="W4149" s="25"/>
      <c r="X4149" s="25"/>
      <c r="Y4149" s="25"/>
      <c r="Z4149" s="77"/>
      <c r="AA4149" s="3" t="str">
        <f>IF(BCP_Soles[[#This Row],[fecha]]&gt;0,TEXT(BCP_Soles[[#This Row],[fecha]],"mmmm"),0)</f>
        <v>Octubre</v>
      </c>
    </row>
    <row r="4150" spans="1:27" ht="24" x14ac:dyDescent="0.3">
      <c r="A4150" s="2">
        <f>IF(BCP_Soles[[#This Row],[tipo_registro]]="R",COUNTIFS($C$1:$C4149,"R")+1,A4149)</f>
        <v>2758</v>
      </c>
      <c r="B4150" s="19" t="str">
        <f>"B-BCP - Soles"</f>
        <v>B-BCP - Soles</v>
      </c>
      <c r="C4150" s="3" t="s">
        <v>1352</v>
      </c>
      <c r="D4150" s="14">
        <v>45940</v>
      </c>
      <c r="E4150" s="5" t="s">
        <v>1338</v>
      </c>
      <c r="F4150" s="5" t="s">
        <v>1336</v>
      </c>
      <c r="G4150" s="191" t="s">
        <v>698</v>
      </c>
      <c r="H4150" s="6"/>
      <c r="I4150" s="6"/>
      <c r="J4150" s="6"/>
      <c r="K4150" s="106" t="s">
        <v>4706</v>
      </c>
      <c r="L4150" s="8">
        <v>4001025</v>
      </c>
      <c r="M4150" s="8" t="str">
        <f>"PEN"</f>
        <v>PEN</v>
      </c>
      <c r="N4150" s="13">
        <v>3200</v>
      </c>
      <c r="O4150" s="13"/>
      <c r="P4150" s="3">
        <f>+IF(OR($F4150="SALDO",$F4150="INGRESO"),$O4150,0)</f>
        <v>0</v>
      </c>
      <c r="Q4150" s="3">
        <f>+IF($F4150="EGRESO",$O4150,0)</f>
        <v>0</v>
      </c>
      <c r="R4150" s="3">
        <f t="shared" si="376"/>
        <v>8498.5499999999738</v>
      </c>
      <c r="S4150" s="24"/>
      <c r="T4150" s="24"/>
      <c r="U4150" s="56" t="s">
        <v>4707</v>
      </c>
      <c r="V4150" s="25">
        <f>IFERROR(VLOOKUP(BCP_Soles[[#This Row],[destinatario]],CHOOSE({1,2},Clientes_Proveedores[Razon Social],Clientes_Proveedores[Ruc / Dni]),2,0),"")</f>
        <v>10296347634</v>
      </c>
      <c r="W4150" s="25"/>
      <c r="X4150" s="25"/>
      <c r="Y4150" s="25"/>
      <c r="Z4150" s="77"/>
      <c r="AA4150" s="3" t="str">
        <f>IF(BCP_Soles[[#This Row],[fecha]]&gt;0,TEXT(BCP_Soles[[#This Row],[fecha]],"mmmm"),0)</f>
        <v>Octubre</v>
      </c>
    </row>
    <row r="4151" spans="1:27" ht="24" x14ac:dyDescent="0.3">
      <c r="A4151" s="2">
        <f>IF(BCP_Soles[[#This Row],[tipo_registro]]="R",COUNTIFS($C$1:$C4150,"R")+1,A4150)</f>
        <v>2758</v>
      </c>
      <c r="B4151" s="19" t="str">
        <f>"B-BCP - Soles"</f>
        <v>B-BCP - Soles</v>
      </c>
      <c r="C4151" s="3" t="s">
        <v>1352</v>
      </c>
      <c r="D4151" s="14">
        <v>45940</v>
      </c>
      <c r="E4151" s="5" t="s">
        <v>1338</v>
      </c>
      <c r="F4151" s="5" t="s">
        <v>1336</v>
      </c>
      <c r="G4151" s="191" t="s">
        <v>1060</v>
      </c>
      <c r="H4151" s="6" t="s">
        <v>68</v>
      </c>
      <c r="I4151" s="6" t="s">
        <v>1397</v>
      </c>
      <c r="J4151" s="6">
        <v>37826030</v>
      </c>
      <c r="K4151" s="106" t="s">
        <v>4706</v>
      </c>
      <c r="L4151" s="8">
        <v>4001025</v>
      </c>
      <c r="M4151" s="8" t="str">
        <f>"PEN"</f>
        <v>PEN</v>
      </c>
      <c r="N4151" s="13">
        <v>19.5</v>
      </c>
      <c r="O4151" s="13"/>
      <c r="P4151" s="3">
        <f>+IF(OR($F4151="SALDO",$F4151="INGRESO"),$O4151,0)</f>
        <v>0</v>
      </c>
      <c r="Q4151" s="3">
        <f>+IF($F4151="EGRESO",$O4151,0)</f>
        <v>0</v>
      </c>
      <c r="R4151" s="3">
        <f t="shared" si="376"/>
        <v>8498.5499999999738</v>
      </c>
      <c r="S4151" s="24" t="s">
        <v>1334</v>
      </c>
      <c r="T4151" s="24"/>
      <c r="U4151" s="56"/>
      <c r="V4151" s="25">
        <f>IFERROR(VLOOKUP(BCP_Soles[[#This Row],[destinatario]],CHOOSE({1,2},Clientes_Proveedores[Razon Social],Clientes_Proveedores[Ruc / Dni]),2,0),"")</f>
        <v>20100047218</v>
      </c>
      <c r="W4151" s="25"/>
      <c r="X4151" s="25"/>
      <c r="Y4151" s="25"/>
      <c r="Z4151" s="77"/>
      <c r="AA4151" s="3" t="str">
        <f>IF(BCP_Soles[[#This Row],[fecha]]&gt;0,TEXT(BCP_Soles[[#This Row],[fecha]],"mmmm"),0)</f>
        <v>Octubre</v>
      </c>
    </row>
    <row r="4152" spans="1:27" ht="24" x14ac:dyDescent="0.3">
      <c r="A4152" s="2">
        <f>IF(BCP_Soles[[#This Row],[tipo_registro]]="R",COUNTIFS($C$1:$C4151,"R")+1,A4151)</f>
        <v>2759</v>
      </c>
      <c r="B4152" s="19" t="str">
        <f t="shared" si="377"/>
        <v>B-BCP - Soles</v>
      </c>
      <c r="C4152" s="3" t="s">
        <v>1330</v>
      </c>
      <c r="D4152" s="14">
        <v>45940</v>
      </c>
      <c r="E4152" s="5" t="s">
        <v>1338</v>
      </c>
      <c r="F4152" s="5" t="s">
        <v>1336</v>
      </c>
      <c r="G4152" s="6" t="s">
        <v>1252</v>
      </c>
      <c r="H4152" s="6" t="s">
        <v>68</v>
      </c>
      <c r="I4152" s="6" t="s">
        <v>1376</v>
      </c>
      <c r="J4152" s="6">
        <v>627</v>
      </c>
      <c r="K4152" s="106" t="s">
        <v>4708</v>
      </c>
      <c r="L4152" s="8">
        <v>1001277</v>
      </c>
      <c r="M4152" s="8" t="str">
        <f t="shared" si="378"/>
        <v>PEN</v>
      </c>
      <c r="N4152" s="13"/>
      <c r="O4152" s="13">
        <v>1344</v>
      </c>
      <c r="P4152" s="3">
        <f t="shared" si="379"/>
        <v>0</v>
      </c>
      <c r="Q4152" s="3">
        <f t="shared" si="380"/>
        <v>1344</v>
      </c>
      <c r="R4152" s="3">
        <f t="shared" si="376"/>
        <v>7154.5499999999738</v>
      </c>
      <c r="S4152" s="24" t="s">
        <v>1334</v>
      </c>
      <c r="T4152" s="24" t="s">
        <v>1334</v>
      </c>
      <c r="U4152" s="56" t="s">
        <v>4709</v>
      </c>
      <c r="V4152" s="25">
        <f>IFERROR(VLOOKUP(BCP_Soles[[#This Row],[destinatario]],CHOOSE({1,2},Clientes_Proveedores[Razon Social],Clientes_Proveedores[Ruc / Dni]),2,0),"")</f>
        <v>10435010062</v>
      </c>
      <c r="W4152" s="25"/>
      <c r="X4152" s="25"/>
      <c r="Y4152" s="25"/>
      <c r="Z4152" s="77"/>
      <c r="AA4152" s="3" t="str">
        <f>IF(BCP_Soles[[#This Row],[fecha]]&gt;0,TEXT(BCP_Soles[[#This Row],[fecha]],"mmmm"),0)</f>
        <v>Octubre</v>
      </c>
    </row>
    <row r="4153" spans="1:27" ht="24" x14ac:dyDescent="0.3">
      <c r="A4153" s="2">
        <f>IF(BCP_Soles[[#This Row],[tipo_registro]]="R",COUNTIFS($C$1:$C4152,"R")+1,A4152)</f>
        <v>2760</v>
      </c>
      <c r="B4153" s="19" t="str">
        <f t="shared" si="377"/>
        <v>B-BCP - Soles</v>
      </c>
      <c r="C4153" s="3" t="s">
        <v>1330</v>
      </c>
      <c r="D4153" s="14">
        <v>45940</v>
      </c>
      <c r="E4153" s="5" t="s">
        <v>1338</v>
      </c>
      <c r="F4153" s="5" t="s">
        <v>1336</v>
      </c>
      <c r="G4153" s="186" t="s">
        <v>976</v>
      </c>
      <c r="H4153" s="6" t="s">
        <v>68</v>
      </c>
      <c r="I4153" s="6" t="s">
        <v>1374</v>
      </c>
      <c r="J4153" s="6">
        <v>1987</v>
      </c>
      <c r="K4153" s="194" t="s">
        <v>4710</v>
      </c>
      <c r="L4153" s="8">
        <v>1001786</v>
      </c>
      <c r="M4153" s="8" t="str">
        <f t="shared" si="378"/>
        <v>PEN</v>
      </c>
      <c r="N4153" s="13"/>
      <c r="O4153" s="13">
        <v>983.01</v>
      </c>
      <c r="P4153" s="3">
        <f t="shared" si="379"/>
        <v>0</v>
      </c>
      <c r="Q4153" s="3">
        <f t="shared" si="380"/>
        <v>983.01</v>
      </c>
      <c r="R4153" s="3">
        <f t="shared" si="376"/>
        <v>6171.5399999999736</v>
      </c>
      <c r="S4153" s="24" t="s">
        <v>1334</v>
      </c>
      <c r="T4153" s="24" t="s">
        <v>1334</v>
      </c>
      <c r="U4153" s="56" t="s">
        <v>4709</v>
      </c>
      <c r="V4153" s="25">
        <f>IFERROR(VLOOKUP(BCP_Soles[[#This Row],[destinatario]],CHOOSE({1,2},Clientes_Proveedores[Razon Social],Clientes_Proveedores[Ruc / Dni]),2,0),"")</f>
        <v>20454029918</v>
      </c>
      <c r="W4153" s="25"/>
      <c r="X4153" s="25"/>
      <c r="Y4153" s="25"/>
      <c r="Z4153" s="77"/>
      <c r="AA4153" s="3" t="str">
        <f>IF(BCP_Soles[[#This Row],[fecha]]&gt;0,TEXT(BCP_Soles[[#This Row],[fecha]],"mmmm"),0)</f>
        <v>Octubre</v>
      </c>
    </row>
    <row r="4154" spans="1:27" ht="36" x14ac:dyDescent="0.3">
      <c r="A4154" s="2">
        <f>IF(BCP_Soles[[#This Row],[tipo_registro]]="R",COUNTIFS($C$1:$C4153,"R")+1,A4153)</f>
        <v>2761</v>
      </c>
      <c r="B4154" s="19" t="str">
        <f t="shared" si="377"/>
        <v>B-BCP - Soles</v>
      </c>
      <c r="C4154" s="3" t="s">
        <v>1330</v>
      </c>
      <c r="D4154" s="14">
        <v>45940</v>
      </c>
      <c r="E4154" s="5" t="s">
        <v>1338</v>
      </c>
      <c r="F4154" s="5" t="s">
        <v>1336</v>
      </c>
      <c r="G4154" s="6" t="s">
        <v>1256</v>
      </c>
      <c r="H4154" s="6" t="s">
        <v>68</v>
      </c>
      <c r="I4154" s="6" t="s">
        <v>1376</v>
      </c>
      <c r="J4154" s="6">
        <v>692</v>
      </c>
      <c r="K4154" s="106" t="s">
        <v>4711</v>
      </c>
      <c r="L4154" s="8">
        <v>1001276</v>
      </c>
      <c r="M4154" s="8" t="str">
        <f t="shared" si="378"/>
        <v>PEN</v>
      </c>
      <c r="N4154" s="13"/>
      <c r="O4154" s="13">
        <v>336.25</v>
      </c>
      <c r="P4154" s="3">
        <f t="shared" si="379"/>
        <v>0</v>
      </c>
      <c r="Q4154" s="3">
        <f t="shared" si="380"/>
        <v>336.25</v>
      </c>
      <c r="R4154" s="3">
        <f t="shared" si="376"/>
        <v>5835.2899999999736</v>
      </c>
      <c r="S4154" s="24" t="s">
        <v>1334</v>
      </c>
      <c r="T4154" s="24" t="s">
        <v>1334</v>
      </c>
      <c r="U4154" s="56" t="s">
        <v>4712</v>
      </c>
      <c r="V4154" s="25">
        <f>IFERROR(VLOOKUP(BCP_Soles[[#This Row],[destinatario]],CHOOSE({1,2},Clientes_Proveedores[Razon Social],Clientes_Proveedores[Ruc / Dni]),2,0),"")</f>
        <v>20612092878</v>
      </c>
      <c r="W4154" s="25"/>
      <c r="X4154" s="25"/>
      <c r="Y4154" s="25"/>
      <c r="Z4154" s="77"/>
      <c r="AA4154" s="3" t="str">
        <f>IF(BCP_Soles[[#This Row],[fecha]]&gt;0,TEXT(BCP_Soles[[#This Row],[fecha]],"mmmm"),0)</f>
        <v>Octubre</v>
      </c>
    </row>
    <row r="4155" spans="1:27" ht="24" x14ac:dyDescent="0.3">
      <c r="A4155" s="2">
        <f>IF(BCP_Soles[[#This Row],[tipo_registro]]="R",COUNTIFS($C$1:$C4154,"R")+1,A4154)</f>
        <v>2762</v>
      </c>
      <c r="B4155" s="19" t="str">
        <f t="shared" si="377"/>
        <v>B-BCP - Soles</v>
      </c>
      <c r="C4155" s="3" t="s">
        <v>1330</v>
      </c>
      <c r="D4155" s="14">
        <v>45940</v>
      </c>
      <c r="E4155" s="5" t="s">
        <v>1338</v>
      </c>
      <c r="F4155" s="5" t="s">
        <v>1336</v>
      </c>
      <c r="G4155" s="6" t="s">
        <v>967</v>
      </c>
      <c r="H4155" s="6" t="s">
        <v>143</v>
      </c>
      <c r="I4155" s="6">
        <v>1</v>
      </c>
      <c r="J4155" s="6">
        <v>822025</v>
      </c>
      <c r="K4155" s="7" t="s">
        <v>4713</v>
      </c>
      <c r="L4155" s="8">
        <v>1137788</v>
      </c>
      <c r="M4155" s="8" t="str">
        <f t="shared" si="378"/>
        <v>PEN</v>
      </c>
      <c r="N4155" s="13"/>
      <c r="O4155" s="13">
        <v>600</v>
      </c>
      <c r="P4155" s="3">
        <f t="shared" si="379"/>
        <v>0</v>
      </c>
      <c r="Q4155" s="3">
        <f t="shared" si="380"/>
        <v>600</v>
      </c>
      <c r="R4155" s="3">
        <f t="shared" si="376"/>
        <v>5235.2899999999736</v>
      </c>
      <c r="S4155" s="24"/>
      <c r="T4155" s="24"/>
      <c r="U4155" s="55"/>
      <c r="V4155" s="25">
        <f>IFERROR(VLOOKUP(BCP_Soles[[#This Row],[destinatario]],CHOOSE({1,2},Clientes_Proveedores[Razon Social],Clientes_Proveedores[Ruc / Dni]),2,0),"")</f>
        <v>70517150</v>
      </c>
      <c r="W4155" s="25"/>
      <c r="X4155" s="25"/>
      <c r="Y4155" s="25"/>
      <c r="Z4155" s="77"/>
      <c r="AA4155" s="3" t="str">
        <f>IF(BCP_Soles[[#This Row],[fecha]]&gt;0,TEXT(BCP_Soles[[#This Row],[fecha]],"mmmm"),0)</f>
        <v>Octubre</v>
      </c>
    </row>
    <row r="4156" spans="1:27" x14ac:dyDescent="0.3">
      <c r="A4156" s="2">
        <f>IF(BCP_Soles[[#This Row],[tipo_registro]]="R",COUNTIFS($C$1:$C4155,"R")+1,A4155)</f>
        <v>2763</v>
      </c>
      <c r="B4156" s="19" t="str">
        <f t="shared" ref="B4156:B4166" si="381">"B-BCP - Soles"</f>
        <v>B-BCP - Soles</v>
      </c>
      <c r="C4156" s="3" t="s">
        <v>1330</v>
      </c>
      <c r="D4156" s="14">
        <v>45940</v>
      </c>
      <c r="E4156" s="5" t="s">
        <v>1338</v>
      </c>
      <c r="F4156" s="5" t="s">
        <v>1336</v>
      </c>
      <c r="G4156" s="191" t="s">
        <v>407</v>
      </c>
      <c r="H4156" s="6" t="s">
        <v>68</v>
      </c>
      <c r="I4156" s="6" t="s">
        <v>4714</v>
      </c>
      <c r="J4156" s="6">
        <v>8488</v>
      </c>
      <c r="K4156" s="7" t="s">
        <v>4715</v>
      </c>
      <c r="L4156" s="8">
        <v>209144</v>
      </c>
      <c r="M4156" s="8" t="str">
        <f t="shared" ref="M4156:M4166" si="382">"PEN"</f>
        <v>PEN</v>
      </c>
      <c r="N4156" s="13"/>
      <c r="O4156" s="13">
        <v>196.52</v>
      </c>
      <c r="P4156" s="3">
        <f t="shared" ref="P4156:P4174" si="383">+IF(OR($F4156="SALDO",$F4156="INGRESO"),$O4156,0)</f>
        <v>0</v>
      </c>
      <c r="Q4156" s="3">
        <f t="shared" ref="Q4156:Q4174" si="384">+IF($F4156="EGRESO",$O4156,0)</f>
        <v>196.52</v>
      </c>
      <c r="R4156" s="3">
        <f t="shared" si="376"/>
        <v>5038.7699999999732</v>
      </c>
      <c r="S4156" s="24" t="s">
        <v>1334</v>
      </c>
      <c r="T4156" s="24" t="s">
        <v>1334</v>
      </c>
      <c r="U4156" s="56" t="s">
        <v>4716</v>
      </c>
      <c r="V4156" s="25">
        <f>IFERROR(VLOOKUP(BCP_Soles[[#This Row],[destinatario]],CHOOSE({1,2},Clientes_Proveedores[Razon Social],Clientes_Proveedores[Ruc / Dni]),2,0),"")</f>
        <v>20549068201</v>
      </c>
      <c r="W4156" s="25"/>
      <c r="X4156" s="25"/>
      <c r="Y4156" s="25"/>
      <c r="Z4156" s="77"/>
      <c r="AA4156" s="3" t="str">
        <f>IF(BCP_Soles[[#This Row],[fecha]]&gt;0,TEXT(BCP_Soles[[#This Row],[fecha]],"mmmm"),0)</f>
        <v>Octubre</v>
      </c>
    </row>
    <row r="4157" spans="1:27" ht="24" x14ac:dyDescent="0.3">
      <c r="A4157" s="2">
        <f>IF(BCP_Soles[[#This Row],[tipo_registro]]="R",COUNTIFS($C$1:$C4156,"R")+1,A4156)</f>
        <v>2764</v>
      </c>
      <c r="B4157" s="19" t="str">
        <f t="shared" si="381"/>
        <v>B-BCP - Soles</v>
      </c>
      <c r="C4157" s="3" t="s">
        <v>1330</v>
      </c>
      <c r="D4157" s="14">
        <v>45940</v>
      </c>
      <c r="E4157" s="5" t="s">
        <v>1338</v>
      </c>
      <c r="F4157" s="5" t="s">
        <v>1336</v>
      </c>
      <c r="G4157" s="191" t="s">
        <v>165</v>
      </c>
      <c r="H4157" s="6"/>
      <c r="I4157" s="191"/>
      <c r="J4157" s="191"/>
      <c r="K4157" s="106" t="s">
        <v>4717</v>
      </c>
      <c r="L4157" s="192">
        <v>1137789</v>
      </c>
      <c r="M4157" s="192" t="str">
        <f t="shared" si="382"/>
        <v>PEN</v>
      </c>
      <c r="N4157" s="193"/>
      <c r="O4157" s="193">
        <v>650</v>
      </c>
      <c r="P4157" s="3">
        <f t="shared" si="383"/>
        <v>0</v>
      </c>
      <c r="Q4157" s="3">
        <f t="shared" si="384"/>
        <v>650</v>
      </c>
      <c r="R4157" s="3">
        <f t="shared" si="376"/>
        <v>4388.7699999999732</v>
      </c>
      <c r="S4157" s="24" t="s">
        <v>1334</v>
      </c>
      <c r="T4157" s="24" t="s">
        <v>1334</v>
      </c>
      <c r="U4157" s="56" t="s">
        <v>4718</v>
      </c>
      <c r="V4157" s="25">
        <f>IFERROR(VLOOKUP(BCP_Soles[[#This Row],[destinatario]],CHOOSE({1,2},Clientes_Proveedores[Razon Social],Clientes_Proveedores[Ruc / Dni]),2,0),"")</f>
        <v>10418721435</v>
      </c>
      <c r="W4157" s="25"/>
      <c r="X4157" s="25"/>
      <c r="Y4157" s="25"/>
      <c r="Z4157" s="77"/>
      <c r="AA4157" s="3" t="str">
        <f>IF(BCP_Soles[[#This Row],[fecha]]&gt;0,TEXT(BCP_Soles[[#This Row],[fecha]],"mmmm"),0)</f>
        <v>Octubre</v>
      </c>
    </row>
    <row r="4158" spans="1:27" ht="24" x14ac:dyDescent="0.3">
      <c r="A4158" s="2">
        <f>IF(BCP_Soles[[#This Row],[tipo_registro]]="R",COUNTIFS($C$1:$C4157,"R")+1,A4157)</f>
        <v>2764</v>
      </c>
      <c r="B4158" s="19" t="str">
        <f>"B-BCP - Soles"</f>
        <v>B-BCP - Soles</v>
      </c>
      <c r="C4158" s="3" t="s">
        <v>1352</v>
      </c>
      <c r="D4158" s="14">
        <v>45940</v>
      </c>
      <c r="E4158" s="5" t="s">
        <v>1338</v>
      </c>
      <c r="F4158" s="5" t="s">
        <v>1336</v>
      </c>
      <c r="G4158" s="191" t="s">
        <v>165</v>
      </c>
      <c r="H4158" s="6" t="s">
        <v>72</v>
      </c>
      <c r="I4158" s="6" t="s">
        <v>1376</v>
      </c>
      <c r="J4158" s="6">
        <v>165</v>
      </c>
      <c r="K4158" s="106" t="s">
        <v>4717</v>
      </c>
      <c r="L4158" s="192">
        <v>1137789</v>
      </c>
      <c r="M4158" s="8" t="str">
        <f>"PEN"</f>
        <v>PEN</v>
      </c>
      <c r="N4158" s="9">
        <v>250</v>
      </c>
      <c r="O4158" s="9"/>
      <c r="P4158" s="3">
        <f t="shared" si="383"/>
        <v>0</v>
      </c>
      <c r="Q4158" s="3">
        <f t="shared" si="384"/>
        <v>0</v>
      </c>
      <c r="R4158" s="3">
        <f t="shared" si="376"/>
        <v>4388.7699999999732</v>
      </c>
      <c r="S4158" s="28" t="s">
        <v>1334</v>
      </c>
      <c r="T4158" s="28" t="s">
        <v>1334</v>
      </c>
      <c r="U4158" s="56" t="s">
        <v>4718</v>
      </c>
      <c r="V4158" s="25">
        <f>IFERROR(VLOOKUP(BCP_Soles[[#This Row],[destinatario]],CHOOSE({1,2},Clientes_Proveedores[Razon Social],Clientes_Proveedores[Ruc / Dni]),2,0),"")</f>
        <v>10418721435</v>
      </c>
      <c r="W4158" s="25"/>
      <c r="X4158" s="25"/>
      <c r="Y4158" s="25"/>
      <c r="Z4158" s="77"/>
      <c r="AA4158" s="3" t="str">
        <f>IF(BCP_Soles[[#This Row],[fecha]]&gt;0,TEXT(BCP_Soles[[#This Row],[fecha]],"mmmm"),0)</f>
        <v>Octubre</v>
      </c>
    </row>
    <row r="4159" spans="1:27" ht="24" x14ac:dyDescent="0.3">
      <c r="A4159" s="2">
        <f>IF(BCP_Soles[[#This Row],[tipo_registro]]="R",COUNTIFS($C$1:$C4158,"R")+1,A4158)</f>
        <v>2764</v>
      </c>
      <c r="B4159" s="19" t="str">
        <f>"B-BCP - Soles"</f>
        <v>B-BCP - Soles</v>
      </c>
      <c r="C4159" s="3" t="s">
        <v>1352</v>
      </c>
      <c r="D4159" s="14">
        <v>45940</v>
      </c>
      <c r="E4159" s="5" t="s">
        <v>1338</v>
      </c>
      <c r="F4159" s="5" t="s">
        <v>1336</v>
      </c>
      <c r="G4159" s="191" t="s">
        <v>165</v>
      </c>
      <c r="H4159" s="6" t="s">
        <v>72</v>
      </c>
      <c r="I4159" s="6" t="s">
        <v>1376</v>
      </c>
      <c r="J4159" s="6">
        <v>163</v>
      </c>
      <c r="K4159" s="106" t="s">
        <v>4717</v>
      </c>
      <c r="L4159" s="192">
        <v>1137789</v>
      </c>
      <c r="M4159" s="8" t="str">
        <f>"PEN"</f>
        <v>PEN</v>
      </c>
      <c r="N4159" s="9">
        <v>400</v>
      </c>
      <c r="O4159" s="9"/>
      <c r="P4159" s="3">
        <f t="shared" si="383"/>
        <v>0</v>
      </c>
      <c r="Q4159" s="3">
        <f t="shared" si="384"/>
        <v>0</v>
      </c>
      <c r="R4159" s="3">
        <f t="shared" si="376"/>
        <v>4388.7699999999732</v>
      </c>
      <c r="S4159" s="28" t="s">
        <v>1334</v>
      </c>
      <c r="T4159" s="28" t="s">
        <v>1334</v>
      </c>
      <c r="U4159" s="56" t="s">
        <v>4718</v>
      </c>
      <c r="V4159" s="25">
        <f>IFERROR(VLOOKUP(BCP_Soles[[#This Row],[destinatario]],CHOOSE({1,2},Clientes_Proveedores[Razon Social],Clientes_Proveedores[Ruc / Dni]),2,0),"")</f>
        <v>10418721435</v>
      </c>
      <c r="W4159" s="25"/>
      <c r="X4159" s="25"/>
      <c r="Y4159" s="25"/>
      <c r="Z4159" s="77"/>
      <c r="AA4159" s="3" t="str">
        <f>IF(BCP_Soles[[#This Row],[fecha]]&gt;0,TEXT(BCP_Soles[[#This Row],[fecha]],"mmmm"),0)</f>
        <v>Octubre</v>
      </c>
    </row>
    <row r="4160" spans="1:27" ht="24" x14ac:dyDescent="0.3">
      <c r="A4160" s="2">
        <f>IF(BCP_Soles[[#This Row],[tipo_registro]]="R",COUNTIFS($C$1:$C4159,"R")+1,A4159)</f>
        <v>2765</v>
      </c>
      <c r="B4160" s="19" t="str">
        <f t="shared" si="381"/>
        <v>B-BCP - Soles</v>
      </c>
      <c r="C4160" s="3" t="s">
        <v>1330</v>
      </c>
      <c r="D4160" s="14">
        <v>45940</v>
      </c>
      <c r="E4160" s="5" t="s">
        <v>1338</v>
      </c>
      <c r="F4160" s="5" t="s">
        <v>1336</v>
      </c>
      <c r="G4160" s="191" t="s">
        <v>163</v>
      </c>
      <c r="H4160" s="6" t="s">
        <v>68</v>
      </c>
      <c r="I4160" s="6" t="s">
        <v>1376</v>
      </c>
      <c r="J4160" s="6">
        <v>330</v>
      </c>
      <c r="K4160" s="7" t="s">
        <v>4719</v>
      </c>
      <c r="L4160" s="8">
        <v>1139678</v>
      </c>
      <c r="M4160" s="8" t="str">
        <f t="shared" si="382"/>
        <v>PEN</v>
      </c>
      <c r="N4160" s="13"/>
      <c r="O4160" s="13">
        <v>148</v>
      </c>
      <c r="P4160" s="3">
        <f t="shared" si="383"/>
        <v>0</v>
      </c>
      <c r="Q4160" s="3">
        <f t="shared" si="384"/>
        <v>148</v>
      </c>
      <c r="R4160" s="3">
        <f t="shared" si="376"/>
        <v>4240.7699999999732</v>
      </c>
      <c r="S4160" s="24" t="s">
        <v>1334</v>
      </c>
      <c r="T4160" s="24" t="s">
        <v>1334</v>
      </c>
      <c r="U4160" s="56" t="s">
        <v>4720</v>
      </c>
      <c r="V4160" s="25">
        <f>IFERROR(VLOOKUP(BCP_Soles[[#This Row],[destinatario]],CHOOSE({1,2},Clientes_Proveedores[Razon Social],Clientes_Proveedores[Ruc / Dni]),2,0),"")</f>
        <v>10416031679</v>
      </c>
      <c r="W4160" s="25"/>
      <c r="X4160" s="25"/>
      <c r="Y4160" s="25"/>
      <c r="Z4160" s="77"/>
      <c r="AA4160" s="3" t="str">
        <f>IF(BCP_Soles[[#This Row],[fecha]]&gt;0,TEXT(BCP_Soles[[#This Row],[fecha]],"mmmm"),0)</f>
        <v>Octubre</v>
      </c>
    </row>
    <row r="4161" spans="1:27" ht="36" x14ac:dyDescent="0.3">
      <c r="A4161" s="2">
        <f>IF(BCP_Soles[[#This Row],[tipo_registro]]="R",COUNTIFS($C$1:$C4160,"R")+1,A4160)</f>
        <v>2766</v>
      </c>
      <c r="B4161" s="19" t="str">
        <f t="shared" si="381"/>
        <v>B-BCP - Soles</v>
      </c>
      <c r="C4161" s="3" t="s">
        <v>1330</v>
      </c>
      <c r="D4161" s="14">
        <v>45940</v>
      </c>
      <c r="E4161" s="5" t="s">
        <v>1338</v>
      </c>
      <c r="F4161" s="5" t="s">
        <v>1336</v>
      </c>
      <c r="G4161" s="191" t="s">
        <v>277</v>
      </c>
      <c r="H4161" s="6" t="s">
        <v>68</v>
      </c>
      <c r="I4161" s="6" t="s">
        <v>1390</v>
      </c>
      <c r="J4161" s="6">
        <v>1953</v>
      </c>
      <c r="K4161" s="7" t="s">
        <v>4721</v>
      </c>
      <c r="L4161" s="8">
        <v>1305625</v>
      </c>
      <c r="M4161" s="8" t="str">
        <f t="shared" si="382"/>
        <v>PEN</v>
      </c>
      <c r="N4161" s="13"/>
      <c r="O4161" s="13">
        <v>2208</v>
      </c>
      <c r="P4161" s="3">
        <f t="shared" si="383"/>
        <v>0</v>
      </c>
      <c r="Q4161" s="3">
        <f t="shared" si="384"/>
        <v>2208</v>
      </c>
      <c r="R4161" s="3">
        <f t="shared" si="376"/>
        <v>2032.7699999999732</v>
      </c>
      <c r="S4161" s="24" t="s">
        <v>1334</v>
      </c>
      <c r="T4161" s="24" t="s">
        <v>1334</v>
      </c>
      <c r="U4161" s="56" t="s">
        <v>4722</v>
      </c>
      <c r="V4161" s="25">
        <f>IFERROR(VLOOKUP(BCP_Soles[[#This Row],[destinatario]],CHOOSE({1,2},Clientes_Proveedores[Razon Social],Clientes_Proveedores[Ruc / Dni]),2,0),"")</f>
        <v>20429640939</v>
      </c>
      <c r="W4161" s="25"/>
      <c r="X4161" s="25"/>
      <c r="Y4161" s="25"/>
      <c r="Z4161" s="77"/>
      <c r="AA4161" s="3" t="str">
        <f>IF(BCP_Soles[[#This Row],[fecha]]&gt;0,TEXT(BCP_Soles[[#This Row],[fecha]],"mmmm"),0)</f>
        <v>Octubre</v>
      </c>
    </row>
    <row r="4162" spans="1:27" x14ac:dyDescent="0.3">
      <c r="A4162" s="2">
        <f>IF(BCP_Soles[[#This Row],[tipo_registro]]="R",COUNTIFS($C$1:$C4161,"R")+1,A4161)</f>
        <v>2767</v>
      </c>
      <c r="B4162" s="19" t="str">
        <f t="shared" si="381"/>
        <v>B-BCP - Soles</v>
      </c>
      <c r="C4162" s="3" t="s">
        <v>1330</v>
      </c>
      <c r="D4162" s="14">
        <v>45940</v>
      </c>
      <c r="E4162" s="5" t="s">
        <v>1335</v>
      </c>
      <c r="F4162" s="5" t="s">
        <v>1336</v>
      </c>
      <c r="G4162" s="6" t="s">
        <v>1009</v>
      </c>
      <c r="H4162" s="6" t="s">
        <v>64</v>
      </c>
      <c r="I4162" s="6"/>
      <c r="J4162" s="6"/>
      <c r="K4162" s="7" t="s">
        <v>3160</v>
      </c>
      <c r="L4162" s="8"/>
      <c r="M4162" s="8" t="str">
        <f t="shared" si="382"/>
        <v>PEN</v>
      </c>
      <c r="N4162" s="13"/>
      <c r="O4162" s="13">
        <v>0.45</v>
      </c>
      <c r="P4162" s="3">
        <f t="shared" si="383"/>
        <v>0</v>
      </c>
      <c r="Q4162" s="3">
        <f t="shared" si="384"/>
        <v>0.45</v>
      </c>
      <c r="R4162" s="3">
        <f t="shared" si="376"/>
        <v>2032.3199999999731</v>
      </c>
      <c r="S4162" s="24"/>
      <c r="T4162" s="24"/>
      <c r="U4162" s="55"/>
      <c r="V4162" s="25">
        <f>IFERROR(VLOOKUP(BCP_Soles[[#This Row],[destinatario]],CHOOSE({1,2},Clientes_Proveedores[Razon Social],Clientes_Proveedores[Ruc / Dni]),2,0),"")</f>
        <v>11111111</v>
      </c>
      <c r="W4162" s="25"/>
      <c r="X4162" s="25"/>
      <c r="Y4162" s="25"/>
      <c r="Z4162" s="77"/>
      <c r="AA4162" s="3" t="str">
        <f>IF(BCP_Soles[[#This Row],[fecha]]&gt;0,TEXT(BCP_Soles[[#This Row],[fecha]],"mmmm"),0)</f>
        <v>Octubre</v>
      </c>
    </row>
    <row r="4163" spans="1:27" ht="24" x14ac:dyDescent="0.3">
      <c r="A4163" s="2">
        <f>IF(BCP_Soles[[#This Row],[tipo_registro]]="R",COUNTIFS($C$1:$C4162,"R")+1,A4162)</f>
        <v>2768</v>
      </c>
      <c r="B4163" s="19" t="str">
        <f>"B-BCP - Soles"</f>
        <v>B-BCP - Soles</v>
      </c>
      <c r="C4163" s="3" t="s">
        <v>1330</v>
      </c>
      <c r="D4163" s="14">
        <v>45943</v>
      </c>
      <c r="E4163" s="5" t="s">
        <v>4357</v>
      </c>
      <c r="F4163" s="5" t="s">
        <v>1303</v>
      </c>
      <c r="G4163" s="191" t="s">
        <v>425</v>
      </c>
      <c r="H4163" s="6" t="s">
        <v>119</v>
      </c>
      <c r="I4163" s="6">
        <v>2</v>
      </c>
      <c r="J4163" s="6">
        <v>851</v>
      </c>
      <c r="K4163" s="7" t="s">
        <v>3608</v>
      </c>
      <c r="L4163" s="8">
        <v>2995673</v>
      </c>
      <c r="M4163" s="8" t="str">
        <f>"PEN"</f>
        <v>PEN</v>
      </c>
      <c r="N4163" s="13"/>
      <c r="O4163" s="13">
        <v>27</v>
      </c>
      <c r="P4163" s="3">
        <f t="shared" si="383"/>
        <v>27</v>
      </c>
      <c r="Q4163" s="3">
        <f t="shared" si="384"/>
        <v>0</v>
      </c>
      <c r="R4163" s="3">
        <f t="shared" si="376"/>
        <v>2059.3199999999733</v>
      </c>
      <c r="S4163" s="24" t="s">
        <v>1334</v>
      </c>
      <c r="T4163" s="24" t="s">
        <v>1334</v>
      </c>
      <c r="U4163" s="55"/>
      <c r="V4163" s="25">
        <f>IFERROR(VLOOKUP(BCP_Soles[[#This Row],[destinatario]],CHOOSE({1,2},Clientes_Proveedores[Razon Social],Clientes_Proveedores[Ruc / Dni]),2,0),"")</f>
        <v>20558226979</v>
      </c>
      <c r="W4163" s="25"/>
      <c r="X4163" s="25"/>
      <c r="Y4163" s="25"/>
      <c r="Z4163" s="77"/>
      <c r="AA4163" s="3" t="str">
        <f>IF(BCP_Soles[[#This Row],[fecha]]&gt;0,TEXT(BCP_Soles[[#This Row],[fecha]],"mmmm"),0)</f>
        <v>Octubre</v>
      </c>
    </row>
    <row r="4164" spans="1:27" ht="24" x14ac:dyDescent="0.3">
      <c r="A4164" s="2">
        <f>IF(BCP_Soles[[#This Row],[tipo_registro]]="R",COUNTIFS($C$1:$C4163,"R")+1,A4163)</f>
        <v>2769</v>
      </c>
      <c r="B4164" s="19" t="str">
        <f>"B-BCP - Soles"</f>
        <v>B-BCP - Soles</v>
      </c>
      <c r="C4164" s="3" t="s">
        <v>1330</v>
      </c>
      <c r="D4164" s="14">
        <v>45943</v>
      </c>
      <c r="E4164" s="5" t="s">
        <v>4357</v>
      </c>
      <c r="F4164" s="5" t="s">
        <v>1303</v>
      </c>
      <c r="G4164" s="191" t="s">
        <v>425</v>
      </c>
      <c r="H4164" s="6" t="s">
        <v>119</v>
      </c>
      <c r="I4164" s="6">
        <v>2</v>
      </c>
      <c r="J4164" s="6">
        <v>851</v>
      </c>
      <c r="K4164" s="7" t="s">
        <v>3608</v>
      </c>
      <c r="L4164" s="8">
        <v>2978615</v>
      </c>
      <c r="M4164" s="8" t="str">
        <f>"PEN"</f>
        <v>PEN</v>
      </c>
      <c r="N4164" s="13"/>
      <c r="O4164" s="13">
        <v>600</v>
      </c>
      <c r="P4164" s="3">
        <f t="shared" si="383"/>
        <v>600</v>
      </c>
      <c r="Q4164" s="3">
        <f t="shared" si="384"/>
        <v>0</v>
      </c>
      <c r="R4164" s="3">
        <f t="shared" si="376"/>
        <v>2659.3199999999733</v>
      </c>
      <c r="S4164" s="24" t="s">
        <v>1334</v>
      </c>
      <c r="T4164" s="24" t="s">
        <v>1334</v>
      </c>
      <c r="U4164" s="55"/>
      <c r="V4164" s="25">
        <f>IFERROR(VLOOKUP(BCP_Soles[[#This Row],[destinatario]],CHOOSE({1,2},Clientes_Proveedores[Razon Social],Clientes_Proveedores[Ruc / Dni]),2,0),"")</f>
        <v>20558226979</v>
      </c>
      <c r="W4164" s="25"/>
      <c r="X4164" s="25"/>
      <c r="Y4164" s="25"/>
      <c r="Z4164" s="77"/>
      <c r="AA4164" s="3" t="str">
        <f>IF(BCP_Soles[[#This Row],[fecha]]&gt;0,TEXT(BCP_Soles[[#This Row],[fecha]],"mmmm"),0)</f>
        <v>Octubre</v>
      </c>
    </row>
    <row r="4165" spans="1:27" ht="24" x14ac:dyDescent="0.3">
      <c r="A4165" s="2">
        <f>IF(BCP_Soles[[#This Row],[tipo_registro]]="R",COUNTIFS($C$1:$C4164,"R")+1,A4164)</f>
        <v>2770</v>
      </c>
      <c r="B4165" s="19" t="str">
        <f>"B-BCP - Soles"</f>
        <v>B-BCP - Soles</v>
      </c>
      <c r="C4165" s="3" t="s">
        <v>1330</v>
      </c>
      <c r="D4165" s="14">
        <v>45943</v>
      </c>
      <c r="E4165" s="5" t="s">
        <v>4357</v>
      </c>
      <c r="F4165" s="5" t="s">
        <v>1303</v>
      </c>
      <c r="G4165" s="191" t="s">
        <v>425</v>
      </c>
      <c r="H4165" s="6" t="s">
        <v>119</v>
      </c>
      <c r="I4165" s="6">
        <v>2</v>
      </c>
      <c r="J4165" s="6">
        <v>851</v>
      </c>
      <c r="K4165" s="7" t="s">
        <v>3608</v>
      </c>
      <c r="L4165" s="8">
        <v>2976171</v>
      </c>
      <c r="M4165" s="8" t="str">
        <f>"PEN"</f>
        <v>PEN</v>
      </c>
      <c r="N4165" s="13"/>
      <c r="O4165" s="13">
        <v>868</v>
      </c>
      <c r="P4165" s="3">
        <f t="shared" si="383"/>
        <v>868</v>
      </c>
      <c r="Q4165" s="3">
        <f t="shared" si="384"/>
        <v>0</v>
      </c>
      <c r="R4165" s="3">
        <f t="shared" si="376"/>
        <v>3527.3199999999733</v>
      </c>
      <c r="S4165" s="24" t="s">
        <v>1334</v>
      </c>
      <c r="T4165" s="24" t="s">
        <v>1334</v>
      </c>
      <c r="U4165" s="55"/>
      <c r="V4165" s="25">
        <f>IFERROR(VLOOKUP(BCP_Soles[[#This Row],[destinatario]],CHOOSE({1,2},Clientes_Proveedores[Razon Social],Clientes_Proveedores[Ruc / Dni]),2,0),"")</f>
        <v>20558226979</v>
      </c>
      <c r="W4165" s="25"/>
      <c r="X4165" s="25"/>
      <c r="Y4165" s="25"/>
      <c r="Z4165" s="77"/>
      <c r="AA4165" s="3" t="str">
        <f>IF(BCP_Soles[[#This Row],[fecha]]&gt;0,TEXT(BCP_Soles[[#This Row],[fecha]],"mmmm"),0)</f>
        <v>Octubre</v>
      </c>
    </row>
    <row r="4166" spans="1:27" x14ac:dyDescent="0.3">
      <c r="A4166" s="2">
        <f>IF(BCP_Soles[[#This Row],[tipo_registro]]="R",COUNTIFS($C$1:$C4165,"R")+1,A4165)</f>
        <v>2771</v>
      </c>
      <c r="B4166" s="19" t="str">
        <f t="shared" si="381"/>
        <v>B-BCP - Soles</v>
      </c>
      <c r="C4166" s="3" t="s">
        <v>1330</v>
      </c>
      <c r="D4166" s="14">
        <v>45943</v>
      </c>
      <c r="E4166" s="5" t="s">
        <v>1338</v>
      </c>
      <c r="F4166" s="5" t="s">
        <v>1336</v>
      </c>
      <c r="G4166" s="191" t="s">
        <v>565</v>
      </c>
      <c r="H4166" s="6" t="s">
        <v>68</v>
      </c>
      <c r="I4166" s="6" t="s">
        <v>1432</v>
      </c>
      <c r="J4166" s="6">
        <v>305</v>
      </c>
      <c r="K4166" s="7" t="s">
        <v>4723</v>
      </c>
      <c r="L4166" s="8">
        <v>1072744</v>
      </c>
      <c r="M4166" s="8" t="str">
        <f t="shared" si="382"/>
        <v>PEN</v>
      </c>
      <c r="N4166" s="13"/>
      <c r="O4166" s="13">
        <v>180</v>
      </c>
      <c r="P4166" s="3">
        <f t="shared" si="383"/>
        <v>0</v>
      </c>
      <c r="Q4166" s="3">
        <f t="shared" si="384"/>
        <v>180</v>
      </c>
      <c r="R4166" s="3">
        <f t="shared" si="376"/>
        <v>3347.3199999999733</v>
      </c>
      <c r="S4166" s="24" t="s">
        <v>1334</v>
      </c>
      <c r="T4166" s="24" t="s">
        <v>1334</v>
      </c>
      <c r="U4166" s="56" t="s">
        <v>4724</v>
      </c>
      <c r="V4166" s="25">
        <f>IFERROR(VLOOKUP(BCP_Soles[[#This Row],[destinatario]],CHOOSE({1,2},Clientes_Proveedores[Razon Social],Clientes_Proveedores[Ruc / Dni]),2,0),"")</f>
        <v>20608587803</v>
      </c>
      <c r="W4166" s="25"/>
      <c r="X4166" s="25"/>
      <c r="Y4166" s="25"/>
      <c r="Z4166" s="77"/>
      <c r="AA4166" s="3" t="str">
        <f>IF(BCP_Soles[[#This Row],[fecha]]&gt;0,TEXT(BCP_Soles[[#This Row],[fecha]],"mmmm"),0)</f>
        <v>Octubre</v>
      </c>
    </row>
    <row r="4167" spans="1:27" ht="24" x14ac:dyDescent="0.3">
      <c r="A4167" s="2">
        <f>IF(BCP_Soles[[#This Row],[tipo_registro]]="R",COUNTIFS($C$1:$C4166,"R")+1,A4166)</f>
        <v>2772</v>
      </c>
      <c r="B4167" s="19" t="str">
        <f>"B-BCP - Soles"</f>
        <v>B-BCP - Soles</v>
      </c>
      <c r="C4167" s="3" t="s">
        <v>1330</v>
      </c>
      <c r="D4167" s="14">
        <v>45943</v>
      </c>
      <c r="E4167" s="5" t="s">
        <v>1338</v>
      </c>
      <c r="F4167" s="5" t="s">
        <v>1336</v>
      </c>
      <c r="G4167" s="6" t="s">
        <v>1039</v>
      </c>
      <c r="H4167" s="6" t="s">
        <v>143</v>
      </c>
      <c r="I4167" s="6">
        <v>1</v>
      </c>
      <c r="J4167" s="6">
        <v>832025</v>
      </c>
      <c r="K4167" s="7" t="s">
        <v>4725</v>
      </c>
      <c r="L4167" s="8">
        <v>1072265</v>
      </c>
      <c r="M4167" s="8" t="str">
        <f>"PEN"</f>
        <v>PEN</v>
      </c>
      <c r="N4167" s="13"/>
      <c r="O4167" s="13">
        <v>803</v>
      </c>
      <c r="P4167" s="3">
        <f t="shared" si="383"/>
        <v>0</v>
      </c>
      <c r="Q4167" s="3">
        <f t="shared" si="384"/>
        <v>803</v>
      </c>
      <c r="R4167" s="3">
        <f t="shared" si="376"/>
        <v>2544.3199999999733</v>
      </c>
      <c r="S4167" s="24"/>
      <c r="T4167" s="24"/>
      <c r="U4167" s="56" t="s">
        <v>4726</v>
      </c>
      <c r="V4167" s="25">
        <f>IFERROR(VLOOKUP(BCP_Soles[[#This Row],[destinatario]],CHOOSE({1,2},Clientes_Proveedores[Razon Social],Clientes_Proveedores[Ruc / Dni]),2,0),"")</f>
        <v>70511606</v>
      </c>
      <c r="W4167" s="25"/>
      <c r="X4167" s="25"/>
      <c r="Y4167" s="25"/>
      <c r="Z4167" s="77"/>
      <c r="AA4167" s="3" t="str">
        <f>IF(BCP_Soles[[#This Row],[fecha]]&gt;0,TEXT(BCP_Soles[[#This Row],[fecha]],"mmmm"),0)</f>
        <v>Octubre</v>
      </c>
    </row>
    <row r="4168" spans="1:27" ht="24" x14ac:dyDescent="0.3">
      <c r="A4168" s="197">
        <f>IF(BCP_Soles[[#This Row],[tipo_registro]]="R",COUNTIFS($C$1:$C4167,"R")+1,A4167)</f>
        <v>2773</v>
      </c>
      <c r="B4168" s="74" t="str">
        <f t="shared" ref="B4168:B4174" si="385">"B-BCP - Soles"</f>
        <v>B-BCP - Soles</v>
      </c>
      <c r="C4168" s="196" t="s">
        <v>1330</v>
      </c>
      <c r="D4168" s="189">
        <v>45943</v>
      </c>
      <c r="E4168" s="5" t="s">
        <v>1338</v>
      </c>
      <c r="F4168" s="5" t="s">
        <v>1336</v>
      </c>
      <c r="G4168" s="6" t="s">
        <v>708</v>
      </c>
      <c r="H4168" s="6"/>
      <c r="I4168" s="6"/>
      <c r="J4168" s="6"/>
      <c r="K4168" s="7" t="s">
        <v>4727</v>
      </c>
      <c r="L4168" s="8">
        <v>226953</v>
      </c>
      <c r="M4168" s="8" t="str">
        <f t="shared" ref="M4168:M4174" si="386">"PEN"</f>
        <v>PEN</v>
      </c>
      <c r="N4168" s="9"/>
      <c r="O4168" s="9">
        <v>6.24</v>
      </c>
      <c r="P4168" s="73">
        <f t="shared" si="383"/>
        <v>0</v>
      </c>
      <c r="Q4168" s="73">
        <f t="shared" si="384"/>
        <v>6.24</v>
      </c>
      <c r="R4168" s="73">
        <f t="shared" si="376"/>
        <v>2538.0799999999736</v>
      </c>
      <c r="S4168" s="95"/>
      <c r="T4168" s="95"/>
      <c r="U4168" s="201" t="s">
        <v>4728</v>
      </c>
      <c r="V4168" s="72">
        <f>IFERROR(VLOOKUP(BCP_Soles[[#This Row],[destinatario]],CHOOSE({1,2},Clientes_Proveedores[Razon Social],Clientes_Proveedores[Ruc / Dni]),2,0),"")</f>
        <v>20467534026</v>
      </c>
      <c r="W4168" s="72"/>
      <c r="X4168" s="72"/>
      <c r="Y4168" s="72"/>
      <c r="Z4168" s="78"/>
      <c r="AA4168" s="73" t="str">
        <f>IF(BCP_Soles[[#This Row],[fecha]]&gt;0,TEXT(BCP_Soles[[#This Row],[fecha]],"mmmm"),0)</f>
        <v>Octubre</v>
      </c>
    </row>
    <row r="4169" spans="1:27" ht="36" x14ac:dyDescent="0.3">
      <c r="A4169" s="2">
        <f>IF(BCP_Soles[[#This Row],[tipo_registro]]="R",COUNTIFS($C$1:$C4168,"R")+1,A4168)</f>
        <v>2774</v>
      </c>
      <c r="B4169" s="19" t="str">
        <f t="shared" si="385"/>
        <v>B-BCP - Soles</v>
      </c>
      <c r="C4169" s="193" t="s">
        <v>1330</v>
      </c>
      <c r="D4169" s="189">
        <v>45943</v>
      </c>
      <c r="E4169" s="5" t="s">
        <v>1338</v>
      </c>
      <c r="F4169" s="5" t="s">
        <v>1336</v>
      </c>
      <c r="G4169" s="6" t="s">
        <v>702</v>
      </c>
      <c r="H4169" s="6" t="s">
        <v>68</v>
      </c>
      <c r="I4169" s="6" t="s">
        <v>1463</v>
      </c>
      <c r="J4169" s="6">
        <v>716357</v>
      </c>
      <c r="K4169" s="7" t="s">
        <v>4729</v>
      </c>
      <c r="L4169" s="8">
        <v>229034</v>
      </c>
      <c r="M4169" s="8" t="str">
        <f t="shared" si="386"/>
        <v>PEN</v>
      </c>
      <c r="N4169" s="13"/>
      <c r="O4169" s="13">
        <v>35.4</v>
      </c>
      <c r="P4169" s="3">
        <f t="shared" si="383"/>
        <v>0</v>
      </c>
      <c r="Q4169" s="3">
        <f t="shared" si="384"/>
        <v>35.4</v>
      </c>
      <c r="R4169" s="3">
        <f t="shared" si="376"/>
        <v>2502.6799999999735</v>
      </c>
      <c r="S4169" s="24" t="s">
        <v>1334</v>
      </c>
      <c r="T4169" s="24" t="s">
        <v>1334</v>
      </c>
      <c r="U4169" s="55"/>
      <c r="V4169" s="25">
        <f>IFERROR(VLOOKUP(BCP_Soles[[#This Row],[destinatario]],CHOOSE({1,2},Clientes_Proveedores[Razon Social],Clientes_Proveedores[Ruc / Dni]),2,0),"")</f>
        <v>20454073143</v>
      </c>
      <c r="W4169" s="25"/>
      <c r="X4169" s="25"/>
      <c r="Y4169" s="25"/>
      <c r="Z4169" s="77"/>
      <c r="AA4169" s="3" t="str">
        <f>IF(BCP_Soles[[#This Row],[fecha]]&gt;0,TEXT(BCP_Soles[[#This Row],[fecha]],"mmmm"),0)</f>
        <v>Octubre</v>
      </c>
    </row>
    <row r="4170" spans="1:27" ht="24" x14ac:dyDescent="0.3">
      <c r="A4170" s="2">
        <f>IF(BCP_Soles[[#This Row],[tipo_registro]]="R",COUNTIFS($C$1:$C4169,"R")+1,A4169)</f>
        <v>2775</v>
      </c>
      <c r="B4170" s="19" t="str">
        <f>"B-BCP - Soles"</f>
        <v>B-BCP - Soles</v>
      </c>
      <c r="C4170" s="9" t="s">
        <v>1330</v>
      </c>
      <c r="D4170" s="14">
        <v>45944</v>
      </c>
      <c r="E4170" s="5" t="s">
        <v>4730</v>
      </c>
      <c r="F4170" s="5" t="s">
        <v>1303</v>
      </c>
      <c r="G4170" s="6" t="s">
        <v>425</v>
      </c>
      <c r="H4170" s="6" t="s">
        <v>68</v>
      </c>
      <c r="I4170" s="6" t="s">
        <v>3302</v>
      </c>
      <c r="J4170" s="6">
        <v>143</v>
      </c>
      <c r="K4170" s="7" t="s">
        <v>3608</v>
      </c>
      <c r="L4170" s="8">
        <v>1330206</v>
      </c>
      <c r="M4170" s="8" t="str">
        <f>"PEN"</f>
        <v>PEN</v>
      </c>
      <c r="N4170" s="13"/>
      <c r="O4170" s="13">
        <v>827.5</v>
      </c>
      <c r="P4170" s="3">
        <f t="shared" si="383"/>
        <v>827.5</v>
      </c>
      <c r="Q4170" s="3">
        <f t="shared" si="384"/>
        <v>0</v>
      </c>
      <c r="R4170" s="3">
        <f t="shared" si="376"/>
        <v>3330.1799999999735</v>
      </c>
      <c r="S4170" s="24" t="s">
        <v>1334</v>
      </c>
      <c r="T4170" s="24" t="s">
        <v>1334</v>
      </c>
      <c r="U4170" s="55"/>
      <c r="V4170" s="25">
        <f>IFERROR(VLOOKUP(BCP_Soles[[#This Row],[destinatario]],CHOOSE({1,2},Clientes_Proveedores[Razon Social],Clientes_Proveedores[Ruc / Dni]),2,0),"")</f>
        <v>20558226979</v>
      </c>
      <c r="W4170" s="25"/>
      <c r="X4170" s="25"/>
      <c r="Y4170" s="25"/>
      <c r="Z4170" s="77"/>
      <c r="AA4170" s="3" t="str">
        <f>IF(BCP_Soles[[#This Row],[fecha]]&gt;0,TEXT(BCP_Soles[[#This Row],[fecha]],"mmmm"),0)</f>
        <v>Octubre</v>
      </c>
    </row>
    <row r="4171" spans="1:27" ht="24" x14ac:dyDescent="0.3">
      <c r="A4171" s="2">
        <f>IF(BCP_Soles[[#This Row],[tipo_registro]]="R",COUNTIFS($C$1:$C4170,"R")+1,A4170)</f>
        <v>2776</v>
      </c>
      <c r="B4171" s="19" t="str">
        <f>"B-BCP - Soles"</f>
        <v>B-BCP - Soles</v>
      </c>
      <c r="C4171" s="9" t="s">
        <v>1330</v>
      </c>
      <c r="D4171" s="14">
        <v>45944</v>
      </c>
      <c r="E4171" s="5" t="s">
        <v>4730</v>
      </c>
      <c r="F4171" s="5" t="s">
        <v>1303</v>
      </c>
      <c r="G4171" s="6" t="s">
        <v>425</v>
      </c>
      <c r="H4171" s="6" t="s">
        <v>68</v>
      </c>
      <c r="I4171" s="6" t="s">
        <v>3302</v>
      </c>
      <c r="J4171" s="6">
        <v>146</v>
      </c>
      <c r="K4171" s="7" t="s">
        <v>3608</v>
      </c>
      <c r="L4171" s="8">
        <v>1314643</v>
      </c>
      <c r="M4171" s="8" t="str">
        <f>"PEN"</f>
        <v>PEN</v>
      </c>
      <c r="N4171" s="13"/>
      <c r="O4171" s="13">
        <v>548.70000000000005</v>
      </c>
      <c r="P4171" s="3">
        <f t="shared" si="383"/>
        <v>548.70000000000005</v>
      </c>
      <c r="Q4171" s="3">
        <f t="shared" si="384"/>
        <v>0</v>
      </c>
      <c r="R4171" s="3">
        <f t="shared" si="376"/>
        <v>3878.8799999999737</v>
      </c>
      <c r="S4171" s="24" t="s">
        <v>1334</v>
      </c>
      <c r="T4171" s="24" t="s">
        <v>1334</v>
      </c>
      <c r="U4171" s="55"/>
      <c r="V4171" s="25">
        <f>IFERROR(VLOOKUP(BCP_Soles[[#This Row],[destinatario]],CHOOSE({1,2},Clientes_Proveedores[Razon Social],Clientes_Proveedores[Ruc / Dni]),2,0),"")</f>
        <v>20558226979</v>
      </c>
      <c r="W4171" s="25"/>
      <c r="X4171" s="25"/>
      <c r="Y4171" s="25"/>
      <c r="Z4171" s="77"/>
      <c r="AA4171" s="3" t="str">
        <f>IF(BCP_Soles[[#This Row],[fecha]]&gt;0,TEXT(BCP_Soles[[#This Row],[fecha]],"mmmm"),0)</f>
        <v>Octubre</v>
      </c>
    </row>
    <row r="4172" spans="1:27" ht="24" x14ac:dyDescent="0.3">
      <c r="A4172" s="2">
        <f>IF(BCP_Soles[[#This Row],[tipo_registro]]="R",COUNTIFS($C$1:$C4171,"R")+1,A4171)</f>
        <v>2777</v>
      </c>
      <c r="B4172" s="19" t="str">
        <f t="shared" si="385"/>
        <v>B-BCP - Soles</v>
      </c>
      <c r="C4172" s="9" t="s">
        <v>1330</v>
      </c>
      <c r="D4172" s="14">
        <v>45944</v>
      </c>
      <c r="E4172" s="5" t="s">
        <v>4357</v>
      </c>
      <c r="F4172" s="5" t="s">
        <v>1303</v>
      </c>
      <c r="G4172" s="6" t="s">
        <v>425</v>
      </c>
      <c r="H4172" s="6" t="s">
        <v>119</v>
      </c>
      <c r="I4172" s="6">
        <v>2</v>
      </c>
      <c r="J4172" s="6">
        <v>854</v>
      </c>
      <c r="K4172" s="7" t="s">
        <v>3608</v>
      </c>
      <c r="L4172" s="8">
        <v>371862</v>
      </c>
      <c r="M4172" s="8" t="str">
        <f t="shared" si="386"/>
        <v>PEN</v>
      </c>
      <c r="N4172" s="13"/>
      <c r="O4172" s="13">
        <v>360</v>
      </c>
      <c r="P4172" s="3">
        <f t="shared" si="383"/>
        <v>360</v>
      </c>
      <c r="Q4172" s="3">
        <f t="shared" si="384"/>
        <v>0</v>
      </c>
      <c r="R4172" s="3">
        <f t="shared" ref="R4172:R4179" si="387">IFERROR(IF(F4172="SALDO",P4172,R4171+P4172-Q4172),0)</f>
        <v>4238.8799999999737</v>
      </c>
      <c r="S4172" s="24" t="s">
        <v>1334</v>
      </c>
      <c r="T4172" s="24" t="s">
        <v>1334</v>
      </c>
      <c r="U4172" s="55"/>
      <c r="V4172" s="25">
        <f>IFERROR(VLOOKUP(BCP_Soles[[#This Row],[destinatario]],CHOOSE({1,2},Clientes_Proveedores[Razon Social],Clientes_Proveedores[Ruc / Dni]),2,0),"")</f>
        <v>20558226979</v>
      </c>
      <c r="W4172" s="25"/>
      <c r="X4172" s="25"/>
      <c r="Y4172" s="25"/>
      <c r="Z4172" s="77"/>
      <c r="AA4172" s="3" t="str">
        <f>IF(BCP_Soles[[#This Row],[fecha]]&gt;0,TEXT(BCP_Soles[[#This Row],[fecha]],"mmmm"),0)</f>
        <v>Octubre</v>
      </c>
    </row>
    <row r="4173" spans="1:27" ht="24" x14ac:dyDescent="0.3">
      <c r="A4173" s="2">
        <f>IF(BCP_Soles[[#This Row],[tipo_registro]]="R",COUNTIFS($C$1:$C4172,"R")+1,A4172)</f>
        <v>2778</v>
      </c>
      <c r="B4173" s="19" t="str">
        <f>"B-BCP - Soles"</f>
        <v>B-BCP - Soles</v>
      </c>
      <c r="C4173" s="3" t="s">
        <v>1330</v>
      </c>
      <c r="D4173" s="14">
        <v>45944</v>
      </c>
      <c r="E4173" s="190" t="s">
        <v>1338</v>
      </c>
      <c r="F4173" s="190" t="s">
        <v>1336</v>
      </c>
      <c r="G4173" s="191" t="s">
        <v>267</v>
      </c>
      <c r="H4173" s="6" t="s">
        <v>68</v>
      </c>
      <c r="I4173" s="191" t="s">
        <v>1977</v>
      </c>
      <c r="J4173" s="191">
        <v>27696</v>
      </c>
      <c r="K4173" s="106" t="s">
        <v>4731</v>
      </c>
      <c r="L4173" s="192">
        <v>1002787</v>
      </c>
      <c r="M4173" s="192" t="str">
        <f>"PEN"</f>
        <v>PEN</v>
      </c>
      <c r="N4173" s="193"/>
      <c r="O4173" s="193">
        <v>1405.23</v>
      </c>
      <c r="P4173" s="3">
        <f t="shared" si="383"/>
        <v>0</v>
      </c>
      <c r="Q4173" s="3">
        <f t="shared" si="384"/>
        <v>1405.23</v>
      </c>
      <c r="R4173" s="3">
        <f t="shared" si="387"/>
        <v>2833.6499999999737</v>
      </c>
      <c r="S4173" s="24" t="s">
        <v>1334</v>
      </c>
      <c r="T4173" s="24" t="s">
        <v>1334</v>
      </c>
      <c r="U4173" s="56" t="s">
        <v>4732</v>
      </c>
      <c r="V4173" s="25">
        <f>IFERROR(VLOOKUP(BCP_Soles[[#This Row],[destinatario]],CHOOSE({1,2},Clientes_Proveedores[Razon Social],Clientes_Proveedores[Ruc / Dni]),2,0),"")</f>
        <v>20413666130</v>
      </c>
      <c r="W4173" s="25"/>
      <c r="X4173" s="25"/>
      <c r="Y4173" s="25"/>
      <c r="Z4173" s="77"/>
      <c r="AA4173" s="3" t="str">
        <f>IF(BCP_Soles[[#This Row],[fecha]]&gt;0,TEXT(BCP_Soles[[#This Row],[fecha]],"mmmm"),0)</f>
        <v>Octubre</v>
      </c>
    </row>
    <row r="4174" spans="1:27" ht="24" x14ac:dyDescent="0.3">
      <c r="A4174" s="2">
        <f>IF(BCP_Soles[[#This Row],[tipo_registro]]="R",COUNTIFS($C$1:$C4173,"R")+1,A4173)</f>
        <v>2779</v>
      </c>
      <c r="B4174" s="19" t="str">
        <f t="shared" si="385"/>
        <v>B-BCP - Soles</v>
      </c>
      <c r="C4174" s="3" t="s">
        <v>1330</v>
      </c>
      <c r="D4174" s="14">
        <v>45944</v>
      </c>
      <c r="E4174" s="190" t="s">
        <v>1338</v>
      </c>
      <c r="F4174" s="190" t="s">
        <v>1336</v>
      </c>
      <c r="G4174" s="191" t="s">
        <v>165</v>
      </c>
      <c r="H4174" s="6" t="s">
        <v>72</v>
      </c>
      <c r="I4174" s="191" t="s">
        <v>1376</v>
      </c>
      <c r="J4174" s="191">
        <v>166</v>
      </c>
      <c r="K4174" s="106" t="s">
        <v>4733</v>
      </c>
      <c r="L4174" s="192">
        <v>1000780</v>
      </c>
      <c r="M4174" s="192" t="str">
        <f t="shared" si="386"/>
        <v>PEN</v>
      </c>
      <c r="N4174" s="193"/>
      <c r="O4174" s="193">
        <v>150</v>
      </c>
      <c r="P4174" s="3">
        <f t="shared" si="383"/>
        <v>0</v>
      </c>
      <c r="Q4174" s="3">
        <f t="shared" si="384"/>
        <v>150</v>
      </c>
      <c r="R4174" s="3">
        <f t="shared" si="387"/>
        <v>2683.6499999999737</v>
      </c>
      <c r="S4174" s="24" t="s">
        <v>1334</v>
      </c>
      <c r="T4174" s="24" t="s">
        <v>1334</v>
      </c>
      <c r="U4174" s="56" t="s">
        <v>4734</v>
      </c>
      <c r="V4174" s="25">
        <f>IFERROR(VLOOKUP(BCP_Soles[[#This Row],[destinatario]],CHOOSE({1,2},Clientes_Proveedores[Razon Social],Clientes_Proveedores[Ruc / Dni]),2,0),"")</f>
        <v>10418721435</v>
      </c>
      <c r="W4174" s="25"/>
      <c r="X4174" s="25"/>
      <c r="Y4174" s="25"/>
      <c r="Z4174" s="77"/>
      <c r="AA4174" s="3" t="str">
        <f>IF(BCP_Soles[[#This Row],[fecha]]&gt;0,TEXT(BCP_Soles[[#This Row],[fecha]],"mmmm"),0)</f>
        <v>Octubre</v>
      </c>
    </row>
    <row r="4175" spans="1:27" ht="36" x14ac:dyDescent="0.3">
      <c r="A4175" s="2">
        <f>IF(BCP_Soles[[#This Row],[tipo_registro]]="R",COUNTIFS($C$1:$C4174,"R")+1,A4174)</f>
        <v>2780</v>
      </c>
      <c r="B4175" s="19" t="str">
        <f t="shared" ref="B4175:B4193" si="388">"B-BCP - Soles"</f>
        <v>B-BCP - Soles</v>
      </c>
      <c r="C4175" s="193" t="s">
        <v>1330</v>
      </c>
      <c r="D4175" s="14">
        <v>45944</v>
      </c>
      <c r="E4175" s="5" t="s">
        <v>1338</v>
      </c>
      <c r="F4175" s="5" t="s">
        <v>1336</v>
      </c>
      <c r="G4175" s="6" t="s">
        <v>1040</v>
      </c>
      <c r="H4175" s="6" t="s">
        <v>68</v>
      </c>
      <c r="I4175" s="6" t="s">
        <v>3992</v>
      </c>
      <c r="J4175" s="6">
        <v>1892610</v>
      </c>
      <c r="K4175" s="7" t="s">
        <v>4735</v>
      </c>
      <c r="L4175" s="8">
        <v>130010</v>
      </c>
      <c r="M4175" s="8" t="str">
        <f t="shared" ref="M4175:M4193" si="389">"PEN"</f>
        <v>PEN</v>
      </c>
      <c r="N4175" s="13"/>
      <c r="O4175" s="13">
        <v>27.64</v>
      </c>
      <c r="P4175" s="3">
        <f t="shared" ref="P4175:P4193" si="390">+IF(OR($F4175="SALDO",$F4175="INGRESO"),$O4175,0)</f>
        <v>0</v>
      </c>
      <c r="Q4175" s="3">
        <f t="shared" ref="Q4175:Q4193" si="391">+IF($F4175="EGRESO",$O4175,0)</f>
        <v>27.64</v>
      </c>
      <c r="R4175" s="3">
        <f t="shared" si="387"/>
        <v>2656.0099999999738</v>
      </c>
      <c r="S4175" s="24" t="s">
        <v>1334</v>
      </c>
      <c r="T4175" s="24" t="s">
        <v>1334</v>
      </c>
      <c r="U4175" s="56" t="s">
        <v>4736</v>
      </c>
      <c r="V4175" s="25">
        <f>IFERROR(VLOOKUP(BCP_Soles[[#This Row],[destinatario]],CHOOSE({1,2},Clientes_Proveedores[Razon Social],Clientes_Proveedores[Ruc / Dni]),2,0),"")</f>
        <v>20332970411</v>
      </c>
      <c r="W4175" s="25"/>
      <c r="X4175" s="25"/>
      <c r="Y4175" s="25"/>
      <c r="Z4175" s="77"/>
      <c r="AA4175" s="3" t="str">
        <f>IF(BCP_Soles[[#This Row],[fecha]]&gt;0,TEXT(BCP_Soles[[#This Row],[fecha]],"mmmm"),0)</f>
        <v>Octubre</v>
      </c>
    </row>
    <row r="4176" spans="1:27" ht="48" x14ac:dyDescent="0.3">
      <c r="A4176" s="2">
        <f>IF(BCP_Soles[[#This Row],[tipo_registro]]="R",COUNTIFS($C$1:$C4175,"R")+1,A4175)</f>
        <v>2781</v>
      </c>
      <c r="B4176" s="19" t="str">
        <f t="shared" si="388"/>
        <v>B-BCP - Soles</v>
      </c>
      <c r="C4176" s="193" t="s">
        <v>1330</v>
      </c>
      <c r="D4176" s="14">
        <v>45944</v>
      </c>
      <c r="E4176" s="5" t="s">
        <v>1338</v>
      </c>
      <c r="F4176" s="5" t="s">
        <v>1336</v>
      </c>
      <c r="G4176" s="6" t="s">
        <v>493</v>
      </c>
      <c r="H4176" s="6" t="s">
        <v>68</v>
      </c>
      <c r="I4176" s="6" t="s">
        <v>1841</v>
      </c>
      <c r="J4176" s="6">
        <v>1922</v>
      </c>
      <c r="K4176" s="7" t="s">
        <v>4737</v>
      </c>
      <c r="L4176" s="8">
        <v>1204975</v>
      </c>
      <c r="M4176" s="8" t="str">
        <f t="shared" si="389"/>
        <v>PEN</v>
      </c>
      <c r="N4176" s="13"/>
      <c r="O4176" s="13">
        <v>2194.66</v>
      </c>
      <c r="P4176" s="3">
        <f t="shared" si="390"/>
        <v>0</v>
      </c>
      <c r="Q4176" s="3">
        <f t="shared" si="391"/>
        <v>2194.66</v>
      </c>
      <c r="R4176" s="3">
        <f t="shared" si="387"/>
        <v>461.34999999997399</v>
      </c>
      <c r="S4176" s="24" t="s">
        <v>1334</v>
      </c>
      <c r="T4176" s="24" t="s">
        <v>1334</v>
      </c>
      <c r="U4176" s="56" t="s">
        <v>4738</v>
      </c>
      <c r="V4176" s="25">
        <f>IFERROR(VLOOKUP(BCP_Soles[[#This Row],[destinatario]],CHOOSE({1,2},Clientes_Proveedores[Razon Social],Clientes_Proveedores[Ruc / Dni]),2,0),"")</f>
        <v>20602751326</v>
      </c>
      <c r="W4176" s="25"/>
      <c r="X4176" s="25"/>
      <c r="Y4176" s="25"/>
      <c r="Z4176" s="77"/>
      <c r="AA4176" s="3" t="str">
        <f>IF(BCP_Soles[[#This Row],[fecha]]&gt;0,TEXT(BCP_Soles[[#This Row],[fecha]],"mmmm"),0)</f>
        <v>Octubre</v>
      </c>
    </row>
    <row r="4177" spans="1:27" x14ac:dyDescent="0.3">
      <c r="A4177" s="2">
        <f>IF(BCP_Soles[[#This Row],[tipo_registro]]="R",COUNTIFS($C$1:$C4176,"R")+1,A4176)</f>
        <v>2782</v>
      </c>
      <c r="B4177" s="19" t="str">
        <f t="shared" si="388"/>
        <v>B-BCP - Soles</v>
      </c>
      <c r="C4177" s="9" t="s">
        <v>1330</v>
      </c>
      <c r="D4177" s="14">
        <v>45944</v>
      </c>
      <c r="E4177" s="5" t="s">
        <v>1335</v>
      </c>
      <c r="F4177" s="5" t="s">
        <v>1336</v>
      </c>
      <c r="G4177" s="6" t="s">
        <v>1009</v>
      </c>
      <c r="H4177" s="6" t="s">
        <v>64</v>
      </c>
      <c r="I4177" s="6"/>
      <c r="J4177" s="6"/>
      <c r="K4177" s="7" t="s">
        <v>3160</v>
      </c>
      <c r="L4177" s="8"/>
      <c r="M4177" s="8" t="str">
        <f t="shared" si="389"/>
        <v>PEN</v>
      </c>
      <c r="N4177" s="13"/>
      <c r="O4177" s="13">
        <v>0.15</v>
      </c>
      <c r="P4177" s="3">
        <f t="shared" si="390"/>
        <v>0</v>
      </c>
      <c r="Q4177" s="3">
        <f t="shared" si="391"/>
        <v>0.15</v>
      </c>
      <c r="R4177" s="3">
        <f t="shared" si="387"/>
        <v>461.19999999997401</v>
      </c>
      <c r="S4177" s="24"/>
      <c r="T4177" s="24"/>
      <c r="U4177" s="55"/>
      <c r="V4177" s="25">
        <f>IFERROR(VLOOKUP(BCP_Soles[[#This Row],[destinatario]],CHOOSE({1,2},Clientes_Proveedores[Razon Social],Clientes_Proveedores[Ruc / Dni]),2,0),"")</f>
        <v>11111111</v>
      </c>
      <c r="W4177" s="25"/>
      <c r="X4177" s="25"/>
      <c r="Y4177" s="25"/>
      <c r="Z4177" s="77"/>
      <c r="AA4177" s="3" t="str">
        <f>IF(BCP_Soles[[#This Row],[fecha]]&gt;0,TEXT(BCP_Soles[[#This Row],[fecha]],"mmmm"),0)</f>
        <v>Octubre</v>
      </c>
    </row>
    <row r="4178" spans="1:27" x14ac:dyDescent="0.3">
      <c r="A4178" s="2">
        <f>IF(BCP_Soles[[#This Row],[tipo_registro]]="R",COUNTIFS($C$1:$C4177,"R")+1,A4177)</f>
        <v>2783</v>
      </c>
      <c r="B4178" s="19" t="str">
        <f t="shared" ref="B4178:B4184" si="392">"B-BCP - Soles"</f>
        <v>B-BCP - Soles</v>
      </c>
      <c r="C4178" s="13" t="s">
        <v>1330</v>
      </c>
      <c r="D4178" s="14">
        <v>45945</v>
      </c>
      <c r="E4178" s="5"/>
      <c r="F4178" s="5" t="s">
        <v>1303</v>
      </c>
      <c r="G4178" s="191" t="s">
        <v>425</v>
      </c>
      <c r="H4178" s="6"/>
      <c r="I4178" s="6"/>
      <c r="J4178" s="6"/>
      <c r="K4178" s="7" t="s">
        <v>4739</v>
      </c>
      <c r="L4178" s="8">
        <v>795857</v>
      </c>
      <c r="M4178" s="8" t="str">
        <f t="shared" ref="M4178:M4184" si="393">"PEN"</f>
        <v>PEN</v>
      </c>
      <c r="N4178" s="13"/>
      <c r="O4178" s="13">
        <v>7890.4</v>
      </c>
      <c r="P4178" s="3">
        <f t="shared" ref="P4178:P4184" si="394">+IF(OR($F4178="SALDO",$F4178="INGRESO"),$O4178,0)</f>
        <v>7890.4</v>
      </c>
      <c r="Q4178" s="3">
        <f t="shared" ref="Q4178:Q4184" si="395">+IF($F4178="EGRESO",$O4178,0)</f>
        <v>0</v>
      </c>
      <c r="R4178" s="3">
        <f t="shared" si="387"/>
        <v>8351.5999999999731</v>
      </c>
      <c r="S4178" s="24" t="s">
        <v>1334</v>
      </c>
      <c r="T4178" s="24" t="s">
        <v>1334</v>
      </c>
      <c r="U4178" s="55"/>
      <c r="V4178" s="25">
        <f>IFERROR(VLOOKUP(BCP_Soles[[#This Row],[destinatario]],CHOOSE({1,2},Clientes_Proveedores[Razon Social],Clientes_Proveedores[Ruc / Dni]),2,0),"")</f>
        <v>20558226979</v>
      </c>
      <c r="W4178" s="25"/>
      <c r="X4178" s="25"/>
      <c r="Y4178" s="25"/>
      <c r="Z4178" s="77"/>
      <c r="AA4178" s="3" t="str">
        <f>IF(BCP_Soles[[#This Row],[fecha]]&gt;0,TEXT(BCP_Soles[[#This Row],[fecha]],"mmmm"),0)</f>
        <v>Octubre</v>
      </c>
    </row>
    <row r="4179" spans="1:27" ht="24" x14ac:dyDescent="0.3">
      <c r="A4179" s="2">
        <f>IF(BCP_Soles[[#This Row],[tipo_registro]]="R",COUNTIFS($C$1:$C4178,"R")+1,A4178)</f>
        <v>2783</v>
      </c>
      <c r="B4179" s="19" t="str">
        <f t="shared" si="392"/>
        <v>B-BCP - Soles</v>
      </c>
      <c r="C4179" s="13" t="s">
        <v>1352</v>
      </c>
      <c r="D4179" s="14">
        <v>45945</v>
      </c>
      <c r="E4179" s="5" t="s">
        <v>1875</v>
      </c>
      <c r="F4179" s="5" t="s">
        <v>1303</v>
      </c>
      <c r="G4179" s="191" t="s">
        <v>425</v>
      </c>
      <c r="H4179" s="6" t="s">
        <v>119</v>
      </c>
      <c r="I4179" s="6">
        <v>1</v>
      </c>
      <c r="J4179" s="6">
        <v>4829</v>
      </c>
      <c r="K4179" s="7" t="s">
        <v>4739</v>
      </c>
      <c r="L4179" s="8">
        <v>795857</v>
      </c>
      <c r="M4179" s="8" t="str">
        <f t="shared" si="393"/>
        <v>PEN</v>
      </c>
      <c r="N4179" s="13">
        <v>476</v>
      </c>
      <c r="O4179" s="13"/>
      <c r="P4179" s="3">
        <f t="shared" si="394"/>
        <v>0</v>
      </c>
      <c r="Q4179" s="3">
        <f t="shared" si="395"/>
        <v>0</v>
      </c>
      <c r="R4179" s="3">
        <f t="shared" si="387"/>
        <v>8351.5999999999731</v>
      </c>
      <c r="S4179" s="24" t="s">
        <v>1334</v>
      </c>
      <c r="T4179" s="24" t="s">
        <v>1334</v>
      </c>
      <c r="U4179" s="55"/>
      <c r="V4179" s="25">
        <f>IFERROR(VLOOKUP(BCP_Soles[[#This Row],[destinatario]],CHOOSE({1,2},Clientes_Proveedores[Razon Social],Clientes_Proveedores[Ruc / Dni]),2,0),"")</f>
        <v>20558226979</v>
      </c>
      <c r="W4179" s="25"/>
      <c r="X4179" s="25"/>
      <c r="Y4179" s="25"/>
      <c r="Z4179" s="77"/>
      <c r="AA4179" s="3" t="str">
        <f>IF(BCP_Soles[[#This Row],[fecha]]&gt;0,TEXT(BCP_Soles[[#This Row],[fecha]],"mmmm"),0)</f>
        <v>Octubre</v>
      </c>
    </row>
    <row r="4180" spans="1:27" ht="24" x14ac:dyDescent="0.3">
      <c r="A4180" s="2">
        <f>IF(BCP_Soles[[#This Row],[tipo_registro]]="R",COUNTIFS($C$1:$C4179,"R")+1,A4179)</f>
        <v>2783</v>
      </c>
      <c r="B4180" s="19" t="str">
        <f t="shared" si="392"/>
        <v>B-BCP - Soles</v>
      </c>
      <c r="C4180" s="13" t="s">
        <v>1352</v>
      </c>
      <c r="D4180" s="14">
        <v>45945</v>
      </c>
      <c r="E4180" s="5" t="s">
        <v>3445</v>
      </c>
      <c r="F4180" s="5" t="s">
        <v>1303</v>
      </c>
      <c r="G4180" s="191" t="s">
        <v>425</v>
      </c>
      <c r="H4180" s="6" t="s">
        <v>119</v>
      </c>
      <c r="I4180" s="6">
        <v>1</v>
      </c>
      <c r="J4180" s="6">
        <v>4830</v>
      </c>
      <c r="K4180" s="7" t="s">
        <v>4739</v>
      </c>
      <c r="L4180" s="8">
        <v>795857</v>
      </c>
      <c r="M4180" s="8" t="str">
        <f t="shared" si="393"/>
        <v>PEN</v>
      </c>
      <c r="N4180" s="13">
        <v>444</v>
      </c>
      <c r="O4180" s="13"/>
      <c r="P4180" s="3">
        <f t="shared" si="394"/>
        <v>0</v>
      </c>
      <c r="Q4180" s="3">
        <f t="shared" si="395"/>
        <v>0</v>
      </c>
      <c r="R4180" s="3">
        <f t="shared" ref="R4180:R4184" si="396">IFERROR(IF(F4180="SALDO",P4180,R4179+P4180-Q4180),0)</f>
        <v>8351.5999999999731</v>
      </c>
      <c r="S4180" s="24" t="s">
        <v>1334</v>
      </c>
      <c r="T4180" s="24" t="s">
        <v>1334</v>
      </c>
      <c r="U4180" s="55"/>
      <c r="V4180" s="25">
        <f>IFERROR(VLOOKUP(BCP_Soles[[#This Row],[destinatario]],CHOOSE({1,2},Clientes_Proveedores[Razon Social],Clientes_Proveedores[Ruc / Dni]),2,0),"")</f>
        <v>20558226979</v>
      </c>
      <c r="W4180" s="25"/>
      <c r="X4180" s="25"/>
      <c r="Y4180" s="25"/>
      <c r="Z4180" s="77"/>
      <c r="AA4180" s="3" t="str">
        <f>IF(BCP_Soles[[#This Row],[fecha]]&gt;0,TEXT(BCP_Soles[[#This Row],[fecha]],"mmmm"),0)</f>
        <v>Octubre</v>
      </c>
    </row>
    <row r="4181" spans="1:27" ht="24" x14ac:dyDescent="0.3">
      <c r="A4181" s="2">
        <f>IF(BCP_Soles[[#This Row],[tipo_registro]]="R",COUNTIFS($C$1:$C4180,"R")+1,A4180)</f>
        <v>2783</v>
      </c>
      <c r="B4181" s="19" t="str">
        <f t="shared" si="392"/>
        <v>B-BCP - Soles</v>
      </c>
      <c r="C4181" s="13" t="s">
        <v>1352</v>
      </c>
      <c r="D4181" s="14">
        <v>45945</v>
      </c>
      <c r="E4181" s="5" t="s">
        <v>2938</v>
      </c>
      <c r="F4181" s="5" t="s">
        <v>1303</v>
      </c>
      <c r="G4181" s="191" t="s">
        <v>425</v>
      </c>
      <c r="H4181" s="6" t="s">
        <v>119</v>
      </c>
      <c r="I4181" s="6">
        <v>1</v>
      </c>
      <c r="J4181" s="6">
        <v>4831</v>
      </c>
      <c r="K4181" s="7" t="s">
        <v>4739</v>
      </c>
      <c r="L4181" s="8">
        <v>795857</v>
      </c>
      <c r="M4181" s="8" t="str">
        <f t="shared" si="393"/>
        <v>PEN</v>
      </c>
      <c r="N4181" s="13">
        <v>6240</v>
      </c>
      <c r="O4181" s="13"/>
      <c r="P4181" s="3">
        <f t="shared" si="394"/>
        <v>0</v>
      </c>
      <c r="Q4181" s="3">
        <f t="shared" si="395"/>
        <v>0</v>
      </c>
      <c r="R4181" s="3">
        <f t="shared" si="396"/>
        <v>8351.5999999999731</v>
      </c>
      <c r="S4181" s="24" t="s">
        <v>1334</v>
      </c>
      <c r="T4181" s="24" t="s">
        <v>1334</v>
      </c>
      <c r="U4181" s="55"/>
      <c r="V4181" s="25">
        <f>IFERROR(VLOOKUP(BCP_Soles[[#This Row],[destinatario]],CHOOSE({1,2},Clientes_Proveedores[Razon Social],Clientes_Proveedores[Ruc / Dni]),2,0),"")</f>
        <v>20558226979</v>
      </c>
      <c r="W4181" s="25"/>
      <c r="X4181" s="25"/>
      <c r="Y4181" s="25"/>
      <c r="Z4181" s="77"/>
      <c r="AA4181" s="3" t="str">
        <f>IF(BCP_Soles[[#This Row],[fecha]]&gt;0,TEXT(BCP_Soles[[#This Row],[fecha]],"mmmm"),0)</f>
        <v>Octubre</v>
      </c>
    </row>
    <row r="4182" spans="1:27" x14ac:dyDescent="0.3">
      <c r="A4182" s="2">
        <f>IF(BCP_Soles[[#This Row],[tipo_registro]]="R",COUNTIFS($C$1:$C4181,"R")+1,A4181)</f>
        <v>2783</v>
      </c>
      <c r="B4182" s="19" t="str">
        <f t="shared" si="392"/>
        <v>B-BCP - Soles</v>
      </c>
      <c r="C4182" s="13" t="s">
        <v>1352</v>
      </c>
      <c r="D4182" s="14">
        <v>45945</v>
      </c>
      <c r="E4182" s="5" t="s">
        <v>1498</v>
      </c>
      <c r="F4182" s="5" t="s">
        <v>1303</v>
      </c>
      <c r="G4182" s="191" t="s">
        <v>425</v>
      </c>
      <c r="H4182" s="6" t="s">
        <v>119</v>
      </c>
      <c r="I4182" s="6">
        <v>1</v>
      </c>
      <c r="J4182" s="6">
        <v>4832</v>
      </c>
      <c r="K4182" s="7" t="s">
        <v>4739</v>
      </c>
      <c r="L4182" s="8">
        <v>795857</v>
      </c>
      <c r="M4182" s="8" t="str">
        <f t="shared" si="393"/>
        <v>PEN</v>
      </c>
      <c r="N4182" s="13">
        <v>676.4</v>
      </c>
      <c r="O4182" s="13"/>
      <c r="P4182" s="3">
        <f t="shared" si="394"/>
        <v>0</v>
      </c>
      <c r="Q4182" s="3">
        <f t="shared" si="395"/>
        <v>0</v>
      </c>
      <c r="R4182" s="3">
        <f t="shared" si="396"/>
        <v>8351.5999999999731</v>
      </c>
      <c r="S4182" s="24" t="s">
        <v>1334</v>
      </c>
      <c r="T4182" s="24" t="s">
        <v>1334</v>
      </c>
      <c r="U4182" s="55"/>
      <c r="V4182" s="25">
        <f>IFERROR(VLOOKUP(BCP_Soles[[#This Row],[destinatario]],CHOOSE({1,2},Clientes_Proveedores[Razon Social],Clientes_Proveedores[Ruc / Dni]),2,0),"")</f>
        <v>20558226979</v>
      </c>
      <c r="W4182" s="25"/>
      <c r="X4182" s="25"/>
      <c r="Y4182" s="25"/>
      <c r="Z4182" s="77"/>
      <c r="AA4182" s="3" t="str">
        <f>IF(BCP_Soles[[#This Row],[fecha]]&gt;0,TEXT(BCP_Soles[[#This Row],[fecha]],"mmmm"),0)</f>
        <v>Octubre</v>
      </c>
    </row>
    <row r="4183" spans="1:27" x14ac:dyDescent="0.3">
      <c r="A4183" s="2">
        <f>IF(BCP_Soles[[#This Row],[tipo_registro]]="R",COUNTIFS($C$1:$C4182,"R")+1,A4182)</f>
        <v>2783</v>
      </c>
      <c r="B4183" s="19" t="str">
        <f t="shared" si="392"/>
        <v>B-BCP - Soles</v>
      </c>
      <c r="C4183" s="13" t="s">
        <v>1352</v>
      </c>
      <c r="D4183" s="14">
        <v>45945</v>
      </c>
      <c r="E4183" s="5" t="s">
        <v>1498</v>
      </c>
      <c r="F4183" s="5" t="s">
        <v>1303</v>
      </c>
      <c r="G4183" s="191" t="s">
        <v>425</v>
      </c>
      <c r="H4183" s="6" t="s">
        <v>119</v>
      </c>
      <c r="I4183" s="6">
        <v>1</v>
      </c>
      <c r="J4183" s="6">
        <v>4833</v>
      </c>
      <c r="K4183" s="7" t="s">
        <v>4739</v>
      </c>
      <c r="L4183" s="8">
        <v>795857</v>
      </c>
      <c r="M4183" s="8" t="str">
        <f t="shared" si="393"/>
        <v>PEN</v>
      </c>
      <c r="N4183" s="13">
        <v>54</v>
      </c>
      <c r="O4183" s="13"/>
      <c r="P4183" s="3">
        <f t="shared" si="394"/>
        <v>0</v>
      </c>
      <c r="Q4183" s="3">
        <f t="shared" si="395"/>
        <v>0</v>
      </c>
      <c r="R4183" s="3">
        <f t="shared" si="396"/>
        <v>8351.5999999999731</v>
      </c>
      <c r="S4183" s="24" t="s">
        <v>1334</v>
      </c>
      <c r="T4183" s="24" t="s">
        <v>1334</v>
      </c>
      <c r="U4183" s="55"/>
      <c r="V4183" s="25">
        <f>IFERROR(VLOOKUP(BCP_Soles[[#This Row],[destinatario]],CHOOSE({1,2},Clientes_Proveedores[Razon Social],Clientes_Proveedores[Ruc / Dni]),2,0),"")</f>
        <v>20558226979</v>
      </c>
      <c r="W4183" s="25"/>
      <c r="X4183" s="25"/>
      <c r="Y4183" s="25"/>
      <c r="Z4183" s="77"/>
      <c r="AA4183" s="3" t="str">
        <f>IF(BCP_Soles[[#This Row],[fecha]]&gt;0,TEXT(BCP_Soles[[#This Row],[fecha]],"mmmm"),0)</f>
        <v>Octubre</v>
      </c>
    </row>
    <row r="4184" spans="1:27" x14ac:dyDescent="0.3">
      <c r="A4184" s="2">
        <f>IF(BCP_Soles[[#This Row],[tipo_registro]]="R",COUNTIFS($C$1:$C4183,"R")+1,A4183)</f>
        <v>2784</v>
      </c>
      <c r="B4184" s="19" t="str">
        <f t="shared" si="392"/>
        <v>B-BCP - Soles</v>
      </c>
      <c r="C4184" s="13" t="s">
        <v>1330</v>
      </c>
      <c r="D4184" s="14">
        <v>45945</v>
      </c>
      <c r="E4184" s="5" t="s">
        <v>346</v>
      </c>
      <c r="F4184" s="5" t="s">
        <v>1303</v>
      </c>
      <c r="G4184" s="191" t="s">
        <v>425</v>
      </c>
      <c r="H4184" s="6"/>
      <c r="I4184" s="6"/>
      <c r="J4184" s="6"/>
      <c r="K4184" s="7" t="s">
        <v>4103</v>
      </c>
      <c r="L4184" s="8">
        <v>7545557</v>
      </c>
      <c r="M4184" s="8" t="str">
        <f t="shared" si="393"/>
        <v>PEN</v>
      </c>
      <c r="N4184" s="13"/>
      <c r="O4184" s="13">
        <v>9002.7800000000007</v>
      </c>
      <c r="P4184" s="3">
        <f t="shared" si="394"/>
        <v>9002.7800000000007</v>
      </c>
      <c r="Q4184" s="3">
        <f t="shared" si="395"/>
        <v>0</v>
      </c>
      <c r="R4184" s="3">
        <f t="shared" si="396"/>
        <v>17354.379999999976</v>
      </c>
      <c r="S4184" s="24" t="s">
        <v>1334</v>
      </c>
      <c r="T4184" s="24" t="s">
        <v>1334</v>
      </c>
      <c r="U4184" s="55"/>
      <c r="V4184" s="25">
        <f>IFERROR(VLOOKUP(BCP_Soles[[#This Row],[destinatario]],CHOOSE({1,2},Clientes_Proveedores[Razon Social],Clientes_Proveedores[Ruc / Dni]),2,0),"")</f>
        <v>20558226979</v>
      </c>
      <c r="W4184" s="25"/>
      <c r="X4184" s="25"/>
      <c r="Y4184" s="25"/>
      <c r="Z4184" s="77"/>
      <c r="AA4184" s="3" t="str">
        <f>IF(BCP_Soles[[#This Row],[fecha]]&gt;0,TEXT(BCP_Soles[[#This Row],[fecha]],"mmmm"),0)</f>
        <v>Octubre</v>
      </c>
    </row>
    <row r="4185" spans="1:27" x14ac:dyDescent="0.3">
      <c r="A4185" s="2">
        <f>IF(BCP_Soles[[#This Row],[tipo_registro]]="R",COUNTIFS($C$1:$C4184,"R")+1,A4184)</f>
        <v>2784</v>
      </c>
      <c r="B4185" s="19" t="str">
        <f>"B-BCP - Soles"</f>
        <v>B-BCP - Soles</v>
      </c>
      <c r="C4185" s="13" t="s">
        <v>1352</v>
      </c>
      <c r="D4185" s="14">
        <v>45945</v>
      </c>
      <c r="E4185" s="5" t="s">
        <v>346</v>
      </c>
      <c r="F4185" s="5" t="s">
        <v>1303</v>
      </c>
      <c r="G4185" s="191" t="s">
        <v>425</v>
      </c>
      <c r="H4185" s="6" t="s">
        <v>68</v>
      </c>
      <c r="I4185" s="6" t="s">
        <v>1784</v>
      </c>
      <c r="J4185" s="6">
        <v>260</v>
      </c>
      <c r="K4185" s="7" t="s">
        <v>4103</v>
      </c>
      <c r="L4185" s="8">
        <v>7545557</v>
      </c>
      <c r="M4185" s="8" t="str">
        <f>"PEN"</f>
        <v>PEN</v>
      </c>
      <c r="N4185" s="13">
        <v>2964.52</v>
      </c>
      <c r="O4185" s="13"/>
      <c r="P4185" s="3">
        <f>+IF(OR($F4185="SALDO",$F4185="INGRESO"),$O4185,0)</f>
        <v>0</v>
      </c>
      <c r="Q4185" s="3">
        <f>+IF($F4185="EGRESO",$O4185,0)</f>
        <v>0</v>
      </c>
      <c r="R4185" s="3">
        <f>IFERROR(IF(F4185="SALDO",P4185,R4184+P4185-Q4185),0)</f>
        <v>17354.379999999976</v>
      </c>
      <c r="S4185" s="24" t="s">
        <v>1334</v>
      </c>
      <c r="T4185" s="24" t="s">
        <v>1334</v>
      </c>
      <c r="U4185" s="55"/>
      <c r="V4185" s="25">
        <f>IFERROR(VLOOKUP(BCP_Soles[[#This Row],[destinatario]],CHOOSE({1,2},Clientes_Proveedores[Razon Social],Clientes_Proveedores[Ruc / Dni]),2,0),"")</f>
        <v>20558226979</v>
      </c>
      <c r="W4185" s="25"/>
      <c r="X4185" s="25"/>
      <c r="Y4185" s="25"/>
      <c r="Z4185" s="77"/>
      <c r="AA4185" s="3" t="str">
        <f>IF(BCP_Soles[[#This Row],[fecha]]&gt;0,TEXT(BCP_Soles[[#This Row],[fecha]],"mmmm"),0)</f>
        <v>Octubre</v>
      </c>
    </row>
    <row r="4186" spans="1:27" x14ac:dyDescent="0.3">
      <c r="A4186" s="2">
        <f>IF(BCP_Soles[[#This Row],[tipo_registro]]="R",COUNTIFS($C$1:$C4185,"R")+1,A4185)</f>
        <v>2784</v>
      </c>
      <c r="B4186" s="19" t="str">
        <f>"B-BCP - Soles"</f>
        <v>B-BCP - Soles</v>
      </c>
      <c r="C4186" s="13" t="s">
        <v>1352</v>
      </c>
      <c r="D4186" s="14">
        <v>45945</v>
      </c>
      <c r="E4186" s="5" t="s">
        <v>346</v>
      </c>
      <c r="F4186" s="5" t="s">
        <v>1303</v>
      </c>
      <c r="G4186" s="191" t="s">
        <v>425</v>
      </c>
      <c r="H4186" s="6" t="s">
        <v>68</v>
      </c>
      <c r="I4186" s="6" t="s">
        <v>1784</v>
      </c>
      <c r="J4186" s="6">
        <v>261</v>
      </c>
      <c r="K4186" s="7" t="s">
        <v>4103</v>
      </c>
      <c r="L4186" s="8">
        <v>7545557</v>
      </c>
      <c r="M4186" s="8" t="str">
        <f>"PEN"</f>
        <v>PEN</v>
      </c>
      <c r="N4186" s="13">
        <v>5570.15</v>
      </c>
      <c r="O4186" s="13"/>
      <c r="P4186" s="3">
        <f>+IF(OR($F4186="SALDO",$F4186="INGRESO"),$O4186,0)</f>
        <v>0</v>
      </c>
      <c r="Q4186" s="3">
        <f>+IF($F4186="EGRESO",$O4186,0)</f>
        <v>0</v>
      </c>
      <c r="R4186" s="3">
        <f t="shared" ref="R4186:R4188" si="397">IFERROR(IF(F4186="SALDO",P4186,R4185+P4186-Q4186),0)</f>
        <v>17354.379999999976</v>
      </c>
      <c r="S4186" s="24" t="s">
        <v>1334</v>
      </c>
      <c r="T4186" s="24" t="s">
        <v>1334</v>
      </c>
      <c r="U4186" s="55"/>
      <c r="V4186" s="25">
        <f>IFERROR(VLOOKUP(BCP_Soles[[#This Row],[destinatario]],CHOOSE({1,2},Clientes_Proveedores[Razon Social],Clientes_Proveedores[Ruc / Dni]),2,0),"")</f>
        <v>20558226979</v>
      </c>
      <c r="W4186" s="25"/>
      <c r="X4186" s="25"/>
      <c r="Y4186" s="25"/>
      <c r="Z4186" s="77"/>
      <c r="AA4186" s="3" t="str">
        <f>IF(BCP_Soles[[#This Row],[fecha]]&gt;0,TEXT(BCP_Soles[[#This Row],[fecha]],"mmmm"),0)</f>
        <v>Octubre</v>
      </c>
    </row>
    <row r="4187" spans="1:27" x14ac:dyDescent="0.3">
      <c r="A4187" s="2">
        <f>IF(BCP_Soles[[#This Row],[tipo_registro]]="R",COUNTIFS($C$1:$C4186,"R")+1,A4186)</f>
        <v>2784</v>
      </c>
      <c r="B4187" s="19" t="str">
        <f>"B-BCP - Soles"</f>
        <v>B-BCP - Soles</v>
      </c>
      <c r="C4187" s="13" t="s">
        <v>1352</v>
      </c>
      <c r="D4187" s="14">
        <v>45945</v>
      </c>
      <c r="E4187" s="5" t="s">
        <v>346</v>
      </c>
      <c r="F4187" s="5" t="s">
        <v>1303</v>
      </c>
      <c r="G4187" s="191" t="s">
        <v>425</v>
      </c>
      <c r="H4187" s="6" t="s">
        <v>68</v>
      </c>
      <c r="I4187" s="6" t="s">
        <v>1784</v>
      </c>
      <c r="J4187" s="6">
        <v>259</v>
      </c>
      <c r="K4187" s="7" t="s">
        <v>4103</v>
      </c>
      <c r="L4187" s="8">
        <v>7545557</v>
      </c>
      <c r="M4187" s="8" t="str">
        <f>"PEN"</f>
        <v>PEN</v>
      </c>
      <c r="N4187" s="13">
        <v>468.11</v>
      </c>
      <c r="O4187" s="13"/>
      <c r="P4187" s="3">
        <f>+IF(OR($F4187="SALDO",$F4187="INGRESO"),$O4187,0)</f>
        <v>0</v>
      </c>
      <c r="Q4187" s="3">
        <f>+IF($F4187="EGRESO",$O4187,0)</f>
        <v>0</v>
      </c>
      <c r="R4187" s="3">
        <f t="shared" si="397"/>
        <v>17354.379999999976</v>
      </c>
      <c r="S4187" s="24" t="s">
        <v>1334</v>
      </c>
      <c r="T4187" s="24" t="s">
        <v>1334</v>
      </c>
      <c r="U4187" s="55"/>
      <c r="V4187" s="25">
        <f>IFERROR(VLOOKUP(BCP_Soles[[#This Row],[destinatario]],CHOOSE({1,2},Clientes_Proveedores[Razon Social],Clientes_Proveedores[Ruc / Dni]),2,0),"")</f>
        <v>20558226979</v>
      </c>
      <c r="W4187" s="25"/>
      <c r="X4187" s="25"/>
      <c r="Y4187" s="25"/>
      <c r="Z4187" s="77"/>
      <c r="AA4187" s="3" t="str">
        <f>IF(BCP_Soles[[#This Row],[fecha]]&gt;0,TEXT(BCP_Soles[[#This Row],[fecha]],"mmmm"),0)</f>
        <v>Octubre</v>
      </c>
    </row>
    <row r="4188" spans="1:27" x14ac:dyDescent="0.3">
      <c r="A4188" s="2">
        <f>IF(BCP_Soles[[#This Row],[tipo_registro]]="R",COUNTIFS($C$1:$C4187,"R")+1,A4187)</f>
        <v>2785</v>
      </c>
      <c r="B4188" s="19" t="str">
        <f t="shared" si="388"/>
        <v>B-BCP - Soles</v>
      </c>
      <c r="C4188" s="3" t="s">
        <v>1330</v>
      </c>
      <c r="D4188" s="14">
        <v>45945</v>
      </c>
      <c r="E4188" s="5"/>
      <c r="F4188" s="5" t="s">
        <v>1303</v>
      </c>
      <c r="G4188" s="191" t="s">
        <v>425</v>
      </c>
      <c r="H4188" s="6"/>
      <c r="I4188" s="198"/>
      <c r="J4188" s="6"/>
      <c r="K4188" s="7" t="s">
        <v>4740</v>
      </c>
      <c r="L4188" s="8">
        <v>573822</v>
      </c>
      <c r="M4188" s="8" t="str">
        <f t="shared" si="389"/>
        <v>PEN</v>
      </c>
      <c r="N4188" s="13"/>
      <c r="O4188" s="13">
        <v>2000</v>
      </c>
      <c r="P4188" s="3">
        <f t="shared" si="390"/>
        <v>2000</v>
      </c>
      <c r="Q4188" s="3">
        <f t="shared" si="391"/>
        <v>0</v>
      </c>
      <c r="R4188" s="3">
        <f t="shared" si="397"/>
        <v>19354.379999999976</v>
      </c>
      <c r="S4188" s="24"/>
      <c r="T4188" s="24"/>
      <c r="U4188" s="55"/>
      <c r="V4188" s="25">
        <f>IFERROR(VLOOKUP(BCP_Soles[[#This Row],[destinatario]],CHOOSE({1,2},Clientes_Proveedores[Razon Social],Clientes_Proveedores[Ruc / Dni]),2,0),"")</f>
        <v>20558226979</v>
      </c>
      <c r="W4188" s="25"/>
      <c r="X4188" s="25"/>
      <c r="Y4188" s="25"/>
      <c r="Z4188" s="77"/>
      <c r="AA4188" s="3" t="str">
        <f>IF(BCP_Soles[[#This Row],[fecha]]&gt;0,TEXT(BCP_Soles[[#This Row],[fecha]],"mmmm"),0)</f>
        <v>Octubre</v>
      </c>
    </row>
    <row r="4189" spans="1:27" ht="24" x14ac:dyDescent="0.3">
      <c r="A4189" s="2">
        <f>IF(BCP_Soles[[#This Row],[tipo_registro]]="R",COUNTIFS($C$1:$C4188,"R")+1,A4188)</f>
        <v>2786</v>
      </c>
      <c r="B4189" s="19" t="str">
        <f>"B-BCP - Soles"</f>
        <v>B-BCP - Soles</v>
      </c>
      <c r="C4189" s="3" t="s">
        <v>1330</v>
      </c>
      <c r="D4189" s="14">
        <v>45945</v>
      </c>
      <c r="E4189" s="5" t="s">
        <v>274</v>
      </c>
      <c r="F4189" s="5" t="s">
        <v>1303</v>
      </c>
      <c r="G4189" s="191" t="s">
        <v>425</v>
      </c>
      <c r="H4189" s="6"/>
      <c r="I4189" s="198"/>
      <c r="J4189" s="6"/>
      <c r="K4189" s="7" t="s">
        <v>4249</v>
      </c>
      <c r="L4189" s="8">
        <v>2298863</v>
      </c>
      <c r="M4189" s="8" t="str">
        <f>"PEN"</f>
        <v>PEN</v>
      </c>
      <c r="N4189" s="13"/>
      <c r="O4189" s="13">
        <v>1460.08</v>
      </c>
      <c r="P4189" s="3">
        <f>+IF(OR($F4189="SALDO",$F4189="INGRESO"),$O4189,0)</f>
        <v>1460.08</v>
      </c>
      <c r="Q4189" s="3">
        <f>+IF($F4189="EGRESO",$O4189,0)</f>
        <v>0</v>
      </c>
      <c r="R4189" s="3">
        <f>IFERROR(IF(F4189="SALDO",P4189,R4188+P4189-Q4189),0)</f>
        <v>20814.459999999977</v>
      </c>
      <c r="S4189" s="24" t="s">
        <v>1334</v>
      </c>
      <c r="T4189" s="24" t="s">
        <v>1334</v>
      </c>
      <c r="U4189" s="55"/>
      <c r="V4189" s="25">
        <f>IFERROR(VLOOKUP(BCP_Soles[[#This Row],[destinatario]],CHOOSE({1,2},Clientes_Proveedores[Razon Social],Clientes_Proveedores[Ruc / Dni]),2,0),"")</f>
        <v>20558226979</v>
      </c>
      <c r="W4189" s="25"/>
      <c r="X4189" s="25"/>
      <c r="Y4189" s="25"/>
      <c r="Z4189" s="77"/>
      <c r="AA4189" s="3" t="str">
        <f>IF(BCP_Soles[[#This Row],[fecha]]&gt;0,TEXT(BCP_Soles[[#This Row],[fecha]],"mmmm"),0)</f>
        <v>Octubre</v>
      </c>
    </row>
    <row r="4190" spans="1:27" ht="24" x14ac:dyDescent="0.3">
      <c r="A4190" s="2">
        <f>IF(BCP_Soles[[#This Row],[tipo_registro]]="R",COUNTIFS($C$1:$C4189,"R")+1,A4189)</f>
        <v>2786</v>
      </c>
      <c r="B4190" s="19" t="str">
        <f>"B-BCP - Soles"</f>
        <v>B-BCP - Soles</v>
      </c>
      <c r="C4190" s="3" t="s">
        <v>1352</v>
      </c>
      <c r="D4190" s="14">
        <v>45945</v>
      </c>
      <c r="E4190" s="5" t="s">
        <v>274</v>
      </c>
      <c r="F4190" s="5" t="s">
        <v>1303</v>
      </c>
      <c r="G4190" s="191" t="s">
        <v>425</v>
      </c>
      <c r="H4190" s="6" t="s">
        <v>68</v>
      </c>
      <c r="I4190" s="198" t="s">
        <v>3302</v>
      </c>
      <c r="J4190" s="6">
        <v>137</v>
      </c>
      <c r="K4190" s="7" t="s">
        <v>4249</v>
      </c>
      <c r="L4190" s="8">
        <v>2298863</v>
      </c>
      <c r="M4190" s="8" t="str">
        <f>"PEN"</f>
        <v>PEN</v>
      </c>
      <c r="N4190" s="13">
        <v>802</v>
      </c>
      <c r="O4190" s="13"/>
      <c r="P4190" s="3">
        <f>+IF(OR($F4190="SALDO",$F4190="INGRESO"),$O4190,0)</f>
        <v>0</v>
      </c>
      <c r="Q4190" s="3">
        <f>+IF($F4190="EGRESO",$O4190,0)</f>
        <v>0</v>
      </c>
      <c r="R4190" s="3">
        <f>IFERROR(IF(F4190="SALDO",P4190,R4189+P4190-Q4190),0)</f>
        <v>20814.459999999977</v>
      </c>
      <c r="S4190" s="24" t="s">
        <v>1334</v>
      </c>
      <c r="T4190" s="24" t="s">
        <v>1334</v>
      </c>
      <c r="U4190" s="55"/>
      <c r="V4190" s="25">
        <f>IFERROR(VLOOKUP(BCP_Soles[[#This Row],[destinatario]],CHOOSE({1,2},Clientes_Proveedores[Razon Social],Clientes_Proveedores[Ruc / Dni]),2,0),"")</f>
        <v>20558226979</v>
      </c>
      <c r="W4190" s="25"/>
      <c r="X4190" s="25"/>
      <c r="Y4190" s="25"/>
      <c r="Z4190" s="77"/>
      <c r="AA4190" s="3" t="str">
        <f>IF(BCP_Soles[[#This Row],[fecha]]&gt;0,TEXT(BCP_Soles[[#This Row],[fecha]],"mmmm"),0)</f>
        <v>Octubre</v>
      </c>
    </row>
    <row r="4191" spans="1:27" ht="24" x14ac:dyDescent="0.3">
      <c r="A4191" s="2">
        <f>IF(BCP_Soles[[#This Row],[tipo_registro]]="R",COUNTIFS($C$1:$C4190,"R")+1,A4190)</f>
        <v>2786</v>
      </c>
      <c r="B4191" s="19" t="str">
        <f>"B-BCP - Soles"</f>
        <v>B-BCP - Soles</v>
      </c>
      <c r="C4191" s="3" t="s">
        <v>1352</v>
      </c>
      <c r="D4191" s="14">
        <v>45945</v>
      </c>
      <c r="E4191" s="5" t="s">
        <v>274</v>
      </c>
      <c r="F4191" s="5" t="s">
        <v>1303</v>
      </c>
      <c r="G4191" s="191" t="s">
        <v>425</v>
      </c>
      <c r="H4191" s="6" t="s">
        <v>68</v>
      </c>
      <c r="I4191" s="198" t="s">
        <v>3302</v>
      </c>
      <c r="J4191" s="6">
        <v>138</v>
      </c>
      <c r="K4191" s="7" t="s">
        <v>4249</v>
      </c>
      <c r="L4191" s="8">
        <v>2298863</v>
      </c>
      <c r="M4191" s="8" t="str">
        <f>"PEN"</f>
        <v>PEN</v>
      </c>
      <c r="N4191" s="13">
        <v>658.08</v>
      </c>
      <c r="O4191" s="13"/>
      <c r="P4191" s="3">
        <f>+IF(OR($F4191="SALDO",$F4191="INGRESO"),$O4191,0)</f>
        <v>0</v>
      </c>
      <c r="Q4191" s="3">
        <f>+IF($F4191="EGRESO",$O4191,0)</f>
        <v>0</v>
      </c>
      <c r="R4191" s="3">
        <f t="shared" ref="R4191:R4192" si="398">IFERROR(IF(F4191="SALDO",P4191,R4190+P4191-Q4191),0)</f>
        <v>20814.459999999977</v>
      </c>
      <c r="S4191" s="24" t="s">
        <v>1334</v>
      </c>
      <c r="T4191" s="24" t="s">
        <v>1334</v>
      </c>
      <c r="U4191" s="55"/>
      <c r="V4191" s="25">
        <f>IFERROR(VLOOKUP(BCP_Soles[[#This Row],[destinatario]],CHOOSE({1,2},Clientes_Proveedores[Razon Social],Clientes_Proveedores[Ruc / Dni]),2,0),"")</f>
        <v>20558226979</v>
      </c>
      <c r="W4191" s="25"/>
      <c r="X4191" s="25"/>
      <c r="Y4191" s="25"/>
      <c r="Z4191" s="77"/>
      <c r="AA4191" s="3" t="str">
        <f>IF(BCP_Soles[[#This Row],[fecha]]&gt;0,TEXT(BCP_Soles[[#This Row],[fecha]],"mmmm"),0)</f>
        <v>Octubre</v>
      </c>
    </row>
    <row r="4192" spans="1:27" ht="24" x14ac:dyDescent="0.3">
      <c r="A4192" s="2">
        <f>IF(BCP_Soles[[#This Row],[tipo_registro]]="R",COUNTIFS($C$1:$C4191,"R")+1,A4191)</f>
        <v>2787</v>
      </c>
      <c r="B4192" s="19" t="str">
        <f t="shared" si="388"/>
        <v>B-BCP - Soles</v>
      </c>
      <c r="C4192" s="3" t="s">
        <v>1330</v>
      </c>
      <c r="D4192" s="14">
        <v>45945</v>
      </c>
      <c r="E4192" s="5" t="s">
        <v>4171</v>
      </c>
      <c r="F4192" s="5" t="s">
        <v>1336</v>
      </c>
      <c r="G4192" s="191" t="s">
        <v>256</v>
      </c>
      <c r="H4192" s="6" t="s">
        <v>68</v>
      </c>
      <c r="I4192" s="198" t="s">
        <v>1374</v>
      </c>
      <c r="J4192" s="6">
        <v>49639</v>
      </c>
      <c r="K4192" s="7" t="s">
        <v>4741</v>
      </c>
      <c r="L4192" s="8">
        <v>1008577</v>
      </c>
      <c r="M4192" s="8" t="str">
        <f t="shared" si="389"/>
        <v>PEN</v>
      </c>
      <c r="N4192" s="13"/>
      <c r="O4192" s="13">
        <v>900</v>
      </c>
      <c r="P4192" s="3">
        <f t="shared" si="390"/>
        <v>0</v>
      </c>
      <c r="Q4192" s="3">
        <f t="shared" si="391"/>
        <v>900</v>
      </c>
      <c r="R4192" s="3">
        <f t="shared" si="398"/>
        <v>19914.459999999977</v>
      </c>
      <c r="S4192" s="24" t="s">
        <v>1334</v>
      </c>
      <c r="T4192" s="24" t="s">
        <v>1334</v>
      </c>
      <c r="U4192" s="56" t="s">
        <v>4742</v>
      </c>
      <c r="V4192" s="25">
        <f>IFERROR(VLOOKUP(BCP_Soles[[#This Row],[destinatario]],CHOOSE({1,2},Clientes_Proveedores[Razon Social],Clientes_Proveedores[Ruc / Dni]),2,0),"")</f>
        <v>20371310160</v>
      </c>
      <c r="W4192" s="25"/>
      <c r="X4192" s="25"/>
      <c r="Y4192" s="25"/>
      <c r="Z4192" s="77"/>
      <c r="AA4192" s="3" t="str">
        <f>IF(BCP_Soles[[#This Row],[fecha]]&gt;0,TEXT(BCP_Soles[[#This Row],[fecha]],"mmmm"),0)</f>
        <v>Octubre</v>
      </c>
    </row>
    <row r="4193" spans="1:27" x14ac:dyDescent="0.3">
      <c r="A4193" s="2">
        <f>IF(BCP_Soles[[#This Row],[tipo_registro]]="R",COUNTIFS($C$1:$C4192,"R")+1,A4192)</f>
        <v>2788</v>
      </c>
      <c r="B4193" s="19" t="str">
        <f t="shared" si="388"/>
        <v>B-BCP - Soles</v>
      </c>
      <c r="C4193" s="3" t="s">
        <v>1330</v>
      </c>
      <c r="D4193" s="14">
        <v>45945</v>
      </c>
      <c r="E4193" s="5" t="s">
        <v>2269</v>
      </c>
      <c r="F4193" s="5" t="s">
        <v>1336</v>
      </c>
      <c r="G4193" s="191" t="s">
        <v>196</v>
      </c>
      <c r="H4193" s="6" t="s">
        <v>68</v>
      </c>
      <c r="I4193" s="198" t="s">
        <v>2226</v>
      </c>
      <c r="J4193" s="6">
        <v>7059</v>
      </c>
      <c r="K4193" s="7" t="s">
        <v>2227</v>
      </c>
      <c r="L4193" s="8">
        <v>207147</v>
      </c>
      <c r="M4193" s="8" t="str">
        <f t="shared" si="389"/>
        <v>PEN</v>
      </c>
      <c r="N4193" s="13"/>
      <c r="O4193" s="13">
        <v>6.43</v>
      </c>
      <c r="P4193" s="3">
        <f t="shared" si="390"/>
        <v>0</v>
      </c>
      <c r="Q4193" s="3">
        <f t="shared" si="391"/>
        <v>6.43</v>
      </c>
      <c r="R4193" s="3">
        <f>IFERROR(IF(F4193="SALDO",P4193,R4192+P4193-Q4193),0)</f>
        <v>19908.029999999977</v>
      </c>
      <c r="S4193" s="24" t="s">
        <v>1334</v>
      </c>
      <c r="T4193" s="24" t="s">
        <v>1334</v>
      </c>
      <c r="U4193" s="56" t="s">
        <v>4743</v>
      </c>
      <c r="V4193" s="25">
        <f>IFERROR(VLOOKUP(BCP_Soles[[#This Row],[destinatario]],CHOOSE({1,2},Clientes_Proveedores[Razon Social],Clientes_Proveedores[Ruc / Dni]),2,0),"")</f>
        <v>20100055237</v>
      </c>
      <c r="W4193" s="25"/>
      <c r="X4193" s="25"/>
      <c r="Y4193" s="25"/>
      <c r="Z4193" s="77"/>
      <c r="AA4193" s="3" t="str">
        <f>IF(BCP_Soles[[#This Row],[fecha]]&gt;0,TEXT(BCP_Soles[[#This Row],[fecha]],"mmmm"),0)</f>
        <v>Octubre</v>
      </c>
    </row>
    <row r="4194" spans="1:27" x14ac:dyDescent="0.3">
      <c r="A4194" s="2">
        <f>IF(BCP_Soles[[#This Row],[tipo_registro]]="R",COUNTIFS($C$1:$C4193,"R")+1,A4193)</f>
        <v>2789</v>
      </c>
      <c r="B4194" s="19" t="str">
        <f t="shared" ref="B4194:B4196" si="399">"B-BCP - Soles"</f>
        <v>B-BCP - Soles</v>
      </c>
      <c r="C4194" s="3" t="s">
        <v>1330</v>
      </c>
      <c r="D4194" s="14">
        <v>45945</v>
      </c>
      <c r="E4194" s="5" t="s">
        <v>2269</v>
      </c>
      <c r="F4194" s="5" t="s">
        <v>1336</v>
      </c>
      <c r="G4194" s="191" t="s">
        <v>196</v>
      </c>
      <c r="H4194" s="6" t="s">
        <v>68</v>
      </c>
      <c r="I4194" s="198" t="s">
        <v>2226</v>
      </c>
      <c r="J4194" s="6">
        <v>7057</v>
      </c>
      <c r="K4194" s="7" t="s">
        <v>2227</v>
      </c>
      <c r="L4194" s="8">
        <v>207651</v>
      </c>
      <c r="M4194" s="8" t="str">
        <f t="shared" ref="M4194:M4198" si="400">"PEN"</f>
        <v>PEN</v>
      </c>
      <c r="N4194" s="13"/>
      <c r="O4194" s="13">
        <v>216.88</v>
      </c>
      <c r="P4194" s="3">
        <f t="shared" ref="P4194:P4196" si="401">+IF(OR($F4194="SALDO",$F4194="INGRESO"),$O4194,0)</f>
        <v>0</v>
      </c>
      <c r="Q4194" s="3">
        <f t="shared" ref="Q4194:Q4196" si="402">+IF($F4194="EGRESO",$O4194,0)</f>
        <v>216.88</v>
      </c>
      <c r="R4194" s="3">
        <f t="shared" ref="R4194:R4196" si="403">IFERROR(IF(F4194="SALDO",P4194,R4193+P4194-Q4194),0)</f>
        <v>19691.149999999976</v>
      </c>
      <c r="S4194" s="24" t="s">
        <v>1334</v>
      </c>
      <c r="T4194" s="24" t="s">
        <v>1334</v>
      </c>
      <c r="U4194" s="56" t="s">
        <v>4744</v>
      </c>
      <c r="V4194" s="25">
        <f>IFERROR(VLOOKUP(BCP_Soles[[#This Row],[destinatario]],CHOOSE({1,2},Clientes_Proveedores[Razon Social],Clientes_Proveedores[Ruc / Dni]),2,0),"")</f>
        <v>20100055237</v>
      </c>
      <c r="W4194" s="25"/>
      <c r="X4194" s="25"/>
      <c r="Y4194" s="25"/>
      <c r="Z4194" s="77"/>
      <c r="AA4194" s="3" t="str">
        <f>IF(BCP_Soles[[#This Row],[fecha]]&gt;0,TEXT(BCP_Soles[[#This Row],[fecha]],"mmmm"),0)</f>
        <v>Octubre</v>
      </c>
    </row>
    <row r="4195" spans="1:27" x14ac:dyDescent="0.3">
      <c r="A4195" s="2">
        <f>IF(BCP_Soles[[#This Row],[tipo_registro]]="R",COUNTIFS($C$1:$C4194,"R")+1,A4194)</f>
        <v>2790</v>
      </c>
      <c r="B4195" s="19" t="str">
        <f t="shared" si="399"/>
        <v>B-BCP - Soles</v>
      </c>
      <c r="C4195" s="3" t="s">
        <v>1330</v>
      </c>
      <c r="D4195" s="14">
        <v>45945</v>
      </c>
      <c r="E4195" s="5" t="s">
        <v>2269</v>
      </c>
      <c r="F4195" s="5" t="s">
        <v>1336</v>
      </c>
      <c r="G4195" s="191" t="s">
        <v>196</v>
      </c>
      <c r="H4195" s="6" t="s">
        <v>68</v>
      </c>
      <c r="I4195" s="198" t="s">
        <v>2226</v>
      </c>
      <c r="J4195" s="6">
        <v>7058</v>
      </c>
      <c r="K4195" s="7" t="s">
        <v>2227</v>
      </c>
      <c r="L4195" s="8">
        <v>204723</v>
      </c>
      <c r="M4195" s="8" t="str">
        <f t="shared" si="400"/>
        <v>PEN</v>
      </c>
      <c r="N4195" s="13"/>
      <c r="O4195" s="13">
        <v>315.7</v>
      </c>
      <c r="P4195" s="3">
        <f t="shared" si="401"/>
        <v>0</v>
      </c>
      <c r="Q4195" s="3">
        <f t="shared" si="402"/>
        <v>315.7</v>
      </c>
      <c r="R4195" s="3">
        <f t="shared" si="403"/>
        <v>19375.449999999975</v>
      </c>
      <c r="S4195" s="24" t="s">
        <v>1334</v>
      </c>
      <c r="T4195" s="24" t="s">
        <v>1334</v>
      </c>
      <c r="U4195" s="56" t="s">
        <v>4745</v>
      </c>
      <c r="V4195" s="25">
        <f>IFERROR(VLOOKUP(BCP_Soles[[#This Row],[destinatario]],CHOOSE({1,2},Clientes_Proveedores[Razon Social],Clientes_Proveedores[Ruc / Dni]),2,0),"")</f>
        <v>20100055237</v>
      </c>
      <c r="W4195" s="25"/>
      <c r="X4195" s="25"/>
      <c r="Y4195" s="25"/>
      <c r="Z4195" s="77"/>
      <c r="AA4195" s="3" t="str">
        <f>IF(BCP_Soles[[#This Row],[fecha]]&gt;0,TEXT(BCP_Soles[[#This Row],[fecha]],"mmmm"),0)</f>
        <v>Octubre</v>
      </c>
    </row>
    <row r="4196" spans="1:27" x14ac:dyDescent="0.3">
      <c r="A4196" s="2">
        <f>IF(BCP_Soles[[#This Row],[tipo_registro]]="R",COUNTIFS($C$1:$C4195,"R")+1,A4195)</f>
        <v>2791</v>
      </c>
      <c r="B4196" s="19" t="str">
        <f t="shared" si="399"/>
        <v>B-BCP - Soles</v>
      </c>
      <c r="C4196" s="3" t="s">
        <v>1330</v>
      </c>
      <c r="D4196" s="14">
        <v>45945</v>
      </c>
      <c r="E4196" s="5" t="s">
        <v>2269</v>
      </c>
      <c r="F4196" s="5" t="s">
        <v>1336</v>
      </c>
      <c r="G4196" s="191" t="s">
        <v>196</v>
      </c>
      <c r="H4196" s="6" t="s">
        <v>68</v>
      </c>
      <c r="I4196" s="198" t="s">
        <v>2226</v>
      </c>
      <c r="J4196" s="6">
        <v>7056</v>
      </c>
      <c r="K4196" s="7" t="s">
        <v>2227</v>
      </c>
      <c r="L4196" s="8">
        <v>207650</v>
      </c>
      <c r="M4196" s="8" t="str">
        <f t="shared" si="400"/>
        <v>PEN</v>
      </c>
      <c r="N4196" s="13"/>
      <c r="O4196" s="13">
        <v>1407.72</v>
      </c>
      <c r="P4196" s="3">
        <f t="shared" si="401"/>
        <v>0</v>
      </c>
      <c r="Q4196" s="3">
        <f t="shared" si="402"/>
        <v>1407.72</v>
      </c>
      <c r="R4196" s="3">
        <f t="shared" si="403"/>
        <v>17967.729999999974</v>
      </c>
      <c r="S4196" s="24" t="s">
        <v>1334</v>
      </c>
      <c r="T4196" s="24" t="s">
        <v>1334</v>
      </c>
      <c r="U4196" s="56" t="s">
        <v>4745</v>
      </c>
      <c r="V4196" s="25">
        <f>IFERROR(VLOOKUP(BCP_Soles[[#This Row],[destinatario]],CHOOSE({1,2},Clientes_Proveedores[Razon Social],Clientes_Proveedores[Ruc / Dni]),2,0),"")</f>
        <v>20100055237</v>
      </c>
      <c r="W4196" s="25"/>
      <c r="X4196" s="25"/>
      <c r="Y4196" s="25"/>
      <c r="Z4196" s="77"/>
      <c r="AA4196" s="3" t="str">
        <f>IF(BCP_Soles[[#This Row],[fecha]]&gt;0,TEXT(BCP_Soles[[#This Row],[fecha]],"mmmm"),0)</f>
        <v>Octubre</v>
      </c>
    </row>
    <row r="4197" spans="1:27" x14ac:dyDescent="0.3">
      <c r="A4197" s="2">
        <f>IF(BCP_Soles[[#This Row],[tipo_registro]]="R",COUNTIFS($C$1:$C4196,"R")+1,A4196)</f>
        <v>2792</v>
      </c>
      <c r="B4197" s="19" t="str">
        <f t="shared" ref="B4197:B4198" si="404">"B-BCP - Soles"</f>
        <v>B-BCP - Soles</v>
      </c>
      <c r="C4197" s="3" t="s">
        <v>1330</v>
      </c>
      <c r="D4197" s="14">
        <v>45945</v>
      </c>
      <c r="E4197" s="5" t="s">
        <v>1338</v>
      </c>
      <c r="F4197" s="5" t="s">
        <v>1336</v>
      </c>
      <c r="G4197" s="191" t="s">
        <v>876</v>
      </c>
      <c r="H4197" s="6"/>
      <c r="I4197" s="198"/>
      <c r="J4197" s="6"/>
      <c r="K4197" s="7" t="s">
        <v>4746</v>
      </c>
      <c r="L4197" s="8">
        <v>1204722</v>
      </c>
      <c r="M4197" s="8" t="str">
        <f t="shared" si="400"/>
        <v>PEN</v>
      </c>
      <c r="N4197" s="13"/>
      <c r="O4197" s="13">
        <v>700</v>
      </c>
      <c r="P4197" s="3">
        <f t="shared" ref="P4197:P4198" si="405">+IF(OR($F4197="SALDO",$F4197="INGRESO"),$O4197,0)</f>
        <v>0</v>
      </c>
      <c r="Q4197" s="3">
        <f t="shared" ref="Q4197:Q4198" si="406">+IF($F4197="EGRESO",$O4197,0)</f>
        <v>700</v>
      </c>
      <c r="R4197" s="3">
        <f t="shared" ref="R4197:R4198" si="407">IFERROR(IF(F4197="SALDO",P4197,R4196+P4197-Q4197),0)</f>
        <v>17267.729999999974</v>
      </c>
      <c r="S4197" s="24"/>
      <c r="T4197" s="24" t="s">
        <v>1334</v>
      </c>
      <c r="U4197" s="55"/>
      <c r="V4197" s="25">
        <f>IFERROR(VLOOKUP(BCP_Soles[[#This Row],[destinatario]],CHOOSE({1,2},Clientes_Proveedores[Razon Social],Clientes_Proveedores[Ruc / Dni]),2,0),"")</f>
        <v>1829028</v>
      </c>
      <c r="W4197" s="25"/>
      <c r="X4197" s="25"/>
      <c r="Y4197" s="25"/>
      <c r="Z4197" s="77"/>
      <c r="AA4197" s="3" t="str">
        <f>IF(BCP_Soles[[#This Row],[fecha]]&gt;0,TEXT(BCP_Soles[[#This Row],[fecha]],"mmmm"),0)</f>
        <v>Octubre</v>
      </c>
    </row>
    <row r="4198" spans="1:27" ht="24" x14ac:dyDescent="0.3">
      <c r="A4198" s="2">
        <f>IF(BCP_Soles[[#This Row],[tipo_registro]]="R",COUNTIFS($C$1:$C4197,"R")+1,A4197)</f>
        <v>2793</v>
      </c>
      <c r="B4198" s="19" t="str">
        <f t="shared" si="404"/>
        <v>B-BCP - Soles</v>
      </c>
      <c r="C4198" s="3" t="s">
        <v>1330</v>
      </c>
      <c r="D4198" s="14">
        <v>45945</v>
      </c>
      <c r="E4198" s="5" t="s">
        <v>1338</v>
      </c>
      <c r="F4198" s="5" t="s">
        <v>1336</v>
      </c>
      <c r="G4198" s="191" t="s">
        <v>866</v>
      </c>
      <c r="H4198" s="6"/>
      <c r="I4198" s="198"/>
      <c r="J4198" s="6"/>
      <c r="K4198" s="7" t="s">
        <v>4746</v>
      </c>
      <c r="L4198" s="8">
        <v>1206211</v>
      </c>
      <c r="M4198" s="8" t="str">
        <f t="shared" si="400"/>
        <v>PEN</v>
      </c>
      <c r="N4198" s="13"/>
      <c r="O4198" s="13">
        <v>1000</v>
      </c>
      <c r="P4198" s="3">
        <f t="shared" si="405"/>
        <v>0</v>
      </c>
      <c r="Q4198" s="3">
        <f t="shared" si="406"/>
        <v>1000</v>
      </c>
      <c r="R4198" s="3">
        <f t="shared" si="407"/>
        <v>16267.729999999974</v>
      </c>
      <c r="S4198" s="24"/>
      <c r="T4198" s="24" t="s">
        <v>1334</v>
      </c>
      <c r="U4198" s="55"/>
      <c r="V4198" s="25">
        <f>IFERROR(VLOOKUP(BCP_Soles[[#This Row],[destinatario]],CHOOSE({1,2},Clientes_Proveedores[Razon Social],Clientes_Proveedores[Ruc / Dni]),2,0),"")</f>
        <v>45921913</v>
      </c>
      <c r="W4198" s="25"/>
      <c r="X4198" s="25"/>
      <c r="Y4198" s="25"/>
      <c r="Z4198" s="77"/>
      <c r="AA4198" s="3" t="str">
        <f>IF(BCP_Soles[[#This Row],[fecha]]&gt;0,TEXT(BCP_Soles[[#This Row],[fecha]],"mmmm"),0)</f>
        <v>Octubre</v>
      </c>
    </row>
    <row r="4199" spans="1:27" x14ac:dyDescent="0.3">
      <c r="A4199" s="2">
        <f>IF(BCP_Soles[[#This Row],[tipo_registro]]="R",COUNTIFS($C$1:$C4198,"R")+1,A4198)</f>
        <v>2794</v>
      </c>
      <c r="B4199" s="19" t="str">
        <f t="shared" ref="B4199:B4214" si="408">"B-BCP - Soles"</f>
        <v>B-BCP - Soles</v>
      </c>
      <c r="C4199" s="3" t="s">
        <v>1330</v>
      </c>
      <c r="D4199" s="14">
        <v>45945</v>
      </c>
      <c r="E4199" s="5" t="s">
        <v>1338</v>
      </c>
      <c r="F4199" s="5" t="s">
        <v>1336</v>
      </c>
      <c r="G4199" s="191" t="s">
        <v>695</v>
      </c>
      <c r="H4199" s="6"/>
      <c r="I4199" s="198"/>
      <c r="J4199" s="6"/>
      <c r="K4199" s="7" t="s">
        <v>3552</v>
      </c>
      <c r="L4199" s="8">
        <v>258008</v>
      </c>
      <c r="M4199" s="8" t="str">
        <f t="shared" ref="M4199:M4214" si="409">"PEN"</f>
        <v>PEN</v>
      </c>
      <c r="N4199" s="13"/>
      <c r="O4199" s="13">
        <v>2577.2600000000002</v>
      </c>
      <c r="P4199" s="3">
        <f t="shared" ref="P4199:P4214" si="410">+IF(OR($F4199="SALDO",$F4199="INGRESO"),$O4199,0)</f>
        <v>0</v>
      </c>
      <c r="Q4199" s="3">
        <f t="shared" ref="Q4199:Q4214" si="411">+IF($F4199="EGRESO",$O4199,0)</f>
        <v>2577.2600000000002</v>
      </c>
      <c r="R4199" s="3">
        <f t="shared" ref="R4199:R4205" si="412">IFERROR(IF(F4199="SALDO",P4199,R4198+P4199-Q4199),0)</f>
        <v>13690.469999999974</v>
      </c>
      <c r="S4199" s="24" t="s">
        <v>1334</v>
      </c>
      <c r="T4199" s="24" t="s">
        <v>1334</v>
      </c>
      <c r="U4199" s="56" t="s">
        <v>4747</v>
      </c>
      <c r="V4199" s="25">
        <f>IFERROR(VLOOKUP(BCP_Soles[[#This Row],[destinatario]],CHOOSE({1,2},Clientes_Proveedores[Razon Social],Clientes_Proveedores[Ruc / Dni]),2,0),"")</f>
        <v>20127765279</v>
      </c>
      <c r="W4199" s="25"/>
      <c r="X4199" s="25"/>
      <c r="Y4199" s="25"/>
      <c r="Z4199" s="77"/>
      <c r="AA4199" s="3" t="str">
        <f>IF(BCP_Soles[[#This Row],[fecha]]&gt;0,TEXT(BCP_Soles[[#This Row],[fecha]],"mmmm"),0)</f>
        <v>Octubre</v>
      </c>
    </row>
    <row r="4200" spans="1:27" x14ac:dyDescent="0.3">
      <c r="A4200" s="2">
        <f>IF(BCP_Soles[[#This Row],[tipo_registro]]="R",COUNTIFS($C$1:$C4199,"R")+1,A4199)</f>
        <v>2794</v>
      </c>
      <c r="B4200" s="19" t="str">
        <f>"B-BCP - Soles"</f>
        <v>B-BCP - Soles</v>
      </c>
      <c r="C4200" s="3" t="s">
        <v>1352</v>
      </c>
      <c r="D4200" s="14">
        <v>45945</v>
      </c>
      <c r="E4200" s="5" t="s">
        <v>1338</v>
      </c>
      <c r="F4200" s="5" t="s">
        <v>1336</v>
      </c>
      <c r="G4200" s="191" t="s">
        <v>695</v>
      </c>
      <c r="H4200" s="6" t="s">
        <v>68</v>
      </c>
      <c r="I4200" s="198" t="s">
        <v>1377</v>
      </c>
      <c r="J4200" s="6">
        <v>187812</v>
      </c>
      <c r="K4200" s="7" t="s">
        <v>3552</v>
      </c>
      <c r="L4200" s="8">
        <v>258008</v>
      </c>
      <c r="M4200" s="8" t="str">
        <f>"PEN"</f>
        <v>PEN</v>
      </c>
      <c r="N4200" s="13">
        <v>1637.36</v>
      </c>
      <c r="O4200" s="13"/>
      <c r="P4200" s="3">
        <f>+IF(OR($F4200="SALDO",$F4200="INGRESO"),$O4200,0)</f>
        <v>0</v>
      </c>
      <c r="Q4200" s="3">
        <f>+IF($F4200="EGRESO",$O4200,0)</f>
        <v>0</v>
      </c>
      <c r="R4200" s="3">
        <f>IFERROR(IF(F4200="SALDO",P4200,R4199+P4200-Q4200),0)</f>
        <v>13690.469999999974</v>
      </c>
      <c r="S4200" s="24" t="s">
        <v>1334</v>
      </c>
      <c r="T4200" s="24" t="s">
        <v>1334</v>
      </c>
      <c r="U4200" s="56" t="s">
        <v>4747</v>
      </c>
      <c r="V4200" s="25">
        <f>IFERROR(VLOOKUP(BCP_Soles[[#This Row],[destinatario]],CHOOSE({1,2},Clientes_Proveedores[Razon Social],Clientes_Proveedores[Ruc / Dni]),2,0),"")</f>
        <v>20127765279</v>
      </c>
      <c r="W4200" s="25"/>
      <c r="X4200" s="25"/>
      <c r="Y4200" s="25"/>
      <c r="Z4200" s="77"/>
      <c r="AA4200" s="3" t="str">
        <f>IF(BCP_Soles[[#This Row],[fecha]]&gt;0,TEXT(BCP_Soles[[#This Row],[fecha]],"mmmm"),0)</f>
        <v>Octubre</v>
      </c>
    </row>
    <row r="4201" spans="1:27" x14ac:dyDescent="0.3">
      <c r="A4201" s="2">
        <f>IF(BCP_Soles[[#This Row],[tipo_registro]]="R",COUNTIFS($C$1:$C4200,"R")+1,A4200)</f>
        <v>2794</v>
      </c>
      <c r="B4201" s="19" t="str">
        <f>"B-BCP - Soles"</f>
        <v>B-BCP - Soles</v>
      </c>
      <c r="C4201" s="3" t="s">
        <v>1352</v>
      </c>
      <c r="D4201" s="14">
        <v>45945</v>
      </c>
      <c r="E4201" s="5" t="s">
        <v>1338</v>
      </c>
      <c r="F4201" s="5" t="s">
        <v>1336</v>
      </c>
      <c r="G4201" s="191" t="s">
        <v>695</v>
      </c>
      <c r="H4201" s="6" t="s">
        <v>68</v>
      </c>
      <c r="I4201" s="198" t="s">
        <v>1513</v>
      </c>
      <c r="J4201" s="6">
        <v>188255</v>
      </c>
      <c r="K4201" s="7" t="s">
        <v>3552</v>
      </c>
      <c r="L4201" s="8">
        <v>258008</v>
      </c>
      <c r="M4201" s="8" t="str">
        <f>"PEN"</f>
        <v>PEN</v>
      </c>
      <c r="N4201" s="13">
        <v>939.9</v>
      </c>
      <c r="O4201" s="13"/>
      <c r="P4201" s="3">
        <f>+IF(OR($F4201="SALDO",$F4201="INGRESO"),$O4201,0)</f>
        <v>0</v>
      </c>
      <c r="Q4201" s="3">
        <f>+IF($F4201="EGRESO",$O4201,0)</f>
        <v>0</v>
      </c>
      <c r="R4201" s="3">
        <f t="shared" ref="R4201:R4202" si="413">IFERROR(IF(F4201="SALDO",P4201,R4200+P4201-Q4201),0)</f>
        <v>13690.469999999974</v>
      </c>
      <c r="S4201" s="24" t="s">
        <v>1334</v>
      </c>
      <c r="T4201" s="24" t="s">
        <v>1334</v>
      </c>
      <c r="U4201" s="56" t="s">
        <v>4747</v>
      </c>
      <c r="V4201" s="25">
        <f>IFERROR(VLOOKUP(BCP_Soles[[#This Row],[destinatario]],CHOOSE({1,2},Clientes_Proveedores[Razon Social],Clientes_Proveedores[Ruc / Dni]),2,0),"")</f>
        <v>20127765279</v>
      </c>
      <c r="W4201" s="25"/>
      <c r="X4201" s="25"/>
      <c r="Y4201" s="25"/>
      <c r="Z4201" s="77"/>
      <c r="AA4201" s="3" t="str">
        <f>IF(BCP_Soles[[#This Row],[fecha]]&gt;0,TEXT(BCP_Soles[[#This Row],[fecha]],"mmmm"),0)</f>
        <v>Octubre</v>
      </c>
    </row>
    <row r="4202" spans="1:27" ht="24" x14ac:dyDescent="0.3">
      <c r="A4202" s="2">
        <f>IF(BCP_Soles[[#This Row],[tipo_registro]]="R",COUNTIFS($C$1:$C4201,"R")+1,A4201)</f>
        <v>2795</v>
      </c>
      <c r="B4202" s="19" t="str">
        <f t="shared" si="408"/>
        <v>B-BCP - Soles</v>
      </c>
      <c r="C4202" s="3" t="s">
        <v>1330</v>
      </c>
      <c r="D4202" s="14">
        <v>45945</v>
      </c>
      <c r="E4202" s="5" t="s">
        <v>1338</v>
      </c>
      <c r="F4202" s="5" t="s">
        <v>1336</v>
      </c>
      <c r="G4202" s="191" t="s">
        <v>703</v>
      </c>
      <c r="H4202" s="6" t="s">
        <v>106</v>
      </c>
      <c r="I4202" s="198" t="s">
        <v>1484</v>
      </c>
      <c r="J4202" s="6">
        <v>32788621</v>
      </c>
      <c r="K4202" s="7" t="s">
        <v>4748</v>
      </c>
      <c r="L4202" s="8">
        <v>256062</v>
      </c>
      <c r="M4202" s="8" t="str">
        <f t="shared" si="409"/>
        <v>PEN</v>
      </c>
      <c r="N4202" s="13"/>
      <c r="O4202" s="13">
        <v>401.3</v>
      </c>
      <c r="P4202" s="3">
        <f t="shared" si="410"/>
        <v>0</v>
      </c>
      <c r="Q4202" s="3">
        <f t="shared" si="411"/>
        <v>401.3</v>
      </c>
      <c r="R4202" s="3">
        <f t="shared" si="413"/>
        <v>13289.169999999975</v>
      </c>
      <c r="S4202" s="24" t="s">
        <v>1334</v>
      </c>
      <c r="T4202" s="24" t="s">
        <v>1334</v>
      </c>
      <c r="U4202" s="56" t="s">
        <v>4749</v>
      </c>
      <c r="V4202" s="25">
        <f>IFERROR(VLOOKUP(BCP_Soles[[#This Row],[destinatario]],CHOOSE({1,2},Clientes_Proveedores[Razon Social],Clientes_Proveedores[Ruc / Dni]),2,0),"")</f>
        <v>20100188628</v>
      </c>
      <c r="W4202" s="25"/>
      <c r="X4202" s="25"/>
      <c r="Y4202" s="25"/>
      <c r="Z4202" s="77"/>
      <c r="AA4202" s="3" t="str">
        <f>IF(BCP_Soles[[#This Row],[fecha]]&gt;0,TEXT(BCP_Soles[[#This Row],[fecha]],"mmmm"),0)</f>
        <v>Octubre</v>
      </c>
    </row>
    <row r="4203" spans="1:27" ht="24" x14ac:dyDescent="0.3">
      <c r="A4203" s="2">
        <f>IF(BCP_Soles[[#This Row],[tipo_registro]]="R",COUNTIFS($C$1:$C4202,"R")+1,A4202)</f>
        <v>2796</v>
      </c>
      <c r="B4203" s="19" t="str">
        <f t="shared" si="408"/>
        <v>B-BCP - Soles</v>
      </c>
      <c r="C4203" s="3" t="s">
        <v>1330</v>
      </c>
      <c r="D4203" s="14">
        <v>45945</v>
      </c>
      <c r="E4203" s="5" t="s">
        <v>1338</v>
      </c>
      <c r="F4203" s="5" t="s">
        <v>1336</v>
      </c>
      <c r="G4203" s="191" t="s">
        <v>703</v>
      </c>
      <c r="H4203" s="6" t="s">
        <v>106</v>
      </c>
      <c r="I4203" s="198" t="s">
        <v>1484</v>
      </c>
      <c r="J4203" s="6">
        <v>32788561</v>
      </c>
      <c r="K4203" s="7" t="s">
        <v>4750</v>
      </c>
      <c r="L4203" s="8">
        <v>255452</v>
      </c>
      <c r="M4203" s="8" t="str">
        <f t="shared" si="409"/>
        <v>PEN</v>
      </c>
      <c r="N4203" s="13"/>
      <c r="O4203" s="13">
        <v>120.2</v>
      </c>
      <c r="P4203" s="3">
        <f t="shared" si="410"/>
        <v>0</v>
      </c>
      <c r="Q4203" s="3">
        <f t="shared" si="411"/>
        <v>120.2</v>
      </c>
      <c r="R4203" s="3">
        <f t="shared" si="412"/>
        <v>13168.969999999974</v>
      </c>
      <c r="S4203" s="24" t="s">
        <v>1334</v>
      </c>
      <c r="T4203" s="24" t="s">
        <v>1334</v>
      </c>
      <c r="U4203" s="56" t="s">
        <v>4751</v>
      </c>
      <c r="V4203" s="25">
        <f>IFERROR(VLOOKUP(BCP_Soles[[#This Row],[destinatario]],CHOOSE({1,2},Clientes_Proveedores[Razon Social],Clientes_Proveedores[Ruc / Dni]),2,0),"")</f>
        <v>20100188628</v>
      </c>
      <c r="W4203" s="25"/>
      <c r="X4203" s="25"/>
      <c r="Y4203" s="25"/>
      <c r="Z4203" s="77"/>
      <c r="AA4203" s="3" t="str">
        <f>IF(BCP_Soles[[#This Row],[fecha]]&gt;0,TEXT(BCP_Soles[[#This Row],[fecha]],"mmmm"),0)</f>
        <v>Octubre</v>
      </c>
    </row>
    <row r="4204" spans="1:27" ht="24" x14ac:dyDescent="0.3">
      <c r="A4204" s="2">
        <f>IF(BCP_Soles[[#This Row],[tipo_registro]]="R",COUNTIFS($C$1:$C4203,"R")+1,A4203)</f>
        <v>2797</v>
      </c>
      <c r="B4204" s="19" t="str">
        <f t="shared" si="408"/>
        <v>B-BCP - Soles</v>
      </c>
      <c r="C4204" s="3" t="s">
        <v>1330</v>
      </c>
      <c r="D4204" s="14">
        <v>45945</v>
      </c>
      <c r="E4204" s="5" t="s">
        <v>1338</v>
      </c>
      <c r="F4204" s="5" t="s">
        <v>1336</v>
      </c>
      <c r="G4204" s="191" t="s">
        <v>705</v>
      </c>
      <c r="H4204" s="6" t="s">
        <v>106</v>
      </c>
      <c r="I4204" s="198" t="s">
        <v>1563</v>
      </c>
      <c r="J4204" s="6">
        <v>74754879</v>
      </c>
      <c r="K4204" s="7" t="s">
        <v>4752</v>
      </c>
      <c r="L4204" s="8">
        <v>4258007</v>
      </c>
      <c r="M4204" s="8" t="str">
        <f t="shared" si="409"/>
        <v>PEN</v>
      </c>
      <c r="N4204" s="13"/>
      <c r="O4204" s="13">
        <v>87.4</v>
      </c>
      <c r="P4204" s="3">
        <f t="shared" si="410"/>
        <v>0</v>
      </c>
      <c r="Q4204" s="3">
        <f t="shared" si="411"/>
        <v>87.4</v>
      </c>
      <c r="R4204" s="3">
        <f t="shared" si="412"/>
        <v>13081.569999999974</v>
      </c>
      <c r="S4204" s="24" t="s">
        <v>1334</v>
      </c>
      <c r="T4204" s="24" t="s">
        <v>1334</v>
      </c>
      <c r="U4204" s="56" t="s">
        <v>4753</v>
      </c>
      <c r="V4204" s="25">
        <f>IFERROR(VLOOKUP(BCP_Soles[[#This Row],[destinatario]],CHOOSE({1,2},Clientes_Proveedores[Razon Social],Clientes_Proveedores[Ruc / Dni]),2,0),"")</f>
        <v>20100017491</v>
      </c>
      <c r="W4204" s="25"/>
      <c r="X4204" s="25"/>
      <c r="Y4204" s="25"/>
      <c r="Z4204" s="77"/>
      <c r="AA4204" s="3" t="str">
        <f>IF(BCP_Soles[[#This Row],[fecha]]&gt;0,TEXT(BCP_Soles[[#This Row],[fecha]],"mmmm"),0)</f>
        <v>Octubre</v>
      </c>
    </row>
    <row r="4205" spans="1:27" x14ac:dyDescent="0.3">
      <c r="A4205" s="2">
        <f>IF(BCP_Soles[[#This Row],[tipo_registro]]="R",COUNTIFS($C$1:$C4204,"R")+1,A4204)</f>
        <v>2798</v>
      </c>
      <c r="B4205" s="19" t="str">
        <f t="shared" si="408"/>
        <v>B-BCP - Soles</v>
      </c>
      <c r="C4205" s="3" t="s">
        <v>1330</v>
      </c>
      <c r="D4205" s="14">
        <v>45945</v>
      </c>
      <c r="E4205" s="5" t="s">
        <v>1338</v>
      </c>
      <c r="F4205" s="5" t="s">
        <v>1336</v>
      </c>
      <c r="G4205" s="191" t="s">
        <v>696</v>
      </c>
      <c r="H4205" s="6"/>
      <c r="I4205" s="198"/>
      <c r="J4205" s="6"/>
      <c r="K4205" s="7" t="s">
        <v>4754</v>
      </c>
      <c r="L4205" s="8">
        <v>7669792</v>
      </c>
      <c r="M4205" s="8" t="str">
        <f t="shared" si="409"/>
        <v>PEN</v>
      </c>
      <c r="N4205" s="13"/>
      <c r="O4205" s="13">
        <v>5864.9</v>
      </c>
      <c r="P4205" s="3">
        <f t="shared" si="410"/>
        <v>0</v>
      </c>
      <c r="Q4205" s="3">
        <f t="shared" si="411"/>
        <v>5864.9</v>
      </c>
      <c r="R4205" s="3">
        <f t="shared" si="412"/>
        <v>7216.6699999999746</v>
      </c>
      <c r="S4205" s="24" t="s">
        <v>1334</v>
      </c>
      <c r="T4205" s="24" t="s">
        <v>1334</v>
      </c>
      <c r="U4205" s="56" t="s">
        <v>4755</v>
      </c>
      <c r="V4205" s="25">
        <f>IFERROR(VLOOKUP(BCP_Soles[[#This Row],[destinatario]],CHOOSE({1,2},Clientes_Proveedores[Razon Social],Clientes_Proveedores[Ruc / Dni]),2,0),"")</f>
        <v>0</v>
      </c>
      <c r="W4205" s="25"/>
      <c r="X4205" s="25"/>
      <c r="Y4205" s="25"/>
      <c r="Z4205" s="77"/>
      <c r="AA4205" s="3" t="str">
        <f>IF(BCP_Soles[[#This Row],[fecha]]&gt;0,TEXT(BCP_Soles[[#This Row],[fecha]],"mmmm"),0)</f>
        <v>Octubre</v>
      </c>
    </row>
    <row r="4206" spans="1:27" ht="48" x14ac:dyDescent="0.3">
      <c r="A4206" s="2">
        <f>IF(BCP_Soles[[#This Row],[tipo_registro]]="R",COUNTIFS($C$1:$C4205,"R")+1,A4205)</f>
        <v>2798</v>
      </c>
      <c r="B4206" s="19" t="str">
        <f t="shared" ref="B4206:B4213" si="414">"B-BCP - Soles"</f>
        <v>B-BCP - Soles</v>
      </c>
      <c r="C4206" s="3" t="s">
        <v>1352</v>
      </c>
      <c r="D4206" s="14">
        <v>45945</v>
      </c>
      <c r="E4206" s="5" t="s">
        <v>1338</v>
      </c>
      <c r="F4206" s="5" t="s">
        <v>1336</v>
      </c>
      <c r="G4206" s="191" t="s">
        <v>541</v>
      </c>
      <c r="H4206" s="6" t="s">
        <v>68</v>
      </c>
      <c r="I4206" s="198" t="s">
        <v>1374</v>
      </c>
      <c r="J4206" s="6">
        <v>147</v>
      </c>
      <c r="K4206" s="7" t="s">
        <v>4754</v>
      </c>
      <c r="L4206" s="8">
        <v>7669792</v>
      </c>
      <c r="M4206" s="8" t="str">
        <f t="shared" ref="M4206:M4213" si="415">"PEN"</f>
        <v>PEN</v>
      </c>
      <c r="N4206" s="13">
        <v>1132</v>
      </c>
      <c r="O4206" s="13"/>
      <c r="P4206" s="3">
        <f t="shared" ref="P4206:P4213" si="416">+IF(OR($F4206="SALDO",$F4206="INGRESO"),$O4206,0)</f>
        <v>0</v>
      </c>
      <c r="Q4206" s="3">
        <f t="shared" ref="Q4206:Q4213" si="417">+IF($F4206="EGRESO",$O4206,0)</f>
        <v>0</v>
      </c>
      <c r="R4206" s="3">
        <f>IFERROR(IF(F4206="SALDO",P4206,R4205+P4206-Q4206),0)</f>
        <v>7216.6699999999746</v>
      </c>
      <c r="S4206" s="24" t="s">
        <v>1334</v>
      </c>
      <c r="T4206" s="24" t="s">
        <v>1334</v>
      </c>
      <c r="U4206" s="56" t="s">
        <v>4755</v>
      </c>
      <c r="V4206" s="25">
        <f>IFERROR(VLOOKUP(BCP_Soles[[#This Row],[destinatario]],CHOOSE({1,2},Clientes_Proveedores[Razon Social],Clientes_Proveedores[Ruc / Dni]),2,0),"")</f>
        <v>20605931457</v>
      </c>
      <c r="W4206" s="25"/>
      <c r="X4206" s="25"/>
      <c r="Y4206" s="25"/>
      <c r="Z4206" s="77"/>
      <c r="AA4206" s="3" t="str">
        <f>IF(BCP_Soles[[#This Row],[fecha]]&gt;0,TEXT(BCP_Soles[[#This Row],[fecha]],"mmmm"),0)</f>
        <v>Octubre</v>
      </c>
    </row>
    <row r="4207" spans="1:27" ht="48" x14ac:dyDescent="0.3">
      <c r="A4207" s="2">
        <f>IF(BCP_Soles[[#This Row],[tipo_registro]]="R",COUNTIFS($C$1:$C4206,"R")+1,A4206)</f>
        <v>2798</v>
      </c>
      <c r="B4207" s="19" t="str">
        <f t="shared" si="414"/>
        <v>B-BCP - Soles</v>
      </c>
      <c r="C4207" s="3" t="s">
        <v>1352</v>
      </c>
      <c r="D4207" s="14">
        <v>45945</v>
      </c>
      <c r="E4207" s="5" t="s">
        <v>1338</v>
      </c>
      <c r="F4207" s="5" t="s">
        <v>1336</v>
      </c>
      <c r="G4207" s="191" t="s">
        <v>541</v>
      </c>
      <c r="H4207" s="6" t="s">
        <v>68</v>
      </c>
      <c r="I4207" s="198" t="s">
        <v>1374</v>
      </c>
      <c r="J4207" s="6">
        <v>146</v>
      </c>
      <c r="K4207" s="7" t="s">
        <v>4754</v>
      </c>
      <c r="L4207" s="8">
        <v>7669792</v>
      </c>
      <c r="M4207" s="8" t="str">
        <f t="shared" si="415"/>
        <v>PEN</v>
      </c>
      <c r="N4207" s="13">
        <v>2484</v>
      </c>
      <c r="O4207" s="13"/>
      <c r="P4207" s="3">
        <f t="shared" si="416"/>
        <v>0</v>
      </c>
      <c r="Q4207" s="3">
        <f t="shared" si="417"/>
        <v>0</v>
      </c>
      <c r="R4207" s="3">
        <f t="shared" ref="R4207:R4214" si="418">IFERROR(IF(F4207="SALDO",P4207,R4206+P4207-Q4207),0)</f>
        <v>7216.6699999999746</v>
      </c>
      <c r="S4207" s="24" t="s">
        <v>1334</v>
      </c>
      <c r="T4207" s="24" t="s">
        <v>1334</v>
      </c>
      <c r="U4207" s="56" t="s">
        <v>4755</v>
      </c>
      <c r="V4207" s="25">
        <f>IFERROR(VLOOKUP(BCP_Soles[[#This Row],[destinatario]],CHOOSE({1,2},Clientes_Proveedores[Razon Social],Clientes_Proveedores[Ruc / Dni]),2,0),"")</f>
        <v>20605931457</v>
      </c>
      <c r="W4207" s="25"/>
      <c r="X4207" s="25"/>
      <c r="Y4207" s="25"/>
      <c r="Z4207" s="77"/>
      <c r="AA4207" s="3" t="str">
        <f>IF(BCP_Soles[[#This Row],[fecha]]&gt;0,TEXT(BCP_Soles[[#This Row],[fecha]],"mmmm"),0)</f>
        <v>Octubre</v>
      </c>
    </row>
    <row r="4208" spans="1:27" ht="24" x14ac:dyDescent="0.3">
      <c r="A4208" s="2">
        <f>IF(BCP_Soles[[#This Row],[tipo_registro]]="R",COUNTIFS($C$1:$C4207,"R")+1,A4207)</f>
        <v>2798</v>
      </c>
      <c r="B4208" s="19" t="str">
        <f t="shared" si="414"/>
        <v>B-BCP - Soles</v>
      </c>
      <c r="C4208" s="3" t="s">
        <v>1352</v>
      </c>
      <c r="D4208" s="14">
        <v>45945</v>
      </c>
      <c r="E4208" s="5" t="s">
        <v>1338</v>
      </c>
      <c r="F4208" s="5" t="s">
        <v>1336</v>
      </c>
      <c r="G4208" s="191" t="s">
        <v>553</v>
      </c>
      <c r="H4208" s="6" t="s">
        <v>68</v>
      </c>
      <c r="I4208" s="198" t="s">
        <v>1376</v>
      </c>
      <c r="J4208" s="6">
        <v>365</v>
      </c>
      <c r="K4208" s="7" t="s">
        <v>4754</v>
      </c>
      <c r="L4208" s="8">
        <v>7669792</v>
      </c>
      <c r="M4208" s="8" t="str">
        <f t="shared" si="415"/>
        <v>PEN</v>
      </c>
      <c r="N4208" s="13">
        <v>960</v>
      </c>
      <c r="O4208" s="13"/>
      <c r="P4208" s="3">
        <f t="shared" si="416"/>
        <v>0</v>
      </c>
      <c r="Q4208" s="3">
        <f t="shared" si="417"/>
        <v>0</v>
      </c>
      <c r="R4208" s="3">
        <f t="shared" si="418"/>
        <v>7216.6699999999746</v>
      </c>
      <c r="S4208" s="24" t="s">
        <v>1334</v>
      </c>
      <c r="T4208" s="24" t="s">
        <v>1334</v>
      </c>
      <c r="U4208" s="56" t="s">
        <v>4755</v>
      </c>
      <c r="V4208" s="25">
        <f>IFERROR(VLOOKUP(BCP_Soles[[#This Row],[destinatario]],CHOOSE({1,2},Clientes_Proveedores[Razon Social],Clientes_Proveedores[Ruc / Dni]),2,0),"")</f>
        <v>20606866861</v>
      </c>
      <c r="W4208" s="25"/>
      <c r="X4208" s="25"/>
      <c r="Y4208" s="25"/>
      <c r="Z4208" s="77"/>
      <c r="AA4208" s="3" t="str">
        <f>IF(BCP_Soles[[#This Row],[fecha]]&gt;0,TEXT(BCP_Soles[[#This Row],[fecha]],"mmmm"),0)</f>
        <v>Octubre</v>
      </c>
    </row>
    <row r="4209" spans="1:27" ht="48" x14ac:dyDescent="0.3">
      <c r="A4209" s="2">
        <f>IF(BCP_Soles[[#This Row],[tipo_registro]]="R",COUNTIFS($C$1:$C4208,"R")+1,A4208)</f>
        <v>2798</v>
      </c>
      <c r="B4209" s="19" t="str">
        <f t="shared" si="414"/>
        <v>B-BCP - Soles</v>
      </c>
      <c r="C4209" s="3" t="s">
        <v>1352</v>
      </c>
      <c r="D4209" s="14">
        <v>45945</v>
      </c>
      <c r="E4209" s="5" t="s">
        <v>1338</v>
      </c>
      <c r="F4209" s="5" t="s">
        <v>1336</v>
      </c>
      <c r="G4209" s="191" t="s">
        <v>541</v>
      </c>
      <c r="H4209" s="6" t="s">
        <v>68</v>
      </c>
      <c r="I4209" s="198" t="s">
        <v>1374</v>
      </c>
      <c r="J4209" s="6">
        <v>148</v>
      </c>
      <c r="K4209" s="7" t="s">
        <v>4754</v>
      </c>
      <c r="L4209" s="8">
        <v>7669792</v>
      </c>
      <c r="M4209" s="8" t="str">
        <f t="shared" si="415"/>
        <v>PEN</v>
      </c>
      <c r="N4209" s="13">
        <v>634</v>
      </c>
      <c r="O4209" s="13"/>
      <c r="P4209" s="3">
        <f t="shared" si="416"/>
        <v>0</v>
      </c>
      <c r="Q4209" s="3">
        <f t="shared" si="417"/>
        <v>0</v>
      </c>
      <c r="R4209" s="3">
        <f t="shared" si="418"/>
        <v>7216.6699999999746</v>
      </c>
      <c r="S4209" s="24" t="s">
        <v>1334</v>
      </c>
      <c r="T4209" s="24" t="s">
        <v>1334</v>
      </c>
      <c r="U4209" s="56" t="s">
        <v>4755</v>
      </c>
      <c r="V4209" s="25">
        <f>IFERROR(VLOOKUP(BCP_Soles[[#This Row],[destinatario]],CHOOSE({1,2},Clientes_Proveedores[Razon Social],Clientes_Proveedores[Ruc / Dni]),2,0),"")</f>
        <v>20605931457</v>
      </c>
      <c r="W4209" s="25"/>
      <c r="X4209" s="25"/>
      <c r="Y4209" s="25"/>
      <c r="Z4209" s="77"/>
      <c r="AA4209" s="3" t="str">
        <f>IF(BCP_Soles[[#This Row],[fecha]]&gt;0,TEXT(BCP_Soles[[#This Row],[fecha]],"mmmm"),0)</f>
        <v>Octubre</v>
      </c>
    </row>
    <row r="4210" spans="1:27" ht="24" x14ac:dyDescent="0.3">
      <c r="A4210" s="2">
        <f>IF(BCP_Soles[[#This Row],[tipo_registro]]="R",COUNTIFS($C$1:$C4209,"R")+1,A4209)</f>
        <v>2798</v>
      </c>
      <c r="B4210" s="19" t="str">
        <f t="shared" si="414"/>
        <v>B-BCP - Soles</v>
      </c>
      <c r="C4210" s="3" t="s">
        <v>1352</v>
      </c>
      <c r="D4210" s="14">
        <v>45945</v>
      </c>
      <c r="E4210" s="5" t="s">
        <v>1338</v>
      </c>
      <c r="F4210" s="5" t="s">
        <v>1336</v>
      </c>
      <c r="G4210" s="191" t="s">
        <v>594</v>
      </c>
      <c r="H4210" s="6" t="s">
        <v>68</v>
      </c>
      <c r="I4210" s="198" t="s">
        <v>1376</v>
      </c>
      <c r="J4210" s="6">
        <v>2592</v>
      </c>
      <c r="K4210" s="7" t="s">
        <v>4754</v>
      </c>
      <c r="L4210" s="8">
        <v>7669792</v>
      </c>
      <c r="M4210" s="8" t="str">
        <f t="shared" si="415"/>
        <v>PEN</v>
      </c>
      <c r="N4210" s="13">
        <v>159.30000000000001</v>
      </c>
      <c r="O4210" s="13"/>
      <c r="P4210" s="3">
        <f t="shared" si="416"/>
        <v>0</v>
      </c>
      <c r="Q4210" s="3">
        <f t="shared" si="417"/>
        <v>0</v>
      </c>
      <c r="R4210" s="3">
        <f t="shared" si="418"/>
        <v>7216.6699999999746</v>
      </c>
      <c r="S4210" s="24" t="s">
        <v>1334</v>
      </c>
      <c r="T4210" s="24" t="s">
        <v>1334</v>
      </c>
      <c r="U4210" s="56" t="s">
        <v>4755</v>
      </c>
      <c r="V4210" s="25">
        <f>IFERROR(VLOOKUP(BCP_Soles[[#This Row],[destinatario]],CHOOSE({1,2},Clientes_Proveedores[Razon Social],Clientes_Proveedores[Ruc / Dni]),2,0),"")</f>
        <v>20609764261</v>
      </c>
      <c r="W4210" s="25"/>
      <c r="X4210" s="25"/>
      <c r="Y4210" s="25"/>
      <c r="Z4210" s="77"/>
      <c r="AA4210" s="3" t="str">
        <f>IF(BCP_Soles[[#This Row],[fecha]]&gt;0,TEXT(BCP_Soles[[#This Row],[fecha]],"mmmm"),0)</f>
        <v>Octubre</v>
      </c>
    </row>
    <row r="4211" spans="1:27" ht="24" x14ac:dyDescent="0.3">
      <c r="A4211" s="2">
        <f>IF(BCP_Soles[[#This Row],[tipo_registro]]="R",COUNTIFS($C$1:$C4210,"R")+1,A4210)</f>
        <v>2798</v>
      </c>
      <c r="B4211" s="19" t="str">
        <f t="shared" si="414"/>
        <v>B-BCP - Soles</v>
      </c>
      <c r="C4211" s="3" t="s">
        <v>1352</v>
      </c>
      <c r="D4211" s="14">
        <v>45945</v>
      </c>
      <c r="E4211" s="5" t="s">
        <v>1338</v>
      </c>
      <c r="F4211" s="5" t="s">
        <v>1336</v>
      </c>
      <c r="G4211" s="191" t="s">
        <v>537</v>
      </c>
      <c r="H4211" s="6" t="s">
        <v>68</v>
      </c>
      <c r="I4211" s="198" t="s">
        <v>1376</v>
      </c>
      <c r="J4211" s="6">
        <v>932</v>
      </c>
      <c r="K4211" s="7" t="s">
        <v>4754</v>
      </c>
      <c r="L4211" s="8">
        <v>7669792</v>
      </c>
      <c r="M4211" s="8" t="str">
        <f t="shared" si="415"/>
        <v>PEN</v>
      </c>
      <c r="N4211" s="13">
        <v>354</v>
      </c>
      <c r="O4211" s="13"/>
      <c r="P4211" s="3">
        <f t="shared" si="416"/>
        <v>0</v>
      </c>
      <c r="Q4211" s="3">
        <f t="shared" si="417"/>
        <v>0</v>
      </c>
      <c r="R4211" s="3">
        <f t="shared" si="418"/>
        <v>7216.6699999999746</v>
      </c>
      <c r="S4211" s="24" t="s">
        <v>1334</v>
      </c>
      <c r="T4211" s="24" t="s">
        <v>1334</v>
      </c>
      <c r="U4211" s="56" t="s">
        <v>4755</v>
      </c>
      <c r="V4211" s="25">
        <f>IFERROR(VLOOKUP(BCP_Soles[[#This Row],[destinatario]],CHOOSE({1,2},Clientes_Proveedores[Razon Social],Clientes_Proveedores[Ruc / Dni]),2,0),"")</f>
        <v>20605447814</v>
      </c>
      <c r="W4211" s="25"/>
      <c r="X4211" s="25"/>
      <c r="Y4211" s="25"/>
      <c r="Z4211" s="77"/>
      <c r="AA4211" s="3" t="str">
        <f>IF(BCP_Soles[[#This Row],[fecha]]&gt;0,TEXT(BCP_Soles[[#This Row],[fecha]],"mmmm"),0)</f>
        <v>Octubre</v>
      </c>
    </row>
    <row r="4212" spans="1:27" ht="24" x14ac:dyDescent="0.3">
      <c r="A4212" s="2">
        <f>IF(BCP_Soles[[#This Row],[tipo_registro]]="R",COUNTIFS($C$1:$C4211,"R")+1,A4211)</f>
        <v>2798</v>
      </c>
      <c r="B4212" s="19" t="str">
        <f t="shared" si="414"/>
        <v>B-BCP - Soles</v>
      </c>
      <c r="C4212" s="3" t="s">
        <v>1352</v>
      </c>
      <c r="D4212" s="14">
        <v>45945</v>
      </c>
      <c r="E4212" s="5" t="s">
        <v>1338</v>
      </c>
      <c r="F4212" s="5" t="s">
        <v>1336</v>
      </c>
      <c r="G4212" s="191" t="s">
        <v>594</v>
      </c>
      <c r="H4212" s="6" t="s">
        <v>68</v>
      </c>
      <c r="I4212" s="198" t="s">
        <v>1376</v>
      </c>
      <c r="J4212" s="6">
        <v>2591</v>
      </c>
      <c r="K4212" s="7" t="s">
        <v>4754</v>
      </c>
      <c r="L4212" s="8">
        <v>7669792</v>
      </c>
      <c r="M4212" s="8" t="str">
        <f t="shared" si="415"/>
        <v>PEN</v>
      </c>
      <c r="N4212" s="13">
        <v>70.8</v>
      </c>
      <c r="O4212" s="13"/>
      <c r="P4212" s="3">
        <f t="shared" si="416"/>
        <v>0</v>
      </c>
      <c r="Q4212" s="3">
        <f t="shared" si="417"/>
        <v>0</v>
      </c>
      <c r="R4212" s="3">
        <f t="shared" si="418"/>
        <v>7216.6699999999746</v>
      </c>
      <c r="S4212" s="24" t="s">
        <v>1334</v>
      </c>
      <c r="T4212" s="24" t="s">
        <v>1334</v>
      </c>
      <c r="U4212" s="56" t="s">
        <v>4755</v>
      </c>
      <c r="V4212" s="25">
        <f>IFERROR(VLOOKUP(BCP_Soles[[#This Row],[destinatario]],CHOOSE({1,2},Clientes_Proveedores[Razon Social],Clientes_Proveedores[Ruc / Dni]),2,0),"")</f>
        <v>20609764261</v>
      </c>
      <c r="W4212" s="25"/>
      <c r="X4212" s="25"/>
      <c r="Y4212" s="25"/>
      <c r="Z4212" s="77"/>
      <c r="AA4212" s="3" t="str">
        <f>IF(BCP_Soles[[#This Row],[fecha]]&gt;0,TEXT(BCP_Soles[[#This Row],[fecha]],"mmmm"),0)</f>
        <v>Octubre</v>
      </c>
    </row>
    <row r="4213" spans="1:27" ht="24" x14ac:dyDescent="0.3">
      <c r="A4213" s="2">
        <f>IF(BCP_Soles[[#This Row],[tipo_registro]]="R",COUNTIFS($C$1:$C4212,"R")+1,A4212)</f>
        <v>2798</v>
      </c>
      <c r="B4213" s="19" t="str">
        <f t="shared" si="414"/>
        <v>B-BCP - Soles</v>
      </c>
      <c r="C4213" s="3" t="s">
        <v>1352</v>
      </c>
      <c r="D4213" s="14">
        <v>45945</v>
      </c>
      <c r="E4213" s="5" t="s">
        <v>1338</v>
      </c>
      <c r="F4213" s="5" t="s">
        <v>1336</v>
      </c>
      <c r="G4213" s="191" t="s">
        <v>594</v>
      </c>
      <c r="H4213" s="6" t="s">
        <v>68</v>
      </c>
      <c r="I4213" s="198" t="s">
        <v>1376</v>
      </c>
      <c r="J4213" s="6">
        <v>2593</v>
      </c>
      <c r="K4213" s="7" t="s">
        <v>4754</v>
      </c>
      <c r="L4213" s="8">
        <v>7669792</v>
      </c>
      <c r="M4213" s="8" t="str">
        <f t="shared" si="415"/>
        <v>PEN</v>
      </c>
      <c r="N4213" s="13">
        <v>70.8</v>
      </c>
      <c r="O4213" s="13"/>
      <c r="P4213" s="3">
        <f t="shared" si="416"/>
        <v>0</v>
      </c>
      <c r="Q4213" s="3">
        <f t="shared" si="417"/>
        <v>0</v>
      </c>
      <c r="R4213" s="3">
        <f t="shared" si="418"/>
        <v>7216.6699999999746</v>
      </c>
      <c r="S4213" s="24" t="s">
        <v>1334</v>
      </c>
      <c r="T4213" s="24" t="s">
        <v>1334</v>
      </c>
      <c r="U4213" s="56" t="s">
        <v>4755</v>
      </c>
      <c r="V4213" s="25">
        <f>IFERROR(VLOOKUP(BCP_Soles[[#This Row],[destinatario]],CHOOSE({1,2},Clientes_Proveedores[Razon Social],Clientes_Proveedores[Ruc / Dni]),2,0),"")</f>
        <v>20609764261</v>
      </c>
      <c r="W4213" s="25"/>
      <c r="X4213" s="25"/>
      <c r="Y4213" s="25"/>
      <c r="Z4213" s="77"/>
      <c r="AA4213" s="3" t="str">
        <f>IF(BCP_Soles[[#This Row],[fecha]]&gt;0,TEXT(BCP_Soles[[#This Row],[fecha]],"mmmm"),0)</f>
        <v>Octubre</v>
      </c>
    </row>
    <row r="4214" spans="1:27" x14ac:dyDescent="0.3">
      <c r="A4214" s="2">
        <f>IF(BCP_Soles[[#This Row],[tipo_registro]]="R",COUNTIFS($C$1:$C4213,"R")+1,A4213)</f>
        <v>2799</v>
      </c>
      <c r="B4214" s="19" t="str">
        <f t="shared" si="408"/>
        <v>B-BCP - Soles</v>
      </c>
      <c r="C4214" s="3" t="s">
        <v>1330</v>
      </c>
      <c r="D4214" s="14">
        <v>45945</v>
      </c>
      <c r="E4214" s="5" t="s">
        <v>3190</v>
      </c>
      <c r="F4214" s="5" t="s">
        <v>1336</v>
      </c>
      <c r="G4214" s="191"/>
      <c r="H4214" s="6"/>
      <c r="I4214" s="198"/>
      <c r="J4214" s="6"/>
      <c r="K4214" s="7" t="s">
        <v>4756</v>
      </c>
      <c r="L4214" s="8">
        <v>1013277</v>
      </c>
      <c r="M4214" s="8" t="str">
        <f t="shared" si="409"/>
        <v>PEN</v>
      </c>
      <c r="N4214" s="13"/>
      <c r="O4214" s="13">
        <v>2301</v>
      </c>
      <c r="P4214" s="3">
        <f t="shared" si="410"/>
        <v>0</v>
      </c>
      <c r="Q4214" s="3">
        <f t="shared" si="411"/>
        <v>2301</v>
      </c>
      <c r="R4214" s="3">
        <f t="shared" si="418"/>
        <v>4915.6699999999746</v>
      </c>
      <c r="S4214" s="24"/>
      <c r="T4214" s="24"/>
      <c r="U4214" s="55"/>
      <c r="V4214" s="25" t="str">
        <f>IFERROR(VLOOKUP(BCP_Soles[[#This Row],[destinatario]],CHOOSE({1,2},Clientes_Proveedores[Razon Social],Clientes_Proveedores[Ruc / Dni]),2,0),"")</f>
        <v/>
      </c>
      <c r="W4214" s="25"/>
      <c r="X4214" s="25"/>
      <c r="Y4214" s="25"/>
      <c r="Z4214" s="77"/>
      <c r="AA4214" s="3" t="str">
        <f>IF(BCP_Soles[[#This Row],[fecha]]&gt;0,TEXT(BCP_Soles[[#This Row],[fecha]],"mmmm"),0)</f>
        <v>Octubre</v>
      </c>
    </row>
    <row r="4215" spans="1:27" ht="24" x14ac:dyDescent="0.3">
      <c r="A4215" s="2">
        <f>IF(BCP_Soles[[#This Row],[tipo_registro]]="R",COUNTIFS($C$1:$C4214,"R")+1,A4214)</f>
        <v>2800</v>
      </c>
      <c r="B4215" s="19" t="str">
        <f t="shared" ref="B4215:B4236" si="419">"B-BCP - Soles"</f>
        <v>B-BCP - Soles</v>
      </c>
      <c r="C4215" s="3" t="s">
        <v>1330</v>
      </c>
      <c r="D4215" s="14">
        <v>45945</v>
      </c>
      <c r="E4215" s="5" t="s">
        <v>1335</v>
      </c>
      <c r="F4215" s="5" t="s">
        <v>1336</v>
      </c>
      <c r="G4215" s="191" t="s">
        <v>1060</v>
      </c>
      <c r="H4215" s="6" t="s">
        <v>68</v>
      </c>
      <c r="I4215" s="198" t="s">
        <v>1397</v>
      </c>
      <c r="J4215" s="6">
        <v>38231609</v>
      </c>
      <c r="K4215" s="7" t="s">
        <v>4230</v>
      </c>
      <c r="L4215" s="8">
        <v>403</v>
      </c>
      <c r="M4215" s="8" t="str">
        <f t="shared" ref="M4215:M4236" si="420">"PEN"</f>
        <v>PEN</v>
      </c>
      <c r="N4215" s="13"/>
      <c r="O4215" s="13">
        <v>10</v>
      </c>
      <c r="P4215" s="3">
        <f t="shared" ref="P4215:P4236" si="421">+IF(OR($F4215="SALDO",$F4215="INGRESO"),$O4215,0)</f>
        <v>0</v>
      </c>
      <c r="Q4215" s="3">
        <f t="shared" ref="Q4215:Q4236" si="422">+IF($F4215="EGRESO",$O4215,0)</f>
        <v>10</v>
      </c>
      <c r="R4215" s="3">
        <f t="shared" ref="R4215:R4224" si="423">IFERROR(IF(F4215="SALDO",P4215,R4214+P4215-Q4215),0)</f>
        <v>4905.6699999999746</v>
      </c>
      <c r="S4215" s="24" t="s">
        <v>1334</v>
      </c>
      <c r="T4215" s="24" t="s">
        <v>1334</v>
      </c>
      <c r="U4215" s="55"/>
      <c r="V4215" s="25">
        <f>IFERROR(VLOOKUP(BCP_Soles[[#This Row],[destinatario]],CHOOSE({1,2},Clientes_Proveedores[Razon Social],Clientes_Proveedores[Ruc / Dni]),2,0),"")</f>
        <v>20100047218</v>
      </c>
      <c r="W4215" s="25"/>
      <c r="X4215" s="25"/>
      <c r="Y4215" s="25"/>
      <c r="Z4215" s="77"/>
      <c r="AA4215" s="3" t="str">
        <f>IF(BCP_Soles[[#This Row],[fecha]]&gt;0,TEXT(BCP_Soles[[#This Row],[fecha]],"mmmm"),0)</f>
        <v>Octubre</v>
      </c>
    </row>
    <row r="4216" spans="1:27" ht="24" x14ac:dyDescent="0.3">
      <c r="A4216" s="2">
        <f>IF(BCP_Soles[[#This Row],[tipo_registro]]="R",COUNTIFS($C$1:$C4215,"R")+1,A4215)</f>
        <v>2801</v>
      </c>
      <c r="B4216" s="19" t="str">
        <f t="shared" si="419"/>
        <v>B-BCP - Soles</v>
      </c>
      <c r="C4216" s="3" t="s">
        <v>1330</v>
      </c>
      <c r="D4216" s="14">
        <v>45945</v>
      </c>
      <c r="E4216" s="5" t="s">
        <v>1335</v>
      </c>
      <c r="F4216" s="5" t="s">
        <v>1336</v>
      </c>
      <c r="G4216" s="191" t="s">
        <v>1060</v>
      </c>
      <c r="H4216" s="6" t="s">
        <v>68</v>
      </c>
      <c r="I4216" s="198" t="s">
        <v>1397</v>
      </c>
      <c r="J4216" s="6">
        <v>38110567</v>
      </c>
      <c r="K4216" s="7" t="s">
        <v>4210</v>
      </c>
      <c r="L4216" s="8">
        <v>964235</v>
      </c>
      <c r="M4216" s="8" t="str">
        <f t="shared" si="420"/>
        <v>PEN</v>
      </c>
      <c r="N4216" s="13"/>
      <c r="O4216" s="13">
        <v>10</v>
      </c>
      <c r="P4216" s="3">
        <f t="shared" si="421"/>
        <v>0</v>
      </c>
      <c r="Q4216" s="3">
        <f t="shared" si="422"/>
        <v>10</v>
      </c>
      <c r="R4216" s="3">
        <f t="shared" si="423"/>
        <v>4895.6699999999746</v>
      </c>
      <c r="S4216" s="24" t="s">
        <v>1334</v>
      </c>
      <c r="T4216" s="24" t="s">
        <v>1334</v>
      </c>
      <c r="U4216" s="55"/>
      <c r="V4216" s="25">
        <f>IFERROR(VLOOKUP(BCP_Soles[[#This Row],[destinatario]],CHOOSE({1,2},Clientes_Proveedores[Razon Social],Clientes_Proveedores[Ruc / Dni]),2,0),"")</f>
        <v>20100047218</v>
      </c>
      <c r="W4216" s="25"/>
      <c r="X4216" s="25"/>
      <c r="Y4216" s="25"/>
      <c r="Z4216" s="77"/>
      <c r="AA4216" s="3" t="str">
        <f>IF(BCP_Soles[[#This Row],[fecha]]&gt;0,TEXT(BCP_Soles[[#This Row],[fecha]],"mmmm"),0)</f>
        <v>Octubre</v>
      </c>
    </row>
    <row r="4217" spans="1:27" x14ac:dyDescent="0.3">
      <c r="A4217" s="2">
        <f>IF(BCP_Soles[[#This Row],[tipo_registro]]="R",COUNTIFS($C$1:$C4216,"R")+1,A4216)</f>
        <v>2802</v>
      </c>
      <c r="B4217" s="19" t="str">
        <f t="shared" si="419"/>
        <v>B-BCP - Soles</v>
      </c>
      <c r="C4217" s="3" t="s">
        <v>1330</v>
      </c>
      <c r="D4217" s="14">
        <v>45945</v>
      </c>
      <c r="E4217" s="5" t="s">
        <v>1335</v>
      </c>
      <c r="F4217" s="5" t="s">
        <v>1336</v>
      </c>
      <c r="G4217" s="6" t="s">
        <v>1009</v>
      </c>
      <c r="H4217" s="6" t="s">
        <v>64</v>
      </c>
      <c r="I4217" s="198"/>
      <c r="J4217" s="6"/>
      <c r="K4217" s="7" t="s">
        <v>3160</v>
      </c>
      <c r="L4217" s="8"/>
      <c r="M4217" s="8" t="str">
        <f t="shared" si="420"/>
        <v>PEN</v>
      </c>
      <c r="N4217" s="13"/>
      <c r="O4217" s="13">
        <v>1.4</v>
      </c>
      <c r="P4217" s="3">
        <f t="shared" si="421"/>
        <v>0</v>
      </c>
      <c r="Q4217" s="3">
        <f t="shared" si="422"/>
        <v>1.4</v>
      </c>
      <c r="R4217" s="3">
        <f t="shared" si="423"/>
        <v>4894.269999999975</v>
      </c>
      <c r="S4217" s="24"/>
      <c r="T4217" s="24"/>
      <c r="U4217" s="55"/>
      <c r="V4217" s="25">
        <f>IFERROR(VLOOKUP(BCP_Soles[[#This Row],[destinatario]],CHOOSE({1,2},Clientes_Proveedores[Razon Social],Clientes_Proveedores[Ruc / Dni]),2,0),"")</f>
        <v>11111111</v>
      </c>
      <c r="W4217" s="25"/>
      <c r="X4217" s="25"/>
      <c r="Y4217" s="25"/>
      <c r="Z4217" s="77"/>
      <c r="AA4217" s="3" t="str">
        <f>IF(BCP_Soles[[#This Row],[fecha]]&gt;0,TEXT(BCP_Soles[[#This Row],[fecha]],"mmmm"),0)</f>
        <v>Octubre</v>
      </c>
    </row>
    <row r="4218" spans="1:27" ht="36" x14ac:dyDescent="0.3">
      <c r="A4218" s="2">
        <f>IF(BCP_Soles[[#This Row],[tipo_registro]]="R",COUNTIFS($C$1:$C4217,"R")+1,A4217)</f>
        <v>2803</v>
      </c>
      <c r="B4218" s="19" t="str">
        <f t="shared" si="419"/>
        <v>B-BCP - Soles</v>
      </c>
      <c r="C4218" s="3" t="s">
        <v>1330</v>
      </c>
      <c r="D4218" s="14">
        <v>45946</v>
      </c>
      <c r="E4218" s="5" t="s">
        <v>1270</v>
      </c>
      <c r="F4218" s="5" t="s">
        <v>1303</v>
      </c>
      <c r="G4218" s="6" t="s">
        <v>425</v>
      </c>
      <c r="H4218" s="6" t="s">
        <v>68</v>
      </c>
      <c r="I4218" s="198" t="s">
        <v>1784</v>
      </c>
      <c r="J4218" s="6">
        <v>297</v>
      </c>
      <c r="K4218" s="7" t="s">
        <v>4757</v>
      </c>
      <c r="L4218" s="8">
        <v>2070997</v>
      </c>
      <c r="M4218" s="8" t="str">
        <f t="shared" si="420"/>
        <v>PEN</v>
      </c>
      <c r="N4218" s="13"/>
      <c r="O4218" s="13">
        <v>649</v>
      </c>
      <c r="P4218" s="3">
        <f t="shared" si="421"/>
        <v>649</v>
      </c>
      <c r="Q4218" s="3">
        <f t="shared" si="422"/>
        <v>0</v>
      </c>
      <c r="R4218" s="3">
        <f t="shared" si="423"/>
        <v>5543.269999999975</v>
      </c>
      <c r="S4218" s="24" t="s">
        <v>1334</v>
      </c>
      <c r="T4218" s="24" t="s">
        <v>1334</v>
      </c>
      <c r="U4218" s="55"/>
      <c r="V4218" s="25">
        <f>IFERROR(VLOOKUP(BCP_Soles[[#This Row],[destinatario]],CHOOSE({1,2},Clientes_Proveedores[Razon Social],Clientes_Proveedores[Ruc / Dni]),2,0),"")</f>
        <v>20558226979</v>
      </c>
      <c r="W4218" s="25"/>
      <c r="X4218" s="25"/>
      <c r="Y4218" s="25"/>
      <c r="Z4218" s="77"/>
      <c r="AA4218" s="3" t="str">
        <f>IF(BCP_Soles[[#This Row],[fecha]]&gt;0,TEXT(BCP_Soles[[#This Row],[fecha]],"mmmm"),0)</f>
        <v>Octubre</v>
      </c>
    </row>
    <row r="4219" spans="1:27" ht="36" x14ac:dyDescent="0.3">
      <c r="A4219" s="2">
        <f>IF(BCP_Soles[[#This Row],[tipo_registro]]="R",COUNTIFS($C$1:$C4218,"R")+1,A4218)</f>
        <v>2804</v>
      </c>
      <c r="B4219" s="19" t="str">
        <f t="shared" si="419"/>
        <v>B-BCP - Soles</v>
      </c>
      <c r="C4219" s="3" t="s">
        <v>1330</v>
      </c>
      <c r="D4219" s="14">
        <v>45946</v>
      </c>
      <c r="E4219" s="5" t="s">
        <v>555</v>
      </c>
      <c r="F4219" s="5" t="s">
        <v>1303</v>
      </c>
      <c r="G4219" s="6" t="s">
        <v>425</v>
      </c>
      <c r="H4219" s="6"/>
      <c r="I4219" s="198"/>
      <c r="J4219" s="6"/>
      <c r="K4219" s="7" t="s">
        <v>4112</v>
      </c>
      <c r="L4219" s="8">
        <v>8019177</v>
      </c>
      <c r="M4219" s="8" t="str">
        <f t="shared" si="420"/>
        <v>PEN</v>
      </c>
      <c r="N4219" s="13"/>
      <c r="O4219" s="13">
        <v>5940.96</v>
      </c>
      <c r="P4219" s="3">
        <f t="shared" si="421"/>
        <v>5940.96</v>
      </c>
      <c r="Q4219" s="3">
        <f t="shared" si="422"/>
        <v>0</v>
      </c>
      <c r="R4219" s="3">
        <f t="shared" si="423"/>
        <v>11484.229999999974</v>
      </c>
      <c r="S4219" s="24" t="s">
        <v>1334</v>
      </c>
      <c r="T4219" s="24" t="s">
        <v>1334</v>
      </c>
      <c r="U4219" s="55"/>
      <c r="V4219" s="25">
        <f>IFERROR(VLOOKUP(BCP_Soles[[#This Row],[destinatario]],CHOOSE({1,2},Clientes_Proveedores[Razon Social],Clientes_Proveedores[Ruc / Dni]),2,0),"")</f>
        <v>20558226979</v>
      </c>
      <c r="W4219" s="25"/>
      <c r="X4219" s="25"/>
      <c r="Y4219" s="25"/>
      <c r="Z4219" s="77"/>
      <c r="AA4219" s="3" t="str">
        <f>IF(BCP_Soles[[#This Row],[fecha]]&gt;0,TEXT(BCP_Soles[[#This Row],[fecha]],"mmmm"),0)</f>
        <v>Octubre</v>
      </c>
    </row>
    <row r="4220" spans="1:27" ht="36" x14ac:dyDescent="0.3">
      <c r="A4220" s="2">
        <f>IF(BCP_Soles[[#This Row],[tipo_registro]]="R",COUNTIFS($C$1:$C4219,"R")+1,A4219)</f>
        <v>2804</v>
      </c>
      <c r="B4220" s="19" t="str">
        <f t="shared" si="419"/>
        <v>B-BCP - Soles</v>
      </c>
      <c r="C4220" s="3" t="s">
        <v>1352</v>
      </c>
      <c r="D4220" s="14">
        <v>45946</v>
      </c>
      <c r="E4220" s="5" t="s">
        <v>555</v>
      </c>
      <c r="F4220" s="5" t="s">
        <v>1303</v>
      </c>
      <c r="G4220" s="6" t="s">
        <v>425</v>
      </c>
      <c r="H4220" s="6" t="s">
        <v>68</v>
      </c>
      <c r="I4220" s="198" t="s">
        <v>3381</v>
      </c>
      <c r="J4220" s="6">
        <v>61</v>
      </c>
      <c r="K4220" s="7" t="s">
        <v>4112</v>
      </c>
      <c r="L4220" s="8">
        <v>8019177</v>
      </c>
      <c r="M4220" s="8" t="str">
        <f t="shared" si="420"/>
        <v>PEN</v>
      </c>
      <c r="N4220" s="13">
        <v>886.29</v>
      </c>
      <c r="O4220" s="13"/>
      <c r="P4220" s="3">
        <f t="shared" si="421"/>
        <v>0</v>
      </c>
      <c r="Q4220" s="3">
        <f t="shared" si="422"/>
        <v>0</v>
      </c>
      <c r="R4220" s="3">
        <f t="shared" si="423"/>
        <v>11484.229999999974</v>
      </c>
      <c r="S4220" s="24" t="s">
        <v>1334</v>
      </c>
      <c r="T4220" s="24" t="s">
        <v>1334</v>
      </c>
      <c r="U4220" s="55"/>
      <c r="V4220" s="25">
        <f>IFERROR(VLOOKUP(BCP_Soles[[#This Row],[destinatario]],CHOOSE({1,2},Clientes_Proveedores[Razon Social],Clientes_Proveedores[Ruc / Dni]),2,0),"")</f>
        <v>20558226979</v>
      </c>
      <c r="W4220" s="25"/>
      <c r="X4220" s="25"/>
      <c r="Y4220" s="25"/>
      <c r="Z4220" s="77"/>
      <c r="AA4220" s="3" t="str">
        <f>IF(BCP_Soles[[#This Row],[fecha]]&gt;0,TEXT(BCP_Soles[[#This Row],[fecha]],"mmmm"),0)</f>
        <v>Octubre</v>
      </c>
    </row>
    <row r="4221" spans="1:27" ht="36" x14ac:dyDescent="0.3">
      <c r="A4221" s="2">
        <f>IF(BCP_Soles[[#This Row],[tipo_registro]]="R",COUNTIFS($C$1:$C4220,"R")+1,A4220)</f>
        <v>2804</v>
      </c>
      <c r="B4221" s="19" t="str">
        <f t="shared" si="419"/>
        <v>B-BCP - Soles</v>
      </c>
      <c r="C4221" s="3" t="s">
        <v>1352</v>
      </c>
      <c r="D4221" s="14">
        <v>45946</v>
      </c>
      <c r="E4221" s="5" t="s">
        <v>555</v>
      </c>
      <c r="F4221" s="5" t="s">
        <v>1303</v>
      </c>
      <c r="G4221" s="6" t="s">
        <v>425</v>
      </c>
      <c r="H4221" s="6" t="s">
        <v>68</v>
      </c>
      <c r="I4221" s="198" t="s">
        <v>3381</v>
      </c>
      <c r="J4221" s="6">
        <v>62</v>
      </c>
      <c r="K4221" s="7" t="s">
        <v>4112</v>
      </c>
      <c r="L4221" s="8">
        <v>8019177</v>
      </c>
      <c r="M4221" s="8" t="str">
        <f t="shared" si="420"/>
        <v>PEN</v>
      </c>
      <c r="N4221" s="13">
        <v>1046.8</v>
      </c>
      <c r="O4221" s="13"/>
      <c r="P4221" s="3">
        <f t="shared" si="421"/>
        <v>0</v>
      </c>
      <c r="Q4221" s="3">
        <f t="shared" si="422"/>
        <v>0</v>
      </c>
      <c r="R4221" s="3">
        <f t="shared" si="423"/>
        <v>11484.229999999974</v>
      </c>
      <c r="S4221" s="24" t="s">
        <v>1334</v>
      </c>
      <c r="T4221" s="24" t="s">
        <v>1334</v>
      </c>
      <c r="U4221" s="55"/>
      <c r="V4221" s="25">
        <f>IFERROR(VLOOKUP(BCP_Soles[[#This Row],[destinatario]],CHOOSE({1,2},Clientes_Proveedores[Razon Social],Clientes_Proveedores[Ruc / Dni]),2,0),"")</f>
        <v>20558226979</v>
      </c>
      <c r="W4221" s="25"/>
      <c r="X4221" s="25"/>
      <c r="Y4221" s="25"/>
      <c r="Z4221" s="77"/>
      <c r="AA4221" s="3" t="str">
        <f>IF(BCP_Soles[[#This Row],[fecha]]&gt;0,TEXT(BCP_Soles[[#This Row],[fecha]],"mmmm"),0)</f>
        <v>Octubre</v>
      </c>
    </row>
    <row r="4222" spans="1:27" ht="36" x14ac:dyDescent="0.3">
      <c r="A4222" s="2">
        <f>IF(BCP_Soles[[#This Row],[tipo_registro]]="R",COUNTIFS($C$1:$C4221,"R")+1,A4221)</f>
        <v>2804</v>
      </c>
      <c r="B4222" s="19" t="str">
        <f t="shared" si="419"/>
        <v>B-BCP - Soles</v>
      </c>
      <c r="C4222" s="3" t="s">
        <v>1352</v>
      </c>
      <c r="D4222" s="14">
        <v>45946</v>
      </c>
      <c r="E4222" s="5" t="s">
        <v>555</v>
      </c>
      <c r="F4222" s="5" t="s">
        <v>1303</v>
      </c>
      <c r="G4222" s="6" t="s">
        <v>425</v>
      </c>
      <c r="H4222" s="6" t="s">
        <v>68</v>
      </c>
      <c r="I4222" s="198" t="s">
        <v>3381</v>
      </c>
      <c r="J4222" s="6">
        <v>64</v>
      </c>
      <c r="K4222" s="7" t="s">
        <v>4112</v>
      </c>
      <c r="L4222" s="8">
        <v>8019177</v>
      </c>
      <c r="M4222" s="8" t="str">
        <f t="shared" si="420"/>
        <v>PEN</v>
      </c>
      <c r="N4222" s="13">
        <v>3114.96</v>
      </c>
      <c r="O4222" s="13"/>
      <c r="P4222" s="3">
        <f t="shared" si="421"/>
        <v>0</v>
      </c>
      <c r="Q4222" s="3">
        <f t="shared" si="422"/>
        <v>0</v>
      </c>
      <c r="R4222" s="3">
        <f t="shared" si="423"/>
        <v>11484.229999999974</v>
      </c>
      <c r="S4222" s="24" t="s">
        <v>1334</v>
      </c>
      <c r="T4222" s="24" t="s">
        <v>1334</v>
      </c>
      <c r="U4222" s="55"/>
      <c r="V4222" s="25">
        <f>IFERROR(VLOOKUP(BCP_Soles[[#This Row],[destinatario]],CHOOSE({1,2},Clientes_Proveedores[Razon Social],Clientes_Proveedores[Ruc / Dni]),2,0),"")</f>
        <v>20558226979</v>
      </c>
      <c r="W4222" s="25"/>
      <c r="X4222" s="25"/>
      <c r="Y4222" s="25"/>
      <c r="Z4222" s="77"/>
      <c r="AA4222" s="3" t="str">
        <f>IF(BCP_Soles[[#This Row],[fecha]]&gt;0,TEXT(BCP_Soles[[#This Row],[fecha]],"mmmm"),0)</f>
        <v>Octubre</v>
      </c>
    </row>
    <row r="4223" spans="1:27" ht="36" x14ac:dyDescent="0.3">
      <c r="A4223" s="2">
        <f>IF(BCP_Soles[[#This Row],[tipo_registro]]="R",COUNTIFS($C$1:$C4222,"R")+1,A4222)</f>
        <v>2804</v>
      </c>
      <c r="B4223" s="19" t="str">
        <f t="shared" si="419"/>
        <v>B-BCP - Soles</v>
      </c>
      <c r="C4223" s="3" t="s">
        <v>1352</v>
      </c>
      <c r="D4223" s="14">
        <v>45946</v>
      </c>
      <c r="E4223" s="5" t="s">
        <v>555</v>
      </c>
      <c r="F4223" s="5" t="s">
        <v>1303</v>
      </c>
      <c r="G4223" s="6" t="s">
        <v>425</v>
      </c>
      <c r="H4223" s="6" t="s">
        <v>68</v>
      </c>
      <c r="I4223" s="198" t="s">
        <v>3381</v>
      </c>
      <c r="J4223" s="6">
        <v>66</v>
      </c>
      <c r="K4223" s="7" t="s">
        <v>4112</v>
      </c>
      <c r="L4223" s="8">
        <v>8019177</v>
      </c>
      <c r="M4223" s="8" t="str">
        <f t="shared" si="420"/>
        <v>PEN</v>
      </c>
      <c r="N4223" s="13">
        <v>892.91</v>
      </c>
      <c r="O4223" s="13"/>
      <c r="P4223" s="3">
        <f t="shared" si="421"/>
        <v>0</v>
      </c>
      <c r="Q4223" s="3">
        <f t="shared" si="422"/>
        <v>0</v>
      </c>
      <c r="R4223" s="3">
        <f t="shared" si="423"/>
        <v>11484.229999999974</v>
      </c>
      <c r="S4223" s="24" t="s">
        <v>1334</v>
      </c>
      <c r="T4223" s="24" t="s">
        <v>1334</v>
      </c>
      <c r="U4223" s="55"/>
      <c r="V4223" s="25">
        <f>IFERROR(VLOOKUP(BCP_Soles[[#This Row],[destinatario]],CHOOSE({1,2},Clientes_Proveedores[Razon Social],Clientes_Proveedores[Ruc / Dni]),2,0),"")</f>
        <v>20558226979</v>
      </c>
      <c r="W4223" s="25"/>
      <c r="X4223" s="25"/>
      <c r="Y4223" s="25"/>
      <c r="Z4223" s="77"/>
      <c r="AA4223" s="3" t="str">
        <f>IF(BCP_Soles[[#This Row],[fecha]]&gt;0,TEXT(BCP_Soles[[#This Row],[fecha]],"mmmm"),0)</f>
        <v>Octubre</v>
      </c>
    </row>
    <row r="4224" spans="1:27" ht="24" x14ac:dyDescent="0.3">
      <c r="A4224" s="16">
        <f>IF(BCP_Soles[[#This Row],[tipo_registro]]="R",COUNTIFS($C$1:$C4223,"R")+1,A4223)</f>
        <v>2805</v>
      </c>
      <c r="B4224" s="18" t="str">
        <f t="shared" si="419"/>
        <v>B-BCP - Soles</v>
      </c>
      <c r="C4224" s="13" t="s">
        <v>1330</v>
      </c>
      <c r="D4224" s="14">
        <v>45946</v>
      </c>
      <c r="E4224" s="5" t="s">
        <v>462</v>
      </c>
      <c r="F4224" s="5" t="s">
        <v>1303</v>
      </c>
      <c r="G4224" s="6" t="s">
        <v>425</v>
      </c>
      <c r="H4224" s="6" t="s">
        <v>68</v>
      </c>
      <c r="I4224" s="6" t="s">
        <v>3381</v>
      </c>
      <c r="J4224" s="6">
        <v>76</v>
      </c>
      <c r="K4224" s="7" t="s">
        <v>3608</v>
      </c>
      <c r="L4224" s="8">
        <v>1462499</v>
      </c>
      <c r="M4224" s="8" t="str">
        <f t="shared" si="420"/>
        <v>PEN</v>
      </c>
      <c r="N4224" s="13"/>
      <c r="O4224" s="13">
        <v>874.02</v>
      </c>
      <c r="P4224" s="13">
        <f t="shared" si="421"/>
        <v>874.02</v>
      </c>
      <c r="Q4224" s="13">
        <f t="shared" si="422"/>
        <v>0</v>
      </c>
      <c r="R4224" s="13">
        <f t="shared" si="423"/>
        <v>12358.249999999975</v>
      </c>
      <c r="S4224" s="28" t="s">
        <v>1334</v>
      </c>
      <c r="T4224" s="28" t="s">
        <v>1334</v>
      </c>
      <c r="U4224" s="199"/>
      <c r="V4224" s="103">
        <f>IFERROR(VLOOKUP(BCP_Soles[[#This Row],[destinatario]],CHOOSE({1,2},Clientes_Proveedores[Razon Social],Clientes_Proveedores[Ruc / Dni]),2,0),"")</f>
        <v>20558226979</v>
      </c>
      <c r="W4224" s="103"/>
      <c r="X4224" s="103"/>
      <c r="Y4224" s="103"/>
      <c r="Z4224" s="184"/>
      <c r="AA4224" s="13" t="str">
        <f>IF(BCP_Soles[[#This Row],[fecha]]&gt;0,TEXT(BCP_Soles[[#This Row],[fecha]],"mmmm"),0)</f>
        <v>Octubre</v>
      </c>
    </row>
    <row r="4225" spans="1:27" ht="24" x14ac:dyDescent="0.3">
      <c r="A4225" s="16">
        <f>IF(BCP_Soles[[#This Row],[tipo_registro]]="R",COUNTIFS($C$1:$C4224,"R")+1,A4224)</f>
        <v>2806</v>
      </c>
      <c r="B4225" s="18" t="str">
        <f t="shared" ref="B4225:B4233" si="424">"B-BCP - Soles"</f>
        <v>B-BCP - Soles</v>
      </c>
      <c r="C4225" s="13" t="s">
        <v>1330</v>
      </c>
      <c r="D4225" s="14">
        <v>45946</v>
      </c>
      <c r="E4225" s="5" t="s">
        <v>4758</v>
      </c>
      <c r="F4225" s="5" t="s">
        <v>1303</v>
      </c>
      <c r="G4225" s="6" t="s">
        <v>425</v>
      </c>
      <c r="H4225" s="6" t="s">
        <v>119</v>
      </c>
      <c r="I4225" s="6">
        <v>1</v>
      </c>
      <c r="J4225" s="6">
        <v>4789</v>
      </c>
      <c r="K4225" s="7" t="s">
        <v>4759</v>
      </c>
      <c r="L4225" s="8">
        <v>332487</v>
      </c>
      <c r="M4225" s="8" t="str">
        <f t="shared" ref="M4225:M4233" si="425">"PEN"</f>
        <v>PEN</v>
      </c>
      <c r="N4225" s="13"/>
      <c r="O4225" s="13">
        <v>4000</v>
      </c>
      <c r="P4225" s="13">
        <f t="shared" ref="P4225:P4233" si="426">+IF(OR($F4225="SALDO",$F4225="INGRESO"),$O4225,0)</f>
        <v>4000</v>
      </c>
      <c r="Q4225" s="13">
        <f t="shared" ref="Q4225:Q4233" si="427">+IF($F4225="EGRESO",$O4225,0)</f>
        <v>0</v>
      </c>
      <c r="R4225" s="13">
        <f>IFERROR(IF(F4225="SALDO",P4225,R4224+P4225-Q4225),0)</f>
        <v>16358.249999999975</v>
      </c>
      <c r="S4225" s="28" t="s">
        <v>1334</v>
      </c>
      <c r="T4225" s="28" t="s">
        <v>1334</v>
      </c>
      <c r="U4225" s="199"/>
      <c r="V4225" s="103">
        <f>IFERROR(VLOOKUP(BCP_Soles[[#This Row],[destinatario]],CHOOSE({1,2},Clientes_Proveedores[Razon Social],Clientes_Proveedores[Ruc / Dni]),2,0),"")</f>
        <v>20558226979</v>
      </c>
      <c r="W4225" s="103"/>
      <c r="X4225" s="103"/>
      <c r="Y4225" s="103"/>
      <c r="Z4225" s="184"/>
      <c r="AA4225" s="13" t="str">
        <f>IF(BCP_Soles[[#This Row],[fecha]]&gt;0,TEXT(BCP_Soles[[#This Row],[fecha]],"mmmm"),0)</f>
        <v>Octubre</v>
      </c>
    </row>
    <row r="4226" spans="1:27" x14ac:dyDescent="0.3">
      <c r="A4226" s="2">
        <f>IF(BCP_Soles[[#This Row],[tipo_registro]]="R",COUNTIFS($C$1:$C4225,"R")+1,A4225)</f>
        <v>2807</v>
      </c>
      <c r="B4226" s="19" t="str">
        <f t="shared" si="424"/>
        <v>B-BCP - Soles</v>
      </c>
      <c r="C4226" s="3" t="s">
        <v>1330</v>
      </c>
      <c r="D4226" s="14">
        <v>45946</v>
      </c>
      <c r="E4226" s="65" t="s">
        <v>358</v>
      </c>
      <c r="F4226" s="5" t="s">
        <v>1303</v>
      </c>
      <c r="G4226" s="191" t="s">
        <v>425</v>
      </c>
      <c r="H4226" s="6" t="s">
        <v>68</v>
      </c>
      <c r="I4226" s="198" t="s">
        <v>3302</v>
      </c>
      <c r="J4226" s="6">
        <v>111</v>
      </c>
      <c r="K4226" s="7" t="s">
        <v>3610</v>
      </c>
      <c r="L4226" s="8">
        <v>2266714</v>
      </c>
      <c r="M4226" s="8" t="str">
        <f t="shared" si="425"/>
        <v>PEN</v>
      </c>
      <c r="N4226" s="13"/>
      <c r="O4226" s="13">
        <v>1571.73</v>
      </c>
      <c r="P4226" s="3">
        <f t="shared" si="426"/>
        <v>1571.73</v>
      </c>
      <c r="Q4226" s="3">
        <f t="shared" si="427"/>
        <v>0</v>
      </c>
      <c r="R4226" s="3">
        <f>IFERROR(IF(F4226="SALDO",P4226,R4225+P4226-Q4226),0)</f>
        <v>17929.979999999974</v>
      </c>
      <c r="S4226" s="24" t="s">
        <v>1334</v>
      </c>
      <c r="T4226" s="24" t="s">
        <v>1334</v>
      </c>
      <c r="U4226" s="55"/>
      <c r="V4226" s="25">
        <f>IFERROR(VLOOKUP(BCP_Soles[[#This Row],[destinatario]],CHOOSE({1,2},Clientes_Proveedores[Razon Social],Clientes_Proveedores[Ruc / Dni]),2,0),"")</f>
        <v>20558226979</v>
      </c>
      <c r="W4226" s="25"/>
      <c r="X4226" s="25"/>
      <c r="Y4226" s="25"/>
      <c r="Z4226" s="77"/>
      <c r="AA4226" s="3" t="str">
        <f>IF(BCP_Soles[[#This Row],[fecha]]&gt;0,TEXT(BCP_Soles[[#This Row],[fecha]],"mmmm"),0)</f>
        <v>Octubre</v>
      </c>
    </row>
    <row r="4227" spans="1:27" x14ac:dyDescent="0.3">
      <c r="A4227" s="2">
        <f>IF(BCP_Soles[[#This Row],[tipo_registro]]="R",COUNTIFS($C$1:$C4226,"R")+1,A4226)</f>
        <v>2808</v>
      </c>
      <c r="B4227" s="19" t="str">
        <f>"B-BCP - Soles"</f>
        <v>B-BCP - Soles</v>
      </c>
      <c r="C4227" s="3" t="s">
        <v>1330</v>
      </c>
      <c r="D4227" s="14">
        <v>45946</v>
      </c>
      <c r="E4227" s="65"/>
      <c r="F4227" s="5" t="s">
        <v>1336</v>
      </c>
      <c r="G4227" s="191" t="s">
        <v>425</v>
      </c>
      <c r="H4227" s="6"/>
      <c r="I4227" s="198"/>
      <c r="J4227" s="6"/>
      <c r="K4227" s="7" t="s">
        <v>3160</v>
      </c>
      <c r="L4227" s="8"/>
      <c r="M4227" s="8" t="str">
        <f>"PEN"</f>
        <v>PEN</v>
      </c>
      <c r="N4227" s="13"/>
      <c r="O4227" s="13">
        <v>0.5</v>
      </c>
      <c r="P4227" s="3">
        <f>+IF(OR($F4227="SALDO",$F4227="INGRESO"),$O4227,0)</f>
        <v>0</v>
      </c>
      <c r="Q4227" s="3">
        <f>+IF($F4227="EGRESO",$O4227,0)</f>
        <v>0.5</v>
      </c>
      <c r="R4227" s="3">
        <f>IFERROR(IF(F4227="SALDO",P4227,R4226+P4227-Q4227),0)</f>
        <v>17929.479999999974</v>
      </c>
      <c r="S4227" s="24"/>
      <c r="T4227" s="24"/>
      <c r="U4227" s="55"/>
      <c r="V4227" s="25">
        <f>IFERROR(VLOOKUP(BCP_Soles[[#This Row],[destinatario]],CHOOSE({1,2},Clientes_Proveedores[Razon Social],Clientes_Proveedores[Ruc / Dni]),2,0),"")</f>
        <v>20558226979</v>
      </c>
      <c r="W4227" s="25"/>
      <c r="X4227" s="25"/>
      <c r="Y4227" s="25"/>
      <c r="Z4227" s="77"/>
      <c r="AA4227" s="3" t="str">
        <f>IF(BCP_Soles[[#This Row],[fecha]]&gt;0,TEXT(BCP_Soles[[#This Row],[fecha]],"mmmm"),0)</f>
        <v>Octubre</v>
      </c>
    </row>
    <row r="4228" spans="1:27" x14ac:dyDescent="0.3">
      <c r="A4228" s="2">
        <f>IF(BCP_Soles[[#This Row],[tipo_registro]]="R",COUNTIFS($C$1:$C4227,"R")+1,A4227)</f>
        <v>2809</v>
      </c>
      <c r="B4228" s="19" t="str">
        <f t="shared" si="424"/>
        <v>B-BCP - Soles</v>
      </c>
      <c r="C4228" s="3" t="s">
        <v>1330</v>
      </c>
      <c r="D4228" s="14">
        <v>45947</v>
      </c>
      <c r="E4228" s="65" t="s">
        <v>555</v>
      </c>
      <c r="F4228" s="5" t="s">
        <v>1303</v>
      </c>
      <c r="G4228" s="6" t="s">
        <v>425</v>
      </c>
      <c r="H4228" s="6"/>
      <c r="I4228" s="198"/>
      <c r="J4228" s="6"/>
      <c r="K4228" s="7" t="s">
        <v>4112</v>
      </c>
      <c r="L4228" s="8">
        <v>8523327</v>
      </c>
      <c r="M4228" s="8" t="str">
        <f t="shared" si="425"/>
        <v>PEN</v>
      </c>
      <c r="N4228" s="13"/>
      <c r="O4228" s="13">
        <v>4662.3</v>
      </c>
      <c r="P4228" s="3">
        <f t="shared" si="426"/>
        <v>4662.3</v>
      </c>
      <c r="Q4228" s="3">
        <f t="shared" si="427"/>
        <v>0</v>
      </c>
      <c r="R4228" s="3">
        <f>IFERROR(IF(F4228="SALDO",P4228,R4227+P4228-Q4228),0)</f>
        <v>22591.779999999973</v>
      </c>
      <c r="S4228" s="24" t="s">
        <v>1334</v>
      </c>
      <c r="T4228" s="24" t="s">
        <v>1334</v>
      </c>
      <c r="U4228" s="55"/>
      <c r="V4228" s="25">
        <f>IFERROR(VLOOKUP(BCP_Soles[[#This Row],[destinatario]],CHOOSE({1,2},Clientes_Proveedores[Razon Social],Clientes_Proveedores[Ruc / Dni]),2,0),"")</f>
        <v>20558226979</v>
      </c>
      <c r="W4228" s="25"/>
      <c r="X4228" s="25"/>
      <c r="Y4228" s="25"/>
      <c r="Z4228" s="77"/>
      <c r="AA4228" s="3" t="str">
        <f>IF(BCP_Soles[[#This Row],[fecha]]&gt;0,TEXT(BCP_Soles[[#This Row],[fecha]],"mmmm"),0)</f>
        <v>Octubre</v>
      </c>
    </row>
    <row r="4229" spans="1:27" x14ac:dyDescent="0.3">
      <c r="A4229" s="2">
        <f>IF(BCP_Soles[[#This Row],[tipo_registro]]="R",COUNTIFS($C$1:$C4228,"R")+1,A4228)</f>
        <v>2809</v>
      </c>
      <c r="B4229" s="19" t="str">
        <f t="shared" si="424"/>
        <v>B-BCP - Soles</v>
      </c>
      <c r="C4229" s="3" t="s">
        <v>1352</v>
      </c>
      <c r="D4229" s="14">
        <v>45947</v>
      </c>
      <c r="E4229" s="65" t="s">
        <v>555</v>
      </c>
      <c r="F4229" s="5" t="s">
        <v>1303</v>
      </c>
      <c r="G4229" s="6" t="s">
        <v>425</v>
      </c>
      <c r="H4229" s="6" t="s">
        <v>68</v>
      </c>
      <c r="I4229" s="198" t="s">
        <v>3381</v>
      </c>
      <c r="J4229" s="6">
        <v>68</v>
      </c>
      <c r="K4229" s="7" t="s">
        <v>4112</v>
      </c>
      <c r="L4229" s="8">
        <v>8523327</v>
      </c>
      <c r="M4229" s="8" t="str">
        <f t="shared" si="425"/>
        <v>PEN</v>
      </c>
      <c r="N4229" s="13">
        <v>1090.49</v>
      </c>
      <c r="O4229" s="13"/>
      <c r="P4229" s="3">
        <f t="shared" si="426"/>
        <v>0</v>
      </c>
      <c r="Q4229" s="3">
        <f t="shared" si="427"/>
        <v>0</v>
      </c>
      <c r="R4229" s="3">
        <f>IFERROR(IF(F4229="SALDO",P4229,R4228+P4229-Q4229),0)</f>
        <v>22591.779999999973</v>
      </c>
      <c r="S4229" s="24" t="s">
        <v>1334</v>
      </c>
      <c r="T4229" s="24" t="s">
        <v>1334</v>
      </c>
      <c r="U4229" s="55"/>
      <c r="V4229" s="25">
        <f>IFERROR(VLOOKUP(BCP_Soles[[#This Row],[destinatario]],CHOOSE({1,2},Clientes_Proveedores[Razon Social],Clientes_Proveedores[Ruc / Dni]),2,0),"")</f>
        <v>20558226979</v>
      </c>
      <c r="W4229" s="25"/>
      <c r="X4229" s="25"/>
      <c r="Y4229" s="25"/>
      <c r="Z4229" s="77"/>
      <c r="AA4229" s="3" t="str">
        <f>IF(BCP_Soles[[#This Row],[fecha]]&gt;0,TEXT(BCP_Soles[[#This Row],[fecha]],"mmmm"),0)</f>
        <v>Octubre</v>
      </c>
    </row>
    <row r="4230" spans="1:27" x14ac:dyDescent="0.3">
      <c r="A4230" s="2">
        <f>IF(BCP_Soles[[#This Row],[tipo_registro]]="R",COUNTIFS($C$1:$C4229,"R")+1,A4229)</f>
        <v>2809</v>
      </c>
      <c r="B4230" s="19" t="str">
        <f t="shared" si="424"/>
        <v>B-BCP - Soles</v>
      </c>
      <c r="C4230" s="3" t="s">
        <v>1352</v>
      </c>
      <c r="D4230" s="14">
        <v>45947</v>
      </c>
      <c r="E4230" s="65" t="s">
        <v>555</v>
      </c>
      <c r="F4230" s="5" t="s">
        <v>1303</v>
      </c>
      <c r="G4230" s="6" t="s">
        <v>425</v>
      </c>
      <c r="H4230" s="6" t="s">
        <v>68</v>
      </c>
      <c r="I4230" s="198" t="s">
        <v>3381</v>
      </c>
      <c r="J4230" s="6">
        <v>69</v>
      </c>
      <c r="K4230" s="7" t="s">
        <v>4112</v>
      </c>
      <c r="L4230" s="8">
        <v>8523327</v>
      </c>
      <c r="M4230" s="8" t="str">
        <f t="shared" si="425"/>
        <v>PEN</v>
      </c>
      <c r="N4230" s="13">
        <v>614.58000000000004</v>
      </c>
      <c r="O4230" s="13"/>
      <c r="P4230" s="3">
        <f t="shared" si="426"/>
        <v>0</v>
      </c>
      <c r="Q4230" s="3">
        <f t="shared" si="427"/>
        <v>0</v>
      </c>
      <c r="R4230" s="3">
        <f t="shared" ref="R4230:R4233" si="428">IFERROR(IF(F4230="SALDO",P4230,R4229+P4230-Q4230),0)</f>
        <v>22591.779999999973</v>
      </c>
      <c r="S4230" s="24" t="s">
        <v>1334</v>
      </c>
      <c r="T4230" s="24" t="s">
        <v>1334</v>
      </c>
      <c r="U4230" s="55"/>
      <c r="V4230" s="25">
        <f>IFERROR(VLOOKUP(BCP_Soles[[#This Row],[destinatario]],CHOOSE({1,2},Clientes_Proveedores[Razon Social],Clientes_Proveedores[Ruc / Dni]),2,0),"")</f>
        <v>20558226979</v>
      </c>
      <c r="W4230" s="25"/>
      <c r="X4230" s="25"/>
      <c r="Y4230" s="25"/>
      <c r="Z4230" s="77"/>
      <c r="AA4230" s="3" t="str">
        <f>IF(BCP_Soles[[#This Row],[fecha]]&gt;0,TEXT(BCP_Soles[[#This Row],[fecha]],"mmmm"),0)</f>
        <v>Octubre</v>
      </c>
    </row>
    <row r="4231" spans="1:27" x14ac:dyDescent="0.3">
      <c r="A4231" s="2">
        <f>IF(BCP_Soles[[#This Row],[tipo_registro]]="R",COUNTIFS($C$1:$C4230,"R")+1,A4230)</f>
        <v>2809</v>
      </c>
      <c r="B4231" s="19" t="str">
        <f t="shared" si="424"/>
        <v>B-BCP - Soles</v>
      </c>
      <c r="C4231" s="3" t="s">
        <v>1352</v>
      </c>
      <c r="D4231" s="14">
        <v>45947</v>
      </c>
      <c r="E4231" s="65" t="s">
        <v>555</v>
      </c>
      <c r="F4231" s="5" t="s">
        <v>1303</v>
      </c>
      <c r="G4231" s="6" t="s">
        <v>425</v>
      </c>
      <c r="H4231" s="6" t="s">
        <v>68</v>
      </c>
      <c r="I4231" s="198" t="s">
        <v>3381</v>
      </c>
      <c r="J4231" s="6">
        <v>70</v>
      </c>
      <c r="K4231" s="7" t="s">
        <v>4112</v>
      </c>
      <c r="L4231" s="8">
        <v>8523327</v>
      </c>
      <c r="M4231" s="8" t="str">
        <f t="shared" si="425"/>
        <v>PEN</v>
      </c>
      <c r="N4231" s="13">
        <v>659.26</v>
      </c>
      <c r="O4231" s="13"/>
      <c r="P4231" s="3">
        <f t="shared" si="426"/>
        <v>0</v>
      </c>
      <c r="Q4231" s="3">
        <f t="shared" si="427"/>
        <v>0</v>
      </c>
      <c r="R4231" s="3">
        <f t="shared" si="428"/>
        <v>22591.779999999973</v>
      </c>
      <c r="S4231" s="24" t="s">
        <v>1334</v>
      </c>
      <c r="T4231" s="24" t="s">
        <v>1334</v>
      </c>
      <c r="U4231" s="55"/>
      <c r="V4231" s="25">
        <f>IFERROR(VLOOKUP(BCP_Soles[[#This Row],[destinatario]],CHOOSE({1,2},Clientes_Proveedores[Razon Social],Clientes_Proveedores[Ruc / Dni]),2,0),"")</f>
        <v>20558226979</v>
      </c>
      <c r="W4231" s="25"/>
      <c r="X4231" s="25"/>
      <c r="Y4231" s="25"/>
      <c r="Z4231" s="77"/>
      <c r="AA4231" s="3" t="str">
        <f>IF(BCP_Soles[[#This Row],[fecha]]&gt;0,TEXT(BCP_Soles[[#This Row],[fecha]],"mmmm"),0)</f>
        <v>Octubre</v>
      </c>
    </row>
    <row r="4232" spans="1:27" x14ac:dyDescent="0.3">
      <c r="A4232" s="2">
        <f>IF(BCP_Soles[[#This Row],[tipo_registro]]="R",COUNTIFS($C$1:$C4231,"R")+1,A4231)</f>
        <v>2809</v>
      </c>
      <c r="B4232" s="19" t="str">
        <f t="shared" si="424"/>
        <v>B-BCP - Soles</v>
      </c>
      <c r="C4232" s="3" t="s">
        <v>1352</v>
      </c>
      <c r="D4232" s="14">
        <v>45947</v>
      </c>
      <c r="E4232" s="65" t="s">
        <v>555</v>
      </c>
      <c r="F4232" s="5" t="s">
        <v>1303</v>
      </c>
      <c r="G4232" s="6" t="s">
        <v>425</v>
      </c>
      <c r="H4232" s="6" t="s">
        <v>68</v>
      </c>
      <c r="I4232" s="198" t="s">
        <v>3381</v>
      </c>
      <c r="J4232" s="6">
        <v>71</v>
      </c>
      <c r="K4232" s="7" t="s">
        <v>4112</v>
      </c>
      <c r="L4232" s="8">
        <v>8523327</v>
      </c>
      <c r="M4232" s="8" t="str">
        <f t="shared" si="425"/>
        <v>PEN</v>
      </c>
      <c r="N4232" s="13">
        <v>549.04999999999995</v>
      </c>
      <c r="O4232" s="13"/>
      <c r="P4232" s="3">
        <f t="shared" si="426"/>
        <v>0</v>
      </c>
      <c r="Q4232" s="3">
        <f t="shared" si="427"/>
        <v>0</v>
      </c>
      <c r="R4232" s="3">
        <f t="shared" si="428"/>
        <v>22591.779999999973</v>
      </c>
      <c r="S4232" s="24" t="s">
        <v>1334</v>
      </c>
      <c r="T4232" s="24" t="s">
        <v>1334</v>
      </c>
      <c r="U4232" s="55"/>
      <c r="V4232" s="25">
        <f>IFERROR(VLOOKUP(BCP_Soles[[#This Row],[destinatario]],CHOOSE({1,2},Clientes_Proveedores[Razon Social],Clientes_Proveedores[Ruc / Dni]),2,0),"")</f>
        <v>20558226979</v>
      </c>
      <c r="W4232" s="25"/>
      <c r="X4232" s="25"/>
      <c r="Y4232" s="25"/>
      <c r="Z4232" s="77"/>
      <c r="AA4232" s="3" t="str">
        <f>IF(BCP_Soles[[#This Row],[fecha]]&gt;0,TEXT(BCP_Soles[[#This Row],[fecha]],"mmmm"),0)</f>
        <v>Octubre</v>
      </c>
    </row>
    <row r="4233" spans="1:27" x14ac:dyDescent="0.3">
      <c r="A4233" s="2">
        <f>IF(BCP_Soles[[#This Row],[tipo_registro]]="R",COUNTIFS($C$1:$C4232,"R")+1,A4232)</f>
        <v>2809</v>
      </c>
      <c r="B4233" s="19" t="str">
        <f t="shared" si="424"/>
        <v>B-BCP - Soles</v>
      </c>
      <c r="C4233" s="3" t="s">
        <v>1352</v>
      </c>
      <c r="D4233" s="14">
        <v>45947</v>
      </c>
      <c r="E4233" s="65" t="s">
        <v>555</v>
      </c>
      <c r="F4233" s="5" t="s">
        <v>1303</v>
      </c>
      <c r="G4233" s="6" t="s">
        <v>425</v>
      </c>
      <c r="H4233" s="6" t="s">
        <v>68</v>
      </c>
      <c r="I4233" s="198" t="s">
        <v>3381</v>
      </c>
      <c r="J4233" s="6">
        <v>72</v>
      </c>
      <c r="K4233" s="7" t="s">
        <v>4112</v>
      </c>
      <c r="L4233" s="8">
        <v>8523327</v>
      </c>
      <c r="M4233" s="8" t="str">
        <f t="shared" si="425"/>
        <v>PEN</v>
      </c>
      <c r="N4233" s="13">
        <v>1748.92</v>
      </c>
      <c r="O4233" s="13"/>
      <c r="P4233" s="3">
        <f t="shared" si="426"/>
        <v>0</v>
      </c>
      <c r="Q4233" s="3">
        <f t="shared" si="427"/>
        <v>0</v>
      </c>
      <c r="R4233" s="3">
        <f t="shared" si="428"/>
        <v>22591.779999999973</v>
      </c>
      <c r="S4233" s="24" t="s">
        <v>1334</v>
      </c>
      <c r="T4233" s="24" t="s">
        <v>1334</v>
      </c>
      <c r="U4233" s="55"/>
      <c r="V4233" s="25">
        <f>IFERROR(VLOOKUP(BCP_Soles[[#This Row],[destinatario]],CHOOSE({1,2},Clientes_Proveedores[Razon Social],Clientes_Proveedores[Ruc / Dni]),2,0),"")</f>
        <v>20558226979</v>
      </c>
      <c r="W4233" s="25"/>
      <c r="X4233" s="25"/>
      <c r="Y4233" s="25"/>
      <c r="Z4233" s="77"/>
      <c r="AA4233" s="3" t="str">
        <f>IF(BCP_Soles[[#This Row],[fecha]]&gt;0,TEXT(BCP_Soles[[#This Row],[fecha]],"mmmm"),0)</f>
        <v>Octubre</v>
      </c>
    </row>
    <row r="4234" spans="1:27" x14ac:dyDescent="0.3">
      <c r="A4234" s="2">
        <f>IF(BCP_Soles[[#This Row],[tipo_registro]]="R",COUNTIFS($C$1:$C4233,"R")+1,A4233)</f>
        <v>2810</v>
      </c>
      <c r="B4234" s="19" t="str">
        <f>"B-BCP - Soles"</f>
        <v>B-BCP - Soles</v>
      </c>
      <c r="C4234" s="3" t="s">
        <v>1330</v>
      </c>
      <c r="D4234" s="14">
        <v>45947</v>
      </c>
      <c r="E4234" s="65" t="s">
        <v>261</v>
      </c>
      <c r="F4234" s="5" t="s">
        <v>1303</v>
      </c>
      <c r="G4234" s="6" t="s">
        <v>425</v>
      </c>
      <c r="H4234" s="6" t="s">
        <v>68</v>
      </c>
      <c r="I4234" s="198" t="s">
        <v>3302</v>
      </c>
      <c r="J4234" s="6">
        <v>154</v>
      </c>
      <c r="K4234" s="7" t="s">
        <v>4760</v>
      </c>
      <c r="L4234" s="8">
        <v>8721269</v>
      </c>
      <c r="M4234" s="8" t="str">
        <f>"PEN"</f>
        <v>PEN</v>
      </c>
      <c r="N4234" s="13"/>
      <c r="O4234" s="13">
        <v>22260.92</v>
      </c>
      <c r="P4234" s="3">
        <f>+IF(OR($F4234="SALDO",$F4234="INGRESO"),$O4234,0)</f>
        <v>22260.92</v>
      </c>
      <c r="Q4234" s="3">
        <f>+IF($F4234="EGRESO",$O4234,0)</f>
        <v>0</v>
      </c>
      <c r="R4234" s="3">
        <f>IFERROR(IF(F4234="SALDO",P4234,R4233+P4234-Q4234),0)</f>
        <v>44852.699999999968</v>
      </c>
      <c r="S4234" s="24" t="s">
        <v>1334</v>
      </c>
      <c r="T4234" s="24" t="s">
        <v>1334</v>
      </c>
      <c r="U4234" s="55"/>
      <c r="V4234" s="25">
        <f>IFERROR(VLOOKUP(BCP_Soles[[#This Row],[destinatario]],CHOOSE({1,2},Clientes_Proveedores[Razon Social],Clientes_Proveedores[Ruc / Dni]),2,0),"")</f>
        <v>20558226979</v>
      </c>
      <c r="W4234" s="25"/>
      <c r="X4234" s="25"/>
      <c r="Y4234" s="25"/>
      <c r="Z4234" s="77"/>
      <c r="AA4234" s="3" t="str">
        <f>IF(BCP_Soles[[#This Row],[fecha]]&gt;0,TEXT(BCP_Soles[[#This Row],[fecha]],"mmmm"),0)</f>
        <v>Octubre</v>
      </c>
    </row>
    <row r="4235" spans="1:27" ht="24" x14ac:dyDescent="0.3">
      <c r="A4235" s="2">
        <f>IF(BCP_Soles[[#This Row],[tipo_registro]]="R",COUNTIFS($C$1:$C4234,"R")+1,A4234)</f>
        <v>2811</v>
      </c>
      <c r="B4235" s="19" t="str">
        <f>"B-BCP - Soles"</f>
        <v>B-BCP - Soles</v>
      </c>
      <c r="C4235" s="3" t="s">
        <v>1330</v>
      </c>
      <c r="D4235" s="14">
        <v>45947</v>
      </c>
      <c r="E4235" s="5" t="s">
        <v>342</v>
      </c>
      <c r="F4235" s="5" t="s">
        <v>1303</v>
      </c>
      <c r="G4235" s="6" t="s">
        <v>425</v>
      </c>
      <c r="H4235" s="6" t="s">
        <v>68</v>
      </c>
      <c r="I4235" s="198" t="s">
        <v>1784</v>
      </c>
      <c r="J4235" s="6">
        <v>277</v>
      </c>
      <c r="K4235" s="7" t="s">
        <v>3228</v>
      </c>
      <c r="L4235" s="8">
        <v>2217481</v>
      </c>
      <c r="M4235" s="8" t="str">
        <f>"PEN"</f>
        <v>PEN</v>
      </c>
      <c r="N4235" s="13"/>
      <c r="O4235" s="13">
        <v>1247.3</v>
      </c>
      <c r="P4235" s="3">
        <f>+IF(OR($F4235="SALDO",$F4235="INGRESO"),$O4235,0)</f>
        <v>1247.3</v>
      </c>
      <c r="Q4235" s="3">
        <f>+IF($F4235="EGRESO",$O4235,0)</f>
        <v>0</v>
      </c>
      <c r="R4235" s="3">
        <f>IFERROR(IF(F4235="SALDO",P4235,R4234+P4235-Q4235),0)</f>
        <v>46099.999999999971</v>
      </c>
      <c r="S4235" s="24" t="s">
        <v>1334</v>
      </c>
      <c r="T4235" s="24" t="s">
        <v>1334</v>
      </c>
      <c r="U4235" s="55"/>
      <c r="V4235" s="25">
        <f>IFERROR(VLOOKUP(BCP_Soles[[#This Row],[destinatario]],CHOOSE({1,2},Clientes_Proveedores[Razon Social],Clientes_Proveedores[Ruc / Dni]),2,0),"")</f>
        <v>20558226979</v>
      </c>
      <c r="W4235" s="25"/>
      <c r="X4235" s="25"/>
      <c r="Y4235" s="25"/>
      <c r="Z4235" s="77"/>
      <c r="AA4235" s="3" t="str">
        <f>IF(BCP_Soles[[#This Row],[fecha]]&gt;0,TEXT(BCP_Soles[[#This Row],[fecha]],"mmmm"),0)</f>
        <v>Octubre</v>
      </c>
    </row>
    <row r="4236" spans="1:27" ht="24" x14ac:dyDescent="0.3">
      <c r="A4236" s="2">
        <f>IF(BCP_Soles[[#This Row],[tipo_registro]]="R",COUNTIFS($C$1:$C4235,"R")+1,A4235)</f>
        <v>2812</v>
      </c>
      <c r="B4236" s="19" t="str">
        <f t="shared" si="419"/>
        <v>B-BCP - Soles</v>
      </c>
      <c r="C4236" s="13" t="s">
        <v>1330</v>
      </c>
      <c r="D4236" s="14">
        <v>45947</v>
      </c>
      <c r="E4236" s="5" t="s">
        <v>2269</v>
      </c>
      <c r="F4236" s="5" t="s">
        <v>1336</v>
      </c>
      <c r="G4236" s="6" t="s">
        <v>888</v>
      </c>
      <c r="H4236" s="6" t="s">
        <v>147</v>
      </c>
      <c r="I4236" s="6">
        <v>13</v>
      </c>
      <c r="J4236" s="6">
        <v>36</v>
      </c>
      <c r="K4236" s="7" t="s">
        <v>4761</v>
      </c>
      <c r="L4236" s="8">
        <v>1204999</v>
      </c>
      <c r="M4236" s="8" t="str">
        <f t="shared" si="420"/>
        <v>PEN</v>
      </c>
      <c r="N4236" s="13"/>
      <c r="O4236" s="13">
        <v>1165</v>
      </c>
      <c r="P4236" s="3">
        <f t="shared" si="421"/>
        <v>0</v>
      </c>
      <c r="Q4236" s="3">
        <f t="shared" si="422"/>
        <v>1165</v>
      </c>
      <c r="R4236" s="3">
        <f>IFERROR(IF(F4236="SALDO",P4236,R4235+P4236-Q4236),0)</f>
        <v>44934.999999999971</v>
      </c>
      <c r="S4236" s="24"/>
      <c r="T4236" s="24" t="s">
        <v>1334</v>
      </c>
      <c r="U4236" s="56" t="s">
        <v>4762</v>
      </c>
      <c r="V4236" s="25">
        <f>IFERROR(VLOOKUP(BCP_Soles[[#This Row],[destinatario]],CHOOSE({1,2},Clientes_Proveedores[Razon Social],Clientes_Proveedores[Ruc / Dni]),2,0),"")</f>
        <v>47461440</v>
      </c>
      <c r="W4236" s="25"/>
      <c r="X4236" s="25"/>
      <c r="Y4236" s="25"/>
      <c r="Z4236" s="77"/>
      <c r="AA4236" s="3" t="str">
        <f>IF(BCP_Soles[[#This Row],[fecha]]&gt;0,TEXT(BCP_Soles[[#This Row],[fecha]],"mmmm"),0)</f>
        <v>Octubre</v>
      </c>
    </row>
    <row r="4237" spans="1:27" ht="24" x14ac:dyDescent="0.3">
      <c r="A4237" s="16">
        <f>IF(BCP_Soles[[#This Row],[tipo_registro]]="R",COUNTIFS($C$1:$C4236,"R")+1,A4236)</f>
        <v>2813</v>
      </c>
      <c r="B4237" s="18" t="str">
        <f t="shared" ref="B4237:B4242" si="429">"B-BCP - Soles"</f>
        <v>B-BCP - Soles</v>
      </c>
      <c r="C4237" s="13" t="s">
        <v>1330</v>
      </c>
      <c r="D4237" s="14">
        <v>45947</v>
      </c>
      <c r="E4237" s="5" t="s">
        <v>2269</v>
      </c>
      <c r="F4237" s="5" t="s">
        <v>1336</v>
      </c>
      <c r="G4237" s="6" t="s">
        <v>704</v>
      </c>
      <c r="H4237" s="6" t="s">
        <v>106</v>
      </c>
      <c r="I4237" s="6" t="s">
        <v>1559</v>
      </c>
      <c r="J4237" s="6">
        <v>15551772</v>
      </c>
      <c r="K4237" s="7" t="s">
        <v>4763</v>
      </c>
      <c r="L4237" s="8">
        <v>4208344</v>
      </c>
      <c r="M4237" s="8" t="str">
        <f t="shared" ref="M4237:M4242" si="430">"PEN"</f>
        <v>PEN</v>
      </c>
      <c r="N4237" s="13"/>
      <c r="O4237" s="13">
        <v>23.1</v>
      </c>
      <c r="P4237" s="13">
        <f t="shared" ref="P4237:P4242" si="431">+IF(OR($F4237="SALDO",$F4237="INGRESO"),$O4237,0)</f>
        <v>0</v>
      </c>
      <c r="Q4237" s="13">
        <f t="shared" ref="Q4237:Q4242" si="432">+IF($F4237="EGRESO",$O4237,0)</f>
        <v>23.1</v>
      </c>
      <c r="R4237" s="13">
        <f t="shared" ref="R4237:R4241" si="433">IFERROR(IF(F4237="SALDO",P4237,R4236+P4237-Q4237),0)</f>
        <v>44911.899999999972</v>
      </c>
      <c r="S4237" s="28" t="s">
        <v>1334</v>
      </c>
      <c r="T4237" s="28" t="s">
        <v>1334</v>
      </c>
      <c r="U4237" s="188" t="s">
        <v>4764</v>
      </c>
      <c r="V4237" s="103">
        <f>IFERROR(VLOOKUP(BCP_Soles[[#This Row],[destinatario]],CHOOSE({1,2},Clientes_Proveedores[Razon Social],Clientes_Proveedores[Ruc / Dni]),2,0),"")</f>
        <v>20100152356</v>
      </c>
      <c r="W4237" s="103"/>
      <c r="X4237" s="103"/>
      <c r="Y4237" s="103"/>
      <c r="Z4237" s="184"/>
      <c r="AA4237" s="13" t="str">
        <f>IF(BCP_Soles[[#This Row],[fecha]]&gt;0,TEXT(BCP_Soles[[#This Row],[fecha]],"mmmm"),0)</f>
        <v>Octubre</v>
      </c>
    </row>
    <row r="4238" spans="1:27" ht="24" x14ac:dyDescent="0.3">
      <c r="A4238" s="16">
        <f>IF(BCP_Soles[[#This Row],[tipo_registro]]="R",COUNTIFS($C$1:$C4237,"R")+1,A4237)</f>
        <v>2814</v>
      </c>
      <c r="B4238" s="18" t="str">
        <f t="shared" si="429"/>
        <v>B-BCP - Soles</v>
      </c>
      <c r="C4238" s="13" t="s">
        <v>1330</v>
      </c>
      <c r="D4238" s="14">
        <v>45947</v>
      </c>
      <c r="E4238" s="5" t="s">
        <v>2269</v>
      </c>
      <c r="F4238" s="5" t="s">
        <v>1336</v>
      </c>
      <c r="G4238" s="6" t="s">
        <v>1239</v>
      </c>
      <c r="H4238" s="6" t="s">
        <v>68</v>
      </c>
      <c r="I4238" s="6" t="s">
        <v>1374</v>
      </c>
      <c r="J4238" s="6">
        <v>11513</v>
      </c>
      <c r="K4238" s="7" t="s">
        <v>4765</v>
      </c>
      <c r="L4238" s="8">
        <v>1205480</v>
      </c>
      <c r="M4238" s="8" t="str">
        <f t="shared" si="430"/>
        <v>PEN</v>
      </c>
      <c r="N4238" s="13"/>
      <c r="O4238" s="13">
        <v>356</v>
      </c>
      <c r="P4238" s="13">
        <f t="shared" si="431"/>
        <v>0</v>
      </c>
      <c r="Q4238" s="13">
        <f t="shared" si="432"/>
        <v>356</v>
      </c>
      <c r="R4238" s="13">
        <f t="shared" si="433"/>
        <v>44555.899999999972</v>
      </c>
      <c r="S4238" s="28" t="s">
        <v>1334</v>
      </c>
      <c r="T4238" s="28" t="s">
        <v>1334</v>
      </c>
      <c r="U4238" s="188" t="s">
        <v>4764</v>
      </c>
      <c r="V4238" s="103">
        <f>IFERROR(VLOOKUP(BCP_Soles[[#This Row],[destinatario]],CHOOSE({1,2},Clientes_Proveedores[Razon Social],Clientes_Proveedores[Ruc / Dni]),2,0),"")</f>
        <v>20602592929</v>
      </c>
      <c r="W4238" s="103"/>
      <c r="X4238" s="103"/>
      <c r="Y4238" s="103"/>
      <c r="Z4238" s="184"/>
      <c r="AA4238" s="13" t="str">
        <f>IF(BCP_Soles[[#This Row],[fecha]]&gt;0,TEXT(BCP_Soles[[#This Row],[fecha]],"mmmm"),0)</f>
        <v>Octubre</v>
      </c>
    </row>
    <row r="4239" spans="1:27" ht="24" x14ac:dyDescent="0.3">
      <c r="A4239" s="16">
        <f>IF(BCP_Soles[[#This Row],[tipo_registro]]="R",COUNTIFS($C$1:$C4238,"R")+1,A4238)</f>
        <v>2815</v>
      </c>
      <c r="B4239" s="18" t="str">
        <f t="shared" si="429"/>
        <v>B-BCP - Soles</v>
      </c>
      <c r="C4239" s="13" t="s">
        <v>1330</v>
      </c>
      <c r="D4239" s="14">
        <v>45947</v>
      </c>
      <c r="E4239" s="5" t="s">
        <v>2269</v>
      </c>
      <c r="F4239" s="5" t="s">
        <v>1336</v>
      </c>
      <c r="G4239" s="6" t="s">
        <v>1237</v>
      </c>
      <c r="H4239" s="6" t="s">
        <v>68</v>
      </c>
      <c r="I4239" s="6" t="s">
        <v>1432</v>
      </c>
      <c r="J4239" s="6">
        <v>9952</v>
      </c>
      <c r="K4239" s="7" t="s">
        <v>4766</v>
      </c>
      <c r="L4239" s="8">
        <v>1205481</v>
      </c>
      <c r="M4239" s="8" t="str">
        <f t="shared" si="430"/>
        <v>PEN</v>
      </c>
      <c r="N4239" s="13"/>
      <c r="O4239" s="13">
        <v>520</v>
      </c>
      <c r="P4239" s="13">
        <f t="shared" si="431"/>
        <v>0</v>
      </c>
      <c r="Q4239" s="13">
        <f t="shared" si="432"/>
        <v>520</v>
      </c>
      <c r="R4239" s="13">
        <f t="shared" si="433"/>
        <v>44035.899999999972</v>
      </c>
      <c r="S4239" s="28" t="s">
        <v>1334</v>
      </c>
      <c r="T4239" s="28" t="s">
        <v>1334</v>
      </c>
      <c r="U4239" s="188" t="s">
        <v>4767</v>
      </c>
      <c r="V4239" s="103">
        <f>IFERROR(VLOOKUP(BCP_Soles[[#This Row],[destinatario]],CHOOSE({1,2},Clientes_Proveedores[Razon Social],Clientes_Proveedores[Ruc / Dni]),2,0),"")</f>
        <v>20601579295</v>
      </c>
      <c r="W4239" s="103"/>
      <c r="X4239" s="103"/>
      <c r="Y4239" s="103"/>
      <c r="Z4239" s="184"/>
      <c r="AA4239" s="13" t="str">
        <f>IF(BCP_Soles[[#This Row],[fecha]]&gt;0,TEXT(BCP_Soles[[#This Row],[fecha]],"mmmm"),0)</f>
        <v>Octubre</v>
      </c>
    </row>
    <row r="4240" spans="1:27" ht="36" x14ac:dyDescent="0.3">
      <c r="A4240" s="16">
        <f>IF(BCP_Soles[[#This Row],[tipo_registro]]="R",COUNTIFS($C$1:$C4239,"R")+1,A4239)</f>
        <v>2816</v>
      </c>
      <c r="B4240" s="18" t="str">
        <f t="shared" si="429"/>
        <v>B-BCP - Soles</v>
      </c>
      <c r="C4240" s="13" t="s">
        <v>1330</v>
      </c>
      <c r="D4240" s="14">
        <v>45947</v>
      </c>
      <c r="E4240" s="5" t="s">
        <v>2269</v>
      </c>
      <c r="F4240" s="5" t="s">
        <v>1336</v>
      </c>
      <c r="G4240" s="6" t="s">
        <v>948</v>
      </c>
      <c r="H4240" s="6"/>
      <c r="I4240" s="6"/>
      <c r="J4240" s="6"/>
      <c r="K4240" s="7" t="s">
        <v>4768</v>
      </c>
      <c r="L4240" s="8">
        <v>1206939</v>
      </c>
      <c r="M4240" s="8" t="str">
        <f t="shared" si="430"/>
        <v>PEN</v>
      </c>
      <c r="N4240" s="13"/>
      <c r="O4240" s="13">
        <v>2000</v>
      </c>
      <c r="P4240" s="13">
        <f t="shared" si="431"/>
        <v>0</v>
      </c>
      <c r="Q4240" s="13">
        <f t="shared" si="432"/>
        <v>2000</v>
      </c>
      <c r="R4240" s="13">
        <f t="shared" si="433"/>
        <v>42035.899999999972</v>
      </c>
      <c r="S4240" s="28"/>
      <c r="T4240" s="28" t="s">
        <v>1334</v>
      </c>
      <c r="U4240" s="188"/>
      <c r="V4240" s="103">
        <f>IFERROR(VLOOKUP(BCP_Soles[[#This Row],[destinatario]],CHOOSE({1,2},Clientes_Proveedores[Razon Social],Clientes_Proveedores[Ruc / Dni]),2,0),"")</f>
        <v>71311214</v>
      </c>
      <c r="W4240" s="103"/>
      <c r="X4240" s="103"/>
      <c r="Y4240" s="103"/>
      <c r="Z4240" s="184"/>
      <c r="AA4240" s="13" t="str">
        <f>IF(BCP_Soles[[#This Row],[fecha]]&gt;0,TEXT(BCP_Soles[[#This Row],[fecha]],"mmmm"),0)</f>
        <v>Octubre</v>
      </c>
    </row>
    <row r="4241" spans="1:27" ht="24" x14ac:dyDescent="0.3">
      <c r="A4241" s="16">
        <f>IF(BCP_Soles[[#This Row],[tipo_registro]]="R",COUNTIFS($C$1:$C4240,"R")+1,A4240)</f>
        <v>2817</v>
      </c>
      <c r="B4241" s="18" t="str">
        <f t="shared" si="429"/>
        <v>B-BCP - Soles</v>
      </c>
      <c r="C4241" s="13" t="s">
        <v>1330</v>
      </c>
      <c r="D4241" s="14">
        <v>45947</v>
      </c>
      <c r="E4241" s="5" t="s">
        <v>2269</v>
      </c>
      <c r="F4241" s="5" t="s">
        <v>1336</v>
      </c>
      <c r="G4241" s="148" t="s">
        <v>895</v>
      </c>
      <c r="H4241" s="6"/>
      <c r="I4241" s="6"/>
      <c r="J4241" s="6"/>
      <c r="K4241" s="7" t="s">
        <v>3083</v>
      </c>
      <c r="L4241" s="8">
        <v>1206465</v>
      </c>
      <c r="M4241" s="8" t="str">
        <f t="shared" si="430"/>
        <v>PEN</v>
      </c>
      <c r="N4241" s="13"/>
      <c r="O4241" s="13">
        <v>2000</v>
      </c>
      <c r="P4241" s="13">
        <f t="shared" si="431"/>
        <v>0</v>
      </c>
      <c r="Q4241" s="13">
        <f t="shared" si="432"/>
        <v>2000</v>
      </c>
      <c r="R4241" s="13">
        <f t="shared" si="433"/>
        <v>40035.899999999972</v>
      </c>
      <c r="S4241" s="28"/>
      <c r="T4241" s="28" t="s">
        <v>1334</v>
      </c>
      <c r="U4241" s="188" t="s">
        <v>4769</v>
      </c>
      <c r="V4241" s="103">
        <f>IFERROR(VLOOKUP(BCP_Soles[[#This Row],[destinatario]],CHOOSE({1,2},Clientes_Proveedores[Razon Social],Clientes_Proveedores[Ruc / Dni]),2,0),"")</f>
        <v>72144092</v>
      </c>
      <c r="W4241" s="103"/>
      <c r="X4241" s="103"/>
      <c r="Y4241" s="103"/>
      <c r="Z4241" s="184"/>
      <c r="AA4241" s="13" t="str">
        <f>IF(BCP_Soles[[#This Row],[fecha]]&gt;0,TEXT(BCP_Soles[[#This Row],[fecha]],"mmmm"),0)</f>
        <v>Octubre</v>
      </c>
    </row>
    <row r="4242" spans="1:27" ht="24" x14ac:dyDescent="0.3">
      <c r="A4242" s="16">
        <f>IF(BCP_Soles[[#This Row],[tipo_registro]]="R",COUNTIFS($C$1:$C4241,"R")+1,A4241)</f>
        <v>2818</v>
      </c>
      <c r="B4242" s="18" t="str">
        <f t="shared" si="429"/>
        <v>B-BCP - Soles</v>
      </c>
      <c r="C4242" s="13" t="s">
        <v>1330</v>
      </c>
      <c r="D4242" s="14">
        <v>45947</v>
      </c>
      <c r="E4242" s="5" t="s">
        <v>1338</v>
      </c>
      <c r="F4242" s="5" t="s">
        <v>1336</v>
      </c>
      <c r="G4242" s="6" t="s">
        <v>1097</v>
      </c>
      <c r="H4242" s="6"/>
      <c r="I4242" s="6"/>
      <c r="J4242" s="6"/>
      <c r="K4242" s="7" t="s">
        <v>4770</v>
      </c>
      <c r="L4242" s="8">
        <v>1206937</v>
      </c>
      <c r="M4242" s="8" t="str">
        <f t="shared" si="430"/>
        <v>PEN</v>
      </c>
      <c r="N4242" s="13"/>
      <c r="O4242" s="13">
        <v>998.5</v>
      </c>
      <c r="P4242" s="13">
        <f t="shared" si="431"/>
        <v>0</v>
      </c>
      <c r="Q4242" s="13">
        <f t="shared" si="432"/>
        <v>998.5</v>
      </c>
      <c r="R4242" s="13">
        <f t="shared" ref="R4242:R4249" si="434">IFERROR(IF(F4242="SALDO",P4242,R4241+P4242-Q4242),0)</f>
        <v>39037.399999999972</v>
      </c>
      <c r="S4242" s="28"/>
      <c r="T4242" s="28" t="s">
        <v>1334</v>
      </c>
      <c r="U4242" s="188"/>
      <c r="V4242" s="103">
        <f>IFERROR(VLOOKUP(BCP_Soles[[#This Row],[destinatario]],CHOOSE({1,2},Clientes_Proveedores[Razon Social],Clientes_Proveedores[Ruc / Dni]),2,0),"")</f>
        <v>70313878</v>
      </c>
      <c r="W4242" s="103"/>
      <c r="X4242" s="103"/>
      <c r="Y4242" s="103"/>
      <c r="Z4242" s="184"/>
      <c r="AA4242" s="13" t="str">
        <f>IF(BCP_Soles[[#This Row],[fecha]]&gt;0,TEXT(BCP_Soles[[#This Row],[fecha]],"mmmm"),0)</f>
        <v>Octubre</v>
      </c>
    </row>
    <row r="4243" spans="1:27" x14ac:dyDescent="0.3">
      <c r="A4243" s="16">
        <f>IF(BCP_Soles[[#This Row],[tipo_registro]]="R",COUNTIFS($C$1:$C4242,"R")+1,A4242)</f>
        <v>2819</v>
      </c>
      <c r="B4243" s="18" t="str">
        <f t="shared" ref="B4243:B4249" si="435">"B-BCP - Soles"</f>
        <v>B-BCP - Soles</v>
      </c>
      <c r="C4243" s="13" t="s">
        <v>1330</v>
      </c>
      <c r="D4243" s="14">
        <v>45947</v>
      </c>
      <c r="E4243" s="5" t="s">
        <v>1338</v>
      </c>
      <c r="F4243" s="5" t="s">
        <v>1336</v>
      </c>
      <c r="G4243" s="6" t="s">
        <v>876</v>
      </c>
      <c r="H4243" s="6"/>
      <c r="I4243" s="6"/>
      <c r="J4243" s="6"/>
      <c r="K4243" s="7" t="s">
        <v>4771</v>
      </c>
      <c r="L4243" s="8">
        <v>1207894</v>
      </c>
      <c r="M4243" s="8" t="str">
        <f t="shared" ref="M4243:M4249" si="436">"PEN"</f>
        <v>PEN</v>
      </c>
      <c r="N4243" s="13"/>
      <c r="O4243" s="13">
        <v>200</v>
      </c>
      <c r="P4243" s="13">
        <f t="shared" ref="P4243:P4249" si="437">+IF(OR($F4243="SALDO",$F4243="INGRESO"),$O4243,0)</f>
        <v>0</v>
      </c>
      <c r="Q4243" s="13">
        <f t="shared" ref="Q4243:Q4249" si="438">+IF($F4243="EGRESO",$O4243,0)</f>
        <v>200</v>
      </c>
      <c r="R4243" s="13">
        <f t="shared" si="434"/>
        <v>38837.399999999972</v>
      </c>
      <c r="S4243" s="28"/>
      <c r="T4243" s="28" t="s">
        <v>1334</v>
      </c>
      <c r="U4243" s="188"/>
      <c r="V4243" s="103">
        <f>IFERROR(VLOOKUP(BCP_Soles[[#This Row],[destinatario]],CHOOSE({1,2},Clientes_Proveedores[Razon Social],Clientes_Proveedores[Ruc / Dni]),2,0),"")</f>
        <v>1829028</v>
      </c>
      <c r="W4243" s="103"/>
      <c r="X4243" s="103"/>
      <c r="Y4243" s="103"/>
      <c r="Z4243" s="184"/>
      <c r="AA4243" s="13" t="str">
        <f>IF(BCP_Soles[[#This Row],[fecha]]&gt;0,TEXT(BCP_Soles[[#This Row],[fecha]],"mmmm"),0)</f>
        <v>Octubre</v>
      </c>
    </row>
    <row r="4244" spans="1:27" ht="24" x14ac:dyDescent="0.3">
      <c r="A4244" s="16">
        <f>IF(BCP_Soles[[#This Row],[tipo_registro]]="R",COUNTIFS($C$1:$C4243,"R")+1,A4243)</f>
        <v>2820</v>
      </c>
      <c r="B4244" s="18" t="str">
        <f t="shared" si="435"/>
        <v>B-BCP - Soles</v>
      </c>
      <c r="C4244" s="13" t="s">
        <v>1330</v>
      </c>
      <c r="D4244" s="14">
        <v>45947</v>
      </c>
      <c r="E4244" s="5" t="s">
        <v>1338</v>
      </c>
      <c r="F4244" s="5" t="s">
        <v>1336</v>
      </c>
      <c r="G4244" s="6" t="s">
        <v>857</v>
      </c>
      <c r="H4244" s="6"/>
      <c r="I4244" s="6"/>
      <c r="J4244" s="6"/>
      <c r="K4244" s="7" t="s">
        <v>4771</v>
      </c>
      <c r="L4244" s="8">
        <v>1208342</v>
      </c>
      <c r="M4244" s="8" t="str">
        <f t="shared" si="436"/>
        <v>PEN</v>
      </c>
      <c r="N4244" s="13"/>
      <c r="O4244" s="13">
        <v>250</v>
      </c>
      <c r="P4244" s="13">
        <f t="shared" si="437"/>
        <v>0</v>
      </c>
      <c r="Q4244" s="13">
        <f t="shared" si="438"/>
        <v>250</v>
      </c>
      <c r="R4244" s="13">
        <f t="shared" si="434"/>
        <v>38587.399999999972</v>
      </c>
      <c r="S4244" s="28"/>
      <c r="T4244" s="28" t="s">
        <v>1334</v>
      </c>
      <c r="U4244" s="188"/>
      <c r="V4244" s="103">
        <f>IFERROR(VLOOKUP(BCP_Soles[[#This Row],[destinatario]],CHOOSE({1,2},Clientes_Proveedores[Razon Social],Clientes_Proveedores[Ruc / Dni]),2,0),"")</f>
        <v>70666331</v>
      </c>
      <c r="W4244" s="103"/>
      <c r="X4244" s="103"/>
      <c r="Y4244" s="103"/>
      <c r="Z4244" s="184"/>
      <c r="AA4244" s="13" t="str">
        <f>IF(BCP_Soles[[#This Row],[fecha]]&gt;0,TEXT(BCP_Soles[[#This Row],[fecha]],"mmmm"),0)</f>
        <v>Octubre</v>
      </c>
    </row>
    <row r="4245" spans="1:27" ht="24" x14ac:dyDescent="0.3">
      <c r="A4245" s="16">
        <f>IF(BCP_Soles[[#This Row],[tipo_registro]]="R",COUNTIFS($C$1:$C4244,"R")+1,A4244)</f>
        <v>2821</v>
      </c>
      <c r="B4245" s="18" t="str">
        <f t="shared" si="435"/>
        <v>B-BCP - Soles</v>
      </c>
      <c r="C4245" s="13" t="s">
        <v>1330</v>
      </c>
      <c r="D4245" s="14">
        <v>45947</v>
      </c>
      <c r="E4245" s="5" t="s">
        <v>1338</v>
      </c>
      <c r="F4245" s="5" t="s">
        <v>1336</v>
      </c>
      <c r="G4245" s="6" t="s">
        <v>866</v>
      </c>
      <c r="H4245" s="6"/>
      <c r="I4245" s="6"/>
      <c r="J4245" s="6"/>
      <c r="K4245" s="7" t="s">
        <v>4771</v>
      </c>
      <c r="L4245" s="8">
        <v>1205978</v>
      </c>
      <c r="M4245" s="8" t="str">
        <f t="shared" si="436"/>
        <v>PEN</v>
      </c>
      <c r="N4245" s="13"/>
      <c r="O4245" s="13">
        <v>100</v>
      </c>
      <c r="P4245" s="13">
        <f t="shared" si="437"/>
        <v>0</v>
      </c>
      <c r="Q4245" s="13">
        <f t="shared" si="438"/>
        <v>100</v>
      </c>
      <c r="R4245" s="13">
        <f t="shared" si="434"/>
        <v>38487.399999999972</v>
      </c>
      <c r="S4245" s="28"/>
      <c r="T4245" s="28" t="s">
        <v>1334</v>
      </c>
      <c r="U4245" s="188"/>
      <c r="V4245" s="103">
        <f>IFERROR(VLOOKUP(BCP_Soles[[#This Row],[destinatario]],CHOOSE({1,2},Clientes_Proveedores[Razon Social],Clientes_Proveedores[Ruc / Dni]),2,0),"")</f>
        <v>45921913</v>
      </c>
      <c r="W4245" s="103"/>
      <c r="X4245" s="103"/>
      <c r="Y4245" s="103"/>
      <c r="Z4245" s="184"/>
      <c r="AA4245" s="13" t="str">
        <f>IF(BCP_Soles[[#This Row],[fecha]]&gt;0,TEXT(BCP_Soles[[#This Row],[fecha]],"mmmm"),0)</f>
        <v>Octubre</v>
      </c>
    </row>
    <row r="4246" spans="1:27" ht="24" x14ac:dyDescent="0.3">
      <c r="A4246" s="16">
        <f>IF(BCP_Soles[[#This Row],[tipo_registro]]="R",COUNTIFS($C$1:$C4245,"R")+1,A4245)</f>
        <v>2822</v>
      </c>
      <c r="B4246" s="18" t="str">
        <f t="shared" si="435"/>
        <v>B-BCP - Soles</v>
      </c>
      <c r="C4246" s="13" t="s">
        <v>1330</v>
      </c>
      <c r="D4246" s="14">
        <v>45947</v>
      </c>
      <c r="E4246" s="5" t="s">
        <v>1338</v>
      </c>
      <c r="F4246" s="5" t="s">
        <v>1336</v>
      </c>
      <c r="G4246" s="6" t="s">
        <v>873</v>
      </c>
      <c r="H4246" s="6"/>
      <c r="I4246" s="6"/>
      <c r="J4246" s="6"/>
      <c r="K4246" s="7" t="s">
        <v>4771</v>
      </c>
      <c r="L4246" s="8">
        <v>1207405</v>
      </c>
      <c r="M4246" s="8" t="str">
        <f t="shared" si="436"/>
        <v>PEN</v>
      </c>
      <c r="N4246" s="13"/>
      <c r="O4246" s="13">
        <v>300</v>
      </c>
      <c r="P4246" s="13">
        <f t="shared" si="437"/>
        <v>0</v>
      </c>
      <c r="Q4246" s="13">
        <f t="shared" si="438"/>
        <v>300</v>
      </c>
      <c r="R4246" s="13">
        <f t="shared" si="434"/>
        <v>38187.399999999972</v>
      </c>
      <c r="S4246" s="28"/>
      <c r="T4246" s="28" t="s">
        <v>1334</v>
      </c>
      <c r="U4246" s="188"/>
      <c r="V4246" s="103">
        <f>IFERROR(VLOOKUP(BCP_Soles[[#This Row],[destinatario]],CHOOSE({1,2},Clientes_Proveedores[Razon Social],Clientes_Proveedores[Ruc / Dni]),2,0),"")</f>
        <v>80355193</v>
      </c>
      <c r="W4246" s="103"/>
      <c r="X4246" s="103"/>
      <c r="Y4246" s="103"/>
      <c r="Z4246" s="184"/>
      <c r="AA4246" s="13" t="str">
        <f>IF(BCP_Soles[[#This Row],[fecha]]&gt;0,TEXT(BCP_Soles[[#This Row],[fecha]],"mmmm"),0)</f>
        <v>Octubre</v>
      </c>
    </row>
    <row r="4247" spans="1:27" ht="24" x14ac:dyDescent="0.3">
      <c r="A4247" s="16">
        <f>IF(BCP_Soles[[#This Row],[tipo_registro]]="R",COUNTIFS($C$1:$C4246,"R")+1,A4246)</f>
        <v>2823</v>
      </c>
      <c r="B4247" s="18" t="str">
        <f t="shared" si="435"/>
        <v>B-BCP - Soles</v>
      </c>
      <c r="C4247" s="13" t="s">
        <v>1330</v>
      </c>
      <c r="D4247" s="14">
        <v>45947</v>
      </c>
      <c r="E4247" s="5" t="s">
        <v>1338</v>
      </c>
      <c r="F4247" s="5" t="s">
        <v>1336</v>
      </c>
      <c r="G4247" s="6" t="s">
        <v>918</v>
      </c>
      <c r="H4247" s="6"/>
      <c r="I4247" s="6"/>
      <c r="J4247" s="6"/>
      <c r="K4247" s="7" t="s">
        <v>4771</v>
      </c>
      <c r="L4247" s="8">
        <v>1206938</v>
      </c>
      <c r="M4247" s="8" t="str">
        <f t="shared" si="436"/>
        <v>PEN</v>
      </c>
      <c r="N4247" s="13"/>
      <c r="O4247" s="13">
        <v>250</v>
      </c>
      <c r="P4247" s="13">
        <f t="shared" si="437"/>
        <v>0</v>
      </c>
      <c r="Q4247" s="13">
        <f t="shared" si="438"/>
        <v>250</v>
      </c>
      <c r="R4247" s="13">
        <f t="shared" si="434"/>
        <v>37937.399999999972</v>
      </c>
      <c r="S4247" s="28"/>
      <c r="T4247" s="28" t="s">
        <v>1334</v>
      </c>
      <c r="U4247" s="188"/>
      <c r="V4247" s="103">
        <f>IFERROR(VLOOKUP(BCP_Soles[[#This Row],[destinatario]],CHOOSE({1,2},Clientes_Proveedores[Razon Social],Clientes_Proveedores[Ruc / Dni]),2,0),"")</f>
        <v>48536654</v>
      </c>
      <c r="W4247" s="103"/>
      <c r="X4247" s="103"/>
      <c r="Y4247" s="103"/>
      <c r="Z4247" s="184"/>
      <c r="AA4247" s="13" t="str">
        <f>IF(BCP_Soles[[#This Row],[fecha]]&gt;0,TEXT(BCP_Soles[[#This Row],[fecha]],"mmmm"),0)</f>
        <v>Octubre</v>
      </c>
    </row>
    <row r="4248" spans="1:27" ht="24" x14ac:dyDescent="0.3">
      <c r="A4248" s="2">
        <f>IF(BCP_Soles[[#This Row],[tipo_registro]]="R",COUNTIFS($C$1:$C4247,"R")+1,A4247)</f>
        <v>2824</v>
      </c>
      <c r="B4248" s="19" t="str">
        <f t="shared" si="435"/>
        <v>B-BCP - Soles</v>
      </c>
      <c r="C4248" s="3" t="s">
        <v>1330</v>
      </c>
      <c r="D4248" s="14">
        <v>45947</v>
      </c>
      <c r="E4248" s="190" t="s">
        <v>1338</v>
      </c>
      <c r="F4248" s="190" t="s">
        <v>1336</v>
      </c>
      <c r="G4248" s="191" t="s">
        <v>1089</v>
      </c>
      <c r="H4248" s="6"/>
      <c r="I4248" s="198"/>
      <c r="J4248" s="6"/>
      <c r="K4248" s="7" t="s">
        <v>4771</v>
      </c>
      <c r="L4248" s="8">
        <v>1207406</v>
      </c>
      <c r="M4248" s="8" t="str">
        <f t="shared" si="436"/>
        <v>PEN</v>
      </c>
      <c r="N4248" s="13"/>
      <c r="O4248" s="13">
        <v>200</v>
      </c>
      <c r="P4248" s="3">
        <f t="shared" si="437"/>
        <v>0</v>
      </c>
      <c r="Q4248" s="3">
        <f t="shared" si="438"/>
        <v>200</v>
      </c>
      <c r="R4248" s="3">
        <f t="shared" si="434"/>
        <v>37737.399999999972</v>
      </c>
      <c r="S4248" s="24"/>
      <c r="T4248" s="24" t="s">
        <v>1334</v>
      </c>
      <c r="U4248" s="55"/>
      <c r="V4248" s="25">
        <f>IFERROR(VLOOKUP(BCP_Soles[[#This Row],[destinatario]],CHOOSE({1,2},Clientes_Proveedores[Razon Social],Clientes_Proveedores[Ruc / Dni]),2,0),"")</f>
        <v>45882922</v>
      </c>
      <c r="W4248" s="25"/>
      <c r="X4248" s="25"/>
      <c r="Y4248" s="25"/>
      <c r="Z4248" s="77"/>
      <c r="AA4248" s="3" t="str">
        <f>IF(BCP_Soles[[#This Row],[fecha]]&gt;0,TEXT(BCP_Soles[[#This Row],[fecha]],"mmmm"),0)</f>
        <v>Octubre</v>
      </c>
    </row>
    <row r="4249" spans="1:27" x14ac:dyDescent="0.3">
      <c r="A4249" s="2">
        <f>IF(BCP_Soles[[#This Row],[tipo_registro]]="R",COUNTIFS($C$1:$C4248,"R")+1,A4248)</f>
        <v>2825</v>
      </c>
      <c r="B4249" s="19" t="str">
        <f t="shared" si="435"/>
        <v>B-BCP - Soles</v>
      </c>
      <c r="C4249" s="3" t="s">
        <v>1330</v>
      </c>
      <c r="D4249" s="14">
        <v>45947</v>
      </c>
      <c r="E4249" s="190" t="s">
        <v>1338</v>
      </c>
      <c r="F4249" s="190" t="s">
        <v>1336</v>
      </c>
      <c r="G4249" s="191" t="s">
        <v>696</v>
      </c>
      <c r="H4249" s="6"/>
      <c r="I4249" s="198"/>
      <c r="J4249" s="6"/>
      <c r="K4249" s="7" t="s">
        <v>4772</v>
      </c>
      <c r="L4249" s="8">
        <v>8709617</v>
      </c>
      <c r="M4249" s="8" t="str">
        <f t="shared" si="436"/>
        <v>PEN</v>
      </c>
      <c r="N4249" s="13"/>
      <c r="O4249" s="13">
        <v>5648.68</v>
      </c>
      <c r="P4249" s="3">
        <f t="shared" si="437"/>
        <v>0</v>
      </c>
      <c r="Q4249" s="3">
        <f t="shared" si="438"/>
        <v>5648.68</v>
      </c>
      <c r="R4249" s="3">
        <f t="shared" si="434"/>
        <v>32088.719999999972</v>
      </c>
      <c r="S4249" s="24" t="s">
        <v>1334</v>
      </c>
      <c r="T4249" s="24" t="s">
        <v>1334</v>
      </c>
      <c r="U4249" s="56" t="s">
        <v>4773</v>
      </c>
      <c r="V4249" s="25">
        <f>IFERROR(VLOOKUP(BCP_Soles[[#This Row],[destinatario]],CHOOSE({1,2},Clientes_Proveedores[Razon Social],Clientes_Proveedores[Ruc / Dni]),2,0),"")</f>
        <v>0</v>
      </c>
      <c r="W4249" s="25"/>
      <c r="X4249" s="25"/>
      <c r="Y4249" s="25"/>
      <c r="Z4249" s="77"/>
      <c r="AA4249" s="3" t="str">
        <f>IF(BCP_Soles[[#This Row],[fecha]]&gt;0,TEXT(BCP_Soles[[#This Row],[fecha]],"mmmm"),0)</f>
        <v>Octubre</v>
      </c>
    </row>
    <row r="4250" spans="1:27" ht="36" x14ac:dyDescent="0.3">
      <c r="A4250" s="2">
        <f>IF(BCP_Soles[[#This Row],[tipo_registro]]="R",COUNTIFS($C$1:$C4249,"R")+1,A4249)</f>
        <v>2825</v>
      </c>
      <c r="B4250" s="19" t="str">
        <f t="shared" ref="B4250:B4261" si="439">"B-BCP - Soles"</f>
        <v>B-BCP - Soles</v>
      </c>
      <c r="C4250" s="3" t="s">
        <v>1352</v>
      </c>
      <c r="D4250" s="14">
        <v>45947</v>
      </c>
      <c r="E4250" s="190" t="s">
        <v>1338</v>
      </c>
      <c r="F4250" s="190" t="s">
        <v>1336</v>
      </c>
      <c r="G4250" s="6" t="s">
        <v>474</v>
      </c>
      <c r="H4250" s="6" t="s">
        <v>68</v>
      </c>
      <c r="I4250" s="198" t="s">
        <v>1376</v>
      </c>
      <c r="J4250" s="6">
        <v>876</v>
      </c>
      <c r="K4250" s="7" t="s">
        <v>4772</v>
      </c>
      <c r="L4250" s="8">
        <v>8709617</v>
      </c>
      <c r="M4250" s="8" t="str">
        <f t="shared" ref="M4250:M4261" si="440">"PEN"</f>
        <v>PEN</v>
      </c>
      <c r="N4250" s="13">
        <v>160</v>
      </c>
      <c r="O4250" s="13"/>
      <c r="P4250" s="3">
        <f t="shared" ref="P4250:P4261" si="441">+IF(OR($F4250="SALDO",$F4250="INGRESO"),$O4250,0)</f>
        <v>0</v>
      </c>
      <c r="Q4250" s="3">
        <f t="shared" ref="Q4250:Q4261" si="442">+IF($F4250="EGRESO",$O4250,0)</f>
        <v>0</v>
      </c>
      <c r="R4250" s="3">
        <f t="shared" ref="R4250:R4262" si="443">IFERROR(IF(F4250="SALDO",P4250,R4249+P4250-Q4250),0)</f>
        <v>32088.719999999972</v>
      </c>
      <c r="S4250" s="24" t="s">
        <v>1334</v>
      </c>
      <c r="T4250" s="24" t="s">
        <v>1334</v>
      </c>
      <c r="U4250" s="56" t="s">
        <v>4773</v>
      </c>
      <c r="V4250" s="25">
        <f>IFERROR(VLOOKUP(BCP_Soles[[#This Row],[destinatario]],CHOOSE({1,2},Clientes_Proveedores[Razon Social],Clientes_Proveedores[Ruc / Dni]),2,0),"")</f>
        <v>20602075177</v>
      </c>
      <c r="W4250" s="25"/>
      <c r="X4250" s="25"/>
      <c r="Y4250" s="25"/>
      <c r="Z4250" s="77"/>
      <c r="AA4250" s="3" t="str">
        <f>IF(BCP_Soles[[#This Row],[fecha]]&gt;0,TEXT(BCP_Soles[[#This Row],[fecha]],"mmmm"),0)</f>
        <v>Octubre</v>
      </c>
    </row>
    <row r="4251" spans="1:27" ht="36" x14ac:dyDescent="0.3">
      <c r="A4251" s="2">
        <f>IF(BCP_Soles[[#This Row],[tipo_registro]]="R",COUNTIFS($C$1:$C4250,"R")+1,A4250)</f>
        <v>2825</v>
      </c>
      <c r="B4251" s="19" t="str">
        <f t="shared" si="439"/>
        <v>B-BCP - Soles</v>
      </c>
      <c r="C4251" s="3" t="s">
        <v>1352</v>
      </c>
      <c r="D4251" s="14">
        <v>45947</v>
      </c>
      <c r="E4251" s="190" t="s">
        <v>1338</v>
      </c>
      <c r="F4251" s="190" t="s">
        <v>1336</v>
      </c>
      <c r="G4251" s="6" t="s">
        <v>474</v>
      </c>
      <c r="H4251" s="6" t="s">
        <v>68</v>
      </c>
      <c r="I4251" s="198" t="s">
        <v>1376</v>
      </c>
      <c r="J4251" s="6">
        <v>868</v>
      </c>
      <c r="K4251" s="7" t="s">
        <v>4772</v>
      </c>
      <c r="L4251" s="8">
        <v>8709617</v>
      </c>
      <c r="M4251" s="8" t="str">
        <f t="shared" si="440"/>
        <v>PEN</v>
      </c>
      <c r="N4251" s="13">
        <v>384</v>
      </c>
      <c r="O4251" s="13"/>
      <c r="P4251" s="3">
        <f t="shared" si="441"/>
        <v>0</v>
      </c>
      <c r="Q4251" s="3">
        <f t="shared" si="442"/>
        <v>0</v>
      </c>
      <c r="R4251" s="3">
        <f t="shared" si="443"/>
        <v>32088.719999999972</v>
      </c>
      <c r="S4251" s="24" t="s">
        <v>1334</v>
      </c>
      <c r="T4251" s="24" t="s">
        <v>1334</v>
      </c>
      <c r="U4251" s="56" t="s">
        <v>4773</v>
      </c>
      <c r="V4251" s="25">
        <f>IFERROR(VLOOKUP(BCP_Soles[[#This Row],[destinatario]],CHOOSE({1,2},Clientes_Proveedores[Razon Social],Clientes_Proveedores[Ruc / Dni]),2,0),"")</f>
        <v>20602075177</v>
      </c>
      <c r="W4251" s="25"/>
      <c r="X4251" s="25"/>
      <c r="Y4251" s="25"/>
      <c r="Z4251" s="77"/>
      <c r="AA4251" s="3" t="str">
        <f>IF(BCP_Soles[[#This Row],[fecha]]&gt;0,TEXT(BCP_Soles[[#This Row],[fecha]],"mmmm"),0)</f>
        <v>Octubre</v>
      </c>
    </row>
    <row r="4252" spans="1:27" ht="24" x14ac:dyDescent="0.3">
      <c r="A4252" s="2">
        <f>IF(BCP_Soles[[#This Row],[tipo_registro]]="R",COUNTIFS($C$1:$C4251,"R")+1,A4251)</f>
        <v>2825</v>
      </c>
      <c r="B4252" s="19" t="str">
        <f t="shared" si="439"/>
        <v>B-BCP - Soles</v>
      </c>
      <c r="C4252" s="3" t="s">
        <v>1352</v>
      </c>
      <c r="D4252" s="14">
        <v>45947</v>
      </c>
      <c r="E4252" s="190" t="s">
        <v>1338</v>
      </c>
      <c r="F4252" s="190" t="s">
        <v>1336</v>
      </c>
      <c r="G4252" s="6" t="s">
        <v>370</v>
      </c>
      <c r="H4252" s="6" t="s">
        <v>68</v>
      </c>
      <c r="I4252" s="198" t="s">
        <v>1374</v>
      </c>
      <c r="J4252" s="6">
        <v>7009</v>
      </c>
      <c r="K4252" s="7" t="s">
        <v>4772</v>
      </c>
      <c r="L4252" s="8">
        <v>8709617</v>
      </c>
      <c r="M4252" s="8" t="str">
        <f t="shared" si="440"/>
        <v>PEN</v>
      </c>
      <c r="N4252" s="13">
        <v>487.95</v>
      </c>
      <c r="O4252" s="13"/>
      <c r="P4252" s="3">
        <f t="shared" si="441"/>
        <v>0</v>
      </c>
      <c r="Q4252" s="3">
        <f t="shared" si="442"/>
        <v>0</v>
      </c>
      <c r="R4252" s="3">
        <f t="shared" si="443"/>
        <v>32088.719999999972</v>
      </c>
      <c r="S4252" s="24" t="s">
        <v>1334</v>
      </c>
      <c r="T4252" s="24" t="s">
        <v>1334</v>
      </c>
      <c r="U4252" s="56" t="s">
        <v>4773</v>
      </c>
      <c r="V4252" s="25">
        <f>IFERROR(VLOOKUP(BCP_Soles[[#This Row],[destinatario]],CHOOSE({1,2},Clientes_Proveedores[Razon Social],Clientes_Proveedores[Ruc / Dni]),2,0),"")</f>
        <v>20519212162</v>
      </c>
      <c r="W4252" s="25"/>
      <c r="X4252" s="25"/>
      <c r="Y4252" s="25"/>
      <c r="Z4252" s="77"/>
      <c r="AA4252" s="3" t="str">
        <f>IF(BCP_Soles[[#This Row],[fecha]]&gt;0,TEXT(BCP_Soles[[#This Row],[fecha]],"mmmm"),0)</f>
        <v>Octubre</v>
      </c>
    </row>
    <row r="4253" spans="1:27" ht="24" x14ac:dyDescent="0.3">
      <c r="A4253" s="2">
        <f>IF(BCP_Soles[[#This Row],[tipo_registro]]="R",COUNTIFS($C$1:$C4252,"R")+1,A4252)</f>
        <v>2825</v>
      </c>
      <c r="B4253" s="19" t="str">
        <f t="shared" si="439"/>
        <v>B-BCP - Soles</v>
      </c>
      <c r="C4253" s="3" t="s">
        <v>1352</v>
      </c>
      <c r="D4253" s="14">
        <v>45947</v>
      </c>
      <c r="E4253" s="190" t="s">
        <v>1338</v>
      </c>
      <c r="F4253" s="190" t="s">
        <v>1336</v>
      </c>
      <c r="G4253" s="6" t="s">
        <v>370</v>
      </c>
      <c r="H4253" s="6" t="s">
        <v>68</v>
      </c>
      <c r="I4253" s="198" t="s">
        <v>1374</v>
      </c>
      <c r="J4253" s="6">
        <v>7008</v>
      </c>
      <c r="K4253" s="7" t="s">
        <v>4772</v>
      </c>
      <c r="L4253" s="8">
        <v>8709617</v>
      </c>
      <c r="M4253" s="8" t="str">
        <f t="shared" si="440"/>
        <v>PEN</v>
      </c>
      <c r="N4253" s="13">
        <v>772.69</v>
      </c>
      <c r="O4253" s="13"/>
      <c r="P4253" s="3">
        <f t="shared" si="441"/>
        <v>0</v>
      </c>
      <c r="Q4253" s="3">
        <f t="shared" si="442"/>
        <v>0</v>
      </c>
      <c r="R4253" s="3">
        <f t="shared" si="443"/>
        <v>32088.719999999972</v>
      </c>
      <c r="S4253" s="24" t="s">
        <v>1334</v>
      </c>
      <c r="T4253" s="24" t="s">
        <v>1334</v>
      </c>
      <c r="U4253" s="56" t="s">
        <v>4773</v>
      </c>
      <c r="V4253" s="25">
        <f>IFERROR(VLOOKUP(BCP_Soles[[#This Row],[destinatario]],CHOOSE({1,2},Clientes_Proveedores[Razon Social],Clientes_Proveedores[Ruc / Dni]),2,0),"")</f>
        <v>20519212162</v>
      </c>
      <c r="W4253" s="25"/>
      <c r="X4253" s="25"/>
      <c r="Y4253" s="25"/>
      <c r="Z4253" s="77"/>
      <c r="AA4253" s="3" t="str">
        <f>IF(BCP_Soles[[#This Row],[fecha]]&gt;0,TEXT(BCP_Soles[[#This Row],[fecha]],"mmmm"),0)</f>
        <v>Octubre</v>
      </c>
    </row>
    <row r="4254" spans="1:27" ht="24" x14ac:dyDescent="0.3">
      <c r="A4254" s="2">
        <f>IF(BCP_Soles[[#This Row],[tipo_registro]]="R",COUNTIFS($C$1:$C4253,"R")+1,A4253)</f>
        <v>2825</v>
      </c>
      <c r="B4254" s="19" t="str">
        <f t="shared" si="439"/>
        <v>B-BCP - Soles</v>
      </c>
      <c r="C4254" s="3" t="s">
        <v>1352</v>
      </c>
      <c r="D4254" s="14">
        <v>45947</v>
      </c>
      <c r="E4254" s="190" t="s">
        <v>1338</v>
      </c>
      <c r="F4254" s="190" t="s">
        <v>1336</v>
      </c>
      <c r="G4254" s="6" t="s">
        <v>370</v>
      </c>
      <c r="H4254" s="6" t="s">
        <v>68</v>
      </c>
      <c r="I4254" s="198" t="s">
        <v>1374</v>
      </c>
      <c r="J4254" s="6">
        <v>7010</v>
      </c>
      <c r="K4254" s="7" t="s">
        <v>4772</v>
      </c>
      <c r="L4254" s="8">
        <v>8709617</v>
      </c>
      <c r="M4254" s="8" t="str">
        <f t="shared" si="440"/>
        <v>PEN</v>
      </c>
      <c r="N4254" s="13">
        <v>134.83000000000001</v>
      </c>
      <c r="O4254" s="13"/>
      <c r="P4254" s="3">
        <f t="shared" si="441"/>
        <v>0</v>
      </c>
      <c r="Q4254" s="3">
        <f t="shared" si="442"/>
        <v>0</v>
      </c>
      <c r="R4254" s="3">
        <f t="shared" si="443"/>
        <v>32088.719999999972</v>
      </c>
      <c r="S4254" s="24" t="s">
        <v>1334</v>
      </c>
      <c r="T4254" s="24" t="s">
        <v>1334</v>
      </c>
      <c r="U4254" s="56" t="s">
        <v>4773</v>
      </c>
      <c r="V4254" s="25">
        <f>IFERROR(VLOOKUP(BCP_Soles[[#This Row],[destinatario]],CHOOSE({1,2},Clientes_Proveedores[Razon Social],Clientes_Proveedores[Ruc / Dni]),2,0),"")</f>
        <v>20519212162</v>
      </c>
      <c r="W4254" s="25"/>
      <c r="X4254" s="25"/>
      <c r="Y4254" s="25"/>
      <c r="Z4254" s="77"/>
      <c r="AA4254" s="3" t="str">
        <f>IF(BCP_Soles[[#This Row],[fecha]]&gt;0,TEXT(BCP_Soles[[#This Row],[fecha]],"mmmm"),0)</f>
        <v>Octubre</v>
      </c>
    </row>
    <row r="4255" spans="1:27" x14ac:dyDescent="0.3">
      <c r="A4255" s="2">
        <f>IF(BCP_Soles[[#This Row],[tipo_registro]]="R",COUNTIFS($C$1:$C4254,"R")+1,A4254)</f>
        <v>2825</v>
      </c>
      <c r="B4255" s="19" t="str">
        <f t="shared" si="439"/>
        <v>B-BCP - Soles</v>
      </c>
      <c r="C4255" s="3" t="s">
        <v>1352</v>
      </c>
      <c r="D4255" s="14">
        <v>45947</v>
      </c>
      <c r="E4255" s="190" t="s">
        <v>1338</v>
      </c>
      <c r="F4255" s="190" t="s">
        <v>1336</v>
      </c>
      <c r="G4255" s="6" t="s">
        <v>286</v>
      </c>
      <c r="H4255" s="6" t="s">
        <v>68</v>
      </c>
      <c r="I4255" s="198" t="s">
        <v>1386</v>
      </c>
      <c r="J4255" s="6">
        <v>1748</v>
      </c>
      <c r="K4255" s="7" t="s">
        <v>4772</v>
      </c>
      <c r="L4255" s="8">
        <v>8709617</v>
      </c>
      <c r="M4255" s="8" t="str">
        <f t="shared" si="440"/>
        <v>PEN</v>
      </c>
      <c r="N4255" s="13">
        <v>542</v>
      </c>
      <c r="O4255" s="13"/>
      <c r="P4255" s="3">
        <f t="shared" si="441"/>
        <v>0</v>
      </c>
      <c r="Q4255" s="3">
        <f t="shared" si="442"/>
        <v>0</v>
      </c>
      <c r="R4255" s="3">
        <f t="shared" si="443"/>
        <v>32088.719999999972</v>
      </c>
      <c r="S4255" s="24" t="s">
        <v>1334</v>
      </c>
      <c r="T4255" s="24" t="s">
        <v>1334</v>
      </c>
      <c r="U4255" s="56" t="s">
        <v>4773</v>
      </c>
      <c r="V4255" s="25">
        <f>IFERROR(VLOOKUP(BCP_Soles[[#This Row],[destinatario]],CHOOSE({1,2},Clientes_Proveedores[Razon Social],Clientes_Proveedores[Ruc / Dni]),2,0),"")</f>
        <v>20454186002</v>
      </c>
      <c r="W4255" s="25"/>
      <c r="X4255" s="25"/>
      <c r="Y4255" s="25"/>
      <c r="Z4255" s="77"/>
      <c r="AA4255" s="3" t="str">
        <f>IF(BCP_Soles[[#This Row],[fecha]]&gt;0,TEXT(BCP_Soles[[#This Row],[fecha]],"mmmm"),0)</f>
        <v>Octubre</v>
      </c>
    </row>
    <row r="4256" spans="1:27" x14ac:dyDescent="0.3">
      <c r="A4256" s="2">
        <f>IF(BCP_Soles[[#This Row],[tipo_registro]]="R",COUNTIFS($C$1:$C4255,"R")+1,A4255)</f>
        <v>2825</v>
      </c>
      <c r="B4256" s="19" t="str">
        <f t="shared" si="439"/>
        <v>B-BCP - Soles</v>
      </c>
      <c r="C4256" s="3" t="s">
        <v>1352</v>
      </c>
      <c r="D4256" s="14">
        <v>45947</v>
      </c>
      <c r="E4256" s="190" t="s">
        <v>1338</v>
      </c>
      <c r="F4256" s="190" t="s">
        <v>1336</v>
      </c>
      <c r="G4256" s="6" t="s">
        <v>286</v>
      </c>
      <c r="H4256" s="6" t="s">
        <v>68</v>
      </c>
      <c r="I4256" s="198" t="s">
        <v>1386</v>
      </c>
      <c r="J4256" s="6">
        <v>1749</v>
      </c>
      <c r="K4256" s="7" t="s">
        <v>4772</v>
      </c>
      <c r="L4256" s="8">
        <v>8709617</v>
      </c>
      <c r="M4256" s="8" t="str">
        <f t="shared" si="440"/>
        <v>PEN</v>
      </c>
      <c r="N4256" s="13">
        <v>827.1</v>
      </c>
      <c r="O4256" s="13"/>
      <c r="P4256" s="3">
        <f t="shared" si="441"/>
        <v>0</v>
      </c>
      <c r="Q4256" s="3">
        <f t="shared" si="442"/>
        <v>0</v>
      </c>
      <c r="R4256" s="3">
        <f t="shared" si="443"/>
        <v>32088.719999999972</v>
      </c>
      <c r="S4256" s="24" t="s">
        <v>1334</v>
      </c>
      <c r="T4256" s="24" t="s">
        <v>1334</v>
      </c>
      <c r="U4256" s="56" t="s">
        <v>4773</v>
      </c>
      <c r="V4256" s="25">
        <f>IFERROR(VLOOKUP(BCP_Soles[[#This Row],[destinatario]],CHOOSE({1,2},Clientes_Proveedores[Razon Social],Clientes_Proveedores[Ruc / Dni]),2,0),"")</f>
        <v>20454186002</v>
      </c>
      <c r="W4256" s="25"/>
      <c r="X4256" s="25"/>
      <c r="Y4256" s="25"/>
      <c r="Z4256" s="77"/>
      <c r="AA4256" s="3" t="str">
        <f>IF(BCP_Soles[[#This Row],[fecha]]&gt;0,TEXT(BCP_Soles[[#This Row],[fecha]],"mmmm"),0)</f>
        <v>Octubre</v>
      </c>
    </row>
    <row r="4257" spans="1:27" x14ac:dyDescent="0.3">
      <c r="A4257" s="2">
        <f>IF(BCP_Soles[[#This Row],[tipo_registro]]="R",COUNTIFS($C$1:$C4256,"R")+1,A4256)</f>
        <v>2825</v>
      </c>
      <c r="B4257" s="19" t="str">
        <f t="shared" si="439"/>
        <v>B-BCP - Soles</v>
      </c>
      <c r="C4257" s="3" t="s">
        <v>1352</v>
      </c>
      <c r="D4257" s="14">
        <v>45947</v>
      </c>
      <c r="E4257" s="190" t="s">
        <v>1338</v>
      </c>
      <c r="F4257" s="190" t="s">
        <v>1336</v>
      </c>
      <c r="G4257" s="6" t="s">
        <v>286</v>
      </c>
      <c r="H4257" s="6" t="s">
        <v>68</v>
      </c>
      <c r="I4257" s="198" t="s">
        <v>1386</v>
      </c>
      <c r="J4257" s="6">
        <v>1747</v>
      </c>
      <c r="K4257" s="7" t="s">
        <v>4772</v>
      </c>
      <c r="L4257" s="8">
        <v>8709617</v>
      </c>
      <c r="M4257" s="8" t="str">
        <f t="shared" si="440"/>
        <v>PEN</v>
      </c>
      <c r="N4257" s="13">
        <v>558</v>
      </c>
      <c r="O4257" s="13"/>
      <c r="P4257" s="3">
        <f t="shared" si="441"/>
        <v>0</v>
      </c>
      <c r="Q4257" s="3">
        <f t="shared" si="442"/>
        <v>0</v>
      </c>
      <c r="R4257" s="3">
        <f t="shared" si="443"/>
        <v>32088.719999999972</v>
      </c>
      <c r="S4257" s="24" t="s">
        <v>1334</v>
      </c>
      <c r="T4257" s="24" t="s">
        <v>1334</v>
      </c>
      <c r="U4257" s="56" t="s">
        <v>4773</v>
      </c>
      <c r="V4257" s="25">
        <f>IFERROR(VLOOKUP(BCP_Soles[[#This Row],[destinatario]],CHOOSE({1,2},Clientes_Proveedores[Razon Social],Clientes_Proveedores[Ruc / Dni]),2,0),"")</f>
        <v>20454186002</v>
      </c>
      <c r="W4257" s="25"/>
      <c r="X4257" s="25"/>
      <c r="Y4257" s="25"/>
      <c r="Z4257" s="77"/>
      <c r="AA4257" s="3" t="str">
        <f>IF(BCP_Soles[[#This Row],[fecha]]&gt;0,TEXT(BCP_Soles[[#This Row],[fecha]],"mmmm"),0)</f>
        <v>Octubre</v>
      </c>
    </row>
    <row r="4258" spans="1:27" x14ac:dyDescent="0.3">
      <c r="A4258" s="2">
        <f>IF(BCP_Soles[[#This Row],[tipo_registro]]="R",COUNTIFS($C$1:$C4257,"R")+1,A4257)</f>
        <v>2825</v>
      </c>
      <c r="B4258" s="19" t="str">
        <f t="shared" si="439"/>
        <v>B-BCP - Soles</v>
      </c>
      <c r="C4258" s="3" t="s">
        <v>1352</v>
      </c>
      <c r="D4258" s="14">
        <v>45947</v>
      </c>
      <c r="E4258" s="190" t="s">
        <v>1338</v>
      </c>
      <c r="F4258" s="190" t="s">
        <v>1336</v>
      </c>
      <c r="G4258" s="6" t="s">
        <v>286</v>
      </c>
      <c r="H4258" s="6" t="s">
        <v>68</v>
      </c>
      <c r="I4258" s="198" t="s">
        <v>1386</v>
      </c>
      <c r="J4258" s="6">
        <v>1750</v>
      </c>
      <c r="K4258" s="7" t="s">
        <v>4772</v>
      </c>
      <c r="L4258" s="8">
        <v>8709617</v>
      </c>
      <c r="M4258" s="8" t="str">
        <f t="shared" si="440"/>
        <v>PEN</v>
      </c>
      <c r="N4258" s="13">
        <v>551.4</v>
      </c>
      <c r="O4258" s="13"/>
      <c r="P4258" s="3">
        <f t="shared" si="441"/>
        <v>0</v>
      </c>
      <c r="Q4258" s="3">
        <f t="shared" si="442"/>
        <v>0</v>
      </c>
      <c r="R4258" s="3">
        <f t="shared" si="443"/>
        <v>32088.719999999972</v>
      </c>
      <c r="S4258" s="24" t="s">
        <v>1334</v>
      </c>
      <c r="T4258" s="24" t="s">
        <v>1334</v>
      </c>
      <c r="U4258" s="56" t="s">
        <v>4773</v>
      </c>
      <c r="V4258" s="25">
        <f>IFERROR(VLOOKUP(BCP_Soles[[#This Row],[destinatario]],CHOOSE({1,2},Clientes_Proveedores[Razon Social],Clientes_Proveedores[Ruc / Dni]),2,0),"")</f>
        <v>20454186002</v>
      </c>
      <c r="W4258" s="25"/>
      <c r="X4258" s="25"/>
      <c r="Y4258" s="25"/>
      <c r="Z4258" s="77"/>
      <c r="AA4258" s="3" t="str">
        <f>IF(BCP_Soles[[#This Row],[fecha]]&gt;0,TEXT(BCP_Soles[[#This Row],[fecha]],"mmmm"),0)</f>
        <v>Octubre</v>
      </c>
    </row>
    <row r="4259" spans="1:27" x14ac:dyDescent="0.3">
      <c r="A4259" s="2">
        <f>IF(BCP_Soles[[#This Row],[tipo_registro]]="R",COUNTIFS($C$1:$C4258,"R")+1,A4258)</f>
        <v>2825</v>
      </c>
      <c r="B4259" s="19" t="str">
        <f t="shared" si="439"/>
        <v>B-BCP - Soles</v>
      </c>
      <c r="C4259" s="3" t="s">
        <v>1352</v>
      </c>
      <c r="D4259" s="14">
        <v>45947</v>
      </c>
      <c r="E4259" s="190" t="s">
        <v>1338</v>
      </c>
      <c r="F4259" s="190" t="s">
        <v>1336</v>
      </c>
      <c r="G4259" s="6" t="s">
        <v>286</v>
      </c>
      <c r="H4259" s="6" t="s">
        <v>68</v>
      </c>
      <c r="I4259" s="198" t="s">
        <v>1386</v>
      </c>
      <c r="J4259" s="6">
        <v>1736</v>
      </c>
      <c r="K4259" s="7" t="s">
        <v>4772</v>
      </c>
      <c r="L4259" s="8">
        <v>8709617</v>
      </c>
      <c r="M4259" s="8" t="str">
        <f t="shared" si="440"/>
        <v>PEN</v>
      </c>
      <c r="N4259" s="13">
        <v>193.2</v>
      </c>
      <c r="O4259" s="13"/>
      <c r="P4259" s="3">
        <f t="shared" si="441"/>
        <v>0</v>
      </c>
      <c r="Q4259" s="3">
        <f t="shared" si="442"/>
        <v>0</v>
      </c>
      <c r="R4259" s="3">
        <f t="shared" si="443"/>
        <v>32088.719999999972</v>
      </c>
      <c r="S4259" s="24" t="s">
        <v>1334</v>
      </c>
      <c r="T4259" s="24" t="s">
        <v>1334</v>
      </c>
      <c r="U4259" s="56" t="s">
        <v>4773</v>
      </c>
      <c r="V4259" s="25">
        <f>IFERROR(VLOOKUP(BCP_Soles[[#This Row],[destinatario]],CHOOSE({1,2},Clientes_Proveedores[Razon Social],Clientes_Proveedores[Ruc / Dni]),2,0),"")</f>
        <v>20454186002</v>
      </c>
      <c r="W4259" s="25"/>
      <c r="X4259" s="25"/>
      <c r="Y4259" s="25"/>
      <c r="Z4259" s="77"/>
      <c r="AA4259" s="3" t="str">
        <f>IF(BCP_Soles[[#This Row],[fecha]]&gt;0,TEXT(BCP_Soles[[#This Row],[fecha]],"mmmm"),0)</f>
        <v>Octubre</v>
      </c>
    </row>
    <row r="4260" spans="1:27" x14ac:dyDescent="0.3">
      <c r="A4260" s="2">
        <f>IF(BCP_Soles[[#This Row],[tipo_registro]]="R",COUNTIFS($C$1:$C4259,"R")+1,A4259)</f>
        <v>2825</v>
      </c>
      <c r="B4260" s="19" t="str">
        <f t="shared" si="439"/>
        <v>B-BCP - Soles</v>
      </c>
      <c r="C4260" s="3" t="s">
        <v>1352</v>
      </c>
      <c r="D4260" s="14">
        <v>45947</v>
      </c>
      <c r="E4260" s="190" t="s">
        <v>1338</v>
      </c>
      <c r="F4260" s="190" t="s">
        <v>1336</v>
      </c>
      <c r="G4260" s="6" t="s">
        <v>286</v>
      </c>
      <c r="H4260" s="6" t="s">
        <v>68</v>
      </c>
      <c r="I4260" s="198" t="s">
        <v>1386</v>
      </c>
      <c r="J4260" s="6">
        <v>1735</v>
      </c>
      <c r="K4260" s="7" t="s">
        <v>4772</v>
      </c>
      <c r="L4260" s="8">
        <v>8709617</v>
      </c>
      <c r="M4260" s="8" t="str">
        <f t="shared" si="440"/>
        <v>PEN</v>
      </c>
      <c r="N4260" s="13">
        <v>151.19999999999999</v>
      </c>
      <c r="O4260" s="13"/>
      <c r="P4260" s="3">
        <f t="shared" si="441"/>
        <v>0</v>
      </c>
      <c r="Q4260" s="3">
        <f t="shared" si="442"/>
        <v>0</v>
      </c>
      <c r="R4260" s="3">
        <f t="shared" si="443"/>
        <v>32088.719999999972</v>
      </c>
      <c r="S4260" s="24" t="s">
        <v>1334</v>
      </c>
      <c r="T4260" s="24" t="s">
        <v>1334</v>
      </c>
      <c r="U4260" s="56" t="s">
        <v>4773</v>
      </c>
      <c r="V4260" s="25">
        <f>IFERROR(VLOOKUP(BCP_Soles[[#This Row],[destinatario]],CHOOSE({1,2},Clientes_Proveedores[Razon Social],Clientes_Proveedores[Ruc / Dni]),2,0),"")</f>
        <v>20454186002</v>
      </c>
      <c r="W4260" s="25"/>
      <c r="X4260" s="25"/>
      <c r="Y4260" s="25"/>
      <c r="Z4260" s="77"/>
      <c r="AA4260" s="3" t="str">
        <f>IF(BCP_Soles[[#This Row],[fecha]]&gt;0,TEXT(BCP_Soles[[#This Row],[fecha]],"mmmm"),0)</f>
        <v>Octubre</v>
      </c>
    </row>
    <row r="4261" spans="1:27" x14ac:dyDescent="0.3">
      <c r="A4261" s="2">
        <f>IF(BCP_Soles[[#This Row],[tipo_registro]]="R",COUNTIFS($C$1:$C4260,"R")+1,A4260)</f>
        <v>2825</v>
      </c>
      <c r="B4261" s="19" t="str">
        <f t="shared" si="439"/>
        <v>B-BCP - Soles</v>
      </c>
      <c r="C4261" s="3" t="s">
        <v>1352</v>
      </c>
      <c r="D4261" s="14">
        <v>45947</v>
      </c>
      <c r="E4261" s="190" t="s">
        <v>1338</v>
      </c>
      <c r="F4261" s="190" t="s">
        <v>1336</v>
      </c>
      <c r="G4261" s="6" t="s">
        <v>286</v>
      </c>
      <c r="H4261" s="6" t="s">
        <v>68</v>
      </c>
      <c r="I4261" s="198" t="s">
        <v>1386</v>
      </c>
      <c r="J4261" s="6">
        <v>1734</v>
      </c>
      <c r="K4261" s="7" t="s">
        <v>4772</v>
      </c>
      <c r="L4261" s="8">
        <v>8709617</v>
      </c>
      <c r="M4261" s="8" t="str">
        <f t="shared" si="440"/>
        <v>PEN</v>
      </c>
      <c r="N4261" s="13">
        <v>886.31</v>
      </c>
      <c r="O4261" s="13"/>
      <c r="P4261" s="3">
        <f t="shared" si="441"/>
        <v>0</v>
      </c>
      <c r="Q4261" s="3">
        <f t="shared" si="442"/>
        <v>0</v>
      </c>
      <c r="R4261" s="3">
        <f t="shared" si="443"/>
        <v>32088.719999999972</v>
      </c>
      <c r="S4261" s="24" t="s">
        <v>1334</v>
      </c>
      <c r="T4261" s="24" t="s">
        <v>1334</v>
      </c>
      <c r="U4261" s="56" t="s">
        <v>4773</v>
      </c>
      <c r="V4261" s="25">
        <f>IFERROR(VLOOKUP(BCP_Soles[[#This Row],[destinatario]],CHOOSE({1,2},Clientes_Proveedores[Razon Social],Clientes_Proveedores[Ruc / Dni]),2,0),"")</f>
        <v>20454186002</v>
      </c>
      <c r="W4261" s="25"/>
      <c r="X4261" s="25"/>
      <c r="Y4261" s="25"/>
      <c r="Z4261" s="77"/>
      <c r="AA4261" s="3" t="str">
        <f>IF(BCP_Soles[[#This Row],[fecha]]&gt;0,TEXT(BCP_Soles[[#This Row],[fecha]],"mmmm"),0)</f>
        <v>Octubre</v>
      </c>
    </row>
    <row r="4262" spans="1:27" ht="24" x14ac:dyDescent="0.3">
      <c r="A4262" s="2">
        <f>IF(BCP_Soles[[#This Row],[tipo_registro]]="R",COUNTIFS($C$1:$C4261,"R")+1,A4261)</f>
        <v>2826</v>
      </c>
      <c r="B4262" s="19" t="str">
        <f t="shared" ref="B4262:B4268" si="444">"B-BCP - Soles"</f>
        <v>B-BCP - Soles</v>
      </c>
      <c r="C4262" s="13" t="s">
        <v>1330</v>
      </c>
      <c r="D4262" s="14">
        <v>45947</v>
      </c>
      <c r="E4262" s="5" t="s">
        <v>2269</v>
      </c>
      <c r="F4262" s="5" t="s">
        <v>1336</v>
      </c>
      <c r="G4262" s="6" t="s">
        <v>888</v>
      </c>
      <c r="H4262" s="6" t="s">
        <v>147</v>
      </c>
      <c r="I4262" s="6">
        <v>13</v>
      </c>
      <c r="J4262" s="6">
        <v>36</v>
      </c>
      <c r="K4262" s="7" t="s">
        <v>4761</v>
      </c>
      <c r="L4262" s="8">
        <v>1280783</v>
      </c>
      <c r="M4262" s="8" t="str">
        <f t="shared" ref="M4262:M4268" si="445">"PEN"</f>
        <v>PEN</v>
      </c>
      <c r="N4262" s="13"/>
      <c r="O4262" s="13">
        <v>45.11</v>
      </c>
      <c r="P4262" s="3">
        <f t="shared" ref="P4262:P4268" si="446">+IF(OR($F4262="SALDO",$F4262="INGRESO"),$O4262,0)</f>
        <v>0</v>
      </c>
      <c r="Q4262" s="3">
        <f t="shared" ref="Q4262:Q4268" si="447">+IF($F4262="EGRESO",$O4262,0)</f>
        <v>45.11</v>
      </c>
      <c r="R4262" s="3">
        <f t="shared" si="443"/>
        <v>32043.609999999971</v>
      </c>
      <c r="S4262" s="24"/>
      <c r="T4262" s="24" t="s">
        <v>1334</v>
      </c>
      <c r="U4262" s="55"/>
      <c r="V4262" s="25">
        <f>IFERROR(VLOOKUP(BCP_Soles[[#This Row],[destinatario]],CHOOSE({1,2},Clientes_Proveedores[Razon Social],Clientes_Proveedores[Ruc / Dni]),2,0),"")</f>
        <v>47461440</v>
      </c>
      <c r="W4262" s="25"/>
      <c r="X4262" s="25"/>
      <c r="Y4262" s="25"/>
      <c r="Z4262" s="77"/>
      <c r="AA4262" s="3" t="str">
        <f>IF(BCP_Soles[[#This Row],[fecha]]&gt;0,TEXT(BCP_Soles[[#This Row],[fecha]],"mmmm"),0)</f>
        <v>Octubre</v>
      </c>
    </row>
    <row r="4263" spans="1:27" ht="24" x14ac:dyDescent="0.3">
      <c r="A4263" s="2">
        <f>IF(BCP_Soles[[#This Row],[tipo_registro]]="R",COUNTIFS($C$1:$C4262,"R")+1,A4262)</f>
        <v>2827</v>
      </c>
      <c r="B4263" s="19" t="str">
        <f t="shared" si="444"/>
        <v>B-BCP - Soles</v>
      </c>
      <c r="C4263" s="3" t="s">
        <v>1330</v>
      </c>
      <c r="D4263" s="14">
        <v>45947</v>
      </c>
      <c r="E4263" s="5" t="s">
        <v>2269</v>
      </c>
      <c r="F4263" s="5" t="s">
        <v>1336</v>
      </c>
      <c r="G4263" s="6" t="s">
        <v>993</v>
      </c>
      <c r="H4263" s="6" t="s">
        <v>143</v>
      </c>
      <c r="I4263" s="6">
        <v>1</v>
      </c>
      <c r="J4263" s="6">
        <v>842025</v>
      </c>
      <c r="K4263" s="7" t="s">
        <v>4774</v>
      </c>
      <c r="L4263" s="8">
        <v>1291305</v>
      </c>
      <c r="M4263" s="8" t="str">
        <f t="shared" si="445"/>
        <v>PEN</v>
      </c>
      <c r="N4263" s="13"/>
      <c r="O4263" s="13">
        <v>304</v>
      </c>
      <c r="P4263" s="3">
        <f t="shared" si="446"/>
        <v>0</v>
      </c>
      <c r="Q4263" s="3">
        <f t="shared" si="447"/>
        <v>304</v>
      </c>
      <c r="R4263" s="3">
        <f t="shared" ref="R4263:R4268" si="448">IFERROR(IF(F4263="SALDO",P4263,R4262+P4263-Q4263),0)</f>
        <v>31739.609999999971</v>
      </c>
      <c r="S4263" s="24"/>
      <c r="T4263" s="24"/>
      <c r="U4263" s="55"/>
      <c r="V4263" s="25">
        <f>IFERROR(VLOOKUP(BCP_Soles[[#This Row],[destinatario]],CHOOSE({1,2},Clientes_Proveedores[Razon Social],Clientes_Proveedores[Ruc / Dni]),2,0),"")</f>
        <v>76390500</v>
      </c>
      <c r="W4263" s="25"/>
      <c r="X4263" s="25"/>
      <c r="Y4263" s="25"/>
      <c r="Z4263" s="77"/>
      <c r="AA4263" s="3" t="str">
        <f>IF(BCP_Soles[[#This Row],[fecha]]&gt;0,TEXT(BCP_Soles[[#This Row],[fecha]],"mmmm"),0)</f>
        <v>Octubre</v>
      </c>
    </row>
    <row r="4264" spans="1:27" ht="24" x14ac:dyDescent="0.3">
      <c r="A4264" s="2">
        <f>IF(BCP_Soles[[#This Row],[tipo_registro]]="R",COUNTIFS($C$1:$C4263,"R")+1,A4263)</f>
        <v>2828</v>
      </c>
      <c r="B4264" s="19" t="str">
        <f t="shared" si="444"/>
        <v>B-BCP - Soles</v>
      </c>
      <c r="C4264" s="3" t="s">
        <v>1330</v>
      </c>
      <c r="D4264" s="14">
        <v>45947</v>
      </c>
      <c r="E4264" s="5" t="s">
        <v>2269</v>
      </c>
      <c r="F4264" s="5" t="s">
        <v>1336</v>
      </c>
      <c r="G4264" s="6" t="s">
        <v>710</v>
      </c>
      <c r="H4264" s="6" t="s">
        <v>106</v>
      </c>
      <c r="I4264" s="198" t="s">
        <v>1484</v>
      </c>
      <c r="J4264" s="6">
        <v>60449843</v>
      </c>
      <c r="K4264" s="7" t="s">
        <v>9505</v>
      </c>
      <c r="L4264" s="8">
        <v>289883</v>
      </c>
      <c r="M4264" s="8" t="str">
        <f t="shared" si="445"/>
        <v>PEN</v>
      </c>
      <c r="N4264" s="13"/>
      <c r="O4264" s="13">
        <v>586.1</v>
      </c>
      <c r="P4264" s="3">
        <f t="shared" si="446"/>
        <v>0</v>
      </c>
      <c r="Q4264" s="3">
        <f t="shared" si="447"/>
        <v>586.1</v>
      </c>
      <c r="R4264" s="3">
        <f t="shared" si="448"/>
        <v>31153.509999999973</v>
      </c>
      <c r="S4264" s="24" t="s">
        <v>1334</v>
      </c>
      <c r="T4264" s="24" t="s">
        <v>1334</v>
      </c>
      <c r="U4264" s="55"/>
      <c r="V4264" s="25">
        <f>IFERROR(VLOOKUP(BCP_Soles[[#This Row],[destinatario]],CHOOSE({1,2},Clientes_Proveedores[Razon Social],Clientes_Proveedores[Ruc / Dni]),2,0),"")</f>
        <v>20100211034</v>
      </c>
      <c r="W4264" s="25"/>
      <c r="X4264" s="25"/>
      <c r="Y4264" s="25"/>
      <c r="Z4264" s="77"/>
      <c r="AA4264" s="3" t="str">
        <f>IF(BCP_Soles[[#This Row],[fecha]]&gt;0,TEXT(BCP_Soles[[#This Row],[fecha]],"mmmm"),0)</f>
        <v>Octubre</v>
      </c>
    </row>
    <row r="4265" spans="1:27" ht="24" x14ac:dyDescent="0.3">
      <c r="A4265" s="2">
        <f>IF(BCP_Soles[[#This Row],[tipo_registro]]="R",COUNTIFS($C$1:$C4264,"R")+1,A4264)</f>
        <v>2829</v>
      </c>
      <c r="B4265" s="19" t="str">
        <f t="shared" si="444"/>
        <v>B-BCP - Soles</v>
      </c>
      <c r="C4265" s="3" t="s">
        <v>1330</v>
      </c>
      <c r="D4265" s="14">
        <v>45947</v>
      </c>
      <c r="E4265" s="5" t="s">
        <v>1335</v>
      </c>
      <c r="F4265" s="5" t="s">
        <v>1336</v>
      </c>
      <c r="G4265" s="6" t="s">
        <v>1060</v>
      </c>
      <c r="H4265" s="6" t="s">
        <v>68</v>
      </c>
      <c r="I4265" s="198" t="s">
        <v>1397</v>
      </c>
      <c r="J4265" s="6">
        <v>38314334</v>
      </c>
      <c r="K4265" s="7" t="s">
        <v>4775</v>
      </c>
      <c r="L4265" s="8">
        <v>8709632</v>
      </c>
      <c r="M4265" s="8" t="str">
        <f t="shared" si="445"/>
        <v>PEN</v>
      </c>
      <c r="N4265" s="13"/>
      <c r="O4265" s="13">
        <v>17.5</v>
      </c>
      <c r="P4265" s="3">
        <f t="shared" si="446"/>
        <v>0</v>
      </c>
      <c r="Q4265" s="3">
        <f t="shared" si="447"/>
        <v>17.5</v>
      </c>
      <c r="R4265" s="3">
        <f t="shared" si="448"/>
        <v>31136.009999999973</v>
      </c>
      <c r="S4265" s="24" t="s">
        <v>1334</v>
      </c>
      <c r="T4265" s="24" t="s">
        <v>1334</v>
      </c>
      <c r="U4265" s="55"/>
      <c r="V4265" s="25">
        <f>IFERROR(VLOOKUP(BCP_Soles[[#This Row],[destinatario]],CHOOSE({1,2},Clientes_Proveedores[Razon Social],Clientes_Proveedores[Ruc / Dni]),2,0),"")</f>
        <v>20100047218</v>
      </c>
      <c r="W4265" s="25"/>
      <c r="X4265" s="25"/>
      <c r="Y4265" s="25"/>
      <c r="Z4265" s="77"/>
      <c r="AA4265" s="3" t="str">
        <f>IF(BCP_Soles[[#This Row],[fecha]]&gt;0,TEXT(BCP_Soles[[#This Row],[fecha]],"mmmm"),0)</f>
        <v>Octubre</v>
      </c>
    </row>
    <row r="4266" spans="1:27" ht="24" x14ac:dyDescent="0.3">
      <c r="A4266" s="2">
        <f>IF(BCP_Soles[[#This Row],[tipo_registro]]="R",COUNTIFS($C$1:$C4265,"R")+1,A4265)</f>
        <v>2830</v>
      </c>
      <c r="B4266" s="19" t="str">
        <f t="shared" si="444"/>
        <v>B-BCP - Soles</v>
      </c>
      <c r="C4266" s="3" t="s">
        <v>1330</v>
      </c>
      <c r="D4266" s="14">
        <v>45947</v>
      </c>
      <c r="E4266" s="5" t="s">
        <v>1335</v>
      </c>
      <c r="F4266" s="5" t="s">
        <v>1336</v>
      </c>
      <c r="G4266" s="6" t="s">
        <v>1060</v>
      </c>
      <c r="H4266" s="6"/>
      <c r="I4266" s="198"/>
      <c r="J4266" s="6"/>
      <c r="K4266" s="7" t="s">
        <v>3160</v>
      </c>
      <c r="L4266" s="8"/>
      <c r="M4266" s="8" t="str">
        <f t="shared" si="445"/>
        <v>PEN</v>
      </c>
      <c r="N4266" s="13"/>
      <c r="O4266" s="13">
        <v>1.85</v>
      </c>
      <c r="P4266" s="3">
        <f t="shared" si="446"/>
        <v>0</v>
      </c>
      <c r="Q4266" s="3">
        <f t="shared" si="447"/>
        <v>1.85</v>
      </c>
      <c r="R4266" s="3">
        <f t="shared" si="448"/>
        <v>31134.159999999974</v>
      </c>
      <c r="S4266" s="24"/>
      <c r="T4266" s="24"/>
      <c r="U4266" s="55"/>
      <c r="V4266" s="25">
        <f>IFERROR(VLOOKUP(BCP_Soles[[#This Row],[destinatario]],CHOOSE({1,2},Clientes_Proveedores[Razon Social],Clientes_Proveedores[Ruc / Dni]),2,0),"")</f>
        <v>20100047218</v>
      </c>
      <c r="W4266" s="25"/>
      <c r="X4266" s="25"/>
      <c r="Y4266" s="25"/>
      <c r="Z4266" s="77"/>
      <c r="AA4266" s="3" t="str">
        <f>IF(BCP_Soles[[#This Row],[fecha]]&gt;0,TEXT(BCP_Soles[[#This Row],[fecha]],"mmmm"),0)</f>
        <v>Octubre</v>
      </c>
    </row>
    <row r="4267" spans="1:27" ht="36" x14ac:dyDescent="0.3">
      <c r="A4267" s="2">
        <f>IF(BCP_Soles[[#This Row],[tipo_registro]]="R",COUNTIFS($C$1:$C4266,"R")+1,A4266)</f>
        <v>2831</v>
      </c>
      <c r="B4267" s="19" t="str">
        <f t="shared" si="444"/>
        <v>B-BCP - Soles</v>
      </c>
      <c r="C4267" s="3" t="s">
        <v>1330</v>
      </c>
      <c r="D4267" s="14">
        <v>45948</v>
      </c>
      <c r="E4267" s="5" t="s">
        <v>660</v>
      </c>
      <c r="F4267" s="5" t="s">
        <v>1303</v>
      </c>
      <c r="G4267" s="6" t="s">
        <v>425</v>
      </c>
      <c r="H4267" s="6" t="s">
        <v>68</v>
      </c>
      <c r="I4267" s="198" t="s">
        <v>3302</v>
      </c>
      <c r="J4267" s="6">
        <v>151</v>
      </c>
      <c r="K4267" s="7" t="s">
        <v>1356</v>
      </c>
      <c r="L4267" s="8">
        <v>2471897</v>
      </c>
      <c r="M4267" s="8" t="str">
        <f t="shared" si="445"/>
        <v>PEN</v>
      </c>
      <c r="N4267" s="13"/>
      <c r="O4267" s="13">
        <v>584.1</v>
      </c>
      <c r="P4267" s="3">
        <f t="shared" si="446"/>
        <v>584.1</v>
      </c>
      <c r="Q4267" s="3">
        <f t="shared" si="447"/>
        <v>0</v>
      </c>
      <c r="R4267" s="3">
        <f t="shared" si="448"/>
        <v>31718.259999999973</v>
      </c>
      <c r="S4267" s="24" t="s">
        <v>1334</v>
      </c>
      <c r="T4267" s="24" t="s">
        <v>1334</v>
      </c>
      <c r="U4267" s="55"/>
      <c r="V4267" s="25">
        <f>IFERROR(VLOOKUP(BCP_Soles[[#This Row],[destinatario]],CHOOSE({1,2},Clientes_Proveedores[Razon Social],Clientes_Proveedores[Ruc / Dni]),2,0),"")</f>
        <v>20558226979</v>
      </c>
      <c r="W4267" s="25"/>
      <c r="X4267" s="25"/>
      <c r="Y4267" s="25"/>
      <c r="Z4267" s="77"/>
      <c r="AA4267" s="3" t="str">
        <f>IF(BCP_Soles[[#This Row],[fecha]]&gt;0,TEXT(BCP_Soles[[#This Row],[fecha]],"mmmm"),0)</f>
        <v>Octubre</v>
      </c>
    </row>
    <row r="4268" spans="1:27" ht="24" x14ac:dyDescent="0.3">
      <c r="A4268" s="2">
        <f>IF(BCP_Soles[[#This Row],[tipo_registro]]="R",COUNTIFS($C$1:$C4267,"R")+1,A4267)</f>
        <v>2832</v>
      </c>
      <c r="B4268" s="19" t="str">
        <f t="shared" si="444"/>
        <v>B-BCP - Soles</v>
      </c>
      <c r="C4268" s="3" t="s">
        <v>1330</v>
      </c>
      <c r="D4268" s="14">
        <v>45949</v>
      </c>
      <c r="E4268" s="5" t="s">
        <v>433</v>
      </c>
      <c r="F4268" s="5" t="s">
        <v>1303</v>
      </c>
      <c r="G4268" s="6" t="s">
        <v>425</v>
      </c>
      <c r="H4268" s="6" t="s">
        <v>68</v>
      </c>
      <c r="I4268" s="198" t="s">
        <v>3302</v>
      </c>
      <c r="J4268" s="6">
        <v>153</v>
      </c>
      <c r="K4268" s="7" t="s">
        <v>1356</v>
      </c>
      <c r="L4268" s="8">
        <v>2457336</v>
      </c>
      <c r="M4268" s="8" t="str">
        <f t="shared" si="445"/>
        <v>PEN</v>
      </c>
      <c r="N4268" s="13"/>
      <c r="O4268" s="13">
        <v>265.5</v>
      </c>
      <c r="P4268" s="3">
        <f t="shared" si="446"/>
        <v>265.5</v>
      </c>
      <c r="Q4268" s="3">
        <f t="shared" si="447"/>
        <v>0</v>
      </c>
      <c r="R4268" s="3">
        <f t="shared" si="448"/>
        <v>31983.759999999973</v>
      </c>
      <c r="S4268" s="24" t="s">
        <v>1334</v>
      </c>
      <c r="T4268" s="24" t="s">
        <v>1334</v>
      </c>
      <c r="U4268" s="55"/>
      <c r="V4268" s="25">
        <f>IFERROR(VLOOKUP(BCP_Soles[[#This Row],[destinatario]],CHOOSE({1,2},Clientes_Proveedores[Razon Social],Clientes_Proveedores[Ruc / Dni]),2,0),"")</f>
        <v>20558226979</v>
      </c>
      <c r="W4268" s="25"/>
      <c r="X4268" s="25"/>
      <c r="Y4268" s="25"/>
      <c r="Z4268" s="77"/>
      <c r="AA4268" s="3" t="str">
        <f>IF(BCP_Soles[[#This Row],[fecha]]&gt;0,TEXT(BCP_Soles[[#This Row],[fecha]],"mmmm"),0)</f>
        <v>Octubre</v>
      </c>
    </row>
    <row r="4269" spans="1:27" ht="24" x14ac:dyDescent="0.3">
      <c r="A4269" s="2">
        <f>IF(BCP_Soles[[#This Row],[tipo_registro]]="R",COUNTIFS($C$1:$C4268,"R")+1,A4268)</f>
        <v>2833</v>
      </c>
      <c r="B4269" s="19" t="str">
        <f>"B-BCP - Soles"</f>
        <v>B-BCP - Soles</v>
      </c>
      <c r="C4269" s="3" t="s">
        <v>1330</v>
      </c>
      <c r="D4269" s="14">
        <v>45950</v>
      </c>
      <c r="E4269" s="5" t="s">
        <v>666</v>
      </c>
      <c r="F4269" s="5" t="s">
        <v>1303</v>
      </c>
      <c r="G4269" s="6" t="s">
        <v>425</v>
      </c>
      <c r="H4269" s="6" t="s">
        <v>68</v>
      </c>
      <c r="I4269" s="198" t="s">
        <v>1784</v>
      </c>
      <c r="J4269" s="6">
        <v>272</v>
      </c>
      <c r="K4269" s="7" t="s">
        <v>4776</v>
      </c>
      <c r="L4269" s="8">
        <v>9561291</v>
      </c>
      <c r="M4269" s="8" t="str">
        <f>"PEN"</f>
        <v>PEN</v>
      </c>
      <c r="N4269" s="13"/>
      <c r="O4269" s="13">
        <v>696.11</v>
      </c>
      <c r="P4269" s="3">
        <f>+IF(OR($F4269="SALDO",$F4269="INGRESO"),$O4269,0)</f>
        <v>696.11</v>
      </c>
      <c r="Q4269" s="3">
        <f>+IF($F4269="EGRESO",$O4269,0)</f>
        <v>0</v>
      </c>
      <c r="R4269" s="3">
        <f>IFERROR(IF(F4269="SALDO",P4269,R4268+P4269-Q4269),0)</f>
        <v>32679.869999999974</v>
      </c>
      <c r="S4269" s="24" t="s">
        <v>1334</v>
      </c>
      <c r="T4269" s="24" t="s">
        <v>1334</v>
      </c>
      <c r="U4269" s="55"/>
      <c r="V4269" s="25">
        <f>IFERROR(VLOOKUP(BCP_Soles[[#This Row],[destinatario]],CHOOSE({1,2},Clientes_Proveedores[Razon Social],Clientes_Proveedores[Ruc / Dni]),2,0),"")</f>
        <v>20558226979</v>
      </c>
      <c r="W4269" s="25"/>
      <c r="X4269" s="25"/>
      <c r="Y4269" s="25"/>
      <c r="Z4269" s="77"/>
      <c r="AA4269" s="3" t="str">
        <f>IF(BCP_Soles[[#This Row],[fecha]]&gt;0,TEXT(BCP_Soles[[#This Row],[fecha]],"mmmm"),0)</f>
        <v>Octubre</v>
      </c>
    </row>
    <row r="4270" spans="1:27" ht="24" x14ac:dyDescent="0.3">
      <c r="A4270" s="2">
        <f>IF(BCP_Soles[[#This Row],[tipo_registro]]="R",COUNTIFS($C$1:$C4269,"R")+1,A4269)</f>
        <v>2834</v>
      </c>
      <c r="B4270" s="19" t="str">
        <f t="shared" ref="B4270:B4287" si="449">"B-BCP - Soles"</f>
        <v>B-BCP - Soles</v>
      </c>
      <c r="C4270" s="3" t="s">
        <v>1330</v>
      </c>
      <c r="D4270" s="14">
        <v>45950</v>
      </c>
      <c r="E4270" s="5" t="s">
        <v>2269</v>
      </c>
      <c r="F4270" s="5" t="s">
        <v>1336</v>
      </c>
      <c r="G4270" s="6" t="s">
        <v>706</v>
      </c>
      <c r="H4270" s="6" t="s">
        <v>106</v>
      </c>
      <c r="I4270" s="198" t="s">
        <v>1489</v>
      </c>
      <c r="J4270" s="6">
        <v>461959</v>
      </c>
      <c r="K4270" s="7" t="s">
        <v>4777</v>
      </c>
      <c r="L4270" s="8">
        <v>4142798</v>
      </c>
      <c r="M4270" s="8" t="str">
        <f t="shared" ref="M4270:M4287" si="450">"PEN"</f>
        <v>PEN</v>
      </c>
      <c r="N4270" s="13"/>
      <c r="O4270" s="13">
        <v>33</v>
      </c>
      <c r="P4270" s="3">
        <f t="shared" ref="P4270:P4287" si="451">+IF(OR($F4270="SALDO",$F4270="INGRESO"),$O4270,0)</f>
        <v>0</v>
      </c>
      <c r="Q4270" s="3">
        <f t="shared" ref="Q4270:Q4287" si="452">+IF($F4270="EGRESO",$O4270,0)</f>
        <v>33</v>
      </c>
      <c r="R4270" s="3">
        <f>IFERROR(IF(F4270="SALDO",P4270,R4269+P4270-Q4270),0)</f>
        <v>32646.869999999974</v>
      </c>
      <c r="S4270" s="24" t="s">
        <v>1334</v>
      </c>
      <c r="T4270" s="24" t="s">
        <v>1334</v>
      </c>
      <c r="U4270" s="56" t="s">
        <v>4778</v>
      </c>
      <c r="V4270" s="25">
        <f>IFERROR(VLOOKUP(BCP_Soles[[#This Row],[destinatario]],CHOOSE({1,2},Clientes_Proveedores[Razon Social],Clientes_Proveedores[Ruc / Dni]),2,0),"")</f>
        <v>20331898008</v>
      </c>
      <c r="W4270" s="25"/>
      <c r="X4270" s="25"/>
      <c r="Y4270" s="25"/>
      <c r="Z4270" s="77"/>
      <c r="AA4270" s="3" t="str">
        <f>IF(BCP_Soles[[#This Row],[fecha]]&gt;0,TEXT(BCP_Soles[[#This Row],[fecha]],"mmmm"),0)</f>
        <v>Octubre</v>
      </c>
    </row>
    <row r="4271" spans="1:27" ht="24" x14ac:dyDescent="0.3">
      <c r="A4271" s="2">
        <f>IF(BCP_Soles[[#This Row],[tipo_registro]]="R",COUNTIFS($C$1:$C4270,"R")+1,A4270)</f>
        <v>2835</v>
      </c>
      <c r="B4271" s="19" t="str">
        <f t="shared" si="449"/>
        <v>B-BCP - Soles</v>
      </c>
      <c r="C4271" s="193" t="s">
        <v>1330</v>
      </c>
      <c r="D4271" s="189">
        <v>45950</v>
      </c>
      <c r="E4271" s="5" t="s">
        <v>1338</v>
      </c>
      <c r="F4271" s="5" t="s">
        <v>1336</v>
      </c>
      <c r="G4271" s="6" t="s">
        <v>708</v>
      </c>
      <c r="H4271" s="6"/>
      <c r="I4271" s="198"/>
      <c r="J4271" s="6"/>
      <c r="K4271" s="7" t="s">
        <v>4779</v>
      </c>
      <c r="L4271" s="8">
        <v>141812</v>
      </c>
      <c r="M4271" s="8" t="str">
        <f t="shared" si="450"/>
        <v>PEN</v>
      </c>
      <c r="N4271" s="13"/>
      <c r="O4271" s="13">
        <v>2522.36</v>
      </c>
      <c r="P4271" s="3">
        <f t="shared" si="451"/>
        <v>0</v>
      </c>
      <c r="Q4271" s="3">
        <f t="shared" si="452"/>
        <v>2522.36</v>
      </c>
      <c r="R4271" s="3">
        <f t="shared" ref="R4271:R4280" si="453">IFERROR(IF(F4271="SALDO",P4271,R4270+P4271-Q4271),0)</f>
        <v>30124.509999999973</v>
      </c>
      <c r="S4271" s="24" t="s">
        <v>1334</v>
      </c>
      <c r="T4271" s="24" t="s">
        <v>1334</v>
      </c>
      <c r="U4271" s="56" t="s">
        <v>4780</v>
      </c>
      <c r="V4271" s="25">
        <f>IFERROR(VLOOKUP(BCP_Soles[[#This Row],[destinatario]],CHOOSE({1,2},Clientes_Proveedores[Razon Social],Clientes_Proveedores[Ruc / Dni]),2,0),"")</f>
        <v>20467534026</v>
      </c>
      <c r="W4271" s="25"/>
      <c r="X4271" s="25"/>
      <c r="Y4271" s="25"/>
      <c r="Z4271" s="77"/>
      <c r="AA4271" s="3" t="str">
        <f>IF(BCP_Soles[[#This Row],[fecha]]&gt;0,TEXT(BCP_Soles[[#This Row],[fecha]],"mmmm"),0)</f>
        <v>Octubre</v>
      </c>
    </row>
    <row r="4272" spans="1:27" ht="24" x14ac:dyDescent="0.3">
      <c r="A4272" s="2">
        <f>IF(BCP_Soles[[#This Row],[tipo_registro]]="R",COUNTIFS($C$1:$C4271,"R")+1,A4271)</f>
        <v>2835</v>
      </c>
      <c r="B4272" s="19" t="str">
        <f>"B-BCP - Soles"</f>
        <v>B-BCP - Soles</v>
      </c>
      <c r="C4272" s="193" t="s">
        <v>1352</v>
      </c>
      <c r="D4272" s="189">
        <v>45950</v>
      </c>
      <c r="E4272" s="5" t="s">
        <v>1338</v>
      </c>
      <c r="F4272" s="5" t="s">
        <v>1336</v>
      </c>
      <c r="G4272" s="6" t="s">
        <v>708</v>
      </c>
      <c r="H4272" s="6" t="s">
        <v>106</v>
      </c>
      <c r="I4272" s="198" t="s">
        <v>1661</v>
      </c>
      <c r="J4272" s="6">
        <v>573422304</v>
      </c>
      <c r="K4272" s="7" t="s">
        <v>4779</v>
      </c>
      <c r="L4272" s="8">
        <v>141812</v>
      </c>
      <c r="M4272" s="8" t="str">
        <f>"PEN"</f>
        <v>PEN</v>
      </c>
      <c r="N4272" s="13">
        <v>1389.31</v>
      </c>
      <c r="O4272" s="13"/>
      <c r="P4272" s="3">
        <f>+IF(OR($F4272="SALDO",$F4272="INGRESO"),$O4272,0)</f>
        <v>0</v>
      </c>
      <c r="Q4272" s="3">
        <f>+IF($F4272="EGRESO",$O4272,0)</f>
        <v>0</v>
      </c>
      <c r="R4272" s="3">
        <f t="shared" ref="R4272:R4277" si="454">IFERROR(IF(F4272="SALDO",P4272,R4271+P4272-Q4272),0)</f>
        <v>30124.509999999973</v>
      </c>
      <c r="S4272" s="24" t="s">
        <v>1334</v>
      </c>
      <c r="T4272" s="24" t="s">
        <v>1334</v>
      </c>
      <c r="U4272" s="55"/>
      <c r="V4272" s="25">
        <f>IFERROR(VLOOKUP(BCP_Soles[[#This Row],[destinatario]],CHOOSE({1,2},Clientes_Proveedores[Razon Social],Clientes_Proveedores[Ruc / Dni]),2,0),"")</f>
        <v>20467534026</v>
      </c>
      <c r="W4272" s="25"/>
      <c r="X4272" s="25"/>
      <c r="Y4272" s="25"/>
      <c r="Z4272" s="77"/>
      <c r="AA4272" s="3" t="str">
        <f>IF(BCP_Soles[[#This Row],[fecha]]&gt;0,TEXT(BCP_Soles[[#This Row],[fecha]],"mmmm"),0)</f>
        <v>Octubre</v>
      </c>
    </row>
    <row r="4273" spans="1:27" ht="24" x14ac:dyDescent="0.3">
      <c r="A4273" s="2">
        <f>IF(BCP_Soles[[#This Row],[tipo_registro]]="R",COUNTIFS($C$1:$C4272,"R")+1,A4272)</f>
        <v>2835</v>
      </c>
      <c r="B4273" s="19" t="str">
        <f>"B-BCP - Soles"</f>
        <v>B-BCP - Soles</v>
      </c>
      <c r="C4273" s="193" t="s">
        <v>1352</v>
      </c>
      <c r="D4273" s="189">
        <v>45950</v>
      </c>
      <c r="E4273" s="5" t="s">
        <v>1338</v>
      </c>
      <c r="F4273" s="5" t="s">
        <v>1336</v>
      </c>
      <c r="G4273" s="6" t="s">
        <v>708</v>
      </c>
      <c r="H4273" s="6" t="s">
        <v>68</v>
      </c>
      <c r="I4273" s="6" t="s">
        <v>1662</v>
      </c>
      <c r="J4273" s="6">
        <v>88790</v>
      </c>
      <c r="K4273" s="7" t="s">
        <v>4781</v>
      </c>
      <c r="L4273" s="8">
        <v>141812</v>
      </c>
      <c r="M4273" s="8" t="str">
        <f>"PEN"</f>
        <v>PEN</v>
      </c>
      <c r="N4273" s="13">
        <v>293.22000000000003</v>
      </c>
      <c r="O4273" s="13"/>
      <c r="P4273" s="3">
        <f>+IF(OR($F4273="SALDO",$F4273="INGRESO"),$O4273,0)</f>
        <v>0</v>
      </c>
      <c r="Q4273" s="3">
        <f>+IF($F4273="EGRESO",$O4273,0)</f>
        <v>0</v>
      </c>
      <c r="R4273" s="3">
        <f t="shared" si="454"/>
        <v>30124.509999999973</v>
      </c>
      <c r="S4273" s="24" t="s">
        <v>1334</v>
      </c>
      <c r="T4273" s="24" t="s">
        <v>1334</v>
      </c>
      <c r="U4273" s="55"/>
      <c r="V4273" s="25">
        <f>IFERROR(VLOOKUP(BCP_Soles[[#This Row],[destinatario]],CHOOSE({1,2},Clientes_Proveedores[Razon Social],Clientes_Proveedores[Ruc / Dni]),2,0),"")</f>
        <v>20467534026</v>
      </c>
      <c r="W4273" s="25"/>
      <c r="X4273" s="25"/>
      <c r="Y4273" s="25"/>
      <c r="Z4273" s="77"/>
      <c r="AA4273" s="3" t="str">
        <f>IF(BCP_Soles[[#This Row],[fecha]]&gt;0,TEXT(BCP_Soles[[#This Row],[fecha]],"mmmm"),0)</f>
        <v>Octubre</v>
      </c>
    </row>
    <row r="4274" spans="1:27" ht="24" x14ac:dyDescent="0.3">
      <c r="A4274" s="2">
        <f>IF(BCP_Soles[[#This Row],[tipo_registro]]="R",COUNTIFS($C$1:$C4273,"R")+1,A4273)</f>
        <v>2835</v>
      </c>
      <c r="B4274" s="19" t="str">
        <f>"B-BCP - Soles"</f>
        <v>B-BCP - Soles</v>
      </c>
      <c r="C4274" s="193" t="s">
        <v>1352</v>
      </c>
      <c r="D4274" s="189">
        <v>45950</v>
      </c>
      <c r="E4274" s="5" t="s">
        <v>1338</v>
      </c>
      <c r="F4274" s="5" t="s">
        <v>1336</v>
      </c>
      <c r="G4274" s="6" t="s">
        <v>708</v>
      </c>
      <c r="H4274" s="6" t="s">
        <v>68</v>
      </c>
      <c r="I4274" s="6" t="s">
        <v>1662</v>
      </c>
      <c r="J4274" s="6">
        <v>91984</v>
      </c>
      <c r="K4274" s="7" t="s">
        <v>4782</v>
      </c>
      <c r="L4274" s="8">
        <v>141812</v>
      </c>
      <c r="M4274" s="8" t="str">
        <f>"PEN"</f>
        <v>PEN</v>
      </c>
      <c r="N4274" s="13">
        <v>824.83</v>
      </c>
      <c r="O4274" s="13"/>
      <c r="P4274" s="3">
        <f>+IF(OR($F4274="SALDO",$F4274="INGRESO"),$O4274,0)</f>
        <v>0</v>
      </c>
      <c r="Q4274" s="3">
        <f>+IF($F4274="EGRESO",$O4274,0)</f>
        <v>0</v>
      </c>
      <c r="R4274" s="3">
        <f t="shared" si="454"/>
        <v>30124.509999999973</v>
      </c>
      <c r="S4274" s="24" t="s">
        <v>1334</v>
      </c>
      <c r="T4274" s="24" t="s">
        <v>1334</v>
      </c>
      <c r="U4274" s="55"/>
      <c r="V4274" s="25">
        <f>IFERROR(VLOOKUP(BCP_Soles[[#This Row],[destinatario]],CHOOSE({1,2},Clientes_Proveedores[Razon Social],Clientes_Proveedores[Ruc / Dni]),2,0),"")</f>
        <v>20467534026</v>
      </c>
      <c r="W4274" s="25"/>
      <c r="X4274" s="25"/>
      <c r="Y4274" s="25"/>
      <c r="Z4274" s="77"/>
      <c r="AA4274" s="3" t="str">
        <f>IF(BCP_Soles[[#This Row],[fecha]]&gt;0,TEXT(BCP_Soles[[#This Row],[fecha]],"mmmm"),0)</f>
        <v>Octubre</v>
      </c>
    </row>
    <row r="4275" spans="1:27" ht="24" x14ac:dyDescent="0.3">
      <c r="A4275" s="2">
        <f>IF(BCP_Soles[[#This Row],[tipo_registro]]="R",COUNTIFS($C$1:$C4274,"R")+1,A4274)</f>
        <v>2835</v>
      </c>
      <c r="B4275" s="19" t="str">
        <f>"B-BCP - Soles"</f>
        <v>B-BCP - Soles</v>
      </c>
      <c r="C4275" s="193" t="s">
        <v>1352</v>
      </c>
      <c r="D4275" s="189">
        <v>45950</v>
      </c>
      <c r="E4275" s="5" t="s">
        <v>1338</v>
      </c>
      <c r="F4275" s="5" t="s">
        <v>1336</v>
      </c>
      <c r="G4275" s="6" t="s">
        <v>708</v>
      </c>
      <c r="H4275" s="6" t="s">
        <v>68</v>
      </c>
      <c r="I4275" s="6" t="s">
        <v>1662</v>
      </c>
      <c r="J4275" s="6">
        <v>92592</v>
      </c>
      <c r="K4275" s="7" t="s">
        <v>4779</v>
      </c>
      <c r="L4275" s="8">
        <v>141812</v>
      </c>
      <c r="M4275" s="8" t="str">
        <f>"PEN"</f>
        <v>PEN</v>
      </c>
      <c r="N4275" s="13">
        <v>10</v>
      </c>
      <c r="O4275" s="13"/>
      <c r="P4275" s="3">
        <f>+IF(OR($F4275="SALDO",$F4275="INGRESO"),$O4275,0)</f>
        <v>0</v>
      </c>
      <c r="Q4275" s="3">
        <f>+IF($F4275="EGRESO",$O4275,0)</f>
        <v>0</v>
      </c>
      <c r="R4275" s="3">
        <f t="shared" si="454"/>
        <v>30124.509999999973</v>
      </c>
      <c r="S4275" s="24" t="s">
        <v>1334</v>
      </c>
      <c r="T4275" s="24" t="s">
        <v>1334</v>
      </c>
      <c r="U4275" s="55"/>
      <c r="V4275" s="25">
        <f>IFERROR(VLOOKUP(BCP_Soles[[#This Row],[destinatario]],CHOOSE({1,2},Clientes_Proveedores[Razon Social],Clientes_Proveedores[Ruc / Dni]),2,0),"")</f>
        <v>20467534026</v>
      </c>
      <c r="W4275" s="25"/>
      <c r="X4275" s="25"/>
      <c r="Y4275" s="25"/>
      <c r="Z4275" s="77"/>
      <c r="AA4275" s="3" t="str">
        <f>IF(BCP_Soles[[#This Row],[fecha]]&gt;0,TEXT(BCP_Soles[[#This Row],[fecha]],"mmmm"),0)</f>
        <v>Octubre</v>
      </c>
    </row>
    <row r="4276" spans="1:27" ht="24" x14ac:dyDescent="0.3">
      <c r="A4276" s="2">
        <f>IF(BCP_Soles[[#This Row],[tipo_registro]]="R",COUNTIFS($C$1:$C4275,"R")+1,A4275)</f>
        <v>2835</v>
      </c>
      <c r="B4276" s="19" t="str">
        <f>"B-BCP - Soles"</f>
        <v>B-BCP - Soles</v>
      </c>
      <c r="C4276" s="193" t="s">
        <v>1352</v>
      </c>
      <c r="D4276" s="189">
        <v>45950</v>
      </c>
      <c r="E4276" s="5" t="s">
        <v>1338</v>
      </c>
      <c r="F4276" s="5" t="s">
        <v>1336</v>
      </c>
      <c r="G4276" s="6" t="s">
        <v>708</v>
      </c>
      <c r="H4276" s="6" t="s">
        <v>68</v>
      </c>
      <c r="I4276" s="6" t="s">
        <v>4783</v>
      </c>
      <c r="J4276" s="6">
        <v>31667</v>
      </c>
      <c r="K4276" s="7" t="s">
        <v>4779</v>
      </c>
      <c r="L4276" s="8">
        <v>141812</v>
      </c>
      <c r="M4276" s="8" t="str">
        <f>"PEN"</f>
        <v>PEN</v>
      </c>
      <c r="N4276" s="13">
        <v>5</v>
      </c>
      <c r="O4276" s="13"/>
      <c r="P4276" s="3">
        <f>+IF(OR($F4276="SALDO",$F4276="INGRESO"),$O4276,0)</f>
        <v>0</v>
      </c>
      <c r="Q4276" s="3">
        <f>+IF($F4276="EGRESO",$O4276,0)</f>
        <v>0</v>
      </c>
      <c r="R4276" s="3">
        <f t="shared" si="454"/>
        <v>30124.509999999973</v>
      </c>
      <c r="S4276" s="24" t="s">
        <v>1334</v>
      </c>
      <c r="T4276" s="24" t="s">
        <v>1334</v>
      </c>
      <c r="U4276" s="55"/>
      <c r="V4276" s="25">
        <f>IFERROR(VLOOKUP(BCP_Soles[[#This Row],[destinatario]],CHOOSE({1,2},Clientes_Proveedores[Razon Social],Clientes_Proveedores[Ruc / Dni]),2,0),"")</f>
        <v>20467534026</v>
      </c>
      <c r="W4276" s="25"/>
      <c r="X4276" s="25"/>
      <c r="Y4276" s="25"/>
      <c r="Z4276" s="77"/>
      <c r="AA4276" s="3" t="str">
        <f>IF(BCP_Soles[[#This Row],[fecha]]&gt;0,TEXT(BCP_Soles[[#This Row],[fecha]],"mmmm"),0)</f>
        <v>Octubre</v>
      </c>
    </row>
    <row r="4277" spans="1:27" ht="24" x14ac:dyDescent="0.3">
      <c r="A4277" s="2">
        <f>IF(BCP_Soles[[#This Row],[tipo_registro]]="R",COUNTIFS($C$1:$C4276,"R")+1,A4276)</f>
        <v>2836</v>
      </c>
      <c r="B4277" s="19" t="str">
        <f t="shared" si="449"/>
        <v>B-BCP - Soles</v>
      </c>
      <c r="C4277" s="193" t="s">
        <v>1330</v>
      </c>
      <c r="D4277" s="189">
        <v>45950</v>
      </c>
      <c r="E4277" s="5" t="s">
        <v>1338</v>
      </c>
      <c r="F4277" s="5" t="s">
        <v>1336</v>
      </c>
      <c r="G4277" s="6" t="s">
        <v>1134</v>
      </c>
      <c r="H4277" s="6"/>
      <c r="I4277" s="198"/>
      <c r="J4277" s="6"/>
      <c r="K4277" s="7" t="s">
        <v>4771</v>
      </c>
      <c r="L4277" s="8">
        <v>1141811</v>
      </c>
      <c r="M4277" s="8" t="str">
        <f t="shared" si="450"/>
        <v>PEN</v>
      </c>
      <c r="N4277" s="13"/>
      <c r="O4277" s="13">
        <v>100</v>
      </c>
      <c r="P4277" s="3">
        <f t="shared" si="451"/>
        <v>0</v>
      </c>
      <c r="Q4277" s="3">
        <f t="shared" si="452"/>
        <v>100</v>
      </c>
      <c r="R4277" s="3">
        <f t="shared" si="454"/>
        <v>30024.509999999973</v>
      </c>
      <c r="S4277" s="24"/>
      <c r="T4277" s="24" t="s">
        <v>1334</v>
      </c>
      <c r="U4277" s="55"/>
      <c r="V4277" s="25">
        <f>IFERROR(VLOOKUP(BCP_Soles[[#This Row],[destinatario]],CHOOSE({1,2},Clientes_Proveedores[Razon Social],Clientes_Proveedores[Ruc / Dni]),2,0),"")</f>
        <v>71662026</v>
      </c>
      <c r="W4277" s="25"/>
      <c r="X4277" s="25"/>
      <c r="Y4277" s="25"/>
      <c r="Z4277" s="77"/>
      <c r="AA4277" s="3" t="str">
        <f>IF(BCP_Soles[[#This Row],[fecha]]&gt;0,TEXT(BCP_Soles[[#This Row],[fecha]],"mmmm"),0)</f>
        <v>Octubre</v>
      </c>
    </row>
    <row r="4278" spans="1:27" ht="24" x14ac:dyDescent="0.3">
      <c r="A4278" s="2">
        <f>IF(BCP_Soles[[#This Row],[tipo_registro]]="R",COUNTIFS($C$1:$C4277,"R")+1,A4277)</f>
        <v>2837</v>
      </c>
      <c r="B4278" s="19" t="str">
        <f t="shared" si="449"/>
        <v>B-BCP - Soles</v>
      </c>
      <c r="C4278" s="193" t="s">
        <v>1330</v>
      </c>
      <c r="D4278" s="189">
        <v>45950</v>
      </c>
      <c r="E4278" s="5" t="s">
        <v>1338</v>
      </c>
      <c r="F4278" s="5" t="s">
        <v>1336</v>
      </c>
      <c r="G4278" s="6" t="s">
        <v>1014</v>
      </c>
      <c r="H4278" s="6"/>
      <c r="I4278" s="198"/>
      <c r="J4278" s="6"/>
      <c r="K4278" s="7" t="s">
        <v>4771</v>
      </c>
      <c r="L4278" s="8">
        <v>1143285</v>
      </c>
      <c r="M4278" s="8" t="str">
        <f t="shared" si="450"/>
        <v>PEN</v>
      </c>
      <c r="N4278" s="13"/>
      <c r="O4278" s="13">
        <v>500</v>
      </c>
      <c r="P4278" s="3">
        <f t="shared" si="451"/>
        <v>0</v>
      </c>
      <c r="Q4278" s="3">
        <f t="shared" si="452"/>
        <v>500</v>
      </c>
      <c r="R4278" s="3">
        <f t="shared" si="453"/>
        <v>29524.509999999973</v>
      </c>
      <c r="S4278" s="24"/>
      <c r="T4278" s="24" t="s">
        <v>1334</v>
      </c>
      <c r="U4278" s="55"/>
      <c r="V4278" s="25">
        <f>IFERROR(VLOOKUP(BCP_Soles[[#This Row],[destinatario]],CHOOSE({1,2},Clientes_Proveedores[Razon Social],Clientes_Proveedores[Ruc / Dni]),2,0),"")</f>
        <v>75560789</v>
      </c>
      <c r="W4278" s="25"/>
      <c r="X4278" s="25"/>
      <c r="Y4278" s="25"/>
      <c r="Z4278" s="77"/>
      <c r="AA4278" s="3" t="str">
        <f>IF(BCP_Soles[[#This Row],[fecha]]&gt;0,TEXT(BCP_Soles[[#This Row],[fecha]],"mmmm"),0)</f>
        <v>Octubre</v>
      </c>
    </row>
    <row r="4279" spans="1:27" ht="24" x14ac:dyDescent="0.3">
      <c r="A4279" s="2">
        <f>IF(BCP_Soles[[#This Row],[tipo_registro]]="R",COUNTIFS($C$1:$C4278,"R")+1,A4278)</f>
        <v>2838</v>
      </c>
      <c r="B4279" s="19" t="str">
        <f t="shared" si="449"/>
        <v>B-BCP - Soles</v>
      </c>
      <c r="C4279" s="193" t="s">
        <v>1330</v>
      </c>
      <c r="D4279" s="189">
        <v>45950</v>
      </c>
      <c r="E4279" s="5" t="s">
        <v>1338</v>
      </c>
      <c r="F4279" s="5" t="s">
        <v>1336</v>
      </c>
      <c r="G4279" s="6" t="s">
        <v>249</v>
      </c>
      <c r="H4279" s="6"/>
      <c r="I4279" s="198"/>
      <c r="J4279" s="6"/>
      <c r="K4279" s="7" t="s">
        <v>4784</v>
      </c>
      <c r="L4279" s="8">
        <v>1213338</v>
      </c>
      <c r="M4279" s="8" t="str">
        <f t="shared" si="450"/>
        <v>PEN</v>
      </c>
      <c r="N4279" s="13"/>
      <c r="O4279" s="13">
        <v>4500</v>
      </c>
      <c r="P4279" s="3">
        <f t="shared" si="451"/>
        <v>0</v>
      </c>
      <c r="Q4279" s="3">
        <f t="shared" si="452"/>
        <v>4500</v>
      </c>
      <c r="R4279" s="3">
        <f t="shared" si="453"/>
        <v>25024.509999999973</v>
      </c>
      <c r="S4279" s="24"/>
      <c r="T4279" s="24" t="s">
        <v>1334</v>
      </c>
      <c r="U4279" s="56" t="s">
        <v>4780</v>
      </c>
      <c r="V4279" s="25">
        <f>IFERROR(VLOOKUP(BCP_Soles[[#This Row],[destinatario]],CHOOSE({1,2},Clientes_Proveedores[Razon Social],Clientes_Proveedores[Ruc / Dni]),2,0),"")</f>
        <v>20302891452</v>
      </c>
      <c r="W4279" s="25"/>
      <c r="X4279" s="25"/>
      <c r="Y4279" s="25"/>
      <c r="Z4279" s="77"/>
      <c r="AA4279" s="3" t="str">
        <f>IF(BCP_Soles[[#This Row],[fecha]]&gt;0,TEXT(BCP_Soles[[#This Row],[fecha]],"mmmm"),0)</f>
        <v>Octubre</v>
      </c>
    </row>
    <row r="4280" spans="1:27" x14ac:dyDescent="0.3">
      <c r="A4280" s="2">
        <f>IF(BCP_Soles[[#This Row],[tipo_registro]]="R",COUNTIFS($C$1:$C4279,"R")+1,A4279)</f>
        <v>2839</v>
      </c>
      <c r="B4280" s="19" t="str">
        <f t="shared" si="449"/>
        <v>B-BCP - Soles</v>
      </c>
      <c r="C4280" s="193" t="s">
        <v>1330</v>
      </c>
      <c r="D4280" s="189">
        <v>45950</v>
      </c>
      <c r="E4280" s="5" t="s">
        <v>1338</v>
      </c>
      <c r="F4280" s="5" t="s">
        <v>1336</v>
      </c>
      <c r="G4280" s="6" t="s">
        <v>696</v>
      </c>
      <c r="H4280" s="6"/>
      <c r="I4280" s="198"/>
      <c r="J4280" s="6"/>
      <c r="K4280" s="7" t="s">
        <v>4785</v>
      </c>
      <c r="L4280" s="8">
        <v>9497241</v>
      </c>
      <c r="M4280" s="8" t="str">
        <f t="shared" si="450"/>
        <v>PEN</v>
      </c>
      <c r="N4280" s="13"/>
      <c r="O4280" s="13">
        <v>9708.68</v>
      </c>
      <c r="P4280" s="3">
        <f t="shared" si="451"/>
        <v>0</v>
      </c>
      <c r="Q4280" s="3">
        <f t="shared" si="452"/>
        <v>9708.68</v>
      </c>
      <c r="R4280" s="3">
        <f t="shared" si="453"/>
        <v>15315.829999999973</v>
      </c>
      <c r="S4280" s="24" t="s">
        <v>1334</v>
      </c>
      <c r="T4280" s="24" t="s">
        <v>1334</v>
      </c>
      <c r="U4280" s="56" t="s">
        <v>4786</v>
      </c>
      <c r="V4280" s="25">
        <f>IFERROR(VLOOKUP(BCP_Soles[[#This Row],[destinatario]],CHOOSE({1,2},Clientes_Proveedores[Razon Social],Clientes_Proveedores[Ruc / Dni]),2,0),"")</f>
        <v>0</v>
      </c>
      <c r="W4280" s="25"/>
      <c r="X4280" s="25"/>
      <c r="Y4280" s="25"/>
      <c r="Z4280" s="77"/>
      <c r="AA4280" s="3" t="str">
        <f>IF(BCP_Soles[[#This Row],[fecha]]&gt;0,TEXT(BCP_Soles[[#This Row],[fecha]],"mmmm"),0)</f>
        <v>Octubre</v>
      </c>
    </row>
    <row r="4281" spans="1:27" ht="24" x14ac:dyDescent="0.3">
      <c r="A4281" s="2">
        <f>IF(BCP_Soles[[#This Row],[tipo_registro]]="R",COUNTIFS($C$1:$C4280,"R")+1,A4280)</f>
        <v>2839</v>
      </c>
      <c r="B4281" s="19" t="str">
        <f t="shared" ref="B4281:B4286" si="455">"B-BCP - Soles"</f>
        <v>B-BCP - Soles</v>
      </c>
      <c r="C4281" s="193" t="s">
        <v>1352</v>
      </c>
      <c r="D4281" s="189">
        <v>45950</v>
      </c>
      <c r="E4281" s="5" t="s">
        <v>1338</v>
      </c>
      <c r="F4281" s="5" t="s">
        <v>1336</v>
      </c>
      <c r="G4281" s="6" t="s">
        <v>594</v>
      </c>
      <c r="H4281" s="6" t="s">
        <v>68</v>
      </c>
      <c r="I4281" s="198" t="s">
        <v>1376</v>
      </c>
      <c r="J4281" s="6">
        <v>2605</v>
      </c>
      <c r="K4281" s="7" t="s">
        <v>4785</v>
      </c>
      <c r="L4281" s="8">
        <v>9497241</v>
      </c>
      <c r="M4281" s="8" t="str">
        <f t="shared" ref="M4281:M4286" si="456">"PEN"</f>
        <v>PEN</v>
      </c>
      <c r="N4281" s="13">
        <v>94.4</v>
      </c>
      <c r="O4281" s="13"/>
      <c r="P4281" s="3">
        <f t="shared" ref="P4281:P4286" si="457">+IF(OR($F4281="SALDO",$F4281="INGRESO"),$O4281,0)</f>
        <v>0</v>
      </c>
      <c r="Q4281" s="3">
        <f t="shared" ref="Q4281:Q4286" si="458">+IF($F4281="EGRESO",$O4281,0)</f>
        <v>0</v>
      </c>
      <c r="R4281" s="3">
        <f>IFERROR(IF(F4281="SALDO",P4281,R4280+P4281-Q4281),0)</f>
        <v>15315.829999999973</v>
      </c>
      <c r="S4281" s="24" t="s">
        <v>1334</v>
      </c>
      <c r="T4281" s="24" t="s">
        <v>1334</v>
      </c>
      <c r="U4281" s="56" t="s">
        <v>4786</v>
      </c>
      <c r="V4281" s="25">
        <f>IFERROR(VLOOKUP(BCP_Soles[[#This Row],[destinatario]],CHOOSE({1,2},Clientes_Proveedores[Razon Social],Clientes_Proveedores[Ruc / Dni]),2,0),"")</f>
        <v>20609764261</v>
      </c>
      <c r="W4281" s="25"/>
      <c r="X4281" s="25"/>
      <c r="Y4281" s="25"/>
      <c r="Z4281" s="77"/>
      <c r="AA4281" s="3" t="str">
        <f>IF(BCP_Soles[[#This Row],[fecha]]&gt;0,TEXT(BCP_Soles[[#This Row],[fecha]],"mmmm"),0)</f>
        <v>Octubre</v>
      </c>
    </row>
    <row r="4282" spans="1:27" ht="36" x14ac:dyDescent="0.3">
      <c r="A4282" s="2">
        <f>IF(BCP_Soles[[#This Row],[tipo_registro]]="R",COUNTIFS($C$1:$C4281,"R")+1,A4281)</f>
        <v>2839</v>
      </c>
      <c r="B4282" s="19" t="str">
        <f t="shared" si="455"/>
        <v>B-BCP - Soles</v>
      </c>
      <c r="C4282" s="193" t="s">
        <v>1352</v>
      </c>
      <c r="D4282" s="189">
        <v>45950</v>
      </c>
      <c r="E4282" s="5" t="s">
        <v>1338</v>
      </c>
      <c r="F4282" s="5" t="s">
        <v>1336</v>
      </c>
      <c r="G4282" s="6" t="s">
        <v>588</v>
      </c>
      <c r="H4282" s="6" t="s">
        <v>68</v>
      </c>
      <c r="I4282" s="198" t="s">
        <v>1376</v>
      </c>
      <c r="J4282" s="6">
        <v>535</v>
      </c>
      <c r="K4282" s="7" t="s">
        <v>4785</v>
      </c>
      <c r="L4282" s="8">
        <v>9497241</v>
      </c>
      <c r="M4282" s="8" t="str">
        <f t="shared" si="456"/>
        <v>PEN</v>
      </c>
      <c r="N4282" s="13">
        <v>70.680000000000007</v>
      </c>
      <c r="O4282" s="13"/>
      <c r="P4282" s="3">
        <f t="shared" si="457"/>
        <v>0</v>
      </c>
      <c r="Q4282" s="3">
        <f t="shared" si="458"/>
        <v>0</v>
      </c>
      <c r="R4282" s="3">
        <f t="shared" ref="R4282:R4287" si="459">IFERROR(IF(F4282="SALDO",P4282,R4281+P4282-Q4282),0)</f>
        <v>15315.829999999973</v>
      </c>
      <c r="S4282" s="24" t="s">
        <v>1334</v>
      </c>
      <c r="T4282" s="24" t="s">
        <v>1334</v>
      </c>
      <c r="U4282" s="56" t="s">
        <v>4786</v>
      </c>
      <c r="V4282" s="25">
        <f>IFERROR(VLOOKUP(BCP_Soles[[#This Row],[destinatario]],CHOOSE({1,2},Clientes_Proveedores[Razon Social],Clientes_Proveedores[Ruc / Dni]),2,0),"")</f>
        <v>20609368773</v>
      </c>
      <c r="W4282" s="25"/>
      <c r="X4282" s="25"/>
      <c r="Y4282" s="25"/>
      <c r="Z4282" s="77"/>
      <c r="AA4282" s="3" t="str">
        <f>IF(BCP_Soles[[#This Row],[fecha]]&gt;0,TEXT(BCP_Soles[[#This Row],[fecha]],"mmmm"),0)</f>
        <v>Octubre</v>
      </c>
    </row>
    <row r="4283" spans="1:27" ht="24" x14ac:dyDescent="0.3">
      <c r="A4283" s="2">
        <f>IF(BCP_Soles[[#This Row],[tipo_registro]]="R",COUNTIFS($C$1:$C4282,"R")+1,A4282)</f>
        <v>2839</v>
      </c>
      <c r="B4283" s="19" t="str">
        <f t="shared" si="455"/>
        <v>B-BCP - Soles</v>
      </c>
      <c r="C4283" s="193" t="s">
        <v>1352</v>
      </c>
      <c r="D4283" s="189">
        <v>45950</v>
      </c>
      <c r="E4283" s="5" t="s">
        <v>1338</v>
      </c>
      <c r="F4283" s="5" t="s">
        <v>1336</v>
      </c>
      <c r="G4283" s="6" t="s">
        <v>594</v>
      </c>
      <c r="H4283" s="6" t="s">
        <v>68</v>
      </c>
      <c r="I4283" s="198" t="s">
        <v>1376</v>
      </c>
      <c r="J4283" s="6">
        <v>2671</v>
      </c>
      <c r="K4283" s="7" t="s">
        <v>4785</v>
      </c>
      <c r="L4283" s="8">
        <v>9497241</v>
      </c>
      <c r="M4283" s="8" t="str">
        <f t="shared" si="456"/>
        <v>PEN</v>
      </c>
      <c r="N4283" s="13">
        <v>70.8</v>
      </c>
      <c r="O4283" s="13"/>
      <c r="P4283" s="3">
        <f t="shared" si="457"/>
        <v>0</v>
      </c>
      <c r="Q4283" s="3">
        <f t="shared" si="458"/>
        <v>0</v>
      </c>
      <c r="R4283" s="3">
        <f t="shared" si="459"/>
        <v>15315.829999999973</v>
      </c>
      <c r="S4283" s="24" t="s">
        <v>1334</v>
      </c>
      <c r="T4283" s="24" t="s">
        <v>1334</v>
      </c>
      <c r="U4283" s="56" t="s">
        <v>4786</v>
      </c>
      <c r="V4283" s="25">
        <f>IFERROR(VLOOKUP(BCP_Soles[[#This Row],[destinatario]],CHOOSE({1,2},Clientes_Proveedores[Razon Social],Clientes_Proveedores[Ruc / Dni]),2,0),"")</f>
        <v>20609764261</v>
      </c>
      <c r="W4283" s="25"/>
      <c r="X4283" s="25"/>
      <c r="Y4283" s="25"/>
      <c r="Z4283" s="77"/>
      <c r="AA4283" s="3" t="str">
        <f>IF(BCP_Soles[[#This Row],[fecha]]&gt;0,TEXT(BCP_Soles[[#This Row],[fecha]],"mmmm"),0)</f>
        <v>Octubre</v>
      </c>
    </row>
    <row r="4284" spans="1:27" x14ac:dyDescent="0.3">
      <c r="A4284" s="2">
        <f>IF(BCP_Soles[[#This Row],[tipo_registro]]="R",COUNTIFS($C$1:$C4283,"R")+1,A4283)</f>
        <v>2839</v>
      </c>
      <c r="B4284" s="19" t="str">
        <f t="shared" si="455"/>
        <v>B-BCP - Soles</v>
      </c>
      <c r="C4284" s="193" t="s">
        <v>1352</v>
      </c>
      <c r="D4284" s="189">
        <v>45950</v>
      </c>
      <c r="E4284" s="5" t="s">
        <v>1338</v>
      </c>
      <c r="F4284" s="5" t="s">
        <v>1336</v>
      </c>
      <c r="G4284" s="6" t="s">
        <v>414</v>
      </c>
      <c r="H4284" s="6" t="s">
        <v>68</v>
      </c>
      <c r="I4284" s="198" t="s">
        <v>1374</v>
      </c>
      <c r="J4284" s="6">
        <v>15353</v>
      </c>
      <c r="K4284" s="7" t="s">
        <v>4785</v>
      </c>
      <c r="L4284" s="8">
        <v>9497241</v>
      </c>
      <c r="M4284" s="8" t="str">
        <f t="shared" si="456"/>
        <v>PEN</v>
      </c>
      <c r="N4284" s="13">
        <v>8904.8799999999992</v>
      </c>
      <c r="O4284" s="13"/>
      <c r="P4284" s="3">
        <f t="shared" si="457"/>
        <v>0</v>
      </c>
      <c r="Q4284" s="3">
        <f t="shared" si="458"/>
        <v>0</v>
      </c>
      <c r="R4284" s="3">
        <f t="shared" si="459"/>
        <v>15315.829999999973</v>
      </c>
      <c r="S4284" s="24" t="s">
        <v>1334</v>
      </c>
      <c r="T4284" s="24" t="s">
        <v>1334</v>
      </c>
      <c r="U4284" s="56" t="s">
        <v>4786</v>
      </c>
      <c r="V4284" s="25">
        <f>IFERROR(VLOOKUP(BCP_Soles[[#This Row],[destinatario]],CHOOSE({1,2},Clientes_Proveedores[Razon Social],Clientes_Proveedores[Ruc / Dni]),2,0),"")</f>
        <v>20553255709</v>
      </c>
      <c r="W4284" s="25"/>
      <c r="X4284" s="25"/>
      <c r="Y4284" s="25"/>
      <c r="Z4284" s="77"/>
      <c r="AA4284" s="3" t="str">
        <f>IF(BCP_Soles[[#This Row],[fecha]]&gt;0,TEXT(BCP_Soles[[#This Row],[fecha]],"mmmm"),0)</f>
        <v>Octubre</v>
      </c>
    </row>
    <row r="4285" spans="1:27" ht="36" x14ac:dyDescent="0.3">
      <c r="A4285" s="2">
        <f>IF(BCP_Soles[[#This Row],[tipo_registro]]="R",COUNTIFS($C$1:$C4284,"R")+1,A4284)</f>
        <v>2839</v>
      </c>
      <c r="B4285" s="19" t="str">
        <f t="shared" si="455"/>
        <v>B-BCP - Soles</v>
      </c>
      <c r="C4285" s="193" t="s">
        <v>1352</v>
      </c>
      <c r="D4285" s="189">
        <v>45950</v>
      </c>
      <c r="E4285" s="5" t="s">
        <v>1338</v>
      </c>
      <c r="F4285" s="5" t="s">
        <v>1336</v>
      </c>
      <c r="G4285" s="6" t="s">
        <v>153</v>
      </c>
      <c r="H4285" s="6" t="s">
        <v>68</v>
      </c>
      <c r="I4285" s="198" t="s">
        <v>1376</v>
      </c>
      <c r="J4285" s="6">
        <v>428</v>
      </c>
      <c r="K4285" s="7" t="s">
        <v>4785</v>
      </c>
      <c r="L4285" s="8">
        <v>9497241</v>
      </c>
      <c r="M4285" s="8" t="str">
        <f t="shared" si="456"/>
        <v>PEN</v>
      </c>
      <c r="N4285" s="13">
        <v>280</v>
      </c>
      <c r="O4285" s="13"/>
      <c r="P4285" s="3">
        <f t="shared" si="457"/>
        <v>0</v>
      </c>
      <c r="Q4285" s="3">
        <f t="shared" si="458"/>
        <v>0</v>
      </c>
      <c r="R4285" s="3">
        <f t="shared" si="459"/>
        <v>15315.829999999973</v>
      </c>
      <c r="S4285" s="24" t="s">
        <v>1334</v>
      </c>
      <c r="T4285" s="24" t="s">
        <v>1334</v>
      </c>
      <c r="U4285" s="56" t="s">
        <v>4786</v>
      </c>
      <c r="V4285" s="25">
        <f>IFERROR(VLOOKUP(BCP_Soles[[#This Row],[destinatario]],CHOOSE({1,2},Clientes_Proveedores[Razon Social],Clientes_Proveedores[Ruc / Dni]),2,0),"")</f>
        <v>10405211179</v>
      </c>
      <c r="W4285" s="25"/>
      <c r="X4285" s="25"/>
      <c r="Y4285" s="25"/>
      <c r="Z4285" s="77"/>
      <c r="AA4285" s="3" t="str">
        <f>IF(BCP_Soles[[#This Row],[fecha]]&gt;0,TEXT(BCP_Soles[[#This Row],[fecha]],"mmmm"),0)</f>
        <v>Octubre</v>
      </c>
    </row>
    <row r="4286" spans="1:27" ht="24" x14ac:dyDescent="0.3">
      <c r="A4286" s="2">
        <f>IF(BCP_Soles[[#This Row],[tipo_registro]]="R",COUNTIFS($C$1:$C4285,"R")+1,A4285)</f>
        <v>2839</v>
      </c>
      <c r="B4286" s="19" t="str">
        <f t="shared" si="455"/>
        <v>B-BCP - Soles</v>
      </c>
      <c r="C4286" s="193" t="s">
        <v>1352</v>
      </c>
      <c r="D4286" s="189">
        <v>45950</v>
      </c>
      <c r="E4286" s="5" t="s">
        <v>1338</v>
      </c>
      <c r="F4286" s="5" t="s">
        <v>1336</v>
      </c>
      <c r="G4286" s="6" t="s">
        <v>364</v>
      </c>
      <c r="H4286" s="6" t="s">
        <v>68</v>
      </c>
      <c r="I4286" s="198" t="s">
        <v>4440</v>
      </c>
      <c r="J4286" s="6">
        <v>16642</v>
      </c>
      <c r="K4286" s="7" t="s">
        <v>4785</v>
      </c>
      <c r="L4286" s="8">
        <v>9497241</v>
      </c>
      <c r="M4286" s="8" t="str">
        <f t="shared" si="456"/>
        <v>PEN</v>
      </c>
      <c r="N4286" s="13">
        <v>287.92</v>
      </c>
      <c r="O4286" s="13"/>
      <c r="P4286" s="3">
        <f t="shared" si="457"/>
        <v>0</v>
      </c>
      <c r="Q4286" s="3">
        <f t="shared" si="458"/>
        <v>0</v>
      </c>
      <c r="R4286" s="3">
        <f t="shared" si="459"/>
        <v>15315.829999999973</v>
      </c>
      <c r="S4286" s="24" t="s">
        <v>1334</v>
      </c>
      <c r="T4286" s="24" t="s">
        <v>1334</v>
      </c>
      <c r="U4286" s="56" t="s">
        <v>4786</v>
      </c>
      <c r="V4286" s="25">
        <f>IFERROR(VLOOKUP(BCP_Soles[[#This Row],[destinatario]],CHOOSE({1,2},Clientes_Proveedores[Razon Social],Clientes_Proveedores[Ruc / Dni]),2,0),"")</f>
        <v>20517035964</v>
      </c>
      <c r="W4286" s="25"/>
      <c r="X4286" s="25"/>
      <c r="Y4286" s="25"/>
      <c r="Z4286" s="77"/>
      <c r="AA4286" s="3" t="str">
        <f>IF(BCP_Soles[[#This Row],[fecha]]&gt;0,TEXT(BCP_Soles[[#This Row],[fecha]],"mmmm"),0)</f>
        <v>Octubre</v>
      </c>
    </row>
    <row r="4287" spans="1:27" ht="24" x14ac:dyDescent="0.3">
      <c r="A4287" s="2">
        <f>IF(BCP_Soles[[#This Row],[tipo_registro]]="R",COUNTIFS($C$1:$C4286,"R")+1,A4286)</f>
        <v>2840</v>
      </c>
      <c r="B4287" s="19" t="str">
        <f t="shared" si="449"/>
        <v>B-BCP - Soles</v>
      </c>
      <c r="C4287" s="193" t="s">
        <v>1330</v>
      </c>
      <c r="D4287" s="189">
        <v>45950</v>
      </c>
      <c r="E4287" s="5" t="s">
        <v>1335</v>
      </c>
      <c r="F4287" s="5" t="s">
        <v>1336</v>
      </c>
      <c r="G4287" s="6" t="s">
        <v>1060</v>
      </c>
      <c r="H4287" s="6" t="s">
        <v>68</v>
      </c>
      <c r="I4287" s="198" t="s">
        <v>1397</v>
      </c>
      <c r="J4287" s="6">
        <v>38380964</v>
      </c>
      <c r="K4287" s="7" t="s">
        <v>4787</v>
      </c>
      <c r="L4287" s="8">
        <v>9497257</v>
      </c>
      <c r="M4287" s="8" t="str">
        <f t="shared" si="450"/>
        <v>PEN</v>
      </c>
      <c r="N4287" s="13"/>
      <c r="O4287" s="13">
        <v>17.5</v>
      </c>
      <c r="P4287" s="3">
        <f t="shared" si="451"/>
        <v>0</v>
      </c>
      <c r="Q4287" s="3">
        <f t="shared" si="452"/>
        <v>17.5</v>
      </c>
      <c r="R4287" s="3">
        <f t="shared" si="459"/>
        <v>15298.329999999973</v>
      </c>
      <c r="S4287" s="24" t="s">
        <v>1334</v>
      </c>
      <c r="T4287" s="24" t="s">
        <v>1334</v>
      </c>
      <c r="U4287" s="55"/>
      <c r="V4287" s="25">
        <f>IFERROR(VLOOKUP(BCP_Soles[[#This Row],[destinatario]],CHOOSE({1,2},Clientes_Proveedores[Razon Social],Clientes_Proveedores[Ruc / Dni]),2,0),"")</f>
        <v>20100047218</v>
      </c>
      <c r="W4287" s="25"/>
      <c r="X4287" s="25"/>
      <c r="Y4287" s="25"/>
      <c r="Z4287" s="77"/>
      <c r="AA4287" s="3" t="str">
        <f>IF(BCP_Soles[[#This Row],[fecha]]&gt;0,TEXT(BCP_Soles[[#This Row],[fecha]],"mmmm"),0)</f>
        <v>Octubre</v>
      </c>
    </row>
    <row r="4288" spans="1:27" x14ac:dyDescent="0.3">
      <c r="A4288" s="2">
        <f>IF(BCP_Soles[[#This Row],[tipo_registro]]="R",COUNTIFS($C$1:$C4287,"R")+1,A4287)</f>
        <v>2841</v>
      </c>
      <c r="B4288" s="19" t="str">
        <f t="shared" ref="B4288:B4293" si="460">"B-BCP - Soles"</f>
        <v>B-BCP - Soles</v>
      </c>
      <c r="C4288" s="193" t="s">
        <v>1330</v>
      </c>
      <c r="D4288" s="189">
        <v>45950</v>
      </c>
      <c r="E4288" s="5" t="s">
        <v>1335</v>
      </c>
      <c r="F4288" s="5" t="s">
        <v>1336</v>
      </c>
      <c r="G4288" s="6"/>
      <c r="H4288" s="6"/>
      <c r="I4288" s="198"/>
      <c r="J4288" s="6"/>
      <c r="K4288" s="7" t="s">
        <v>3160</v>
      </c>
      <c r="L4288" s="8"/>
      <c r="M4288" s="8" t="str">
        <f t="shared" ref="M4288:M4293" si="461">"PEN"</f>
        <v>PEN</v>
      </c>
      <c r="N4288" s="13"/>
      <c r="O4288" s="13">
        <v>0.75</v>
      </c>
      <c r="P4288" s="3">
        <f t="shared" ref="P4288:P4293" si="462">+IF(OR($F4288="SALDO",$F4288="INGRESO"),$O4288,0)</f>
        <v>0</v>
      </c>
      <c r="Q4288" s="3">
        <f t="shared" ref="Q4288:Q4293" si="463">+IF($F4288="EGRESO",$O4288,0)</f>
        <v>0.75</v>
      </c>
      <c r="R4288" s="3">
        <f>IFERROR(IF(F4288="SALDO",P4288,R4287+P4288-Q4288),0)</f>
        <v>15297.579999999973</v>
      </c>
      <c r="S4288" s="24"/>
      <c r="T4288" s="24"/>
      <c r="U4288" s="55"/>
      <c r="V4288" s="25" t="str">
        <f>IFERROR(VLOOKUP(BCP_Soles[[#This Row],[destinatario]],CHOOSE({1,2},Clientes_Proveedores[Razon Social],Clientes_Proveedores[Ruc / Dni]),2,0),"")</f>
        <v/>
      </c>
      <c r="W4288" s="25"/>
      <c r="X4288" s="25"/>
      <c r="Y4288" s="25"/>
      <c r="Z4288" s="77"/>
      <c r="AA4288" s="3" t="str">
        <f>IF(BCP_Soles[[#This Row],[fecha]]&gt;0,TEXT(BCP_Soles[[#This Row],[fecha]],"mmmm"),0)</f>
        <v>Octubre</v>
      </c>
    </row>
    <row r="4289" spans="1:27" x14ac:dyDescent="0.3">
      <c r="A4289" s="2">
        <f>IF(BCP_Soles[[#This Row],[tipo_registro]]="R",COUNTIFS($C$1:$C4288,"R")+1,A4288)</f>
        <v>2842</v>
      </c>
      <c r="B4289" s="19" t="str">
        <f t="shared" si="460"/>
        <v>B-BCP - Soles</v>
      </c>
      <c r="C4289" s="3" t="s">
        <v>1330</v>
      </c>
      <c r="D4289" s="14">
        <v>45951</v>
      </c>
      <c r="E4289" s="5" t="s">
        <v>4788</v>
      </c>
      <c r="F4289" s="5" t="s">
        <v>1303</v>
      </c>
      <c r="G4289" s="6" t="s">
        <v>425</v>
      </c>
      <c r="H4289" s="6"/>
      <c r="I4289" s="198"/>
      <c r="J4289" s="6"/>
      <c r="K4289" s="7" t="s">
        <v>4789</v>
      </c>
      <c r="L4289" s="8">
        <v>2215934</v>
      </c>
      <c r="M4289" s="8" t="str">
        <f t="shared" si="461"/>
        <v>PEN</v>
      </c>
      <c r="N4289" s="13"/>
      <c r="O4289" s="13">
        <v>17.5</v>
      </c>
      <c r="P4289" s="3">
        <f t="shared" si="462"/>
        <v>17.5</v>
      </c>
      <c r="Q4289" s="3">
        <f t="shared" si="463"/>
        <v>0</v>
      </c>
      <c r="R4289" s="3">
        <f>IFERROR(IF(F4289="SALDO",P4289,R4288+P4289-Q4289),0)</f>
        <v>15315.079999999973</v>
      </c>
      <c r="S4289" s="24"/>
      <c r="T4289" s="24"/>
      <c r="U4289" s="55"/>
      <c r="V4289" s="25">
        <f>IFERROR(VLOOKUP(BCP_Soles[[#This Row],[destinatario]],CHOOSE({1,2},Clientes_Proveedores[Razon Social],Clientes_Proveedores[Ruc / Dni]),2,0),"")</f>
        <v>20558226979</v>
      </c>
      <c r="W4289" s="25"/>
      <c r="X4289" s="25"/>
      <c r="Y4289" s="25"/>
      <c r="Z4289" s="77"/>
      <c r="AA4289" s="3" t="str">
        <f>IF(BCP_Soles[[#This Row],[fecha]]&gt;0,TEXT(BCP_Soles[[#This Row],[fecha]],"mmmm"),0)</f>
        <v>Octubre</v>
      </c>
    </row>
    <row r="4290" spans="1:27" ht="24" x14ac:dyDescent="0.3">
      <c r="A4290" s="2">
        <f>IF(BCP_Soles[[#This Row],[tipo_registro]]="R",COUNTIFS($C$1:$C4289,"R")+1,A4289)</f>
        <v>2843</v>
      </c>
      <c r="B4290" s="19" t="str">
        <f t="shared" si="460"/>
        <v>B-BCP - Soles</v>
      </c>
      <c r="C4290" s="3" t="s">
        <v>1330</v>
      </c>
      <c r="D4290" s="14">
        <v>45951</v>
      </c>
      <c r="E4290" s="5" t="s">
        <v>2009</v>
      </c>
      <c r="F4290" s="5" t="s">
        <v>1303</v>
      </c>
      <c r="G4290" s="6" t="s">
        <v>425</v>
      </c>
      <c r="H4290" s="6" t="s">
        <v>119</v>
      </c>
      <c r="I4290" s="6">
        <v>1</v>
      </c>
      <c r="J4290" s="6">
        <v>4844</v>
      </c>
      <c r="K4290" s="7" t="s">
        <v>3608</v>
      </c>
      <c r="L4290" s="8">
        <v>2793972</v>
      </c>
      <c r="M4290" s="8" t="str">
        <f t="shared" si="461"/>
        <v>PEN</v>
      </c>
      <c r="N4290" s="13"/>
      <c r="O4290" s="13">
        <v>830</v>
      </c>
      <c r="P4290" s="3">
        <f t="shared" si="462"/>
        <v>830</v>
      </c>
      <c r="Q4290" s="3">
        <f t="shared" si="463"/>
        <v>0</v>
      </c>
      <c r="R4290" s="3">
        <f>IFERROR(IF(F4290="SALDO",P4290,R4289+P4290-Q4290),0)</f>
        <v>16145.079999999973</v>
      </c>
      <c r="S4290" s="24" t="s">
        <v>1334</v>
      </c>
      <c r="T4290" s="24" t="s">
        <v>1334</v>
      </c>
      <c r="U4290" s="55"/>
      <c r="V4290" s="25">
        <f>IFERROR(VLOOKUP(BCP_Soles[[#This Row],[destinatario]],CHOOSE({1,2},Clientes_Proveedores[Razon Social],Clientes_Proveedores[Ruc / Dni]),2,0),"")</f>
        <v>20558226979</v>
      </c>
      <c r="W4290" s="25"/>
      <c r="X4290" s="25"/>
      <c r="Y4290" s="25"/>
      <c r="Z4290" s="77"/>
      <c r="AA4290" s="3" t="str">
        <f>IF(BCP_Soles[[#This Row],[fecha]]&gt;0,TEXT(BCP_Soles[[#This Row],[fecha]],"mmmm"),0)</f>
        <v>Octubre</v>
      </c>
    </row>
    <row r="4291" spans="1:27" ht="24" x14ac:dyDescent="0.3">
      <c r="A4291" s="2">
        <f>IF(BCP_Soles[[#This Row],[tipo_registro]]="R",COUNTIFS($C$1:$C4290,"R")+1,A4290)</f>
        <v>2844</v>
      </c>
      <c r="B4291" s="19" t="str">
        <f t="shared" si="460"/>
        <v>B-BCP - Soles</v>
      </c>
      <c r="C4291" s="3" t="s">
        <v>1330</v>
      </c>
      <c r="D4291" s="14">
        <v>45951</v>
      </c>
      <c r="E4291" s="5" t="s">
        <v>4790</v>
      </c>
      <c r="F4291" s="5" t="s">
        <v>1303</v>
      </c>
      <c r="G4291" s="6" t="s">
        <v>425</v>
      </c>
      <c r="H4291" s="6" t="s">
        <v>119</v>
      </c>
      <c r="I4291" s="6">
        <v>1</v>
      </c>
      <c r="J4291" s="6">
        <v>4842</v>
      </c>
      <c r="K4291" s="7" t="s">
        <v>3608</v>
      </c>
      <c r="L4291" s="8">
        <v>2773121</v>
      </c>
      <c r="M4291" s="8" t="str">
        <f t="shared" si="461"/>
        <v>PEN</v>
      </c>
      <c r="N4291" s="13"/>
      <c r="O4291" s="13">
        <v>70</v>
      </c>
      <c r="P4291" s="3">
        <f t="shared" si="462"/>
        <v>70</v>
      </c>
      <c r="Q4291" s="3">
        <f t="shared" si="463"/>
        <v>0</v>
      </c>
      <c r="R4291" s="3">
        <f t="shared" ref="R4291:R4292" si="464">IFERROR(IF(F4291="SALDO",P4291,R4290+P4291-Q4291),0)</f>
        <v>16215.079999999973</v>
      </c>
      <c r="S4291" s="24" t="s">
        <v>1334</v>
      </c>
      <c r="T4291" s="24" t="s">
        <v>1334</v>
      </c>
      <c r="U4291" s="55"/>
      <c r="V4291" s="25">
        <f>IFERROR(VLOOKUP(BCP_Soles[[#This Row],[destinatario]],CHOOSE({1,2},Clientes_Proveedores[Razon Social],Clientes_Proveedores[Ruc / Dni]),2,0),"")</f>
        <v>20558226979</v>
      </c>
      <c r="W4291" s="25"/>
      <c r="X4291" s="25"/>
      <c r="Y4291" s="25"/>
      <c r="Z4291" s="77"/>
      <c r="AA4291" s="3" t="str">
        <f>IF(BCP_Soles[[#This Row],[fecha]]&gt;0,TEXT(BCP_Soles[[#This Row],[fecha]],"mmmm"),0)</f>
        <v>Octubre</v>
      </c>
    </row>
    <row r="4292" spans="1:27" ht="36" x14ac:dyDescent="0.3">
      <c r="A4292" s="2">
        <f>IF(BCP_Soles[[#This Row],[tipo_registro]]="R",COUNTIFS($C$1:$C4291,"R")+1,A4291)</f>
        <v>2845</v>
      </c>
      <c r="B4292" s="19" t="str">
        <f t="shared" si="460"/>
        <v>B-BCP - Soles</v>
      </c>
      <c r="C4292" s="3" t="s">
        <v>1330</v>
      </c>
      <c r="D4292" s="14">
        <v>45951</v>
      </c>
      <c r="E4292" s="5" t="s">
        <v>1338</v>
      </c>
      <c r="F4292" s="5" t="s">
        <v>1336</v>
      </c>
      <c r="G4292" s="6" t="s">
        <v>1256</v>
      </c>
      <c r="H4292" s="6" t="s">
        <v>68</v>
      </c>
      <c r="I4292" s="6" t="s">
        <v>1376</v>
      </c>
      <c r="J4292" s="6">
        <v>692</v>
      </c>
      <c r="K4292" s="106" t="s">
        <v>4791</v>
      </c>
      <c r="L4292" s="8">
        <v>1105790</v>
      </c>
      <c r="M4292" s="8" t="str">
        <f t="shared" si="461"/>
        <v>PEN</v>
      </c>
      <c r="N4292" s="13"/>
      <c r="O4292" s="13">
        <v>336.25</v>
      </c>
      <c r="P4292" s="3">
        <f t="shared" si="462"/>
        <v>0</v>
      </c>
      <c r="Q4292" s="3">
        <f t="shared" si="463"/>
        <v>336.25</v>
      </c>
      <c r="R4292" s="3">
        <f t="shared" si="464"/>
        <v>15878.829999999973</v>
      </c>
      <c r="S4292" s="24" t="s">
        <v>1334</v>
      </c>
      <c r="T4292" s="24" t="s">
        <v>1334</v>
      </c>
      <c r="U4292" s="56" t="s">
        <v>4792</v>
      </c>
      <c r="V4292" s="25">
        <f>IFERROR(VLOOKUP(BCP_Soles[[#This Row],[destinatario]],CHOOSE({1,2},Clientes_Proveedores[Razon Social],Clientes_Proveedores[Ruc / Dni]),2,0),"")</f>
        <v>20612092878</v>
      </c>
      <c r="W4292" s="25"/>
      <c r="X4292" s="25"/>
      <c r="Y4292" s="25"/>
      <c r="Z4292" s="77"/>
      <c r="AA4292" s="3" t="str">
        <f>IF(BCP_Soles[[#This Row],[fecha]]&gt;0,TEXT(BCP_Soles[[#This Row],[fecha]],"mmmm"),0)</f>
        <v>Octubre</v>
      </c>
    </row>
    <row r="4293" spans="1:27" x14ac:dyDescent="0.3">
      <c r="A4293" s="2">
        <f>IF(BCP_Soles[[#This Row],[tipo_registro]]="R",COUNTIFS($C$1:$C4292,"R")+1,A4292)</f>
        <v>2846</v>
      </c>
      <c r="B4293" s="19" t="str">
        <f t="shared" si="460"/>
        <v>B-BCP - Soles</v>
      </c>
      <c r="C4293" s="3" t="s">
        <v>1330</v>
      </c>
      <c r="D4293" s="14">
        <v>45951</v>
      </c>
      <c r="E4293" s="5" t="s">
        <v>1338</v>
      </c>
      <c r="F4293" s="5" t="s">
        <v>1336</v>
      </c>
      <c r="G4293" s="6" t="s">
        <v>196</v>
      </c>
      <c r="H4293" s="6" t="s">
        <v>68</v>
      </c>
      <c r="I4293" s="198" t="s">
        <v>2226</v>
      </c>
      <c r="J4293" s="6">
        <v>7090</v>
      </c>
      <c r="K4293" s="7" t="s">
        <v>2227</v>
      </c>
      <c r="L4293" s="8">
        <v>106766</v>
      </c>
      <c r="M4293" s="8" t="str">
        <f t="shared" si="461"/>
        <v>PEN</v>
      </c>
      <c r="N4293" s="13"/>
      <c r="O4293" s="13">
        <v>172.96</v>
      </c>
      <c r="P4293" s="3">
        <f t="shared" si="462"/>
        <v>0</v>
      </c>
      <c r="Q4293" s="3">
        <f t="shared" si="463"/>
        <v>172.96</v>
      </c>
      <c r="R4293" s="3">
        <f>IFERROR(IF(F4293="SALDO",P4293,R4292+P4293-Q4293),0)</f>
        <v>15705.869999999974</v>
      </c>
      <c r="S4293" s="24" t="s">
        <v>1334</v>
      </c>
      <c r="T4293" s="24" t="s">
        <v>1334</v>
      </c>
      <c r="U4293" s="56" t="s">
        <v>4793</v>
      </c>
      <c r="V4293" s="25">
        <f>IFERROR(VLOOKUP(BCP_Soles[[#This Row],[destinatario]],CHOOSE({1,2},Clientes_Proveedores[Razon Social],Clientes_Proveedores[Ruc / Dni]),2,0),"")</f>
        <v>20100055237</v>
      </c>
      <c r="W4293" s="25"/>
      <c r="X4293" s="25"/>
      <c r="Y4293" s="25"/>
      <c r="Z4293" s="77"/>
      <c r="AA4293" s="3" t="str">
        <f>IF(BCP_Soles[[#This Row],[fecha]]&gt;0,TEXT(BCP_Soles[[#This Row],[fecha]],"mmmm"),0)</f>
        <v>Octubre</v>
      </c>
    </row>
    <row r="4294" spans="1:27" x14ac:dyDescent="0.3">
      <c r="A4294" s="2">
        <f>IF(BCP_Soles[[#This Row],[tipo_registro]]="R",COUNTIFS($C$1:$C4293,"R")+1,A4293)</f>
        <v>2847</v>
      </c>
      <c r="B4294" s="19" t="str">
        <f t="shared" ref="B4294:B4303" si="465">"B-BCP - Soles"</f>
        <v>B-BCP - Soles</v>
      </c>
      <c r="C4294" s="3" t="s">
        <v>1330</v>
      </c>
      <c r="D4294" s="14">
        <v>45951</v>
      </c>
      <c r="E4294" s="5" t="s">
        <v>1338</v>
      </c>
      <c r="F4294" s="5" t="s">
        <v>1336</v>
      </c>
      <c r="G4294" s="6" t="s">
        <v>196</v>
      </c>
      <c r="H4294" s="6" t="s">
        <v>68</v>
      </c>
      <c r="I4294" s="198" t="s">
        <v>2226</v>
      </c>
      <c r="J4294" s="6">
        <v>7089</v>
      </c>
      <c r="K4294" s="7" t="s">
        <v>2227</v>
      </c>
      <c r="L4294" s="8">
        <v>105291</v>
      </c>
      <c r="M4294" s="8" t="str">
        <f t="shared" ref="M4294:M4303" si="466">"PEN"</f>
        <v>PEN</v>
      </c>
      <c r="N4294" s="13"/>
      <c r="O4294" s="13">
        <v>54.13</v>
      </c>
      <c r="P4294" s="3">
        <f t="shared" ref="P4294:P4303" si="467">+IF(OR($F4294="SALDO",$F4294="INGRESO"),$O4294,0)</f>
        <v>0</v>
      </c>
      <c r="Q4294" s="3">
        <f t="shared" ref="Q4294:Q4303" si="468">+IF($F4294="EGRESO",$O4294,0)</f>
        <v>54.13</v>
      </c>
      <c r="R4294" s="3">
        <f t="shared" ref="R4294:R4303" si="469">IFERROR(IF(F4294="SALDO",P4294,R4293+P4294-Q4294),0)</f>
        <v>15651.739999999974</v>
      </c>
      <c r="S4294" s="24" t="s">
        <v>1334</v>
      </c>
      <c r="T4294" s="24" t="s">
        <v>1334</v>
      </c>
      <c r="U4294" s="56" t="s">
        <v>4794</v>
      </c>
      <c r="V4294" s="25">
        <f>IFERROR(VLOOKUP(BCP_Soles[[#This Row],[destinatario]],CHOOSE({1,2},Clientes_Proveedores[Razon Social],Clientes_Proveedores[Ruc / Dni]),2,0),"")</f>
        <v>20100055237</v>
      </c>
      <c r="W4294" s="25"/>
      <c r="X4294" s="25"/>
      <c r="Y4294" s="25"/>
      <c r="Z4294" s="77"/>
      <c r="AA4294" s="3" t="str">
        <f>IF(BCP_Soles[[#This Row],[fecha]]&gt;0,TEXT(BCP_Soles[[#This Row],[fecha]],"mmmm"),0)</f>
        <v>Octubre</v>
      </c>
    </row>
    <row r="4295" spans="1:27" x14ac:dyDescent="0.3">
      <c r="A4295" s="2">
        <f>IF(BCP_Soles[[#This Row],[tipo_registro]]="R",COUNTIFS($C$1:$C4294,"R")+1,A4294)</f>
        <v>2848</v>
      </c>
      <c r="B4295" s="19" t="str">
        <f t="shared" si="465"/>
        <v>B-BCP - Soles</v>
      </c>
      <c r="C4295" s="3" t="s">
        <v>1330</v>
      </c>
      <c r="D4295" s="14">
        <v>45951</v>
      </c>
      <c r="E4295" s="5" t="s">
        <v>1338</v>
      </c>
      <c r="F4295" s="5" t="s">
        <v>1336</v>
      </c>
      <c r="G4295" s="6" t="s">
        <v>196</v>
      </c>
      <c r="H4295" s="6" t="s">
        <v>68</v>
      </c>
      <c r="I4295" s="198" t="s">
        <v>2226</v>
      </c>
      <c r="J4295" s="6">
        <v>7088</v>
      </c>
      <c r="K4295" s="7" t="s">
        <v>2227</v>
      </c>
      <c r="L4295" s="8">
        <v>104332</v>
      </c>
      <c r="M4295" s="8" t="str">
        <f t="shared" si="466"/>
        <v>PEN</v>
      </c>
      <c r="N4295" s="13"/>
      <c r="O4295" s="13">
        <v>3.25</v>
      </c>
      <c r="P4295" s="3">
        <f t="shared" si="467"/>
        <v>0</v>
      </c>
      <c r="Q4295" s="3">
        <f t="shared" si="468"/>
        <v>3.25</v>
      </c>
      <c r="R4295" s="3">
        <f t="shared" si="469"/>
        <v>15648.489999999974</v>
      </c>
      <c r="S4295" s="24" t="s">
        <v>1334</v>
      </c>
      <c r="T4295" s="24" t="s">
        <v>1334</v>
      </c>
      <c r="U4295" s="56" t="s">
        <v>4795</v>
      </c>
      <c r="V4295" s="25">
        <f>IFERROR(VLOOKUP(BCP_Soles[[#This Row],[destinatario]],CHOOSE({1,2},Clientes_Proveedores[Razon Social],Clientes_Proveedores[Ruc / Dni]),2,0),"")</f>
        <v>20100055237</v>
      </c>
      <c r="W4295" s="25"/>
      <c r="X4295" s="25"/>
      <c r="Y4295" s="25"/>
      <c r="Z4295" s="77"/>
      <c r="AA4295" s="3" t="str">
        <f>IF(BCP_Soles[[#This Row],[fecha]]&gt;0,TEXT(BCP_Soles[[#This Row],[fecha]],"mmmm"),0)</f>
        <v>Octubre</v>
      </c>
    </row>
    <row r="4296" spans="1:27" x14ac:dyDescent="0.3">
      <c r="A4296" s="2">
        <f>IF(BCP_Soles[[#This Row],[tipo_registro]]="R",COUNTIFS($C$1:$C4295,"R")+1,A4295)</f>
        <v>2849</v>
      </c>
      <c r="B4296" s="19" t="str">
        <f t="shared" si="465"/>
        <v>B-BCP - Soles</v>
      </c>
      <c r="C4296" s="3" t="s">
        <v>1330</v>
      </c>
      <c r="D4296" s="14">
        <v>45951</v>
      </c>
      <c r="E4296" s="5" t="s">
        <v>1338</v>
      </c>
      <c r="F4296" s="5" t="s">
        <v>1336</v>
      </c>
      <c r="G4296" s="6" t="s">
        <v>196</v>
      </c>
      <c r="H4296" s="6" t="s">
        <v>68</v>
      </c>
      <c r="I4296" s="198" t="s">
        <v>2226</v>
      </c>
      <c r="J4296" s="6">
        <v>7087</v>
      </c>
      <c r="K4296" s="7" t="s">
        <v>2227</v>
      </c>
      <c r="L4296" s="8">
        <v>107261</v>
      </c>
      <c r="M4296" s="8" t="str">
        <f t="shared" si="466"/>
        <v>PEN</v>
      </c>
      <c r="N4296" s="13"/>
      <c r="O4296" s="13">
        <v>98.82</v>
      </c>
      <c r="P4296" s="3">
        <f t="shared" si="467"/>
        <v>0</v>
      </c>
      <c r="Q4296" s="3">
        <f t="shared" si="468"/>
        <v>98.82</v>
      </c>
      <c r="R4296" s="3">
        <f t="shared" si="469"/>
        <v>15549.669999999975</v>
      </c>
      <c r="S4296" s="24" t="s">
        <v>1334</v>
      </c>
      <c r="T4296" s="24" t="s">
        <v>1334</v>
      </c>
      <c r="U4296" s="56" t="s">
        <v>4796</v>
      </c>
      <c r="V4296" s="25">
        <f>IFERROR(VLOOKUP(BCP_Soles[[#This Row],[destinatario]],CHOOSE({1,2},Clientes_Proveedores[Razon Social],Clientes_Proveedores[Ruc / Dni]),2,0),"")</f>
        <v>20100055237</v>
      </c>
      <c r="W4296" s="25"/>
      <c r="X4296" s="25"/>
      <c r="Y4296" s="25"/>
      <c r="Z4296" s="77"/>
      <c r="AA4296" s="3" t="str">
        <f>IF(BCP_Soles[[#This Row],[fecha]]&gt;0,TEXT(BCP_Soles[[#This Row],[fecha]],"mmmm"),0)</f>
        <v>Octubre</v>
      </c>
    </row>
    <row r="4297" spans="1:27" x14ac:dyDescent="0.3">
      <c r="A4297" s="2">
        <f>IF(BCP_Soles[[#This Row],[tipo_registro]]="R",COUNTIFS($C$1:$C4296,"R")+1,A4296)</f>
        <v>2850</v>
      </c>
      <c r="B4297" s="19" t="str">
        <f t="shared" si="465"/>
        <v>B-BCP - Soles</v>
      </c>
      <c r="C4297" s="3" t="s">
        <v>1330</v>
      </c>
      <c r="D4297" s="14">
        <v>45951</v>
      </c>
      <c r="E4297" s="5" t="s">
        <v>1338</v>
      </c>
      <c r="F4297" s="5" t="s">
        <v>1336</v>
      </c>
      <c r="G4297" s="6" t="s">
        <v>196</v>
      </c>
      <c r="H4297" s="6" t="s">
        <v>68</v>
      </c>
      <c r="I4297" s="198" t="s">
        <v>2226</v>
      </c>
      <c r="J4297" s="6">
        <v>7086</v>
      </c>
      <c r="K4297" s="7" t="s">
        <v>2227</v>
      </c>
      <c r="L4297" s="8">
        <v>106266</v>
      </c>
      <c r="M4297" s="8" t="str">
        <f t="shared" si="466"/>
        <v>PEN</v>
      </c>
      <c r="N4297" s="13"/>
      <c r="O4297" s="13">
        <v>67.650000000000006</v>
      </c>
      <c r="P4297" s="3">
        <f t="shared" si="467"/>
        <v>0</v>
      </c>
      <c r="Q4297" s="3">
        <f t="shared" si="468"/>
        <v>67.650000000000006</v>
      </c>
      <c r="R4297" s="3">
        <f t="shared" si="469"/>
        <v>15482.019999999975</v>
      </c>
      <c r="S4297" s="24" t="s">
        <v>1334</v>
      </c>
      <c r="T4297" s="24" t="s">
        <v>1334</v>
      </c>
      <c r="U4297" s="56" t="s">
        <v>4797</v>
      </c>
      <c r="V4297" s="25">
        <f>IFERROR(VLOOKUP(BCP_Soles[[#This Row],[destinatario]],CHOOSE({1,2},Clientes_Proveedores[Razon Social],Clientes_Proveedores[Ruc / Dni]),2,0),"")</f>
        <v>20100055237</v>
      </c>
      <c r="W4297" s="25"/>
      <c r="X4297" s="25"/>
      <c r="Y4297" s="25"/>
      <c r="Z4297" s="77"/>
      <c r="AA4297" s="3" t="str">
        <f>IF(BCP_Soles[[#This Row],[fecha]]&gt;0,TEXT(BCP_Soles[[#This Row],[fecha]],"mmmm"),0)</f>
        <v>Octubre</v>
      </c>
    </row>
    <row r="4298" spans="1:27" x14ac:dyDescent="0.3">
      <c r="A4298" s="2">
        <f>IF(BCP_Soles[[#This Row],[tipo_registro]]="R",COUNTIFS($C$1:$C4297,"R")+1,A4297)</f>
        <v>2851</v>
      </c>
      <c r="B4298" s="19" t="str">
        <f t="shared" si="465"/>
        <v>B-BCP - Soles</v>
      </c>
      <c r="C4298" s="3" t="s">
        <v>1330</v>
      </c>
      <c r="D4298" s="14">
        <v>45951</v>
      </c>
      <c r="E4298" s="5" t="s">
        <v>1338</v>
      </c>
      <c r="F4298" s="5" t="s">
        <v>1336</v>
      </c>
      <c r="G4298" s="6" t="s">
        <v>196</v>
      </c>
      <c r="H4298" s="6" t="s">
        <v>68</v>
      </c>
      <c r="I4298" s="198" t="s">
        <v>2226</v>
      </c>
      <c r="J4298" s="6">
        <v>7085</v>
      </c>
      <c r="K4298" s="7" t="s">
        <v>2227</v>
      </c>
      <c r="L4298" s="8">
        <v>106767</v>
      </c>
      <c r="M4298" s="8" t="str">
        <f t="shared" si="466"/>
        <v>PEN</v>
      </c>
      <c r="N4298" s="13"/>
      <c r="O4298" s="13">
        <v>474.14</v>
      </c>
      <c r="P4298" s="3">
        <f t="shared" si="467"/>
        <v>0</v>
      </c>
      <c r="Q4298" s="3">
        <f t="shared" si="468"/>
        <v>474.14</v>
      </c>
      <c r="R4298" s="3">
        <f t="shared" si="469"/>
        <v>15007.879999999976</v>
      </c>
      <c r="S4298" s="24" t="s">
        <v>1334</v>
      </c>
      <c r="T4298" s="24" t="s">
        <v>1334</v>
      </c>
      <c r="U4298" s="56" t="s">
        <v>4798</v>
      </c>
      <c r="V4298" s="25">
        <f>IFERROR(VLOOKUP(BCP_Soles[[#This Row],[destinatario]],CHOOSE({1,2},Clientes_Proveedores[Razon Social],Clientes_Proveedores[Ruc / Dni]),2,0),"")</f>
        <v>20100055237</v>
      </c>
      <c r="W4298" s="25"/>
      <c r="X4298" s="25"/>
      <c r="Y4298" s="25"/>
      <c r="Z4298" s="77"/>
      <c r="AA4298" s="3" t="str">
        <f>IF(BCP_Soles[[#This Row],[fecha]]&gt;0,TEXT(BCP_Soles[[#This Row],[fecha]],"mmmm"),0)</f>
        <v>Octubre</v>
      </c>
    </row>
    <row r="4299" spans="1:27" x14ac:dyDescent="0.3">
      <c r="A4299" s="2">
        <f>IF(BCP_Soles[[#This Row],[tipo_registro]]="R",COUNTIFS($C$1:$C4298,"R")+1,A4298)</f>
        <v>2852</v>
      </c>
      <c r="B4299" s="19" t="str">
        <f t="shared" si="465"/>
        <v>B-BCP - Soles</v>
      </c>
      <c r="C4299" s="3" t="s">
        <v>1330</v>
      </c>
      <c r="D4299" s="14">
        <v>45951</v>
      </c>
      <c r="E4299" s="5" t="s">
        <v>1338</v>
      </c>
      <c r="F4299" s="5" t="s">
        <v>1336</v>
      </c>
      <c r="G4299" s="6" t="s">
        <v>196</v>
      </c>
      <c r="H4299" s="6" t="s">
        <v>68</v>
      </c>
      <c r="I4299" s="198" t="s">
        <v>2226</v>
      </c>
      <c r="J4299" s="6">
        <v>7084</v>
      </c>
      <c r="K4299" s="7" t="s">
        <v>2227</v>
      </c>
      <c r="L4299" s="8">
        <v>107751</v>
      </c>
      <c r="M4299" s="8" t="str">
        <f t="shared" si="466"/>
        <v>PEN</v>
      </c>
      <c r="N4299" s="13"/>
      <c r="O4299" s="13">
        <v>8.27</v>
      </c>
      <c r="P4299" s="3">
        <f t="shared" si="467"/>
        <v>0</v>
      </c>
      <c r="Q4299" s="3">
        <f t="shared" si="468"/>
        <v>8.27</v>
      </c>
      <c r="R4299" s="3">
        <f t="shared" si="469"/>
        <v>14999.609999999975</v>
      </c>
      <c r="S4299" s="24" t="s">
        <v>1334</v>
      </c>
      <c r="T4299" s="24" t="s">
        <v>1334</v>
      </c>
      <c r="U4299" s="56" t="s">
        <v>4799</v>
      </c>
      <c r="V4299" s="25">
        <f>IFERROR(VLOOKUP(BCP_Soles[[#This Row],[destinatario]],CHOOSE({1,2},Clientes_Proveedores[Razon Social],Clientes_Proveedores[Ruc / Dni]),2,0),"")</f>
        <v>20100055237</v>
      </c>
      <c r="W4299" s="25"/>
      <c r="X4299" s="25"/>
      <c r="Y4299" s="25"/>
      <c r="Z4299" s="77"/>
      <c r="AA4299" s="3" t="str">
        <f>IF(BCP_Soles[[#This Row],[fecha]]&gt;0,TEXT(BCP_Soles[[#This Row],[fecha]],"mmmm"),0)</f>
        <v>Octubre</v>
      </c>
    </row>
    <row r="4300" spans="1:27" x14ac:dyDescent="0.3">
      <c r="A4300" s="2">
        <f>IF(BCP_Soles[[#This Row],[tipo_registro]]="R",COUNTIFS($C$1:$C4299,"R")+1,A4299)</f>
        <v>2853</v>
      </c>
      <c r="B4300" s="19" t="str">
        <f t="shared" si="465"/>
        <v>B-BCP - Soles</v>
      </c>
      <c r="C4300" s="3" t="s">
        <v>1330</v>
      </c>
      <c r="D4300" s="14">
        <v>45951</v>
      </c>
      <c r="E4300" s="5" t="s">
        <v>1338</v>
      </c>
      <c r="F4300" s="5" t="s">
        <v>1336</v>
      </c>
      <c r="G4300" s="6" t="s">
        <v>196</v>
      </c>
      <c r="H4300" s="6" t="s">
        <v>68</v>
      </c>
      <c r="I4300" s="198" t="s">
        <v>2226</v>
      </c>
      <c r="J4300" s="6">
        <v>7083</v>
      </c>
      <c r="K4300" s="7" t="s">
        <v>2227</v>
      </c>
      <c r="L4300" s="8">
        <v>105789</v>
      </c>
      <c r="M4300" s="8" t="str">
        <f t="shared" si="466"/>
        <v>PEN</v>
      </c>
      <c r="N4300" s="13"/>
      <c r="O4300" s="13">
        <v>146.58000000000001</v>
      </c>
      <c r="P4300" s="3">
        <f t="shared" si="467"/>
        <v>0</v>
      </c>
      <c r="Q4300" s="3">
        <f t="shared" si="468"/>
        <v>146.58000000000001</v>
      </c>
      <c r="R4300" s="3">
        <f t="shared" si="469"/>
        <v>14853.029999999975</v>
      </c>
      <c r="S4300" s="24" t="s">
        <v>1334</v>
      </c>
      <c r="T4300" s="24" t="s">
        <v>1334</v>
      </c>
      <c r="U4300" s="56" t="s">
        <v>4800</v>
      </c>
      <c r="V4300" s="25">
        <f>IFERROR(VLOOKUP(BCP_Soles[[#This Row],[destinatario]],CHOOSE({1,2},Clientes_Proveedores[Razon Social],Clientes_Proveedores[Ruc / Dni]),2,0),"")</f>
        <v>20100055237</v>
      </c>
      <c r="W4300" s="25"/>
      <c r="X4300" s="25"/>
      <c r="Y4300" s="25"/>
      <c r="Z4300" s="77"/>
      <c r="AA4300" s="3" t="str">
        <f>IF(BCP_Soles[[#This Row],[fecha]]&gt;0,TEXT(BCP_Soles[[#This Row],[fecha]],"mmmm"),0)</f>
        <v>Octubre</v>
      </c>
    </row>
    <row r="4301" spans="1:27" x14ac:dyDescent="0.3">
      <c r="A4301" s="2">
        <f>IF(BCP_Soles[[#This Row],[tipo_registro]]="R",COUNTIFS($C$1:$C4300,"R")+1,A4300)</f>
        <v>2854</v>
      </c>
      <c r="B4301" s="19" t="str">
        <f t="shared" si="465"/>
        <v>B-BCP - Soles</v>
      </c>
      <c r="C4301" s="3" t="s">
        <v>1330</v>
      </c>
      <c r="D4301" s="14">
        <v>45951</v>
      </c>
      <c r="E4301" s="5" t="s">
        <v>1338</v>
      </c>
      <c r="F4301" s="5" t="s">
        <v>1336</v>
      </c>
      <c r="G4301" s="6" t="s">
        <v>196</v>
      </c>
      <c r="H4301" s="6" t="s">
        <v>68</v>
      </c>
      <c r="I4301" s="198" t="s">
        <v>2226</v>
      </c>
      <c r="J4301" s="6">
        <v>7082</v>
      </c>
      <c r="K4301" s="7" t="s">
        <v>2227</v>
      </c>
      <c r="L4301" s="8">
        <v>104333</v>
      </c>
      <c r="M4301" s="8" t="str">
        <f t="shared" si="466"/>
        <v>PEN</v>
      </c>
      <c r="N4301" s="13"/>
      <c r="O4301" s="13">
        <v>352.18</v>
      </c>
      <c r="P4301" s="3">
        <f t="shared" si="467"/>
        <v>0</v>
      </c>
      <c r="Q4301" s="3">
        <f t="shared" si="468"/>
        <v>352.18</v>
      </c>
      <c r="R4301" s="3">
        <f t="shared" si="469"/>
        <v>14500.849999999975</v>
      </c>
      <c r="S4301" s="24" t="s">
        <v>1334</v>
      </c>
      <c r="T4301" s="24" t="s">
        <v>1334</v>
      </c>
      <c r="U4301" s="56" t="s">
        <v>4801</v>
      </c>
      <c r="V4301" s="25">
        <f>IFERROR(VLOOKUP(BCP_Soles[[#This Row],[destinatario]],CHOOSE({1,2},Clientes_Proveedores[Razon Social],Clientes_Proveedores[Ruc / Dni]),2,0),"")</f>
        <v>20100055237</v>
      </c>
      <c r="W4301" s="25"/>
      <c r="X4301" s="25"/>
      <c r="Y4301" s="25"/>
      <c r="Z4301" s="77"/>
      <c r="AA4301" s="3" t="str">
        <f>IF(BCP_Soles[[#This Row],[fecha]]&gt;0,TEXT(BCP_Soles[[#This Row],[fecha]],"mmmm"),0)</f>
        <v>Octubre</v>
      </c>
    </row>
    <row r="4302" spans="1:27" x14ac:dyDescent="0.3">
      <c r="A4302" s="2">
        <f>IF(BCP_Soles[[#This Row],[tipo_registro]]="R",COUNTIFS($C$1:$C4301,"R")+1,A4301)</f>
        <v>2855</v>
      </c>
      <c r="B4302" s="19" t="str">
        <f t="shared" si="465"/>
        <v>B-BCP - Soles</v>
      </c>
      <c r="C4302" s="3" t="s">
        <v>1330</v>
      </c>
      <c r="D4302" s="14">
        <v>45951</v>
      </c>
      <c r="E4302" s="5" t="s">
        <v>1338</v>
      </c>
      <c r="F4302" s="5" t="s">
        <v>1336</v>
      </c>
      <c r="G4302" s="6" t="s">
        <v>196</v>
      </c>
      <c r="H4302" s="6" t="s">
        <v>68</v>
      </c>
      <c r="I4302" s="198" t="s">
        <v>2226</v>
      </c>
      <c r="J4302" s="6">
        <v>7081</v>
      </c>
      <c r="K4302" s="7" t="s">
        <v>2227</v>
      </c>
      <c r="L4302" s="8">
        <v>104791</v>
      </c>
      <c r="M4302" s="8" t="str">
        <f t="shared" si="466"/>
        <v>PEN</v>
      </c>
      <c r="N4302" s="13"/>
      <c r="O4302" s="13">
        <v>206.14</v>
      </c>
      <c r="P4302" s="3">
        <f t="shared" si="467"/>
        <v>0</v>
      </c>
      <c r="Q4302" s="3">
        <f t="shared" si="468"/>
        <v>206.14</v>
      </c>
      <c r="R4302" s="3">
        <f t="shared" si="469"/>
        <v>14294.709999999975</v>
      </c>
      <c r="S4302" s="24" t="s">
        <v>1334</v>
      </c>
      <c r="T4302" s="24" t="s">
        <v>1334</v>
      </c>
      <c r="U4302" s="56" t="s">
        <v>4802</v>
      </c>
      <c r="V4302" s="25">
        <f>IFERROR(VLOOKUP(BCP_Soles[[#This Row],[destinatario]],CHOOSE({1,2},Clientes_Proveedores[Razon Social],Clientes_Proveedores[Ruc / Dni]),2,0),"")</f>
        <v>20100055237</v>
      </c>
      <c r="W4302" s="25"/>
      <c r="X4302" s="25"/>
      <c r="Y4302" s="25"/>
      <c r="Z4302" s="77"/>
      <c r="AA4302" s="3" t="str">
        <f>IF(BCP_Soles[[#This Row],[fecha]]&gt;0,TEXT(BCP_Soles[[#This Row],[fecha]],"mmmm"),0)</f>
        <v>Octubre</v>
      </c>
    </row>
    <row r="4303" spans="1:27" x14ac:dyDescent="0.3">
      <c r="A4303" s="2">
        <f>IF(BCP_Soles[[#This Row],[tipo_registro]]="R",COUNTIFS($C$1:$C4302,"R")+1,A4302)</f>
        <v>2856</v>
      </c>
      <c r="B4303" s="19" t="str">
        <f t="shared" si="465"/>
        <v>B-BCP - Soles</v>
      </c>
      <c r="C4303" s="3" t="s">
        <v>1330</v>
      </c>
      <c r="D4303" s="14">
        <v>45951</v>
      </c>
      <c r="E4303" s="5" t="s">
        <v>1338</v>
      </c>
      <c r="F4303" s="5" t="s">
        <v>1336</v>
      </c>
      <c r="G4303" s="6" t="s">
        <v>196</v>
      </c>
      <c r="H4303" s="6" t="s">
        <v>68</v>
      </c>
      <c r="I4303" s="198" t="s">
        <v>2226</v>
      </c>
      <c r="J4303" s="6">
        <v>7080</v>
      </c>
      <c r="K4303" s="7" t="s">
        <v>2227</v>
      </c>
      <c r="L4303" s="8">
        <v>105292</v>
      </c>
      <c r="M4303" s="8" t="str">
        <f t="shared" si="466"/>
        <v>PEN</v>
      </c>
      <c r="N4303" s="13"/>
      <c r="O4303" s="13">
        <v>1211.44</v>
      </c>
      <c r="P4303" s="3">
        <f t="shared" si="467"/>
        <v>0</v>
      </c>
      <c r="Q4303" s="3">
        <f t="shared" si="468"/>
        <v>1211.44</v>
      </c>
      <c r="R4303" s="3">
        <f t="shared" si="469"/>
        <v>13083.269999999975</v>
      </c>
      <c r="S4303" s="24" t="s">
        <v>1334</v>
      </c>
      <c r="T4303" s="24" t="s">
        <v>1334</v>
      </c>
      <c r="U4303" s="56" t="s">
        <v>4803</v>
      </c>
      <c r="V4303" s="25">
        <f>IFERROR(VLOOKUP(BCP_Soles[[#This Row],[destinatario]],CHOOSE({1,2},Clientes_Proveedores[Razon Social],Clientes_Proveedores[Ruc / Dni]),2,0),"")</f>
        <v>20100055237</v>
      </c>
      <c r="W4303" s="25"/>
      <c r="X4303" s="25"/>
      <c r="Y4303" s="25"/>
      <c r="Z4303" s="77"/>
      <c r="AA4303" s="3" t="str">
        <f>IF(BCP_Soles[[#This Row],[fecha]]&gt;0,TEXT(BCP_Soles[[#This Row],[fecha]],"mmmm"),0)</f>
        <v>Octubre</v>
      </c>
    </row>
    <row r="4304" spans="1:27" ht="48" x14ac:dyDescent="0.3">
      <c r="A4304" s="2">
        <f>IF(BCP_Soles[[#This Row],[tipo_registro]]="R",COUNTIFS($C$1:$C4303,"R")+1,A4303)</f>
        <v>2857</v>
      </c>
      <c r="B4304" s="19" t="str">
        <f t="shared" ref="B4304:B4328" si="470">"B-BCP - Soles"</f>
        <v>B-BCP - Soles</v>
      </c>
      <c r="C4304" s="3" t="s">
        <v>1330</v>
      </c>
      <c r="D4304" s="14">
        <v>45951</v>
      </c>
      <c r="E4304" s="5" t="s">
        <v>1338</v>
      </c>
      <c r="F4304" s="5" t="s">
        <v>1336</v>
      </c>
      <c r="G4304" s="6" t="s">
        <v>488</v>
      </c>
      <c r="H4304" s="6" t="s">
        <v>68</v>
      </c>
      <c r="I4304" s="198" t="s">
        <v>1374</v>
      </c>
      <c r="J4304" s="6">
        <v>38694</v>
      </c>
      <c r="K4304" s="7" t="s">
        <v>4804</v>
      </c>
      <c r="L4304" s="8">
        <v>1106267</v>
      </c>
      <c r="M4304" s="8" t="str">
        <f t="shared" ref="M4304:M4328" si="471">"PEN"</f>
        <v>PEN</v>
      </c>
      <c r="N4304" s="13"/>
      <c r="O4304" s="13">
        <v>100</v>
      </c>
      <c r="P4304" s="3">
        <f t="shared" ref="P4304:P4328" si="472">+IF(OR($F4304="SALDO",$F4304="INGRESO"),$O4304,0)</f>
        <v>0</v>
      </c>
      <c r="Q4304" s="3">
        <f t="shared" ref="Q4304:Q4328" si="473">+IF($F4304="EGRESO",$O4304,0)</f>
        <v>100</v>
      </c>
      <c r="R4304" s="3">
        <f t="shared" ref="R4304:R4328" si="474">IFERROR(IF(F4304="SALDO",P4304,R4303+P4304-Q4304),0)</f>
        <v>12983.269999999975</v>
      </c>
      <c r="S4304" s="24" t="s">
        <v>1334</v>
      </c>
      <c r="T4304" s="24" t="s">
        <v>1334</v>
      </c>
      <c r="U4304" s="56" t="s">
        <v>4805</v>
      </c>
      <c r="V4304" s="25">
        <f>IFERROR(VLOOKUP(BCP_Soles[[#This Row],[destinatario]],CHOOSE({1,2},Clientes_Proveedores[Razon Social],Clientes_Proveedores[Ruc / Dni]),2,0),"")</f>
        <v>20602484425</v>
      </c>
      <c r="W4304" s="25"/>
      <c r="X4304" s="25"/>
      <c r="Y4304" s="25"/>
      <c r="Z4304" s="77"/>
      <c r="AA4304" s="3" t="str">
        <f>IF(BCP_Soles[[#This Row],[fecha]]&gt;0,TEXT(BCP_Soles[[#This Row],[fecha]],"mmmm"),0)</f>
        <v>Octubre</v>
      </c>
    </row>
    <row r="4305" spans="1:27" x14ac:dyDescent="0.3">
      <c r="A4305" s="2">
        <f>IF(BCP_Soles[[#This Row],[tipo_registro]]="R",COUNTIFS($C$1:$C4304,"R")+1,A4304)</f>
        <v>2858</v>
      </c>
      <c r="B4305" s="19" t="str">
        <f t="shared" si="470"/>
        <v>B-BCP - Soles</v>
      </c>
      <c r="C4305" s="3" t="s">
        <v>1330</v>
      </c>
      <c r="D4305" s="14">
        <v>45951</v>
      </c>
      <c r="E4305" s="5" t="s">
        <v>3190</v>
      </c>
      <c r="F4305" s="5" t="s">
        <v>1336</v>
      </c>
      <c r="G4305" s="6"/>
      <c r="H4305" s="6"/>
      <c r="I4305" s="198"/>
      <c r="J4305" s="6"/>
      <c r="K4305" s="7" t="s">
        <v>4806</v>
      </c>
      <c r="L4305" s="8">
        <v>1009336</v>
      </c>
      <c r="M4305" s="8" t="str">
        <f t="shared" si="471"/>
        <v>PEN</v>
      </c>
      <c r="N4305" s="13"/>
      <c r="O4305" s="13">
        <v>1627</v>
      </c>
      <c r="P4305" s="3">
        <f t="shared" si="472"/>
        <v>0</v>
      </c>
      <c r="Q4305" s="3">
        <f t="shared" si="473"/>
        <v>1627</v>
      </c>
      <c r="R4305" s="3">
        <f t="shared" si="474"/>
        <v>11356.269999999975</v>
      </c>
      <c r="S4305" s="24"/>
      <c r="T4305" s="24"/>
      <c r="U4305" s="55"/>
      <c r="V4305" s="25" t="str">
        <f>IFERROR(VLOOKUP(BCP_Soles[[#This Row],[destinatario]],CHOOSE({1,2},Clientes_Proveedores[Razon Social],Clientes_Proveedores[Ruc / Dni]),2,0),"")</f>
        <v/>
      </c>
      <c r="W4305" s="25"/>
      <c r="X4305" s="25"/>
      <c r="Y4305" s="25"/>
      <c r="Z4305" s="77"/>
      <c r="AA4305" s="3" t="str">
        <f>IF(BCP_Soles[[#This Row],[fecha]]&gt;0,TEXT(BCP_Soles[[#This Row],[fecha]],"mmmm"),0)</f>
        <v>Octubre</v>
      </c>
    </row>
    <row r="4306" spans="1:27" ht="24" x14ac:dyDescent="0.3">
      <c r="A4306" s="2">
        <f>IF(BCP_Soles[[#This Row],[tipo_registro]]="R",COUNTIFS($C$1:$C4305,"R")+1,A4305)</f>
        <v>2859</v>
      </c>
      <c r="B4306" s="19" t="str">
        <f>"B-BCP - Soles"</f>
        <v>B-BCP - Soles</v>
      </c>
      <c r="C4306" s="3" t="s">
        <v>1330</v>
      </c>
      <c r="D4306" s="14">
        <v>45951</v>
      </c>
      <c r="E4306" s="5" t="s">
        <v>1335</v>
      </c>
      <c r="F4306" s="5" t="s">
        <v>1336</v>
      </c>
      <c r="G4306" s="6" t="s">
        <v>1060</v>
      </c>
      <c r="H4306" s="6" t="s">
        <v>68</v>
      </c>
      <c r="I4306" s="198" t="s">
        <v>1397</v>
      </c>
      <c r="J4306" s="6">
        <v>38391723</v>
      </c>
      <c r="K4306" s="7" t="s">
        <v>4230</v>
      </c>
      <c r="L4306" s="8">
        <v>427</v>
      </c>
      <c r="M4306" s="8" t="str">
        <f>"PEN"</f>
        <v>PEN</v>
      </c>
      <c r="N4306" s="13"/>
      <c r="O4306" s="13">
        <v>10</v>
      </c>
      <c r="P4306" s="3">
        <f>+IF(OR($F4306="SALDO",$F4306="INGRESO"),$O4306,0)</f>
        <v>0</v>
      </c>
      <c r="Q4306" s="3">
        <f>+IF($F4306="EGRESO",$O4306,0)</f>
        <v>10</v>
      </c>
      <c r="R4306" s="3">
        <f>IFERROR(IF(F4306="SALDO",P4306,R4305+P4306-Q4306),0)</f>
        <v>11346.269999999975</v>
      </c>
      <c r="S4306" s="24" t="s">
        <v>1334</v>
      </c>
      <c r="T4306" s="24" t="s">
        <v>1334</v>
      </c>
      <c r="U4306" s="55"/>
      <c r="V4306" s="25">
        <f>IFERROR(VLOOKUP(BCP_Soles[[#This Row],[destinatario]],CHOOSE({1,2},Clientes_Proveedores[Razon Social],Clientes_Proveedores[Ruc / Dni]),2,0),"")</f>
        <v>20100047218</v>
      </c>
      <c r="W4306" s="25"/>
      <c r="X4306" s="25"/>
      <c r="Y4306" s="25"/>
      <c r="Z4306" s="77"/>
      <c r="AA4306" s="3" t="str">
        <f>IF(BCP_Soles[[#This Row],[fecha]]&gt;0,TEXT(BCP_Soles[[#This Row],[fecha]],"mmmm"),0)</f>
        <v>Octubre</v>
      </c>
    </row>
    <row r="4307" spans="1:27" x14ac:dyDescent="0.3">
      <c r="A4307" s="2">
        <f>IF(BCP_Soles[[#This Row],[tipo_registro]]="R",COUNTIFS($C$1:$C4306,"R")+1,A4306)</f>
        <v>2860</v>
      </c>
      <c r="B4307" s="19" t="str">
        <f t="shared" si="470"/>
        <v>B-BCP - Soles</v>
      </c>
      <c r="C4307" s="3" t="s">
        <v>1330</v>
      </c>
      <c r="D4307" s="14">
        <v>45951</v>
      </c>
      <c r="E4307" s="5" t="s">
        <v>1338</v>
      </c>
      <c r="F4307" s="5" t="s">
        <v>1336</v>
      </c>
      <c r="G4307" s="6" t="s">
        <v>695</v>
      </c>
      <c r="H4307" s="6"/>
      <c r="I4307" s="198"/>
      <c r="J4307" s="6"/>
      <c r="K4307" s="7" t="s">
        <v>3552</v>
      </c>
      <c r="L4307" s="8">
        <v>210840</v>
      </c>
      <c r="M4307" s="8" t="str">
        <f t="shared" si="471"/>
        <v>PEN</v>
      </c>
      <c r="N4307" s="13"/>
      <c r="O4307" s="13">
        <v>2263.27</v>
      </c>
      <c r="P4307" s="3">
        <f t="shared" si="472"/>
        <v>0</v>
      </c>
      <c r="Q4307" s="3">
        <f t="shared" si="473"/>
        <v>2263.27</v>
      </c>
      <c r="R4307" s="3">
        <f>IFERROR(IF(F4307="SALDO",P4307,R4306+P4307-Q4307),0)</f>
        <v>9082.9999999999745</v>
      </c>
      <c r="S4307" s="24" t="s">
        <v>1334</v>
      </c>
      <c r="T4307" s="24" t="s">
        <v>1334</v>
      </c>
      <c r="U4307" s="56" t="s">
        <v>4807</v>
      </c>
      <c r="V4307" s="25">
        <f>IFERROR(VLOOKUP(BCP_Soles[[#This Row],[destinatario]],CHOOSE({1,2},Clientes_Proveedores[Razon Social],Clientes_Proveedores[Ruc / Dni]),2,0),"")</f>
        <v>20127765279</v>
      </c>
      <c r="W4307" s="25"/>
      <c r="X4307" s="25"/>
      <c r="Y4307" s="25"/>
      <c r="Z4307" s="77"/>
      <c r="AA4307" s="3" t="str">
        <f>IF(BCP_Soles[[#This Row],[fecha]]&gt;0,TEXT(BCP_Soles[[#This Row],[fecha]],"mmmm"),0)</f>
        <v>Octubre</v>
      </c>
    </row>
    <row r="4308" spans="1:27" x14ac:dyDescent="0.3">
      <c r="A4308" s="2">
        <f>IF(BCP_Soles[[#This Row],[tipo_registro]]="R",COUNTIFS($C$1:$C4307,"R")+1,A4307)</f>
        <v>2860</v>
      </c>
      <c r="B4308" s="19" t="str">
        <f>"B-BCP - Soles"</f>
        <v>B-BCP - Soles</v>
      </c>
      <c r="C4308" s="3" t="s">
        <v>1352</v>
      </c>
      <c r="D4308" s="14">
        <v>45951</v>
      </c>
      <c r="E4308" s="5" t="s">
        <v>1338</v>
      </c>
      <c r="F4308" s="5" t="s">
        <v>1336</v>
      </c>
      <c r="G4308" s="6" t="s">
        <v>695</v>
      </c>
      <c r="H4308" s="6" t="s">
        <v>68</v>
      </c>
      <c r="I4308" s="198" t="s">
        <v>1513</v>
      </c>
      <c r="J4308" s="6">
        <v>189168</v>
      </c>
      <c r="K4308" s="7" t="s">
        <v>3552</v>
      </c>
      <c r="L4308" s="8">
        <v>210840</v>
      </c>
      <c r="M4308" s="8" t="str">
        <f>"PEN"</f>
        <v>PEN</v>
      </c>
      <c r="N4308" s="13">
        <v>1144.57</v>
      </c>
      <c r="O4308" s="13"/>
      <c r="P4308" s="3">
        <f>+IF(OR($F4308="SALDO",$F4308="INGRESO"),$O4308,0)</f>
        <v>0</v>
      </c>
      <c r="Q4308" s="3">
        <f>+IF($F4308="EGRESO",$O4308,0)</f>
        <v>0</v>
      </c>
      <c r="R4308" s="3">
        <f>IFERROR(IF(F4308="SALDO",P4308,R4307+P4308-Q4308),0)</f>
        <v>9082.9999999999745</v>
      </c>
      <c r="S4308" s="24" t="s">
        <v>1334</v>
      </c>
      <c r="T4308" s="24" t="s">
        <v>1334</v>
      </c>
      <c r="U4308" s="56" t="s">
        <v>4807</v>
      </c>
      <c r="V4308" s="25">
        <f>IFERROR(VLOOKUP(BCP_Soles[[#This Row],[destinatario]],CHOOSE({1,2},Clientes_Proveedores[Razon Social],Clientes_Proveedores[Ruc / Dni]),2,0),"")</f>
        <v>20127765279</v>
      </c>
      <c r="W4308" s="25"/>
      <c r="X4308" s="25"/>
      <c r="Y4308" s="25"/>
      <c r="Z4308" s="77"/>
      <c r="AA4308" s="3" t="str">
        <f>IF(BCP_Soles[[#This Row],[fecha]]&gt;0,TEXT(BCP_Soles[[#This Row],[fecha]],"mmmm"),0)</f>
        <v>Octubre</v>
      </c>
    </row>
    <row r="4309" spans="1:27" x14ac:dyDescent="0.3">
      <c r="A4309" s="2">
        <f>IF(BCP_Soles[[#This Row],[tipo_registro]]="R",COUNTIFS($C$1:$C4308,"R")+1,A4308)</f>
        <v>2860</v>
      </c>
      <c r="B4309" s="19" t="str">
        <f>"B-BCP - Soles"</f>
        <v>B-BCP - Soles</v>
      </c>
      <c r="C4309" s="3" t="s">
        <v>1352</v>
      </c>
      <c r="D4309" s="14">
        <v>45951</v>
      </c>
      <c r="E4309" s="5" t="s">
        <v>1338</v>
      </c>
      <c r="F4309" s="5" t="s">
        <v>1336</v>
      </c>
      <c r="G4309" s="6" t="s">
        <v>695</v>
      </c>
      <c r="H4309" s="6" t="s">
        <v>68</v>
      </c>
      <c r="I4309" s="198" t="s">
        <v>1377</v>
      </c>
      <c r="J4309" s="6">
        <v>188831</v>
      </c>
      <c r="K4309" s="7" t="s">
        <v>3552</v>
      </c>
      <c r="L4309" s="8">
        <v>210840</v>
      </c>
      <c r="M4309" s="8" t="str">
        <f>"PEN"</f>
        <v>PEN</v>
      </c>
      <c r="N4309" s="13">
        <v>1118.7</v>
      </c>
      <c r="O4309" s="13"/>
      <c r="P4309" s="3">
        <f>+IF(OR($F4309="SALDO",$F4309="INGRESO"),$O4309,0)</f>
        <v>0</v>
      </c>
      <c r="Q4309" s="3">
        <f>+IF($F4309="EGRESO",$O4309,0)</f>
        <v>0</v>
      </c>
      <c r="R4309" s="3">
        <f t="shared" ref="R4309:R4310" si="475">IFERROR(IF(F4309="SALDO",P4309,R4308+P4309-Q4309),0)</f>
        <v>9082.9999999999745</v>
      </c>
      <c r="S4309" s="24" t="s">
        <v>1334</v>
      </c>
      <c r="T4309" s="24" t="s">
        <v>1334</v>
      </c>
      <c r="U4309" s="56" t="s">
        <v>4807</v>
      </c>
      <c r="V4309" s="25">
        <f>IFERROR(VLOOKUP(BCP_Soles[[#This Row],[destinatario]],CHOOSE({1,2},Clientes_Proveedores[Razon Social],Clientes_Proveedores[Ruc / Dni]),2,0),"")</f>
        <v>20127765279</v>
      </c>
      <c r="W4309" s="25"/>
      <c r="X4309" s="25"/>
      <c r="Y4309" s="25"/>
      <c r="Z4309" s="77"/>
      <c r="AA4309" s="3" t="str">
        <f>IF(BCP_Soles[[#This Row],[fecha]]&gt;0,TEXT(BCP_Soles[[#This Row],[fecha]],"mmmm"),0)</f>
        <v>Octubre</v>
      </c>
    </row>
    <row r="4310" spans="1:27" ht="24" x14ac:dyDescent="0.3">
      <c r="A4310" s="2">
        <f>IF(BCP_Soles[[#This Row],[tipo_registro]]="R",COUNTIFS($C$1:$C4309,"R")+1,A4309)</f>
        <v>2861</v>
      </c>
      <c r="B4310" s="19" t="str">
        <f t="shared" si="470"/>
        <v>B-BCP - Soles</v>
      </c>
      <c r="C4310" s="3" t="s">
        <v>1330</v>
      </c>
      <c r="D4310" s="14">
        <v>45951</v>
      </c>
      <c r="E4310" s="5" t="s">
        <v>1338</v>
      </c>
      <c r="F4310" s="5" t="s">
        <v>1336</v>
      </c>
      <c r="G4310" s="6" t="s">
        <v>993</v>
      </c>
      <c r="H4310" s="6" t="s">
        <v>143</v>
      </c>
      <c r="I4310" s="6">
        <v>1</v>
      </c>
      <c r="J4310" s="6">
        <v>852025</v>
      </c>
      <c r="K4310" s="7" t="s">
        <v>4808</v>
      </c>
      <c r="L4310" s="8">
        <v>1211337</v>
      </c>
      <c r="M4310" s="8" t="str">
        <f t="shared" si="471"/>
        <v>PEN</v>
      </c>
      <c r="N4310" s="13"/>
      <c r="O4310" s="13">
        <v>379.5</v>
      </c>
      <c r="P4310" s="3">
        <f t="shared" si="472"/>
        <v>0</v>
      </c>
      <c r="Q4310" s="3">
        <f t="shared" si="473"/>
        <v>379.5</v>
      </c>
      <c r="R4310" s="3">
        <f t="shared" si="475"/>
        <v>8703.4999999999745</v>
      </c>
      <c r="S4310" s="24"/>
      <c r="T4310" s="24"/>
      <c r="U4310" s="56" t="s">
        <v>4809</v>
      </c>
      <c r="V4310" s="25">
        <f>IFERROR(VLOOKUP(BCP_Soles[[#This Row],[destinatario]],CHOOSE({1,2},Clientes_Proveedores[Razon Social],Clientes_Proveedores[Ruc / Dni]),2,0),"")</f>
        <v>76390500</v>
      </c>
      <c r="W4310" s="25"/>
      <c r="X4310" s="25"/>
      <c r="Y4310" s="25"/>
      <c r="Z4310" s="77"/>
      <c r="AA4310" s="3" t="str">
        <f>IF(BCP_Soles[[#This Row],[fecha]]&gt;0,TEXT(BCP_Soles[[#This Row],[fecha]],"mmmm"),0)</f>
        <v>Octubre</v>
      </c>
    </row>
    <row r="4311" spans="1:27" x14ac:dyDescent="0.3">
      <c r="A4311" s="2">
        <f>IF(BCP_Soles[[#This Row],[tipo_registro]]="R",COUNTIFS($C$1:$C4310,"R")+1,A4310)</f>
        <v>2862</v>
      </c>
      <c r="B4311" s="19" t="str">
        <f t="shared" si="470"/>
        <v>B-BCP - Soles</v>
      </c>
      <c r="C4311" s="3" t="s">
        <v>1330</v>
      </c>
      <c r="D4311" s="14">
        <v>45951</v>
      </c>
      <c r="E4311" s="5" t="s">
        <v>1338</v>
      </c>
      <c r="F4311" s="5" t="s">
        <v>1336</v>
      </c>
      <c r="G4311" s="6" t="s">
        <v>696</v>
      </c>
      <c r="H4311" s="6"/>
      <c r="I4311" s="198"/>
      <c r="J4311" s="6"/>
      <c r="K4311" s="7" t="s">
        <v>4810</v>
      </c>
      <c r="L4311" s="8">
        <v>9852585</v>
      </c>
      <c r="M4311" s="8" t="str">
        <f t="shared" si="471"/>
        <v>PEN</v>
      </c>
      <c r="N4311" s="13"/>
      <c r="O4311" s="13">
        <v>7637.34</v>
      </c>
      <c r="P4311" s="3">
        <f t="shared" si="472"/>
        <v>0</v>
      </c>
      <c r="Q4311" s="3">
        <f t="shared" si="473"/>
        <v>7637.34</v>
      </c>
      <c r="R4311" s="3">
        <f t="shared" si="474"/>
        <v>1066.1599999999744</v>
      </c>
      <c r="S4311" s="24" t="s">
        <v>1334</v>
      </c>
      <c r="T4311" s="24" t="s">
        <v>1334</v>
      </c>
      <c r="U4311" s="56" t="s">
        <v>4811</v>
      </c>
      <c r="V4311" s="25">
        <f>IFERROR(VLOOKUP(BCP_Soles[[#This Row],[destinatario]],CHOOSE({1,2},Clientes_Proveedores[Razon Social],Clientes_Proveedores[Ruc / Dni]),2,0),"")</f>
        <v>0</v>
      </c>
      <c r="W4311" s="25"/>
      <c r="X4311" s="25"/>
      <c r="Y4311" s="25"/>
      <c r="Z4311" s="77"/>
      <c r="AA4311" s="3" t="str">
        <f>IF(BCP_Soles[[#This Row],[fecha]]&gt;0,TEXT(BCP_Soles[[#This Row],[fecha]],"mmmm"),0)</f>
        <v>Octubre</v>
      </c>
    </row>
    <row r="4312" spans="1:27" ht="24" x14ac:dyDescent="0.3">
      <c r="A4312" s="2">
        <f>IF(BCP_Soles[[#This Row],[tipo_registro]]="R",COUNTIFS($C$1:$C4311,"R")+1,A4311)</f>
        <v>2862</v>
      </c>
      <c r="B4312" s="19" t="str">
        <f t="shared" si="470"/>
        <v>B-BCP - Soles</v>
      </c>
      <c r="C4312" s="3" t="s">
        <v>1352</v>
      </c>
      <c r="D4312" s="14">
        <v>45951</v>
      </c>
      <c r="E4312" s="5" t="s">
        <v>1338</v>
      </c>
      <c r="F4312" s="5" t="s">
        <v>1336</v>
      </c>
      <c r="G4312" s="6" t="s">
        <v>594</v>
      </c>
      <c r="H4312" s="6" t="s">
        <v>68</v>
      </c>
      <c r="I4312" s="198" t="s">
        <v>1376</v>
      </c>
      <c r="J4312" s="6">
        <v>2549</v>
      </c>
      <c r="K4312" s="7" t="s">
        <v>4810</v>
      </c>
      <c r="L4312" s="8">
        <v>9852585</v>
      </c>
      <c r="M4312" s="8" t="str">
        <f t="shared" si="471"/>
        <v>PEN</v>
      </c>
      <c r="N4312" s="13">
        <v>70.8</v>
      </c>
      <c r="O4312" s="13"/>
      <c r="P4312" s="3">
        <f t="shared" si="472"/>
        <v>0</v>
      </c>
      <c r="Q4312" s="3">
        <f t="shared" si="473"/>
        <v>0</v>
      </c>
      <c r="R4312" s="3">
        <f t="shared" si="474"/>
        <v>1066.1599999999744</v>
      </c>
      <c r="S4312" s="24" t="s">
        <v>1334</v>
      </c>
      <c r="T4312" s="24" t="s">
        <v>1334</v>
      </c>
      <c r="U4312" s="56" t="s">
        <v>4811</v>
      </c>
      <c r="V4312" s="25">
        <f>IFERROR(VLOOKUP(BCP_Soles[[#This Row],[destinatario]],CHOOSE({1,2},Clientes_Proveedores[Razon Social],Clientes_Proveedores[Ruc / Dni]),2,0),"")</f>
        <v>20609764261</v>
      </c>
      <c r="W4312" s="25"/>
      <c r="X4312" s="25"/>
      <c r="Y4312" s="25"/>
      <c r="Z4312" s="77"/>
      <c r="AA4312" s="3" t="str">
        <f>IF(BCP_Soles[[#This Row],[fecha]]&gt;0,TEXT(BCP_Soles[[#This Row],[fecha]],"mmmm"),0)</f>
        <v>Octubre</v>
      </c>
    </row>
    <row r="4313" spans="1:27" x14ac:dyDescent="0.3">
      <c r="A4313" s="2">
        <f>IF(BCP_Soles[[#This Row],[tipo_registro]]="R",COUNTIFS($C$1:$C4312,"R")+1,A4312)</f>
        <v>2862</v>
      </c>
      <c r="B4313" s="19" t="str">
        <f t="shared" si="470"/>
        <v>B-BCP - Soles</v>
      </c>
      <c r="C4313" s="3" t="s">
        <v>1352</v>
      </c>
      <c r="D4313" s="14">
        <v>45951</v>
      </c>
      <c r="E4313" s="5" t="s">
        <v>1338</v>
      </c>
      <c r="F4313" s="5" t="s">
        <v>1336</v>
      </c>
      <c r="G4313" s="6" t="s">
        <v>522</v>
      </c>
      <c r="H4313" s="6" t="s">
        <v>68</v>
      </c>
      <c r="I4313" s="198" t="s">
        <v>1376</v>
      </c>
      <c r="J4313" s="6">
        <v>4249</v>
      </c>
      <c r="K4313" s="7" t="s">
        <v>4810</v>
      </c>
      <c r="L4313" s="8">
        <v>9852585</v>
      </c>
      <c r="M4313" s="8" t="str">
        <f t="shared" si="471"/>
        <v>PEN</v>
      </c>
      <c r="N4313" s="13">
        <v>401.2</v>
      </c>
      <c r="O4313" s="13"/>
      <c r="P4313" s="3">
        <f t="shared" si="472"/>
        <v>0</v>
      </c>
      <c r="Q4313" s="3">
        <f t="shared" si="473"/>
        <v>0</v>
      </c>
      <c r="R4313" s="3">
        <f t="shared" si="474"/>
        <v>1066.1599999999744</v>
      </c>
      <c r="S4313" s="24" t="s">
        <v>1334</v>
      </c>
      <c r="T4313" s="24" t="s">
        <v>1334</v>
      </c>
      <c r="U4313" s="56" t="s">
        <v>4811</v>
      </c>
      <c r="V4313" s="25">
        <f>IFERROR(VLOOKUP(BCP_Soles[[#This Row],[destinatario]],CHOOSE({1,2},Clientes_Proveedores[Razon Social],Clientes_Proveedores[Ruc / Dni]),2,0),"")</f>
        <v>20603974817</v>
      </c>
      <c r="W4313" s="25"/>
      <c r="X4313" s="25"/>
      <c r="Y4313" s="25"/>
      <c r="Z4313" s="77"/>
      <c r="AA4313" s="3" t="str">
        <f>IF(BCP_Soles[[#This Row],[fecha]]&gt;0,TEXT(BCP_Soles[[#This Row],[fecha]],"mmmm"),0)</f>
        <v>Octubre</v>
      </c>
    </row>
    <row r="4314" spans="1:27" ht="24" x14ac:dyDescent="0.3">
      <c r="A4314" s="2">
        <f>IF(BCP_Soles[[#This Row],[tipo_registro]]="R",COUNTIFS($C$1:$C4313,"R")+1,A4313)</f>
        <v>2862</v>
      </c>
      <c r="B4314" s="19" t="str">
        <f t="shared" si="470"/>
        <v>B-BCP - Soles</v>
      </c>
      <c r="C4314" s="3" t="s">
        <v>1352</v>
      </c>
      <c r="D4314" s="14">
        <v>45951</v>
      </c>
      <c r="E4314" s="5" t="s">
        <v>1338</v>
      </c>
      <c r="F4314" s="5" t="s">
        <v>1336</v>
      </c>
      <c r="G4314" s="6" t="s">
        <v>594</v>
      </c>
      <c r="H4314" s="6" t="s">
        <v>68</v>
      </c>
      <c r="I4314" s="198" t="s">
        <v>1376</v>
      </c>
      <c r="J4314" s="6">
        <v>2672</v>
      </c>
      <c r="K4314" s="7" t="s">
        <v>4810</v>
      </c>
      <c r="L4314" s="8">
        <v>9852585</v>
      </c>
      <c r="M4314" s="8" t="str">
        <f t="shared" si="471"/>
        <v>PEN</v>
      </c>
      <c r="N4314" s="13">
        <v>70.8</v>
      </c>
      <c r="O4314" s="13"/>
      <c r="P4314" s="3">
        <f t="shared" si="472"/>
        <v>0</v>
      </c>
      <c r="Q4314" s="3">
        <f t="shared" si="473"/>
        <v>0</v>
      </c>
      <c r="R4314" s="3">
        <f t="shared" si="474"/>
        <v>1066.1599999999744</v>
      </c>
      <c r="S4314" s="24" t="s">
        <v>1334</v>
      </c>
      <c r="T4314" s="24" t="s">
        <v>1334</v>
      </c>
      <c r="U4314" s="56" t="s">
        <v>4811</v>
      </c>
      <c r="V4314" s="25">
        <f>IFERROR(VLOOKUP(BCP_Soles[[#This Row],[destinatario]],CHOOSE({1,2},Clientes_Proveedores[Razon Social],Clientes_Proveedores[Ruc / Dni]),2,0),"")</f>
        <v>20609764261</v>
      </c>
      <c r="W4314" s="25"/>
      <c r="X4314" s="25"/>
      <c r="Y4314" s="25"/>
      <c r="Z4314" s="77"/>
      <c r="AA4314" s="3" t="str">
        <f>IF(BCP_Soles[[#This Row],[fecha]]&gt;0,TEXT(BCP_Soles[[#This Row],[fecha]],"mmmm"),0)</f>
        <v>Octubre</v>
      </c>
    </row>
    <row r="4315" spans="1:27" x14ac:dyDescent="0.3">
      <c r="A4315" s="2">
        <f>IF(BCP_Soles[[#This Row],[tipo_registro]]="R",COUNTIFS($C$1:$C4314,"R")+1,A4314)</f>
        <v>2862</v>
      </c>
      <c r="B4315" s="19" t="str">
        <f t="shared" si="470"/>
        <v>B-BCP - Soles</v>
      </c>
      <c r="C4315" s="3" t="s">
        <v>1352</v>
      </c>
      <c r="D4315" s="14">
        <v>45951</v>
      </c>
      <c r="E4315" s="5" t="s">
        <v>1338</v>
      </c>
      <c r="F4315" s="5" t="s">
        <v>1336</v>
      </c>
      <c r="G4315" s="6" t="s">
        <v>522</v>
      </c>
      <c r="H4315" s="6" t="s">
        <v>68</v>
      </c>
      <c r="I4315" s="198" t="s">
        <v>1376</v>
      </c>
      <c r="J4315" s="6">
        <v>4207</v>
      </c>
      <c r="K4315" s="7" t="s">
        <v>4810</v>
      </c>
      <c r="L4315" s="8">
        <v>9852585</v>
      </c>
      <c r="M4315" s="8" t="str">
        <f t="shared" si="471"/>
        <v>PEN</v>
      </c>
      <c r="N4315" s="13">
        <v>351.05</v>
      </c>
      <c r="O4315" s="13"/>
      <c r="P4315" s="3">
        <f t="shared" si="472"/>
        <v>0</v>
      </c>
      <c r="Q4315" s="3">
        <f t="shared" si="473"/>
        <v>0</v>
      </c>
      <c r="R4315" s="3">
        <f t="shared" si="474"/>
        <v>1066.1599999999744</v>
      </c>
      <c r="S4315" s="24" t="s">
        <v>1334</v>
      </c>
      <c r="T4315" s="24" t="s">
        <v>1334</v>
      </c>
      <c r="U4315" s="56" t="s">
        <v>4811</v>
      </c>
      <c r="V4315" s="25">
        <f>IFERROR(VLOOKUP(BCP_Soles[[#This Row],[destinatario]],CHOOSE({1,2},Clientes_Proveedores[Razon Social],Clientes_Proveedores[Ruc / Dni]),2,0),"")</f>
        <v>20603974817</v>
      </c>
      <c r="W4315" s="25"/>
      <c r="X4315" s="25"/>
      <c r="Y4315" s="25"/>
      <c r="Z4315" s="77"/>
      <c r="AA4315" s="3" t="str">
        <f>IF(BCP_Soles[[#This Row],[fecha]]&gt;0,TEXT(BCP_Soles[[#This Row],[fecha]],"mmmm"),0)</f>
        <v>Octubre</v>
      </c>
    </row>
    <row r="4316" spans="1:27" ht="24" x14ac:dyDescent="0.3">
      <c r="A4316" s="2">
        <f>IF(BCP_Soles[[#This Row],[tipo_registro]]="R",COUNTIFS($C$1:$C4315,"R")+1,A4315)</f>
        <v>2862</v>
      </c>
      <c r="B4316" s="19" t="str">
        <f t="shared" si="470"/>
        <v>B-BCP - Soles</v>
      </c>
      <c r="C4316" s="3" t="s">
        <v>1352</v>
      </c>
      <c r="D4316" s="14">
        <v>45951</v>
      </c>
      <c r="E4316" s="5" t="s">
        <v>1338</v>
      </c>
      <c r="F4316" s="5" t="s">
        <v>1336</v>
      </c>
      <c r="G4316" s="6" t="s">
        <v>594</v>
      </c>
      <c r="H4316" s="6" t="s">
        <v>68</v>
      </c>
      <c r="I4316" s="198" t="s">
        <v>1376</v>
      </c>
      <c r="J4316" s="6">
        <v>2654</v>
      </c>
      <c r="K4316" s="7" t="s">
        <v>4810</v>
      </c>
      <c r="L4316" s="8">
        <v>9852585</v>
      </c>
      <c r="M4316" s="8" t="str">
        <f t="shared" si="471"/>
        <v>PEN</v>
      </c>
      <c r="N4316" s="13">
        <v>70.8</v>
      </c>
      <c r="O4316" s="13"/>
      <c r="P4316" s="3">
        <f t="shared" si="472"/>
        <v>0</v>
      </c>
      <c r="Q4316" s="3">
        <f t="shared" si="473"/>
        <v>0</v>
      </c>
      <c r="R4316" s="3">
        <f t="shared" si="474"/>
        <v>1066.1599999999744</v>
      </c>
      <c r="S4316" s="24" t="s">
        <v>1334</v>
      </c>
      <c r="T4316" s="24" t="s">
        <v>1334</v>
      </c>
      <c r="U4316" s="56" t="s">
        <v>4811</v>
      </c>
      <c r="V4316" s="25">
        <f>IFERROR(VLOOKUP(BCP_Soles[[#This Row],[destinatario]],CHOOSE({1,2},Clientes_Proveedores[Razon Social],Clientes_Proveedores[Ruc / Dni]),2,0),"")</f>
        <v>20609764261</v>
      </c>
      <c r="W4316" s="25"/>
      <c r="X4316" s="25"/>
      <c r="Y4316" s="25"/>
      <c r="Z4316" s="77"/>
      <c r="AA4316" s="3" t="str">
        <f>IF(BCP_Soles[[#This Row],[fecha]]&gt;0,TEXT(BCP_Soles[[#This Row],[fecha]],"mmmm"),0)</f>
        <v>Octubre</v>
      </c>
    </row>
    <row r="4317" spans="1:27" ht="24" x14ac:dyDescent="0.3">
      <c r="A4317" s="2">
        <f>IF(BCP_Soles[[#This Row],[tipo_registro]]="R",COUNTIFS($C$1:$C4316,"R")+1,A4316)</f>
        <v>2862</v>
      </c>
      <c r="B4317" s="19" t="str">
        <f t="shared" si="470"/>
        <v>B-BCP - Soles</v>
      </c>
      <c r="C4317" s="3" t="s">
        <v>1352</v>
      </c>
      <c r="D4317" s="14">
        <v>45951</v>
      </c>
      <c r="E4317" s="5" t="s">
        <v>1338</v>
      </c>
      <c r="F4317" s="5" t="s">
        <v>1336</v>
      </c>
      <c r="G4317" s="6" t="s">
        <v>594</v>
      </c>
      <c r="H4317" s="6" t="s">
        <v>68</v>
      </c>
      <c r="I4317" s="198" t="s">
        <v>1376</v>
      </c>
      <c r="J4317" s="6">
        <v>2655</v>
      </c>
      <c r="K4317" s="7" t="s">
        <v>4810</v>
      </c>
      <c r="L4317" s="8">
        <v>9852585</v>
      </c>
      <c r="M4317" s="8" t="str">
        <f t="shared" si="471"/>
        <v>PEN</v>
      </c>
      <c r="N4317" s="13">
        <v>70.8</v>
      </c>
      <c r="O4317" s="13"/>
      <c r="P4317" s="3">
        <f t="shared" si="472"/>
        <v>0</v>
      </c>
      <c r="Q4317" s="3">
        <f t="shared" si="473"/>
        <v>0</v>
      </c>
      <c r="R4317" s="3">
        <f t="shared" si="474"/>
        <v>1066.1599999999744</v>
      </c>
      <c r="S4317" s="24" t="s">
        <v>1334</v>
      </c>
      <c r="T4317" s="24" t="s">
        <v>1334</v>
      </c>
      <c r="U4317" s="56" t="s">
        <v>4811</v>
      </c>
      <c r="V4317" s="25">
        <f>IFERROR(VLOOKUP(BCP_Soles[[#This Row],[destinatario]],CHOOSE({1,2},Clientes_Proveedores[Razon Social],Clientes_Proveedores[Ruc / Dni]),2,0),"")</f>
        <v>20609764261</v>
      </c>
      <c r="W4317" s="25"/>
      <c r="X4317" s="25"/>
      <c r="Y4317" s="25"/>
      <c r="Z4317" s="77"/>
      <c r="AA4317" s="3" t="str">
        <f>IF(BCP_Soles[[#This Row],[fecha]]&gt;0,TEXT(BCP_Soles[[#This Row],[fecha]],"mmmm"),0)</f>
        <v>Octubre</v>
      </c>
    </row>
    <row r="4318" spans="1:27" x14ac:dyDescent="0.3">
      <c r="A4318" s="2">
        <f>IF(BCP_Soles[[#This Row],[tipo_registro]]="R",COUNTIFS($C$1:$C4317,"R")+1,A4317)</f>
        <v>2862</v>
      </c>
      <c r="B4318" s="19" t="str">
        <f t="shared" si="470"/>
        <v>B-BCP - Soles</v>
      </c>
      <c r="C4318" s="3" t="s">
        <v>1352</v>
      </c>
      <c r="D4318" s="14">
        <v>45951</v>
      </c>
      <c r="E4318" s="5" t="s">
        <v>1338</v>
      </c>
      <c r="F4318" s="5" t="s">
        <v>1336</v>
      </c>
      <c r="G4318" s="6" t="s">
        <v>338</v>
      </c>
      <c r="H4318" s="6" t="s">
        <v>68</v>
      </c>
      <c r="I4318" s="198" t="s">
        <v>1376</v>
      </c>
      <c r="J4318" s="6">
        <v>519</v>
      </c>
      <c r="K4318" s="7" t="s">
        <v>4810</v>
      </c>
      <c r="L4318" s="8">
        <v>9852585</v>
      </c>
      <c r="M4318" s="8" t="str">
        <f t="shared" si="471"/>
        <v>PEN</v>
      </c>
      <c r="N4318" s="13">
        <v>354</v>
      </c>
      <c r="O4318" s="13"/>
      <c r="P4318" s="3">
        <f t="shared" si="472"/>
        <v>0</v>
      </c>
      <c r="Q4318" s="3">
        <f t="shared" si="473"/>
        <v>0</v>
      </c>
      <c r="R4318" s="3">
        <f t="shared" si="474"/>
        <v>1066.1599999999744</v>
      </c>
      <c r="S4318" s="24" t="s">
        <v>1334</v>
      </c>
      <c r="T4318" s="24" t="s">
        <v>1334</v>
      </c>
      <c r="U4318" s="56" t="s">
        <v>4811</v>
      </c>
      <c r="V4318" s="25">
        <f>IFERROR(VLOOKUP(BCP_Soles[[#This Row],[destinatario]],CHOOSE({1,2},Clientes_Proveedores[Razon Social],Clientes_Proveedores[Ruc / Dni]),2,0),"")</f>
        <v>20498380931</v>
      </c>
      <c r="W4318" s="25"/>
      <c r="X4318" s="25"/>
      <c r="Y4318" s="25"/>
      <c r="Z4318" s="77"/>
      <c r="AA4318" s="3" t="str">
        <f>IF(BCP_Soles[[#This Row],[fecha]]&gt;0,TEXT(BCP_Soles[[#This Row],[fecha]],"mmmm"),0)</f>
        <v>Octubre</v>
      </c>
    </row>
    <row r="4319" spans="1:27" ht="24" x14ac:dyDescent="0.3">
      <c r="A4319" s="2">
        <f>IF(BCP_Soles[[#This Row],[tipo_registro]]="R",COUNTIFS($C$1:$C4318,"R")+1,A4318)</f>
        <v>2862</v>
      </c>
      <c r="B4319" s="19" t="str">
        <f t="shared" si="470"/>
        <v>B-BCP - Soles</v>
      </c>
      <c r="C4319" s="3" t="s">
        <v>1352</v>
      </c>
      <c r="D4319" s="14">
        <v>45951</v>
      </c>
      <c r="E4319" s="5" t="s">
        <v>1338</v>
      </c>
      <c r="F4319" s="5" t="s">
        <v>1336</v>
      </c>
      <c r="G4319" s="6" t="s">
        <v>594</v>
      </c>
      <c r="H4319" s="6" t="s">
        <v>68</v>
      </c>
      <c r="I4319" s="198" t="s">
        <v>1376</v>
      </c>
      <c r="J4319" s="6">
        <v>2652</v>
      </c>
      <c r="K4319" s="7" t="s">
        <v>4810</v>
      </c>
      <c r="L4319" s="8">
        <v>9852585</v>
      </c>
      <c r="M4319" s="8" t="str">
        <f t="shared" si="471"/>
        <v>PEN</v>
      </c>
      <c r="N4319" s="13">
        <v>70.8</v>
      </c>
      <c r="O4319" s="13"/>
      <c r="P4319" s="3">
        <f t="shared" si="472"/>
        <v>0</v>
      </c>
      <c r="Q4319" s="3">
        <f t="shared" si="473"/>
        <v>0</v>
      </c>
      <c r="R4319" s="3">
        <f t="shared" si="474"/>
        <v>1066.1599999999744</v>
      </c>
      <c r="S4319" s="24" t="s">
        <v>1334</v>
      </c>
      <c r="T4319" s="24" t="s">
        <v>1334</v>
      </c>
      <c r="U4319" s="56" t="s">
        <v>4811</v>
      </c>
      <c r="V4319" s="25">
        <f>IFERROR(VLOOKUP(BCP_Soles[[#This Row],[destinatario]],CHOOSE({1,2},Clientes_Proveedores[Razon Social],Clientes_Proveedores[Ruc / Dni]),2,0),"")</f>
        <v>20609764261</v>
      </c>
      <c r="W4319" s="25"/>
      <c r="X4319" s="25"/>
      <c r="Y4319" s="25"/>
      <c r="Z4319" s="77"/>
      <c r="AA4319" s="3" t="str">
        <f>IF(BCP_Soles[[#This Row],[fecha]]&gt;0,TEXT(BCP_Soles[[#This Row],[fecha]],"mmmm"),0)</f>
        <v>Octubre</v>
      </c>
    </row>
    <row r="4320" spans="1:27" x14ac:dyDescent="0.3">
      <c r="A4320" s="2">
        <f>IF(BCP_Soles[[#This Row],[tipo_registro]]="R",COUNTIFS($C$1:$C4319,"R")+1,A4319)</f>
        <v>2862</v>
      </c>
      <c r="B4320" s="19" t="str">
        <f t="shared" si="470"/>
        <v>B-BCP - Soles</v>
      </c>
      <c r="C4320" s="3" t="s">
        <v>1352</v>
      </c>
      <c r="D4320" s="14">
        <v>45951</v>
      </c>
      <c r="E4320" s="5" t="s">
        <v>1338</v>
      </c>
      <c r="F4320" s="5" t="s">
        <v>1336</v>
      </c>
      <c r="G4320" s="6" t="s">
        <v>522</v>
      </c>
      <c r="H4320" s="6" t="s">
        <v>68</v>
      </c>
      <c r="I4320" s="198" t="s">
        <v>1376</v>
      </c>
      <c r="J4320" s="6">
        <v>4237</v>
      </c>
      <c r="K4320" s="7" t="s">
        <v>4810</v>
      </c>
      <c r="L4320" s="8">
        <v>9852585</v>
      </c>
      <c r="M4320" s="8" t="str">
        <f t="shared" si="471"/>
        <v>PEN</v>
      </c>
      <c r="N4320" s="13">
        <v>451.35</v>
      </c>
      <c r="O4320" s="13"/>
      <c r="P4320" s="3">
        <f t="shared" si="472"/>
        <v>0</v>
      </c>
      <c r="Q4320" s="3">
        <f t="shared" si="473"/>
        <v>0</v>
      </c>
      <c r="R4320" s="3">
        <f t="shared" si="474"/>
        <v>1066.1599999999744</v>
      </c>
      <c r="S4320" s="24" t="s">
        <v>1334</v>
      </c>
      <c r="T4320" s="24" t="s">
        <v>1334</v>
      </c>
      <c r="U4320" s="56" t="s">
        <v>4811</v>
      </c>
      <c r="V4320" s="25">
        <f>IFERROR(VLOOKUP(BCP_Soles[[#This Row],[destinatario]],CHOOSE({1,2},Clientes_Proveedores[Razon Social],Clientes_Proveedores[Ruc / Dni]),2,0),"")</f>
        <v>20603974817</v>
      </c>
      <c r="W4320" s="25"/>
      <c r="X4320" s="25"/>
      <c r="Y4320" s="25"/>
      <c r="Z4320" s="77"/>
      <c r="AA4320" s="3" t="str">
        <f>IF(BCP_Soles[[#This Row],[fecha]]&gt;0,TEXT(BCP_Soles[[#This Row],[fecha]],"mmmm"),0)</f>
        <v>Octubre</v>
      </c>
    </row>
    <row r="4321" spans="1:27" x14ac:dyDescent="0.3">
      <c r="A4321" s="2">
        <f>IF(BCP_Soles[[#This Row],[tipo_registro]]="R",COUNTIFS($C$1:$C4320,"R")+1,A4320)</f>
        <v>2862</v>
      </c>
      <c r="B4321" s="19" t="str">
        <f t="shared" si="470"/>
        <v>B-BCP - Soles</v>
      </c>
      <c r="C4321" s="3" t="s">
        <v>1352</v>
      </c>
      <c r="D4321" s="14">
        <v>45951</v>
      </c>
      <c r="E4321" s="5" t="s">
        <v>1338</v>
      </c>
      <c r="F4321" s="5" t="s">
        <v>1336</v>
      </c>
      <c r="G4321" s="6" t="s">
        <v>522</v>
      </c>
      <c r="H4321" s="6" t="s">
        <v>68</v>
      </c>
      <c r="I4321" s="198" t="s">
        <v>1376</v>
      </c>
      <c r="J4321" s="6">
        <v>4238</v>
      </c>
      <c r="K4321" s="7" t="s">
        <v>4810</v>
      </c>
      <c r="L4321" s="8">
        <v>9852585</v>
      </c>
      <c r="M4321" s="8" t="str">
        <f t="shared" si="471"/>
        <v>PEN</v>
      </c>
      <c r="N4321" s="13">
        <v>651.95000000000005</v>
      </c>
      <c r="O4321" s="13"/>
      <c r="P4321" s="3">
        <f t="shared" si="472"/>
        <v>0</v>
      </c>
      <c r="Q4321" s="3">
        <f t="shared" si="473"/>
        <v>0</v>
      </c>
      <c r="R4321" s="3">
        <f t="shared" si="474"/>
        <v>1066.1599999999744</v>
      </c>
      <c r="S4321" s="24" t="s">
        <v>1334</v>
      </c>
      <c r="T4321" s="24" t="s">
        <v>1334</v>
      </c>
      <c r="U4321" s="56" t="s">
        <v>4811</v>
      </c>
      <c r="V4321" s="25">
        <f>IFERROR(VLOOKUP(BCP_Soles[[#This Row],[destinatario]],CHOOSE({1,2},Clientes_Proveedores[Razon Social],Clientes_Proveedores[Ruc / Dni]),2,0),"")</f>
        <v>20603974817</v>
      </c>
      <c r="W4321" s="25"/>
      <c r="X4321" s="25"/>
      <c r="Y4321" s="25"/>
      <c r="Z4321" s="77"/>
      <c r="AA4321" s="3" t="str">
        <f>IF(BCP_Soles[[#This Row],[fecha]]&gt;0,TEXT(BCP_Soles[[#This Row],[fecha]],"mmmm"),0)</f>
        <v>Octubre</v>
      </c>
    </row>
    <row r="4322" spans="1:27" ht="24" x14ac:dyDescent="0.3">
      <c r="A4322" s="2">
        <f>IF(BCP_Soles[[#This Row],[tipo_registro]]="R",COUNTIFS($C$1:$C4321,"R")+1,A4321)</f>
        <v>2862</v>
      </c>
      <c r="B4322" s="19" t="str">
        <f t="shared" si="470"/>
        <v>B-BCP - Soles</v>
      </c>
      <c r="C4322" s="3" t="s">
        <v>1352</v>
      </c>
      <c r="D4322" s="14">
        <v>45951</v>
      </c>
      <c r="E4322" s="5" t="s">
        <v>1338</v>
      </c>
      <c r="F4322" s="5" t="s">
        <v>1336</v>
      </c>
      <c r="G4322" s="6" t="s">
        <v>187</v>
      </c>
      <c r="H4322" s="6" t="s">
        <v>68</v>
      </c>
      <c r="I4322" s="198" t="s">
        <v>1376</v>
      </c>
      <c r="J4322" s="6">
        <v>679</v>
      </c>
      <c r="K4322" s="7" t="s">
        <v>4810</v>
      </c>
      <c r="L4322" s="8">
        <v>9852585</v>
      </c>
      <c r="M4322" s="8" t="str">
        <f t="shared" si="471"/>
        <v>PEN</v>
      </c>
      <c r="N4322" s="13">
        <v>150</v>
      </c>
      <c r="O4322" s="13"/>
      <c r="P4322" s="3">
        <f t="shared" si="472"/>
        <v>0</v>
      </c>
      <c r="Q4322" s="3">
        <f t="shared" si="473"/>
        <v>0</v>
      </c>
      <c r="R4322" s="3">
        <f t="shared" si="474"/>
        <v>1066.1599999999744</v>
      </c>
      <c r="S4322" s="24" t="s">
        <v>1334</v>
      </c>
      <c r="T4322" s="24" t="s">
        <v>1334</v>
      </c>
      <c r="U4322" s="56" t="s">
        <v>4811</v>
      </c>
      <c r="V4322" s="25">
        <f>IFERROR(VLOOKUP(BCP_Soles[[#This Row],[destinatario]],CHOOSE({1,2},Clientes_Proveedores[Razon Social],Clientes_Proveedores[Ruc / Dni]),2,0),"")</f>
        <v>10706063426</v>
      </c>
      <c r="W4322" s="25"/>
      <c r="X4322" s="25"/>
      <c r="Y4322" s="25"/>
      <c r="Z4322" s="77"/>
      <c r="AA4322" s="3" t="str">
        <f>IF(BCP_Soles[[#This Row],[fecha]]&gt;0,TEXT(BCP_Soles[[#This Row],[fecha]],"mmmm"),0)</f>
        <v>Octubre</v>
      </c>
    </row>
    <row r="4323" spans="1:27" x14ac:dyDescent="0.3">
      <c r="A4323" s="2">
        <f>IF(BCP_Soles[[#This Row],[tipo_registro]]="R",COUNTIFS($C$1:$C4322,"R")+1,A4322)</f>
        <v>2862</v>
      </c>
      <c r="B4323" s="19" t="str">
        <f t="shared" si="470"/>
        <v>B-BCP - Soles</v>
      </c>
      <c r="C4323" s="3" t="s">
        <v>1352</v>
      </c>
      <c r="D4323" s="14">
        <v>45951</v>
      </c>
      <c r="E4323" s="5" t="s">
        <v>1338</v>
      </c>
      <c r="F4323" s="5" t="s">
        <v>1336</v>
      </c>
      <c r="G4323" s="6" t="s">
        <v>522</v>
      </c>
      <c r="H4323" s="6" t="s">
        <v>68</v>
      </c>
      <c r="I4323" s="198" t="s">
        <v>1376</v>
      </c>
      <c r="J4323" s="6">
        <v>4240</v>
      </c>
      <c r="K4323" s="7" t="s">
        <v>4810</v>
      </c>
      <c r="L4323" s="8">
        <v>9852585</v>
      </c>
      <c r="M4323" s="8" t="str">
        <f t="shared" si="471"/>
        <v>PEN</v>
      </c>
      <c r="N4323" s="13">
        <v>250.75</v>
      </c>
      <c r="O4323" s="13"/>
      <c r="P4323" s="3">
        <f t="shared" si="472"/>
        <v>0</v>
      </c>
      <c r="Q4323" s="3">
        <f t="shared" si="473"/>
        <v>0</v>
      </c>
      <c r="R4323" s="3">
        <f t="shared" si="474"/>
        <v>1066.1599999999744</v>
      </c>
      <c r="S4323" s="24" t="s">
        <v>1334</v>
      </c>
      <c r="T4323" s="24" t="s">
        <v>1334</v>
      </c>
      <c r="U4323" s="56" t="s">
        <v>4811</v>
      </c>
      <c r="V4323" s="25">
        <f>IFERROR(VLOOKUP(BCP_Soles[[#This Row],[destinatario]],CHOOSE({1,2},Clientes_Proveedores[Razon Social],Clientes_Proveedores[Ruc / Dni]),2,0),"")</f>
        <v>20603974817</v>
      </c>
      <c r="W4323" s="25"/>
      <c r="X4323" s="25"/>
      <c r="Y4323" s="25"/>
      <c r="Z4323" s="77"/>
      <c r="AA4323" s="3" t="str">
        <f>IF(BCP_Soles[[#This Row],[fecha]]&gt;0,TEXT(BCP_Soles[[#This Row],[fecha]],"mmmm"),0)</f>
        <v>Octubre</v>
      </c>
    </row>
    <row r="4324" spans="1:27" x14ac:dyDescent="0.3">
      <c r="A4324" s="2">
        <f>IF(BCP_Soles[[#This Row],[tipo_registro]]="R",COUNTIFS($C$1:$C4323,"R")+1,A4323)</f>
        <v>2862</v>
      </c>
      <c r="B4324" s="19" t="str">
        <f t="shared" si="470"/>
        <v>B-BCP - Soles</v>
      </c>
      <c r="C4324" s="3" t="s">
        <v>1352</v>
      </c>
      <c r="D4324" s="14">
        <v>45951</v>
      </c>
      <c r="E4324" s="5" t="s">
        <v>1338</v>
      </c>
      <c r="F4324" s="5" t="s">
        <v>1336</v>
      </c>
      <c r="G4324" s="6" t="s">
        <v>522</v>
      </c>
      <c r="H4324" s="6" t="s">
        <v>68</v>
      </c>
      <c r="I4324" s="198" t="s">
        <v>1376</v>
      </c>
      <c r="J4324" s="6">
        <v>4227</v>
      </c>
      <c r="K4324" s="7" t="s">
        <v>4810</v>
      </c>
      <c r="L4324" s="8">
        <v>9852585</v>
      </c>
      <c r="M4324" s="8" t="str">
        <f t="shared" si="471"/>
        <v>PEN</v>
      </c>
      <c r="N4324" s="13">
        <v>351.05</v>
      </c>
      <c r="O4324" s="13"/>
      <c r="P4324" s="3">
        <f t="shared" si="472"/>
        <v>0</v>
      </c>
      <c r="Q4324" s="3">
        <f t="shared" si="473"/>
        <v>0</v>
      </c>
      <c r="R4324" s="3">
        <f t="shared" si="474"/>
        <v>1066.1599999999744</v>
      </c>
      <c r="S4324" s="24" t="s">
        <v>1334</v>
      </c>
      <c r="T4324" s="24" t="s">
        <v>1334</v>
      </c>
      <c r="U4324" s="56" t="s">
        <v>4811</v>
      </c>
      <c r="V4324" s="25">
        <f>IFERROR(VLOOKUP(BCP_Soles[[#This Row],[destinatario]],CHOOSE({1,2},Clientes_Proveedores[Razon Social],Clientes_Proveedores[Ruc / Dni]),2,0),"")</f>
        <v>20603974817</v>
      </c>
      <c r="W4324" s="25"/>
      <c r="X4324" s="25"/>
      <c r="Y4324" s="25"/>
      <c r="Z4324" s="77"/>
      <c r="AA4324" s="3" t="str">
        <f>IF(BCP_Soles[[#This Row],[fecha]]&gt;0,TEXT(BCP_Soles[[#This Row],[fecha]],"mmmm"),0)</f>
        <v>Octubre</v>
      </c>
    </row>
    <row r="4325" spans="1:27" x14ac:dyDescent="0.3">
      <c r="A4325" s="2">
        <f>IF(BCP_Soles[[#This Row],[tipo_registro]]="R",COUNTIFS($C$1:$C4324,"R")+1,A4324)</f>
        <v>2862</v>
      </c>
      <c r="B4325" s="19" t="str">
        <f t="shared" si="470"/>
        <v>B-BCP - Soles</v>
      </c>
      <c r="C4325" s="3" t="s">
        <v>1352</v>
      </c>
      <c r="D4325" s="14">
        <v>45951</v>
      </c>
      <c r="E4325" s="5" t="s">
        <v>1338</v>
      </c>
      <c r="F4325" s="5" t="s">
        <v>1336</v>
      </c>
      <c r="G4325" s="6" t="s">
        <v>522</v>
      </c>
      <c r="H4325" s="6" t="s">
        <v>68</v>
      </c>
      <c r="I4325" s="198" t="s">
        <v>1376</v>
      </c>
      <c r="J4325" s="6">
        <v>4284</v>
      </c>
      <c r="K4325" s="7" t="s">
        <v>4810</v>
      </c>
      <c r="L4325" s="8">
        <v>9852585</v>
      </c>
      <c r="M4325" s="8" t="str">
        <f t="shared" si="471"/>
        <v>PEN</v>
      </c>
      <c r="N4325" s="13">
        <v>150.44999999999999</v>
      </c>
      <c r="O4325" s="13"/>
      <c r="P4325" s="3">
        <f t="shared" si="472"/>
        <v>0</v>
      </c>
      <c r="Q4325" s="3">
        <f t="shared" si="473"/>
        <v>0</v>
      </c>
      <c r="R4325" s="3">
        <f t="shared" si="474"/>
        <v>1066.1599999999744</v>
      </c>
      <c r="S4325" s="24" t="s">
        <v>1334</v>
      </c>
      <c r="T4325" s="24" t="s">
        <v>1334</v>
      </c>
      <c r="U4325" s="56" t="s">
        <v>4811</v>
      </c>
      <c r="V4325" s="25">
        <f>IFERROR(VLOOKUP(BCP_Soles[[#This Row],[destinatario]],CHOOSE({1,2},Clientes_Proveedores[Razon Social],Clientes_Proveedores[Ruc / Dni]),2,0),"")</f>
        <v>20603974817</v>
      </c>
      <c r="W4325" s="25"/>
      <c r="X4325" s="25"/>
      <c r="Y4325" s="25"/>
      <c r="Z4325" s="77"/>
      <c r="AA4325" s="3" t="str">
        <f>IF(BCP_Soles[[#This Row],[fecha]]&gt;0,TEXT(BCP_Soles[[#This Row],[fecha]],"mmmm"),0)</f>
        <v>Octubre</v>
      </c>
    </row>
    <row r="4326" spans="1:27" x14ac:dyDescent="0.3">
      <c r="A4326" s="2">
        <f>IF(BCP_Soles[[#This Row],[tipo_registro]]="R",COUNTIFS($C$1:$C4325,"R")+1,A4325)</f>
        <v>2862</v>
      </c>
      <c r="B4326" s="19" t="str">
        <f t="shared" si="470"/>
        <v>B-BCP - Soles</v>
      </c>
      <c r="C4326" s="3" t="s">
        <v>1352</v>
      </c>
      <c r="D4326" s="14">
        <v>45951</v>
      </c>
      <c r="E4326" s="5" t="s">
        <v>1338</v>
      </c>
      <c r="F4326" s="5" t="s">
        <v>1336</v>
      </c>
      <c r="G4326" s="6" t="s">
        <v>522</v>
      </c>
      <c r="H4326" s="6" t="s">
        <v>68</v>
      </c>
      <c r="I4326" s="198" t="s">
        <v>1376</v>
      </c>
      <c r="J4326" s="6">
        <v>4285</v>
      </c>
      <c r="K4326" s="7" t="s">
        <v>4810</v>
      </c>
      <c r="L4326" s="8">
        <v>9852585</v>
      </c>
      <c r="M4326" s="8" t="str">
        <f t="shared" si="471"/>
        <v>PEN</v>
      </c>
      <c r="N4326" s="13">
        <v>722.4</v>
      </c>
      <c r="O4326" s="13"/>
      <c r="P4326" s="3">
        <f t="shared" si="472"/>
        <v>0</v>
      </c>
      <c r="Q4326" s="3">
        <f t="shared" si="473"/>
        <v>0</v>
      </c>
      <c r="R4326" s="3">
        <f t="shared" si="474"/>
        <v>1066.1599999999744</v>
      </c>
      <c r="S4326" s="24" t="s">
        <v>1334</v>
      </c>
      <c r="T4326" s="24" t="s">
        <v>1334</v>
      </c>
      <c r="U4326" s="56" t="s">
        <v>4811</v>
      </c>
      <c r="V4326" s="25">
        <f>IFERROR(VLOOKUP(BCP_Soles[[#This Row],[destinatario]],CHOOSE({1,2},Clientes_Proveedores[Razon Social],Clientes_Proveedores[Ruc / Dni]),2,0),"")</f>
        <v>20603974817</v>
      </c>
      <c r="W4326" s="25"/>
      <c r="X4326" s="25"/>
      <c r="Y4326" s="25"/>
      <c r="Z4326" s="77"/>
      <c r="AA4326" s="3" t="str">
        <f>IF(BCP_Soles[[#This Row],[fecha]]&gt;0,TEXT(BCP_Soles[[#This Row],[fecha]],"mmmm"),0)</f>
        <v>Octubre</v>
      </c>
    </row>
    <row r="4327" spans="1:27" ht="36" x14ac:dyDescent="0.3">
      <c r="A4327" s="2">
        <f>IF(BCP_Soles[[#This Row],[tipo_registro]]="R",COUNTIFS($C$1:$C4326,"R")+1,A4326)</f>
        <v>2862</v>
      </c>
      <c r="B4327" s="19" t="str">
        <f t="shared" si="470"/>
        <v>B-BCP - Soles</v>
      </c>
      <c r="C4327" s="3" t="s">
        <v>1352</v>
      </c>
      <c r="D4327" s="14">
        <v>45951</v>
      </c>
      <c r="E4327" s="5" t="s">
        <v>1338</v>
      </c>
      <c r="F4327" s="5" t="s">
        <v>1336</v>
      </c>
      <c r="G4327" s="6" t="s">
        <v>499</v>
      </c>
      <c r="H4327" s="6" t="s">
        <v>68</v>
      </c>
      <c r="I4327" s="198" t="s">
        <v>1376</v>
      </c>
      <c r="J4327" s="6">
        <v>270</v>
      </c>
      <c r="K4327" s="7" t="s">
        <v>4810</v>
      </c>
      <c r="L4327" s="8">
        <v>9852585</v>
      </c>
      <c r="M4327" s="8" t="str">
        <f t="shared" si="471"/>
        <v>PEN</v>
      </c>
      <c r="N4327" s="13">
        <v>3449.14</v>
      </c>
      <c r="O4327" s="13"/>
      <c r="P4327" s="3">
        <f t="shared" si="472"/>
        <v>0</v>
      </c>
      <c r="Q4327" s="3">
        <f t="shared" si="473"/>
        <v>0</v>
      </c>
      <c r="R4327" s="3">
        <f t="shared" si="474"/>
        <v>1066.1599999999744</v>
      </c>
      <c r="S4327" s="24" t="s">
        <v>1334</v>
      </c>
      <c r="T4327" s="24" t="s">
        <v>1334</v>
      </c>
      <c r="U4327" s="56" t="s">
        <v>4811</v>
      </c>
      <c r="V4327" s="25">
        <f>IFERROR(VLOOKUP(BCP_Soles[[#This Row],[destinatario]],CHOOSE({1,2},Clientes_Proveedores[Razon Social],Clientes_Proveedores[Ruc / Dni]),2,0),"")</f>
        <v>20602818161</v>
      </c>
      <c r="W4327" s="25"/>
      <c r="X4327" s="25"/>
      <c r="Y4327" s="25"/>
      <c r="Z4327" s="77"/>
      <c r="AA4327" s="3" t="str">
        <f>IF(BCP_Soles[[#This Row],[fecha]]&gt;0,TEXT(BCP_Soles[[#This Row],[fecha]],"mmmm"),0)</f>
        <v>Octubre</v>
      </c>
    </row>
    <row r="4328" spans="1:27" ht="24" x14ac:dyDescent="0.3">
      <c r="A4328" s="2">
        <f>IF(BCP_Soles[[#This Row],[tipo_registro]]="R",COUNTIFS($C$1:$C4327,"R")+1,A4327)</f>
        <v>2863</v>
      </c>
      <c r="B4328" s="19" t="str">
        <f t="shared" si="470"/>
        <v>B-BCP - Soles</v>
      </c>
      <c r="C4328" s="3" t="s">
        <v>1330</v>
      </c>
      <c r="D4328" s="14">
        <v>45951</v>
      </c>
      <c r="E4328" s="5" t="s">
        <v>1335</v>
      </c>
      <c r="F4328" s="5" t="s">
        <v>1336</v>
      </c>
      <c r="G4328" s="6" t="s">
        <v>1060</v>
      </c>
      <c r="H4328" s="6" t="s">
        <v>68</v>
      </c>
      <c r="I4328" s="198" t="s">
        <v>1397</v>
      </c>
      <c r="J4328" s="6">
        <v>38392267</v>
      </c>
      <c r="K4328" s="7" t="s">
        <v>4812</v>
      </c>
      <c r="L4328" s="8">
        <v>9852608</v>
      </c>
      <c r="M4328" s="8" t="str">
        <f t="shared" si="471"/>
        <v>PEN</v>
      </c>
      <c r="N4328" s="13"/>
      <c r="O4328" s="13">
        <v>2.5</v>
      </c>
      <c r="P4328" s="3">
        <f t="shared" si="472"/>
        <v>0</v>
      </c>
      <c r="Q4328" s="3">
        <f t="shared" si="473"/>
        <v>2.5</v>
      </c>
      <c r="R4328" s="3">
        <f t="shared" si="474"/>
        <v>1063.6599999999744</v>
      </c>
      <c r="S4328" s="24" t="s">
        <v>1334</v>
      </c>
      <c r="T4328" s="24" t="s">
        <v>1334</v>
      </c>
      <c r="U4328" s="55"/>
      <c r="V4328" s="25">
        <f>IFERROR(VLOOKUP(BCP_Soles[[#This Row],[destinatario]],CHOOSE({1,2},Clientes_Proveedores[Razon Social],Clientes_Proveedores[Ruc / Dni]),2,0),"")</f>
        <v>20100047218</v>
      </c>
      <c r="W4328" s="25"/>
      <c r="X4328" s="25"/>
      <c r="Y4328" s="25"/>
      <c r="Z4328" s="77"/>
      <c r="AA4328" s="3" t="str">
        <f>IF(BCP_Soles[[#This Row],[fecha]]&gt;0,TEXT(BCP_Soles[[#This Row],[fecha]],"mmmm"),0)</f>
        <v>Octubre</v>
      </c>
    </row>
    <row r="4329" spans="1:27" x14ac:dyDescent="0.3">
      <c r="A4329" s="2">
        <f>IF(BCP_Soles[[#This Row],[tipo_registro]]="R",COUNTIFS($C$1:$C4328,"R")+1,A4328)</f>
        <v>2864</v>
      </c>
      <c r="B4329" s="19" t="str">
        <f t="shared" ref="B4329:B4340" si="476">"B-BCP - Soles"</f>
        <v>B-BCP - Soles</v>
      </c>
      <c r="C4329" s="3" t="s">
        <v>1330</v>
      </c>
      <c r="D4329" s="14">
        <v>45951</v>
      </c>
      <c r="E4329" s="5" t="s">
        <v>3190</v>
      </c>
      <c r="F4329" s="5" t="s">
        <v>1336</v>
      </c>
      <c r="G4329" s="6"/>
      <c r="H4329" s="6"/>
      <c r="I4329" s="198"/>
      <c r="J4329" s="6"/>
      <c r="K4329" s="7" t="s">
        <v>4813</v>
      </c>
      <c r="L4329" s="8">
        <v>1020290</v>
      </c>
      <c r="M4329" s="8" t="str">
        <f t="shared" ref="M4329:M4340" si="477">"PEN"</f>
        <v>PEN</v>
      </c>
      <c r="N4329" s="13"/>
      <c r="O4329" s="13">
        <v>871</v>
      </c>
      <c r="P4329" s="3">
        <f t="shared" ref="P4329:P4340" si="478">+IF(OR($F4329="SALDO",$F4329="INGRESO"),$O4329,0)</f>
        <v>0</v>
      </c>
      <c r="Q4329" s="3">
        <f t="shared" ref="Q4329:Q4340" si="479">+IF($F4329="EGRESO",$O4329,0)</f>
        <v>871</v>
      </c>
      <c r="R4329" s="3">
        <f t="shared" ref="R4329:R4340" si="480">IFERROR(IF(F4329="SALDO",P4329,R4328+P4329-Q4329),0)</f>
        <v>192.65999999997439</v>
      </c>
      <c r="S4329" s="24"/>
      <c r="T4329" s="24"/>
      <c r="U4329" s="55"/>
      <c r="V4329" s="25" t="str">
        <f>IFERROR(VLOOKUP(BCP_Soles[[#This Row],[destinatario]],CHOOSE({1,2},Clientes_Proveedores[Razon Social],Clientes_Proveedores[Ruc / Dni]),2,0),"")</f>
        <v/>
      </c>
      <c r="W4329" s="25"/>
      <c r="X4329" s="25"/>
      <c r="Y4329" s="25"/>
      <c r="Z4329" s="77"/>
      <c r="AA4329" s="3" t="str">
        <f>IF(BCP_Soles[[#This Row],[fecha]]&gt;0,TEXT(BCP_Soles[[#This Row],[fecha]],"mmmm"),0)</f>
        <v>Octubre</v>
      </c>
    </row>
    <row r="4330" spans="1:27" ht="24" x14ac:dyDescent="0.3">
      <c r="A4330" s="2">
        <f>IF(BCP_Soles[[#This Row],[tipo_registro]]="R",COUNTIFS($C$1:$C4329,"R")+1,A4329)</f>
        <v>2865</v>
      </c>
      <c r="B4330" s="19" t="str">
        <f t="shared" si="476"/>
        <v>B-BCP - Soles</v>
      </c>
      <c r="C4330" s="3" t="s">
        <v>1330</v>
      </c>
      <c r="D4330" s="14">
        <v>45951</v>
      </c>
      <c r="E4330" s="5" t="s">
        <v>1335</v>
      </c>
      <c r="F4330" s="5" t="s">
        <v>1336</v>
      </c>
      <c r="G4330" s="6" t="s">
        <v>1060</v>
      </c>
      <c r="H4330" s="6" t="s">
        <v>68</v>
      </c>
      <c r="I4330" s="198" t="s">
        <v>1397</v>
      </c>
      <c r="J4330" s="6">
        <v>38391723</v>
      </c>
      <c r="K4330" s="7" t="s">
        <v>4230</v>
      </c>
      <c r="L4330" s="8">
        <v>427</v>
      </c>
      <c r="M4330" s="8" t="str">
        <f t="shared" si="477"/>
        <v>PEN</v>
      </c>
      <c r="N4330" s="13"/>
      <c r="O4330" s="13">
        <v>10</v>
      </c>
      <c r="P4330" s="3">
        <f t="shared" si="478"/>
        <v>0</v>
      </c>
      <c r="Q4330" s="3">
        <f t="shared" si="479"/>
        <v>10</v>
      </c>
      <c r="R4330" s="3">
        <f t="shared" si="480"/>
        <v>182.65999999997439</v>
      </c>
      <c r="S4330" s="24" t="s">
        <v>1334</v>
      </c>
      <c r="T4330" s="24" t="s">
        <v>1334</v>
      </c>
      <c r="U4330" s="55"/>
      <c r="V4330" s="25">
        <f>IFERROR(VLOOKUP(BCP_Soles[[#This Row],[destinatario]],CHOOSE({1,2},Clientes_Proveedores[Razon Social],Clientes_Proveedores[Ruc / Dni]),2,0),"")</f>
        <v>20100047218</v>
      </c>
      <c r="W4330" s="25"/>
      <c r="X4330" s="25"/>
      <c r="Y4330" s="25"/>
      <c r="Z4330" s="77"/>
      <c r="AA4330" s="3" t="str">
        <f>IF(BCP_Soles[[#This Row],[fecha]]&gt;0,TEXT(BCP_Soles[[#This Row],[fecha]],"mmmm"),0)</f>
        <v>Octubre</v>
      </c>
    </row>
    <row r="4331" spans="1:27" x14ac:dyDescent="0.3">
      <c r="A4331" s="2">
        <f>IF(BCP_Soles[[#This Row],[tipo_registro]]="R",COUNTIFS($C$1:$C4330,"R")+1,A4330)</f>
        <v>2866</v>
      </c>
      <c r="B4331" s="19" t="str">
        <f t="shared" si="476"/>
        <v>B-BCP - Soles</v>
      </c>
      <c r="C4331" s="3" t="s">
        <v>1330</v>
      </c>
      <c r="D4331" s="14">
        <v>45951</v>
      </c>
      <c r="E4331" s="5"/>
      <c r="F4331" s="5" t="s">
        <v>1336</v>
      </c>
      <c r="G4331" s="6"/>
      <c r="H4331" s="6"/>
      <c r="I4331" s="198"/>
      <c r="J4331" s="6"/>
      <c r="K4331" s="7" t="s">
        <v>3160</v>
      </c>
      <c r="L4331" s="8"/>
      <c r="M4331" s="8" t="str">
        <f t="shared" si="477"/>
        <v>PEN</v>
      </c>
      <c r="N4331" s="13"/>
      <c r="O4331" s="13">
        <v>0.55000000000000004</v>
      </c>
      <c r="P4331" s="3">
        <f t="shared" si="478"/>
        <v>0</v>
      </c>
      <c r="Q4331" s="3">
        <f t="shared" si="479"/>
        <v>0.55000000000000004</v>
      </c>
      <c r="R4331" s="3">
        <f>IFERROR(IF(F4331="SALDO",P4331,R4330+P4331-Q4331),0)</f>
        <v>182.10999999997438</v>
      </c>
      <c r="S4331" s="24"/>
      <c r="T4331" s="24"/>
      <c r="U4331" s="55"/>
      <c r="V4331" s="25" t="str">
        <f>IFERROR(VLOOKUP(BCP_Soles[[#This Row],[destinatario]],CHOOSE({1,2},Clientes_Proveedores[Razon Social],Clientes_Proveedores[Ruc / Dni]),2,0),"")</f>
        <v/>
      </c>
      <c r="W4331" s="25"/>
      <c r="X4331" s="25"/>
      <c r="Y4331" s="25"/>
      <c r="Z4331" s="77"/>
      <c r="AA4331" s="3" t="str">
        <f>IF(BCP_Soles[[#This Row],[fecha]]&gt;0,TEXT(BCP_Soles[[#This Row],[fecha]],"mmmm"),0)</f>
        <v>Octubre</v>
      </c>
    </row>
    <row r="4332" spans="1:27" ht="36" x14ac:dyDescent="0.3">
      <c r="A4332" s="2">
        <f>IF(BCP_Soles[[#This Row],[tipo_registro]]="R",COUNTIFS($C$1:$C4331,"R")+1,A4331)</f>
        <v>2867</v>
      </c>
      <c r="B4332" s="19" t="str">
        <f t="shared" si="476"/>
        <v>B-BCP - Soles</v>
      </c>
      <c r="C4332" s="3" t="s">
        <v>1330</v>
      </c>
      <c r="D4332" s="14">
        <v>45952</v>
      </c>
      <c r="E4332" s="5" t="s">
        <v>555</v>
      </c>
      <c r="F4332" s="5" t="s">
        <v>1303</v>
      </c>
      <c r="G4332" s="6" t="s">
        <v>425</v>
      </c>
      <c r="H4332" s="6"/>
      <c r="I4332" s="198"/>
      <c r="J4332" s="6"/>
      <c r="K4332" s="7" t="s">
        <v>4112</v>
      </c>
      <c r="L4332" s="8">
        <v>201236</v>
      </c>
      <c r="M4332" s="8" t="str">
        <f t="shared" si="477"/>
        <v>PEN</v>
      </c>
      <c r="N4332" s="13"/>
      <c r="O4332" s="13">
        <v>2343.48</v>
      </c>
      <c r="P4332" s="3">
        <f t="shared" si="478"/>
        <v>2343.48</v>
      </c>
      <c r="Q4332" s="3">
        <f t="shared" si="479"/>
        <v>0</v>
      </c>
      <c r="R4332" s="3">
        <f t="shared" si="480"/>
        <v>2525.5899999999742</v>
      </c>
      <c r="S4332" s="24" t="s">
        <v>1334</v>
      </c>
      <c r="T4332" s="24" t="s">
        <v>1334</v>
      </c>
      <c r="U4332" s="55"/>
      <c r="V4332" s="25">
        <f>IFERROR(VLOOKUP(BCP_Soles[[#This Row],[destinatario]],CHOOSE({1,2},Clientes_Proveedores[Razon Social],Clientes_Proveedores[Ruc / Dni]),2,0),"")</f>
        <v>20558226979</v>
      </c>
      <c r="W4332" s="25"/>
      <c r="X4332" s="25"/>
      <c r="Y4332" s="25"/>
      <c r="Z4332" s="77"/>
      <c r="AA4332" s="3" t="str">
        <f>IF(BCP_Soles[[#This Row],[fecha]]&gt;0,TEXT(BCP_Soles[[#This Row],[fecha]],"mmmm"),0)</f>
        <v>Octubre</v>
      </c>
    </row>
    <row r="4333" spans="1:27" ht="36" x14ac:dyDescent="0.3">
      <c r="A4333" s="2">
        <f>IF(BCP_Soles[[#This Row],[tipo_registro]]="R",COUNTIFS($C$1:$C4332,"R")+1,A4332)</f>
        <v>2867</v>
      </c>
      <c r="B4333" s="19" t="str">
        <f t="shared" si="476"/>
        <v>B-BCP - Soles</v>
      </c>
      <c r="C4333" s="3" t="s">
        <v>1352</v>
      </c>
      <c r="D4333" s="14">
        <v>45952</v>
      </c>
      <c r="E4333" s="5" t="s">
        <v>555</v>
      </c>
      <c r="F4333" s="5" t="s">
        <v>1303</v>
      </c>
      <c r="G4333" s="6" t="s">
        <v>425</v>
      </c>
      <c r="H4333" s="6" t="s">
        <v>68</v>
      </c>
      <c r="I4333" s="198" t="s">
        <v>3381</v>
      </c>
      <c r="J4333" s="6">
        <v>75</v>
      </c>
      <c r="K4333" s="7" t="s">
        <v>4112</v>
      </c>
      <c r="L4333" s="8">
        <v>201236</v>
      </c>
      <c r="M4333" s="8" t="str">
        <f t="shared" si="477"/>
        <v>PEN</v>
      </c>
      <c r="N4333" s="13">
        <v>1508.48</v>
      </c>
      <c r="O4333" s="13"/>
      <c r="P4333" s="3">
        <f t="shared" si="478"/>
        <v>0</v>
      </c>
      <c r="Q4333" s="3">
        <f t="shared" si="479"/>
        <v>0</v>
      </c>
      <c r="R4333" s="3">
        <f t="shared" si="480"/>
        <v>2525.5899999999742</v>
      </c>
      <c r="S4333" s="24" t="s">
        <v>1334</v>
      </c>
      <c r="T4333" s="24" t="s">
        <v>1334</v>
      </c>
      <c r="U4333" s="55"/>
      <c r="V4333" s="25">
        <f>IFERROR(VLOOKUP(BCP_Soles[[#This Row],[destinatario]],CHOOSE({1,2},Clientes_Proveedores[Razon Social],Clientes_Proveedores[Ruc / Dni]),2,0),"")</f>
        <v>20558226979</v>
      </c>
      <c r="W4333" s="25"/>
      <c r="X4333" s="25"/>
      <c r="Y4333" s="25"/>
      <c r="Z4333" s="77"/>
      <c r="AA4333" s="3" t="str">
        <f>IF(BCP_Soles[[#This Row],[fecha]]&gt;0,TEXT(BCP_Soles[[#This Row],[fecha]],"mmmm"),0)</f>
        <v>Octubre</v>
      </c>
    </row>
    <row r="4334" spans="1:27" ht="36" x14ac:dyDescent="0.3">
      <c r="A4334" s="2">
        <f>IF(BCP_Soles[[#This Row],[tipo_registro]]="R",COUNTIFS($C$1:$C4333,"R")+1,A4333)</f>
        <v>2867</v>
      </c>
      <c r="B4334" s="19" t="str">
        <f t="shared" si="476"/>
        <v>B-BCP - Soles</v>
      </c>
      <c r="C4334" s="3" t="s">
        <v>1352</v>
      </c>
      <c r="D4334" s="14">
        <v>45952</v>
      </c>
      <c r="E4334" s="5" t="s">
        <v>555</v>
      </c>
      <c r="F4334" s="5" t="s">
        <v>1303</v>
      </c>
      <c r="G4334" s="6" t="s">
        <v>425</v>
      </c>
      <c r="H4334" s="6" t="s">
        <v>68</v>
      </c>
      <c r="I4334" s="198" t="s">
        <v>3381</v>
      </c>
      <c r="J4334" s="6">
        <v>77</v>
      </c>
      <c r="K4334" s="7" t="s">
        <v>4112</v>
      </c>
      <c r="L4334" s="8">
        <v>201236</v>
      </c>
      <c r="M4334" s="8" t="str">
        <f t="shared" si="477"/>
        <v>PEN</v>
      </c>
      <c r="N4334" s="13">
        <v>835</v>
      </c>
      <c r="O4334" s="13"/>
      <c r="P4334" s="3">
        <f t="shared" si="478"/>
        <v>0</v>
      </c>
      <c r="Q4334" s="3">
        <f t="shared" si="479"/>
        <v>0</v>
      </c>
      <c r="R4334" s="3">
        <f t="shared" si="480"/>
        <v>2525.5899999999742</v>
      </c>
      <c r="S4334" s="24" t="s">
        <v>1334</v>
      </c>
      <c r="T4334" s="24" t="s">
        <v>1334</v>
      </c>
      <c r="U4334" s="55"/>
      <c r="V4334" s="25">
        <f>IFERROR(VLOOKUP(BCP_Soles[[#This Row],[destinatario]],CHOOSE({1,2},Clientes_Proveedores[Razon Social],Clientes_Proveedores[Ruc / Dni]),2,0),"")</f>
        <v>20558226979</v>
      </c>
      <c r="W4334" s="25"/>
      <c r="X4334" s="25"/>
      <c r="Y4334" s="25"/>
      <c r="Z4334" s="77"/>
      <c r="AA4334" s="3" t="str">
        <f>IF(BCP_Soles[[#This Row],[fecha]]&gt;0,TEXT(BCP_Soles[[#This Row],[fecha]],"mmmm"),0)</f>
        <v>Octubre</v>
      </c>
    </row>
    <row r="4335" spans="1:27" ht="24" x14ac:dyDescent="0.3">
      <c r="A4335" s="2">
        <f>IF(BCP_Soles[[#This Row],[tipo_registro]]="R",COUNTIFS($C$1:$C4334,"R")+1,A4334)</f>
        <v>2868</v>
      </c>
      <c r="B4335" s="19" t="str">
        <f>"B-BCP - Soles"</f>
        <v>B-BCP - Soles</v>
      </c>
      <c r="C4335" s="3" t="s">
        <v>1330</v>
      </c>
      <c r="D4335" s="14">
        <v>45952</v>
      </c>
      <c r="E4335" s="5" t="s">
        <v>4357</v>
      </c>
      <c r="F4335" s="5" t="s">
        <v>1303</v>
      </c>
      <c r="G4335" s="6" t="s">
        <v>425</v>
      </c>
      <c r="H4335" s="6" t="s">
        <v>119</v>
      </c>
      <c r="I4335" s="6">
        <v>2</v>
      </c>
      <c r="J4335" s="6">
        <v>859</v>
      </c>
      <c r="K4335" s="7" t="s">
        <v>3608</v>
      </c>
      <c r="L4335" s="8">
        <v>2925052</v>
      </c>
      <c r="M4335" s="8" t="str">
        <f>"PEN"</f>
        <v>PEN</v>
      </c>
      <c r="N4335" s="13"/>
      <c r="O4335" s="13">
        <v>852</v>
      </c>
      <c r="P4335" s="3">
        <f>+IF(OR($F4335="SALDO",$F4335="INGRESO"),$O4335,0)</f>
        <v>852</v>
      </c>
      <c r="Q4335" s="3">
        <f>+IF($F4335="EGRESO",$O4335,0)</f>
        <v>0</v>
      </c>
      <c r="R4335" s="3">
        <f>IFERROR(IF(F4335="SALDO",P4335,R4334+P4335-Q4335),0)</f>
        <v>3377.5899999999742</v>
      </c>
      <c r="S4335" s="24" t="s">
        <v>1334</v>
      </c>
      <c r="T4335" s="24" t="s">
        <v>1334</v>
      </c>
      <c r="U4335" s="55"/>
      <c r="V4335" s="25">
        <f>IFERROR(VLOOKUP(BCP_Soles[[#This Row],[destinatario]],CHOOSE({1,2},Clientes_Proveedores[Razon Social],Clientes_Proveedores[Ruc / Dni]),2,0),"")</f>
        <v>20558226979</v>
      </c>
      <c r="W4335" s="25"/>
      <c r="X4335" s="25"/>
      <c r="Y4335" s="25"/>
      <c r="Z4335" s="77"/>
      <c r="AA4335" s="3" t="str">
        <f>IF(BCP_Soles[[#This Row],[fecha]]&gt;0,TEXT(BCP_Soles[[#This Row],[fecha]],"mmmm"),0)</f>
        <v>Octubre</v>
      </c>
    </row>
    <row r="4336" spans="1:27" x14ac:dyDescent="0.3">
      <c r="A4336" s="2">
        <f>IF(BCP_Soles[[#This Row],[tipo_registro]]="R",COUNTIFS($C$1:$C4335,"R")+1,A4335)</f>
        <v>2869</v>
      </c>
      <c r="B4336" s="19" t="str">
        <f>"B-BCP - Soles"</f>
        <v>B-BCP - Soles</v>
      </c>
      <c r="C4336" s="3" t="s">
        <v>1330</v>
      </c>
      <c r="D4336" s="14">
        <v>45952</v>
      </c>
      <c r="E4336" s="5" t="s">
        <v>4704</v>
      </c>
      <c r="F4336" s="5" t="s">
        <v>1303</v>
      </c>
      <c r="G4336" s="6" t="s">
        <v>425</v>
      </c>
      <c r="H4336" s="6" t="s">
        <v>119</v>
      </c>
      <c r="I4336" s="6">
        <v>1</v>
      </c>
      <c r="J4336" s="6">
        <v>4849</v>
      </c>
      <c r="K4336" s="7" t="s">
        <v>3608</v>
      </c>
      <c r="L4336" s="8">
        <v>3322498</v>
      </c>
      <c r="M4336" s="8" t="str">
        <f>"PEN"</f>
        <v>PEN</v>
      </c>
      <c r="N4336" s="13"/>
      <c r="O4336" s="13">
        <v>365.4</v>
      </c>
      <c r="P4336" s="3">
        <f>+IF(OR($F4336="SALDO",$F4336="INGRESO"),$O4336,0)</f>
        <v>365.4</v>
      </c>
      <c r="Q4336" s="3">
        <f>+IF($F4336="EGRESO",$O4336,0)</f>
        <v>0</v>
      </c>
      <c r="R4336" s="3">
        <f>IFERROR(IF(F4336="SALDO",P4336,R4335+P4336-Q4336),0)</f>
        <v>3742.9899999999743</v>
      </c>
      <c r="S4336" s="24" t="s">
        <v>1334</v>
      </c>
      <c r="T4336" s="24" t="s">
        <v>1334</v>
      </c>
      <c r="U4336" s="55"/>
      <c r="V4336" s="25">
        <f>IFERROR(VLOOKUP(BCP_Soles[[#This Row],[destinatario]],CHOOSE({1,2},Clientes_Proveedores[Razon Social],Clientes_Proveedores[Ruc / Dni]),2,0),"")</f>
        <v>20558226979</v>
      </c>
      <c r="W4336" s="25"/>
      <c r="X4336" s="25"/>
      <c r="Y4336" s="25"/>
      <c r="Z4336" s="77"/>
      <c r="AA4336" s="3" t="str">
        <f>IF(BCP_Soles[[#This Row],[fecha]]&gt;0,TEXT(BCP_Soles[[#This Row],[fecha]],"mmmm"),0)</f>
        <v>Octubre</v>
      </c>
    </row>
    <row r="4337" spans="1:27" ht="48" x14ac:dyDescent="0.3">
      <c r="A4337" s="2">
        <f>IF(BCP_Soles[[#This Row],[tipo_registro]]="R",COUNTIFS($C$1:$C4336,"R")+1,A4336)</f>
        <v>2870</v>
      </c>
      <c r="B4337" s="19" t="str">
        <f>"B-BCP - Soles"</f>
        <v>B-BCP - Soles</v>
      </c>
      <c r="C4337" s="3" t="s">
        <v>1330</v>
      </c>
      <c r="D4337" s="14">
        <v>45952</v>
      </c>
      <c r="E4337" s="5" t="s">
        <v>505</v>
      </c>
      <c r="F4337" s="5" t="s">
        <v>1303</v>
      </c>
      <c r="G4337" s="6" t="s">
        <v>425</v>
      </c>
      <c r="H4337" s="6" t="s">
        <v>68</v>
      </c>
      <c r="I4337" s="6" t="s">
        <v>3381</v>
      </c>
      <c r="J4337" s="6">
        <v>63</v>
      </c>
      <c r="K4337" s="7" t="s">
        <v>4308</v>
      </c>
      <c r="L4337" s="8">
        <v>6089443</v>
      </c>
      <c r="M4337" s="8" t="str">
        <f>"PEN"</f>
        <v>PEN</v>
      </c>
      <c r="N4337" s="13"/>
      <c r="O4337" s="13">
        <v>4143.58</v>
      </c>
      <c r="P4337" s="3">
        <f>+IF(OR($F4337="SALDO",$F4337="INGRESO"),$O4337,0)</f>
        <v>4143.58</v>
      </c>
      <c r="Q4337" s="3">
        <f>+IF($F4337="EGRESO",$O4337,0)</f>
        <v>0</v>
      </c>
      <c r="R4337" s="3">
        <f>IFERROR(IF(F4337="SALDO",P4337,R4336+P4337-Q4337),0)</f>
        <v>7886.5699999999742</v>
      </c>
      <c r="S4337" s="24" t="s">
        <v>1334</v>
      </c>
      <c r="T4337" s="24" t="s">
        <v>1334</v>
      </c>
      <c r="U4337" s="55"/>
      <c r="V4337" s="25">
        <f>IFERROR(VLOOKUP(BCP_Soles[[#This Row],[destinatario]],CHOOSE({1,2},Clientes_Proveedores[Razon Social],Clientes_Proveedores[Ruc / Dni]),2,0),"")</f>
        <v>20558226979</v>
      </c>
      <c r="W4337" s="25"/>
      <c r="X4337" s="25"/>
      <c r="Y4337" s="25"/>
      <c r="Z4337" s="77"/>
      <c r="AA4337" s="3" t="str">
        <f>IF(BCP_Soles[[#This Row],[fecha]]&gt;0,TEXT(BCP_Soles[[#This Row],[fecha]],"mmmm"),0)</f>
        <v>Octubre</v>
      </c>
    </row>
    <row r="4338" spans="1:27" ht="36" x14ac:dyDescent="0.3">
      <c r="A4338" s="2">
        <f>IF(BCP_Soles[[#This Row],[tipo_registro]]="R",COUNTIFS($C$1:$C4337,"R")+1,A4337)</f>
        <v>2871</v>
      </c>
      <c r="B4338" s="19" t="str">
        <f>"B-BCP - Soles"</f>
        <v>B-BCP - Soles</v>
      </c>
      <c r="C4338" s="3" t="s">
        <v>1330</v>
      </c>
      <c r="D4338" s="14">
        <v>45952</v>
      </c>
      <c r="E4338" s="5" t="s">
        <v>1628</v>
      </c>
      <c r="F4338" s="5" t="s">
        <v>1303</v>
      </c>
      <c r="G4338" s="6" t="s">
        <v>425</v>
      </c>
      <c r="H4338" s="6" t="s">
        <v>119</v>
      </c>
      <c r="I4338" s="6">
        <v>2</v>
      </c>
      <c r="J4338" s="6">
        <v>858</v>
      </c>
      <c r="K4338" s="7" t="s">
        <v>3608</v>
      </c>
      <c r="L4338" s="8">
        <v>5206104</v>
      </c>
      <c r="M4338" s="8" t="str">
        <f>"PEN"</f>
        <v>PEN</v>
      </c>
      <c r="N4338" s="13"/>
      <c r="O4338" s="13">
        <v>1368</v>
      </c>
      <c r="P4338" s="3">
        <f>+IF(OR($F4338="SALDO",$F4338="INGRESO"),$O4338,0)</f>
        <v>1368</v>
      </c>
      <c r="Q4338" s="3">
        <f>+IF($F4338="EGRESO",$O4338,0)</f>
        <v>0</v>
      </c>
      <c r="R4338" s="3">
        <f t="shared" ref="R4338:R4339" si="481">IFERROR(IF(F4338="SALDO",P4338,R4337+P4338-Q4338),0)</f>
        <v>9254.5699999999742</v>
      </c>
      <c r="S4338" s="24" t="s">
        <v>1334</v>
      </c>
      <c r="T4338" s="24" t="s">
        <v>1334</v>
      </c>
      <c r="U4338" s="55"/>
      <c r="V4338" s="25">
        <f>IFERROR(VLOOKUP(BCP_Soles[[#This Row],[destinatario]],CHOOSE({1,2},Clientes_Proveedores[Razon Social],Clientes_Proveedores[Ruc / Dni]),2,0),"")</f>
        <v>20558226979</v>
      </c>
      <c r="W4338" s="25"/>
      <c r="X4338" s="25"/>
      <c r="Y4338" s="25"/>
      <c r="Z4338" s="77"/>
      <c r="AA4338" s="3" t="str">
        <f>IF(BCP_Soles[[#This Row],[fecha]]&gt;0,TEXT(BCP_Soles[[#This Row],[fecha]],"mmmm"),0)</f>
        <v>Octubre</v>
      </c>
    </row>
    <row r="4339" spans="1:27" ht="24" x14ac:dyDescent="0.3">
      <c r="A4339" s="2">
        <f>IF(BCP_Soles[[#This Row],[tipo_registro]]="R",COUNTIFS($C$1:$C4338,"R")+1,A4338)</f>
        <v>2872</v>
      </c>
      <c r="B4339" s="19" t="str">
        <f t="shared" si="476"/>
        <v>B-BCP - Soles</v>
      </c>
      <c r="C4339" s="3" t="s">
        <v>1330</v>
      </c>
      <c r="D4339" s="14">
        <v>45952</v>
      </c>
      <c r="E4339" s="5" t="s">
        <v>2269</v>
      </c>
      <c r="F4339" s="5" t="s">
        <v>1336</v>
      </c>
      <c r="G4339" s="6" t="s">
        <v>1053</v>
      </c>
      <c r="H4339" s="6" t="s">
        <v>68</v>
      </c>
      <c r="I4339" s="198" t="s">
        <v>1376</v>
      </c>
      <c r="J4339" s="6">
        <v>2269</v>
      </c>
      <c r="K4339" s="7" t="s">
        <v>4814</v>
      </c>
      <c r="L4339" s="8">
        <v>1134284</v>
      </c>
      <c r="M4339" s="8" t="str">
        <f>"PEN"</f>
        <v>PEN</v>
      </c>
      <c r="N4339" s="13"/>
      <c r="O4339" s="13">
        <v>188</v>
      </c>
      <c r="P4339" s="3">
        <f t="shared" si="478"/>
        <v>0</v>
      </c>
      <c r="Q4339" s="3">
        <f t="shared" si="479"/>
        <v>188</v>
      </c>
      <c r="R4339" s="3">
        <f t="shared" si="481"/>
        <v>9066.5699999999742</v>
      </c>
      <c r="S4339" s="24" t="s">
        <v>1334</v>
      </c>
      <c r="T4339" s="24" t="s">
        <v>1334</v>
      </c>
      <c r="U4339" s="55"/>
      <c r="V4339" s="25">
        <f>IFERROR(VLOOKUP(BCP_Soles[[#This Row],[destinatario]],CHOOSE({1,2},Clientes_Proveedores[Razon Social],Clientes_Proveedores[Ruc / Dni]),2,0),"")</f>
        <v>20600967291</v>
      </c>
      <c r="W4339" s="25"/>
      <c r="X4339" s="25"/>
      <c r="Y4339" s="25"/>
      <c r="Z4339" s="77"/>
      <c r="AA4339" s="3" t="str">
        <f>IF(BCP_Soles[[#This Row],[fecha]]&gt;0,TEXT(BCP_Soles[[#This Row],[fecha]],"mmmm"),0)</f>
        <v>Octubre</v>
      </c>
    </row>
    <row r="4340" spans="1:27" x14ac:dyDescent="0.3">
      <c r="A4340" s="2">
        <f>IF(BCP_Soles[[#This Row],[tipo_registro]]="R",COUNTIFS($C$1:$C4339,"R")+1,A4339)</f>
        <v>2873</v>
      </c>
      <c r="B4340" s="19" t="str">
        <f t="shared" si="476"/>
        <v>B-BCP - Soles</v>
      </c>
      <c r="C4340" s="3" t="s">
        <v>1330</v>
      </c>
      <c r="D4340" s="14">
        <v>45952</v>
      </c>
      <c r="E4340" s="5" t="s">
        <v>2269</v>
      </c>
      <c r="F4340" s="5" t="s">
        <v>1336</v>
      </c>
      <c r="G4340" s="6" t="s">
        <v>724</v>
      </c>
      <c r="H4340" s="6" t="s">
        <v>68</v>
      </c>
      <c r="I4340" s="198" t="s">
        <v>1376</v>
      </c>
      <c r="J4340" s="6">
        <v>4669</v>
      </c>
      <c r="K4340" s="7" t="s">
        <v>4815</v>
      </c>
      <c r="L4340" s="8">
        <v>1133292</v>
      </c>
      <c r="M4340" s="8" t="str">
        <f t="shared" si="477"/>
        <v>PEN</v>
      </c>
      <c r="N4340" s="13"/>
      <c r="O4340" s="13">
        <v>780</v>
      </c>
      <c r="P4340" s="3">
        <f t="shared" si="478"/>
        <v>0</v>
      </c>
      <c r="Q4340" s="3">
        <f t="shared" si="479"/>
        <v>780</v>
      </c>
      <c r="R4340" s="3">
        <f t="shared" si="480"/>
        <v>8286.5699999999742</v>
      </c>
      <c r="S4340" s="24" t="s">
        <v>1334</v>
      </c>
      <c r="T4340" s="24" t="s">
        <v>1334</v>
      </c>
      <c r="U4340" s="55"/>
      <c r="V4340" s="25">
        <f>IFERROR(VLOOKUP(BCP_Soles[[#This Row],[destinatario]],CHOOSE({1,2},Clientes_Proveedores[Razon Social],Clientes_Proveedores[Ruc / Dni]),2,0),"")</f>
        <v>20558275082</v>
      </c>
      <c r="W4340" s="25"/>
      <c r="X4340" s="25"/>
      <c r="Y4340" s="25"/>
      <c r="Z4340" s="77"/>
      <c r="AA4340" s="3" t="str">
        <f>IF(BCP_Soles[[#This Row],[fecha]]&gt;0,TEXT(BCP_Soles[[#This Row],[fecha]],"mmmm"),0)</f>
        <v>Octubre</v>
      </c>
    </row>
    <row r="4341" spans="1:27" x14ac:dyDescent="0.3">
      <c r="A4341" s="2">
        <f>IF(BCP_Soles[[#This Row],[tipo_registro]]="R",COUNTIFS($C$1:$C4340,"R")+1,A4340)</f>
        <v>2874</v>
      </c>
      <c r="B4341" s="19" t="str">
        <f>"B-BCP - Soles"</f>
        <v>B-BCP - Soles</v>
      </c>
      <c r="C4341" s="3" t="s">
        <v>1330</v>
      </c>
      <c r="D4341" s="14">
        <v>45952</v>
      </c>
      <c r="E4341" s="5"/>
      <c r="F4341" s="5" t="s">
        <v>1336</v>
      </c>
      <c r="G4341" s="6"/>
      <c r="H4341" s="6"/>
      <c r="I4341" s="198"/>
      <c r="J4341" s="6"/>
      <c r="K4341" s="7" t="s">
        <v>3160</v>
      </c>
      <c r="L4341" s="8"/>
      <c r="M4341" s="8" t="str">
        <f>"PEN"</f>
        <v>PEN</v>
      </c>
      <c r="N4341" s="13"/>
      <c r="O4341" s="13">
        <v>0.3</v>
      </c>
      <c r="P4341" s="3">
        <f>+IF(OR($F4341="SALDO",$F4341="INGRESO"),$O4341,0)</f>
        <v>0</v>
      </c>
      <c r="Q4341" s="3">
        <f>+IF($F4341="EGRESO",$O4341,0)</f>
        <v>0.3</v>
      </c>
      <c r="R4341" s="3">
        <f>IFERROR(IF(F4341="SALDO",P4341,R4340+P4341-Q4341),0)</f>
        <v>8286.269999999975</v>
      </c>
      <c r="S4341" s="24"/>
      <c r="T4341" s="24"/>
      <c r="U4341" s="55"/>
      <c r="V4341" s="25" t="str">
        <f>IFERROR(VLOOKUP(BCP_Soles[[#This Row],[destinatario]],CHOOSE({1,2},Clientes_Proveedores[Razon Social],Clientes_Proveedores[Ruc / Dni]),2,0),"")</f>
        <v/>
      </c>
      <c r="W4341" s="25"/>
      <c r="X4341" s="25"/>
      <c r="Y4341" s="25"/>
      <c r="Z4341" s="77"/>
      <c r="AA4341" s="3" t="str">
        <f>IF(BCP_Soles[[#This Row],[fecha]]&gt;0,TEXT(BCP_Soles[[#This Row],[fecha]],"mmmm"),0)</f>
        <v>Octubre</v>
      </c>
    </row>
    <row r="4342" spans="1:27" x14ac:dyDescent="0.3">
      <c r="A4342" s="2">
        <f>IF(BCP_Soles[[#This Row],[tipo_registro]]="R",COUNTIFS($C$1:$C4341,"R")+1,A4341)</f>
        <v>2875</v>
      </c>
      <c r="B4342" s="19" t="str">
        <f>"B-BCP - Soles"</f>
        <v>B-BCP - Soles</v>
      </c>
      <c r="C4342" s="3" t="s">
        <v>1330</v>
      </c>
      <c r="D4342" s="14">
        <v>45953</v>
      </c>
      <c r="E4342" s="5"/>
      <c r="F4342" s="5" t="s">
        <v>1303</v>
      </c>
      <c r="G4342" s="6" t="s">
        <v>425</v>
      </c>
      <c r="H4342" s="6"/>
      <c r="I4342" s="198"/>
      <c r="J4342" s="6"/>
      <c r="K4342" s="7" t="s">
        <v>3608</v>
      </c>
      <c r="L4342" s="8">
        <v>2201568</v>
      </c>
      <c r="M4342" s="8" t="str">
        <f>"PEN"</f>
        <v>PEN</v>
      </c>
      <c r="N4342" s="13"/>
      <c r="O4342" s="13">
        <v>392.5</v>
      </c>
      <c r="P4342" s="3">
        <f>+IF(OR($F4342="SALDO",$F4342="INGRESO"),$O4342,0)</f>
        <v>392.5</v>
      </c>
      <c r="Q4342" s="3">
        <f>+IF($F4342="EGRESO",$O4342,0)</f>
        <v>0</v>
      </c>
      <c r="R4342" s="3">
        <f>IFERROR(IF(F4342="SALDO",P4342,R4341+P4342-Q4342),0)</f>
        <v>8678.769999999975</v>
      </c>
      <c r="S4342" s="24"/>
      <c r="T4342" s="24"/>
      <c r="U4342" s="55"/>
      <c r="V4342" s="25">
        <f>IFERROR(VLOOKUP(BCP_Soles[[#This Row],[destinatario]],CHOOSE({1,2},Clientes_Proveedores[Razon Social],Clientes_Proveedores[Ruc / Dni]),2,0),"")</f>
        <v>20558226979</v>
      </c>
      <c r="W4342" s="25"/>
      <c r="X4342" s="25"/>
      <c r="Y4342" s="25"/>
      <c r="Z4342" s="77"/>
      <c r="AA4342" s="3" t="str">
        <f>IF(BCP_Soles[[#This Row],[fecha]]&gt;0,TEXT(BCP_Soles[[#This Row],[fecha]],"mmmm"),0)</f>
        <v>Octubre</v>
      </c>
    </row>
    <row r="4343" spans="1:27" x14ac:dyDescent="0.3">
      <c r="A4343" s="2">
        <f>IF(BCP_Soles[[#This Row],[tipo_registro]]="R",COUNTIFS($C$1:$C4342,"R")+1,A4342)</f>
        <v>2876</v>
      </c>
      <c r="B4343" s="19" t="str">
        <f>"B-BCP - Soles"</f>
        <v>B-BCP - Soles</v>
      </c>
      <c r="C4343" s="3" t="s">
        <v>1330</v>
      </c>
      <c r="D4343" s="14">
        <v>45953</v>
      </c>
      <c r="E4343" s="5" t="s">
        <v>4816</v>
      </c>
      <c r="F4343" s="5" t="s">
        <v>1303</v>
      </c>
      <c r="G4343" s="6" t="s">
        <v>425</v>
      </c>
      <c r="H4343" s="6" t="s">
        <v>119</v>
      </c>
      <c r="I4343" s="6">
        <v>1</v>
      </c>
      <c r="J4343" s="6">
        <v>4854</v>
      </c>
      <c r="K4343" s="7" t="s">
        <v>3608</v>
      </c>
      <c r="L4343" s="8">
        <v>3379518</v>
      </c>
      <c r="M4343" s="8" t="str">
        <f>"PEN"</f>
        <v>PEN</v>
      </c>
      <c r="N4343" s="13"/>
      <c r="O4343" s="13">
        <v>374</v>
      </c>
      <c r="P4343" s="3">
        <f>+IF(OR($F4343="SALDO",$F4343="INGRESO"),$O4343,0)</f>
        <v>374</v>
      </c>
      <c r="Q4343" s="3">
        <f>+IF($F4343="EGRESO",$O4343,0)</f>
        <v>0</v>
      </c>
      <c r="R4343" s="3">
        <f>IFERROR(IF(F4343="SALDO",P4343,R4342+P4343-Q4343),0)</f>
        <v>9052.769999999975</v>
      </c>
      <c r="S4343" s="24" t="s">
        <v>1334</v>
      </c>
      <c r="T4343" s="24" t="s">
        <v>1334</v>
      </c>
      <c r="U4343" s="55"/>
      <c r="V4343" s="25">
        <f>IFERROR(VLOOKUP(BCP_Soles[[#This Row],[destinatario]],CHOOSE({1,2},Clientes_Proveedores[Razon Social],Clientes_Proveedores[Ruc / Dni]),2,0),"")</f>
        <v>20558226979</v>
      </c>
      <c r="W4343" s="25"/>
      <c r="X4343" s="25"/>
      <c r="Y4343" s="25"/>
      <c r="Z4343" s="77"/>
      <c r="AA4343" s="3" t="str">
        <f>IF(BCP_Soles[[#This Row],[fecha]]&gt;0,TEXT(BCP_Soles[[#This Row],[fecha]],"mmmm"),0)</f>
        <v>Octubre</v>
      </c>
    </row>
    <row r="4344" spans="1:27" ht="24" x14ac:dyDescent="0.3">
      <c r="A4344" s="2">
        <f>IF(BCP_Soles[[#This Row],[tipo_registro]]="R",COUNTIFS($C$1:$C4343,"R")+1,A4343)</f>
        <v>2877</v>
      </c>
      <c r="B4344" s="19" t="str">
        <f t="shared" ref="B4344:B4346" si="482">"B-BCP - Soles"</f>
        <v>B-BCP - Soles</v>
      </c>
      <c r="C4344" s="3" t="s">
        <v>1330</v>
      </c>
      <c r="D4344" s="14">
        <v>45953</v>
      </c>
      <c r="E4344" s="5" t="s">
        <v>2269</v>
      </c>
      <c r="F4344" s="5" t="s">
        <v>1336</v>
      </c>
      <c r="G4344" s="6" t="s">
        <v>1039</v>
      </c>
      <c r="H4344" s="6"/>
      <c r="I4344" s="198"/>
      <c r="J4344" s="6"/>
      <c r="K4344" s="7" t="s">
        <v>4817</v>
      </c>
      <c r="L4344" s="8">
        <v>1001735</v>
      </c>
      <c r="M4344" s="8" t="str">
        <f t="shared" ref="M4344:M4346" si="483">"PEN"</f>
        <v>PEN</v>
      </c>
      <c r="N4344" s="13"/>
      <c r="O4344" s="13">
        <v>180.7</v>
      </c>
      <c r="P4344" s="3">
        <f t="shared" ref="P4344:P4346" si="484">+IF(OR($F4344="SALDO",$F4344="INGRESO"),$O4344,0)</f>
        <v>0</v>
      </c>
      <c r="Q4344" s="3">
        <f t="shared" ref="Q4344:Q4346" si="485">+IF($F4344="EGRESO",$O4344,0)</f>
        <v>180.7</v>
      </c>
      <c r="R4344" s="3">
        <f>IFERROR(IF(F4344="SALDO",P4344,R4343+P4344-Q4344),0)</f>
        <v>8872.0699999999742</v>
      </c>
      <c r="S4344" s="24"/>
      <c r="T4344" s="24"/>
      <c r="U4344" s="55"/>
      <c r="V4344" s="25">
        <f>IFERROR(VLOOKUP(BCP_Soles[[#This Row],[destinatario]],CHOOSE({1,2},Clientes_Proveedores[Razon Social],Clientes_Proveedores[Ruc / Dni]),2,0),"")</f>
        <v>70511606</v>
      </c>
      <c r="W4344" s="25"/>
      <c r="X4344" s="25"/>
      <c r="Y4344" s="25"/>
      <c r="Z4344" s="77"/>
      <c r="AA4344" s="3" t="str">
        <f>IF(BCP_Soles[[#This Row],[fecha]]&gt;0,TEXT(BCP_Soles[[#This Row],[fecha]],"mmmm"),0)</f>
        <v>Octubre</v>
      </c>
    </row>
    <row r="4345" spans="1:27" x14ac:dyDescent="0.3">
      <c r="A4345" s="2">
        <f>IF(BCP_Soles[[#This Row],[tipo_registro]]="R",COUNTIFS($C$1:$C4344,"R")+1,A4344)</f>
        <v>2878</v>
      </c>
      <c r="B4345" s="19" t="str">
        <f t="shared" si="482"/>
        <v>B-BCP - Soles</v>
      </c>
      <c r="C4345" s="3" t="s">
        <v>1330</v>
      </c>
      <c r="D4345" s="14">
        <v>45953</v>
      </c>
      <c r="E4345" s="5" t="s">
        <v>2269</v>
      </c>
      <c r="F4345" s="5" t="s">
        <v>1336</v>
      </c>
      <c r="G4345" s="6" t="s">
        <v>638</v>
      </c>
      <c r="H4345" s="6" t="s">
        <v>68</v>
      </c>
      <c r="I4345" s="198" t="s">
        <v>1374</v>
      </c>
      <c r="J4345" s="6">
        <v>17430</v>
      </c>
      <c r="K4345" s="7" t="s">
        <v>4818</v>
      </c>
      <c r="L4345" s="8">
        <v>1002238</v>
      </c>
      <c r="M4345" s="8" t="str">
        <f t="shared" si="483"/>
        <v>PEN</v>
      </c>
      <c r="N4345" s="13"/>
      <c r="O4345" s="13">
        <v>212.33</v>
      </c>
      <c r="P4345" s="3">
        <f t="shared" si="484"/>
        <v>0</v>
      </c>
      <c r="Q4345" s="3">
        <f t="shared" si="485"/>
        <v>212.33</v>
      </c>
      <c r="R4345" s="3">
        <f t="shared" ref="R4345:R4346" si="486">IFERROR(IF(F4345="SALDO",P4345,R4344+P4345-Q4345),0)</f>
        <v>8659.7399999999743</v>
      </c>
      <c r="S4345" s="24" t="s">
        <v>1334</v>
      </c>
      <c r="T4345" s="24" t="s">
        <v>1334</v>
      </c>
      <c r="U4345" s="55"/>
      <c r="V4345" s="25">
        <f>IFERROR(VLOOKUP(BCP_Soles[[#This Row],[destinatario]],CHOOSE({1,2},Clientes_Proveedores[Razon Social],Clientes_Proveedores[Ruc / Dni]),2,0),"")</f>
        <v>20602484344</v>
      </c>
      <c r="W4345" s="25"/>
      <c r="X4345" s="25"/>
      <c r="Y4345" s="25"/>
      <c r="Z4345" s="77"/>
      <c r="AA4345" s="3" t="str">
        <f>IF(BCP_Soles[[#This Row],[fecha]]&gt;0,TEXT(BCP_Soles[[#This Row],[fecha]],"mmmm"),0)</f>
        <v>Octubre</v>
      </c>
    </row>
    <row r="4346" spans="1:27" ht="24" x14ac:dyDescent="0.3">
      <c r="A4346" s="2">
        <f>IF(BCP_Soles[[#This Row],[tipo_registro]]="R",COUNTIFS($C$1:$C4345,"R")+1,A4345)</f>
        <v>2879</v>
      </c>
      <c r="B4346" s="19" t="str">
        <f t="shared" si="482"/>
        <v>B-BCP - Soles</v>
      </c>
      <c r="C4346" s="3" t="s">
        <v>1330</v>
      </c>
      <c r="D4346" s="14">
        <v>45953</v>
      </c>
      <c r="E4346" s="5" t="s">
        <v>2269</v>
      </c>
      <c r="F4346" s="5" t="s">
        <v>1336</v>
      </c>
      <c r="G4346" s="6" t="s">
        <v>857</v>
      </c>
      <c r="H4346" s="6" t="s">
        <v>143</v>
      </c>
      <c r="I4346" s="6">
        <v>1</v>
      </c>
      <c r="J4346" s="6">
        <v>862025</v>
      </c>
      <c r="K4346" s="7" t="s">
        <v>4819</v>
      </c>
      <c r="L4346" s="8">
        <v>1003741</v>
      </c>
      <c r="M4346" s="8" t="str">
        <f t="shared" si="483"/>
        <v>PEN</v>
      </c>
      <c r="N4346" s="13"/>
      <c r="O4346" s="13">
        <v>268</v>
      </c>
      <c r="P4346" s="3">
        <f t="shared" si="484"/>
        <v>0</v>
      </c>
      <c r="Q4346" s="3">
        <f t="shared" si="485"/>
        <v>268</v>
      </c>
      <c r="R4346" s="3">
        <f t="shared" si="486"/>
        <v>8391.7399999999743</v>
      </c>
      <c r="S4346" s="24"/>
      <c r="T4346" s="24"/>
      <c r="U4346" s="55"/>
      <c r="V4346" s="25">
        <f>IFERROR(VLOOKUP(BCP_Soles[[#This Row],[destinatario]],CHOOSE({1,2},Clientes_Proveedores[Razon Social],Clientes_Proveedores[Ruc / Dni]),2,0),"")</f>
        <v>70666331</v>
      </c>
      <c r="W4346" s="25"/>
      <c r="X4346" s="25"/>
      <c r="Y4346" s="25"/>
      <c r="Z4346" s="77"/>
      <c r="AA4346" s="3" t="str">
        <f>IF(BCP_Soles[[#This Row],[fecha]]&gt;0,TEXT(BCP_Soles[[#This Row],[fecha]],"mmmm"),0)</f>
        <v>Octubre</v>
      </c>
    </row>
    <row r="4347" spans="1:27" ht="24" x14ac:dyDescent="0.3">
      <c r="A4347" s="2">
        <f>IF(BCP_Soles[[#This Row],[tipo_registro]]="R",COUNTIFS($C$1:$C4346,"R")+1,A4346)</f>
        <v>2880</v>
      </c>
      <c r="B4347" s="19" t="str">
        <f t="shared" ref="B4347:B4356" si="487">"B-BCP - Soles"</f>
        <v>B-BCP - Soles</v>
      </c>
      <c r="C4347" s="3" t="s">
        <v>1330</v>
      </c>
      <c r="D4347" s="14">
        <v>45953</v>
      </c>
      <c r="E4347" s="5" t="s">
        <v>2269</v>
      </c>
      <c r="F4347" s="5" t="s">
        <v>1336</v>
      </c>
      <c r="G4347" s="6" t="s">
        <v>967</v>
      </c>
      <c r="H4347" s="6" t="s">
        <v>143</v>
      </c>
      <c r="I4347" s="6">
        <v>1</v>
      </c>
      <c r="J4347" s="6">
        <v>872025</v>
      </c>
      <c r="K4347" s="7" t="s">
        <v>4820</v>
      </c>
      <c r="L4347" s="8">
        <v>1064006</v>
      </c>
      <c r="M4347" s="8" t="str">
        <f t="shared" ref="M4347:M4356" si="488">"PEN"</f>
        <v>PEN</v>
      </c>
      <c r="N4347" s="13"/>
      <c r="O4347" s="13">
        <v>1847</v>
      </c>
      <c r="P4347" s="3">
        <f t="shared" ref="P4347:P4356" si="489">+IF(OR($F4347="SALDO",$F4347="INGRESO"),$O4347,0)</f>
        <v>0</v>
      </c>
      <c r="Q4347" s="3">
        <f t="shared" ref="Q4347:Q4356" si="490">+IF($F4347="EGRESO",$O4347,0)</f>
        <v>1847</v>
      </c>
      <c r="R4347" s="3">
        <f t="shared" ref="R4347:R4356" si="491">IFERROR(IF(F4347="SALDO",P4347,R4346+P4347-Q4347),0)</f>
        <v>6544.7399999999743</v>
      </c>
      <c r="S4347" s="24"/>
      <c r="T4347" s="24"/>
      <c r="U4347" s="55"/>
      <c r="V4347" s="25">
        <f>IFERROR(VLOOKUP(BCP_Soles[[#This Row],[destinatario]],CHOOSE({1,2},Clientes_Proveedores[Razon Social],Clientes_Proveedores[Ruc / Dni]),2,0),"")</f>
        <v>70517150</v>
      </c>
      <c r="W4347" s="25"/>
      <c r="X4347" s="25"/>
      <c r="Y4347" s="25"/>
      <c r="Z4347" s="77"/>
      <c r="AA4347" s="3" t="str">
        <f>IF(BCP_Soles[[#This Row],[fecha]]&gt;0,TEXT(BCP_Soles[[#This Row],[fecha]],"mmmm"),0)</f>
        <v>Octubre</v>
      </c>
    </row>
    <row r="4348" spans="1:27" x14ac:dyDescent="0.3">
      <c r="A4348" s="2">
        <f>IF(BCP_Soles[[#This Row],[tipo_registro]]="R",COUNTIFS($C$1:$C4347,"R")+1,A4347)</f>
        <v>2881</v>
      </c>
      <c r="B4348" s="19" t="str">
        <f t="shared" si="487"/>
        <v>B-BCP - Soles</v>
      </c>
      <c r="C4348" s="3" t="s">
        <v>1330</v>
      </c>
      <c r="D4348" s="14">
        <v>45953</v>
      </c>
      <c r="E4348" s="5" t="s">
        <v>2269</v>
      </c>
      <c r="F4348" s="5" t="s">
        <v>1336</v>
      </c>
      <c r="G4348" s="6" t="s">
        <v>696</v>
      </c>
      <c r="H4348" s="6"/>
      <c r="I4348" s="198"/>
      <c r="J4348" s="6"/>
      <c r="K4348" s="7" t="s">
        <v>4821</v>
      </c>
      <c r="L4348" s="8">
        <v>702630</v>
      </c>
      <c r="M4348" s="8" t="str">
        <f t="shared" si="488"/>
        <v>PEN</v>
      </c>
      <c r="N4348" s="13"/>
      <c r="O4348" s="13">
        <v>2656</v>
      </c>
      <c r="P4348" s="3">
        <f t="shared" si="489"/>
        <v>0</v>
      </c>
      <c r="Q4348" s="3">
        <f t="shared" si="490"/>
        <v>2656</v>
      </c>
      <c r="R4348" s="3">
        <f t="shared" si="491"/>
        <v>3888.7399999999743</v>
      </c>
      <c r="S4348" s="24" t="s">
        <v>1334</v>
      </c>
      <c r="T4348" s="24" t="s">
        <v>1334</v>
      </c>
      <c r="U4348" s="55"/>
      <c r="V4348" s="25">
        <f>IFERROR(VLOOKUP(BCP_Soles[[#This Row],[destinatario]],CHOOSE({1,2},Clientes_Proveedores[Razon Social],Clientes_Proveedores[Ruc / Dni]),2,0),"")</f>
        <v>0</v>
      </c>
      <c r="W4348" s="25"/>
      <c r="X4348" s="25"/>
      <c r="Y4348" s="25"/>
      <c r="Z4348" s="77"/>
      <c r="AA4348" s="3" t="str">
        <f>IF(BCP_Soles[[#This Row],[fecha]]&gt;0,TEXT(BCP_Soles[[#This Row],[fecha]],"mmmm"),0)</f>
        <v>Octubre</v>
      </c>
    </row>
    <row r="4349" spans="1:27" ht="36" x14ac:dyDescent="0.3">
      <c r="A4349" s="2">
        <f>IF(BCP_Soles[[#This Row],[tipo_registro]]="R",COUNTIFS($C$1:$C4348,"R")+1,A4348)</f>
        <v>2881</v>
      </c>
      <c r="B4349" s="19" t="str">
        <f>"B-BCP - Soles"</f>
        <v>B-BCP - Soles</v>
      </c>
      <c r="C4349" s="3" t="s">
        <v>1352</v>
      </c>
      <c r="D4349" s="14">
        <v>45953</v>
      </c>
      <c r="E4349" s="5" t="s">
        <v>2269</v>
      </c>
      <c r="F4349" s="5" t="s">
        <v>1336</v>
      </c>
      <c r="G4349" s="6" t="s">
        <v>569</v>
      </c>
      <c r="H4349" s="6" t="s">
        <v>68</v>
      </c>
      <c r="I4349" s="198" t="s">
        <v>1376</v>
      </c>
      <c r="J4349" s="6">
        <v>722</v>
      </c>
      <c r="K4349" s="7" t="s">
        <v>4821</v>
      </c>
      <c r="L4349" s="8">
        <v>702630</v>
      </c>
      <c r="M4349" s="8" t="str">
        <f>"PEN"</f>
        <v>PEN</v>
      </c>
      <c r="N4349" s="13">
        <v>768</v>
      </c>
      <c r="O4349" s="13"/>
      <c r="P4349" s="3">
        <f>+IF(OR($F4349="SALDO",$F4349="INGRESO"),$O4349,0)</f>
        <v>0</v>
      </c>
      <c r="Q4349" s="3">
        <f>+IF($F4349="EGRESO",$O4349,0)</f>
        <v>0</v>
      </c>
      <c r="R4349" s="3">
        <f>IFERROR(IF(F4349="SALDO",P4349,R4348+P4349-Q4349),0)</f>
        <v>3888.7399999999743</v>
      </c>
      <c r="S4349" s="24" t="s">
        <v>1334</v>
      </c>
      <c r="T4349" s="24" t="s">
        <v>1334</v>
      </c>
      <c r="U4349" s="55"/>
      <c r="V4349" s="25">
        <f>IFERROR(VLOOKUP(BCP_Soles[[#This Row],[destinatario]],CHOOSE({1,2},Clientes_Proveedores[Razon Social],Clientes_Proveedores[Ruc / Dni]),2,0),"")</f>
        <v>20608686747</v>
      </c>
      <c r="W4349" s="25"/>
      <c r="X4349" s="25"/>
      <c r="Y4349" s="25"/>
      <c r="Z4349" s="77"/>
      <c r="AA4349" s="3" t="str">
        <f>IF(BCP_Soles[[#This Row],[fecha]]&gt;0,TEXT(BCP_Soles[[#This Row],[fecha]],"mmmm"),0)</f>
        <v>Octubre</v>
      </c>
    </row>
    <row r="4350" spans="1:27" ht="36" x14ac:dyDescent="0.3">
      <c r="A4350" s="2">
        <f>IF(BCP_Soles[[#This Row],[tipo_registro]]="R",COUNTIFS($C$1:$C4349,"R")+1,A4349)</f>
        <v>2881</v>
      </c>
      <c r="B4350" s="19" t="str">
        <f>"B-BCP - Soles"</f>
        <v>B-BCP - Soles</v>
      </c>
      <c r="C4350" s="3" t="s">
        <v>1352</v>
      </c>
      <c r="D4350" s="14">
        <v>45953</v>
      </c>
      <c r="E4350" s="5" t="s">
        <v>2269</v>
      </c>
      <c r="F4350" s="5" t="s">
        <v>1336</v>
      </c>
      <c r="G4350" s="6" t="s">
        <v>277</v>
      </c>
      <c r="H4350" s="6" t="s">
        <v>68</v>
      </c>
      <c r="I4350" s="198" t="s">
        <v>1390</v>
      </c>
      <c r="J4350" s="6">
        <v>1952</v>
      </c>
      <c r="K4350" s="7" t="s">
        <v>4821</v>
      </c>
      <c r="L4350" s="8">
        <v>702630</v>
      </c>
      <c r="M4350" s="8" t="str">
        <f>"PEN"</f>
        <v>PEN</v>
      </c>
      <c r="N4350" s="13">
        <v>1152</v>
      </c>
      <c r="O4350" s="13"/>
      <c r="P4350" s="3">
        <f>+IF(OR($F4350="SALDO",$F4350="INGRESO"),$O4350,0)</f>
        <v>0</v>
      </c>
      <c r="Q4350" s="3">
        <f>+IF($F4350="EGRESO",$O4350,0)</f>
        <v>0</v>
      </c>
      <c r="R4350" s="3">
        <f t="shared" ref="R4350:R4352" si="492">IFERROR(IF(F4350="SALDO",P4350,R4349+P4350-Q4350),0)</f>
        <v>3888.7399999999743</v>
      </c>
      <c r="S4350" s="24" t="s">
        <v>1334</v>
      </c>
      <c r="T4350" s="24" t="s">
        <v>1334</v>
      </c>
      <c r="U4350" s="55"/>
      <c r="V4350" s="25">
        <f>IFERROR(VLOOKUP(BCP_Soles[[#This Row],[destinatario]],CHOOSE({1,2},Clientes_Proveedores[Razon Social],Clientes_Proveedores[Ruc / Dni]),2,0),"")</f>
        <v>20429640939</v>
      </c>
      <c r="W4350" s="25"/>
      <c r="X4350" s="25"/>
      <c r="Y4350" s="25"/>
      <c r="Z4350" s="77"/>
      <c r="AA4350" s="3" t="str">
        <f>IF(BCP_Soles[[#This Row],[fecha]]&gt;0,TEXT(BCP_Soles[[#This Row],[fecha]],"mmmm"),0)</f>
        <v>Octubre</v>
      </c>
    </row>
    <row r="4351" spans="1:27" ht="36" x14ac:dyDescent="0.3">
      <c r="A4351" s="2">
        <f>IF(BCP_Soles[[#This Row],[tipo_registro]]="R",COUNTIFS($C$1:$C4350,"R")+1,A4350)</f>
        <v>2881</v>
      </c>
      <c r="B4351" s="19" t="str">
        <f>"B-BCP - Soles"</f>
        <v>B-BCP - Soles</v>
      </c>
      <c r="C4351" s="3" t="s">
        <v>1352</v>
      </c>
      <c r="D4351" s="14">
        <v>45953</v>
      </c>
      <c r="E4351" s="5" t="s">
        <v>2269</v>
      </c>
      <c r="F4351" s="5" t="s">
        <v>1336</v>
      </c>
      <c r="G4351" s="6" t="s">
        <v>569</v>
      </c>
      <c r="H4351" s="6" t="s">
        <v>68</v>
      </c>
      <c r="I4351" s="198" t="s">
        <v>1376</v>
      </c>
      <c r="J4351" s="6">
        <v>718</v>
      </c>
      <c r="K4351" s="7" t="s">
        <v>4821</v>
      </c>
      <c r="L4351" s="8">
        <v>702630</v>
      </c>
      <c r="M4351" s="8" t="str">
        <f>"PEN"</f>
        <v>PEN</v>
      </c>
      <c r="N4351" s="13">
        <v>736</v>
      </c>
      <c r="O4351" s="13"/>
      <c r="P4351" s="3">
        <f>+IF(OR($F4351="SALDO",$F4351="INGRESO"),$O4351,0)</f>
        <v>0</v>
      </c>
      <c r="Q4351" s="3">
        <f>+IF($F4351="EGRESO",$O4351,0)</f>
        <v>0</v>
      </c>
      <c r="R4351" s="3">
        <f t="shared" si="492"/>
        <v>3888.7399999999743</v>
      </c>
      <c r="S4351" s="24" t="s">
        <v>1334</v>
      </c>
      <c r="T4351" s="24" t="s">
        <v>1334</v>
      </c>
      <c r="U4351" s="55"/>
      <c r="V4351" s="25">
        <f>IFERROR(VLOOKUP(BCP_Soles[[#This Row],[destinatario]],CHOOSE({1,2},Clientes_Proveedores[Razon Social],Clientes_Proveedores[Ruc / Dni]),2,0),"")</f>
        <v>20608686747</v>
      </c>
      <c r="W4351" s="25"/>
      <c r="X4351" s="25"/>
      <c r="Y4351" s="25"/>
      <c r="Z4351" s="77"/>
      <c r="AA4351" s="3" t="str">
        <f>IF(BCP_Soles[[#This Row],[fecha]]&gt;0,TEXT(BCP_Soles[[#This Row],[fecha]],"mmmm"),0)</f>
        <v>Octubre</v>
      </c>
    </row>
    <row r="4352" spans="1:27" ht="36" x14ac:dyDescent="0.3">
      <c r="A4352" s="2">
        <f>IF(BCP_Soles[[#This Row],[tipo_registro]]="R",COUNTIFS($C$1:$C4351,"R")+1,A4351)</f>
        <v>2882</v>
      </c>
      <c r="B4352" s="19" t="str">
        <f t="shared" si="487"/>
        <v>B-BCP - Soles</v>
      </c>
      <c r="C4352" s="3" t="s">
        <v>1330</v>
      </c>
      <c r="D4352" s="14">
        <v>45953</v>
      </c>
      <c r="E4352" s="5" t="s">
        <v>2269</v>
      </c>
      <c r="F4352" s="5" t="s">
        <v>1336</v>
      </c>
      <c r="G4352" s="6" t="s">
        <v>495</v>
      </c>
      <c r="H4352" s="6" t="s">
        <v>68</v>
      </c>
      <c r="I4352" s="198" t="s">
        <v>1376</v>
      </c>
      <c r="J4352" s="6">
        <v>3985</v>
      </c>
      <c r="K4352" s="7" t="s">
        <v>4822</v>
      </c>
      <c r="L4352" s="8">
        <v>1221120</v>
      </c>
      <c r="M4352" s="8" t="str">
        <f t="shared" si="488"/>
        <v>PEN</v>
      </c>
      <c r="N4352" s="13"/>
      <c r="O4352" s="13">
        <v>1404</v>
      </c>
      <c r="P4352" s="3">
        <f t="shared" si="489"/>
        <v>0</v>
      </c>
      <c r="Q4352" s="3">
        <f t="shared" si="490"/>
        <v>1404</v>
      </c>
      <c r="R4352" s="3">
        <f t="shared" si="492"/>
        <v>2484.7399999999743</v>
      </c>
      <c r="S4352" s="24" t="s">
        <v>1334</v>
      </c>
      <c r="T4352" s="24"/>
      <c r="U4352" s="55"/>
      <c r="V4352" s="25">
        <f>IFERROR(VLOOKUP(BCP_Soles[[#This Row],[destinatario]],CHOOSE({1,2},Clientes_Proveedores[Razon Social],Clientes_Proveedores[Ruc / Dni]),2,0),"")</f>
        <v>20602778861</v>
      </c>
      <c r="W4352" s="25"/>
      <c r="X4352" s="25"/>
      <c r="Y4352" s="25"/>
      <c r="Z4352" s="77"/>
      <c r="AA4352" s="3" t="str">
        <f>IF(BCP_Soles[[#This Row],[fecha]]&gt;0,TEXT(BCP_Soles[[#This Row],[fecha]],"mmmm"),0)</f>
        <v>Octubre</v>
      </c>
    </row>
    <row r="4353" spans="1:27" x14ac:dyDescent="0.3">
      <c r="A4353" s="2">
        <f>IF(BCP_Soles[[#This Row],[tipo_registro]]="R",COUNTIFS($C$1:$C4352,"R")+1,A4352)</f>
        <v>2883</v>
      </c>
      <c r="B4353" s="19" t="str">
        <f t="shared" si="487"/>
        <v>B-BCP - Soles</v>
      </c>
      <c r="C4353" s="3" t="s">
        <v>1330</v>
      </c>
      <c r="D4353" s="14">
        <v>45953</v>
      </c>
      <c r="E4353" s="5"/>
      <c r="F4353" s="5" t="s">
        <v>1336</v>
      </c>
      <c r="G4353" s="6"/>
      <c r="H4353" s="6"/>
      <c r="I4353" s="198"/>
      <c r="J4353" s="6"/>
      <c r="K4353" s="7" t="s">
        <v>3160</v>
      </c>
      <c r="L4353" s="8"/>
      <c r="M4353" s="8" t="str">
        <f t="shared" si="488"/>
        <v>PEN</v>
      </c>
      <c r="N4353" s="13"/>
      <c r="O4353" s="13">
        <v>0.25</v>
      </c>
      <c r="P4353" s="3">
        <f t="shared" si="489"/>
        <v>0</v>
      </c>
      <c r="Q4353" s="3">
        <f t="shared" si="490"/>
        <v>0.25</v>
      </c>
      <c r="R4353" s="3">
        <f t="shared" si="491"/>
        <v>2484.4899999999743</v>
      </c>
      <c r="S4353" s="24"/>
      <c r="T4353" s="24"/>
      <c r="U4353" s="55"/>
      <c r="V4353" s="25" t="str">
        <f>IFERROR(VLOOKUP(BCP_Soles[[#This Row],[destinatario]],CHOOSE({1,2},Clientes_Proveedores[Razon Social],Clientes_Proveedores[Ruc / Dni]),2,0),"")</f>
        <v/>
      </c>
      <c r="W4353" s="25"/>
      <c r="X4353" s="25"/>
      <c r="Y4353" s="25"/>
      <c r="Z4353" s="77"/>
      <c r="AA4353" s="3" t="str">
        <f>IF(BCP_Soles[[#This Row],[fecha]]&gt;0,TEXT(BCP_Soles[[#This Row],[fecha]],"mmmm"),0)</f>
        <v>Octubre</v>
      </c>
    </row>
    <row r="4354" spans="1:27" x14ac:dyDescent="0.3">
      <c r="A4354" s="2">
        <f>IF(BCP_Soles[[#This Row],[tipo_registro]]="R",COUNTIFS($C$1:$C4353,"R")+1,A4353)</f>
        <v>2884</v>
      </c>
      <c r="B4354" s="19" t="str">
        <f t="shared" si="487"/>
        <v>B-BCP - Soles</v>
      </c>
      <c r="C4354" s="3" t="s">
        <v>1330</v>
      </c>
      <c r="D4354" s="14">
        <v>45954</v>
      </c>
      <c r="E4354" s="5" t="s">
        <v>286</v>
      </c>
      <c r="F4354" s="5" t="s">
        <v>1303</v>
      </c>
      <c r="G4354" s="6" t="s">
        <v>425</v>
      </c>
      <c r="H4354" s="6" t="s">
        <v>68</v>
      </c>
      <c r="I4354" s="198" t="s">
        <v>1784</v>
      </c>
      <c r="J4354" s="6">
        <v>289</v>
      </c>
      <c r="K4354" s="7" t="s">
        <v>4024</v>
      </c>
      <c r="L4354" s="8">
        <v>6226</v>
      </c>
      <c r="M4354" s="8" t="str">
        <f t="shared" si="488"/>
        <v>PEN</v>
      </c>
      <c r="N4354" s="13"/>
      <c r="O4354" s="13">
        <v>1888.5</v>
      </c>
      <c r="P4354" s="3">
        <f t="shared" si="489"/>
        <v>1888.5</v>
      </c>
      <c r="Q4354" s="3">
        <f t="shared" si="490"/>
        <v>0</v>
      </c>
      <c r="R4354" s="3">
        <f t="shared" si="491"/>
        <v>4372.9899999999743</v>
      </c>
      <c r="S4354" s="24" t="s">
        <v>1334</v>
      </c>
      <c r="T4354" s="24" t="s">
        <v>1334</v>
      </c>
      <c r="U4354" s="55"/>
      <c r="V4354" s="25">
        <f>IFERROR(VLOOKUP(BCP_Soles[[#This Row],[destinatario]],CHOOSE({1,2},Clientes_Proveedores[Razon Social],Clientes_Proveedores[Ruc / Dni]),2,0),"")</f>
        <v>20558226979</v>
      </c>
      <c r="W4354" s="25"/>
      <c r="X4354" s="25"/>
      <c r="Y4354" s="25"/>
      <c r="Z4354" s="77"/>
      <c r="AA4354" s="3" t="str">
        <f>IF(BCP_Soles[[#This Row],[fecha]]&gt;0,TEXT(BCP_Soles[[#This Row],[fecha]],"mmmm"),0)</f>
        <v>Octubre</v>
      </c>
    </row>
    <row r="4355" spans="1:27" ht="24" x14ac:dyDescent="0.3">
      <c r="A4355" s="2">
        <f>IF(BCP_Soles[[#This Row],[tipo_registro]]="R",COUNTIFS($C$1:$C4354,"R")+1,A4354)</f>
        <v>2885</v>
      </c>
      <c r="B4355" s="19" t="str">
        <f t="shared" si="487"/>
        <v>B-BCP - Soles</v>
      </c>
      <c r="C4355" s="3" t="s">
        <v>1330</v>
      </c>
      <c r="D4355" s="14">
        <v>45954</v>
      </c>
      <c r="E4355" s="5" t="s">
        <v>3293</v>
      </c>
      <c r="F4355" s="5" t="s">
        <v>1303</v>
      </c>
      <c r="G4355" s="6" t="s">
        <v>425</v>
      </c>
      <c r="H4355" s="6" t="s">
        <v>119</v>
      </c>
      <c r="I4355" s="6">
        <v>1</v>
      </c>
      <c r="J4355" s="6">
        <v>4857</v>
      </c>
      <c r="K4355" s="7" t="s">
        <v>3608</v>
      </c>
      <c r="L4355" s="8">
        <v>2577415</v>
      </c>
      <c r="M4355" s="8" t="str">
        <f t="shared" si="488"/>
        <v>PEN</v>
      </c>
      <c r="N4355" s="13"/>
      <c r="O4355" s="13">
        <v>122.5</v>
      </c>
      <c r="P4355" s="3">
        <f t="shared" si="489"/>
        <v>122.5</v>
      </c>
      <c r="Q4355" s="3">
        <f t="shared" si="490"/>
        <v>0</v>
      </c>
      <c r="R4355" s="3">
        <f t="shared" si="491"/>
        <v>4495.4899999999743</v>
      </c>
      <c r="S4355" s="24" t="s">
        <v>1334</v>
      </c>
      <c r="T4355" s="24" t="s">
        <v>1334</v>
      </c>
      <c r="U4355" s="55"/>
      <c r="V4355" s="25">
        <f>IFERROR(VLOOKUP(BCP_Soles[[#This Row],[destinatario]],CHOOSE({1,2},Clientes_Proveedores[Razon Social],Clientes_Proveedores[Ruc / Dni]),2,0),"")</f>
        <v>20558226979</v>
      </c>
      <c r="W4355" s="25"/>
      <c r="X4355" s="25"/>
      <c r="Y4355" s="25"/>
      <c r="Z4355" s="77"/>
      <c r="AA4355" s="3" t="str">
        <f>IF(BCP_Soles[[#This Row],[fecha]]&gt;0,TEXT(BCP_Soles[[#This Row],[fecha]],"mmmm"),0)</f>
        <v>Octubre</v>
      </c>
    </row>
    <row r="4356" spans="1:27" x14ac:dyDescent="0.3">
      <c r="A4356" s="2">
        <f>IF(BCP_Soles[[#This Row],[tipo_registro]]="R",COUNTIFS($C$1:$C4355,"R")+1,A4355)</f>
        <v>2886</v>
      </c>
      <c r="B4356" s="19" t="str">
        <f t="shared" si="487"/>
        <v>B-BCP - Soles</v>
      </c>
      <c r="C4356" s="3" t="s">
        <v>1330</v>
      </c>
      <c r="D4356" s="14">
        <v>45954</v>
      </c>
      <c r="E4356" s="5" t="s">
        <v>206</v>
      </c>
      <c r="F4356" s="5" t="s">
        <v>1303</v>
      </c>
      <c r="G4356" s="6" t="s">
        <v>425</v>
      </c>
      <c r="H4356" s="6" t="s">
        <v>68</v>
      </c>
      <c r="I4356" s="198" t="s">
        <v>1784</v>
      </c>
      <c r="J4356" s="6">
        <v>276</v>
      </c>
      <c r="K4356" s="7" t="s">
        <v>4823</v>
      </c>
      <c r="L4356" s="8">
        <v>1031522</v>
      </c>
      <c r="M4356" s="8" t="str">
        <f t="shared" si="488"/>
        <v>PEN</v>
      </c>
      <c r="N4356" s="13"/>
      <c r="O4356" s="13">
        <v>6908.82</v>
      </c>
      <c r="P4356" s="3">
        <f t="shared" si="489"/>
        <v>6908.82</v>
      </c>
      <c r="Q4356" s="3">
        <f t="shared" si="490"/>
        <v>0</v>
      </c>
      <c r="R4356" s="3">
        <f t="shared" si="491"/>
        <v>11404.309999999974</v>
      </c>
      <c r="S4356" s="24" t="s">
        <v>1334</v>
      </c>
      <c r="T4356" s="24" t="s">
        <v>1334</v>
      </c>
      <c r="U4356" s="55"/>
      <c r="V4356" s="25">
        <f>IFERROR(VLOOKUP(BCP_Soles[[#This Row],[destinatario]],CHOOSE({1,2},Clientes_Proveedores[Razon Social],Clientes_Proveedores[Ruc / Dni]),2,0),"")</f>
        <v>20558226979</v>
      </c>
      <c r="W4356" s="25"/>
      <c r="X4356" s="25"/>
      <c r="Y4356" s="25"/>
      <c r="Z4356" s="77"/>
      <c r="AA4356" s="3" t="str">
        <f>IF(BCP_Soles[[#This Row],[fecha]]&gt;0,TEXT(BCP_Soles[[#This Row],[fecha]],"mmmm"),0)</f>
        <v>Octubre</v>
      </c>
    </row>
    <row r="4357" spans="1:27" ht="24" x14ac:dyDescent="0.3">
      <c r="A4357" s="2">
        <f>IF(BCP_Soles[[#This Row],[tipo_registro]]="R",COUNTIFS($C$1:$C4356,"R")+1,A4356)</f>
        <v>2887</v>
      </c>
      <c r="B4357" s="19" t="str">
        <f t="shared" ref="B4357:B4386" si="493">"B-BCP - Soles"</f>
        <v>B-BCP - Soles</v>
      </c>
      <c r="C4357" s="3" t="s">
        <v>1330</v>
      </c>
      <c r="D4357" s="14">
        <v>45954</v>
      </c>
      <c r="E4357" s="5" t="s">
        <v>697</v>
      </c>
      <c r="F4357" s="5" t="s">
        <v>1303</v>
      </c>
      <c r="G4357" s="6" t="s">
        <v>425</v>
      </c>
      <c r="H4357" s="6" t="s">
        <v>68</v>
      </c>
      <c r="I4357" s="6" t="s">
        <v>3302</v>
      </c>
      <c r="J4357" s="6">
        <v>158</v>
      </c>
      <c r="K4357" s="7" t="s">
        <v>4308</v>
      </c>
      <c r="L4357" s="8">
        <v>6077121</v>
      </c>
      <c r="M4357" s="8" t="str">
        <f t="shared" ref="M4357:M4386" si="494">"PEN"</f>
        <v>PEN</v>
      </c>
      <c r="N4357" s="13"/>
      <c r="O4357" s="13">
        <v>561.79999999999995</v>
      </c>
      <c r="P4357" s="3">
        <f t="shared" ref="P4357:P4386" si="495">+IF(OR($F4357="SALDO",$F4357="INGRESO"),$O4357,0)</f>
        <v>561.79999999999995</v>
      </c>
      <c r="Q4357" s="3">
        <f t="shared" ref="Q4357:Q4386" si="496">+IF($F4357="EGRESO",$O4357,0)</f>
        <v>0</v>
      </c>
      <c r="R4357" s="3">
        <f t="shared" ref="R4357:R4362" si="497">IFERROR(IF(F4357="SALDO",P4357,R4356+P4357-Q4357),0)</f>
        <v>11966.109999999973</v>
      </c>
      <c r="S4357" s="24" t="s">
        <v>1334</v>
      </c>
      <c r="T4357" s="24" t="s">
        <v>1334</v>
      </c>
      <c r="U4357" s="55"/>
      <c r="V4357" s="25">
        <f>IFERROR(VLOOKUP(BCP_Soles[[#This Row],[destinatario]],CHOOSE({1,2},Clientes_Proveedores[Razon Social],Clientes_Proveedores[Ruc / Dni]),2,0),"")</f>
        <v>20558226979</v>
      </c>
      <c r="W4357" s="25"/>
      <c r="X4357" s="25"/>
      <c r="Y4357" s="25"/>
      <c r="Z4357" s="77"/>
      <c r="AA4357" s="3" t="str">
        <f>IF(BCP_Soles[[#This Row],[fecha]]&gt;0,TEXT(BCP_Soles[[#This Row],[fecha]],"mmmm"),0)</f>
        <v>Octubre</v>
      </c>
    </row>
    <row r="4358" spans="1:27" ht="24" x14ac:dyDescent="0.3">
      <c r="A4358" s="2">
        <f>IF(BCP_Soles[[#This Row],[tipo_registro]]="R",COUNTIFS($C$1:$C4357,"R")+1,A4357)</f>
        <v>2888</v>
      </c>
      <c r="B4358" s="19" t="str">
        <f t="shared" si="493"/>
        <v>B-BCP - Soles</v>
      </c>
      <c r="C4358" s="3" t="s">
        <v>1330</v>
      </c>
      <c r="D4358" s="14">
        <v>45954</v>
      </c>
      <c r="E4358" s="5" t="s">
        <v>291</v>
      </c>
      <c r="F4358" s="5" t="s">
        <v>1303</v>
      </c>
      <c r="G4358" s="6" t="s">
        <v>425</v>
      </c>
      <c r="H4358" s="6" t="s">
        <v>68</v>
      </c>
      <c r="I4358" s="6" t="s">
        <v>3302</v>
      </c>
      <c r="J4358" s="6">
        <v>159</v>
      </c>
      <c r="K4358" s="7" t="s">
        <v>4824</v>
      </c>
      <c r="L4358" s="8">
        <v>2326670</v>
      </c>
      <c r="M4358" s="8" t="str">
        <f t="shared" si="494"/>
        <v>PEN</v>
      </c>
      <c r="N4358" s="13"/>
      <c r="O4358" s="13">
        <v>218.3</v>
      </c>
      <c r="P4358" s="3">
        <f t="shared" si="495"/>
        <v>218.3</v>
      </c>
      <c r="Q4358" s="3">
        <f t="shared" si="496"/>
        <v>0</v>
      </c>
      <c r="R4358" s="3">
        <f t="shared" si="497"/>
        <v>12184.409999999973</v>
      </c>
      <c r="S4358" s="24" t="s">
        <v>1334</v>
      </c>
      <c r="T4358" s="24" t="s">
        <v>1334</v>
      </c>
      <c r="U4358" s="55"/>
      <c r="V4358" s="25">
        <f>IFERROR(VLOOKUP(BCP_Soles[[#This Row],[destinatario]],CHOOSE({1,2},Clientes_Proveedores[Razon Social],Clientes_Proveedores[Ruc / Dni]),2,0),"")</f>
        <v>20558226979</v>
      </c>
      <c r="W4358" s="25"/>
      <c r="X4358" s="25"/>
      <c r="Y4358" s="25"/>
      <c r="Z4358" s="77"/>
      <c r="AA4358" s="3" t="str">
        <f>IF(BCP_Soles[[#This Row],[fecha]]&gt;0,TEXT(BCP_Soles[[#This Row],[fecha]],"mmmm"),0)</f>
        <v>Octubre</v>
      </c>
    </row>
    <row r="4359" spans="1:27" ht="24" x14ac:dyDescent="0.3">
      <c r="A4359" s="2">
        <f>IF(BCP_Soles[[#This Row],[tipo_registro]]="R",COUNTIFS($C$1:$C4358,"R")+1,A4358)</f>
        <v>2889</v>
      </c>
      <c r="B4359" s="19" t="str">
        <f t="shared" si="493"/>
        <v>B-BCP - Soles</v>
      </c>
      <c r="C4359" s="3" t="s">
        <v>1330</v>
      </c>
      <c r="D4359" s="14">
        <v>45954</v>
      </c>
      <c r="E4359" s="5" t="s">
        <v>2269</v>
      </c>
      <c r="F4359" s="5" t="s">
        <v>1336</v>
      </c>
      <c r="G4359" s="148" t="s">
        <v>895</v>
      </c>
      <c r="H4359" s="6"/>
      <c r="I4359" s="198"/>
      <c r="J4359" s="6"/>
      <c r="K4359" s="7" t="s">
        <v>3083</v>
      </c>
      <c r="L4359" s="8">
        <v>1280917</v>
      </c>
      <c r="M4359" s="8" t="str">
        <f t="shared" si="494"/>
        <v>PEN</v>
      </c>
      <c r="N4359" s="13"/>
      <c r="O4359" s="13">
        <v>2000</v>
      </c>
      <c r="P4359" s="3">
        <f t="shared" si="495"/>
        <v>0</v>
      </c>
      <c r="Q4359" s="3">
        <f t="shared" si="496"/>
        <v>2000</v>
      </c>
      <c r="R4359" s="3">
        <f t="shared" si="497"/>
        <v>10184.409999999973</v>
      </c>
      <c r="S4359" s="24"/>
      <c r="T4359" s="24" t="s">
        <v>1334</v>
      </c>
      <c r="U4359" s="55"/>
      <c r="V4359" s="25">
        <f>IFERROR(VLOOKUP(BCP_Soles[[#This Row],[destinatario]],CHOOSE({1,2},Clientes_Proveedores[Razon Social],Clientes_Proveedores[Ruc / Dni]),2,0),"")</f>
        <v>72144092</v>
      </c>
      <c r="W4359" s="25"/>
      <c r="X4359" s="25"/>
      <c r="Y4359" s="25"/>
      <c r="Z4359" s="77"/>
      <c r="AA4359" s="3" t="str">
        <f>IF(BCP_Soles[[#This Row],[fecha]]&gt;0,TEXT(BCP_Soles[[#This Row],[fecha]],"mmmm"),0)</f>
        <v>Octubre</v>
      </c>
    </row>
    <row r="4360" spans="1:27" ht="36" x14ac:dyDescent="0.3">
      <c r="A4360" s="2">
        <f>IF(BCP_Soles[[#This Row],[tipo_registro]]="R",COUNTIFS($C$1:$C4359,"R")+1,A4359)</f>
        <v>2890</v>
      </c>
      <c r="B4360" s="19" t="str">
        <f t="shared" si="493"/>
        <v>B-BCP - Soles</v>
      </c>
      <c r="C4360" s="3" t="s">
        <v>1330</v>
      </c>
      <c r="D4360" s="14">
        <v>45954</v>
      </c>
      <c r="E4360" s="5" t="s">
        <v>2269</v>
      </c>
      <c r="F4360" s="5" t="s">
        <v>1336</v>
      </c>
      <c r="G4360" s="6" t="s">
        <v>948</v>
      </c>
      <c r="H4360" s="6"/>
      <c r="I4360" s="198"/>
      <c r="J4360" s="6"/>
      <c r="K4360" s="7" t="s">
        <v>4825</v>
      </c>
      <c r="L4360" s="8">
        <v>1281412</v>
      </c>
      <c r="M4360" s="8" t="str">
        <f t="shared" si="494"/>
        <v>PEN</v>
      </c>
      <c r="N4360" s="13"/>
      <c r="O4360" s="13">
        <v>3000</v>
      </c>
      <c r="P4360" s="3">
        <f t="shared" si="495"/>
        <v>0</v>
      </c>
      <c r="Q4360" s="3">
        <f t="shared" si="496"/>
        <v>3000</v>
      </c>
      <c r="R4360" s="3">
        <f t="shared" si="497"/>
        <v>7184.4099999999726</v>
      </c>
      <c r="S4360" s="24"/>
      <c r="T4360" s="24" t="s">
        <v>1334</v>
      </c>
      <c r="U4360" s="55"/>
      <c r="V4360" s="25">
        <f>IFERROR(VLOOKUP(BCP_Soles[[#This Row],[destinatario]],CHOOSE({1,2},Clientes_Proveedores[Razon Social],Clientes_Proveedores[Ruc / Dni]),2,0),"")</f>
        <v>71311214</v>
      </c>
      <c r="W4360" s="25"/>
      <c r="X4360" s="25"/>
      <c r="Y4360" s="25"/>
      <c r="Z4360" s="77"/>
      <c r="AA4360" s="3" t="str">
        <f>IF(BCP_Soles[[#This Row],[fecha]]&gt;0,TEXT(BCP_Soles[[#This Row],[fecha]],"mmmm"),0)</f>
        <v>Octubre</v>
      </c>
    </row>
    <row r="4361" spans="1:27" x14ac:dyDescent="0.3">
      <c r="A4361" s="2">
        <f>IF(BCP_Soles[[#This Row],[tipo_registro]]="R",COUNTIFS($C$1:$C4360,"R")+1,A4360)</f>
        <v>2891</v>
      </c>
      <c r="B4361" s="19" t="str">
        <f t="shared" si="493"/>
        <v>B-BCP - Soles</v>
      </c>
      <c r="C4361" s="3" t="s">
        <v>1330</v>
      </c>
      <c r="D4361" s="14">
        <v>45954</v>
      </c>
      <c r="E4361" s="5" t="s">
        <v>2269</v>
      </c>
      <c r="F4361" s="5" t="s">
        <v>1336</v>
      </c>
      <c r="G4361" s="6" t="s">
        <v>696</v>
      </c>
      <c r="H4361" s="6"/>
      <c r="I4361" s="198"/>
      <c r="J4361" s="6"/>
      <c r="K4361" s="7" t="s">
        <v>4826</v>
      </c>
      <c r="L4361" s="8">
        <v>1241045</v>
      </c>
      <c r="M4361" s="8" t="str">
        <f t="shared" si="494"/>
        <v>PEN</v>
      </c>
      <c r="N4361" s="13"/>
      <c r="O4361" s="13">
        <v>5994.3</v>
      </c>
      <c r="P4361" s="3">
        <f t="shared" si="495"/>
        <v>0</v>
      </c>
      <c r="Q4361" s="3">
        <f t="shared" si="496"/>
        <v>5994.3</v>
      </c>
      <c r="R4361" s="3">
        <f t="shared" si="497"/>
        <v>1190.1099999999724</v>
      </c>
      <c r="S4361" s="24" t="s">
        <v>1334</v>
      </c>
      <c r="T4361" s="24" t="s">
        <v>1334</v>
      </c>
      <c r="U4361" s="55"/>
      <c r="V4361" s="25">
        <f>IFERROR(VLOOKUP(BCP_Soles[[#This Row],[destinatario]],CHOOSE({1,2},Clientes_Proveedores[Razon Social],Clientes_Proveedores[Ruc / Dni]),2,0),"")</f>
        <v>0</v>
      </c>
      <c r="W4361" s="25"/>
      <c r="X4361" s="25"/>
      <c r="Y4361" s="25"/>
      <c r="Z4361" s="77"/>
      <c r="AA4361" s="3" t="str">
        <f>IF(BCP_Soles[[#This Row],[fecha]]&gt;0,TEXT(BCP_Soles[[#This Row],[fecha]],"mmmm"),0)</f>
        <v>Octubre</v>
      </c>
    </row>
    <row r="4362" spans="1:27" ht="24" x14ac:dyDescent="0.3">
      <c r="A4362" s="2">
        <f>IF(BCP_Soles[[#This Row],[tipo_registro]]="R",COUNTIFS($C$1:$C4361,"R")+1,A4361)</f>
        <v>2891</v>
      </c>
      <c r="B4362" s="19" t="str">
        <f t="shared" si="493"/>
        <v>B-BCP - Soles</v>
      </c>
      <c r="C4362" s="3" t="s">
        <v>1352</v>
      </c>
      <c r="D4362" s="14">
        <v>45954</v>
      </c>
      <c r="E4362" s="5" t="s">
        <v>2269</v>
      </c>
      <c r="F4362" s="5" t="s">
        <v>1336</v>
      </c>
      <c r="G4362" s="6" t="s">
        <v>667</v>
      </c>
      <c r="H4362" s="6" t="s">
        <v>68</v>
      </c>
      <c r="I4362" s="198" t="s">
        <v>1376</v>
      </c>
      <c r="J4362" s="6">
        <v>80</v>
      </c>
      <c r="K4362" s="7" t="s">
        <v>4826</v>
      </c>
      <c r="L4362" s="8">
        <v>1241045</v>
      </c>
      <c r="M4362" s="8" t="str">
        <f t="shared" si="494"/>
        <v>PEN</v>
      </c>
      <c r="N4362" s="13">
        <v>510</v>
      </c>
      <c r="O4362" s="13"/>
      <c r="P4362" s="3">
        <f t="shared" si="495"/>
        <v>0</v>
      </c>
      <c r="Q4362" s="3">
        <f t="shared" si="496"/>
        <v>0</v>
      </c>
      <c r="R4362" s="3">
        <f t="shared" si="497"/>
        <v>1190.1099999999724</v>
      </c>
      <c r="S4362" s="24" t="s">
        <v>1334</v>
      </c>
      <c r="T4362" s="24" t="s">
        <v>1334</v>
      </c>
      <c r="U4362" s="55"/>
      <c r="V4362" s="25">
        <f>IFERROR(VLOOKUP(BCP_Soles[[#This Row],[destinatario]],CHOOSE({1,2},Clientes_Proveedores[Razon Social],Clientes_Proveedores[Ruc / Dni]),2,0),"")</f>
        <v>10410687491</v>
      </c>
      <c r="W4362" s="25"/>
      <c r="X4362" s="25"/>
      <c r="Y4362" s="25"/>
      <c r="Z4362" s="77"/>
      <c r="AA4362" s="3" t="str">
        <f>IF(BCP_Soles[[#This Row],[fecha]]&gt;0,TEXT(BCP_Soles[[#This Row],[fecha]],"mmmm"),0)</f>
        <v>Octubre</v>
      </c>
    </row>
    <row r="4363" spans="1:27" ht="24" x14ac:dyDescent="0.3">
      <c r="A4363" s="2">
        <f>IF(BCP_Soles[[#This Row],[tipo_registro]]="R",COUNTIFS($C$1:$C4362,"R")+1,A4362)</f>
        <v>2891</v>
      </c>
      <c r="B4363" s="19" t="str">
        <f t="shared" si="493"/>
        <v>B-BCP - Soles</v>
      </c>
      <c r="C4363" s="3" t="s">
        <v>1352</v>
      </c>
      <c r="D4363" s="14">
        <v>45954</v>
      </c>
      <c r="E4363" s="5" t="s">
        <v>2269</v>
      </c>
      <c r="F4363" s="5" t="s">
        <v>1336</v>
      </c>
      <c r="G4363" s="6" t="s">
        <v>385</v>
      </c>
      <c r="H4363" s="6" t="s">
        <v>68</v>
      </c>
      <c r="I4363" s="198" t="s">
        <v>1376</v>
      </c>
      <c r="J4363" s="6">
        <v>1366</v>
      </c>
      <c r="K4363" s="7" t="s">
        <v>4826</v>
      </c>
      <c r="L4363" s="8">
        <v>1241045</v>
      </c>
      <c r="M4363" s="8" t="str">
        <f t="shared" si="494"/>
        <v>PEN</v>
      </c>
      <c r="N4363" s="13">
        <v>422.5</v>
      </c>
      <c r="O4363" s="13"/>
      <c r="P4363" s="3">
        <f t="shared" si="495"/>
        <v>0</v>
      </c>
      <c r="Q4363" s="3">
        <f t="shared" si="496"/>
        <v>0</v>
      </c>
      <c r="R4363" s="3">
        <f t="shared" ref="R4363:R4374" si="498">IFERROR(IF(F4363="SALDO",P4363,R4362+P4363-Q4363),0)</f>
        <v>1190.1099999999724</v>
      </c>
      <c r="S4363" s="24" t="s">
        <v>1334</v>
      </c>
      <c r="T4363" s="24" t="s">
        <v>1334</v>
      </c>
      <c r="U4363" s="55"/>
      <c r="V4363" s="25">
        <f>IFERROR(VLOOKUP(BCP_Soles[[#This Row],[destinatario]],CHOOSE({1,2},Clientes_Proveedores[Razon Social],Clientes_Proveedores[Ruc / Dni]),2,0),"")</f>
        <v>20539387104</v>
      </c>
      <c r="W4363" s="25"/>
      <c r="X4363" s="25"/>
      <c r="Y4363" s="25"/>
      <c r="Z4363" s="77"/>
      <c r="AA4363" s="3" t="str">
        <f>IF(BCP_Soles[[#This Row],[fecha]]&gt;0,TEXT(BCP_Soles[[#This Row],[fecha]],"mmmm"),0)</f>
        <v>Octubre</v>
      </c>
    </row>
    <row r="4364" spans="1:27" ht="36" x14ac:dyDescent="0.3">
      <c r="A4364" s="2">
        <f>IF(BCP_Soles[[#This Row],[tipo_registro]]="R",COUNTIFS($C$1:$C4363,"R")+1,A4363)</f>
        <v>2891</v>
      </c>
      <c r="B4364" s="19" t="str">
        <f t="shared" si="493"/>
        <v>B-BCP - Soles</v>
      </c>
      <c r="C4364" s="3" t="s">
        <v>1352</v>
      </c>
      <c r="D4364" s="14">
        <v>45954</v>
      </c>
      <c r="E4364" s="5" t="s">
        <v>2269</v>
      </c>
      <c r="F4364" s="5" t="s">
        <v>1336</v>
      </c>
      <c r="G4364" s="6" t="s">
        <v>132</v>
      </c>
      <c r="H4364" s="6" t="s">
        <v>68</v>
      </c>
      <c r="I4364" s="198" t="s">
        <v>1376</v>
      </c>
      <c r="J4364" s="6">
        <v>818</v>
      </c>
      <c r="K4364" s="7" t="s">
        <v>4826</v>
      </c>
      <c r="L4364" s="8">
        <v>1241045</v>
      </c>
      <c r="M4364" s="8" t="str">
        <f t="shared" si="494"/>
        <v>PEN</v>
      </c>
      <c r="N4364" s="13">
        <v>165</v>
      </c>
      <c r="O4364" s="13"/>
      <c r="P4364" s="3">
        <f t="shared" si="495"/>
        <v>0</v>
      </c>
      <c r="Q4364" s="3">
        <f t="shared" si="496"/>
        <v>0</v>
      </c>
      <c r="R4364" s="3">
        <f t="shared" si="498"/>
        <v>1190.1099999999724</v>
      </c>
      <c r="S4364" s="24" t="s">
        <v>1334</v>
      </c>
      <c r="T4364" s="24" t="s">
        <v>1334</v>
      </c>
      <c r="U4364" s="55"/>
      <c r="V4364" s="25">
        <f>IFERROR(VLOOKUP(BCP_Soles[[#This Row],[destinatario]],CHOOSE({1,2},Clientes_Proveedores[Razon Social],Clientes_Proveedores[Ruc / Dni]),2,0),"")</f>
        <v>10296695781</v>
      </c>
      <c r="W4364" s="25"/>
      <c r="X4364" s="25"/>
      <c r="Y4364" s="25"/>
      <c r="Z4364" s="77"/>
      <c r="AA4364" s="3" t="str">
        <f>IF(BCP_Soles[[#This Row],[fecha]]&gt;0,TEXT(BCP_Soles[[#This Row],[fecha]],"mmmm"),0)</f>
        <v>Octubre</v>
      </c>
    </row>
    <row r="4365" spans="1:27" ht="24" x14ac:dyDescent="0.3">
      <c r="A4365" s="2">
        <f>IF(BCP_Soles[[#This Row],[tipo_registro]]="R",COUNTIFS($C$1:$C4364,"R")+1,A4364)</f>
        <v>2891</v>
      </c>
      <c r="B4365" s="19" t="str">
        <f t="shared" si="493"/>
        <v>B-BCP - Soles</v>
      </c>
      <c r="C4365" s="3" t="s">
        <v>1352</v>
      </c>
      <c r="D4365" s="14">
        <v>45954</v>
      </c>
      <c r="E4365" s="5" t="s">
        <v>2269</v>
      </c>
      <c r="F4365" s="5" t="s">
        <v>1336</v>
      </c>
      <c r="G4365" s="6" t="s">
        <v>166</v>
      </c>
      <c r="H4365" s="6" t="s">
        <v>68</v>
      </c>
      <c r="I4365" s="198" t="s">
        <v>1376</v>
      </c>
      <c r="J4365" s="6">
        <v>5441</v>
      </c>
      <c r="K4365" s="7" t="s">
        <v>4826</v>
      </c>
      <c r="L4365" s="8">
        <v>1241045</v>
      </c>
      <c r="M4365" s="8" t="str">
        <f t="shared" si="494"/>
        <v>PEN</v>
      </c>
      <c r="N4365" s="13">
        <v>59</v>
      </c>
      <c r="O4365" s="13"/>
      <c r="P4365" s="3">
        <f t="shared" si="495"/>
        <v>0</v>
      </c>
      <c r="Q4365" s="3">
        <f t="shared" si="496"/>
        <v>0</v>
      </c>
      <c r="R4365" s="3">
        <f t="shared" si="498"/>
        <v>1190.1099999999724</v>
      </c>
      <c r="S4365" s="24" t="s">
        <v>1334</v>
      </c>
      <c r="T4365" s="24" t="s">
        <v>1334</v>
      </c>
      <c r="U4365" s="55"/>
      <c r="V4365" s="25">
        <f>IFERROR(VLOOKUP(BCP_Soles[[#This Row],[destinatario]],CHOOSE({1,2},Clientes_Proveedores[Razon Social],Clientes_Proveedores[Ruc / Dni]),2,0),"")</f>
        <v>10425371652</v>
      </c>
      <c r="W4365" s="25"/>
      <c r="X4365" s="25"/>
      <c r="Y4365" s="25"/>
      <c r="Z4365" s="77"/>
      <c r="AA4365" s="3" t="str">
        <f>IF(BCP_Soles[[#This Row],[fecha]]&gt;0,TEXT(BCP_Soles[[#This Row],[fecha]],"mmmm"),0)</f>
        <v>Octubre</v>
      </c>
    </row>
    <row r="4366" spans="1:27" ht="24" x14ac:dyDescent="0.3">
      <c r="A4366" s="2">
        <f>IF(BCP_Soles[[#This Row],[tipo_registro]]="R",COUNTIFS($C$1:$C4365,"R")+1,A4365)</f>
        <v>2891</v>
      </c>
      <c r="B4366" s="19" t="str">
        <f t="shared" si="493"/>
        <v>B-BCP - Soles</v>
      </c>
      <c r="C4366" s="3" t="s">
        <v>1352</v>
      </c>
      <c r="D4366" s="14">
        <v>45954</v>
      </c>
      <c r="E4366" s="5" t="s">
        <v>2269</v>
      </c>
      <c r="F4366" s="5" t="s">
        <v>1336</v>
      </c>
      <c r="G4366" s="6" t="s">
        <v>166</v>
      </c>
      <c r="H4366" s="6" t="s">
        <v>68</v>
      </c>
      <c r="I4366" s="198" t="s">
        <v>1376</v>
      </c>
      <c r="J4366" s="6">
        <v>5495</v>
      </c>
      <c r="K4366" s="7" t="s">
        <v>4826</v>
      </c>
      <c r="L4366" s="8">
        <v>1241045</v>
      </c>
      <c r="M4366" s="8" t="str">
        <f t="shared" si="494"/>
        <v>PEN</v>
      </c>
      <c r="N4366" s="13">
        <v>59</v>
      </c>
      <c r="O4366" s="13"/>
      <c r="P4366" s="3">
        <f t="shared" si="495"/>
        <v>0</v>
      </c>
      <c r="Q4366" s="3">
        <f t="shared" si="496"/>
        <v>0</v>
      </c>
      <c r="R4366" s="3">
        <f t="shared" si="498"/>
        <v>1190.1099999999724</v>
      </c>
      <c r="S4366" s="24" t="s">
        <v>1334</v>
      </c>
      <c r="T4366" s="24" t="s">
        <v>1334</v>
      </c>
      <c r="U4366" s="55"/>
      <c r="V4366" s="25">
        <f>IFERROR(VLOOKUP(BCP_Soles[[#This Row],[destinatario]],CHOOSE({1,2},Clientes_Proveedores[Razon Social],Clientes_Proveedores[Ruc / Dni]),2,0),"")</f>
        <v>10425371652</v>
      </c>
      <c r="W4366" s="25"/>
      <c r="X4366" s="25"/>
      <c r="Y4366" s="25"/>
      <c r="Z4366" s="77"/>
      <c r="AA4366" s="3" t="str">
        <f>IF(BCP_Soles[[#This Row],[fecha]]&gt;0,TEXT(BCP_Soles[[#This Row],[fecha]],"mmmm"),0)</f>
        <v>Octubre</v>
      </c>
    </row>
    <row r="4367" spans="1:27" ht="24" x14ac:dyDescent="0.3">
      <c r="A4367" s="2">
        <f>IF(BCP_Soles[[#This Row],[tipo_registro]]="R",COUNTIFS($C$1:$C4366,"R")+1,A4366)</f>
        <v>2891</v>
      </c>
      <c r="B4367" s="19" t="str">
        <f t="shared" si="493"/>
        <v>B-BCP - Soles</v>
      </c>
      <c r="C4367" s="3" t="s">
        <v>1352</v>
      </c>
      <c r="D4367" s="14">
        <v>45954</v>
      </c>
      <c r="E4367" s="5" t="s">
        <v>2269</v>
      </c>
      <c r="F4367" s="5" t="s">
        <v>1336</v>
      </c>
      <c r="G4367" s="6" t="s">
        <v>166</v>
      </c>
      <c r="H4367" s="6" t="s">
        <v>68</v>
      </c>
      <c r="I4367" s="198" t="s">
        <v>1376</v>
      </c>
      <c r="J4367" s="6">
        <v>5506</v>
      </c>
      <c r="K4367" s="7" t="s">
        <v>4826</v>
      </c>
      <c r="L4367" s="8">
        <v>1241045</v>
      </c>
      <c r="M4367" s="8" t="str">
        <f t="shared" si="494"/>
        <v>PEN</v>
      </c>
      <c r="N4367" s="13">
        <v>70.8</v>
      </c>
      <c r="O4367" s="13"/>
      <c r="P4367" s="3">
        <f t="shared" si="495"/>
        <v>0</v>
      </c>
      <c r="Q4367" s="3">
        <f t="shared" si="496"/>
        <v>0</v>
      </c>
      <c r="R4367" s="3">
        <f t="shared" si="498"/>
        <v>1190.1099999999724</v>
      </c>
      <c r="S4367" s="24" t="s">
        <v>1334</v>
      </c>
      <c r="T4367" s="24" t="s">
        <v>1334</v>
      </c>
      <c r="U4367" s="55"/>
      <c r="V4367" s="25">
        <f>IFERROR(VLOOKUP(BCP_Soles[[#This Row],[destinatario]],CHOOSE({1,2},Clientes_Proveedores[Razon Social],Clientes_Proveedores[Ruc / Dni]),2,0),"")</f>
        <v>10425371652</v>
      </c>
      <c r="W4367" s="25"/>
      <c r="X4367" s="25"/>
      <c r="Y4367" s="25"/>
      <c r="Z4367" s="77"/>
      <c r="AA4367" s="3" t="str">
        <f>IF(BCP_Soles[[#This Row],[fecha]]&gt;0,TEXT(BCP_Soles[[#This Row],[fecha]],"mmmm"),0)</f>
        <v>Octubre</v>
      </c>
    </row>
    <row r="4368" spans="1:27" x14ac:dyDescent="0.3">
      <c r="A4368" s="2">
        <f>IF(BCP_Soles[[#This Row],[tipo_registro]]="R",COUNTIFS($C$1:$C4367,"R")+1,A4367)</f>
        <v>2891</v>
      </c>
      <c r="B4368" s="19" t="str">
        <f t="shared" si="493"/>
        <v>B-BCP - Soles</v>
      </c>
      <c r="C4368" s="3" t="s">
        <v>1352</v>
      </c>
      <c r="D4368" s="14">
        <v>45954</v>
      </c>
      <c r="E4368" s="5" t="s">
        <v>2269</v>
      </c>
      <c r="F4368" s="5" t="s">
        <v>1336</v>
      </c>
      <c r="G4368" s="6" t="s">
        <v>286</v>
      </c>
      <c r="H4368" s="6" t="s">
        <v>68</v>
      </c>
      <c r="I4368" s="198" t="s">
        <v>1386</v>
      </c>
      <c r="J4368" s="6">
        <v>1752</v>
      </c>
      <c r="K4368" s="7" t="s">
        <v>4826</v>
      </c>
      <c r="L4368" s="8">
        <v>1241045</v>
      </c>
      <c r="M4368" s="8" t="str">
        <f t="shared" si="494"/>
        <v>PEN</v>
      </c>
      <c r="N4368" s="13">
        <v>1103.51</v>
      </c>
      <c r="O4368" s="13"/>
      <c r="P4368" s="3">
        <f t="shared" si="495"/>
        <v>0</v>
      </c>
      <c r="Q4368" s="3">
        <f t="shared" si="496"/>
        <v>0</v>
      </c>
      <c r="R4368" s="3">
        <f t="shared" si="498"/>
        <v>1190.1099999999724</v>
      </c>
      <c r="S4368" s="24" t="s">
        <v>1334</v>
      </c>
      <c r="T4368" s="24" t="s">
        <v>1334</v>
      </c>
      <c r="U4368" s="55"/>
      <c r="V4368" s="25">
        <f>IFERROR(VLOOKUP(BCP_Soles[[#This Row],[destinatario]],CHOOSE({1,2},Clientes_Proveedores[Razon Social],Clientes_Proveedores[Ruc / Dni]),2,0),"")</f>
        <v>20454186002</v>
      </c>
      <c r="W4368" s="25"/>
      <c r="X4368" s="25"/>
      <c r="Y4368" s="25"/>
      <c r="Z4368" s="77"/>
      <c r="AA4368" s="3" t="str">
        <f>IF(BCP_Soles[[#This Row],[fecha]]&gt;0,TEXT(BCP_Soles[[#This Row],[fecha]],"mmmm"),0)</f>
        <v>Octubre</v>
      </c>
    </row>
    <row r="4369" spans="1:27" x14ac:dyDescent="0.3">
      <c r="A4369" s="2">
        <f>IF(BCP_Soles[[#This Row],[tipo_registro]]="R",COUNTIFS($C$1:$C4368,"R")+1,A4368)</f>
        <v>2891</v>
      </c>
      <c r="B4369" s="19" t="str">
        <f t="shared" si="493"/>
        <v>B-BCP - Soles</v>
      </c>
      <c r="C4369" s="3" t="s">
        <v>1352</v>
      </c>
      <c r="D4369" s="14">
        <v>45954</v>
      </c>
      <c r="E4369" s="5" t="s">
        <v>2269</v>
      </c>
      <c r="F4369" s="5" t="s">
        <v>1336</v>
      </c>
      <c r="G4369" s="6" t="s">
        <v>286</v>
      </c>
      <c r="H4369" s="6" t="s">
        <v>68</v>
      </c>
      <c r="I4369" s="198" t="s">
        <v>1386</v>
      </c>
      <c r="J4369" s="6">
        <v>1753</v>
      </c>
      <c r="K4369" s="7" t="s">
        <v>4826</v>
      </c>
      <c r="L4369" s="8">
        <v>1241045</v>
      </c>
      <c r="M4369" s="8" t="str">
        <f t="shared" si="494"/>
        <v>PEN</v>
      </c>
      <c r="N4369" s="13">
        <v>435.5</v>
      </c>
      <c r="O4369" s="13"/>
      <c r="P4369" s="3">
        <f t="shared" si="495"/>
        <v>0</v>
      </c>
      <c r="Q4369" s="3">
        <f t="shared" si="496"/>
        <v>0</v>
      </c>
      <c r="R4369" s="3">
        <f t="shared" si="498"/>
        <v>1190.1099999999724</v>
      </c>
      <c r="S4369" s="24" t="s">
        <v>1334</v>
      </c>
      <c r="T4369" s="24" t="s">
        <v>1334</v>
      </c>
      <c r="U4369" s="55"/>
      <c r="V4369" s="25">
        <f>IFERROR(VLOOKUP(BCP_Soles[[#This Row],[destinatario]],CHOOSE({1,2},Clientes_Proveedores[Razon Social],Clientes_Proveedores[Ruc / Dni]),2,0),"")</f>
        <v>20454186002</v>
      </c>
      <c r="W4369" s="25"/>
      <c r="X4369" s="25"/>
      <c r="Y4369" s="25"/>
      <c r="Z4369" s="77"/>
      <c r="AA4369" s="3" t="str">
        <f>IF(BCP_Soles[[#This Row],[fecha]]&gt;0,TEXT(BCP_Soles[[#This Row],[fecha]],"mmmm"),0)</f>
        <v>Octubre</v>
      </c>
    </row>
    <row r="4370" spans="1:27" x14ac:dyDescent="0.3">
      <c r="A4370" s="2">
        <f>IF(BCP_Soles[[#This Row],[tipo_registro]]="R",COUNTIFS($C$1:$C4369,"R")+1,A4369)</f>
        <v>2891</v>
      </c>
      <c r="B4370" s="19" t="str">
        <f t="shared" si="493"/>
        <v>B-BCP - Soles</v>
      </c>
      <c r="C4370" s="3" t="s">
        <v>1352</v>
      </c>
      <c r="D4370" s="14">
        <v>45954</v>
      </c>
      <c r="E4370" s="5" t="s">
        <v>2269</v>
      </c>
      <c r="F4370" s="5" t="s">
        <v>1336</v>
      </c>
      <c r="G4370" s="6" t="s">
        <v>286</v>
      </c>
      <c r="H4370" s="6" t="s">
        <v>68</v>
      </c>
      <c r="I4370" s="198" t="s">
        <v>1386</v>
      </c>
      <c r="J4370" s="6">
        <v>1751</v>
      </c>
      <c r="K4370" s="7" t="s">
        <v>4826</v>
      </c>
      <c r="L4370" s="8">
        <v>1241045</v>
      </c>
      <c r="M4370" s="8" t="str">
        <f t="shared" si="494"/>
        <v>PEN</v>
      </c>
      <c r="N4370" s="13">
        <v>312.99</v>
      </c>
      <c r="O4370" s="13"/>
      <c r="P4370" s="3">
        <f t="shared" si="495"/>
        <v>0</v>
      </c>
      <c r="Q4370" s="3">
        <f t="shared" si="496"/>
        <v>0</v>
      </c>
      <c r="R4370" s="3">
        <f t="shared" si="498"/>
        <v>1190.1099999999724</v>
      </c>
      <c r="S4370" s="24" t="s">
        <v>1334</v>
      </c>
      <c r="T4370" s="24" t="s">
        <v>1334</v>
      </c>
      <c r="U4370" s="55"/>
      <c r="V4370" s="25">
        <f>IFERROR(VLOOKUP(BCP_Soles[[#This Row],[destinatario]],CHOOSE({1,2},Clientes_Proveedores[Razon Social],Clientes_Proveedores[Ruc / Dni]),2,0),"")</f>
        <v>20454186002</v>
      </c>
      <c r="W4370" s="25"/>
      <c r="X4370" s="25"/>
      <c r="Y4370" s="25"/>
      <c r="Z4370" s="77"/>
      <c r="AA4370" s="3" t="str">
        <f>IF(BCP_Soles[[#This Row],[fecha]]&gt;0,TEXT(BCP_Soles[[#This Row],[fecha]],"mmmm"),0)</f>
        <v>Octubre</v>
      </c>
    </row>
    <row r="4371" spans="1:27" ht="36" x14ac:dyDescent="0.3">
      <c r="A4371" s="2">
        <f>IF(BCP_Soles[[#This Row],[tipo_registro]]="R",COUNTIFS($C$1:$C4370,"R")+1,A4370)</f>
        <v>2891</v>
      </c>
      <c r="B4371" s="19" t="str">
        <f t="shared" si="493"/>
        <v>B-BCP - Soles</v>
      </c>
      <c r="C4371" s="3" t="s">
        <v>1352</v>
      </c>
      <c r="D4371" s="14">
        <v>45954</v>
      </c>
      <c r="E4371" s="5" t="s">
        <v>2269</v>
      </c>
      <c r="F4371" s="5" t="s">
        <v>1336</v>
      </c>
      <c r="G4371" s="6" t="s">
        <v>416</v>
      </c>
      <c r="H4371" s="6" t="s">
        <v>68</v>
      </c>
      <c r="I4371" s="198" t="s">
        <v>1376</v>
      </c>
      <c r="J4371" s="6">
        <v>969</v>
      </c>
      <c r="K4371" s="7" t="s">
        <v>4826</v>
      </c>
      <c r="L4371" s="8">
        <v>1241045</v>
      </c>
      <c r="M4371" s="8" t="str">
        <f t="shared" si="494"/>
        <v>PEN</v>
      </c>
      <c r="N4371" s="13">
        <v>1440</v>
      </c>
      <c r="O4371" s="13"/>
      <c r="P4371" s="3">
        <f t="shared" si="495"/>
        <v>0</v>
      </c>
      <c r="Q4371" s="3">
        <f t="shared" si="496"/>
        <v>0</v>
      </c>
      <c r="R4371" s="3">
        <f t="shared" si="498"/>
        <v>1190.1099999999724</v>
      </c>
      <c r="S4371" s="24" t="s">
        <v>1334</v>
      </c>
      <c r="T4371" s="24" t="s">
        <v>1334</v>
      </c>
      <c r="U4371" s="55"/>
      <c r="V4371" s="25">
        <f>IFERROR(VLOOKUP(BCP_Soles[[#This Row],[destinatario]],CHOOSE({1,2},Clientes_Proveedores[Razon Social],Clientes_Proveedores[Ruc / Dni]),2,0),"")</f>
        <v>20554299441</v>
      </c>
      <c r="W4371" s="25"/>
      <c r="X4371" s="25"/>
      <c r="Y4371" s="25"/>
      <c r="Z4371" s="77"/>
      <c r="AA4371" s="3" t="str">
        <f>IF(BCP_Soles[[#This Row],[fecha]]&gt;0,TEXT(BCP_Soles[[#This Row],[fecha]],"mmmm"),0)</f>
        <v>Octubre</v>
      </c>
    </row>
    <row r="4372" spans="1:27" x14ac:dyDescent="0.3">
      <c r="A4372" s="2">
        <f>IF(BCP_Soles[[#This Row],[tipo_registro]]="R",COUNTIFS($C$1:$C4371,"R")+1,A4371)</f>
        <v>2891</v>
      </c>
      <c r="B4372" s="19" t="str">
        <f t="shared" si="493"/>
        <v>B-BCP - Soles</v>
      </c>
      <c r="C4372" s="3" t="s">
        <v>1352</v>
      </c>
      <c r="D4372" s="14">
        <v>45954</v>
      </c>
      <c r="E4372" s="5" t="s">
        <v>2269</v>
      </c>
      <c r="F4372" s="5" t="s">
        <v>1336</v>
      </c>
      <c r="G4372" s="6" t="s">
        <v>1185</v>
      </c>
      <c r="H4372" s="6" t="s">
        <v>68</v>
      </c>
      <c r="I4372" s="198" t="s">
        <v>1376</v>
      </c>
      <c r="J4372" s="6">
        <v>423</v>
      </c>
      <c r="K4372" s="7" t="s">
        <v>4826</v>
      </c>
      <c r="L4372" s="8">
        <v>1241045</v>
      </c>
      <c r="M4372" s="8" t="str">
        <f t="shared" si="494"/>
        <v>PEN</v>
      </c>
      <c r="N4372" s="13">
        <v>472</v>
      </c>
      <c r="O4372" s="13"/>
      <c r="P4372" s="3">
        <f t="shared" si="495"/>
        <v>0</v>
      </c>
      <c r="Q4372" s="3">
        <f t="shared" si="496"/>
        <v>0</v>
      </c>
      <c r="R4372" s="3">
        <f t="shared" si="498"/>
        <v>1190.1099999999724</v>
      </c>
      <c r="S4372" s="24" t="s">
        <v>1334</v>
      </c>
      <c r="T4372" s="24" t="s">
        <v>1334</v>
      </c>
      <c r="U4372" s="55"/>
      <c r="V4372" s="25">
        <f>IFERROR(VLOOKUP(BCP_Soles[[#This Row],[destinatario]],CHOOSE({1,2},Clientes_Proveedores[Razon Social],Clientes_Proveedores[Ruc / Dni]),2,0),"")</f>
        <v>20607192872</v>
      </c>
      <c r="W4372" s="25"/>
      <c r="X4372" s="25"/>
      <c r="Y4372" s="25"/>
      <c r="Z4372" s="77"/>
      <c r="AA4372" s="3" t="str">
        <f>IF(BCP_Soles[[#This Row],[fecha]]&gt;0,TEXT(BCP_Soles[[#This Row],[fecha]],"mmmm"),0)</f>
        <v>Octubre</v>
      </c>
    </row>
    <row r="4373" spans="1:27" x14ac:dyDescent="0.3">
      <c r="A4373" s="2">
        <f>IF(BCP_Soles[[#This Row],[tipo_registro]]="R",COUNTIFS($C$1:$C4372,"R")+1,A4372)</f>
        <v>2891</v>
      </c>
      <c r="B4373" s="19" t="str">
        <f t="shared" si="493"/>
        <v>B-BCP - Soles</v>
      </c>
      <c r="C4373" s="3" t="s">
        <v>1352</v>
      </c>
      <c r="D4373" s="14">
        <v>45954</v>
      </c>
      <c r="E4373" s="5" t="s">
        <v>2269</v>
      </c>
      <c r="F4373" s="5" t="s">
        <v>1336</v>
      </c>
      <c r="G4373" s="6" t="s">
        <v>1185</v>
      </c>
      <c r="H4373" s="6" t="s">
        <v>68</v>
      </c>
      <c r="I4373" s="198" t="s">
        <v>1376</v>
      </c>
      <c r="J4373" s="6">
        <v>428</v>
      </c>
      <c r="K4373" s="7" t="s">
        <v>4826</v>
      </c>
      <c r="L4373" s="8">
        <v>1241045</v>
      </c>
      <c r="M4373" s="8" t="str">
        <f t="shared" si="494"/>
        <v>PEN</v>
      </c>
      <c r="N4373" s="13">
        <v>472</v>
      </c>
      <c r="O4373" s="13"/>
      <c r="P4373" s="3">
        <f t="shared" si="495"/>
        <v>0</v>
      </c>
      <c r="Q4373" s="3">
        <f t="shared" si="496"/>
        <v>0</v>
      </c>
      <c r="R4373" s="3">
        <f t="shared" si="498"/>
        <v>1190.1099999999724</v>
      </c>
      <c r="S4373" s="24" t="s">
        <v>1334</v>
      </c>
      <c r="T4373" s="24" t="s">
        <v>1334</v>
      </c>
      <c r="U4373" s="55"/>
      <c r="V4373" s="25">
        <f>IFERROR(VLOOKUP(BCP_Soles[[#This Row],[destinatario]],CHOOSE({1,2},Clientes_Proveedores[Razon Social],Clientes_Proveedores[Ruc / Dni]),2,0),"")</f>
        <v>20607192872</v>
      </c>
      <c r="W4373" s="25"/>
      <c r="X4373" s="25"/>
      <c r="Y4373" s="25"/>
      <c r="Z4373" s="77"/>
      <c r="AA4373" s="3" t="str">
        <f>IF(BCP_Soles[[#This Row],[fecha]]&gt;0,TEXT(BCP_Soles[[#This Row],[fecha]],"mmmm"),0)</f>
        <v>Octubre</v>
      </c>
    </row>
    <row r="4374" spans="1:27" x14ac:dyDescent="0.3">
      <c r="A4374" s="2">
        <f>IF(BCP_Soles[[#This Row],[tipo_registro]]="R",COUNTIFS($C$1:$C4373,"R")+1,A4373)</f>
        <v>2891</v>
      </c>
      <c r="B4374" s="19" t="str">
        <f t="shared" si="493"/>
        <v>B-BCP - Soles</v>
      </c>
      <c r="C4374" s="3" t="s">
        <v>1352</v>
      </c>
      <c r="D4374" s="14">
        <v>45954</v>
      </c>
      <c r="E4374" s="5" t="s">
        <v>2269</v>
      </c>
      <c r="F4374" s="5" t="s">
        <v>1336</v>
      </c>
      <c r="G4374" s="6" t="s">
        <v>1185</v>
      </c>
      <c r="H4374" s="6" t="s">
        <v>68</v>
      </c>
      <c r="I4374" s="198" t="s">
        <v>1376</v>
      </c>
      <c r="J4374" s="6">
        <v>426</v>
      </c>
      <c r="K4374" s="7" t="s">
        <v>4826</v>
      </c>
      <c r="L4374" s="8">
        <v>1241045</v>
      </c>
      <c r="M4374" s="8" t="str">
        <f t="shared" si="494"/>
        <v>PEN</v>
      </c>
      <c r="N4374" s="13">
        <v>472</v>
      </c>
      <c r="O4374" s="13"/>
      <c r="P4374" s="3">
        <f t="shared" si="495"/>
        <v>0</v>
      </c>
      <c r="Q4374" s="3">
        <f t="shared" si="496"/>
        <v>0</v>
      </c>
      <c r="R4374" s="3">
        <f t="shared" si="498"/>
        <v>1190.1099999999724</v>
      </c>
      <c r="S4374" s="24" t="s">
        <v>1334</v>
      </c>
      <c r="T4374" s="24" t="s">
        <v>1334</v>
      </c>
      <c r="U4374" s="55"/>
      <c r="V4374" s="25">
        <f>IFERROR(VLOOKUP(BCP_Soles[[#This Row],[destinatario]],CHOOSE({1,2},Clientes_Proveedores[Razon Social],Clientes_Proveedores[Ruc / Dni]),2,0),"")</f>
        <v>20607192872</v>
      </c>
      <c r="W4374" s="25"/>
      <c r="X4374" s="25"/>
      <c r="Y4374" s="25"/>
      <c r="Z4374" s="77"/>
      <c r="AA4374" s="3" t="str">
        <f>IF(BCP_Soles[[#This Row],[fecha]]&gt;0,TEXT(BCP_Soles[[#This Row],[fecha]],"mmmm"),0)</f>
        <v>Octubre</v>
      </c>
    </row>
    <row r="4375" spans="1:27" ht="24" x14ac:dyDescent="0.3">
      <c r="A4375" s="2">
        <f>IF(BCP_Soles[[#This Row],[tipo_registro]]="R",COUNTIFS($C$1:$C4374,"R")+1,A4374)</f>
        <v>2892</v>
      </c>
      <c r="B4375" s="19" t="str">
        <f t="shared" si="493"/>
        <v>B-BCP - Soles</v>
      </c>
      <c r="C4375" s="3" t="s">
        <v>1330</v>
      </c>
      <c r="D4375" s="14">
        <v>45954</v>
      </c>
      <c r="E4375" s="5" t="s">
        <v>1335</v>
      </c>
      <c r="F4375" s="5" t="s">
        <v>1336</v>
      </c>
      <c r="G4375" s="6" t="s">
        <v>1060</v>
      </c>
      <c r="H4375" s="6" t="s">
        <v>68</v>
      </c>
      <c r="I4375" s="198" t="s">
        <v>1397</v>
      </c>
      <c r="J4375" s="6">
        <v>38479023</v>
      </c>
      <c r="K4375" s="7" t="s">
        <v>4827</v>
      </c>
      <c r="L4375" s="8">
        <v>1241060</v>
      </c>
      <c r="M4375" s="8" t="str">
        <f t="shared" si="494"/>
        <v>PEN</v>
      </c>
      <c r="N4375" s="13"/>
      <c r="O4375" s="13">
        <v>32.5</v>
      </c>
      <c r="P4375" s="3">
        <f t="shared" si="495"/>
        <v>0</v>
      </c>
      <c r="Q4375" s="3">
        <f t="shared" si="496"/>
        <v>32.5</v>
      </c>
      <c r="R4375" s="3">
        <f>IFERROR(IF(F4375="SALDO",P4375,R4374+P4375-Q4375),0)</f>
        <v>1157.6099999999724</v>
      </c>
      <c r="S4375" s="24" t="s">
        <v>1334</v>
      </c>
      <c r="T4375" s="24" t="s">
        <v>1334</v>
      </c>
      <c r="U4375" s="55"/>
      <c r="V4375" s="25">
        <f>IFERROR(VLOOKUP(BCP_Soles[[#This Row],[destinatario]],CHOOSE({1,2},Clientes_Proveedores[Razon Social],Clientes_Proveedores[Ruc / Dni]),2,0),"")</f>
        <v>20100047218</v>
      </c>
      <c r="W4375" s="25"/>
      <c r="X4375" s="25"/>
      <c r="Y4375" s="25"/>
      <c r="Z4375" s="77"/>
      <c r="AA4375" s="3" t="str">
        <f>IF(BCP_Soles[[#This Row],[fecha]]&gt;0,TEXT(BCP_Soles[[#This Row],[fecha]],"mmmm"),0)</f>
        <v>Octubre</v>
      </c>
    </row>
    <row r="4376" spans="1:27" x14ac:dyDescent="0.3">
      <c r="A4376" s="2">
        <f>IF(BCP_Soles[[#This Row],[tipo_registro]]="R",COUNTIFS($C$1:$C4375,"R")+1,A4375)</f>
        <v>2893</v>
      </c>
      <c r="B4376" s="19" t="str">
        <f t="shared" si="493"/>
        <v>B-BCP - Soles</v>
      </c>
      <c r="C4376" s="3" t="s">
        <v>1330</v>
      </c>
      <c r="D4376" s="14">
        <v>45954</v>
      </c>
      <c r="E4376" s="5"/>
      <c r="F4376" s="5" t="s">
        <v>1336</v>
      </c>
      <c r="G4376" s="6"/>
      <c r="H4376" s="6"/>
      <c r="I4376" s="198"/>
      <c r="J4376" s="6"/>
      <c r="K4376" s="7" t="s">
        <v>3160</v>
      </c>
      <c r="L4376" s="8"/>
      <c r="M4376" s="8" t="str">
        <f t="shared" si="494"/>
        <v>PEN</v>
      </c>
      <c r="N4376" s="13"/>
      <c r="O4376" s="13">
        <v>0.85</v>
      </c>
      <c r="P4376" s="3">
        <f t="shared" si="495"/>
        <v>0</v>
      </c>
      <c r="Q4376" s="3">
        <f t="shared" si="496"/>
        <v>0.85</v>
      </c>
      <c r="R4376" s="3">
        <f>IFERROR(IF(F4376="SALDO",P4376,R4375+P4376-Q4376),0)</f>
        <v>1156.7599999999725</v>
      </c>
      <c r="S4376" s="24"/>
      <c r="T4376" s="24"/>
      <c r="U4376" s="55"/>
      <c r="V4376" s="25" t="str">
        <f>IFERROR(VLOOKUP(BCP_Soles[[#This Row],[destinatario]],CHOOSE({1,2},Clientes_Proveedores[Razon Social],Clientes_Proveedores[Ruc / Dni]),2,0),"")</f>
        <v/>
      </c>
      <c r="W4376" s="25"/>
      <c r="X4376" s="25"/>
      <c r="Y4376" s="25"/>
      <c r="Z4376" s="77"/>
      <c r="AA4376" s="3" t="str">
        <f>IF(BCP_Soles[[#This Row],[fecha]]&gt;0,TEXT(BCP_Soles[[#This Row],[fecha]],"mmmm"),0)</f>
        <v>Octubre</v>
      </c>
    </row>
    <row r="4377" spans="1:27" x14ac:dyDescent="0.3">
      <c r="A4377" s="2">
        <f>IF(BCP_Soles[[#This Row],[tipo_registro]]="R",COUNTIFS($C$1:$C4376,"R")+1,A4376)</f>
        <v>2894</v>
      </c>
      <c r="B4377" s="19" t="str">
        <f t="shared" si="493"/>
        <v>B-BCP - Soles</v>
      </c>
      <c r="C4377" s="3" t="s">
        <v>1330</v>
      </c>
      <c r="D4377" s="14">
        <v>45957</v>
      </c>
      <c r="E4377" s="5"/>
      <c r="F4377" s="5" t="s">
        <v>1303</v>
      </c>
      <c r="G4377" s="6" t="s">
        <v>425</v>
      </c>
      <c r="H4377" s="6"/>
      <c r="I4377" s="198"/>
      <c r="J4377" s="6"/>
      <c r="K4377" s="7" t="s">
        <v>4828</v>
      </c>
      <c r="L4377" s="8">
        <v>172575</v>
      </c>
      <c r="M4377" s="8" t="str">
        <f t="shared" si="494"/>
        <v>PEN</v>
      </c>
      <c r="N4377" s="13"/>
      <c r="O4377" s="13">
        <v>1260</v>
      </c>
      <c r="P4377" s="3">
        <f t="shared" si="495"/>
        <v>1260</v>
      </c>
      <c r="Q4377" s="3">
        <f t="shared" si="496"/>
        <v>0</v>
      </c>
      <c r="R4377" s="3">
        <f>IFERROR(IF(F4377="SALDO",P4377,R4376+P4377-Q4377),0)</f>
        <v>2416.7599999999725</v>
      </c>
      <c r="S4377" s="24"/>
      <c r="T4377" s="24"/>
      <c r="U4377" s="55"/>
      <c r="V4377" s="25">
        <f>IFERROR(VLOOKUP(BCP_Soles[[#This Row],[destinatario]],CHOOSE({1,2},Clientes_Proveedores[Razon Social],Clientes_Proveedores[Ruc / Dni]),2,0),"")</f>
        <v>20558226979</v>
      </c>
      <c r="W4377" s="25"/>
      <c r="X4377" s="25"/>
      <c r="Y4377" s="25"/>
      <c r="Z4377" s="77"/>
      <c r="AA4377" s="3" t="str">
        <f>IF(BCP_Soles[[#This Row],[fecha]]&gt;0,TEXT(BCP_Soles[[#This Row],[fecha]],"mmmm"),0)</f>
        <v>Octubre</v>
      </c>
    </row>
    <row r="4378" spans="1:27" x14ac:dyDescent="0.3">
      <c r="A4378" s="2">
        <f>IF(BCP_Soles[[#This Row],[tipo_registro]]="R",COUNTIFS($C$1:$C4377,"R")+1,A4377)</f>
        <v>2895</v>
      </c>
      <c r="B4378" s="19" t="str">
        <f t="shared" si="493"/>
        <v>B-BCP - Soles</v>
      </c>
      <c r="C4378" s="3" t="s">
        <v>1330</v>
      </c>
      <c r="D4378" s="14">
        <v>45957</v>
      </c>
      <c r="E4378" s="5"/>
      <c r="F4378" s="5" t="s">
        <v>1303</v>
      </c>
      <c r="G4378" s="6" t="s">
        <v>425</v>
      </c>
      <c r="H4378" s="6"/>
      <c r="I4378" s="198"/>
      <c r="J4378" s="6"/>
      <c r="K4378" s="7" t="s">
        <v>4829</v>
      </c>
      <c r="L4378" s="8">
        <v>151488</v>
      </c>
      <c r="M4378" s="8" t="str">
        <f t="shared" si="494"/>
        <v>PEN</v>
      </c>
      <c r="N4378" s="13"/>
      <c r="O4378" s="13">
        <v>1500</v>
      </c>
      <c r="P4378" s="3">
        <f t="shared" si="495"/>
        <v>1500</v>
      </c>
      <c r="Q4378" s="3">
        <f t="shared" si="496"/>
        <v>0</v>
      </c>
      <c r="R4378" s="3">
        <f t="shared" ref="R4378" si="499">IFERROR(IF(F4378="SALDO",P4378,R4377+P4378-Q4378),0)</f>
        <v>3916.7599999999725</v>
      </c>
      <c r="S4378" s="24" t="s">
        <v>1334</v>
      </c>
      <c r="T4378" s="24" t="s">
        <v>1334</v>
      </c>
      <c r="U4378" s="55"/>
      <c r="V4378" s="25">
        <f>IFERROR(VLOOKUP(BCP_Soles[[#This Row],[destinatario]],CHOOSE({1,2},Clientes_Proveedores[Razon Social],Clientes_Proveedores[Ruc / Dni]),2,0),"")</f>
        <v>20558226979</v>
      </c>
      <c r="W4378" s="25"/>
      <c r="X4378" s="25"/>
      <c r="Y4378" s="25"/>
      <c r="Z4378" s="77"/>
      <c r="AA4378" s="3" t="str">
        <f>IF(BCP_Soles[[#This Row],[fecha]]&gt;0,TEXT(BCP_Soles[[#This Row],[fecha]],"mmmm"),0)</f>
        <v>Octubre</v>
      </c>
    </row>
    <row r="4379" spans="1:27" ht="24" x14ac:dyDescent="0.3">
      <c r="A4379" s="2">
        <f>IF(BCP_Soles[[#This Row],[tipo_registro]]="R",COUNTIFS($C$1:$C4378,"R")+1,A4378)</f>
        <v>2895</v>
      </c>
      <c r="B4379" s="19" t="str">
        <f>"B-BCP - Soles"</f>
        <v>B-BCP - Soles</v>
      </c>
      <c r="C4379" s="3" t="s">
        <v>1352</v>
      </c>
      <c r="D4379" s="14">
        <v>45957</v>
      </c>
      <c r="E4379" s="5" t="s">
        <v>3198</v>
      </c>
      <c r="F4379" s="5" t="s">
        <v>1303</v>
      </c>
      <c r="G4379" s="6" t="s">
        <v>425</v>
      </c>
      <c r="H4379" s="6" t="s">
        <v>119</v>
      </c>
      <c r="I4379" s="6">
        <v>1</v>
      </c>
      <c r="J4379" s="6">
        <v>4643</v>
      </c>
      <c r="K4379" s="7" t="s">
        <v>4829</v>
      </c>
      <c r="L4379" s="8">
        <v>151488</v>
      </c>
      <c r="M4379" s="8" t="str">
        <f>"PEN"</f>
        <v>PEN</v>
      </c>
      <c r="N4379" s="13">
        <v>108</v>
      </c>
      <c r="O4379" s="13"/>
      <c r="P4379" s="3">
        <f>+IF(OR($F4379="SALDO",$F4379="INGRESO"),$O4379,0)</f>
        <v>0</v>
      </c>
      <c r="Q4379" s="3">
        <f>+IF($F4379="EGRESO",$O4379,0)</f>
        <v>0</v>
      </c>
      <c r="R4379" s="3">
        <f>IFERROR(IF(F4379="SALDO",P4379,R4378+P4379-Q4379),0)</f>
        <v>3916.7599999999725</v>
      </c>
      <c r="S4379" s="24" t="s">
        <v>1334</v>
      </c>
      <c r="T4379" s="24" t="s">
        <v>1334</v>
      </c>
      <c r="U4379" s="55"/>
      <c r="V4379" s="25">
        <f>IFERROR(VLOOKUP(BCP_Soles[[#This Row],[destinatario]],CHOOSE({1,2},Clientes_Proveedores[Razon Social],Clientes_Proveedores[Ruc / Dni]),2,0),"")</f>
        <v>20558226979</v>
      </c>
      <c r="W4379" s="25"/>
      <c r="X4379" s="25"/>
      <c r="Y4379" s="25"/>
      <c r="Z4379" s="77"/>
      <c r="AA4379" s="3" t="str">
        <f>IF(BCP_Soles[[#This Row],[fecha]]&gt;0,TEXT(BCP_Soles[[#This Row],[fecha]],"mmmm"),0)</f>
        <v>Octubre</v>
      </c>
    </row>
    <row r="4380" spans="1:27" ht="24" x14ac:dyDescent="0.3">
      <c r="A4380" s="2">
        <f>IF(BCP_Soles[[#This Row],[tipo_registro]]="R",COUNTIFS($C$1:$C4379,"R")+1,A4379)</f>
        <v>2895</v>
      </c>
      <c r="B4380" s="19" t="str">
        <f>"B-BCP - Soles"</f>
        <v>B-BCP - Soles</v>
      </c>
      <c r="C4380" s="3" t="s">
        <v>1352</v>
      </c>
      <c r="D4380" s="14">
        <v>45957</v>
      </c>
      <c r="E4380" s="5" t="s">
        <v>3198</v>
      </c>
      <c r="F4380" s="5" t="s">
        <v>1303</v>
      </c>
      <c r="G4380" s="6" t="s">
        <v>425</v>
      </c>
      <c r="H4380" s="6" t="s">
        <v>119</v>
      </c>
      <c r="I4380" s="6">
        <v>1</v>
      </c>
      <c r="J4380" s="6">
        <v>4651</v>
      </c>
      <c r="K4380" s="7" t="s">
        <v>4829</v>
      </c>
      <c r="L4380" s="8">
        <v>151488</v>
      </c>
      <c r="M4380" s="8" t="str">
        <f>"PEN"</f>
        <v>PEN</v>
      </c>
      <c r="N4380" s="13">
        <v>336</v>
      </c>
      <c r="O4380" s="13"/>
      <c r="P4380" s="3">
        <f>+IF(OR($F4380="SALDO",$F4380="INGRESO"),$O4380,0)</f>
        <v>0</v>
      </c>
      <c r="Q4380" s="3">
        <f>+IF($F4380="EGRESO",$O4380,0)</f>
        <v>0</v>
      </c>
      <c r="R4380" s="3">
        <f t="shared" ref="R4380:R4383" si="500">IFERROR(IF(F4380="SALDO",P4380,R4379+P4380-Q4380),0)</f>
        <v>3916.7599999999725</v>
      </c>
      <c r="S4380" s="24" t="s">
        <v>1334</v>
      </c>
      <c r="T4380" s="24" t="s">
        <v>1334</v>
      </c>
      <c r="U4380" s="55"/>
      <c r="V4380" s="25">
        <f>IFERROR(VLOOKUP(BCP_Soles[[#This Row],[destinatario]],CHOOSE({1,2},Clientes_Proveedores[Razon Social],Clientes_Proveedores[Ruc / Dni]),2,0),"")</f>
        <v>20558226979</v>
      </c>
      <c r="W4380" s="25"/>
      <c r="X4380" s="25"/>
      <c r="Y4380" s="25"/>
      <c r="Z4380" s="77"/>
      <c r="AA4380" s="3" t="str">
        <f>IF(BCP_Soles[[#This Row],[fecha]]&gt;0,TEXT(BCP_Soles[[#This Row],[fecha]],"mmmm"),0)</f>
        <v>Octubre</v>
      </c>
    </row>
    <row r="4381" spans="1:27" ht="24" x14ac:dyDescent="0.3">
      <c r="A4381" s="2">
        <f>IF(BCP_Soles[[#This Row],[tipo_registro]]="R",COUNTIFS($C$1:$C4380,"R")+1,A4380)</f>
        <v>2895</v>
      </c>
      <c r="B4381" s="19" t="str">
        <f>"B-BCP - Soles"</f>
        <v>B-BCP - Soles</v>
      </c>
      <c r="C4381" s="3" t="s">
        <v>1352</v>
      </c>
      <c r="D4381" s="14">
        <v>45957</v>
      </c>
      <c r="E4381" s="5" t="s">
        <v>3198</v>
      </c>
      <c r="F4381" s="5" t="s">
        <v>1303</v>
      </c>
      <c r="G4381" s="6" t="s">
        <v>425</v>
      </c>
      <c r="H4381" s="6" t="s">
        <v>119</v>
      </c>
      <c r="I4381" s="6">
        <v>1</v>
      </c>
      <c r="J4381" s="6">
        <v>4753</v>
      </c>
      <c r="K4381" s="7" t="s">
        <v>4829</v>
      </c>
      <c r="L4381" s="8">
        <v>151488</v>
      </c>
      <c r="M4381" s="8" t="str">
        <f>"PEN"</f>
        <v>PEN</v>
      </c>
      <c r="N4381" s="13">
        <v>742</v>
      </c>
      <c r="O4381" s="13"/>
      <c r="P4381" s="3">
        <f>+IF(OR($F4381="SALDO",$F4381="INGRESO"),$O4381,0)</f>
        <v>0</v>
      </c>
      <c r="Q4381" s="3">
        <f>+IF($F4381="EGRESO",$O4381,0)</f>
        <v>0</v>
      </c>
      <c r="R4381" s="3">
        <f t="shared" si="500"/>
        <v>3916.7599999999725</v>
      </c>
      <c r="S4381" s="24" t="s">
        <v>1334</v>
      </c>
      <c r="T4381" s="24" t="s">
        <v>1334</v>
      </c>
      <c r="U4381" s="55"/>
      <c r="V4381" s="25">
        <f>IFERROR(VLOOKUP(BCP_Soles[[#This Row],[destinatario]],CHOOSE({1,2},Clientes_Proveedores[Razon Social],Clientes_Proveedores[Ruc / Dni]),2,0),"")</f>
        <v>20558226979</v>
      </c>
      <c r="W4381" s="25"/>
      <c r="X4381" s="25"/>
      <c r="Y4381" s="25"/>
      <c r="Z4381" s="77"/>
      <c r="AA4381" s="3" t="str">
        <f>IF(BCP_Soles[[#This Row],[fecha]]&gt;0,TEXT(BCP_Soles[[#This Row],[fecha]],"mmmm"),0)</f>
        <v>Octubre</v>
      </c>
    </row>
    <row r="4382" spans="1:27" ht="24" x14ac:dyDescent="0.3">
      <c r="A4382" s="2">
        <f>IF(BCP_Soles[[#This Row],[tipo_registro]]="R",COUNTIFS($C$1:$C4381,"R")+1,A4381)</f>
        <v>2895</v>
      </c>
      <c r="B4382" s="19" t="str">
        <f>"B-BCP - Soles"</f>
        <v>B-BCP - Soles</v>
      </c>
      <c r="C4382" s="3" t="s">
        <v>1352</v>
      </c>
      <c r="D4382" s="14">
        <v>45957</v>
      </c>
      <c r="E4382" s="5" t="s">
        <v>3198</v>
      </c>
      <c r="F4382" s="5" t="s">
        <v>1303</v>
      </c>
      <c r="G4382" s="6" t="s">
        <v>425</v>
      </c>
      <c r="H4382" s="6" t="s">
        <v>119</v>
      </c>
      <c r="I4382" s="6">
        <v>1</v>
      </c>
      <c r="J4382" s="6">
        <v>4758</v>
      </c>
      <c r="K4382" s="7" t="s">
        <v>4829</v>
      </c>
      <c r="L4382" s="8">
        <v>151488</v>
      </c>
      <c r="M4382" s="8" t="str">
        <f>"PEN"</f>
        <v>PEN</v>
      </c>
      <c r="N4382" s="13">
        <v>314</v>
      </c>
      <c r="O4382" s="13"/>
      <c r="P4382" s="3">
        <f>+IF(OR($F4382="SALDO",$F4382="INGRESO"),$O4382,0)</f>
        <v>0</v>
      </c>
      <c r="Q4382" s="3">
        <f>+IF($F4382="EGRESO",$O4382,0)</f>
        <v>0</v>
      </c>
      <c r="R4382" s="3">
        <f t="shared" si="500"/>
        <v>3916.7599999999725</v>
      </c>
      <c r="S4382" s="24" t="s">
        <v>1334</v>
      </c>
      <c r="T4382" s="24" t="s">
        <v>1334</v>
      </c>
      <c r="U4382" s="55"/>
      <c r="V4382" s="25">
        <f>IFERROR(VLOOKUP(BCP_Soles[[#This Row],[destinatario]],CHOOSE({1,2},Clientes_Proveedores[Razon Social],Clientes_Proveedores[Ruc / Dni]),2,0),"")</f>
        <v>20558226979</v>
      </c>
      <c r="W4382" s="25"/>
      <c r="X4382" s="25"/>
      <c r="Y4382" s="25"/>
      <c r="Z4382" s="77"/>
      <c r="AA4382" s="3" t="str">
        <f>IF(BCP_Soles[[#This Row],[fecha]]&gt;0,TEXT(BCP_Soles[[#This Row],[fecha]],"mmmm"),0)</f>
        <v>Octubre</v>
      </c>
    </row>
    <row r="4383" spans="1:27" ht="24" x14ac:dyDescent="0.3">
      <c r="A4383" s="2">
        <f>IF(BCP_Soles[[#This Row],[tipo_registro]]="R",COUNTIFS($C$1:$C4382,"R")+1,A4382)</f>
        <v>2896</v>
      </c>
      <c r="B4383" s="19" t="str">
        <f t="shared" si="493"/>
        <v>B-BCP - Soles</v>
      </c>
      <c r="C4383" s="3" t="s">
        <v>1330</v>
      </c>
      <c r="D4383" s="14">
        <v>45957</v>
      </c>
      <c r="E4383" s="5" t="s">
        <v>1221</v>
      </c>
      <c r="F4383" s="5" t="s">
        <v>1303</v>
      </c>
      <c r="G4383" s="6" t="s">
        <v>425</v>
      </c>
      <c r="H4383" s="6" t="s">
        <v>68</v>
      </c>
      <c r="I4383" s="198" t="s">
        <v>1784</v>
      </c>
      <c r="J4383" s="6">
        <v>263</v>
      </c>
      <c r="K4383" s="7" t="s">
        <v>4308</v>
      </c>
      <c r="L4383" s="8">
        <v>6023781</v>
      </c>
      <c r="M4383" s="8" t="str">
        <f t="shared" si="494"/>
        <v>PEN</v>
      </c>
      <c r="N4383" s="13"/>
      <c r="O4383" s="13">
        <v>1211.82</v>
      </c>
      <c r="P4383" s="3">
        <f t="shared" si="495"/>
        <v>1211.82</v>
      </c>
      <c r="Q4383" s="3">
        <f t="shared" si="496"/>
        <v>0</v>
      </c>
      <c r="R4383" s="3">
        <f t="shared" si="500"/>
        <v>5128.5799999999726</v>
      </c>
      <c r="S4383" s="24" t="s">
        <v>1334</v>
      </c>
      <c r="T4383" s="24" t="s">
        <v>1334</v>
      </c>
      <c r="U4383" s="55"/>
      <c r="V4383" s="25">
        <f>IFERROR(VLOOKUP(BCP_Soles[[#This Row],[destinatario]],CHOOSE({1,2},Clientes_Proveedores[Razon Social],Clientes_Proveedores[Ruc / Dni]),2,0),"")</f>
        <v>20558226979</v>
      </c>
      <c r="W4383" s="25"/>
      <c r="X4383" s="25"/>
      <c r="Y4383" s="25"/>
      <c r="Z4383" s="77"/>
      <c r="AA4383" s="3" t="str">
        <f>IF(BCP_Soles[[#This Row],[fecha]]&gt;0,TEXT(BCP_Soles[[#This Row],[fecha]],"mmmm"),0)</f>
        <v>Octubre</v>
      </c>
    </row>
    <row r="4384" spans="1:27" ht="36" x14ac:dyDescent="0.3">
      <c r="A4384" s="2">
        <f>IF(BCP_Soles[[#This Row],[tipo_registro]]="R",COUNTIFS($C$1:$C4383,"R")+1,A4383)</f>
        <v>2897</v>
      </c>
      <c r="B4384" s="19" t="str">
        <f t="shared" si="493"/>
        <v>B-BCP - Soles</v>
      </c>
      <c r="C4384" s="3" t="s">
        <v>1330</v>
      </c>
      <c r="D4384" s="14">
        <v>45957</v>
      </c>
      <c r="E4384" s="5" t="s">
        <v>516</v>
      </c>
      <c r="F4384" s="5" t="s">
        <v>1303</v>
      </c>
      <c r="G4384" s="6" t="s">
        <v>425</v>
      </c>
      <c r="H4384" s="6" t="s">
        <v>68</v>
      </c>
      <c r="I4384" s="198" t="s">
        <v>1784</v>
      </c>
      <c r="J4384" s="6">
        <v>290</v>
      </c>
      <c r="K4384" s="7" t="s">
        <v>3144</v>
      </c>
      <c r="L4384" s="8">
        <v>2147547</v>
      </c>
      <c r="M4384" s="8" t="str">
        <f t="shared" si="494"/>
        <v>PEN</v>
      </c>
      <c r="N4384" s="13"/>
      <c r="O4384" s="13">
        <v>8657.49</v>
      </c>
      <c r="P4384" s="3">
        <f t="shared" si="495"/>
        <v>8657.49</v>
      </c>
      <c r="Q4384" s="3">
        <f t="shared" si="496"/>
        <v>0</v>
      </c>
      <c r="R4384" s="3">
        <f>IFERROR(IF(F4384="SALDO",P4384,R4383+P4384-Q4384),0)</f>
        <v>13786.069999999972</v>
      </c>
      <c r="S4384" s="24" t="s">
        <v>1334</v>
      </c>
      <c r="T4384" s="24" t="s">
        <v>1334</v>
      </c>
      <c r="U4384" s="55"/>
      <c r="V4384" s="25">
        <f>IFERROR(VLOOKUP(BCP_Soles[[#This Row],[destinatario]],CHOOSE({1,2},Clientes_Proveedores[Razon Social],Clientes_Proveedores[Ruc / Dni]),2,0),"")</f>
        <v>20558226979</v>
      </c>
      <c r="W4384" s="25"/>
      <c r="X4384" s="25"/>
      <c r="Y4384" s="25"/>
      <c r="Z4384" s="77"/>
      <c r="AA4384" s="3" t="str">
        <f>IF(BCP_Soles[[#This Row],[fecha]]&gt;0,TEXT(BCP_Soles[[#This Row],[fecha]],"mmmm"),0)</f>
        <v>Octubre</v>
      </c>
    </row>
    <row r="4385" spans="1:27" ht="24" x14ac:dyDescent="0.3">
      <c r="A4385" s="2">
        <f>IF(BCP_Soles[[#This Row],[tipo_registro]]="R",COUNTIFS($C$1:$C4384,"R")+1,A4384)</f>
        <v>2898</v>
      </c>
      <c r="B4385" s="19" t="str">
        <f t="shared" si="493"/>
        <v>B-BCP - Soles</v>
      </c>
      <c r="C4385" s="3" t="s">
        <v>1330</v>
      </c>
      <c r="D4385" s="14">
        <v>45957</v>
      </c>
      <c r="E4385" s="5" t="s">
        <v>2269</v>
      </c>
      <c r="F4385" s="5" t="s">
        <v>1336</v>
      </c>
      <c r="G4385" s="6" t="s">
        <v>790</v>
      </c>
      <c r="H4385" s="6" t="s">
        <v>143</v>
      </c>
      <c r="I4385" s="6">
        <v>1</v>
      </c>
      <c r="J4385" s="6">
        <v>882025</v>
      </c>
      <c r="K4385" s="7" t="s">
        <v>4830</v>
      </c>
      <c r="L4385" s="8">
        <v>1136734</v>
      </c>
      <c r="M4385" s="8" t="str">
        <f t="shared" si="494"/>
        <v>PEN</v>
      </c>
      <c r="N4385" s="13"/>
      <c r="O4385" s="13">
        <v>110</v>
      </c>
      <c r="P4385" s="3">
        <f t="shared" si="495"/>
        <v>0</v>
      </c>
      <c r="Q4385" s="3">
        <f t="shared" si="496"/>
        <v>110</v>
      </c>
      <c r="R4385" s="3">
        <f>IFERROR(IF(F4385="SALDO",P4385,R4384+P4385-Q4385),0)</f>
        <v>13676.069999999972</v>
      </c>
      <c r="S4385" s="24"/>
      <c r="T4385" s="24"/>
      <c r="U4385" s="55"/>
      <c r="V4385" s="25">
        <f>IFERROR(VLOOKUP(BCP_Soles[[#This Row],[destinatario]],CHOOSE({1,2},Clientes_Proveedores[Razon Social],Clientes_Proveedores[Ruc / Dni]),2,0),"")</f>
        <v>72169020</v>
      </c>
      <c r="W4385" s="25"/>
      <c r="X4385" s="25"/>
      <c r="Y4385" s="25"/>
      <c r="Z4385" s="77"/>
      <c r="AA4385" s="3" t="str">
        <f>IF(BCP_Soles[[#This Row],[fecha]]&gt;0,TEXT(BCP_Soles[[#This Row],[fecha]],"mmmm"),0)</f>
        <v>Octubre</v>
      </c>
    </row>
    <row r="4386" spans="1:27" x14ac:dyDescent="0.3">
      <c r="A4386" s="2">
        <f>IF(BCP_Soles[[#This Row],[tipo_registro]]="R",COUNTIFS($C$1:$C4385,"R")+1,A4385)</f>
        <v>2899</v>
      </c>
      <c r="B4386" s="19" t="str">
        <f t="shared" si="493"/>
        <v>B-BCP - Soles</v>
      </c>
      <c r="C4386" s="3" t="s">
        <v>1330</v>
      </c>
      <c r="D4386" s="14">
        <v>45957</v>
      </c>
      <c r="E4386" s="5" t="s">
        <v>2269</v>
      </c>
      <c r="F4386" s="5" t="s">
        <v>1336</v>
      </c>
      <c r="G4386" s="6" t="s">
        <v>196</v>
      </c>
      <c r="H4386" s="6" t="s">
        <v>68</v>
      </c>
      <c r="I4386" s="198" t="s">
        <v>2226</v>
      </c>
      <c r="J4386" s="6">
        <v>7123</v>
      </c>
      <c r="K4386" s="7" t="s">
        <v>2227</v>
      </c>
      <c r="L4386" s="8">
        <v>138172</v>
      </c>
      <c r="M4386" s="8" t="str">
        <f t="shared" si="494"/>
        <v>PEN</v>
      </c>
      <c r="N4386" s="13"/>
      <c r="O4386" s="13">
        <v>92.32</v>
      </c>
      <c r="P4386" s="3">
        <f t="shared" si="495"/>
        <v>0</v>
      </c>
      <c r="Q4386" s="3">
        <f t="shared" si="496"/>
        <v>92.32</v>
      </c>
      <c r="R4386" s="3">
        <f>IFERROR(IF(F4386="SALDO",P4386,R4385+P4386-Q4386),0)</f>
        <v>13583.749999999973</v>
      </c>
      <c r="S4386" s="24" t="s">
        <v>1334</v>
      </c>
      <c r="T4386" s="24" t="s">
        <v>1334</v>
      </c>
      <c r="U4386" s="55"/>
      <c r="V4386" s="25">
        <f>IFERROR(VLOOKUP(BCP_Soles[[#This Row],[destinatario]],CHOOSE({1,2},Clientes_Proveedores[Razon Social],Clientes_Proveedores[Ruc / Dni]),2,0),"")</f>
        <v>20100055237</v>
      </c>
      <c r="W4386" s="25"/>
      <c r="X4386" s="25"/>
      <c r="Y4386" s="25"/>
      <c r="Z4386" s="77"/>
      <c r="AA4386" s="3" t="str">
        <f>IF(BCP_Soles[[#This Row],[fecha]]&gt;0,TEXT(BCP_Soles[[#This Row],[fecha]],"mmmm"),0)</f>
        <v>Octubre</v>
      </c>
    </row>
    <row r="4387" spans="1:27" x14ac:dyDescent="0.3">
      <c r="A4387" s="2">
        <f>IF(BCP_Soles[[#This Row],[tipo_registro]]="R",COUNTIFS($C$1:$C4386,"R")+1,A4386)</f>
        <v>2900</v>
      </c>
      <c r="B4387" s="19" t="str">
        <f t="shared" ref="B4387:B4395" si="501">"B-BCP - Soles"</f>
        <v>B-BCP - Soles</v>
      </c>
      <c r="C4387" s="3" t="s">
        <v>1330</v>
      </c>
      <c r="D4387" s="14">
        <v>45957</v>
      </c>
      <c r="E4387" s="5" t="s">
        <v>2269</v>
      </c>
      <c r="F4387" s="5" t="s">
        <v>1336</v>
      </c>
      <c r="G4387" s="6" t="s">
        <v>196</v>
      </c>
      <c r="H4387" s="6" t="s">
        <v>68</v>
      </c>
      <c r="I4387" s="198" t="s">
        <v>2226</v>
      </c>
      <c r="J4387" s="6">
        <v>7124</v>
      </c>
      <c r="K4387" s="7" t="s">
        <v>2227</v>
      </c>
      <c r="L4387" s="8">
        <v>136732</v>
      </c>
      <c r="M4387" s="8" t="str">
        <f t="shared" ref="M4387:M4395" si="502">"PEN"</f>
        <v>PEN</v>
      </c>
      <c r="N4387" s="13"/>
      <c r="O4387" s="13">
        <v>53.72</v>
      </c>
      <c r="P4387" s="3">
        <f t="shared" ref="P4387:P4395" si="503">+IF(OR($F4387="SALDO",$F4387="INGRESO"),$O4387,0)</f>
        <v>0</v>
      </c>
      <c r="Q4387" s="3">
        <f t="shared" ref="Q4387:Q4395" si="504">+IF($F4387="EGRESO",$O4387,0)</f>
        <v>53.72</v>
      </c>
      <c r="R4387" s="3">
        <f t="shared" ref="R4387:R4395" si="505">IFERROR(IF(F4387="SALDO",P4387,R4386+P4387-Q4387),0)</f>
        <v>13530.029999999973</v>
      </c>
      <c r="S4387" s="24" t="s">
        <v>1334</v>
      </c>
      <c r="T4387" s="24" t="s">
        <v>1334</v>
      </c>
      <c r="U4387" s="55"/>
      <c r="V4387" s="25">
        <f>IFERROR(VLOOKUP(BCP_Soles[[#This Row],[destinatario]],CHOOSE({1,2},Clientes_Proveedores[Razon Social],Clientes_Proveedores[Ruc / Dni]),2,0),"")</f>
        <v>20100055237</v>
      </c>
      <c r="W4387" s="25"/>
      <c r="X4387" s="25"/>
      <c r="Y4387" s="25"/>
      <c r="Z4387" s="77"/>
      <c r="AA4387" s="3" t="str">
        <f>IF(BCP_Soles[[#This Row],[fecha]]&gt;0,TEXT(BCP_Soles[[#This Row],[fecha]],"mmmm"),0)</f>
        <v>Octubre</v>
      </c>
    </row>
    <row r="4388" spans="1:27" x14ac:dyDescent="0.3">
      <c r="A4388" s="2">
        <f>IF(BCP_Soles[[#This Row],[tipo_registro]]="R",COUNTIFS($C$1:$C4387,"R")+1,A4387)</f>
        <v>2901</v>
      </c>
      <c r="B4388" s="19" t="str">
        <f t="shared" si="501"/>
        <v>B-BCP - Soles</v>
      </c>
      <c r="C4388" s="3" t="s">
        <v>1330</v>
      </c>
      <c r="D4388" s="14">
        <v>45957</v>
      </c>
      <c r="E4388" s="5" t="s">
        <v>2269</v>
      </c>
      <c r="F4388" s="5" t="s">
        <v>1336</v>
      </c>
      <c r="G4388" s="6" t="s">
        <v>196</v>
      </c>
      <c r="H4388" s="6" t="s">
        <v>68</v>
      </c>
      <c r="I4388" s="198" t="s">
        <v>2226</v>
      </c>
      <c r="J4388" s="6">
        <v>7125</v>
      </c>
      <c r="K4388" s="7" t="s">
        <v>2227</v>
      </c>
      <c r="L4388" s="8">
        <v>138673</v>
      </c>
      <c r="M4388" s="8" t="str">
        <f t="shared" si="502"/>
        <v>PEN</v>
      </c>
      <c r="N4388" s="13"/>
      <c r="O4388" s="13">
        <v>34.119999999999997</v>
      </c>
      <c r="P4388" s="3">
        <f t="shared" si="503"/>
        <v>0</v>
      </c>
      <c r="Q4388" s="3">
        <f t="shared" si="504"/>
        <v>34.119999999999997</v>
      </c>
      <c r="R4388" s="3">
        <f t="shared" si="505"/>
        <v>13495.909999999973</v>
      </c>
      <c r="S4388" s="24" t="s">
        <v>1334</v>
      </c>
      <c r="T4388" s="24" t="s">
        <v>1334</v>
      </c>
      <c r="U4388" s="55"/>
      <c r="V4388" s="25">
        <f>IFERROR(VLOOKUP(BCP_Soles[[#This Row],[destinatario]],CHOOSE({1,2},Clientes_Proveedores[Razon Social],Clientes_Proveedores[Ruc / Dni]),2,0),"")</f>
        <v>20100055237</v>
      </c>
      <c r="W4388" s="25"/>
      <c r="X4388" s="25"/>
      <c r="Y4388" s="25"/>
      <c r="Z4388" s="77"/>
      <c r="AA4388" s="3" t="str">
        <f>IF(BCP_Soles[[#This Row],[fecha]]&gt;0,TEXT(BCP_Soles[[#This Row],[fecha]],"mmmm"),0)</f>
        <v>Octubre</v>
      </c>
    </row>
    <row r="4389" spans="1:27" x14ac:dyDescent="0.3">
      <c r="A4389" s="2">
        <f>IF(BCP_Soles[[#This Row],[tipo_registro]]="R",COUNTIFS($C$1:$C4388,"R")+1,A4388)</f>
        <v>2902</v>
      </c>
      <c r="B4389" s="19" t="str">
        <f t="shared" si="501"/>
        <v>B-BCP - Soles</v>
      </c>
      <c r="C4389" s="3" t="s">
        <v>1330</v>
      </c>
      <c r="D4389" s="14">
        <v>45957</v>
      </c>
      <c r="E4389" s="5" t="s">
        <v>2269</v>
      </c>
      <c r="F4389" s="5" t="s">
        <v>1336</v>
      </c>
      <c r="G4389" s="6" t="s">
        <v>196</v>
      </c>
      <c r="H4389" s="6" t="s">
        <v>68</v>
      </c>
      <c r="I4389" s="198" t="s">
        <v>2226</v>
      </c>
      <c r="J4389" s="6">
        <v>7126</v>
      </c>
      <c r="K4389" s="7" t="s">
        <v>2227</v>
      </c>
      <c r="L4389" s="8">
        <v>136733</v>
      </c>
      <c r="M4389" s="8" t="str">
        <f t="shared" si="502"/>
        <v>PEN</v>
      </c>
      <c r="N4389" s="13"/>
      <c r="O4389" s="13">
        <v>133.35</v>
      </c>
      <c r="P4389" s="3">
        <f t="shared" si="503"/>
        <v>0</v>
      </c>
      <c r="Q4389" s="3">
        <f t="shared" si="504"/>
        <v>133.35</v>
      </c>
      <c r="R4389" s="3">
        <f t="shared" si="505"/>
        <v>13362.559999999972</v>
      </c>
      <c r="S4389" s="24" t="s">
        <v>1334</v>
      </c>
      <c r="T4389" s="24" t="s">
        <v>1334</v>
      </c>
      <c r="U4389" s="55"/>
      <c r="V4389" s="25">
        <f>IFERROR(VLOOKUP(BCP_Soles[[#This Row],[destinatario]],CHOOSE({1,2},Clientes_Proveedores[Razon Social],Clientes_Proveedores[Ruc / Dni]),2,0),"")</f>
        <v>20100055237</v>
      </c>
      <c r="W4389" s="25"/>
      <c r="X4389" s="25"/>
      <c r="Y4389" s="25"/>
      <c r="Z4389" s="77"/>
      <c r="AA4389" s="3" t="str">
        <f>IF(BCP_Soles[[#This Row],[fecha]]&gt;0,TEXT(BCP_Soles[[#This Row],[fecha]],"mmmm"),0)</f>
        <v>Octubre</v>
      </c>
    </row>
    <row r="4390" spans="1:27" x14ac:dyDescent="0.3">
      <c r="A4390" s="2">
        <f>IF(BCP_Soles[[#This Row],[tipo_registro]]="R",COUNTIFS($C$1:$C4389,"R")+1,A4389)</f>
        <v>2903</v>
      </c>
      <c r="B4390" s="19" t="str">
        <f t="shared" si="501"/>
        <v>B-BCP - Soles</v>
      </c>
      <c r="C4390" s="3" t="s">
        <v>1330</v>
      </c>
      <c r="D4390" s="14">
        <v>45957</v>
      </c>
      <c r="E4390" s="5" t="s">
        <v>2269</v>
      </c>
      <c r="F4390" s="5" t="s">
        <v>1336</v>
      </c>
      <c r="G4390" s="6" t="s">
        <v>196</v>
      </c>
      <c r="H4390" s="6" t="s">
        <v>68</v>
      </c>
      <c r="I4390" s="198" t="s">
        <v>2226</v>
      </c>
      <c r="J4390" s="6">
        <v>7127</v>
      </c>
      <c r="K4390" s="7" t="s">
        <v>2227</v>
      </c>
      <c r="L4390" s="8">
        <v>137689</v>
      </c>
      <c r="M4390" s="8" t="str">
        <f t="shared" si="502"/>
        <v>PEN</v>
      </c>
      <c r="N4390" s="13"/>
      <c r="O4390" s="13">
        <v>677.68</v>
      </c>
      <c r="P4390" s="3">
        <f t="shared" si="503"/>
        <v>0</v>
      </c>
      <c r="Q4390" s="3">
        <f t="shared" si="504"/>
        <v>677.68</v>
      </c>
      <c r="R4390" s="3">
        <f t="shared" si="505"/>
        <v>12684.879999999972</v>
      </c>
      <c r="S4390" s="24" t="s">
        <v>1334</v>
      </c>
      <c r="T4390" s="24" t="s">
        <v>1334</v>
      </c>
      <c r="U4390" s="55"/>
      <c r="V4390" s="25">
        <f>IFERROR(VLOOKUP(BCP_Soles[[#This Row],[destinatario]],CHOOSE({1,2},Clientes_Proveedores[Razon Social],Clientes_Proveedores[Ruc / Dni]),2,0),"")</f>
        <v>20100055237</v>
      </c>
      <c r="W4390" s="25"/>
      <c r="X4390" s="25"/>
      <c r="Y4390" s="25"/>
      <c r="Z4390" s="77"/>
      <c r="AA4390" s="3" t="str">
        <f>IF(BCP_Soles[[#This Row],[fecha]]&gt;0,TEXT(BCP_Soles[[#This Row],[fecha]],"mmmm"),0)</f>
        <v>Octubre</v>
      </c>
    </row>
    <row r="4391" spans="1:27" x14ac:dyDescent="0.3">
      <c r="A4391" s="2">
        <f>IF(BCP_Soles[[#This Row],[tipo_registro]]="R",COUNTIFS($C$1:$C4390,"R")+1,A4390)</f>
        <v>2904</v>
      </c>
      <c r="B4391" s="19" t="str">
        <f t="shared" si="501"/>
        <v>B-BCP - Soles</v>
      </c>
      <c r="C4391" s="3" t="s">
        <v>1330</v>
      </c>
      <c r="D4391" s="14">
        <v>45957</v>
      </c>
      <c r="E4391" s="5" t="s">
        <v>2269</v>
      </c>
      <c r="F4391" s="5" t="s">
        <v>1336</v>
      </c>
      <c r="G4391" s="6" t="s">
        <v>196</v>
      </c>
      <c r="H4391" s="6" t="s">
        <v>68</v>
      </c>
      <c r="I4391" s="198" t="s">
        <v>2226</v>
      </c>
      <c r="J4391" s="6">
        <v>7128</v>
      </c>
      <c r="K4391" s="7" t="s">
        <v>2227</v>
      </c>
      <c r="L4391" s="8">
        <v>137188</v>
      </c>
      <c r="M4391" s="8" t="str">
        <f t="shared" si="502"/>
        <v>PEN</v>
      </c>
      <c r="N4391" s="13"/>
      <c r="O4391" s="13">
        <v>108.44</v>
      </c>
      <c r="P4391" s="3">
        <f t="shared" si="503"/>
        <v>0</v>
      </c>
      <c r="Q4391" s="3">
        <f t="shared" si="504"/>
        <v>108.44</v>
      </c>
      <c r="R4391" s="3">
        <f t="shared" si="505"/>
        <v>12576.439999999971</v>
      </c>
      <c r="S4391" s="24" t="s">
        <v>1334</v>
      </c>
      <c r="T4391" s="24" t="s">
        <v>1334</v>
      </c>
      <c r="U4391" s="55"/>
      <c r="V4391" s="25">
        <f>IFERROR(VLOOKUP(BCP_Soles[[#This Row],[destinatario]],CHOOSE({1,2},Clientes_Proveedores[Razon Social],Clientes_Proveedores[Ruc / Dni]),2,0),"")</f>
        <v>20100055237</v>
      </c>
      <c r="W4391" s="25"/>
      <c r="X4391" s="25"/>
      <c r="Y4391" s="25"/>
      <c r="Z4391" s="77"/>
      <c r="AA4391" s="3" t="str">
        <f>IF(BCP_Soles[[#This Row],[fecha]]&gt;0,TEXT(BCP_Soles[[#This Row],[fecha]],"mmmm"),0)</f>
        <v>Octubre</v>
      </c>
    </row>
    <row r="4392" spans="1:27" x14ac:dyDescent="0.3">
      <c r="A4392" s="2">
        <f>IF(BCP_Soles[[#This Row],[tipo_registro]]="R",COUNTIFS($C$1:$C4391,"R")+1,A4391)</f>
        <v>2905</v>
      </c>
      <c r="B4392" s="19" t="str">
        <f t="shared" si="501"/>
        <v>B-BCP - Soles</v>
      </c>
      <c r="C4392" s="3" t="s">
        <v>1330</v>
      </c>
      <c r="D4392" s="14">
        <v>45957</v>
      </c>
      <c r="E4392" s="5" t="s">
        <v>2269</v>
      </c>
      <c r="F4392" s="5" t="s">
        <v>1336</v>
      </c>
      <c r="G4392" s="6" t="s">
        <v>196</v>
      </c>
      <c r="H4392" s="6" t="s">
        <v>68</v>
      </c>
      <c r="I4392" s="198" t="s">
        <v>2226</v>
      </c>
      <c r="J4392" s="6">
        <v>7129</v>
      </c>
      <c r="K4392" s="7" t="s">
        <v>2227</v>
      </c>
      <c r="L4392" s="8">
        <v>136233</v>
      </c>
      <c r="M4392" s="8" t="str">
        <f t="shared" si="502"/>
        <v>PEN</v>
      </c>
      <c r="N4392" s="13"/>
      <c r="O4392" s="13">
        <v>315.7</v>
      </c>
      <c r="P4392" s="3">
        <f t="shared" si="503"/>
        <v>0</v>
      </c>
      <c r="Q4392" s="3">
        <f t="shared" si="504"/>
        <v>315.7</v>
      </c>
      <c r="R4392" s="3">
        <f t="shared" si="505"/>
        <v>12260.739999999971</v>
      </c>
      <c r="S4392" s="24" t="s">
        <v>1334</v>
      </c>
      <c r="T4392" s="24" t="s">
        <v>1334</v>
      </c>
      <c r="U4392" s="55"/>
      <c r="V4392" s="25">
        <f>IFERROR(VLOOKUP(BCP_Soles[[#This Row],[destinatario]],CHOOSE({1,2},Clientes_Proveedores[Razon Social],Clientes_Proveedores[Ruc / Dni]),2,0),"")</f>
        <v>20100055237</v>
      </c>
      <c r="W4392" s="25"/>
      <c r="X4392" s="25"/>
      <c r="Y4392" s="25"/>
      <c r="Z4392" s="77"/>
      <c r="AA4392" s="3" t="str">
        <f>IF(BCP_Soles[[#This Row],[fecha]]&gt;0,TEXT(BCP_Soles[[#This Row],[fecha]],"mmmm"),0)</f>
        <v>Octubre</v>
      </c>
    </row>
    <row r="4393" spans="1:27" x14ac:dyDescent="0.3">
      <c r="A4393" s="2">
        <f>IF(BCP_Soles[[#This Row],[tipo_registro]]="R",COUNTIFS($C$1:$C4392,"R")+1,A4392)</f>
        <v>2906</v>
      </c>
      <c r="B4393" s="19" t="str">
        <f t="shared" si="501"/>
        <v>B-BCP - Soles</v>
      </c>
      <c r="C4393" s="3" t="s">
        <v>1330</v>
      </c>
      <c r="D4393" s="14">
        <v>45957</v>
      </c>
      <c r="E4393" s="5" t="s">
        <v>2269</v>
      </c>
      <c r="F4393" s="5" t="s">
        <v>1336</v>
      </c>
      <c r="G4393" s="6" t="s">
        <v>196</v>
      </c>
      <c r="H4393" s="6" t="s">
        <v>68</v>
      </c>
      <c r="I4393" s="198" t="s">
        <v>2226</v>
      </c>
      <c r="J4393" s="6">
        <v>7130</v>
      </c>
      <c r="K4393" s="7" t="s">
        <v>2227</v>
      </c>
      <c r="L4393" s="8">
        <v>139172</v>
      </c>
      <c r="M4393" s="8" t="str">
        <f t="shared" si="502"/>
        <v>PEN</v>
      </c>
      <c r="N4393" s="13"/>
      <c r="O4393" s="13">
        <v>3.25</v>
      </c>
      <c r="P4393" s="3">
        <f t="shared" si="503"/>
        <v>0</v>
      </c>
      <c r="Q4393" s="3">
        <f t="shared" si="504"/>
        <v>3.25</v>
      </c>
      <c r="R4393" s="3">
        <f t="shared" si="505"/>
        <v>12257.489999999971</v>
      </c>
      <c r="S4393" s="24" t="s">
        <v>1334</v>
      </c>
      <c r="T4393" s="24" t="s">
        <v>1334</v>
      </c>
      <c r="U4393" s="55"/>
      <c r="V4393" s="25">
        <f>IFERROR(VLOOKUP(BCP_Soles[[#This Row],[destinatario]],CHOOSE({1,2},Clientes_Proveedores[Razon Social],Clientes_Proveedores[Ruc / Dni]),2,0),"")</f>
        <v>20100055237</v>
      </c>
      <c r="W4393" s="25"/>
      <c r="X4393" s="25"/>
      <c r="Y4393" s="25"/>
      <c r="Z4393" s="77"/>
      <c r="AA4393" s="3" t="str">
        <f>IF(BCP_Soles[[#This Row],[fecha]]&gt;0,TEXT(BCP_Soles[[#This Row],[fecha]],"mmmm"),0)</f>
        <v>Octubre</v>
      </c>
    </row>
    <row r="4394" spans="1:27" x14ac:dyDescent="0.3">
      <c r="A4394" s="2">
        <f>IF(BCP_Soles[[#This Row],[tipo_registro]]="R",COUNTIFS($C$1:$C4393,"R")+1,A4393)</f>
        <v>2907</v>
      </c>
      <c r="B4394" s="19" t="str">
        <f t="shared" si="501"/>
        <v>B-BCP - Soles</v>
      </c>
      <c r="C4394" s="3" t="s">
        <v>1330</v>
      </c>
      <c r="D4394" s="14">
        <v>45957</v>
      </c>
      <c r="E4394" s="5" t="s">
        <v>2269</v>
      </c>
      <c r="F4394" s="5" t="s">
        <v>1336</v>
      </c>
      <c r="G4394" s="6" t="s">
        <v>196</v>
      </c>
      <c r="H4394" s="6" t="s">
        <v>68</v>
      </c>
      <c r="I4394" s="198" t="s">
        <v>2226</v>
      </c>
      <c r="J4394" s="6">
        <v>7131</v>
      </c>
      <c r="K4394" s="7" t="s">
        <v>2227</v>
      </c>
      <c r="L4394" s="8">
        <v>139628</v>
      </c>
      <c r="M4394" s="8" t="str">
        <f t="shared" si="502"/>
        <v>PEN</v>
      </c>
      <c r="N4394" s="13"/>
      <c r="O4394" s="13">
        <v>325.5</v>
      </c>
      <c r="P4394" s="3">
        <f t="shared" si="503"/>
        <v>0</v>
      </c>
      <c r="Q4394" s="3">
        <f t="shared" si="504"/>
        <v>325.5</v>
      </c>
      <c r="R4394" s="3">
        <f t="shared" si="505"/>
        <v>11931.989999999971</v>
      </c>
      <c r="S4394" s="24" t="s">
        <v>1334</v>
      </c>
      <c r="T4394" s="24" t="s">
        <v>1334</v>
      </c>
      <c r="U4394" s="55"/>
      <c r="V4394" s="25">
        <f>IFERROR(VLOOKUP(BCP_Soles[[#This Row],[destinatario]],CHOOSE({1,2},Clientes_Proveedores[Razon Social],Clientes_Proveedores[Ruc / Dni]),2,0),"")</f>
        <v>20100055237</v>
      </c>
      <c r="W4394" s="25"/>
      <c r="X4394" s="25"/>
      <c r="Y4394" s="25"/>
      <c r="Z4394" s="77"/>
      <c r="AA4394" s="3" t="str">
        <f>IF(BCP_Soles[[#This Row],[fecha]]&gt;0,TEXT(BCP_Soles[[#This Row],[fecha]],"mmmm"),0)</f>
        <v>Octubre</v>
      </c>
    </row>
    <row r="4395" spans="1:27" x14ac:dyDescent="0.3">
      <c r="A4395" s="2">
        <f>IF(BCP_Soles[[#This Row],[tipo_registro]]="R",COUNTIFS($C$1:$C4394,"R")+1,A4394)</f>
        <v>2908</v>
      </c>
      <c r="B4395" s="19" t="str">
        <f t="shared" si="501"/>
        <v>B-BCP - Soles</v>
      </c>
      <c r="C4395" s="3" t="s">
        <v>1330</v>
      </c>
      <c r="D4395" s="14">
        <v>45957</v>
      </c>
      <c r="E4395" s="5" t="s">
        <v>2269</v>
      </c>
      <c r="F4395" s="5" t="s">
        <v>1336</v>
      </c>
      <c r="G4395" s="6" t="s">
        <v>196</v>
      </c>
      <c r="H4395" s="6" t="s">
        <v>68</v>
      </c>
      <c r="I4395" s="198" t="s">
        <v>2226</v>
      </c>
      <c r="J4395" s="6">
        <v>7132</v>
      </c>
      <c r="K4395" s="7" t="s">
        <v>2227</v>
      </c>
      <c r="L4395" s="8">
        <v>139171</v>
      </c>
      <c r="M4395" s="8" t="str">
        <f t="shared" si="502"/>
        <v>PEN</v>
      </c>
      <c r="N4395" s="13"/>
      <c r="O4395" s="13">
        <v>172.96</v>
      </c>
      <c r="P4395" s="3">
        <f t="shared" si="503"/>
        <v>0</v>
      </c>
      <c r="Q4395" s="3">
        <f t="shared" si="504"/>
        <v>172.96</v>
      </c>
      <c r="R4395" s="3">
        <f t="shared" si="505"/>
        <v>11759.029999999972</v>
      </c>
      <c r="S4395" s="24" t="s">
        <v>1334</v>
      </c>
      <c r="T4395" s="24" t="s">
        <v>1334</v>
      </c>
      <c r="U4395" s="55"/>
      <c r="V4395" s="25">
        <f>IFERROR(VLOOKUP(BCP_Soles[[#This Row],[destinatario]],CHOOSE({1,2},Clientes_Proveedores[Razon Social],Clientes_Proveedores[Ruc / Dni]),2,0),"")</f>
        <v>20100055237</v>
      </c>
      <c r="W4395" s="25"/>
      <c r="X4395" s="25"/>
      <c r="Y4395" s="25"/>
      <c r="Z4395" s="77"/>
      <c r="AA4395" s="3" t="str">
        <f>IF(BCP_Soles[[#This Row],[fecha]]&gt;0,TEXT(BCP_Soles[[#This Row],[fecha]],"mmmm"),0)</f>
        <v>Octubre</v>
      </c>
    </row>
    <row r="4396" spans="1:27" x14ac:dyDescent="0.3">
      <c r="A4396" s="2">
        <f>IF(BCP_Soles[[#This Row],[tipo_registro]]="R",COUNTIFS($C$1:$C4395,"R")+1,A4395)</f>
        <v>2909</v>
      </c>
      <c r="B4396" s="19" t="str">
        <f t="shared" ref="B4396:B4407" si="506">"B-BCP - Soles"</f>
        <v>B-BCP - Soles</v>
      </c>
      <c r="C4396" s="3" t="s">
        <v>1330</v>
      </c>
      <c r="D4396" s="14">
        <v>45957</v>
      </c>
      <c r="E4396" s="5" t="s">
        <v>2269</v>
      </c>
      <c r="F4396" s="5" t="s">
        <v>1336</v>
      </c>
      <c r="G4396" s="6" t="s">
        <v>695</v>
      </c>
      <c r="H4396" s="6"/>
      <c r="I4396" s="198"/>
      <c r="J4396" s="6"/>
      <c r="K4396" s="7" t="s">
        <v>3552</v>
      </c>
      <c r="L4396" s="8">
        <v>192791</v>
      </c>
      <c r="M4396" s="8" t="str">
        <f t="shared" ref="M4396:M4407" si="507">"PEN"</f>
        <v>PEN</v>
      </c>
      <c r="N4396" s="13"/>
      <c r="O4396" s="13">
        <v>1777.23</v>
      </c>
      <c r="P4396" s="3">
        <f t="shared" ref="P4396:P4407" si="508">+IF(OR($F4396="SALDO",$F4396="INGRESO"),$O4396,0)</f>
        <v>0</v>
      </c>
      <c r="Q4396" s="3">
        <f t="shared" ref="Q4396:Q4407" si="509">+IF($F4396="EGRESO",$O4396,0)</f>
        <v>1777.23</v>
      </c>
      <c r="R4396" s="3">
        <f>IFERROR(IF(F4396="SALDO",P4396,R4395+P4396-Q4396),0)</f>
        <v>9981.799999999972</v>
      </c>
      <c r="S4396" s="24" t="s">
        <v>1334</v>
      </c>
      <c r="T4396" s="24" t="s">
        <v>1334</v>
      </c>
      <c r="U4396" s="55"/>
      <c r="V4396" s="25">
        <f>IFERROR(VLOOKUP(BCP_Soles[[#This Row],[destinatario]],CHOOSE({1,2},Clientes_Proveedores[Razon Social],Clientes_Proveedores[Ruc / Dni]),2,0),"")</f>
        <v>20127765279</v>
      </c>
      <c r="W4396" s="25"/>
      <c r="X4396" s="25"/>
      <c r="Y4396" s="25"/>
      <c r="Z4396" s="77"/>
      <c r="AA4396" s="3" t="str">
        <f>IF(BCP_Soles[[#This Row],[fecha]]&gt;0,TEXT(BCP_Soles[[#This Row],[fecha]],"mmmm"),0)</f>
        <v>Octubre</v>
      </c>
    </row>
    <row r="4397" spans="1:27" x14ac:dyDescent="0.3">
      <c r="A4397" s="2">
        <f>IF(BCP_Soles[[#This Row],[tipo_registro]]="R",COUNTIFS($C$1:$C4396,"R")+1,A4396)</f>
        <v>2909</v>
      </c>
      <c r="B4397" s="19" t="str">
        <f>"B-BCP - Soles"</f>
        <v>B-BCP - Soles</v>
      </c>
      <c r="C4397" s="3" t="s">
        <v>1352</v>
      </c>
      <c r="D4397" s="14">
        <v>45957</v>
      </c>
      <c r="E4397" s="5" t="s">
        <v>2269</v>
      </c>
      <c r="F4397" s="5" t="s">
        <v>1336</v>
      </c>
      <c r="G4397" s="6" t="s">
        <v>695</v>
      </c>
      <c r="H4397" s="6" t="s">
        <v>68</v>
      </c>
      <c r="I4397" s="198" t="s">
        <v>1377</v>
      </c>
      <c r="J4397" s="6">
        <v>189841</v>
      </c>
      <c r="K4397" s="7" t="s">
        <v>3552</v>
      </c>
      <c r="L4397" s="8">
        <v>192791</v>
      </c>
      <c r="M4397" s="8" t="str">
        <f>"PEN"</f>
        <v>PEN</v>
      </c>
      <c r="N4397" s="13">
        <v>865.86</v>
      </c>
      <c r="O4397" s="13"/>
      <c r="P4397" s="3">
        <f>+IF(OR($F4397="SALDO",$F4397="INGRESO"),$O4397,0)</f>
        <v>0</v>
      </c>
      <c r="Q4397" s="3">
        <f>+IF($F4397="EGRESO",$O4397,0)</f>
        <v>0</v>
      </c>
      <c r="R4397" s="3">
        <f>IFERROR(IF(F4397="SALDO",P4397,R4396+P4397-Q4397),0)</f>
        <v>9981.799999999972</v>
      </c>
      <c r="S4397" s="24" t="s">
        <v>1334</v>
      </c>
      <c r="T4397" s="24" t="s">
        <v>1334</v>
      </c>
      <c r="U4397" s="55"/>
      <c r="V4397" s="25">
        <f>IFERROR(VLOOKUP(BCP_Soles[[#This Row],[destinatario]],CHOOSE({1,2},Clientes_Proveedores[Razon Social],Clientes_Proveedores[Ruc / Dni]),2,0),"")</f>
        <v>20127765279</v>
      </c>
      <c r="W4397" s="25"/>
      <c r="X4397" s="25"/>
      <c r="Y4397" s="25"/>
      <c r="Z4397" s="77"/>
      <c r="AA4397" s="3" t="str">
        <f>IF(BCP_Soles[[#This Row],[fecha]]&gt;0,TEXT(BCP_Soles[[#This Row],[fecha]],"mmmm"),0)</f>
        <v>Octubre</v>
      </c>
    </row>
    <row r="4398" spans="1:27" x14ac:dyDescent="0.3">
      <c r="A4398" s="2">
        <f>IF(BCP_Soles[[#This Row],[tipo_registro]]="R",COUNTIFS($C$1:$C4397,"R")+1,A4397)</f>
        <v>2909</v>
      </c>
      <c r="B4398" s="19" t="str">
        <f>"B-BCP - Soles"</f>
        <v>B-BCP - Soles</v>
      </c>
      <c r="C4398" s="3" t="s">
        <v>1352</v>
      </c>
      <c r="D4398" s="14">
        <v>45957</v>
      </c>
      <c r="E4398" s="5" t="s">
        <v>2269</v>
      </c>
      <c r="F4398" s="5" t="s">
        <v>1336</v>
      </c>
      <c r="G4398" s="6" t="s">
        <v>695</v>
      </c>
      <c r="H4398" s="6" t="s">
        <v>68</v>
      </c>
      <c r="I4398" s="198" t="s">
        <v>1377</v>
      </c>
      <c r="J4398" s="6">
        <v>189857</v>
      </c>
      <c r="K4398" s="7" t="s">
        <v>3552</v>
      </c>
      <c r="L4398" s="8">
        <v>192791</v>
      </c>
      <c r="M4398" s="8" t="str">
        <f>"PEN"</f>
        <v>PEN</v>
      </c>
      <c r="N4398" s="13">
        <v>911.37</v>
      </c>
      <c r="O4398" s="13"/>
      <c r="P4398" s="3">
        <f>+IF(OR($F4398="SALDO",$F4398="INGRESO"),$O4398,0)</f>
        <v>0</v>
      </c>
      <c r="Q4398" s="3">
        <f>+IF($F4398="EGRESO",$O4398,0)</f>
        <v>0</v>
      </c>
      <c r="R4398" s="3">
        <f t="shared" ref="R4398:R4399" si="510">IFERROR(IF(F4398="SALDO",P4398,R4397+P4398-Q4398),0)</f>
        <v>9981.799999999972</v>
      </c>
      <c r="S4398" s="24" t="s">
        <v>1334</v>
      </c>
      <c r="T4398" s="24" t="s">
        <v>1334</v>
      </c>
      <c r="U4398" s="55"/>
      <c r="V4398" s="25">
        <f>IFERROR(VLOOKUP(BCP_Soles[[#This Row],[destinatario]],CHOOSE({1,2},Clientes_Proveedores[Razon Social],Clientes_Proveedores[Ruc / Dni]),2,0),"")</f>
        <v>20127765279</v>
      </c>
      <c r="W4398" s="25"/>
      <c r="X4398" s="25"/>
      <c r="Y4398" s="25"/>
      <c r="Z4398" s="77"/>
      <c r="AA4398" s="3" t="str">
        <f>IF(BCP_Soles[[#This Row],[fecha]]&gt;0,TEXT(BCP_Soles[[#This Row],[fecha]],"mmmm"),0)</f>
        <v>Octubre</v>
      </c>
    </row>
    <row r="4399" spans="1:27" ht="48" x14ac:dyDescent="0.3">
      <c r="A4399" s="2">
        <f>IF(BCP_Soles[[#This Row],[tipo_registro]]="R",COUNTIFS($C$1:$C4398,"R")+1,A4398)</f>
        <v>2910</v>
      </c>
      <c r="B4399" s="19" t="str">
        <f t="shared" si="506"/>
        <v>B-BCP - Soles</v>
      </c>
      <c r="C4399" s="3" t="s">
        <v>1330</v>
      </c>
      <c r="D4399" s="14">
        <v>45957</v>
      </c>
      <c r="E4399" s="5" t="s">
        <v>2269</v>
      </c>
      <c r="F4399" s="5" t="s">
        <v>1336</v>
      </c>
      <c r="G4399" s="6" t="s">
        <v>501</v>
      </c>
      <c r="H4399" s="6" t="s">
        <v>68</v>
      </c>
      <c r="I4399" s="198" t="s">
        <v>1526</v>
      </c>
      <c r="J4399" s="6">
        <v>12038</v>
      </c>
      <c r="K4399" s="7" t="s">
        <v>4831</v>
      </c>
      <c r="L4399" s="8">
        <v>1194723</v>
      </c>
      <c r="M4399" s="8" t="str">
        <f t="shared" si="507"/>
        <v>PEN</v>
      </c>
      <c r="N4399" s="13"/>
      <c r="O4399" s="13">
        <v>244.39</v>
      </c>
      <c r="P4399" s="3">
        <f t="shared" si="508"/>
        <v>0</v>
      </c>
      <c r="Q4399" s="3">
        <f t="shared" si="509"/>
        <v>244.39</v>
      </c>
      <c r="R4399" s="3">
        <f t="shared" si="510"/>
        <v>9737.4099999999726</v>
      </c>
      <c r="S4399" s="24" t="s">
        <v>1334</v>
      </c>
      <c r="T4399" s="24" t="s">
        <v>1334</v>
      </c>
      <c r="U4399" s="55"/>
      <c r="V4399" s="25">
        <f>IFERROR(VLOOKUP(BCP_Soles[[#This Row],[destinatario]],CHOOSE({1,2},Clientes_Proveedores[Razon Social],Clientes_Proveedores[Ruc / Dni]),2,0),"")</f>
        <v>20602978274</v>
      </c>
      <c r="W4399" s="25"/>
      <c r="X4399" s="25"/>
      <c r="Y4399" s="25"/>
      <c r="Z4399" s="77"/>
      <c r="AA4399" s="3" t="str">
        <f>IF(BCP_Soles[[#This Row],[fecha]]&gt;0,TEXT(BCP_Soles[[#This Row],[fecha]],"mmmm"),0)</f>
        <v>Octubre</v>
      </c>
    </row>
    <row r="4400" spans="1:27" ht="48" x14ac:dyDescent="0.3">
      <c r="A4400" s="2">
        <f>IF(BCP_Soles[[#This Row],[tipo_registro]]="R",COUNTIFS($C$1:$C4399,"R")+1,A4399)</f>
        <v>2911</v>
      </c>
      <c r="B4400" s="19" t="str">
        <f t="shared" si="506"/>
        <v>B-BCP - Soles</v>
      </c>
      <c r="C4400" s="3" t="s">
        <v>1330</v>
      </c>
      <c r="D4400" s="14">
        <v>45957</v>
      </c>
      <c r="E4400" s="5" t="s">
        <v>2269</v>
      </c>
      <c r="F4400" s="5" t="s">
        <v>1336</v>
      </c>
      <c r="G4400" s="6" t="s">
        <v>501</v>
      </c>
      <c r="H4400" s="6" t="s">
        <v>68</v>
      </c>
      <c r="I4400" s="198" t="s">
        <v>1650</v>
      </c>
      <c r="J4400" s="6">
        <v>9692</v>
      </c>
      <c r="K4400" s="7" t="s">
        <v>4832</v>
      </c>
      <c r="L4400" s="8">
        <v>1194246</v>
      </c>
      <c r="M4400" s="8" t="str">
        <f t="shared" si="507"/>
        <v>PEN</v>
      </c>
      <c r="N4400" s="13"/>
      <c r="O4400" s="13">
        <v>215.02</v>
      </c>
      <c r="P4400" s="3">
        <f t="shared" si="508"/>
        <v>0</v>
      </c>
      <c r="Q4400" s="3">
        <f t="shared" si="509"/>
        <v>215.02</v>
      </c>
      <c r="R4400" s="3">
        <f>IFERROR(IF(F4400="SALDO",P4400,R4399+P4400-Q4400),0)</f>
        <v>9522.3899999999721</v>
      </c>
      <c r="S4400" s="24" t="s">
        <v>1334</v>
      </c>
      <c r="T4400" s="24" t="s">
        <v>1334</v>
      </c>
      <c r="U4400" s="55"/>
      <c r="V4400" s="25">
        <f>IFERROR(VLOOKUP(BCP_Soles[[#This Row],[destinatario]],CHOOSE({1,2},Clientes_Proveedores[Razon Social],Clientes_Proveedores[Ruc / Dni]),2,0),"")</f>
        <v>20602978274</v>
      </c>
      <c r="W4400" s="25"/>
      <c r="X4400" s="25"/>
      <c r="Y4400" s="25"/>
      <c r="Z4400" s="77"/>
      <c r="AA4400" s="3" t="str">
        <f>IF(BCP_Soles[[#This Row],[fecha]]&gt;0,TEXT(BCP_Soles[[#This Row],[fecha]],"mmmm"),0)</f>
        <v>Octubre</v>
      </c>
    </row>
    <row r="4401" spans="1:27" x14ac:dyDescent="0.3">
      <c r="A4401" s="2">
        <f>IF(BCP_Soles[[#This Row],[tipo_registro]]="R",COUNTIFS($C$1:$C4400,"R")+1,A4400)</f>
        <v>2912</v>
      </c>
      <c r="B4401" s="19" t="str">
        <f t="shared" si="506"/>
        <v>B-BCP - Soles</v>
      </c>
      <c r="C4401" s="3" t="s">
        <v>1330</v>
      </c>
      <c r="D4401" s="14">
        <v>45957</v>
      </c>
      <c r="E4401" s="5" t="s">
        <v>2269</v>
      </c>
      <c r="F4401" s="5" t="s">
        <v>1336</v>
      </c>
      <c r="G4401" s="6" t="s">
        <v>696</v>
      </c>
      <c r="H4401" s="6"/>
      <c r="I4401" s="198"/>
      <c r="J4401" s="6"/>
      <c r="K4401" s="7" t="s">
        <v>4833</v>
      </c>
      <c r="L4401" s="8">
        <v>2046580</v>
      </c>
      <c r="M4401" s="8" t="str">
        <f t="shared" si="507"/>
        <v>PEN</v>
      </c>
      <c r="N4401" s="13"/>
      <c r="O4401" s="13">
        <v>5306.5</v>
      </c>
      <c r="P4401" s="3">
        <f t="shared" si="508"/>
        <v>0</v>
      </c>
      <c r="Q4401" s="3">
        <f t="shared" si="509"/>
        <v>5306.5</v>
      </c>
      <c r="R4401" s="3">
        <f>IFERROR(IF(F4401="SALDO",P4401,R4400+P4401-Q4401),0)</f>
        <v>4215.8899999999721</v>
      </c>
      <c r="S4401" s="24" t="s">
        <v>1334</v>
      </c>
      <c r="T4401" s="24" t="s">
        <v>1334</v>
      </c>
      <c r="U4401" s="55"/>
      <c r="V4401" s="25">
        <f>IFERROR(VLOOKUP(BCP_Soles[[#This Row],[destinatario]],CHOOSE({1,2},Clientes_Proveedores[Razon Social],Clientes_Proveedores[Ruc / Dni]),2,0),"")</f>
        <v>0</v>
      </c>
      <c r="W4401" s="25"/>
      <c r="X4401" s="25"/>
      <c r="Y4401" s="25"/>
      <c r="Z4401" s="77"/>
      <c r="AA4401" s="3" t="str">
        <f>IF(BCP_Soles[[#This Row],[fecha]]&gt;0,TEXT(BCP_Soles[[#This Row],[fecha]],"mmmm"),0)</f>
        <v>Octubre</v>
      </c>
    </row>
    <row r="4402" spans="1:27" ht="24" x14ac:dyDescent="0.3">
      <c r="A4402" s="2">
        <f>IF(BCP_Soles[[#This Row],[tipo_registro]]="R",COUNTIFS($C$1:$C4401,"R")+1,A4401)</f>
        <v>2912</v>
      </c>
      <c r="B4402" s="19" t="str">
        <f t="shared" si="506"/>
        <v>B-BCP - Soles</v>
      </c>
      <c r="C4402" s="3" t="s">
        <v>1352</v>
      </c>
      <c r="D4402" s="14">
        <v>45957</v>
      </c>
      <c r="E4402" s="5" t="s">
        <v>2269</v>
      </c>
      <c r="F4402" s="5" t="s">
        <v>1336</v>
      </c>
      <c r="G4402" s="6" t="s">
        <v>361</v>
      </c>
      <c r="H4402" s="6" t="s">
        <v>68</v>
      </c>
      <c r="I4402" s="198" t="s">
        <v>1804</v>
      </c>
      <c r="J4402" s="6">
        <v>1025</v>
      </c>
      <c r="K4402" s="7" t="s">
        <v>4833</v>
      </c>
      <c r="L4402" s="8">
        <v>2046580</v>
      </c>
      <c r="M4402" s="8" t="str">
        <f t="shared" si="507"/>
        <v>PEN</v>
      </c>
      <c r="N4402" s="13">
        <v>67.84</v>
      </c>
      <c r="O4402" s="13"/>
      <c r="P4402" s="3">
        <f t="shared" si="508"/>
        <v>0</v>
      </c>
      <c r="Q4402" s="3">
        <f t="shared" si="509"/>
        <v>0</v>
      </c>
      <c r="R4402" s="3">
        <f>IFERROR(IF(F4402="SALDO",P4402,R4401+P4402-Q4402),0)</f>
        <v>4215.8899999999721</v>
      </c>
      <c r="S4402" s="24" t="s">
        <v>1334</v>
      </c>
      <c r="T4402" s="24" t="s">
        <v>1334</v>
      </c>
      <c r="U4402" s="55"/>
      <c r="V4402" s="25">
        <f>IFERROR(VLOOKUP(BCP_Soles[[#This Row],[destinatario]],CHOOSE({1,2},Clientes_Proveedores[Razon Social],Clientes_Proveedores[Ruc / Dni]),2,0),"")</f>
        <v>20514513172</v>
      </c>
      <c r="W4402" s="25"/>
      <c r="X4402" s="25"/>
      <c r="Y4402" s="25"/>
      <c r="Z4402" s="77"/>
      <c r="AA4402" s="3" t="str">
        <f>IF(BCP_Soles[[#This Row],[fecha]]&gt;0,TEXT(BCP_Soles[[#This Row],[fecha]],"mmmm"),0)</f>
        <v>Octubre</v>
      </c>
    </row>
    <row r="4403" spans="1:27" ht="36" x14ac:dyDescent="0.3">
      <c r="A4403" s="2">
        <f>IF(BCP_Soles[[#This Row],[tipo_registro]]="R",COUNTIFS($C$1:$C4402,"R")+1,A4402)</f>
        <v>2912</v>
      </c>
      <c r="B4403" s="19" t="str">
        <f t="shared" si="506"/>
        <v>B-BCP - Soles</v>
      </c>
      <c r="C4403" s="3" t="s">
        <v>1352</v>
      </c>
      <c r="D4403" s="14">
        <v>45957</v>
      </c>
      <c r="E4403" s="5" t="s">
        <v>2269</v>
      </c>
      <c r="F4403" s="5" t="s">
        <v>1336</v>
      </c>
      <c r="G4403" s="6" t="s">
        <v>474</v>
      </c>
      <c r="H4403" s="6" t="s">
        <v>68</v>
      </c>
      <c r="I4403" s="198" t="s">
        <v>1376</v>
      </c>
      <c r="J4403" s="6">
        <v>875</v>
      </c>
      <c r="K4403" s="7" t="s">
        <v>4833</v>
      </c>
      <c r="L4403" s="8">
        <v>2046580</v>
      </c>
      <c r="M4403" s="8" t="str">
        <f t="shared" si="507"/>
        <v>PEN</v>
      </c>
      <c r="N4403" s="13">
        <v>384</v>
      </c>
      <c r="O4403" s="13"/>
      <c r="P4403" s="3">
        <f t="shared" si="508"/>
        <v>0</v>
      </c>
      <c r="Q4403" s="3">
        <f t="shared" si="509"/>
        <v>0</v>
      </c>
      <c r="R4403" s="3">
        <f t="shared" ref="R4403:R4407" si="511">IFERROR(IF(F4403="SALDO",P4403,R4402+P4403-Q4403),0)</f>
        <v>4215.8899999999721</v>
      </c>
      <c r="S4403" s="24" t="s">
        <v>1334</v>
      </c>
      <c r="T4403" s="24" t="s">
        <v>1334</v>
      </c>
      <c r="U4403" s="55"/>
      <c r="V4403" s="25">
        <f>IFERROR(VLOOKUP(BCP_Soles[[#This Row],[destinatario]],CHOOSE({1,2},Clientes_Proveedores[Razon Social],Clientes_Proveedores[Ruc / Dni]),2,0),"")</f>
        <v>20602075177</v>
      </c>
      <c r="W4403" s="25"/>
      <c r="X4403" s="25"/>
      <c r="Y4403" s="25"/>
      <c r="Z4403" s="77"/>
      <c r="AA4403" s="3" t="str">
        <f>IF(BCP_Soles[[#This Row],[fecha]]&gt;0,TEXT(BCP_Soles[[#This Row],[fecha]],"mmmm"),0)</f>
        <v>Octubre</v>
      </c>
    </row>
    <row r="4404" spans="1:27" ht="24" x14ac:dyDescent="0.3">
      <c r="A4404" s="2">
        <f>IF(BCP_Soles[[#This Row],[tipo_registro]]="R",COUNTIFS($C$1:$C4403,"R")+1,A4403)</f>
        <v>2912</v>
      </c>
      <c r="B4404" s="19" t="str">
        <f t="shared" si="506"/>
        <v>B-BCP - Soles</v>
      </c>
      <c r="C4404" s="3" t="s">
        <v>1352</v>
      </c>
      <c r="D4404" s="14">
        <v>45957</v>
      </c>
      <c r="E4404" s="5" t="s">
        <v>2269</v>
      </c>
      <c r="F4404" s="5" t="s">
        <v>1336</v>
      </c>
      <c r="G4404" s="6" t="s">
        <v>271</v>
      </c>
      <c r="H4404" s="6" t="s">
        <v>68</v>
      </c>
      <c r="I4404" s="198" t="s">
        <v>1375</v>
      </c>
      <c r="J4404" s="6">
        <v>6980</v>
      </c>
      <c r="K4404" s="7" t="s">
        <v>4833</v>
      </c>
      <c r="L4404" s="8">
        <v>2046580</v>
      </c>
      <c r="M4404" s="8" t="str">
        <f t="shared" si="507"/>
        <v>PEN</v>
      </c>
      <c r="N4404" s="13">
        <v>422.05</v>
      </c>
      <c r="O4404" s="13"/>
      <c r="P4404" s="3">
        <f t="shared" si="508"/>
        <v>0</v>
      </c>
      <c r="Q4404" s="3">
        <f t="shared" si="509"/>
        <v>0</v>
      </c>
      <c r="R4404" s="3">
        <f t="shared" si="511"/>
        <v>4215.8899999999721</v>
      </c>
      <c r="S4404" s="24" t="s">
        <v>1334</v>
      </c>
      <c r="T4404" s="24" t="s">
        <v>1334</v>
      </c>
      <c r="U4404" s="55"/>
      <c r="V4404" s="25">
        <f>IFERROR(VLOOKUP(BCP_Soles[[#This Row],[destinatario]],CHOOSE({1,2},Clientes_Proveedores[Razon Social],Clientes_Proveedores[Ruc / Dni]),2,0),"")</f>
        <v>20419158462</v>
      </c>
      <c r="W4404" s="25"/>
      <c r="X4404" s="25"/>
      <c r="Y4404" s="25"/>
      <c r="Z4404" s="77"/>
      <c r="AA4404" s="3" t="str">
        <f>IF(BCP_Soles[[#This Row],[fecha]]&gt;0,TEXT(BCP_Soles[[#This Row],[fecha]],"mmmm"),0)</f>
        <v>Octubre</v>
      </c>
    </row>
    <row r="4405" spans="1:27" ht="24" x14ac:dyDescent="0.3">
      <c r="A4405" s="2">
        <f>IF(BCP_Soles[[#This Row],[tipo_registro]]="R",COUNTIFS($C$1:$C4404,"R")+1,A4404)</f>
        <v>2912</v>
      </c>
      <c r="B4405" s="19" t="str">
        <f t="shared" si="506"/>
        <v>B-BCP - Soles</v>
      </c>
      <c r="C4405" s="3" t="s">
        <v>1352</v>
      </c>
      <c r="D4405" s="14">
        <v>45957</v>
      </c>
      <c r="E4405" s="5" t="s">
        <v>2269</v>
      </c>
      <c r="F4405" s="5" t="s">
        <v>1336</v>
      </c>
      <c r="G4405" s="6" t="s">
        <v>187</v>
      </c>
      <c r="H4405" s="6" t="s">
        <v>68</v>
      </c>
      <c r="I4405" s="198" t="s">
        <v>1376</v>
      </c>
      <c r="J4405" s="6">
        <v>658</v>
      </c>
      <c r="K4405" s="7" t="s">
        <v>4833</v>
      </c>
      <c r="L4405" s="8">
        <v>2046580</v>
      </c>
      <c r="M4405" s="8" t="str">
        <f t="shared" si="507"/>
        <v>PEN</v>
      </c>
      <c r="N4405" s="13">
        <v>170</v>
      </c>
      <c r="O4405" s="13"/>
      <c r="P4405" s="3">
        <f t="shared" si="508"/>
        <v>0</v>
      </c>
      <c r="Q4405" s="3">
        <f t="shared" si="509"/>
        <v>0</v>
      </c>
      <c r="R4405" s="3">
        <f t="shared" si="511"/>
        <v>4215.8899999999721</v>
      </c>
      <c r="S4405" s="24" t="s">
        <v>1334</v>
      </c>
      <c r="T4405" s="24" t="s">
        <v>1334</v>
      </c>
      <c r="U4405" s="55"/>
      <c r="V4405" s="25">
        <f>IFERROR(VLOOKUP(BCP_Soles[[#This Row],[destinatario]],CHOOSE({1,2},Clientes_Proveedores[Razon Social],Clientes_Proveedores[Ruc / Dni]),2,0),"")</f>
        <v>10706063426</v>
      </c>
      <c r="W4405" s="25"/>
      <c r="X4405" s="25"/>
      <c r="Y4405" s="25"/>
      <c r="Z4405" s="77"/>
      <c r="AA4405" s="3" t="str">
        <f>IF(BCP_Soles[[#This Row],[fecha]]&gt;0,TEXT(BCP_Soles[[#This Row],[fecha]],"mmmm"),0)</f>
        <v>Octubre</v>
      </c>
    </row>
    <row r="4406" spans="1:27" x14ac:dyDescent="0.3">
      <c r="A4406" s="2">
        <f>IF(BCP_Soles[[#This Row],[tipo_registro]]="R",COUNTIFS($C$1:$C4405,"R")+1,A4405)</f>
        <v>2912</v>
      </c>
      <c r="B4406" s="19" t="str">
        <f t="shared" si="506"/>
        <v>B-BCP - Soles</v>
      </c>
      <c r="C4406" s="3" t="s">
        <v>1352</v>
      </c>
      <c r="D4406" s="14">
        <v>45957</v>
      </c>
      <c r="E4406" s="5" t="s">
        <v>2269</v>
      </c>
      <c r="F4406" s="5" t="s">
        <v>1336</v>
      </c>
      <c r="G4406" s="6" t="s">
        <v>638</v>
      </c>
      <c r="H4406" s="6" t="s">
        <v>68</v>
      </c>
      <c r="I4406" s="198" t="s">
        <v>1374</v>
      </c>
      <c r="J4406" s="6">
        <v>17296</v>
      </c>
      <c r="K4406" s="7" t="s">
        <v>4833</v>
      </c>
      <c r="L4406" s="8">
        <v>2046580</v>
      </c>
      <c r="M4406" s="8" t="str">
        <f t="shared" si="507"/>
        <v>PEN</v>
      </c>
      <c r="N4406" s="13">
        <v>4262.6099999999997</v>
      </c>
      <c r="O4406" s="13"/>
      <c r="P4406" s="3">
        <f t="shared" si="508"/>
        <v>0</v>
      </c>
      <c r="Q4406" s="3">
        <f t="shared" si="509"/>
        <v>0</v>
      </c>
      <c r="R4406" s="3">
        <f t="shared" si="511"/>
        <v>4215.8899999999721</v>
      </c>
      <c r="S4406" s="24" t="s">
        <v>1334</v>
      </c>
      <c r="T4406" s="24" t="s">
        <v>1334</v>
      </c>
      <c r="U4406" s="55"/>
      <c r="V4406" s="25">
        <f>IFERROR(VLOOKUP(BCP_Soles[[#This Row],[destinatario]],CHOOSE({1,2},Clientes_Proveedores[Razon Social],Clientes_Proveedores[Ruc / Dni]),2,0),"")</f>
        <v>20602484344</v>
      </c>
      <c r="W4406" s="25"/>
      <c r="X4406" s="25"/>
      <c r="Y4406" s="25"/>
      <c r="Z4406" s="77"/>
      <c r="AA4406" s="3" t="str">
        <f>IF(BCP_Soles[[#This Row],[fecha]]&gt;0,TEXT(BCP_Soles[[#This Row],[fecha]],"mmmm"),0)</f>
        <v>Octubre</v>
      </c>
    </row>
    <row r="4407" spans="1:27" x14ac:dyDescent="0.3">
      <c r="A4407" s="2">
        <f>IF(BCP_Soles[[#This Row],[tipo_registro]]="R",COUNTIFS($C$1:$C4406,"R")+1,A4406)</f>
        <v>2913</v>
      </c>
      <c r="B4407" s="19" t="str">
        <f t="shared" si="506"/>
        <v>B-BCP - Soles</v>
      </c>
      <c r="C4407" s="3" t="s">
        <v>1330</v>
      </c>
      <c r="D4407" s="14">
        <v>45957</v>
      </c>
      <c r="E4407" s="5" t="s">
        <v>3190</v>
      </c>
      <c r="F4407" s="5" t="s">
        <v>1336</v>
      </c>
      <c r="G4407" s="6"/>
      <c r="H4407" s="6"/>
      <c r="I4407" s="198"/>
      <c r="J4407" s="6"/>
      <c r="K4407" s="7" t="s">
        <v>4834</v>
      </c>
      <c r="L4407" s="8">
        <v>1010977</v>
      </c>
      <c r="M4407" s="8" t="str">
        <f t="shared" si="507"/>
        <v>PEN</v>
      </c>
      <c r="N4407" s="13"/>
      <c r="O4407" s="13">
        <v>1536</v>
      </c>
      <c r="P4407" s="3">
        <f t="shared" si="508"/>
        <v>0</v>
      </c>
      <c r="Q4407" s="3">
        <f t="shared" si="509"/>
        <v>1536</v>
      </c>
      <c r="R4407" s="3">
        <f t="shared" si="511"/>
        <v>2679.8899999999721</v>
      </c>
      <c r="S4407" s="24"/>
      <c r="T4407" s="24"/>
      <c r="U4407" s="55"/>
      <c r="V4407" s="25" t="str">
        <f>IFERROR(VLOOKUP(BCP_Soles[[#This Row],[destinatario]],CHOOSE({1,2},Clientes_Proveedores[Razon Social],Clientes_Proveedores[Ruc / Dni]),2,0),"")</f>
        <v/>
      </c>
      <c r="W4407" s="25"/>
      <c r="X4407" s="25"/>
      <c r="Y4407" s="25"/>
      <c r="Z4407" s="77"/>
      <c r="AA4407" s="3" t="str">
        <f>IF(BCP_Soles[[#This Row],[fecha]]&gt;0,TEXT(BCP_Soles[[#This Row],[fecha]],"mmmm"),0)</f>
        <v>Octubre</v>
      </c>
    </row>
    <row r="4408" spans="1:27" ht="24" x14ac:dyDescent="0.3">
      <c r="A4408" s="2">
        <f>IF(BCP_Soles[[#This Row],[tipo_registro]]="R",COUNTIFS($C$1:$C4407,"R")+1,A4407)</f>
        <v>2914</v>
      </c>
      <c r="B4408" s="19" t="str">
        <f>"B-BCP - Soles"</f>
        <v>B-BCP - Soles</v>
      </c>
      <c r="C4408" s="3" t="s">
        <v>1330</v>
      </c>
      <c r="D4408" s="14">
        <v>45957</v>
      </c>
      <c r="E4408" s="5" t="s">
        <v>1335</v>
      </c>
      <c r="F4408" s="5" t="s">
        <v>1336</v>
      </c>
      <c r="G4408" s="6" t="s">
        <v>1060</v>
      </c>
      <c r="H4408" s="6" t="s">
        <v>68</v>
      </c>
      <c r="I4408" s="198" t="s">
        <v>1397</v>
      </c>
      <c r="J4408" s="6">
        <v>38505702</v>
      </c>
      <c r="K4408" s="7" t="s">
        <v>1400</v>
      </c>
      <c r="L4408" s="8">
        <v>576</v>
      </c>
      <c r="M4408" s="8" t="str">
        <f>"PEN"</f>
        <v>PEN</v>
      </c>
      <c r="N4408" s="13"/>
      <c r="O4408" s="13">
        <v>10</v>
      </c>
      <c r="P4408" s="3">
        <f>+IF(OR($F4408="SALDO",$F4408="INGRESO"),$O4408,0)</f>
        <v>0</v>
      </c>
      <c r="Q4408" s="3">
        <f>+IF($F4408="EGRESO",$O4408,0)</f>
        <v>10</v>
      </c>
      <c r="R4408" s="3">
        <f t="shared" ref="R4408:R4415" si="512">IFERROR(IF(F4408="SALDO",P4408,R4407+P4408-Q4408),0)</f>
        <v>2669.8899999999721</v>
      </c>
      <c r="S4408" s="24" t="s">
        <v>1334</v>
      </c>
      <c r="T4408" s="24" t="s">
        <v>1334</v>
      </c>
      <c r="U4408" s="55"/>
      <c r="V4408" s="25">
        <f>IFERROR(VLOOKUP(BCP_Soles[[#This Row],[destinatario]],CHOOSE({1,2},Clientes_Proveedores[Razon Social],Clientes_Proveedores[Ruc / Dni]),2,0),"")</f>
        <v>20100047218</v>
      </c>
      <c r="W4408" s="25"/>
      <c r="X4408" s="25"/>
      <c r="Y4408" s="25"/>
      <c r="Z4408" s="77"/>
      <c r="AA4408" s="3" t="str">
        <f>IF(BCP_Soles[[#This Row],[fecha]]&gt;0,TEXT(BCP_Soles[[#This Row],[fecha]],"mmmm"),0)</f>
        <v>Octubre</v>
      </c>
    </row>
    <row r="4409" spans="1:27" x14ac:dyDescent="0.3">
      <c r="A4409" s="2">
        <f>IF(BCP_Soles[[#This Row],[tipo_registro]]="R",COUNTIFS($C$1:$C4408,"R")+1,A4408)</f>
        <v>2915</v>
      </c>
      <c r="B4409" s="19" t="str">
        <f>"B-BCP - Soles"</f>
        <v>B-BCP - Soles</v>
      </c>
      <c r="C4409" s="3" t="s">
        <v>1330</v>
      </c>
      <c r="D4409" s="14">
        <v>45957</v>
      </c>
      <c r="E4409" s="5" t="s">
        <v>1335</v>
      </c>
      <c r="F4409" s="5" t="s">
        <v>1336</v>
      </c>
      <c r="G4409" s="6"/>
      <c r="H4409" s="6"/>
      <c r="I4409" s="198"/>
      <c r="J4409" s="6"/>
      <c r="K4409" s="7" t="s">
        <v>3160</v>
      </c>
      <c r="L4409" s="8"/>
      <c r="M4409" s="8" t="str">
        <f>"PEN"</f>
        <v>PEN</v>
      </c>
      <c r="N4409" s="13"/>
      <c r="O4409" s="13">
        <v>0.9</v>
      </c>
      <c r="P4409" s="3">
        <f>+IF(OR($F4409="SALDO",$F4409="INGRESO"),$O4409,0)</f>
        <v>0</v>
      </c>
      <c r="Q4409" s="3">
        <f>+IF($F4409="EGRESO",$O4409,0)</f>
        <v>0.9</v>
      </c>
      <c r="R4409" s="3">
        <f t="shared" si="512"/>
        <v>2668.989999999972</v>
      </c>
      <c r="S4409" s="24"/>
      <c r="T4409" s="24"/>
      <c r="U4409" s="55"/>
      <c r="V4409" s="25" t="str">
        <f>IFERROR(VLOOKUP(BCP_Soles[[#This Row],[destinatario]],CHOOSE({1,2},Clientes_Proveedores[Razon Social],Clientes_Proveedores[Ruc / Dni]),2,0),"")</f>
        <v/>
      </c>
      <c r="W4409" s="25"/>
      <c r="X4409" s="25"/>
      <c r="Y4409" s="25"/>
      <c r="Z4409" s="77"/>
      <c r="AA4409" s="3" t="str">
        <f>IF(BCP_Soles[[#This Row],[fecha]]&gt;0,TEXT(BCP_Soles[[#This Row],[fecha]],"mmmm"),0)</f>
        <v>Octubre</v>
      </c>
    </row>
    <row r="4410" spans="1:27" x14ac:dyDescent="0.3">
      <c r="A4410" s="2">
        <f>IF(BCP_Soles[[#This Row],[tipo_registro]]="R",COUNTIFS($C$1:$C4409,"R")+1,A4409)</f>
        <v>2916</v>
      </c>
      <c r="B4410" s="19" t="str">
        <f t="shared" ref="B4410:B4421" si="513">"B-BCP - Soles"</f>
        <v>B-BCP - Soles</v>
      </c>
      <c r="C4410" s="3" t="s">
        <v>1330</v>
      </c>
      <c r="D4410" s="14">
        <v>45958</v>
      </c>
      <c r="E4410" s="5"/>
      <c r="F4410" s="5" t="s">
        <v>1303</v>
      </c>
      <c r="G4410" s="6" t="s">
        <v>425</v>
      </c>
      <c r="H4410" s="6"/>
      <c r="I4410" s="198"/>
      <c r="J4410" s="6"/>
      <c r="K4410" s="7" t="s">
        <v>3608</v>
      </c>
      <c r="L4410" s="8">
        <v>1705167</v>
      </c>
      <c r="M4410" s="8" t="str">
        <f t="shared" ref="M4410:M4421" si="514">"PEN"</f>
        <v>PEN</v>
      </c>
      <c r="N4410" s="13"/>
      <c r="O4410" s="13">
        <v>4111.6000000000004</v>
      </c>
      <c r="P4410" s="3">
        <f t="shared" ref="P4410:P4421" si="515">+IF(OR($F4410="SALDO",$F4410="INGRESO"),$O4410,0)</f>
        <v>4111.6000000000004</v>
      </c>
      <c r="Q4410" s="3">
        <f t="shared" ref="Q4410:Q4421" si="516">+IF($F4410="EGRESO",$O4410,0)</f>
        <v>0</v>
      </c>
      <c r="R4410" s="3">
        <f t="shared" si="512"/>
        <v>6780.5899999999729</v>
      </c>
      <c r="S4410" s="24" t="s">
        <v>1334</v>
      </c>
      <c r="T4410" s="24" t="s">
        <v>1334</v>
      </c>
      <c r="U4410" s="55"/>
      <c r="V4410" s="25">
        <f>IFERROR(VLOOKUP(BCP_Soles[[#This Row],[destinatario]],CHOOSE({1,2},Clientes_Proveedores[Razon Social],Clientes_Proveedores[Ruc / Dni]),2,0),"")</f>
        <v>20558226979</v>
      </c>
      <c r="W4410" s="25"/>
      <c r="X4410" s="25"/>
      <c r="Y4410" s="25"/>
      <c r="Z4410" s="77"/>
      <c r="AA4410" s="3" t="str">
        <f>IF(BCP_Soles[[#This Row],[fecha]]&gt;0,TEXT(BCP_Soles[[#This Row],[fecha]],"mmmm"),0)</f>
        <v>Octubre</v>
      </c>
    </row>
    <row r="4411" spans="1:27" ht="24" x14ac:dyDescent="0.3">
      <c r="A4411" s="2">
        <f>IF(BCP_Soles[[#This Row],[tipo_registro]]="R",COUNTIFS($C$1:$C4410,"R")+1,A4410)</f>
        <v>2916</v>
      </c>
      <c r="B4411" s="19" t="str">
        <f>"B-BCP - Soles"</f>
        <v>B-BCP - Soles</v>
      </c>
      <c r="C4411" s="3" t="s">
        <v>1352</v>
      </c>
      <c r="D4411" s="14">
        <v>45958</v>
      </c>
      <c r="E4411" s="5" t="s">
        <v>4835</v>
      </c>
      <c r="F4411" s="5" t="s">
        <v>1303</v>
      </c>
      <c r="G4411" s="6" t="s">
        <v>425</v>
      </c>
      <c r="H4411" s="6" t="s">
        <v>119</v>
      </c>
      <c r="I4411" s="6">
        <v>1</v>
      </c>
      <c r="J4411" s="6">
        <v>4789</v>
      </c>
      <c r="K4411" s="7" t="s">
        <v>3608</v>
      </c>
      <c r="L4411" s="8">
        <v>1705167</v>
      </c>
      <c r="M4411" s="8" t="str">
        <f>"PEN"</f>
        <v>PEN</v>
      </c>
      <c r="N4411" s="13">
        <v>1351.6</v>
      </c>
      <c r="O4411" s="13"/>
      <c r="P4411" s="3">
        <f>+IF(OR($F4411="SALDO",$F4411="INGRESO"),$O4411,0)</f>
        <v>0</v>
      </c>
      <c r="Q4411" s="3">
        <f>+IF($F4411="EGRESO",$O4411,0)</f>
        <v>0</v>
      </c>
      <c r="R4411" s="3">
        <f t="shared" si="512"/>
        <v>6780.5899999999729</v>
      </c>
      <c r="S4411" s="24" t="s">
        <v>1334</v>
      </c>
      <c r="T4411" s="24" t="s">
        <v>1334</v>
      </c>
      <c r="U4411" s="55"/>
      <c r="V4411" s="25">
        <f>IFERROR(VLOOKUP(BCP_Soles[[#This Row],[destinatario]],CHOOSE({1,2},Clientes_Proveedores[Razon Social],Clientes_Proveedores[Ruc / Dni]),2,0),"")</f>
        <v>20558226979</v>
      </c>
      <c r="W4411" s="25"/>
      <c r="X4411" s="25"/>
      <c r="Y4411" s="25"/>
      <c r="Z4411" s="77"/>
      <c r="AA4411" s="3" t="str">
        <f>IF(BCP_Soles[[#This Row],[fecha]]&gt;0,TEXT(BCP_Soles[[#This Row],[fecha]],"mmmm"),0)</f>
        <v>Octubre</v>
      </c>
    </row>
    <row r="4412" spans="1:27" ht="24" x14ac:dyDescent="0.3">
      <c r="A4412" s="2">
        <f>IF(BCP_Soles[[#This Row],[tipo_registro]]="R",COUNTIFS($C$1:$C4411,"R")+1,A4411)</f>
        <v>2916</v>
      </c>
      <c r="B4412" s="19" t="str">
        <f>"B-BCP - Soles"</f>
        <v>B-BCP - Soles</v>
      </c>
      <c r="C4412" s="3" t="s">
        <v>1352</v>
      </c>
      <c r="D4412" s="14">
        <v>45958</v>
      </c>
      <c r="E4412" s="5" t="s">
        <v>4758</v>
      </c>
      <c r="F4412" s="5" t="s">
        <v>1303</v>
      </c>
      <c r="G4412" s="6" t="s">
        <v>425</v>
      </c>
      <c r="H4412" s="6" t="s">
        <v>119</v>
      </c>
      <c r="I4412" s="6">
        <v>1</v>
      </c>
      <c r="J4412" s="6">
        <v>4838</v>
      </c>
      <c r="K4412" s="7" t="s">
        <v>3608</v>
      </c>
      <c r="L4412" s="8">
        <v>1705167</v>
      </c>
      <c r="M4412" s="8" t="str">
        <f>"PEN"</f>
        <v>PEN</v>
      </c>
      <c r="N4412" s="13">
        <v>2760</v>
      </c>
      <c r="O4412" s="13"/>
      <c r="P4412" s="3">
        <f>+IF(OR($F4412="SALDO",$F4412="INGRESO"),$O4412,0)</f>
        <v>0</v>
      </c>
      <c r="Q4412" s="3">
        <f>+IF($F4412="EGRESO",$O4412,0)</f>
        <v>0</v>
      </c>
      <c r="R4412" s="3">
        <f t="shared" si="512"/>
        <v>6780.5899999999729</v>
      </c>
      <c r="S4412" s="24" t="s">
        <v>1334</v>
      </c>
      <c r="T4412" s="24" t="s">
        <v>1334</v>
      </c>
      <c r="U4412" s="55"/>
      <c r="V4412" s="25">
        <f>IFERROR(VLOOKUP(BCP_Soles[[#This Row],[destinatario]],CHOOSE({1,2},Clientes_Proveedores[Razon Social],Clientes_Proveedores[Ruc / Dni]),2,0),"")</f>
        <v>20558226979</v>
      </c>
      <c r="W4412" s="25"/>
      <c r="X4412" s="25"/>
      <c r="Y4412" s="25"/>
      <c r="Z4412" s="77"/>
      <c r="AA4412" s="3" t="str">
        <f>IF(BCP_Soles[[#This Row],[fecha]]&gt;0,TEXT(BCP_Soles[[#This Row],[fecha]],"mmmm"),0)</f>
        <v>Octubre</v>
      </c>
    </row>
    <row r="4413" spans="1:27" x14ac:dyDescent="0.3">
      <c r="A4413" s="2">
        <f>IF(BCP_Soles[[#This Row],[tipo_registro]]="R",COUNTIFS($C$1:$C4412,"R")+1,A4412)</f>
        <v>2917</v>
      </c>
      <c r="B4413" s="19" t="str">
        <f t="shared" si="513"/>
        <v>B-BCP - Soles</v>
      </c>
      <c r="C4413" s="3" t="s">
        <v>1330</v>
      </c>
      <c r="D4413" s="14">
        <v>45958</v>
      </c>
      <c r="E4413" s="5" t="s">
        <v>2269</v>
      </c>
      <c r="F4413" s="5" t="s">
        <v>1336</v>
      </c>
      <c r="G4413" s="6" t="s">
        <v>196</v>
      </c>
      <c r="H4413" s="6" t="s">
        <v>68</v>
      </c>
      <c r="I4413" s="198" t="s">
        <v>2226</v>
      </c>
      <c r="J4413" s="6">
        <v>7133</v>
      </c>
      <c r="K4413" s="7" t="s">
        <v>2227</v>
      </c>
      <c r="L4413" s="8">
        <v>82164</v>
      </c>
      <c r="M4413" s="8" t="str">
        <f t="shared" si="514"/>
        <v>PEN</v>
      </c>
      <c r="N4413" s="13"/>
      <c r="O4413" s="3">
        <v>337.48</v>
      </c>
      <c r="P4413" s="3">
        <f t="shared" si="515"/>
        <v>0</v>
      </c>
      <c r="Q4413" s="3">
        <f t="shared" si="516"/>
        <v>337.48</v>
      </c>
      <c r="R4413" s="3">
        <f t="shared" si="512"/>
        <v>6443.1099999999733</v>
      </c>
      <c r="S4413" s="24" t="s">
        <v>1334</v>
      </c>
      <c r="T4413" s="24" t="s">
        <v>1334</v>
      </c>
      <c r="U4413" s="55"/>
      <c r="V4413" s="25">
        <f>IFERROR(VLOOKUP(BCP_Soles[[#This Row],[destinatario]],CHOOSE({1,2},Clientes_Proveedores[Razon Social],Clientes_Proveedores[Ruc / Dni]),2,0),"")</f>
        <v>20100055237</v>
      </c>
      <c r="W4413" s="25"/>
      <c r="X4413" s="25"/>
      <c r="Y4413" s="25"/>
      <c r="Z4413" s="77"/>
      <c r="AA4413" s="3" t="str">
        <f>IF(BCP_Soles[[#This Row],[fecha]]&gt;0,TEXT(BCP_Soles[[#This Row],[fecha]],"mmmm"),0)</f>
        <v>Octubre</v>
      </c>
    </row>
    <row r="4414" spans="1:27" ht="24" x14ac:dyDescent="0.3">
      <c r="A4414" s="2">
        <f>IF(BCP_Soles[[#This Row],[tipo_registro]]="R",COUNTIFS($C$1:$C4413,"R")+1,A4413)</f>
        <v>2918</v>
      </c>
      <c r="B4414" s="19" t="str">
        <f t="shared" si="513"/>
        <v>B-BCP - Soles</v>
      </c>
      <c r="C4414" s="3" t="s">
        <v>1330</v>
      </c>
      <c r="D4414" s="14">
        <v>45958</v>
      </c>
      <c r="E4414" s="5" t="s">
        <v>2269</v>
      </c>
      <c r="F4414" s="5" t="s">
        <v>1336</v>
      </c>
      <c r="G4414" s="6" t="s">
        <v>983</v>
      </c>
      <c r="H4414" s="6" t="s">
        <v>68</v>
      </c>
      <c r="I4414" s="198" t="s">
        <v>1376</v>
      </c>
      <c r="J4414" s="6">
        <v>4</v>
      </c>
      <c r="K4414" s="7" t="s">
        <v>4836</v>
      </c>
      <c r="L4414" s="8">
        <v>1081682</v>
      </c>
      <c r="M4414" s="8" t="str">
        <f t="shared" si="514"/>
        <v>PEN</v>
      </c>
      <c r="N4414" s="13"/>
      <c r="O4414" s="3">
        <v>531</v>
      </c>
      <c r="P4414" s="3">
        <f t="shared" si="515"/>
        <v>0</v>
      </c>
      <c r="Q4414" s="3">
        <f t="shared" si="516"/>
        <v>531</v>
      </c>
      <c r="R4414" s="3">
        <f t="shared" si="512"/>
        <v>5912.1099999999733</v>
      </c>
      <c r="S4414" s="24" t="s">
        <v>1334</v>
      </c>
      <c r="T4414" s="24" t="s">
        <v>1334</v>
      </c>
      <c r="U4414" s="55"/>
      <c r="V4414" s="25">
        <f>IFERROR(VLOOKUP(BCP_Soles[[#This Row],[destinatario]],CHOOSE({1,2},Clientes_Proveedores[Razon Social],Clientes_Proveedores[Ruc / Dni]),2,0),"")</f>
        <v>20613747096</v>
      </c>
      <c r="W4414" s="25"/>
      <c r="X4414" s="25"/>
      <c r="Y4414" s="25"/>
      <c r="Z4414" s="77"/>
      <c r="AA4414" s="3" t="str">
        <f>IF(BCP_Soles[[#This Row],[fecha]]&gt;0,TEXT(BCP_Soles[[#This Row],[fecha]],"mmmm"),0)</f>
        <v>Octubre</v>
      </c>
    </row>
    <row r="4415" spans="1:27" ht="24" x14ac:dyDescent="0.3">
      <c r="A4415" s="2">
        <f>IF(BCP_Soles[[#This Row],[tipo_registro]]="R",COUNTIFS($C$1:$C4414,"R")+1,A4414)</f>
        <v>2919</v>
      </c>
      <c r="B4415" s="19" t="str">
        <f t="shared" si="513"/>
        <v>B-BCP - Soles</v>
      </c>
      <c r="C4415" s="3" t="s">
        <v>1330</v>
      </c>
      <c r="D4415" s="14">
        <v>45958</v>
      </c>
      <c r="E4415" s="5" t="s">
        <v>2269</v>
      </c>
      <c r="F4415" s="5" t="s">
        <v>1336</v>
      </c>
      <c r="G4415" s="6" t="s">
        <v>866</v>
      </c>
      <c r="H4415" s="6" t="s">
        <v>143</v>
      </c>
      <c r="I4415" s="6">
        <v>1</v>
      </c>
      <c r="J4415" s="6">
        <v>892025</v>
      </c>
      <c r="K4415" s="7" t="s">
        <v>4837</v>
      </c>
      <c r="L4415" s="8">
        <v>1083625</v>
      </c>
      <c r="M4415" s="8" t="str">
        <f t="shared" si="514"/>
        <v>PEN</v>
      </c>
      <c r="N4415" s="13"/>
      <c r="O4415" s="3">
        <v>542</v>
      </c>
      <c r="P4415" s="3">
        <f t="shared" si="515"/>
        <v>0</v>
      </c>
      <c r="Q4415" s="3">
        <f t="shared" si="516"/>
        <v>542</v>
      </c>
      <c r="R4415" s="3">
        <f t="shared" si="512"/>
        <v>5370.1099999999733</v>
      </c>
      <c r="S4415" s="24"/>
      <c r="T4415" s="24"/>
      <c r="U4415" s="55"/>
      <c r="V4415" s="25">
        <f>IFERROR(VLOOKUP(BCP_Soles[[#This Row],[destinatario]],CHOOSE({1,2},Clientes_Proveedores[Razon Social],Clientes_Proveedores[Ruc / Dni]),2,0),"")</f>
        <v>45921913</v>
      </c>
      <c r="W4415" s="25"/>
      <c r="X4415" s="25"/>
      <c r="Y4415" s="25"/>
      <c r="Z4415" s="77"/>
      <c r="AA4415" s="3" t="str">
        <f>IF(BCP_Soles[[#This Row],[fecha]]&gt;0,TEXT(BCP_Soles[[#This Row],[fecha]],"mmmm"),0)</f>
        <v>Octubre</v>
      </c>
    </row>
    <row r="4416" spans="1:27" ht="36" x14ac:dyDescent="0.3">
      <c r="A4416" s="2">
        <f>IF(BCP_Soles[[#This Row],[tipo_registro]]="R",COUNTIFS($C$1:$C4415,"R")+1,A4415)</f>
        <v>2920</v>
      </c>
      <c r="B4416" s="19" t="str">
        <f t="shared" si="513"/>
        <v>B-BCP - Soles</v>
      </c>
      <c r="C4416" s="3" t="s">
        <v>1330</v>
      </c>
      <c r="D4416" s="14">
        <v>45958</v>
      </c>
      <c r="E4416" s="5" t="s">
        <v>2269</v>
      </c>
      <c r="F4416" s="5" t="s">
        <v>1336</v>
      </c>
      <c r="G4416" s="6" t="s">
        <v>1286</v>
      </c>
      <c r="H4416" s="6" t="s">
        <v>68</v>
      </c>
      <c r="I4416" s="198" t="s">
        <v>1374</v>
      </c>
      <c r="J4416" s="6">
        <v>136</v>
      </c>
      <c r="K4416" s="7" t="s">
        <v>4838</v>
      </c>
      <c r="L4416" s="8">
        <v>1082639</v>
      </c>
      <c r="M4416" s="8" t="str">
        <f t="shared" si="514"/>
        <v>PEN</v>
      </c>
      <c r="N4416" s="13"/>
      <c r="O4416" s="3">
        <v>140</v>
      </c>
      <c r="P4416" s="3">
        <f t="shared" si="515"/>
        <v>0</v>
      </c>
      <c r="Q4416" s="3">
        <f t="shared" si="516"/>
        <v>140</v>
      </c>
      <c r="R4416" s="3">
        <f t="shared" ref="R4416" si="517">IFERROR(IF(F4416="SALDO",P4416,R4415+P4416-Q4416),0)</f>
        <v>5230.1099999999733</v>
      </c>
      <c r="S4416" s="24" t="s">
        <v>1334</v>
      </c>
      <c r="T4416" s="24" t="s">
        <v>1334</v>
      </c>
      <c r="U4416" s="55"/>
      <c r="V4416" s="25">
        <f>IFERROR(VLOOKUP(BCP_Soles[[#This Row],[destinatario]],CHOOSE({1,2},Clientes_Proveedores[Razon Social],Clientes_Proveedores[Ruc / Dni]),2,0),"")</f>
        <v>20613215043</v>
      </c>
      <c r="W4416" s="25"/>
      <c r="X4416" s="25"/>
      <c r="Y4416" s="25"/>
      <c r="Z4416" s="77"/>
      <c r="AA4416" s="3" t="str">
        <f>IF(BCP_Soles[[#This Row],[fecha]]&gt;0,TEXT(BCP_Soles[[#This Row],[fecha]],"mmmm"),0)</f>
        <v>Octubre</v>
      </c>
    </row>
    <row r="4417" spans="1:27" ht="24" x14ac:dyDescent="0.3">
      <c r="A4417" s="2">
        <f>IF(BCP_Soles[[#This Row],[tipo_registro]]="R",COUNTIFS($C$1:$C4416,"R")+1,A4416)</f>
        <v>2921</v>
      </c>
      <c r="B4417" s="19" t="str">
        <f t="shared" si="513"/>
        <v>B-BCP - Soles</v>
      </c>
      <c r="C4417" s="3" t="s">
        <v>1330</v>
      </c>
      <c r="D4417" s="14">
        <v>45958</v>
      </c>
      <c r="E4417" s="5" t="s">
        <v>2269</v>
      </c>
      <c r="F4417" s="5" t="s">
        <v>1336</v>
      </c>
      <c r="G4417" s="6" t="s">
        <v>790</v>
      </c>
      <c r="H4417" s="6" t="s">
        <v>143</v>
      </c>
      <c r="I4417" s="6">
        <v>1</v>
      </c>
      <c r="J4417" s="6">
        <v>902025</v>
      </c>
      <c r="K4417" s="7" t="s">
        <v>4839</v>
      </c>
      <c r="L4417" s="8">
        <v>1083626</v>
      </c>
      <c r="M4417" s="8" t="str">
        <f t="shared" si="514"/>
        <v>PEN</v>
      </c>
      <c r="N4417" s="13"/>
      <c r="O4417" s="3">
        <v>165</v>
      </c>
      <c r="P4417" s="3">
        <f t="shared" si="515"/>
        <v>0</v>
      </c>
      <c r="Q4417" s="3">
        <f t="shared" si="516"/>
        <v>165</v>
      </c>
      <c r="R4417" s="3">
        <f t="shared" ref="R4417:R4424" si="518">IFERROR(IF(F4417="SALDO",P4417,R4416+P4417-Q4417),0)</f>
        <v>5065.1099999999733</v>
      </c>
      <c r="S4417" s="24"/>
      <c r="T4417" s="24"/>
      <c r="U4417" s="55"/>
      <c r="V4417" s="25">
        <f>IFERROR(VLOOKUP(BCP_Soles[[#This Row],[destinatario]],CHOOSE({1,2},Clientes_Proveedores[Razon Social],Clientes_Proveedores[Ruc / Dni]),2,0),"")</f>
        <v>72169020</v>
      </c>
      <c r="W4417" s="25"/>
      <c r="X4417" s="25"/>
      <c r="Y4417" s="25"/>
      <c r="Z4417" s="77"/>
      <c r="AA4417" s="3" t="str">
        <f>IF(BCP_Soles[[#This Row],[fecha]]&gt;0,TEXT(BCP_Soles[[#This Row],[fecha]],"mmmm"),0)</f>
        <v>Octubre</v>
      </c>
    </row>
    <row r="4418" spans="1:27" ht="24" x14ac:dyDescent="0.3">
      <c r="A4418" s="2">
        <f>IF(BCP_Soles[[#This Row],[tipo_registro]]="R",COUNTIFS($C$1:$C4417,"R")+1,A4417)</f>
        <v>2922</v>
      </c>
      <c r="B4418" s="19" t="str">
        <f t="shared" si="513"/>
        <v>B-BCP - Soles</v>
      </c>
      <c r="C4418" s="3" t="s">
        <v>1330</v>
      </c>
      <c r="D4418" s="14">
        <v>45958</v>
      </c>
      <c r="E4418" s="5" t="s">
        <v>2269</v>
      </c>
      <c r="F4418" s="5" t="s">
        <v>1336</v>
      </c>
      <c r="G4418" s="6" t="s">
        <v>1025</v>
      </c>
      <c r="H4418" s="6"/>
      <c r="I4418" s="6"/>
      <c r="J4418" s="6"/>
      <c r="K4418" s="7" t="s">
        <v>4840</v>
      </c>
      <c r="L4418" s="8">
        <v>1227650</v>
      </c>
      <c r="M4418" s="8" t="str">
        <f t="shared" si="514"/>
        <v>PEN</v>
      </c>
      <c r="N4418" s="13"/>
      <c r="O4418" s="3">
        <v>30</v>
      </c>
      <c r="P4418" s="3">
        <f t="shared" si="515"/>
        <v>0</v>
      </c>
      <c r="Q4418" s="3">
        <f t="shared" si="516"/>
        <v>30</v>
      </c>
      <c r="R4418" s="3">
        <f t="shared" si="518"/>
        <v>5035.1099999999733</v>
      </c>
      <c r="S4418" s="24"/>
      <c r="T4418" s="24"/>
      <c r="U4418" s="55"/>
      <c r="V4418" s="25">
        <f>IFERROR(VLOOKUP(BCP_Soles[[#This Row],[destinatario]],CHOOSE({1,2},Clientes_Proveedores[Razon Social],Clientes_Proveedores[Ruc / Dni]),2,0),"")</f>
        <v>20601369622</v>
      </c>
      <c r="W4418" s="25"/>
      <c r="X4418" s="25"/>
      <c r="Y4418" s="25"/>
      <c r="Z4418" s="77"/>
      <c r="AA4418" s="3" t="str">
        <f>IF(BCP_Soles[[#This Row],[fecha]]&gt;0,TEXT(BCP_Soles[[#This Row],[fecha]],"mmmm"),0)</f>
        <v>Octubre</v>
      </c>
    </row>
    <row r="4419" spans="1:27" x14ac:dyDescent="0.3">
      <c r="A4419" s="2">
        <f>IF(BCP_Soles[[#This Row],[tipo_registro]]="R",COUNTIFS($C$1:$C4418,"R")+1,A4418)</f>
        <v>2923</v>
      </c>
      <c r="B4419" s="19" t="str">
        <f t="shared" si="513"/>
        <v>B-BCP - Soles</v>
      </c>
      <c r="C4419" s="3" t="s">
        <v>1330</v>
      </c>
      <c r="D4419" s="14">
        <v>45958</v>
      </c>
      <c r="E4419" s="5" t="s">
        <v>2269</v>
      </c>
      <c r="F4419" s="5" t="s">
        <v>1336</v>
      </c>
      <c r="G4419" s="6" t="s">
        <v>1127</v>
      </c>
      <c r="H4419" s="6" t="s">
        <v>68</v>
      </c>
      <c r="I4419" s="198" t="s">
        <v>1376</v>
      </c>
      <c r="J4419" s="6">
        <v>1623</v>
      </c>
      <c r="K4419" s="7" t="s">
        <v>4841</v>
      </c>
      <c r="L4419" s="8">
        <v>4016382</v>
      </c>
      <c r="M4419" s="8" t="str">
        <f t="shared" si="514"/>
        <v>PEN</v>
      </c>
      <c r="N4419" s="13"/>
      <c r="O4419" s="3">
        <v>1516.19</v>
      </c>
      <c r="P4419" s="3">
        <f t="shared" si="515"/>
        <v>0</v>
      </c>
      <c r="Q4419" s="3">
        <f t="shared" si="516"/>
        <v>1516.19</v>
      </c>
      <c r="R4419" s="3">
        <f t="shared" si="518"/>
        <v>3518.9199999999732</v>
      </c>
      <c r="S4419" s="24" t="s">
        <v>1334</v>
      </c>
      <c r="T4419" s="24" t="s">
        <v>1334</v>
      </c>
      <c r="U4419" s="55"/>
      <c r="V4419" s="25">
        <f>IFERROR(VLOOKUP(BCP_Soles[[#This Row],[destinatario]],CHOOSE({1,2},Clientes_Proveedores[Razon Social],Clientes_Proveedores[Ruc / Dni]),2,0),"")</f>
        <v>20559236803</v>
      </c>
      <c r="W4419" s="25"/>
      <c r="X4419" s="25"/>
      <c r="Y4419" s="25"/>
      <c r="Z4419" s="77"/>
      <c r="AA4419" s="3" t="str">
        <f>IF(BCP_Soles[[#This Row],[fecha]]&gt;0,TEXT(BCP_Soles[[#This Row],[fecha]],"mmmm"),0)</f>
        <v>Octubre</v>
      </c>
    </row>
    <row r="4420" spans="1:27" x14ac:dyDescent="0.3">
      <c r="A4420" s="2">
        <f>IF(BCP_Soles[[#This Row],[tipo_registro]]="R",COUNTIFS($C$1:$C4419,"R")+1,A4419)</f>
        <v>2923</v>
      </c>
      <c r="B4420" s="19" t="str">
        <f t="shared" si="513"/>
        <v>B-BCP - Soles</v>
      </c>
      <c r="C4420" s="3" t="s">
        <v>1352</v>
      </c>
      <c r="D4420" s="14">
        <v>45958</v>
      </c>
      <c r="E4420" s="5" t="s">
        <v>2269</v>
      </c>
      <c r="F4420" s="5" t="s">
        <v>1336</v>
      </c>
      <c r="G4420" s="6" t="s">
        <v>1127</v>
      </c>
      <c r="H4420" s="6" t="s">
        <v>68</v>
      </c>
      <c r="I4420" s="198" t="s">
        <v>1376</v>
      </c>
      <c r="J4420" s="6">
        <v>1623</v>
      </c>
      <c r="K4420" s="7" t="s">
        <v>4841</v>
      </c>
      <c r="L4420" s="8">
        <v>4016382</v>
      </c>
      <c r="M4420" s="8" t="str">
        <f t="shared" si="514"/>
        <v>PEN</v>
      </c>
      <c r="N4420" s="13">
        <v>1511.89</v>
      </c>
      <c r="O4420" s="3"/>
      <c r="P4420" s="3">
        <f t="shared" si="515"/>
        <v>0</v>
      </c>
      <c r="Q4420" s="3">
        <f t="shared" si="516"/>
        <v>0</v>
      </c>
      <c r="R4420" s="3">
        <f t="shared" si="518"/>
        <v>3518.9199999999732</v>
      </c>
      <c r="S4420" s="24" t="s">
        <v>1334</v>
      </c>
      <c r="T4420" s="24" t="s">
        <v>1334</v>
      </c>
      <c r="U4420" s="55"/>
      <c r="V4420" s="25">
        <f>IFERROR(VLOOKUP(BCP_Soles[[#This Row],[destinatario]],CHOOSE({1,2},Clientes_Proveedores[Razon Social],Clientes_Proveedores[Ruc / Dni]),2,0),"")</f>
        <v>20559236803</v>
      </c>
      <c r="W4420" s="25"/>
      <c r="X4420" s="25"/>
      <c r="Y4420" s="25"/>
      <c r="Z4420" s="77"/>
      <c r="AA4420" s="3" t="str">
        <f>IF(BCP_Soles[[#This Row],[fecha]]&gt;0,TEXT(BCP_Soles[[#This Row],[fecha]],"mmmm"),0)</f>
        <v>Octubre</v>
      </c>
    </row>
    <row r="4421" spans="1:27" ht="24" x14ac:dyDescent="0.3">
      <c r="A4421" s="2">
        <f>IF(BCP_Soles[[#This Row],[tipo_registro]]="R",COUNTIFS($C$1:$C4420,"R")+1,A4420)</f>
        <v>2923</v>
      </c>
      <c r="B4421" s="19" t="str">
        <f t="shared" si="513"/>
        <v>B-BCP - Soles</v>
      </c>
      <c r="C4421" s="3" t="s">
        <v>1352</v>
      </c>
      <c r="D4421" s="14">
        <v>45958</v>
      </c>
      <c r="E4421" s="5" t="s">
        <v>2269</v>
      </c>
      <c r="F4421" s="5" t="s">
        <v>1336</v>
      </c>
      <c r="G4421" s="6" t="s">
        <v>1060</v>
      </c>
      <c r="H4421" s="6" t="s">
        <v>68</v>
      </c>
      <c r="I4421" s="198" t="s">
        <v>1397</v>
      </c>
      <c r="J4421" s="6">
        <v>38568890</v>
      </c>
      <c r="K4421" s="7" t="s">
        <v>4841</v>
      </c>
      <c r="L4421" s="8">
        <v>4016382</v>
      </c>
      <c r="M4421" s="8" t="str">
        <f t="shared" si="514"/>
        <v>PEN</v>
      </c>
      <c r="N4421" s="13">
        <v>4.3</v>
      </c>
      <c r="O4421" s="3"/>
      <c r="P4421" s="3">
        <f t="shared" si="515"/>
        <v>0</v>
      </c>
      <c r="Q4421" s="3">
        <f t="shared" si="516"/>
        <v>0</v>
      </c>
      <c r="R4421" s="3">
        <f t="shared" si="518"/>
        <v>3518.9199999999732</v>
      </c>
      <c r="S4421" s="24" t="s">
        <v>1334</v>
      </c>
      <c r="T4421" s="24" t="s">
        <v>1334</v>
      </c>
      <c r="U4421" s="55"/>
      <c r="V4421" s="25">
        <f>IFERROR(VLOOKUP(BCP_Soles[[#This Row],[destinatario]],CHOOSE({1,2},Clientes_Proveedores[Razon Social],Clientes_Proveedores[Ruc / Dni]),2,0),"")</f>
        <v>20100047218</v>
      </c>
      <c r="W4421" s="25"/>
      <c r="X4421" s="25"/>
      <c r="Y4421" s="25"/>
      <c r="Z4421" s="77"/>
      <c r="AA4421" s="3" t="str">
        <f>IF(BCP_Soles[[#This Row],[fecha]]&gt;0,TEXT(BCP_Soles[[#This Row],[fecha]],"mmmm"),0)</f>
        <v>Octubre</v>
      </c>
    </row>
    <row r="4422" spans="1:27" ht="24" x14ac:dyDescent="0.3">
      <c r="A4422" s="2">
        <f>IF(BCP_Soles[[#This Row],[tipo_registro]]="R",COUNTIFS($C$1:$C4421,"R")+1,A4421)</f>
        <v>2924</v>
      </c>
      <c r="B4422" s="19" t="str">
        <f t="shared" ref="B4422:B4442" si="519">"B-BCP - Soles"</f>
        <v>B-BCP - Soles</v>
      </c>
      <c r="C4422" s="3" t="s">
        <v>1330</v>
      </c>
      <c r="D4422" s="14">
        <v>45958</v>
      </c>
      <c r="E4422" s="5" t="s">
        <v>2269</v>
      </c>
      <c r="F4422" s="5" t="s">
        <v>1336</v>
      </c>
      <c r="G4422" s="6" t="s">
        <v>993</v>
      </c>
      <c r="H4422" s="6" t="s">
        <v>143</v>
      </c>
      <c r="I4422" s="6">
        <v>1</v>
      </c>
      <c r="J4422" s="6">
        <v>912025</v>
      </c>
      <c r="K4422" s="7" t="s">
        <v>4842</v>
      </c>
      <c r="L4422" s="8">
        <v>1226189</v>
      </c>
      <c r="M4422" s="8" t="str">
        <f t="shared" ref="M4422:M4442" si="520">"PEN"</f>
        <v>PEN</v>
      </c>
      <c r="N4422" s="13"/>
      <c r="O4422" s="3">
        <v>64</v>
      </c>
      <c r="P4422" s="3">
        <f t="shared" ref="P4422:P4442" si="521">+IF(OR($F4422="SALDO",$F4422="INGRESO"),$O4422,0)</f>
        <v>0</v>
      </c>
      <c r="Q4422" s="3">
        <f t="shared" ref="Q4422:Q4442" si="522">+IF($F4422="EGRESO",$O4422,0)</f>
        <v>64</v>
      </c>
      <c r="R4422" s="3">
        <f t="shared" si="518"/>
        <v>3454.9199999999732</v>
      </c>
      <c r="S4422" s="24"/>
      <c r="T4422" s="24"/>
      <c r="U4422" s="55"/>
      <c r="V4422" s="25">
        <f>IFERROR(VLOOKUP(BCP_Soles[[#This Row],[destinatario]],CHOOSE({1,2},Clientes_Proveedores[Razon Social],Clientes_Proveedores[Ruc / Dni]),2,0),"")</f>
        <v>76390500</v>
      </c>
      <c r="W4422" s="25"/>
      <c r="X4422" s="25"/>
      <c r="Y4422" s="25"/>
      <c r="Z4422" s="77"/>
      <c r="AA4422" s="3" t="str">
        <f>IF(BCP_Soles[[#This Row],[fecha]]&gt;0,TEXT(BCP_Soles[[#This Row],[fecha]],"mmmm"),0)</f>
        <v>Octubre</v>
      </c>
    </row>
    <row r="4423" spans="1:27" ht="24" x14ac:dyDescent="0.3">
      <c r="A4423" s="2">
        <f>IF(BCP_Soles[[#This Row],[tipo_registro]]="R",COUNTIFS($C$1:$C4422,"R")+1,A4422)</f>
        <v>2925</v>
      </c>
      <c r="B4423" s="19" t="str">
        <f t="shared" si="519"/>
        <v>B-BCP - Soles</v>
      </c>
      <c r="C4423" s="3" t="s">
        <v>1330</v>
      </c>
      <c r="D4423" s="14">
        <v>45958</v>
      </c>
      <c r="E4423" s="5" t="s">
        <v>2269</v>
      </c>
      <c r="F4423" s="5" t="s">
        <v>1336</v>
      </c>
      <c r="G4423" s="6" t="s">
        <v>993</v>
      </c>
      <c r="H4423" s="6" t="s">
        <v>143</v>
      </c>
      <c r="I4423" s="6">
        <v>1</v>
      </c>
      <c r="J4423" s="6">
        <v>922025</v>
      </c>
      <c r="K4423" s="7" t="s">
        <v>4843</v>
      </c>
      <c r="L4423" s="8">
        <v>1224715</v>
      </c>
      <c r="M4423" s="8" t="str">
        <f t="shared" si="520"/>
        <v>PEN</v>
      </c>
      <c r="N4423" s="13"/>
      <c r="O4423" s="3">
        <v>203</v>
      </c>
      <c r="P4423" s="3">
        <f t="shared" si="521"/>
        <v>0</v>
      </c>
      <c r="Q4423" s="3">
        <f t="shared" si="522"/>
        <v>203</v>
      </c>
      <c r="R4423" s="3">
        <f t="shared" si="518"/>
        <v>3251.9199999999732</v>
      </c>
      <c r="S4423" s="24"/>
      <c r="T4423" s="24"/>
      <c r="U4423" s="55"/>
      <c r="V4423" s="25">
        <f>IFERROR(VLOOKUP(BCP_Soles[[#This Row],[destinatario]],CHOOSE({1,2},Clientes_Proveedores[Razon Social],Clientes_Proveedores[Ruc / Dni]),2,0),"")</f>
        <v>76390500</v>
      </c>
      <c r="W4423" s="25"/>
      <c r="X4423" s="25"/>
      <c r="Y4423" s="25"/>
      <c r="Z4423" s="77"/>
      <c r="AA4423" s="3" t="str">
        <f>IF(BCP_Soles[[#This Row],[fecha]]&gt;0,TEXT(BCP_Soles[[#This Row],[fecha]],"mmmm"),0)</f>
        <v>Octubre</v>
      </c>
    </row>
    <row r="4424" spans="1:27" x14ac:dyDescent="0.3">
      <c r="A4424" s="2">
        <f>IF(BCP_Soles[[#This Row],[tipo_registro]]="R",COUNTIFS($C$1:$C4423,"R")+1,A4423)</f>
        <v>2926</v>
      </c>
      <c r="B4424" s="19" t="str">
        <f t="shared" si="519"/>
        <v>B-BCP - Soles</v>
      </c>
      <c r="C4424" s="13" t="s">
        <v>1330</v>
      </c>
      <c r="D4424" s="14">
        <v>45958</v>
      </c>
      <c r="E4424" s="5" t="s">
        <v>2269</v>
      </c>
      <c r="F4424" s="5" t="s">
        <v>1336</v>
      </c>
      <c r="G4424" s="6" t="s">
        <v>696</v>
      </c>
      <c r="H4424" s="6"/>
      <c r="I4424" s="198"/>
      <c r="J4424" s="6"/>
      <c r="K4424" s="7" t="s">
        <v>4844</v>
      </c>
      <c r="L4424" s="8">
        <v>2610200</v>
      </c>
      <c r="M4424" s="8" t="str">
        <f t="shared" si="520"/>
        <v>PEN</v>
      </c>
      <c r="N4424" s="13"/>
      <c r="O4424" s="3">
        <v>3122.5</v>
      </c>
      <c r="P4424" s="3">
        <f t="shared" si="521"/>
        <v>0</v>
      </c>
      <c r="Q4424" s="3">
        <f t="shared" si="522"/>
        <v>3122.5</v>
      </c>
      <c r="R4424" s="3">
        <f t="shared" si="518"/>
        <v>129.41999999997324</v>
      </c>
      <c r="S4424" s="24" t="s">
        <v>1334</v>
      </c>
      <c r="T4424" s="24" t="s">
        <v>1334</v>
      </c>
      <c r="U4424" s="55"/>
      <c r="V4424" s="25">
        <f>IFERROR(VLOOKUP(BCP_Soles[[#This Row],[destinatario]],CHOOSE({1,2},Clientes_Proveedores[Razon Social],Clientes_Proveedores[Ruc / Dni]),2,0),"")</f>
        <v>0</v>
      </c>
      <c r="W4424" s="25"/>
      <c r="X4424" s="25"/>
      <c r="Y4424" s="25"/>
      <c r="Z4424" s="77"/>
      <c r="AA4424" s="3" t="str">
        <f>IF(BCP_Soles[[#This Row],[fecha]]&gt;0,TEXT(BCP_Soles[[#This Row],[fecha]],"mmmm"),0)</f>
        <v>Octubre</v>
      </c>
    </row>
    <row r="4425" spans="1:27" ht="24" x14ac:dyDescent="0.3">
      <c r="A4425" s="2">
        <f>IF(BCP_Soles[[#This Row],[tipo_registro]]="R",COUNTIFS($C$1:$C4424,"R")+1,A4424)</f>
        <v>2926</v>
      </c>
      <c r="B4425" s="19" t="str">
        <f t="shared" si="519"/>
        <v>B-BCP - Soles</v>
      </c>
      <c r="C4425" s="13" t="s">
        <v>1352</v>
      </c>
      <c r="D4425" s="14">
        <v>45958</v>
      </c>
      <c r="E4425" s="5" t="s">
        <v>2269</v>
      </c>
      <c r="F4425" s="5" t="s">
        <v>1336</v>
      </c>
      <c r="G4425" s="6" t="s">
        <v>166</v>
      </c>
      <c r="H4425" s="6" t="s">
        <v>68</v>
      </c>
      <c r="I4425" s="198" t="s">
        <v>1376</v>
      </c>
      <c r="J4425" s="6">
        <v>5414</v>
      </c>
      <c r="K4425" s="7" t="s">
        <v>4844</v>
      </c>
      <c r="L4425" s="8">
        <v>2610200</v>
      </c>
      <c r="M4425" s="8" t="str">
        <f t="shared" si="520"/>
        <v>PEN</v>
      </c>
      <c r="N4425" s="13">
        <v>177</v>
      </c>
      <c r="O4425" s="3"/>
      <c r="P4425" s="3">
        <f t="shared" si="521"/>
        <v>0</v>
      </c>
      <c r="Q4425" s="3">
        <f t="shared" si="522"/>
        <v>0</v>
      </c>
      <c r="R4425" s="3">
        <f t="shared" ref="R4425:R4442" si="523">IFERROR(IF(F4425="SALDO",P4425,R4424+P4425-Q4425),0)</f>
        <v>129.41999999997324</v>
      </c>
      <c r="S4425" s="24" t="s">
        <v>1334</v>
      </c>
      <c r="T4425" s="24" t="s">
        <v>1334</v>
      </c>
      <c r="U4425" s="55"/>
      <c r="V4425" s="25">
        <f>IFERROR(VLOOKUP(BCP_Soles[[#This Row],[destinatario]],CHOOSE({1,2},Clientes_Proveedores[Razon Social],Clientes_Proveedores[Ruc / Dni]),2,0),"")</f>
        <v>10425371652</v>
      </c>
      <c r="W4425" s="25"/>
      <c r="X4425" s="25"/>
      <c r="Y4425" s="25"/>
      <c r="Z4425" s="77"/>
      <c r="AA4425" s="3" t="str">
        <f>IF(BCP_Soles[[#This Row],[fecha]]&gt;0,TEXT(BCP_Soles[[#This Row],[fecha]],"mmmm"),0)</f>
        <v>Octubre</v>
      </c>
    </row>
    <row r="4426" spans="1:27" x14ac:dyDescent="0.3">
      <c r="A4426" s="2">
        <f>IF(BCP_Soles[[#This Row],[tipo_registro]]="R",COUNTIFS($C$1:$C4425,"R")+1,A4425)</f>
        <v>2926</v>
      </c>
      <c r="B4426" s="19" t="str">
        <f t="shared" si="519"/>
        <v>B-BCP - Soles</v>
      </c>
      <c r="C4426" s="13" t="s">
        <v>1352</v>
      </c>
      <c r="D4426" s="14">
        <v>45958</v>
      </c>
      <c r="E4426" s="5" t="s">
        <v>2269</v>
      </c>
      <c r="F4426" s="5" t="s">
        <v>1336</v>
      </c>
      <c r="G4426" s="6" t="s">
        <v>522</v>
      </c>
      <c r="H4426" s="6" t="s">
        <v>68</v>
      </c>
      <c r="I4426" s="198" t="s">
        <v>1376</v>
      </c>
      <c r="J4426" s="6">
        <v>4226</v>
      </c>
      <c r="K4426" s="7" t="s">
        <v>4844</v>
      </c>
      <c r="L4426" s="8">
        <v>2610200</v>
      </c>
      <c r="M4426" s="8" t="str">
        <f t="shared" si="520"/>
        <v>PEN</v>
      </c>
      <c r="N4426" s="13">
        <v>401.2</v>
      </c>
      <c r="O4426" s="3"/>
      <c r="P4426" s="3">
        <f t="shared" si="521"/>
        <v>0</v>
      </c>
      <c r="Q4426" s="3">
        <f t="shared" si="522"/>
        <v>0</v>
      </c>
      <c r="R4426" s="3">
        <f t="shared" si="523"/>
        <v>129.41999999997324</v>
      </c>
      <c r="S4426" s="24" t="s">
        <v>1334</v>
      </c>
      <c r="T4426" s="24" t="s">
        <v>1334</v>
      </c>
      <c r="U4426" s="55"/>
      <c r="V4426" s="25">
        <f>IFERROR(VLOOKUP(BCP_Soles[[#This Row],[destinatario]],CHOOSE({1,2},Clientes_Proveedores[Razon Social],Clientes_Proveedores[Ruc / Dni]),2,0),"")</f>
        <v>20603974817</v>
      </c>
      <c r="W4426" s="25"/>
      <c r="X4426" s="25"/>
      <c r="Y4426" s="25"/>
      <c r="Z4426" s="77"/>
      <c r="AA4426" s="3" t="str">
        <f>IF(BCP_Soles[[#This Row],[fecha]]&gt;0,TEXT(BCP_Soles[[#This Row],[fecha]],"mmmm"),0)</f>
        <v>Octubre</v>
      </c>
    </row>
    <row r="4427" spans="1:27" ht="36" x14ac:dyDescent="0.3">
      <c r="A4427" s="2">
        <f>IF(BCP_Soles[[#This Row],[tipo_registro]]="R",COUNTIFS($C$1:$C4426,"R")+1,A4426)</f>
        <v>2926</v>
      </c>
      <c r="B4427" s="19" t="str">
        <f t="shared" si="519"/>
        <v>B-BCP - Soles</v>
      </c>
      <c r="C4427" s="13" t="s">
        <v>1352</v>
      </c>
      <c r="D4427" s="14">
        <v>45958</v>
      </c>
      <c r="E4427" s="5" t="s">
        <v>2269</v>
      </c>
      <c r="F4427" s="5" t="s">
        <v>1336</v>
      </c>
      <c r="G4427" s="6" t="s">
        <v>153</v>
      </c>
      <c r="H4427" s="6" t="s">
        <v>68</v>
      </c>
      <c r="I4427" s="198" t="s">
        <v>1376</v>
      </c>
      <c r="J4427" s="6">
        <v>426</v>
      </c>
      <c r="K4427" s="7" t="s">
        <v>4844</v>
      </c>
      <c r="L4427" s="8">
        <v>2610200</v>
      </c>
      <c r="M4427" s="8" t="str">
        <f t="shared" si="520"/>
        <v>PEN</v>
      </c>
      <c r="N4427" s="13">
        <v>623</v>
      </c>
      <c r="O4427" s="3"/>
      <c r="P4427" s="3">
        <f t="shared" si="521"/>
        <v>0</v>
      </c>
      <c r="Q4427" s="3">
        <f t="shared" si="522"/>
        <v>0</v>
      </c>
      <c r="R4427" s="3">
        <f t="shared" si="523"/>
        <v>129.41999999997324</v>
      </c>
      <c r="S4427" s="24" t="s">
        <v>1334</v>
      </c>
      <c r="T4427" s="24" t="s">
        <v>1334</v>
      </c>
      <c r="U4427" s="55"/>
      <c r="V4427" s="25">
        <f>IFERROR(VLOOKUP(BCP_Soles[[#This Row],[destinatario]],CHOOSE({1,2},Clientes_Proveedores[Razon Social],Clientes_Proveedores[Ruc / Dni]),2,0),"")</f>
        <v>10405211179</v>
      </c>
      <c r="W4427" s="25"/>
      <c r="X4427" s="25"/>
      <c r="Y4427" s="25"/>
      <c r="Z4427" s="77"/>
      <c r="AA4427" s="3" t="str">
        <f>IF(BCP_Soles[[#This Row],[fecha]]&gt;0,TEXT(BCP_Soles[[#This Row],[fecha]],"mmmm"),0)</f>
        <v>Octubre</v>
      </c>
    </row>
    <row r="4428" spans="1:27" ht="24" x14ac:dyDescent="0.3">
      <c r="A4428" s="2">
        <f>IF(BCP_Soles[[#This Row],[tipo_registro]]="R",COUNTIFS($C$1:$C4427,"R")+1,A4427)</f>
        <v>2926</v>
      </c>
      <c r="B4428" s="19" t="str">
        <f t="shared" si="519"/>
        <v>B-BCP - Soles</v>
      </c>
      <c r="C4428" s="13" t="s">
        <v>1352</v>
      </c>
      <c r="D4428" s="14">
        <v>45958</v>
      </c>
      <c r="E4428" s="5" t="s">
        <v>2269</v>
      </c>
      <c r="F4428" s="5" t="s">
        <v>1336</v>
      </c>
      <c r="G4428" s="6" t="s">
        <v>166</v>
      </c>
      <c r="H4428" s="6" t="s">
        <v>68</v>
      </c>
      <c r="I4428" s="198" t="s">
        <v>1376</v>
      </c>
      <c r="J4428" s="6">
        <v>5362</v>
      </c>
      <c r="K4428" s="7" t="s">
        <v>4844</v>
      </c>
      <c r="L4428" s="8">
        <v>2610200</v>
      </c>
      <c r="M4428" s="8" t="str">
        <f t="shared" si="520"/>
        <v>PEN</v>
      </c>
      <c r="N4428" s="13">
        <v>153.4</v>
      </c>
      <c r="O4428" s="3"/>
      <c r="P4428" s="3">
        <f t="shared" si="521"/>
        <v>0</v>
      </c>
      <c r="Q4428" s="3">
        <f t="shared" si="522"/>
        <v>0</v>
      </c>
      <c r="R4428" s="3">
        <f t="shared" si="523"/>
        <v>129.41999999997324</v>
      </c>
      <c r="S4428" s="24" t="s">
        <v>1334</v>
      </c>
      <c r="T4428" s="24" t="s">
        <v>1334</v>
      </c>
      <c r="U4428" s="55"/>
      <c r="V4428" s="25">
        <f>IFERROR(VLOOKUP(BCP_Soles[[#This Row],[destinatario]],CHOOSE({1,2},Clientes_Proveedores[Razon Social],Clientes_Proveedores[Ruc / Dni]),2,0),"")</f>
        <v>10425371652</v>
      </c>
      <c r="W4428" s="25"/>
      <c r="X4428" s="25"/>
      <c r="Y4428" s="25"/>
      <c r="Z4428" s="77"/>
      <c r="AA4428" s="3" t="str">
        <f>IF(BCP_Soles[[#This Row],[fecha]]&gt;0,TEXT(BCP_Soles[[#This Row],[fecha]],"mmmm"),0)</f>
        <v>Octubre</v>
      </c>
    </row>
    <row r="4429" spans="1:27" x14ac:dyDescent="0.3">
      <c r="A4429" s="2">
        <f>IF(BCP_Soles[[#This Row],[tipo_registro]]="R",COUNTIFS($C$1:$C4428,"R")+1,A4428)</f>
        <v>2926</v>
      </c>
      <c r="B4429" s="19" t="str">
        <f t="shared" si="519"/>
        <v>B-BCP - Soles</v>
      </c>
      <c r="C4429" s="13" t="s">
        <v>1352</v>
      </c>
      <c r="D4429" s="14">
        <v>45958</v>
      </c>
      <c r="E4429" s="5" t="s">
        <v>2269</v>
      </c>
      <c r="F4429" s="5" t="s">
        <v>1336</v>
      </c>
      <c r="G4429" s="6" t="s">
        <v>522</v>
      </c>
      <c r="H4429" s="6" t="s">
        <v>68</v>
      </c>
      <c r="I4429" s="198" t="s">
        <v>1376</v>
      </c>
      <c r="J4429" s="6">
        <v>4265</v>
      </c>
      <c r="K4429" s="7" t="s">
        <v>4844</v>
      </c>
      <c r="L4429" s="8">
        <v>2610200</v>
      </c>
      <c r="M4429" s="8" t="str">
        <f t="shared" si="520"/>
        <v>PEN</v>
      </c>
      <c r="N4429" s="13">
        <v>300.89999999999998</v>
      </c>
      <c r="O4429" s="3"/>
      <c r="P4429" s="3">
        <f t="shared" si="521"/>
        <v>0</v>
      </c>
      <c r="Q4429" s="3">
        <f t="shared" si="522"/>
        <v>0</v>
      </c>
      <c r="R4429" s="3">
        <f t="shared" si="523"/>
        <v>129.41999999997324</v>
      </c>
      <c r="S4429" s="24" t="s">
        <v>1334</v>
      </c>
      <c r="T4429" s="24" t="s">
        <v>1334</v>
      </c>
      <c r="U4429" s="55"/>
      <c r="V4429" s="25">
        <f>IFERROR(VLOOKUP(BCP_Soles[[#This Row],[destinatario]],CHOOSE({1,2},Clientes_Proveedores[Razon Social],Clientes_Proveedores[Ruc / Dni]),2,0),"")</f>
        <v>20603974817</v>
      </c>
      <c r="W4429" s="25"/>
      <c r="X4429" s="25"/>
      <c r="Y4429" s="25"/>
      <c r="Z4429" s="77"/>
      <c r="AA4429" s="3" t="str">
        <f>IF(BCP_Soles[[#This Row],[fecha]]&gt;0,TEXT(BCP_Soles[[#This Row],[fecha]],"mmmm"),0)</f>
        <v>Octubre</v>
      </c>
    </row>
    <row r="4430" spans="1:27" ht="24" x14ac:dyDescent="0.3">
      <c r="A4430" s="2">
        <f>IF(BCP_Soles[[#This Row],[tipo_registro]]="R",COUNTIFS($C$1:$C4429,"R")+1,A4429)</f>
        <v>2926</v>
      </c>
      <c r="B4430" s="19" t="str">
        <f t="shared" si="519"/>
        <v>B-BCP - Soles</v>
      </c>
      <c r="C4430" s="13" t="s">
        <v>1352</v>
      </c>
      <c r="D4430" s="14">
        <v>45958</v>
      </c>
      <c r="E4430" s="5" t="s">
        <v>2269</v>
      </c>
      <c r="F4430" s="5" t="s">
        <v>1336</v>
      </c>
      <c r="G4430" s="6" t="s">
        <v>1112</v>
      </c>
      <c r="H4430" s="6" t="s">
        <v>68</v>
      </c>
      <c r="I4430" s="198" t="s">
        <v>1376</v>
      </c>
      <c r="J4430" s="6">
        <v>55</v>
      </c>
      <c r="K4430" s="7" t="s">
        <v>4844</v>
      </c>
      <c r="L4430" s="8">
        <v>2610200</v>
      </c>
      <c r="M4430" s="8" t="str">
        <f t="shared" si="520"/>
        <v>PEN</v>
      </c>
      <c r="N4430" s="13">
        <v>1200</v>
      </c>
      <c r="O4430" s="3"/>
      <c r="P4430" s="3">
        <f t="shared" si="521"/>
        <v>0</v>
      </c>
      <c r="Q4430" s="3">
        <f t="shared" si="522"/>
        <v>0</v>
      </c>
      <c r="R4430" s="3">
        <f t="shared" si="523"/>
        <v>129.41999999997324</v>
      </c>
      <c r="S4430" s="24" t="s">
        <v>1334</v>
      </c>
      <c r="T4430" s="24" t="s">
        <v>1334</v>
      </c>
      <c r="U4430" s="55"/>
      <c r="V4430" s="25">
        <f>IFERROR(VLOOKUP(BCP_Soles[[#This Row],[destinatario]],CHOOSE({1,2},Clientes_Proveedores[Razon Social],Clientes_Proveedores[Ruc / Dni]),2,0),"")</f>
        <v>10295579221</v>
      </c>
      <c r="W4430" s="25"/>
      <c r="X4430" s="25"/>
      <c r="Y4430" s="25"/>
      <c r="Z4430" s="77"/>
      <c r="AA4430" s="3" t="str">
        <f>IF(BCP_Soles[[#This Row],[fecha]]&gt;0,TEXT(BCP_Soles[[#This Row],[fecha]],"mmmm"),0)</f>
        <v>Octubre</v>
      </c>
    </row>
    <row r="4431" spans="1:27" x14ac:dyDescent="0.3">
      <c r="A4431" s="2">
        <f>IF(BCP_Soles[[#This Row],[tipo_registro]]="R",COUNTIFS($C$1:$C4430,"R")+1,A4430)</f>
        <v>2926</v>
      </c>
      <c r="B4431" s="19" t="str">
        <f t="shared" si="519"/>
        <v>B-BCP - Soles</v>
      </c>
      <c r="C4431" s="13" t="s">
        <v>1352</v>
      </c>
      <c r="D4431" s="14">
        <v>45958</v>
      </c>
      <c r="E4431" s="5" t="s">
        <v>2269</v>
      </c>
      <c r="F4431" s="5" t="s">
        <v>1336</v>
      </c>
      <c r="G4431" s="6" t="s">
        <v>286</v>
      </c>
      <c r="H4431" s="6" t="s">
        <v>68</v>
      </c>
      <c r="I4431" s="198" t="s">
        <v>1386</v>
      </c>
      <c r="J4431" s="6">
        <v>1755</v>
      </c>
      <c r="K4431" s="7" t="s">
        <v>4844</v>
      </c>
      <c r="L4431" s="8">
        <v>2610200</v>
      </c>
      <c r="M4431" s="8" t="str">
        <f t="shared" si="520"/>
        <v>PEN</v>
      </c>
      <c r="N4431" s="13">
        <v>267</v>
      </c>
      <c r="O4431" s="3"/>
      <c r="P4431" s="3">
        <f t="shared" si="521"/>
        <v>0</v>
      </c>
      <c r="Q4431" s="3">
        <f t="shared" si="522"/>
        <v>0</v>
      </c>
      <c r="R4431" s="3">
        <f t="shared" si="523"/>
        <v>129.41999999997324</v>
      </c>
      <c r="S4431" s="24" t="s">
        <v>1334</v>
      </c>
      <c r="T4431" s="24" t="s">
        <v>1334</v>
      </c>
      <c r="U4431" s="55"/>
      <c r="V4431" s="25">
        <f>IFERROR(VLOOKUP(BCP_Soles[[#This Row],[destinatario]],CHOOSE({1,2},Clientes_Proveedores[Razon Social],Clientes_Proveedores[Ruc / Dni]),2,0),"")</f>
        <v>20454186002</v>
      </c>
      <c r="W4431" s="25"/>
      <c r="X4431" s="25"/>
      <c r="Y4431" s="25"/>
      <c r="Z4431" s="77"/>
      <c r="AA4431" s="3" t="str">
        <f>IF(BCP_Soles[[#This Row],[fecha]]&gt;0,TEXT(BCP_Soles[[#This Row],[fecha]],"mmmm"),0)</f>
        <v>Octubre</v>
      </c>
    </row>
    <row r="4432" spans="1:27" ht="24" x14ac:dyDescent="0.3">
      <c r="A4432" s="2">
        <f>IF(BCP_Soles[[#This Row],[tipo_registro]]="R",COUNTIFS($C$1:$C4431,"R")+1,A4431)</f>
        <v>2927</v>
      </c>
      <c r="B4432" s="19" t="str">
        <f t="shared" si="519"/>
        <v>B-BCP - Soles</v>
      </c>
      <c r="C4432" s="13" t="s">
        <v>1330</v>
      </c>
      <c r="D4432" s="14">
        <v>45958</v>
      </c>
      <c r="E4432" s="5" t="s">
        <v>1335</v>
      </c>
      <c r="F4432" s="5" t="s">
        <v>1336</v>
      </c>
      <c r="G4432" s="6" t="s">
        <v>1060</v>
      </c>
      <c r="H4432" s="6" t="s">
        <v>68</v>
      </c>
      <c r="I4432" s="198" t="s">
        <v>1397</v>
      </c>
      <c r="J4432" s="6">
        <v>38568890</v>
      </c>
      <c r="K4432" s="7" t="s">
        <v>4845</v>
      </c>
      <c r="L4432" s="8">
        <v>2610210</v>
      </c>
      <c r="M4432" s="8" t="str">
        <f t="shared" si="520"/>
        <v>PEN</v>
      </c>
      <c r="N4432" s="13"/>
      <c r="O4432" s="13">
        <v>2.5</v>
      </c>
      <c r="P4432" s="3">
        <f t="shared" si="521"/>
        <v>0</v>
      </c>
      <c r="Q4432" s="3">
        <f t="shared" si="522"/>
        <v>2.5</v>
      </c>
      <c r="R4432" s="3">
        <f t="shared" si="523"/>
        <v>126.91999999997324</v>
      </c>
      <c r="S4432" s="24" t="s">
        <v>1334</v>
      </c>
      <c r="T4432" s="24" t="s">
        <v>1334</v>
      </c>
      <c r="U4432" s="55"/>
      <c r="V4432" s="25">
        <f>IFERROR(VLOOKUP(BCP_Soles[[#This Row],[destinatario]],CHOOSE({1,2},Clientes_Proveedores[Razon Social],Clientes_Proveedores[Ruc / Dni]),2,0),"")</f>
        <v>20100047218</v>
      </c>
      <c r="W4432" s="25"/>
      <c r="X4432" s="25"/>
      <c r="Y4432" s="25"/>
      <c r="Z4432" s="77"/>
      <c r="AA4432" s="3" t="str">
        <f>IF(BCP_Soles[[#This Row],[fecha]]&gt;0,TEXT(BCP_Soles[[#This Row],[fecha]],"mmmm"),0)</f>
        <v>Octubre</v>
      </c>
    </row>
    <row r="4433" spans="1:27" x14ac:dyDescent="0.3">
      <c r="A4433" s="2">
        <f>IF(BCP_Soles[[#This Row],[tipo_registro]]="R",COUNTIFS($C$1:$C4432,"R")+1,A4432)</f>
        <v>2928</v>
      </c>
      <c r="B4433" s="19" t="str">
        <f t="shared" si="519"/>
        <v>B-BCP - Soles</v>
      </c>
      <c r="C4433" s="13" t="s">
        <v>1330</v>
      </c>
      <c r="D4433" s="14">
        <v>45958</v>
      </c>
      <c r="E4433" s="5" t="s">
        <v>1335</v>
      </c>
      <c r="F4433" s="5" t="s">
        <v>1336</v>
      </c>
      <c r="G4433" s="6"/>
      <c r="H4433" s="6"/>
      <c r="I4433" s="198"/>
      <c r="J4433" s="6"/>
      <c r="K4433" s="7" t="s">
        <v>3160</v>
      </c>
      <c r="L4433" s="8"/>
      <c r="M4433" s="8" t="str">
        <f t="shared" si="520"/>
        <v>PEN</v>
      </c>
      <c r="N4433" s="13"/>
      <c r="O4433" s="13">
        <v>0.4</v>
      </c>
      <c r="P4433" s="3">
        <f t="shared" si="521"/>
        <v>0</v>
      </c>
      <c r="Q4433" s="3">
        <f t="shared" si="522"/>
        <v>0.4</v>
      </c>
      <c r="R4433" s="3">
        <f t="shared" si="523"/>
        <v>126.51999999997324</v>
      </c>
      <c r="S4433" s="24"/>
      <c r="T4433" s="24"/>
      <c r="U4433" s="55"/>
      <c r="V4433" s="25" t="str">
        <f>IFERROR(VLOOKUP(BCP_Soles[[#This Row],[destinatario]],CHOOSE({1,2},Clientes_Proveedores[Razon Social],Clientes_Proveedores[Ruc / Dni]),2,0),"")</f>
        <v/>
      </c>
      <c r="W4433" s="25"/>
      <c r="X4433" s="25"/>
      <c r="Y4433" s="25"/>
      <c r="Z4433" s="77"/>
      <c r="AA4433" s="3" t="str">
        <f>IF(BCP_Soles[[#This Row],[fecha]]&gt;0,TEXT(BCP_Soles[[#This Row],[fecha]],"mmmm"),0)</f>
        <v>Octubre</v>
      </c>
    </row>
    <row r="4434" spans="1:27" x14ac:dyDescent="0.3">
      <c r="A4434" s="2">
        <f>IF(BCP_Soles[[#This Row],[tipo_registro]]="R",COUNTIFS($C$1:$C4433,"R")+1,A4433)</f>
        <v>2929</v>
      </c>
      <c r="B4434" s="19" t="str">
        <f t="shared" si="519"/>
        <v>B-BCP - Soles</v>
      </c>
      <c r="C4434" s="13" t="s">
        <v>1330</v>
      </c>
      <c r="D4434" s="14">
        <v>45959</v>
      </c>
      <c r="E4434" s="5" t="s">
        <v>346</v>
      </c>
      <c r="F4434" s="5" t="s">
        <v>1303</v>
      </c>
      <c r="G4434" s="6" t="s">
        <v>425</v>
      </c>
      <c r="H4434" s="6" t="s">
        <v>68</v>
      </c>
      <c r="I4434" s="198" t="s">
        <v>1784</v>
      </c>
      <c r="J4434" s="6">
        <v>280</v>
      </c>
      <c r="K4434" s="7" t="s">
        <v>4846</v>
      </c>
      <c r="L4434" s="8">
        <v>3017884</v>
      </c>
      <c r="M4434" s="8" t="str">
        <f t="shared" si="520"/>
        <v>PEN</v>
      </c>
      <c r="N4434" s="13"/>
      <c r="O4434" s="13">
        <v>824.21</v>
      </c>
      <c r="P4434" s="3">
        <f t="shared" si="521"/>
        <v>824.21</v>
      </c>
      <c r="Q4434" s="3">
        <f t="shared" si="522"/>
        <v>0</v>
      </c>
      <c r="R4434" s="3">
        <f t="shared" si="523"/>
        <v>950.7299999999733</v>
      </c>
      <c r="S4434" s="24" t="s">
        <v>1334</v>
      </c>
      <c r="T4434" s="24" t="s">
        <v>1334</v>
      </c>
      <c r="U4434" s="55"/>
      <c r="V4434" s="25">
        <f>IFERROR(VLOOKUP(BCP_Soles[[#This Row],[destinatario]],CHOOSE({1,2},Clientes_Proveedores[Razon Social],Clientes_Proveedores[Ruc / Dni]),2,0),"")</f>
        <v>20558226979</v>
      </c>
      <c r="W4434" s="25"/>
      <c r="X4434" s="25"/>
      <c r="Y4434" s="25"/>
      <c r="Z4434" s="77"/>
      <c r="AA4434" s="3" t="str">
        <f>IF(BCP_Soles[[#This Row],[fecha]]&gt;0,TEXT(BCP_Soles[[#This Row],[fecha]],"mmmm"),0)</f>
        <v>Octubre</v>
      </c>
    </row>
    <row r="4435" spans="1:27" ht="24" x14ac:dyDescent="0.3">
      <c r="A4435" s="2">
        <f>IF(BCP_Soles[[#This Row],[tipo_registro]]="R",COUNTIFS($C$1:$C4434,"R")+1,A4434)</f>
        <v>2930</v>
      </c>
      <c r="B4435" s="19" t="str">
        <f>"B-BCP - Soles"</f>
        <v>B-BCP - Soles</v>
      </c>
      <c r="C4435" s="13" t="s">
        <v>1330</v>
      </c>
      <c r="D4435" s="14">
        <v>45959</v>
      </c>
      <c r="E4435" s="5" t="s">
        <v>1875</v>
      </c>
      <c r="F4435" s="5" t="s">
        <v>1303</v>
      </c>
      <c r="G4435" s="6" t="s">
        <v>425</v>
      </c>
      <c r="H4435" s="6" t="s">
        <v>119</v>
      </c>
      <c r="I4435" s="6">
        <v>1</v>
      </c>
      <c r="J4435" s="6">
        <v>4872</v>
      </c>
      <c r="K4435" s="7" t="s">
        <v>4324</v>
      </c>
      <c r="L4435" s="8">
        <v>2514</v>
      </c>
      <c r="M4435" s="8" t="str">
        <f>"PEN"</f>
        <v>PEN</v>
      </c>
      <c r="N4435" s="13"/>
      <c r="O4435" s="13">
        <v>5330</v>
      </c>
      <c r="P4435" s="3">
        <f>+IF(OR($F4435="SALDO",$F4435="INGRESO"),$O4435,0)</f>
        <v>5330</v>
      </c>
      <c r="Q4435" s="3">
        <f>+IF($F4435="EGRESO",$O4435,0)</f>
        <v>0</v>
      </c>
      <c r="R4435" s="3">
        <f>IFERROR(IF(F4435="SALDO",P4435,R4434+P4435-Q4435),0)</f>
        <v>6280.7299999999732</v>
      </c>
      <c r="S4435" s="24" t="s">
        <v>1334</v>
      </c>
      <c r="T4435" s="24" t="s">
        <v>1334</v>
      </c>
      <c r="U4435" s="55"/>
      <c r="V4435" s="25">
        <f>IFERROR(VLOOKUP(BCP_Soles[[#This Row],[destinatario]],CHOOSE({1,2},Clientes_Proveedores[Razon Social],Clientes_Proveedores[Ruc / Dni]),2,0),"")</f>
        <v>20558226979</v>
      </c>
      <c r="W4435" s="25"/>
      <c r="X4435" s="25"/>
      <c r="Y4435" s="25"/>
      <c r="Z4435" s="77"/>
      <c r="AA4435" s="3" t="str">
        <f>IF(BCP_Soles[[#This Row],[fecha]]&gt;0,TEXT(BCP_Soles[[#This Row],[fecha]],"mmmm"),0)</f>
        <v>Octubre</v>
      </c>
    </row>
    <row r="4436" spans="1:27" x14ac:dyDescent="0.3">
      <c r="A4436" s="2">
        <f>IF(BCP_Soles[[#This Row],[tipo_registro]]="R",COUNTIFS($C$1:$C4435,"R")+1,A4435)</f>
        <v>2931</v>
      </c>
      <c r="B4436" s="19" t="str">
        <f>"B-BCP - Soles"</f>
        <v>B-BCP - Soles</v>
      </c>
      <c r="C4436" s="13" t="s">
        <v>1330</v>
      </c>
      <c r="D4436" s="14">
        <v>45959</v>
      </c>
      <c r="E4436" s="5"/>
      <c r="F4436" s="5" t="s">
        <v>1303</v>
      </c>
      <c r="G4436" s="6" t="s">
        <v>425</v>
      </c>
      <c r="H4436" s="6"/>
      <c r="I4436" s="198"/>
      <c r="J4436" s="6"/>
      <c r="K4436" s="7" t="s">
        <v>3608</v>
      </c>
      <c r="L4436" s="8">
        <v>3434722</v>
      </c>
      <c r="M4436" s="8" t="str">
        <f>"PEN"</f>
        <v>PEN</v>
      </c>
      <c r="N4436" s="13"/>
      <c r="O4436" s="13">
        <v>1938.35</v>
      </c>
      <c r="P4436" s="3">
        <f>+IF(OR($F4436="SALDO",$F4436="INGRESO"),$O4436,0)</f>
        <v>1938.35</v>
      </c>
      <c r="Q4436" s="3">
        <f>+IF($F4436="EGRESO",$O4436,0)</f>
        <v>0</v>
      </c>
      <c r="R4436" s="3">
        <f t="shared" ref="R4436:R4440" si="524">IFERROR(IF(F4436="SALDO",P4436,R4435+P4436-Q4436),0)</f>
        <v>8219.0799999999726</v>
      </c>
      <c r="S4436" s="24" t="s">
        <v>1334</v>
      </c>
      <c r="T4436" s="24" t="s">
        <v>1334</v>
      </c>
      <c r="U4436" s="55"/>
      <c r="V4436" s="25">
        <f>IFERROR(VLOOKUP(BCP_Soles[[#This Row],[destinatario]],CHOOSE({1,2},Clientes_Proveedores[Razon Social],Clientes_Proveedores[Ruc / Dni]),2,0),"")</f>
        <v>20558226979</v>
      </c>
      <c r="W4436" s="25"/>
      <c r="X4436" s="25"/>
      <c r="Y4436" s="25"/>
      <c r="Z4436" s="77"/>
      <c r="AA4436" s="3" t="str">
        <f>IF(BCP_Soles[[#This Row],[fecha]]&gt;0,TEXT(BCP_Soles[[#This Row],[fecha]],"mmmm"),0)</f>
        <v>Octubre</v>
      </c>
    </row>
    <row r="4437" spans="1:27" ht="24" x14ac:dyDescent="0.3">
      <c r="A4437" s="2">
        <f>IF(BCP_Soles[[#This Row],[tipo_registro]]="R",COUNTIFS($C$1:$C4436,"R")+1,A4436)</f>
        <v>2931</v>
      </c>
      <c r="B4437" s="19" t="str">
        <f>"B-BCP - Soles"</f>
        <v>B-BCP - Soles</v>
      </c>
      <c r="C4437" s="13" t="s">
        <v>1352</v>
      </c>
      <c r="D4437" s="14">
        <v>45959</v>
      </c>
      <c r="E4437" s="5" t="s">
        <v>1825</v>
      </c>
      <c r="F4437" s="5" t="s">
        <v>1303</v>
      </c>
      <c r="G4437" s="6" t="s">
        <v>425</v>
      </c>
      <c r="H4437" s="6" t="s">
        <v>119</v>
      </c>
      <c r="I4437" s="6">
        <v>1</v>
      </c>
      <c r="J4437" s="6">
        <v>4874</v>
      </c>
      <c r="K4437" s="7" t="s">
        <v>3608</v>
      </c>
      <c r="L4437" s="8">
        <v>3434722</v>
      </c>
      <c r="M4437" s="8" t="str">
        <f>"PEN"</f>
        <v>PEN</v>
      </c>
      <c r="N4437" s="13">
        <v>1303.2</v>
      </c>
      <c r="O4437" s="13"/>
      <c r="P4437" s="3">
        <f>+IF(OR($F4437="SALDO",$F4437="INGRESO"),$O4437,0)</f>
        <v>0</v>
      </c>
      <c r="Q4437" s="3">
        <f>+IF($F4437="EGRESO",$O4437,0)</f>
        <v>0</v>
      </c>
      <c r="R4437" s="3">
        <f>IFERROR(IF(F4437="SALDO",P4437,R4436+P4437-Q4437),0)</f>
        <v>8219.0799999999726</v>
      </c>
      <c r="S4437" s="24" t="s">
        <v>1334</v>
      </c>
      <c r="T4437" s="24" t="s">
        <v>1334</v>
      </c>
      <c r="U4437" s="55"/>
      <c r="V4437" s="25">
        <f>IFERROR(VLOOKUP(BCP_Soles[[#This Row],[destinatario]],CHOOSE({1,2},Clientes_Proveedores[Razon Social],Clientes_Proveedores[Ruc / Dni]),2,0),"")</f>
        <v>20558226979</v>
      </c>
      <c r="W4437" s="25"/>
      <c r="X4437" s="25"/>
      <c r="Y4437" s="25"/>
      <c r="Z4437" s="77"/>
      <c r="AA4437" s="3" t="str">
        <f>IF(BCP_Soles[[#This Row],[fecha]]&gt;0,TEXT(BCP_Soles[[#This Row],[fecha]],"mmmm"),0)</f>
        <v>Octubre</v>
      </c>
    </row>
    <row r="4438" spans="1:27" ht="24" x14ac:dyDescent="0.3">
      <c r="A4438" s="2">
        <f>IF(BCP_Soles[[#This Row],[tipo_registro]]="R",COUNTIFS($C$1:$C4437,"R")+1,A4437)</f>
        <v>2931</v>
      </c>
      <c r="B4438" s="19" t="str">
        <f>"B-BCP - Soles"</f>
        <v>B-BCP - Soles</v>
      </c>
      <c r="C4438" s="13" t="s">
        <v>1352</v>
      </c>
      <c r="D4438" s="14">
        <v>45959</v>
      </c>
      <c r="E4438" s="5" t="s">
        <v>1875</v>
      </c>
      <c r="F4438" s="5" t="s">
        <v>1303</v>
      </c>
      <c r="G4438" s="6" t="s">
        <v>425</v>
      </c>
      <c r="H4438" s="6" t="s">
        <v>119</v>
      </c>
      <c r="I4438" s="6">
        <v>1</v>
      </c>
      <c r="J4438" s="6">
        <v>4873</v>
      </c>
      <c r="K4438" s="7" t="s">
        <v>3608</v>
      </c>
      <c r="L4438" s="8">
        <v>3434722</v>
      </c>
      <c r="M4438" s="8" t="str">
        <f>"PEN"</f>
        <v>PEN</v>
      </c>
      <c r="N4438" s="13">
        <v>635.15</v>
      </c>
      <c r="O4438" s="13"/>
      <c r="P4438" s="3">
        <f>+IF(OR($F4438="SALDO",$F4438="INGRESO"),$O4438,0)</f>
        <v>0</v>
      </c>
      <c r="Q4438" s="3">
        <f>+IF($F4438="EGRESO",$O4438,0)</f>
        <v>0</v>
      </c>
      <c r="R4438" s="3">
        <f t="shared" ref="R4438:R4439" si="525">IFERROR(IF(F4438="SALDO",P4438,R4437+P4438-Q4438),0)</f>
        <v>8219.0799999999726</v>
      </c>
      <c r="S4438" s="24" t="s">
        <v>1334</v>
      </c>
      <c r="T4438" s="24" t="s">
        <v>1334</v>
      </c>
      <c r="U4438" s="55"/>
      <c r="V4438" s="25">
        <f>IFERROR(VLOOKUP(BCP_Soles[[#This Row],[destinatario]],CHOOSE({1,2},Clientes_Proveedores[Razon Social],Clientes_Proveedores[Ruc / Dni]),2,0),"")</f>
        <v>20558226979</v>
      </c>
      <c r="W4438" s="25"/>
      <c r="X4438" s="25"/>
      <c r="Y4438" s="25"/>
      <c r="Z4438" s="77"/>
      <c r="AA4438" s="3" t="str">
        <f>IF(BCP_Soles[[#This Row],[fecha]]&gt;0,TEXT(BCP_Soles[[#This Row],[fecha]],"mmmm"),0)</f>
        <v>Octubre</v>
      </c>
    </row>
    <row r="4439" spans="1:27" ht="24" x14ac:dyDescent="0.3">
      <c r="A4439" s="2">
        <f>IF(BCP_Soles[[#This Row],[tipo_registro]]="R",COUNTIFS($C$1:$C4438,"R")+1,A4438)</f>
        <v>2932</v>
      </c>
      <c r="B4439" s="19" t="str">
        <f>"B-BCP - Soles"</f>
        <v>B-BCP - Soles</v>
      </c>
      <c r="C4439" s="13" t="s">
        <v>1330</v>
      </c>
      <c r="D4439" s="14">
        <v>45959</v>
      </c>
      <c r="E4439" s="5" t="s">
        <v>274</v>
      </c>
      <c r="F4439" s="5" t="s">
        <v>1303</v>
      </c>
      <c r="G4439" s="6" t="s">
        <v>425</v>
      </c>
      <c r="H4439" s="6" t="s">
        <v>68</v>
      </c>
      <c r="I4439" s="198" t="s">
        <v>3302</v>
      </c>
      <c r="J4439" s="6">
        <v>150</v>
      </c>
      <c r="K4439" s="7" t="s">
        <v>4249</v>
      </c>
      <c r="L4439" s="8">
        <v>2255882</v>
      </c>
      <c r="M4439" s="8" t="str">
        <f>"PEN"</f>
        <v>PEN</v>
      </c>
      <c r="N4439" s="13"/>
      <c r="O4439" s="13">
        <v>822.6</v>
      </c>
      <c r="P4439" s="3">
        <f>+IF(OR($F4439="SALDO",$F4439="INGRESO"),$O4439,0)</f>
        <v>822.6</v>
      </c>
      <c r="Q4439" s="3">
        <f>+IF($F4439="EGRESO",$O4439,0)</f>
        <v>0</v>
      </c>
      <c r="R4439" s="3">
        <f t="shared" si="525"/>
        <v>9041.679999999973</v>
      </c>
      <c r="S4439" s="24" t="s">
        <v>1334</v>
      </c>
      <c r="T4439" s="24" t="s">
        <v>1334</v>
      </c>
      <c r="U4439" s="55"/>
      <c r="V4439" s="25">
        <f>IFERROR(VLOOKUP(BCP_Soles[[#This Row],[destinatario]],CHOOSE({1,2},Clientes_Proveedores[Razon Social],Clientes_Proveedores[Ruc / Dni]),2,0),"")</f>
        <v>20558226979</v>
      </c>
      <c r="W4439" s="25"/>
      <c r="X4439" s="25"/>
      <c r="Y4439" s="25"/>
      <c r="Z4439" s="77"/>
      <c r="AA4439" s="3" t="str">
        <f>IF(BCP_Soles[[#This Row],[fecha]]&gt;0,TEXT(BCP_Soles[[#This Row],[fecha]],"mmmm"),0)</f>
        <v>Octubre</v>
      </c>
    </row>
    <row r="4440" spans="1:27" ht="24" x14ac:dyDescent="0.3">
      <c r="A4440" s="2">
        <f>IF(BCP_Soles[[#This Row],[tipo_registro]]="R",COUNTIFS($C$1:$C4439,"R")+1,A4439)</f>
        <v>2933</v>
      </c>
      <c r="B4440" s="19" t="str">
        <f t="shared" si="519"/>
        <v>B-BCP - Soles</v>
      </c>
      <c r="C4440" s="13" t="s">
        <v>1330</v>
      </c>
      <c r="D4440" s="14">
        <v>45959</v>
      </c>
      <c r="E4440" s="5" t="s">
        <v>2269</v>
      </c>
      <c r="F4440" s="5" t="s">
        <v>1336</v>
      </c>
      <c r="G4440" s="6" t="s">
        <v>970</v>
      </c>
      <c r="H4440" s="6" t="s">
        <v>68</v>
      </c>
      <c r="I4440" s="198" t="s">
        <v>1376</v>
      </c>
      <c r="J4440" s="6">
        <v>1889</v>
      </c>
      <c r="K4440" s="7" t="s">
        <v>4847</v>
      </c>
      <c r="L4440" s="8">
        <v>1226699</v>
      </c>
      <c r="M4440" s="8" t="str">
        <f t="shared" si="520"/>
        <v>PEN</v>
      </c>
      <c r="N4440" s="13"/>
      <c r="O4440" s="13">
        <v>90</v>
      </c>
      <c r="P4440" s="3">
        <f t="shared" si="521"/>
        <v>0</v>
      </c>
      <c r="Q4440" s="3">
        <f t="shared" si="522"/>
        <v>90</v>
      </c>
      <c r="R4440" s="3">
        <f t="shared" si="524"/>
        <v>8951.679999999973</v>
      </c>
      <c r="S4440" s="24"/>
      <c r="T4440" s="24"/>
      <c r="U4440" s="55"/>
      <c r="V4440" s="25">
        <f>IFERROR(VLOOKUP(BCP_Soles[[#This Row],[destinatario]],CHOOSE({1,2},Clientes_Proveedores[Razon Social],Clientes_Proveedores[Ruc / Dni]),2,0),"")</f>
        <v>10297207330</v>
      </c>
      <c r="W4440" s="25"/>
      <c r="X4440" s="25"/>
      <c r="Y4440" s="25"/>
      <c r="Z4440" s="77"/>
      <c r="AA4440" s="3" t="str">
        <f>IF(BCP_Soles[[#This Row],[fecha]]&gt;0,TEXT(BCP_Soles[[#This Row],[fecha]],"mmmm"),0)</f>
        <v>Octubre</v>
      </c>
    </row>
    <row r="4441" spans="1:27" ht="24" x14ac:dyDescent="0.3">
      <c r="A4441" s="2">
        <f>IF(BCP_Soles[[#This Row],[tipo_registro]]="R",COUNTIFS($C$1:$C4440,"R")+1,A4440)</f>
        <v>2934</v>
      </c>
      <c r="B4441" s="19" t="str">
        <f t="shared" si="519"/>
        <v>B-BCP - Soles</v>
      </c>
      <c r="C4441" s="3" t="s">
        <v>1330</v>
      </c>
      <c r="D4441" s="14">
        <v>45959</v>
      </c>
      <c r="E4441" s="5" t="s">
        <v>2269</v>
      </c>
      <c r="F4441" s="5" t="s">
        <v>1336</v>
      </c>
      <c r="G4441" s="6" t="s">
        <v>993</v>
      </c>
      <c r="H4441" s="6" t="s">
        <v>143</v>
      </c>
      <c r="I4441" s="6">
        <v>1</v>
      </c>
      <c r="J4441" s="6">
        <v>852025</v>
      </c>
      <c r="K4441" s="7" t="s">
        <v>4808</v>
      </c>
      <c r="L4441" s="8">
        <v>1225744</v>
      </c>
      <c r="M4441" s="8" t="str">
        <f t="shared" si="520"/>
        <v>PEN</v>
      </c>
      <c r="N4441" s="13"/>
      <c r="O4441" s="13">
        <v>97.5</v>
      </c>
      <c r="P4441" s="3">
        <f t="shared" si="521"/>
        <v>0</v>
      </c>
      <c r="Q4441" s="3">
        <f t="shared" si="522"/>
        <v>97.5</v>
      </c>
      <c r="R4441" s="3">
        <f t="shared" si="523"/>
        <v>8854.179999999973</v>
      </c>
      <c r="S4441" s="24"/>
      <c r="T4441" s="24"/>
      <c r="U4441" s="55"/>
      <c r="V4441" s="25">
        <f>IFERROR(VLOOKUP(BCP_Soles[[#This Row],[destinatario]],CHOOSE({1,2},Clientes_Proveedores[Razon Social],Clientes_Proveedores[Ruc / Dni]),2,0),"")</f>
        <v>76390500</v>
      </c>
      <c r="W4441" s="25"/>
      <c r="X4441" s="25"/>
      <c r="Y4441" s="25"/>
      <c r="Z4441" s="77"/>
      <c r="AA4441" s="3" t="str">
        <f>IF(BCP_Soles[[#This Row],[fecha]]&gt;0,TEXT(BCP_Soles[[#This Row],[fecha]],"mmmm"),0)</f>
        <v>Octubre</v>
      </c>
    </row>
    <row r="4442" spans="1:27" ht="24" x14ac:dyDescent="0.3">
      <c r="A4442" s="2">
        <f>IF(BCP_Soles[[#This Row],[tipo_registro]]="R",COUNTIFS($C$1:$C4441,"R")+1,A4441)</f>
        <v>2935</v>
      </c>
      <c r="B4442" s="19" t="str">
        <f t="shared" si="519"/>
        <v>B-BCP - Soles</v>
      </c>
      <c r="C4442" s="3" t="s">
        <v>1330</v>
      </c>
      <c r="D4442" s="14">
        <v>45959</v>
      </c>
      <c r="E4442" s="5" t="s">
        <v>2269</v>
      </c>
      <c r="F4442" s="5" t="s">
        <v>1336</v>
      </c>
      <c r="G4442" s="6" t="s">
        <v>708</v>
      </c>
      <c r="H4442" s="6"/>
      <c r="I4442" s="198"/>
      <c r="J4442" s="6"/>
      <c r="K4442" s="7" t="s">
        <v>4848</v>
      </c>
      <c r="L4442" s="8">
        <v>224281</v>
      </c>
      <c r="M4442" s="8" t="str">
        <f t="shared" si="520"/>
        <v>PEN</v>
      </c>
      <c r="N4442" s="13"/>
      <c r="O4442" s="13">
        <v>38.94</v>
      </c>
      <c r="P4442" s="3">
        <f t="shared" si="521"/>
        <v>0</v>
      </c>
      <c r="Q4442" s="3">
        <f t="shared" si="522"/>
        <v>38.94</v>
      </c>
      <c r="R4442" s="3">
        <f t="shared" si="523"/>
        <v>8815.2399999999725</v>
      </c>
      <c r="S4442" s="24"/>
      <c r="T4442" s="24"/>
      <c r="U4442" s="55"/>
      <c r="V4442" s="25">
        <f>IFERROR(VLOOKUP(BCP_Soles[[#This Row],[destinatario]],CHOOSE({1,2},Clientes_Proveedores[Razon Social],Clientes_Proveedores[Ruc / Dni]),2,0),"")</f>
        <v>20467534026</v>
      </c>
      <c r="W4442" s="25"/>
      <c r="X4442" s="25"/>
      <c r="Y4442" s="25"/>
      <c r="Z4442" s="77"/>
      <c r="AA4442" s="3" t="str">
        <f>IF(BCP_Soles[[#This Row],[fecha]]&gt;0,TEXT(BCP_Soles[[#This Row],[fecha]],"mmmm"),0)</f>
        <v>Octubre</v>
      </c>
    </row>
    <row r="4443" spans="1:27" x14ac:dyDescent="0.3">
      <c r="A4443" s="2">
        <f>IF(BCP_Soles[[#This Row],[tipo_registro]]="R",COUNTIFS($C$1:$C4442,"R")+1,A4442)</f>
        <v>2936</v>
      </c>
      <c r="B4443" s="19" t="str">
        <f t="shared" ref="B4443:B4475" si="526">"B-BCP - Soles"</f>
        <v>B-BCP - Soles</v>
      </c>
      <c r="C4443" s="3" t="s">
        <v>1330</v>
      </c>
      <c r="D4443" s="14">
        <v>45959</v>
      </c>
      <c r="E4443" s="5"/>
      <c r="F4443" s="5" t="s">
        <v>1336</v>
      </c>
      <c r="G4443" s="6"/>
      <c r="H4443" s="6"/>
      <c r="I4443" s="198"/>
      <c r="J4443" s="6"/>
      <c r="K4443" s="7" t="s">
        <v>3160</v>
      </c>
      <c r="L4443" s="8"/>
      <c r="M4443" s="8" t="str">
        <f t="shared" ref="M4443:M4473" si="527">"PEN"</f>
        <v>PEN</v>
      </c>
      <c r="N4443" s="13"/>
      <c r="O4443" s="13">
        <v>0.3</v>
      </c>
      <c r="P4443" s="3">
        <f t="shared" ref="P4443:P4475" si="528">+IF(OR($F4443="SALDO",$F4443="INGRESO"),$O4443,0)</f>
        <v>0</v>
      </c>
      <c r="Q4443" s="3">
        <f t="shared" ref="Q4443:Q4475" si="529">+IF($F4443="EGRESO",$O4443,0)</f>
        <v>0.3</v>
      </c>
      <c r="R4443" s="3">
        <f t="shared" ref="R4443:R4451" si="530">IFERROR(IF(F4443="SALDO",P4443,R4442+P4443-Q4443),0)</f>
        <v>8814.9399999999732</v>
      </c>
      <c r="S4443" s="24"/>
      <c r="T4443" s="24"/>
      <c r="U4443" s="55"/>
      <c r="V4443" s="25" t="str">
        <f>IFERROR(VLOOKUP(BCP_Soles[[#This Row],[destinatario]],CHOOSE({1,2},Clientes_Proveedores[Razon Social],Clientes_Proveedores[Ruc / Dni]),2,0),"")</f>
        <v/>
      </c>
      <c r="W4443" s="25"/>
      <c r="X4443" s="25"/>
      <c r="Y4443" s="25"/>
      <c r="Z4443" s="77"/>
      <c r="AA4443" s="3" t="str">
        <f>IF(BCP_Soles[[#This Row],[fecha]]&gt;0,TEXT(BCP_Soles[[#This Row],[fecha]],"mmmm"),0)</f>
        <v>Octubre</v>
      </c>
    </row>
    <row r="4444" spans="1:27" ht="36" x14ac:dyDescent="0.3">
      <c r="A4444" s="2">
        <f>IF(BCP_Soles[[#This Row],[tipo_registro]]="R",COUNTIFS($C$1:$C4443,"R")+1,A4443)</f>
        <v>2937</v>
      </c>
      <c r="B4444" s="19" t="str">
        <f t="shared" si="526"/>
        <v>B-BCP - Soles</v>
      </c>
      <c r="C4444" s="3" t="s">
        <v>1330</v>
      </c>
      <c r="D4444" s="14">
        <v>45960</v>
      </c>
      <c r="E4444" s="5" t="s">
        <v>261</v>
      </c>
      <c r="F4444" s="5" t="s">
        <v>1303</v>
      </c>
      <c r="G4444" s="6" t="s">
        <v>425</v>
      </c>
      <c r="H4444" s="6" t="s">
        <v>68</v>
      </c>
      <c r="I4444" s="198" t="s">
        <v>3302</v>
      </c>
      <c r="J4444" s="6">
        <v>161</v>
      </c>
      <c r="K4444" s="7" t="s">
        <v>4849</v>
      </c>
      <c r="L4444" s="8">
        <v>3880823</v>
      </c>
      <c r="M4444" s="8" t="str">
        <f t="shared" si="527"/>
        <v>PEN</v>
      </c>
      <c r="N4444" s="13"/>
      <c r="O4444" s="13">
        <v>18307.599999999999</v>
      </c>
      <c r="P4444" s="3">
        <f t="shared" si="528"/>
        <v>18307.599999999999</v>
      </c>
      <c r="Q4444" s="3">
        <f t="shared" si="529"/>
        <v>0</v>
      </c>
      <c r="R4444" s="3">
        <f t="shared" si="530"/>
        <v>27122.539999999972</v>
      </c>
      <c r="S4444" s="24" t="s">
        <v>1334</v>
      </c>
      <c r="T4444" s="24" t="s">
        <v>1334</v>
      </c>
      <c r="U4444" s="55"/>
      <c r="V4444" s="25">
        <f>IFERROR(VLOOKUP(BCP_Soles[[#This Row],[destinatario]],CHOOSE({1,2},Clientes_Proveedores[Razon Social],Clientes_Proveedores[Ruc / Dni]),2,0),"")</f>
        <v>20558226979</v>
      </c>
      <c r="W4444" s="25"/>
      <c r="X4444" s="25"/>
      <c r="Y4444" s="25"/>
      <c r="Z4444" s="77"/>
      <c r="AA4444" s="3" t="str">
        <f>IF(BCP_Soles[[#This Row],[fecha]]&gt;0,TEXT(BCP_Soles[[#This Row],[fecha]],"mmmm"),0)</f>
        <v>Octubre</v>
      </c>
    </row>
    <row r="4445" spans="1:27" ht="24" x14ac:dyDescent="0.3">
      <c r="A4445" s="2">
        <f>IF(BCP_Soles[[#This Row],[tipo_registro]]="R",COUNTIFS($C$1:$C4444,"R")+1,A4444)</f>
        <v>2938</v>
      </c>
      <c r="B4445" s="19" t="str">
        <f t="shared" si="526"/>
        <v>B-BCP - Soles</v>
      </c>
      <c r="C4445" s="3" t="s">
        <v>1330</v>
      </c>
      <c r="D4445" s="14">
        <v>45960</v>
      </c>
      <c r="E4445" s="5" t="s">
        <v>2269</v>
      </c>
      <c r="F4445" s="5" t="s">
        <v>1336</v>
      </c>
      <c r="G4445" s="6" t="s">
        <v>1287</v>
      </c>
      <c r="H4445" s="6" t="s">
        <v>68</v>
      </c>
      <c r="I4445" s="198" t="s">
        <v>1376</v>
      </c>
      <c r="J4445" s="6">
        <v>160</v>
      </c>
      <c r="K4445" s="7" t="s">
        <v>4850</v>
      </c>
      <c r="L4445" s="8">
        <v>1175559</v>
      </c>
      <c r="M4445" s="8" t="str">
        <f t="shared" si="527"/>
        <v>PEN</v>
      </c>
      <c r="N4445" s="13"/>
      <c r="O4445" s="13">
        <v>1344.01</v>
      </c>
      <c r="P4445" s="3">
        <f t="shared" si="528"/>
        <v>0</v>
      </c>
      <c r="Q4445" s="3">
        <f t="shared" si="529"/>
        <v>1344.01</v>
      </c>
      <c r="R4445" s="3">
        <f t="shared" si="530"/>
        <v>25778.529999999973</v>
      </c>
      <c r="S4445" s="24" t="s">
        <v>1334</v>
      </c>
      <c r="T4445" s="24" t="s">
        <v>1334</v>
      </c>
      <c r="U4445" s="55"/>
      <c r="V4445" s="25">
        <f>IFERROR(VLOOKUP(BCP_Soles[[#This Row],[destinatario]],CHOOSE({1,2},Clientes_Proveedores[Razon Social],Clientes_Proveedores[Ruc / Dni]),2,0),"")</f>
        <v>10485507120</v>
      </c>
      <c r="W4445" s="25"/>
      <c r="X4445" s="25"/>
      <c r="Y4445" s="25"/>
      <c r="Z4445" s="77"/>
      <c r="AA4445" s="3" t="str">
        <f>IF(BCP_Soles[[#This Row],[fecha]]&gt;0,TEXT(BCP_Soles[[#This Row],[fecha]],"mmmm"),0)</f>
        <v>Octubre</v>
      </c>
    </row>
    <row r="4446" spans="1:27" ht="24" x14ac:dyDescent="0.3">
      <c r="A4446" s="2">
        <f>IF(BCP_Soles[[#This Row],[tipo_registro]]="R",COUNTIFS($C$1:$C4445,"R")+1,A4445)</f>
        <v>2939</v>
      </c>
      <c r="B4446" s="19" t="str">
        <f t="shared" si="526"/>
        <v>B-BCP - Soles</v>
      </c>
      <c r="C4446" s="3" t="s">
        <v>1330</v>
      </c>
      <c r="D4446" s="14">
        <v>45960</v>
      </c>
      <c r="E4446" s="5" t="s">
        <v>2269</v>
      </c>
      <c r="F4446" s="5" t="s">
        <v>1336</v>
      </c>
      <c r="G4446" s="6" t="s">
        <v>993</v>
      </c>
      <c r="H4446" s="6" t="s">
        <v>143</v>
      </c>
      <c r="I4446" s="6">
        <v>1</v>
      </c>
      <c r="J4446" s="6">
        <v>932025</v>
      </c>
      <c r="K4446" s="7" t="s">
        <v>4851</v>
      </c>
      <c r="L4446" s="8">
        <v>1263811</v>
      </c>
      <c r="M4446" s="8" t="str">
        <f t="shared" si="527"/>
        <v>PEN</v>
      </c>
      <c r="N4446" s="13"/>
      <c r="O4446" s="13">
        <v>393</v>
      </c>
      <c r="P4446" s="3">
        <f t="shared" si="528"/>
        <v>0</v>
      </c>
      <c r="Q4446" s="3">
        <f t="shared" si="529"/>
        <v>393</v>
      </c>
      <c r="R4446" s="3">
        <f t="shared" si="530"/>
        <v>25385.529999999973</v>
      </c>
      <c r="S4446" s="24"/>
      <c r="T4446" s="24"/>
      <c r="U4446" s="55"/>
      <c r="V4446" s="25">
        <f>IFERROR(VLOOKUP(BCP_Soles[[#This Row],[destinatario]],CHOOSE({1,2},Clientes_Proveedores[Razon Social],Clientes_Proveedores[Ruc / Dni]),2,0),"")</f>
        <v>76390500</v>
      </c>
      <c r="W4446" s="25"/>
      <c r="X4446" s="25"/>
      <c r="Y4446" s="25"/>
      <c r="Z4446" s="77"/>
      <c r="AA4446" s="3" t="str">
        <f>IF(BCP_Soles[[#This Row],[fecha]]&gt;0,TEXT(BCP_Soles[[#This Row],[fecha]],"mmmm"),0)</f>
        <v>Octubre</v>
      </c>
    </row>
    <row r="4447" spans="1:27" x14ac:dyDescent="0.3">
      <c r="A4447" s="2">
        <f>IF(BCP_Soles[[#This Row],[tipo_registro]]="R",COUNTIFS($C$1:$C4446,"R")+1,A4446)</f>
        <v>2940</v>
      </c>
      <c r="B4447" s="19" t="str">
        <f t="shared" si="526"/>
        <v>B-BCP - Soles</v>
      </c>
      <c r="C4447" s="3" t="s">
        <v>1330</v>
      </c>
      <c r="D4447" s="14">
        <v>45960</v>
      </c>
      <c r="E4447" s="5" t="s">
        <v>3190</v>
      </c>
      <c r="F4447" s="5" t="s">
        <v>1336</v>
      </c>
      <c r="G4447" s="6"/>
      <c r="H4447" s="6"/>
      <c r="I4447" s="198"/>
      <c r="J4447" s="6"/>
      <c r="K4447" s="7" t="s">
        <v>4852</v>
      </c>
      <c r="L4447" s="8">
        <v>1006008</v>
      </c>
      <c r="M4447" s="8" t="str">
        <f t="shared" si="527"/>
        <v>PEN</v>
      </c>
      <c r="N4447" s="13"/>
      <c r="O4447" s="13">
        <v>59</v>
      </c>
      <c r="P4447" s="3">
        <f t="shared" si="528"/>
        <v>0</v>
      </c>
      <c r="Q4447" s="3">
        <f t="shared" si="529"/>
        <v>59</v>
      </c>
      <c r="R4447" s="3">
        <f t="shared" si="530"/>
        <v>25326.529999999973</v>
      </c>
      <c r="S4447" s="24"/>
      <c r="T4447" s="24"/>
      <c r="U4447" s="55"/>
      <c r="V4447" s="25" t="str">
        <f>IFERROR(VLOOKUP(BCP_Soles[[#This Row],[destinatario]],CHOOSE({1,2},Clientes_Proveedores[Razon Social],Clientes_Proveedores[Ruc / Dni]),2,0),"")</f>
        <v/>
      </c>
      <c r="W4447" s="25"/>
      <c r="X4447" s="25"/>
      <c r="Y4447" s="25"/>
      <c r="Z4447" s="77"/>
      <c r="AA4447" s="3" t="str">
        <f>IF(BCP_Soles[[#This Row],[fecha]]&gt;0,TEXT(BCP_Soles[[#This Row],[fecha]],"mmmm"),0)</f>
        <v>Octubre</v>
      </c>
    </row>
    <row r="4448" spans="1:27" ht="24" x14ac:dyDescent="0.3">
      <c r="A4448" s="2">
        <f>IF(BCP_Soles[[#This Row],[tipo_registro]]="R",COUNTIFS($C$1:$C4447,"R")+1,A4447)</f>
        <v>2941</v>
      </c>
      <c r="B4448" s="19" t="str">
        <f t="shared" si="526"/>
        <v>B-BCP - Soles</v>
      </c>
      <c r="C4448" s="3" t="s">
        <v>1330</v>
      </c>
      <c r="D4448" s="14">
        <v>45960</v>
      </c>
      <c r="E4448" s="5" t="s">
        <v>1335</v>
      </c>
      <c r="F4448" s="5" t="s">
        <v>1336</v>
      </c>
      <c r="G4448" s="6" t="s">
        <v>1060</v>
      </c>
      <c r="H4448" s="6" t="s">
        <v>68</v>
      </c>
      <c r="I4448" s="198" t="s">
        <v>1397</v>
      </c>
      <c r="J4448" s="6">
        <v>38609343</v>
      </c>
      <c r="K4448" s="7" t="s">
        <v>4230</v>
      </c>
      <c r="L4448" s="8">
        <v>582</v>
      </c>
      <c r="M4448" s="8" t="str">
        <f t="shared" si="527"/>
        <v>PEN</v>
      </c>
      <c r="N4448" s="13"/>
      <c r="O4448" s="13">
        <v>3.5</v>
      </c>
      <c r="P4448" s="3">
        <f t="shared" si="528"/>
        <v>0</v>
      </c>
      <c r="Q4448" s="3">
        <f t="shared" si="529"/>
        <v>3.5</v>
      </c>
      <c r="R4448" s="3">
        <f t="shared" si="530"/>
        <v>25323.029999999973</v>
      </c>
      <c r="S4448" s="24" t="s">
        <v>1334</v>
      </c>
      <c r="T4448" s="24" t="s">
        <v>1334</v>
      </c>
      <c r="U4448" s="55"/>
      <c r="V4448" s="25">
        <f>IFERROR(VLOOKUP(BCP_Soles[[#This Row],[destinatario]],CHOOSE({1,2},Clientes_Proveedores[Razon Social],Clientes_Proveedores[Ruc / Dni]),2,0),"")</f>
        <v>20100047218</v>
      </c>
      <c r="W4448" s="25"/>
      <c r="X4448" s="25"/>
      <c r="Y4448" s="25"/>
      <c r="Z4448" s="77"/>
      <c r="AA4448" s="3" t="str">
        <f>IF(BCP_Soles[[#This Row],[fecha]]&gt;0,TEXT(BCP_Soles[[#This Row],[fecha]],"mmmm"),0)</f>
        <v>Octubre</v>
      </c>
    </row>
    <row r="4449" spans="1:27" x14ac:dyDescent="0.3">
      <c r="A4449" s="2">
        <f>IF(BCP_Soles[[#This Row],[tipo_registro]]="R",COUNTIFS($C$1:$C4448,"R")+1,A4448)</f>
        <v>2942</v>
      </c>
      <c r="B4449" s="19" t="str">
        <f t="shared" si="526"/>
        <v>B-BCP - Soles</v>
      </c>
      <c r="C4449" s="3" t="s">
        <v>1330</v>
      </c>
      <c r="D4449" s="14">
        <v>45960</v>
      </c>
      <c r="E4449" s="5" t="s">
        <v>1335</v>
      </c>
      <c r="F4449" s="5" t="s">
        <v>1336</v>
      </c>
      <c r="G4449" s="6"/>
      <c r="H4449" s="6"/>
      <c r="I4449" s="198"/>
      <c r="J4449" s="6"/>
      <c r="K4449" s="7" t="s">
        <v>3160</v>
      </c>
      <c r="L4449" s="8"/>
      <c r="M4449" s="8" t="str">
        <f t="shared" si="527"/>
        <v>PEN</v>
      </c>
      <c r="N4449" s="13"/>
      <c r="O4449" s="13">
        <v>0.95</v>
      </c>
      <c r="P4449" s="3">
        <f t="shared" si="528"/>
        <v>0</v>
      </c>
      <c r="Q4449" s="3">
        <f t="shared" si="529"/>
        <v>0.95</v>
      </c>
      <c r="R4449" s="3">
        <f t="shared" si="530"/>
        <v>25322.079999999973</v>
      </c>
      <c r="S4449" s="24"/>
      <c r="T4449" s="24"/>
      <c r="U4449" s="55"/>
      <c r="V4449" s="25" t="str">
        <f>IFERROR(VLOOKUP(BCP_Soles[[#This Row],[destinatario]],CHOOSE({1,2},Clientes_Proveedores[Razon Social],Clientes_Proveedores[Ruc / Dni]),2,0),"")</f>
        <v/>
      </c>
      <c r="W4449" s="25"/>
      <c r="X4449" s="25"/>
      <c r="Y4449" s="25"/>
      <c r="Z4449" s="77"/>
      <c r="AA4449" s="3" t="str">
        <f>IF(BCP_Soles[[#This Row],[fecha]]&gt;0,TEXT(BCP_Soles[[#This Row],[fecha]],"mmmm"),0)</f>
        <v>Octubre</v>
      </c>
    </row>
    <row r="4450" spans="1:27" x14ac:dyDescent="0.3">
      <c r="A4450" s="2">
        <f>IF(BCP_Soles[[#This Row],[tipo_registro]]="R",COUNTIFS($C$1:$C4449,"R")+1,A4449)</f>
        <v>2943</v>
      </c>
      <c r="B4450" s="19" t="str">
        <f t="shared" si="526"/>
        <v>B-BCP - Soles</v>
      </c>
      <c r="C4450" s="3" t="s">
        <v>1330</v>
      </c>
      <c r="D4450" s="14">
        <v>45961</v>
      </c>
      <c r="E4450" s="5"/>
      <c r="F4450" s="5" t="s">
        <v>1303</v>
      </c>
      <c r="G4450" s="6" t="s">
        <v>425</v>
      </c>
      <c r="H4450" s="6"/>
      <c r="I4450" s="198"/>
      <c r="J4450" s="6"/>
      <c r="K4450" s="7" t="s">
        <v>4853</v>
      </c>
      <c r="L4450" s="8">
        <v>241002</v>
      </c>
      <c r="M4450" s="8" t="str">
        <f t="shared" si="527"/>
        <v>PEN</v>
      </c>
      <c r="N4450" s="13"/>
      <c r="O4450" s="13">
        <v>6889</v>
      </c>
      <c r="P4450" s="3">
        <f t="shared" si="528"/>
        <v>6889</v>
      </c>
      <c r="Q4450" s="3">
        <f t="shared" si="529"/>
        <v>0</v>
      </c>
      <c r="R4450" s="3">
        <f t="shared" si="530"/>
        <v>32211.079999999973</v>
      </c>
      <c r="S4450" s="24" t="s">
        <v>1334</v>
      </c>
      <c r="T4450" s="24" t="s">
        <v>1334</v>
      </c>
      <c r="U4450" s="55"/>
      <c r="V4450" s="25">
        <f>IFERROR(VLOOKUP(BCP_Soles[[#This Row],[destinatario]],CHOOSE({1,2},Clientes_Proveedores[Razon Social],Clientes_Proveedores[Ruc / Dni]),2,0),"")</f>
        <v>20558226979</v>
      </c>
      <c r="W4450" s="25"/>
      <c r="X4450" s="25"/>
      <c r="Y4450" s="25"/>
      <c r="Z4450" s="77"/>
      <c r="AA4450" s="3" t="str">
        <f>IF(BCP_Soles[[#This Row],[fecha]]&gt;0,TEXT(BCP_Soles[[#This Row],[fecha]],"mmmm"),0)</f>
        <v>Octubre</v>
      </c>
    </row>
    <row r="4451" spans="1:27" ht="24" x14ac:dyDescent="0.3">
      <c r="A4451" s="2">
        <f>IF(BCP_Soles[[#This Row],[tipo_registro]]="R",COUNTIFS($C$1:$C4450,"R")+1,A4450)</f>
        <v>2943</v>
      </c>
      <c r="B4451" s="19" t="str">
        <f t="shared" si="526"/>
        <v>B-BCP - Soles</v>
      </c>
      <c r="C4451" s="3" t="s">
        <v>1352</v>
      </c>
      <c r="D4451" s="14">
        <v>45961</v>
      </c>
      <c r="E4451" s="5" t="s">
        <v>1875</v>
      </c>
      <c r="F4451" s="5" t="s">
        <v>1303</v>
      </c>
      <c r="G4451" s="6" t="s">
        <v>425</v>
      </c>
      <c r="H4451" s="6" t="s">
        <v>119</v>
      </c>
      <c r="I4451" s="6">
        <v>1</v>
      </c>
      <c r="J4451" s="6">
        <v>4880</v>
      </c>
      <c r="K4451" s="7" t="s">
        <v>4853</v>
      </c>
      <c r="L4451" s="8">
        <v>241002</v>
      </c>
      <c r="M4451" s="8" t="str">
        <f t="shared" si="527"/>
        <v>PEN</v>
      </c>
      <c r="N4451" s="13">
        <v>5229</v>
      </c>
      <c r="O4451" s="13"/>
      <c r="P4451" s="3">
        <f t="shared" si="528"/>
        <v>0</v>
      </c>
      <c r="Q4451" s="3">
        <f t="shared" si="529"/>
        <v>0</v>
      </c>
      <c r="R4451" s="3">
        <f t="shared" si="530"/>
        <v>32211.079999999973</v>
      </c>
      <c r="S4451" s="24" t="s">
        <v>1334</v>
      </c>
      <c r="T4451" s="24" t="s">
        <v>1334</v>
      </c>
      <c r="U4451" s="55"/>
      <c r="V4451" s="25">
        <f>IFERROR(VLOOKUP(BCP_Soles[[#This Row],[destinatario]],CHOOSE({1,2},Clientes_Proveedores[Razon Social],Clientes_Proveedores[Ruc / Dni]),2,0),"")</f>
        <v>20558226979</v>
      </c>
      <c r="W4451" s="25"/>
      <c r="X4451" s="25"/>
      <c r="Y4451" s="25"/>
      <c r="Z4451" s="77"/>
      <c r="AA4451" s="3" t="str">
        <f>IF(BCP_Soles[[#This Row],[fecha]]&gt;0,TEXT(BCP_Soles[[#This Row],[fecha]],"mmmm"),0)</f>
        <v>Octubre</v>
      </c>
    </row>
    <row r="4452" spans="1:27" x14ac:dyDescent="0.3">
      <c r="A4452" s="2">
        <f>IF(BCP_Soles[[#This Row],[tipo_registro]]="R",COUNTIFS($C$1:$C4451,"R")+1,A4451)</f>
        <v>2943</v>
      </c>
      <c r="B4452" s="19" t="str">
        <f t="shared" si="526"/>
        <v>B-BCP - Soles</v>
      </c>
      <c r="C4452" s="3" t="s">
        <v>1352</v>
      </c>
      <c r="D4452" s="14">
        <v>45961</v>
      </c>
      <c r="E4452" s="5" t="s">
        <v>1498</v>
      </c>
      <c r="F4452" s="5" t="s">
        <v>1303</v>
      </c>
      <c r="G4452" s="6" t="s">
        <v>425</v>
      </c>
      <c r="H4452" s="6" t="s">
        <v>119</v>
      </c>
      <c r="I4452" s="6">
        <v>1</v>
      </c>
      <c r="J4452" s="6">
        <v>4878</v>
      </c>
      <c r="K4452" s="7" t="s">
        <v>4853</v>
      </c>
      <c r="L4452" s="8">
        <v>241002</v>
      </c>
      <c r="M4452" s="8" t="str">
        <f t="shared" si="527"/>
        <v>PEN</v>
      </c>
      <c r="N4452" s="13">
        <v>160</v>
      </c>
      <c r="O4452" s="13"/>
      <c r="P4452" s="3">
        <f t="shared" si="528"/>
        <v>0</v>
      </c>
      <c r="Q4452" s="3">
        <f t="shared" si="529"/>
        <v>0</v>
      </c>
      <c r="R4452" s="3">
        <f t="shared" ref="R4452:R4457" si="531">IFERROR(IF(F4452="SALDO",P4452,R4451+P4452-Q4452),0)</f>
        <v>32211.079999999973</v>
      </c>
      <c r="S4452" s="24" t="s">
        <v>1334</v>
      </c>
      <c r="T4452" s="24" t="s">
        <v>1334</v>
      </c>
      <c r="U4452" s="55"/>
      <c r="V4452" s="25">
        <f>IFERROR(VLOOKUP(BCP_Soles[[#This Row],[destinatario]],CHOOSE({1,2},Clientes_Proveedores[Razon Social],Clientes_Proveedores[Ruc / Dni]),2,0),"")</f>
        <v>20558226979</v>
      </c>
      <c r="W4452" s="25"/>
      <c r="X4452" s="25"/>
      <c r="Y4452" s="25"/>
      <c r="Z4452" s="77"/>
      <c r="AA4452" s="3" t="str">
        <f>IF(BCP_Soles[[#This Row],[fecha]]&gt;0,TEXT(BCP_Soles[[#This Row],[fecha]],"mmmm"),0)</f>
        <v>Octubre</v>
      </c>
    </row>
    <row r="4453" spans="1:27" x14ac:dyDescent="0.3">
      <c r="A4453" s="2">
        <f>IF(BCP_Soles[[#This Row],[tipo_registro]]="R",COUNTIFS($C$1:$C4452,"R")+1,A4452)</f>
        <v>2943</v>
      </c>
      <c r="B4453" s="19" t="str">
        <f t="shared" si="526"/>
        <v>B-BCP - Soles</v>
      </c>
      <c r="C4453" s="3" t="s">
        <v>1352</v>
      </c>
      <c r="D4453" s="14">
        <v>45961</v>
      </c>
      <c r="E4453" s="5" t="s">
        <v>1498</v>
      </c>
      <c r="F4453" s="5" t="s">
        <v>1303</v>
      </c>
      <c r="G4453" s="6" t="s">
        <v>425</v>
      </c>
      <c r="H4453" s="6" t="s">
        <v>119</v>
      </c>
      <c r="I4453" s="6">
        <v>1</v>
      </c>
      <c r="J4453" s="6">
        <v>4878</v>
      </c>
      <c r="K4453" s="7" t="s">
        <v>4853</v>
      </c>
      <c r="L4453" s="8">
        <v>241002</v>
      </c>
      <c r="M4453" s="8" t="str">
        <f t="shared" si="527"/>
        <v>PEN</v>
      </c>
      <c r="N4453" s="13">
        <v>9.6</v>
      </c>
      <c r="O4453" s="13"/>
      <c r="P4453" s="3">
        <f t="shared" si="528"/>
        <v>0</v>
      </c>
      <c r="Q4453" s="3">
        <f t="shared" si="529"/>
        <v>0</v>
      </c>
      <c r="R4453" s="3">
        <f t="shared" si="531"/>
        <v>32211.079999999973</v>
      </c>
      <c r="S4453" s="24" t="s">
        <v>1334</v>
      </c>
      <c r="T4453" s="24" t="s">
        <v>1334</v>
      </c>
      <c r="U4453" s="55"/>
      <c r="V4453" s="25">
        <f>IFERROR(VLOOKUP(BCP_Soles[[#This Row],[destinatario]],CHOOSE({1,2},Clientes_Proveedores[Razon Social],Clientes_Proveedores[Ruc / Dni]),2,0),"")</f>
        <v>20558226979</v>
      </c>
      <c r="W4453" s="25"/>
      <c r="X4453" s="25"/>
      <c r="Y4453" s="25"/>
      <c r="Z4453" s="77"/>
      <c r="AA4453" s="3" t="str">
        <f>IF(BCP_Soles[[#This Row],[fecha]]&gt;0,TEXT(BCP_Soles[[#This Row],[fecha]],"mmmm"),0)</f>
        <v>Octubre</v>
      </c>
    </row>
    <row r="4454" spans="1:27" ht="24" x14ac:dyDescent="0.3">
      <c r="A4454" s="2">
        <f>IF(BCP_Soles[[#This Row],[tipo_registro]]="R",COUNTIFS($C$1:$C4453,"R")+1,A4453)</f>
        <v>2943</v>
      </c>
      <c r="B4454" s="19" t="str">
        <f t="shared" si="526"/>
        <v>B-BCP - Soles</v>
      </c>
      <c r="C4454" s="3" t="s">
        <v>1352</v>
      </c>
      <c r="D4454" s="14">
        <v>45961</v>
      </c>
      <c r="E4454" s="5" t="s">
        <v>1875</v>
      </c>
      <c r="F4454" s="5" t="s">
        <v>1303</v>
      </c>
      <c r="G4454" s="6" t="s">
        <v>425</v>
      </c>
      <c r="H4454" s="6" t="s">
        <v>119</v>
      </c>
      <c r="I4454" s="6">
        <v>1</v>
      </c>
      <c r="J4454" s="6">
        <v>4872</v>
      </c>
      <c r="K4454" s="7" t="s">
        <v>4853</v>
      </c>
      <c r="L4454" s="8">
        <v>241002</v>
      </c>
      <c r="M4454" s="8" t="str">
        <f t="shared" si="527"/>
        <v>PEN</v>
      </c>
      <c r="N4454" s="13">
        <v>33.15</v>
      </c>
      <c r="O4454" s="13"/>
      <c r="P4454" s="3">
        <f t="shared" si="528"/>
        <v>0</v>
      </c>
      <c r="Q4454" s="3">
        <f t="shared" si="529"/>
        <v>0</v>
      </c>
      <c r="R4454" s="3">
        <f t="shared" si="531"/>
        <v>32211.079999999973</v>
      </c>
      <c r="S4454" s="24" t="s">
        <v>1334</v>
      </c>
      <c r="T4454" s="24" t="s">
        <v>1334</v>
      </c>
      <c r="U4454" s="55"/>
      <c r="V4454" s="25">
        <f>IFERROR(VLOOKUP(BCP_Soles[[#This Row],[destinatario]],CHOOSE({1,2},Clientes_Proveedores[Razon Social],Clientes_Proveedores[Ruc / Dni]),2,0),"")</f>
        <v>20558226979</v>
      </c>
      <c r="W4454" s="25"/>
      <c r="X4454" s="25"/>
      <c r="Y4454" s="25"/>
      <c r="Z4454" s="77"/>
      <c r="AA4454" s="3" t="str">
        <f>IF(BCP_Soles[[#This Row],[fecha]]&gt;0,TEXT(BCP_Soles[[#This Row],[fecha]],"mmmm"),0)</f>
        <v>Octubre</v>
      </c>
    </row>
    <row r="4455" spans="1:27" ht="24" x14ac:dyDescent="0.3">
      <c r="A4455" s="2">
        <f>IF(BCP_Soles[[#This Row],[tipo_registro]]="R",COUNTIFS($C$1:$C4454,"R")+1,A4454)</f>
        <v>2943</v>
      </c>
      <c r="B4455" s="19" t="str">
        <f t="shared" si="526"/>
        <v>B-BCP - Soles</v>
      </c>
      <c r="C4455" s="3" t="s">
        <v>1352</v>
      </c>
      <c r="D4455" s="14">
        <v>45961</v>
      </c>
      <c r="E4455" s="5" t="s">
        <v>1875</v>
      </c>
      <c r="F4455" s="5" t="s">
        <v>1303</v>
      </c>
      <c r="G4455" s="6" t="s">
        <v>425</v>
      </c>
      <c r="H4455" s="6" t="s">
        <v>119</v>
      </c>
      <c r="I4455" s="6">
        <v>1</v>
      </c>
      <c r="J4455" s="6">
        <v>4873</v>
      </c>
      <c r="K4455" s="7" t="s">
        <v>4853</v>
      </c>
      <c r="L4455" s="8">
        <v>241002</v>
      </c>
      <c r="M4455" s="8" t="str">
        <f t="shared" si="527"/>
        <v>PEN</v>
      </c>
      <c r="N4455" s="13">
        <v>519.25</v>
      </c>
      <c r="O4455" s="13"/>
      <c r="P4455" s="3">
        <f t="shared" si="528"/>
        <v>0</v>
      </c>
      <c r="Q4455" s="3">
        <f t="shared" si="529"/>
        <v>0</v>
      </c>
      <c r="R4455" s="3">
        <f t="shared" si="531"/>
        <v>32211.079999999973</v>
      </c>
      <c r="S4455" s="24" t="s">
        <v>1334</v>
      </c>
      <c r="T4455" s="24" t="s">
        <v>1334</v>
      </c>
      <c r="U4455" s="55"/>
      <c r="V4455" s="25">
        <f>IFERROR(VLOOKUP(BCP_Soles[[#This Row],[destinatario]],CHOOSE({1,2},Clientes_Proveedores[Razon Social],Clientes_Proveedores[Ruc / Dni]),2,0),"")</f>
        <v>20558226979</v>
      </c>
      <c r="W4455" s="25"/>
      <c r="X4455" s="25"/>
      <c r="Y4455" s="25"/>
      <c r="Z4455" s="77"/>
      <c r="AA4455" s="3" t="str">
        <f>IF(BCP_Soles[[#This Row],[fecha]]&gt;0,TEXT(BCP_Soles[[#This Row],[fecha]],"mmmm"),0)</f>
        <v>Octubre</v>
      </c>
    </row>
    <row r="4456" spans="1:27" ht="24" x14ac:dyDescent="0.3">
      <c r="A4456" s="2">
        <f>IF(BCP_Soles[[#This Row],[tipo_registro]]="R",COUNTIFS($C$1:$C4455,"R")+1,A4455)</f>
        <v>2943</v>
      </c>
      <c r="B4456" s="19" t="str">
        <f t="shared" si="526"/>
        <v>B-BCP - Soles</v>
      </c>
      <c r="C4456" s="3" t="s">
        <v>1352</v>
      </c>
      <c r="D4456" s="14">
        <v>45961</v>
      </c>
      <c r="E4456" s="5" t="s">
        <v>1875</v>
      </c>
      <c r="F4456" s="5" t="s">
        <v>1303</v>
      </c>
      <c r="G4456" s="6" t="s">
        <v>425</v>
      </c>
      <c r="H4456" s="6" t="s">
        <v>119</v>
      </c>
      <c r="I4456" s="6">
        <v>1</v>
      </c>
      <c r="J4456" s="6">
        <v>4875</v>
      </c>
      <c r="K4456" s="7" t="s">
        <v>4853</v>
      </c>
      <c r="L4456" s="8">
        <v>241002</v>
      </c>
      <c r="M4456" s="8" t="str">
        <f t="shared" si="527"/>
        <v>PEN</v>
      </c>
      <c r="N4456" s="13">
        <v>938</v>
      </c>
      <c r="O4456" s="13"/>
      <c r="P4456" s="3">
        <f t="shared" si="528"/>
        <v>0</v>
      </c>
      <c r="Q4456" s="3">
        <f t="shared" si="529"/>
        <v>0</v>
      </c>
      <c r="R4456" s="3">
        <f t="shared" si="531"/>
        <v>32211.079999999973</v>
      </c>
      <c r="S4456" s="24" t="s">
        <v>1334</v>
      </c>
      <c r="T4456" s="24" t="s">
        <v>1334</v>
      </c>
      <c r="U4456" s="55"/>
      <c r="V4456" s="25">
        <f>IFERROR(VLOOKUP(BCP_Soles[[#This Row],[destinatario]],CHOOSE({1,2},Clientes_Proveedores[Razon Social],Clientes_Proveedores[Ruc / Dni]),2,0),"")</f>
        <v>20558226979</v>
      </c>
      <c r="W4456" s="25"/>
      <c r="X4456" s="25"/>
      <c r="Y4456" s="25"/>
      <c r="Z4456" s="77"/>
      <c r="AA4456" s="3" t="str">
        <f>IF(BCP_Soles[[#This Row],[fecha]]&gt;0,TEXT(BCP_Soles[[#This Row],[fecha]],"mmmm"),0)</f>
        <v>Octubre</v>
      </c>
    </row>
    <row r="4457" spans="1:27" x14ac:dyDescent="0.3">
      <c r="A4457" s="2">
        <f>IF(BCP_Soles[[#This Row],[tipo_registro]]="R",COUNTIFS($C$1:$C4456,"R")+1,A4456)</f>
        <v>2944</v>
      </c>
      <c r="B4457" s="19" t="str">
        <f t="shared" si="526"/>
        <v>B-BCP - Soles</v>
      </c>
      <c r="C4457" s="3" t="s">
        <v>1330</v>
      </c>
      <c r="D4457" s="14">
        <v>45961</v>
      </c>
      <c r="E4457" s="5" t="s">
        <v>1498</v>
      </c>
      <c r="F4457" s="5" t="s">
        <v>1303</v>
      </c>
      <c r="G4457" s="6" t="s">
        <v>425</v>
      </c>
      <c r="H4457" s="6" t="s">
        <v>119</v>
      </c>
      <c r="I4457" s="6">
        <v>1</v>
      </c>
      <c r="J4457" s="6">
        <v>4882</v>
      </c>
      <c r="K4457" s="7" t="s">
        <v>3608</v>
      </c>
      <c r="L4457" s="8">
        <v>2230389</v>
      </c>
      <c r="M4457" s="8" t="str">
        <f t="shared" si="527"/>
        <v>PEN</v>
      </c>
      <c r="N4457" s="13"/>
      <c r="O4457" s="13">
        <v>1197</v>
      </c>
      <c r="P4457" s="3">
        <f t="shared" si="528"/>
        <v>1197</v>
      </c>
      <c r="Q4457" s="3">
        <f t="shared" si="529"/>
        <v>0</v>
      </c>
      <c r="R4457" s="3">
        <f t="shared" si="531"/>
        <v>33408.079999999973</v>
      </c>
      <c r="S4457" s="24" t="s">
        <v>1334</v>
      </c>
      <c r="T4457" s="24" t="s">
        <v>1334</v>
      </c>
      <c r="U4457" s="55"/>
      <c r="V4457" s="25">
        <f>IFERROR(VLOOKUP(BCP_Soles[[#This Row],[destinatario]],CHOOSE({1,2},Clientes_Proveedores[Razon Social],Clientes_Proveedores[Ruc / Dni]),2,0),"")</f>
        <v>20558226979</v>
      </c>
      <c r="W4457" s="25"/>
      <c r="X4457" s="25"/>
      <c r="Y4457" s="25"/>
      <c r="Z4457" s="77"/>
      <c r="AA4457" s="3" t="str">
        <f>IF(BCP_Soles[[#This Row],[fecha]]&gt;0,TEXT(BCP_Soles[[#This Row],[fecha]],"mmmm"),0)</f>
        <v>Octubre</v>
      </c>
    </row>
    <row r="4458" spans="1:27" ht="36" x14ac:dyDescent="0.3">
      <c r="A4458" s="2">
        <f>IF(BCP_Soles[[#This Row],[tipo_registro]]="R",COUNTIFS($C$1:$C4457,"R")+1,A4457)</f>
        <v>2945</v>
      </c>
      <c r="B4458" s="19" t="str">
        <f t="shared" si="526"/>
        <v>B-BCP - Soles</v>
      </c>
      <c r="C4458" s="3" t="s">
        <v>1330</v>
      </c>
      <c r="D4458" s="14">
        <v>45961</v>
      </c>
      <c r="E4458" s="5" t="s">
        <v>555</v>
      </c>
      <c r="F4458" s="5" t="s">
        <v>1303</v>
      </c>
      <c r="G4458" s="6" t="s">
        <v>425</v>
      </c>
      <c r="H4458" s="6" t="s">
        <v>68</v>
      </c>
      <c r="I4458" s="198" t="s">
        <v>3381</v>
      </c>
      <c r="J4458" s="6">
        <v>79</v>
      </c>
      <c r="K4458" s="7" t="s">
        <v>4854</v>
      </c>
      <c r="L4458" s="8">
        <v>4269215</v>
      </c>
      <c r="M4458" s="8" t="str">
        <f t="shared" si="527"/>
        <v>PEN</v>
      </c>
      <c r="N4458" s="13"/>
      <c r="O4458" s="13">
        <v>892.91</v>
      </c>
      <c r="P4458" s="3">
        <f t="shared" si="528"/>
        <v>892.91</v>
      </c>
      <c r="Q4458" s="3">
        <f t="shared" si="529"/>
        <v>0</v>
      </c>
      <c r="R4458" s="3">
        <f t="shared" ref="R4458" si="532">IFERROR(IF(F4458="SALDO",P4458,R4457+P4458-Q4458),0)</f>
        <v>34300.989999999976</v>
      </c>
      <c r="S4458" s="24" t="s">
        <v>1334</v>
      </c>
      <c r="T4458" s="24" t="s">
        <v>1334</v>
      </c>
      <c r="U4458" s="55"/>
      <c r="V4458" s="25">
        <f>IFERROR(VLOOKUP(BCP_Soles[[#This Row],[destinatario]],CHOOSE({1,2},Clientes_Proveedores[Razon Social],Clientes_Proveedores[Ruc / Dni]),2,0),"")</f>
        <v>20558226979</v>
      </c>
      <c r="W4458" s="25"/>
      <c r="X4458" s="25"/>
      <c r="Y4458" s="25"/>
      <c r="Z4458" s="77"/>
      <c r="AA4458" s="3" t="str">
        <f>IF(BCP_Soles[[#This Row],[fecha]]&gt;0,TEXT(BCP_Soles[[#This Row],[fecha]],"mmmm"),0)</f>
        <v>Octubre</v>
      </c>
    </row>
    <row r="4459" spans="1:27" x14ac:dyDescent="0.3">
      <c r="A4459" s="2">
        <f>IF(BCP_Soles[[#This Row],[tipo_registro]]="R",COUNTIFS($C$1:$C4458,"R")+1,A4458)</f>
        <v>2946</v>
      </c>
      <c r="B4459" s="19" t="str">
        <f t="shared" si="526"/>
        <v>B-BCP - Soles</v>
      </c>
      <c r="C4459" s="3" t="s">
        <v>1330</v>
      </c>
      <c r="D4459" s="14">
        <v>45961</v>
      </c>
      <c r="E4459" s="5"/>
      <c r="F4459" s="5" t="s">
        <v>1303</v>
      </c>
      <c r="G4459" s="6" t="s">
        <v>425</v>
      </c>
      <c r="H4459" s="6"/>
      <c r="I4459" s="6"/>
      <c r="J4459" s="6"/>
      <c r="K4459" s="7" t="s">
        <v>1356</v>
      </c>
      <c r="L4459" s="8">
        <v>4116497</v>
      </c>
      <c r="M4459" s="8" t="str">
        <f t="shared" si="527"/>
        <v>PEN</v>
      </c>
      <c r="N4459" s="13"/>
      <c r="O4459" s="13">
        <v>4410</v>
      </c>
      <c r="P4459" s="3">
        <f t="shared" si="528"/>
        <v>4410</v>
      </c>
      <c r="Q4459" s="3">
        <f t="shared" si="529"/>
        <v>0</v>
      </c>
      <c r="R4459" s="3">
        <f>IFERROR(IF(F4459="SALDO",P4459,R4458+P4459-Q4459),0)</f>
        <v>38710.989999999976</v>
      </c>
      <c r="S4459" s="24" t="s">
        <v>1334</v>
      </c>
      <c r="T4459" s="24" t="s">
        <v>1334</v>
      </c>
      <c r="U4459" s="55"/>
      <c r="V4459" s="25">
        <f>IFERROR(VLOOKUP(BCP_Soles[[#This Row],[destinatario]],CHOOSE({1,2},Clientes_Proveedores[Razon Social],Clientes_Proveedores[Ruc / Dni]),2,0),"")</f>
        <v>20558226979</v>
      </c>
      <c r="W4459" s="25"/>
      <c r="X4459" s="25"/>
      <c r="Y4459" s="25"/>
      <c r="Z4459" s="77"/>
      <c r="AA4459" s="3" t="str">
        <f>IF(BCP_Soles[[#This Row],[fecha]]&gt;0,TEXT(BCP_Soles[[#This Row],[fecha]],"mmmm"),0)</f>
        <v>Octubre</v>
      </c>
    </row>
    <row r="4460" spans="1:27" ht="24" x14ac:dyDescent="0.3">
      <c r="A4460" s="2">
        <f>IF(BCP_Soles[[#This Row],[tipo_registro]]="R",COUNTIFS($C$1:$C4459,"R")+1,A4459)</f>
        <v>2946</v>
      </c>
      <c r="B4460" s="19" t="str">
        <f t="shared" si="526"/>
        <v>B-BCP - Soles</v>
      </c>
      <c r="C4460" s="3" t="s">
        <v>1352</v>
      </c>
      <c r="D4460" s="14">
        <v>45961</v>
      </c>
      <c r="E4460" s="5" t="s">
        <v>4357</v>
      </c>
      <c r="F4460" s="5" t="s">
        <v>1303</v>
      </c>
      <c r="G4460" s="6" t="s">
        <v>425</v>
      </c>
      <c r="H4460" s="6" t="s">
        <v>119</v>
      </c>
      <c r="I4460" s="6">
        <v>1</v>
      </c>
      <c r="J4460" s="6">
        <v>4884</v>
      </c>
      <c r="K4460" s="7" t="s">
        <v>1356</v>
      </c>
      <c r="L4460" s="8">
        <v>4116497</v>
      </c>
      <c r="M4460" s="8" t="str">
        <f t="shared" si="527"/>
        <v>PEN</v>
      </c>
      <c r="N4460" s="13">
        <v>415</v>
      </c>
      <c r="O4460" s="13"/>
      <c r="P4460" s="3">
        <f t="shared" si="528"/>
        <v>0</v>
      </c>
      <c r="Q4460" s="3">
        <f t="shared" si="529"/>
        <v>0</v>
      </c>
      <c r="R4460" s="3">
        <f>IFERROR(IF(F4460="SALDO",P4460,R4459+P4460-Q4460),0)</f>
        <v>38710.989999999976</v>
      </c>
      <c r="S4460" s="24" t="s">
        <v>1334</v>
      </c>
      <c r="T4460" s="24" t="s">
        <v>1334</v>
      </c>
      <c r="U4460" s="55"/>
      <c r="V4460" s="25">
        <f>IFERROR(VLOOKUP(BCP_Soles[[#This Row],[destinatario]],CHOOSE({1,2},Clientes_Proveedores[Razon Social],Clientes_Proveedores[Ruc / Dni]),2,0),"")</f>
        <v>20558226979</v>
      </c>
      <c r="W4460" s="25"/>
      <c r="X4460" s="25"/>
      <c r="Y4460" s="25"/>
      <c r="Z4460" s="77"/>
      <c r="AA4460" s="3" t="str">
        <f>IF(BCP_Soles[[#This Row],[fecha]]&gt;0,TEXT(BCP_Soles[[#This Row],[fecha]],"mmmm"),0)</f>
        <v>Octubre</v>
      </c>
    </row>
    <row r="4461" spans="1:27" ht="24" x14ac:dyDescent="0.3">
      <c r="A4461" s="2">
        <f>IF(BCP_Soles[[#This Row],[tipo_registro]]="R",COUNTIFS($C$1:$C4460,"R")+1,A4460)</f>
        <v>2946</v>
      </c>
      <c r="B4461" s="19" t="str">
        <f t="shared" si="526"/>
        <v>B-BCP - Soles</v>
      </c>
      <c r="C4461" s="3" t="s">
        <v>1352</v>
      </c>
      <c r="D4461" s="14">
        <v>45961</v>
      </c>
      <c r="E4461" s="5" t="s">
        <v>4357</v>
      </c>
      <c r="F4461" s="5" t="s">
        <v>1303</v>
      </c>
      <c r="G4461" s="6" t="s">
        <v>425</v>
      </c>
      <c r="H4461" s="6" t="s">
        <v>119</v>
      </c>
      <c r="I4461" s="6">
        <v>1</v>
      </c>
      <c r="J4461" s="6">
        <v>4892</v>
      </c>
      <c r="K4461" s="7" t="s">
        <v>1356</v>
      </c>
      <c r="L4461" s="8">
        <v>4116497</v>
      </c>
      <c r="M4461" s="8" t="str">
        <f t="shared" si="527"/>
        <v>PEN</v>
      </c>
      <c r="N4461" s="13">
        <v>3995</v>
      </c>
      <c r="O4461" s="13"/>
      <c r="P4461" s="3">
        <f t="shared" si="528"/>
        <v>0</v>
      </c>
      <c r="Q4461" s="3">
        <f t="shared" si="529"/>
        <v>0</v>
      </c>
      <c r="R4461" s="3">
        <f t="shared" ref="R4461:R4462" si="533">IFERROR(IF(F4461="SALDO",P4461,R4460+P4461-Q4461),0)</f>
        <v>38710.989999999976</v>
      </c>
      <c r="S4461" s="24" t="s">
        <v>1334</v>
      </c>
      <c r="T4461" s="24" t="s">
        <v>1334</v>
      </c>
      <c r="U4461" s="55"/>
      <c r="V4461" s="25">
        <f>IFERROR(VLOOKUP(BCP_Soles[[#This Row],[destinatario]],CHOOSE({1,2},Clientes_Proveedores[Razon Social],Clientes_Proveedores[Ruc / Dni]),2,0),"")</f>
        <v>20558226979</v>
      </c>
      <c r="W4461" s="25"/>
      <c r="X4461" s="25"/>
      <c r="Y4461" s="25"/>
      <c r="Z4461" s="77"/>
      <c r="AA4461" s="3" t="str">
        <f>IF(BCP_Soles[[#This Row],[fecha]]&gt;0,TEXT(BCP_Soles[[#This Row],[fecha]],"mmmm"),0)</f>
        <v>Octubre</v>
      </c>
    </row>
    <row r="4462" spans="1:27" x14ac:dyDescent="0.3">
      <c r="A4462" s="2">
        <f>IF(BCP_Soles[[#This Row],[tipo_registro]]="R",COUNTIFS($C$1:$C4461,"R")+1,A4461)</f>
        <v>2947</v>
      </c>
      <c r="B4462" s="19" t="str">
        <f t="shared" si="526"/>
        <v>B-BCP - Soles</v>
      </c>
      <c r="C4462" s="3" t="s">
        <v>1330</v>
      </c>
      <c r="D4462" s="14">
        <v>45961</v>
      </c>
      <c r="E4462" s="65" t="s">
        <v>295</v>
      </c>
      <c r="F4462" s="5" t="s">
        <v>1303</v>
      </c>
      <c r="G4462" s="6" t="s">
        <v>425</v>
      </c>
      <c r="H4462" s="6" t="s">
        <v>68</v>
      </c>
      <c r="I4462" s="6" t="s">
        <v>3302</v>
      </c>
      <c r="J4462" s="6">
        <v>156</v>
      </c>
      <c r="K4462" s="7" t="s">
        <v>1873</v>
      </c>
      <c r="L4462" s="8">
        <v>2279694</v>
      </c>
      <c r="M4462" s="8" t="str">
        <f t="shared" si="527"/>
        <v>PEN</v>
      </c>
      <c r="N4462" s="13"/>
      <c r="O4462" s="13">
        <v>460.62</v>
      </c>
      <c r="P4462" s="3">
        <f t="shared" si="528"/>
        <v>460.62</v>
      </c>
      <c r="Q4462" s="3">
        <f t="shared" si="529"/>
        <v>0</v>
      </c>
      <c r="R4462" s="3">
        <f t="shared" si="533"/>
        <v>39171.609999999979</v>
      </c>
      <c r="S4462" s="24" t="s">
        <v>1334</v>
      </c>
      <c r="T4462" s="24" t="s">
        <v>1334</v>
      </c>
      <c r="U4462" s="55"/>
      <c r="V4462" s="25">
        <f>IFERROR(VLOOKUP(BCP_Soles[[#This Row],[destinatario]],CHOOSE({1,2},Clientes_Proveedores[Razon Social],Clientes_Proveedores[Ruc / Dni]),2,0),"")</f>
        <v>20558226979</v>
      </c>
      <c r="W4462" s="25"/>
      <c r="X4462" s="25"/>
      <c r="Y4462" s="25"/>
      <c r="Z4462" s="77"/>
      <c r="AA4462" s="3" t="str">
        <f>IF(BCP_Soles[[#This Row],[fecha]]&gt;0,TEXT(BCP_Soles[[#This Row],[fecha]],"mmmm"),0)</f>
        <v>Octubre</v>
      </c>
    </row>
    <row r="4463" spans="1:27" x14ac:dyDescent="0.3">
      <c r="A4463" s="2">
        <f>IF(BCP_Soles[[#This Row],[tipo_registro]]="R",COUNTIFS($C$1:$C4462,"R")+1,A4462)</f>
        <v>2948</v>
      </c>
      <c r="B4463" s="19" t="str">
        <f t="shared" si="526"/>
        <v>B-BCP - Soles</v>
      </c>
      <c r="C4463" s="3" t="s">
        <v>1330</v>
      </c>
      <c r="D4463" s="14">
        <v>45961</v>
      </c>
      <c r="E4463" s="65" t="s">
        <v>295</v>
      </c>
      <c r="F4463" s="5" t="s">
        <v>1303</v>
      </c>
      <c r="G4463" s="6" t="s">
        <v>425</v>
      </c>
      <c r="H4463" s="6" t="s">
        <v>68</v>
      </c>
      <c r="I4463" s="6" t="s">
        <v>3302</v>
      </c>
      <c r="J4463" s="6">
        <v>152</v>
      </c>
      <c r="K4463" s="7" t="s">
        <v>1873</v>
      </c>
      <c r="L4463" s="8">
        <v>2278036</v>
      </c>
      <c r="M4463" s="8" t="str">
        <f t="shared" si="527"/>
        <v>PEN</v>
      </c>
      <c r="N4463" s="13"/>
      <c r="O4463" s="13">
        <v>315.7</v>
      </c>
      <c r="P4463" s="3">
        <f t="shared" si="528"/>
        <v>315.7</v>
      </c>
      <c r="Q4463" s="3">
        <f t="shared" si="529"/>
        <v>0</v>
      </c>
      <c r="R4463" s="3">
        <f t="shared" ref="R4463:R4466" si="534">IFERROR(IF(F4463="SALDO",P4463,R4462+P4463-Q4463),0)</f>
        <v>39487.309999999976</v>
      </c>
      <c r="S4463" s="24" t="s">
        <v>1334</v>
      </c>
      <c r="T4463" s="24" t="s">
        <v>1334</v>
      </c>
      <c r="U4463" s="55"/>
      <c r="V4463" s="25">
        <f>IFERROR(VLOOKUP(BCP_Soles[[#This Row],[destinatario]],CHOOSE({1,2},Clientes_Proveedores[Razon Social],Clientes_Proveedores[Ruc / Dni]),2,0),"")</f>
        <v>20558226979</v>
      </c>
      <c r="W4463" s="25"/>
      <c r="X4463" s="25"/>
      <c r="Y4463" s="25"/>
      <c r="Z4463" s="77"/>
      <c r="AA4463" s="3" t="str">
        <f>IF(BCP_Soles[[#This Row],[fecha]]&gt;0,TEXT(BCP_Soles[[#This Row],[fecha]],"mmmm"),0)</f>
        <v>Octubre</v>
      </c>
    </row>
    <row r="4464" spans="1:27" x14ac:dyDescent="0.3">
      <c r="A4464" s="2">
        <f>IF(BCP_Soles[[#This Row],[tipo_registro]]="R",COUNTIFS($C$1:$C4463,"R")+1,A4463)</f>
        <v>2949</v>
      </c>
      <c r="B4464" s="19" t="str">
        <f t="shared" si="526"/>
        <v>B-BCP - Soles</v>
      </c>
      <c r="C4464" s="3" t="s">
        <v>1330</v>
      </c>
      <c r="D4464" s="14">
        <v>45961</v>
      </c>
      <c r="E4464" s="65" t="s">
        <v>295</v>
      </c>
      <c r="F4464" s="5" t="s">
        <v>1303</v>
      </c>
      <c r="G4464" s="6" t="s">
        <v>425</v>
      </c>
      <c r="H4464" s="6" t="s">
        <v>68</v>
      </c>
      <c r="I4464" s="6" t="s">
        <v>3302</v>
      </c>
      <c r="J4464" s="6">
        <v>149</v>
      </c>
      <c r="K4464" s="7" t="s">
        <v>1873</v>
      </c>
      <c r="L4464" s="8">
        <v>2275203</v>
      </c>
      <c r="M4464" s="8" t="str">
        <f t="shared" si="527"/>
        <v>PEN</v>
      </c>
      <c r="N4464" s="13"/>
      <c r="O4464" s="13">
        <v>108.44</v>
      </c>
      <c r="P4464" s="3">
        <f t="shared" si="528"/>
        <v>108.44</v>
      </c>
      <c r="Q4464" s="3">
        <f t="shared" si="529"/>
        <v>0</v>
      </c>
      <c r="R4464" s="3">
        <f t="shared" si="534"/>
        <v>39595.749999999978</v>
      </c>
      <c r="S4464" s="24" t="s">
        <v>1334</v>
      </c>
      <c r="T4464" s="24" t="s">
        <v>1334</v>
      </c>
      <c r="U4464" s="55"/>
      <c r="V4464" s="25">
        <f>IFERROR(VLOOKUP(BCP_Soles[[#This Row],[destinatario]],CHOOSE({1,2},Clientes_Proveedores[Razon Social],Clientes_Proveedores[Ruc / Dni]),2,0),"")</f>
        <v>20558226979</v>
      </c>
      <c r="W4464" s="25"/>
      <c r="X4464" s="25"/>
      <c r="Y4464" s="25"/>
      <c r="Z4464" s="77"/>
      <c r="AA4464" s="3" t="str">
        <f>IF(BCP_Soles[[#This Row],[fecha]]&gt;0,TEXT(BCP_Soles[[#This Row],[fecha]],"mmmm"),0)</f>
        <v>Octubre</v>
      </c>
    </row>
    <row r="4465" spans="1:27" x14ac:dyDescent="0.3">
      <c r="A4465" s="2">
        <f>IF(BCP_Soles[[#This Row],[tipo_registro]]="R",COUNTIFS($C$1:$C4464,"R")+1,A4464)</f>
        <v>2950</v>
      </c>
      <c r="B4465" s="19" t="str">
        <f t="shared" si="526"/>
        <v>B-BCP - Soles</v>
      </c>
      <c r="C4465" s="3" t="s">
        <v>1330</v>
      </c>
      <c r="D4465" s="14">
        <v>45961</v>
      </c>
      <c r="E4465" s="65" t="s">
        <v>295</v>
      </c>
      <c r="F4465" s="5" t="s">
        <v>1303</v>
      </c>
      <c r="G4465" s="6" t="s">
        <v>425</v>
      </c>
      <c r="H4465" s="6" t="s">
        <v>68</v>
      </c>
      <c r="I4465" s="6" t="s">
        <v>3302</v>
      </c>
      <c r="J4465" s="6">
        <v>148</v>
      </c>
      <c r="K4465" s="7" t="s">
        <v>1873</v>
      </c>
      <c r="L4465" s="8">
        <v>2274586</v>
      </c>
      <c r="M4465" s="8" t="str">
        <f t="shared" si="527"/>
        <v>PEN</v>
      </c>
      <c r="N4465" s="13"/>
      <c r="O4465" s="13">
        <v>311.39</v>
      </c>
      <c r="P4465" s="3">
        <f t="shared" si="528"/>
        <v>311.39</v>
      </c>
      <c r="Q4465" s="3">
        <f t="shared" si="529"/>
        <v>0</v>
      </c>
      <c r="R4465" s="3">
        <f t="shared" si="534"/>
        <v>39907.139999999978</v>
      </c>
      <c r="S4465" s="24" t="s">
        <v>1334</v>
      </c>
      <c r="T4465" s="24" t="s">
        <v>1334</v>
      </c>
      <c r="U4465" s="55"/>
      <c r="V4465" s="25">
        <f>IFERROR(VLOOKUP(BCP_Soles[[#This Row],[destinatario]],CHOOSE({1,2},Clientes_Proveedores[Razon Social],Clientes_Proveedores[Ruc / Dni]),2,0),"")</f>
        <v>20558226979</v>
      </c>
      <c r="W4465" s="25"/>
      <c r="X4465" s="25"/>
      <c r="Y4465" s="25"/>
      <c r="Z4465" s="77"/>
      <c r="AA4465" s="3" t="str">
        <f>IF(BCP_Soles[[#This Row],[fecha]]&gt;0,TEXT(BCP_Soles[[#This Row],[fecha]],"mmmm"),0)</f>
        <v>Octubre</v>
      </c>
    </row>
    <row r="4466" spans="1:27" x14ac:dyDescent="0.3">
      <c r="A4466" s="2">
        <f>IF(BCP_Soles[[#This Row],[tipo_registro]]="R",COUNTIFS($C$1:$C4465,"R")+1,A4465)</f>
        <v>2951</v>
      </c>
      <c r="B4466" s="19" t="str">
        <f t="shared" si="526"/>
        <v>B-BCP - Soles</v>
      </c>
      <c r="C4466" s="3" t="s">
        <v>1330</v>
      </c>
      <c r="D4466" s="14">
        <v>45961</v>
      </c>
      <c r="E4466" s="65" t="s">
        <v>295</v>
      </c>
      <c r="F4466" s="5" t="s">
        <v>1303</v>
      </c>
      <c r="G4466" s="6" t="s">
        <v>425</v>
      </c>
      <c r="H4466" s="6" t="s">
        <v>68</v>
      </c>
      <c r="I4466" s="6" t="s">
        <v>3302</v>
      </c>
      <c r="J4466" s="6">
        <v>147</v>
      </c>
      <c r="K4466" s="7" t="s">
        <v>1873</v>
      </c>
      <c r="L4466" s="8">
        <v>2272020</v>
      </c>
      <c r="M4466" s="8" t="str">
        <f t="shared" si="527"/>
        <v>PEN</v>
      </c>
      <c r="N4466" s="13"/>
      <c r="O4466" s="13">
        <v>526.5</v>
      </c>
      <c r="P4466" s="3">
        <f t="shared" si="528"/>
        <v>526.5</v>
      </c>
      <c r="Q4466" s="3">
        <f t="shared" si="529"/>
        <v>0</v>
      </c>
      <c r="R4466" s="3">
        <f t="shared" si="534"/>
        <v>40433.639999999978</v>
      </c>
      <c r="S4466" s="24" t="s">
        <v>1334</v>
      </c>
      <c r="T4466" s="24" t="s">
        <v>1334</v>
      </c>
      <c r="U4466" s="55"/>
      <c r="V4466" s="25">
        <f>IFERROR(VLOOKUP(BCP_Soles[[#This Row],[destinatario]],CHOOSE({1,2},Clientes_Proveedores[Razon Social],Clientes_Proveedores[Ruc / Dni]),2,0),"")</f>
        <v>20558226979</v>
      </c>
      <c r="W4466" s="25"/>
      <c r="X4466" s="25"/>
      <c r="Y4466" s="25"/>
      <c r="Z4466" s="77"/>
      <c r="AA4466" s="3" t="str">
        <f>IF(BCP_Soles[[#This Row],[fecha]]&gt;0,TEXT(BCP_Soles[[#This Row],[fecha]],"mmmm"),0)</f>
        <v>Octubre</v>
      </c>
    </row>
    <row r="4467" spans="1:27" ht="36" x14ac:dyDescent="0.3">
      <c r="A4467" s="2">
        <f>IF(BCP_Soles[[#This Row],[tipo_registro]]="R",COUNTIFS($C$1:$C4466,"R")+1,A4466)</f>
        <v>2952</v>
      </c>
      <c r="B4467" s="19" t="str">
        <f t="shared" si="526"/>
        <v>B-BCP - Soles</v>
      </c>
      <c r="C4467" s="3" t="s">
        <v>1330</v>
      </c>
      <c r="D4467" s="14">
        <v>45961</v>
      </c>
      <c r="E4467" s="5" t="s">
        <v>343</v>
      </c>
      <c r="F4467" s="5" t="s">
        <v>1303</v>
      </c>
      <c r="G4467" s="6" t="s">
        <v>425</v>
      </c>
      <c r="H4467" s="6" t="s">
        <v>68</v>
      </c>
      <c r="I4467" s="6" t="s">
        <v>3302</v>
      </c>
      <c r="J4467" s="6">
        <v>164</v>
      </c>
      <c r="K4467" s="7" t="s">
        <v>1356</v>
      </c>
      <c r="L4467" s="8">
        <v>4640805</v>
      </c>
      <c r="M4467" s="8" t="str">
        <f t="shared" si="527"/>
        <v>PEN</v>
      </c>
      <c r="N4467" s="13"/>
      <c r="O4467" s="13">
        <v>53.1</v>
      </c>
      <c r="P4467" s="3">
        <f t="shared" si="528"/>
        <v>53.1</v>
      </c>
      <c r="Q4467" s="3">
        <f t="shared" si="529"/>
        <v>0</v>
      </c>
      <c r="R4467" s="3">
        <f>IFERROR(IF(F4467="SALDO",P4467,R4466+P4467-Q4467),0)</f>
        <v>40486.739999999976</v>
      </c>
      <c r="S4467" s="24" t="s">
        <v>1334</v>
      </c>
      <c r="T4467" s="24" t="s">
        <v>1334</v>
      </c>
      <c r="U4467" s="55"/>
      <c r="V4467" s="25">
        <f>IFERROR(VLOOKUP(BCP_Soles[[#This Row],[destinatario]],CHOOSE({1,2},Clientes_Proveedores[Razon Social],Clientes_Proveedores[Ruc / Dni]),2,0),"")</f>
        <v>20558226979</v>
      </c>
      <c r="W4467" s="25"/>
      <c r="X4467" s="25"/>
      <c r="Y4467" s="25"/>
      <c r="Z4467" s="77"/>
      <c r="AA4467" s="3" t="str">
        <f>IF(BCP_Soles[[#This Row],[fecha]]&gt;0,TEXT(BCP_Soles[[#This Row],[fecha]],"mmmm"),0)</f>
        <v>Octubre</v>
      </c>
    </row>
    <row r="4468" spans="1:27" x14ac:dyDescent="0.3">
      <c r="A4468" s="2">
        <f>IF(BCP_Soles[[#This Row],[tipo_registro]]="R",COUNTIFS($C$1:$C4467,"R")+1,A4467)</f>
        <v>2953</v>
      </c>
      <c r="B4468" s="19" t="str">
        <f t="shared" si="526"/>
        <v>B-BCP - Soles</v>
      </c>
      <c r="C4468" s="3" t="s">
        <v>1330</v>
      </c>
      <c r="D4468" s="14">
        <v>45961</v>
      </c>
      <c r="E4468" s="65" t="s">
        <v>4855</v>
      </c>
      <c r="F4468" s="5" t="s">
        <v>1303</v>
      </c>
      <c r="G4468" s="6" t="s">
        <v>425</v>
      </c>
      <c r="H4468" s="6"/>
      <c r="I4468" s="6"/>
      <c r="J4468" s="6"/>
      <c r="K4468" s="7" t="s">
        <v>4856</v>
      </c>
      <c r="L4468" s="8">
        <v>2393364</v>
      </c>
      <c r="M4468" s="8" t="str">
        <f t="shared" si="527"/>
        <v>PEN</v>
      </c>
      <c r="N4468" s="13"/>
      <c r="O4468" s="13">
        <v>35534.86</v>
      </c>
      <c r="P4468" s="3">
        <f t="shared" si="528"/>
        <v>35534.86</v>
      </c>
      <c r="Q4468" s="3">
        <f t="shared" si="529"/>
        <v>0</v>
      </c>
      <c r="R4468" s="3">
        <f t="shared" ref="R4468:R4469" si="535">IFERROR(IF(F4468="SALDO",P4468,R4467+P4468-Q4468),0)</f>
        <v>76021.599999999977</v>
      </c>
      <c r="S4468" s="24"/>
      <c r="T4468" s="24"/>
      <c r="U4468" s="55"/>
      <c r="V4468" s="25">
        <f>IFERROR(VLOOKUP(BCP_Soles[[#This Row],[destinatario]],CHOOSE({1,2},Clientes_Proveedores[Razon Social],Clientes_Proveedores[Ruc / Dni]),2,0),"")</f>
        <v>20558226979</v>
      </c>
      <c r="W4468" s="25"/>
      <c r="X4468" s="25"/>
      <c r="Y4468" s="25"/>
      <c r="Z4468" s="77"/>
      <c r="AA4468" s="3" t="str">
        <f>IF(BCP_Soles[[#This Row],[fecha]]&gt;0,TEXT(BCP_Soles[[#This Row],[fecha]],"mmmm"),0)</f>
        <v>Octubre</v>
      </c>
    </row>
    <row r="4469" spans="1:27" x14ac:dyDescent="0.3">
      <c r="A4469" s="2">
        <f>IF(BCP_Soles[[#This Row],[tipo_registro]]="R",COUNTIFS($C$1:$C4468,"R")+1,A4468)</f>
        <v>2954</v>
      </c>
      <c r="B4469" s="19" t="str">
        <f t="shared" si="526"/>
        <v>B-BCP - Soles</v>
      </c>
      <c r="C4469" s="3" t="s">
        <v>1330</v>
      </c>
      <c r="D4469" s="14">
        <v>45961</v>
      </c>
      <c r="E4469" s="5" t="s">
        <v>4855</v>
      </c>
      <c r="F4469" s="5" t="s">
        <v>1303</v>
      </c>
      <c r="G4469" s="6" t="s">
        <v>425</v>
      </c>
      <c r="H4469" s="6"/>
      <c r="I4469" s="6"/>
      <c r="J4469" s="6"/>
      <c r="K4469" s="7" t="s">
        <v>4274</v>
      </c>
      <c r="L4469" s="8">
        <v>2523311</v>
      </c>
      <c r="M4469" s="8" t="str">
        <f t="shared" si="527"/>
        <v>PEN</v>
      </c>
      <c r="N4469" s="13"/>
      <c r="O4469" s="13">
        <v>8000</v>
      </c>
      <c r="P4469" s="3">
        <f t="shared" si="528"/>
        <v>8000</v>
      </c>
      <c r="Q4469" s="3">
        <f t="shared" si="529"/>
        <v>0</v>
      </c>
      <c r="R4469" s="3">
        <f t="shared" si="535"/>
        <v>84021.599999999977</v>
      </c>
      <c r="S4469" s="24"/>
      <c r="T4469" s="24"/>
      <c r="U4469" s="55"/>
      <c r="V4469" s="25">
        <f>IFERROR(VLOOKUP(BCP_Soles[[#This Row],[destinatario]],CHOOSE({1,2},Clientes_Proveedores[Razon Social],Clientes_Proveedores[Ruc / Dni]),2,0),"")</f>
        <v>20558226979</v>
      </c>
      <c r="W4469" s="25"/>
      <c r="X4469" s="25"/>
      <c r="Y4469" s="25"/>
      <c r="Z4469" s="77"/>
      <c r="AA4469" s="3" t="str">
        <f>IF(BCP_Soles[[#This Row],[fecha]]&gt;0,TEXT(BCP_Soles[[#This Row],[fecha]],"mmmm"),0)</f>
        <v>Octubre</v>
      </c>
    </row>
    <row r="4470" spans="1:27" ht="24" x14ac:dyDescent="0.3">
      <c r="A4470" s="2">
        <f>IF(BCP_Soles[[#This Row],[tipo_registro]]="R",COUNTIFS($C$1:$C4469,"R")+1,A4469)</f>
        <v>2955</v>
      </c>
      <c r="B4470" s="19" t="str">
        <f>"B-BCP - Soles"</f>
        <v>B-BCP - Soles</v>
      </c>
      <c r="C4470" s="3" t="s">
        <v>1330</v>
      </c>
      <c r="D4470" s="14">
        <v>45961</v>
      </c>
      <c r="E4470" s="5" t="s">
        <v>4857</v>
      </c>
      <c r="F4470" s="5" t="s">
        <v>1303</v>
      </c>
      <c r="G4470" s="6" t="s">
        <v>425</v>
      </c>
      <c r="H4470" s="6" t="s">
        <v>119</v>
      </c>
      <c r="I4470" s="6">
        <v>1</v>
      </c>
      <c r="J4470" s="6">
        <v>4888</v>
      </c>
      <c r="K4470" s="7" t="s">
        <v>1356</v>
      </c>
      <c r="L4470" s="8">
        <v>7247175</v>
      </c>
      <c r="M4470" s="8" t="str">
        <f>"PEN"</f>
        <v>PEN</v>
      </c>
      <c r="N4470" s="13"/>
      <c r="O4470" s="13">
        <v>13575</v>
      </c>
      <c r="P4470" s="3">
        <f>+IF(OR($F4470="SALDO",$F4470="INGRESO"),$O4470,0)</f>
        <v>13575</v>
      </c>
      <c r="Q4470" s="3">
        <f>+IF($F4470="EGRESO",$O4470,0)</f>
        <v>0</v>
      </c>
      <c r="R4470" s="3">
        <f t="shared" ref="R4470:R4479" si="536">IFERROR(IF(F4470="SALDO",P4470,R4469+P4470-Q4470),0)</f>
        <v>97596.599999999977</v>
      </c>
      <c r="S4470" s="24" t="s">
        <v>1334</v>
      </c>
      <c r="T4470" s="24" t="s">
        <v>1334</v>
      </c>
      <c r="U4470" s="55"/>
      <c r="V4470" s="25">
        <f>IFERROR(VLOOKUP(BCP_Soles[[#This Row],[destinatario]],CHOOSE({1,2},Clientes_Proveedores[Razon Social],Clientes_Proveedores[Ruc / Dni]),2,0),"")</f>
        <v>20558226979</v>
      </c>
      <c r="W4470" s="25"/>
      <c r="X4470" s="25"/>
      <c r="Y4470" s="25"/>
      <c r="Z4470" s="77"/>
      <c r="AA4470" s="3" t="str">
        <f>IF(BCP_Soles[[#This Row],[fecha]]&gt;0,TEXT(BCP_Soles[[#This Row],[fecha]],"mmmm"),0)</f>
        <v>Octubre</v>
      </c>
    </row>
    <row r="4471" spans="1:27" x14ac:dyDescent="0.3">
      <c r="A4471" s="2">
        <f>IF(BCP_Soles[[#This Row],[tipo_registro]]="R",COUNTIFS($C$1:$C4470,"R")+1,A4470)</f>
        <v>2956</v>
      </c>
      <c r="B4471" s="19" t="str">
        <f>"B-BCP - Soles"</f>
        <v>B-BCP - Soles</v>
      </c>
      <c r="C4471" s="3" t="s">
        <v>1330</v>
      </c>
      <c r="D4471" s="14">
        <v>45961</v>
      </c>
      <c r="E4471" s="5" t="s">
        <v>335</v>
      </c>
      <c r="F4471" s="5" t="s">
        <v>1303</v>
      </c>
      <c r="G4471" s="6" t="s">
        <v>425</v>
      </c>
      <c r="H4471" s="6" t="s">
        <v>68</v>
      </c>
      <c r="I4471" s="6" t="s">
        <v>3302</v>
      </c>
      <c r="J4471" s="6">
        <v>157</v>
      </c>
      <c r="K4471" s="7" t="s">
        <v>1912</v>
      </c>
      <c r="L4471" s="8">
        <v>2481773</v>
      </c>
      <c r="M4471" s="8" t="str">
        <f>"PEN"</f>
        <v>PEN</v>
      </c>
      <c r="N4471" s="13"/>
      <c r="O4471" s="13">
        <v>409.56</v>
      </c>
      <c r="P4471" s="3">
        <f>+IF(OR($F4471="SALDO",$F4471="INGRESO"),$O4471,0)</f>
        <v>409.56</v>
      </c>
      <c r="Q4471" s="3">
        <f>+IF($F4471="EGRESO",$O4471,0)</f>
        <v>0</v>
      </c>
      <c r="R4471" s="3">
        <f t="shared" si="536"/>
        <v>98006.159999999974</v>
      </c>
      <c r="S4471" s="24" t="s">
        <v>1334</v>
      </c>
      <c r="T4471" s="24" t="s">
        <v>1334</v>
      </c>
      <c r="U4471" s="55"/>
      <c r="V4471" s="25">
        <f>IFERROR(VLOOKUP(BCP_Soles[[#This Row],[destinatario]],CHOOSE({1,2},Clientes_Proveedores[Razon Social],Clientes_Proveedores[Ruc / Dni]),2,0),"")</f>
        <v>20558226979</v>
      </c>
      <c r="W4471" s="25"/>
      <c r="X4471" s="25"/>
      <c r="Y4471" s="25"/>
      <c r="Z4471" s="77"/>
      <c r="AA4471" s="3" t="str">
        <f>IF(BCP_Soles[[#This Row],[fecha]]&gt;0,TEXT(BCP_Soles[[#This Row],[fecha]],"mmmm"),0)</f>
        <v>Octubre</v>
      </c>
    </row>
    <row r="4472" spans="1:27" x14ac:dyDescent="0.3">
      <c r="A4472" s="2">
        <f>IF(BCP_Soles[[#This Row],[tipo_registro]]="R",COUNTIFS($C$1:$C4471,"R")+1,A4471)</f>
        <v>2957</v>
      </c>
      <c r="B4472" s="19" t="str">
        <f t="shared" si="526"/>
        <v>B-BCP - Soles</v>
      </c>
      <c r="C4472" s="3" t="s">
        <v>1330</v>
      </c>
      <c r="D4472" s="14">
        <v>45961</v>
      </c>
      <c r="E4472" s="5" t="s">
        <v>2269</v>
      </c>
      <c r="F4472" s="5" t="s">
        <v>1336</v>
      </c>
      <c r="G4472" s="6" t="s">
        <v>696</v>
      </c>
      <c r="H4472" s="6"/>
      <c r="I4472" s="6"/>
      <c r="J4472" s="6"/>
      <c r="K4472" s="7" t="s">
        <v>4858</v>
      </c>
      <c r="L4472" s="8">
        <v>4186925</v>
      </c>
      <c r="M4472" s="8" t="str">
        <f t="shared" si="527"/>
        <v>PEN</v>
      </c>
      <c r="N4472" s="13"/>
      <c r="O4472" s="13">
        <v>9606.17</v>
      </c>
      <c r="P4472" s="3">
        <f t="shared" si="528"/>
        <v>0</v>
      </c>
      <c r="Q4472" s="3">
        <f t="shared" si="529"/>
        <v>9606.17</v>
      </c>
      <c r="R4472" s="3">
        <f t="shared" si="536"/>
        <v>88399.989999999976</v>
      </c>
      <c r="S4472" s="24"/>
      <c r="T4472" s="24"/>
      <c r="U4472" s="55"/>
      <c r="V4472" s="25">
        <f>IFERROR(VLOOKUP(BCP_Soles[[#This Row],[destinatario]],CHOOSE({1,2},Clientes_Proveedores[Razon Social],Clientes_Proveedores[Ruc / Dni]),2,0),"")</f>
        <v>0</v>
      </c>
      <c r="W4472" s="25"/>
      <c r="X4472" s="25"/>
      <c r="Y4472" s="25"/>
      <c r="Z4472" s="77"/>
      <c r="AA4472" s="3" t="str">
        <f>IF(BCP_Soles[[#This Row],[fecha]]&gt;0,TEXT(BCP_Soles[[#This Row],[fecha]],"mmmm"),0)</f>
        <v>Octubre</v>
      </c>
    </row>
    <row r="4473" spans="1:27" ht="24" x14ac:dyDescent="0.3">
      <c r="A4473" s="2">
        <f>IF(BCP_Soles[[#This Row],[tipo_registro]]="R",COUNTIFS($C$1:$C4472,"R")+1,A4472)</f>
        <v>2958</v>
      </c>
      <c r="B4473" s="19" t="str">
        <f t="shared" si="526"/>
        <v>B-BCP - Soles</v>
      </c>
      <c r="C4473" s="3" t="s">
        <v>1330</v>
      </c>
      <c r="D4473" s="14">
        <v>45961</v>
      </c>
      <c r="E4473" s="5" t="s">
        <v>2269</v>
      </c>
      <c r="F4473" s="5" t="s">
        <v>1336</v>
      </c>
      <c r="G4473" s="6" t="s">
        <v>1134</v>
      </c>
      <c r="H4473" s="6" t="s">
        <v>143</v>
      </c>
      <c r="I4473" s="6">
        <v>1</v>
      </c>
      <c r="J4473" s="6">
        <v>942025</v>
      </c>
      <c r="K4473" s="7" t="s">
        <v>4859</v>
      </c>
      <c r="L4473" s="8">
        <v>1186065</v>
      </c>
      <c r="M4473" s="8" t="str">
        <f t="shared" si="527"/>
        <v>PEN</v>
      </c>
      <c r="N4473" s="13"/>
      <c r="O4473" s="13">
        <v>172</v>
      </c>
      <c r="P4473" s="3">
        <f t="shared" si="528"/>
        <v>0</v>
      </c>
      <c r="Q4473" s="3">
        <f t="shared" si="529"/>
        <v>172</v>
      </c>
      <c r="R4473" s="3">
        <f t="shared" si="536"/>
        <v>88227.989999999976</v>
      </c>
      <c r="S4473" s="24"/>
      <c r="T4473" s="24"/>
      <c r="U4473" s="55"/>
      <c r="V4473" s="25">
        <f>IFERROR(VLOOKUP(BCP_Soles[[#This Row],[destinatario]],CHOOSE({1,2},Clientes_Proveedores[Razon Social],Clientes_Proveedores[Ruc / Dni]),2,0),"")</f>
        <v>71662026</v>
      </c>
      <c r="W4473" s="25"/>
      <c r="X4473" s="25"/>
      <c r="Y4473" s="25"/>
      <c r="Z4473" s="77"/>
      <c r="AA4473" s="3" t="str">
        <f>IF(BCP_Soles[[#This Row],[fecha]]&gt;0,TEXT(BCP_Soles[[#This Row],[fecha]],"mmmm"),0)</f>
        <v>Octubre</v>
      </c>
    </row>
    <row r="4474" spans="1:27" ht="24" x14ac:dyDescent="0.3">
      <c r="A4474" s="105">
        <f>IF(BCP_Soles[[#This Row],[tipo_registro]]="R",COUNTIFS($C$1:$C4473,"R")+1,A4473)</f>
        <v>2959</v>
      </c>
      <c r="B4474" s="74" t="str">
        <f t="shared" si="526"/>
        <v>B-BCP - Soles</v>
      </c>
      <c r="C4474" s="196" t="s">
        <v>1330</v>
      </c>
      <c r="D4474" s="189">
        <v>45961</v>
      </c>
      <c r="E4474" s="190" t="s">
        <v>1338</v>
      </c>
      <c r="F4474" s="190" t="s">
        <v>1336</v>
      </c>
      <c r="G4474" s="191" t="s">
        <v>756</v>
      </c>
      <c r="H4474" s="191" t="s">
        <v>68</v>
      </c>
      <c r="I4474" s="191" t="s">
        <v>1376</v>
      </c>
      <c r="J4474" s="191">
        <v>1502</v>
      </c>
      <c r="K4474" s="106" t="s">
        <v>4860</v>
      </c>
      <c r="L4474" s="192">
        <v>1185594</v>
      </c>
      <c r="M4474" s="192" t="str">
        <f t="shared" ref="M4474" si="537">"PEN"</f>
        <v>PEN</v>
      </c>
      <c r="N4474" s="193"/>
      <c r="O4474" s="193">
        <v>2040.6</v>
      </c>
      <c r="P4474" s="73">
        <f t="shared" si="528"/>
        <v>0</v>
      </c>
      <c r="Q4474" s="73">
        <f t="shared" si="529"/>
        <v>2040.6</v>
      </c>
      <c r="R4474" s="73">
        <f t="shared" si="536"/>
        <v>86187.38999999997</v>
      </c>
      <c r="S4474" s="95" t="s">
        <v>1334</v>
      </c>
      <c r="T4474" s="95" t="s">
        <v>1334</v>
      </c>
      <c r="U4474" s="161"/>
      <c r="V4474" s="72">
        <f>IFERROR(VLOOKUP(BCP_Soles[[#This Row],[destinatario]],CHOOSE({1,2},Clientes_Proveedores[Razon Social],Clientes_Proveedores[Ruc / Dni]),2,0),"")</f>
        <v>10450776578</v>
      </c>
      <c r="W4474" s="72"/>
      <c r="X4474" s="72"/>
      <c r="Y4474" s="72"/>
      <c r="Z4474" s="78"/>
      <c r="AA4474" s="73" t="str">
        <f>IF(BCP_Soles[[#This Row],[fecha]]&gt;0,TEXT(BCP_Soles[[#This Row],[fecha]],"mmmm"),0)</f>
        <v>Octubre</v>
      </c>
    </row>
    <row r="4475" spans="1:27" x14ac:dyDescent="0.3">
      <c r="A4475" s="2">
        <f>IF(BCP_Soles[[#This Row],[tipo_registro]]="R",COUNTIFS($C$1:$C4474,"R")+1,A4474)</f>
        <v>2960</v>
      </c>
      <c r="B4475" s="19" t="str">
        <f t="shared" si="526"/>
        <v>B-BCP - Soles</v>
      </c>
      <c r="C4475" s="196" t="s">
        <v>1330</v>
      </c>
      <c r="D4475" s="189">
        <v>45961</v>
      </c>
      <c r="E4475" s="190" t="s">
        <v>4171</v>
      </c>
      <c r="F4475" s="190" t="s">
        <v>1336</v>
      </c>
      <c r="G4475" s="191" t="s">
        <v>696</v>
      </c>
      <c r="H4475" s="191"/>
      <c r="I4475" s="6"/>
      <c r="J4475" s="6"/>
      <c r="K4475" s="7" t="s">
        <v>4861</v>
      </c>
      <c r="L4475" s="8">
        <v>4888741</v>
      </c>
      <c r="M4475" s="8" t="str">
        <f>"PEN"</f>
        <v>PEN</v>
      </c>
      <c r="N4475" s="13"/>
      <c r="O4475" s="13">
        <v>70356.66</v>
      </c>
      <c r="P4475" s="3">
        <f t="shared" si="528"/>
        <v>0</v>
      </c>
      <c r="Q4475" s="3">
        <f t="shared" si="529"/>
        <v>70356.66</v>
      </c>
      <c r="R4475" s="3">
        <f t="shared" si="536"/>
        <v>15830.729999999967</v>
      </c>
      <c r="S4475" s="24"/>
      <c r="T4475" s="24"/>
      <c r="U4475" s="55"/>
      <c r="V4475" s="25">
        <f>IFERROR(VLOOKUP(BCP_Soles[[#This Row],[destinatario]],CHOOSE({1,2},Clientes_Proveedores[Razon Social],Clientes_Proveedores[Ruc / Dni]),2,0),"")</f>
        <v>0</v>
      </c>
      <c r="W4475" s="25"/>
      <c r="X4475" s="25"/>
      <c r="Y4475" s="25"/>
      <c r="Z4475" s="77"/>
      <c r="AA4475" s="3" t="str">
        <f>IF(BCP_Soles[[#This Row],[fecha]]&gt;0,TEXT(BCP_Soles[[#This Row],[fecha]],"mmmm"),0)</f>
        <v>Octubre</v>
      </c>
    </row>
    <row r="4476" spans="1:27" ht="24" x14ac:dyDescent="0.3">
      <c r="A4476" s="2">
        <f>IF(BCP_Soles[[#This Row],[tipo_registro]]="R",COUNTIFS($C$1:$C4475,"R")+1,A4475)</f>
        <v>2961</v>
      </c>
      <c r="B4476" s="19" t="str">
        <f>"B-BCP - Soles"</f>
        <v>B-BCP - Soles</v>
      </c>
      <c r="C4476" s="3" t="s">
        <v>1330</v>
      </c>
      <c r="D4476" s="189">
        <v>45961</v>
      </c>
      <c r="E4476" s="190" t="s">
        <v>1335</v>
      </c>
      <c r="F4476" s="190" t="s">
        <v>1336</v>
      </c>
      <c r="G4476" s="191" t="s">
        <v>1060</v>
      </c>
      <c r="H4476" s="191"/>
      <c r="I4476" s="6"/>
      <c r="J4476" s="6"/>
      <c r="K4476" s="7" t="s">
        <v>4862</v>
      </c>
      <c r="L4476" s="8"/>
      <c r="M4476" s="8" t="str">
        <f>"PEN"</f>
        <v>PEN</v>
      </c>
      <c r="N4476" s="13"/>
      <c r="O4476" s="13">
        <v>35</v>
      </c>
      <c r="P4476" s="3">
        <f>+IF(OR($F4476="SALDO",$F4476="INGRESO"),$O4476,0)</f>
        <v>0</v>
      </c>
      <c r="Q4476" s="3">
        <f>+IF($F4476="EGRESO",$O4476,0)</f>
        <v>35</v>
      </c>
      <c r="R4476" s="3">
        <f t="shared" si="536"/>
        <v>15795.729999999967</v>
      </c>
      <c r="S4476" s="24"/>
      <c r="T4476" s="24"/>
      <c r="U4476" s="55"/>
      <c r="V4476" s="25">
        <f>IFERROR(VLOOKUP(BCP_Soles[[#This Row],[destinatario]],CHOOSE({1,2},Clientes_Proveedores[Razon Social],Clientes_Proveedores[Ruc / Dni]),2,0),"")</f>
        <v>20100047218</v>
      </c>
      <c r="W4476" s="25"/>
      <c r="X4476" s="25"/>
      <c r="Y4476" s="25"/>
      <c r="Z4476" s="77"/>
      <c r="AA4476" s="3" t="str">
        <f>IF(BCP_Soles[[#This Row],[fecha]]&gt;0,TEXT(BCP_Soles[[#This Row],[fecha]],"mmmm"),0)</f>
        <v>Octubre</v>
      </c>
    </row>
    <row r="4477" spans="1:27" ht="24" x14ac:dyDescent="0.3">
      <c r="A4477" s="2">
        <f>IF(BCP_Soles[[#This Row],[tipo_registro]]="R",COUNTIFS($C$1:$C4476,"R")+1,A4476)</f>
        <v>2962</v>
      </c>
      <c r="B4477" s="19" t="str">
        <f>"B-BCP - Soles"</f>
        <v>B-BCP - Soles</v>
      </c>
      <c r="C4477" s="3" t="s">
        <v>1330</v>
      </c>
      <c r="D4477" s="189">
        <v>45961</v>
      </c>
      <c r="E4477" s="190" t="s">
        <v>1335</v>
      </c>
      <c r="F4477" s="190" t="s">
        <v>1336</v>
      </c>
      <c r="G4477" s="6" t="s">
        <v>1060</v>
      </c>
      <c r="H4477" s="191"/>
      <c r="I4477" s="6"/>
      <c r="J4477" s="6"/>
      <c r="K4477" s="7" t="s">
        <v>4863</v>
      </c>
      <c r="L4477" s="8">
        <v>981219</v>
      </c>
      <c r="M4477" s="8" t="str">
        <f>"PEN"</f>
        <v>PEN</v>
      </c>
      <c r="N4477" s="13"/>
      <c r="O4477" s="13">
        <v>5.5</v>
      </c>
      <c r="P4477" s="3">
        <f>+IF(OR($F4477="SALDO",$F4477="INGRESO"),$O4477,0)</f>
        <v>0</v>
      </c>
      <c r="Q4477" s="3">
        <f>+IF($F4477="EGRESO",$O4477,0)</f>
        <v>5.5</v>
      </c>
      <c r="R4477" s="3">
        <f t="shared" si="536"/>
        <v>15790.229999999967</v>
      </c>
      <c r="S4477" s="24"/>
      <c r="T4477" s="24"/>
      <c r="U4477" s="55"/>
      <c r="V4477" s="25">
        <f>IFERROR(VLOOKUP(BCP_Soles[[#This Row],[destinatario]],CHOOSE({1,2},Clientes_Proveedores[Razon Social],Clientes_Proveedores[Ruc / Dni]),2,0),"")</f>
        <v>20100047218</v>
      </c>
      <c r="W4477" s="25"/>
      <c r="X4477" s="25"/>
      <c r="Y4477" s="25"/>
      <c r="Z4477" s="77"/>
      <c r="AA4477" s="3" t="str">
        <f>IF(BCP_Soles[[#This Row],[fecha]]&gt;0,TEXT(BCP_Soles[[#This Row],[fecha]],"mmmm"),0)</f>
        <v>Octubre</v>
      </c>
    </row>
    <row r="4478" spans="1:27" x14ac:dyDescent="0.3">
      <c r="A4478" s="2">
        <f>IF(BCP_Soles[[#This Row],[tipo_registro]]="R",COUNTIFS($C$1:$C4477,"R")+1,A4477)</f>
        <v>2963</v>
      </c>
      <c r="B4478" s="19" t="str">
        <f>"B-BCP - Soles"</f>
        <v>B-BCP - Soles</v>
      </c>
      <c r="C4478" s="3" t="s">
        <v>1330</v>
      </c>
      <c r="D4478" s="189">
        <v>45961</v>
      </c>
      <c r="E4478" s="190" t="s">
        <v>1335</v>
      </c>
      <c r="F4478" s="190" t="s">
        <v>1336</v>
      </c>
      <c r="G4478" s="6"/>
      <c r="H4478" s="191"/>
      <c r="I4478" s="6"/>
      <c r="J4478" s="6"/>
      <c r="K4478" s="7" t="s">
        <v>3160</v>
      </c>
      <c r="L4478" s="8"/>
      <c r="M4478" s="8" t="str">
        <f>"PEN"</f>
        <v>PEN</v>
      </c>
      <c r="N4478" s="13"/>
      <c r="O4478" s="13">
        <v>4.5999999999999996</v>
      </c>
      <c r="P4478" s="3">
        <f>+IF(OR($F4478="SALDO",$F4478="INGRESO"),$O4478,0)</f>
        <v>0</v>
      </c>
      <c r="Q4478" s="3">
        <f>+IF($F4478="EGRESO",$O4478,0)</f>
        <v>4.5999999999999996</v>
      </c>
      <c r="R4478" s="3">
        <f t="shared" si="536"/>
        <v>15785.629999999966</v>
      </c>
      <c r="S4478" s="24"/>
      <c r="T4478" s="24"/>
      <c r="U4478" s="55"/>
      <c r="V4478" s="25" t="str">
        <f>IFERROR(VLOOKUP(BCP_Soles[[#This Row],[destinatario]],CHOOSE({1,2},Clientes_Proveedores[Razon Social],Clientes_Proveedores[Ruc / Dni]),2,0),"")</f>
        <v/>
      </c>
      <c r="W4478" s="25"/>
      <c r="X4478" s="25"/>
      <c r="Y4478" s="25"/>
      <c r="Z4478" s="77"/>
      <c r="AA4478" s="3" t="str">
        <f>IF(BCP_Soles[[#This Row],[fecha]]&gt;0,TEXT(BCP_Soles[[#This Row],[fecha]],"mmmm"),0)</f>
        <v>Octubre</v>
      </c>
    </row>
    <row r="4479" spans="1:27" ht="24" x14ac:dyDescent="0.3">
      <c r="A4479" s="2">
        <f>IF(BCP_Soles[[#This Row],[tipo_registro]]="R",COUNTIFS($C$1:$C4478,"R")+1,A4478)</f>
        <v>2964</v>
      </c>
      <c r="B4479" s="19" t="str">
        <f>"B-BCP - Soles"</f>
        <v>B-BCP - Soles</v>
      </c>
      <c r="C4479" s="3" t="s">
        <v>1330</v>
      </c>
      <c r="D4479" s="14">
        <v>45963</v>
      </c>
      <c r="E4479" s="5" t="s">
        <v>433</v>
      </c>
      <c r="F4479" s="5" t="s">
        <v>1303</v>
      </c>
      <c r="G4479" s="6" t="s">
        <v>425</v>
      </c>
      <c r="H4479" s="191" t="s">
        <v>68</v>
      </c>
      <c r="I4479" s="6" t="s">
        <v>3302</v>
      </c>
      <c r="J4479" s="6">
        <v>162</v>
      </c>
      <c r="K4479" s="7" t="s">
        <v>1356</v>
      </c>
      <c r="L4479" s="8">
        <v>3534964</v>
      </c>
      <c r="M4479" s="8" t="str">
        <f>"PEN"</f>
        <v>PEN</v>
      </c>
      <c r="N4479" s="13"/>
      <c r="O4479" s="13">
        <v>777.5</v>
      </c>
      <c r="P4479" s="3">
        <f>+IF(OR($F4479="SALDO",$F4479="INGRESO"),$O4479,0)</f>
        <v>777.5</v>
      </c>
      <c r="Q4479" s="3">
        <f>+IF($F4479="EGRESO",$O4479,0)</f>
        <v>0</v>
      </c>
      <c r="R4479" s="3">
        <f t="shared" si="536"/>
        <v>16563.129999999968</v>
      </c>
      <c r="S4479" s="24" t="s">
        <v>1334</v>
      </c>
      <c r="T4479" s="24" t="s">
        <v>1334</v>
      </c>
      <c r="U4479" s="55"/>
      <c r="V4479" s="25">
        <f>IFERROR(VLOOKUP(BCP_Soles[[#This Row],[destinatario]],CHOOSE({1,2},Clientes_Proveedores[Razon Social],Clientes_Proveedores[Ruc / Dni]),2,0),"")</f>
        <v>20558226979</v>
      </c>
      <c r="W4479" s="25"/>
      <c r="X4479" s="25"/>
      <c r="Y4479" s="25"/>
      <c r="Z4479" s="77"/>
      <c r="AA4479" s="3" t="str">
        <f>IF(BCP_Soles[[#This Row],[fecha]]&gt;0,TEXT(BCP_Soles[[#This Row],[fecha]],"mmmm"),0)</f>
        <v>Noviembre</v>
      </c>
    </row>
    <row r="4480" spans="1:27" ht="24" x14ac:dyDescent="0.3">
      <c r="A4480" s="2">
        <f>IF(BCP_Soles[[#This Row],[tipo_registro]]="R",COUNTIFS($C$1:$C4479,"R")+1,A4479)</f>
        <v>2965</v>
      </c>
      <c r="B4480" s="19" t="str">
        <f t="shared" ref="B4480:B4481" si="538">"B-BCP - Soles"</f>
        <v>B-BCP - Soles</v>
      </c>
      <c r="C4480" s="3" t="s">
        <v>1330</v>
      </c>
      <c r="D4480" s="14">
        <v>45963</v>
      </c>
      <c r="E4480" s="5" t="s">
        <v>433</v>
      </c>
      <c r="F4480" s="5" t="s">
        <v>1303</v>
      </c>
      <c r="G4480" s="6" t="s">
        <v>425</v>
      </c>
      <c r="H4480" s="191" t="s">
        <v>68</v>
      </c>
      <c r="I4480" s="6" t="s">
        <v>3302</v>
      </c>
      <c r="J4480" s="6">
        <v>155</v>
      </c>
      <c r="K4480" s="7" t="s">
        <v>1356</v>
      </c>
      <c r="L4480" s="8">
        <v>3497139</v>
      </c>
      <c r="M4480" s="8" t="str">
        <f t="shared" ref="M4480:M4481" si="539">"PEN"</f>
        <v>PEN</v>
      </c>
      <c r="N4480" s="13"/>
      <c r="O4480" s="13">
        <v>689.12</v>
      </c>
      <c r="P4480" s="3">
        <f t="shared" ref="P4480:P4481" si="540">+IF(OR($F4480="SALDO",$F4480="INGRESO"),$O4480,0)</f>
        <v>689.12</v>
      </c>
      <c r="Q4480" s="3">
        <f t="shared" ref="Q4480:Q4481" si="541">+IF($F4480="EGRESO",$O4480,0)</f>
        <v>0</v>
      </c>
      <c r="R4480" s="3">
        <f t="shared" ref="R4480:R4481" si="542">IFERROR(IF(F4480="SALDO",P4480,R4479+P4480-Q4480),0)</f>
        <v>17252.249999999967</v>
      </c>
      <c r="S4480" s="24" t="s">
        <v>1334</v>
      </c>
      <c r="T4480" s="24" t="s">
        <v>1334</v>
      </c>
      <c r="U4480" s="55"/>
      <c r="V4480" s="25">
        <f>IFERROR(VLOOKUP(BCP_Soles[[#This Row],[destinatario]],CHOOSE({1,2},Clientes_Proveedores[Razon Social],Clientes_Proveedores[Ruc / Dni]),2,0),"")</f>
        <v>20558226979</v>
      </c>
      <c r="W4480" s="25"/>
      <c r="X4480" s="25"/>
      <c r="Y4480" s="25"/>
      <c r="Z4480" s="77"/>
      <c r="AA4480" s="3" t="str">
        <f>IF(BCP_Soles[[#This Row],[fecha]]&gt;0,TEXT(BCP_Soles[[#This Row],[fecha]],"mmmm"),0)</f>
        <v>Noviembre</v>
      </c>
    </row>
    <row r="4481" spans="1:27" x14ac:dyDescent="0.3">
      <c r="A4481" s="2">
        <f>IF(BCP_Soles[[#This Row],[tipo_registro]]="R",COUNTIFS($C$1:$C4480,"R")+1,A4480)</f>
        <v>2966</v>
      </c>
      <c r="B4481" s="19" t="str">
        <f t="shared" si="538"/>
        <v>B-BCP - Soles</v>
      </c>
      <c r="C4481" s="3" t="s">
        <v>1330</v>
      </c>
      <c r="D4481" s="14">
        <v>45963</v>
      </c>
      <c r="E4481" s="5" t="s">
        <v>1335</v>
      </c>
      <c r="F4481" s="190" t="s">
        <v>1336</v>
      </c>
      <c r="G4481" s="6"/>
      <c r="H4481" s="191"/>
      <c r="I4481" s="6"/>
      <c r="J4481" s="6"/>
      <c r="K4481" s="7" t="s">
        <v>3160</v>
      </c>
      <c r="L4481" s="8"/>
      <c r="M4481" s="8" t="str">
        <f t="shared" si="539"/>
        <v>PEN</v>
      </c>
      <c r="N4481" s="13"/>
      <c r="O4481" s="13">
        <v>0.65</v>
      </c>
      <c r="P4481" s="3">
        <f t="shared" si="540"/>
        <v>0</v>
      </c>
      <c r="Q4481" s="3">
        <f t="shared" si="541"/>
        <v>0.65</v>
      </c>
      <c r="R4481" s="3">
        <f t="shared" si="542"/>
        <v>17251.599999999966</v>
      </c>
      <c r="S4481" s="24"/>
      <c r="T4481" s="24"/>
      <c r="U4481" s="55"/>
      <c r="V4481" s="25" t="str">
        <f>IFERROR(VLOOKUP(BCP_Soles[[#This Row],[destinatario]],CHOOSE({1,2},Clientes_Proveedores[Razon Social],Clientes_Proveedores[Ruc / Dni]),2,0),"")</f>
        <v/>
      </c>
      <c r="W4481" s="25"/>
      <c r="X4481" s="25"/>
      <c r="Y4481" s="25"/>
      <c r="Z4481" s="77"/>
      <c r="AA4481" s="3" t="str">
        <f>IF(BCP_Soles[[#This Row],[fecha]]&gt;0,TEXT(BCP_Soles[[#This Row],[fecha]],"mmmm"),0)</f>
        <v>Noviembre</v>
      </c>
    </row>
    <row r="4482" spans="1:27" x14ac:dyDescent="0.3">
      <c r="A4482" s="2">
        <f>IF(BCP_Soles[[#This Row],[tipo_registro]]="R",COUNTIFS($C$1:$C4481,"R")+1,A4481)</f>
        <v>2967</v>
      </c>
      <c r="B4482" s="19" t="str">
        <f>"B-BCP - Soles"</f>
        <v>B-BCP - Soles</v>
      </c>
      <c r="C4482" s="3" t="s">
        <v>1330</v>
      </c>
      <c r="D4482" s="14">
        <v>45964</v>
      </c>
      <c r="E4482" s="5"/>
      <c r="F4482" s="5" t="s">
        <v>1303</v>
      </c>
      <c r="G4482" s="6" t="s">
        <v>425</v>
      </c>
      <c r="H4482" s="191"/>
      <c r="I4482" s="6"/>
      <c r="J4482" s="6"/>
      <c r="K4482" s="7" t="s">
        <v>3608</v>
      </c>
      <c r="L4482" s="8">
        <v>2919875</v>
      </c>
      <c r="M4482" s="8" t="str">
        <f>"PEN"</f>
        <v>PEN</v>
      </c>
      <c r="N4482" s="13"/>
      <c r="O4482" s="13">
        <v>8560</v>
      </c>
      <c r="P4482" s="3">
        <f>+IF(OR($F4482="SALDO",$F4482="INGRESO"),$O4482,0)</f>
        <v>8560</v>
      </c>
      <c r="Q4482" s="3">
        <f>+IF($F4482="EGRESO",$O4482,0)</f>
        <v>0</v>
      </c>
      <c r="R4482" s="3">
        <f>IFERROR(IF(F4482="SALDO",P4482,R4481+P4482-Q4482),0)</f>
        <v>25811.599999999966</v>
      </c>
      <c r="S4482" s="24"/>
      <c r="T4482" s="24"/>
      <c r="U4482" s="55"/>
      <c r="V4482" s="25">
        <f>IFERROR(VLOOKUP(BCP_Soles[[#This Row],[destinatario]],CHOOSE({1,2},Clientes_Proveedores[Razon Social],Clientes_Proveedores[Ruc / Dni]),2,0),"")</f>
        <v>20558226979</v>
      </c>
      <c r="W4482" s="25"/>
      <c r="X4482" s="25"/>
      <c r="Y4482" s="25"/>
      <c r="Z4482" s="77"/>
      <c r="AA4482" s="3" t="str">
        <f>IF(BCP_Soles[[#This Row],[fecha]]&gt;0,TEXT(BCP_Soles[[#This Row],[fecha]],"mmmm"),0)</f>
        <v>Noviembre</v>
      </c>
    </row>
    <row r="4483" spans="1:27" ht="24" x14ac:dyDescent="0.3">
      <c r="A4483" s="2">
        <f>IF(BCP_Soles[[#This Row],[tipo_registro]]="R",COUNTIFS($C$1:$C4482,"R")+1,A4482)</f>
        <v>2967</v>
      </c>
      <c r="B4483" s="19" t="str">
        <f>"B-BCP - Soles"</f>
        <v>B-BCP - Soles</v>
      </c>
      <c r="C4483" s="3" t="s">
        <v>1352</v>
      </c>
      <c r="D4483" s="14">
        <v>45964</v>
      </c>
      <c r="E4483" s="5" t="s">
        <v>309</v>
      </c>
      <c r="F4483" s="5" t="s">
        <v>1303</v>
      </c>
      <c r="G4483" s="6" t="s">
        <v>425</v>
      </c>
      <c r="H4483" s="191" t="s">
        <v>119</v>
      </c>
      <c r="I4483" s="6">
        <v>1</v>
      </c>
      <c r="J4483" s="6">
        <v>4869</v>
      </c>
      <c r="K4483" s="7" t="s">
        <v>3608</v>
      </c>
      <c r="L4483" s="8">
        <v>2919875</v>
      </c>
      <c r="M4483" s="8" t="str">
        <f>"PEN"</f>
        <v>PEN</v>
      </c>
      <c r="N4483" s="13">
        <v>8410</v>
      </c>
      <c r="O4483" s="13"/>
      <c r="P4483" s="3">
        <f>+IF(OR($F4483="SALDO",$F4483="INGRESO"),$O4483,0)</f>
        <v>0</v>
      </c>
      <c r="Q4483" s="3">
        <f>+IF($F4483="EGRESO",$O4483,0)</f>
        <v>0</v>
      </c>
      <c r="R4483" s="3">
        <f>IFERROR(IF(F4483="SALDO",P4483,R4482+P4483-Q4483),0)</f>
        <v>25811.599999999966</v>
      </c>
      <c r="S4483" s="24"/>
      <c r="T4483" s="24"/>
      <c r="U4483" s="55"/>
      <c r="V4483" s="25">
        <f>IFERROR(VLOOKUP(BCP_Soles[[#This Row],[destinatario]],CHOOSE({1,2},Clientes_Proveedores[Razon Social],Clientes_Proveedores[Ruc / Dni]),2,0),"")</f>
        <v>20558226979</v>
      </c>
      <c r="W4483" s="25"/>
      <c r="X4483" s="25"/>
      <c r="Y4483" s="25"/>
      <c r="Z4483" s="77"/>
      <c r="AA4483" s="3" t="str">
        <f>IF(BCP_Soles[[#This Row],[fecha]]&gt;0,TEXT(BCP_Soles[[#This Row],[fecha]],"mmmm"),0)</f>
        <v>Noviembre</v>
      </c>
    </row>
    <row r="4484" spans="1:27" x14ac:dyDescent="0.3">
      <c r="A4484" s="2">
        <f>IF(BCP_Soles[[#This Row],[tipo_registro]]="R",COUNTIFS($C$1:$C4483,"R")+1,A4483)</f>
        <v>2967</v>
      </c>
      <c r="B4484" s="19" t="str">
        <f>"B-BCP - Soles"</f>
        <v>B-BCP - Soles</v>
      </c>
      <c r="C4484" s="3" t="s">
        <v>1352</v>
      </c>
      <c r="D4484" s="14">
        <v>45964</v>
      </c>
      <c r="E4484" s="5"/>
      <c r="F4484" s="5" t="s">
        <v>1303</v>
      </c>
      <c r="G4484" s="6" t="s">
        <v>425</v>
      </c>
      <c r="H4484" s="191" t="s">
        <v>119</v>
      </c>
      <c r="I4484" s="6"/>
      <c r="J4484" s="6" t="s">
        <v>3444</v>
      </c>
      <c r="K4484" s="7" t="s">
        <v>3608</v>
      </c>
      <c r="L4484" s="8">
        <v>2919875</v>
      </c>
      <c r="M4484" s="8" t="str">
        <f>"PEN"</f>
        <v>PEN</v>
      </c>
      <c r="N4484" s="13">
        <v>150</v>
      </c>
      <c r="O4484" s="13"/>
      <c r="P4484" s="3">
        <f>+IF(OR($F4484="SALDO",$F4484="INGRESO"),$O4484,0)</f>
        <v>0</v>
      </c>
      <c r="Q4484" s="3">
        <f>+IF($F4484="EGRESO",$O4484,0)</f>
        <v>0</v>
      </c>
      <c r="R4484" s="3">
        <f t="shared" ref="R4484" si="543">IFERROR(IF(F4484="SALDO",P4484,R4483+P4484-Q4484),0)</f>
        <v>25811.599999999966</v>
      </c>
      <c r="S4484" s="24"/>
      <c r="T4484" s="24"/>
      <c r="U4484" s="55"/>
      <c r="V4484" s="25">
        <f>IFERROR(VLOOKUP(BCP_Soles[[#This Row],[destinatario]],CHOOSE({1,2},Clientes_Proveedores[Razon Social],Clientes_Proveedores[Ruc / Dni]),2,0),"")</f>
        <v>20558226979</v>
      </c>
      <c r="W4484" s="25"/>
      <c r="X4484" s="25"/>
      <c r="Y4484" s="25"/>
      <c r="Z4484" s="77"/>
      <c r="AA4484" s="3" t="str">
        <f>IF(BCP_Soles[[#This Row],[fecha]]&gt;0,TEXT(BCP_Soles[[#This Row],[fecha]],"mmmm"),0)</f>
        <v>Noviembre</v>
      </c>
    </row>
    <row r="4485" spans="1:27" ht="24" x14ac:dyDescent="0.3">
      <c r="A4485" s="2">
        <f>IF(BCP_Soles[[#This Row],[tipo_registro]]="R",COUNTIFS($C$1:$C4484,"R")+1,A4484)</f>
        <v>2968</v>
      </c>
      <c r="B4485" s="19" t="str">
        <f>"B-BCP - Soles"</f>
        <v>B-BCP - Soles</v>
      </c>
      <c r="C4485" s="3" t="s">
        <v>1330</v>
      </c>
      <c r="D4485" s="14">
        <v>45964</v>
      </c>
      <c r="E4485" s="5" t="s">
        <v>4357</v>
      </c>
      <c r="F4485" s="5" t="s">
        <v>1303</v>
      </c>
      <c r="G4485" s="6" t="s">
        <v>425</v>
      </c>
      <c r="H4485" s="191" t="s">
        <v>119</v>
      </c>
      <c r="I4485" s="6">
        <v>1</v>
      </c>
      <c r="J4485" s="6">
        <v>4892</v>
      </c>
      <c r="K4485" s="7" t="s">
        <v>3608</v>
      </c>
      <c r="L4485" s="8">
        <v>4562094</v>
      </c>
      <c r="M4485" s="8" t="str">
        <f>"PEN"</f>
        <v>PEN</v>
      </c>
      <c r="N4485" s="13"/>
      <c r="O4485" s="13">
        <v>951.5</v>
      </c>
      <c r="P4485" s="3">
        <f>+IF(OR($F4485="SALDO",$F4485="INGRESO"),$O4485,0)</f>
        <v>951.5</v>
      </c>
      <c r="Q4485" s="3">
        <f>+IF($F4485="EGRESO",$O4485,0)</f>
        <v>0</v>
      </c>
      <c r="R4485" s="3">
        <f>IFERROR(IF(F4485="SALDO",P4485,R4484+P4485-Q4485),0)</f>
        <v>26763.099999999966</v>
      </c>
      <c r="S4485" s="24" t="s">
        <v>1334</v>
      </c>
      <c r="T4485" s="24" t="s">
        <v>1334</v>
      </c>
      <c r="U4485" s="55"/>
      <c r="V4485" s="25">
        <f>IFERROR(VLOOKUP(BCP_Soles[[#This Row],[destinatario]],CHOOSE({1,2},Clientes_Proveedores[Razon Social],Clientes_Proveedores[Ruc / Dni]),2,0),"")</f>
        <v>20558226979</v>
      </c>
      <c r="W4485" s="25"/>
      <c r="X4485" s="25"/>
      <c r="Y4485" s="25"/>
      <c r="Z4485" s="77"/>
      <c r="AA4485" s="3" t="str">
        <f>IF(BCP_Soles[[#This Row],[fecha]]&gt;0,TEXT(BCP_Soles[[#This Row],[fecha]],"mmmm"),0)</f>
        <v>Noviembre</v>
      </c>
    </row>
    <row r="4486" spans="1:27" ht="24" x14ac:dyDescent="0.3">
      <c r="A4486" s="2">
        <f>IF(BCP_Soles[[#This Row],[tipo_registro]]="R",COUNTIFS($C$1:$C4485,"R")+1,A4485)</f>
        <v>2969</v>
      </c>
      <c r="B4486" s="19" t="str">
        <f t="shared" ref="B4486:B4494" si="544">"B-BCP - Soles"</f>
        <v>B-BCP - Soles</v>
      </c>
      <c r="C4486" s="3" t="s">
        <v>1330</v>
      </c>
      <c r="D4486" s="14">
        <v>45964</v>
      </c>
      <c r="E4486" s="5" t="s">
        <v>1338</v>
      </c>
      <c r="F4486" s="5" t="s">
        <v>1336</v>
      </c>
      <c r="G4486" s="6" t="s">
        <v>705</v>
      </c>
      <c r="H4486" s="191" t="s">
        <v>106</v>
      </c>
      <c r="I4486" s="6" t="s">
        <v>2488</v>
      </c>
      <c r="J4486" s="6">
        <v>75303273</v>
      </c>
      <c r="K4486" s="7" t="s">
        <v>4864</v>
      </c>
      <c r="L4486" s="8">
        <v>4104760</v>
      </c>
      <c r="M4486" s="8" t="str">
        <f t="shared" ref="M4486:M4494" si="545">"PEN"</f>
        <v>PEN</v>
      </c>
      <c r="N4486" s="13"/>
      <c r="O4486" s="13">
        <v>142.9</v>
      </c>
      <c r="P4486" s="3">
        <f t="shared" ref="P4486:P4494" si="546">+IF(OR($F4486="SALDO",$F4486="INGRESO"),$O4486,0)</f>
        <v>0</v>
      </c>
      <c r="Q4486" s="3">
        <f t="shared" ref="Q4486:Q4494" si="547">+IF($F4486="EGRESO",$O4486,0)</f>
        <v>142.9</v>
      </c>
      <c r="R4486" s="3">
        <f>IFERROR(IF(F4486="SALDO",P4486,R4485+P4486-Q4486),0)</f>
        <v>26620.199999999964</v>
      </c>
      <c r="S4486" s="24" t="s">
        <v>1334</v>
      </c>
      <c r="T4486" s="24" t="s">
        <v>1334</v>
      </c>
      <c r="U4486" s="55"/>
      <c r="V4486" s="25">
        <f>IFERROR(VLOOKUP(BCP_Soles[[#This Row],[destinatario]],CHOOSE({1,2},Clientes_Proveedores[Razon Social],Clientes_Proveedores[Ruc / Dni]),2,0),"")</f>
        <v>20100017491</v>
      </c>
      <c r="W4486" s="25"/>
      <c r="X4486" s="25"/>
      <c r="Y4486" s="25"/>
      <c r="Z4486" s="77"/>
      <c r="AA4486" s="3" t="str">
        <f>IF(BCP_Soles[[#This Row],[fecha]]&gt;0,TEXT(BCP_Soles[[#This Row],[fecha]],"mmmm"),0)</f>
        <v>Noviembre</v>
      </c>
    </row>
    <row r="4487" spans="1:27" ht="24" x14ac:dyDescent="0.3">
      <c r="A4487" s="2">
        <f>IF(BCP_Soles[[#This Row],[tipo_registro]]="R",COUNTIFS($C$1:$C4486,"R")+1,A4486)</f>
        <v>2970</v>
      </c>
      <c r="B4487" s="19" t="str">
        <f t="shared" si="544"/>
        <v>B-BCP - Soles</v>
      </c>
      <c r="C4487" s="3" t="s">
        <v>1330</v>
      </c>
      <c r="D4487" s="14">
        <v>45964</v>
      </c>
      <c r="E4487" s="5" t="s">
        <v>2269</v>
      </c>
      <c r="F4487" s="5" t="s">
        <v>1336</v>
      </c>
      <c r="G4487" s="6" t="s">
        <v>708</v>
      </c>
      <c r="H4487" s="191"/>
      <c r="I4487" s="6"/>
      <c r="J4487" s="6"/>
      <c r="K4487" s="7" t="s">
        <v>4865</v>
      </c>
      <c r="L4487" s="8">
        <v>107693</v>
      </c>
      <c r="M4487" s="8" t="str">
        <f t="shared" si="545"/>
        <v>PEN</v>
      </c>
      <c r="N4487" s="13"/>
      <c r="O4487" s="13">
        <v>38.94</v>
      </c>
      <c r="P4487" s="3">
        <f t="shared" si="546"/>
        <v>0</v>
      </c>
      <c r="Q4487" s="3">
        <f t="shared" si="547"/>
        <v>38.94</v>
      </c>
      <c r="R4487" s="3">
        <f t="shared" ref="R4487:R4490" si="548">IFERROR(IF(F4487="SALDO",P4487,R4486+P4487-Q4487),0)</f>
        <v>26581.259999999966</v>
      </c>
      <c r="S4487" s="24"/>
      <c r="T4487" s="24"/>
      <c r="U4487" s="55"/>
      <c r="V4487" s="25">
        <f>IFERROR(VLOOKUP(BCP_Soles[[#This Row],[destinatario]],CHOOSE({1,2},Clientes_Proveedores[Razon Social],Clientes_Proveedores[Ruc / Dni]),2,0),"")</f>
        <v>20467534026</v>
      </c>
      <c r="W4487" s="25"/>
      <c r="X4487" s="25"/>
      <c r="Y4487" s="25"/>
      <c r="Z4487" s="77"/>
      <c r="AA4487" s="3" t="str">
        <f>IF(BCP_Soles[[#This Row],[fecha]]&gt;0,TEXT(BCP_Soles[[#This Row],[fecha]],"mmmm"),0)</f>
        <v>Noviembre</v>
      </c>
    </row>
    <row r="4488" spans="1:27" x14ac:dyDescent="0.3">
      <c r="A4488" s="2">
        <f>IF(BCP_Soles[[#This Row],[tipo_registro]]="R",COUNTIFS($C$1:$C4487,"R")+1,A4487)</f>
        <v>2971</v>
      </c>
      <c r="B4488" s="19" t="str">
        <f t="shared" si="544"/>
        <v>B-BCP - Soles</v>
      </c>
      <c r="C4488" s="3" t="s">
        <v>1330</v>
      </c>
      <c r="D4488" s="14">
        <v>45964</v>
      </c>
      <c r="E4488" s="5" t="s">
        <v>2269</v>
      </c>
      <c r="F4488" s="5" t="s">
        <v>1336</v>
      </c>
      <c r="G4488" s="6" t="s">
        <v>648</v>
      </c>
      <c r="H4488" s="191" t="s">
        <v>68</v>
      </c>
      <c r="I4488" s="6"/>
      <c r="J4488" s="6"/>
      <c r="K4488" s="7" t="s">
        <v>1848</v>
      </c>
      <c r="L4488" s="8">
        <v>106472</v>
      </c>
      <c r="M4488" s="8" t="str">
        <f t="shared" si="545"/>
        <v>PEN</v>
      </c>
      <c r="N4488" s="13"/>
      <c r="O4488" s="13">
        <v>120.36</v>
      </c>
      <c r="P4488" s="3">
        <f t="shared" si="546"/>
        <v>0</v>
      </c>
      <c r="Q4488" s="3">
        <f t="shared" si="547"/>
        <v>120.36</v>
      </c>
      <c r="R4488" s="3">
        <f t="shared" si="548"/>
        <v>26460.899999999965</v>
      </c>
      <c r="S4488" s="24"/>
      <c r="T4488" s="24"/>
      <c r="U4488" s="55"/>
      <c r="V4488" s="25">
        <f>IFERROR(VLOOKUP(BCP_Soles[[#This Row],[destinatario]],CHOOSE({1,2},Clientes_Proveedores[Razon Social],Clientes_Proveedores[Ruc / Dni]),2,0),"")</f>
        <v>20265681299</v>
      </c>
      <c r="W4488" s="25"/>
      <c r="X4488" s="25"/>
      <c r="Y4488" s="25"/>
      <c r="Z4488" s="77"/>
      <c r="AA4488" s="3" t="str">
        <f>IF(BCP_Soles[[#This Row],[fecha]]&gt;0,TEXT(BCP_Soles[[#This Row],[fecha]],"mmmm"),0)</f>
        <v>Noviembre</v>
      </c>
    </row>
    <row r="4489" spans="1:27" ht="36" x14ac:dyDescent="0.3">
      <c r="A4489" s="2">
        <f>IF(BCP_Soles[[#This Row],[tipo_registro]]="R",COUNTIFS($C$1:$C4488,"R")+1,A4488)</f>
        <v>2972</v>
      </c>
      <c r="B4489" s="19" t="str">
        <f t="shared" si="544"/>
        <v>B-BCP - Soles</v>
      </c>
      <c r="C4489" s="3" t="s">
        <v>1330</v>
      </c>
      <c r="D4489" s="14">
        <v>45964</v>
      </c>
      <c r="E4489" s="5" t="s">
        <v>2269</v>
      </c>
      <c r="F4489" s="5" t="s">
        <v>1336</v>
      </c>
      <c r="G4489" s="6" t="s">
        <v>702</v>
      </c>
      <c r="H4489" s="191" t="s">
        <v>68</v>
      </c>
      <c r="I4489" s="6" t="s">
        <v>3515</v>
      </c>
      <c r="J4489" s="6">
        <v>430649</v>
      </c>
      <c r="K4489" s="7" t="s">
        <v>4866</v>
      </c>
      <c r="L4489" s="8">
        <v>1107694</v>
      </c>
      <c r="M4489" s="8" t="str">
        <f t="shared" si="545"/>
        <v>PEN</v>
      </c>
      <c r="N4489" s="13"/>
      <c r="O4489" s="13">
        <v>159</v>
      </c>
      <c r="P4489" s="3">
        <f t="shared" si="546"/>
        <v>0</v>
      </c>
      <c r="Q4489" s="3">
        <f t="shared" si="547"/>
        <v>159</v>
      </c>
      <c r="R4489" s="3">
        <f t="shared" si="548"/>
        <v>26301.899999999965</v>
      </c>
      <c r="S4489" s="24" t="s">
        <v>1334</v>
      </c>
      <c r="T4489" s="24" t="s">
        <v>1334</v>
      </c>
      <c r="U4489" s="55"/>
      <c r="V4489" s="25">
        <f>IFERROR(VLOOKUP(BCP_Soles[[#This Row],[destinatario]],CHOOSE({1,2},Clientes_Proveedores[Razon Social],Clientes_Proveedores[Ruc / Dni]),2,0),"")</f>
        <v>20454073143</v>
      </c>
      <c r="W4489" s="25"/>
      <c r="X4489" s="25"/>
      <c r="Y4489" s="25"/>
      <c r="Z4489" s="77"/>
      <c r="AA4489" s="3" t="str">
        <f>IF(BCP_Soles[[#This Row],[fecha]]&gt;0,TEXT(BCP_Soles[[#This Row],[fecha]],"mmmm"),0)</f>
        <v>Noviembre</v>
      </c>
    </row>
    <row r="4490" spans="1:27" x14ac:dyDescent="0.3">
      <c r="A4490" s="2">
        <f>IF(BCP_Soles[[#This Row],[tipo_registro]]="R",COUNTIFS($C$1:$C4489,"R")+1,A4489)</f>
        <v>2973</v>
      </c>
      <c r="B4490" s="19" t="str">
        <f t="shared" si="544"/>
        <v>B-BCP - Soles</v>
      </c>
      <c r="C4490" s="3" t="s">
        <v>1330</v>
      </c>
      <c r="D4490" s="14">
        <v>45964</v>
      </c>
      <c r="E4490" s="5" t="s">
        <v>2269</v>
      </c>
      <c r="F4490" s="5" t="s">
        <v>1336</v>
      </c>
      <c r="G4490" s="6" t="s">
        <v>696</v>
      </c>
      <c r="H4490" s="191"/>
      <c r="I4490" s="6"/>
      <c r="J4490" s="6"/>
      <c r="K4490" s="7" t="s">
        <v>4867</v>
      </c>
      <c r="L4490" s="8">
        <v>5855602</v>
      </c>
      <c r="M4490" s="8" t="str">
        <f t="shared" si="545"/>
        <v>PEN</v>
      </c>
      <c r="N4490" s="13"/>
      <c r="O4490" s="13">
        <v>3740.48</v>
      </c>
      <c r="P4490" s="3">
        <f t="shared" si="546"/>
        <v>0</v>
      </c>
      <c r="Q4490" s="3">
        <f t="shared" si="547"/>
        <v>3740.48</v>
      </c>
      <c r="R4490" s="3">
        <f t="shared" si="548"/>
        <v>22561.419999999966</v>
      </c>
      <c r="S4490" s="24" t="s">
        <v>1334</v>
      </c>
      <c r="T4490" s="24" t="s">
        <v>1334</v>
      </c>
      <c r="U4490" s="55"/>
      <c r="V4490" s="25">
        <f>IFERROR(VLOOKUP(BCP_Soles[[#This Row],[destinatario]],CHOOSE({1,2},Clientes_Proveedores[Razon Social],Clientes_Proveedores[Ruc / Dni]),2,0),"")</f>
        <v>0</v>
      </c>
      <c r="W4490" s="25"/>
      <c r="X4490" s="25"/>
      <c r="Y4490" s="25"/>
      <c r="Z4490" s="77"/>
      <c r="AA4490" s="3" t="str">
        <f>IF(BCP_Soles[[#This Row],[fecha]]&gt;0,TEXT(BCP_Soles[[#This Row],[fecha]],"mmmm"),0)</f>
        <v>Noviembre</v>
      </c>
    </row>
    <row r="4491" spans="1:27" ht="24" x14ac:dyDescent="0.3">
      <c r="A4491" s="2">
        <f>IF(BCP_Soles[[#This Row],[tipo_registro]]="R",COUNTIFS($C$1:$C4490,"R")+1,A4490)</f>
        <v>2973</v>
      </c>
      <c r="B4491" s="19" t="str">
        <f>"B-BCP - Soles"</f>
        <v>B-BCP - Soles</v>
      </c>
      <c r="C4491" s="3" t="s">
        <v>1352</v>
      </c>
      <c r="D4491" s="14">
        <v>45964</v>
      </c>
      <c r="E4491" s="5" t="s">
        <v>2269</v>
      </c>
      <c r="F4491" s="5" t="s">
        <v>1336</v>
      </c>
      <c r="G4491" s="6" t="s">
        <v>108</v>
      </c>
      <c r="H4491" s="191" t="s">
        <v>68</v>
      </c>
      <c r="I4491" s="6" t="s">
        <v>1374</v>
      </c>
      <c r="J4491" s="6">
        <v>17564</v>
      </c>
      <c r="K4491" s="7" t="s">
        <v>4867</v>
      </c>
      <c r="L4491" s="8">
        <v>5855602</v>
      </c>
      <c r="M4491" s="8" t="str">
        <f>"PEN"</f>
        <v>PEN</v>
      </c>
      <c r="N4491" s="13">
        <v>2111.98</v>
      </c>
      <c r="O4491" s="13"/>
      <c r="P4491" s="3">
        <f>+IF(OR($F4491="SALDO",$F4491="INGRESO"),$O4491,0)</f>
        <v>0</v>
      </c>
      <c r="Q4491" s="3">
        <f>+IF($F4491="EGRESO",$O4491,0)</f>
        <v>0</v>
      </c>
      <c r="R4491" s="3">
        <f t="shared" ref="R4491:R4499" si="549">IFERROR(IF(F4491="SALDO",P4491,R4490+P4491-Q4491),0)</f>
        <v>22561.419999999966</v>
      </c>
      <c r="S4491" s="24" t="s">
        <v>1334</v>
      </c>
      <c r="T4491" s="24" t="s">
        <v>1334</v>
      </c>
      <c r="U4491" s="55"/>
      <c r="V4491" s="25">
        <f>IFERROR(VLOOKUP(BCP_Soles[[#This Row],[destinatario]],CHOOSE({1,2},Clientes_Proveedores[Razon Social],Clientes_Proveedores[Ruc / Dni]),2,0),"")</f>
        <v>10295259634</v>
      </c>
      <c r="W4491" s="25"/>
      <c r="X4491" s="25"/>
      <c r="Y4491" s="25"/>
      <c r="Z4491" s="77"/>
      <c r="AA4491" s="3" t="str">
        <f>IF(BCP_Soles[[#This Row],[fecha]]&gt;0,TEXT(BCP_Soles[[#This Row],[fecha]],"mmmm"),0)</f>
        <v>Noviembre</v>
      </c>
    </row>
    <row r="4492" spans="1:27" ht="24" x14ac:dyDescent="0.3">
      <c r="A4492" s="2">
        <f>IF(BCP_Soles[[#This Row],[tipo_registro]]="R",COUNTIFS($C$1:$C4491,"R")+1,A4491)</f>
        <v>2973</v>
      </c>
      <c r="B4492" s="19" t="str">
        <f>"B-BCP - Soles"</f>
        <v>B-BCP - Soles</v>
      </c>
      <c r="C4492" s="3" t="s">
        <v>1352</v>
      </c>
      <c r="D4492" s="14">
        <v>45964</v>
      </c>
      <c r="E4492" s="5" t="s">
        <v>2269</v>
      </c>
      <c r="F4492" s="5" t="s">
        <v>1336</v>
      </c>
      <c r="G4492" s="6" t="s">
        <v>108</v>
      </c>
      <c r="H4492" s="191" t="s">
        <v>68</v>
      </c>
      <c r="I4492" s="6" t="s">
        <v>1374</v>
      </c>
      <c r="J4492" s="6">
        <v>15800</v>
      </c>
      <c r="K4492" s="7" t="s">
        <v>4867</v>
      </c>
      <c r="L4492" s="8">
        <v>5855602</v>
      </c>
      <c r="M4492" s="8" t="str">
        <f>"PEN"</f>
        <v>PEN</v>
      </c>
      <c r="N4492" s="13">
        <v>616</v>
      </c>
      <c r="O4492" s="13"/>
      <c r="P4492" s="3">
        <f>+IF(OR($F4492="SALDO",$F4492="INGRESO"),$O4492,0)</f>
        <v>0</v>
      </c>
      <c r="Q4492" s="3">
        <f>+IF($F4492="EGRESO",$O4492,0)</f>
        <v>0</v>
      </c>
      <c r="R4492" s="3">
        <f t="shared" si="549"/>
        <v>22561.419999999966</v>
      </c>
      <c r="S4492" s="24" t="s">
        <v>1334</v>
      </c>
      <c r="T4492" s="24" t="s">
        <v>1334</v>
      </c>
      <c r="U4492" s="55"/>
      <c r="V4492" s="25">
        <f>IFERROR(VLOOKUP(BCP_Soles[[#This Row],[destinatario]],CHOOSE({1,2},Clientes_Proveedores[Razon Social],Clientes_Proveedores[Ruc / Dni]),2,0),"")</f>
        <v>10295259634</v>
      </c>
      <c r="W4492" s="25"/>
      <c r="X4492" s="25"/>
      <c r="Y4492" s="25"/>
      <c r="Z4492" s="77"/>
      <c r="AA4492" s="3" t="str">
        <f>IF(BCP_Soles[[#This Row],[fecha]]&gt;0,TEXT(BCP_Soles[[#This Row],[fecha]],"mmmm"),0)</f>
        <v>Noviembre</v>
      </c>
    </row>
    <row r="4493" spans="1:27" ht="36" x14ac:dyDescent="0.3">
      <c r="A4493" s="2">
        <f>IF(BCP_Soles[[#This Row],[tipo_registro]]="R",COUNTIFS($C$1:$C4492,"R")+1,A4492)</f>
        <v>2973</v>
      </c>
      <c r="B4493" s="19" t="str">
        <f>"B-BCP - Soles"</f>
        <v>B-BCP - Soles</v>
      </c>
      <c r="C4493" s="3" t="s">
        <v>1352</v>
      </c>
      <c r="D4493" s="14">
        <v>45964</v>
      </c>
      <c r="E4493" s="5" t="s">
        <v>2269</v>
      </c>
      <c r="F4493" s="5" t="s">
        <v>1336</v>
      </c>
      <c r="G4493" s="6" t="s">
        <v>623</v>
      </c>
      <c r="H4493" s="191" t="s">
        <v>68</v>
      </c>
      <c r="I4493" s="6" t="s">
        <v>1374</v>
      </c>
      <c r="J4493" s="6">
        <v>8314</v>
      </c>
      <c r="K4493" s="7" t="s">
        <v>4867</v>
      </c>
      <c r="L4493" s="8">
        <v>5855602</v>
      </c>
      <c r="M4493" s="8" t="str">
        <f>"PEN"</f>
        <v>PEN</v>
      </c>
      <c r="N4493" s="13">
        <v>1012.5</v>
      </c>
      <c r="O4493" s="13"/>
      <c r="P4493" s="3">
        <f>+IF(OR($F4493="SALDO",$F4493="INGRESO"),$O4493,0)</f>
        <v>0</v>
      </c>
      <c r="Q4493" s="3">
        <f>+IF($F4493="EGRESO",$O4493,0)</f>
        <v>0</v>
      </c>
      <c r="R4493" s="3">
        <f t="shared" si="549"/>
        <v>22561.419999999966</v>
      </c>
      <c r="S4493" s="24" t="s">
        <v>1334</v>
      </c>
      <c r="T4493" s="24" t="s">
        <v>1334</v>
      </c>
      <c r="U4493" s="55"/>
      <c r="V4493" s="25">
        <f>IFERROR(VLOOKUP(BCP_Soles[[#This Row],[destinatario]],CHOOSE({1,2},Clientes_Proveedores[Razon Social],Clientes_Proveedores[Ruc / Dni]),2,0),"")</f>
        <v>20454819137</v>
      </c>
      <c r="W4493" s="25"/>
      <c r="X4493" s="25"/>
      <c r="Y4493" s="25"/>
      <c r="Z4493" s="77"/>
      <c r="AA4493" s="3" t="str">
        <f>IF(BCP_Soles[[#This Row],[fecha]]&gt;0,TEXT(BCP_Soles[[#This Row],[fecha]],"mmmm"),0)</f>
        <v>Noviembre</v>
      </c>
    </row>
    <row r="4494" spans="1:27" x14ac:dyDescent="0.3">
      <c r="A4494" s="2">
        <f>IF(BCP_Soles[[#This Row],[tipo_registro]]="R",COUNTIFS($C$1:$C4493,"R")+1,A4493)</f>
        <v>2974</v>
      </c>
      <c r="B4494" s="19" t="str">
        <f t="shared" si="544"/>
        <v>B-BCP - Soles</v>
      </c>
      <c r="C4494" s="3" t="s">
        <v>1330</v>
      </c>
      <c r="D4494" s="14">
        <v>45964</v>
      </c>
      <c r="E4494" s="5" t="s">
        <v>4171</v>
      </c>
      <c r="F4494" s="5" t="s">
        <v>1336</v>
      </c>
      <c r="G4494" s="6" t="s">
        <v>696</v>
      </c>
      <c r="H4494" s="191"/>
      <c r="I4494" s="6"/>
      <c r="J4494" s="6"/>
      <c r="K4494" s="7" t="s">
        <v>4868</v>
      </c>
      <c r="L4494" s="8">
        <v>5737897</v>
      </c>
      <c r="M4494" s="8" t="str">
        <f t="shared" si="545"/>
        <v>PEN</v>
      </c>
      <c r="N4494" s="13"/>
      <c r="O4494" s="13">
        <v>13538.23</v>
      </c>
      <c r="P4494" s="3">
        <f t="shared" si="546"/>
        <v>0</v>
      </c>
      <c r="Q4494" s="3">
        <f t="shared" si="547"/>
        <v>13538.23</v>
      </c>
      <c r="R4494" s="3">
        <f t="shared" si="549"/>
        <v>9023.1899999999659</v>
      </c>
      <c r="S4494" s="24"/>
      <c r="T4494" s="24"/>
      <c r="U4494" s="55"/>
      <c r="V4494" s="25">
        <f>IFERROR(VLOOKUP(BCP_Soles[[#This Row],[destinatario]],CHOOSE({1,2},Clientes_Proveedores[Razon Social],Clientes_Proveedores[Ruc / Dni]),2,0),"")</f>
        <v>0</v>
      </c>
      <c r="W4494" s="25"/>
      <c r="X4494" s="25"/>
      <c r="Y4494" s="25"/>
      <c r="Z4494" s="77"/>
      <c r="AA4494" s="3" t="str">
        <f>IF(BCP_Soles[[#This Row],[fecha]]&gt;0,TEXT(BCP_Soles[[#This Row],[fecha]],"mmmm"),0)</f>
        <v>Noviembre</v>
      </c>
    </row>
    <row r="4495" spans="1:27" ht="24" x14ac:dyDescent="0.3">
      <c r="A4495" s="2">
        <f>IF(BCP_Soles[[#This Row],[tipo_registro]]="R",COUNTIFS($C$1:$C4494,"R")+1,A4494)</f>
        <v>2975</v>
      </c>
      <c r="B4495" s="19" t="str">
        <f t="shared" ref="B4495:B4514" si="550">"B-BCP - Soles"</f>
        <v>B-BCP - Soles</v>
      </c>
      <c r="C4495" s="3" t="s">
        <v>1330</v>
      </c>
      <c r="D4495" s="14">
        <v>45964</v>
      </c>
      <c r="E4495" s="5" t="s">
        <v>2269</v>
      </c>
      <c r="F4495" s="5" t="s">
        <v>1336</v>
      </c>
      <c r="G4495" s="6" t="s">
        <v>984</v>
      </c>
      <c r="H4495" s="191"/>
      <c r="I4495" s="6"/>
      <c r="J4495" s="6"/>
      <c r="K4495" s="7" t="s">
        <v>4869</v>
      </c>
      <c r="L4495" s="8">
        <v>1234533</v>
      </c>
      <c r="M4495" s="8" t="str">
        <f t="shared" ref="M4495:M4514" si="551">"PEN"</f>
        <v>PEN</v>
      </c>
      <c r="N4495" s="13"/>
      <c r="O4495" s="13">
        <v>743.4</v>
      </c>
      <c r="P4495" s="3">
        <f t="shared" ref="P4495:P4514" si="552">+IF(OR($F4495="SALDO",$F4495="INGRESO"),$O4495,0)</f>
        <v>0</v>
      </c>
      <c r="Q4495" s="3">
        <f t="shared" ref="Q4495:Q4514" si="553">+IF($F4495="EGRESO",$O4495,0)</f>
        <v>743.4</v>
      </c>
      <c r="R4495" s="3">
        <f t="shared" si="549"/>
        <v>8279.7899999999663</v>
      </c>
      <c r="S4495" s="24"/>
      <c r="T4495" s="24"/>
      <c r="U4495" s="55"/>
      <c r="V4495" s="25">
        <f>IFERROR(VLOOKUP(BCP_Soles[[#This Row],[destinatario]],CHOOSE({1,2},Clientes_Proveedores[Razon Social],Clientes_Proveedores[Ruc / Dni]),2,0),"")</f>
        <v>20455823880</v>
      </c>
      <c r="W4495" s="25"/>
      <c r="X4495" s="25"/>
      <c r="Y4495" s="25"/>
      <c r="Z4495" s="77"/>
      <c r="AA4495" s="3" t="str">
        <f>IF(BCP_Soles[[#This Row],[fecha]]&gt;0,TEXT(BCP_Soles[[#This Row],[fecha]],"mmmm"),0)</f>
        <v>Noviembre</v>
      </c>
    </row>
    <row r="4496" spans="1:27" ht="24" x14ac:dyDescent="0.3">
      <c r="A4496" s="2">
        <f>IF(BCP_Soles[[#This Row],[tipo_registro]]="R",COUNTIFS($C$1:$C4495,"R")+1,A4495)</f>
        <v>2976</v>
      </c>
      <c r="B4496" s="19" t="str">
        <f t="shared" si="550"/>
        <v>B-BCP - Soles</v>
      </c>
      <c r="C4496" s="3" t="s">
        <v>1330</v>
      </c>
      <c r="D4496" s="14">
        <v>45964</v>
      </c>
      <c r="E4496" s="5" t="s">
        <v>2269</v>
      </c>
      <c r="F4496" s="5" t="s">
        <v>1336</v>
      </c>
      <c r="G4496" s="6" t="s">
        <v>1025</v>
      </c>
      <c r="H4496" s="191"/>
      <c r="I4496" s="6"/>
      <c r="J4496" s="6"/>
      <c r="K4496" s="7" t="s">
        <v>4870</v>
      </c>
      <c r="L4496" s="8">
        <v>1235009</v>
      </c>
      <c r="M4496" s="8" t="str">
        <f t="shared" si="551"/>
        <v>PEN</v>
      </c>
      <c r="N4496" s="13"/>
      <c r="O4496" s="13">
        <v>15</v>
      </c>
      <c r="P4496" s="3">
        <f t="shared" si="552"/>
        <v>0</v>
      </c>
      <c r="Q4496" s="3">
        <f t="shared" si="553"/>
        <v>15</v>
      </c>
      <c r="R4496" s="3">
        <f t="shared" si="549"/>
        <v>8264.7899999999663</v>
      </c>
      <c r="S4496" s="24"/>
      <c r="T4496" s="24"/>
      <c r="U4496" s="55"/>
      <c r="V4496" s="25">
        <f>IFERROR(VLOOKUP(BCP_Soles[[#This Row],[destinatario]],CHOOSE({1,2},Clientes_Proveedores[Razon Social],Clientes_Proveedores[Ruc / Dni]),2,0),"")</f>
        <v>20601369622</v>
      </c>
      <c r="W4496" s="25"/>
      <c r="X4496" s="25"/>
      <c r="Y4496" s="25"/>
      <c r="Z4496" s="77"/>
      <c r="AA4496" s="3" t="str">
        <f>IF(BCP_Soles[[#This Row],[fecha]]&gt;0,TEXT(BCP_Soles[[#This Row],[fecha]],"mmmm"),0)</f>
        <v>Noviembre</v>
      </c>
    </row>
    <row r="4497" spans="1:27" ht="24" x14ac:dyDescent="0.3">
      <c r="A4497" s="2">
        <f>IF(BCP_Soles[[#This Row],[tipo_registro]]="R",COUNTIFS($C$1:$C4496,"R")+1,A4496)</f>
        <v>2977</v>
      </c>
      <c r="B4497" s="19" t="str">
        <f t="shared" si="550"/>
        <v>B-BCP - Soles</v>
      </c>
      <c r="C4497" s="3" t="s">
        <v>1330</v>
      </c>
      <c r="D4497" s="14">
        <v>45964</v>
      </c>
      <c r="E4497" s="5" t="s">
        <v>2269</v>
      </c>
      <c r="F4497" s="5" t="s">
        <v>1336</v>
      </c>
      <c r="G4497" s="6" t="s">
        <v>790</v>
      </c>
      <c r="H4497" s="191" t="s">
        <v>143</v>
      </c>
      <c r="I4497" s="6">
        <v>1</v>
      </c>
      <c r="J4497" s="6">
        <v>952025</v>
      </c>
      <c r="K4497" s="7" t="s">
        <v>4871</v>
      </c>
      <c r="L4497" s="8">
        <v>1232565</v>
      </c>
      <c r="M4497" s="8" t="str">
        <f t="shared" si="551"/>
        <v>PEN</v>
      </c>
      <c r="N4497" s="13"/>
      <c r="O4497" s="13">
        <v>110</v>
      </c>
      <c r="P4497" s="3">
        <f t="shared" si="552"/>
        <v>0</v>
      </c>
      <c r="Q4497" s="3">
        <f t="shared" si="553"/>
        <v>110</v>
      </c>
      <c r="R4497" s="3">
        <f t="shared" si="549"/>
        <v>8154.7899999999663</v>
      </c>
      <c r="S4497" s="24"/>
      <c r="T4497" s="24"/>
      <c r="U4497" s="55"/>
      <c r="V4497" s="25">
        <f>IFERROR(VLOOKUP(BCP_Soles[[#This Row],[destinatario]],CHOOSE({1,2},Clientes_Proveedores[Razon Social],Clientes_Proveedores[Ruc / Dni]),2,0),"")</f>
        <v>72169020</v>
      </c>
      <c r="W4497" s="25"/>
      <c r="X4497" s="25"/>
      <c r="Y4497" s="25"/>
      <c r="Z4497" s="77"/>
      <c r="AA4497" s="3" t="str">
        <f>IF(BCP_Soles[[#This Row],[fecha]]&gt;0,TEXT(BCP_Soles[[#This Row],[fecha]],"mmmm"),0)</f>
        <v>Noviembre</v>
      </c>
    </row>
    <row r="4498" spans="1:27" x14ac:dyDescent="0.3">
      <c r="A4498" s="2">
        <f>IF(BCP_Soles[[#This Row],[tipo_registro]]="R",COUNTIFS($C$1:$C4497,"R")+1,A4497)</f>
        <v>2978</v>
      </c>
      <c r="B4498" s="19" t="str">
        <f t="shared" si="550"/>
        <v>B-BCP - Soles</v>
      </c>
      <c r="C4498" s="3" t="s">
        <v>1330</v>
      </c>
      <c r="D4498" s="14">
        <v>45964</v>
      </c>
      <c r="E4498" s="5"/>
      <c r="F4498" s="5" t="s">
        <v>1336</v>
      </c>
      <c r="G4498" s="6"/>
      <c r="H4498" s="191"/>
      <c r="I4498" s="6"/>
      <c r="J4498" s="6"/>
      <c r="K4498" s="7" t="s">
        <v>3160</v>
      </c>
      <c r="L4498" s="8"/>
      <c r="M4498" s="8" t="str">
        <f t="shared" si="551"/>
        <v>PEN</v>
      </c>
      <c r="N4498" s="13"/>
      <c r="O4498" s="13">
        <v>1.2</v>
      </c>
      <c r="P4498" s="3">
        <f t="shared" si="552"/>
        <v>0</v>
      </c>
      <c r="Q4498" s="3">
        <f t="shared" si="553"/>
        <v>1.2</v>
      </c>
      <c r="R4498" s="3">
        <f t="shared" si="549"/>
        <v>8153.5899999999665</v>
      </c>
      <c r="S4498" s="24"/>
      <c r="T4498" s="24"/>
      <c r="U4498" s="55"/>
      <c r="V4498" s="25" t="str">
        <f>IFERROR(VLOOKUP(BCP_Soles[[#This Row],[destinatario]],CHOOSE({1,2},Clientes_Proveedores[Razon Social],Clientes_Proveedores[Ruc / Dni]),2,0),"")</f>
        <v/>
      </c>
      <c r="W4498" s="25"/>
      <c r="X4498" s="25"/>
      <c r="Y4498" s="25"/>
      <c r="Z4498" s="77"/>
      <c r="AA4498" s="3" t="str">
        <f>IF(BCP_Soles[[#This Row],[fecha]]&gt;0,TEXT(BCP_Soles[[#This Row],[fecha]],"mmmm"),0)</f>
        <v>Noviembre</v>
      </c>
    </row>
    <row r="4499" spans="1:27" x14ac:dyDescent="0.3">
      <c r="A4499" s="2">
        <f>IF(BCP_Soles[[#This Row],[tipo_registro]]="R",COUNTIFS($C$1:$C4498,"R")+1,A4498)</f>
        <v>2979</v>
      </c>
      <c r="B4499" s="19" t="str">
        <f t="shared" si="550"/>
        <v>B-BCP - Soles</v>
      </c>
      <c r="C4499" s="3" t="s">
        <v>1330</v>
      </c>
      <c r="D4499" s="14">
        <v>45965</v>
      </c>
      <c r="E4499" s="5" t="s">
        <v>439</v>
      </c>
      <c r="F4499" s="5" t="s">
        <v>1303</v>
      </c>
      <c r="G4499" s="6" t="s">
        <v>425</v>
      </c>
      <c r="H4499" s="191" t="s">
        <v>119</v>
      </c>
      <c r="I4499" s="6">
        <v>1</v>
      </c>
      <c r="J4499" s="6">
        <v>4887</v>
      </c>
      <c r="K4499" s="7" t="s">
        <v>4872</v>
      </c>
      <c r="L4499" s="8">
        <v>1974</v>
      </c>
      <c r="M4499" s="8" t="str">
        <f t="shared" si="551"/>
        <v>PEN</v>
      </c>
      <c r="N4499" s="13"/>
      <c r="O4499" s="13">
        <v>380</v>
      </c>
      <c r="P4499" s="3">
        <f t="shared" si="552"/>
        <v>380</v>
      </c>
      <c r="Q4499" s="3">
        <f t="shared" si="553"/>
        <v>0</v>
      </c>
      <c r="R4499" s="3">
        <f t="shared" si="549"/>
        <v>8533.5899999999674</v>
      </c>
      <c r="S4499" s="24" t="s">
        <v>1334</v>
      </c>
      <c r="T4499" s="24" t="s">
        <v>1334</v>
      </c>
      <c r="U4499" s="55"/>
      <c r="V4499" s="25">
        <f>IFERROR(VLOOKUP(BCP_Soles[[#This Row],[destinatario]],CHOOSE({1,2},Clientes_Proveedores[Razon Social],Clientes_Proveedores[Ruc / Dni]),2,0),"")</f>
        <v>20558226979</v>
      </c>
      <c r="W4499" s="25"/>
      <c r="X4499" s="25"/>
      <c r="Y4499" s="25"/>
      <c r="Z4499" s="77"/>
      <c r="AA4499" s="3" t="str">
        <f>IF(BCP_Soles[[#This Row],[fecha]]&gt;0,TEXT(BCP_Soles[[#This Row],[fecha]],"mmmm"),0)</f>
        <v>Noviembre</v>
      </c>
    </row>
    <row r="4500" spans="1:27" x14ac:dyDescent="0.3">
      <c r="A4500" s="2">
        <f>IF(BCP_Soles[[#This Row],[tipo_registro]]="R",COUNTIFS($C$1:$C4499,"R")+1,A4499)</f>
        <v>2980</v>
      </c>
      <c r="B4500" s="19" t="str">
        <f t="shared" si="550"/>
        <v>B-BCP - Soles</v>
      </c>
      <c r="C4500" s="3" t="s">
        <v>1330</v>
      </c>
      <c r="D4500" s="14">
        <v>45965</v>
      </c>
      <c r="E4500" s="5" t="s">
        <v>439</v>
      </c>
      <c r="F4500" s="5" t="s">
        <v>1303</v>
      </c>
      <c r="G4500" s="6" t="s">
        <v>425</v>
      </c>
      <c r="H4500" s="191" t="s">
        <v>119</v>
      </c>
      <c r="I4500" s="6">
        <v>1</v>
      </c>
      <c r="J4500" s="6">
        <v>4887</v>
      </c>
      <c r="K4500" s="7" t="s">
        <v>4872</v>
      </c>
      <c r="L4500" s="8">
        <v>1969</v>
      </c>
      <c r="M4500" s="8" t="str">
        <f t="shared" si="551"/>
        <v>PEN</v>
      </c>
      <c r="N4500" s="13"/>
      <c r="O4500" s="13">
        <v>300</v>
      </c>
      <c r="P4500" s="3">
        <f t="shared" si="552"/>
        <v>300</v>
      </c>
      <c r="Q4500" s="3">
        <f t="shared" si="553"/>
        <v>0</v>
      </c>
      <c r="R4500" s="3">
        <f t="shared" ref="R4500" si="554">IFERROR(IF(F4500="SALDO",P4500,R4499+P4500-Q4500),0)</f>
        <v>8833.5899999999674</v>
      </c>
      <c r="S4500" s="24" t="s">
        <v>1334</v>
      </c>
      <c r="T4500" s="24" t="s">
        <v>1334</v>
      </c>
      <c r="U4500" s="55"/>
      <c r="V4500" s="25">
        <f>IFERROR(VLOOKUP(BCP_Soles[[#This Row],[destinatario]],CHOOSE({1,2},Clientes_Proveedores[Razon Social],Clientes_Proveedores[Ruc / Dni]),2,0),"")</f>
        <v>20558226979</v>
      </c>
      <c r="W4500" s="25"/>
      <c r="X4500" s="25"/>
      <c r="Y4500" s="25"/>
      <c r="Z4500" s="77"/>
      <c r="AA4500" s="3" t="str">
        <f>IF(BCP_Soles[[#This Row],[fecha]]&gt;0,TEXT(BCP_Soles[[#This Row],[fecha]],"mmmm"),0)</f>
        <v>Noviembre</v>
      </c>
    </row>
    <row r="4501" spans="1:27" ht="24" x14ac:dyDescent="0.3">
      <c r="A4501" s="2">
        <f>IF(BCP_Soles[[#This Row],[tipo_registro]]="R",COUNTIFS($C$1:$C4500,"R")+1,A4500)</f>
        <v>2981</v>
      </c>
      <c r="B4501" s="19" t="str">
        <f t="shared" ref="B4501:B4507" si="555">"B-BCP - Soles"</f>
        <v>B-BCP - Soles</v>
      </c>
      <c r="C4501" s="3" t="s">
        <v>1330</v>
      </c>
      <c r="D4501" s="14">
        <v>45965</v>
      </c>
      <c r="E4501" s="5" t="s">
        <v>336</v>
      </c>
      <c r="F4501" s="5" t="s">
        <v>1303</v>
      </c>
      <c r="G4501" s="6" t="s">
        <v>425</v>
      </c>
      <c r="H4501" s="191" t="s">
        <v>68</v>
      </c>
      <c r="I4501" s="6" t="s">
        <v>1784</v>
      </c>
      <c r="J4501" s="6">
        <v>209</v>
      </c>
      <c r="K4501" s="7" t="s">
        <v>1370</v>
      </c>
      <c r="L4501" s="8">
        <v>2200239</v>
      </c>
      <c r="M4501" s="8" t="str">
        <f t="shared" ref="M4501:M4507" si="556">"PEN"</f>
        <v>PEN</v>
      </c>
      <c r="N4501" s="13"/>
      <c r="O4501" s="13">
        <v>923.74</v>
      </c>
      <c r="P4501" s="3">
        <f t="shared" ref="P4501:P4507" si="557">+IF(OR($F4501="SALDO",$F4501="INGRESO"),$O4501,0)</f>
        <v>923.74</v>
      </c>
      <c r="Q4501" s="3">
        <f t="shared" ref="Q4501:Q4507" si="558">+IF($F4501="EGRESO",$O4501,0)</f>
        <v>0</v>
      </c>
      <c r="R4501" s="3">
        <f t="shared" ref="R4501:R4510" si="559">IFERROR(IF(F4501="SALDO",P4501,R4500+P4501-Q4501),0)</f>
        <v>9757.3299999999672</v>
      </c>
      <c r="S4501" s="24" t="s">
        <v>1334</v>
      </c>
      <c r="T4501" s="24"/>
      <c r="U4501" s="55"/>
      <c r="V4501" s="25">
        <f>IFERROR(VLOOKUP(BCP_Soles[[#This Row],[destinatario]],CHOOSE({1,2},Clientes_Proveedores[Razon Social],Clientes_Proveedores[Ruc / Dni]),2,0),"")</f>
        <v>20558226979</v>
      </c>
      <c r="W4501" s="25"/>
      <c r="X4501" s="25"/>
      <c r="Y4501" s="25"/>
      <c r="Z4501" s="77"/>
      <c r="AA4501" s="3" t="str">
        <f>IF(BCP_Soles[[#This Row],[fecha]]&gt;0,TEXT(BCP_Soles[[#This Row],[fecha]],"mmmm"),0)</f>
        <v>Noviembre</v>
      </c>
    </row>
    <row r="4502" spans="1:27" ht="24" x14ac:dyDescent="0.3">
      <c r="A4502" s="2">
        <f>IF(BCP_Soles[[#This Row],[tipo_registro]]="R",COUNTIFS($C$1:$C4501,"R")+1,A4501)</f>
        <v>2982</v>
      </c>
      <c r="B4502" s="19" t="str">
        <f t="shared" si="555"/>
        <v>B-BCP - Soles</v>
      </c>
      <c r="C4502" s="3" t="s">
        <v>1330</v>
      </c>
      <c r="D4502" s="14">
        <v>45965</v>
      </c>
      <c r="E4502" s="5" t="s">
        <v>424</v>
      </c>
      <c r="F4502" s="5" t="s">
        <v>1303</v>
      </c>
      <c r="G4502" s="6" t="s">
        <v>425</v>
      </c>
      <c r="H4502" s="191" t="s">
        <v>68</v>
      </c>
      <c r="I4502" s="6" t="s">
        <v>3302</v>
      </c>
      <c r="J4502" s="6">
        <v>169</v>
      </c>
      <c r="K4502" s="7" t="s">
        <v>4873</v>
      </c>
      <c r="L4502" s="8">
        <v>6358141</v>
      </c>
      <c r="M4502" s="8" t="str">
        <f t="shared" si="556"/>
        <v>PEN</v>
      </c>
      <c r="N4502" s="13"/>
      <c r="O4502" s="13">
        <v>75.5</v>
      </c>
      <c r="P4502" s="3">
        <f t="shared" si="557"/>
        <v>75.5</v>
      </c>
      <c r="Q4502" s="3">
        <f t="shared" si="558"/>
        <v>0</v>
      </c>
      <c r="R4502" s="3">
        <f>IFERROR(IF(F4502="SALDO",P4502,R4501+P4502-Q4502),0)</f>
        <v>9832.8299999999672</v>
      </c>
      <c r="S4502" s="24" t="s">
        <v>1334</v>
      </c>
      <c r="T4502" s="24" t="s">
        <v>1334</v>
      </c>
      <c r="U4502" s="55"/>
      <c r="V4502" s="25">
        <f>IFERROR(VLOOKUP(BCP_Soles[[#This Row],[destinatario]],CHOOSE({1,2},Clientes_Proveedores[Razon Social],Clientes_Proveedores[Ruc / Dni]),2,0),"")</f>
        <v>20558226979</v>
      </c>
      <c r="W4502" s="25"/>
      <c r="X4502" s="25"/>
      <c r="Y4502" s="25"/>
      <c r="Z4502" s="77"/>
      <c r="AA4502" s="3" t="str">
        <f>IF(BCP_Soles[[#This Row],[fecha]]&gt;0,TEXT(BCP_Soles[[#This Row],[fecha]],"mmmm"),0)</f>
        <v>Noviembre</v>
      </c>
    </row>
    <row r="4503" spans="1:27" ht="24" x14ac:dyDescent="0.3">
      <c r="A4503" s="2">
        <f>IF(BCP_Soles[[#This Row],[tipo_registro]]="R",COUNTIFS($C$1:$C4502,"R")+1,A4502)</f>
        <v>2983</v>
      </c>
      <c r="B4503" s="19" t="str">
        <f t="shared" si="555"/>
        <v>B-BCP - Soles</v>
      </c>
      <c r="C4503" s="3" t="s">
        <v>1330</v>
      </c>
      <c r="D4503" s="14">
        <v>45965</v>
      </c>
      <c r="E4503" s="5" t="s">
        <v>424</v>
      </c>
      <c r="F4503" s="5" t="s">
        <v>1303</v>
      </c>
      <c r="G4503" s="6" t="s">
        <v>425</v>
      </c>
      <c r="H4503" s="191" t="s">
        <v>68</v>
      </c>
      <c r="I4503" s="6" t="s">
        <v>3302</v>
      </c>
      <c r="J4503" s="6">
        <v>167</v>
      </c>
      <c r="K4503" s="7" t="s">
        <v>4873</v>
      </c>
      <c r="L4503" s="8">
        <v>6358140</v>
      </c>
      <c r="M4503" s="8" t="str">
        <f t="shared" si="556"/>
        <v>PEN</v>
      </c>
      <c r="N4503" s="13"/>
      <c r="O4503" s="13">
        <v>150</v>
      </c>
      <c r="P4503" s="3">
        <f t="shared" si="557"/>
        <v>150</v>
      </c>
      <c r="Q4503" s="3">
        <f t="shared" si="558"/>
        <v>0</v>
      </c>
      <c r="R4503" s="3">
        <f t="shared" ref="R4503" si="560">IFERROR(IF(F4503="SALDO",P4503,R4502+P4503-Q4503),0)</f>
        <v>9982.8299999999672</v>
      </c>
      <c r="S4503" s="24" t="s">
        <v>1334</v>
      </c>
      <c r="T4503" s="24" t="s">
        <v>1334</v>
      </c>
      <c r="U4503" s="55"/>
      <c r="V4503" s="25">
        <f>IFERROR(VLOOKUP(BCP_Soles[[#This Row],[destinatario]],CHOOSE({1,2},Clientes_Proveedores[Razon Social],Clientes_Proveedores[Ruc / Dni]),2,0),"")</f>
        <v>20558226979</v>
      </c>
      <c r="W4503" s="25"/>
      <c r="X4503" s="25"/>
      <c r="Y4503" s="25"/>
      <c r="Z4503" s="77"/>
      <c r="AA4503" s="3" t="str">
        <f>IF(BCP_Soles[[#This Row],[fecha]]&gt;0,TEXT(BCP_Soles[[#This Row],[fecha]],"mmmm"),0)</f>
        <v>Noviembre</v>
      </c>
    </row>
    <row r="4504" spans="1:27" ht="48" x14ac:dyDescent="0.3">
      <c r="A4504" s="2">
        <f>IF(BCP_Soles[[#This Row],[tipo_registro]]="R",COUNTIFS($C$1:$C4503,"R")+1,A4503)</f>
        <v>2984</v>
      </c>
      <c r="B4504" s="19" t="str">
        <f t="shared" si="555"/>
        <v>B-BCP - Soles</v>
      </c>
      <c r="C4504" s="3" t="s">
        <v>1330</v>
      </c>
      <c r="D4504" s="14">
        <v>45965</v>
      </c>
      <c r="E4504" s="5" t="s">
        <v>620</v>
      </c>
      <c r="F4504" s="5" t="s">
        <v>1303</v>
      </c>
      <c r="G4504" s="6" t="s">
        <v>425</v>
      </c>
      <c r="H4504" s="191"/>
      <c r="I4504" s="6"/>
      <c r="J4504" s="6"/>
      <c r="K4504" s="7" t="s">
        <v>4874</v>
      </c>
      <c r="L4504" s="8">
        <v>2266478</v>
      </c>
      <c r="M4504" s="8" t="str">
        <f t="shared" si="556"/>
        <v>PEN</v>
      </c>
      <c r="N4504" s="13"/>
      <c r="O4504" s="13">
        <v>8092.66</v>
      </c>
      <c r="P4504" s="3">
        <f t="shared" si="557"/>
        <v>8092.66</v>
      </c>
      <c r="Q4504" s="3">
        <f t="shared" si="558"/>
        <v>0</v>
      </c>
      <c r="R4504" s="3">
        <f>IFERROR(IF(F4504="SALDO",P4504,R4503+P4504-Q4504),0)</f>
        <v>18075.489999999969</v>
      </c>
      <c r="S4504" s="24" t="s">
        <v>1334</v>
      </c>
      <c r="T4504" s="24" t="s">
        <v>1334</v>
      </c>
      <c r="U4504" s="55"/>
      <c r="V4504" s="25">
        <f>IFERROR(VLOOKUP(BCP_Soles[[#This Row],[destinatario]],CHOOSE({1,2},Clientes_Proveedores[Razon Social],Clientes_Proveedores[Ruc / Dni]),2,0),"")</f>
        <v>20558226979</v>
      </c>
      <c r="W4504" s="25"/>
      <c r="X4504" s="25"/>
      <c r="Y4504" s="25"/>
      <c r="Z4504" s="77"/>
      <c r="AA4504" s="3" t="str">
        <f>IF(BCP_Soles[[#This Row],[fecha]]&gt;0,TEXT(BCP_Soles[[#This Row],[fecha]],"mmmm"),0)</f>
        <v>Noviembre</v>
      </c>
    </row>
    <row r="4505" spans="1:27" ht="48" x14ac:dyDescent="0.3">
      <c r="A4505" s="2">
        <f>IF(BCP_Soles[[#This Row],[tipo_registro]]="R",COUNTIFS($C$1:$C4504,"R")+1,A4504)</f>
        <v>2984</v>
      </c>
      <c r="B4505" s="19" t="str">
        <f t="shared" si="555"/>
        <v>B-BCP - Soles</v>
      </c>
      <c r="C4505" s="3" t="s">
        <v>1352</v>
      </c>
      <c r="D4505" s="14">
        <v>45965</v>
      </c>
      <c r="E4505" s="5" t="s">
        <v>620</v>
      </c>
      <c r="F4505" s="5" t="s">
        <v>1303</v>
      </c>
      <c r="G4505" s="6" t="s">
        <v>425</v>
      </c>
      <c r="H4505" s="191" t="s">
        <v>68</v>
      </c>
      <c r="I4505" s="6" t="s">
        <v>1784</v>
      </c>
      <c r="J4505" s="6">
        <v>236</v>
      </c>
      <c r="K4505" s="7" t="s">
        <v>4874</v>
      </c>
      <c r="L4505" s="8">
        <v>2266478</v>
      </c>
      <c r="M4505" s="8" t="str">
        <f t="shared" si="556"/>
        <v>PEN</v>
      </c>
      <c r="N4505" s="13">
        <v>4046.33</v>
      </c>
      <c r="O4505" s="13"/>
      <c r="P4505" s="3">
        <f t="shared" si="557"/>
        <v>0</v>
      </c>
      <c r="Q4505" s="3">
        <f t="shared" si="558"/>
        <v>0</v>
      </c>
      <c r="R4505" s="3">
        <f>IFERROR(IF(F4505="SALDO",P4505,R4504+P4505-Q4505),0)</f>
        <v>18075.489999999969</v>
      </c>
      <c r="S4505" s="24" t="s">
        <v>1334</v>
      </c>
      <c r="T4505" s="24" t="s">
        <v>1334</v>
      </c>
      <c r="U4505" s="55"/>
      <c r="V4505" s="25">
        <f>IFERROR(VLOOKUP(BCP_Soles[[#This Row],[destinatario]],CHOOSE({1,2},Clientes_Proveedores[Razon Social],Clientes_Proveedores[Ruc / Dni]),2,0),"")</f>
        <v>20558226979</v>
      </c>
      <c r="W4505" s="25"/>
      <c r="X4505" s="25"/>
      <c r="Y4505" s="25"/>
      <c r="Z4505" s="77"/>
      <c r="AA4505" s="3" t="str">
        <f>IF(BCP_Soles[[#This Row],[fecha]]&gt;0,TEXT(BCP_Soles[[#This Row],[fecha]],"mmmm"),0)</f>
        <v>Noviembre</v>
      </c>
    </row>
    <row r="4506" spans="1:27" ht="48" x14ac:dyDescent="0.3">
      <c r="A4506" s="2">
        <f>IF(BCP_Soles[[#This Row],[tipo_registro]]="R",COUNTIFS($C$1:$C4505,"R")+1,A4505)</f>
        <v>2984</v>
      </c>
      <c r="B4506" s="19" t="str">
        <f t="shared" si="555"/>
        <v>B-BCP - Soles</v>
      </c>
      <c r="C4506" s="3" t="s">
        <v>1352</v>
      </c>
      <c r="D4506" s="14">
        <v>45965</v>
      </c>
      <c r="E4506" s="5" t="s">
        <v>620</v>
      </c>
      <c r="F4506" s="5" t="s">
        <v>1303</v>
      </c>
      <c r="G4506" s="6" t="s">
        <v>425</v>
      </c>
      <c r="H4506" s="191" t="s">
        <v>68</v>
      </c>
      <c r="I4506" s="6" t="s">
        <v>1784</v>
      </c>
      <c r="J4506" s="6">
        <v>237</v>
      </c>
      <c r="K4506" s="7" t="s">
        <v>4874</v>
      </c>
      <c r="L4506" s="8">
        <v>2266478</v>
      </c>
      <c r="M4506" s="8" t="str">
        <f t="shared" si="556"/>
        <v>PEN</v>
      </c>
      <c r="N4506" s="13">
        <v>4046.33</v>
      </c>
      <c r="O4506" s="13"/>
      <c r="P4506" s="3">
        <f t="shared" si="557"/>
        <v>0</v>
      </c>
      <c r="Q4506" s="3">
        <f t="shared" si="558"/>
        <v>0</v>
      </c>
      <c r="R4506" s="3">
        <f>IFERROR(IF(F4506="SALDO",P4506,R4505+P4506-Q4506),0)</f>
        <v>18075.489999999969</v>
      </c>
      <c r="S4506" s="24" t="s">
        <v>1334</v>
      </c>
      <c r="T4506" s="24" t="s">
        <v>1334</v>
      </c>
      <c r="U4506" s="55"/>
      <c r="V4506" s="25">
        <f>IFERROR(VLOOKUP(BCP_Soles[[#This Row],[destinatario]],CHOOSE({1,2},Clientes_Proveedores[Razon Social],Clientes_Proveedores[Ruc / Dni]),2,0),"")</f>
        <v>20558226979</v>
      </c>
      <c r="W4506" s="25"/>
      <c r="X4506" s="25"/>
      <c r="Y4506" s="25"/>
      <c r="Z4506" s="77"/>
      <c r="AA4506" s="3" t="str">
        <f>IF(BCP_Soles[[#This Row],[fecha]]&gt;0,TEXT(BCP_Soles[[#This Row],[fecha]],"mmmm"),0)</f>
        <v>Noviembre</v>
      </c>
    </row>
    <row r="4507" spans="1:27" ht="24" x14ac:dyDescent="0.3">
      <c r="A4507" s="2">
        <f>IF(BCP_Soles[[#This Row],[tipo_registro]]="R",COUNTIFS($C$1:$C4506,"R")+1,A4506)</f>
        <v>2985</v>
      </c>
      <c r="B4507" s="19" t="str">
        <f t="shared" si="555"/>
        <v>B-BCP - Soles</v>
      </c>
      <c r="C4507" s="3" t="s">
        <v>1330</v>
      </c>
      <c r="D4507" s="14">
        <v>45965</v>
      </c>
      <c r="E4507" s="5" t="s">
        <v>2269</v>
      </c>
      <c r="F4507" s="5" t="s">
        <v>1336</v>
      </c>
      <c r="G4507" s="6" t="s">
        <v>756</v>
      </c>
      <c r="H4507" s="191"/>
      <c r="I4507" s="6"/>
      <c r="J4507" s="6"/>
      <c r="K4507" s="7" t="s">
        <v>4875</v>
      </c>
      <c r="L4507" s="8">
        <v>1228397</v>
      </c>
      <c r="M4507" s="8" t="str">
        <f t="shared" si="556"/>
        <v>PEN</v>
      </c>
      <c r="N4507" s="13"/>
      <c r="O4507" s="13">
        <v>130</v>
      </c>
      <c r="P4507" s="3">
        <f t="shared" si="557"/>
        <v>0</v>
      </c>
      <c r="Q4507" s="3">
        <f t="shared" si="558"/>
        <v>130</v>
      </c>
      <c r="R4507" s="3">
        <f>IFERROR(IF(F4507="SALDO",P4507,R4506+P4507-Q4507),0)</f>
        <v>17945.489999999969</v>
      </c>
      <c r="S4507" s="24" t="s">
        <v>1334</v>
      </c>
      <c r="T4507" s="24" t="s">
        <v>1334</v>
      </c>
      <c r="U4507" s="55"/>
      <c r="V4507" s="25">
        <f>IFERROR(VLOOKUP(BCP_Soles[[#This Row],[destinatario]],CHOOSE({1,2},Clientes_Proveedores[Razon Social],Clientes_Proveedores[Ruc / Dni]),2,0),"")</f>
        <v>10450776578</v>
      </c>
      <c r="W4507" s="25"/>
      <c r="X4507" s="25"/>
      <c r="Y4507" s="25"/>
      <c r="Z4507" s="77"/>
      <c r="AA4507" s="3" t="str">
        <f>IF(BCP_Soles[[#This Row],[fecha]]&gt;0,TEXT(BCP_Soles[[#This Row],[fecha]],"mmmm"),0)</f>
        <v>Noviembre</v>
      </c>
    </row>
    <row r="4508" spans="1:27" ht="24" x14ac:dyDescent="0.3">
      <c r="A4508" s="2">
        <f>IF(BCP_Soles[[#This Row],[tipo_registro]]="R",COUNTIFS($C$1:$C4507,"R")+1,A4507)</f>
        <v>2985</v>
      </c>
      <c r="B4508" s="19" t="str">
        <f t="shared" si="550"/>
        <v>B-BCP - Soles</v>
      </c>
      <c r="C4508" s="3" t="s">
        <v>1352</v>
      </c>
      <c r="D4508" s="14">
        <v>45965</v>
      </c>
      <c r="E4508" s="5" t="s">
        <v>2269</v>
      </c>
      <c r="F4508" s="5" t="s">
        <v>1336</v>
      </c>
      <c r="G4508" s="6" t="s">
        <v>756</v>
      </c>
      <c r="H4508" s="191" t="s">
        <v>72</v>
      </c>
      <c r="I4508" s="6" t="s">
        <v>1376</v>
      </c>
      <c r="J4508" s="6">
        <v>1349</v>
      </c>
      <c r="K4508" s="7" t="s">
        <v>4875</v>
      </c>
      <c r="L4508" s="8">
        <v>1228397</v>
      </c>
      <c r="M4508" s="8" t="str">
        <f t="shared" si="551"/>
        <v>PEN</v>
      </c>
      <c r="N4508" s="13">
        <v>25</v>
      </c>
      <c r="O4508" s="13"/>
      <c r="P4508" s="3">
        <f t="shared" si="552"/>
        <v>0</v>
      </c>
      <c r="Q4508" s="3">
        <f t="shared" si="553"/>
        <v>0</v>
      </c>
      <c r="R4508" s="3">
        <f t="shared" si="559"/>
        <v>17945.489999999969</v>
      </c>
      <c r="S4508" s="24" t="s">
        <v>1334</v>
      </c>
      <c r="T4508" s="24" t="s">
        <v>1334</v>
      </c>
      <c r="U4508" s="55"/>
      <c r="V4508" s="25">
        <f>IFERROR(VLOOKUP(BCP_Soles[[#This Row],[destinatario]],CHOOSE({1,2},Clientes_Proveedores[Razon Social],Clientes_Proveedores[Ruc / Dni]),2,0),"")</f>
        <v>10450776578</v>
      </c>
      <c r="W4508" s="25"/>
      <c r="X4508" s="25"/>
      <c r="Y4508" s="25"/>
      <c r="Z4508" s="77"/>
      <c r="AA4508" s="3" t="str">
        <f>IF(BCP_Soles[[#This Row],[fecha]]&gt;0,TEXT(BCP_Soles[[#This Row],[fecha]],"mmmm"),0)</f>
        <v>Noviembre</v>
      </c>
    </row>
    <row r="4509" spans="1:27" ht="24" x14ac:dyDescent="0.3">
      <c r="A4509" s="2">
        <f>IF(BCP_Soles[[#This Row],[tipo_registro]]="R",COUNTIFS($C$1:$C4508,"R")+1,A4508)</f>
        <v>2985</v>
      </c>
      <c r="B4509" s="19" t="str">
        <f t="shared" si="550"/>
        <v>B-BCP - Soles</v>
      </c>
      <c r="C4509" s="3" t="s">
        <v>1352</v>
      </c>
      <c r="D4509" s="14">
        <v>45965</v>
      </c>
      <c r="E4509" s="5" t="s">
        <v>2269</v>
      </c>
      <c r="F4509" s="5" t="s">
        <v>1336</v>
      </c>
      <c r="G4509" s="6" t="s">
        <v>756</v>
      </c>
      <c r="H4509" s="191" t="s">
        <v>72</v>
      </c>
      <c r="I4509" s="6" t="s">
        <v>1376</v>
      </c>
      <c r="J4509" s="6">
        <v>1350</v>
      </c>
      <c r="K4509" s="7" t="s">
        <v>4875</v>
      </c>
      <c r="L4509" s="8">
        <v>1228397</v>
      </c>
      <c r="M4509" s="8" t="str">
        <f t="shared" si="551"/>
        <v>PEN</v>
      </c>
      <c r="N4509" s="13">
        <v>105</v>
      </c>
      <c r="O4509" s="13"/>
      <c r="P4509" s="3">
        <f t="shared" si="552"/>
        <v>0</v>
      </c>
      <c r="Q4509" s="3">
        <f t="shared" si="553"/>
        <v>0</v>
      </c>
      <c r="R4509" s="3">
        <f t="shared" si="559"/>
        <v>17945.489999999969</v>
      </c>
      <c r="S4509" s="24" t="s">
        <v>1334</v>
      </c>
      <c r="T4509" s="24" t="s">
        <v>1334</v>
      </c>
      <c r="U4509" s="55"/>
      <c r="V4509" s="25">
        <f>IFERROR(VLOOKUP(BCP_Soles[[#This Row],[destinatario]],CHOOSE({1,2},Clientes_Proveedores[Razon Social],Clientes_Proveedores[Ruc / Dni]),2,0),"")</f>
        <v>10450776578</v>
      </c>
      <c r="W4509" s="25"/>
      <c r="X4509" s="25"/>
      <c r="Y4509" s="25"/>
      <c r="Z4509" s="77"/>
      <c r="AA4509" s="3" t="str">
        <f>IF(BCP_Soles[[#This Row],[fecha]]&gt;0,TEXT(BCP_Soles[[#This Row],[fecha]],"mmmm"),0)</f>
        <v>Noviembre</v>
      </c>
    </row>
    <row r="4510" spans="1:27" x14ac:dyDescent="0.3">
      <c r="A4510" s="2">
        <f>IF(BCP_Soles[[#This Row],[tipo_registro]]="R",COUNTIFS($C$1:$C4509,"R")+1,A4509)</f>
        <v>2986</v>
      </c>
      <c r="B4510" s="19" t="str">
        <f t="shared" si="550"/>
        <v>B-BCP - Soles</v>
      </c>
      <c r="C4510" s="3" t="s">
        <v>1330</v>
      </c>
      <c r="D4510" s="14">
        <v>45965</v>
      </c>
      <c r="E4510" s="5" t="s">
        <v>2269</v>
      </c>
      <c r="F4510" s="5" t="s">
        <v>1336</v>
      </c>
      <c r="G4510" s="6" t="s">
        <v>696</v>
      </c>
      <c r="H4510" s="191"/>
      <c r="I4510" s="6"/>
      <c r="J4510" s="6"/>
      <c r="K4510" s="7" t="s">
        <v>4876</v>
      </c>
      <c r="L4510" s="8">
        <v>6360675</v>
      </c>
      <c r="M4510" s="8" t="str">
        <f t="shared" si="551"/>
        <v>PEN</v>
      </c>
      <c r="N4510" s="13"/>
      <c r="O4510" s="13">
        <v>7120</v>
      </c>
      <c r="P4510" s="3">
        <f t="shared" si="552"/>
        <v>0</v>
      </c>
      <c r="Q4510" s="3">
        <f t="shared" si="553"/>
        <v>7120</v>
      </c>
      <c r="R4510" s="3">
        <f t="shared" si="559"/>
        <v>10825.489999999969</v>
      </c>
      <c r="S4510" s="24" t="s">
        <v>1334</v>
      </c>
      <c r="T4510" s="24" t="s">
        <v>1334</v>
      </c>
      <c r="U4510" s="55"/>
      <c r="V4510" s="25">
        <f>IFERROR(VLOOKUP(BCP_Soles[[#This Row],[destinatario]],CHOOSE({1,2},Clientes_Proveedores[Razon Social],Clientes_Proveedores[Ruc / Dni]),2,0),"")</f>
        <v>0</v>
      </c>
      <c r="W4510" s="25"/>
      <c r="X4510" s="25"/>
      <c r="Y4510" s="25"/>
      <c r="Z4510" s="77"/>
      <c r="AA4510" s="3" t="str">
        <f>IF(BCP_Soles[[#This Row],[fecha]]&gt;0,TEXT(BCP_Soles[[#This Row],[fecha]],"mmmm"),0)</f>
        <v>Noviembre</v>
      </c>
    </row>
    <row r="4511" spans="1:27" ht="24" x14ac:dyDescent="0.3">
      <c r="A4511" s="2">
        <f>IF(BCP_Soles[[#This Row],[tipo_registro]]="R",COUNTIFS($C$1:$C4510,"R")+1,A4510)</f>
        <v>2986</v>
      </c>
      <c r="B4511" s="19" t="str">
        <f>"B-BCP - Soles"</f>
        <v>B-BCP - Soles</v>
      </c>
      <c r="C4511" s="3" t="s">
        <v>1352</v>
      </c>
      <c r="D4511" s="14">
        <v>45965</v>
      </c>
      <c r="E4511" s="5" t="s">
        <v>2269</v>
      </c>
      <c r="F4511" s="5" t="s">
        <v>1336</v>
      </c>
      <c r="G4511" s="6" t="s">
        <v>667</v>
      </c>
      <c r="H4511" s="191" t="s">
        <v>68</v>
      </c>
      <c r="I4511" s="6" t="s">
        <v>1376</v>
      </c>
      <c r="J4511" s="6">
        <v>74</v>
      </c>
      <c r="K4511" s="7" t="s">
        <v>4876</v>
      </c>
      <c r="L4511" s="8">
        <v>6360675</v>
      </c>
      <c r="M4511" s="8" t="str">
        <f>"PEN"</f>
        <v>PEN</v>
      </c>
      <c r="N4511" s="13">
        <v>566</v>
      </c>
      <c r="O4511" s="13"/>
      <c r="P4511" s="3">
        <f>+IF(OR($F4511="SALDO",$F4511="INGRESO"),$O4511,0)</f>
        <v>0</v>
      </c>
      <c r="Q4511" s="3">
        <f>+IF($F4511="EGRESO",$O4511,0)</f>
        <v>0</v>
      </c>
      <c r="R4511" s="3">
        <f t="shared" ref="R4511:R4527" si="561">IFERROR(IF(F4511="SALDO",P4511,R4510+P4511-Q4511),0)</f>
        <v>10825.489999999969</v>
      </c>
      <c r="S4511" s="24" t="s">
        <v>1334</v>
      </c>
      <c r="T4511" s="24" t="s">
        <v>1334</v>
      </c>
      <c r="U4511" s="55"/>
      <c r="V4511" s="25">
        <f>IFERROR(VLOOKUP(BCP_Soles[[#This Row],[destinatario]],CHOOSE({1,2},Clientes_Proveedores[Razon Social],Clientes_Proveedores[Ruc / Dni]),2,0),"")</f>
        <v>10410687491</v>
      </c>
      <c r="W4511" s="25"/>
      <c r="X4511" s="25"/>
      <c r="Y4511" s="25"/>
      <c r="Z4511" s="77"/>
      <c r="AA4511" s="3" t="str">
        <f>IF(BCP_Soles[[#This Row],[fecha]]&gt;0,TEXT(BCP_Soles[[#This Row],[fecha]],"mmmm"),0)</f>
        <v>Noviembre</v>
      </c>
    </row>
    <row r="4512" spans="1:27" ht="24" x14ac:dyDescent="0.3">
      <c r="A4512" s="2">
        <f>IF(BCP_Soles[[#This Row],[tipo_registro]]="R",COUNTIFS($C$1:$C4511,"R")+1,A4511)</f>
        <v>2986</v>
      </c>
      <c r="B4512" s="19" t="str">
        <f>"B-BCP - Soles"</f>
        <v>B-BCP - Soles</v>
      </c>
      <c r="C4512" s="3" t="s">
        <v>1352</v>
      </c>
      <c r="D4512" s="14">
        <v>45965</v>
      </c>
      <c r="E4512" s="5" t="s">
        <v>2269</v>
      </c>
      <c r="F4512" s="5" t="s">
        <v>1336</v>
      </c>
      <c r="G4512" s="6" t="s">
        <v>464</v>
      </c>
      <c r="H4512" s="191" t="s">
        <v>68</v>
      </c>
      <c r="I4512" s="6" t="s">
        <v>1376</v>
      </c>
      <c r="J4512" s="6">
        <v>873</v>
      </c>
      <c r="K4512" s="7" t="s">
        <v>4876</v>
      </c>
      <c r="L4512" s="8">
        <v>6360675</v>
      </c>
      <c r="M4512" s="8" t="str">
        <f>"PEN"</f>
        <v>PEN</v>
      </c>
      <c r="N4512" s="13">
        <v>2400</v>
      </c>
      <c r="O4512" s="13"/>
      <c r="P4512" s="3">
        <f>+IF(OR($F4512="SALDO",$F4512="INGRESO"),$O4512,0)</f>
        <v>0</v>
      </c>
      <c r="Q4512" s="3">
        <f>+IF($F4512="EGRESO",$O4512,0)</f>
        <v>0</v>
      </c>
      <c r="R4512" s="3">
        <f t="shared" si="561"/>
        <v>10825.489999999969</v>
      </c>
      <c r="S4512" s="24" t="s">
        <v>1334</v>
      </c>
      <c r="T4512" s="24" t="s">
        <v>1334</v>
      </c>
      <c r="U4512" s="55"/>
      <c r="V4512" s="25">
        <f>IFERROR(VLOOKUP(BCP_Soles[[#This Row],[destinatario]],CHOOSE({1,2},Clientes_Proveedores[Razon Social],Clientes_Proveedores[Ruc / Dni]),2,0),"")</f>
        <v>20601279666</v>
      </c>
      <c r="W4512" s="25"/>
      <c r="X4512" s="25"/>
      <c r="Y4512" s="25"/>
      <c r="Z4512" s="77"/>
      <c r="AA4512" s="3" t="str">
        <f>IF(BCP_Soles[[#This Row],[fecha]]&gt;0,TEXT(BCP_Soles[[#This Row],[fecha]],"mmmm"),0)</f>
        <v>Noviembre</v>
      </c>
    </row>
    <row r="4513" spans="1:27" ht="24" x14ac:dyDescent="0.3">
      <c r="A4513" s="2">
        <f>IF(BCP_Soles[[#This Row],[tipo_registro]]="R",COUNTIFS($C$1:$C4512,"R")+1,A4512)</f>
        <v>2986</v>
      </c>
      <c r="B4513" s="19" t="str">
        <f>"B-BCP - Soles"</f>
        <v>B-BCP - Soles</v>
      </c>
      <c r="C4513" s="3" t="s">
        <v>1352</v>
      </c>
      <c r="D4513" s="14">
        <v>45965</v>
      </c>
      <c r="E4513" s="5" t="s">
        <v>2269</v>
      </c>
      <c r="F4513" s="5" t="s">
        <v>1336</v>
      </c>
      <c r="G4513" s="6" t="s">
        <v>1294</v>
      </c>
      <c r="H4513" s="191" t="s">
        <v>68</v>
      </c>
      <c r="I4513" s="6" t="s">
        <v>1376</v>
      </c>
      <c r="J4513" s="6">
        <v>64</v>
      </c>
      <c r="K4513" s="7" t="s">
        <v>4876</v>
      </c>
      <c r="L4513" s="8">
        <v>6360675</v>
      </c>
      <c r="M4513" s="8" t="str">
        <f>"PEN"</f>
        <v>PEN</v>
      </c>
      <c r="N4513" s="13">
        <v>4154</v>
      </c>
      <c r="O4513" s="13"/>
      <c r="P4513" s="3">
        <f>+IF(OR($F4513="SALDO",$F4513="INGRESO"),$O4513,0)</f>
        <v>0</v>
      </c>
      <c r="Q4513" s="3">
        <f>+IF($F4513="EGRESO",$O4513,0)</f>
        <v>0</v>
      </c>
      <c r="R4513" s="3">
        <f t="shared" si="561"/>
        <v>10825.489999999969</v>
      </c>
      <c r="S4513" s="24" t="s">
        <v>1334</v>
      </c>
      <c r="T4513" s="24" t="s">
        <v>1334</v>
      </c>
      <c r="U4513" s="55"/>
      <c r="V4513" s="25">
        <f>IFERROR(VLOOKUP(BCP_Soles[[#This Row],[destinatario]],CHOOSE({1,2},Clientes_Proveedores[Razon Social],Clientes_Proveedores[Ruc / Dni]),2,0),"")</f>
        <v>20610819495</v>
      </c>
      <c r="W4513" s="25"/>
      <c r="X4513" s="25"/>
      <c r="Y4513" s="25"/>
      <c r="Z4513" s="77"/>
      <c r="AA4513" s="3" t="str">
        <f>IF(BCP_Soles[[#This Row],[fecha]]&gt;0,TEXT(BCP_Soles[[#This Row],[fecha]],"mmmm"),0)</f>
        <v>Noviembre</v>
      </c>
    </row>
    <row r="4514" spans="1:27" ht="24" x14ac:dyDescent="0.3">
      <c r="A4514" s="2">
        <f>IF(BCP_Soles[[#This Row],[tipo_registro]]="R",COUNTIFS($C$1:$C4513,"R")+1,A4513)</f>
        <v>2987</v>
      </c>
      <c r="B4514" s="19" t="str">
        <f t="shared" si="550"/>
        <v>B-BCP - Soles</v>
      </c>
      <c r="C4514" s="3" t="s">
        <v>1330</v>
      </c>
      <c r="D4514" s="14">
        <v>45965</v>
      </c>
      <c r="E4514" s="5" t="s">
        <v>2269</v>
      </c>
      <c r="F4514" s="5" t="s">
        <v>1336</v>
      </c>
      <c r="G4514" s="6" t="s">
        <v>708</v>
      </c>
      <c r="H4514" s="191"/>
      <c r="I4514" s="6"/>
      <c r="J4514" s="6"/>
      <c r="K4514" s="7" t="s">
        <v>4848</v>
      </c>
      <c r="L4514" s="8">
        <v>229548</v>
      </c>
      <c r="M4514" s="8" t="str">
        <f t="shared" si="551"/>
        <v>PEN</v>
      </c>
      <c r="N4514" s="13"/>
      <c r="O4514" s="13">
        <v>38.94</v>
      </c>
      <c r="P4514" s="3">
        <f t="shared" si="552"/>
        <v>0</v>
      </c>
      <c r="Q4514" s="3">
        <f t="shared" si="553"/>
        <v>38.94</v>
      </c>
      <c r="R4514" s="3">
        <f t="shared" si="561"/>
        <v>10786.549999999968</v>
      </c>
      <c r="S4514" s="24"/>
      <c r="T4514" s="24"/>
      <c r="U4514" s="55"/>
      <c r="V4514" s="25">
        <f>IFERROR(VLOOKUP(BCP_Soles[[#This Row],[destinatario]],CHOOSE({1,2},Clientes_Proveedores[Razon Social],Clientes_Proveedores[Ruc / Dni]),2,0),"")</f>
        <v>20467534026</v>
      </c>
      <c r="W4514" s="25"/>
      <c r="X4514" s="25"/>
      <c r="Y4514" s="25"/>
      <c r="Z4514" s="77"/>
      <c r="AA4514" s="3" t="str">
        <f>IF(BCP_Soles[[#This Row],[fecha]]&gt;0,TEXT(BCP_Soles[[#This Row],[fecha]],"mmmm"),0)</f>
        <v>Noviembre</v>
      </c>
    </row>
    <row r="4515" spans="1:27" ht="24" x14ac:dyDescent="0.3">
      <c r="A4515" s="2">
        <f>IF(BCP_Soles[[#This Row],[tipo_registro]]="R",COUNTIFS($C$1:$C4514,"R")+1,A4514)</f>
        <v>2988</v>
      </c>
      <c r="B4515" s="19" t="str">
        <f t="shared" ref="B4515:B4527" si="562">"B-BCP - Soles"</f>
        <v>B-BCP - Soles</v>
      </c>
      <c r="C4515" s="3" t="s">
        <v>1330</v>
      </c>
      <c r="D4515" s="14">
        <v>45965</v>
      </c>
      <c r="E4515" s="5" t="s">
        <v>1335</v>
      </c>
      <c r="F4515" s="5" t="s">
        <v>1336</v>
      </c>
      <c r="G4515" s="6" t="s">
        <v>1060</v>
      </c>
      <c r="H4515" s="191"/>
      <c r="I4515" s="6"/>
      <c r="J4515" s="6"/>
      <c r="K4515" s="7" t="s">
        <v>4877</v>
      </c>
      <c r="L4515" s="8">
        <v>6360680</v>
      </c>
      <c r="M4515" s="8" t="str">
        <f t="shared" ref="M4515:M4527" si="563">"PEN"</f>
        <v>PEN</v>
      </c>
      <c r="N4515" s="13"/>
      <c r="O4515" s="13">
        <v>24.92</v>
      </c>
      <c r="P4515" s="3">
        <f t="shared" ref="P4515:P4527" si="564">+IF(OR($F4515="SALDO",$F4515="INGRESO"),$O4515,0)</f>
        <v>0</v>
      </c>
      <c r="Q4515" s="3">
        <f t="shared" ref="Q4515:Q4527" si="565">+IF($F4515="EGRESO",$O4515,0)</f>
        <v>24.92</v>
      </c>
      <c r="R4515" s="3">
        <f t="shared" si="561"/>
        <v>10761.629999999968</v>
      </c>
      <c r="S4515" s="24"/>
      <c r="T4515" s="24"/>
      <c r="U4515" s="55"/>
      <c r="V4515" s="25">
        <f>IFERROR(VLOOKUP(BCP_Soles[[#This Row],[destinatario]],CHOOSE({1,2},Clientes_Proveedores[Razon Social],Clientes_Proveedores[Ruc / Dni]),2,0),"")</f>
        <v>20100047218</v>
      </c>
      <c r="W4515" s="25"/>
      <c r="X4515" s="25"/>
      <c r="Y4515" s="25"/>
      <c r="Z4515" s="77"/>
      <c r="AA4515" s="3" t="str">
        <f>IF(BCP_Soles[[#This Row],[fecha]]&gt;0,TEXT(BCP_Soles[[#This Row],[fecha]],"mmmm"),0)</f>
        <v>Noviembre</v>
      </c>
    </row>
    <row r="4516" spans="1:27" x14ac:dyDescent="0.3">
      <c r="A4516" s="2">
        <f>IF(BCP_Soles[[#This Row],[tipo_registro]]="R",COUNTIFS($C$1:$C4515,"R")+1,A4515)</f>
        <v>2989</v>
      </c>
      <c r="B4516" s="19" t="str">
        <f t="shared" si="562"/>
        <v>B-BCP - Soles</v>
      </c>
      <c r="C4516" s="13" t="s">
        <v>1330</v>
      </c>
      <c r="D4516" s="14">
        <v>45965</v>
      </c>
      <c r="E4516" s="5" t="s">
        <v>1335</v>
      </c>
      <c r="F4516" s="5" t="s">
        <v>1336</v>
      </c>
      <c r="G4516" s="6"/>
      <c r="H4516" s="191"/>
      <c r="I4516" s="6"/>
      <c r="J4516" s="6"/>
      <c r="K4516" s="7" t="s">
        <v>3160</v>
      </c>
      <c r="L4516" s="8"/>
      <c r="M4516" s="8" t="str">
        <f t="shared" si="563"/>
        <v>PEN</v>
      </c>
      <c r="N4516" s="13"/>
      <c r="O4516" s="13">
        <v>0.75</v>
      </c>
      <c r="P4516" s="3">
        <f t="shared" si="564"/>
        <v>0</v>
      </c>
      <c r="Q4516" s="3">
        <f t="shared" si="565"/>
        <v>0.75</v>
      </c>
      <c r="R4516" s="3">
        <f t="shared" si="561"/>
        <v>10760.879999999968</v>
      </c>
      <c r="S4516" s="24"/>
      <c r="T4516" s="24"/>
      <c r="U4516" s="55"/>
      <c r="V4516" s="25" t="str">
        <f>IFERROR(VLOOKUP(BCP_Soles[[#This Row],[destinatario]],CHOOSE({1,2},Clientes_Proveedores[Razon Social],Clientes_Proveedores[Ruc / Dni]),2,0),"")</f>
        <v/>
      </c>
      <c r="W4516" s="25"/>
      <c r="X4516" s="25"/>
      <c r="Y4516" s="25"/>
      <c r="Z4516" s="77"/>
      <c r="AA4516" s="3" t="str">
        <f>IF(BCP_Soles[[#This Row],[fecha]]&gt;0,TEXT(BCP_Soles[[#This Row],[fecha]],"mmmm"),0)</f>
        <v>Noviembre</v>
      </c>
    </row>
    <row r="4517" spans="1:27" ht="36" x14ac:dyDescent="0.3">
      <c r="A4517" s="2">
        <f>IF(BCP_Soles[[#This Row],[tipo_registro]]="R",COUNTIFS($C$1:$C4516,"R")+1,A4516)</f>
        <v>2990</v>
      </c>
      <c r="B4517" s="19" t="str">
        <f t="shared" si="562"/>
        <v>B-BCP - Soles</v>
      </c>
      <c r="C4517" s="3" t="s">
        <v>1330</v>
      </c>
      <c r="D4517" s="14">
        <v>45966</v>
      </c>
      <c r="E4517" s="5" t="s">
        <v>660</v>
      </c>
      <c r="F4517" s="5" t="s">
        <v>1303</v>
      </c>
      <c r="G4517" s="6" t="s">
        <v>425</v>
      </c>
      <c r="H4517" s="191" t="s">
        <v>68</v>
      </c>
      <c r="I4517" s="6" t="s">
        <v>3302</v>
      </c>
      <c r="J4517" s="6">
        <v>168</v>
      </c>
      <c r="K4517" s="7" t="s">
        <v>3608</v>
      </c>
      <c r="L4517" s="8">
        <v>671834</v>
      </c>
      <c r="M4517" s="8" t="str">
        <f t="shared" si="563"/>
        <v>PEN</v>
      </c>
      <c r="N4517" s="13"/>
      <c r="O4517" s="13">
        <v>778.8</v>
      </c>
      <c r="P4517" s="3">
        <f t="shared" si="564"/>
        <v>778.8</v>
      </c>
      <c r="Q4517" s="3">
        <f t="shared" si="565"/>
        <v>0</v>
      </c>
      <c r="R4517" s="3">
        <f t="shared" si="561"/>
        <v>11539.679999999968</v>
      </c>
      <c r="S4517" s="24" t="s">
        <v>1334</v>
      </c>
      <c r="T4517" s="24" t="s">
        <v>1334</v>
      </c>
      <c r="U4517" s="55"/>
      <c r="V4517" s="25">
        <f>IFERROR(VLOOKUP(BCP_Soles[[#This Row],[destinatario]],CHOOSE({1,2},Clientes_Proveedores[Razon Social],Clientes_Proveedores[Ruc / Dni]),2,0),"")</f>
        <v>20558226979</v>
      </c>
      <c r="W4517" s="25"/>
      <c r="X4517" s="25"/>
      <c r="Y4517" s="25"/>
      <c r="Z4517" s="77"/>
      <c r="AA4517" s="3" t="str">
        <f>IF(BCP_Soles[[#This Row],[fecha]]&gt;0,TEXT(BCP_Soles[[#This Row],[fecha]],"mmmm"),0)</f>
        <v>Noviembre</v>
      </c>
    </row>
    <row r="4518" spans="1:27" ht="24" x14ac:dyDescent="0.3">
      <c r="A4518" s="2">
        <f>IF(BCP_Soles[[#This Row],[tipo_registro]]="R",COUNTIFS($C$1:$C4517,"R")+1,A4517)</f>
        <v>2991</v>
      </c>
      <c r="B4518" s="19" t="str">
        <f>"B-BCP - Soles"</f>
        <v>B-BCP - Soles</v>
      </c>
      <c r="C4518" s="3" t="s">
        <v>1330</v>
      </c>
      <c r="D4518" s="14">
        <v>45966</v>
      </c>
      <c r="E4518" s="5" t="s">
        <v>2409</v>
      </c>
      <c r="F4518" s="5" t="s">
        <v>1303</v>
      </c>
      <c r="G4518" s="6" t="s">
        <v>425</v>
      </c>
      <c r="H4518" s="191" t="s">
        <v>119</v>
      </c>
      <c r="I4518" s="6">
        <v>1</v>
      </c>
      <c r="J4518" s="6">
        <v>4901</v>
      </c>
      <c r="K4518" s="7" t="s">
        <v>4878</v>
      </c>
      <c r="L4518" s="8">
        <v>754272</v>
      </c>
      <c r="M4518" s="8" t="str">
        <f>"PEN"</f>
        <v>PEN</v>
      </c>
      <c r="N4518" s="13"/>
      <c r="O4518" s="13">
        <v>3385</v>
      </c>
      <c r="P4518" s="3">
        <f>+IF(OR($F4518="SALDO",$F4518="INGRESO"),$O4518,0)</f>
        <v>3385</v>
      </c>
      <c r="Q4518" s="3">
        <f>+IF($F4518="EGRESO",$O4518,0)</f>
        <v>0</v>
      </c>
      <c r="R4518" s="3">
        <f>IFERROR(IF(F4518="SALDO",P4518,R4517+P4518-Q4518),0)</f>
        <v>14924.679999999968</v>
      </c>
      <c r="S4518" s="24" t="s">
        <v>1334</v>
      </c>
      <c r="T4518" s="24" t="s">
        <v>1334</v>
      </c>
      <c r="U4518" s="55"/>
      <c r="V4518" s="25">
        <f>IFERROR(VLOOKUP(BCP_Soles[[#This Row],[destinatario]],CHOOSE({1,2},Clientes_Proveedores[Razon Social],Clientes_Proveedores[Ruc / Dni]),2,0),"")</f>
        <v>20558226979</v>
      </c>
      <c r="W4518" s="25"/>
      <c r="X4518" s="25"/>
      <c r="Y4518" s="25"/>
      <c r="Z4518" s="77"/>
      <c r="AA4518" s="3" t="str">
        <f>IF(BCP_Soles[[#This Row],[fecha]]&gt;0,TEXT(BCP_Soles[[#This Row],[fecha]],"mmmm"),0)</f>
        <v>Noviembre</v>
      </c>
    </row>
    <row r="4519" spans="1:27" ht="36" x14ac:dyDescent="0.3">
      <c r="A4519" s="2">
        <f>IF(BCP_Soles[[#This Row],[tipo_registro]]="R",COUNTIFS($C$1:$C4518,"R")+1,A4518)</f>
        <v>2992</v>
      </c>
      <c r="B4519" s="19" t="str">
        <f>"B-BCP - Soles"</f>
        <v>B-BCP - Soles</v>
      </c>
      <c r="C4519" s="3" t="s">
        <v>1330</v>
      </c>
      <c r="D4519" s="14">
        <v>45966</v>
      </c>
      <c r="E4519" s="5" t="s">
        <v>237</v>
      </c>
      <c r="F4519" s="5" t="s">
        <v>1303</v>
      </c>
      <c r="G4519" s="6" t="s">
        <v>425</v>
      </c>
      <c r="H4519" s="191" t="s">
        <v>68</v>
      </c>
      <c r="I4519" s="6" t="s">
        <v>1784</v>
      </c>
      <c r="J4519" s="6">
        <v>281</v>
      </c>
      <c r="K4519" s="7" t="s">
        <v>4879</v>
      </c>
      <c r="L4519" s="8">
        <v>6767956</v>
      </c>
      <c r="M4519" s="8" t="str">
        <f>"PEN"</f>
        <v>PEN</v>
      </c>
      <c r="N4519" s="13"/>
      <c r="O4519" s="13">
        <v>3808.3</v>
      </c>
      <c r="P4519" s="3">
        <f>+IF(OR($F4519="SALDO",$F4519="INGRESO"),$O4519,0)</f>
        <v>3808.3</v>
      </c>
      <c r="Q4519" s="3">
        <f>+IF($F4519="EGRESO",$O4519,0)</f>
        <v>0</v>
      </c>
      <c r="R4519" s="3">
        <f>IFERROR(IF(F4519="SALDO",P4519,R4518+P4519-Q4519),0)</f>
        <v>18732.979999999967</v>
      </c>
      <c r="S4519" s="24" t="s">
        <v>1334</v>
      </c>
      <c r="T4519" s="24" t="s">
        <v>1334</v>
      </c>
      <c r="U4519" s="55"/>
      <c r="V4519" s="25">
        <f>IFERROR(VLOOKUP(BCP_Soles[[#This Row],[destinatario]],CHOOSE({1,2},Clientes_Proveedores[Razon Social],Clientes_Proveedores[Ruc / Dni]),2,0),"")</f>
        <v>20558226979</v>
      </c>
      <c r="W4519" s="25"/>
      <c r="X4519" s="25"/>
      <c r="Y4519" s="25"/>
      <c r="Z4519" s="77"/>
      <c r="AA4519" s="3" t="str">
        <f>IF(BCP_Soles[[#This Row],[fecha]]&gt;0,TEXT(BCP_Soles[[#This Row],[fecha]],"mmmm"),0)</f>
        <v>Noviembre</v>
      </c>
    </row>
    <row r="4520" spans="1:27" ht="24" x14ac:dyDescent="0.3">
      <c r="A4520" s="2">
        <f>IF(BCP_Soles[[#This Row],[tipo_registro]]="R",COUNTIFS($C$1:$C4519,"R")+1,A4519)</f>
        <v>2993</v>
      </c>
      <c r="B4520" s="19" t="str">
        <f t="shared" si="562"/>
        <v>B-BCP - Soles</v>
      </c>
      <c r="C4520" s="3" t="s">
        <v>1330</v>
      </c>
      <c r="D4520" s="14">
        <v>45966</v>
      </c>
      <c r="E4520" s="5" t="s">
        <v>1338</v>
      </c>
      <c r="F4520" s="5" t="s">
        <v>1336</v>
      </c>
      <c r="G4520" s="6" t="s">
        <v>866</v>
      </c>
      <c r="H4520" s="191" t="s">
        <v>143</v>
      </c>
      <c r="I4520" s="6">
        <v>1</v>
      </c>
      <c r="J4520" s="6">
        <v>962025</v>
      </c>
      <c r="K4520" s="7" t="s">
        <v>4880</v>
      </c>
      <c r="L4520" s="8">
        <v>1140248</v>
      </c>
      <c r="M4520" s="8" t="str">
        <f t="shared" si="563"/>
        <v>PEN</v>
      </c>
      <c r="N4520" s="13"/>
      <c r="O4520" s="13">
        <v>542</v>
      </c>
      <c r="P4520" s="3">
        <f t="shared" si="564"/>
        <v>0</v>
      </c>
      <c r="Q4520" s="3">
        <f t="shared" si="565"/>
        <v>542</v>
      </c>
      <c r="R4520" s="3">
        <f>IFERROR(IF(F4520="SALDO",P4520,R4519+P4520-Q4520),0)</f>
        <v>18190.979999999967</v>
      </c>
      <c r="S4520" s="24"/>
      <c r="T4520" s="24"/>
      <c r="U4520" s="55"/>
      <c r="V4520" s="25">
        <f>IFERROR(VLOOKUP(BCP_Soles[[#This Row],[destinatario]],CHOOSE({1,2},Clientes_Proveedores[Razon Social],Clientes_Proveedores[Ruc / Dni]),2,0),"")</f>
        <v>45921913</v>
      </c>
      <c r="W4520" s="25"/>
      <c r="X4520" s="25"/>
      <c r="Y4520" s="25"/>
      <c r="Z4520" s="77"/>
      <c r="AA4520" s="3" t="str">
        <f>IF(BCP_Soles[[#This Row],[fecha]]&gt;0,TEXT(BCP_Soles[[#This Row],[fecha]],"mmmm"),0)</f>
        <v>Noviembre</v>
      </c>
    </row>
    <row r="4521" spans="1:27" ht="24" x14ac:dyDescent="0.3">
      <c r="A4521" s="2">
        <f>IF(BCP_Soles[[#This Row],[tipo_registro]]="R",COUNTIFS($C$1:$C4520,"R")+1,A4520)</f>
        <v>2994</v>
      </c>
      <c r="B4521" s="19" t="str">
        <f t="shared" si="562"/>
        <v>B-BCP - Soles</v>
      </c>
      <c r="C4521" s="3" t="s">
        <v>1330</v>
      </c>
      <c r="D4521" s="14">
        <v>45966</v>
      </c>
      <c r="E4521" s="5" t="s">
        <v>1338</v>
      </c>
      <c r="F4521" s="5" t="s">
        <v>1336</v>
      </c>
      <c r="G4521" s="6" t="s">
        <v>708</v>
      </c>
      <c r="H4521" s="191"/>
      <c r="I4521" s="6"/>
      <c r="J4521" s="6"/>
      <c r="K4521" s="7" t="s">
        <v>4881</v>
      </c>
      <c r="L4521" s="8">
        <v>142490</v>
      </c>
      <c r="M4521" s="8" t="str">
        <f t="shared" si="563"/>
        <v>PEN</v>
      </c>
      <c r="N4521" s="13"/>
      <c r="O4521" s="13">
        <v>506.22</v>
      </c>
      <c r="P4521" s="3">
        <f t="shared" si="564"/>
        <v>0</v>
      </c>
      <c r="Q4521" s="3">
        <f t="shared" si="565"/>
        <v>506.22</v>
      </c>
      <c r="R4521" s="3">
        <f t="shared" si="561"/>
        <v>17684.759999999966</v>
      </c>
      <c r="S4521" s="24"/>
      <c r="T4521" s="24"/>
      <c r="U4521" s="55"/>
      <c r="V4521" s="25">
        <f>IFERROR(VLOOKUP(BCP_Soles[[#This Row],[destinatario]],CHOOSE({1,2},Clientes_Proveedores[Razon Social],Clientes_Proveedores[Ruc / Dni]),2,0),"")</f>
        <v>20467534026</v>
      </c>
      <c r="W4521" s="25"/>
      <c r="X4521" s="25"/>
      <c r="Y4521" s="25"/>
      <c r="Z4521" s="77"/>
      <c r="AA4521" s="3" t="str">
        <f>IF(BCP_Soles[[#This Row],[fecha]]&gt;0,TEXT(BCP_Soles[[#This Row],[fecha]],"mmmm"),0)</f>
        <v>Noviembre</v>
      </c>
    </row>
    <row r="4522" spans="1:27" ht="24" x14ac:dyDescent="0.3">
      <c r="A4522" s="2">
        <f>IF(BCP_Soles[[#This Row],[tipo_registro]]="R",COUNTIFS($C$1:$C4521,"R")+1,A4521)</f>
        <v>2995</v>
      </c>
      <c r="B4522" s="19" t="str">
        <f t="shared" si="562"/>
        <v>B-BCP - Soles</v>
      </c>
      <c r="C4522" s="3" t="s">
        <v>1330</v>
      </c>
      <c r="D4522" s="14">
        <v>45966</v>
      </c>
      <c r="E4522" s="5" t="s">
        <v>1338</v>
      </c>
      <c r="F4522" s="5" t="s">
        <v>1336</v>
      </c>
      <c r="G4522" s="6" t="s">
        <v>698</v>
      </c>
      <c r="H4522" s="191"/>
      <c r="I4522" s="6"/>
      <c r="J4522" s="6"/>
      <c r="K4522" s="106" t="s">
        <v>4882</v>
      </c>
      <c r="L4522" s="8">
        <v>4015141</v>
      </c>
      <c r="M4522" s="8" t="str">
        <f t="shared" si="563"/>
        <v>PEN</v>
      </c>
      <c r="N4522" s="13"/>
      <c r="O4522" s="13">
        <v>3219.5</v>
      </c>
      <c r="P4522" s="3">
        <f t="shared" si="564"/>
        <v>0</v>
      </c>
      <c r="Q4522" s="3">
        <f t="shared" si="565"/>
        <v>3219.5</v>
      </c>
      <c r="R4522" s="3">
        <f t="shared" si="561"/>
        <v>14465.259999999966</v>
      </c>
      <c r="S4522" s="24"/>
      <c r="T4522" s="24"/>
      <c r="U4522" s="55"/>
      <c r="V4522" s="25">
        <f>IFERROR(VLOOKUP(BCP_Soles[[#This Row],[destinatario]],CHOOSE({1,2},Clientes_Proveedores[Razon Social],Clientes_Proveedores[Ruc / Dni]),2,0),"")</f>
        <v>10296347634</v>
      </c>
      <c r="W4522" s="25"/>
      <c r="X4522" s="25"/>
      <c r="Y4522" s="25"/>
      <c r="Z4522" s="77"/>
      <c r="AA4522" s="3" t="str">
        <f>IF(BCP_Soles[[#This Row],[fecha]]&gt;0,TEXT(BCP_Soles[[#This Row],[fecha]],"mmmm"),0)</f>
        <v>Noviembre</v>
      </c>
    </row>
    <row r="4523" spans="1:27" ht="24" x14ac:dyDescent="0.3">
      <c r="A4523" s="2">
        <f>IF(BCP_Soles[[#This Row],[tipo_registro]]="R",COUNTIFS($C$1:$C4522,"R")+1,A4522)</f>
        <v>2995</v>
      </c>
      <c r="B4523" s="19" t="str">
        <f t="shared" si="562"/>
        <v>B-BCP - Soles</v>
      </c>
      <c r="C4523" s="3" t="s">
        <v>1352</v>
      </c>
      <c r="D4523" s="14">
        <v>45966</v>
      </c>
      <c r="E4523" s="5" t="s">
        <v>1338</v>
      </c>
      <c r="F4523" s="5" t="s">
        <v>1336</v>
      </c>
      <c r="G4523" s="6" t="s">
        <v>698</v>
      </c>
      <c r="H4523" s="191" t="s">
        <v>64</v>
      </c>
      <c r="I4523" s="6"/>
      <c r="J4523" s="6"/>
      <c r="K4523" s="106" t="s">
        <v>4882</v>
      </c>
      <c r="L4523" s="8">
        <v>4015141</v>
      </c>
      <c r="M4523" s="8" t="str">
        <f t="shared" si="563"/>
        <v>PEN</v>
      </c>
      <c r="N4523" s="13">
        <v>3200</v>
      </c>
      <c r="O4523" s="13"/>
      <c r="P4523" s="3">
        <f t="shared" si="564"/>
        <v>0</v>
      </c>
      <c r="Q4523" s="3">
        <f t="shared" si="565"/>
        <v>0</v>
      </c>
      <c r="R4523" s="3">
        <f t="shared" si="561"/>
        <v>14465.259999999966</v>
      </c>
      <c r="S4523" s="24"/>
      <c r="T4523" s="24"/>
      <c r="U4523" s="55"/>
      <c r="V4523" s="25">
        <f>IFERROR(VLOOKUP(BCP_Soles[[#This Row],[destinatario]],CHOOSE({1,2},Clientes_Proveedores[Razon Social],Clientes_Proveedores[Ruc / Dni]),2,0),"")</f>
        <v>10296347634</v>
      </c>
      <c r="W4523" s="25"/>
      <c r="X4523" s="25"/>
      <c r="Y4523" s="25"/>
      <c r="Z4523" s="77"/>
      <c r="AA4523" s="3" t="str">
        <f>IF(BCP_Soles[[#This Row],[fecha]]&gt;0,TEXT(BCP_Soles[[#This Row],[fecha]],"mmmm"),0)</f>
        <v>Noviembre</v>
      </c>
    </row>
    <row r="4524" spans="1:27" ht="24" x14ac:dyDescent="0.3">
      <c r="A4524" s="2">
        <f>IF(BCP_Soles[[#This Row],[tipo_registro]]="R",COUNTIFS($C$1:$C4523,"R")+1,A4523)</f>
        <v>2995</v>
      </c>
      <c r="B4524" s="19" t="str">
        <f t="shared" si="562"/>
        <v>B-BCP - Soles</v>
      </c>
      <c r="C4524" s="3" t="s">
        <v>1352</v>
      </c>
      <c r="D4524" s="14">
        <v>45966</v>
      </c>
      <c r="E4524" s="5" t="s">
        <v>1338</v>
      </c>
      <c r="F4524" s="5" t="s">
        <v>1336</v>
      </c>
      <c r="G4524" s="6" t="s">
        <v>1060</v>
      </c>
      <c r="H4524" s="6" t="s">
        <v>68</v>
      </c>
      <c r="I4524" s="6"/>
      <c r="J4524" s="6"/>
      <c r="K4524" s="106" t="s">
        <v>4882</v>
      </c>
      <c r="L4524" s="8">
        <v>4015141</v>
      </c>
      <c r="M4524" s="8" t="str">
        <f t="shared" si="563"/>
        <v>PEN</v>
      </c>
      <c r="N4524" s="13">
        <v>19.5</v>
      </c>
      <c r="O4524" s="13"/>
      <c r="P4524" s="3">
        <f t="shared" si="564"/>
        <v>0</v>
      </c>
      <c r="Q4524" s="3">
        <f t="shared" si="565"/>
        <v>0</v>
      </c>
      <c r="R4524" s="3">
        <f t="shared" si="561"/>
        <v>14465.259999999966</v>
      </c>
      <c r="S4524" s="24"/>
      <c r="T4524" s="24"/>
      <c r="U4524" s="55"/>
      <c r="V4524" s="25">
        <f>IFERROR(VLOOKUP(BCP_Soles[[#This Row],[destinatario]],CHOOSE({1,2},Clientes_Proveedores[Razon Social],Clientes_Proveedores[Ruc / Dni]),2,0),"")</f>
        <v>20100047218</v>
      </c>
      <c r="W4524" s="25"/>
      <c r="X4524" s="25"/>
      <c r="Y4524" s="25"/>
      <c r="Z4524" s="77"/>
      <c r="AA4524" s="3" t="str">
        <f>IF(BCP_Soles[[#This Row],[fecha]]&gt;0,TEXT(BCP_Soles[[#This Row],[fecha]],"mmmm"),0)</f>
        <v>Noviembre</v>
      </c>
    </row>
    <row r="4525" spans="1:27" ht="24" x14ac:dyDescent="0.3">
      <c r="A4525" s="2">
        <f>IF(BCP_Soles[[#This Row],[tipo_registro]]="R",COUNTIFS($C$1:$C4524,"R")+1,A4524)</f>
        <v>2996</v>
      </c>
      <c r="B4525" s="19" t="str">
        <f t="shared" si="562"/>
        <v>B-BCP - Soles</v>
      </c>
      <c r="C4525" s="3" t="s">
        <v>1330</v>
      </c>
      <c r="D4525" s="14">
        <v>45966</v>
      </c>
      <c r="E4525" s="5" t="s">
        <v>1338</v>
      </c>
      <c r="F4525" s="5" t="s">
        <v>1336</v>
      </c>
      <c r="G4525" s="6" t="s">
        <v>703</v>
      </c>
      <c r="H4525" s="6" t="s">
        <v>106</v>
      </c>
      <c r="I4525" s="198" t="s">
        <v>1484</v>
      </c>
      <c r="J4525" s="6">
        <v>33315515</v>
      </c>
      <c r="K4525" s="7" t="s">
        <v>4883</v>
      </c>
      <c r="L4525" s="8">
        <v>144518</v>
      </c>
      <c r="M4525" s="8" t="str">
        <f t="shared" si="563"/>
        <v>PEN</v>
      </c>
      <c r="N4525" s="13"/>
      <c r="O4525" s="13">
        <v>427.2</v>
      </c>
      <c r="P4525" s="3">
        <f t="shared" si="564"/>
        <v>0</v>
      </c>
      <c r="Q4525" s="3">
        <f t="shared" si="565"/>
        <v>427.2</v>
      </c>
      <c r="R4525" s="3">
        <f t="shared" si="561"/>
        <v>14038.059999999965</v>
      </c>
      <c r="S4525" s="24" t="s">
        <v>1334</v>
      </c>
      <c r="T4525" s="24" t="s">
        <v>1334</v>
      </c>
      <c r="U4525" s="55"/>
      <c r="V4525" s="25">
        <f>IFERROR(VLOOKUP(BCP_Soles[[#This Row],[destinatario]],CHOOSE({1,2},Clientes_Proveedores[Razon Social],Clientes_Proveedores[Ruc / Dni]),2,0),"")</f>
        <v>20100188628</v>
      </c>
      <c r="W4525" s="25"/>
      <c r="X4525" s="25"/>
      <c r="Y4525" s="25"/>
      <c r="Z4525" s="77"/>
      <c r="AA4525" s="3" t="str">
        <f>IF(BCP_Soles[[#This Row],[fecha]]&gt;0,TEXT(BCP_Soles[[#This Row],[fecha]],"mmmm"),0)</f>
        <v>Noviembre</v>
      </c>
    </row>
    <row r="4526" spans="1:27" ht="24" x14ac:dyDescent="0.3">
      <c r="A4526" s="2">
        <f>IF(BCP_Soles[[#This Row],[tipo_registro]]="R",COUNTIFS($C$1:$C4525,"R")+1,A4525)</f>
        <v>2997</v>
      </c>
      <c r="B4526" s="19" t="str">
        <f t="shared" si="562"/>
        <v>B-BCP - Soles</v>
      </c>
      <c r="C4526" s="3" t="s">
        <v>1330</v>
      </c>
      <c r="D4526" s="14">
        <v>45966</v>
      </c>
      <c r="E4526" s="5" t="s">
        <v>1338</v>
      </c>
      <c r="F4526" s="5" t="s">
        <v>1336</v>
      </c>
      <c r="G4526" s="6" t="s">
        <v>871</v>
      </c>
      <c r="H4526" s="191"/>
      <c r="I4526" s="6"/>
      <c r="J4526" s="6"/>
      <c r="K4526" s="7" t="s">
        <v>4884</v>
      </c>
      <c r="L4526" s="8">
        <v>1140744</v>
      </c>
      <c r="M4526" s="8" t="str">
        <f t="shared" si="563"/>
        <v>PEN</v>
      </c>
      <c r="N4526" s="13"/>
      <c r="O4526" s="13">
        <v>3549.38</v>
      </c>
      <c r="P4526" s="3">
        <f t="shared" si="564"/>
        <v>0</v>
      </c>
      <c r="Q4526" s="3">
        <f t="shared" si="565"/>
        <v>3549.38</v>
      </c>
      <c r="R4526" s="3">
        <f t="shared" si="561"/>
        <v>10488.679999999964</v>
      </c>
      <c r="S4526" s="24"/>
      <c r="T4526" s="24" t="s">
        <v>1334</v>
      </c>
      <c r="U4526" s="55"/>
      <c r="V4526" s="25">
        <f>IFERROR(VLOOKUP(BCP_Soles[[#This Row],[destinatario]],CHOOSE({1,2},Clientes_Proveedores[Razon Social],Clientes_Proveedores[Ruc / Dni]),2,0),"")</f>
        <v>72302392</v>
      </c>
      <c r="W4526" s="25"/>
      <c r="X4526" s="25"/>
      <c r="Y4526" s="25"/>
      <c r="Z4526" s="77"/>
      <c r="AA4526" s="3" t="str">
        <f>IF(BCP_Soles[[#This Row],[fecha]]&gt;0,TEXT(BCP_Soles[[#This Row],[fecha]],"mmmm"),0)</f>
        <v>Noviembre</v>
      </c>
    </row>
    <row r="4527" spans="1:27" x14ac:dyDescent="0.3">
      <c r="A4527" s="2">
        <f>IF(BCP_Soles[[#This Row],[tipo_registro]]="R",COUNTIFS($C$1:$C4526,"R")+1,A4526)</f>
        <v>2998</v>
      </c>
      <c r="B4527" s="19" t="str">
        <f t="shared" si="562"/>
        <v>B-BCP - Soles</v>
      </c>
      <c r="C4527" s="3" t="s">
        <v>1330</v>
      </c>
      <c r="D4527" s="14">
        <v>45966</v>
      </c>
      <c r="E4527" s="5" t="s">
        <v>1338</v>
      </c>
      <c r="F4527" s="5" t="s">
        <v>1336</v>
      </c>
      <c r="G4527" s="6" t="s">
        <v>695</v>
      </c>
      <c r="H4527" s="191"/>
      <c r="I4527" s="6"/>
      <c r="J4527" s="6"/>
      <c r="K4527" s="7" t="s">
        <v>3552</v>
      </c>
      <c r="L4527" s="8">
        <v>140745</v>
      </c>
      <c r="M4527" s="8" t="str">
        <f t="shared" si="563"/>
        <v>PEN</v>
      </c>
      <c r="N4527" s="13"/>
      <c r="O4527" s="13">
        <v>2575.6999999999998</v>
      </c>
      <c r="P4527" s="3">
        <f t="shared" si="564"/>
        <v>0</v>
      </c>
      <c r="Q4527" s="3">
        <f t="shared" si="565"/>
        <v>2575.6999999999998</v>
      </c>
      <c r="R4527" s="3">
        <f t="shared" si="561"/>
        <v>7912.9799999999641</v>
      </c>
      <c r="S4527" s="24" t="s">
        <v>1334</v>
      </c>
      <c r="T4527" s="24" t="s">
        <v>1334</v>
      </c>
      <c r="U4527" s="55"/>
      <c r="V4527" s="25">
        <f>IFERROR(VLOOKUP(BCP_Soles[[#This Row],[destinatario]],CHOOSE({1,2},Clientes_Proveedores[Razon Social],Clientes_Proveedores[Ruc / Dni]),2,0),"")</f>
        <v>20127765279</v>
      </c>
      <c r="W4527" s="25"/>
      <c r="X4527" s="25"/>
      <c r="Y4527" s="25"/>
      <c r="Z4527" s="77"/>
      <c r="AA4527" s="3" t="str">
        <f>IF(BCP_Soles[[#This Row],[fecha]]&gt;0,TEXT(BCP_Soles[[#This Row],[fecha]],"mmmm"),0)</f>
        <v>Noviembre</v>
      </c>
    </row>
    <row r="4528" spans="1:27" x14ac:dyDescent="0.3">
      <c r="A4528" s="2">
        <f>IF(BCP_Soles[[#This Row],[tipo_registro]]="R",COUNTIFS($C$1:$C4527,"R")+1,A4527)</f>
        <v>2998</v>
      </c>
      <c r="B4528" s="19" t="str">
        <f>"B-BCP - Soles"</f>
        <v>B-BCP - Soles</v>
      </c>
      <c r="C4528" s="3" t="s">
        <v>1352</v>
      </c>
      <c r="D4528" s="14">
        <v>45966</v>
      </c>
      <c r="E4528" s="5" t="s">
        <v>1338</v>
      </c>
      <c r="F4528" s="5" t="s">
        <v>1336</v>
      </c>
      <c r="G4528" s="6" t="s">
        <v>695</v>
      </c>
      <c r="H4528" s="191" t="s">
        <v>68</v>
      </c>
      <c r="I4528" s="6" t="s">
        <v>1715</v>
      </c>
      <c r="J4528" s="6">
        <v>163819</v>
      </c>
      <c r="K4528" s="7" t="s">
        <v>3552</v>
      </c>
      <c r="L4528" s="8">
        <v>140745</v>
      </c>
      <c r="M4528" s="8" t="str">
        <f>"PEN"</f>
        <v>PEN</v>
      </c>
      <c r="N4528" s="13">
        <v>1294.1300000000001</v>
      </c>
      <c r="O4528" s="13"/>
      <c r="P4528" s="3">
        <f>+IF(OR($F4528="SALDO",$F4528="INGRESO"),$O4528,0)</f>
        <v>0</v>
      </c>
      <c r="Q4528" s="3">
        <f>+IF($F4528="EGRESO",$O4528,0)</f>
        <v>0</v>
      </c>
      <c r="R4528" s="3">
        <f>IFERROR(IF(F4528="SALDO",P4528,R4527+P4528-Q4528),0)</f>
        <v>7912.9799999999641</v>
      </c>
      <c r="S4528" s="24" t="s">
        <v>1334</v>
      </c>
      <c r="T4528" s="24" t="s">
        <v>1334</v>
      </c>
      <c r="U4528" s="55"/>
      <c r="V4528" s="25">
        <f>IFERROR(VLOOKUP(BCP_Soles[[#This Row],[destinatario]],CHOOSE({1,2},Clientes_Proveedores[Razon Social],Clientes_Proveedores[Ruc / Dni]),2,0),"")</f>
        <v>20127765279</v>
      </c>
      <c r="W4528" s="25"/>
      <c r="X4528" s="25"/>
      <c r="Y4528" s="25"/>
      <c r="Z4528" s="77"/>
      <c r="AA4528" s="3" t="str">
        <f>IF(BCP_Soles[[#This Row],[fecha]]&gt;0,TEXT(BCP_Soles[[#This Row],[fecha]],"mmmm"),0)</f>
        <v>Noviembre</v>
      </c>
    </row>
    <row r="4529" spans="1:27" x14ac:dyDescent="0.3">
      <c r="A4529" s="2">
        <f>IF(BCP_Soles[[#This Row],[tipo_registro]]="R",COUNTIFS($C$1:$C4528,"R")+1,A4528)</f>
        <v>2998</v>
      </c>
      <c r="B4529" s="19" t="str">
        <f>"B-BCP - Soles"</f>
        <v>B-BCP - Soles</v>
      </c>
      <c r="C4529" s="3" t="s">
        <v>1352</v>
      </c>
      <c r="D4529" s="14">
        <v>45966</v>
      </c>
      <c r="E4529" s="5" t="s">
        <v>1338</v>
      </c>
      <c r="F4529" s="5" t="s">
        <v>1336</v>
      </c>
      <c r="G4529" s="6" t="s">
        <v>695</v>
      </c>
      <c r="H4529" s="191" t="s">
        <v>68</v>
      </c>
      <c r="I4529" s="6" t="s">
        <v>1715</v>
      </c>
      <c r="J4529" s="6">
        <v>163861</v>
      </c>
      <c r="K4529" s="7" t="s">
        <v>3552</v>
      </c>
      <c r="L4529" s="8">
        <v>140745</v>
      </c>
      <c r="M4529" s="8" t="str">
        <f>"PEN"</f>
        <v>PEN</v>
      </c>
      <c r="N4529" s="13">
        <v>1281.57</v>
      </c>
      <c r="O4529" s="13"/>
      <c r="P4529" s="3">
        <f>+IF(OR($F4529="SALDO",$F4529="INGRESO"),$O4529,0)</f>
        <v>0</v>
      </c>
      <c r="Q4529" s="3">
        <f>+IF($F4529="EGRESO",$O4529,0)</f>
        <v>0</v>
      </c>
      <c r="R4529" s="3">
        <f t="shared" ref="R4529:R4530" si="566">IFERROR(IF(F4529="SALDO",P4529,R4528+P4529-Q4529),0)</f>
        <v>7912.9799999999641</v>
      </c>
      <c r="S4529" s="24" t="s">
        <v>1334</v>
      </c>
      <c r="T4529" s="24" t="s">
        <v>1334</v>
      </c>
      <c r="U4529" s="55"/>
      <c r="V4529" s="25">
        <f>IFERROR(VLOOKUP(BCP_Soles[[#This Row],[destinatario]],CHOOSE({1,2},Clientes_Proveedores[Razon Social],Clientes_Proveedores[Ruc / Dni]),2,0),"")</f>
        <v>20127765279</v>
      </c>
      <c r="W4529" s="25"/>
      <c r="X4529" s="25"/>
      <c r="Y4529" s="25"/>
      <c r="Z4529" s="77"/>
      <c r="AA4529" s="3" t="str">
        <f>IF(BCP_Soles[[#This Row],[fecha]]&gt;0,TEXT(BCP_Soles[[#This Row],[fecha]],"mmmm"),0)</f>
        <v>Noviembre</v>
      </c>
    </row>
    <row r="4530" spans="1:27" x14ac:dyDescent="0.3">
      <c r="A4530" s="2">
        <f>IF(BCP_Soles[[#This Row],[tipo_registro]]="R",COUNTIFS($C$1:$C4529,"R")+1,A4529)</f>
        <v>2999</v>
      </c>
      <c r="B4530" s="19" t="str">
        <f t="shared" ref="B4530:B4548" si="567">"B-BCP - Soles"</f>
        <v>B-BCP - Soles</v>
      </c>
      <c r="C4530" s="3" t="s">
        <v>1330</v>
      </c>
      <c r="D4530" s="14">
        <v>45966</v>
      </c>
      <c r="E4530" s="5" t="s">
        <v>1338</v>
      </c>
      <c r="F4530" s="5" t="s">
        <v>1336</v>
      </c>
      <c r="G4530" s="6" t="s">
        <v>565</v>
      </c>
      <c r="H4530" s="191" t="s">
        <v>68</v>
      </c>
      <c r="I4530" s="6" t="s">
        <v>1432</v>
      </c>
      <c r="J4530" s="6">
        <v>331</v>
      </c>
      <c r="K4530" s="7" t="s">
        <v>4885</v>
      </c>
      <c r="L4530" s="8">
        <v>1210960</v>
      </c>
      <c r="M4530" s="8" t="str">
        <f t="shared" ref="M4530:M4548" si="568">"PEN"</f>
        <v>PEN</v>
      </c>
      <c r="N4530" s="13"/>
      <c r="O4530" s="13">
        <v>180</v>
      </c>
      <c r="P4530" s="3">
        <f t="shared" ref="P4530:P4548" si="569">+IF(OR($F4530="SALDO",$F4530="INGRESO"),$O4530,0)</f>
        <v>0</v>
      </c>
      <c r="Q4530" s="3">
        <f t="shared" ref="Q4530:Q4548" si="570">+IF($F4530="EGRESO",$O4530,0)</f>
        <v>180</v>
      </c>
      <c r="R4530" s="3">
        <f t="shared" si="566"/>
        <v>7732.9799999999641</v>
      </c>
      <c r="S4530" s="24" t="s">
        <v>1334</v>
      </c>
      <c r="T4530" s="24" t="s">
        <v>1334</v>
      </c>
      <c r="U4530" s="55"/>
      <c r="V4530" s="25">
        <f>IFERROR(VLOOKUP(BCP_Soles[[#This Row],[destinatario]],CHOOSE({1,2},Clientes_Proveedores[Razon Social],Clientes_Proveedores[Ruc / Dni]),2,0),"")</f>
        <v>20608587803</v>
      </c>
      <c r="W4530" s="25"/>
      <c r="X4530" s="25"/>
      <c r="Y4530" s="25"/>
      <c r="Z4530" s="77"/>
      <c r="AA4530" s="3" t="str">
        <f>IF(BCP_Soles[[#This Row],[fecha]]&gt;0,TEXT(BCP_Soles[[#This Row],[fecha]],"mmmm"),0)</f>
        <v>Noviembre</v>
      </c>
    </row>
    <row r="4531" spans="1:27" ht="24" x14ac:dyDescent="0.3">
      <c r="A4531" s="2">
        <f>IF(BCP_Soles[[#This Row],[tipo_registro]]="R",COUNTIFS($C$1:$C4530,"R")+1,A4530)</f>
        <v>3000</v>
      </c>
      <c r="B4531" s="19" t="str">
        <f t="shared" si="567"/>
        <v>B-BCP - Soles</v>
      </c>
      <c r="C4531" s="3" t="s">
        <v>1330</v>
      </c>
      <c r="D4531" s="14">
        <v>45966</v>
      </c>
      <c r="E4531" s="5" t="s">
        <v>1338</v>
      </c>
      <c r="F4531" s="5" t="s">
        <v>1336</v>
      </c>
      <c r="G4531" s="6" t="s">
        <v>708</v>
      </c>
      <c r="H4531" s="191"/>
      <c r="I4531" s="6"/>
      <c r="J4531" s="6"/>
      <c r="K4531" s="7" t="s">
        <v>4848</v>
      </c>
      <c r="L4531" s="8">
        <v>210483</v>
      </c>
      <c r="M4531" s="8" t="str">
        <f t="shared" si="568"/>
        <v>PEN</v>
      </c>
      <c r="N4531" s="13"/>
      <c r="O4531" s="13">
        <v>38.94</v>
      </c>
      <c r="P4531" s="3">
        <f t="shared" si="569"/>
        <v>0</v>
      </c>
      <c r="Q4531" s="3">
        <f t="shared" si="570"/>
        <v>38.94</v>
      </c>
      <c r="R4531" s="3">
        <f t="shared" ref="R4531:R4535" si="571">IFERROR(IF(F4531="SALDO",P4531,R4530+P4531-Q4531),0)</f>
        <v>7694.0399999999645</v>
      </c>
      <c r="S4531" s="24"/>
      <c r="T4531" s="24"/>
      <c r="U4531" s="55"/>
      <c r="V4531" s="25">
        <f>IFERROR(VLOOKUP(BCP_Soles[[#This Row],[destinatario]],CHOOSE({1,2},Clientes_Proveedores[Razon Social],Clientes_Proveedores[Ruc / Dni]),2,0),"")</f>
        <v>20467534026</v>
      </c>
      <c r="W4531" s="25"/>
      <c r="X4531" s="25"/>
      <c r="Y4531" s="25"/>
      <c r="Z4531" s="77"/>
      <c r="AA4531" s="3" t="str">
        <f>IF(BCP_Soles[[#This Row],[fecha]]&gt;0,TEXT(BCP_Soles[[#This Row],[fecha]],"mmmm"),0)</f>
        <v>Noviembre</v>
      </c>
    </row>
    <row r="4532" spans="1:27" ht="24" x14ac:dyDescent="0.3">
      <c r="A4532" s="2">
        <f>IF(BCP_Soles[[#This Row],[tipo_registro]]="R",COUNTIFS($C$1:$C4531,"R")+1,A4531)</f>
        <v>3001</v>
      </c>
      <c r="B4532" s="19" t="str">
        <f t="shared" si="567"/>
        <v>B-BCP - Soles</v>
      </c>
      <c r="C4532" s="3" t="s">
        <v>1330</v>
      </c>
      <c r="D4532" s="14">
        <v>45966</v>
      </c>
      <c r="E4532" s="5" t="s">
        <v>1338</v>
      </c>
      <c r="F4532" s="5" t="s">
        <v>1336</v>
      </c>
      <c r="G4532" s="6" t="s">
        <v>895</v>
      </c>
      <c r="H4532" s="191"/>
      <c r="I4532" s="6"/>
      <c r="J4532" s="6"/>
      <c r="K4532" s="7" t="s">
        <v>3083</v>
      </c>
      <c r="L4532" s="8">
        <v>1209486</v>
      </c>
      <c r="M4532" s="8" t="str">
        <f t="shared" si="568"/>
        <v>PEN</v>
      </c>
      <c r="N4532" s="13"/>
      <c r="O4532" s="13">
        <v>2000</v>
      </c>
      <c r="P4532" s="3">
        <f t="shared" si="569"/>
        <v>0</v>
      </c>
      <c r="Q4532" s="3">
        <f t="shared" si="570"/>
        <v>2000</v>
      </c>
      <c r="R4532" s="3">
        <f t="shared" si="571"/>
        <v>5694.0399999999645</v>
      </c>
      <c r="S4532" s="24"/>
      <c r="T4532" s="24" t="s">
        <v>1334</v>
      </c>
      <c r="U4532" s="55"/>
      <c r="V4532" s="25">
        <f>IFERROR(VLOOKUP(BCP_Soles[[#This Row],[destinatario]],CHOOSE({1,2},Clientes_Proveedores[Razon Social],Clientes_Proveedores[Ruc / Dni]),2,0),"")</f>
        <v>72144092</v>
      </c>
      <c r="W4532" s="25"/>
      <c r="X4532" s="25"/>
      <c r="Y4532" s="25"/>
      <c r="Z4532" s="77"/>
      <c r="AA4532" s="3" t="str">
        <f>IF(BCP_Soles[[#This Row],[fecha]]&gt;0,TEXT(BCP_Soles[[#This Row],[fecha]],"mmmm"),0)</f>
        <v>Noviembre</v>
      </c>
    </row>
    <row r="4533" spans="1:27" x14ac:dyDescent="0.3">
      <c r="A4533" s="2">
        <f>IF(BCP_Soles[[#This Row],[tipo_registro]]="R",COUNTIFS($C$1:$C4532,"R")+1,A4532)</f>
        <v>3002</v>
      </c>
      <c r="B4533" s="19" t="str">
        <f t="shared" si="567"/>
        <v>B-BCP - Soles</v>
      </c>
      <c r="C4533" s="3" t="s">
        <v>1330</v>
      </c>
      <c r="D4533" s="14">
        <v>45966</v>
      </c>
      <c r="E4533" s="5"/>
      <c r="F4533" s="5" t="s">
        <v>1336</v>
      </c>
      <c r="G4533" s="6"/>
      <c r="H4533" s="191"/>
      <c r="I4533" s="6"/>
      <c r="J4533" s="6"/>
      <c r="K4533" s="7" t="s">
        <v>3160</v>
      </c>
      <c r="L4533" s="8"/>
      <c r="M4533" s="8" t="str">
        <f t="shared" si="568"/>
        <v>PEN</v>
      </c>
      <c r="N4533" s="13"/>
      <c r="O4533" s="13">
        <v>0.8</v>
      </c>
      <c r="P4533" s="3">
        <f t="shared" si="569"/>
        <v>0</v>
      </c>
      <c r="Q4533" s="3">
        <f t="shared" si="570"/>
        <v>0.8</v>
      </c>
      <c r="R4533" s="3">
        <f t="shared" si="571"/>
        <v>5693.2399999999643</v>
      </c>
      <c r="S4533" s="24"/>
      <c r="T4533" s="24"/>
      <c r="U4533" s="55"/>
      <c r="V4533" s="25" t="str">
        <f>IFERROR(VLOOKUP(BCP_Soles[[#This Row],[destinatario]],CHOOSE({1,2},Clientes_Proveedores[Razon Social],Clientes_Proveedores[Ruc / Dni]),2,0),"")</f>
        <v/>
      </c>
      <c r="W4533" s="25"/>
      <c r="X4533" s="25"/>
      <c r="Y4533" s="25"/>
      <c r="Z4533" s="77"/>
      <c r="AA4533" s="3" t="str">
        <f>IF(BCP_Soles[[#This Row],[fecha]]&gt;0,TEXT(BCP_Soles[[#This Row],[fecha]],"mmmm"),0)</f>
        <v>Noviembre</v>
      </c>
    </row>
    <row r="4534" spans="1:27" x14ac:dyDescent="0.3">
      <c r="A4534" s="2">
        <f>IF(BCP_Soles[[#This Row],[tipo_registro]]="R",COUNTIFS($C$1:$C4533,"R")+1,A4533)</f>
        <v>3003</v>
      </c>
      <c r="B4534" s="19" t="str">
        <f t="shared" si="567"/>
        <v>B-BCP - Soles</v>
      </c>
      <c r="C4534" s="3" t="s">
        <v>1330</v>
      </c>
      <c r="D4534" s="14">
        <v>45967</v>
      </c>
      <c r="E4534" s="65" t="s">
        <v>295</v>
      </c>
      <c r="F4534" s="5" t="s">
        <v>1303</v>
      </c>
      <c r="G4534" s="6" t="s">
        <v>425</v>
      </c>
      <c r="H4534" s="191" t="s">
        <v>68</v>
      </c>
      <c r="I4534" s="6" t="s">
        <v>3302</v>
      </c>
      <c r="J4534" s="6">
        <v>160</v>
      </c>
      <c r="K4534" s="7" t="s">
        <v>1873</v>
      </c>
      <c r="L4534" s="8">
        <v>2062970</v>
      </c>
      <c r="M4534" s="8" t="str">
        <f t="shared" si="568"/>
        <v>PEN</v>
      </c>
      <c r="N4534" s="13"/>
      <c r="O4534" s="13">
        <v>487.48</v>
      </c>
      <c r="P4534" s="3">
        <f t="shared" si="569"/>
        <v>487.48</v>
      </c>
      <c r="Q4534" s="3">
        <f t="shared" si="570"/>
        <v>0</v>
      </c>
      <c r="R4534" s="3">
        <f t="shared" si="571"/>
        <v>6180.7199999999648</v>
      </c>
      <c r="S4534" s="24" t="s">
        <v>1334</v>
      </c>
      <c r="T4534" s="24" t="s">
        <v>1334</v>
      </c>
      <c r="U4534" s="55"/>
      <c r="V4534" s="25">
        <f>IFERROR(VLOOKUP(BCP_Soles[[#This Row],[destinatario]],CHOOSE({1,2},Clientes_Proveedores[Razon Social],Clientes_Proveedores[Ruc / Dni]),2,0),"")</f>
        <v>20558226979</v>
      </c>
      <c r="W4534" s="25"/>
      <c r="X4534" s="25"/>
      <c r="Y4534" s="25"/>
      <c r="Z4534" s="77"/>
      <c r="AA4534" s="3" t="str">
        <f>IF(BCP_Soles[[#This Row],[fecha]]&gt;0,TEXT(BCP_Soles[[#This Row],[fecha]],"mmmm"),0)</f>
        <v>Noviembre</v>
      </c>
    </row>
    <row r="4535" spans="1:27" x14ac:dyDescent="0.3">
      <c r="A4535" s="2">
        <f>IF(BCP_Soles[[#This Row],[tipo_registro]]="R",COUNTIFS($C$1:$C4534,"R")+1,A4534)</f>
        <v>3004</v>
      </c>
      <c r="B4535" s="19" t="str">
        <f t="shared" si="567"/>
        <v>B-BCP - Soles</v>
      </c>
      <c r="C4535" s="3" t="s">
        <v>1330</v>
      </c>
      <c r="D4535" s="14">
        <v>45967</v>
      </c>
      <c r="E4535" s="65" t="s">
        <v>295</v>
      </c>
      <c r="F4535" s="5" t="s">
        <v>1303</v>
      </c>
      <c r="G4535" s="6" t="s">
        <v>425</v>
      </c>
      <c r="H4535" s="191" t="s">
        <v>68</v>
      </c>
      <c r="I4535" s="6" t="s">
        <v>3302</v>
      </c>
      <c r="J4535" s="6">
        <v>165</v>
      </c>
      <c r="K4535" s="7" t="s">
        <v>1873</v>
      </c>
      <c r="L4535" s="8">
        <v>2072506</v>
      </c>
      <c r="M4535" s="8" t="str">
        <f t="shared" si="568"/>
        <v>PEN</v>
      </c>
      <c r="N4535" s="13"/>
      <c r="O4535" s="13">
        <v>370.42</v>
      </c>
      <c r="P4535" s="3">
        <f t="shared" si="569"/>
        <v>370.42</v>
      </c>
      <c r="Q4535" s="3">
        <f t="shared" si="570"/>
        <v>0</v>
      </c>
      <c r="R4535" s="3">
        <f t="shared" si="571"/>
        <v>6551.1399999999649</v>
      </c>
      <c r="S4535" s="24" t="s">
        <v>1334</v>
      </c>
      <c r="T4535" s="24" t="s">
        <v>1334</v>
      </c>
      <c r="U4535" s="55"/>
      <c r="V4535" s="25">
        <f>IFERROR(VLOOKUP(BCP_Soles[[#This Row],[destinatario]],CHOOSE({1,2},Clientes_Proveedores[Razon Social],Clientes_Proveedores[Ruc / Dni]),2,0),"")</f>
        <v>20558226979</v>
      </c>
      <c r="W4535" s="25"/>
      <c r="X4535" s="25"/>
      <c r="Y4535" s="25"/>
      <c r="Z4535" s="77"/>
      <c r="AA4535" s="3" t="str">
        <f>IF(BCP_Soles[[#This Row],[fecha]]&gt;0,TEXT(BCP_Soles[[#This Row],[fecha]],"mmmm"),0)</f>
        <v>Noviembre</v>
      </c>
    </row>
    <row r="4536" spans="1:27" x14ac:dyDescent="0.3">
      <c r="A4536" s="2">
        <f>IF(BCP_Soles[[#This Row],[tipo_registro]]="R",COUNTIFS($C$1:$C4535,"R")+1,A4535)</f>
        <v>3005</v>
      </c>
      <c r="B4536" s="19" t="str">
        <f t="shared" si="567"/>
        <v>B-BCP - Soles</v>
      </c>
      <c r="C4536" s="3" t="s">
        <v>1330</v>
      </c>
      <c r="D4536" s="14">
        <v>45967</v>
      </c>
      <c r="E4536" s="65" t="s">
        <v>295</v>
      </c>
      <c r="F4536" s="5" t="s">
        <v>1303</v>
      </c>
      <c r="G4536" s="6" t="s">
        <v>425</v>
      </c>
      <c r="H4536" s="191" t="s">
        <v>68</v>
      </c>
      <c r="I4536" s="6" t="s">
        <v>3302</v>
      </c>
      <c r="J4536" s="6">
        <v>166</v>
      </c>
      <c r="K4536" s="7" t="s">
        <v>1873</v>
      </c>
      <c r="L4536" s="8">
        <v>2074076</v>
      </c>
      <c r="M4536" s="8" t="str">
        <f t="shared" si="568"/>
        <v>PEN</v>
      </c>
      <c r="N4536" s="13"/>
      <c r="O4536" s="13">
        <v>1697.56</v>
      </c>
      <c r="P4536" s="3">
        <f t="shared" si="569"/>
        <v>1697.56</v>
      </c>
      <c r="Q4536" s="3">
        <f t="shared" si="570"/>
        <v>0</v>
      </c>
      <c r="R4536" s="3">
        <f t="shared" ref="R4536:R4538" si="572">IFERROR(IF(F4536="SALDO",P4536,R4535+P4536-Q4536),0)</f>
        <v>8248.6999999999643</v>
      </c>
      <c r="S4536" s="24" t="s">
        <v>1334</v>
      </c>
      <c r="T4536" s="24" t="s">
        <v>1334</v>
      </c>
      <c r="U4536" s="55"/>
      <c r="V4536" s="25">
        <f>IFERROR(VLOOKUP(BCP_Soles[[#This Row],[destinatario]],CHOOSE({1,2},Clientes_Proveedores[Razon Social],Clientes_Proveedores[Ruc / Dni]),2,0),"")</f>
        <v>20558226979</v>
      </c>
      <c r="W4536" s="25"/>
      <c r="X4536" s="25"/>
      <c r="Y4536" s="25"/>
      <c r="Z4536" s="77"/>
      <c r="AA4536" s="3" t="str">
        <f>IF(BCP_Soles[[#This Row],[fecha]]&gt;0,TEXT(BCP_Soles[[#This Row],[fecha]],"mmmm"),0)</f>
        <v>Noviembre</v>
      </c>
    </row>
    <row r="4537" spans="1:27" ht="24" x14ac:dyDescent="0.3">
      <c r="A4537" s="2">
        <f>IF(BCP_Soles[[#This Row],[tipo_registro]]="R",COUNTIFS($C$1:$C4536,"R")+1,A4536)</f>
        <v>3006</v>
      </c>
      <c r="B4537" s="19" t="str">
        <f t="shared" si="567"/>
        <v>B-BCP - Soles</v>
      </c>
      <c r="C4537" s="3" t="s">
        <v>1330</v>
      </c>
      <c r="D4537" s="14">
        <v>45967</v>
      </c>
      <c r="E4537" s="5" t="s">
        <v>4886</v>
      </c>
      <c r="F4537" s="5" t="s">
        <v>1303</v>
      </c>
      <c r="G4537" s="6" t="s">
        <v>425</v>
      </c>
      <c r="H4537" s="191" t="s">
        <v>119</v>
      </c>
      <c r="I4537" s="6">
        <v>1</v>
      </c>
      <c r="J4537" s="6">
        <v>4920</v>
      </c>
      <c r="K4537" s="7" t="s">
        <v>3608</v>
      </c>
      <c r="L4537" s="8">
        <v>1737570</v>
      </c>
      <c r="M4537" s="8" t="str">
        <f t="shared" si="568"/>
        <v>PEN</v>
      </c>
      <c r="N4537" s="13"/>
      <c r="O4537" s="13">
        <v>700</v>
      </c>
      <c r="P4537" s="3">
        <f t="shared" si="569"/>
        <v>700</v>
      </c>
      <c r="Q4537" s="3">
        <f t="shared" si="570"/>
        <v>0</v>
      </c>
      <c r="R4537" s="3">
        <f t="shared" si="572"/>
        <v>8948.6999999999643</v>
      </c>
      <c r="S4537" s="24" t="s">
        <v>1334</v>
      </c>
      <c r="T4537" s="24" t="s">
        <v>1334</v>
      </c>
      <c r="U4537" s="55"/>
      <c r="V4537" s="25">
        <f>IFERROR(VLOOKUP(BCP_Soles[[#This Row],[destinatario]],CHOOSE({1,2},Clientes_Proveedores[Razon Social],Clientes_Proveedores[Ruc / Dni]),2,0),"")</f>
        <v>20558226979</v>
      </c>
      <c r="W4537" s="25"/>
      <c r="X4537" s="25"/>
      <c r="Y4537" s="25"/>
      <c r="Z4537" s="77"/>
      <c r="AA4537" s="3" t="str">
        <f>IF(BCP_Soles[[#This Row],[fecha]]&gt;0,TEXT(BCP_Soles[[#This Row],[fecha]],"mmmm"),0)</f>
        <v>Noviembre</v>
      </c>
    </row>
    <row r="4538" spans="1:27" x14ac:dyDescent="0.3">
      <c r="A4538" s="2">
        <f>IF(BCP_Soles[[#This Row],[tipo_registro]]="R",COUNTIFS($C$1:$C4537,"R")+1,A4537)</f>
        <v>3007</v>
      </c>
      <c r="B4538" s="19" t="str">
        <f t="shared" si="567"/>
        <v>B-BCP - Soles</v>
      </c>
      <c r="C4538" s="3" t="s">
        <v>1330</v>
      </c>
      <c r="D4538" s="14">
        <v>45967</v>
      </c>
      <c r="E4538" s="5" t="s">
        <v>427</v>
      </c>
      <c r="F4538" s="5" t="s">
        <v>1303</v>
      </c>
      <c r="G4538" s="6" t="s">
        <v>425</v>
      </c>
      <c r="H4538" s="191" t="s">
        <v>68</v>
      </c>
      <c r="I4538" s="6" t="s">
        <v>1784</v>
      </c>
      <c r="J4538" s="6">
        <v>234</v>
      </c>
      <c r="K4538" s="7" t="s">
        <v>4887</v>
      </c>
      <c r="L4538" s="8">
        <v>414143</v>
      </c>
      <c r="M4538" s="8" t="str">
        <f t="shared" si="568"/>
        <v>PEN</v>
      </c>
      <c r="N4538" s="13"/>
      <c r="O4538" s="13">
        <v>2508.6799999999998</v>
      </c>
      <c r="P4538" s="3">
        <f t="shared" si="569"/>
        <v>2508.6799999999998</v>
      </c>
      <c r="Q4538" s="3">
        <f t="shared" si="570"/>
        <v>0</v>
      </c>
      <c r="R4538" s="3">
        <f t="shared" si="572"/>
        <v>11457.379999999965</v>
      </c>
      <c r="S4538" s="24" t="s">
        <v>1334</v>
      </c>
      <c r="T4538" s="24" t="s">
        <v>1334</v>
      </c>
      <c r="U4538" s="55"/>
      <c r="V4538" s="25">
        <f>IFERROR(VLOOKUP(BCP_Soles[[#This Row],[destinatario]],CHOOSE({1,2},Clientes_Proveedores[Razon Social],Clientes_Proveedores[Ruc / Dni]),2,0),"")</f>
        <v>20558226979</v>
      </c>
      <c r="W4538" s="25"/>
      <c r="X4538" s="25"/>
      <c r="Y4538" s="25"/>
      <c r="Z4538" s="77"/>
      <c r="AA4538" s="3" t="str">
        <f>IF(BCP_Soles[[#This Row],[fecha]]&gt;0,TEXT(BCP_Soles[[#This Row],[fecha]],"mmmm"),0)</f>
        <v>Noviembre</v>
      </c>
    </row>
    <row r="4539" spans="1:27" x14ac:dyDescent="0.3">
      <c r="A4539" s="2">
        <f>IF(BCP_Soles[[#This Row],[tipo_registro]]="R",COUNTIFS($C$1:$C4538,"R")+1,A4538)</f>
        <v>3008</v>
      </c>
      <c r="B4539" s="19" t="str">
        <f t="shared" ref="B4539:B4544" si="573">"B-BCP - Soles"</f>
        <v>B-BCP - Soles</v>
      </c>
      <c r="C4539" s="3" t="s">
        <v>1330</v>
      </c>
      <c r="D4539" s="14">
        <v>45967</v>
      </c>
      <c r="E4539" s="5" t="s">
        <v>196</v>
      </c>
      <c r="F4539" s="5" t="s">
        <v>1303</v>
      </c>
      <c r="G4539" s="6" t="s">
        <v>425</v>
      </c>
      <c r="H4539" s="6" t="s">
        <v>68</v>
      </c>
      <c r="I4539" s="6" t="s">
        <v>1784</v>
      </c>
      <c r="J4539" s="6">
        <v>283</v>
      </c>
      <c r="K4539" s="7" t="s">
        <v>4888</v>
      </c>
      <c r="L4539" s="8">
        <v>16231</v>
      </c>
      <c r="M4539" s="8" t="str">
        <f t="shared" ref="M4539:M4544" si="574">"PEN"</f>
        <v>PEN</v>
      </c>
      <c r="N4539" s="13"/>
      <c r="O4539" s="13">
        <v>1374.26</v>
      </c>
      <c r="P4539" s="3">
        <f t="shared" ref="P4539:P4544" si="575">+IF(OR($F4539="SALDO",$F4539="INGRESO"),$O4539,0)</f>
        <v>1374.26</v>
      </c>
      <c r="Q4539" s="3">
        <f t="shared" ref="Q4539:Q4544" si="576">+IF($F4539="EGRESO",$O4539,0)</f>
        <v>0</v>
      </c>
      <c r="R4539" s="3">
        <f>IFERROR(IF(F4539="SALDO",P4539,R4538+P4539-Q4539),0)</f>
        <v>12831.639999999965</v>
      </c>
      <c r="S4539" s="24" t="s">
        <v>1334</v>
      </c>
      <c r="T4539" s="24" t="s">
        <v>1334</v>
      </c>
      <c r="U4539" s="55"/>
      <c r="V4539" s="25">
        <f>IFERROR(VLOOKUP(BCP_Soles[[#This Row],[destinatario]],CHOOSE({1,2},Clientes_Proveedores[Razon Social],Clientes_Proveedores[Ruc / Dni]),2,0),"")</f>
        <v>20558226979</v>
      </c>
      <c r="W4539" s="25"/>
      <c r="X4539" s="25"/>
      <c r="Y4539" s="25"/>
      <c r="Z4539" s="77"/>
      <c r="AA4539" s="3" t="str">
        <f>IF(BCP_Soles[[#This Row],[fecha]]&gt;0,TEXT(BCP_Soles[[#This Row],[fecha]],"mmmm"),0)</f>
        <v>Noviembre</v>
      </c>
    </row>
    <row r="4540" spans="1:27" ht="24" x14ac:dyDescent="0.3">
      <c r="A4540" s="2">
        <f>IF(BCP_Soles[[#This Row],[tipo_registro]]="R",COUNTIFS($C$1:$C4539,"R")+1,A4539)</f>
        <v>3009</v>
      </c>
      <c r="B4540" s="19" t="str">
        <f t="shared" si="573"/>
        <v>B-BCP - Soles</v>
      </c>
      <c r="C4540" s="3" t="s">
        <v>1330</v>
      </c>
      <c r="D4540" s="14">
        <v>45967</v>
      </c>
      <c r="E4540" s="5" t="s">
        <v>2409</v>
      </c>
      <c r="F4540" s="5" t="s">
        <v>1303</v>
      </c>
      <c r="G4540" s="6" t="s">
        <v>425</v>
      </c>
      <c r="H4540" s="191" t="s">
        <v>119</v>
      </c>
      <c r="I4540" s="6">
        <v>1</v>
      </c>
      <c r="J4540" s="6">
        <v>4906</v>
      </c>
      <c r="K4540" s="7" t="s">
        <v>3608</v>
      </c>
      <c r="L4540" s="8">
        <v>3805719</v>
      </c>
      <c r="M4540" s="8" t="str">
        <f t="shared" si="574"/>
        <v>PEN</v>
      </c>
      <c r="N4540" s="13"/>
      <c r="O4540" s="13">
        <v>10</v>
      </c>
      <c r="P4540" s="3">
        <f t="shared" si="575"/>
        <v>10</v>
      </c>
      <c r="Q4540" s="3">
        <f t="shared" si="576"/>
        <v>0</v>
      </c>
      <c r="R4540" s="3">
        <f>IFERROR(IF(F4540="SALDO",P4540,R4539+P4540-Q4540),0)</f>
        <v>12841.639999999965</v>
      </c>
      <c r="S4540" s="24" t="s">
        <v>1334</v>
      </c>
      <c r="T4540" s="24" t="s">
        <v>1334</v>
      </c>
      <c r="U4540" s="55"/>
      <c r="V4540" s="25">
        <f>IFERROR(VLOOKUP(BCP_Soles[[#This Row],[destinatario]],CHOOSE({1,2},Clientes_Proveedores[Razon Social],Clientes_Proveedores[Ruc / Dni]),2,0),"")</f>
        <v>20558226979</v>
      </c>
      <c r="W4540" s="25"/>
      <c r="X4540" s="25"/>
      <c r="Y4540" s="25"/>
      <c r="Z4540" s="77"/>
      <c r="AA4540" s="3" t="str">
        <f>IF(BCP_Soles[[#This Row],[fecha]]&gt;0,TEXT(BCP_Soles[[#This Row],[fecha]],"mmmm"),0)</f>
        <v>Noviembre</v>
      </c>
    </row>
    <row r="4541" spans="1:27" x14ac:dyDescent="0.3">
      <c r="A4541" s="2">
        <f>IF(BCP_Soles[[#This Row],[tipo_registro]]="R",COUNTIFS($C$1:$C4540,"R")+1,A4540)</f>
        <v>3010</v>
      </c>
      <c r="B4541" s="19" t="str">
        <f t="shared" si="573"/>
        <v>B-BCP - Soles</v>
      </c>
      <c r="C4541" s="3" t="s">
        <v>1330</v>
      </c>
      <c r="D4541" s="14">
        <v>45967</v>
      </c>
      <c r="E4541" s="5"/>
      <c r="F4541" s="5" t="s">
        <v>1303</v>
      </c>
      <c r="G4541" s="6" t="s">
        <v>425</v>
      </c>
      <c r="H4541" s="191"/>
      <c r="I4541" s="6"/>
      <c r="J4541" s="6"/>
      <c r="K4541" s="7" t="s">
        <v>3608</v>
      </c>
      <c r="L4541" s="8">
        <v>3799373</v>
      </c>
      <c r="M4541" s="8" t="str">
        <f t="shared" si="574"/>
        <v>PEN</v>
      </c>
      <c r="N4541" s="13"/>
      <c r="O4541" s="13">
        <v>300</v>
      </c>
      <c r="P4541" s="3">
        <f t="shared" si="575"/>
        <v>300</v>
      </c>
      <c r="Q4541" s="3">
        <f t="shared" si="576"/>
        <v>0</v>
      </c>
      <c r="R4541" s="3">
        <f t="shared" ref="R4541:R4545" si="577">IFERROR(IF(F4541="SALDO",P4541,R4540+P4541-Q4541),0)</f>
        <v>13141.639999999965</v>
      </c>
      <c r="S4541" s="24" t="s">
        <v>1334</v>
      </c>
      <c r="T4541" s="24" t="s">
        <v>1334</v>
      </c>
      <c r="U4541" s="55"/>
      <c r="V4541" s="25">
        <f>IFERROR(VLOOKUP(BCP_Soles[[#This Row],[destinatario]],CHOOSE({1,2},Clientes_Proveedores[Razon Social],Clientes_Proveedores[Ruc / Dni]),2,0),"")</f>
        <v>20558226979</v>
      </c>
      <c r="W4541" s="25"/>
      <c r="X4541" s="25"/>
      <c r="Y4541" s="25"/>
      <c r="Z4541" s="77"/>
      <c r="AA4541" s="3" t="str">
        <f>IF(BCP_Soles[[#This Row],[fecha]]&gt;0,TEXT(BCP_Soles[[#This Row],[fecha]],"mmmm"),0)</f>
        <v>Noviembre</v>
      </c>
    </row>
    <row r="4542" spans="1:27" ht="24" x14ac:dyDescent="0.3">
      <c r="A4542" s="2">
        <f>IF(BCP_Soles[[#This Row],[tipo_registro]]="R",COUNTIFS($C$1:$C4541,"R")+1,A4541)</f>
        <v>3010</v>
      </c>
      <c r="B4542" s="19" t="str">
        <f t="shared" si="573"/>
        <v>B-BCP - Soles</v>
      </c>
      <c r="C4542" s="3" t="s">
        <v>1352</v>
      </c>
      <c r="D4542" s="14">
        <v>45967</v>
      </c>
      <c r="E4542" s="5" t="s">
        <v>2409</v>
      </c>
      <c r="F4542" s="5" t="s">
        <v>1303</v>
      </c>
      <c r="G4542" s="6" t="s">
        <v>425</v>
      </c>
      <c r="H4542" s="191" t="s">
        <v>119</v>
      </c>
      <c r="I4542" s="6">
        <v>1</v>
      </c>
      <c r="J4542" s="6">
        <v>4904</v>
      </c>
      <c r="K4542" s="7" t="s">
        <v>3608</v>
      </c>
      <c r="L4542" s="8">
        <v>3799373</v>
      </c>
      <c r="M4542" s="8" t="str">
        <f t="shared" si="574"/>
        <v>PEN</v>
      </c>
      <c r="N4542" s="13">
        <v>295</v>
      </c>
      <c r="O4542" s="13"/>
      <c r="P4542" s="3">
        <f t="shared" si="575"/>
        <v>0</v>
      </c>
      <c r="Q4542" s="3">
        <f t="shared" si="576"/>
        <v>0</v>
      </c>
      <c r="R4542" s="3">
        <f>IFERROR(IF(F4542="SALDO",P4542,R4541+P4542-Q4542),0)</f>
        <v>13141.639999999965</v>
      </c>
      <c r="S4542" s="24" t="s">
        <v>1334</v>
      </c>
      <c r="T4542" s="24" t="s">
        <v>1334</v>
      </c>
      <c r="U4542" s="55"/>
      <c r="V4542" s="25">
        <f>IFERROR(VLOOKUP(BCP_Soles[[#This Row],[destinatario]],CHOOSE({1,2},Clientes_Proveedores[Razon Social],Clientes_Proveedores[Ruc / Dni]),2,0),"")</f>
        <v>20558226979</v>
      </c>
      <c r="W4542" s="25"/>
      <c r="X4542" s="25"/>
      <c r="Y4542" s="25"/>
      <c r="Z4542" s="77"/>
      <c r="AA4542" s="3" t="str">
        <f>IF(BCP_Soles[[#This Row],[fecha]]&gt;0,TEXT(BCP_Soles[[#This Row],[fecha]],"mmmm"),0)</f>
        <v>Noviembre</v>
      </c>
    </row>
    <row r="4543" spans="1:27" ht="24" x14ac:dyDescent="0.3">
      <c r="A4543" s="2">
        <f>IF(BCP_Soles[[#This Row],[tipo_registro]]="R",COUNTIFS($C$1:$C4542,"R")+1,A4542)</f>
        <v>3010</v>
      </c>
      <c r="B4543" s="19" t="str">
        <f t="shared" si="573"/>
        <v>B-BCP - Soles</v>
      </c>
      <c r="C4543" s="3" t="s">
        <v>1352</v>
      </c>
      <c r="D4543" s="14">
        <v>45967</v>
      </c>
      <c r="E4543" s="5" t="s">
        <v>2409</v>
      </c>
      <c r="F4543" s="5" t="s">
        <v>1303</v>
      </c>
      <c r="G4543" s="6" t="s">
        <v>425</v>
      </c>
      <c r="H4543" s="191" t="s">
        <v>119</v>
      </c>
      <c r="I4543" s="6">
        <v>1</v>
      </c>
      <c r="J4543" s="6">
        <v>4906</v>
      </c>
      <c r="K4543" s="7" t="s">
        <v>3608</v>
      </c>
      <c r="L4543" s="8">
        <v>3799373</v>
      </c>
      <c r="M4543" s="8" t="str">
        <f t="shared" si="574"/>
        <v>PEN</v>
      </c>
      <c r="N4543" s="13">
        <v>5</v>
      </c>
      <c r="O4543" s="13"/>
      <c r="P4543" s="3">
        <f t="shared" si="575"/>
        <v>0</v>
      </c>
      <c r="Q4543" s="3">
        <f t="shared" si="576"/>
        <v>0</v>
      </c>
      <c r="R4543" s="3">
        <f t="shared" ref="R4543:R4544" si="578">IFERROR(IF(F4543="SALDO",P4543,R4542+P4543-Q4543),0)</f>
        <v>13141.639999999965</v>
      </c>
      <c r="S4543" s="24" t="s">
        <v>1334</v>
      </c>
      <c r="T4543" s="24" t="s">
        <v>1334</v>
      </c>
      <c r="U4543" s="55"/>
      <c r="V4543" s="25">
        <f>IFERROR(VLOOKUP(BCP_Soles[[#This Row],[destinatario]],CHOOSE({1,2},Clientes_Proveedores[Razon Social],Clientes_Proveedores[Ruc / Dni]),2,0),"")</f>
        <v>20558226979</v>
      </c>
      <c r="W4543" s="25"/>
      <c r="X4543" s="25"/>
      <c r="Y4543" s="25"/>
      <c r="Z4543" s="77"/>
      <c r="AA4543" s="3" t="str">
        <f>IF(BCP_Soles[[#This Row],[fecha]]&gt;0,TEXT(BCP_Soles[[#This Row],[fecha]],"mmmm"),0)</f>
        <v>Noviembre</v>
      </c>
    </row>
    <row r="4544" spans="1:27" ht="36" x14ac:dyDescent="0.3">
      <c r="A4544" s="2">
        <f>IF(BCP_Soles[[#This Row],[tipo_registro]]="R",COUNTIFS($C$1:$C4543,"R")+1,A4543)</f>
        <v>3011</v>
      </c>
      <c r="B4544" s="19" t="str">
        <f t="shared" si="573"/>
        <v>B-BCP - Soles</v>
      </c>
      <c r="C4544" s="3" t="s">
        <v>1330</v>
      </c>
      <c r="D4544" s="14">
        <v>45967</v>
      </c>
      <c r="E4544" s="5" t="s">
        <v>4889</v>
      </c>
      <c r="F4544" s="5" t="s">
        <v>1303</v>
      </c>
      <c r="G4544" s="6" t="s">
        <v>425</v>
      </c>
      <c r="H4544" s="191" t="s">
        <v>119</v>
      </c>
      <c r="I4544" s="6">
        <v>1</v>
      </c>
      <c r="J4544" s="6">
        <v>4907</v>
      </c>
      <c r="K4544" s="7" t="s">
        <v>3608</v>
      </c>
      <c r="L4544" s="8">
        <v>3758430</v>
      </c>
      <c r="M4544" s="8" t="str">
        <f t="shared" si="574"/>
        <v>PEN</v>
      </c>
      <c r="N4544" s="13"/>
      <c r="O4544" s="13">
        <v>175</v>
      </c>
      <c r="P4544" s="3">
        <f t="shared" si="575"/>
        <v>175</v>
      </c>
      <c r="Q4544" s="3">
        <f t="shared" si="576"/>
        <v>0</v>
      </c>
      <c r="R4544" s="3">
        <f t="shared" si="578"/>
        <v>13316.639999999965</v>
      </c>
      <c r="S4544" s="24" t="s">
        <v>1334</v>
      </c>
      <c r="T4544" s="24" t="s">
        <v>1334</v>
      </c>
      <c r="U4544" s="55"/>
      <c r="V4544" s="25">
        <f>IFERROR(VLOOKUP(BCP_Soles[[#This Row],[destinatario]],CHOOSE({1,2},Clientes_Proveedores[Razon Social],Clientes_Proveedores[Ruc / Dni]),2,0),"")</f>
        <v>20558226979</v>
      </c>
      <c r="W4544" s="25"/>
      <c r="X4544" s="25"/>
      <c r="Y4544" s="25"/>
      <c r="Z4544" s="77"/>
      <c r="AA4544" s="3" t="str">
        <f>IF(BCP_Soles[[#This Row],[fecha]]&gt;0,TEXT(BCP_Soles[[#This Row],[fecha]],"mmmm"),0)</f>
        <v>Noviembre</v>
      </c>
    </row>
    <row r="4545" spans="1:27" ht="24" x14ac:dyDescent="0.3">
      <c r="A4545" s="2">
        <f>IF(BCP_Soles[[#This Row],[tipo_registro]]="R",COUNTIFS($C$1:$C4544,"R")+1,A4544)</f>
        <v>3012</v>
      </c>
      <c r="B4545" s="19" t="str">
        <f t="shared" si="567"/>
        <v>B-BCP - Soles</v>
      </c>
      <c r="C4545" s="3" t="s">
        <v>1330</v>
      </c>
      <c r="D4545" s="14">
        <v>45967</v>
      </c>
      <c r="E4545" s="5" t="s">
        <v>1338</v>
      </c>
      <c r="F4545" s="5" t="s">
        <v>1336</v>
      </c>
      <c r="G4545" s="6" t="s">
        <v>836</v>
      </c>
      <c r="H4545" s="191" t="s">
        <v>143</v>
      </c>
      <c r="I4545" s="6">
        <v>1</v>
      </c>
      <c r="J4545" s="6">
        <v>972025</v>
      </c>
      <c r="K4545" s="7" t="s">
        <v>4890</v>
      </c>
      <c r="L4545" s="8">
        <v>1084786</v>
      </c>
      <c r="M4545" s="8" t="str">
        <f t="shared" si="568"/>
        <v>PEN</v>
      </c>
      <c r="N4545" s="13"/>
      <c r="O4545" s="13">
        <v>751.3</v>
      </c>
      <c r="P4545" s="3">
        <f t="shared" si="569"/>
        <v>0</v>
      </c>
      <c r="Q4545" s="3">
        <f t="shared" si="570"/>
        <v>751.3</v>
      </c>
      <c r="R4545" s="3">
        <f t="shared" si="577"/>
        <v>12565.339999999966</v>
      </c>
      <c r="S4545" s="24"/>
      <c r="T4545" s="24"/>
      <c r="U4545" s="55"/>
      <c r="V4545" s="25">
        <f>IFERROR(VLOOKUP(BCP_Soles[[#This Row],[destinatario]],CHOOSE({1,2},Clientes_Proveedores[Razon Social],Clientes_Proveedores[Ruc / Dni]),2,0),"")</f>
        <v>44468346</v>
      </c>
      <c r="W4545" s="25"/>
      <c r="X4545" s="25"/>
      <c r="Y4545" s="25"/>
      <c r="Z4545" s="77"/>
      <c r="AA4545" s="3" t="str">
        <f>IF(BCP_Soles[[#This Row],[fecha]]&gt;0,TEXT(BCP_Soles[[#This Row],[fecha]],"mmmm"),0)</f>
        <v>Noviembre</v>
      </c>
    </row>
    <row r="4546" spans="1:27" ht="24" x14ac:dyDescent="0.3">
      <c r="A4546" s="2">
        <f>IF(BCP_Soles[[#This Row],[tipo_registro]]="R",COUNTIFS($C$1:$C4545,"R")+1,A4545)</f>
        <v>3013</v>
      </c>
      <c r="B4546" s="19" t="str">
        <f t="shared" si="567"/>
        <v>B-BCP - Soles</v>
      </c>
      <c r="C4546" s="3" t="s">
        <v>1330</v>
      </c>
      <c r="D4546" s="14">
        <v>45967</v>
      </c>
      <c r="E4546" s="5" t="s">
        <v>1338</v>
      </c>
      <c r="F4546" s="5" t="s">
        <v>1336</v>
      </c>
      <c r="G4546" s="6" t="s">
        <v>1052</v>
      </c>
      <c r="H4546" s="191"/>
      <c r="I4546" s="6"/>
      <c r="J4546" s="6"/>
      <c r="K4546" s="7" t="s">
        <v>4891</v>
      </c>
      <c r="L4546" s="8">
        <v>4010272</v>
      </c>
      <c r="M4546" s="8" t="str">
        <f t="shared" si="568"/>
        <v>PEN</v>
      </c>
      <c r="N4546" s="13"/>
      <c r="O4546" s="13">
        <v>5364.3</v>
      </c>
      <c r="P4546" s="3">
        <f t="shared" si="569"/>
        <v>0</v>
      </c>
      <c r="Q4546" s="3">
        <f t="shared" si="570"/>
        <v>5364.3</v>
      </c>
      <c r="R4546" s="3">
        <f t="shared" ref="R4546:R4565" si="579">IFERROR(IF(F4546="SALDO",P4546,R4545+P4546-Q4546),0)</f>
        <v>7201.0399999999654</v>
      </c>
      <c r="S4546" s="24"/>
      <c r="T4546" s="24"/>
      <c r="U4546" s="55"/>
      <c r="V4546" s="25">
        <f>IFERROR(VLOOKUP(BCP_Soles[[#This Row],[destinatario]],CHOOSE({1,2},Clientes_Proveedores[Razon Social],Clientes_Proveedores[Ruc / Dni]),2,0),"")</f>
        <v>20613525093</v>
      </c>
      <c r="W4546" s="25"/>
      <c r="X4546" s="25"/>
      <c r="Y4546" s="25"/>
      <c r="Z4546" s="77"/>
      <c r="AA4546" s="3" t="str">
        <f>IF(BCP_Soles[[#This Row],[fecha]]&gt;0,TEXT(BCP_Soles[[#This Row],[fecha]],"mmmm"),0)</f>
        <v>Noviembre</v>
      </c>
    </row>
    <row r="4547" spans="1:27" ht="24" x14ac:dyDescent="0.3">
      <c r="A4547" s="2">
        <f>IF(BCP_Soles[[#This Row],[tipo_registro]]="R",COUNTIFS($C$1:$C4546,"R")+1,A4546)</f>
        <v>3013</v>
      </c>
      <c r="B4547" s="19" t="str">
        <f t="shared" si="567"/>
        <v>B-BCP - Soles</v>
      </c>
      <c r="C4547" s="3" t="s">
        <v>1352</v>
      </c>
      <c r="D4547" s="14">
        <v>45967</v>
      </c>
      <c r="E4547" s="5" t="s">
        <v>1338</v>
      </c>
      <c r="F4547" s="5" t="s">
        <v>1336</v>
      </c>
      <c r="G4547" s="6" t="s">
        <v>1052</v>
      </c>
      <c r="H4547" s="191" t="s">
        <v>68</v>
      </c>
      <c r="I4547" s="6" t="s">
        <v>1376</v>
      </c>
      <c r="J4547" s="6">
        <v>6</v>
      </c>
      <c r="K4547" s="7" t="s">
        <v>4891</v>
      </c>
      <c r="L4547" s="8">
        <v>4010272</v>
      </c>
      <c r="M4547" s="8" t="str">
        <f t="shared" si="568"/>
        <v>PEN</v>
      </c>
      <c r="N4547" s="13">
        <v>5360</v>
      </c>
      <c r="O4547" s="13"/>
      <c r="P4547" s="3">
        <f t="shared" si="569"/>
        <v>0</v>
      </c>
      <c r="Q4547" s="3">
        <f t="shared" si="570"/>
        <v>0</v>
      </c>
      <c r="R4547" s="3">
        <f t="shared" si="579"/>
        <v>7201.0399999999654</v>
      </c>
      <c r="S4547" s="24" t="s">
        <v>1334</v>
      </c>
      <c r="T4547" s="24"/>
      <c r="U4547" s="55"/>
      <c r="V4547" s="25">
        <f>IFERROR(VLOOKUP(BCP_Soles[[#This Row],[destinatario]],CHOOSE({1,2},Clientes_Proveedores[Razon Social],Clientes_Proveedores[Ruc / Dni]),2,0),"")</f>
        <v>20613525093</v>
      </c>
      <c r="W4547" s="25"/>
      <c r="X4547" s="25"/>
      <c r="Y4547" s="25"/>
      <c r="Z4547" s="77"/>
      <c r="AA4547" s="3" t="str">
        <f>IF(BCP_Soles[[#This Row],[fecha]]&gt;0,TEXT(BCP_Soles[[#This Row],[fecha]],"mmmm"),0)</f>
        <v>Noviembre</v>
      </c>
    </row>
    <row r="4548" spans="1:27" ht="24" x14ac:dyDescent="0.3">
      <c r="A4548" s="2">
        <f>IF(BCP_Soles[[#This Row],[tipo_registro]]="R",COUNTIFS($C$1:$C4547,"R")+1,A4547)</f>
        <v>3013</v>
      </c>
      <c r="B4548" s="19" t="str">
        <f t="shared" si="567"/>
        <v>B-BCP - Soles</v>
      </c>
      <c r="C4548" s="3" t="s">
        <v>1352</v>
      </c>
      <c r="D4548" s="14">
        <v>45967</v>
      </c>
      <c r="E4548" s="5" t="s">
        <v>1338</v>
      </c>
      <c r="F4548" s="5" t="s">
        <v>1336</v>
      </c>
      <c r="G4548" s="6" t="s">
        <v>1060</v>
      </c>
      <c r="H4548" s="191" t="s">
        <v>68</v>
      </c>
      <c r="I4548" s="6"/>
      <c r="J4548" s="6"/>
      <c r="K4548" s="7" t="s">
        <v>4891</v>
      </c>
      <c r="L4548" s="8">
        <v>4010272</v>
      </c>
      <c r="M4548" s="8" t="str">
        <f t="shared" si="568"/>
        <v>PEN</v>
      </c>
      <c r="N4548" s="13">
        <v>4.3</v>
      </c>
      <c r="O4548" s="13"/>
      <c r="P4548" s="3">
        <f t="shared" si="569"/>
        <v>0</v>
      </c>
      <c r="Q4548" s="3">
        <f t="shared" si="570"/>
        <v>0</v>
      </c>
      <c r="R4548" s="3">
        <f t="shared" si="579"/>
        <v>7201.0399999999654</v>
      </c>
      <c r="S4548" s="24"/>
      <c r="T4548" s="24"/>
      <c r="U4548" s="55"/>
      <c r="V4548" s="25">
        <f>IFERROR(VLOOKUP(BCP_Soles[[#This Row],[destinatario]],CHOOSE({1,2},Clientes_Proveedores[Razon Social],Clientes_Proveedores[Ruc / Dni]),2,0),"")</f>
        <v>20100047218</v>
      </c>
      <c r="W4548" s="25"/>
      <c r="X4548" s="25"/>
      <c r="Y4548" s="25"/>
      <c r="Z4548" s="77"/>
      <c r="AA4548" s="3" t="str">
        <f>IF(BCP_Soles[[#This Row],[fecha]]&gt;0,TEXT(BCP_Soles[[#This Row],[fecha]],"mmmm"),0)</f>
        <v>Noviembre</v>
      </c>
    </row>
    <row r="4549" spans="1:27" x14ac:dyDescent="0.3">
      <c r="A4549" s="2">
        <f>IF(BCP_Soles[[#This Row],[tipo_registro]]="R",COUNTIFS($C$1:$C4548,"R")+1,A4548)</f>
        <v>3014</v>
      </c>
      <c r="B4549" s="19" t="str">
        <f t="shared" ref="B4549:B4565" si="580">"B-BCP - Soles"</f>
        <v>B-BCP - Soles</v>
      </c>
      <c r="C4549" s="3" t="s">
        <v>1330</v>
      </c>
      <c r="D4549" s="14">
        <v>45967</v>
      </c>
      <c r="E4549" s="5" t="s">
        <v>1338</v>
      </c>
      <c r="F4549" s="5" t="s">
        <v>1336</v>
      </c>
      <c r="G4549" s="6" t="s">
        <v>696</v>
      </c>
      <c r="H4549" s="6"/>
      <c r="I4549" s="6"/>
      <c r="J4549" s="6"/>
      <c r="K4549" s="7" t="s">
        <v>4892</v>
      </c>
      <c r="L4549" s="8">
        <v>7138319</v>
      </c>
      <c r="M4549" s="8" t="str">
        <f t="shared" ref="M4549:M4565" si="581">"PEN"</f>
        <v>PEN</v>
      </c>
      <c r="N4549" s="13"/>
      <c r="O4549" s="13">
        <v>4516.29</v>
      </c>
      <c r="P4549" s="3">
        <f t="shared" ref="P4549:P4565" si="582">+IF(OR($F4549="SALDO",$F4549="INGRESO"),$O4549,0)</f>
        <v>0</v>
      </c>
      <c r="Q4549" s="3">
        <f t="shared" ref="Q4549:Q4565" si="583">+IF($F4549="EGRESO",$O4549,0)</f>
        <v>4516.29</v>
      </c>
      <c r="R4549" s="3">
        <f t="shared" si="579"/>
        <v>2684.7499999999654</v>
      </c>
      <c r="S4549" s="24" t="s">
        <v>1334</v>
      </c>
      <c r="T4549" s="24" t="s">
        <v>1334</v>
      </c>
      <c r="U4549" s="55"/>
      <c r="V4549" s="25">
        <f>IFERROR(VLOOKUP(BCP_Soles[[#This Row],[destinatario]],CHOOSE({1,2},Clientes_Proveedores[Razon Social],Clientes_Proveedores[Ruc / Dni]),2,0),"")</f>
        <v>0</v>
      </c>
      <c r="W4549" s="25"/>
      <c r="X4549" s="25"/>
      <c r="Y4549" s="25"/>
      <c r="Z4549" s="77"/>
      <c r="AA4549" s="3" t="str">
        <f>IF(BCP_Soles[[#This Row],[fecha]]&gt;0,TEXT(BCP_Soles[[#This Row],[fecha]],"mmmm"),0)</f>
        <v>Noviembre</v>
      </c>
    </row>
    <row r="4550" spans="1:27" ht="24" x14ac:dyDescent="0.3">
      <c r="A4550" s="2">
        <f>IF(BCP_Soles[[#This Row],[tipo_registro]]="R",COUNTIFS($C$1:$C4549,"R")+1,A4549)</f>
        <v>3014</v>
      </c>
      <c r="B4550" s="19" t="str">
        <f>"B-BCP - Soles"</f>
        <v>B-BCP - Soles</v>
      </c>
      <c r="C4550" s="3" t="s">
        <v>1352</v>
      </c>
      <c r="D4550" s="14">
        <v>45967</v>
      </c>
      <c r="E4550" s="5" t="s">
        <v>1338</v>
      </c>
      <c r="F4550" s="5" t="s">
        <v>1336</v>
      </c>
      <c r="G4550" s="6" t="s">
        <v>537</v>
      </c>
      <c r="H4550" s="191" t="s">
        <v>68</v>
      </c>
      <c r="I4550" s="6" t="s">
        <v>1376</v>
      </c>
      <c r="J4550" s="6">
        <v>950</v>
      </c>
      <c r="K4550" s="7" t="s">
        <v>4892</v>
      </c>
      <c r="L4550" s="8">
        <v>7138319</v>
      </c>
      <c r="M4550" s="8" t="str">
        <f>"PEN"</f>
        <v>PEN</v>
      </c>
      <c r="N4550" s="13">
        <v>580</v>
      </c>
      <c r="O4550" s="13"/>
      <c r="P4550" s="3">
        <f>+IF(OR($F4550="SALDO",$F4550="INGRESO"),$O4550,0)</f>
        <v>0</v>
      </c>
      <c r="Q4550" s="3">
        <f>+IF($F4550="EGRESO",$O4550,0)</f>
        <v>0</v>
      </c>
      <c r="R4550" s="3">
        <f>IFERROR(IF(F4550="SALDO",P4550,R4549+P4550-Q4550),0)</f>
        <v>2684.7499999999654</v>
      </c>
      <c r="S4550" s="24" t="s">
        <v>1334</v>
      </c>
      <c r="T4550" s="24" t="s">
        <v>1334</v>
      </c>
      <c r="U4550" s="55"/>
      <c r="V4550" s="25">
        <f>IFERROR(VLOOKUP(BCP_Soles[[#This Row],[destinatario]],CHOOSE({1,2},Clientes_Proveedores[Razon Social],Clientes_Proveedores[Ruc / Dni]),2,0),"")</f>
        <v>20605447814</v>
      </c>
      <c r="W4550" s="25"/>
      <c r="X4550" s="25"/>
      <c r="Y4550" s="25"/>
      <c r="Z4550" s="77"/>
      <c r="AA4550" s="3" t="str">
        <f>IF(BCP_Soles[[#This Row],[fecha]]&gt;0,TEXT(BCP_Soles[[#This Row],[fecha]],"mmmm"),0)</f>
        <v>Noviembre</v>
      </c>
    </row>
    <row r="4551" spans="1:27" x14ac:dyDescent="0.3">
      <c r="A4551" s="2">
        <f>IF(BCP_Soles[[#This Row],[tipo_registro]]="R",COUNTIFS($C$1:$C4550,"R")+1,A4550)</f>
        <v>3014</v>
      </c>
      <c r="B4551" s="19" t="str">
        <f>"B-BCP - Soles"</f>
        <v>B-BCP - Soles</v>
      </c>
      <c r="C4551" s="3" t="s">
        <v>1352</v>
      </c>
      <c r="D4551" s="14">
        <v>45967</v>
      </c>
      <c r="E4551" s="5" t="s">
        <v>1338</v>
      </c>
      <c r="F4551" s="5" t="s">
        <v>1336</v>
      </c>
      <c r="G4551" s="6" t="s">
        <v>338</v>
      </c>
      <c r="H4551" s="191" t="s">
        <v>68</v>
      </c>
      <c r="I4551" s="6" t="s">
        <v>1376</v>
      </c>
      <c r="J4551" s="6">
        <v>520</v>
      </c>
      <c r="K4551" s="7" t="s">
        <v>4892</v>
      </c>
      <c r="L4551" s="8">
        <v>7138319</v>
      </c>
      <c r="M4551" s="8" t="str">
        <f>"PEN"</f>
        <v>PEN</v>
      </c>
      <c r="N4551" s="13">
        <v>590</v>
      </c>
      <c r="O4551" s="13"/>
      <c r="P4551" s="3">
        <f>+IF(OR($F4551="SALDO",$F4551="INGRESO"),$O4551,0)</f>
        <v>0</v>
      </c>
      <c r="Q4551" s="3">
        <f>+IF($F4551="EGRESO",$O4551,0)</f>
        <v>0</v>
      </c>
      <c r="R4551" s="3">
        <f t="shared" ref="R4551:R4555" si="584">IFERROR(IF(F4551="SALDO",P4551,R4550+P4551-Q4551),0)</f>
        <v>2684.7499999999654</v>
      </c>
      <c r="S4551" s="24" t="s">
        <v>1334</v>
      </c>
      <c r="T4551" s="24" t="s">
        <v>1334</v>
      </c>
      <c r="U4551" s="55"/>
      <c r="V4551" s="25">
        <f>IFERROR(VLOOKUP(BCP_Soles[[#This Row],[destinatario]],CHOOSE({1,2},Clientes_Proveedores[Razon Social],Clientes_Proveedores[Ruc / Dni]),2,0),"")</f>
        <v>20498380931</v>
      </c>
      <c r="W4551" s="25"/>
      <c r="X4551" s="25"/>
      <c r="Y4551" s="25"/>
      <c r="Z4551" s="77"/>
      <c r="AA4551" s="3" t="str">
        <f>IF(BCP_Soles[[#This Row],[fecha]]&gt;0,TEXT(BCP_Soles[[#This Row],[fecha]],"mmmm"),0)</f>
        <v>Noviembre</v>
      </c>
    </row>
    <row r="4552" spans="1:27" ht="48" x14ac:dyDescent="0.3">
      <c r="A4552" s="2">
        <f>IF(BCP_Soles[[#This Row],[tipo_registro]]="R",COUNTIFS($C$1:$C4551,"R")+1,A4551)</f>
        <v>3014</v>
      </c>
      <c r="B4552" s="19" t="str">
        <f>"B-BCP - Soles"</f>
        <v>B-BCP - Soles</v>
      </c>
      <c r="C4552" s="3" t="s">
        <v>1352</v>
      </c>
      <c r="D4552" s="14">
        <v>45967</v>
      </c>
      <c r="E4552" s="5" t="s">
        <v>1338</v>
      </c>
      <c r="F4552" s="5" t="s">
        <v>1336</v>
      </c>
      <c r="G4552" s="6" t="s">
        <v>541</v>
      </c>
      <c r="H4552" s="191" t="s">
        <v>68</v>
      </c>
      <c r="I4552" s="6" t="s">
        <v>1374</v>
      </c>
      <c r="J4552" s="6">
        <v>237</v>
      </c>
      <c r="K4552" s="7" t="s">
        <v>4892</v>
      </c>
      <c r="L4552" s="8">
        <v>7138319</v>
      </c>
      <c r="M4552" s="8" t="str">
        <f>"PEN"</f>
        <v>PEN</v>
      </c>
      <c r="N4552" s="13">
        <v>739</v>
      </c>
      <c r="O4552" s="13"/>
      <c r="P4552" s="3">
        <f>+IF(OR($F4552="SALDO",$F4552="INGRESO"),$O4552,0)</f>
        <v>0</v>
      </c>
      <c r="Q4552" s="3">
        <f>+IF($F4552="EGRESO",$O4552,0)</f>
        <v>0</v>
      </c>
      <c r="R4552" s="3">
        <f t="shared" si="584"/>
        <v>2684.7499999999654</v>
      </c>
      <c r="S4552" s="24" t="s">
        <v>1334</v>
      </c>
      <c r="T4552" s="24" t="s">
        <v>1334</v>
      </c>
      <c r="U4552" s="55"/>
      <c r="V4552" s="25">
        <f>IFERROR(VLOOKUP(BCP_Soles[[#This Row],[destinatario]],CHOOSE({1,2},Clientes_Proveedores[Razon Social],Clientes_Proveedores[Ruc / Dni]),2,0),"")</f>
        <v>20605931457</v>
      </c>
      <c r="W4552" s="25"/>
      <c r="X4552" s="25"/>
      <c r="Y4552" s="25"/>
      <c r="Z4552" s="77"/>
      <c r="AA4552" s="3" t="str">
        <f>IF(BCP_Soles[[#This Row],[fecha]]&gt;0,TEXT(BCP_Soles[[#This Row],[fecha]],"mmmm"),0)</f>
        <v>Noviembre</v>
      </c>
    </row>
    <row r="4553" spans="1:27" x14ac:dyDescent="0.3">
      <c r="A4553" s="2">
        <f>IF(BCP_Soles[[#This Row],[tipo_registro]]="R",COUNTIFS($C$1:$C4552,"R")+1,A4552)</f>
        <v>3014</v>
      </c>
      <c r="B4553" s="19" t="str">
        <f>"B-BCP - Soles"</f>
        <v>B-BCP - Soles</v>
      </c>
      <c r="C4553" s="3" t="s">
        <v>1352</v>
      </c>
      <c r="D4553" s="14">
        <v>45967</v>
      </c>
      <c r="E4553" s="5" t="s">
        <v>1338</v>
      </c>
      <c r="F4553" s="5" t="s">
        <v>1336</v>
      </c>
      <c r="G4553" s="6" t="s">
        <v>355</v>
      </c>
      <c r="H4553" s="191" t="s">
        <v>68</v>
      </c>
      <c r="I4553" s="6" t="s">
        <v>1376</v>
      </c>
      <c r="J4553" s="6">
        <v>3592</v>
      </c>
      <c r="K4553" s="7" t="s">
        <v>4892</v>
      </c>
      <c r="L4553" s="8">
        <v>7138319</v>
      </c>
      <c r="M4553" s="8" t="str">
        <f>"PEN"</f>
        <v>PEN</v>
      </c>
      <c r="N4553" s="13">
        <v>1689.2</v>
      </c>
      <c r="O4553" s="13"/>
      <c r="P4553" s="3">
        <f>+IF(OR($F4553="SALDO",$F4553="INGRESO"),$O4553,0)</f>
        <v>0</v>
      </c>
      <c r="Q4553" s="3">
        <f>+IF($F4553="EGRESO",$O4553,0)</f>
        <v>0</v>
      </c>
      <c r="R4553" s="3">
        <f t="shared" si="584"/>
        <v>2684.7499999999654</v>
      </c>
      <c r="S4553" s="24" t="s">
        <v>1334</v>
      </c>
      <c r="T4553" s="24" t="s">
        <v>1334</v>
      </c>
      <c r="U4553" s="55"/>
      <c r="V4553" s="25">
        <f>IFERROR(VLOOKUP(BCP_Soles[[#This Row],[destinatario]],CHOOSE({1,2},Clientes_Proveedores[Razon Social],Clientes_Proveedores[Ruc / Dni]),2,0),"")</f>
        <v>20513294574</v>
      </c>
      <c r="W4553" s="25"/>
      <c r="X4553" s="25"/>
      <c r="Y4553" s="25"/>
      <c r="Z4553" s="77"/>
      <c r="AA4553" s="3" t="str">
        <f>IF(BCP_Soles[[#This Row],[fecha]]&gt;0,TEXT(BCP_Soles[[#This Row],[fecha]],"mmmm"),0)</f>
        <v>Noviembre</v>
      </c>
    </row>
    <row r="4554" spans="1:27" x14ac:dyDescent="0.3">
      <c r="A4554" s="2">
        <f>IF(BCP_Soles[[#This Row],[tipo_registro]]="R",COUNTIFS($C$1:$C4553,"R")+1,A4553)</f>
        <v>3014</v>
      </c>
      <c r="B4554" s="19" t="str">
        <f>"B-BCP - Soles"</f>
        <v>B-BCP - Soles</v>
      </c>
      <c r="C4554" s="3" t="s">
        <v>1352</v>
      </c>
      <c r="D4554" s="14">
        <v>45967</v>
      </c>
      <c r="E4554" s="5" t="s">
        <v>1338</v>
      </c>
      <c r="F4554" s="5" t="s">
        <v>1336</v>
      </c>
      <c r="G4554" s="6" t="s">
        <v>286</v>
      </c>
      <c r="H4554" s="191" t="s">
        <v>68</v>
      </c>
      <c r="I4554" s="6" t="s">
        <v>1386</v>
      </c>
      <c r="J4554" s="6">
        <v>1756</v>
      </c>
      <c r="K4554" s="7" t="s">
        <v>4892</v>
      </c>
      <c r="L4554" s="8">
        <v>7138319</v>
      </c>
      <c r="M4554" s="8" t="str">
        <f>"PEN"</f>
        <v>PEN</v>
      </c>
      <c r="N4554" s="13">
        <v>918.09</v>
      </c>
      <c r="O4554" s="13"/>
      <c r="P4554" s="3">
        <f>+IF(OR($F4554="SALDO",$F4554="INGRESO"),$O4554,0)</f>
        <v>0</v>
      </c>
      <c r="Q4554" s="3">
        <f>+IF($F4554="EGRESO",$O4554,0)</f>
        <v>0</v>
      </c>
      <c r="R4554" s="3">
        <f t="shared" si="584"/>
        <v>2684.7499999999654</v>
      </c>
      <c r="S4554" s="24" t="s">
        <v>1334</v>
      </c>
      <c r="T4554" s="24" t="s">
        <v>1334</v>
      </c>
      <c r="U4554" s="55"/>
      <c r="V4554" s="25">
        <f>IFERROR(VLOOKUP(BCP_Soles[[#This Row],[destinatario]],CHOOSE({1,2},Clientes_Proveedores[Razon Social],Clientes_Proveedores[Ruc / Dni]),2,0),"")</f>
        <v>20454186002</v>
      </c>
      <c r="W4554" s="25"/>
      <c r="X4554" s="25"/>
      <c r="Y4554" s="25"/>
      <c r="Z4554" s="77"/>
      <c r="AA4554" s="3" t="str">
        <f>IF(BCP_Soles[[#This Row],[fecha]]&gt;0,TEXT(BCP_Soles[[#This Row],[fecha]],"mmmm"),0)</f>
        <v>Noviembre</v>
      </c>
    </row>
    <row r="4555" spans="1:27" ht="36" x14ac:dyDescent="0.3">
      <c r="A4555" s="2">
        <f>IF(BCP_Soles[[#This Row],[tipo_registro]]="R",COUNTIFS($C$1:$C4554,"R")+1,A4554)</f>
        <v>3015</v>
      </c>
      <c r="B4555" s="19" t="str">
        <f t="shared" si="580"/>
        <v>B-BCP - Soles</v>
      </c>
      <c r="C4555" s="3" t="s">
        <v>1330</v>
      </c>
      <c r="D4555" s="14">
        <v>45967</v>
      </c>
      <c r="E4555" s="5" t="s">
        <v>1338</v>
      </c>
      <c r="F4555" s="5" t="s">
        <v>1336</v>
      </c>
      <c r="G4555" s="6" t="s">
        <v>922</v>
      </c>
      <c r="H4555" s="6"/>
      <c r="I4555" s="6"/>
      <c r="J4555" s="6"/>
      <c r="K4555" s="7" t="s">
        <v>4893</v>
      </c>
      <c r="L4555" s="8">
        <v>1236400</v>
      </c>
      <c r="M4555" s="8" t="str">
        <f t="shared" si="581"/>
        <v>PEN</v>
      </c>
      <c r="N4555" s="13"/>
      <c r="O4555" s="13">
        <v>1819.52</v>
      </c>
      <c r="P4555" s="3">
        <f t="shared" si="582"/>
        <v>0</v>
      </c>
      <c r="Q4555" s="3">
        <f t="shared" si="583"/>
        <v>1819.52</v>
      </c>
      <c r="R4555" s="3">
        <f t="shared" si="584"/>
        <v>865.22999999996546</v>
      </c>
      <c r="S4555" s="24" t="s">
        <v>1334</v>
      </c>
      <c r="T4555" s="24" t="s">
        <v>1334</v>
      </c>
      <c r="U4555" s="55"/>
      <c r="V4555" s="25">
        <f>IFERROR(VLOOKUP(BCP_Soles[[#This Row],[destinatario]],CHOOSE({1,2},Clientes_Proveedores[Razon Social],Clientes_Proveedores[Ruc / Dni]),2,0),"")</f>
        <v>72537561</v>
      </c>
      <c r="W4555" s="25"/>
      <c r="X4555" s="25"/>
      <c r="Y4555" s="25"/>
      <c r="Z4555" s="77"/>
      <c r="AA4555" s="3" t="str">
        <f>IF(BCP_Soles[[#This Row],[fecha]]&gt;0,TEXT(BCP_Soles[[#This Row],[fecha]],"mmmm"),0)</f>
        <v>Noviembre</v>
      </c>
    </row>
    <row r="4556" spans="1:27" ht="36" x14ac:dyDescent="0.3">
      <c r="A4556" s="2">
        <f>IF(BCP_Soles[[#This Row],[tipo_registro]]="R",COUNTIFS($C$1:$C4555,"R")+1,A4555)</f>
        <v>3015</v>
      </c>
      <c r="B4556" s="19" t="str">
        <f>"B-BCP - Soles"</f>
        <v>B-BCP - Soles</v>
      </c>
      <c r="C4556" s="3" t="s">
        <v>1352</v>
      </c>
      <c r="D4556" s="14">
        <v>45967</v>
      </c>
      <c r="E4556" s="5" t="s">
        <v>1338</v>
      </c>
      <c r="F4556" s="5" t="s">
        <v>1336</v>
      </c>
      <c r="G4556" s="6" t="s">
        <v>675</v>
      </c>
      <c r="H4556" s="191" t="s">
        <v>68</v>
      </c>
      <c r="I4556" s="6" t="s">
        <v>2912</v>
      </c>
      <c r="J4556" s="6">
        <v>2849</v>
      </c>
      <c r="K4556" s="7" t="s">
        <v>4893</v>
      </c>
      <c r="L4556" s="8">
        <v>1236400</v>
      </c>
      <c r="M4556" s="8" t="str">
        <f>"PEN"</f>
        <v>PEN</v>
      </c>
      <c r="N4556" s="13">
        <v>459.61</v>
      </c>
      <c r="O4556" s="13"/>
      <c r="P4556" s="3">
        <f>+IF(OR($F4556="SALDO",$F4556="INGRESO"),$O4556,0)</f>
        <v>0</v>
      </c>
      <c r="Q4556" s="3">
        <f>+IF($F4556="EGRESO",$O4556,0)</f>
        <v>0</v>
      </c>
      <c r="R4556" s="3">
        <f>IFERROR(IF(F4556="SALDO",P4556,R4555+P4556-Q4556),0)</f>
        <v>865.22999999996546</v>
      </c>
      <c r="S4556" s="24" t="s">
        <v>1334</v>
      </c>
      <c r="T4556" s="24" t="s">
        <v>1334</v>
      </c>
      <c r="U4556" s="55"/>
      <c r="V4556" s="25">
        <f>IFERROR(VLOOKUP(BCP_Soles[[#This Row],[destinatario]],CHOOSE({1,2},Clientes_Proveedores[Razon Social],Clientes_Proveedores[Ruc / Dni]),2,0),"")</f>
        <v>20455911401</v>
      </c>
      <c r="W4556" s="25"/>
      <c r="X4556" s="25"/>
      <c r="Y4556" s="25"/>
      <c r="Z4556" s="77"/>
      <c r="AA4556" s="3" t="str">
        <f>IF(BCP_Soles[[#This Row],[fecha]]&gt;0,TEXT(BCP_Soles[[#This Row],[fecha]],"mmmm"),0)</f>
        <v>Noviembre</v>
      </c>
    </row>
    <row r="4557" spans="1:27" ht="36" x14ac:dyDescent="0.3">
      <c r="A4557" s="2">
        <f>IF(BCP_Soles[[#This Row],[tipo_registro]]="R",COUNTIFS($C$1:$C4556,"R")+1,A4556)</f>
        <v>3015</v>
      </c>
      <c r="B4557" s="19" t="str">
        <f>"B-BCP - Soles"</f>
        <v>B-BCP - Soles</v>
      </c>
      <c r="C4557" s="3" t="s">
        <v>1352</v>
      </c>
      <c r="D4557" s="14">
        <v>45967</v>
      </c>
      <c r="E4557" s="5" t="s">
        <v>1338</v>
      </c>
      <c r="F4557" s="5" t="s">
        <v>1336</v>
      </c>
      <c r="G4557" s="6" t="s">
        <v>675</v>
      </c>
      <c r="H4557" s="191" t="s">
        <v>68</v>
      </c>
      <c r="I4557" s="6" t="s">
        <v>2912</v>
      </c>
      <c r="J4557" s="6">
        <v>2848</v>
      </c>
      <c r="K4557" s="7" t="s">
        <v>4893</v>
      </c>
      <c r="L4557" s="8">
        <v>1236400</v>
      </c>
      <c r="M4557" s="8" t="str">
        <f>"PEN"</f>
        <v>PEN</v>
      </c>
      <c r="N4557" s="13">
        <v>444.87</v>
      </c>
      <c r="O4557" s="13"/>
      <c r="P4557" s="3">
        <f>+IF(OR($F4557="SALDO",$F4557="INGRESO"),$O4557,0)</f>
        <v>0</v>
      </c>
      <c r="Q4557" s="3">
        <f>+IF($F4557="EGRESO",$O4557,0)</f>
        <v>0</v>
      </c>
      <c r="R4557" s="3">
        <f t="shared" ref="R4557:R4561" si="585">IFERROR(IF(F4557="SALDO",P4557,R4556+P4557-Q4557),0)</f>
        <v>865.22999999996546</v>
      </c>
      <c r="S4557" s="24" t="s">
        <v>1334</v>
      </c>
      <c r="T4557" s="24" t="s">
        <v>1334</v>
      </c>
      <c r="U4557" s="55"/>
      <c r="V4557" s="25">
        <f>IFERROR(VLOOKUP(BCP_Soles[[#This Row],[destinatario]],CHOOSE({1,2},Clientes_Proveedores[Razon Social],Clientes_Proveedores[Ruc / Dni]),2,0),"")</f>
        <v>20455911401</v>
      </c>
      <c r="W4557" s="25"/>
      <c r="X4557" s="25"/>
      <c r="Y4557" s="25"/>
      <c r="Z4557" s="77"/>
      <c r="AA4557" s="3" t="str">
        <f>IF(BCP_Soles[[#This Row],[fecha]]&gt;0,TEXT(BCP_Soles[[#This Row],[fecha]],"mmmm"),0)</f>
        <v>Noviembre</v>
      </c>
    </row>
    <row r="4558" spans="1:27" ht="36" x14ac:dyDescent="0.3">
      <c r="A4558" s="2">
        <f>IF(BCP_Soles[[#This Row],[tipo_registro]]="R",COUNTIFS($C$1:$C4557,"R")+1,A4557)</f>
        <v>3015</v>
      </c>
      <c r="B4558" s="19" t="str">
        <f>"B-BCP - Soles"</f>
        <v>B-BCP - Soles</v>
      </c>
      <c r="C4558" s="3" t="s">
        <v>1352</v>
      </c>
      <c r="D4558" s="14">
        <v>45967</v>
      </c>
      <c r="E4558" s="5" t="s">
        <v>1338</v>
      </c>
      <c r="F4558" s="5" t="s">
        <v>1336</v>
      </c>
      <c r="G4558" s="6" t="s">
        <v>675</v>
      </c>
      <c r="H4558" s="191" t="s">
        <v>68</v>
      </c>
      <c r="I4558" s="6" t="s">
        <v>2912</v>
      </c>
      <c r="J4558" s="6">
        <v>2846</v>
      </c>
      <c r="K4558" s="7" t="s">
        <v>4893</v>
      </c>
      <c r="L4558" s="8">
        <v>1236400</v>
      </c>
      <c r="M4558" s="8" t="str">
        <f>"PEN"</f>
        <v>PEN</v>
      </c>
      <c r="N4558" s="13">
        <v>250.01</v>
      </c>
      <c r="O4558" s="13"/>
      <c r="P4558" s="3">
        <f>+IF(OR($F4558="SALDO",$F4558="INGRESO"),$O4558,0)</f>
        <v>0</v>
      </c>
      <c r="Q4558" s="3">
        <f>+IF($F4558="EGRESO",$O4558,0)</f>
        <v>0</v>
      </c>
      <c r="R4558" s="3">
        <f t="shared" si="585"/>
        <v>865.22999999996546</v>
      </c>
      <c r="S4558" s="24" t="s">
        <v>1334</v>
      </c>
      <c r="T4558" s="24" t="s">
        <v>1334</v>
      </c>
      <c r="U4558" s="55"/>
      <c r="V4558" s="25">
        <f>IFERROR(VLOOKUP(BCP_Soles[[#This Row],[destinatario]],CHOOSE({1,2},Clientes_Proveedores[Razon Social],Clientes_Proveedores[Ruc / Dni]),2,0),"")</f>
        <v>20455911401</v>
      </c>
      <c r="W4558" s="25"/>
      <c r="X4558" s="25"/>
      <c r="Y4558" s="25"/>
      <c r="Z4558" s="77"/>
      <c r="AA4558" s="3" t="str">
        <f>IF(BCP_Soles[[#This Row],[fecha]]&gt;0,TEXT(BCP_Soles[[#This Row],[fecha]],"mmmm"),0)</f>
        <v>Noviembre</v>
      </c>
    </row>
    <row r="4559" spans="1:27" ht="36" x14ac:dyDescent="0.3">
      <c r="A4559" s="2">
        <f>IF(BCP_Soles[[#This Row],[tipo_registro]]="R",COUNTIFS($C$1:$C4558,"R")+1,A4558)</f>
        <v>3015</v>
      </c>
      <c r="B4559" s="19" t="str">
        <f>"B-BCP - Soles"</f>
        <v>B-BCP - Soles</v>
      </c>
      <c r="C4559" s="3" t="s">
        <v>1352</v>
      </c>
      <c r="D4559" s="14">
        <v>45967</v>
      </c>
      <c r="E4559" s="5" t="s">
        <v>1338</v>
      </c>
      <c r="F4559" s="5" t="s">
        <v>1336</v>
      </c>
      <c r="G4559" s="6" t="s">
        <v>675</v>
      </c>
      <c r="H4559" s="191" t="s">
        <v>68</v>
      </c>
      <c r="I4559" s="6" t="s">
        <v>2912</v>
      </c>
      <c r="J4559" s="6">
        <v>2877</v>
      </c>
      <c r="K4559" s="7" t="s">
        <v>4893</v>
      </c>
      <c r="L4559" s="8">
        <v>1236400</v>
      </c>
      <c r="M4559" s="8" t="str">
        <f>"PEN"</f>
        <v>PEN</v>
      </c>
      <c r="N4559" s="13">
        <v>444.72</v>
      </c>
      <c r="O4559" s="13"/>
      <c r="P4559" s="3">
        <f>+IF(OR($F4559="SALDO",$F4559="INGRESO"),$O4559,0)</f>
        <v>0</v>
      </c>
      <c r="Q4559" s="3">
        <f>+IF($F4559="EGRESO",$O4559,0)</f>
        <v>0</v>
      </c>
      <c r="R4559" s="3">
        <f t="shared" si="585"/>
        <v>865.22999999996546</v>
      </c>
      <c r="S4559" s="24" t="s">
        <v>1334</v>
      </c>
      <c r="T4559" s="24" t="s">
        <v>1334</v>
      </c>
      <c r="U4559" s="55"/>
      <c r="V4559" s="25">
        <f>IFERROR(VLOOKUP(BCP_Soles[[#This Row],[destinatario]],CHOOSE({1,2},Clientes_Proveedores[Razon Social],Clientes_Proveedores[Ruc / Dni]),2,0),"")</f>
        <v>20455911401</v>
      </c>
      <c r="W4559" s="25"/>
      <c r="X4559" s="25"/>
      <c r="Y4559" s="25"/>
      <c r="Z4559" s="77"/>
      <c r="AA4559" s="3" t="str">
        <f>IF(BCP_Soles[[#This Row],[fecha]]&gt;0,TEXT(BCP_Soles[[#This Row],[fecha]],"mmmm"),0)</f>
        <v>Noviembre</v>
      </c>
    </row>
    <row r="4560" spans="1:27" ht="36" x14ac:dyDescent="0.3">
      <c r="A4560" s="2">
        <f>IF(BCP_Soles[[#This Row],[tipo_registro]]="R",COUNTIFS($C$1:$C4559,"R")+1,A4559)</f>
        <v>3015</v>
      </c>
      <c r="B4560" s="19" t="str">
        <f>"B-BCP - Soles"</f>
        <v>B-BCP - Soles</v>
      </c>
      <c r="C4560" s="3" t="s">
        <v>1352</v>
      </c>
      <c r="D4560" s="14">
        <v>45967</v>
      </c>
      <c r="E4560" s="5" t="s">
        <v>1338</v>
      </c>
      <c r="F4560" s="5" t="s">
        <v>1336</v>
      </c>
      <c r="G4560" s="6" t="s">
        <v>675</v>
      </c>
      <c r="H4560" s="191" t="s">
        <v>68</v>
      </c>
      <c r="I4560" s="6" t="s">
        <v>2912</v>
      </c>
      <c r="J4560" s="6">
        <v>2873</v>
      </c>
      <c r="K4560" s="7" t="s">
        <v>4893</v>
      </c>
      <c r="L4560" s="8">
        <v>1236400</v>
      </c>
      <c r="M4560" s="8" t="str">
        <f>"PEN"</f>
        <v>PEN</v>
      </c>
      <c r="N4560" s="13">
        <v>220.31</v>
      </c>
      <c r="O4560" s="13"/>
      <c r="P4560" s="3">
        <f>+IF(OR($F4560="SALDO",$F4560="INGRESO"),$O4560,0)</f>
        <v>0</v>
      </c>
      <c r="Q4560" s="3">
        <f>+IF($F4560="EGRESO",$O4560,0)</f>
        <v>0</v>
      </c>
      <c r="R4560" s="3">
        <f t="shared" si="585"/>
        <v>865.22999999996546</v>
      </c>
      <c r="S4560" s="24" t="s">
        <v>1334</v>
      </c>
      <c r="T4560" s="24" t="s">
        <v>1334</v>
      </c>
      <c r="U4560" s="55"/>
      <c r="V4560" s="25">
        <f>IFERROR(VLOOKUP(BCP_Soles[[#This Row],[destinatario]],CHOOSE({1,2},Clientes_Proveedores[Razon Social],Clientes_Proveedores[Ruc / Dni]),2,0),"")</f>
        <v>20455911401</v>
      </c>
      <c r="W4560" s="25"/>
      <c r="X4560" s="25"/>
      <c r="Y4560" s="25"/>
      <c r="Z4560" s="77"/>
      <c r="AA4560" s="3" t="str">
        <f>IF(BCP_Soles[[#This Row],[fecha]]&gt;0,TEXT(BCP_Soles[[#This Row],[fecha]],"mmmm"),0)</f>
        <v>Noviembre</v>
      </c>
    </row>
    <row r="4561" spans="1:27" ht="24" x14ac:dyDescent="0.3">
      <c r="A4561" s="2">
        <f>IF(BCP_Soles[[#This Row],[tipo_registro]]="R",COUNTIFS($C$1:$C4560,"R")+1,A4560)</f>
        <v>3016</v>
      </c>
      <c r="B4561" s="19" t="str">
        <f t="shared" si="580"/>
        <v>B-BCP - Soles</v>
      </c>
      <c r="C4561" s="3" t="s">
        <v>1330</v>
      </c>
      <c r="D4561" s="14">
        <v>45967</v>
      </c>
      <c r="E4561" s="5" t="s">
        <v>1338</v>
      </c>
      <c r="F4561" s="5" t="s">
        <v>1336</v>
      </c>
      <c r="G4561" s="6" t="s">
        <v>575</v>
      </c>
      <c r="H4561" s="6"/>
      <c r="I4561" s="6"/>
      <c r="J4561" s="6"/>
      <c r="K4561" s="7" t="s">
        <v>4894</v>
      </c>
      <c r="L4561" s="8">
        <v>4023269</v>
      </c>
      <c r="M4561" s="8" t="str">
        <f t="shared" si="581"/>
        <v>PEN</v>
      </c>
      <c r="N4561" s="13"/>
      <c r="O4561" s="13">
        <v>140.04</v>
      </c>
      <c r="P4561" s="3">
        <f t="shared" si="582"/>
        <v>0</v>
      </c>
      <c r="Q4561" s="3">
        <f t="shared" si="583"/>
        <v>140.04</v>
      </c>
      <c r="R4561" s="3">
        <f t="shared" si="585"/>
        <v>725.18999999996549</v>
      </c>
      <c r="S4561" s="24"/>
      <c r="T4561" s="24"/>
      <c r="U4561" s="55"/>
      <c r="V4561" s="25">
        <f>IFERROR(VLOOKUP(BCP_Soles[[#This Row],[destinatario]],CHOOSE({1,2},Clientes_Proveedores[Razon Social],Clientes_Proveedores[Ruc / Dni]),2,0),"")</f>
        <v>20608970909</v>
      </c>
      <c r="W4561" s="25"/>
      <c r="X4561" s="25"/>
      <c r="Y4561" s="25"/>
      <c r="Z4561" s="77"/>
      <c r="AA4561" s="3" t="str">
        <f>IF(BCP_Soles[[#This Row],[fecha]]&gt;0,TEXT(BCP_Soles[[#This Row],[fecha]],"mmmm"),0)</f>
        <v>Noviembre</v>
      </c>
    </row>
    <row r="4562" spans="1:27" ht="24" x14ac:dyDescent="0.3">
      <c r="A4562" s="2">
        <f>IF(BCP_Soles[[#This Row],[tipo_registro]]="R",COUNTIFS($C$1:$C4561,"R")+1,A4561)</f>
        <v>3016</v>
      </c>
      <c r="B4562" s="19" t="str">
        <f t="shared" si="580"/>
        <v>B-BCP - Soles</v>
      </c>
      <c r="C4562" s="3" t="s">
        <v>1352</v>
      </c>
      <c r="D4562" s="14">
        <v>45967</v>
      </c>
      <c r="E4562" s="5" t="s">
        <v>1338</v>
      </c>
      <c r="F4562" s="5" t="s">
        <v>1336</v>
      </c>
      <c r="G4562" s="6" t="s">
        <v>575</v>
      </c>
      <c r="H4562" s="6" t="s">
        <v>68</v>
      </c>
      <c r="I4562" s="6"/>
      <c r="J4562" s="6"/>
      <c r="K4562" s="7" t="s">
        <v>4894</v>
      </c>
      <c r="L4562" s="8">
        <v>4023269</v>
      </c>
      <c r="M4562" s="8" t="str">
        <f t="shared" si="581"/>
        <v>PEN</v>
      </c>
      <c r="N4562" s="13">
        <v>129.54</v>
      </c>
      <c r="O4562" s="13"/>
      <c r="P4562" s="3">
        <f t="shared" si="582"/>
        <v>0</v>
      </c>
      <c r="Q4562" s="3">
        <f t="shared" si="583"/>
        <v>0</v>
      </c>
      <c r="R4562" s="3">
        <f t="shared" si="579"/>
        <v>725.18999999996549</v>
      </c>
      <c r="S4562" s="24"/>
      <c r="T4562" s="24"/>
      <c r="U4562" s="55"/>
      <c r="V4562" s="25">
        <f>IFERROR(VLOOKUP(BCP_Soles[[#This Row],[destinatario]],CHOOSE({1,2},Clientes_Proveedores[Razon Social],Clientes_Proveedores[Ruc / Dni]),2,0),"")</f>
        <v>20608970909</v>
      </c>
      <c r="W4562" s="25"/>
      <c r="X4562" s="25"/>
      <c r="Y4562" s="25"/>
      <c r="Z4562" s="77"/>
      <c r="AA4562" s="3" t="str">
        <f>IF(BCP_Soles[[#This Row],[fecha]]&gt;0,TEXT(BCP_Soles[[#This Row],[fecha]],"mmmm"),0)</f>
        <v>Noviembre</v>
      </c>
    </row>
    <row r="4563" spans="1:27" ht="24" x14ac:dyDescent="0.3">
      <c r="A4563" s="2">
        <f>IF(BCP_Soles[[#This Row],[tipo_registro]]="R",COUNTIFS($C$1:$C4562,"R")+1,A4562)</f>
        <v>3016</v>
      </c>
      <c r="B4563" s="19" t="str">
        <f t="shared" si="580"/>
        <v>B-BCP - Soles</v>
      </c>
      <c r="C4563" s="3" t="s">
        <v>1352</v>
      </c>
      <c r="D4563" s="14">
        <v>45967</v>
      </c>
      <c r="E4563" s="5" t="s">
        <v>1338</v>
      </c>
      <c r="F4563" s="5" t="s">
        <v>1336</v>
      </c>
      <c r="G4563" s="6" t="s">
        <v>1060</v>
      </c>
      <c r="H4563" s="6" t="s">
        <v>68</v>
      </c>
      <c r="I4563" s="6"/>
      <c r="J4563" s="6"/>
      <c r="K4563" s="7" t="s">
        <v>4894</v>
      </c>
      <c r="L4563" s="8">
        <v>4023269</v>
      </c>
      <c r="M4563" s="8" t="str">
        <f t="shared" si="581"/>
        <v>PEN</v>
      </c>
      <c r="N4563" s="13">
        <v>10.5</v>
      </c>
      <c r="O4563" s="13"/>
      <c r="P4563" s="3">
        <f t="shared" si="582"/>
        <v>0</v>
      </c>
      <c r="Q4563" s="3">
        <f t="shared" si="583"/>
        <v>0</v>
      </c>
      <c r="R4563" s="3">
        <f t="shared" si="579"/>
        <v>725.18999999996549</v>
      </c>
      <c r="S4563" s="24"/>
      <c r="T4563" s="24"/>
      <c r="U4563" s="55"/>
      <c r="V4563" s="25">
        <f>IFERROR(VLOOKUP(BCP_Soles[[#This Row],[destinatario]],CHOOSE({1,2},Clientes_Proveedores[Razon Social],Clientes_Proveedores[Ruc / Dni]),2,0),"")</f>
        <v>20100047218</v>
      </c>
      <c r="W4563" s="25"/>
      <c r="X4563" s="25"/>
      <c r="Y4563" s="25"/>
      <c r="Z4563" s="77"/>
      <c r="AA4563" s="3" t="str">
        <f>IF(BCP_Soles[[#This Row],[fecha]]&gt;0,TEXT(BCP_Soles[[#This Row],[fecha]],"mmmm"),0)</f>
        <v>Noviembre</v>
      </c>
    </row>
    <row r="4564" spans="1:27" ht="24" x14ac:dyDescent="0.3">
      <c r="A4564" s="2">
        <f>IF(BCP_Soles[[#This Row],[tipo_registro]]="R",COUNTIFS($C$1:$C4563,"R")+1,A4563)</f>
        <v>3017</v>
      </c>
      <c r="B4564" s="19" t="str">
        <f t="shared" si="580"/>
        <v>B-BCP - Soles</v>
      </c>
      <c r="C4564" s="3" t="s">
        <v>1330</v>
      </c>
      <c r="D4564" s="14">
        <v>45967</v>
      </c>
      <c r="E4564" s="5" t="s">
        <v>1338</v>
      </c>
      <c r="F4564" s="5" t="s">
        <v>1336</v>
      </c>
      <c r="G4564" s="6" t="s">
        <v>708</v>
      </c>
      <c r="H4564" s="6"/>
      <c r="I4564" s="6"/>
      <c r="J4564" s="6"/>
      <c r="K4564" s="7" t="s">
        <v>4895</v>
      </c>
      <c r="L4564" s="8">
        <v>236865</v>
      </c>
      <c r="M4564" s="8" t="str">
        <f t="shared" si="581"/>
        <v>PEN</v>
      </c>
      <c r="N4564" s="13"/>
      <c r="O4564" s="13">
        <v>114.22</v>
      </c>
      <c r="P4564" s="3">
        <f t="shared" si="582"/>
        <v>0</v>
      </c>
      <c r="Q4564" s="3">
        <f t="shared" si="583"/>
        <v>114.22</v>
      </c>
      <c r="R4564" s="3">
        <f t="shared" si="579"/>
        <v>610.96999999996547</v>
      </c>
      <c r="S4564" s="24"/>
      <c r="T4564" s="24"/>
      <c r="U4564" s="55"/>
      <c r="V4564" s="25">
        <f>IFERROR(VLOOKUP(BCP_Soles[[#This Row],[destinatario]],CHOOSE({1,2},Clientes_Proveedores[Razon Social],Clientes_Proveedores[Ruc / Dni]),2,0),"")</f>
        <v>20467534026</v>
      </c>
      <c r="W4564" s="25"/>
      <c r="X4564" s="25"/>
      <c r="Y4564" s="25"/>
      <c r="Z4564" s="77"/>
      <c r="AA4564" s="3" t="str">
        <f>IF(BCP_Soles[[#This Row],[fecha]]&gt;0,TEXT(BCP_Soles[[#This Row],[fecha]],"mmmm"),0)</f>
        <v>Noviembre</v>
      </c>
    </row>
    <row r="4565" spans="1:27" ht="24" x14ac:dyDescent="0.3">
      <c r="A4565" s="2">
        <f>IF(BCP_Soles[[#This Row],[tipo_registro]]="R",COUNTIFS($C$1:$C4564,"R")+1,A4564)</f>
        <v>3018</v>
      </c>
      <c r="B4565" s="19" t="str">
        <f t="shared" si="580"/>
        <v>B-BCP - Soles</v>
      </c>
      <c r="C4565" s="3" t="s">
        <v>1330</v>
      </c>
      <c r="D4565" s="14">
        <v>45967</v>
      </c>
      <c r="E4565" s="5" t="s">
        <v>1335</v>
      </c>
      <c r="F4565" s="5" t="s">
        <v>1336</v>
      </c>
      <c r="G4565" s="6" t="s">
        <v>1060</v>
      </c>
      <c r="H4565" s="6"/>
      <c r="I4565" s="6"/>
      <c r="J4565" s="6"/>
      <c r="K4565" s="7" t="s">
        <v>4896</v>
      </c>
      <c r="L4565" s="8">
        <v>7138335</v>
      </c>
      <c r="M4565" s="8" t="str">
        <f t="shared" si="581"/>
        <v>PEN</v>
      </c>
      <c r="N4565" s="13"/>
      <c r="O4565" s="13">
        <v>2.5</v>
      </c>
      <c r="P4565" s="3">
        <f t="shared" si="582"/>
        <v>0</v>
      </c>
      <c r="Q4565" s="3">
        <f t="shared" si="583"/>
        <v>2.5</v>
      </c>
      <c r="R4565" s="3">
        <f t="shared" si="579"/>
        <v>608.46999999996547</v>
      </c>
      <c r="S4565" s="24"/>
      <c r="T4565" s="24"/>
      <c r="U4565" s="55"/>
      <c r="V4565" s="25">
        <f>IFERROR(VLOOKUP(BCP_Soles[[#This Row],[destinatario]],CHOOSE({1,2},Clientes_Proveedores[Razon Social],Clientes_Proveedores[Ruc / Dni]),2,0),"")</f>
        <v>20100047218</v>
      </c>
      <c r="W4565" s="25"/>
      <c r="X4565" s="25"/>
      <c r="Y4565" s="25"/>
      <c r="Z4565" s="77"/>
      <c r="AA4565" s="3" t="str">
        <f>IF(BCP_Soles[[#This Row],[fecha]]&gt;0,TEXT(BCP_Soles[[#This Row],[fecha]],"mmmm"),0)</f>
        <v>Noviembre</v>
      </c>
    </row>
    <row r="4566" spans="1:27" x14ac:dyDescent="0.3">
      <c r="A4566" s="222">
        <f>IF(BCP_Soles[[#This Row],[tipo_registro]]="R",COUNTIFS($C$1:$C4565,"R")+1,A4565)</f>
        <v>3019</v>
      </c>
      <c r="B4566" s="19" t="str">
        <f t="shared" ref="B4566:B4580" si="586">"B-BCP - Soles"</f>
        <v>B-BCP - Soles</v>
      </c>
      <c r="C4566" s="3" t="s">
        <v>1330</v>
      </c>
      <c r="D4566" s="14">
        <v>45967</v>
      </c>
      <c r="E4566" s="5"/>
      <c r="F4566" s="5" t="s">
        <v>1336</v>
      </c>
      <c r="G4566" s="6"/>
      <c r="H4566" s="6"/>
      <c r="I4566" s="6"/>
      <c r="J4566" s="6"/>
      <c r="K4566" s="7" t="s">
        <v>3160</v>
      </c>
      <c r="L4566" s="226"/>
      <c r="M4566" s="226" t="str">
        <f t="shared" ref="M4566:M4580" si="587">"PEN"</f>
        <v>PEN</v>
      </c>
      <c r="N4566" s="13"/>
      <c r="O4566" s="227">
        <v>0.7</v>
      </c>
      <c r="P4566" s="228">
        <f t="shared" ref="P4566:P4580" si="588">+IF(OR($F4566="SALDO",$F4566="INGRESO"),$O4566,0)</f>
        <v>0</v>
      </c>
      <c r="Q4566" s="228">
        <f t="shared" ref="Q4566:Q4580" si="589">+IF($F4566="EGRESO",$O4566,0)</f>
        <v>0.7</v>
      </c>
      <c r="R4566" s="228">
        <f>IFERROR(IF(F4566="SALDO",P4566,R4565+P4566-Q4566),0)</f>
        <v>607.76999999996542</v>
      </c>
      <c r="S4566" s="229"/>
      <c r="T4566" s="229"/>
      <c r="U4566" s="55"/>
      <c r="V4566" s="25" t="str">
        <f>IFERROR(VLOOKUP(BCP_Soles[[#This Row],[destinatario]],CHOOSE({1,2},Clientes_Proveedores[Razon Social],Clientes_Proveedores[Ruc / Dni]),2,0),"")</f>
        <v/>
      </c>
      <c r="W4566" s="25"/>
      <c r="X4566" s="25"/>
      <c r="Y4566" s="25"/>
      <c r="Z4566" s="77"/>
      <c r="AA4566" s="228" t="str">
        <f>IF(BCP_Soles[[#This Row],[fecha]]&gt;0,TEXT(BCP_Soles[[#This Row],[fecha]],"mmmm"),0)</f>
        <v>Noviembre</v>
      </c>
    </row>
    <row r="4567" spans="1:27" x14ac:dyDescent="0.3">
      <c r="A4567" s="222">
        <f>IF(BCP_Soles[[#This Row],[tipo_registro]]="R",COUNTIFS($C$1:$C4566,"R")+1,A4566)</f>
        <v>3020</v>
      </c>
      <c r="B4567" s="19" t="str">
        <f t="shared" si="586"/>
        <v>B-BCP - Soles</v>
      </c>
      <c r="C4567" s="3" t="s">
        <v>1330</v>
      </c>
      <c r="D4567" s="223">
        <v>45968</v>
      </c>
      <c r="E4567" s="224"/>
      <c r="F4567" s="224" t="s">
        <v>1303</v>
      </c>
      <c r="G4567" s="6" t="s">
        <v>425</v>
      </c>
      <c r="H4567" s="6"/>
      <c r="I4567" s="6"/>
      <c r="J4567" s="6"/>
      <c r="K4567" s="7" t="s">
        <v>4308</v>
      </c>
      <c r="L4567" s="226">
        <v>6029952</v>
      </c>
      <c r="M4567" s="226" t="str">
        <f t="shared" si="587"/>
        <v>PEN</v>
      </c>
      <c r="N4567" s="13"/>
      <c r="O4567" s="227">
        <v>1475.78</v>
      </c>
      <c r="P4567" s="228">
        <f t="shared" si="588"/>
        <v>1475.78</v>
      </c>
      <c r="Q4567" s="228">
        <f t="shared" si="589"/>
        <v>0</v>
      </c>
      <c r="R4567" s="228">
        <f>IFERROR(IF(F4567="SALDO",P4567,R4566+P4567-Q4567),0)</f>
        <v>2083.5499999999656</v>
      </c>
      <c r="S4567" s="229"/>
      <c r="T4567" s="229"/>
      <c r="U4567" s="55"/>
      <c r="V4567" s="25">
        <f>IFERROR(VLOOKUP(BCP_Soles[[#This Row],[destinatario]],CHOOSE({1,2},Clientes_Proveedores[Razon Social],Clientes_Proveedores[Ruc / Dni]),2,0),"")</f>
        <v>20558226979</v>
      </c>
      <c r="W4567" s="25"/>
      <c r="X4567" s="25"/>
      <c r="Y4567" s="25"/>
      <c r="Z4567" s="77"/>
      <c r="AA4567" s="228" t="str">
        <f>IF(BCP_Soles[[#This Row],[fecha]]&gt;0,TEXT(BCP_Soles[[#This Row],[fecha]],"mmmm"),0)</f>
        <v>Noviembre</v>
      </c>
    </row>
    <row r="4568" spans="1:27" ht="24" x14ac:dyDescent="0.3">
      <c r="A4568" s="222">
        <f>IF(BCP_Soles[[#This Row],[tipo_registro]]="R",COUNTIFS($C$1:$C4567,"R")+1,A4567)</f>
        <v>3021</v>
      </c>
      <c r="B4568" s="19" t="str">
        <f t="shared" si="586"/>
        <v>B-BCP - Soles</v>
      </c>
      <c r="C4568" s="3" t="s">
        <v>1330</v>
      </c>
      <c r="D4568" s="223">
        <v>45968</v>
      </c>
      <c r="E4568" s="5" t="s">
        <v>7356</v>
      </c>
      <c r="F4568" s="224" t="s">
        <v>1303</v>
      </c>
      <c r="G4568" s="6" t="s">
        <v>425</v>
      </c>
      <c r="H4568" s="6" t="s">
        <v>119</v>
      </c>
      <c r="I4568" s="6">
        <v>1</v>
      </c>
      <c r="J4568" s="6">
        <v>4862</v>
      </c>
      <c r="K4568" s="7" t="s">
        <v>3608</v>
      </c>
      <c r="L4568" s="226">
        <v>992100</v>
      </c>
      <c r="M4568" s="226" t="str">
        <f t="shared" si="587"/>
        <v>PEN</v>
      </c>
      <c r="N4568" s="13"/>
      <c r="O4568" s="227">
        <v>30</v>
      </c>
      <c r="P4568" s="228">
        <f t="shared" si="588"/>
        <v>30</v>
      </c>
      <c r="Q4568" s="228">
        <f t="shared" si="589"/>
        <v>0</v>
      </c>
      <c r="R4568" s="228">
        <f>IFERROR(IF(F4568="SALDO",P4568,R4567+P4568-Q4568),0)</f>
        <v>2113.5499999999656</v>
      </c>
      <c r="S4568" s="24" t="s">
        <v>1334</v>
      </c>
      <c r="T4568" s="24" t="s">
        <v>1334</v>
      </c>
      <c r="U4568" s="55"/>
      <c r="V4568" s="25">
        <f>IFERROR(VLOOKUP(BCP_Soles[[#This Row],[destinatario]],CHOOSE({1,2},Clientes_Proveedores[Razon Social],Clientes_Proveedores[Ruc / Dni]),2,0),"")</f>
        <v>20558226979</v>
      </c>
      <c r="W4568" s="25"/>
      <c r="X4568" s="25"/>
      <c r="Y4568" s="25"/>
      <c r="Z4568" s="77"/>
      <c r="AA4568" s="228" t="str">
        <f>IF(BCP_Soles[[#This Row],[fecha]]&gt;0,TEXT(BCP_Soles[[#This Row],[fecha]],"mmmm"),0)</f>
        <v>Noviembre</v>
      </c>
    </row>
    <row r="4569" spans="1:27" ht="36" x14ac:dyDescent="0.3">
      <c r="A4569" s="222">
        <f>IF(BCP_Soles[[#This Row],[tipo_registro]]="R",COUNTIFS($C$1:$C4568,"R")+1,A4568)</f>
        <v>3022</v>
      </c>
      <c r="B4569" s="19" t="str">
        <f t="shared" si="586"/>
        <v>B-BCP - Soles</v>
      </c>
      <c r="C4569" s="3" t="s">
        <v>1330</v>
      </c>
      <c r="D4569" s="223">
        <v>45968</v>
      </c>
      <c r="E4569" s="224" t="s">
        <v>555</v>
      </c>
      <c r="F4569" s="224" t="s">
        <v>1303</v>
      </c>
      <c r="G4569" s="6" t="s">
        <v>425</v>
      </c>
      <c r="H4569" s="6"/>
      <c r="I4569" s="6"/>
      <c r="J4569" s="6"/>
      <c r="K4569" s="7" t="s">
        <v>4112</v>
      </c>
      <c r="L4569" s="226">
        <v>7361473</v>
      </c>
      <c r="M4569" s="226" t="str">
        <f t="shared" si="587"/>
        <v>PEN</v>
      </c>
      <c r="N4569" s="13"/>
      <c r="O4569" s="227">
        <v>1325.13</v>
      </c>
      <c r="P4569" s="228">
        <f t="shared" si="588"/>
        <v>1325.13</v>
      </c>
      <c r="Q4569" s="228">
        <f t="shared" si="589"/>
        <v>0</v>
      </c>
      <c r="R4569" s="228">
        <f>IFERROR(IF(F4569="SALDO",P4569,R4568+P4569-Q4569),0)</f>
        <v>3438.6799999999657</v>
      </c>
      <c r="S4569" s="24" t="s">
        <v>1334</v>
      </c>
      <c r="T4569" s="24" t="s">
        <v>1334</v>
      </c>
      <c r="U4569" s="55"/>
      <c r="V4569" s="25">
        <f>IFERROR(VLOOKUP(BCP_Soles[[#This Row],[destinatario]],CHOOSE({1,2},Clientes_Proveedores[Razon Social],Clientes_Proveedores[Ruc / Dni]),2,0),"")</f>
        <v>20558226979</v>
      </c>
      <c r="W4569" s="25"/>
      <c r="X4569" s="25"/>
      <c r="Y4569" s="25"/>
      <c r="Z4569" s="77"/>
      <c r="AA4569" s="228" t="str">
        <f>IF(BCP_Soles[[#This Row],[fecha]]&gt;0,TEXT(BCP_Soles[[#This Row],[fecha]],"mmmm"),0)</f>
        <v>Noviembre</v>
      </c>
    </row>
    <row r="4570" spans="1:27" ht="36" x14ac:dyDescent="0.3">
      <c r="A4570" s="222">
        <f>IF(BCP_Soles[[#This Row],[tipo_registro]]="R",COUNTIFS($C$1:$C4569,"R")+1,A4569)</f>
        <v>3022</v>
      </c>
      <c r="B4570" s="19" t="str">
        <f t="shared" si="586"/>
        <v>B-BCP - Soles</v>
      </c>
      <c r="C4570" s="3" t="s">
        <v>1352</v>
      </c>
      <c r="D4570" s="223">
        <v>45968</v>
      </c>
      <c r="E4570" s="224" t="s">
        <v>555</v>
      </c>
      <c r="F4570" s="224" t="s">
        <v>1303</v>
      </c>
      <c r="G4570" s="6" t="s">
        <v>425</v>
      </c>
      <c r="H4570" s="6" t="s">
        <v>68</v>
      </c>
      <c r="I4570" s="6" t="s">
        <v>3381</v>
      </c>
      <c r="J4570" s="6">
        <v>80</v>
      </c>
      <c r="K4570" s="7" t="s">
        <v>4112</v>
      </c>
      <c r="L4570" s="226">
        <v>7361473</v>
      </c>
      <c r="M4570" s="226" t="str">
        <f t="shared" si="587"/>
        <v>PEN</v>
      </c>
      <c r="N4570" s="13">
        <v>695.33</v>
      </c>
      <c r="O4570" s="227"/>
      <c r="P4570" s="228">
        <f t="shared" si="588"/>
        <v>0</v>
      </c>
      <c r="Q4570" s="228">
        <f t="shared" si="589"/>
        <v>0</v>
      </c>
      <c r="R4570" s="228">
        <f>IFERROR(IF(F4570="SALDO",P4570,R4569+P4570-Q4570),0)</f>
        <v>3438.6799999999657</v>
      </c>
      <c r="S4570" s="24" t="s">
        <v>1334</v>
      </c>
      <c r="T4570" s="24" t="s">
        <v>1334</v>
      </c>
      <c r="U4570" s="55"/>
      <c r="V4570" s="25">
        <f>IFERROR(VLOOKUP(BCP_Soles[[#This Row],[destinatario]],CHOOSE({1,2},Clientes_Proveedores[Razon Social],Clientes_Proveedores[Ruc / Dni]),2,0),"")</f>
        <v>20558226979</v>
      </c>
      <c r="W4570" s="25"/>
      <c r="X4570" s="25"/>
      <c r="Y4570" s="25"/>
      <c r="Z4570" s="77"/>
      <c r="AA4570" s="228" t="str">
        <f>IF(BCP_Soles[[#This Row],[fecha]]&gt;0,TEXT(BCP_Soles[[#This Row],[fecha]],"mmmm"),0)</f>
        <v>Noviembre</v>
      </c>
    </row>
    <row r="4571" spans="1:27" ht="36" x14ac:dyDescent="0.3">
      <c r="A4571" s="222">
        <f>IF(BCP_Soles[[#This Row],[tipo_registro]]="R",COUNTIFS($C$1:$C4570,"R")+1,A4570)</f>
        <v>3022</v>
      </c>
      <c r="B4571" s="19" t="str">
        <f t="shared" si="586"/>
        <v>B-BCP - Soles</v>
      </c>
      <c r="C4571" s="3" t="s">
        <v>1352</v>
      </c>
      <c r="D4571" s="223">
        <v>45968</v>
      </c>
      <c r="E4571" s="224" t="s">
        <v>555</v>
      </c>
      <c r="F4571" s="224" t="s">
        <v>1303</v>
      </c>
      <c r="G4571" s="6" t="s">
        <v>425</v>
      </c>
      <c r="H4571" s="6" t="s">
        <v>68</v>
      </c>
      <c r="I4571" s="6" t="s">
        <v>3381</v>
      </c>
      <c r="J4571" s="6">
        <v>81</v>
      </c>
      <c r="K4571" s="7" t="s">
        <v>4112</v>
      </c>
      <c r="L4571" s="226">
        <v>7361473</v>
      </c>
      <c r="M4571" s="226" t="str">
        <f t="shared" si="587"/>
        <v>PEN</v>
      </c>
      <c r="N4571" s="13">
        <v>629.79999999999995</v>
      </c>
      <c r="O4571" s="227"/>
      <c r="P4571" s="228">
        <f t="shared" si="588"/>
        <v>0</v>
      </c>
      <c r="Q4571" s="228">
        <f t="shared" si="589"/>
        <v>0</v>
      </c>
      <c r="R4571" s="228">
        <f t="shared" ref="R4571" si="590">IFERROR(IF(F4571="SALDO",P4571,R4570+P4571-Q4571),0)</f>
        <v>3438.6799999999657</v>
      </c>
      <c r="S4571" s="24" t="s">
        <v>1334</v>
      </c>
      <c r="T4571" s="24" t="s">
        <v>1334</v>
      </c>
      <c r="U4571" s="55"/>
      <c r="V4571" s="25">
        <f>IFERROR(VLOOKUP(BCP_Soles[[#This Row],[destinatario]],CHOOSE({1,2},Clientes_Proveedores[Razon Social],Clientes_Proveedores[Ruc / Dni]),2,0),"")</f>
        <v>20558226979</v>
      </c>
      <c r="W4571" s="25"/>
      <c r="X4571" s="25"/>
      <c r="Y4571" s="25"/>
      <c r="Z4571" s="77"/>
      <c r="AA4571" s="228" t="str">
        <f>IF(BCP_Soles[[#This Row],[fecha]]&gt;0,TEXT(BCP_Soles[[#This Row],[fecha]],"mmmm"),0)</f>
        <v>Noviembre</v>
      </c>
    </row>
    <row r="4572" spans="1:27" x14ac:dyDescent="0.3">
      <c r="A4572" s="222">
        <f>IF(BCP_Soles[[#This Row],[tipo_registro]]="R",COUNTIFS($C$1:$C4571,"R")+1,A4571)</f>
        <v>3023</v>
      </c>
      <c r="B4572" s="19" t="str">
        <f t="shared" si="586"/>
        <v>B-BCP - Soles</v>
      </c>
      <c r="C4572" s="3" t="s">
        <v>1330</v>
      </c>
      <c r="D4572" s="223">
        <v>45968</v>
      </c>
      <c r="E4572" s="224" t="s">
        <v>286</v>
      </c>
      <c r="F4572" s="224" t="s">
        <v>1303</v>
      </c>
      <c r="G4572" s="6" t="s">
        <v>425</v>
      </c>
      <c r="H4572" s="6"/>
      <c r="I4572" s="6"/>
      <c r="J4572" s="6"/>
      <c r="K4572" s="7" t="s">
        <v>4024</v>
      </c>
      <c r="L4572" s="226">
        <v>2619</v>
      </c>
      <c r="M4572" s="226" t="str">
        <f t="shared" si="587"/>
        <v>PEN</v>
      </c>
      <c r="N4572" s="13"/>
      <c r="O4572" s="227">
        <v>3299.83</v>
      </c>
      <c r="P4572" s="228">
        <f t="shared" si="588"/>
        <v>3299.83</v>
      </c>
      <c r="Q4572" s="228">
        <f t="shared" si="589"/>
        <v>0</v>
      </c>
      <c r="R4572" s="228">
        <f>IFERROR(IF(F4572="SALDO",P4572,R4571+P4572-Q4572),0)</f>
        <v>6738.5099999999657</v>
      </c>
      <c r="S4572" s="24" t="s">
        <v>1334</v>
      </c>
      <c r="T4572" s="24" t="s">
        <v>1334</v>
      </c>
      <c r="U4572" s="55"/>
      <c r="V4572" s="25">
        <f>IFERROR(VLOOKUP(BCP_Soles[[#This Row],[destinatario]],CHOOSE({1,2},Clientes_Proveedores[Razon Social],Clientes_Proveedores[Ruc / Dni]),2,0),"")</f>
        <v>20558226979</v>
      </c>
      <c r="W4572" s="25"/>
      <c r="X4572" s="25"/>
      <c r="Y4572" s="25"/>
      <c r="Z4572" s="77"/>
      <c r="AA4572" s="228" t="str">
        <f>IF(BCP_Soles[[#This Row],[fecha]]&gt;0,TEXT(BCP_Soles[[#This Row],[fecha]],"mmmm"),0)</f>
        <v>Noviembre</v>
      </c>
    </row>
    <row r="4573" spans="1:27" x14ac:dyDescent="0.3">
      <c r="A4573" s="222">
        <f>IF(BCP_Soles[[#This Row],[tipo_registro]]="R",COUNTIFS($C$1:$C4572,"R")+1,A4572)</f>
        <v>3023</v>
      </c>
      <c r="B4573" s="19" t="str">
        <f>"B-BCP - Soles"</f>
        <v>B-BCP - Soles</v>
      </c>
      <c r="C4573" s="3" t="s">
        <v>1352</v>
      </c>
      <c r="D4573" s="223">
        <v>45968</v>
      </c>
      <c r="E4573" s="224" t="s">
        <v>286</v>
      </c>
      <c r="F4573" s="224" t="s">
        <v>1303</v>
      </c>
      <c r="G4573" s="6" t="s">
        <v>425</v>
      </c>
      <c r="H4573" s="6" t="s">
        <v>68</v>
      </c>
      <c r="I4573" s="6" t="s">
        <v>1784</v>
      </c>
      <c r="J4573" s="6">
        <v>301</v>
      </c>
      <c r="K4573" s="7" t="s">
        <v>4024</v>
      </c>
      <c r="L4573" s="226">
        <v>2619</v>
      </c>
      <c r="M4573" s="226" t="str">
        <f>"PEN"</f>
        <v>PEN</v>
      </c>
      <c r="N4573" s="13">
        <v>1035.46</v>
      </c>
      <c r="O4573" s="227"/>
      <c r="P4573" s="228">
        <f>+IF(OR($F4573="SALDO",$F4573="INGRESO"),$O4573,0)</f>
        <v>0</v>
      </c>
      <c r="Q4573" s="228">
        <f>+IF($F4573="EGRESO",$O4573,0)</f>
        <v>0</v>
      </c>
      <c r="R4573" s="228">
        <f>IFERROR(IF(F4573="SALDO",P4573,R4572+P4573-Q4573),0)</f>
        <v>6738.5099999999657</v>
      </c>
      <c r="S4573" s="24" t="s">
        <v>1334</v>
      </c>
      <c r="T4573" s="24" t="s">
        <v>1334</v>
      </c>
      <c r="U4573" s="55"/>
      <c r="V4573" s="25">
        <f>IFERROR(VLOOKUP(BCP_Soles[[#This Row],[destinatario]],CHOOSE({1,2},Clientes_Proveedores[Razon Social],Clientes_Proveedores[Ruc / Dni]),2,0),"")</f>
        <v>20558226979</v>
      </c>
      <c r="W4573" s="25"/>
      <c r="X4573" s="25"/>
      <c r="Y4573" s="25"/>
      <c r="Z4573" s="77"/>
      <c r="AA4573" s="228" t="str">
        <f>IF(BCP_Soles[[#This Row],[fecha]]&gt;0,TEXT(BCP_Soles[[#This Row],[fecha]],"mmmm"),0)</f>
        <v>Noviembre</v>
      </c>
    </row>
    <row r="4574" spans="1:27" x14ac:dyDescent="0.3">
      <c r="A4574" s="222">
        <f>IF(BCP_Soles[[#This Row],[tipo_registro]]="R",COUNTIFS($C$1:$C4573,"R")+1,A4573)</f>
        <v>3023</v>
      </c>
      <c r="B4574" s="19" t="str">
        <f>"B-BCP - Soles"</f>
        <v>B-BCP - Soles</v>
      </c>
      <c r="C4574" s="3" t="s">
        <v>1352</v>
      </c>
      <c r="D4574" s="223">
        <v>45968</v>
      </c>
      <c r="E4574" s="224" t="s">
        <v>286</v>
      </c>
      <c r="F4574" s="224" t="s">
        <v>1303</v>
      </c>
      <c r="G4574" s="6" t="s">
        <v>425</v>
      </c>
      <c r="H4574" s="6" t="s">
        <v>68</v>
      </c>
      <c r="I4574" s="6" t="s">
        <v>1784</v>
      </c>
      <c r="J4574" s="6">
        <v>307</v>
      </c>
      <c r="K4574" s="7" t="s">
        <v>4024</v>
      </c>
      <c r="L4574" s="226">
        <v>2619</v>
      </c>
      <c r="M4574" s="226" t="str">
        <f>"PEN"</f>
        <v>PEN</v>
      </c>
      <c r="N4574" s="13">
        <v>2264.37</v>
      </c>
      <c r="O4574" s="227"/>
      <c r="P4574" s="228">
        <f>+IF(OR($F4574="SALDO",$F4574="INGRESO"),$O4574,0)</f>
        <v>0</v>
      </c>
      <c r="Q4574" s="228">
        <f>+IF($F4574="EGRESO",$O4574,0)</f>
        <v>0</v>
      </c>
      <c r="R4574" s="228">
        <f t="shared" ref="R4574:R4575" si="591">IFERROR(IF(F4574="SALDO",P4574,R4573+P4574-Q4574),0)</f>
        <v>6738.5099999999657</v>
      </c>
      <c r="S4574" s="24" t="s">
        <v>1334</v>
      </c>
      <c r="T4574" s="24" t="s">
        <v>1334</v>
      </c>
      <c r="U4574" s="55"/>
      <c r="V4574" s="25">
        <f>IFERROR(VLOOKUP(BCP_Soles[[#This Row],[destinatario]],CHOOSE({1,2},Clientes_Proveedores[Razon Social],Clientes_Proveedores[Ruc / Dni]),2,0),"")</f>
        <v>20558226979</v>
      </c>
      <c r="W4574" s="25"/>
      <c r="X4574" s="25"/>
      <c r="Y4574" s="25"/>
      <c r="Z4574" s="77"/>
      <c r="AA4574" s="228" t="str">
        <f>IF(BCP_Soles[[#This Row],[fecha]]&gt;0,TEXT(BCP_Soles[[#This Row],[fecha]],"mmmm"),0)</f>
        <v>Noviembre</v>
      </c>
    </row>
    <row r="4575" spans="1:27" ht="24" x14ac:dyDescent="0.3">
      <c r="A4575" s="222">
        <f>IF(BCP_Soles[[#This Row],[tipo_registro]]="R",COUNTIFS($C$1:$C4574,"R")+1,A4574)</f>
        <v>3024</v>
      </c>
      <c r="B4575" s="19" t="str">
        <f t="shared" si="586"/>
        <v>B-BCP - Soles</v>
      </c>
      <c r="C4575" s="3" t="s">
        <v>1330</v>
      </c>
      <c r="D4575" s="223">
        <v>45968</v>
      </c>
      <c r="E4575" s="5" t="s">
        <v>2409</v>
      </c>
      <c r="F4575" s="224" t="s">
        <v>1303</v>
      </c>
      <c r="G4575" s="6" t="s">
        <v>425</v>
      </c>
      <c r="H4575" s="6" t="s">
        <v>119</v>
      </c>
      <c r="I4575" s="6">
        <v>1</v>
      </c>
      <c r="J4575" s="6">
        <v>4901</v>
      </c>
      <c r="K4575" s="7" t="s">
        <v>3608</v>
      </c>
      <c r="L4575" s="226">
        <v>2637587</v>
      </c>
      <c r="M4575" s="226" t="str">
        <f t="shared" si="587"/>
        <v>PEN</v>
      </c>
      <c r="N4575" s="13"/>
      <c r="O4575" s="227">
        <v>300</v>
      </c>
      <c r="P4575" s="228">
        <f t="shared" si="588"/>
        <v>300</v>
      </c>
      <c r="Q4575" s="228">
        <f t="shared" si="589"/>
        <v>0</v>
      </c>
      <c r="R4575" s="228">
        <f t="shared" si="591"/>
        <v>7038.5099999999657</v>
      </c>
      <c r="S4575" s="24" t="s">
        <v>1334</v>
      </c>
      <c r="T4575" s="24" t="s">
        <v>1334</v>
      </c>
      <c r="U4575" s="55"/>
      <c r="V4575" s="25">
        <f>IFERROR(VLOOKUP(BCP_Soles[[#This Row],[destinatario]],CHOOSE({1,2},Clientes_Proveedores[Razon Social],Clientes_Proveedores[Ruc / Dni]),2,0),"")</f>
        <v>20558226979</v>
      </c>
      <c r="W4575" s="25"/>
      <c r="X4575" s="25"/>
      <c r="Y4575" s="25"/>
      <c r="Z4575" s="77"/>
      <c r="AA4575" s="228" t="str">
        <f>IF(BCP_Soles[[#This Row],[fecha]]&gt;0,TEXT(BCP_Soles[[#This Row],[fecha]],"mmmm"),0)</f>
        <v>Noviembre</v>
      </c>
    </row>
    <row r="4576" spans="1:27" ht="36" x14ac:dyDescent="0.3">
      <c r="A4576" s="222">
        <f>IF(BCP_Soles[[#This Row],[tipo_registro]]="R",COUNTIFS($C$1:$C4575,"R")+1,A4575)</f>
        <v>3025</v>
      </c>
      <c r="B4576" s="19" t="str">
        <f>"B-BCP - Soles"</f>
        <v>B-BCP - Soles</v>
      </c>
      <c r="C4576" s="3" t="s">
        <v>1330</v>
      </c>
      <c r="D4576" s="223">
        <v>45968</v>
      </c>
      <c r="E4576" s="5" t="s">
        <v>1628</v>
      </c>
      <c r="F4576" s="224" t="s">
        <v>1303</v>
      </c>
      <c r="G4576" s="6" t="s">
        <v>425</v>
      </c>
      <c r="H4576" s="6" t="s">
        <v>119</v>
      </c>
      <c r="I4576" s="6">
        <v>2</v>
      </c>
      <c r="J4576" s="6">
        <v>866</v>
      </c>
      <c r="K4576" s="7" t="s">
        <v>3608</v>
      </c>
      <c r="L4576" s="226">
        <v>3989352</v>
      </c>
      <c r="M4576" s="226" t="str">
        <f>"PEN"</f>
        <v>PEN</v>
      </c>
      <c r="N4576" s="13"/>
      <c r="O4576" s="227">
        <v>6500</v>
      </c>
      <c r="P4576" s="228">
        <f>+IF(OR($F4576="SALDO",$F4576="INGRESO"),$O4576,0)</f>
        <v>6500</v>
      </c>
      <c r="Q4576" s="228">
        <f>+IF($F4576="EGRESO",$O4576,0)</f>
        <v>0</v>
      </c>
      <c r="R4576" s="228">
        <f>IFERROR(IF(F4576="SALDO",P4576,R4575+P4576-Q4576),0)</f>
        <v>13538.509999999966</v>
      </c>
      <c r="S4576" s="24" t="s">
        <v>1334</v>
      </c>
      <c r="T4576" s="24" t="s">
        <v>1334</v>
      </c>
      <c r="U4576" s="55"/>
      <c r="V4576" s="25">
        <f>IFERROR(VLOOKUP(BCP_Soles[[#This Row],[destinatario]],CHOOSE({1,2},Clientes_Proveedores[Razon Social],Clientes_Proveedores[Ruc / Dni]),2,0),"")</f>
        <v>20558226979</v>
      </c>
      <c r="W4576" s="25"/>
      <c r="X4576" s="25"/>
      <c r="Y4576" s="25"/>
      <c r="Z4576" s="77"/>
      <c r="AA4576" s="228" t="str">
        <f>IF(BCP_Soles[[#This Row],[fecha]]&gt;0,TEXT(BCP_Soles[[#This Row],[fecha]],"mmmm"),0)</f>
        <v>Noviembre</v>
      </c>
    </row>
    <row r="4577" spans="1:27" ht="36" x14ac:dyDescent="0.3">
      <c r="A4577" s="222">
        <f>IF(BCP_Soles[[#This Row],[tipo_registro]]="R",COUNTIFS($C$1:$C4576,"R")+1,A4576)</f>
        <v>3026</v>
      </c>
      <c r="B4577" s="19" t="str">
        <f t="shared" si="586"/>
        <v>B-BCP - Soles</v>
      </c>
      <c r="C4577" s="3" t="s">
        <v>1330</v>
      </c>
      <c r="D4577" s="223">
        <v>45968</v>
      </c>
      <c r="E4577" s="158" t="s">
        <v>1338</v>
      </c>
      <c r="F4577" s="224" t="s">
        <v>1336</v>
      </c>
      <c r="G4577" s="6" t="s">
        <v>588</v>
      </c>
      <c r="H4577" s="6" t="s">
        <v>68</v>
      </c>
      <c r="I4577" s="6" t="s">
        <v>1376</v>
      </c>
      <c r="J4577" s="6">
        <v>550</v>
      </c>
      <c r="K4577" s="7" t="s">
        <v>9384</v>
      </c>
      <c r="L4577" s="8">
        <v>1255844</v>
      </c>
      <c r="M4577" s="226" t="str">
        <f t="shared" si="587"/>
        <v>PEN</v>
      </c>
      <c r="N4577" s="13"/>
      <c r="O4577" s="227">
        <v>94.28</v>
      </c>
      <c r="P4577" s="228">
        <f t="shared" si="588"/>
        <v>0</v>
      </c>
      <c r="Q4577" s="228">
        <f t="shared" si="589"/>
        <v>94.28</v>
      </c>
      <c r="R4577" s="228">
        <f>IFERROR(IF(F4577="SALDO",P4577,R4576+P4577-Q4577),0)</f>
        <v>13444.229999999965</v>
      </c>
      <c r="S4577" s="24" t="s">
        <v>1334</v>
      </c>
      <c r="T4577" s="24" t="s">
        <v>1334</v>
      </c>
      <c r="U4577" s="55"/>
      <c r="V4577" s="25">
        <f>IFERROR(VLOOKUP(BCP_Soles[[#This Row],[destinatario]],CHOOSE({1,2},Clientes_Proveedores[Razon Social],Clientes_Proveedores[Ruc / Dni]),2,0),"")</f>
        <v>20609368773</v>
      </c>
      <c r="W4577" s="25"/>
      <c r="X4577" s="25"/>
      <c r="Y4577" s="25"/>
      <c r="Z4577" s="77"/>
      <c r="AA4577" s="228" t="str">
        <f>IF(BCP_Soles[[#This Row],[fecha]]&gt;0,TEXT(BCP_Soles[[#This Row],[fecha]],"mmmm"),0)</f>
        <v>Noviembre</v>
      </c>
    </row>
    <row r="4578" spans="1:27" ht="24" x14ac:dyDescent="0.3">
      <c r="A4578" s="230">
        <f>IF(BCP_Soles[[#This Row],[tipo_registro]]="R",COUNTIFS($C$1:$C4577,"R")+1,A4577)</f>
        <v>3027</v>
      </c>
      <c r="B4578" s="74" t="str">
        <f t="shared" si="586"/>
        <v>B-BCP - Soles</v>
      </c>
      <c r="C4578" s="73" t="s">
        <v>1330</v>
      </c>
      <c r="D4578" s="223">
        <v>45968</v>
      </c>
      <c r="E4578" s="231" t="s">
        <v>1338</v>
      </c>
      <c r="F4578" s="224" t="s">
        <v>1336</v>
      </c>
      <c r="G4578" s="6" t="s">
        <v>708</v>
      </c>
      <c r="H4578" s="6"/>
      <c r="I4578" s="6"/>
      <c r="J4578" s="6"/>
      <c r="K4578" s="7" t="s">
        <v>4895</v>
      </c>
      <c r="L4578" s="226">
        <v>252475</v>
      </c>
      <c r="M4578" s="226" t="str">
        <f t="shared" si="587"/>
        <v>PEN</v>
      </c>
      <c r="N4578" s="9"/>
      <c r="O4578" s="232">
        <v>38.700000000000003</v>
      </c>
      <c r="P4578" s="233">
        <f t="shared" si="588"/>
        <v>0</v>
      </c>
      <c r="Q4578" s="233">
        <f t="shared" si="589"/>
        <v>38.700000000000003</v>
      </c>
      <c r="R4578" s="233">
        <f>IFERROR(IF(F4578="SALDO",P4578,R4577+P4578-Q4578),0)</f>
        <v>13405.529999999964</v>
      </c>
      <c r="S4578" s="234"/>
      <c r="T4578" s="234"/>
      <c r="U4578" s="161"/>
      <c r="V4578" s="72">
        <f>IFERROR(VLOOKUP(BCP_Soles[[#This Row],[destinatario]],CHOOSE({1,2},Clientes_Proveedores[Razon Social],Clientes_Proveedores[Ruc / Dni]),2,0),"")</f>
        <v>20467534026</v>
      </c>
      <c r="W4578" s="72"/>
      <c r="X4578" s="72"/>
      <c r="Y4578" s="72"/>
      <c r="Z4578" s="78"/>
      <c r="AA4578" s="233" t="str">
        <f>IF(BCP_Soles[[#This Row],[fecha]]&gt;0,TEXT(BCP_Soles[[#This Row],[fecha]],"mmmm"),0)</f>
        <v>Noviembre</v>
      </c>
    </row>
    <row r="4579" spans="1:27" ht="24" x14ac:dyDescent="0.3">
      <c r="A4579" s="222">
        <f>IF(BCP_Soles[[#This Row],[tipo_registro]]="R",COUNTIFS($C$1:$C4578,"R")+1,A4578)</f>
        <v>3028</v>
      </c>
      <c r="B4579" s="19" t="str">
        <f t="shared" si="586"/>
        <v>B-BCP - Soles</v>
      </c>
      <c r="C4579" s="3" t="s">
        <v>1330</v>
      </c>
      <c r="D4579" s="223">
        <v>45968</v>
      </c>
      <c r="E4579" s="231" t="s">
        <v>1338</v>
      </c>
      <c r="F4579" s="224" t="s">
        <v>1336</v>
      </c>
      <c r="G4579" s="6"/>
      <c r="H4579" s="6"/>
      <c r="I4579" s="6"/>
      <c r="J4579" s="6"/>
      <c r="K4579" s="7" t="s">
        <v>9394</v>
      </c>
      <c r="L4579" s="226">
        <v>1253413</v>
      </c>
      <c r="M4579" s="226" t="str">
        <f t="shared" si="587"/>
        <v>PEN</v>
      </c>
      <c r="N4579" s="13"/>
      <c r="O4579" s="227">
        <v>636</v>
      </c>
      <c r="P4579" s="228">
        <f t="shared" si="588"/>
        <v>0</v>
      </c>
      <c r="Q4579" s="228">
        <f t="shared" si="589"/>
        <v>636</v>
      </c>
      <c r="R4579" s="228">
        <f>IFERROR(IF(F4579="SALDO",P4579,R4578+P4579-Q4579),0)</f>
        <v>12769.529999999964</v>
      </c>
      <c r="S4579" s="229"/>
      <c r="T4579" s="229"/>
      <c r="U4579" s="55"/>
      <c r="V4579" s="25" t="str">
        <f>IFERROR(VLOOKUP(BCP_Soles[[#This Row],[destinatario]],CHOOSE({1,2},Clientes_Proveedores[Razon Social],Clientes_Proveedores[Ruc / Dni]),2,0),"")</f>
        <v/>
      </c>
      <c r="W4579" s="25"/>
      <c r="X4579" s="25"/>
      <c r="Y4579" s="25"/>
      <c r="Z4579" s="77"/>
      <c r="AA4579" s="228" t="str">
        <f>IF(BCP_Soles[[#This Row],[fecha]]&gt;0,TEXT(BCP_Soles[[#This Row],[fecha]],"mmmm"),0)</f>
        <v>Noviembre</v>
      </c>
    </row>
    <row r="4580" spans="1:27" ht="36" x14ac:dyDescent="0.3">
      <c r="A4580" s="222">
        <f>IF(BCP_Soles[[#This Row],[tipo_registro]]="R",COUNTIFS($C$1:$C4579,"R")+1,A4579)</f>
        <v>3029</v>
      </c>
      <c r="B4580" s="19" t="str">
        <f t="shared" si="586"/>
        <v>B-BCP - Soles</v>
      </c>
      <c r="C4580" s="3" t="s">
        <v>1330</v>
      </c>
      <c r="D4580" s="223">
        <v>45968</v>
      </c>
      <c r="E4580" s="231" t="s">
        <v>1338</v>
      </c>
      <c r="F4580" s="224" t="s">
        <v>1336</v>
      </c>
      <c r="G4580" s="6" t="s">
        <v>442</v>
      </c>
      <c r="H4580" s="6"/>
      <c r="I4580" s="6"/>
      <c r="J4580" s="6"/>
      <c r="K4580" s="225" t="s">
        <v>9393</v>
      </c>
      <c r="L4580" s="226">
        <v>1254406</v>
      </c>
      <c r="M4580" s="226" t="str">
        <f t="shared" si="587"/>
        <v>PEN</v>
      </c>
      <c r="N4580" s="13"/>
      <c r="O4580" s="227">
        <v>389.4</v>
      </c>
      <c r="P4580" s="228">
        <f t="shared" si="588"/>
        <v>0</v>
      </c>
      <c r="Q4580" s="228">
        <f t="shared" si="589"/>
        <v>389.4</v>
      </c>
      <c r="R4580" s="228">
        <f>IFERROR(IF(F4580="SALDO",P4580,R4579+P4580-Q4580),0)</f>
        <v>12380.129999999965</v>
      </c>
      <c r="S4580" s="229"/>
      <c r="T4580" s="229"/>
      <c r="U4580" s="55"/>
      <c r="V4580" s="25">
        <f>IFERROR(VLOOKUP(BCP_Soles[[#This Row],[destinatario]],CHOOSE({1,2},Clientes_Proveedores[Razon Social],Clientes_Proveedores[Ruc / Dni]),2,0),"")</f>
        <v>20563371995</v>
      </c>
      <c r="W4580" s="25"/>
      <c r="X4580" s="25"/>
      <c r="Y4580" s="25"/>
      <c r="Z4580" s="77"/>
      <c r="AA4580" s="228" t="str">
        <f>IF(BCP_Soles[[#This Row],[fecha]]&gt;0,TEXT(BCP_Soles[[#This Row],[fecha]],"mmmm"),0)</f>
        <v>Noviembre</v>
      </c>
    </row>
    <row r="4581" spans="1:27" x14ac:dyDescent="0.3">
      <c r="A4581" s="222">
        <f>IF(BCP_Soles[[#This Row],[tipo_registro]]="R",COUNTIFS($C$1:$C4580,"R")+1,A4580)</f>
        <v>3030</v>
      </c>
      <c r="B4581" s="19" t="str">
        <f t="shared" ref="B4581:B4583" si="592">"B-BCP - Soles"</f>
        <v>B-BCP - Soles</v>
      </c>
      <c r="C4581" s="3" t="s">
        <v>1330</v>
      </c>
      <c r="D4581" s="223">
        <v>45968</v>
      </c>
      <c r="E4581" s="231" t="s">
        <v>1338</v>
      </c>
      <c r="F4581" s="224" t="s">
        <v>1336</v>
      </c>
      <c r="G4581" s="6" t="s">
        <v>196</v>
      </c>
      <c r="H4581" s="6" t="s">
        <v>68</v>
      </c>
      <c r="I4581" s="6" t="s">
        <v>2226</v>
      </c>
      <c r="J4581" s="6">
        <v>7157</v>
      </c>
      <c r="K4581" s="7" t="s">
        <v>2227</v>
      </c>
      <c r="L4581" s="226">
        <v>252949</v>
      </c>
      <c r="M4581" s="226" t="str">
        <f t="shared" ref="M4581:M4583" si="593">"PEN"</f>
        <v>PEN</v>
      </c>
      <c r="N4581" s="13"/>
      <c r="O4581" s="227">
        <v>1564.21</v>
      </c>
      <c r="P4581" s="228">
        <f t="shared" ref="P4581:P4583" si="594">+IF(OR($F4581="SALDO",$F4581="INGRESO"),$O4581,0)</f>
        <v>0</v>
      </c>
      <c r="Q4581" s="228">
        <f t="shared" ref="Q4581:Q4583" si="595">+IF($F4581="EGRESO",$O4581,0)</f>
        <v>1564.21</v>
      </c>
      <c r="R4581" s="228">
        <f t="shared" ref="R4581:R4583" si="596">IFERROR(IF(F4581="SALDO",P4581,R4580+P4581-Q4581),0)</f>
        <v>10815.919999999966</v>
      </c>
      <c r="S4581" s="24" t="s">
        <v>1334</v>
      </c>
      <c r="T4581" s="24" t="s">
        <v>1334</v>
      </c>
      <c r="U4581" s="55"/>
      <c r="V4581" s="25">
        <f>IFERROR(VLOOKUP(BCP_Soles[[#This Row],[destinatario]],CHOOSE({1,2},Clientes_Proveedores[Razon Social],Clientes_Proveedores[Ruc / Dni]),2,0),"")</f>
        <v>20100055237</v>
      </c>
      <c r="W4581" s="25"/>
      <c r="X4581" s="25"/>
      <c r="Y4581" s="25"/>
      <c r="Z4581" s="77"/>
      <c r="AA4581" s="228" t="str">
        <f>IF(BCP_Soles[[#This Row],[fecha]]&gt;0,TEXT(BCP_Soles[[#This Row],[fecha]],"mmmm"),0)</f>
        <v>Noviembre</v>
      </c>
    </row>
    <row r="4582" spans="1:27" x14ac:dyDescent="0.3">
      <c r="A4582" s="222">
        <f>IF(BCP_Soles[[#This Row],[tipo_registro]]="R",COUNTIFS($C$1:$C4581,"R")+1,A4581)</f>
        <v>3031</v>
      </c>
      <c r="B4582" s="19" t="str">
        <f t="shared" si="592"/>
        <v>B-BCP - Soles</v>
      </c>
      <c r="C4582" s="3" t="s">
        <v>1330</v>
      </c>
      <c r="D4582" s="223">
        <v>45968</v>
      </c>
      <c r="E4582" s="231" t="s">
        <v>1338</v>
      </c>
      <c r="F4582" s="224" t="s">
        <v>1336</v>
      </c>
      <c r="G4582" s="6" t="s">
        <v>196</v>
      </c>
      <c r="H4582" s="6" t="s">
        <v>68</v>
      </c>
      <c r="I4582" s="6" t="s">
        <v>2226</v>
      </c>
      <c r="J4582" s="6">
        <v>7158</v>
      </c>
      <c r="K4582" s="7" t="s">
        <v>2227</v>
      </c>
      <c r="L4582" s="226">
        <v>255843</v>
      </c>
      <c r="M4582" s="226" t="str">
        <f t="shared" si="593"/>
        <v>PEN</v>
      </c>
      <c r="N4582" s="13"/>
      <c r="O4582" s="227">
        <v>1366.04</v>
      </c>
      <c r="P4582" s="228">
        <f t="shared" si="594"/>
        <v>0</v>
      </c>
      <c r="Q4582" s="228">
        <f t="shared" si="595"/>
        <v>1366.04</v>
      </c>
      <c r="R4582" s="228">
        <f t="shared" si="596"/>
        <v>9449.8799999999646</v>
      </c>
      <c r="S4582" s="24" t="s">
        <v>1334</v>
      </c>
      <c r="T4582" s="24" t="s">
        <v>1334</v>
      </c>
      <c r="U4582" s="55"/>
      <c r="V4582" s="25">
        <f>IFERROR(VLOOKUP(BCP_Soles[[#This Row],[destinatario]],CHOOSE({1,2},Clientes_Proveedores[Razon Social],Clientes_Proveedores[Ruc / Dni]),2,0),"")</f>
        <v>20100055237</v>
      </c>
      <c r="W4582" s="25"/>
      <c r="X4582" s="25"/>
      <c r="Y4582" s="25"/>
      <c r="Z4582" s="77"/>
      <c r="AA4582" s="228" t="str">
        <f>IF(BCP_Soles[[#This Row],[fecha]]&gt;0,TEXT(BCP_Soles[[#This Row],[fecha]],"mmmm"),0)</f>
        <v>Noviembre</v>
      </c>
    </row>
    <row r="4583" spans="1:27" x14ac:dyDescent="0.3">
      <c r="A4583" s="222">
        <f>IF(BCP_Soles[[#This Row],[tipo_registro]]="R",COUNTIFS($C$1:$C4582,"R")+1,A4582)</f>
        <v>3032</v>
      </c>
      <c r="B4583" s="19" t="str">
        <f t="shared" si="592"/>
        <v>B-BCP - Soles</v>
      </c>
      <c r="C4583" s="3" t="s">
        <v>1330</v>
      </c>
      <c r="D4583" s="223">
        <v>45968</v>
      </c>
      <c r="E4583" s="231" t="s">
        <v>1338</v>
      </c>
      <c r="F4583" s="224" t="s">
        <v>1336</v>
      </c>
      <c r="G4583" s="6" t="s">
        <v>196</v>
      </c>
      <c r="H4583" s="6" t="s">
        <v>68</v>
      </c>
      <c r="I4583" s="6" t="s">
        <v>2226</v>
      </c>
      <c r="J4583" s="6">
        <v>7159</v>
      </c>
      <c r="K4583" s="7" t="s">
        <v>2227</v>
      </c>
      <c r="L4583" s="226">
        <v>253896</v>
      </c>
      <c r="M4583" s="226" t="str">
        <f t="shared" si="593"/>
        <v>PEN</v>
      </c>
      <c r="N4583" s="13"/>
      <c r="O4583" s="227">
        <v>159.62</v>
      </c>
      <c r="P4583" s="228">
        <f t="shared" si="594"/>
        <v>0</v>
      </c>
      <c r="Q4583" s="228">
        <f t="shared" si="595"/>
        <v>159.62</v>
      </c>
      <c r="R4583" s="228">
        <f t="shared" si="596"/>
        <v>9290.2599999999638</v>
      </c>
      <c r="S4583" s="24" t="s">
        <v>1334</v>
      </c>
      <c r="T4583" s="24" t="s">
        <v>1334</v>
      </c>
      <c r="U4583" s="55"/>
      <c r="V4583" s="25">
        <f>IFERROR(VLOOKUP(BCP_Soles[[#This Row],[destinatario]],CHOOSE({1,2},Clientes_Proveedores[Razon Social],Clientes_Proveedores[Ruc / Dni]),2,0),"")</f>
        <v>20100055237</v>
      </c>
      <c r="W4583" s="25"/>
      <c r="X4583" s="25"/>
      <c r="Y4583" s="25"/>
      <c r="Z4583" s="77"/>
      <c r="AA4583" s="228" t="str">
        <f>IF(BCP_Soles[[#This Row],[fecha]]&gt;0,TEXT(BCP_Soles[[#This Row],[fecha]],"mmmm"),0)</f>
        <v>Noviembre</v>
      </c>
    </row>
    <row r="4584" spans="1:27" ht="24" x14ac:dyDescent="0.3">
      <c r="A4584" s="222">
        <f>IF(BCP_Soles[[#This Row],[tipo_registro]]="R",COUNTIFS($C$1:$C4583,"R")+1,A4583)</f>
        <v>3033</v>
      </c>
      <c r="B4584" s="19" t="str">
        <f t="shared" ref="B4584:B4594" si="597">"B-BCP - Soles"</f>
        <v>B-BCP - Soles</v>
      </c>
      <c r="C4584" s="3" t="s">
        <v>1330</v>
      </c>
      <c r="D4584" s="223">
        <v>45968</v>
      </c>
      <c r="E4584" s="231" t="s">
        <v>1338</v>
      </c>
      <c r="F4584" s="224" t="s">
        <v>1336</v>
      </c>
      <c r="G4584" s="6" t="s">
        <v>993</v>
      </c>
      <c r="H4584" s="6" t="s">
        <v>143</v>
      </c>
      <c r="I4584" s="6">
        <v>1</v>
      </c>
      <c r="J4584" s="6"/>
      <c r="K4584" s="7" t="s">
        <v>9395</v>
      </c>
      <c r="L4584" s="226">
        <v>1253412</v>
      </c>
      <c r="M4584" s="226" t="str">
        <f t="shared" ref="M4584:M4594" si="598">"PEN"</f>
        <v>PEN</v>
      </c>
      <c r="N4584" s="13"/>
      <c r="O4584" s="227">
        <v>1822.7</v>
      </c>
      <c r="P4584" s="228">
        <f t="shared" ref="P4584:P4594" si="599">+IF(OR($F4584="SALDO",$F4584="INGRESO"),$O4584,0)</f>
        <v>0</v>
      </c>
      <c r="Q4584" s="228">
        <f t="shared" ref="Q4584:Q4594" si="600">+IF($F4584="EGRESO",$O4584,0)</f>
        <v>1822.7</v>
      </c>
      <c r="R4584" s="228">
        <f t="shared" ref="R4584:R4587" si="601">IFERROR(IF(F4584="SALDO",P4584,R4583+P4584-Q4584),0)</f>
        <v>7467.559999999964</v>
      </c>
      <c r="S4584" s="229"/>
      <c r="T4584" s="229"/>
      <c r="U4584" s="55"/>
      <c r="V4584" s="25">
        <f>IFERROR(VLOOKUP(BCP_Soles[[#This Row],[destinatario]],CHOOSE({1,2},Clientes_Proveedores[Razon Social],Clientes_Proveedores[Ruc / Dni]),2,0),"")</f>
        <v>76390500</v>
      </c>
      <c r="W4584" s="25"/>
      <c r="X4584" s="25"/>
      <c r="Y4584" s="25"/>
      <c r="Z4584" s="77"/>
      <c r="AA4584" s="228" t="str">
        <f>IF(BCP_Soles[[#This Row],[fecha]]&gt;0,TEXT(BCP_Soles[[#This Row],[fecha]],"mmmm"),0)</f>
        <v>Noviembre</v>
      </c>
    </row>
    <row r="4585" spans="1:27" x14ac:dyDescent="0.3">
      <c r="A4585" s="222">
        <f>IF(BCP_Soles[[#This Row],[tipo_registro]]="R",COUNTIFS($C$1:$C4584,"R")+1,A4584)</f>
        <v>3034</v>
      </c>
      <c r="B4585" s="19" t="str">
        <f t="shared" si="597"/>
        <v>B-BCP - Soles</v>
      </c>
      <c r="C4585" s="3" t="s">
        <v>1330</v>
      </c>
      <c r="D4585" s="223">
        <v>45968</v>
      </c>
      <c r="E4585" s="190" t="s">
        <v>3190</v>
      </c>
      <c r="F4585" s="224" t="s">
        <v>1336</v>
      </c>
      <c r="G4585" s="6"/>
      <c r="H4585" s="6"/>
      <c r="I4585" s="6"/>
      <c r="J4585" s="6"/>
      <c r="K4585" s="7" t="s">
        <v>9396</v>
      </c>
      <c r="L4585" s="226">
        <v>1019870</v>
      </c>
      <c r="M4585" s="226" t="str">
        <f t="shared" si="598"/>
        <v>PEN</v>
      </c>
      <c r="N4585" s="13"/>
      <c r="O4585" s="227">
        <v>545</v>
      </c>
      <c r="P4585" s="228">
        <f t="shared" si="599"/>
        <v>0</v>
      </c>
      <c r="Q4585" s="228">
        <f t="shared" si="600"/>
        <v>545</v>
      </c>
      <c r="R4585" s="228">
        <f t="shared" si="601"/>
        <v>6922.559999999964</v>
      </c>
      <c r="S4585" s="229"/>
      <c r="T4585" s="229"/>
      <c r="U4585" s="55"/>
      <c r="V4585" s="25" t="str">
        <f>IFERROR(VLOOKUP(BCP_Soles[[#This Row],[destinatario]],CHOOSE({1,2},Clientes_Proveedores[Razon Social],Clientes_Proveedores[Ruc / Dni]),2,0),"")</f>
        <v/>
      </c>
      <c r="W4585" s="25"/>
      <c r="X4585" s="25"/>
      <c r="Y4585" s="25"/>
      <c r="Z4585" s="77"/>
      <c r="AA4585" s="228" t="str">
        <f>IF(BCP_Soles[[#This Row],[fecha]]&gt;0,TEXT(BCP_Soles[[#This Row],[fecha]],"mmmm"),0)</f>
        <v>Noviembre</v>
      </c>
    </row>
    <row r="4586" spans="1:27" ht="24" x14ac:dyDescent="0.3">
      <c r="A4586" s="222">
        <f>IF(BCP_Soles[[#This Row],[tipo_registro]]="R",COUNTIFS($C$1:$C4585,"R")+1,A4585)</f>
        <v>3035</v>
      </c>
      <c r="B4586" s="19" t="str">
        <f t="shared" si="597"/>
        <v>B-BCP - Soles</v>
      </c>
      <c r="C4586" s="3" t="s">
        <v>1330</v>
      </c>
      <c r="D4586" s="223">
        <v>45968</v>
      </c>
      <c r="E4586" s="190" t="s">
        <v>1335</v>
      </c>
      <c r="F4586" s="224" t="s">
        <v>1336</v>
      </c>
      <c r="G4586" s="6" t="s">
        <v>1060</v>
      </c>
      <c r="H4586" s="6" t="s">
        <v>68</v>
      </c>
      <c r="I4586" s="6"/>
      <c r="J4586" s="6"/>
      <c r="K4586" s="7" t="s">
        <v>4230</v>
      </c>
      <c r="L4586" s="226">
        <v>1875</v>
      </c>
      <c r="M4586" s="226" t="str">
        <f t="shared" si="598"/>
        <v>PEN</v>
      </c>
      <c r="N4586" s="13"/>
      <c r="O4586" s="227">
        <v>10</v>
      </c>
      <c r="P4586" s="228">
        <f t="shared" si="599"/>
        <v>0</v>
      </c>
      <c r="Q4586" s="228">
        <f t="shared" si="600"/>
        <v>10</v>
      </c>
      <c r="R4586" s="228">
        <f t="shared" si="601"/>
        <v>6912.559999999964</v>
      </c>
      <c r="S4586" s="229"/>
      <c r="T4586" s="229"/>
      <c r="U4586" s="55"/>
      <c r="V4586" s="25">
        <f>IFERROR(VLOOKUP(BCP_Soles[[#This Row],[destinatario]],CHOOSE({1,2},Clientes_Proveedores[Razon Social],Clientes_Proveedores[Ruc / Dni]),2,0),"")</f>
        <v>20100047218</v>
      </c>
      <c r="W4586" s="25"/>
      <c r="X4586" s="25"/>
      <c r="Y4586" s="25"/>
      <c r="Z4586" s="77"/>
      <c r="AA4586" s="228" t="str">
        <f>IF(BCP_Soles[[#This Row],[fecha]]&gt;0,TEXT(BCP_Soles[[#This Row],[fecha]],"mmmm"),0)</f>
        <v>Noviembre</v>
      </c>
    </row>
    <row r="4587" spans="1:27" x14ac:dyDescent="0.3">
      <c r="A4587" s="222">
        <f>IF(BCP_Soles[[#This Row],[tipo_registro]]="R",COUNTIFS($C$1:$C4586,"R")+1,A4586)</f>
        <v>3036</v>
      </c>
      <c r="B4587" s="19" t="str">
        <f t="shared" si="597"/>
        <v>B-BCP - Soles</v>
      </c>
      <c r="C4587" s="3" t="s">
        <v>1330</v>
      </c>
      <c r="D4587" s="223">
        <v>45968</v>
      </c>
      <c r="E4587" s="190"/>
      <c r="F4587" s="224" t="s">
        <v>1336</v>
      </c>
      <c r="G4587" s="6"/>
      <c r="H4587" s="6"/>
      <c r="I4587" s="6"/>
      <c r="J4587" s="6"/>
      <c r="K4587" s="7" t="s">
        <v>3160</v>
      </c>
      <c r="L4587" s="226"/>
      <c r="M4587" s="226" t="str">
        <f t="shared" si="598"/>
        <v>PEN</v>
      </c>
      <c r="N4587" s="13"/>
      <c r="O4587" s="227">
        <v>0.7</v>
      </c>
      <c r="P4587" s="228">
        <f t="shared" si="599"/>
        <v>0</v>
      </c>
      <c r="Q4587" s="228">
        <f t="shared" si="600"/>
        <v>0.7</v>
      </c>
      <c r="R4587" s="228">
        <f t="shared" si="601"/>
        <v>6911.8599999999642</v>
      </c>
      <c r="S4587" s="229"/>
      <c r="T4587" s="229"/>
      <c r="U4587" s="55"/>
      <c r="V4587" s="25" t="str">
        <f>IFERROR(VLOOKUP(BCP_Soles[[#This Row],[destinatario]],CHOOSE({1,2},Clientes_Proveedores[Razon Social],Clientes_Proveedores[Ruc / Dni]),2,0),"")</f>
        <v/>
      </c>
      <c r="W4587" s="25"/>
      <c r="X4587" s="25"/>
      <c r="Y4587" s="25"/>
      <c r="Z4587" s="77"/>
      <c r="AA4587" s="228" t="str">
        <f>IF(BCP_Soles[[#This Row],[fecha]]&gt;0,TEXT(BCP_Soles[[#This Row],[fecha]],"mmmm"),0)</f>
        <v>Noviembre</v>
      </c>
    </row>
    <row r="4588" spans="1:27" ht="36" x14ac:dyDescent="0.3">
      <c r="A4588" s="222">
        <f>IF(BCP_Soles[[#This Row],[tipo_registro]]="R",COUNTIFS($C$1:$C4587,"R")+1,A4587)</f>
        <v>3037</v>
      </c>
      <c r="B4588" s="19" t="str">
        <f>"B-BCP - Soles"</f>
        <v>B-BCP - Soles</v>
      </c>
      <c r="C4588" s="3" t="s">
        <v>1330</v>
      </c>
      <c r="D4588" s="223">
        <v>45971</v>
      </c>
      <c r="E4588" s="5" t="s">
        <v>1628</v>
      </c>
      <c r="F4588" s="224" t="s">
        <v>1303</v>
      </c>
      <c r="G4588" s="6" t="s">
        <v>425</v>
      </c>
      <c r="H4588" s="6" t="s">
        <v>119</v>
      </c>
      <c r="I4588" s="6">
        <v>2</v>
      </c>
      <c r="J4588" s="6">
        <v>866</v>
      </c>
      <c r="K4588" s="7" t="s">
        <v>3608</v>
      </c>
      <c r="L4588" s="226">
        <v>764840</v>
      </c>
      <c r="M4588" s="226" t="str">
        <f>"PEN"</f>
        <v>PEN</v>
      </c>
      <c r="N4588" s="13"/>
      <c r="O4588" s="227">
        <v>65</v>
      </c>
      <c r="P4588" s="228">
        <f>+IF(OR($F4588="SALDO",$F4588="INGRESO"),$O4588,0)</f>
        <v>65</v>
      </c>
      <c r="Q4588" s="228">
        <f>+IF($F4588="EGRESO",$O4588,0)</f>
        <v>0</v>
      </c>
      <c r="R4588" s="228">
        <f>IFERROR(IF(F4588="SALDO",P4588,R4587+P4588-Q4588),0)</f>
        <v>6976.8599999999642</v>
      </c>
      <c r="S4588" s="24" t="s">
        <v>1334</v>
      </c>
      <c r="T4588" s="24" t="s">
        <v>1334</v>
      </c>
      <c r="U4588" s="55"/>
      <c r="V4588" s="25">
        <f>IFERROR(VLOOKUP(BCP_Soles[[#This Row],[destinatario]],CHOOSE({1,2},Clientes_Proveedores[Razon Social],Clientes_Proveedores[Ruc / Dni]),2,0),"")</f>
        <v>20558226979</v>
      </c>
      <c r="W4588" s="25"/>
      <c r="X4588" s="25"/>
      <c r="Y4588" s="25"/>
      <c r="Z4588" s="77"/>
      <c r="AA4588" s="228" t="str">
        <f>IF(BCP_Soles[[#This Row],[fecha]]&gt;0,TEXT(BCP_Soles[[#This Row],[fecha]],"mmmm"),0)</f>
        <v>Noviembre</v>
      </c>
    </row>
    <row r="4589" spans="1:27" x14ac:dyDescent="0.3">
      <c r="A4589" s="222">
        <f>IF(BCP_Soles[[#This Row],[tipo_registro]]="R",COUNTIFS($C$1:$C4588,"R")+1,A4588)</f>
        <v>3038</v>
      </c>
      <c r="B4589" s="19" t="str">
        <f>"B-BCP - Soles"</f>
        <v>B-BCP - Soles</v>
      </c>
      <c r="C4589" s="3" t="s">
        <v>1330</v>
      </c>
      <c r="D4589" s="223">
        <v>45971</v>
      </c>
      <c r="E4589" s="5"/>
      <c r="F4589" s="224" t="s">
        <v>1303</v>
      </c>
      <c r="G4589" s="6" t="s">
        <v>425</v>
      </c>
      <c r="H4589" s="6"/>
      <c r="I4589" s="6"/>
      <c r="J4589" s="6"/>
      <c r="K4589" s="7" t="s">
        <v>3608</v>
      </c>
      <c r="L4589" s="226">
        <v>2374284</v>
      </c>
      <c r="M4589" s="226" t="str">
        <f>"PEN"</f>
        <v>PEN</v>
      </c>
      <c r="N4589" s="13"/>
      <c r="O4589" s="227">
        <v>500</v>
      </c>
      <c r="P4589" s="228">
        <f>+IF(OR($F4589="SALDO",$F4589="INGRESO"),$O4589,0)</f>
        <v>500</v>
      </c>
      <c r="Q4589" s="228">
        <f>+IF($F4589="EGRESO",$O4589,0)</f>
        <v>0</v>
      </c>
      <c r="R4589" s="228">
        <f>IFERROR(IF(F4589="SALDO",P4589,R4588+P4589-Q4589),0)</f>
        <v>7476.8599999999642</v>
      </c>
      <c r="S4589" s="24"/>
      <c r="T4589" s="229"/>
      <c r="U4589" s="55"/>
      <c r="V4589" s="25">
        <f>IFERROR(VLOOKUP(BCP_Soles[[#This Row],[destinatario]],CHOOSE({1,2},Clientes_Proveedores[Razon Social],Clientes_Proveedores[Ruc / Dni]),2,0),"")</f>
        <v>20558226979</v>
      </c>
      <c r="W4589" s="25"/>
      <c r="X4589" s="25"/>
      <c r="Y4589" s="25"/>
      <c r="Z4589" s="77"/>
      <c r="AA4589" s="228" t="str">
        <f>IF(BCP_Soles[[#This Row],[fecha]]&gt;0,TEXT(BCP_Soles[[#This Row],[fecha]],"mmmm"),0)</f>
        <v>Noviembre</v>
      </c>
    </row>
    <row r="4590" spans="1:27" x14ac:dyDescent="0.3">
      <c r="A4590" s="222">
        <f>IF(BCP_Soles[[#This Row],[tipo_registro]]="R",COUNTIFS($C$1:$C4589,"R")+1,A4589)</f>
        <v>3039</v>
      </c>
      <c r="B4590" s="19" t="str">
        <f>"B-BCP - Soles"</f>
        <v>B-BCP - Soles</v>
      </c>
      <c r="C4590" s="3" t="s">
        <v>1330</v>
      </c>
      <c r="D4590" s="223">
        <v>45971</v>
      </c>
      <c r="E4590" s="5"/>
      <c r="F4590" s="224" t="s">
        <v>1303</v>
      </c>
      <c r="G4590" s="6" t="s">
        <v>425</v>
      </c>
      <c r="H4590" s="6"/>
      <c r="I4590" s="6"/>
      <c r="J4590" s="6"/>
      <c r="K4590" s="7" t="s">
        <v>4310</v>
      </c>
      <c r="L4590" s="226">
        <v>2163710</v>
      </c>
      <c r="M4590" s="226" t="str">
        <f>"PEN"</f>
        <v>PEN</v>
      </c>
      <c r="N4590" s="13"/>
      <c r="O4590" s="227">
        <v>13056</v>
      </c>
      <c r="P4590" s="228">
        <f>+IF(OR($F4590="SALDO",$F4590="INGRESO"),$O4590,0)</f>
        <v>13056</v>
      </c>
      <c r="Q4590" s="228">
        <f>+IF($F4590="EGRESO",$O4590,0)</f>
        <v>0</v>
      </c>
      <c r="R4590" s="228">
        <f t="shared" ref="R4590:R4591" si="602">IFERROR(IF(F4590="SALDO",P4590,R4589+P4590-Q4590),0)</f>
        <v>20532.859999999964</v>
      </c>
      <c r="S4590" s="24"/>
      <c r="T4590" s="229"/>
      <c r="U4590" s="55"/>
      <c r="V4590" s="25">
        <f>IFERROR(VLOOKUP(BCP_Soles[[#This Row],[destinatario]],CHOOSE({1,2},Clientes_Proveedores[Razon Social],Clientes_Proveedores[Ruc / Dni]),2,0),"")</f>
        <v>20558226979</v>
      </c>
      <c r="W4590" s="25"/>
      <c r="X4590" s="25"/>
      <c r="Y4590" s="25"/>
      <c r="Z4590" s="77"/>
      <c r="AA4590" s="228" t="str">
        <f>IF(BCP_Soles[[#This Row],[fecha]]&gt;0,TEXT(BCP_Soles[[#This Row],[fecha]],"mmmm"),0)</f>
        <v>Noviembre</v>
      </c>
    </row>
    <row r="4591" spans="1:27" x14ac:dyDescent="0.3">
      <c r="A4591" s="222">
        <f>IF(BCP_Soles[[#This Row],[tipo_registro]]="R",COUNTIFS($C$1:$C4590,"R")+1,A4590)</f>
        <v>3040</v>
      </c>
      <c r="B4591" s="19" t="str">
        <f t="shared" si="597"/>
        <v>B-BCP - Soles</v>
      </c>
      <c r="C4591" s="3" t="s">
        <v>1330</v>
      </c>
      <c r="D4591" s="223">
        <v>45971</v>
      </c>
      <c r="E4591" s="5" t="s">
        <v>2269</v>
      </c>
      <c r="F4591" s="224" t="s">
        <v>1336</v>
      </c>
      <c r="G4591" s="6" t="s">
        <v>695</v>
      </c>
      <c r="H4591" s="6"/>
      <c r="I4591" s="6"/>
      <c r="J4591" s="6"/>
      <c r="K4591" s="7" t="s">
        <v>9399</v>
      </c>
      <c r="L4591" s="226">
        <v>50402</v>
      </c>
      <c r="M4591" s="226" t="str">
        <f t="shared" si="598"/>
        <v>PEN</v>
      </c>
      <c r="N4591" s="13"/>
      <c r="O4591" s="227">
        <v>2037.59</v>
      </c>
      <c r="P4591" s="228">
        <f t="shared" si="599"/>
        <v>0</v>
      </c>
      <c r="Q4591" s="228">
        <f t="shared" si="600"/>
        <v>2037.59</v>
      </c>
      <c r="R4591" s="228">
        <f t="shared" si="602"/>
        <v>18495.269999999964</v>
      </c>
      <c r="S4591" s="24" t="s">
        <v>1334</v>
      </c>
      <c r="T4591" s="24" t="s">
        <v>1334</v>
      </c>
      <c r="U4591" s="55"/>
      <c r="V4591" s="25">
        <f>IFERROR(VLOOKUP(BCP_Soles[[#This Row],[destinatario]],CHOOSE({1,2},Clientes_Proveedores[Razon Social],Clientes_Proveedores[Ruc / Dni]),2,0),"")</f>
        <v>20127765279</v>
      </c>
      <c r="W4591" s="25"/>
      <c r="X4591" s="25"/>
      <c r="Y4591" s="25"/>
      <c r="Z4591" s="77"/>
      <c r="AA4591" s="228" t="str">
        <f>IF(BCP_Soles[[#This Row],[fecha]]&gt;0,TEXT(BCP_Soles[[#This Row],[fecha]],"mmmm"),0)</f>
        <v>Noviembre</v>
      </c>
    </row>
    <row r="4592" spans="1:27" x14ac:dyDescent="0.3">
      <c r="A4592" s="222">
        <f>IF(BCP_Soles[[#This Row],[tipo_registro]]="R",COUNTIFS($C$1:$C4591,"R")+1,A4591)</f>
        <v>3040</v>
      </c>
      <c r="B4592" s="19" t="str">
        <f>"B-BCP - Soles"</f>
        <v>B-BCP - Soles</v>
      </c>
      <c r="C4592" s="3" t="s">
        <v>1352</v>
      </c>
      <c r="D4592" s="223">
        <v>45971</v>
      </c>
      <c r="E4592" s="5" t="s">
        <v>2269</v>
      </c>
      <c r="F4592" s="224" t="s">
        <v>1336</v>
      </c>
      <c r="G4592" s="6" t="s">
        <v>695</v>
      </c>
      <c r="H4592" s="6" t="s">
        <v>68</v>
      </c>
      <c r="I4592" s="6" t="s">
        <v>1715</v>
      </c>
      <c r="J4592" s="6">
        <v>164317</v>
      </c>
      <c r="K4592" s="7" t="s">
        <v>9399</v>
      </c>
      <c r="L4592" s="226">
        <v>50402</v>
      </c>
      <c r="M4592" s="226" t="str">
        <f>"PEN"</f>
        <v>PEN</v>
      </c>
      <c r="N4592" s="13">
        <v>1280.97</v>
      </c>
      <c r="O4592" s="227"/>
      <c r="P4592" s="228">
        <f>+IF(OR($F4592="SALDO",$F4592="INGRESO"),$O4592,0)</f>
        <v>0</v>
      </c>
      <c r="Q4592" s="228">
        <f>+IF($F4592="EGRESO",$O4592,0)</f>
        <v>0</v>
      </c>
      <c r="R4592" s="228">
        <f>IFERROR(IF(F4592="SALDO",P4592,R4591+P4592-Q4592),0)</f>
        <v>18495.269999999964</v>
      </c>
      <c r="S4592" s="24" t="s">
        <v>1334</v>
      </c>
      <c r="T4592" s="24" t="s">
        <v>1334</v>
      </c>
      <c r="U4592" s="55"/>
      <c r="V4592" s="25">
        <f>IFERROR(VLOOKUP(BCP_Soles[[#This Row],[destinatario]],CHOOSE({1,2},Clientes_Proveedores[Razon Social],Clientes_Proveedores[Ruc / Dni]),2,0),"")</f>
        <v>20127765279</v>
      </c>
      <c r="W4592" s="25"/>
      <c r="X4592" s="25"/>
      <c r="Y4592" s="25"/>
      <c r="Z4592" s="77"/>
      <c r="AA4592" s="228" t="str">
        <f>IF(BCP_Soles[[#This Row],[fecha]]&gt;0,TEXT(BCP_Soles[[#This Row],[fecha]],"mmmm"),0)</f>
        <v>Noviembre</v>
      </c>
    </row>
    <row r="4593" spans="1:27" x14ac:dyDescent="0.3">
      <c r="A4593" s="222">
        <f>IF(BCP_Soles[[#This Row],[tipo_registro]]="R",COUNTIFS($C$1:$C4592,"R")+1,A4592)</f>
        <v>3040</v>
      </c>
      <c r="B4593" s="19" t="str">
        <f>"B-BCP - Soles"</f>
        <v>B-BCP - Soles</v>
      </c>
      <c r="C4593" s="3" t="s">
        <v>1352</v>
      </c>
      <c r="D4593" s="223">
        <v>45971</v>
      </c>
      <c r="E4593" s="5" t="s">
        <v>2269</v>
      </c>
      <c r="F4593" s="224" t="s">
        <v>1336</v>
      </c>
      <c r="G4593" s="6" t="s">
        <v>695</v>
      </c>
      <c r="H4593" s="6" t="s">
        <v>68</v>
      </c>
      <c r="I4593" s="6" t="s">
        <v>1377</v>
      </c>
      <c r="J4593" s="6">
        <v>191247</v>
      </c>
      <c r="K4593" s="7" t="s">
        <v>9399</v>
      </c>
      <c r="L4593" s="226">
        <v>50402</v>
      </c>
      <c r="M4593" s="226" t="str">
        <f>"PEN"</f>
        <v>PEN</v>
      </c>
      <c r="N4593" s="13">
        <v>756.62</v>
      </c>
      <c r="O4593" s="227"/>
      <c r="P4593" s="228">
        <f>+IF(OR($F4593="SALDO",$F4593="INGRESO"),$O4593,0)</f>
        <v>0</v>
      </c>
      <c r="Q4593" s="228">
        <f>+IF($F4593="EGRESO",$O4593,0)</f>
        <v>0</v>
      </c>
      <c r="R4593" s="228">
        <f t="shared" ref="R4593:R4594" si="603">IFERROR(IF(F4593="SALDO",P4593,R4592+P4593-Q4593),0)</f>
        <v>18495.269999999964</v>
      </c>
      <c r="S4593" s="24" t="s">
        <v>1334</v>
      </c>
      <c r="T4593" s="24" t="s">
        <v>1334</v>
      </c>
      <c r="U4593" s="55"/>
      <c r="V4593" s="25">
        <f>IFERROR(VLOOKUP(BCP_Soles[[#This Row],[destinatario]],CHOOSE({1,2},Clientes_Proveedores[Razon Social],Clientes_Proveedores[Ruc / Dni]),2,0),"")</f>
        <v>20127765279</v>
      </c>
      <c r="W4593" s="25"/>
      <c r="X4593" s="25"/>
      <c r="Y4593" s="25"/>
      <c r="Z4593" s="77"/>
      <c r="AA4593" s="228" t="str">
        <f>IF(BCP_Soles[[#This Row],[fecha]]&gt;0,TEXT(BCP_Soles[[#This Row],[fecha]],"mmmm"),0)</f>
        <v>Noviembre</v>
      </c>
    </row>
    <row r="4594" spans="1:27" ht="36" x14ac:dyDescent="0.3">
      <c r="A4594" s="222">
        <f>IF(BCP_Soles[[#This Row],[tipo_registro]]="R",COUNTIFS($C$1:$C4593,"R")+1,A4593)</f>
        <v>3041</v>
      </c>
      <c r="B4594" s="19" t="str">
        <f t="shared" si="597"/>
        <v>B-BCP - Soles</v>
      </c>
      <c r="C4594" s="3" t="s">
        <v>1330</v>
      </c>
      <c r="D4594" s="223">
        <v>45971</v>
      </c>
      <c r="E4594" s="224" t="s">
        <v>2269</v>
      </c>
      <c r="F4594" s="224" t="s">
        <v>1336</v>
      </c>
      <c r="G4594" s="6" t="s">
        <v>948</v>
      </c>
      <c r="H4594" s="6"/>
      <c r="I4594" s="6"/>
      <c r="J4594" s="6"/>
      <c r="K4594" s="7" t="s">
        <v>9401</v>
      </c>
      <c r="L4594" s="226">
        <v>1093072</v>
      </c>
      <c r="M4594" s="226" t="str">
        <f t="shared" si="598"/>
        <v>PEN</v>
      </c>
      <c r="N4594" s="13"/>
      <c r="O4594" s="227">
        <v>4000</v>
      </c>
      <c r="P4594" s="228">
        <f t="shared" si="599"/>
        <v>0</v>
      </c>
      <c r="Q4594" s="228">
        <f t="shared" si="600"/>
        <v>4000</v>
      </c>
      <c r="R4594" s="228">
        <f t="shared" si="603"/>
        <v>14495.269999999964</v>
      </c>
      <c r="S4594" s="229"/>
      <c r="T4594" s="24" t="s">
        <v>1334</v>
      </c>
      <c r="U4594" s="55"/>
      <c r="V4594" s="25">
        <f>IFERROR(VLOOKUP(BCP_Soles[[#This Row],[destinatario]],CHOOSE({1,2},Clientes_Proveedores[Razon Social],Clientes_Proveedores[Ruc / Dni]),2,0),"")</f>
        <v>71311214</v>
      </c>
      <c r="W4594" s="25"/>
      <c r="X4594" s="25"/>
      <c r="Y4594" s="25"/>
      <c r="Z4594" s="77"/>
      <c r="AA4594" s="228" t="str">
        <f>IF(BCP_Soles[[#This Row],[fecha]]&gt;0,TEXT(BCP_Soles[[#This Row],[fecha]],"mmmm"),0)</f>
        <v>Noviembre</v>
      </c>
    </row>
    <row r="4595" spans="1:27" ht="24" x14ac:dyDescent="0.3">
      <c r="A4595" s="222">
        <f>IF(BCP_Soles[[#This Row],[tipo_registro]]="R",COUNTIFS($C$1:$C4594,"R")+1,A4594)</f>
        <v>3042</v>
      </c>
      <c r="B4595" s="19" t="str">
        <f t="shared" ref="B4595:B4599" si="604">"B-BCP - Soles"</f>
        <v>B-BCP - Soles</v>
      </c>
      <c r="C4595" s="3" t="s">
        <v>1330</v>
      </c>
      <c r="D4595" s="223">
        <v>45971</v>
      </c>
      <c r="E4595" s="224" t="s">
        <v>2269</v>
      </c>
      <c r="F4595" s="224" t="s">
        <v>1336</v>
      </c>
      <c r="G4595" s="6" t="s">
        <v>1134</v>
      </c>
      <c r="H4595" s="6"/>
      <c r="I4595" s="6"/>
      <c r="J4595" s="6"/>
      <c r="K4595" s="7" t="s">
        <v>9403</v>
      </c>
      <c r="L4595" s="226">
        <v>1095615</v>
      </c>
      <c r="M4595" s="226" t="str">
        <f t="shared" ref="M4595:M4599" si="605">"PEN"</f>
        <v>PEN</v>
      </c>
      <c r="N4595" s="13"/>
      <c r="O4595" s="227">
        <v>200</v>
      </c>
      <c r="P4595" s="228">
        <f t="shared" ref="P4595:P4599" si="606">+IF(OR($F4595="SALDO",$F4595="INGRESO"),$O4595,0)</f>
        <v>0</v>
      </c>
      <c r="Q4595" s="228">
        <f t="shared" ref="Q4595:Q4599" si="607">+IF($F4595="EGRESO",$O4595,0)</f>
        <v>200</v>
      </c>
      <c r="R4595" s="228">
        <f t="shared" ref="R4595:R4598" si="608">IFERROR(IF(F4595="SALDO",P4595,R4594+P4595-Q4595),0)</f>
        <v>14295.269999999964</v>
      </c>
      <c r="S4595" s="229"/>
      <c r="T4595" s="24" t="s">
        <v>1334</v>
      </c>
      <c r="U4595" s="55"/>
      <c r="V4595" s="25">
        <f>IFERROR(VLOOKUP(BCP_Soles[[#This Row],[destinatario]],CHOOSE({1,2},Clientes_Proveedores[Razon Social],Clientes_Proveedores[Ruc / Dni]),2,0),"")</f>
        <v>71662026</v>
      </c>
      <c r="W4595" s="25"/>
      <c r="X4595" s="25"/>
      <c r="Y4595" s="25"/>
      <c r="Z4595" s="77"/>
      <c r="AA4595" s="228" t="str">
        <f>IF(BCP_Soles[[#This Row],[fecha]]&gt;0,TEXT(BCP_Soles[[#This Row],[fecha]],"mmmm"),0)</f>
        <v>Noviembre</v>
      </c>
    </row>
    <row r="4596" spans="1:27" ht="24" x14ac:dyDescent="0.3">
      <c r="A4596" s="2">
        <f>IF(BCP_Soles[[#This Row],[tipo_registro]]="R",COUNTIFS($C$1:$C4595,"R")+1,A4595)</f>
        <v>3043</v>
      </c>
      <c r="B4596" s="19" t="str">
        <f t="shared" si="604"/>
        <v>B-BCP - Soles</v>
      </c>
      <c r="C4596" s="3" t="s">
        <v>1330</v>
      </c>
      <c r="D4596" s="14">
        <v>45971</v>
      </c>
      <c r="E4596" s="5" t="s">
        <v>2269</v>
      </c>
      <c r="F4596" s="5" t="s">
        <v>1336</v>
      </c>
      <c r="G4596" s="6" t="s">
        <v>1134</v>
      </c>
      <c r="H4596" s="6"/>
      <c r="I4596" s="6"/>
      <c r="J4596" s="6"/>
      <c r="K4596" s="7" t="s">
        <v>9403</v>
      </c>
      <c r="L4596" s="8">
        <v>1094624</v>
      </c>
      <c r="M4596" s="8" t="str">
        <f t="shared" si="605"/>
        <v>PEN</v>
      </c>
      <c r="N4596" s="13"/>
      <c r="O4596" s="13">
        <v>300</v>
      </c>
      <c r="P4596" s="3">
        <f t="shared" si="606"/>
        <v>0</v>
      </c>
      <c r="Q4596" s="3">
        <f t="shared" si="607"/>
        <v>300</v>
      </c>
      <c r="R4596" s="3">
        <f t="shared" si="608"/>
        <v>13995.269999999964</v>
      </c>
      <c r="S4596" s="24"/>
      <c r="T4596" s="24" t="s">
        <v>1334</v>
      </c>
      <c r="U4596" s="55"/>
      <c r="V4596" s="25">
        <f>IFERROR(VLOOKUP(BCP_Soles[[#This Row],[destinatario]],CHOOSE({1,2},Clientes_Proveedores[Razon Social],Clientes_Proveedores[Ruc / Dni]),2,0),"")</f>
        <v>71662026</v>
      </c>
      <c r="W4596" s="25"/>
      <c r="X4596" s="25"/>
      <c r="Y4596" s="25"/>
      <c r="Z4596" s="77"/>
      <c r="AA4596" s="3" t="str">
        <f>IF(BCP_Soles[[#This Row],[fecha]]&gt;0,TEXT(BCP_Soles[[#This Row],[fecha]],"mmmm"),0)</f>
        <v>Noviembre</v>
      </c>
    </row>
    <row r="4597" spans="1:27" ht="24" x14ac:dyDescent="0.3">
      <c r="A4597" s="2">
        <f>IF(BCP_Soles[[#This Row],[tipo_registro]]="R",COUNTIFS($C$1:$C4596,"R")+1,A4596)</f>
        <v>3044</v>
      </c>
      <c r="B4597" s="19" t="str">
        <f t="shared" si="604"/>
        <v>B-BCP - Soles</v>
      </c>
      <c r="C4597" s="13" t="s">
        <v>1330</v>
      </c>
      <c r="D4597" s="14">
        <v>45971</v>
      </c>
      <c r="E4597" s="5" t="s">
        <v>2269</v>
      </c>
      <c r="F4597" s="5" t="s">
        <v>1336</v>
      </c>
      <c r="G4597" s="6" t="s">
        <v>1250</v>
      </c>
      <c r="H4597" s="6"/>
      <c r="I4597" s="6"/>
      <c r="J4597" s="6"/>
      <c r="K4597" s="7" t="s">
        <v>9410</v>
      </c>
      <c r="L4597" s="8">
        <v>1236855</v>
      </c>
      <c r="M4597" s="8" t="str">
        <f t="shared" si="605"/>
        <v>PEN</v>
      </c>
      <c r="N4597" s="13"/>
      <c r="O4597" s="13">
        <v>2000</v>
      </c>
      <c r="P4597" s="3">
        <f t="shared" si="606"/>
        <v>0</v>
      </c>
      <c r="Q4597" s="3">
        <f t="shared" si="607"/>
        <v>2000</v>
      </c>
      <c r="R4597" s="3">
        <f t="shared" si="608"/>
        <v>11995.269999999964</v>
      </c>
      <c r="S4597" s="24"/>
      <c r="T4597" s="24"/>
      <c r="U4597" s="55"/>
      <c r="V4597" s="25">
        <f>IFERROR(VLOOKUP(BCP_Soles[[#This Row],[destinatario]],CHOOSE({1,2},Clientes_Proveedores[Razon Social],Clientes_Proveedores[Ruc / Dni]),2,0),"")</f>
        <v>40338216</v>
      </c>
      <c r="W4597" s="25"/>
      <c r="X4597" s="25"/>
      <c r="Y4597" s="25"/>
      <c r="Z4597" s="77"/>
      <c r="AA4597" s="3" t="str">
        <f>IF(BCP_Soles[[#This Row],[fecha]]&gt;0,TEXT(BCP_Soles[[#This Row],[fecha]],"mmmm"),0)</f>
        <v>Noviembre</v>
      </c>
    </row>
    <row r="4598" spans="1:27" ht="24" x14ac:dyDescent="0.3">
      <c r="A4598" s="2">
        <f>IF(BCP_Soles[[#This Row],[tipo_registro]]="R",COUNTIFS($C$1:$C4597,"R")+1,A4597)</f>
        <v>3045</v>
      </c>
      <c r="B4598" s="19" t="str">
        <f t="shared" si="604"/>
        <v>B-BCP - Soles</v>
      </c>
      <c r="C4598" s="13" t="s">
        <v>1330</v>
      </c>
      <c r="D4598" s="14">
        <v>45971</v>
      </c>
      <c r="E4598" s="5" t="s">
        <v>2269</v>
      </c>
      <c r="F4598" s="5" t="s">
        <v>1336</v>
      </c>
      <c r="G4598" s="6" t="s">
        <v>497</v>
      </c>
      <c r="H4598" s="6"/>
      <c r="I4598" s="6"/>
      <c r="J4598" s="6"/>
      <c r="K4598" s="7" t="s">
        <v>9411</v>
      </c>
      <c r="L4598" s="8">
        <v>1237369</v>
      </c>
      <c r="M4598" s="8" t="str">
        <f t="shared" si="605"/>
        <v>PEN</v>
      </c>
      <c r="N4598" s="13"/>
      <c r="O4598" s="13">
        <v>530</v>
      </c>
      <c r="P4598" s="3">
        <f t="shared" si="606"/>
        <v>0</v>
      </c>
      <c r="Q4598" s="3">
        <f t="shared" si="607"/>
        <v>530</v>
      </c>
      <c r="R4598" s="3">
        <f t="shared" si="608"/>
        <v>11465.269999999964</v>
      </c>
      <c r="S4598" s="24"/>
      <c r="T4598" s="24"/>
      <c r="U4598" s="55"/>
      <c r="V4598" s="25">
        <f>IFERROR(VLOOKUP(BCP_Soles[[#This Row],[destinatario]],CHOOSE({1,2},Clientes_Proveedores[Razon Social],Clientes_Proveedores[Ruc / Dni]),2,0),"")</f>
        <v>20602810497</v>
      </c>
      <c r="W4598" s="25"/>
      <c r="X4598" s="25"/>
      <c r="Y4598" s="25"/>
      <c r="Z4598" s="77"/>
      <c r="AA4598" s="3" t="str">
        <f>IF(BCP_Soles[[#This Row],[fecha]]&gt;0,TEXT(BCP_Soles[[#This Row],[fecha]],"mmmm"),0)</f>
        <v>Noviembre</v>
      </c>
    </row>
    <row r="4599" spans="1:27" ht="24" x14ac:dyDescent="0.3">
      <c r="A4599" s="2">
        <f>IF(BCP_Soles[[#This Row],[tipo_registro]]="R",COUNTIFS($C$1:$C4598,"R")+1,A4598)</f>
        <v>3046</v>
      </c>
      <c r="B4599" s="19" t="str">
        <f t="shared" si="604"/>
        <v>B-BCP - Soles</v>
      </c>
      <c r="C4599" s="13" t="s">
        <v>1330</v>
      </c>
      <c r="D4599" s="14">
        <v>45971</v>
      </c>
      <c r="E4599" s="5" t="s">
        <v>2269</v>
      </c>
      <c r="F4599" s="5" t="s">
        <v>1336</v>
      </c>
      <c r="G4599" s="6" t="s">
        <v>667</v>
      </c>
      <c r="H4599" s="6" t="s">
        <v>68</v>
      </c>
      <c r="I4599" s="6" t="s">
        <v>1376</v>
      </c>
      <c r="J4599" s="6">
        <v>89</v>
      </c>
      <c r="K4599" s="7" t="s">
        <v>9469</v>
      </c>
      <c r="L4599" s="8">
        <v>1239281</v>
      </c>
      <c r="M4599" s="8" t="str">
        <f t="shared" si="605"/>
        <v>PEN</v>
      </c>
      <c r="N4599" s="13"/>
      <c r="O4599" s="13">
        <v>1926</v>
      </c>
      <c r="P4599" s="3">
        <f t="shared" si="606"/>
        <v>0</v>
      </c>
      <c r="Q4599" s="3">
        <f t="shared" si="607"/>
        <v>1926</v>
      </c>
      <c r="R4599" s="3">
        <f t="shared" ref="R4599:R4611" si="609">IFERROR(IF(F4599="SALDO",P4599,R4598+P4599-Q4599),0)</f>
        <v>9539.2699999999641</v>
      </c>
      <c r="S4599" s="24" t="s">
        <v>1334</v>
      </c>
      <c r="T4599" s="24" t="s">
        <v>1334</v>
      </c>
      <c r="U4599" s="55"/>
      <c r="V4599" s="25">
        <f>IFERROR(VLOOKUP(BCP_Soles[[#This Row],[destinatario]],CHOOSE({1,2},Clientes_Proveedores[Razon Social],Clientes_Proveedores[Ruc / Dni]),2,0),"")</f>
        <v>10410687491</v>
      </c>
      <c r="W4599" s="25"/>
      <c r="X4599" s="25"/>
      <c r="Y4599" s="25"/>
      <c r="Z4599" s="77"/>
      <c r="AA4599" s="3" t="str">
        <f>IF(BCP_Soles[[#This Row],[fecha]]&gt;0,TEXT(BCP_Soles[[#This Row],[fecha]],"mmmm"),0)</f>
        <v>Noviembre</v>
      </c>
    </row>
    <row r="4600" spans="1:27" x14ac:dyDescent="0.3">
      <c r="A4600" s="237">
        <f>IF(BCP_Soles[[#This Row],[tipo_registro]]="R",COUNTIFS($C$1:$C4599,"R")+1,A4599)</f>
        <v>3047</v>
      </c>
      <c r="B4600" s="19" t="str">
        <f t="shared" ref="B4600:B4623" si="610">"B-BCP - Soles"</f>
        <v>B-BCP - Soles</v>
      </c>
      <c r="C4600" s="3" t="s">
        <v>1330</v>
      </c>
      <c r="D4600" s="238">
        <v>45971</v>
      </c>
      <c r="E4600" s="239"/>
      <c r="F4600" s="239" t="s">
        <v>1336</v>
      </c>
      <c r="G4600" s="6"/>
      <c r="H4600" s="6"/>
      <c r="I4600" s="6"/>
      <c r="J4600" s="6"/>
      <c r="K4600" s="7" t="s">
        <v>3160</v>
      </c>
      <c r="L4600" s="240"/>
      <c r="M4600" s="240" t="str">
        <f t="shared" ref="M4600:M4618" si="611">"PEN"</f>
        <v>PEN</v>
      </c>
      <c r="N4600" s="13"/>
      <c r="O4600" s="241">
        <v>1.1000000000000001</v>
      </c>
      <c r="P4600" s="242">
        <f t="shared" ref="P4600:P4623" si="612">+IF(OR($F4600="SALDO",$F4600="INGRESO"),$O4600,0)</f>
        <v>0</v>
      </c>
      <c r="Q4600" s="242">
        <f t="shared" ref="Q4600:Q4623" si="613">+IF($F4600="EGRESO",$O4600,0)</f>
        <v>1.1000000000000001</v>
      </c>
      <c r="R4600" s="242">
        <f t="shared" si="609"/>
        <v>9538.1699999999637</v>
      </c>
      <c r="S4600" s="243"/>
      <c r="T4600" s="243"/>
      <c r="U4600" s="55"/>
      <c r="V4600" s="25" t="str">
        <f>IFERROR(VLOOKUP(BCP_Soles[[#This Row],[destinatario]],CHOOSE({1,2},Clientes_Proveedores[Razon Social],Clientes_Proveedores[Ruc / Dni]),2,0),"")</f>
        <v/>
      </c>
      <c r="W4600" s="25"/>
      <c r="X4600" s="25"/>
      <c r="Y4600" s="25"/>
      <c r="Z4600" s="77"/>
      <c r="AA4600" s="242" t="str">
        <f>IF(BCP_Soles[[#This Row],[fecha]]&gt;0,TEXT(BCP_Soles[[#This Row],[fecha]],"mmmm"),0)</f>
        <v>Noviembre</v>
      </c>
    </row>
    <row r="4601" spans="1:27" ht="24" x14ac:dyDescent="0.3">
      <c r="A4601" s="237">
        <f>IF(BCP_Soles[[#This Row],[tipo_registro]]="R",COUNTIFS($C$1:$C4600,"R")+1,A4600)</f>
        <v>3048</v>
      </c>
      <c r="B4601" s="19" t="str">
        <f t="shared" si="610"/>
        <v>B-BCP - Soles</v>
      </c>
      <c r="C4601" s="3" t="s">
        <v>1330</v>
      </c>
      <c r="D4601" s="238">
        <v>45972</v>
      </c>
      <c r="E4601" s="5" t="s">
        <v>1617</v>
      </c>
      <c r="F4601" s="239" t="s">
        <v>1303</v>
      </c>
      <c r="G4601" s="6" t="s">
        <v>425</v>
      </c>
      <c r="H4601" s="6" t="s">
        <v>119</v>
      </c>
      <c r="I4601" s="6">
        <v>1</v>
      </c>
      <c r="J4601" s="6">
        <v>4897</v>
      </c>
      <c r="K4601" s="7" t="s">
        <v>3608</v>
      </c>
      <c r="L4601" s="240">
        <v>1742790</v>
      </c>
      <c r="M4601" s="240" t="str">
        <f t="shared" si="611"/>
        <v>PEN</v>
      </c>
      <c r="N4601" s="13"/>
      <c r="O4601" s="13">
        <v>1500</v>
      </c>
      <c r="P4601" s="242">
        <f t="shared" si="612"/>
        <v>1500</v>
      </c>
      <c r="Q4601" s="242">
        <f t="shared" si="613"/>
        <v>0</v>
      </c>
      <c r="R4601" s="242">
        <f t="shared" si="609"/>
        <v>11038.169999999964</v>
      </c>
      <c r="S4601" s="24" t="s">
        <v>1334</v>
      </c>
      <c r="T4601" s="24" t="s">
        <v>1334</v>
      </c>
      <c r="U4601" s="55"/>
      <c r="V4601" s="25">
        <f>IFERROR(VLOOKUP(BCP_Soles[[#This Row],[destinatario]],CHOOSE({1,2},Clientes_Proveedores[Razon Social],Clientes_Proveedores[Ruc / Dni]),2,0),"")</f>
        <v>20558226979</v>
      </c>
      <c r="W4601" s="25"/>
      <c r="X4601" s="25"/>
      <c r="Y4601" s="25"/>
      <c r="Z4601" s="77"/>
      <c r="AA4601" s="242" t="str">
        <f>IF(BCP_Soles[[#This Row],[fecha]]&gt;0,TEXT(BCP_Soles[[#This Row],[fecha]],"mmmm"),0)</f>
        <v>Noviembre</v>
      </c>
    </row>
    <row r="4602" spans="1:27" x14ac:dyDescent="0.3">
      <c r="A4602" s="237">
        <f>IF(BCP_Soles[[#This Row],[tipo_registro]]="R",COUNTIFS($C$1:$C4601,"R")+1,A4601)</f>
        <v>3049</v>
      </c>
      <c r="B4602" s="19" t="str">
        <f t="shared" si="610"/>
        <v>B-BCP - Soles</v>
      </c>
      <c r="C4602" s="3" t="s">
        <v>1330</v>
      </c>
      <c r="D4602" s="238">
        <v>45972</v>
      </c>
      <c r="E4602" s="5"/>
      <c r="F4602" s="239" t="s">
        <v>1303</v>
      </c>
      <c r="G4602" s="6" t="s">
        <v>425</v>
      </c>
      <c r="H4602" s="6"/>
      <c r="I4602" s="6"/>
      <c r="J4602" s="6"/>
      <c r="K4602" s="7" t="s">
        <v>3608</v>
      </c>
      <c r="L4602" s="240">
        <v>3048747</v>
      </c>
      <c r="M4602" s="240" t="str">
        <f t="shared" si="611"/>
        <v>PEN</v>
      </c>
      <c r="N4602" s="13"/>
      <c r="O4602" s="13">
        <v>8450</v>
      </c>
      <c r="P4602" s="242">
        <f t="shared" si="612"/>
        <v>8450</v>
      </c>
      <c r="Q4602" s="242">
        <f t="shared" si="613"/>
        <v>0</v>
      </c>
      <c r="R4602" s="242">
        <f>IFERROR(IF(F4602="SALDO",P4602,R4601+P4602-Q4602),0)</f>
        <v>19488.169999999962</v>
      </c>
      <c r="S4602" s="24"/>
      <c r="T4602" s="243"/>
      <c r="U4602" s="55"/>
      <c r="V4602" s="25">
        <f>IFERROR(VLOOKUP(BCP_Soles[[#This Row],[destinatario]],CHOOSE({1,2},Clientes_Proveedores[Razon Social],Clientes_Proveedores[Ruc / Dni]),2,0),"")</f>
        <v>20558226979</v>
      </c>
      <c r="W4602" s="25"/>
      <c r="X4602" s="25"/>
      <c r="Y4602" s="25"/>
      <c r="Z4602" s="77"/>
      <c r="AA4602" s="242" t="str">
        <f>IF(BCP_Soles[[#This Row],[fecha]]&gt;0,TEXT(BCP_Soles[[#This Row],[fecha]],"mmmm"),0)</f>
        <v>Noviembre</v>
      </c>
    </row>
    <row r="4603" spans="1:27" x14ac:dyDescent="0.3">
      <c r="A4603" s="237">
        <f>IF(BCP_Soles[[#This Row],[tipo_registro]]="R",COUNTIFS($C$1:$C4602,"R")+1,A4602)</f>
        <v>3050</v>
      </c>
      <c r="B4603" s="19" t="str">
        <f t="shared" si="610"/>
        <v>B-BCP - Soles</v>
      </c>
      <c r="C4603" s="3" t="s">
        <v>1330</v>
      </c>
      <c r="D4603" s="238">
        <v>45972</v>
      </c>
      <c r="E4603" s="65" t="s">
        <v>505</v>
      </c>
      <c r="F4603" s="239" t="s">
        <v>1303</v>
      </c>
      <c r="G4603" s="6" t="s">
        <v>425</v>
      </c>
      <c r="H4603" s="6"/>
      <c r="I4603" s="6"/>
      <c r="J4603" s="6"/>
      <c r="K4603" s="7" t="s">
        <v>4308</v>
      </c>
      <c r="L4603" s="240">
        <v>6040330</v>
      </c>
      <c r="M4603" s="240" t="str">
        <f t="shared" si="611"/>
        <v>PEN</v>
      </c>
      <c r="N4603" s="13"/>
      <c r="O4603" s="13">
        <v>7585.75</v>
      </c>
      <c r="P4603" s="242">
        <f t="shared" si="612"/>
        <v>7585.75</v>
      </c>
      <c r="Q4603" s="242">
        <f t="shared" si="613"/>
        <v>0</v>
      </c>
      <c r="R4603" s="242">
        <f t="shared" ref="R4603:R4609" si="614">IFERROR(IF(F4603="SALDO",P4603,R4602+P4603-Q4603),0)</f>
        <v>27073.919999999962</v>
      </c>
      <c r="S4603" s="24" t="s">
        <v>1334</v>
      </c>
      <c r="T4603" s="24" t="s">
        <v>1334</v>
      </c>
      <c r="U4603" s="55"/>
      <c r="V4603" s="25">
        <f>IFERROR(VLOOKUP(BCP_Soles[[#This Row],[destinatario]],CHOOSE({1,2},Clientes_Proveedores[Razon Social],Clientes_Proveedores[Ruc / Dni]),2,0),"")</f>
        <v>20558226979</v>
      </c>
      <c r="W4603" s="25"/>
      <c r="X4603" s="25"/>
      <c r="Y4603" s="25"/>
      <c r="Z4603" s="77"/>
      <c r="AA4603" s="242" t="str">
        <f>IF(BCP_Soles[[#This Row],[fecha]]&gt;0,TEXT(BCP_Soles[[#This Row],[fecha]],"mmmm"),0)</f>
        <v>Noviembre</v>
      </c>
    </row>
    <row r="4604" spans="1:27" x14ac:dyDescent="0.3">
      <c r="A4604" s="237">
        <f>IF(BCP_Soles[[#This Row],[tipo_registro]]="R",COUNTIFS($C$1:$C4603,"R")+1,A4603)</f>
        <v>3050</v>
      </c>
      <c r="B4604" s="19" t="str">
        <f t="shared" si="610"/>
        <v>B-BCP - Soles</v>
      </c>
      <c r="C4604" s="3" t="s">
        <v>1352</v>
      </c>
      <c r="D4604" s="238">
        <v>45972</v>
      </c>
      <c r="E4604" s="65" t="s">
        <v>505</v>
      </c>
      <c r="F4604" s="239" t="s">
        <v>1303</v>
      </c>
      <c r="G4604" s="6" t="s">
        <v>425</v>
      </c>
      <c r="H4604" s="6" t="s">
        <v>68</v>
      </c>
      <c r="I4604" s="6" t="s">
        <v>3381</v>
      </c>
      <c r="J4604" s="6">
        <v>67</v>
      </c>
      <c r="K4604" s="7" t="s">
        <v>4308</v>
      </c>
      <c r="L4604" s="240">
        <v>6040330</v>
      </c>
      <c r="M4604" s="240" t="str">
        <f t="shared" si="611"/>
        <v>PEN</v>
      </c>
      <c r="N4604" s="13">
        <v>1609.9</v>
      </c>
      <c r="O4604" s="13"/>
      <c r="P4604" s="242">
        <f t="shared" si="612"/>
        <v>0</v>
      </c>
      <c r="Q4604" s="242">
        <f t="shared" si="613"/>
        <v>0</v>
      </c>
      <c r="R4604" s="242">
        <f>IFERROR(IF(F4604="SALDO",P4604,R4603+P4604-Q4604),0)</f>
        <v>27073.919999999962</v>
      </c>
      <c r="S4604" s="24" t="s">
        <v>1334</v>
      </c>
      <c r="T4604" s="24" t="s">
        <v>1334</v>
      </c>
      <c r="U4604" s="55"/>
      <c r="V4604" s="25">
        <f>IFERROR(VLOOKUP(BCP_Soles[[#This Row],[destinatario]],CHOOSE({1,2},Clientes_Proveedores[Razon Social],Clientes_Proveedores[Ruc / Dni]),2,0),"")</f>
        <v>20558226979</v>
      </c>
      <c r="W4604" s="25"/>
      <c r="X4604" s="25"/>
      <c r="Y4604" s="25"/>
      <c r="Z4604" s="77"/>
      <c r="AA4604" s="242" t="str">
        <f>IF(BCP_Soles[[#This Row],[fecha]]&gt;0,TEXT(BCP_Soles[[#This Row],[fecha]],"mmmm"),0)</f>
        <v>Noviembre</v>
      </c>
    </row>
    <row r="4605" spans="1:27" x14ac:dyDescent="0.3">
      <c r="A4605" s="237">
        <f>IF(BCP_Soles[[#This Row],[tipo_registro]]="R",COUNTIFS($C$1:$C4604,"R")+1,A4604)</f>
        <v>3050</v>
      </c>
      <c r="B4605" s="19" t="str">
        <f t="shared" si="610"/>
        <v>B-BCP - Soles</v>
      </c>
      <c r="C4605" s="3" t="s">
        <v>1352</v>
      </c>
      <c r="D4605" s="238">
        <v>45972</v>
      </c>
      <c r="E4605" s="65" t="s">
        <v>505</v>
      </c>
      <c r="F4605" s="239" t="s">
        <v>1303</v>
      </c>
      <c r="G4605" s="6" t="s">
        <v>425</v>
      </c>
      <c r="H4605" s="6" t="s">
        <v>68</v>
      </c>
      <c r="I4605" s="6" t="s">
        <v>3381</v>
      </c>
      <c r="J4605" s="6">
        <v>78</v>
      </c>
      <c r="K4605" s="7" t="s">
        <v>4308</v>
      </c>
      <c r="L4605" s="240">
        <v>6040330</v>
      </c>
      <c r="M4605" s="240" t="str">
        <f t="shared" si="611"/>
        <v>PEN</v>
      </c>
      <c r="N4605" s="13">
        <v>647.1</v>
      </c>
      <c r="O4605" s="13"/>
      <c r="P4605" s="242">
        <f t="shared" si="612"/>
        <v>0</v>
      </c>
      <c r="Q4605" s="242">
        <f t="shared" si="613"/>
        <v>0</v>
      </c>
      <c r="R4605" s="242">
        <f t="shared" ref="R4605:R4607" si="615">IFERROR(IF(F4605="SALDO",P4605,R4604+P4605-Q4605),0)</f>
        <v>27073.919999999962</v>
      </c>
      <c r="S4605" s="24" t="s">
        <v>1334</v>
      </c>
      <c r="T4605" s="24" t="s">
        <v>1334</v>
      </c>
      <c r="U4605" s="55"/>
      <c r="V4605" s="25">
        <f>IFERROR(VLOOKUP(BCP_Soles[[#This Row],[destinatario]],CHOOSE({1,2},Clientes_Proveedores[Razon Social],Clientes_Proveedores[Ruc / Dni]),2,0),"")</f>
        <v>20558226979</v>
      </c>
      <c r="W4605" s="25"/>
      <c r="X4605" s="25"/>
      <c r="Y4605" s="25"/>
      <c r="Z4605" s="77"/>
      <c r="AA4605" s="242" t="str">
        <f>IF(BCP_Soles[[#This Row],[fecha]]&gt;0,TEXT(BCP_Soles[[#This Row],[fecha]],"mmmm"),0)</f>
        <v>Noviembre</v>
      </c>
    </row>
    <row r="4606" spans="1:27" x14ac:dyDescent="0.3">
      <c r="A4606" s="237">
        <f>IF(BCP_Soles[[#This Row],[tipo_registro]]="R",COUNTIFS($C$1:$C4605,"R")+1,A4605)</f>
        <v>3050</v>
      </c>
      <c r="B4606" s="19" t="str">
        <f t="shared" si="610"/>
        <v>B-BCP - Soles</v>
      </c>
      <c r="C4606" s="3" t="s">
        <v>1352</v>
      </c>
      <c r="D4606" s="238">
        <v>45972</v>
      </c>
      <c r="E4606" s="65" t="s">
        <v>505</v>
      </c>
      <c r="F4606" s="239" t="s">
        <v>1303</v>
      </c>
      <c r="G4606" s="6" t="s">
        <v>425</v>
      </c>
      <c r="H4606" s="6" t="s">
        <v>68</v>
      </c>
      <c r="I4606" s="6" t="s">
        <v>3381</v>
      </c>
      <c r="J4606" s="6">
        <v>82</v>
      </c>
      <c r="K4606" s="7" t="s">
        <v>4308</v>
      </c>
      <c r="L4606" s="240">
        <v>6040330</v>
      </c>
      <c r="M4606" s="240" t="str">
        <f t="shared" si="611"/>
        <v>PEN</v>
      </c>
      <c r="N4606" s="13">
        <v>5328.75</v>
      </c>
      <c r="O4606" s="13"/>
      <c r="P4606" s="242">
        <f t="shared" si="612"/>
        <v>0</v>
      </c>
      <c r="Q4606" s="242">
        <f t="shared" si="613"/>
        <v>0</v>
      </c>
      <c r="R4606" s="242">
        <f t="shared" si="615"/>
        <v>27073.919999999962</v>
      </c>
      <c r="S4606" s="24" t="s">
        <v>1334</v>
      </c>
      <c r="T4606" s="24" t="s">
        <v>1334</v>
      </c>
      <c r="U4606" s="55"/>
      <c r="V4606" s="25">
        <f>IFERROR(VLOOKUP(BCP_Soles[[#This Row],[destinatario]],CHOOSE({1,2},Clientes_Proveedores[Razon Social],Clientes_Proveedores[Ruc / Dni]),2,0),"")</f>
        <v>20558226979</v>
      </c>
      <c r="W4606" s="25"/>
      <c r="X4606" s="25"/>
      <c r="Y4606" s="25"/>
      <c r="Z4606" s="77"/>
      <c r="AA4606" s="242" t="str">
        <f>IF(BCP_Soles[[#This Row],[fecha]]&gt;0,TEXT(BCP_Soles[[#This Row],[fecha]],"mmmm"),0)</f>
        <v>Noviembre</v>
      </c>
    </row>
    <row r="4607" spans="1:27" x14ac:dyDescent="0.3">
      <c r="A4607" s="237">
        <f>IF(BCP_Soles[[#This Row],[tipo_registro]]="R",COUNTIFS($C$1:$C4606,"R")+1,A4606)</f>
        <v>3051</v>
      </c>
      <c r="B4607" s="19" t="str">
        <f t="shared" si="610"/>
        <v>B-BCP - Soles</v>
      </c>
      <c r="C4607" s="3" t="s">
        <v>1330</v>
      </c>
      <c r="D4607" s="238">
        <v>45972</v>
      </c>
      <c r="E4607" s="5"/>
      <c r="F4607" s="239" t="s">
        <v>1303</v>
      </c>
      <c r="G4607" s="6" t="s">
        <v>425</v>
      </c>
      <c r="H4607" s="6" t="s">
        <v>119</v>
      </c>
      <c r="I4607" s="6"/>
      <c r="J4607" s="252" t="s">
        <v>3444</v>
      </c>
      <c r="K4607" s="7" t="s">
        <v>3608</v>
      </c>
      <c r="L4607" s="240">
        <v>1970559</v>
      </c>
      <c r="M4607" s="240" t="str">
        <f t="shared" si="611"/>
        <v>PEN</v>
      </c>
      <c r="N4607" s="13"/>
      <c r="O4607" s="13">
        <v>2000</v>
      </c>
      <c r="P4607" s="242">
        <f t="shared" si="612"/>
        <v>2000</v>
      </c>
      <c r="Q4607" s="242">
        <f t="shared" si="613"/>
        <v>0</v>
      </c>
      <c r="R4607" s="242">
        <f t="shared" si="615"/>
        <v>29073.919999999962</v>
      </c>
      <c r="S4607" s="24"/>
      <c r="T4607" s="243"/>
      <c r="U4607" s="55"/>
      <c r="V4607" s="25">
        <f>IFERROR(VLOOKUP(BCP_Soles[[#This Row],[destinatario]],CHOOSE({1,2},Clientes_Proveedores[Razon Social],Clientes_Proveedores[Ruc / Dni]),2,0),"")</f>
        <v>20558226979</v>
      </c>
      <c r="W4607" s="25"/>
      <c r="X4607" s="25"/>
      <c r="Y4607" s="25"/>
      <c r="Z4607" s="77"/>
      <c r="AA4607" s="242" t="str">
        <f>IF(BCP_Soles[[#This Row],[fecha]]&gt;0,TEXT(BCP_Soles[[#This Row],[fecha]],"mmmm"),0)</f>
        <v>Noviembre</v>
      </c>
    </row>
    <row r="4608" spans="1:27" ht="48" x14ac:dyDescent="0.3">
      <c r="A4608" s="237">
        <f>IF(BCP_Soles[[#This Row],[tipo_registro]]="R",COUNTIFS($C$1:$C4607,"R")+1,A4607)</f>
        <v>3052</v>
      </c>
      <c r="B4608" s="19" t="str">
        <f t="shared" si="610"/>
        <v>B-BCP - Soles</v>
      </c>
      <c r="C4608" s="3" t="s">
        <v>1330</v>
      </c>
      <c r="D4608" s="238">
        <v>45972</v>
      </c>
      <c r="E4608" s="5" t="s">
        <v>620</v>
      </c>
      <c r="F4608" s="239" t="s">
        <v>1303</v>
      </c>
      <c r="G4608" s="6" t="s">
        <v>425</v>
      </c>
      <c r="H4608" s="6" t="s">
        <v>68</v>
      </c>
      <c r="I4608" s="6" t="s">
        <v>1784</v>
      </c>
      <c r="J4608" s="6">
        <v>252</v>
      </c>
      <c r="K4608" s="7" t="s">
        <v>9501</v>
      </c>
      <c r="L4608" s="240">
        <v>9079084</v>
      </c>
      <c r="M4608" s="240" t="str">
        <f t="shared" si="611"/>
        <v>PEN</v>
      </c>
      <c r="N4608" s="13"/>
      <c r="O4608" s="13">
        <v>1792.85</v>
      </c>
      <c r="P4608" s="242">
        <f t="shared" si="612"/>
        <v>1792.85</v>
      </c>
      <c r="Q4608" s="242">
        <f t="shared" si="613"/>
        <v>0</v>
      </c>
      <c r="R4608" s="242">
        <f t="shared" si="614"/>
        <v>30866.76999999996</v>
      </c>
      <c r="S4608" s="24" t="s">
        <v>1334</v>
      </c>
      <c r="T4608" s="24" t="s">
        <v>1334</v>
      </c>
      <c r="U4608" s="55"/>
      <c r="V4608" s="25">
        <f>IFERROR(VLOOKUP(BCP_Soles[[#This Row],[destinatario]],CHOOSE({1,2},Clientes_Proveedores[Razon Social],Clientes_Proveedores[Ruc / Dni]),2,0),"")</f>
        <v>20558226979</v>
      </c>
      <c r="W4608" s="25"/>
      <c r="X4608" s="25"/>
      <c r="Y4608" s="25"/>
      <c r="Z4608" s="77"/>
      <c r="AA4608" s="242" t="str">
        <f>IF(BCP_Soles[[#This Row],[fecha]]&gt;0,TEXT(BCP_Soles[[#This Row],[fecha]],"mmmm"),0)</f>
        <v>Noviembre</v>
      </c>
    </row>
    <row r="4609" spans="1:27" ht="24" x14ac:dyDescent="0.3">
      <c r="A4609" s="237">
        <f>IF(BCP_Soles[[#This Row],[tipo_registro]]="R",COUNTIFS($C$1:$C4608,"R")+1,A4608)</f>
        <v>3053</v>
      </c>
      <c r="B4609" s="19" t="str">
        <f t="shared" si="610"/>
        <v>B-BCP - Soles</v>
      </c>
      <c r="C4609" s="3" t="s">
        <v>1330</v>
      </c>
      <c r="D4609" s="238">
        <v>45972</v>
      </c>
      <c r="E4609" s="5" t="s">
        <v>2269</v>
      </c>
      <c r="F4609" s="239" t="s">
        <v>1336</v>
      </c>
      <c r="G4609" s="6" t="s">
        <v>249</v>
      </c>
      <c r="H4609" s="6"/>
      <c r="I4609" s="6"/>
      <c r="J4609" s="6"/>
      <c r="K4609" s="7" t="s">
        <v>9471</v>
      </c>
      <c r="L4609" s="240">
        <v>1116206</v>
      </c>
      <c r="M4609" s="240" t="str">
        <f t="shared" si="611"/>
        <v>PEN</v>
      </c>
      <c r="N4609" s="13"/>
      <c r="O4609" s="241">
        <v>4500</v>
      </c>
      <c r="P4609" s="242">
        <f t="shared" si="612"/>
        <v>0</v>
      </c>
      <c r="Q4609" s="242">
        <f t="shared" si="613"/>
        <v>4500</v>
      </c>
      <c r="R4609" s="242">
        <f t="shared" si="614"/>
        <v>26366.76999999996</v>
      </c>
      <c r="S4609" s="243"/>
      <c r="T4609" s="24" t="s">
        <v>1334</v>
      </c>
      <c r="U4609" s="55"/>
      <c r="V4609" s="25">
        <f>IFERROR(VLOOKUP(BCP_Soles[[#This Row],[destinatario]],CHOOSE({1,2},Clientes_Proveedores[Razon Social],Clientes_Proveedores[Ruc / Dni]),2,0),"")</f>
        <v>20302891452</v>
      </c>
      <c r="W4609" s="25"/>
      <c r="X4609" s="25"/>
      <c r="Y4609" s="25"/>
      <c r="Z4609" s="77"/>
      <c r="AA4609" s="242" t="str">
        <f>IF(BCP_Soles[[#This Row],[fecha]]&gt;0,TEXT(BCP_Soles[[#This Row],[fecha]],"mmmm"),0)</f>
        <v>Noviembre</v>
      </c>
    </row>
    <row r="4610" spans="1:27" x14ac:dyDescent="0.3">
      <c r="A4610" s="237">
        <f>IF(BCP_Soles[[#This Row],[tipo_registro]]="R",COUNTIFS($C$1:$C4609,"R")+1,A4609)</f>
        <v>3054</v>
      </c>
      <c r="B4610" s="19" t="str">
        <f t="shared" si="610"/>
        <v>B-BCP - Soles</v>
      </c>
      <c r="C4610" s="3" t="s">
        <v>1330</v>
      </c>
      <c r="D4610" s="238">
        <v>45972</v>
      </c>
      <c r="E4610" s="5" t="s">
        <v>2269</v>
      </c>
      <c r="F4610" s="239" t="s">
        <v>1336</v>
      </c>
      <c r="G4610" s="6" t="s">
        <v>407</v>
      </c>
      <c r="H4610" s="6" t="s">
        <v>68</v>
      </c>
      <c r="I4610" s="6" t="s">
        <v>9473</v>
      </c>
      <c r="J4610" s="6">
        <v>18649</v>
      </c>
      <c r="K4610" s="7" t="s">
        <v>9472</v>
      </c>
      <c r="L4610" s="240">
        <v>117676</v>
      </c>
      <c r="M4610" s="240" t="str">
        <f t="shared" si="611"/>
        <v>PEN</v>
      </c>
      <c r="N4610" s="13"/>
      <c r="O4610" s="241">
        <v>196.52</v>
      </c>
      <c r="P4610" s="242">
        <f t="shared" si="612"/>
        <v>0</v>
      </c>
      <c r="Q4610" s="242">
        <f t="shared" si="613"/>
        <v>196.52</v>
      </c>
      <c r="R4610" s="242">
        <f t="shared" si="609"/>
        <v>26170.24999999996</v>
      </c>
      <c r="S4610" s="24" t="s">
        <v>1334</v>
      </c>
      <c r="T4610" s="24" t="s">
        <v>1334</v>
      </c>
      <c r="U4610" s="55"/>
      <c r="V4610" s="25">
        <f>IFERROR(VLOOKUP(BCP_Soles[[#This Row],[destinatario]],CHOOSE({1,2},Clientes_Proveedores[Razon Social],Clientes_Proveedores[Ruc / Dni]),2,0),"")</f>
        <v>20549068201</v>
      </c>
      <c r="W4610" s="25"/>
      <c r="X4610" s="25"/>
      <c r="Y4610" s="25"/>
      <c r="Z4610" s="77"/>
      <c r="AA4610" s="242" t="str">
        <f>IF(BCP_Soles[[#This Row],[fecha]]&gt;0,TEXT(BCP_Soles[[#This Row],[fecha]],"mmmm"),0)</f>
        <v>Noviembre</v>
      </c>
    </row>
    <row r="4611" spans="1:27" x14ac:dyDescent="0.3">
      <c r="A4611" s="2">
        <f>IF(BCP_Soles[[#This Row],[tipo_registro]]="R",COUNTIFS($C$1:$C4610,"R")+1,A4610)</f>
        <v>3055</v>
      </c>
      <c r="B4611" s="19" t="str">
        <f t="shared" si="610"/>
        <v>B-BCP - Soles</v>
      </c>
      <c r="C4611" s="13" t="s">
        <v>1330</v>
      </c>
      <c r="D4611" s="14">
        <v>45972</v>
      </c>
      <c r="E4611" s="5" t="s">
        <v>2269</v>
      </c>
      <c r="F4611" s="5" t="s">
        <v>1336</v>
      </c>
      <c r="G4611" s="6" t="s">
        <v>696</v>
      </c>
      <c r="H4611" s="6"/>
      <c r="I4611" s="6"/>
      <c r="J4611" s="6"/>
      <c r="K4611" s="7" t="s">
        <v>9481</v>
      </c>
      <c r="L4611" s="8">
        <v>8857611</v>
      </c>
      <c r="M4611" s="8" t="str">
        <f t="shared" si="611"/>
        <v>PEN</v>
      </c>
      <c r="N4611" s="13"/>
      <c r="O4611" s="13">
        <v>4971.2</v>
      </c>
      <c r="P4611" s="3">
        <f t="shared" si="612"/>
        <v>0</v>
      </c>
      <c r="Q4611" s="3">
        <f t="shared" si="613"/>
        <v>4971.2</v>
      </c>
      <c r="R4611" s="3">
        <f t="shared" si="609"/>
        <v>21199.049999999959</v>
      </c>
      <c r="S4611" s="24" t="s">
        <v>1334</v>
      </c>
      <c r="T4611" s="24" t="s">
        <v>1334</v>
      </c>
      <c r="U4611" s="55"/>
      <c r="V4611" s="25">
        <f>IFERROR(VLOOKUP(BCP_Soles[[#This Row],[destinatario]],CHOOSE({1,2},Clientes_Proveedores[Razon Social],Clientes_Proveedores[Ruc / Dni]),2,0),"")</f>
        <v>0</v>
      </c>
      <c r="W4611" s="25"/>
      <c r="X4611" s="25"/>
      <c r="Y4611" s="25"/>
      <c r="Z4611" s="77"/>
      <c r="AA4611" s="3" t="str">
        <f>IF(BCP_Soles[[#This Row],[fecha]]&gt;0,TEXT(BCP_Soles[[#This Row],[fecha]],"mmmm"),0)</f>
        <v>Noviembre</v>
      </c>
    </row>
    <row r="4612" spans="1:27" ht="24" x14ac:dyDescent="0.3">
      <c r="A4612" s="2">
        <f>IF(BCP_Soles[[#This Row],[tipo_registro]]="R",COUNTIFS($C$1:$C4611,"R")+1,A4611)</f>
        <v>3055</v>
      </c>
      <c r="B4612" s="19" t="str">
        <f>"B-BCP - Soles"</f>
        <v>B-BCP - Soles</v>
      </c>
      <c r="C4612" s="13" t="s">
        <v>1352</v>
      </c>
      <c r="D4612" s="14">
        <v>45972</v>
      </c>
      <c r="E4612" s="5" t="s">
        <v>2269</v>
      </c>
      <c r="F4612" s="5" t="s">
        <v>1336</v>
      </c>
      <c r="G4612" s="6" t="s">
        <v>553</v>
      </c>
      <c r="H4612" s="6" t="s">
        <v>68</v>
      </c>
      <c r="I4612" s="6" t="s">
        <v>1376</v>
      </c>
      <c r="J4612" s="6">
        <v>390</v>
      </c>
      <c r="K4612" s="7" t="s">
        <v>9481</v>
      </c>
      <c r="L4612" s="8">
        <v>8857611</v>
      </c>
      <c r="M4612" s="8" t="str">
        <f>"PEN"</f>
        <v>PEN</v>
      </c>
      <c r="N4612" s="13">
        <v>2784</v>
      </c>
      <c r="O4612" s="13"/>
      <c r="P4612" s="3">
        <f>+IF(OR($F4612="SALDO",$F4612="INGRESO"),$O4612,0)</f>
        <v>0</v>
      </c>
      <c r="Q4612" s="3">
        <f>+IF($F4612="EGRESO",$O4612,0)</f>
        <v>0</v>
      </c>
      <c r="R4612" s="3">
        <f t="shared" ref="R4612:R4631" si="616">IFERROR(IF(F4612="SALDO",P4612,R4611+P4612-Q4612),0)</f>
        <v>21199.049999999959</v>
      </c>
      <c r="S4612" s="24" t="s">
        <v>1334</v>
      </c>
      <c r="T4612" s="24" t="s">
        <v>1334</v>
      </c>
      <c r="U4612" s="55"/>
      <c r="V4612" s="25">
        <f>IFERROR(VLOOKUP(BCP_Soles[[#This Row],[destinatario]],CHOOSE({1,2},Clientes_Proveedores[Razon Social],Clientes_Proveedores[Ruc / Dni]),2,0),"")</f>
        <v>20606866861</v>
      </c>
      <c r="W4612" s="25"/>
      <c r="X4612" s="25"/>
      <c r="Y4612" s="25"/>
      <c r="Z4612" s="77"/>
      <c r="AA4612" s="3" t="str">
        <f>IF(BCP_Soles[[#This Row],[fecha]]&gt;0,TEXT(BCP_Soles[[#This Row],[fecha]],"mmmm"),0)</f>
        <v>Noviembre</v>
      </c>
    </row>
    <row r="4613" spans="1:27" ht="36" x14ac:dyDescent="0.3">
      <c r="A4613" s="2">
        <f>IF(BCP_Soles[[#This Row],[tipo_registro]]="R",COUNTIFS($C$1:$C4612,"R")+1,A4612)</f>
        <v>3055</v>
      </c>
      <c r="B4613" s="19" t="str">
        <f>"B-BCP - Soles"</f>
        <v>B-BCP - Soles</v>
      </c>
      <c r="C4613" s="13" t="s">
        <v>1352</v>
      </c>
      <c r="D4613" s="14">
        <v>45972</v>
      </c>
      <c r="E4613" s="5" t="s">
        <v>2269</v>
      </c>
      <c r="F4613" s="5" t="s">
        <v>1336</v>
      </c>
      <c r="G4613" s="6" t="s">
        <v>626</v>
      </c>
      <c r="H4613" s="6" t="s">
        <v>68</v>
      </c>
      <c r="I4613" s="6" t="s">
        <v>1376</v>
      </c>
      <c r="J4613" s="6">
        <v>236</v>
      </c>
      <c r="K4613" s="7" t="s">
        <v>9481</v>
      </c>
      <c r="L4613" s="8">
        <v>8857611</v>
      </c>
      <c r="M4613" s="8" t="str">
        <f>"PEN"</f>
        <v>PEN</v>
      </c>
      <c r="N4613" s="13">
        <v>960</v>
      </c>
      <c r="O4613" s="13"/>
      <c r="P4613" s="3">
        <f>+IF(OR($F4613="SALDO",$F4613="INGRESO"),$O4613,0)</f>
        <v>0</v>
      </c>
      <c r="Q4613" s="3">
        <f>+IF($F4613="EGRESO",$O4613,0)</f>
        <v>0</v>
      </c>
      <c r="R4613" s="3">
        <f t="shared" si="616"/>
        <v>21199.049999999959</v>
      </c>
      <c r="S4613" s="24" t="s">
        <v>1334</v>
      </c>
      <c r="T4613" s="24" t="s">
        <v>1334</v>
      </c>
      <c r="U4613" s="55"/>
      <c r="V4613" s="25">
        <f>IFERROR(VLOOKUP(BCP_Soles[[#This Row],[destinatario]],CHOOSE({1,2},Clientes_Proveedores[Razon Social],Clientes_Proveedores[Ruc / Dni]),2,0),"")</f>
        <v>20549334874</v>
      </c>
      <c r="W4613" s="25"/>
      <c r="X4613" s="25"/>
      <c r="Y4613" s="25"/>
      <c r="Z4613" s="77"/>
      <c r="AA4613" s="3" t="str">
        <f>IF(BCP_Soles[[#This Row],[fecha]]&gt;0,TEXT(BCP_Soles[[#This Row],[fecha]],"mmmm"),0)</f>
        <v>Noviembre</v>
      </c>
    </row>
    <row r="4614" spans="1:27" x14ac:dyDescent="0.3">
      <c r="A4614" s="2">
        <f>IF(BCP_Soles[[#This Row],[tipo_registro]]="R",COUNTIFS($C$1:$C4613,"R")+1,A4613)</f>
        <v>3055</v>
      </c>
      <c r="B4614" s="19" t="str">
        <f>"B-BCP - Soles"</f>
        <v>B-BCP - Soles</v>
      </c>
      <c r="C4614" s="13" t="s">
        <v>1352</v>
      </c>
      <c r="D4614" s="14">
        <v>45972</v>
      </c>
      <c r="E4614" s="5" t="s">
        <v>2269</v>
      </c>
      <c r="F4614" s="5" t="s">
        <v>1336</v>
      </c>
      <c r="G4614" s="6" t="s">
        <v>1185</v>
      </c>
      <c r="H4614" s="6" t="s">
        <v>68</v>
      </c>
      <c r="I4614" s="6" t="s">
        <v>1376</v>
      </c>
      <c r="J4614" s="6">
        <v>433</v>
      </c>
      <c r="K4614" s="7" t="s">
        <v>9481</v>
      </c>
      <c r="L4614" s="8">
        <v>8857611</v>
      </c>
      <c r="M4614" s="8" t="str">
        <f>"PEN"</f>
        <v>PEN</v>
      </c>
      <c r="N4614" s="13">
        <v>566.4</v>
      </c>
      <c r="O4614" s="13"/>
      <c r="P4614" s="3">
        <f>+IF(OR($F4614="SALDO",$F4614="INGRESO"),$O4614,0)</f>
        <v>0</v>
      </c>
      <c r="Q4614" s="3">
        <f>+IF($F4614="EGRESO",$O4614,0)</f>
        <v>0</v>
      </c>
      <c r="R4614" s="3">
        <f t="shared" si="616"/>
        <v>21199.049999999959</v>
      </c>
      <c r="S4614" s="24" t="s">
        <v>1334</v>
      </c>
      <c r="T4614" s="24" t="s">
        <v>1334</v>
      </c>
      <c r="U4614" s="55"/>
      <c r="V4614" s="25">
        <f>IFERROR(VLOOKUP(BCP_Soles[[#This Row],[destinatario]],CHOOSE({1,2},Clientes_Proveedores[Razon Social],Clientes_Proveedores[Ruc / Dni]),2,0),"")</f>
        <v>20607192872</v>
      </c>
      <c r="W4614" s="25"/>
      <c r="X4614" s="25"/>
      <c r="Y4614" s="25"/>
      <c r="Z4614" s="77"/>
      <c r="AA4614" s="3" t="str">
        <f>IF(BCP_Soles[[#This Row],[fecha]]&gt;0,TEXT(BCP_Soles[[#This Row],[fecha]],"mmmm"),0)</f>
        <v>Noviembre</v>
      </c>
    </row>
    <row r="4615" spans="1:27" x14ac:dyDescent="0.3">
      <c r="A4615" s="2">
        <f>IF(BCP_Soles[[#This Row],[tipo_registro]]="R",COUNTIFS($C$1:$C4614,"R")+1,A4614)</f>
        <v>3055</v>
      </c>
      <c r="B4615" s="19" t="str">
        <f>"B-BCP - Soles"</f>
        <v>B-BCP - Soles</v>
      </c>
      <c r="C4615" s="13" t="s">
        <v>1352</v>
      </c>
      <c r="D4615" s="14">
        <v>45972</v>
      </c>
      <c r="E4615" s="5" t="s">
        <v>2269</v>
      </c>
      <c r="F4615" s="5" t="s">
        <v>1336</v>
      </c>
      <c r="G4615" s="6" t="s">
        <v>1185</v>
      </c>
      <c r="H4615" s="6" t="s">
        <v>68</v>
      </c>
      <c r="I4615" s="6" t="s">
        <v>1376</v>
      </c>
      <c r="J4615" s="6">
        <v>434</v>
      </c>
      <c r="K4615" s="7" t="s">
        <v>9481</v>
      </c>
      <c r="L4615" s="8">
        <v>8857611</v>
      </c>
      <c r="M4615" s="8" t="str">
        <f>"PEN"</f>
        <v>PEN</v>
      </c>
      <c r="N4615" s="13">
        <v>660.8</v>
      </c>
      <c r="O4615" s="13"/>
      <c r="P4615" s="3">
        <f>+IF(OR($F4615="SALDO",$F4615="INGRESO"),$O4615,0)</f>
        <v>0</v>
      </c>
      <c r="Q4615" s="3">
        <f>+IF($F4615="EGRESO",$O4615,0)</f>
        <v>0</v>
      </c>
      <c r="R4615" s="3">
        <f t="shared" si="616"/>
        <v>21199.049999999959</v>
      </c>
      <c r="S4615" s="24" t="s">
        <v>1334</v>
      </c>
      <c r="T4615" s="24" t="s">
        <v>1334</v>
      </c>
      <c r="U4615" s="55"/>
      <c r="V4615" s="25">
        <f>IFERROR(VLOOKUP(BCP_Soles[[#This Row],[destinatario]],CHOOSE({1,2},Clientes_Proveedores[Razon Social],Clientes_Proveedores[Ruc / Dni]),2,0),"")</f>
        <v>20607192872</v>
      </c>
      <c r="W4615" s="25"/>
      <c r="X4615" s="25"/>
      <c r="Y4615" s="25"/>
      <c r="Z4615" s="77"/>
      <c r="AA4615" s="3" t="str">
        <f>IF(BCP_Soles[[#This Row],[fecha]]&gt;0,TEXT(BCP_Soles[[#This Row],[fecha]],"mmmm"),0)</f>
        <v>Noviembre</v>
      </c>
    </row>
    <row r="4616" spans="1:27" ht="24" x14ac:dyDescent="0.3">
      <c r="A4616" s="244">
        <f>IF(BCP_Soles[[#This Row],[tipo_registro]]="R",COUNTIFS($C$1:$C4615,"R")+1,A4615)</f>
        <v>3056</v>
      </c>
      <c r="B4616" s="19" t="str">
        <f t="shared" si="610"/>
        <v>B-BCP - Soles</v>
      </c>
      <c r="C4616" s="13" t="s">
        <v>1330</v>
      </c>
      <c r="D4616" s="14">
        <v>45972</v>
      </c>
      <c r="E4616" s="5" t="s">
        <v>1335</v>
      </c>
      <c r="F4616" s="5" t="s">
        <v>1336</v>
      </c>
      <c r="G4616" s="6" t="s">
        <v>1060</v>
      </c>
      <c r="H4616" s="6" t="s">
        <v>68</v>
      </c>
      <c r="I4616" s="6"/>
      <c r="J4616" s="6"/>
      <c r="K4616" s="247" t="s">
        <v>9503</v>
      </c>
      <c r="L4616" s="248">
        <v>8857627</v>
      </c>
      <c r="M4616" s="248" t="str">
        <f t="shared" si="611"/>
        <v>PEN</v>
      </c>
      <c r="N4616" s="13"/>
      <c r="O4616" s="249">
        <v>5</v>
      </c>
      <c r="P4616" s="250">
        <f t="shared" si="612"/>
        <v>0</v>
      </c>
      <c r="Q4616" s="250">
        <f t="shared" si="613"/>
        <v>5</v>
      </c>
      <c r="R4616" s="250">
        <f t="shared" si="616"/>
        <v>21194.049999999959</v>
      </c>
      <c r="S4616" s="251"/>
      <c r="T4616" s="251"/>
      <c r="U4616" s="55"/>
      <c r="V4616" s="25">
        <f>IFERROR(VLOOKUP(BCP_Soles[[#This Row],[destinatario]],CHOOSE({1,2},Clientes_Proveedores[Razon Social],Clientes_Proveedores[Ruc / Dni]),2,0),"")</f>
        <v>20100047218</v>
      </c>
      <c r="W4616" s="25"/>
      <c r="X4616" s="25"/>
      <c r="Y4616" s="25"/>
      <c r="Z4616" s="77"/>
      <c r="AA4616" s="250" t="str">
        <f>IF(BCP_Soles[[#This Row],[fecha]]&gt;0,TEXT(BCP_Soles[[#This Row],[fecha]],"mmmm"),0)</f>
        <v>Noviembre</v>
      </c>
    </row>
    <row r="4617" spans="1:27" x14ac:dyDescent="0.3">
      <c r="A4617" s="244">
        <f>IF(BCP_Soles[[#This Row],[tipo_registro]]="R",COUNTIFS($C$1:$C4616,"R")+1,A4616)</f>
        <v>3057</v>
      </c>
      <c r="B4617" s="19" t="str">
        <f t="shared" si="610"/>
        <v>B-BCP - Soles</v>
      </c>
      <c r="C4617" s="13" t="s">
        <v>1330</v>
      </c>
      <c r="D4617" s="14">
        <v>45972</v>
      </c>
      <c r="E4617" s="5" t="s">
        <v>4171</v>
      </c>
      <c r="F4617" s="5" t="s">
        <v>1336</v>
      </c>
      <c r="G4617" s="6"/>
      <c r="H4617" s="6"/>
      <c r="I4617" s="6"/>
      <c r="J4617" s="6"/>
      <c r="K4617" s="247" t="s">
        <v>4447</v>
      </c>
      <c r="L4617" s="248">
        <v>1609</v>
      </c>
      <c r="M4617" s="248" t="str">
        <f t="shared" si="611"/>
        <v>PEN</v>
      </c>
      <c r="N4617" s="13"/>
      <c r="O4617" s="249">
        <v>5519.91</v>
      </c>
      <c r="P4617" s="250">
        <f t="shared" si="612"/>
        <v>0</v>
      </c>
      <c r="Q4617" s="250">
        <f t="shared" si="613"/>
        <v>5519.91</v>
      </c>
      <c r="R4617" s="250">
        <f t="shared" si="616"/>
        <v>15674.139999999959</v>
      </c>
      <c r="S4617" s="251"/>
      <c r="T4617" s="251"/>
      <c r="U4617" s="55"/>
      <c r="V4617" s="25" t="str">
        <f>IFERROR(VLOOKUP(BCP_Soles[[#This Row],[destinatario]],CHOOSE({1,2},Clientes_Proveedores[Razon Social],Clientes_Proveedores[Ruc / Dni]),2,0),"")</f>
        <v/>
      </c>
      <c r="W4617" s="25"/>
      <c r="X4617" s="25"/>
      <c r="Y4617" s="25"/>
      <c r="Z4617" s="77"/>
      <c r="AA4617" s="250" t="str">
        <f>IF(BCP_Soles[[#This Row],[fecha]]&gt;0,TEXT(BCP_Soles[[#This Row],[fecha]],"mmmm"),0)</f>
        <v>Noviembre</v>
      </c>
    </row>
    <row r="4618" spans="1:27" x14ac:dyDescent="0.3">
      <c r="A4618" s="244">
        <f>IF(BCP_Soles[[#This Row],[tipo_registro]]="R",COUNTIFS($C$1:$C4617,"R")+1,A4617)</f>
        <v>3058</v>
      </c>
      <c r="B4618" s="19" t="str">
        <f t="shared" si="610"/>
        <v>B-BCP - Soles</v>
      </c>
      <c r="C4618" s="13" t="s">
        <v>1330</v>
      </c>
      <c r="D4618" s="14">
        <v>45972</v>
      </c>
      <c r="E4618" s="5"/>
      <c r="F4618" s="5" t="s">
        <v>1336</v>
      </c>
      <c r="G4618" s="6"/>
      <c r="H4618" s="6"/>
      <c r="I4618" s="6"/>
      <c r="J4618" s="6"/>
      <c r="K4618" s="247" t="s">
        <v>3160</v>
      </c>
      <c r="L4618" s="248"/>
      <c r="M4618" s="248" t="str">
        <f t="shared" si="611"/>
        <v>PEN</v>
      </c>
      <c r="N4618" s="13"/>
      <c r="O4618" s="249">
        <v>1.6</v>
      </c>
      <c r="P4618" s="250">
        <f t="shared" si="612"/>
        <v>0</v>
      </c>
      <c r="Q4618" s="250">
        <f t="shared" si="613"/>
        <v>1.6</v>
      </c>
      <c r="R4618" s="250">
        <f t="shared" si="616"/>
        <v>15672.539999999959</v>
      </c>
      <c r="S4618" s="251"/>
      <c r="T4618" s="251"/>
      <c r="U4618" s="55"/>
      <c r="V4618" s="25" t="str">
        <f>IFERROR(VLOOKUP(BCP_Soles[[#This Row],[destinatario]],CHOOSE({1,2},Clientes_Proveedores[Razon Social],Clientes_Proveedores[Ruc / Dni]),2,0),"")</f>
        <v/>
      </c>
      <c r="W4618" s="25"/>
      <c r="X4618" s="25"/>
      <c r="Y4618" s="25"/>
      <c r="Z4618" s="77"/>
      <c r="AA4618" s="250" t="str">
        <f>IF(BCP_Soles[[#This Row],[fecha]]&gt;0,TEXT(BCP_Soles[[#This Row],[fecha]],"mmmm"),0)</f>
        <v>Noviembre</v>
      </c>
    </row>
    <row r="4619" spans="1:27" ht="24" x14ac:dyDescent="0.3">
      <c r="A4619" s="244">
        <f>IF(BCP_Soles[[#This Row],[tipo_registro]]="R",COUNTIFS($C$1:$C4618,"R")+1,A4618)</f>
        <v>3059</v>
      </c>
      <c r="B4619" s="19" t="str">
        <f>"B-BCP - Soles"</f>
        <v>B-BCP - Soles</v>
      </c>
      <c r="C4619" s="13" t="s">
        <v>1330</v>
      </c>
      <c r="D4619" s="14">
        <v>45973</v>
      </c>
      <c r="E4619" s="5" t="s">
        <v>433</v>
      </c>
      <c r="F4619" s="5" t="s">
        <v>1303</v>
      </c>
      <c r="G4619" s="191" t="s">
        <v>425</v>
      </c>
      <c r="H4619" s="6" t="s">
        <v>68</v>
      </c>
      <c r="I4619" s="6" t="s">
        <v>3302</v>
      </c>
      <c r="J4619" s="6">
        <v>172</v>
      </c>
      <c r="K4619" s="7" t="s">
        <v>3608</v>
      </c>
      <c r="L4619" s="248">
        <v>3146350</v>
      </c>
      <c r="M4619" s="248" t="str">
        <f>"PEN"</f>
        <v>PEN</v>
      </c>
      <c r="N4619" s="13"/>
      <c r="O4619" s="249">
        <v>442.5</v>
      </c>
      <c r="P4619" s="250">
        <f>+IF(OR($F4619="SALDO",$F4619="INGRESO"),$O4619,0)</f>
        <v>442.5</v>
      </c>
      <c r="Q4619" s="250">
        <f>+IF($F4619="EGRESO",$O4619,0)</f>
        <v>0</v>
      </c>
      <c r="R4619" s="250">
        <f>IFERROR(IF(F4619="SALDO",P4619,R4618+P4619-Q4619),0)</f>
        <v>16115.039999999959</v>
      </c>
      <c r="S4619" s="24" t="s">
        <v>1334</v>
      </c>
      <c r="T4619" s="24" t="s">
        <v>1334</v>
      </c>
      <c r="U4619" s="55"/>
      <c r="V4619" s="25">
        <f>IFERROR(VLOOKUP(BCP_Soles[[#This Row],[destinatario]],CHOOSE({1,2},Clientes_Proveedores[Razon Social],Clientes_Proveedores[Ruc / Dni]),2,0),"")</f>
        <v>20558226979</v>
      </c>
      <c r="W4619" s="25"/>
      <c r="X4619" s="25"/>
      <c r="Y4619" s="25"/>
      <c r="Z4619" s="77"/>
      <c r="AA4619" s="250" t="str">
        <f>IF(BCP_Soles[[#This Row],[fecha]]&gt;0,TEXT(BCP_Soles[[#This Row],[fecha]],"mmmm"),0)</f>
        <v>Noviembre</v>
      </c>
    </row>
    <row r="4620" spans="1:27" x14ac:dyDescent="0.3">
      <c r="A4620" s="244">
        <f>IF(BCP_Soles[[#This Row],[tipo_registro]]="R",COUNTIFS($C$1:$C4619,"R")+1,A4619)</f>
        <v>3060</v>
      </c>
      <c r="B4620" s="19" t="str">
        <f>"B-BCP - Soles"</f>
        <v>B-BCP - Soles</v>
      </c>
      <c r="C4620" s="13" t="s">
        <v>1330</v>
      </c>
      <c r="D4620" s="14">
        <v>45973</v>
      </c>
      <c r="E4620" s="5" t="s">
        <v>5432</v>
      </c>
      <c r="F4620" s="5" t="s">
        <v>1303</v>
      </c>
      <c r="G4620" s="191" t="s">
        <v>425</v>
      </c>
      <c r="H4620" s="6"/>
      <c r="I4620" s="6"/>
      <c r="J4620" s="6"/>
      <c r="K4620" s="7" t="s">
        <v>9533</v>
      </c>
      <c r="L4620" s="248">
        <v>3902075</v>
      </c>
      <c r="M4620" s="248" t="str">
        <f>"PEN"</f>
        <v>PEN</v>
      </c>
      <c r="N4620" s="13"/>
      <c r="O4620" s="249">
        <v>30</v>
      </c>
      <c r="P4620" s="250">
        <f>+IF(OR($F4620="SALDO",$F4620="INGRESO"),$O4620,0)</f>
        <v>30</v>
      </c>
      <c r="Q4620" s="250">
        <f>+IF($F4620="EGRESO",$O4620,0)</f>
        <v>0</v>
      </c>
      <c r="R4620" s="250">
        <f>IFERROR(IF(F4620="SALDO",P4620,R4619+P4620-Q4620),0)</f>
        <v>16145.039999999959</v>
      </c>
      <c r="S4620" s="24"/>
      <c r="T4620" s="251"/>
      <c r="U4620" s="55"/>
      <c r="V4620" s="25">
        <f>IFERROR(VLOOKUP(BCP_Soles[[#This Row],[destinatario]],CHOOSE({1,2},Clientes_Proveedores[Razon Social],Clientes_Proveedores[Ruc / Dni]),2,0),"")</f>
        <v>20558226979</v>
      </c>
      <c r="W4620" s="25"/>
      <c r="X4620" s="25"/>
      <c r="Y4620" s="25"/>
      <c r="Z4620" s="77"/>
      <c r="AA4620" s="250" t="str">
        <f>IF(BCP_Soles[[#This Row],[fecha]]&gt;0,TEXT(BCP_Soles[[#This Row],[fecha]],"mmmm"),0)</f>
        <v>Noviembre</v>
      </c>
    </row>
    <row r="4621" spans="1:27" x14ac:dyDescent="0.3">
      <c r="A4621" s="244">
        <f>IF(BCP_Soles[[#This Row],[tipo_registro]]="R",COUNTIFS($C$1:$C4620,"R")+1,A4620)</f>
        <v>3061</v>
      </c>
      <c r="B4621" s="19" t="str">
        <f>"B-BCP - Soles"</f>
        <v>B-BCP - Soles</v>
      </c>
      <c r="C4621" s="13" t="s">
        <v>1330</v>
      </c>
      <c r="D4621" s="14">
        <v>45973</v>
      </c>
      <c r="E4621" s="5" t="s">
        <v>9534</v>
      </c>
      <c r="F4621" s="5" t="s">
        <v>1303</v>
      </c>
      <c r="G4621" s="191" t="s">
        <v>425</v>
      </c>
      <c r="H4621" s="6"/>
      <c r="I4621" s="6"/>
      <c r="J4621" s="6"/>
      <c r="K4621" s="7" t="s">
        <v>9533</v>
      </c>
      <c r="L4621" s="248"/>
      <c r="M4621" s="248" t="str">
        <f>"PEN"</f>
        <v>PEN</v>
      </c>
      <c r="N4621" s="13"/>
      <c r="O4621" s="249">
        <v>30</v>
      </c>
      <c r="P4621" s="250">
        <f>+IF(OR($F4621="SALDO",$F4621="INGRESO"),$O4621,0)</f>
        <v>30</v>
      </c>
      <c r="Q4621" s="250">
        <f>+IF($F4621="EGRESO",$O4621,0)</f>
        <v>0</v>
      </c>
      <c r="R4621" s="250">
        <f>IFERROR(IF(F4621="SALDO",P4621,R4620+P4621-Q4621),0)</f>
        <v>16175.039999999959</v>
      </c>
      <c r="S4621" s="24"/>
      <c r="T4621" s="251"/>
      <c r="U4621" s="55"/>
      <c r="V4621" s="25">
        <f>IFERROR(VLOOKUP(BCP_Soles[[#This Row],[destinatario]],CHOOSE({1,2},Clientes_Proveedores[Razon Social],Clientes_Proveedores[Ruc / Dni]),2,0),"")</f>
        <v>20558226979</v>
      </c>
      <c r="W4621" s="25"/>
      <c r="X4621" s="25"/>
      <c r="Y4621" s="25"/>
      <c r="Z4621" s="77"/>
      <c r="AA4621" s="250" t="str">
        <f>IF(BCP_Soles[[#This Row],[fecha]]&gt;0,TEXT(BCP_Soles[[#This Row],[fecha]],"mmmm"),0)</f>
        <v>Noviembre</v>
      </c>
    </row>
    <row r="4622" spans="1:27" ht="24" x14ac:dyDescent="0.3">
      <c r="A4622" s="2">
        <f>IF(BCP_Soles[[#This Row],[tipo_registro]]="R",COUNTIFS($C$1:$C4621,"R")+1,A4621)</f>
        <v>3062</v>
      </c>
      <c r="B4622" s="19" t="str">
        <f t="shared" si="610"/>
        <v>B-BCP - Soles</v>
      </c>
      <c r="C4622" s="13" t="s">
        <v>1330</v>
      </c>
      <c r="D4622" s="14">
        <v>45973</v>
      </c>
      <c r="E4622" s="190" t="s">
        <v>2269</v>
      </c>
      <c r="F4622" s="190" t="s">
        <v>1336</v>
      </c>
      <c r="G4622" s="191" t="s">
        <v>493</v>
      </c>
      <c r="H4622" s="6" t="s">
        <v>68</v>
      </c>
      <c r="I4622" s="191" t="s">
        <v>1841</v>
      </c>
      <c r="J4622" s="191">
        <v>2119</v>
      </c>
      <c r="K4622" s="106" t="s">
        <v>9412</v>
      </c>
      <c r="L4622" s="192">
        <v>1000319</v>
      </c>
      <c r="M4622" s="192" t="str">
        <f t="shared" ref="M4622" si="617">"PEN"</f>
        <v>PEN</v>
      </c>
      <c r="N4622" s="193"/>
      <c r="O4622" s="193">
        <v>2196.3000000000002</v>
      </c>
      <c r="P4622" s="3">
        <f t="shared" si="612"/>
        <v>0</v>
      </c>
      <c r="Q4622" s="3">
        <f t="shared" si="613"/>
        <v>2196.3000000000002</v>
      </c>
      <c r="R4622" s="3">
        <f>IFERROR(IF(F4622="SALDO",P4622,R4621+P4622-Q4622),0)</f>
        <v>13978.739999999958</v>
      </c>
      <c r="S4622" s="24"/>
      <c r="T4622" s="24"/>
      <c r="U4622" s="55"/>
      <c r="V4622" s="25">
        <f>IFERROR(VLOOKUP(BCP_Soles[[#This Row],[destinatario]],CHOOSE({1,2},Clientes_Proveedores[Razon Social],Clientes_Proveedores[Ruc / Dni]),2,0),"")</f>
        <v>20602751326</v>
      </c>
      <c r="W4622" s="25"/>
      <c r="X4622" s="25"/>
      <c r="Y4622" s="25"/>
      <c r="Z4622" s="77"/>
      <c r="AA4622" s="3" t="str">
        <f>IF(BCP_Soles[[#This Row],[fecha]]&gt;0,TEXT(BCP_Soles[[#This Row],[fecha]],"mmmm"),0)</f>
        <v>Noviembre</v>
      </c>
    </row>
    <row r="4623" spans="1:27" ht="24" x14ac:dyDescent="0.3">
      <c r="A4623" s="2">
        <f>IF(BCP_Soles[[#This Row],[tipo_registro]]="R",COUNTIFS($C$1:$C4622,"R")+1,A4622)</f>
        <v>3063</v>
      </c>
      <c r="B4623" s="19" t="str">
        <f t="shared" si="610"/>
        <v>B-BCP - Soles</v>
      </c>
      <c r="C4623" s="3" t="s">
        <v>1330</v>
      </c>
      <c r="D4623" s="14">
        <v>45973</v>
      </c>
      <c r="E4623" s="190" t="s">
        <v>2269</v>
      </c>
      <c r="F4623" s="190" t="s">
        <v>1336</v>
      </c>
      <c r="G4623" s="191" t="s">
        <v>710</v>
      </c>
      <c r="H4623" s="6" t="s">
        <v>106</v>
      </c>
      <c r="I4623" s="198" t="s">
        <v>1484</v>
      </c>
      <c r="J4623" s="6">
        <v>60734951</v>
      </c>
      <c r="K4623" s="7" t="s">
        <v>9504</v>
      </c>
      <c r="L4623" s="8">
        <v>14148</v>
      </c>
      <c r="M4623" s="8" t="str">
        <f t="shared" ref="M4623:M4631" si="618">"PEN"</f>
        <v>PEN</v>
      </c>
      <c r="N4623" s="13"/>
      <c r="O4623" s="13">
        <v>570.9</v>
      </c>
      <c r="P4623" s="3">
        <f t="shared" si="612"/>
        <v>0</v>
      </c>
      <c r="Q4623" s="3">
        <f t="shared" si="613"/>
        <v>570.9</v>
      </c>
      <c r="R4623" s="3">
        <f t="shared" si="616"/>
        <v>13407.839999999958</v>
      </c>
      <c r="S4623" s="24"/>
      <c r="T4623" s="24"/>
      <c r="U4623" s="55"/>
      <c r="V4623" s="25">
        <f>IFERROR(VLOOKUP(BCP_Soles[[#This Row],[destinatario]],CHOOSE({1,2},Clientes_Proveedores[Razon Social],Clientes_Proveedores[Ruc / Dni]),2,0),"")</f>
        <v>20100211034</v>
      </c>
      <c r="W4623" s="25"/>
      <c r="X4623" s="25"/>
      <c r="Y4623" s="25"/>
      <c r="Z4623" s="77"/>
      <c r="AA4623" s="3" t="str">
        <f>IF(BCP_Soles[[#This Row],[fecha]]&gt;0,TEXT(BCP_Soles[[#This Row],[fecha]],"mmmm"),0)</f>
        <v>Noviembre</v>
      </c>
    </row>
    <row r="4624" spans="1:27" ht="48" x14ac:dyDescent="0.3">
      <c r="A4624" s="244">
        <f>IF(BCP_Soles[[#This Row],[tipo_registro]]="R",COUNTIFS($C$1:$C4623,"R")+1,A4623)</f>
        <v>3064</v>
      </c>
      <c r="B4624" s="19" t="str">
        <f t="shared" ref="B4624:B4631" si="619">"B-BCP - Soles"</f>
        <v>B-BCP - Soles</v>
      </c>
      <c r="C4624" s="3" t="s">
        <v>1330</v>
      </c>
      <c r="D4624" s="245">
        <v>45973</v>
      </c>
      <c r="E4624" s="253" t="s">
        <v>2269</v>
      </c>
      <c r="F4624" s="253" t="s">
        <v>1336</v>
      </c>
      <c r="G4624" s="191" t="s">
        <v>501</v>
      </c>
      <c r="H4624" s="6"/>
      <c r="I4624" s="6"/>
      <c r="J4624" s="6"/>
      <c r="K4624" s="247" t="s">
        <v>4203</v>
      </c>
      <c r="L4624" s="248">
        <v>1012662</v>
      </c>
      <c r="M4624" s="248" t="str">
        <f t="shared" si="618"/>
        <v>PEN</v>
      </c>
      <c r="N4624" s="13"/>
      <c r="O4624" s="249">
        <v>406.47</v>
      </c>
      <c r="P4624" s="250">
        <f t="shared" ref="P4624:P4631" si="620">+IF(OR($F4624="SALDO",$F4624="INGRESO"),$O4624,0)</f>
        <v>0</v>
      </c>
      <c r="Q4624" s="250">
        <f t="shared" ref="Q4624:Q4631" si="621">+IF($F4624="EGRESO",$O4624,0)</f>
        <v>406.47</v>
      </c>
      <c r="R4624" s="250">
        <f t="shared" si="616"/>
        <v>13001.369999999959</v>
      </c>
      <c r="S4624" s="251"/>
      <c r="T4624" s="251"/>
      <c r="U4624" s="55"/>
      <c r="V4624" s="25">
        <f>IFERROR(VLOOKUP(BCP_Soles[[#This Row],[destinatario]],CHOOSE({1,2},Clientes_Proveedores[Razon Social],Clientes_Proveedores[Ruc / Dni]),2,0),"")</f>
        <v>20602978274</v>
      </c>
      <c r="W4624" s="25"/>
      <c r="X4624" s="25"/>
      <c r="Y4624" s="25"/>
      <c r="Z4624" s="77"/>
      <c r="AA4624" s="250" t="str">
        <f>IF(BCP_Soles[[#This Row],[fecha]]&gt;0,TEXT(BCP_Soles[[#This Row],[fecha]],"mmmm"),0)</f>
        <v>Noviembre</v>
      </c>
    </row>
    <row r="4625" spans="1:27" ht="48" x14ac:dyDescent="0.3">
      <c r="A4625" s="244">
        <f>IF(BCP_Soles[[#This Row],[tipo_registro]]="R",COUNTIFS($C$1:$C4624,"R")+1,A4624)</f>
        <v>3064</v>
      </c>
      <c r="B4625" s="19" t="str">
        <f t="shared" si="619"/>
        <v>B-BCP - Soles</v>
      </c>
      <c r="C4625" s="3" t="s">
        <v>1352</v>
      </c>
      <c r="D4625" s="245">
        <v>45973</v>
      </c>
      <c r="E4625" s="253" t="s">
        <v>2269</v>
      </c>
      <c r="F4625" s="253" t="s">
        <v>1336</v>
      </c>
      <c r="G4625" s="191" t="s">
        <v>501</v>
      </c>
      <c r="H4625" s="6" t="s">
        <v>68</v>
      </c>
      <c r="I4625" s="6" t="s">
        <v>1526</v>
      </c>
      <c r="J4625" s="6">
        <v>12187</v>
      </c>
      <c r="K4625" s="247" t="s">
        <v>4203</v>
      </c>
      <c r="L4625" s="248">
        <v>1012662</v>
      </c>
      <c r="M4625" s="248" t="str">
        <f t="shared" si="618"/>
        <v>PEN</v>
      </c>
      <c r="N4625" s="13">
        <v>118.27</v>
      </c>
      <c r="O4625" s="249"/>
      <c r="P4625" s="250">
        <f t="shared" si="620"/>
        <v>0</v>
      </c>
      <c r="Q4625" s="250">
        <f t="shared" si="621"/>
        <v>0</v>
      </c>
      <c r="R4625" s="250">
        <f t="shared" si="616"/>
        <v>13001.369999999959</v>
      </c>
      <c r="S4625" s="251"/>
      <c r="T4625" s="251"/>
      <c r="U4625" s="55"/>
      <c r="V4625" s="25">
        <f>IFERROR(VLOOKUP(BCP_Soles[[#This Row],[destinatario]],CHOOSE({1,2},Clientes_Proveedores[Razon Social],Clientes_Proveedores[Ruc / Dni]),2,0),"")</f>
        <v>20602978274</v>
      </c>
      <c r="W4625" s="25"/>
      <c r="X4625" s="25"/>
      <c r="Y4625" s="25"/>
      <c r="Z4625" s="77"/>
      <c r="AA4625" s="250" t="str">
        <f>IF(BCP_Soles[[#This Row],[fecha]]&gt;0,TEXT(BCP_Soles[[#This Row],[fecha]],"mmmm"),0)</f>
        <v>Noviembre</v>
      </c>
    </row>
    <row r="4626" spans="1:27" ht="48" x14ac:dyDescent="0.3">
      <c r="A4626" s="244">
        <f>IF(BCP_Soles[[#This Row],[tipo_registro]]="R",COUNTIFS($C$1:$C4625,"R")+1,A4625)</f>
        <v>3064</v>
      </c>
      <c r="B4626" s="19" t="str">
        <f t="shared" si="619"/>
        <v>B-BCP - Soles</v>
      </c>
      <c r="C4626" s="3" t="s">
        <v>1352</v>
      </c>
      <c r="D4626" s="245">
        <v>45973</v>
      </c>
      <c r="E4626" s="253" t="s">
        <v>2269</v>
      </c>
      <c r="F4626" s="253" t="s">
        <v>1336</v>
      </c>
      <c r="G4626" s="191" t="s">
        <v>501</v>
      </c>
      <c r="H4626" s="6" t="s">
        <v>68</v>
      </c>
      <c r="I4626" s="6" t="s">
        <v>1526</v>
      </c>
      <c r="J4626" s="6">
        <v>12186</v>
      </c>
      <c r="K4626" s="247" t="s">
        <v>4203</v>
      </c>
      <c r="L4626" s="248">
        <v>1012662</v>
      </c>
      <c r="M4626" s="248" t="str">
        <f t="shared" si="618"/>
        <v>PEN</v>
      </c>
      <c r="N4626" s="13">
        <v>65.25</v>
      </c>
      <c r="O4626" s="249"/>
      <c r="P4626" s="250">
        <f t="shared" si="620"/>
        <v>0</v>
      </c>
      <c r="Q4626" s="250">
        <f t="shared" si="621"/>
        <v>0</v>
      </c>
      <c r="R4626" s="250">
        <f t="shared" si="616"/>
        <v>13001.369999999959</v>
      </c>
      <c r="S4626" s="251"/>
      <c r="T4626" s="251"/>
      <c r="U4626" s="55"/>
      <c r="V4626" s="25">
        <f>IFERROR(VLOOKUP(BCP_Soles[[#This Row],[destinatario]],CHOOSE({1,2},Clientes_Proveedores[Razon Social],Clientes_Proveedores[Ruc / Dni]),2,0),"")</f>
        <v>20602978274</v>
      </c>
      <c r="W4626" s="25"/>
      <c r="X4626" s="25"/>
      <c r="Y4626" s="25"/>
      <c r="Z4626" s="77"/>
      <c r="AA4626" s="250" t="str">
        <f>IF(BCP_Soles[[#This Row],[fecha]]&gt;0,TEXT(BCP_Soles[[#This Row],[fecha]],"mmmm"),0)</f>
        <v>Noviembre</v>
      </c>
    </row>
    <row r="4627" spans="1:27" ht="48" x14ac:dyDescent="0.3">
      <c r="A4627" s="244">
        <f>IF(BCP_Soles[[#This Row],[tipo_registro]]="R",COUNTIFS($C$1:$C4626,"R")+1,A4626)</f>
        <v>3064</v>
      </c>
      <c r="B4627" s="19" t="str">
        <f t="shared" si="619"/>
        <v>B-BCP - Soles</v>
      </c>
      <c r="C4627" s="3" t="s">
        <v>1352</v>
      </c>
      <c r="D4627" s="245">
        <v>45973</v>
      </c>
      <c r="E4627" s="253" t="s">
        <v>2269</v>
      </c>
      <c r="F4627" s="253" t="s">
        <v>1336</v>
      </c>
      <c r="G4627" s="191" t="s">
        <v>501</v>
      </c>
      <c r="H4627" s="6" t="s">
        <v>68</v>
      </c>
      <c r="I4627" s="6" t="s">
        <v>1526</v>
      </c>
      <c r="J4627" s="6">
        <v>12185</v>
      </c>
      <c r="K4627" s="247" t="s">
        <v>4203</v>
      </c>
      <c r="L4627" s="248">
        <v>1012662</v>
      </c>
      <c r="M4627" s="248" t="str">
        <f t="shared" si="618"/>
        <v>PEN</v>
      </c>
      <c r="N4627" s="13">
        <v>65.94</v>
      </c>
      <c r="O4627" s="249"/>
      <c r="P4627" s="250">
        <f t="shared" si="620"/>
        <v>0</v>
      </c>
      <c r="Q4627" s="250">
        <f t="shared" si="621"/>
        <v>0</v>
      </c>
      <c r="R4627" s="250">
        <f t="shared" si="616"/>
        <v>13001.369999999959</v>
      </c>
      <c r="S4627" s="251"/>
      <c r="T4627" s="251"/>
      <c r="U4627" s="55"/>
      <c r="V4627" s="25">
        <f>IFERROR(VLOOKUP(BCP_Soles[[#This Row],[destinatario]],CHOOSE({1,2},Clientes_Proveedores[Razon Social],Clientes_Proveedores[Ruc / Dni]),2,0),"")</f>
        <v>20602978274</v>
      </c>
      <c r="W4627" s="25"/>
      <c r="X4627" s="25"/>
      <c r="Y4627" s="25"/>
      <c r="Z4627" s="77"/>
      <c r="AA4627" s="250" t="str">
        <f>IF(BCP_Soles[[#This Row],[fecha]]&gt;0,TEXT(BCP_Soles[[#This Row],[fecha]],"mmmm"),0)</f>
        <v>Noviembre</v>
      </c>
    </row>
    <row r="4628" spans="1:27" ht="48" x14ac:dyDescent="0.3">
      <c r="A4628" s="244">
        <f>IF(BCP_Soles[[#This Row],[tipo_registro]]="R",COUNTIFS($C$1:$C4627,"R")+1,A4627)</f>
        <v>3064</v>
      </c>
      <c r="B4628" s="19" t="str">
        <f t="shared" si="619"/>
        <v>B-BCP - Soles</v>
      </c>
      <c r="C4628" s="3" t="s">
        <v>1352</v>
      </c>
      <c r="D4628" s="245">
        <v>45973</v>
      </c>
      <c r="E4628" s="253" t="s">
        <v>2269</v>
      </c>
      <c r="F4628" s="253" t="s">
        <v>1336</v>
      </c>
      <c r="G4628" s="191" t="s">
        <v>501</v>
      </c>
      <c r="H4628" s="6" t="s">
        <v>68</v>
      </c>
      <c r="I4628" s="6" t="s">
        <v>1650</v>
      </c>
      <c r="J4628" s="6">
        <v>9891</v>
      </c>
      <c r="K4628" s="247" t="s">
        <v>4203</v>
      </c>
      <c r="L4628" s="248">
        <v>1012662</v>
      </c>
      <c r="M4628" s="248" t="str">
        <f t="shared" si="618"/>
        <v>PEN</v>
      </c>
      <c r="N4628" s="13">
        <v>157.01</v>
      </c>
      <c r="O4628" s="249"/>
      <c r="P4628" s="250">
        <f t="shared" si="620"/>
        <v>0</v>
      </c>
      <c r="Q4628" s="250">
        <f t="shared" si="621"/>
        <v>0</v>
      </c>
      <c r="R4628" s="250">
        <f t="shared" si="616"/>
        <v>13001.369999999959</v>
      </c>
      <c r="S4628" s="251"/>
      <c r="T4628" s="251"/>
      <c r="U4628" s="55"/>
      <c r="V4628" s="25">
        <f>IFERROR(VLOOKUP(BCP_Soles[[#This Row],[destinatario]],CHOOSE({1,2},Clientes_Proveedores[Razon Social],Clientes_Proveedores[Ruc / Dni]),2,0),"")</f>
        <v>20602978274</v>
      </c>
      <c r="W4628" s="25"/>
      <c r="X4628" s="25"/>
      <c r="Y4628" s="25"/>
      <c r="Z4628" s="77"/>
      <c r="AA4628" s="250" t="str">
        <f>IF(BCP_Soles[[#This Row],[fecha]]&gt;0,TEXT(BCP_Soles[[#This Row],[fecha]],"mmmm"),0)</f>
        <v>Noviembre</v>
      </c>
    </row>
    <row r="4629" spans="1:27" x14ac:dyDescent="0.3">
      <c r="A4629" s="2">
        <f>IF(BCP_Soles[[#This Row],[tipo_registro]]="R",COUNTIFS($C$1:$C4628,"R")+1,A4628)</f>
        <v>3065</v>
      </c>
      <c r="B4629" s="19" t="str">
        <f t="shared" si="619"/>
        <v>B-BCP - Soles</v>
      </c>
      <c r="C4629" s="3" t="s">
        <v>1330</v>
      </c>
      <c r="D4629" s="14">
        <v>45973</v>
      </c>
      <c r="E4629" s="5" t="s">
        <v>4171</v>
      </c>
      <c r="F4629" s="5" t="s">
        <v>1336</v>
      </c>
      <c r="G4629" s="6"/>
      <c r="H4629" s="6"/>
      <c r="I4629" s="6"/>
      <c r="J4629" s="6"/>
      <c r="K4629" s="7" t="s">
        <v>4445</v>
      </c>
      <c r="L4629" s="8">
        <v>400</v>
      </c>
      <c r="M4629" s="8" t="str">
        <f t="shared" si="618"/>
        <v>PEN</v>
      </c>
      <c r="N4629" s="13"/>
      <c r="O4629" s="13">
        <v>1112.3699999999999</v>
      </c>
      <c r="P4629" s="3">
        <f t="shared" si="620"/>
        <v>0</v>
      </c>
      <c r="Q4629" s="3">
        <f t="shared" si="621"/>
        <v>1112.3699999999999</v>
      </c>
      <c r="R4629" s="3">
        <f t="shared" si="616"/>
        <v>11888.99999999996</v>
      </c>
      <c r="S4629" s="24"/>
      <c r="T4629" s="24"/>
      <c r="U4629" s="55"/>
      <c r="V4629" s="25" t="str">
        <f>IFERROR(VLOOKUP(BCP_Soles[[#This Row],[destinatario]],CHOOSE({1,2},Clientes_Proveedores[Razon Social],Clientes_Proveedores[Ruc / Dni]),2,0),"")</f>
        <v/>
      </c>
      <c r="W4629" s="25"/>
      <c r="X4629" s="25"/>
      <c r="Y4629" s="25"/>
      <c r="Z4629" s="77"/>
      <c r="AA4629" s="3" t="str">
        <f>IF(BCP_Soles[[#This Row],[fecha]]&gt;0,TEXT(BCP_Soles[[#This Row],[fecha]],"mmmm"),0)</f>
        <v>Noviembre</v>
      </c>
    </row>
    <row r="4630" spans="1:27" x14ac:dyDescent="0.3">
      <c r="A4630" s="2">
        <f>IF(BCP_Soles[[#This Row],[tipo_registro]]="R",COUNTIFS($C$1:$C4629,"R")+1,A4629)</f>
        <v>3066</v>
      </c>
      <c r="B4630" s="19" t="str">
        <f t="shared" si="619"/>
        <v>B-BCP - Soles</v>
      </c>
      <c r="C4630" s="3" t="s">
        <v>1330</v>
      </c>
      <c r="D4630" s="14">
        <v>45973</v>
      </c>
      <c r="E4630" s="5" t="s">
        <v>4171</v>
      </c>
      <c r="F4630" s="5" t="s">
        <v>1336</v>
      </c>
      <c r="G4630" s="6"/>
      <c r="H4630" s="6"/>
      <c r="I4630" s="6"/>
      <c r="J4630" s="6"/>
      <c r="K4630" s="7" t="s">
        <v>4446</v>
      </c>
      <c r="L4630" s="8">
        <v>397</v>
      </c>
      <c r="M4630" s="8" t="str">
        <f t="shared" si="618"/>
        <v>PEN</v>
      </c>
      <c r="N4630" s="13"/>
      <c r="O4630" s="13">
        <v>2545.64</v>
      </c>
      <c r="P4630" s="3">
        <f t="shared" si="620"/>
        <v>0</v>
      </c>
      <c r="Q4630" s="3">
        <f t="shared" si="621"/>
        <v>2545.64</v>
      </c>
      <c r="R4630" s="3">
        <f t="shared" si="616"/>
        <v>9343.3599999999606</v>
      </c>
      <c r="S4630" s="24"/>
      <c r="T4630" s="24"/>
      <c r="U4630" s="55"/>
      <c r="V4630" s="25" t="str">
        <f>IFERROR(VLOOKUP(BCP_Soles[[#This Row],[destinatario]],CHOOSE({1,2},Clientes_Proveedores[Razon Social],Clientes_Proveedores[Ruc / Dni]),2,0),"")</f>
        <v/>
      </c>
      <c r="W4630" s="25"/>
      <c r="X4630" s="25"/>
      <c r="Y4630" s="25"/>
      <c r="Z4630" s="77"/>
      <c r="AA4630" s="3" t="str">
        <f>IF(BCP_Soles[[#This Row],[fecha]]&gt;0,TEXT(BCP_Soles[[#This Row],[fecha]],"mmmm"),0)</f>
        <v>Noviembre</v>
      </c>
    </row>
    <row r="4631" spans="1:27" x14ac:dyDescent="0.3">
      <c r="A4631" s="2">
        <f>IF(BCP_Soles[[#This Row],[tipo_registro]]="R",COUNTIFS($C$1:$C4630,"R")+1,A4630)</f>
        <v>3067</v>
      </c>
      <c r="B4631" s="19" t="str">
        <f t="shared" si="619"/>
        <v>B-BCP - Soles</v>
      </c>
      <c r="C4631" s="3" t="s">
        <v>1330</v>
      </c>
      <c r="D4631" s="14">
        <v>45973</v>
      </c>
      <c r="E4631" s="5" t="s">
        <v>4171</v>
      </c>
      <c r="F4631" s="5" t="s">
        <v>1336</v>
      </c>
      <c r="G4631" s="6"/>
      <c r="H4631" s="6"/>
      <c r="I4631" s="6"/>
      <c r="J4631" s="6"/>
      <c r="K4631" s="7" t="s">
        <v>4448</v>
      </c>
      <c r="L4631" s="8">
        <v>396</v>
      </c>
      <c r="M4631" s="8" t="str">
        <f t="shared" si="618"/>
        <v>PEN</v>
      </c>
      <c r="N4631" s="13"/>
      <c r="O4631" s="13">
        <v>726.57</v>
      </c>
      <c r="P4631" s="3">
        <f t="shared" si="620"/>
        <v>0</v>
      </c>
      <c r="Q4631" s="3">
        <f t="shared" si="621"/>
        <v>726.57</v>
      </c>
      <c r="R4631" s="3">
        <f t="shared" si="616"/>
        <v>8616.7899999999609</v>
      </c>
      <c r="S4631" s="24"/>
      <c r="T4631" s="24"/>
      <c r="U4631" s="55"/>
      <c r="V4631" s="25" t="str">
        <f>IFERROR(VLOOKUP(BCP_Soles[[#This Row],[destinatario]],CHOOSE({1,2},Clientes_Proveedores[Razon Social],Clientes_Proveedores[Ruc / Dni]),2,0),"")</f>
        <v/>
      </c>
      <c r="W4631" s="25"/>
      <c r="X4631" s="25"/>
      <c r="Y4631" s="25"/>
      <c r="Z4631" s="77"/>
      <c r="AA4631" s="3" t="str">
        <f>IF(BCP_Soles[[#This Row],[fecha]]&gt;0,TEXT(BCP_Soles[[#This Row],[fecha]],"mmmm"),0)</f>
        <v>Noviembre</v>
      </c>
    </row>
    <row r="4632" spans="1:27" x14ac:dyDescent="0.3">
      <c r="A4632" s="2">
        <f>IF(BCP_Soles[[#This Row],[tipo_registro]]="R",COUNTIFS($C$1:$C4631,"R")+1,A4631)</f>
        <v>3068</v>
      </c>
      <c r="B4632" s="19" t="str">
        <f>"B-BCP - Soles"</f>
        <v>B-BCP - Soles</v>
      </c>
      <c r="C4632" s="3" t="s">
        <v>1330</v>
      </c>
      <c r="D4632" s="14">
        <v>45973</v>
      </c>
      <c r="E4632" s="5" t="s">
        <v>4171</v>
      </c>
      <c r="F4632" s="5" t="s">
        <v>1336</v>
      </c>
      <c r="G4632" s="191" t="s">
        <v>696</v>
      </c>
      <c r="H4632" s="6"/>
      <c r="I4632" s="6"/>
      <c r="J4632" s="6"/>
      <c r="K4632" s="7" t="s">
        <v>9527</v>
      </c>
      <c r="L4632" s="8">
        <v>9466467</v>
      </c>
      <c r="M4632" s="8" t="str">
        <f>"PEN"</f>
        <v>PEN</v>
      </c>
      <c r="N4632" s="13"/>
      <c r="O4632" s="13">
        <v>7407.96</v>
      </c>
      <c r="P4632" s="3">
        <f>+IF(OR($F4632="SALDO",$F4632="INGRESO"),$O4632,0)</f>
        <v>0</v>
      </c>
      <c r="Q4632" s="3">
        <f>+IF($F4632="EGRESO",$O4632,0)</f>
        <v>7407.96</v>
      </c>
      <c r="R4632" s="3">
        <f>IFERROR(IF(F4632="SALDO",P4632,R4631+P4632-Q4632),0)</f>
        <v>1208.8299999999608</v>
      </c>
      <c r="S4632" s="24"/>
      <c r="T4632" s="24"/>
      <c r="U4632" s="55"/>
      <c r="V4632" s="25">
        <f>IFERROR(VLOOKUP(BCP_Soles[[#This Row],[destinatario]],CHOOSE({1,2},Clientes_Proveedores[Razon Social],Clientes_Proveedores[Ruc / Dni]),2,0),"")</f>
        <v>0</v>
      </c>
      <c r="W4632" s="25"/>
      <c r="X4632" s="25"/>
      <c r="Y4632" s="25"/>
      <c r="Z4632" s="77"/>
      <c r="AA4632" s="3" t="str">
        <f>IF(BCP_Soles[[#This Row],[fecha]]&gt;0,TEXT(BCP_Soles[[#This Row],[fecha]],"mmmm"),0)</f>
        <v>Noviembre</v>
      </c>
    </row>
    <row r="4633" spans="1:27" ht="24" x14ac:dyDescent="0.3">
      <c r="A4633" s="2">
        <f>IF(BCP_Soles[[#This Row],[tipo_registro]]="R",COUNTIFS($C$1:$C4632,"R")+1,A4632)</f>
        <v>3069</v>
      </c>
      <c r="B4633" s="19" t="str">
        <f>"B-BCP - Soles"</f>
        <v>B-BCP - Soles</v>
      </c>
      <c r="C4633" s="3" t="s">
        <v>1330</v>
      </c>
      <c r="D4633" s="14">
        <v>45973</v>
      </c>
      <c r="E4633" s="5" t="s">
        <v>4171</v>
      </c>
      <c r="F4633" s="5" t="s">
        <v>1336</v>
      </c>
      <c r="G4633" s="191" t="s">
        <v>185</v>
      </c>
      <c r="H4633" s="6"/>
      <c r="I4633" s="6"/>
      <c r="J4633" s="6"/>
      <c r="K4633" s="7" t="s">
        <v>9531</v>
      </c>
      <c r="L4633" s="8">
        <v>1143315</v>
      </c>
      <c r="M4633" s="8" t="str">
        <f>"PEN"</f>
        <v>PEN</v>
      </c>
      <c r="N4633" s="13"/>
      <c r="O4633" s="13">
        <v>1176</v>
      </c>
      <c r="P4633" s="3">
        <f>+IF(OR($F4633="SALDO",$F4633="INGRESO"),$O4633,0)</f>
        <v>0</v>
      </c>
      <c r="Q4633" s="3">
        <f>+IF($F4633="EGRESO",$O4633,0)</f>
        <v>1176</v>
      </c>
      <c r="R4633" s="3">
        <f>IFERROR(IF(F4633="SALDO",P4633,R4632+P4633-Q4633),0)</f>
        <v>32.829999999960819</v>
      </c>
      <c r="S4633" s="24"/>
      <c r="T4633" s="24"/>
      <c r="U4633" s="55"/>
      <c r="V4633" s="25">
        <f>IFERROR(VLOOKUP(BCP_Soles[[#This Row],[destinatario]],CHOOSE({1,2},Clientes_Proveedores[Razon Social],Clientes_Proveedores[Ruc / Dni]),2,0),"")</f>
        <v>10489531963</v>
      </c>
      <c r="W4633" s="25"/>
      <c r="X4633" s="25"/>
      <c r="Y4633" s="25"/>
      <c r="Z4633" s="77"/>
      <c r="AA4633" s="3" t="str">
        <f>IF(BCP_Soles[[#This Row],[fecha]]&gt;0,TEXT(BCP_Soles[[#This Row],[fecha]],"mmmm"),0)</f>
        <v>Noviembre</v>
      </c>
    </row>
    <row r="4634" spans="1:27" x14ac:dyDescent="0.3">
      <c r="A4634" s="255">
        <f>IF(BCP_Soles[[#This Row],[tipo_registro]]="R",COUNTIFS($C$1:$C4633,"R")+1,A4633)</f>
        <v>3070</v>
      </c>
      <c r="B4634" s="19" t="str">
        <f>"B-BCP - Soles"</f>
        <v>B-BCP - Soles</v>
      </c>
      <c r="C4634" s="3" t="s">
        <v>1330</v>
      </c>
      <c r="D4634" s="14">
        <v>45973</v>
      </c>
      <c r="E4634" s="5"/>
      <c r="F4634" s="5" t="s">
        <v>1336</v>
      </c>
      <c r="G4634" s="6"/>
      <c r="H4634" s="6"/>
      <c r="I4634" s="6"/>
      <c r="J4634" s="6"/>
      <c r="K4634" s="258" t="s">
        <v>3160</v>
      </c>
      <c r="L4634" s="259"/>
      <c r="M4634" s="259" t="str">
        <f>"PEN"</f>
        <v>PEN</v>
      </c>
      <c r="N4634" s="13"/>
      <c r="O4634" s="260">
        <v>0.65</v>
      </c>
      <c r="P4634" s="261">
        <f>+IF(OR($F4634="SALDO",$F4634="INGRESO"),$O4634,0)</f>
        <v>0</v>
      </c>
      <c r="Q4634" s="261">
        <f>+IF($F4634="EGRESO",$O4634,0)</f>
        <v>0.65</v>
      </c>
      <c r="R4634" s="261">
        <f>IFERROR(IF(F4634="SALDO",P4634,R4633+P4634-Q4634),0)</f>
        <v>32.17999999996082</v>
      </c>
      <c r="S4634" s="262"/>
      <c r="T4634" s="262"/>
      <c r="U4634" s="55"/>
      <c r="V4634" s="25" t="str">
        <f>IFERROR(VLOOKUP(BCP_Soles[[#This Row],[destinatario]],CHOOSE({1,2},Clientes_Proveedores[Razon Social],Clientes_Proveedores[Ruc / Dni]),2,0),"")</f>
        <v/>
      </c>
      <c r="W4634" s="25"/>
      <c r="X4634" s="25"/>
      <c r="Y4634" s="25"/>
      <c r="Z4634" s="77"/>
      <c r="AA4634" s="261" t="str">
        <f>IF(BCP_Soles[[#This Row],[fecha]]&gt;0,TEXT(BCP_Soles[[#This Row],[fecha]],"mmmm"),0)</f>
        <v>Noviembre</v>
      </c>
    </row>
    <row r="4641" spans="5:16" x14ac:dyDescent="0.3">
      <c r="K4641" t="s">
        <v>4897</v>
      </c>
    </row>
    <row r="4647" spans="5:16" ht="24" x14ac:dyDescent="0.3">
      <c r="E4647" s="185">
        <v>45973</v>
      </c>
      <c r="F4647" s="158" t="s">
        <v>4171</v>
      </c>
      <c r="G4647" s="158" t="s">
        <v>1336</v>
      </c>
      <c r="H4647" s="186" t="s">
        <v>1089</v>
      </c>
      <c r="I4647" s="186"/>
      <c r="J4647" s="186"/>
      <c r="K4647" s="186"/>
      <c r="L4647" s="194" t="s">
        <v>9403</v>
      </c>
      <c r="M4647" s="254"/>
      <c r="N4647" s="254" t="str">
        <f>"PEN"</f>
        <v>PEN</v>
      </c>
      <c r="O4647" s="195"/>
      <c r="P4647" s="195">
        <v>300</v>
      </c>
    </row>
  </sheetData>
  <phoneticPr fontId="11" type="noConversion"/>
  <conditionalFormatting sqref="A2:AA4636 A4637:L4637 N4637:AA4637 A4638:K4638 M4638:AA4638 A4639:AA4640 A4641:J4641 L4641:AA4641 A4642:AA10229">
    <cfRule type="expression" dxfId="279" priority="559">
      <formula>$T2="OK"</formula>
    </cfRule>
    <cfRule type="expression" dxfId="278" priority="560">
      <formula>$S2="OK"</formula>
    </cfRule>
    <cfRule type="expression" dxfId="277" priority="561">
      <formula>$C2="D"</formula>
    </cfRule>
  </conditionalFormatting>
  <conditionalFormatting sqref="K4641">
    <cfRule type="expression" dxfId="276" priority="576">
      <formula>$T4521="OK"</formula>
    </cfRule>
    <cfRule type="expression" dxfId="275" priority="577">
      <formula>$S4521="OK"</formula>
    </cfRule>
    <cfRule type="expression" dxfId="274" priority="578">
      <formula>$C4521="D"</formula>
    </cfRule>
  </conditionalFormatting>
  <conditionalFormatting sqref="M4637">
    <cfRule type="expression" dxfId="273" priority="582">
      <formula>$T4638="OK"</formula>
    </cfRule>
    <cfRule type="expression" dxfId="272" priority="583">
      <formula>$S4638="OK"</formula>
    </cfRule>
    <cfRule type="expression" dxfId="271" priority="584">
      <formula>$C4638="D"</formula>
    </cfRule>
  </conditionalFormatting>
  <dataValidations count="4">
    <dataValidation type="list" allowBlank="1" showInputMessage="1" showErrorMessage="1" sqref="G2667:G2933 G2935:G3076 G3078:G3101 G3744:G3755 G2:G2664 G3108:G3356 G3969:G4030 G3359:G3742 G3757:G3964 G4499:G4515 G4342:G4343 G4330:G4340 G4347:G4352 G4289:G4328 G4354:G4375 G4377:G4420 G4422:G4446 G4448 G4450:G4476 G4479:G4497 G4032:G4287 G4517:G4617 G4632:G4633 H4647 G4619:G4628" xr:uid="{5DE1D1CA-ABD3-46A2-8C0C-2A0400241EEB}">
      <formula1>Proveedores_Clientes</formula1>
    </dataValidation>
    <dataValidation type="list" allowBlank="1" showInputMessage="1" showErrorMessage="1" sqref="H3147:H3150 H3208:H3367 H4069:H4089 H3084:H3145 H3185:H3192 H3177:H3182 H3169:H3175 H3159:H3162 H3152:H3157 H3371:H3394 H3194:H3206 H3853:H3887 H3396:H3423 H3427:H3706 H3708:H3793 H3796:H3848 H3947:H3955 H3905:H3908 H3889:H3903 H4050:H4066 H3910:H3945 H4473:H4523 H2:H3082 H3957:H4048 H4347 H4343 H4349:H4352 H4354:H4423 H4425:H4449 H4451:H4471 H4091:H4340 H4525:H4548 H4550:H4554 H4556:H4586 H4588:H4610 H4612:H4623 H4625:H4628" xr:uid="{95B43712-DE95-46F4-A5B7-2C23C877BD94}">
      <formula1>Documentos</formula1>
    </dataValidation>
    <dataValidation type="list" allowBlank="1" showInputMessage="1" showErrorMessage="1" sqref="C4141:C4154 C2:C4118 C4236 C4262:C4263 C4289:C4292" xr:uid="{120C61D0-1CFA-448B-A8D5-C7F56DE9C7A2}">
      <formula1>"R,D"</formula1>
    </dataValidation>
    <dataValidation type="list" allowBlank="1" showInputMessage="1" showErrorMessage="1" sqref="G4647 F2:F4634" xr:uid="{31D2AA43-C3E9-4052-B0ED-2391FFF909D9}">
      <formula1>"SALDO,INGRESO,EGRESO"</formula1>
    </dataValidation>
  </dataValidations>
  <hyperlinks>
    <hyperlink ref="U2251" r:id="rId1" display="../../../../../../:b:/p/finanzas/EY67ZzsvyXlFo1-Gwr_KBGIB8hmGqRqIJUlGyMNOsUruQw?e=qD4ypq" xr:uid="{AA4F6B8D-5098-43EE-8F71-E8B766293728}"/>
    <hyperlink ref="U2253" r:id="rId2" display="../../../../../../:b:/p/finanzas/EWXcpFaZvLVLqrCfvSTE0rQBsV80XkQ8E3Pej4C3-GCPhA" xr:uid="{7B26DC72-BFA9-43F2-9602-40190855D113}"/>
    <hyperlink ref="U2250" r:id="rId3" display="../../../../../../:b:/p/finanzas/EdSzTolBwEdPgQOUUHPRVqMBduKEeEIrVVoJtCm0BDx7ig" xr:uid="{C945652A-978D-44D8-B9D4-15D7CA934E2F}"/>
    <hyperlink ref="U2252" r:id="rId4" display="../../../../../../:b:/p/finanzas/EaKtCxc45ptAvmc2KLgrfywBREcdMDxwwmlEChyBtRd-iA?e=RGLpPH" xr:uid="{D2E387C7-9E90-4DC2-A55B-206A5A02A433}"/>
    <hyperlink ref="U2254" r:id="rId5" display="../../../../../../:b:/p/finanzas/EauVoXm4HWNJtNtF1vC7KocBtbqbdmStq7h3BLK8I0lqZA?e=R0aJEe" xr:uid="{BFFB0837-19CA-4511-944F-D18A0C95D38B}"/>
    <hyperlink ref="U2259" r:id="rId6" display="../../../../../../:b:/p/finanzas/EefbsmDs0DtLpe3VArWd8LAB75HnjUSHoJbR2J2sbyKCrQ?e=qLra8k" xr:uid="{3E77F9F9-E56F-440F-8D56-218B54E4CD47}"/>
    <hyperlink ref="U2258" r:id="rId7" display="../../../../../../:b:/p/finanzas/ERWXiVevk-pJsFe8IdVUkOwBbjK0GnuU3CnAObPnezGRpQ?e=rnBULw" xr:uid="{682983E8-BE82-4018-8AB0-BD661E6F65B5}"/>
    <hyperlink ref="U2255" r:id="rId8" display="../../../../../../:b:/p/finanzas/EWtUYr4Q2MpCja3xrqKp48IB9A42He78FGywWVlJ4nkYnA?e=aCWnjc" xr:uid="{864655D8-2B46-47F6-A4B3-DED2613DEE84}"/>
    <hyperlink ref="U2249" r:id="rId9" display="../../../../../../:b:/p/finanzas/EV0jVU5nlztCvUM_DP7CNroBp5HRXOpxxz5ldqiPX5VhyA?e=lbrD5Q" xr:uid="{CC4F919E-942D-4520-81BF-45F6AA56EE75}"/>
    <hyperlink ref="U2240" r:id="rId10" display="../../../../../../:b:/p/finanzas/Ee6rpH16T1FAvmhoTJB5VhUBHsfqGbw9O7pKUwh7d7KLrg?e=dby5bD" xr:uid="{02BAAB9E-180C-43E1-A18C-652A99D5E942}"/>
    <hyperlink ref="U2246" r:id="rId11" display="../../../../../../:b:/p/finanzas/EZxv5OVQ1tNGnd71-QlkkJkBWjCO9gA5_Kv7cG1D-2W_xA?e=Uvve89" xr:uid="{12AADBDC-9028-491A-AFAF-C9316FBAF8CC}"/>
    <hyperlink ref="U2243" r:id="rId12" display="../../../../../../:b:/p/finanzas/EW6YD1a87dJEpnLZmBzahEQBA46VX9lxrwh_pD20kP7KYA?e=sGjmri" xr:uid="{92ED4322-B15F-466B-A5F3-EEDDFD1A1F0E}"/>
    <hyperlink ref="U2244" r:id="rId13" display="../../../../../../:b:/p/finanzas/EQqIS89zdYtGmXcnn86nOEcBd5alSI0Vc3hutkhxq7axIQ?e=jjsw1J" xr:uid="{5EECD7DA-8E2E-4B44-B68F-AB56DF7AD2FE}"/>
    <hyperlink ref="U2241" r:id="rId14" display="../../../../../../:b:/p/finanzas/Ec0L7CIEUp9DgoerKp0Hw0gBFZaTunPK-er0u1vlRy4SGw?e=YhaOvH" xr:uid="{29C86B07-CBF3-4A78-ACE8-F0D817F944B5}"/>
    <hyperlink ref="U2245" r:id="rId15" display="../../../../../../:b:/p/finanzas/ESmNK8_zNx9GqBLS6ZqGtoIBOufwmhvKhzP_eYMLSuxeyA?e=phJ8yl" xr:uid="{8FAF296C-A91D-4C31-9AAB-0C6CF5CBADE4}"/>
    <hyperlink ref="U2242" r:id="rId16" display="../../../../../../:b:/p/finanzas/EaUz-ZbFrCdPr_8EL9AU94kBZw9CJtAsM5ZOQ2blkMfK2g?e=b7Jx2P" xr:uid="{63A58E77-19AE-4EB9-A944-BC190A2484F7}"/>
    <hyperlink ref="U2247" r:id="rId17" display="../../../../../../:b:/p/finanzas/EbTwwLA6HqNLgkizPTqTYPsBbmMx3OA9EiU1xhgZ8VBMPQ?e=hOjiLU" xr:uid="{800FF8E9-2B4B-4B48-8F7E-11FE1B884D61}"/>
    <hyperlink ref="U2213" r:id="rId18" display="../../../../../../:b:/p/finanzas/ETnEqIf9Z7pHrDR8DSL6aIQBuzaiFCwEOJubc1bk2N0cCw?e=djRBLb" xr:uid="{DC9E12A1-BDEA-4838-9640-D46E4ACCACD3}"/>
    <hyperlink ref="U2262" r:id="rId19" display="../../../../../../:b:/p/finanzas/ES0rH8vRLqJMnF8PrIfSTsEBZVPRWTusVodt-pnXtdJoIg?e=bMdq0M" xr:uid="{6E38BAC9-D1AA-42F3-A9BC-21743984ECE2}"/>
    <hyperlink ref="U2222" r:id="rId20" display="../../../../../../:b:/p/finanzas/EdxNS69asYlPk5ozvvPqMdYBRbwWr5wLKxPvHHykWd4Vdg?e=rq1tRr" xr:uid="{62470771-A214-4BF0-A938-240B4A680C8B}"/>
    <hyperlink ref="U2209" r:id="rId21" display="../../../../../../:b:/p/finanzas/Ec3kygww8JJHsgxNphz5PF8BRA5F_vPoME2bw1t97LzLow?e=jQ75R4" xr:uid="{84FAF0B5-B23C-4D47-8F64-F71D325F514E}"/>
    <hyperlink ref="U2220" r:id="rId22" display="../../../../../../:b:/p/finanzas/EQJ9pwr9UY5Mh7Gu01lL_fcBNJeYRUaORh6apG7p4louWw?e=0D3Lem" xr:uid="{A32EA56F-23C7-4DEF-88A1-E8843F6B449E}"/>
    <hyperlink ref="U2210" r:id="rId23" display="../../../../../../:b:/p/finanzas/EaF7-8TwnFdDiUMNk10emsYBQhsC8aCNZ9lEgtbp3cS6oQ?e=CJbVcn" xr:uid="{9CAF18DD-BB3A-476F-BFB4-31AB94518516}"/>
    <hyperlink ref="U2221" r:id="rId24" display="../../../../../../:b:/p/finanzas/EZWTm86v0g9DtZoIJ5dveIkBauwgyeRq1e8Suh1Kf2KKMA?e=HOl8wE" xr:uid="{41046180-2E4A-4C20-9722-8046515C8E40}"/>
    <hyperlink ref="U2193" r:id="rId25" display="../../../../../../:b:/p/finanzas/Ebc0pK5-um1CpRRsMJgd8wkBWxootfVpekJ6r5CpbKOUCg?e=0QaAfX" xr:uid="{75E11E4D-A295-4BBE-BDAD-6A5B1F70F8B8}"/>
    <hyperlink ref="U2182" r:id="rId26" display="../../../../../../:b:/p/finanzas/EUODplUEwulJgJ7Nk8vOnTkBaart-xy0-LDeK2yi3tOheQ?e=6m5mbc" xr:uid="{444410E9-0A08-455E-8C61-C2B13047DABD}"/>
    <hyperlink ref="U2181" r:id="rId27" display="../../../../../../:b:/p/finanzas/Ea00an5s7PxHrhJB_qYWR9oBSkkB8pfVnjMRksYI2TV4jQ?e=d0zRTm" xr:uid="{5B2B36E6-6D22-42AF-B527-CE7A51851445}"/>
    <hyperlink ref="U2180" r:id="rId28" display="../../../../../../:b:/p/finanzas/ERPpUcyvtuZPnYcDCeUH-_8BdLV1hUZQgIiwbkvw88DqFQ?e=r0vFsQ" xr:uid="{651B7CDA-3B78-40BC-A848-E678E25B4F05}"/>
    <hyperlink ref="U2186" r:id="rId29" display="../../../../../../:b:/p/finanzas/EW--tf_5thNLoupVZzeDDvMBnxxuTGjljvVuzVhq2C0k-g?e=K5pfqD" xr:uid="{7C1C1994-960D-4895-B9F9-B46A5EB53335}"/>
    <hyperlink ref="U2185" r:id="rId30" display="../../../../../../:b:/p/finanzas/ETyJNMom7shLthTvQMD8Md0BN6OEvHzM0JApdNxoTQ7vkQ?e=hVx25Y" xr:uid="{C949CBD9-8E0F-49AF-A897-DF3EF5D78AD4}"/>
    <hyperlink ref="U2200" r:id="rId31" display="../../../../../../:b:/p/finanzas/EVxlM6NHPidKkvqP3PaalwUBmlEXATxZJrt13C98FBHzdA?e=85ZFvO" xr:uid="{F481A6C4-A9B8-4607-A373-42774189BDF2}"/>
    <hyperlink ref="U2199" r:id="rId32" display="../../../../../../:b:/p/finanzas/EV10YeO6b4RMkLrIOtFrvzkBNhsvBnnnjVZPNLKPIxTonQ?e=ZmxGhR" xr:uid="{1FD90007-F379-4CC5-9588-50D78DC39CEC}"/>
    <hyperlink ref="U2192" r:id="rId33" display="../../../../../../:b:/p/finanzas/ETzqk0qUSpRMhENP8D7zCZ4BvPvUUEHn6yOMY26ZqLMgPg?e=iYHrH2" xr:uid="{AED61390-87DE-4689-953A-236B22E6D02A}"/>
    <hyperlink ref="U2191" r:id="rId34" display="../../../../../../:b:/p/finanzas/EUU4B4OnFMhGrz8MQra5BJUB8vPJPDjxKbgzoWfxsv55Sg?e=LnHQHy" xr:uid="{16174650-A962-48CF-9EAF-0D3F43F56AD9}"/>
    <hyperlink ref="U2190" r:id="rId35" display="../../../../../../:b:/p/finanzas/EdCYmvzZEW1JmdWGStQfIJcB_GyB67wYC4FoREGVZE4DBg?e=LgD0qr" xr:uid="{97D9BD55-929F-4DBB-ABDC-D1C04C369151}"/>
    <hyperlink ref="U2189" r:id="rId36" display="../../../../../../:b:/p/finanzas/EXrmHkIm8t1JoOeMvMHIdycBq0KgLwZGDLh-YzP2LBZBIg?e=bNyf6G" xr:uid="{012CDBC1-8BCD-4ADA-8113-24B687D4DA03}"/>
    <hyperlink ref="U2188" r:id="rId37" display="../../../../../../:b:/p/finanzas/EUG1ETaFgQZJpJa1mb1qVDUBjts8rDWcW-sogiksx2GBFA?e=aXRYVa" xr:uid="{C8A27ECE-4889-4D54-BF29-C54B1B98C030}"/>
    <hyperlink ref="U2187" r:id="rId38" display="../../../../../../:b:/p/finanzas/Eeh1rCkQzXxMouODUqMHgLgB_-wQKa1GcpbPfk5Uakj8HQ?e=PInTIW" xr:uid="{2872D700-60FD-48E4-B7EC-4EA85DC44FD7}"/>
    <hyperlink ref="U2171" r:id="rId39" display="../../../../../../:b:/p/finanzas/EbJJ5GShHs1LtBOsSd1z_YMBv8MYE-3qIeol5ztkEsIjag?e=cnkTKf" xr:uid="{23852517-B3E0-4626-8809-7F01305DEAB9}"/>
    <hyperlink ref="U2166" r:id="rId40" display="../../../../../../:b:/p/finanzas/EbRh632mY3BKvaichqti1u8BBkp9Vc6BdGnQi2QxWI4DBg?e=3IVMfq" xr:uid="{DC31A1DF-DF93-4D43-9D05-45642C66EFAA}"/>
    <hyperlink ref="U2169" r:id="rId41" display="../../../../../../:b:/p/finanzas/EdKlqB9oQghAg1EBmP4LvxABd3I1tCHRyBppQ1pzeu_xKQ?e=7slJmb" xr:uid="{9FC3FD70-A1D4-4F00-8021-CE6A8F562913}"/>
    <hyperlink ref="U2170" r:id="rId42" display="../../../../../../:b:/p/finanzas/EZEfnAmw5KVCjNe5gPazVIcBbmQdzsZRCj4fcbnB7W4u4g?e=7ToF9o" xr:uid="{744AC159-5D40-4465-B68C-0C77D6736E8D}"/>
    <hyperlink ref="U2172" r:id="rId43" display="../../../../../../:b:/p/finanzas/EZO8zEbOa_tMjtCqPQJO2s4BrdkhiYpVnZu83ty21gUbqw?e=a34Mk9" xr:uid="{8AF5B5A4-44BD-4F08-B4D7-F6E00C184E81}"/>
    <hyperlink ref="U2167" r:id="rId44" display="../../../../../../:b:/p/finanzas/ESAjhhvlfuNBi4lyaXoq35MBR11V_FmdiE38jYVMKoDSvQ?e=rbAvWk" xr:uid="{1B592D60-1943-49C8-BCA9-9D1A7F76B100}"/>
    <hyperlink ref="U2168" r:id="rId45" display="../../../../../../:b:/p/finanzas/EZeb2AtzlbNDpRwFUxdqTu4BtaXshS02RRelg-LA6sevmg?e=YeZ7ZC" xr:uid="{7B545610-C93E-4BB8-A1A6-5E1D20D4D191}"/>
    <hyperlink ref="U2144" r:id="rId46" display="../../../../../../:b:/p/finanzas/EY2Jm4ngTLtPndbTCZlrSusBLh9DRXaleHbjHU1ECklzag?e=N1dZoP" xr:uid="{6A16D3A5-590D-40B9-B00F-A0D947911E9E}"/>
    <hyperlink ref="U2148" r:id="rId47" display="../../../../../../:b:/p/finanzas/EaGbfLWHBJhCi7dVoO3mQ38BmffdegdHpe_MTt4uOOYZyA?e=g3Op2T" xr:uid="{096E054C-BE21-44C4-854C-35EE93218FC7}"/>
    <hyperlink ref="U2151" r:id="rId48" display="../../../../../../:b:/p/finanzas/EempEEV4Mb1FhpjyqP64ZR4BNJVfrGqXnYsbM-mBqzNsPg?e=AVegwT" xr:uid="{EEDC8321-D09E-4CFD-AE00-5574999BD86A}"/>
    <hyperlink ref="U2147" r:id="rId49" display="../../../../../../:b:/p/finanzas/EXDijQsWUb1GqHME8Ne4zq4BGS3PCWOBmxzIlYM5I0X-FA?e=2edHCK" xr:uid="{E63AC17C-3D59-4850-AFBA-94AC19B638B5}"/>
    <hyperlink ref="U2129" r:id="rId50" display="../../../../../../:b:/p/finanzas/EYqraFHudJZDurTP5miZ-bABAbM5n_SRqapKSi1HhEF3JQ?e=XE1JY3" xr:uid="{D6597330-11D2-4878-BCA6-BACA7485F36D}"/>
    <hyperlink ref="U2146" r:id="rId51" display="../../../../../../:b:/p/finanzas/ERWxYPzy-2ZOsNskGph2n6kBDaZv6Lr7zYvlACW_f2Pc_A?e=SqC30C" xr:uid="{607392C1-B4AC-4980-99AD-0FD1CF214F78}"/>
    <hyperlink ref="U2153" r:id="rId52" display="../../../../../../:b:/p/finanzas/EWkOTRhkZYBHmZT43bgGFycByg_FZ5swJyGP0qAdXHvKOw?e=I3D4EP" xr:uid="{8C14A17B-04DB-414F-BAF8-D6FF93EE3D6F}"/>
    <hyperlink ref="U2145" r:id="rId53" display="../../../../../../:b:/p/finanzas/ES6LdIRb4itItsanrEKE1wABu5cUDz2KfmwVnqaegos5mw?e=HISbt8" xr:uid="{CC07212B-CFA4-43B1-BF7E-CB82C2DE73D4}"/>
    <hyperlink ref="U2149" r:id="rId54" display="../../../../../../:b:/p/finanzas/EW9wSQBp5uZDuJa4ygPfEXkBVo4DfvfWXyh_X2X8cuaKvw?e=d6Q9gK" xr:uid="{DE8B139C-D85A-489C-88C3-0ED7CB31F34D}"/>
    <hyperlink ref="U2150" r:id="rId55" display="../../../../../../:b:/p/finanzas/EbNIgTLyZ1JAlw8thcV3krkBMo-7pbNi77aKBAghqGLaoA?e=A7Fygu" xr:uid="{9EB5C17C-47BF-49D5-A503-391A2C6DCCB2}"/>
    <hyperlink ref="U2152" r:id="rId56" display="../../../../../../:b:/p/finanzas/EQuCO6bBfbdNqXyfrXsNyMQBTq7OV22Pd0h26QcnAomtBQ?e=q6cmsP" xr:uid="{F588441D-A330-4421-AAC7-868039EBCC3B}"/>
    <hyperlink ref="U2117" r:id="rId57" display="../../../../../../:b:/p/finanzas/Eb_xHWMeOAlDm99EzCQJo2wBzs_95X0UBnI7Nbld3jzrGA?e=edzbIn" xr:uid="{740F576B-58F7-43A5-8114-C8F35A9B5279}"/>
    <hyperlink ref="U2119" r:id="rId58" display="../../../../../../:b:/p/finanzas/Ed5Fp0cM3EVIhltjy_ViXV0BW3acRN3p_G4epvwPQEoPAw?e=ompdpj" xr:uid="{A51C9843-083D-4C5F-A93C-8FA08F998A03}"/>
    <hyperlink ref="U2263" r:id="rId59" display="../../../../:b:/p/finanzas/EcGmKYJiQ8tHgfjtw_DD9bcBVNO_PS5G3gqU0E7mwdBD_g?e=d6XV7B" xr:uid="{046C7660-7403-481E-8F72-739A9C38FDD1}"/>
    <hyperlink ref="U2286" r:id="rId60" display="../../../../:b:/p/finanzas/ERbdF5GttmZMh683fylYiakBmGFXibw5gZoGCBmZ_kphgw?e=dgYWLo" xr:uid="{27992967-E175-4712-A268-3D1D638EDA09}"/>
    <hyperlink ref="U2287" r:id="rId61" display="../../../../:b:/p/finanzas/Ee-cPbzPawVAilD5yQgxxJ0Bff4TaWU8-Okd5W-zOnkdtA?e=oeLney" xr:uid="{284DE116-95CC-4B4C-A3C5-561317A8C316}"/>
    <hyperlink ref="U2288" r:id="rId62" display="../../../../:b:/p/finanzas/EfsREUk6TKlMplXJR0rus_ABlteyTlKLjGiTttAfPWTsRQ?e=WBOHx5" xr:uid="{48A665C6-C591-4CA8-A631-D8F686E55E20}"/>
    <hyperlink ref="U2289" r:id="rId63" display="../../../../:b:/p/finanzas/EXgwMQc5uVtIpLgsvbX8XZ4BkFHxsQn-iPGyycMwQS6dmw?e=xpWO3Q" xr:uid="{66D758DC-FB3E-4DF0-B107-08748D86E47A}"/>
    <hyperlink ref="U2649" r:id="rId64" xr:uid="{D53DA5A0-F26A-47BC-8E33-9948AC37FB2B}"/>
    <hyperlink ref="U2753" r:id="rId65" xr:uid="{638E4C10-EC37-4027-BFAB-39609630582E}"/>
    <hyperlink ref="U2699" r:id="rId66" xr:uid="{4B8B0A6B-2981-4EDE-BBCB-C16BD26C79F1}"/>
    <hyperlink ref="U2696" r:id="rId67" xr:uid="{7A08F5D9-4D19-4262-B75D-665AE746B825}"/>
    <hyperlink ref="U2695" r:id="rId68" xr:uid="{C384DA53-A112-4BE0-A412-07BA88A297CC}"/>
    <hyperlink ref="U2694" r:id="rId69" xr:uid="{5527BB7A-80B7-4549-88E9-A4936BCE469C}"/>
    <hyperlink ref="U2752" r:id="rId70" xr:uid="{32EF4AB1-FEFB-46E1-82C1-B1CA7551B5F9}"/>
    <hyperlink ref="U2685" r:id="rId71" xr:uid="{6C211D6C-E1B0-4037-858D-B6F523B3A237}"/>
    <hyperlink ref="U2684" r:id="rId72" xr:uid="{F66BC511-DAA0-41F1-86DE-4423F8BF6D53}"/>
    <hyperlink ref="U2663" r:id="rId73" xr:uid="{B8F3C58C-AE34-48EC-B841-CE2E0CF657A2}"/>
    <hyperlink ref="U2655" r:id="rId74" xr:uid="{C15A6343-417E-49D2-BD0E-AF13822B66D2}"/>
    <hyperlink ref="U2654" r:id="rId75" xr:uid="{F8ACBEA5-EC7C-4F76-A0B1-AF28C530B2EF}"/>
    <hyperlink ref="U2653" r:id="rId76" xr:uid="{110B3188-5F89-4B68-8F6C-05566A13A6A2}"/>
    <hyperlink ref="U2652" r:id="rId77" xr:uid="{4B7E6B65-BFC3-428D-9D63-6C003348B648}"/>
    <hyperlink ref="U2651" r:id="rId78" xr:uid="{4C706E8D-2857-4705-AC98-DA2BC19CF7EA}"/>
    <hyperlink ref="U2650" r:id="rId79" xr:uid="{8A28B7E0-D2C8-4DEA-A643-B4AA8D45BEE8}"/>
    <hyperlink ref="U2648" r:id="rId80" xr:uid="{B92ABF0D-1D8B-439D-B432-08D01EBCB522}"/>
    <hyperlink ref="U2647" r:id="rId81" xr:uid="{50DE7AE6-024D-473D-B3E9-C9B61E105D58}"/>
    <hyperlink ref="U2646" r:id="rId82" xr:uid="{A872A8B0-CFDE-42BB-9D18-9017D2C3AD6A}"/>
    <hyperlink ref="U2645" r:id="rId83" xr:uid="{EDF92A18-DA70-484E-95BE-3D88F8A3DE4C}"/>
    <hyperlink ref="U2621" r:id="rId84" xr:uid="{B660DEDD-C7FA-4C6C-95B0-7990B5677ADE}"/>
    <hyperlink ref="U2620" r:id="rId85" xr:uid="{C7966C9C-06DB-4B2A-823B-D9CE2F6F8FC6}"/>
    <hyperlink ref="U2619" r:id="rId86" xr:uid="{3D799641-257E-4F2B-9561-B4A33CA8D03F}"/>
    <hyperlink ref="U2618" r:id="rId87" xr:uid="{AA8399D5-735C-4046-BF37-B2AF3E43B391}"/>
    <hyperlink ref="U2617" r:id="rId88" xr:uid="{CE7B4704-DCCC-45E0-B2A4-0773CE9C7105}"/>
    <hyperlink ref="U2616" r:id="rId89" xr:uid="{420ED83C-42C7-48F8-A430-47179597667A}"/>
    <hyperlink ref="U2615" r:id="rId90" xr:uid="{40B51354-2F08-4454-A96A-7B18F105F942}"/>
    <hyperlink ref="U2614" r:id="rId91" xr:uid="{59DC7E56-8094-4533-AC08-4ABDC9A62A79}"/>
    <hyperlink ref="U2593" r:id="rId92" xr:uid="{C014453B-9C69-471F-992C-5ABFDD613C0D}"/>
    <hyperlink ref="U2592" r:id="rId93" xr:uid="{857A3AB6-4C6D-4301-936B-B9F8F2B3294D}"/>
    <hyperlink ref="U2591" r:id="rId94" xr:uid="{2B21AC61-6F76-4DC3-8879-B9CF055CF0F6}"/>
    <hyperlink ref="U2590" r:id="rId95" xr:uid="{3DF2A88B-9824-4CC6-A675-5BF620A68B43}"/>
    <hyperlink ref="U2579" r:id="rId96" xr:uid="{6E6E657C-44B3-481C-8DDE-4B659FBC06F9}"/>
    <hyperlink ref="U2578" r:id="rId97" xr:uid="{FEB5B113-974A-407F-9101-9BF913A9F4DE}"/>
    <hyperlink ref="U2577" r:id="rId98" xr:uid="{FCD1E9A9-58A7-44E9-8B8F-34839ABCF5AE}"/>
    <hyperlink ref="U2494" r:id="rId99" xr:uid="{57F63066-FD2F-4031-B4A0-DEFF9AD69CF7}"/>
    <hyperlink ref="U2493" r:id="rId100" xr:uid="{DF7BB2F6-E02A-422F-B27C-FB275DD93AC1}"/>
    <hyperlink ref="U2492" r:id="rId101" xr:uid="{88CC9BCB-6BF0-4F62-945E-092299F827CB}"/>
    <hyperlink ref="U2491" r:id="rId102" xr:uid="{6637609F-8693-445D-B4C9-1BDDC65B00A8}"/>
    <hyperlink ref="U2490" r:id="rId103" xr:uid="{08AAB3B2-8918-4CA1-82D6-4E01FC68F089}"/>
    <hyperlink ref="U2489" r:id="rId104" xr:uid="{2ED1C3CC-1E4C-4916-869D-F73864FF9B7C}"/>
    <hyperlink ref="U2488" r:id="rId105" xr:uid="{11B04F4E-B5E2-4387-94FF-B9BA81513EFA}"/>
    <hyperlink ref="U2438" r:id="rId106" xr:uid="{E63761E3-A05A-487D-AF3E-24EBA1BD3BEA}"/>
    <hyperlink ref="U2421" r:id="rId107" xr:uid="{D94F727C-F493-44AE-84F4-CC88F1C35033}"/>
    <hyperlink ref="U2420" r:id="rId108" xr:uid="{F6870C55-D228-430B-A295-F6D6728CC582}"/>
    <hyperlink ref="U2419" r:id="rId109" xr:uid="{BE4F4BBE-A7F6-4D67-B87B-FC33C61CA981}"/>
    <hyperlink ref="U2418" r:id="rId110" xr:uid="{79C50779-F747-43D7-9637-23BB1429B547}"/>
    <hyperlink ref="U2417" r:id="rId111" xr:uid="{A45BB4B0-0573-407F-A07F-AFA522368529}"/>
    <hyperlink ref="U2396" r:id="rId112" xr:uid="{AF7B8FFC-056B-48A9-8AAE-BBC1235D216D}"/>
    <hyperlink ref="U2395" r:id="rId113" xr:uid="{D41E296E-221B-477B-A2B9-A9B5F1FB69E3}"/>
    <hyperlink ref="U2361" r:id="rId114" xr:uid="{AFAA8025-607B-43BF-95E8-9FAA3B7CDCB9}"/>
    <hyperlink ref="U2358" r:id="rId115" xr:uid="{F1C0E1C2-9087-44DF-9841-91910360873A}"/>
    <hyperlink ref="U2357" r:id="rId116" xr:uid="{115B8530-255D-409B-8988-17669109092B}"/>
    <hyperlink ref="U2356" r:id="rId117" xr:uid="{E857654E-F7EF-4B3B-A1C3-6118A13BC2C0}"/>
    <hyperlink ref="U2355" r:id="rId118" xr:uid="{F06FE512-1F38-4A72-85EC-C359F68FCB48}"/>
    <hyperlink ref="U2354" r:id="rId119" xr:uid="{88D46CCD-F9A8-4A84-9162-7AF273085CBC}"/>
    <hyperlink ref="U2353" r:id="rId120" xr:uid="{D7AA2517-ED16-459E-BB65-413D32F8A8CF}"/>
    <hyperlink ref="U2352" r:id="rId121" xr:uid="{1B6E8A35-1FB2-4D22-9139-4787841DAAA6}"/>
    <hyperlink ref="U2351" r:id="rId122" xr:uid="{DBD869D0-6E89-4C64-97D6-A2075E728D53}"/>
    <hyperlink ref="U2350" r:id="rId123" xr:uid="{68689F69-2BF5-4712-A4B5-A3D8F9E1AD66}"/>
    <hyperlink ref="U2349" r:id="rId124" xr:uid="{D5705EDC-055F-42F3-8C78-619C45FA1A09}"/>
    <hyperlink ref="U2348" r:id="rId125" xr:uid="{D75AFD97-3319-4CEE-B32F-0BAA93633DBE}"/>
    <hyperlink ref="U2347" r:id="rId126" xr:uid="{E333D6B0-2CCE-4FF4-8BE2-3CE221826010}"/>
    <hyperlink ref="U2346" r:id="rId127" xr:uid="{0D661C1A-426A-4B1B-B217-9E501EDB9469}"/>
    <hyperlink ref="U2749:U2751" r:id="rId128" display="https://gytres-my.sharepoint.com/:b:/p/finanzas/Ec5oXlW6Gp5KpQOSWMO41g4Brs2VY6xGLTI4hxN1bJTEdQ?e=152mmi" xr:uid="{37FF765A-1124-4420-B4A4-E045A0B8DD1F}"/>
    <hyperlink ref="U2656:U2662" r:id="rId129" display="https://gytres-my.sharepoint.com/:b:/p/finanzas/EUbPL0kvHIVLsUCIEkjfL3IBj7BbkkjLB_vpaQkgejhF9Q?e=waao8n" xr:uid="{A9E158C7-500B-4EB8-94D0-211747A1F3E3}"/>
    <hyperlink ref="U2642:U2644" r:id="rId130" display="https://gytres-my.sharepoint.com/:b:/p/finanzas/EV5BdNmkzhRBnVYIG24P05oBsdVZZBSQ9DlxYzJn7v_k6A?e=3Japd3" xr:uid="{F1397C21-4360-4E0F-99CA-A8366E0DE647}"/>
    <hyperlink ref="U2580:U2589" r:id="rId131" display="https://gytres-my.sharepoint.com/:b:/p/finanzas/EeL8nlVepTBBuKxFuwYxC9UB7BxKI6nzIgttnYqGkJ3J1w?e=G36Iyf" xr:uid="{4ACC7E98-E37A-409F-988D-5C8D3219B5B3}"/>
    <hyperlink ref="U2550:U2553" r:id="rId132" display="https://gytres-my.sharepoint.com/:b:/p/finanzas/ES0gS_g60o5PtbkEcgkJrEMBs8sxfIXX4RkvjrZMIW19Xw?e=t1XTJG" xr:uid="{59D90819-C032-43F2-9DE2-921ED8165978}"/>
    <hyperlink ref="U2443:U2456" r:id="rId133" display="https://gytres-my.sharepoint.com/:b:/p/finanzas/EZfm4Higg6hHhLk6BoEoRBgBPhiYVutvzVI63afhuawofg?e=vDA1Hv" xr:uid="{2523EC37-FCDD-4628-9107-31F0509602AD}"/>
    <hyperlink ref="U2439:U2442" r:id="rId134" display="https://gytres-my.sharepoint.com/:b:/p/finanzas/EYowrdMUp8JMtRxv6MFsOwkBoUVfJoBq2DV9rjp1_czrfg?e=1KcUI2" xr:uid="{9FF15421-7D77-47FF-8D5A-85EA9DA8FE7C}"/>
    <hyperlink ref="U2422:U2425" r:id="rId135" display="https://gytres-my.sharepoint.com/:b:/p/finanzas/EX50_h85NVRLmPzGSLQK3QQBLUAFlNRyuX0WCdeHv-f_Yg?e=5kG9e2" xr:uid="{FA056E1D-E38D-4790-8DAB-410259B545CA}"/>
    <hyperlink ref="U2290:U2295" r:id="rId136" display="https://gytres-my.sharepoint.com/:b:/p/finanzas/ERpEVP5YV9tPmb5CYXDdiYkBDa7RzerWnyj4c4CguHOmLQ" xr:uid="{E5D22309-B61D-4F2E-9916-AE442FB3CECF}"/>
    <hyperlink ref="U2456" r:id="rId137" xr:uid="{D50FDC4D-52C6-4AB8-BAA2-2ED3F2C61CE9}"/>
    <hyperlink ref="U2783" r:id="rId138" xr:uid="{89C7D591-6D95-4EA9-9C6D-9E3BE24534B7}"/>
    <hyperlink ref="U2785" r:id="rId139" xr:uid="{1AE917B8-7E41-4069-B438-A58286151D4A}"/>
    <hyperlink ref="U2775" r:id="rId140" xr:uid="{EE681CD8-AC70-44AD-A57C-D44285BECC9D}"/>
    <hyperlink ref="U2776" r:id="rId141" xr:uid="{8663058B-7454-445B-B068-DF0903EBE707}"/>
    <hyperlink ref="U2781" r:id="rId142" xr:uid="{8DF72579-9D3C-404C-A46E-3DF74049985B}"/>
    <hyperlink ref="U2782" r:id="rId143" xr:uid="{4CB90341-187C-4553-9A45-5445064CE51B}"/>
    <hyperlink ref="U2784" r:id="rId144" xr:uid="{A2429910-D800-4AE3-A370-39993B9A5699}"/>
    <hyperlink ref="U2767" r:id="rId145" xr:uid="{138DBC04-DE70-4573-A966-EC7F2703CF26}"/>
    <hyperlink ref="U2770" r:id="rId146" xr:uid="{83EDBC1A-2749-4998-89D4-8011478E183F}"/>
    <hyperlink ref="U2771" r:id="rId147" xr:uid="{D34F80F7-141A-4AF5-BE59-F31974D32A70}"/>
    <hyperlink ref="U2765" r:id="rId148" xr:uid="{C04D72F6-726F-4F15-9449-0220F0AA0D1E}"/>
    <hyperlink ref="U2766" r:id="rId149" xr:uid="{FE2BD144-FA1F-4D96-B72C-8C1E367B804F}"/>
    <hyperlink ref="U2764" r:id="rId150" xr:uid="{2D8E2A03-24E5-4FAC-99DE-12304A3AFD5F}"/>
    <hyperlink ref="U2763" r:id="rId151" xr:uid="{B5ED618B-93A4-4172-8664-D368C6ECC4FA}"/>
    <hyperlink ref="U2762" r:id="rId152" xr:uid="{33388ADB-3838-4D1D-85DF-CF064CCB663E}"/>
    <hyperlink ref="U2761" r:id="rId153" xr:uid="{EDC800DE-0368-46C1-97DE-502305B62EC1}"/>
    <hyperlink ref="U2760" r:id="rId154" xr:uid="{710BD78A-C69A-4EF3-9E17-B92542D66283}"/>
    <hyperlink ref="U2794" r:id="rId155" xr:uid="{56443263-6836-412E-B7BC-AF12DE469BC3}"/>
    <hyperlink ref="U2793" r:id="rId156" xr:uid="{C98931DF-31E3-49B8-BBAF-149FCFF2DFA0}"/>
    <hyperlink ref="U2802" r:id="rId157" xr:uid="{48582E47-EC9E-4B7D-8772-96C48690C480}"/>
    <hyperlink ref="U2792" r:id="rId158" xr:uid="{FE56E179-1906-4EF4-9224-1BCB7375A7CA}"/>
    <hyperlink ref="U2791" r:id="rId159" xr:uid="{7073C76D-917D-4818-90C8-793AB5F807E2}"/>
    <hyperlink ref="U2835" r:id="rId160" xr:uid="{52E3E193-8958-4BEB-AF98-79408633168C}"/>
    <hyperlink ref="U2838" r:id="rId161" xr:uid="{D34FC9BC-75D4-4191-B347-6FF04D3D4E41}"/>
    <hyperlink ref="U2839" r:id="rId162" xr:uid="{6E4E26F5-7964-4D0B-B51D-E6A042FF6FAC}"/>
    <hyperlink ref="U2843" r:id="rId163" xr:uid="{BE828DC5-85C8-4AC7-A5BF-BC0C4D8A06C3}"/>
    <hyperlink ref="U2844" r:id="rId164" xr:uid="{F5C44CC6-9283-4114-9DE4-04E7F8876303}"/>
    <hyperlink ref="U2845" r:id="rId165" xr:uid="{3915878D-3C1A-4FDE-B4CD-402ECBE54E36}"/>
    <hyperlink ref="U2846" r:id="rId166" xr:uid="{8681A3E3-9E1C-47D5-98E6-0CBE09746A85}"/>
    <hyperlink ref="U2842" r:id="rId167" xr:uid="{9AD7B4D6-BED7-401B-B74A-508E8E87ADE3}"/>
    <hyperlink ref="U2841" r:id="rId168" xr:uid="{6558D3CF-B1F3-4C09-AC75-451A822010D4}"/>
    <hyperlink ref="U2840" r:id="rId169" xr:uid="{0A1B1B0D-9E27-46B3-8A2F-29617669F29A}"/>
    <hyperlink ref="U2851" r:id="rId170" xr:uid="{ACEDD286-4F37-4A3A-B8FC-0A9EDE6F20F6}"/>
    <hyperlink ref="U2852" r:id="rId171" xr:uid="{F5D8AD77-8E92-4079-B29E-4F13E1587192}"/>
    <hyperlink ref="U2853" r:id="rId172" xr:uid="{652E67A0-B8B7-4627-8118-247A823F0850}"/>
    <hyperlink ref="U2878" r:id="rId173" xr:uid="{E54D1EFF-78E1-4E04-B12E-B7E6DFC02946}"/>
    <hyperlink ref="U2883" r:id="rId174" xr:uid="{B6354D47-05D9-4C9A-8AC9-D0FBFDA8B006}"/>
    <hyperlink ref="U2890" r:id="rId175" xr:uid="{7038890F-413E-4333-A7DF-059CDA91825A}"/>
    <hyperlink ref="U2891" r:id="rId176" xr:uid="{E309FF17-4793-4BD6-8F14-A488D0F2A469}"/>
    <hyperlink ref="U2884" r:id="rId177" xr:uid="{977468AA-8F88-494B-A64E-149CFD214680}"/>
    <hyperlink ref="U2885" r:id="rId178" xr:uid="{D96CF3A5-E878-4905-BB15-F4E07ADE6AA3}"/>
    <hyperlink ref="U2886" r:id="rId179" xr:uid="{001F49FE-6DE0-4FD4-AC5B-D0D878BB84EA}"/>
    <hyperlink ref="U2887" r:id="rId180" xr:uid="{7152C3D7-CD04-4743-87EE-31E588CBBEC1}"/>
    <hyperlink ref="U2888" r:id="rId181" xr:uid="{A024FE94-A7D5-40FA-BE64-2B3D29D09CCC}"/>
    <hyperlink ref="U2889" r:id="rId182" xr:uid="{8E247A14-9D98-4F89-8523-67B50EF857FF}"/>
    <hyperlink ref="U3092" r:id="rId183" xr:uid="{60902657-FD03-4BAD-B4C3-DFBE026D4E0D}"/>
    <hyperlink ref="U3089" r:id="rId184" xr:uid="{406A1137-4557-4842-BBD2-7ED52FD84FD8}"/>
    <hyperlink ref="U3088" r:id="rId185" xr:uid="{8B1D6F08-F2B6-484D-9471-3B0F1F9189A6}"/>
    <hyperlink ref="U3087" r:id="rId186" xr:uid="{F6A3C41A-ED28-4D7A-AA87-B1B3FAFE0DD5}"/>
    <hyperlink ref="U3086" r:id="rId187" xr:uid="{D27053DF-462F-46AA-8689-DCA58BC609CA}"/>
    <hyperlink ref="U3053" r:id="rId188" xr:uid="{5C528D42-9B52-4361-B572-C3656CED10D5}"/>
    <hyperlink ref="U3047" r:id="rId189" xr:uid="{8CA0AAB9-66F7-4ACA-AA01-4407233C645E}"/>
    <hyperlink ref="U3044" r:id="rId190" xr:uid="{6E89E9CF-AD95-4ED0-A573-9336407606D8}"/>
    <hyperlink ref="U3042" r:id="rId191" xr:uid="{A4D10E6E-0A68-4744-93BB-D0600161D7D3}"/>
    <hyperlink ref="U3041" r:id="rId192" xr:uid="{543B6615-C53A-494E-814E-ED1224CD3422}"/>
    <hyperlink ref="U3038" r:id="rId193" xr:uid="{07E77167-E092-4E8D-8FDF-66C7FE7A7188}"/>
    <hyperlink ref="U3037" r:id="rId194" xr:uid="{082FA200-1B9A-4975-B2EC-29F257A5BC72}"/>
    <hyperlink ref="U2967" r:id="rId195" xr:uid="{848C9AEC-1974-45AE-A078-5B718B509793}"/>
    <hyperlink ref="U2966" r:id="rId196" xr:uid="{279D8EAF-8906-4C49-A369-E5BE10717BF8}"/>
    <hyperlink ref="U2965" r:id="rId197" xr:uid="{C33D91D2-9DA7-4EAA-AB2C-252F80917C89}"/>
    <hyperlink ref="U2964" r:id="rId198" xr:uid="{EDE8DCD2-1734-4E01-B320-7D8FF364AD55}"/>
    <hyperlink ref="U2963" r:id="rId199" xr:uid="{FEAC7767-F104-45FE-BC15-B5E83112CF7C}"/>
    <hyperlink ref="U2962" r:id="rId200" xr:uid="{88F04B13-C8C8-40D2-9B63-EB5D505D1A25}"/>
    <hyperlink ref="U2961" r:id="rId201" xr:uid="{23EBE6B9-3B03-45A2-8779-5996156C435B}"/>
    <hyperlink ref="U2945" r:id="rId202" xr:uid="{877CCDD0-4B60-43A9-AB15-1014E49AB852}"/>
    <hyperlink ref="U2944" r:id="rId203" xr:uid="{7AF749FE-97CE-4A1D-90D1-4E7BAE9EE8E6}"/>
    <hyperlink ref="U2943" r:id="rId204" xr:uid="{9864146E-2167-4D5F-AD09-B9AF58D45526}"/>
    <hyperlink ref="U2942" r:id="rId205" xr:uid="{5B6BD545-DD7E-4A88-AF45-9962E2B2E46D}"/>
    <hyperlink ref="U2905" r:id="rId206" xr:uid="{BA08C84E-096C-4DB7-942F-E8D73018AE40}"/>
    <hyperlink ref="U2904" r:id="rId207" xr:uid="{25CF9B49-A01A-4204-9E63-29450C163542}"/>
    <hyperlink ref="U2901" r:id="rId208" xr:uid="{B6ED55DE-0AC1-439A-8BCE-15EA1FD380F4}"/>
    <hyperlink ref="U2900" r:id="rId209" xr:uid="{6EA3725C-33EB-4A27-962C-CC44BDF69904}"/>
    <hyperlink ref="U3093" r:id="rId210" xr:uid="{60992A97-483D-4EAC-93EF-1D39F27CEA00}"/>
    <hyperlink ref="U3094" r:id="rId211" xr:uid="{1A13ABE2-C3E1-4226-A348-CC8D63678F81}"/>
    <hyperlink ref="U3097" r:id="rId212" xr:uid="{E198AA59-E42A-4D4F-AA4F-61F90C583602}"/>
    <hyperlink ref="U3098" r:id="rId213" xr:uid="{304B3EC1-983B-4837-831C-E26E6FFEE1E8}"/>
    <hyperlink ref="U3099" r:id="rId214" xr:uid="{07B70F76-A115-49E5-AB1B-D10A810437E7}"/>
    <hyperlink ref="U3100" r:id="rId215" xr:uid="{20FE12D7-4D52-4FDE-85CA-ACC7FF528DD4}"/>
    <hyperlink ref="U2906" r:id="rId216" xr:uid="{5AC9BCE6-5AC0-40B4-995E-CD0647C1CCDF}"/>
    <hyperlink ref="U2915" r:id="rId217" xr:uid="{2B077158-6930-4418-A93A-7FDE2DCAB0D7}"/>
    <hyperlink ref="U2916" r:id="rId218" xr:uid="{55EBA848-29DA-45F8-88F8-C3CD42DE8ADF}"/>
    <hyperlink ref="U3108" r:id="rId219" xr:uid="{ACE46C5B-9FF7-4A46-948D-7DF479857B0C}"/>
    <hyperlink ref="U3109" r:id="rId220" xr:uid="{AFF5937F-9C23-456F-B049-6E6D562C0933}"/>
    <hyperlink ref="U3110" r:id="rId221" xr:uid="{3C95CA45-6CDE-4627-9C69-921F59964B27}"/>
    <hyperlink ref="U3111" r:id="rId222" xr:uid="{4B0540F6-0D90-4FAF-B9B5-129665ED27E2}"/>
    <hyperlink ref="U3112" r:id="rId223" xr:uid="{A660AF8A-F5D9-41D6-97CC-AC31B2614478}"/>
    <hyperlink ref="U3113" r:id="rId224" xr:uid="{ED288925-F0D0-4DB3-BC02-B796ADFAF5C6}"/>
    <hyperlink ref="U3144" r:id="rId225" xr:uid="{EEB14340-CE91-44C7-9694-50336E433BC1}"/>
    <hyperlink ref="U3143" r:id="rId226" xr:uid="{926E9F9B-8E6B-4127-AC04-9E3E19218567}"/>
    <hyperlink ref="U3142" r:id="rId227" xr:uid="{4B008E7B-ECA1-45DE-8F2E-951F18945F2D}"/>
    <hyperlink ref="U3161" r:id="rId228" xr:uid="{19EDAC84-839F-46E2-9E4D-C174F22FD57A}"/>
    <hyperlink ref="U3162" r:id="rId229" xr:uid="{EDF81638-4192-4B23-ACDB-10E9B8940972}"/>
    <hyperlink ref="U3173" r:id="rId230" xr:uid="{05D0276B-D1CC-4E6E-A62B-013994C30EE8}"/>
    <hyperlink ref="U3171" r:id="rId231" xr:uid="{C458902F-3516-411F-8CC3-5A3192CD1C1A}"/>
    <hyperlink ref="U3172" r:id="rId232" xr:uid="{2383039C-5DEF-4265-BBDD-5FB773F87DAF}"/>
    <hyperlink ref="U3169" r:id="rId233" xr:uid="{7339B6F3-F9D6-4911-9CA7-3BD9FAD08063}"/>
    <hyperlink ref="U3170" r:id="rId234" xr:uid="{ED2CECB0-250F-41E2-9AF9-D2FF811E7615}"/>
    <hyperlink ref="U3175" r:id="rId235" xr:uid="{70975D82-C299-418E-94E4-0F627C946E97}"/>
    <hyperlink ref="U3176" r:id="rId236" xr:uid="{30C4A050-3372-4BCD-ADF0-9583FDFE66B7}"/>
    <hyperlink ref="U271" r:id="rId237" xr:uid="{419D3241-6D02-40B6-9A03-F61616C3A88D}"/>
    <hyperlink ref="U3182" r:id="rId238" xr:uid="{6C25A299-A2CD-48F1-AFD1-6576BD461BE2}"/>
    <hyperlink ref="U3183" r:id="rId239" xr:uid="{D5CC2AF1-338E-4BEF-A682-1D1A0CAE009F}"/>
    <hyperlink ref="U3184" r:id="rId240" xr:uid="{F2083652-C090-4049-8164-DFE132A62361}"/>
    <hyperlink ref="U3191" r:id="rId241" xr:uid="{1349CB72-D1B5-4EFC-BD5A-E3911ACCF9EC}"/>
    <hyperlink ref="U3192" r:id="rId242" xr:uid="{4EC4E864-50F7-4F2F-9226-DF773322BFBD}"/>
    <hyperlink ref="U3193" r:id="rId243" xr:uid="{C6D9E0C9-C547-44DA-BFD2-87979DD3285C}"/>
    <hyperlink ref="U3202" r:id="rId244" xr:uid="{3D59693A-F48B-45B7-92EC-2BB5CFD463EB}"/>
    <hyperlink ref="U3203" r:id="rId245" xr:uid="{3087DDC0-CDC6-4261-8101-B2AF9AD64426}"/>
    <hyperlink ref="U3206" r:id="rId246" xr:uid="{FBF9A1F4-2C72-40D6-9AE4-1CCA3A9CBDEA}"/>
    <hyperlink ref="U3207" r:id="rId247" xr:uid="{6521DC5B-F7E8-4E41-86CA-516E7714E8D9}"/>
    <hyperlink ref="U3214" r:id="rId248" xr:uid="{9FD4F060-8A18-4821-B5EC-6E738A0DAFE3}"/>
    <hyperlink ref="U3216" r:id="rId249" xr:uid="{B7A27624-F719-4105-9467-98D31968382E}"/>
    <hyperlink ref="U3215" r:id="rId250" xr:uid="{42344A4B-37ED-40C9-A349-D71C9316669F}"/>
    <hyperlink ref="U3222" r:id="rId251" xr:uid="{6D1063C0-A30E-4892-A106-AEF808C8FBBD}"/>
    <hyperlink ref="U3223" r:id="rId252" xr:uid="{F72AE76B-ED37-441D-BD47-A35FDA7D5A92}"/>
    <hyperlink ref="U3225" r:id="rId253" xr:uid="{0246A4F0-D0BE-4D87-BEAE-7C8024DDAAA2}"/>
    <hyperlink ref="U3224" r:id="rId254" xr:uid="{9B6C847A-29A6-4533-BDA5-DB9E96E4786B}"/>
    <hyperlink ref="U3226" r:id="rId255" xr:uid="{A605CAEF-AEF0-414D-A167-1C16FBB79F28}"/>
    <hyperlink ref="U3227" r:id="rId256" xr:uid="{4F9DD07E-31FE-47C6-AF8B-3CF1E5BCA653}"/>
    <hyperlink ref="U3313" r:id="rId257" xr:uid="{CA80950D-AAE7-4556-9C00-2CF39901822A}"/>
    <hyperlink ref="U3314" r:id="rId258" xr:uid="{2910CB78-F82F-4165-886A-6BB5F8EEB96B}"/>
    <hyperlink ref="U3315" r:id="rId259" xr:uid="{F9EC8C7F-EBC7-49EF-86B9-D113C3E32C8D}"/>
    <hyperlink ref="U3316" r:id="rId260" xr:uid="{B569A73C-0EC4-4485-95B3-5EE72A2A5C17}"/>
    <hyperlink ref="U3317" r:id="rId261" xr:uid="{82F2F31E-0636-4482-ABD6-47CF509ED4B4}"/>
    <hyperlink ref="U3323" r:id="rId262" xr:uid="{972DB9B9-FB28-425F-8022-E54524EF294C}"/>
    <hyperlink ref="U3324" r:id="rId263" xr:uid="{C793695A-5E62-4F0D-A4C6-AD703879979E}"/>
    <hyperlink ref="U3325" r:id="rId264" xr:uid="{ACF93D31-8616-42ED-8F55-A4C94A7C74A7}"/>
    <hyperlink ref="U3326" r:id="rId265" xr:uid="{67C166CC-E5C5-4692-9F02-5F55EF265687}"/>
    <hyperlink ref="U3327" r:id="rId266" xr:uid="{04B77FA9-CB7E-4D65-A770-5F4523A8E227}"/>
    <hyperlink ref="U3328" r:id="rId267" xr:uid="{A5759655-DB43-4159-A9B7-23401C5B1761}"/>
    <hyperlink ref="U3329" r:id="rId268" xr:uid="{10067B5C-23D9-4E94-A004-D616217D2F75}"/>
    <hyperlink ref="U3330" r:id="rId269" xr:uid="{864235A9-769F-4D71-AE08-F4DF707E2CB8}"/>
    <hyperlink ref="U3333" r:id="rId270" xr:uid="{6019A68C-92E8-40E9-A8B6-630CBB87B3BD}"/>
    <hyperlink ref="U3336" r:id="rId271" xr:uid="{073FBBDD-E365-4FA8-B8A7-277DFC1DBAF5}"/>
    <hyperlink ref="U3337" r:id="rId272" xr:uid="{F5AA3191-EA2D-4961-8EA6-028548BF606C}"/>
    <hyperlink ref="U3338" r:id="rId273" xr:uid="{69D46CC7-C0D2-4128-A076-AC812D5CF1B1}"/>
    <hyperlink ref="U3331" r:id="rId274" xr:uid="{A42279A3-1E28-4359-8188-B27A6A421079}"/>
    <hyperlink ref="U3332" r:id="rId275" xr:uid="{E71A1EAF-1F3C-4BA8-89F6-A62D5614C5C3}"/>
    <hyperlink ref="U3382" r:id="rId276" xr:uid="{B085B465-3075-4DD1-8EE5-95817265275D}"/>
    <hyperlink ref="U3381" r:id="rId277" xr:uid="{C4A645BB-1B71-423F-BFBD-ED243ECF9A55}"/>
    <hyperlink ref="U3380" r:id="rId278" xr:uid="{40519581-28FA-49FE-89E7-E911E75E1730}"/>
    <hyperlink ref="U3373" r:id="rId279" xr:uid="{957E96BC-7FFE-41E1-9362-19407ED5840D}"/>
    <hyperlink ref="U3372" r:id="rId280" xr:uid="{ABA9ACE7-C022-4349-B9C6-D888ED44ACA5}"/>
    <hyperlink ref="U3371" r:id="rId281" xr:uid="{DB25F345-47B0-41DD-993B-4C6FF9489C52}"/>
    <hyperlink ref="U3368" r:id="rId282" xr:uid="{09528769-333E-4218-9D67-AC1A65ADB1BA}"/>
    <hyperlink ref="U3367" r:id="rId283" xr:uid="{3BD71F3F-FC7A-40E2-941C-E916EE1F1589}"/>
    <hyperlink ref="U3366" r:id="rId284" xr:uid="{899F01EC-6142-4FCD-846E-DC69CA174C89}"/>
    <hyperlink ref="U3365" r:id="rId285" xr:uid="{1B41677C-3B78-4960-9EC8-41E272C53066}"/>
    <hyperlink ref="U3364" r:id="rId286" xr:uid="{00596879-26C3-4F67-B258-05A3A1ACDCA1}"/>
    <hyperlink ref="U3361" r:id="rId287" xr:uid="{6A7EB327-6CEE-42A1-B92B-4AF22F388A93}"/>
    <hyperlink ref="U3356" r:id="rId288" xr:uid="{A581A415-4656-42AD-AA99-86C893C7A971}"/>
    <hyperlink ref="U3355" r:id="rId289" xr:uid="{AB95EA45-3576-413D-95D2-FEF56831073C}"/>
    <hyperlink ref="U3348" r:id="rId290" xr:uid="{29717A60-17E7-4028-939A-39FF29F36C00}"/>
    <hyperlink ref="U3347" r:id="rId291" xr:uid="{E0F42D06-CFDD-4356-B213-EBA2B8BEDCA4}"/>
    <hyperlink ref="U3346" r:id="rId292" xr:uid="{4AF0F744-DA89-49B1-BF1A-203E31C6126C}"/>
    <hyperlink ref="U3345" r:id="rId293" xr:uid="{C2BE84C9-23AA-477C-8EFC-9FC6E6B422DF}"/>
    <hyperlink ref="U3344" r:id="rId294" xr:uid="{B556FDD6-9E79-478E-B977-42FCE682BA3C}"/>
    <hyperlink ref="U3343" r:id="rId295" xr:uid="{318567EB-9222-4594-9701-8C2262596F9A}"/>
    <hyperlink ref="U3369" r:id="rId296" xr:uid="{103EAF7A-6F36-41BA-9EAD-7A5488962214}"/>
    <hyperlink ref="U3370" r:id="rId297" xr:uid="{FB18DA31-27DB-4ECF-B2C2-9A261DAE5084}"/>
    <hyperlink ref="U3352:U3354" r:id="rId298" display="https://gytres-my.sharepoint.com/:b:/p/finanzas/EQ49Yy577w9AnmtloifxmRgBrqEzJlQRoZSTYAtd1wZAgQ?e=ZEpDqj" xr:uid="{BCDF02C8-843D-424C-B4CD-C93DF4A88496}"/>
    <hyperlink ref="U3383" r:id="rId299" xr:uid="{4767DB15-6E95-4A51-B8D0-D6B85CE94600}"/>
    <hyperlink ref="U3386" r:id="rId300" xr:uid="{BDD149AC-788A-42F4-92D2-ADBA5B90F69F}"/>
    <hyperlink ref="U3387" r:id="rId301" xr:uid="{01E8316F-6B41-4F22-AA8D-8EFF8C49BFD5}"/>
    <hyperlink ref="U3460" r:id="rId302" xr:uid="{C1DD229D-FBC2-413C-9F77-20B6E36A96AC}"/>
    <hyperlink ref="U3459" r:id="rId303" xr:uid="{A0A8199B-EE69-453E-82B5-84F69948F2A5}"/>
    <hyperlink ref="U3458" r:id="rId304" xr:uid="{36D4ABFB-29C9-4FA2-883D-BF5F4861A512}"/>
    <hyperlink ref="U3442" r:id="rId305" xr:uid="{C8D8D667-519D-43FF-BE46-32A4DAD0C00D}"/>
    <hyperlink ref="U3436" r:id="rId306" xr:uid="{D668BB05-F1B1-473F-B35D-4088D9EDC88B}"/>
    <hyperlink ref="U3432" r:id="rId307" xr:uid="{77B374BC-3ED1-4279-AF6A-D1979F37C95B}"/>
    <hyperlink ref="U3394" r:id="rId308" xr:uid="{24C617FB-4340-4A66-BACF-75476873B5EC}"/>
    <hyperlink ref="U3472:U3484" r:id="rId309" display="https://gytres-my.sharepoint.com/:b:/p/finanzas/Edbq9zvTMw1BnSFSlMKNpcUBCaRPyBXReUxkHRoveaS7cw?e=bh2eNj" xr:uid="{CE0D167A-FA28-4864-B992-5879B988542D}"/>
    <hyperlink ref="U3583" r:id="rId310" xr:uid="{F8C98031-4804-4C7B-9171-1CD4F064065D}"/>
    <hyperlink ref="U3539" r:id="rId311" xr:uid="{A3B06660-0C88-456C-AFF0-87DC52E7C66C}"/>
    <hyperlink ref="U3538" r:id="rId312" xr:uid="{73A1A45A-9B77-4837-BA70-B1DAC012B7A2}"/>
    <hyperlink ref="U3537" r:id="rId313" xr:uid="{64D1BA46-1B64-4EE2-B60B-26A3B6AE31BB}"/>
    <hyperlink ref="U3536" r:id="rId314" xr:uid="{11D29A82-EA92-4E04-9E79-67484FEA9B8D}"/>
    <hyperlink ref="U3535" r:id="rId315" xr:uid="{AF17002E-09C4-47F7-8364-9F8D767FD5AB}"/>
    <hyperlink ref="U3534" r:id="rId316" xr:uid="{2FE912F2-6D38-45BA-AF23-313544E7CAA2}"/>
    <hyperlink ref="U3533" r:id="rId317" xr:uid="{53BAF15F-0A48-401F-9DF9-15A5A71E68DC}"/>
    <hyperlink ref="U3532" r:id="rId318" xr:uid="{36DDCE14-94EF-4F84-9560-AC8DBD105715}"/>
    <hyperlink ref="U3531" r:id="rId319" xr:uid="{CFD86A31-A970-438A-AB65-0FE0DFBAAB47}"/>
    <hyperlink ref="U3530" r:id="rId320" xr:uid="{3C410F20-8052-49CC-ACE9-8E75C15859FE}"/>
    <hyperlink ref="U3529" r:id="rId321" xr:uid="{554FB62B-7B68-4C99-A0EA-F2A0182F9915}"/>
    <hyperlink ref="U3528" r:id="rId322" xr:uid="{4D3E7BD0-4587-4439-B0D6-EA671A3117C1}"/>
    <hyperlink ref="U3527" r:id="rId323" xr:uid="{DB24AE6E-1E71-4534-9566-29EFA5D9C9A6}"/>
    <hyperlink ref="U3526" r:id="rId324" xr:uid="{6899CFA0-C636-4132-ACE7-DA251004FBB9}"/>
    <hyperlink ref="U3525" r:id="rId325" xr:uid="{C782DCDB-8AD7-48B2-AC0F-42C192740104}"/>
    <hyperlink ref="U3524" r:id="rId326" xr:uid="{C0B809C4-4F88-4BAF-82A2-263B055FE4BD}"/>
    <hyperlink ref="U3523" r:id="rId327" xr:uid="{B30B6999-4CF9-4B0B-B80E-7A3AA2929FC9}"/>
    <hyperlink ref="U3522" r:id="rId328" xr:uid="{052BAAC0-7ED5-4140-A883-309F01E817BC}"/>
    <hyperlink ref="U3521" r:id="rId329" xr:uid="{D8853A93-ECDE-4347-ADAF-EE2A5FA6518B}"/>
    <hyperlink ref="U3520" r:id="rId330" xr:uid="{BC1D52A2-851F-4E4D-B439-37D83F894CA6}"/>
    <hyperlink ref="U3519" r:id="rId331" xr:uid="{3759437A-A342-4837-8426-9463934D204E}"/>
    <hyperlink ref="U3518" r:id="rId332" xr:uid="{504252A5-5652-4ADE-B280-5D4DD8BCE63F}"/>
    <hyperlink ref="U3517" r:id="rId333" xr:uid="{0CEFAA2D-E85E-4CF7-9EBE-F593A58AD83E}"/>
    <hyperlink ref="U3507" r:id="rId334" xr:uid="{EE8AB64E-1AD5-4611-B046-694B600513E5}"/>
    <hyperlink ref="U3506" r:id="rId335" xr:uid="{1F68E777-72B3-48EB-B908-42A854050F1B}"/>
    <hyperlink ref="U3505" r:id="rId336" xr:uid="{B1A2DCF2-F21B-4913-AE4D-81315C450EBB}"/>
    <hyperlink ref="U3504" r:id="rId337" xr:uid="{7F559327-9493-46DE-86D0-B60B34857B57}"/>
    <hyperlink ref="U3501" r:id="rId338" xr:uid="{55B80894-3AA7-48BE-B66A-4C5B886E67C9}"/>
    <hyperlink ref="U3502" r:id="rId339" xr:uid="{215E09C1-7294-4022-82B0-C8285D5A2129}"/>
    <hyperlink ref="U3487" r:id="rId340" xr:uid="{157496BA-FD7C-4F7D-9A04-813799E298CD}"/>
    <hyperlink ref="U3686" r:id="rId341" xr:uid="{CFFAF771-70D3-43EE-8AC1-AA8460F77B87}"/>
    <hyperlink ref="U3685" r:id="rId342" xr:uid="{C893FAA2-F0A2-4BCD-8299-F674439301F7}"/>
    <hyperlink ref="U3684" r:id="rId343" xr:uid="{1AC0119F-19DC-4D61-86DF-418B36D790D9}"/>
    <hyperlink ref="U3678" r:id="rId344" xr:uid="{FAD51005-EC55-4398-A0EE-44E891C30F9C}"/>
    <hyperlink ref="U3677" r:id="rId345" xr:uid="{BE5BE747-4F96-4257-9FE3-4A2D0B14B45F}"/>
    <hyperlink ref="U3676" r:id="rId346" xr:uid="{669ACEFD-D4AF-43A7-8EFA-2D2A5C6DA8AC}"/>
    <hyperlink ref="U3673" r:id="rId347" xr:uid="{5F191C1D-8D28-4BCA-A9A4-69F67B363E72}"/>
    <hyperlink ref="U3672" r:id="rId348" xr:uid="{E8BBCD75-6D83-43AE-80AC-4CF65B0B2589}"/>
    <hyperlink ref="U3671" r:id="rId349" xr:uid="{A8670AEA-FE9A-47FC-81C3-BA4A3820F1F9}"/>
    <hyperlink ref="U3666" r:id="rId350" xr:uid="{396AA667-B87C-44F1-A640-0EBDBC097488}"/>
    <hyperlink ref="U3663" r:id="rId351" xr:uid="{9C40BCDE-EEC4-46A9-AA0B-97E5EEA8C66C}"/>
    <hyperlink ref="U3662" r:id="rId352" xr:uid="{21209416-E44B-42DF-A79A-FB79B370251B}"/>
    <hyperlink ref="U3661" r:id="rId353" xr:uid="{51730307-69E8-41B6-8A96-3E54B6C4F470}"/>
    <hyperlink ref="U3660" r:id="rId354" xr:uid="{C7C497FA-4766-43F7-9EE4-280A619564FA}"/>
    <hyperlink ref="U3659" r:id="rId355" xr:uid="{0DCD7D15-93B8-4B91-9C50-C380CBBDFF4D}"/>
    <hyperlink ref="U3658" r:id="rId356" xr:uid="{BAC1949A-90FC-4EA6-A340-3A0D32C9C623}"/>
    <hyperlink ref="U3657" r:id="rId357" xr:uid="{73DAF96E-3B15-4DFA-BBE1-02E11E9E9C93}"/>
    <hyperlink ref="U3656" r:id="rId358" xr:uid="{DB7F7D7B-D0E3-4DE6-B8E3-B3B24D685368}"/>
    <hyperlink ref="U3655" r:id="rId359" xr:uid="{025F7AF0-FBC5-4C1F-8B52-D6170DBC1887}"/>
    <hyperlink ref="U3654" r:id="rId360" xr:uid="{88B264AD-E0CC-4035-A931-27C9280C54EE}"/>
    <hyperlink ref="U3641" r:id="rId361" xr:uid="{1E908A37-5E61-47FB-BCE8-145AD6734A6D}"/>
    <hyperlink ref="U3624" r:id="rId362" xr:uid="{B055DC81-1102-4CB0-81E6-4003FDD6CE0B}"/>
    <hyperlink ref="U3623" r:id="rId363" xr:uid="{D6F0121E-3C90-4B5B-920C-DE3F1DA5495A}"/>
    <hyperlink ref="U3615" r:id="rId364" xr:uid="{DA2BBFEE-F47E-4818-AA0F-6229FD36617A}"/>
    <hyperlink ref="U3614" r:id="rId365" xr:uid="{ACCA13B9-9B11-4722-BE5E-3370B34BCA61}"/>
    <hyperlink ref="U3610" r:id="rId366" xr:uid="{56B80DC0-6877-4AB4-B115-AE1288E08A51}"/>
    <hyperlink ref="U3604" r:id="rId367" xr:uid="{DA3AF4D6-D53E-4EDF-97DD-01379244987A}"/>
    <hyperlink ref="U3601" r:id="rId368" xr:uid="{B82ADE3C-AA88-409F-B223-85D2AF6E93D6}"/>
    <hyperlink ref="U3600" r:id="rId369" xr:uid="{E4F8D6C6-C6D1-4EDF-B962-5FBDA27F2637}"/>
    <hyperlink ref="U3642:U3650" r:id="rId370" display="https://gytres-my.sharepoint.com/:b:/p/finanzas/EV4FAnA394hNr3BHMPZ-D4ABPCI-U4MdnFunzGDqG7hP0g?e=Yzq7rO" xr:uid="{08ADF04E-387B-43DC-8BF1-5A3730AF54F7}"/>
    <hyperlink ref="U3651:U3653" r:id="rId371" display="https://gytres-my.sharepoint.com/:b:/p/finanzas/EV4FAnA394hNr3BHMPZ-D4ABPCI-U4MdnFunzGDqG7hP0g?e=Yzq7rO" xr:uid="{637C484A-11B9-42B8-B38D-EC3F3A4418DD}"/>
    <hyperlink ref="U3679:U3683" r:id="rId372" display="https://gytres-my.sharepoint.com/:b:/p/finanzas/ETfS_MMlg_pBhYRqfZzHGvIBCxX2UQxdPsVCs9ayGZ5wEg?e=l0UPBk" xr:uid="{60C93F1A-8925-44F5-8FE6-D522AF912439}"/>
    <hyperlink ref="U4111" r:id="rId373" xr:uid="{B8CFAD88-9BC6-42F8-994C-D4A787D51676}"/>
    <hyperlink ref="U4109" r:id="rId374" xr:uid="{AF6F87C9-C35E-44B1-B6FD-6250C3F06779}"/>
    <hyperlink ref="U4104" r:id="rId375" xr:uid="{3C6E3A1D-7E6C-4320-AE1E-E1F70C89305E}"/>
    <hyperlink ref="U4102" r:id="rId376" xr:uid="{0ED985B5-1F98-4ADA-A6F3-DA3501BFF7B2}"/>
    <hyperlink ref="U4089" r:id="rId377" xr:uid="{155D3A2B-902D-4FA4-8B92-383B38A46DBC}"/>
    <hyperlink ref="U4090" r:id="rId378" xr:uid="{A7AD437E-0C5B-49C2-A21A-C767763CB520}"/>
    <hyperlink ref="U4085" r:id="rId379" xr:uid="{E5DF56B5-6012-412A-B3FA-7B1B125AE5AB}"/>
    <hyperlink ref="U4092" r:id="rId380" xr:uid="{B36A4EA5-60DD-47DD-B1DF-F9262D87550E}"/>
    <hyperlink ref="U4091" r:id="rId381" xr:uid="{FE808C3D-2834-486E-8F20-E4C2454F8670}"/>
    <hyperlink ref="U4068" r:id="rId382" xr:uid="{CB800A77-570C-414E-B0E7-2A77153638B1}"/>
    <hyperlink ref="U4067" r:id="rId383" xr:uid="{E15F923C-5D0C-43C0-A197-47F30159BE31}"/>
    <hyperlink ref="U4069" r:id="rId384" xr:uid="{4FA12854-D059-41FF-A9D5-A62E26732998}"/>
    <hyperlink ref="U4049" r:id="rId385" xr:uid="{C66B9C11-876A-4FE3-B284-1C749153796C}"/>
    <hyperlink ref="U4045" r:id="rId386" xr:uid="{23C50430-4E96-4BA4-BD5E-2CB6550444FC}"/>
    <hyperlink ref="U4043" r:id="rId387" xr:uid="{6CF54045-BD71-4B36-85A5-00E4EDBCBB0B}"/>
    <hyperlink ref="U4041" r:id="rId388" xr:uid="{0A45907F-59A6-4AAE-A126-469F782EDCD1}"/>
    <hyperlink ref="U4029" r:id="rId389" xr:uid="{67D5C898-DBDE-46AC-AC72-8EA71E46EB91}"/>
    <hyperlink ref="U4030" r:id="rId390" xr:uid="{92B7FC65-3F01-4271-8506-484B0D552460}"/>
    <hyperlink ref="U4028" r:id="rId391" xr:uid="{AD09ECE2-FEB6-4A44-A219-51BC6345C1ED}"/>
    <hyperlink ref="U4000" r:id="rId392" xr:uid="{45573F12-AE5D-4AEA-B4B3-64FF6878E2FB}"/>
    <hyperlink ref="U3998" r:id="rId393" xr:uid="{EAC3484F-9331-4642-B938-3843B8BABBE5}"/>
    <hyperlink ref="U4003" r:id="rId394" xr:uid="{2811CFA7-8FE5-4F4D-ABD4-B0536D83FEE0}"/>
    <hyperlink ref="U4004" r:id="rId395" xr:uid="{F060B248-34CB-4EBE-92AC-EE8A4F50A5A2}"/>
    <hyperlink ref="U3972" r:id="rId396" xr:uid="{0FE2E300-CA87-4BC6-A6AC-6F63019BAEDE}"/>
    <hyperlink ref="U3961" r:id="rId397" xr:uid="{3BA1321A-5D38-428C-B04F-D375C3030078}"/>
    <hyperlink ref="U3960" r:id="rId398" xr:uid="{16D5FC6A-AE9A-4876-ABA5-DB49CC29CEA3}"/>
    <hyperlink ref="U3959" r:id="rId399" xr:uid="{8FDBA1EC-92A6-4DEA-A8A0-4745BDD9FD7B}"/>
    <hyperlink ref="U3956" r:id="rId400" xr:uid="{93C284D9-5D84-4D9D-AA5B-9D02B03B4906}"/>
    <hyperlink ref="U3957" r:id="rId401" xr:uid="{2C9D98E4-68AE-46A0-89C0-A34201865BAC}"/>
    <hyperlink ref="U3955" r:id="rId402" xr:uid="{8092E2A6-697B-443E-A5D9-A259EDB837FE}"/>
    <hyperlink ref="U3954" r:id="rId403" xr:uid="{F2CCEC4F-5BD0-4832-9294-F0BB0DB2D57F}"/>
    <hyperlink ref="U3949" r:id="rId404" xr:uid="{D0AE5F5B-2F6A-4D82-93DE-9148407ECCFD}"/>
    <hyperlink ref="U3948" r:id="rId405" xr:uid="{83E7450C-4FC0-46A2-AC7B-18A15637B00B}"/>
    <hyperlink ref="U3947" r:id="rId406" xr:uid="{8194ABCD-2785-4EB3-B7C9-91B85BA07126}"/>
    <hyperlink ref="U3940" r:id="rId407" xr:uid="{15FD2A5A-6884-45EC-B49A-5577832BEBCF}"/>
    <hyperlink ref="U3941" r:id="rId408" xr:uid="{D5EA2CB8-0352-4228-98AE-17FF04401D89}"/>
    <hyperlink ref="U3938" r:id="rId409" xr:uid="{0C41D95A-13CE-4479-A653-F72B22DAE6E9}"/>
    <hyperlink ref="U3939" r:id="rId410" xr:uid="{CCB3607B-76C5-4187-BAA5-823D045A7609}"/>
    <hyperlink ref="U3914" r:id="rId411" xr:uid="{4EECB360-8867-480E-A052-569CBC7290DA}"/>
    <hyperlink ref="U3884" r:id="rId412" xr:uid="{8D5EB2F8-552A-4DE8-BE59-36634A7CAB6B}"/>
    <hyperlink ref="U3883" r:id="rId413" xr:uid="{792A5103-35AE-441A-8A71-4E4E37AA1806}"/>
    <hyperlink ref="U3882" r:id="rId414" xr:uid="{E2AB42EB-B051-4704-8AD2-94275004EED3}"/>
    <hyperlink ref="U3881" r:id="rId415" xr:uid="{BC41FEB8-6CD4-4768-96EC-261303405726}"/>
    <hyperlink ref="U3880" r:id="rId416" xr:uid="{55B59B31-281A-40D0-8652-978E6BE5F42E}"/>
    <hyperlink ref="U3879" r:id="rId417" xr:uid="{04D5D6AF-7172-4947-AB9E-680555EF94D8}"/>
    <hyperlink ref="U3878" r:id="rId418" xr:uid="{C62FF5ED-0952-4DDC-986A-5483161664E6}"/>
    <hyperlink ref="U3877" r:id="rId419" xr:uid="{51CB194A-E8E6-42CE-98C4-A6C6AEDBA8FB}"/>
    <hyperlink ref="U3852" r:id="rId420" xr:uid="{26188FC6-E2EB-4ECD-A294-C3236AC72FDA}"/>
    <hyperlink ref="U3842" r:id="rId421" xr:uid="{1CFAB30D-FF58-419F-9911-5201FA275E03}"/>
    <hyperlink ref="U3820" r:id="rId422" xr:uid="{5D3DC988-2AD5-4465-9BC3-47924CC714C8}"/>
    <hyperlink ref="U3821" r:id="rId423" xr:uid="{7B76EA31-45C4-4BAF-B70A-1A0733335C1D}"/>
    <hyperlink ref="U3834" r:id="rId424" xr:uid="{D4B0A63B-6DC9-44C1-8BF3-28D63A650FD6}"/>
    <hyperlink ref="U3794" r:id="rId425" xr:uid="{6FF71AA0-F254-4F54-9021-4153B4C20D2F}"/>
    <hyperlink ref="U3796" r:id="rId426" xr:uid="{028DA394-DEFE-44DB-9BC0-EF0E5AE2570B}"/>
    <hyperlink ref="U3779" r:id="rId427" xr:uid="{A77E831F-E06C-4409-B188-9540E099B33D}"/>
    <hyperlink ref="U3780" r:id="rId428" xr:uid="{2DE07733-D1E2-4410-865F-9F5C65DC1578}"/>
    <hyperlink ref="U4310" r:id="rId429" xr:uid="{ED18ED19-D11F-42B6-AEF8-87FFA4979291}"/>
    <hyperlink ref="U4304" r:id="rId430" xr:uid="{6C1AD23C-5E46-465D-995A-E4B72B19BD25}"/>
    <hyperlink ref="U4296" r:id="rId431" xr:uid="{15A62C27-1BC8-40E7-9B6D-A397D2989684}"/>
    <hyperlink ref="U4302" r:id="rId432" xr:uid="{78BEFB6E-E351-4F85-939B-C5A8AB830086}"/>
    <hyperlink ref="U4300" r:id="rId433" xr:uid="{10959976-9C9C-43A7-9599-D2C5CAB33F3C}"/>
    <hyperlink ref="U4303" r:id="rId434" xr:uid="{E0140E5B-7D8D-4A61-AB47-2ED00ADE5A8F}"/>
    <hyperlink ref="U4301" r:id="rId435" xr:uid="{1DD4AE09-CDBD-4E82-80F9-7DEF04EBF436}"/>
    <hyperlink ref="U4299" r:id="rId436" xr:uid="{BC9A4494-3BE6-4833-ABCA-4F42C7E3010B}"/>
    <hyperlink ref="U4298" r:id="rId437" xr:uid="{6E734449-5118-4E7A-9961-C259BEFB9CFA}"/>
    <hyperlink ref="U4297" r:id="rId438" xr:uid="{5E6F044E-8892-48CB-A932-A011C4D20110}"/>
    <hyperlink ref="U4295" r:id="rId439" xr:uid="{2C34726D-DA9C-4EFE-B105-B6C6C69C6D0A}"/>
    <hyperlink ref="U4294" r:id="rId440" xr:uid="{E63633E9-18DA-43A5-B503-A04C42867004}"/>
    <hyperlink ref="U4293" r:id="rId441" xr:uid="{7E4B9EF2-D6BF-4DB4-8BBC-B909BDCF4751}"/>
    <hyperlink ref="U4292" r:id="rId442" xr:uid="{73DAAF4C-2451-4E73-A8BC-0F525A0A8245}"/>
    <hyperlink ref="U4279" r:id="rId443" xr:uid="{FBE79673-DD96-4A39-95EF-38DA80ED475D}"/>
    <hyperlink ref="U4271" r:id="rId444" xr:uid="{E8FE26E7-DFEF-4592-9E27-7AEB180B32E5}"/>
    <hyperlink ref="U4270" r:id="rId445" xr:uid="{F0262229-A2B8-4EC0-AAEA-FAE9683E0431}"/>
    <hyperlink ref="U4236" r:id="rId446" xr:uid="{3DC9A735-CAAE-49BB-A60B-17E762DDDFC9}"/>
    <hyperlink ref="U4241" r:id="rId447" xr:uid="{0422E009-48D9-45AA-B7D7-883EEA10BDA0}"/>
    <hyperlink ref="U4239" r:id="rId448" xr:uid="{C597F42E-9B15-463C-9B63-EA99DBBC693C}"/>
    <hyperlink ref="U4238" r:id="rId449" xr:uid="{0F67F885-A6DE-44FD-86BC-0E03A40B3543}"/>
    <hyperlink ref="U4237" r:id="rId450" xr:uid="{CE399DE5-4A3F-4920-8E57-D6B499E1A138}"/>
    <hyperlink ref="U4204" r:id="rId451" xr:uid="{2348E868-DFA4-47F1-9742-CD7D6F06969A}"/>
    <hyperlink ref="U4203" r:id="rId452" xr:uid="{A94278E0-9075-4F2A-9876-2E3C52FD8B9F}"/>
    <hyperlink ref="U4202" r:id="rId453" xr:uid="{66567ED6-B7A9-4CBC-952E-268F808B38AB}"/>
    <hyperlink ref="U4193" r:id="rId454" xr:uid="{91C931A8-F335-467B-9254-AAE2AFBD6DB6}"/>
    <hyperlink ref="U4194" r:id="rId455" xr:uid="{70D91ED3-FE5D-4419-A42A-638E9D2AFF5E}"/>
    <hyperlink ref="U4195" r:id="rId456" xr:uid="{666581E2-4D91-4CCA-9B1D-234CAD506C4E}"/>
    <hyperlink ref="U4196" r:id="rId457" xr:uid="{FF0C5089-DDC2-4960-906F-E3F152FC87A7}"/>
    <hyperlink ref="U4192" r:id="rId458" xr:uid="{14471134-561A-4350-8588-999946B9D971}"/>
    <hyperlink ref="U4176" r:id="rId459" xr:uid="{93D76B7A-2148-4A9E-B466-F0DDD23353E6}"/>
    <hyperlink ref="U4175" r:id="rId460" xr:uid="{53A56DE0-EB6D-4681-AE80-E3CC27DD271B}"/>
    <hyperlink ref="U4174" r:id="rId461" xr:uid="{29DF62D3-5703-4FBD-BA8B-56D3E22455EE}"/>
    <hyperlink ref="U4173" r:id="rId462" xr:uid="{8DFB4A64-3FEF-40D4-8D70-2D5D1EC26539}"/>
    <hyperlink ref="U4168" r:id="rId463" xr:uid="{66412CA2-4099-4C53-A373-78A9B4FEFE5B}"/>
    <hyperlink ref="U4167" r:id="rId464" xr:uid="{D836E32F-2380-4C77-8C9E-7091CA3D34B7}"/>
    <hyperlink ref="U4166" r:id="rId465" xr:uid="{0B79875E-4AAE-452D-B290-D933B7C469E2}"/>
    <hyperlink ref="U4161" r:id="rId466" xr:uid="{FB47E4F1-5CCE-482F-B0E1-25D894050373}"/>
    <hyperlink ref="U4160" r:id="rId467" xr:uid="{1F9DD42B-2904-457C-988C-E1624A1AECED}"/>
    <hyperlink ref="U4156" r:id="rId468" xr:uid="{034DBD13-83E6-4FFD-941D-561CB90E8448}"/>
    <hyperlink ref="U4154" r:id="rId469" xr:uid="{0736C049-45E9-41F5-A845-B7E6DA7F8A5D}"/>
    <hyperlink ref="U4153" r:id="rId470" xr:uid="{DD302986-BF90-4E08-9133-201F9C876000}"/>
    <hyperlink ref="U4152" r:id="rId471" xr:uid="{AF2ACFBC-CE03-4C57-879E-1952E205538A}"/>
    <hyperlink ref="U4141" r:id="rId472" xr:uid="{9899E825-EC98-40F7-8F68-8286BF5CC061}"/>
    <hyperlink ref="U4123" r:id="rId473" xr:uid="{7DB39EA4-DB85-4FF5-8957-EE53D29694E7}"/>
    <hyperlink ref="U4122" r:id="rId474" xr:uid="{CE3C16A7-F167-4E19-BEB0-10BC40D34D3B}"/>
    <hyperlink ref="U4106:U4108" r:id="rId475" display="https://gytres-my.sharepoint.com/:b:/p/finanzas/EUjHgUP4QsdOuB3v8FW4VKwBjzZsWBiSt-aeTZ3BMUTYkg?e=bzhmYR" xr:uid="{5FE38DDE-3DAD-41DF-BA02-2718D56F9787}"/>
    <hyperlink ref="U4110" r:id="rId476" xr:uid="{47BFE0B0-B335-4150-8538-1E1E4DBFD717}"/>
    <hyperlink ref="U4070:U4075" r:id="rId477" display="https://gytres-my.sharepoint.com/:b:/p/finanzas/EXNny1CVICdCrwXJGUVMrgsBXjNshOsUAiS7DIRKQ8NYIA?e=s9S3Pm" xr:uid="{A04AB305-8EFC-4978-9969-9152EBBB9D5A}"/>
    <hyperlink ref="U4307:U4309" r:id="rId478" display="https://gytres-my.sharepoint.com/:b:/p/finanzas/EamtWrWn8UNPmUDiTQRM8ncBR8Je9bPwAf8D9jSXOEXWDA?e=018w7j" xr:uid="{FBF0A711-CEDD-49D9-833E-C699ED660C8E}"/>
  </hyperlinks>
  <printOptions horizontalCentered="1"/>
  <pageMargins left="0.11811023622047245" right="0.11811023622047245" top="0.35433070866141736" bottom="0.35433070866141736" header="0.31496062992125984" footer="0.31496062992125984"/>
  <pageSetup paperSize="9" scale="51" fitToHeight="0" orientation="landscape" r:id="rId479"/>
  <legacyDrawing r:id="rId480"/>
  <tableParts count="1">
    <tablePart r:id="rId48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027C4-FE09-4089-B56D-AB2B5C5D6E62}">
  <sheetPr codeName="Hoja3">
    <tabColor theme="6"/>
    <pageSetUpPr fitToPage="1"/>
  </sheetPr>
  <dimension ref="A1:AA435"/>
  <sheetViews>
    <sheetView showGridLines="0" zoomScaleNormal="100" zoomScaleSheetLayoutView="100" workbookViewId="0">
      <selection sqref="A1:AA1"/>
    </sheetView>
  </sheetViews>
  <sheetFormatPr defaultColWidth="11.44140625" defaultRowHeight="14.4" outlineLevelCol="1" x14ac:dyDescent="0.3"/>
  <cols>
    <col min="1" max="1" width="9.44140625" bestFit="1" customWidth="1"/>
    <col min="2" max="2" width="15.44140625" bestFit="1" customWidth="1"/>
    <col min="3" max="3" width="13.44140625" bestFit="1" customWidth="1"/>
    <col min="4" max="4" width="10.6640625" bestFit="1" customWidth="1"/>
    <col min="5" max="5" width="14.33203125" customWidth="1"/>
    <col min="6" max="6" width="11.6640625" bestFit="1" customWidth="1"/>
    <col min="7" max="7" width="17" bestFit="1" customWidth="1"/>
    <col min="8" max="8" width="16" customWidth="1"/>
    <col min="9" max="9" width="10.109375" bestFit="1" customWidth="1"/>
    <col min="10" max="10" width="12.44140625" bestFit="1" customWidth="1"/>
    <col min="11" max="11" width="40.44140625" bestFit="1" customWidth="1"/>
    <col min="12" max="12" width="15" bestFit="1" customWidth="1"/>
    <col min="13" max="13" width="12.44140625" bestFit="1" customWidth="1"/>
    <col min="14" max="14" width="12.109375" bestFit="1" customWidth="1"/>
    <col min="15" max="15" width="11.44140625" bestFit="1" customWidth="1"/>
    <col min="16" max="17" width="11.33203125" bestFit="1" customWidth="1"/>
    <col min="18" max="18" width="10.88671875" bestFit="1" customWidth="1"/>
    <col min="19" max="19" width="12" bestFit="1" customWidth="1"/>
    <col min="20" max="20" width="13" bestFit="1" customWidth="1"/>
    <col min="21" max="21" width="15.88671875" style="62" bestFit="1" customWidth="1"/>
    <col min="22" max="25" width="17.109375" customWidth="1" outlineLevel="1"/>
    <col min="26" max="26" width="16.33203125" customWidth="1" outlineLevel="1"/>
    <col min="27" max="27" width="16" customWidth="1" outlineLevel="1"/>
  </cols>
  <sheetData>
    <row r="1" spans="1:27" x14ac:dyDescent="0.3">
      <c r="A1" s="263" t="s">
        <v>9536</v>
      </c>
      <c r="B1" s="263" t="s">
        <v>9537</v>
      </c>
      <c r="C1" s="263" t="s">
        <v>9538</v>
      </c>
      <c r="D1" s="263" t="s">
        <v>9539</v>
      </c>
      <c r="E1" s="263" t="s">
        <v>9540</v>
      </c>
      <c r="F1" s="263" t="s">
        <v>9541</v>
      </c>
      <c r="G1" s="263" t="s">
        <v>9542</v>
      </c>
      <c r="H1" s="263" t="s">
        <v>9543</v>
      </c>
      <c r="I1" s="263" t="s">
        <v>9544</v>
      </c>
      <c r="J1" s="263" t="s">
        <v>9545</v>
      </c>
      <c r="K1" s="263" t="s">
        <v>9546</v>
      </c>
      <c r="L1" s="263" t="s">
        <v>9547</v>
      </c>
      <c r="M1" s="263" t="s">
        <v>9548</v>
      </c>
      <c r="N1" s="263" t="s">
        <v>9549</v>
      </c>
      <c r="O1" s="263" t="s">
        <v>9550</v>
      </c>
      <c r="P1" s="263" t="s">
        <v>9551</v>
      </c>
      <c r="Q1" s="263" t="s">
        <v>9552</v>
      </c>
      <c r="R1" s="263" t="s">
        <v>9553</v>
      </c>
      <c r="S1" s="263" t="s">
        <v>9554</v>
      </c>
      <c r="T1" s="263" t="s">
        <v>9555</v>
      </c>
      <c r="U1" s="263" t="s">
        <v>9556</v>
      </c>
      <c r="V1" s="263" t="s">
        <v>9557</v>
      </c>
      <c r="W1" s="263" t="s">
        <v>9558</v>
      </c>
      <c r="X1" s="263" t="s">
        <v>9559</v>
      </c>
      <c r="Y1" s="263" t="s">
        <v>9560</v>
      </c>
      <c r="Z1" s="263" t="s">
        <v>9561</v>
      </c>
      <c r="AA1" s="263" t="s">
        <v>9562</v>
      </c>
    </row>
    <row r="2" spans="1:27" x14ac:dyDescent="0.3">
      <c r="A2" s="16">
        <f>IF(BCP_Dolares[[#This Row],[tipo_registro]]="R",COUNTIFS($C$1:$C1,"R")+1,"")</f>
        <v>1</v>
      </c>
      <c r="B2" s="18" t="str">
        <f t="shared" ref="B2:B74" si="0">"B-BCP - Dolares"</f>
        <v>B-BCP - Dolares</v>
      </c>
      <c r="C2" s="13" t="s">
        <v>1330</v>
      </c>
      <c r="D2" s="4">
        <v>45658</v>
      </c>
      <c r="E2" s="5" t="s">
        <v>1331</v>
      </c>
      <c r="F2" s="6" t="s">
        <v>1320</v>
      </c>
      <c r="G2" s="6"/>
      <c r="H2" s="6"/>
      <c r="I2" s="6"/>
      <c r="J2" s="6"/>
      <c r="K2" s="7" t="s">
        <v>1332</v>
      </c>
      <c r="L2" s="8" t="s">
        <v>1333</v>
      </c>
      <c r="M2" s="8" t="str">
        <f t="shared" ref="M2:M74" si="1">"USD"</f>
        <v>USD</v>
      </c>
      <c r="N2" s="13"/>
      <c r="O2" s="13">
        <v>471.82</v>
      </c>
      <c r="P2" s="13">
        <f t="shared" ref="P2:P67" si="2">+IF(OR($F2="SALDO",$F2="INGRESO"),$O2,0)</f>
        <v>471.82</v>
      </c>
      <c r="Q2" s="13">
        <f t="shared" ref="Q2:Q67" si="3">+IF($F2="EGRESO",$O2,0)</f>
        <v>0</v>
      </c>
      <c r="R2" s="13">
        <f t="shared" ref="R2:R65" si="4">IFERROR(IF(F2="SALDO",P2,R1+P2-Q2),0)</f>
        <v>471.82</v>
      </c>
      <c r="S2" s="28"/>
      <c r="T2" s="28"/>
      <c r="U2" s="60"/>
      <c r="V2" s="3"/>
      <c r="W2" s="3"/>
      <c r="X2" s="3"/>
      <c r="Y2" s="3"/>
      <c r="Z2" s="3"/>
      <c r="AA2" s="3" t="str">
        <f>IF(BCP_Dolares[[#This Row],[fecha]]&gt;0,TEXT(BCP_Dolares[[#This Row],[fecha]],"mmmm"),0)</f>
        <v>Enero</v>
      </c>
    </row>
    <row r="3" spans="1:27" x14ac:dyDescent="0.3">
      <c r="A3" s="2">
        <f>IF(BCP_Dolares[[#This Row],[tipo_registro]]="R",COUNTIFS($C$1:$C2,"R")+1,"")</f>
        <v>2</v>
      </c>
      <c r="B3" s="19" t="str">
        <f>"B-BCP - Dolares"</f>
        <v>B-BCP - Dolares</v>
      </c>
      <c r="C3" s="3" t="s">
        <v>1330</v>
      </c>
      <c r="D3" s="14">
        <v>45660</v>
      </c>
      <c r="E3" s="5" t="s">
        <v>4025</v>
      </c>
      <c r="F3" s="5" t="s">
        <v>1303</v>
      </c>
      <c r="G3" s="6" t="s">
        <v>425</v>
      </c>
      <c r="H3" s="6"/>
      <c r="I3" s="6"/>
      <c r="J3" s="6"/>
      <c r="K3" s="7" t="s">
        <v>4026</v>
      </c>
      <c r="L3" s="8">
        <v>2013740</v>
      </c>
      <c r="M3" s="8" t="str">
        <f>"USD"</f>
        <v>USD</v>
      </c>
      <c r="N3" s="13"/>
      <c r="O3" s="13">
        <v>191.91</v>
      </c>
      <c r="P3" s="3">
        <f>+IF(OR($F3="SALDO",$F3="INGRESO"),$O3,0)</f>
        <v>191.91</v>
      </c>
      <c r="Q3" s="3">
        <f>+IF($F3="EGRESO",$O3,0)</f>
        <v>0</v>
      </c>
      <c r="R3" s="3">
        <f t="shared" si="4"/>
        <v>663.73</v>
      </c>
      <c r="S3" s="24" t="s">
        <v>1334</v>
      </c>
      <c r="T3" s="24"/>
      <c r="U3" s="61"/>
      <c r="V3" s="3" t="s">
        <v>425</v>
      </c>
      <c r="W3" s="3"/>
      <c r="X3" s="3"/>
      <c r="Y3" s="3"/>
      <c r="Z3" s="3"/>
      <c r="AA3" s="3" t="str">
        <f>IF(BCP_Dolares[[#This Row],[fecha]]&gt;0,TEXT(BCP_Dolares[[#This Row],[fecha]],"mmmm"),0)</f>
        <v>Enero</v>
      </c>
    </row>
    <row r="4" spans="1:27" ht="24" x14ac:dyDescent="0.3">
      <c r="A4" s="2">
        <f>IF(BCP_Dolares[[#This Row],[tipo_registro]]="R",COUNTIFS($C$1:$C3,"R")+1,"")</f>
        <v>3</v>
      </c>
      <c r="B4" s="19" t="str">
        <f t="shared" si="0"/>
        <v>B-BCP - Dolares</v>
      </c>
      <c r="C4" s="3" t="s">
        <v>1330</v>
      </c>
      <c r="D4" s="14">
        <v>45663</v>
      </c>
      <c r="E4" s="5" t="s">
        <v>1338</v>
      </c>
      <c r="F4" s="5" t="s">
        <v>1336</v>
      </c>
      <c r="G4" s="6" t="s">
        <v>248</v>
      </c>
      <c r="H4" s="6" t="s">
        <v>68</v>
      </c>
      <c r="I4" s="6" t="s">
        <v>3302</v>
      </c>
      <c r="J4" s="6">
        <v>28568</v>
      </c>
      <c r="K4" s="7" t="s">
        <v>4898</v>
      </c>
      <c r="L4" s="8">
        <v>1231224</v>
      </c>
      <c r="M4" s="8" t="str">
        <f t="shared" si="1"/>
        <v>USD</v>
      </c>
      <c r="N4" s="13"/>
      <c r="O4" s="13">
        <v>291.88</v>
      </c>
      <c r="P4" s="3">
        <f t="shared" si="2"/>
        <v>0</v>
      </c>
      <c r="Q4" s="3">
        <f t="shared" si="3"/>
        <v>291.88</v>
      </c>
      <c r="R4" s="3">
        <f t="shared" si="4"/>
        <v>371.85</v>
      </c>
      <c r="S4" s="24" t="s">
        <v>1334</v>
      </c>
      <c r="T4" s="24" t="s">
        <v>1334</v>
      </c>
      <c r="U4" s="61"/>
      <c r="V4" s="3" t="s">
        <v>248</v>
      </c>
      <c r="W4" s="3" t="s">
        <v>4899</v>
      </c>
      <c r="X4" s="3"/>
      <c r="Y4" s="3"/>
      <c r="Z4" s="3"/>
      <c r="AA4" s="3" t="str">
        <f>IF(BCP_Dolares[[#This Row],[fecha]]&gt;0,TEXT(BCP_Dolares[[#This Row],[fecha]],"mmmm"),0)</f>
        <v>Enero</v>
      </c>
    </row>
    <row r="5" spans="1:27" ht="48" x14ac:dyDescent="0.3">
      <c r="A5" s="2">
        <f>IF(BCP_Dolares[[#This Row],[tipo_registro]]="R",COUNTIFS($C$1:$C4,"R")+1,"")</f>
        <v>4</v>
      </c>
      <c r="B5" s="19" t="str">
        <f>"B-BCP - Dolares"</f>
        <v>B-BCP - Dolares</v>
      </c>
      <c r="C5" s="3" t="s">
        <v>1330</v>
      </c>
      <c r="D5" s="14">
        <v>45667</v>
      </c>
      <c r="E5" s="5" t="s">
        <v>1338</v>
      </c>
      <c r="F5" s="5" t="s">
        <v>1336</v>
      </c>
      <c r="G5" s="6" t="s">
        <v>411</v>
      </c>
      <c r="H5" s="6" t="s">
        <v>68</v>
      </c>
      <c r="I5" s="6" t="s">
        <v>1374</v>
      </c>
      <c r="J5" s="6">
        <v>299</v>
      </c>
      <c r="K5" s="7" t="s">
        <v>4900</v>
      </c>
      <c r="L5" s="8">
        <v>219116</v>
      </c>
      <c r="M5" s="8" t="str">
        <f>"USD"</f>
        <v>USD</v>
      </c>
      <c r="N5" s="13"/>
      <c r="O5" s="13">
        <v>237.81</v>
      </c>
      <c r="P5" s="3">
        <f>+IF(OR($F5="SALDO",$F5="INGRESO"),$O5,0)</f>
        <v>0</v>
      </c>
      <c r="Q5" s="3">
        <f>+IF($F5="EGRESO",$O5,0)</f>
        <v>237.81</v>
      </c>
      <c r="R5" s="3">
        <f t="shared" si="4"/>
        <v>134.04000000000002</v>
      </c>
      <c r="S5" s="24" t="s">
        <v>1334</v>
      </c>
      <c r="T5" s="24" t="s">
        <v>1334</v>
      </c>
      <c r="U5" s="61"/>
      <c r="V5" s="3" t="s">
        <v>411</v>
      </c>
      <c r="W5" s="3" t="s">
        <v>4901</v>
      </c>
      <c r="X5" s="3"/>
      <c r="Y5" s="3"/>
      <c r="Z5" s="3"/>
      <c r="AA5" s="3" t="str">
        <f>IF(BCP_Dolares[[#This Row],[fecha]]&gt;0,TEXT(BCP_Dolares[[#This Row],[fecha]],"mmmm"),0)</f>
        <v>Enero</v>
      </c>
    </row>
    <row r="6" spans="1:27" ht="24" x14ac:dyDescent="0.3">
      <c r="A6" s="2">
        <f>IF(BCP_Dolares[[#This Row],[tipo_registro]]="R",COUNTIFS($C$1:$C5,"R")+1,"")</f>
        <v>5</v>
      </c>
      <c r="B6" s="19" t="str">
        <f t="shared" si="0"/>
        <v>B-BCP - Dolares</v>
      </c>
      <c r="C6" s="3" t="s">
        <v>1330</v>
      </c>
      <c r="D6" s="14">
        <v>45667</v>
      </c>
      <c r="E6" s="5" t="s">
        <v>1335</v>
      </c>
      <c r="F6" s="5" t="s">
        <v>1336</v>
      </c>
      <c r="G6" s="6" t="s">
        <v>1060</v>
      </c>
      <c r="H6" s="6" t="s">
        <v>68</v>
      </c>
      <c r="I6" s="6" t="s">
        <v>1397</v>
      </c>
      <c r="J6" s="6">
        <v>28309030</v>
      </c>
      <c r="K6" s="7" t="s">
        <v>4902</v>
      </c>
      <c r="L6" s="8">
        <v>219121</v>
      </c>
      <c r="M6" s="8" t="str">
        <f t="shared" si="1"/>
        <v>USD</v>
      </c>
      <c r="N6" s="13"/>
      <c r="O6" s="13">
        <v>6.32</v>
      </c>
      <c r="P6" s="3">
        <f t="shared" si="2"/>
        <v>0</v>
      </c>
      <c r="Q6" s="3">
        <f t="shared" si="3"/>
        <v>6.32</v>
      </c>
      <c r="R6" s="3">
        <f t="shared" si="4"/>
        <v>127.72000000000003</v>
      </c>
      <c r="S6" s="24" t="s">
        <v>1334</v>
      </c>
      <c r="T6" s="24" t="s">
        <v>1334</v>
      </c>
      <c r="U6" s="61"/>
      <c r="V6" s="3" t="s">
        <v>1335</v>
      </c>
      <c r="W6" s="3" t="s">
        <v>4903</v>
      </c>
      <c r="X6" s="3"/>
      <c r="Y6" s="3"/>
      <c r="Z6" s="3"/>
      <c r="AA6" s="3" t="str">
        <f>IF(BCP_Dolares[[#This Row],[fecha]]&gt;0,TEXT(BCP_Dolares[[#This Row],[fecha]],"mmmm"),0)</f>
        <v>Enero</v>
      </c>
    </row>
    <row r="7" spans="1:27" x14ac:dyDescent="0.3">
      <c r="A7" s="2">
        <f>IF(BCP_Dolares[[#This Row],[tipo_registro]]="R",COUNTIFS($C$1:$C6,"R")+1,"")</f>
        <v>6</v>
      </c>
      <c r="B7" s="19" t="str">
        <f t="shared" si="0"/>
        <v>B-BCP - Dolares</v>
      </c>
      <c r="C7" s="3" t="s">
        <v>1330</v>
      </c>
      <c r="D7" s="14">
        <v>45674</v>
      </c>
      <c r="E7" s="5" t="s">
        <v>425</v>
      </c>
      <c r="F7" s="5" t="s">
        <v>1303</v>
      </c>
      <c r="G7" s="6" t="s">
        <v>425</v>
      </c>
      <c r="H7" s="6"/>
      <c r="I7" s="6"/>
      <c r="J7" s="6"/>
      <c r="K7" s="7" t="s">
        <v>1584</v>
      </c>
      <c r="L7" s="8">
        <v>2187910</v>
      </c>
      <c r="M7" s="8" t="str">
        <f t="shared" si="1"/>
        <v>USD</v>
      </c>
      <c r="N7" s="13"/>
      <c r="O7" s="13">
        <v>1267</v>
      </c>
      <c r="P7" s="3">
        <f t="shared" si="2"/>
        <v>1267</v>
      </c>
      <c r="Q7" s="3">
        <f t="shared" si="3"/>
        <v>0</v>
      </c>
      <c r="R7" s="3">
        <f t="shared" si="4"/>
        <v>1394.72</v>
      </c>
      <c r="S7" s="24" t="s">
        <v>1334</v>
      </c>
      <c r="T7" s="24" t="s">
        <v>1334</v>
      </c>
      <c r="U7" s="61"/>
      <c r="V7" s="3" t="s">
        <v>425</v>
      </c>
      <c r="W7" s="3"/>
      <c r="X7" s="3"/>
      <c r="Y7" s="3"/>
      <c r="Z7" s="3"/>
      <c r="AA7" s="3" t="str">
        <f>IF(BCP_Dolares[[#This Row],[fecha]]&gt;0,TEXT(BCP_Dolares[[#This Row],[fecha]],"mmmm"),0)</f>
        <v>Enero</v>
      </c>
    </row>
    <row r="8" spans="1:27" ht="24" x14ac:dyDescent="0.3">
      <c r="A8" s="2">
        <f>IF(BCP_Dolares[[#This Row],[tipo_registro]]="R",COUNTIFS($C$1:$C7,"R")+1,"")</f>
        <v>7</v>
      </c>
      <c r="B8" s="19" t="str">
        <f t="shared" si="0"/>
        <v>B-BCP - Dolares</v>
      </c>
      <c r="C8" s="3" t="s">
        <v>1330</v>
      </c>
      <c r="D8" s="14">
        <v>45674</v>
      </c>
      <c r="E8" s="5" t="s">
        <v>1338</v>
      </c>
      <c r="F8" s="5" t="s">
        <v>1336</v>
      </c>
      <c r="G8" s="6" t="s">
        <v>778</v>
      </c>
      <c r="H8" s="6" t="s">
        <v>68</v>
      </c>
      <c r="I8" s="6" t="s">
        <v>3078</v>
      </c>
      <c r="J8" s="6">
        <v>140177</v>
      </c>
      <c r="K8" s="7" t="s">
        <v>4904</v>
      </c>
      <c r="L8" s="8">
        <v>206833</v>
      </c>
      <c r="M8" s="8" t="str">
        <f t="shared" si="1"/>
        <v>USD</v>
      </c>
      <c r="N8" s="13"/>
      <c r="O8" s="13">
        <v>1010.25</v>
      </c>
      <c r="P8" s="3">
        <f t="shared" si="2"/>
        <v>0</v>
      </c>
      <c r="Q8" s="3">
        <f t="shared" si="3"/>
        <v>1010.25</v>
      </c>
      <c r="R8" s="3">
        <f t="shared" si="4"/>
        <v>384.47</v>
      </c>
      <c r="S8" s="24" t="s">
        <v>1334</v>
      </c>
      <c r="T8" s="24" t="s">
        <v>1334</v>
      </c>
      <c r="U8" s="61"/>
      <c r="V8" s="3" t="s">
        <v>4905</v>
      </c>
      <c r="W8" s="3" t="s">
        <v>4906</v>
      </c>
      <c r="X8" s="3"/>
      <c r="Y8" s="3"/>
      <c r="Z8" s="3"/>
      <c r="AA8" s="3" t="str">
        <f>IF(BCP_Dolares[[#This Row],[fecha]]&gt;0,TEXT(BCP_Dolares[[#This Row],[fecha]],"mmmm"),0)</f>
        <v>Enero</v>
      </c>
    </row>
    <row r="9" spans="1:27" ht="48" x14ac:dyDescent="0.3">
      <c r="A9" s="2">
        <f>IF(BCP_Dolares[[#This Row],[tipo_registro]]="R",COUNTIFS($C$1:$C8,"R")+1,"")</f>
        <v>8</v>
      </c>
      <c r="B9" s="19" t="str">
        <f t="shared" si="0"/>
        <v>B-BCP - Dolares</v>
      </c>
      <c r="C9" s="3" t="s">
        <v>1330</v>
      </c>
      <c r="D9" s="14">
        <v>45674</v>
      </c>
      <c r="E9" s="5" t="s">
        <v>1338</v>
      </c>
      <c r="F9" s="5" t="s">
        <v>1336</v>
      </c>
      <c r="G9" s="6" t="s">
        <v>411</v>
      </c>
      <c r="H9" s="6"/>
      <c r="I9" s="6"/>
      <c r="J9" s="6"/>
      <c r="K9" s="7" t="s">
        <v>3236</v>
      </c>
      <c r="L9" s="8">
        <v>4067271</v>
      </c>
      <c r="M9" s="8" t="str">
        <f t="shared" si="1"/>
        <v>USD</v>
      </c>
      <c r="N9" s="13"/>
      <c r="O9" s="13">
        <v>382.32</v>
      </c>
      <c r="P9" s="3">
        <f t="shared" si="2"/>
        <v>0</v>
      </c>
      <c r="Q9" s="3">
        <f t="shared" si="3"/>
        <v>382.32</v>
      </c>
      <c r="R9" s="3">
        <f t="shared" si="4"/>
        <v>2.1500000000000341</v>
      </c>
      <c r="S9" s="24" t="s">
        <v>1334</v>
      </c>
      <c r="T9" s="24" t="s">
        <v>1334</v>
      </c>
      <c r="U9" s="61"/>
      <c r="V9" s="3" t="s">
        <v>411</v>
      </c>
      <c r="W9" s="3" t="s">
        <v>4907</v>
      </c>
      <c r="X9" s="3" t="s">
        <v>4908</v>
      </c>
      <c r="Y9" s="3"/>
      <c r="Z9" s="3"/>
      <c r="AA9" s="3" t="str">
        <f>IF(BCP_Dolares[[#This Row],[fecha]]&gt;0,TEXT(BCP_Dolares[[#This Row],[fecha]],"mmmm"),0)</f>
        <v>Enero</v>
      </c>
    </row>
    <row r="10" spans="1:27" ht="48" x14ac:dyDescent="0.3">
      <c r="A10" s="2" t="str">
        <f>IF(BCP_Dolares[[#This Row],[tipo_registro]]="R",COUNTIFS($C$1:$C9,"R")+1,"")</f>
        <v/>
      </c>
      <c r="B10" s="19" t="str">
        <f>"B-BCP - Dolares"</f>
        <v>B-BCP - Dolares</v>
      </c>
      <c r="C10" s="3" t="s">
        <v>1352</v>
      </c>
      <c r="D10" s="14">
        <v>45674</v>
      </c>
      <c r="E10" s="5" t="s">
        <v>1338</v>
      </c>
      <c r="F10" s="5"/>
      <c r="G10" s="6" t="s">
        <v>411</v>
      </c>
      <c r="H10" s="6" t="s">
        <v>68</v>
      </c>
      <c r="I10" s="6" t="s">
        <v>1374</v>
      </c>
      <c r="J10" s="6">
        <v>300</v>
      </c>
      <c r="K10" s="7" t="s">
        <v>3236</v>
      </c>
      <c r="L10" s="8">
        <v>4067271</v>
      </c>
      <c r="M10" s="8" t="str">
        <f>"USD"</f>
        <v>USD</v>
      </c>
      <c r="N10" s="13">
        <v>379</v>
      </c>
      <c r="O10" s="13"/>
      <c r="P10" s="3">
        <f>+IF(OR($F10="SALDO",$F10="INGRESO"),$O10,0)</f>
        <v>0</v>
      </c>
      <c r="Q10" s="3">
        <f>+IF($F10="EGRESO",$O10,0)</f>
        <v>0</v>
      </c>
      <c r="R10" s="3">
        <f t="shared" si="4"/>
        <v>2.1500000000000341</v>
      </c>
      <c r="S10" s="24" t="s">
        <v>1334</v>
      </c>
      <c r="T10" s="24" t="s">
        <v>1334</v>
      </c>
      <c r="U10" s="61"/>
      <c r="V10" s="3"/>
      <c r="W10" s="3"/>
      <c r="X10" s="3"/>
      <c r="Y10" s="3"/>
      <c r="Z10" s="3"/>
      <c r="AA10" s="3" t="str">
        <f>IF(BCP_Dolares[[#This Row],[fecha]]&gt;0,TEXT(BCP_Dolares[[#This Row],[fecha]],"mmmm"),0)</f>
        <v>Enero</v>
      </c>
    </row>
    <row r="11" spans="1:27" ht="24" x14ac:dyDescent="0.3">
      <c r="A11" s="2" t="str">
        <f>IF(BCP_Dolares[[#This Row],[tipo_registro]]="R",COUNTIFS($C$1:$C10,"R")+1,"")</f>
        <v/>
      </c>
      <c r="B11" s="19" t="str">
        <f>"B-BCP - Dolares"</f>
        <v>B-BCP - Dolares</v>
      </c>
      <c r="C11" s="3" t="s">
        <v>1352</v>
      </c>
      <c r="D11" s="14">
        <v>45674</v>
      </c>
      <c r="E11" s="5" t="s">
        <v>1338</v>
      </c>
      <c r="F11" s="5"/>
      <c r="G11" s="6" t="s">
        <v>1060</v>
      </c>
      <c r="H11" s="6" t="s">
        <v>68</v>
      </c>
      <c r="I11" s="6" t="s">
        <v>1397</v>
      </c>
      <c r="J11" s="6">
        <v>28776558</v>
      </c>
      <c r="K11" s="7" t="s">
        <v>3236</v>
      </c>
      <c r="L11" s="8">
        <v>4067271</v>
      </c>
      <c r="M11" s="8" t="str">
        <f>"USD"</f>
        <v>USD</v>
      </c>
      <c r="N11" s="13">
        <v>3.32</v>
      </c>
      <c r="O11" s="13"/>
      <c r="P11" s="3">
        <f>+IF(OR($F11="SALDO",$F11="INGRESO"),$O11,0)</f>
        <v>0</v>
      </c>
      <c r="Q11" s="3">
        <f>+IF($F11="EGRESO",$O11,0)</f>
        <v>0</v>
      </c>
      <c r="R11" s="3">
        <f t="shared" si="4"/>
        <v>2.1500000000000341</v>
      </c>
      <c r="S11" s="24" t="s">
        <v>1334</v>
      </c>
      <c r="T11" s="24" t="s">
        <v>1334</v>
      </c>
      <c r="U11" s="61"/>
      <c r="V11" s="3"/>
      <c r="W11" s="3"/>
      <c r="X11" s="3"/>
      <c r="Y11" s="3"/>
      <c r="Z11" s="3"/>
      <c r="AA11" s="3" t="str">
        <f>IF(BCP_Dolares[[#This Row],[fecha]]&gt;0,TEXT(BCP_Dolares[[#This Row],[fecha]],"mmmm"),0)</f>
        <v>Enero</v>
      </c>
    </row>
    <row r="12" spans="1:27" ht="60" x14ac:dyDescent="0.3">
      <c r="A12" s="2">
        <f>IF(BCP_Dolares[[#This Row],[tipo_registro]]="R",COUNTIFS($C$1:$C11,"R")+1,"")</f>
        <v>9</v>
      </c>
      <c r="B12" s="19" t="str">
        <f t="shared" si="0"/>
        <v>B-BCP - Dolares</v>
      </c>
      <c r="C12" s="3" t="s">
        <v>1330</v>
      </c>
      <c r="D12" s="14">
        <v>45680</v>
      </c>
      <c r="E12" s="5" t="s">
        <v>204</v>
      </c>
      <c r="F12" s="5" t="s">
        <v>1303</v>
      </c>
      <c r="G12" s="6"/>
      <c r="H12" s="6"/>
      <c r="I12" s="6"/>
      <c r="J12" s="6"/>
      <c r="K12" s="7" t="s">
        <v>4909</v>
      </c>
      <c r="L12" s="8">
        <v>4563397</v>
      </c>
      <c r="M12" s="8" t="str">
        <f t="shared" si="1"/>
        <v>USD</v>
      </c>
      <c r="N12" s="13"/>
      <c r="O12" s="13">
        <v>14360.25</v>
      </c>
      <c r="P12" s="3">
        <f t="shared" si="2"/>
        <v>14360.25</v>
      </c>
      <c r="Q12" s="3">
        <f t="shared" si="3"/>
        <v>0</v>
      </c>
      <c r="R12" s="3">
        <f t="shared" si="4"/>
        <v>14362.4</v>
      </c>
      <c r="S12" s="24" t="s">
        <v>1334</v>
      </c>
      <c r="T12" s="24" t="s">
        <v>1334</v>
      </c>
      <c r="U12" s="61"/>
      <c r="V12" s="3" t="s">
        <v>425</v>
      </c>
      <c r="W12" s="3" t="s">
        <v>4910</v>
      </c>
      <c r="X12" s="3"/>
      <c r="Y12" s="3"/>
      <c r="Z12" s="3"/>
      <c r="AA12" s="3" t="str">
        <f>IF(BCP_Dolares[[#This Row],[fecha]]&gt;0,TEXT(BCP_Dolares[[#This Row],[fecha]],"mmmm"),0)</f>
        <v>Enero</v>
      </c>
    </row>
    <row r="13" spans="1:27" x14ac:dyDescent="0.3">
      <c r="A13" s="2">
        <f>IF(BCP_Dolares[[#This Row],[tipo_registro]]="R",COUNTIFS($C$1:$C12,"R")+1,"")</f>
        <v>10</v>
      </c>
      <c r="B13" s="19" t="str">
        <f t="shared" si="0"/>
        <v>B-BCP - Dolares</v>
      </c>
      <c r="C13" s="3" t="s">
        <v>1330</v>
      </c>
      <c r="D13" s="14">
        <v>45680</v>
      </c>
      <c r="E13" s="5" t="s">
        <v>1338</v>
      </c>
      <c r="F13" s="5" t="s">
        <v>1336</v>
      </c>
      <c r="G13" s="6"/>
      <c r="H13" s="6"/>
      <c r="I13" s="6"/>
      <c r="J13" s="6"/>
      <c r="K13" s="7" t="s">
        <v>4911</v>
      </c>
      <c r="L13" s="8">
        <v>4615795</v>
      </c>
      <c r="M13" s="8" t="str">
        <f t="shared" si="1"/>
        <v>USD</v>
      </c>
      <c r="N13" s="13"/>
      <c r="O13" s="13">
        <v>5723.81</v>
      </c>
      <c r="P13" s="3">
        <f t="shared" si="2"/>
        <v>0</v>
      </c>
      <c r="Q13" s="3">
        <f t="shared" si="3"/>
        <v>5723.81</v>
      </c>
      <c r="R13" s="3">
        <f t="shared" si="4"/>
        <v>8638.59</v>
      </c>
      <c r="S13" s="24" t="s">
        <v>1334</v>
      </c>
      <c r="T13" s="24" t="s">
        <v>1334</v>
      </c>
      <c r="U13" s="61"/>
      <c r="V13" s="3" t="s">
        <v>204</v>
      </c>
      <c r="W13" s="3"/>
      <c r="X13" s="3"/>
      <c r="Y13" s="3"/>
      <c r="Z13" s="3"/>
      <c r="AA13" s="3" t="str">
        <f>IF(BCP_Dolares[[#This Row],[fecha]]&gt;0,TEXT(BCP_Dolares[[#This Row],[fecha]],"mmmm"),0)</f>
        <v>Enero</v>
      </c>
    </row>
    <row r="14" spans="1:27" ht="24" x14ac:dyDescent="0.3">
      <c r="A14" s="2" t="str">
        <f>IF(BCP_Dolares[[#This Row],[tipo_registro]]="R",COUNTIFS($C$1:$C13,"R")+1,"")</f>
        <v/>
      </c>
      <c r="B14" s="19" t="str">
        <f t="shared" ref="B14:B32" si="5">"B-BCP - Dolares"</f>
        <v>B-BCP - Dolares</v>
      </c>
      <c r="C14" s="3" t="s">
        <v>1352</v>
      </c>
      <c r="D14" s="14">
        <v>45680</v>
      </c>
      <c r="E14" s="5" t="s">
        <v>1338</v>
      </c>
      <c r="F14" s="5"/>
      <c r="G14" s="6" t="s">
        <v>204</v>
      </c>
      <c r="H14" s="6" t="s">
        <v>68</v>
      </c>
      <c r="I14" s="6" t="s">
        <v>1390</v>
      </c>
      <c r="J14" s="6">
        <v>15153</v>
      </c>
      <c r="K14" s="7" t="s">
        <v>4911</v>
      </c>
      <c r="L14" s="8">
        <v>4615795</v>
      </c>
      <c r="M14" s="8" t="str">
        <f t="shared" ref="M14:M32" si="6">"USD"</f>
        <v>USD</v>
      </c>
      <c r="N14" s="13">
        <v>1116.3</v>
      </c>
      <c r="O14" s="13"/>
      <c r="P14" s="3">
        <f t="shared" si="2"/>
        <v>0</v>
      </c>
      <c r="Q14" s="3">
        <f t="shared" si="3"/>
        <v>0</v>
      </c>
      <c r="R14" s="3">
        <f t="shared" si="4"/>
        <v>8638.59</v>
      </c>
      <c r="S14" s="24"/>
      <c r="T14" s="24" t="s">
        <v>1334</v>
      </c>
      <c r="U14" s="61"/>
      <c r="V14" s="3"/>
      <c r="W14" s="3"/>
      <c r="X14" s="3"/>
      <c r="Y14" s="3"/>
      <c r="Z14" s="3"/>
      <c r="AA14" s="3" t="str">
        <f>IF(BCP_Dolares[[#This Row],[fecha]]&gt;0,TEXT(BCP_Dolares[[#This Row],[fecha]],"mmmm"),0)</f>
        <v>Enero</v>
      </c>
    </row>
    <row r="15" spans="1:27" ht="24" x14ac:dyDescent="0.3">
      <c r="A15" s="2" t="str">
        <f>IF(BCP_Dolares[[#This Row],[tipo_registro]]="R",COUNTIFS($C$1:$C14,"R")+1,"")</f>
        <v/>
      </c>
      <c r="B15" s="19" t="str">
        <f t="shared" si="5"/>
        <v>B-BCP - Dolares</v>
      </c>
      <c r="C15" s="3" t="s">
        <v>1352</v>
      </c>
      <c r="D15" s="14">
        <v>45680</v>
      </c>
      <c r="E15" s="5" t="s">
        <v>1338</v>
      </c>
      <c r="F15" s="5"/>
      <c r="G15" s="6" t="s">
        <v>204</v>
      </c>
      <c r="H15" s="6" t="s">
        <v>68</v>
      </c>
      <c r="I15" s="6" t="s">
        <v>1390</v>
      </c>
      <c r="J15" s="6">
        <v>15186</v>
      </c>
      <c r="K15" s="7" t="s">
        <v>4911</v>
      </c>
      <c r="L15" s="8">
        <v>4615795</v>
      </c>
      <c r="M15" s="8" t="str">
        <f t="shared" si="6"/>
        <v>USD</v>
      </c>
      <c r="N15" s="13">
        <v>43.24</v>
      </c>
      <c r="O15" s="13"/>
      <c r="P15" s="3">
        <f t="shared" si="2"/>
        <v>0</v>
      </c>
      <c r="Q15" s="3">
        <f t="shared" si="3"/>
        <v>0</v>
      </c>
      <c r="R15" s="3">
        <f t="shared" si="4"/>
        <v>8638.59</v>
      </c>
      <c r="S15" s="24"/>
      <c r="T15" s="24" t="s">
        <v>1334</v>
      </c>
      <c r="U15" s="61"/>
      <c r="V15" s="3"/>
      <c r="W15" s="3"/>
      <c r="X15" s="3"/>
      <c r="Y15" s="3"/>
      <c r="Z15" s="3"/>
      <c r="AA15" s="3" t="str">
        <f>IF(BCP_Dolares[[#This Row],[fecha]]&gt;0,TEXT(BCP_Dolares[[#This Row],[fecha]],"mmmm"),0)</f>
        <v>Enero</v>
      </c>
    </row>
    <row r="16" spans="1:27" ht="24" x14ac:dyDescent="0.3">
      <c r="A16" s="2" t="str">
        <f>IF(BCP_Dolares[[#This Row],[tipo_registro]]="R",COUNTIFS($C$1:$C15,"R")+1,"")</f>
        <v/>
      </c>
      <c r="B16" s="19" t="str">
        <f t="shared" si="5"/>
        <v>B-BCP - Dolares</v>
      </c>
      <c r="C16" s="3" t="s">
        <v>1352</v>
      </c>
      <c r="D16" s="14">
        <v>45680</v>
      </c>
      <c r="E16" s="5" t="s">
        <v>1338</v>
      </c>
      <c r="F16" s="5"/>
      <c r="G16" s="6" t="s">
        <v>204</v>
      </c>
      <c r="H16" s="6" t="s">
        <v>68</v>
      </c>
      <c r="I16" s="6" t="s">
        <v>1390</v>
      </c>
      <c r="J16" s="6">
        <v>15149</v>
      </c>
      <c r="K16" s="7" t="s">
        <v>4911</v>
      </c>
      <c r="L16" s="8">
        <v>4615795</v>
      </c>
      <c r="M16" s="8" t="str">
        <f t="shared" si="6"/>
        <v>USD</v>
      </c>
      <c r="N16" s="13">
        <v>46.94</v>
      </c>
      <c r="O16" s="13"/>
      <c r="P16" s="3">
        <f t="shared" si="2"/>
        <v>0</v>
      </c>
      <c r="Q16" s="3">
        <f t="shared" si="3"/>
        <v>0</v>
      </c>
      <c r="R16" s="3">
        <f t="shared" si="4"/>
        <v>8638.59</v>
      </c>
      <c r="S16" s="24"/>
      <c r="T16" s="24" t="s">
        <v>1334</v>
      </c>
      <c r="U16" s="61"/>
      <c r="V16" s="3"/>
      <c r="W16" s="3"/>
      <c r="X16" s="3"/>
      <c r="Y16" s="3"/>
      <c r="Z16" s="3"/>
      <c r="AA16" s="3" t="str">
        <f>IF(BCP_Dolares[[#This Row],[fecha]]&gt;0,TEXT(BCP_Dolares[[#This Row],[fecha]],"mmmm"),0)</f>
        <v>Enero</v>
      </c>
    </row>
    <row r="17" spans="1:27" ht="24" x14ac:dyDescent="0.3">
      <c r="A17" s="2" t="str">
        <f>IF(BCP_Dolares[[#This Row],[tipo_registro]]="R",COUNTIFS($C$1:$C16,"R")+1,"")</f>
        <v/>
      </c>
      <c r="B17" s="19" t="str">
        <f t="shared" si="5"/>
        <v>B-BCP - Dolares</v>
      </c>
      <c r="C17" s="3" t="s">
        <v>1352</v>
      </c>
      <c r="D17" s="14">
        <v>45680</v>
      </c>
      <c r="E17" s="5" t="s">
        <v>1338</v>
      </c>
      <c r="F17" s="5"/>
      <c r="G17" s="6" t="s">
        <v>204</v>
      </c>
      <c r="H17" s="6" t="s">
        <v>68</v>
      </c>
      <c r="I17" s="6" t="s">
        <v>1390</v>
      </c>
      <c r="J17" s="6">
        <v>15148</v>
      </c>
      <c r="K17" s="7" t="s">
        <v>4911</v>
      </c>
      <c r="L17" s="8">
        <v>4615795</v>
      </c>
      <c r="M17" s="8" t="str">
        <f t="shared" si="6"/>
        <v>USD</v>
      </c>
      <c r="N17" s="13">
        <v>80.010000000000005</v>
      </c>
      <c r="O17" s="13"/>
      <c r="P17" s="3">
        <f t="shared" si="2"/>
        <v>0</v>
      </c>
      <c r="Q17" s="3">
        <f t="shared" si="3"/>
        <v>0</v>
      </c>
      <c r="R17" s="3">
        <f t="shared" si="4"/>
        <v>8638.59</v>
      </c>
      <c r="S17" s="24"/>
      <c r="T17" s="24" t="s">
        <v>1334</v>
      </c>
      <c r="U17" s="61"/>
      <c r="V17" s="3"/>
      <c r="W17" s="3"/>
      <c r="X17" s="3"/>
      <c r="Y17" s="3"/>
      <c r="Z17" s="3"/>
      <c r="AA17" s="3" t="str">
        <f>IF(BCP_Dolares[[#This Row],[fecha]]&gt;0,TEXT(BCP_Dolares[[#This Row],[fecha]],"mmmm"),0)</f>
        <v>Enero</v>
      </c>
    </row>
    <row r="18" spans="1:27" ht="24" x14ac:dyDescent="0.3">
      <c r="A18" s="2" t="str">
        <f>IF(BCP_Dolares[[#This Row],[tipo_registro]]="R",COUNTIFS($C$1:$C17,"R")+1,"")</f>
        <v/>
      </c>
      <c r="B18" s="19" t="str">
        <f t="shared" si="5"/>
        <v>B-BCP - Dolares</v>
      </c>
      <c r="C18" s="3" t="s">
        <v>1352</v>
      </c>
      <c r="D18" s="14">
        <v>45680</v>
      </c>
      <c r="E18" s="5" t="s">
        <v>1338</v>
      </c>
      <c r="F18" s="5"/>
      <c r="G18" s="6" t="s">
        <v>204</v>
      </c>
      <c r="H18" s="6" t="s">
        <v>68</v>
      </c>
      <c r="I18" s="6" t="s">
        <v>1390</v>
      </c>
      <c r="J18" s="6">
        <v>15169</v>
      </c>
      <c r="K18" s="7" t="s">
        <v>4911</v>
      </c>
      <c r="L18" s="8">
        <v>4615795</v>
      </c>
      <c r="M18" s="8" t="str">
        <f t="shared" si="6"/>
        <v>USD</v>
      </c>
      <c r="N18" s="13">
        <v>48.81</v>
      </c>
      <c r="O18" s="13"/>
      <c r="P18" s="3">
        <f t="shared" si="2"/>
        <v>0</v>
      </c>
      <c r="Q18" s="3">
        <f t="shared" si="3"/>
        <v>0</v>
      </c>
      <c r="R18" s="3">
        <f t="shared" si="4"/>
        <v>8638.59</v>
      </c>
      <c r="S18" s="24"/>
      <c r="T18" s="24" t="s">
        <v>1334</v>
      </c>
      <c r="U18" s="61"/>
      <c r="V18" s="3"/>
      <c r="W18" s="3"/>
      <c r="X18" s="3"/>
      <c r="Y18" s="3"/>
      <c r="Z18" s="3"/>
      <c r="AA18" s="3" t="str">
        <f>IF(BCP_Dolares[[#This Row],[fecha]]&gt;0,TEXT(BCP_Dolares[[#This Row],[fecha]],"mmmm"),0)</f>
        <v>Enero</v>
      </c>
    </row>
    <row r="19" spans="1:27" ht="24" x14ac:dyDescent="0.3">
      <c r="A19" s="2" t="str">
        <f>IF(BCP_Dolares[[#This Row],[tipo_registro]]="R",COUNTIFS($C$1:$C18,"R")+1,"")</f>
        <v/>
      </c>
      <c r="B19" s="19" t="str">
        <f t="shared" si="5"/>
        <v>B-BCP - Dolares</v>
      </c>
      <c r="C19" s="3" t="s">
        <v>1352</v>
      </c>
      <c r="D19" s="14">
        <v>45680</v>
      </c>
      <c r="E19" s="5" t="s">
        <v>1338</v>
      </c>
      <c r="F19" s="5"/>
      <c r="G19" s="6" t="s">
        <v>204</v>
      </c>
      <c r="H19" s="6" t="s">
        <v>68</v>
      </c>
      <c r="I19" s="6" t="s">
        <v>1390</v>
      </c>
      <c r="J19" s="6">
        <v>15202</v>
      </c>
      <c r="K19" s="7" t="s">
        <v>4911</v>
      </c>
      <c r="L19" s="8">
        <v>4615795</v>
      </c>
      <c r="M19" s="8" t="str">
        <f t="shared" si="6"/>
        <v>USD</v>
      </c>
      <c r="N19" s="13">
        <v>69.790000000000006</v>
      </c>
      <c r="O19" s="13"/>
      <c r="P19" s="3">
        <f t="shared" si="2"/>
        <v>0</v>
      </c>
      <c r="Q19" s="3">
        <f t="shared" si="3"/>
        <v>0</v>
      </c>
      <c r="R19" s="3">
        <f t="shared" si="4"/>
        <v>8638.59</v>
      </c>
      <c r="S19" s="24"/>
      <c r="T19" s="24" t="s">
        <v>1334</v>
      </c>
      <c r="U19" s="61"/>
      <c r="V19" s="3"/>
      <c r="W19" s="3"/>
      <c r="X19" s="3"/>
      <c r="Y19" s="3"/>
      <c r="Z19" s="3"/>
      <c r="AA19" s="3" t="str">
        <f>IF(BCP_Dolares[[#This Row],[fecha]]&gt;0,TEXT(BCP_Dolares[[#This Row],[fecha]],"mmmm"),0)</f>
        <v>Enero</v>
      </c>
    </row>
    <row r="20" spans="1:27" ht="24" x14ac:dyDescent="0.3">
      <c r="A20" s="2" t="str">
        <f>IF(BCP_Dolares[[#This Row],[tipo_registro]]="R",COUNTIFS($C$1:$C19,"R")+1,"")</f>
        <v/>
      </c>
      <c r="B20" s="19" t="str">
        <f t="shared" si="5"/>
        <v>B-BCP - Dolares</v>
      </c>
      <c r="C20" s="3" t="s">
        <v>1352</v>
      </c>
      <c r="D20" s="14">
        <v>45680</v>
      </c>
      <c r="E20" s="5" t="s">
        <v>1338</v>
      </c>
      <c r="F20" s="5"/>
      <c r="G20" s="6" t="s">
        <v>204</v>
      </c>
      <c r="H20" s="6" t="s">
        <v>68</v>
      </c>
      <c r="I20" s="6" t="s">
        <v>1390</v>
      </c>
      <c r="J20" s="6">
        <v>15214</v>
      </c>
      <c r="K20" s="7" t="s">
        <v>4911</v>
      </c>
      <c r="L20" s="8">
        <v>4615795</v>
      </c>
      <c r="M20" s="8" t="str">
        <f t="shared" si="6"/>
        <v>USD</v>
      </c>
      <c r="N20" s="13">
        <v>1799.05</v>
      </c>
      <c r="O20" s="13"/>
      <c r="P20" s="3">
        <f t="shared" si="2"/>
        <v>0</v>
      </c>
      <c r="Q20" s="3">
        <f t="shared" si="3"/>
        <v>0</v>
      </c>
      <c r="R20" s="3">
        <f t="shared" si="4"/>
        <v>8638.59</v>
      </c>
      <c r="S20" s="24"/>
      <c r="T20" s="24" t="s">
        <v>1334</v>
      </c>
      <c r="U20" s="61"/>
      <c r="V20" s="3"/>
      <c r="W20" s="3"/>
      <c r="X20" s="3"/>
      <c r="Y20" s="3"/>
      <c r="Z20" s="3"/>
      <c r="AA20" s="3" t="str">
        <f>IF(BCP_Dolares[[#This Row],[fecha]]&gt;0,TEXT(BCP_Dolares[[#This Row],[fecha]],"mmmm"),0)</f>
        <v>Enero</v>
      </c>
    </row>
    <row r="21" spans="1:27" ht="24" x14ac:dyDescent="0.3">
      <c r="A21" s="2" t="str">
        <f>IF(BCP_Dolares[[#This Row],[tipo_registro]]="R",COUNTIFS($C$1:$C20,"R")+1,"")</f>
        <v/>
      </c>
      <c r="B21" s="19" t="str">
        <f t="shared" si="5"/>
        <v>B-BCP - Dolares</v>
      </c>
      <c r="C21" s="3" t="s">
        <v>1352</v>
      </c>
      <c r="D21" s="14">
        <v>45680</v>
      </c>
      <c r="E21" s="5" t="s">
        <v>1338</v>
      </c>
      <c r="F21" s="5"/>
      <c r="G21" s="6" t="s">
        <v>204</v>
      </c>
      <c r="H21" s="6" t="s">
        <v>68</v>
      </c>
      <c r="I21" s="6" t="s">
        <v>1390</v>
      </c>
      <c r="J21" s="6">
        <v>15215</v>
      </c>
      <c r="K21" s="7" t="s">
        <v>4911</v>
      </c>
      <c r="L21" s="8">
        <v>4615795</v>
      </c>
      <c r="M21" s="8" t="str">
        <f t="shared" si="6"/>
        <v>USD</v>
      </c>
      <c r="N21" s="13">
        <v>140.93</v>
      </c>
      <c r="O21" s="13"/>
      <c r="P21" s="3">
        <f t="shared" si="2"/>
        <v>0</v>
      </c>
      <c r="Q21" s="3">
        <f t="shared" si="3"/>
        <v>0</v>
      </c>
      <c r="R21" s="3">
        <f t="shared" si="4"/>
        <v>8638.59</v>
      </c>
      <c r="S21" s="24"/>
      <c r="T21" s="24" t="s">
        <v>1334</v>
      </c>
      <c r="U21" s="61"/>
      <c r="V21" s="3"/>
      <c r="W21" s="3"/>
      <c r="X21" s="3"/>
      <c r="Y21" s="3"/>
      <c r="Z21" s="3"/>
      <c r="AA21" s="3" t="str">
        <f>IF(BCP_Dolares[[#This Row],[fecha]]&gt;0,TEXT(BCP_Dolares[[#This Row],[fecha]],"mmmm"),0)</f>
        <v>Enero</v>
      </c>
    </row>
    <row r="22" spans="1:27" ht="24" x14ac:dyDescent="0.3">
      <c r="A22" s="2" t="str">
        <f>IF(BCP_Dolares[[#This Row],[tipo_registro]]="R",COUNTIFS($C$1:$C21,"R")+1,"")</f>
        <v/>
      </c>
      <c r="B22" s="19" t="str">
        <f t="shared" si="5"/>
        <v>B-BCP - Dolares</v>
      </c>
      <c r="C22" s="3" t="s">
        <v>1352</v>
      </c>
      <c r="D22" s="14">
        <v>45680</v>
      </c>
      <c r="E22" s="5" t="s">
        <v>1338</v>
      </c>
      <c r="F22" s="5"/>
      <c r="G22" s="6" t="s">
        <v>204</v>
      </c>
      <c r="H22" s="6" t="s">
        <v>68</v>
      </c>
      <c r="I22" s="6" t="s">
        <v>1390</v>
      </c>
      <c r="J22" s="6">
        <v>15222</v>
      </c>
      <c r="K22" s="7" t="s">
        <v>4911</v>
      </c>
      <c r="L22" s="8">
        <v>4615795</v>
      </c>
      <c r="M22" s="8" t="str">
        <f t="shared" si="6"/>
        <v>USD</v>
      </c>
      <c r="N22" s="13">
        <v>1507.93</v>
      </c>
      <c r="O22" s="13"/>
      <c r="P22" s="3">
        <f t="shared" si="2"/>
        <v>0</v>
      </c>
      <c r="Q22" s="3">
        <f t="shared" si="3"/>
        <v>0</v>
      </c>
      <c r="R22" s="3">
        <f t="shared" si="4"/>
        <v>8638.59</v>
      </c>
      <c r="S22" s="24"/>
      <c r="T22" s="24" t="s">
        <v>1334</v>
      </c>
      <c r="U22" s="61"/>
      <c r="V22" s="3"/>
      <c r="W22" s="3"/>
      <c r="X22" s="3"/>
      <c r="Y22" s="3"/>
      <c r="Z22" s="3"/>
      <c r="AA22" s="3" t="str">
        <f>IF(BCP_Dolares[[#This Row],[fecha]]&gt;0,TEXT(BCP_Dolares[[#This Row],[fecha]],"mmmm"),0)</f>
        <v>Enero</v>
      </c>
    </row>
    <row r="23" spans="1:27" ht="24" x14ac:dyDescent="0.3">
      <c r="A23" s="2" t="str">
        <f>IF(BCP_Dolares[[#This Row],[tipo_registro]]="R",COUNTIFS($C$1:$C22,"R")+1,"")</f>
        <v/>
      </c>
      <c r="B23" s="19" t="str">
        <f t="shared" si="5"/>
        <v>B-BCP - Dolares</v>
      </c>
      <c r="C23" s="3" t="s">
        <v>1352</v>
      </c>
      <c r="D23" s="14">
        <v>45680</v>
      </c>
      <c r="E23" s="5" t="s">
        <v>1338</v>
      </c>
      <c r="F23" s="5"/>
      <c r="G23" s="6" t="s">
        <v>204</v>
      </c>
      <c r="H23" s="6" t="s">
        <v>68</v>
      </c>
      <c r="I23" s="6" t="s">
        <v>1390</v>
      </c>
      <c r="J23" s="6">
        <v>15199</v>
      </c>
      <c r="K23" s="7" t="s">
        <v>4911</v>
      </c>
      <c r="L23" s="8">
        <v>4615795</v>
      </c>
      <c r="M23" s="8" t="str">
        <f t="shared" si="6"/>
        <v>USD</v>
      </c>
      <c r="N23" s="13">
        <v>75.349999999999994</v>
      </c>
      <c r="O23" s="13"/>
      <c r="P23" s="3">
        <f t="shared" si="2"/>
        <v>0</v>
      </c>
      <c r="Q23" s="3">
        <f t="shared" si="3"/>
        <v>0</v>
      </c>
      <c r="R23" s="3">
        <f t="shared" si="4"/>
        <v>8638.59</v>
      </c>
      <c r="S23" s="24"/>
      <c r="T23" s="24" t="s">
        <v>1334</v>
      </c>
      <c r="U23" s="61"/>
      <c r="V23" s="3"/>
      <c r="W23" s="3"/>
      <c r="X23" s="3"/>
      <c r="Y23" s="3"/>
      <c r="Z23" s="3"/>
      <c r="AA23" s="3" t="str">
        <f>IF(BCP_Dolares[[#This Row],[fecha]]&gt;0,TEXT(BCP_Dolares[[#This Row],[fecha]],"mmmm"),0)</f>
        <v>Enero</v>
      </c>
    </row>
    <row r="24" spans="1:27" ht="24" x14ac:dyDescent="0.3">
      <c r="A24" s="2" t="str">
        <f>IF(BCP_Dolares[[#This Row],[tipo_registro]]="R",COUNTIFS($C$1:$C23,"R")+1,"")</f>
        <v/>
      </c>
      <c r="B24" s="19" t="str">
        <f t="shared" si="5"/>
        <v>B-BCP - Dolares</v>
      </c>
      <c r="C24" s="3" t="s">
        <v>1352</v>
      </c>
      <c r="D24" s="14">
        <v>45680</v>
      </c>
      <c r="E24" s="5" t="s">
        <v>1338</v>
      </c>
      <c r="F24" s="5"/>
      <c r="G24" s="6" t="s">
        <v>204</v>
      </c>
      <c r="H24" s="6" t="s">
        <v>68</v>
      </c>
      <c r="I24" s="6" t="s">
        <v>1390</v>
      </c>
      <c r="J24" s="6">
        <v>15200</v>
      </c>
      <c r="K24" s="7" t="s">
        <v>4911</v>
      </c>
      <c r="L24" s="8">
        <v>4615795</v>
      </c>
      <c r="M24" s="8" t="str">
        <f t="shared" si="6"/>
        <v>USD</v>
      </c>
      <c r="N24" s="13">
        <v>75.790000000000006</v>
      </c>
      <c r="O24" s="13"/>
      <c r="P24" s="3">
        <f t="shared" si="2"/>
        <v>0</v>
      </c>
      <c r="Q24" s="3">
        <f t="shared" si="3"/>
        <v>0</v>
      </c>
      <c r="R24" s="3">
        <f t="shared" si="4"/>
        <v>8638.59</v>
      </c>
      <c r="S24" s="24"/>
      <c r="T24" s="24" t="s">
        <v>1334</v>
      </c>
      <c r="U24" s="61"/>
      <c r="V24" s="3"/>
      <c r="W24" s="3"/>
      <c r="X24" s="3"/>
      <c r="Y24" s="3"/>
      <c r="Z24" s="3"/>
      <c r="AA24" s="3" t="str">
        <f>IF(BCP_Dolares[[#This Row],[fecha]]&gt;0,TEXT(BCP_Dolares[[#This Row],[fecha]],"mmmm"),0)</f>
        <v>Enero</v>
      </c>
    </row>
    <row r="25" spans="1:27" ht="24" x14ac:dyDescent="0.3">
      <c r="A25" s="2" t="str">
        <f>IF(BCP_Dolares[[#This Row],[tipo_registro]]="R",COUNTIFS($C$1:$C24,"R")+1,"")</f>
        <v/>
      </c>
      <c r="B25" s="19" t="str">
        <f t="shared" si="5"/>
        <v>B-BCP - Dolares</v>
      </c>
      <c r="C25" s="3" t="s">
        <v>1352</v>
      </c>
      <c r="D25" s="14">
        <v>45680</v>
      </c>
      <c r="E25" s="5" t="s">
        <v>1338</v>
      </c>
      <c r="F25" s="5"/>
      <c r="G25" s="6" t="s">
        <v>204</v>
      </c>
      <c r="H25" s="6" t="s">
        <v>68</v>
      </c>
      <c r="I25" s="6" t="s">
        <v>1390</v>
      </c>
      <c r="J25" s="6">
        <v>15225</v>
      </c>
      <c r="K25" s="7" t="s">
        <v>4911</v>
      </c>
      <c r="L25" s="8">
        <v>4615795</v>
      </c>
      <c r="M25" s="8" t="str">
        <f t="shared" si="6"/>
        <v>USD</v>
      </c>
      <c r="N25" s="13">
        <v>107.72</v>
      </c>
      <c r="O25" s="13"/>
      <c r="P25" s="3">
        <f t="shared" si="2"/>
        <v>0</v>
      </c>
      <c r="Q25" s="3">
        <f t="shared" si="3"/>
        <v>0</v>
      </c>
      <c r="R25" s="3">
        <f t="shared" si="4"/>
        <v>8638.59</v>
      </c>
      <c r="S25" s="24"/>
      <c r="T25" s="24" t="s">
        <v>1334</v>
      </c>
      <c r="U25" s="61"/>
      <c r="V25" s="3"/>
      <c r="W25" s="3"/>
      <c r="X25" s="3"/>
      <c r="Y25" s="3"/>
      <c r="Z25" s="3"/>
      <c r="AA25" s="3" t="str">
        <f>IF(BCP_Dolares[[#This Row],[fecha]]&gt;0,TEXT(BCP_Dolares[[#This Row],[fecha]],"mmmm"),0)</f>
        <v>Enero</v>
      </c>
    </row>
    <row r="26" spans="1:27" ht="24" x14ac:dyDescent="0.3">
      <c r="A26" s="2" t="str">
        <f>IF(BCP_Dolares[[#This Row],[tipo_registro]]="R",COUNTIFS($C$1:$C25,"R")+1,"")</f>
        <v/>
      </c>
      <c r="B26" s="19" t="str">
        <f t="shared" si="5"/>
        <v>B-BCP - Dolares</v>
      </c>
      <c r="C26" s="3" t="s">
        <v>1352</v>
      </c>
      <c r="D26" s="14">
        <v>45680</v>
      </c>
      <c r="E26" s="5" t="s">
        <v>1338</v>
      </c>
      <c r="F26" s="5"/>
      <c r="G26" s="6" t="s">
        <v>204</v>
      </c>
      <c r="H26" s="6" t="s">
        <v>68</v>
      </c>
      <c r="I26" s="6" t="s">
        <v>1390</v>
      </c>
      <c r="J26" s="6">
        <v>15256</v>
      </c>
      <c r="K26" s="7" t="s">
        <v>4911</v>
      </c>
      <c r="L26" s="8">
        <v>4615795</v>
      </c>
      <c r="M26" s="8" t="str">
        <f t="shared" si="6"/>
        <v>USD</v>
      </c>
      <c r="N26" s="13">
        <v>167.85</v>
      </c>
      <c r="O26" s="13"/>
      <c r="P26" s="3">
        <f t="shared" si="2"/>
        <v>0</v>
      </c>
      <c r="Q26" s="3">
        <f t="shared" si="3"/>
        <v>0</v>
      </c>
      <c r="R26" s="3">
        <f t="shared" si="4"/>
        <v>8638.59</v>
      </c>
      <c r="S26" s="24"/>
      <c r="T26" s="24" t="s">
        <v>1334</v>
      </c>
      <c r="U26" s="61"/>
      <c r="V26" s="3"/>
      <c r="W26" s="3"/>
      <c r="X26" s="3"/>
      <c r="Y26" s="3"/>
      <c r="Z26" s="3"/>
      <c r="AA26" s="3" t="str">
        <f>IF(BCP_Dolares[[#This Row],[fecha]]&gt;0,TEXT(BCP_Dolares[[#This Row],[fecha]],"mmmm"),0)</f>
        <v>Enero</v>
      </c>
    </row>
    <row r="27" spans="1:27" ht="24" x14ac:dyDescent="0.3">
      <c r="A27" s="2" t="str">
        <f>IF(BCP_Dolares[[#This Row],[tipo_registro]]="R",COUNTIFS($C$1:$C26,"R")+1,"")</f>
        <v/>
      </c>
      <c r="B27" s="19" t="str">
        <f t="shared" si="5"/>
        <v>B-BCP - Dolares</v>
      </c>
      <c r="C27" s="3" t="s">
        <v>1352</v>
      </c>
      <c r="D27" s="14">
        <v>45680</v>
      </c>
      <c r="E27" s="5" t="s">
        <v>1338</v>
      </c>
      <c r="F27" s="5"/>
      <c r="G27" s="6" t="s">
        <v>204</v>
      </c>
      <c r="H27" s="6" t="s">
        <v>68</v>
      </c>
      <c r="I27" s="6" t="s">
        <v>1390</v>
      </c>
      <c r="J27" s="6">
        <v>15261</v>
      </c>
      <c r="K27" s="7" t="s">
        <v>4911</v>
      </c>
      <c r="L27" s="8">
        <v>4615795</v>
      </c>
      <c r="M27" s="8" t="str">
        <f t="shared" si="6"/>
        <v>USD</v>
      </c>
      <c r="N27" s="13">
        <v>12.02</v>
      </c>
      <c r="O27" s="13"/>
      <c r="P27" s="3">
        <f t="shared" si="2"/>
        <v>0</v>
      </c>
      <c r="Q27" s="3">
        <f t="shared" si="3"/>
        <v>0</v>
      </c>
      <c r="R27" s="3">
        <f t="shared" si="4"/>
        <v>8638.59</v>
      </c>
      <c r="S27" s="24"/>
      <c r="T27" s="24" t="s">
        <v>1334</v>
      </c>
      <c r="U27" s="61"/>
      <c r="V27" s="3"/>
      <c r="W27" s="3"/>
      <c r="X27" s="3"/>
      <c r="Y27" s="3"/>
      <c r="Z27" s="3"/>
      <c r="AA27" s="3" t="str">
        <f>IF(BCP_Dolares[[#This Row],[fecha]]&gt;0,TEXT(BCP_Dolares[[#This Row],[fecha]],"mmmm"),0)</f>
        <v>Enero</v>
      </c>
    </row>
    <row r="28" spans="1:27" ht="24" x14ac:dyDescent="0.3">
      <c r="A28" s="2" t="str">
        <f>IF(BCP_Dolares[[#This Row],[tipo_registro]]="R",COUNTIFS($C$1:$C27,"R")+1,"")</f>
        <v/>
      </c>
      <c r="B28" s="19" t="str">
        <f t="shared" si="5"/>
        <v>B-BCP - Dolares</v>
      </c>
      <c r="C28" s="3" t="s">
        <v>1352</v>
      </c>
      <c r="D28" s="14">
        <v>45680</v>
      </c>
      <c r="E28" s="5" t="s">
        <v>1338</v>
      </c>
      <c r="F28" s="5"/>
      <c r="G28" s="6" t="s">
        <v>204</v>
      </c>
      <c r="H28" s="6" t="s">
        <v>68</v>
      </c>
      <c r="I28" s="6" t="s">
        <v>1390</v>
      </c>
      <c r="J28" s="6">
        <v>15232</v>
      </c>
      <c r="K28" s="7" t="s">
        <v>4911</v>
      </c>
      <c r="L28" s="8">
        <v>4615795</v>
      </c>
      <c r="M28" s="8" t="str">
        <f t="shared" si="6"/>
        <v>USD</v>
      </c>
      <c r="N28" s="13">
        <v>49.93</v>
      </c>
      <c r="O28" s="13"/>
      <c r="P28" s="3">
        <f t="shared" si="2"/>
        <v>0</v>
      </c>
      <c r="Q28" s="3">
        <f t="shared" si="3"/>
        <v>0</v>
      </c>
      <c r="R28" s="3">
        <f t="shared" si="4"/>
        <v>8638.59</v>
      </c>
      <c r="S28" s="24"/>
      <c r="T28" s="24" t="s">
        <v>1334</v>
      </c>
      <c r="U28" s="61"/>
      <c r="V28" s="3"/>
      <c r="W28" s="3"/>
      <c r="X28" s="3"/>
      <c r="Y28" s="3"/>
      <c r="Z28" s="3"/>
      <c r="AA28" s="3" t="str">
        <f>IF(BCP_Dolares[[#This Row],[fecha]]&gt;0,TEXT(BCP_Dolares[[#This Row],[fecha]],"mmmm"),0)</f>
        <v>Enero</v>
      </c>
    </row>
    <row r="29" spans="1:27" ht="24" x14ac:dyDescent="0.3">
      <c r="A29" s="2" t="str">
        <f>IF(BCP_Dolares[[#This Row],[tipo_registro]]="R",COUNTIFS($C$1:$C28,"R")+1,"")</f>
        <v/>
      </c>
      <c r="B29" s="19" t="str">
        <f t="shared" si="5"/>
        <v>B-BCP - Dolares</v>
      </c>
      <c r="C29" s="3" t="s">
        <v>1352</v>
      </c>
      <c r="D29" s="14">
        <v>45680</v>
      </c>
      <c r="E29" s="5" t="s">
        <v>1338</v>
      </c>
      <c r="F29" s="5"/>
      <c r="G29" s="6" t="s">
        <v>204</v>
      </c>
      <c r="H29" s="6" t="s">
        <v>68</v>
      </c>
      <c r="I29" s="6" t="s">
        <v>1390</v>
      </c>
      <c r="J29" s="6">
        <v>15260</v>
      </c>
      <c r="K29" s="7" t="s">
        <v>4911</v>
      </c>
      <c r="L29" s="8">
        <v>4615795</v>
      </c>
      <c r="M29" s="8" t="str">
        <f t="shared" si="6"/>
        <v>USD</v>
      </c>
      <c r="N29" s="13">
        <v>116.79</v>
      </c>
      <c r="O29" s="13"/>
      <c r="P29" s="3">
        <f t="shared" si="2"/>
        <v>0</v>
      </c>
      <c r="Q29" s="3">
        <f t="shared" si="3"/>
        <v>0</v>
      </c>
      <c r="R29" s="3">
        <f t="shared" si="4"/>
        <v>8638.59</v>
      </c>
      <c r="S29" s="24"/>
      <c r="T29" s="24" t="s">
        <v>1334</v>
      </c>
      <c r="U29" s="61"/>
      <c r="V29" s="3"/>
      <c r="W29" s="3"/>
      <c r="X29" s="3"/>
      <c r="Y29" s="3"/>
      <c r="Z29" s="3"/>
      <c r="AA29" s="3" t="str">
        <f>IF(BCP_Dolares[[#This Row],[fecha]]&gt;0,TEXT(BCP_Dolares[[#This Row],[fecha]],"mmmm"),0)</f>
        <v>Enero</v>
      </c>
    </row>
    <row r="30" spans="1:27" ht="24" x14ac:dyDescent="0.3">
      <c r="A30" s="2" t="str">
        <f>IF(BCP_Dolares[[#This Row],[tipo_registro]]="R",COUNTIFS($C$1:$C29,"R")+1,"")</f>
        <v/>
      </c>
      <c r="B30" s="19" t="str">
        <f t="shared" si="5"/>
        <v>B-BCP - Dolares</v>
      </c>
      <c r="C30" s="3" t="s">
        <v>1352</v>
      </c>
      <c r="D30" s="14">
        <v>45680</v>
      </c>
      <c r="E30" s="5" t="s">
        <v>1338</v>
      </c>
      <c r="F30" s="5"/>
      <c r="G30" s="6" t="s">
        <v>204</v>
      </c>
      <c r="H30" s="6" t="s">
        <v>68</v>
      </c>
      <c r="I30" s="6" t="s">
        <v>1390</v>
      </c>
      <c r="J30" s="6">
        <v>15276</v>
      </c>
      <c r="K30" s="7" t="s">
        <v>4911</v>
      </c>
      <c r="L30" s="8">
        <v>4615795</v>
      </c>
      <c r="M30" s="8" t="str">
        <f t="shared" si="6"/>
        <v>USD</v>
      </c>
      <c r="N30" s="13">
        <v>63.79</v>
      </c>
      <c r="O30" s="13"/>
      <c r="P30" s="3">
        <f t="shared" si="2"/>
        <v>0</v>
      </c>
      <c r="Q30" s="3">
        <f t="shared" si="3"/>
        <v>0</v>
      </c>
      <c r="R30" s="3">
        <f t="shared" si="4"/>
        <v>8638.59</v>
      </c>
      <c r="S30" s="24"/>
      <c r="T30" s="24" t="s">
        <v>1334</v>
      </c>
      <c r="U30" s="61"/>
      <c r="V30" s="3"/>
      <c r="W30" s="3"/>
      <c r="X30" s="3"/>
      <c r="Y30" s="3"/>
      <c r="Z30" s="3"/>
      <c r="AA30" s="3" t="str">
        <f>IF(BCP_Dolares[[#This Row],[fecha]]&gt;0,TEXT(BCP_Dolares[[#This Row],[fecha]],"mmmm"),0)</f>
        <v>Enero</v>
      </c>
    </row>
    <row r="31" spans="1:27" ht="24" x14ac:dyDescent="0.3">
      <c r="A31" s="2" t="str">
        <f>IF(BCP_Dolares[[#This Row],[tipo_registro]]="R",COUNTIFS($C$1:$C30,"R")+1,"")</f>
        <v/>
      </c>
      <c r="B31" s="19" t="str">
        <f t="shared" si="5"/>
        <v>B-BCP - Dolares</v>
      </c>
      <c r="C31" s="3" t="s">
        <v>1352</v>
      </c>
      <c r="D31" s="14">
        <v>45680</v>
      </c>
      <c r="E31" s="5" t="s">
        <v>1338</v>
      </c>
      <c r="F31" s="5"/>
      <c r="G31" s="6" t="s">
        <v>204</v>
      </c>
      <c r="H31" s="6" t="s">
        <v>68</v>
      </c>
      <c r="I31" s="6" t="s">
        <v>1390</v>
      </c>
      <c r="J31" s="6">
        <v>15281</v>
      </c>
      <c r="K31" s="7" t="s">
        <v>4911</v>
      </c>
      <c r="L31" s="8">
        <v>4615795</v>
      </c>
      <c r="M31" s="8" t="str">
        <f t="shared" si="6"/>
        <v>USD</v>
      </c>
      <c r="N31" s="13">
        <v>94.56</v>
      </c>
      <c r="O31" s="13"/>
      <c r="P31" s="3">
        <f t="shared" si="2"/>
        <v>0</v>
      </c>
      <c r="Q31" s="3">
        <f t="shared" si="3"/>
        <v>0</v>
      </c>
      <c r="R31" s="3">
        <f t="shared" si="4"/>
        <v>8638.59</v>
      </c>
      <c r="S31" s="24"/>
      <c r="T31" s="24" t="s">
        <v>1334</v>
      </c>
      <c r="U31" s="61"/>
      <c r="V31" s="3"/>
      <c r="W31" s="3"/>
      <c r="X31" s="3"/>
      <c r="Y31" s="3"/>
      <c r="Z31" s="3"/>
      <c r="AA31" s="3" t="str">
        <f>IF(BCP_Dolares[[#This Row],[fecha]]&gt;0,TEXT(BCP_Dolares[[#This Row],[fecha]],"mmmm"),0)</f>
        <v>Enero</v>
      </c>
    </row>
    <row r="32" spans="1:27" ht="24" x14ac:dyDescent="0.3">
      <c r="A32" s="2" t="str">
        <f>IF(BCP_Dolares[[#This Row],[tipo_registro]]="R",COUNTIFS($C$1:$C31,"R")+1,"")</f>
        <v/>
      </c>
      <c r="B32" s="19" t="str">
        <f t="shared" si="5"/>
        <v>B-BCP - Dolares</v>
      </c>
      <c r="C32" s="3" t="s">
        <v>1352</v>
      </c>
      <c r="D32" s="14">
        <v>45680</v>
      </c>
      <c r="E32" s="5" t="s">
        <v>1338</v>
      </c>
      <c r="F32" s="5"/>
      <c r="G32" s="6" t="s">
        <v>204</v>
      </c>
      <c r="H32" s="6" t="s">
        <v>68</v>
      </c>
      <c r="I32" s="6" t="s">
        <v>1390</v>
      </c>
      <c r="J32" s="6">
        <v>15282</v>
      </c>
      <c r="K32" s="7" t="s">
        <v>4911</v>
      </c>
      <c r="L32" s="8">
        <v>4615795</v>
      </c>
      <c r="M32" s="8" t="str">
        <f t="shared" si="6"/>
        <v>USD</v>
      </c>
      <c r="N32" s="13">
        <v>107.01</v>
      </c>
      <c r="O32" s="13"/>
      <c r="P32" s="3">
        <f t="shared" si="2"/>
        <v>0</v>
      </c>
      <c r="Q32" s="3">
        <f t="shared" si="3"/>
        <v>0</v>
      </c>
      <c r="R32" s="3">
        <f t="shared" si="4"/>
        <v>8638.59</v>
      </c>
      <c r="S32" s="24"/>
      <c r="T32" s="24" t="s">
        <v>1334</v>
      </c>
      <c r="U32" s="61"/>
      <c r="V32" s="3"/>
      <c r="W32" s="3"/>
      <c r="X32" s="3"/>
      <c r="Y32" s="3"/>
      <c r="Z32" s="3"/>
      <c r="AA32" s="3" t="str">
        <f>IF(BCP_Dolares[[#This Row],[fecha]]&gt;0,TEXT(BCP_Dolares[[#This Row],[fecha]],"mmmm"),0)</f>
        <v>Enero</v>
      </c>
    </row>
    <row r="33" spans="1:27" x14ac:dyDescent="0.3">
      <c r="A33" s="2">
        <f>IF(BCP_Dolares[[#This Row],[tipo_registro]]="R",COUNTIFS($C$1:$C32,"R")+1,"")</f>
        <v>11</v>
      </c>
      <c r="B33" s="19" t="str">
        <f t="shared" si="0"/>
        <v>B-BCP - Dolares</v>
      </c>
      <c r="C33" s="3" t="s">
        <v>1330</v>
      </c>
      <c r="D33" s="14">
        <v>45680</v>
      </c>
      <c r="E33" s="5" t="s">
        <v>1335</v>
      </c>
      <c r="F33" s="5" t="s">
        <v>1336</v>
      </c>
      <c r="G33" s="6" t="s">
        <v>1009</v>
      </c>
      <c r="H33" s="6"/>
      <c r="I33" s="6"/>
      <c r="J33" s="6"/>
      <c r="K33" s="7" t="s">
        <v>1337</v>
      </c>
      <c r="L33" s="8"/>
      <c r="M33" s="8" t="str">
        <f t="shared" si="1"/>
        <v>USD</v>
      </c>
      <c r="N33" s="13"/>
      <c r="O33" s="13">
        <v>0.95</v>
      </c>
      <c r="P33" s="3">
        <f t="shared" si="2"/>
        <v>0</v>
      </c>
      <c r="Q33" s="3">
        <f t="shared" si="3"/>
        <v>0.95</v>
      </c>
      <c r="R33" s="3">
        <f t="shared" si="4"/>
        <v>8637.64</v>
      </c>
      <c r="S33" s="24" t="s">
        <v>1334</v>
      </c>
      <c r="T33" s="24" t="s">
        <v>1334</v>
      </c>
      <c r="U33" s="61"/>
      <c r="V33" s="3"/>
      <c r="W33" s="3"/>
      <c r="X33" s="3"/>
      <c r="Y33" s="3"/>
      <c r="Z33" s="3"/>
      <c r="AA33" s="3" t="str">
        <f>IF(BCP_Dolares[[#This Row],[fecha]]&gt;0,TEXT(BCP_Dolares[[#This Row],[fecha]],"mmmm"),0)</f>
        <v>Enero</v>
      </c>
    </row>
    <row r="34" spans="1:27" ht="36" x14ac:dyDescent="0.3">
      <c r="A34" s="2">
        <f>IF(BCP_Dolares[[#This Row],[tipo_registro]]="R",COUNTIFS($C$1:$C33,"R")+1,"")</f>
        <v>12</v>
      </c>
      <c r="B34" s="19" t="str">
        <f t="shared" si="0"/>
        <v>B-BCP - Dolares</v>
      </c>
      <c r="C34" s="3" t="s">
        <v>1330</v>
      </c>
      <c r="D34" s="14">
        <v>45684</v>
      </c>
      <c r="E34" s="5" t="s">
        <v>1338</v>
      </c>
      <c r="F34" s="5" t="s">
        <v>1336</v>
      </c>
      <c r="G34" s="6" t="s">
        <v>702</v>
      </c>
      <c r="H34" s="6" t="s">
        <v>68</v>
      </c>
      <c r="I34" s="6" t="s">
        <v>1463</v>
      </c>
      <c r="J34" s="6">
        <v>422105</v>
      </c>
      <c r="K34" s="7" t="s">
        <v>4912</v>
      </c>
      <c r="L34" s="8">
        <v>25978</v>
      </c>
      <c r="M34" s="8" t="str">
        <f t="shared" si="1"/>
        <v>USD</v>
      </c>
      <c r="N34" s="13"/>
      <c r="O34" s="13">
        <v>215.22</v>
      </c>
      <c r="P34" s="3">
        <f t="shared" si="2"/>
        <v>0</v>
      </c>
      <c r="Q34" s="3">
        <f t="shared" si="3"/>
        <v>215.22</v>
      </c>
      <c r="R34" s="3">
        <f t="shared" si="4"/>
        <v>8422.42</v>
      </c>
      <c r="S34" s="24"/>
      <c r="T34" s="24" t="s">
        <v>1334</v>
      </c>
      <c r="U34" s="61"/>
      <c r="V34" s="3" t="s">
        <v>4913</v>
      </c>
      <c r="W34" s="3" t="s">
        <v>4914</v>
      </c>
      <c r="X34" s="3"/>
      <c r="Y34" s="3"/>
      <c r="Z34" s="3"/>
      <c r="AA34" s="3" t="str">
        <f>IF(BCP_Dolares[[#This Row],[fecha]]&gt;0,TEXT(BCP_Dolares[[#This Row],[fecha]],"mmmm"),0)</f>
        <v>Enero</v>
      </c>
    </row>
    <row r="35" spans="1:27" ht="24" x14ac:dyDescent="0.3">
      <c r="A35" s="2">
        <f>IF(BCP_Dolares[[#This Row],[tipo_registro]]="R",COUNTIFS($C$1:$C34,"R")+1,"")</f>
        <v>13</v>
      </c>
      <c r="B35" s="19" t="str">
        <f t="shared" si="0"/>
        <v>B-BCP - Dolares</v>
      </c>
      <c r="C35" s="3" t="s">
        <v>1330</v>
      </c>
      <c r="D35" s="14">
        <v>45685</v>
      </c>
      <c r="E35" s="5" t="s">
        <v>1335</v>
      </c>
      <c r="F35" s="5" t="s">
        <v>1336</v>
      </c>
      <c r="G35" s="6" t="s">
        <v>1060</v>
      </c>
      <c r="H35" s="6" t="s">
        <v>68</v>
      </c>
      <c r="I35" s="6" t="s">
        <v>1343</v>
      </c>
      <c r="J35" s="6">
        <v>2108430</v>
      </c>
      <c r="K35" s="7" t="s">
        <v>4915</v>
      </c>
      <c r="L35" s="8" t="s">
        <v>4916</v>
      </c>
      <c r="M35" s="8" t="str">
        <f t="shared" si="1"/>
        <v>USD</v>
      </c>
      <c r="N35" s="13"/>
      <c r="O35" s="13">
        <v>12</v>
      </c>
      <c r="P35" s="3">
        <f t="shared" si="2"/>
        <v>0</v>
      </c>
      <c r="Q35" s="3">
        <f t="shared" si="3"/>
        <v>12</v>
      </c>
      <c r="R35" s="3">
        <f t="shared" si="4"/>
        <v>8410.42</v>
      </c>
      <c r="S35" s="24" t="s">
        <v>1334</v>
      </c>
      <c r="T35" s="24" t="s">
        <v>1334</v>
      </c>
      <c r="U35" s="61"/>
      <c r="V35" s="3" t="s">
        <v>1335</v>
      </c>
      <c r="W35" s="3"/>
      <c r="X35" s="3"/>
      <c r="Y35" s="3"/>
      <c r="Z35" s="3"/>
      <c r="AA35" s="3" t="str">
        <f>IF(BCP_Dolares[[#This Row],[fecha]]&gt;0,TEXT(BCP_Dolares[[#This Row],[fecha]],"mmmm"),0)</f>
        <v>Enero</v>
      </c>
    </row>
    <row r="36" spans="1:27" ht="36" x14ac:dyDescent="0.3">
      <c r="A36" s="2">
        <f>IF(BCP_Dolares[[#This Row],[tipo_registro]]="R",COUNTIFS($C$1:$C35,"R")+1,"")</f>
        <v>14</v>
      </c>
      <c r="B36" s="19" t="str">
        <f t="shared" si="0"/>
        <v>B-BCP - Dolares</v>
      </c>
      <c r="C36" s="3" t="s">
        <v>1330</v>
      </c>
      <c r="D36" s="14">
        <v>45685</v>
      </c>
      <c r="E36" s="5" t="s">
        <v>1338</v>
      </c>
      <c r="F36" s="5" t="s">
        <v>1336</v>
      </c>
      <c r="G36" s="6"/>
      <c r="H36" s="6"/>
      <c r="I36" s="6"/>
      <c r="J36" s="6"/>
      <c r="K36" s="7" t="s">
        <v>4917</v>
      </c>
      <c r="L36" s="8">
        <v>5999980</v>
      </c>
      <c r="M36" s="8" t="str">
        <f t="shared" si="1"/>
        <v>USD</v>
      </c>
      <c r="N36" s="13"/>
      <c r="O36" s="13">
        <v>236.59</v>
      </c>
      <c r="P36" s="3">
        <f t="shared" si="2"/>
        <v>0</v>
      </c>
      <c r="Q36" s="3">
        <f t="shared" si="3"/>
        <v>236.59</v>
      </c>
      <c r="R36" s="3">
        <f t="shared" si="4"/>
        <v>8173.83</v>
      </c>
      <c r="S36" s="24" t="s">
        <v>1334</v>
      </c>
      <c r="T36" s="24" t="s">
        <v>1334</v>
      </c>
      <c r="U36" s="61"/>
      <c r="V36" s="3" t="s">
        <v>204</v>
      </c>
      <c r="W36" s="3" t="s">
        <v>4918</v>
      </c>
      <c r="X36" s="3"/>
      <c r="Y36" s="3"/>
      <c r="Z36" s="3"/>
      <c r="AA36" s="3" t="str">
        <f>IF(BCP_Dolares[[#This Row],[fecha]]&gt;0,TEXT(BCP_Dolares[[#This Row],[fecha]],"mmmm"),0)</f>
        <v>Enero</v>
      </c>
    </row>
    <row r="37" spans="1:27" ht="24" x14ac:dyDescent="0.3">
      <c r="A37" s="2" t="str">
        <f>IF(BCP_Dolares[[#This Row],[tipo_registro]]="R",COUNTIFS($C$1:$C36,"R")+1,"")</f>
        <v/>
      </c>
      <c r="B37" s="19" t="str">
        <f>"B-BCP - Dolares"</f>
        <v>B-BCP - Dolares</v>
      </c>
      <c r="C37" s="3" t="s">
        <v>1352</v>
      </c>
      <c r="D37" s="14">
        <v>45685</v>
      </c>
      <c r="E37" s="5" t="s">
        <v>1338</v>
      </c>
      <c r="F37" s="5"/>
      <c r="G37" s="6" t="s">
        <v>204</v>
      </c>
      <c r="H37" s="6" t="s">
        <v>68</v>
      </c>
      <c r="I37" s="6" t="s">
        <v>1390</v>
      </c>
      <c r="J37" s="6">
        <v>15290</v>
      </c>
      <c r="K37" s="7" t="s">
        <v>4917</v>
      </c>
      <c r="L37" s="8">
        <v>5999980</v>
      </c>
      <c r="M37" s="8" t="str">
        <f>"USD"</f>
        <v>USD</v>
      </c>
      <c r="N37" s="13">
        <v>61.5</v>
      </c>
      <c r="O37" s="13"/>
      <c r="P37" s="3">
        <f t="shared" si="2"/>
        <v>0</v>
      </c>
      <c r="Q37" s="3">
        <f t="shared" si="3"/>
        <v>0</v>
      </c>
      <c r="R37" s="3">
        <f t="shared" si="4"/>
        <v>8173.83</v>
      </c>
      <c r="S37" s="24"/>
      <c r="T37" s="24" t="s">
        <v>1334</v>
      </c>
      <c r="U37" s="61"/>
      <c r="V37" s="3"/>
      <c r="W37" s="3"/>
      <c r="X37" s="3"/>
      <c r="Y37" s="3"/>
      <c r="Z37" s="3"/>
      <c r="AA37" s="3" t="str">
        <f>IF(BCP_Dolares[[#This Row],[fecha]]&gt;0,TEXT(BCP_Dolares[[#This Row],[fecha]],"mmmm"),0)</f>
        <v>Enero</v>
      </c>
    </row>
    <row r="38" spans="1:27" ht="24" x14ac:dyDescent="0.3">
      <c r="A38" s="2" t="str">
        <f>IF(BCP_Dolares[[#This Row],[tipo_registro]]="R",COUNTIFS($C$1:$C37,"R")+1,"")</f>
        <v/>
      </c>
      <c r="B38" s="19" t="str">
        <f>"B-BCP - Dolares"</f>
        <v>B-BCP - Dolares</v>
      </c>
      <c r="C38" s="3" t="s">
        <v>1352</v>
      </c>
      <c r="D38" s="14">
        <v>45685</v>
      </c>
      <c r="E38" s="5" t="s">
        <v>1338</v>
      </c>
      <c r="F38" s="5"/>
      <c r="G38" s="6" t="s">
        <v>204</v>
      </c>
      <c r="H38" s="6" t="s">
        <v>68</v>
      </c>
      <c r="I38" s="6" t="s">
        <v>1390</v>
      </c>
      <c r="J38" s="6">
        <v>15294</v>
      </c>
      <c r="K38" s="7" t="s">
        <v>4917</v>
      </c>
      <c r="L38" s="8">
        <v>5999980</v>
      </c>
      <c r="M38" s="8" t="str">
        <f>"USD"</f>
        <v>USD</v>
      </c>
      <c r="N38" s="13">
        <v>85.96</v>
      </c>
      <c r="O38" s="13"/>
      <c r="P38" s="3">
        <f t="shared" si="2"/>
        <v>0</v>
      </c>
      <c r="Q38" s="3">
        <f t="shared" si="3"/>
        <v>0</v>
      </c>
      <c r="R38" s="3">
        <f t="shared" si="4"/>
        <v>8173.83</v>
      </c>
      <c r="S38" s="24"/>
      <c r="T38" s="24" t="s">
        <v>1334</v>
      </c>
      <c r="U38" s="61"/>
      <c r="V38" s="3"/>
      <c r="W38" s="3"/>
      <c r="X38" s="3"/>
      <c r="Y38" s="3"/>
      <c r="Z38" s="3"/>
      <c r="AA38" s="3" t="str">
        <f>IF(BCP_Dolares[[#This Row],[fecha]]&gt;0,TEXT(BCP_Dolares[[#This Row],[fecha]],"mmmm"),0)</f>
        <v>Enero</v>
      </c>
    </row>
    <row r="39" spans="1:27" ht="24" x14ac:dyDescent="0.3">
      <c r="A39" s="2" t="str">
        <f>IF(BCP_Dolares[[#This Row],[tipo_registro]]="R",COUNTIFS($C$1:$C38,"R")+1,"")</f>
        <v/>
      </c>
      <c r="B39" s="19" t="str">
        <f>"B-BCP - Dolares"</f>
        <v>B-BCP - Dolares</v>
      </c>
      <c r="C39" s="3" t="s">
        <v>1352</v>
      </c>
      <c r="D39" s="14">
        <v>45685</v>
      </c>
      <c r="E39" s="5" t="s">
        <v>1338</v>
      </c>
      <c r="F39" s="5"/>
      <c r="G39" s="6" t="s">
        <v>204</v>
      </c>
      <c r="H39" s="6" t="s">
        <v>68</v>
      </c>
      <c r="I39" s="6" t="s">
        <v>1390</v>
      </c>
      <c r="J39" s="6">
        <v>15331</v>
      </c>
      <c r="K39" s="7" t="s">
        <v>4917</v>
      </c>
      <c r="L39" s="8">
        <v>5999980</v>
      </c>
      <c r="M39" s="8" t="str">
        <f>"USD"</f>
        <v>USD</v>
      </c>
      <c r="N39" s="13">
        <v>89.13</v>
      </c>
      <c r="O39" s="13"/>
      <c r="P39" s="3">
        <f t="shared" si="2"/>
        <v>0</v>
      </c>
      <c r="Q39" s="3">
        <f t="shared" si="3"/>
        <v>0</v>
      </c>
      <c r="R39" s="3">
        <f t="shared" si="4"/>
        <v>8173.83</v>
      </c>
      <c r="S39" s="24"/>
      <c r="T39" s="24" t="s">
        <v>1334</v>
      </c>
      <c r="U39" s="61"/>
      <c r="V39" s="3"/>
      <c r="W39" s="3"/>
      <c r="X39" s="3"/>
      <c r="Y39" s="3"/>
      <c r="Z39" s="3"/>
      <c r="AA39" s="3" t="str">
        <f>IF(BCP_Dolares[[#This Row],[fecha]]&gt;0,TEXT(BCP_Dolares[[#This Row],[fecha]],"mmmm"),0)</f>
        <v>Enero</v>
      </c>
    </row>
    <row r="40" spans="1:27" x14ac:dyDescent="0.3">
      <c r="A40" s="2">
        <f>IF(BCP_Dolares[[#This Row],[tipo_registro]]="R",COUNTIFS($C$1:$C39,"R")+1,"")</f>
        <v>15</v>
      </c>
      <c r="B40" s="19" t="str">
        <f t="shared" si="0"/>
        <v>B-BCP - Dolares</v>
      </c>
      <c r="C40" s="3" t="s">
        <v>1330</v>
      </c>
      <c r="D40" s="14">
        <v>45688</v>
      </c>
      <c r="E40" s="5" t="s">
        <v>1335</v>
      </c>
      <c r="F40" s="5" t="s">
        <v>1336</v>
      </c>
      <c r="G40" s="6" t="s">
        <v>1009</v>
      </c>
      <c r="H40" s="6"/>
      <c r="I40" s="6"/>
      <c r="J40" s="6"/>
      <c r="K40" s="7" t="s">
        <v>1337</v>
      </c>
      <c r="L40" s="8"/>
      <c r="M40" s="8" t="str">
        <f t="shared" si="1"/>
        <v>USD</v>
      </c>
      <c r="N40" s="13"/>
      <c r="O40" s="13">
        <v>0.25</v>
      </c>
      <c r="P40" s="3">
        <f t="shared" si="2"/>
        <v>0</v>
      </c>
      <c r="Q40" s="3">
        <f t="shared" si="3"/>
        <v>0.25</v>
      </c>
      <c r="R40" s="3">
        <f t="shared" si="4"/>
        <v>8173.58</v>
      </c>
      <c r="S40" s="24" t="s">
        <v>1334</v>
      </c>
      <c r="T40" s="24" t="s">
        <v>1334</v>
      </c>
      <c r="U40" s="61"/>
      <c r="V40" s="3"/>
      <c r="W40" s="3"/>
      <c r="X40" s="3"/>
      <c r="Y40" s="3"/>
      <c r="Z40" s="3"/>
      <c r="AA40" s="3" t="str">
        <f>IF(BCP_Dolares[[#This Row],[fecha]]&gt;0,TEXT(BCP_Dolares[[#This Row],[fecha]],"mmmm"),0)</f>
        <v>Enero</v>
      </c>
    </row>
    <row r="41" spans="1:27" ht="24" x14ac:dyDescent="0.3">
      <c r="A41" s="2">
        <f>IF(BCP_Dolares[[#This Row],[tipo_registro]]="R",COUNTIFS($C$1:$C40,"R")+1,"")</f>
        <v>16</v>
      </c>
      <c r="B41" s="19" t="str">
        <f t="shared" si="0"/>
        <v>B-BCP - Dolares</v>
      </c>
      <c r="C41" s="3" t="s">
        <v>1330</v>
      </c>
      <c r="D41" s="14">
        <v>45688</v>
      </c>
      <c r="E41" s="5" t="s">
        <v>1335</v>
      </c>
      <c r="F41" s="5" t="s">
        <v>1336</v>
      </c>
      <c r="G41" s="6" t="s">
        <v>1060</v>
      </c>
      <c r="H41" s="6"/>
      <c r="I41" s="6"/>
      <c r="J41" s="6"/>
      <c r="K41" s="7" t="s">
        <v>1756</v>
      </c>
      <c r="L41" s="8" t="s">
        <v>4916</v>
      </c>
      <c r="M41" s="8" t="str">
        <f t="shared" si="1"/>
        <v>USD</v>
      </c>
      <c r="N41" s="13"/>
      <c r="O41" s="13">
        <v>13</v>
      </c>
      <c r="P41" s="3">
        <f t="shared" si="2"/>
        <v>0</v>
      </c>
      <c r="Q41" s="3">
        <f t="shared" si="3"/>
        <v>13</v>
      </c>
      <c r="R41" s="3">
        <f t="shared" si="4"/>
        <v>8160.58</v>
      </c>
      <c r="S41" s="24"/>
      <c r="T41" s="24"/>
      <c r="U41" s="61"/>
      <c r="V41" s="3" t="s">
        <v>1335</v>
      </c>
      <c r="W41" s="3"/>
      <c r="X41" s="3"/>
      <c r="Y41" s="3"/>
      <c r="Z41" s="3"/>
      <c r="AA41" s="3" t="str">
        <f>IF(BCP_Dolares[[#This Row],[fecha]]&gt;0,TEXT(BCP_Dolares[[#This Row],[fecha]],"mmmm"),0)</f>
        <v>Enero</v>
      </c>
    </row>
    <row r="42" spans="1:27" ht="24" x14ac:dyDescent="0.3">
      <c r="A42" s="2">
        <f>IF(BCP_Dolares[[#This Row],[tipo_registro]]="R",COUNTIFS($C$1:$C41,"R")+1,"")</f>
        <v>17</v>
      </c>
      <c r="B42" s="19" t="str">
        <f t="shared" si="0"/>
        <v>B-BCP - Dolares</v>
      </c>
      <c r="C42" s="3" t="s">
        <v>1330</v>
      </c>
      <c r="D42" s="14">
        <v>45688</v>
      </c>
      <c r="E42" s="5" t="s">
        <v>1335</v>
      </c>
      <c r="F42" s="5" t="s">
        <v>1336</v>
      </c>
      <c r="G42" s="6" t="s">
        <v>1060</v>
      </c>
      <c r="H42" s="6"/>
      <c r="I42" s="6"/>
      <c r="J42" s="6"/>
      <c r="K42" s="7" t="s">
        <v>1758</v>
      </c>
      <c r="L42" s="8">
        <v>1138525</v>
      </c>
      <c r="M42" s="8" t="str">
        <f t="shared" si="1"/>
        <v>USD</v>
      </c>
      <c r="N42" s="13"/>
      <c r="O42" s="13">
        <v>2</v>
      </c>
      <c r="P42" s="3">
        <f t="shared" si="2"/>
        <v>0</v>
      </c>
      <c r="Q42" s="3">
        <f t="shared" si="3"/>
        <v>2</v>
      </c>
      <c r="R42" s="3">
        <f t="shared" si="4"/>
        <v>8158.58</v>
      </c>
      <c r="S42" s="24"/>
      <c r="T42" s="24"/>
      <c r="U42" s="61"/>
      <c r="V42" s="3" t="s">
        <v>1335</v>
      </c>
      <c r="W42" s="3"/>
      <c r="X42" s="3"/>
      <c r="Y42" s="3"/>
      <c r="Z42" s="3"/>
      <c r="AA42" s="3" t="str">
        <f>IF(BCP_Dolares[[#This Row],[fecha]]&gt;0,TEXT(BCP_Dolares[[#This Row],[fecha]],"mmmm"),0)</f>
        <v>Enero</v>
      </c>
    </row>
    <row r="43" spans="1:27" x14ac:dyDescent="0.3">
      <c r="A43" s="2">
        <f>IF(BCP_Dolares[[#This Row],[tipo_registro]]="R",COUNTIFS($C$1:$C42,"R")+1,"")</f>
        <v>18</v>
      </c>
      <c r="B43" s="19" t="str">
        <f t="shared" si="0"/>
        <v>B-BCP - Dolares</v>
      </c>
      <c r="C43" s="3" t="s">
        <v>1330</v>
      </c>
      <c r="D43" s="14">
        <v>45688</v>
      </c>
      <c r="E43" s="5" t="s">
        <v>1331</v>
      </c>
      <c r="F43" s="5" t="s">
        <v>1336</v>
      </c>
      <c r="G43" s="6" t="s">
        <v>425</v>
      </c>
      <c r="H43" s="6"/>
      <c r="I43" s="6"/>
      <c r="J43" s="6"/>
      <c r="K43" s="7" t="s">
        <v>1768</v>
      </c>
      <c r="L43" s="8">
        <v>1421198</v>
      </c>
      <c r="M43" s="8" t="str">
        <f t="shared" si="1"/>
        <v>USD</v>
      </c>
      <c r="N43" s="13"/>
      <c r="O43" s="13">
        <v>6200</v>
      </c>
      <c r="P43" s="3">
        <f t="shared" si="2"/>
        <v>0</v>
      </c>
      <c r="Q43" s="3">
        <f t="shared" si="3"/>
        <v>6200</v>
      </c>
      <c r="R43" s="3">
        <f t="shared" si="4"/>
        <v>1958.58</v>
      </c>
      <c r="S43" s="24" t="s">
        <v>1334</v>
      </c>
      <c r="T43" s="24" t="s">
        <v>1334</v>
      </c>
      <c r="U43" s="61"/>
      <c r="V43" s="3" t="s">
        <v>425</v>
      </c>
      <c r="W43" s="3"/>
      <c r="X43" s="3"/>
      <c r="Y43" s="3"/>
      <c r="Z43" s="3"/>
      <c r="AA43" s="3" t="str">
        <f>IF(BCP_Dolares[[#This Row],[fecha]]&gt;0,TEXT(BCP_Dolares[[#This Row],[fecha]],"mmmm"),0)</f>
        <v>Enero</v>
      </c>
    </row>
    <row r="44" spans="1:27" ht="24" x14ac:dyDescent="0.3">
      <c r="A44" s="2">
        <f>IF(BCP_Dolares[[#This Row],[tipo_registro]]="R",COUNTIFS($C$1:$C43,"R")+1,"")</f>
        <v>19</v>
      </c>
      <c r="B44" s="19" t="str">
        <f t="shared" si="0"/>
        <v>B-BCP - Dolares</v>
      </c>
      <c r="C44" s="3" t="s">
        <v>1330</v>
      </c>
      <c r="D44" s="14">
        <v>45688</v>
      </c>
      <c r="E44" s="5" t="s">
        <v>4025</v>
      </c>
      <c r="F44" s="5" t="s">
        <v>1303</v>
      </c>
      <c r="G44" s="6" t="s">
        <v>425</v>
      </c>
      <c r="H44" s="6"/>
      <c r="I44" s="6"/>
      <c r="J44" s="6"/>
      <c r="K44" s="7" t="s">
        <v>4026</v>
      </c>
      <c r="L44" s="8">
        <v>2325594</v>
      </c>
      <c r="M44" s="8" t="str">
        <f t="shared" si="1"/>
        <v>USD</v>
      </c>
      <c r="N44" s="13"/>
      <c r="O44" s="13">
        <v>5677</v>
      </c>
      <c r="P44" s="3">
        <f t="shared" si="2"/>
        <v>5677</v>
      </c>
      <c r="Q44" s="3">
        <f t="shared" si="3"/>
        <v>0</v>
      </c>
      <c r="R44" s="3">
        <f t="shared" si="4"/>
        <v>7635.58</v>
      </c>
      <c r="S44" s="24" t="s">
        <v>1334</v>
      </c>
      <c r="T44" s="24"/>
      <c r="U44" s="61"/>
      <c r="V44" s="3" t="s">
        <v>425</v>
      </c>
      <c r="W44" s="3" t="s">
        <v>4919</v>
      </c>
      <c r="X44" s="3"/>
      <c r="Y44" s="3"/>
      <c r="Z44" s="3"/>
      <c r="AA44" s="3" t="str">
        <f>IF(BCP_Dolares[[#This Row],[fecha]]&gt;0,TEXT(BCP_Dolares[[#This Row],[fecha]],"mmmm"),0)</f>
        <v>Enero</v>
      </c>
    </row>
    <row r="45" spans="1:27" ht="48" x14ac:dyDescent="0.3">
      <c r="A45" s="2">
        <f>IF(BCP_Dolares[[#This Row],[tipo_registro]]="R",COUNTIFS($C$1:$C44,"R")+1,"")</f>
        <v>20</v>
      </c>
      <c r="B45" s="19" t="str">
        <f t="shared" si="0"/>
        <v>B-BCP - Dolares</v>
      </c>
      <c r="C45" s="3" t="s">
        <v>1330</v>
      </c>
      <c r="D45" s="14">
        <v>45695</v>
      </c>
      <c r="E45" s="5" t="s">
        <v>1338</v>
      </c>
      <c r="F45" s="5" t="s">
        <v>1336</v>
      </c>
      <c r="G45" s="6"/>
      <c r="H45" s="6"/>
      <c r="I45" s="6"/>
      <c r="J45" s="6"/>
      <c r="K45" s="7" t="s">
        <v>4920</v>
      </c>
      <c r="L45" s="8">
        <v>186782</v>
      </c>
      <c r="M45" s="8" t="str">
        <f t="shared" si="1"/>
        <v>USD</v>
      </c>
      <c r="N45" s="13"/>
      <c r="O45" s="13">
        <v>314.02</v>
      </c>
      <c r="P45" s="3">
        <f t="shared" si="2"/>
        <v>0</v>
      </c>
      <c r="Q45" s="3">
        <f t="shared" si="3"/>
        <v>314.02</v>
      </c>
      <c r="R45" s="3">
        <f t="shared" si="4"/>
        <v>7321.5599999999995</v>
      </c>
      <c r="S45" s="24" t="s">
        <v>1334</v>
      </c>
      <c r="T45" s="24" t="s">
        <v>1334</v>
      </c>
      <c r="U45" s="61"/>
      <c r="V45" s="3" t="s">
        <v>204</v>
      </c>
      <c r="W45" s="3" t="s">
        <v>4921</v>
      </c>
      <c r="X45" s="3"/>
      <c r="Y45" s="3"/>
      <c r="Z45" s="3"/>
      <c r="AA45" s="3" t="str">
        <f>IF(BCP_Dolares[[#This Row],[fecha]]&gt;0,TEXT(BCP_Dolares[[#This Row],[fecha]],"mmmm"),0)</f>
        <v>Febrero</v>
      </c>
    </row>
    <row r="46" spans="1:27" ht="24" x14ac:dyDescent="0.3">
      <c r="A46" s="2" t="str">
        <f>IF(BCP_Dolares[[#This Row],[tipo_registro]]="R",COUNTIFS($C$1:$C45,"R")+1,"")</f>
        <v/>
      </c>
      <c r="B46" s="19" t="str">
        <f>"B-BCP - Dolares"</f>
        <v>B-BCP - Dolares</v>
      </c>
      <c r="C46" s="3" t="s">
        <v>1352</v>
      </c>
      <c r="D46" s="14">
        <v>45695</v>
      </c>
      <c r="E46" s="5" t="s">
        <v>1338</v>
      </c>
      <c r="F46" s="5"/>
      <c r="G46" s="6" t="s">
        <v>204</v>
      </c>
      <c r="H46" s="6" t="s">
        <v>68</v>
      </c>
      <c r="I46" s="6" t="s">
        <v>1390</v>
      </c>
      <c r="J46" s="6">
        <v>15364</v>
      </c>
      <c r="K46" s="7" t="s">
        <v>4920</v>
      </c>
      <c r="L46" s="8">
        <v>186782</v>
      </c>
      <c r="M46" s="8" t="str">
        <f>"USD"</f>
        <v>USD</v>
      </c>
      <c r="N46" s="13">
        <v>88.38</v>
      </c>
      <c r="O46" s="13"/>
      <c r="P46" s="3">
        <f t="shared" si="2"/>
        <v>0</v>
      </c>
      <c r="Q46" s="3">
        <f t="shared" si="3"/>
        <v>0</v>
      </c>
      <c r="R46" s="3">
        <f t="shared" si="4"/>
        <v>7321.5599999999995</v>
      </c>
      <c r="S46" s="24"/>
      <c r="T46" s="24" t="s">
        <v>1334</v>
      </c>
      <c r="U46" s="61"/>
      <c r="V46" s="3"/>
      <c r="W46" s="3"/>
      <c r="X46" s="3"/>
      <c r="Y46" s="3"/>
      <c r="Z46" s="3"/>
      <c r="AA46" s="3" t="str">
        <f>IF(BCP_Dolares[[#This Row],[fecha]]&gt;0,TEXT(BCP_Dolares[[#This Row],[fecha]],"mmmm"),0)</f>
        <v>Febrero</v>
      </c>
    </row>
    <row r="47" spans="1:27" ht="24" x14ac:dyDescent="0.3">
      <c r="A47" s="2" t="str">
        <f>IF(BCP_Dolares[[#This Row],[tipo_registro]]="R",COUNTIFS($C$1:$C46,"R")+1,"")</f>
        <v/>
      </c>
      <c r="B47" s="19" t="str">
        <f>"B-BCP - Dolares"</f>
        <v>B-BCP - Dolares</v>
      </c>
      <c r="C47" s="3" t="s">
        <v>1352</v>
      </c>
      <c r="D47" s="14">
        <v>45695</v>
      </c>
      <c r="E47" s="5" t="s">
        <v>1338</v>
      </c>
      <c r="F47" s="5"/>
      <c r="G47" s="6" t="s">
        <v>204</v>
      </c>
      <c r="H47" s="6" t="s">
        <v>68</v>
      </c>
      <c r="I47" s="6" t="s">
        <v>1390</v>
      </c>
      <c r="J47" s="6">
        <v>15365</v>
      </c>
      <c r="K47" s="7" t="s">
        <v>4920</v>
      </c>
      <c r="L47" s="8">
        <v>186782</v>
      </c>
      <c r="M47" s="8" t="str">
        <f>"USD"</f>
        <v>USD</v>
      </c>
      <c r="N47" s="13">
        <v>86.08</v>
      </c>
      <c r="O47" s="13"/>
      <c r="P47" s="3">
        <f t="shared" si="2"/>
        <v>0</v>
      </c>
      <c r="Q47" s="3">
        <f t="shared" si="3"/>
        <v>0</v>
      </c>
      <c r="R47" s="3">
        <f t="shared" si="4"/>
        <v>7321.5599999999995</v>
      </c>
      <c r="S47" s="24"/>
      <c r="T47" s="24" t="s">
        <v>1334</v>
      </c>
      <c r="U47" s="61"/>
      <c r="V47" s="3"/>
      <c r="W47" s="3"/>
      <c r="X47" s="3"/>
      <c r="Y47" s="3"/>
      <c r="Z47" s="3"/>
      <c r="AA47" s="3" t="str">
        <f>IF(BCP_Dolares[[#This Row],[fecha]]&gt;0,TEXT(BCP_Dolares[[#This Row],[fecha]],"mmmm"),0)</f>
        <v>Febrero</v>
      </c>
    </row>
    <row r="48" spans="1:27" ht="24" x14ac:dyDescent="0.3">
      <c r="A48" s="2" t="str">
        <f>IF(BCP_Dolares[[#This Row],[tipo_registro]]="R",COUNTIFS($C$1:$C47,"R")+1,"")</f>
        <v/>
      </c>
      <c r="B48" s="19" t="str">
        <f>"B-BCP - Dolares"</f>
        <v>B-BCP - Dolares</v>
      </c>
      <c r="C48" s="3" t="s">
        <v>1352</v>
      </c>
      <c r="D48" s="14">
        <v>45695</v>
      </c>
      <c r="E48" s="5" t="s">
        <v>1338</v>
      </c>
      <c r="F48" s="5"/>
      <c r="G48" s="6" t="s">
        <v>204</v>
      </c>
      <c r="H48" s="6" t="s">
        <v>68</v>
      </c>
      <c r="I48" s="6" t="s">
        <v>1390</v>
      </c>
      <c r="J48" s="6">
        <v>15375</v>
      </c>
      <c r="K48" s="7" t="s">
        <v>4920</v>
      </c>
      <c r="L48" s="8">
        <v>186782</v>
      </c>
      <c r="M48" s="8" t="str">
        <f>"USD"</f>
        <v>USD</v>
      </c>
      <c r="N48" s="13">
        <v>78.209999999999994</v>
      </c>
      <c r="O48" s="13"/>
      <c r="P48" s="3">
        <f t="shared" si="2"/>
        <v>0</v>
      </c>
      <c r="Q48" s="3">
        <f t="shared" si="3"/>
        <v>0</v>
      </c>
      <c r="R48" s="3">
        <f t="shared" si="4"/>
        <v>7321.5599999999995</v>
      </c>
      <c r="S48" s="24"/>
      <c r="T48" s="24" t="s">
        <v>1334</v>
      </c>
      <c r="U48" s="61"/>
      <c r="V48" s="3"/>
      <c r="W48" s="3"/>
      <c r="X48" s="3"/>
      <c r="Y48" s="3"/>
      <c r="Z48" s="3"/>
      <c r="AA48" s="3" t="str">
        <f>IF(BCP_Dolares[[#This Row],[fecha]]&gt;0,TEXT(BCP_Dolares[[#This Row],[fecha]],"mmmm"),0)</f>
        <v>Febrero</v>
      </c>
    </row>
    <row r="49" spans="1:27" ht="24" x14ac:dyDescent="0.3">
      <c r="A49" s="2" t="str">
        <f>IF(BCP_Dolares[[#This Row],[tipo_registro]]="R",COUNTIFS($C$1:$C48,"R")+1,"")</f>
        <v/>
      </c>
      <c r="B49" s="19" t="str">
        <f>"B-BCP - Dolares"</f>
        <v>B-BCP - Dolares</v>
      </c>
      <c r="C49" s="3" t="s">
        <v>1352</v>
      </c>
      <c r="D49" s="14">
        <v>45695</v>
      </c>
      <c r="E49" s="5" t="s">
        <v>1338</v>
      </c>
      <c r="F49" s="5"/>
      <c r="G49" s="6" t="s">
        <v>204</v>
      </c>
      <c r="H49" s="6" t="s">
        <v>68</v>
      </c>
      <c r="I49" s="6" t="s">
        <v>1390</v>
      </c>
      <c r="J49" s="6">
        <v>15385</v>
      </c>
      <c r="K49" s="7" t="s">
        <v>4920</v>
      </c>
      <c r="L49" s="8">
        <v>186782</v>
      </c>
      <c r="M49" s="8" t="str">
        <f>"USD"</f>
        <v>USD</v>
      </c>
      <c r="N49" s="13">
        <v>61.35</v>
      </c>
      <c r="O49" s="13"/>
      <c r="P49" s="3">
        <f t="shared" si="2"/>
        <v>0</v>
      </c>
      <c r="Q49" s="3">
        <f t="shared" si="3"/>
        <v>0</v>
      </c>
      <c r="R49" s="3">
        <f t="shared" si="4"/>
        <v>7321.5599999999995</v>
      </c>
      <c r="S49" s="24"/>
      <c r="T49" s="24" t="s">
        <v>1334</v>
      </c>
      <c r="U49" s="61"/>
      <c r="V49" s="3"/>
      <c r="W49" s="3"/>
      <c r="X49" s="3"/>
      <c r="Y49" s="3"/>
      <c r="Z49" s="3"/>
      <c r="AA49" s="3" t="str">
        <f>IF(BCP_Dolares[[#This Row],[fecha]]&gt;0,TEXT(BCP_Dolares[[#This Row],[fecha]],"mmmm"),0)</f>
        <v>Febrero</v>
      </c>
    </row>
    <row r="50" spans="1:27" x14ac:dyDescent="0.3">
      <c r="A50" s="2">
        <f>IF(BCP_Dolares[[#This Row],[tipo_registro]]="R",COUNTIFS($C$1:$C49,"R")+1,"")</f>
        <v>21</v>
      </c>
      <c r="B50" s="19" t="str">
        <f t="shared" si="0"/>
        <v>B-BCP - Dolares</v>
      </c>
      <c r="C50" s="3" t="s">
        <v>1330</v>
      </c>
      <c r="D50" s="14">
        <v>45700</v>
      </c>
      <c r="E50" s="5" t="s">
        <v>1338</v>
      </c>
      <c r="F50" s="5" t="s">
        <v>1336</v>
      </c>
      <c r="G50" s="6"/>
      <c r="H50" s="6"/>
      <c r="I50" s="6"/>
      <c r="J50" s="6"/>
      <c r="K50" s="7" t="s">
        <v>4922</v>
      </c>
      <c r="L50" s="8">
        <v>1435291</v>
      </c>
      <c r="M50" s="8" t="str">
        <f t="shared" si="1"/>
        <v>USD</v>
      </c>
      <c r="N50" s="13"/>
      <c r="O50" s="13">
        <v>563.41999999999996</v>
      </c>
      <c r="P50" s="3">
        <f t="shared" si="2"/>
        <v>0</v>
      </c>
      <c r="Q50" s="3">
        <f t="shared" si="3"/>
        <v>563.41999999999996</v>
      </c>
      <c r="R50" s="3">
        <f t="shared" si="4"/>
        <v>6758.1399999999994</v>
      </c>
      <c r="S50" s="24" t="s">
        <v>1334</v>
      </c>
      <c r="T50" s="24" t="s">
        <v>1334</v>
      </c>
      <c r="U50" s="61"/>
      <c r="V50" s="3" t="s">
        <v>4923</v>
      </c>
      <c r="W50" s="3"/>
      <c r="X50" s="3"/>
      <c r="Y50" s="3"/>
      <c r="Z50" s="3"/>
      <c r="AA50" s="3" t="str">
        <f>IF(BCP_Dolares[[#This Row],[fecha]]&gt;0,TEXT(BCP_Dolares[[#This Row],[fecha]],"mmmm"),0)</f>
        <v>Febrero</v>
      </c>
    </row>
    <row r="51" spans="1:27" ht="24" x14ac:dyDescent="0.3">
      <c r="A51" s="2" t="str">
        <f>IF(BCP_Dolares[[#This Row],[tipo_registro]]="R",COUNTIFS($C$1:$C50,"R")+1,"")</f>
        <v/>
      </c>
      <c r="B51" s="19" t="str">
        <f>"B-BCP - Dolares"</f>
        <v>B-BCP - Dolares</v>
      </c>
      <c r="C51" s="3" t="s">
        <v>1352</v>
      </c>
      <c r="D51" s="14">
        <v>45700</v>
      </c>
      <c r="E51" s="5" t="s">
        <v>1338</v>
      </c>
      <c r="F51" s="5"/>
      <c r="G51" s="6" t="s">
        <v>204</v>
      </c>
      <c r="H51" s="6" t="s">
        <v>68</v>
      </c>
      <c r="I51" s="6" t="s">
        <v>1390</v>
      </c>
      <c r="J51" s="6">
        <v>15401</v>
      </c>
      <c r="K51" s="7" t="s">
        <v>4922</v>
      </c>
      <c r="L51" s="8">
        <v>1435291</v>
      </c>
      <c r="M51" s="8" t="str">
        <f>"USD"</f>
        <v>USD</v>
      </c>
      <c r="N51" s="13">
        <v>39.119999999999997</v>
      </c>
      <c r="O51" s="13"/>
      <c r="P51" s="3">
        <f t="shared" si="2"/>
        <v>0</v>
      </c>
      <c r="Q51" s="3">
        <f t="shared" si="3"/>
        <v>0</v>
      </c>
      <c r="R51" s="3">
        <f t="shared" si="4"/>
        <v>6758.1399999999994</v>
      </c>
      <c r="S51" s="24"/>
      <c r="T51" s="24" t="s">
        <v>1334</v>
      </c>
      <c r="U51" s="61"/>
      <c r="V51" s="3"/>
      <c r="W51" s="3"/>
      <c r="X51" s="3"/>
      <c r="Y51" s="3"/>
      <c r="Z51" s="3"/>
      <c r="AA51" s="3" t="str">
        <f>IF(BCP_Dolares[[#This Row],[fecha]]&gt;0,TEXT(BCP_Dolares[[#This Row],[fecha]],"mmmm"),0)</f>
        <v>Febrero</v>
      </c>
    </row>
    <row r="52" spans="1:27" ht="24" x14ac:dyDescent="0.3">
      <c r="A52" s="2" t="str">
        <f>IF(BCP_Dolares[[#This Row],[tipo_registro]]="R",COUNTIFS($C$1:$C51,"R")+1,"")</f>
        <v/>
      </c>
      <c r="B52" s="19" t="str">
        <f>"B-BCP - Dolares"</f>
        <v>B-BCP - Dolares</v>
      </c>
      <c r="C52" s="3" t="s">
        <v>1352</v>
      </c>
      <c r="D52" s="14">
        <v>45700</v>
      </c>
      <c r="E52" s="5" t="s">
        <v>1338</v>
      </c>
      <c r="F52" s="5"/>
      <c r="G52" s="6" t="s">
        <v>204</v>
      </c>
      <c r="H52" s="6" t="s">
        <v>68</v>
      </c>
      <c r="I52" s="6" t="s">
        <v>1390</v>
      </c>
      <c r="J52" s="6">
        <v>15402</v>
      </c>
      <c r="K52" s="7" t="s">
        <v>4922</v>
      </c>
      <c r="L52" s="8">
        <v>1435291</v>
      </c>
      <c r="M52" s="8" t="str">
        <f>"USD"</f>
        <v>USD</v>
      </c>
      <c r="N52" s="13">
        <v>86.56</v>
      </c>
      <c r="O52" s="13"/>
      <c r="P52" s="3">
        <f t="shared" si="2"/>
        <v>0</v>
      </c>
      <c r="Q52" s="3">
        <f t="shared" si="3"/>
        <v>0</v>
      </c>
      <c r="R52" s="3">
        <f t="shared" si="4"/>
        <v>6758.1399999999994</v>
      </c>
      <c r="S52" s="24"/>
      <c r="T52" s="24" t="s">
        <v>1334</v>
      </c>
      <c r="U52" s="61"/>
      <c r="V52" s="3"/>
      <c r="W52" s="3"/>
      <c r="X52" s="3"/>
      <c r="Y52" s="3"/>
      <c r="Z52" s="3"/>
      <c r="AA52" s="3" t="str">
        <f>IF(BCP_Dolares[[#This Row],[fecha]]&gt;0,TEXT(BCP_Dolares[[#This Row],[fecha]],"mmmm"),0)</f>
        <v>Febrero</v>
      </c>
    </row>
    <row r="53" spans="1:27" ht="24" x14ac:dyDescent="0.3">
      <c r="A53" s="2" t="str">
        <f>IF(BCP_Dolares[[#This Row],[tipo_registro]]="R",COUNTIFS($C$1:$C52,"R")+1,"")</f>
        <v/>
      </c>
      <c r="B53" s="19" t="str">
        <f>"B-BCP - Dolares"</f>
        <v>B-BCP - Dolares</v>
      </c>
      <c r="C53" s="3" t="s">
        <v>1352</v>
      </c>
      <c r="D53" s="14">
        <v>45700</v>
      </c>
      <c r="E53" s="5" t="s">
        <v>1338</v>
      </c>
      <c r="F53" s="5"/>
      <c r="G53" s="6" t="s">
        <v>204</v>
      </c>
      <c r="H53" s="6" t="s">
        <v>68</v>
      </c>
      <c r="I53" s="6" t="s">
        <v>1390</v>
      </c>
      <c r="J53" s="6">
        <v>15406</v>
      </c>
      <c r="K53" s="7" t="s">
        <v>4922</v>
      </c>
      <c r="L53" s="8">
        <v>1435291</v>
      </c>
      <c r="M53" s="8" t="str">
        <f>"USD"</f>
        <v>USD</v>
      </c>
      <c r="N53" s="13">
        <v>126.39</v>
      </c>
      <c r="O53" s="13"/>
      <c r="P53" s="3">
        <f t="shared" si="2"/>
        <v>0</v>
      </c>
      <c r="Q53" s="3">
        <f t="shared" si="3"/>
        <v>0</v>
      </c>
      <c r="R53" s="3">
        <f t="shared" si="4"/>
        <v>6758.1399999999994</v>
      </c>
      <c r="S53" s="24"/>
      <c r="T53" s="24" t="s">
        <v>1334</v>
      </c>
      <c r="U53" s="61"/>
      <c r="V53" s="3"/>
      <c r="W53" s="3"/>
      <c r="X53" s="3"/>
      <c r="Y53" s="3"/>
      <c r="Z53" s="3"/>
      <c r="AA53" s="3" t="str">
        <f>IF(BCP_Dolares[[#This Row],[fecha]]&gt;0,TEXT(BCP_Dolares[[#This Row],[fecha]],"mmmm"),0)</f>
        <v>Febrero</v>
      </c>
    </row>
    <row r="54" spans="1:27" ht="24" x14ac:dyDescent="0.3">
      <c r="A54" s="2" t="str">
        <f>IF(BCP_Dolares[[#This Row],[tipo_registro]]="R",COUNTIFS($C$1:$C53,"R")+1,"")</f>
        <v/>
      </c>
      <c r="B54" s="19" t="str">
        <f>"B-BCP - Dolares"</f>
        <v>B-BCP - Dolares</v>
      </c>
      <c r="C54" s="3" t="s">
        <v>1352</v>
      </c>
      <c r="D54" s="14">
        <v>45700</v>
      </c>
      <c r="E54" s="5" t="s">
        <v>1338</v>
      </c>
      <c r="F54" s="5"/>
      <c r="G54" s="6" t="s">
        <v>204</v>
      </c>
      <c r="H54" s="6" t="s">
        <v>68</v>
      </c>
      <c r="I54" s="6" t="s">
        <v>1390</v>
      </c>
      <c r="J54" s="6">
        <v>15417</v>
      </c>
      <c r="K54" s="7" t="s">
        <v>4922</v>
      </c>
      <c r="L54" s="8">
        <v>1435291</v>
      </c>
      <c r="M54" s="8" t="str">
        <f>"USD"</f>
        <v>USD</v>
      </c>
      <c r="N54" s="13">
        <v>73.41</v>
      </c>
      <c r="O54" s="13"/>
      <c r="P54" s="3">
        <f t="shared" si="2"/>
        <v>0</v>
      </c>
      <c r="Q54" s="3">
        <f t="shared" si="3"/>
        <v>0</v>
      </c>
      <c r="R54" s="3">
        <f t="shared" si="4"/>
        <v>6758.1399999999994</v>
      </c>
      <c r="S54" s="24"/>
      <c r="T54" s="24" t="s">
        <v>1334</v>
      </c>
      <c r="U54" s="61"/>
      <c r="V54" s="3"/>
      <c r="W54" s="3"/>
      <c r="X54" s="3"/>
      <c r="Y54" s="3"/>
      <c r="Z54" s="3"/>
      <c r="AA54" s="3" t="str">
        <f>IF(BCP_Dolares[[#This Row],[fecha]]&gt;0,TEXT(BCP_Dolares[[#This Row],[fecha]],"mmmm"),0)</f>
        <v>Febrero</v>
      </c>
    </row>
    <row r="55" spans="1:27" ht="48" x14ac:dyDescent="0.3">
      <c r="A55" s="2" t="str">
        <f>IF(BCP_Dolares[[#This Row],[tipo_registro]]="R",COUNTIFS($C$1:$C54,"R")+1,"")</f>
        <v/>
      </c>
      <c r="B55" s="19" t="str">
        <f>"B-BCP - Dolares"</f>
        <v>B-BCP - Dolares</v>
      </c>
      <c r="C55" s="3" t="s">
        <v>1352</v>
      </c>
      <c r="D55" s="14">
        <v>45700</v>
      </c>
      <c r="E55" s="5" t="s">
        <v>1338</v>
      </c>
      <c r="F55" s="5"/>
      <c r="G55" s="6" t="s">
        <v>411</v>
      </c>
      <c r="H55" s="6" t="s">
        <v>68</v>
      </c>
      <c r="I55" s="6" t="s">
        <v>1374</v>
      </c>
      <c r="J55" s="6">
        <v>307</v>
      </c>
      <c r="K55" s="7" t="s">
        <v>4922</v>
      </c>
      <c r="L55" s="8">
        <v>1435291</v>
      </c>
      <c r="M55" s="8" t="str">
        <f>"USD"</f>
        <v>USD</v>
      </c>
      <c r="N55" s="13">
        <v>237.94</v>
      </c>
      <c r="O55" s="13"/>
      <c r="P55" s="3">
        <f t="shared" si="2"/>
        <v>0</v>
      </c>
      <c r="Q55" s="3">
        <f t="shared" si="3"/>
        <v>0</v>
      </c>
      <c r="R55" s="3">
        <f t="shared" si="4"/>
        <v>6758.1399999999994</v>
      </c>
      <c r="S55" s="24"/>
      <c r="T55" s="24" t="s">
        <v>1334</v>
      </c>
      <c r="U55" s="61"/>
      <c r="V55" s="3"/>
      <c r="W55" s="3"/>
      <c r="X55" s="3"/>
      <c r="Y55" s="3"/>
      <c r="Z55" s="3"/>
      <c r="AA55" s="3" t="str">
        <f>IF(BCP_Dolares[[#This Row],[fecha]]&gt;0,TEXT(BCP_Dolares[[#This Row],[fecha]],"mmmm"),0)</f>
        <v>Febrero</v>
      </c>
    </row>
    <row r="56" spans="1:27" ht="24" x14ac:dyDescent="0.3">
      <c r="A56" s="2">
        <f>IF(BCP_Dolares[[#This Row],[tipo_registro]]="R",COUNTIFS($C$1:$C55,"R")+1,"")</f>
        <v>22</v>
      </c>
      <c r="B56" s="19" t="str">
        <f t="shared" si="0"/>
        <v>B-BCP - Dolares</v>
      </c>
      <c r="C56" s="3" t="s">
        <v>1330</v>
      </c>
      <c r="D56" s="14">
        <v>45700</v>
      </c>
      <c r="E56" s="5" t="s">
        <v>1335</v>
      </c>
      <c r="F56" s="5" t="s">
        <v>1336</v>
      </c>
      <c r="G56" s="6" t="s">
        <v>1060</v>
      </c>
      <c r="H56" s="6" t="s">
        <v>68</v>
      </c>
      <c r="I56" s="6" t="s">
        <v>1397</v>
      </c>
      <c r="J56" s="6">
        <v>29358537</v>
      </c>
      <c r="K56" s="7" t="s">
        <v>4924</v>
      </c>
      <c r="L56" s="8">
        <v>1435297</v>
      </c>
      <c r="M56" s="8" t="str">
        <f t="shared" si="1"/>
        <v>USD</v>
      </c>
      <c r="N56" s="13"/>
      <c r="O56" s="13">
        <v>6.32</v>
      </c>
      <c r="P56" s="3">
        <f t="shared" si="2"/>
        <v>0</v>
      </c>
      <c r="Q56" s="3">
        <f t="shared" si="3"/>
        <v>6.32</v>
      </c>
      <c r="R56" s="3">
        <f t="shared" si="4"/>
        <v>6751.82</v>
      </c>
      <c r="S56" s="24"/>
      <c r="T56" s="24" t="s">
        <v>1334</v>
      </c>
      <c r="U56" s="61"/>
      <c r="V56" s="3" t="s">
        <v>1335</v>
      </c>
      <c r="W56" s="3"/>
      <c r="X56" s="3"/>
      <c r="Y56" s="3"/>
      <c r="Z56" s="3"/>
      <c r="AA56" s="3" t="str">
        <f>IF(BCP_Dolares[[#This Row],[fecha]]&gt;0,TEXT(BCP_Dolares[[#This Row],[fecha]],"mmmm"),0)</f>
        <v>Febrero</v>
      </c>
    </row>
    <row r="57" spans="1:27" ht="24" x14ac:dyDescent="0.3">
      <c r="A57" s="2">
        <f>IF(BCP_Dolares[[#This Row],[tipo_registro]]="R",COUNTIFS($C$1:$C56,"R")+1,"")</f>
        <v>23</v>
      </c>
      <c r="B57" s="19" t="str">
        <f t="shared" si="0"/>
        <v>B-BCP - Dolares</v>
      </c>
      <c r="C57" s="3" t="s">
        <v>1330</v>
      </c>
      <c r="D57" s="14">
        <v>45705</v>
      </c>
      <c r="E57" s="5" t="s">
        <v>4025</v>
      </c>
      <c r="F57" s="5" t="s">
        <v>1303</v>
      </c>
      <c r="G57" s="6" t="s">
        <v>425</v>
      </c>
      <c r="H57" s="6"/>
      <c r="I57" s="6"/>
      <c r="J57" s="6"/>
      <c r="K57" s="7" t="s">
        <v>4026</v>
      </c>
      <c r="L57" s="8">
        <v>2038732</v>
      </c>
      <c r="M57" s="8" t="str">
        <f t="shared" si="1"/>
        <v>USD</v>
      </c>
      <c r="N57" s="13"/>
      <c r="O57" s="13">
        <v>631.41999999999996</v>
      </c>
      <c r="P57" s="3">
        <f t="shared" si="2"/>
        <v>631.41999999999996</v>
      </c>
      <c r="Q57" s="3">
        <f t="shared" si="3"/>
        <v>0</v>
      </c>
      <c r="R57" s="3">
        <f t="shared" si="4"/>
        <v>7383.24</v>
      </c>
      <c r="S57" s="24" t="s">
        <v>1334</v>
      </c>
      <c r="T57" s="24"/>
      <c r="U57" s="61"/>
      <c r="V57" s="3" t="s">
        <v>425</v>
      </c>
      <c r="W57" s="3" t="s">
        <v>4919</v>
      </c>
      <c r="X57" s="3"/>
      <c r="Y57" s="3"/>
      <c r="Z57" s="3"/>
      <c r="AA57" s="3" t="str">
        <f>IF(BCP_Dolares[[#This Row],[fecha]]&gt;0,TEXT(BCP_Dolares[[#This Row],[fecha]],"mmmm"),0)</f>
        <v>Febrero</v>
      </c>
    </row>
    <row r="58" spans="1:27" ht="24" x14ac:dyDescent="0.3">
      <c r="A58" s="2">
        <f>IF(BCP_Dolares[[#This Row],[tipo_registro]]="R",COUNTIFS($C$1:$C57,"R")+1,"")</f>
        <v>24</v>
      </c>
      <c r="B58" s="19" t="str">
        <f t="shared" si="0"/>
        <v>B-BCP - Dolares</v>
      </c>
      <c r="C58" s="3" t="s">
        <v>1330</v>
      </c>
      <c r="D58" s="14">
        <v>45707</v>
      </c>
      <c r="E58" s="5" t="s">
        <v>1338</v>
      </c>
      <c r="F58" s="5" t="s">
        <v>1336</v>
      </c>
      <c r="G58" s="6" t="s">
        <v>778</v>
      </c>
      <c r="H58" s="6"/>
      <c r="I58" s="6"/>
      <c r="J58" s="6"/>
      <c r="K58" s="7" t="s">
        <v>4925</v>
      </c>
      <c r="L58" s="8">
        <v>6284</v>
      </c>
      <c r="M58" s="8" t="str">
        <f t="shared" si="1"/>
        <v>USD</v>
      </c>
      <c r="N58" s="13"/>
      <c r="O58" s="13">
        <v>1012.03</v>
      </c>
      <c r="P58" s="3">
        <f t="shared" si="2"/>
        <v>0</v>
      </c>
      <c r="Q58" s="3">
        <f t="shared" si="3"/>
        <v>1012.03</v>
      </c>
      <c r="R58" s="3">
        <f t="shared" si="4"/>
        <v>6371.21</v>
      </c>
      <c r="S58" s="24" t="s">
        <v>1334</v>
      </c>
      <c r="T58" s="24"/>
      <c r="U58" s="61"/>
      <c r="V58" s="3" t="s">
        <v>4905</v>
      </c>
      <c r="W58" s="3" t="s">
        <v>4926</v>
      </c>
      <c r="X58" s="3"/>
      <c r="Y58" s="3"/>
      <c r="Z58" s="3"/>
      <c r="AA58" s="3" t="str">
        <f>IF(BCP_Dolares[[#This Row],[fecha]]&gt;0,TEXT(BCP_Dolares[[#This Row],[fecha]],"mmmm"),0)</f>
        <v>Febrero</v>
      </c>
    </row>
    <row r="59" spans="1:27" ht="24" x14ac:dyDescent="0.3">
      <c r="A59" s="2" t="str">
        <f>IF(BCP_Dolares[[#This Row],[tipo_registro]]="R",COUNTIFS($C$1:$C58,"R")+1,"")</f>
        <v/>
      </c>
      <c r="B59" s="19" t="str">
        <f>"B-BCP - Dolares"</f>
        <v>B-BCP - Dolares</v>
      </c>
      <c r="C59" s="3" t="s">
        <v>1352</v>
      </c>
      <c r="D59" s="14">
        <v>45707</v>
      </c>
      <c r="E59" s="5" t="s">
        <v>1338</v>
      </c>
      <c r="F59" s="5"/>
      <c r="G59" s="6" t="s">
        <v>778</v>
      </c>
      <c r="H59" s="6" t="s">
        <v>68</v>
      </c>
      <c r="I59" s="6" t="s">
        <v>3078</v>
      </c>
      <c r="J59" s="6">
        <v>144858</v>
      </c>
      <c r="K59" s="7" t="s">
        <v>4925</v>
      </c>
      <c r="L59" s="8">
        <v>6284</v>
      </c>
      <c r="M59" s="8" t="str">
        <f>"USD"</f>
        <v>USD</v>
      </c>
      <c r="N59" s="13">
        <v>1010.25</v>
      </c>
      <c r="O59" s="13"/>
      <c r="P59" s="3">
        <f t="shared" si="2"/>
        <v>0</v>
      </c>
      <c r="Q59" s="3">
        <f t="shared" si="3"/>
        <v>0</v>
      </c>
      <c r="R59" s="3">
        <f t="shared" si="4"/>
        <v>6371.21</v>
      </c>
      <c r="S59" s="24" t="s">
        <v>1334</v>
      </c>
      <c r="T59" s="24"/>
      <c r="U59" s="61"/>
      <c r="V59" s="3"/>
      <c r="W59" s="3"/>
      <c r="X59" s="3"/>
      <c r="Y59" s="3"/>
      <c r="Z59" s="3"/>
      <c r="AA59" s="3" t="str">
        <f>IF(BCP_Dolares[[#This Row],[fecha]]&gt;0,TEXT(BCP_Dolares[[#This Row],[fecha]],"mmmm"),0)</f>
        <v>Febrero</v>
      </c>
    </row>
    <row r="60" spans="1:27" ht="24" x14ac:dyDescent="0.3">
      <c r="A60" s="2" t="str">
        <f>IF(BCP_Dolares[[#This Row],[tipo_registro]]="R",COUNTIFS($C$1:$C59,"R")+1,"")</f>
        <v/>
      </c>
      <c r="B60" s="19" t="str">
        <f>"B-BCP - Dolares"</f>
        <v>B-BCP - Dolares</v>
      </c>
      <c r="C60" s="3" t="s">
        <v>1352</v>
      </c>
      <c r="D60" s="14">
        <v>45707</v>
      </c>
      <c r="E60" s="5" t="s">
        <v>1338</v>
      </c>
      <c r="F60" s="5"/>
      <c r="G60" s="6" t="s">
        <v>778</v>
      </c>
      <c r="H60" s="6" t="s">
        <v>68</v>
      </c>
      <c r="I60" s="6" t="s">
        <v>3078</v>
      </c>
      <c r="J60" s="6">
        <v>144859</v>
      </c>
      <c r="K60" s="7" t="s">
        <v>4925</v>
      </c>
      <c r="L60" s="8">
        <v>6284</v>
      </c>
      <c r="M60" s="8" t="str">
        <f>"USD"</f>
        <v>USD</v>
      </c>
      <c r="N60" s="13">
        <v>1.78</v>
      </c>
      <c r="O60" s="13"/>
      <c r="P60" s="3">
        <f t="shared" si="2"/>
        <v>0</v>
      </c>
      <c r="Q60" s="3">
        <f t="shared" si="3"/>
        <v>0</v>
      </c>
      <c r="R60" s="3">
        <f t="shared" si="4"/>
        <v>6371.21</v>
      </c>
      <c r="S60" s="24" t="s">
        <v>1334</v>
      </c>
      <c r="T60" s="24"/>
      <c r="U60" s="61"/>
      <c r="V60" s="3"/>
      <c r="W60" s="3"/>
      <c r="X60" s="3"/>
      <c r="Y60" s="3"/>
      <c r="Z60" s="3"/>
      <c r="AA60" s="3" t="str">
        <f>IF(BCP_Dolares[[#This Row],[fecha]]&gt;0,TEXT(BCP_Dolares[[#This Row],[fecha]],"mmmm"),0)</f>
        <v>Febrero</v>
      </c>
    </row>
    <row r="61" spans="1:27" ht="72" x14ac:dyDescent="0.3">
      <c r="A61" s="2">
        <f>IF(BCP_Dolares[[#This Row],[tipo_registro]]="R",COUNTIFS($C$1:$C60,"R")+1,"")</f>
        <v>25</v>
      </c>
      <c r="B61" s="19" t="str">
        <f t="shared" si="0"/>
        <v>B-BCP - Dolares</v>
      </c>
      <c r="C61" s="3" t="s">
        <v>1330</v>
      </c>
      <c r="D61" s="14">
        <v>45713</v>
      </c>
      <c r="E61" s="5" t="s">
        <v>1338</v>
      </c>
      <c r="F61" s="5" t="s">
        <v>1336</v>
      </c>
      <c r="G61" s="6"/>
      <c r="H61" s="6"/>
      <c r="I61" s="6"/>
      <c r="J61" s="6"/>
      <c r="K61" s="7" t="s">
        <v>4927</v>
      </c>
      <c r="L61" s="8">
        <v>5828043</v>
      </c>
      <c r="M61" s="8" t="str">
        <f t="shared" si="1"/>
        <v>USD</v>
      </c>
      <c r="N61" s="13"/>
      <c r="O61" s="13">
        <v>424.45</v>
      </c>
      <c r="P61" s="3">
        <f t="shared" si="2"/>
        <v>0</v>
      </c>
      <c r="Q61" s="3">
        <f t="shared" si="3"/>
        <v>424.45</v>
      </c>
      <c r="R61" s="3">
        <f t="shared" si="4"/>
        <v>5946.76</v>
      </c>
      <c r="S61" s="24" t="s">
        <v>1334</v>
      </c>
      <c r="T61" s="24" t="s">
        <v>1334</v>
      </c>
      <c r="U61" s="61"/>
      <c r="V61" s="3" t="s">
        <v>204</v>
      </c>
      <c r="W61" s="3" t="s">
        <v>4928</v>
      </c>
      <c r="X61" s="3"/>
      <c r="Y61" s="3"/>
      <c r="Z61" s="3"/>
      <c r="AA61" s="3" t="str">
        <f>IF(BCP_Dolares[[#This Row],[fecha]]&gt;0,TEXT(BCP_Dolares[[#This Row],[fecha]],"mmmm"),0)</f>
        <v>Febrero</v>
      </c>
    </row>
    <row r="62" spans="1:27" ht="24" x14ac:dyDescent="0.3">
      <c r="A62" s="2" t="str">
        <f>IF(BCP_Dolares[[#This Row],[tipo_registro]]="R",COUNTIFS($C$1:$C61,"R")+1,"")</f>
        <v/>
      </c>
      <c r="B62" s="19" t="str">
        <f t="shared" ref="B62:B67" si="7">"B-BCP - Dolares"</f>
        <v>B-BCP - Dolares</v>
      </c>
      <c r="C62" s="3" t="s">
        <v>1352</v>
      </c>
      <c r="D62" s="14">
        <v>45713</v>
      </c>
      <c r="E62" s="5" t="s">
        <v>1338</v>
      </c>
      <c r="F62" s="5"/>
      <c r="G62" s="6" t="s">
        <v>204</v>
      </c>
      <c r="H62" s="6" t="s">
        <v>68</v>
      </c>
      <c r="I62" s="6" t="s">
        <v>1390</v>
      </c>
      <c r="J62" s="6">
        <v>15425</v>
      </c>
      <c r="K62" s="7" t="s">
        <v>4927</v>
      </c>
      <c r="L62" s="8">
        <v>5828043</v>
      </c>
      <c r="M62" s="8" t="str">
        <f t="shared" ref="M62:M67" si="8">"USD"</f>
        <v>USD</v>
      </c>
      <c r="N62" s="13">
        <v>48.86</v>
      </c>
      <c r="O62" s="13"/>
      <c r="P62" s="3">
        <f t="shared" si="2"/>
        <v>0</v>
      </c>
      <c r="Q62" s="3">
        <f t="shared" si="3"/>
        <v>0</v>
      </c>
      <c r="R62" s="3">
        <f t="shared" si="4"/>
        <v>5946.76</v>
      </c>
      <c r="S62" s="24"/>
      <c r="T62" s="24" t="s">
        <v>1334</v>
      </c>
      <c r="U62" s="61"/>
      <c r="V62" s="3"/>
      <c r="W62" s="3"/>
      <c r="X62" s="3"/>
      <c r="Y62" s="3"/>
      <c r="Z62" s="3"/>
      <c r="AA62" s="3" t="str">
        <f>IF(BCP_Dolares[[#This Row],[fecha]]&gt;0,TEXT(BCP_Dolares[[#This Row],[fecha]],"mmmm"),0)</f>
        <v>Febrero</v>
      </c>
    </row>
    <row r="63" spans="1:27" ht="24" x14ac:dyDescent="0.3">
      <c r="A63" s="2" t="str">
        <f>IF(BCP_Dolares[[#This Row],[tipo_registro]]="R",COUNTIFS($C$1:$C62,"R")+1,"")</f>
        <v/>
      </c>
      <c r="B63" s="19" t="str">
        <f t="shared" si="7"/>
        <v>B-BCP - Dolares</v>
      </c>
      <c r="C63" s="3" t="s">
        <v>1352</v>
      </c>
      <c r="D63" s="14">
        <v>45713</v>
      </c>
      <c r="E63" s="5" t="s">
        <v>1338</v>
      </c>
      <c r="F63" s="5"/>
      <c r="G63" s="6" t="s">
        <v>204</v>
      </c>
      <c r="H63" s="6" t="s">
        <v>68</v>
      </c>
      <c r="I63" s="6" t="s">
        <v>1390</v>
      </c>
      <c r="J63" s="6">
        <v>15441</v>
      </c>
      <c r="K63" s="7" t="s">
        <v>4927</v>
      </c>
      <c r="L63" s="8">
        <v>5828043</v>
      </c>
      <c r="M63" s="8" t="str">
        <f t="shared" si="8"/>
        <v>USD</v>
      </c>
      <c r="N63" s="13">
        <v>64.3</v>
      </c>
      <c r="O63" s="13"/>
      <c r="P63" s="3">
        <f t="shared" si="2"/>
        <v>0</v>
      </c>
      <c r="Q63" s="3">
        <f t="shared" si="3"/>
        <v>0</v>
      </c>
      <c r="R63" s="3">
        <f t="shared" si="4"/>
        <v>5946.76</v>
      </c>
      <c r="S63" s="24"/>
      <c r="T63" s="24" t="s">
        <v>1334</v>
      </c>
      <c r="U63" s="61"/>
      <c r="V63" s="3"/>
      <c r="W63" s="3"/>
      <c r="X63" s="3"/>
      <c r="Y63" s="3"/>
      <c r="Z63" s="3"/>
      <c r="AA63" s="3" t="str">
        <f>IF(BCP_Dolares[[#This Row],[fecha]]&gt;0,TEXT(BCP_Dolares[[#This Row],[fecha]],"mmmm"),0)</f>
        <v>Febrero</v>
      </c>
    </row>
    <row r="64" spans="1:27" ht="24" x14ac:dyDescent="0.3">
      <c r="A64" s="2" t="str">
        <f>IF(BCP_Dolares[[#This Row],[tipo_registro]]="R",COUNTIFS($C$1:$C63,"R")+1,"")</f>
        <v/>
      </c>
      <c r="B64" s="19" t="str">
        <f t="shared" si="7"/>
        <v>B-BCP - Dolares</v>
      </c>
      <c r="C64" s="3" t="s">
        <v>1352</v>
      </c>
      <c r="D64" s="14">
        <v>45713</v>
      </c>
      <c r="E64" s="5" t="s">
        <v>1338</v>
      </c>
      <c r="F64" s="5"/>
      <c r="G64" s="6" t="s">
        <v>204</v>
      </c>
      <c r="H64" s="6" t="s">
        <v>68</v>
      </c>
      <c r="I64" s="6" t="s">
        <v>1390</v>
      </c>
      <c r="J64" s="6">
        <v>15477</v>
      </c>
      <c r="K64" s="7" t="s">
        <v>4927</v>
      </c>
      <c r="L64" s="8">
        <v>5828043</v>
      </c>
      <c r="M64" s="8" t="str">
        <f t="shared" si="8"/>
        <v>USD</v>
      </c>
      <c r="N64" s="13">
        <v>79.47</v>
      </c>
      <c r="O64" s="13"/>
      <c r="P64" s="3">
        <f t="shared" si="2"/>
        <v>0</v>
      </c>
      <c r="Q64" s="3">
        <f t="shared" si="3"/>
        <v>0</v>
      </c>
      <c r="R64" s="3">
        <f t="shared" si="4"/>
        <v>5946.76</v>
      </c>
      <c r="S64" s="24"/>
      <c r="T64" s="24" t="s">
        <v>1334</v>
      </c>
      <c r="U64" s="61"/>
      <c r="V64" s="3"/>
      <c r="W64" s="3"/>
      <c r="X64" s="3"/>
      <c r="Y64" s="3"/>
      <c r="Z64" s="3"/>
      <c r="AA64" s="3" t="str">
        <f>IF(BCP_Dolares[[#This Row],[fecha]]&gt;0,TEXT(BCP_Dolares[[#This Row],[fecha]],"mmmm"),0)</f>
        <v>Febrero</v>
      </c>
    </row>
    <row r="65" spans="1:27" ht="24" x14ac:dyDescent="0.3">
      <c r="A65" s="2" t="str">
        <f>IF(BCP_Dolares[[#This Row],[tipo_registro]]="R",COUNTIFS($C$1:$C64,"R")+1,"")</f>
        <v/>
      </c>
      <c r="B65" s="19" t="str">
        <f t="shared" si="7"/>
        <v>B-BCP - Dolares</v>
      </c>
      <c r="C65" s="3" t="s">
        <v>1352</v>
      </c>
      <c r="D65" s="14">
        <v>45713</v>
      </c>
      <c r="E65" s="5" t="s">
        <v>1338</v>
      </c>
      <c r="F65" s="5"/>
      <c r="G65" s="6" t="s">
        <v>204</v>
      </c>
      <c r="H65" s="6" t="s">
        <v>68</v>
      </c>
      <c r="I65" s="6" t="s">
        <v>1390</v>
      </c>
      <c r="J65" s="51">
        <v>15468</v>
      </c>
      <c r="K65" s="7" t="s">
        <v>4927</v>
      </c>
      <c r="L65" s="8">
        <v>5828043</v>
      </c>
      <c r="M65" s="8" t="str">
        <f t="shared" si="8"/>
        <v>USD</v>
      </c>
      <c r="N65" s="13">
        <v>92.18</v>
      </c>
      <c r="O65" s="13"/>
      <c r="P65" s="3">
        <f t="shared" si="2"/>
        <v>0</v>
      </c>
      <c r="Q65" s="3">
        <f t="shared" si="3"/>
        <v>0</v>
      </c>
      <c r="R65" s="3">
        <f t="shared" si="4"/>
        <v>5946.76</v>
      </c>
      <c r="S65" s="24"/>
      <c r="T65" s="24" t="s">
        <v>1334</v>
      </c>
      <c r="U65" s="61"/>
      <c r="V65" s="3"/>
      <c r="W65" s="3"/>
      <c r="X65" s="3"/>
      <c r="Y65" s="3"/>
      <c r="Z65" s="3"/>
      <c r="AA65" s="3" t="str">
        <f>IF(BCP_Dolares[[#This Row],[fecha]]&gt;0,TEXT(BCP_Dolares[[#This Row],[fecha]],"mmmm"),0)</f>
        <v>Febrero</v>
      </c>
    </row>
    <row r="66" spans="1:27" ht="24" x14ac:dyDescent="0.3">
      <c r="A66" s="2" t="str">
        <f>IF(BCP_Dolares[[#This Row],[tipo_registro]]="R",COUNTIFS($C$1:$C65,"R")+1,"")</f>
        <v/>
      </c>
      <c r="B66" s="19" t="str">
        <f t="shared" si="7"/>
        <v>B-BCP - Dolares</v>
      </c>
      <c r="C66" s="3" t="s">
        <v>1352</v>
      </c>
      <c r="D66" s="14">
        <v>45713</v>
      </c>
      <c r="E66" s="5" t="s">
        <v>1338</v>
      </c>
      <c r="F66" s="5"/>
      <c r="G66" s="6" t="s">
        <v>204</v>
      </c>
      <c r="H66" s="6" t="s">
        <v>68</v>
      </c>
      <c r="I66" s="6" t="s">
        <v>1390</v>
      </c>
      <c r="J66" s="6">
        <v>15489</v>
      </c>
      <c r="K66" s="7" t="s">
        <v>4927</v>
      </c>
      <c r="L66" s="8">
        <v>5828043</v>
      </c>
      <c r="M66" s="8" t="str">
        <f t="shared" si="8"/>
        <v>USD</v>
      </c>
      <c r="N66" s="13">
        <v>64.97</v>
      </c>
      <c r="O66" s="13"/>
      <c r="P66" s="3">
        <f t="shared" si="2"/>
        <v>0</v>
      </c>
      <c r="Q66" s="3">
        <f t="shared" si="3"/>
        <v>0</v>
      </c>
      <c r="R66" s="3">
        <f t="shared" ref="R66:R129" si="9">IFERROR(IF(F66="SALDO",P66,R65+P66-Q66),0)</f>
        <v>5946.76</v>
      </c>
      <c r="S66" s="24"/>
      <c r="T66" s="24" t="s">
        <v>1334</v>
      </c>
      <c r="U66" s="61"/>
      <c r="V66" s="3"/>
      <c r="W66" s="3"/>
      <c r="X66" s="3"/>
      <c r="Y66" s="3"/>
      <c r="Z66" s="3"/>
      <c r="AA66" s="3" t="str">
        <f>IF(BCP_Dolares[[#This Row],[fecha]]&gt;0,TEXT(BCP_Dolares[[#This Row],[fecha]],"mmmm"),0)</f>
        <v>Febrero</v>
      </c>
    </row>
    <row r="67" spans="1:27" ht="24" x14ac:dyDescent="0.3">
      <c r="A67" s="2" t="str">
        <f>IF(BCP_Dolares[[#This Row],[tipo_registro]]="R",COUNTIFS($C$1:$C66,"R")+1,"")</f>
        <v/>
      </c>
      <c r="B67" s="19" t="str">
        <f t="shared" si="7"/>
        <v>B-BCP - Dolares</v>
      </c>
      <c r="C67" s="3" t="s">
        <v>1352</v>
      </c>
      <c r="D67" s="14">
        <v>45713</v>
      </c>
      <c r="E67" s="5" t="s">
        <v>1338</v>
      </c>
      <c r="F67" s="5"/>
      <c r="G67" s="6" t="s">
        <v>204</v>
      </c>
      <c r="H67" s="6" t="s">
        <v>68</v>
      </c>
      <c r="I67" s="6" t="s">
        <v>1390</v>
      </c>
      <c r="J67" s="6">
        <v>15457</v>
      </c>
      <c r="K67" s="7" t="s">
        <v>4927</v>
      </c>
      <c r="L67" s="8">
        <v>5828043</v>
      </c>
      <c r="M67" s="8" t="str">
        <f t="shared" si="8"/>
        <v>USD</v>
      </c>
      <c r="N67" s="13">
        <v>74.67</v>
      </c>
      <c r="O67" s="13"/>
      <c r="P67" s="3">
        <f t="shared" si="2"/>
        <v>0</v>
      </c>
      <c r="Q67" s="3">
        <f t="shared" si="3"/>
        <v>0</v>
      </c>
      <c r="R67" s="3">
        <f t="shared" si="9"/>
        <v>5946.76</v>
      </c>
      <c r="S67" s="24"/>
      <c r="T67" s="24" t="s">
        <v>1334</v>
      </c>
      <c r="U67" s="61"/>
      <c r="V67" s="3"/>
      <c r="W67" s="3"/>
      <c r="X67" s="3"/>
      <c r="Y67" s="3"/>
      <c r="Z67" s="3"/>
      <c r="AA67" s="3" t="str">
        <f>IF(BCP_Dolares[[#This Row],[fecha]]&gt;0,TEXT(BCP_Dolares[[#This Row],[fecha]],"mmmm"),0)</f>
        <v>Febrero</v>
      </c>
    </row>
    <row r="68" spans="1:27" ht="24" x14ac:dyDescent="0.3">
      <c r="A68" s="2">
        <f>IF(BCP_Dolares[[#This Row],[tipo_registro]]="R",COUNTIFS($C$1:$C67,"R")+1,"")</f>
        <v>26</v>
      </c>
      <c r="B68" s="19" t="str">
        <f t="shared" si="0"/>
        <v>B-BCP - Dolares</v>
      </c>
      <c r="C68" s="3" t="s">
        <v>1330</v>
      </c>
      <c r="D68" s="14">
        <v>45713</v>
      </c>
      <c r="E68" s="5" t="s">
        <v>1511</v>
      </c>
      <c r="F68" s="5" t="s">
        <v>1336</v>
      </c>
      <c r="G68" s="6" t="s">
        <v>774</v>
      </c>
      <c r="H68" s="6" t="s">
        <v>68</v>
      </c>
      <c r="I68" s="6" t="s">
        <v>1376</v>
      </c>
      <c r="J68" s="6">
        <v>765</v>
      </c>
      <c r="K68" s="7" t="s">
        <v>4929</v>
      </c>
      <c r="L68" s="8">
        <v>1028227</v>
      </c>
      <c r="M68" s="8" t="str">
        <f t="shared" si="1"/>
        <v>USD</v>
      </c>
      <c r="N68" s="13"/>
      <c r="O68" s="13">
        <v>145</v>
      </c>
      <c r="P68" s="3">
        <f t="shared" ref="P68:P131" si="10">+IF(OR($F68="SALDO",$F68="INGRESO"),$O68,0)</f>
        <v>0</v>
      </c>
      <c r="Q68" s="3">
        <f t="shared" ref="Q68:Q131" si="11">+IF($F68="EGRESO",$O68,0)</f>
        <v>145</v>
      </c>
      <c r="R68" s="3">
        <f t="shared" si="9"/>
        <v>5801.76</v>
      </c>
      <c r="S68" s="24" t="s">
        <v>1334</v>
      </c>
      <c r="T68" s="24" t="s">
        <v>1334</v>
      </c>
      <c r="U68" s="61"/>
      <c r="V68" s="3" t="s">
        <v>774</v>
      </c>
      <c r="W68" s="3" t="s">
        <v>4930</v>
      </c>
      <c r="X68" s="3"/>
      <c r="Y68" s="3"/>
      <c r="Z68" s="3"/>
      <c r="AA68" s="3" t="str">
        <f>IF(BCP_Dolares[[#This Row],[fecha]]&gt;0,TEXT(BCP_Dolares[[#This Row],[fecha]],"mmmm"),0)</f>
        <v>Febrero</v>
      </c>
    </row>
    <row r="69" spans="1:27" ht="36" x14ac:dyDescent="0.3">
      <c r="A69" s="2">
        <f>IF(BCP_Dolares[[#This Row],[tipo_registro]]="R",COUNTIFS($C$1:$C68,"R")+1,"")</f>
        <v>27</v>
      </c>
      <c r="B69" s="19" t="str">
        <f t="shared" si="0"/>
        <v>B-BCP - Dolares</v>
      </c>
      <c r="C69" s="3" t="s">
        <v>1330</v>
      </c>
      <c r="D69" s="14">
        <v>45714</v>
      </c>
      <c r="E69" s="5" t="s">
        <v>1338</v>
      </c>
      <c r="F69" s="5" t="s">
        <v>1336</v>
      </c>
      <c r="G69" s="6" t="s">
        <v>702</v>
      </c>
      <c r="H69" s="6" t="s">
        <v>68</v>
      </c>
      <c r="I69" s="6" t="s">
        <v>1463</v>
      </c>
      <c r="J69" s="6">
        <v>430463</v>
      </c>
      <c r="K69" s="7" t="s">
        <v>4912</v>
      </c>
      <c r="L69" s="8">
        <v>204133</v>
      </c>
      <c r="M69" s="8" t="str">
        <f t="shared" si="1"/>
        <v>USD</v>
      </c>
      <c r="N69" s="13"/>
      <c r="O69" s="13">
        <v>215.22</v>
      </c>
      <c r="P69" s="3">
        <f t="shared" si="10"/>
        <v>0</v>
      </c>
      <c r="Q69" s="3">
        <f t="shared" si="11"/>
        <v>215.22</v>
      </c>
      <c r="R69" s="3">
        <f t="shared" si="9"/>
        <v>5586.54</v>
      </c>
      <c r="S69" s="24"/>
      <c r="T69" s="24" t="s">
        <v>1334</v>
      </c>
      <c r="U69" s="61"/>
      <c r="V69" s="3" t="s">
        <v>4913</v>
      </c>
      <c r="W69" s="3" t="s">
        <v>4931</v>
      </c>
      <c r="X69" s="3"/>
      <c r="Y69" s="3"/>
      <c r="Z69" s="3"/>
      <c r="AA69" s="3" t="str">
        <f>IF(BCP_Dolares[[#This Row],[fecha]]&gt;0,TEXT(BCP_Dolares[[#This Row],[fecha]],"mmmm"),0)</f>
        <v>Febrero</v>
      </c>
    </row>
    <row r="70" spans="1:27" ht="24" x14ac:dyDescent="0.3">
      <c r="A70" s="2">
        <f>IF(BCP_Dolares[[#This Row],[tipo_registro]]="R",COUNTIFS($C$1:$C69,"R")+1,"")</f>
        <v>28</v>
      </c>
      <c r="B70" s="19" t="str">
        <f t="shared" si="0"/>
        <v>B-BCP - Dolares</v>
      </c>
      <c r="C70" s="3" t="s">
        <v>1330</v>
      </c>
      <c r="D70" s="14">
        <v>45714</v>
      </c>
      <c r="E70" s="5" t="s">
        <v>1335</v>
      </c>
      <c r="F70" s="5" t="s">
        <v>1336</v>
      </c>
      <c r="G70" s="6" t="s">
        <v>1060</v>
      </c>
      <c r="H70" s="6" t="s">
        <v>68</v>
      </c>
      <c r="I70" s="6" t="s">
        <v>1343</v>
      </c>
      <c r="J70" s="6">
        <v>2187017</v>
      </c>
      <c r="K70" s="7" t="s">
        <v>4932</v>
      </c>
      <c r="L70" s="8">
        <v>350</v>
      </c>
      <c r="M70" s="8" t="str">
        <f t="shared" si="1"/>
        <v>USD</v>
      </c>
      <c r="N70" s="13"/>
      <c r="O70" s="13">
        <v>12</v>
      </c>
      <c r="P70" s="3">
        <f t="shared" si="10"/>
        <v>0</v>
      </c>
      <c r="Q70" s="3">
        <f t="shared" si="11"/>
        <v>12</v>
      </c>
      <c r="R70" s="3">
        <f t="shared" si="9"/>
        <v>5574.54</v>
      </c>
      <c r="S70" s="24" t="s">
        <v>1334</v>
      </c>
      <c r="T70" s="24" t="s">
        <v>1334</v>
      </c>
      <c r="U70" s="61"/>
      <c r="V70" s="3" t="s">
        <v>1335</v>
      </c>
      <c r="W70" s="3"/>
      <c r="X70" s="3"/>
      <c r="Y70" s="3"/>
      <c r="Z70" s="3"/>
      <c r="AA70" s="3" t="str">
        <f>IF(BCP_Dolares[[#This Row],[fecha]]&gt;0,TEXT(BCP_Dolares[[#This Row],[fecha]],"mmmm"),0)</f>
        <v>Febrero</v>
      </c>
    </row>
    <row r="71" spans="1:27" x14ac:dyDescent="0.3">
      <c r="A71" s="2">
        <f>IF(BCP_Dolares[[#This Row],[tipo_registro]]="R",COUNTIFS($C$1:$C70,"R")+1,"")</f>
        <v>29</v>
      </c>
      <c r="B71" s="19" t="str">
        <f t="shared" si="0"/>
        <v>B-BCP - Dolares</v>
      </c>
      <c r="C71" s="3" t="s">
        <v>1330</v>
      </c>
      <c r="D71" s="14">
        <v>45715</v>
      </c>
      <c r="E71" s="5" t="s">
        <v>1335</v>
      </c>
      <c r="F71" s="5" t="s">
        <v>1336</v>
      </c>
      <c r="G71" s="6" t="s">
        <v>1009</v>
      </c>
      <c r="H71" s="6"/>
      <c r="I71" s="6"/>
      <c r="J71" s="6"/>
      <c r="K71" s="7" t="s">
        <v>1337</v>
      </c>
      <c r="L71" s="8"/>
      <c r="M71" s="8" t="str">
        <f t="shared" si="1"/>
        <v>USD</v>
      </c>
      <c r="N71" s="13"/>
      <c r="O71" s="13">
        <v>0.6</v>
      </c>
      <c r="P71" s="3">
        <f t="shared" si="10"/>
        <v>0</v>
      </c>
      <c r="Q71" s="3">
        <f t="shared" si="11"/>
        <v>0.6</v>
      </c>
      <c r="R71" s="3">
        <f t="shared" si="9"/>
        <v>5573.94</v>
      </c>
      <c r="S71" s="24" t="s">
        <v>1334</v>
      </c>
      <c r="T71" s="24" t="s">
        <v>1334</v>
      </c>
      <c r="U71" s="61"/>
      <c r="V71" s="3"/>
      <c r="W71" s="3"/>
      <c r="X71" s="3"/>
      <c r="Y71" s="3"/>
      <c r="Z71" s="3"/>
      <c r="AA71" s="3" t="str">
        <f>IF(BCP_Dolares[[#This Row],[fecha]]&gt;0,TEXT(BCP_Dolares[[#This Row],[fecha]],"mmmm"),0)</f>
        <v>Febrero</v>
      </c>
    </row>
    <row r="72" spans="1:27" ht="36" x14ac:dyDescent="0.3">
      <c r="A72" s="2">
        <f>IF(BCP_Dolares[[#This Row],[tipo_registro]]="R",COUNTIFS($C$1:$C71,"R")+1,"")</f>
        <v>30</v>
      </c>
      <c r="B72" s="19" t="str">
        <f t="shared" si="0"/>
        <v>B-BCP - Dolares</v>
      </c>
      <c r="C72" s="3" t="s">
        <v>1330</v>
      </c>
      <c r="D72" s="14">
        <v>45715</v>
      </c>
      <c r="E72" s="5" t="s">
        <v>204</v>
      </c>
      <c r="F72" s="5" t="s">
        <v>1303</v>
      </c>
      <c r="G72" s="6"/>
      <c r="H72" s="6"/>
      <c r="I72" s="6"/>
      <c r="J72" s="6"/>
      <c r="K72" s="7" t="s">
        <v>1350</v>
      </c>
      <c r="L72" s="8">
        <v>6702695</v>
      </c>
      <c r="M72" s="8" t="str">
        <f t="shared" si="1"/>
        <v>USD</v>
      </c>
      <c r="N72" s="13"/>
      <c r="O72" s="13">
        <v>12379.93</v>
      </c>
      <c r="P72" s="3">
        <f t="shared" si="10"/>
        <v>12379.93</v>
      </c>
      <c r="Q72" s="3">
        <f t="shared" si="11"/>
        <v>0</v>
      </c>
      <c r="R72" s="3">
        <f t="shared" si="9"/>
        <v>17953.87</v>
      </c>
      <c r="S72" s="24" t="s">
        <v>1334</v>
      </c>
      <c r="T72" s="24"/>
      <c r="U72" s="61"/>
      <c r="V72" s="3" t="s">
        <v>425</v>
      </c>
      <c r="W72" s="3" t="s">
        <v>4933</v>
      </c>
      <c r="X72" s="3" t="s">
        <v>4908</v>
      </c>
      <c r="Y72" s="3"/>
      <c r="Z72" s="3"/>
      <c r="AA72" s="3" t="str">
        <f>IF(BCP_Dolares[[#This Row],[fecha]]&gt;0,TEXT(BCP_Dolares[[#This Row],[fecha]],"mmmm"),0)</f>
        <v>Febrero</v>
      </c>
    </row>
    <row r="73" spans="1:27" ht="24" x14ac:dyDescent="0.3">
      <c r="A73" s="2">
        <f>IF(BCP_Dolares[[#This Row],[tipo_registro]]="R",COUNTIFS($C$1:$C72,"R")+1,"")</f>
        <v>31</v>
      </c>
      <c r="B73" s="19" t="str">
        <f t="shared" si="0"/>
        <v>B-BCP - Dolares</v>
      </c>
      <c r="C73" s="3" t="s">
        <v>1330</v>
      </c>
      <c r="D73" s="14">
        <v>45716</v>
      </c>
      <c r="E73" s="5" t="s">
        <v>1335</v>
      </c>
      <c r="F73" s="5" t="s">
        <v>1336</v>
      </c>
      <c r="G73" s="6" t="s">
        <v>1060</v>
      </c>
      <c r="H73" s="6" t="s">
        <v>68</v>
      </c>
      <c r="I73" s="6" t="s">
        <v>2081</v>
      </c>
      <c r="J73" s="6">
        <v>14324654</v>
      </c>
      <c r="K73" s="7" t="s">
        <v>1756</v>
      </c>
      <c r="L73" s="8" t="s">
        <v>4916</v>
      </c>
      <c r="M73" s="8" t="str">
        <f t="shared" si="1"/>
        <v>USD</v>
      </c>
      <c r="N73" s="13"/>
      <c r="O73" s="13">
        <v>13</v>
      </c>
      <c r="P73" s="3">
        <f t="shared" si="10"/>
        <v>0</v>
      </c>
      <c r="Q73" s="3">
        <f t="shared" si="11"/>
        <v>13</v>
      </c>
      <c r="R73" s="3">
        <f t="shared" si="9"/>
        <v>17940.87</v>
      </c>
      <c r="S73" s="24" t="s">
        <v>1334</v>
      </c>
      <c r="T73" s="24" t="s">
        <v>1334</v>
      </c>
      <c r="U73" s="61"/>
      <c r="V73" s="3" t="s">
        <v>1335</v>
      </c>
      <c r="W73" s="3"/>
      <c r="X73" s="3"/>
      <c r="Y73" s="3"/>
      <c r="Z73" s="3"/>
      <c r="AA73" s="3" t="str">
        <f>IF(BCP_Dolares[[#This Row],[fecha]]&gt;0,TEXT(BCP_Dolares[[#This Row],[fecha]],"mmmm"),0)</f>
        <v>Febrero</v>
      </c>
    </row>
    <row r="74" spans="1:27" ht="24" x14ac:dyDescent="0.3">
      <c r="A74" s="2">
        <f>IF(BCP_Dolares[[#This Row],[tipo_registro]]="R",COUNTIFS($C$1:$C73,"R")+1,"")</f>
        <v>32</v>
      </c>
      <c r="B74" s="19" t="str">
        <f t="shared" si="0"/>
        <v>B-BCP - Dolares</v>
      </c>
      <c r="C74" s="3" t="s">
        <v>1330</v>
      </c>
      <c r="D74" s="14">
        <v>45716</v>
      </c>
      <c r="E74" s="5" t="s">
        <v>1335</v>
      </c>
      <c r="F74" s="5" t="s">
        <v>1336</v>
      </c>
      <c r="G74" s="6" t="s">
        <v>1060</v>
      </c>
      <c r="H74" s="6" t="s">
        <v>68</v>
      </c>
      <c r="I74" s="6" t="s">
        <v>2081</v>
      </c>
      <c r="J74" s="6">
        <v>14324654</v>
      </c>
      <c r="K74" s="7" t="s">
        <v>1758</v>
      </c>
      <c r="L74" s="8">
        <v>1139824</v>
      </c>
      <c r="M74" s="8" t="str">
        <f t="shared" si="1"/>
        <v>USD</v>
      </c>
      <c r="N74" s="13"/>
      <c r="O74" s="13">
        <v>2</v>
      </c>
      <c r="P74" s="3">
        <f t="shared" si="10"/>
        <v>0</v>
      </c>
      <c r="Q74" s="3">
        <f t="shared" si="11"/>
        <v>2</v>
      </c>
      <c r="R74" s="3">
        <f t="shared" si="9"/>
        <v>17938.87</v>
      </c>
      <c r="S74" s="24" t="s">
        <v>1334</v>
      </c>
      <c r="T74" s="24" t="s">
        <v>1334</v>
      </c>
      <c r="U74" s="61"/>
      <c r="V74" s="3" t="s">
        <v>1335</v>
      </c>
      <c r="W74" s="3"/>
      <c r="X74" s="3"/>
      <c r="Y74" s="3"/>
      <c r="Z74" s="3"/>
      <c r="AA74" s="3" t="str">
        <f>IF(BCP_Dolares[[#This Row],[fecha]]&gt;0,TEXT(BCP_Dolares[[#This Row],[fecha]],"mmmm"),0)</f>
        <v>Febrero</v>
      </c>
    </row>
    <row r="75" spans="1:27" x14ac:dyDescent="0.3">
      <c r="A75" s="23">
        <f>IF(BCP_Dolares[[#This Row],[tipo_registro]]="R",COUNTIFS($C$1:$C74,"R")+1,"")</f>
        <v>33</v>
      </c>
      <c r="B75" s="19" t="str">
        <f t="shared" ref="B75:B161" si="12">"B-BCP - Dolares"</f>
        <v>B-BCP - Dolares</v>
      </c>
      <c r="C75" s="3" t="s">
        <v>1330</v>
      </c>
      <c r="D75" s="14">
        <v>45716</v>
      </c>
      <c r="E75" s="5" t="s">
        <v>1338</v>
      </c>
      <c r="F75" s="5" t="s">
        <v>1336</v>
      </c>
      <c r="G75" s="6"/>
      <c r="H75" s="6"/>
      <c r="I75" s="6"/>
      <c r="J75" s="6"/>
      <c r="K75" s="7" t="s">
        <v>4934</v>
      </c>
      <c r="L75" s="8">
        <v>340112</v>
      </c>
      <c r="M75" s="8" t="str">
        <f t="shared" ref="M75:M161" si="13">"USD"</f>
        <v>USD</v>
      </c>
      <c r="N75" s="13"/>
      <c r="O75" s="13">
        <v>98.23</v>
      </c>
      <c r="P75" s="3">
        <f t="shared" si="10"/>
        <v>0</v>
      </c>
      <c r="Q75" s="3">
        <f t="shared" si="11"/>
        <v>98.23</v>
      </c>
      <c r="R75" s="3">
        <f t="shared" si="9"/>
        <v>17840.64</v>
      </c>
      <c r="S75" s="24"/>
      <c r="T75" s="24"/>
      <c r="U75" s="61"/>
      <c r="V75" s="3" t="s">
        <v>4935</v>
      </c>
      <c r="W75" s="3"/>
      <c r="X75" s="3"/>
      <c r="Y75" s="3"/>
      <c r="Z75" s="3"/>
      <c r="AA75" s="3" t="str">
        <f>IF(BCP_Dolares[[#This Row],[fecha]]&gt;0,TEXT(BCP_Dolares[[#This Row],[fecha]],"mmmm"),0)</f>
        <v>Febrero</v>
      </c>
    </row>
    <row r="76" spans="1:27" ht="60" x14ac:dyDescent="0.3">
      <c r="A76" s="2">
        <f>IF(BCP_Dolares[[#This Row],[tipo_registro]]="R",COUNTIFS($C$1:$C75,"R")+1,"")</f>
        <v>34</v>
      </c>
      <c r="B76" s="19" t="str">
        <f t="shared" si="12"/>
        <v>B-BCP - Dolares</v>
      </c>
      <c r="C76" s="3" t="s">
        <v>1330</v>
      </c>
      <c r="D76" s="14">
        <v>45719</v>
      </c>
      <c r="E76" s="5" t="s">
        <v>1338</v>
      </c>
      <c r="F76" s="5" t="s">
        <v>1336</v>
      </c>
      <c r="G76" s="6" t="s">
        <v>204</v>
      </c>
      <c r="H76" s="6"/>
      <c r="I76" s="6"/>
      <c r="J76" s="6"/>
      <c r="K76" s="7" t="s">
        <v>4936</v>
      </c>
      <c r="L76" s="8">
        <v>8760601</v>
      </c>
      <c r="M76" s="8" t="str">
        <f t="shared" si="13"/>
        <v>USD</v>
      </c>
      <c r="N76" s="13"/>
      <c r="O76" s="13">
        <v>344.52</v>
      </c>
      <c r="P76" s="3">
        <f t="shared" si="10"/>
        <v>0</v>
      </c>
      <c r="Q76" s="3">
        <f t="shared" si="11"/>
        <v>344.52</v>
      </c>
      <c r="R76" s="3">
        <f t="shared" si="9"/>
        <v>17496.12</v>
      </c>
      <c r="S76" s="24" t="s">
        <v>1334</v>
      </c>
      <c r="T76" s="24" t="s">
        <v>1334</v>
      </c>
      <c r="U76" s="61"/>
      <c r="V76" s="3" t="s">
        <v>204</v>
      </c>
      <c r="W76" s="3" t="s">
        <v>4937</v>
      </c>
      <c r="X76" s="3"/>
      <c r="Y76" s="3"/>
      <c r="Z76" s="3"/>
      <c r="AA76" s="3" t="str">
        <f>IF(BCP_Dolares[[#This Row],[fecha]]&gt;0,TEXT(BCP_Dolares[[#This Row],[fecha]],"mmmm"),0)</f>
        <v>Marzo</v>
      </c>
    </row>
    <row r="77" spans="1:27" ht="24" x14ac:dyDescent="0.3">
      <c r="A77" s="2" t="str">
        <f>IF(BCP_Dolares[[#This Row],[tipo_registro]]="R",COUNTIFS($C$1:$C76,"R")+1,"")</f>
        <v/>
      </c>
      <c r="B77" s="19" t="str">
        <f>"B-BCP - Dolares"</f>
        <v>B-BCP - Dolares</v>
      </c>
      <c r="C77" s="3" t="s">
        <v>1352</v>
      </c>
      <c r="D77" s="14">
        <v>45719</v>
      </c>
      <c r="E77" s="5" t="s">
        <v>1338</v>
      </c>
      <c r="F77" s="5"/>
      <c r="G77" s="6" t="s">
        <v>204</v>
      </c>
      <c r="H77" s="6" t="s">
        <v>68</v>
      </c>
      <c r="I77" s="6" t="s">
        <v>1390</v>
      </c>
      <c r="J77" s="6">
        <v>15496</v>
      </c>
      <c r="K77" s="7" t="s">
        <v>4936</v>
      </c>
      <c r="L77" s="8">
        <v>8760601</v>
      </c>
      <c r="M77" s="8" t="str">
        <f>"USD"</f>
        <v>USD</v>
      </c>
      <c r="N77" s="13">
        <v>68.64</v>
      </c>
      <c r="O77" s="13"/>
      <c r="P77" s="3">
        <f t="shared" si="10"/>
        <v>0</v>
      </c>
      <c r="Q77" s="3">
        <f t="shared" si="11"/>
        <v>0</v>
      </c>
      <c r="R77" s="3">
        <f t="shared" si="9"/>
        <v>17496.12</v>
      </c>
      <c r="S77" s="24"/>
      <c r="T77" s="24" t="s">
        <v>1334</v>
      </c>
      <c r="U77" s="61"/>
      <c r="V77" s="3"/>
      <c r="W77" s="3"/>
      <c r="X77" s="3"/>
      <c r="Y77" s="3"/>
      <c r="Z77" s="3"/>
      <c r="AA77" s="3" t="str">
        <f>IF(BCP_Dolares[[#This Row],[fecha]]&gt;0,TEXT(BCP_Dolares[[#This Row],[fecha]],"mmmm"),0)</f>
        <v>Marzo</v>
      </c>
    </row>
    <row r="78" spans="1:27" ht="24" x14ac:dyDescent="0.3">
      <c r="A78" s="2" t="str">
        <f>IF(BCP_Dolares[[#This Row],[tipo_registro]]="R",COUNTIFS($C$1:$C77,"R")+1,"")</f>
        <v/>
      </c>
      <c r="B78" s="19" t="str">
        <f>"B-BCP - Dolares"</f>
        <v>B-BCP - Dolares</v>
      </c>
      <c r="C78" s="3" t="s">
        <v>1352</v>
      </c>
      <c r="D78" s="14">
        <v>45719</v>
      </c>
      <c r="E78" s="5" t="s">
        <v>1338</v>
      </c>
      <c r="F78" s="5"/>
      <c r="G78" s="6" t="s">
        <v>204</v>
      </c>
      <c r="H78" s="6" t="s">
        <v>68</v>
      </c>
      <c r="I78" s="6" t="s">
        <v>1390</v>
      </c>
      <c r="J78" s="6">
        <v>15511</v>
      </c>
      <c r="K78" s="7" t="s">
        <v>4936</v>
      </c>
      <c r="L78" s="8">
        <v>8760601</v>
      </c>
      <c r="M78" s="8" t="str">
        <f>"USD"</f>
        <v>USD</v>
      </c>
      <c r="N78" s="13">
        <v>79.48</v>
      </c>
      <c r="O78" s="13"/>
      <c r="P78" s="3">
        <f t="shared" si="10"/>
        <v>0</v>
      </c>
      <c r="Q78" s="3">
        <f t="shared" si="11"/>
        <v>0</v>
      </c>
      <c r="R78" s="3">
        <f t="shared" si="9"/>
        <v>17496.12</v>
      </c>
      <c r="S78" s="24"/>
      <c r="T78" s="24" t="s">
        <v>1334</v>
      </c>
      <c r="U78" s="61"/>
      <c r="V78" s="3"/>
      <c r="W78" s="3"/>
      <c r="X78" s="3"/>
      <c r="Y78" s="3"/>
      <c r="Z78" s="3"/>
      <c r="AA78" s="3" t="str">
        <f>IF(BCP_Dolares[[#This Row],[fecha]]&gt;0,TEXT(BCP_Dolares[[#This Row],[fecha]],"mmmm"),0)</f>
        <v>Marzo</v>
      </c>
    </row>
    <row r="79" spans="1:27" ht="24" x14ac:dyDescent="0.3">
      <c r="A79" s="2" t="str">
        <f>IF(BCP_Dolares[[#This Row],[tipo_registro]]="R",COUNTIFS($C$1:$C78,"R")+1,"")</f>
        <v/>
      </c>
      <c r="B79" s="19" t="str">
        <f>"B-BCP - Dolares"</f>
        <v>B-BCP - Dolares</v>
      </c>
      <c r="C79" s="3" t="s">
        <v>1352</v>
      </c>
      <c r="D79" s="14">
        <v>45719</v>
      </c>
      <c r="E79" s="5" t="s">
        <v>1338</v>
      </c>
      <c r="F79" s="5"/>
      <c r="G79" s="6" t="s">
        <v>204</v>
      </c>
      <c r="H79" s="6" t="s">
        <v>68</v>
      </c>
      <c r="I79" s="6" t="s">
        <v>1390</v>
      </c>
      <c r="J79" s="6">
        <v>15512</v>
      </c>
      <c r="K79" s="7" t="s">
        <v>4936</v>
      </c>
      <c r="L79" s="8">
        <v>8760601</v>
      </c>
      <c r="M79" s="8" t="str">
        <f>"USD"</f>
        <v>USD</v>
      </c>
      <c r="N79" s="13">
        <v>65.61</v>
      </c>
      <c r="O79" s="13"/>
      <c r="P79" s="3">
        <f t="shared" si="10"/>
        <v>0</v>
      </c>
      <c r="Q79" s="3">
        <f t="shared" si="11"/>
        <v>0</v>
      </c>
      <c r="R79" s="3">
        <f t="shared" si="9"/>
        <v>17496.12</v>
      </c>
      <c r="S79" s="24"/>
      <c r="T79" s="24" t="s">
        <v>1334</v>
      </c>
      <c r="U79" s="61"/>
      <c r="V79" s="3"/>
      <c r="W79" s="3"/>
      <c r="X79" s="3"/>
      <c r="Y79" s="3"/>
      <c r="Z79" s="3"/>
      <c r="AA79" s="3" t="str">
        <f>IF(BCP_Dolares[[#This Row],[fecha]]&gt;0,TEXT(BCP_Dolares[[#This Row],[fecha]],"mmmm"),0)</f>
        <v>Marzo</v>
      </c>
    </row>
    <row r="80" spans="1:27" ht="24" x14ac:dyDescent="0.3">
      <c r="A80" s="2" t="str">
        <f>IF(BCP_Dolares[[#This Row],[tipo_registro]]="R",COUNTIFS($C$1:$C79,"R")+1,"")</f>
        <v/>
      </c>
      <c r="B80" s="19" t="str">
        <f>"B-BCP - Dolares"</f>
        <v>B-BCP - Dolares</v>
      </c>
      <c r="C80" s="3" t="s">
        <v>1352</v>
      </c>
      <c r="D80" s="14">
        <v>45719</v>
      </c>
      <c r="E80" s="5" t="s">
        <v>1338</v>
      </c>
      <c r="F80" s="5"/>
      <c r="G80" s="6" t="s">
        <v>204</v>
      </c>
      <c r="H80" s="6" t="s">
        <v>68</v>
      </c>
      <c r="I80" s="6" t="s">
        <v>1390</v>
      </c>
      <c r="J80" s="6">
        <v>15515</v>
      </c>
      <c r="K80" s="7" t="s">
        <v>4936</v>
      </c>
      <c r="L80" s="8">
        <v>8760601</v>
      </c>
      <c r="M80" s="8" t="str">
        <f>"USD"</f>
        <v>USD</v>
      </c>
      <c r="N80" s="13">
        <v>69.319999999999993</v>
      </c>
      <c r="O80" s="13"/>
      <c r="P80" s="3">
        <f t="shared" si="10"/>
        <v>0</v>
      </c>
      <c r="Q80" s="3">
        <f t="shared" si="11"/>
        <v>0</v>
      </c>
      <c r="R80" s="3">
        <f t="shared" si="9"/>
        <v>17496.12</v>
      </c>
      <c r="S80" s="24"/>
      <c r="T80" s="24" t="s">
        <v>1334</v>
      </c>
      <c r="U80" s="61"/>
      <c r="V80" s="3"/>
      <c r="W80" s="3"/>
      <c r="X80" s="3"/>
      <c r="Y80" s="3"/>
      <c r="Z80" s="3"/>
      <c r="AA80" s="3" t="str">
        <f>IF(BCP_Dolares[[#This Row],[fecha]]&gt;0,TEXT(BCP_Dolares[[#This Row],[fecha]],"mmmm"),0)</f>
        <v>Marzo</v>
      </c>
    </row>
    <row r="81" spans="1:27" ht="24" x14ac:dyDescent="0.3">
      <c r="A81" s="2" t="str">
        <f>IF(BCP_Dolares[[#This Row],[tipo_registro]]="R",COUNTIFS($C$1:$C80,"R")+1,"")</f>
        <v/>
      </c>
      <c r="B81" s="19" t="str">
        <f>"B-BCP - Dolares"</f>
        <v>B-BCP - Dolares</v>
      </c>
      <c r="C81" s="3" t="s">
        <v>1352</v>
      </c>
      <c r="D81" s="14">
        <v>45719</v>
      </c>
      <c r="E81" s="5" t="s">
        <v>1338</v>
      </c>
      <c r="F81" s="5"/>
      <c r="G81" s="6" t="s">
        <v>204</v>
      </c>
      <c r="H81" s="6" t="s">
        <v>68</v>
      </c>
      <c r="I81" s="6" t="s">
        <v>1390</v>
      </c>
      <c r="J81" s="6">
        <v>15513</v>
      </c>
      <c r="K81" s="7" t="s">
        <v>4936</v>
      </c>
      <c r="L81" s="8">
        <v>8760601</v>
      </c>
      <c r="M81" s="8" t="str">
        <f>"USD"</f>
        <v>USD</v>
      </c>
      <c r="N81" s="13">
        <v>61.47</v>
      </c>
      <c r="O81" s="13"/>
      <c r="P81" s="3">
        <f t="shared" si="10"/>
        <v>0</v>
      </c>
      <c r="Q81" s="3">
        <f t="shared" si="11"/>
        <v>0</v>
      </c>
      <c r="R81" s="3">
        <f t="shared" si="9"/>
        <v>17496.12</v>
      </c>
      <c r="S81" s="24"/>
      <c r="T81" s="24" t="s">
        <v>1334</v>
      </c>
      <c r="U81" s="61"/>
      <c r="V81" s="3"/>
      <c r="W81" s="3"/>
      <c r="X81" s="3"/>
      <c r="Y81" s="3"/>
      <c r="Z81" s="3"/>
      <c r="AA81" s="3" t="str">
        <f>IF(BCP_Dolares[[#This Row],[fecha]]&gt;0,TEXT(BCP_Dolares[[#This Row],[fecha]],"mmmm"),0)</f>
        <v>Marzo</v>
      </c>
    </row>
    <row r="82" spans="1:27" ht="24" x14ac:dyDescent="0.3">
      <c r="A82" s="2">
        <f>IF(BCP_Dolares[[#This Row],[tipo_registro]]="R",COUNTIFS($C$1:$C81,"R")+1,"")</f>
        <v>35</v>
      </c>
      <c r="B82" s="19" t="str">
        <f t="shared" si="12"/>
        <v>B-BCP - Dolares</v>
      </c>
      <c r="C82" s="3" t="s">
        <v>1330</v>
      </c>
      <c r="D82" s="14">
        <v>45721</v>
      </c>
      <c r="E82" s="5" t="s">
        <v>4025</v>
      </c>
      <c r="F82" s="5" t="s">
        <v>1303</v>
      </c>
      <c r="G82" s="6" t="s">
        <v>425</v>
      </c>
      <c r="H82" s="6"/>
      <c r="I82" s="6"/>
      <c r="J82" s="6"/>
      <c r="K82" s="7" t="s">
        <v>4026</v>
      </c>
      <c r="L82" s="8">
        <v>2125246</v>
      </c>
      <c r="M82" s="8" t="str">
        <f t="shared" si="13"/>
        <v>USD</v>
      </c>
      <c r="N82" s="13"/>
      <c r="O82" s="13">
        <v>82.99</v>
      </c>
      <c r="P82" s="3">
        <f t="shared" si="10"/>
        <v>82.99</v>
      </c>
      <c r="Q82" s="3">
        <f t="shared" si="11"/>
        <v>0</v>
      </c>
      <c r="R82" s="3">
        <f t="shared" si="9"/>
        <v>17579.11</v>
      </c>
      <c r="S82" s="24" t="s">
        <v>1334</v>
      </c>
      <c r="T82" s="24"/>
      <c r="U82" s="61"/>
      <c r="V82" s="3" t="s">
        <v>425</v>
      </c>
      <c r="W82" s="3" t="s">
        <v>4919</v>
      </c>
      <c r="X82" s="3"/>
      <c r="Y82" s="3"/>
      <c r="Z82" s="3"/>
      <c r="AA82" s="3" t="str">
        <f>IF(BCP_Dolares[[#This Row],[fecha]]&gt;0,TEXT(BCP_Dolares[[#This Row],[fecha]],"mmmm"),0)</f>
        <v>Marzo</v>
      </c>
    </row>
    <row r="83" spans="1:27" ht="72" x14ac:dyDescent="0.3">
      <c r="A83" s="2">
        <f>IF(BCP_Dolares[[#This Row],[tipo_registro]]="R",COUNTIFS($C$1:$C82,"R")+1,"")</f>
        <v>36</v>
      </c>
      <c r="B83" s="19" t="str">
        <f t="shared" si="12"/>
        <v>B-BCP - Dolares</v>
      </c>
      <c r="C83" s="3" t="s">
        <v>1330</v>
      </c>
      <c r="D83" s="14">
        <v>45728</v>
      </c>
      <c r="E83" s="5" t="s">
        <v>1338</v>
      </c>
      <c r="F83" s="5" t="s">
        <v>1336</v>
      </c>
      <c r="G83" s="6"/>
      <c r="H83" s="6"/>
      <c r="I83" s="6"/>
      <c r="J83" s="6"/>
      <c r="K83" s="7" t="s">
        <v>4938</v>
      </c>
      <c r="L83" s="8">
        <v>1567889</v>
      </c>
      <c r="M83" s="8" t="str">
        <f t="shared" si="13"/>
        <v>USD</v>
      </c>
      <c r="N83" s="13"/>
      <c r="O83" s="13">
        <v>5464.11</v>
      </c>
      <c r="P83" s="3">
        <f t="shared" si="10"/>
        <v>0</v>
      </c>
      <c r="Q83" s="3">
        <f t="shared" si="11"/>
        <v>5464.11</v>
      </c>
      <c r="R83" s="3">
        <f t="shared" si="9"/>
        <v>12115</v>
      </c>
      <c r="S83" s="24" t="s">
        <v>1334</v>
      </c>
      <c r="T83" s="24" t="s">
        <v>1334</v>
      </c>
      <c r="U83" s="61"/>
      <c r="V83" s="3" t="s">
        <v>204</v>
      </c>
      <c r="W83" s="3" t="s">
        <v>4939</v>
      </c>
      <c r="X83" s="3"/>
      <c r="Y83" s="3"/>
      <c r="Z83" s="3"/>
      <c r="AA83" s="3" t="str">
        <f>IF(BCP_Dolares[[#This Row],[fecha]]&gt;0,TEXT(BCP_Dolares[[#This Row],[fecha]],"mmmm"),0)</f>
        <v>Marzo</v>
      </c>
    </row>
    <row r="84" spans="1:27" ht="24" x14ac:dyDescent="0.3">
      <c r="A84" s="2" t="str">
        <f>IF(BCP_Dolares[[#This Row],[tipo_registro]]="R",COUNTIFS($C$1:$C83,"R")+1,"")</f>
        <v/>
      </c>
      <c r="B84" s="19" t="str">
        <f t="shared" ref="B84:B89" si="14">"B-BCP - Dolares"</f>
        <v>B-BCP - Dolares</v>
      </c>
      <c r="C84" s="3" t="s">
        <v>1352</v>
      </c>
      <c r="D84" s="14">
        <v>45728</v>
      </c>
      <c r="E84" s="5" t="s">
        <v>1338</v>
      </c>
      <c r="F84" s="5"/>
      <c r="G84" s="6" t="s">
        <v>204</v>
      </c>
      <c r="H84" s="6" t="s">
        <v>68</v>
      </c>
      <c r="I84" s="6" t="s">
        <v>1390</v>
      </c>
      <c r="J84" s="6">
        <v>15539</v>
      </c>
      <c r="K84" s="7" t="s">
        <v>4938</v>
      </c>
      <c r="L84" s="8">
        <v>1567889</v>
      </c>
      <c r="M84" s="8" t="str">
        <f t="shared" ref="M84:M89" si="15">"USD"</f>
        <v>USD</v>
      </c>
      <c r="N84" s="13">
        <v>3320.39</v>
      </c>
      <c r="O84" s="13"/>
      <c r="P84" s="3">
        <f t="shared" si="10"/>
        <v>0</v>
      </c>
      <c r="Q84" s="3">
        <f t="shared" si="11"/>
        <v>0</v>
      </c>
      <c r="R84" s="3">
        <f t="shared" si="9"/>
        <v>12115</v>
      </c>
      <c r="S84" s="24"/>
      <c r="T84" s="24" t="s">
        <v>1334</v>
      </c>
      <c r="U84" s="61"/>
      <c r="V84" s="3"/>
      <c r="W84" s="3"/>
      <c r="X84" s="3"/>
      <c r="Y84" s="3"/>
      <c r="Z84" s="3"/>
      <c r="AA84" s="3" t="str">
        <f>IF(BCP_Dolares[[#This Row],[fecha]]&gt;0,TEXT(BCP_Dolares[[#This Row],[fecha]],"mmmm"),0)</f>
        <v>Marzo</v>
      </c>
    </row>
    <row r="85" spans="1:27" ht="24" x14ac:dyDescent="0.3">
      <c r="A85" s="2" t="str">
        <f>IF(BCP_Dolares[[#This Row],[tipo_registro]]="R",COUNTIFS($C$1:$C84,"R")+1,"")</f>
        <v/>
      </c>
      <c r="B85" s="19" t="str">
        <f t="shared" si="14"/>
        <v>B-BCP - Dolares</v>
      </c>
      <c r="C85" s="3" t="s">
        <v>1352</v>
      </c>
      <c r="D85" s="14">
        <v>45728</v>
      </c>
      <c r="E85" s="5" t="s">
        <v>1338</v>
      </c>
      <c r="F85" s="5"/>
      <c r="G85" s="6" t="s">
        <v>204</v>
      </c>
      <c r="H85" s="6" t="s">
        <v>68</v>
      </c>
      <c r="I85" s="6" t="s">
        <v>1390</v>
      </c>
      <c r="J85" s="6">
        <v>15540</v>
      </c>
      <c r="K85" s="7" t="s">
        <v>4938</v>
      </c>
      <c r="L85" s="8">
        <v>1567889</v>
      </c>
      <c r="M85" s="8" t="str">
        <f t="shared" si="15"/>
        <v>USD</v>
      </c>
      <c r="N85" s="13">
        <v>1909.25</v>
      </c>
      <c r="O85" s="13"/>
      <c r="P85" s="3">
        <f t="shared" si="10"/>
        <v>0</v>
      </c>
      <c r="Q85" s="3">
        <f t="shared" si="11"/>
        <v>0</v>
      </c>
      <c r="R85" s="3">
        <f t="shared" si="9"/>
        <v>12115</v>
      </c>
      <c r="S85" s="24"/>
      <c r="T85" s="24" t="s">
        <v>1334</v>
      </c>
      <c r="U85" s="61"/>
      <c r="V85" s="3"/>
      <c r="W85" s="3"/>
      <c r="X85" s="3"/>
      <c r="Y85" s="3"/>
      <c r="Z85" s="3"/>
      <c r="AA85" s="3" t="str">
        <f>IF(BCP_Dolares[[#This Row],[fecha]]&gt;0,TEXT(BCP_Dolares[[#This Row],[fecha]],"mmmm"),0)</f>
        <v>Marzo</v>
      </c>
    </row>
    <row r="86" spans="1:27" ht="24" x14ac:dyDescent="0.3">
      <c r="A86" s="2" t="str">
        <f>IF(BCP_Dolares[[#This Row],[tipo_registro]]="R",COUNTIFS($C$1:$C85,"R")+1,"")</f>
        <v/>
      </c>
      <c r="B86" s="19" t="str">
        <f t="shared" si="14"/>
        <v>B-BCP - Dolares</v>
      </c>
      <c r="C86" s="3" t="s">
        <v>1352</v>
      </c>
      <c r="D86" s="14">
        <v>45728</v>
      </c>
      <c r="E86" s="5" t="s">
        <v>1338</v>
      </c>
      <c r="F86" s="5"/>
      <c r="G86" s="6" t="s">
        <v>204</v>
      </c>
      <c r="H86" s="6" t="s">
        <v>68</v>
      </c>
      <c r="I86" s="6" t="s">
        <v>1390</v>
      </c>
      <c r="J86" s="6">
        <v>15533</v>
      </c>
      <c r="K86" s="7" t="s">
        <v>4938</v>
      </c>
      <c r="L86" s="8">
        <v>1567889</v>
      </c>
      <c r="M86" s="8" t="str">
        <f t="shared" si="15"/>
        <v>USD</v>
      </c>
      <c r="N86" s="13">
        <v>90.82</v>
      </c>
      <c r="O86" s="13"/>
      <c r="P86" s="3">
        <f t="shared" si="10"/>
        <v>0</v>
      </c>
      <c r="Q86" s="3">
        <f t="shared" si="11"/>
        <v>0</v>
      </c>
      <c r="R86" s="3">
        <f t="shared" si="9"/>
        <v>12115</v>
      </c>
      <c r="S86" s="24"/>
      <c r="T86" s="24" t="s">
        <v>1334</v>
      </c>
      <c r="U86" s="61"/>
      <c r="V86" s="3"/>
      <c r="W86" s="3"/>
      <c r="X86" s="3"/>
      <c r="Y86" s="3"/>
      <c r="Z86" s="3"/>
      <c r="AA86" s="3" t="str">
        <f>IF(BCP_Dolares[[#This Row],[fecha]]&gt;0,TEXT(BCP_Dolares[[#This Row],[fecha]],"mmmm"),0)</f>
        <v>Marzo</v>
      </c>
    </row>
    <row r="87" spans="1:27" ht="24" x14ac:dyDescent="0.3">
      <c r="A87" s="2" t="str">
        <f>IF(BCP_Dolares[[#This Row],[tipo_registro]]="R",COUNTIFS($C$1:$C86,"R")+1,"")</f>
        <v/>
      </c>
      <c r="B87" s="19" t="str">
        <f t="shared" si="14"/>
        <v>B-BCP - Dolares</v>
      </c>
      <c r="C87" s="3" t="s">
        <v>1352</v>
      </c>
      <c r="D87" s="14">
        <v>45728</v>
      </c>
      <c r="E87" s="5" t="s">
        <v>1338</v>
      </c>
      <c r="F87" s="5"/>
      <c r="G87" s="6" t="s">
        <v>204</v>
      </c>
      <c r="H87" s="6" t="s">
        <v>68</v>
      </c>
      <c r="I87" s="6" t="s">
        <v>1390</v>
      </c>
      <c r="J87" s="6">
        <v>15544</v>
      </c>
      <c r="K87" s="7" t="s">
        <v>4938</v>
      </c>
      <c r="L87" s="8">
        <v>1567889</v>
      </c>
      <c r="M87" s="8" t="str">
        <f t="shared" si="15"/>
        <v>USD</v>
      </c>
      <c r="N87" s="13">
        <v>39.729999999999997</v>
      </c>
      <c r="O87" s="13"/>
      <c r="P87" s="3">
        <f t="shared" si="10"/>
        <v>0</v>
      </c>
      <c r="Q87" s="3">
        <f t="shared" si="11"/>
        <v>0</v>
      </c>
      <c r="R87" s="3">
        <f t="shared" si="9"/>
        <v>12115</v>
      </c>
      <c r="S87" s="24"/>
      <c r="T87" s="24" t="s">
        <v>1334</v>
      </c>
      <c r="U87" s="61"/>
      <c r="V87" s="3"/>
      <c r="W87" s="3"/>
      <c r="X87" s="3"/>
      <c r="Y87" s="3"/>
      <c r="Z87" s="3"/>
      <c r="AA87" s="3" t="str">
        <f>IF(BCP_Dolares[[#This Row],[fecha]]&gt;0,TEXT(BCP_Dolares[[#This Row],[fecha]],"mmmm"),0)</f>
        <v>Marzo</v>
      </c>
    </row>
    <row r="88" spans="1:27" ht="24" x14ac:dyDescent="0.3">
      <c r="A88" s="2" t="str">
        <f>IF(BCP_Dolares[[#This Row],[tipo_registro]]="R",COUNTIFS($C$1:$C87,"R")+1,"")</f>
        <v/>
      </c>
      <c r="B88" s="19" t="str">
        <f t="shared" si="14"/>
        <v>B-BCP - Dolares</v>
      </c>
      <c r="C88" s="3" t="s">
        <v>1352</v>
      </c>
      <c r="D88" s="14">
        <v>45728</v>
      </c>
      <c r="E88" s="5" t="s">
        <v>1338</v>
      </c>
      <c r="F88" s="5"/>
      <c r="G88" s="6" t="s">
        <v>204</v>
      </c>
      <c r="H88" s="6" t="s">
        <v>68</v>
      </c>
      <c r="I88" s="6" t="s">
        <v>1390</v>
      </c>
      <c r="J88" s="6">
        <v>15556</v>
      </c>
      <c r="K88" s="7" t="s">
        <v>4938</v>
      </c>
      <c r="L88" s="8">
        <v>1567889</v>
      </c>
      <c r="M88" s="8" t="str">
        <f t="shared" si="15"/>
        <v>USD</v>
      </c>
      <c r="N88" s="13">
        <v>48.02</v>
      </c>
      <c r="O88" s="13"/>
      <c r="P88" s="3">
        <f t="shared" si="10"/>
        <v>0</v>
      </c>
      <c r="Q88" s="3">
        <f t="shared" si="11"/>
        <v>0</v>
      </c>
      <c r="R88" s="3">
        <f t="shared" si="9"/>
        <v>12115</v>
      </c>
      <c r="S88" s="24"/>
      <c r="T88" s="24" t="s">
        <v>1334</v>
      </c>
      <c r="U88" s="61"/>
      <c r="V88" s="3"/>
      <c r="W88" s="3"/>
      <c r="X88" s="3"/>
      <c r="Y88" s="3"/>
      <c r="Z88" s="3"/>
      <c r="AA88" s="3" t="str">
        <f>IF(BCP_Dolares[[#This Row],[fecha]]&gt;0,TEXT(BCP_Dolares[[#This Row],[fecha]],"mmmm"),0)</f>
        <v>Marzo</v>
      </c>
    </row>
    <row r="89" spans="1:27" ht="24" x14ac:dyDescent="0.3">
      <c r="A89" s="2" t="str">
        <f>IF(BCP_Dolares[[#This Row],[tipo_registro]]="R",COUNTIFS($C$1:$C88,"R")+1,"")</f>
        <v/>
      </c>
      <c r="B89" s="19" t="str">
        <f t="shared" si="14"/>
        <v>B-BCP - Dolares</v>
      </c>
      <c r="C89" s="3" t="s">
        <v>1352</v>
      </c>
      <c r="D89" s="14">
        <v>45728</v>
      </c>
      <c r="E89" s="5" t="s">
        <v>1338</v>
      </c>
      <c r="F89" s="5"/>
      <c r="G89" s="6" t="s">
        <v>204</v>
      </c>
      <c r="H89" s="6" t="s">
        <v>68</v>
      </c>
      <c r="I89" s="6" t="s">
        <v>1390</v>
      </c>
      <c r="J89" s="6">
        <v>15557</v>
      </c>
      <c r="K89" s="7" t="s">
        <v>4938</v>
      </c>
      <c r="L89" s="8">
        <v>1567889</v>
      </c>
      <c r="M89" s="8" t="str">
        <f t="shared" si="15"/>
        <v>USD</v>
      </c>
      <c r="N89" s="13">
        <v>55.9</v>
      </c>
      <c r="O89" s="13"/>
      <c r="P89" s="3">
        <f t="shared" si="10"/>
        <v>0</v>
      </c>
      <c r="Q89" s="3">
        <f t="shared" si="11"/>
        <v>0</v>
      </c>
      <c r="R89" s="3">
        <f t="shared" si="9"/>
        <v>12115</v>
      </c>
      <c r="S89" s="24"/>
      <c r="T89" s="24" t="s">
        <v>1334</v>
      </c>
      <c r="U89" s="61"/>
      <c r="V89" s="3"/>
      <c r="W89" s="3"/>
      <c r="X89" s="3"/>
      <c r="Y89" s="3"/>
      <c r="Z89" s="3"/>
      <c r="AA89" s="3" t="str">
        <f>IF(BCP_Dolares[[#This Row],[fecha]]&gt;0,TEXT(BCP_Dolares[[#This Row],[fecha]],"mmmm"),0)</f>
        <v>Marzo</v>
      </c>
    </row>
    <row r="90" spans="1:27" x14ac:dyDescent="0.3">
      <c r="A90" s="2">
        <f>IF(BCP_Dolares[[#This Row],[tipo_registro]]="R",COUNTIFS($C$1:$C89,"R")+1,"")</f>
        <v>37</v>
      </c>
      <c r="B90" s="19" t="str">
        <f t="shared" si="12"/>
        <v>B-BCP - Dolares</v>
      </c>
      <c r="C90" s="3" t="s">
        <v>1330</v>
      </c>
      <c r="D90" s="14">
        <v>45728</v>
      </c>
      <c r="E90" s="5" t="s">
        <v>1335</v>
      </c>
      <c r="F90" s="5" t="s">
        <v>1336</v>
      </c>
      <c r="G90" s="6"/>
      <c r="H90" s="6"/>
      <c r="I90" s="6"/>
      <c r="J90" s="6"/>
      <c r="K90" s="7" t="s">
        <v>1337</v>
      </c>
      <c r="L90" s="8"/>
      <c r="M90" s="8" t="str">
        <f t="shared" si="13"/>
        <v>USD</v>
      </c>
      <c r="N90" s="13"/>
      <c r="O90" s="13">
        <v>0.25</v>
      </c>
      <c r="P90" s="3">
        <f t="shared" si="10"/>
        <v>0</v>
      </c>
      <c r="Q90" s="3">
        <f t="shared" si="11"/>
        <v>0.25</v>
      </c>
      <c r="R90" s="3">
        <f t="shared" si="9"/>
        <v>12114.75</v>
      </c>
      <c r="S90" s="24" t="s">
        <v>1334</v>
      </c>
      <c r="T90" s="24" t="s">
        <v>1334</v>
      </c>
      <c r="U90" s="61"/>
      <c r="V90" s="3"/>
      <c r="W90" s="3"/>
      <c r="X90" s="3"/>
      <c r="Y90" s="3"/>
      <c r="Z90" s="3"/>
      <c r="AA90" s="3" t="str">
        <f>IF(BCP_Dolares[[#This Row],[fecha]]&gt;0,TEXT(BCP_Dolares[[#This Row],[fecha]],"mmmm"),0)</f>
        <v>Marzo</v>
      </c>
    </row>
    <row r="91" spans="1:27" ht="24" x14ac:dyDescent="0.3">
      <c r="A91" s="2">
        <f>IF(BCP_Dolares[[#This Row],[tipo_registro]]="R",COUNTIFS($C$1:$C90,"R")+1,"")</f>
        <v>38</v>
      </c>
      <c r="B91" s="19" t="str">
        <f t="shared" si="12"/>
        <v>B-BCP - Dolares</v>
      </c>
      <c r="C91" s="3" t="s">
        <v>1330</v>
      </c>
      <c r="D91" s="14">
        <v>45733</v>
      </c>
      <c r="E91" s="5" t="s">
        <v>1338</v>
      </c>
      <c r="F91" s="5" t="s">
        <v>1336</v>
      </c>
      <c r="G91" s="6" t="s">
        <v>778</v>
      </c>
      <c r="H91" s="6" t="s">
        <v>68</v>
      </c>
      <c r="I91" s="6" t="s">
        <v>3078</v>
      </c>
      <c r="J91" s="6">
        <v>148881</v>
      </c>
      <c r="K91" s="7" t="s">
        <v>4940</v>
      </c>
      <c r="L91" s="8">
        <v>106615</v>
      </c>
      <c r="M91" s="8" t="str">
        <f t="shared" si="13"/>
        <v>USD</v>
      </c>
      <c r="N91" s="13"/>
      <c r="O91" s="13">
        <v>1010.25</v>
      </c>
      <c r="P91" s="3">
        <f t="shared" si="10"/>
        <v>0</v>
      </c>
      <c r="Q91" s="3">
        <f t="shared" si="11"/>
        <v>1010.25</v>
      </c>
      <c r="R91" s="3">
        <f t="shared" si="9"/>
        <v>11104.5</v>
      </c>
      <c r="S91" s="24" t="s">
        <v>1334</v>
      </c>
      <c r="T91" s="24"/>
      <c r="U91" s="61"/>
      <c r="V91" s="3" t="s">
        <v>4905</v>
      </c>
      <c r="W91" s="3" t="s">
        <v>4941</v>
      </c>
      <c r="X91" s="3"/>
      <c r="Y91" s="3"/>
      <c r="Z91" s="3"/>
      <c r="AA91" s="3" t="str">
        <f>IF(BCP_Dolares[[#This Row],[fecha]]&gt;0,TEXT(BCP_Dolares[[#This Row],[fecha]],"mmmm"),0)</f>
        <v>Marzo</v>
      </c>
    </row>
    <row r="92" spans="1:27" x14ac:dyDescent="0.3">
      <c r="A92" s="2">
        <f>IF(BCP_Dolares[[#This Row],[tipo_registro]]="R",COUNTIFS($C$1:$C91,"R")+1,"")</f>
        <v>39</v>
      </c>
      <c r="B92" s="19" t="str">
        <f t="shared" si="12"/>
        <v>B-BCP - Dolares</v>
      </c>
      <c r="C92" s="3" t="s">
        <v>1330</v>
      </c>
      <c r="D92" s="14">
        <v>45735</v>
      </c>
      <c r="E92" s="5" t="s">
        <v>425</v>
      </c>
      <c r="F92" s="5" t="s">
        <v>1336</v>
      </c>
      <c r="G92" s="6"/>
      <c r="H92" s="6"/>
      <c r="I92" s="6"/>
      <c r="J92" s="6"/>
      <c r="K92" s="7" t="s">
        <v>2318</v>
      </c>
      <c r="L92" s="8">
        <v>1146343</v>
      </c>
      <c r="M92" s="8" t="str">
        <f t="shared" si="13"/>
        <v>USD</v>
      </c>
      <c r="N92" s="13"/>
      <c r="O92" s="13">
        <v>10000</v>
      </c>
      <c r="P92" s="3">
        <f t="shared" si="10"/>
        <v>0</v>
      </c>
      <c r="Q92" s="3">
        <f t="shared" si="11"/>
        <v>10000</v>
      </c>
      <c r="R92" s="3">
        <f t="shared" si="9"/>
        <v>1104.5</v>
      </c>
      <c r="S92" s="24"/>
      <c r="T92" s="24"/>
      <c r="U92" s="61"/>
      <c r="V92" s="3" t="s">
        <v>425</v>
      </c>
      <c r="W92" s="3"/>
      <c r="X92" s="3"/>
      <c r="Y92" s="3"/>
      <c r="Z92" s="3"/>
      <c r="AA92" s="3" t="str">
        <f>IF(BCP_Dolares[[#This Row],[fecha]]&gt;0,TEXT(BCP_Dolares[[#This Row],[fecha]],"mmmm"),0)</f>
        <v>Marzo</v>
      </c>
    </row>
    <row r="93" spans="1:27" x14ac:dyDescent="0.3">
      <c r="A93" s="2">
        <f>IF(BCP_Dolares[[#This Row],[tipo_registro]]="R",COUNTIFS($C$1:$C92,"R")+1,"")</f>
        <v>40</v>
      </c>
      <c r="B93" s="19" t="str">
        <f t="shared" si="12"/>
        <v>B-BCP - Dolares</v>
      </c>
      <c r="C93" s="3" t="s">
        <v>1330</v>
      </c>
      <c r="D93" s="14">
        <v>45740</v>
      </c>
      <c r="E93" s="5" t="s">
        <v>1335</v>
      </c>
      <c r="F93" s="5" t="s">
        <v>1336</v>
      </c>
      <c r="G93" s="6"/>
      <c r="H93" s="6"/>
      <c r="I93" s="6"/>
      <c r="J93" s="6"/>
      <c r="K93" s="7" t="s">
        <v>1337</v>
      </c>
      <c r="L93" s="8"/>
      <c r="M93" s="8" t="str">
        <f t="shared" si="13"/>
        <v>USD</v>
      </c>
      <c r="N93" s="13"/>
      <c r="O93" s="13">
        <v>0.05</v>
      </c>
      <c r="P93" s="3">
        <f t="shared" si="10"/>
        <v>0</v>
      </c>
      <c r="Q93" s="3">
        <f t="shared" si="11"/>
        <v>0.05</v>
      </c>
      <c r="R93" s="3">
        <f t="shared" si="9"/>
        <v>1104.45</v>
      </c>
      <c r="S93" s="24" t="s">
        <v>1334</v>
      </c>
      <c r="T93" s="24" t="s">
        <v>1334</v>
      </c>
      <c r="U93" s="61"/>
      <c r="V93" s="3"/>
      <c r="W93" s="3"/>
      <c r="X93" s="3"/>
      <c r="Y93" s="3"/>
      <c r="Z93" s="3"/>
      <c r="AA93" s="3" t="str">
        <f>IF(BCP_Dolares[[#This Row],[fecha]]&gt;0,TEXT(BCP_Dolares[[#This Row],[fecha]],"mmmm"),0)</f>
        <v>Marzo</v>
      </c>
    </row>
    <row r="94" spans="1:27" x14ac:dyDescent="0.3">
      <c r="A94" s="2">
        <f>IF(BCP_Dolares[[#This Row],[tipo_registro]]="R",COUNTIFS($C$1:$C93,"R")+1,"")</f>
        <v>41</v>
      </c>
      <c r="B94" s="19" t="str">
        <f t="shared" si="12"/>
        <v>B-BCP - Dolares</v>
      </c>
      <c r="C94" s="3" t="s">
        <v>1330</v>
      </c>
      <c r="D94" s="14">
        <v>45740</v>
      </c>
      <c r="E94" s="5" t="s">
        <v>1338</v>
      </c>
      <c r="F94" s="5" t="s">
        <v>1336</v>
      </c>
      <c r="G94" s="6"/>
      <c r="H94" s="6"/>
      <c r="I94" s="6"/>
      <c r="J94" s="6"/>
      <c r="K94" s="7" t="s">
        <v>4942</v>
      </c>
      <c r="L94" s="8">
        <v>6064217</v>
      </c>
      <c r="M94" s="8" t="str">
        <f t="shared" si="13"/>
        <v>USD</v>
      </c>
      <c r="N94" s="13"/>
      <c r="O94" s="13">
        <v>1047.5899999999999</v>
      </c>
      <c r="P94" s="3">
        <f t="shared" si="10"/>
        <v>0</v>
      </c>
      <c r="Q94" s="3">
        <f t="shared" si="11"/>
        <v>1047.5899999999999</v>
      </c>
      <c r="R94" s="3">
        <f t="shared" si="9"/>
        <v>56.860000000000127</v>
      </c>
      <c r="S94" s="24" t="s">
        <v>1334</v>
      </c>
      <c r="T94" s="24" t="s">
        <v>1334</v>
      </c>
      <c r="U94" s="61"/>
      <c r="V94" s="3" t="s">
        <v>4923</v>
      </c>
      <c r="W94" s="3"/>
      <c r="X94" s="3"/>
      <c r="Y94" s="3"/>
      <c r="Z94" s="3"/>
      <c r="AA94" s="3" t="str">
        <f>IF(BCP_Dolares[[#This Row],[fecha]]&gt;0,TEXT(BCP_Dolares[[#This Row],[fecha]],"mmmm"),0)</f>
        <v>Marzo</v>
      </c>
    </row>
    <row r="95" spans="1:27" ht="36" x14ac:dyDescent="0.3">
      <c r="A95" s="2" t="str">
        <f>IF(BCP_Dolares[[#This Row],[tipo_registro]]="R",COUNTIFS($C$1:$C94,"R")+1,"")</f>
        <v/>
      </c>
      <c r="B95" s="19" t="str">
        <f t="shared" ref="B95:B105" si="16">"B-BCP - Dolares"</f>
        <v>B-BCP - Dolares</v>
      </c>
      <c r="C95" s="3" t="s">
        <v>1352</v>
      </c>
      <c r="D95" s="14">
        <v>45740</v>
      </c>
      <c r="E95" s="5" t="s">
        <v>1338</v>
      </c>
      <c r="F95" s="5"/>
      <c r="G95" s="6" t="s">
        <v>204</v>
      </c>
      <c r="H95" s="6" t="s">
        <v>68</v>
      </c>
      <c r="I95" s="6" t="s">
        <v>1390</v>
      </c>
      <c r="J95" s="6">
        <v>15564</v>
      </c>
      <c r="K95" s="7" t="s">
        <v>4942</v>
      </c>
      <c r="L95" s="8">
        <v>6064217</v>
      </c>
      <c r="M95" s="8" t="str">
        <f t="shared" ref="M95:M105" si="17">"USD"</f>
        <v>USD</v>
      </c>
      <c r="N95" s="13">
        <v>96.82</v>
      </c>
      <c r="O95" s="13"/>
      <c r="P95" s="3">
        <f t="shared" si="10"/>
        <v>0</v>
      </c>
      <c r="Q95" s="3">
        <f t="shared" si="11"/>
        <v>0</v>
      </c>
      <c r="R95" s="3">
        <f t="shared" si="9"/>
        <v>56.860000000000127</v>
      </c>
      <c r="S95" s="24" t="s">
        <v>1334</v>
      </c>
      <c r="T95" s="24" t="s">
        <v>1334</v>
      </c>
      <c r="U95" s="61"/>
      <c r="V95" s="3" t="s">
        <v>4943</v>
      </c>
      <c r="W95" s="3"/>
      <c r="X95" s="3"/>
      <c r="Y95" s="3"/>
      <c r="Z95" s="3"/>
      <c r="AA95" s="3" t="str">
        <f>IF(BCP_Dolares[[#This Row],[fecha]]&gt;0,TEXT(BCP_Dolares[[#This Row],[fecha]],"mmmm"),0)</f>
        <v>Marzo</v>
      </c>
    </row>
    <row r="96" spans="1:27" ht="24" x14ac:dyDescent="0.3">
      <c r="A96" s="2" t="str">
        <f>IF(BCP_Dolares[[#This Row],[tipo_registro]]="R",COUNTIFS($C$1:$C95,"R")+1,"")</f>
        <v/>
      </c>
      <c r="B96" s="19" t="str">
        <f t="shared" si="16"/>
        <v>B-BCP - Dolares</v>
      </c>
      <c r="C96" s="3" t="s">
        <v>1352</v>
      </c>
      <c r="D96" s="14">
        <v>45740</v>
      </c>
      <c r="E96" s="5" t="s">
        <v>1338</v>
      </c>
      <c r="F96" s="5"/>
      <c r="G96" s="6" t="s">
        <v>204</v>
      </c>
      <c r="H96" s="6" t="s">
        <v>68</v>
      </c>
      <c r="I96" s="6" t="s">
        <v>1390</v>
      </c>
      <c r="J96" s="6">
        <v>15584</v>
      </c>
      <c r="K96" s="7" t="s">
        <v>4942</v>
      </c>
      <c r="L96" s="8">
        <v>6064217</v>
      </c>
      <c r="M96" s="8" t="str">
        <f t="shared" si="17"/>
        <v>USD</v>
      </c>
      <c r="N96" s="13">
        <v>104.2</v>
      </c>
      <c r="O96" s="13"/>
      <c r="P96" s="3">
        <f t="shared" si="10"/>
        <v>0</v>
      </c>
      <c r="Q96" s="3">
        <f t="shared" si="11"/>
        <v>0</v>
      </c>
      <c r="R96" s="3">
        <f t="shared" si="9"/>
        <v>56.860000000000127</v>
      </c>
      <c r="S96" s="24" t="s">
        <v>1334</v>
      </c>
      <c r="T96" s="24" t="s">
        <v>1334</v>
      </c>
      <c r="U96" s="61"/>
      <c r="V96" s="3"/>
      <c r="W96" s="3"/>
      <c r="X96" s="3"/>
      <c r="Y96" s="3"/>
      <c r="Z96" s="3"/>
      <c r="AA96" s="3" t="str">
        <f>IF(BCP_Dolares[[#This Row],[fecha]]&gt;0,TEXT(BCP_Dolares[[#This Row],[fecha]],"mmmm"),0)</f>
        <v>Marzo</v>
      </c>
    </row>
    <row r="97" spans="1:27" ht="24" x14ac:dyDescent="0.3">
      <c r="A97" s="2" t="str">
        <f>IF(BCP_Dolares[[#This Row],[tipo_registro]]="R",COUNTIFS($C$1:$C96,"R")+1,"")</f>
        <v/>
      </c>
      <c r="B97" s="19" t="str">
        <f t="shared" si="16"/>
        <v>B-BCP - Dolares</v>
      </c>
      <c r="C97" s="3" t="s">
        <v>1352</v>
      </c>
      <c r="D97" s="14">
        <v>45740</v>
      </c>
      <c r="E97" s="5" t="s">
        <v>1338</v>
      </c>
      <c r="F97" s="5"/>
      <c r="G97" s="6" t="s">
        <v>204</v>
      </c>
      <c r="H97" s="6" t="s">
        <v>68</v>
      </c>
      <c r="I97" s="6" t="s">
        <v>1390</v>
      </c>
      <c r="J97" s="6">
        <v>15595</v>
      </c>
      <c r="K97" s="7" t="s">
        <v>4942</v>
      </c>
      <c r="L97" s="8">
        <v>6064217</v>
      </c>
      <c r="M97" s="8" t="str">
        <f t="shared" si="17"/>
        <v>USD</v>
      </c>
      <c r="N97" s="13">
        <v>104.16</v>
      </c>
      <c r="O97" s="13"/>
      <c r="P97" s="3">
        <f t="shared" si="10"/>
        <v>0</v>
      </c>
      <c r="Q97" s="3">
        <f t="shared" si="11"/>
        <v>0</v>
      </c>
      <c r="R97" s="3">
        <f t="shared" si="9"/>
        <v>56.860000000000127</v>
      </c>
      <c r="S97" s="24" t="s">
        <v>1334</v>
      </c>
      <c r="T97" s="24" t="s">
        <v>1334</v>
      </c>
      <c r="U97" s="61"/>
      <c r="V97" s="3"/>
      <c r="W97" s="3"/>
      <c r="X97" s="3"/>
      <c r="Y97" s="3"/>
      <c r="Z97" s="3"/>
      <c r="AA97" s="3" t="str">
        <f>IF(BCP_Dolares[[#This Row],[fecha]]&gt;0,TEXT(BCP_Dolares[[#This Row],[fecha]],"mmmm"),0)</f>
        <v>Marzo</v>
      </c>
    </row>
    <row r="98" spans="1:27" ht="24" x14ac:dyDescent="0.3">
      <c r="A98" s="2" t="str">
        <f>IF(BCP_Dolares[[#This Row],[tipo_registro]]="R",COUNTIFS($C$1:$C97,"R")+1,"")</f>
        <v/>
      </c>
      <c r="B98" s="19" t="str">
        <f t="shared" si="16"/>
        <v>B-BCP - Dolares</v>
      </c>
      <c r="C98" s="3" t="s">
        <v>1352</v>
      </c>
      <c r="D98" s="14">
        <v>45740</v>
      </c>
      <c r="E98" s="5" t="s">
        <v>1338</v>
      </c>
      <c r="F98" s="5"/>
      <c r="G98" s="6" t="s">
        <v>204</v>
      </c>
      <c r="H98" s="6" t="s">
        <v>68</v>
      </c>
      <c r="I98" s="6" t="s">
        <v>1390</v>
      </c>
      <c r="J98" s="6">
        <v>15610</v>
      </c>
      <c r="K98" s="7" t="s">
        <v>4942</v>
      </c>
      <c r="L98" s="8">
        <v>6064217</v>
      </c>
      <c r="M98" s="8" t="str">
        <f t="shared" si="17"/>
        <v>USD</v>
      </c>
      <c r="N98" s="13">
        <v>108.91</v>
      </c>
      <c r="O98" s="13"/>
      <c r="P98" s="3">
        <f t="shared" si="10"/>
        <v>0</v>
      </c>
      <c r="Q98" s="3">
        <f t="shared" si="11"/>
        <v>0</v>
      </c>
      <c r="R98" s="3">
        <f t="shared" si="9"/>
        <v>56.860000000000127</v>
      </c>
      <c r="S98" s="24" t="s">
        <v>1334</v>
      </c>
      <c r="T98" s="24" t="s">
        <v>1334</v>
      </c>
      <c r="U98" s="61"/>
      <c r="V98" s="3"/>
      <c r="W98" s="3"/>
      <c r="X98" s="3"/>
      <c r="Y98" s="3"/>
      <c r="Z98" s="3"/>
      <c r="AA98" s="3" t="str">
        <f>IF(BCP_Dolares[[#This Row],[fecha]]&gt;0,TEXT(BCP_Dolares[[#This Row],[fecha]],"mmmm"),0)</f>
        <v>Marzo</v>
      </c>
    </row>
    <row r="99" spans="1:27" ht="24" x14ac:dyDescent="0.3">
      <c r="A99" s="2" t="str">
        <f>IF(BCP_Dolares[[#This Row],[tipo_registro]]="R",COUNTIFS($C$1:$C98,"R")+1,"")</f>
        <v/>
      </c>
      <c r="B99" s="19" t="str">
        <f t="shared" si="16"/>
        <v>B-BCP - Dolares</v>
      </c>
      <c r="C99" s="3" t="s">
        <v>1352</v>
      </c>
      <c r="D99" s="14">
        <v>45740</v>
      </c>
      <c r="E99" s="5" t="s">
        <v>1338</v>
      </c>
      <c r="F99" s="5"/>
      <c r="G99" s="6" t="s">
        <v>204</v>
      </c>
      <c r="H99" s="6" t="s">
        <v>68</v>
      </c>
      <c r="I99" s="6" t="s">
        <v>1390</v>
      </c>
      <c r="J99" s="6">
        <v>15611</v>
      </c>
      <c r="K99" s="7" t="s">
        <v>4942</v>
      </c>
      <c r="L99" s="8">
        <v>6064217</v>
      </c>
      <c r="M99" s="8" t="str">
        <f t="shared" si="17"/>
        <v>USD</v>
      </c>
      <c r="N99" s="13">
        <v>55.38</v>
      </c>
      <c r="O99" s="13"/>
      <c r="P99" s="3">
        <f t="shared" si="10"/>
        <v>0</v>
      </c>
      <c r="Q99" s="3">
        <f t="shared" si="11"/>
        <v>0</v>
      </c>
      <c r="R99" s="3">
        <f t="shared" si="9"/>
        <v>56.860000000000127</v>
      </c>
      <c r="S99" s="24" t="s">
        <v>1334</v>
      </c>
      <c r="T99" s="24" t="s">
        <v>1334</v>
      </c>
      <c r="U99" s="61"/>
      <c r="V99" s="3"/>
      <c r="W99" s="3"/>
      <c r="X99" s="3"/>
      <c r="Y99" s="3"/>
      <c r="Z99" s="3"/>
      <c r="AA99" s="3" t="str">
        <f>IF(BCP_Dolares[[#This Row],[fecha]]&gt;0,TEXT(BCP_Dolares[[#This Row],[fecha]],"mmmm"),0)</f>
        <v>Marzo</v>
      </c>
    </row>
    <row r="100" spans="1:27" ht="24" x14ac:dyDescent="0.3">
      <c r="A100" s="2" t="str">
        <f>IF(BCP_Dolares[[#This Row],[tipo_registro]]="R",COUNTIFS($C$1:$C99,"R")+1,"")</f>
        <v/>
      </c>
      <c r="B100" s="19" t="str">
        <f t="shared" si="16"/>
        <v>B-BCP - Dolares</v>
      </c>
      <c r="C100" s="3" t="s">
        <v>1352</v>
      </c>
      <c r="D100" s="14">
        <v>45740</v>
      </c>
      <c r="E100" s="5" t="s">
        <v>1338</v>
      </c>
      <c r="F100" s="5"/>
      <c r="G100" s="6" t="s">
        <v>204</v>
      </c>
      <c r="H100" s="6" t="s">
        <v>68</v>
      </c>
      <c r="I100" s="6" t="s">
        <v>1390</v>
      </c>
      <c r="J100" s="6">
        <v>15612</v>
      </c>
      <c r="K100" s="7" t="s">
        <v>4942</v>
      </c>
      <c r="L100" s="8">
        <v>6064217</v>
      </c>
      <c r="M100" s="8" t="str">
        <f t="shared" si="17"/>
        <v>USD</v>
      </c>
      <c r="N100" s="13">
        <v>44.53</v>
      </c>
      <c r="O100" s="13"/>
      <c r="P100" s="3">
        <f t="shared" si="10"/>
        <v>0</v>
      </c>
      <c r="Q100" s="3">
        <f t="shared" si="11"/>
        <v>0</v>
      </c>
      <c r="R100" s="3">
        <f t="shared" si="9"/>
        <v>56.860000000000127</v>
      </c>
      <c r="S100" s="24" t="s">
        <v>1334</v>
      </c>
      <c r="T100" s="24" t="s">
        <v>1334</v>
      </c>
      <c r="U100" s="61"/>
      <c r="V100" s="3"/>
      <c r="W100" s="3"/>
      <c r="X100" s="3"/>
      <c r="Y100" s="3"/>
      <c r="Z100" s="3"/>
      <c r="AA100" s="3" t="str">
        <f>IF(BCP_Dolares[[#This Row],[fecha]]&gt;0,TEXT(BCP_Dolares[[#This Row],[fecha]],"mmmm"),0)</f>
        <v>Marzo</v>
      </c>
    </row>
    <row r="101" spans="1:27" ht="24" x14ac:dyDescent="0.3">
      <c r="A101" s="2" t="str">
        <f>IF(BCP_Dolares[[#This Row],[tipo_registro]]="R",COUNTIFS($C$1:$C100,"R")+1,"")</f>
        <v/>
      </c>
      <c r="B101" s="19" t="str">
        <f t="shared" si="16"/>
        <v>B-BCP - Dolares</v>
      </c>
      <c r="C101" s="3" t="s">
        <v>1352</v>
      </c>
      <c r="D101" s="14">
        <v>45740</v>
      </c>
      <c r="E101" s="5" t="s">
        <v>1338</v>
      </c>
      <c r="F101" s="5"/>
      <c r="G101" s="6" t="s">
        <v>204</v>
      </c>
      <c r="H101" s="6" t="s">
        <v>68</v>
      </c>
      <c r="I101" s="6" t="s">
        <v>1390</v>
      </c>
      <c r="J101" s="6">
        <v>15617</v>
      </c>
      <c r="K101" s="7" t="s">
        <v>4942</v>
      </c>
      <c r="L101" s="8">
        <v>6064217</v>
      </c>
      <c r="M101" s="8" t="str">
        <f t="shared" si="17"/>
        <v>USD</v>
      </c>
      <c r="N101" s="13">
        <v>72.209999999999994</v>
      </c>
      <c r="O101" s="13"/>
      <c r="P101" s="3">
        <f t="shared" si="10"/>
        <v>0</v>
      </c>
      <c r="Q101" s="3">
        <f t="shared" si="11"/>
        <v>0</v>
      </c>
      <c r="R101" s="3">
        <f t="shared" si="9"/>
        <v>56.860000000000127</v>
      </c>
      <c r="S101" s="24" t="s">
        <v>1334</v>
      </c>
      <c r="T101" s="24" t="s">
        <v>1334</v>
      </c>
      <c r="U101" s="61"/>
      <c r="V101" s="3"/>
      <c r="W101" s="3"/>
      <c r="X101" s="3"/>
      <c r="Y101" s="3"/>
      <c r="Z101" s="3"/>
      <c r="AA101" s="3" t="str">
        <f>IF(BCP_Dolares[[#This Row],[fecha]]&gt;0,TEXT(BCP_Dolares[[#This Row],[fecha]],"mmmm"),0)</f>
        <v>Marzo</v>
      </c>
    </row>
    <row r="102" spans="1:27" ht="24" x14ac:dyDescent="0.3">
      <c r="A102" s="2" t="str">
        <f>IF(BCP_Dolares[[#This Row],[tipo_registro]]="R",COUNTIFS($C$1:$C101,"R")+1,"")</f>
        <v/>
      </c>
      <c r="B102" s="19" t="str">
        <f t="shared" si="16"/>
        <v>B-BCP - Dolares</v>
      </c>
      <c r="C102" s="3" t="s">
        <v>1352</v>
      </c>
      <c r="D102" s="14">
        <v>45740</v>
      </c>
      <c r="E102" s="5" t="s">
        <v>1338</v>
      </c>
      <c r="F102" s="5"/>
      <c r="G102" s="6" t="s">
        <v>204</v>
      </c>
      <c r="H102" s="6" t="s">
        <v>68</v>
      </c>
      <c r="I102" s="6" t="s">
        <v>1390</v>
      </c>
      <c r="J102" s="6">
        <v>15631</v>
      </c>
      <c r="K102" s="7" t="s">
        <v>4942</v>
      </c>
      <c r="L102" s="8">
        <v>6064217</v>
      </c>
      <c r="M102" s="8" t="str">
        <f t="shared" si="17"/>
        <v>USD</v>
      </c>
      <c r="N102" s="13">
        <v>125.71</v>
      </c>
      <c r="O102" s="13"/>
      <c r="P102" s="3">
        <f t="shared" si="10"/>
        <v>0</v>
      </c>
      <c r="Q102" s="3">
        <f t="shared" si="11"/>
        <v>0</v>
      </c>
      <c r="R102" s="3">
        <f t="shared" si="9"/>
        <v>56.860000000000127</v>
      </c>
      <c r="S102" s="24" t="s">
        <v>1334</v>
      </c>
      <c r="T102" s="24" t="s">
        <v>1334</v>
      </c>
      <c r="U102" s="61"/>
      <c r="V102" s="3"/>
      <c r="W102" s="3"/>
      <c r="X102" s="3"/>
      <c r="Y102" s="3"/>
      <c r="Z102" s="3"/>
      <c r="AA102" s="3" t="str">
        <f>IF(BCP_Dolares[[#This Row],[fecha]]&gt;0,TEXT(BCP_Dolares[[#This Row],[fecha]],"mmmm"),0)</f>
        <v>Marzo</v>
      </c>
    </row>
    <row r="103" spans="1:27" ht="24" x14ac:dyDescent="0.3">
      <c r="A103" s="2" t="str">
        <f>IF(BCP_Dolares[[#This Row],[tipo_registro]]="R",COUNTIFS($C$1:$C102,"R")+1,"")</f>
        <v/>
      </c>
      <c r="B103" s="19" t="str">
        <f t="shared" si="16"/>
        <v>B-BCP - Dolares</v>
      </c>
      <c r="C103" s="3" t="s">
        <v>1352</v>
      </c>
      <c r="D103" s="14">
        <v>45740</v>
      </c>
      <c r="E103" s="5" t="s">
        <v>1338</v>
      </c>
      <c r="F103" s="5"/>
      <c r="G103" s="6" t="s">
        <v>204</v>
      </c>
      <c r="H103" s="6" t="s">
        <v>68</v>
      </c>
      <c r="I103" s="6" t="s">
        <v>1390</v>
      </c>
      <c r="J103" s="6">
        <v>15568</v>
      </c>
      <c r="K103" s="7" t="s">
        <v>4942</v>
      </c>
      <c r="L103" s="8">
        <v>6064217</v>
      </c>
      <c r="M103" s="8" t="str">
        <f t="shared" si="17"/>
        <v>USD</v>
      </c>
      <c r="N103" s="13">
        <v>67.900000000000006</v>
      </c>
      <c r="O103" s="13"/>
      <c r="P103" s="3">
        <f t="shared" si="10"/>
        <v>0</v>
      </c>
      <c r="Q103" s="3">
        <f t="shared" si="11"/>
        <v>0</v>
      </c>
      <c r="R103" s="3">
        <f t="shared" si="9"/>
        <v>56.860000000000127</v>
      </c>
      <c r="S103" s="24" t="s">
        <v>1334</v>
      </c>
      <c r="T103" s="24" t="s">
        <v>1334</v>
      </c>
      <c r="U103" s="61"/>
      <c r="V103" s="3"/>
      <c r="W103" s="3"/>
      <c r="X103" s="3"/>
      <c r="Y103" s="3"/>
      <c r="Z103" s="3"/>
      <c r="AA103" s="3" t="str">
        <f>IF(BCP_Dolares[[#This Row],[fecha]]&gt;0,TEXT(BCP_Dolares[[#This Row],[fecha]],"mmmm"),0)</f>
        <v>Marzo</v>
      </c>
    </row>
    <row r="104" spans="1:27" ht="24" x14ac:dyDescent="0.3">
      <c r="A104" s="2" t="str">
        <f>IF(BCP_Dolares[[#This Row],[tipo_registro]]="R",COUNTIFS($C$1:$C103,"R")+1,"")</f>
        <v/>
      </c>
      <c r="B104" s="19" t="str">
        <f t="shared" si="16"/>
        <v>B-BCP - Dolares</v>
      </c>
      <c r="C104" s="3" t="s">
        <v>1352</v>
      </c>
      <c r="D104" s="14">
        <v>45740</v>
      </c>
      <c r="E104" s="5" t="s">
        <v>1338</v>
      </c>
      <c r="F104" s="5"/>
      <c r="G104" s="6" t="s">
        <v>204</v>
      </c>
      <c r="H104" s="6" t="s">
        <v>68</v>
      </c>
      <c r="I104" s="6" t="s">
        <v>1390</v>
      </c>
      <c r="J104" s="6">
        <v>15582</v>
      </c>
      <c r="K104" s="7" t="s">
        <v>4942</v>
      </c>
      <c r="L104" s="8">
        <v>6064217</v>
      </c>
      <c r="M104" s="8" t="str">
        <f t="shared" si="17"/>
        <v>USD</v>
      </c>
      <c r="N104" s="13">
        <v>30.02</v>
      </c>
      <c r="O104" s="13"/>
      <c r="P104" s="3">
        <f t="shared" si="10"/>
        <v>0</v>
      </c>
      <c r="Q104" s="3">
        <f t="shared" si="11"/>
        <v>0</v>
      </c>
      <c r="R104" s="3">
        <f t="shared" si="9"/>
        <v>56.860000000000127</v>
      </c>
      <c r="S104" s="24" t="s">
        <v>1334</v>
      </c>
      <c r="T104" s="24" t="s">
        <v>1334</v>
      </c>
      <c r="U104" s="61"/>
      <c r="V104" s="3"/>
      <c r="W104" s="3"/>
      <c r="X104" s="3"/>
      <c r="Y104" s="3"/>
      <c r="Z104" s="3"/>
      <c r="AA104" s="3" t="str">
        <f>IF(BCP_Dolares[[#This Row],[fecha]]&gt;0,TEXT(BCP_Dolares[[#This Row],[fecha]],"mmmm"),0)</f>
        <v>Marzo</v>
      </c>
    </row>
    <row r="105" spans="1:27" ht="48" x14ac:dyDescent="0.3">
      <c r="A105" s="2" t="str">
        <f>IF(BCP_Dolares[[#This Row],[tipo_registro]]="R",COUNTIFS($C$1:$C104,"R")+1,"")</f>
        <v/>
      </c>
      <c r="B105" s="19" t="str">
        <f t="shared" si="16"/>
        <v>B-BCP - Dolares</v>
      </c>
      <c r="C105" s="3" t="s">
        <v>1352</v>
      </c>
      <c r="D105" s="14">
        <v>45740</v>
      </c>
      <c r="E105" s="5" t="s">
        <v>1338</v>
      </c>
      <c r="F105" s="5"/>
      <c r="G105" s="6" t="s">
        <v>411</v>
      </c>
      <c r="H105" s="6" t="s">
        <v>68</v>
      </c>
      <c r="I105" s="6" t="s">
        <v>1374</v>
      </c>
      <c r="J105" s="6">
        <v>320</v>
      </c>
      <c r="K105" s="7" t="s">
        <v>4942</v>
      </c>
      <c r="L105" s="8">
        <v>6064217</v>
      </c>
      <c r="M105" s="8" t="str">
        <f t="shared" si="17"/>
        <v>USD</v>
      </c>
      <c r="N105" s="13">
        <v>237.75</v>
      </c>
      <c r="O105" s="13"/>
      <c r="P105" s="3">
        <f t="shared" si="10"/>
        <v>0</v>
      </c>
      <c r="Q105" s="3">
        <f t="shared" si="11"/>
        <v>0</v>
      </c>
      <c r="R105" s="3">
        <f t="shared" si="9"/>
        <v>56.860000000000127</v>
      </c>
      <c r="S105" s="24" t="s">
        <v>1334</v>
      </c>
      <c r="T105" s="24" t="s">
        <v>1334</v>
      </c>
      <c r="U105" s="61"/>
      <c r="V105" s="3"/>
      <c r="W105" s="3"/>
      <c r="X105" s="3"/>
      <c r="Y105" s="3"/>
      <c r="Z105" s="3"/>
      <c r="AA105" s="3" t="str">
        <f>IF(BCP_Dolares[[#This Row],[fecha]]&gt;0,TEXT(BCP_Dolares[[#This Row],[fecha]],"mmmm"),0)</f>
        <v>Marzo</v>
      </c>
    </row>
    <row r="106" spans="1:27" ht="24" x14ac:dyDescent="0.3">
      <c r="A106" s="2">
        <f>IF(BCP_Dolares[[#This Row],[tipo_registro]]="R",COUNTIFS($C$1:$C105,"R")+1,"")</f>
        <v>42</v>
      </c>
      <c r="B106" s="19" t="str">
        <f t="shared" si="12"/>
        <v>B-BCP - Dolares</v>
      </c>
      <c r="C106" s="3" t="s">
        <v>1330</v>
      </c>
      <c r="D106" s="14">
        <v>45740</v>
      </c>
      <c r="E106" s="5" t="s">
        <v>1335</v>
      </c>
      <c r="F106" s="5" t="s">
        <v>1336</v>
      </c>
      <c r="G106" s="6" t="s">
        <v>1060</v>
      </c>
      <c r="H106" s="6" t="s">
        <v>68</v>
      </c>
      <c r="I106" s="6" t="s">
        <v>1397</v>
      </c>
      <c r="J106" s="6">
        <v>30924417</v>
      </c>
      <c r="K106" s="7" t="s">
        <v>4944</v>
      </c>
      <c r="L106" s="8">
        <v>6064248</v>
      </c>
      <c r="M106" s="8" t="str">
        <f t="shared" si="13"/>
        <v>USD</v>
      </c>
      <c r="N106" s="13"/>
      <c r="O106" s="13">
        <v>6.32</v>
      </c>
      <c r="P106" s="3">
        <f t="shared" si="10"/>
        <v>0</v>
      </c>
      <c r="Q106" s="3">
        <f t="shared" si="11"/>
        <v>6.32</v>
      </c>
      <c r="R106" s="3">
        <f t="shared" si="9"/>
        <v>50.540000000000127</v>
      </c>
      <c r="S106" s="24"/>
      <c r="T106" s="24" t="s">
        <v>1334</v>
      </c>
      <c r="U106" s="61"/>
      <c r="V106" s="3" t="s">
        <v>1335</v>
      </c>
      <c r="W106" s="3" t="s">
        <v>4945</v>
      </c>
      <c r="X106" s="3"/>
      <c r="Y106" s="3"/>
      <c r="Z106" s="3"/>
      <c r="AA106" s="3" t="str">
        <f>IF(BCP_Dolares[[#This Row],[fecha]]&gt;0,TEXT(BCP_Dolares[[#This Row],[fecha]],"mmmm"),0)</f>
        <v>Marzo</v>
      </c>
    </row>
    <row r="107" spans="1:27" ht="24" x14ac:dyDescent="0.3">
      <c r="A107" s="2">
        <f>IF(BCP_Dolares[[#This Row],[tipo_registro]]="R",COUNTIFS($C$1:$C106,"R")+1,"")</f>
        <v>43</v>
      </c>
      <c r="B107" s="19" t="str">
        <f t="shared" si="12"/>
        <v>B-BCP - Dolares</v>
      </c>
      <c r="C107" s="3" t="s">
        <v>1330</v>
      </c>
      <c r="D107" s="14">
        <v>45742</v>
      </c>
      <c r="E107" s="5" t="s">
        <v>1335</v>
      </c>
      <c r="F107" s="5" t="s">
        <v>1336</v>
      </c>
      <c r="G107" s="6" t="s">
        <v>1060</v>
      </c>
      <c r="H107" s="6" t="s">
        <v>68</v>
      </c>
      <c r="I107" s="6" t="s">
        <v>1343</v>
      </c>
      <c r="J107" s="6">
        <v>2246626</v>
      </c>
      <c r="K107" s="7" t="s">
        <v>4915</v>
      </c>
      <c r="L107" s="8" t="s">
        <v>4916</v>
      </c>
      <c r="M107" s="8" t="str">
        <f t="shared" si="13"/>
        <v>USD</v>
      </c>
      <c r="N107" s="13"/>
      <c r="O107" s="13">
        <v>12</v>
      </c>
      <c r="P107" s="3">
        <f t="shared" si="10"/>
        <v>0</v>
      </c>
      <c r="Q107" s="3">
        <f t="shared" si="11"/>
        <v>12</v>
      </c>
      <c r="R107" s="3">
        <f t="shared" si="9"/>
        <v>38.540000000000127</v>
      </c>
      <c r="S107" s="24" t="s">
        <v>1334</v>
      </c>
      <c r="T107" s="24" t="s">
        <v>1334</v>
      </c>
      <c r="U107" s="61"/>
      <c r="V107" s="3" t="s">
        <v>1335</v>
      </c>
      <c r="W107" s="3"/>
      <c r="X107" s="3"/>
      <c r="Y107" s="3"/>
      <c r="Z107" s="3"/>
      <c r="AA107" s="3" t="str">
        <f>IF(BCP_Dolares[[#This Row],[fecha]]&gt;0,TEXT(BCP_Dolares[[#This Row],[fecha]],"mmmm"),0)</f>
        <v>Marzo</v>
      </c>
    </row>
    <row r="108" spans="1:27" x14ac:dyDescent="0.3">
      <c r="A108" s="2">
        <f>IF(BCP_Dolares[[#This Row],[tipo_registro]]="R",COUNTIFS($C$1:$C107,"R")+1,"")</f>
        <v>44</v>
      </c>
      <c r="B108" s="19" t="str">
        <f t="shared" si="12"/>
        <v>B-BCP - Dolares</v>
      </c>
      <c r="C108" s="3" t="s">
        <v>1330</v>
      </c>
      <c r="D108" s="14">
        <v>45743</v>
      </c>
      <c r="E108" s="5" t="s">
        <v>1335</v>
      </c>
      <c r="F108" s="5" t="s">
        <v>1336</v>
      </c>
      <c r="G108" s="6"/>
      <c r="H108" s="6"/>
      <c r="I108" s="6"/>
      <c r="J108" s="6"/>
      <c r="K108" s="7" t="s">
        <v>1337</v>
      </c>
      <c r="L108" s="8"/>
      <c r="M108" s="8" t="str">
        <f t="shared" si="13"/>
        <v>USD</v>
      </c>
      <c r="N108" s="13"/>
      <c r="O108" s="13">
        <v>1</v>
      </c>
      <c r="P108" s="3">
        <f t="shared" si="10"/>
        <v>0</v>
      </c>
      <c r="Q108" s="3">
        <f t="shared" si="11"/>
        <v>1</v>
      </c>
      <c r="R108" s="3">
        <f t="shared" si="9"/>
        <v>37.540000000000127</v>
      </c>
      <c r="S108" s="24" t="s">
        <v>1334</v>
      </c>
      <c r="T108" s="24" t="s">
        <v>1334</v>
      </c>
      <c r="U108" s="61"/>
      <c r="V108" s="3"/>
      <c r="W108" s="3"/>
      <c r="X108" s="3"/>
      <c r="Y108" s="3"/>
      <c r="Z108" s="3"/>
      <c r="AA108" s="3" t="str">
        <f>IF(BCP_Dolares[[#This Row],[fecha]]&gt;0,TEXT(BCP_Dolares[[#This Row],[fecha]],"mmmm"),0)</f>
        <v>Marzo</v>
      </c>
    </row>
    <row r="109" spans="1:27" ht="36" x14ac:dyDescent="0.3">
      <c r="A109" s="2">
        <f>IF(BCP_Dolares[[#This Row],[tipo_registro]]="R",COUNTIFS($C$1:$C108,"R")+1,"")</f>
        <v>45</v>
      </c>
      <c r="B109" s="19" t="str">
        <f t="shared" si="12"/>
        <v>B-BCP - Dolares</v>
      </c>
      <c r="C109" s="3" t="s">
        <v>1330</v>
      </c>
      <c r="D109" s="14">
        <v>45743</v>
      </c>
      <c r="E109" s="5" t="s">
        <v>204</v>
      </c>
      <c r="F109" s="5" t="s">
        <v>1303</v>
      </c>
      <c r="G109" s="6"/>
      <c r="H109" s="6"/>
      <c r="I109" s="6"/>
      <c r="J109" s="6"/>
      <c r="K109" s="7" t="s">
        <v>1350</v>
      </c>
      <c r="L109" s="8">
        <v>7257437</v>
      </c>
      <c r="M109" s="8" t="str">
        <f t="shared" si="13"/>
        <v>USD</v>
      </c>
      <c r="N109" s="13"/>
      <c r="O109" s="13">
        <v>20618.439999999999</v>
      </c>
      <c r="P109" s="3">
        <f t="shared" si="10"/>
        <v>20618.439999999999</v>
      </c>
      <c r="Q109" s="3">
        <f t="shared" si="11"/>
        <v>0</v>
      </c>
      <c r="R109" s="3">
        <f t="shared" si="9"/>
        <v>20655.98</v>
      </c>
      <c r="S109" s="24" t="s">
        <v>1334</v>
      </c>
      <c r="T109" s="24"/>
      <c r="U109" s="61"/>
      <c r="V109" s="3" t="s">
        <v>425</v>
      </c>
      <c r="W109" s="3" t="s">
        <v>4946</v>
      </c>
      <c r="X109" s="3" t="s">
        <v>4908</v>
      </c>
      <c r="Y109" s="3"/>
      <c r="Z109" s="3"/>
      <c r="AA109" s="3" t="str">
        <f>IF(BCP_Dolares[[#This Row],[fecha]]&gt;0,TEXT(BCP_Dolares[[#This Row],[fecha]],"mmmm"),0)</f>
        <v>Marzo</v>
      </c>
    </row>
    <row r="110" spans="1:27" ht="24" x14ac:dyDescent="0.3">
      <c r="A110" s="2">
        <f>IF(BCP_Dolares[[#This Row],[tipo_registro]]="R",COUNTIFS($C$1:$C109,"R")+1,"")</f>
        <v>46</v>
      </c>
      <c r="B110" s="19" t="str">
        <f t="shared" si="12"/>
        <v>B-BCP - Dolares</v>
      </c>
      <c r="C110" s="3" t="s">
        <v>1330</v>
      </c>
      <c r="D110" s="14">
        <v>45744</v>
      </c>
      <c r="E110" s="5" t="s">
        <v>1338</v>
      </c>
      <c r="F110" s="5" t="s">
        <v>1336</v>
      </c>
      <c r="G110" s="6" t="s">
        <v>653</v>
      </c>
      <c r="H110" s="6" t="s">
        <v>68</v>
      </c>
      <c r="I110" s="6" t="s">
        <v>1374</v>
      </c>
      <c r="J110" s="6">
        <v>42854</v>
      </c>
      <c r="K110" s="7" t="s">
        <v>4947</v>
      </c>
      <c r="L110" s="8">
        <v>1286307</v>
      </c>
      <c r="M110" s="8" t="str">
        <f t="shared" si="13"/>
        <v>USD</v>
      </c>
      <c r="N110" s="13"/>
      <c r="O110" s="13">
        <v>541.62</v>
      </c>
      <c r="P110" s="3">
        <f t="shared" si="10"/>
        <v>0</v>
      </c>
      <c r="Q110" s="3">
        <f t="shared" si="11"/>
        <v>541.62</v>
      </c>
      <c r="R110" s="3">
        <f t="shared" si="9"/>
        <v>20114.36</v>
      </c>
      <c r="S110" s="24" t="s">
        <v>1334</v>
      </c>
      <c r="T110" s="24" t="s">
        <v>1334</v>
      </c>
      <c r="U110" s="61"/>
      <c r="V110" s="3" t="s">
        <v>653</v>
      </c>
      <c r="W110" s="3" t="s">
        <v>4948</v>
      </c>
      <c r="X110" s="3"/>
      <c r="Y110" s="3"/>
      <c r="Z110" s="3"/>
      <c r="AA110" s="3" t="str">
        <f>IF(BCP_Dolares[[#This Row],[fecha]]&gt;0,TEXT(BCP_Dolares[[#This Row],[fecha]],"mmmm"),0)</f>
        <v>Marzo</v>
      </c>
    </row>
    <row r="111" spans="1:27" ht="36" x14ac:dyDescent="0.3">
      <c r="A111" s="2">
        <f>IF(BCP_Dolares[[#This Row],[tipo_registro]]="R",COUNTIFS($C$1:$C110,"R")+1,"")</f>
        <v>47</v>
      </c>
      <c r="B111" s="19" t="str">
        <f t="shared" si="12"/>
        <v>B-BCP - Dolares</v>
      </c>
      <c r="C111" s="3" t="s">
        <v>1330</v>
      </c>
      <c r="D111" s="14">
        <v>45744</v>
      </c>
      <c r="E111" s="5" t="s">
        <v>1338</v>
      </c>
      <c r="F111" s="5" t="s">
        <v>1336</v>
      </c>
      <c r="G111" s="6" t="s">
        <v>702</v>
      </c>
      <c r="H111" s="6" t="s">
        <v>68</v>
      </c>
      <c r="I111" s="6" t="s">
        <v>1463</v>
      </c>
      <c r="J111" s="6">
        <v>438849</v>
      </c>
      <c r="K111" s="7" t="s">
        <v>4912</v>
      </c>
      <c r="L111" s="8">
        <v>287767</v>
      </c>
      <c r="M111" s="8" t="str">
        <f t="shared" si="13"/>
        <v>USD</v>
      </c>
      <c r="N111" s="13"/>
      <c r="O111" s="13">
        <v>215.22</v>
      </c>
      <c r="P111" s="3">
        <f t="shared" si="10"/>
        <v>0</v>
      </c>
      <c r="Q111" s="3">
        <f t="shared" si="11"/>
        <v>215.22</v>
      </c>
      <c r="R111" s="3">
        <f t="shared" si="9"/>
        <v>19899.14</v>
      </c>
      <c r="S111" s="24" t="s">
        <v>1334</v>
      </c>
      <c r="T111" s="24" t="s">
        <v>1334</v>
      </c>
      <c r="U111" s="61"/>
      <c r="V111" s="3" t="s">
        <v>4913</v>
      </c>
      <c r="W111" s="3" t="s">
        <v>4949</v>
      </c>
      <c r="X111" s="3"/>
      <c r="Y111" s="3"/>
      <c r="Z111" s="3"/>
      <c r="AA111" s="3" t="str">
        <f>IF(BCP_Dolares[[#This Row],[fecha]]&gt;0,TEXT(BCP_Dolares[[#This Row],[fecha]],"mmmm"),0)</f>
        <v>Marzo</v>
      </c>
    </row>
    <row r="112" spans="1:27" ht="24" x14ac:dyDescent="0.3">
      <c r="A112" s="2">
        <f>IF(BCP_Dolares[[#This Row],[tipo_registro]]="R",COUNTIFS($C$1:$C111,"R")+1,"")</f>
        <v>48</v>
      </c>
      <c r="B112" s="19" t="str">
        <f t="shared" si="12"/>
        <v>B-BCP - Dolares</v>
      </c>
      <c r="C112" s="3" t="s">
        <v>1330</v>
      </c>
      <c r="D112" s="14">
        <v>45747</v>
      </c>
      <c r="E112" s="5" t="s">
        <v>1335</v>
      </c>
      <c r="F112" s="5" t="s">
        <v>1336</v>
      </c>
      <c r="G112" s="6" t="s">
        <v>1060</v>
      </c>
      <c r="H112" s="6" t="s">
        <v>68</v>
      </c>
      <c r="I112" s="6" t="s">
        <v>2081</v>
      </c>
      <c r="J112" s="6">
        <v>14461881</v>
      </c>
      <c r="K112" s="7" t="s">
        <v>1756</v>
      </c>
      <c r="L112" s="8">
        <v>0</v>
      </c>
      <c r="M112" s="8" t="str">
        <f t="shared" si="13"/>
        <v>USD</v>
      </c>
      <c r="N112" s="13"/>
      <c r="O112" s="13">
        <v>13</v>
      </c>
      <c r="P112" s="3">
        <f t="shared" si="10"/>
        <v>0</v>
      </c>
      <c r="Q112" s="3">
        <f t="shared" si="11"/>
        <v>13</v>
      </c>
      <c r="R112" s="3">
        <f t="shared" si="9"/>
        <v>19886.14</v>
      </c>
      <c r="S112" s="24" t="s">
        <v>1334</v>
      </c>
      <c r="T112" s="24" t="s">
        <v>1334</v>
      </c>
      <c r="U112" s="61"/>
      <c r="V112" s="3" t="s">
        <v>1335</v>
      </c>
      <c r="W112" s="3" t="s">
        <v>4950</v>
      </c>
      <c r="X112" s="3"/>
      <c r="Y112" s="3"/>
      <c r="Z112" s="3"/>
      <c r="AA112" s="3" t="str">
        <f>IF(BCP_Dolares[[#This Row],[fecha]]&gt;0,TEXT(BCP_Dolares[[#This Row],[fecha]],"mmmm"),0)</f>
        <v>Marzo</v>
      </c>
    </row>
    <row r="113" spans="1:27" ht="24" x14ac:dyDescent="0.3">
      <c r="A113" s="2">
        <f>IF(BCP_Dolares[[#This Row],[tipo_registro]]="R",COUNTIFS($C$1:$C112,"R")+1,"")</f>
        <v>49</v>
      </c>
      <c r="B113" s="19" t="str">
        <f t="shared" si="12"/>
        <v>B-BCP - Dolares</v>
      </c>
      <c r="C113" s="3" t="s">
        <v>1330</v>
      </c>
      <c r="D113" s="14">
        <v>45747</v>
      </c>
      <c r="E113" s="5" t="s">
        <v>1335</v>
      </c>
      <c r="F113" s="5" t="s">
        <v>1336</v>
      </c>
      <c r="G113" s="6" t="s">
        <v>1060</v>
      </c>
      <c r="H113" s="6" t="s">
        <v>68</v>
      </c>
      <c r="I113" s="6" t="s">
        <v>2081</v>
      </c>
      <c r="J113" s="6">
        <v>14461881</v>
      </c>
      <c r="K113" s="7" t="s">
        <v>1758</v>
      </c>
      <c r="L113" s="8">
        <v>1140988</v>
      </c>
      <c r="M113" s="8" t="str">
        <f t="shared" si="13"/>
        <v>USD</v>
      </c>
      <c r="N113" s="13"/>
      <c r="O113" s="13">
        <v>2</v>
      </c>
      <c r="P113" s="3">
        <f t="shared" si="10"/>
        <v>0</v>
      </c>
      <c r="Q113" s="3">
        <f t="shared" si="11"/>
        <v>2</v>
      </c>
      <c r="R113" s="3">
        <f t="shared" si="9"/>
        <v>19884.14</v>
      </c>
      <c r="S113" s="24" t="s">
        <v>1334</v>
      </c>
      <c r="T113" s="24" t="s">
        <v>1334</v>
      </c>
      <c r="U113" s="61"/>
      <c r="V113" s="3" t="s">
        <v>1335</v>
      </c>
      <c r="W113" s="3" t="s">
        <v>4950</v>
      </c>
      <c r="X113" s="3"/>
      <c r="Y113" s="3"/>
      <c r="Z113" s="3"/>
      <c r="AA113" s="3" t="str">
        <f>IF(BCP_Dolares[[#This Row],[fecha]]&gt;0,TEXT(BCP_Dolares[[#This Row],[fecha]],"mmmm"),0)</f>
        <v>Marzo</v>
      </c>
    </row>
    <row r="114" spans="1:27" x14ac:dyDescent="0.3">
      <c r="A114" s="2">
        <f>IF(BCP_Dolares[[#This Row],[tipo_registro]]="R",COUNTIFS($C$1:$C113,"R")+1,"")</f>
        <v>50</v>
      </c>
      <c r="B114" s="19" t="str">
        <f t="shared" si="12"/>
        <v>B-BCP - Dolares</v>
      </c>
      <c r="C114" s="3" t="s">
        <v>1330</v>
      </c>
      <c r="D114" s="14">
        <v>45748</v>
      </c>
      <c r="E114" s="5" t="s">
        <v>1338</v>
      </c>
      <c r="F114" s="5" t="s">
        <v>1336</v>
      </c>
      <c r="G114" s="6"/>
      <c r="H114" s="6"/>
      <c r="I114" s="6"/>
      <c r="J114" s="6"/>
      <c r="K114" s="7" t="s">
        <v>4951</v>
      </c>
      <c r="L114" s="8">
        <v>9583857</v>
      </c>
      <c r="M114" s="8" t="str">
        <f t="shared" si="13"/>
        <v>USD</v>
      </c>
      <c r="N114" s="13"/>
      <c r="O114" s="13">
        <v>2286.75</v>
      </c>
      <c r="P114" s="3">
        <f t="shared" si="10"/>
        <v>0</v>
      </c>
      <c r="Q114" s="3">
        <f t="shared" si="11"/>
        <v>2286.75</v>
      </c>
      <c r="R114" s="3">
        <f t="shared" si="9"/>
        <v>17597.39</v>
      </c>
      <c r="S114" s="24" t="s">
        <v>1334</v>
      </c>
      <c r="T114" s="24" t="s">
        <v>1334</v>
      </c>
      <c r="U114" s="61"/>
      <c r="V114" s="3" t="s">
        <v>204</v>
      </c>
      <c r="W114" s="3"/>
      <c r="X114" s="3"/>
      <c r="Y114" s="3"/>
      <c r="Z114" s="3"/>
      <c r="AA114" s="3" t="str">
        <f>IF(BCP_Dolares[[#This Row],[fecha]]&gt;0,TEXT(BCP_Dolares[[#This Row],[fecha]],"mmmm"),0)</f>
        <v>Abril</v>
      </c>
    </row>
    <row r="115" spans="1:27" ht="24" x14ac:dyDescent="0.3">
      <c r="A115" s="2" t="str">
        <f>IF(BCP_Dolares[[#This Row],[tipo_registro]]="R",COUNTIFS($C$1:$C114,"R")+1,"")</f>
        <v/>
      </c>
      <c r="B115" s="19" t="str">
        <f t="shared" ref="B115:B129" si="18">"B-BCP - Dolares"</f>
        <v>B-BCP - Dolares</v>
      </c>
      <c r="C115" s="3" t="s">
        <v>1352</v>
      </c>
      <c r="D115" s="14">
        <v>45748</v>
      </c>
      <c r="E115" s="5" t="s">
        <v>1338</v>
      </c>
      <c r="F115" s="5"/>
      <c r="G115" s="6" t="s">
        <v>204</v>
      </c>
      <c r="H115" s="6" t="s">
        <v>68</v>
      </c>
      <c r="I115" s="6" t="s">
        <v>1390</v>
      </c>
      <c r="J115" s="6">
        <v>15649</v>
      </c>
      <c r="K115" s="7" t="s">
        <v>4951</v>
      </c>
      <c r="L115" s="8">
        <v>9583857</v>
      </c>
      <c r="M115" s="8" t="str">
        <f t="shared" ref="M115:M129" si="19">"USD"</f>
        <v>USD</v>
      </c>
      <c r="N115" s="13">
        <v>95.04</v>
      </c>
      <c r="O115" s="13"/>
      <c r="P115" s="3">
        <f t="shared" si="10"/>
        <v>0</v>
      </c>
      <c r="Q115" s="3">
        <f t="shared" si="11"/>
        <v>0</v>
      </c>
      <c r="R115" s="3">
        <f t="shared" si="9"/>
        <v>17597.39</v>
      </c>
      <c r="S115" s="24"/>
      <c r="T115" s="24" t="s">
        <v>1334</v>
      </c>
      <c r="U115" s="61"/>
      <c r="V115" s="3"/>
      <c r="W115" s="3"/>
      <c r="X115" s="3"/>
      <c r="Y115" s="3"/>
      <c r="Z115" s="3"/>
      <c r="AA115" s="3" t="str">
        <f>IF(BCP_Dolares[[#This Row],[fecha]]&gt;0,TEXT(BCP_Dolares[[#This Row],[fecha]],"mmmm"),0)</f>
        <v>Abril</v>
      </c>
    </row>
    <row r="116" spans="1:27" ht="24" x14ac:dyDescent="0.3">
      <c r="A116" s="2" t="str">
        <f>IF(BCP_Dolares[[#This Row],[tipo_registro]]="R",COUNTIFS($C$1:$C115,"R")+1,"")</f>
        <v/>
      </c>
      <c r="B116" s="19" t="str">
        <f t="shared" si="18"/>
        <v>B-BCP - Dolares</v>
      </c>
      <c r="C116" s="3" t="s">
        <v>1352</v>
      </c>
      <c r="D116" s="14">
        <v>45748</v>
      </c>
      <c r="E116" s="5" t="s">
        <v>1338</v>
      </c>
      <c r="F116" s="5"/>
      <c r="G116" s="6" t="s">
        <v>204</v>
      </c>
      <c r="H116" s="6" t="s">
        <v>68</v>
      </c>
      <c r="I116" s="6" t="s">
        <v>1390</v>
      </c>
      <c r="J116" s="6">
        <v>15671</v>
      </c>
      <c r="K116" s="7" t="s">
        <v>4951</v>
      </c>
      <c r="L116" s="8">
        <v>9583857</v>
      </c>
      <c r="M116" s="8" t="str">
        <f t="shared" si="19"/>
        <v>USD</v>
      </c>
      <c r="N116" s="13">
        <v>60.89</v>
      </c>
      <c r="O116" s="13"/>
      <c r="P116" s="3">
        <f t="shared" si="10"/>
        <v>0</v>
      </c>
      <c r="Q116" s="3">
        <f t="shared" si="11"/>
        <v>0</v>
      </c>
      <c r="R116" s="3">
        <f t="shared" si="9"/>
        <v>17597.39</v>
      </c>
      <c r="S116" s="24"/>
      <c r="T116" s="24" t="s">
        <v>1334</v>
      </c>
      <c r="U116" s="61"/>
      <c r="V116" s="3"/>
      <c r="W116" s="3"/>
      <c r="X116" s="3"/>
      <c r="Y116" s="3"/>
      <c r="Z116" s="3"/>
      <c r="AA116" s="3" t="str">
        <f>IF(BCP_Dolares[[#This Row],[fecha]]&gt;0,TEXT(BCP_Dolares[[#This Row],[fecha]],"mmmm"),0)</f>
        <v>Abril</v>
      </c>
    </row>
    <row r="117" spans="1:27" ht="24" x14ac:dyDescent="0.3">
      <c r="A117" s="2" t="str">
        <f>IF(BCP_Dolares[[#This Row],[tipo_registro]]="R",COUNTIFS($C$1:$C116,"R")+1,"")</f>
        <v/>
      </c>
      <c r="B117" s="19" t="str">
        <f t="shared" si="18"/>
        <v>B-BCP - Dolares</v>
      </c>
      <c r="C117" s="3" t="s">
        <v>1352</v>
      </c>
      <c r="D117" s="14">
        <v>45748</v>
      </c>
      <c r="E117" s="5" t="s">
        <v>1338</v>
      </c>
      <c r="F117" s="5"/>
      <c r="G117" s="6" t="s">
        <v>204</v>
      </c>
      <c r="H117" s="6" t="s">
        <v>68</v>
      </c>
      <c r="I117" s="6" t="s">
        <v>1390</v>
      </c>
      <c r="J117" s="6">
        <v>15662</v>
      </c>
      <c r="K117" s="7" t="s">
        <v>4951</v>
      </c>
      <c r="L117" s="8">
        <v>9583857</v>
      </c>
      <c r="M117" s="8" t="str">
        <f t="shared" si="19"/>
        <v>USD</v>
      </c>
      <c r="N117" s="13">
        <v>884.63</v>
      </c>
      <c r="O117" s="13"/>
      <c r="P117" s="3">
        <f t="shared" si="10"/>
        <v>0</v>
      </c>
      <c r="Q117" s="3">
        <f t="shared" si="11"/>
        <v>0</v>
      </c>
      <c r="R117" s="3">
        <f t="shared" si="9"/>
        <v>17597.39</v>
      </c>
      <c r="S117" s="24"/>
      <c r="T117" s="24" t="s">
        <v>1334</v>
      </c>
      <c r="U117" s="61"/>
      <c r="V117" s="3"/>
      <c r="W117" s="3"/>
      <c r="X117" s="3"/>
      <c r="Y117" s="3"/>
      <c r="Z117" s="3"/>
      <c r="AA117" s="3" t="str">
        <f>IF(BCP_Dolares[[#This Row],[fecha]]&gt;0,TEXT(BCP_Dolares[[#This Row],[fecha]],"mmmm"),0)</f>
        <v>Abril</v>
      </c>
    </row>
    <row r="118" spans="1:27" ht="24" x14ac:dyDescent="0.3">
      <c r="A118" s="2" t="str">
        <f>IF(BCP_Dolares[[#This Row],[tipo_registro]]="R",COUNTIFS($C$1:$C117,"R")+1,"")</f>
        <v/>
      </c>
      <c r="B118" s="19" t="str">
        <f t="shared" si="18"/>
        <v>B-BCP - Dolares</v>
      </c>
      <c r="C118" s="3" t="s">
        <v>1352</v>
      </c>
      <c r="D118" s="14">
        <v>45748</v>
      </c>
      <c r="E118" s="5" t="s">
        <v>1338</v>
      </c>
      <c r="F118" s="5"/>
      <c r="G118" s="6" t="s">
        <v>204</v>
      </c>
      <c r="H118" s="6" t="s">
        <v>68</v>
      </c>
      <c r="I118" s="6" t="s">
        <v>1390</v>
      </c>
      <c r="J118" s="6">
        <v>15661</v>
      </c>
      <c r="K118" s="7" t="s">
        <v>4951</v>
      </c>
      <c r="L118" s="8">
        <v>9583857</v>
      </c>
      <c r="M118" s="8" t="str">
        <f t="shared" si="19"/>
        <v>USD</v>
      </c>
      <c r="N118" s="13">
        <v>477.89</v>
      </c>
      <c r="O118" s="13"/>
      <c r="P118" s="3">
        <f t="shared" si="10"/>
        <v>0</v>
      </c>
      <c r="Q118" s="3">
        <f t="shared" si="11"/>
        <v>0</v>
      </c>
      <c r="R118" s="3">
        <f t="shared" si="9"/>
        <v>17597.39</v>
      </c>
      <c r="S118" s="24"/>
      <c r="T118" s="24" t="s">
        <v>1334</v>
      </c>
      <c r="U118" s="61"/>
      <c r="V118" s="3"/>
      <c r="W118" s="3"/>
      <c r="X118" s="3"/>
      <c r="Y118" s="3"/>
      <c r="Z118" s="3"/>
      <c r="AA118" s="3" t="str">
        <f>IF(BCP_Dolares[[#This Row],[fecha]]&gt;0,TEXT(BCP_Dolares[[#This Row],[fecha]],"mmmm"),0)</f>
        <v>Abril</v>
      </c>
    </row>
    <row r="119" spans="1:27" ht="24" x14ac:dyDescent="0.3">
      <c r="A119" s="2" t="str">
        <f>IF(BCP_Dolares[[#This Row],[tipo_registro]]="R",COUNTIFS($C$1:$C118,"R")+1,"")</f>
        <v/>
      </c>
      <c r="B119" s="19" t="str">
        <f t="shared" si="18"/>
        <v>B-BCP - Dolares</v>
      </c>
      <c r="C119" s="3" t="s">
        <v>1352</v>
      </c>
      <c r="D119" s="14">
        <v>45748</v>
      </c>
      <c r="E119" s="5" t="s">
        <v>1338</v>
      </c>
      <c r="F119" s="5"/>
      <c r="G119" s="6" t="s">
        <v>204</v>
      </c>
      <c r="H119" s="6" t="s">
        <v>68</v>
      </c>
      <c r="I119" s="6" t="s">
        <v>1390</v>
      </c>
      <c r="J119" s="6">
        <v>15652</v>
      </c>
      <c r="K119" s="7" t="s">
        <v>4951</v>
      </c>
      <c r="L119" s="8">
        <v>9583857</v>
      </c>
      <c r="M119" s="8" t="str">
        <f t="shared" si="19"/>
        <v>USD</v>
      </c>
      <c r="N119" s="13">
        <v>75.19</v>
      </c>
      <c r="O119" s="13"/>
      <c r="P119" s="3">
        <f t="shared" si="10"/>
        <v>0</v>
      </c>
      <c r="Q119" s="3">
        <f t="shared" si="11"/>
        <v>0</v>
      </c>
      <c r="R119" s="3">
        <f t="shared" si="9"/>
        <v>17597.39</v>
      </c>
      <c r="S119" s="24"/>
      <c r="T119" s="24" t="s">
        <v>1334</v>
      </c>
      <c r="U119" s="61"/>
      <c r="V119" s="3"/>
      <c r="W119" s="3"/>
      <c r="X119" s="3"/>
      <c r="Y119" s="3"/>
      <c r="Z119" s="3"/>
      <c r="AA119" s="3" t="str">
        <f>IF(BCP_Dolares[[#This Row],[fecha]]&gt;0,TEXT(BCP_Dolares[[#This Row],[fecha]],"mmmm"),0)</f>
        <v>Abril</v>
      </c>
    </row>
    <row r="120" spans="1:27" ht="24" x14ac:dyDescent="0.3">
      <c r="A120" s="2" t="str">
        <f>IF(BCP_Dolares[[#This Row],[tipo_registro]]="R",COUNTIFS($C$1:$C119,"R")+1,"")</f>
        <v/>
      </c>
      <c r="B120" s="19" t="str">
        <f t="shared" si="18"/>
        <v>B-BCP - Dolares</v>
      </c>
      <c r="C120" s="3" t="s">
        <v>1352</v>
      </c>
      <c r="D120" s="14">
        <v>45748</v>
      </c>
      <c r="E120" s="5" t="s">
        <v>1338</v>
      </c>
      <c r="F120" s="5"/>
      <c r="G120" s="6" t="s">
        <v>204</v>
      </c>
      <c r="H120" s="6" t="s">
        <v>68</v>
      </c>
      <c r="I120" s="6" t="s">
        <v>1390</v>
      </c>
      <c r="J120" s="6">
        <v>15704</v>
      </c>
      <c r="K120" s="7" t="s">
        <v>4951</v>
      </c>
      <c r="L120" s="8">
        <v>9583857</v>
      </c>
      <c r="M120" s="8" t="str">
        <f t="shared" si="19"/>
        <v>USD</v>
      </c>
      <c r="N120" s="13">
        <v>74.510000000000005</v>
      </c>
      <c r="O120" s="13"/>
      <c r="P120" s="3">
        <f t="shared" si="10"/>
        <v>0</v>
      </c>
      <c r="Q120" s="3">
        <f t="shared" si="11"/>
        <v>0</v>
      </c>
      <c r="R120" s="3">
        <f t="shared" si="9"/>
        <v>17597.39</v>
      </c>
      <c r="S120" s="24"/>
      <c r="T120" s="24" t="s">
        <v>1334</v>
      </c>
      <c r="U120" s="61"/>
      <c r="V120" s="3"/>
      <c r="W120" s="3"/>
      <c r="X120" s="3"/>
      <c r="Y120" s="3"/>
      <c r="Z120" s="3"/>
      <c r="AA120" s="3" t="str">
        <f>IF(BCP_Dolares[[#This Row],[fecha]]&gt;0,TEXT(BCP_Dolares[[#This Row],[fecha]],"mmmm"),0)</f>
        <v>Abril</v>
      </c>
    </row>
    <row r="121" spans="1:27" ht="24" x14ac:dyDescent="0.3">
      <c r="A121" s="2" t="str">
        <f>IF(BCP_Dolares[[#This Row],[tipo_registro]]="R",COUNTIFS($C$1:$C120,"R")+1,"")</f>
        <v/>
      </c>
      <c r="B121" s="19" t="str">
        <f t="shared" si="18"/>
        <v>B-BCP - Dolares</v>
      </c>
      <c r="C121" s="3" t="s">
        <v>1352</v>
      </c>
      <c r="D121" s="14">
        <v>45748</v>
      </c>
      <c r="E121" s="5" t="s">
        <v>1338</v>
      </c>
      <c r="F121" s="5"/>
      <c r="G121" s="6" t="s">
        <v>204</v>
      </c>
      <c r="H121" s="6" t="s">
        <v>68</v>
      </c>
      <c r="I121" s="6" t="s">
        <v>1390</v>
      </c>
      <c r="J121" s="6">
        <v>15705</v>
      </c>
      <c r="K121" s="7" t="s">
        <v>4951</v>
      </c>
      <c r="L121" s="8">
        <v>9583857</v>
      </c>
      <c r="M121" s="8" t="str">
        <f t="shared" si="19"/>
        <v>USD</v>
      </c>
      <c r="N121" s="13">
        <v>78.930000000000007</v>
      </c>
      <c r="O121" s="13"/>
      <c r="P121" s="3">
        <f t="shared" si="10"/>
        <v>0</v>
      </c>
      <c r="Q121" s="3">
        <f t="shared" si="11"/>
        <v>0</v>
      </c>
      <c r="R121" s="3">
        <f t="shared" si="9"/>
        <v>17597.39</v>
      </c>
      <c r="S121" s="24"/>
      <c r="T121" s="24" t="s">
        <v>1334</v>
      </c>
      <c r="U121" s="61"/>
      <c r="V121" s="3"/>
      <c r="W121" s="3"/>
      <c r="X121" s="3"/>
      <c r="Y121" s="3"/>
      <c r="Z121" s="3"/>
      <c r="AA121" s="3" t="str">
        <f>IF(BCP_Dolares[[#This Row],[fecha]]&gt;0,TEXT(BCP_Dolares[[#This Row],[fecha]],"mmmm"),0)</f>
        <v>Abril</v>
      </c>
    </row>
    <row r="122" spans="1:27" ht="24" x14ac:dyDescent="0.3">
      <c r="A122" s="2" t="str">
        <f>IF(BCP_Dolares[[#This Row],[tipo_registro]]="R",COUNTIFS($C$1:$C121,"R")+1,"")</f>
        <v/>
      </c>
      <c r="B122" s="19" t="str">
        <f t="shared" si="18"/>
        <v>B-BCP - Dolares</v>
      </c>
      <c r="C122" s="3" t="s">
        <v>1352</v>
      </c>
      <c r="D122" s="14">
        <v>45748</v>
      </c>
      <c r="E122" s="5" t="s">
        <v>1338</v>
      </c>
      <c r="F122" s="5"/>
      <c r="G122" s="6" t="s">
        <v>204</v>
      </c>
      <c r="H122" s="6" t="s">
        <v>68</v>
      </c>
      <c r="I122" s="6" t="s">
        <v>1390</v>
      </c>
      <c r="J122" s="6">
        <v>15720</v>
      </c>
      <c r="K122" s="7" t="s">
        <v>4951</v>
      </c>
      <c r="L122" s="8">
        <v>9583857</v>
      </c>
      <c r="M122" s="8" t="str">
        <f t="shared" si="19"/>
        <v>USD</v>
      </c>
      <c r="N122" s="13">
        <v>59.68</v>
      </c>
      <c r="O122" s="13"/>
      <c r="P122" s="3">
        <f t="shared" si="10"/>
        <v>0</v>
      </c>
      <c r="Q122" s="3">
        <f t="shared" si="11"/>
        <v>0</v>
      </c>
      <c r="R122" s="3">
        <f t="shared" si="9"/>
        <v>17597.39</v>
      </c>
      <c r="S122" s="24"/>
      <c r="T122" s="24" t="s">
        <v>1334</v>
      </c>
      <c r="U122" s="61"/>
      <c r="V122" s="3"/>
      <c r="W122" s="3"/>
      <c r="X122" s="3"/>
      <c r="Y122" s="3"/>
      <c r="Z122" s="3"/>
      <c r="AA122" s="3" t="str">
        <f>IF(BCP_Dolares[[#This Row],[fecha]]&gt;0,TEXT(BCP_Dolares[[#This Row],[fecha]],"mmmm"),0)</f>
        <v>Abril</v>
      </c>
    </row>
    <row r="123" spans="1:27" ht="24" x14ac:dyDescent="0.3">
      <c r="A123" s="2" t="str">
        <f>IF(BCP_Dolares[[#This Row],[tipo_registro]]="R",COUNTIFS($C$1:$C122,"R")+1,"")</f>
        <v/>
      </c>
      <c r="B123" s="19" t="str">
        <f t="shared" si="18"/>
        <v>B-BCP - Dolares</v>
      </c>
      <c r="C123" s="3" t="s">
        <v>1352</v>
      </c>
      <c r="D123" s="14">
        <v>45748</v>
      </c>
      <c r="E123" s="5" t="s">
        <v>1338</v>
      </c>
      <c r="F123" s="5"/>
      <c r="G123" s="6" t="s">
        <v>204</v>
      </c>
      <c r="H123" s="6" t="s">
        <v>68</v>
      </c>
      <c r="I123" s="6" t="s">
        <v>1390</v>
      </c>
      <c r="J123" s="6">
        <v>15708</v>
      </c>
      <c r="K123" s="7" t="s">
        <v>4951</v>
      </c>
      <c r="L123" s="8">
        <v>9583857</v>
      </c>
      <c r="M123" s="8" t="str">
        <f t="shared" si="19"/>
        <v>USD</v>
      </c>
      <c r="N123" s="13">
        <v>46.83</v>
      </c>
      <c r="O123" s="13"/>
      <c r="P123" s="3">
        <f t="shared" si="10"/>
        <v>0</v>
      </c>
      <c r="Q123" s="3">
        <f t="shared" si="11"/>
        <v>0</v>
      </c>
      <c r="R123" s="3">
        <f t="shared" si="9"/>
        <v>17597.39</v>
      </c>
      <c r="S123" s="24"/>
      <c r="T123" s="24" t="s">
        <v>1334</v>
      </c>
      <c r="U123" s="61"/>
      <c r="V123" s="3"/>
      <c r="W123" s="3"/>
      <c r="X123" s="3"/>
      <c r="Y123" s="3"/>
      <c r="Z123" s="3"/>
      <c r="AA123" s="3" t="str">
        <f>IF(BCP_Dolares[[#This Row],[fecha]]&gt;0,TEXT(BCP_Dolares[[#This Row],[fecha]],"mmmm"),0)</f>
        <v>Abril</v>
      </c>
    </row>
    <row r="124" spans="1:27" ht="24" x14ac:dyDescent="0.3">
      <c r="A124" s="2" t="str">
        <f>IF(BCP_Dolares[[#This Row],[tipo_registro]]="R",COUNTIFS($C$1:$C123,"R")+1,"")</f>
        <v/>
      </c>
      <c r="B124" s="19" t="str">
        <f t="shared" si="18"/>
        <v>B-BCP - Dolares</v>
      </c>
      <c r="C124" s="3" t="s">
        <v>1352</v>
      </c>
      <c r="D124" s="14">
        <v>45748</v>
      </c>
      <c r="E124" s="5" t="s">
        <v>1338</v>
      </c>
      <c r="F124" s="5"/>
      <c r="G124" s="6" t="s">
        <v>204</v>
      </c>
      <c r="H124" s="6" t="s">
        <v>68</v>
      </c>
      <c r="I124" s="6" t="s">
        <v>1390</v>
      </c>
      <c r="J124" s="6">
        <v>15698</v>
      </c>
      <c r="K124" s="7" t="s">
        <v>4951</v>
      </c>
      <c r="L124" s="8">
        <v>9583857</v>
      </c>
      <c r="M124" s="8" t="str">
        <f t="shared" si="19"/>
        <v>USD</v>
      </c>
      <c r="N124" s="13">
        <v>99.17</v>
      </c>
      <c r="O124" s="13"/>
      <c r="P124" s="3">
        <f t="shared" si="10"/>
        <v>0</v>
      </c>
      <c r="Q124" s="3">
        <f t="shared" si="11"/>
        <v>0</v>
      </c>
      <c r="R124" s="3">
        <f t="shared" si="9"/>
        <v>17597.39</v>
      </c>
      <c r="S124" s="24"/>
      <c r="T124" s="24" t="s">
        <v>1334</v>
      </c>
      <c r="U124" s="61"/>
      <c r="V124" s="3"/>
      <c r="W124" s="3"/>
      <c r="X124" s="3"/>
      <c r="Y124" s="3"/>
      <c r="Z124" s="3"/>
      <c r="AA124" s="3" t="str">
        <f>IF(BCP_Dolares[[#This Row],[fecha]]&gt;0,TEXT(BCP_Dolares[[#This Row],[fecha]],"mmmm"),0)</f>
        <v>Abril</v>
      </c>
    </row>
    <row r="125" spans="1:27" ht="24" x14ac:dyDescent="0.3">
      <c r="A125" s="2" t="str">
        <f>IF(BCP_Dolares[[#This Row],[tipo_registro]]="R",COUNTIFS($C$1:$C124,"R")+1,"")</f>
        <v/>
      </c>
      <c r="B125" s="19" t="str">
        <f t="shared" si="18"/>
        <v>B-BCP - Dolares</v>
      </c>
      <c r="C125" s="3" t="s">
        <v>1352</v>
      </c>
      <c r="D125" s="14">
        <v>45748</v>
      </c>
      <c r="E125" s="5" t="s">
        <v>1338</v>
      </c>
      <c r="F125" s="5"/>
      <c r="G125" s="6" t="s">
        <v>204</v>
      </c>
      <c r="H125" s="6" t="s">
        <v>68</v>
      </c>
      <c r="I125" s="6" t="s">
        <v>1390</v>
      </c>
      <c r="J125" s="6">
        <v>15756</v>
      </c>
      <c r="K125" s="7" t="s">
        <v>4951</v>
      </c>
      <c r="L125" s="8">
        <v>9583857</v>
      </c>
      <c r="M125" s="8" t="str">
        <f t="shared" si="19"/>
        <v>USD</v>
      </c>
      <c r="N125" s="13">
        <v>101.19</v>
      </c>
      <c r="O125" s="13"/>
      <c r="P125" s="3">
        <f t="shared" si="10"/>
        <v>0</v>
      </c>
      <c r="Q125" s="3">
        <f t="shared" si="11"/>
        <v>0</v>
      </c>
      <c r="R125" s="3">
        <f t="shared" si="9"/>
        <v>17597.39</v>
      </c>
      <c r="S125" s="24"/>
      <c r="T125" s="24" t="s">
        <v>1334</v>
      </c>
      <c r="U125" s="61"/>
      <c r="V125" s="3"/>
      <c r="W125" s="3"/>
      <c r="X125" s="3"/>
      <c r="Y125" s="3"/>
      <c r="Z125" s="3"/>
      <c r="AA125" s="3" t="str">
        <f>IF(BCP_Dolares[[#This Row],[fecha]]&gt;0,TEXT(BCP_Dolares[[#This Row],[fecha]],"mmmm"),0)</f>
        <v>Abril</v>
      </c>
    </row>
    <row r="126" spans="1:27" ht="24" x14ac:dyDescent="0.3">
      <c r="A126" s="2" t="str">
        <f>IF(BCP_Dolares[[#This Row],[tipo_registro]]="R",COUNTIFS($C$1:$C125,"R")+1,"")</f>
        <v/>
      </c>
      <c r="B126" s="19" t="str">
        <f t="shared" si="18"/>
        <v>B-BCP - Dolares</v>
      </c>
      <c r="C126" s="3" t="s">
        <v>1352</v>
      </c>
      <c r="D126" s="14">
        <v>45748</v>
      </c>
      <c r="E126" s="5" t="s">
        <v>1338</v>
      </c>
      <c r="F126" s="5"/>
      <c r="G126" s="6" t="s">
        <v>204</v>
      </c>
      <c r="H126" s="6" t="s">
        <v>68</v>
      </c>
      <c r="I126" s="6" t="s">
        <v>1390</v>
      </c>
      <c r="J126" s="6">
        <v>15732</v>
      </c>
      <c r="K126" s="7" t="s">
        <v>4951</v>
      </c>
      <c r="L126" s="8">
        <v>9583857</v>
      </c>
      <c r="M126" s="8" t="str">
        <f t="shared" si="19"/>
        <v>USD</v>
      </c>
      <c r="N126" s="13">
        <v>53.03</v>
      </c>
      <c r="O126" s="13"/>
      <c r="P126" s="3">
        <f t="shared" si="10"/>
        <v>0</v>
      </c>
      <c r="Q126" s="3">
        <f t="shared" si="11"/>
        <v>0</v>
      </c>
      <c r="R126" s="3">
        <f t="shared" si="9"/>
        <v>17597.39</v>
      </c>
      <c r="S126" s="24"/>
      <c r="T126" s="24" t="s">
        <v>1334</v>
      </c>
      <c r="U126" s="61"/>
      <c r="V126" s="3"/>
      <c r="W126" s="3"/>
      <c r="X126" s="3"/>
      <c r="Y126" s="3"/>
      <c r="Z126" s="3"/>
      <c r="AA126" s="3" t="str">
        <f>IF(BCP_Dolares[[#This Row],[fecha]]&gt;0,TEXT(BCP_Dolares[[#This Row],[fecha]],"mmmm"),0)</f>
        <v>Abril</v>
      </c>
    </row>
    <row r="127" spans="1:27" ht="24" x14ac:dyDescent="0.3">
      <c r="A127" s="2" t="str">
        <f>IF(BCP_Dolares[[#This Row],[tipo_registro]]="R",COUNTIFS($C$1:$C126,"R")+1,"")</f>
        <v/>
      </c>
      <c r="B127" s="19" t="str">
        <f t="shared" si="18"/>
        <v>B-BCP - Dolares</v>
      </c>
      <c r="C127" s="3" t="s">
        <v>1352</v>
      </c>
      <c r="D127" s="14">
        <v>45748</v>
      </c>
      <c r="E127" s="5" t="s">
        <v>1338</v>
      </c>
      <c r="F127" s="5"/>
      <c r="G127" s="6" t="s">
        <v>204</v>
      </c>
      <c r="H127" s="6" t="s">
        <v>68</v>
      </c>
      <c r="I127" s="6" t="s">
        <v>1390</v>
      </c>
      <c r="J127" s="6">
        <v>15722</v>
      </c>
      <c r="K127" s="7" t="s">
        <v>4951</v>
      </c>
      <c r="L127" s="8">
        <v>9583857</v>
      </c>
      <c r="M127" s="8" t="str">
        <f t="shared" si="19"/>
        <v>USD</v>
      </c>
      <c r="N127" s="13">
        <v>80.66</v>
      </c>
      <c r="O127" s="13"/>
      <c r="P127" s="3">
        <f t="shared" si="10"/>
        <v>0</v>
      </c>
      <c r="Q127" s="3">
        <f t="shared" si="11"/>
        <v>0</v>
      </c>
      <c r="R127" s="3">
        <f t="shared" si="9"/>
        <v>17597.39</v>
      </c>
      <c r="S127" s="24"/>
      <c r="T127" s="24" t="s">
        <v>1334</v>
      </c>
      <c r="U127" s="61"/>
      <c r="V127" s="3"/>
      <c r="W127" s="3"/>
      <c r="X127" s="3"/>
      <c r="Y127" s="3"/>
      <c r="Z127" s="3"/>
      <c r="AA127" s="3" t="str">
        <f>IF(BCP_Dolares[[#This Row],[fecha]]&gt;0,TEXT(BCP_Dolares[[#This Row],[fecha]],"mmmm"),0)</f>
        <v>Abril</v>
      </c>
    </row>
    <row r="128" spans="1:27" ht="24" x14ac:dyDescent="0.3">
      <c r="A128" s="2" t="str">
        <f>IF(BCP_Dolares[[#This Row],[tipo_registro]]="R",COUNTIFS($C$1:$C127,"R")+1,"")</f>
        <v/>
      </c>
      <c r="B128" s="19" t="str">
        <f t="shared" si="18"/>
        <v>B-BCP - Dolares</v>
      </c>
      <c r="C128" s="3" t="s">
        <v>1352</v>
      </c>
      <c r="D128" s="14">
        <v>45748</v>
      </c>
      <c r="E128" s="5" t="s">
        <v>1338</v>
      </c>
      <c r="F128" s="5"/>
      <c r="G128" s="6" t="s">
        <v>204</v>
      </c>
      <c r="H128" s="6" t="s">
        <v>68</v>
      </c>
      <c r="I128" s="6" t="s">
        <v>1390</v>
      </c>
      <c r="J128" s="6">
        <v>15736</v>
      </c>
      <c r="K128" s="7" t="s">
        <v>4951</v>
      </c>
      <c r="L128" s="8">
        <v>9583857</v>
      </c>
      <c r="M128" s="8" t="str">
        <f t="shared" si="19"/>
        <v>USD</v>
      </c>
      <c r="N128" s="13">
        <v>37.79</v>
      </c>
      <c r="O128" s="13"/>
      <c r="P128" s="3">
        <f t="shared" si="10"/>
        <v>0</v>
      </c>
      <c r="Q128" s="3">
        <f t="shared" si="11"/>
        <v>0</v>
      </c>
      <c r="R128" s="3">
        <f t="shared" si="9"/>
        <v>17597.39</v>
      </c>
      <c r="S128" s="24"/>
      <c r="T128" s="24" t="s">
        <v>1334</v>
      </c>
      <c r="U128" s="61"/>
      <c r="V128" s="3"/>
      <c r="W128" s="3"/>
      <c r="X128" s="3"/>
      <c r="Y128" s="3"/>
      <c r="Z128" s="3"/>
      <c r="AA128" s="3" t="str">
        <f>IF(BCP_Dolares[[#This Row],[fecha]]&gt;0,TEXT(BCP_Dolares[[#This Row],[fecha]],"mmmm"),0)</f>
        <v>Abril</v>
      </c>
    </row>
    <row r="129" spans="1:27" ht="24" x14ac:dyDescent="0.3">
      <c r="A129" s="2" t="str">
        <f>IF(BCP_Dolares[[#This Row],[tipo_registro]]="R",COUNTIFS($C$1:$C128,"R")+1,"")</f>
        <v/>
      </c>
      <c r="B129" s="19" t="str">
        <f t="shared" si="18"/>
        <v>B-BCP - Dolares</v>
      </c>
      <c r="C129" s="3" t="s">
        <v>1352</v>
      </c>
      <c r="D129" s="14">
        <v>45748</v>
      </c>
      <c r="E129" s="5" t="s">
        <v>1338</v>
      </c>
      <c r="F129" s="5"/>
      <c r="G129" s="6" t="s">
        <v>204</v>
      </c>
      <c r="H129" s="6" t="s">
        <v>68</v>
      </c>
      <c r="I129" s="6" t="s">
        <v>1390</v>
      </c>
      <c r="J129" s="6">
        <v>15746</v>
      </c>
      <c r="K129" s="7" t="s">
        <v>4951</v>
      </c>
      <c r="L129" s="8">
        <v>9583857</v>
      </c>
      <c r="M129" s="8" t="str">
        <f t="shared" si="19"/>
        <v>USD</v>
      </c>
      <c r="N129" s="13">
        <v>61.32</v>
      </c>
      <c r="O129" s="13"/>
      <c r="P129" s="3">
        <f t="shared" si="10"/>
        <v>0</v>
      </c>
      <c r="Q129" s="3">
        <f t="shared" si="11"/>
        <v>0</v>
      </c>
      <c r="R129" s="3">
        <f t="shared" si="9"/>
        <v>17597.39</v>
      </c>
      <c r="S129" s="24"/>
      <c r="T129" s="24" t="s">
        <v>1334</v>
      </c>
      <c r="U129" s="61"/>
      <c r="V129" s="3"/>
      <c r="W129" s="3"/>
      <c r="X129" s="3"/>
      <c r="Y129" s="3"/>
      <c r="Z129" s="3"/>
      <c r="AA129" s="3" t="str">
        <f>IF(BCP_Dolares[[#This Row],[fecha]]&gt;0,TEXT(BCP_Dolares[[#This Row],[fecha]],"mmmm"),0)</f>
        <v>Abril</v>
      </c>
    </row>
    <row r="130" spans="1:27" x14ac:dyDescent="0.3">
      <c r="A130" s="2">
        <f>IF(BCP_Dolares[[#This Row],[tipo_registro]]="R",COUNTIFS($C$1:$C129,"R")+1,"")</f>
        <v>51</v>
      </c>
      <c r="B130" s="19" t="str">
        <f t="shared" si="12"/>
        <v>B-BCP - Dolares</v>
      </c>
      <c r="C130" s="3" t="s">
        <v>1330</v>
      </c>
      <c r="D130" s="14">
        <v>45748</v>
      </c>
      <c r="E130" s="5" t="s">
        <v>1335</v>
      </c>
      <c r="F130" s="5" t="s">
        <v>1336</v>
      </c>
      <c r="G130" s="6"/>
      <c r="H130" s="6"/>
      <c r="I130" s="6"/>
      <c r="J130" s="6"/>
      <c r="K130" s="7" t="s">
        <v>1337</v>
      </c>
      <c r="L130" s="8"/>
      <c r="M130" s="8" t="str">
        <f t="shared" si="13"/>
        <v>USD</v>
      </c>
      <c r="N130" s="13"/>
      <c r="O130" s="13">
        <v>0.1</v>
      </c>
      <c r="P130" s="3">
        <f t="shared" si="10"/>
        <v>0</v>
      </c>
      <c r="Q130" s="3">
        <f t="shared" si="11"/>
        <v>0.1</v>
      </c>
      <c r="R130" s="3">
        <f t="shared" ref="R130:R193" si="20">IFERROR(IF(F130="SALDO",P130,R129+P130-Q130),0)</f>
        <v>17597.29</v>
      </c>
      <c r="S130" s="24" t="s">
        <v>1334</v>
      </c>
      <c r="T130" s="24" t="s">
        <v>1334</v>
      </c>
      <c r="U130" s="61"/>
      <c r="V130" s="3"/>
      <c r="W130" s="3"/>
      <c r="X130" s="3"/>
      <c r="Y130" s="3"/>
      <c r="Z130" s="3"/>
      <c r="AA130" s="3" t="str">
        <f>IF(BCP_Dolares[[#This Row],[fecha]]&gt;0,TEXT(BCP_Dolares[[#This Row],[fecha]],"mmmm"),0)</f>
        <v>Abril</v>
      </c>
    </row>
    <row r="131" spans="1:27" ht="24" x14ac:dyDescent="0.3">
      <c r="A131" s="2">
        <f>IF(BCP_Dolares[[#This Row],[tipo_registro]]="R",COUNTIFS($C$1:$C130,"R")+1,"")</f>
        <v>52</v>
      </c>
      <c r="B131" s="19" t="str">
        <f t="shared" si="12"/>
        <v>B-BCP - Dolares</v>
      </c>
      <c r="C131" s="3" t="s">
        <v>1330</v>
      </c>
      <c r="D131" s="14">
        <v>45755</v>
      </c>
      <c r="E131" s="5" t="s">
        <v>1338</v>
      </c>
      <c r="F131" s="5" t="s">
        <v>1336</v>
      </c>
      <c r="G131" s="6" t="s">
        <v>248</v>
      </c>
      <c r="H131" s="6" t="s">
        <v>68</v>
      </c>
      <c r="I131" s="6" t="s">
        <v>3302</v>
      </c>
      <c r="J131" s="6">
        <v>29771</v>
      </c>
      <c r="K131" s="7" t="s">
        <v>4952</v>
      </c>
      <c r="L131" s="8">
        <v>1005416</v>
      </c>
      <c r="M131" s="8" t="str">
        <f t="shared" si="13"/>
        <v>USD</v>
      </c>
      <c r="N131" s="13"/>
      <c r="O131" s="13">
        <v>94.4</v>
      </c>
      <c r="P131" s="3">
        <f t="shared" si="10"/>
        <v>0</v>
      </c>
      <c r="Q131" s="3">
        <f t="shared" si="11"/>
        <v>94.4</v>
      </c>
      <c r="R131" s="3">
        <f t="shared" si="20"/>
        <v>17502.89</v>
      </c>
      <c r="S131" s="24" t="s">
        <v>1334</v>
      </c>
      <c r="T131" s="24" t="s">
        <v>1334</v>
      </c>
      <c r="U131" s="61"/>
      <c r="V131" s="3" t="s">
        <v>248</v>
      </c>
      <c r="W131" s="3" t="s">
        <v>4953</v>
      </c>
      <c r="X131" s="3"/>
      <c r="Y131" s="3"/>
      <c r="Z131" s="3"/>
      <c r="AA131" s="3" t="str">
        <f>IF(BCP_Dolares[[#This Row],[fecha]]&gt;0,TEXT(BCP_Dolares[[#This Row],[fecha]],"mmmm"),0)</f>
        <v>Abril</v>
      </c>
    </row>
    <row r="132" spans="1:27" ht="24" x14ac:dyDescent="0.3">
      <c r="A132" s="2">
        <f>IF(BCP_Dolares[[#This Row],[tipo_registro]]="R",COUNTIFS($C$1:$C131,"R")+1,"")</f>
        <v>53</v>
      </c>
      <c r="B132" s="19" t="str">
        <f t="shared" si="12"/>
        <v>B-BCP - Dolares</v>
      </c>
      <c r="C132" s="3" t="s">
        <v>1330</v>
      </c>
      <c r="D132" s="14">
        <v>45763</v>
      </c>
      <c r="E132" s="5" t="s">
        <v>1338</v>
      </c>
      <c r="F132" s="5" t="s">
        <v>1336</v>
      </c>
      <c r="G132" s="6" t="s">
        <v>778</v>
      </c>
      <c r="H132" s="6" t="s">
        <v>68</v>
      </c>
      <c r="I132" s="6" t="s">
        <v>3078</v>
      </c>
      <c r="J132" s="6">
        <v>155043</v>
      </c>
      <c r="K132" s="7" t="s">
        <v>4954</v>
      </c>
      <c r="L132" s="8">
        <v>120484</v>
      </c>
      <c r="M132" s="8" t="str">
        <f t="shared" si="13"/>
        <v>USD</v>
      </c>
      <c r="N132" s="13"/>
      <c r="O132" s="13">
        <v>1010.25</v>
      </c>
      <c r="P132" s="3">
        <f t="shared" ref="P132:P199" si="21">+IF(OR($F132="SALDO",$F132="INGRESO"),$O132,0)</f>
        <v>0</v>
      </c>
      <c r="Q132" s="3">
        <f t="shared" ref="Q132:Q199" si="22">+IF($F132="EGRESO",$O132,0)</f>
        <v>1010.25</v>
      </c>
      <c r="R132" s="3">
        <f t="shared" si="20"/>
        <v>16492.64</v>
      </c>
      <c r="S132" s="24" t="s">
        <v>1334</v>
      </c>
      <c r="T132" s="24"/>
      <c r="U132" s="61"/>
      <c r="V132" s="3" t="s">
        <v>4905</v>
      </c>
      <c r="W132" s="3" t="s">
        <v>4955</v>
      </c>
      <c r="X132" s="3"/>
      <c r="Y132" s="3"/>
      <c r="Z132" s="3"/>
      <c r="AA132" s="3" t="str">
        <f>IF(BCP_Dolares[[#This Row],[fecha]]&gt;0,TEXT(BCP_Dolares[[#This Row],[fecha]],"mmmm"),0)</f>
        <v>Abril</v>
      </c>
    </row>
    <row r="133" spans="1:27" x14ac:dyDescent="0.3">
      <c r="A133" s="2">
        <f>IF(BCP_Dolares[[#This Row],[tipo_registro]]="R",COUNTIFS($C$1:$C132,"R")+1,"")</f>
        <v>54</v>
      </c>
      <c r="B133" s="19" t="str">
        <f t="shared" si="12"/>
        <v>B-BCP - Dolares</v>
      </c>
      <c r="C133" s="3" t="s">
        <v>1330</v>
      </c>
      <c r="D133" s="14">
        <v>45763</v>
      </c>
      <c r="E133" s="5" t="s">
        <v>1338</v>
      </c>
      <c r="F133" s="5" t="s">
        <v>1336</v>
      </c>
      <c r="G133" s="6"/>
      <c r="H133" s="6"/>
      <c r="I133" s="6"/>
      <c r="J133" s="6"/>
      <c r="K133" s="7" t="s">
        <v>4956</v>
      </c>
      <c r="L133" s="8">
        <v>5154924</v>
      </c>
      <c r="M133" s="8" t="str">
        <f t="shared" si="13"/>
        <v>USD</v>
      </c>
      <c r="N133" s="13"/>
      <c r="O133" s="13">
        <v>556.75</v>
      </c>
      <c r="P133" s="3">
        <f t="shared" si="21"/>
        <v>0</v>
      </c>
      <c r="Q133" s="3">
        <f t="shared" si="22"/>
        <v>556.75</v>
      </c>
      <c r="R133" s="3">
        <f t="shared" si="20"/>
        <v>15935.89</v>
      </c>
      <c r="S133" s="24" t="s">
        <v>1334</v>
      </c>
      <c r="T133" s="24" t="s">
        <v>1334</v>
      </c>
      <c r="U133" s="61"/>
      <c r="V133" s="3" t="s">
        <v>4923</v>
      </c>
      <c r="W133" s="3"/>
      <c r="X133" s="3"/>
      <c r="Y133" s="3"/>
      <c r="Z133" s="3"/>
      <c r="AA133" s="3" t="str">
        <f>IF(BCP_Dolares[[#This Row],[fecha]]&gt;0,TEXT(BCP_Dolares[[#This Row],[fecha]],"mmmm"),0)</f>
        <v>Abril</v>
      </c>
    </row>
    <row r="134" spans="1:27" ht="24" x14ac:dyDescent="0.3">
      <c r="A134" s="2" t="str">
        <f>IF(BCP_Dolares[[#This Row],[tipo_registro]]="R",COUNTIFS($C$1:$C133,"R")+1,"")</f>
        <v/>
      </c>
      <c r="B134" s="19" t="str">
        <f t="shared" ref="B134:B139" si="23">"B-BCP - Dolares"</f>
        <v>B-BCP - Dolares</v>
      </c>
      <c r="C134" s="3" t="s">
        <v>1352</v>
      </c>
      <c r="D134" s="14">
        <v>45763</v>
      </c>
      <c r="E134" s="5" t="s">
        <v>1338</v>
      </c>
      <c r="F134" s="5"/>
      <c r="G134" s="6" t="s">
        <v>204</v>
      </c>
      <c r="H134" s="6" t="s">
        <v>68</v>
      </c>
      <c r="I134" s="6" t="s">
        <v>1390</v>
      </c>
      <c r="J134" s="6">
        <v>15744</v>
      </c>
      <c r="K134" s="7" t="s">
        <v>4956</v>
      </c>
      <c r="L134" s="8">
        <v>5154924</v>
      </c>
      <c r="M134" s="8" t="str">
        <f t="shared" ref="M134:M139" si="24">"USD"</f>
        <v>USD</v>
      </c>
      <c r="N134" s="13">
        <v>47.48</v>
      </c>
      <c r="O134" s="13"/>
      <c r="P134" s="3">
        <f t="shared" si="21"/>
        <v>0</v>
      </c>
      <c r="Q134" s="3">
        <f t="shared" si="22"/>
        <v>0</v>
      </c>
      <c r="R134" s="3">
        <f t="shared" si="20"/>
        <v>15935.89</v>
      </c>
      <c r="S134" s="24"/>
      <c r="T134" s="24" t="s">
        <v>1334</v>
      </c>
      <c r="U134" s="61"/>
      <c r="V134" s="3"/>
      <c r="W134" s="3"/>
      <c r="X134" s="3"/>
      <c r="Y134" s="3"/>
      <c r="Z134" s="3"/>
      <c r="AA134" s="3" t="str">
        <f>IF(BCP_Dolares[[#This Row],[fecha]]&gt;0,TEXT(BCP_Dolares[[#This Row],[fecha]],"mmmm"),0)</f>
        <v>Abril</v>
      </c>
    </row>
    <row r="135" spans="1:27" ht="24" x14ac:dyDescent="0.3">
      <c r="A135" s="2" t="str">
        <f>IF(BCP_Dolares[[#This Row],[tipo_registro]]="R",COUNTIFS($C$1:$C134,"R")+1,"")</f>
        <v/>
      </c>
      <c r="B135" s="19" t="str">
        <f t="shared" si="23"/>
        <v>B-BCP - Dolares</v>
      </c>
      <c r="C135" s="3" t="s">
        <v>1352</v>
      </c>
      <c r="D135" s="14">
        <v>45763</v>
      </c>
      <c r="E135" s="5" t="s">
        <v>1338</v>
      </c>
      <c r="F135" s="5"/>
      <c r="G135" s="6" t="s">
        <v>204</v>
      </c>
      <c r="H135" s="6" t="s">
        <v>68</v>
      </c>
      <c r="I135" s="6" t="s">
        <v>1390</v>
      </c>
      <c r="J135" s="6">
        <v>15755</v>
      </c>
      <c r="K135" s="7" t="s">
        <v>4956</v>
      </c>
      <c r="L135" s="8">
        <v>5154924</v>
      </c>
      <c r="M135" s="8" t="str">
        <f t="shared" si="24"/>
        <v>USD</v>
      </c>
      <c r="N135" s="13">
        <v>127.71</v>
      </c>
      <c r="O135" s="13"/>
      <c r="P135" s="3">
        <f t="shared" si="21"/>
        <v>0</v>
      </c>
      <c r="Q135" s="3">
        <f t="shared" si="22"/>
        <v>0</v>
      </c>
      <c r="R135" s="3">
        <f t="shared" si="20"/>
        <v>15935.89</v>
      </c>
      <c r="S135" s="24"/>
      <c r="T135" s="24" t="s">
        <v>1334</v>
      </c>
      <c r="U135" s="61"/>
      <c r="V135" s="3"/>
      <c r="W135" s="3"/>
      <c r="X135" s="3"/>
      <c r="Y135" s="3"/>
      <c r="Z135" s="3"/>
      <c r="AA135" s="3" t="str">
        <f>IF(BCP_Dolares[[#This Row],[fecha]]&gt;0,TEXT(BCP_Dolares[[#This Row],[fecha]],"mmmm"),0)</f>
        <v>Abril</v>
      </c>
    </row>
    <row r="136" spans="1:27" ht="24" x14ac:dyDescent="0.3">
      <c r="A136" s="2" t="str">
        <f>IF(BCP_Dolares[[#This Row],[tipo_registro]]="R",COUNTIFS($C$1:$C135,"R")+1,"")</f>
        <v/>
      </c>
      <c r="B136" s="19" t="str">
        <f t="shared" si="23"/>
        <v>B-BCP - Dolares</v>
      </c>
      <c r="C136" s="3" t="s">
        <v>1352</v>
      </c>
      <c r="D136" s="14">
        <v>45763</v>
      </c>
      <c r="E136" s="5" t="s">
        <v>1338</v>
      </c>
      <c r="F136" s="5"/>
      <c r="G136" s="6" t="s">
        <v>204</v>
      </c>
      <c r="H136" s="6" t="s">
        <v>68</v>
      </c>
      <c r="I136" s="6" t="s">
        <v>1390</v>
      </c>
      <c r="J136" s="6">
        <v>15774</v>
      </c>
      <c r="K136" s="7" t="s">
        <v>4956</v>
      </c>
      <c r="L136" s="8">
        <v>5154924</v>
      </c>
      <c r="M136" s="8" t="str">
        <f t="shared" si="24"/>
        <v>USD</v>
      </c>
      <c r="N136" s="13">
        <v>39.590000000000003</v>
      </c>
      <c r="O136" s="13"/>
      <c r="P136" s="3">
        <f t="shared" si="21"/>
        <v>0</v>
      </c>
      <c r="Q136" s="3">
        <f t="shared" si="22"/>
        <v>0</v>
      </c>
      <c r="R136" s="3">
        <f t="shared" si="20"/>
        <v>15935.89</v>
      </c>
      <c r="S136" s="24"/>
      <c r="T136" s="24" t="s">
        <v>1334</v>
      </c>
      <c r="U136" s="61"/>
      <c r="V136" s="3"/>
      <c r="W136" s="3"/>
      <c r="X136" s="3"/>
      <c r="Y136" s="3"/>
      <c r="Z136" s="3"/>
      <c r="AA136" s="3" t="str">
        <f>IF(BCP_Dolares[[#This Row],[fecha]]&gt;0,TEXT(BCP_Dolares[[#This Row],[fecha]],"mmmm"),0)</f>
        <v>Abril</v>
      </c>
    </row>
    <row r="137" spans="1:27" ht="24" x14ac:dyDescent="0.3">
      <c r="A137" s="2" t="str">
        <f>IF(BCP_Dolares[[#This Row],[tipo_registro]]="R",COUNTIFS($C$1:$C136,"R")+1,"")</f>
        <v/>
      </c>
      <c r="B137" s="19" t="str">
        <f t="shared" si="23"/>
        <v>B-BCP - Dolares</v>
      </c>
      <c r="C137" s="3" t="s">
        <v>1352</v>
      </c>
      <c r="D137" s="14">
        <v>45763</v>
      </c>
      <c r="E137" s="5" t="s">
        <v>1338</v>
      </c>
      <c r="F137" s="5"/>
      <c r="G137" s="6" t="s">
        <v>204</v>
      </c>
      <c r="H137" s="6" t="s">
        <v>68</v>
      </c>
      <c r="I137" s="6" t="s">
        <v>1390</v>
      </c>
      <c r="J137" s="6">
        <v>15775</v>
      </c>
      <c r="K137" s="7" t="s">
        <v>4956</v>
      </c>
      <c r="L137" s="8">
        <v>5154924</v>
      </c>
      <c r="M137" s="8" t="str">
        <f t="shared" si="24"/>
        <v>USD</v>
      </c>
      <c r="N137" s="13">
        <v>66.78</v>
      </c>
      <c r="O137" s="13"/>
      <c r="P137" s="3">
        <f t="shared" si="21"/>
        <v>0</v>
      </c>
      <c r="Q137" s="3">
        <f t="shared" si="22"/>
        <v>0</v>
      </c>
      <c r="R137" s="3">
        <f t="shared" si="20"/>
        <v>15935.89</v>
      </c>
      <c r="S137" s="24"/>
      <c r="T137" s="24" t="s">
        <v>1334</v>
      </c>
      <c r="U137" s="61"/>
      <c r="V137" s="3"/>
      <c r="W137" s="3"/>
      <c r="X137" s="3"/>
      <c r="Y137" s="3"/>
      <c r="Z137" s="3"/>
      <c r="AA137" s="3" t="str">
        <f>IF(BCP_Dolares[[#This Row],[fecha]]&gt;0,TEXT(BCP_Dolares[[#This Row],[fecha]],"mmmm"),0)</f>
        <v>Abril</v>
      </c>
    </row>
    <row r="138" spans="1:27" ht="24" x14ac:dyDescent="0.3">
      <c r="A138" s="2" t="str">
        <f>IF(BCP_Dolares[[#This Row],[tipo_registro]]="R",COUNTIFS($C$1:$C137,"R")+1,"")</f>
        <v/>
      </c>
      <c r="B138" s="19" t="str">
        <f t="shared" si="23"/>
        <v>B-BCP - Dolares</v>
      </c>
      <c r="C138" s="3" t="s">
        <v>1352</v>
      </c>
      <c r="D138" s="14">
        <v>45763</v>
      </c>
      <c r="E138" s="5" t="s">
        <v>1338</v>
      </c>
      <c r="F138" s="5"/>
      <c r="G138" s="6" t="s">
        <v>204</v>
      </c>
      <c r="H138" s="6" t="s">
        <v>68</v>
      </c>
      <c r="I138" s="6" t="s">
        <v>1390</v>
      </c>
      <c r="J138" s="6">
        <v>15785</v>
      </c>
      <c r="K138" s="7" t="s">
        <v>4956</v>
      </c>
      <c r="L138" s="8">
        <v>5154924</v>
      </c>
      <c r="M138" s="8" t="str">
        <f t="shared" si="24"/>
        <v>USD</v>
      </c>
      <c r="N138" s="13">
        <v>37.28</v>
      </c>
      <c r="O138" s="13"/>
      <c r="P138" s="3">
        <f t="shared" si="21"/>
        <v>0</v>
      </c>
      <c r="Q138" s="3">
        <f t="shared" si="22"/>
        <v>0</v>
      </c>
      <c r="R138" s="3">
        <f t="shared" si="20"/>
        <v>15935.89</v>
      </c>
      <c r="S138" s="24"/>
      <c r="T138" s="24" t="s">
        <v>1334</v>
      </c>
      <c r="U138" s="61"/>
      <c r="V138" s="3"/>
      <c r="W138" s="3"/>
      <c r="X138" s="3"/>
      <c r="Y138" s="3"/>
      <c r="Z138" s="3"/>
      <c r="AA138" s="3" t="str">
        <f>IF(BCP_Dolares[[#This Row],[fecha]]&gt;0,TEXT(BCP_Dolares[[#This Row],[fecha]],"mmmm"),0)</f>
        <v>Abril</v>
      </c>
    </row>
    <row r="139" spans="1:27" ht="48" x14ac:dyDescent="0.3">
      <c r="A139" s="2" t="str">
        <f>IF(BCP_Dolares[[#This Row],[tipo_registro]]="R",COUNTIFS($C$1:$C138,"R")+1,"")</f>
        <v/>
      </c>
      <c r="B139" s="19" t="str">
        <f t="shared" si="23"/>
        <v>B-BCP - Dolares</v>
      </c>
      <c r="C139" s="3" t="s">
        <v>1352</v>
      </c>
      <c r="D139" s="14">
        <v>45763</v>
      </c>
      <c r="E139" s="5" t="s">
        <v>1338</v>
      </c>
      <c r="F139" s="5"/>
      <c r="G139" s="6" t="s">
        <v>411</v>
      </c>
      <c r="H139" s="6" t="s">
        <v>68</v>
      </c>
      <c r="I139" s="6" t="s">
        <v>1374</v>
      </c>
      <c r="J139" s="6">
        <v>330</v>
      </c>
      <c r="K139" s="7" t="s">
        <v>4956</v>
      </c>
      <c r="L139" s="8">
        <v>5154924</v>
      </c>
      <c r="M139" s="8" t="str">
        <f t="shared" si="24"/>
        <v>USD</v>
      </c>
      <c r="N139" s="13">
        <v>237.91</v>
      </c>
      <c r="O139" s="13"/>
      <c r="P139" s="3">
        <f t="shared" si="21"/>
        <v>0</v>
      </c>
      <c r="Q139" s="3">
        <f t="shared" si="22"/>
        <v>0</v>
      </c>
      <c r="R139" s="3">
        <f t="shared" si="20"/>
        <v>15935.89</v>
      </c>
      <c r="S139" s="24"/>
      <c r="T139" s="24" t="s">
        <v>1334</v>
      </c>
      <c r="U139" s="61"/>
      <c r="V139" s="3"/>
      <c r="W139" s="3"/>
      <c r="X139" s="3"/>
      <c r="Y139" s="3"/>
      <c r="Z139" s="3"/>
      <c r="AA139" s="3" t="str">
        <f>IF(BCP_Dolares[[#This Row],[fecha]]&gt;0,TEXT(BCP_Dolares[[#This Row],[fecha]],"mmmm"),0)</f>
        <v>Abril</v>
      </c>
    </row>
    <row r="140" spans="1:27" ht="24" x14ac:dyDescent="0.3">
      <c r="A140" s="2">
        <f>IF(BCP_Dolares[[#This Row],[tipo_registro]]="R",COUNTIFS($C$1:$C139,"R")+1,"")</f>
        <v>55</v>
      </c>
      <c r="B140" s="19" t="str">
        <f t="shared" si="12"/>
        <v>B-BCP - Dolares</v>
      </c>
      <c r="C140" s="3" t="s">
        <v>1330</v>
      </c>
      <c r="D140" s="14">
        <v>45763</v>
      </c>
      <c r="E140" s="5" t="s">
        <v>1335</v>
      </c>
      <c r="F140" s="5" t="s">
        <v>1336</v>
      </c>
      <c r="G140" s="6" t="s">
        <v>1060</v>
      </c>
      <c r="H140" s="6" t="s">
        <v>68</v>
      </c>
      <c r="I140" s="6" t="s">
        <v>1397</v>
      </c>
      <c r="J140" s="6">
        <v>31810356</v>
      </c>
      <c r="K140" s="7" t="s">
        <v>4957</v>
      </c>
      <c r="L140" s="8">
        <v>5154935</v>
      </c>
      <c r="M140" s="8" t="str">
        <f t="shared" si="13"/>
        <v>USD</v>
      </c>
      <c r="N140" s="13"/>
      <c r="O140" s="13">
        <v>6.32</v>
      </c>
      <c r="P140" s="3">
        <f t="shared" si="21"/>
        <v>0</v>
      </c>
      <c r="Q140" s="3">
        <f t="shared" si="22"/>
        <v>6.32</v>
      </c>
      <c r="R140" s="3">
        <f t="shared" si="20"/>
        <v>15929.57</v>
      </c>
      <c r="S140" s="24"/>
      <c r="T140" s="24" t="s">
        <v>1334</v>
      </c>
      <c r="U140" s="61"/>
      <c r="V140" s="3" t="s">
        <v>1335</v>
      </c>
      <c r="W140" s="3" t="s">
        <v>4958</v>
      </c>
      <c r="X140" s="3"/>
      <c r="Y140" s="3"/>
      <c r="Z140" s="3"/>
      <c r="AA140" s="3" t="str">
        <f>IF(BCP_Dolares[[#This Row],[fecha]]&gt;0,TEXT(BCP_Dolares[[#This Row],[fecha]],"mmmm"),0)</f>
        <v>Abril</v>
      </c>
    </row>
    <row r="141" spans="1:27" x14ac:dyDescent="0.3">
      <c r="A141" s="2">
        <f>IF(BCP_Dolares[[#This Row],[tipo_registro]]="R",COUNTIFS($C$1:$C140,"R")+1,"")</f>
        <v>56</v>
      </c>
      <c r="B141" s="19" t="str">
        <f t="shared" si="12"/>
        <v>B-BCP - Dolares</v>
      </c>
      <c r="C141" s="3" t="s">
        <v>1330</v>
      </c>
      <c r="D141" s="14">
        <v>45765</v>
      </c>
      <c r="E141" s="5" t="s">
        <v>1335</v>
      </c>
      <c r="F141" s="5" t="s">
        <v>1336</v>
      </c>
      <c r="G141" s="6"/>
      <c r="H141" s="6"/>
      <c r="I141" s="6"/>
      <c r="J141" s="6"/>
      <c r="K141" s="7" t="s">
        <v>1337</v>
      </c>
      <c r="L141" s="8"/>
      <c r="M141" s="8" t="str">
        <f t="shared" si="13"/>
        <v>USD</v>
      </c>
      <c r="N141" s="13"/>
      <c r="O141" s="13">
        <v>0.05</v>
      </c>
      <c r="P141" s="3">
        <f t="shared" si="21"/>
        <v>0</v>
      </c>
      <c r="Q141" s="3">
        <f t="shared" si="22"/>
        <v>0.05</v>
      </c>
      <c r="R141" s="3">
        <f t="shared" si="20"/>
        <v>15929.52</v>
      </c>
      <c r="S141" s="24" t="s">
        <v>1334</v>
      </c>
      <c r="T141" s="24" t="s">
        <v>1334</v>
      </c>
      <c r="U141" s="61"/>
      <c r="V141" s="3"/>
      <c r="W141" s="3"/>
      <c r="X141" s="3"/>
      <c r="Y141" s="3"/>
      <c r="Z141" s="3"/>
      <c r="AA141" s="3" t="str">
        <f>IF(BCP_Dolares[[#This Row],[fecha]]&gt;0,TEXT(BCP_Dolares[[#This Row],[fecha]],"mmmm"),0)</f>
        <v>Abril</v>
      </c>
    </row>
    <row r="142" spans="1:27" ht="36" x14ac:dyDescent="0.3">
      <c r="A142" s="2">
        <f>IF(BCP_Dolares[[#This Row],[tipo_registro]]="R",COUNTIFS($C$1:$C141,"R")+1,"")</f>
        <v>57</v>
      </c>
      <c r="B142" s="19" t="str">
        <f t="shared" si="12"/>
        <v>B-BCP - Dolares</v>
      </c>
      <c r="C142" s="3" t="s">
        <v>1330</v>
      </c>
      <c r="D142" s="14">
        <v>45769</v>
      </c>
      <c r="E142" s="5" t="s">
        <v>1338</v>
      </c>
      <c r="F142" s="5" t="s">
        <v>1336</v>
      </c>
      <c r="G142" s="6" t="s">
        <v>702</v>
      </c>
      <c r="H142" s="6" t="s">
        <v>68</v>
      </c>
      <c r="I142" s="6" t="s">
        <v>1463</v>
      </c>
      <c r="J142" s="6">
        <v>444761</v>
      </c>
      <c r="K142" s="7" t="s">
        <v>4912</v>
      </c>
      <c r="L142" s="8">
        <v>98849</v>
      </c>
      <c r="M142" s="8" t="str">
        <f t="shared" si="13"/>
        <v>USD</v>
      </c>
      <c r="N142" s="13"/>
      <c r="O142" s="13">
        <v>215.22</v>
      </c>
      <c r="P142" s="3">
        <f t="shared" si="21"/>
        <v>0</v>
      </c>
      <c r="Q142" s="3">
        <f t="shared" si="22"/>
        <v>215.22</v>
      </c>
      <c r="R142" s="3">
        <f t="shared" si="20"/>
        <v>15714.300000000001</v>
      </c>
      <c r="S142" s="24" t="s">
        <v>1334</v>
      </c>
      <c r="T142" s="24" t="s">
        <v>1334</v>
      </c>
      <c r="U142" s="61"/>
      <c r="V142" s="3" t="s">
        <v>4913</v>
      </c>
      <c r="W142" s="3" t="s">
        <v>4959</v>
      </c>
      <c r="X142" s="3"/>
      <c r="Y142" s="3"/>
      <c r="Z142" s="3"/>
      <c r="AA142" s="3" t="str">
        <f>IF(BCP_Dolares[[#This Row],[fecha]]&gt;0,TEXT(BCP_Dolares[[#This Row],[fecha]],"mmmm"),0)</f>
        <v>Abril</v>
      </c>
    </row>
    <row r="143" spans="1:27" x14ac:dyDescent="0.3">
      <c r="A143" s="2">
        <f>IF(BCP_Dolares[[#This Row],[tipo_registro]]="R",COUNTIFS($C$1:$C142,"R")+1,"")</f>
        <v>58</v>
      </c>
      <c r="B143" s="19" t="str">
        <f t="shared" si="12"/>
        <v>B-BCP - Dolares</v>
      </c>
      <c r="C143" s="3" t="s">
        <v>1330</v>
      </c>
      <c r="D143" s="14">
        <v>45771</v>
      </c>
      <c r="E143" s="5" t="s">
        <v>1335</v>
      </c>
      <c r="F143" s="5" t="s">
        <v>1336</v>
      </c>
      <c r="G143" s="6"/>
      <c r="H143" s="6"/>
      <c r="I143" s="6"/>
      <c r="J143" s="6"/>
      <c r="K143" s="7" t="s">
        <v>1337</v>
      </c>
      <c r="L143" s="8"/>
      <c r="M143" s="8" t="str">
        <f t="shared" si="13"/>
        <v>USD</v>
      </c>
      <c r="N143" s="13"/>
      <c r="O143" s="13">
        <v>0.45</v>
      </c>
      <c r="P143" s="3">
        <f t="shared" si="21"/>
        <v>0</v>
      </c>
      <c r="Q143" s="3">
        <f t="shared" si="22"/>
        <v>0.45</v>
      </c>
      <c r="R143" s="3">
        <f t="shared" si="20"/>
        <v>15713.85</v>
      </c>
      <c r="S143" s="24" t="s">
        <v>1334</v>
      </c>
      <c r="T143" s="24" t="s">
        <v>1334</v>
      </c>
      <c r="U143" s="61"/>
      <c r="V143" s="3"/>
      <c r="W143" s="3"/>
      <c r="X143" s="3"/>
      <c r="Y143" s="3"/>
      <c r="Z143" s="3"/>
      <c r="AA143" s="3" t="str">
        <f>IF(BCP_Dolares[[#This Row],[fecha]]&gt;0,TEXT(BCP_Dolares[[#This Row],[fecha]],"mmmm"),0)</f>
        <v>Abril</v>
      </c>
    </row>
    <row r="144" spans="1:27" ht="24" x14ac:dyDescent="0.3">
      <c r="A144" s="2">
        <f>IF(BCP_Dolares[[#This Row],[tipo_registro]]="R",COUNTIFS($C$1:$C143,"R")+1,"")</f>
        <v>59</v>
      </c>
      <c r="B144" s="19" t="str">
        <f t="shared" si="12"/>
        <v>B-BCP - Dolares</v>
      </c>
      <c r="C144" s="3" t="s">
        <v>1330</v>
      </c>
      <c r="D144" s="14">
        <v>45771</v>
      </c>
      <c r="E144" s="5" t="s">
        <v>204</v>
      </c>
      <c r="F144" s="5" t="s">
        <v>1303</v>
      </c>
      <c r="G144" s="6" t="s">
        <v>425</v>
      </c>
      <c r="H144" s="6" t="s">
        <v>68</v>
      </c>
      <c r="I144" s="6" t="s">
        <v>1784</v>
      </c>
      <c r="J144" s="6">
        <v>1</v>
      </c>
      <c r="K144" s="7" t="s">
        <v>4960</v>
      </c>
      <c r="L144" s="8">
        <v>7556851</v>
      </c>
      <c r="M144" s="8" t="str">
        <f t="shared" si="13"/>
        <v>USD</v>
      </c>
      <c r="N144" s="13"/>
      <c r="O144" s="13">
        <v>9194.86</v>
      </c>
      <c r="P144" s="3">
        <f t="shared" si="21"/>
        <v>9194.86</v>
      </c>
      <c r="Q144" s="3">
        <f t="shared" si="22"/>
        <v>0</v>
      </c>
      <c r="R144" s="3">
        <f t="shared" si="20"/>
        <v>24908.71</v>
      </c>
      <c r="S144" s="24" t="s">
        <v>1334</v>
      </c>
      <c r="T144" s="24" t="s">
        <v>1334</v>
      </c>
      <c r="U144" s="61"/>
      <c r="V144" s="3" t="s">
        <v>425</v>
      </c>
      <c r="W144" s="3" t="s">
        <v>4961</v>
      </c>
      <c r="X144" s="3"/>
      <c r="Y144" s="3"/>
      <c r="Z144" s="3"/>
      <c r="AA144" s="3" t="str">
        <f>IF(BCP_Dolares[[#This Row],[fecha]]&gt;0,TEXT(BCP_Dolares[[#This Row],[fecha]],"mmmm"),0)</f>
        <v>Abril</v>
      </c>
    </row>
    <row r="145" spans="1:27" x14ac:dyDescent="0.3">
      <c r="A145" s="2">
        <f>IF(BCP_Dolares[[#This Row],[tipo_registro]]="R",COUNTIFS($C$1:$C144,"R")+1,"")</f>
        <v>60</v>
      </c>
      <c r="B145" s="19" t="str">
        <f t="shared" si="12"/>
        <v>B-BCP - Dolares</v>
      </c>
      <c r="C145" s="3" t="s">
        <v>1330</v>
      </c>
      <c r="D145" s="14">
        <v>45775</v>
      </c>
      <c r="E145" s="5" t="s">
        <v>1335</v>
      </c>
      <c r="F145" s="5" t="s">
        <v>1336</v>
      </c>
      <c r="G145" s="6"/>
      <c r="H145" s="6"/>
      <c r="I145" s="6"/>
      <c r="J145" s="6"/>
      <c r="K145" s="7" t="s">
        <v>1337</v>
      </c>
      <c r="L145" s="8"/>
      <c r="M145" s="8" t="str">
        <f t="shared" si="13"/>
        <v>USD</v>
      </c>
      <c r="N145" s="13"/>
      <c r="O145" s="13">
        <v>0.05</v>
      </c>
      <c r="P145" s="3">
        <f t="shared" si="21"/>
        <v>0</v>
      </c>
      <c r="Q145" s="3">
        <f t="shared" si="22"/>
        <v>0.05</v>
      </c>
      <c r="R145" s="3">
        <f t="shared" si="20"/>
        <v>24908.66</v>
      </c>
      <c r="S145" s="24" t="s">
        <v>1334</v>
      </c>
      <c r="T145" s="24" t="s">
        <v>1334</v>
      </c>
      <c r="U145" s="61"/>
      <c r="V145" s="3"/>
      <c r="W145" s="3"/>
      <c r="X145" s="3"/>
      <c r="Y145" s="3"/>
      <c r="Z145" s="3"/>
      <c r="AA145" s="3" t="str">
        <f>IF(BCP_Dolares[[#This Row],[fecha]]&gt;0,TEXT(BCP_Dolares[[#This Row],[fecha]],"mmmm"),0)</f>
        <v>Abril</v>
      </c>
    </row>
    <row r="146" spans="1:27" x14ac:dyDescent="0.3">
      <c r="A146" s="2">
        <f>IF(BCP_Dolares[[#This Row],[tipo_registro]]="R",COUNTIFS($C$1:$C145,"R")+1,"")</f>
        <v>61</v>
      </c>
      <c r="B146" s="19" t="str">
        <f t="shared" si="12"/>
        <v>B-BCP - Dolares</v>
      </c>
      <c r="C146" s="3" t="s">
        <v>1330</v>
      </c>
      <c r="D146" s="14">
        <v>45775</v>
      </c>
      <c r="E146" s="5" t="s">
        <v>1338</v>
      </c>
      <c r="F146" s="5" t="s">
        <v>1336</v>
      </c>
      <c r="G146" s="6"/>
      <c r="H146" s="6"/>
      <c r="I146" s="6"/>
      <c r="J146" s="6"/>
      <c r="K146" s="7" t="s">
        <v>4962</v>
      </c>
      <c r="L146" s="8">
        <v>8732826</v>
      </c>
      <c r="M146" s="8" t="str">
        <f t="shared" si="13"/>
        <v>USD</v>
      </c>
      <c r="N146" s="13"/>
      <c r="O146" s="13">
        <v>1892.15</v>
      </c>
      <c r="P146" s="3">
        <f t="shared" si="21"/>
        <v>0</v>
      </c>
      <c r="Q146" s="3">
        <f t="shared" si="22"/>
        <v>1892.15</v>
      </c>
      <c r="R146" s="3">
        <f t="shared" si="20"/>
        <v>23016.51</v>
      </c>
      <c r="S146" s="24" t="s">
        <v>1334</v>
      </c>
      <c r="T146" s="24" t="s">
        <v>1334</v>
      </c>
      <c r="U146" s="61"/>
      <c r="V146" s="3" t="s">
        <v>204</v>
      </c>
      <c r="W146" s="3"/>
      <c r="X146" s="3"/>
      <c r="Y146" s="3"/>
      <c r="Z146" s="3"/>
      <c r="AA146" s="3" t="str">
        <f>IF(BCP_Dolares[[#This Row],[fecha]]&gt;0,TEXT(BCP_Dolares[[#This Row],[fecha]],"mmmm"),0)</f>
        <v>Abril</v>
      </c>
    </row>
    <row r="147" spans="1:27" ht="24" x14ac:dyDescent="0.3">
      <c r="A147" s="2" t="str">
        <f>IF(BCP_Dolares[[#This Row],[tipo_registro]]="R",COUNTIFS($C$1:$C146,"R")+1,"")</f>
        <v/>
      </c>
      <c r="B147" s="19" t="str">
        <f t="shared" ref="B147:B158" si="25">"B-BCP - Dolares"</f>
        <v>B-BCP - Dolares</v>
      </c>
      <c r="C147" s="3" t="s">
        <v>1352</v>
      </c>
      <c r="D147" s="14">
        <v>45775</v>
      </c>
      <c r="E147" s="5" t="s">
        <v>1338</v>
      </c>
      <c r="F147" s="5"/>
      <c r="G147" s="6" t="s">
        <v>204</v>
      </c>
      <c r="H147" s="6" t="s">
        <v>68</v>
      </c>
      <c r="I147" s="6" t="s">
        <v>1390</v>
      </c>
      <c r="J147" s="6">
        <v>15791</v>
      </c>
      <c r="K147" s="7" t="s">
        <v>4962</v>
      </c>
      <c r="L147" s="8">
        <v>8732826</v>
      </c>
      <c r="M147" s="8" t="str">
        <f t="shared" ref="M147:M158" si="26">"USD"</f>
        <v>USD</v>
      </c>
      <c r="N147" s="13">
        <v>34.32</v>
      </c>
      <c r="O147" s="13"/>
      <c r="P147" s="3">
        <f t="shared" si="21"/>
        <v>0</v>
      </c>
      <c r="Q147" s="3">
        <f t="shared" si="22"/>
        <v>0</v>
      </c>
      <c r="R147" s="3">
        <f t="shared" si="20"/>
        <v>23016.51</v>
      </c>
      <c r="S147" s="24"/>
      <c r="T147" s="24" t="s">
        <v>1334</v>
      </c>
      <c r="U147" s="61"/>
      <c r="V147" s="3"/>
      <c r="W147" s="3"/>
      <c r="X147" s="3"/>
      <c r="Y147" s="3"/>
      <c r="Z147" s="3"/>
      <c r="AA147" s="3" t="str">
        <f>IF(BCP_Dolares[[#This Row],[fecha]]&gt;0,TEXT(BCP_Dolares[[#This Row],[fecha]],"mmmm"),0)</f>
        <v>Abril</v>
      </c>
    </row>
    <row r="148" spans="1:27" ht="24" x14ac:dyDescent="0.3">
      <c r="A148" s="2" t="str">
        <f>IF(BCP_Dolares[[#This Row],[tipo_registro]]="R",COUNTIFS($C$1:$C147,"R")+1,"")</f>
        <v/>
      </c>
      <c r="B148" s="19" t="str">
        <f t="shared" si="25"/>
        <v>B-BCP - Dolares</v>
      </c>
      <c r="C148" s="3" t="s">
        <v>1352</v>
      </c>
      <c r="D148" s="14">
        <v>45775</v>
      </c>
      <c r="E148" s="5" t="s">
        <v>1338</v>
      </c>
      <c r="F148" s="5"/>
      <c r="G148" s="6" t="s">
        <v>204</v>
      </c>
      <c r="H148" s="6" t="s">
        <v>68</v>
      </c>
      <c r="I148" s="6" t="s">
        <v>1390</v>
      </c>
      <c r="J148" s="6">
        <v>15795</v>
      </c>
      <c r="K148" s="7" t="s">
        <v>4962</v>
      </c>
      <c r="L148" s="8">
        <v>8732826</v>
      </c>
      <c r="M148" s="8" t="str">
        <f t="shared" si="26"/>
        <v>USD</v>
      </c>
      <c r="N148" s="13">
        <v>39.6</v>
      </c>
      <c r="O148" s="13"/>
      <c r="P148" s="3">
        <f t="shared" si="21"/>
        <v>0</v>
      </c>
      <c r="Q148" s="3">
        <f t="shared" si="22"/>
        <v>0</v>
      </c>
      <c r="R148" s="3">
        <f t="shared" si="20"/>
        <v>23016.51</v>
      </c>
      <c r="S148" s="24"/>
      <c r="T148" s="24" t="s">
        <v>1334</v>
      </c>
      <c r="U148" s="61"/>
      <c r="V148" s="3"/>
      <c r="W148" s="3"/>
      <c r="X148" s="3"/>
      <c r="Y148" s="3"/>
      <c r="Z148" s="3"/>
      <c r="AA148" s="3" t="str">
        <f>IF(BCP_Dolares[[#This Row],[fecha]]&gt;0,TEXT(BCP_Dolares[[#This Row],[fecha]],"mmmm"),0)</f>
        <v>Abril</v>
      </c>
    </row>
    <row r="149" spans="1:27" ht="24" x14ac:dyDescent="0.3">
      <c r="A149" s="2" t="str">
        <f>IF(BCP_Dolares[[#This Row],[tipo_registro]]="R",COUNTIFS($C$1:$C148,"R")+1,"")</f>
        <v/>
      </c>
      <c r="B149" s="19" t="str">
        <f t="shared" si="25"/>
        <v>B-BCP - Dolares</v>
      </c>
      <c r="C149" s="3" t="s">
        <v>1352</v>
      </c>
      <c r="D149" s="14">
        <v>45775</v>
      </c>
      <c r="E149" s="5" t="s">
        <v>1338</v>
      </c>
      <c r="F149" s="5"/>
      <c r="G149" s="6" t="s">
        <v>204</v>
      </c>
      <c r="H149" s="6" t="s">
        <v>68</v>
      </c>
      <c r="I149" s="6" t="s">
        <v>1390</v>
      </c>
      <c r="J149" s="6">
        <v>15813</v>
      </c>
      <c r="K149" s="7" t="s">
        <v>4962</v>
      </c>
      <c r="L149" s="8">
        <v>8732826</v>
      </c>
      <c r="M149" s="8" t="str">
        <f t="shared" si="26"/>
        <v>USD</v>
      </c>
      <c r="N149" s="13">
        <v>1159.3900000000001</v>
      </c>
      <c r="O149" s="13"/>
      <c r="P149" s="3">
        <f t="shared" si="21"/>
        <v>0</v>
      </c>
      <c r="Q149" s="3">
        <f t="shared" si="22"/>
        <v>0</v>
      </c>
      <c r="R149" s="3">
        <f t="shared" si="20"/>
        <v>23016.51</v>
      </c>
      <c r="S149" s="24"/>
      <c r="T149" s="24" t="s">
        <v>1334</v>
      </c>
      <c r="U149" s="61"/>
      <c r="V149" s="3"/>
      <c r="W149" s="3"/>
      <c r="X149" s="3"/>
      <c r="Y149" s="3"/>
      <c r="Z149" s="3"/>
      <c r="AA149" s="3" t="str">
        <f>IF(BCP_Dolares[[#This Row],[fecha]]&gt;0,TEXT(BCP_Dolares[[#This Row],[fecha]],"mmmm"),0)</f>
        <v>Abril</v>
      </c>
    </row>
    <row r="150" spans="1:27" ht="24" x14ac:dyDescent="0.3">
      <c r="A150" s="2" t="str">
        <f>IF(BCP_Dolares[[#This Row],[tipo_registro]]="R",COUNTIFS($C$1:$C149,"R")+1,"")</f>
        <v/>
      </c>
      <c r="B150" s="19" t="str">
        <f t="shared" si="25"/>
        <v>B-BCP - Dolares</v>
      </c>
      <c r="C150" s="3" t="s">
        <v>1352</v>
      </c>
      <c r="D150" s="14">
        <v>45775</v>
      </c>
      <c r="E150" s="5" t="s">
        <v>1338</v>
      </c>
      <c r="F150" s="5"/>
      <c r="G150" s="6" t="s">
        <v>204</v>
      </c>
      <c r="H150" s="6" t="s">
        <v>68</v>
      </c>
      <c r="I150" s="6" t="s">
        <v>1390</v>
      </c>
      <c r="J150" s="6">
        <v>15855</v>
      </c>
      <c r="K150" s="7" t="s">
        <v>4962</v>
      </c>
      <c r="L150" s="8">
        <v>8732826</v>
      </c>
      <c r="M150" s="8" t="str">
        <f t="shared" si="26"/>
        <v>USD</v>
      </c>
      <c r="N150" s="13">
        <v>126.32</v>
      </c>
      <c r="O150" s="13"/>
      <c r="P150" s="3">
        <f t="shared" si="21"/>
        <v>0</v>
      </c>
      <c r="Q150" s="3">
        <f t="shared" si="22"/>
        <v>0</v>
      </c>
      <c r="R150" s="3">
        <f t="shared" si="20"/>
        <v>23016.51</v>
      </c>
      <c r="S150" s="24"/>
      <c r="T150" s="24" t="s">
        <v>1334</v>
      </c>
      <c r="U150" s="61"/>
      <c r="V150" s="3"/>
      <c r="W150" s="3"/>
      <c r="X150" s="3"/>
      <c r="Y150" s="3"/>
      <c r="Z150" s="3"/>
      <c r="AA150" s="3" t="str">
        <f>IF(BCP_Dolares[[#This Row],[fecha]]&gt;0,TEXT(BCP_Dolares[[#This Row],[fecha]],"mmmm"),0)</f>
        <v>Abril</v>
      </c>
    </row>
    <row r="151" spans="1:27" ht="24" x14ac:dyDescent="0.3">
      <c r="A151" s="2" t="str">
        <f>IF(BCP_Dolares[[#This Row],[tipo_registro]]="R",COUNTIFS($C$1:$C150,"R")+1,"")</f>
        <v/>
      </c>
      <c r="B151" s="19" t="str">
        <f t="shared" si="25"/>
        <v>B-BCP - Dolares</v>
      </c>
      <c r="C151" s="3" t="s">
        <v>1352</v>
      </c>
      <c r="D151" s="14">
        <v>45775</v>
      </c>
      <c r="E151" s="5" t="s">
        <v>1338</v>
      </c>
      <c r="F151" s="5"/>
      <c r="G151" s="6" t="s">
        <v>204</v>
      </c>
      <c r="H151" s="6" t="s">
        <v>68</v>
      </c>
      <c r="I151" s="6" t="s">
        <v>1390</v>
      </c>
      <c r="J151" s="6">
        <v>15848</v>
      </c>
      <c r="K151" s="7" t="s">
        <v>4962</v>
      </c>
      <c r="L151" s="8">
        <v>8732826</v>
      </c>
      <c r="M151" s="8" t="str">
        <f t="shared" si="26"/>
        <v>USD</v>
      </c>
      <c r="N151" s="13">
        <v>28.37</v>
      </c>
      <c r="O151" s="13"/>
      <c r="P151" s="3">
        <f t="shared" si="21"/>
        <v>0</v>
      </c>
      <c r="Q151" s="3">
        <f t="shared" si="22"/>
        <v>0</v>
      </c>
      <c r="R151" s="3">
        <f t="shared" si="20"/>
        <v>23016.51</v>
      </c>
      <c r="S151" s="24"/>
      <c r="T151" s="24" t="s">
        <v>1334</v>
      </c>
      <c r="U151" s="61"/>
      <c r="V151" s="3"/>
      <c r="W151" s="3"/>
      <c r="X151" s="3"/>
      <c r="Y151" s="3"/>
      <c r="Z151" s="3"/>
      <c r="AA151" s="3" t="str">
        <f>IF(BCP_Dolares[[#This Row],[fecha]]&gt;0,TEXT(BCP_Dolares[[#This Row],[fecha]],"mmmm"),0)</f>
        <v>Abril</v>
      </c>
    </row>
    <row r="152" spans="1:27" ht="24" x14ac:dyDescent="0.3">
      <c r="A152" s="2" t="str">
        <f>IF(BCP_Dolares[[#This Row],[tipo_registro]]="R",COUNTIFS($C$1:$C151,"R")+1,"")</f>
        <v/>
      </c>
      <c r="B152" s="19" t="str">
        <f t="shared" si="25"/>
        <v>B-BCP - Dolares</v>
      </c>
      <c r="C152" s="3" t="s">
        <v>1352</v>
      </c>
      <c r="D152" s="14">
        <v>45775</v>
      </c>
      <c r="E152" s="5" t="s">
        <v>1338</v>
      </c>
      <c r="F152" s="5"/>
      <c r="G152" s="6" t="s">
        <v>204</v>
      </c>
      <c r="H152" s="6" t="s">
        <v>68</v>
      </c>
      <c r="I152" s="6" t="s">
        <v>1390</v>
      </c>
      <c r="J152" s="6">
        <v>15866</v>
      </c>
      <c r="K152" s="7" t="s">
        <v>4962</v>
      </c>
      <c r="L152" s="8">
        <v>8732826</v>
      </c>
      <c r="M152" s="8" t="str">
        <f t="shared" si="26"/>
        <v>USD</v>
      </c>
      <c r="N152" s="13">
        <v>130.46</v>
      </c>
      <c r="O152" s="13"/>
      <c r="P152" s="3">
        <f t="shared" si="21"/>
        <v>0</v>
      </c>
      <c r="Q152" s="3">
        <f t="shared" si="22"/>
        <v>0</v>
      </c>
      <c r="R152" s="3">
        <f t="shared" si="20"/>
        <v>23016.51</v>
      </c>
      <c r="S152" s="24"/>
      <c r="T152" s="24" t="s">
        <v>1334</v>
      </c>
      <c r="U152" s="61"/>
      <c r="V152" s="3"/>
      <c r="W152" s="3"/>
      <c r="X152" s="3"/>
      <c r="Y152" s="3"/>
      <c r="Z152" s="3"/>
      <c r="AA152" s="3" t="str">
        <f>IF(BCP_Dolares[[#This Row],[fecha]]&gt;0,TEXT(BCP_Dolares[[#This Row],[fecha]],"mmmm"),0)</f>
        <v>Abril</v>
      </c>
    </row>
    <row r="153" spans="1:27" ht="24" x14ac:dyDescent="0.3">
      <c r="A153" s="2" t="str">
        <f>IF(BCP_Dolares[[#This Row],[tipo_registro]]="R",COUNTIFS($C$1:$C152,"R")+1,"")</f>
        <v/>
      </c>
      <c r="B153" s="19" t="str">
        <f t="shared" si="25"/>
        <v>B-BCP - Dolares</v>
      </c>
      <c r="C153" s="3" t="s">
        <v>1352</v>
      </c>
      <c r="D153" s="14">
        <v>45775</v>
      </c>
      <c r="E153" s="5" t="s">
        <v>1338</v>
      </c>
      <c r="F153" s="5"/>
      <c r="G153" s="6" t="s">
        <v>204</v>
      </c>
      <c r="H153" s="6" t="s">
        <v>68</v>
      </c>
      <c r="I153" s="6" t="s">
        <v>1390</v>
      </c>
      <c r="J153" s="6">
        <v>15849</v>
      </c>
      <c r="K153" s="7" t="s">
        <v>4962</v>
      </c>
      <c r="L153" s="8">
        <v>8732826</v>
      </c>
      <c r="M153" s="8" t="str">
        <f t="shared" si="26"/>
        <v>USD</v>
      </c>
      <c r="N153" s="13">
        <v>50.03</v>
      </c>
      <c r="O153" s="13"/>
      <c r="P153" s="3">
        <f t="shared" si="21"/>
        <v>0</v>
      </c>
      <c r="Q153" s="3">
        <f t="shared" si="22"/>
        <v>0</v>
      </c>
      <c r="R153" s="3">
        <f t="shared" si="20"/>
        <v>23016.51</v>
      </c>
      <c r="S153" s="24"/>
      <c r="T153" s="24" t="s">
        <v>1334</v>
      </c>
      <c r="U153" s="61"/>
      <c r="V153" s="3"/>
      <c r="W153" s="3"/>
      <c r="X153" s="3"/>
      <c r="Y153" s="3"/>
      <c r="Z153" s="3"/>
      <c r="AA153" s="3" t="str">
        <f>IF(BCP_Dolares[[#This Row],[fecha]]&gt;0,TEXT(BCP_Dolares[[#This Row],[fecha]],"mmmm"),0)</f>
        <v>Abril</v>
      </c>
    </row>
    <row r="154" spans="1:27" ht="24" x14ac:dyDescent="0.3">
      <c r="A154" s="2" t="str">
        <f>IF(BCP_Dolares[[#This Row],[tipo_registro]]="R",COUNTIFS($C$1:$C153,"R")+1,"")</f>
        <v/>
      </c>
      <c r="B154" s="19" t="str">
        <f t="shared" si="25"/>
        <v>B-BCP - Dolares</v>
      </c>
      <c r="C154" s="3" t="s">
        <v>1352</v>
      </c>
      <c r="D154" s="14">
        <v>45775</v>
      </c>
      <c r="E154" s="5" t="s">
        <v>1338</v>
      </c>
      <c r="F154" s="5"/>
      <c r="G154" s="6" t="s">
        <v>204</v>
      </c>
      <c r="H154" s="6" t="s">
        <v>68</v>
      </c>
      <c r="I154" s="6" t="s">
        <v>1390</v>
      </c>
      <c r="J154" s="6">
        <v>15858</v>
      </c>
      <c r="K154" s="7" t="s">
        <v>4962</v>
      </c>
      <c r="L154" s="8">
        <v>8732826</v>
      </c>
      <c r="M154" s="8" t="str">
        <f t="shared" si="26"/>
        <v>USD</v>
      </c>
      <c r="N154" s="13">
        <v>26.95</v>
      </c>
      <c r="O154" s="13"/>
      <c r="P154" s="3">
        <f t="shared" si="21"/>
        <v>0</v>
      </c>
      <c r="Q154" s="3">
        <f t="shared" si="22"/>
        <v>0</v>
      </c>
      <c r="R154" s="3">
        <f t="shared" si="20"/>
        <v>23016.51</v>
      </c>
      <c r="S154" s="24"/>
      <c r="T154" s="24" t="s">
        <v>1334</v>
      </c>
      <c r="U154" s="61"/>
      <c r="V154" s="3"/>
      <c r="W154" s="3"/>
      <c r="X154" s="3"/>
      <c r="Y154" s="3"/>
      <c r="Z154" s="3"/>
      <c r="AA154" s="3" t="str">
        <f>IF(BCP_Dolares[[#This Row],[fecha]]&gt;0,TEXT(BCP_Dolares[[#This Row],[fecha]],"mmmm"),0)</f>
        <v>Abril</v>
      </c>
    </row>
    <row r="155" spans="1:27" ht="24" x14ac:dyDescent="0.3">
      <c r="A155" s="2" t="str">
        <f>IF(BCP_Dolares[[#This Row],[tipo_registro]]="R",COUNTIFS($C$1:$C154,"R")+1,"")</f>
        <v/>
      </c>
      <c r="B155" s="19" t="str">
        <f t="shared" si="25"/>
        <v>B-BCP - Dolares</v>
      </c>
      <c r="C155" s="3" t="s">
        <v>1352</v>
      </c>
      <c r="D155" s="14">
        <v>45775</v>
      </c>
      <c r="E155" s="5" t="s">
        <v>1338</v>
      </c>
      <c r="F155" s="5"/>
      <c r="G155" s="6" t="s">
        <v>204</v>
      </c>
      <c r="H155" s="6" t="s">
        <v>68</v>
      </c>
      <c r="I155" s="6" t="s">
        <v>1390</v>
      </c>
      <c r="J155" s="6">
        <v>15811</v>
      </c>
      <c r="K155" s="7" t="s">
        <v>4962</v>
      </c>
      <c r="L155" s="8">
        <v>8732826</v>
      </c>
      <c r="M155" s="8" t="str">
        <f t="shared" si="26"/>
        <v>USD</v>
      </c>
      <c r="N155" s="13">
        <v>12.68</v>
      </c>
      <c r="O155" s="13"/>
      <c r="P155" s="3">
        <f t="shared" si="21"/>
        <v>0</v>
      </c>
      <c r="Q155" s="3">
        <f t="shared" si="22"/>
        <v>0</v>
      </c>
      <c r="R155" s="3">
        <f t="shared" si="20"/>
        <v>23016.51</v>
      </c>
      <c r="S155" s="24"/>
      <c r="T155" s="24" t="s">
        <v>1334</v>
      </c>
      <c r="U155" s="61"/>
      <c r="V155" s="3"/>
      <c r="W155" s="3"/>
      <c r="X155" s="3"/>
      <c r="Y155" s="3"/>
      <c r="Z155" s="3"/>
      <c r="AA155" s="3" t="str">
        <f>IF(BCP_Dolares[[#This Row],[fecha]]&gt;0,TEXT(BCP_Dolares[[#This Row],[fecha]],"mmmm"),0)</f>
        <v>Abril</v>
      </c>
    </row>
    <row r="156" spans="1:27" ht="24" x14ac:dyDescent="0.3">
      <c r="A156" s="2" t="str">
        <f>IF(BCP_Dolares[[#This Row],[tipo_registro]]="R",COUNTIFS($C$1:$C155,"R")+1,"")</f>
        <v/>
      </c>
      <c r="B156" s="19" t="str">
        <f t="shared" si="25"/>
        <v>B-BCP - Dolares</v>
      </c>
      <c r="C156" s="3" t="s">
        <v>1352</v>
      </c>
      <c r="D156" s="14">
        <v>45775</v>
      </c>
      <c r="E156" s="5" t="s">
        <v>1338</v>
      </c>
      <c r="F156" s="5"/>
      <c r="G156" s="6" t="s">
        <v>204</v>
      </c>
      <c r="H156" s="6" t="s">
        <v>68</v>
      </c>
      <c r="I156" s="6" t="s">
        <v>1390</v>
      </c>
      <c r="J156" s="6">
        <v>15821</v>
      </c>
      <c r="K156" s="7" t="s">
        <v>4962</v>
      </c>
      <c r="L156" s="8">
        <v>8732826</v>
      </c>
      <c r="M156" s="8" t="str">
        <f t="shared" si="26"/>
        <v>USD</v>
      </c>
      <c r="N156" s="13">
        <v>169.12</v>
      </c>
      <c r="O156" s="13"/>
      <c r="P156" s="3">
        <f t="shared" si="21"/>
        <v>0</v>
      </c>
      <c r="Q156" s="3">
        <f t="shared" si="22"/>
        <v>0</v>
      </c>
      <c r="R156" s="3">
        <f t="shared" si="20"/>
        <v>23016.51</v>
      </c>
      <c r="S156" s="24"/>
      <c r="T156" s="24" t="s">
        <v>1334</v>
      </c>
      <c r="U156" s="61"/>
      <c r="V156" s="3"/>
      <c r="W156" s="3"/>
      <c r="X156" s="3"/>
      <c r="Y156" s="3"/>
      <c r="Z156" s="3"/>
      <c r="AA156" s="3" t="str">
        <f>IF(BCP_Dolares[[#This Row],[fecha]]&gt;0,TEXT(BCP_Dolares[[#This Row],[fecha]],"mmmm"),0)</f>
        <v>Abril</v>
      </c>
    </row>
    <row r="157" spans="1:27" ht="24" x14ac:dyDescent="0.3">
      <c r="A157" s="2" t="str">
        <f>IF(BCP_Dolares[[#This Row],[tipo_registro]]="R",COUNTIFS($C$1:$C156,"R")+1,"")</f>
        <v/>
      </c>
      <c r="B157" s="19" t="str">
        <f t="shared" si="25"/>
        <v>B-BCP - Dolares</v>
      </c>
      <c r="C157" s="3" t="s">
        <v>1352</v>
      </c>
      <c r="D157" s="14">
        <v>45775</v>
      </c>
      <c r="E157" s="5" t="s">
        <v>1338</v>
      </c>
      <c r="F157" s="5"/>
      <c r="G157" s="6" t="s">
        <v>204</v>
      </c>
      <c r="H157" s="6" t="s">
        <v>68</v>
      </c>
      <c r="I157" s="6" t="s">
        <v>1390</v>
      </c>
      <c r="J157" s="6">
        <v>15878</v>
      </c>
      <c r="K157" s="7" t="s">
        <v>4962</v>
      </c>
      <c r="L157" s="8">
        <v>8732826</v>
      </c>
      <c r="M157" s="8" t="str">
        <f t="shared" si="26"/>
        <v>USD</v>
      </c>
      <c r="N157" s="13">
        <v>78.22</v>
      </c>
      <c r="O157" s="13"/>
      <c r="P157" s="3">
        <f t="shared" si="21"/>
        <v>0</v>
      </c>
      <c r="Q157" s="3">
        <f t="shared" si="22"/>
        <v>0</v>
      </c>
      <c r="R157" s="3">
        <f t="shared" si="20"/>
        <v>23016.51</v>
      </c>
      <c r="S157" s="24"/>
      <c r="T157" s="24" t="s">
        <v>1334</v>
      </c>
      <c r="U157" s="61"/>
      <c r="V157" s="3"/>
      <c r="W157" s="3"/>
      <c r="X157" s="3"/>
      <c r="Y157" s="3"/>
      <c r="Z157" s="3"/>
      <c r="AA157" s="3" t="str">
        <f>IF(BCP_Dolares[[#This Row],[fecha]]&gt;0,TEXT(BCP_Dolares[[#This Row],[fecha]],"mmmm"),0)</f>
        <v>Abril</v>
      </c>
    </row>
    <row r="158" spans="1:27" ht="24" x14ac:dyDescent="0.3">
      <c r="A158" s="2" t="str">
        <f>IF(BCP_Dolares[[#This Row],[tipo_registro]]="R",COUNTIFS($C$1:$C157,"R")+1,"")</f>
        <v/>
      </c>
      <c r="B158" s="19" t="str">
        <f t="shared" si="25"/>
        <v>B-BCP - Dolares</v>
      </c>
      <c r="C158" s="3" t="s">
        <v>1352</v>
      </c>
      <c r="D158" s="14">
        <v>45775</v>
      </c>
      <c r="E158" s="5" t="s">
        <v>1338</v>
      </c>
      <c r="F158" s="5"/>
      <c r="G158" s="6" t="s">
        <v>204</v>
      </c>
      <c r="H158" s="6" t="s">
        <v>68</v>
      </c>
      <c r="I158" s="6" t="s">
        <v>1390</v>
      </c>
      <c r="J158" s="6">
        <v>15873</v>
      </c>
      <c r="K158" s="7" t="s">
        <v>4962</v>
      </c>
      <c r="L158" s="8">
        <v>8732826</v>
      </c>
      <c r="M158" s="8" t="str">
        <f t="shared" si="26"/>
        <v>USD</v>
      </c>
      <c r="N158" s="13">
        <v>36.69</v>
      </c>
      <c r="O158" s="13"/>
      <c r="P158" s="3">
        <f t="shared" si="21"/>
        <v>0</v>
      </c>
      <c r="Q158" s="3">
        <f t="shared" si="22"/>
        <v>0</v>
      </c>
      <c r="R158" s="3">
        <f t="shared" si="20"/>
        <v>23016.51</v>
      </c>
      <c r="S158" s="24"/>
      <c r="T158" s="24" t="s">
        <v>1334</v>
      </c>
      <c r="U158" s="61"/>
      <c r="V158" s="3"/>
      <c r="W158" s="3"/>
      <c r="X158" s="3"/>
      <c r="Y158" s="3"/>
      <c r="Z158" s="3"/>
      <c r="AA158" s="3" t="str">
        <f>IF(BCP_Dolares[[#This Row],[fecha]]&gt;0,TEXT(BCP_Dolares[[#This Row],[fecha]],"mmmm"),0)</f>
        <v>Abril</v>
      </c>
    </row>
    <row r="159" spans="1:27" ht="24" x14ac:dyDescent="0.3">
      <c r="A159" s="2">
        <f>IF(BCP_Dolares[[#This Row],[tipo_registro]]="R",COUNTIFS($C$1:$C158,"R")+1,"")</f>
        <v>62</v>
      </c>
      <c r="B159" s="19" t="str">
        <f t="shared" si="12"/>
        <v>B-BCP - Dolares</v>
      </c>
      <c r="C159" s="3" t="s">
        <v>1330</v>
      </c>
      <c r="D159" s="14">
        <v>45775</v>
      </c>
      <c r="E159" s="5" t="s">
        <v>1335</v>
      </c>
      <c r="F159" s="5" t="s">
        <v>1336</v>
      </c>
      <c r="G159" s="6" t="s">
        <v>1060</v>
      </c>
      <c r="H159" s="6"/>
      <c r="I159" s="6"/>
      <c r="J159" s="6"/>
      <c r="K159" s="7" t="s">
        <v>4963</v>
      </c>
      <c r="L159" s="8">
        <v>350</v>
      </c>
      <c r="M159" s="8" t="str">
        <f t="shared" si="13"/>
        <v>USD</v>
      </c>
      <c r="N159" s="13">
        <v>36.69</v>
      </c>
      <c r="O159" s="13">
        <v>12</v>
      </c>
      <c r="P159" s="3">
        <f t="shared" si="21"/>
        <v>0</v>
      </c>
      <c r="Q159" s="3">
        <f t="shared" si="22"/>
        <v>12</v>
      </c>
      <c r="R159" s="3">
        <f t="shared" si="20"/>
        <v>23004.51</v>
      </c>
      <c r="S159" s="24"/>
      <c r="T159" s="24"/>
      <c r="U159" s="61"/>
      <c r="V159" s="3" t="s">
        <v>1335</v>
      </c>
      <c r="W159" s="3"/>
      <c r="X159" s="3"/>
      <c r="Y159" s="3"/>
      <c r="Z159" s="3"/>
      <c r="AA159" s="3" t="str">
        <f>IF(BCP_Dolares[[#This Row],[fecha]]&gt;0,TEXT(BCP_Dolares[[#This Row],[fecha]],"mmmm"),0)</f>
        <v>Abril</v>
      </c>
    </row>
    <row r="160" spans="1:27" x14ac:dyDescent="0.3">
      <c r="A160" s="2">
        <f>IF(BCP_Dolares[[#This Row],[tipo_registro]]="R",COUNTIFS($C$1:$C159,"R")+1,"")</f>
        <v>63</v>
      </c>
      <c r="B160" s="19" t="str">
        <f t="shared" si="12"/>
        <v>B-BCP - Dolares</v>
      </c>
      <c r="C160" s="3" t="s">
        <v>1330</v>
      </c>
      <c r="D160" s="14">
        <v>45776</v>
      </c>
      <c r="E160" s="5" t="s">
        <v>1335</v>
      </c>
      <c r="F160" s="5" t="s">
        <v>1336</v>
      </c>
      <c r="G160" s="6"/>
      <c r="H160" s="6"/>
      <c r="I160" s="6"/>
      <c r="J160" s="6"/>
      <c r="K160" s="7" t="s">
        <v>1337</v>
      </c>
      <c r="L160" s="8"/>
      <c r="M160" s="8" t="str">
        <f t="shared" si="13"/>
        <v>USD</v>
      </c>
      <c r="N160" s="13"/>
      <c r="O160" s="13">
        <v>0.15</v>
      </c>
      <c r="P160" s="3">
        <f t="shared" si="21"/>
        <v>0</v>
      </c>
      <c r="Q160" s="3">
        <f t="shared" si="22"/>
        <v>0.15</v>
      </c>
      <c r="R160" s="3">
        <f t="shared" si="20"/>
        <v>23004.359999999997</v>
      </c>
      <c r="S160" s="24" t="s">
        <v>1334</v>
      </c>
      <c r="T160" s="24" t="s">
        <v>1334</v>
      </c>
      <c r="U160" s="61"/>
      <c r="V160" s="3"/>
      <c r="W160" s="3"/>
      <c r="X160" s="3"/>
      <c r="Y160" s="3"/>
      <c r="Z160" s="3"/>
      <c r="AA160" s="3" t="str">
        <f>IF(BCP_Dolares[[#This Row],[fecha]]&gt;0,TEXT(BCP_Dolares[[#This Row],[fecha]],"mmmm"),0)</f>
        <v>Abril</v>
      </c>
    </row>
    <row r="161" spans="1:27" ht="24" x14ac:dyDescent="0.3">
      <c r="A161" s="2">
        <f>IF(BCP_Dolares[[#This Row],[tipo_registro]]="R",COUNTIFS($C$1:$C160,"R")+1,"")</f>
        <v>64</v>
      </c>
      <c r="B161" s="19" t="str">
        <f t="shared" si="12"/>
        <v>B-BCP - Dolares</v>
      </c>
      <c r="C161" s="3" t="s">
        <v>1330</v>
      </c>
      <c r="D161" s="14">
        <v>45776</v>
      </c>
      <c r="E161" s="5" t="s">
        <v>204</v>
      </c>
      <c r="F161" s="5" t="s">
        <v>1303</v>
      </c>
      <c r="G161" s="6" t="s">
        <v>425</v>
      </c>
      <c r="H161" s="6" t="s">
        <v>68</v>
      </c>
      <c r="I161" s="6" t="s">
        <v>1784</v>
      </c>
      <c r="J161" s="6">
        <v>9</v>
      </c>
      <c r="K161" s="7" t="s">
        <v>4964</v>
      </c>
      <c r="L161" s="8">
        <v>9413173</v>
      </c>
      <c r="M161" s="8" t="str">
        <f t="shared" si="13"/>
        <v>USD</v>
      </c>
      <c r="N161" s="13"/>
      <c r="O161" s="13">
        <v>3391.11</v>
      </c>
      <c r="P161" s="3">
        <f t="shared" si="21"/>
        <v>3391.11</v>
      </c>
      <c r="Q161" s="3">
        <f t="shared" si="22"/>
        <v>0</v>
      </c>
      <c r="R161" s="3">
        <f t="shared" si="20"/>
        <v>26395.469999999998</v>
      </c>
      <c r="S161" s="24" t="s">
        <v>1334</v>
      </c>
      <c r="T161" s="24" t="s">
        <v>1334</v>
      </c>
      <c r="U161" s="61"/>
      <c r="V161" s="3" t="s">
        <v>425</v>
      </c>
      <c r="W161" s="3" t="s">
        <v>4965</v>
      </c>
      <c r="X161" s="3"/>
      <c r="Y161" s="3"/>
      <c r="Z161" s="3"/>
      <c r="AA161" s="3" t="str">
        <f>IF(BCP_Dolares[[#This Row],[fecha]]&gt;0,TEXT(BCP_Dolares[[#This Row],[fecha]],"mmmm"),0)</f>
        <v>Abril</v>
      </c>
    </row>
    <row r="162" spans="1:27" ht="24" x14ac:dyDescent="0.3">
      <c r="A162" s="2">
        <f>IF(BCP_Dolares[[#This Row],[tipo_registro]]="R",COUNTIFS($C$1:$C161,"R")+1,"")</f>
        <v>65</v>
      </c>
      <c r="B162" s="19" t="str">
        <f t="shared" ref="B162:B226" si="27">"B-BCP - Dolares"</f>
        <v>B-BCP - Dolares</v>
      </c>
      <c r="C162" s="3" t="s">
        <v>1330</v>
      </c>
      <c r="D162" s="14">
        <v>45777</v>
      </c>
      <c r="E162" s="5" t="s">
        <v>1335</v>
      </c>
      <c r="F162" s="5" t="s">
        <v>1336</v>
      </c>
      <c r="G162" s="6" t="s">
        <v>1060</v>
      </c>
      <c r="H162" s="6"/>
      <c r="I162" s="6"/>
      <c r="J162" s="6"/>
      <c r="K162" s="7" t="s">
        <v>1756</v>
      </c>
      <c r="L162" s="8">
        <v>0</v>
      </c>
      <c r="M162" s="8" t="str">
        <f t="shared" ref="M162:M226" si="28">"USD"</f>
        <v>USD</v>
      </c>
      <c r="N162" s="13"/>
      <c r="O162" s="13">
        <v>13</v>
      </c>
      <c r="P162" s="3">
        <f t="shared" si="21"/>
        <v>0</v>
      </c>
      <c r="Q162" s="3">
        <f t="shared" si="22"/>
        <v>13</v>
      </c>
      <c r="R162" s="3">
        <f t="shared" si="20"/>
        <v>26382.469999999998</v>
      </c>
      <c r="S162" s="24"/>
      <c r="T162" s="24"/>
      <c r="U162" s="61"/>
      <c r="V162" s="3" t="s">
        <v>1335</v>
      </c>
      <c r="W162" s="3"/>
      <c r="X162" s="3"/>
      <c r="Y162" s="3"/>
      <c r="Z162" s="3"/>
      <c r="AA162" s="3" t="str">
        <f>IF(BCP_Dolares[[#This Row],[fecha]]&gt;0,TEXT(BCP_Dolares[[#This Row],[fecha]],"mmmm"),0)</f>
        <v>Abril</v>
      </c>
    </row>
    <row r="163" spans="1:27" ht="24" x14ac:dyDescent="0.3">
      <c r="A163" s="2">
        <f>IF(BCP_Dolares[[#This Row],[tipo_registro]]="R",COUNTIFS($C$1:$C162,"R")+1,"")</f>
        <v>66</v>
      </c>
      <c r="B163" s="19" t="str">
        <f t="shared" si="27"/>
        <v>B-BCP - Dolares</v>
      </c>
      <c r="C163" s="3" t="s">
        <v>1330</v>
      </c>
      <c r="D163" s="14">
        <v>45777</v>
      </c>
      <c r="E163" s="5" t="s">
        <v>1335</v>
      </c>
      <c r="F163" s="5" t="s">
        <v>1336</v>
      </c>
      <c r="G163" s="6" t="s">
        <v>1060</v>
      </c>
      <c r="H163" s="6"/>
      <c r="I163" s="6"/>
      <c r="J163" s="6"/>
      <c r="K163" s="7" t="s">
        <v>1758</v>
      </c>
      <c r="L163" s="8">
        <v>1142110</v>
      </c>
      <c r="M163" s="8" t="str">
        <f t="shared" si="28"/>
        <v>USD</v>
      </c>
      <c r="N163" s="13"/>
      <c r="O163" s="13">
        <v>2</v>
      </c>
      <c r="P163" s="3">
        <f t="shared" si="21"/>
        <v>0</v>
      </c>
      <c r="Q163" s="3">
        <f t="shared" si="22"/>
        <v>2</v>
      </c>
      <c r="R163" s="3">
        <f t="shared" si="20"/>
        <v>26380.469999999998</v>
      </c>
      <c r="S163" s="24"/>
      <c r="T163" s="24"/>
      <c r="U163" s="61"/>
      <c r="V163" s="3" t="s">
        <v>1335</v>
      </c>
      <c r="W163" s="3"/>
      <c r="X163" s="3"/>
      <c r="Y163" s="3"/>
      <c r="Z163" s="3"/>
      <c r="AA163" s="3" t="str">
        <f>IF(BCP_Dolares[[#This Row],[fecha]]&gt;0,TEXT(BCP_Dolares[[#This Row],[fecha]],"mmmm"),0)</f>
        <v>Abril</v>
      </c>
    </row>
    <row r="164" spans="1:27" ht="24" x14ac:dyDescent="0.3">
      <c r="A164" s="2">
        <f>IF(BCP_Dolares[[#This Row],[tipo_registro]]="R",COUNTIFS($C$1:$C163,"R")+1,"")</f>
        <v>67</v>
      </c>
      <c r="B164" s="19" t="str">
        <f t="shared" si="27"/>
        <v>B-BCP - Dolares</v>
      </c>
      <c r="C164" s="3" t="s">
        <v>1330</v>
      </c>
      <c r="D164" s="14">
        <v>45783</v>
      </c>
      <c r="E164" s="5" t="s">
        <v>1338</v>
      </c>
      <c r="F164" s="5" t="s">
        <v>1336</v>
      </c>
      <c r="G164" s="6" t="s">
        <v>248</v>
      </c>
      <c r="H164" s="6" t="s">
        <v>68</v>
      </c>
      <c r="I164" s="6" t="s">
        <v>4966</v>
      </c>
      <c r="J164" s="6">
        <v>1025</v>
      </c>
      <c r="K164" s="7" t="s">
        <v>4967</v>
      </c>
      <c r="L164" s="8">
        <v>94668</v>
      </c>
      <c r="M164" s="8" t="str">
        <f t="shared" si="28"/>
        <v>USD</v>
      </c>
      <c r="N164" s="13"/>
      <c r="O164" s="13">
        <v>2000</v>
      </c>
      <c r="P164" s="3">
        <f t="shared" si="21"/>
        <v>0</v>
      </c>
      <c r="Q164" s="3">
        <f t="shared" si="22"/>
        <v>2000</v>
      </c>
      <c r="R164" s="3">
        <f t="shared" si="20"/>
        <v>24380.469999999998</v>
      </c>
      <c r="S164" s="24" t="s">
        <v>1334</v>
      </c>
      <c r="T164" s="24" t="s">
        <v>1334</v>
      </c>
      <c r="U164" s="61"/>
      <c r="V164" s="3" t="s">
        <v>248</v>
      </c>
      <c r="W164" s="3" t="s">
        <v>4968</v>
      </c>
      <c r="X164" s="3"/>
      <c r="Y164" s="3"/>
      <c r="Z164" s="3"/>
      <c r="AA164" s="3" t="str">
        <f>IF(BCP_Dolares[[#This Row],[fecha]]&gt;0,TEXT(BCP_Dolares[[#This Row],[fecha]],"mmmm"),0)</f>
        <v>Mayo</v>
      </c>
    </row>
    <row r="165" spans="1:27" ht="24" x14ac:dyDescent="0.3">
      <c r="A165" s="2">
        <f>IF(BCP_Dolares[[#This Row],[tipo_registro]]="R",COUNTIFS($C$1:$C164,"R")+1,"")</f>
        <v>68</v>
      </c>
      <c r="B165" s="19" t="str">
        <f t="shared" si="27"/>
        <v>B-BCP - Dolares</v>
      </c>
      <c r="C165" s="3" t="s">
        <v>1330</v>
      </c>
      <c r="D165" s="14">
        <v>45783</v>
      </c>
      <c r="E165" s="5" t="s">
        <v>1338</v>
      </c>
      <c r="F165" s="5" t="s">
        <v>1336</v>
      </c>
      <c r="G165" s="6" t="s">
        <v>248</v>
      </c>
      <c r="H165" s="6"/>
      <c r="I165" s="6"/>
      <c r="J165" s="6"/>
      <c r="K165" s="7" t="s">
        <v>4969</v>
      </c>
      <c r="L165" s="8">
        <v>94178</v>
      </c>
      <c r="M165" s="8" t="str">
        <f t="shared" si="28"/>
        <v>USD</v>
      </c>
      <c r="N165" s="13"/>
      <c r="O165" s="13">
        <v>2000</v>
      </c>
      <c r="P165" s="3">
        <f t="shared" si="21"/>
        <v>0</v>
      </c>
      <c r="Q165" s="3">
        <f t="shared" si="22"/>
        <v>2000</v>
      </c>
      <c r="R165" s="3">
        <f t="shared" si="20"/>
        <v>22380.469999999998</v>
      </c>
      <c r="S165" s="24"/>
      <c r="T165" s="24"/>
      <c r="U165" s="61"/>
      <c r="V165" s="3" t="s">
        <v>248</v>
      </c>
      <c r="W165" s="3"/>
      <c r="X165" s="3"/>
      <c r="Y165" s="3"/>
      <c r="Z165" s="3"/>
      <c r="AA165" s="3" t="str">
        <f>IF(BCP_Dolares[[#This Row],[fecha]]&gt;0,TEXT(BCP_Dolares[[#This Row],[fecha]],"mmmm"),0)</f>
        <v>Mayo</v>
      </c>
    </row>
    <row r="166" spans="1:27" x14ac:dyDescent="0.3">
      <c r="A166" s="2">
        <f>IF(BCP_Dolares[[#This Row],[tipo_registro]]="R",COUNTIFS($C$1:$C165,"R")+1,"")</f>
        <v>69</v>
      </c>
      <c r="B166" s="19" t="str">
        <f t="shared" si="27"/>
        <v>B-BCP - Dolares</v>
      </c>
      <c r="C166" s="3" t="s">
        <v>1330</v>
      </c>
      <c r="D166" s="14">
        <v>45783</v>
      </c>
      <c r="E166" s="5" t="s">
        <v>1335</v>
      </c>
      <c r="F166" s="5" t="s">
        <v>1336</v>
      </c>
      <c r="G166" s="6"/>
      <c r="H166" s="6"/>
      <c r="I166" s="6"/>
      <c r="J166" s="6"/>
      <c r="K166" s="7" t="s">
        <v>1337</v>
      </c>
      <c r="L166" s="8"/>
      <c r="M166" s="8" t="str">
        <f t="shared" si="28"/>
        <v>USD</v>
      </c>
      <c r="N166" s="13"/>
      <c r="O166" s="13">
        <v>0.2</v>
      </c>
      <c r="P166" s="3">
        <f t="shared" si="21"/>
        <v>0</v>
      </c>
      <c r="Q166" s="3">
        <f t="shared" si="22"/>
        <v>0.2</v>
      </c>
      <c r="R166" s="3">
        <f t="shared" si="20"/>
        <v>22380.269999999997</v>
      </c>
      <c r="S166" s="24" t="s">
        <v>1334</v>
      </c>
      <c r="T166" s="24" t="s">
        <v>1334</v>
      </c>
      <c r="U166" s="61"/>
      <c r="V166" s="3"/>
      <c r="W166" s="3"/>
      <c r="X166" s="3"/>
      <c r="Y166" s="3"/>
      <c r="Z166" s="3"/>
      <c r="AA166" s="3" t="str">
        <f>IF(BCP_Dolares[[#This Row],[fecha]]&gt;0,TEXT(BCP_Dolares[[#This Row],[fecha]],"mmmm"),0)</f>
        <v>Mayo</v>
      </c>
    </row>
    <row r="167" spans="1:27" ht="36" x14ac:dyDescent="0.3">
      <c r="A167" s="2">
        <f>IF(BCP_Dolares[[#This Row],[tipo_registro]]="R",COUNTIFS($C$1:$C166,"R")+1,"")</f>
        <v>70</v>
      </c>
      <c r="B167" s="19" t="str">
        <f t="shared" si="27"/>
        <v>B-BCP - Dolares</v>
      </c>
      <c r="C167" s="3" t="s">
        <v>1330</v>
      </c>
      <c r="D167" s="14">
        <v>45785</v>
      </c>
      <c r="E167" s="5" t="s">
        <v>1338</v>
      </c>
      <c r="F167" s="5" t="s">
        <v>1336</v>
      </c>
      <c r="G167" s="6" t="s">
        <v>248</v>
      </c>
      <c r="H167" s="6" t="s">
        <v>68</v>
      </c>
      <c r="I167" s="6" t="s">
        <v>4970</v>
      </c>
      <c r="J167" s="6">
        <v>33903</v>
      </c>
      <c r="K167" s="7" t="s">
        <v>4971</v>
      </c>
      <c r="L167" s="8">
        <v>98957</v>
      </c>
      <c r="M167" s="8" t="str">
        <f t="shared" si="28"/>
        <v>USD</v>
      </c>
      <c r="N167" s="13"/>
      <c r="O167" s="13">
        <v>88.84</v>
      </c>
      <c r="P167" s="3">
        <f t="shared" si="21"/>
        <v>0</v>
      </c>
      <c r="Q167" s="3">
        <f t="shared" si="22"/>
        <v>88.84</v>
      </c>
      <c r="R167" s="3">
        <f t="shared" si="20"/>
        <v>22291.429999999997</v>
      </c>
      <c r="S167" s="24" t="s">
        <v>1334</v>
      </c>
      <c r="T167" s="24" t="s">
        <v>1334</v>
      </c>
      <c r="U167" s="61"/>
      <c r="V167" s="3" t="s">
        <v>248</v>
      </c>
      <c r="W167" s="3" t="s">
        <v>4972</v>
      </c>
      <c r="X167" s="3"/>
      <c r="Y167" s="3"/>
      <c r="Z167" s="3"/>
      <c r="AA167" s="3" t="str">
        <f>IF(BCP_Dolares[[#This Row],[fecha]]&gt;0,TEXT(BCP_Dolares[[#This Row],[fecha]],"mmmm"),0)</f>
        <v>Mayo</v>
      </c>
    </row>
    <row r="168" spans="1:27" ht="36" x14ac:dyDescent="0.3">
      <c r="A168" s="2">
        <f>IF(BCP_Dolares[[#This Row],[tipo_registro]]="R",COUNTIFS($C$1:$C167,"R")+1,"")</f>
        <v>71</v>
      </c>
      <c r="B168" s="19" t="str">
        <f t="shared" si="27"/>
        <v>B-BCP - Dolares</v>
      </c>
      <c r="C168" s="3" t="s">
        <v>1330</v>
      </c>
      <c r="D168" s="14">
        <v>45789</v>
      </c>
      <c r="E168" s="5" t="s">
        <v>1338</v>
      </c>
      <c r="F168" s="5" t="s">
        <v>1336</v>
      </c>
      <c r="G168" s="6" t="s">
        <v>702</v>
      </c>
      <c r="H168" s="6" t="s">
        <v>68</v>
      </c>
      <c r="I168" s="6" t="s">
        <v>1463</v>
      </c>
      <c r="J168" s="6">
        <v>450160</v>
      </c>
      <c r="K168" s="7" t="s">
        <v>4912</v>
      </c>
      <c r="L168" s="8">
        <v>100214</v>
      </c>
      <c r="M168" s="8" t="str">
        <f t="shared" si="28"/>
        <v>USD</v>
      </c>
      <c r="N168" s="13"/>
      <c r="O168" s="13">
        <v>102.22</v>
      </c>
      <c r="P168" s="3">
        <f t="shared" si="21"/>
        <v>0</v>
      </c>
      <c r="Q168" s="3">
        <f t="shared" si="22"/>
        <v>102.22</v>
      </c>
      <c r="R168" s="3">
        <f t="shared" si="20"/>
        <v>22189.209999999995</v>
      </c>
      <c r="S168" s="24" t="s">
        <v>1334</v>
      </c>
      <c r="T168" s="24" t="s">
        <v>1334</v>
      </c>
      <c r="U168" s="61"/>
      <c r="V168" s="3" t="s">
        <v>4913</v>
      </c>
      <c r="W168" s="3" t="s">
        <v>4973</v>
      </c>
      <c r="X168" s="3"/>
      <c r="Y168" s="3"/>
      <c r="Z168" s="3"/>
      <c r="AA168" s="3" t="str">
        <f>IF(BCP_Dolares[[#This Row],[fecha]]&gt;0,TEXT(BCP_Dolares[[#This Row],[fecha]],"mmmm"),0)</f>
        <v>Mayo</v>
      </c>
    </row>
    <row r="169" spans="1:27" ht="24" x14ac:dyDescent="0.3">
      <c r="A169" s="2">
        <f>IF(BCP_Dolares[[#This Row],[tipo_registro]]="R",COUNTIFS($C$1:$C168,"R")+1,"")</f>
        <v>72</v>
      </c>
      <c r="B169" s="19" t="str">
        <f t="shared" si="27"/>
        <v>B-BCP - Dolares</v>
      </c>
      <c r="C169" s="3" t="s">
        <v>1330</v>
      </c>
      <c r="D169" s="14">
        <v>45793</v>
      </c>
      <c r="E169" s="5" t="s">
        <v>1338</v>
      </c>
      <c r="F169" s="5" t="s">
        <v>1336</v>
      </c>
      <c r="G169" s="6" t="s">
        <v>248</v>
      </c>
      <c r="H169" s="6" t="s">
        <v>68</v>
      </c>
      <c r="I169" s="6" t="s">
        <v>4974</v>
      </c>
      <c r="J169" s="6">
        <v>8148</v>
      </c>
      <c r="K169" s="7" t="s">
        <v>4975</v>
      </c>
      <c r="L169" s="8">
        <v>1270285</v>
      </c>
      <c r="M169" s="8" t="str">
        <f t="shared" si="28"/>
        <v>USD</v>
      </c>
      <c r="N169" s="13"/>
      <c r="O169" s="13">
        <v>84.44</v>
      </c>
      <c r="P169" s="3">
        <f t="shared" si="21"/>
        <v>0</v>
      </c>
      <c r="Q169" s="3">
        <f t="shared" si="22"/>
        <v>84.44</v>
      </c>
      <c r="R169" s="3">
        <f t="shared" si="20"/>
        <v>22104.769999999997</v>
      </c>
      <c r="S169" s="24" t="s">
        <v>1334</v>
      </c>
      <c r="T169" s="24" t="s">
        <v>1334</v>
      </c>
      <c r="U169" s="61"/>
      <c r="V169" s="3" t="s">
        <v>248</v>
      </c>
      <c r="W169" s="3" t="s">
        <v>4976</v>
      </c>
      <c r="X169" s="3"/>
      <c r="Y169" s="3"/>
      <c r="Z169" s="3"/>
      <c r="AA169" s="3" t="str">
        <f>IF(BCP_Dolares[[#This Row],[fecha]]&gt;0,TEXT(BCP_Dolares[[#This Row],[fecha]],"mmmm"),0)</f>
        <v>Mayo</v>
      </c>
    </row>
    <row r="170" spans="1:27" ht="24" x14ac:dyDescent="0.3">
      <c r="A170" s="2">
        <f>IF(BCP_Dolares[[#This Row],[tipo_registro]]="R",COUNTIFS($C$1:$C169,"R")+1,"")</f>
        <v>73</v>
      </c>
      <c r="B170" s="19" t="str">
        <f t="shared" si="27"/>
        <v>B-BCP - Dolares</v>
      </c>
      <c r="C170" s="3" t="s">
        <v>1330</v>
      </c>
      <c r="D170" s="14">
        <v>45793</v>
      </c>
      <c r="E170" s="5" t="s">
        <v>1338</v>
      </c>
      <c r="F170" s="5" t="s">
        <v>1336</v>
      </c>
      <c r="G170" s="6" t="s">
        <v>690</v>
      </c>
      <c r="H170" s="6"/>
      <c r="I170" s="6"/>
      <c r="J170" s="6"/>
      <c r="K170" s="7" t="s">
        <v>4977</v>
      </c>
      <c r="L170" s="8">
        <v>4023884</v>
      </c>
      <c r="M170" s="8" t="str">
        <f t="shared" si="28"/>
        <v>USD</v>
      </c>
      <c r="N170" s="13"/>
      <c r="O170" s="13">
        <v>2212.23</v>
      </c>
      <c r="P170" s="3">
        <f t="shared" si="21"/>
        <v>0</v>
      </c>
      <c r="Q170" s="3">
        <f t="shared" si="22"/>
        <v>2212.23</v>
      </c>
      <c r="R170" s="3">
        <f t="shared" si="20"/>
        <v>19892.539999999997</v>
      </c>
      <c r="S170" s="24" t="s">
        <v>1334</v>
      </c>
      <c r="T170" s="24" t="s">
        <v>1334</v>
      </c>
      <c r="U170" s="61"/>
      <c r="V170" s="3" t="s">
        <v>690</v>
      </c>
      <c r="W170" s="3"/>
      <c r="X170" s="3"/>
      <c r="Y170" s="3"/>
      <c r="Z170" s="3"/>
      <c r="AA170" s="3" t="str">
        <f>IF(BCP_Dolares[[#This Row],[fecha]]&gt;0,TEXT(BCP_Dolares[[#This Row],[fecha]],"mmmm"),0)</f>
        <v>Mayo</v>
      </c>
    </row>
    <row r="171" spans="1:27" ht="24" x14ac:dyDescent="0.3">
      <c r="A171" s="2" t="str">
        <f>IF(BCP_Dolares[[#This Row],[tipo_registro]]="R",COUNTIFS($C$1:$C170,"R")+1,"")</f>
        <v/>
      </c>
      <c r="B171" s="19" t="str">
        <f>"B-BCP - Dolares"</f>
        <v>B-BCP - Dolares</v>
      </c>
      <c r="C171" s="3" t="s">
        <v>1352</v>
      </c>
      <c r="D171" s="14">
        <v>45793</v>
      </c>
      <c r="E171" s="5"/>
      <c r="F171" s="5"/>
      <c r="G171" s="6" t="s">
        <v>690</v>
      </c>
      <c r="H171" s="6" t="s">
        <v>68</v>
      </c>
      <c r="I171" s="6" t="s">
        <v>1376</v>
      </c>
      <c r="J171" s="6">
        <v>44</v>
      </c>
      <c r="K171" s="7" t="s">
        <v>4977</v>
      </c>
      <c r="L171" s="8">
        <v>4023884</v>
      </c>
      <c r="M171" s="8" t="str">
        <f>"USD"</f>
        <v>USD</v>
      </c>
      <c r="N171" s="13">
        <v>2199.92</v>
      </c>
      <c r="O171" s="13"/>
      <c r="P171" s="3">
        <f>+IF(OR($F171="SALDO",$F171="INGRESO"),$O171,0)</f>
        <v>0</v>
      </c>
      <c r="Q171" s="3">
        <f>+IF($F171="EGRESO",$O171,0)</f>
        <v>0</v>
      </c>
      <c r="R171" s="3">
        <f t="shared" si="20"/>
        <v>19892.539999999997</v>
      </c>
      <c r="S171" s="24" t="s">
        <v>1334</v>
      </c>
      <c r="T171" s="24" t="s">
        <v>1334</v>
      </c>
      <c r="U171" s="61"/>
      <c r="V171" s="3"/>
      <c r="W171" s="3"/>
      <c r="X171" s="3"/>
      <c r="Y171" s="3"/>
      <c r="Z171" s="3"/>
      <c r="AA171" s="3" t="str">
        <f>IF(BCP_Dolares[[#This Row],[fecha]]&gt;0,TEXT(BCP_Dolares[[#This Row],[fecha]],"mmmm"),0)</f>
        <v>Mayo</v>
      </c>
    </row>
    <row r="172" spans="1:27" ht="24" x14ac:dyDescent="0.3">
      <c r="A172" s="2" t="str">
        <f>IF(BCP_Dolares[[#This Row],[tipo_registro]]="R",COUNTIFS($C$1:$C171,"R")+1,"")</f>
        <v/>
      </c>
      <c r="B172" s="19" t="str">
        <f>"B-BCP - Dolares"</f>
        <v>B-BCP - Dolares</v>
      </c>
      <c r="C172" s="3" t="s">
        <v>1352</v>
      </c>
      <c r="D172" s="14">
        <v>45793</v>
      </c>
      <c r="E172" s="5"/>
      <c r="F172" s="5"/>
      <c r="G172" s="6" t="s">
        <v>1060</v>
      </c>
      <c r="H172" s="6" t="s">
        <v>68</v>
      </c>
      <c r="I172" s="6" t="s">
        <v>1397</v>
      </c>
      <c r="J172" s="6">
        <v>32852206</v>
      </c>
      <c r="K172" s="7" t="s">
        <v>4977</v>
      </c>
      <c r="L172" s="8">
        <v>4023884</v>
      </c>
      <c r="M172" s="8" t="str">
        <f>"USD"</f>
        <v>USD</v>
      </c>
      <c r="N172" s="13">
        <v>12.31</v>
      </c>
      <c r="O172" s="13"/>
      <c r="P172" s="3">
        <f>+IF(OR($F172="SALDO",$F172="INGRESO"),$O172,0)</f>
        <v>0</v>
      </c>
      <c r="Q172" s="3">
        <f>+IF($F172="EGRESO",$O172,0)</f>
        <v>0</v>
      </c>
      <c r="R172" s="3">
        <f t="shared" si="20"/>
        <v>19892.539999999997</v>
      </c>
      <c r="S172" s="24" t="s">
        <v>1334</v>
      </c>
      <c r="T172" s="24" t="s">
        <v>1334</v>
      </c>
      <c r="U172" s="61"/>
      <c r="V172" s="3"/>
      <c r="W172" s="3"/>
      <c r="X172" s="3"/>
      <c r="Y172" s="3"/>
      <c r="Z172" s="3"/>
      <c r="AA172" s="3" t="str">
        <f>IF(BCP_Dolares[[#This Row],[fecha]]&gt;0,TEXT(BCP_Dolares[[#This Row],[fecha]],"mmmm"),0)</f>
        <v>Mayo</v>
      </c>
    </row>
    <row r="173" spans="1:27" ht="24" x14ac:dyDescent="0.3">
      <c r="A173" s="2">
        <f>IF(BCP_Dolares[[#This Row],[tipo_registro]]="R",COUNTIFS($C$1:$C172,"R")+1,"")</f>
        <v>74</v>
      </c>
      <c r="B173" s="19" t="str">
        <f t="shared" si="27"/>
        <v>B-BCP - Dolares</v>
      </c>
      <c r="C173" s="3" t="s">
        <v>1330</v>
      </c>
      <c r="D173" s="14">
        <v>45793</v>
      </c>
      <c r="E173" s="5" t="s">
        <v>1338</v>
      </c>
      <c r="F173" s="5" t="s">
        <v>1336</v>
      </c>
      <c r="G173" s="6" t="s">
        <v>248</v>
      </c>
      <c r="H173" s="6" t="s">
        <v>68</v>
      </c>
      <c r="I173" s="6" t="s">
        <v>4974</v>
      </c>
      <c r="J173" s="6">
        <v>8148</v>
      </c>
      <c r="K173" s="7" t="s">
        <v>4978</v>
      </c>
      <c r="L173" s="8">
        <v>1007795</v>
      </c>
      <c r="M173" s="8" t="str">
        <f t="shared" si="28"/>
        <v>USD</v>
      </c>
      <c r="N173" s="13"/>
      <c r="O173" s="13">
        <v>111.03</v>
      </c>
      <c r="P173" s="3">
        <f t="shared" si="21"/>
        <v>0</v>
      </c>
      <c r="Q173" s="3">
        <f t="shared" si="22"/>
        <v>111.03</v>
      </c>
      <c r="R173" s="3">
        <f t="shared" si="20"/>
        <v>19781.509999999998</v>
      </c>
      <c r="S173" s="24" t="s">
        <v>1334</v>
      </c>
      <c r="T173" s="24" t="s">
        <v>1334</v>
      </c>
      <c r="U173" s="61"/>
      <c r="V173" s="3" t="s">
        <v>248</v>
      </c>
      <c r="W173" s="3" t="s">
        <v>4976</v>
      </c>
      <c r="X173" s="3"/>
      <c r="Y173" s="3"/>
      <c r="Z173" s="3"/>
      <c r="AA173" s="3" t="str">
        <f>IF(BCP_Dolares[[#This Row],[fecha]]&gt;0,TEXT(BCP_Dolares[[#This Row],[fecha]],"mmmm"),0)</f>
        <v>Mayo</v>
      </c>
    </row>
    <row r="174" spans="1:27" x14ac:dyDescent="0.3">
      <c r="A174" s="2">
        <f>IF(BCP_Dolares[[#This Row],[tipo_registro]]="R",COUNTIFS($C$1:$C173,"R")+1,"")</f>
        <v>75</v>
      </c>
      <c r="B174" s="19" t="str">
        <f t="shared" si="27"/>
        <v>B-BCP - Dolares</v>
      </c>
      <c r="C174" s="3" t="s">
        <v>1330</v>
      </c>
      <c r="D174" s="14">
        <v>45793</v>
      </c>
      <c r="E174" s="5" t="s">
        <v>1335</v>
      </c>
      <c r="F174" s="5" t="s">
        <v>1336</v>
      </c>
      <c r="G174" s="6"/>
      <c r="H174" s="6"/>
      <c r="I174" s="6"/>
      <c r="J174" s="6"/>
      <c r="K174" s="7" t="s">
        <v>1337</v>
      </c>
      <c r="L174" s="8"/>
      <c r="M174" s="8" t="str">
        <f t="shared" si="28"/>
        <v>USD</v>
      </c>
      <c r="N174" s="13"/>
      <c r="O174" s="13">
        <v>0.1</v>
      </c>
      <c r="P174" s="3">
        <f t="shared" si="21"/>
        <v>0</v>
      </c>
      <c r="Q174" s="3">
        <f t="shared" si="22"/>
        <v>0.1</v>
      </c>
      <c r="R174" s="3">
        <f t="shared" si="20"/>
        <v>19781.41</v>
      </c>
      <c r="S174" s="24" t="s">
        <v>1334</v>
      </c>
      <c r="T174" s="24" t="s">
        <v>1334</v>
      </c>
      <c r="U174" s="61"/>
      <c r="V174" s="3"/>
      <c r="W174" s="3"/>
      <c r="X174" s="3"/>
      <c r="Y174" s="3"/>
      <c r="Z174" s="3"/>
      <c r="AA174" s="3" t="str">
        <f>IF(BCP_Dolares[[#This Row],[fecha]]&gt;0,TEXT(BCP_Dolares[[#This Row],[fecha]],"mmmm"),0)</f>
        <v>Mayo</v>
      </c>
    </row>
    <row r="175" spans="1:27" ht="72" x14ac:dyDescent="0.3">
      <c r="A175" s="2">
        <f>IF(BCP_Dolares[[#This Row],[tipo_registro]]="R",COUNTIFS($C$1:$C174,"R")+1,"")</f>
        <v>76</v>
      </c>
      <c r="B175" s="19" t="str">
        <f t="shared" si="27"/>
        <v>B-BCP - Dolares</v>
      </c>
      <c r="C175" s="3" t="s">
        <v>1330</v>
      </c>
      <c r="D175" s="14">
        <v>45796</v>
      </c>
      <c r="E175" s="5" t="s">
        <v>1338</v>
      </c>
      <c r="F175" s="5" t="s">
        <v>1336</v>
      </c>
      <c r="G175" s="6" t="s">
        <v>204</v>
      </c>
      <c r="H175" s="6"/>
      <c r="I175" s="6"/>
      <c r="J175" s="6"/>
      <c r="K175" s="7" t="s">
        <v>4979</v>
      </c>
      <c r="L175" s="8">
        <v>7685299</v>
      </c>
      <c r="M175" s="8" t="str">
        <f t="shared" si="28"/>
        <v>USD</v>
      </c>
      <c r="N175" s="13"/>
      <c r="O175" s="13">
        <v>418.01</v>
      </c>
      <c r="P175" s="3">
        <f t="shared" si="21"/>
        <v>0</v>
      </c>
      <c r="Q175" s="3">
        <f t="shared" si="22"/>
        <v>418.01</v>
      </c>
      <c r="R175" s="3">
        <f t="shared" si="20"/>
        <v>19363.400000000001</v>
      </c>
      <c r="S175" s="24" t="s">
        <v>1334</v>
      </c>
      <c r="T175" s="24" t="s">
        <v>1334</v>
      </c>
      <c r="U175" s="61"/>
      <c r="V175" s="3" t="s">
        <v>204</v>
      </c>
      <c r="W175" s="3" t="s">
        <v>4980</v>
      </c>
      <c r="X175" s="3"/>
      <c r="Y175" s="3"/>
      <c r="Z175" s="3"/>
      <c r="AA175" s="3" t="str">
        <f>IF(BCP_Dolares[[#This Row],[fecha]]&gt;0,TEXT(BCP_Dolares[[#This Row],[fecha]],"mmmm"),0)</f>
        <v>Mayo</v>
      </c>
    </row>
    <row r="176" spans="1:27" ht="24" x14ac:dyDescent="0.3">
      <c r="A176" s="2" t="str">
        <f>IF(BCP_Dolares[[#This Row],[tipo_registro]]="R",COUNTIFS($C$1:$C175,"R")+1,"")</f>
        <v/>
      </c>
      <c r="B176" s="19" t="str">
        <f t="shared" ref="B176:B181" si="29">"B-BCP - Dolares"</f>
        <v>B-BCP - Dolares</v>
      </c>
      <c r="C176" s="3" t="s">
        <v>1352</v>
      </c>
      <c r="D176" s="14">
        <v>45796</v>
      </c>
      <c r="E176" s="5" t="s">
        <v>1338</v>
      </c>
      <c r="F176" s="5"/>
      <c r="G176" s="6" t="s">
        <v>204</v>
      </c>
      <c r="H176" s="6" t="s">
        <v>68</v>
      </c>
      <c r="I176" s="6" t="s">
        <v>1390</v>
      </c>
      <c r="J176" s="6">
        <v>15908</v>
      </c>
      <c r="K176" s="7" t="s">
        <v>4979</v>
      </c>
      <c r="L176" s="8">
        <v>7685299</v>
      </c>
      <c r="M176" s="8" t="str">
        <f t="shared" ref="M176:M181" si="30">"USD"</f>
        <v>USD</v>
      </c>
      <c r="N176" s="13">
        <v>66.31</v>
      </c>
      <c r="O176" s="13"/>
      <c r="P176" s="3">
        <f t="shared" si="21"/>
        <v>0</v>
      </c>
      <c r="Q176" s="3">
        <f t="shared" si="22"/>
        <v>0</v>
      </c>
      <c r="R176" s="3">
        <f t="shared" si="20"/>
        <v>19363.400000000001</v>
      </c>
      <c r="S176" s="24" t="s">
        <v>1334</v>
      </c>
      <c r="T176" s="24" t="s">
        <v>1334</v>
      </c>
      <c r="U176" s="61"/>
      <c r="V176" s="3" t="s">
        <v>4981</v>
      </c>
      <c r="W176" s="3"/>
      <c r="X176" s="3" t="s">
        <v>4982</v>
      </c>
      <c r="Y176" s="3"/>
      <c r="Z176" s="3"/>
      <c r="AA176" s="3" t="str">
        <f>IF(BCP_Dolares[[#This Row],[fecha]]&gt;0,TEXT(BCP_Dolares[[#This Row],[fecha]],"mmmm"),0)</f>
        <v>Mayo</v>
      </c>
    </row>
    <row r="177" spans="1:27" ht="24" x14ac:dyDescent="0.3">
      <c r="A177" s="2" t="str">
        <f>IF(BCP_Dolares[[#This Row],[tipo_registro]]="R",COUNTIFS($C$1:$C176,"R")+1,"")</f>
        <v/>
      </c>
      <c r="B177" s="19" t="str">
        <f t="shared" si="29"/>
        <v>B-BCP - Dolares</v>
      </c>
      <c r="C177" s="3" t="s">
        <v>1352</v>
      </c>
      <c r="D177" s="14">
        <v>45796</v>
      </c>
      <c r="E177" s="5" t="s">
        <v>1338</v>
      </c>
      <c r="F177" s="5"/>
      <c r="G177" s="6" t="s">
        <v>204</v>
      </c>
      <c r="H177" s="6" t="s">
        <v>68</v>
      </c>
      <c r="I177" s="6" t="s">
        <v>1390</v>
      </c>
      <c r="J177" s="6">
        <v>15939</v>
      </c>
      <c r="K177" s="7" t="s">
        <v>4979</v>
      </c>
      <c r="L177" s="8">
        <v>7685299</v>
      </c>
      <c r="M177" s="8" t="str">
        <f t="shared" si="30"/>
        <v>USD</v>
      </c>
      <c r="N177" s="13">
        <v>66.150000000000006</v>
      </c>
      <c r="O177" s="13"/>
      <c r="P177" s="3">
        <f t="shared" si="21"/>
        <v>0</v>
      </c>
      <c r="Q177" s="3">
        <f t="shared" si="22"/>
        <v>0</v>
      </c>
      <c r="R177" s="3">
        <f t="shared" si="20"/>
        <v>19363.400000000001</v>
      </c>
      <c r="S177" s="24" t="s">
        <v>1334</v>
      </c>
      <c r="T177" s="24" t="s">
        <v>1334</v>
      </c>
      <c r="U177" s="61"/>
      <c r="V177" s="3"/>
      <c r="W177" s="3"/>
      <c r="X177" s="3"/>
      <c r="Y177" s="3"/>
      <c r="Z177" s="3"/>
      <c r="AA177" s="3" t="str">
        <f>IF(BCP_Dolares[[#This Row],[fecha]]&gt;0,TEXT(BCP_Dolares[[#This Row],[fecha]],"mmmm"),0)</f>
        <v>Mayo</v>
      </c>
    </row>
    <row r="178" spans="1:27" ht="24" x14ac:dyDescent="0.3">
      <c r="A178" s="2" t="str">
        <f>IF(BCP_Dolares[[#This Row],[tipo_registro]]="R",COUNTIFS($C$1:$C177,"R")+1,"")</f>
        <v/>
      </c>
      <c r="B178" s="19" t="str">
        <f t="shared" si="29"/>
        <v>B-BCP - Dolares</v>
      </c>
      <c r="C178" s="3" t="s">
        <v>1352</v>
      </c>
      <c r="D178" s="14">
        <v>45796</v>
      </c>
      <c r="E178" s="5" t="s">
        <v>1338</v>
      </c>
      <c r="F178" s="5"/>
      <c r="G178" s="6" t="s">
        <v>204</v>
      </c>
      <c r="H178" s="6" t="s">
        <v>68</v>
      </c>
      <c r="I178" s="6" t="s">
        <v>1390</v>
      </c>
      <c r="J178" s="6">
        <v>15916</v>
      </c>
      <c r="K178" s="7" t="s">
        <v>4979</v>
      </c>
      <c r="L178" s="8">
        <v>7685299</v>
      </c>
      <c r="M178" s="8" t="str">
        <f t="shared" si="30"/>
        <v>USD</v>
      </c>
      <c r="N178" s="13">
        <v>77.66</v>
      </c>
      <c r="O178" s="13"/>
      <c r="P178" s="3">
        <f t="shared" si="21"/>
        <v>0</v>
      </c>
      <c r="Q178" s="3">
        <f t="shared" si="22"/>
        <v>0</v>
      </c>
      <c r="R178" s="3">
        <f t="shared" si="20"/>
        <v>19363.400000000001</v>
      </c>
      <c r="S178" s="24" t="s">
        <v>1334</v>
      </c>
      <c r="T178" s="24" t="s">
        <v>1334</v>
      </c>
      <c r="U178" s="61"/>
      <c r="V178" s="3"/>
      <c r="W178" s="3"/>
      <c r="X178" s="3"/>
      <c r="Y178" s="3"/>
      <c r="Z178" s="3"/>
      <c r="AA178" s="3" t="str">
        <f>IF(BCP_Dolares[[#This Row],[fecha]]&gt;0,TEXT(BCP_Dolares[[#This Row],[fecha]],"mmmm"),0)</f>
        <v>Mayo</v>
      </c>
    </row>
    <row r="179" spans="1:27" ht="24" x14ac:dyDescent="0.3">
      <c r="A179" s="2" t="str">
        <f>IF(BCP_Dolares[[#This Row],[tipo_registro]]="R",COUNTIFS($C$1:$C178,"R")+1,"")</f>
        <v/>
      </c>
      <c r="B179" s="19" t="str">
        <f t="shared" si="29"/>
        <v>B-BCP - Dolares</v>
      </c>
      <c r="C179" s="3" t="s">
        <v>1352</v>
      </c>
      <c r="D179" s="14">
        <v>45796</v>
      </c>
      <c r="E179" s="5" t="s">
        <v>1338</v>
      </c>
      <c r="F179" s="5"/>
      <c r="G179" s="6" t="s">
        <v>204</v>
      </c>
      <c r="H179" s="6" t="s">
        <v>68</v>
      </c>
      <c r="I179" s="6" t="s">
        <v>1390</v>
      </c>
      <c r="J179" s="6">
        <v>15934</v>
      </c>
      <c r="K179" s="7" t="s">
        <v>4979</v>
      </c>
      <c r="L179" s="8">
        <v>7685299</v>
      </c>
      <c r="M179" s="8" t="str">
        <f t="shared" si="30"/>
        <v>USD</v>
      </c>
      <c r="N179" s="13">
        <v>71.72</v>
      </c>
      <c r="O179" s="13"/>
      <c r="P179" s="3">
        <f t="shared" si="21"/>
        <v>0</v>
      </c>
      <c r="Q179" s="3">
        <f t="shared" si="22"/>
        <v>0</v>
      </c>
      <c r="R179" s="3">
        <f t="shared" si="20"/>
        <v>19363.400000000001</v>
      </c>
      <c r="S179" s="24" t="s">
        <v>1334</v>
      </c>
      <c r="T179" s="24" t="s">
        <v>1334</v>
      </c>
      <c r="U179" s="61"/>
      <c r="V179" s="3"/>
      <c r="W179" s="3"/>
      <c r="X179" s="3"/>
      <c r="Y179" s="3"/>
      <c r="Z179" s="3"/>
      <c r="AA179" s="3" t="str">
        <f>IF(BCP_Dolares[[#This Row],[fecha]]&gt;0,TEXT(BCP_Dolares[[#This Row],[fecha]],"mmmm"),0)</f>
        <v>Mayo</v>
      </c>
    </row>
    <row r="180" spans="1:27" ht="24" x14ac:dyDescent="0.3">
      <c r="A180" s="2" t="str">
        <f>IF(BCP_Dolares[[#This Row],[tipo_registro]]="R",COUNTIFS($C$1:$C179,"R")+1,"")</f>
        <v/>
      </c>
      <c r="B180" s="19" t="str">
        <f t="shared" si="29"/>
        <v>B-BCP - Dolares</v>
      </c>
      <c r="C180" s="3" t="s">
        <v>1352</v>
      </c>
      <c r="D180" s="14">
        <v>45796</v>
      </c>
      <c r="E180" s="5" t="s">
        <v>1338</v>
      </c>
      <c r="F180" s="5"/>
      <c r="G180" s="6" t="s">
        <v>204</v>
      </c>
      <c r="H180" s="6" t="s">
        <v>68</v>
      </c>
      <c r="I180" s="6" t="s">
        <v>1390</v>
      </c>
      <c r="J180" s="6">
        <v>15903</v>
      </c>
      <c r="K180" s="7" t="s">
        <v>4979</v>
      </c>
      <c r="L180" s="8">
        <v>7685299</v>
      </c>
      <c r="M180" s="8" t="str">
        <f t="shared" si="30"/>
        <v>USD</v>
      </c>
      <c r="N180" s="13">
        <v>77.67</v>
      </c>
      <c r="O180" s="13"/>
      <c r="P180" s="3">
        <f t="shared" si="21"/>
        <v>0</v>
      </c>
      <c r="Q180" s="3">
        <f t="shared" si="22"/>
        <v>0</v>
      </c>
      <c r="R180" s="3">
        <f t="shared" si="20"/>
        <v>19363.400000000001</v>
      </c>
      <c r="S180" s="24" t="s">
        <v>1334</v>
      </c>
      <c r="T180" s="24" t="s">
        <v>1334</v>
      </c>
      <c r="U180" s="61"/>
      <c r="V180" s="3"/>
      <c r="W180" s="3"/>
      <c r="X180" s="3"/>
      <c r="Y180" s="3"/>
      <c r="Z180" s="3"/>
      <c r="AA180" s="3" t="str">
        <f>IF(BCP_Dolares[[#This Row],[fecha]]&gt;0,TEXT(BCP_Dolares[[#This Row],[fecha]],"mmmm"),0)</f>
        <v>Mayo</v>
      </c>
    </row>
    <row r="181" spans="1:27" ht="24" x14ac:dyDescent="0.3">
      <c r="A181" s="2" t="str">
        <f>IF(BCP_Dolares[[#This Row],[tipo_registro]]="R",COUNTIFS($C$1:$C180,"R")+1,"")</f>
        <v/>
      </c>
      <c r="B181" s="19" t="str">
        <f t="shared" si="29"/>
        <v>B-BCP - Dolares</v>
      </c>
      <c r="C181" s="3" t="s">
        <v>1352</v>
      </c>
      <c r="D181" s="14">
        <v>45796</v>
      </c>
      <c r="E181" s="5" t="s">
        <v>1338</v>
      </c>
      <c r="F181" s="5"/>
      <c r="G181" s="6" t="s">
        <v>204</v>
      </c>
      <c r="H181" s="6" t="s">
        <v>68</v>
      </c>
      <c r="I181" s="6" t="s">
        <v>1390</v>
      </c>
      <c r="J181" s="6">
        <v>15904</v>
      </c>
      <c r="K181" s="7" t="s">
        <v>4979</v>
      </c>
      <c r="L181" s="8">
        <v>7685299</v>
      </c>
      <c r="M181" s="8" t="str">
        <f t="shared" si="30"/>
        <v>USD</v>
      </c>
      <c r="N181" s="13">
        <v>58.5</v>
      </c>
      <c r="O181" s="13"/>
      <c r="P181" s="3">
        <f t="shared" si="21"/>
        <v>0</v>
      </c>
      <c r="Q181" s="3">
        <f t="shared" si="22"/>
        <v>0</v>
      </c>
      <c r="R181" s="3">
        <f t="shared" si="20"/>
        <v>19363.400000000001</v>
      </c>
      <c r="S181" s="24" t="s">
        <v>1334</v>
      </c>
      <c r="T181" s="24" t="s">
        <v>1334</v>
      </c>
      <c r="U181" s="61"/>
      <c r="V181" s="3"/>
      <c r="W181" s="3"/>
      <c r="X181" s="3"/>
      <c r="Y181" s="3"/>
      <c r="Z181" s="3"/>
      <c r="AA181" s="3" t="str">
        <f>IF(BCP_Dolares[[#This Row],[fecha]]&gt;0,TEXT(BCP_Dolares[[#This Row],[fecha]],"mmmm"),0)</f>
        <v>Mayo</v>
      </c>
    </row>
    <row r="182" spans="1:27" ht="36" x14ac:dyDescent="0.3">
      <c r="A182" s="2">
        <f>IF(BCP_Dolares[[#This Row],[tipo_registro]]="R",COUNTIFS($C$1:$C181,"R")+1,"")</f>
        <v>77</v>
      </c>
      <c r="B182" s="19" t="str">
        <f t="shared" si="27"/>
        <v>B-BCP - Dolares</v>
      </c>
      <c r="C182" s="3" t="s">
        <v>1330</v>
      </c>
      <c r="D182" s="14">
        <v>45797</v>
      </c>
      <c r="E182" s="5" t="s">
        <v>1338</v>
      </c>
      <c r="F182" s="5" t="s">
        <v>1336</v>
      </c>
      <c r="G182" s="6" t="s">
        <v>702</v>
      </c>
      <c r="H182" s="6" t="s">
        <v>68</v>
      </c>
      <c r="I182" s="6" t="s">
        <v>1463</v>
      </c>
      <c r="J182" s="6">
        <v>452571</v>
      </c>
      <c r="K182" s="7" t="s">
        <v>4983</v>
      </c>
      <c r="L182" s="8">
        <v>220344</v>
      </c>
      <c r="M182" s="8" t="str">
        <f t="shared" si="28"/>
        <v>USD</v>
      </c>
      <c r="N182" s="13"/>
      <c r="O182" s="13">
        <v>416.27</v>
      </c>
      <c r="P182" s="3">
        <f t="shared" si="21"/>
        <v>0</v>
      </c>
      <c r="Q182" s="3">
        <f t="shared" si="22"/>
        <v>416.27</v>
      </c>
      <c r="R182" s="3">
        <f t="shared" si="20"/>
        <v>18947.13</v>
      </c>
      <c r="S182" s="24" t="s">
        <v>1334</v>
      </c>
      <c r="T182" s="24" t="s">
        <v>1334</v>
      </c>
      <c r="U182" s="61"/>
      <c r="V182" s="3" t="s">
        <v>4913</v>
      </c>
      <c r="W182" s="3" t="s">
        <v>4984</v>
      </c>
      <c r="X182" s="3"/>
      <c r="Y182" s="3"/>
      <c r="Z182" s="3"/>
      <c r="AA182" s="3" t="str">
        <f>IF(BCP_Dolares[[#This Row],[fecha]]&gt;0,TEXT(BCP_Dolares[[#This Row],[fecha]],"mmmm"),0)</f>
        <v>Mayo</v>
      </c>
    </row>
    <row r="183" spans="1:27" x14ac:dyDescent="0.3">
      <c r="A183" s="2">
        <f>IF(BCP_Dolares[[#This Row],[tipo_registro]]="R",COUNTIFS($C$1:$C182,"R")+1,"")</f>
        <v>78</v>
      </c>
      <c r="B183" s="19" t="str">
        <f t="shared" si="27"/>
        <v>B-BCP - Dolares</v>
      </c>
      <c r="C183" s="3" t="s">
        <v>1330</v>
      </c>
      <c r="D183" s="14">
        <v>45800</v>
      </c>
      <c r="E183" s="5" t="s">
        <v>1338</v>
      </c>
      <c r="F183" s="5" t="s">
        <v>1336</v>
      </c>
      <c r="G183" s="6"/>
      <c r="H183" s="6"/>
      <c r="I183" s="6"/>
      <c r="J183" s="6"/>
      <c r="K183" s="7" t="s">
        <v>4985</v>
      </c>
      <c r="L183" s="8">
        <v>9204553</v>
      </c>
      <c r="M183" s="8" t="str">
        <f t="shared" si="28"/>
        <v>USD</v>
      </c>
      <c r="N183" s="13"/>
      <c r="O183" s="13">
        <v>2258.75</v>
      </c>
      <c r="P183" s="3">
        <f t="shared" si="21"/>
        <v>0</v>
      </c>
      <c r="Q183" s="3">
        <f t="shared" si="22"/>
        <v>2258.75</v>
      </c>
      <c r="R183" s="3">
        <f t="shared" si="20"/>
        <v>16688.38</v>
      </c>
      <c r="S183" s="24" t="s">
        <v>1334</v>
      </c>
      <c r="T183" s="24" t="s">
        <v>1334</v>
      </c>
      <c r="U183" s="61"/>
      <c r="V183" s="3" t="s">
        <v>204</v>
      </c>
      <c r="W183" s="3"/>
      <c r="X183" s="3"/>
      <c r="Y183" s="3"/>
      <c r="Z183" s="3"/>
      <c r="AA183" s="3" t="str">
        <f>IF(BCP_Dolares[[#This Row],[fecha]]&gt;0,TEXT(BCP_Dolares[[#This Row],[fecha]],"mmmm"),0)</f>
        <v>Mayo</v>
      </c>
    </row>
    <row r="184" spans="1:27" ht="24" x14ac:dyDescent="0.3">
      <c r="A184" s="2" t="str">
        <f>IF(BCP_Dolares[[#This Row],[tipo_registro]]="R",COUNTIFS($C$1:$C183,"R")+1,"")</f>
        <v/>
      </c>
      <c r="B184" s="19" t="str">
        <f t="shared" ref="B184:B193" si="31">"B-BCP - Dolares"</f>
        <v>B-BCP - Dolares</v>
      </c>
      <c r="C184" s="3" t="s">
        <v>1352</v>
      </c>
      <c r="D184" s="14">
        <v>45800</v>
      </c>
      <c r="E184" s="5" t="s">
        <v>1338</v>
      </c>
      <c r="F184" s="5"/>
      <c r="G184" s="6" t="s">
        <v>204</v>
      </c>
      <c r="H184" s="6" t="s">
        <v>68</v>
      </c>
      <c r="I184" s="6" t="s">
        <v>1390</v>
      </c>
      <c r="J184" s="6">
        <v>15949</v>
      </c>
      <c r="K184" s="7" t="s">
        <v>4985</v>
      </c>
      <c r="L184" s="8">
        <v>9204553</v>
      </c>
      <c r="M184" s="8" t="str">
        <f t="shared" ref="M184:M193" si="32">"USD"</f>
        <v>USD</v>
      </c>
      <c r="N184" s="13">
        <v>60.74</v>
      </c>
      <c r="O184" s="13"/>
      <c r="P184" s="3">
        <f t="shared" si="21"/>
        <v>0</v>
      </c>
      <c r="Q184" s="3">
        <f t="shared" si="22"/>
        <v>0</v>
      </c>
      <c r="R184" s="3">
        <f t="shared" si="20"/>
        <v>16688.38</v>
      </c>
      <c r="S184" s="24"/>
      <c r="T184" s="24" t="s">
        <v>1334</v>
      </c>
      <c r="U184" s="61"/>
      <c r="V184" s="3"/>
      <c r="W184" s="3"/>
      <c r="X184" s="3"/>
      <c r="Y184" s="3"/>
      <c r="Z184" s="3"/>
      <c r="AA184" s="3" t="str">
        <f>IF(BCP_Dolares[[#This Row],[fecha]]&gt;0,TEXT(BCP_Dolares[[#This Row],[fecha]],"mmmm"),0)</f>
        <v>Mayo</v>
      </c>
    </row>
    <row r="185" spans="1:27" ht="24" x14ac:dyDescent="0.3">
      <c r="A185" s="2" t="str">
        <f>IF(BCP_Dolares[[#This Row],[tipo_registro]]="R",COUNTIFS($C$1:$C184,"R")+1,"")</f>
        <v/>
      </c>
      <c r="B185" s="19" t="str">
        <f t="shared" si="31"/>
        <v>B-BCP - Dolares</v>
      </c>
      <c r="C185" s="3" t="s">
        <v>1352</v>
      </c>
      <c r="D185" s="14">
        <v>45800</v>
      </c>
      <c r="E185" s="5" t="s">
        <v>1338</v>
      </c>
      <c r="F185" s="5"/>
      <c r="G185" s="6" t="s">
        <v>204</v>
      </c>
      <c r="H185" s="6" t="s">
        <v>68</v>
      </c>
      <c r="I185" s="6" t="s">
        <v>1390</v>
      </c>
      <c r="J185" s="6">
        <v>15966</v>
      </c>
      <c r="K185" s="7" t="s">
        <v>4985</v>
      </c>
      <c r="L185" s="8">
        <v>9204553</v>
      </c>
      <c r="M185" s="8" t="str">
        <f t="shared" si="32"/>
        <v>USD</v>
      </c>
      <c r="N185" s="13">
        <v>39.700000000000003</v>
      </c>
      <c r="O185" s="13"/>
      <c r="P185" s="3">
        <f t="shared" si="21"/>
        <v>0</v>
      </c>
      <c r="Q185" s="3">
        <f t="shared" si="22"/>
        <v>0</v>
      </c>
      <c r="R185" s="3">
        <f t="shared" si="20"/>
        <v>16688.38</v>
      </c>
      <c r="S185" s="24"/>
      <c r="T185" s="24" t="s">
        <v>1334</v>
      </c>
      <c r="U185" s="61"/>
      <c r="V185" s="3"/>
      <c r="W185" s="3"/>
      <c r="X185" s="3"/>
      <c r="Y185" s="3"/>
      <c r="Z185" s="3"/>
      <c r="AA185" s="3" t="str">
        <f>IF(BCP_Dolares[[#This Row],[fecha]]&gt;0,TEXT(BCP_Dolares[[#This Row],[fecha]],"mmmm"),0)</f>
        <v>Mayo</v>
      </c>
    </row>
    <row r="186" spans="1:27" ht="24" x14ac:dyDescent="0.3">
      <c r="A186" s="2" t="str">
        <f>IF(BCP_Dolares[[#This Row],[tipo_registro]]="R",COUNTIFS($C$1:$C185,"R")+1,"")</f>
        <v/>
      </c>
      <c r="B186" s="19" t="str">
        <f t="shared" si="31"/>
        <v>B-BCP - Dolares</v>
      </c>
      <c r="C186" s="3" t="s">
        <v>1352</v>
      </c>
      <c r="D186" s="14">
        <v>45800</v>
      </c>
      <c r="E186" s="5" t="s">
        <v>1338</v>
      </c>
      <c r="F186" s="5"/>
      <c r="G186" s="6" t="s">
        <v>204</v>
      </c>
      <c r="H186" s="6" t="s">
        <v>68</v>
      </c>
      <c r="I186" s="6" t="s">
        <v>1390</v>
      </c>
      <c r="J186" s="6">
        <v>15945</v>
      </c>
      <c r="K186" s="7" t="s">
        <v>4985</v>
      </c>
      <c r="L186" s="8">
        <v>9204553</v>
      </c>
      <c r="M186" s="8" t="str">
        <f t="shared" si="32"/>
        <v>USD</v>
      </c>
      <c r="N186" s="13">
        <v>51.08</v>
      </c>
      <c r="O186" s="13"/>
      <c r="P186" s="3">
        <f t="shared" si="21"/>
        <v>0</v>
      </c>
      <c r="Q186" s="3">
        <f t="shared" si="22"/>
        <v>0</v>
      </c>
      <c r="R186" s="3">
        <f t="shared" si="20"/>
        <v>16688.38</v>
      </c>
      <c r="S186" s="24"/>
      <c r="T186" s="24" t="s">
        <v>1334</v>
      </c>
      <c r="U186" s="61"/>
      <c r="V186" s="3"/>
      <c r="W186" s="3"/>
      <c r="X186" s="3"/>
      <c r="Y186" s="3"/>
      <c r="Z186" s="3"/>
      <c r="AA186" s="3" t="str">
        <f>IF(BCP_Dolares[[#This Row],[fecha]]&gt;0,TEXT(BCP_Dolares[[#This Row],[fecha]],"mmmm"),0)</f>
        <v>Mayo</v>
      </c>
    </row>
    <row r="187" spans="1:27" ht="24" x14ac:dyDescent="0.3">
      <c r="A187" s="2" t="str">
        <f>IF(BCP_Dolares[[#This Row],[tipo_registro]]="R",COUNTIFS($C$1:$C186,"R")+1,"")</f>
        <v/>
      </c>
      <c r="B187" s="19" t="str">
        <f t="shared" si="31"/>
        <v>B-BCP - Dolares</v>
      </c>
      <c r="C187" s="3" t="s">
        <v>1352</v>
      </c>
      <c r="D187" s="14">
        <v>45800</v>
      </c>
      <c r="E187" s="5" t="s">
        <v>1338</v>
      </c>
      <c r="F187" s="5"/>
      <c r="G187" s="6" t="s">
        <v>204</v>
      </c>
      <c r="H187" s="6" t="s">
        <v>68</v>
      </c>
      <c r="I187" s="6" t="s">
        <v>1390</v>
      </c>
      <c r="J187" s="6">
        <v>15944</v>
      </c>
      <c r="K187" s="7" t="s">
        <v>4985</v>
      </c>
      <c r="L187" s="8">
        <v>9204553</v>
      </c>
      <c r="M187" s="8" t="str">
        <f t="shared" si="32"/>
        <v>USD</v>
      </c>
      <c r="N187" s="13">
        <v>51.08</v>
      </c>
      <c r="O187" s="13"/>
      <c r="P187" s="3">
        <f t="shared" si="21"/>
        <v>0</v>
      </c>
      <c r="Q187" s="3">
        <f t="shared" si="22"/>
        <v>0</v>
      </c>
      <c r="R187" s="3">
        <f t="shared" si="20"/>
        <v>16688.38</v>
      </c>
      <c r="S187" s="24"/>
      <c r="T187" s="24" t="s">
        <v>1334</v>
      </c>
      <c r="U187" s="61"/>
      <c r="V187" s="3"/>
      <c r="W187" s="3"/>
      <c r="X187" s="3"/>
      <c r="Y187" s="3"/>
      <c r="Z187" s="3"/>
      <c r="AA187" s="3" t="str">
        <f>IF(BCP_Dolares[[#This Row],[fecha]]&gt;0,TEXT(BCP_Dolares[[#This Row],[fecha]],"mmmm"),0)</f>
        <v>Mayo</v>
      </c>
    </row>
    <row r="188" spans="1:27" ht="24" x14ac:dyDescent="0.3">
      <c r="A188" s="2" t="str">
        <f>IF(BCP_Dolares[[#This Row],[tipo_registro]]="R",COUNTIFS($C$1:$C187,"R")+1,"")</f>
        <v/>
      </c>
      <c r="B188" s="19" t="str">
        <f t="shared" si="31"/>
        <v>B-BCP - Dolares</v>
      </c>
      <c r="C188" s="3" t="s">
        <v>1352</v>
      </c>
      <c r="D188" s="14">
        <v>45800</v>
      </c>
      <c r="E188" s="5" t="s">
        <v>1338</v>
      </c>
      <c r="F188" s="5"/>
      <c r="G188" s="6" t="s">
        <v>204</v>
      </c>
      <c r="H188" s="6" t="s">
        <v>68</v>
      </c>
      <c r="I188" s="6" t="s">
        <v>1390</v>
      </c>
      <c r="J188" s="6">
        <v>15962</v>
      </c>
      <c r="K188" s="7" t="s">
        <v>4985</v>
      </c>
      <c r="L188" s="8">
        <v>9204553</v>
      </c>
      <c r="M188" s="8" t="str">
        <f t="shared" si="32"/>
        <v>USD</v>
      </c>
      <c r="N188" s="13">
        <v>68.099999999999994</v>
      </c>
      <c r="O188" s="13"/>
      <c r="P188" s="3">
        <f t="shared" si="21"/>
        <v>0</v>
      </c>
      <c r="Q188" s="3">
        <f t="shared" si="22"/>
        <v>0</v>
      </c>
      <c r="R188" s="3">
        <f t="shared" si="20"/>
        <v>16688.38</v>
      </c>
      <c r="S188" s="24"/>
      <c r="T188" s="24" t="s">
        <v>1334</v>
      </c>
      <c r="U188" s="61"/>
      <c r="V188" s="3"/>
      <c r="W188" s="3"/>
      <c r="X188" s="3"/>
      <c r="Y188" s="3"/>
      <c r="Z188" s="3"/>
      <c r="AA188" s="3" t="str">
        <f>IF(BCP_Dolares[[#This Row],[fecha]]&gt;0,TEXT(BCP_Dolares[[#This Row],[fecha]],"mmmm"),0)</f>
        <v>Mayo</v>
      </c>
    </row>
    <row r="189" spans="1:27" ht="24" x14ac:dyDescent="0.3">
      <c r="A189" s="2" t="str">
        <f>IF(BCP_Dolares[[#This Row],[tipo_registro]]="R",COUNTIFS($C$1:$C188,"R")+1,"")</f>
        <v/>
      </c>
      <c r="B189" s="19" t="str">
        <f t="shared" si="31"/>
        <v>B-BCP - Dolares</v>
      </c>
      <c r="C189" s="3" t="s">
        <v>1352</v>
      </c>
      <c r="D189" s="14">
        <v>45800</v>
      </c>
      <c r="E189" s="5" t="s">
        <v>1338</v>
      </c>
      <c r="F189" s="5"/>
      <c r="G189" s="6" t="s">
        <v>204</v>
      </c>
      <c r="H189" s="6" t="s">
        <v>68</v>
      </c>
      <c r="I189" s="6" t="s">
        <v>1390</v>
      </c>
      <c r="J189" s="6">
        <v>15978</v>
      </c>
      <c r="K189" s="7" t="s">
        <v>4985</v>
      </c>
      <c r="L189" s="8">
        <v>9204553</v>
      </c>
      <c r="M189" s="8" t="str">
        <f t="shared" si="32"/>
        <v>USD</v>
      </c>
      <c r="N189" s="13">
        <v>36.22</v>
      </c>
      <c r="O189" s="13"/>
      <c r="P189" s="3">
        <f t="shared" si="21"/>
        <v>0</v>
      </c>
      <c r="Q189" s="3">
        <f t="shared" si="22"/>
        <v>0</v>
      </c>
      <c r="R189" s="3">
        <f t="shared" si="20"/>
        <v>16688.38</v>
      </c>
      <c r="S189" s="24"/>
      <c r="T189" s="24" t="s">
        <v>1334</v>
      </c>
      <c r="U189" s="61"/>
      <c r="V189" s="3"/>
      <c r="W189" s="3"/>
      <c r="X189" s="3"/>
      <c r="Y189" s="3"/>
      <c r="Z189" s="3"/>
      <c r="AA189" s="3" t="str">
        <f>IF(BCP_Dolares[[#This Row],[fecha]]&gt;0,TEXT(BCP_Dolares[[#This Row],[fecha]],"mmmm"),0)</f>
        <v>Mayo</v>
      </c>
    </row>
    <row r="190" spans="1:27" ht="24" x14ac:dyDescent="0.3">
      <c r="A190" s="2" t="str">
        <f>IF(BCP_Dolares[[#This Row],[tipo_registro]]="R",COUNTIFS($C$1:$C189,"R")+1,"")</f>
        <v/>
      </c>
      <c r="B190" s="19" t="str">
        <f t="shared" si="31"/>
        <v>B-BCP - Dolares</v>
      </c>
      <c r="C190" s="3" t="s">
        <v>1352</v>
      </c>
      <c r="D190" s="14">
        <v>45800</v>
      </c>
      <c r="E190" s="5" t="s">
        <v>1338</v>
      </c>
      <c r="F190" s="5"/>
      <c r="G190" s="6" t="s">
        <v>204</v>
      </c>
      <c r="H190" s="6" t="s">
        <v>68</v>
      </c>
      <c r="I190" s="6" t="s">
        <v>1390</v>
      </c>
      <c r="J190" s="6">
        <v>16005</v>
      </c>
      <c r="K190" s="7" t="s">
        <v>4985</v>
      </c>
      <c r="L190" s="8">
        <v>9204553</v>
      </c>
      <c r="M190" s="8" t="str">
        <f t="shared" si="32"/>
        <v>USD</v>
      </c>
      <c r="N190" s="13">
        <v>32.51</v>
      </c>
      <c r="O190" s="13"/>
      <c r="P190" s="3">
        <f t="shared" si="21"/>
        <v>0</v>
      </c>
      <c r="Q190" s="3">
        <f t="shared" si="22"/>
        <v>0</v>
      </c>
      <c r="R190" s="3">
        <f t="shared" si="20"/>
        <v>16688.38</v>
      </c>
      <c r="S190" s="24"/>
      <c r="T190" s="24" t="s">
        <v>1334</v>
      </c>
      <c r="U190" s="61"/>
      <c r="V190" s="3"/>
      <c r="W190" s="3"/>
      <c r="X190" s="3"/>
      <c r="Y190" s="3"/>
      <c r="Z190" s="3"/>
      <c r="AA190" s="3" t="str">
        <f>IF(BCP_Dolares[[#This Row],[fecha]]&gt;0,TEXT(BCP_Dolares[[#This Row],[fecha]],"mmmm"),0)</f>
        <v>Mayo</v>
      </c>
    </row>
    <row r="191" spans="1:27" ht="24" x14ac:dyDescent="0.3">
      <c r="A191" s="2" t="str">
        <f>IF(BCP_Dolares[[#This Row],[tipo_registro]]="R",COUNTIFS($C$1:$C190,"R")+1,"")</f>
        <v/>
      </c>
      <c r="B191" s="19" t="str">
        <f t="shared" si="31"/>
        <v>B-BCP - Dolares</v>
      </c>
      <c r="C191" s="3" t="s">
        <v>1352</v>
      </c>
      <c r="D191" s="14">
        <v>45800</v>
      </c>
      <c r="E191" s="5" t="s">
        <v>1338</v>
      </c>
      <c r="F191" s="5"/>
      <c r="G191" s="6" t="s">
        <v>204</v>
      </c>
      <c r="H191" s="6" t="s">
        <v>68</v>
      </c>
      <c r="I191" s="6" t="s">
        <v>1390</v>
      </c>
      <c r="J191" s="6">
        <v>16031</v>
      </c>
      <c r="K191" s="7" t="s">
        <v>4985</v>
      </c>
      <c r="L191" s="8">
        <v>9204553</v>
      </c>
      <c r="M191" s="8" t="str">
        <f t="shared" si="32"/>
        <v>USD</v>
      </c>
      <c r="N191" s="13">
        <v>799.91</v>
      </c>
      <c r="O191" s="13"/>
      <c r="P191" s="3">
        <f t="shared" si="21"/>
        <v>0</v>
      </c>
      <c r="Q191" s="3">
        <f t="shared" si="22"/>
        <v>0</v>
      </c>
      <c r="R191" s="3">
        <f t="shared" si="20"/>
        <v>16688.38</v>
      </c>
      <c r="S191" s="24"/>
      <c r="T191" s="24" t="s">
        <v>1334</v>
      </c>
      <c r="U191" s="61"/>
      <c r="V191" s="3"/>
      <c r="W191" s="3"/>
      <c r="X191" s="3"/>
      <c r="Y191" s="3"/>
      <c r="Z191" s="3"/>
      <c r="AA191" s="3" t="str">
        <f>IF(BCP_Dolares[[#This Row],[fecha]]&gt;0,TEXT(BCP_Dolares[[#This Row],[fecha]],"mmmm"),0)</f>
        <v>Mayo</v>
      </c>
    </row>
    <row r="192" spans="1:27" ht="24" x14ac:dyDescent="0.3">
      <c r="A192" s="2" t="str">
        <f>IF(BCP_Dolares[[#This Row],[tipo_registro]]="R",COUNTIFS($C$1:$C191,"R")+1,"")</f>
        <v/>
      </c>
      <c r="B192" s="19" t="str">
        <f t="shared" si="31"/>
        <v>B-BCP - Dolares</v>
      </c>
      <c r="C192" s="3" t="s">
        <v>1352</v>
      </c>
      <c r="D192" s="14">
        <v>45800</v>
      </c>
      <c r="E192" s="5" t="s">
        <v>1338</v>
      </c>
      <c r="F192" s="5"/>
      <c r="G192" s="6" t="s">
        <v>204</v>
      </c>
      <c r="H192" s="6" t="s">
        <v>68</v>
      </c>
      <c r="I192" s="6" t="s">
        <v>1390</v>
      </c>
      <c r="J192" s="6">
        <v>15982</v>
      </c>
      <c r="K192" s="7" t="s">
        <v>4985</v>
      </c>
      <c r="L192" s="8">
        <v>9204553</v>
      </c>
      <c r="M192" s="8" t="str">
        <f t="shared" si="32"/>
        <v>USD</v>
      </c>
      <c r="N192" s="13">
        <v>47.49</v>
      </c>
      <c r="O192" s="13"/>
      <c r="P192" s="3">
        <f t="shared" si="21"/>
        <v>0</v>
      </c>
      <c r="Q192" s="3">
        <f t="shared" si="22"/>
        <v>0</v>
      </c>
      <c r="R192" s="3">
        <f t="shared" si="20"/>
        <v>16688.38</v>
      </c>
      <c r="S192" s="24"/>
      <c r="T192" s="24" t="s">
        <v>1334</v>
      </c>
      <c r="U192" s="61"/>
      <c r="V192" s="3"/>
      <c r="W192" s="3"/>
      <c r="X192" s="3"/>
      <c r="Y192" s="3"/>
      <c r="Z192" s="3"/>
      <c r="AA192" s="3" t="str">
        <f>IF(BCP_Dolares[[#This Row],[fecha]]&gt;0,TEXT(BCP_Dolares[[#This Row],[fecha]],"mmmm"),0)</f>
        <v>Mayo</v>
      </c>
    </row>
    <row r="193" spans="1:27" ht="24" x14ac:dyDescent="0.3">
      <c r="A193" s="2" t="str">
        <f>IF(BCP_Dolares[[#This Row],[tipo_registro]]="R",COUNTIFS($C$1:$C192,"R")+1,"")</f>
        <v/>
      </c>
      <c r="B193" s="19" t="str">
        <f t="shared" si="31"/>
        <v>B-BCP - Dolares</v>
      </c>
      <c r="C193" s="3" t="s">
        <v>1352</v>
      </c>
      <c r="D193" s="14">
        <v>45800</v>
      </c>
      <c r="E193" s="5" t="s">
        <v>1338</v>
      </c>
      <c r="F193" s="5"/>
      <c r="G193" s="6" t="s">
        <v>204</v>
      </c>
      <c r="H193" s="6" t="s">
        <v>68</v>
      </c>
      <c r="I193" s="6" t="s">
        <v>1390</v>
      </c>
      <c r="J193" s="6">
        <v>16032</v>
      </c>
      <c r="K193" s="7" t="s">
        <v>4985</v>
      </c>
      <c r="L193" s="8">
        <v>9204553</v>
      </c>
      <c r="M193" s="8" t="str">
        <f t="shared" si="32"/>
        <v>USD</v>
      </c>
      <c r="N193" s="13">
        <v>1071.92</v>
      </c>
      <c r="O193" s="13"/>
      <c r="P193" s="3">
        <f t="shared" si="21"/>
        <v>0</v>
      </c>
      <c r="Q193" s="3">
        <f t="shared" si="22"/>
        <v>0</v>
      </c>
      <c r="R193" s="3">
        <f t="shared" si="20"/>
        <v>16688.38</v>
      </c>
      <c r="S193" s="24"/>
      <c r="T193" s="24" t="s">
        <v>1334</v>
      </c>
      <c r="U193" s="61"/>
      <c r="V193" s="3"/>
      <c r="W193" s="3"/>
      <c r="X193" s="3"/>
      <c r="Y193" s="3"/>
      <c r="Z193" s="3"/>
      <c r="AA193" s="3" t="str">
        <f>IF(BCP_Dolares[[#This Row],[fecha]]&gt;0,TEXT(BCP_Dolares[[#This Row],[fecha]],"mmmm"),0)</f>
        <v>Mayo</v>
      </c>
    </row>
    <row r="194" spans="1:27" ht="24" x14ac:dyDescent="0.3">
      <c r="A194" s="2">
        <f>IF(BCP_Dolares[[#This Row],[tipo_registro]]="R",COUNTIFS($C$1:$C193,"R")+1,"")</f>
        <v>79</v>
      </c>
      <c r="B194" s="19" t="str">
        <f t="shared" si="27"/>
        <v>B-BCP - Dolares</v>
      </c>
      <c r="C194" s="3" t="s">
        <v>1330</v>
      </c>
      <c r="D194" s="14">
        <v>45800</v>
      </c>
      <c r="E194" s="5" t="s">
        <v>1338</v>
      </c>
      <c r="F194" s="5" t="s">
        <v>1336</v>
      </c>
      <c r="G194" s="6" t="s">
        <v>1079</v>
      </c>
      <c r="H194" s="6" t="s">
        <v>68</v>
      </c>
      <c r="I194" s="6" t="s">
        <v>1374</v>
      </c>
      <c r="J194" s="6">
        <v>340</v>
      </c>
      <c r="K194" s="7" t="s">
        <v>4986</v>
      </c>
      <c r="L194" s="8">
        <v>1120017</v>
      </c>
      <c r="M194" s="8" t="str">
        <f t="shared" si="28"/>
        <v>USD</v>
      </c>
      <c r="N194" s="13"/>
      <c r="O194" s="13">
        <v>11350</v>
      </c>
      <c r="P194" s="3">
        <f t="shared" si="21"/>
        <v>0</v>
      </c>
      <c r="Q194" s="3">
        <f t="shared" si="22"/>
        <v>11350</v>
      </c>
      <c r="R194" s="3">
        <f t="shared" ref="R194:R257" si="33">IFERROR(IF(F194="SALDO",P194,R193+P194-Q194),0)</f>
        <v>5338.380000000001</v>
      </c>
      <c r="S194" s="24" t="s">
        <v>1334</v>
      </c>
      <c r="T194" s="24" t="s">
        <v>1334</v>
      </c>
      <c r="U194" s="61"/>
      <c r="V194" s="3" t="s">
        <v>1079</v>
      </c>
      <c r="W194" s="3"/>
      <c r="X194" s="3"/>
      <c r="Y194" s="3"/>
      <c r="Z194" s="3"/>
      <c r="AA194" s="3" t="str">
        <f>IF(BCP_Dolares[[#This Row],[fecha]]&gt;0,TEXT(BCP_Dolares[[#This Row],[fecha]],"mmmm"),0)</f>
        <v>Mayo</v>
      </c>
    </row>
    <row r="195" spans="1:27" ht="48" x14ac:dyDescent="0.3">
      <c r="A195" s="2">
        <f>IF(BCP_Dolares[[#This Row],[tipo_registro]]="R",COUNTIFS($C$1:$C194,"R")+1,"")</f>
        <v>80</v>
      </c>
      <c r="B195" s="19" t="str">
        <f t="shared" si="27"/>
        <v>B-BCP - Dolares</v>
      </c>
      <c r="C195" s="3" t="s">
        <v>1330</v>
      </c>
      <c r="D195" s="14">
        <v>45800</v>
      </c>
      <c r="E195" s="5" t="s">
        <v>1338</v>
      </c>
      <c r="F195" s="5" t="s">
        <v>1336</v>
      </c>
      <c r="G195" s="6" t="s">
        <v>411</v>
      </c>
      <c r="H195" s="6"/>
      <c r="I195" s="6"/>
      <c r="J195" s="6"/>
      <c r="K195" s="7" t="s">
        <v>4987</v>
      </c>
      <c r="L195" s="8">
        <v>4032206</v>
      </c>
      <c r="M195" s="8" t="str">
        <f t="shared" si="28"/>
        <v>USD</v>
      </c>
      <c r="N195" s="13"/>
      <c r="O195" s="13">
        <v>241.16</v>
      </c>
      <c r="P195" s="3">
        <f t="shared" si="21"/>
        <v>0</v>
      </c>
      <c r="Q195" s="3">
        <f t="shared" si="22"/>
        <v>241.16</v>
      </c>
      <c r="R195" s="3">
        <f t="shared" si="33"/>
        <v>5097.2200000000012</v>
      </c>
      <c r="S195" s="24" t="s">
        <v>1334</v>
      </c>
      <c r="T195" s="24" t="s">
        <v>1334</v>
      </c>
      <c r="U195" s="61"/>
      <c r="V195" s="3" t="s">
        <v>4988</v>
      </c>
      <c r="W195" s="3" t="s">
        <v>4989</v>
      </c>
      <c r="X195" s="3" t="s">
        <v>4982</v>
      </c>
      <c r="Y195" s="3"/>
      <c r="Z195" s="3"/>
      <c r="AA195" s="3" t="str">
        <f>IF(BCP_Dolares[[#This Row],[fecha]]&gt;0,TEXT(BCP_Dolares[[#This Row],[fecha]],"mmmm"),0)</f>
        <v>Mayo</v>
      </c>
    </row>
    <row r="196" spans="1:27" ht="48" x14ac:dyDescent="0.3">
      <c r="A196" s="2" t="str">
        <f>IF(BCP_Dolares[[#This Row],[tipo_registro]]="R",COUNTIFS($C$1:$C195,"R")+1,"")</f>
        <v/>
      </c>
      <c r="B196" s="19" t="str">
        <f>"B-BCP - Dolares"</f>
        <v>B-BCP - Dolares</v>
      </c>
      <c r="C196" s="3" t="s">
        <v>1352</v>
      </c>
      <c r="D196" s="14">
        <v>45800</v>
      </c>
      <c r="E196" s="5" t="s">
        <v>1338</v>
      </c>
      <c r="F196" s="5"/>
      <c r="G196" s="6" t="s">
        <v>411</v>
      </c>
      <c r="H196" s="6" t="s">
        <v>68</v>
      </c>
      <c r="I196" s="6" t="s">
        <v>1374</v>
      </c>
      <c r="J196" s="6">
        <v>338</v>
      </c>
      <c r="K196" s="7" t="s">
        <v>4987</v>
      </c>
      <c r="L196" s="8">
        <v>4032206</v>
      </c>
      <c r="M196" s="8" t="str">
        <f>"USD"</f>
        <v>USD</v>
      </c>
      <c r="N196" s="13">
        <v>237.84</v>
      </c>
      <c r="O196" s="13"/>
      <c r="P196" s="3">
        <f>+IF(OR($F196="SALDO",$F196="INGRESO"),$O196,0)</f>
        <v>0</v>
      </c>
      <c r="Q196" s="3">
        <f>+IF($F196="EGRESO",$O196,0)</f>
        <v>0</v>
      </c>
      <c r="R196" s="3">
        <f t="shared" si="33"/>
        <v>5097.2200000000012</v>
      </c>
      <c r="S196" s="24" t="s">
        <v>1334</v>
      </c>
      <c r="T196" s="24" t="s">
        <v>1334</v>
      </c>
      <c r="U196" s="61"/>
      <c r="V196" s="3"/>
      <c r="W196" s="3"/>
      <c r="X196" s="3"/>
      <c r="Y196" s="3"/>
      <c r="Z196" s="3"/>
      <c r="AA196" s="3" t="str">
        <f>IF(BCP_Dolares[[#This Row],[fecha]]&gt;0,TEXT(BCP_Dolares[[#This Row],[fecha]],"mmmm"),0)</f>
        <v>Mayo</v>
      </c>
    </row>
    <row r="197" spans="1:27" ht="24" x14ac:dyDescent="0.3">
      <c r="A197" s="2" t="str">
        <f>IF(BCP_Dolares[[#This Row],[tipo_registro]]="R",COUNTIFS($C$1:$C196,"R")+1,"")</f>
        <v/>
      </c>
      <c r="B197" s="19" t="str">
        <f>"B-BCP - Dolares"</f>
        <v>B-BCP - Dolares</v>
      </c>
      <c r="C197" s="3" t="s">
        <v>1352</v>
      </c>
      <c r="D197" s="14">
        <v>45800</v>
      </c>
      <c r="E197" s="5" t="s">
        <v>1338</v>
      </c>
      <c r="F197" s="5"/>
      <c r="G197" s="6" t="s">
        <v>1060</v>
      </c>
      <c r="H197" s="6" t="s">
        <v>68</v>
      </c>
      <c r="I197" s="6" t="s">
        <v>1397</v>
      </c>
      <c r="J197" s="6">
        <v>33002023</v>
      </c>
      <c r="K197" s="7" t="s">
        <v>4987</v>
      </c>
      <c r="L197" s="8">
        <v>4032206</v>
      </c>
      <c r="M197" s="8" t="str">
        <f>"USD"</f>
        <v>USD</v>
      </c>
      <c r="N197" s="13">
        <v>3.32</v>
      </c>
      <c r="O197" s="13"/>
      <c r="P197" s="3">
        <f>+IF(OR($F197="SALDO",$F197="INGRESO"),$O197,0)</f>
        <v>0</v>
      </c>
      <c r="Q197" s="3">
        <f>+IF($F197="EGRESO",$O197,0)</f>
        <v>0</v>
      </c>
      <c r="R197" s="3">
        <f t="shared" si="33"/>
        <v>5097.2200000000012</v>
      </c>
      <c r="S197" s="24" t="s">
        <v>1334</v>
      </c>
      <c r="T197" s="24" t="s">
        <v>1334</v>
      </c>
      <c r="U197" s="61"/>
      <c r="V197" s="3"/>
      <c r="W197" s="3"/>
      <c r="X197" s="3"/>
      <c r="Y197" s="3"/>
      <c r="Z197" s="3"/>
      <c r="AA197" s="3" t="str">
        <f>IF(BCP_Dolares[[#This Row],[fecha]]&gt;0,TEXT(BCP_Dolares[[#This Row],[fecha]],"mmmm"),0)</f>
        <v>Mayo</v>
      </c>
    </row>
    <row r="198" spans="1:27" x14ac:dyDescent="0.3">
      <c r="A198" s="2">
        <f>IF(BCP_Dolares[[#This Row],[tipo_registro]]="R",COUNTIFS($C$1:$C197,"R")+1,"")</f>
        <v>81</v>
      </c>
      <c r="B198" s="19" t="str">
        <f t="shared" si="27"/>
        <v>B-BCP - Dolares</v>
      </c>
      <c r="C198" s="3" t="s">
        <v>1330</v>
      </c>
      <c r="D198" s="14">
        <v>45800</v>
      </c>
      <c r="E198" s="5" t="s">
        <v>1335</v>
      </c>
      <c r="F198" s="5" t="s">
        <v>1336</v>
      </c>
      <c r="G198" s="6"/>
      <c r="H198" s="6"/>
      <c r="I198" s="6"/>
      <c r="J198" s="6"/>
      <c r="K198" s="7" t="s">
        <v>1337</v>
      </c>
      <c r="L198" s="8"/>
      <c r="M198" s="8" t="str">
        <f t="shared" si="28"/>
        <v>USD</v>
      </c>
      <c r="N198" s="13"/>
      <c r="O198" s="13">
        <v>0.65</v>
      </c>
      <c r="P198" s="3">
        <f t="shared" si="21"/>
        <v>0</v>
      </c>
      <c r="Q198" s="3">
        <f t="shared" si="22"/>
        <v>0.65</v>
      </c>
      <c r="R198" s="3">
        <f t="shared" si="33"/>
        <v>5096.5700000000015</v>
      </c>
      <c r="S198" s="24" t="s">
        <v>1334</v>
      </c>
      <c r="T198" s="24" t="s">
        <v>1334</v>
      </c>
      <c r="U198" s="61"/>
      <c r="V198" s="3"/>
      <c r="W198" s="3"/>
      <c r="X198" s="3"/>
      <c r="Y198" s="3"/>
      <c r="Z198" s="3"/>
      <c r="AA198" s="3" t="str">
        <f>IF(BCP_Dolares[[#This Row],[fecha]]&gt;0,TEXT(BCP_Dolares[[#This Row],[fecha]],"mmmm"),0)</f>
        <v>Mayo</v>
      </c>
    </row>
    <row r="199" spans="1:27" x14ac:dyDescent="0.3">
      <c r="A199" s="2">
        <f>IF(BCP_Dolares[[#This Row],[tipo_registro]]="R",COUNTIFS($C$1:$C198,"R")+1,"")</f>
        <v>82</v>
      </c>
      <c r="B199" s="19" t="str">
        <f t="shared" si="27"/>
        <v>B-BCP - Dolares</v>
      </c>
      <c r="C199" s="3" t="s">
        <v>1330</v>
      </c>
      <c r="D199" s="14">
        <v>45804</v>
      </c>
      <c r="E199" s="5" t="s">
        <v>425</v>
      </c>
      <c r="F199" s="5" t="s">
        <v>1303</v>
      </c>
      <c r="G199" s="6" t="s">
        <v>425</v>
      </c>
      <c r="H199" s="6"/>
      <c r="I199" s="6"/>
      <c r="J199" s="6"/>
      <c r="K199" s="7" t="s">
        <v>3192</v>
      </c>
      <c r="L199" s="8">
        <v>2103431</v>
      </c>
      <c r="M199" s="8" t="str">
        <f t="shared" si="28"/>
        <v>USD</v>
      </c>
      <c r="N199" s="13"/>
      <c r="O199" s="13">
        <v>2900</v>
      </c>
      <c r="P199" s="3">
        <f t="shared" si="21"/>
        <v>2900</v>
      </c>
      <c r="Q199" s="3">
        <f t="shared" si="22"/>
        <v>0</v>
      </c>
      <c r="R199" s="3">
        <f t="shared" si="33"/>
        <v>7996.5700000000015</v>
      </c>
      <c r="S199" s="24" t="s">
        <v>1334</v>
      </c>
      <c r="T199" s="24" t="s">
        <v>1334</v>
      </c>
      <c r="U199" s="61"/>
      <c r="V199" s="3" t="s">
        <v>425</v>
      </c>
      <c r="W199" s="3"/>
      <c r="X199" s="3"/>
      <c r="Y199" s="3"/>
      <c r="Z199" s="3"/>
      <c r="AA199" s="3" t="str">
        <f>IF(BCP_Dolares[[#This Row],[fecha]]&gt;0,TEXT(BCP_Dolares[[#This Row],[fecha]],"mmmm"),0)</f>
        <v>Mayo</v>
      </c>
    </row>
    <row r="200" spans="1:27" ht="60" x14ac:dyDescent="0.3">
      <c r="A200" s="2">
        <f>IF(BCP_Dolares[[#This Row],[tipo_registro]]="R",COUNTIFS($C$1:$C199,"R")+1,"")</f>
        <v>83</v>
      </c>
      <c r="B200" s="19" t="str">
        <f t="shared" si="27"/>
        <v>B-BCP - Dolares</v>
      </c>
      <c r="C200" s="3" t="s">
        <v>1330</v>
      </c>
      <c r="D200" s="14">
        <v>45804</v>
      </c>
      <c r="E200" s="5" t="s">
        <v>1511</v>
      </c>
      <c r="F200" s="5" t="s">
        <v>1336</v>
      </c>
      <c r="G200" s="6" t="s">
        <v>1078</v>
      </c>
      <c r="H200" s="6"/>
      <c r="I200" s="6"/>
      <c r="J200" s="6"/>
      <c r="K200" s="7" t="s">
        <v>4990</v>
      </c>
      <c r="L200" s="8">
        <v>105822</v>
      </c>
      <c r="M200" s="8" t="str">
        <f t="shared" si="28"/>
        <v>USD</v>
      </c>
      <c r="N200" s="13"/>
      <c r="O200" s="13">
        <v>7795</v>
      </c>
      <c r="P200" s="3">
        <f t="shared" ref="P200:P270" si="34">+IF(OR($F200="SALDO",$F200="INGRESO"),$O200,0)</f>
        <v>0</v>
      </c>
      <c r="Q200" s="3">
        <f t="shared" ref="Q200:Q270" si="35">+IF($F200="EGRESO",$O200,0)</f>
        <v>7795</v>
      </c>
      <c r="R200" s="3">
        <f t="shared" si="33"/>
        <v>201.57000000000153</v>
      </c>
      <c r="S200" s="24" t="s">
        <v>1334</v>
      </c>
      <c r="T200" s="24" t="s">
        <v>1334</v>
      </c>
      <c r="U200" s="61"/>
      <c r="V200" s="3" t="s">
        <v>4991</v>
      </c>
      <c r="W200" s="3"/>
      <c r="X200" s="3"/>
      <c r="Y200" s="3"/>
      <c r="Z200" s="3"/>
      <c r="AA200" s="3" t="str">
        <f>IF(BCP_Dolares[[#This Row],[fecha]]&gt;0,TEXT(BCP_Dolares[[#This Row],[fecha]],"mmmm"),0)</f>
        <v>Mayo</v>
      </c>
    </row>
    <row r="201" spans="1:27" x14ac:dyDescent="0.3">
      <c r="A201" s="2" t="str">
        <f>IF(BCP_Dolares[[#This Row],[tipo_registro]]="R",COUNTIFS($C$1:$C200,"R")+1,"")</f>
        <v/>
      </c>
      <c r="B201" s="19" t="str">
        <f t="shared" ref="B201:B207" si="36">"B-BCP - Dolares"</f>
        <v>B-BCP - Dolares</v>
      </c>
      <c r="C201" s="3" t="s">
        <v>1352</v>
      </c>
      <c r="D201" s="14">
        <v>45804</v>
      </c>
      <c r="E201" s="5" t="s">
        <v>1511</v>
      </c>
      <c r="F201" s="5"/>
      <c r="G201" s="100" t="s">
        <v>1078</v>
      </c>
      <c r="H201" s="6" t="s">
        <v>68</v>
      </c>
      <c r="I201" s="6" t="s">
        <v>1841</v>
      </c>
      <c r="J201" s="6">
        <v>41435</v>
      </c>
      <c r="K201" s="7" t="s">
        <v>4990</v>
      </c>
      <c r="L201" s="8">
        <v>105822</v>
      </c>
      <c r="M201" s="8" t="str">
        <f t="shared" ref="M201:M207" si="37">"USD"</f>
        <v>USD</v>
      </c>
      <c r="N201" s="13">
        <v>1840.8</v>
      </c>
      <c r="O201" s="13"/>
      <c r="P201" s="3">
        <f t="shared" ref="P201:P207" si="38">+IF(OR($F201="SALDO",$F201="INGRESO"),$O201,0)</f>
        <v>0</v>
      </c>
      <c r="Q201" s="3">
        <f t="shared" ref="Q201:Q207" si="39">+IF($F201="EGRESO",$O201,0)</f>
        <v>0</v>
      </c>
      <c r="R201" s="3">
        <f t="shared" si="33"/>
        <v>201.57000000000153</v>
      </c>
      <c r="S201" s="24" t="s">
        <v>1334</v>
      </c>
      <c r="T201" s="24" t="s">
        <v>1334</v>
      </c>
      <c r="U201" s="61"/>
      <c r="V201" s="3"/>
      <c r="W201" s="3"/>
      <c r="X201" s="3"/>
      <c r="Y201" s="3"/>
      <c r="Z201" s="3"/>
      <c r="AA201" s="3" t="str">
        <f>IF(BCP_Dolares[[#This Row],[fecha]]&gt;0,TEXT(BCP_Dolares[[#This Row],[fecha]],"mmmm"),0)</f>
        <v>Mayo</v>
      </c>
    </row>
    <row r="202" spans="1:27" x14ac:dyDescent="0.3">
      <c r="A202" s="2" t="str">
        <f>IF(BCP_Dolares[[#This Row],[tipo_registro]]="R",COUNTIFS($C$1:$C201,"R")+1,"")</f>
        <v/>
      </c>
      <c r="B202" s="19" t="str">
        <f t="shared" si="36"/>
        <v>B-BCP - Dolares</v>
      </c>
      <c r="C202" s="3" t="s">
        <v>1352</v>
      </c>
      <c r="D202" s="14">
        <v>45804</v>
      </c>
      <c r="E202" s="5" t="s">
        <v>1511</v>
      </c>
      <c r="F202" s="5"/>
      <c r="G202" s="100" t="s">
        <v>1078</v>
      </c>
      <c r="H202" s="6" t="s">
        <v>68</v>
      </c>
      <c r="I202" s="6" t="s">
        <v>1841</v>
      </c>
      <c r="J202" s="6">
        <v>41436</v>
      </c>
      <c r="K202" s="7" t="s">
        <v>4990</v>
      </c>
      <c r="L202" s="8">
        <v>105822</v>
      </c>
      <c r="M202" s="8" t="str">
        <f t="shared" si="37"/>
        <v>USD</v>
      </c>
      <c r="N202" s="13">
        <v>757.38</v>
      </c>
      <c r="O202" s="13"/>
      <c r="P202" s="3">
        <f t="shared" si="38"/>
        <v>0</v>
      </c>
      <c r="Q202" s="3">
        <f t="shared" si="39"/>
        <v>0</v>
      </c>
      <c r="R202" s="3">
        <f t="shared" si="33"/>
        <v>201.57000000000153</v>
      </c>
      <c r="S202" s="24" t="s">
        <v>1334</v>
      </c>
      <c r="T202" s="24" t="s">
        <v>1334</v>
      </c>
      <c r="U202" s="61"/>
      <c r="V202" s="3"/>
      <c r="W202" s="3"/>
      <c r="X202" s="3"/>
      <c r="Y202" s="3"/>
      <c r="Z202" s="3"/>
      <c r="AA202" s="3" t="str">
        <f>IF(BCP_Dolares[[#This Row],[fecha]]&gt;0,TEXT(BCP_Dolares[[#This Row],[fecha]],"mmmm"),0)</f>
        <v>Mayo</v>
      </c>
    </row>
    <row r="203" spans="1:27" x14ac:dyDescent="0.3">
      <c r="A203" s="2" t="str">
        <f>IF(BCP_Dolares[[#This Row],[tipo_registro]]="R",COUNTIFS($C$1:$C202,"R")+1,"")</f>
        <v/>
      </c>
      <c r="B203" s="19" t="str">
        <f t="shared" si="36"/>
        <v>B-BCP - Dolares</v>
      </c>
      <c r="C203" s="3" t="s">
        <v>1352</v>
      </c>
      <c r="D203" s="14">
        <v>45804</v>
      </c>
      <c r="E203" s="5" t="s">
        <v>1511</v>
      </c>
      <c r="F203" s="5"/>
      <c r="G203" s="100" t="s">
        <v>1078</v>
      </c>
      <c r="H203" s="6" t="s">
        <v>68</v>
      </c>
      <c r="I203" s="6" t="s">
        <v>1841</v>
      </c>
      <c r="J203" s="6">
        <v>41432</v>
      </c>
      <c r="K203" s="7" t="s">
        <v>4990</v>
      </c>
      <c r="L203" s="8">
        <v>105822</v>
      </c>
      <c r="M203" s="8" t="str">
        <f t="shared" si="37"/>
        <v>USD</v>
      </c>
      <c r="N203" s="13">
        <v>1840.8</v>
      </c>
      <c r="O203" s="13"/>
      <c r="P203" s="3">
        <f t="shared" si="38"/>
        <v>0</v>
      </c>
      <c r="Q203" s="3">
        <f t="shared" si="39"/>
        <v>0</v>
      </c>
      <c r="R203" s="3">
        <f t="shared" si="33"/>
        <v>201.57000000000153</v>
      </c>
      <c r="S203" s="24" t="s">
        <v>1334</v>
      </c>
      <c r="T203" s="24" t="s">
        <v>1334</v>
      </c>
      <c r="U203" s="61"/>
      <c r="V203" s="3"/>
      <c r="W203" s="3"/>
      <c r="X203" s="3"/>
      <c r="Y203" s="3"/>
      <c r="Z203" s="3"/>
      <c r="AA203" s="3" t="str">
        <f>IF(BCP_Dolares[[#This Row],[fecha]]&gt;0,TEXT(BCP_Dolares[[#This Row],[fecha]],"mmmm"),0)</f>
        <v>Mayo</v>
      </c>
    </row>
    <row r="204" spans="1:27" x14ac:dyDescent="0.3">
      <c r="A204" s="2" t="str">
        <f>IF(BCP_Dolares[[#This Row],[tipo_registro]]="R",COUNTIFS($C$1:$C203,"R")+1,"")</f>
        <v/>
      </c>
      <c r="B204" s="19" t="str">
        <f t="shared" si="36"/>
        <v>B-BCP - Dolares</v>
      </c>
      <c r="C204" s="3" t="s">
        <v>1352</v>
      </c>
      <c r="D204" s="14">
        <v>45804</v>
      </c>
      <c r="E204" s="5" t="s">
        <v>1511</v>
      </c>
      <c r="F204" s="5"/>
      <c r="G204" s="100" t="s">
        <v>1078</v>
      </c>
      <c r="H204" s="6" t="s">
        <v>68</v>
      </c>
      <c r="I204" s="6" t="s">
        <v>1841</v>
      </c>
      <c r="J204" s="6">
        <v>41433</v>
      </c>
      <c r="K204" s="7" t="s">
        <v>4990</v>
      </c>
      <c r="L204" s="8">
        <v>105822</v>
      </c>
      <c r="M204" s="8" t="str">
        <f t="shared" si="37"/>
        <v>USD</v>
      </c>
      <c r="N204" s="13">
        <v>757.38</v>
      </c>
      <c r="O204" s="13"/>
      <c r="P204" s="3">
        <f t="shared" si="38"/>
        <v>0</v>
      </c>
      <c r="Q204" s="3">
        <f t="shared" si="39"/>
        <v>0</v>
      </c>
      <c r="R204" s="3">
        <f t="shared" si="33"/>
        <v>201.57000000000153</v>
      </c>
      <c r="S204" s="24" t="s">
        <v>1334</v>
      </c>
      <c r="T204" s="24" t="s">
        <v>1334</v>
      </c>
      <c r="U204" s="61"/>
      <c r="V204" s="3"/>
      <c r="W204" s="3"/>
      <c r="X204" s="3"/>
      <c r="Y204" s="3"/>
      <c r="Z204" s="3"/>
      <c r="AA204" s="3" t="str">
        <f>IF(BCP_Dolares[[#This Row],[fecha]]&gt;0,TEXT(BCP_Dolares[[#This Row],[fecha]],"mmmm"),0)</f>
        <v>Mayo</v>
      </c>
    </row>
    <row r="205" spans="1:27" x14ac:dyDescent="0.3">
      <c r="A205" s="2" t="str">
        <f>IF(BCP_Dolares[[#This Row],[tipo_registro]]="R",COUNTIFS($C$1:$C204,"R")+1,"")</f>
        <v/>
      </c>
      <c r="B205" s="19" t="str">
        <f t="shared" si="36"/>
        <v>B-BCP - Dolares</v>
      </c>
      <c r="C205" s="3" t="s">
        <v>1352</v>
      </c>
      <c r="D205" s="14">
        <v>45804</v>
      </c>
      <c r="E205" s="5" t="s">
        <v>1511</v>
      </c>
      <c r="F205" s="5"/>
      <c r="G205" s="100" t="s">
        <v>1078</v>
      </c>
      <c r="H205" s="6" t="s">
        <v>68</v>
      </c>
      <c r="I205" s="6" t="s">
        <v>1841</v>
      </c>
      <c r="J205" s="6">
        <v>41434</v>
      </c>
      <c r="K205" s="7" t="s">
        <v>4990</v>
      </c>
      <c r="L205" s="8">
        <v>105822</v>
      </c>
      <c r="M205" s="8" t="str">
        <f t="shared" si="37"/>
        <v>USD</v>
      </c>
      <c r="N205" s="13">
        <v>0.46</v>
      </c>
      <c r="O205" s="13"/>
      <c r="P205" s="3">
        <f t="shared" si="38"/>
        <v>0</v>
      </c>
      <c r="Q205" s="3">
        <f t="shared" si="39"/>
        <v>0</v>
      </c>
      <c r="R205" s="3">
        <f t="shared" si="33"/>
        <v>201.57000000000153</v>
      </c>
      <c r="S205" s="24" t="s">
        <v>1334</v>
      </c>
      <c r="T205" s="24" t="s">
        <v>1334</v>
      </c>
      <c r="U205" s="61"/>
      <c r="V205" s="3"/>
      <c r="W205" s="3"/>
      <c r="X205" s="3"/>
      <c r="Y205" s="3"/>
      <c r="Z205" s="3"/>
      <c r="AA205" s="3" t="str">
        <f>IF(BCP_Dolares[[#This Row],[fecha]]&gt;0,TEXT(BCP_Dolares[[#This Row],[fecha]],"mmmm"),0)</f>
        <v>Mayo</v>
      </c>
    </row>
    <row r="206" spans="1:27" x14ac:dyDescent="0.3">
      <c r="A206" s="2" t="str">
        <f>IF(BCP_Dolares[[#This Row],[tipo_registro]]="R",COUNTIFS($C$1:$C205,"R")+1,"")</f>
        <v/>
      </c>
      <c r="B206" s="19" t="str">
        <f t="shared" si="36"/>
        <v>B-BCP - Dolares</v>
      </c>
      <c r="C206" s="3" t="s">
        <v>1352</v>
      </c>
      <c r="D206" s="14">
        <v>45804</v>
      </c>
      <c r="E206" s="5" t="s">
        <v>1511</v>
      </c>
      <c r="F206" s="5"/>
      <c r="G206" s="100" t="s">
        <v>1078</v>
      </c>
      <c r="H206" s="6" t="s">
        <v>68</v>
      </c>
      <c r="I206" s="6" t="s">
        <v>1841</v>
      </c>
      <c r="J206" s="6">
        <v>41430</v>
      </c>
      <c r="K206" s="7" t="s">
        <v>4990</v>
      </c>
      <c r="L206" s="8">
        <v>105822</v>
      </c>
      <c r="M206" s="8" t="str">
        <f t="shared" si="37"/>
        <v>USD</v>
      </c>
      <c r="N206" s="13">
        <v>1840.8</v>
      </c>
      <c r="O206" s="13"/>
      <c r="P206" s="3">
        <f t="shared" si="38"/>
        <v>0</v>
      </c>
      <c r="Q206" s="3">
        <f t="shared" si="39"/>
        <v>0</v>
      </c>
      <c r="R206" s="3">
        <f t="shared" si="33"/>
        <v>201.57000000000153</v>
      </c>
      <c r="S206" s="24" t="s">
        <v>1334</v>
      </c>
      <c r="T206" s="24" t="s">
        <v>1334</v>
      </c>
      <c r="U206" s="61"/>
      <c r="V206" s="3"/>
      <c r="W206" s="3"/>
      <c r="X206" s="3"/>
      <c r="Y206" s="3"/>
      <c r="Z206" s="3"/>
      <c r="AA206" s="3" t="str">
        <f>IF(BCP_Dolares[[#This Row],[fecha]]&gt;0,TEXT(BCP_Dolares[[#This Row],[fecha]],"mmmm"),0)</f>
        <v>Mayo</v>
      </c>
    </row>
    <row r="207" spans="1:27" x14ac:dyDescent="0.3">
      <c r="A207" s="2" t="str">
        <f>IF(BCP_Dolares[[#This Row],[tipo_registro]]="R",COUNTIFS($C$1:$C206,"R")+1,"")</f>
        <v/>
      </c>
      <c r="B207" s="19" t="str">
        <f t="shared" si="36"/>
        <v>B-BCP - Dolares</v>
      </c>
      <c r="C207" s="3" t="s">
        <v>1352</v>
      </c>
      <c r="D207" s="14">
        <v>45804</v>
      </c>
      <c r="E207" s="5" t="s">
        <v>1511</v>
      </c>
      <c r="F207" s="5"/>
      <c r="G207" s="100" t="s">
        <v>1078</v>
      </c>
      <c r="H207" s="6" t="s">
        <v>68</v>
      </c>
      <c r="I207" s="6" t="s">
        <v>1841</v>
      </c>
      <c r="J207" s="6">
        <v>41431</v>
      </c>
      <c r="K207" s="7" t="s">
        <v>4990</v>
      </c>
      <c r="L207" s="8">
        <v>105822</v>
      </c>
      <c r="M207" s="8" t="str">
        <f t="shared" si="37"/>
        <v>USD</v>
      </c>
      <c r="N207" s="13">
        <v>757.38</v>
      </c>
      <c r="O207" s="13"/>
      <c r="P207" s="3">
        <f t="shared" si="38"/>
        <v>0</v>
      </c>
      <c r="Q207" s="3">
        <f t="shared" si="39"/>
        <v>0</v>
      </c>
      <c r="R207" s="3">
        <f t="shared" si="33"/>
        <v>201.57000000000153</v>
      </c>
      <c r="S207" s="24" t="s">
        <v>1334</v>
      </c>
      <c r="T207" s="24" t="s">
        <v>1334</v>
      </c>
      <c r="U207" s="61"/>
      <c r="V207" s="3"/>
      <c r="W207" s="3"/>
      <c r="X207" s="3"/>
      <c r="Y207" s="3"/>
      <c r="Z207" s="3"/>
      <c r="AA207" s="3" t="str">
        <f>IF(BCP_Dolares[[#This Row],[fecha]]&gt;0,TEXT(BCP_Dolares[[#This Row],[fecha]],"mmmm"),0)</f>
        <v>Mayo</v>
      </c>
    </row>
    <row r="208" spans="1:27" ht="24" x14ac:dyDescent="0.3">
      <c r="A208" s="2">
        <f>IF(BCP_Dolares[[#This Row],[tipo_registro]]="R",COUNTIFS($C$1:$C207,"R")+1,"")</f>
        <v>84</v>
      </c>
      <c r="B208" s="19" t="str">
        <f t="shared" si="27"/>
        <v>B-BCP - Dolares</v>
      </c>
      <c r="C208" s="3" t="s">
        <v>1330</v>
      </c>
      <c r="D208" s="14">
        <v>45804</v>
      </c>
      <c r="E208" s="5" t="s">
        <v>1335</v>
      </c>
      <c r="F208" s="5" t="s">
        <v>1336</v>
      </c>
      <c r="G208" s="6" t="s">
        <v>1060</v>
      </c>
      <c r="H208" s="6"/>
      <c r="I208" s="6"/>
      <c r="J208" s="6"/>
      <c r="K208" s="7" t="s">
        <v>4915</v>
      </c>
      <c r="L208" s="8">
        <v>3500</v>
      </c>
      <c r="M208" s="8" t="str">
        <f t="shared" si="28"/>
        <v>USD</v>
      </c>
      <c r="N208" s="13"/>
      <c r="O208" s="13">
        <v>12</v>
      </c>
      <c r="P208" s="3">
        <f t="shared" si="34"/>
        <v>0</v>
      </c>
      <c r="Q208" s="3">
        <f t="shared" si="35"/>
        <v>12</v>
      </c>
      <c r="R208" s="3">
        <f t="shared" si="33"/>
        <v>189.57000000000153</v>
      </c>
      <c r="S208" s="24"/>
      <c r="T208" s="24"/>
      <c r="U208" s="61"/>
      <c r="V208" s="3" t="s">
        <v>1335</v>
      </c>
      <c r="W208" s="3"/>
      <c r="X208" s="3"/>
      <c r="Y208" s="3"/>
      <c r="Z208" s="3"/>
      <c r="AA208" s="3" t="str">
        <f>IF(BCP_Dolares[[#This Row],[fecha]]&gt;0,TEXT(BCP_Dolares[[#This Row],[fecha]],"mmmm"),0)</f>
        <v>Mayo</v>
      </c>
    </row>
    <row r="209" spans="1:27" x14ac:dyDescent="0.3">
      <c r="A209" s="2">
        <f>IF(BCP_Dolares[[#This Row],[tipo_registro]]="R",COUNTIFS($C$1:$C208,"R")+1,"")</f>
        <v>85</v>
      </c>
      <c r="B209" s="19" t="str">
        <f t="shared" si="27"/>
        <v>B-BCP - Dolares</v>
      </c>
      <c r="C209" s="3" t="s">
        <v>1330</v>
      </c>
      <c r="D209" s="14">
        <v>45804</v>
      </c>
      <c r="E209" s="5" t="s">
        <v>1335</v>
      </c>
      <c r="F209" s="5" t="s">
        <v>1336</v>
      </c>
      <c r="G209" s="6"/>
      <c r="H209" s="6"/>
      <c r="I209" s="6"/>
      <c r="J209" s="6"/>
      <c r="K209" s="7" t="s">
        <v>3160</v>
      </c>
      <c r="L209" s="8"/>
      <c r="M209" s="8" t="str">
        <f t="shared" si="28"/>
        <v>USD</v>
      </c>
      <c r="N209" s="13"/>
      <c r="O209" s="13">
        <v>0.35</v>
      </c>
      <c r="P209" s="3">
        <f t="shared" si="34"/>
        <v>0</v>
      </c>
      <c r="Q209" s="3">
        <f t="shared" si="35"/>
        <v>0.35</v>
      </c>
      <c r="R209" s="3">
        <f t="shared" si="33"/>
        <v>189.22000000000153</v>
      </c>
      <c r="S209" s="24" t="s">
        <v>1334</v>
      </c>
      <c r="T209" s="24" t="s">
        <v>1334</v>
      </c>
      <c r="U209" s="61"/>
      <c r="V209" s="3"/>
      <c r="W209" s="3"/>
      <c r="X209" s="3"/>
      <c r="Y209" s="3"/>
      <c r="Z209" s="3"/>
      <c r="AA209" s="3" t="str">
        <f>IF(BCP_Dolares[[#This Row],[fecha]]&gt;0,TEXT(BCP_Dolares[[#This Row],[fecha]],"mmmm"),0)</f>
        <v>Mayo</v>
      </c>
    </row>
    <row r="210" spans="1:27" ht="24" x14ac:dyDescent="0.3">
      <c r="A210" s="2">
        <f>IF(BCP_Dolares[[#This Row],[tipo_registro]]="R",COUNTIFS($C$1:$C209,"R")+1,"")</f>
        <v>86</v>
      </c>
      <c r="B210" s="19" t="str">
        <f t="shared" si="27"/>
        <v>B-BCP - Dolares</v>
      </c>
      <c r="C210" s="3" t="s">
        <v>1330</v>
      </c>
      <c r="D210" s="14">
        <v>45806</v>
      </c>
      <c r="E210" s="5" t="s">
        <v>204</v>
      </c>
      <c r="F210" s="5" t="s">
        <v>1303</v>
      </c>
      <c r="G210" s="6" t="s">
        <v>425</v>
      </c>
      <c r="H210" s="6"/>
      <c r="I210" s="6"/>
      <c r="J210" s="6"/>
      <c r="K210" s="7" t="s">
        <v>1350</v>
      </c>
      <c r="L210" s="8">
        <v>1462171</v>
      </c>
      <c r="M210" s="8" t="str">
        <f t="shared" si="28"/>
        <v>USD</v>
      </c>
      <c r="N210" s="13"/>
      <c r="O210" s="13">
        <v>15184.55</v>
      </c>
      <c r="P210" s="3">
        <f t="shared" si="34"/>
        <v>15184.55</v>
      </c>
      <c r="Q210" s="3">
        <f t="shared" si="35"/>
        <v>0</v>
      </c>
      <c r="R210" s="3">
        <f t="shared" si="33"/>
        <v>15373.77</v>
      </c>
      <c r="S210" s="24" t="s">
        <v>1334</v>
      </c>
      <c r="T210" s="24"/>
      <c r="U210" s="61"/>
      <c r="V210" s="3" t="s">
        <v>425</v>
      </c>
      <c r="W210" s="3" t="s">
        <v>4992</v>
      </c>
      <c r="X210" s="3" t="s">
        <v>4982</v>
      </c>
      <c r="Y210" s="3"/>
      <c r="Z210" s="3"/>
      <c r="AA210" s="3" t="str">
        <f>IF(BCP_Dolares[[#This Row],[fecha]]&gt;0,TEXT(BCP_Dolares[[#This Row],[fecha]],"mmmm"),0)</f>
        <v>Mayo</v>
      </c>
    </row>
    <row r="211" spans="1:27" x14ac:dyDescent="0.3">
      <c r="A211" s="2">
        <f>IF(BCP_Dolares[[#This Row],[tipo_registro]]="R",COUNTIFS($C$1:$C210,"R")+1,"")</f>
        <v>87</v>
      </c>
      <c r="B211" s="19" t="str">
        <f t="shared" si="27"/>
        <v>B-BCP - Dolares</v>
      </c>
      <c r="C211" s="3" t="s">
        <v>1330</v>
      </c>
      <c r="D211" s="14">
        <v>45806</v>
      </c>
      <c r="E211" s="5" t="s">
        <v>1338</v>
      </c>
      <c r="F211" s="5" t="s">
        <v>1336</v>
      </c>
      <c r="G211" s="6" t="s">
        <v>204</v>
      </c>
      <c r="H211" s="6" t="s">
        <v>68</v>
      </c>
      <c r="I211" s="6" t="s">
        <v>1390</v>
      </c>
      <c r="J211" s="6">
        <v>15981</v>
      </c>
      <c r="K211" s="7" t="s">
        <v>4993</v>
      </c>
      <c r="L211" s="8">
        <v>1232329</v>
      </c>
      <c r="M211" s="8" t="str">
        <f t="shared" si="28"/>
        <v>USD</v>
      </c>
      <c r="N211" s="13"/>
      <c r="O211" s="13">
        <v>93.84</v>
      </c>
      <c r="P211" s="3">
        <f t="shared" si="34"/>
        <v>0</v>
      </c>
      <c r="Q211" s="3">
        <f t="shared" si="35"/>
        <v>93.84</v>
      </c>
      <c r="R211" s="3">
        <f t="shared" si="33"/>
        <v>15279.93</v>
      </c>
      <c r="S211" s="24" t="s">
        <v>1334</v>
      </c>
      <c r="T211" s="24" t="s">
        <v>1334</v>
      </c>
      <c r="U211" s="61"/>
      <c r="V211" s="3" t="s">
        <v>4994</v>
      </c>
      <c r="W211" s="3" t="s">
        <v>4995</v>
      </c>
      <c r="X211" s="3"/>
      <c r="Y211" s="3"/>
      <c r="Z211" s="3"/>
      <c r="AA211" s="3" t="str">
        <f>IF(BCP_Dolares[[#This Row],[fecha]]&gt;0,TEXT(BCP_Dolares[[#This Row],[fecha]],"mmmm"),0)</f>
        <v>Mayo</v>
      </c>
    </row>
    <row r="212" spans="1:27" ht="24" x14ac:dyDescent="0.3">
      <c r="A212" s="2">
        <f>IF(BCP_Dolares[[#This Row],[tipo_registro]]="R",COUNTIFS($C$1:$C211,"R")+1,"")</f>
        <v>88</v>
      </c>
      <c r="B212" s="19" t="str">
        <f t="shared" si="27"/>
        <v>B-BCP - Dolares</v>
      </c>
      <c r="C212" s="3" t="s">
        <v>1330</v>
      </c>
      <c r="D212" s="14">
        <v>45806</v>
      </c>
      <c r="E212" s="5" t="s">
        <v>1338</v>
      </c>
      <c r="F212" s="5" t="s">
        <v>1336</v>
      </c>
      <c r="G212" s="6" t="s">
        <v>775</v>
      </c>
      <c r="H212" s="6"/>
      <c r="I212" s="6"/>
      <c r="J212" s="6"/>
      <c r="K212" s="7" t="s">
        <v>4996</v>
      </c>
      <c r="L212" s="8">
        <v>1240651</v>
      </c>
      <c r="M212" s="8" t="str">
        <f t="shared" si="28"/>
        <v>USD</v>
      </c>
      <c r="N212" s="13"/>
      <c r="O212" s="13">
        <v>520</v>
      </c>
      <c r="P212" s="3">
        <f t="shared" si="34"/>
        <v>0</v>
      </c>
      <c r="Q212" s="3">
        <f t="shared" si="35"/>
        <v>520</v>
      </c>
      <c r="R212" s="3">
        <f t="shared" si="33"/>
        <v>14759.93</v>
      </c>
      <c r="S212" s="24"/>
      <c r="T212" s="24"/>
      <c r="U212" s="61"/>
      <c r="V212" s="3" t="s">
        <v>775</v>
      </c>
      <c r="W212" s="3"/>
      <c r="X212" s="3"/>
      <c r="Y212" s="3"/>
      <c r="Z212" s="3"/>
      <c r="AA212" s="3" t="str">
        <f>IF(BCP_Dolares[[#This Row],[fecha]]&gt;0,TEXT(BCP_Dolares[[#This Row],[fecha]],"mmmm"),0)</f>
        <v>Mayo</v>
      </c>
    </row>
    <row r="213" spans="1:27" x14ac:dyDescent="0.3">
      <c r="A213" s="2">
        <f>IF(BCP_Dolares[[#This Row],[tipo_registro]]="R",COUNTIFS($C$1:$C212,"R")+1,"")</f>
        <v>89</v>
      </c>
      <c r="B213" s="19" t="str">
        <f t="shared" si="27"/>
        <v>B-BCP - Dolares</v>
      </c>
      <c r="C213" s="3" t="s">
        <v>1330</v>
      </c>
      <c r="D213" s="14">
        <v>45806</v>
      </c>
      <c r="E213" s="5" t="s">
        <v>1335</v>
      </c>
      <c r="F213" s="5" t="s">
        <v>1336</v>
      </c>
      <c r="G213" s="6"/>
      <c r="H213" s="6"/>
      <c r="I213" s="6"/>
      <c r="J213" s="6"/>
      <c r="K213" s="7" t="s">
        <v>3160</v>
      </c>
      <c r="L213" s="8"/>
      <c r="M213" s="8" t="str">
        <f t="shared" si="28"/>
        <v>USD</v>
      </c>
      <c r="N213" s="13"/>
      <c r="O213" s="13">
        <v>0.75</v>
      </c>
      <c r="P213" s="3">
        <f t="shared" si="34"/>
        <v>0</v>
      </c>
      <c r="Q213" s="3">
        <f t="shared" si="35"/>
        <v>0.75</v>
      </c>
      <c r="R213" s="3">
        <f t="shared" si="33"/>
        <v>14759.18</v>
      </c>
      <c r="S213" s="24" t="s">
        <v>1334</v>
      </c>
      <c r="T213" s="24" t="s">
        <v>1334</v>
      </c>
      <c r="U213" s="61"/>
      <c r="V213" s="3"/>
      <c r="W213" s="3"/>
      <c r="X213" s="3"/>
      <c r="Y213" s="3"/>
      <c r="Z213" s="3"/>
      <c r="AA213" s="3" t="str">
        <f>IF(BCP_Dolares[[#This Row],[fecha]]&gt;0,TEXT(BCP_Dolares[[#This Row],[fecha]],"mmmm"),0)</f>
        <v>Mayo</v>
      </c>
    </row>
    <row r="214" spans="1:27" x14ac:dyDescent="0.3">
      <c r="A214" s="2">
        <f>IF(BCP_Dolares[[#This Row],[tipo_registro]]="R",COUNTIFS($C$1:$C213,"R")+1,"")</f>
        <v>90</v>
      </c>
      <c r="B214" s="19" t="str">
        <f t="shared" si="27"/>
        <v>B-BCP - Dolares</v>
      </c>
      <c r="C214" s="3" t="s">
        <v>1330</v>
      </c>
      <c r="D214" s="14">
        <v>45807</v>
      </c>
      <c r="E214" s="5" t="s">
        <v>1335</v>
      </c>
      <c r="F214" s="5" t="s">
        <v>1336</v>
      </c>
      <c r="G214" s="6"/>
      <c r="H214" s="6"/>
      <c r="I214" s="6"/>
      <c r="J214" s="6"/>
      <c r="K214" s="7" t="s">
        <v>3160</v>
      </c>
      <c r="L214" s="8"/>
      <c r="M214" s="8" t="str">
        <f t="shared" si="28"/>
        <v>USD</v>
      </c>
      <c r="N214" s="13"/>
      <c r="O214" s="13">
        <v>0.1</v>
      </c>
      <c r="P214" s="3">
        <f t="shared" si="34"/>
        <v>0</v>
      </c>
      <c r="Q214" s="3">
        <f t="shared" si="35"/>
        <v>0.1</v>
      </c>
      <c r="R214" s="3">
        <f t="shared" si="33"/>
        <v>14759.08</v>
      </c>
      <c r="S214" s="24" t="s">
        <v>1334</v>
      </c>
      <c r="T214" s="24" t="s">
        <v>1334</v>
      </c>
      <c r="U214" s="61"/>
      <c r="V214" s="3"/>
      <c r="W214" s="3"/>
      <c r="X214" s="3"/>
      <c r="Y214" s="3"/>
      <c r="Z214" s="3"/>
      <c r="AA214" s="3" t="str">
        <f>IF(BCP_Dolares[[#This Row],[fecha]]&gt;0,TEXT(BCP_Dolares[[#This Row],[fecha]],"mmmm"),0)</f>
        <v>Mayo</v>
      </c>
    </row>
    <row r="215" spans="1:27" ht="24" x14ac:dyDescent="0.3">
      <c r="A215" s="2">
        <f>IF(BCP_Dolares[[#This Row],[tipo_registro]]="R",COUNTIFS($C$1:$C214,"R")+1,"")</f>
        <v>91</v>
      </c>
      <c r="B215" s="19" t="str">
        <f t="shared" si="27"/>
        <v>B-BCP - Dolares</v>
      </c>
      <c r="C215" s="3" t="s">
        <v>1330</v>
      </c>
      <c r="D215" s="14">
        <v>45807</v>
      </c>
      <c r="E215" s="5" t="s">
        <v>1511</v>
      </c>
      <c r="F215" s="5" t="s">
        <v>1336</v>
      </c>
      <c r="G215" s="6" t="s">
        <v>248</v>
      </c>
      <c r="H215" s="6"/>
      <c r="I215" s="6"/>
      <c r="J215" s="6"/>
      <c r="K215" s="7" t="s">
        <v>4969</v>
      </c>
      <c r="L215" s="8">
        <v>1350245</v>
      </c>
      <c r="M215" s="8" t="str">
        <f t="shared" si="28"/>
        <v>USD</v>
      </c>
      <c r="N215" s="13"/>
      <c r="O215" s="13">
        <v>2500</v>
      </c>
      <c r="P215" s="3">
        <f t="shared" si="34"/>
        <v>0</v>
      </c>
      <c r="Q215" s="3">
        <f t="shared" si="35"/>
        <v>2500</v>
      </c>
      <c r="R215" s="3">
        <f t="shared" si="33"/>
        <v>12259.08</v>
      </c>
      <c r="S215" s="24"/>
      <c r="T215" s="24"/>
      <c r="U215" s="61"/>
      <c r="V215" s="3" t="s">
        <v>248</v>
      </c>
      <c r="W215" s="3"/>
      <c r="X215" s="3"/>
      <c r="Y215" s="3"/>
      <c r="Z215" s="3"/>
      <c r="AA215" s="3" t="str">
        <f>IF(BCP_Dolares[[#This Row],[fecha]]&gt;0,TEXT(BCP_Dolares[[#This Row],[fecha]],"mmmm"),0)</f>
        <v>Mayo</v>
      </c>
    </row>
    <row r="216" spans="1:27" ht="24" x14ac:dyDescent="0.3">
      <c r="A216" s="2">
        <f>IF(BCP_Dolares[[#This Row],[tipo_registro]]="R",COUNTIFS($C$1:$C215,"R")+1,"")</f>
        <v>92</v>
      </c>
      <c r="B216" s="19" t="str">
        <f t="shared" si="27"/>
        <v>B-BCP - Dolares</v>
      </c>
      <c r="C216" s="3" t="s">
        <v>1330</v>
      </c>
      <c r="D216" s="14">
        <v>45808</v>
      </c>
      <c r="E216" s="5" t="s">
        <v>1335</v>
      </c>
      <c r="F216" s="5" t="s">
        <v>1336</v>
      </c>
      <c r="G216" s="6" t="s">
        <v>1060</v>
      </c>
      <c r="H216" s="6"/>
      <c r="I216" s="6"/>
      <c r="J216" s="6"/>
      <c r="K216" s="7" t="s">
        <v>1756</v>
      </c>
      <c r="L216" s="8">
        <v>0</v>
      </c>
      <c r="M216" s="8" t="str">
        <f t="shared" si="28"/>
        <v>USD</v>
      </c>
      <c r="N216" s="13"/>
      <c r="O216" s="13">
        <v>13</v>
      </c>
      <c r="P216" s="3">
        <f t="shared" si="34"/>
        <v>0</v>
      </c>
      <c r="Q216" s="3">
        <f t="shared" si="35"/>
        <v>13</v>
      </c>
      <c r="R216" s="3">
        <f t="shared" si="33"/>
        <v>12246.08</v>
      </c>
      <c r="S216" s="24"/>
      <c r="T216" s="24"/>
      <c r="U216" s="61"/>
      <c r="V216" s="3" t="s">
        <v>1335</v>
      </c>
      <c r="W216" s="3"/>
      <c r="X216" s="3"/>
      <c r="Y216" s="3"/>
      <c r="Z216" s="3"/>
      <c r="AA216" s="3" t="str">
        <f>IF(BCP_Dolares[[#This Row],[fecha]]&gt;0,TEXT(BCP_Dolares[[#This Row],[fecha]],"mmmm"),0)</f>
        <v>Mayo</v>
      </c>
    </row>
    <row r="217" spans="1:27" ht="24" x14ac:dyDescent="0.3">
      <c r="A217" s="2">
        <f>IF(BCP_Dolares[[#This Row],[tipo_registro]]="R",COUNTIFS($C$1:$C216,"R")+1,"")</f>
        <v>93</v>
      </c>
      <c r="B217" s="19" t="str">
        <f t="shared" si="27"/>
        <v>B-BCP - Dolares</v>
      </c>
      <c r="C217" s="3" t="s">
        <v>1330</v>
      </c>
      <c r="D217" s="14">
        <v>45808</v>
      </c>
      <c r="E217" s="5" t="s">
        <v>1335</v>
      </c>
      <c r="F217" s="5" t="s">
        <v>1336</v>
      </c>
      <c r="G217" s="6" t="s">
        <v>1060</v>
      </c>
      <c r="H217" s="6"/>
      <c r="I217" s="6"/>
      <c r="J217" s="6"/>
      <c r="K217" s="7" t="s">
        <v>1758</v>
      </c>
      <c r="L217" s="8">
        <v>1144274</v>
      </c>
      <c r="M217" s="8" t="str">
        <f t="shared" si="28"/>
        <v>USD</v>
      </c>
      <c r="N217" s="13"/>
      <c r="O217" s="13">
        <v>2</v>
      </c>
      <c r="P217" s="3">
        <f t="shared" si="34"/>
        <v>0</v>
      </c>
      <c r="Q217" s="3">
        <f t="shared" si="35"/>
        <v>2</v>
      </c>
      <c r="R217" s="3">
        <f t="shared" si="33"/>
        <v>12244.08</v>
      </c>
      <c r="S217" s="24"/>
      <c r="T217" s="24"/>
      <c r="U217" s="61"/>
      <c r="V217" s="3" t="s">
        <v>1335</v>
      </c>
      <c r="W217" s="3"/>
      <c r="X217" s="3"/>
      <c r="Y217" s="3"/>
      <c r="Z217" s="3"/>
      <c r="AA217" s="3" t="str">
        <f>IF(BCP_Dolares[[#This Row],[fecha]]&gt;0,TEXT(BCP_Dolares[[#This Row],[fecha]],"mmmm"),0)</f>
        <v>Mayo</v>
      </c>
    </row>
    <row r="218" spans="1:27" ht="36" x14ac:dyDescent="0.3">
      <c r="A218" s="2">
        <f>IF(BCP_Dolares[[#This Row],[tipo_registro]]="R",COUNTIFS($C$1:$C217,"R")+1,"")</f>
        <v>94</v>
      </c>
      <c r="B218" s="19" t="str">
        <f t="shared" si="27"/>
        <v>B-BCP - Dolares</v>
      </c>
      <c r="C218" s="3" t="s">
        <v>1330</v>
      </c>
      <c r="D218" s="14">
        <v>45811</v>
      </c>
      <c r="E218" s="5" t="s">
        <v>1338</v>
      </c>
      <c r="F218" s="5" t="s">
        <v>1336</v>
      </c>
      <c r="G218" s="6" t="s">
        <v>702</v>
      </c>
      <c r="H218" s="6" t="s">
        <v>68</v>
      </c>
      <c r="I218" s="6" t="s">
        <v>1463</v>
      </c>
      <c r="J218" s="6">
        <v>456467</v>
      </c>
      <c r="K218" s="7" t="s">
        <v>4983</v>
      </c>
      <c r="L218" s="8">
        <v>217211</v>
      </c>
      <c r="M218" s="8" t="str">
        <f t="shared" si="28"/>
        <v>USD</v>
      </c>
      <c r="N218" s="13"/>
      <c r="O218" s="13">
        <v>102.22</v>
      </c>
      <c r="P218" s="3">
        <f t="shared" si="34"/>
        <v>0</v>
      </c>
      <c r="Q218" s="3">
        <f t="shared" si="35"/>
        <v>102.22</v>
      </c>
      <c r="R218" s="3">
        <f t="shared" si="33"/>
        <v>12141.86</v>
      </c>
      <c r="S218" s="24" t="s">
        <v>1334</v>
      </c>
      <c r="T218" s="24" t="s">
        <v>1334</v>
      </c>
      <c r="U218" s="61"/>
      <c r="V218" s="3" t="s">
        <v>4913</v>
      </c>
      <c r="W218" s="3"/>
      <c r="X218" s="3"/>
      <c r="Y218" s="3"/>
      <c r="Z218" s="3"/>
      <c r="AA218" s="3" t="str">
        <f>IF(BCP_Dolares[[#This Row],[fecha]]&gt;0,TEXT(BCP_Dolares[[#This Row],[fecha]],"mmmm"),0)</f>
        <v>Junio</v>
      </c>
    </row>
    <row r="219" spans="1:27" x14ac:dyDescent="0.3">
      <c r="A219" s="2">
        <f>IF(BCP_Dolares[[#This Row],[tipo_registro]]="R",COUNTIFS($C$1:$C218,"R")+1,"")</f>
        <v>95</v>
      </c>
      <c r="B219" s="19" t="str">
        <f t="shared" si="27"/>
        <v>B-BCP - Dolares</v>
      </c>
      <c r="C219" s="3" t="s">
        <v>1330</v>
      </c>
      <c r="D219" s="14">
        <v>45819</v>
      </c>
      <c r="E219" s="5" t="s">
        <v>1331</v>
      </c>
      <c r="F219" s="5" t="s">
        <v>1336</v>
      </c>
      <c r="G219" s="6"/>
      <c r="H219" s="6"/>
      <c r="I219" s="6"/>
      <c r="J219" s="6"/>
      <c r="K219" s="7" t="s">
        <v>4997</v>
      </c>
      <c r="L219" s="8">
        <v>6309370</v>
      </c>
      <c r="M219" s="8" t="str">
        <f t="shared" si="28"/>
        <v>USD</v>
      </c>
      <c r="N219" s="13"/>
      <c r="O219" s="13">
        <v>423.57</v>
      </c>
      <c r="P219" s="3">
        <f t="shared" si="34"/>
        <v>0</v>
      </c>
      <c r="Q219" s="3">
        <f t="shared" si="35"/>
        <v>423.57</v>
      </c>
      <c r="R219" s="3">
        <f t="shared" si="33"/>
        <v>11718.29</v>
      </c>
      <c r="S219" s="24" t="s">
        <v>1334</v>
      </c>
      <c r="T219" s="24" t="s">
        <v>1334</v>
      </c>
      <c r="U219" s="61"/>
      <c r="V219" s="3" t="s">
        <v>4994</v>
      </c>
      <c r="W219" s="3"/>
      <c r="X219" s="3"/>
      <c r="Y219" s="3"/>
      <c r="Z219" s="3"/>
      <c r="AA219" s="3" t="str">
        <f>IF(BCP_Dolares[[#This Row],[fecha]]&gt;0,TEXT(BCP_Dolares[[#This Row],[fecha]],"mmmm"),0)</f>
        <v>Junio</v>
      </c>
    </row>
    <row r="220" spans="1:27" ht="24" x14ac:dyDescent="0.3">
      <c r="A220" s="2" t="str">
        <f>IF(BCP_Dolares[[#This Row],[tipo_registro]]="R",COUNTIFS($C$1:$C219,"R")+1,"")</f>
        <v/>
      </c>
      <c r="B220" s="19" t="str">
        <f t="shared" ref="B220:B225" si="40">"B-BCP - Dolares"</f>
        <v>B-BCP - Dolares</v>
      </c>
      <c r="C220" s="3" t="s">
        <v>1352</v>
      </c>
      <c r="D220" s="14">
        <v>45819</v>
      </c>
      <c r="E220" s="5" t="s">
        <v>1331</v>
      </c>
      <c r="F220" s="5"/>
      <c r="G220" s="6" t="s">
        <v>204</v>
      </c>
      <c r="H220" s="6" t="s">
        <v>68</v>
      </c>
      <c r="I220" s="6" t="s">
        <v>1390</v>
      </c>
      <c r="J220" s="6">
        <v>16036</v>
      </c>
      <c r="K220" s="7" t="s">
        <v>4997</v>
      </c>
      <c r="L220" s="8">
        <v>6309370</v>
      </c>
      <c r="M220" s="8" t="str">
        <f t="shared" ref="M220:M225" si="41">"USD"</f>
        <v>USD</v>
      </c>
      <c r="N220" s="13">
        <v>35.49</v>
      </c>
      <c r="O220" s="13"/>
      <c r="P220" s="3">
        <f t="shared" si="34"/>
        <v>0</v>
      </c>
      <c r="Q220" s="3">
        <f t="shared" si="35"/>
        <v>0</v>
      </c>
      <c r="R220" s="3">
        <f t="shared" si="33"/>
        <v>11718.29</v>
      </c>
      <c r="S220" s="24"/>
      <c r="T220" s="24" t="s">
        <v>1334</v>
      </c>
      <c r="U220" s="61"/>
      <c r="V220" s="3"/>
      <c r="W220" s="3"/>
      <c r="X220" s="3"/>
      <c r="Y220" s="3"/>
      <c r="Z220" s="3"/>
      <c r="AA220" s="3" t="str">
        <f>IF(BCP_Dolares[[#This Row],[fecha]]&gt;0,TEXT(BCP_Dolares[[#This Row],[fecha]],"mmmm"),0)</f>
        <v>Junio</v>
      </c>
    </row>
    <row r="221" spans="1:27" ht="24" x14ac:dyDescent="0.3">
      <c r="A221" s="2" t="str">
        <f>IF(BCP_Dolares[[#This Row],[tipo_registro]]="R",COUNTIFS($C$1:$C220,"R")+1,"")</f>
        <v/>
      </c>
      <c r="B221" s="19" t="str">
        <f t="shared" si="40"/>
        <v>B-BCP - Dolares</v>
      </c>
      <c r="C221" s="3" t="s">
        <v>1352</v>
      </c>
      <c r="D221" s="14">
        <v>45819</v>
      </c>
      <c r="E221" s="5" t="s">
        <v>1331</v>
      </c>
      <c r="F221" s="5"/>
      <c r="G221" s="6" t="s">
        <v>204</v>
      </c>
      <c r="H221" s="6" t="s">
        <v>68</v>
      </c>
      <c r="I221" s="6" t="s">
        <v>1390</v>
      </c>
      <c r="J221" s="6">
        <v>16062</v>
      </c>
      <c r="K221" s="7" t="s">
        <v>4997</v>
      </c>
      <c r="L221" s="8">
        <v>6309370</v>
      </c>
      <c r="M221" s="8" t="str">
        <f t="shared" si="41"/>
        <v>USD</v>
      </c>
      <c r="N221" s="13">
        <v>79.959999999999994</v>
      </c>
      <c r="O221" s="13"/>
      <c r="P221" s="3">
        <f t="shared" si="34"/>
        <v>0</v>
      </c>
      <c r="Q221" s="3">
        <f t="shared" si="35"/>
        <v>0</v>
      </c>
      <c r="R221" s="3">
        <f t="shared" si="33"/>
        <v>11718.29</v>
      </c>
      <c r="S221" s="24"/>
      <c r="T221" s="24" t="s">
        <v>1334</v>
      </c>
      <c r="U221" s="61"/>
      <c r="V221" s="3"/>
      <c r="W221" s="3"/>
      <c r="X221" s="3"/>
      <c r="Y221" s="3"/>
      <c r="Z221" s="3"/>
      <c r="AA221" s="3" t="str">
        <f>IF(BCP_Dolares[[#This Row],[fecha]]&gt;0,TEXT(BCP_Dolares[[#This Row],[fecha]],"mmmm"),0)</f>
        <v>Junio</v>
      </c>
    </row>
    <row r="222" spans="1:27" ht="24" x14ac:dyDescent="0.3">
      <c r="A222" s="2" t="str">
        <f>IF(BCP_Dolares[[#This Row],[tipo_registro]]="R",COUNTIFS($C$1:$C221,"R")+1,"")</f>
        <v/>
      </c>
      <c r="B222" s="19" t="str">
        <f t="shared" si="40"/>
        <v>B-BCP - Dolares</v>
      </c>
      <c r="C222" s="3" t="s">
        <v>1352</v>
      </c>
      <c r="D222" s="14">
        <v>45819</v>
      </c>
      <c r="E222" s="5" t="s">
        <v>1331</v>
      </c>
      <c r="F222" s="5"/>
      <c r="G222" s="6" t="s">
        <v>204</v>
      </c>
      <c r="H222" s="6" t="s">
        <v>68</v>
      </c>
      <c r="I222" s="6" t="s">
        <v>1390</v>
      </c>
      <c r="J222" s="6">
        <v>16063</v>
      </c>
      <c r="K222" s="7" t="s">
        <v>4997</v>
      </c>
      <c r="L222" s="8">
        <v>6309370</v>
      </c>
      <c r="M222" s="8" t="str">
        <f t="shared" si="41"/>
        <v>USD</v>
      </c>
      <c r="N222" s="13">
        <v>60.86</v>
      </c>
      <c r="O222" s="13"/>
      <c r="P222" s="3">
        <f t="shared" si="34"/>
        <v>0</v>
      </c>
      <c r="Q222" s="3">
        <f t="shared" si="35"/>
        <v>0</v>
      </c>
      <c r="R222" s="3">
        <f t="shared" si="33"/>
        <v>11718.29</v>
      </c>
      <c r="S222" s="24"/>
      <c r="T222" s="24" t="s">
        <v>1334</v>
      </c>
      <c r="U222" s="61"/>
      <c r="V222" s="3"/>
      <c r="W222" s="3"/>
      <c r="X222" s="3"/>
      <c r="Y222" s="3"/>
      <c r="Z222" s="3"/>
      <c r="AA222" s="3" t="str">
        <f>IF(BCP_Dolares[[#This Row],[fecha]]&gt;0,TEXT(BCP_Dolares[[#This Row],[fecha]],"mmmm"),0)</f>
        <v>Junio</v>
      </c>
    </row>
    <row r="223" spans="1:27" ht="24" x14ac:dyDescent="0.3">
      <c r="A223" s="2" t="str">
        <f>IF(BCP_Dolares[[#This Row],[tipo_registro]]="R",COUNTIFS($C$1:$C222,"R")+1,"")</f>
        <v/>
      </c>
      <c r="B223" s="19" t="str">
        <f t="shared" si="40"/>
        <v>B-BCP - Dolares</v>
      </c>
      <c r="C223" s="3" t="s">
        <v>1352</v>
      </c>
      <c r="D223" s="14">
        <v>45819</v>
      </c>
      <c r="E223" s="5" t="s">
        <v>1331</v>
      </c>
      <c r="F223" s="5"/>
      <c r="G223" s="6" t="s">
        <v>204</v>
      </c>
      <c r="H223" s="6" t="s">
        <v>68</v>
      </c>
      <c r="I223" s="6" t="s">
        <v>1390</v>
      </c>
      <c r="J223" s="6">
        <v>16077</v>
      </c>
      <c r="K223" s="7" t="s">
        <v>4997</v>
      </c>
      <c r="L223" s="8">
        <v>6309370</v>
      </c>
      <c r="M223" s="8" t="str">
        <f t="shared" si="41"/>
        <v>USD</v>
      </c>
      <c r="N223" s="13">
        <v>69.08</v>
      </c>
      <c r="O223" s="13"/>
      <c r="P223" s="3">
        <f t="shared" si="34"/>
        <v>0</v>
      </c>
      <c r="Q223" s="3">
        <f t="shared" si="35"/>
        <v>0</v>
      </c>
      <c r="R223" s="3">
        <f t="shared" si="33"/>
        <v>11718.29</v>
      </c>
      <c r="S223" s="24"/>
      <c r="T223" s="24" t="s">
        <v>1334</v>
      </c>
      <c r="U223" s="61"/>
      <c r="V223" s="3"/>
      <c r="W223" s="3"/>
      <c r="X223" s="3"/>
      <c r="Y223" s="3"/>
      <c r="Z223" s="3"/>
      <c r="AA223" s="3" t="str">
        <f>IF(BCP_Dolares[[#This Row],[fecha]]&gt;0,TEXT(BCP_Dolares[[#This Row],[fecha]],"mmmm"),0)</f>
        <v>Junio</v>
      </c>
    </row>
    <row r="224" spans="1:27" ht="24" x14ac:dyDescent="0.3">
      <c r="A224" s="2" t="str">
        <f>IF(BCP_Dolares[[#This Row],[tipo_registro]]="R",COUNTIFS($C$1:$C223,"R")+1,"")</f>
        <v/>
      </c>
      <c r="B224" s="19" t="str">
        <f t="shared" si="40"/>
        <v>B-BCP - Dolares</v>
      </c>
      <c r="C224" s="3" t="s">
        <v>1352</v>
      </c>
      <c r="D224" s="14">
        <v>45819</v>
      </c>
      <c r="E224" s="5" t="s">
        <v>1331</v>
      </c>
      <c r="F224" s="5"/>
      <c r="G224" s="6" t="s">
        <v>204</v>
      </c>
      <c r="H224" s="6" t="s">
        <v>68</v>
      </c>
      <c r="I224" s="6" t="s">
        <v>1390</v>
      </c>
      <c r="J224" s="6">
        <v>16053</v>
      </c>
      <c r="K224" s="7" t="s">
        <v>4997</v>
      </c>
      <c r="L224" s="8">
        <v>6309370</v>
      </c>
      <c r="M224" s="8" t="str">
        <f t="shared" si="41"/>
        <v>USD</v>
      </c>
      <c r="N224" s="13">
        <v>106.04</v>
      </c>
      <c r="O224" s="13"/>
      <c r="P224" s="3">
        <f t="shared" si="34"/>
        <v>0</v>
      </c>
      <c r="Q224" s="3">
        <f t="shared" si="35"/>
        <v>0</v>
      </c>
      <c r="R224" s="3">
        <f t="shared" si="33"/>
        <v>11718.29</v>
      </c>
      <c r="S224" s="24"/>
      <c r="T224" s="24" t="s">
        <v>1334</v>
      </c>
      <c r="U224" s="61"/>
      <c r="V224" s="3"/>
      <c r="W224" s="3"/>
      <c r="X224" s="3"/>
      <c r="Y224" s="3"/>
      <c r="Z224" s="3"/>
      <c r="AA224" s="3" t="str">
        <f>IF(BCP_Dolares[[#This Row],[fecha]]&gt;0,TEXT(BCP_Dolares[[#This Row],[fecha]],"mmmm"),0)</f>
        <v>Junio</v>
      </c>
    </row>
    <row r="225" spans="1:27" ht="24" x14ac:dyDescent="0.3">
      <c r="A225" s="2" t="str">
        <f>IF(BCP_Dolares[[#This Row],[tipo_registro]]="R",COUNTIFS($C$1:$C224,"R")+1,"")</f>
        <v/>
      </c>
      <c r="B225" s="19" t="str">
        <f t="shared" si="40"/>
        <v>B-BCP - Dolares</v>
      </c>
      <c r="C225" s="3" t="s">
        <v>1352</v>
      </c>
      <c r="D225" s="14">
        <v>45819</v>
      </c>
      <c r="E225" s="5" t="s">
        <v>1331</v>
      </c>
      <c r="F225" s="5"/>
      <c r="G225" s="6" t="s">
        <v>204</v>
      </c>
      <c r="H225" s="6" t="s">
        <v>68</v>
      </c>
      <c r="I225" s="6" t="s">
        <v>1390</v>
      </c>
      <c r="J225" s="6">
        <v>16043</v>
      </c>
      <c r="K225" s="7" t="s">
        <v>4997</v>
      </c>
      <c r="L225" s="8">
        <v>6309370</v>
      </c>
      <c r="M225" s="8" t="str">
        <f t="shared" si="41"/>
        <v>USD</v>
      </c>
      <c r="N225" s="13">
        <v>72.14</v>
      </c>
      <c r="O225" s="13"/>
      <c r="P225" s="3">
        <f t="shared" si="34"/>
        <v>0</v>
      </c>
      <c r="Q225" s="3">
        <f t="shared" si="35"/>
        <v>0</v>
      </c>
      <c r="R225" s="3">
        <f t="shared" si="33"/>
        <v>11718.29</v>
      </c>
      <c r="S225" s="24"/>
      <c r="T225" s="24" t="s">
        <v>1334</v>
      </c>
      <c r="U225" s="61"/>
      <c r="V225" s="3"/>
      <c r="W225" s="3"/>
      <c r="X225" s="3"/>
      <c r="Y225" s="3"/>
      <c r="Z225" s="3"/>
      <c r="AA225" s="3" t="str">
        <f>IF(BCP_Dolares[[#This Row],[fecha]]&gt;0,TEXT(BCP_Dolares[[#This Row],[fecha]],"mmmm"),0)</f>
        <v>Junio</v>
      </c>
    </row>
    <row r="226" spans="1:27" x14ac:dyDescent="0.3">
      <c r="A226" s="2">
        <f>IF(BCP_Dolares[[#This Row],[tipo_registro]]="R",COUNTIFS($C$1:$C225,"R")+1,"")</f>
        <v>96</v>
      </c>
      <c r="B226" s="19" t="str">
        <f t="shared" si="27"/>
        <v>B-BCP - Dolares</v>
      </c>
      <c r="C226" s="3" t="s">
        <v>1330</v>
      </c>
      <c r="D226" s="14">
        <v>45819</v>
      </c>
      <c r="E226" s="5" t="s">
        <v>1331</v>
      </c>
      <c r="F226" s="5" t="s">
        <v>1336</v>
      </c>
      <c r="G226" s="6" t="s">
        <v>204</v>
      </c>
      <c r="H226" s="6" t="s">
        <v>68</v>
      </c>
      <c r="I226" s="6" t="s">
        <v>1390</v>
      </c>
      <c r="J226" s="6">
        <v>15814</v>
      </c>
      <c r="K226" s="7" t="s">
        <v>4998</v>
      </c>
      <c r="L226" s="8">
        <v>6309386</v>
      </c>
      <c r="M226" s="8" t="str">
        <f t="shared" si="28"/>
        <v>USD</v>
      </c>
      <c r="N226" s="13"/>
      <c r="O226" s="13">
        <v>665.63</v>
      </c>
      <c r="P226" s="3">
        <f t="shared" si="34"/>
        <v>0</v>
      </c>
      <c r="Q226" s="3">
        <f t="shared" si="35"/>
        <v>665.63</v>
      </c>
      <c r="R226" s="3">
        <f t="shared" si="33"/>
        <v>11052.660000000002</v>
      </c>
      <c r="S226" s="24" t="s">
        <v>1334</v>
      </c>
      <c r="T226" s="24" t="s">
        <v>1334</v>
      </c>
      <c r="U226" s="61"/>
      <c r="V226" s="3" t="s">
        <v>4994</v>
      </c>
      <c r="W226" s="3"/>
      <c r="X226" s="3"/>
      <c r="Y226" s="3"/>
      <c r="Z226" s="3"/>
      <c r="AA226" s="3" t="str">
        <f>IF(BCP_Dolares[[#This Row],[fecha]]&gt;0,TEXT(BCP_Dolares[[#This Row],[fecha]],"mmmm"),0)</f>
        <v>Junio</v>
      </c>
    </row>
    <row r="227" spans="1:27" ht="24" x14ac:dyDescent="0.3">
      <c r="A227" s="2">
        <f>IF(BCP_Dolares[[#This Row],[tipo_registro]]="R",COUNTIFS($C$1:$C226,"R")+1,"")</f>
        <v>97</v>
      </c>
      <c r="B227" s="19" t="str">
        <f t="shared" ref="B227:B253" si="42">"B-BCP - Dolares"</f>
        <v>B-BCP - Dolares</v>
      </c>
      <c r="C227" s="3" t="s">
        <v>1330</v>
      </c>
      <c r="D227" s="14">
        <v>45827</v>
      </c>
      <c r="E227" s="5" t="s">
        <v>1331</v>
      </c>
      <c r="F227" s="5" t="s">
        <v>1336</v>
      </c>
      <c r="G227" s="6" t="s">
        <v>778</v>
      </c>
      <c r="H227" s="6"/>
      <c r="I227" s="6"/>
      <c r="J227" s="6"/>
      <c r="K227" s="7" t="s">
        <v>4999</v>
      </c>
      <c r="L227" s="8">
        <v>107813</v>
      </c>
      <c r="M227" s="8" t="str">
        <f t="shared" ref="M227:M253" si="43">"USD"</f>
        <v>USD</v>
      </c>
      <c r="N227" s="13"/>
      <c r="O227" s="13">
        <v>1012.11</v>
      </c>
      <c r="P227" s="3">
        <f t="shared" si="34"/>
        <v>0</v>
      </c>
      <c r="Q227" s="3">
        <f t="shared" si="35"/>
        <v>1012.11</v>
      </c>
      <c r="R227" s="3">
        <f t="shared" si="33"/>
        <v>10040.550000000001</v>
      </c>
      <c r="S227" s="24" t="s">
        <v>1334</v>
      </c>
      <c r="T227" s="24"/>
      <c r="U227" s="61"/>
      <c r="V227" s="3" t="s">
        <v>4905</v>
      </c>
      <c r="W227" s="3"/>
      <c r="X227" s="3"/>
      <c r="Y227" s="3"/>
      <c r="Z227" s="3"/>
      <c r="AA227" s="3" t="str">
        <f>IF(BCP_Dolares[[#This Row],[fecha]]&gt;0,TEXT(BCP_Dolares[[#This Row],[fecha]],"mmmm"),0)</f>
        <v>Junio</v>
      </c>
    </row>
    <row r="228" spans="1:27" ht="24" x14ac:dyDescent="0.3">
      <c r="A228" s="2" t="str">
        <f>IF(BCP_Dolares[[#This Row],[tipo_registro]]="R",COUNTIFS($C$1:$C227,"R")+1,"")</f>
        <v/>
      </c>
      <c r="B228" s="19" t="str">
        <f>"B-BCP - Dolares"</f>
        <v>B-BCP - Dolares</v>
      </c>
      <c r="C228" s="3" t="s">
        <v>1352</v>
      </c>
      <c r="D228" s="14">
        <v>45827</v>
      </c>
      <c r="E228" s="5" t="s">
        <v>1331</v>
      </c>
      <c r="F228" s="5"/>
      <c r="G228" s="6" t="s">
        <v>778</v>
      </c>
      <c r="H228" s="6" t="s">
        <v>68</v>
      </c>
      <c r="I228" s="6" t="s">
        <v>3078</v>
      </c>
      <c r="J228" s="6">
        <v>163340</v>
      </c>
      <c r="K228" s="7" t="s">
        <v>4999</v>
      </c>
      <c r="L228" s="8">
        <v>107813</v>
      </c>
      <c r="M228" s="8" t="str">
        <f>"USD"</f>
        <v>USD</v>
      </c>
      <c r="N228" s="13">
        <v>1010.25</v>
      </c>
      <c r="O228" s="13"/>
      <c r="P228" s="3">
        <f t="shared" si="34"/>
        <v>0</v>
      </c>
      <c r="Q228" s="3">
        <f t="shared" si="35"/>
        <v>0</v>
      </c>
      <c r="R228" s="3">
        <f t="shared" si="33"/>
        <v>10040.550000000001</v>
      </c>
      <c r="S228" s="24" t="s">
        <v>1334</v>
      </c>
      <c r="T228" s="24"/>
      <c r="U228" s="61"/>
      <c r="V228" s="3"/>
      <c r="W228" s="3"/>
      <c r="X228" s="3"/>
      <c r="Y228" s="3"/>
      <c r="Z228" s="3"/>
      <c r="AA228" s="3" t="str">
        <f>IF(BCP_Dolares[[#This Row],[fecha]]&gt;0,TEXT(BCP_Dolares[[#This Row],[fecha]],"mmmm"),0)</f>
        <v>Junio</v>
      </c>
    </row>
    <row r="229" spans="1:27" ht="24" x14ac:dyDescent="0.3">
      <c r="A229" s="2" t="str">
        <f>IF(BCP_Dolares[[#This Row],[tipo_registro]]="R",COUNTIFS($C$1:$C228,"R")+1,"")</f>
        <v/>
      </c>
      <c r="B229" s="19" t="str">
        <f>"B-BCP - Dolares"</f>
        <v>B-BCP - Dolares</v>
      </c>
      <c r="C229" s="3" t="s">
        <v>1352</v>
      </c>
      <c r="D229" s="14">
        <v>45827</v>
      </c>
      <c r="E229" s="5" t="s">
        <v>1331</v>
      </c>
      <c r="F229" s="5"/>
      <c r="G229" s="6" t="s">
        <v>778</v>
      </c>
      <c r="H229" s="6" t="s">
        <v>68</v>
      </c>
      <c r="I229" s="6" t="s">
        <v>3078</v>
      </c>
      <c r="J229" s="6">
        <v>163341</v>
      </c>
      <c r="K229" s="7" t="s">
        <v>4999</v>
      </c>
      <c r="L229" s="8">
        <v>107813</v>
      </c>
      <c r="M229" s="8" t="str">
        <f>"USD"</f>
        <v>USD</v>
      </c>
      <c r="N229" s="13">
        <v>1.86</v>
      </c>
      <c r="O229" s="13"/>
      <c r="P229" s="3">
        <f t="shared" si="34"/>
        <v>0</v>
      </c>
      <c r="Q229" s="3">
        <f t="shared" si="35"/>
        <v>0</v>
      </c>
      <c r="R229" s="3">
        <f t="shared" si="33"/>
        <v>10040.550000000001</v>
      </c>
      <c r="S229" s="24" t="s">
        <v>1334</v>
      </c>
      <c r="T229" s="24"/>
      <c r="U229" s="61"/>
      <c r="V229" s="3"/>
      <c r="W229" s="3"/>
      <c r="X229" s="3"/>
      <c r="Y229" s="3"/>
      <c r="Z229" s="3"/>
      <c r="AA229" s="3" t="str">
        <f>IF(BCP_Dolares[[#This Row],[fecha]]&gt;0,TEXT(BCP_Dolares[[#This Row],[fecha]],"mmmm"),0)</f>
        <v>Junio</v>
      </c>
    </row>
    <row r="230" spans="1:27" ht="36" x14ac:dyDescent="0.3">
      <c r="A230" s="2">
        <f>IF(BCP_Dolares[[#This Row],[tipo_registro]]="R",COUNTIFS($C$1:$C229,"R")+1,"")</f>
        <v>98</v>
      </c>
      <c r="B230" s="19" t="str">
        <f t="shared" si="42"/>
        <v>B-BCP - Dolares</v>
      </c>
      <c r="C230" s="3" t="s">
        <v>1330</v>
      </c>
      <c r="D230" s="14">
        <v>45827</v>
      </c>
      <c r="E230" s="5" t="s">
        <v>1331</v>
      </c>
      <c r="F230" s="5" t="s">
        <v>1336</v>
      </c>
      <c r="G230" s="6"/>
      <c r="H230" s="6"/>
      <c r="I230" s="6"/>
      <c r="J230" s="6"/>
      <c r="K230" s="7" t="s">
        <v>5000</v>
      </c>
      <c r="L230" s="8">
        <v>9414973</v>
      </c>
      <c r="M230" s="8" t="str">
        <f t="shared" si="43"/>
        <v>USD</v>
      </c>
      <c r="N230" s="13"/>
      <c r="O230" s="13">
        <v>284.77999999999997</v>
      </c>
      <c r="P230" s="3">
        <f t="shared" si="34"/>
        <v>0</v>
      </c>
      <c r="Q230" s="3">
        <f t="shared" si="35"/>
        <v>284.77999999999997</v>
      </c>
      <c r="R230" s="3">
        <f t="shared" si="33"/>
        <v>9755.77</v>
      </c>
      <c r="S230" s="24" t="s">
        <v>1334</v>
      </c>
      <c r="T230" s="24" t="s">
        <v>1334</v>
      </c>
      <c r="U230" s="61"/>
      <c r="V230" s="3" t="s">
        <v>4994</v>
      </c>
      <c r="W230" s="3" t="s">
        <v>5001</v>
      </c>
      <c r="X230" s="3"/>
      <c r="Y230" s="3"/>
      <c r="Z230" s="3"/>
      <c r="AA230" s="3" t="str">
        <f>IF(BCP_Dolares[[#This Row],[fecha]]&gt;0,TEXT(BCP_Dolares[[#This Row],[fecha]],"mmmm"),0)</f>
        <v>Junio</v>
      </c>
    </row>
    <row r="231" spans="1:27" ht="24" x14ac:dyDescent="0.3">
      <c r="A231" s="2" t="str">
        <f>IF(BCP_Dolares[[#This Row],[tipo_registro]]="R",COUNTIFS($C$1:$C230,"R")+1,"")</f>
        <v/>
      </c>
      <c r="B231" s="19" t="str">
        <f>"B-BCP - Dolares"</f>
        <v>B-BCP - Dolares</v>
      </c>
      <c r="C231" s="3" t="s">
        <v>1352</v>
      </c>
      <c r="D231" s="14">
        <v>45827</v>
      </c>
      <c r="E231" s="5" t="s">
        <v>1331</v>
      </c>
      <c r="F231" s="5"/>
      <c r="G231" s="6" t="s">
        <v>204</v>
      </c>
      <c r="H231" s="6" t="s">
        <v>68</v>
      </c>
      <c r="I231" s="6" t="s">
        <v>1390</v>
      </c>
      <c r="J231" s="6">
        <v>16109</v>
      </c>
      <c r="K231" s="7" t="s">
        <v>5000</v>
      </c>
      <c r="L231" s="8">
        <v>9414973</v>
      </c>
      <c r="M231" s="8" t="str">
        <f>"USD"</f>
        <v>USD</v>
      </c>
      <c r="N231" s="13">
        <v>114.94</v>
      </c>
      <c r="O231" s="13"/>
      <c r="P231" s="3">
        <f t="shared" si="34"/>
        <v>0</v>
      </c>
      <c r="Q231" s="3">
        <f t="shared" si="35"/>
        <v>0</v>
      </c>
      <c r="R231" s="3">
        <f t="shared" si="33"/>
        <v>9755.77</v>
      </c>
      <c r="S231" s="24"/>
      <c r="T231" s="24" t="s">
        <v>1334</v>
      </c>
      <c r="U231" s="61"/>
      <c r="V231" s="3"/>
      <c r="W231" s="3"/>
      <c r="X231" s="3"/>
      <c r="Y231" s="3"/>
      <c r="Z231" s="3"/>
      <c r="AA231" s="3" t="str">
        <f>IF(BCP_Dolares[[#This Row],[fecha]]&gt;0,TEXT(BCP_Dolares[[#This Row],[fecha]],"mmmm"),0)</f>
        <v>Junio</v>
      </c>
    </row>
    <row r="232" spans="1:27" ht="24" x14ac:dyDescent="0.3">
      <c r="A232" s="2" t="str">
        <f>IF(BCP_Dolares[[#This Row],[tipo_registro]]="R",COUNTIFS($C$1:$C231,"R")+1,"")</f>
        <v/>
      </c>
      <c r="B232" s="19" t="str">
        <f>"B-BCP - Dolares"</f>
        <v>B-BCP - Dolares</v>
      </c>
      <c r="C232" s="3" t="s">
        <v>1352</v>
      </c>
      <c r="D232" s="14">
        <v>45827</v>
      </c>
      <c r="E232" s="5" t="s">
        <v>1331</v>
      </c>
      <c r="F232" s="5"/>
      <c r="G232" s="6" t="s">
        <v>204</v>
      </c>
      <c r="H232" s="6" t="s">
        <v>68</v>
      </c>
      <c r="I232" s="6" t="s">
        <v>1390</v>
      </c>
      <c r="J232" s="6">
        <v>16104</v>
      </c>
      <c r="K232" s="7" t="s">
        <v>5000</v>
      </c>
      <c r="L232" s="8">
        <v>9414973</v>
      </c>
      <c r="M232" s="8" t="str">
        <f>"USD"</f>
        <v>USD</v>
      </c>
      <c r="N232" s="13">
        <v>71.09</v>
      </c>
      <c r="O232" s="13"/>
      <c r="P232" s="3">
        <f t="shared" si="34"/>
        <v>0</v>
      </c>
      <c r="Q232" s="3">
        <f t="shared" si="35"/>
        <v>0</v>
      </c>
      <c r="R232" s="3">
        <f t="shared" si="33"/>
        <v>9755.77</v>
      </c>
      <c r="S232" s="24"/>
      <c r="T232" s="24" t="s">
        <v>1334</v>
      </c>
      <c r="U232" s="61"/>
      <c r="V232" s="3"/>
      <c r="W232" s="3"/>
      <c r="X232" s="3"/>
      <c r="Y232" s="3"/>
      <c r="Z232" s="3"/>
      <c r="AA232" s="3" t="str">
        <f>IF(BCP_Dolares[[#This Row],[fecha]]&gt;0,TEXT(BCP_Dolares[[#This Row],[fecha]],"mmmm"),0)</f>
        <v>Junio</v>
      </c>
    </row>
    <row r="233" spans="1:27" ht="24" x14ac:dyDescent="0.3">
      <c r="A233" s="2" t="str">
        <f>IF(BCP_Dolares[[#This Row],[tipo_registro]]="R",COUNTIFS($C$1:$C232,"R")+1,"")</f>
        <v/>
      </c>
      <c r="B233" s="19" t="str">
        <f>"B-BCP - Dolares"</f>
        <v>B-BCP - Dolares</v>
      </c>
      <c r="C233" s="3" t="s">
        <v>1352</v>
      </c>
      <c r="D233" s="14">
        <v>45827</v>
      </c>
      <c r="E233" s="5" t="s">
        <v>1331</v>
      </c>
      <c r="F233" s="5"/>
      <c r="G233" s="6" t="s">
        <v>204</v>
      </c>
      <c r="H233" s="6" t="s">
        <v>68</v>
      </c>
      <c r="I233" s="6" t="s">
        <v>1390</v>
      </c>
      <c r="J233" s="6">
        <v>16224</v>
      </c>
      <c r="K233" s="7" t="s">
        <v>5000</v>
      </c>
      <c r="L233" s="8">
        <v>9414973</v>
      </c>
      <c r="M233" s="8" t="str">
        <f>"USD"</f>
        <v>USD</v>
      </c>
      <c r="N233" s="13">
        <v>98.75</v>
      </c>
      <c r="O233" s="13"/>
      <c r="P233" s="3">
        <f t="shared" si="34"/>
        <v>0</v>
      </c>
      <c r="Q233" s="3">
        <f t="shared" si="35"/>
        <v>0</v>
      </c>
      <c r="R233" s="3">
        <f t="shared" si="33"/>
        <v>9755.77</v>
      </c>
      <c r="S233" s="24"/>
      <c r="T233" s="24" t="s">
        <v>1334</v>
      </c>
      <c r="U233" s="61"/>
      <c r="V233" s="3"/>
      <c r="W233" s="3"/>
      <c r="X233" s="3"/>
      <c r="Y233" s="3"/>
      <c r="Z233" s="3"/>
      <c r="AA233" s="3" t="str">
        <f>IF(BCP_Dolares[[#This Row],[fecha]]&gt;0,TEXT(BCP_Dolares[[#This Row],[fecha]],"mmmm"),0)</f>
        <v>Junio</v>
      </c>
    </row>
    <row r="234" spans="1:27" x14ac:dyDescent="0.3">
      <c r="A234" s="2">
        <f>IF(BCP_Dolares[[#This Row],[tipo_registro]]="R",COUNTIFS($C$1:$C233,"R")+1,"")</f>
        <v>99</v>
      </c>
      <c r="B234" s="19" t="str">
        <f t="shared" si="42"/>
        <v>B-BCP - Dolares</v>
      </c>
      <c r="C234" s="3" t="s">
        <v>1330</v>
      </c>
      <c r="D234" s="14">
        <v>45827</v>
      </c>
      <c r="E234" s="5" t="s">
        <v>425</v>
      </c>
      <c r="F234" s="5" t="s">
        <v>1303</v>
      </c>
      <c r="G234" s="6"/>
      <c r="H234" s="6"/>
      <c r="I234" s="6"/>
      <c r="J234" s="6"/>
      <c r="K234" s="7" t="s">
        <v>5002</v>
      </c>
      <c r="L234" s="8">
        <v>2226237</v>
      </c>
      <c r="M234" s="8" t="str">
        <f t="shared" si="43"/>
        <v>USD</v>
      </c>
      <c r="N234" s="13"/>
      <c r="O234" s="13">
        <v>25000</v>
      </c>
      <c r="P234" s="3">
        <f t="shared" si="34"/>
        <v>25000</v>
      </c>
      <c r="Q234" s="3">
        <f t="shared" si="35"/>
        <v>0</v>
      </c>
      <c r="R234" s="3">
        <f t="shared" si="33"/>
        <v>34755.770000000004</v>
      </c>
      <c r="S234" s="24" t="s">
        <v>1334</v>
      </c>
      <c r="T234" s="24" t="s">
        <v>1334</v>
      </c>
      <c r="U234" s="61"/>
      <c r="V234" s="3"/>
      <c r="W234" s="3"/>
      <c r="X234" s="3"/>
      <c r="Y234" s="3"/>
      <c r="Z234" s="3"/>
      <c r="AA234" s="3" t="str">
        <f>IF(BCP_Dolares[[#This Row],[fecha]]&gt;0,TEXT(BCP_Dolares[[#This Row],[fecha]],"mmmm"),0)</f>
        <v>Junio</v>
      </c>
    </row>
    <row r="235" spans="1:27" x14ac:dyDescent="0.3">
      <c r="A235" s="2">
        <f>IF(BCP_Dolares[[#This Row],[tipo_registro]]="R",COUNTIFS($C$1:$C234,"R")+1,"")</f>
        <v>100</v>
      </c>
      <c r="B235" s="19" t="str">
        <f t="shared" si="42"/>
        <v>B-BCP - Dolares</v>
      </c>
      <c r="C235" s="3" t="s">
        <v>1330</v>
      </c>
      <c r="D235" s="14">
        <v>45827</v>
      </c>
      <c r="E235" s="5" t="s">
        <v>425</v>
      </c>
      <c r="F235" s="5" t="s">
        <v>1303</v>
      </c>
      <c r="G235" s="6"/>
      <c r="H235" s="6"/>
      <c r="I235" s="6"/>
      <c r="J235" s="6"/>
      <c r="K235" s="7" t="s">
        <v>5002</v>
      </c>
      <c r="L235" s="8">
        <v>2227887</v>
      </c>
      <c r="M235" s="8" t="str">
        <f t="shared" si="43"/>
        <v>USD</v>
      </c>
      <c r="N235" s="13"/>
      <c r="O235" s="13">
        <v>250</v>
      </c>
      <c r="P235" s="3">
        <f t="shared" si="34"/>
        <v>250</v>
      </c>
      <c r="Q235" s="3">
        <f t="shared" si="35"/>
        <v>0</v>
      </c>
      <c r="R235" s="3">
        <f t="shared" si="33"/>
        <v>35005.770000000004</v>
      </c>
      <c r="S235" s="24" t="s">
        <v>1334</v>
      </c>
      <c r="T235" s="24" t="s">
        <v>1334</v>
      </c>
      <c r="U235" s="61"/>
      <c r="V235" s="3"/>
      <c r="W235" s="3"/>
      <c r="X235" s="3"/>
      <c r="Y235" s="3"/>
      <c r="Z235" s="3"/>
      <c r="AA235" s="3" t="str">
        <f>IF(BCP_Dolares[[#This Row],[fecha]]&gt;0,TEXT(BCP_Dolares[[#This Row],[fecha]],"mmmm"),0)</f>
        <v>Junio</v>
      </c>
    </row>
    <row r="236" spans="1:27" ht="36" x14ac:dyDescent="0.3">
      <c r="A236" s="2">
        <f>IF(BCP_Dolares[[#This Row],[tipo_registro]]="R",COUNTIFS($C$1:$C235,"R")+1,"")</f>
        <v>101</v>
      </c>
      <c r="B236" s="19" t="str">
        <f t="shared" si="42"/>
        <v>B-BCP - Dolares</v>
      </c>
      <c r="C236" s="3" t="s">
        <v>1330</v>
      </c>
      <c r="D236" s="14">
        <v>45827</v>
      </c>
      <c r="E236" s="5" t="s">
        <v>1331</v>
      </c>
      <c r="F236" s="5" t="s">
        <v>1336</v>
      </c>
      <c r="G236" s="6" t="s">
        <v>248</v>
      </c>
      <c r="H236" s="6" t="s">
        <v>68</v>
      </c>
      <c r="I236" s="6" t="s">
        <v>4966</v>
      </c>
      <c r="J236" s="6">
        <v>1025</v>
      </c>
      <c r="K236" s="7" t="s">
        <v>5003</v>
      </c>
      <c r="L236" s="8">
        <v>1228156</v>
      </c>
      <c r="M236" s="8" t="str">
        <f t="shared" si="43"/>
        <v>USD</v>
      </c>
      <c r="N236" s="13"/>
      <c r="O236" s="13">
        <v>35000</v>
      </c>
      <c r="P236" s="3">
        <f t="shared" si="34"/>
        <v>0</v>
      </c>
      <c r="Q236" s="3">
        <f t="shared" si="35"/>
        <v>35000</v>
      </c>
      <c r="R236" s="3">
        <f t="shared" si="33"/>
        <v>5.7700000000040745</v>
      </c>
      <c r="S236" s="24" t="s">
        <v>1334</v>
      </c>
      <c r="T236" s="24" t="s">
        <v>1334</v>
      </c>
      <c r="U236" s="61"/>
      <c r="V236" s="3" t="s">
        <v>248</v>
      </c>
      <c r="W236" s="3" t="s">
        <v>4968</v>
      </c>
      <c r="X236" s="3"/>
      <c r="Y236" s="3"/>
      <c r="Z236" s="3"/>
      <c r="AA236" s="3" t="str">
        <f>IF(BCP_Dolares[[#This Row],[fecha]]&gt;0,TEXT(BCP_Dolares[[#This Row],[fecha]],"mmmm"),0)</f>
        <v>Junio</v>
      </c>
    </row>
    <row r="237" spans="1:27" x14ac:dyDescent="0.3">
      <c r="A237" s="2">
        <f>IF(BCP_Dolares[[#This Row],[tipo_registro]]="R",COUNTIFS($C$1:$C236,"R")+1,"")</f>
        <v>102</v>
      </c>
      <c r="B237" s="19" t="str">
        <f t="shared" si="42"/>
        <v>B-BCP - Dolares</v>
      </c>
      <c r="C237" s="3" t="s">
        <v>1330</v>
      </c>
      <c r="D237" s="14">
        <v>45827</v>
      </c>
      <c r="E237" s="5" t="s">
        <v>1335</v>
      </c>
      <c r="F237" s="5" t="s">
        <v>1336</v>
      </c>
      <c r="G237" s="6"/>
      <c r="H237" s="6"/>
      <c r="I237" s="6"/>
      <c r="J237" s="6"/>
      <c r="K237" s="7" t="s">
        <v>3160</v>
      </c>
      <c r="L237" s="8"/>
      <c r="M237" s="8" t="str">
        <f t="shared" si="43"/>
        <v>USD</v>
      </c>
      <c r="N237" s="13"/>
      <c r="O237" s="13">
        <v>1.8</v>
      </c>
      <c r="P237" s="3">
        <f t="shared" si="34"/>
        <v>0</v>
      </c>
      <c r="Q237" s="3">
        <f t="shared" si="35"/>
        <v>1.8</v>
      </c>
      <c r="R237" s="3">
        <f t="shared" si="33"/>
        <v>3.9700000000040747</v>
      </c>
      <c r="S237" s="24" t="s">
        <v>1334</v>
      </c>
      <c r="T237" s="24" t="s">
        <v>1334</v>
      </c>
      <c r="U237" s="61"/>
      <c r="V237" s="3"/>
      <c r="W237" s="3"/>
      <c r="X237" s="3"/>
      <c r="Y237" s="3"/>
      <c r="Z237" s="3"/>
      <c r="AA237" s="3" t="str">
        <f>IF(BCP_Dolares[[#This Row],[fecha]]&gt;0,TEXT(BCP_Dolares[[#This Row],[fecha]],"mmmm"),0)</f>
        <v>Junio</v>
      </c>
    </row>
    <row r="238" spans="1:27" x14ac:dyDescent="0.3">
      <c r="A238" s="2">
        <f>IF(BCP_Dolares[[#This Row],[tipo_registro]]="R",COUNTIFS($C$1:$C237,"R")+1,"")</f>
        <v>103</v>
      </c>
      <c r="B238" s="19" t="str">
        <f t="shared" si="42"/>
        <v>B-BCP - Dolares</v>
      </c>
      <c r="C238" s="3" t="s">
        <v>1330</v>
      </c>
      <c r="D238" s="14">
        <v>45833</v>
      </c>
      <c r="E238" s="5" t="s">
        <v>1331</v>
      </c>
      <c r="F238" s="5" t="s">
        <v>1303</v>
      </c>
      <c r="G238" s="6" t="s">
        <v>425</v>
      </c>
      <c r="H238" s="6"/>
      <c r="I238" s="6"/>
      <c r="J238" s="6"/>
      <c r="K238" s="7" t="s">
        <v>3580</v>
      </c>
      <c r="L238" s="8">
        <v>2146809</v>
      </c>
      <c r="M238" s="8" t="str">
        <f t="shared" si="43"/>
        <v>USD</v>
      </c>
      <c r="N238" s="13"/>
      <c r="O238" s="13">
        <v>750</v>
      </c>
      <c r="P238" s="3">
        <f t="shared" si="34"/>
        <v>750</v>
      </c>
      <c r="Q238" s="3">
        <f t="shared" si="35"/>
        <v>0</v>
      </c>
      <c r="R238" s="3">
        <f t="shared" si="33"/>
        <v>753.97000000000412</v>
      </c>
      <c r="S238" s="24" t="s">
        <v>1334</v>
      </c>
      <c r="T238" s="24" t="s">
        <v>1334</v>
      </c>
      <c r="U238" s="61"/>
      <c r="V238" s="3"/>
      <c r="W238" s="3"/>
      <c r="X238" s="3"/>
      <c r="Y238" s="3"/>
      <c r="Z238" s="3"/>
      <c r="AA238" s="3" t="str">
        <f>IF(BCP_Dolares[[#This Row],[fecha]]&gt;0,TEXT(BCP_Dolares[[#This Row],[fecha]],"mmmm"),0)</f>
        <v>Junio</v>
      </c>
    </row>
    <row r="239" spans="1:27" x14ac:dyDescent="0.3">
      <c r="A239" s="2">
        <f>IF(BCP_Dolares[[#This Row],[tipo_registro]]="R",COUNTIFS($C$1:$C238,"R")+1,"")</f>
        <v>104</v>
      </c>
      <c r="B239" s="19" t="str">
        <f t="shared" si="42"/>
        <v>B-BCP - Dolares</v>
      </c>
      <c r="C239" s="3" t="s">
        <v>1330</v>
      </c>
      <c r="D239" s="14">
        <v>45833</v>
      </c>
      <c r="E239" s="5" t="s">
        <v>1331</v>
      </c>
      <c r="F239" s="5" t="s">
        <v>1336</v>
      </c>
      <c r="G239" s="6"/>
      <c r="H239" s="6"/>
      <c r="I239" s="6"/>
      <c r="J239" s="6"/>
      <c r="K239" s="7" t="s">
        <v>5004</v>
      </c>
      <c r="L239" s="8">
        <v>1483272</v>
      </c>
      <c r="M239" s="8" t="str">
        <f t="shared" si="43"/>
        <v>USD</v>
      </c>
      <c r="N239" s="13"/>
      <c r="O239" s="13">
        <v>699.56</v>
      </c>
      <c r="P239" s="3">
        <f t="shared" si="34"/>
        <v>0</v>
      </c>
      <c r="Q239" s="3">
        <f t="shared" si="35"/>
        <v>699.56</v>
      </c>
      <c r="R239" s="3">
        <f t="shared" si="33"/>
        <v>54.410000000004175</v>
      </c>
      <c r="S239" s="24" t="s">
        <v>1334</v>
      </c>
      <c r="T239" s="24" t="s">
        <v>1334</v>
      </c>
      <c r="U239" s="61"/>
      <c r="V239" s="3" t="s">
        <v>4923</v>
      </c>
      <c r="W239" s="3"/>
      <c r="X239" s="3"/>
      <c r="Y239" s="3"/>
      <c r="Z239" s="3"/>
      <c r="AA239" s="3" t="str">
        <f>IF(BCP_Dolares[[#This Row],[fecha]]&gt;0,TEXT(BCP_Dolares[[#This Row],[fecha]],"mmmm"),0)</f>
        <v>Junio</v>
      </c>
    </row>
    <row r="240" spans="1:27" ht="24" x14ac:dyDescent="0.3">
      <c r="A240" s="2" t="str">
        <f>IF(BCP_Dolares[[#This Row],[tipo_registro]]="R",COUNTIFS($C$1:$C239,"R")+1,"")</f>
        <v/>
      </c>
      <c r="B240" s="19" t="str">
        <f t="shared" ref="B240:B247" si="44">"B-BCP - Dolares"</f>
        <v>B-BCP - Dolares</v>
      </c>
      <c r="C240" s="3" t="s">
        <v>1352</v>
      </c>
      <c r="D240" s="14">
        <v>45833</v>
      </c>
      <c r="E240" s="5" t="s">
        <v>1331</v>
      </c>
      <c r="F240" s="5"/>
      <c r="G240" s="6" t="s">
        <v>204</v>
      </c>
      <c r="H240" s="6" t="s">
        <v>68</v>
      </c>
      <c r="I240" s="6" t="s">
        <v>1390</v>
      </c>
      <c r="J240" s="6">
        <v>16134</v>
      </c>
      <c r="K240" s="7" t="s">
        <v>5004</v>
      </c>
      <c r="L240" s="8">
        <v>1483272</v>
      </c>
      <c r="M240" s="8" t="str">
        <f t="shared" ref="M240:M247" si="45">"USD"</f>
        <v>USD</v>
      </c>
      <c r="N240" s="13">
        <v>48.25</v>
      </c>
      <c r="O240" s="13"/>
      <c r="P240" s="3">
        <f t="shared" si="34"/>
        <v>0</v>
      </c>
      <c r="Q240" s="3">
        <f t="shared" si="35"/>
        <v>0</v>
      </c>
      <c r="R240" s="3">
        <f t="shared" si="33"/>
        <v>54.410000000004175</v>
      </c>
      <c r="S240" s="24"/>
      <c r="T240" s="24" t="s">
        <v>1334</v>
      </c>
      <c r="U240" s="61"/>
      <c r="V240" s="3"/>
      <c r="W240" s="3"/>
      <c r="X240" s="3"/>
      <c r="Y240" s="3"/>
      <c r="Z240" s="3"/>
      <c r="AA240" s="3" t="str">
        <f>IF(BCP_Dolares[[#This Row],[fecha]]&gt;0,TEXT(BCP_Dolares[[#This Row],[fecha]],"mmmm"),0)</f>
        <v>Junio</v>
      </c>
    </row>
    <row r="241" spans="1:27" ht="24" x14ac:dyDescent="0.3">
      <c r="A241" s="2" t="str">
        <f>IF(BCP_Dolares[[#This Row],[tipo_registro]]="R",COUNTIFS($C$1:$C240,"R")+1,"")</f>
        <v/>
      </c>
      <c r="B241" s="19" t="str">
        <f t="shared" si="44"/>
        <v>B-BCP - Dolares</v>
      </c>
      <c r="C241" s="3" t="s">
        <v>1352</v>
      </c>
      <c r="D241" s="14">
        <v>45833</v>
      </c>
      <c r="E241" s="5" t="s">
        <v>1331</v>
      </c>
      <c r="F241" s="5"/>
      <c r="G241" s="6" t="s">
        <v>204</v>
      </c>
      <c r="H241" s="6" t="s">
        <v>68</v>
      </c>
      <c r="I241" s="6" t="s">
        <v>1390</v>
      </c>
      <c r="J241" s="6">
        <v>16155</v>
      </c>
      <c r="K241" s="7" t="s">
        <v>5004</v>
      </c>
      <c r="L241" s="8">
        <v>1483272</v>
      </c>
      <c r="M241" s="8" t="str">
        <f t="shared" si="45"/>
        <v>USD</v>
      </c>
      <c r="N241" s="13">
        <v>59.45</v>
      </c>
      <c r="O241" s="13"/>
      <c r="P241" s="3">
        <f t="shared" si="34"/>
        <v>0</v>
      </c>
      <c r="Q241" s="3">
        <f t="shared" si="35"/>
        <v>0</v>
      </c>
      <c r="R241" s="3">
        <f t="shared" si="33"/>
        <v>54.410000000004175</v>
      </c>
      <c r="S241" s="24"/>
      <c r="T241" s="24" t="s">
        <v>1334</v>
      </c>
      <c r="U241" s="61"/>
      <c r="V241" s="3"/>
      <c r="W241" s="3"/>
      <c r="X241" s="3"/>
      <c r="Y241" s="3"/>
      <c r="Z241" s="3"/>
      <c r="AA241" s="3" t="str">
        <f>IF(BCP_Dolares[[#This Row],[fecha]]&gt;0,TEXT(BCP_Dolares[[#This Row],[fecha]],"mmmm"),0)</f>
        <v>Junio</v>
      </c>
    </row>
    <row r="242" spans="1:27" ht="24" x14ac:dyDescent="0.3">
      <c r="A242" s="2" t="str">
        <f>IF(BCP_Dolares[[#This Row],[tipo_registro]]="R",COUNTIFS($C$1:$C241,"R")+1,"")</f>
        <v/>
      </c>
      <c r="B242" s="19" t="str">
        <f t="shared" si="44"/>
        <v>B-BCP - Dolares</v>
      </c>
      <c r="C242" s="3" t="s">
        <v>1352</v>
      </c>
      <c r="D242" s="14">
        <v>45833</v>
      </c>
      <c r="E242" s="5" t="s">
        <v>1331</v>
      </c>
      <c r="F242" s="5"/>
      <c r="G242" s="6" t="s">
        <v>204</v>
      </c>
      <c r="H242" s="6" t="s">
        <v>68</v>
      </c>
      <c r="I242" s="6" t="s">
        <v>1390</v>
      </c>
      <c r="J242" s="6">
        <v>16146</v>
      </c>
      <c r="K242" s="7" t="s">
        <v>5004</v>
      </c>
      <c r="L242" s="8">
        <v>1483272</v>
      </c>
      <c r="M242" s="8" t="str">
        <f t="shared" si="45"/>
        <v>USD</v>
      </c>
      <c r="N242" s="13">
        <v>46.34</v>
      </c>
      <c r="O242" s="13"/>
      <c r="P242" s="3">
        <f t="shared" si="34"/>
        <v>0</v>
      </c>
      <c r="Q242" s="3">
        <f t="shared" si="35"/>
        <v>0</v>
      </c>
      <c r="R242" s="3">
        <f t="shared" si="33"/>
        <v>54.410000000004175</v>
      </c>
      <c r="S242" s="24"/>
      <c r="T242" s="24" t="s">
        <v>1334</v>
      </c>
      <c r="U242" s="61"/>
      <c r="V242" s="3"/>
      <c r="W242" s="3"/>
      <c r="X242" s="3"/>
      <c r="Y242" s="3"/>
      <c r="Z242" s="3"/>
      <c r="AA242" s="3" t="str">
        <f>IF(BCP_Dolares[[#This Row],[fecha]]&gt;0,TEXT(BCP_Dolares[[#This Row],[fecha]],"mmmm"),0)</f>
        <v>Junio</v>
      </c>
    </row>
    <row r="243" spans="1:27" ht="24" x14ac:dyDescent="0.3">
      <c r="A243" s="2" t="str">
        <f>IF(BCP_Dolares[[#This Row],[tipo_registro]]="R",COUNTIFS($C$1:$C242,"R")+1,"")</f>
        <v/>
      </c>
      <c r="B243" s="19" t="str">
        <f t="shared" si="44"/>
        <v>B-BCP - Dolares</v>
      </c>
      <c r="C243" s="3" t="s">
        <v>1352</v>
      </c>
      <c r="D243" s="14">
        <v>45833</v>
      </c>
      <c r="E243" s="5" t="s">
        <v>1331</v>
      </c>
      <c r="F243" s="5"/>
      <c r="G243" s="6" t="s">
        <v>204</v>
      </c>
      <c r="H243" s="6" t="s">
        <v>68</v>
      </c>
      <c r="I243" s="6" t="s">
        <v>1390</v>
      </c>
      <c r="J243" s="6">
        <v>16132</v>
      </c>
      <c r="K243" s="7" t="s">
        <v>5004</v>
      </c>
      <c r="L243" s="8">
        <v>1483272</v>
      </c>
      <c r="M243" s="8" t="str">
        <f t="shared" si="45"/>
        <v>USD</v>
      </c>
      <c r="N243" s="13">
        <v>46.41</v>
      </c>
      <c r="O243" s="13"/>
      <c r="P243" s="3">
        <f t="shared" si="34"/>
        <v>0</v>
      </c>
      <c r="Q243" s="3">
        <f t="shared" si="35"/>
        <v>0</v>
      </c>
      <c r="R243" s="3">
        <f t="shared" si="33"/>
        <v>54.410000000004175</v>
      </c>
      <c r="S243" s="24"/>
      <c r="T243" s="24" t="s">
        <v>1334</v>
      </c>
      <c r="U243" s="61"/>
      <c r="V243" s="3"/>
      <c r="W243" s="3"/>
      <c r="X243" s="3"/>
      <c r="Y243" s="3"/>
      <c r="Z243" s="3"/>
      <c r="AA243" s="3" t="str">
        <f>IF(BCP_Dolares[[#This Row],[fecha]]&gt;0,TEXT(BCP_Dolares[[#This Row],[fecha]],"mmmm"),0)</f>
        <v>Junio</v>
      </c>
    </row>
    <row r="244" spans="1:27" ht="24" x14ac:dyDescent="0.3">
      <c r="A244" s="2" t="str">
        <f>IF(BCP_Dolares[[#This Row],[tipo_registro]]="R",COUNTIFS($C$1:$C243,"R")+1,"")</f>
        <v/>
      </c>
      <c r="B244" s="19" t="str">
        <f t="shared" si="44"/>
        <v>B-BCP - Dolares</v>
      </c>
      <c r="C244" s="3" t="s">
        <v>1352</v>
      </c>
      <c r="D244" s="14">
        <v>45833</v>
      </c>
      <c r="E244" s="5" t="s">
        <v>1331</v>
      </c>
      <c r="F244" s="5"/>
      <c r="G244" s="6" t="s">
        <v>204</v>
      </c>
      <c r="H244" s="6" t="s">
        <v>68</v>
      </c>
      <c r="I244" s="6" t="s">
        <v>1390</v>
      </c>
      <c r="J244" s="6">
        <v>16116</v>
      </c>
      <c r="K244" s="7" t="s">
        <v>5004</v>
      </c>
      <c r="L244" s="8">
        <v>1483272</v>
      </c>
      <c r="M244" s="8" t="str">
        <f t="shared" si="45"/>
        <v>USD</v>
      </c>
      <c r="N244" s="13">
        <v>93.24</v>
      </c>
      <c r="O244" s="13"/>
      <c r="P244" s="3">
        <f t="shared" si="34"/>
        <v>0</v>
      </c>
      <c r="Q244" s="3">
        <f t="shared" si="35"/>
        <v>0</v>
      </c>
      <c r="R244" s="3">
        <f t="shared" si="33"/>
        <v>54.410000000004175</v>
      </c>
      <c r="S244" s="24"/>
      <c r="T244" s="24" t="s">
        <v>1334</v>
      </c>
      <c r="U244" s="61"/>
      <c r="V244" s="3"/>
      <c r="W244" s="3"/>
      <c r="X244" s="3"/>
      <c r="Y244" s="3"/>
      <c r="Z244" s="3"/>
      <c r="AA244" s="3" t="str">
        <f>IF(BCP_Dolares[[#This Row],[fecha]]&gt;0,TEXT(BCP_Dolares[[#This Row],[fecha]],"mmmm"),0)</f>
        <v>Junio</v>
      </c>
    </row>
    <row r="245" spans="1:27" ht="24" x14ac:dyDescent="0.3">
      <c r="A245" s="2" t="str">
        <f>IF(BCP_Dolares[[#This Row],[tipo_registro]]="R",COUNTIFS($C$1:$C244,"R")+1,"")</f>
        <v/>
      </c>
      <c r="B245" s="19" t="str">
        <f t="shared" si="44"/>
        <v>B-BCP - Dolares</v>
      </c>
      <c r="C245" s="3" t="s">
        <v>1352</v>
      </c>
      <c r="D245" s="14">
        <v>45833</v>
      </c>
      <c r="E245" s="5" t="s">
        <v>1331</v>
      </c>
      <c r="F245" s="5"/>
      <c r="G245" s="6" t="s">
        <v>204</v>
      </c>
      <c r="H245" s="6" t="s">
        <v>68</v>
      </c>
      <c r="I245" s="6" t="s">
        <v>1390</v>
      </c>
      <c r="J245" s="6">
        <v>16171</v>
      </c>
      <c r="K245" s="7" t="s">
        <v>5004</v>
      </c>
      <c r="L245" s="8">
        <v>1483272</v>
      </c>
      <c r="M245" s="8" t="str">
        <f t="shared" si="45"/>
        <v>USD</v>
      </c>
      <c r="N245" s="13">
        <v>107.12</v>
      </c>
      <c r="O245" s="13"/>
      <c r="P245" s="3">
        <f t="shared" si="34"/>
        <v>0</v>
      </c>
      <c r="Q245" s="3">
        <f t="shared" si="35"/>
        <v>0</v>
      </c>
      <c r="R245" s="3">
        <f t="shared" si="33"/>
        <v>54.410000000004175</v>
      </c>
      <c r="S245" s="24"/>
      <c r="T245" s="24" t="s">
        <v>1334</v>
      </c>
      <c r="U245" s="61"/>
      <c r="V245" s="3"/>
      <c r="W245" s="3"/>
      <c r="X245" s="3"/>
      <c r="Y245" s="3"/>
      <c r="Z245" s="3"/>
      <c r="AA245" s="3" t="str">
        <f>IF(BCP_Dolares[[#This Row],[fecha]]&gt;0,TEXT(BCP_Dolares[[#This Row],[fecha]],"mmmm"),0)</f>
        <v>Junio</v>
      </c>
    </row>
    <row r="246" spans="1:27" ht="24" x14ac:dyDescent="0.3">
      <c r="A246" s="2" t="str">
        <f>IF(BCP_Dolares[[#This Row],[tipo_registro]]="R",COUNTIFS($C$1:$C245,"R")+1,"")</f>
        <v/>
      </c>
      <c r="B246" s="19" t="str">
        <f t="shared" si="44"/>
        <v>B-BCP - Dolares</v>
      </c>
      <c r="C246" s="3" t="s">
        <v>1352</v>
      </c>
      <c r="D246" s="14">
        <v>45833</v>
      </c>
      <c r="E246" s="5" t="s">
        <v>1331</v>
      </c>
      <c r="F246" s="5"/>
      <c r="G246" s="6" t="s">
        <v>204</v>
      </c>
      <c r="H246" s="6" t="s">
        <v>68</v>
      </c>
      <c r="I246" s="6" t="s">
        <v>1390</v>
      </c>
      <c r="J246" s="6">
        <v>16173</v>
      </c>
      <c r="K246" s="7" t="s">
        <v>5004</v>
      </c>
      <c r="L246" s="8">
        <v>1483272</v>
      </c>
      <c r="M246" s="8" t="str">
        <f t="shared" si="45"/>
        <v>USD</v>
      </c>
      <c r="N246" s="13">
        <v>60.83</v>
      </c>
      <c r="O246" s="13"/>
      <c r="P246" s="3">
        <f t="shared" si="34"/>
        <v>0</v>
      </c>
      <c r="Q246" s="3">
        <f t="shared" si="35"/>
        <v>0</v>
      </c>
      <c r="R246" s="3">
        <f t="shared" si="33"/>
        <v>54.410000000004175</v>
      </c>
      <c r="S246" s="24"/>
      <c r="T246" s="24" t="s">
        <v>1334</v>
      </c>
      <c r="U246" s="61"/>
      <c r="V246" s="3"/>
      <c r="W246" s="3"/>
      <c r="X246" s="3"/>
      <c r="Y246" s="3"/>
      <c r="Z246" s="3"/>
      <c r="AA246" s="3" t="str">
        <f>IF(BCP_Dolares[[#This Row],[fecha]]&gt;0,TEXT(BCP_Dolares[[#This Row],[fecha]],"mmmm"),0)</f>
        <v>Junio</v>
      </c>
    </row>
    <row r="247" spans="1:27" ht="48" x14ac:dyDescent="0.3">
      <c r="A247" s="2" t="str">
        <f>IF(BCP_Dolares[[#This Row],[tipo_registro]]="R",COUNTIFS($C$1:$C246,"R")+1,"")</f>
        <v/>
      </c>
      <c r="B247" s="19" t="str">
        <f t="shared" si="44"/>
        <v>B-BCP - Dolares</v>
      </c>
      <c r="C247" s="3" t="s">
        <v>1352</v>
      </c>
      <c r="D247" s="14">
        <v>45833</v>
      </c>
      <c r="E247" s="5" t="s">
        <v>1331</v>
      </c>
      <c r="F247" s="5"/>
      <c r="G247" s="6" t="s">
        <v>411</v>
      </c>
      <c r="H247" s="6" t="s">
        <v>68</v>
      </c>
      <c r="I247" s="6" t="s">
        <v>1374</v>
      </c>
      <c r="J247" s="6">
        <v>347</v>
      </c>
      <c r="K247" s="7" t="s">
        <v>5004</v>
      </c>
      <c r="L247" s="8">
        <v>1483272</v>
      </c>
      <c r="M247" s="8" t="str">
        <f t="shared" si="45"/>
        <v>USD</v>
      </c>
      <c r="N247" s="13">
        <v>237.92</v>
      </c>
      <c r="O247" s="13"/>
      <c r="P247" s="3">
        <f t="shared" si="34"/>
        <v>0</v>
      </c>
      <c r="Q247" s="3">
        <f t="shared" si="35"/>
        <v>0</v>
      </c>
      <c r="R247" s="3">
        <f t="shared" si="33"/>
        <v>54.410000000004175</v>
      </c>
      <c r="S247" s="24"/>
      <c r="T247" s="24" t="s">
        <v>1334</v>
      </c>
      <c r="U247" s="61"/>
      <c r="V247" s="3"/>
      <c r="W247" s="3"/>
      <c r="X247" s="3"/>
      <c r="Y247" s="3"/>
      <c r="Z247" s="3"/>
      <c r="AA247" s="3" t="str">
        <f>IF(BCP_Dolares[[#This Row],[fecha]]&gt;0,TEXT(BCP_Dolares[[#This Row],[fecha]],"mmmm"),0)</f>
        <v>Junio</v>
      </c>
    </row>
    <row r="248" spans="1:27" ht="24" x14ac:dyDescent="0.3">
      <c r="A248" s="2">
        <f>IF(BCP_Dolares[[#This Row],[tipo_registro]]="R",COUNTIFS($C$1:$C247,"R")+1,"")</f>
        <v>105</v>
      </c>
      <c r="B248" s="19" t="str">
        <f t="shared" si="42"/>
        <v>B-BCP - Dolares</v>
      </c>
      <c r="C248" s="3" t="s">
        <v>1330</v>
      </c>
      <c r="D248" s="14">
        <v>45833</v>
      </c>
      <c r="E248" s="5"/>
      <c r="F248" s="5" t="s">
        <v>1336</v>
      </c>
      <c r="G248" s="6" t="s">
        <v>1060</v>
      </c>
      <c r="H248" s="6" t="s">
        <v>68</v>
      </c>
      <c r="I248" s="6" t="s">
        <v>1397</v>
      </c>
      <c r="J248" s="6">
        <v>34107608</v>
      </c>
      <c r="K248" s="7" t="s">
        <v>5005</v>
      </c>
      <c r="L248" s="8">
        <v>1483293</v>
      </c>
      <c r="M248" s="8" t="str">
        <f t="shared" si="43"/>
        <v>USD</v>
      </c>
      <c r="N248" s="13"/>
      <c r="O248" s="13">
        <v>6.32</v>
      </c>
      <c r="P248" s="3">
        <f t="shared" si="34"/>
        <v>0</v>
      </c>
      <c r="Q248" s="3">
        <f t="shared" si="35"/>
        <v>6.32</v>
      </c>
      <c r="R248" s="3">
        <f t="shared" si="33"/>
        <v>48.090000000004174</v>
      </c>
      <c r="S248" s="24" t="s">
        <v>1334</v>
      </c>
      <c r="T248" s="24" t="s">
        <v>1334</v>
      </c>
      <c r="U248" s="61"/>
      <c r="V248" s="3" t="s">
        <v>1335</v>
      </c>
      <c r="W248" s="3"/>
      <c r="X248" s="3"/>
      <c r="Y248" s="3"/>
      <c r="Z248" s="3"/>
      <c r="AA248" s="3" t="str">
        <f>IF(BCP_Dolares[[#This Row],[fecha]]&gt;0,TEXT(BCP_Dolares[[#This Row],[fecha]],"mmmm"),0)</f>
        <v>Junio</v>
      </c>
    </row>
    <row r="249" spans="1:27" ht="24" x14ac:dyDescent="0.3">
      <c r="A249" s="2">
        <f>IF(BCP_Dolares[[#This Row],[tipo_registro]]="R",COUNTIFS($C$1:$C248,"R")+1,"")</f>
        <v>106</v>
      </c>
      <c r="B249" s="19" t="str">
        <f t="shared" si="42"/>
        <v>B-BCP - Dolares</v>
      </c>
      <c r="C249" s="3" t="s">
        <v>1330</v>
      </c>
      <c r="D249" s="14">
        <v>45834</v>
      </c>
      <c r="E249" s="5" t="s">
        <v>204</v>
      </c>
      <c r="F249" s="5" t="s">
        <v>1303</v>
      </c>
      <c r="G249" s="6" t="s">
        <v>425</v>
      </c>
      <c r="H249" s="6"/>
      <c r="I249" s="6"/>
      <c r="J249" s="3" t="s">
        <v>5006</v>
      </c>
      <c r="K249" s="7" t="s">
        <v>4909</v>
      </c>
      <c r="L249" s="8">
        <v>1748318</v>
      </c>
      <c r="M249" s="8" t="str">
        <f t="shared" si="43"/>
        <v>USD</v>
      </c>
      <c r="N249" s="13"/>
      <c r="O249" s="13">
        <v>14710.24</v>
      </c>
      <c r="P249" s="3">
        <f t="shared" si="34"/>
        <v>14710.24</v>
      </c>
      <c r="Q249" s="3">
        <f t="shared" si="35"/>
        <v>0</v>
      </c>
      <c r="R249" s="3">
        <f t="shared" si="33"/>
        <v>14758.330000000004</v>
      </c>
      <c r="S249" s="24" t="s">
        <v>1334</v>
      </c>
      <c r="T249" s="24" t="s">
        <v>1334</v>
      </c>
      <c r="U249" s="61"/>
      <c r="V249" s="3"/>
      <c r="W249" s="3" t="s">
        <v>5006</v>
      </c>
      <c r="X249" s="3"/>
      <c r="Y249" s="3"/>
      <c r="Z249" s="3"/>
      <c r="AA249" s="3" t="str">
        <f>IF(BCP_Dolares[[#This Row],[fecha]]&gt;0,TEXT(BCP_Dolares[[#This Row],[fecha]],"mmmm"),0)</f>
        <v>Junio</v>
      </c>
    </row>
    <row r="250" spans="1:27" ht="24" x14ac:dyDescent="0.3">
      <c r="A250" s="2">
        <f>IF(BCP_Dolares[[#This Row],[tipo_registro]]="R",COUNTIFS($C$1:$C249,"R")+1,"")</f>
        <v>107</v>
      </c>
      <c r="B250" s="19" t="str">
        <f t="shared" si="42"/>
        <v>B-BCP - Dolares</v>
      </c>
      <c r="C250" s="3" t="s">
        <v>1330</v>
      </c>
      <c r="D250" s="14">
        <v>45834</v>
      </c>
      <c r="E250" s="5" t="s">
        <v>1335</v>
      </c>
      <c r="F250" s="5" t="s">
        <v>1336</v>
      </c>
      <c r="G250" s="6" t="s">
        <v>1060</v>
      </c>
      <c r="H250" s="6" t="s">
        <v>68</v>
      </c>
      <c r="I250" s="6" t="s">
        <v>1343</v>
      </c>
      <c r="J250" s="6">
        <v>2393611</v>
      </c>
      <c r="K250" s="7" t="s">
        <v>5007</v>
      </c>
      <c r="L250" s="8">
        <v>350</v>
      </c>
      <c r="M250" s="8" t="str">
        <f t="shared" si="43"/>
        <v>USD</v>
      </c>
      <c r="N250" s="13"/>
      <c r="O250" s="13">
        <v>12</v>
      </c>
      <c r="P250" s="3">
        <f t="shared" si="34"/>
        <v>0</v>
      </c>
      <c r="Q250" s="3">
        <f t="shared" si="35"/>
        <v>12</v>
      </c>
      <c r="R250" s="3">
        <f t="shared" si="33"/>
        <v>14746.330000000004</v>
      </c>
      <c r="S250" s="24" t="s">
        <v>1334</v>
      </c>
      <c r="T250" s="24" t="s">
        <v>1334</v>
      </c>
      <c r="U250" s="61"/>
      <c r="V250" s="3"/>
      <c r="W250" s="3"/>
      <c r="X250" s="3"/>
      <c r="Y250" s="3"/>
      <c r="Z250" s="3"/>
      <c r="AA250" s="3" t="str">
        <f>IF(BCP_Dolares[[#This Row],[fecha]]&gt;0,TEXT(BCP_Dolares[[#This Row],[fecha]],"mmmm"),0)</f>
        <v>Junio</v>
      </c>
    </row>
    <row r="251" spans="1:27" x14ac:dyDescent="0.3">
      <c r="A251" s="2">
        <f>IF(BCP_Dolares[[#This Row],[tipo_registro]]="R",COUNTIFS($C$1:$C250,"R")+1,"")</f>
        <v>108</v>
      </c>
      <c r="B251" s="19" t="str">
        <f t="shared" si="42"/>
        <v>B-BCP - Dolares</v>
      </c>
      <c r="C251" s="3" t="s">
        <v>1330</v>
      </c>
      <c r="D251" s="14">
        <v>45834</v>
      </c>
      <c r="E251" s="5" t="s">
        <v>1335</v>
      </c>
      <c r="F251" s="5" t="s">
        <v>1336</v>
      </c>
      <c r="G251" s="6"/>
      <c r="H251" s="6"/>
      <c r="I251" s="6"/>
      <c r="J251" s="6"/>
      <c r="K251" s="7" t="s">
        <v>3160</v>
      </c>
      <c r="L251" s="8"/>
      <c r="M251" s="8" t="str">
        <f t="shared" si="43"/>
        <v>USD</v>
      </c>
      <c r="N251" s="13"/>
      <c r="O251" s="13">
        <v>0.7</v>
      </c>
      <c r="P251" s="3">
        <f t="shared" si="34"/>
        <v>0</v>
      </c>
      <c r="Q251" s="3">
        <f t="shared" si="35"/>
        <v>0.7</v>
      </c>
      <c r="R251" s="3">
        <f t="shared" si="33"/>
        <v>14745.630000000003</v>
      </c>
      <c r="S251" s="24" t="s">
        <v>1334</v>
      </c>
      <c r="T251" s="24" t="s">
        <v>1334</v>
      </c>
      <c r="U251" s="61"/>
      <c r="V251" s="3"/>
      <c r="W251" s="3"/>
      <c r="X251" s="3"/>
      <c r="Y251" s="3"/>
      <c r="Z251" s="3"/>
      <c r="AA251" s="3" t="str">
        <f>IF(BCP_Dolares[[#This Row],[fecha]]&gt;0,TEXT(BCP_Dolares[[#This Row],[fecha]],"mmmm"),0)</f>
        <v>Junio</v>
      </c>
    </row>
    <row r="252" spans="1:27" ht="24" x14ac:dyDescent="0.3">
      <c r="A252" s="2">
        <f>IF(BCP_Dolares[[#This Row],[tipo_registro]]="R",COUNTIFS($C$1:$C251,"R")+1,"")</f>
        <v>109</v>
      </c>
      <c r="B252" s="19" t="str">
        <f t="shared" si="42"/>
        <v>B-BCP - Dolares</v>
      </c>
      <c r="C252" s="3" t="s">
        <v>1330</v>
      </c>
      <c r="D252" s="14">
        <v>45834</v>
      </c>
      <c r="E252" s="5" t="s">
        <v>1331</v>
      </c>
      <c r="F252" s="5" t="s">
        <v>1336</v>
      </c>
      <c r="G252" s="6" t="s">
        <v>690</v>
      </c>
      <c r="H252" s="6" t="s">
        <v>68</v>
      </c>
      <c r="I252" s="6" t="s">
        <v>3667</v>
      </c>
      <c r="J252" s="6">
        <v>12</v>
      </c>
      <c r="K252" s="7" t="s">
        <v>5008</v>
      </c>
      <c r="L252" s="8">
        <v>2512341</v>
      </c>
      <c r="M252" s="8" t="str">
        <f t="shared" si="43"/>
        <v>USD</v>
      </c>
      <c r="N252" s="13"/>
      <c r="O252" s="13">
        <v>1319.91</v>
      </c>
      <c r="P252" s="3">
        <f t="shared" si="34"/>
        <v>0</v>
      </c>
      <c r="Q252" s="3">
        <f t="shared" si="35"/>
        <v>1319.91</v>
      </c>
      <c r="R252" s="3">
        <f t="shared" si="33"/>
        <v>13425.720000000003</v>
      </c>
      <c r="S252" s="24" t="s">
        <v>1334</v>
      </c>
      <c r="T252" s="24" t="s">
        <v>1334</v>
      </c>
      <c r="U252" s="61"/>
      <c r="V252" s="3"/>
      <c r="W252" s="3"/>
      <c r="X252" s="3"/>
      <c r="Y252" s="3"/>
      <c r="Z252" s="3"/>
      <c r="AA252" s="3" t="str">
        <f>IF(BCP_Dolares[[#This Row],[fecha]]&gt;0,TEXT(BCP_Dolares[[#This Row],[fecha]],"mmmm"),0)</f>
        <v>Junio</v>
      </c>
    </row>
    <row r="253" spans="1:27" ht="24" x14ac:dyDescent="0.3">
      <c r="A253" s="2">
        <f>IF(BCP_Dolares[[#This Row],[tipo_registro]]="R",COUNTIFS($C$1:$C252,"R")+1,"")</f>
        <v>110</v>
      </c>
      <c r="B253" s="19" t="str">
        <f t="shared" si="42"/>
        <v>B-BCP - Dolares</v>
      </c>
      <c r="C253" s="3" t="s">
        <v>1330</v>
      </c>
      <c r="D253" s="14">
        <v>45834</v>
      </c>
      <c r="E253" s="5" t="s">
        <v>1331</v>
      </c>
      <c r="F253" s="5" t="s">
        <v>1336</v>
      </c>
      <c r="G253" s="6" t="s">
        <v>1060</v>
      </c>
      <c r="H253" s="6" t="s">
        <v>68</v>
      </c>
      <c r="I253" s="6" t="s">
        <v>1397</v>
      </c>
      <c r="J253" s="6">
        <v>34165619</v>
      </c>
      <c r="K253" s="7" t="s">
        <v>5009</v>
      </c>
      <c r="L253" s="8">
        <v>2512348</v>
      </c>
      <c r="M253" s="8" t="str">
        <f t="shared" si="43"/>
        <v>USD</v>
      </c>
      <c r="N253" s="13"/>
      <c r="O253" s="13">
        <v>7.91</v>
      </c>
      <c r="P253" s="3">
        <f t="shared" si="34"/>
        <v>0</v>
      </c>
      <c r="Q253" s="3">
        <f t="shared" si="35"/>
        <v>7.91</v>
      </c>
      <c r="R253" s="3">
        <f t="shared" si="33"/>
        <v>13417.810000000003</v>
      </c>
      <c r="S253" s="24" t="s">
        <v>1334</v>
      </c>
      <c r="T253" s="24"/>
      <c r="U253" s="61"/>
      <c r="V253" s="3" t="s">
        <v>1335</v>
      </c>
      <c r="W253" s="3"/>
      <c r="X253" s="3"/>
      <c r="Y253" s="3"/>
      <c r="Z253" s="3"/>
      <c r="AA253" s="3" t="str">
        <f>IF(BCP_Dolares[[#This Row],[fecha]]&gt;0,TEXT(BCP_Dolares[[#This Row],[fecha]],"mmmm"),0)</f>
        <v>Junio</v>
      </c>
    </row>
    <row r="254" spans="1:27" x14ac:dyDescent="0.3">
      <c r="A254" s="2">
        <f>IF(BCP_Dolares[[#This Row],[tipo_registro]]="R",COUNTIFS($C$1:$C253,"R")+1,"")</f>
        <v>111</v>
      </c>
      <c r="B254" s="19" t="str">
        <f t="shared" ref="B254:B258" si="46">"B-BCP - Dolares"</f>
        <v>B-BCP - Dolares</v>
      </c>
      <c r="C254" s="3" t="s">
        <v>1330</v>
      </c>
      <c r="D254" s="14">
        <v>45835</v>
      </c>
      <c r="E254" s="5" t="s">
        <v>1335</v>
      </c>
      <c r="F254" s="5" t="s">
        <v>1336</v>
      </c>
      <c r="G254" s="6"/>
      <c r="H254" s="6"/>
      <c r="I254" s="6"/>
      <c r="J254" s="6"/>
      <c r="K254" s="7" t="s">
        <v>3160</v>
      </c>
      <c r="L254" s="8"/>
      <c r="M254" s="8" t="str">
        <f t="shared" ref="M254:M258" si="47">"USD"</f>
        <v>USD</v>
      </c>
      <c r="N254" s="13"/>
      <c r="O254" s="13">
        <v>0.05</v>
      </c>
      <c r="P254" s="3">
        <f t="shared" si="34"/>
        <v>0</v>
      </c>
      <c r="Q254" s="3">
        <f t="shared" si="35"/>
        <v>0.05</v>
      </c>
      <c r="R254" s="3">
        <f t="shared" si="33"/>
        <v>13417.760000000004</v>
      </c>
      <c r="S254" s="24" t="s">
        <v>1334</v>
      </c>
      <c r="T254" s="24" t="s">
        <v>1334</v>
      </c>
      <c r="U254" s="61"/>
      <c r="V254" s="3"/>
      <c r="W254" s="3"/>
      <c r="X254" s="3"/>
      <c r="Y254" s="3"/>
      <c r="Z254" s="3"/>
      <c r="AA254" s="3" t="str">
        <f>IF(BCP_Dolares[[#This Row],[fecha]]&gt;0,TEXT(BCP_Dolares[[#This Row],[fecha]],"mmmm"),0)</f>
        <v>Junio</v>
      </c>
    </row>
    <row r="255" spans="1:27" ht="24" x14ac:dyDescent="0.3">
      <c r="A255" s="2">
        <f>IF(BCP_Dolares[[#This Row],[tipo_registro]]="R",COUNTIFS($C$1:$C254,"R")+1,"")</f>
        <v>112</v>
      </c>
      <c r="B255" s="19" t="str">
        <f t="shared" si="46"/>
        <v>B-BCP - Dolares</v>
      </c>
      <c r="C255" s="3" t="s">
        <v>1330</v>
      </c>
      <c r="D255" s="14">
        <v>45838</v>
      </c>
      <c r="E255" s="5" t="s">
        <v>1335</v>
      </c>
      <c r="F255" s="5" t="s">
        <v>1336</v>
      </c>
      <c r="G255" s="6" t="s">
        <v>1060</v>
      </c>
      <c r="H255" s="6" t="s">
        <v>68</v>
      </c>
      <c r="I255" s="6" t="s">
        <v>2081</v>
      </c>
      <c r="J255" s="6">
        <v>15662785</v>
      </c>
      <c r="K255" s="7" t="s">
        <v>4863</v>
      </c>
      <c r="L255" s="8">
        <v>1145103</v>
      </c>
      <c r="M255" s="8" t="str">
        <f t="shared" si="47"/>
        <v>USD</v>
      </c>
      <c r="N255" s="13"/>
      <c r="O255" s="13">
        <v>2</v>
      </c>
      <c r="P255" s="3">
        <f t="shared" si="34"/>
        <v>0</v>
      </c>
      <c r="Q255" s="3">
        <f t="shared" si="35"/>
        <v>2</v>
      </c>
      <c r="R255" s="3">
        <f t="shared" si="33"/>
        <v>13415.760000000004</v>
      </c>
      <c r="S255" s="24" t="s">
        <v>1334</v>
      </c>
      <c r="T255" s="24" t="s">
        <v>1334</v>
      </c>
      <c r="U255" s="61"/>
      <c r="V255" s="3"/>
      <c r="W255" s="3"/>
      <c r="X255" s="3"/>
      <c r="Y255" s="3"/>
      <c r="Z255" s="3"/>
      <c r="AA255" s="3" t="str">
        <f>IF(BCP_Dolares[[#This Row],[fecha]]&gt;0,TEXT(BCP_Dolares[[#This Row],[fecha]],"mmmm"),0)</f>
        <v>Junio</v>
      </c>
    </row>
    <row r="256" spans="1:27" ht="24" x14ac:dyDescent="0.3">
      <c r="A256" s="2">
        <f>IF(BCP_Dolares[[#This Row],[tipo_registro]]="R",COUNTIFS($C$1:$C255,"R")+1,"")</f>
        <v>113</v>
      </c>
      <c r="B256" s="19" t="str">
        <f t="shared" si="46"/>
        <v>B-BCP - Dolares</v>
      </c>
      <c r="C256" s="3" t="s">
        <v>1330</v>
      </c>
      <c r="D256" s="14">
        <v>45838</v>
      </c>
      <c r="E256" s="5" t="s">
        <v>1335</v>
      </c>
      <c r="F256" s="5" t="s">
        <v>1336</v>
      </c>
      <c r="G256" s="6" t="s">
        <v>1060</v>
      </c>
      <c r="H256" s="6" t="s">
        <v>68</v>
      </c>
      <c r="I256" s="6" t="s">
        <v>2081</v>
      </c>
      <c r="J256" s="6">
        <v>15662785</v>
      </c>
      <c r="K256" s="7" t="s">
        <v>4862</v>
      </c>
      <c r="L256" s="8">
        <v>0</v>
      </c>
      <c r="M256" s="8" t="str">
        <f t="shared" si="47"/>
        <v>USD</v>
      </c>
      <c r="N256" s="13"/>
      <c r="O256" s="13">
        <v>13</v>
      </c>
      <c r="P256" s="3">
        <f t="shared" si="34"/>
        <v>0</v>
      </c>
      <c r="Q256" s="3">
        <f t="shared" si="35"/>
        <v>13</v>
      </c>
      <c r="R256" s="3">
        <f t="shared" si="33"/>
        <v>13402.760000000004</v>
      </c>
      <c r="S256" s="24" t="s">
        <v>1334</v>
      </c>
      <c r="T256" s="24" t="s">
        <v>1334</v>
      </c>
      <c r="U256" s="61"/>
      <c r="V256" s="3"/>
      <c r="W256" s="3"/>
      <c r="X256" s="3"/>
      <c r="Y256" s="3"/>
      <c r="Z256" s="3"/>
      <c r="AA256" s="3" t="str">
        <f>IF(BCP_Dolares[[#This Row],[fecha]]&gt;0,TEXT(BCP_Dolares[[#This Row],[fecha]],"mmmm"),0)</f>
        <v>Junio</v>
      </c>
    </row>
    <row r="257" spans="1:27" x14ac:dyDescent="0.3">
      <c r="A257" s="2">
        <f>IF(BCP_Dolares[[#This Row],[tipo_registro]]="R",COUNTIFS($C$1:$C256,"R")+1,"")</f>
        <v>114</v>
      </c>
      <c r="B257" s="19" t="str">
        <f t="shared" si="46"/>
        <v>B-BCP - Dolares</v>
      </c>
      <c r="C257" s="3" t="s">
        <v>1330</v>
      </c>
      <c r="D257" s="14">
        <v>45840</v>
      </c>
      <c r="E257" s="5" t="s">
        <v>4171</v>
      </c>
      <c r="F257" s="5" t="s">
        <v>1336</v>
      </c>
      <c r="G257" s="6" t="s">
        <v>730</v>
      </c>
      <c r="H257" s="6" t="s">
        <v>68</v>
      </c>
      <c r="I257" s="6" t="s">
        <v>1374</v>
      </c>
      <c r="J257" s="6">
        <v>20</v>
      </c>
      <c r="K257" s="7" t="s">
        <v>5010</v>
      </c>
      <c r="L257" s="8">
        <v>483588</v>
      </c>
      <c r="M257" s="8" t="str">
        <f t="shared" si="47"/>
        <v>USD</v>
      </c>
      <c r="N257" s="13"/>
      <c r="O257" s="13">
        <v>290.67</v>
      </c>
      <c r="P257" s="3">
        <f t="shared" si="34"/>
        <v>0</v>
      </c>
      <c r="Q257" s="3">
        <f t="shared" si="35"/>
        <v>290.67</v>
      </c>
      <c r="R257" s="3">
        <f t="shared" si="33"/>
        <v>13112.090000000004</v>
      </c>
      <c r="S257" s="24" t="s">
        <v>1334</v>
      </c>
      <c r="T257" s="24" t="s">
        <v>1334</v>
      </c>
      <c r="U257" s="61"/>
      <c r="V257" s="3"/>
      <c r="W257" s="3"/>
      <c r="X257" s="3"/>
      <c r="Y257" s="3"/>
      <c r="Z257" s="3"/>
      <c r="AA257" s="3" t="str">
        <f>IF(BCP_Dolares[[#This Row],[fecha]]&gt;0,TEXT(BCP_Dolares[[#This Row],[fecha]],"mmmm"),0)</f>
        <v>Julio</v>
      </c>
    </row>
    <row r="258" spans="1:27" ht="24" x14ac:dyDescent="0.3">
      <c r="A258" s="2">
        <f>IF(BCP_Dolares[[#This Row],[tipo_registro]]="R",COUNTIFS($C$1:$C257,"R")+1,"")</f>
        <v>115</v>
      </c>
      <c r="B258" s="19" t="str">
        <f t="shared" si="46"/>
        <v>B-BCP - Dolares</v>
      </c>
      <c r="C258" s="3" t="s">
        <v>1330</v>
      </c>
      <c r="D258" s="14">
        <v>45840</v>
      </c>
      <c r="E258" s="5" t="s">
        <v>1335</v>
      </c>
      <c r="F258" s="5" t="s">
        <v>1336</v>
      </c>
      <c r="G258" s="6" t="s">
        <v>1060</v>
      </c>
      <c r="H258" s="6" t="s">
        <v>68</v>
      </c>
      <c r="I258" s="6" t="s">
        <v>1397</v>
      </c>
      <c r="J258" s="6">
        <v>34312266</v>
      </c>
      <c r="K258" s="7" t="s">
        <v>5011</v>
      </c>
      <c r="L258" s="8">
        <v>4835886</v>
      </c>
      <c r="M258" s="8" t="str">
        <f t="shared" si="47"/>
        <v>USD</v>
      </c>
      <c r="N258" s="13"/>
      <c r="O258" s="13">
        <v>6.32</v>
      </c>
      <c r="P258" s="3">
        <f t="shared" si="34"/>
        <v>0</v>
      </c>
      <c r="Q258" s="3">
        <f t="shared" si="35"/>
        <v>6.32</v>
      </c>
      <c r="R258" s="3">
        <f t="shared" ref="R258:R321" si="48">IFERROR(IF(F258="SALDO",P258,R257+P258-Q258),0)</f>
        <v>13105.770000000004</v>
      </c>
      <c r="S258" s="24" t="s">
        <v>1334</v>
      </c>
      <c r="T258" s="24" t="s">
        <v>1334</v>
      </c>
      <c r="U258" s="61"/>
      <c r="V258" s="3"/>
      <c r="W258" s="3"/>
      <c r="X258" s="3"/>
      <c r="Y258" s="3"/>
      <c r="Z258" s="3"/>
      <c r="AA258" s="3" t="str">
        <f>IF(BCP_Dolares[[#This Row],[fecha]]&gt;0,TEXT(BCP_Dolares[[#This Row],[fecha]],"mmmm"),0)</f>
        <v>Julio</v>
      </c>
    </row>
    <row r="259" spans="1:27" x14ac:dyDescent="0.3">
      <c r="A259" s="2">
        <f>IF(BCP_Dolares[[#This Row],[tipo_registro]]="R",COUNTIFS($C$1:$C258,"R")+1,"")</f>
        <v>116</v>
      </c>
      <c r="B259" s="19" t="str">
        <f t="shared" ref="B259:B263" si="49">"B-BCP - Dolares"</f>
        <v>B-BCP - Dolares</v>
      </c>
      <c r="C259" s="3" t="s">
        <v>1330</v>
      </c>
      <c r="D259" s="14">
        <v>45845</v>
      </c>
      <c r="E259" s="5" t="s">
        <v>4171</v>
      </c>
      <c r="F259" s="5" t="s">
        <v>1336</v>
      </c>
      <c r="G259" s="6"/>
      <c r="H259" s="6"/>
      <c r="I259" s="6"/>
      <c r="J259" s="6"/>
      <c r="K259" s="7" t="s">
        <v>5012</v>
      </c>
      <c r="L259" s="8">
        <v>1263918</v>
      </c>
      <c r="M259" s="8" t="str">
        <f t="shared" ref="M259:M265" si="50">"USD"</f>
        <v>USD</v>
      </c>
      <c r="N259" s="13"/>
      <c r="O259" s="13">
        <v>2500</v>
      </c>
      <c r="P259" s="3">
        <f t="shared" si="34"/>
        <v>0</v>
      </c>
      <c r="Q259" s="3">
        <f t="shared" si="35"/>
        <v>2500</v>
      </c>
      <c r="R259" s="3">
        <f t="shared" si="48"/>
        <v>10605.770000000004</v>
      </c>
      <c r="S259" s="24"/>
      <c r="T259" s="24"/>
      <c r="U259" s="61"/>
      <c r="V259" s="3"/>
      <c r="W259" s="3"/>
      <c r="X259" s="3"/>
      <c r="Y259" s="3"/>
      <c r="Z259" s="3"/>
      <c r="AA259" s="3" t="str">
        <f>IF(BCP_Dolares[[#This Row],[fecha]]&gt;0,TEXT(BCP_Dolares[[#This Row],[fecha]],"mmmm"),0)</f>
        <v>Julio</v>
      </c>
    </row>
    <row r="260" spans="1:27" ht="36" x14ac:dyDescent="0.3">
      <c r="A260" s="2">
        <f>IF(BCP_Dolares[[#This Row],[tipo_registro]]="R",COUNTIFS($C$1:$C259,"R")+1,"")</f>
        <v>117</v>
      </c>
      <c r="B260" s="19" t="str">
        <f t="shared" si="49"/>
        <v>B-BCP - Dolares</v>
      </c>
      <c r="C260" s="3" t="s">
        <v>1330</v>
      </c>
      <c r="D260" s="14">
        <v>45847</v>
      </c>
      <c r="E260" s="5" t="s">
        <v>4171</v>
      </c>
      <c r="F260" s="5" t="s">
        <v>1336</v>
      </c>
      <c r="G260" s="6" t="s">
        <v>702</v>
      </c>
      <c r="H260" s="6" t="s">
        <v>68</v>
      </c>
      <c r="I260" s="6" t="s">
        <v>1463</v>
      </c>
      <c r="J260" s="6">
        <v>466043</v>
      </c>
      <c r="K260" s="7" t="s">
        <v>5013</v>
      </c>
      <c r="L260" s="8">
        <v>74536</v>
      </c>
      <c r="M260" s="8" t="str">
        <f t="shared" si="50"/>
        <v>USD</v>
      </c>
      <c r="N260" s="13"/>
      <c r="O260" s="13">
        <v>416.27</v>
      </c>
      <c r="P260" s="3">
        <f t="shared" si="34"/>
        <v>0</v>
      </c>
      <c r="Q260" s="3">
        <f t="shared" si="35"/>
        <v>416.27</v>
      </c>
      <c r="R260" s="3">
        <f t="shared" si="48"/>
        <v>10189.500000000004</v>
      </c>
      <c r="S260" s="24" t="s">
        <v>1334</v>
      </c>
      <c r="T260" s="24" t="s">
        <v>1334</v>
      </c>
      <c r="U260" s="61"/>
      <c r="V260" s="3"/>
      <c r="W260" s="3"/>
      <c r="X260" s="3"/>
      <c r="Y260" s="3"/>
      <c r="Z260" s="3"/>
      <c r="AA260" s="3" t="str">
        <f>IF(BCP_Dolares[[#This Row],[fecha]]&gt;0,TEXT(BCP_Dolares[[#This Row],[fecha]],"mmmm"),0)</f>
        <v>Julio</v>
      </c>
    </row>
    <row r="261" spans="1:27" ht="24" x14ac:dyDescent="0.3">
      <c r="A261" s="2">
        <f>IF(BCP_Dolares[[#This Row],[tipo_registro]]="R",COUNTIFS($C$1:$C260,"R")+1,"")</f>
        <v>118</v>
      </c>
      <c r="B261" s="19" t="str">
        <f t="shared" si="49"/>
        <v>B-BCP - Dolares</v>
      </c>
      <c r="C261" s="3" t="s">
        <v>1330</v>
      </c>
      <c r="D261" s="14">
        <v>45847</v>
      </c>
      <c r="E261" s="5" t="s">
        <v>1338</v>
      </c>
      <c r="F261" s="5" t="s">
        <v>1336</v>
      </c>
      <c r="G261" s="6" t="s">
        <v>1079</v>
      </c>
      <c r="H261" s="6" t="s">
        <v>68</v>
      </c>
      <c r="I261" s="6" t="s">
        <v>1374</v>
      </c>
      <c r="J261" s="6">
        <v>374</v>
      </c>
      <c r="K261" s="7" t="s">
        <v>5014</v>
      </c>
      <c r="L261" s="8">
        <v>1077572</v>
      </c>
      <c r="M261" s="8" t="str">
        <f t="shared" si="50"/>
        <v>USD</v>
      </c>
      <c r="N261" s="13"/>
      <c r="O261" s="13">
        <v>4200</v>
      </c>
      <c r="P261" s="3">
        <f t="shared" si="34"/>
        <v>0</v>
      </c>
      <c r="Q261" s="3">
        <f t="shared" si="35"/>
        <v>4200</v>
      </c>
      <c r="R261" s="3">
        <f t="shared" si="48"/>
        <v>5989.5000000000036</v>
      </c>
      <c r="S261" s="24" t="s">
        <v>1334</v>
      </c>
      <c r="T261" s="24" t="s">
        <v>1334</v>
      </c>
      <c r="U261" s="61"/>
      <c r="V261" s="3" t="s">
        <v>1079</v>
      </c>
      <c r="W261" s="3"/>
      <c r="X261" s="3"/>
      <c r="Y261" s="3"/>
      <c r="Z261" s="3"/>
      <c r="AA261" s="3" t="str">
        <f>IF(BCP_Dolares[[#This Row],[fecha]]&gt;0,TEXT(BCP_Dolares[[#This Row],[fecha]],"mmmm"),0)</f>
        <v>Julio</v>
      </c>
    </row>
    <row r="262" spans="1:27" ht="24" x14ac:dyDescent="0.3">
      <c r="A262" s="2">
        <f>IF(BCP_Dolares[[#This Row],[tipo_registro]]="R",COUNTIFS($C$1:$C261,"R")+1,"")</f>
        <v>119</v>
      </c>
      <c r="B262" s="19" t="str">
        <f t="shared" si="49"/>
        <v>B-BCP - Dolares</v>
      </c>
      <c r="C262" s="3" t="s">
        <v>1330</v>
      </c>
      <c r="D262" s="14">
        <v>45847</v>
      </c>
      <c r="E262" s="5" t="s">
        <v>1338</v>
      </c>
      <c r="F262" s="5" t="s">
        <v>1336</v>
      </c>
      <c r="G262" s="6" t="s">
        <v>742</v>
      </c>
      <c r="H262" s="6" t="s">
        <v>68</v>
      </c>
      <c r="I262" s="6" t="s">
        <v>1463</v>
      </c>
      <c r="J262" s="6">
        <v>466228</v>
      </c>
      <c r="K262" s="7" t="s">
        <v>5015</v>
      </c>
      <c r="L262" s="8">
        <v>191938</v>
      </c>
      <c r="M262" s="8" t="str">
        <f t="shared" si="50"/>
        <v>USD</v>
      </c>
      <c r="N262" s="13"/>
      <c r="O262" s="13">
        <v>102.22</v>
      </c>
      <c r="P262" s="3">
        <f t="shared" si="34"/>
        <v>0</v>
      </c>
      <c r="Q262" s="3">
        <f t="shared" si="35"/>
        <v>102.22</v>
      </c>
      <c r="R262" s="3">
        <f t="shared" si="48"/>
        <v>5887.2800000000034</v>
      </c>
      <c r="S262" s="24" t="s">
        <v>1334</v>
      </c>
      <c r="T262" s="24" t="s">
        <v>1334</v>
      </c>
      <c r="U262" s="61"/>
      <c r="V262" s="3"/>
      <c r="W262" s="3"/>
      <c r="X262" s="3"/>
      <c r="Y262" s="3"/>
      <c r="Z262" s="3"/>
      <c r="AA262" s="3" t="str">
        <f>IF(BCP_Dolares[[#This Row],[fecha]]&gt;0,TEXT(BCP_Dolares[[#This Row],[fecha]],"mmmm"),0)</f>
        <v>Julio</v>
      </c>
    </row>
    <row r="263" spans="1:27" x14ac:dyDescent="0.3">
      <c r="A263" s="2">
        <f>IF(BCP_Dolares[[#This Row],[tipo_registro]]="R",COUNTIFS($C$1:$C262,"R")+1,"")</f>
        <v>120</v>
      </c>
      <c r="B263" s="19" t="str">
        <f t="shared" si="49"/>
        <v>B-BCP - Dolares</v>
      </c>
      <c r="C263" s="13" t="s">
        <v>1330</v>
      </c>
      <c r="D263" s="14">
        <v>45847</v>
      </c>
      <c r="E263" s="5" t="s">
        <v>1338</v>
      </c>
      <c r="F263" s="5" t="s">
        <v>1336</v>
      </c>
      <c r="G263" s="6"/>
      <c r="H263" s="6"/>
      <c r="I263" s="6"/>
      <c r="J263" s="6"/>
      <c r="K263" s="7" t="s">
        <v>5016</v>
      </c>
      <c r="L263" s="8">
        <v>1188999</v>
      </c>
      <c r="M263" s="8" t="str">
        <f t="shared" si="50"/>
        <v>USD</v>
      </c>
      <c r="N263" s="13"/>
      <c r="O263" s="13">
        <v>500</v>
      </c>
      <c r="P263" s="3">
        <f t="shared" si="34"/>
        <v>0</v>
      </c>
      <c r="Q263" s="3">
        <f t="shared" si="35"/>
        <v>500</v>
      </c>
      <c r="R263" s="3">
        <f t="shared" si="48"/>
        <v>5387.2800000000034</v>
      </c>
      <c r="S263" s="24"/>
      <c r="T263" s="24"/>
      <c r="U263" s="61"/>
      <c r="V263" s="3"/>
      <c r="W263" s="3"/>
      <c r="X263" s="3"/>
      <c r="Y263" s="3"/>
      <c r="Z263" s="3"/>
      <c r="AA263" s="3" t="str">
        <f>IF(BCP_Dolares[[#This Row],[fecha]]&gt;0,TEXT(BCP_Dolares[[#This Row],[fecha]],"mmmm"),0)</f>
        <v>Julio</v>
      </c>
    </row>
    <row r="264" spans="1:27" x14ac:dyDescent="0.3">
      <c r="A264" s="2">
        <f>IF(BCP_Dolares[[#This Row],[tipo_registro]]="R",COUNTIFS($C$1:$C263,"R")+1,"")</f>
        <v>121</v>
      </c>
      <c r="B264" s="19" t="str">
        <f t="shared" ref="B264:B273" si="51">"B-BCP - Dolares"</f>
        <v>B-BCP - Dolares</v>
      </c>
      <c r="C264" s="13" t="s">
        <v>1330</v>
      </c>
      <c r="D264" s="14">
        <v>45847</v>
      </c>
      <c r="E264" s="5" t="s">
        <v>1335</v>
      </c>
      <c r="F264" s="5" t="s">
        <v>1336</v>
      </c>
      <c r="G264" s="6" t="s">
        <v>1009</v>
      </c>
      <c r="H264" s="6" t="s">
        <v>64</v>
      </c>
      <c r="I264" s="6" t="s">
        <v>5017</v>
      </c>
      <c r="J264" s="6">
        <v>121</v>
      </c>
      <c r="K264" s="7" t="s">
        <v>3160</v>
      </c>
      <c r="L264" s="8"/>
      <c r="M264" s="8" t="str">
        <f>"USD"</f>
        <v>USD</v>
      </c>
      <c r="N264" s="13"/>
      <c r="O264" s="13">
        <v>0.2</v>
      </c>
      <c r="P264" s="3">
        <f t="shared" si="34"/>
        <v>0</v>
      </c>
      <c r="Q264" s="3">
        <f t="shared" si="35"/>
        <v>0.2</v>
      </c>
      <c r="R264" s="3">
        <f t="shared" si="48"/>
        <v>5387.0800000000036</v>
      </c>
      <c r="S264" s="24" t="s">
        <v>1334</v>
      </c>
      <c r="T264" s="24" t="s">
        <v>1334</v>
      </c>
      <c r="U264" s="61"/>
      <c r="V264" s="3"/>
      <c r="W264" s="3"/>
      <c r="X264" s="3"/>
      <c r="Y264" s="3"/>
      <c r="Z264" s="3"/>
      <c r="AA264" s="3" t="str">
        <f>IF(BCP_Dolares[[#This Row],[fecha]]&gt;0,TEXT(BCP_Dolares[[#This Row],[fecha]],"mmmm"),0)</f>
        <v>Julio</v>
      </c>
    </row>
    <row r="265" spans="1:27" x14ac:dyDescent="0.3">
      <c r="A265" s="2">
        <f>IF(BCP_Dolares[[#This Row],[tipo_registro]]="R",COUNTIFS($C$1:$C264,"R")+1,"")</f>
        <v>122</v>
      </c>
      <c r="B265" s="19" t="str">
        <f t="shared" si="51"/>
        <v>B-BCP - Dolares</v>
      </c>
      <c r="C265" s="3" t="s">
        <v>1330</v>
      </c>
      <c r="D265" s="14">
        <v>45848</v>
      </c>
      <c r="E265" s="5" t="s">
        <v>1338</v>
      </c>
      <c r="F265" s="5" t="s">
        <v>1336</v>
      </c>
      <c r="G265" s="6" t="s">
        <v>696</v>
      </c>
      <c r="H265" s="6"/>
      <c r="I265" s="6"/>
      <c r="J265" s="6"/>
      <c r="K265" s="7" t="s">
        <v>5018</v>
      </c>
      <c r="L265" s="8">
        <v>7932989</v>
      </c>
      <c r="M265" s="8" t="str">
        <f t="shared" si="50"/>
        <v>USD</v>
      </c>
      <c r="N265" s="13"/>
      <c r="O265" s="13">
        <v>3001.1</v>
      </c>
      <c r="P265" s="3">
        <f t="shared" si="34"/>
        <v>0</v>
      </c>
      <c r="Q265" s="3">
        <f t="shared" si="35"/>
        <v>3001.1</v>
      </c>
      <c r="R265" s="3">
        <f t="shared" si="48"/>
        <v>2385.9800000000037</v>
      </c>
      <c r="S265" s="24" t="s">
        <v>1334</v>
      </c>
      <c r="T265" s="24" t="s">
        <v>1334</v>
      </c>
      <c r="U265" s="61"/>
      <c r="V265" s="3"/>
      <c r="W265" s="3"/>
      <c r="X265" s="3"/>
      <c r="Y265" s="3"/>
      <c r="Z265" s="3"/>
      <c r="AA265" s="3" t="str">
        <f>IF(BCP_Dolares[[#This Row],[fecha]]&gt;0,TEXT(BCP_Dolares[[#This Row],[fecha]],"mmmm"),0)</f>
        <v>Julio</v>
      </c>
    </row>
    <row r="266" spans="1:27" ht="20.25" customHeight="1" x14ac:dyDescent="0.3">
      <c r="A266" s="2" t="str">
        <f>IF(BCP_Dolares[[#This Row],[tipo_registro]]="R",COUNTIFS($C$1:$C265,"R")+1,"")</f>
        <v/>
      </c>
      <c r="B266" s="19" t="str">
        <f t="shared" si="51"/>
        <v>B-BCP - Dolares</v>
      </c>
      <c r="C266" s="3" t="s">
        <v>1352</v>
      </c>
      <c r="D266" s="14">
        <v>45848</v>
      </c>
      <c r="E266" s="5" t="s">
        <v>1338</v>
      </c>
      <c r="F266" s="5"/>
      <c r="G266" s="6" t="s">
        <v>204</v>
      </c>
      <c r="H266" s="6" t="s">
        <v>68</v>
      </c>
      <c r="I266" s="6" t="s">
        <v>1390</v>
      </c>
      <c r="J266" s="6">
        <v>16247</v>
      </c>
      <c r="K266" s="7" t="s">
        <v>5018</v>
      </c>
      <c r="L266" s="8">
        <v>7932989</v>
      </c>
      <c r="M266" s="8" t="str">
        <f t="shared" ref="M266:M273" si="52">"USD"</f>
        <v>USD</v>
      </c>
      <c r="N266" s="13">
        <v>96.19</v>
      </c>
      <c r="O266" s="13"/>
      <c r="P266" s="3">
        <f t="shared" si="34"/>
        <v>0</v>
      </c>
      <c r="Q266" s="3">
        <f t="shared" si="35"/>
        <v>0</v>
      </c>
      <c r="R266" s="3">
        <f t="shared" si="48"/>
        <v>2385.9800000000037</v>
      </c>
      <c r="S266" s="24" t="s">
        <v>1334</v>
      </c>
      <c r="T266" s="24" t="s">
        <v>1334</v>
      </c>
      <c r="U266" s="61"/>
      <c r="V266" s="3"/>
      <c r="W266" s="3"/>
      <c r="X266" s="3"/>
      <c r="Y266" s="3"/>
      <c r="Z266" s="3"/>
      <c r="AA266" s="3" t="str">
        <f>IF(BCP_Dolares[[#This Row],[fecha]]&gt;0,TEXT(BCP_Dolares[[#This Row],[fecha]],"mmmm"),0)</f>
        <v>Julio</v>
      </c>
    </row>
    <row r="267" spans="1:27" ht="20.25" customHeight="1" x14ac:dyDescent="0.3">
      <c r="A267" s="2" t="str">
        <f>IF(BCP_Dolares[[#This Row],[tipo_registro]]="R",COUNTIFS($C$1:$C266,"R")+1,"")</f>
        <v/>
      </c>
      <c r="B267" s="19" t="str">
        <f t="shared" si="51"/>
        <v>B-BCP - Dolares</v>
      </c>
      <c r="C267" s="3" t="s">
        <v>1352</v>
      </c>
      <c r="D267" s="14">
        <v>45848</v>
      </c>
      <c r="E267" s="5" t="s">
        <v>1338</v>
      </c>
      <c r="F267" s="5"/>
      <c r="G267" s="6" t="s">
        <v>204</v>
      </c>
      <c r="H267" s="6" t="s">
        <v>68</v>
      </c>
      <c r="I267" s="6" t="s">
        <v>1390</v>
      </c>
      <c r="J267" s="6">
        <v>16242</v>
      </c>
      <c r="K267" s="7" t="s">
        <v>5018</v>
      </c>
      <c r="L267" s="8">
        <v>7932989</v>
      </c>
      <c r="M267" s="8" t="str">
        <f t="shared" si="52"/>
        <v>USD</v>
      </c>
      <c r="N267" s="13">
        <v>50.65</v>
      </c>
      <c r="O267" s="13"/>
      <c r="P267" s="3">
        <f t="shared" si="34"/>
        <v>0</v>
      </c>
      <c r="Q267" s="3">
        <f t="shared" si="35"/>
        <v>0</v>
      </c>
      <c r="R267" s="3">
        <f t="shared" si="48"/>
        <v>2385.9800000000037</v>
      </c>
      <c r="S267" s="24" t="s">
        <v>1334</v>
      </c>
      <c r="T267" s="24" t="s">
        <v>1334</v>
      </c>
      <c r="U267" s="61"/>
      <c r="V267" s="3"/>
      <c r="W267" s="3"/>
      <c r="X267" s="3"/>
      <c r="Y267" s="3"/>
      <c r="Z267" s="3"/>
      <c r="AA267" s="3" t="str">
        <f>IF(BCP_Dolares[[#This Row],[fecha]]&gt;0,TEXT(BCP_Dolares[[#This Row],[fecha]],"mmmm"),0)</f>
        <v>Julio</v>
      </c>
    </row>
    <row r="268" spans="1:27" ht="20.25" customHeight="1" x14ac:dyDescent="0.3">
      <c r="A268" s="2" t="str">
        <f>IF(BCP_Dolares[[#This Row],[tipo_registro]]="R",COUNTIFS($C$1:$C267,"R")+1,"")</f>
        <v/>
      </c>
      <c r="B268" s="19" t="str">
        <f t="shared" si="51"/>
        <v>B-BCP - Dolares</v>
      </c>
      <c r="C268" s="3" t="s">
        <v>1352</v>
      </c>
      <c r="D268" s="14">
        <v>45848</v>
      </c>
      <c r="E268" s="5" t="s">
        <v>1338</v>
      </c>
      <c r="F268" s="5"/>
      <c r="G268" s="6" t="s">
        <v>204</v>
      </c>
      <c r="H268" s="6" t="s">
        <v>68</v>
      </c>
      <c r="I268" s="6" t="s">
        <v>1390</v>
      </c>
      <c r="J268" s="6">
        <v>16253</v>
      </c>
      <c r="K268" s="7" t="s">
        <v>5018</v>
      </c>
      <c r="L268" s="8">
        <v>7932989</v>
      </c>
      <c r="M268" s="8" t="str">
        <f t="shared" si="52"/>
        <v>USD</v>
      </c>
      <c r="N268" s="13">
        <v>72.8</v>
      </c>
      <c r="O268" s="13"/>
      <c r="P268" s="3">
        <f t="shared" si="34"/>
        <v>0</v>
      </c>
      <c r="Q268" s="3">
        <f t="shared" si="35"/>
        <v>0</v>
      </c>
      <c r="R268" s="3">
        <f t="shared" si="48"/>
        <v>2385.9800000000037</v>
      </c>
      <c r="S268" s="24" t="s">
        <v>1334</v>
      </c>
      <c r="T268" s="24" t="s">
        <v>1334</v>
      </c>
      <c r="U268" s="61"/>
      <c r="V268" s="3"/>
      <c r="W268" s="3"/>
      <c r="X268" s="3"/>
      <c r="Y268" s="3"/>
      <c r="Z268" s="3"/>
      <c r="AA268" s="3" t="str">
        <f>IF(BCP_Dolares[[#This Row],[fecha]]&gt;0,TEXT(BCP_Dolares[[#This Row],[fecha]],"mmmm"),0)</f>
        <v>Julio</v>
      </c>
    </row>
    <row r="269" spans="1:27" ht="20.25" customHeight="1" x14ac:dyDescent="0.3">
      <c r="A269" s="2" t="str">
        <f>IF(BCP_Dolares[[#This Row],[tipo_registro]]="R",COUNTIFS($C$1:$C268,"R")+1,"")</f>
        <v/>
      </c>
      <c r="B269" s="19" t="str">
        <f t="shared" si="51"/>
        <v>B-BCP - Dolares</v>
      </c>
      <c r="C269" s="3" t="s">
        <v>1352</v>
      </c>
      <c r="D269" s="14">
        <v>45848</v>
      </c>
      <c r="E269" s="5" t="s">
        <v>1338</v>
      </c>
      <c r="F269" s="5"/>
      <c r="G269" s="6" t="s">
        <v>204</v>
      </c>
      <c r="H269" s="6" t="s">
        <v>68</v>
      </c>
      <c r="I269" s="6" t="s">
        <v>1390</v>
      </c>
      <c r="J269" s="6">
        <v>16252</v>
      </c>
      <c r="K269" s="7" t="s">
        <v>5018</v>
      </c>
      <c r="L269" s="8">
        <v>7932989</v>
      </c>
      <c r="M269" s="8" t="str">
        <f t="shared" si="52"/>
        <v>USD</v>
      </c>
      <c r="N269" s="13">
        <v>76.5</v>
      </c>
      <c r="O269" s="13"/>
      <c r="P269" s="3">
        <f t="shared" si="34"/>
        <v>0</v>
      </c>
      <c r="Q269" s="3">
        <f t="shared" si="35"/>
        <v>0</v>
      </c>
      <c r="R269" s="3">
        <f t="shared" si="48"/>
        <v>2385.9800000000037</v>
      </c>
      <c r="S269" s="24" t="s">
        <v>1334</v>
      </c>
      <c r="T269" s="24" t="s">
        <v>1334</v>
      </c>
      <c r="U269" s="61"/>
      <c r="V269" s="3"/>
      <c r="W269" s="3"/>
      <c r="X269" s="3"/>
      <c r="Y269" s="3"/>
      <c r="Z269" s="3"/>
      <c r="AA269" s="3" t="str">
        <f>IF(BCP_Dolares[[#This Row],[fecha]]&gt;0,TEXT(BCP_Dolares[[#This Row],[fecha]],"mmmm"),0)</f>
        <v>Julio</v>
      </c>
    </row>
    <row r="270" spans="1:27" ht="20.25" customHeight="1" x14ac:dyDescent="0.3">
      <c r="A270" s="2" t="str">
        <f>IF(BCP_Dolares[[#This Row],[tipo_registro]]="R",COUNTIFS($C$1:$C269,"R")+1,"")</f>
        <v/>
      </c>
      <c r="B270" s="19" t="str">
        <f t="shared" si="51"/>
        <v>B-BCP - Dolares</v>
      </c>
      <c r="C270" s="3" t="s">
        <v>1352</v>
      </c>
      <c r="D270" s="14">
        <v>45848</v>
      </c>
      <c r="E270" s="5" t="s">
        <v>1338</v>
      </c>
      <c r="F270" s="5"/>
      <c r="G270" s="6" t="s">
        <v>204</v>
      </c>
      <c r="H270" s="6" t="s">
        <v>68</v>
      </c>
      <c r="I270" s="6" t="s">
        <v>1390</v>
      </c>
      <c r="J270" s="6">
        <v>16181</v>
      </c>
      <c r="K270" s="7" t="s">
        <v>5018</v>
      </c>
      <c r="L270" s="8">
        <v>7932989</v>
      </c>
      <c r="M270" s="8" t="str">
        <f t="shared" si="52"/>
        <v>USD</v>
      </c>
      <c r="N270" s="13">
        <v>847.56</v>
      </c>
      <c r="O270" s="13"/>
      <c r="P270" s="3">
        <f t="shared" si="34"/>
        <v>0</v>
      </c>
      <c r="Q270" s="3">
        <f t="shared" si="35"/>
        <v>0</v>
      </c>
      <c r="R270" s="3">
        <f t="shared" si="48"/>
        <v>2385.9800000000037</v>
      </c>
      <c r="S270" s="24" t="s">
        <v>1334</v>
      </c>
      <c r="T270" s="24" t="s">
        <v>1334</v>
      </c>
      <c r="U270" s="61"/>
      <c r="V270" s="3"/>
      <c r="W270" s="3"/>
      <c r="X270" s="3"/>
      <c r="Y270" s="3"/>
      <c r="Z270" s="3"/>
      <c r="AA270" s="3" t="str">
        <f>IF(BCP_Dolares[[#This Row],[fecha]]&gt;0,TEXT(BCP_Dolares[[#This Row],[fecha]],"mmmm"),0)</f>
        <v>Julio</v>
      </c>
    </row>
    <row r="271" spans="1:27" ht="20.25" customHeight="1" x14ac:dyDescent="0.3">
      <c r="A271" s="2" t="str">
        <f>IF(BCP_Dolares[[#This Row],[tipo_registro]]="R",COUNTIFS($C$1:$C270,"R")+1,"")</f>
        <v/>
      </c>
      <c r="B271" s="19" t="str">
        <f t="shared" si="51"/>
        <v>B-BCP - Dolares</v>
      </c>
      <c r="C271" s="3" t="s">
        <v>1352</v>
      </c>
      <c r="D271" s="14">
        <v>45848</v>
      </c>
      <c r="E271" s="5" t="s">
        <v>1338</v>
      </c>
      <c r="F271" s="5"/>
      <c r="G271" s="6" t="s">
        <v>204</v>
      </c>
      <c r="H271" s="6" t="s">
        <v>68</v>
      </c>
      <c r="I271" s="6" t="s">
        <v>1390</v>
      </c>
      <c r="J271" s="6">
        <v>16209</v>
      </c>
      <c r="K271" s="7" t="s">
        <v>5018</v>
      </c>
      <c r="L271" s="8">
        <v>7932989</v>
      </c>
      <c r="M271" s="8" t="str">
        <f t="shared" si="52"/>
        <v>USD</v>
      </c>
      <c r="N271" s="13">
        <v>1794.32</v>
      </c>
      <c r="O271" s="13"/>
      <c r="P271" s="3">
        <f t="shared" ref="P271:P283" si="53">+IF(OR($F271="SALDO",$F271="INGRESO"),$O271,0)</f>
        <v>0</v>
      </c>
      <c r="Q271" s="3">
        <f t="shared" ref="Q271:Q283" si="54">+IF($F271="EGRESO",$O271,0)</f>
        <v>0</v>
      </c>
      <c r="R271" s="3">
        <f t="shared" si="48"/>
        <v>2385.9800000000037</v>
      </c>
      <c r="S271" s="24" t="s">
        <v>1334</v>
      </c>
      <c r="T271" s="24" t="s">
        <v>1334</v>
      </c>
      <c r="U271" s="61"/>
      <c r="V271" s="3"/>
      <c r="W271" s="3"/>
      <c r="X271" s="3"/>
      <c r="Y271" s="3"/>
      <c r="Z271" s="3"/>
      <c r="AA271" s="3" t="str">
        <f>IF(BCP_Dolares[[#This Row],[fecha]]&gt;0,TEXT(BCP_Dolares[[#This Row],[fecha]],"mmmm"),0)</f>
        <v>Julio</v>
      </c>
    </row>
    <row r="272" spans="1:27" ht="20.25" customHeight="1" x14ac:dyDescent="0.3">
      <c r="A272" s="2" t="str">
        <f>IF(BCP_Dolares[[#This Row],[tipo_registro]]="R",COUNTIFS($C$1:$C271,"R")+1,"")</f>
        <v/>
      </c>
      <c r="B272" s="19" t="str">
        <f t="shared" si="51"/>
        <v>B-BCP - Dolares</v>
      </c>
      <c r="C272" s="3" t="s">
        <v>1352</v>
      </c>
      <c r="D272" s="14">
        <v>45848</v>
      </c>
      <c r="E272" s="5" t="s">
        <v>1338</v>
      </c>
      <c r="F272" s="5"/>
      <c r="G272" s="6" t="s">
        <v>204</v>
      </c>
      <c r="H272" s="6" t="s">
        <v>68</v>
      </c>
      <c r="I272" s="6" t="s">
        <v>1390</v>
      </c>
      <c r="J272" s="6">
        <v>16265</v>
      </c>
      <c r="K272" s="7" t="s">
        <v>5018</v>
      </c>
      <c r="L272" s="8">
        <v>7932989</v>
      </c>
      <c r="M272" s="8" t="str">
        <f t="shared" si="52"/>
        <v>USD</v>
      </c>
      <c r="N272" s="13">
        <v>63.08</v>
      </c>
      <c r="O272" s="13"/>
      <c r="P272" s="3">
        <f t="shared" si="53"/>
        <v>0</v>
      </c>
      <c r="Q272" s="3">
        <f t="shared" si="54"/>
        <v>0</v>
      </c>
      <c r="R272" s="3">
        <f t="shared" si="48"/>
        <v>2385.9800000000037</v>
      </c>
      <c r="S272" s="24" t="s">
        <v>1334</v>
      </c>
      <c r="T272" s="24" t="s">
        <v>1334</v>
      </c>
      <c r="U272" s="61"/>
      <c r="V272" s="3"/>
      <c r="W272" s="3"/>
      <c r="X272" s="3"/>
      <c r="Y272" s="3"/>
      <c r="Z272" s="3"/>
      <c r="AA272" s="3" t="str">
        <f>IF(BCP_Dolares[[#This Row],[fecha]]&gt;0,TEXT(BCP_Dolares[[#This Row],[fecha]],"mmmm"),0)</f>
        <v>Julio</v>
      </c>
    </row>
    <row r="273" spans="1:27" x14ac:dyDescent="0.3">
      <c r="A273" s="2">
        <f>IF(BCP_Dolares[[#This Row],[tipo_registro]]="R",COUNTIFS($C$1:$C272,"R")+1,"")</f>
        <v>123</v>
      </c>
      <c r="B273" s="19" t="str">
        <f t="shared" si="51"/>
        <v>B-BCP - Dolares</v>
      </c>
      <c r="C273" s="3" t="s">
        <v>1330</v>
      </c>
      <c r="D273" s="14">
        <v>45848</v>
      </c>
      <c r="E273" s="5" t="s">
        <v>1335</v>
      </c>
      <c r="F273" s="5" t="s">
        <v>1336</v>
      </c>
      <c r="G273" s="6" t="s">
        <v>1009</v>
      </c>
      <c r="H273" s="6" t="s">
        <v>64</v>
      </c>
      <c r="I273" s="6" t="s">
        <v>5017</v>
      </c>
      <c r="J273" s="6">
        <v>123</v>
      </c>
      <c r="K273" s="7" t="s">
        <v>3160</v>
      </c>
      <c r="L273" s="8"/>
      <c r="M273" s="8" t="str">
        <f t="shared" si="52"/>
        <v>USD</v>
      </c>
      <c r="N273" s="13"/>
      <c r="O273" s="13">
        <v>0.15</v>
      </c>
      <c r="P273" s="3">
        <f t="shared" si="53"/>
        <v>0</v>
      </c>
      <c r="Q273" s="3">
        <f t="shared" si="54"/>
        <v>0.15</v>
      </c>
      <c r="R273" s="3">
        <f t="shared" si="48"/>
        <v>2385.8300000000036</v>
      </c>
      <c r="S273" s="24" t="s">
        <v>1334</v>
      </c>
      <c r="T273" s="24" t="s">
        <v>1334</v>
      </c>
      <c r="U273" s="61"/>
      <c r="V273" s="3"/>
      <c r="W273" s="3"/>
      <c r="X273" s="3"/>
      <c r="Y273" s="3"/>
      <c r="Z273" s="3"/>
      <c r="AA273" s="3" t="str">
        <f>IF(BCP_Dolares[[#This Row],[fecha]]&gt;0,TEXT(BCP_Dolares[[#This Row],[fecha]],"mmmm"),0)</f>
        <v>Julio</v>
      </c>
    </row>
    <row r="274" spans="1:27" x14ac:dyDescent="0.3">
      <c r="A274" s="2">
        <f>IF(BCP_Dolares[[#This Row],[tipo_registro]]="R",COUNTIFS($C$1:$C273,"R")+1,"")</f>
        <v>124</v>
      </c>
      <c r="B274" s="19" t="str">
        <f t="shared" ref="B274:B281" si="55">"B-BCP - Dolares"</f>
        <v>B-BCP - Dolares</v>
      </c>
      <c r="C274" s="3" t="s">
        <v>1330</v>
      </c>
      <c r="D274" s="14">
        <v>45853</v>
      </c>
      <c r="E274" s="5" t="s">
        <v>4025</v>
      </c>
      <c r="F274" s="5" t="s">
        <v>1303</v>
      </c>
      <c r="G274" s="6" t="s">
        <v>425</v>
      </c>
      <c r="H274" s="6" t="s">
        <v>68</v>
      </c>
      <c r="I274" s="6" t="s">
        <v>1784</v>
      </c>
      <c r="J274" s="6">
        <v>134</v>
      </c>
      <c r="K274" s="7" t="s">
        <v>4026</v>
      </c>
      <c r="L274" s="8">
        <v>2282668</v>
      </c>
      <c r="M274" s="8" t="str">
        <f t="shared" ref="M274:M281" si="56">"USD"</f>
        <v>USD</v>
      </c>
      <c r="N274" s="13"/>
      <c r="O274" s="13">
        <v>7768</v>
      </c>
      <c r="P274" s="3">
        <f t="shared" si="53"/>
        <v>7768</v>
      </c>
      <c r="Q274" s="3">
        <f t="shared" si="54"/>
        <v>0</v>
      </c>
      <c r="R274" s="3">
        <f t="shared" si="48"/>
        <v>10153.830000000004</v>
      </c>
      <c r="S274" s="24"/>
      <c r="T274" s="24"/>
      <c r="U274" s="61"/>
      <c r="V274" s="3"/>
      <c r="W274" s="3"/>
      <c r="X274" s="3"/>
      <c r="Y274" s="3"/>
      <c r="Z274" s="3"/>
      <c r="AA274" s="3" t="str">
        <f>IF(BCP_Dolares[[#This Row],[fecha]]&gt;0,TEXT(BCP_Dolares[[#This Row],[fecha]],"mmmm"),0)</f>
        <v>Julio</v>
      </c>
    </row>
    <row r="275" spans="1:27" x14ac:dyDescent="0.3">
      <c r="A275" s="2">
        <f>IF(BCP_Dolares[[#This Row],[tipo_registro]]="R",COUNTIFS($C$1:$C274,"R")+1,"")</f>
        <v>125</v>
      </c>
      <c r="B275" s="19" t="str">
        <f t="shared" si="55"/>
        <v>B-BCP - Dolares</v>
      </c>
      <c r="C275" s="3" t="s">
        <v>1330</v>
      </c>
      <c r="D275" s="14">
        <v>45853</v>
      </c>
      <c r="E275" s="5" t="s">
        <v>1338</v>
      </c>
      <c r="F275" s="5" t="s">
        <v>1336</v>
      </c>
      <c r="G275" s="6" t="s">
        <v>696</v>
      </c>
      <c r="H275" s="6"/>
      <c r="I275" s="6"/>
      <c r="J275" s="6"/>
      <c r="K275" s="7" t="s">
        <v>5019</v>
      </c>
      <c r="L275" s="8">
        <v>458759</v>
      </c>
      <c r="M275" s="8" t="str">
        <f t="shared" si="56"/>
        <v>USD</v>
      </c>
      <c r="N275" s="13"/>
      <c r="O275" s="13">
        <v>435.82</v>
      </c>
      <c r="P275" s="3">
        <f t="shared" si="53"/>
        <v>0</v>
      </c>
      <c r="Q275" s="3">
        <f t="shared" si="54"/>
        <v>435.82</v>
      </c>
      <c r="R275" s="3">
        <f t="shared" si="48"/>
        <v>9718.0100000000039</v>
      </c>
      <c r="S275" s="24" t="s">
        <v>1334</v>
      </c>
      <c r="T275" s="24" t="s">
        <v>1334</v>
      </c>
      <c r="U275" s="61"/>
      <c r="V275" s="3"/>
      <c r="W275" s="3"/>
      <c r="X275" s="3"/>
      <c r="Y275" s="3"/>
      <c r="Z275" s="3"/>
      <c r="AA275" s="3" t="str">
        <f>IF(BCP_Dolares[[#This Row],[fecha]]&gt;0,TEXT(BCP_Dolares[[#This Row],[fecha]],"mmmm"),0)</f>
        <v>Julio</v>
      </c>
    </row>
    <row r="276" spans="1:27" ht="24" x14ac:dyDescent="0.3">
      <c r="A276" s="2" t="str">
        <f>IF(BCP_Dolares[[#This Row],[tipo_registro]]="R",COUNTIFS($C$1:$C275,"R")+1,"")</f>
        <v/>
      </c>
      <c r="B276" s="19" t="str">
        <f t="shared" si="55"/>
        <v>B-BCP - Dolares</v>
      </c>
      <c r="C276" s="3" t="s">
        <v>1352</v>
      </c>
      <c r="D276" s="14">
        <v>45853</v>
      </c>
      <c r="E276" s="5" t="s">
        <v>1338</v>
      </c>
      <c r="F276" s="5"/>
      <c r="G276" s="6" t="s">
        <v>204</v>
      </c>
      <c r="H276" s="6" t="s">
        <v>68</v>
      </c>
      <c r="I276" s="6" t="s">
        <v>1390</v>
      </c>
      <c r="J276" s="6">
        <v>16283</v>
      </c>
      <c r="K276" s="7" t="s">
        <v>5019</v>
      </c>
      <c r="L276" s="8">
        <v>458759</v>
      </c>
      <c r="M276" s="8" t="str">
        <f t="shared" si="56"/>
        <v>USD</v>
      </c>
      <c r="N276" s="13">
        <v>81.92</v>
      </c>
      <c r="O276" s="13"/>
      <c r="P276" s="3">
        <f t="shared" si="53"/>
        <v>0</v>
      </c>
      <c r="Q276" s="3">
        <f t="shared" si="54"/>
        <v>0</v>
      </c>
      <c r="R276" s="3">
        <f t="shared" si="48"/>
        <v>9718.0100000000039</v>
      </c>
      <c r="S276" s="24" t="s">
        <v>1334</v>
      </c>
      <c r="T276" s="24" t="s">
        <v>1334</v>
      </c>
      <c r="U276" s="61"/>
      <c r="V276" s="3"/>
      <c r="W276" s="3"/>
      <c r="X276" s="3"/>
      <c r="Y276" s="3"/>
      <c r="Z276" s="3"/>
      <c r="AA276" s="3" t="str">
        <f>IF(BCP_Dolares[[#This Row],[fecha]]&gt;0,TEXT(BCP_Dolares[[#This Row],[fecha]],"mmmm"),0)</f>
        <v>Julio</v>
      </c>
    </row>
    <row r="277" spans="1:27" ht="24" x14ac:dyDescent="0.3">
      <c r="A277" s="2" t="str">
        <f>IF(BCP_Dolares[[#This Row],[tipo_registro]]="R",COUNTIFS($C$1:$C276,"R")+1,"")</f>
        <v/>
      </c>
      <c r="B277" s="19" t="str">
        <f t="shared" si="55"/>
        <v>B-BCP - Dolares</v>
      </c>
      <c r="C277" s="3" t="s">
        <v>1352</v>
      </c>
      <c r="D277" s="14">
        <v>45853</v>
      </c>
      <c r="E277" s="5" t="s">
        <v>1338</v>
      </c>
      <c r="F277" s="5"/>
      <c r="G277" s="6" t="s">
        <v>204</v>
      </c>
      <c r="H277" s="6" t="s">
        <v>68</v>
      </c>
      <c r="I277" s="6" t="s">
        <v>1390</v>
      </c>
      <c r="J277" s="6">
        <v>16270</v>
      </c>
      <c r="K277" s="7" t="s">
        <v>5019</v>
      </c>
      <c r="L277" s="8">
        <v>458759</v>
      </c>
      <c r="M277" s="8" t="str">
        <f t="shared" si="56"/>
        <v>USD</v>
      </c>
      <c r="N277" s="13">
        <v>51.1</v>
      </c>
      <c r="O277" s="13"/>
      <c r="P277" s="3">
        <f t="shared" si="53"/>
        <v>0</v>
      </c>
      <c r="Q277" s="3">
        <f t="shared" si="54"/>
        <v>0</v>
      </c>
      <c r="R277" s="3">
        <f t="shared" si="48"/>
        <v>9718.0100000000039</v>
      </c>
      <c r="S277" s="24" t="s">
        <v>1334</v>
      </c>
      <c r="T277" s="24" t="s">
        <v>1334</v>
      </c>
      <c r="U277" s="61"/>
      <c r="V277" s="3"/>
      <c r="W277" s="3"/>
      <c r="X277" s="3"/>
      <c r="Y277" s="3"/>
      <c r="Z277" s="3"/>
      <c r="AA277" s="3" t="str">
        <f>IF(BCP_Dolares[[#This Row],[fecha]]&gt;0,TEXT(BCP_Dolares[[#This Row],[fecha]],"mmmm"),0)</f>
        <v>Julio</v>
      </c>
    </row>
    <row r="278" spans="1:27" ht="24" x14ac:dyDescent="0.3">
      <c r="A278" s="2" t="str">
        <f>IF(BCP_Dolares[[#This Row],[tipo_registro]]="R",COUNTIFS($C$1:$C277,"R")+1,"")</f>
        <v/>
      </c>
      <c r="B278" s="19" t="str">
        <f t="shared" si="55"/>
        <v>B-BCP - Dolares</v>
      </c>
      <c r="C278" s="3" t="s">
        <v>1352</v>
      </c>
      <c r="D278" s="14">
        <v>45853</v>
      </c>
      <c r="E278" s="5" t="s">
        <v>1338</v>
      </c>
      <c r="F278" s="5"/>
      <c r="G278" s="6" t="s">
        <v>204</v>
      </c>
      <c r="H278" s="6" t="s">
        <v>68</v>
      </c>
      <c r="I278" s="6" t="s">
        <v>1390</v>
      </c>
      <c r="J278" s="6">
        <v>16295</v>
      </c>
      <c r="K278" s="7" t="s">
        <v>5019</v>
      </c>
      <c r="L278" s="8">
        <v>458759</v>
      </c>
      <c r="M278" s="8" t="str">
        <f t="shared" si="56"/>
        <v>USD</v>
      </c>
      <c r="N278" s="13">
        <v>52.91</v>
      </c>
      <c r="O278" s="13"/>
      <c r="P278" s="3">
        <f t="shared" si="53"/>
        <v>0</v>
      </c>
      <c r="Q278" s="3">
        <f t="shared" si="54"/>
        <v>0</v>
      </c>
      <c r="R278" s="3">
        <f t="shared" si="48"/>
        <v>9718.0100000000039</v>
      </c>
      <c r="S278" s="24" t="s">
        <v>1334</v>
      </c>
      <c r="T278" s="24" t="s">
        <v>1334</v>
      </c>
      <c r="U278" s="61"/>
      <c r="V278" s="3"/>
      <c r="W278" s="3"/>
      <c r="X278" s="3"/>
      <c r="Y278" s="3"/>
      <c r="Z278" s="3"/>
      <c r="AA278" s="3" t="str">
        <f>IF(BCP_Dolares[[#This Row],[fecha]]&gt;0,TEXT(BCP_Dolares[[#This Row],[fecha]],"mmmm"),0)</f>
        <v>Julio</v>
      </c>
    </row>
    <row r="279" spans="1:27" ht="24" x14ac:dyDescent="0.3">
      <c r="A279" s="2" t="str">
        <f>IF(BCP_Dolares[[#This Row],[tipo_registro]]="R",COUNTIFS($C$1:$C278,"R")+1,"")</f>
        <v/>
      </c>
      <c r="B279" s="19" t="str">
        <f t="shared" si="55"/>
        <v>B-BCP - Dolares</v>
      </c>
      <c r="C279" s="3" t="s">
        <v>1352</v>
      </c>
      <c r="D279" s="14">
        <v>45853</v>
      </c>
      <c r="E279" s="5" t="s">
        <v>1338</v>
      </c>
      <c r="F279" s="5"/>
      <c r="G279" s="6" t="s">
        <v>204</v>
      </c>
      <c r="H279" s="6" t="s">
        <v>68</v>
      </c>
      <c r="I279" s="6" t="s">
        <v>1390</v>
      </c>
      <c r="J279" s="6">
        <v>16298</v>
      </c>
      <c r="K279" s="7" t="s">
        <v>5019</v>
      </c>
      <c r="L279" s="8">
        <v>458759</v>
      </c>
      <c r="M279" s="8" t="str">
        <f t="shared" si="56"/>
        <v>USD</v>
      </c>
      <c r="N279" s="13">
        <v>46.23</v>
      </c>
      <c r="O279" s="13"/>
      <c r="P279" s="3">
        <f t="shared" si="53"/>
        <v>0</v>
      </c>
      <c r="Q279" s="3">
        <f t="shared" si="54"/>
        <v>0</v>
      </c>
      <c r="R279" s="3">
        <f t="shared" si="48"/>
        <v>9718.0100000000039</v>
      </c>
      <c r="S279" s="24" t="s">
        <v>1334</v>
      </c>
      <c r="T279" s="24" t="s">
        <v>1334</v>
      </c>
      <c r="U279" s="61"/>
      <c r="V279" s="3"/>
      <c r="W279" s="3"/>
      <c r="X279" s="3"/>
      <c r="Y279" s="3"/>
      <c r="Z279" s="3"/>
      <c r="AA279" s="3" t="str">
        <f>IF(BCP_Dolares[[#This Row],[fecha]]&gt;0,TEXT(BCP_Dolares[[#This Row],[fecha]],"mmmm"),0)</f>
        <v>Julio</v>
      </c>
    </row>
    <row r="280" spans="1:27" ht="24" x14ac:dyDescent="0.3">
      <c r="A280" s="2" t="str">
        <f>IF(BCP_Dolares[[#This Row],[tipo_registro]]="R",COUNTIFS($C$1:$C279,"R")+1,"")</f>
        <v/>
      </c>
      <c r="B280" s="19" t="str">
        <f t="shared" si="55"/>
        <v>B-BCP - Dolares</v>
      </c>
      <c r="C280" s="3" t="s">
        <v>1352</v>
      </c>
      <c r="D280" s="14">
        <v>45853</v>
      </c>
      <c r="E280" s="5" t="s">
        <v>1338</v>
      </c>
      <c r="F280" s="5"/>
      <c r="G280" s="6" t="s">
        <v>204</v>
      </c>
      <c r="H280" s="6" t="s">
        <v>68</v>
      </c>
      <c r="I280" s="6" t="s">
        <v>1390</v>
      </c>
      <c r="J280" s="6">
        <v>16271</v>
      </c>
      <c r="K280" s="7" t="s">
        <v>5019</v>
      </c>
      <c r="L280" s="8">
        <v>458759</v>
      </c>
      <c r="M280" s="8" t="str">
        <f t="shared" si="56"/>
        <v>USD</v>
      </c>
      <c r="N280" s="13">
        <v>96.42</v>
      </c>
      <c r="O280" s="13"/>
      <c r="P280" s="3">
        <f t="shared" si="53"/>
        <v>0</v>
      </c>
      <c r="Q280" s="3">
        <f t="shared" si="54"/>
        <v>0</v>
      </c>
      <c r="R280" s="3">
        <f t="shared" si="48"/>
        <v>9718.0100000000039</v>
      </c>
      <c r="S280" s="24" t="s">
        <v>1334</v>
      </c>
      <c r="T280" s="24" t="s">
        <v>1334</v>
      </c>
      <c r="U280" s="61"/>
      <c r="V280" s="3"/>
      <c r="W280" s="3"/>
      <c r="X280" s="3"/>
      <c r="Y280" s="3"/>
      <c r="Z280" s="3"/>
      <c r="AA280" s="3" t="str">
        <f>IF(BCP_Dolares[[#This Row],[fecha]]&gt;0,TEXT(BCP_Dolares[[#This Row],[fecha]],"mmmm"),0)</f>
        <v>Julio</v>
      </c>
    </row>
    <row r="281" spans="1:27" ht="24" x14ac:dyDescent="0.3">
      <c r="A281" s="2" t="str">
        <f>IF(BCP_Dolares[[#This Row],[tipo_registro]]="R",COUNTIFS($C$1:$C280,"R")+1,"")</f>
        <v/>
      </c>
      <c r="B281" s="19" t="str">
        <f t="shared" si="55"/>
        <v>B-BCP - Dolares</v>
      </c>
      <c r="C281" s="3" t="s">
        <v>1352</v>
      </c>
      <c r="D281" s="14">
        <v>45853</v>
      </c>
      <c r="E281" s="5" t="s">
        <v>1338</v>
      </c>
      <c r="F281" s="5"/>
      <c r="G281" s="6" t="s">
        <v>204</v>
      </c>
      <c r="H281" s="6" t="s">
        <v>68</v>
      </c>
      <c r="I281" s="6" t="s">
        <v>1390</v>
      </c>
      <c r="J281" s="6">
        <v>16294</v>
      </c>
      <c r="K281" s="7" t="s">
        <v>5019</v>
      </c>
      <c r="L281" s="8">
        <v>458759</v>
      </c>
      <c r="M281" s="8" t="str">
        <f t="shared" si="56"/>
        <v>USD</v>
      </c>
      <c r="N281" s="13">
        <v>107.24</v>
      </c>
      <c r="O281" s="13"/>
      <c r="P281" s="3">
        <f t="shared" si="53"/>
        <v>0</v>
      </c>
      <c r="Q281" s="3">
        <f t="shared" si="54"/>
        <v>0</v>
      </c>
      <c r="R281" s="3">
        <f t="shared" si="48"/>
        <v>9718.0100000000039</v>
      </c>
      <c r="S281" s="24" t="s">
        <v>1334</v>
      </c>
      <c r="T281" s="24" t="s">
        <v>1334</v>
      </c>
      <c r="U281" s="61"/>
      <c r="V281" s="3"/>
      <c r="W281" s="3"/>
      <c r="X281" s="3"/>
      <c r="Y281" s="3"/>
      <c r="Z281" s="3"/>
      <c r="AA281" s="3" t="str">
        <f>IF(BCP_Dolares[[#This Row],[fecha]]&gt;0,TEXT(BCP_Dolares[[#This Row],[fecha]],"mmmm"),0)</f>
        <v>Julio</v>
      </c>
    </row>
    <row r="282" spans="1:27" x14ac:dyDescent="0.3">
      <c r="A282" s="2">
        <f>IF(BCP_Dolares[[#This Row],[tipo_registro]]="R",COUNTIFS($C$1:$C281,"R")+1,"")</f>
        <v>126</v>
      </c>
      <c r="B282" s="19" t="str">
        <f t="shared" ref="B282:B283" si="57">"B-BCP - Dolares"</f>
        <v>B-BCP - Dolares</v>
      </c>
      <c r="C282" s="3" t="s">
        <v>1330</v>
      </c>
      <c r="D282" s="14">
        <v>45853</v>
      </c>
      <c r="E282" s="5" t="s">
        <v>1331</v>
      </c>
      <c r="F282" s="5" t="s">
        <v>1336</v>
      </c>
      <c r="G282" s="6" t="s">
        <v>425</v>
      </c>
      <c r="H282" s="6"/>
      <c r="I282" s="6"/>
      <c r="J282" s="6"/>
      <c r="K282" s="7" t="s">
        <v>3888</v>
      </c>
      <c r="L282" s="8">
        <v>1360480</v>
      </c>
      <c r="M282" s="8" t="str">
        <f t="shared" ref="M282:M283" si="58">"USD"</f>
        <v>USD</v>
      </c>
      <c r="N282" s="13"/>
      <c r="O282" s="13">
        <v>9700</v>
      </c>
      <c r="P282" s="3">
        <f t="shared" si="53"/>
        <v>0</v>
      </c>
      <c r="Q282" s="3">
        <f t="shared" si="54"/>
        <v>9700</v>
      </c>
      <c r="R282" s="3">
        <f t="shared" si="48"/>
        <v>18.010000000003856</v>
      </c>
      <c r="S282" s="24" t="s">
        <v>1334</v>
      </c>
      <c r="T282" s="24" t="s">
        <v>1334</v>
      </c>
      <c r="U282" s="61"/>
      <c r="V282" s="3"/>
      <c r="W282" s="3"/>
      <c r="X282" s="3"/>
      <c r="Y282" s="3"/>
      <c r="Z282" s="3"/>
      <c r="AA282" s="3" t="str">
        <f>IF(BCP_Dolares[[#This Row],[fecha]]&gt;0,TEXT(BCP_Dolares[[#This Row],[fecha]],"mmmm"),0)</f>
        <v>Julio</v>
      </c>
    </row>
    <row r="283" spans="1:27" x14ac:dyDescent="0.3">
      <c r="A283" s="2">
        <f>IF(BCP_Dolares[[#This Row],[tipo_registro]]="R",COUNTIFS($C$1:$C282,"R")+1,"")</f>
        <v>127</v>
      </c>
      <c r="B283" s="19" t="str">
        <f t="shared" si="57"/>
        <v>B-BCP - Dolares</v>
      </c>
      <c r="C283" s="3" t="s">
        <v>1330</v>
      </c>
      <c r="D283" s="14">
        <v>45853</v>
      </c>
      <c r="E283" s="5" t="s">
        <v>1335</v>
      </c>
      <c r="F283" s="5" t="s">
        <v>1336</v>
      </c>
      <c r="G283" s="6" t="s">
        <v>1009</v>
      </c>
      <c r="H283" s="6" t="s">
        <v>64</v>
      </c>
      <c r="I283" s="6" t="s">
        <v>5017</v>
      </c>
      <c r="J283" s="6">
        <v>127</v>
      </c>
      <c r="K283" s="7" t="s">
        <v>3160</v>
      </c>
      <c r="L283" s="8"/>
      <c r="M283" s="8" t="str">
        <f t="shared" si="58"/>
        <v>USD</v>
      </c>
      <c r="N283" s="13"/>
      <c r="O283" s="13">
        <v>0.35</v>
      </c>
      <c r="P283" s="3">
        <f t="shared" si="53"/>
        <v>0</v>
      </c>
      <c r="Q283" s="3">
        <f t="shared" si="54"/>
        <v>0.35</v>
      </c>
      <c r="R283" s="3">
        <f t="shared" si="48"/>
        <v>17.660000000003855</v>
      </c>
      <c r="S283" s="24" t="s">
        <v>1334</v>
      </c>
      <c r="T283" s="24" t="s">
        <v>1334</v>
      </c>
      <c r="U283" s="61"/>
      <c r="V283" s="3"/>
      <c r="W283" s="3"/>
      <c r="X283" s="3"/>
      <c r="Y283" s="3"/>
      <c r="Z283" s="3"/>
      <c r="AA283" s="3" t="str">
        <f>IF(BCP_Dolares[[#This Row],[fecha]]&gt;0,TEXT(BCP_Dolares[[#This Row],[fecha]],"mmmm"),0)</f>
        <v>Julio</v>
      </c>
    </row>
    <row r="284" spans="1:27" x14ac:dyDescent="0.3">
      <c r="A284" s="2">
        <f>IF(BCP_Dolares[[#This Row],[tipo_registro]]="R",COUNTIFS($C$1:$C283,"R")+1,"")</f>
        <v>128</v>
      </c>
      <c r="B284" s="19" t="str">
        <f t="shared" ref="B284:B296" si="59">"B-BCP - Dolares"</f>
        <v>B-BCP - Dolares</v>
      </c>
      <c r="C284" s="3" t="s">
        <v>1330</v>
      </c>
      <c r="D284" s="14">
        <v>45854</v>
      </c>
      <c r="E284" s="5" t="s">
        <v>4025</v>
      </c>
      <c r="F284" s="5" t="s">
        <v>1303</v>
      </c>
      <c r="G284" s="6" t="s">
        <v>425</v>
      </c>
      <c r="H284" s="6" t="s">
        <v>68</v>
      </c>
      <c r="I284" s="6" t="s">
        <v>1784</v>
      </c>
      <c r="J284" s="6">
        <v>134</v>
      </c>
      <c r="K284" s="7" t="s">
        <v>4310</v>
      </c>
      <c r="L284" s="8">
        <v>2185317</v>
      </c>
      <c r="M284" s="8" t="str">
        <f t="shared" ref="M284:M296" si="60">"USD"</f>
        <v>USD</v>
      </c>
      <c r="N284" s="13"/>
      <c r="O284" s="13">
        <v>863.47</v>
      </c>
      <c r="P284" s="3">
        <f t="shared" ref="P284:P296" si="61">+IF(OR($F284="SALDO",$F284="INGRESO"),$O284,0)</f>
        <v>863.47</v>
      </c>
      <c r="Q284" s="3">
        <f t="shared" ref="Q284:Q296" si="62">+IF($F284="EGRESO",$O284,0)</f>
        <v>0</v>
      </c>
      <c r="R284" s="3">
        <f t="shared" si="48"/>
        <v>881.13000000000386</v>
      </c>
      <c r="S284" s="24"/>
      <c r="T284" s="24"/>
      <c r="U284" s="61"/>
      <c r="V284" s="3"/>
      <c r="W284" s="3"/>
      <c r="X284" s="3"/>
      <c r="Y284" s="3"/>
      <c r="Z284" s="3"/>
      <c r="AA284" s="3" t="str">
        <f>IF(BCP_Dolares[[#This Row],[fecha]]&gt;0,TEXT(BCP_Dolares[[#This Row],[fecha]],"mmmm"),0)</f>
        <v>Julio</v>
      </c>
    </row>
    <row r="285" spans="1:27" x14ac:dyDescent="0.3">
      <c r="A285" s="2">
        <f>IF(BCP_Dolares[[#This Row],[tipo_registro]]="R",COUNTIFS($C$1:$C284,"R")+1,"")</f>
        <v>129</v>
      </c>
      <c r="B285" s="19" t="str">
        <f t="shared" si="59"/>
        <v>B-BCP - Dolares</v>
      </c>
      <c r="C285" s="3" t="s">
        <v>1330</v>
      </c>
      <c r="D285" s="14">
        <v>45856</v>
      </c>
      <c r="E285" s="5" t="s">
        <v>1331</v>
      </c>
      <c r="F285" s="5" t="s">
        <v>1303</v>
      </c>
      <c r="G285" s="6" t="s">
        <v>425</v>
      </c>
      <c r="H285" s="6"/>
      <c r="I285" s="6"/>
      <c r="J285" s="6"/>
      <c r="K285" s="7" t="s">
        <v>3946</v>
      </c>
      <c r="L285" s="8">
        <v>2267708</v>
      </c>
      <c r="M285" s="8" t="str">
        <f t="shared" si="60"/>
        <v>USD</v>
      </c>
      <c r="N285" s="13"/>
      <c r="O285" s="13">
        <v>140</v>
      </c>
      <c r="P285" s="3">
        <f t="shared" si="61"/>
        <v>140</v>
      </c>
      <c r="Q285" s="3">
        <f t="shared" si="62"/>
        <v>0</v>
      </c>
      <c r="R285" s="3">
        <f t="shared" si="48"/>
        <v>1021.1300000000039</v>
      </c>
      <c r="S285" s="24" t="s">
        <v>1334</v>
      </c>
      <c r="T285" s="24" t="s">
        <v>1334</v>
      </c>
      <c r="U285" s="61"/>
      <c r="V285" s="3"/>
      <c r="W285" s="3"/>
      <c r="X285" s="3"/>
      <c r="Y285" s="3"/>
      <c r="Z285" s="3"/>
      <c r="AA285" s="3" t="str">
        <f>IF(BCP_Dolares[[#This Row],[fecha]]&gt;0,TEXT(BCP_Dolares[[#This Row],[fecha]],"mmmm"),0)</f>
        <v>Julio</v>
      </c>
    </row>
    <row r="286" spans="1:27" ht="24" x14ac:dyDescent="0.3">
      <c r="A286" s="2">
        <f>IF(BCP_Dolares[[#This Row],[tipo_registro]]="R",COUNTIFS($C$1:$C285,"R")+1,"")</f>
        <v>130</v>
      </c>
      <c r="B286" s="19" t="str">
        <f t="shared" si="59"/>
        <v>B-BCP - Dolares</v>
      </c>
      <c r="C286" s="3" t="s">
        <v>1330</v>
      </c>
      <c r="D286" s="14">
        <v>45856</v>
      </c>
      <c r="E286" s="5" t="s">
        <v>1338</v>
      </c>
      <c r="F286" s="5" t="s">
        <v>1336</v>
      </c>
      <c r="G286" s="6" t="s">
        <v>778</v>
      </c>
      <c r="H286" s="6"/>
      <c r="I286" s="6"/>
      <c r="J286" s="6"/>
      <c r="K286" s="7" t="s">
        <v>5020</v>
      </c>
      <c r="L286" s="8">
        <v>266822</v>
      </c>
      <c r="M286" s="8" t="str">
        <f t="shared" si="60"/>
        <v>USD</v>
      </c>
      <c r="N286" s="13"/>
      <c r="O286" s="13">
        <v>1010.25</v>
      </c>
      <c r="P286" s="3">
        <f t="shared" si="61"/>
        <v>0</v>
      </c>
      <c r="Q286" s="3">
        <f t="shared" si="62"/>
        <v>1010.25</v>
      </c>
      <c r="R286" s="3">
        <f t="shared" si="48"/>
        <v>10.880000000003861</v>
      </c>
      <c r="S286" s="24" t="s">
        <v>1334</v>
      </c>
      <c r="T286" s="24"/>
      <c r="U286" s="56" t="s">
        <v>5021</v>
      </c>
      <c r="V286" s="3"/>
      <c r="W286" s="3"/>
      <c r="X286" s="3"/>
      <c r="Y286" s="3"/>
      <c r="Z286" s="3"/>
      <c r="AA286" s="3" t="str">
        <f>IF(BCP_Dolares[[#This Row],[fecha]]&gt;0,TEXT(BCP_Dolares[[#This Row],[fecha]],"mmmm"),0)</f>
        <v>Julio</v>
      </c>
    </row>
    <row r="287" spans="1:27" ht="24" x14ac:dyDescent="0.3">
      <c r="A287" s="2" t="str">
        <f>IF(BCP_Dolares[[#This Row],[tipo_registro]]="R",COUNTIFS($C$1:$C286,"R")+1,"")</f>
        <v/>
      </c>
      <c r="B287" s="19" t="str">
        <f>"B-BCP - Dolares"</f>
        <v>B-BCP - Dolares</v>
      </c>
      <c r="C287" s="3" t="s">
        <v>1352</v>
      </c>
      <c r="D287" s="14">
        <v>45856</v>
      </c>
      <c r="E287" s="5" t="s">
        <v>1338</v>
      </c>
      <c r="F287" s="5"/>
      <c r="G287" s="6" t="s">
        <v>778</v>
      </c>
      <c r="H287" s="6" t="s">
        <v>147</v>
      </c>
      <c r="I287" s="6" t="s">
        <v>3078</v>
      </c>
      <c r="J287" s="6">
        <v>167817</v>
      </c>
      <c r="K287" s="7" t="s">
        <v>5020</v>
      </c>
      <c r="L287" s="8">
        <v>266822</v>
      </c>
      <c r="M287" s="8" t="str">
        <f>"USD"</f>
        <v>USD</v>
      </c>
      <c r="N287" s="13"/>
      <c r="O287" s="13"/>
      <c r="P287" s="3">
        <f>+IF(OR($F287="SALDO",$F287="INGRESO"),$O287,0)</f>
        <v>0</v>
      </c>
      <c r="Q287" s="3">
        <f>+IF($F287="EGRESO",$O287,0)</f>
        <v>0</v>
      </c>
      <c r="R287" s="3">
        <f t="shared" si="48"/>
        <v>10.880000000003861</v>
      </c>
      <c r="S287" s="24" t="s">
        <v>1334</v>
      </c>
      <c r="T287" s="24"/>
      <c r="U287" s="56"/>
      <c r="V287" s="3"/>
      <c r="W287" s="3"/>
      <c r="X287" s="3"/>
      <c r="Y287" s="3"/>
      <c r="Z287" s="3"/>
      <c r="AA287" s="3" t="str">
        <f>IF(BCP_Dolares[[#This Row],[fecha]]&gt;0,TEXT(BCP_Dolares[[#This Row],[fecha]],"mmmm"),0)</f>
        <v>Julio</v>
      </c>
    </row>
    <row r="288" spans="1:27" ht="24" x14ac:dyDescent="0.3">
      <c r="A288" s="2" t="str">
        <f>IF(BCP_Dolares[[#This Row],[tipo_registro]]="R",COUNTIFS($C$1:$C287,"R")+1,"")</f>
        <v/>
      </c>
      <c r="B288" s="19" t="str">
        <f>"B-BCP - Dolares"</f>
        <v>B-BCP - Dolares</v>
      </c>
      <c r="C288" s="3" t="s">
        <v>1352</v>
      </c>
      <c r="D288" s="14">
        <v>45856</v>
      </c>
      <c r="E288" s="5" t="s">
        <v>1338</v>
      </c>
      <c r="F288" s="5"/>
      <c r="G288" s="6" t="s">
        <v>778</v>
      </c>
      <c r="H288" s="6" t="s">
        <v>68</v>
      </c>
      <c r="I288" s="6" t="s">
        <v>3078</v>
      </c>
      <c r="J288" s="6">
        <v>167817</v>
      </c>
      <c r="K288" s="7" t="s">
        <v>5020</v>
      </c>
      <c r="L288" s="8">
        <v>266822</v>
      </c>
      <c r="M288" s="8" t="str">
        <f>"USD"</f>
        <v>USD</v>
      </c>
      <c r="N288" s="13"/>
      <c r="O288" s="13"/>
      <c r="P288" s="3">
        <f>+IF(OR($F288="SALDO",$F288="INGRESO"),$O288,0)</f>
        <v>0</v>
      </c>
      <c r="Q288" s="3">
        <f>+IF($F288="EGRESO",$O288,0)</f>
        <v>0</v>
      </c>
      <c r="R288" s="3">
        <f t="shared" si="48"/>
        <v>10.880000000003861</v>
      </c>
      <c r="S288" s="24" t="s">
        <v>1334</v>
      </c>
      <c r="T288" s="24"/>
      <c r="U288" s="56"/>
      <c r="V288" s="3"/>
      <c r="W288" s="3"/>
      <c r="X288" s="3"/>
      <c r="Y288" s="3"/>
      <c r="Z288" s="3"/>
      <c r="AA288" s="3" t="str">
        <f>IF(BCP_Dolares[[#This Row],[fecha]]&gt;0,TEXT(BCP_Dolares[[#This Row],[fecha]],"mmmm"),0)</f>
        <v>Julio</v>
      </c>
    </row>
    <row r="289" spans="1:27" x14ac:dyDescent="0.3">
      <c r="A289" s="2">
        <f>IF(BCP_Dolares[[#This Row],[tipo_registro]]="R",COUNTIFS($C$1:$C288,"R")+1,"")</f>
        <v>131</v>
      </c>
      <c r="B289" s="19" t="str">
        <f t="shared" si="59"/>
        <v>B-BCP - Dolares</v>
      </c>
      <c r="C289" s="3" t="s">
        <v>1330</v>
      </c>
      <c r="D289" s="14">
        <v>45856</v>
      </c>
      <c r="E289" s="5" t="s">
        <v>1335</v>
      </c>
      <c r="F289" s="5" t="s">
        <v>1336</v>
      </c>
      <c r="G289" s="6" t="s">
        <v>1009</v>
      </c>
      <c r="H289" s="6" t="s">
        <v>64</v>
      </c>
      <c r="I289" s="6" t="s">
        <v>5017</v>
      </c>
      <c r="J289" s="6">
        <v>131</v>
      </c>
      <c r="K289" s="7" t="s">
        <v>3160</v>
      </c>
      <c r="L289" s="8"/>
      <c r="M289" s="8" t="str">
        <f t="shared" si="60"/>
        <v>USD</v>
      </c>
      <c r="N289" s="13"/>
      <c r="O289" s="13">
        <v>0.05</v>
      </c>
      <c r="P289" s="3">
        <f t="shared" si="61"/>
        <v>0</v>
      </c>
      <c r="Q289" s="3">
        <f t="shared" si="62"/>
        <v>0.05</v>
      </c>
      <c r="R289" s="3">
        <f t="shared" si="48"/>
        <v>10.83000000000386</v>
      </c>
      <c r="S289" s="24" t="s">
        <v>1334</v>
      </c>
      <c r="T289" s="24" t="s">
        <v>1334</v>
      </c>
      <c r="U289" s="61"/>
      <c r="V289" s="3"/>
      <c r="W289" s="3"/>
      <c r="X289" s="3"/>
      <c r="Y289" s="3"/>
      <c r="Z289" s="3"/>
      <c r="AA289" s="3" t="str">
        <f>IF(BCP_Dolares[[#This Row],[fecha]]&gt;0,TEXT(BCP_Dolares[[#This Row],[fecha]],"mmmm"),0)</f>
        <v>Julio</v>
      </c>
    </row>
    <row r="290" spans="1:27" x14ac:dyDescent="0.3">
      <c r="A290" s="2">
        <f>IF(BCP_Dolares[[#This Row],[tipo_registro]]="R",COUNTIFS($C$1:$C289,"R")+1,"")</f>
        <v>132</v>
      </c>
      <c r="B290" s="19" t="str">
        <f>"B-BCP - Dolares"</f>
        <v>B-BCP - Dolares</v>
      </c>
      <c r="C290" s="3" t="s">
        <v>1330</v>
      </c>
      <c r="D290" s="14">
        <v>45868</v>
      </c>
      <c r="E290" s="5" t="s">
        <v>1338</v>
      </c>
      <c r="F290" s="5" t="s">
        <v>1303</v>
      </c>
      <c r="G290" s="6" t="s">
        <v>425</v>
      </c>
      <c r="H290" s="6"/>
      <c r="I290" s="6"/>
      <c r="J290" s="6"/>
      <c r="K290" s="7" t="s">
        <v>4014</v>
      </c>
      <c r="L290" s="8">
        <v>2021268</v>
      </c>
      <c r="M290" s="8" t="str">
        <f>"USD"</f>
        <v>USD</v>
      </c>
      <c r="N290" s="13"/>
      <c r="O290" s="13">
        <v>4149.1400000000003</v>
      </c>
      <c r="P290" s="3">
        <f>+IF(OR($F290="SALDO",$F290="INGRESO"),$O290,0)</f>
        <v>4149.1400000000003</v>
      </c>
      <c r="Q290" s="3">
        <f>+IF($F290="EGRESO",$O290,0)</f>
        <v>0</v>
      </c>
      <c r="R290" s="3">
        <f t="shared" si="48"/>
        <v>4159.9700000000039</v>
      </c>
      <c r="S290" s="24" t="s">
        <v>1334</v>
      </c>
      <c r="T290" s="24" t="s">
        <v>1334</v>
      </c>
      <c r="U290" s="61"/>
      <c r="V290" s="3"/>
      <c r="W290" s="3"/>
      <c r="X290" s="3"/>
      <c r="Y290" s="3"/>
      <c r="Z290" s="3"/>
      <c r="AA290" s="3" t="str">
        <f>IF(BCP_Dolares[[#This Row],[fecha]]&gt;0,TEXT(BCP_Dolares[[#This Row],[fecha]],"mmmm"),0)</f>
        <v>Julio</v>
      </c>
    </row>
    <row r="291" spans="1:27" ht="24" x14ac:dyDescent="0.3">
      <c r="A291" s="2">
        <f>IF(BCP_Dolares[[#This Row],[tipo_registro]]="R",COUNTIFS($C$1:$C290,"R")+1,"")</f>
        <v>133</v>
      </c>
      <c r="B291" s="19" t="str">
        <f t="shared" si="59"/>
        <v>B-BCP - Dolares</v>
      </c>
      <c r="C291" s="3" t="s">
        <v>1330</v>
      </c>
      <c r="D291" s="14">
        <v>45868</v>
      </c>
      <c r="E291" s="5" t="s">
        <v>1335</v>
      </c>
      <c r="F291" s="5" t="s">
        <v>1336</v>
      </c>
      <c r="G291" s="6" t="s">
        <v>1060</v>
      </c>
      <c r="H291" s="6" t="s">
        <v>68</v>
      </c>
      <c r="I291" s="6" t="s">
        <v>1343</v>
      </c>
      <c r="J291" s="6">
        <v>2426106</v>
      </c>
      <c r="K291" s="7" t="s">
        <v>5022</v>
      </c>
      <c r="L291" s="8">
        <v>350</v>
      </c>
      <c r="M291" s="8" t="str">
        <f t="shared" si="60"/>
        <v>USD</v>
      </c>
      <c r="N291" s="13"/>
      <c r="O291" s="13">
        <v>5.6</v>
      </c>
      <c r="P291" s="3">
        <f t="shared" si="61"/>
        <v>0</v>
      </c>
      <c r="Q291" s="3">
        <f t="shared" si="62"/>
        <v>5.6</v>
      </c>
      <c r="R291" s="3">
        <f t="shared" si="48"/>
        <v>4154.3700000000035</v>
      </c>
      <c r="S291" s="24" t="s">
        <v>1334</v>
      </c>
      <c r="T291" s="24" t="s">
        <v>1334</v>
      </c>
      <c r="U291" s="61"/>
      <c r="V291" s="3"/>
      <c r="W291" s="3"/>
      <c r="X291" s="3"/>
      <c r="Y291" s="3"/>
      <c r="Z291" s="3"/>
      <c r="AA291" s="3" t="str">
        <f>IF(BCP_Dolares[[#This Row],[fecha]]&gt;0,TEXT(BCP_Dolares[[#This Row],[fecha]],"mmmm"),0)</f>
        <v>Julio</v>
      </c>
    </row>
    <row r="292" spans="1:27" x14ac:dyDescent="0.3">
      <c r="A292" s="2">
        <f>IF(BCP_Dolares[[#This Row],[tipo_registro]]="R",COUNTIFS($C$1:$C291,"R")+1,"")</f>
        <v>134</v>
      </c>
      <c r="B292" s="19" t="str">
        <f t="shared" si="59"/>
        <v>B-BCP - Dolares</v>
      </c>
      <c r="C292" s="3" t="s">
        <v>1330</v>
      </c>
      <c r="D292" s="14">
        <v>45868</v>
      </c>
      <c r="E292" s="5" t="s">
        <v>1338</v>
      </c>
      <c r="F292" s="5" t="s">
        <v>1336</v>
      </c>
      <c r="G292" s="6" t="s">
        <v>204</v>
      </c>
      <c r="H292" s="6"/>
      <c r="I292" s="6"/>
      <c r="J292" s="6"/>
      <c r="K292" s="7" t="s">
        <v>5023</v>
      </c>
      <c r="L292" s="8">
        <v>5446539</v>
      </c>
      <c r="M292" s="8" t="str">
        <f t="shared" si="60"/>
        <v>USD</v>
      </c>
      <c r="N292" s="13"/>
      <c r="O292" s="13">
        <v>3852.25</v>
      </c>
      <c r="P292" s="3">
        <f t="shared" si="61"/>
        <v>0</v>
      </c>
      <c r="Q292" s="3">
        <f t="shared" si="62"/>
        <v>3852.25</v>
      </c>
      <c r="R292" s="3">
        <f t="shared" si="48"/>
        <v>302.12000000000353</v>
      </c>
      <c r="S292" s="24" t="s">
        <v>1334</v>
      </c>
      <c r="T292" s="24" t="s">
        <v>1334</v>
      </c>
      <c r="U292" s="61"/>
      <c r="V292" s="3"/>
      <c r="W292" s="3"/>
      <c r="X292" s="3"/>
      <c r="Y292" s="3"/>
      <c r="Z292" s="3"/>
      <c r="AA292" s="3" t="str">
        <f>IF(BCP_Dolares[[#This Row],[fecha]]&gt;0,TEXT(BCP_Dolares[[#This Row],[fecha]],"mmmm"),0)</f>
        <v>Julio</v>
      </c>
    </row>
    <row r="293" spans="1:27" ht="24" x14ac:dyDescent="0.3">
      <c r="A293" s="2" t="str">
        <f>IF(BCP_Dolares[[#This Row],[tipo_registro]]="R",COUNTIFS($C$1:$C292,"R")+1,"")</f>
        <v/>
      </c>
      <c r="B293" s="19" t="str">
        <f>"B-BCP - Dolares"</f>
        <v>B-BCP - Dolares</v>
      </c>
      <c r="C293" s="3" t="s">
        <v>1352</v>
      </c>
      <c r="D293" s="14">
        <v>45868</v>
      </c>
      <c r="E293" s="5" t="s">
        <v>1338</v>
      </c>
      <c r="F293" s="5"/>
      <c r="G293" s="6" t="s">
        <v>204</v>
      </c>
      <c r="H293" s="6" t="s">
        <v>68</v>
      </c>
      <c r="I293" s="6" t="s">
        <v>1390</v>
      </c>
      <c r="J293" s="6">
        <v>16359</v>
      </c>
      <c r="K293" s="7" t="s">
        <v>5023</v>
      </c>
      <c r="L293" s="8">
        <v>5446539</v>
      </c>
      <c r="M293" s="8" t="str">
        <f>"USD"</f>
        <v>USD</v>
      </c>
      <c r="N293" s="13">
        <v>1493.9</v>
      </c>
      <c r="O293" s="13"/>
      <c r="P293" s="3">
        <f>+IF(OR($F293="SALDO",$F293="INGRESO"),$O293,0)</f>
        <v>0</v>
      </c>
      <c r="Q293" s="3">
        <f>+IF($F293="EGRESO",$O293,0)</f>
        <v>0</v>
      </c>
      <c r="R293" s="3">
        <f t="shared" si="48"/>
        <v>302.12000000000353</v>
      </c>
      <c r="S293" s="24" t="s">
        <v>1334</v>
      </c>
      <c r="T293" s="24" t="s">
        <v>1334</v>
      </c>
      <c r="U293" s="61"/>
      <c r="V293" s="3"/>
      <c r="W293" s="3"/>
      <c r="X293" s="3"/>
      <c r="Y293" s="3"/>
      <c r="Z293" s="3"/>
      <c r="AA293" s="3" t="str">
        <f>IF(BCP_Dolares[[#This Row],[fecha]]&gt;0,TEXT(BCP_Dolares[[#This Row],[fecha]],"mmmm"),0)</f>
        <v>Julio</v>
      </c>
    </row>
    <row r="294" spans="1:27" ht="24" x14ac:dyDescent="0.3">
      <c r="A294" s="2" t="str">
        <f>IF(BCP_Dolares[[#This Row],[tipo_registro]]="R",COUNTIFS($C$1:$C293,"R")+1,"")</f>
        <v/>
      </c>
      <c r="B294" s="19" t="str">
        <f>"B-BCP - Dolares"</f>
        <v>B-BCP - Dolares</v>
      </c>
      <c r="C294" s="3" t="s">
        <v>1352</v>
      </c>
      <c r="D294" s="14">
        <v>45868</v>
      </c>
      <c r="E294" s="5" t="s">
        <v>1338</v>
      </c>
      <c r="F294" s="5"/>
      <c r="G294" s="6" t="s">
        <v>204</v>
      </c>
      <c r="H294" s="6" t="s">
        <v>68</v>
      </c>
      <c r="I294" s="6" t="s">
        <v>1390</v>
      </c>
      <c r="J294" s="6">
        <v>16358</v>
      </c>
      <c r="K294" s="7" t="s">
        <v>5023</v>
      </c>
      <c r="L294" s="8">
        <v>5446539</v>
      </c>
      <c r="M294" s="8" t="str">
        <f>"USD"</f>
        <v>USD</v>
      </c>
      <c r="N294" s="13">
        <v>2303.06</v>
      </c>
      <c r="O294" s="13"/>
      <c r="P294" s="3">
        <f>+IF(OR($F294="SALDO",$F294="INGRESO"),$O294,0)</f>
        <v>0</v>
      </c>
      <c r="Q294" s="3">
        <f>+IF($F294="EGRESO",$O294,0)</f>
        <v>0</v>
      </c>
      <c r="R294" s="3">
        <f t="shared" si="48"/>
        <v>302.12000000000353</v>
      </c>
      <c r="S294" s="24" t="s">
        <v>1334</v>
      </c>
      <c r="T294" s="24" t="s">
        <v>1334</v>
      </c>
      <c r="U294" s="61"/>
      <c r="V294" s="3"/>
      <c r="W294" s="3"/>
      <c r="X294" s="3"/>
      <c r="Y294" s="3"/>
      <c r="Z294" s="3"/>
      <c r="AA294" s="3" t="str">
        <f>IF(BCP_Dolares[[#This Row],[fecha]]&gt;0,TEXT(BCP_Dolares[[#This Row],[fecha]],"mmmm"),0)</f>
        <v>Julio</v>
      </c>
    </row>
    <row r="295" spans="1:27" ht="24" x14ac:dyDescent="0.3">
      <c r="A295" s="2" t="str">
        <f>IF(BCP_Dolares[[#This Row],[tipo_registro]]="R",COUNTIFS($C$1:$C294,"R")+1,"")</f>
        <v/>
      </c>
      <c r="B295" s="19" t="str">
        <f>"B-BCP - Dolares"</f>
        <v>B-BCP - Dolares</v>
      </c>
      <c r="C295" s="3" t="s">
        <v>1352</v>
      </c>
      <c r="D295" s="14">
        <v>45868</v>
      </c>
      <c r="E295" s="5" t="s">
        <v>1338</v>
      </c>
      <c r="F295" s="5"/>
      <c r="G295" s="6" t="s">
        <v>204</v>
      </c>
      <c r="H295" s="6" t="s">
        <v>68</v>
      </c>
      <c r="I295" s="6" t="s">
        <v>1390</v>
      </c>
      <c r="J295" s="6">
        <v>16383</v>
      </c>
      <c r="K295" s="7" t="s">
        <v>5023</v>
      </c>
      <c r="L295" s="8">
        <v>5446539</v>
      </c>
      <c r="M295" s="8" t="str">
        <f>"USD"</f>
        <v>USD</v>
      </c>
      <c r="N295" s="13">
        <v>55.29</v>
      </c>
      <c r="O295" s="13"/>
      <c r="P295" s="3">
        <f>+IF(OR($F295="SALDO",$F295="INGRESO"),$O295,0)</f>
        <v>0</v>
      </c>
      <c r="Q295" s="3">
        <f>+IF($F295="EGRESO",$O295,0)</f>
        <v>0</v>
      </c>
      <c r="R295" s="3">
        <f t="shared" si="48"/>
        <v>302.12000000000353</v>
      </c>
      <c r="S295" s="24" t="s">
        <v>1334</v>
      </c>
      <c r="T295" s="24" t="s">
        <v>1334</v>
      </c>
      <c r="U295" s="61"/>
      <c r="V295" s="3"/>
      <c r="W295" s="3"/>
      <c r="X295" s="3"/>
      <c r="Y295" s="3"/>
      <c r="Z295" s="3"/>
      <c r="AA295" s="3" t="str">
        <f>IF(BCP_Dolares[[#This Row],[fecha]]&gt;0,TEXT(BCP_Dolares[[#This Row],[fecha]],"mmmm"),0)</f>
        <v>Julio</v>
      </c>
    </row>
    <row r="296" spans="1:27" x14ac:dyDescent="0.3">
      <c r="A296" s="2">
        <f>IF(BCP_Dolares[[#This Row],[tipo_registro]]="R",COUNTIFS($C$1:$C295,"R")+1,"")</f>
        <v>135</v>
      </c>
      <c r="B296" s="19" t="str">
        <f t="shared" si="59"/>
        <v>B-BCP - Dolares</v>
      </c>
      <c r="C296" s="3" t="s">
        <v>1330</v>
      </c>
      <c r="D296" s="14">
        <v>45868</v>
      </c>
      <c r="E296" s="5" t="s">
        <v>1338</v>
      </c>
      <c r="F296" s="5" t="s">
        <v>1336</v>
      </c>
      <c r="G296" s="6" t="s">
        <v>204</v>
      </c>
      <c r="H296" s="6"/>
      <c r="I296" s="6"/>
      <c r="J296" s="6"/>
      <c r="K296" s="7" t="s">
        <v>5024</v>
      </c>
      <c r="L296" s="8">
        <v>5446431</v>
      </c>
      <c r="M296" s="8" t="str">
        <f t="shared" si="60"/>
        <v>USD</v>
      </c>
      <c r="N296" s="13"/>
      <c r="O296" s="13">
        <v>225.68</v>
      </c>
      <c r="P296" s="3">
        <f t="shared" si="61"/>
        <v>0</v>
      </c>
      <c r="Q296" s="3">
        <f t="shared" si="62"/>
        <v>225.68</v>
      </c>
      <c r="R296" s="3">
        <f t="shared" si="48"/>
        <v>76.440000000003522</v>
      </c>
      <c r="S296" s="24" t="s">
        <v>1334</v>
      </c>
      <c r="T296" s="24" t="s">
        <v>1334</v>
      </c>
      <c r="U296" s="61"/>
      <c r="V296" s="3"/>
      <c r="W296" s="3"/>
      <c r="X296" s="3"/>
      <c r="Y296" s="3"/>
      <c r="Z296" s="3"/>
      <c r="AA296" s="3" t="str">
        <f>IF(BCP_Dolares[[#This Row],[fecha]]&gt;0,TEXT(BCP_Dolares[[#This Row],[fecha]],"mmmm"),0)</f>
        <v>Julio</v>
      </c>
    </row>
    <row r="297" spans="1:27" ht="24" x14ac:dyDescent="0.3">
      <c r="A297" s="2" t="str">
        <f>IF(BCP_Dolares[[#This Row],[tipo_registro]]="R",COUNTIFS($C$1:$C296,"R")+1,"")</f>
        <v/>
      </c>
      <c r="B297" s="19" t="str">
        <f>"B-BCP - Dolares"</f>
        <v>B-BCP - Dolares</v>
      </c>
      <c r="C297" s="3" t="s">
        <v>1352</v>
      </c>
      <c r="D297" s="14">
        <v>45868</v>
      </c>
      <c r="E297" s="5" t="s">
        <v>1338</v>
      </c>
      <c r="F297" s="5"/>
      <c r="G297" s="6" t="s">
        <v>204</v>
      </c>
      <c r="H297" s="6" t="s">
        <v>68</v>
      </c>
      <c r="I297" s="6" t="s">
        <v>1390</v>
      </c>
      <c r="J297" s="6">
        <v>16313</v>
      </c>
      <c r="K297" s="7" t="s">
        <v>5024</v>
      </c>
      <c r="L297" s="8">
        <v>5446431</v>
      </c>
      <c r="M297" s="8" t="str">
        <f>"USD"</f>
        <v>USD</v>
      </c>
      <c r="N297" s="13">
        <v>34.950000000000003</v>
      </c>
      <c r="O297" s="13"/>
      <c r="P297" s="3">
        <f>+IF(OR($F297="SALDO",$F297="INGRESO"),$O297,0)</f>
        <v>0</v>
      </c>
      <c r="Q297" s="3">
        <f>+IF($F297="EGRESO",$O297,0)</f>
        <v>0</v>
      </c>
      <c r="R297" s="3">
        <f t="shared" si="48"/>
        <v>76.440000000003522</v>
      </c>
      <c r="S297" s="24" t="s">
        <v>1334</v>
      </c>
      <c r="T297" s="24" t="s">
        <v>1334</v>
      </c>
      <c r="U297" s="61"/>
      <c r="V297" s="3"/>
      <c r="W297" s="3"/>
      <c r="X297" s="3"/>
      <c r="Y297" s="3"/>
      <c r="Z297" s="3"/>
      <c r="AA297" s="3" t="str">
        <f>IF(BCP_Dolares[[#This Row],[fecha]]&gt;0,TEXT(BCP_Dolares[[#This Row],[fecha]],"mmmm"),0)</f>
        <v>Julio</v>
      </c>
    </row>
    <row r="298" spans="1:27" ht="24" x14ac:dyDescent="0.3">
      <c r="A298" s="2" t="str">
        <f>IF(BCP_Dolares[[#This Row],[tipo_registro]]="R",COUNTIFS($C$1:$C297,"R")+1,"")</f>
        <v/>
      </c>
      <c r="B298" s="19" t="str">
        <f>"B-BCP - Dolares"</f>
        <v>B-BCP - Dolares</v>
      </c>
      <c r="C298" s="3" t="s">
        <v>1352</v>
      </c>
      <c r="D298" s="14">
        <v>45868</v>
      </c>
      <c r="E298" s="5" t="s">
        <v>1338</v>
      </c>
      <c r="F298" s="5"/>
      <c r="G298" s="6" t="s">
        <v>204</v>
      </c>
      <c r="H298" s="6" t="s">
        <v>68</v>
      </c>
      <c r="I298" s="6" t="s">
        <v>1390</v>
      </c>
      <c r="J298" s="6">
        <v>16320</v>
      </c>
      <c r="K298" s="7" t="s">
        <v>5024</v>
      </c>
      <c r="L298" s="8">
        <v>5446431</v>
      </c>
      <c r="M298" s="8" t="str">
        <f>"USD"</f>
        <v>USD</v>
      </c>
      <c r="N298" s="13">
        <v>85.99</v>
      </c>
      <c r="O298" s="13"/>
      <c r="P298" s="3">
        <f>+IF(OR($F298="SALDO",$F298="INGRESO"),$O298,0)</f>
        <v>0</v>
      </c>
      <c r="Q298" s="3">
        <f>+IF($F298="EGRESO",$O298,0)</f>
        <v>0</v>
      </c>
      <c r="R298" s="3">
        <f t="shared" si="48"/>
        <v>76.440000000003522</v>
      </c>
      <c r="S298" s="24" t="s">
        <v>1334</v>
      </c>
      <c r="T298" s="24" t="s">
        <v>1334</v>
      </c>
      <c r="U298" s="61"/>
      <c r="V298" s="3"/>
      <c r="W298" s="3"/>
      <c r="X298" s="3"/>
      <c r="Y298" s="3"/>
      <c r="Z298" s="3"/>
      <c r="AA298" s="3" t="str">
        <f>IF(BCP_Dolares[[#This Row],[fecha]]&gt;0,TEXT(BCP_Dolares[[#This Row],[fecha]],"mmmm"),0)</f>
        <v>Julio</v>
      </c>
    </row>
    <row r="299" spans="1:27" ht="24" x14ac:dyDescent="0.3">
      <c r="A299" s="2" t="str">
        <f>IF(BCP_Dolares[[#This Row],[tipo_registro]]="R",COUNTIFS($C$1:$C298,"R")+1,"")</f>
        <v/>
      </c>
      <c r="B299" s="19" t="str">
        <f>"B-BCP - Dolares"</f>
        <v>B-BCP - Dolares</v>
      </c>
      <c r="C299" s="3" t="s">
        <v>1352</v>
      </c>
      <c r="D299" s="14">
        <v>45868</v>
      </c>
      <c r="E299" s="5" t="s">
        <v>1338</v>
      </c>
      <c r="F299" s="5"/>
      <c r="G299" s="6" t="s">
        <v>204</v>
      </c>
      <c r="H299" s="6" t="s">
        <v>68</v>
      </c>
      <c r="I299" s="6" t="s">
        <v>1390</v>
      </c>
      <c r="J299" s="6">
        <v>16339</v>
      </c>
      <c r="K299" s="7" t="s">
        <v>5024</v>
      </c>
      <c r="L299" s="8">
        <v>5446431</v>
      </c>
      <c r="M299" s="8" t="str">
        <f>"USD"</f>
        <v>USD</v>
      </c>
      <c r="N299" s="13">
        <v>48.24</v>
      </c>
      <c r="O299" s="13"/>
      <c r="P299" s="3">
        <f>+IF(OR($F299="SALDO",$F299="INGRESO"),$O299,0)</f>
        <v>0</v>
      </c>
      <c r="Q299" s="3">
        <f>+IF($F299="EGRESO",$O299,0)</f>
        <v>0</v>
      </c>
      <c r="R299" s="3">
        <f t="shared" si="48"/>
        <v>76.440000000003522</v>
      </c>
      <c r="S299" s="24" t="s">
        <v>1334</v>
      </c>
      <c r="T299" s="24" t="s">
        <v>1334</v>
      </c>
      <c r="U299" s="61"/>
      <c r="V299" s="3"/>
      <c r="W299" s="3"/>
      <c r="X299" s="3"/>
      <c r="Y299" s="3"/>
      <c r="Z299" s="3"/>
      <c r="AA299" s="3" t="str">
        <f>IF(BCP_Dolares[[#This Row],[fecha]]&gt;0,TEXT(BCP_Dolares[[#This Row],[fecha]],"mmmm"),0)</f>
        <v>Julio</v>
      </c>
    </row>
    <row r="300" spans="1:27" ht="24" x14ac:dyDescent="0.3">
      <c r="A300" s="2" t="str">
        <f>IF(BCP_Dolares[[#This Row],[tipo_registro]]="R",COUNTIFS($C$1:$C299,"R")+1,"")</f>
        <v/>
      </c>
      <c r="B300" s="19" t="str">
        <f>"B-BCP - Dolares"</f>
        <v>B-BCP - Dolares</v>
      </c>
      <c r="C300" s="3" t="s">
        <v>1352</v>
      </c>
      <c r="D300" s="14">
        <v>45868</v>
      </c>
      <c r="E300" s="5" t="s">
        <v>1338</v>
      </c>
      <c r="F300" s="5"/>
      <c r="G300" s="6" t="s">
        <v>204</v>
      </c>
      <c r="H300" s="6" t="s">
        <v>68</v>
      </c>
      <c r="I300" s="6" t="s">
        <v>1390</v>
      </c>
      <c r="J300" s="6">
        <v>16328</v>
      </c>
      <c r="K300" s="7" t="s">
        <v>5024</v>
      </c>
      <c r="L300" s="8">
        <v>5446431</v>
      </c>
      <c r="M300" s="8" t="str">
        <f>"USD"</f>
        <v>USD</v>
      </c>
      <c r="N300" s="13">
        <v>56.5</v>
      </c>
      <c r="O300" s="13"/>
      <c r="P300" s="3">
        <f>+IF(OR($F300="SALDO",$F300="INGRESO"),$O300,0)</f>
        <v>0</v>
      </c>
      <c r="Q300" s="3">
        <f>+IF($F300="EGRESO",$O300,0)</f>
        <v>0</v>
      </c>
      <c r="R300" s="3">
        <f t="shared" si="48"/>
        <v>76.440000000003522</v>
      </c>
      <c r="S300" s="24" t="s">
        <v>1334</v>
      </c>
      <c r="T300" s="24" t="s">
        <v>1334</v>
      </c>
      <c r="U300" s="61"/>
      <c r="V300" s="3"/>
      <c r="W300" s="3"/>
      <c r="X300" s="3"/>
      <c r="Y300" s="3"/>
      <c r="Z300" s="3"/>
      <c r="AA300" s="3" t="str">
        <f>IF(BCP_Dolares[[#This Row],[fecha]]&gt;0,TEXT(BCP_Dolares[[#This Row],[fecha]],"mmmm"),0)</f>
        <v>Julio</v>
      </c>
    </row>
    <row r="301" spans="1:27" x14ac:dyDescent="0.3">
      <c r="A301" s="2">
        <f>IF(BCP_Dolares[[#This Row],[tipo_registro]]="R",COUNTIFS($C$1:$C300,"R")+1,"")</f>
        <v>136</v>
      </c>
      <c r="B301" s="19" t="str">
        <f t="shared" ref="B301:B306" si="63">"B-BCP - Dolares"</f>
        <v>B-BCP - Dolares</v>
      </c>
      <c r="C301" s="3" t="s">
        <v>1330</v>
      </c>
      <c r="D301" s="14">
        <v>45868</v>
      </c>
      <c r="E301" s="5" t="s">
        <v>1335</v>
      </c>
      <c r="F301" s="5" t="s">
        <v>1336</v>
      </c>
      <c r="G301" s="6" t="s">
        <v>1009</v>
      </c>
      <c r="H301" s="6" t="s">
        <v>64</v>
      </c>
      <c r="I301" s="6" t="s">
        <v>5017</v>
      </c>
      <c r="J301" s="6">
        <v>136</v>
      </c>
      <c r="K301" s="7" t="s">
        <v>3160</v>
      </c>
      <c r="L301" s="8"/>
      <c r="M301" s="8" t="str">
        <f t="shared" ref="M301:M306" si="64">"USD"</f>
        <v>USD</v>
      </c>
      <c r="N301" s="13"/>
      <c r="O301" s="13">
        <v>0.15</v>
      </c>
      <c r="P301" s="3">
        <f t="shared" ref="P301:P306" si="65">+IF(OR($F301="SALDO",$F301="INGRESO"),$O301,0)</f>
        <v>0</v>
      </c>
      <c r="Q301" s="3">
        <f t="shared" ref="Q301:Q306" si="66">+IF($F301="EGRESO",$O301,0)</f>
        <v>0.15</v>
      </c>
      <c r="R301" s="3">
        <f t="shared" si="48"/>
        <v>76.290000000003516</v>
      </c>
      <c r="S301" s="24" t="s">
        <v>1334</v>
      </c>
      <c r="T301" s="24" t="s">
        <v>1334</v>
      </c>
      <c r="U301" s="61"/>
      <c r="V301" s="3"/>
      <c r="W301" s="3"/>
      <c r="X301" s="3"/>
      <c r="Y301" s="3"/>
      <c r="Z301" s="3"/>
      <c r="AA301" s="3" t="str">
        <f>IF(BCP_Dolares[[#This Row],[fecha]]&gt;0,TEXT(BCP_Dolares[[#This Row],[fecha]],"mmmm"),0)</f>
        <v>Julio</v>
      </c>
    </row>
    <row r="302" spans="1:27" ht="24" x14ac:dyDescent="0.3">
      <c r="A302" s="2">
        <f>IF(BCP_Dolares[[#This Row],[tipo_registro]]="R",COUNTIFS($C$1:$C301,"R")+1,"")</f>
        <v>137</v>
      </c>
      <c r="B302" s="19" t="str">
        <f t="shared" si="63"/>
        <v>B-BCP - Dolares</v>
      </c>
      <c r="C302" s="3" t="s">
        <v>1330</v>
      </c>
      <c r="D302" s="14">
        <v>45869</v>
      </c>
      <c r="E302" s="5" t="s">
        <v>204</v>
      </c>
      <c r="F302" s="5" t="s">
        <v>1303</v>
      </c>
      <c r="G302" s="6" t="s">
        <v>425</v>
      </c>
      <c r="H302" s="6"/>
      <c r="I302" s="6"/>
      <c r="J302" s="6"/>
      <c r="K302" s="7" t="s">
        <v>4909</v>
      </c>
      <c r="L302" s="8">
        <v>6425528</v>
      </c>
      <c r="M302" s="8" t="str">
        <f t="shared" si="64"/>
        <v>USD</v>
      </c>
      <c r="N302" s="13"/>
      <c r="O302" s="13">
        <v>7637.44</v>
      </c>
      <c r="P302" s="3">
        <f t="shared" si="65"/>
        <v>7637.44</v>
      </c>
      <c r="Q302" s="3">
        <f t="shared" si="66"/>
        <v>0</v>
      </c>
      <c r="R302" s="3">
        <f t="shared" si="48"/>
        <v>7713.7300000000032</v>
      </c>
      <c r="S302" s="24" t="s">
        <v>1334</v>
      </c>
      <c r="T302" s="24" t="s">
        <v>1334</v>
      </c>
      <c r="U302" s="61"/>
      <c r="V302" s="3"/>
      <c r="W302" s="3"/>
      <c r="X302" s="3"/>
      <c r="Y302" s="3"/>
      <c r="Z302" s="3"/>
      <c r="AA302" s="3" t="str">
        <f>IF(BCP_Dolares[[#This Row],[fecha]]&gt;0,TEXT(BCP_Dolares[[#This Row],[fecha]],"mmmm"),0)</f>
        <v>Julio</v>
      </c>
    </row>
    <row r="303" spans="1:27" ht="24" x14ac:dyDescent="0.3">
      <c r="A303" s="2" t="str">
        <f>IF(BCP_Dolares[[#This Row],[tipo_registro]]="R",COUNTIFS($C$1:$C302,"R")+1,"")</f>
        <v/>
      </c>
      <c r="B303" s="19" t="str">
        <f t="shared" si="63"/>
        <v>B-BCP - Dolares</v>
      </c>
      <c r="C303" s="3" t="s">
        <v>1352</v>
      </c>
      <c r="D303" s="14">
        <v>45869</v>
      </c>
      <c r="E303" s="5" t="s">
        <v>204</v>
      </c>
      <c r="F303" s="5"/>
      <c r="G303" s="6"/>
      <c r="H303" s="6" t="s">
        <v>68</v>
      </c>
      <c r="I303" s="6" t="s">
        <v>1784</v>
      </c>
      <c r="J303" s="6">
        <v>140</v>
      </c>
      <c r="K303" s="7" t="s">
        <v>4909</v>
      </c>
      <c r="L303" s="8">
        <v>6425528</v>
      </c>
      <c r="M303" s="8" t="str">
        <f t="shared" si="64"/>
        <v>USD</v>
      </c>
      <c r="N303" s="13">
        <v>4510.7700000000004</v>
      </c>
      <c r="O303" s="13"/>
      <c r="P303" s="3">
        <f t="shared" si="65"/>
        <v>0</v>
      </c>
      <c r="Q303" s="3">
        <f t="shared" si="66"/>
        <v>0</v>
      </c>
      <c r="R303" s="3">
        <f t="shared" si="48"/>
        <v>7713.7300000000032</v>
      </c>
      <c r="S303" s="24" t="s">
        <v>1334</v>
      </c>
      <c r="T303" s="24" t="s">
        <v>1334</v>
      </c>
      <c r="U303" s="61"/>
      <c r="V303" s="3"/>
      <c r="W303" s="3"/>
      <c r="X303" s="3"/>
      <c r="Y303" s="3"/>
      <c r="Z303" s="3"/>
      <c r="AA303" s="3" t="str">
        <f>IF(BCP_Dolares[[#This Row],[fecha]]&gt;0,TEXT(BCP_Dolares[[#This Row],[fecha]],"mmmm"),0)</f>
        <v>Julio</v>
      </c>
    </row>
    <row r="304" spans="1:27" ht="24" x14ac:dyDescent="0.3">
      <c r="A304" s="2" t="str">
        <f>IF(BCP_Dolares[[#This Row],[tipo_registro]]="R",COUNTIFS($C$1:$C303,"R")+1,"")</f>
        <v/>
      </c>
      <c r="B304" s="19" t="str">
        <f t="shared" si="63"/>
        <v>B-BCP - Dolares</v>
      </c>
      <c r="C304" s="3" t="s">
        <v>1352</v>
      </c>
      <c r="D304" s="14">
        <v>45869</v>
      </c>
      <c r="E304" s="5" t="s">
        <v>204</v>
      </c>
      <c r="F304" s="5"/>
      <c r="G304" s="6"/>
      <c r="H304" s="6" t="s">
        <v>68</v>
      </c>
      <c r="I304" s="6" t="s">
        <v>1784</v>
      </c>
      <c r="J304" s="6">
        <v>141</v>
      </c>
      <c r="K304" s="7" t="s">
        <v>4909</v>
      </c>
      <c r="L304" s="8">
        <v>6425528</v>
      </c>
      <c r="M304" s="8" t="str">
        <f t="shared" si="64"/>
        <v>USD</v>
      </c>
      <c r="N304" s="13">
        <v>3126.67</v>
      </c>
      <c r="O304" s="13"/>
      <c r="P304" s="3">
        <f t="shared" si="65"/>
        <v>0</v>
      </c>
      <c r="Q304" s="3">
        <f t="shared" si="66"/>
        <v>0</v>
      </c>
      <c r="R304" s="3">
        <f t="shared" si="48"/>
        <v>7713.7300000000032</v>
      </c>
      <c r="S304" s="24" t="s">
        <v>1334</v>
      </c>
      <c r="T304" s="24" t="s">
        <v>1334</v>
      </c>
      <c r="U304" s="61"/>
      <c r="V304" s="3"/>
      <c r="W304" s="3"/>
      <c r="X304" s="3"/>
      <c r="Y304" s="3"/>
      <c r="Z304" s="3"/>
      <c r="AA304" s="3" t="str">
        <f>IF(BCP_Dolares[[#This Row],[fecha]]&gt;0,TEXT(BCP_Dolares[[#This Row],[fecha]],"mmmm"),0)</f>
        <v>Julio</v>
      </c>
    </row>
    <row r="305" spans="1:27" ht="24" x14ac:dyDescent="0.3">
      <c r="A305" s="2">
        <f>IF(BCP_Dolares[[#This Row],[tipo_registro]]="R",COUNTIFS($C$1:$C304,"R")+1,"")</f>
        <v>138</v>
      </c>
      <c r="B305" s="19" t="str">
        <f t="shared" si="63"/>
        <v>B-BCP - Dolares</v>
      </c>
      <c r="C305" s="3" t="s">
        <v>1330</v>
      </c>
      <c r="D305" s="14">
        <v>45869</v>
      </c>
      <c r="E305" s="5"/>
      <c r="F305" s="5" t="s">
        <v>1336</v>
      </c>
      <c r="G305" s="6" t="s">
        <v>5025</v>
      </c>
      <c r="H305" s="6"/>
      <c r="I305" s="6"/>
      <c r="J305" s="6"/>
      <c r="K305" s="7" t="s">
        <v>5026</v>
      </c>
      <c r="L305" s="8">
        <v>1112769</v>
      </c>
      <c r="M305" s="8" t="str">
        <f t="shared" si="64"/>
        <v>USD</v>
      </c>
      <c r="N305" s="13"/>
      <c r="O305" s="13">
        <v>107.46</v>
      </c>
      <c r="P305" s="3">
        <f t="shared" si="65"/>
        <v>0</v>
      </c>
      <c r="Q305" s="3">
        <f t="shared" si="66"/>
        <v>107.46</v>
      </c>
      <c r="R305" s="3">
        <f t="shared" si="48"/>
        <v>7606.2700000000032</v>
      </c>
      <c r="S305" s="24"/>
      <c r="T305" s="24"/>
      <c r="U305" s="61"/>
      <c r="V305" s="3"/>
      <c r="W305" s="3"/>
      <c r="X305" s="3"/>
      <c r="Y305" s="3"/>
      <c r="Z305" s="3"/>
      <c r="AA305" s="3" t="str">
        <f>IF(BCP_Dolares[[#This Row],[fecha]]&gt;0,TEXT(BCP_Dolares[[#This Row],[fecha]],"mmmm"),0)</f>
        <v>Julio</v>
      </c>
    </row>
    <row r="306" spans="1:27" x14ac:dyDescent="0.3">
      <c r="A306" s="2">
        <f>IF(BCP_Dolares[[#This Row],[tipo_registro]]="R",COUNTIFS($C$1:$C305,"R")+1,"")</f>
        <v>139</v>
      </c>
      <c r="B306" s="19" t="str">
        <f t="shared" si="63"/>
        <v>B-BCP - Dolares</v>
      </c>
      <c r="C306" s="3" t="s">
        <v>1330</v>
      </c>
      <c r="D306" s="14">
        <v>45869</v>
      </c>
      <c r="E306" s="5" t="s">
        <v>1338</v>
      </c>
      <c r="F306" s="5" t="s">
        <v>1336</v>
      </c>
      <c r="G306" s="6" t="s">
        <v>425</v>
      </c>
      <c r="H306" s="6"/>
      <c r="I306" s="6"/>
      <c r="J306" s="6"/>
      <c r="K306" s="7" t="s">
        <v>4028</v>
      </c>
      <c r="L306" s="8">
        <v>1416103</v>
      </c>
      <c r="M306" s="8" t="str">
        <f t="shared" si="64"/>
        <v>USD</v>
      </c>
      <c r="N306" s="13"/>
      <c r="O306" s="13">
        <v>6200</v>
      </c>
      <c r="P306" s="3">
        <f t="shared" si="65"/>
        <v>0</v>
      </c>
      <c r="Q306" s="3">
        <f t="shared" si="66"/>
        <v>6200</v>
      </c>
      <c r="R306" s="3">
        <f t="shared" si="48"/>
        <v>1406.2700000000032</v>
      </c>
      <c r="S306" s="24" t="s">
        <v>1334</v>
      </c>
      <c r="T306" s="24" t="s">
        <v>1334</v>
      </c>
      <c r="U306" s="61"/>
      <c r="V306" s="3"/>
      <c r="W306" s="3"/>
      <c r="X306" s="3"/>
      <c r="Y306" s="3"/>
      <c r="Z306" s="3"/>
      <c r="AA306" s="3" t="str">
        <f>IF(BCP_Dolares[[#This Row],[fecha]]&gt;0,TEXT(BCP_Dolares[[#This Row],[fecha]],"mmmm"),0)</f>
        <v>Julio</v>
      </c>
    </row>
    <row r="307" spans="1:27" x14ac:dyDescent="0.3">
      <c r="A307" s="2">
        <f>IF(BCP_Dolares[[#This Row],[tipo_registro]]="R",COUNTIFS($C$1:$C306,"R")+1,"")</f>
        <v>140</v>
      </c>
      <c r="B307" s="19" t="str">
        <f t="shared" ref="B307:B309" si="67">"B-BCP - Dolares"</f>
        <v>B-BCP - Dolares</v>
      </c>
      <c r="C307" s="3" t="s">
        <v>1330</v>
      </c>
      <c r="D307" s="14">
        <v>45869</v>
      </c>
      <c r="E307" s="5" t="s">
        <v>1335</v>
      </c>
      <c r="F307" s="5" t="s">
        <v>1336</v>
      </c>
      <c r="G307" s="6" t="s">
        <v>1009</v>
      </c>
      <c r="H307" s="6" t="s">
        <v>64</v>
      </c>
      <c r="I307" s="6" t="s">
        <v>5017</v>
      </c>
      <c r="J307" s="6">
        <v>140</v>
      </c>
      <c r="K307" s="7" t="s">
        <v>3160</v>
      </c>
      <c r="L307" s="8"/>
      <c r="M307" s="8" t="str">
        <f t="shared" ref="M307:M309" si="68">"USD"</f>
        <v>USD</v>
      </c>
      <c r="N307" s="13"/>
      <c r="O307" s="13">
        <v>0.35</v>
      </c>
      <c r="P307" s="3">
        <f t="shared" ref="P307:P309" si="69">+IF(OR($F307="SALDO",$F307="INGRESO"),$O307,0)</f>
        <v>0</v>
      </c>
      <c r="Q307" s="3">
        <f t="shared" ref="Q307:Q309" si="70">+IF($F307="EGRESO",$O307,0)</f>
        <v>0.35</v>
      </c>
      <c r="R307" s="3">
        <f t="shared" si="48"/>
        <v>1405.9200000000033</v>
      </c>
      <c r="S307" s="24" t="s">
        <v>1334</v>
      </c>
      <c r="T307" s="24" t="s">
        <v>1334</v>
      </c>
      <c r="U307" s="61"/>
      <c r="V307" s="3"/>
      <c r="W307" s="3"/>
      <c r="X307" s="3"/>
      <c r="Y307" s="3"/>
      <c r="Z307" s="3"/>
      <c r="AA307" s="3" t="str">
        <f>IF(BCP_Dolares[[#This Row],[fecha]]&gt;0,TEXT(BCP_Dolares[[#This Row],[fecha]],"mmmm"),0)</f>
        <v>Julio</v>
      </c>
    </row>
    <row r="308" spans="1:27" ht="24" x14ac:dyDescent="0.3">
      <c r="A308" s="2">
        <f>IF(BCP_Dolares[[#This Row],[tipo_registro]]="R",COUNTIFS($C$1:$C307,"R")+1,"")</f>
        <v>141</v>
      </c>
      <c r="B308" s="19" t="str">
        <f t="shared" si="67"/>
        <v>B-BCP - Dolares</v>
      </c>
      <c r="C308" s="3" t="s">
        <v>1330</v>
      </c>
      <c r="D308" s="14">
        <v>45869</v>
      </c>
      <c r="E308" s="5" t="s">
        <v>1335</v>
      </c>
      <c r="F308" s="5" t="s">
        <v>1336</v>
      </c>
      <c r="G308" s="6" t="s">
        <v>1060</v>
      </c>
      <c r="H308" s="6" t="s">
        <v>68</v>
      </c>
      <c r="I308" s="6" t="s">
        <v>2081</v>
      </c>
      <c r="J308" s="6">
        <v>16106894</v>
      </c>
      <c r="K308" s="7" t="s">
        <v>1756</v>
      </c>
      <c r="L308" s="8">
        <v>0</v>
      </c>
      <c r="M308" s="8" t="str">
        <f t="shared" si="68"/>
        <v>USD</v>
      </c>
      <c r="N308" s="13"/>
      <c r="O308" s="13">
        <v>13</v>
      </c>
      <c r="P308" s="3">
        <f t="shared" si="69"/>
        <v>0</v>
      </c>
      <c r="Q308" s="3">
        <f t="shared" si="70"/>
        <v>13</v>
      </c>
      <c r="R308" s="3">
        <f t="shared" si="48"/>
        <v>1392.9200000000033</v>
      </c>
      <c r="S308" s="24" t="s">
        <v>1334</v>
      </c>
      <c r="T308" s="24" t="s">
        <v>1334</v>
      </c>
      <c r="U308" s="61"/>
      <c r="V308" s="3"/>
      <c r="W308" s="3"/>
      <c r="X308" s="3"/>
      <c r="Y308" s="3"/>
      <c r="Z308" s="3"/>
      <c r="AA308" s="3" t="str">
        <f>IF(BCP_Dolares[[#This Row],[fecha]]&gt;0,TEXT(BCP_Dolares[[#This Row],[fecha]],"mmmm"),0)</f>
        <v>Julio</v>
      </c>
    </row>
    <row r="309" spans="1:27" ht="24" x14ac:dyDescent="0.3">
      <c r="A309" s="2">
        <f>IF(BCP_Dolares[[#This Row],[tipo_registro]]="R",COUNTIFS($C$1:$C308,"R")+1,"")</f>
        <v>142</v>
      </c>
      <c r="B309" s="19" t="str">
        <f t="shared" si="67"/>
        <v>B-BCP - Dolares</v>
      </c>
      <c r="C309" s="3" t="s">
        <v>1330</v>
      </c>
      <c r="D309" s="14">
        <v>45869</v>
      </c>
      <c r="E309" s="5" t="s">
        <v>1335</v>
      </c>
      <c r="F309" s="5" t="s">
        <v>1336</v>
      </c>
      <c r="G309" s="6" t="s">
        <v>1060</v>
      </c>
      <c r="H309" s="6" t="s">
        <v>68</v>
      </c>
      <c r="I309" s="6" t="s">
        <v>2081</v>
      </c>
      <c r="J309" s="6">
        <v>16106894</v>
      </c>
      <c r="K309" s="7" t="s">
        <v>1758</v>
      </c>
      <c r="L309" s="8">
        <v>1147159</v>
      </c>
      <c r="M309" s="8" t="str">
        <f t="shared" si="68"/>
        <v>USD</v>
      </c>
      <c r="N309" s="13"/>
      <c r="O309" s="13">
        <v>2</v>
      </c>
      <c r="P309" s="3">
        <f t="shared" si="69"/>
        <v>0</v>
      </c>
      <c r="Q309" s="3">
        <f t="shared" si="70"/>
        <v>2</v>
      </c>
      <c r="R309" s="3">
        <f t="shared" si="48"/>
        <v>1390.9200000000033</v>
      </c>
      <c r="S309" s="24" t="s">
        <v>1334</v>
      </c>
      <c r="T309" s="24" t="s">
        <v>1334</v>
      </c>
      <c r="U309" s="61"/>
      <c r="V309" s="3"/>
      <c r="W309" s="3"/>
      <c r="X309" s="3"/>
      <c r="Y309" s="3"/>
      <c r="Z309" s="3"/>
      <c r="AA309" s="3" t="str">
        <f>IF(BCP_Dolares[[#This Row],[fecha]]&gt;0,TEXT(BCP_Dolares[[#This Row],[fecha]],"mmmm"),0)</f>
        <v>Julio</v>
      </c>
    </row>
    <row r="310" spans="1:27" x14ac:dyDescent="0.3">
      <c r="A310" s="2">
        <f>IF(BCP_Dolares[[#This Row],[tipo_registro]]="R",COUNTIFS($C$1:$C309,"R")+1,"")</f>
        <v>143</v>
      </c>
      <c r="B310" s="19" t="str">
        <f t="shared" ref="B310:B325" si="71">"B-BCP - Dolares"</f>
        <v>B-BCP - Dolares</v>
      </c>
      <c r="C310" s="3" t="s">
        <v>1330</v>
      </c>
      <c r="D310" s="14">
        <v>45870</v>
      </c>
      <c r="E310" s="5" t="s">
        <v>4025</v>
      </c>
      <c r="F310" s="5" t="s">
        <v>1303</v>
      </c>
      <c r="G310" s="6" t="s">
        <v>425</v>
      </c>
      <c r="H310" s="6" t="s">
        <v>68</v>
      </c>
      <c r="I310" s="6" t="s">
        <v>1784</v>
      </c>
      <c r="J310" s="6">
        <v>134</v>
      </c>
      <c r="K310" s="7" t="s">
        <v>4310</v>
      </c>
      <c r="L310" s="8">
        <v>2282101</v>
      </c>
      <c r="M310" s="8" t="str">
        <f t="shared" ref="M310:M325" si="72">"USD"</f>
        <v>USD</v>
      </c>
      <c r="N310" s="13"/>
      <c r="O310" s="13">
        <v>88.11</v>
      </c>
      <c r="P310" s="3">
        <f t="shared" ref="P310:P325" si="73">+IF(OR($F310="SALDO",$F310="INGRESO"),$O310,0)</f>
        <v>88.11</v>
      </c>
      <c r="Q310" s="3">
        <f t="shared" ref="Q310:Q325" si="74">+IF($F310="EGRESO",$O310,0)</f>
        <v>0</v>
      </c>
      <c r="R310" s="3">
        <f t="shared" si="48"/>
        <v>1479.0300000000032</v>
      </c>
      <c r="S310" s="24"/>
      <c r="T310" s="24"/>
      <c r="U310" s="61"/>
      <c r="V310" s="3"/>
      <c r="W310" s="3"/>
      <c r="X310" s="3"/>
      <c r="Y310" s="3"/>
      <c r="Z310" s="3"/>
      <c r="AA310" s="3" t="str">
        <f>IF(BCP_Dolares[[#This Row],[fecha]]&gt;0,TEXT(BCP_Dolares[[#This Row],[fecha]],"mmmm"),0)</f>
        <v>Agosto</v>
      </c>
    </row>
    <row r="311" spans="1:27" ht="36" x14ac:dyDescent="0.3">
      <c r="A311" s="2">
        <f>IF(BCP_Dolares[[#This Row],[tipo_registro]]="R",COUNTIFS($C$1:$C310,"R")+1,"")</f>
        <v>144</v>
      </c>
      <c r="B311" s="19" t="str">
        <f t="shared" si="71"/>
        <v>B-BCP - Dolares</v>
      </c>
      <c r="C311" s="3" t="s">
        <v>1330</v>
      </c>
      <c r="D311" s="14">
        <v>45880</v>
      </c>
      <c r="E311" s="5" t="s">
        <v>1338</v>
      </c>
      <c r="F311" s="5" t="s">
        <v>1336</v>
      </c>
      <c r="G311" s="6" t="s">
        <v>702</v>
      </c>
      <c r="H311" s="6" t="s">
        <v>68</v>
      </c>
      <c r="I311" s="6" t="s">
        <v>1463</v>
      </c>
      <c r="J311" s="6">
        <v>474181</v>
      </c>
      <c r="K311" s="7" t="s">
        <v>5027</v>
      </c>
      <c r="L311" s="8">
        <v>215859</v>
      </c>
      <c r="M311" s="8" t="str">
        <f t="shared" si="72"/>
        <v>USD</v>
      </c>
      <c r="N311" s="13"/>
      <c r="O311" s="13">
        <v>416.27</v>
      </c>
      <c r="P311" s="3">
        <f t="shared" si="73"/>
        <v>0</v>
      </c>
      <c r="Q311" s="3">
        <f t="shared" si="74"/>
        <v>416.27</v>
      </c>
      <c r="R311" s="3">
        <f t="shared" si="48"/>
        <v>1062.7600000000032</v>
      </c>
      <c r="S311" s="24" t="s">
        <v>1334</v>
      </c>
      <c r="T311" s="24" t="s">
        <v>1334</v>
      </c>
      <c r="U311" s="61"/>
      <c r="V311" s="3"/>
      <c r="W311" s="3"/>
      <c r="X311" s="3"/>
      <c r="Y311" s="3"/>
      <c r="Z311" s="3"/>
      <c r="AA311" s="3" t="str">
        <f>IF(BCP_Dolares[[#This Row],[fecha]]&gt;0,TEXT(BCP_Dolares[[#This Row],[fecha]],"mmmm"),0)</f>
        <v>Agosto</v>
      </c>
    </row>
    <row r="312" spans="1:27" ht="24" x14ac:dyDescent="0.3">
      <c r="A312" s="2">
        <f>IF(BCP_Dolares[[#This Row],[tipo_registro]]="R",COUNTIFS($C$1:$C311,"R")+1,"")</f>
        <v>145</v>
      </c>
      <c r="B312" s="19" t="str">
        <f t="shared" si="71"/>
        <v>B-BCP - Dolares</v>
      </c>
      <c r="C312" s="3" t="s">
        <v>1330</v>
      </c>
      <c r="D312" s="14">
        <v>45881</v>
      </c>
      <c r="E312" s="5" t="s">
        <v>1338</v>
      </c>
      <c r="F312" s="5" t="s">
        <v>1336</v>
      </c>
      <c r="G312" s="6" t="s">
        <v>742</v>
      </c>
      <c r="H312" s="6" t="s">
        <v>68</v>
      </c>
      <c r="I312" s="6" t="s">
        <v>1463</v>
      </c>
      <c r="J312" s="6">
        <v>474397</v>
      </c>
      <c r="K312" s="7" t="s">
        <v>5028</v>
      </c>
      <c r="L312" s="8">
        <v>102647</v>
      </c>
      <c r="M312" s="8" t="str">
        <f t="shared" si="72"/>
        <v>USD</v>
      </c>
      <c r="N312" s="13"/>
      <c r="O312" s="13">
        <v>102.22</v>
      </c>
      <c r="P312" s="3">
        <f t="shared" si="73"/>
        <v>0</v>
      </c>
      <c r="Q312" s="3">
        <f t="shared" si="74"/>
        <v>102.22</v>
      </c>
      <c r="R312" s="3">
        <f t="shared" si="48"/>
        <v>960.54000000000315</v>
      </c>
      <c r="S312" s="24" t="s">
        <v>1334</v>
      </c>
      <c r="T312" s="24" t="s">
        <v>1334</v>
      </c>
      <c r="U312" s="61"/>
      <c r="V312" s="3"/>
      <c r="W312" s="3"/>
      <c r="X312" s="3"/>
      <c r="Y312" s="3"/>
      <c r="Z312" s="3"/>
      <c r="AA312" s="3" t="str">
        <f>IF(BCP_Dolares[[#This Row],[fecha]]&gt;0,TEXT(BCP_Dolares[[#This Row],[fecha]],"mmmm"),0)</f>
        <v>Agosto</v>
      </c>
    </row>
    <row r="313" spans="1:27" x14ac:dyDescent="0.3">
      <c r="A313" s="2">
        <f>IF(BCP_Dolares[[#This Row],[tipo_registro]]="R",COUNTIFS($C$1:$C312,"R")+1,"")</f>
        <v>146</v>
      </c>
      <c r="B313" s="19" t="str">
        <f t="shared" si="71"/>
        <v>B-BCP - Dolares</v>
      </c>
      <c r="C313" s="3" t="s">
        <v>1330</v>
      </c>
      <c r="D313" s="14">
        <v>45882</v>
      </c>
      <c r="E313" s="5" t="s">
        <v>1338</v>
      </c>
      <c r="F313" s="5" t="s">
        <v>1336</v>
      </c>
      <c r="G313" s="6" t="s">
        <v>204</v>
      </c>
      <c r="H313" s="6"/>
      <c r="I313" s="6"/>
      <c r="J313" s="6"/>
      <c r="K313" s="7" t="s">
        <v>5029</v>
      </c>
      <c r="L313" s="8">
        <v>1401621</v>
      </c>
      <c r="M313" s="8" t="str">
        <f t="shared" si="72"/>
        <v>USD</v>
      </c>
      <c r="N313" s="13"/>
      <c r="O313" s="13">
        <v>484.25</v>
      </c>
      <c r="P313" s="3">
        <f t="shared" si="73"/>
        <v>0</v>
      </c>
      <c r="Q313" s="3">
        <f t="shared" si="74"/>
        <v>484.25</v>
      </c>
      <c r="R313" s="3">
        <f t="shared" si="48"/>
        <v>476.29000000000315</v>
      </c>
      <c r="S313" s="24" t="s">
        <v>1334</v>
      </c>
      <c r="T313" s="24" t="s">
        <v>1334</v>
      </c>
      <c r="U313" s="61"/>
      <c r="V313" s="3"/>
      <c r="W313" s="3"/>
      <c r="X313" s="3"/>
      <c r="Y313" s="3"/>
      <c r="Z313" s="3"/>
      <c r="AA313" s="3" t="str">
        <f>IF(BCP_Dolares[[#This Row],[fecha]]&gt;0,TEXT(BCP_Dolares[[#This Row],[fecha]],"mmmm"),0)</f>
        <v>Agosto</v>
      </c>
    </row>
    <row r="314" spans="1:27" ht="24" x14ac:dyDescent="0.3">
      <c r="A314" s="2" t="str">
        <f>IF(BCP_Dolares[[#This Row],[tipo_registro]]="R",COUNTIFS($C$1:$C313,"R")+1,"")</f>
        <v/>
      </c>
      <c r="B314" s="19" t="str">
        <f t="shared" ref="B314:B323" si="75">"B-BCP - Dolares"</f>
        <v>B-BCP - Dolares</v>
      </c>
      <c r="C314" s="3" t="s">
        <v>1352</v>
      </c>
      <c r="D314" s="14">
        <v>45882</v>
      </c>
      <c r="E314" s="5"/>
      <c r="F314" s="5"/>
      <c r="G314" s="6" t="s">
        <v>204</v>
      </c>
      <c r="H314" s="6" t="s">
        <v>68</v>
      </c>
      <c r="I314" s="6" t="s">
        <v>1390</v>
      </c>
      <c r="J314" s="6">
        <v>16422</v>
      </c>
      <c r="K314" s="7" t="s">
        <v>5029</v>
      </c>
      <c r="L314" s="8">
        <v>1401621</v>
      </c>
      <c r="M314" s="8" t="str">
        <f t="shared" ref="M314:M323" si="76">"USD"</f>
        <v>USD</v>
      </c>
      <c r="N314" s="13">
        <v>24.54</v>
      </c>
      <c r="O314" s="13"/>
      <c r="P314" s="3">
        <f t="shared" ref="P314:P323" si="77">+IF(OR($F314="SALDO",$F314="INGRESO"),$O314,0)</f>
        <v>0</v>
      </c>
      <c r="Q314" s="3">
        <f t="shared" ref="Q314:Q323" si="78">+IF($F314="EGRESO",$O314,0)</f>
        <v>0</v>
      </c>
      <c r="R314" s="3">
        <f t="shared" si="48"/>
        <v>476.29000000000315</v>
      </c>
      <c r="S314" s="24" t="s">
        <v>1334</v>
      </c>
      <c r="T314" s="24" t="s">
        <v>1334</v>
      </c>
      <c r="U314" s="61"/>
      <c r="V314" s="3"/>
      <c r="W314" s="3"/>
      <c r="X314" s="3"/>
      <c r="Y314" s="3"/>
      <c r="Z314" s="3"/>
      <c r="AA314" s="3" t="str">
        <f>IF(BCP_Dolares[[#This Row],[fecha]]&gt;0,TEXT(BCP_Dolares[[#This Row],[fecha]],"mmmm"),0)</f>
        <v>Agosto</v>
      </c>
    </row>
    <row r="315" spans="1:27" ht="24" x14ac:dyDescent="0.3">
      <c r="A315" s="2" t="str">
        <f>IF(BCP_Dolares[[#This Row],[tipo_registro]]="R",COUNTIFS($C$1:$C314,"R")+1,"")</f>
        <v/>
      </c>
      <c r="B315" s="19" t="str">
        <f t="shared" si="75"/>
        <v>B-BCP - Dolares</v>
      </c>
      <c r="C315" s="3" t="s">
        <v>1352</v>
      </c>
      <c r="D315" s="14">
        <v>45882</v>
      </c>
      <c r="E315" s="5"/>
      <c r="F315" s="5"/>
      <c r="G315" s="6" t="s">
        <v>204</v>
      </c>
      <c r="H315" s="6" t="s">
        <v>68</v>
      </c>
      <c r="I315" s="6" t="s">
        <v>1390</v>
      </c>
      <c r="J315" s="6">
        <v>16454</v>
      </c>
      <c r="K315" s="7" t="s">
        <v>5029</v>
      </c>
      <c r="L315" s="8">
        <v>1401621</v>
      </c>
      <c r="M315" s="8" t="str">
        <f t="shared" si="76"/>
        <v>USD</v>
      </c>
      <c r="N315" s="13">
        <v>58.28</v>
      </c>
      <c r="O315" s="13"/>
      <c r="P315" s="3">
        <f t="shared" si="77"/>
        <v>0</v>
      </c>
      <c r="Q315" s="3">
        <f t="shared" si="78"/>
        <v>0</v>
      </c>
      <c r="R315" s="3">
        <f t="shared" si="48"/>
        <v>476.29000000000315</v>
      </c>
      <c r="S315" s="24" t="s">
        <v>1334</v>
      </c>
      <c r="T315" s="24" t="s">
        <v>1334</v>
      </c>
      <c r="U315" s="61"/>
      <c r="V315" s="3"/>
      <c r="W315" s="3"/>
      <c r="X315" s="3"/>
      <c r="Y315" s="3"/>
      <c r="Z315" s="3"/>
      <c r="AA315" s="3" t="str">
        <f>IF(BCP_Dolares[[#This Row],[fecha]]&gt;0,TEXT(BCP_Dolares[[#This Row],[fecha]],"mmmm"),0)</f>
        <v>Agosto</v>
      </c>
    </row>
    <row r="316" spans="1:27" ht="24" x14ac:dyDescent="0.3">
      <c r="A316" s="2" t="str">
        <f>IF(BCP_Dolares[[#This Row],[tipo_registro]]="R",COUNTIFS($C$1:$C315,"R")+1,"")</f>
        <v/>
      </c>
      <c r="B316" s="19" t="str">
        <f t="shared" si="75"/>
        <v>B-BCP - Dolares</v>
      </c>
      <c r="C316" s="3" t="s">
        <v>1352</v>
      </c>
      <c r="D316" s="14">
        <v>45882</v>
      </c>
      <c r="E316" s="5"/>
      <c r="F316" s="5"/>
      <c r="G316" s="6" t="s">
        <v>204</v>
      </c>
      <c r="H316" s="6" t="s">
        <v>68</v>
      </c>
      <c r="I316" s="6" t="s">
        <v>1390</v>
      </c>
      <c r="J316" s="6">
        <v>16470</v>
      </c>
      <c r="K316" s="7" t="s">
        <v>5029</v>
      </c>
      <c r="L316" s="8">
        <v>1401621</v>
      </c>
      <c r="M316" s="8" t="str">
        <f t="shared" si="76"/>
        <v>USD</v>
      </c>
      <c r="N316" s="13">
        <v>37.880000000000003</v>
      </c>
      <c r="O316" s="13"/>
      <c r="P316" s="3">
        <f t="shared" si="77"/>
        <v>0</v>
      </c>
      <c r="Q316" s="3">
        <f t="shared" si="78"/>
        <v>0</v>
      </c>
      <c r="R316" s="3">
        <f t="shared" si="48"/>
        <v>476.29000000000315</v>
      </c>
      <c r="S316" s="24" t="s">
        <v>1334</v>
      </c>
      <c r="T316" s="24" t="s">
        <v>1334</v>
      </c>
      <c r="U316" s="61"/>
      <c r="V316" s="3"/>
      <c r="W316" s="3"/>
      <c r="X316" s="3"/>
      <c r="Y316" s="3"/>
      <c r="Z316" s="3"/>
      <c r="AA316" s="3" t="str">
        <f>IF(BCP_Dolares[[#This Row],[fecha]]&gt;0,TEXT(BCP_Dolares[[#This Row],[fecha]],"mmmm"),0)</f>
        <v>Agosto</v>
      </c>
    </row>
    <row r="317" spans="1:27" ht="24" x14ac:dyDescent="0.3">
      <c r="A317" s="2" t="str">
        <f>IF(BCP_Dolares[[#This Row],[tipo_registro]]="R",COUNTIFS($C$1:$C316,"R")+1,"")</f>
        <v/>
      </c>
      <c r="B317" s="19" t="str">
        <f t="shared" si="75"/>
        <v>B-BCP - Dolares</v>
      </c>
      <c r="C317" s="3" t="s">
        <v>1352</v>
      </c>
      <c r="D317" s="14">
        <v>45882</v>
      </c>
      <c r="E317" s="5"/>
      <c r="F317" s="5"/>
      <c r="G317" s="6" t="s">
        <v>204</v>
      </c>
      <c r="H317" s="6" t="s">
        <v>68</v>
      </c>
      <c r="I317" s="6" t="s">
        <v>1390</v>
      </c>
      <c r="J317" s="6">
        <v>16398</v>
      </c>
      <c r="K317" s="7" t="s">
        <v>5029</v>
      </c>
      <c r="L317" s="8">
        <v>1401621</v>
      </c>
      <c r="M317" s="8" t="str">
        <f t="shared" si="76"/>
        <v>USD</v>
      </c>
      <c r="N317" s="13">
        <v>47.47</v>
      </c>
      <c r="O317" s="13"/>
      <c r="P317" s="3">
        <f t="shared" si="77"/>
        <v>0</v>
      </c>
      <c r="Q317" s="3">
        <f t="shared" si="78"/>
        <v>0</v>
      </c>
      <c r="R317" s="3">
        <f t="shared" si="48"/>
        <v>476.29000000000315</v>
      </c>
      <c r="S317" s="24" t="s">
        <v>1334</v>
      </c>
      <c r="T317" s="24" t="s">
        <v>1334</v>
      </c>
      <c r="U317" s="61"/>
      <c r="V317" s="3"/>
      <c r="W317" s="3"/>
      <c r="X317" s="3"/>
      <c r="Y317" s="3"/>
      <c r="Z317" s="3"/>
      <c r="AA317" s="3" t="str">
        <f>IF(BCP_Dolares[[#This Row],[fecha]]&gt;0,TEXT(BCP_Dolares[[#This Row],[fecha]],"mmmm"),0)</f>
        <v>Agosto</v>
      </c>
    </row>
    <row r="318" spans="1:27" ht="24" x14ac:dyDescent="0.3">
      <c r="A318" s="2" t="str">
        <f>IF(BCP_Dolares[[#This Row],[tipo_registro]]="R",COUNTIFS($C$1:$C317,"R")+1,"")</f>
        <v/>
      </c>
      <c r="B318" s="19" t="str">
        <f t="shared" si="75"/>
        <v>B-BCP - Dolares</v>
      </c>
      <c r="C318" s="3" t="s">
        <v>1352</v>
      </c>
      <c r="D318" s="14">
        <v>45882</v>
      </c>
      <c r="E318" s="5"/>
      <c r="F318" s="5"/>
      <c r="G318" s="6" t="s">
        <v>204</v>
      </c>
      <c r="H318" s="6" t="s">
        <v>68</v>
      </c>
      <c r="I318" s="6" t="s">
        <v>1390</v>
      </c>
      <c r="J318" s="6">
        <v>16391</v>
      </c>
      <c r="K318" s="7" t="s">
        <v>5029</v>
      </c>
      <c r="L318" s="8">
        <v>1401621</v>
      </c>
      <c r="M318" s="8" t="str">
        <f t="shared" si="76"/>
        <v>USD</v>
      </c>
      <c r="N318" s="13">
        <v>48.21</v>
      </c>
      <c r="O318" s="13"/>
      <c r="P318" s="3">
        <f t="shared" si="77"/>
        <v>0</v>
      </c>
      <c r="Q318" s="3">
        <f t="shared" si="78"/>
        <v>0</v>
      </c>
      <c r="R318" s="3">
        <f t="shared" si="48"/>
        <v>476.29000000000315</v>
      </c>
      <c r="S318" s="24" t="s">
        <v>1334</v>
      </c>
      <c r="T318" s="24" t="s">
        <v>1334</v>
      </c>
      <c r="U318" s="61"/>
      <c r="V318" s="3"/>
      <c r="W318" s="3"/>
      <c r="X318" s="3"/>
      <c r="Y318" s="3"/>
      <c r="Z318" s="3"/>
      <c r="AA318" s="3" t="str">
        <f>IF(BCP_Dolares[[#This Row],[fecha]]&gt;0,TEXT(BCP_Dolares[[#This Row],[fecha]],"mmmm"),0)</f>
        <v>Agosto</v>
      </c>
    </row>
    <row r="319" spans="1:27" ht="24" x14ac:dyDescent="0.3">
      <c r="A319" s="2" t="str">
        <f>IF(BCP_Dolares[[#This Row],[tipo_registro]]="R",COUNTIFS($C$1:$C318,"R")+1,"")</f>
        <v/>
      </c>
      <c r="B319" s="19" t="str">
        <f t="shared" si="75"/>
        <v>B-BCP - Dolares</v>
      </c>
      <c r="C319" s="3" t="s">
        <v>1352</v>
      </c>
      <c r="D319" s="14">
        <v>45882</v>
      </c>
      <c r="E319" s="5"/>
      <c r="F319" s="5"/>
      <c r="G319" s="6" t="s">
        <v>204</v>
      </c>
      <c r="H319" s="6" t="s">
        <v>68</v>
      </c>
      <c r="I319" s="6" t="s">
        <v>1390</v>
      </c>
      <c r="J319" s="6">
        <v>16474</v>
      </c>
      <c r="K319" s="7" t="s">
        <v>5029</v>
      </c>
      <c r="L319" s="8">
        <v>1401621</v>
      </c>
      <c r="M319" s="8" t="str">
        <f t="shared" si="76"/>
        <v>USD</v>
      </c>
      <c r="N319" s="13">
        <v>67.5</v>
      </c>
      <c r="O319" s="13"/>
      <c r="P319" s="3">
        <f t="shared" si="77"/>
        <v>0</v>
      </c>
      <c r="Q319" s="3">
        <f t="shared" si="78"/>
        <v>0</v>
      </c>
      <c r="R319" s="3">
        <f t="shared" si="48"/>
        <v>476.29000000000315</v>
      </c>
      <c r="S319" s="24" t="s">
        <v>1334</v>
      </c>
      <c r="T319" s="24" t="s">
        <v>1334</v>
      </c>
      <c r="U319" s="61"/>
      <c r="V319" s="3"/>
      <c r="W319" s="3"/>
      <c r="X319" s="3"/>
      <c r="Y319" s="3"/>
      <c r="Z319" s="3"/>
      <c r="AA319" s="3" t="str">
        <f>IF(BCP_Dolares[[#This Row],[fecha]]&gt;0,TEXT(BCP_Dolares[[#This Row],[fecha]],"mmmm"),0)</f>
        <v>Agosto</v>
      </c>
    </row>
    <row r="320" spans="1:27" ht="24" x14ac:dyDescent="0.3">
      <c r="A320" s="2" t="str">
        <f>IF(BCP_Dolares[[#This Row],[tipo_registro]]="R",COUNTIFS($C$1:$C319,"R")+1,"")</f>
        <v/>
      </c>
      <c r="B320" s="19" t="str">
        <f t="shared" si="75"/>
        <v>B-BCP - Dolares</v>
      </c>
      <c r="C320" s="3" t="s">
        <v>1352</v>
      </c>
      <c r="D320" s="14">
        <v>45882</v>
      </c>
      <c r="E320" s="5"/>
      <c r="F320" s="5"/>
      <c r="G320" s="6" t="s">
        <v>204</v>
      </c>
      <c r="H320" s="6" t="s">
        <v>68</v>
      </c>
      <c r="I320" s="6" t="s">
        <v>1390</v>
      </c>
      <c r="J320" s="6">
        <v>16475</v>
      </c>
      <c r="K320" s="7" t="s">
        <v>5029</v>
      </c>
      <c r="L320" s="8">
        <v>1401621</v>
      </c>
      <c r="M320" s="8" t="str">
        <f t="shared" si="76"/>
        <v>USD</v>
      </c>
      <c r="N320" s="13">
        <v>86.07</v>
      </c>
      <c r="O320" s="13"/>
      <c r="P320" s="3">
        <f t="shared" si="77"/>
        <v>0</v>
      </c>
      <c r="Q320" s="3">
        <f t="shared" si="78"/>
        <v>0</v>
      </c>
      <c r="R320" s="3">
        <f t="shared" si="48"/>
        <v>476.29000000000315</v>
      </c>
      <c r="S320" s="24" t="s">
        <v>1334</v>
      </c>
      <c r="T320" s="24" t="s">
        <v>1334</v>
      </c>
      <c r="U320" s="61"/>
      <c r="V320" s="3"/>
      <c r="W320" s="3"/>
      <c r="X320" s="3"/>
      <c r="Y320" s="3"/>
      <c r="Z320" s="3"/>
      <c r="AA320" s="3" t="str">
        <f>IF(BCP_Dolares[[#This Row],[fecha]]&gt;0,TEXT(BCP_Dolares[[#This Row],[fecha]],"mmmm"),0)</f>
        <v>Agosto</v>
      </c>
    </row>
    <row r="321" spans="1:27" ht="24" x14ac:dyDescent="0.3">
      <c r="A321" s="2" t="str">
        <f>IF(BCP_Dolares[[#This Row],[tipo_registro]]="R",COUNTIFS($C$1:$C320,"R")+1,"")</f>
        <v/>
      </c>
      <c r="B321" s="19" t="str">
        <f t="shared" si="75"/>
        <v>B-BCP - Dolares</v>
      </c>
      <c r="C321" s="3" t="s">
        <v>1352</v>
      </c>
      <c r="D321" s="14">
        <v>45882</v>
      </c>
      <c r="E321" s="5"/>
      <c r="F321" s="5"/>
      <c r="G321" s="6" t="s">
        <v>204</v>
      </c>
      <c r="H321" s="6" t="s">
        <v>68</v>
      </c>
      <c r="I321" s="6" t="s">
        <v>1390</v>
      </c>
      <c r="J321" s="6">
        <v>16476</v>
      </c>
      <c r="K321" s="7" t="s">
        <v>5029</v>
      </c>
      <c r="L321" s="8">
        <v>1401621</v>
      </c>
      <c r="M321" s="8" t="str">
        <f t="shared" si="76"/>
        <v>USD</v>
      </c>
      <c r="N321" s="13">
        <v>60.84</v>
      </c>
      <c r="O321" s="13"/>
      <c r="P321" s="3">
        <f t="shared" si="77"/>
        <v>0</v>
      </c>
      <c r="Q321" s="3">
        <f t="shared" si="78"/>
        <v>0</v>
      </c>
      <c r="R321" s="3">
        <f t="shared" si="48"/>
        <v>476.29000000000315</v>
      </c>
      <c r="S321" s="24" t="s">
        <v>1334</v>
      </c>
      <c r="T321" s="24" t="s">
        <v>1334</v>
      </c>
      <c r="U321" s="61"/>
      <c r="V321" s="3"/>
      <c r="W321" s="3"/>
      <c r="X321" s="3"/>
      <c r="Y321" s="3"/>
      <c r="Z321" s="3"/>
      <c r="AA321" s="3" t="str">
        <f>IF(BCP_Dolares[[#This Row],[fecha]]&gt;0,TEXT(BCP_Dolares[[#This Row],[fecha]],"mmmm"),0)</f>
        <v>Agosto</v>
      </c>
    </row>
    <row r="322" spans="1:27" ht="24" x14ac:dyDescent="0.3">
      <c r="A322" s="2" t="str">
        <f>IF(BCP_Dolares[[#This Row],[tipo_registro]]="R",COUNTIFS($C$1:$C321,"R")+1,"")</f>
        <v/>
      </c>
      <c r="B322" s="19" t="str">
        <f t="shared" si="75"/>
        <v>B-BCP - Dolares</v>
      </c>
      <c r="C322" s="3" t="s">
        <v>1352</v>
      </c>
      <c r="D322" s="14">
        <v>45882</v>
      </c>
      <c r="E322" s="5"/>
      <c r="F322" s="5"/>
      <c r="G322" s="6" t="s">
        <v>204</v>
      </c>
      <c r="H322" s="6" t="s">
        <v>68</v>
      </c>
      <c r="I322" s="6" t="s">
        <v>1390</v>
      </c>
      <c r="J322" s="6">
        <v>16480</v>
      </c>
      <c r="K322" s="7" t="s">
        <v>5029</v>
      </c>
      <c r="L322" s="8">
        <v>1401621</v>
      </c>
      <c r="M322" s="8" t="str">
        <f t="shared" si="76"/>
        <v>USD</v>
      </c>
      <c r="N322" s="13">
        <v>22.26</v>
      </c>
      <c r="O322" s="13"/>
      <c r="P322" s="3">
        <f t="shared" si="77"/>
        <v>0</v>
      </c>
      <c r="Q322" s="3">
        <f t="shared" si="78"/>
        <v>0</v>
      </c>
      <c r="R322" s="3">
        <f t="shared" ref="R322:R385" si="79">IFERROR(IF(F322="SALDO",P322,R321+P322-Q322),0)</f>
        <v>476.29000000000315</v>
      </c>
      <c r="S322" s="24" t="s">
        <v>1334</v>
      </c>
      <c r="T322" s="24" t="s">
        <v>1334</v>
      </c>
      <c r="U322" s="61"/>
      <c r="V322" s="3"/>
      <c r="W322" s="3"/>
      <c r="X322" s="3"/>
      <c r="Y322" s="3"/>
      <c r="Z322" s="3"/>
      <c r="AA322" s="3" t="str">
        <f>IF(BCP_Dolares[[#This Row],[fecha]]&gt;0,TEXT(BCP_Dolares[[#This Row],[fecha]],"mmmm"),0)</f>
        <v>Agosto</v>
      </c>
    </row>
    <row r="323" spans="1:27" ht="24" x14ac:dyDescent="0.3">
      <c r="A323" s="2" t="str">
        <f>IF(BCP_Dolares[[#This Row],[tipo_registro]]="R",COUNTIFS($C$1:$C322,"R")+1,"")</f>
        <v/>
      </c>
      <c r="B323" s="19" t="str">
        <f t="shared" si="75"/>
        <v>B-BCP - Dolares</v>
      </c>
      <c r="C323" s="3" t="s">
        <v>1352</v>
      </c>
      <c r="D323" s="14">
        <v>45882</v>
      </c>
      <c r="E323" s="5"/>
      <c r="F323" s="5"/>
      <c r="G323" s="6" t="s">
        <v>204</v>
      </c>
      <c r="H323" s="6" t="s">
        <v>68</v>
      </c>
      <c r="I323" s="6" t="s">
        <v>1390</v>
      </c>
      <c r="J323" s="6">
        <v>16442</v>
      </c>
      <c r="K323" s="7" t="s">
        <v>5029</v>
      </c>
      <c r="L323" s="8">
        <v>1401621</v>
      </c>
      <c r="M323" s="8" t="str">
        <f t="shared" si="76"/>
        <v>USD</v>
      </c>
      <c r="N323" s="13">
        <v>31.2</v>
      </c>
      <c r="O323" s="13"/>
      <c r="P323" s="3">
        <f t="shared" si="77"/>
        <v>0</v>
      </c>
      <c r="Q323" s="3">
        <f t="shared" si="78"/>
        <v>0</v>
      </c>
      <c r="R323" s="3">
        <f t="shared" si="79"/>
        <v>476.29000000000315</v>
      </c>
      <c r="S323" s="24" t="s">
        <v>1334</v>
      </c>
      <c r="T323" s="24" t="s">
        <v>1334</v>
      </c>
      <c r="U323" s="61"/>
      <c r="V323" s="3"/>
      <c r="W323" s="3"/>
      <c r="X323" s="3"/>
      <c r="Y323" s="3"/>
      <c r="Z323" s="3"/>
      <c r="AA323" s="3" t="str">
        <f>IF(BCP_Dolares[[#This Row],[fecha]]&gt;0,TEXT(BCP_Dolares[[#This Row],[fecha]],"mmmm"),0)</f>
        <v>Agosto</v>
      </c>
    </row>
    <row r="324" spans="1:27" x14ac:dyDescent="0.3">
      <c r="A324" s="2">
        <f>IF(BCP_Dolares[[#This Row],[tipo_registro]]="R",COUNTIFS($C$1:$C323,"R")+1,"")</f>
        <v>147</v>
      </c>
      <c r="B324" s="19" t="str">
        <f t="shared" si="71"/>
        <v>B-BCP - Dolares</v>
      </c>
      <c r="C324" s="3" t="s">
        <v>1330</v>
      </c>
      <c r="D324" s="14">
        <v>45883</v>
      </c>
      <c r="E324" s="5" t="s">
        <v>1338</v>
      </c>
      <c r="F324" s="5" t="s">
        <v>1303</v>
      </c>
      <c r="G324" s="6" t="s">
        <v>425</v>
      </c>
      <c r="H324" s="6"/>
      <c r="I324" s="6"/>
      <c r="J324" s="6"/>
      <c r="K324" s="7" t="s">
        <v>4205</v>
      </c>
      <c r="L324" s="8">
        <v>2237723</v>
      </c>
      <c r="M324" s="8" t="str">
        <f t="shared" si="72"/>
        <v>USD</v>
      </c>
      <c r="N324" s="13"/>
      <c r="O324" s="13">
        <v>557.88</v>
      </c>
      <c r="P324" s="3">
        <f t="shared" si="73"/>
        <v>557.88</v>
      </c>
      <c r="Q324" s="3">
        <f t="shared" si="74"/>
        <v>0</v>
      </c>
      <c r="R324" s="3">
        <f t="shared" si="79"/>
        <v>1034.1700000000033</v>
      </c>
      <c r="S324" s="24" t="s">
        <v>1334</v>
      </c>
      <c r="T324" s="24" t="s">
        <v>1334</v>
      </c>
      <c r="U324" s="61"/>
      <c r="V324" s="3"/>
      <c r="W324" s="3"/>
      <c r="X324" s="3"/>
      <c r="Y324" s="3"/>
      <c r="Z324" s="3"/>
      <c r="AA324" s="3" t="str">
        <f>IF(BCP_Dolares[[#This Row],[fecha]]&gt;0,TEXT(BCP_Dolares[[#This Row],[fecha]],"mmmm"),0)</f>
        <v>Agosto</v>
      </c>
    </row>
    <row r="325" spans="1:27" x14ac:dyDescent="0.3">
      <c r="A325" s="2">
        <f>IF(BCP_Dolares[[#This Row],[tipo_registro]]="R",COUNTIFS($C$1:$C324,"R")+1,"")</f>
        <v>148</v>
      </c>
      <c r="B325" s="19" t="str">
        <f t="shared" si="71"/>
        <v>B-BCP - Dolares</v>
      </c>
      <c r="C325" s="3" t="s">
        <v>1330</v>
      </c>
      <c r="D325" s="14">
        <v>45883</v>
      </c>
      <c r="E325" s="5" t="s">
        <v>1338</v>
      </c>
      <c r="F325" s="5" t="s">
        <v>1336</v>
      </c>
      <c r="G325" s="6"/>
      <c r="H325" s="6"/>
      <c r="I325" s="6"/>
      <c r="J325" s="6"/>
      <c r="K325" s="7" t="s">
        <v>5030</v>
      </c>
      <c r="L325" s="8">
        <v>242983</v>
      </c>
      <c r="M325" s="8" t="str">
        <f t="shared" si="72"/>
        <v>USD</v>
      </c>
      <c r="N325" s="13"/>
      <c r="O325" s="13">
        <v>1010.25</v>
      </c>
      <c r="P325" s="3">
        <f t="shared" si="73"/>
        <v>0</v>
      </c>
      <c r="Q325" s="3">
        <f t="shared" si="74"/>
        <v>1010.25</v>
      </c>
      <c r="R325" s="3">
        <f t="shared" si="79"/>
        <v>23.920000000003256</v>
      </c>
      <c r="S325" s="24" t="s">
        <v>1334</v>
      </c>
      <c r="T325" s="24"/>
      <c r="U325" s="61"/>
      <c r="V325" s="3"/>
      <c r="W325" s="3"/>
      <c r="X325" s="3"/>
      <c r="Y325" s="3"/>
      <c r="Z325" s="3"/>
      <c r="AA325" s="3" t="str">
        <f>IF(BCP_Dolares[[#This Row],[fecha]]&gt;0,TEXT(BCP_Dolares[[#This Row],[fecha]],"mmmm"),0)</f>
        <v>Agosto</v>
      </c>
    </row>
    <row r="326" spans="1:27" ht="24" x14ac:dyDescent="0.3">
      <c r="A326" s="2" t="str">
        <f>IF(BCP_Dolares[[#This Row],[tipo_registro]]="R",COUNTIFS($C$1:$C325,"R")+1,"")</f>
        <v/>
      </c>
      <c r="B326" s="19" t="str">
        <f>"B-BCP - Dolares"</f>
        <v>B-BCP - Dolares</v>
      </c>
      <c r="C326" s="3" t="s">
        <v>1352</v>
      </c>
      <c r="D326" s="14">
        <v>45883</v>
      </c>
      <c r="E326" s="5" t="s">
        <v>1338</v>
      </c>
      <c r="F326" s="5"/>
      <c r="G326" s="6" t="s">
        <v>778</v>
      </c>
      <c r="H326" s="6" t="s">
        <v>68</v>
      </c>
      <c r="I326" s="6" t="s">
        <v>3078</v>
      </c>
      <c r="J326" s="6">
        <v>172026</v>
      </c>
      <c r="K326" s="7" t="s">
        <v>5030</v>
      </c>
      <c r="L326" s="8">
        <v>242983</v>
      </c>
      <c r="M326" s="8" t="str">
        <f>"USD"</f>
        <v>USD</v>
      </c>
      <c r="N326" s="13">
        <v>970.56</v>
      </c>
      <c r="O326" s="13"/>
      <c r="P326" s="3">
        <f>+IF(OR($F326="SALDO",$F326="INGRESO"),$O326,0)</f>
        <v>0</v>
      </c>
      <c r="Q326" s="3">
        <f>+IF($F326="EGRESO",$O326,0)</f>
        <v>0</v>
      </c>
      <c r="R326" s="3">
        <f t="shared" si="79"/>
        <v>23.920000000003256</v>
      </c>
      <c r="S326" s="24" t="s">
        <v>1334</v>
      </c>
      <c r="T326" s="24"/>
      <c r="U326" s="61"/>
      <c r="V326" s="3"/>
      <c r="W326" s="3"/>
      <c r="X326" s="3"/>
      <c r="Y326" s="3"/>
      <c r="Z326" s="3"/>
      <c r="AA326" s="3" t="str">
        <f>IF(BCP_Dolares[[#This Row],[fecha]]&gt;0,TEXT(BCP_Dolares[[#This Row],[fecha]],"mmmm"),0)</f>
        <v>Agosto</v>
      </c>
    </row>
    <row r="327" spans="1:27" ht="24" x14ac:dyDescent="0.3">
      <c r="A327" s="2" t="str">
        <f>IF(BCP_Dolares[[#This Row],[tipo_registro]]="R",COUNTIFS($C$1:$C326,"R")+1,"")</f>
        <v/>
      </c>
      <c r="B327" s="19" t="str">
        <f>"B-BCP - Dolares"</f>
        <v>B-BCP - Dolares</v>
      </c>
      <c r="C327" s="3" t="s">
        <v>1352</v>
      </c>
      <c r="D327" s="14">
        <v>45883</v>
      </c>
      <c r="E327" s="5" t="s">
        <v>1338</v>
      </c>
      <c r="F327" s="5"/>
      <c r="G327" s="6" t="s">
        <v>778</v>
      </c>
      <c r="H327" s="6" t="s">
        <v>68</v>
      </c>
      <c r="I327" s="6" t="s">
        <v>3078</v>
      </c>
      <c r="J327" s="6">
        <v>172026</v>
      </c>
      <c r="K327" s="7" t="s">
        <v>5030</v>
      </c>
      <c r="L327" s="8">
        <v>242983</v>
      </c>
      <c r="M327" s="8" t="str">
        <f>"USD"</f>
        <v>USD</v>
      </c>
      <c r="N327" s="13">
        <v>39.69</v>
      </c>
      <c r="O327" s="13"/>
      <c r="P327" s="3">
        <f>+IF(OR($F327="SALDO",$F327="INGRESO"),$O327,0)</f>
        <v>0</v>
      </c>
      <c r="Q327" s="3">
        <f>+IF($F327="EGRESO",$O327,0)</f>
        <v>0</v>
      </c>
      <c r="R327" s="3">
        <f t="shared" si="79"/>
        <v>23.920000000003256</v>
      </c>
      <c r="S327" s="24" t="s">
        <v>1334</v>
      </c>
      <c r="T327" s="24"/>
      <c r="U327" s="61"/>
      <c r="V327" s="3"/>
      <c r="W327" s="3"/>
      <c r="X327" s="3"/>
      <c r="Y327" s="3"/>
      <c r="Z327" s="3"/>
      <c r="AA327" s="3" t="str">
        <f>IF(BCP_Dolares[[#This Row],[fecha]]&gt;0,TEXT(BCP_Dolares[[#This Row],[fecha]],"mmmm"),0)</f>
        <v>Agosto</v>
      </c>
    </row>
    <row r="328" spans="1:27" x14ac:dyDescent="0.3">
      <c r="A328" s="2">
        <f>IF(BCP_Dolares[[#This Row],[tipo_registro]]="R",COUNTIFS($C$1:$C327,"R")+1,"")</f>
        <v>149</v>
      </c>
      <c r="B328" s="19" t="str">
        <f t="shared" ref="B328:B339" si="80">"B-BCP - Dolares"</f>
        <v>B-BCP - Dolares</v>
      </c>
      <c r="C328" s="3" t="s">
        <v>1330</v>
      </c>
      <c r="D328" s="14">
        <v>45883</v>
      </c>
      <c r="E328" s="5" t="s">
        <v>1335</v>
      </c>
      <c r="F328" s="5" t="s">
        <v>1336</v>
      </c>
      <c r="G328" s="6"/>
      <c r="H328" s="6"/>
      <c r="I328" s="6"/>
      <c r="J328" s="6"/>
      <c r="K328" s="7" t="s">
        <v>3160</v>
      </c>
      <c r="L328" s="8"/>
      <c r="M328" s="8" t="str">
        <f t="shared" ref="M328:M339" si="81">"USD"</f>
        <v>USD</v>
      </c>
      <c r="N328" s="13"/>
      <c r="O328" s="13">
        <v>0.05</v>
      </c>
      <c r="P328" s="3">
        <f t="shared" ref="P328:P339" si="82">+IF(OR($F328="SALDO",$F328="INGRESO"),$O328,0)</f>
        <v>0</v>
      </c>
      <c r="Q328" s="3">
        <f t="shared" ref="Q328:Q339" si="83">+IF($F328="EGRESO",$O328,0)</f>
        <v>0.05</v>
      </c>
      <c r="R328" s="3">
        <f t="shared" si="79"/>
        <v>23.870000000003255</v>
      </c>
      <c r="S328" s="24" t="s">
        <v>1334</v>
      </c>
      <c r="T328" s="24" t="s">
        <v>1334</v>
      </c>
      <c r="U328" s="61"/>
      <c r="V328" s="3"/>
      <c r="W328" s="3"/>
      <c r="X328" s="3"/>
      <c r="Y328" s="3"/>
      <c r="Z328" s="3"/>
      <c r="AA328" s="3" t="str">
        <f>IF(BCP_Dolares[[#This Row],[fecha]]&gt;0,TEXT(BCP_Dolares[[#This Row],[fecha]],"mmmm"),0)</f>
        <v>Agosto</v>
      </c>
    </row>
    <row r="329" spans="1:27" x14ac:dyDescent="0.3">
      <c r="A329" s="2">
        <f>IF(BCP_Dolares[[#This Row],[tipo_registro]]="R",COUNTIFS($C$1:$C328,"R")+1,"")</f>
        <v>150</v>
      </c>
      <c r="B329" s="19" t="str">
        <f t="shared" si="80"/>
        <v>B-BCP - Dolares</v>
      </c>
      <c r="C329" s="3" t="s">
        <v>1330</v>
      </c>
      <c r="D329" s="14">
        <v>45895</v>
      </c>
      <c r="E329" s="5" t="s">
        <v>1338</v>
      </c>
      <c r="F329" s="5" t="s">
        <v>1303</v>
      </c>
      <c r="G329" s="6" t="s">
        <v>425</v>
      </c>
      <c r="H329" s="6"/>
      <c r="I329" s="6"/>
      <c r="J329" s="6"/>
      <c r="K329" s="7" t="s">
        <v>4305</v>
      </c>
      <c r="L329" s="8">
        <v>2213438</v>
      </c>
      <c r="M329" s="8" t="str">
        <f t="shared" si="81"/>
        <v>USD</v>
      </c>
      <c r="N329" s="13"/>
      <c r="O329" s="13">
        <v>1828.93</v>
      </c>
      <c r="P329" s="3">
        <f t="shared" si="82"/>
        <v>1828.93</v>
      </c>
      <c r="Q329" s="3">
        <f t="shared" si="83"/>
        <v>0</v>
      </c>
      <c r="R329" s="3">
        <f t="shared" si="79"/>
        <v>1852.8000000000034</v>
      </c>
      <c r="S329" s="24" t="s">
        <v>1334</v>
      </c>
      <c r="T329" s="24" t="s">
        <v>1334</v>
      </c>
      <c r="U329" s="61"/>
      <c r="V329" s="3"/>
      <c r="W329" s="3"/>
      <c r="X329" s="3"/>
      <c r="Y329" s="3"/>
      <c r="Z329" s="3"/>
      <c r="AA329" s="3" t="str">
        <f>IF(BCP_Dolares[[#This Row],[fecha]]&gt;0,TEXT(BCP_Dolares[[#This Row],[fecha]],"mmmm"),0)</f>
        <v>Agosto</v>
      </c>
    </row>
    <row r="330" spans="1:27" x14ac:dyDescent="0.3">
      <c r="A330" s="2">
        <f>IF(BCP_Dolares[[#This Row],[tipo_registro]]="R",COUNTIFS($C$1:$C329,"R")+1,"")</f>
        <v>151</v>
      </c>
      <c r="B330" s="19" t="str">
        <f t="shared" si="80"/>
        <v>B-BCP - Dolares</v>
      </c>
      <c r="C330" s="3" t="s">
        <v>1330</v>
      </c>
      <c r="D330" s="14">
        <v>45895</v>
      </c>
      <c r="E330" s="5" t="s">
        <v>1338</v>
      </c>
      <c r="F330" s="5" t="s">
        <v>1336</v>
      </c>
      <c r="G330" s="6" t="s">
        <v>204</v>
      </c>
      <c r="H330" s="6"/>
      <c r="I330" s="6"/>
      <c r="J330" s="6"/>
      <c r="K330" s="7" t="s">
        <v>4302</v>
      </c>
      <c r="L330" s="8">
        <v>6706493</v>
      </c>
      <c r="M330" s="8" t="str">
        <f t="shared" si="81"/>
        <v>USD</v>
      </c>
      <c r="N330" s="13"/>
      <c r="O330" s="13">
        <v>1833.86</v>
      </c>
      <c r="P330" s="3">
        <f t="shared" si="82"/>
        <v>0</v>
      </c>
      <c r="Q330" s="3">
        <f t="shared" si="83"/>
        <v>1833.86</v>
      </c>
      <c r="R330" s="3">
        <f t="shared" si="79"/>
        <v>18.940000000003465</v>
      </c>
      <c r="S330" s="24" t="s">
        <v>1334</v>
      </c>
      <c r="T330" s="24" t="s">
        <v>1334</v>
      </c>
      <c r="U330" s="61"/>
      <c r="V330" s="3"/>
      <c r="W330" s="3"/>
      <c r="X330" s="3"/>
      <c r="Y330" s="3"/>
      <c r="Z330" s="3"/>
      <c r="AA330" s="3" t="str">
        <f>IF(BCP_Dolares[[#This Row],[fecha]]&gt;0,TEXT(BCP_Dolares[[#This Row],[fecha]],"mmmm"),0)</f>
        <v>Agosto</v>
      </c>
    </row>
    <row r="331" spans="1:27" ht="24" x14ac:dyDescent="0.3">
      <c r="A331" s="2" t="str">
        <f>IF(BCP_Dolares[[#This Row],[tipo_registro]]="R",COUNTIFS($C$1:$C330,"R")+1,"")</f>
        <v/>
      </c>
      <c r="B331" s="19" t="str">
        <f t="shared" si="80"/>
        <v>B-BCP - Dolares</v>
      </c>
      <c r="C331" s="3" t="s">
        <v>1352</v>
      </c>
      <c r="D331" s="14">
        <v>45895</v>
      </c>
      <c r="E331" s="5" t="s">
        <v>1338</v>
      </c>
      <c r="F331" s="5"/>
      <c r="G331" s="6" t="s">
        <v>204</v>
      </c>
      <c r="H331" s="6" t="s">
        <v>68</v>
      </c>
      <c r="I331" s="6" t="s">
        <v>1390</v>
      </c>
      <c r="J331" s="6">
        <v>16531</v>
      </c>
      <c r="K331" s="7" t="s">
        <v>4302</v>
      </c>
      <c r="L331" s="8">
        <v>6706493</v>
      </c>
      <c r="M331" s="8" t="str">
        <f t="shared" si="81"/>
        <v>USD</v>
      </c>
      <c r="N331" s="13">
        <v>53.06</v>
      </c>
      <c r="O331" s="13"/>
      <c r="P331" s="3">
        <f t="shared" si="82"/>
        <v>0</v>
      </c>
      <c r="Q331" s="3">
        <f t="shared" si="83"/>
        <v>0</v>
      </c>
      <c r="R331" s="3">
        <f t="shared" si="79"/>
        <v>18.940000000003465</v>
      </c>
      <c r="S331" s="24" t="s">
        <v>1334</v>
      </c>
      <c r="T331" s="24" t="s">
        <v>1334</v>
      </c>
      <c r="U331" s="61"/>
      <c r="V331" s="3"/>
      <c r="W331" s="3"/>
      <c r="X331" s="3"/>
      <c r="Y331" s="3"/>
      <c r="Z331" s="3"/>
      <c r="AA331" s="3" t="str">
        <f>IF(BCP_Dolares[[#This Row],[fecha]]&gt;0,TEXT(BCP_Dolares[[#This Row],[fecha]],"mmmm"),0)</f>
        <v>Agosto</v>
      </c>
    </row>
    <row r="332" spans="1:27" ht="24" x14ac:dyDescent="0.3">
      <c r="A332" s="2" t="str">
        <f>IF(BCP_Dolares[[#This Row],[tipo_registro]]="R",COUNTIFS($C$1:$C331,"R")+1,"")</f>
        <v/>
      </c>
      <c r="B332" s="19" t="str">
        <f t="shared" si="80"/>
        <v>B-BCP - Dolares</v>
      </c>
      <c r="C332" s="3" t="s">
        <v>1352</v>
      </c>
      <c r="D332" s="14">
        <v>45895</v>
      </c>
      <c r="E332" s="5" t="s">
        <v>1338</v>
      </c>
      <c r="F332" s="5"/>
      <c r="G332" s="6" t="s">
        <v>204</v>
      </c>
      <c r="H332" s="6" t="s">
        <v>68</v>
      </c>
      <c r="I332" s="6" t="s">
        <v>1390</v>
      </c>
      <c r="J332" s="6">
        <v>16532</v>
      </c>
      <c r="K332" s="7" t="s">
        <v>4302</v>
      </c>
      <c r="L332" s="8">
        <v>6706493</v>
      </c>
      <c r="M332" s="8" t="str">
        <f t="shared" si="81"/>
        <v>USD</v>
      </c>
      <c r="N332" s="13">
        <v>28.94</v>
      </c>
      <c r="O332" s="13"/>
      <c r="P332" s="3">
        <f t="shared" si="82"/>
        <v>0</v>
      </c>
      <c r="Q332" s="3">
        <f t="shared" si="83"/>
        <v>0</v>
      </c>
      <c r="R332" s="3">
        <f t="shared" si="79"/>
        <v>18.940000000003465</v>
      </c>
      <c r="S332" s="24" t="s">
        <v>1334</v>
      </c>
      <c r="T332" s="24" t="s">
        <v>1334</v>
      </c>
      <c r="U332" s="61"/>
      <c r="V332" s="3"/>
      <c r="W332" s="3"/>
      <c r="X332" s="3"/>
      <c r="Y332" s="3"/>
      <c r="Z332" s="3"/>
      <c r="AA332" s="3" t="str">
        <f>IF(BCP_Dolares[[#This Row],[fecha]]&gt;0,TEXT(BCP_Dolares[[#This Row],[fecha]],"mmmm"),0)</f>
        <v>Agosto</v>
      </c>
    </row>
    <row r="333" spans="1:27" ht="24" x14ac:dyDescent="0.3">
      <c r="A333" s="2" t="str">
        <f>IF(BCP_Dolares[[#This Row],[tipo_registro]]="R",COUNTIFS($C$1:$C332,"R")+1,"")</f>
        <v/>
      </c>
      <c r="B333" s="19" t="str">
        <f t="shared" si="80"/>
        <v>B-BCP - Dolares</v>
      </c>
      <c r="C333" s="3" t="s">
        <v>1352</v>
      </c>
      <c r="D333" s="14">
        <v>45895</v>
      </c>
      <c r="E333" s="5" t="s">
        <v>1338</v>
      </c>
      <c r="F333" s="5"/>
      <c r="G333" s="6" t="s">
        <v>204</v>
      </c>
      <c r="H333" s="6" t="s">
        <v>68</v>
      </c>
      <c r="I333" s="6" t="s">
        <v>1390</v>
      </c>
      <c r="J333" s="6">
        <v>16567</v>
      </c>
      <c r="K333" s="7" t="s">
        <v>4302</v>
      </c>
      <c r="L333" s="8">
        <v>6706493</v>
      </c>
      <c r="M333" s="8" t="str">
        <f t="shared" si="81"/>
        <v>USD</v>
      </c>
      <c r="N333" s="13">
        <v>800.2</v>
      </c>
      <c r="O333" s="13"/>
      <c r="P333" s="3">
        <f t="shared" si="82"/>
        <v>0</v>
      </c>
      <c r="Q333" s="3">
        <f t="shared" si="83"/>
        <v>0</v>
      </c>
      <c r="R333" s="3">
        <f t="shared" si="79"/>
        <v>18.940000000003465</v>
      </c>
      <c r="S333" s="24" t="s">
        <v>1334</v>
      </c>
      <c r="T333" s="24" t="s">
        <v>1334</v>
      </c>
      <c r="U333" s="61"/>
      <c r="V333" s="3"/>
      <c r="W333" s="3"/>
      <c r="X333" s="3"/>
      <c r="Y333" s="3"/>
      <c r="Z333" s="3"/>
      <c r="AA333" s="3" t="str">
        <f>IF(BCP_Dolares[[#This Row],[fecha]]&gt;0,TEXT(BCP_Dolares[[#This Row],[fecha]],"mmmm"),0)</f>
        <v>Agosto</v>
      </c>
    </row>
    <row r="334" spans="1:27" ht="24" x14ac:dyDescent="0.3">
      <c r="A334" s="2" t="str">
        <f>IF(BCP_Dolares[[#This Row],[tipo_registro]]="R",COUNTIFS($C$1:$C333,"R")+1,"")</f>
        <v/>
      </c>
      <c r="B334" s="19" t="str">
        <f t="shared" si="80"/>
        <v>B-BCP - Dolares</v>
      </c>
      <c r="C334" s="3" t="s">
        <v>1352</v>
      </c>
      <c r="D334" s="14">
        <v>45895</v>
      </c>
      <c r="E334" s="5" t="s">
        <v>1338</v>
      </c>
      <c r="F334" s="5"/>
      <c r="G334" s="6" t="s">
        <v>204</v>
      </c>
      <c r="H334" s="6" t="s">
        <v>68</v>
      </c>
      <c r="I334" s="6" t="s">
        <v>1390</v>
      </c>
      <c r="J334" s="6">
        <v>16566</v>
      </c>
      <c r="K334" s="7" t="s">
        <v>4302</v>
      </c>
      <c r="L334" s="8">
        <v>6706493</v>
      </c>
      <c r="M334" s="8" t="str">
        <f t="shared" si="81"/>
        <v>USD</v>
      </c>
      <c r="N334" s="13">
        <v>677.29</v>
      </c>
      <c r="O334" s="13"/>
      <c r="P334" s="3">
        <f t="shared" si="82"/>
        <v>0</v>
      </c>
      <c r="Q334" s="3">
        <f t="shared" si="83"/>
        <v>0</v>
      </c>
      <c r="R334" s="3">
        <f t="shared" si="79"/>
        <v>18.940000000003465</v>
      </c>
      <c r="S334" s="24" t="s">
        <v>1334</v>
      </c>
      <c r="T334" s="24" t="s">
        <v>1334</v>
      </c>
      <c r="U334" s="61"/>
      <c r="V334" s="3"/>
      <c r="W334" s="3"/>
      <c r="X334" s="3"/>
      <c r="Y334" s="3"/>
      <c r="Z334" s="3"/>
      <c r="AA334" s="3" t="str">
        <f>IF(BCP_Dolares[[#This Row],[fecha]]&gt;0,TEXT(BCP_Dolares[[#This Row],[fecha]],"mmmm"),0)</f>
        <v>Agosto</v>
      </c>
    </row>
    <row r="335" spans="1:27" ht="24" x14ac:dyDescent="0.3">
      <c r="A335" s="2" t="str">
        <f>IF(BCP_Dolares[[#This Row],[tipo_registro]]="R",COUNTIFS($C$1:$C334,"R")+1,"")</f>
        <v/>
      </c>
      <c r="B335" s="19" t="str">
        <f t="shared" si="80"/>
        <v>B-BCP - Dolares</v>
      </c>
      <c r="C335" s="3" t="s">
        <v>1352</v>
      </c>
      <c r="D335" s="14">
        <v>45895</v>
      </c>
      <c r="E335" s="5" t="s">
        <v>1338</v>
      </c>
      <c r="F335" s="5"/>
      <c r="G335" s="6" t="s">
        <v>204</v>
      </c>
      <c r="H335" s="6" t="s">
        <v>68</v>
      </c>
      <c r="I335" s="6" t="s">
        <v>1390</v>
      </c>
      <c r="J335" s="6">
        <v>16500</v>
      </c>
      <c r="K335" s="7" t="s">
        <v>4302</v>
      </c>
      <c r="L335" s="8">
        <v>6706493</v>
      </c>
      <c r="M335" s="8" t="str">
        <f t="shared" si="81"/>
        <v>USD</v>
      </c>
      <c r="N335" s="13">
        <v>90.93</v>
      </c>
      <c r="O335" s="13"/>
      <c r="P335" s="3">
        <f t="shared" si="82"/>
        <v>0</v>
      </c>
      <c r="Q335" s="3">
        <f t="shared" si="83"/>
        <v>0</v>
      </c>
      <c r="R335" s="3">
        <f t="shared" si="79"/>
        <v>18.940000000003465</v>
      </c>
      <c r="S335" s="24" t="s">
        <v>1334</v>
      </c>
      <c r="T335" s="24" t="s">
        <v>1334</v>
      </c>
      <c r="U335" s="61"/>
      <c r="V335" s="3"/>
      <c r="W335" s="3"/>
      <c r="X335" s="3"/>
      <c r="Y335" s="3"/>
      <c r="Z335" s="3"/>
      <c r="AA335" s="3" t="str">
        <f>IF(BCP_Dolares[[#This Row],[fecha]]&gt;0,TEXT(BCP_Dolares[[#This Row],[fecha]],"mmmm"),0)</f>
        <v>Agosto</v>
      </c>
    </row>
    <row r="336" spans="1:27" ht="24" x14ac:dyDescent="0.3">
      <c r="A336" s="2" t="str">
        <f>IF(BCP_Dolares[[#This Row],[tipo_registro]]="R",COUNTIFS($C$1:$C335,"R")+1,"")</f>
        <v/>
      </c>
      <c r="B336" s="19" t="str">
        <f t="shared" si="80"/>
        <v>B-BCP - Dolares</v>
      </c>
      <c r="C336" s="3" t="s">
        <v>1352</v>
      </c>
      <c r="D336" s="14">
        <v>45895</v>
      </c>
      <c r="E336" s="5" t="s">
        <v>1338</v>
      </c>
      <c r="F336" s="5"/>
      <c r="G336" s="6" t="s">
        <v>204</v>
      </c>
      <c r="H336" s="6" t="s">
        <v>68</v>
      </c>
      <c r="I336" s="6" t="s">
        <v>1390</v>
      </c>
      <c r="J336" s="6">
        <v>16534</v>
      </c>
      <c r="K336" s="7" t="s">
        <v>4302</v>
      </c>
      <c r="L336" s="8">
        <v>6706493</v>
      </c>
      <c r="M336" s="8" t="str">
        <f t="shared" si="81"/>
        <v>USD</v>
      </c>
      <c r="N336" s="13">
        <v>140.74</v>
      </c>
      <c r="O336" s="13"/>
      <c r="P336" s="3">
        <f t="shared" si="82"/>
        <v>0</v>
      </c>
      <c r="Q336" s="3">
        <f t="shared" si="83"/>
        <v>0</v>
      </c>
      <c r="R336" s="3">
        <f t="shared" si="79"/>
        <v>18.940000000003465</v>
      </c>
      <c r="S336" s="24" t="s">
        <v>1334</v>
      </c>
      <c r="T336" s="24" t="s">
        <v>1334</v>
      </c>
      <c r="U336" s="61"/>
      <c r="V336" s="3"/>
      <c r="W336" s="3"/>
      <c r="X336" s="3"/>
      <c r="Y336" s="3"/>
      <c r="Z336" s="3"/>
      <c r="AA336" s="3" t="str">
        <f>IF(BCP_Dolares[[#This Row],[fecha]]&gt;0,TEXT(BCP_Dolares[[#This Row],[fecha]],"mmmm"),0)</f>
        <v>Agosto</v>
      </c>
    </row>
    <row r="337" spans="1:27" ht="24" x14ac:dyDescent="0.3">
      <c r="A337" s="2" t="str">
        <f>IF(BCP_Dolares[[#This Row],[tipo_registro]]="R",COUNTIFS($C$1:$C336,"R")+1,"")</f>
        <v/>
      </c>
      <c r="B337" s="19" t="str">
        <f t="shared" si="80"/>
        <v>B-BCP - Dolares</v>
      </c>
      <c r="C337" s="3" t="s">
        <v>1352</v>
      </c>
      <c r="D337" s="14">
        <v>45895</v>
      </c>
      <c r="E337" s="5" t="s">
        <v>1338</v>
      </c>
      <c r="F337" s="5"/>
      <c r="G337" s="6" t="s">
        <v>204</v>
      </c>
      <c r="H337" s="6" t="s">
        <v>68</v>
      </c>
      <c r="I337" s="6" t="s">
        <v>1390</v>
      </c>
      <c r="J337" s="6">
        <v>16501</v>
      </c>
      <c r="K337" s="7" t="s">
        <v>4302</v>
      </c>
      <c r="L337" s="8">
        <v>6706493</v>
      </c>
      <c r="M337" s="8" t="str">
        <f t="shared" si="81"/>
        <v>USD</v>
      </c>
      <c r="N337" s="13">
        <v>42.7</v>
      </c>
      <c r="O337" s="13"/>
      <c r="P337" s="3">
        <f t="shared" si="82"/>
        <v>0</v>
      </c>
      <c r="Q337" s="3">
        <f t="shared" si="83"/>
        <v>0</v>
      </c>
      <c r="R337" s="3">
        <f t="shared" si="79"/>
        <v>18.940000000003465</v>
      </c>
      <c r="S337" s="24" t="s">
        <v>1334</v>
      </c>
      <c r="T337" s="24" t="s">
        <v>1334</v>
      </c>
      <c r="U337" s="61"/>
      <c r="V337" s="3"/>
      <c r="W337" s="3"/>
      <c r="X337" s="3"/>
      <c r="Y337" s="3"/>
      <c r="Z337" s="3"/>
      <c r="AA337" s="3" t="str">
        <f>IF(BCP_Dolares[[#This Row],[fecha]]&gt;0,TEXT(BCP_Dolares[[#This Row],[fecha]],"mmmm"),0)</f>
        <v>Agosto</v>
      </c>
    </row>
    <row r="338" spans="1:27" x14ac:dyDescent="0.3">
      <c r="A338" s="2">
        <f>IF(BCP_Dolares[[#This Row],[tipo_registro]]="R",COUNTIFS($C$1:$C337,"R")+1,"")</f>
        <v>152</v>
      </c>
      <c r="B338" s="19" t="str">
        <f t="shared" si="80"/>
        <v>B-BCP - Dolares</v>
      </c>
      <c r="C338" s="3" t="s">
        <v>1330</v>
      </c>
      <c r="D338" s="14">
        <v>45895</v>
      </c>
      <c r="E338" s="5" t="s">
        <v>1335</v>
      </c>
      <c r="F338" s="5" t="s">
        <v>1336</v>
      </c>
      <c r="G338" s="6"/>
      <c r="H338" s="6"/>
      <c r="I338" s="6"/>
      <c r="J338" s="6"/>
      <c r="K338" s="7" t="s">
        <v>3160</v>
      </c>
      <c r="L338" s="8"/>
      <c r="M338" s="8" t="str">
        <f t="shared" si="81"/>
        <v>USD</v>
      </c>
      <c r="N338" s="13"/>
      <c r="O338" s="13">
        <v>0.05</v>
      </c>
      <c r="P338" s="3">
        <f t="shared" si="82"/>
        <v>0</v>
      </c>
      <c r="Q338" s="3">
        <f t="shared" si="83"/>
        <v>0.05</v>
      </c>
      <c r="R338" s="3">
        <f t="shared" si="79"/>
        <v>18.890000000003464</v>
      </c>
      <c r="S338" s="24" t="s">
        <v>1334</v>
      </c>
      <c r="T338" s="24" t="s">
        <v>1334</v>
      </c>
      <c r="U338" s="61"/>
      <c r="V338" s="3"/>
      <c r="W338" s="3"/>
      <c r="X338" s="3"/>
      <c r="Y338" s="3"/>
      <c r="Z338" s="3"/>
      <c r="AA338" s="3" t="str">
        <f>IF(BCP_Dolares[[#This Row],[fecha]]&gt;0,TEXT(BCP_Dolares[[#This Row],[fecha]],"mmmm"),0)</f>
        <v>Agosto</v>
      </c>
    </row>
    <row r="339" spans="1:27" ht="24" x14ac:dyDescent="0.3">
      <c r="A339" s="2">
        <f>IF(BCP_Dolares[[#This Row],[tipo_registro]]="R",COUNTIFS($C$1:$C338,"R")+1,"")</f>
        <v>153</v>
      </c>
      <c r="B339" s="19" t="str">
        <f t="shared" si="80"/>
        <v>B-BCP - Dolares</v>
      </c>
      <c r="C339" s="3" t="s">
        <v>1330</v>
      </c>
      <c r="D339" s="14">
        <v>45896</v>
      </c>
      <c r="E339" s="5" t="s">
        <v>1335</v>
      </c>
      <c r="F339" s="5" t="s">
        <v>1336</v>
      </c>
      <c r="G339" s="6" t="s">
        <v>1060</v>
      </c>
      <c r="H339" s="6" t="s">
        <v>68</v>
      </c>
      <c r="I339" s="6" t="s">
        <v>1343</v>
      </c>
      <c r="J339" s="6">
        <v>2477192</v>
      </c>
      <c r="K339" s="7" t="s">
        <v>5031</v>
      </c>
      <c r="L339" s="8">
        <v>350</v>
      </c>
      <c r="M339" s="8" t="str">
        <f t="shared" si="81"/>
        <v>USD</v>
      </c>
      <c r="N339" s="13"/>
      <c r="O339" s="13">
        <v>12</v>
      </c>
      <c r="P339" s="3">
        <f t="shared" si="82"/>
        <v>0</v>
      </c>
      <c r="Q339" s="3">
        <f t="shared" si="83"/>
        <v>12</v>
      </c>
      <c r="R339" s="3">
        <f t="shared" si="79"/>
        <v>6.8900000000034645</v>
      </c>
      <c r="S339" s="24" t="s">
        <v>1334</v>
      </c>
      <c r="T339" s="24" t="s">
        <v>1334</v>
      </c>
      <c r="U339" s="61"/>
      <c r="V339" s="3"/>
      <c r="W339" s="3"/>
      <c r="X339" s="3"/>
      <c r="Y339" s="3"/>
      <c r="Z339" s="3"/>
      <c r="AA339" s="3" t="str">
        <f>IF(BCP_Dolares[[#This Row],[fecha]]&gt;0,TEXT(BCP_Dolares[[#This Row],[fecha]],"mmmm"),0)</f>
        <v>Agosto</v>
      </c>
    </row>
    <row r="340" spans="1:27" x14ac:dyDescent="0.3">
      <c r="A340" s="2">
        <f>IF(BCP_Dolares[[#This Row],[tipo_registro]]="R",COUNTIFS($C$1:$C339,"R")+1,"")</f>
        <v>154</v>
      </c>
      <c r="B340" s="19" t="str">
        <f t="shared" ref="B340:B345" si="84">"B-BCP - Dolares"</f>
        <v>B-BCP - Dolares</v>
      </c>
      <c r="C340" s="3" t="s">
        <v>1330</v>
      </c>
      <c r="D340" s="14">
        <v>45897</v>
      </c>
      <c r="E340" s="5"/>
      <c r="F340" s="5" t="s">
        <v>1303</v>
      </c>
      <c r="G340" s="6" t="s">
        <v>425</v>
      </c>
      <c r="H340" s="6"/>
      <c r="I340" s="6"/>
      <c r="J340" s="6"/>
      <c r="K340" s="7" t="s">
        <v>4909</v>
      </c>
      <c r="L340" s="8">
        <v>7350771</v>
      </c>
      <c r="M340" s="8" t="str">
        <f t="shared" ref="M340:M345" si="85">"USD"</f>
        <v>USD</v>
      </c>
      <c r="N340" s="13"/>
      <c r="O340" s="13">
        <v>15894.05</v>
      </c>
      <c r="P340" s="3">
        <f t="shared" ref="P340:P345" si="86">+IF(OR($F340="SALDO",$F340="INGRESO"),$O340,0)</f>
        <v>15894.05</v>
      </c>
      <c r="Q340" s="3">
        <f t="shared" ref="Q340:Q345" si="87">+IF($F340="EGRESO",$O340,0)</f>
        <v>0</v>
      </c>
      <c r="R340" s="3">
        <f t="shared" si="79"/>
        <v>15900.940000000002</v>
      </c>
      <c r="S340" s="24" t="s">
        <v>1334</v>
      </c>
      <c r="T340" s="24" t="s">
        <v>1334</v>
      </c>
      <c r="U340" s="61"/>
      <c r="V340" s="3"/>
      <c r="W340" s="3"/>
      <c r="X340" s="3"/>
      <c r="Y340" s="3"/>
      <c r="Z340" s="3"/>
      <c r="AA340" s="3" t="str">
        <f>IF(BCP_Dolares[[#This Row],[fecha]]&gt;0,TEXT(BCP_Dolares[[#This Row],[fecha]],"mmmm"),0)</f>
        <v>Agosto</v>
      </c>
    </row>
    <row r="341" spans="1:27" ht="24" x14ac:dyDescent="0.3">
      <c r="A341" s="2" t="str">
        <f>IF(BCP_Dolares[[#This Row],[tipo_registro]]="R",COUNTIFS($C$1:$C340,"R")+1,"")</f>
        <v/>
      </c>
      <c r="B341" s="19" t="str">
        <f t="shared" si="84"/>
        <v>B-BCP - Dolares</v>
      </c>
      <c r="C341" s="3" t="s">
        <v>1352</v>
      </c>
      <c r="D341" s="14">
        <v>45897</v>
      </c>
      <c r="E341" s="5" t="s">
        <v>204</v>
      </c>
      <c r="F341" s="5"/>
      <c r="G341" s="6"/>
      <c r="H341" s="6" t="s">
        <v>68</v>
      </c>
      <c r="I341" s="6" t="s">
        <v>1784</v>
      </c>
      <c r="J341" s="6">
        <v>189</v>
      </c>
      <c r="K341" s="7" t="s">
        <v>4909</v>
      </c>
      <c r="L341" s="8">
        <v>7350771</v>
      </c>
      <c r="M341" s="8" t="str">
        <f t="shared" si="85"/>
        <v>USD</v>
      </c>
      <c r="N341" s="13">
        <v>9921.32</v>
      </c>
      <c r="O341" s="13"/>
      <c r="P341" s="3">
        <f t="shared" si="86"/>
        <v>0</v>
      </c>
      <c r="Q341" s="3">
        <f t="shared" si="87"/>
        <v>0</v>
      </c>
      <c r="R341" s="3">
        <f t="shared" si="79"/>
        <v>15900.940000000002</v>
      </c>
      <c r="S341" s="24" t="s">
        <v>1334</v>
      </c>
      <c r="T341" s="24" t="s">
        <v>1334</v>
      </c>
      <c r="U341" s="61"/>
      <c r="V341" s="3"/>
      <c r="W341" s="3"/>
      <c r="X341" s="3"/>
      <c r="Y341" s="3"/>
      <c r="Z341" s="3"/>
      <c r="AA341" s="3" t="str">
        <f>IF(BCP_Dolares[[#This Row],[fecha]]&gt;0,TEXT(BCP_Dolares[[#This Row],[fecha]],"mmmm"),0)</f>
        <v>Agosto</v>
      </c>
    </row>
    <row r="342" spans="1:27" ht="24" x14ac:dyDescent="0.3">
      <c r="A342" s="2" t="str">
        <f>IF(BCP_Dolares[[#This Row],[tipo_registro]]="R",COUNTIFS($C$1:$C341,"R")+1,"")</f>
        <v/>
      </c>
      <c r="B342" s="19" t="str">
        <f t="shared" si="84"/>
        <v>B-BCP - Dolares</v>
      </c>
      <c r="C342" s="3" t="s">
        <v>1352</v>
      </c>
      <c r="D342" s="14">
        <v>45897</v>
      </c>
      <c r="E342" s="5" t="s">
        <v>204</v>
      </c>
      <c r="F342" s="5"/>
      <c r="G342" s="6"/>
      <c r="H342" s="6" t="s">
        <v>68</v>
      </c>
      <c r="I342" s="6" t="s">
        <v>1784</v>
      </c>
      <c r="J342" s="6">
        <v>190</v>
      </c>
      <c r="K342" s="7" t="s">
        <v>4909</v>
      </c>
      <c r="L342" s="8">
        <v>7350771</v>
      </c>
      <c r="M342" s="8" t="str">
        <f t="shared" si="85"/>
        <v>USD</v>
      </c>
      <c r="N342" s="13">
        <v>5972.73</v>
      </c>
      <c r="O342" s="13"/>
      <c r="P342" s="3">
        <f t="shared" si="86"/>
        <v>0</v>
      </c>
      <c r="Q342" s="3">
        <f t="shared" si="87"/>
        <v>0</v>
      </c>
      <c r="R342" s="3">
        <f t="shared" si="79"/>
        <v>15900.940000000002</v>
      </c>
      <c r="S342" s="24" t="s">
        <v>1334</v>
      </c>
      <c r="T342" s="24" t="s">
        <v>1334</v>
      </c>
      <c r="U342" s="61"/>
      <c r="V342" s="3"/>
      <c r="W342" s="3"/>
      <c r="X342" s="3"/>
      <c r="Y342" s="3"/>
      <c r="Z342" s="3"/>
      <c r="AA342" s="3" t="str">
        <f>IF(BCP_Dolares[[#This Row],[fecha]]&gt;0,TEXT(BCP_Dolares[[#This Row],[fecha]],"mmmm"),0)</f>
        <v>Agosto</v>
      </c>
    </row>
    <row r="343" spans="1:27" ht="36" x14ac:dyDescent="0.3">
      <c r="A343" s="2">
        <f>IF(BCP_Dolares[[#This Row],[tipo_registro]]="R",COUNTIFS($C$1:$C342,"R")+1,"")</f>
        <v>155</v>
      </c>
      <c r="B343" s="19" t="str">
        <f t="shared" si="84"/>
        <v>B-BCP - Dolares</v>
      </c>
      <c r="C343" s="3" t="s">
        <v>1330</v>
      </c>
      <c r="D343" s="14">
        <v>45897</v>
      </c>
      <c r="E343" s="5" t="s">
        <v>1338</v>
      </c>
      <c r="F343" s="5" t="s">
        <v>1336</v>
      </c>
      <c r="G343" s="6" t="s">
        <v>702</v>
      </c>
      <c r="H343" s="6" t="s">
        <v>68</v>
      </c>
      <c r="I343" s="6" t="s">
        <v>1463</v>
      </c>
      <c r="J343" s="6">
        <v>479167</v>
      </c>
      <c r="K343" s="7" t="s">
        <v>5032</v>
      </c>
      <c r="L343" s="8">
        <v>238378</v>
      </c>
      <c r="M343" s="8" t="str">
        <f t="shared" si="85"/>
        <v>USD</v>
      </c>
      <c r="N343" s="13"/>
      <c r="O343" s="13">
        <v>416.27</v>
      </c>
      <c r="P343" s="3">
        <f t="shared" si="86"/>
        <v>0</v>
      </c>
      <c r="Q343" s="3">
        <f t="shared" si="87"/>
        <v>416.27</v>
      </c>
      <c r="R343" s="3">
        <f t="shared" si="79"/>
        <v>15484.670000000002</v>
      </c>
      <c r="S343" s="24" t="s">
        <v>1334</v>
      </c>
      <c r="T343" s="24" t="s">
        <v>1334</v>
      </c>
      <c r="U343" s="61"/>
      <c r="V343" s="3"/>
      <c r="W343" s="3"/>
      <c r="X343" s="3"/>
      <c r="Y343" s="3"/>
      <c r="Z343" s="3"/>
      <c r="AA343" s="3" t="str">
        <f>IF(BCP_Dolares[[#This Row],[fecha]]&gt;0,TEXT(BCP_Dolares[[#This Row],[fecha]],"mmmm"),0)</f>
        <v>Agosto</v>
      </c>
    </row>
    <row r="344" spans="1:27" x14ac:dyDescent="0.3">
      <c r="A344" s="2">
        <f>IF(BCP_Dolares[[#This Row],[tipo_registro]]="R",COUNTIFS($C$1:$C343,"R")+1,"")</f>
        <v>156</v>
      </c>
      <c r="B344" s="19" t="str">
        <f t="shared" si="84"/>
        <v>B-BCP - Dolares</v>
      </c>
      <c r="C344" s="3" t="s">
        <v>1330</v>
      </c>
      <c r="D344" s="14">
        <v>45897</v>
      </c>
      <c r="E344" s="5" t="s">
        <v>1335</v>
      </c>
      <c r="F344" s="5" t="s">
        <v>1336</v>
      </c>
      <c r="G344" s="6"/>
      <c r="H344" s="6"/>
      <c r="I344" s="6"/>
      <c r="J344" s="6"/>
      <c r="K344" s="7" t="s">
        <v>3160</v>
      </c>
      <c r="L344" s="8"/>
      <c r="M344" s="8" t="str">
        <f t="shared" si="85"/>
        <v>USD</v>
      </c>
      <c r="N344" s="13"/>
      <c r="O344" s="13">
        <v>0.75</v>
      </c>
      <c r="P344" s="3">
        <f t="shared" si="86"/>
        <v>0</v>
      </c>
      <c r="Q344" s="3">
        <f t="shared" si="87"/>
        <v>0.75</v>
      </c>
      <c r="R344" s="3">
        <f t="shared" si="79"/>
        <v>15483.920000000002</v>
      </c>
      <c r="S344" s="24" t="s">
        <v>1334</v>
      </c>
      <c r="T344" s="24" t="s">
        <v>1334</v>
      </c>
      <c r="U344" s="61"/>
      <c r="V344" s="3"/>
      <c r="W344" s="3"/>
      <c r="X344" s="3"/>
      <c r="Y344" s="3"/>
      <c r="Z344" s="3"/>
      <c r="AA344" s="3" t="str">
        <f>IF(BCP_Dolares[[#This Row],[fecha]]&gt;0,TEXT(BCP_Dolares[[#This Row],[fecha]],"mmmm"),0)</f>
        <v>Agosto</v>
      </c>
    </row>
    <row r="345" spans="1:27" x14ac:dyDescent="0.3">
      <c r="A345" s="2">
        <f>IF(BCP_Dolares[[#This Row],[tipo_registro]]="R",COUNTIFS($C$1:$C344,"R")+1,"")</f>
        <v>157</v>
      </c>
      <c r="B345" s="19" t="str">
        <f t="shared" si="84"/>
        <v>B-BCP - Dolares</v>
      </c>
      <c r="C345" s="3" t="s">
        <v>1330</v>
      </c>
      <c r="D345" s="14">
        <v>45898</v>
      </c>
      <c r="E345" s="5" t="s">
        <v>4171</v>
      </c>
      <c r="F345" s="5" t="s">
        <v>1336</v>
      </c>
      <c r="G345" s="6" t="s">
        <v>425</v>
      </c>
      <c r="H345" s="6"/>
      <c r="I345" s="6"/>
      <c r="J345" s="6"/>
      <c r="K345" s="7" t="s">
        <v>4362</v>
      </c>
      <c r="L345" s="8"/>
      <c r="M345" s="8" t="str">
        <f t="shared" si="85"/>
        <v>USD</v>
      </c>
      <c r="N345" s="13"/>
      <c r="O345" s="13">
        <v>15000</v>
      </c>
      <c r="P345" s="3">
        <f t="shared" si="86"/>
        <v>0</v>
      </c>
      <c r="Q345" s="3">
        <f t="shared" si="87"/>
        <v>15000</v>
      </c>
      <c r="R345" s="3">
        <f t="shared" si="79"/>
        <v>483.92000000000189</v>
      </c>
      <c r="S345" s="24" t="s">
        <v>1334</v>
      </c>
      <c r="T345" s="24" t="s">
        <v>1334</v>
      </c>
      <c r="U345" s="61"/>
      <c r="V345" s="3"/>
      <c r="W345" s="3"/>
      <c r="X345" s="3"/>
      <c r="Y345" s="3"/>
      <c r="Z345" s="3"/>
      <c r="AA345" s="3" t="str">
        <f>IF(BCP_Dolares[[#This Row],[fecha]]&gt;0,TEXT(BCP_Dolares[[#This Row],[fecha]],"mmmm"),0)</f>
        <v>Agosto</v>
      </c>
    </row>
    <row r="346" spans="1:27" ht="24" x14ac:dyDescent="0.3">
      <c r="A346" s="2">
        <f>IF(BCP_Dolares[[#This Row],[tipo_registro]]="R",COUNTIFS($C$1:$C345,"R")+1,"")</f>
        <v>158</v>
      </c>
      <c r="B346" s="19" t="str">
        <f t="shared" ref="B346:B352" si="88">"B-BCP - Dolares"</f>
        <v>B-BCP - Dolares</v>
      </c>
      <c r="C346" s="3" t="s">
        <v>1330</v>
      </c>
      <c r="D346" s="14">
        <v>45899</v>
      </c>
      <c r="E346" s="5" t="s">
        <v>1335</v>
      </c>
      <c r="F346" s="5" t="s">
        <v>1336</v>
      </c>
      <c r="G346" s="6" t="s">
        <v>1060</v>
      </c>
      <c r="H346" s="6" t="s">
        <v>68</v>
      </c>
      <c r="I346" s="6" t="s">
        <v>2081</v>
      </c>
      <c r="J346" s="6">
        <v>16415708</v>
      </c>
      <c r="K346" s="7" t="s">
        <v>4862</v>
      </c>
      <c r="L346" s="8"/>
      <c r="M346" s="8" t="str">
        <f t="shared" ref="M346:M352" si="89">"USD"</f>
        <v>USD</v>
      </c>
      <c r="N346" s="13"/>
      <c r="O346" s="13">
        <v>13</v>
      </c>
      <c r="P346" s="3">
        <f t="shared" ref="P346:P352" si="90">+IF(OR($F346="SALDO",$F346="INGRESO"),$O346,0)</f>
        <v>0</v>
      </c>
      <c r="Q346" s="3">
        <f t="shared" ref="Q346:Q352" si="91">+IF($F346="EGRESO",$O346,0)</f>
        <v>13</v>
      </c>
      <c r="R346" s="3">
        <f t="shared" si="79"/>
        <v>470.92000000000189</v>
      </c>
      <c r="S346" s="24" t="s">
        <v>1334</v>
      </c>
      <c r="T346" s="24" t="s">
        <v>1334</v>
      </c>
      <c r="U346" s="61"/>
      <c r="V346" s="3"/>
      <c r="W346" s="3"/>
      <c r="X346" s="3"/>
      <c r="Y346" s="3"/>
      <c r="Z346" s="3"/>
      <c r="AA346" s="3" t="str">
        <f>IF(BCP_Dolares[[#This Row],[fecha]]&gt;0,TEXT(BCP_Dolares[[#This Row],[fecha]],"mmmm"),0)</f>
        <v>Agosto</v>
      </c>
    </row>
    <row r="347" spans="1:27" ht="24" x14ac:dyDescent="0.3">
      <c r="A347" s="2">
        <f>IF(BCP_Dolares[[#This Row],[tipo_registro]]="R",COUNTIFS($C$1:$C346,"R")+1,"")</f>
        <v>159</v>
      </c>
      <c r="B347" s="19" t="str">
        <f t="shared" si="88"/>
        <v>B-BCP - Dolares</v>
      </c>
      <c r="C347" s="3" t="s">
        <v>1330</v>
      </c>
      <c r="D347" s="14">
        <v>45899</v>
      </c>
      <c r="E347" s="5" t="s">
        <v>1335</v>
      </c>
      <c r="F347" s="5" t="s">
        <v>1336</v>
      </c>
      <c r="G347" s="6" t="s">
        <v>1060</v>
      </c>
      <c r="H347" s="6" t="s">
        <v>68</v>
      </c>
      <c r="I347" s="6" t="s">
        <v>2081</v>
      </c>
      <c r="J347" s="6">
        <v>16415708</v>
      </c>
      <c r="K347" s="7" t="s">
        <v>4863</v>
      </c>
      <c r="L347" s="8">
        <v>1148929</v>
      </c>
      <c r="M347" s="8" t="str">
        <f t="shared" si="89"/>
        <v>USD</v>
      </c>
      <c r="N347" s="13"/>
      <c r="O347" s="13">
        <v>2</v>
      </c>
      <c r="P347" s="3">
        <f t="shared" si="90"/>
        <v>0</v>
      </c>
      <c r="Q347" s="3">
        <f t="shared" si="91"/>
        <v>2</v>
      </c>
      <c r="R347" s="3">
        <f t="shared" si="79"/>
        <v>468.92000000000189</v>
      </c>
      <c r="S347" s="24" t="s">
        <v>1334</v>
      </c>
      <c r="T347" s="24" t="s">
        <v>1334</v>
      </c>
      <c r="U347" s="61"/>
      <c r="V347" s="3"/>
      <c r="W347" s="3"/>
      <c r="X347" s="3"/>
      <c r="Y347" s="3"/>
      <c r="Z347" s="3"/>
      <c r="AA347" s="3" t="str">
        <f>IF(BCP_Dolares[[#This Row],[fecha]]&gt;0,TEXT(BCP_Dolares[[#This Row],[fecha]],"mmmm"),0)</f>
        <v>Agosto</v>
      </c>
    </row>
    <row r="348" spans="1:27" x14ac:dyDescent="0.3">
      <c r="A348" s="2">
        <f>IF(BCP_Dolares[[#This Row],[tipo_registro]]="R",COUNTIFS($C$1:$C347,"R")+1,"")</f>
        <v>160</v>
      </c>
      <c r="B348" s="19" t="str">
        <f t="shared" si="88"/>
        <v>B-BCP - Dolares</v>
      </c>
      <c r="C348" s="3" t="s">
        <v>1330</v>
      </c>
      <c r="D348" s="14">
        <v>45902</v>
      </c>
      <c r="E348" s="5" t="s">
        <v>1338</v>
      </c>
      <c r="F348" s="5" t="s">
        <v>1303</v>
      </c>
      <c r="G348" s="6" t="s">
        <v>425</v>
      </c>
      <c r="H348" s="6"/>
      <c r="I348" s="6"/>
      <c r="J348" s="6"/>
      <c r="K348" s="7" t="s">
        <v>4391</v>
      </c>
      <c r="L348" s="8">
        <v>2221257</v>
      </c>
      <c r="M348" s="8" t="str">
        <f t="shared" si="89"/>
        <v>USD</v>
      </c>
      <c r="N348" s="13"/>
      <c r="O348" s="13">
        <v>676.44</v>
      </c>
      <c r="P348" s="3">
        <f t="shared" si="90"/>
        <v>676.44</v>
      </c>
      <c r="Q348" s="3">
        <f t="shared" si="91"/>
        <v>0</v>
      </c>
      <c r="R348" s="3">
        <f t="shared" si="79"/>
        <v>1145.3600000000019</v>
      </c>
      <c r="S348" s="24" t="s">
        <v>1334</v>
      </c>
      <c r="T348" s="24" t="s">
        <v>1334</v>
      </c>
      <c r="U348" s="61"/>
      <c r="V348" s="3"/>
      <c r="W348" s="3"/>
      <c r="X348" s="3"/>
      <c r="Y348" s="3"/>
      <c r="Z348" s="3"/>
      <c r="AA348" s="3" t="str">
        <f>IF(BCP_Dolares[[#This Row],[fecha]]&gt;0,TEXT(BCP_Dolares[[#This Row],[fecha]],"mmmm"),0)</f>
        <v>Setiembre</v>
      </c>
    </row>
    <row r="349" spans="1:27" ht="36" x14ac:dyDescent="0.3">
      <c r="A349" s="2">
        <f>IF(BCP_Dolares[[#This Row],[tipo_registro]]="R",COUNTIFS($C$1:$C348,"R")+1,"")</f>
        <v>161</v>
      </c>
      <c r="B349" s="19" t="str">
        <f t="shared" si="88"/>
        <v>B-BCP - Dolares</v>
      </c>
      <c r="C349" s="3" t="s">
        <v>1330</v>
      </c>
      <c r="D349" s="14">
        <v>45902</v>
      </c>
      <c r="E349" s="5" t="s">
        <v>1338</v>
      </c>
      <c r="F349" s="5" t="s">
        <v>1336</v>
      </c>
      <c r="G349" s="6" t="s">
        <v>702</v>
      </c>
      <c r="H349" s="6" t="s">
        <v>68</v>
      </c>
      <c r="I349" s="6" t="s">
        <v>1463</v>
      </c>
      <c r="J349" s="6">
        <v>480392</v>
      </c>
      <c r="K349" s="7" t="s">
        <v>5033</v>
      </c>
      <c r="L349" s="8">
        <v>104824</v>
      </c>
      <c r="M349" s="8" t="str">
        <f t="shared" si="89"/>
        <v>USD</v>
      </c>
      <c r="N349" s="13"/>
      <c r="O349" s="13">
        <v>102.22</v>
      </c>
      <c r="P349" s="3">
        <f t="shared" si="90"/>
        <v>0</v>
      </c>
      <c r="Q349" s="3">
        <f t="shared" si="91"/>
        <v>102.22</v>
      </c>
      <c r="R349" s="3">
        <f t="shared" si="79"/>
        <v>1043.1400000000019</v>
      </c>
      <c r="S349" s="24" t="s">
        <v>1334</v>
      </c>
      <c r="T349" s="24" t="s">
        <v>1334</v>
      </c>
      <c r="U349" s="61"/>
      <c r="V349" s="3"/>
      <c r="W349" s="3"/>
      <c r="X349" s="3"/>
      <c r="Y349" s="3"/>
      <c r="Z349" s="3"/>
      <c r="AA349" s="3" t="str">
        <f>IF(BCP_Dolares[[#This Row],[fecha]]&gt;0,TEXT(BCP_Dolares[[#This Row],[fecha]],"mmmm"),0)</f>
        <v>Setiembre</v>
      </c>
    </row>
    <row r="350" spans="1:27" ht="24" x14ac:dyDescent="0.3">
      <c r="A350" s="2">
        <f>IF(BCP_Dolares[[#This Row],[tipo_registro]]="R",COUNTIFS($C$1:$C349,"R")+1,"")</f>
        <v>162</v>
      </c>
      <c r="B350" s="19" t="str">
        <f t="shared" si="88"/>
        <v>B-BCP - Dolares</v>
      </c>
      <c r="C350" s="13" t="s">
        <v>1330</v>
      </c>
      <c r="D350" s="14">
        <v>45902</v>
      </c>
      <c r="E350" s="5" t="s">
        <v>1338</v>
      </c>
      <c r="F350" s="5" t="s">
        <v>1336</v>
      </c>
      <c r="G350" s="6" t="s">
        <v>1282</v>
      </c>
      <c r="H350" s="6" t="s">
        <v>68</v>
      </c>
      <c r="I350" s="6" t="s">
        <v>1376</v>
      </c>
      <c r="J350" s="6">
        <v>779</v>
      </c>
      <c r="K350" s="7" t="s">
        <v>5034</v>
      </c>
      <c r="L350" s="8">
        <v>1220834</v>
      </c>
      <c r="M350" s="8" t="str">
        <f t="shared" si="89"/>
        <v>USD</v>
      </c>
      <c r="N350" s="13"/>
      <c r="O350" s="13">
        <v>997.5</v>
      </c>
      <c r="P350" s="3">
        <f t="shared" si="90"/>
        <v>0</v>
      </c>
      <c r="Q350" s="3">
        <f t="shared" si="91"/>
        <v>997.5</v>
      </c>
      <c r="R350" s="3">
        <f t="shared" si="79"/>
        <v>45.640000000001919</v>
      </c>
      <c r="S350" s="24" t="s">
        <v>1334</v>
      </c>
      <c r="T350" s="24" t="s">
        <v>1334</v>
      </c>
      <c r="U350" s="61"/>
      <c r="V350" s="3"/>
      <c r="W350" s="3"/>
      <c r="X350" s="3"/>
      <c r="Y350" s="3"/>
      <c r="Z350" s="3"/>
      <c r="AA350" s="3" t="str">
        <f>IF(BCP_Dolares[[#This Row],[fecha]]&gt;0,TEXT(BCP_Dolares[[#This Row],[fecha]],"mmmm"),0)</f>
        <v>Setiembre</v>
      </c>
    </row>
    <row r="351" spans="1:27" x14ac:dyDescent="0.3">
      <c r="A351" s="2">
        <f>IF(BCP_Dolares[[#This Row],[tipo_registro]]="R",COUNTIFS($C$1:$C350,"R")+1,"")</f>
        <v>163</v>
      </c>
      <c r="B351" s="19" t="str">
        <f t="shared" si="88"/>
        <v>B-BCP - Dolares</v>
      </c>
      <c r="C351" s="13" t="s">
        <v>1330</v>
      </c>
      <c r="D351" s="14">
        <v>45905</v>
      </c>
      <c r="E351" s="5" t="s">
        <v>1338</v>
      </c>
      <c r="F351" s="5" t="s">
        <v>1303</v>
      </c>
      <c r="G351" s="6" t="s">
        <v>425</v>
      </c>
      <c r="H351" s="6"/>
      <c r="I351" s="6"/>
      <c r="J351" s="6"/>
      <c r="K351" s="7" t="s">
        <v>4434</v>
      </c>
      <c r="L351" s="8">
        <v>2185981</v>
      </c>
      <c r="M351" s="8" t="str">
        <f t="shared" si="89"/>
        <v>USD</v>
      </c>
      <c r="N351" s="13"/>
      <c r="O351" s="13">
        <v>70.680000000000007</v>
      </c>
      <c r="P351" s="3">
        <f t="shared" si="90"/>
        <v>70.680000000000007</v>
      </c>
      <c r="Q351" s="3">
        <f t="shared" si="91"/>
        <v>0</v>
      </c>
      <c r="R351" s="3">
        <f t="shared" si="79"/>
        <v>116.32000000000193</v>
      </c>
      <c r="S351" s="24" t="s">
        <v>1334</v>
      </c>
      <c r="T351" s="24" t="s">
        <v>1334</v>
      </c>
      <c r="U351" s="61"/>
      <c r="V351" s="3"/>
      <c r="W351" s="3"/>
      <c r="X351" s="3"/>
      <c r="Y351" s="3"/>
      <c r="Z351" s="3"/>
      <c r="AA351" s="3" t="str">
        <f>IF(BCP_Dolares[[#This Row],[fecha]]&gt;0,TEXT(BCP_Dolares[[#This Row],[fecha]],"mmmm"),0)</f>
        <v>Setiembre</v>
      </c>
    </row>
    <row r="352" spans="1:27" ht="36" x14ac:dyDescent="0.3">
      <c r="A352" s="2">
        <f>IF(BCP_Dolares[[#This Row],[tipo_registro]]="R",COUNTIFS($C$1:$C351,"R")+1,"")</f>
        <v>164</v>
      </c>
      <c r="B352" s="19" t="str">
        <f t="shared" si="88"/>
        <v>B-BCP - Dolares</v>
      </c>
      <c r="C352" s="3" t="s">
        <v>1330</v>
      </c>
      <c r="D352" s="14">
        <v>45905</v>
      </c>
      <c r="E352" s="5" t="s">
        <v>1338</v>
      </c>
      <c r="F352" s="5" t="s">
        <v>1336</v>
      </c>
      <c r="G352" s="6" t="s">
        <v>702</v>
      </c>
      <c r="H352" s="6"/>
      <c r="I352" s="6"/>
      <c r="J352" s="6"/>
      <c r="K352" s="7" t="s">
        <v>5035</v>
      </c>
      <c r="L352" s="8">
        <v>191527</v>
      </c>
      <c r="M352" s="8" t="str">
        <f t="shared" si="89"/>
        <v>USD</v>
      </c>
      <c r="N352" s="13"/>
      <c r="O352" s="13">
        <v>81.27</v>
      </c>
      <c r="P352" s="3">
        <f t="shared" si="90"/>
        <v>0</v>
      </c>
      <c r="Q352" s="3">
        <f t="shared" si="91"/>
        <v>81.27</v>
      </c>
      <c r="R352" s="3">
        <f t="shared" si="79"/>
        <v>35.05000000000193</v>
      </c>
      <c r="S352" s="24"/>
      <c r="T352" s="24"/>
      <c r="U352" s="61"/>
      <c r="V352" s="3"/>
      <c r="W352" s="3"/>
      <c r="X352" s="3"/>
      <c r="Y352" s="3"/>
      <c r="Z352" s="3"/>
      <c r="AA352" s="3" t="str">
        <f>IF(BCP_Dolares[[#This Row],[fecha]]&gt;0,TEXT(BCP_Dolares[[#This Row],[fecha]],"mmmm"),0)</f>
        <v>Setiembre</v>
      </c>
    </row>
    <row r="353" spans="1:27" x14ac:dyDescent="0.3">
      <c r="A353" s="2">
        <f>IF(BCP_Dolares[[#This Row],[tipo_registro]]="R",COUNTIFS($C$1:$C352,"R")+1,"")</f>
        <v>165</v>
      </c>
      <c r="B353" s="19" t="str">
        <f t="shared" ref="B353:B357" si="92">"B-BCP - Dolares"</f>
        <v>B-BCP - Dolares</v>
      </c>
      <c r="C353" s="3" t="s">
        <v>1330</v>
      </c>
      <c r="D353" s="14">
        <v>45911</v>
      </c>
      <c r="E353" s="5" t="s">
        <v>1338</v>
      </c>
      <c r="F353" s="5" t="s">
        <v>1303</v>
      </c>
      <c r="G353" s="6" t="s">
        <v>425</v>
      </c>
      <c r="H353" s="6"/>
      <c r="I353" s="6"/>
      <c r="J353" s="6"/>
      <c r="K353" s="7" t="s">
        <v>4479</v>
      </c>
      <c r="L353" s="8">
        <v>2213273</v>
      </c>
      <c r="M353" s="8" t="str">
        <f t="shared" ref="M353:M357" si="93">"USD"</f>
        <v>USD</v>
      </c>
      <c r="N353" s="13"/>
      <c r="O353" s="13">
        <v>1772.44</v>
      </c>
      <c r="P353" s="3">
        <f t="shared" ref="P353:P357" si="94">+IF(OR($F353="SALDO",$F353="INGRESO"),$O353,0)</f>
        <v>1772.44</v>
      </c>
      <c r="Q353" s="3">
        <f t="shared" ref="Q353:Q357" si="95">+IF($F353="EGRESO",$O353,0)</f>
        <v>0</v>
      </c>
      <c r="R353" s="3">
        <f t="shared" si="79"/>
        <v>1807.4900000000021</v>
      </c>
      <c r="S353" s="24" t="s">
        <v>1334</v>
      </c>
      <c r="T353" s="24" t="s">
        <v>1334</v>
      </c>
      <c r="U353" s="61"/>
      <c r="V353" s="3"/>
      <c r="W353" s="3"/>
      <c r="X353" s="3"/>
      <c r="Y353" s="3"/>
      <c r="Z353" s="3"/>
      <c r="AA353" s="3" t="str">
        <f>IF(BCP_Dolares[[#This Row],[fecha]]&gt;0,TEXT(BCP_Dolares[[#This Row],[fecha]],"mmmm"),0)</f>
        <v>Setiembre</v>
      </c>
    </row>
    <row r="354" spans="1:27" ht="36" x14ac:dyDescent="0.3">
      <c r="A354" s="2">
        <f>IF(BCP_Dolares[[#This Row],[tipo_registro]]="R",COUNTIFS($C$1:$C353,"R")+1,"")</f>
        <v>166</v>
      </c>
      <c r="B354" s="19" t="str">
        <f t="shared" si="92"/>
        <v>B-BCP - Dolares</v>
      </c>
      <c r="C354" s="3" t="s">
        <v>1330</v>
      </c>
      <c r="D354" s="14">
        <v>45911</v>
      </c>
      <c r="E354" s="5" t="s">
        <v>1338</v>
      </c>
      <c r="F354" s="5" t="s">
        <v>1336</v>
      </c>
      <c r="G354" s="6" t="s">
        <v>1079</v>
      </c>
      <c r="H354" s="6" t="s">
        <v>68</v>
      </c>
      <c r="I354" s="6" t="s">
        <v>1374</v>
      </c>
      <c r="J354" s="6">
        <v>415</v>
      </c>
      <c r="K354" s="7" t="s">
        <v>5036</v>
      </c>
      <c r="L354" s="8">
        <v>1214321</v>
      </c>
      <c r="M354" s="8" t="str">
        <f t="shared" si="93"/>
        <v>USD</v>
      </c>
      <c r="N354" s="13"/>
      <c r="O354" s="13">
        <v>1777.6</v>
      </c>
      <c r="P354" s="3">
        <f t="shared" si="94"/>
        <v>0</v>
      </c>
      <c r="Q354" s="3">
        <f t="shared" si="95"/>
        <v>1777.6</v>
      </c>
      <c r="R354" s="3">
        <f t="shared" si="79"/>
        <v>29.890000000002146</v>
      </c>
      <c r="S354" s="24" t="s">
        <v>1334</v>
      </c>
      <c r="T354" s="24" t="s">
        <v>1334</v>
      </c>
      <c r="U354" s="61"/>
      <c r="V354" s="3"/>
      <c r="W354" s="3"/>
      <c r="X354" s="3"/>
      <c r="Y354" s="3"/>
      <c r="Z354" s="3"/>
      <c r="AA354" s="3" t="str">
        <f>IF(BCP_Dolares[[#This Row],[fecha]]&gt;0,TEXT(BCP_Dolares[[#This Row],[fecha]],"mmmm"),0)</f>
        <v>Setiembre</v>
      </c>
    </row>
    <row r="355" spans="1:27" x14ac:dyDescent="0.3">
      <c r="A355" s="2">
        <f>IF(BCP_Dolares[[#This Row],[tipo_registro]]="R",COUNTIFS($C$1:$C354,"R")+1,"")</f>
        <v>167</v>
      </c>
      <c r="B355" s="19" t="str">
        <f t="shared" si="92"/>
        <v>B-BCP - Dolares</v>
      </c>
      <c r="C355" s="13" t="s">
        <v>1330</v>
      </c>
      <c r="D355" s="14">
        <v>45911</v>
      </c>
      <c r="E355" s="5" t="s">
        <v>1335</v>
      </c>
      <c r="F355" s="5" t="s">
        <v>1336</v>
      </c>
      <c r="G355" s="6"/>
      <c r="H355" s="6"/>
      <c r="I355" s="6"/>
      <c r="J355" s="6"/>
      <c r="K355" s="7" t="s">
        <v>3160</v>
      </c>
      <c r="L355" s="8"/>
      <c r="M355" s="8" t="str">
        <f t="shared" si="93"/>
        <v>USD</v>
      </c>
      <c r="N355" s="13"/>
      <c r="O355" s="13">
        <v>0.05</v>
      </c>
      <c r="P355" s="3">
        <f t="shared" si="94"/>
        <v>0</v>
      </c>
      <c r="Q355" s="3">
        <f t="shared" si="95"/>
        <v>0.05</v>
      </c>
      <c r="R355" s="3">
        <f t="shared" si="79"/>
        <v>29.840000000002146</v>
      </c>
      <c r="S355" s="24" t="s">
        <v>1334</v>
      </c>
      <c r="T355" s="24" t="s">
        <v>1334</v>
      </c>
      <c r="U355" s="61"/>
      <c r="V355" s="3"/>
      <c r="W355" s="3"/>
      <c r="X355" s="3"/>
      <c r="Y355" s="3"/>
      <c r="Z355" s="3"/>
      <c r="AA355" s="3" t="str">
        <f>IF(BCP_Dolares[[#This Row],[fecha]]&gt;0,TEXT(BCP_Dolares[[#This Row],[fecha]],"mmmm"),0)</f>
        <v>Setiembre</v>
      </c>
    </row>
    <row r="356" spans="1:27" x14ac:dyDescent="0.3">
      <c r="A356" s="2">
        <f>IF(BCP_Dolares[[#This Row],[tipo_registro]]="R",COUNTIFS($C$1:$C355,"R")+1,"")</f>
        <v>168</v>
      </c>
      <c r="B356" s="19" t="str">
        <f t="shared" si="92"/>
        <v>B-BCP - Dolares</v>
      </c>
      <c r="C356" s="13" t="s">
        <v>1330</v>
      </c>
      <c r="D356" s="14">
        <v>45912</v>
      </c>
      <c r="E356" s="5" t="s">
        <v>1338</v>
      </c>
      <c r="F356" s="5" t="s">
        <v>1303</v>
      </c>
      <c r="G356" s="6" t="s">
        <v>425</v>
      </c>
      <c r="H356" s="6"/>
      <c r="I356" s="6"/>
      <c r="J356" s="6"/>
      <c r="K356" s="7" t="s">
        <v>4488</v>
      </c>
      <c r="L356" s="8">
        <v>2269464</v>
      </c>
      <c r="M356" s="8" t="str">
        <f t="shared" si="93"/>
        <v>USD</v>
      </c>
      <c r="N356" s="13"/>
      <c r="O356" s="13">
        <v>570.94000000000005</v>
      </c>
      <c r="P356" s="3">
        <f t="shared" si="94"/>
        <v>570.94000000000005</v>
      </c>
      <c r="Q356" s="3">
        <f t="shared" si="95"/>
        <v>0</v>
      </c>
      <c r="R356" s="3">
        <f t="shared" si="79"/>
        <v>600.78000000000225</v>
      </c>
      <c r="S356" s="24" t="s">
        <v>1334</v>
      </c>
      <c r="T356" s="24" t="s">
        <v>1334</v>
      </c>
      <c r="U356" s="61"/>
      <c r="V356" s="3"/>
      <c r="W356" s="3"/>
      <c r="X356" s="3"/>
      <c r="Y356" s="3"/>
      <c r="Z356" s="3"/>
      <c r="AA356" s="3" t="str">
        <f>IF(BCP_Dolares[[#This Row],[fecha]]&gt;0,TEXT(BCP_Dolares[[#This Row],[fecha]],"mmmm"),0)</f>
        <v>Setiembre</v>
      </c>
    </row>
    <row r="357" spans="1:27" x14ac:dyDescent="0.3">
      <c r="A357" s="2">
        <f>IF(BCP_Dolares[[#This Row],[tipo_registro]]="R",COUNTIFS($C$1:$C356,"R")+1,"")</f>
        <v>169</v>
      </c>
      <c r="B357" s="19" t="str">
        <f t="shared" si="92"/>
        <v>B-BCP - Dolares</v>
      </c>
      <c r="C357" s="3" t="s">
        <v>1330</v>
      </c>
      <c r="D357" s="14">
        <v>45912</v>
      </c>
      <c r="E357" s="5" t="s">
        <v>1338</v>
      </c>
      <c r="F357" s="5" t="s">
        <v>1336</v>
      </c>
      <c r="G357" s="6" t="s">
        <v>696</v>
      </c>
      <c r="H357" s="6"/>
      <c r="I357" s="6"/>
      <c r="J357" s="6"/>
      <c r="K357" s="7" t="s">
        <v>4492</v>
      </c>
      <c r="L357" s="8">
        <v>3778429</v>
      </c>
      <c r="M357" s="8" t="str">
        <f t="shared" si="93"/>
        <v>USD</v>
      </c>
      <c r="N357" s="13"/>
      <c r="O357" s="13">
        <v>566.48</v>
      </c>
      <c r="P357" s="3">
        <f t="shared" si="94"/>
        <v>0</v>
      </c>
      <c r="Q357" s="3">
        <f t="shared" si="95"/>
        <v>566.48</v>
      </c>
      <c r="R357" s="3">
        <f t="shared" si="79"/>
        <v>34.300000000002228</v>
      </c>
      <c r="S357" s="24" t="s">
        <v>1334</v>
      </c>
      <c r="T357" s="24" t="s">
        <v>1334</v>
      </c>
      <c r="U357" s="61"/>
      <c r="V357" s="3"/>
      <c r="W357" s="3"/>
      <c r="X357" s="3"/>
      <c r="Y357" s="3"/>
      <c r="Z357" s="3"/>
      <c r="AA357" s="3" t="str">
        <f>IF(BCP_Dolares[[#This Row],[fecha]]&gt;0,TEXT(BCP_Dolares[[#This Row],[fecha]],"mmmm"),0)</f>
        <v>Setiembre</v>
      </c>
    </row>
    <row r="358" spans="1:27" ht="24" x14ac:dyDescent="0.3">
      <c r="A358" s="2" t="str">
        <f>IF(BCP_Dolares[[#This Row],[tipo_registro]]="R",COUNTIFS($C$1:$C357,"R")+1,"")</f>
        <v/>
      </c>
      <c r="B358" s="19" t="str">
        <f t="shared" ref="B358:B366" si="96">"B-BCP - Dolares"</f>
        <v>B-BCP - Dolares</v>
      </c>
      <c r="C358" s="3" t="s">
        <v>1352</v>
      </c>
      <c r="D358" s="14">
        <v>45912</v>
      </c>
      <c r="E358" s="5" t="s">
        <v>1338</v>
      </c>
      <c r="F358" s="5"/>
      <c r="G358" s="6" t="s">
        <v>204</v>
      </c>
      <c r="H358" s="6" t="s">
        <v>68</v>
      </c>
      <c r="I358" s="6" t="s">
        <v>1390</v>
      </c>
      <c r="J358" s="6">
        <v>16577</v>
      </c>
      <c r="K358" s="7" t="s">
        <v>4492</v>
      </c>
      <c r="L358" s="8">
        <v>3778429</v>
      </c>
      <c r="M358" s="8" t="str">
        <f t="shared" ref="M358:M366" si="97">"USD"</f>
        <v>USD</v>
      </c>
      <c r="N358" s="13">
        <v>46.42</v>
      </c>
      <c r="O358" s="13"/>
      <c r="P358" s="3">
        <f t="shared" ref="P358:P366" si="98">+IF(OR($F358="SALDO",$F358="INGRESO"),$O358,0)</f>
        <v>0</v>
      </c>
      <c r="Q358" s="3">
        <f t="shared" ref="Q358:Q366" si="99">+IF($F358="EGRESO",$O358,0)</f>
        <v>0</v>
      </c>
      <c r="R358" s="3">
        <f t="shared" si="79"/>
        <v>34.300000000002228</v>
      </c>
      <c r="S358" s="28" t="s">
        <v>1334</v>
      </c>
      <c r="T358" s="28" t="s">
        <v>1334</v>
      </c>
      <c r="U358" s="61"/>
      <c r="V358" s="3"/>
      <c r="W358" s="3"/>
      <c r="X358" s="3"/>
      <c r="Y358" s="3"/>
      <c r="Z358" s="3"/>
      <c r="AA358" s="3" t="str">
        <f>IF(BCP_Dolares[[#This Row],[fecha]]&gt;0,TEXT(BCP_Dolares[[#This Row],[fecha]],"mmmm"),0)</f>
        <v>Setiembre</v>
      </c>
    </row>
    <row r="359" spans="1:27" ht="24" x14ac:dyDescent="0.3">
      <c r="A359" s="2" t="str">
        <f>IF(BCP_Dolares[[#This Row],[tipo_registro]]="R",COUNTIFS($C$1:$C358,"R")+1,"")</f>
        <v/>
      </c>
      <c r="B359" s="19" t="str">
        <f t="shared" si="96"/>
        <v>B-BCP - Dolares</v>
      </c>
      <c r="C359" s="3" t="s">
        <v>1352</v>
      </c>
      <c r="D359" s="14">
        <v>45912</v>
      </c>
      <c r="E359" s="5" t="s">
        <v>1338</v>
      </c>
      <c r="F359" s="5"/>
      <c r="G359" s="6" t="s">
        <v>204</v>
      </c>
      <c r="H359" s="6" t="s">
        <v>68</v>
      </c>
      <c r="I359" s="6" t="s">
        <v>1390</v>
      </c>
      <c r="J359" s="6">
        <v>16591</v>
      </c>
      <c r="K359" s="7" t="s">
        <v>4492</v>
      </c>
      <c r="L359" s="8">
        <v>3778429</v>
      </c>
      <c r="M359" s="8" t="str">
        <f t="shared" si="97"/>
        <v>USD</v>
      </c>
      <c r="N359" s="13">
        <v>50.49</v>
      </c>
      <c r="O359" s="13"/>
      <c r="P359" s="3">
        <f t="shared" si="98"/>
        <v>0</v>
      </c>
      <c r="Q359" s="3">
        <f t="shared" si="99"/>
        <v>0</v>
      </c>
      <c r="R359" s="3">
        <f t="shared" si="79"/>
        <v>34.300000000002228</v>
      </c>
      <c r="S359" s="28" t="s">
        <v>1334</v>
      </c>
      <c r="T359" s="28" t="s">
        <v>1334</v>
      </c>
      <c r="U359" s="61"/>
      <c r="V359" s="3"/>
      <c r="W359" s="3"/>
      <c r="X359" s="3"/>
      <c r="Y359" s="3"/>
      <c r="Z359" s="3"/>
      <c r="AA359" s="3" t="str">
        <f>IF(BCP_Dolares[[#This Row],[fecha]]&gt;0,TEXT(BCP_Dolares[[#This Row],[fecha]],"mmmm"),0)</f>
        <v>Setiembre</v>
      </c>
    </row>
    <row r="360" spans="1:27" ht="24" x14ac:dyDescent="0.3">
      <c r="A360" s="2" t="str">
        <f>IF(BCP_Dolares[[#This Row],[tipo_registro]]="R",COUNTIFS($C$1:$C359,"R")+1,"")</f>
        <v/>
      </c>
      <c r="B360" s="19" t="str">
        <f t="shared" si="96"/>
        <v>B-BCP - Dolares</v>
      </c>
      <c r="C360" s="3" t="s">
        <v>1352</v>
      </c>
      <c r="D360" s="14">
        <v>45912</v>
      </c>
      <c r="E360" s="5" t="s">
        <v>1338</v>
      </c>
      <c r="F360" s="5"/>
      <c r="G360" s="6" t="s">
        <v>204</v>
      </c>
      <c r="H360" s="6" t="s">
        <v>68</v>
      </c>
      <c r="I360" s="6" t="s">
        <v>1390</v>
      </c>
      <c r="J360" s="6">
        <v>16638</v>
      </c>
      <c r="K360" s="7" t="s">
        <v>4492</v>
      </c>
      <c r="L360" s="8">
        <v>3778429</v>
      </c>
      <c r="M360" s="8" t="str">
        <f t="shared" si="97"/>
        <v>USD</v>
      </c>
      <c r="N360" s="13">
        <v>107.79</v>
      </c>
      <c r="O360" s="13"/>
      <c r="P360" s="3">
        <f t="shared" si="98"/>
        <v>0</v>
      </c>
      <c r="Q360" s="3">
        <f t="shared" si="99"/>
        <v>0</v>
      </c>
      <c r="R360" s="3">
        <f t="shared" si="79"/>
        <v>34.300000000002228</v>
      </c>
      <c r="S360" s="28" t="s">
        <v>1334</v>
      </c>
      <c r="T360" s="28" t="s">
        <v>1334</v>
      </c>
      <c r="U360" s="61"/>
      <c r="V360" s="3"/>
      <c r="W360" s="3"/>
      <c r="X360" s="3"/>
      <c r="Y360" s="3"/>
      <c r="Z360" s="3"/>
      <c r="AA360" s="3" t="str">
        <f>IF(BCP_Dolares[[#This Row],[fecha]]&gt;0,TEXT(BCP_Dolares[[#This Row],[fecha]],"mmmm"),0)</f>
        <v>Setiembre</v>
      </c>
    </row>
    <row r="361" spans="1:27" ht="24" x14ac:dyDescent="0.3">
      <c r="A361" s="2" t="str">
        <f>IF(BCP_Dolares[[#This Row],[tipo_registro]]="R",COUNTIFS($C$1:$C360,"R")+1,"")</f>
        <v/>
      </c>
      <c r="B361" s="19" t="str">
        <f t="shared" si="96"/>
        <v>B-BCP - Dolares</v>
      </c>
      <c r="C361" s="3" t="s">
        <v>1352</v>
      </c>
      <c r="D361" s="14">
        <v>45912</v>
      </c>
      <c r="E361" s="5" t="s">
        <v>1338</v>
      </c>
      <c r="F361" s="5"/>
      <c r="G361" s="6" t="s">
        <v>204</v>
      </c>
      <c r="H361" s="6" t="s">
        <v>68</v>
      </c>
      <c r="I361" s="6" t="s">
        <v>1390</v>
      </c>
      <c r="J361" s="6">
        <v>16631</v>
      </c>
      <c r="K361" s="7" t="s">
        <v>4492</v>
      </c>
      <c r="L361" s="8">
        <v>3778429</v>
      </c>
      <c r="M361" s="8" t="str">
        <f t="shared" si="97"/>
        <v>USD</v>
      </c>
      <c r="N361" s="13">
        <v>46.28</v>
      </c>
      <c r="O361" s="13"/>
      <c r="P361" s="3">
        <f t="shared" si="98"/>
        <v>0</v>
      </c>
      <c r="Q361" s="3">
        <f t="shared" si="99"/>
        <v>0</v>
      </c>
      <c r="R361" s="3">
        <f t="shared" si="79"/>
        <v>34.300000000002228</v>
      </c>
      <c r="S361" s="28" t="s">
        <v>1334</v>
      </c>
      <c r="T361" s="28" t="s">
        <v>1334</v>
      </c>
      <c r="U361" s="61"/>
      <c r="V361" s="3"/>
      <c r="W361" s="3"/>
      <c r="X361" s="3"/>
      <c r="Y361" s="3"/>
      <c r="Z361" s="3"/>
      <c r="AA361" s="3" t="str">
        <f>IF(BCP_Dolares[[#This Row],[fecha]]&gt;0,TEXT(BCP_Dolares[[#This Row],[fecha]],"mmmm"),0)</f>
        <v>Setiembre</v>
      </c>
    </row>
    <row r="362" spans="1:27" ht="24" x14ac:dyDescent="0.3">
      <c r="A362" s="2" t="str">
        <f>IF(BCP_Dolares[[#This Row],[tipo_registro]]="R",COUNTIFS($C$1:$C361,"R")+1,"")</f>
        <v/>
      </c>
      <c r="B362" s="19" t="str">
        <f t="shared" si="96"/>
        <v>B-BCP - Dolares</v>
      </c>
      <c r="C362" s="3" t="s">
        <v>1352</v>
      </c>
      <c r="D362" s="14">
        <v>45912</v>
      </c>
      <c r="E362" s="5" t="s">
        <v>1338</v>
      </c>
      <c r="F362" s="5"/>
      <c r="G362" s="6" t="s">
        <v>204</v>
      </c>
      <c r="H362" s="6" t="s">
        <v>68</v>
      </c>
      <c r="I362" s="6" t="s">
        <v>1390</v>
      </c>
      <c r="J362" s="6">
        <v>16576</v>
      </c>
      <c r="K362" s="7" t="s">
        <v>4492</v>
      </c>
      <c r="L362" s="8">
        <v>3778429</v>
      </c>
      <c r="M362" s="8" t="str">
        <f t="shared" si="97"/>
        <v>USD</v>
      </c>
      <c r="N362" s="13">
        <v>51.24</v>
      </c>
      <c r="O362" s="13"/>
      <c r="P362" s="3">
        <f t="shared" si="98"/>
        <v>0</v>
      </c>
      <c r="Q362" s="3">
        <f t="shared" si="99"/>
        <v>0</v>
      </c>
      <c r="R362" s="3">
        <f t="shared" si="79"/>
        <v>34.300000000002228</v>
      </c>
      <c r="S362" s="28" t="s">
        <v>1334</v>
      </c>
      <c r="T362" s="28" t="s">
        <v>1334</v>
      </c>
      <c r="U362" s="61"/>
      <c r="V362" s="3"/>
      <c r="W362" s="3"/>
      <c r="X362" s="3"/>
      <c r="Y362" s="3"/>
      <c r="Z362" s="3"/>
      <c r="AA362" s="3" t="str">
        <f>IF(BCP_Dolares[[#This Row],[fecha]]&gt;0,TEXT(BCP_Dolares[[#This Row],[fecha]],"mmmm"),0)</f>
        <v>Setiembre</v>
      </c>
    </row>
    <row r="363" spans="1:27" ht="24" x14ac:dyDescent="0.3">
      <c r="A363" s="2" t="str">
        <f>IF(BCP_Dolares[[#This Row],[tipo_registro]]="R",COUNTIFS($C$1:$C362,"R")+1,"")</f>
        <v/>
      </c>
      <c r="B363" s="19" t="str">
        <f t="shared" si="96"/>
        <v>B-BCP - Dolares</v>
      </c>
      <c r="C363" s="3" t="s">
        <v>1352</v>
      </c>
      <c r="D363" s="14">
        <v>45912</v>
      </c>
      <c r="E363" s="5" t="s">
        <v>1338</v>
      </c>
      <c r="F363" s="5"/>
      <c r="G363" s="6" t="s">
        <v>204</v>
      </c>
      <c r="H363" s="6" t="s">
        <v>68</v>
      </c>
      <c r="I363" s="6" t="s">
        <v>1390</v>
      </c>
      <c r="J363" s="6">
        <v>16582</v>
      </c>
      <c r="K363" s="7" t="s">
        <v>4492</v>
      </c>
      <c r="L363" s="8">
        <v>3778429</v>
      </c>
      <c r="M363" s="8" t="str">
        <f t="shared" si="97"/>
        <v>USD</v>
      </c>
      <c r="N363" s="13">
        <v>121.08</v>
      </c>
      <c r="O363" s="13"/>
      <c r="P363" s="3">
        <f t="shared" si="98"/>
        <v>0</v>
      </c>
      <c r="Q363" s="3">
        <f t="shared" si="99"/>
        <v>0</v>
      </c>
      <c r="R363" s="3">
        <f t="shared" si="79"/>
        <v>34.300000000002228</v>
      </c>
      <c r="S363" s="28" t="s">
        <v>1334</v>
      </c>
      <c r="T363" s="28" t="s">
        <v>1334</v>
      </c>
      <c r="U363" s="61"/>
      <c r="V363" s="3"/>
      <c r="W363" s="3"/>
      <c r="X363" s="3"/>
      <c r="Y363" s="3"/>
      <c r="Z363" s="3"/>
      <c r="AA363" s="3" t="str">
        <f>IF(BCP_Dolares[[#This Row],[fecha]]&gt;0,TEXT(BCP_Dolares[[#This Row],[fecha]],"mmmm"),0)</f>
        <v>Setiembre</v>
      </c>
    </row>
    <row r="364" spans="1:27" ht="24" x14ac:dyDescent="0.3">
      <c r="A364" s="2" t="str">
        <f>IF(BCP_Dolares[[#This Row],[tipo_registro]]="R",COUNTIFS($C$1:$C363,"R")+1,"")</f>
        <v/>
      </c>
      <c r="B364" s="19" t="str">
        <f t="shared" si="96"/>
        <v>B-BCP - Dolares</v>
      </c>
      <c r="C364" s="3" t="s">
        <v>1352</v>
      </c>
      <c r="D364" s="14">
        <v>45912</v>
      </c>
      <c r="E364" s="5" t="s">
        <v>1338</v>
      </c>
      <c r="F364" s="5"/>
      <c r="G364" s="6" t="s">
        <v>204</v>
      </c>
      <c r="H364" s="6" t="s">
        <v>68</v>
      </c>
      <c r="I364" s="6" t="s">
        <v>1390</v>
      </c>
      <c r="J364" s="6">
        <v>16571</v>
      </c>
      <c r="K364" s="7" t="s">
        <v>4492</v>
      </c>
      <c r="L364" s="8">
        <v>3778429</v>
      </c>
      <c r="M364" s="8" t="str">
        <f t="shared" si="97"/>
        <v>USD</v>
      </c>
      <c r="N364" s="13">
        <v>44.57</v>
      </c>
      <c r="O364" s="13"/>
      <c r="P364" s="3">
        <f t="shared" si="98"/>
        <v>0</v>
      </c>
      <c r="Q364" s="3">
        <f t="shared" si="99"/>
        <v>0</v>
      </c>
      <c r="R364" s="3">
        <f t="shared" si="79"/>
        <v>34.300000000002228</v>
      </c>
      <c r="S364" s="28" t="s">
        <v>1334</v>
      </c>
      <c r="T364" s="28" t="s">
        <v>1334</v>
      </c>
      <c r="U364" s="61"/>
      <c r="V364" s="3"/>
      <c r="W364" s="3"/>
      <c r="X364" s="3"/>
      <c r="Y364" s="3"/>
      <c r="Z364" s="3"/>
      <c r="AA364" s="3" t="str">
        <f>IF(BCP_Dolares[[#This Row],[fecha]]&gt;0,TEXT(BCP_Dolares[[#This Row],[fecha]],"mmmm"),0)</f>
        <v>Setiembre</v>
      </c>
    </row>
    <row r="365" spans="1:27" ht="24" x14ac:dyDescent="0.3">
      <c r="A365" s="2" t="str">
        <f>IF(BCP_Dolares[[#This Row],[tipo_registro]]="R",COUNTIFS($C$1:$C364,"R")+1,"")</f>
        <v/>
      </c>
      <c r="B365" s="19" t="str">
        <f t="shared" si="96"/>
        <v>B-BCP - Dolares</v>
      </c>
      <c r="C365" s="3" t="s">
        <v>1352</v>
      </c>
      <c r="D365" s="14">
        <v>45912</v>
      </c>
      <c r="E365" s="5" t="s">
        <v>1338</v>
      </c>
      <c r="F365" s="5"/>
      <c r="G365" s="6" t="s">
        <v>204</v>
      </c>
      <c r="H365" s="6" t="s">
        <v>68</v>
      </c>
      <c r="I365" s="6" t="s">
        <v>1390</v>
      </c>
      <c r="J365" s="6">
        <v>16593</v>
      </c>
      <c r="K365" s="7" t="s">
        <v>4492</v>
      </c>
      <c r="L365" s="8">
        <v>3778429</v>
      </c>
      <c r="M365" s="8" t="str">
        <f t="shared" si="97"/>
        <v>USD</v>
      </c>
      <c r="N365" s="13">
        <v>22.27</v>
      </c>
      <c r="O365" s="13"/>
      <c r="P365" s="3">
        <f t="shared" si="98"/>
        <v>0</v>
      </c>
      <c r="Q365" s="3">
        <f t="shared" si="99"/>
        <v>0</v>
      </c>
      <c r="R365" s="3">
        <f t="shared" si="79"/>
        <v>34.300000000002228</v>
      </c>
      <c r="S365" s="28" t="s">
        <v>1334</v>
      </c>
      <c r="T365" s="28" t="s">
        <v>1334</v>
      </c>
      <c r="U365" s="61"/>
      <c r="V365" s="3"/>
      <c r="W365" s="3"/>
      <c r="X365" s="3"/>
      <c r="Y365" s="3"/>
      <c r="Z365" s="3"/>
      <c r="AA365" s="3" t="str">
        <f>IF(BCP_Dolares[[#This Row],[fecha]]&gt;0,TEXT(BCP_Dolares[[#This Row],[fecha]],"mmmm"),0)</f>
        <v>Setiembre</v>
      </c>
    </row>
    <row r="366" spans="1:27" ht="24" x14ac:dyDescent="0.3">
      <c r="A366" s="2" t="str">
        <f>IF(BCP_Dolares[[#This Row],[tipo_registro]]="R",COUNTIFS($C$1:$C365,"R")+1,"")</f>
        <v/>
      </c>
      <c r="B366" s="19" t="str">
        <f t="shared" si="96"/>
        <v>B-BCP - Dolares</v>
      </c>
      <c r="C366" s="3" t="s">
        <v>1352</v>
      </c>
      <c r="D366" s="14">
        <v>45912</v>
      </c>
      <c r="E366" s="5" t="s">
        <v>1338</v>
      </c>
      <c r="F366" s="5"/>
      <c r="G366" s="6" t="s">
        <v>204</v>
      </c>
      <c r="H366" s="6" t="s">
        <v>68</v>
      </c>
      <c r="I366" s="6" t="s">
        <v>1390</v>
      </c>
      <c r="J366" s="6">
        <v>16619</v>
      </c>
      <c r="K366" s="7" t="s">
        <v>4492</v>
      </c>
      <c r="L366" s="8">
        <v>3778429</v>
      </c>
      <c r="M366" s="8" t="str">
        <f t="shared" si="97"/>
        <v>USD</v>
      </c>
      <c r="N366" s="13">
        <v>76.34</v>
      </c>
      <c r="O366" s="13"/>
      <c r="P366" s="3">
        <f t="shared" si="98"/>
        <v>0</v>
      </c>
      <c r="Q366" s="3">
        <f t="shared" si="99"/>
        <v>0</v>
      </c>
      <c r="R366" s="3">
        <f t="shared" si="79"/>
        <v>34.300000000002228</v>
      </c>
      <c r="S366" s="28" t="s">
        <v>1334</v>
      </c>
      <c r="T366" s="28" t="s">
        <v>1334</v>
      </c>
      <c r="U366" s="61"/>
      <c r="V366" s="3"/>
      <c r="W366" s="3"/>
      <c r="X366" s="3"/>
      <c r="Y366" s="3"/>
      <c r="Z366" s="3"/>
      <c r="AA366" s="3" t="str">
        <f>IF(BCP_Dolares[[#This Row],[fecha]]&gt;0,TEXT(BCP_Dolares[[#This Row],[fecha]],"mmmm"),0)</f>
        <v>Setiembre</v>
      </c>
    </row>
    <row r="367" spans="1:27" x14ac:dyDescent="0.3">
      <c r="A367" s="2">
        <f>IF(BCP_Dolares[[#This Row],[tipo_registro]]="R",COUNTIFS($C$1:$C366,"R")+1,"")</f>
        <v>170</v>
      </c>
      <c r="B367" s="19" t="str">
        <f t="shared" ref="B367:B375" si="100">"B-BCP - Dolares"</f>
        <v>B-BCP - Dolares</v>
      </c>
      <c r="C367" s="3" t="s">
        <v>1330</v>
      </c>
      <c r="D367" s="14">
        <v>45918</v>
      </c>
      <c r="E367" s="5" t="s">
        <v>1338</v>
      </c>
      <c r="F367" s="5" t="s">
        <v>1303</v>
      </c>
      <c r="G367" s="6" t="s">
        <v>425</v>
      </c>
      <c r="H367" s="6"/>
      <c r="I367" s="6"/>
      <c r="J367" s="6"/>
      <c r="K367" s="7" t="s">
        <v>4527</v>
      </c>
      <c r="L367" s="8"/>
      <c r="M367" s="8" t="str">
        <f t="shared" ref="M367:M375" si="101">"USD"</f>
        <v>USD</v>
      </c>
      <c r="N367" s="13"/>
      <c r="O367" s="13">
        <v>1001.72</v>
      </c>
      <c r="P367" s="3">
        <f t="shared" ref="P367:P375" si="102">+IF(OR($F367="SALDO",$F367="INGRESO"),$O367,0)</f>
        <v>1001.72</v>
      </c>
      <c r="Q367" s="3">
        <f t="shared" ref="Q367:Q375" si="103">+IF($F367="EGRESO",$O367,0)</f>
        <v>0</v>
      </c>
      <c r="R367" s="3">
        <f t="shared" si="79"/>
        <v>1036.0200000000023</v>
      </c>
      <c r="S367" s="28" t="s">
        <v>1334</v>
      </c>
      <c r="T367" s="28" t="s">
        <v>1334</v>
      </c>
      <c r="U367" s="61"/>
      <c r="V367" s="3"/>
      <c r="W367" s="3"/>
      <c r="X367" s="3"/>
      <c r="Y367" s="3"/>
      <c r="Z367" s="3"/>
      <c r="AA367" s="3" t="str">
        <f>IF(BCP_Dolares[[#This Row],[fecha]]&gt;0,TEXT(BCP_Dolares[[#This Row],[fecha]],"mmmm"),0)</f>
        <v>Setiembre</v>
      </c>
    </row>
    <row r="368" spans="1:27" ht="24" x14ac:dyDescent="0.3">
      <c r="A368" s="2">
        <f>IF(BCP_Dolares[[#This Row],[tipo_registro]]="R",COUNTIFS($C$1:$C367,"R")+1,"")</f>
        <v>171</v>
      </c>
      <c r="B368" s="19" t="str">
        <f t="shared" si="100"/>
        <v>B-BCP - Dolares</v>
      </c>
      <c r="C368" s="3" t="s">
        <v>1330</v>
      </c>
      <c r="D368" s="14">
        <v>45918</v>
      </c>
      <c r="E368" s="5" t="s">
        <v>1338</v>
      </c>
      <c r="F368" s="5" t="s">
        <v>1336</v>
      </c>
      <c r="G368" s="6" t="s">
        <v>778</v>
      </c>
      <c r="H368" s="6"/>
      <c r="I368" s="6"/>
      <c r="J368" s="6"/>
      <c r="K368" s="7" t="s">
        <v>5037</v>
      </c>
      <c r="L368" s="8">
        <v>224427</v>
      </c>
      <c r="M368" s="8" t="str">
        <f t="shared" si="101"/>
        <v>USD</v>
      </c>
      <c r="N368" s="13"/>
      <c r="O368" s="13">
        <v>1010.25</v>
      </c>
      <c r="P368" s="3">
        <f t="shared" si="102"/>
        <v>0</v>
      </c>
      <c r="Q368" s="3">
        <f t="shared" si="103"/>
        <v>1010.25</v>
      </c>
      <c r="R368" s="3">
        <f t="shared" si="79"/>
        <v>25.770000000002256</v>
      </c>
      <c r="S368" s="24" t="s">
        <v>1334</v>
      </c>
      <c r="T368" s="24"/>
      <c r="U368" s="61"/>
      <c r="V368" s="3"/>
      <c r="W368" s="3"/>
      <c r="X368" s="3"/>
      <c r="Y368" s="3"/>
      <c r="Z368" s="3"/>
      <c r="AA368" s="3" t="str">
        <f>IF(BCP_Dolares[[#This Row],[fecha]]&gt;0,TEXT(BCP_Dolares[[#This Row],[fecha]],"mmmm"),0)</f>
        <v>Setiembre</v>
      </c>
    </row>
    <row r="369" spans="1:27" x14ac:dyDescent="0.3">
      <c r="A369" s="2">
        <f>IF(BCP_Dolares[[#This Row],[tipo_registro]]="R",COUNTIFS($C$1:$C368,"R")+1,"")</f>
        <v>172</v>
      </c>
      <c r="B369" s="19" t="str">
        <f t="shared" si="100"/>
        <v>B-BCP - Dolares</v>
      </c>
      <c r="C369" s="3" t="s">
        <v>1330</v>
      </c>
      <c r="D369" s="14">
        <v>45918</v>
      </c>
      <c r="E369" s="5" t="s">
        <v>1335</v>
      </c>
      <c r="F369" s="5" t="s">
        <v>1336</v>
      </c>
      <c r="G369" s="6"/>
      <c r="H369" s="6"/>
      <c r="I369" s="6"/>
      <c r="J369" s="6"/>
      <c r="K369" s="7" t="s">
        <v>3160</v>
      </c>
      <c r="L369" s="8"/>
      <c r="M369" s="8" t="str">
        <f t="shared" si="101"/>
        <v>USD</v>
      </c>
      <c r="N369" s="13"/>
      <c r="O369" s="13">
        <v>0.05</v>
      </c>
      <c r="P369" s="3">
        <f t="shared" si="102"/>
        <v>0</v>
      </c>
      <c r="Q369" s="3">
        <f t="shared" si="103"/>
        <v>0.05</v>
      </c>
      <c r="R369" s="3">
        <f t="shared" si="79"/>
        <v>25.720000000002255</v>
      </c>
      <c r="S369" s="24" t="s">
        <v>1334</v>
      </c>
      <c r="T369" s="24" t="s">
        <v>1334</v>
      </c>
      <c r="U369" s="61"/>
      <c r="V369" s="3"/>
      <c r="W369" s="3"/>
      <c r="X369" s="3"/>
      <c r="Y369" s="3"/>
      <c r="Z369" s="3"/>
      <c r="AA369" s="3" t="str">
        <f>IF(BCP_Dolares[[#This Row],[fecha]]&gt;0,TEXT(BCP_Dolares[[#This Row],[fecha]],"mmmm"),0)</f>
        <v>Setiembre</v>
      </c>
    </row>
    <row r="370" spans="1:27" x14ac:dyDescent="0.3">
      <c r="A370" s="2">
        <f>IF(BCP_Dolares[[#This Row],[tipo_registro]]="R",COUNTIFS($C$1:$C369,"R")+1,"")</f>
        <v>173</v>
      </c>
      <c r="B370" s="19" t="str">
        <f t="shared" si="100"/>
        <v>B-BCP - Dolares</v>
      </c>
      <c r="C370" s="3" t="s">
        <v>1330</v>
      </c>
      <c r="D370" s="14">
        <v>45919</v>
      </c>
      <c r="E370" s="5" t="s">
        <v>1338</v>
      </c>
      <c r="F370" s="5" t="s">
        <v>1303</v>
      </c>
      <c r="G370" s="6" t="s">
        <v>425</v>
      </c>
      <c r="H370" s="6"/>
      <c r="I370" s="6"/>
      <c r="J370" s="6"/>
      <c r="K370" s="7" t="s">
        <v>4553</v>
      </c>
      <c r="L370" s="8">
        <v>2255013</v>
      </c>
      <c r="M370" s="8" t="str">
        <f t="shared" si="101"/>
        <v>USD</v>
      </c>
      <c r="N370" s="13"/>
      <c r="O370" s="13">
        <v>1739.38</v>
      </c>
      <c r="P370" s="3">
        <f t="shared" si="102"/>
        <v>1739.38</v>
      </c>
      <c r="Q370" s="3">
        <f t="shared" si="103"/>
        <v>0</v>
      </c>
      <c r="R370" s="3">
        <f t="shared" si="79"/>
        <v>1765.1000000000024</v>
      </c>
      <c r="S370" s="24" t="s">
        <v>1334</v>
      </c>
      <c r="T370" s="24" t="s">
        <v>1334</v>
      </c>
      <c r="U370" s="61"/>
      <c r="V370" s="3"/>
      <c r="W370" s="3"/>
      <c r="X370" s="3"/>
      <c r="Y370" s="3"/>
      <c r="Z370" s="3"/>
      <c r="AA370" s="3" t="str">
        <f>IF(BCP_Dolares[[#This Row],[fecha]]&gt;0,TEXT(BCP_Dolares[[#This Row],[fecha]],"mmmm"),0)</f>
        <v>Setiembre</v>
      </c>
    </row>
    <row r="371" spans="1:27" x14ac:dyDescent="0.3">
      <c r="A371" s="2">
        <f>IF(BCP_Dolares[[#This Row],[tipo_registro]]="R",COUNTIFS($C$1:$C370,"R")+1,"")</f>
        <v>174</v>
      </c>
      <c r="B371" s="19" t="str">
        <f t="shared" si="100"/>
        <v>B-BCP - Dolares</v>
      </c>
      <c r="C371" s="3" t="s">
        <v>1330</v>
      </c>
      <c r="D371" s="14">
        <v>45919</v>
      </c>
      <c r="E371" s="5" t="s">
        <v>1338</v>
      </c>
      <c r="F371" s="5" t="s">
        <v>1336</v>
      </c>
      <c r="G371" s="6" t="s">
        <v>696</v>
      </c>
      <c r="H371" s="6"/>
      <c r="I371" s="6"/>
      <c r="J371" s="6"/>
      <c r="K371" s="7" t="s">
        <v>5038</v>
      </c>
      <c r="L371" s="8">
        <v>6758586</v>
      </c>
      <c r="M371" s="8" t="str">
        <f t="shared" si="101"/>
        <v>USD</v>
      </c>
      <c r="N371" s="13"/>
      <c r="O371" s="13">
        <v>1753.7</v>
      </c>
      <c r="P371" s="3">
        <f t="shared" si="102"/>
        <v>0</v>
      </c>
      <c r="Q371" s="3">
        <f t="shared" si="103"/>
        <v>1753.7</v>
      </c>
      <c r="R371" s="3">
        <f t="shared" si="79"/>
        <v>11.400000000002365</v>
      </c>
      <c r="S371" s="24" t="s">
        <v>1334</v>
      </c>
      <c r="T371" s="24" t="s">
        <v>1334</v>
      </c>
      <c r="U371" s="61"/>
      <c r="V371" s="3"/>
      <c r="W371" s="3"/>
      <c r="X371" s="3"/>
      <c r="Y371" s="3"/>
      <c r="Z371" s="3"/>
      <c r="AA371" s="3" t="str">
        <f>IF(BCP_Dolares[[#This Row],[fecha]]&gt;0,TEXT(BCP_Dolares[[#This Row],[fecha]],"mmmm"),0)</f>
        <v>Setiembre</v>
      </c>
    </row>
    <row r="372" spans="1:27" ht="24" x14ac:dyDescent="0.3">
      <c r="A372" s="2" t="str">
        <f>IF(BCP_Dolares[[#This Row],[tipo_registro]]="R",COUNTIFS($C$1:$C371,"R")+1,"")</f>
        <v/>
      </c>
      <c r="B372" s="19" t="str">
        <f>"B-BCP - Dolares"</f>
        <v>B-BCP - Dolares</v>
      </c>
      <c r="C372" s="3" t="s">
        <v>1352</v>
      </c>
      <c r="D372" s="14">
        <v>45919</v>
      </c>
      <c r="E372" s="5" t="s">
        <v>1338</v>
      </c>
      <c r="F372" s="5"/>
      <c r="G372" s="6" t="s">
        <v>204</v>
      </c>
      <c r="H372" s="6" t="s">
        <v>68</v>
      </c>
      <c r="I372" s="6" t="s">
        <v>1390</v>
      </c>
      <c r="J372" s="6">
        <v>16669</v>
      </c>
      <c r="K372" s="7" t="s">
        <v>5038</v>
      </c>
      <c r="L372" s="8">
        <v>6758586</v>
      </c>
      <c r="M372" s="8" t="str">
        <f>"USD"</f>
        <v>USD</v>
      </c>
      <c r="N372" s="13">
        <v>78.19</v>
      </c>
      <c r="O372" s="13"/>
      <c r="P372" s="3">
        <f>+IF(OR($F372="SALDO",$F372="INGRESO"),$O372,0)</f>
        <v>0</v>
      </c>
      <c r="Q372" s="3">
        <f>+IF($F372="EGRESO",$O372,0)</f>
        <v>0</v>
      </c>
      <c r="R372" s="3">
        <f t="shared" si="79"/>
        <v>11.400000000002365</v>
      </c>
      <c r="S372" s="24" t="s">
        <v>1334</v>
      </c>
      <c r="T372" s="24" t="s">
        <v>1334</v>
      </c>
      <c r="U372" s="61"/>
      <c r="V372" s="3"/>
      <c r="W372" s="3"/>
      <c r="X372" s="3"/>
      <c r="Y372" s="3"/>
      <c r="Z372" s="3"/>
      <c r="AA372" s="3" t="str">
        <f>IF(BCP_Dolares[[#This Row],[fecha]]&gt;0,TEXT(BCP_Dolares[[#This Row],[fecha]],"mmmm"),0)</f>
        <v>Setiembre</v>
      </c>
    </row>
    <row r="373" spans="1:27" ht="24" x14ac:dyDescent="0.3">
      <c r="A373" s="2" t="str">
        <f>IF(BCP_Dolares[[#This Row],[tipo_registro]]="R",COUNTIFS($C$1:$C372,"R")+1,"")</f>
        <v/>
      </c>
      <c r="B373" s="19" t="str">
        <f>"B-BCP - Dolares"</f>
        <v>B-BCP - Dolares</v>
      </c>
      <c r="C373" s="3" t="s">
        <v>1352</v>
      </c>
      <c r="D373" s="14">
        <v>45919</v>
      </c>
      <c r="E373" s="5" t="s">
        <v>1338</v>
      </c>
      <c r="F373" s="5"/>
      <c r="G373" s="6" t="s">
        <v>204</v>
      </c>
      <c r="H373" s="6" t="s">
        <v>68</v>
      </c>
      <c r="I373" s="6" t="s">
        <v>1390</v>
      </c>
      <c r="J373" s="6">
        <v>16656</v>
      </c>
      <c r="K373" s="7" t="s">
        <v>5038</v>
      </c>
      <c r="L373" s="8">
        <v>6758586</v>
      </c>
      <c r="M373" s="8" t="str">
        <f>"USD"</f>
        <v>USD</v>
      </c>
      <c r="N373" s="13">
        <v>118</v>
      </c>
      <c r="O373" s="13"/>
      <c r="P373" s="3">
        <f>+IF(OR($F373="SALDO",$F373="INGRESO"),$O373,0)</f>
        <v>0</v>
      </c>
      <c r="Q373" s="3">
        <f>+IF($F373="EGRESO",$O373,0)</f>
        <v>0</v>
      </c>
      <c r="R373" s="3">
        <f t="shared" si="79"/>
        <v>11.400000000002365</v>
      </c>
      <c r="S373" s="24" t="s">
        <v>1334</v>
      </c>
      <c r="T373" s="24" t="s">
        <v>1334</v>
      </c>
      <c r="U373" s="61"/>
      <c r="V373" s="3"/>
      <c r="W373" s="3"/>
      <c r="X373" s="3"/>
      <c r="Y373" s="3"/>
      <c r="Z373" s="3"/>
      <c r="AA373" s="3" t="str">
        <f>IF(BCP_Dolares[[#This Row],[fecha]]&gt;0,TEXT(BCP_Dolares[[#This Row],[fecha]],"mmmm"),0)</f>
        <v>Setiembre</v>
      </c>
    </row>
    <row r="374" spans="1:27" x14ac:dyDescent="0.3">
      <c r="A374" s="2" t="str">
        <f>IF(BCP_Dolares[[#This Row],[tipo_registro]]="R",COUNTIFS($C$1:$C373,"R")+1,"")</f>
        <v/>
      </c>
      <c r="B374" s="19" t="str">
        <f>"B-BCP - Dolares"</f>
        <v>B-BCP - Dolares</v>
      </c>
      <c r="C374" s="3" t="s">
        <v>1352</v>
      </c>
      <c r="D374" s="14">
        <v>45919</v>
      </c>
      <c r="E374" s="5" t="s">
        <v>1338</v>
      </c>
      <c r="F374" s="5"/>
      <c r="G374" s="6" t="s">
        <v>730</v>
      </c>
      <c r="H374" s="6" t="s">
        <v>68</v>
      </c>
      <c r="I374" s="6" t="s">
        <v>1374</v>
      </c>
      <c r="J374" s="6">
        <v>25</v>
      </c>
      <c r="K374" s="7" t="s">
        <v>5038</v>
      </c>
      <c r="L374" s="8">
        <v>6758586</v>
      </c>
      <c r="M374" s="8" t="str">
        <f>"USD"</f>
        <v>USD</v>
      </c>
      <c r="N374" s="13">
        <v>1557.51</v>
      </c>
      <c r="O374" s="13"/>
      <c r="P374" s="3">
        <f>+IF(OR($F374="SALDO",$F374="INGRESO"),$O374,0)</f>
        <v>0</v>
      </c>
      <c r="Q374" s="3">
        <f>+IF($F374="EGRESO",$O374,0)</f>
        <v>0</v>
      </c>
      <c r="R374" s="3">
        <f t="shared" si="79"/>
        <v>11.400000000002365</v>
      </c>
      <c r="S374" s="24" t="s">
        <v>1334</v>
      </c>
      <c r="T374" s="24" t="s">
        <v>1334</v>
      </c>
      <c r="U374" s="61"/>
      <c r="V374" s="3"/>
      <c r="W374" s="3"/>
      <c r="X374" s="3"/>
      <c r="Y374" s="3"/>
      <c r="Z374" s="3"/>
      <c r="AA374" s="3" t="str">
        <f>IF(BCP_Dolares[[#This Row],[fecha]]&gt;0,TEXT(BCP_Dolares[[#This Row],[fecha]],"mmmm"),0)</f>
        <v>Setiembre</v>
      </c>
    </row>
    <row r="375" spans="1:27" ht="24" x14ac:dyDescent="0.3">
      <c r="A375" s="2">
        <f>IF(BCP_Dolares[[#This Row],[tipo_registro]]="R",COUNTIFS($C$1:$C374,"R")+1,"")</f>
        <v>175</v>
      </c>
      <c r="B375" s="19" t="str">
        <f t="shared" si="100"/>
        <v>B-BCP - Dolares</v>
      </c>
      <c r="C375" s="3" t="s">
        <v>1330</v>
      </c>
      <c r="D375" s="14">
        <v>45919</v>
      </c>
      <c r="E375" s="5" t="s">
        <v>1335</v>
      </c>
      <c r="F375" s="5" t="s">
        <v>1336</v>
      </c>
      <c r="G375" s="6" t="s">
        <v>1060</v>
      </c>
      <c r="H375" s="6" t="s">
        <v>68</v>
      </c>
      <c r="I375" s="6" t="s">
        <v>1397</v>
      </c>
      <c r="J375" s="6">
        <v>37216567</v>
      </c>
      <c r="K375" s="7" t="s">
        <v>5039</v>
      </c>
      <c r="L375" s="8">
        <v>6758590</v>
      </c>
      <c r="M375" s="8" t="str">
        <f t="shared" si="101"/>
        <v>USD</v>
      </c>
      <c r="N375" s="13"/>
      <c r="O375" s="13">
        <v>9.33</v>
      </c>
      <c r="P375" s="3">
        <f t="shared" si="102"/>
        <v>0</v>
      </c>
      <c r="Q375" s="3">
        <f t="shared" si="103"/>
        <v>9.33</v>
      </c>
      <c r="R375" s="3">
        <f t="shared" si="79"/>
        <v>2.0700000000023646</v>
      </c>
      <c r="S375" s="24" t="s">
        <v>1334</v>
      </c>
      <c r="T375" s="24" t="s">
        <v>1334</v>
      </c>
      <c r="U375" s="61"/>
      <c r="V375" s="3"/>
      <c r="W375" s="3"/>
      <c r="X375" s="3"/>
      <c r="Y375" s="3"/>
      <c r="Z375" s="3"/>
      <c r="AA375" s="3" t="str">
        <f>IF(BCP_Dolares[[#This Row],[fecha]]&gt;0,TEXT(BCP_Dolares[[#This Row],[fecha]],"mmmm"),0)</f>
        <v>Setiembre</v>
      </c>
    </row>
    <row r="376" spans="1:27" x14ac:dyDescent="0.3">
      <c r="A376" s="2">
        <f>IF(BCP_Dolares[[#This Row],[tipo_registro]]="R",COUNTIFS($C$1:$C375,"R")+1,"")</f>
        <v>176</v>
      </c>
      <c r="B376" s="19" t="str">
        <f t="shared" ref="B376:B381" si="104">"B-BCP - Dolares"</f>
        <v>B-BCP - Dolares</v>
      </c>
      <c r="C376" s="3" t="s">
        <v>1330</v>
      </c>
      <c r="D376" s="14">
        <v>45919</v>
      </c>
      <c r="E376" s="5" t="s">
        <v>1335</v>
      </c>
      <c r="F376" s="5" t="s">
        <v>1336</v>
      </c>
      <c r="G376" s="6"/>
      <c r="H376" s="6"/>
      <c r="I376" s="6"/>
      <c r="J376" s="6"/>
      <c r="K376" s="7" t="s">
        <v>3160</v>
      </c>
      <c r="L376" s="8"/>
      <c r="M376" s="8" t="str">
        <f t="shared" ref="M376:M381" si="105">"USD"</f>
        <v>USD</v>
      </c>
      <c r="N376" s="13"/>
      <c r="O376" s="13">
        <v>0.05</v>
      </c>
      <c r="P376" s="3">
        <f t="shared" ref="P376:P381" si="106">+IF(OR($F376="SALDO",$F376="INGRESO"),$O376,0)</f>
        <v>0</v>
      </c>
      <c r="Q376" s="3">
        <f t="shared" ref="Q376:Q381" si="107">+IF($F376="EGRESO",$O376,0)</f>
        <v>0.05</v>
      </c>
      <c r="R376" s="3">
        <f t="shared" si="79"/>
        <v>2.0200000000023648</v>
      </c>
      <c r="S376" s="24" t="s">
        <v>1334</v>
      </c>
      <c r="T376" s="24" t="s">
        <v>1334</v>
      </c>
      <c r="U376" s="61"/>
      <c r="V376" s="3"/>
      <c r="W376" s="3"/>
      <c r="X376" s="3"/>
      <c r="Y376" s="3"/>
      <c r="Z376" s="3"/>
      <c r="AA376" s="3" t="str">
        <f>IF(BCP_Dolares[[#This Row],[fecha]]&gt;0,TEXT(BCP_Dolares[[#This Row],[fecha]],"mmmm"),0)</f>
        <v>Setiembre</v>
      </c>
    </row>
    <row r="377" spans="1:27" ht="24" x14ac:dyDescent="0.3">
      <c r="A377" s="2">
        <f>IF(BCP_Dolares[[#This Row],[tipo_registro]]="R",COUNTIFS($C$1:$C376,"R")+1,"")</f>
        <v>177</v>
      </c>
      <c r="B377" s="19" t="str">
        <f t="shared" si="104"/>
        <v>B-BCP - Dolares</v>
      </c>
      <c r="C377" s="3" t="s">
        <v>1330</v>
      </c>
      <c r="D377" s="14">
        <v>45925</v>
      </c>
      <c r="E377" s="5" t="s">
        <v>204</v>
      </c>
      <c r="F377" s="5" t="s">
        <v>1303</v>
      </c>
      <c r="G377" s="6" t="s">
        <v>425</v>
      </c>
      <c r="H377" s="6"/>
      <c r="I377" s="6"/>
      <c r="J377" s="6"/>
      <c r="K377" s="7" t="s">
        <v>4909</v>
      </c>
      <c r="L377" s="8">
        <v>8589369</v>
      </c>
      <c r="M377" s="8" t="str">
        <f t="shared" si="105"/>
        <v>USD</v>
      </c>
      <c r="N377" s="13"/>
      <c r="O377" s="13">
        <v>10310.84</v>
      </c>
      <c r="P377" s="3">
        <f t="shared" si="106"/>
        <v>10310.84</v>
      </c>
      <c r="Q377" s="3">
        <f t="shared" si="107"/>
        <v>0</v>
      </c>
      <c r="R377" s="3">
        <f t="shared" si="79"/>
        <v>10312.860000000002</v>
      </c>
      <c r="S377" s="24" t="s">
        <v>1334</v>
      </c>
      <c r="T377" s="24" t="s">
        <v>1334</v>
      </c>
      <c r="U377" s="61"/>
      <c r="V377" s="3"/>
      <c r="W377" s="3"/>
      <c r="X377" s="3"/>
      <c r="Y377" s="3"/>
      <c r="Z377" s="3"/>
      <c r="AA377" s="3" t="str">
        <f>IF(BCP_Dolares[[#This Row],[fecha]]&gt;0,TEXT(BCP_Dolares[[#This Row],[fecha]],"mmmm"),0)</f>
        <v>Setiembre</v>
      </c>
    </row>
    <row r="378" spans="1:27" ht="24" x14ac:dyDescent="0.3">
      <c r="A378" s="2" t="str">
        <f>IF(BCP_Dolares[[#This Row],[tipo_registro]]="R",COUNTIFS($C$1:$C377,"R")+1,"")</f>
        <v/>
      </c>
      <c r="B378" s="19" t="str">
        <f t="shared" si="104"/>
        <v>B-BCP - Dolares</v>
      </c>
      <c r="C378" s="3" t="s">
        <v>1352</v>
      </c>
      <c r="D378" s="14">
        <v>45925</v>
      </c>
      <c r="E378" s="5" t="s">
        <v>204</v>
      </c>
      <c r="F378" s="5" t="s">
        <v>1303</v>
      </c>
      <c r="G378" s="6"/>
      <c r="H378" s="6" t="s">
        <v>68</v>
      </c>
      <c r="I378" s="6" t="s">
        <v>1784</v>
      </c>
      <c r="J378" s="6">
        <v>220</v>
      </c>
      <c r="K378" s="7" t="s">
        <v>4909</v>
      </c>
      <c r="L378" s="8">
        <v>8589369</v>
      </c>
      <c r="M378" s="8" t="str">
        <f t="shared" si="105"/>
        <v>USD</v>
      </c>
      <c r="N378" s="13">
        <v>4943.1899999999996</v>
      </c>
      <c r="O378" s="13"/>
      <c r="P378" s="3">
        <f t="shared" si="106"/>
        <v>0</v>
      </c>
      <c r="Q378" s="3">
        <f t="shared" si="107"/>
        <v>0</v>
      </c>
      <c r="R378" s="3">
        <f t="shared" si="79"/>
        <v>10312.860000000002</v>
      </c>
      <c r="S378" s="24" t="s">
        <v>1334</v>
      </c>
      <c r="T378" s="24" t="s">
        <v>1334</v>
      </c>
      <c r="U378" s="61"/>
      <c r="V378" s="3"/>
      <c r="W378" s="3"/>
      <c r="X378" s="3"/>
      <c r="Y378" s="3"/>
      <c r="Z378" s="3"/>
      <c r="AA378" s="3" t="str">
        <f>IF(BCP_Dolares[[#This Row],[fecha]]&gt;0,TEXT(BCP_Dolares[[#This Row],[fecha]],"mmmm"),0)</f>
        <v>Setiembre</v>
      </c>
    </row>
    <row r="379" spans="1:27" ht="24" x14ac:dyDescent="0.3">
      <c r="A379" s="2" t="str">
        <f>IF(BCP_Dolares[[#This Row],[tipo_registro]]="R",COUNTIFS($C$1:$C378,"R")+1,"")</f>
        <v/>
      </c>
      <c r="B379" s="19" t="str">
        <f t="shared" si="104"/>
        <v>B-BCP - Dolares</v>
      </c>
      <c r="C379" s="3" t="s">
        <v>1352</v>
      </c>
      <c r="D379" s="14">
        <v>45925</v>
      </c>
      <c r="E379" s="5" t="s">
        <v>204</v>
      </c>
      <c r="F379" s="5" t="s">
        <v>1303</v>
      </c>
      <c r="G379" s="6"/>
      <c r="H379" s="6" t="s">
        <v>68</v>
      </c>
      <c r="I379" s="6" t="s">
        <v>1784</v>
      </c>
      <c r="J379" s="6">
        <v>229</v>
      </c>
      <c r="K379" s="7" t="s">
        <v>4909</v>
      </c>
      <c r="L379" s="8">
        <v>8589369</v>
      </c>
      <c r="M379" s="8" t="str">
        <f t="shared" si="105"/>
        <v>USD</v>
      </c>
      <c r="N379" s="13">
        <v>5367.65</v>
      </c>
      <c r="O379" s="13"/>
      <c r="P379" s="3">
        <f t="shared" si="106"/>
        <v>0</v>
      </c>
      <c r="Q379" s="3">
        <f t="shared" si="107"/>
        <v>0</v>
      </c>
      <c r="R379" s="3">
        <f t="shared" si="79"/>
        <v>10312.860000000002</v>
      </c>
      <c r="S379" s="24" t="s">
        <v>1334</v>
      </c>
      <c r="T379" s="24" t="s">
        <v>1334</v>
      </c>
      <c r="U379" s="61"/>
      <c r="V379" s="3"/>
      <c r="W379" s="3"/>
      <c r="X379" s="3"/>
      <c r="Y379" s="3"/>
      <c r="Z379" s="3"/>
      <c r="AA379" s="3" t="str">
        <f>IF(BCP_Dolares[[#This Row],[fecha]]&gt;0,TEXT(BCP_Dolares[[#This Row],[fecha]],"mmmm"),0)</f>
        <v>Setiembre</v>
      </c>
    </row>
    <row r="380" spans="1:27" ht="24" x14ac:dyDescent="0.3">
      <c r="A380" s="2">
        <f>IF(BCP_Dolares[[#This Row],[tipo_registro]]="R",COUNTIFS($C$1:$C379,"R")+1,"")</f>
        <v>178</v>
      </c>
      <c r="B380" s="19" t="str">
        <f t="shared" si="104"/>
        <v>B-BCP - Dolares</v>
      </c>
      <c r="C380" s="3" t="s">
        <v>1330</v>
      </c>
      <c r="D380" s="14">
        <v>45925</v>
      </c>
      <c r="E380" s="5" t="s">
        <v>1335</v>
      </c>
      <c r="F380" s="5" t="s">
        <v>1336</v>
      </c>
      <c r="G380" s="6" t="s">
        <v>1060</v>
      </c>
      <c r="H380" s="6" t="s">
        <v>68</v>
      </c>
      <c r="I380" s="6" t="s">
        <v>1343</v>
      </c>
      <c r="J380" s="6">
        <v>2529778</v>
      </c>
      <c r="K380" s="7" t="s">
        <v>5040</v>
      </c>
      <c r="L380" s="8"/>
      <c r="M380" s="8" t="str">
        <f t="shared" si="105"/>
        <v>USD</v>
      </c>
      <c r="N380" s="13"/>
      <c r="O380" s="13">
        <v>12</v>
      </c>
      <c r="P380" s="3">
        <f t="shared" si="106"/>
        <v>0</v>
      </c>
      <c r="Q380" s="3">
        <f t="shared" si="107"/>
        <v>12</v>
      </c>
      <c r="R380" s="3">
        <f t="shared" si="79"/>
        <v>10300.860000000002</v>
      </c>
      <c r="S380" s="24" t="s">
        <v>1334</v>
      </c>
      <c r="T380" s="24" t="s">
        <v>1334</v>
      </c>
      <c r="U380" s="61"/>
      <c r="V380" s="3"/>
      <c r="W380" s="3"/>
      <c r="X380" s="3"/>
      <c r="Y380" s="3"/>
      <c r="Z380" s="3"/>
      <c r="AA380" s="3" t="str">
        <f>IF(BCP_Dolares[[#This Row],[fecha]]&gt;0,TEXT(BCP_Dolares[[#This Row],[fecha]],"mmmm"),0)</f>
        <v>Setiembre</v>
      </c>
    </row>
    <row r="381" spans="1:27" x14ac:dyDescent="0.3">
      <c r="A381" s="2">
        <f>IF(BCP_Dolares[[#This Row],[tipo_registro]]="R",COUNTIFS($C$1:$C380,"R")+1,"")</f>
        <v>179</v>
      </c>
      <c r="B381" s="19" t="str">
        <f t="shared" si="104"/>
        <v>B-BCP - Dolares</v>
      </c>
      <c r="C381" s="3" t="s">
        <v>1330</v>
      </c>
      <c r="D381" s="14">
        <v>45925</v>
      </c>
      <c r="E381" s="5" t="s">
        <v>1335</v>
      </c>
      <c r="F381" s="5" t="s">
        <v>1336</v>
      </c>
      <c r="G381" s="6"/>
      <c r="H381" s="6"/>
      <c r="I381" s="6"/>
      <c r="J381" s="6"/>
      <c r="K381" s="7" t="s">
        <v>3160</v>
      </c>
      <c r="L381" s="8"/>
      <c r="M381" s="8" t="str">
        <f t="shared" si="105"/>
        <v>USD</v>
      </c>
      <c r="N381" s="13"/>
      <c r="O381" s="13">
        <v>0.5</v>
      </c>
      <c r="P381" s="3">
        <f t="shared" si="106"/>
        <v>0</v>
      </c>
      <c r="Q381" s="3">
        <f t="shared" si="107"/>
        <v>0.5</v>
      </c>
      <c r="R381" s="3">
        <f t="shared" si="79"/>
        <v>10300.360000000002</v>
      </c>
      <c r="S381" s="24" t="s">
        <v>1334</v>
      </c>
      <c r="T381" s="24" t="s">
        <v>1334</v>
      </c>
      <c r="U381" s="61"/>
      <c r="V381" s="3"/>
      <c r="W381" s="3"/>
      <c r="X381" s="3"/>
      <c r="Y381" s="3"/>
      <c r="Z381" s="3"/>
      <c r="AA381" s="3" t="str">
        <f>IF(BCP_Dolares[[#This Row],[fecha]]&gt;0,TEXT(BCP_Dolares[[#This Row],[fecha]],"mmmm"),0)</f>
        <v>Setiembre</v>
      </c>
    </row>
    <row r="382" spans="1:27" ht="24" x14ac:dyDescent="0.3">
      <c r="A382" s="2">
        <f>IF(BCP_Dolares[[#This Row],[tipo_registro]]="R",COUNTIFS($C$1:$C381,"R")+1,"")</f>
        <v>180</v>
      </c>
      <c r="B382" s="19" t="str">
        <f t="shared" ref="B382:B394" si="108">"B-BCP - Dolares"</f>
        <v>B-BCP - Dolares</v>
      </c>
      <c r="C382" s="3" t="s">
        <v>1330</v>
      </c>
      <c r="D382" s="14">
        <v>45929</v>
      </c>
      <c r="E382" s="5" t="s">
        <v>1338</v>
      </c>
      <c r="F382" s="5" t="s">
        <v>1336</v>
      </c>
      <c r="G382" s="6" t="s">
        <v>248</v>
      </c>
      <c r="H382" s="6" t="s">
        <v>68</v>
      </c>
      <c r="I382" s="6" t="s">
        <v>4974</v>
      </c>
      <c r="J382" s="6">
        <v>8570</v>
      </c>
      <c r="K382" s="7" t="s">
        <v>5041</v>
      </c>
      <c r="L382" s="8">
        <v>1240077</v>
      </c>
      <c r="M382" s="8" t="str">
        <f t="shared" ref="M382:M394" si="109">"USD"</f>
        <v>USD</v>
      </c>
      <c r="N382" s="13"/>
      <c r="O382" s="13">
        <v>94.4</v>
      </c>
      <c r="P382" s="3">
        <f t="shared" ref="P382:P394" si="110">+IF(OR($F382="SALDO",$F382="INGRESO"),$O382,0)</f>
        <v>0</v>
      </c>
      <c r="Q382" s="3">
        <f t="shared" ref="Q382:Q394" si="111">+IF($F382="EGRESO",$O382,0)</f>
        <v>94.4</v>
      </c>
      <c r="R382" s="3">
        <f t="shared" si="79"/>
        <v>10205.960000000003</v>
      </c>
      <c r="S382" s="24" t="s">
        <v>1334</v>
      </c>
      <c r="T382" s="24" t="s">
        <v>1334</v>
      </c>
      <c r="U382" s="61"/>
      <c r="V382" s="3"/>
      <c r="W382" s="3"/>
      <c r="X382" s="3"/>
      <c r="Y382" s="3"/>
      <c r="Z382" s="3"/>
      <c r="AA382" s="3" t="str">
        <f>IF(BCP_Dolares[[#This Row],[fecha]]&gt;0,TEXT(BCP_Dolares[[#This Row],[fecha]],"mmmm"),0)</f>
        <v>Setiembre</v>
      </c>
    </row>
    <row r="383" spans="1:27" ht="36" x14ac:dyDescent="0.3">
      <c r="A383" s="2">
        <f>IF(BCP_Dolares[[#This Row],[tipo_registro]]="R",COUNTIFS($C$1:$C382,"R")+1,"")</f>
        <v>181</v>
      </c>
      <c r="B383" s="19" t="str">
        <f t="shared" si="108"/>
        <v>B-BCP - Dolares</v>
      </c>
      <c r="C383" s="3" t="s">
        <v>1330</v>
      </c>
      <c r="D383" s="14">
        <v>45929</v>
      </c>
      <c r="E383" s="5" t="s">
        <v>1338</v>
      </c>
      <c r="F383" s="5" t="s">
        <v>1336</v>
      </c>
      <c r="G383" s="6" t="s">
        <v>702</v>
      </c>
      <c r="H383" s="6" t="s">
        <v>68</v>
      </c>
      <c r="I383" s="6" t="s">
        <v>1463</v>
      </c>
      <c r="J383" s="6">
        <v>488227</v>
      </c>
      <c r="K383" s="7" t="s">
        <v>5042</v>
      </c>
      <c r="L383" s="8">
        <v>242521</v>
      </c>
      <c r="M383" s="8" t="str">
        <f t="shared" si="109"/>
        <v>USD</v>
      </c>
      <c r="N383" s="13"/>
      <c r="O383" s="13">
        <v>416.27</v>
      </c>
      <c r="P383" s="3">
        <f t="shared" si="110"/>
        <v>0</v>
      </c>
      <c r="Q383" s="3">
        <f t="shared" si="111"/>
        <v>416.27</v>
      </c>
      <c r="R383" s="3">
        <f t="shared" si="79"/>
        <v>9789.6900000000023</v>
      </c>
      <c r="S383" s="24" t="s">
        <v>1334</v>
      </c>
      <c r="T383" s="24" t="s">
        <v>1334</v>
      </c>
      <c r="U383" s="61"/>
      <c r="V383" s="3"/>
      <c r="W383" s="3"/>
      <c r="X383" s="3"/>
      <c r="Y383" s="3"/>
      <c r="Z383" s="3"/>
      <c r="AA383" s="3" t="str">
        <f>IF(BCP_Dolares[[#This Row],[fecha]]&gt;0,TEXT(BCP_Dolares[[#This Row],[fecha]],"mmmm"),0)</f>
        <v>Setiembre</v>
      </c>
    </row>
    <row r="384" spans="1:27" x14ac:dyDescent="0.3">
      <c r="A384" s="2">
        <f>IF(BCP_Dolares[[#This Row],[tipo_registro]]="R",COUNTIFS($C$1:$C383,"R")+1,"")</f>
        <v>182</v>
      </c>
      <c r="B384" s="19" t="str">
        <f t="shared" si="108"/>
        <v>B-BCP - Dolares</v>
      </c>
      <c r="C384" s="3" t="s">
        <v>1330</v>
      </c>
      <c r="D384" s="14">
        <v>45929</v>
      </c>
      <c r="E384" s="5" t="s">
        <v>1338</v>
      </c>
      <c r="F384" s="5" t="s">
        <v>1336</v>
      </c>
      <c r="G384" s="6" t="s">
        <v>696</v>
      </c>
      <c r="H384" s="6"/>
      <c r="I384" s="6"/>
      <c r="J384" s="6"/>
      <c r="K384" s="7" t="s">
        <v>5043</v>
      </c>
      <c r="L384" s="8">
        <v>478684</v>
      </c>
      <c r="M384" s="8" t="str">
        <f t="shared" si="109"/>
        <v>USD</v>
      </c>
      <c r="N384" s="13"/>
      <c r="O384" s="13">
        <v>2034.02</v>
      </c>
      <c r="P384" s="3">
        <f t="shared" si="110"/>
        <v>0</v>
      </c>
      <c r="Q384" s="3">
        <f t="shared" si="111"/>
        <v>2034.02</v>
      </c>
      <c r="R384" s="3">
        <f t="shared" si="79"/>
        <v>7755.6700000000019</v>
      </c>
      <c r="S384" s="24" t="s">
        <v>1334</v>
      </c>
      <c r="T384" s="24" t="s">
        <v>1334</v>
      </c>
      <c r="U384" s="61"/>
      <c r="V384" s="3"/>
      <c r="W384" s="3"/>
      <c r="X384" s="3"/>
      <c r="Y384" s="3"/>
      <c r="Z384" s="3"/>
      <c r="AA384" s="3" t="str">
        <f>IF(BCP_Dolares[[#This Row],[fecha]]&gt;0,TEXT(BCP_Dolares[[#This Row],[fecha]],"mmmm"),0)</f>
        <v>Setiembre</v>
      </c>
    </row>
    <row r="385" spans="1:27" ht="24" x14ac:dyDescent="0.3">
      <c r="A385" s="2" t="str">
        <f>IF(BCP_Dolares[[#This Row],[tipo_registro]]="R",COUNTIFS($C$1:$C384,"R")+1,"")</f>
        <v/>
      </c>
      <c r="B385" s="19" t="str">
        <f t="shared" ref="B385:B391" si="112">"B-BCP - Dolares"</f>
        <v>B-BCP - Dolares</v>
      </c>
      <c r="C385" s="3" t="s">
        <v>1352</v>
      </c>
      <c r="D385" s="14">
        <v>45929</v>
      </c>
      <c r="E385" s="5" t="s">
        <v>1338</v>
      </c>
      <c r="F385" s="5" t="s">
        <v>1336</v>
      </c>
      <c r="G385" s="6" t="s">
        <v>204</v>
      </c>
      <c r="H385" s="6" t="s">
        <v>68</v>
      </c>
      <c r="I385" s="6" t="s">
        <v>1390</v>
      </c>
      <c r="J385" s="6">
        <v>16757</v>
      </c>
      <c r="K385" s="7" t="s">
        <v>5043</v>
      </c>
      <c r="L385" s="8">
        <v>478684</v>
      </c>
      <c r="M385" s="8" t="str">
        <f t="shared" ref="M385:M391" si="113">"USD"</f>
        <v>USD</v>
      </c>
      <c r="N385" s="13">
        <v>777.78</v>
      </c>
      <c r="O385" s="13"/>
      <c r="P385" s="3">
        <f t="shared" ref="P385:P391" si="114">+IF(OR($F385="SALDO",$F385="INGRESO"),$O385,0)</f>
        <v>0</v>
      </c>
      <c r="Q385" s="3">
        <f t="shared" ref="Q385:Q391" si="115">+IF($F385="EGRESO",$O385,0)</f>
        <v>0</v>
      </c>
      <c r="R385" s="3">
        <f t="shared" si="79"/>
        <v>7755.6700000000019</v>
      </c>
      <c r="S385" s="24" t="s">
        <v>1334</v>
      </c>
      <c r="T385" s="24" t="s">
        <v>1334</v>
      </c>
      <c r="U385" s="61"/>
      <c r="V385" s="3"/>
      <c r="W385" s="3"/>
      <c r="X385" s="3"/>
      <c r="Y385" s="3"/>
      <c r="Z385" s="3"/>
      <c r="AA385" s="3" t="str">
        <f>IF(BCP_Dolares[[#This Row],[fecha]]&gt;0,TEXT(BCP_Dolares[[#This Row],[fecha]],"mmmm"),0)</f>
        <v>Setiembre</v>
      </c>
    </row>
    <row r="386" spans="1:27" ht="24" x14ac:dyDescent="0.3">
      <c r="A386" s="2" t="str">
        <f>IF(BCP_Dolares[[#This Row],[tipo_registro]]="R",COUNTIFS($C$1:$C385,"R")+1,"")</f>
        <v/>
      </c>
      <c r="B386" s="19" t="str">
        <f t="shared" si="112"/>
        <v>B-BCP - Dolares</v>
      </c>
      <c r="C386" s="3" t="s">
        <v>1352</v>
      </c>
      <c r="D386" s="14">
        <v>45929</v>
      </c>
      <c r="E386" s="5" t="s">
        <v>1338</v>
      </c>
      <c r="F386" s="5" t="s">
        <v>1336</v>
      </c>
      <c r="G386" s="6" t="s">
        <v>204</v>
      </c>
      <c r="H386" s="6" t="s">
        <v>68</v>
      </c>
      <c r="I386" s="6" t="s">
        <v>1390</v>
      </c>
      <c r="J386" s="6">
        <v>16729</v>
      </c>
      <c r="K386" s="7" t="s">
        <v>5043</v>
      </c>
      <c r="L386" s="8">
        <v>478684</v>
      </c>
      <c r="M386" s="8" t="str">
        <f t="shared" si="113"/>
        <v>USD</v>
      </c>
      <c r="N386" s="13">
        <v>47.05</v>
      </c>
      <c r="O386" s="13"/>
      <c r="P386" s="3">
        <f t="shared" si="114"/>
        <v>0</v>
      </c>
      <c r="Q386" s="3">
        <f t="shared" si="115"/>
        <v>0</v>
      </c>
      <c r="R386" s="3">
        <f t="shared" ref="R386:R425" si="116">IFERROR(IF(F386="SALDO",P386,R385+P386-Q386),0)</f>
        <v>7755.6700000000019</v>
      </c>
      <c r="S386" s="24" t="s">
        <v>1334</v>
      </c>
      <c r="T386" s="24" t="s">
        <v>1334</v>
      </c>
      <c r="U386" s="61"/>
      <c r="V386" s="3"/>
      <c r="W386" s="3"/>
      <c r="X386" s="3"/>
      <c r="Y386" s="3"/>
      <c r="Z386" s="3"/>
      <c r="AA386" s="3" t="str">
        <f>IF(BCP_Dolares[[#This Row],[fecha]]&gt;0,TEXT(BCP_Dolares[[#This Row],[fecha]],"mmmm"),0)</f>
        <v>Setiembre</v>
      </c>
    </row>
    <row r="387" spans="1:27" ht="24" x14ac:dyDescent="0.3">
      <c r="A387" s="2" t="str">
        <f>IF(BCP_Dolares[[#This Row],[tipo_registro]]="R",COUNTIFS($C$1:$C386,"R")+1,"")</f>
        <v/>
      </c>
      <c r="B387" s="19" t="str">
        <f t="shared" si="112"/>
        <v>B-BCP - Dolares</v>
      </c>
      <c r="C387" s="3" t="s">
        <v>1352</v>
      </c>
      <c r="D387" s="14">
        <v>45929</v>
      </c>
      <c r="E387" s="5" t="s">
        <v>1338</v>
      </c>
      <c r="F387" s="5" t="s">
        <v>1336</v>
      </c>
      <c r="G387" s="6" t="s">
        <v>204</v>
      </c>
      <c r="H387" s="6" t="s">
        <v>68</v>
      </c>
      <c r="I387" s="6" t="s">
        <v>1390</v>
      </c>
      <c r="J387" s="6">
        <v>16730</v>
      </c>
      <c r="K387" s="7" t="s">
        <v>5043</v>
      </c>
      <c r="L387" s="8">
        <v>478684</v>
      </c>
      <c r="M387" s="8" t="str">
        <f t="shared" si="113"/>
        <v>USD</v>
      </c>
      <c r="N387" s="13">
        <v>82.36</v>
      </c>
      <c r="O387" s="13"/>
      <c r="P387" s="3">
        <f t="shared" si="114"/>
        <v>0</v>
      </c>
      <c r="Q387" s="3">
        <f t="shared" si="115"/>
        <v>0</v>
      </c>
      <c r="R387" s="3">
        <f t="shared" si="116"/>
        <v>7755.6700000000019</v>
      </c>
      <c r="S387" s="24" t="s">
        <v>1334</v>
      </c>
      <c r="T387" s="24" t="s">
        <v>1334</v>
      </c>
      <c r="U387" s="61"/>
      <c r="V387" s="3"/>
      <c r="W387" s="3"/>
      <c r="X387" s="3"/>
      <c r="Y387" s="3"/>
      <c r="Z387" s="3"/>
      <c r="AA387" s="3" t="str">
        <f>IF(BCP_Dolares[[#This Row],[fecha]]&gt;0,TEXT(BCP_Dolares[[#This Row],[fecha]],"mmmm"),0)</f>
        <v>Setiembre</v>
      </c>
    </row>
    <row r="388" spans="1:27" ht="24" x14ac:dyDescent="0.3">
      <c r="A388" s="2" t="str">
        <f>IF(BCP_Dolares[[#This Row],[tipo_registro]]="R",COUNTIFS($C$1:$C387,"R")+1,"")</f>
        <v/>
      </c>
      <c r="B388" s="19" t="str">
        <f t="shared" si="112"/>
        <v>B-BCP - Dolares</v>
      </c>
      <c r="C388" s="3" t="s">
        <v>1352</v>
      </c>
      <c r="D388" s="14">
        <v>45929</v>
      </c>
      <c r="E388" s="5" t="s">
        <v>1338</v>
      </c>
      <c r="F388" s="5" t="s">
        <v>1336</v>
      </c>
      <c r="G388" s="6" t="s">
        <v>204</v>
      </c>
      <c r="H388" s="6" t="s">
        <v>68</v>
      </c>
      <c r="I388" s="6" t="s">
        <v>1390</v>
      </c>
      <c r="J388" s="6">
        <v>16708</v>
      </c>
      <c r="K388" s="7" t="s">
        <v>5043</v>
      </c>
      <c r="L388" s="8">
        <v>478684</v>
      </c>
      <c r="M388" s="8" t="str">
        <f t="shared" si="113"/>
        <v>USD</v>
      </c>
      <c r="N388" s="13">
        <v>58.92</v>
      </c>
      <c r="O388" s="13"/>
      <c r="P388" s="3">
        <f t="shared" si="114"/>
        <v>0</v>
      </c>
      <c r="Q388" s="3">
        <f t="shared" si="115"/>
        <v>0</v>
      </c>
      <c r="R388" s="3">
        <f t="shared" si="116"/>
        <v>7755.6700000000019</v>
      </c>
      <c r="S388" s="24" t="s">
        <v>1334</v>
      </c>
      <c r="T388" s="24" t="s">
        <v>1334</v>
      </c>
      <c r="U388" s="61"/>
      <c r="V388" s="3"/>
      <c r="W388" s="3"/>
      <c r="X388" s="3"/>
      <c r="Y388" s="3"/>
      <c r="Z388" s="3"/>
      <c r="AA388" s="3" t="str">
        <f>IF(BCP_Dolares[[#This Row],[fecha]]&gt;0,TEXT(BCP_Dolares[[#This Row],[fecha]],"mmmm"),0)</f>
        <v>Setiembre</v>
      </c>
    </row>
    <row r="389" spans="1:27" ht="24" x14ac:dyDescent="0.3">
      <c r="A389" s="2" t="str">
        <f>IF(BCP_Dolares[[#This Row],[tipo_registro]]="R",COUNTIFS($C$1:$C388,"R")+1,"")</f>
        <v/>
      </c>
      <c r="B389" s="19" t="str">
        <f t="shared" si="112"/>
        <v>B-BCP - Dolares</v>
      </c>
      <c r="C389" s="3" t="s">
        <v>1352</v>
      </c>
      <c r="D389" s="14">
        <v>45929</v>
      </c>
      <c r="E389" s="5" t="s">
        <v>1338</v>
      </c>
      <c r="F389" s="5" t="s">
        <v>1336</v>
      </c>
      <c r="G389" s="6" t="s">
        <v>204</v>
      </c>
      <c r="H389" s="6" t="s">
        <v>68</v>
      </c>
      <c r="I389" s="6" t="s">
        <v>1390</v>
      </c>
      <c r="J389" s="6">
        <v>16758</v>
      </c>
      <c r="K389" s="7" t="s">
        <v>5043</v>
      </c>
      <c r="L389" s="8">
        <v>478684</v>
      </c>
      <c r="M389" s="8" t="str">
        <f t="shared" si="113"/>
        <v>USD</v>
      </c>
      <c r="N389" s="13">
        <v>505.8</v>
      </c>
      <c r="O389" s="13"/>
      <c r="P389" s="3">
        <f t="shared" si="114"/>
        <v>0</v>
      </c>
      <c r="Q389" s="3">
        <f t="shared" si="115"/>
        <v>0</v>
      </c>
      <c r="R389" s="3">
        <f t="shared" si="116"/>
        <v>7755.6700000000019</v>
      </c>
      <c r="S389" s="24" t="s">
        <v>1334</v>
      </c>
      <c r="T389" s="24" t="s">
        <v>1334</v>
      </c>
      <c r="U389" s="61"/>
      <c r="V389" s="3"/>
      <c r="W389" s="3"/>
      <c r="X389" s="3"/>
      <c r="Y389" s="3"/>
      <c r="Z389" s="3"/>
      <c r="AA389" s="3" t="str">
        <f>IF(BCP_Dolares[[#This Row],[fecha]]&gt;0,TEXT(BCP_Dolares[[#This Row],[fecha]],"mmmm"),0)</f>
        <v>Setiembre</v>
      </c>
    </row>
    <row r="390" spans="1:27" ht="24" x14ac:dyDescent="0.3">
      <c r="A390" s="2" t="str">
        <f>IF(BCP_Dolares[[#This Row],[tipo_registro]]="R",COUNTIFS($C$1:$C389,"R")+1,"")</f>
        <v/>
      </c>
      <c r="B390" s="19" t="str">
        <f t="shared" si="112"/>
        <v>B-BCP - Dolares</v>
      </c>
      <c r="C390" s="3" t="s">
        <v>1352</v>
      </c>
      <c r="D390" s="14">
        <v>45929</v>
      </c>
      <c r="E390" s="5" t="s">
        <v>1338</v>
      </c>
      <c r="F390" s="5" t="s">
        <v>1336</v>
      </c>
      <c r="G390" s="6" t="s">
        <v>204</v>
      </c>
      <c r="H390" s="6" t="s">
        <v>68</v>
      </c>
      <c r="I390" s="6" t="s">
        <v>1390</v>
      </c>
      <c r="J390" s="6">
        <v>16687</v>
      </c>
      <c r="K390" s="7" t="s">
        <v>5043</v>
      </c>
      <c r="L390" s="8">
        <v>478684</v>
      </c>
      <c r="M390" s="8" t="str">
        <f t="shared" si="113"/>
        <v>USD</v>
      </c>
      <c r="N390" s="13">
        <v>125.85</v>
      </c>
      <c r="O390" s="13"/>
      <c r="P390" s="3">
        <f t="shared" si="114"/>
        <v>0</v>
      </c>
      <c r="Q390" s="3">
        <f t="shared" si="115"/>
        <v>0</v>
      </c>
      <c r="R390" s="3">
        <f t="shared" si="116"/>
        <v>7755.6700000000019</v>
      </c>
      <c r="S390" s="24" t="s">
        <v>1334</v>
      </c>
      <c r="T390" s="24" t="s">
        <v>1334</v>
      </c>
      <c r="U390" s="61"/>
      <c r="V390" s="3"/>
      <c r="W390" s="3"/>
      <c r="X390" s="3"/>
      <c r="Y390" s="3"/>
      <c r="Z390" s="3"/>
      <c r="AA390" s="3" t="str">
        <f>IF(BCP_Dolares[[#This Row],[fecha]]&gt;0,TEXT(BCP_Dolares[[#This Row],[fecha]],"mmmm"),0)</f>
        <v>Setiembre</v>
      </c>
    </row>
    <row r="391" spans="1:27" x14ac:dyDescent="0.3">
      <c r="A391" s="2" t="str">
        <f>IF(BCP_Dolares[[#This Row],[tipo_registro]]="R",COUNTIFS($C$1:$C390,"R")+1,"")</f>
        <v/>
      </c>
      <c r="B391" s="19" t="str">
        <f t="shared" si="112"/>
        <v>B-BCP - Dolares</v>
      </c>
      <c r="C391" s="3" t="s">
        <v>1352</v>
      </c>
      <c r="D391" s="14">
        <v>45929</v>
      </c>
      <c r="E391" s="5" t="s">
        <v>1338</v>
      </c>
      <c r="F391" s="5" t="s">
        <v>1336</v>
      </c>
      <c r="G391" s="6" t="s">
        <v>730</v>
      </c>
      <c r="H391" s="6" t="s">
        <v>68</v>
      </c>
      <c r="I391" s="6" t="s">
        <v>1374</v>
      </c>
      <c r="J391" s="6">
        <v>24</v>
      </c>
      <c r="K391" s="7" t="s">
        <v>5043</v>
      </c>
      <c r="L391" s="8">
        <v>478684</v>
      </c>
      <c r="M391" s="8" t="str">
        <f t="shared" si="113"/>
        <v>USD</v>
      </c>
      <c r="N391" s="13">
        <v>436.26</v>
      </c>
      <c r="O391" s="13"/>
      <c r="P391" s="3">
        <f t="shared" si="114"/>
        <v>0</v>
      </c>
      <c r="Q391" s="3">
        <f t="shared" si="115"/>
        <v>0</v>
      </c>
      <c r="R391" s="3">
        <f t="shared" si="116"/>
        <v>7755.6700000000019</v>
      </c>
      <c r="S391" s="24" t="s">
        <v>1334</v>
      </c>
      <c r="T391" s="24" t="s">
        <v>1334</v>
      </c>
      <c r="U391" s="61"/>
      <c r="V391" s="3"/>
      <c r="W391" s="3"/>
      <c r="X391" s="3"/>
      <c r="Y391" s="3"/>
      <c r="Z391" s="3"/>
      <c r="AA391" s="3" t="str">
        <f>IF(BCP_Dolares[[#This Row],[fecha]]&gt;0,TEXT(BCP_Dolares[[#This Row],[fecha]],"mmmm"),0)</f>
        <v>Setiembre</v>
      </c>
    </row>
    <row r="392" spans="1:27" ht="24" x14ac:dyDescent="0.3">
      <c r="A392" s="2">
        <f>IF(BCP_Dolares[[#This Row],[tipo_registro]]="R",COUNTIFS($C$1:$C391,"R")+1,"")</f>
        <v>183</v>
      </c>
      <c r="B392" s="19" t="str">
        <f t="shared" si="108"/>
        <v>B-BCP - Dolares</v>
      </c>
      <c r="C392" s="3" t="s">
        <v>1330</v>
      </c>
      <c r="D392" s="14">
        <v>45929</v>
      </c>
      <c r="E392" s="5" t="s">
        <v>1335</v>
      </c>
      <c r="F392" s="5" t="s">
        <v>1336</v>
      </c>
      <c r="G392" s="6" t="s">
        <v>1060</v>
      </c>
      <c r="H392" s="6" t="s">
        <v>68</v>
      </c>
      <c r="I392" s="6" t="s">
        <v>1397</v>
      </c>
      <c r="J392" s="6">
        <v>37465650</v>
      </c>
      <c r="K392" s="7" t="s">
        <v>5044</v>
      </c>
      <c r="L392" s="8">
        <v>478697</v>
      </c>
      <c r="M392" s="8" t="str">
        <f t="shared" si="109"/>
        <v>USD</v>
      </c>
      <c r="N392" s="13"/>
      <c r="O392" s="13">
        <v>6.32</v>
      </c>
      <c r="P392" s="3">
        <f t="shared" si="110"/>
        <v>0</v>
      </c>
      <c r="Q392" s="3">
        <f t="shared" si="111"/>
        <v>6.32</v>
      </c>
      <c r="R392" s="3">
        <f t="shared" si="116"/>
        <v>7749.3500000000022</v>
      </c>
      <c r="S392" s="24" t="s">
        <v>1334</v>
      </c>
      <c r="T392" s="24" t="s">
        <v>1334</v>
      </c>
      <c r="U392" s="61"/>
      <c r="V392" s="3"/>
      <c r="W392" s="3"/>
      <c r="X392" s="3"/>
      <c r="Y392" s="3"/>
      <c r="Z392" s="3"/>
      <c r="AA392" s="3" t="str">
        <f>IF(BCP_Dolares[[#This Row],[fecha]]&gt;0,TEXT(BCP_Dolares[[#This Row],[fecha]],"mmmm"),0)</f>
        <v>Setiembre</v>
      </c>
    </row>
    <row r="393" spans="1:27" x14ac:dyDescent="0.3">
      <c r="A393" s="2">
        <f>IF(BCP_Dolares[[#This Row],[tipo_registro]]="R",COUNTIFS($C$1:$C392,"R")+1,"")</f>
        <v>184</v>
      </c>
      <c r="B393" s="19" t="str">
        <f t="shared" si="108"/>
        <v>B-BCP - Dolares</v>
      </c>
      <c r="C393" s="3" t="s">
        <v>1330</v>
      </c>
      <c r="D393" s="14">
        <v>45929</v>
      </c>
      <c r="E393" s="5" t="s">
        <v>1335</v>
      </c>
      <c r="F393" s="5" t="s">
        <v>1336</v>
      </c>
      <c r="G393" s="6"/>
      <c r="H393" s="6"/>
      <c r="I393" s="6"/>
      <c r="J393" s="6"/>
      <c r="K393" s="7" t="s">
        <v>3160</v>
      </c>
      <c r="L393" s="8"/>
      <c r="M393" s="8" t="str">
        <f t="shared" si="109"/>
        <v>USD</v>
      </c>
      <c r="N393" s="13"/>
      <c r="O393" s="13">
        <v>0.1</v>
      </c>
      <c r="P393" s="3">
        <f t="shared" si="110"/>
        <v>0</v>
      </c>
      <c r="Q393" s="3">
        <f t="shared" si="111"/>
        <v>0.1</v>
      </c>
      <c r="R393" s="3">
        <f t="shared" si="116"/>
        <v>7749.2500000000018</v>
      </c>
      <c r="S393" s="24" t="s">
        <v>1334</v>
      </c>
      <c r="T393" s="24" t="s">
        <v>1334</v>
      </c>
      <c r="U393" s="61"/>
      <c r="V393" s="3"/>
      <c r="W393" s="3"/>
      <c r="X393" s="3"/>
      <c r="Y393" s="3"/>
      <c r="Z393" s="3"/>
      <c r="AA393" s="3" t="str">
        <f>IF(BCP_Dolares[[#This Row],[fecha]]&gt;0,TEXT(BCP_Dolares[[#This Row],[fecha]],"mmmm"),0)</f>
        <v>Setiembre</v>
      </c>
    </row>
    <row r="394" spans="1:27" x14ac:dyDescent="0.3">
      <c r="A394" s="2">
        <f>IF(BCP_Dolares[[#This Row],[tipo_registro]]="R",COUNTIFS($C$1:$C393,"R")+1,"")</f>
        <v>185</v>
      </c>
      <c r="B394" s="19" t="str">
        <f t="shared" si="108"/>
        <v>B-BCP - Dolares</v>
      </c>
      <c r="C394" s="3" t="s">
        <v>1330</v>
      </c>
      <c r="D394" s="14">
        <v>45930</v>
      </c>
      <c r="E394" s="5" t="s">
        <v>4171</v>
      </c>
      <c r="F394" s="5" t="s">
        <v>1336</v>
      </c>
      <c r="G394" s="6" t="s">
        <v>425</v>
      </c>
      <c r="H394" s="6"/>
      <c r="I394" s="6"/>
      <c r="J394" s="6"/>
      <c r="K394" s="7" t="s">
        <v>4620</v>
      </c>
      <c r="L394" s="8">
        <v>1391123</v>
      </c>
      <c r="M394" s="8" t="str">
        <f t="shared" si="109"/>
        <v>USD</v>
      </c>
      <c r="N394" s="13"/>
      <c r="O394" s="13">
        <v>7745</v>
      </c>
      <c r="P394" s="3">
        <f t="shared" si="110"/>
        <v>0</v>
      </c>
      <c r="Q394" s="3">
        <f t="shared" si="111"/>
        <v>7745</v>
      </c>
      <c r="R394" s="3">
        <f t="shared" si="116"/>
        <v>4.250000000001819</v>
      </c>
      <c r="S394" s="24" t="s">
        <v>1334</v>
      </c>
      <c r="T394" s="24" t="s">
        <v>1334</v>
      </c>
      <c r="U394" s="61"/>
      <c r="V394" s="3"/>
      <c r="W394" s="3"/>
      <c r="X394" s="3"/>
      <c r="Y394" s="3"/>
      <c r="Z394" s="3"/>
      <c r="AA394" s="3" t="str">
        <f>IF(BCP_Dolares[[#This Row],[fecha]]&gt;0,TEXT(BCP_Dolares[[#This Row],[fecha]],"mmmm"),0)</f>
        <v>Setiembre</v>
      </c>
    </row>
    <row r="395" spans="1:27" ht="24" x14ac:dyDescent="0.3">
      <c r="A395" s="2">
        <f>IF(BCP_Dolares[[#This Row],[tipo_registro]]="R",COUNTIFS($C$1:$C394,"R")+1,"")</f>
        <v>186</v>
      </c>
      <c r="B395" s="19" t="str">
        <f t="shared" ref="B395:B401" si="117">"B-BCP - Dolares"</f>
        <v>B-BCP - Dolares</v>
      </c>
      <c r="C395" s="3" t="s">
        <v>1330</v>
      </c>
      <c r="D395" s="14">
        <v>45930</v>
      </c>
      <c r="E395" s="5" t="s">
        <v>1335</v>
      </c>
      <c r="F395" s="5" t="s">
        <v>1336</v>
      </c>
      <c r="G395" s="6" t="s">
        <v>1060</v>
      </c>
      <c r="H395" s="6"/>
      <c r="I395" s="6"/>
      <c r="J395" s="6"/>
      <c r="K395" s="7" t="s">
        <v>4863</v>
      </c>
      <c r="L395" s="8">
        <v>1152322</v>
      </c>
      <c r="M395" s="8" t="str">
        <f t="shared" ref="M395:M401" si="118">"USD"</f>
        <v>USD</v>
      </c>
      <c r="N395" s="13"/>
      <c r="O395" s="13">
        <v>2</v>
      </c>
      <c r="P395" s="3">
        <f t="shared" ref="P395:P401" si="119">+IF(OR($F395="SALDO",$F395="INGRESO"),$O395,0)</f>
        <v>0</v>
      </c>
      <c r="Q395" s="3">
        <f t="shared" ref="Q395:Q401" si="120">+IF($F395="EGRESO",$O395,0)</f>
        <v>2</v>
      </c>
      <c r="R395" s="3">
        <f t="shared" si="116"/>
        <v>2.250000000001819</v>
      </c>
      <c r="S395" s="24"/>
      <c r="T395" s="24"/>
      <c r="U395" s="61"/>
      <c r="V395" s="3"/>
      <c r="W395" s="3"/>
      <c r="X395" s="3"/>
      <c r="Y395" s="3"/>
      <c r="Z395" s="3"/>
      <c r="AA395" s="3" t="str">
        <f>IF(BCP_Dolares[[#This Row],[fecha]]&gt;0,TEXT(BCP_Dolares[[#This Row],[fecha]],"mmmm"),0)</f>
        <v>Setiembre</v>
      </c>
    </row>
    <row r="396" spans="1:27" ht="24" x14ac:dyDescent="0.3">
      <c r="A396" s="2">
        <f>IF(BCP_Dolares[[#This Row],[tipo_registro]]="R",COUNTIFS($C$1:$C395,"R")+1,"")</f>
        <v>187</v>
      </c>
      <c r="B396" s="19" t="str">
        <f t="shared" si="117"/>
        <v>B-BCP - Dolares</v>
      </c>
      <c r="C396" s="3" t="s">
        <v>1330</v>
      </c>
      <c r="D396" s="14">
        <v>45930</v>
      </c>
      <c r="E396" s="5" t="s">
        <v>1335</v>
      </c>
      <c r="F396" s="5" t="s">
        <v>1336</v>
      </c>
      <c r="G396" s="6" t="s">
        <v>1060</v>
      </c>
      <c r="H396" s="6"/>
      <c r="I396" s="6"/>
      <c r="J396" s="6"/>
      <c r="K396" s="7" t="s">
        <v>4862</v>
      </c>
      <c r="L396" s="8"/>
      <c r="M396" s="8" t="str">
        <f t="shared" si="118"/>
        <v>USD</v>
      </c>
      <c r="N396" s="13"/>
      <c r="O396" s="13">
        <v>13</v>
      </c>
      <c r="P396" s="3">
        <f t="shared" si="119"/>
        <v>0</v>
      </c>
      <c r="Q396" s="3">
        <f t="shared" si="120"/>
        <v>13</v>
      </c>
      <c r="R396" s="3">
        <f t="shared" si="116"/>
        <v>-10.749999999998181</v>
      </c>
      <c r="S396" s="24"/>
      <c r="T396" s="24"/>
      <c r="U396" s="61"/>
      <c r="V396" s="3"/>
      <c r="W396" s="3"/>
      <c r="X396" s="3"/>
      <c r="Y396" s="3"/>
      <c r="Z396" s="3"/>
      <c r="AA396" s="3" t="str">
        <f>IF(BCP_Dolares[[#This Row],[fecha]]&gt;0,TEXT(BCP_Dolares[[#This Row],[fecha]],"mmmm"),0)</f>
        <v>Setiembre</v>
      </c>
    </row>
    <row r="397" spans="1:27" x14ac:dyDescent="0.3">
      <c r="A397" s="2">
        <f>IF(BCP_Dolares[[#This Row],[tipo_registro]]="R",COUNTIFS($C$1:$C396,"R")+1,"")</f>
        <v>188</v>
      </c>
      <c r="B397" s="19" t="str">
        <f t="shared" si="117"/>
        <v>B-BCP - Dolares</v>
      </c>
      <c r="C397" s="3" t="s">
        <v>1330</v>
      </c>
      <c r="D397" s="14">
        <v>45936</v>
      </c>
      <c r="E397" s="5"/>
      <c r="F397" s="5" t="s">
        <v>1303</v>
      </c>
      <c r="G397" s="6" t="s">
        <v>425</v>
      </c>
      <c r="H397" s="6"/>
      <c r="I397" s="6"/>
      <c r="J397" s="6"/>
      <c r="K397" s="7" t="s">
        <v>4310</v>
      </c>
      <c r="L397" s="8">
        <v>2245817</v>
      </c>
      <c r="M397" s="8" t="str">
        <f t="shared" si="118"/>
        <v>USD</v>
      </c>
      <c r="N397" s="13"/>
      <c r="O397" s="13">
        <v>6307</v>
      </c>
      <c r="P397" s="3">
        <f t="shared" si="119"/>
        <v>6307</v>
      </c>
      <c r="Q397" s="3">
        <f t="shared" si="120"/>
        <v>0</v>
      </c>
      <c r="R397" s="3">
        <f t="shared" si="116"/>
        <v>6296.2500000000018</v>
      </c>
      <c r="S397" s="24"/>
      <c r="T397" s="24"/>
      <c r="U397" s="61"/>
      <c r="V397" s="3"/>
      <c r="W397" s="3"/>
      <c r="X397" s="3"/>
      <c r="Y397" s="3"/>
      <c r="Z397" s="3"/>
      <c r="AA397" s="3" t="str">
        <f>IF(BCP_Dolares[[#This Row],[fecha]]&gt;0,TEXT(BCP_Dolares[[#This Row],[fecha]],"mmmm"),0)</f>
        <v>Octubre</v>
      </c>
    </row>
    <row r="398" spans="1:27" x14ac:dyDescent="0.3">
      <c r="A398" s="2">
        <f>IF(BCP_Dolares[[#This Row],[tipo_registro]]="R",COUNTIFS($C$1:$C397,"R")+1,"")</f>
        <v>189</v>
      </c>
      <c r="B398" s="19" t="str">
        <f t="shared" si="117"/>
        <v>B-BCP - Dolares</v>
      </c>
      <c r="C398" s="3" t="s">
        <v>1330</v>
      </c>
      <c r="D398" s="14">
        <v>45936</v>
      </c>
      <c r="E398" s="5"/>
      <c r="F398" s="5" t="s">
        <v>1336</v>
      </c>
      <c r="G398" s="6"/>
      <c r="H398" s="6"/>
      <c r="I398" s="6"/>
      <c r="J398" s="6"/>
      <c r="K398" s="7" t="s">
        <v>3160</v>
      </c>
      <c r="L398" s="8"/>
      <c r="M398" s="8" t="str">
        <f t="shared" si="118"/>
        <v>USD</v>
      </c>
      <c r="N398" s="13"/>
      <c r="O398" s="13">
        <v>0.3</v>
      </c>
      <c r="P398" s="3">
        <f t="shared" si="119"/>
        <v>0</v>
      </c>
      <c r="Q398" s="3">
        <f t="shared" si="120"/>
        <v>0.3</v>
      </c>
      <c r="R398" s="3">
        <f t="shared" si="116"/>
        <v>6295.9500000000016</v>
      </c>
      <c r="S398" s="24"/>
      <c r="T398" s="24"/>
      <c r="U398" s="61"/>
      <c r="V398" s="3"/>
      <c r="W398" s="3"/>
      <c r="X398" s="3"/>
      <c r="Y398" s="3"/>
      <c r="Z398" s="3"/>
      <c r="AA398" s="3" t="str">
        <f>IF(BCP_Dolares[[#This Row],[fecha]]&gt;0,TEXT(BCP_Dolares[[#This Row],[fecha]],"mmmm"),0)</f>
        <v>Octubre</v>
      </c>
    </row>
    <row r="399" spans="1:27" x14ac:dyDescent="0.3">
      <c r="A399" s="2">
        <f>IF(BCP_Dolares[[#This Row],[tipo_registro]]="R",COUNTIFS($C$1:$C398,"R")+1,"")</f>
        <v>190</v>
      </c>
      <c r="B399" s="19" t="str">
        <f>"B-BCP - Dolares"</f>
        <v>B-BCP - Dolares</v>
      </c>
      <c r="C399" s="3" t="s">
        <v>1330</v>
      </c>
      <c r="D399" s="14">
        <v>45937</v>
      </c>
      <c r="E399" s="5"/>
      <c r="F399" s="5" t="s">
        <v>1303</v>
      </c>
      <c r="G399" s="6" t="s">
        <v>425</v>
      </c>
      <c r="H399" s="6"/>
      <c r="I399" s="6"/>
      <c r="J399" s="6"/>
      <c r="K399" s="7" t="s">
        <v>4310</v>
      </c>
      <c r="L399" s="8">
        <v>2214274</v>
      </c>
      <c r="M399" s="8" t="str">
        <f>"USD"</f>
        <v>USD</v>
      </c>
      <c r="N399" s="13"/>
      <c r="O399" s="13">
        <v>701.7</v>
      </c>
      <c r="P399" s="3">
        <f>+IF(OR($F399="SALDO",$F399="INGRESO"),$O399,0)</f>
        <v>701.7</v>
      </c>
      <c r="Q399" s="3">
        <f>+IF($F399="EGRESO",$O399,0)</f>
        <v>0</v>
      </c>
      <c r="R399" s="3">
        <f t="shared" si="116"/>
        <v>6997.6500000000015</v>
      </c>
      <c r="S399" s="24"/>
      <c r="T399" s="24"/>
      <c r="U399" s="61"/>
      <c r="V399" s="3"/>
      <c r="W399" s="3"/>
      <c r="X399" s="3"/>
      <c r="Y399" s="3"/>
      <c r="Z399" s="3"/>
      <c r="AA399" s="3" t="str">
        <f>IF(BCP_Dolares[[#This Row],[fecha]]&gt;0,TEXT(BCP_Dolares[[#This Row],[fecha]],"mmmm"),0)</f>
        <v>Octubre</v>
      </c>
    </row>
    <row r="400" spans="1:27" x14ac:dyDescent="0.3">
      <c r="A400" s="2">
        <f>IF(BCP_Dolares[[#This Row],[tipo_registro]]="R",COUNTIFS($C$1:$C399,"R")+1,"")</f>
        <v>191</v>
      </c>
      <c r="B400" s="19" t="str">
        <f t="shared" si="117"/>
        <v>B-BCP - Dolares</v>
      </c>
      <c r="C400" s="3" t="s">
        <v>1330</v>
      </c>
      <c r="D400" s="14">
        <v>45937</v>
      </c>
      <c r="E400" s="5" t="s">
        <v>1338</v>
      </c>
      <c r="F400" s="5" t="s">
        <v>1336</v>
      </c>
      <c r="G400" s="6" t="s">
        <v>425</v>
      </c>
      <c r="H400" s="6"/>
      <c r="I400" s="6"/>
      <c r="J400" s="6"/>
      <c r="K400" s="7" t="s">
        <v>4684</v>
      </c>
      <c r="L400" s="8">
        <v>1115626</v>
      </c>
      <c r="M400" s="8" t="str">
        <f t="shared" si="118"/>
        <v>USD</v>
      </c>
      <c r="N400" s="13"/>
      <c r="O400" s="13">
        <v>5000</v>
      </c>
      <c r="P400" s="3">
        <f t="shared" si="119"/>
        <v>0</v>
      </c>
      <c r="Q400" s="3">
        <f t="shared" si="120"/>
        <v>5000</v>
      </c>
      <c r="R400" s="3">
        <f t="shared" si="116"/>
        <v>1997.6500000000015</v>
      </c>
      <c r="S400" s="24" t="s">
        <v>1334</v>
      </c>
      <c r="T400" s="24" t="s">
        <v>1334</v>
      </c>
      <c r="U400" s="61"/>
      <c r="V400" s="3"/>
      <c r="W400" s="3"/>
      <c r="X400" s="3"/>
      <c r="Y400" s="3"/>
      <c r="Z400" s="3"/>
      <c r="AA400" s="3" t="str">
        <f>IF(BCP_Dolares[[#This Row],[fecha]]&gt;0,TEXT(BCP_Dolares[[#This Row],[fecha]],"mmmm"),0)</f>
        <v>Octubre</v>
      </c>
    </row>
    <row r="401" spans="1:27" ht="36" x14ac:dyDescent="0.3">
      <c r="A401" s="2">
        <f>IF(BCP_Dolares[[#This Row],[tipo_registro]]="R",COUNTIFS($C$1:$C400,"R")+1,"")</f>
        <v>192</v>
      </c>
      <c r="B401" s="19" t="str">
        <f t="shared" si="117"/>
        <v>B-BCP - Dolares</v>
      </c>
      <c r="C401" s="3" t="s">
        <v>1330</v>
      </c>
      <c r="D401" s="14">
        <v>45937</v>
      </c>
      <c r="E401" s="5" t="s">
        <v>1338</v>
      </c>
      <c r="F401" s="5" t="s">
        <v>1336</v>
      </c>
      <c r="G401" s="6" t="s">
        <v>702</v>
      </c>
      <c r="H401" s="6" t="s">
        <v>68</v>
      </c>
      <c r="I401" s="6" t="s">
        <v>1463</v>
      </c>
      <c r="J401" s="6">
        <v>490613</v>
      </c>
      <c r="K401" s="7" t="s">
        <v>5045</v>
      </c>
      <c r="L401" s="8">
        <v>115196</v>
      </c>
      <c r="M401" s="8" t="str">
        <f t="shared" si="118"/>
        <v>USD</v>
      </c>
      <c r="N401" s="13"/>
      <c r="O401" s="13">
        <v>102.22</v>
      </c>
      <c r="P401" s="3">
        <f t="shared" si="119"/>
        <v>0</v>
      </c>
      <c r="Q401" s="3">
        <f t="shared" si="120"/>
        <v>102.22</v>
      </c>
      <c r="R401" s="3">
        <f t="shared" si="116"/>
        <v>1895.4300000000014</v>
      </c>
      <c r="S401" s="24" t="s">
        <v>1334</v>
      </c>
      <c r="T401" s="24" t="s">
        <v>1334</v>
      </c>
      <c r="U401" s="61"/>
      <c r="V401" s="3"/>
      <c r="W401" s="3"/>
      <c r="X401" s="3"/>
      <c r="Y401" s="3"/>
      <c r="Z401" s="3"/>
      <c r="AA401" s="3" t="str">
        <f>IF(BCP_Dolares[[#This Row],[fecha]]&gt;0,TEXT(BCP_Dolares[[#This Row],[fecha]],"mmmm"),0)</f>
        <v>Octubre</v>
      </c>
    </row>
    <row r="402" spans="1:27" x14ac:dyDescent="0.3">
      <c r="A402" s="2">
        <f>IF(BCP_Dolares[[#This Row],[tipo_registro]]="R",COUNTIFS($C$1:$C401,"R")+1,"")</f>
        <v>193</v>
      </c>
      <c r="B402" s="19" t="str">
        <f t="shared" ref="B402:B409" si="121">"B-BCP - Dolares"</f>
        <v>B-BCP - Dolares</v>
      </c>
      <c r="C402" s="3" t="s">
        <v>1330</v>
      </c>
      <c r="D402" s="14">
        <v>45940</v>
      </c>
      <c r="E402" s="158" t="s">
        <v>1338</v>
      </c>
      <c r="F402" s="158" t="s">
        <v>1336</v>
      </c>
      <c r="G402" s="186" t="s">
        <v>425</v>
      </c>
      <c r="H402" s="6"/>
      <c r="I402" s="6"/>
      <c r="J402" s="6"/>
      <c r="K402" s="194" t="s">
        <v>5046</v>
      </c>
      <c r="L402" s="8">
        <v>1002774</v>
      </c>
      <c r="M402" s="8" t="str">
        <f t="shared" ref="M402:M409" si="122">"USD"</f>
        <v>USD</v>
      </c>
      <c r="N402" s="13"/>
      <c r="O402" s="195">
        <v>1200</v>
      </c>
      <c r="P402" s="3">
        <f t="shared" ref="P402:P409" si="123">+IF(OR($F402="SALDO",$F402="INGRESO"),$O402,0)</f>
        <v>0</v>
      </c>
      <c r="Q402" s="3">
        <f t="shared" ref="Q402:Q409" si="124">+IF($F402="EGRESO",$O402,0)</f>
        <v>1200</v>
      </c>
      <c r="R402" s="3">
        <f t="shared" si="116"/>
        <v>695.43000000000143</v>
      </c>
      <c r="S402" s="24"/>
      <c r="T402" s="24"/>
      <c r="U402" s="61"/>
      <c r="V402" s="3"/>
      <c r="W402" s="3"/>
      <c r="X402" s="3"/>
      <c r="Y402" s="3"/>
      <c r="Z402" s="3"/>
      <c r="AA402" s="3" t="str">
        <f>IF(BCP_Dolares[[#This Row],[fecha]]&gt;0,TEXT(BCP_Dolares[[#This Row],[fecha]],"mmmm"),0)</f>
        <v>Octubre</v>
      </c>
    </row>
    <row r="403" spans="1:27" x14ac:dyDescent="0.3">
      <c r="A403" s="2">
        <f>IF(BCP_Dolares[[#This Row],[tipo_registro]]="R",COUNTIFS($C$1:$C402,"R")+1,"")</f>
        <v>194</v>
      </c>
      <c r="B403" s="19" t="str">
        <f t="shared" si="121"/>
        <v>B-BCP - Dolares</v>
      </c>
      <c r="C403" s="3" t="s">
        <v>1330</v>
      </c>
      <c r="D403" s="14">
        <v>45940</v>
      </c>
      <c r="E403" s="190" t="s">
        <v>1338</v>
      </c>
      <c r="F403" s="190" t="s">
        <v>1336</v>
      </c>
      <c r="G403" s="191" t="s">
        <v>204</v>
      </c>
      <c r="H403" s="191"/>
      <c r="I403" s="191"/>
      <c r="J403" s="191"/>
      <c r="K403" s="106" t="s">
        <v>5047</v>
      </c>
      <c r="L403" s="8">
        <v>5282913</v>
      </c>
      <c r="M403" s="8" t="str">
        <f t="shared" si="122"/>
        <v>USD</v>
      </c>
      <c r="N403" s="13"/>
      <c r="O403" s="193">
        <v>452.55</v>
      </c>
      <c r="P403" s="3">
        <f t="shared" si="123"/>
        <v>0</v>
      </c>
      <c r="Q403" s="3">
        <f t="shared" si="124"/>
        <v>452.55</v>
      </c>
      <c r="R403" s="3">
        <f t="shared" si="116"/>
        <v>242.88000000000142</v>
      </c>
      <c r="S403" s="24" t="s">
        <v>1334</v>
      </c>
      <c r="T403" s="24" t="s">
        <v>1334</v>
      </c>
      <c r="U403" s="61"/>
      <c r="V403" s="3"/>
      <c r="W403" s="3"/>
      <c r="X403" s="3"/>
      <c r="Y403" s="3"/>
      <c r="Z403" s="3"/>
      <c r="AA403" s="3" t="str">
        <f>IF(BCP_Dolares[[#This Row],[fecha]]&gt;0,TEXT(BCP_Dolares[[#This Row],[fecha]],"mmmm"),0)</f>
        <v>Octubre</v>
      </c>
    </row>
    <row r="404" spans="1:27" ht="24" x14ac:dyDescent="0.3">
      <c r="A404" s="2" t="str">
        <f>IF(BCP_Dolares[[#This Row],[tipo_registro]]="R",COUNTIFS($C$1:$C403,"R")+1,"")</f>
        <v/>
      </c>
      <c r="B404" s="19" t="str">
        <f t="shared" si="121"/>
        <v>B-BCP - Dolares</v>
      </c>
      <c r="C404" s="3" t="s">
        <v>1352</v>
      </c>
      <c r="D404" s="14">
        <v>45940</v>
      </c>
      <c r="E404" s="190" t="s">
        <v>1338</v>
      </c>
      <c r="F404" s="190" t="s">
        <v>1336</v>
      </c>
      <c r="G404" s="191" t="s">
        <v>204</v>
      </c>
      <c r="H404" s="6" t="s">
        <v>68</v>
      </c>
      <c r="I404" s="6" t="s">
        <v>1390</v>
      </c>
      <c r="J404" s="6">
        <v>16771</v>
      </c>
      <c r="K404" s="106" t="s">
        <v>5047</v>
      </c>
      <c r="L404" s="8">
        <v>5282913</v>
      </c>
      <c r="M404" s="8" t="str">
        <f t="shared" si="122"/>
        <v>USD</v>
      </c>
      <c r="N404" s="13">
        <v>68.58</v>
      </c>
      <c r="O404" s="9"/>
      <c r="P404" s="3">
        <f t="shared" si="123"/>
        <v>0</v>
      </c>
      <c r="Q404" s="3">
        <f t="shared" si="124"/>
        <v>0</v>
      </c>
      <c r="R404" s="3">
        <f t="shared" si="116"/>
        <v>242.88000000000142</v>
      </c>
      <c r="S404" s="24" t="s">
        <v>1334</v>
      </c>
      <c r="T404" s="24" t="s">
        <v>1334</v>
      </c>
      <c r="U404" s="61"/>
      <c r="V404" s="3"/>
      <c r="W404" s="3"/>
      <c r="X404" s="3"/>
      <c r="Y404" s="3"/>
      <c r="Z404" s="3"/>
      <c r="AA404" s="3" t="str">
        <f>IF(BCP_Dolares[[#This Row],[fecha]]&gt;0,TEXT(BCP_Dolares[[#This Row],[fecha]],"mmmm"),0)</f>
        <v>Octubre</v>
      </c>
    </row>
    <row r="405" spans="1:27" ht="24" x14ac:dyDescent="0.3">
      <c r="A405" s="2" t="str">
        <f>IF(BCP_Dolares[[#This Row],[tipo_registro]]="R",COUNTIFS($C$1:$C404,"R")+1,"")</f>
        <v/>
      </c>
      <c r="B405" s="19" t="str">
        <f t="shared" si="121"/>
        <v>B-BCP - Dolares</v>
      </c>
      <c r="C405" s="3" t="s">
        <v>1352</v>
      </c>
      <c r="D405" s="14">
        <v>45940</v>
      </c>
      <c r="E405" s="190" t="s">
        <v>1338</v>
      </c>
      <c r="F405" s="190" t="s">
        <v>1336</v>
      </c>
      <c r="G405" s="191" t="s">
        <v>204</v>
      </c>
      <c r="H405" s="6" t="s">
        <v>68</v>
      </c>
      <c r="I405" s="6" t="s">
        <v>1390</v>
      </c>
      <c r="J405" s="6">
        <v>16809</v>
      </c>
      <c r="K405" s="106" t="s">
        <v>5047</v>
      </c>
      <c r="L405" s="8">
        <v>5282913</v>
      </c>
      <c r="M405" s="8" t="str">
        <f t="shared" si="122"/>
        <v>USD</v>
      </c>
      <c r="N405" s="13">
        <v>68.739999999999995</v>
      </c>
      <c r="O405" s="9"/>
      <c r="P405" s="3">
        <f t="shared" si="123"/>
        <v>0</v>
      </c>
      <c r="Q405" s="3">
        <f t="shared" si="124"/>
        <v>0</v>
      </c>
      <c r="R405" s="3">
        <f t="shared" si="116"/>
        <v>242.88000000000142</v>
      </c>
      <c r="S405" s="24" t="s">
        <v>1334</v>
      </c>
      <c r="T405" s="24" t="s">
        <v>1334</v>
      </c>
      <c r="U405" s="61"/>
      <c r="V405" s="3"/>
      <c r="W405" s="3"/>
      <c r="X405" s="3"/>
      <c r="Y405" s="3"/>
      <c r="Z405" s="3"/>
      <c r="AA405" s="3" t="str">
        <f>IF(BCP_Dolares[[#This Row],[fecha]]&gt;0,TEXT(BCP_Dolares[[#This Row],[fecha]],"mmmm"),0)</f>
        <v>Octubre</v>
      </c>
    </row>
    <row r="406" spans="1:27" ht="24" x14ac:dyDescent="0.3">
      <c r="A406" s="2" t="str">
        <f>IF(BCP_Dolares[[#This Row],[tipo_registro]]="R",COUNTIFS($C$1:$C405,"R")+1,"")</f>
        <v/>
      </c>
      <c r="B406" s="19" t="str">
        <f t="shared" si="121"/>
        <v>B-BCP - Dolares</v>
      </c>
      <c r="C406" s="3" t="s">
        <v>1352</v>
      </c>
      <c r="D406" s="14">
        <v>45940</v>
      </c>
      <c r="E406" s="190" t="s">
        <v>1338</v>
      </c>
      <c r="F406" s="190" t="s">
        <v>1336</v>
      </c>
      <c r="G406" s="191" t="s">
        <v>204</v>
      </c>
      <c r="H406" s="6" t="s">
        <v>68</v>
      </c>
      <c r="I406" s="6" t="s">
        <v>1390</v>
      </c>
      <c r="J406" s="6">
        <v>16763</v>
      </c>
      <c r="K406" s="106" t="s">
        <v>5047</v>
      </c>
      <c r="L406" s="8">
        <v>5282913</v>
      </c>
      <c r="M406" s="8" t="str">
        <f t="shared" si="122"/>
        <v>USD</v>
      </c>
      <c r="N406" s="13">
        <v>51.14</v>
      </c>
      <c r="O406" s="9"/>
      <c r="P406" s="3">
        <f t="shared" si="123"/>
        <v>0</v>
      </c>
      <c r="Q406" s="3">
        <f t="shared" si="124"/>
        <v>0</v>
      </c>
      <c r="R406" s="3">
        <f t="shared" si="116"/>
        <v>242.88000000000142</v>
      </c>
      <c r="S406" s="24" t="s">
        <v>1334</v>
      </c>
      <c r="T406" s="24" t="s">
        <v>1334</v>
      </c>
      <c r="U406" s="61"/>
      <c r="V406" s="3"/>
      <c r="W406" s="3"/>
      <c r="X406" s="3"/>
      <c r="Y406" s="3"/>
      <c r="Z406" s="3"/>
      <c r="AA406" s="3" t="str">
        <f>IF(BCP_Dolares[[#This Row],[fecha]]&gt;0,TEXT(BCP_Dolares[[#This Row],[fecha]],"mmmm"),0)</f>
        <v>Octubre</v>
      </c>
    </row>
    <row r="407" spans="1:27" ht="24" x14ac:dyDescent="0.3">
      <c r="A407" s="2" t="str">
        <f>IF(BCP_Dolares[[#This Row],[tipo_registro]]="R",COUNTIFS($C$1:$C406,"R")+1,"")</f>
        <v/>
      </c>
      <c r="B407" s="19" t="str">
        <f t="shared" si="121"/>
        <v>B-BCP - Dolares</v>
      </c>
      <c r="C407" s="3" t="s">
        <v>1352</v>
      </c>
      <c r="D407" s="14">
        <v>45940</v>
      </c>
      <c r="E407" s="190" t="s">
        <v>1338</v>
      </c>
      <c r="F407" s="190" t="s">
        <v>1336</v>
      </c>
      <c r="G407" s="191" t="s">
        <v>204</v>
      </c>
      <c r="H407" s="6" t="s">
        <v>68</v>
      </c>
      <c r="I407" s="6" t="s">
        <v>1390</v>
      </c>
      <c r="J407" s="6">
        <v>16781</v>
      </c>
      <c r="K407" s="106" t="s">
        <v>5047</v>
      </c>
      <c r="L407" s="8">
        <v>5282913</v>
      </c>
      <c r="M407" s="8" t="str">
        <f t="shared" si="122"/>
        <v>USD</v>
      </c>
      <c r="N407" s="13">
        <v>85.96</v>
      </c>
      <c r="O407" s="9"/>
      <c r="P407" s="3">
        <f t="shared" si="123"/>
        <v>0</v>
      </c>
      <c r="Q407" s="3">
        <f t="shared" si="124"/>
        <v>0</v>
      </c>
      <c r="R407" s="3">
        <f t="shared" si="116"/>
        <v>242.88000000000142</v>
      </c>
      <c r="S407" s="24" t="s">
        <v>1334</v>
      </c>
      <c r="T407" s="24" t="s">
        <v>1334</v>
      </c>
      <c r="U407" s="61"/>
      <c r="V407" s="3"/>
      <c r="W407" s="3"/>
      <c r="X407" s="3"/>
      <c r="Y407" s="3"/>
      <c r="Z407" s="3"/>
      <c r="AA407" s="3" t="str">
        <f>IF(BCP_Dolares[[#This Row],[fecha]]&gt;0,TEXT(BCP_Dolares[[#This Row],[fecha]],"mmmm"),0)</f>
        <v>Octubre</v>
      </c>
    </row>
    <row r="408" spans="1:27" ht="24" x14ac:dyDescent="0.3">
      <c r="A408" s="2" t="str">
        <f>IF(BCP_Dolares[[#This Row],[tipo_registro]]="R",COUNTIFS($C$1:$C407,"R")+1,"")</f>
        <v/>
      </c>
      <c r="B408" s="19" t="str">
        <f t="shared" si="121"/>
        <v>B-BCP - Dolares</v>
      </c>
      <c r="C408" s="3" t="s">
        <v>1352</v>
      </c>
      <c r="D408" s="14">
        <v>45940</v>
      </c>
      <c r="E408" s="190" t="s">
        <v>1338</v>
      </c>
      <c r="F408" s="190" t="s">
        <v>1336</v>
      </c>
      <c r="G408" s="191" t="s">
        <v>204</v>
      </c>
      <c r="H408" s="6" t="s">
        <v>68</v>
      </c>
      <c r="I408" s="6" t="s">
        <v>1390</v>
      </c>
      <c r="J408" s="6">
        <v>16786</v>
      </c>
      <c r="K408" s="106" t="s">
        <v>5047</v>
      </c>
      <c r="L408" s="8">
        <v>5282913</v>
      </c>
      <c r="M408" s="8" t="str">
        <f t="shared" si="122"/>
        <v>USD</v>
      </c>
      <c r="N408" s="13">
        <v>56.66</v>
      </c>
      <c r="O408" s="9"/>
      <c r="P408" s="3">
        <f t="shared" si="123"/>
        <v>0</v>
      </c>
      <c r="Q408" s="3">
        <f t="shared" si="124"/>
        <v>0</v>
      </c>
      <c r="R408" s="3">
        <f t="shared" si="116"/>
        <v>242.88000000000142</v>
      </c>
      <c r="S408" s="24" t="s">
        <v>1334</v>
      </c>
      <c r="T408" s="24" t="s">
        <v>1334</v>
      </c>
      <c r="U408" s="61"/>
      <c r="V408" s="3"/>
      <c r="W408" s="3"/>
      <c r="X408" s="3"/>
      <c r="Y408" s="3"/>
      <c r="Z408" s="3"/>
      <c r="AA408" s="3" t="str">
        <f>IF(BCP_Dolares[[#This Row],[fecha]]&gt;0,TEXT(BCP_Dolares[[#This Row],[fecha]],"mmmm"),0)</f>
        <v>Octubre</v>
      </c>
    </row>
    <row r="409" spans="1:27" ht="24" x14ac:dyDescent="0.3">
      <c r="A409" s="2" t="str">
        <f>IF(BCP_Dolares[[#This Row],[tipo_registro]]="R",COUNTIFS($C$1:$C408,"R")+1,"")</f>
        <v/>
      </c>
      <c r="B409" s="19" t="str">
        <f t="shared" si="121"/>
        <v>B-BCP - Dolares</v>
      </c>
      <c r="C409" s="3" t="s">
        <v>1352</v>
      </c>
      <c r="D409" s="14">
        <v>45940</v>
      </c>
      <c r="E409" s="190" t="s">
        <v>1338</v>
      </c>
      <c r="F409" s="190" t="s">
        <v>1336</v>
      </c>
      <c r="G409" s="191" t="s">
        <v>204</v>
      </c>
      <c r="H409" s="6" t="s">
        <v>68</v>
      </c>
      <c r="I409" s="6" t="s">
        <v>1390</v>
      </c>
      <c r="J409" s="6">
        <v>16797</v>
      </c>
      <c r="K409" s="106" t="s">
        <v>5047</v>
      </c>
      <c r="L409" s="8">
        <v>5282913</v>
      </c>
      <c r="M409" s="8" t="str">
        <f t="shared" si="122"/>
        <v>USD</v>
      </c>
      <c r="N409" s="13">
        <v>121.47</v>
      </c>
      <c r="O409" s="13"/>
      <c r="P409" s="3">
        <f t="shared" si="123"/>
        <v>0</v>
      </c>
      <c r="Q409" s="3">
        <f t="shared" si="124"/>
        <v>0</v>
      </c>
      <c r="R409" s="3">
        <f t="shared" si="116"/>
        <v>242.88000000000142</v>
      </c>
      <c r="S409" s="28" t="s">
        <v>1334</v>
      </c>
      <c r="T409" s="28" t="s">
        <v>1334</v>
      </c>
      <c r="U409" s="61"/>
      <c r="V409" s="3"/>
      <c r="W409" s="3"/>
      <c r="X409" s="3"/>
      <c r="Y409" s="3"/>
      <c r="Z409" s="3"/>
      <c r="AA409" s="3" t="str">
        <f>IF(BCP_Dolares[[#This Row],[fecha]]&gt;0,TEXT(BCP_Dolares[[#This Row],[fecha]],"mmmm"),0)</f>
        <v>Octubre</v>
      </c>
    </row>
    <row r="410" spans="1:27" ht="24" x14ac:dyDescent="0.3">
      <c r="A410" s="2">
        <f>IF(BCP_Dolares[[#This Row],[tipo_registro]]="R",COUNTIFS($C$1:$C409,"R")+1,"")</f>
        <v>195</v>
      </c>
      <c r="B410" s="19" t="str">
        <f t="shared" ref="B410:B416" si="125">"B-BCP - Dolares"</f>
        <v>B-BCP - Dolares</v>
      </c>
      <c r="C410" s="3" t="s">
        <v>1330</v>
      </c>
      <c r="D410" s="14">
        <v>45945</v>
      </c>
      <c r="E410" s="5" t="s">
        <v>1338</v>
      </c>
      <c r="F410" s="5" t="s">
        <v>1336</v>
      </c>
      <c r="G410" s="6" t="s">
        <v>742</v>
      </c>
      <c r="H410" s="6"/>
      <c r="I410" s="6"/>
      <c r="J410" s="6"/>
      <c r="K410" s="7" t="s">
        <v>5048</v>
      </c>
      <c r="L410" s="8"/>
      <c r="M410" s="8" t="str">
        <f t="shared" ref="M410:M416" si="126">"USD"</f>
        <v>USD</v>
      </c>
      <c r="N410" s="13"/>
      <c r="O410" s="13">
        <v>195.19</v>
      </c>
      <c r="P410" s="3">
        <f t="shared" ref="P410:P416" si="127">+IF(OR($F410="SALDO",$F410="INGRESO"),$O410,0)</f>
        <v>0</v>
      </c>
      <c r="Q410" s="3">
        <f t="shared" ref="Q410:Q416" si="128">+IF($F410="EGRESO",$O410,0)</f>
        <v>195.19</v>
      </c>
      <c r="R410" s="3">
        <f t="shared" si="116"/>
        <v>47.690000000001419</v>
      </c>
      <c r="S410" s="24"/>
      <c r="T410" s="24"/>
      <c r="U410" s="61"/>
      <c r="V410" s="3"/>
      <c r="W410" s="3"/>
      <c r="X410" s="3"/>
      <c r="Y410" s="3"/>
      <c r="Z410" s="3"/>
      <c r="AA410" s="3" t="str">
        <f>IF(BCP_Dolares[[#This Row],[fecha]]&gt;0,TEXT(BCP_Dolares[[#This Row],[fecha]],"mmmm"),0)</f>
        <v>Octubre</v>
      </c>
    </row>
    <row r="411" spans="1:27" x14ac:dyDescent="0.3">
      <c r="A411" s="2">
        <f>IF(BCP_Dolares[[#This Row],[tipo_registro]]="R",COUNTIFS($C$1:$C410,"R")+1,"")</f>
        <v>196</v>
      </c>
      <c r="B411" s="19" t="str">
        <f t="shared" si="125"/>
        <v>B-BCP - Dolares</v>
      </c>
      <c r="C411" s="3" t="s">
        <v>1330</v>
      </c>
      <c r="D411" s="14">
        <v>45946</v>
      </c>
      <c r="E411" s="5"/>
      <c r="F411" s="5" t="s">
        <v>1303</v>
      </c>
      <c r="G411" s="6" t="s">
        <v>425</v>
      </c>
      <c r="H411" s="6"/>
      <c r="I411" s="6"/>
      <c r="J411" s="6"/>
      <c r="K411" s="7" t="s">
        <v>5049</v>
      </c>
      <c r="L411" s="8">
        <v>2502981</v>
      </c>
      <c r="M411" s="8" t="str">
        <f t="shared" si="126"/>
        <v>USD</v>
      </c>
      <c r="N411" s="13"/>
      <c r="O411" s="13">
        <v>3257.2</v>
      </c>
      <c r="P411" s="3">
        <f t="shared" si="127"/>
        <v>3257.2</v>
      </c>
      <c r="Q411" s="3">
        <f t="shared" si="128"/>
        <v>0</v>
      </c>
      <c r="R411" s="3">
        <f t="shared" si="116"/>
        <v>3304.8900000000012</v>
      </c>
      <c r="S411" s="24"/>
      <c r="T411" s="24"/>
      <c r="U411" s="61"/>
      <c r="V411" s="3"/>
      <c r="W411" s="3"/>
      <c r="X411" s="3"/>
      <c r="Y411" s="3"/>
      <c r="Z411" s="3"/>
      <c r="AA411" s="3" t="str">
        <f>IF(BCP_Dolares[[#This Row],[fecha]]&gt;0,TEXT(BCP_Dolares[[#This Row],[fecha]],"mmmm"),0)</f>
        <v>Octubre</v>
      </c>
    </row>
    <row r="412" spans="1:27" x14ac:dyDescent="0.3">
      <c r="A412" s="2">
        <f>IF(BCP_Dolares[[#This Row],[tipo_registro]]="R",COUNTIFS($C$1:$C411,"R")+1,"")</f>
        <v>197</v>
      </c>
      <c r="B412" s="19" t="str">
        <f t="shared" si="125"/>
        <v>B-BCP - Dolares</v>
      </c>
      <c r="C412" s="3" t="s">
        <v>1330</v>
      </c>
      <c r="D412" s="14">
        <v>45946</v>
      </c>
      <c r="E412" s="5"/>
      <c r="F412" s="5" t="s">
        <v>1336</v>
      </c>
      <c r="G412" s="6"/>
      <c r="H412" s="6"/>
      <c r="I412" s="6"/>
      <c r="J412" s="6"/>
      <c r="K412" s="7" t="s">
        <v>3160</v>
      </c>
      <c r="L412" s="8"/>
      <c r="M412" s="8" t="str">
        <f t="shared" si="126"/>
        <v>USD</v>
      </c>
      <c r="N412" s="13"/>
      <c r="O412" s="13">
        <v>0.15</v>
      </c>
      <c r="P412" s="3">
        <f t="shared" si="127"/>
        <v>0</v>
      </c>
      <c r="Q412" s="3">
        <f t="shared" si="128"/>
        <v>0.15</v>
      </c>
      <c r="R412" s="3">
        <f t="shared" si="116"/>
        <v>3304.7400000000011</v>
      </c>
      <c r="S412" s="24"/>
      <c r="T412" s="24"/>
      <c r="U412" s="61"/>
      <c r="V412" s="3"/>
      <c r="W412" s="3"/>
      <c r="X412" s="3"/>
      <c r="Y412" s="3"/>
      <c r="Z412" s="3"/>
      <c r="AA412" s="3" t="str">
        <f>IF(BCP_Dolares[[#This Row],[fecha]]&gt;0,TEXT(BCP_Dolares[[#This Row],[fecha]],"mmmm"),0)</f>
        <v>Octubre</v>
      </c>
    </row>
    <row r="413" spans="1:27" ht="24" x14ac:dyDescent="0.3">
      <c r="A413" s="2">
        <f>IF(BCP_Dolares[[#This Row],[tipo_registro]]="R",COUNTIFS($C$1:$C412,"R")+1,"")</f>
        <v>198</v>
      </c>
      <c r="B413" s="19" t="str">
        <f t="shared" si="125"/>
        <v>B-BCP - Dolares</v>
      </c>
      <c r="C413" s="3" t="s">
        <v>1330</v>
      </c>
      <c r="D413" s="14">
        <v>45947</v>
      </c>
      <c r="E413" s="5" t="s">
        <v>1338</v>
      </c>
      <c r="F413" s="5" t="s">
        <v>1336</v>
      </c>
      <c r="G413" s="6" t="s">
        <v>778</v>
      </c>
      <c r="H413" s="6" t="s">
        <v>68</v>
      </c>
      <c r="I413" s="6" t="s">
        <v>3078</v>
      </c>
      <c r="J413" s="6">
        <v>183757</v>
      </c>
      <c r="K413" s="7" t="s">
        <v>5050</v>
      </c>
      <c r="L413" s="8">
        <v>290368</v>
      </c>
      <c r="M413" s="8" t="str">
        <f t="shared" si="126"/>
        <v>USD</v>
      </c>
      <c r="N413" s="13"/>
      <c r="O413" s="13">
        <v>1051.28</v>
      </c>
      <c r="P413" s="3">
        <f t="shared" si="127"/>
        <v>0</v>
      </c>
      <c r="Q413" s="3">
        <f t="shared" si="128"/>
        <v>1051.28</v>
      </c>
      <c r="R413" s="3">
        <f t="shared" si="116"/>
        <v>2253.4600000000009</v>
      </c>
      <c r="S413" s="24" t="s">
        <v>1334</v>
      </c>
      <c r="T413" s="24"/>
      <c r="U413" s="61"/>
      <c r="V413" s="3"/>
      <c r="W413" s="3"/>
      <c r="X413" s="3"/>
      <c r="Y413" s="3"/>
      <c r="Z413" s="3"/>
      <c r="AA413" s="3" t="str">
        <f>IF(BCP_Dolares[[#This Row],[fecha]]&gt;0,TEXT(BCP_Dolares[[#This Row],[fecha]],"mmmm"),0)</f>
        <v>Octubre</v>
      </c>
    </row>
    <row r="414" spans="1:27" x14ac:dyDescent="0.3">
      <c r="A414" s="2">
        <f>IF(BCP_Dolares[[#This Row],[tipo_registro]]="R",COUNTIFS($C$1:$C413,"R")+1,"")</f>
        <v>199</v>
      </c>
      <c r="B414" s="19" t="str">
        <f t="shared" si="125"/>
        <v>B-BCP - Dolares</v>
      </c>
      <c r="C414" s="3" t="s">
        <v>1330</v>
      </c>
      <c r="D414" s="14">
        <v>45947</v>
      </c>
      <c r="E414" s="5"/>
      <c r="F414" s="5" t="s">
        <v>1336</v>
      </c>
      <c r="G414" s="6"/>
      <c r="H414" s="6"/>
      <c r="I414" s="6"/>
      <c r="J414" s="6"/>
      <c r="K414" s="7" t="s">
        <v>3160</v>
      </c>
      <c r="L414" s="8"/>
      <c r="M414" s="8" t="str">
        <f t="shared" si="126"/>
        <v>USD</v>
      </c>
      <c r="N414" s="13"/>
      <c r="O414" s="13">
        <v>0.05</v>
      </c>
      <c r="P414" s="3">
        <f t="shared" si="127"/>
        <v>0</v>
      </c>
      <c r="Q414" s="3">
        <f t="shared" si="128"/>
        <v>0.05</v>
      </c>
      <c r="R414" s="3">
        <f t="shared" si="116"/>
        <v>2253.4100000000008</v>
      </c>
      <c r="S414" s="24"/>
      <c r="T414" s="24"/>
      <c r="U414" s="61"/>
      <c r="V414" s="3"/>
      <c r="W414" s="3"/>
      <c r="X414" s="3"/>
      <c r="Y414" s="3"/>
      <c r="Z414" s="3"/>
      <c r="AA414" s="3" t="str">
        <f>IF(BCP_Dolares[[#This Row],[fecha]]&gt;0,TEXT(BCP_Dolares[[#This Row],[fecha]],"mmmm"),0)</f>
        <v>Octubre</v>
      </c>
    </row>
    <row r="415" spans="1:27" ht="36" x14ac:dyDescent="0.3">
      <c r="A415" s="2">
        <f>IF(BCP_Dolares[[#This Row],[tipo_registro]]="R",COUNTIFS($C$1:$C414,"R")+1,"")</f>
        <v>200</v>
      </c>
      <c r="B415" s="19" t="str">
        <f t="shared" si="125"/>
        <v>B-BCP - Dolares</v>
      </c>
      <c r="C415" s="3" t="s">
        <v>1330</v>
      </c>
      <c r="D415" s="14">
        <v>45954</v>
      </c>
      <c r="E415" s="5" t="s">
        <v>1338</v>
      </c>
      <c r="F415" s="5" t="s">
        <v>1336</v>
      </c>
      <c r="G415" s="6" t="s">
        <v>702</v>
      </c>
      <c r="H415" s="6"/>
      <c r="I415" s="6"/>
      <c r="J415" s="6"/>
      <c r="K415" s="7" t="s">
        <v>5051</v>
      </c>
      <c r="L415" s="8">
        <v>258466</v>
      </c>
      <c r="M415" s="8" t="str">
        <f t="shared" si="126"/>
        <v>USD</v>
      </c>
      <c r="N415" s="13"/>
      <c r="O415" s="13">
        <v>416.27</v>
      </c>
      <c r="P415" s="3">
        <f t="shared" si="127"/>
        <v>0</v>
      </c>
      <c r="Q415" s="3">
        <f t="shared" si="128"/>
        <v>416.27</v>
      </c>
      <c r="R415" s="3">
        <f t="shared" si="116"/>
        <v>1837.1400000000008</v>
      </c>
      <c r="S415" s="24"/>
      <c r="T415" s="24"/>
      <c r="U415" s="61"/>
      <c r="V415" s="3"/>
      <c r="W415" s="3"/>
      <c r="X415" s="3"/>
      <c r="Y415" s="3"/>
      <c r="Z415" s="3"/>
      <c r="AA415" s="3" t="str">
        <f>IF(BCP_Dolares[[#This Row],[fecha]]&gt;0,TEXT(BCP_Dolares[[#This Row],[fecha]],"mmmm"),0)</f>
        <v>Octubre</v>
      </c>
    </row>
    <row r="416" spans="1:27" x14ac:dyDescent="0.3">
      <c r="A416" s="105">
        <f>IF(BCP_Dolares[[#This Row],[tipo_registro]]="R",COUNTIFS($C$1:$C415,"R")+1,"")</f>
        <v>201</v>
      </c>
      <c r="B416" s="74" t="str">
        <f t="shared" si="125"/>
        <v>B-BCP - Dolares</v>
      </c>
      <c r="C416" s="196" t="s">
        <v>1330</v>
      </c>
      <c r="D416" s="189">
        <v>45954</v>
      </c>
      <c r="E416" s="190" t="s">
        <v>1338</v>
      </c>
      <c r="F416" s="190" t="s">
        <v>1336</v>
      </c>
      <c r="G416" s="6" t="s">
        <v>204</v>
      </c>
      <c r="H416" s="6"/>
      <c r="I416" s="6"/>
      <c r="J416" s="6"/>
      <c r="K416" s="7" t="s">
        <v>4826</v>
      </c>
      <c r="L416" s="8">
        <v>1277158</v>
      </c>
      <c r="M416" s="8" t="str">
        <f t="shared" si="126"/>
        <v>USD</v>
      </c>
      <c r="N416" s="9"/>
      <c r="O416" s="9">
        <v>1567.12</v>
      </c>
      <c r="P416" s="73">
        <f t="shared" si="127"/>
        <v>0</v>
      </c>
      <c r="Q416" s="73">
        <f t="shared" si="128"/>
        <v>1567.12</v>
      </c>
      <c r="R416" s="73">
        <f t="shared" si="116"/>
        <v>270.02000000000089</v>
      </c>
      <c r="S416" s="95" t="s">
        <v>1334</v>
      </c>
      <c r="T416" s="95" t="s">
        <v>1334</v>
      </c>
      <c r="U416" s="202"/>
      <c r="V416" s="73"/>
      <c r="W416" s="73"/>
      <c r="X416" s="73"/>
      <c r="Y416" s="73"/>
      <c r="Z416" s="73"/>
      <c r="AA416" s="73" t="str">
        <f>IF(BCP_Dolares[[#This Row],[fecha]]&gt;0,TEXT(BCP_Dolares[[#This Row],[fecha]],"mmmm"),0)</f>
        <v>Octubre</v>
      </c>
    </row>
    <row r="417" spans="1:27" ht="24" x14ac:dyDescent="0.3">
      <c r="A417" s="105" t="str">
        <f>IF(BCP_Dolares[[#This Row],[tipo_registro]]="R",COUNTIFS($C$1:$C416,"R")+1,"")</f>
        <v/>
      </c>
      <c r="B417" s="19" t="str">
        <f>"B-BCP - Dolares"</f>
        <v>B-BCP - Dolares</v>
      </c>
      <c r="C417" s="3" t="s">
        <v>1352</v>
      </c>
      <c r="D417" s="189">
        <v>45954</v>
      </c>
      <c r="E417" s="190" t="s">
        <v>1338</v>
      </c>
      <c r="F417" s="190" t="s">
        <v>1336</v>
      </c>
      <c r="G417" s="6" t="s">
        <v>204</v>
      </c>
      <c r="H417" s="6" t="s">
        <v>68</v>
      </c>
      <c r="I417" s="6" t="s">
        <v>1390</v>
      </c>
      <c r="J417" s="6">
        <v>16862</v>
      </c>
      <c r="K417" s="7" t="s">
        <v>4826</v>
      </c>
      <c r="L417" s="8">
        <v>1277158</v>
      </c>
      <c r="M417" s="8" t="str">
        <f>"USD"</f>
        <v>USD</v>
      </c>
      <c r="N417" s="13">
        <v>90.25</v>
      </c>
      <c r="O417" s="13"/>
      <c r="P417" s="3">
        <f>+IF(OR($F417="SALDO",$F417="INGRESO"),$O417,0)</f>
        <v>0</v>
      </c>
      <c r="Q417" s="3">
        <f>+IF($F417="EGRESO",$O417,0)</f>
        <v>0</v>
      </c>
      <c r="R417" s="3">
        <f t="shared" si="116"/>
        <v>270.02000000000089</v>
      </c>
      <c r="S417" s="95" t="s">
        <v>1334</v>
      </c>
      <c r="T417" s="95" t="s">
        <v>1334</v>
      </c>
      <c r="U417" s="61"/>
      <c r="V417" s="3"/>
      <c r="W417" s="3"/>
      <c r="X417" s="3"/>
      <c r="Y417" s="3"/>
      <c r="Z417" s="3"/>
      <c r="AA417" s="3" t="str">
        <f>IF(BCP_Dolares[[#This Row],[fecha]]&gt;0,TEXT(BCP_Dolares[[#This Row],[fecha]],"mmmm"),0)</f>
        <v>Octubre</v>
      </c>
    </row>
    <row r="418" spans="1:27" ht="24" x14ac:dyDescent="0.3">
      <c r="A418" s="105" t="str">
        <f>IF(BCP_Dolares[[#This Row],[tipo_registro]]="R",COUNTIFS($C$1:$C417,"R")+1,"")</f>
        <v/>
      </c>
      <c r="B418" s="19" t="str">
        <f>"B-BCP - Dolares"</f>
        <v>B-BCP - Dolares</v>
      </c>
      <c r="C418" s="3" t="s">
        <v>1352</v>
      </c>
      <c r="D418" s="189">
        <v>45954</v>
      </c>
      <c r="E418" s="190" t="s">
        <v>1338</v>
      </c>
      <c r="F418" s="190" t="s">
        <v>1336</v>
      </c>
      <c r="G418" s="6" t="s">
        <v>204</v>
      </c>
      <c r="H418" s="6" t="s">
        <v>68</v>
      </c>
      <c r="I418" s="6" t="s">
        <v>1390</v>
      </c>
      <c r="J418" s="6">
        <v>16906</v>
      </c>
      <c r="K418" s="7" t="s">
        <v>4826</v>
      </c>
      <c r="L418" s="8">
        <v>1277158</v>
      </c>
      <c r="M418" s="8" t="str">
        <f>"USD"</f>
        <v>USD</v>
      </c>
      <c r="N418" s="13">
        <v>286.06</v>
      </c>
      <c r="O418" s="13"/>
      <c r="P418" s="3">
        <f>+IF(OR($F418="SALDO",$F418="INGRESO"),$O418,0)</f>
        <v>0</v>
      </c>
      <c r="Q418" s="3">
        <f>+IF($F418="EGRESO",$O418,0)</f>
        <v>0</v>
      </c>
      <c r="R418" s="3">
        <f t="shared" si="116"/>
        <v>270.02000000000089</v>
      </c>
      <c r="S418" s="95" t="s">
        <v>1334</v>
      </c>
      <c r="T418" s="95" t="s">
        <v>1334</v>
      </c>
      <c r="U418" s="61"/>
      <c r="V418" s="3"/>
      <c r="W418" s="3"/>
      <c r="X418" s="3"/>
      <c r="Y418" s="3"/>
      <c r="Z418" s="3"/>
      <c r="AA418" s="3" t="str">
        <f>IF(BCP_Dolares[[#This Row],[fecha]]&gt;0,TEXT(BCP_Dolares[[#This Row],[fecha]],"mmmm"),0)</f>
        <v>Octubre</v>
      </c>
    </row>
    <row r="419" spans="1:27" ht="24" x14ac:dyDescent="0.3">
      <c r="A419" s="105" t="str">
        <f>IF(BCP_Dolares[[#This Row],[tipo_registro]]="R",COUNTIFS($C$1:$C418,"R")+1,"")</f>
        <v/>
      </c>
      <c r="B419" s="19" t="str">
        <f t="shared" ref="B419:B421" si="129">"B-BCP - Dolares"</f>
        <v>B-BCP - Dolares</v>
      </c>
      <c r="C419" s="3" t="s">
        <v>1352</v>
      </c>
      <c r="D419" s="189">
        <v>45954</v>
      </c>
      <c r="E419" s="190" t="s">
        <v>1338</v>
      </c>
      <c r="F419" s="190" t="s">
        <v>1336</v>
      </c>
      <c r="G419" s="6" t="s">
        <v>204</v>
      </c>
      <c r="H419" s="6" t="s">
        <v>68</v>
      </c>
      <c r="I419" s="6" t="s">
        <v>1390</v>
      </c>
      <c r="J419" s="6">
        <v>16905</v>
      </c>
      <c r="K419" s="7" t="s">
        <v>4826</v>
      </c>
      <c r="L419" s="8">
        <v>1277158</v>
      </c>
      <c r="M419" s="8" t="str">
        <f t="shared" ref="M419:M421" si="130">"USD"</f>
        <v>USD</v>
      </c>
      <c r="N419" s="13">
        <v>975.35</v>
      </c>
      <c r="O419" s="13"/>
      <c r="P419" s="3">
        <f t="shared" ref="P419:P421" si="131">+IF(OR($F419="SALDO",$F419="INGRESO"),$O419,0)</f>
        <v>0</v>
      </c>
      <c r="Q419" s="3">
        <f t="shared" ref="Q419:Q421" si="132">+IF($F419="EGRESO",$O419,0)</f>
        <v>0</v>
      </c>
      <c r="R419" s="3">
        <f t="shared" si="116"/>
        <v>270.02000000000089</v>
      </c>
      <c r="S419" s="95" t="s">
        <v>1334</v>
      </c>
      <c r="T419" s="95" t="s">
        <v>1334</v>
      </c>
      <c r="U419" s="61"/>
      <c r="V419" s="3"/>
      <c r="W419" s="3"/>
      <c r="X419" s="3"/>
      <c r="Y419" s="3"/>
      <c r="Z419" s="3"/>
      <c r="AA419" s="3" t="str">
        <f>IF(BCP_Dolares[[#This Row],[fecha]]&gt;0,TEXT(BCP_Dolares[[#This Row],[fecha]],"mmmm"),0)</f>
        <v>Octubre</v>
      </c>
    </row>
    <row r="420" spans="1:27" ht="24" x14ac:dyDescent="0.3">
      <c r="A420" s="105" t="str">
        <f>IF(BCP_Dolares[[#This Row],[tipo_registro]]="R",COUNTIFS($C$1:$C419,"R")+1,"")</f>
        <v/>
      </c>
      <c r="B420" s="19" t="str">
        <f t="shared" si="129"/>
        <v>B-BCP - Dolares</v>
      </c>
      <c r="C420" s="3" t="s">
        <v>1352</v>
      </c>
      <c r="D420" s="189">
        <v>45954</v>
      </c>
      <c r="E420" s="190" t="s">
        <v>1338</v>
      </c>
      <c r="F420" s="190" t="s">
        <v>1336</v>
      </c>
      <c r="G420" s="6" t="s">
        <v>204</v>
      </c>
      <c r="H420" s="6" t="s">
        <v>68</v>
      </c>
      <c r="I420" s="6" t="s">
        <v>1390</v>
      </c>
      <c r="J420" s="6">
        <v>16825</v>
      </c>
      <c r="K420" s="7" t="s">
        <v>4826</v>
      </c>
      <c r="L420" s="8">
        <v>1277158</v>
      </c>
      <c r="M420" s="8" t="str">
        <f t="shared" si="130"/>
        <v>USD</v>
      </c>
      <c r="N420" s="13">
        <v>92.03</v>
      </c>
      <c r="O420" s="13"/>
      <c r="P420" s="3">
        <f t="shared" si="131"/>
        <v>0</v>
      </c>
      <c r="Q420" s="3">
        <f t="shared" si="132"/>
        <v>0</v>
      </c>
      <c r="R420" s="3">
        <f t="shared" si="116"/>
        <v>270.02000000000089</v>
      </c>
      <c r="S420" s="95" t="s">
        <v>1334</v>
      </c>
      <c r="T420" s="95" t="s">
        <v>1334</v>
      </c>
      <c r="U420" s="61"/>
      <c r="V420" s="3"/>
      <c r="W420" s="3"/>
      <c r="X420" s="3"/>
      <c r="Y420" s="3"/>
      <c r="Z420" s="3"/>
      <c r="AA420" s="3" t="str">
        <f>IF(BCP_Dolares[[#This Row],[fecha]]&gt;0,TEXT(BCP_Dolares[[#This Row],[fecha]],"mmmm"),0)</f>
        <v>Octubre</v>
      </c>
    </row>
    <row r="421" spans="1:27" ht="24" x14ac:dyDescent="0.3">
      <c r="A421" s="105" t="str">
        <f>IF(BCP_Dolares[[#This Row],[tipo_registro]]="R",COUNTIFS($C$1:$C420,"R")+1,"")</f>
        <v/>
      </c>
      <c r="B421" s="19" t="str">
        <f t="shared" si="129"/>
        <v>B-BCP - Dolares</v>
      </c>
      <c r="C421" s="3" t="s">
        <v>1352</v>
      </c>
      <c r="D421" s="189">
        <v>45954</v>
      </c>
      <c r="E421" s="190" t="s">
        <v>1338</v>
      </c>
      <c r="F421" s="190" t="s">
        <v>1336</v>
      </c>
      <c r="G421" s="6" t="s">
        <v>204</v>
      </c>
      <c r="H421" s="6" t="s">
        <v>68</v>
      </c>
      <c r="I421" s="6" t="s">
        <v>1390</v>
      </c>
      <c r="J421" s="6">
        <v>16843</v>
      </c>
      <c r="K421" s="7" t="s">
        <v>4826</v>
      </c>
      <c r="L421" s="8">
        <v>1277158</v>
      </c>
      <c r="M421" s="8" t="str">
        <f t="shared" si="130"/>
        <v>USD</v>
      </c>
      <c r="N421" s="13">
        <v>73.5</v>
      </c>
      <c r="O421" s="13"/>
      <c r="P421" s="3">
        <f t="shared" si="131"/>
        <v>0</v>
      </c>
      <c r="Q421" s="3">
        <f t="shared" si="132"/>
        <v>0</v>
      </c>
      <c r="R421" s="3">
        <f t="shared" si="116"/>
        <v>270.02000000000089</v>
      </c>
      <c r="S421" s="95" t="s">
        <v>1334</v>
      </c>
      <c r="T421" s="95" t="s">
        <v>1334</v>
      </c>
      <c r="U421" s="61"/>
      <c r="V421" s="3"/>
      <c r="W421" s="3"/>
      <c r="X421" s="3"/>
      <c r="Y421" s="3"/>
      <c r="Z421" s="3"/>
      <c r="AA421" s="3" t="str">
        <f>IF(BCP_Dolares[[#This Row],[fecha]]&gt;0,TEXT(BCP_Dolares[[#This Row],[fecha]],"mmmm"),0)</f>
        <v>Octubre</v>
      </c>
    </row>
    <row r="422" spans="1:27" ht="24" x14ac:dyDescent="0.3">
      <c r="A422" s="105" t="str">
        <f>IF(BCP_Dolares[[#This Row],[tipo_registro]]="R",COUNTIFS($C$1:$C421,"R")+1,"")</f>
        <v/>
      </c>
      <c r="B422" s="19" t="str">
        <f t="shared" ref="B422:B430" si="133">"B-BCP - Dolares"</f>
        <v>B-BCP - Dolares</v>
      </c>
      <c r="C422" s="3" t="s">
        <v>1352</v>
      </c>
      <c r="D422" s="189">
        <v>45954</v>
      </c>
      <c r="E422" s="190" t="s">
        <v>1338</v>
      </c>
      <c r="F422" s="190" t="s">
        <v>1336</v>
      </c>
      <c r="G422" s="6" t="s">
        <v>204</v>
      </c>
      <c r="H422" s="6" t="s">
        <v>68</v>
      </c>
      <c r="I422" s="6" t="s">
        <v>1390</v>
      </c>
      <c r="J422" s="6">
        <v>16876</v>
      </c>
      <c r="K422" s="7" t="s">
        <v>4826</v>
      </c>
      <c r="L422" s="8">
        <v>1277158</v>
      </c>
      <c r="M422" s="8" t="str">
        <f t="shared" ref="M422:M430" si="134">"USD"</f>
        <v>USD</v>
      </c>
      <c r="N422" s="13">
        <v>49.93</v>
      </c>
      <c r="O422" s="13"/>
      <c r="P422" s="3">
        <f t="shared" ref="P422:P430" si="135">+IF(OR($F422="SALDO",$F422="INGRESO"),$O422,0)</f>
        <v>0</v>
      </c>
      <c r="Q422" s="3">
        <f t="shared" ref="Q422:Q430" si="136">+IF($F422="EGRESO",$O422,0)</f>
        <v>0</v>
      </c>
      <c r="R422" s="3">
        <f t="shared" si="116"/>
        <v>270.02000000000089</v>
      </c>
      <c r="S422" s="95" t="s">
        <v>1334</v>
      </c>
      <c r="T422" s="95" t="s">
        <v>1334</v>
      </c>
      <c r="U422" s="61"/>
      <c r="V422" s="3"/>
      <c r="W422" s="3"/>
      <c r="X422" s="3"/>
      <c r="Y422" s="3"/>
      <c r="Z422" s="3"/>
      <c r="AA422" s="3" t="str">
        <f>IF(BCP_Dolares[[#This Row],[fecha]]&gt;0,TEXT(BCP_Dolares[[#This Row],[fecha]],"mmmm"),0)</f>
        <v>Octubre</v>
      </c>
    </row>
    <row r="423" spans="1:27" x14ac:dyDescent="0.3">
      <c r="A423" s="105">
        <f>IF(BCP_Dolares[[#This Row],[tipo_registro]]="R",COUNTIFS($C$1:$C422,"R")+1,"")</f>
        <v>202</v>
      </c>
      <c r="B423" s="19" t="str">
        <f t="shared" si="133"/>
        <v>B-BCP - Dolares</v>
      </c>
      <c r="C423" s="3" t="s">
        <v>1330</v>
      </c>
      <c r="D423" s="14">
        <v>45954</v>
      </c>
      <c r="E423" s="5"/>
      <c r="F423" s="5" t="s">
        <v>1336</v>
      </c>
      <c r="G423" s="6"/>
      <c r="H423" s="6"/>
      <c r="I423" s="6"/>
      <c r="J423" s="6"/>
      <c r="K423" s="7" t="s">
        <v>3160</v>
      </c>
      <c r="L423" s="8"/>
      <c r="M423" s="8" t="str">
        <f t="shared" si="134"/>
        <v>USD</v>
      </c>
      <c r="N423" s="13"/>
      <c r="O423" s="13">
        <v>0.05</v>
      </c>
      <c r="P423" s="3">
        <f t="shared" si="135"/>
        <v>0</v>
      </c>
      <c r="Q423" s="3">
        <f t="shared" si="136"/>
        <v>0.05</v>
      </c>
      <c r="R423" s="3">
        <f t="shared" si="116"/>
        <v>269.97000000000088</v>
      </c>
      <c r="S423" s="95"/>
      <c r="T423" s="95"/>
      <c r="U423" s="61"/>
      <c r="V423" s="3"/>
      <c r="W423" s="3"/>
      <c r="X423" s="3"/>
      <c r="Y423" s="3"/>
      <c r="Z423" s="3"/>
      <c r="AA423" s="3" t="str">
        <f>IF(BCP_Dolares[[#This Row],[fecha]]&gt;0,TEXT(BCP_Dolares[[#This Row],[fecha]],"mmmm"),0)</f>
        <v>Octubre</v>
      </c>
    </row>
    <row r="424" spans="1:27" ht="24" x14ac:dyDescent="0.3">
      <c r="A424" s="105">
        <f>IF(BCP_Dolares[[#This Row],[tipo_registro]]="R",COUNTIFS($C$1:$C423,"R")+1,"")</f>
        <v>203</v>
      </c>
      <c r="B424" s="19" t="str">
        <f t="shared" si="133"/>
        <v>B-BCP - Dolares</v>
      </c>
      <c r="C424" s="3" t="s">
        <v>1330</v>
      </c>
      <c r="D424" s="14">
        <v>45960</v>
      </c>
      <c r="E424" s="5"/>
      <c r="F424" s="5" t="s">
        <v>1336</v>
      </c>
      <c r="G424" s="6" t="s">
        <v>1060</v>
      </c>
      <c r="H424" s="6"/>
      <c r="I424" s="6"/>
      <c r="J424" s="6"/>
      <c r="K424" s="7" t="s">
        <v>5040</v>
      </c>
      <c r="L424" s="8"/>
      <c r="M424" s="8" t="str">
        <f t="shared" si="134"/>
        <v>USD</v>
      </c>
      <c r="N424" s="13"/>
      <c r="O424" s="13">
        <v>12</v>
      </c>
      <c r="P424" s="3">
        <f t="shared" si="135"/>
        <v>0</v>
      </c>
      <c r="Q424" s="3">
        <f t="shared" si="136"/>
        <v>12</v>
      </c>
      <c r="R424" s="3">
        <f t="shared" si="116"/>
        <v>257.97000000000088</v>
      </c>
      <c r="S424" s="95"/>
      <c r="T424" s="95"/>
      <c r="U424" s="61"/>
      <c r="V424" s="3"/>
      <c r="W424" s="3"/>
      <c r="X424" s="3"/>
      <c r="Y424" s="3"/>
      <c r="Z424" s="3"/>
      <c r="AA424" s="3" t="str">
        <f>IF(BCP_Dolares[[#This Row],[fecha]]&gt;0,TEXT(BCP_Dolares[[#This Row],[fecha]],"mmmm"),0)</f>
        <v>Octubre</v>
      </c>
    </row>
    <row r="425" spans="1:27" ht="24" x14ac:dyDescent="0.3">
      <c r="A425" s="105">
        <f>IF(BCP_Dolares[[#This Row],[tipo_registro]]="R",COUNTIFS($C$1:$C424,"R")+1,"")</f>
        <v>204</v>
      </c>
      <c r="B425" s="19" t="str">
        <f t="shared" si="133"/>
        <v>B-BCP - Dolares</v>
      </c>
      <c r="C425" s="3" t="s">
        <v>1330</v>
      </c>
      <c r="D425" s="14">
        <v>45960</v>
      </c>
      <c r="E425" s="5" t="s">
        <v>204</v>
      </c>
      <c r="F425" s="5" t="s">
        <v>1303</v>
      </c>
      <c r="G425" s="6" t="s">
        <v>425</v>
      </c>
      <c r="H425" s="6"/>
      <c r="I425" s="6"/>
      <c r="J425" s="6"/>
      <c r="K425" s="7" t="s">
        <v>4909</v>
      </c>
      <c r="L425" s="8">
        <v>3466161</v>
      </c>
      <c r="M425" s="8" t="str">
        <f t="shared" si="134"/>
        <v>USD</v>
      </c>
      <c r="N425" s="13"/>
      <c r="O425" s="13">
        <v>11443.74</v>
      </c>
      <c r="P425" s="3">
        <f t="shared" si="135"/>
        <v>11443.74</v>
      </c>
      <c r="Q425" s="3">
        <f t="shared" si="136"/>
        <v>0</v>
      </c>
      <c r="R425" s="3">
        <f t="shared" si="116"/>
        <v>11701.710000000001</v>
      </c>
      <c r="S425" s="95" t="s">
        <v>1334</v>
      </c>
      <c r="T425" s="95"/>
      <c r="U425" s="61"/>
      <c r="V425" s="3"/>
      <c r="W425" s="3"/>
      <c r="X425" s="3"/>
      <c r="Y425" s="3"/>
      <c r="Z425" s="3"/>
      <c r="AA425" s="3" t="str">
        <f>IF(BCP_Dolares[[#This Row],[fecha]]&gt;0,TEXT(BCP_Dolares[[#This Row],[fecha]],"mmmm"),0)</f>
        <v>Octubre</v>
      </c>
    </row>
    <row r="426" spans="1:27" ht="24" x14ac:dyDescent="0.3">
      <c r="A426" s="105" t="str">
        <f>IF(BCP_Dolares[[#This Row],[tipo_registro]]="R",COUNTIFS($C$1:$C425,"R")+1,"")</f>
        <v/>
      </c>
      <c r="B426" s="19" t="str">
        <f>"B-BCP - Dolares"</f>
        <v>B-BCP - Dolares</v>
      </c>
      <c r="C426" s="3" t="s">
        <v>1352</v>
      </c>
      <c r="D426" s="14">
        <v>45960</v>
      </c>
      <c r="E426" s="5" t="s">
        <v>204</v>
      </c>
      <c r="F426" s="5" t="s">
        <v>1303</v>
      </c>
      <c r="G426" s="6" t="s">
        <v>425</v>
      </c>
      <c r="H426" s="6" t="s">
        <v>68</v>
      </c>
      <c r="I426" s="6" t="s">
        <v>5052</v>
      </c>
      <c r="J426" s="6">
        <v>3</v>
      </c>
      <c r="K426" s="7" t="s">
        <v>4909</v>
      </c>
      <c r="L426" s="8">
        <v>3466161</v>
      </c>
      <c r="M426" s="8" t="str">
        <f>"USD"</f>
        <v>USD</v>
      </c>
      <c r="N426" s="13">
        <v>9325.23</v>
      </c>
      <c r="O426" s="13"/>
      <c r="P426" s="3">
        <f>+IF(OR($F426="SALDO",$F426="INGRESO"),$O426,0)</f>
        <v>0</v>
      </c>
      <c r="Q426" s="3">
        <f>+IF($F426="EGRESO",$O426,0)</f>
        <v>0</v>
      </c>
      <c r="R426" s="3">
        <f>IFERROR(IF(F426="SALDO",P426,R425+P426-Q426),0)</f>
        <v>11701.710000000001</v>
      </c>
      <c r="S426" s="95" t="s">
        <v>1334</v>
      </c>
      <c r="T426" s="95"/>
      <c r="U426" s="61"/>
      <c r="V426" s="3"/>
      <c r="W426" s="3"/>
      <c r="X426" s="3"/>
      <c r="Y426" s="3"/>
      <c r="Z426" s="3"/>
      <c r="AA426" s="3" t="str">
        <f>IF(BCP_Dolares[[#This Row],[fecha]]&gt;0,TEXT(BCP_Dolares[[#This Row],[fecha]],"mmmm"),0)</f>
        <v>Octubre</v>
      </c>
    </row>
    <row r="427" spans="1:27" ht="24" x14ac:dyDescent="0.3">
      <c r="A427" s="105" t="str">
        <f>IF(BCP_Dolares[[#This Row],[tipo_registro]]="R",COUNTIFS($C$1:$C426,"R")+1,"")</f>
        <v/>
      </c>
      <c r="B427" s="19" t="str">
        <f>"B-BCP - Dolares"</f>
        <v>B-BCP - Dolares</v>
      </c>
      <c r="C427" s="3" t="s">
        <v>1352</v>
      </c>
      <c r="D427" s="14">
        <v>45960</v>
      </c>
      <c r="E427" s="5" t="s">
        <v>204</v>
      </c>
      <c r="F427" s="5" t="s">
        <v>1303</v>
      </c>
      <c r="G427" s="6" t="s">
        <v>425</v>
      </c>
      <c r="H427" s="6" t="s">
        <v>68</v>
      </c>
      <c r="I427" s="6" t="s">
        <v>5052</v>
      </c>
      <c r="J427" s="6">
        <v>4</v>
      </c>
      <c r="K427" s="7" t="s">
        <v>4909</v>
      </c>
      <c r="L427" s="8">
        <v>3466161</v>
      </c>
      <c r="M427" s="8" t="str">
        <f>"USD"</f>
        <v>USD</v>
      </c>
      <c r="N427" s="13">
        <v>2118.5100000000002</v>
      </c>
      <c r="O427" s="13"/>
      <c r="P427" s="3">
        <f>+IF(OR($F427="SALDO",$F427="INGRESO"),$O427,0)</f>
        <v>0</v>
      </c>
      <c r="Q427" s="3">
        <f>+IF($F427="EGRESO",$O427,0)</f>
        <v>0</v>
      </c>
      <c r="R427" s="3">
        <f t="shared" ref="R427:R428" si="137">IFERROR(IF(F427="SALDO",P427,R426+P427-Q427),0)</f>
        <v>11701.710000000001</v>
      </c>
      <c r="S427" s="95" t="s">
        <v>1334</v>
      </c>
      <c r="T427" s="95"/>
      <c r="U427" s="61"/>
      <c r="V427" s="3"/>
      <c r="W427" s="3"/>
      <c r="X427" s="3"/>
      <c r="Y427" s="3"/>
      <c r="Z427" s="3"/>
      <c r="AA427" s="3" t="str">
        <f>IF(BCP_Dolares[[#This Row],[fecha]]&gt;0,TEXT(BCP_Dolares[[#This Row],[fecha]],"mmmm"),0)</f>
        <v>Octubre</v>
      </c>
    </row>
    <row r="428" spans="1:27" ht="24" x14ac:dyDescent="0.3">
      <c r="A428" s="2">
        <f>IF(BCP_Dolares[[#This Row],[tipo_registro]]="R",COUNTIFS($C$1:$C427,"R")+1,"")</f>
        <v>205</v>
      </c>
      <c r="B428" s="19" t="str">
        <f t="shared" si="133"/>
        <v>B-BCP - Dolares</v>
      </c>
      <c r="C428" s="3" t="s">
        <v>1330</v>
      </c>
      <c r="D428" s="14">
        <v>45960</v>
      </c>
      <c r="E428" s="5" t="s">
        <v>4171</v>
      </c>
      <c r="F428" s="5" t="s">
        <v>1336</v>
      </c>
      <c r="G428" s="6" t="s">
        <v>1282</v>
      </c>
      <c r="H428" s="6" t="s">
        <v>68</v>
      </c>
      <c r="I428" s="6" t="s">
        <v>1376</v>
      </c>
      <c r="J428" s="6">
        <v>779</v>
      </c>
      <c r="K428" s="7" t="s">
        <v>5053</v>
      </c>
      <c r="L428" s="8">
        <v>1112089</v>
      </c>
      <c r="M428" s="8" t="str">
        <f t="shared" si="134"/>
        <v>USD</v>
      </c>
      <c r="N428" s="13"/>
      <c r="O428" s="13">
        <v>1121.1300000000001</v>
      </c>
      <c r="P428" s="3">
        <f t="shared" si="135"/>
        <v>0</v>
      </c>
      <c r="Q428" s="3">
        <f t="shared" si="136"/>
        <v>1121.1300000000001</v>
      </c>
      <c r="R428" s="3">
        <f t="shared" si="137"/>
        <v>10580.580000000002</v>
      </c>
      <c r="S428" s="24" t="s">
        <v>1334</v>
      </c>
      <c r="T428" s="24" t="s">
        <v>1334</v>
      </c>
      <c r="U428" s="61"/>
      <c r="V428" s="3"/>
      <c r="W428" s="3"/>
      <c r="X428" s="3"/>
      <c r="Y428" s="3"/>
      <c r="Z428" s="3"/>
      <c r="AA428" s="3" t="str">
        <f>IF(BCP_Dolares[[#This Row],[fecha]]&gt;0,TEXT(BCP_Dolares[[#This Row],[fecha]],"mmmm"),0)</f>
        <v>Octubre</v>
      </c>
    </row>
    <row r="429" spans="1:27" x14ac:dyDescent="0.3">
      <c r="A429" s="2">
        <f>IF(BCP_Dolares[[#This Row],[tipo_registro]]="R",COUNTIFS($C$1:$C428,"R")+1,"")</f>
        <v>206</v>
      </c>
      <c r="B429" s="19" t="str">
        <f t="shared" si="133"/>
        <v>B-BCP - Dolares</v>
      </c>
      <c r="C429" s="3" t="s">
        <v>1330</v>
      </c>
      <c r="D429" s="14">
        <v>45960</v>
      </c>
      <c r="E429" s="5"/>
      <c r="F429" s="5" t="s">
        <v>1336</v>
      </c>
      <c r="G429" s="6"/>
      <c r="H429" s="6"/>
      <c r="I429" s="6"/>
      <c r="J429" s="6"/>
      <c r="K429" s="7" t="s">
        <v>3160</v>
      </c>
      <c r="L429" s="8"/>
      <c r="M429" s="8" t="str">
        <f t="shared" si="134"/>
        <v>USD</v>
      </c>
      <c r="N429" s="13"/>
      <c r="O429" s="13">
        <v>0.6</v>
      </c>
      <c r="P429" s="3">
        <f t="shared" si="135"/>
        <v>0</v>
      </c>
      <c r="Q429" s="3">
        <f t="shared" si="136"/>
        <v>0.6</v>
      </c>
      <c r="R429" s="3">
        <f t="shared" ref="R429:R434" si="138">IFERROR(IF(F429="SALDO",P429,R428+P429-Q429),0)</f>
        <v>10579.980000000001</v>
      </c>
      <c r="S429" s="24"/>
      <c r="T429" s="24"/>
      <c r="U429" s="61"/>
      <c r="V429" s="3"/>
      <c r="W429" s="3"/>
      <c r="X429" s="3"/>
      <c r="Y429" s="3"/>
      <c r="Z429" s="3"/>
      <c r="AA429" s="3" t="str">
        <f>IF(BCP_Dolares[[#This Row],[fecha]]&gt;0,TEXT(BCP_Dolares[[#This Row],[fecha]],"mmmm"),0)</f>
        <v>Octubre</v>
      </c>
    </row>
    <row r="430" spans="1:27" x14ac:dyDescent="0.3">
      <c r="A430" s="2">
        <f>IF(BCP_Dolares[[#This Row],[tipo_registro]]="R",COUNTIFS($C$1:$C429,"R")+1,"")</f>
        <v>207</v>
      </c>
      <c r="B430" s="19" t="str">
        <f t="shared" si="133"/>
        <v>B-BCP - Dolares</v>
      </c>
      <c r="C430" s="3" t="s">
        <v>1330</v>
      </c>
      <c r="D430" s="14">
        <v>45961</v>
      </c>
      <c r="E430" s="5" t="s">
        <v>1338</v>
      </c>
      <c r="F430" s="5" t="s">
        <v>1336</v>
      </c>
      <c r="G430" s="6"/>
      <c r="H430" s="6"/>
      <c r="I430" s="6"/>
      <c r="J430" s="6"/>
      <c r="K430" s="7" t="s">
        <v>5054</v>
      </c>
      <c r="L430" s="8">
        <v>1393364</v>
      </c>
      <c r="M430" s="8" t="str">
        <f t="shared" si="134"/>
        <v>USD</v>
      </c>
      <c r="N430" s="13"/>
      <c r="O430" s="13">
        <v>10579</v>
      </c>
      <c r="P430" s="3">
        <f t="shared" si="135"/>
        <v>0</v>
      </c>
      <c r="Q430" s="3">
        <f t="shared" si="136"/>
        <v>10579</v>
      </c>
      <c r="R430" s="3">
        <f t="shared" si="138"/>
        <v>0.98000000000138243</v>
      </c>
      <c r="S430" s="24"/>
      <c r="T430" s="24"/>
      <c r="U430" s="61"/>
      <c r="V430" s="3"/>
      <c r="W430" s="3"/>
      <c r="X430" s="3"/>
      <c r="Y430" s="3"/>
      <c r="Z430" s="3"/>
      <c r="AA430" s="3" t="str">
        <f>IF(BCP_Dolares[[#This Row],[fecha]]&gt;0,TEXT(BCP_Dolares[[#This Row],[fecha]],"mmmm"),0)</f>
        <v>Octubre</v>
      </c>
    </row>
    <row r="431" spans="1:27" ht="24" x14ac:dyDescent="0.3">
      <c r="A431" s="2">
        <f>IF(BCP_Dolares[[#This Row],[tipo_registro]]="R",COUNTIFS($C$1:$C430,"R")+1,"")</f>
        <v>208</v>
      </c>
      <c r="B431" s="19" t="str">
        <f>"B-BCP - Dolares"</f>
        <v>B-BCP - Dolares</v>
      </c>
      <c r="C431" s="3" t="s">
        <v>1330</v>
      </c>
      <c r="D431" s="14">
        <v>45961</v>
      </c>
      <c r="E431" s="5"/>
      <c r="F431" s="5" t="s">
        <v>1336</v>
      </c>
      <c r="G431" s="6" t="s">
        <v>1060</v>
      </c>
      <c r="H431" s="6"/>
      <c r="I431" s="6"/>
      <c r="J431" s="6"/>
      <c r="K431" s="7" t="s">
        <v>4863</v>
      </c>
      <c r="L431" s="8">
        <v>1158364</v>
      </c>
      <c r="M431" s="8" t="str">
        <f>"USD"</f>
        <v>USD</v>
      </c>
      <c r="N431" s="13"/>
      <c r="O431" s="13">
        <v>2</v>
      </c>
      <c r="P431" s="3">
        <f>+IF(OR($F431="SALDO",$F431="INGRESO"),$O431,0)</f>
        <v>0</v>
      </c>
      <c r="Q431" s="3">
        <f>+IF($F431="EGRESO",$O431,0)</f>
        <v>2</v>
      </c>
      <c r="R431" s="3">
        <f t="shared" si="138"/>
        <v>-1.0199999999986176</v>
      </c>
      <c r="S431" s="24"/>
      <c r="T431" s="24"/>
      <c r="U431" s="61"/>
      <c r="V431" s="3"/>
      <c r="W431" s="3"/>
      <c r="X431" s="3"/>
      <c r="Y431" s="3"/>
      <c r="Z431" s="3"/>
      <c r="AA431" s="3" t="str">
        <f>IF(BCP_Dolares[[#This Row],[fecha]]&gt;0,TEXT(BCP_Dolares[[#This Row],[fecha]],"mmmm"),0)</f>
        <v>Octubre</v>
      </c>
    </row>
    <row r="432" spans="1:27" x14ac:dyDescent="0.3">
      <c r="A432" s="2">
        <f>IF(BCP_Dolares[[#This Row],[tipo_registro]]="R",COUNTIFS($C$1:$C431,"R")+1,"")</f>
        <v>209</v>
      </c>
      <c r="B432" s="19" t="str">
        <f>"B-BCP - Dolares"</f>
        <v>B-BCP - Dolares</v>
      </c>
      <c r="C432" s="3" t="s">
        <v>1330</v>
      </c>
      <c r="D432" s="14">
        <v>45961</v>
      </c>
      <c r="E432" s="5"/>
      <c r="F432" s="5" t="s">
        <v>1336</v>
      </c>
      <c r="G432" s="6"/>
      <c r="H432" s="6"/>
      <c r="I432" s="6"/>
      <c r="J432" s="6"/>
      <c r="K432" s="7" t="s">
        <v>5055</v>
      </c>
      <c r="L432" s="8"/>
      <c r="M432" s="8" t="str">
        <f>"USD"</f>
        <v>USD</v>
      </c>
      <c r="N432" s="13"/>
      <c r="O432" s="13">
        <v>0.05</v>
      </c>
      <c r="P432" s="3">
        <f>+IF(OR($F432="SALDO",$F432="INGRESO"),$O432,0)</f>
        <v>0</v>
      </c>
      <c r="Q432" s="3">
        <f>+IF($F432="EGRESO",$O432,0)</f>
        <v>0.05</v>
      </c>
      <c r="R432" s="3">
        <f t="shared" si="138"/>
        <v>-1.0699999999986176</v>
      </c>
      <c r="S432" s="24"/>
      <c r="T432" s="24"/>
      <c r="U432" s="61"/>
      <c r="V432" s="3"/>
      <c r="W432" s="3"/>
      <c r="X432" s="3"/>
      <c r="Y432" s="3"/>
      <c r="Z432" s="3"/>
      <c r="AA432" s="3" t="str">
        <f>IF(BCP_Dolares[[#This Row],[fecha]]&gt;0,TEXT(BCP_Dolares[[#This Row],[fecha]],"mmmm"),0)</f>
        <v>Octubre</v>
      </c>
    </row>
    <row r="433" spans="1:27" ht="24" x14ac:dyDescent="0.3">
      <c r="A433" s="2">
        <f>IF(BCP_Dolares[[#This Row],[tipo_registro]]="R",COUNTIFS($C$1:$C432,"R")+1,"")</f>
        <v>210</v>
      </c>
      <c r="B433" s="19" t="str">
        <f>"B-BCP - Dolares"</f>
        <v>B-BCP - Dolares</v>
      </c>
      <c r="C433" s="3" t="s">
        <v>1330</v>
      </c>
      <c r="D433" s="14">
        <v>45961</v>
      </c>
      <c r="E433" s="5"/>
      <c r="F433" s="5" t="s">
        <v>1336</v>
      </c>
      <c r="G433" s="6" t="s">
        <v>1060</v>
      </c>
      <c r="H433" s="6"/>
      <c r="I433" s="6"/>
      <c r="J433" s="6"/>
      <c r="K433" s="7" t="s">
        <v>4862</v>
      </c>
      <c r="L433" s="8"/>
      <c r="M433" s="8" t="str">
        <f>"USD"</f>
        <v>USD</v>
      </c>
      <c r="N433" s="13"/>
      <c r="O433" s="13">
        <v>13</v>
      </c>
      <c r="P433" s="3">
        <f>+IF(OR($F433="SALDO",$F433="INGRESO"),$O433,0)</f>
        <v>0</v>
      </c>
      <c r="Q433" s="3">
        <f>+IF($F433="EGRESO",$O433,0)</f>
        <v>13</v>
      </c>
      <c r="R433" s="3">
        <f t="shared" si="138"/>
        <v>-14.069999999998618</v>
      </c>
      <c r="S433" s="24"/>
      <c r="T433" s="24"/>
      <c r="U433" s="61"/>
      <c r="V433" s="3"/>
      <c r="W433" s="3"/>
      <c r="X433" s="3"/>
      <c r="Y433" s="3"/>
      <c r="Z433" s="3"/>
      <c r="AA433" s="3" t="str">
        <f>IF(BCP_Dolares[[#This Row],[fecha]]&gt;0,TEXT(BCP_Dolares[[#This Row],[fecha]],"mmmm"),0)</f>
        <v>Octubre</v>
      </c>
    </row>
    <row r="434" spans="1:27" ht="24" x14ac:dyDescent="0.3">
      <c r="A434" s="2">
        <f>IF(BCP_Dolares[[#This Row],[tipo_registro]]="R",COUNTIFS($C$1:$C433,"R")+1,"")</f>
        <v>211</v>
      </c>
      <c r="B434" s="19" t="str">
        <f>"B-BCP - Dolares"</f>
        <v>B-BCP - Dolares</v>
      </c>
      <c r="C434" s="3" t="s">
        <v>1330</v>
      </c>
      <c r="D434" s="14">
        <v>45962</v>
      </c>
      <c r="E434" s="5"/>
      <c r="F434" s="5" t="s">
        <v>1336</v>
      </c>
      <c r="G434" s="6" t="s">
        <v>1060</v>
      </c>
      <c r="H434" s="6"/>
      <c r="I434" s="6"/>
      <c r="J434" s="6"/>
      <c r="K434" s="7" t="s">
        <v>5056</v>
      </c>
      <c r="L434" s="8">
        <v>864248</v>
      </c>
      <c r="M434" s="8" t="str">
        <f>"USD"</f>
        <v>USD</v>
      </c>
      <c r="N434" s="13"/>
      <c r="O434" s="13">
        <v>1.32</v>
      </c>
      <c r="P434" s="3">
        <f>+IF(OR($F434="SALDO",$F434="INGRESO"),$O434,0)</f>
        <v>0</v>
      </c>
      <c r="Q434" s="3">
        <f>+IF($F434="EGRESO",$O434,0)</f>
        <v>1.32</v>
      </c>
      <c r="R434" s="3">
        <f t="shared" si="138"/>
        <v>-15.389999999998619</v>
      </c>
      <c r="S434" s="24"/>
      <c r="T434" s="24"/>
      <c r="U434" s="61"/>
      <c r="V434" s="3"/>
      <c r="W434" s="3"/>
      <c r="X434" s="3"/>
      <c r="Y434" s="3"/>
      <c r="Z434" s="3"/>
      <c r="AA434" s="3" t="str">
        <f>IF(BCP_Dolares[[#This Row],[fecha]]&gt;0,TEXT(BCP_Dolares[[#This Row],[fecha]],"mmmm"),0)</f>
        <v>Noviembre</v>
      </c>
    </row>
    <row r="435" spans="1:27" x14ac:dyDescent="0.3">
      <c r="A435" s="2">
        <f>IF(BCP_Dolares[[#This Row],[tipo_registro]]="R",COUNTIFS($C$1:$C434,"R")+1,"")</f>
        <v>212</v>
      </c>
      <c r="B435" s="19" t="str">
        <f>"B-BCP - Dolares"</f>
        <v>B-BCP - Dolares</v>
      </c>
      <c r="C435" s="3" t="s">
        <v>1330</v>
      </c>
      <c r="D435" s="14">
        <v>45966</v>
      </c>
      <c r="E435" s="5"/>
      <c r="F435" s="5" t="s">
        <v>1303</v>
      </c>
      <c r="G435" s="6" t="s">
        <v>425</v>
      </c>
      <c r="H435" s="6"/>
      <c r="I435" s="6"/>
      <c r="J435" s="6"/>
      <c r="K435" s="7" t="s">
        <v>4310</v>
      </c>
      <c r="L435" s="8">
        <v>2188561</v>
      </c>
      <c r="M435" s="8" t="str">
        <f>"USD"</f>
        <v>USD</v>
      </c>
      <c r="N435" s="13"/>
      <c r="O435" s="13">
        <v>72.010000000000005</v>
      </c>
      <c r="P435" s="3">
        <f>+IF(OR($F435="SALDO",$F435="INGRESO"),$O435,0)</f>
        <v>72.010000000000005</v>
      </c>
      <c r="Q435" s="3">
        <f>+IF($F435="EGRESO",$O435,0)</f>
        <v>0</v>
      </c>
      <c r="R435" s="3">
        <f>IFERROR(IF(F435="SALDO",P435,R434+P435-Q435),0)</f>
        <v>56.620000000001383</v>
      </c>
      <c r="S435" s="24"/>
      <c r="T435" s="24"/>
      <c r="U435" s="61"/>
      <c r="V435" s="3"/>
      <c r="W435" s="3"/>
      <c r="X435" s="3"/>
      <c r="Y435" s="3"/>
      <c r="Z435" s="3"/>
      <c r="AA435" s="3" t="str">
        <f>IF(BCP_Dolares[[#This Row],[fecha]]&gt;0,TEXT(BCP_Dolares[[#This Row],[fecha]],"mmmm"),0)</f>
        <v>Noviembre</v>
      </c>
    </row>
  </sheetData>
  <conditionalFormatting sqref="A431">
    <cfRule type="expression" dxfId="270" priority="561">
      <formula>$T430="OK"</formula>
    </cfRule>
    <cfRule type="expression" dxfId="269" priority="562">
      <formula>$S430="OK"</formula>
    </cfRule>
  </conditionalFormatting>
  <conditionalFormatting sqref="A2:T435">
    <cfRule type="expression" dxfId="268" priority="36">
      <formula>$C2="D"</formula>
    </cfRule>
  </conditionalFormatting>
  <conditionalFormatting sqref="A2:AA10088">
    <cfRule type="expression" dxfId="267" priority="264">
      <formula>$T2="OK"</formula>
    </cfRule>
    <cfRule type="expression" dxfId="266" priority="265">
      <formula>$S2="OK"</formula>
    </cfRule>
  </conditionalFormatting>
  <conditionalFormatting sqref="C413:D414">
    <cfRule type="expression" dxfId="265" priority="3">
      <formula>$C413="D"</formula>
    </cfRule>
  </conditionalFormatting>
  <conditionalFormatting sqref="C416:F416">
    <cfRule type="expression" dxfId="264" priority="2">
      <formula>$C416="D"</formula>
    </cfRule>
  </conditionalFormatting>
  <conditionalFormatting sqref="E402:G402">
    <cfRule type="expression" dxfId="263" priority="7">
      <formula>$C402="D"</formula>
    </cfRule>
  </conditionalFormatting>
  <conditionalFormatting sqref="K402">
    <cfRule type="expression" dxfId="262" priority="6">
      <formula>$C402="D"</formula>
    </cfRule>
  </conditionalFormatting>
  <conditionalFormatting sqref="K429">
    <cfRule type="expression" dxfId="261" priority="1">
      <formula>$C429="D"</formula>
    </cfRule>
  </conditionalFormatting>
  <conditionalFormatting sqref="O402">
    <cfRule type="expression" dxfId="260" priority="5">
      <formula>$C402="D"</formula>
    </cfRule>
  </conditionalFormatting>
  <dataValidations count="4">
    <dataValidation type="list" allowBlank="1" showInputMessage="1" showErrorMessage="1" sqref="H2:H435" xr:uid="{6A7E9DCA-9DDC-4A57-98F7-0A05A794FDC8}">
      <formula1>Documentos</formula1>
    </dataValidation>
    <dataValidation type="list" allowBlank="1" showInputMessage="1" showErrorMessage="1" sqref="G2:G435" xr:uid="{99EFCFF8-22AA-41B5-944F-463E8CCEBC29}">
      <formula1>Proveedores_Clientes</formula1>
    </dataValidation>
    <dataValidation type="list" allowBlank="1" showInputMessage="1" showErrorMessage="1" sqref="F2:F435" xr:uid="{64497E58-D525-49B8-BC68-5340145E1815}">
      <formula1>"SALDO,INGRESO,EGRESO"</formula1>
    </dataValidation>
    <dataValidation type="list" allowBlank="1" showInputMessage="1" showErrorMessage="1" sqref="C2:C435" xr:uid="{DDF0D167-46A5-4A1A-AB8E-8EFC21445CC8}">
      <formula1>"R,D"</formula1>
    </dataValidation>
  </dataValidations>
  <hyperlinks>
    <hyperlink ref="U286" r:id="rId1" xr:uid="{19E118C8-F560-4630-A979-65BBB8D423CA}"/>
  </hyperlinks>
  <printOptions horizontalCentered="1"/>
  <pageMargins left="0.11811023622047245" right="0.11811023622047245" top="0.35433070866141736" bottom="0.35433070866141736" header="0.31496062992125984" footer="0.31496062992125984"/>
  <pageSetup paperSize="9" scale="48" fitToHeight="0" orientation="landscape"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2BD83-268E-4F56-9A7B-868E7400B6C6}">
  <sheetPr codeName="Hoja4">
    <tabColor theme="6"/>
    <pageSetUpPr fitToPage="1"/>
  </sheetPr>
  <dimension ref="A2:AB200"/>
  <sheetViews>
    <sheetView showGridLines="0" topLeftCell="A4" zoomScaleNormal="100" zoomScaleSheetLayoutView="100" workbookViewId="0">
      <selection activeCell="A4" sqref="A4:AA4"/>
    </sheetView>
  </sheetViews>
  <sheetFormatPr defaultColWidth="11.44140625" defaultRowHeight="14.4" outlineLevelCol="1" x14ac:dyDescent="0.3"/>
  <cols>
    <col min="1" max="1" width="9.44140625" bestFit="1" customWidth="1"/>
    <col min="2" max="2" width="16.44140625" customWidth="1"/>
    <col min="3" max="3" width="13.44140625" bestFit="1" customWidth="1"/>
    <col min="4" max="4" width="10.6640625" bestFit="1" customWidth="1"/>
    <col min="5" max="5" width="14.33203125" customWidth="1"/>
    <col min="6" max="6" width="11.6640625" bestFit="1" customWidth="1"/>
    <col min="7" max="7" width="17" bestFit="1" customWidth="1"/>
    <col min="8" max="8" width="16" customWidth="1"/>
    <col min="9" max="9" width="10.109375" bestFit="1" customWidth="1"/>
    <col min="10" max="10" width="12.44140625" bestFit="1" customWidth="1"/>
    <col min="11" max="11" width="40.44140625" bestFit="1" customWidth="1"/>
    <col min="12" max="12" width="15" bestFit="1" customWidth="1"/>
    <col min="13" max="13" width="12.44140625" bestFit="1" customWidth="1"/>
    <col min="14" max="14" width="12.109375" bestFit="1" customWidth="1"/>
    <col min="15" max="15" width="11.44140625" bestFit="1" customWidth="1"/>
    <col min="16" max="17" width="11.33203125" bestFit="1" customWidth="1"/>
    <col min="18" max="18" width="10.88671875" bestFit="1" customWidth="1"/>
    <col min="19" max="19" width="12" bestFit="1" customWidth="1"/>
    <col min="20" max="20" width="13" bestFit="1" customWidth="1"/>
    <col min="21" max="21" width="15.88671875" bestFit="1" customWidth="1"/>
    <col min="22" max="26" width="17.109375" hidden="1" customWidth="1" outlineLevel="1"/>
    <col min="27" max="27" width="12.88671875" hidden="1" customWidth="1" outlineLevel="1"/>
    <col min="28" max="28" width="11.44140625" collapsed="1"/>
  </cols>
  <sheetData>
    <row r="2" spans="1:27" ht="23.4" x14ac:dyDescent="0.3">
      <c r="A2" s="290" t="s">
        <v>5057</v>
      </c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0"/>
      <c r="Q2" s="290"/>
      <c r="R2" s="290"/>
      <c r="S2" s="290"/>
      <c r="T2" s="290"/>
      <c r="U2" s="290"/>
      <c r="V2" s="290"/>
      <c r="W2" s="290"/>
      <c r="X2" s="290"/>
      <c r="Y2" s="290"/>
      <c r="Z2" s="290"/>
      <c r="AA2" s="290"/>
    </row>
    <row r="4" spans="1:27" x14ac:dyDescent="0.3">
      <c r="A4" s="263" t="s">
        <v>9536</v>
      </c>
      <c r="B4" s="263" t="s">
        <v>9537</v>
      </c>
      <c r="C4" s="263" t="s">
        <v>9538</v>
      </c>
      <c r="D4" s="263" t="s">
        <v>9539</v>
      </c>
      <c r="E4" s="263" t="s">
        <v>9540</v>
      </c>
      <c r="F4" s="263" t="s">
        <v>9541</v>
      </c>
      <c r="G4" s="263" t="s">
        <v>9542</v>
      </c>
      <c r="H4" s="263" t="s">
        <v>9543</v>
      </c>
      <c r="I4" s="263" t="s">
        <v>9544</v>
      </c>
      <c r="J4" s="263" t="s">
        <v>9545</v>
      </c>
      <c r="K4" s="263" t="s">
        <v>9546</v>
      </c>
      <c r="L4" s="263" t="s">
        <v>9547</v>
      </c>
      <c r="M4" s="263" t="s">
        <v>9548</v>
      </c>
      <c r="N4" s="263" t="s">
        <v>9549</v>
      </c>
      <c r="O4" s="263" t="s">
        <v>9550</v>
      </c>
      <c r="P4" s="263" t="s">
        <v>9551</v>
      </c>
      <c r="Q4" s="263" t="s">
        <v>9552</v>
      </c>
      <c r="R4" s="263" t="s">
        <v>9553</v>
      </c>
      <c r="S4" s="263" t="s">
        <v>9554</v>
      </c>
      <c r="T4" s="263" t="s">
        <v>9555</v>
      </c>
      <c r="U4" s="263" t="s">
        <v>9556</v>
      </c>
      <c r="V4" s="263" t="s">
        <v>9557</v>
      </c>
      <c r="W4" s="263" t="s">
        <v>9558</v>
      </c>
      <c r="X4" s="263" t="s">
        <v>9559</v>
      </c>
      <c r="Y4" s="263" t="s">
        <v>9560</v>
      </c>
      <c r="Z4" s="263" t="s">
        <v>9561</v>
      </c>
      <c r="AA4" s="263" t="s">
        <v>9562</v>
      </c>
    </row>
    <row r="5" spans="1:27" x14ac:dyDescent="0.3">
      <c r="A5" s="16">
        <f>IF(Interbank_Soles[[#This Row],[tipo_registro]]="R",COUNTIFS($C$4:$C4,"R")+1,"")</f>
        <v>1</v>
      </c>
      <c r="B5" s="18" t="str">
        <f t="shared" ref="B5:B41" si="0">"B-Interbank"</f>
        <v>B-Interbank</v>
      </c>
      <c r="C5" s="13" t="s">
        <v>1330</v>
      </c>
      <c r="D5" s="4">
        <v>45658</v>
      </c>
      <c r="E5" s="5" t="s">
        <v>1331</v>
      </c>
      <c r="F5" s="6" t="s">
        <v>1320</v>
      </c>
      <c r="G5" s="6"/>
      <c r="H5" s="6"/>
      <c r="I5" s="6"/>
      <c r="J5" s="6"/>
      <c r="K5" s="7" t="s">
        <v>1332</v>
      </c>
      <c r="L5" s="8" t="s">
        <v>1333</v>
      </c>
      <c r="M5" s="8" t="str">
        <f t="shared" ref="M5:M41" si="1">"PEN"</f>
        <v>PEN</v>
      </c>
      <c r="N5" s="13"/>
      <c r="O5" s="13">
        <v>6651.98</v>
      </c>
      <c r="P5" s="13">
        <f t="shared" ref="P5:P38" si="2">+IF(OR($F5="SALDO",$F5="INGRESO"),$O5,0)</f>
        <v>6651.98</v>
      </c>
      <c r="Q5" s="13">
        <f t="shared" ref="Q5:Q38" si="3">+IF($F5="EGRESO",$O5,0)</f>
        <v>0</v>
      </c>
      <c r="R5" s="13">
        <f t="shared" ref="R5:R37" si="4">IFERROR(IF(F5="SALDO",P5,R4+P5-Q5),0)</f>
        <v>6651.98</v>
      </c>
      <c r="S5" s="28"/>
      <c r="T5" s="28"/>
      <c r="U5" s="17"/>
      <c r="V5" s="17"/>
      <c r="W5" s="17"/>
      <c r="X5" s="17"/>
      <c r="Y5" s="17"/>
      <c r="Z5" s="17"/>
      <c r="AA5" s="13" t="str">
        <f>IF(Interbank_Soles[[#This Row],[fecha]]&gt;0,TEXT(Interbank_Soles[[#This Row],[fecha]],"mmmm"),0)</f>
        <v>Enero</v>
      </c>
    </row>
    <row r="6" spans="1:27" ht="48" x14ac:dyDescent="0.3">
      <c r="A6" s="2">
        <f>IF(Interbank_Soles[[#This Row],[tipo_registro]]="R",COUNTIFS($C$4:$C5,"R")+1,"")</f>
        <v>2</v>
      </c>
      <c r="B6" s="19" t="str">
        <f t="shared" si="0"/>
        <v>B-Interbank</v>
      </c>
      <c r="C6" s="3" t="s">
        <v>1330</v>
      </c>
      <c r="D6" s="14">
        <v>45659</v>
      </c>
      <c r="E6" s="5" t="s">
        <v>310</v>
      </c>
      <c r="F6" s="5" t="s">
        <v>1303</v>
      </c>
      <c r="G6" s="6"/>
      <c r="H6" s="6"/>
      <c r="I6" s="6"/>
      <c r="J6" s="6"/>
      <c r="K6" s="7" t="s">
        <v>5058</v>
      </c>
      <c r="L6" s="8">
        <v>2737360</v>
      </c>
      <c r="M6" s="8" t="str">
        <f t="shared" si="1"/>
        <v>PEN</v>
      </c>
      <c r="N6" s="13"/>
      <c r="O6" s="13">
        <v>2991.3</v>
      </c>
      <c r="P6" s="3">
        <f t="shared" si="2"/>
        <v>2991.3</v>
      </c>
      <c r="Q6" s="3">
        <f t="shared" si="3"/>
        <v>0</v>
      </c>
      <c r="R6" s="3">
        <f t="shared" si="4"/>
        <v>9643.2799999999988</v>
      </c>
      <c r="S6" s="24" t="s">
        <v>1334</v>
      </c>
      <c r="T6" s="24"/>
      <c r="U6" s="3"/>
      <c r="V6" s="3" t="s">
        <v>425</v>
      </c>
      <c r="W6" s="3" t="s">
        <v>5059</v>
      </c>
      <c r="X6" s="3"/>
      <c r="Y6" s="3"/>
      <c r="Z6" s="3"/>
      <c r="AA6" s="3" t="str">
        <f>IF(Interbank_Soles[[#This Row],[fecha]]&gt;0,TEXT(Interbank_Soles[[#This Row],[fecha]],"mmmm"),0)</f>
        <v>Enero</v>
      </c>
    </row>
    <row r="7" spans="1:27" x14ac:dyDescent="0.3">
      <c r="A7" s="2">
        <f>IF(Interbank_Soles[[#This Row],[tipo_registro]]="R",COUNTIFS($C$4:$C6,"R")+1,"")</f>
        <v>3</v>
      </c>
      <c r="B7" s="19" t="str">
        <f t="shared" si="0"/>
        <v>B-Interbank</v>
      </c>
      <c r="C7" s="3" t="s">
        <v>1330</v>
      </c>
      <c r="D7" s="14">
        <v>45659</v>
      </c>
      <c r="E7" s="5" t="s">
        <v>5060</v>
      </c>
      <c r="F7" s="5" t="s">
        <v>1336</v>
      </c>
      <c r="G7" s="6"/>
      <c r="H7" s="6"/>
      <c r="I7" s="6"/>
      <c r="J7" s="6"/>
      <c r="K7" s="7" t="s">
        <v>5061</v>
      </c>
      <c r="L7" s="8" t="s">
        <v>1333</v>
      </c>
      <c r="M7" s="8" t="str">
        <f t="shared" si="1"/>
        <v>PEN</v>
      </c>
      <c r="N7" s="13"/>
      <c r="O7" s="13">
        <v>0.1</v>
      </c>
      <c r="P7" s="3">
        <f t="shared" si="2"/>
        <v>0</v>
      </c>
      <c r="Q7" s="3">
        <f t="shared" si="3"/>
        <v>0.1</v>
      </c>
      <c r="R7" s="3">
        <f t="shared" si="4"/>
        <v>9643.1799999999985</v>
      </c>
      <c r="S7" s="24" t="s">
        <v>1334</v>
      </c>
      <c r="T7" s="24" t="s">
        <v>1334</v>
      </c>
      <c r="U7" s="3"/>
      <c r="V7" s="3"/>
      <c r="W7" s="3"/>
      <c r="X7" s="3"/>
      <c r="Y7" s="3"/>
      <c r="Z7" s="3"/>
      <c r="AA7" s="3" t="str">
        <f>IF(Interbank_Soles[[#This Row],[fecha]]&gt;0,TEXT(Interbank_Soles[[#This Row],[fecha]],"mmmm"),0)</f>
        <v>Enero</v>
      </c>
    </row>
    <row r="8" spans="1:27" x14ac:dyDescent="0.3">
      <c r="A8" s="2">
        <f>IF(Interbank_Soles[[#This Row],[tipo_registro]]="R",COUNTIFS($C$4:$C7,"R")+1,"")</f>
        <v>4</v>
      </c>
      <c r="B8" s="19" t="str">
        <f t="shared" si="0"/>
        <v>B-Interbank</v>
      </c>
      <c r="C8" s="3" t="s">
        <v>1330</v>
      </c>
      <c r="D8" s="14">
        <v>45660</v>
      </c>
      <c r="E8" s="5" t="s">
        <v>5060</v>
      </c>
      <c r="F8" s="5" t="s">
        <v>1336</v>
      </c>
      <c r="G8" s="6"/>
      <c r="H8" s="6"/>
      <c r="I8" s="6"/>
      <c r="J8" s="6"/>
      <c r="K8" s="7" t="s">
        <v>5061</v>
      </c>
      <c r="L8" s="8" t="s">
        <v>1333</v>
      </c>
      <c r="M8" s="8" t="str">
        <f t="shared" si="1"/>
        <v>PEN</v>
      </c>
      <c r="N8" s="13"/>
      <c r="O8" s="13">
        <v>0.3</v>
      </c>
      <c r="P8" s="3">
        <f t="shared" si="2"/>
        <v>0</v>
      </c>
      <c r="Q8" s="3">
        <f t="shared" si="3"/>
        <v>0.3</v>
      </c>
      <c r="R8" s="3">
        <f t="shared" si="4"/>
        <v>9642.8799999999992</v>
      </c>
      <c r="S8" s="24" t="s">
        <v>1334</v>
      </c>
      <c r="T8" s="24" t="s">
        <v>1334</v>
      </c>
      <c r="U8" s="3"/>
      <c r="V8" s="3"/>
      <c r="W8" s="3"/>
      <c r="X8" s="3"/>
      <c r="Y8" s="3"/>
      <c r="Z8" s="3"/>
      <c r="AA8" s="3" t="str">
        <f>IF(Interbank_Soles[[#This Row],[fecha]]&gt;0,TEXT(Interbank_Soles[[#This Row],[fecha]],"mmmm"),0)</f>
        <v>Enero</v>
      </c>
    </row>
    <row r="9" spans="1:27" ht="36" x14ac:dyDescent="0.3">
      <c r="A9" s="2">
        <f>IF(Interbank_Soles[[#This Row],[tipo_registro]]="R",COUNTIFS($C$4:$C8,"R")+1,"")</f>
        <v>5</v>
      </c>
      <c r="B9" s="19" t="str">
        <f t="shared" si="0"/>
        <v>B-Interbank</v>
      </c>
      <c r="C9" s="3" t="s">
        <v>1330</v>
      </c>
      <c r="D9" s="14">
        <v>45660</v>
      </c>
      <c r="E9" s="5" t="s">
        <v>208</v>
      </c>
      <c r="F9" s="5" t="s">
        <v>1303</v>
      </c>
      <c r="G9" s="6"/>
      <c r="H9" s="6"/>
      <c r="I9" s="6"/>
      <c r="J9" s="6"/>
      <c r="K9" s="7" t="s">
        <v>5062</v>
      </c>
      <c r="L9" s="8">
        <v>8064145</v>
      </c>
      <c r="M9" s="8" t="str">
        <f t="shared" si="1"/>
        <v>PEN</v>
      </c>
      <c r="N9" s="13"/>
      <c r="O9" s="13">
        <v>6366.27</v>
      </c>
      <c r="P9" s="3">
        <f t="shared" si="2"/>
        <v>6366.27</v>
      </c>
      <c r="Q9" s="3">
        <f t="shared" si="3"/>
        <v>0</v>
      </c>
      <c r="R9" s="3">
        <f t="shared" si="4"/>
        <v>16009.15</v>
      </c>
      <c r="S9" s="24" t="s">
        <v>1334</v>
      </c>
      <c r="T9" s="24"/>
      <c r="U9" s="3"/>
      <c r="V9" s="3" t="s">
        <v>425</v>
      </c>
      <c r="W9" s="3" t="s">
        <v>5063</v>
      </c>
      <c r="X9" s="3"/>
      <c r="Y9" s="3"/>
      <c r="Z9" s="3"/>
      <c r="AA9" s="3" t="str">
        <f>IF(Interbank_Soles[[#This Row],[fecha]]&gt;0,TEXT(Interbank_Soles[[#This Row],[fecha]],"mmmm"),0)</f>
        <v>Enero</v>
      </c>
    </row>
    <row r="10" spans="1:27" ht="36" x14ac:dyDescent="0.3">
      <c r="A10" s="2">
        <f>IF(Interbank_Soles[[#This Row],[tipo_registro]]="R",COUNTIFS($C$4:$C9,"R")+1,"")</f>
        <v>6</v>
      </c>
      <c r="B10" s="19" t="str">
        <f t="shared" si="0"/>
        <v>B-Interbank</v>
      </c>
      <c r="C10" s="3" t="s">
        <v>1330</v>
      </c>
      <c r="D10" s="14">
        <v>45671</v>
      </c>
      <c r="E10" s="5" t="s">
        <v>1331</v>
      </c>
      <c r="F10" s="5" t="s">
        <v>1336</v>
      </c>
      <c r="G10" s="6" t="s">
        <v>780</v>
      </c>
      <c r="H10" s="6"/>
      <c r="I10" s="6"/>
      <c r="J10" s="6"/>
      <c r="K10" s="7" t="s">
        <v>5064</v>
      </c>
      <c r="L10" s="8">
        <v>877396</v>
      </c>
      <c r="M10" s="8" t="str">
        <f t="shared" si="1"/>
        <v>PEN</v>
      </c>
      <c r="N10" s="13"/>
      <c r="O10" s="13">
        <v>67</v>
      </c>
      <c r="P10" s="3">
        <f t="shared" si="2"/>
        <v>0</v>
      </c>
      <c r="Q10" s="3">
        <f t="shared" si="3"/>
        <v>67</v>
      </c>
      <c r="R10" s="3">
        <f t="shared" si="4"/>
        <v>15942.15</v>
      </c>
      <c r="S10" s="24" t="s">
        <v>1334</v>
      </c>
      <c r="T10" s="24" t="s">
        <v>1334</v>
      </c>
      <c r="U10" s="3"/>
      <c r="V10" s="3" t="s">
        <v>5065</v>
      </c>
      <c r="W10" s="3"/>
      <c r="X10" s="3"/>
      <c r="Y10" s="3"/>
      <c r="Z10" s="3"/>
      <c r="AA10" s="3" t="str">
        <f>IF(Interbank_Soles[[#This Row],[fecha]]&gt;0,TEXT(Interbank_Soles[[#This Row],[fecha]],"mmmm"),0)</f>
        <v>Enero</v>
      </c>
    </row>
    <row r="11" spans="1:27" ht="36" x14ac:dyDescent="0.3">
      <c r="A11" s="2">
        <f>IF(Interbank_Soles[[#This Row],[tipo_registro]]="R",COUNTIFS($C$4:$C10,"R")+1,"")</f>
        <v>7</v>
      </c>
      <c r="B11" s="19" t="str">
        <f t="shared" si="0"/>
        <v>B-Interbank</v>
      </c>
      <c r="C11" s="3" t="s">
        <v>1330</v>
      </c>
      <c r="D11" s="14">
        <v>45671</v>
      </c>
      <c r="E11" s="5" t="s">
        <v>1331</v>
      </c>
      <c r="F11" s="5" t="s">
        <v>1336</v>
      </c>
      <c r="G11" s="6" t="s">
        <v>780</v>
      </c>
      <c r="H11" s="6"/>
      <c r="I11" s="6"/>
      <c r="J11" s="6"/>
      <c r="K11" s="7" t="s">
        <v>5066</v>
      </c>
      <c r="L11" s="8">
        <v>891028</v>
      </c>
      <c r="M11" s="8" t="str">
        <f t="shared" si="1"/>
        <v>PEN</v>
      </c>
      <c r="N11" s="13"/>
      <c r="O11" s="13">
        <v>56</v>
      </c>
      <c r="P11" s="3">
        <f t="shared" si="2"/>
        <v>0</v>
      </c>
      <c r="Q11" s="3">
        <f t="shared" si="3"/>
        <v>56</v>
      </c>
      <c r="R11" s="3">
        <f t="shared" si="4"/>
        <v>15886.15</v>
      </c>
      <c r="S11" s="24"/>
      <c r="T11" s="24" t="s">
        <v>1334</v>
      </c>
      <c r="U11" s="3"/>
      <c r="V11" s="3" t="s">
        <v>5065</v>
      </c>
      <c r="W11" s="3"/>
      <c r="X11" s="3"/>
      <c r="Y11" s="3"/>
      <c r="Z11" s="3"/>
      <c r="AA11" s="3" t="str">
        <f>IF(Interbank_Soles[[#This Row],[fecha]]&gt;0,TEXT(Interbank_Soles[[#This Row],[fecha]],"mmmm"),0)</f>
        <v>Enero</v>
      </c>
    </row>
    <row r="12" spans="1:27" ht="36" x14ac:dyDescent="0.3">
      <c r="A12" s="2">
        <f>IF(Interbank_Soles[[#This Row],[tipo_registro]]="R",COUNTIFS($C$4:$C11,"R")+1,"")</f>
        <v>8</v>
      </c>
      <c r="B12" s="19" t="str">
        <f t="shared" si="0"/>
        <v>B-Interbank</v>
      </c>
      <c r="C12" s="3" t="s">
        <v>1330</v>
      </c>
      <c r="D12" s="14">
        <v>45671</v>
      </c>
      <c r="E12" s="5" t="s">
        <v>1331</v>
      </c>
      <c r="F12" s="5" t="s">
        <v>1336</v>
      </c>
      <c r="G12" s="6" t="s">
        <v>780</v>
      </c>
      <c r="H12" s="6"/>
      <c r="I12" s="6"/>
      <c r="J12" s="6"/>
      <c r="K12" s="7" t="s">
        <v>5067</v>
      </c>
      <c r="L12" s="8">
        <v>855902</v>
      </c>
      <c r="M12" s="8" t="str">
        <f t="shared" si="1"/>
        <v>PEN</v>
      </c>
      <c r="N12" s="13"/>
      <c r="O12" s="13">
        <v>37.5</v>
      </c>
      <c r="P12" s="3">
        <f t="shared" si="2"/>
        <v>0</v>
      </c>
      <c r="Q12" s="3">
        <f t="shared" si="3"/>
        <v>37.5</v>
      </c>
      <c r="R12" s="3">
        <f t="shared" si="4"/>
        <v>15848.65</v>
      </c>
      <c r="S12" s="24"/>
      <c r="T12" s="24" t="s">
        <v>1334</v>
      </c>
      <c r="U12" s="3"/>
      <c r="V12" s="3" t="s">
        <v>5065</v>
      </c>
      <c r="W12" s="3"/>
      <c r="X12" s="3"/>
      <c r="Y12" s="3"/>
      <c r="Z12" s="3"/>
      <c r="AA12" s="3" t="str">
        <f>IF(Interbank_Soles[[#This Row],[fecha]]&gt;0,TEXT(Interbank_Soles[[#This Row],[fecha]],"mmmm"),0)</f>
        <v>Enero</v>
      </c>
    </row>
    <row r="13" spans="1:27" ht="36" x14ac:dyDescent="0.3">
      <c r="A13" s="2">
        <f>IF(Interbank_Soles[[#This Row],[tipo_registro]]="R",COUNTIFS($C$4:$C12,"R")+1,"")</f>
        <v>9</v>
      </c>
      <c r="B13" s="19" t="str">
        <f t="shared" si="0"/>
        <v>B-Interbank</v>
      </c>
      <c r="C13" s="3" t="s">
        <v>1330</v>
      </c>
      <c r="D13" s="14">
        <v>45671</v>
      </c>
      <c r="E13" s="5" t="s">
        <v>1331</v>
      </c>
      <c r="F13" s="5" t="s">
        <v>1336</v>
      </c>
      <c r="G13" s="6" t="s">
        <v>780</v>
      </c>
      <c r="H13" s="6"/>
      <c r="I13" s="6"/>
      <c r="J13" s="6"/>
      <c r="K13" s="7" t="s">
        <v>5068</v>
      </c>
      <c r="L13" s="8">
        <v>864004</v>
      </c>
      <c r="M13" s="8" t="str">
        <f t="shared" si="1"/>
        <v>PEN</v>
      </c>
      <c r="N13" s="13"/>
      <c r="O13" s="13">
        <v>34</v>
      </c>
      <c r="P13" s="3">
        <f t="shared" si="2"/>
        <v>0</v>
      </c>
      <c r="Q13" s="3">
        <f t="shared" si="3"/>
        <v>34</v>
      </c>
      <c r="R13" s="3">
        <f t="shared" si="4"/>
        <v>15814.65</v>
      </c>
      <c r="S13" s="24"/>
      <c r="T13" s="24" t="s">
        <v>1334</v>
      </c>
      <c r="U13" s="3"/>
      <c r="V13" s="3" t="s">
        <v>5065</v>
      </c>
      <c r="W13" s="3"/>
      <c r="X13" s="3"/>
      <c r="Y13" s="3"/>
      <c r="Z13" s="3"/>
      <c r="AA13" s="3" t="str">
        <f>IF(Interbank_Soles[[#This Row],[fecha]]&gt;0,TEXT(Interbank_Soles[[#This Row],[fecha]],"mmmm"),0)</f>
        <v>Enero</v>
      </c>
    </row>
    <row r="14" spans="1:27" ht="36" x14ac:dyDescent="0.3">
      <c r="A14" s="2">
        <f>IF(Interbank_Soles[[#This Row],[tipo_registro]]="R",COUNTIFS($C$4:$C13,"R")+1,"")</f>
        <v>10</v>
      </c>
      <c r="B14" s="19" t="str">
        <f t="shared" si="0"/>
        <v>B-Interbank</v>
      </c>
      <c r="C14" s="3" t="s">
        <v>1330</v>
      </c>
      <c r="D14" s="14">
        <v>45671</v>
      </c>
      <c r="E14" s="5" t="s">
        <v>1331</v>
      </c>
      <c r="F14" s="5" t="s">
        <v>1336</v>
      </c>
      <c r="G14" s="6" t="s">
        <v>780</v>
      </c>
      <c r="H14" s="6"/>
      <c r="I14" s="6"/>
      <c r="J14" s="6"/>
      <c r="K14" s="7" t="s">
        <v>5069</v>
      </c>
      <c r="L14" s="8">
        <v>872648</v>
      </c>
      <c r="M14" s="8" t="str">
        <f t="shared" si="1"/>
        <v>PEN</v>
      </c>
      <c r="N14" s="13"/>
      <c r="O14" s="13">
        <v>32</v>
      </c>
      <c r="P14" s="3">
        <f t="shared" si="2"/>
        <v>0</v>
      </c>
      <c r="Q14" s="3">
        <f t="shared" si="3"/>
        <v>32</v>
      </c>
      <c r="R14" s="3">
        <f t="shared" si="4"/>
        <v>15782.65</v>
      </c>
      <c r="S14" s="24"/>
      <c r="T14" s="24" t="s">
        <v>1334</v>
      </c>
      <c r="U14" s="3"/>
      <c r="V14" s="3" t="s">
        <v>5065</v>
      </c>
      <c r="W14" s="3"/>
      <c r="X14" s="3"/>
      <c r="Y14" s="3"/>
      <c r="Z14" s="3"/>
      <c r="AA14" s="3" t="str">
        <f>IF(Interbank_Soles[[#This Row],[fecha]]&gt;0,TEXT(Interbank_Soles[[#This Row],[fecha]],"mmmm"),0)</f>
        <v>Enero</v>
      </c>
    </row>
    <row r="15" spans="1:27" ht="36" x14ac:dyDescent="0.3">
      <c r="A15" s="2">
        <f>IF(Interbank_Soles[[#This Row],[tipo_registro]]="R",COUNTIFS($C$4:$C14,"R")+1,"")</f>
        <v>11</v>
      </c>
      <c r="B15" s="19" t="str">
        <f t="shared" si="0"/>
        <v>B-Interbank</v>
      </c>
      <c r="C15" s="3" t="s">
        <v>1330</v>
      </c>
      <c r="D15" s="14">
        <v>45671</v>
      </c>
      <c r="E15" s="5" t="s">
        <v>1331</v>
      </c>
      <c r="F15" s="5" t="s">
        <v>1336</v>
      </c>
      <c r="G15" s="6" t="s">
        <v>780</v>
      </c>
      <c r="H15" s="6"/>
      <c r="I15" s="6"/>
      <c r="J15" s="6"/>
      <c r="K15" s="7" t="s">
        <v>5070</v>
      </c>
      <c r="L15" s="8">
        <v>884297</v>
      </c>
      <c r="M15" s="8" t="str">
        <f t="shared" si="1"/>
        <v>PEN</v>
      </c>
      <c r="N15" s="13"/>
      <c r="O15" s="13">
        <v>31.75</v>
      </c>
      <c r="P15" s="3">
        <f t="shared" si="2"/>
        <v>0</v>
      </c>
      <c r="Q15" s="3">
        <f t="shared" si="3"/>
        <v>31.75</v>
      </c>
      <c r="R15" s="3">
        <f t="shared" si="4"/>
        <v>15750.9</v>
      </c>
      <c r="S15" s="24"/>
      <c r="T15" s="24" t="s">
        <v>1334</v>
      </c>
      <c r="U15" s="3"/>
      <c r="V15" s="3" t="s">
        <v>5065</v>
      </c>
      <c r="W15" s="3"/>
      <c r="X15" s="3"/>
      <c r="Y15" s="3"/>
      <c r="Z15" s="3"/>
      <c r="AA15" s="3" t="str">
        <f>IF(Interbank_Soles[[#This Row],[fecha]]&gt;0,TEXT(Interbank_Soles[[#This Row],[fecha]],"mmmm"),0)</f>
        <v>Enero</v>
      </c>
    </row>
    <row r="16" spans="1:27" ht="36" x14ac:dyDescent="0.3">
      <c r="A16" s="2">
        <f>IF(Interbank_Soles[[#This Row],[tipo_registro]]="R",COUNTIFS($C$4:$C15,"R")+1,"")</f>
        <v>12</v>
      </c>
      <c r="B16" s="19" t="str">
        <f t="shared" si="0"/>
        <v>B-Interbank</v>
      </c>
      <c r="C16" s="3" t="s">
        <v>1330</v>
      </c>
      <c r="D16" s="14">
        <v>45671</v>
      </c>
      <c r="E16" s="5" t="s">
        <v>1331</v>
      </c>
      <c r="F16" s="5" t="s">
        <v>1336</v>
      </c>
      <c r="G16" s="6" t="s">
        <v>780</v>
      </c>
      <c r="H16" s="6"/>
      <c r="I16" s="6"/>
      <c r="J16" s="6"/>
      <c r="K16" s="7" t="s">
        <v>5071</v>
      </c>
      <c r="L16" s="8">
        <v>853195</v>
      </c>
      <c r="M16" s="8" t="str">
        <f t="shared" si="1"/>
        <v>PEN</v>
      </c>
      <c r="N16" s="13"/>
      <c r="O16" s="13">
        <v>31.5</v>
      </c>
      <c r="P16" s="3">
        <f t="shared" si="2"/>
        <v>0</v>
      </c>
      <c r="Q16" s="3">
        <f t="shared" si="3"/>
        <v>31.5</v>
      </c>
      <c r="R16" s="3">
        <f t="shared" si="4"/>
        <v>15719.4</v>
      </c>
      <c r="S16" s="24"/>
      <c r="T16" s="24" t="s">
        <v>1334</v>
      </c>
      <c r="U16" s="3"/>
      <c r="V16" s="3" t="s">
        <v>5065</v>
      </c>
      <c r="W16" s="3"/>
      <c r="X16" s="3"/>
      <c r="Y16" s="3"/>
      <c r="Z16" s="3"/>
      <c r="AA16" s="3" t="str">
        <f>IF(Interbank_Soles[[#This Row],[fecha]]&gt;0,TEXT(Interbank_Soles[[#This Row],[fecha]],"mmmm"),0)</f>
        <v>Enero</v>
      </c>
    </row>
    <row r="17" spans="1:27" ht="36" x14ac:dyDescent="0.3">
      <c r="A17" s="2">
        <f>IF(Interbank_Soles[[#This Row],[tipo_registro]]="R",COUNTIFS($C$4:$C16,"R")+1,"")</f>
        <v>13</v>
      </c>
      <c r="B17" s="19" t="str">
        <f t="shared" si="0"/>
        <v>B-Interbank</v>
      </c>
      <c r="C17" s="3" t="s">
        <v>1330</v>
      </c>
      <c r="D17" s="14">
        <v>45671</v>
      </c>
      <c r="E17" s="5" t="s">
        <v>1331</v>
      </c>
      <c r="F17" s="5" t="s">
        <v>1336</v>
      </c>
      <c r="G17" s="6" t="s">
        <v>780</v>
      </c>
      <c r="H17" s="6"/>
      <c r="I17" s="6"/>
      <c r="J17" s="6"/>
      <c r="K17" s="7" t="s">
        <v>5072</v>
      </c>
      <c r="L17" s="8">
        <v>867065</v>
      </c>
      <c r="M17" s="8" t="str">
        <f t="shared" si="1"/>
        <v>PEN</v>
      </c>
      <c r="N17" s="13"/>
      <c r="O17" s="13">
        <v>29.5</v>
      </c>
      <c r="P17" s="3">
        <f t="shared" si="2"/>
        <v>0</v>
      </c>
      <c r="Q17" s="3">
        <f t="shared" si="3"/>
        <v>29.5</v>
      </c>
      <c r="R17" s="3">
        <f t="shared" si="4"/>
        <v>15689.9</v>
      </c>
      <c r="S17" s="24"/>
      <c r="T17" s="24" t="s">
        <v>1334</v>
      </c>
      <c r="U17" s="3"/>
      <c r="V17" s="3" t="s">
        <v>5065</v>
      </c>
      <c r="W17" s="3"/>
      <c r="X17" s="3"/>
      <c r="Y17" s="3"/>
      <c r="Z17" s="3"/>
      <c r="AA17" s="3" t="str">
        <f>IF(Interbank_Soles[[#This Row],[fecha]]&gt;0,TEXT(Interbank_Soles[[#This Row],[fecha]],"mmmm"),0)</f>
        <v>Enero</v>
      </c>
    </row>
    <row r="18" spans="1:27" ht="36" x14ac:dyDescent="0.3">
      <c r="A18" s="2">
        <f>IF(Interbank_Soles[[#This Row],[tipo_registro]]="R",COUNTIFS($C$4:$C17,"R")+1,"")</f>
        <v>14</v>
      </c>
      <c r="B18" s="19" t="str">
        <f t="shared" si="0"/>
        <v>B-Interbank</v>
      </c>
      <c r="C18" s="3" t="s">
        <v>1330</v>
      </c>
      <c r="D18" s="14">
        <v>45671</v>
      </c>
      <c r="E18" s="5" t="s">
        <v>1331</v>
      </c>
      <c r="F18" s="5" t="s">
        <v>1336</v>
      </c>
      <c r="G18" s="6" t="s">
        <v>780</v>
      </c>
      <c r="H18" s="6"/>
      <c r="I18" s="6"/>
      <c r="J18" s="6"/>
      <c r="K18" s="7" t="s">
        <v>5073</v>
      </c>
      <c r="L18" s="8">
        <v>844661</v>
      </c>
      <c r="M18" s="8" t="str">
        <f t="shared" si="1"/>
        <v>PEN</v>
      </c>
      <c r="N18" s="13"/>
      <c r="O18" s="13">
        <v>29.5</v>
      </c>
      <c r="P18" s="3">
        <f t="shared" si="2"/>
        <v>0</v>
      </c>
      <c r="Q18" s="3">
        <f t="shared" si="3"/>
        <v>29.5</v>
      </c>
      <c r="R18" s="3">
        <f t="shared" si="4"/>
        <v>15660.4</v>
      </c>
      <c r="S18" s="24"/>
      <c r="T18" s="24" t="s">
        <v>1334</v>
      </c>
      <c r="U18" s="3"/>
      <c r="V18" s="3" t="s">
        <v>5065</v>
      </c>
      <c r="W18" s="3"/>
      <c r="X18" s="3"/>
      <c r="Y18" s="3"/>
      <c r="Z18" s="3"/>
      <c r="AA18" s="3" t="str">
        <f>IF(Interbank_Soles[[#This Row],[fecha]]&gt;0,TEXT(Interbank_Soles[[#This Row],[fecha]],"mmmm"),0)</f>
        <v>Enero</v>
      </c>
    </row>
    <row r="19" spans="1:27" ht="36" x14ac:dyDescent="0.3">
      <c r="A19" s="2">
        <f>IF(Interbank_Soles[[#This Row],[tipo_registro]]="R",COUNTIFS($C$4:$C18,"R")+1,"")</f>
        <v>15</v>
      </c>
      <c r="B19" s="19" t="str">
        <f t="shared" si="0"/>
        <v>B-Interbank</v>
      </c>
      <c r="C19" s="3" t="s">
        <v>1330</v>
      </c>
      <c r="D19" s="14">
        <v>45671</v>
      </c>
      <c r="E19" s="5" t="s">
        <v>1331</v>
      </c>
      <c r="F19" s="5" t="s">
        <v>1336</v>
      </c>
      <c r="G19" s="6" t="s">
        <v>780</v>
      </c>
      <c r="H19" s="6"/>
      <c r="I19" s="6"/>
      <c r="J19" s="6"/>
      <c r="K19" s="7" t="s">
        <v>5074</v>
      </c>
      <c r="L19" s="8">
        <v>860082</v>
      </c>
      <c r="M19" s="8" t="str">
        <f t="shared" si="1"/>
        <v>PEN</v>
      </c>
      <c r="N19" s="13"/>
      <c r="O19" s="13">
        <v>29.25</v>
      </c>
      <c r="P19" s="3">
        <f t="shared" si="2"/>
        <v>0</v>
      </c>
      <c r="Q19" s="3">
        <f t="shared" si="3"/>
        <v>29.25</v>
      </c>
      <c r="R19" s="3">
        <f t="shared" si="4"/>
        <v>15631.15</v>
      </c>
      <c r="S19" s="24"/>
      <c r="T19" s="24" t="s">
        <v>1334</v>
      </c>
      <c r="U19" s="3"/>
      <c r="V19" s="3" t="s">
        <v>5065</v>
      </c>
      <c r="W19" s="3"/>
      <c r="X19" s="3"/>
      <c r="Y19" s="3"/>
      <c r="Z19" s="3"/>
      <c r="AA19" s="3" t="str">
        <f>IF(Interbank_Soles[[#This Row],[fecha]]&gt;0,TEXT(Interbank_Soles[[#This Row],[fecha]],"mmmm"),0)</f>
        <v>Enero</v>
      </c>
    </row>
    <row r="20" spans="1:27" ht="36" x14ac:dyDescent="0.3">
      <c r="A20" s="2">
        <f>IF(Interbank_Soles[[#This Row],[tipo_registro]]="R",COUNTIFS($C$4:$C19,"R")+1,"")</f>
        <v>16</v>
      </c>
      <c r="B20" s="19" t="str">
        <f t="shared" si="0"/>
        <v>B-Interbank</v>
      </c>
      <c r="C20" s="3" t="s">
        <v>1330</v>
      </c>
      <c r="D20" s="14">
        <v>45671</v>
      </c>
      <c r="E20" s="5" t="s">
        <v>1331</v>
      </c>
      <c r="F20" s="5" t="s">
        <v>1336</v>
      </c>
      <c r="G20" s="6" t="s">
        <v>780</v>
      </c>
      <c r="H20" s="6"/>
      <c r="I20" s="6"/>
      <c r="J20" s="6"/>
      <c r="K20" s="7" t="s">
        <v>5075</v>
      </c>
      <c r="L20" s="8">
        <v>886982</v>
      </c>
      <c r="M20" s="8" t="str">
        <f t="shared" si="1"/>
        <v>PEN</v>
      </c>
      <c r="N20" s="13"/>
      <c r="O20" s="13">
        <v>29</v>
      </c>
      <c r="P20" s="3">
        <f t="shared" si="2"/>
        <v>0</v>
      </c>
      <c r="Q20" s="3">
        <f t="shared" si="3"/>
        <v>29</v>
      </c>
      <c r="R20" s="3">
        <f t="shared" si="4"/>
        <v>15602.15</v>
      </c>
      <c r="S20" s="24"/>
      <c r="T20" s="24" t="s">
        <v>1334</v>
      </c>
      <c r="U20" s="3"/>
      <c r="V20" s="3" t="s">
        <v>5065</v>
      </c>
      <c r="W20" s="3"/>
      <c r="X20" s="3"/>
      <c r="Y20" s="3"/>
      <c r="Z20" s="3"/>
      <c r="AA20" s="3" t="str">
        <f>IF(Interbank_Soles[[#This Row],[fecha]]&gt;0,TEXT(Interbank_Soles[[#This Row],[fecha]],"mmmm"),0)</f>
        <v>Enero</v>
      </c>
    </row>
    <row r="21" spans="1:27" ht="36" x14ac:dyDescent="0.3">
      <c r="A21" s="2">
        <f>IF(Interbank_Soles[[#This Row],[tipo_registro]]="R",COUNTIFS($C$4:$C20,"R")+1,"")</f>
        <v>17</v>
      </c>
      <c r="B21" s="19" t="str">
        <f t="shared" si="0"/>
        <v>B-Interbank</v>
      </c>
      <c r="C21" s="3" t="s">
        <v>1330</v>
      </c>
      <c r="D21" s="14">
        <v>45671</v>
      </c>
      <c r="E21" s="5" t="s">
        <v>1331</v>
      </c>
      <c r="F21" s="5" t="s">
        <v>1336</v>
      </c>
      <c r="G21" s="6" t="s">
        <v>780</v>
      </c>
      <c r="H21" s="6"/>
      <c r="I21" s="6"/>
      <c r="J21" s="6"/>
      <c r="K21" s="7" t="s">
        <v>5076</v>
      </c>
      <c r="L21" s="8">
        <v>869930</v>
      </c>
      <c r="M21" s="8" t="str">
        <f t="shared" si="1"/>
        <v>PEN</v>
      </c>
      <c r="N21" s="13"/>
      <c r="O21" s="13">
        <v>28.75</v>
      </c>
      <c r="P21" s="3">
        <f t="shared" si="2"/>
        <v>0</v>
      </c>
      <c r="Q21" s="3">
        <f t="shared" si="3"/>
        <v>28.75</v>
      </c>
      <c r="R21" s="3">
        <f t="shared" si="4"/>
        <v>15573.4</v>
      </c>
      <c r="S21" s="24"/>
      <c r="T21" s="24" t="s">
        <v>1334</v>
      </c>
      <c r="U21" s="3"/>
      <c r="V21" s="3" t="s">
        <v>5065</v>
      </c>
      <c r="W21" s="3"/>
      <c r="X21" s="3"/>
      <c r="Y21" s="3"/>
      <c r="Z21" s="3"/>
      <c r="AA21" s="3" t="str">
        <f>IF(Interbank_Soles[[#This Row],[fecha]]&gt;0,TEXT(Interbank_Soles[[#This Row],[fecha]],"mmmm"),0)</f>
        <v>Enero</v>
      </c>
    </row>
    <row r="22" spans="1:27" ht="36" x14ac:dyDescent="0.3">
      <c r="A22" s="2">
        <f>IF(Interbank_Soles[[#This Row],[tipo_registro]]="R",COUNTIFS($C$4:$C21,"R")+1,"")</f>
        <v>18</v>
      </c>
      <c r="B22" s="19" t="str">
        <f t="shared" si="0"/>
        <v>B-Interbank</v>
      </c>
      <c r="C22" s="3" t="s">
        <v>1330</v>
      </c>
      <c r="D22" s="14">
        <v>45671</v>
      </c>
      <c r="E22" s="5" t="s">
        <v>1331</v>
      </c>
      <c r="F22" s="5" t="s">
        <v>1336</v>
      </c>
      <c r="G22" s="6" t="s">
        <v>780</v>
      </c>
      <c r="H22" s="6"/>
      <c r="I22" s="6"/>
      <c r="J22" s="6"/>
      <c r="K22" s="7" t="s">
        <v>5077</v>
      </c>
      <c r="L22" s="8">
        <v>879843</v>
      </c>
      <c r="M22" s="8" t="str">
        <f t="shared" si="1"/>
        <v>PEN</v>
      </c>
      <c r="N22" s="13"/>
      <c r="O22" s="13">
        <v>26.75</v>
      </c>
      <c r="P22" s="3">
        <f t="shared" si="2"/>
        <v>0</v>
      </c>
      <c r="Q22" s="3">
        <f t="shared" si="3"/>
        <v>26.75</v>
      </c>
      <c r="R22" s="3">
        <f t="shared" si="4"/>
        <v>15546.65</v>
      </c>
      <c r="S22" s="24"/>
      <c r="T22" s="24" t="s">
        <v>1334</v>
      </c>
      <c r="U22" s="3"/>
      <c r="V22" s="3" t="s">
        <v>5065</v>
      </c>
      <c r="W22" s="3"/>
      <c r="X22" s="3"/>
      <c r="Y22" s="3"/>
      <c r="Z22" s="3"/>
      <c r="AA22" s="3" t="str">
        <f>IF(Interbank_Soles[[#This Row],[fecha]]&gt;0,TEXT(Interbank_Soles[[#This Row],[fecha]],"mmmm"),0)</f>
        <v>Enero</v>
      </c>
    </row>
    <row r="23" spans="1:27" ht="36" x14ac:dyDescent="0.3">
      <c r="A23" s="2">
        <f>IF(Interbank_Soles[[#This Row],[tipo_registro]]="R",COUNTIFS($C$4:$C22,"R")+1,"")</f>
        <v>19</v>
      </c>
      <c r="B23" s="19" t="str">
        <f t="shared" si="0"/>
        <v>B-Interbank</v>
      </c>
      <c r="C23" s="3" t="s">
        <v>1330</v>
      </c>
      <c r="D23" s="14">
        <v>45671</v>
      </c>
      <c r="E23" s="5" t="s">
        <v>1331</v>
      </c>
      <c r="F23" s="5" t="s">
        <v>1336</v>
      </c>
      <c r="G23" s="6" t="s">
        <v>780</v>
      </c>
      <c r="H23" s="6"/>
      <c r="I23" s="6"/>
      <c r="J23" s="6"/>
      <c r="K23" s="7" t="s">
        <v>5078</v>
      </c>
      <c r="L23" s="8">
        <v>895367</v>
      </c>
      <c r="M23" s="8" t="str">
        <f t="shared" si="1"/>
        <v>PEN</v>
      </c>
      <c r="N23" s="13"/>
      <c r="O23" s="13">
        <v>25</v>
      </c>
      <c r="P23" s="3">
        <f t="shared" si="2"/>
        <v>0</v>
      </c>
      <c r="Q23" s="3">
        <f t="shared" si="3"/>
        <v>25</v>
      </c>
      <c r="R23" s="3">
        <f t="shared" si="4"/>
        <v>15521.65</v>
      </c>
      <c r="S23" s="24"/>
      <c r="T23" s="24" t="s">
        <v>1334</v>
      </c>
      <c r="U23" s="3"/>
      <c r="V23" s="3" t="s">
        <v>5065</v>
      </c>
      <c r="W23" s="3"/>
      <c r="X23" s="3"/>
      <c r="Y23" s="3"/>
      <c r="Z23" s="3"/>
      <c r="AA23" s="3" t="str">
        <f>IF(Interbank_Soles[[#This Row],[fecha]]&gt;0,TEXT(Interbank_Soles[[#This Row],[fecha]],"mmmm"),0)</f>
        <v>Enero</v>
      </c>
    </row>
    <row r="24" spans="1:27" ht="36" x14ac:dyDescent="0.3">
      <c r="A24" s="2">
        <f>IF(Interbank_Soles[[#This Row],[tipo_registro]]="R",COUNTIFS($C$4:$C23,"R")+1,"")</f>
        <v>20</v>
      </c>
      <c r="B24" s="19" t="str">
        <f t="shared" si="0"/>
        <v>B-Interbank</v>
      </c>
      <c r="C24" s="3" t="s">
        <v>1330</v>
      </c>
      <c r="D24" s="14">
        <v>45671</v>
      </c>
      <c r="E24" s="5" t="s">
        <v>1331</v>
      </c>
      <c r="F24" s="5" t="s">
        <v>1336</v>
      </c>
      <c r="G24" s="6" t="s">
        <v>780</v>
      </c>
      <c r="H24" s="6"/>
      <c r="I24" s="6"/>
      <c r="J24" s="6"/>
      <c r="K24" s="7" t="s">
        <v>5079</v>
      </c>
      <c r="L24" s="8">
        <v>875115</v>
      </c>
      <c r="M24" s="8" t="str">
        <f t="shared" si="1"/>
        <v>PEN</v>
      </c>
      <c r="N24" s="13"/>
      <c r="O24" s="13">
        <v>25</v>
      </c>
      <c r="P24" s="3">
        <f t="shared" si="2"/>
        <v>0</v>
      </c>
      <c r="Q24" s="3">
        <f t="shared" si="3"/>
        <v>25</v>
      </c>
      <c r="R24" s="3">
        <f t="shared" si="4"/>
        <v>15496.65</v>
      </c>
      <c r="S24" s="24"/>
      <c r="T24" s="24" t="s">
        <v>1334</v>
      </c>
      <c r="U24" s="3"/>
      <c r="V24" s="3" t="s">
        <v>5065</v>
      </c>
      <c r="W24" s="3"/>
      <c r="X24" s="3"/>
      <c r="Y24" s="3"/>
      <c r="Z24" s="3"/>
      <c r="AA24" s="3" t="str">
        <f>IF(Interbank_Soles[[#This Row],[fecha]]&gt;0,TEXT(Interbank_Soles[[#This Row],[fecha]],"mmmm"),0)</f>
        <v>Enero</v>
      </c>
    </row>
    <row r="25" spans="1:27" x14ac:dyDescent="0.3">
      <c r="A25" s="2">
        <f>IF(Interbank_Soles[[#This Row],[tipo_registro]]="R",COUNTIFS($C$4:$C24,"R")+1,"")</f>
        <v>21</v>
      </c>
      <c r="B25" s="19" t="str">
        <f t="shared" si="0"/>
        <v>B-Interbank</v>
      </c>
      <c r="C25" s="3" t="s">
        <v>1330</v>
      </c>
      <c r="D25" s="14">
        <v>45674</v>
      </c>
      <c r="E25" s="5" t="s">
        <v>5060</v>
      </c>
      <c r="F25" s="5" t="s">
        <v>1336</v>
      </c>
      <c r="G25" s="6"/>
      <c r="H25" s="6"/>
      <c r="I25" s="6"/>
      <c r="J25" s="6"/>
      <c r="K25" s="7" t="s">
        <v>5080</v>
      </c>
      <c r="L25" s="8" t="s">
        <v>1333</v>
      </c>
      <c r="M25" s="8" t="str">
        <f t="shared" si="1"/>
        <v>PEN</v>
      </c>
      <c r="N25" s="13"/>
      <c r="O25" s="13">
        <v>0.05</v>
      </c>
      <c r="P25" s="3">
        <f t="shared" si="2"/>
        <v>0</v>
      </c>
      <c r="Q25" s="3">
        <f t="shared" si="3"/>
        <v>0.05</v>
      </c>
      <c r="R25" s="3">
        <f t="shared" si="4"/>
        <v>15496.6</v>
      </c>
      <c r="S25" s="24" t="s">
        <v>1334</v>
      </c>
      <c r="T25" s="24" t="s">
        <v>1334</v>
      </c>
      <c r="U25" s="3"/>
      <c r="V25" s="3"/>
      <c r="W25" s="3"/>
      <c r="X25" s="3"/>
      <c r="Y25" s="3"/>
      <c r="Z25" s="3"/>
      <c r="AA25" s="3" t="str">
        <f>IF(Interbank_Soles[[#This Row],[fecha]]&gt;0,TEXT(Interbank_Soles[[#This Row],[fecha]],"mmmm"),0)</f>
        <v>Enero</v>
      </c>
    </row>
    <row r="26" spans="1:27" x14ac:dyDescent="0.3">
      <c r="A26" s="2">
        <f>IF(Interbank_Soles[[#This Row],[tipo_registro]]="R",COUNTIFS($C$4:$C25,"R")+1,"")</f>
        <v>22</v>
      </c>
      <c r="B26" s="19" t="str">
        <f t="shared" si="0"/>
        <v>B-Interbank</v>
      </c>
      <c r="C26" s="3" t="s">
        <v>1330</v>
      </c>
      <c r="D26" s="14">
        <v>45674</v>
      </c>
      <c r="E26" s="5"/>
      <c r="F26" s="5" t="s">
        <v>1336</v>
      </c>
      <c r="G26" s="6"/>
      <c r="H26" s="6"/>
      <c r="I26" s="6"/>
      <c r="J26" s="6"/>
      <c r="K26" s="7" t="s">
        <v>5081</v>
      </c>
      <c r="L26" s="8">
        <v>919816</v>
      </c>
      <c r="M26" s="8" t="str">
        <f t="shared" si="1"/>
        <v>PEN</v>
      </c>
      <c r="N26" s="13"/>
      <c r="O26" s="13">
        <v>1500</v>
      </c>
      <c r="P26" s="3">
        <f t="shared" si="2"/>
        <v>0</v>
      </c>
      <c r="Q26" s="3">
        <f t="shared" si="3"/>
        <v>1500</v>
      </c>
      <c r="R26" s="3">
        <f t="shared" si="4"/>
        <v>13996.6</v>
      </c>
      <c r="S26" s="24"/>
      <c r="T26" s="24"/>
      <c r="U26" s="3"/>
      <c r="V26" s="3" t="s">
        <v>809</v>
      </c>
      <c r="W26" s="3"/>
      <c r="X26" s="3"/>
      <c r="Y26" s="3"/>
      <c r="Z26" s="3"/>
      <c r="AA26" s="3" t="str">
        <f>IF(Interbank_Soles[[#This Row],[fecha]]&gt;0,TEXT(Interbank_Soles[[#This Row],[fecha]],"mmmm"),0)</f>
        <v>Enero</v>
      </c>
    </row>
    <row r="27" spans="1:27" x14ac:dyDescent="0.3">
      <c r="A27" s="2">
        <f>IF(Interbank_Soles[[#This Row],[tipo_registro]]="R",COUNTIFS($C$4:$C26,"R")+1,"")</f>
        <v>23</v>
      </c>
      <c r="B27" s="19" t="str">
        <f t="shared" si="0"/>
        <v>B-Interbank</v>
      </c>
      <c r="C27" s="3" t="s">
        <v>1330</v>
      </c>
      <c r="D27" s="14">
        <v>45678</v>
      </c>
      <c r="E27" s="5" t="s">
        <v>5060</v>
      </c>
      <c r="F27" s="5" t="s">
        <v>1336</v>
      </c>
      <c r="G27" s="6"/>
      <c r="H27" s="6"/>
      <c r="I27" s="6"/>
      <c r="J27" s="6"/>
      <c r="K27" s="7" t="s">
        <v>5061</v>
      </c>
      <c r="L27" s="8" t="s">
        <v>1333</v>
      </c>
      <c r="M27" s="8" t="str">
        <f t="shared" si="1"/>
        <v>PEN</v>
      </c>
      <c r="N27" s="13"/>
      <c r="O27" s="13">
        <v>0.1</v>
      </c>
      <c r="P27" s="3">
        <f t="shared" si="2"/>
        <v>0</v>
      </c>
      <c r="Q27" s="3">
        <f t="shared" si="3"/>
        <v>0.1</v>
      </c>
      <c r="R27" s="3">
        <f t="shared" si="4"/>
        <v>13996.5</v>
      </c>
      <c r="S27" s="24" t="s">
        <v>1334</v>
      </c>
      <c r="T27" s="24" t="s">
        <v>1334</v>
      </c>
      <c r="U27" s="3"/>
      <c r="V27" s="3"/>
      <c r="W27" s="3"/>
      <c r="X27" s="3"/>
      <c r="Y27" s="3"/>
      <c r="Z27" s="3"/>
      <c r="AA27" s="3" t="str">
        <f>IF(Interbank_Soles[[#This Row],[fecha]]&gt;0,TEXT(Interbank_Soles[[#This Row],[fecha]],"mmmm"),0)</f>
        <v>Enero</v>
      </c>
    </row>
    <row r="28" spans="1:27" x14ac:dyDescent="0.3">
      <c r="A28" s="2">
        <f>IF(Interbank_Soles[[#This Row],[tipo_registro]]="R",COUNTIFS($C$4:$C27,"R")+1,"")</f>
        <v>24</v>
      </c>
      <c r="B28" s="19" t="str">
        <f t="shared" si="0"/>
        <v>B-Interbank</v>
      </c>
      <c r="C28" s="3" t="s">
        <v>1330</v>
      </c>
      <c r="D28" s="14">
        <v>45678</v>
      </c>
      <c r="E28" s="5"/>
      <c r="F28" s="5" t="s">
        <v>1336</v>
      </c>
      <c r="G28" s="6"/>
      <c r="H28" s="6"/>
      <c r="I28" s="6"/>
      <c r="J28" s="6"/>
      <c r="K28" s="7" t="s">
        <v>5082</v>
      </c>
      <c r="L28" s="8" t="s">
        <v>1333</v>
      </c>
      <c r="M28" s="8" t="str">
        <f t="shared" si="1"/>
        <v>PEN</v>
      </c>
      <c r="N28" s="13"/>
      <c r="O28" s="13">
        <v>2517.15</v>
      </c>
      <c r="P28" s="3">
        <f t="shared" si="2"/>
        <v>0</v>
      </c>
      <c r="Q28" s="3">
        <f t="shared" si="3"/>
        <v>2517.15</v>
      </c>
      <c r="R28" s="3">
        <f t="shared" si="4"/>
        <v>11479.35</v>
      </c>
      <c r="S28" s="24"/>
      <c r="T28" s="24"/>
      <c r="U28" s="3"/>
      <c r="V28" s="3"/>
      <c r="W28" s="3"/>
      <c r="X28" s="3"/>
      <c r="Y28" s="3"/>
      <c r="Z28" s="3"/>
      <c r="AA28" s="3" t="str">
        <f>IF(Interbank_Soles[[#This Row],[fecha]]&gt;0,TEXT(Interbank_Soles[[#This Row],[fecha]],"mmmm"),0)</f>
        <v>Enero</v>
      </c>
    </row>
    <row r="29" spans="1:27" x14ac:dyDescent="0.3">
      <c r="A29" s="2">
        <f>IF(Interbank_Soles[[#This Row],[tipo_registro]]="R",COUNTIFS($C$4:$C28,"R")+1,"")</f>
        <v>25</v>
      </c>
      <c r="B29" s="19" t="str">
        <f t="shared" si="0"/>
        <v>B-Interbank</v>
      </c>
      <c r="C29" s="3" t="s">
        <v>1330</v>
      </c>
      <c r="D29" s="14">
        <v>45679</v>
      </c>
      <c r="E29" s="5" t="s">
        <v>1331</v>
      </c>
      <c r="F29" s="5" t="s">
        <v>1336</v>
      </c>
      <c r="G29" s="6"/>
      <c r="H29" s="6"/>
      <c r="I29" s="6"/>
      <c r="J29" s="6"/>
      <c r="K29" s="7" t="s">
        <v>5083</v>
      </c>
      <c r="L29" s="8" t="s">
        <v>1333</v>
      </c>
      <c r="M29" s="8" t="str">
        <f t="shared" si="1"/>
        <v>PEN</v>
      </c>
      <c r="N29" s="13"/>
      <c r="O29" s="13">
        <v>11004.8</v>
      </c>
      <c r="P29" s="3">
        <f t="shared" si="2"/>
        <v>0</v>
      </c>
      <c r="Q29" s="3">
        <f t="shared" si="3"/>
        <v>11004.8</v>
      </c>
      <c r="R29" s="3">
        <f t="shared" si="4"/>
        <v>474.55000000000109</v>
      </c>
      <c r="S29" s="24"/>
      <c r="T29" s="24"/>
      <c r="U29" s="3"/>
      <c r="V29" s="3"/>
      <c r="W29" s="3"/>
      <c r="X29" s="3"/>
      <c r="Y29" s="3"/>
      <c r="Z29" s="3"/>
      <c r="AA29" s="3" t="str">
        <f>IF(Interbank_Soles[[#This Row],[fecha]]&gt;0,TEXT(Interbank_Soles[[#This Row],[fecha]],"mmmm"),0)</f>
        <v>Enero</v>
      </c>
    </row>
    <row r="30" spans="1:27" x14ac:dyDescent="0.3">
      <c r="A30" s="2" t="str">
        <f>IF(Interbank_Soles[[#This Row],[tipo_registro]]="R",COUNTIFS($C$4:$C29,"R")+1,"")</f>
        <v/>
      </c>
      <c r="B30" s="19" t="str">
        <f>"B-Interbank"</f>
        <v>B-Interbank</v>
      </c>
      <c r="C30" s="3" t="s">
        <v>1352</v>
      </c>
      <c r="D30" s="14">
        <v>45679</v>
      </c>
      <c r="E30" s="5" t="s">
        <v>1331</v>
      </c>
      <c r="F30" s="5" t="s">
        <v>1336</v>
      </c>
      <c r="G30" s="6"/>
      <c r="H30" s="6"/>
      <c r="I30" s="6"/>
      <c r="J30" s="6"/>
      <c r="K30" s="7" t="s">
        <v>5083</v>
      </c>
      <c r="L30" s="8" t="s">
        <v>1333</v>
      </c>
      <c r="M30" s="8" t="str">
        <f>"PEN"</f>
        <v>PEN</v>
      </c>
      <c r="N30" s="13">
        <v>1000</v>
      </c>
      <c r="O30" s="13"/>
      <c r="P30" s="3">
        <f>+IF(OR($F30="SALDO",$F30="INGRESO"),$O30,0)</f>
        <v>0</v>
      </c>
      <c r="Q30" s="3">
        <f>+IF($F30="EGRESO",$O30,0)</f>
        <v>0</v>
      </c>
      <c r="R30" s="3">
        <f>IFERROR(IF(F30="SALDO",P30,R29+P30-Q30),0)</f>
        <v>474.55000000000109</v>
      </c>
      <c r="S30" s="24"/>
      <c r="T30" s="24"/>
      <c r="U30" s="3"/>
      <c r="V30" s="3"/>
      <c r="W30" s="3"/>
      <c r="X30" s="3"/>
      <c r="Y30" s="3"/>
      <c r="Z30" s="3"/>
      <c r="AA30" s="3" t="str">
        <f>IF(Interbank_Soles[[#This Row],[fecha]]&gt;0,TEXT(Interbank_Soles[[#This Row],[fecha]],"mmmm"),0)</f>
        <v>Enero</v>
      </c>
    </row>
    <row r="31" spans="1:27" ht="36" x14ac:dyDescent="0.3">
      <c r="A31" s="2" t="str">
        <f>IF(Interbank_Soles[[#This Row],[tipo_registro]]="R",COUNTIFS($C$4:$C30,"R")+1,"")</f>
        <v/>
      </c>
      <c r="B31" s="19" t="str">
        <f>"B-Interbank"</f>
        <v>B-Interbank</v>
      </c>
      <c r="C31" s="3" t="s">
        <v>1352</v>
      </c>
      <c r="D31" s="14">
        <v>45679</v>
      </c>
      <c r="E31" s="5" t="s">
        <v>1331</v>
      </c>
      <c r="F31" s="5" t="s">
        <v>1336</v>
      </c>
      <c r="G31" s="6" t="s">
        <v>1207</v>
      </c>
      <c r="H31" s="6"/>
      <c r="I31" s="6"/>
      <c r="J31" s="6"/>
      <c r="K31" s="7" t="s">
        <v>5083</v>
      </c>
      <c r="L31" s="8" t="s">
        <v>1333</v>
      </c>
      <c r="M31" s="8" t="str">
        <f>"PEN"</f>
        <v>PEN</v>
      </c>
      <c r="N31" s="13">
        <v>4.8</v>
      </c>
      <c r="O31" s="13"/>
      <c r="P31" s="3">
        <f>+IF(OR($F31="SALDO",$F31="INGRESO"),$O31,0)</f>
        <v>0</v>
      </c>
      <c r="Q31" s="3">
        <f>+IF($F31="EGRESO",$O31,0)</f>
        <v>0</v>
      </c>
      <c r="R31" s="3">
        <f>IFERROR(IF(F31="SALDO",P31,R30+P31-Q31),0)</f>
        <v>474.55000000000109</v>
      </c>
      <c r="S31" s="24"/>
      <c r="T31" s="24"/>
      <c r="U31" s="3"/>
      <c r="V31" s="3"/>
      <c r="W31" s="3"/>
      <c r="X31" s="3"/>
      <c r="Y31" s="3"/>
      <c r="Z31" s="3"/>
      <c r="AA31" s="3" t="str">
        <f>IF(Interbank_Soles[[#This Row],[fecha]]&gt;0,TEXT(Interbank_Soles[[#This Row],[fecha]],"mmmm"),0)</f>
        <v>Enero</v>
      </c>
    </row>
    <row r="32" spans="1:27" ht="36" x14ac:dyDescent="0.3">
      <c r="A32" s="2">
        <f>IF(Interbank_Soles[[#This Row],[tipo_registro]]="R",COUNTIFS($C$4:$C31,"R")+1,"")</f>
        <v>26</v>
      </c>
      <c r="B32" s="19" t="str">
        <f t="shared" si="0"/>
        <v>B-Interbank</v>
      </c>
      <c r="C32" s="3" t="s">
        <v>1330</v>
      </c>
      <c r="D32" s="14">
        <v>45680</v>
      </c>
      <c r="E32" s="5" t="s">
        <v>208</v>
      </c>
      <c r="F32" s="5" t="s">
        <v>1303</v>
      </c>
      <c r="G32" s="6" t="s">
        <v>425</v>
      </c>
      <c r="H32" s="6"/>
      <c r="I32" s="6"/>
      <c r="J32" s="6"/>
      <c r="K32" s="7" t="s">
        <v>5084</v>
      </c>
      <c r="L32" s="8">
        <v>8052290</v>
      </c>
      <c r="M32" s="8" t="str">
        <f t="shared" si="1"/>
        <v>PEN</v>
      </c>
      <c r="N32" s="13"/>
      <c r="O32" s="13">
        <v>6409.01</v>
      </c>
      <c r="P32" s="3">
        <f t="shared" si="2"/>
        <v>6409.01</v>
      </c>
      <c r="Q32" s="3">
        <f t="shared" si="3"/>
        <v>0</v>
      </c>
      <c r="R32" s="3">
        <f>IFERROR(IF(F32="SALDO",P32,R31+P32-Q32),0)</f>
        <v>6883.5600000000013</v>
      </c>
      <c r="S32" s="24" t="s">
        <v>1334</v>
      </c>
      <c r="T32" s="24" t="s">
        <v>1334</v>
      </c>
      <c r="U32" s="3"/>
      <c r="V32" s="3" t="s">
        <v>425</v>
      </c>
      <c r="W32" s="3" t="s">
        <v>5085</v>
      </c>
      <c r="X32" s="3" t="s">
        <v>5086</v>
      </c>
      <c r="Y32" s="3"/>
      <c r="Z32" s="3"/>
      <c r="AA32" s="3" t="str">
        <f>IF(Interbank_Soles[[#This Row],[fecha]]&gt;0,TEXT(Interbank_Soles[[#This Row],[fecha]],"mmmm"),0)</f>
        <v>Enero</v>
      </c>
    </row>
    <row r="33" spans="1:27" ht="36" x14ac:dyDescent="0.3">
      <c r="A33" s="2" t="str">
        <f>IF(Interbank_Soles[[#This Row],[tipo_registro]]="R",COUNTIFS($C$4:$C32,"R")+1,"")</f>
        <v/>
      </c>
      <c r="B33" s="19" t="str">
        <f>"B-Interbank"</f>
        <v>B-Interbank</v>
      </c>
      <c r="C33" s="3" t="s">
        <v>1352</v>
      </c>
      <c r="D33" s="14">
        <v>45680</v>
      </c>
      <c r="E33" s="5" t="s">
        <v>208</v>
      </c>
      <c r="F33" s="5" t="s">
        <v>1303</v>
      </c>
      <c r="G33" s="6" t="s">
        <v>425</v>
      </c>
      <c r="H33" s="6" t="s">
        <v>68</v>
      </c>
      <c r="I33" s="6" t="s">
        <v>1343</v>
      </c>
      <c r="J33" s="6">
        <v>476</v>
      </c>
      <c r="K33" s="7" t="s">
        <v>5084</v>
      </c>
      <c r="L33" s="8">
        <v>8052290</v>
      </c>
      <c r="M33" s="8" t="str">
        <f>"PEN"</f>
        <v>PEN</v>
      </c>
      <c r="N33" s="13">
        <v>620.15</v>
      </c>
      <c r="O33" s="13"/>
      <c r="P33" s="3">
        <f t="shared" si="2"/>
        <v>0</v>
      </c>
      <c r="Q33" s="3">
        <f t="shared" si="3"/>
        <v>0</v>
      </c>
      <c r="R33" s="3">
        <f t="shared" si="4"/>
        <v>6883.5600000000013</v>
      </c>
      <c r="S33" s="24" t="s">
        <v>1334</v>
      </c>
      <c r="T33" s="24" t="s">
        <v>1334</v>
      </c>
      <c r="U33" s="3"/>
      <c r="V33" s="3"/>
      <c r="W33" s="3"/>
      <c r="X33" s="3"/>
      <c r="Y33" s="3"/>
      <c r="Z33" s="3"/>
      <c r="AA33" s="3" t="str">
        <f>IF(Interbank_Soles[[#This Row],[fecha]]&gt;0,TEXT(Interbank_Soles[[#This Row],[fecha]],"mmmm"),0)</f>
        <v>Enero</v>
      </c>
    </row>
    <row r="34" spans="1:27" ht="36" x14ac:dyDescent="0.3">
      <c r="A34" s="2" t="str">
        <f>IF(Interbank_Soles[[#This Row],[tipo_registro]]="R",COUNTIFS($C$4:$C33,"R")+1,"")</f>
        <v/>
      </c>
      <c r="B34" s="19" t="str">
        <f>"B-Interbank"</f>
        <v>B-Interbank</v>
      </c>
      <c r="C34" s="3" t="s">
        <v>1352</v>
      </c>
      <c r="D34" s="14">
        <v>45680</v>
      </c>
      <c r="E34" s="5" t="s">
        <v>208</v>
      </c>
      <c r="F34" s="5" t="s">
        <v>1303</v>
      </c>
      <c r="G34" s="6" t="s">
        <v>425</v>
      </c>
      <c r="H34" s="6" t="s">
        <v>68</v>
      </c>
      <c r="I34" s="6" t="s">
        <v>1343</v>
      </c>
      <c r="J34" s="6">
        <v>477</v>
      </c>
      <c r="K34" s="7" t="s">
        <v>5084</v>
      </c>
      <c r="L34" s="8">
        <v>8052290</v>
      </c>
      <c r="M34" s="8" t="str">
        <f>"PEN"</f>
        <v>PEN</v>
      </c>
      <c r="N34" s="13">
        <v>2113.0100000000002</v>
      </c>
      <c r="O34" s="13"/>
      <c r="P34" s="3">
        <f t="shared" si="2"/>
        <v>0</v>
      </c>
      <c r="Q34" s="3">
        <f t="shared" si="3"/>
        <v>0</v>
      </c>
      <c r="R34" s="3">
        <f t="shared" si="4"/>
        <v>6883.5600000000013</v>
      </c>
      <c r="S34" s="24" t="s">
        <v>1334</v>
      </c>
      <c r="T34" s="24" t="s">
        <v>1334</v>
      </c>
      <c r="U34" s="3"/>
      <c r="V34" s="3"/>
      <c r="W34" s="3"/>
      <c r="X34" s="3"/>
      <c r="Y34" s="3"/>
      <c r="Z34" s="3"/>
      <c r="AA34" s="3" t="str">
        <f>IF(Interbank_Soles[[#This Row],[fecha]]&gt;0,TEXT(Interbank_Soles[[#This Row],[fecha]],"mmmm"),0)</f>
        <v>Enero</v>
      </c>
    </row>
    <row r="35" spans="1:27" ht="36" x14ac:dyDescent="0.3">
      <c r="A35" s="2" t="str">
        <f>IF(Interbank_Soles[[#This Row],[tipo_registro]]="R",COUNTIFS($C$4:$C34,"R")+1,"")</f>
        <v/>
      </c>
      <c r="B35" s="19" t="str">
        <f>"B-Interbank"</f>
        <v>B-Interbank</v>
      </c>
      <c r="C35" s="3" t="s">
        <v>1352</v>
      </c>
      <c r="D35" s="14">
        <v>45680</v>
      </c>
      <c r="E35" s="5" t="s">
        <v>208</v>
      </c>
      <c r="F35" s="5" t="s">
        <v>1303</v>
      </c>
      <c r="G35" s="6" t="s">
        <v>425</v>
      </c>
      <c r="H35" s="6" t="s">
        <v>68</v>
      </c>
      <c r="I35" s="6" t="s">
        <v>1343</v>
      </c>
      <c r="J35" s="6">
        <v>478</v>
      </c>
      <c r="K35" s="7" t="s">
        <v>5084</v>
      </c>
      <c r="L35" s="8">
        <v>8052290</v>
      </c>
      <c r="M35" s="8" t="str">
        <f>"PEN"</f>
        <v>PEN</v>
      </c>
      <c r="N35" s="13">
        <v>3675.85</v>
      </c>
      <c r="O35" s="13"/>
      <c r="P35" s="3">
        <f t="shared" si="2"/>
        <v>0</v>
      </c>
      <c r="Q35" s="3">
        <f t="shared" si="3"/>
        <v>0</v>
      </c>
      <c r="R35" s="3">
        <f t="shared" si="4"/>
        <v>6883.5600000000013</v>
      </c>
      <c r="S35" s="24" t="s">
        <v>1334</v>
      </c>
      <c r="T35" s="24" t="s">
        <v>1334</v>
      </c>
      <c r="U35" s="3"/>
      <c r="V35" s="3"/>
      <c r="W35" s="3"/>
      <c r="X35" s="3"/>
      <c r="Y35" s="3"/>
      <c r="Z35" s="3"/>
      <c r="AA35" s="3" t="str">
        <f>IF(Interbank_Soles[[#This Row],[fecha]]&gt;0,TEXT(Interbank_Soles[[#This Row],[fecha]],"mmmm"),0)</f>
        <v>Enero</v>
      </c>
    </row>
    <row r="36" spans="1:27" x14ac:dyDescent="0.3">
      <c r="A36" s="2">
        <f>IF(Interbank_Soles[[#This Row],[tipo_registro]]="R",COUNTIFS($C$4:$C35,"R")+1,"")</f>
        <v>27</v>
      </c>
      <c r="B36" s="19" t="str">
        <f t="shared" si="0"/>
        <v>B-Interbank</v>
      </c>
      <c r="C36" s="3" t="s">
        <v>1330</v>
      </c>
      <c r="D36" s="14">
        <v>45680</v>
      </c>
      <c r="E36" s="5" t="s">
        <v>5060</v>
      </c>
      <c r="F36" s="5" t="s">
        <v>1336</v>
      </c>
      <c r="G36" s="6"/>
      <c r="H36" s="6"/>
      <c r="I36" s="6"/>
      <c r="J36" s="6"/>
      <c r="K36" s="7" t="s">
        <v>5061</v>
      </c>
      <c r="L36" s="8" t="s">
        <v>1333</v>
      </c>
      <c r="M36" s="8" t="str">
        <f t="shared" si="1"/>
        <v>PEN</v>
      </c>
      <c r="N36" s="13"/>
      <c r="O36" s="13">
        <v>0.3</v>
      </c>
      <c r="P36" s="3">
        <f t="shared" si="2"/>
        <v>0</v>
      </c>
      <c r="Q36" s="3">
        <f t="shared" si="3"/>
        <v>0.3</v>
      </c>
      <c r="R36" s="3">
        <f t="shared" si="4"/>
        <v>6883.2600000000011</v>
      </c>
      <c r="S36" s="24" t="s">
        <v>1334</v>
      </c>
      <c r="T36" s="24" t="s">
        <v>1334</v>
      </c>
      <c r="U36" s="3"/>
      <c r="V36" s="3"/>
      <c r="W36" s="3"/>
      <c r="X36" s="3"/>
      <c r="Y36" s="3"/>
      <c r="Z36" s="3"/>
      <c r="AA36" s="3" t="str">
        <f>IF(Interbank_Soles[[#This Row],[fecha]]&gt;0,TEXT(Interbank_Soles[[#This Row],[fecha]],"mmmm"),0)</f>
        <v>Enero</v>
      </c>
    </row>
    <row r="37" spans="1:27" x14ac:dyDescent="0.3">
      <c r="A37" s="2">
        <f>IF(Interbank_Soles[[#This Row],[tipo_registro]]="R",COUNTIFS($C$4:$C36,"R")+1,"")</f>
        <v>28</v>
      </c>
      <c r="B37" s="19" t="str">
        <f t="shared" si="0"/>
        <v>B-Interbank</v>
      </c>
      <c r="C37" s="3" t="s">
        <v>1330</v>
      </c>
      <c r="D37" s="14">
        <v>45684</v>
      </c>
      <c r="E37" s="5"/>
      <c r="F37" s="5" t="s">
        <v>1303</v>
      </c>
      <c r="G37" s="6"/>
      <c r="H37" s="6"/>
      <c r="I37" s="6"/>
      <c r="J37" s="6"/>
      <c r="K37" s="7" t="s">
        <v>5087</v>
      </c>
      <c r="L37" s="8">
        <v>265266</v>
      </c>
      <c r="M37" s="8" t="str">
        <f t="shared" si="1"/>
        <v>PEN</v>
      </c>
      <c r="N37" s="13"/>
      <c r="O37" s="13">
        <v>2517.15</v>
      </c>
      <c r="P37" s="3">
        <f t="shared" si="2"/>
        <v>2517.15</v>
      </c>
      <c r="Q37" s="3">
        <f t="shared" si="3"/>
        <v>0</v>
      </c>
      <c r="R37" s="3">
        <f t="shared" si="4"/>
        <v>9400.4100000000017</v>
      </c>
      <c r="S37" s="24"/>
      <c r="T37" s="24"/>
      <c r="U37" s="3"/>
      <c r="V37" s="3" t="s">
        <v>425</v>
      </c>
      <c r="W37" s="3"/>
      <c r="X37" s="3"/>
      <c r="Y37" s="3"/>
      <c r="Z37" s="3"/>
      <c r="AA37" s="3" t="str">
        <f>IF(Interbank_Soles[[#This Row],[fecha]]&gt;0,TEXT(Interbank_Soles[[#This Row],[fecha]],"mmmm"),0)</f>
        <v>Enero</v>
      </c>
    </row>
    <row r="38" spans="1:27" ht="24" x14ac:dyDescent="0.3">
      <c r="A38" s="16">
        <f>IF(Interbank_Soles[[#This Row],[tipo_registro]]="R",COUNTIFS($C$4:$C37,"R")+1,"")</f>
        <v>29</v>
      </c>
      <c r="B38" s="18" t="str">
        <f>"B-Interbank"</f>
        <v>B-Interbank</v>
      </c>
      <c r="C38" s="13" t="s">
        <v>1330</v>
      </c>
      <c r="D38" s="14">
        <v>45695</v>
      </c>
      <c r="E38" s="5" t="s">
        <v>224</v>
      </c>
      <c r="F38" s="5" t="s">
        <v>1303</v>
      </c>
      <c r="G38" s="6"/>
      <c r="H38" s="6"/>
      <c r="I38" s="6"/>
      <c r="J38" s="6"/>
      <c r="K38" s="7" t="s">
        <v>5088</v>
      </c>
      <c r="L38" s="8">
        <v>376892</v>
      </c>
      <c r="M38" s="8" t="str">
        <f t="shared" si="1"/>
        <v>PEN</v>
      </c>
      <c r="N38" s="13"/>
      <c r="O38" s="13">
        <v>1874.59</v>
      </c>
      <c r="P38" s="13">
        <f t="shared" si="2"/>
        <v>1874.59</v>
      </c>
      <c r="Q38" s="13">
        <f t="shared" si="3"/>
        <v>0</v>
      </c>
      <c r="R38" s="13">
        <f>IFERROR(IF(F38="SALDO",P38,R37+P38-Q38),0)</f>
        <v>11275.000000000002</v>
      </c>
      <c r="S38" s="28" t="s">
        <v>1334</v>
      </c>
      <c r="T38" s="28" t="s">
        <v>1334</v>
      </c>
      <c r="U38" s="13"/>
      <c r="V38" s="13" t="s">
        <v>425</v>
      </c>
      <c r="W38" s="13" t="s">
        <v>5089</v>
      </c>
      <c r="X38" s="13"/>
      <c r="Y38" s="13"/>
      <c r="Z38" s="13"/>
      <c r="AA38" s="13" t="str">
        <f>IF(Interbank_Soles[[#This Row],[fecha]]&gt;0,TEXT(Interbank_Soles[[#This Row],[fecha]],"mmmm"),0)</f>
        <v>Febrero</v>
      </c>
    </row>
    <row r="39" spans="1:27" x14ac:dyDescent="0.3">
      <c r="A39" s="2">
        <f>IF(Interbank_Soles[[#This Row],[tipo_registro]]="R",COUNTIFS($C$4:$C38,"R")+1,"")</f>
        <v>30</v>
      </c>
      <c r="B39" s="19" t="str">
        <f t="shared" si="0"/>
        <v>B-Interbank</v>
      </c>
      <c r="C39" s="3" t="s">
        <v>1330</v>
      </c>
      <c r="D39" s="14">
        <v>45695</v>
      </c>
      <c r="E39" s="5" t="s">
        <v>5060</v>
      </c>
      <c r="F39" s="5" t="s">
        <v>1336</v>
      </c>
      <c r="G39" s="6"/>
      <c r="H39" s="6"/>
      <c r="I39" s="6"/>
      <c r="J39" s="6"/>
      <c r="K39" s="7" t="s">
        <v>5061</v>
      </c>
      <c r="L39" s="8" t="s">
        <v>1333</v>
      </c>
      <c r="M39" s="8" t="str">
        <f t="shared" si="1"/>
        <v>PEN</v>
      </c>
      <c r="N39" s="13"/>
      <c r="O39" s="13">
        <v>0.05</v>
      </c>
      <c r="P39" s="3">
        <f t="shared" ref="P39:P72" si="5">+IF(OR($F39="SALDO",$F39="INGRESO"),$O39,0)</f>
        <v>0</v>
      </c>
      <c r="Q39" s="3">
        <f t="shared" ref="Q39:Q72" si="6">+IF($F39="EGRESO",$O39,0)</f>
        <v>0.05</v>
      </c>
      <c r="R39" s="3">
        <f>IFERROR(IF(F39="SALDO",P39,R38+P39-Q39),0)</f>
        <v>11274.950000000003</v>
      </c>
      <c r="S39" s="24" t="s">
        <v>1334</v>
      </c>
      <c r="T39" s="24" t="s">
        <v>1334</v>
      </c>
      <c r="U39" s="3"/>
      <c r="V39" s="3"/>
      <c r="W39" s="3"/>
      <c r="X39" s="3"/>
      <c r="Y39" s="3"/>
      <c r="Z39" s="3"/>
      <c r="AA39" s="3" t="str">
        <f>IF(Interbank_Soles[[#This Row],[fecha]]&gt;0,TEXT(Interbank_Soles[[#This Row],[fecha]],"mmmm"),0)</f>
        <v>Febrero</v>
      </c>
    </row>
    <row r="40" spans="1:27" ht="48" x14ac:dyDescent="0.3">
      <c r="A40" s="2">
        <f>IF(Interbank_Soles[[#This Row],[tipo_registro]]="R",COUNTIFS($C$4:$C39,"R")+1,"")</f>
        <v>31</v>
      </c>
      <c r="B40" s="19" t="str">
        <f t="shared" si="0"/>
        <v>B-Interbank</v>
      </c>
      <c r="C40" s="3" t="s">
        <v>1330</v>
      </c>
      <c r="D40" s="14">
        <v>45699</v>
      </c>
      <c r="E40" s="5" t="s">
        <v>310</v>
      </c>
      <c r="F40" s="5" t="s">
        <v>1303</v>
      </c>
      <c r="G40" s="6"/>
      <c r="H40" s="6"/>
      <c r="I40" s="6"/>
      <c r="J40" s="6"/>
      <c r="K40" s="7" t="s">
        <v>5090</v>
      </c>
      <c r="L40" s="8">
        <v>145390</v>
      </c>
      <c r="M40" s="8" t="str">
        <f t="shared" si="1"/>
        <v>PEN</v>
      </c>
      <c r="N40" s="13"/>
      <c r="O40" s="13">
        <v>997.1</v>
      </c>
      <c r="P40" s="3">
        <f t="shared" si="5"/>
        <v>997.1</v>
      </c>
      <c r="Q40" s="3">
        <f t="shared" si="6"/>
        <v>0</v>
      </c>
      <c r="R40" s="3">
        <f t="shared" ref="R40:R72" si="7">IFERROR(IF(F40="SALDO",P40,R39+P40-Q40),0)</f>
        <v>12272.050000000003</v>
      </c>
      <c r="S40" s="24" t="s">
        <v>1334</v>
      </c>
      <c r="T40" s="24" t="s">
        <v>1334</v>
      </c>
      <c r="U40" s="3"/>
      <c r="V40" s="3" t="s">
        <v>425</v>
      </c>
      <c r="W40" s="3" t="s">
        <v>5091</v>
      </c>
      <c r="X40" s="3"/>
      <c r="Y40" s="3"/>
      <c r="Z40" s="3"/>
      <c r="AA40" s="3" t="str">
        <f>IF(Interbank_Soles[[#This Row],[fecha]]&gt;0,TEXT(Interbank_Soles[[#This Row],[fecha]],"mmmm"),0)</f>
        <v>Febrero</v>
      </c>
    </row>
    <row r="41" spans="1:27" ht="48" x14ac:dyDescent="0.3">
      <c r="A41" s="2">
        <f>IF(Interbank_Soles[[#This Row],[tipo_registro]]="R",COUNTIFS($C$4:$C40,"R")+1,"")</f>
        <v>32</v>
      </c>
      <c r="B41" s="19" t="str">
        <f t="shared" si="0"/>
        <v>B-Interbank</v>
      </c>
      <c r="C41" s="3" t="s">
        <v>1330</v>
      </c>
      <c r="D41" s="14">
        <v>45699</v>
      </c>
      <c r="E41" s="5" t="s">
        <v>310</v>
      </c>
      <c r="F41" s="5" t="s">
        <v>1303</v>
      </c>
      <c r="G41" s="6"/>
      <c r="H41" s="6"/>
      <c r="I41" s="6"/>
      <c r="J41" s="6"/>
      <c r="K41" s="7" t="s">
        <v>5090</v>
      </c>
      <c r="L41" s="8">
        <v>148023</v>
      </c>
      <c r="M41" s="8" t="str">
        <f t="shared" si="1"/>
        <v>PEN</v>
      </c>
      <c r="N41" s="13"/>
      <c r="O41" s="13">
        <v>1132.8</v>
      </c>
      <c r="P41" s="3">
        <f t="shared" si="5"/>
        <v>1132.8</v>
      </c>
      <c r="Q41" s="3">
        <f t="shared" si="6"/>
        <v>0</v>
      </c>
      <c r="R41" s="3">
        <f t="shared" si="7"/>
        <v>13404.850000000002</v>
      </c>
      <c r="S41" s="24" t="s">
        <v>1334</v>
      </c>
      <c r="T41" s="24" t="s">
        <v>1334</v>
      </c>
      <c r="U41" s="3"/>
      <c r="V41" s="3" t="s">
        <v>425</v>
      </c>
      <c r="W41" s="3" t="s">
        <v>5092</v>
      </c>
      <c r="X41" s="3"/>
      <c r="Y41" s="3"/>
      <c r="Z41" s="3"/>
      <c r="AA41" s="3" t="str">
        <f>IF(Interbank_Soles[[#This Row],[fecha]]&gt;0,TEXT(Interbank_Soles[[#This Row],[fecha]],"mmmm"),0)</f>
        <v>Febrero</v>
      </c>
    </row>
    <row r="42" spans="1:27" x14ac:dyDescent="0.3">
      <c r="A42" s="2">
        <f>IF(Interbank_Soles[[#This Row],[tipo_registro]]="R",COUNTIFS($C$4:$C41,"R")+1,"")</f>
        <v>33</v>
      </c>
      <c r="B42" s="19" t="str">
        <f t="shared" ref="B42:B75" si="8">"B-Interbank"</f>
        <v>B-Interbank</v>
      </c>
      <c r="C42" s="3" t="s">
        <v>1330</v>
      </c>
      <c r="D42" s="14">
        <v>45699</v>
      </c>
      <c r="E42" s="5" t="s">
        <v>5060</v>
      </c>
      <c r="F42" s="5" t="s">
        <v>1336</v>
      </c>
      <c r="G42" s="6"/>
      <c r="H42" s="6"/>
      <c r="I42" s="6"/>
      <c r="J42" s="6"/>
      <c r="K42" s="7" t="s">
        <v>5061</v>
      </c>
      <c r="L42" s="8" t="s">
        <v>1333</v>
      </c>
      <c r="M42" s="8" t="str">
        <f t="shared" ref="M42:M75" si="9">"PEN"</f>
        <v>PEN</v>
      </c>
      <c r="N42" s="13"/>
      <c r="O42" s="13">
        <v>0.05</v>
      </c>
      <c r="P42" s="3">
        <f t="shared" si="5"/>
        <v>0</v>
      </c>
      <c r="Q42" s="3">
        <f t="shared" si="6"/>
        <v>0.05</v>
      </c>
      <c r="R42" s="3">
        <f t="shared" si="7"/>
        <v>13404.800000000003</v>
      </c>
      <c r="S42" s="24" t="s">
        <v>1334</v>
      </c>
      <c r="T42" s="24" t="s">
        <v>1334</v>
      </c>
      <c r="U42" s="3"/>
      <c r="V42" s="3"/>
      <c r="W42" s="3"/>
      <c r="X42" s="3"/>
      <c r="Y42" s="3"/>
      <c r="Z42" s="3"/>
      <c r="AA42" s="3" t="str">
        <f>IF(Interbank_Soles[[#This Row],[fecha]]&gt;0,TEXT(Interbank_Soles[[#This Row],[fecha]],"mmmm"),0)</f>
        <v>Febrero</v>
      </c>
    </row>
    <row r="43" spans="1:27" x14ac:dyDescent="0.3">
      <c r="A43" s="2">
        <f>IF(Interbank_Soles[[#This Row],[tipo_registro]]="R",COUNTIFS($C$4:$C42,"R")+1,"")</f>
        <v>34</v>
      </c>
      <c r="B43" s="19" t="str">
        <f t="shared" si="8"/>
        <v>B-Interbank</v>
      </c>
      <c r="C43" s="3" t="s">
        <v>1330</v>
      </c>
      <c r="D43" s="14">
        <v>45702</v>
      </c>
      <c r="E43" s="5"/>
      <c r="F43" s="5" t="s">
        <v>1336</v>
      </c>
      <c r="G43" s="6"/>
      <c r="H43" s="6"/>
      <c r="I43" s="6"/>
      <c r="J43" s="6"/>
      <c r="K43" s="7" t="s">
        <v>5093</v>
      </c>
      <c r="L43" s="8" t="s">
        <v>1333</v>
      </c>
      <c r="M43" s="8" t="str">
        <f t="shared" si="9"/>
        <v>PEN</v>
      </c>
      <c r="N43" s="13"/>
      <c r="O43" s="13">
        <v>0.1</v>
      </c>
      <c r="P43" s="3">
        <f t="shared" si="5"/>
        <v>0</v>
      </c>
      <c r="Q43" s="3">
        <f t="shared" si="6"/>
        <v>0.1</v>
      </c>
      <c r="R43" s="3">
        <f t="shared" si="7"/>
        <v>13404.700000000003</v>
      </c>
      <c r="S43" s="24"/>
      <c r="T43" s="24"/>
      <c r="U43" s="3"/>
      <c r="V43" s="3"/>
      <c r="W43" s="3"/>
      <c r="X43" s="3"/>
      <c r="Y43" s="3"/>
      <c r="Z43" s="3"/>
      <c r="AA43" s="3" t="str">
        <f>IF(Interbank_Soles[[#This Row],[fecha]]&gt;0,TEXT(Interbank_Soles[[#This Row],[fecha]],"mmmm"),0)</f>
        <v>Febrero</v>
      </c>
    </row>
    <row r="44" spans="1:27" x14ac:dyDescent="0.3">
      <c r="A44" s="2">
        <f>IF(Interbank_Soles[[#This Row],[tipo_registro]]="R",COUNTIFS($C$4:$C43,"R")+1,"")</f>
        <v>35</v>
      </c>
      <c r="B44" s="19" t="str">
        <f t="shared" si="8"/>
        <v>B-Interbank</v>
      </c>
      <c r="C44" s="3" t="s">
        <v>1330</v>
      </c>
      <c r="D44" s="14">
        <v>45702</v>
      </c>
      <c r="E44" s="5" t="s">
        <v>630</v>
      </c>
      <c r="F44" s="5" t="s">
        <v>1303</v>
      </c>
      <c r="G44" s="6"/>
      <c r="H44" s="6"/>
      <c r="I44" s="6"/>
      <c r="J44" s="6"/>
      <c r="K44" s="7" t="s">
        <v>5094</v>
      </c>
      <c r="L44" s="8">
        <v>892768</v>
      </c>
      <c r="M44" s="8" t="str">
        <f t="shared" si="9"/>
        <v>PEN</v>
      </c>
      <c r="N44" s="13"/>
      <c r="O44" s="13">
        <v>2191.27</v>
      </c>
      <c r="P44" s="3">
        <f t="shared" si="5"/>
        <v>2191.27</v>
      </c>
      <c r="Q44" s="3">
        <f t="shared" si="6"/>
        <v>0</v>
      </c>
      <c r="R44" s="3">
        <f t="shared" si="7"/>
        <v>15595.970000000003</v>
      </c>
      <c r="S44" s="24" t="s">
        <v>1334</v>
      </c>
      <c r="T44" s="24" t="s">
        <v>1334</v>
      </c>
      <c r="U44" s="3"/>
      <c r="V44" s="3" t="s">
        <v>425</v>
      </c>
      <c r="W44" s="3" t="s">
        <v>5095</v>
      </c>
      <c r="X44" s="3"/>
      <c r="Y44" s="3"/>
      <c r="Z44" s="3"/>
      <c r="AA44" s="3" t="str">
        <f>IF(Interbank_Soles[[#This Row],[fecha]]&gt;0,TEXT(Interbank_Soles[[#This Row],[fecha]],"mmmm"),0)</f>
        <v>Febrero</v>
      </c>
    </row>
    <row r="45" spans="1:27" ht="24" x14ac:dyDescent="0.3">
      <c r="A45" s="2">
        <f>IF(Interbank_Soles[[#This Row],[tipo_registro]]="R",COUNTIFS($C$4:$C44,"R")+1,"")</f>
        <v>36</v>
      </c>
      <c r="B45" s="19" t="str">
        <f t="shared" si="8"/>
        <v>B-Interbank</v>
      </c>
      <c r="C45" s="3" t="s">
        <v>1330</v>
      </c>
      <c r="D45" s="14">
        <v>45707</v>
      </c>
      <c r="E45" s="5" t="s">
        <v>1338</v>
      </c>
      <c r="F45" s="5" t="s">
        <v>1336</v>
      </c>
      <c r="G45" s="6" t="s">
        <v>364</v>
      </c>
      <c r="H45" s="6" t="s">
        <v>68</v>
      </c>
      <c r="I45" s="6" t="s">
        <v>4440</v>
      </c>
      <c r="J45" s="6">
        <v>14987</v>
      </c>
      <c r="K45" s="7" t="s">
        <v>5096</v>
      </c>
      <c r="L45" s="8">
        <v>315693</v>
      </c>
      <c r="M45" s="8" t="str">
        <f t="shared" si="9"/>
        <v>PEN</v>
      </c>
      <c r="N45" s="13"/>
      <c r="O45" s="13">
        <v>287.92</v>
      </c>
      <c r="P45" s="3">
        <f t="shared" si="5"/>
        <v>0</v>
      </c>
      <c r="Q45" s="3">
        <f t="shared" si="6"/>
        <v>287.92</v>
      </c>
      <c r="R45" s="3">
        <f t="shared" si="7"/>
        <v>15308.050000000003</v>
      </c>
      <c r="S45" s="24" t="s">
        <v>1334</v>
      </c>
      <c r="T45" s="24" t="s">
        <v>1334</v>
      </c>
      <c r="U45" s="3"/>
      <c r="V45" s="3" t="s">
        <v>364</v>
      </c>
      <c r="W45" s="3" t="s">
        <v>5097</v>
      </c>
      <c r="X45" s="3"/>
      <c r="Y45" s="3"/>
      <c r="Z45" s="3"/>
      <c r="AA45" s="3" t="str">
        <f>IF(Interbank_Soles[[#This Row],[fecha]]&gt;0,TEXT(Interbank_Soles[[#This Row],[fecha]],"mmmm"),0)</f>
        <v>Febrero</v>
      </c>
    </row>
    <row r="46" spans="1:27" ht="24" x14ac:dyDescent="0.3">
      <c r="A46" s="2">
        <f>IF(Interbank_Soles[[#This Row],[tipo_registro]]="R",COUNTIFS($C$4:$C45,"R")+1,"")</f>
        <v>37</v>
      </c>
      <c r="B46" s="19" t="str">
        <f t="shared" si="8"/>
        <v>B-Interbank</v>
      </c>
      <c r="C46" s="3" t="s">
        <v>1330</v>
      </c>
      <c r="D46" s="14">
        <v>45707</v>
      </c>
      <c r="E46" s="5" t="s">
        <v>1338</v>
      </c>
      <c r="F46" s="5" t="s">
        <v>1336</v>
      </c>
      <c r="G46" s="6" t="s">
        <v>364</v>
      </c>
      <c r="H46" s="6" t="s">
        <v>68</v>
      </c>
      <c r="I46" s="6" t="s">
        <v>4440</v>
      </c>
      <c r="J46" s="6">
        <v>14959</v>
      </c>
      <c r="K46" s="7" t="s">
        <v>5096</v>
      </c>
      <c r="L46" s="8">
        <v>312731</v>
      </c>
      <c r="M46" s="8" t="str">
        <f t="shared" si="9"/>
        <v>PEN</v>
      </c>
      <c r="N46" s="13"/>
      <c r="O46" s="13">
        <v>258.42</v>
      </c>
      <c r="P46" s="3">
        <f t="shared" si="5"/>
        <v>0</v>
      </c>
      <c r="Q46" s="3">
        <f t="shared" si="6"/>
        <v>258.42</v>
      </c>
      <c r="R46" s="3">
        <f t="shared" si="7"/>
        <v>15049.630000000003</v>
      </c>
      <c r="S46" s="24" t="s">
        <v>1334</v>
      </c>
      <c r="T46" s="24" t="s">
        <v>1334</v>
      </c>
      <c r="U46" s="3"/>
      <c r="V46" s="3" t="s">
        <v>364</v>
      </c>
      <c r="W46" s="3" t="s">
        <v>5098</v>
      </c>
      <c r="X46" s="3"/>
      <c r="Y46" s="3"/>
      <c r="Z46" s="3"/>
      <c r="AA46" s="3" t="str">
        <f>IF(Interbank_Soles[[#This Row],[fecha]]&gt;0,TEXT(Interbank_Soles[[#This Row],[fecha]],"mmmm"),0)</f>
        <v>Febrero</v>
      </c>
    </row>
    <row r="47" spans="1:27" ht="36" x14ac:dyDescent="0.3">
      <c r="A47" s="2">
        <f>IF(Interbank_Soles[[#This Row],[tipo_registro]]="R",COUNTIFS($C$4:$C46,"R")+1,"")</f>
        <v>38</v>
      </c>
      <c r="B47" s="19" t="str">
        <f t="shared" si="8"/>
        <v>B-Interbank</v>
      </c>
      <c r="C47" s="3" t="s">
        <v>1330</v>
      </c>
      <c r="D47" s="14">
        <v>45707</v>
      </c>
      <c r="E47" s="5" t="s">
        <v>1331</v>
      </c>
      <c r="F47" s="5" t="s">
        <v>1336</v>
      </c>
      <c r="G47" s="6" t="s">
        <v>780</v>
      </c>
      <c r="H47" s="6"/>
      <c r="I47" s="6"/>
      <c r="J47" s="6"/>
      <c r="K47" s="7" t="s">
        <v>5065</v>
      </c>
      <c r="L47" s="8">
        <v>151948</v>
      </c>
      <c r="M47" s="8" t="str">
        <f t="shared" si="9"/>
        <v>PEN</v>
      </c>
      <c r="N47" s="13"/>
      <c r="O47" s="13">
        <v>578.83000000000004</v>
      </c>
      <c r="P47" s="3">
        <f t="shared" si="5"/>
        <v>0</v>
      </c>
      <c r="Q47" s="3">
        <f t="shared" si="6"/>
        <v>578.83000000000004</v>
      </c>
      <c r="R47" s="3">
        <f t="shared" si="7"/>
        <v>14470.800000000003</v>
      </c>
      <c r="S47" s="24"/>
      <c r="T47" s="24" t="s">
        <v>1334</v>
      </c>
      <c r="U47" s="3"/>
      <c r="V47" s="3" t="s">
        <v>5065</v>
      </c>
      <c r="W47" s="3"/>
      <c r="X47" s="3"/>
      <c r="Y47" s="3"/>
      <c r="Z47" s="3"/>
      <c r="AA47" s="3" t="str">
        <f>IF(Interbank_Soles[[#This Row],[fecha]]&gt;0,TEXT(Interbank_Soles[[#This Row],[fecha]],"mmmm"),0)</f>
        <v>Febrero</v>
      </c>
    </row>
    <row r="48" spans="1:27" ht="36" x14ac:dyDescent="0.3">
      <c r="A48" s="2">
        <f>IF(Interbank_Soles[[#This Row],[tipo_registro]]="R",COUNTIFS($C$4:$C47,"R")+1,"")</f>
        <v>39</v>
      </c>
      <c r="B48" s="19" t="str">
        <f t="shared" si="8"/>
        <v>B-Interbank</v>
      </c>
      <c r="C48" s="3" t="s">
        <v>1330</v>
      </c>
      <c r="D48" s="14">
        <v>45707</v>
      </c>
      <c r="E48" s="5" t="s">
        <v>1331</v>
      </c>
      <c r="F48" s="5" t="s">
        <v>1336</v>
      </c>
      <c r="G48" s="6" t="s">
        <v>780</v>
      </c>
      <c r="H48" s="6"/>
      <c r="I48" s="6"/>
      <c r="J48" s="6"/>
      <c r="K48" s="7" t="s">
        <v>5065</v>
      </c>
      <c r="L48" s="8">
        <v>104199</v>
      </c>
      <c r="M48" s="8" t="str">
        <f t="shared" si="9"/>
        <v>PEN</v>
      </c>
      <c r="N48" s="13"/>
      <c r="O48" s="13">
        <v>616</v>
      </c>
      <c r="P48" s="3">
        <f t="shared" si="5"/>
        <v>0</v>
      </c>
      <c r="Q48" s="3">
        <f t="shared" si="6"/>
        <v>616</v>
      </c>
      <c r="R48" s="3">
        <f t="shared" si="7"/>
        <v>13854.800000000003</v>
      </c>
      <c r="S48" s="24"/>
      <c r="T48" s="24" t="s">
        <v>1334</v>
      </c>
      <c r="U48" s="3"/>
      <c r="V48" s="3" t="s">
        <v>5065</v>
      </c>
      <c r="W48" s="3" t="s">
        <v>5099</v>
      </c>
      <c r="X48" s="3"/>
      <c r="Y48" s="3"/>
      <c r="Z48" s="3"/>
      <c r="AA48" s="3" t="str">
        <f>IF(Interbank_Soles[[#This Row],[fecha]]&gt;0,TEXT(Interbank_Soles[[#This Row],[fecha]],"mmmm"),0)</f>
        <v>Febrero</v>
      </c>
    </row>
    <row r="49" spans="1:27" x14ac:dyDescent="0.3">
      <c r="A49" s="2">
        <f>IF(Interbank_Soles[[#This Row],[tipo_registro]]="R",COUNTIFS($C$4:$C48,"R")+1,"")</f>
        <v>40</v>
      </c>
      <c r="B49" s="19" t="str">
        <f t="shared" si="8"/>
        <v>B-Interbank</v>
      </c>
      <c r="C49" s="3" t="s">
        <v>1330</v>
      </c>
      <c r="D49" s="14">
        <v>45708</v>
      </c>
      <c r="E49" s="5" t="s">
        <v>1331</v>
      </c>
      <c r="F49" s="5" t="s">
        <v>1336</v>
      </c>
      <c r="G49" s="6"/>
      <c r="H49" s="6"/>
      <c r="I49" s="6"/>
      <c r="J49" s="6"/>
      <c r="K49" s="7" t="s">
        <v>3090</v>
      </c>
      <c r="L49" s="8"/>
      <c r="M49" s="8" t="str">
        <f t="shared" si="9"/>
        <v>PEN</v>
      </c>
      <c r="N49" s="13"/>
      <c r="O49" s="13">
        <v>13004.8</v>
      </c>
      <c r="P49" s="3">
        <f t="shared" si="5"/>
        <v>0</v>
      </c>
      <c r="Q49" s="3">
        <f t="shared" si="6"/>
        <v>13004.8</v>
      </c>
      <c r="R49" s="3">
        <f t="shared" si="7"/>
        <v>850.00000000000364</v>
      </c>
      <c r="S49" s="24"/>
      <c r="T49" s="24"/>
      <c r="U49" s="3"/>
      <c r="V49" s="3" t="s">
        <v>5100</v>
      </c>
      <c r="W49" s="3"/>
      <c r="X49" s="3"/>
      <c r="Y49" s="3"/>
      <c r="Z49" s="3"/>
      <c r="AA49" s="3" t="str">
        <f>IF(Interbank_Soles[[#This Row],[fecha]]&gt;0,TEXT(Interbank_Soles[[#This Row],[fecha]],"mmmm"),0)</f>
        <v>Febrero</v>
      </c>
    </row>
    <row r="50" spans="1:27" x14ac:dyDescent="0.3">
      <c r="A50" s="2" t="str">
        <f>IF(Interbank_Soles[[#This Row],[tipo_registro]]="R",COUNTIFS($C$4:$C49,"R")+1,"")</f>
        <v/>
      </c>
      <c r="B50" s="19" t="str">
        <f>"B-Interbank"</f>
        <v>B-Interbank</v>
      </c>
      <c r="C50" s="3" t="s">
        <v>1352</v>
      </c>
      <c r="D50" s="14">
        <v>45708</v>
      </c>
      <c r="E50" s="5" t="s">
        <v>1331</v>
      </c>
      <c r="F50" s="5" t="s">
        <v>1336</v>
      </c>
      <c r="G50" s="6"/>
      <c r="H50" s="6"/>
      <c r="I50" s="6"/>
      <c r="J50" s="6"/>
      <c r="K50" s="7" t="s">
        <v>3090</v>
      </c>
      <c r="L50" s="8"/>
      <c r="M50" s="8" t="str">
        <f>"PEN"</f>
        <v>PEN</v>
      </c>
      <c r="N50" s="13">
        <v>13000</v>
      </c>
      <c r="O50" s="13"/>
      <c r="P50" s="3">
        <f>+IF(OR($F50="SALDO",$F50="INGRESO"),$O50,0)</f>
        <v>0</v>
      </c>
      <c r="Q50" s="3">
        <f>+IF($F50="EGRESO",$O50,0)</f>
        <v>0</v>
      </c>
      <c r="R50" s="3">
        <f>IFERROR(IF(F50="SALDO",P50,R49+P50-Q50),0)</f>
        <v>850.00000000000364</v>
      </c>
      <c r="S50" s="24"/>
      <c r="T50" s="24"/>
      <c r="U50" s="3"/>
      <c r="V50" s="3"/>
      <c r="W50" s="3"/>
      <c r="X50" s="3"/>
      <c r="Y50" s="3"/>
      <c r="Z50" s="3"/>
      <c r="AA50" s="3" t="str">
        <f>IF(Interbank_Soles[[#This Row],[fecha]]&gt;0,TEXT(Interbank_Soles[[#This Row],[fecha]],"mmmm"),0)</f>
        <v>Febrero</v>
      </c>
    </row>
    <row r="51" spans="1:27" ht="36" x14ac:dyDescent="0.3">
      <c r="A51" s="2" t="str">
        <f>IF(Interbank_Soles[[#This Row],[tipo_registro]]="R",COUNTIFS($C$4:$C50,"R")+1,"")</f>
        <v/>
      </c>
      <c r="B51" s="19" t="str">
        <f>"B-Interbank"</f>
        <v>B-Interbank</v>
      </c>
      <c r="C51" s="3" t="s">
        <v>1352</v>
      </c>
      <c r="D51" s="14">
        <v>45708</v>
      </c>
      <c r="E51" s="5" t="s">
        <v>1331</v>
      </c>
      <c r="F51" s="5" t="s">
        <v>1336</v>
      </c>
      <c r="G51" s="6" t="s">
        <v>1207</v>
      </c>
      <c r="H51" s="6"/>
      <c r="I51" s="6"/>
      <c r="J51" s="6"/>
      <c r="K51" s="7" t="s">
        <v>3090</v>
      </c>
      <c r="L51" s="8"/>
      <c r="M51" s="8" t="str">
        <f>"PEN"</f>
        <v>PEN</v>
      </c>
      <c r="N51" s="13">
        <v>4.8</v>
      </c>
      <c r="O51" s="13"/>
      <c r="P51" s="3">
        <f>+IF(OR($F51="SALDO",$F51="INGRESO"),$O51,0)</f>
        <v>0</v>
      </c>
      <c r="Q51" s="3">
        <f>+IF($F51="EGRESO",$O51,0)</f>
        <v>0</v>
      </c>
      <c r="R51" s="3">
        <f>IFERROR(IF(F51="SALDO",P51,R50+P51-Q51),0)</f>
        <v>850.00000000000364</v>
      </c>
      <c r="S51" s="24"/>
      <c r="T51" s="24"/>
      <c r="U51" s="3"/>
      <c r="V51" s="3"/>
      <c r="W51" s="3"/>
      <c r="X51" s="3"/>
      <c r="Y51" s="3"/>
      <c r="Z51" s="3"/>
      <c r="AA51" s="3" t="str">
        <f>IF(Interbank_Soles[[#This Row],[fecha]]&gt;0,TEXT(Interbank_Soles[[#This Row],[fecha]],"mmmm"),0)</f>
        <v>Febrero</v>
      </c>
    </row>
    <row r="52" spans="1:27" ht="24" x14ac:dyDescent="0.3">
      <c r="A52" s="2">
        <f>IF(Interbank_Soles[[#This Row],[tipo_registro]]="R",COUNTIFS($C$4:$C51,"R")+1,"")</f>
        <v>41</v>
      </c>
      <c r="B52" s="19" t="str">
        <f t="shared" si="8"/>
        <v>B-Interbank</v>
      </c>
      <c r="C52" s="3" t="s">
        <v>1330</v>
      </c>
      <c r="D52" s="14">
        <v>45713</v>
      </c>
      <c r="E52" s="5" t="s">
        <v>1338</v>
      </c>
      <c r="F52" s="5" t="s">
        <v>1336</v>
      </c>
      <c r="G52" s="6" t="s">
        <v>364</v>
      </c>
      <c r="H52" s="6" t="s">
        <v>68</v>
      </c>
      <c r="I52" s="6" t="s">
        <v>4440</v>
      </c>
      <c r="J52" s="6">
        <v>15020</v>
      </c>
      <c r="K52" s="7" t="s">
        <v>5096</v>
      </c>
      <c r="L52" s="8">
        <v>896744</v>
      </c>
      <c r="M52" s="8" t="str">
        <f t="shared" si="9"/>
        <v>PEN</v>
      </c>
      <c r="N52" s="13"/>
      <c r="O52" s="13">
        <v>287.92</v>
      </c>
      <c r="P52" s="3">
        <f t="shared" si="5"/>
        <v>0</v>
      </c>
      <c r="Q52" s="3">
        <f t="shared" si="6"/>
        <v>287.92</v>
      </c>
      <c r="R52" s="3">
        <f>IFERROR(IF(F52="SALDO",P52,R51+P52-Q52),0)</f>
        <v>562.08000000000357</v>
      </c>
      <c r="S52" s="24" t="s">
        <v>1334</v>
      </c>
      <c r="T52" s="24" t="s">
        <v>1334</v>
      </c>
      <c r="U52" s="3"/>
      <c r="V52" s="3" t="s">
        <v>364</v>
      </c>
      <c r="W52" s="3" t="s">
        <v>5101</v>
      </c>
      <c r="X52" s="3"/>
      <c r="Y52" s="3"/>
      <c r="Z52" s="3"/>
      <c r="AA52" s="3" t="str">
        <f>IF(Interbank_Soles[[#This Row],[fecha]]&gt;0,TEXT(Interbank_Soles[[#This Row],[fecha]],"mmmm"),0)</f>
        <v>Febrero</v>
      </c>
    </row>
    <row r="53" spans="1:27" x14ac:dyDescent="0.3">
      <c r="A53" s="2">
        <f>IF(Interbank_Soles[[#This Row],[tipo_registro]]="R",COUNTIFS($C$4:$C52,"R")+1,"")</f>
        <v>42</v>
      </c>
      <c r="B53" s="19" t="str">
        <f t="shared" si="8"/>
        <v>B-Interbank</v>
      </c>
      <c r="C53" s="3" t="s">
        <v>1330</v>
      </c>
      <c r="D53" s="14">
        <v>45722</v>
      </c>
      <c r="E53" s="5" t="s">
        <v>5060</v>
      </c>
      <c r="F53" s="5" t="s">
        <v>1336</v>
      </c>
      <c r="G53" s="6"/>
      <c r="H53" s="6"/>
      <c r="I53" s="6"/>
      <c r="J53" s="6"/>
      <c r="K53" s="7" t="s">
        <v>5061</v>
      </c>
      <c r="L53" s="8" t="s">
        <v>1333</v>
      </c>
      <c r="M53" s="8" t="str">
        <f t="shared" si="9"/>
        <v>PEN</v>
      </c>
      <c r="N53" s="13"/>
      <c r="O53" s="13">
        <v>0.4</v>
      </c>
      <c r="P53" s="3">
        <f t="shared" si="5"/>
        <v>0</v>
      </c>
      <c r="Q53" s="3">
        <f t="shared" si="6"/>
        <v>0.4</v>
      </c>
      <c r="R53" s="3">
        <f t="shared" si="7"/>
        <v>561.68000000000359</v>
      </c>
      <c r="S53" s="24" t="s">
        <v>1334</v>
      </c>
      <c r="T53" s="24" t="s">
        <v>1334</v>
      </c>
      <c r="U53" s="3"/>
      <c r="V53" s="3"/>
      <c r="W53" s="3"/>
      <c r="X53" s="3"/>
      <c r="Y53" s="3"/>
      <c r="Z53" s="3"/>
      <c r="AA53" s="3" t="str">
        <f>IF(Interbank_Soles[[#This Row],[fecha]]&gt;0,TEXT(Interbank_Soles[[#This Row],[fecha]],"mmmm"),0)</f>
        <v>Marzo</v>
      </c>
    </row>
    <row r="54" spans="1:27" ht="36" x14ac:dyDescent="0.3">
      <c r="A54" s="2">
        <f>IF(Interbank_Soles[[#This Row],[tipo_registro]]="R",COUNTIFS($C$4:$C53,"R")+1,"")</f>
        <v>43</v>
      </c>
      <c r="B54" s="19" t="str">
        <f t="shared" si="8"/>
        <v>B-Interbank</v>
      </c>
      <c r="C54" s="3" t="s">
        <v>1330</v>
      </c>
      <c r="D54" s="14">
        <v>45722</v>
      </c>
      <c r="E54" s="5" t="s">
        <v>208</v>
      </c>
      <c r="F54" s="5" t="s">
        <v>1303</v>
      </c>
      <c r="G54" s="6"/>
      <c r="H54" s="6"/>
      <c r="I54" s="6"/>
      <c r="J54" s="6"/>
      <c r="K54" s="7" t="s">
        <v>5084</v>
      </c>
      <c r="L54" s="8">
        <v>8050067</v>
      </c>
      <c r="M54" s="8" t="str">
        <f t="shared" si="9"/>
        <v>PEN</v>
      </c>
      <c r="N54" s="13"/>
      <c r="O54" s="13">
        <v>8864.7900000000009</v>
      </c>
      <c r="P54" s="3">
        <f t="shared" si="5"/>
        <v>8864.7900000000009</v>
      </c>
      <c r="Q54" s="3">
        <f t="shared" si="6"/>
        <v>0</v>
      </c>
      <c r="R54" s="3">
        <f t="shared" si="7"/>
        <v>9426.4700000000048</v>
      </c>
      <c r="S54" s="24" t="s">
        <v>1334</v>
      </c>
      <c r="T54" s="24" t="s">
        <v>1334</v>
      </c>
      <c r="U54" s="3"/>
      <c r="V54" s="3" t="s">
        <v>425</v>
      </c>
      <c r="W54" s="3" t="s">
        <v>5102</v>
      </c>
      <c r="X54" s="3"/>
      <c r="Y54" s="3"/>
      <c r="Z54" s="3"/>
      <c r="AA54" s="3" t="str">
        <f>IF(Interbank_Soles[[#This Row],[fecha]]&gt;0,TEXT(Interbank_Soles[[#This Row],[fecha]],"mmmm"),0)</f>
        <v>Marzo</v>
      </c>
    </row>
    <row r="55" spans="1:27" ht="24" x14ac:dyDescent="0.3">
      <c r="A55" s="2">
        <f>IF(Interbank_Soles[[#This Row],[tipo_registro]]="R",COUNTIFS($C$4:$C54,"R")+1,"")</f>
        <v>44</v>
      </c>
      <c r="B55" s="19" t="str">
        <f t="shared" si="8"/>
        <v>B-Interbank</v>
      </c>
      <c r="C55" s="3" t="s">
        <v>1330</v>
      </c>
      <c r="D55" s="14">
        <v>45726</v>
      </c>
      <c r="E55" s="5" t="s">
        <v>1338</v>
      </c>
      <c r="F55" s="5" t="s">
        <v>1336</v>
      </c>
      <c r="G55" s="6" t="s">
        <v>364</v>
      </c>
      <c r="H55" s="6" t="s">
        <v>68</v>
      </c>
      <c r="I55" s="6" t="s">
        <v>4440</v>
      </c>
      <c r="J55" s="6">
        <v>15113</v>
      </c>
      <c r="K55" s="7" t="s">
        <v>5096</v>
      </c>
      <c r="L55" s="8">
        <v>2231331</v>
      </c>
      <c r="M55" s="8" t="str">
        <f t="shared" si="9"/>
        <v>PEN</v>
      </c>
      <c r="N55" s="13"/>
      <c r="O55" s="13">
        <v>217.12</v>
      </c>
      <c r="P55" s="3">
        <f t="shared" si="5"/>
        <v>0</v>
      </c>
      <c r="Q55" s="3">
        <f t="shared" si="6"/>
        <v>217.12</v>
      </c>
      <c r="R55" s="3">
        <f t="shared" si="7"/>
        <v>9209.350000000004</v>
      </c>
      <c r="S55" s="24" t="s">
        <v>1334</v>
      </c>
      <c r="T55" s="24" t="s">
        <v>1334</v>
      </c>
      <c r="U55" s="3"/>
      <c r="V55" s="3" t="s">
        <v>364</v>
      </c>
      <c r="W55" s="3" t="s">
        <v>5103</v>
      </c>
      <c r="X55" s="3"/>
      <c r="Y55" s="3"/>
      <c r="Z55" s="3"/>
      <c r="AA55" s="3" t="str">
        <f>IF(Interbank_Soles[[#This Row],[fecha]]&gt;0,TEXT(Interbank_Soles[[#This Row],[fecha]],"mmmm"),0)</f>
        <v>Marzo</v>
      </c>
    </row>
    <row r="56" spans="1:27" ht="24" x14ac:dyDescent="0.3">
      <c r="A56" s="2">
        <f>IF(Interbank_Soles[[#This Row],[tipo_registro]]="R",COUNTIFS($C$4:$C55,"R")+1,"")</f>
        <v>45</v>
      </c>
      <c r="B56" s="19" t="str">
        <f t="shared" si="8"/>
        <v>B-Interbank</v>
      </c>
      <c r="C56" s="3" t="s">
        <v>1330</v>
      </c>
      <c r="D56" s="14">
        <v>45726</v>
      </c>
      <c r="E56" s="5" t="s">
        <v>1338</v>
      </c>
      <c r="F56" s="5" t="s">
        <v>1336</v>
      </c>
      <c r="G56" s="6" t="s">
        <v>364</v>
      </c>
      <c r="H56" s="6" t="s">
        <v>68</v>
      </c>
      <c r="I56" s="6" t="s">
        <v>4440</v>
      </c>
      <c r="J56" s="6">
        <v>15085</v>
      </c>
      <c r="K56" s="7" t="s">
        <v>5096</v>
      </c>
      <c r="L56" s="8">
        <v>2228059</v>
      </c>
      <c r="M56" s="8" t="str">
        <f t="shared" si="9"/>
        <v>PEN</v>
      </c>
      <c r="N56" s="13"/>
      <c r="O56" s="13">
        <v>258.42</v>
      </c>
      <c r="P56" s="3">
        <f t="shared" si="5"/>
        <v>0</v>
      </c>
      <c r="Q56" s="3">
        <f t="shared" si="6"/>
        <v>258.42</v>
      </c>
      <c r="R56" s="3">
        <f t="shared" si="7"/>
        <v>8950.9300000000039</v>
      </c>
      <c r="S56" s="24" t="s">
        <v>1334</v>
      </c>
      <c r="T56" s="24" t="s">
        <v>1334</v>
      </c>
      <c r="U56" s="3"/>
      <c r="V56" s="3" t="s">
        <v>364</v>
      </c>
      <c r="W56" s="3" t="s">
        <v>5104</v>
      </c>
      <c r="X56" s="3"/>
      <c r="Y56" s="3"/>
      <c r="Z56" s="3"/>
      <c r="AA56" s="3" t="str">
        <f>IF(Interbank_Soles[[#This Row],[fecha]]&gt;0,TEXT(Interbank_Soles[[#This Row],[fecha]],"mmmm"),0)</f>
        <v>Marzo</v>
      </c>
    </row>
    <row r="57" spans="1:27" ht="48" x14ac:dyDescent="0.3">
      <c r="A57" s="16">
        <f>IF(Interbank_Soles[[#This Row],[tipo_registro]]="R",COUNTIFS($C$4:$C56,"R")+1,"")</f>
        <v>46</v>
      </c>
      <c r="B57" s="18" t="str">
        <f>"B-Interbank"</f>
        <v>B-Interbank</v>
      </c>
      <c r="C57" s="13" t="s">
        <v>1330</v>
      </c>
      <c r="D57" s="14">
        <v>45729</v>
      </c>
      <c r="E57" s="5" t="s">
        <v>310</v>
      </c>
      <c r="F57" s="5" t="s">
        <v>1303</v>
      </c>
      <c r="G57" s="6"/>
      <c r="H57" s="6"/>
      <c r="I57" s="6"/>
      <c r="J57" s="6"/>
      <c r="K57" s="7" t="s">
        <v>5090</v>
      </c>
      <c r="L57" s="8">
        <v>120514</v>
      </c>
      <c r="M57" s="8" t="str">
        <f t="shared" si="9"/>
        <v>PEN</v>
      </c>
      <c r="N57" s="13"/>
      <c r="O57" s="13">
        <v>933.38</v>
      </c>
      <c r="P57" s="13">
        <f t="shared" si="5"/>
        <v>933.38</v>
      </c>
      <c r="Q57" s="13">
        <f t="shared" si="6"/>
        <v>0</v>
      </c>
      <c r="R57" s="13">
        <f>IFERROR(IF(F57="SALDO",P57,R56+P57-Q57),0)</f>
        <v>9884.3100000000031</v>
      </c>
      <c r="S57" s="28" t="s">
        <v>1334</v>
      </c>
      <c r="T57" s="28" t="s">
        <v>1334</v>
      </c>
      <c r="U57" s="13"/>
      <c r="V57" s="13" t="s">
        <v>425</v>
      </c>
      <c r="W57" s="13" t="s">
        <v>5105</v>
      </c>
      <c r="X57" s="13"/>
      <c r="Y57" s="13"/>
      <c r="Z57" s="13"/>
      <c r="AA57" s="13" t="str">
        <f>IF(Interbank_Soles[[#This Row],[fecha]]&gt;0,TEXT(Interbank_Soles[[#This Row],[fecha]],"mmmm"),0)</f>
        <v>Marzo</v>
      </c>
    </row>
    <row r="58" spans="1:27" ht="36" x14ac:dyDescent="0.3">
      <c r="A58" s="2">
        <f>IF(Interbank_Soles[[#This Row],[tipo_registro]]="R",COUNTIFS($C$4:$C57,"R")+1,"")</f>
        <v>47</v>
      </c>
      <c r="B58" s="19" t="str">
        <f t="shared" si="8"/>
        <v>B-Interbank</v>
      </c>
      <c r="C58" s="3" t="s">
        <v>1330</v>
      </c>
      <c r="D58" s="14">
        <v>45730</v>
      </c>
      <c r="E58" s="5" t="s">
        <v>1416</v>
      </c>
      <c r="F58" s="5" t="s">
        <v>1336</v>
      </c>
      <c r="G58" s="6" t="s">
        <v>780</v>
      </c>
      <c r="H58" s="6"/>
      <c r="I58" s="6"/>
      <c r="J58" s="6"/>
      <c r="K58" s="7" t="s">
        <v>5065</v>
      </c>
      <c r="L58" s="8">
        <v>524871</v>
      </c>
      <c r="M58" s="8" t="str">
        <f t="shared" si="9"/>
        <v>PEN</v>
      </c>
      <c r="N58" s="13"/>
      <c r="O58" s="13">
        <v>222.5</v>
      </c>
      <c r="P58" s="3">
        <f t="shared" si="5"/>
        <v>0</v>
      </c>
      <c r="Q58" s="3">
        <f t="shared" si="6"/>
        <v>222.5</v>
      </c>
      <c r="R58" s="3">
        <f>IFERROR(IF(F58="SALDO",P58,R57+P58-Q58),0)</f>
        <v>9661.8100000000031</v>
      </c>
      <c r="S58" s="24"/>
      <c r="T58" s="24" t="s">
        <v>1334</v>
      </c>
      <c r="U58" s="3"/>
      <c r="V58" s="3" t="s">
        <v>5065</v>
      </c>
      <c r="W58" s="3" t="s">
        <v>5106</v>
      </c>
      <c r="X58" s="3"/>
      <c r="Y58" s="3"/>
      <c r="Z58" s="3"/>
      <c r="AA58" s="3" t="str">
        <f>IF(Interbank_Soles[[#This Row],[fecha]]&gt;0,TEXT(Interbank_Soles[[#This Row],[fecha]],"mmmm"),0)</f>
        <v>Marzo</v>
      </c>
    </row>
    <row r="59" spans="1:27" ht="24" x14ac:dyDescent="0.3">
      <c r="A59" s="2">
        <f>IF(Interbank_Soles[[#This Row],[tipo_registro]]="R",COUNTIFS($C$4:$C58,"R")+1,"")</f>
        <v>48</v>
      </c>
      <c r="B59" s="19" t="str">
        <f t="shared" si="8"/>
        <v>B-Interbank</v>
      </c>
      <c r="C59" s="3" t="s">
        <v>1330</v>
      </c>
      <c r="D59" s="14">
        <v>45733</v>
      </c>
      <c r="E59" s="5" t="s">
        <v>1338</v>
      </c>
      <c r="F59" s="5" t="s">
        <v>1336</v>
      </c>
      <c r="G59" s="6" t="s">
        <v>364</v>
      </c>
      <c r="H59" s="6" t="s">
        <v>68</v>
      </c>
      <c r="I59" s="6" t="s">
        <v>4440</v>
      </c>
      <c r="J59" s="6">
        <v>15125</v>
      </c>
      <c r="K59" s="7" t="s">
        <v>5096</v>
      </c>
      <c r="L59" s="8">
        <v>1939737</v>
      </c>
      <c r="M59" s="8" t="str">
        <f t="shared" si="9"/>
        <v>PEN</v>
      </c>
      <c r="N59" s="13"/>
      <c r="O59" s="13">
        <v>258.42</v>
      </c>
      <c r="P59" s="3">
        <f t="shared" si="5"/>
        <v>0</v>
      </c>
      <c r="Q59" s="3">
        <f t="shared" si="6"/>
        <v>258.42</v>
      </c>
      <c r="R59" s="3">
        <f t="shared" si="7"/>
        <v>9403.3900000000031</v>
      </c>
      <c r="S59" s="24" t="s">
        <v>1334</v>
      </c>
      <c r="T59" s="24" t="s">
        <v>1334</v>
      </c>
      <c r="U59" s="3"/>
      <c r="V59" s="3" t="s">
        <v>364</v>
      </c>
      <c r="W59" s="3" t="s">
        <v>5107</v>
      </c>
      <c r="X59" s="3"/>
      <c r="Y59" s="3"/>
      <c r="Z59" s="3"/>
      <c r="AA59" s="3" t="str">
        <f>IF(Interbank_Soles[[#This Row],[fecha]]&gt;0,TEXT(Interbank_Soles[[#This Row],[fecha]],"mmmm"),0)</f>
        <v>Marzo</v>
      </c>
    </row>
    <row r="60" spans="1:27" x14ac:dyDescent="0.3">
      <c r="A60" s="2">
        <f>IF(Interbank_Soles[[#This Row],[tipo_registro]]="R",COUNTIFS($C$4:$C59,"R")+1,"")</f>
        <v>49</v>
      </c>
      <c r="B60" s="19" t="str">
        <f t="shared" si="8"/>
        <v>B-Interbank</v>
      </c>
      <c r="C60" s="3" t="s">
        <v>1330</v>
      </c>
      <c r="D60" s="14">
        <v>45736</v>
      </c>
      <c r="E60" s="5" t="s">
        <v>5060</v>
      </c>
      <c r="F60" s="5" t="s">
        <v>1336</v>
      </c>
      <c r="G60" s="6"/>
      <c r="H60" s="6"/>
      <c r="I60" s="6"/>
      <c r="J60" s="6"/>
      <c r="K60" s="7" t="s">
        <v>5061</v>
      </c>
      <c r="L60" s="8" t="s">
        <v>1333</v>
      </c>
      <c r="M60" s="8" t="str">
        <f t="shared" si="9"/>
        <v>PEN</v>
      </c>
      <c r="N60" s="13"/>
      <c r="O60" s="13">
        <v>0.15</v>
      </c>
      <c r="P60" s="3">
        <f t="shared" si="5"/>
        <v>0</v>
      </c>
      <c r="Q60" s="3">
        <f t="shared" si="6"/>
        <v>0.15</v>
      </c>
      <c r="R60" s="3">
        <f t="shared" si="7"/>
        <v>9403.2400000000034</v>
      </c>
      <c r="S60" s="24" t="s">
        <v>1334</v>
      </c>
      <c r="T60" s="24" t="s">
        <v>1334</v>
      </c>
      <c r="U60" s="3"/>
      <c r="V60" s="3"/>
      <c r="W60" s="3"/>
      <c r="X60" s="3"/>
      <c r="Y60" s="3"/>
      <c r="Z60" s="3"/>
      <c r="AA60" s="3" t="str">
        <f>IF(Interbank_Soles[[#This Row],[fecha]]&gt;0,TEXT(Interbank_Soles[[#This Row],[fecha]],"mmmm"),0)</f>
        <v>Marzo</v>
      </c>
    </row>
    <row r="61" spans="1:27" x14ac:dyDescent="0.3">
      <c r="A61" s="2">
        <f>IF(Interbank_Soles[[#This Row],[tipo_registro]]="R",COUNTIFS($C$4:$C60,"R")+1,"")</f>
        <v>50</v>
      </c>
      <c r="B61" s="19" t="str">
        <f t="shared" si="8"/>
        <v>B-Interbank</v>
      </c>
      <c r="C61" s="3" t="s">
        <v>1330</v>
      </c>
      <c r="D61" s="14">
        <v>45736</v>
      </c>
      <c r="E61" s="5" t="s">
        <v>630</v>
      </c>
      <c r="F61" s="5" t="s">
        <v>1303</v>
      </c>
      <c r="G61" s="6"/>
      <c r="H61" s="6"/>
      <c r="I61" s="6"/>
      <c r="J61" s="6"/>
      <c r="K61" s="7" t="s">
        <v>5108</v>
      </c>
      <c r="L61" s="8">
        <v>675352</v>
      </c>
      <c r="M61" s="8" t="str">
        <f t="shared" si="9"/>
        <v>PEN</v>
      </c>
      <c r="N61" s="13"/>
      <c r="O61" s="13">
        <v>3832.14</v>
      </c>
      <c r="P61" s="3">
        <f t="shared" si="5"/>
        <v>3832.14</v>
      </c>
      <c r="Q61" s="3">
        <f t="shared" si="6"/>
        <v>0</v>
      </c>
      <c r="R61" s="3">
        <f t="shared" si="7"/>
        <v>13235.380000000003</v>
      </c>
      <c r="S61" s="24" t="s">
        <v>1334</v>
      </c>
      <c r="T61" s="24" t="s">
        <v>1334</v>
      </c>
      <c r="U61" s="3"/>
      <c r="V61" s="3" t="s">
        <v>425</v>
      </c>
      <c r="W61" s="3" t="s">
        <v>5109</v>
      </c>
      <c r="X61" s="3"/>
      <c r="Y61" s="3"/>
      <c r="Z61" s="3"/>
      <c r="AA61" s="3" t="str">
        <f>IF(Interbank_Soles[[#This Row],[fecha]]&gt;0,TEXT(Interbank_Soles[[#This Row],[fecha]],"mmmm"),0)</f>
        <v>Marzo</v>
      </c>
    </row>
    <row r="62" spans="1:27" ht="24" x14ac:dyDescent="0.3">
      <c r="A62" s="2">
        <f>IF(Interbank_Soles[[#This Row],[tipo_registro]]="R",COUNTIFS($C$4:$C61,"R")+1,"")</f>
        <v>51</v>
      </c>
      <c r="B62" s="19" t="str">
        <f t="shared" si="8"/>
        <v>B-Interbank</v>
      </c>
      <c r="C62" s="3" t="s">
        <v>1330</v>
      </c>
      <c r="D62" s="14">
        <v>45743</v>
      </c>
      <c r="E62" s="5" t="s">
        <v>1338</v>
      </c>
      <c r="F62" s="5" t="s">
        <v>1336</v>
      </c>
      <c r="G62" s="6" t="s">
        <v>364</v>
      </c>
      <c r="H62" s="6" t="s">
        <v>68</v>
      </c>
      <c r="I62" s="6" t="s">
        <v>4440</v>
      </c>
      <c r="J62" s="6">
        <v>15152</v>
      </c>
      <c r="K62" s="7" t="s">
        <v>5096</v>
      </c>
      <c r="L62" s="8">
        <v>685375</v>
      </c>
      <c r="M62" s="8" t="str">
        <f t="shared" si="9"/>
        <v>PEN</v>
      </c>
      <c r="N62" s="13"/>
      <c r="O62" s="13">
        <v>258.42</v>
      </c>
      <c r="P62" s="3">
        <f t="shared" si="5"/>
        <v>0</v>
      </c>
      <c r="Q62" s="3">
        <f t="shared" si="6"/>
        <v>258.42</v>
      </c>
      <c r="R62" s="3">
        <f t="shared" si="7"/>
        <v>12976.960000000003</v>
      </c>
      <c r="S62" s="24" t="s">
        <v>1334</v>
      </c>
      <c r="T62" s="24" t="s">
        <v>1334</v>
      </c>
      <c r="U62" s="3"/>
      <c r="V62" s="3" t="s">
        <v>364</v>
      </c>
      <c r="W62" s="3" t="s">
        <v>5110</v>
      </c>
      <c r="X62" s="3"/>
      <c r="Y62" s="3"/>
      <c r="Z62" s="3"/>
      <c r="AA62" s="3" t="str">
        <f>IF(Interbank_Soles[[#This Row],[fecha]]&gt;0,TEXT(Interbank_Soles[[#This Row],[fecha]],"mmmm"),0)</f>
        <v>Marzo</v>
      </c>
    </row>
    <row r="63" spans="1:27" ht="24" x14ac:dyDescent="0.3">
      <c r="A63" s="2">
        <f>IF(Interbank_Soles[[#This Row],[tipo_registro]]="R",COUNTIFS($C$4:$C62,"R")+1,"")</f>
        <v>52</v>
      </c>
      <c r="B63" s="19" t="str">
        <f t="shared" si="8"/>
        <v>B-Interbank</v>
      </c>
      <c r="C63" s="3" t="s">
        <v>1330</v>
      </c>
      <c r="D63" s="14">
        <v>45754</v>
      </c>
      <c r="E63" s="5" t="s">
        <v>1338</v>
      </c>
      <c r="F63" s="5" t="s">
        <v>1336</v>
      </c>
      <c r="G63" s="6" t="s">
        <v>364</v>
      </c>
      <c r="H63" s="6" t="s">
        <v>68</v>
      </c>
      <c r="I63" s="6" t="s">
        <v>4440</v>
      </c>
      <c r="J63" s="6">
        <v>15440</v>
      </c>
      <c r="K63" s="7" t="s">
        <v>5111</v>
      </c>
      <c r="L63" s="8">
        <v>2541172</v>
      </c>
      <c r="M63" s="8" t="str">
        <f t="shared" si="9"/>
        <v>PEN</v>
      </c>
      <c r="N63" s="13"/>
      <c r="O63" s="13">
        <v>536.9</v>
      </c>
      <c r="P63" s="3">
        <f t="shared" si="5"/>
        <v>0</v>
      </c>
      <c r="Q63" s="3">
        <f t="shared" si="6"/>
        <v>536.9</v>
      </c>
      <c r="R63" s="3">
        <f t="shared" si="7"/>
        <v>12440.060000000003</v>
      </c>
      <c r="S63" s="24" t="s">
        <v>1334</v>
      </c>
      <c r="T63" s="24" t="s">
        <v>1334</v>
      </c>
      <c r="U63" s="3"/>
      <c r="V63" s="3" t="s">
        <v>5096</v>
      </c>
      <c r="W63" s="3" t="s">
        <v>5112</v>
      </c>
      <c r="X63" s="3"/>
      <c r="Y63" s="3"/>
      <c r="Z63" s="3"/>
      <c r="AA63" s="3" t="str">
        <f>IF(Interbank_Soles[[#This Row],[fecha]]&gt;0,TEXT(Interbank_Soles[[#This Row],[fecha]],"mmmm"),0)</f>
        <v>Abril</v>
      </c>
    </row>
    <row r="64" spans="1:27" ht="36" x14ac:dyDescent="0.3">
      <c r="A64" s="2">
        <f>IF(Interbank_Soles[[#This Row],[tipo_registro]]="R",COUNTIFS($C$4:$C63,"R")+1,"")</f>
        <v>53</v>
      </c>
      <c r="B64" s="19" t="str">
        <f t="shared" si="8"/>
        <v>B-Interbank</v>
      </c>
      <c r="C64" s="3" t="s">
        <v>1330</v>
      </c>
      <c r="D64" s="14">
        <v>45754</v>
      </c>
      <c r="E64" s="5" t="s">
        <v>5090</v>
      </c>
      <c r="F64" s="5" t="s">
        <v>1303</v>
      </c>
      <c r="G64" s="6"/>
      <c r="H64" s="6"/>
      <c r="I64" s="6"/>
      <c r="J64" s="6"/>
      <c r="K64" s="7" t="s">
        <v>5108</v>
      </c>
      <c r="L64" s="8">
        <v>2367950</v>
      </c>
      <c r="M64" s="8" t="str">
        <f t="shared" si="9"/>
        <v>PEN</v>
      </c>
      <c r="N64" s="13"/>
      <c r="O64" s="13">
        <v>933.38</v>
      </c>
      <c r="P64" s="3">
        <f t="shared" si="5"/>
        <v>933.38</v>
      </c>
      <c r="Q64" s="3">
        <f t="shared" si="6"/>
        <v>0</v>
      </c>
      <c r="R64" s="3">
        <f t="shared" si="7"/>
        <v>13373.440000000002</v>
      </c>
      <c r="S64" s="24" t="s">
        <v>1334</v>
      </c>
      <c r="T64" s="24" t="s">
        <v>1334</v>
      </c>
      <c r="U64" s="3"/>
      <c r="V64" s="3" t="s">
        <v>425</v>
      </c>
      <c r="W64" s="3" t="s">
        <v>5113</v>
      </c>
      <c r="X64" s="3"/>
      <c r="Y64" s="3"/>
      <c r="Z64" s="3"/>
      <c r="AA64" s="3" t="str">
        <f>IF(Interbank_Soles[[#This Row],[fecha]]&gt;0,TEXT(Interbank_Soles[[#This Row],[fecha]],"mmmm"),0)</f>
        <v>Abril</v>
      </c>
    </row>
    <row r="65" spans="1:27" ht="36" x14ac:dyDescent="0.3">
      <c r="A65" s="2">
        <f>IF(Interbank_Soles[[#This Row],[tipo_registro]]="R",COUNTIFS($C$4:$C64,"R")+1,"")</f>
        <v>54</v>
      </c>
      <c r="B65" s="19" t="str">
        <f t="shared" si="8"/>
        <v>B-Interbank</v>
      </c>
      <c r="C65" s="3" t="s">
        <v>1330</v>
      </c>
      <c r="D65" s="14">
        <v>45755</v>
      </c>
      <c r="E65" s="5" t="s">
        <v>1416</v>
      </c>
      <c r="F65" s="5" t="s">
        <v>1336</v>
      </c>
      <c r="G65" s="6" t="s">
        <v>780</v>
      </c>
      <c r="H65" s="6"/>
      <c r="I65" s="6"/>
      <c r="J65" s="6"/>
      <c r="K65" s="7" t="s">
        <v>5065</v>
      </c>
      <c r="L65" s="8">
        <v>352932</v>
      </c>
      <c r="M65" s="8" t="str">
        <f t="shared" si="9"/>
        <v>PEN</v>
      </c>
      <c r="N65" s="13"/>
      <c r="O65" s="13">
        <v>329.5</v>
      </c>
      <c r="P65" s="3">
        <f t="shared" si="5"/>
        <v>0</v>
      </c>
      <c r="Q65" s="3">
        <f t="shared" si="6"/>
        <v>329.5</v>
      </c>
      <c r="R65" s="3">
        <f t="shared" si="7"/>
        <v>13043.940000000002</v>
      </c>
      <c r="S65" s="24"/>
      <c r="T65" s="24" t="s">
        <v>1334</v>
      </c>
      <c r="U65" s="3"/>
      <c r="V65" s="3" t="s">
        <v>5065</v>
      </c>
      <c r="W65" s="3" t="s">
        <v>5114</v>
      </c>
      <c r="X65" s="3"/>
      <c r="Y65" s="3"/>
      <c r="Z65" s="3"/>
      <c r="AA65" s="3" t="str">
        <f>IF(Interbank_Soles[[#This Row],[fecha]]&gt;0,TEXT(Interbank_Soles[[#This Row],[fecha]],"mmmm"),0)</f>
        <v>Abril</v>
      </c>
    </row>
    <row r="66" spans="1:27" x14ac:dyDescent="0.3">
      <c r="A66" s="2">
        <f>IF(Interbank_Soles[[#This Row],[tipo_registro]]="R",COUNTIFS($C$4:$C65,"R")+1,"")</f>
        <v>55</v>
      </c>
      <c r="B66" s="19" t="str">
        <f t="shared" si="8"/>
        <v>B-Interbank</v>
      </c>
      <c r="C66" s="3" t="s">
        <v>1330</v>
      </c>
      <c r="D66" s="14">
        <v>45756</v>
      </c>
      <c r="E66" s="5" t="s">
        <v>1416</v>
      </c>
      <c r="F66" s="5" t="s">
        <v>1336</v>
      </c>
      <c r="G66" s="6" t="s">
        <v>196</v>
      </c>
      <c r="H66" s="6" t="s">
        <v>68</v>
      </c>
      <c r="I66" s="6" t="s">
        <v>2226</v>
      </c>
      <c r="J66" s="6">
        <v>6207</v>
      </c>
      <c r="K66" s="7" t="s">
        <v>5115</v>
      </c>
      <c r="L66" s="8">
        <v>728936</v>
      </c>
      <c r="M66" s="8" t="str">
        <f t="shared" si="9"/>
        <v>PEN</v>
      </c>
      <c r="N66" s="13"/>
      <c r="O66" s="13">
        <v>215.7</v>
      </c>
      <c r="P66" s="3">
        <f t="shared" si="5"/>
        <v>0</v>
      </c>
      <c r="Q66" s="3">
        <f t="shared" si="6"/>
        <v>215.7</v>
      </c>
      <c r="R66" s="3">
        <f t="shared" si="7"/>
        <v>12828.240000000002</v>
      </c>
      <c r="S66" s="24" t="s">
        <v>1334</v>
      </c>
      <c r="T66" s="24" t="s">
        <v>1334</v>
      </c>
      <c r="U66" s="3"/>
      <c r="V66" s="3" t="s">
        <v>2228</v>
      </c>
      <c r="W66" s="3" t="s">
        <v>5116</v>
      </c>
      <c r="X66" s="3"/>
      <c r="Y66" s="3"/>
      <c r="Z66" s="3"/>
      <c r="AA66" s="3" t="str">
        <f>IF(Interbank_Soles[[#This Row],[fecha]]&gt;0,TEXT(Interbank_Soles[[#This Row],[fecha]],"mmmm"),0)</f>
        <v>Abril</v>
      </c>
    </row>
    <row r="67" spans="1:27" x14ac:dyDescent="0.3">
      <c r="A67" s="2">
        <f>IF(Interbank_Soles[[#This Row],[tipo_registro]]="R",COUNTIFS($C$4:$C66,"R")+1,"")</f>
        <v>56</v>
      </c>
      <c r="B67" s="19" t="str">
        <f t="shared" si="8"/>
        <v>B-Interbank</v>
      </c>
      <c r="C67" s="3" t="s">
        <v>1330</v>
      </c>
      <c r="D67" s="14">
        <v>45756</v>
      </c>
      <c r="E67" s="5" t="s">
        <v>1416</v>
      </c>
      <c r="F67" s="5" t="s">
        <v>1336</v>
      </c>
      <c r="G67" s="6" t="s">
        <v>196</v>
      </c>
      <c r="H67" s="6" t="s">
        <v>68</v>
      </c>
      <c r="I67" s="6" t="s">
        <v>2226</v>
      </c>
      <c r="J67" s="6">
        <v>6204</v>
      </c>
      <c r="K67" s="7" t="s">
        <v>5115</v>
      </c>
      <c r="L67" s="8">
        <v>724367</v>
      </c>
      <c r="M67" s="8" t="str">
        <f t="shared" si="9"/>
        <v>PEN</v>
      </c>
      <c r="N67" s="13"/>
      <c r="O67" s="13">
        <v>198.64</v>
      </c>
      <c r="P67" s="3">
        <f t="shared" si="5"/>
        <v>0</v>
      </c>
      <c r="Q67" s="3">
        <f t="shared" si="6"/>
        <v>198.64</v>
      </c>
      <c r="R67" s="3">
        <f t="shared" si="7"/>
        <v>12629.600000000002</v>
      </c>
      <c r="S67" s="24" t="s">
        <v>1334</v>
      </c>
      <c r="T67" s="24" t="s">
        <v>1334</v>
      </c>
      <c r="U67" s="3"/>
      <c r="V67" s="3" t="s">
        <v>2228</v>
      </c>
      <c r="W67" s="3" t="s">
        <v>5117</v>
      </c>
      <c r="X67" s="3"/>
      <c r="Y67" s="3"/>
      <c r="Z67" s="3"/>
      <c r="AA67" s="3" t="str">
        <f>IF(Interbank_Soles[[#This Row],[fecha]]&gt;0,TEXT(Interbank_Soles[[#This Row],[fecha]],"mmmm"),0)</f>
        <v>Abril</v>
      </c>
    </row>
    <row r="68" spans="1:27" x14ac:dyDescent="0.3">
      <c r="A68" s="2">
        <f>IF(Interbank_Soles[[#This Row],[tipo_registro]]="R",COUNTIFS($C$4:$C67,"R")+1,"")</f>
        <v>57</v>
      </c>
      <c r="B68" s="19" t="str">
        <f t="shared" si="8"/>
        <v>B-Interbank</v>
      </c>
      <c r="C68" s="3" t="s">
        <v>1330</v>
      </c>
      <c r="D68" s="14">
        <v>45756</v>
      </c>
      <c r="E68" s="5" t="s">
        <v>1416</v>
      </c>
      <c r="F68" s="5" t="s">
        <v>1336</v>
      </c>
      <c r="G68" s="6" t="s">
        <v>196</v>
      </c>
      <c r="H68" s="6" t="s">
        <v>68</v>
      </c>
      <c r="I68" s="6" t="s">
        <v>2226</v>
      </c>
      <c r="J68" s="6">
        <v>6203</v>
      </c>
      <c r="K68" s="7" t="s">
        <v>5115</v>
      </c>
      <c r="L68" s="8">
        <v>725794</v>
      </c>
      <c r="M68" s="8" t="str">
        <f t="shared" si="9"/>
        <v>PEN</v>
      </c>
      <c r="N68" s="13"/>
      <c r="O68" s="13">
        <v>86.95</v>
      </c>
      <c r="P68" s="3">
        <f t="shared" si="5"/>
        <v>0</v>
      </c>
      <c r="Q68" s="3">
        <f t="shared" si="6"/>
        <v>86.95</v>
      </c>
      <c r="R68" s="3">
        <f t="shared" si="7"/>
        <v>12542.650000000001</v>
      </c>
      <c r="S68" s="24" t="s">
        <v>1334</v>
      </c>
      <c r="T68" s="24" t="s">
        <v>1334</v>
      </c>
      <c r="U68" s="3"/>
      <c r="V68" s="3" t="s">
        <v>2228</v>
      </c>
      <c r="W68" s="3" t="s">
        <v>5118</v>
      </c>
      <c r="X68" s="3"/>
      <c r="Y68" s="3"/>
      <c r="Z68" s="3"/>
      <c r="AA68" s="3" t="str">
        <f>IF(Interbank_Soles[[#This Row],[fecha]]&gt;0,TEXT(Interbank_Soles[[#This Row],[fecha]],"mmmm"),0)</f>
        <v>Abril</v>
      </c>
    </row>
    <row r="69" spans="1:27" x14ac:dyDescent="0.3">
      <c r="A69" s="2">
        <f>IF(Interbank_Soles[[#This Row],[tipo_registro]]="R",COUNTIFS($C$4:$C68,"R")+1,"")</f>
        <v>58</v>
      </c>
      <c r="B69" s="19" t="str">
        <f t="shared" si="8"/>
        <v>B-Interbank</v>
      </c>
      <c r="C69" s="3" t="s">
        <v>1330</v>
      </c>
      <c r="D69" s="14">
        <v>45756</v>
      </c>
      <c r="E69" s="5" t="s">
        <v>1416</v>
      </c>
      <c r="F69" s="5" t="s">
        <v>1336</v>
      </c>
      <c r="G69" s="6" t="s">
        <v>196</v>
      </c>
      <c r="H69" s="6" t="s">
        <v>68</v>
      </c>
      <c r="I69" s="6" t="s">
        <v>2226</v>
      </c>
      <c r="J69" s="6">
        <v>6206</v>
      </c>
      <c r="K69" s="7" t="s">
        <v>5115</v>
      </c>
      <c r="L69" s="8">
        <v>716703</v>
      </c>
      <c r="M69" s="8" t="str">
        <f t="shared" si="9"/>
        <v>PEN</v>
      </c>
      <c r="N69" s="13"/>
      <c r="O69" s="13">
        <v>12.16</v>
      </c>
      <c r="P69" s="3">
        <f t="shared" si="5"/>
        <v>0</v>
      </c>
      <c r="Q69" s="3">
        <f t="shared" si="6"/>
        <v>12.16</v>
      </c>
      <c r="R69" s="3">
        <f t="shared" si="7"/>
        <v>12530.490000000002</v>
      </c>
      <c r="S69" s="24" t="s">
        <v>1334</v>
      </c>
      <c r="T69" s="24" t="s">
        <v>1334</v>
      </c>
      <c r="U69" s="3"/>
      <c r="V69" s="3" t="s">
        <v>2228</v>
      </c>
      <c r="W69" s="3" t="s">
        <v>5119</v>
      </c>
      <c r="X69" s="3"/>
      <c r="Y69" s="3"/>
      <c r="Z69" s="3"/>
      <c r="AA69" s="3" t="str">
        <f>IF(Interbank_Soles[[#This Row],[fecha]]&gt;0,TEXT(Interbank_Soles[[#This Row],[fecha]],"mmmm"),0)</f>
        <v>Abril</v>
      </c>
    </row>
    <row r="70" spans="1:27" ht="24" x14ac:dyDescent="0.3">
      <c r="A70" s="2">
        <f>IF(Interbank_Soles[[#This Row],[tipo_registro]]="R",COUNTIFS($C$4:$C69,"R")+1,"")</f>
        <v>59</v>
      </c>
      <c r="B70" s="19" t="str">
        <f t="shared" si="8"/>
        <v>B-Interbank</v>
      </c>
      <c r="C70" s="3" t="s">
        <v>1330</v>
      </c>
      <c r="D70" s="14">
        <v>45757</v>
      </c>
      <c r="E70" s="5" t="s">
        <v>1338</v>
      </c>
      <c r="F70" s="5" t="s">
        <v>1336</v>
      </c>
      <c r="G70" s="6" t="s">
        <v>575</v>
      </c>
      <c r="H70" s="6" t="s">
        <v>68</v>
      </c>
      <c r="I70" s="6" t="s">
        <v>1376</v>
      </c>
      <c r="J70" s="6">
        <v>1051</v>
      </c>
      <c r="K70" s="7" t="s">
        <v>5083</v>
      </c>
      <c r="L70" s="8" t="s">
        <v>1333</v>
      </c>
      <c r="M70" s="8" t="str">
        <f t="shared" si="9"/>
        <v>PEN</v>
      </c>
      <c r="N70" s="13"/>
      <c r="O70" s="13">
        <v>600.5</v>
      </c>
      <c r="P70" s="3">
        <f t="shared" si="5"/>
        <v>0</v>
      </c>
      <c r="Q70" s="3">
        <f t="shared" si="6"/>
        <v>600.5</v>
      </c>
      <c r="R70" s="3">
        <f t="shared" si="7"/>
        <v>11929.990000000002</v>
      </c>
      <c r="S70" s="24" t="s">
        <v>1334</v>
      </c>
      <c r="T70" s="24" t="s">
        <v>5120</v>
      </c>
      <c r="U70" s="3"/>
      <c r="V70" s="3" t="s">
        <v>575</v>
      </c>
      <c r="W70" s="3" t="s">
        <v>5121</v>
      </c>
      <c r="X70" s="3"/>
      <c r="Y70" s="3"/>
      <c r="Z70" s="3"/>
      <c r="AA70" s="3" t="str">
        <f>IF(Interbank_Soles[[#This Row],[fecha]]&gt;0,TEXT(Interbank_Soles[[#This Row],[fecha]],"mmmm"),0)</f>
        <v>Abril</v>
      </c>
    </row>
    <row r="71" spans="1:27" x14ac:dyDescent="0.3">
      <c r="A71" s="2">
        <f>IF(Interbank_Soles[[#This Row],[tipo_registro]]="R",COUNTIFS($C$4:$C70,"R")+1,"")</f>
        <v>60</v>
      </c>
      <c r="B71" s="19" t="str">
        <f t="shared" si="8"/>
        <v>B-Interbank</v>
      </c>
      <c r="C71" s="3" t="s">
        <v>1330</v>
      </c>
      <c r="D71" s="14">
        <v>45757</v>
      </c>
      <c r="E71" s="5" t="s">
        <v>5060</v>
      </c>
      <c r="F71" s="5" t="s">
        <v>1336</v>
      </c>
      <c r="G71" s="6"/>
      <c r="H71" s="6"/>
      <c r="I71" s="6"/>
      <c r="J71" s="6"/>
      <c r="K71" s="7" t="s">
        <v>5122</v>
      </c>
      <c r="L71" s="8" t="s">
        <v>1333</v>
      </c>
      <c r="M71" s="8" t="str">
        <f t="shared" si="9"/>
        <v>PEN</v>
      </c>
      <c r="N71" s="13"/>
      <c r="O71" s="13">
        <v>0.35</v>
      </c>
      <c r="P71" s="3">
        <f t="shared" si="5"/>
        <v>0</v>
      </c>
      <c r="Q71" s="3">
        <f t="shared" si="6"/>
        <v>0.35</v>
      </c>
      <c r="R71" s="3">
        <f t="shared" si="7"/>
        <v>11929.640000000001</v>
      </c>
      <c r="S71" s="24" t="s">
        <v>1334</v>
      </c>
      <c r="T71" s="24" t="s">
        <v>1334</v>
      </c>
      <c r="U71" s="3"/>
      <c r="V71" s="3"/>
      <c r="W71" s="3"/>
      <c r="X71" s="3"/>
      <c r="Y71" s="3"/>
      <c r="Z71" s="3"/>
      <c r="AA71" s="3" t="str">
        <f>IF(Interbank_Soles[[#This Row],[fecha]]&gt;0,TEXT(Interbank_Soles[[#This Row],[fecha]],"mmmm"),0)</f>
        <v>Abril</v>
      </c>
    </row>
    <row r="72" spans="1:27" ht="36" x14ac:dyDescent="0.3">
      <c r="A72" s="2">
        <f>IF(Interbank_Soles[[#This Row],[tipo_registro]]="R",COUNTIFS($C$4:$C71,"R")+1,"")</f>
        <v>61</v>
      </c>
      <c r="B72" s="19" t="str">
        <f t="shared" si="8"/>
        <v>B-Interbank</v>
      </c>
      <c r="C72" s="3" t="s">
        <v>1330</v>
      </c>
      <c r="D72" s="14">
        <v>45757</v>
      </c>
      <c r="E72" s="5" t="s">
        <v>208</v>
      </c>
      <c r="F72" s="5" t="s">
        <v>1303</v>
      </c>
      <c r="G72" s="6"/>
      <c r="H72" s="6"/>
      <c r="I72" s="6"/>
      <c r="J72" s="6"/>
      <c r="K72" s="7" t="s">
        <v>5123</v>
      </c>
      <c r="L72" s="8">
        <v>8047691</v>
      </c>
      <c r="M72" s="8" t="str">
        <f t="shared" si="9"/>
        <v>PEN</v>
      </c>
      <c r="N72" s="13"/>
      <c r="O72" s="13">
        <v>7550.52</v>
      </c>
      <c r="P72" s="3">
        <f t="shared" si="5"/>
        <v>7550.52</v>
      </c>
      <c r="Q72" s="3">
        <f t="shared" si="6"/>
        <v>0</v>
      </c>
      <c r="R72" s="3">
        <f t="shared" si="7"/>
        <v>19480.160000000003</v>
      </c>
      <c r="S72" s="24" t="s">
        <v>1334</v>
      </c>
      <c r="T72" s="24" t="s">
        <v>1334</v>
      </c>
      <c r="U72" s="3"/>
      <c r="V72" s="3" t="s">
        <v>425</v>
      </c>
      <c r="W72" s="3" t="s">
        <v>5124</v>
      </c>
      <c r="X72" s="3"/>
      <c r="Y72" s="3"/>
      <c r="Z72" s="3"/>
      <c r="AA72" s="3" t="str">
        <f>IF(Interbank_Soles[[#This Row],[fecha]]&gt;0,TEXT(Interbank_Soles[[#This Row],[fecha]],"mmmm"),0)</f>
        <v>Abril</v>
      </c>
    </row>
    <row r="73" spans="1:27" x14ac:dyDescent="0.3">
      <c r="A73" s="2">
        <f>IF(Interbank_Soles[[#This Row],[tipo_registro]]="R",COUNTIFS($C$4:$C72,"R")+1,"")</f>
        <v>62</v>
      </c>
      <c r="B73" s="19" t="str">
        <f t="shared" si="8"/>
        <v>B-Interbank</v>
      </c>
      <c r="C73" s="3" t="s">
        <v>1330</v>
      </c>
      <c r="D73" s="14">
        <v>45758</v>
      </c>
      <c r="E73" s="5" t="s">
        <v>1338</v>
      </c>
      <c r="F73" s="5" t="s">
        <v>1336</v>
      </c>
      <c r="G73" s="6" t="s">
        <v>196</v>
      </c>
      <c r="H73" s="6" t="s">
        <v>68</v>
      </c>
      <c r="I73" s="6" t="s">
        <v>2226</v>
      </c>
      <c r="J73" s="6">
        <v>6205</v>
      </c>
      <c r="K73" s="7" t="s">
        <v>5115</v>
      </c>
      <c r="L73" s="8">
        <v>203854</v>
      </c>
      <c r="M73" s="8" t="str">
        <f t="shared" si="9"/>
        <v>PEN</v>
      </c>
      <c r="N73" s="13"/>
      <c r="O73" s="13">
        <v>5.0199999999999996</v>
      </c>
      <c r="P73" s="3">
        <f t="shared" ref="P73:P103" si="10">+IF(OR($F73="SALDO",$F73="INGRESO"),$O73,0)</f>
        <v>0</v>
      </c>
      <c r="Q73" s="3">
        <f t="shared" ref="Q73:Q103" si="11">+IF($F73="EGRESO",$O73,0)</f>
        <v>5.0199999999999996</v>
      </c>
      <c r="R73" s="3">
        <f t="shared" ref="R73:R103" si="12">IFERROR(IF(F73="SALDO",P73,R72+P73-Q73),0)</f>
        <v>19475.140000000003</v>
      </c>
      <c r="S73" s="24" t="s">
        <v>1334</v>
      </c>
      <c r="T73" s="24" t="s">
        <v>1334</v>
      </c>
      <c r="U73" s="3"/>
      <c r="V73" s="3" t="s">
        <v>2228</v>
      </c>
      <c r="W73" s="3" t="s">
        <v>5125</v>
      </c>
      <c r="X73" s="3"/>
      <c r="Y73" s="3"/>
      <c r="Z73" s="3"/>
      <c r="AA73" s="3" t="str">
        <f>IF(Interbank_Soles[[#This Row],[fecha]]&gt;0,TEXT(Interbank_Soles[[#This Row],[fecha]],"mmmm"),0)</f>
        <v>Abril</v>
      </c>
    </row>
    <row r="74" spans="1:27" ht="24" x14ac:dyDescent="0.3">
      <c r="A74" s="2">
        <f>IF(Interbank_Soles[[#This Row],[tipo_registro]]="R",COUNTIFS($C$4:$C73,"R")+1,"")</f>
        <v>63</v>
      </c>
      <c r="B74" s="19" t="str">
        <f t="shared" si="8"/>
        <v>B-Interbank</v>
      </c>
      <c r="C74" s="3" t="s">
        <v>1330</v>
      </c>
      <c r="D74" s="14">
        <v>45758</v>
      </c>
      <c r="E74" s="5" t="s">
        <v>1338</v>
      </c>
      <c r="F74" s="5" t="s">
        <v>1336</v>
      </c>
      <c r="G74" s="6" t="s">
        <v>364</v>
      </c>
      <c r="H74" s="6" t="s">
        <v>68</v>
      </c>
      <c r="I74" s="6" t="s">
        <v>4440</v>
      </c>
      <c r="J74" s="6">
        <v>15277</v>
      </c>
      <c r="K74" s="7" t="s">
        <v>5096</v>
      </c>
      <c r="L74" s="8">
        <v>244577</v>
      </c>
      <c r="M74" s="8" t="str">
        <f t="shared" si="9"/>
        <v>PEN</v>
      </c>
      <c r="N74" s="13"/>
      <c r="O74" s="13">
        <v>226.56</v>
      </c>
      <c r="P74" s="3">
        <f t="shared" si="10"/>
        <v>0</v>
      </c>
      <c r="Q74" s="3">
        <f t="shared" si="11"/>
        <v>226.56</v>
      </c>
      <c r="R74" s="3">
        <f t="shared" si="12"/>
        <v>19248.580000000002</v>
      </c>
      <c r="S74" s="24" t="s">
        <v>1334</v>
      </c>
      <c r="T74" s="24" t="s">
        <v>1334</v>
      </c>
      <c r="U74" s="3"/>
      <c r="V74" s="3" t="s">
        <v>364</v>
      </c>
      <c r="W74" s="3" t="s">
        <v>5126</v>
      </c>
      <c r="X74" s="3"/>
      <c r="Y74" s="3"/>
      <c r="Z74" s="3"/>
      <c r="AA74" s="3" t="str">
        <f>IF(Interbank_Soles[[#This Row],[fecha]]&gt;0,TEXT(Interbank_Soles[[#This Row],[fecha]],"mmmm"),0)</f>
        <v>Abril</v>
      </c>
    </row>
    <row r="75" spans="1:27" ht="24" x14ac:dyDescent="0.3">
      <c r="A75" s="2">
        <f>IF(Interbank_Soles[[#This Row],[tipo_registro]]="R",COUNTIFS($C$4:$C74,"R")+1,"")</f>
        <v>64</v>
      </c>
      <c r="B75" s="19" t="str">
        <f t="shared" si="8"/>
        <v>B-Interbank</v>
      </c>
      <c r="C75" s="3" t="s">
        <v>1330</v>
      </c>
      <c r="D75" s="14">
        <v>45758</v>
      </c>
      <c r="E75" s="5" t="s">
        <v>1338</v>
      </c>
      <c r="F75" s="5" t="s">
        <v>1336</v>
      </c>
      <c r="G75" s="6" t="s">
        <v>364</v>
      </c>
      <c r="H75" s="6" t="s">
        <v>68</v>
      </c>
      <c r="I75" s="6" t="s">
        <v>4440</v>
      </c>
      <c r="J75" s="6">
        <v>15246</v>
      </c>
      <c r="K75" s="7" t="s">
        <v>5096</v>
      </c>
      <c r="L75" s="8">
        <v>242583</v>
      </c>
      <c r="M75" s="8" t="str">
        <f t="shared" si="9"/>
        <v>PEN</v>
      </c>
      <c r="N75" s="13"/>
      <c r="O75" s="13">
        <v>258.42</v>
      </c>
      <c r="P75" s="3">
        <f t="shared" si="10"/>
        <v>0</v>
      </c>
      <c r="Q75" s="3">
        <f t="shared" si="11"/>
        <v>258.42</v>
      </c>
      <c r="R75" s="3">
        <f t="shared" si="12"/>
        <v>18990.160000000003</v>
      </c>
      <c r="S75" s="24" t="s">
        <v>1334</v>
      </c>
      <c r="T75" s="24" t="s">
        <v>1334</v>
      </c>
      <c r="U75" s="3"/>
      <c r="V75" s="3" t="s">
        <v>364</v>
      </c>
      <c r="W75" s="3" t="s">
        <v>5127</v>
      </c>
      <c r="X75" s="3"/>
      <c r="Y75" s="3"/>
      <c r="Z75" s="3"/>
      <c r="AA75" s="3" t="str">
        <f>IF(Interbank_Soles[[#This Row],[fecha]]&gt;0,TEXT(Interbank_Soles[[#This Row],[fecha]],"mmmm"),0)</f>
        <v>Abril</v>
      </c>
    </row>
    <row r="76" spans="1:27" ht="24" x14ac:dyDescent="0.3">
      <c r="A76" s="2">
        <f>IF(Interbank_Soles[[#This Row],[tipo_registro]]="R",COUNTIFS($C$4:$C75,"R")+1,"")</f>
        <v>65</v>
      </c>
      <c r="B76" s="19" t="str">
        <f t="shared" ref="B76:B113" si="13">"B-Interbank"</f>
        <v>B-Interbank</v>
      </c>
      <c r="C76" s="3" t="s">
        <v>1330</v>
      </c>
      <c r="D76" s="14">
        <v>45758</v>
      </c>
      <c r="E76" s="5" t="s">
        <v>1338</v>
      </c>
      <c r="F76" s="5" t="s">
        <v>1336</v>
      </c>
      <c r="G76" s="6" t="s">
        <v>364</v>
      </c>
      <c r="H76" s="6" t="s">
        <v>68</v>
      </c>
      <c r="I76" s="6" t="s">
        <v>1508</v>
      </c>
      <c r="J76" s="6">
        <v>10597</v>
      </c>
      <c r="K76" s="7" t="s">
        <v>5096</v>
      </c>
      <c r="L76" s="8">
        <v>239652</v>
      </c>
      <c r="M76" s="8" t="str">
        <f t="shared" ref="M76:M113" si="14">"PEN"</f>
        <v>PEN</v>
      </c>
      <c r="N76" s="13"/>
      <c r="O76" s="13">
        <v>258.42</v>
      </c>
      <c r="P76" s="3">
        <f t="shared" si="10"/>
        <v>0</v>
      </c>
      <c r="Q76" s="3">
        <f t="shared" si="11"/>
        <v>258.42</v>
      </c>
      <c r="R76" s="3">
        <f t="shared" si="12"/>
        <v>18731.740000000005</v>
      </c>
      <c r="S76" s="24" t="s">
        <v>1334</v>
      </c>
      <c r="T76" s="24" t="s">
        <v>1334</v>
      </c>
      <c r="U76" s="3"/>
      <c r="V76" s="3" t="s">
        <v>364</v>
      </c>
      <c r="W76" s="3" t="s">
        <v>5128</v>
      </c>
      <c r="X76" s="3"/>
      <c r="Y76" s="3"/>
      <c r="Z76" s="3"/>
      <c r="AA76" s="3" t="str">
        <f>IF(Interbank_Soles[[#This Row],[fecha]]&gt;0,TEXT(Interbank_Soles[[#This Row],[fecha]],"mmmm"),0)</f>
        <v>Abril</v>
      </c>
    </row>
    <row r="77" spans="1:27" ht="24" x14ac:dyDescent="0.3">
      <c r="A77" s="2">
        <f>IF(Interbank_Soles[[#This Row],[tipo_registro]]="R",COUNTIFS($C$4:$C76,"R")+1,"")</f>
        <v>66</v>
      </c>
      <c r="B77" s="19" t="str">
        <f t="shared" si="13"/>
        <v>B-Interbank</v>
      </c>
      <c r="C77" s="3" t="s">
        <v>1330</v>
      </c>
      <c r="D77" s="14">
        <v>45769</v>
      </c>
      <c r="E77" s="5" t="s">
        <v>1338</v>
      </c>
      <c r="F77" s="5" t="s">
        <v>1336</v>
      </c>
      <c r="G77" s="6" t="s">
        <v>364</v>
      </c>
      <c r="H77" s="6" t="s">
        <v>68</v>
      </c>
      <c r="I77" s="6" t="s">
        <v>4440</v>
      </c>
      <c r="J77" s="6">
        <v>15384</v>
      </c>
      <c r="K77" s="7" t="s">
        <v>5111</v>
      </c>
      <c r="L77" s="8">
        <v>818534</v>
      </c>
      <c r="M77" s="8" t="str">
        <f t="shared" si="14"/>
        <v>PEN</v>
      </c>
      <c r="N77" s="13"/>
      <c r="O77" s="13">
        <v>733.96</v>
      </c>
      <c r="P77" s="3">
        <f t="shared" si="10"/>
        <v>0</v>
      </c>
      <c r="Q77" s="3">
        <f t="shared" si="11"/>
        <v>733.96</v>
      </c>
      <c r="R77" s="3">
        <f t="shared" si="12"/>
        <v>17997.780000000006</v>
      </c>
      <c r="S77" s="24" t="s">
        <v>1334</v>
      </c>
      <c r="T77" s="24" t="s">
        <v>1334</v>
      </c>
      <c r="U77" s="3"/>
      <c r="V77" s="3" t="s">
        <v>364</v>
      </c>
      <c r="W77" s="3" t="s">
        <v>5129</v>
      </c>
      <c r="X77" s="3"/>
      <c r="Y77" s="3"/>
      <c r="Z77" s="3"/>
      <c r="AA77" s="3" t="str">
        <f>IF(Interbank_Soles[[#This Row],[fecha]]&gt;0,TEXT(Interbank_Soles[[#This Row],[fecha]],"mmmm"),0)</f>
        <v>Abril</v>
      </c>
    </row>
    <row r="78" spans="1:27" ht="24" x14ac:dyDescent="0.3">
      <c r="A78" s="2">
        <f>IF(Interbank_Soles[[#This Row],[tipo_registro]]="R",COUNTIFS($C$4:$C77,"R")+1,"")</f>
        <v>67</v>
      </c>
      <c r="B78" s="19" t="str">
        <f t="shared" si="13"/>
        <v>B-Interbank</v>
      </c>
      <c r="C78" s="3" t="s">
        <v>1330</v>
      </c>
      <c r="D78" s="14">
        <v>45769</v>
      </c>
      <c r="E78" s="5" t="s">
        <v>1338</v>
      </c>
      <c r="F78" s="5" t="s">
        <v>1336</v>
      </c>
      <c r="G78" s="6" t="s">
        <v>364</v>
      </c>
      <c r="H78" s="6" t="s">
        <v>68</v>
      </c>
      <c r="I78" s="6" t="s">
        <v>4440</v>
      </c>
      <c r="J78" s="6">
        <v>15313</v>
      </c>
      <c r="K78" s="7" t="s">
        <v>5111</v>
      </c>
      <c r="L78" s="8">
        <v>813199</v>
      </c>
      <c r="M78" s="8" t="str">
        <f t="shared" si="14"/>
        <v>PEN</v>
      </c>
      <c r="N78" s="13"/>
      <c r="O78" s="13">
        <v>349.28</v>
      </c>
      <c r="P78" s="3">
        <f t="shared" si="10"/>
        <v>0</v>
      </c>
      <c r="Q78" s="3">
        <f t="shared" si="11"/>
        <v>349.28</v>
      </c>
      <c r="R78" s="3">
        <f t="shared" si="12"/>
        <v>17648.500000000007</v>
      </c>
      <c r="S78" s="24" t="s">
        <v>1334</v>
      </c>
      <c r="T78" s="24" t="s">
        <v>1334</v>
      </c>
      <c r="U78" s="3"/>
      <c r="V78" s="3" t="s">
        <v>364</v>
      </c>
      <c r="W78" s="3" t="s">
        <v>5130</v>
      </c>
      <c r="X78" s="3"/>
      <c r="Y78" s="3"/>
      <c r="Z78" s="3"/>
      <c r="AA78" s="3" t="str">
        <f>IF(Interbank_Soles[[#This Row],[fecha]]&gt;0,TEXT(Interbank_Soles[[#This Row],[fecha]],"mmmm"),0)</f>
        <v>Abril</v>
      </c>
    </row>
    <row r="79" spans="1:27" ht="24" x14ac:dyDescent="0.3">
      <c r="A79" s="2">
        <f>IF(Interbank_Soles[[#This Row],[tipo_registro]]="R",COUNTIFS($C$4:$C78,"R")+1,"")</f>
        <v>68</v>
      </c>
      <c r="B79" s="19" t="str">
        <f t="shared" si="13"/>
        <v>B-Interbank</v>
      </c>
      <c r="C79" s="3" t="s">
        <v>1330</v>
      </c>
      <c r="D79" s="14">
        <v>45769</v>
      </c>
      <c r="E79" s="5" t="s">
        <v>1338</v>
      </c>
      <c r="F79" s="5" t="s">
        <v>1336</v>
      </c>
      <c r="G79" s="6" t="s">
        <v>364</v>
      </c>
      <c r="H79" s="6" t="s">
        <v>68</v>
      </c>
      <c r="I79" s="6" t="s">
        <v>4440</v>
      </c>
      <c r="J79" s="6">
        <v>15335</v>
      </c>
      <c r="K79" s="7" t="s">
        <v>5111</v>
      </c>
      <c r="L79" s="8">
        <v>814873</v>
      </c>
      <c r="M79" s="8" t="str">
        <f t="shared" si="14"/>
        <v>PEN</v>
      </c>
      <c r="N79" s="13"/>
      <c r="O79" s="13">
        <v>226.56</v>
      </c>
      <c r="P79" s="3">
        <f t="shared" si="10"/>
        <v>0</v>
      </c>
      <c r="Q79" s="3">
        <f t="shared" si="11"/>
        <v>226.56</v>
      </c>
      <c r="R79" s="3">
        <f t="shared" si="12"/>
        <v>17421.940000000006</v>
      </c>
      <c r="S79" s="24" t="s">
        <v>1334</v>
      </c>
      <c r="T79" s="24" t="s">
        <v>1334</v>
      </c>
      <c r="U79" s="3"/>
      <c r="V79" s="3" t="s">
        <v>364</v>
      </c>
      <c r="W79" s="3" t="s">
        <v>5131</v>
      </c>
      <c r="X79" s="3"/>
      <c r="Y79" s="3"/>
      <c r="Z79" s="3"/>
      <c r="AA79" s="3" t="str">
        <f>IF(Interbank_Soles[[#This Row],[fecha]]&gt;0,TEXT(Interbank_Soles[[#This Row],[fecha]],"mmmm"),0)</f>
        <v>Abril</v>
      </c>
    </row>
    <row r="80" spans="1:27" ht="24" x14ac:dyDescent="0.3">
      <c r="A80" s="2">
        <f>IF(Interbank_Soles[[#This Row],[tipo_registro]]="R",COUNTIFS($C$4:$C79,"R")+1,"")</f>
        <v>69</v>
      </c>
      <c r="B80" s="19" t="str">
        <f t="shared" si="13"/>
        <v>B-Interbank</v>
      </c>
      <c r="C80" s="3" t="s">
        <v>1330</v>
      </c>
      <c r="D80" s="14">
        <v>45769</v>
      </c>
      <c r="E80" s="5" t="s">
        <v>1338</v>
      </c>
      <c r="F80" s="5" t="s">
        <v>1336</v>
      </c>
      <c r="G80" s="6" t="s">
        <v>364</v>
      </c>
      <c r="H80" s="6" t="s">
        <v>68</v>
      </c>
      <c r="I80" s="6" t="s">
        <v>4440</v>
      </c>
      <c r="J80" s="6">
        <v>15341</v>
      </c>
      <c r="K80" s="7" t="s">
        <v>5111</v>
      </c>
      <c r="L80" s="8">
        <v>816705</v>
      </c>
      <c r="M80" s="8" t="str">
        <f t="shared" si="14"/>
        <v>PEN</v>
      </c>
      <c r="N80" s="13"/>
      <c r="O80" s="13">
        <v>162.84</v>
      </c>
      <c r="P80" s="3">
        <f t="shared" si="10"/>
        <v>0</v>
      </c>
      <c r="Q80" s="3">
        <f t="shared" si="11"/>
        <v>162.84</v>
      </c>
      <c r="R80" s="3">
        <f t="shared" si="12"/>
        <v>17259.100000000006</v>
      </c>
      <c r="S80" s="24" t="s">
        <v>1334</v>
      </c>
      <c r="T80" s="24" t="s">
        <v>1334</v>
      </c>
      <c r="U80" s="3"/>
      <c r="V80" s="3" t="s">
        <v>364</v>
      </c>
      <c r="W80" s="3" t="s">
        <v>5132</v>
      </c>
      <c r="X80" s="3"/>
      <c r="Y80" s="3"/>
      <c r="Z80" s="3"/>
      <c r="AA80" s="3" t="str">
        <f>IF(Interbank_Soles[[#This Row],[fecha]]&gt;0,TEXT(Interbank_Soles[[#This Row],[fecha]],"mmmm"),0)</f>
        <v>Abril</v>
      </c>
    </row>
    <row r="81" spans="1:27" x14ac:dyDescent="0.3">
      <c r="A81" s="2">
        <f>IF(Interbank_Soles[[#This Row],[tipo_registro]]="R",COUNTIFS($C$4:$C80,"R")+1,"")</f>
        <v>70</v>
      </c>
      <c r="B81" s="19" t="str">
        <f t="shared" si="13"/>
        <v>B-Interbank</v>
      </c>
      <c r="C81" s="3" t="s">
        <v>1330</v>
      </c>
      <c r="D81" s="14">
        <v>45777</v>
      </c>
      <c r="E81" s="5" t="s">
        <v>5060</v>
      </c>
      <c r="F81" s="5" t="s">
        <v>1336</v>
      </c>
      <c r="G81" s="6"/>
      <c r="H81" s="6"/>
      <c r="I81" s="6"/>
      <c r="J81" s="6"/>
      <c r="K81" s="7" t="s">
        <v>5061</v>
      </c>
      <c r="L81" s="8" t="s">
        <v>1333</v>
      </c>
      <c r="M81" s="8" t="str">
        <f t="shared" si="14"/>
        <v>PEN</v>
      </c>
      <c r="N81" s="13"/>
      <c r="O81" s="13">
        <v>0.25</v>
      </c>
      <c r="P81" s="3">
        <f t="shared" si="10"/>
        <v>0</v>
      </c>
      <c r="Q81" s="3">
        <f t="shared" si="11"/>
        <v>0.25</v>
      </c>
      <c r="R81" s="3">
        <f t="shared" si="12"/>
        <v>17258.850000000006</v>
      </c>
      <c r="S81" s="24" t="s">
        <v>1334</v>
      </c>
      <c r="T81" s="24" t="s">
        <v>1334</v>
      </c>
      <c r="U81" s="3"/>
      <c r="V81" s="3"/>
      <c r="W81" s="3"/>
      <c r="X81" s="3"/>
      <c r="Y81" s="3"/>
      <c r="Z81" s="3"/>
      <c r="AA81" s="3" t="str">
        <f>IF(Interbank_Soles[[#This Row],[fecha]]&gt;0,TEXT(Interbank_Soles[[#This Row],[fecha]],"mmmm"),0)</f>
        <v>Abril</v>
      </c>
    </row>
    <row r="82" spans="1:27" ht="36" x14ac:dyDescent="0.3">
      <c r="A82" s="2">
        <f>IF(Interbank_Soles[[#This Row],[tipo_registro]]="R",COUNTIFS($C$4:$C81,"R")+1,"")</f>
        <v>71</v>
      </c>
      <c r="B82" s="19" t="str">
        <f t="shared" si="13"/>
        <v>B-Interbank</v>
      </c>
      <c r="C82" s="3" t="s">
        <v>1330</v>
      </c>
      <c r="D82" s="14">
        <v>45777</v>
      </c>
      <c r="E82" s="5" t="s">
        <v>208</v>
      </c>
      <c r="F82" s="5" t="s">
        <v>1303</v>
      </c>
      <c r="G82" s="6"/>
      <c r="H82" s="6"/>
      <c r="I82" s="6"/>
      <c r="J82" s="6"/>
      <c r="K82" s="7" t="s">
        <v>5123</v>
      </c>
      <c r="L82" s="8">
        <v>8124270</v>
      </c>
      <c r="M82" s="8" t="str">
        <f t="shared" si="14"/>
        <v>PEN</v>
      </c>
      <c r="N82" s="13"/>
      <c r="O82" s="13">
        <v>5226.4799999999996</v>
      </c>
      <c r="P82" s="3">
        <f t="shared" si="10"/>
        <v>5226.4799999999996</v>
      </c>
      <c r="Q82" s="3">
        <f t="shared" si="11"/>
        <v>0</v>
      </c>
      <c r="R82" s="3">
        <f t="shared" si="12"/>
        <v>22485.330000000005</v>
      </c>
      <c r="S82" s="24" t="s">
        <v>1334</v>
      </c>
      <c r="T82" s="24" t="s">
        <v>1334</v>
      </c>
      <c r="U82" s="3"/>
      <c r="V82" s="3" t="s">
        <v>425</v>
      </c>
      <c r="W82" s="3" t="s">
        <v>5133</v>
      </c>
      <c r="X82" s="3"/>
      <c r="Y82" s="3"/>
      <c r="Z82" s="3"/>
      <c r="AA82" s="3" t="str">
        <f>IF(Interbank_Soles[[#This Row],[fecha]]&gt;0,TEXT(Interbank_Soles[[#This Row],[fecha]],"mmmm"),0)</f>
        <v>Abril</v>
      </c>
    </row>
    <row r="83" spans="1:27" ht="48" x14ac:dyDescent="0.3">
      <c r="A83" s="2">
        <f>IF(Interbank_Soles[[#This Row],[tipo_registro]]="R",COUNTIFS($C$4:$C82,"R")+1,"")</f>
        <v>72</v>
      </c>
      <c r="B83" s="19" t="str">
        <f t="shared" si="13"/>
        <v>B-Interbank</v>
      </c>
      <c r="C83" s="3" t="s">
        <v>1330</v>
      </c>
      <c r="D83" s="14">
        <v>45784</v>
      </c>
      <c r="E83" s="5" t="s">
        <v>310</v>
      </c>
      <c r="F83" s="5" t="s">
        <v>1303</v>
      </c>
      <c r="G83" s="6"/>
      <c r="H83" s="6"/>
      <c r="I83" s="6"/>
      <c r="J83" s="6"/>
      <c r="K83" s="7" t="s">
        <v>5108</v>
      </c>
      <c r="L83" s="8">
        <v>714947</v>
      </c>
      <c r="M83" s="8" t="str">
        <f t="shared" si="14"/>
        <v>PEN</v>
      </c>
      <c r="N83" s="13"/>
      <c r="O83" s="13">
        <v>932.2</v>
      </c>
      <c r="P83" s="3">
        <f t="shared" si="10"/>
        <v>932.2</v>
      </c>
      <c r="Q83" s="3">
        <f t="shared" si="11"/>
        <v>0</v>
      </c>
      <c r="R83" s="3">
        <f t="shared" si="12"/>
        <v>23417.530000000006</v>
      </c>
      <c r="S83" s="24" t="s">
        <v>1334</v>
      </c>
      <c r="T83" s="24" t="s">
        <v>1334</v>
      </c>
      <c r="U83" s="3"/>
      <c r="V83" s="3" t="s">
        <v>425</v>
      </c>
      <c r="W83" s="3" t="s">
        <v>5134</v>
      </c>
      <c r="X83" s="3"/>
      <c r="Y83" s="3"/>
      <c r="Z83" s="3"/>
      <c r="AA83" s="3" t="str">
        <f>IF(Interbank_Soles[[#This Row],[fecha]]&gt;0,TEXT(Interbank_Soles[[#This Row],[fecha]],"mmmm"),0)</f>
        <v>Mayo</v>
      </c>
    </row>
    <row r="84" spans="1:27" ht="24" x14ac:dyDescent="0.3">
      <c r="A84" s="2">
        <f>IF(Interbank_Soles[[#This Row],[tipo_registro]]="R",COUNTIFS($C$4:$C83,"R")+1,"")</f>
        <v>73</v>
      </c>
      <c r="B84" s="19" t="str">
        <f t="shared" si="13"/>
        <v>B-Interbank</v>
      </c>
      <c r="C84" s="3" t="s">
        <v>1330</v>
      </c>
      <c r="D84" s="14">
        <v>45789</v>
      </c>
      <c r="E84" s="5" t="s">
        <v>1338</v>
      </c>
      <c r="F84" s="5" t="s">
        <v>1336</v>
      </c>
      <c r="G84" s="6" t="s">
        <v>364</v>
      </c>
      <c r="H84" s="6" t="s">
        <v>68</v>
      </c>
      <c r="I84" s="6" t="s">
        <v>4440</v>
      </c>
      <c r="J84" s="6">
        <v>15484</v>
      </c>
      <c r="K84" s="7" t="s">
        <v>5111</v>
      </c>
      <c r="L84" s="8">
        <v>2256078</v>
      </c>
      <c r="M84" s="8" t="str">
        <f t="shared" si="14"/>
        <v>PEN</v>
      </c>
      <c r="N84" s="13"/>
      <c r="O84" s="13">
        <v>226.56</v>
      </c>
      <c r="P84" s="3">
        <f t="shared" si="10"/>
        <v>0</v>
      </c>
      <c r="Q84" s="3">
        <f t="shared" si="11"/>
        <v>226.56</v>
      </c>
      <c r="R84" s="3">
        <f t="shared" si="12"/>
        <v>23190.970000000005</v>
      </c>
      <c r="S84" s="24" t="s">
        <v>1334</v>
      </c>
      <c r="T84" s="24" t="s">
        <v>1334</v>
      </c>
      <c r="U84" s="3"/>
      <c r="V84" s="3" t="s">
        <v>364</v>
      </c>
      <c r="W84" s="3" t="s">
        <v>5135</v>
      </c>
      <c r="X84" s="3"/>
      <c r="Y84" s="3"/>
      <c r="Z84" s="3"/>
      <c r="AA84" s="3" t="str">
        <f>IF(Interbank_Soles[[#This Row],[fecha]]&gt;0,TEXT(Interbank_Soles[[#This Row],[fecha]],"mmmm"),0)</f>
        <v>Mayo</v>
      </c>
    </row>
    <row r="85" spans="1:27" ht="24" x14ac:dyDescent="0.3">
      <c r="A85" s="2">
        <f>IF(Interbank_Soles[[#This Row],[tipo_registro]]="R",COUNTIFS($C$4:$C84,"R")+1,"")</f>
        <v>74</v>
      </c>
      <c r="B85" s="19" t="str">
        <f t="shared" si="13"/>
        <v>B-Interbank</v>
      </c>
      <c r="C85" s="3" t="s">
        <v>1330</v>
      </c>
      <c r="D85" s="14">
        <v>45789</v>
      </c>
      <c r="E85" s="5" t="s">
        <v>1338</v>
      </c>
      <c r="F85" s="5" t="s">
        <v>1336</v>
      </c>
      <c r="G85" s="6" t="s">
        <v>364</v>
      </c>
      <c r="H85" s="6" t="s">
        <v>68</v>
      </c>
      <c r="I85" s="6" t="s">
        <v>4440</v>
      </c>
      <c r="J85" s="6">
        <v>15466</v>
      </c>
      <c r="K85" s="7" t="s">
        <v>5111</v>
      </c>
      <c r="L85" s="8">
        <v>2254170</v>
      </c>
      <c r="M85" s="8" t="str">
        <f t="shared" si="14"/>
        <v>PEN</v>
      </c>
      <c r="N85" s="13"/>
      <c r="O85" s="13">
        <v>108.56</v>
      </c>
      <c r="P85" s="3">
        <f t="shared" si="10"/>
        <v>0</v>
      </c>
      <c r="Q85" s="3">
        <f t="shared" si="11"/>
        <v>108.56</v>
      </c>
      <c r="R85" s="3">
        <f t="shared" si="12"/>
        <v>23082.410000000003</v>
      </c>
      <c r="S85" s="24" t="s">
        <v>1334</v>
      </c>
      <c r="T85" s="24" t="s">
        <v>1334</v>
      </c>
      <c r="U85" s="3"/>
      <c r="V85" s="3" t="s">
        <v>364</v>
      </c>
      <c r="W85" s="3" t="s">
        <v>5136</v>
      </c>
      <c r="X85" s="3"/>
      <c r="Y85" s="3"/>
      <c r="Z85" s="3"/>
      <c r="AA85" s="3" t="str">
        <f>IF(Interbank_Soles[[#This Row],[fecha]]&gt;0,TEXT(Interbank_Soles[[#This Row],[fecha]],"mmmm"),0)</f>
        <v>Mayo</v>
      </c>
    </row>
    <row r="86" spans="1:27" x14ac:dyDescent="0.3">
      <c r="A86" s="2">
        <f>IF(Interbank_Soles[[#This Row],[tipo_registro]]="R",COUNTIFS($C$4:$C85,"R")+1,"")</f>
        <v>75</v>
      </c>
      <c r="B86" s="19" t="str">
        <f t="shared" si="13"/>
        <v>B-Interbank</v>
      </c>
      <c r="C86" s="3" t="s">
        <v>1330</v>
      </c>
      <c r="D86" s="14">
        <v>45791</v>
      </c>
      <c r="E86" s="5" t="s">
        <v>5060</v>
      </c>
      <c r="F86" s="5" t="s">
        <v>1336</v>
      </c>
      <c r="G86" s="6"/>
      <c r="H86" s="6"/>
      <c r="I86" s="6"/>
      <c r="J86" s="6"/>
      <c r="K86" s="7" t="s">
        <v>5061</v>
      </c>
      <c r="L86" s="8" t="s">
        <v>1333</v>
      </c>
      <c r="M86" s="8" t="str">
        <f t="shared" si="14"/>
        <v>PEN</v>
      </c>
      <c r="N86" s="13"/>
      <c r="O86" s="13">
        <v>0.25</v>
      </c>
      <c r="P86" s="3">
        <f t="shared" si="10"/>
        <v>0</v>
      </c>
      <c r="Q86" s="3">
        <f t="shared" si="11"/>
        <v>0.25</v>
      </c>
      <c r="R86" s="3">
        <f t="shared" si="12"/>
        <v>23082.160000000003</v>
      </c>
      <c r="S86" s="24" t="s">
        <v>1334</v>
      </c>
      <c r="T86" s="24" t="s">
        <v>1334</v>
      </c>
      <c r="U86" s="3"/>
      <c r="V86" s="3" t="s">
        <v>5137</v>
      </c>
      <c r="W86" s="3"/>
      <c r="X86" s="3"/>
      <c r="Y86" s="3"/>
      <c r="Z86" s="3"/>
      <c r="AA86" s="3" t="str">
        <f>IF(Interbank_Soles[[#This Row],[fecha]]&gt;0,TEXT(Interbank_Soles[[#This Row],[fecha]],"mmmm"),0)</f>
        <v>Mayo</v>
      </c>
    </row>
    <row r="87" spans="1:27" x14ac:dyDescent="0.3">
      <c r="A87" s="2">
        <f>IF(Interbank_Soles[[#This Row],[tipo_registro]]="R",COUNTIFS($C$4:$C86,"R")+1,"")</f>
        <v>76</v>
      </c>
      <c r="B87" s="19" t="str">
        <f t="shared" si="13"/>
        <v>B-Interbank</v>
      </c>
      <c r="C87" s="3" t="s">
        <v>1330</v>
      </c>
      <c r="D87" s="14">
        <v>45791</v>
      </c>
      <c r="E87" s="5" t="s">
        <v>5060</v>
      </c>
      <c r="F87" s="5" t="s">
        <v>1336</v>
      </c>
      <c r="G87" s="6"/>
      <c r="H87" s="6"/>
      <c r="I87" s="6"/>
      <c r="J87" s="6"/>
      <c r="K87" s="7" t="s">
        <v>5061</v>
      </c>
      <c r="L87" s="8" t="s">
        <v>1333</v>
      </c>
      <c r="M87" s="8" t="str">
        <f t="shared" si="14"/>
        <v>PEN</v>
      </c>
      <c r="N87" s="13"/>
      <c r="O87" s="13">
        <v>0.2</v>
      </c>
      <c r="P87" s="3">
        <f t="shared" si="10"/>
        <v>0</v>
      </c>
      <c r="Q87" s="3">
        <f t="shared" si="11"/>
        <v>0.2</v>
      </c>
      <c r="R87" s="3">
        <f t="shared" si="12"/>
        <v>23081.960000000003</v>
      </c>
      <c r="S87" s="24" t="s">
        <v>1334</v>
      </c>
      <c r="T87" s="24" t="s">
        <v>1334</v>
      </c>
      <c r="U87" s="3"/>
      <c r="V87" s="3" t="s">
        <v>5138</v>
      </c>
      <c r="W87" s="3"/>
      <c r="X87" s="3"/>
      <c r="Y87" s="3"/>
      <c r="Z87" s="3"/>
      <c r="AA87" s="3" t="str">
        <f>IF(Interbank_Soles[[#This Row],[fecha]]&gt;0,TEXT(Interbank_Soles[[#This Row],[fecha]],"mmmm"),0)</f>
        <v>Mayo</v>
      </c>
    </row>
    <row r="88" spans="1:27" x14ac:dyDescent="0.3">
      <c r="A88" s="2">
        <f>IF(Interbank_Soles[[#This Row],[tipo_registro]]="R",COUNTIFS($C$4:$C87,"R")+1,"")</f>
        <v>77</v>
      </c>
      <c r="B88" s="19" t="str">
        <f t="shared" si="13"/>
        <v>B-Interbank</v>
      </c>
      <c r="C88" s="3" t="s">
        <v>1330</v>
      </c>
      <c r="D88" s="14">
        <v>45791</v>
      </c>
      <c r="E88" s="5" t="s">
        <v>630</v>
      </c>
      <c r="F88" s="5" t="s">
        <v>1303</v>
      </c>
      <c r="G88" s="6"/>
      <c r="H88" s="6"/>
      <c r="I88" s="6"/>
      <c r="J88" s="6"/>
      <c r="K88" s="7" t="s">
        <v>5108</v>
      </c>
      <c r="L88" s="8">
        <v>1002150</v>
      </c>
      <c r="M88" s="8" t="str">
        <f t="shared" si="14"/>
        <v>PEN</v>
      </c>
      <c r="N88" s="13"/>
      <c r="O88" s="13">
        <v>5079.09</v>
      </c>
      <c r="P88" s="3">
        <f t="shared" si="10"/>
        <v>5079.09</v>
      </c>
      <c r="Q88" s="3">
        <f t="shared" si="11"/>
        <v>0</v>
      </c>
      <c r="R88" s="3">
        <f t="shared" si="12"/>
        <v>28161.050000000003</v>
      </c>
      <c r="S88" s="24" t="s">
        <v>1334</v>
      </c>
      <c r="T88" s="24" t="s">
        <v>1334</v>
      </c>
      <c r="U88" s="3"/>
      <c r="V88" s="3" t="s">
        <v>425</v>
      </c>
      <c r="W88" s="3" t="s">
        <v>5139</v>
      </c>
      <c r="X88" s="3"/>
      <c r="Y88" s="3"/>
      <c r="Z88" s="3"/>
      <c r="AA88" s="3" t="str">
        <f>IF(Interbank_Soles[[#This Row],[fecha]]&gt;0,TEXT(Interbank_Soles[[#This Row],[fecha]],"mmmm"),0)</f>
        <v>Mayo</v>
      </c>
    </row>
    <row r="89" spans="1:27" x14ac:dyDescent="0.3">
      <c r="A89" s="2">
        <f>IF(Interbank_Soles[[#This Row],[tipo_registro]]="R",COUNTIFS($C$4:$C88,"R")+1,"")</f>
        <v>78</v>
      </c>
      <c r="B89" s="19" t="str">
        <f t="shared" si="13"/>
        <v>B-Interbank</v>
      </c>
      <c r="C89" s="3" t="s">
        <v>1330</v>
      </c>
      <c r="D89" s="14">
        <v>45791</v>
      </c>
      <c r="E89" s="5" t="s">
        <v>630</v>
      </c>
      <c r="F89" s="5" t="s">
        <v>1303</v>
      </c>
      <c r="G89" s="6"/>
      <c r="H89" s="6"/>
      <c r="I89" s="6"/>
      <c r="J89" s="6"/>
      <c r="K89" s="7" t="s">
        <v>5108</v>
      </c>
      <c r="L89" s="8">
        <v>1007651</v>
      </c>
      <c r="M89" s="8" t="str">
        <f t="shared" si="14"/>
        <v>PEN</v>
      </c>
      <c r="N89" s="13"/>
      <c r="O89" s="13">
        <v>4312.9399999999996</v>
      </c>
      <c r="P89" s="3">
        <f t="shared" si="10"/>
        <v>4312.9399999999996</v>
      </c>
      <c r="Q89" s="3">
        <f t="shared" si="11"/>
        <v>0</v>
      </c>
      <c r="R89" s="3">
        <f t="shared" si="12"/>
        <v>32473.99</v>
      </c>
      <c r="S89" s="24" t="s">
        <v>1334</v>
      </c>
      <c r="T89" s="24" t="s">
        <v>1334</v>
      </c>
      <c r="U89" s="3"/>
      <c r="V89" s="3" t="s">
        <v>425</v>
      </c>
      <c r="W89" s="3" t="s">
        <v>5140</v>
      </c>
      <c r="X89" s="3"/>
      <c r="Y89" s="3"/>
      <c r="Z89" s="3"/>
      <c r="AA89" s="3" t="str">
        <f>IF(Interbank_Soles[[#This Row],[fecha]]&gt;0,TEXT(Interbank_Soles[[#This Row],[fecha]],"mmmm"),0)</f>
        <v>Mayo</v>
      </c>
    </row>
    <row r="90" spans="1:27" ht="24" x14ac:dyDescent="0.3">
      <c r="A90" s="2">
        <f>IF(Interbank_Soles[[#This Row],[tipo_registro]]="R",COUNTIFS($C$4:$C89,"R")+1,"")</f>
        <v>79</v>
      </c>
      <c r="B90" s="19" t="str">
        <f t="shared" si="13"/>
        <v>B-Interbank</v>
      </c>
      <c r="C90" s="3" t="s">
        <v>1330</v>
      </c>
      <c r="D90" s="14">
        <v>45793</v>
      </c>
      <c r="E90" s="5" t="s">
        <v>1338</v>
      </c>
      <c r="F90" s="5" t="s">
        <v>1336</v>
      </c>
      <c r="G90" s="6" t="s">
        <v>364</v>
      </c>
      <c r="H90" s="6" t="s">
        <v>68</v>
      </c>
      <c r="I90" s="6" t="s">
        <v>4440</v>
      </c>
      <c r="J90" s="6">
        <v>15413</v>
      </c>
      <c r="K90" s="7" t="s">
        <v>5111</v>
      </c>
      <c r="L90" s="8">
        <v>905159</v>
      </c>
      <c r="M90" s="8" t="str">
        <f t="shared" si="14"/>
        <v>PEN</v>
      </c>
      <c r="N90" s="13"/>
      <c r="O90" s="13">
        <v>283.2</v>
      </c>
      <c r="P90" s="3">
        <f t="shared" si="10"/>
        <v>0</v>
      </c>
      <c r="Q90" s="3">
        <f t="shared" si="11"/>
        <v>283.2</v>
      </c>
      <c r="R90" s="3">
        <f t="shared" si="12"/>
        <v>32190.79</v>
      </c>
      <c r="S90" s="24" t="s">
        <v>1334</v>
      </c>
      <c r="T90" s="24" t="s">
        <v>1334</v>
      </c>
      <c r="U90" s="3"/>
      <c r="V90" s="3" t="s">
        <v>5096</v>
      </c>
      <c r="W90" s="3" t="s">
        <v>5141</v>
      </c>
      <c r="X90" s="3"/>
      <c r="Y90" s="3"/>
      <c r="Z90" s="3"/>
      <c r="AA90" s="3" t="str">
        <f>IF(Interbank_Soles[[#This Row],[fecha]]&gt;0,TEXT(Interbank_Soles[[#This Row],[fecha]],"mmmm"),0)</f>
        <v>Mayo</v>
      </c>
    </row>
    <row r="91" spans="1:27" x14ac:dyDescent="0.3">
      <c r="A91" s="2">
        <f>IF(Interbank_Soles[[#This Row],[tipo_registro]]="R",COUNTIFS($C$4:$C90,"R")+1,"")</f>
        <v>80</v>
      </c>
      <c r="B91" s="19" t="str">
        <f t="shared" si="13"/>
        <v>B-Interbank</v>
      </c>
      <c r="C91" s="3" t="s">
        <v>1330</v>
      </c>
      <c r="D91" s="14">
        <v>45796</v>
      </c>
      <c r="E91" s="5" t="s">
        <v>1331</v>
      </c>
      <c r="F91" s="5" t="s">
        <v>1336</v>
      </c>
      <c r="G91" s="6"/>
      <c r="H91" s="6"/>
      <c r="I91" s="6"/>
      <c r="J91" s="6"/>
      <c r="K91" s="7" t="s">
        <v>3090</v>
      </c>
      <c r="L91" s="8" t="s">
        <v>1333</v>
      </c>
      <c r="M91" s="8" t="str">
        <f t="shared" si="14"/>
        <v>PEN</v>
      </c>
      <c r="N91" s="13"/>
      <c r="O91" s="13">
        <v>15004.8</v>
      </c>
      <c r="P91" s="3">
        <f t="shared" si="10"/>
        <v>0</v>
      </c>
      <c r="Q91" s="3">
        <f t="shared" si="11"/>
        <v>15004.8</v>
      </c>
      <c r="R91" s="3">
        <f t="shared" si="12"/>
        <v>17185.990000000002</v>
      </c>
      <c r="S91" s="24" t="s">
        <v>1334</v>
      </c>
      <c r="T91" s="24" t="s">
        <v>1334</v>
      </c>
      <c r="U91" s="3"/>
      <c r="V91" s="3"/>
      <c r="W91" s="3"/>
      <c r="X91" s="3"/>
      <c r="Y91" s="3"/>
      <c r="Z91" s="3"/>
      <c r="AA91" s="3" t="str">
        <f>IF(Interbank_Soles[[#This Row],[fecha]]&gt;0,TEXT(Interbank_Soles[[#This Row],[fecha]],"mmmm"),0)</f>
        <v>Mayo</v>
      </c>
    </row>
    <row r="92" spans="1:27" x14ac:dyDescent="0.3">
      <c r="A92" s="2" t="str">
        <f>IF(Interbank_Soles[[#This Row],[tipo_registro]]="R",COUNTIFS($C$4:$C91,"R")+1,"")</f>
        <v/>
      </c>
      <c r="B92" s="19" t="str">
        <f>"B-Interbank"</f>
        <v>B-Interbank</v>
      </c>
      <c r="C92" s="3" t="s">
        <v>1352</v>
      </c>
      <c r="D92" s="14">
        <v>45796</v>
      </c>
      <c r="E92" s="5" t="s">
        <v>1331</v>
      </c>
      <c r="F92" s="5" t="s">
        <v>1336</v>
      </c>
      <c r="G92" s="6" t="s">
        <v>425</v>
      </c>
      <c r="H92" s="6"/>
      <c r="I92" s="6"/>
      <c r="J92" s="6"/>
      <c r="K92" s="7" t="s">
        <v>3090</v>
      </c>
      <c r="L92" s="8" t="s">
        <v>1333</v>
      </c>
      <c r="M92" s="8" t="str">
        <f>"PEN"</f>
        <v>PEN</v>
      </c>
      <c r="N92" s="13">
        <v>15000</v>
      </c>
      <c r="O92" s="13"/>
      <c r="P92" s="3">
        <f t="shared" si="10"/>
        <v>0</v>
      </c>
      <c r="Q92" s="3">
        <f t="shared" si="11"/>
        <v>0</v>
      </c>
      <c r="R92" s="3">
        <f t="shared" si="12"/>
        <v>17185.990000000002</v>
      </c>
      <c r="S92" s="24" t="s">
        <v>1334</v>
      </c>
      <c r="T92" s="24" t="s">
        <v>1334</v>
      </c>
      <c r="U92" s="3"/>
      <c r="V92" s="3"/>
      <c r="W92" s="3"/>
      <c r="X92" s="3"/>
      <c r="Y92" s="3"/>
      <c r="Z92" s="3"/>
      <c r="AA92" s="3" t="str">
        <f>IF(Interbank_Soles[[#This Row],[fecha]]&gt;0,TEXT(Interbank_Soles[[#This Row],[fecha]],"mmmm"),0)</f>
        <v>Mayo</v>
      </c>
    </row>
    <row r="93" spans="1:27" x14ac:dyDescent="0.3">
      <c r="A93" s="2" t="str">
        <f>IF(Interbank_Soles[[#This Row],[tipo_registro]]="R",COUNTIFS($C$4:$C92,"R")+1,"")</f>
        <v/>
      </c>
      <c r="B93" s="19" t="str">
        <f>"B-Interbank"</f>
        <v>B-Interbank</v>
      </c>
      <c r="C93" s="3" t="s">
        <v>1352</v>
      </c>
      <c r="D93" s="14">
        <v>45796</v>
      </c>
      <c r="E93" s="5" t="s">
        <v>1331</v>
      </c>
      <c r="F93" s="5" t="s">
        <v>1336</v>
      </c>
      <c r="G93" s="6"/>
      <c r="H93" s="6" t="s">
        <v>68</v>
      </c>
      <c r="I93" s="6" t="s">
        <v>5142</v>
      </c>
      <c r="J93" s="6">
        <v>3330901</v>
      </c>
      <c r="K93" s="7" t="s">
        <v>3090</v>
      </c>
      <c r="L93" s="8" t="s">
        <v>1333</v>
      </c>
      <c r="M93" s="8" t="str">
        <f>"PEN"</f>
        <v>PEN</v>
      </c>
      <c r="N93" s="13">
        <v>4.8</v>
      </c>
      <c r="O93" s="13"/>
      <c r="P93" s="3">
        <f t="shared" si="10"/>
        <v>0</v>
      </c>
      <c r="Q93" s="3">
        <f t="shared" si="11"/>
        <v>0</v>
      </c>
      <c r="R93" s="3">
        <f t="shared" si="12"/>
        <v>17185.990000000002</v>
      </c>
      <c r="S93" s="24" t="s">
        <v>1334</v>
      </c>
      <c r="T93" s="24" t="s">
        <v>1334</v>
      </c>
      <c r="U93" s="3"/>
      <c r="V93" s="3"/>
      <c r="W93" s="3"/>
      <c r="X93" s="3"/>
      <c r="Y93" s="3"/>
      <c r="Z93" s="3"/>
      <c r="AA93" s="3" t="str">
        <f>IF(Interbank_Soles[[#This Row],[fecha]]&gt;0,TEXT(Interbank_Soles[[#This Row],[fecha]],"mmmm"),0)</f>
        <v>Mayo</v>
      </c>
    </row>
    <row r="94" spans="1:27" ht="24" x14ac:dyDescent="0.3">
      <c r="A94" s="2">
        <f>IF(Interbank_Soles[[#This Row],[tipo_registro]]="R",COUNTIFS($C$4:$C93,"R")+1,"")</f>
        <v>81</v>
      </c>
      <c r="B94" s="19" t="str">
        <f t="shared" si="13"/>
        <v>B-Interbank</v>
      </c>
      <c r="C94" s="3" t="s">
        <v>1330</v>
      </c>
      <c r="D94" s="14">
        <v>45797</v>
      </c>
      <c r="E94" s="5" t="s">
        <v>1338</v>
      </c>
      <c r="F94" s="5" t="s">
        <v>1336</v>
      </c>
      <c r="G94" s="6" t="s">
        <v>364</v>
      </c>
      <c r="H94" s="6" t="s">
        <v>68</v>
      </c>
      <c r="I94" s="6" t="s">
        <v>4440</v>
      </c>
      <c r="J94" s="6">
        <v>15547</v>
      </c>
      <c r="K94" s="7" t="s">
        <v>5111</v>
      </c>
      <c r="L94" s="8">
        <v>447193</v>
      </c>
      <c r="M94" s="8" t="str">
        <f t="shared" si="14"/>
        <v>PEN</v>
      </c>
      <c r="N94" s="13"/>
      <c r="O94" s="13">
        <v>283.2</v>
      </c>
      <c r="P94" s="3">
        <f t="shared" si="10"/>
        <v>0</v>
      </c>
      <c r="Q94" s="3">
        <f t="shared" si="11"/>
        <v>283.2</v>
      </c>
      <c r="R94" s="3">
        <f t="shared" si="12"/>
        <v>16902.79</v>
      </c>
      <c r="S94" s="24" t="s">
        <v>1334</v>
      </c>
      <c r="T94" s="24" t="s">
        <v>1334</v>
      </c>
      <c r="U94" s="3"/>
      <c r="V94" s="3" t="s">
        <v>5096</v>
      </c>
      <c r="W94" s="3" t="s">
        <v>5143</v>
      </c>
      <c r="X94" s="3"/>
      <c r="Y94" s="3"/>
      <c r="Z94" s="3"/>
      <c r="AA94" s="3" t="str">
        <f>IF(Interbank_Soles[[#This Row],[fecha]]&gt;0,TEXT(Interbank_Soles[[#This Row],[fecha]],"mmmm"),0)</f>
        <v>Mayo</v>
      </c>
    </row>
    <row r="95" spans="1:27" ht="24" x14ac:dyDescent="0.3">
      <c r="A95" s="2">
        <f>IF(Interbank_Soles[[#This Row],[tipo_registro]]="R",COUNTIFS($C$4:$C94,"R")+1,"")</f>
        <v>82</v>
      </c>
      <c r="B95" s="19" t="str">
        <f t="shared" si="13"/>
        <v>B-Interbank</v>
      </c>
      <c r="C95" s="3" t="s">
        <v>1330</v>
      </c>
      <c r="D95" s="14">
        <v>45797</v>
      </c>
      <c r="E95" s="5" t="s">
        <v>1338</v>
      </c>
      <c r="F95" s="5" t="s">
        <v>1336</v>
      </c>
      <c r="G95" s="6" t="s">
        <v>364</v>
      </c>
      <c r="H95" s="6" t="s">
        <v>68</v>
      </c>
      <c r="I95" s="6" t="s">
        <v>4440</v>
      </c>
      <c r="J95" s="6">
        <v>15555</v>
      </c>
      <c r="K95" s="7" t="s">
        <v>5111</v>
      </c>
      <c r="L95" s="8">
        <v>444400</v>
      </c>
      <c r="M95" s="8" t="str">
        <f t="shared" si="14"/>
        <v>PEN</v>
      </c>
      <c r="N95" s="13"/>
      <c r="O95" s="13">
        <v>283.2</v>
      </c>
      <c r="P95" s="3">
        <f t="shared" si="10"/>
        <v>0</v>
      </c>
      <c r="Q95" s="3">
        <f t="shared" si="11"/>
        <v>283.2</v>
      </c>
      <c r="R95" s="3">
        <f t="shared" si="12"/>
        <v>16619.59</v>
      </c>
      <c r="S95" s="24" t="s">
        <v>1334</v>
      </c>
      <c r="T95" s="24" t="s">
        <v>1334</v>
      </c>
      <c r="U95" s="3"/>
      <c r="V95" s="3" t="s">
        <v>5096</v>
      </c>
      <c r="W95" s="3" t="s">
        <v>5144</v>
      </c>
      <c r="X95" s="3"/>
      <c r="Y95" s="3"/>
      <c r="Z95" s="3"/>
      <c r="AA95" s="3" t="str">
        <f>IF(Interbank_Soles[[#This Row],[fecha]]&gt;0,TEXT(Interbank_Soles[[#This Row],[fecha]],"mmmm"),0)</f>
        <v>Mayo</v>
      </c>
    </row>
    <row r="96" spans="1:27" ht="24" x14ac:dyDescent="0.3">
      <c r="A96" s="2">
        <f>IF(Interbank_Soles[[#This Row],[tipo_registro]]="R",COUNTIFS($C$4:$C95,"R")+1,"")</f>
        <v>83</v>
      </c>
      <c r="B96" s="19" t="str">
        <f t="shared" si="13"/>
        <v>B-Interbank</v>
      </c>
      <c r="C96" s="3" t="s">
        <v>1330</v>
      </c>
      <c r="D96" s="14">
        <v>45797</v>
      </c>
      <c r="E96" s="5" t="s">
        <v>1338</v>
      </c>
      <c r="F96" s="5" t="s">
        <v>1336</v>
      </c>
      <c r="G96" s="6" t="s">
        <v>364</v>
      </c>
      <c r="H96" s="6" t="s">
        <v>68</v>
      </c>
      <c r="I96" s="6" t="s">
        <v>4440</v>
      </c>
      <c r="J96" s="6">
        <v>15521</v>
      </c>
      <c r="K96" s="7" t="s">
        <v>5111</v>
      </c>
      <c r="L96" s="8">
        <v>441480</v>
      </c>
      <c r="M96" s="8" t="str">
        <f t="shared" si="14"/>
        <v>PEN</v>
      </c>
      <c r="N96" s="13"/>
      <c r="O96" s="13">
        <v>125.08</v>
      </c>
      <c r="P96" s="3">
        <f t="shared" si="10"/>
        <v>0</v>
      </c>
      <c r="Q96" s="3">
        <f t="shared" si="11"/>
        <v>125.08</v>
      </c>
      <c r="R96" s="3">
        <f t="shared" si="12"/>
        <v>16494.509999999998</v>
      </c>
      <c r="S96" s="24" t="s">
        <v>1334</v>
      </c>
      <c r="T96" s="24" t="s">
        <v>1334</v>
      </c>
      <c r="U96" s="3"/>
      <c r="V96" s="3" t="s">
        <v>5096</v>
      </c>
      <c r="W96" s="3" t="s">
        <v>5145</v>
      </c>
      <c r="X96" s="3"/>
      <c r="Y96" s="3"/>
      <c r="Z96" s="3"/>
      <c r="AA96" s="3" t="str">
        <f>IF(Interbank_Soles[[#This Row],[fecha]]&gt;0,TEXT(Interbank_Soles[[#This Row],[fecha]],"mmmm"),0)</f>
        <v>Mayo</v>
      </c>
    </row>
    <row r="97" spans="1:27" x14ac:dyDescent="0.3">
      <c r="A97" s="2">
        <f>IF(Interbank_Soles[[#This Row],[tipo_registro]]="R",COUNTIFS($C$4:$C96,"R")+1,"")</f>
        <v>84</v>
      </c>
      <c r="B97" s="19" t="str">
        <f t="shared" si="13"/>
        <v>B-Interbank</v>
      </c>
      <c r="C97" s="3" t="s">
        <v>1330</v>
      </c>
      <c r="D97" s="14">
        <v>45798</v>
      </c>
      <c r="E97" s="5" t="s">
        <v>5060</v>
      </c>
      <c r="F97" s="5" t="s">
        <v>1336</v>
      </c>
      <c r="G97" s="6"/>
      <c r="H97" s="6"/>
      <c r="I97" s="6"/>
      <c r="J97" s="6"/>
      <c r="K97" s="7" t="s">
        <v>5061</v>
      </c>
      <c r="L97" s="8" t="s">
        <v>1333</v>
      </c>
      <c r="M97" s="8" t="str">
        <f t="shared" si="14"/>
        <v>PEN</v>
      </c>
      <c r="N97" s="13"/>
      <c r="O97" s="13">
        <v>0.15</v>
      </c>
      <c r="P97" s="3">
        <f t="shared" si="10"/>
        <v>0</v>
      </c>
      <c r="Q97" s="3">
        <f t="shared" si="11"/>
        <v>0.15</v>
      </c>
      <c r="R97" s="3">
        <f t="shared" si="12"/>
        <v>16494.359999999997</v>
      </c>
      <c r="S97" s="24" t="s">
        <v>1334</v>
      </c>
      <c r="T97" s="24" t="s">
        <v>1334</v>
      </c>
      <c r="U97" s="3"/>
      <c r="V97" s="3"/>
      <c r="W97" s="3"/>
      <c r="X97" s="3"/>
      <c r="Y97" s="3"/>
      <c r="Z97" s="3"/>
      <c r="AA97" s="3" t="str">
        <f>IF(Interbank_Soles[[#This Row],[fecha]]&gt;0,TEXT(Interbank_Soles[[#This Row],[fecha]],"mmmm"),0)</f>
        <v>Mayo</v>
      </c>
    </row>
    <row r="98" spans="1:27" x14ac:dyDescent="0.3">
      <c r="A98" s="2">
        <f>IF(Interbank_Soles[[#This Row],[tipo_registro]]="R",COUNTIFS($C$4:$C97,"R")+1,"")</f>
        <v>85</v>
      </c>
      <c r="B98" s="19" t="str">
        <f t="shared" si="13"/>
        <v>B-Interbank</v>
      </c>
      <c r="C98" s="3" t="s">
        <v>1330</v>
      </c>
      <c r="D98" s="14">
        <v>45798</v>
      </c>
      <c r="E98" s="5" t="s">
        <v>5060</v>
      </c>
      <c r="F98" s="5" t="s">
        <v>1336</v>
      </c>
      <c r="G98" s="6"/>
      <c r="H98" s="6"/>
      <c r="I98" s="6"/>
      <c r="J98" s="6"/>
      <c r="K98" s="7" t="s">
        <v>5146</v>
      </c>
      <c r="L98" s="8" t="s">
        <v>1333</v>
      </c>
      <c r="M98" s="8" t="str">
        <f t="shared" si="14"/>
        <v>PEN</v>
      </c>
      <c r="N98" s="13"/>
      <c r="O98" s="13">
        <v>0.1</v>
      </c>
      <c r="P98" s="3">
        <f t="shared" si="10"/>
        <v>0</v>
      </c>
      <c r="Q98" s="3">
        <f t="shared" si="11"/>
        <v>0.1</v>
      </c>
      <c r="R98" s="3">
        <f t="shared" si="12"/>
        <v>16494.259999999998</v>
      </c>
      <c r="S98" s="24" t="s">
        <v>1334</v>
      </c>
      <c r="T98" s="24" t="s">
        <v>1334</v>
      </c>
      <c r="U98" s="3"/>
      <c r="V98" s="3"/>
      <c r="W98" s="3"/>
      <c r="X98" s="3"/>
      <c r="Y98" s="3"/>
      <c r="Z98" s="3"/>
      <c r="AA98" s="3" t="str">
        <f>IF(Interbank_Soles[[#This Row],[fecha]]&gt;0,TEXT(Interbank_Soles[[#This Row],[fecha]],"mmmm"),0)</f>
        <v>Mayo</v>
      </c>
    </row>
    <row r="99" spans="1:27" ht="48" x14ac:dyDescent="0.3">
      <c r="A99" s="2">
        <f>IF(Interbank_Soles[[#This Row],[tipo_registro]]="R",COUNTIFS($C$4:$C98,"R")+1,"")</f>
        <v>86</v>
      </c>
      <c r="B99" s="19" t="str">
        <f t="shared" si="13"/>
        <v>B-Interbank</v>
      </c>
      <c r="C99" s="3" t="s">
        <v>1330</v>
      </c>
      <c r="D99" s="14">
        <v>45798</v>
      </c>
      <c r="E99" s="5" t="s">
        <v>263</v>
      </c>
      <c r="F99" s="5" t="s">
        <v>1303</v>
      </c>
      <c r="G99" s="6"/>
      <c r="H99" s="6"/>
      <c r="I99" s="6"/>
      <c r="J99" s="6"/>
      <c r="K99" s="7" t="s">
        <v>5147</v>
      </c>
      <c r="L99" s="8">
        <v>9001560</v>
      </c>
      <c r="M99" s="8" t="str">
        <f t="shared" si="14"/>
        <v>PEN</v>
      </c>
      <c r="N99" s="13"/>
      <c r="O99" s="13">
        <v>3411.92</v>
      </c>
      <c r="P99" s="3">
        <f t="shared" si="10"/>
        <v>3411.92</v>
      </c>
      <c r="Q99" s="3">
        <f t="shared" si="11"/>
        <v>0</v>
      </c>
      <c r="R99" s="3">
        <f t="shared" si="12"/>
        <v>19906.18</v>
      </c>
      <c r="S99" s="24" t="s">
        <v>1334</v>
      </c>
      <c r="T99" s="24" t="s">
        <v>1334</v>
      </c>
      <c r="U99" s="3"/>
      <c r="V99" s="3" t="s">
        <v>425</v>
      </c>
      <c r="W99" s="3" t="s">
        <v>5148</v>
      </c>
      <c r="X99" s="3"/>
      <c r="Y99" s="3"/>
      <c r="Z99" s="3"/>
      <c r="AA99" s="3" t="str">
        <f>IF(Interbank_Soles[[#This Row],[fecha]]&gt;0,TEXT(Interbank_Soles[[#This Row],[fecha]],"mmmm"),0)</f>
        <v>Mayo</v>
      </c>
    </row>
    <row r="100" spans="1:27" ht="48" x14ac:dyDescent="0.3">
      <c r="A100" s="2">
        <f>IF(Interbank_Soles[[#This Row],[tipo_registro]]="R",COUNTIFS($C$4:$C99,"R")+1,"")</f>
        <v>87</v>
      </c>
      <c r="B100" s="19" t="str">
        <f t="shared" si="13"/>
        <v>B-Interbank</v>
      </c>
      <c r="C100" s="3" t="s">
        <v>1330</v>
      </c>
      <c r="D100" s="14">
        <v>45798</v>
      </c>
      <c r="E100" s="5" t="s">
        <v>264</v>
      </c>
      <c r="F100" s="5" t="s">
        <v>1303</v>
      </c>
      <c r="G100" s="6"/>
      <c r="H100" s="6"/>
      <c r="I100" s="6"/>
      <c r="J100" s="6"/>
      <c r="K100" s="7" t="s">
        <v>5149</v>
      </c>
      <c r="L100" s="8">
        <v>1005146</v>
      </c>
      <c r="M100" s="8" t="str">
        <f t="shared" si="14"/>
        <v>PEN</v>
      </c>
      <c r="N100" s="13"/>
      <c r="O100" s="13">
        <v>2756.69</v>
      </c>
      <c r="P100" s="3">
        <f t="shared" si="10"/>
        <v>2756.69</v>
      </c>
      <c r="Q100" s="3">
        <f t="shared" si="11"/>
        <v>0</v>
      </c>
      <c r="R100" s="3">
        <f t="shared" si="12"/>
        <v>22662.87</v>
      </c>
      <c r="S100" s="24" t="s">
        <v>1334</v>
      </c>
      <c r="T100" s="24" t="s">
        <v>1334</v>
      </c>
      <c r="U100" s="3"/>
      <c r="V100" s="3" t="s">
        <v>425</v>
      </c>
      <c r="W100" s="3" t="s">
        <v>5150</v>
      </c>
      <c r="X100" s="3"/>
      <c r="Y100" s="3"/>
      <c r="Z100" s="3"/>
      <c r="AA100" s="3" t="str">
        <f>IF(Interbank_Soles[[#This Row],[fecha]]&gt;0,TEXT(Interbank_Soles[[#This Row],[fecha]],"mmmm"),0)</f>
        <v>Mayo</v>
      </c>
    </row>
    <row r="101" spans="1:27" x14ac:dyDescent="0.3">
      <c r="A101" s="2">
        <f>IF(Interbank_Soles[[#This Row],[tipo_registro]]="R",COUNTIFS($C$4:$C100,"R")+1,"")</f>
        <v>88</v>
      </c>
      <c r="B101" s="19" t="str">
        <f t="shared" si="13"/>
        <v>B-Interbank</v>
      </c>
      <c r="C101" s="3" t="s">
        <v>1330</v>
      </c>
      <c r="D101" s="14">
        <v>45799</v>
      </c>
      <c r="E101" s="5" t="s">
        <v>1331</v>
      </c>
      <c r="F101" s="5" t="s">
        <v>1336</v>
      </c>
      <c r="G101" s="6"/>
      <c r="H101" s="6"/>
      <c r="I101" s="6"/>
      <c r="J101" s="6"/>
      <c r="K101" s="7" t="s">
        <v>3090</v>
      </c>
      <c r="L101" s="8" t="s">
        <v>1333</v>
      </c>
      <c r="M101" s="8" t="str">
        <f t="shared" si="14"/>
        <v>PEN</v>
      </c>
      <c r="N101" s="13"/>
      <c r="O101" s="13">
        <v>20004.8</v>
      </c>
      <c r="P101" s="3">
        <f t="shared" si="10"/>
        <v>0</v>
      </c>
      <c r="Q101" s="3">
        <f t="shared" si="11"/>
        <v>20004.8</v>
      </c>
      <c r="R101" s="3">
        <f t="shared" si="12"/>
        <v>2658.0699999999997</v>
      </c>
      <c r="S101" s="24" t="s">
        <v>1334</v>
      </c>
      <c r="T101" s="24" t="s">
        <v>1334</v>
      </c>
      <c r="U101" s="3"/>
      <c r="V101" s="3"/>
      <c r="W101" s="3"/>
      <c r="X101" s="3"/>
      <c r="Y101" s="3"/>
      <c r="Z101" s="3"/>
      <c r="AA101" s="3" t="str">
        <f>IF(Interbank_Soles[[#This Row],[fecha]]&gt;0,TEXT(Interbank_Soles[[#This Row],[fecha]],"mmmm"),0)</f>
        <v>Mayo</v>
      </c>
    </row>
    <row r="102" spans="1:27" x14ac:dyDescent="0.3">
      <c r="A102" s="2" t="str">
        <f>IF(Interbank_Soles[[#This Row],[tipo_registro]]="R",COUNTIFS($C$4:$C101,"R")+1,"")</f>
        <v/>
      </c>
      <c r="B102" s="19" t="str">
        <f>"B-Interbank"</f>
        <v>B-Interbank</v>
      </c>
      <c r="C102" s="3" t="s">
        <v>1352</v>
      </c>
      <c r="D102" s="14">
        <v>45799</v>
      </c>
      <c r="E102" s="5" t="s">
        <v>1331</v>
      </c>
      <c r="F102" s="5" t="s">
        <v>1336</v>
      </c>
      <c r="G102" s="6"/>
      <c r="H102" s="6"/>
      <c r="I102" s="6"/>
      <c r="J102" s="6"/>
      <c r="K102" s="7" t="s">
        <v>3090</v>
      </c>
      <c r="L102" s="8"/>
      <c r="M102" s="8" t="str">
        <f>"PEN"</f>
        <v>PEN</v>
      </c>
      <c r="N102" s="13">
        <v>20000</v>
      </c>
      <c r="O102" s="13"/>
      <c r="P102" s="3">
        <f t="shared" si="10"/>
        <v>0</v>
      </c>
      <c r="Q102" s="3">
        <f t="shared" si="11"/>
        <v>0</v>
      </c>
      <c r="R102" s="3">
        <f t="shared" si="12"/>
        <v>2658.0699999999997</v>
      </c>
      <c r="S102" s="24" t="s">
        <v>1334</v>
      </c>
      <c r="T102" s="24" t="s">
        <v>1334</v>
      </c>
      <c r="U102" s="3"/>
      <c r="V102" s="3"/>
      <c r="W102" s="3"/>
      <c r="X102" s="3"/>
      <c r="Y102" s="3"/>
      <c r="Z102" s="3"/>
      <c r="AA102" s="3" t="str">
        <f>IF(Interbank_Soles[[#This Row],[fecha]]&gt;0,TEXT(Interbank_Soles[[#This Row],[fecha]],"mmmm"),0)</f>
        <v>Mayo</v>
      </c>
    </row>
    <row r="103" spans="1:27" ht="36" x14ac:dyDescent="0.3">
      <c r="A103" s="2" t="str">
        <f>IF(Interbank_Soles[[#This Row],[tipo_registro]]="R",COUNTIFS($C$4:$C102,"R")+1,"")</f>
        <v/>
      </c>
      <c r="B103" s="19" t="str">
        <f>"B-Interbank"</f>
        <v>B-Interbank</v>
      </c>
      <c r="C103" s="3" t="s">
        <v>1352</v>
      </c>
      <c r="D103" s="14">
        <v>45799</v>
      </c>
      <c r="E103" s="5" t="s">
        <v>1331</v>
      </c>
      <c r="F103" s="5" t="s">
        <v>1336</v>
      </c>
      <c r="G103" s="6" t="s">
        <v>1207</v>
      </c>
      <c r="H103" s="6" t="s">
        <v>68</v>
      </c>
      <c r="I103" s="6" t="s">
        <v>5142</v>
      </c>
      <c r="J103" s="6">
        <v>3345831</v>
      </c>
      <c r="K103" s="7" t="s">
        <v>3090</v>
      </c>
      <c r="L103" s="8" t="s">
        <v>1333</v>
      </c>
      <c r="M103" s="8" t="str">
        <f>"PEN"</f>
        <v>PEN</v>
      </c>
      <c r="N103" s="13">
        <v>4.8</v>
      </c>
      <c r="O103" s="13"/>
      <c r="P103" s="3">
        <f t="shared" si="10"/>
        <v>0</v>
      </c>
      <c r="Q103" s="3">
        <f t="shared" si="11"/>
        <v>0</v>
      </c>
      <c r="R103" s="3">
        <f t="shared" si="12"/>
        <v>2658.0699999999997</v>
      </c>
      <c r="S103" s="24" t="s">
        <v>1334</v>
      </c>
      <c r="T103" s="24" t="s">
        <v>1334</v>
      </c>
      <c r="U103" s="3"/>
      <c r="V103" s="3"/>
      <c r="W103" s="3"/>
      <c r="X103" s="3"/>
      <c r="Y103" s="3"/>
      <c r="Z103" s="3"/>
      <c r="AA103" s="3" t="str">
        <f>IF(Interbank_Soles[[#This Row],[fecha]]&gt;0,TEXT(Interbank_Soles[[#This Row],[fecha]],"mmmm"),0)</f>
        <v>Mayo</v>
      </c>
    </row>
    <row r="104" spans="1:27" ht="36" x14ac:dyDescent="0.3">
      <c r="A104" s="2">
        <f>IF(Interbank_Soles[[#This Row],[tipo_registro]]="R",COUNTIFS($C$4:$C103,"R")+1,"")</f>
        <v>89</v>
      </c>
      <c r="B104" s="19" t="str">
        <f t="shared" si="13"/>
        <v>B-Interbank</v>
      </c>
      <c r="C104" s="3" t="s">
        <v>1330</v>
      </c>
      <c r="D104" s="14">
        <v>45804</v>
      </c>
      <c r="E104" s="5" t="s">
        <v>1511</v>
      </c>
      <c r="F104" s="5" t="s">
        <v>1336</v>
      </c>
      <c r="G104" s="6" t="s">
        <v>780</v>
      </c>
      <c r="H104" s="6"/>
      <c r="I104" s="6"/>
      <c r="J104" s="6"/>
      <c r="K104" s="7" t="s">
        <v>5065</v>
      </c>
      <c r="L104" s="8">
        <v>188988</v>
      </c>
      <c r="M104" s="8" t="str">
        <f t="shared" si="14"/>
        <v>PEN</v>
      </c>
      <c r="N104" s="13"/>
      <c r="O104" s="13">
        <v>356.75</v>
      </c>
      <c r="P104" s="3">
        <f>+IF(OR($F104="SALDO",$F104="INGRESO"),$O104,0)</f>
        <v>0</v>
      </c>
      <c r="Q104" s="3">
        <f>+IF($F104="EGRESO",$O104,0)</f>
        <v>356.75</v>
      </c>
      <c r="R104" s="3">
        <f>IFERROR(IF(F104="SALDO",P104,R103+P104-Q104),0)</f>
        <v>2301.3199999999997</v>
      </c>
      <c r="S104" s="24"/>
      <c r="T104" s="24" t="s">
        <v>1334</v>
      </c>
      <c r="U104" s="3"/>
      <c r="V104" s="3" t="s">
        <v>5065</v>
      </c>
      <c r="W104" s="3" t="s">
        <v>5151</v>
      </c>
      <c r="X104" s="3"/>
      <c r="Y104" s="3"/>
      <c r="Z104" s="3"/>
      <c r="AA104" s="3" t="str">
        <f>IF(Interbank_Soles[[#This Row],[fecha]]&gt;0,TEXT(Interbank_Soles[[#This Row],[fecha]],"mmmm"),0)</f>
        <v>Mayo</v>
      </c>
    </row>
    <row r="105" spans="1:27" x14ac:dyDescent="0.3">
      <c r="A105" s="2">
        <f>IF(Interbank_Soles[[#This Row],[tipo_registro]]="R",COUNTIFS($C$4:$C104,"R")+1,"")</f>
        <v>90</v>
      </c>
      <c r="B105" s="19" t="str">
        <f t="shared" si="13"/>
        <v>B-Interbank</v>
      </c>
      <c r="C105" s="3" t="s">
        <v>1330</v>
      </c>
      <c r="D105" s="14">
        <v>45806</v>
      </c>
      <c r="E105" s="5" t="s">
        <v>5060</v>
      </c>
      <c r="F105" s="5" t="s">
        <v>1336</v>
      </c>
      <c r="G105" s="6"/>
      <c r="H105" s="6"/>
      <c r="I105" s="6"/>
      <c r="J105" s="6"/>
      <c r="K105" s="7" t="s">
        <v>5061</v>
      </c>
      <c r="L105" s="8" t="s">
        <v>1333</v>
      </c>
      <c r="M105" s="8" t="str">
        <f t="shared" si="14"/>
        <v>PEN</v>
      </c>
      <c r="N105" s="13"/>
      <c r="O105" s="13">
        <v>0.3</v>
      </c>
      <c r="P105" s="3">
        <f t="shared" ref="P105:P138" si="15">+IF(OR($F105="SALDO",$F105="INGRESO"),$O105,0)</f>
        <v>0</v>
      </c>
      <c r="Q105" s="3">
        <f t="shared" ref="Q105:Q138" si="16">+IF($F105="EGRESO",$O105,0)</f>
        <v>0.3</v>
      </c>
      <c r="R105" s="3">
        <f>IFERROR(IF(F105="SALDO",P105,R104+P105-Q105),0)</f>
        <v>2301.0199999999995</v>
      </c>
      <c r="S105" s="24" t="s">
        <v>1334</v>
      </c>
      <c r="T105" s="24" t="s">
        <v>1334</v>
      </c>
      <c r="U105" s="3"/>
      <c r="V105" s="3"/>
      <c r="W105" s="3"/>
      <c r="X105" s="3"/>
      <c r="Y105" s="3"/>
      <c r="Z105" s="3"/>
      <c r="AA105" s="3" t="str">
        <f>IF(Interbank_Soles[[#This Row],[fecha]]&gt;0,TEXT(Interbank_Soles[[#This Row],[fecha]],"mmmm"),0)</f>
        <v>Mayo</v>
      </c>
    </row>
    <row r="106" spans="1:27" ht="36" x14ac:dyDescent="0.3">
      <c r="A106" s="2">
        <f>IF(Interbank_Soles[[#This Row],[tipo_registro]]="R",COUNTIFS($C$4:$C105,"R")+1,"")</f>
        <v>91</v>
      </c>
      <c r="B106" s="19" t="str">
        <f t="shared" si="13"/>
        <v>B-Interbank</v>
      </c>
      <c r="C106" s="3" t="s">
        <v>1330</v>
      </c>
      <c r="D106" s="14">
        <v>45806</v>
      </c>
      <c r="E106" s="5" t="s">
        <v>208</v>
      </c>
      <c r="F106" s="5" t="s">
        <v>1303</v>
      </c>
      <c r="G106" s="6" t="s">
        <v>425</v>
      </c>
      <c r="H106" s="6" t="s">
        <v>68</v>
      </c>
      <c r="I106" s="3" t="s">
        <v>5152</v>
      </c>
      <c r="J106" s="6"/>
      <c r="K106" s="7" t="s">
        <v>5123</v>
      </c>
      <c r="L106" s="8">
        <v>8079253</v>
      </c>
      <c r="M106" s="8" t="str">
        <f t="shared" si="14"/>
        <v>PEN</v>
      </c>
      <c r="N106" s="13"/>
      <c r="O106" s="13">
        <v>6716.9</v>
      </c>
      <c r="P106" s="3">
        <f t="shared" si="15"/>
        <v>6716.9</v>
      </c>
      <c r="Q106" s="3">
        <f t="shared" si="16"/>
        <v>0</v>
      </c>
      <c r="R106" s="3">
        <f t="shared" ref="R106:R138" si="17">IFERROR(IF(F106="SALDO",P106,R105+P106-Q106),0)</f>
        <v>9017.9199999999983</v>
      </c>
      <c r="S106" s="24" t="s">
        <v>1334</v>
      </c>
      <c r="T106" s="24" t="s">
        <v>1334</v>
      </c>
      <c r="U106" s="3"/>
      <c r="V106" s="3" t="s">
        <v>425</v>
      </c>
      <c r="W106" s="3" t="s">
        <v>5152</v>
      </c>
      <c r="X106" s="3"/>
      <c r="Y106" s="3"/>
      <c r="Z106" s="3"/>
      <c r="AA106" s="3" t="str">
        <f>IF(Interbank_Soles[[#This Row],[fecha]]&gt;0,TEXT(Interbank_Soles[[#This Row],[fecha]],"mmmm"),0)</f>
        <v>Mayo</v>
      </c>
    </row>
    <row r="107" spans="1:27" ht="24" x14ac:dyDescent="0.3">
      <c r="A107" s="2">
        <f>IF(Interbank_Soles[[#This Row],[tipo_registro]]="R",COUNTIFS($C$4:$C106,"R")+1,"")</f>
        <v>92</v>
      </c>
      <c r="B107" s="19" t="str">
        <f t="shared" si="13"/>
        <v>B-Interbank</v>
      </c>
      <c r="C107" s="3" t="s">
        <v>1330</v>
      </c>
      <c r="D107" s="14">
        <v>45826</v>
      </c>
      <c r="E107" s="5"/>
      <c r="F107" s="5" t="s">
        <v>1336</v>
      </c>
      <c r="G107" s="6" t="s">
        <v>364</v>
      </c>
      <c r="H107" s="6" t="s">
        <v>68</v>
      </c>
      <c r="I107" s="6" t="s">
        <v>1508</v>
      </c>
      <c r="J107" s="6">
        <v>10937</v>
      </c>
      <c r="K107" s="7" t="s">
        <v>5096</v>
      </c>
      <c r="L107" s="8">
        <v>290181</v>
      </c>
      <c r="M107" s="8" t="str">
        <f t="shared" si="14"/>
        <v>PEN</v>
      </c>
      <c r="N107" s="13"/>
      <c r="O107" s="13">
        <v>695.6</v>
      </c>
      <c r="P107" s="3">
        <f t="shared" si="15"/>
        <v>0</v>
      </c>
      <c r="Q107" s="3">
        <f t="shared" si="16"/>
        <v>695.6</v>
      </c>
      <c r="R107" s="3">
        <f t="shared" si="17"/>
        <v>8322.3199999999979</v>
      </c>
      <c r="S107" s="24" t="s">
        <v>1334</v>
      </c>
      <c r="T107" s="24" t="s">
        <v>1334</v>
      </c>
      <c r="U107" s="3"/>
      <c r="V107" s="3" t="s">
        <v>5153</v>
      </c>
      <c r="W107" s="3" t="s">
        <v>5154</v>
      </c>
      <c r="X107" s="3"/>
      <c r="Y107" s="3"/>
      <c r="Z107" s="3"/>
      <c r="AA107" s="3" t="str">
        <f>IF(Interbank_Soles[[#This Row],[fecha]]&gt;0,TEXT(Interbank_Soles[[#This Row],[fecha]],"mmmm"),0)</f>
        <v>Junio</v>
      </c>
    </row>
    <row r="108" spans="1:27" x14ac:dyDescent="0.3">
      <c r="A108" s="2">
        <f>IF(Interbank_Soles[[#This Row],[tipo_registro]]="R",COUNTIFS($C$4:$C107,"R")+1,"")</f>
        <v>93</v>
      </c>
      <c r="B108" s="19" t="str">
        <f t="shared" si="13"/>
        <v>B-Interbank</v>
      </c>
      <c r="C108" s="3" t="s">
        <v>1330</v>
      </c>
      <c r="D108" s="14">
        <v>45828</v>
      </c>
      <c r="E108" s="5" t="s">
        <v>1511</v>
      </c>
      <c r="F108" s="5" t="s">
        <v>1336</v>
      </c>
      <c r="G108" s="6"/>
      <c r="H108" s="6"/>
      <c r="I108" s="6"/>
      <c r="J108" s="6"/>
      <c r="K108" s="7" t="s">
        <v>3090</v>
      </c>
      <c r="L108" s="8"/>
      <c r="M108" s="8" t="str">
        <f t="shared" si="14"/>
        <v>PEN</v>
      </c>
      <c r="N108" s="13"/>
      <c r="O108" s="13">
        <v>6005.3</v>
      </c>
      <c r="P108" s="3">
        <f t="shared" si="15"/>
        <v>0</v>
      </c>
      <c r="Q108" s="3">
        <f t="shared" si="16"/>
        <v>6005.3</v>
      </c>
      <c r="R108" s="3">
        <f t="shared" si="17"/>
        <v>2317.0199999999977</v>
      </c>
      <c r="S108" s="24"/>
      <c r="T108" s="24"/>
      <c r="U108" s="3"/>
      <c r="V108" s="3" t="s">
        <v>425</v>
      </c>
      <c r="W108" s="3"/>
      <c r="X108" s="3"/>
      <c r="Y108" s="3"/>
      <c r="Z108" s="3"/>
      <c r="AA108" s="3" t="str">
        <f>IF(Interbank_Soles[[#This Row],[fecha]]&gt;0,TEXT(Interbank_Soles[[#This Row],[fecha]],"mmmm"),0)</f>
        <v>Junio</v>
      </c>
    </row>
    <row r="109" spans="1:27" x14ac:dyDescent="0.3">
      <c r="A109" s="2" t="str">
        <f>IF(Interbank_Soles[[#This Row],[tipo_registro]]="R",COUNTIFS($C$4:$C108,"R")+1,"")</f>
        <v/>
      </c>
      <c r="B109" s="19" t="str">
        <f>"B-Interbank"</f>
        <v>B-Interbank</v>
      </c>
      <c r="C109" s="3" t="s">
        <v>1352</v>
      </c>
      <c r="D109" s="14">
        <v>45828</v>
      </c>
      <c r="E109" s="5" t="s">
        <v>1511</v>
      </c>
      <c r="F109" s="5" t="s">
        <v>1336</v>
      </c>
      <c r="G109" s="6"/>
      <c r="H109" s="6"/>
      <c r="I109" s="6"/>
      <c r="J109" s="6"/>
      <c r="K109" s="7" t="s">
        <v>3090</v>
      </c>
      <c r="L109" s="8"/>
      <c r="M109" s="8" t="str">
        <f>"PEN"</f>
        <v>PEN</v>
      </c>
      <c r="N109" s="13">
        <v>6000</v>
      </c>
      <c r="O109" s="13"/>
      <c r="P109" s="3">
        <f>+IF(OR($F109="SALDO",$F109="INGRESO"),$O109,0)</f>
        <v>0</v>
      </c>
      <c r="Q109" s="3">
        <f>+IF($F109="EGRESO",$O109,0)</f>
        <v>0</v>
      </c>
      <c r="R109" s="3">
        <f>IFERROR(IF(F109="SALDO",P109,R108+P109-Q109),0)</f>
        <v>2317.0199999999977</v>
      </c>
      <c r="S109" s="24"/>
      <c r="T109" s="24"/>
      <c r="U109" s="3"/>
      <c r="V109" s="3"/>
      <c r="W109" s="3"/>
      <c r="X109" s="3"/>
      <c r="Y109" s="3"/>
      <c r="Z109" s="3"/>
      <c r="AA109" s="3" t="str">
        <f>IF(Interbank_Soles[[#This Row],[fecha]]&gt;0,TEXT(Interbank_Soles[[#This Row],[fecha]],"mmmm"),0)</f>
        <v>Junio</v>
      </c>
    </row>
    <row r="110" spans="1:27" ht="36" x14ac:dyDescent="0.3">
      <c r="A110" s="2" t="str">
        <f>IF(Interbank_Soles[[#This Row],[tipo_registro]]="R",COUNTIFS($C$4:$C109,"R")+1,"")</f>
        <v/>
      </c>
      <c r="B110" s="19" t="str">
        <f>"B-Interbank"</f>
        <v>B-Interbank</v>
      </c>
      <c r="C110" s="3" t="s">
        <v>1352</v>
      </c>
      <c r="D110" s="14">
        <v>45828</v>
      </c>
      <c r="E110" s="5" t="s">
        <v>1511</v>
      </c>
      <c r="F110" s="5" t="s">
        <v>1336</v>
      </c>
      <c r="G110" s="6" t="s">
        <v>1207</v>
      </c>
      <c r="H110" s="6"/>
      <c r="I110" s="6"/>
      <c r="J110" s="6"/>
      <c r="K110" s="7" t="s">
        <v>3090</v>
      </c>
      <c r="L110" s="8"/>
      <c r="M110" s="8" t="str">
        <f>"PEN"</f>
        <v>PEN</v>
      </c>
      <c r="N110" s="13">
        <v>5.3</v>
      </c>
      <c r="O110" s="13"/>
      <c r="P110" s="3">
        <f>+IF(OR($F110="SALDO",$F110="INGRESO"),$O110,0)</f>
        <v>0</v>
      </c>
      <c r="Q110" s="3">
        <f>+IF($F110="EGRESO",$O110,0)</f>
        <v>0</v>
      </c>
      <c r="R110" s="3">
        <f>IFERROR(IF(F110="SALDO",P110,R109+P110-Q110),0)</f>
        <v>2317.0199999999977</v>
      </c>
      <c r="S110" s="24"/>
      <c r="T110" s="24"/>
      <c r="U110" s="3"/>
      <c r="V110" s="3"/>
      <c r="W110" s="3"/>
      <c r="X110" s="3"/>
      <c r="Y110" s="3"/>
      <c r="Z110" s="3"/>
      <c r="AA110" s="3" t="str">
        <f>IF(Interbank_Soles[[#This Row],[fecha]]&gt;0,TEXT(Interbank_Soles[[#This Row],[fecha]],"mmmm"),0)</f>
        <v>Junio</v>
      </c>
    </row>
    <row r="111" spans="1:27" ht="24" x14ac:dyDescent="0.3">
      <c r="A111" s="2">
        <f>IF(Interbank_Soles[[#This Row],[tipo_registro]]="R",COUNTIFS($C$4:$C110,"R")+1,"")</f>
        <v>94</v>
      </c>
      <c r="B111" s="19" t="str">
        <f t="shared" si="13"/>
        <v>B-Interbank</v>
      </c>
      <c r="C111" s="3" t="s">
        <v>1330</v>
      </c>
      <c r="D111" s="14">
        <v>45828</v>
      </c>
      <c r="E111" s="5" t="s">
        <v>1511</v>
      </c>
      <c r="F111" s="5" t="s">
        <v>1336</v>
      </c>
      <c r="G111" s="6" t="s">
        <v>364</v>
      </c>
      <c r="H111" s="6" t="s">
        <v>68</v>
      </c>
      <c r="I111" s="6" t="s">
        <v>1508</v>
      </c>
      <c r="J111" s="6">
        <v>11027</v>
      </c>
      <c r="K111" s="7" t="s">
        <v>5155</v>
      </c>
      <c r="L111" s="8">
        <v>951908</v>
      </c>
      <c r="M111" s="8" t="str">
        <f t="shared" si="14"/>
        <v>PEN</v>
      </c>
      <c r="N111" s="13"/>
      <c r="O111" s="13">
        <v>258.42</v>
      </c>
      <c r="P111" s="3">
        <f t="shared" si="15"/>
        <v>0</v>
      </c>
      <c r="Q111" s="3">
        <f t="shared" si="16"/>
        <v>258.42</v>
      </c>
      <c r="R111" s="3">
        <f>IFERROR(IF(F111="SALDO",P111,R110+P111-Q111),0)</f>
        <v>2058.5999999999976</v>
      </c>
      <c r="S111" s="24" t="s">
        <v>1334</v>
      </c>
      <c r="T111" s="24" t="s">
        <v>1334</v>
      </c>
      <c r="U111" s="3"/>
      <c r="V111" s="3" t="s">
        <v>5096</v>
      </c>
      <c r="W111" s="3" t="s">
        <v>5156</v>
      </c>
      <c r="X111" s="3"/>
      <c r="Y111" s="3"/>
      <c r="Z111" s="3"/>
      <c r="AA111" s="3" t="str">
        <f>IF(Interbank_Soles[[#This Row],[fecha]]&gt;0,TEXT(Interbank_Soles[[#This Row],[fecha]],"mmmm"),0)</f>
        <v>Junio</v>
      </c>
    </row>
    <row r="112" spans="1:27" ht="48" x14ac:dyDescent="0.3">
      <c r="A112" s="2">
        <f>IF(Interbank_Soles[[#This Row],[tipo_registro]]="R",COUNTIFS($C$4:$C111,"R")+1,"")</f>
        <v>95</v>
      </c>
      <c r="B112" s="19" t="str">
        <f t="shared" si="13"/>
        <v>B-Interbank</v>
      </c>
      <c r="C112" s="3" t="s">
        <v>1330</v>
      </c>
      <c r="D112" s="14">
        <v>45832</v>
      </c>
      <c r="E112" s="5" t="s">
        <v>310</v>
      </c>
      <c r="F112" s="5" t="s">
        <v>1303</v>
      </c>
      <c r="G112" s="6" t="s">
        <v>425</v>
      </c>
      <c r="H112" s="6" t="s">
        <v>68</v>
      </c>
      <c r="I112" s="6" t="s">
        <v>1784</v>
      </c>
      <c r="J112" s="6">
        <v>108</v>
      </c>
      <c r="K112" s="7" t="s">
        <v>5090</v>
      </c>
      <c r="L112" s="8">
        <v>178064</v>
      </c>
      <c r="M112" s="8" t="str">
        <f t="shared" si="14"/>
        <v>PEN</v>
      </c>
      <c r="N112" s="13"/>
      <c r="O112" s="13">
        <v>2053.1999999999998</v>
      </c>
      <c r="P112" s="3">
        <f t="shared" si="15"/>
        <v>2053.1999999999998</v>
      </c>
      <c r="Q112" s="3">
        <f t="shared" si="16"/>
        <v>0</v>
      </c>
      <c r="R112" s="3">
        <f t="shared" si="17"/>
        <v>4111.7999999999975</v>
      </c>
      <c r="S112" s="24" t="s">
        <v>1334</v>
      </c>
      <c r="T112" s="24" t="s">
        <v>1334</v>
      </c>
      <c r="U112" s="3"/>
      <c r="V112" s="3" t="s">
        <v>425</v>
      </c>
      <c r="W112" s="3" t="s">
        <v>5157</v>
      </c>
      <c r="X112" s="3"/>
      <c r="Y112" s="3"/>
      <c r="Z112" s="3"/>
      <c r="AA112" s="3" t="str">
        <f>IF(Interbank_Soles[[#This Row],[fecha]]&gt;0,TEXT(Interbank_Soles[[#This Row],[fecha]],"mmmm"),0)</f>
        <v>Junio</v>
      </c>
    </row>
    <row r="113" spans="1:27" x14ac:dyDescent="0.3">
      <c r="A113" s="2">
        <f>IF(Interbank_Soles[[#This Row],[tipo_registro]]="R",COUNTIFS($C$4:$C112,"R")+1,"")</f>
        <v>96</v>
      </c>
      <c r="B113" s="19" t="str">
        <f t="shared" si="13"/>
        <v>B-Interbank</v>
      </c>
      <c r="C113" s="3" t="s">
        <v>1330</v>
      </c>
      <c r="D113" s="14">
        <v>45832</v>
      </c>
      <c r="E113" s="5" t="s">
        <v>5060</v>
      </c>
      <c r="F113" s="5" t="s">
        <v>1336</v>
      </c>
      <c r="G113" s="6"/>
      <c r="H113" s="6"/>
      <c r="I113" s="6"/>
      <c r="J113" s="6"/>
      <c r="K113" s="7" t="s">
        <v>5061</v>
      </c>
      <c r="L113" s="8" t="s">
        <v>1333</v>
      </c>
      <c r="M113" s="8" t="str">
        <f t="shared" si="14"/>
        <v>PEN</v>
      </c>
      <c r="N113" s="13"/>
      <c r="O113" s="13">
        <v>0.1</v>
      </c>
      <c r="P113" s="3">
        <f t="shared" si="15"/>
        <v>0</v>
      </c>
      <c r="Q113" s="3">
        <f t="shared" si="16"/>
        <v>0.1</v>
      </c>
      <c r="R113" s="3">
        <f t="shared" si="17"/>
        <v>4111.6999999999971</v>
      </c>
      <c r="S113" s="24" t="s">
        <v>1334</v>
      </c>
      <c r="T113" s="24" t="s">
        <v>1334</v>
      </c>
      <c r="U113" s="3"/>
      <c r="V113" s="3"/>
      <c r="W113" s="3"/>
      <c r="X113" s="3"/>
      <c r="Y113" s="3"/>
      <c r="Z113" s="3"/>
      <c r="AA113" s="3" t="str">
        <f>IF(Interbank_Soles[[#This Row],[fecha]]&gt;0,TEXT(Interbank_Soles[[#This Row],[fecha]],"mmmm"),0)</f>
        <v>Junio</v>
      </c>
    </row>
    <row r="114" spans="1:27" ht="36" x14ac:dyDescent="0.3">
      <c r="A114" s="2">
        <f>IF(Interbank_Soles[[#This Row],[tipo_registro]]="R",COUNTIFS($C$4:$C113,"R")+1,"")</f>
        <v>97</v>
      </c>
      <c r="B114" s="19" t="str">
        <f t="shared" ref="B114:B146" si="18">"B-Interbank"</f>
        <v>B-Interbank</v>
      </c>
      <c r="C114" s="3" t="s">
        <v>1330</v>
      </c>
      <c r="D114" s="14">
        <v>45833</v>
      </c>
      <c r="E114" s="5" t="s">
        <v>1511</v>
      </c>
      <c r="F114" s="5" t="s">
        <v>1336</v>
      </c>
      <c r="G114" s="6" t="s">
        <v>499</v>
      </c>
      <c r="H114" s="6" t="s">
        <v>68</v>
      </c>
      <c r="I114" s="6" t="s">
        <v>1376</v>
      </c>
      <c r="J114" s="6">
        <v>253</v>
      </c>
      <c r="K114" s="7" t="s">
        <v>5158</v>
      </c>
      <c r="L114" s="8">
        <v>127614</v>
      </c>
      <c r="M114" s="8" t="str">
        <f t="shared" ref="M114:M146" si="19">"PEN"</f>
        <v>PEN</v>
      </c>
      <c r="N114" s="13"/>
      <c r="O114" s="13">
        <v>632.33000000000004</v>
      </c>
      <c r="P114" s="3">
        <f t="shared" si="15"/>
        <v>0</v>
      </c>
      <c r="Q114" s="3">
        <f t="shared" si="16"/>
        <v>632.33000000000004</v>
      </c>
      <c r="R114" s="3">
        <f t="shared" si="17"/>
        <v>3479.3699999999972</v>
      </c>
      <c r="S114" s="24" t="s">
        <v>1334</v>
      </c>
      <c r="T114" s="24" t="s">
        <v>1334</v>
      </c>
      <c r="U114" s="56" t="s">
        <v>5159</v>
      </c>
      <c r="V114" s="3" t="s">
        <v>5160</v>
      </c>
      <c r="W114" s="3" t="s">
        <v>5161</v>
      </c>
      <c r="X114" s="3"/>
      <c r="Y114" s="3"/>
      <c r="Z114" s="3"/>
      <c r="AA114" s="3" t="str">
        <f>IF(Interbank_Soles[[#This Row],[fecha]]&gt;0,TEXT(Interbank_Soles[[#This Row],[fecha]],"mmmm"),0)</f>
        <v>Junio</v>
      </c>
    </row>
    <row r="115" spans="1:27" ht="36" x14ac:dyDescent="0.3">
      <c r="A115" s="2">
        <f>IF(Interbank_Soles[[#This Row],[tipo_registro]]="R",COUNTIFS($C$4:$C114,"R")+1,"")</f>
        <v>98</v>
      </c>
      <c r="B115" s="19" t="str">
        <f t="shared" si="18"/>
        <v>B-Interbank</v>
      </c>
      <c r="C115" s="3" t="s">
        <v>1330</v>
      </c>
      <c r="D115" s="14">
        <v>45834</v>
      </c>
      <c r="E115" s="5" t="s">
        <v>208</v>
      </c>
      <c r="F115" s="5" t="s">
        <v>1303</v>
      </c>
      <c r="G115" s="6" t="s">
        <v>425</v>
      </c>
      <c r="H115" s="6"/>
      <c r="I115" s="6"/>
      <c r="J115" s="6"/>
      <c r="K115" s="7" t="s">
        <v>5084</v>
      </c>
      <c r="L115" s="8">
        <v>8077295</v>
      </c>
      <c r="M115" s="8" t="str">
        <f t="shared" si="19"/>
        <v>PEN</v>
      </c>
      <c r="N115" s="13"/>
      <c r="O115" s="13">
        <v>5792.83</v>
      </c>
      <c r="P115" s="3">
        <f t="shared" si="15"/>
        <v>5792.83</v>
      </c>
      <c r="Q115" s="3">
        <f t="shared" si="16"/>
        <v>0</v>
      </c>
      <c r="R115" s="3">
        <f t="shared" si="17"/>
        <v>9272.1999999999971</v>
      </c>
      <c r="S115" s="24" t="s">
        <v>1334</v>
      </c>
      <c r="T115" s="24" t="s">
        <v>1334</v>
      </c>
      <c r="U115" s="3"/>
      <c r="V115" s="3" t="s">
        <v>425</v>
      </c>
      <c r="W115" s="3"/>
      <c r="X115" s="3"/>
      <c r="Y115" s="3"/>
      <c r="Z115" s="3"/>
      <c r="AA115" s="3" t="str">
        <f>IF(Interbank_Soles[[#This Row],[fecha]]&gt;0,TEXT(Interbank_Soles[[#This Row],[fecha]],"mmmm"),0)</f>
        <v>Junio</v>
      </c>
    </row>
    <row r="116" spans="1:27" ht="36" x14ac:dyDescent="0.3">
      <c r="A116" s="2" t="str">
        <f>IF(Interbank_Soles[[#This Row],[tipo_registro]]="R",COUNTIFS($C$4:$C115,"R")+1,"")</f>
        <v/>
      </c>
      <c r="B116" s="19" t="str">
        <f t="shared" si="18"/>
        <v>B-Interbank</v>
      </c>
      <c r="C116" s="3" t="s">
        <v>1352</v>
      </c>
      <c r="D116" s="14">
        <v>45834</v>
      </c>
      <c r="E116" s="5" t="s">
        <v>208</v>
      </c>
      <c r="F116" s="5"/>
      <c r="G116" s="6"/>
      <c r="H116" s="6" t="s">
        <v>68</v>
      </c>
      <c r="I116" s="6" t="s">
        <v>1784</v>
      </c>
      <c r="J116" s="6">
        <v>94</v>
      </c>
      <c r="K116" s="7" t="s">
        <v>5084</v>
      </c>
      <c r="L116" s="8">
        <v>8077295</v>
      </c>
      <c r="M116" s="8" t="str">
        <f t="shared" si="19"/>
        <v>PEN</v>
      </c>
      <c r="N116" s="13">
        <v>4901.13</v>
      </c>
      <c r="O116" s="13"/>
      <c r="P116" s="3">
        <f t="shared" si="15"/>
        <v>0</v>
      </c>
      <c r="Q116" s="3">
        <f t="shared" si="16"/>
        <v>0</v>
      </c>
      <c r="R116" s="3">
        <f t="shared" si="17"/>
        <v>9272.1999999999971</v>
      </c>
      <c r="S116" s="24" t="s">
        <v>1334</v>
      </c>
      <c r="T116" s="24" t="s">
        <v>1334</v>
      </c>
      <c r="U116" s="3"/>
      <c r="V116" s="3"/>
      <c r="W116" s="3"/>
      <c r="X116" s="3"/>
      <c r="Y116" s="3"/>
      <c r="Z116" s="3"/>
      <c r="AA116" s="3" t="str">
        <f>IF(Interbank_Soles[[#This Row],[fecha]]&gt;0,TEXT(Interbank_Soles[[#This Row],[fecha]],"mmmm"),0)</f>
        <v>Junio</v>
      </c>
    </row>
    <row r="117" spans="1:27" ht="36" x14ac:dyDescent="0.3">
      <c r="A117" s="2" t="str">
        <f>IF(Interbank_Soles[[#This Row],[tipo_registro]]="R",COUNTIFS($C$4:$C116,"R")+1,"")</f>
        <v/>
      </c>
      <c r="B117" s="19" t="str">
        <f t="shared" si="18"/>
        <v>B-Interbank</v>
      </c>
      <c r="C117" s="3" t="s">
        <v>1352</v>
      </c>
      <c r="D117" s="14">
        <v>45834</v>
      </c>
      <c r="E117" s="5" t="s">
        <v>208</v>
      </c>
      <c r="F117" s="5"/>
      <c r="G117" s="6"/>
      <c r="H117" s="6" t="s">
        <v>68</v>
      </c>
      <c r="I117" s="6" t="s">
        <v>1784</v>
      </c>
      <c r="J117" s="6">
        <v>95</v>
      </c>
      <c r="K117" s="7" t="s">
        <v>5084</v>
      </c>
      <c r="L117" s="8">
        <v>8077295</v>
      </c>
      <c r="M117" s="8" t="str">
        <f t="shared" si="19"/>
        <v>PEN</v>
      </c>
      <c r="N117" s="13">
        <v>256.31</v>
      </c>
      <c r="O117" s="13"/>
      <c r="P117" s="3">
        <f t="shared" si="15"/>
        <v>0</v>
      </c>
      <c r="Q117" s="3">
        <f t="shared" si="16"/>
        <v>0</v>
      </c>
      <c r="R117" s="3">
        <f t="shared" si="17"/>
        <v>9272.1999999999971</v>
      </c>
      <c r="S117" s="24" t="s">
        <v>1334</v>
      </c>
      <c r="T117" s="24" t="s">
        <v>1334</v>
      </c>
      <c r="U117" s="3"/>
      <c r="V117" s="3"/>
      <c r="W117" s="3"/>
      <c r="X117" s="3"/>
      <c r="Y117" s="3"/>
      <c r="Z117" s="3"/>
      <c r="AA117" s="3" t="str">
        <f>IF(Interbank_Soles[[#This Row],[fecha]]&gt;0,TEXT(Interbank_Soles[[#This Row],[fecha]],"mmmm"),0)</f>
        <v>Junio</v>
      </c>
    </row>
    <row r="118" spans="1:27" ht="36" x14ac:dyDescent="0.3">
      <c r="A118" s="2" t="str">
        <f>IF(Interbank_Soles[[#This Row],[tipo_registro]]="R",COUNTIFS($C$4:$C117,"R")+1,"")</f>
        <v/>
      </c>
      <c r="B118" s="19" t="str">
        <f t="shared" si="18"/>
        <v>B-Interbank</v>
      </c>
      <c r="C118" s="3" t="s">
        <v>1352</v>
      </c>
      <c r="D118" s="14">
        <v>45834</v>
      </c>
      <c r="E118" s="5" t="s">
        <v>208</v>
      </c>
      <c r="F118" s="5"/>
      <c r="G118" s="6"/>
      <c r="H118" s="6" t="s">
        <v>68</v>
      </c>
      <c r="I118" s="6" t="s">
        <v>1784</v>
      </c>
      <c r="J118" s="6">
        <v>96</v>
      </c>
      <c r="K118" s="7" t="s">
        <v>5084</v>
      </c>
      <c r="L118" s="8">
        <v>8077295</v>
      </c>
      <c r="M118" s="8" t="str">
        <f t="shared" si="19"/>
        <v>PEN</v>
      </c>
      <c r="N118" s="13">
        <v>635.39</v>
      </c>
      <c r="O118" s="13"/>
      <c r="P118" s="3">
        <f t="shared" si="15"/>
        <v>0</v>
      </c>
      <c r="Q118" s="3">
        <f t="shared" si="16"/>
        <v>0</v>
      </c>
      <c r="R118" s="3">
        <f t="shared" si="17"/>
        <v>9272.1999999999971</v>
      </c>
      <c r="S118" s="24" t="s">
        <v>1334</v>
      </c>
      <c r="T118" s="24" t="s">
        <v>1334</v>
      </c>
      <c r="U118" s="3"/>
      <c r="V118" s="3"/>
      <c r="W118" s="3"/>
      <c r="X118" s="3"/>
      <c r="Y118" s="3"/>
      <c r="Z118" s="3"/>
      <c r="AA118" s="3" t="str">
        <f>IF(Interbank_Soles[[#This Row],[fecha]]&gt;0,TEXT(Interbank_Soles[[#This Row],[fecha]],"mmmm"),0)</f>
        <v>Junio</v>
      </c>
    </row>
    <row r="119" spans="1:27" x14ac:dyDescent="0.3">
      <c r="A119" s="2">
        <f>IF(Interbank_Soles[[#This Row],[tipo_registro]]="R",COUNTIFS($C$4:$C118,"R")+1,"")</f>
        <v>99</v>
      </c>
      <c r="B119" s="19" t="str">
        <f t="shared" si="18"/>
        <v>B-Interbank</v>
      </c>
      <c r="C119" s="3" t="s">
        <v>1330</v>
      </c>
      <c r="D119" s="14">
        <v>45834</v>
      </c>
      <c r="E119" s="5" t="s">
        <v>5060</v>
      </c>
      <c r="F119" s="5" t="s">
        <v>1336</v>
      </c>
      <c r="G119" s="6"/>
      <c r="H119" s="6"/>
      <c r="I119" s="6"/>
      <c r="J119" s="6"/>
      <c r="K119" s="7" t="s">
        <v>5061</v>
      </c>
      <c r="L119" s="8" t="s">
        <v>1333</v>
      </c>
      <c r="M119" s="8" t="str">
        <f t="shared" si="19"/>
        <v>PEN</v>
      </c>
      <c r="N119" s="13"/>
      <c r="O119" s="13">
        <v>0.25</v>
      </c>
      <c r="P119" s="3">
        <f t="shared" si="15"/>
        <v>0</v>
      </c>
      <c r="Q119" s="3">
        <f t="shared" si="16"/>
        <v>0.25</v>
      </c>
      <c r="R119" s="3">
        <f t="shared" si="17"/>
        <v>9271.9499999999971</v>
      </c>
      <c r="S119" s="24" t="s">
        <v>1334</v>
      </c>
      <c r="T119" s="24" t="s">
        <v>1334</v>
      </c>
      <c r="U119" s="3"/>
      <c r="V119" s="3"/>
      <c r="W119" s="3"/>
      <c r="X119" s="3"/>
      <c r="Y119" s="3"/>
      <c r="Z119" s="3"/>
      <c r="AA119" s="3" t="str">
        <f>IF(Interbank_Soles[[#This Row],[fecha]]&gt;0,TEXT(Interbank_Soles[[#This Row],[fecha]],"mmmm"),0)</f>
        <v>Junio</v>
      </c>
    </row>
    <row r="120" spans="1:27" ht="24" x14ac:dyDescent="0.3">
      <c r="A120" s="2">
        <f>IF(Interbank_Soles[[#This Row],[tipo_registro]]="R",COUNTIFS($C$4:$C119,"R")+1,"")</f>
        <v>100</v>
      </c>
      <c r="B120" s="19" t="str">
        <f t="shared" si="18"/>
        <v>B-Interbank</v>
      </c>
      <c r="C120" s="3" t="s">
        <v>1330</v>
      </c>
      <c r="D120" s="14">
        <v>45835</v>
      </c>
      <c r="E120" s="5" t="s">
        <v>1511</v>
      </c>
      <c r="F120" s="5" t="s">
        <v>1336</v>
      </c>
      <c r="G120" s="6" t="s">
        <v>1052</v>
      </c>
      <c r="H120" s="6" t="s">
        <v>68</v>
      </c>
      <c r="I120" s="6" t="s">
        <v>1376</v>
      </c>
      <c r="J120" s="6">
        <v>1</v>
      </c>
      <c r="K120" s="7" t="s">
        <v>5162</v>
      </c>
      <c r="L120" s="8">
        <v>413055</v>
      </c>
      <c r="M120" s="8" t="str">
        <f t="shared" si="19"/>
        <v>PEN</v>
      </c>
      <c r="N120" s="13"/>
      <c r="O120" s="13">
        <v>5800</v>
      </c>
      <c r="P120" s="3">
        <f t="shared" si="15"/>
        <v>0</v>
      </c>
      <c r="Q120" s="3">
        <f t="shared" si="16"/>
        <v>5800</v>
      </c>
      <c r="R120" s="3">
        <f t="shared" si="17"/>
        <v>3471.9499999999971</v>
      </c>
      <c r="S120" s="24" t="s">
        <v>1334</v>
      </c>
      <c r="T120" s="24" t="s">
        <v>1334</v>
      </c>
      <c r="U120" s="3"/>
      <c r="V120" s="3"/>
      <c r="W120" s="3"/>
      <c r="X120" s="3"/>
      <c r="Y120" s="3"/>
      <c r="Z120" s="3"/>
      <c r="AA120" s="3" t="str">
        <f>IF(Interbank_Soles[[#This Row],[fecha]]&gt;0,TEXT(Interbank_Soles[[#This Row],[fecha]],"mmmm"),0)</f>
        <v>Junio</v>
      </c>
    </row>
    <row r="121" spans="1:27" x14ac:dyDescent="0.3">
      <c r="A121" s="2">
        <f>IF(Interbank_Soles[[#This Row],[tipo_registro]]="R",COUNTIFS($C$4:$C120,"R")+1,"")</f>
        <v>101</v>
      </c>
      <c r="B121" s="19" t="str">
        <f t="shared" si="18"/>
        <v>B-Interbank</v>
      </c>
      <c r="C121" s="3" t="s">
        <v>1330</v>
      </c>
      <c r="D121" s="14">
        <v>45835</v>
      </c>
      <c r="E121" s="5" t="s">
        <v>5060</v>
      </c>
      <c r="F121" s="5" t="s">
        <v>1336</v>
      </c>
      <c r="G121" s="6"/>
      <c r="H121" s="6"/>
      <c r="I121" s="6"/>
      <c r="J121" s="6"/>
      <c r="K121" s="7" t="s">
        <v>5061</v>
      </c>
      <c r="L121" s="8" t="s">
        <v>1333</v>
      </c>
      <c r="M121" s="8" t="str">
        <f t="shared" si="19"/>
        <v>PEN</v>
      </c>
      <c r="N121" s="13"/>
      <c r="O121" s="13">
        <v>0.25</v>
      </c>
      <c r="P121" s="3">
        <f t="shared" si="15"/>
        <v>0</v>
      </c>
      <c r="Q121" s="3">
        <f t="shared" si="16"/>
        <v>0.25</v>
      </c>
      <c r="R121" s="3">
        <f t="shared" si="17"/>
        <v>3471.6999999999971</v>
      </c>
      <c r="S121" s="24" t="s">
        <v>1334</v>
      </c>
      <c r="T121" s="24" t="s">
        <v>1334</v>
      </c>
      <c r="U121" s="3"/>
      <c r="V121" s="3"/>
      <c r="W121" s="3"/>
      <c r="X121" s="3"/>
      <c r="Y121" s="3"/>
      <c r="Z121" s="3"/>
      <c r="AA121" s="3" t="str">
        <f>IF(Interbank_Soles[[#This Row],[fecha]]&gt;0,TEXT(Interbank_Soles[[#This Row],[fecha]],"mmmm"),0)</f>
        <v>Junio</v>
      </c>
    </row>
    <row r="122" spans="1:27" ht="24" x14ac:dyDescent="0.3">
      <c r="A122" s="2">
        <f>IF(Interbank_Soles[[#This Row],[tipo_registro]]="R",COUNTIFS($C$4:$C121,"R")+1,"")</f>
        <v>102</v>
      </c>
      <c r="B122" s="19" t="str">
        <f t="shared" si="18"/>
        <v>B-Interbank</v>
      </c>
      <c r="C122" s="3" t="s">
        <v>1330</v>
      </c>
      <c r="D122" s="14">
        <v>45840</v>
      </c>
      <c r="E122" s="5" t="s">
        <v>1511</v>
      </c>
      <c r="F122" s="5" t="s">
        <v>1336</v>
      </c>
      <c r="G122" s="6" t="s">
        <v>1071</v>
      </c>
      <c r="H122" s="6" t="s">
        <v>68</v>
      </c>
      <c r="I122" s="6" t="s">
        <v>1376</v>
      </c>
      <c r="J122" s="6">
        <v>148</v>
      </c>
      <c r="K122" s="7" t="s">
        <v>5163</v>
      </c>
      <c r="L122" s="8">
        <v>795473</v>
      </c>
      <c r="M122" s="8" t="str">
        <f t="shared" si="19"/>
        <v>PEN</v>
      </c>
      <c r="N122" s="13"/>
      <c r="O122" s="13">
        <v>147.5</v>
      </c>
      <c r="P122" s="3">
        <f t="shared" si="15"/>
        <v>0</v>
      </c>
      <c r="Q122" s="3">
        <f t="shared" si="16"/>
        <v>147.5</v>
      </c>
      <c r="R122" s="3">
        <f t="shared" si="17"/>
        <v>3324.1999999999971</v>
      </c>
      <c r="S122" s="24" t="s">
        <v>1334</v>
      </c>
      <c r="T122" s="24" t="s">
        <v>1334</v>
      </c>
      <c r="U122" s="3"/>
      <c r="V122" s="3"/>
      <c r="W122" s="3"/>
      <c r="X122" s="3"/>
      <c r="Y122" s="3"/>
      <c r="Z122" s="3"/>
      <c r="AA122" s="3" t="str">
        <f>IF(Interbank_Soles[[#This Row],[fecha]]&gt;0,TEXT(Interbank_Soles[[#This Row],[fecha]],"mmmm"),0)</f>
        <v>Julio</v>
      </c>
    </row>
    <row r="123" spans="1:27" x14ac:dyDescent="0.3">
      <c r="A123" s="2">
        <f>IF(Interbank_Soles[[#This Row],[tipo_registro]]="R",COUNTIFS($C$4:$C122,"R")+1,"")</f>
        <v>103</v>
      </c>
      <c r="B123" s="19" t="str">
        <f t="shared" si="18"/>
        <v>B-Interbank</v>
      </c>
      <c r="C123" s="3" t="s">
        <v>1330</v>
      </c>
      <c r="D123" s="14">
        <v>45840</v>
      </c>
      <c r="E123" s="5" t="s">
        <v>1511</v>
      </c>
      <c r="F123" s="5" t="s">
        <v>1336</v>
      </c>
      <c r="G123" s="6" t="s">
        <v>425</v>
      </c>
      <c r="H123" s="6"/>
      <c r="I123" s="6"/>
      <c r="J123" s="6"/>
      <c r="K123" s="7" t="s">
        <v>3090</v>
      </c>
      <c r="L123" s="8"/>
      <c r="M123" s="8" t="str">
        <f t="shared" si="19"/>
        <v>PEN</v>
      </c>
      <c r="N123" s="13"/>
      <c r="O123" s="13">
        <v>3005.3</v>
      </c>
      <c r="P123" s="3">
        <f t="shared" si="15"/>
        <v>0</v>
      </c>
      <c r="Q123" s="3">
        <f t="shared" si="16"/>
        <v>3005.3</v>
      </c>
      <c r="R123" s="3">
        <f t="shared" si="17"/>
        <v>318.89999999999691</v>
      </c>
      <c r="S123" s="24" t="s">
        <v>1334</v>
      </c>
      <c r="T123" s="24"/>
      <c r="U123" s="3"/>
      <c r="V123" s="3"/>
      <c r="W123" s="3"/>
      <c r="X123" s="3"/>
      <c r="Y123" s="3"/>
      <c r="Z123" s="3"/>
      <c r="AA123" s="3" t="str">
        <f>IF(Interbank_Soles[[#This Row],[fecha]]&gt;0,TEXT(Interbank_Soles[[#This Row],[fecha]],"mmmm"),0)</f>
        <v>Julio</v>
      </c>
    </row>
    <row r="124" spans="1:27" x14ac:dyDescent="0.3">
      <c r="A124" s="2" t="str">
        <f>IF(Interbank_Soles[[#This Row],[tipo_registro]]="R",COUNTIFS($C$4:$C123,"R")+1,"")</f>
        <v/>
      </c>
      <c r="B124" s="19" t="str">
        <f t="shared" si="18"/>
        <v>B-Interbank</v>
      </c>
      <c r="C124" s="3" t="s">
        <v>1352</v>
      </c>
      <c r="D124" s="14">
        <v>45840</v>
      </c>
      <c r="E124" s="5" t="s">
        <v>1511</v>
      </c>
      <c r="F124" s="5" t="s">
        <v>1336</v>
      </c>
      <c r="G124" s="6" t="s">
        <v>425</v>
      </c>
      <c r="H124" s="6"/>
      <c r="I124" s="6"/>
      <c r="J124" s="6"/>
      <c r="K124" s="7" t="s">
        <v>3090</v>
      </c>
      <c r="L124" s="8"/>
      <c r="M124" s="8" t="str">
        <f t="shared" si="19"/>
        <v>PEN</v>
      </c>
      <c r="N124" s="13">
        <v>3000</v>
      </c>
      <c r="O124" s="13"/>
      <c r="P124" s="3">
        <f t="shared" si="15"/>
        <v>0</v>
      </c>
      <c r="Q124" s="3">
        <f t="shared" si="16"/>
        <v>0</v>
      </c>
      <c r="R124" s="3">
        <f t="shared" si="17"/>
        <v>318.89999999999691</v>
      </c>
      <c r="S124" s="24" t="s">
        <v>1334</v>
      </c>
      <c r="T124" s="24"/>
      <c r="U124" s="3"/>
      <c r="V124" s="3"/>
      <c r="W124" s="3"/>
      <c r="X124" s="3"/>
      <c r="Y124" s="3"/>
      <c r="Z124" s="3"/>
      <c r="AA124" s="3" t="str">
        <f>IF(Interbank_Soles[[#This Row],[fecha]]&gt;0,TEXT(Interbank_Soles[[#This Row],[fecha]],"mmmm"),0)</f>
        <v>Julio</v>
      </c>
    </row>
    <row r="125" spans="1:27" ht="36" x14ac:dyDescent="0.3">
      <c r="A125" s="2" t="str">
        <f>IF(Interbank_Soles[[#This Row],[tipo_registro]]="R",COUNTIFS($C$4:$C124,"R")+1,"")</f>
        <v/>
      </c>
      <c r="B125" s="19" t="str">
        <f t="shared" si="18"/>
        <v>B-Interbank</v>
      </c>
      <c r="C125" s="3" t="s">
        <v>1352</v>
      </c>
      <c r="D125" s="14">
        <v>45840</v>
      </c>
      <c r="E125" s="5" t="s">
        <v>1511</v>
      </c>
      <c r="F125" s="5" t="s">
        <v>1336</v>
      </c>
      <c r="G125" s="6" t="s">
        <v>1207</v>
      </c>
      <c r="H125" s="6" t="s">
        <v>68</v>
      </c>
      <c r="I125" s="6" t="s">
        <v>5142</v>
      </c>
      <c r="J125" s="6">
        <v>3534818</v>
      </c>
      <c r="K125" s="7" t="s">
        <v>3090</v>
      </c>
      <c r="L125" s="8" t="s">
        <v>1333</v>
      </c>
      <c r="M125" s="8" t="str">
        <f t="shared" si="19"/>
        <v>PEN</v>
      </c>
      <c r="N125" s="13">
        <v>5.3</v>
      </c>
      <c r="O125" s="13"/>
      <c r="P125" s="3">
        <f t="shared" si="15"/>
        <v>0</v>
      </c>
      <c r="Q125" s="3">
        <f t="shared" si="16"/>
        <v>0</v>
      </c>
      <c r="R125" s="3">
        <f t="shared" si="17"/>
        <v>318.89999999999691</v>
      </c>
      <c r="S125" s="24" t="s">
        <v>1334</v>
      </c>
      <c r="T125" s="24" t="s">
        <v>1334</v>
      </c>
      <c r="U125" s="3"/>
      <c r="V125" s="3"/>
      <c r="W125" s="3"/>
      <c r="X125" s="3"/>
      <c r="Y125" s="3"/>
      <c r="Z125" s="3"/>
      <c r="AA125" s="3" t="str">
        <f>IF(Interbank_Soles[[#This Row],[fecha]]&gt;0,TEXT(Interbank_Soles[[#This Row],[fecha]],"mmmm"),0)</f>
        <v>Julio</v>
      </c>
    </row>
    <row r="126" spans="1:27" ht="48" x14ac:dyDescent="0.3">
      <c r="A126" s="2">
        <f>IF(Interbank_Soles[[#This Row],[tipo_registro]]="R",COUNTIFS($C$4:$C125,"R")+1,"")</f>
        <v>104</v>
      </c>
      <c r="B126" s="19" t="str">
        <f t="shared" si="18"/>
        <v>B-Interbank</v>
      </c>
      <c r="C126" s="3" t="s">
        <v>1330</v>
      </c>
      <c r="D126" s="14">
        <v>45842</v>
      </c>
      <c r="E126" s="5" t="s">
        <v>310</v>
      </c>
      <c r="F126" s="5" t="s">
        <v>1303</v>
      </c>
      <c r="G126" s="6" t="s">
        <v>425</v>
      </c>
      <c r="H126" s="6" t="s">
        <v>68</v>
      </c>
      <c r="I126" s="6" t="s">
        <v>1784</v>
      </c>
      <c r="J126" s="6">
        <v>119</v>
      </c>
      <c r="K126" s="7" t="s">
        <v>5164</v>
      </c>
      <c r="L126" s="8">
        <v>126747</v>
      </c>
      <c r="M126" s="8" t="str">
        <f t="shared" si="19"/>
        <v>PEN</v>
      </c>
      <c r="N126" s="13"/>
      <c r="O126" s="13">
        <v>1003</v>
      </c>
      <c r="P126" s="3">
        <f t="shared" si="15"/>
        <v>1003</v>
      </c>
      <c r="Q126" s="3">
        <f t="shared" si="16"/>
        <v>0</v>
      </c>
      <c r="R126" s="3">
        <f t="shared" si="17"/>
        <v>1321.8999999999969</v>
      </c>
      <c r="S126" s="24" t="s">
        <v>1334</v>
      </c>
      <c r="T126" s="24" t="s">
        <v>1334</v>
      </c>
      <c r="U126" s="3"/>
      <c r="V126" s="3"/>
      <c r="W126" s="3"/>
      <c r="X126" s="3"/>
      <c r="Y126" s="3"/>
      <c r="Z126" s="3"/>
      <c r="AA126" s="3" t="str">
        <f>IF(Interbank_Soles[[#This Row],[fecha]]&gt;0,TEXT(Interbank_Soles[[#This Row],[fecha]],"mmmm"),0)</f>
        <v>Julio</v>
      </c>
    </row>
    <row r="127" spans="1:27" x14ac:dyDescent="0.3">
      <c r="A127" s="2">
        <f>IF(Interbank_Soles[[#This Row],[tipo_registro]]="R",COUNTIFS($C$4:$C126,"R")+1,"")</f>
        <v>105</v>
      </c>
      <c r="B127" s="19" t="str">
        <f t="shared" si="18"/>
        <v>B-Interbank</v>
      </c>
      <c r="C127" s="3" t="s">
        <v>1330</v>
      </c>
      <c r="D127" s="14">
        <v>45842</v>
      </c>
      <c r="E127" s="5" t="s">
        <v>5060</v>
      </c>
      <c r="F127" s="5" t="s">
        <v>1336</v>
      </c>
      <c r="G127" s="6" t="s">
        <v>1009</v>
      </c>
      <c r="H127" s="6" t="s">
        <v>64</v>
      </c>
      <c r="I127" s="6" t="s">
        <v>5165</v>
      </c>
      <c r="J127" s="6">
        <v>105</v>
      </c>
      <c r="K127" s="7" t="s">
        <v>5166</v>
      </c>
      <c r="L127" s="8"/>
      <c r="M127" s="8" t="str">
        <f t="shared" si="19"/>
        <v>PEN</v>
      </c>
      <c r="N127" s="13"/>
      <c r="O127" s="13">
        <v>0.05</v>
      </c>
      <c r="P127" s="3">
        <f t="shared" si="15"/>
        <v>0</v>
      </c>
      <c r="Q127" s="3">
        <f t="shared" si="16"/>
        <v>0.05</v>
      </c>
      <c r="R127" s="3">
        <f t="shared" si="17"/>
        <v>1321.849999999997</v>
      </c>
      <c r="S127" s="24" t="s">
        <v>1334</v>
      </c>
      <c r="T127" s="24" t="s">
        <v>1334</v>
      </c>
      <c r="U127" s="3"/>
      <c r="V127" s="3"/>
      <c r="W127" s="3"/>
      <c r="X127" s="3"/>
      <c r="Y127" s="3"/>
      <c r="Z127" s="3"/>
      <c r="AA127" s="3" t="str">
        <f>IF(Interbank_Soles[[#This Row],[fecha]]&gt;0,TEXT(Interbank_Soles[[#This Row],[fecha]],"mmmm"),0)</f>
        <v>Julio</v>
      </c>
    </row>
    <row r="128" spans="1:27" ht="60" x14ac:dyDescent="0.3">
      <c r="A128" s="2">
        <f>IF(Interbank_Soles[[#This Row],[tipo_registro]]="R",COUNTIFS($C$4:$C127,"R")+1,"")</f>
        <v>106</v>
      </c>
      <c r="B128" s="19" t="str">
        <f t="shared" si="18"/>
        <v>B-Interbank</v>
      </c>
      <c r="C128" s="3" t="s">
        <v>1330</v>
      </c>
      <c r="D128" s="14">
        <v>45842</v>
      </c>
      <c r="E128" s="5" t="s">
        <v>1338</v>
      </c>
      <c r="F128" s="5" t="s">
        <v>1336</v>
      </c>
      <c r="G128" s="6" t="s">
        <v>1108</v>
      </c>
      <c r="H128" s="6" t="s">
        <v>68</v>
      </c>
      <c r="I128" s="6" t="s">
        <v>1376</v>
      </c>
      <c r="J128" s="6">
        <v>25</v>
      </c>
      <c r="K128" s="7" t="s">
        <v>5167</v>
      </c>
      <c r="L128" s="8">
        <v>248307</v>
      </c>
      <c r="M128" s="8" t="str">
        <f t="shared" si="19"/>
        <v>PEN</v>
      </c>
      <c r="N128" s="13"/>
      <c r="O128" s="13">
        <v>180</v>
      </c>
      <c r="P128" s="3">
        <f t="shared" si="15"/>
        <v>0</v>
      </c>
      <c r="Q128" s="3">
        <f t="shared" si="16"/>
        <v>180</v>
      </c>
      <c r="R128" s="3">
        <f t="shared" si="17"/>
        <v>1141.849999999997</v>
      </c>
      <c r="S128" s="24" t="s">
        <v>1334</v>
      </c>
      <c r="T128" s="24" t="s">
        <v>1334</v>
      </c>
      <c r="U128" s="3"/>
      <c r="V128" s="3"/>
      <c r="W128" s="3"/>
      <c r="X128" s="3"/>
      <c r="Y128" s="3"/>
      <c r="Z128" s="3"/>
      <c r="AA128" s="3" t="str">
        <f>IF(Interbank_Soles[[#This Row],[fecha]]&gt;0,TEXT(Interbank_Soles[[#This Row],[fecha]],"mmmm"),0)</f>
        <v>Julio</v>
      </c>
    </row>
    <row r="129" spans="1:27" ht="24" x14ac:dyDescent="0.3">
      <c r="A129" s="2">
        <f>IF(Interbank_Soles[[#This Row],[tipo_registro]]="R",COUNTIFS($C$4:$C128,"R")+1,"")</f>
        <v>107</v>
      </c>
      <c r="B129" s="19" t="str">
        <f t="shared" si="18"/>
        <v>B-Interbank</v>
      </c>
      <c r="C129" s="3" t="s">
        <v>1330</v>
      </c>
      <c r="D129" s="14">
        <v>45849</v>
      </c>
      <c r="E129" s="5" t="s">
        <v>1338</v>
      </c>
      <c r="F129" s="5" t="s">
        <v>1336</v>
      </c>
      <c r="G129" s="6" t="s">
        <v>364</v>
      </c>
      <c r="H129" s="6" t="s">
        <v>68</v>
      </c>
      <c r="I129" s="6" t="s">
        <v>4440</v>
      </c>
      <c r="J129" s="6">
        <v>15923</v>
      </c>
      <c r="K129" s="7" t="s">
        <v>5111</v>
      </c>
      <c r="L129" s="8">
        <v>493382</v>
      </c>
      <c r="M129" s="8" t="str">
        <f t="shared" si="19"/>
        <v>PEN</v>
      </c>
      <c r="N129" s="13"/>
      <c r="O129" s="13">
        <v>226.56</v>
      </c>
      <c r="P129" s="3">
        <f t="shared" si="15"/>
        <v>0</v>
      </c>
      <c r="Q129" s="3">
        <f t="shared" si="16"/>
        <v>226.56</v>
      </c>
      <c r="R129" s="3">
        <f t="shared" si="17"/>
        <v>915.28999999999701</v>
      </c>
      <c r="S129" s="24" t="s">
        <v>1334</v>
      </c>
      <c r="T129" s="24" t="s">
        <v>1334</v>
      </c>
      <c r="U129" s="3"/>
      <c r="V129" s="3"/>
      <c r="W129" s="3"/>
      <c r="X129" s="3"/>
      <c r="Y129" s="3"/>
      <c r="Z129" s="3"/>
      <c r="AA129" s="3" t="str">
        <f>IF(Interbank_Soles[[#This Row],[fecha]]&gt;0,TEXT(Interbank_Soles[[#This Row],[fecha]],"mmmm"),0)</f>
        <v>Julio</v>
      </c>
    </row>
    <row r="130" spans="1:27" ht="24" x14ac:dyDescent="0.3">
      <c r="A130" s="2">
        <f>IF(Interbank_Soles[[#This Row],[tipo_registro]]="R",COUNTIFS($C$4:$C129,"R")+1,"")</f>
        <v>108</v>
      </c>
      <c r="B130" s="19" t="str">
        <f t="shared" si="18"/>
        <v>B-Interbank</v>
      </c>
      <c r="C130" s="3" t="s">
        <v>1330</v>
      </c>
      <c r="D130" s="14">
        <v>45854</v>
      </c>
      <c r="E130" s="5" t="s">
        <v>1338</v>
      </c>
      <c r="F130" s="5" t="s">
        <v>1336</v>
      </c>
      <c r="G130" s="6" t="s">
        <v>364</v>
      </c>
      <c r="H130" s="6" t="s">
        <v>68</v>
      </c>
      <c r="I130" s="6" t="s">
        <v>4440</v>
      </c>
      <c r="J130" s="6">
        <v>15708</v>
      </c>
      <c r="K130" s="7" t="s">
        <v>5111</v>
      </c>
      <c r="L130" s="8">
        <v>1017500</v>
      </c>
      <c r="M130" s="8" t="str">
        <f t="shared" si="19"/>
        <v>PEN</v>
      </c>
      <c r="N130" s="13"/>
      <c r="O130" s="13">
        <v>258.42</v>
      </c>
      <c r="P130" s="3">
        <f t="shared" si="15"/>
        <v>0</v>
      </c>
      <c r="Q130" s="3">
        <f t="shared" si="16"/>
        <v>258.42</v>
      </c>
      <c r="R130" s="3">
        <f t="shared" si="17"/>
        <v>656.86999999999694</v>
      </c>
      <c r="S130" s="24" t="s">
        <v>1334</v>
      </c>
      <c r="T130" s="24" t="s">
        <v>1334</v>
      </c>
      <c r="U130" s="3"/>
      <c r="V130" s="3"/>
      <c r="W130" s="3"/>
      <c r="X130" s="3"/>
      <c r="Y130" s="3"/>
      <c r="Z130" s="3"/>
      <c r="AA130" s="3" t="str">
        <f>IF(Interbank_Soles[[#This Row],[fecha]]&gt;0,TEXT(Interbank_Soles[[#This Row],[fecha]],"mmmm"),0)</f>
        <v>Julio</v>
      </c>
    </row>
    <row r="131" spans="1:27" ht="24" x14ac:dyDescent="0.3">
      <c r="A131" s="2">
        <f>IF(Interbank_Soles[[#This Row],[tipo_registro]]="R",COUNTIFS($C$4:$C130,"R")+1,"")</f>
        <v>109</v>
      </c>
      <c r="B131" s="19" t="str">
        <f t="shared" si="18"/>
        <v>B-Interbank</v>
      </c>
      <c r="C131" s="3" t="s">
        <v>1330</v>
      </c>
      <c r="D131" s="14">
        <v>45859</v>
      </c>
      <c r="E131" s="5" t="s">
        <v>1338</v>
      </c>
      <c r="F131" s="5" t="s">
        <v>1336</v>
      </c>
      <c r="G131" s="6" t="s">
        <v>364</v>
      </c>
      <c r="H131" s="6" t="s">
        <v>68</v>
      </c>
      <c r="I131" s="6" t="s">
        <v>1508</v>
      </c>
      <c r="J131" s="6">
        <v>11241</v>
      </c>
      <c r="K131" s="7" t="s">
        <v>5111</v>
      </c>
      <c r="L131" s="8">
        <v>2643658</v>
      </c>
      <c r="M131" s="8" t="str">
        <f t="shared" si="19"/>
        <v>PEN</v>
      </c>
      <c r="N131" s="13"/>
      <c r="O131" s="13">
        <v>253.7</v>
      </c>
      <c r="P131" s="3">
        <f t="shared" si="15"/>
        <v>0</v>
      </c>
      <c r="Q131" s="3">
        <f t="shared" si="16"/>
        <v>253.7</v>
      </c>
      <c r="R131" s="3">
        <f t="shared" si="17"/>
        <v>403.16999999999695</v>
      </c>
      <c r="S131" s="24" t="s">
        <v>1334</v>
      </c>
      <c r="T131" s="24" t="s">
        <v>1334</v>
      </c>
      <c r="U131" s="3"/>
      <c r="V131" s="3"/>
      <c r="W131" s="3"/>
      <c r="X131" s="3"/>
      <c r="Y131" s="3"/>
      <c r="Z131" s="3"/>
      <c r="AA131" s="3" t="str">
        <f>IF(Interbank_Soles[[#This Row],[fecha]]&gt;0,TEXT(Interbank_Soles[[#This Row],[fecha]],"mmmm"),0)</f>
        <v>Julio</v>
      </c>
    </row>
    <row r="132" spans="1:27" x14ac:dyDescent="0.3">
      <c r="A132" s="2">
        <f>IF(Interbank_Soles[[#This Row],[tipo_registro]]="R",COUNTIFS($C$4:$C131,"R")+1,"")</f>
        <v>110</v>
      </c>
      <c r="B132" s="19" t="str">
        <f t="shared" si="18"/>
        <v>B-Interbank</v>
      </c>
      <c r="C132" s="3" t="s">
        <v>1330</v>
      </c>
      <c r="D132" s="14">
        <v>45862</v>
      </c>
      <c r="E132" s="5" t="s">
        <v>1338</v>
      </c>
      <c r="F132" s="5" t="s">
        <v>1336</v>
      </c>
      <c r="G132" s="6" t="s">
        <v>1108</v>
      </c>
      <c r="H132" s="6" t="s">
        <v>68</v>
      </c>
      <c r="I132" s="6" t="s">
        <v>1376</v>
      </c>
      <c r="J132" s="6">
        <v>54</v>
      </c>
      <c r="K132" s="7" t="s">
        <v>5168</v>
      </c>
      <c r="L132" s="8">
        <v>1606101</v>
      </c>
      <c r="M132" s="8" t="str">
        <f t="shared" si="19"/>
        <v>PEN</v>
      </c>
      <c r="N132" s="13"/>
      <c r="O132" s="13">
        <v>60</v>
      </c>
      <c r="P132" s="3">
        <f t="shared" si="15"/>
        <v>0</v>
      </c>
      <c r="Q132" s="3">
        <f t="shared" si="16"/>
        <v>60</v>
      </c>
      <c r="R132" s="3">
        <f t="shared" si="17"/>
        <v>343.16999999999695</v>
      </c>
      <c r="S132" s="24" t="s">
        <v>1334</v>
      </c>
      <c r="T132" s="24" t="s">
        <v>1334</v>
      </c>
      <c r="U132" s="3"/>
      <c r="V132" s="3"/>
      <c r="W132" s="3"/>
      <c r="X132" s="3"/>
      <c r="Y132" s="3"/>
      <c r="Z132" s="3"/>
      <c r="AA132" s="3" t="str">
        <f>IF(Interbank_Soles[[#This Row],[fecha]]&gt;0,TEXT(Interbank_Soles[[#This Row],[fecha]],"mmmm"),0)</f>
        <v>Julio</v>
      </c>
    </row>
    <row r="133" spans="1:27" ht="36.75" customHeight="1" x14ac:dyDescent="0.3">
      <c r="A133" s="2">
        <f>IF(Interbank_Soles[[#This Row],[tipo_registro]]="R",COUNTIFS($C$4:$C132,"R")+1,"")</f>
        <v>111</v>
      </c>
      <c r="B133" s="19" t="str">
        <f t="shared" si="18"/>
        <v>B-Interbank</v>
      </c>
      <c r="C133" s="3" t="s">
        <v>1330</v>
      </c>
      <c r="D133" s="14">
        <v>45869</v>
      </c>
      <c r="E133" s="5" t="s">
        <v>208</v>
      </c>
      <c r="F133" s="5" t="s">
        <v>1303</v>
      </c>
      <c r="G133" s="6" t="s">
        <v>425</v>
      </c>
      <c r="H133" s="6"/>
      <c r="I133" s="6"/>
      <c r="J133" s="6"/>
      <c r="K133" s="7" t="s">
        <v>5123</v>
      </c>
      <c r="L133" s="8">
        <v>8159070</v>
      </c>
      <c r="M133" s="8" t="str">
        <f t="shared" si="19"/>
        <v>PEN</v>
      </c>
      <c r="N133" s="13"/>
      <c r="O133" s="13">
        <v>7010.7</v>
      </c>
      <c r="P133" s="3">
        <f t="shared" si="15"/>
        <v>7010.7</v>
      </c>
      <c r="Q133" s="3">
        <f t="shared" si="16"/>
        <v>0</v>
      </c>
      <c r="R133" s="3">
        <f t="shared" si="17"/>
        <v>7353.8699999999972</v>
      </c>
      <c r="S133" s="24" t="s">
        <v>1334</v>
      </c>
      <c r="T133" s="24" t="s">
        <v>1334</v>
      </c>
      <c r="U133" s="3"/>
      <c r="V133" s="3"/>
      <c r="W133" s="3"/>
      <c r="X133" s="3"/>
      <c r="Y133" s="3"/>
      <c r="Z133" s="3"/>
      <c r="AA133" s="3" t="str">
        <f>IF(Interbank_Soles[[#This Row],[fecha]]&gt;0,TEXT(Interbank_Soles[[#This Row],[fecha]],"mmmm"),0)</f>
        <v>Julio</v>
      </c>
    </row>
    <row r="134" spans="1:27" ht="36.75" customHeight="1" x14ac:dyDescent="0.3">
      <c r="A134" s="2" t="str">
        <f>IF(Interbank_Soles[[#This Row],[tipo_registro]]="R",COUNTIFS($C$4:$C133,"R")+1,"")</f>
        <v/>
      </c>
      <c r="B134" s="19" t="str">
        <f t="shared" si="18"/>
        <v>B-Interbank</v>
      </c>
      <c r="C134" s="3" t="s">
        <v>1352</v>
      </c>
      <c r="D134" s="14">
        <v>45869</v>
      </c>
      <c r="E134" s="5" t="s">
        <v>208</v>
      </c>
      <c r="F134" s="5"/>
      <c r="G134" s="6" t="s">
        <v>208</v>
      </c>
      <c r="H134" s="6" t="s">
        <v>68</v>
      </c>
      <c r="I134" s="6" t="s">
        <v>1784</v>
      </c>
      <c r="J134" s="6">
        <v>137</v>
      </c>
      <c r="K134" s="7" t="s">
        <v>5123</v>
      </c>
      <c r="L134" s="8">
        <v>8159070</v>
      </c>
      <c r="M134" s="8" t="str">
        <f t="shared" si="19"/>
        <v>PEN</v>
      </c>
      <c r="N134" s="13">
        <v>5066.1000000000004</v>
      </c>
      <c r="O134" s="13"/>
      <c r="P134" s="3">
        <f t="shared" si="15"/>
        <v>0</v>
      </c>
      <c r="Q134" s="3">
        <f t="shared" si="16"/>
        <v>0</v>
      </c>
      <c r="R134" s="3">
        <f t="shared" si="17"/>
        <v>7353.8699999999972</v>
      </c>
      <c r="S134" s="24" t="s">
        <v>1334</v>
      </c>
      <c r="T134" s="24" t="s">
        <v>1334</v>
      </c>
      <c r="U134" s="3"/>
      <c r="V134" s="3"/>
      <c r="W134" s="3"/>
      <c r="X134" s="3"/>
      <c r="Y134" s="3"/>
      <c r="Z134" s="3"/>
      <c r="AA134" s="3" t="str">
        <f>IF(Interbank_Soles[[#This Row],[fecha]]&gt;0,TEXT(Interbank_Soles[[#This Row],[fecha]],"mmmm"),0)</f>
        <v>Julio</v>
      </c>
    </row>
    <row r="135" spans="1:27" ht="36.75" customHeight="1" x14ac:dyDescent="0.3">
      <c r="A135" s="2" t="str">
        <f>IF(Interbank_Soles[[#This Row],[tipo_registro]]="R",COUNTIFS($C$4:$C134,"R")+1,"")</f>
        <v/>
      </c>
      <c r="B135" s="19" t="str">
        <f t="shared" si="18"/>
        <v>B-Interbank</v>
      </c>
      <c r="C135" s="3" t="s">
        <v>1352</v>
      </c>
      <c r="D135" s="14">
        <v>45869</v>
      </c>
      <c r="E135" s="5" t="s">
        <v>208</v>
      </c>
      <c r="F135" s="5"/>
      <c r="G135" s="6" t="s">
        <v>208</v>
      </c>
      <c r="H135" s="6" t="s">
        <v>68</v>
      </c>
      <c r="I135" s="6" t="s">
        <v>1784</v>
      </c>
      <c r="J135" s="6">
        <v>138</v>
      </c>
      <c r="K135" s="7" t="s">
        <v>5123</v>
      </c>
      <c r="L135" s="8">
        <v>8159070</v>
      </c>
      <c r="M135" s="8" t="str">
        <f t="shared" si="19"/>
        <v>PEN</v>
      </c>
      <c r="N135" s="13">
        <v>1631.83</v>
      </c>
      <c r="O135" s="13"/>
      <c r="P135" s="3">
        <f t="shared" si="15"/>
        <v>0</v>
      </c>
      <c r="Q135" s="3">
        <f t="shared" si="16"/>
        <v>0</v>
      </c>
      <c r="R135" s="3">
        <f t="shared" si="17"/>
        <v>7353.8699999999972</v>
      </c>
      <c r="S135" s="24" t="s">
        <v>1334</v>
      </c>
      <c r="T135" s="24" t="s">
        <v>1334</v>
      </c>
      <c r="U135" s="3"/>
      <c r="V135" s="3"/>
      <c r="W135" s="3"/>
      <c r="X135" s="3"/>
      <c r="Y135" s="3"/>
      <c r="Z135" s="3"/>
      <c r="AA135" s="3" t="str">
        <f>IF(Interbank_Soles[[#This Row],[fecha]]&gt;0,TEXT(Interbank_Soles[[#This Row],[fecha]],"mmmm"),0)</f>
        <v>Julio</v>
      </c>
    </row>
    <row r="136" spans="1:27" ht="36.75" customHeight="1" x14ac:dyDescent="0.3">
      <c r="A136" s="2" t="str">
        <f>IF(Interbank_Soles[[#This Row],[tipo_registro]]="R",COUNTIFS($C$4:$C135,"R")+1,"")</f>
        <v/>
      </c>
      <c r="B136" s="19" t="str">
        <f t="shared" si="18"/>
        <v>B-Interbank</v>
      </c>
      <c r="C136" s="3" t="s">
        <v>1352</v>
      </c>
      <c r="D136" s="14">
        <v>45869</v>
      </c>
      <c r="E136" s="5" t="s">
        <v>208</v>
      </c>
      <c r="F136" s="5"/>
      <c r="G136" s="6" t="s">
        <v>208</v>
      </c>
      <c r="H136" s="6" t="s">
        <v>68</v>
      </c>
      <c r="I136" s="6" t="s">
        <v>1784</v>
      </c>
      <c r="J136" s="6">
        <v>139</v>
      </c>
      <c r="K136" s="7" t="s">
        <v>5123</v>
      </c>
      <c r="L136" s="8">
        <v>8159070</v>
      </c>
      <c r="M136" s="8" t="str">
        <f t="shared" si="19"/>
        <v>PEN</v>
      </c>
      <c r="N136" s="13">
        <v>312.77</v>
      </c>
      <c r="O136" s="13"/>
      <c r="P136" s="3">
        <f t="shared" si="15"/>
        <v>0</v>
      </c>
      <c r="Q136" s="3">
        <f t="shared" si="16"/>
        <v>0</v>
      </c>
      <c r="R136" s="3">
        <f t="shared" si="17"/>
        <v>7353.8699999999972</v>
      </c>
      <c r="S136" s="24" t="s">
        <v>1334</v>
      </c>
      <c r="T136" s="24" t="s">
        <v>1334</v>
      </c>
      <c r="U136" s="3"/>
      <c r="V136" s="3"/>
      <c r="W136" s="3"/>
      <c r="X136" s="3"/>
      <c r="Y136" s="3"/>
      <c r="Z136" s="3"/>
      <c r="AA136" s="3" t="str">
        <f>IF(Interbank_Soles[[#This Row],[fecha]]&gt;0,TEXT(Interbank_Soles[[#This Row],[fecha]],"mmmm"),0)</f>
        <v>Julio</v>
      </c>
    </row>
    <row r="137" spans="1:27" x14ac:dyDescent="0.3">
      <c r="A137" s="2">
        <f>IF(Interbank_Soles[[#This Row],[tipo_registro]]="R",COUNTIFS($C$4:$C136,"R")+1,"")</f>
        <v>112</v>
      </c>
      <c r="B137" s="19" t="str">
        <f t="shared" si="18"/>
        <v>B-Interbank</v>
      </c>
      <c r="C137" s="3" t="s">
        <v>1330</v>
      </c>
      <c r="D137" s="14">
        <v>45869</v>
      </c>
      <c r="E137" s="5" t="s">
        <v>5060</v>
      </c>
      <c r="F137" s="5" t="s">
        <v>1336</v>
      </c>
      <c r="G137" s="6" t="s">
        <v>1009</v>
      </c>
      <c r="H137" s="6" t="s">
        <v>64</v>
      </c>
      <c r="I137" s="6" t="s">
        <v>5165</v>
      </c>
      <c r="J137" s="6">
        <v>112</v>
      </c>
      <c r="K137" s="7" t="s">
        <v>5061</v>
      </c>
      <c r="L137" s="8"/>
      <c r="M137" s="8" t="str">
        <f t="shared" si="19"/>
        <v>PEN</v>
      </c>
      <c r="N137" s="13"/>
      <c r="O137" s="13">
        <v>0.35</v>
      </c>
      <c r="P137" s="3">
        <f t="shared" si="15"/>
        <v>0</v>
      </c>
      <c r="Q137" s="3">
        <f t="shared" si="16"/>
        <v>0.35</v>
      </c>
      <c r="R137" s="3">
        <f t="shared" si="17"/>
        <v>7353.5199999999968</v>
      </c>
      <c r="S137" s="24" t="s">
        <v>1334</v>
      </c>
      <c r="T137" s="24" t="s">
        <v>1334</v>
      </c>
      <c r="U137" s="3"/>
      <c r="V137" s="3"/>
      <c r="W137" s="3"/>
      <c r="X137" s="3"/>
      <c r="Y137" s="3"/>
      <c r="Z137" s="3"/>
      <c r="AA137" s="3" t="str">
        <f>IF(Interbank_Soles[[#This Row],[fecha]]&gt;0,TEXT(Interbank_Soles[[#This Row],[fecha]],"mmmm"),0)</f>
        <v>Julio</v>
      </c>
    </row>
    <row r="138" spans="1:27" ht="24" x14ac:dyDescent="0.3">
      <c r="A138" s="2">
        <f>IF(Interbank_Soles[[#This Row],[tipo_registro]]="R",COUNTIFS($C$4:$C137,"R")+1,"")</f>
        <v>113</v>
      </c>
      <c r="B138" s="19" t="str">
        <f t="shared" si="18"/>
        <v>B-Interbank</v>
      </c>
      <c r="C138" s="3" t="s">
        <v>1330</v>
      </c>
      <c r="D138" s="14">
        <v>45870</v>
      </c>
      <c r="E138" s="5" t="s">
        <v>1338</v>
      </c>
      <c r="F138" s="5" t="s">
        <v>1336</v>
      </c>
      <c r="G138" s="6" t="s">
        <v>364</v>
      </c>
      <c r="H138" s="6" t="s">
        <v>68</v>
      </c>
      <c r="I138" s="6" t="s">
        <v>4440</v>
      </c>
      <c r="J138" s="6">
        <v>16079</v>
      </c>
      <c r="K138" s="7" t="s">
        <v>5111</v>
      </c>
      <c r="L138" s="8">
        <v>595479</v>
      </c>
      <c r="M138" s="8" t="str">
        <f t="shared" si="19"/>
        <v>PEN</v>
      </c>
      <c r="N138" s="13"/>
      <c r="O138" s="13">
        <v>217.12</v>
      </c>
      <c r="P138" s="3">
        <f t="shared" si="15"/>
        <v>0</v>
      </c>
      <c r="Q138" s="3">
        <f t="shared" si="16"/>
        <v>217.12</v>
      </c>
      <c r="R138" s="3">
        <f t="shared" si="17"/>
        <v>7136.3999999999969</v>
      </c>
      <c r="S138" s="24" t="s">
        <v>1334</v>
      </c>
      <c r="T138" s="24" t="s">
        <v>1334</v>
      </c>
      <c r="U138" s="3"/>
      <c r="V138" s="3"/>
      <c r="W138" s="3"/>
      <c r="X138" s="3"/>
      <c r="Y138" s="3"/>
      <c r="Z138" s="3"/>
      <c r="AA138" s="3" t="str">
        <f>IF(Interbank_Soles[[#This Row],[fecha]]&gt;0,TEXT(Interbank_Soles[[#This Row],[fecha]],"mmmm"),0)</f>
        <v>Agosto</v>
      </c>
    </row>
    <row r="139" spans="1:27" ht="24" x14ac:dyDescent="0.3">
      <c r="A139" s="2">
        <f>IF(Interbank_Soles[[#This Row],[tipo_registro]]="R",COUNTIFS($C$4:$C138,"R")+1,"")</f>
        <v>114</v>
      </c>
      <c r="B139" s="19" t="str">
        <f t="shared" si="18"/>
        <v>B-Interbank</v>
      </c>
      <c r="C139" s="3" t="s">
        <v>1330</v>
      </c>
      <c r="D139" s="14">
        <v>45870</v>
      </c>
      <c r="E139" s="5" t="s">
        <v>1338</v>
      </c>
      <c r="F139" s="5" t="s">
        <v>1336</v>
      </c>
      <c r="G139" s="6" t="s">
        <v>364</v>
      </c>
      <c r="H139" s="6" t="s">
        <v>68</v>
      </c>
      <c r="I139" s="6" t="s">
        <v>4440</v>
      </c>
      <c r="J139" s="6">
        <v>16028</v>
      </c>
      <c r="K139" s="7" t="s">
        <v>5111</v>
      </c>
      <c r="L139" s="8">
        <v>592907</v>
      </c>
      <c r="M139" s="8" t="str">
        <f t="shared" si="19"/>
        <v>PEN</v>
      </c>
      <c r="N139" s="13"/>
      <c r="O139" s="13">
        <v>226.56</v>
      </c>
      <c r="P139" s="3">
        <f t="shared" ref="P139:P171" si="20">+IF(OR($F139="SALDO",$F139="INGRESO"),$O139,0)</f>
        <v>0</v>
      </c>
      <c r="Q139" s="3">
        <f t="shared" ref="Q139:Q171" si="21">+IF($F139="EGRESO",$O139,0)</f>
        <v>226.56</v>
      </c>
      <c r="R139" s="3">
        <f t="shared" ref="R139:R171" si="22">IFERROR(IF(F139="SALDO",P139,R138+P139-Q139),0)</f>
        <v>6909.8399999999965</v>
      </c>
      <c r="S139" s="24" t="s">
        <v>1334</v>
      </c>
      <c r="T139" s="24" t="s">
        <v>1334</v>
      </c>
      <c r="U139" s="3"/>
      <c r="V139" s="3"/>
      <c r="W139" s="3"/>
      <c r="X139" s="3"/>
      <c r="Y139" s="3"/>
      <c r="Z139" s="3"/>
      <c r="AA139" s="3" t="str">
        <f>IF(Interbank_Soles[[#This Row],[fecha]]&gt;0,TEXT(Interbank_Soles[[#This Row],[fecha]],"mmmm"),0)</f>
        <v>Agosto</v>
      </c>
    </row>
    <row r="140" spans="1:27" ht="24" x14ac:dyDescent="0.3">
      <c r="A140" s="2">
        <f>IF(Interbank_Soles[[#This Row],[tipo_registro]]="R",COUNTIFS($C$4:$C139,"R")+1,"")</f>
        <v>115</v>
      </c>
      <c r="B140" s="19" t="str">
        <f t="shared" si="18"/>
        <v>B-Interbank</v>
      </c>
      <c r="C140" s="3" t="s">
        <v>1330</v>
      </c>
      <c r="D140" s="14">
        <v>45870</v>
      </c>
      <c r="E140" s="5" t="s">
        <v>1338</v>
      </c>
      <c r="F140" s="5" t="s">
        <v>1336</v>
      </c>
      <c r="G140" s="6" t="s">
        <v>364</v>
      </c>
      <c r="H140" s="6" t="s">
        <v>68</v>
      </c>
      <c r="I140" s="6" t="s">
        <v>4440</v>
      </c>
      <c r="J140" s="6">
        <v>16047</v>
      </c>
      <c r="K140" s="7" t="s">
        <v>5111</v>
      </c>
      <c r="L140" s="8">
        <v>588806</v>
      </c>
      <c r="M140" s="8" t="str">
        <f t="shared" si="19"/>
        <v>PEN</v>
      </c>
      <c r="N140" s="13"/>
      <c r="O140" s="13">
        <v>125.08</v>
      </c>
      <c r="P140" s="3">
        <f t="shared" si="20"/>
        <v>0</v>
      </c>
      <c r="Q140" s="3">
        <f t="shared" si="21"/>
        <v>125.08</v>
      </c>
      <c r="R140" s="3">
        <f t="shared" si="22"/>
        <v>6784.7599999999966</v>
      </c>
      <c r="S140" s="24" t="s">
        <v>1334</v>
      </c>
      <c r="T140" s="24" t="s">
        <v>1334</v>
      </c>
      <c r="U140" s="3"/>
      <c r="V140" s="3"/>
      <c r="W140" s="3"/>
      <c r="X140" s="3"/>
      <c r="Y140" s="3"/>
      <c r="Z140" s="3"/>
      <c r="AA140" s="3" t="str">
        <f>IF(Interbank_Soles[[#This Row],[fecha]]&gt;0,TEXT(Interbank_Soles[[#This Row],[fecha]],"mmmm"),0)</f>
        <v>Agosto</v>
      </c>
    </row>
    <row r="141" spans="1:27" ht="36" x14ac:dyDescent="0.3">
      <c r="A141" s="2">
        <f>IF(Interbank_Soles[[#This Row],[tipo_registro]]="R",COUNTIFS($C$4:$C140,"R")+1,"")</f>
        <v>116</v>
      </c>
      <c r="B141" s="19" t="str">
        <f>"B-Interbank"</f>
        <v>B-Interbank</v>
      </c>
      <c r="C141" s="3" t="s">
        <v>1330</v>
      </c>
      <c r="D141" s="14">
        <v>45870</v>
      </c>
      <c r="E141" s="5" t="s">
        <v>1338</v>
      </c>
      <c r="F141" s="5" t="s">
        <v>1336</v>
      </c>
      <c r="G141" s="6" t="s">
        <v>1207</v>
      </c>
      <c r="H141" s="6" t="s">
        <v>68</v>
      </c>
      <c r="I141" s="6"/>
      <c r="J141" s="6"/>
      <c r="K141" s="7" t="s">
        <v>9528</v>
      </c>
      <c r="L141" s="8">
        <v>9533036</v>
      </c>
      <c r="M141" s="8" t="str">
        <f>"PEN"</f>
        <v>PEN</v>
      </c>
      <c r="N141" s="13"/>
      <c r="O141" s="13">
        <v>50</v>
      </c>
      <c r="P141" s="3">
        <f>+IF(OR($F141="SALDO",$F141="INGRESO"),$O141,0)</f>
        <v>0</v>
      </c>
      <c r="Q141" s="3">
        <f>+IF($F141="EGRESO",$O141,0)</f>
        <v>50</v>
      </c>
      <c r="R141" s="3">
        <f>IFERROR(IF(F141="SALDO",P141,R140+P141-Q141),0)</f>
        <v>6734.7599999999966</v>
      </c>
      <c r="S141" s="24"/>
      <c r="T141" s="24"/>
      <c r="U141" s="3"/>
      <c r="V141" s="3"/>
      <c r="W141" s="3"/>
      <c r="X141" s="3"/>
      <c r="Y141" s="3"/>
      <c r="Z141" s="3"/>
      <c r="AA141" s="3" t="str">
        <f>IF(Interbank_Soles[[#This Row],[fecha]]&gt;0,TEXT(Interbank_Soles[[#This Row],[fecha]],"mmmm"),0)</f>
        <v>Agosto</v>
      </c>
    </row>
    <row r="142" spans="1:27" x14ac:dyDescent="0.3">
      <c r="A142" s="2">
        <f>IF(Interbank_Soles[[#This Row],[tipo_registro]]="R",COUNTIFS($C$4:$C141,"R")+1,"")</f>
        <v>117</v>
      </c>
      <c r="B142" s="19" t="str">
        <f t="shared" si="18"/>
        <v>B-Interbank</v>
      </c>
      <c r="C142" s="3" t="s">
        <v>1330</v>
      </c>
      <c r="D142" s="14">
        <v>45874</v>
      </c>
      <c r="E142" s="5" t="s">
        <v>1338</v>
      </c>
      <c r="F142" s="5" t="s">
        <v>1336</v>
      </c>
      <c r="G142" s="6" t="s">
        <v>196</v>
      </c>
      <c r="H142" s="6" t="s">
        <v>68</v>
      </c>
      <c r="I142" s="6" t="s">
        <v>2226</v>
      </c>
      <c r="J142" s="6">
        <v>6664</v>
      </c>
      <c r="K142" s="7" t="s">
        <v>5169</v>
      </c>
      <c r="L142" s="8">
        <v>568021</v>
      </c>
      <c r="M142" s="8" t="str">
        <f t="shared" si="19"/>
        <v>PEN</v>
      </c>
      <c r="N142" s="3"/>
      <c r="O142" s="3">
        <v>8.1999999999999993</v>
      </c>
      <c r="P142" s="3">
        <f t="shared" si="20"/>
        <v>0</v>
      </c>
      <c r="Q142" s="3">
        <f t="shared" si="21"/>
        <v>8.1999999999999993</v>
      </c>
      <c r="R142" s="3">
        <f>IFERROR(IF(F142="SALDO",P142,R141+P142-Q142),0)</f>
        <v>6726.5599999999968</v>
      </c>
      <c r="S142" s="24" t="s">
        <v>1334</v>
      </c>
      <c r="T142" s="24" t="s">
        <v>1334</v>
      </c>
      <c r="U142" s="3"/>
      <c r="V142" s="3"/>
      <c r="W142" s="3"/>
      <c r="X142" s="3"/>
      <c r="Y142" s="3"/>
      <c r="Z142" s="3"/>
      <c r="AA142" s="3" t="str">
        <f>IF(Interbank_Soles[[#This Row],[fecha]]&gt;0,TEXT(Interbank_Soles[[#This Row],[fecha]],"mmmm"),0)</f>
        <v>Agosto</v>
      </c>
    </row>
    <row r="143" spans="1:27" x14ac:dyDescent="0.3">
      <c r="A143" s="2">
        <f>IF(Interbank_Soles[[#This Row],[tipo_registro]]="R",COUNTIFS($C$4:$C142,"R")+1,"")</f>
        <v>118</v>
      </c>
      <c r="B143" s="19" t="str">
        <f t="shared" si="18"/>
        <v>B-Interbank</v>
      </c>
      <c r="C143" s="3" t="s">
        <v>1330</v>
      </c>
      <c r="D143" s="14">
        <v>45874</v>
      </c>
      <c r="E143" s="5" t="s">
        <v>1338</v>
      </c>
      <c r="F143" s="5" t="s">
        <v>1336</v>
      </c>
      <c r="G143" s="6" t="s">
        <v>196</v>
      </c>
      <c r="H143" s="6" t="s">
        <v>68</v>
      </c>
      <c r="I143" s="6" t="s">
        <v>2226</v>
      </c>
      <c r="J143" s="6">
        <v>6661</v>
      </c>
      <c r="K143" s="7" t="s">
        <v>5169</v>
      </c>
      <c r="L143" s="8">
        <v>570268</v>
      </c>
      <c r="M143" s="8" t="str">
        <f t="shared" si="19"/>
        <v>PEN</v>
      </c>
      <c r="N143" s="13"/>
      <c r="O143" s="13">
        <v>140.66999999999999</v>
      </c>
      <c r="P143" s="3">
        <f t="shared" si="20"/>
        <v>0</v>
      </c>
      <c r="Q143" s="3">
        <f t="shared" si="21"/>
        <v>140.66999999999999</v>
      </c>
      <c r="R143" s="3">
        <f t="shared" si="22"/>
        <v>6585.8899999999967</v>
      </c>
      <c r="S143" s="24" t="s">
        <v>1334</v>
      </c>
      <c r="T143" s="24" t="s">
        <v>1334</v>
      </c>
      <c r="U143" s="3"/>
      <c r="V143" s="3"/>
      <c r="W143" s="3"/>
      <c r="X143" s="3"/>
      <c r="Y143" s="3"/>
      <c r="Z143" s="3"/>
      <c r="AA143" s="3" t="str">
        <f>IF(Interbank_Soles[[#This Row],[fecha]]&gt;0,TEXT(Interbank_Soles[[#This Row],[fecha]],"mmmm"),0)</f>
        <v>Agosto</v>
      </c>
    </row>
    <row r="144" spans="1:27" x14ac:dyDescent="0.3">
      <c r="A144" s="2">
        <f>IF(Interbank_Soles[[#This Row],[tipo_registro]]="R",COUNTIFS($C$4:$C143,"R")+1,"")</f>
        <v>119</v>
      </c>
      <c r="B144" s="19" t="str">
        <f t="shared" si="18"/>
        <v>B-Interbank</v>
      </c>
      <c r="C144" s="3" t="s">
        <v>1330</v>
      </c>
      <c r="D144" s="14">
        <v>45874</v>
      </c>
      <c r="E144" s="5" t="s">
        <v>1338</v>
      </c>
      <c r="F144" s="5" t="s">
        <v>1336</v>
      </c>
      <c r="G144" s="6" t="s">
        <v>196</v>
      </c>
      <c r="H144" s="6" t="s">
        <v>68</v>
      </c>
      <c r="I144" s="6" t="s">
        <v>2226</v>
      </c>
      <c r="J144" s="6">
        <v>6662</v>
      </c>
      <c r="K144" s="7" t="s">
        <v>5169</v>
      </c>
      <c r="L144" s="8">
        <v>571801</v>
      </c>
      <c r="M144" s="8" t="str">
        <f t="shared" si="19"/>
        <v>PEN</v>
      </c>
      <c r="N144" s="13"/>
      <c r="O144" s="13">
        <v>424.14</v>
      </c>
      <c r="P144" s="3">
        <f t="shared" si="20"/>
        <v>0</v>
      </c>
      <c r="Q144" s="3">
        <f t="shared" si="21"/>
        <v>424.14</v>
      </c>
      <c r="R144" s="3">
        <f t="shared" si="22"/>
        <v>6161.7499999999964</v>
      </c>
      <c r="S144" s="24" t="s">
        <v>1334</v>
      </c>
      <c r="T144" s="24" t="s">
        <v>1334</v>
      </c>
      <c r="U144" s="3"/>
      <c r="V144" s="3"/>
      <c r="W144" s="3"/>
      <c r="X144" s="3"/>
      <c r="Y144" s="3"/>
      <c r="Z144" s="3"/>
      <c r="AA144" s="3" t="str">
        <f>IF(Interbank_Soles[[#This Row],[fecha]]&gt;0,TEXT(Interbank_Soles[[#This Row],[fecha]],"mmmm"),0)</f>
        <v>Agosto</v>
      </c>
    </row>
    <row r="145" spans="1:27" x14ac:dyDescent="0.3">
      <c r="A145" s="2">
        <f>IF(Interbank_Soles[[#This Row],[tipo_registro]]="R",COUNTIFS($C$4:$C144,"R")+1,"")</f>
        <v>120</v>
      </c>
      <c r="B145" s="19" t="str">
        <f t="shared" si="18"/>
        <v>B-Interbank</v>
      </c>
      <c r="C145" s="3" t="s">
        <v>1330</v>
      </c>
      <c r="D145" s="14">
        <v>45874</v>
      </c>
      <c r="E145" s="5" t="s">
        <v>1338</v>
      </c>
      <c r="F145" s="5" t="s">
        <v>1336</v>
      </c>
      <c r="G145" s="6" t="s">
        <v>196</v>
      </c>
      <c r="H145" s="6" t="s">
        <v>68</v>
      </c>
      <c r="I145" s="6" t="s">
        <v>2226</v>
      </c>
      <c r="J145" s="6">
        <v>6667</v>
      </c>
      <c r="K145" s="7" t="s">
        <v>5169</v>
      </c>
      <c r="L145" s="8">
        <v>573445</v>
      </c>
      <c r="M145" s="8" t="str">
        <f t="shared" si="19"/>
        <v>PEN</v>
      </c>
      <c r="N145" s="13"/>
      <c r="O145" s="13">
        <v>609.44000000000005</v>
      </c>
      <c r="P145" s="3">
        <f t="shared" si="20"/>
        <v>0</v>
      </c>
      <c r="Q145" s="3">
        <f t="shared" si="21"/>
        <v>609.44000000000005</v>
      </c>
      <c r="R145" s="3">
        <f t="shared" si="22"/>
        <v>5552.3099999999959</v>
      </c>
      <c r="S145" s="24" t="s">
        <v>1334</v>
      </c>
      <c r="T145" s="24" t="s">
        <v>1334</v>
      </c>
      <c r="U145" s="3"/>
      <c r="V145" s="3"/>
      <c r="W145" s="3"/>
      <c r="X145" s="3"/>
      <c r="Y145" s="3"/>
      <c r="Z145" s="3"/>
      <c r="AA145" s="3" t="str">
        <f>IF(Interbank_Soles[[#This Row],[fecha]]&gt;0,TEXT(Interbank_Soles[[#This Row],[fecha]],"mmmm"),0)</f>
        <v>Agosto</v>
      </c>
    </row>
    <row r="146" spans="1:27" x14ac:dyDescent="0.3">
      <c r="A146" s="2">
        <f>IF(Interbank_Soles[[#This Row],[tipo_registro]]="R",COUNTIFS($C$4:$C145,"R")+1,"")</f>
        <v>121</v>
      </c>
      <c r="B146" s="19" t="str">
        <f t="shared" si="18"/>
        <v>B-Interbank</v>
      </c>
      <c r="C146" s="3" t="s">
        <v>1330</v>
      </c>
      <c r="D146" s="14">
        <v>45874</v>
      </c>
      <c r="E146" s="5" t="s">
        <v>1338</v>
      </c>
      <c r="F146" s="5" t="s">
        <v>1336</v>
      </c>
      <c r="G146" s="6" t="s">
        <v>196</v>
      </c>
      <c r="H146" s="6" t="s">
        <v>68</v>
      </c>
      <c r="I146" s="6" t="s">
        <v>2226</v>
      </c>
      <c r="J146" s="6">
        <v>6666</v>
      </c>
      <c r="K146" s="7" t="s">
        <v>5169</v>
      </c>
      <c r="L146" s="8">
        <v>575009</v>
      </c>
      <c r="M146" s="8" t="str">
        <f t="shared" si="19"/>
        <v>PEN</v>
      </c>
      <c r="N146" s="13"/>
      <c r="O146" s="13">
        <v>52.36</v>
      </c>
      <c r="P146" s="3">
        <f t="shared" si="20"/>
        <v>0</v>
      </c>
      <c r="Q146" s="3">
        <f t="shared" si="21"/>
        <v>52.36</v>
      </c>
      <c r="R146" s="3">
        <f t="shared" si="22"/>
        <v>5499.9499999999962</v>
      </c>
      <c r="S146" s="24" t="s">
        <v>1334</v>
      </c>
      <c r="T146" s="24" t="s">
        <v>1334</v>
      </c>
      <c r="U146" s="3"/>
      <c r="V146" s="3"/>
      <c r="W146" s="3"/>
      <c r="X146" s="3"/>
      <c r="Y146" s="3"/>
      <c r="Z146" s="3"/>
      <c r="AA146" s="3" t="str">
        <f>IF(Interbank_Soles[[#This Row],[fecha]]&gt;0,TEXT(Interbank_Soles[[#This Row],[fecha]],"mmmm"),0)</f>
        <v>Agosto</v>
      </c>
    </row>
    <row r="147" spans="1:27" x14ac:dyDescent="0.3">
      <c r="A147" s="2">
        <f>IF(Interbank_Soles[[#This Row],[tipo_registro]]="R",COUNTIFS($C$4:$C146,"R")+1,"")</f>
        <v>122</v>
      </c>
      <c r="B147" s="19" t="str">
        <f t="shared" ref="B147:B162" si="23">"B-Interbank"</f>
        <v>B-Interbank</v>
      </c>
      <c r="C147" s="3" t="s">
        <v>1330</v>
      </c>
      <c r="D147" s="14">
        <v>45874</v>
      </c>
      <c r="E147" s="5" t="s">
        <v>1338</v>
      </c>
      <c r="F147" s="5" t="s">
        <v>1336</v>
      </c>
      <c r="G147" s="6" t="s">
        <v>196</v>
      </c>
      <c r="H147" s="6" t="s">
        <v>68</v>
      </c>
      <c r="I147" s="6" t="s">
        <v>2226</v>
      </c>
      <c r="J147" s="6">
        <v>6663</v>
      </c>
      <c r="K147" s="7" t="s">
        <v>5169</v>
      </c>
      <c r="L147" s="8">
        <v>576372</v>
      </c>
      <c r="M147" s="8" t="str">
        <f t="shared" ref="M147:M162" si="24">"PEN"</f>
        <v>PEN</v>
      </c>
      <c r="N147" s="13"/>
      <c r="O147" s="13">
        <v>12.75</v>
      </c>
      <c r="P147" s="3">
        <f t="shared" si="20"/>
        <v>0</v>
      </c>
      <c r="Q147" s="3">
        <f t="shared" si="21"/>
        <v>12.75</v>
      </c>
      <c r="R147" s="3">
        <f t="shared" si="22"/>
        <v>5487.1999999999962</v>
      </c>
      <c r="S147" s="24" t="s">
        <v>1334</v>
      </c>
      <c r="T147" s="24" t="s">
        <v>1334</v>
      </c>
      <c r="U147" s="3"/>
      <c r="V147" s="3"/>
      <c r="W147" s="3"/>
      <c r="X147" s="3"/>
      <c r="Y147" s="3"/>
      <c r="Z147" s="3"/>
      <c r="AA147" s="3" t="str">
        <f>IF(Interbank_Soles[[#This Row],[fecha]]&gt;0,TEXT(Interbank_Soles[[#This Row],[fecha]],"mmmm"),0)</f>
        <v>Agosto</v>
      </c>
    </row>
    <row r="148" spans="1:27" x14ac:dyDescent="0.3">
      <c r="A148" s="2">
        <f>IF(Interbank_Soles[[#This Row],[tipo_registro]]="R",COUNTIFS($C$4:$C147,"R")+1,"")</f>
        <v>123</v>
      </c>
      <c r="B148" s="19" t="str">
        <f t="shared" si="23"/>
        <v>B-Interbank</v>
      </c>
      <c r="C148" s="3" t="s">
        <v>1330</v>
      </c>
      <c r="D148" s="14">
        <v>45874</v>
      </c>
      <c r="E148" s="5" t="s">
        <v>1338</v>
      </c>
      <c r="F148" s="5" t="s">
        <v>1336</v>
      </c>
      <c r="G148" s="6" t="s">
        <v>196</v>
      </c>
      <c r="H148" s="6" t="s">
        <v>68</v>
      </c>
      <c r="I148" s="6" t="s">
        <v>2226</v>
      </c>
      <c r="J148" s="6">
        <v>6665</v>
      </c>
      <c r="K148" s="7" t="s">
        <v>5169</v>
      </c>
      <c r="L148" s="8">
        <v>577719</v>
      </c>
      <c r="M148" s="8" t="str">
        <f t="shared" si="24"/>
        <v>PEN</v>
      </c>
      <c r="N148" s="13"/>
      <c r="O148" s="13">
        <v>344.92</v>
      </c>
      <c r="P148" s="3">
        <f t="shared" si="20"/>
        <v>0</v>
      </c>
      <c r="Q148" s="3">
        <f t="shared" si="21"/>
        <v>344.92</v>
      </c>
      <c r="R148" s="3">
        <f t="shared" si="22"/>
        <v>5142.2799999999961</v>
      </c>
      <c r="S148" s="24" t="s">
        <v>1334</v>
      </c>
      <c r="T148" s="24" t="s">
        <v>1334</v>
      </c>
      <c r="U148" s="3"/>
      <c r="V148" s="3"/>
      <c r="W148" s="3"/>
      <c r="X148" s="3"/>
      <c r="Y148" s="3"/>
      <c r="Z148" s="3"/>
      <c r="AA148" s="3" t="str">
        <f>IF(Interbank_Soles[[#This Row],[fecha]]&gt;0,TEXT(Interbank_Soles[[#This Row],[fecha]],"mmmm"),0)</f>
        <v>Agosto</v>
      </c>
    </row>
    <row r="149" spans="1:27" ht="24" x14ac:dyDescent="0.3">
      <c r="A149" s="2">
        <f>IF(Interbank_Soles[[#This Row],[tipo_registro]]="R",COUNTIFS($C$4:$C148,"R")+1,"")</f>
        <v>124</v>
      </c>
      <c r="B149" s="19" t="str">
        <f t="shared" si="23"/>
        <v>B-Interbank</v>
      </c>
      <c r="C149" s="3" t="s">
        <v>1330</v>
      </c>
      <c r="D149" s="14">
        <v>45876</v>
      </c>
      <c r="E149" s="5" t="s">
        <v>1338</v>
      </c>
      <c r="F149" s="5" t="s">
        <v>1336</v>
      </c>
      <c r="G149" s="6" t="s">
        <v>1108</v>
      </c>
      <c r="H149" s="6" t="s">
        <v>68</v>
      </c>
      <c r="I149" s="6" t="s">
        <v>1376</v>
      </c>
      <c r="J149" s="6">
        <v>69</v>
      </c>
      <c r="K149" s="7" t="s">
        <v>5170</v>
      </c>
      <c r="L149" s="8">
        <v>1543487</v>
      </c>
      <c r="M149" s="8" t="str">
        <f t="shared" si="24"/>
        <v>PEN</v>
      </c>
      <c r="N149" s="13"/>
      <c r="O149" s="13">
        <v>60</v>
      </c>
      <c r="P149" s="3">
        <f t="shared" si="20"/>
        <v>0</v>
      </c>
      <c r="Q149" s="3">
        <f t="shared" si="21"/>
        <v>60</v>
      </c>
      <c r="R149" s="3">
        <f t="shared" si="22"/>
        <v>5082.2799999999961</v>
      </c>
      <c r="S149" s="24"/>
      <c r="T149" s="24"/>
      <c r="U149" s="3"/>
      <c r="V149" s="3"/>
      <c r="W149" s="3"/>
      <c r="X149" s="3"/>
      <c r="Y149" s="3"/>
      <c r="Z149" s="3"/>
      <c r="AA149" s="3" t="str">
        <f>IF(Interbank_Soles[[#This Row],[fecha]]&gt;0,TEXT(Interbank_Soles[[#This Row],[fecha]],"mmmm"),0)</f>
        <v>Agosto</v>
      </c>
    </row>
    <row r="150" spans="1:27" ht="24" x14ac:dyDescent="0.3">
      <c r="A150" s="2">
        <f>IF(Interbank_Soles[[#This Row],[tipo_registro]]="R",COUNTIFS($C$4:$C149,"R")+1,"")</f>
        <v>125</v>
      </c>
      <c r="B150" s="19" t="str">
        <f t="shared" si="23"/>
        <v>B-Interbank</v>
      </c>
      <c r="C150" s="3" t="s">
        <v>1330</v>
      </c>
      <c r="D150" s="14">
        <v>45877</v>
      </c>
      <c r="E150" s="5" t="s">
        <v>1338</v>
      </c>
      <c r="F150" s="5" t="s">
        <v>1336</v>
      </c>
      <c r="G150" s="6" t="s">
        <v>364</v>
      </c>
      <c r="H150" s="6" t="s">
        <v>68</v>
      </c>
      <c r="I150" s="6" t="s">
        <v>4440</v>
      </c>
      <c r="J150" s="6">
        <v>16114</v>
      </c>
      <c r="K150" s="7" t="s">
        <v>5111</v>
      </c>
      <c r="L150" s="8">
        <v>551695</v>
      </c>
      <c r="M150" s="8" t="str">
        <f t="shared" si="24"/>
        <v>PEN</v>
      </c>
      <c r="N150" s="13"/>
      <c r="O150" s="13">
        <v>258.42</v>
      </c>
      <c r="P150" s="3">
        <f t="shared" si="20"/>
        <v>0</v>
      </c>
      <c r="Q150" s="3">
        <f t="shared" si="21"/>
        <v>258.42</v>
      </c>
      <c r="R150" s="3">
        <f t="shared" si="22"/>
        <v>4823.859999999996</v>
      </c>
      <c r="S150" s="24" t="s">
        <v>1334</v>
      </c>
      <c r="T150" s="24" t="s">
        <v>1334</v>
      </c>
      <c r="U150" s="3"/>
      <c r="V150" s="3"/>
      <c r="W150" s="3"/>
      <c r="X150" s="3"/>
      <c r="Y150" s="3"/>
      <c r="Z150" s="3"/>
      <c r="AA150" s="3" t="str">
        <f>IF(Interbank_Soles[[#This Row],[fecha]]&gt;0,TEXT(Interbank_Soles[[#This Row],[fecha]],"mmmm"),0)</f>
        <v>Agosto</v>
      </c>
    </row>
    <row r="151" spans="1:27" ht="24" x14ac:dyDescent="0.3">
      <c r="A151" s="2">
        <f>IF(Interbank_Soles[[#This Row],[tipo_registro]]="R",COUNTIFS($C$4:$C150,"R")+1,"")</f>
        <v>126</v>
      </c>
      <c r="B151" s="19" t="str">
        <f t="shared" si="23"/>
        <v>B-Interbank</v>
      </c>
      <c r="C151" s="3" t="s">
        <v>1330</v>
      </c>
      <c r="D151" s="14">
        <v>45877</v>
      </c>
      <c r="E151" s="5" t="s">
        <v>1338</v>
      </c>
      <c r="F151" s="5" t="s">
        <v>1336</v>
      </c>
      <c r="G151" s="6" t="s">
        <v>364</v>
      </c>
      <c r="H151" s="6" t="s">
        <v>68</v>
      </c>
      <c r="I151" s="6" t="s">
        <v>4440</v>
      </c>
      <c r="J151" s="6">
        <v>16136</v>
      </c>
      <c r="K151" s="7" t="s">
        <v>5111</v>
      </c>
      <c r="L151" s="8">
        <v>561680</v>
      </c>
      <c r="M151" s="8" t="str">
        <f t="shared" si="24"/>
        <v>PEN</v>
      </c>
      <c r="N151" s="13"/>
      <c r="O151" s="13">
        <v>253.7</v>
      </c>
      <c r="P151" s="3">
        <f t="shared" si="20"/>
        <v>0</v>
      </c>
      <c r="Q151" s="3">
        <f t="shared" si="21"/>
        <v>253.7</v>
      </c>
      <c r="R151" s="3">
        <f t="shared" si="22"/>
        <v>4570.1599999999962</v>
      </c>
      <c r="S151" s="24" t="s">
        <v>1334</v>
      </c>
      <c r="T151" s="24" t="s">
        <v>1334</v>
      </c>
      <c r="U151" s="3"/>
      <c r="V151" s="3"/>
      <c r="W151" s="3"/>
      <c r="X151" s="3"/>
      <c r="Y151" s="3"/>
      <c r="Z151" s="3"/>
      <c r="AA151" s="3" t="str">
        <f>IF(Interbank_Soles[[#This Row],[fecha]]&gt;0,TEXT(Interbank_Soles[[#This Row],[fecha]],"mmmm"),0)</f>
        <v>Agosto</v>
      </c>
    </row>
    <row r="152" spans="1:27" ht="24" x14ac:dyDescent="0.3">
      <c r="A152" s="2">
        <f>IF(Interbank_Soles[[#This Row],[tipo_registro]]="R",COUNTIFS($C$4:$C151,"R")+1,"")</f>
        <v>127</v>
      </c>
      <c r="B152" s="19" t="str">
        <f t="shared" si="23"/>
        <v>B-Interbank</v>
      </c>
      <c r="C152" s="3" t="s">
        <v>1330</v>
      </c>
      <c r="D152" s="14">
        <v>45877</v>
      </c>
      <c r="E152" s="5" t="s">
        <v>1338</v>
      </c>
      <c r="F152" s="5" t="s">
        <v>1336</v>
      </c>
      <c r="G152" s="6" t="s">
        <v>364</v>
      </c>
      <c r="H152" s="6" t="s">
        <v>68</v>
      </c>
      <c r="I152" s="6" t="s">
        <v>4440</v>
      </c>
      <c r="J152" s="6">
        <v>16163</v>
      </c>
      <c r="K152" s="7" t="s">
        <v>5111</v>
      </c>
      <c r="L152" s="8">
        <v>559474</v>
      </c>
      <c r="M152" s="8" t="str">
        <f t="shared" si="24"/>
        <v>PEN</v>
      </c>
      <c r="N152" s="13"/>
      <c r="O152" s="13">
        <v>105.02</v>
      </c>
      <c r="P152" s="3">
        <f t="shared" si="20"/>
        <v>0</v>
      </c>
      <c r="Q152" s="3">
        <f t="shared" si="21"/>
        <v>105.02</v>
      </c>
      <c r="R152" s="3">
        <f t="shared" si="22"/>
        <v>4465.1399999999958</v>
      </c>
      <c r="S152" s="24" t="s">
        <v>1334</v>
      </c>
      <c r="T152" s="24" t="s">
        <v>1334</v>
      </c>
      <c r="U152" s="3"/>
      <c r="V152" s="3"/>
      <c r="W152" s="3"/>
      <c r="X152" s="3"/>
      <c r="Y152" s="3"/>
      <c r="Z152" s="3"/>
      <c r="AA152" s="3" t="str">
        <f>IF(Interbank_Soles[[#This Row],[fecha]]&gt;0,TEXT(Interbank_Soles[[#This Row],[fecha]],"mmmm"),0)</f>
        <v>Agosto</v>
      </c>
    </row>
    <row r="153" spans="1:27" x14ac:dyDescent="0.3">
      <c r="A153" s="2">
        <f>IF(Interbank_Soles[[#This Row],[tipo_registro]]="R",COUNTIFS($C$4:$C152,"R")+1,"")</f>
        <v>128</v>
      </c>
      <c r="B153" s="19" t="str">
        <f t="shared" si="23"/>
        <v>B-Interbank</v>
      </c>
      <c r="C153" s="3" t="s">
        <v>1330</v>
      </c>
      <c r="D153" s="14">
        <v>45880</v>
      </c>
      <c r="E153" s="5" t="s">
        <v>1338</v>
      </c>
      <c r="F153" s="5" t="s">
        <v>1336</v>
      </c>
      <c r="G153" s="6" t="s">
        <v>1108</v>
      </c>
      <c r="H153" s="6" t="s">
        <v>68</v>
      </c>
      <c r="I153" s="6" t="s">
        <v>1376</v>
      </c>
      <c r="J153" s="6">
        <v>72</v>
      </c>
      <c r="K153" s="7" t="s">
        <v>5171</v>
      </c>
      <c r="L153" s="8">
        <v>2177556</v>
      </c>
      <c r="M153" s="8" t="str">
        <f t="shared" si="24"/>
        <v>PEN</v>
      </c>
      <c r="N153" s="13"/>
      <c r="O153" s="13">
        <v>60</v>
      </c>
      <c r="P153" s="3">
        <f t="shared" si="20"/>
        <v>0</v>
      </c>
      <c r="Q153" s="3">
        <f t="shared" si="21"/>
        <v>60</v>
      </c>
      <c r="R153" s="3">
        <f t="shared" si="22"/>
        <v>4405.1399999999958</v>
      </c>
      <c r="S153" s="24" t="s">
        <v>1334</v>
      </c>
      <c r="T153" s="24" t="s">
        <v>1334</v>
      </c>
      <c r="U153" s="3"/>
      <c r="V153" s="3"/>
      <c r="W153" s="3"/>
      <c r="X153" s="3"/>
      <c r="Y153" s="3"/>
      <c r="Z153" s="3"/>
      <c r="AA153" s="3" t="str">
        <f>IF(Interbank_Soles[[#This Row],[fecha]]&gt;0,TEXT(Interbank_Soles[[#This Row],[fecha]],"mmmm"),0)</f>
        <v>Agosto</v>
      </c>
    </row>
    <row r="154" spans="1:27" ht="24" x14ac:dyDescent="0.3">
      <c r="A154" s="2">
        <f>IF(Interbank_Soles[[#This Row],[tipo_registro]]="R",COUNTIFS($C$4:$C153,"R")+1,"")</f>
        <v>129</v>
      </c>
      <c r="B154" s="19" t="str">
        <f t="shared" si="23"/>
        <v>B-Interbank</v>
      </c>
      <c r="C154" s="3" t="s">
        <v>1330</v>
      </c>
      <c r="D154" s="14">
        <v>45888</v>
      </c>
      <c r="E154" s="5" t="s">
        <v>1338</v>
      </c>
      <c r="F154" s="5" t="s">
        <v>1336</v>
      </c>
      <c r="G154" s="6" t="s">
        <v>364</v>
      </c>
      <c r="H154" s="6"/>
      <c r="I154" s="6"/>
      <c r="J154" s="6"/>
      <c r="K154" s="7" t="s">
        <v>5111</v>
      </c>
      <c r="L154" s="8">
        <v>256897</v>
      </c>
      <c r="M154" s="8" t="str">
        <f t="shared" si="24"/>
        <v>PEN</v>
      </c>
      <c r="N154" s="13"/>
      <c r="O154" s="13">
        <v>1808.94</v>
      </c>
      <c r="P154" s="3">
        <f t="shared" si="20"/>
        <v>0</v>
      </c>
      <c r="Q154" s="3">
        <f t="shared" si="21"/>
        <v>1808.94</v>
      </c>
      <c r="R154" s="3">
        <f t="shared" si="22"/>
        <v>2596.1999999999957</v>
      </c>
      <c r="S154" s="24" t="s">
        <v>1334</v>
      </c>
      <c r="T154" s="24" t="s">
        <v>1334</v>
      </c>
      <c r="U154" s="3"/>
      <c r="V154" s="3"/>
      <c r="W154" s="3"/>
      <c r="X154" s="3"/>
      <c r="Y154" s="3"/>
      <c r="Z154" s="3"/>
      <c r="AA154" s="3" t="str">
        <f>IF(Interbank_Soles[[#This Row],[fecha]]&gt;0,TEXT(Interbank_Soles[[#This Row],[fecha]],"mmmm"),0)</f>
        <v>Agosto</v>
      </c>
    </row>
    <row r="155" spans="1:27" ht="24" x14ac:dyDescent="0.3">
      <c r="A155" s="2" t="str">
        <f>IF(Interbank_Soles[[#This Row],[tipo_registro]]="R",COUNTIFS($C$4:$C154,"R")+1,"")</f>
        <v/>
      </c>
      <c r="B155" s="19" t="str">
        <f t="shared" si="23"/>
        <v>B-Interbank</v>
      </c>
      <c r="C155" s="3" t="s">
        <v>1352</v>
      </c>
      <c r="D155" s="14">
        <v>45888</v>
      </c>
      <c r="E155" s="5"/>
      <c r="F155" s="5"/>
      <c r="G155" s="6" t="s">
        <v>364</v>
      </c>
      <c r="H155" s="6" t="s">
        <v>68</v>
      </c>
      <c r="I155" s="6" t="s">
        <v>4440</v>
      </c>
      <c r="J155" s="6">
        <v>16179</v>
      </c>
      <c r="K155" s="7" t="s">
        <v>5111</v>
      </c>
      <c r="L155" s="8">
        <v>256897</v>
      </c>
      <c r="M155" s="8" t="str">
        <f t="shared" si="24"/>
        <v>PEN</v>
      </c>
      <c r="N155" s="13">
        <v>258.42</v>
      </c>
      <c r="O155" s="13"/>
      <c r="P155" s="3">
        <f t="shared" si="20"/>
        <v>0</v>
      </c>
      <c r="Q155" s="3">
        <f t="shared" si="21"/>
        <v>0</v>
      </c>
      <c r="R155" s="3">
        <f t="shared" si="22"/>
        <v>2596.1999999999957</v>
      </c>
      <c r="S155" s="24" t="s">
        <v>1334</v>
      </c>
      <c r="T155" s="24" t="s">
        <v>1334</v>
      </c>
      <c r="U155" s="3"/>
      <c r="V155" s="3"/>
      <c r="W155" s="3"/>
      <c r="X155" s="3"/>
      <c r="Y155" s="3"/>
      <c r="Z155" s="3"/>
      <c r="AA155" s="3" t="str">
        <f>IF(Interbank_Soles[[#This Row],[fecha]]&gt;0,TEXT(Interbank_Soles[[#This Row],[fecha]],"mmmm"),0)</f>
        <v>Agosto</v>
      </c>
    </row>
    <row r="156" spans="1:27" ht="24" x14ac:dyDescent="0.3">
      <c r="A156" s="2" t="str">
        <f>IF(Interbank_Soles[[#This Row],[tipo_registro]]="R",COUNTIFS($C$4:$C155,"R")+1,"")</f>
        <v/>
      </c>
      <c r="B156" s="19" t="str">
        <f t="shared" si="23"/>
        <v>B-Interbank</v>
      </c>
      <c r="C156" s="3" t="s">
        <v>1352</v>
      </c>
      <c r="D156" s="14">
        <v>45888</v>
      </c>
      <c r="E156" s="5"/>
      <c r="F156" s="5"/>
      <c r="G156" s="6" t="s">
        <v>364</v>
      </c>
      <c r="H156" s="6" t="s">
        <v>68</v>
      </c>
      <c r="I156" s="6" t="s">
        <v>4440</v>
      </c>
      <c r="J156" s="6">
        <v>16194</v>
      </c>
      <c r="K156" s="7" t="s">
        <v>5111</v>
      </c>
      <c r="L156" s="8">
        <v>256897</v>
      </c>
      <c r="M156" s="8" t="str">
        <f t="shared" si="24"/>
        <v>PEN</v>
      </c>
      <c r="N156" s="13">
        <v>516.84</v>
      </c>
      <c r="O156" s="13"/>
      <c r="P156" s="3">
        <f t="shared" si="20"/>
        <v>0</v>
      </c>
      <c r="Q156" s="3">
        <f t="shared" si="21"/>
        <v>0</v>
      </c>
      <c r="R156" s="3">
        <f t="shared" si="22"/>
        <v>2596.1999999999957</v>
      </c>
      <c r="S156" s="24" t="s">
        <v>1334</v>
      </c>
      <c r="T156" s="24" t="s">
        <v>1334</v>
      </c>
      <c r="U156" s="3"/>
      <c r="V156" s="3"/>
      <c r="W156" s="3"/>
      <c r="X156" s="3"/>
      <c r="Y156" s="3"/>
      <c r="Z156" s="3"/>
      <c r="AA156" s="3" t="str">
        <f>IF(Interbank_Soles[[#This Row],[fecha]]&gt;0,TEXT(Interbank_Soles[[#This Row],[fecha]],"mmmm"),0)</f>
        <v>Agosto</v>
      </c>
    </row>
    <row r="157" spans="1:27" ht="24" x14ac:dyDescent="0.3">
      <c r="A157" s="2" t="str">
        <f>IF(Interbank_Soles[[#This Row],[tipo_registro]]="R",COUNTIFS($C$4:$C156,"R")+1,"")</f>
        <v/>
      </c>
      <c r="B157" s="19" t="str">
        <f t="shared" si="23"/>
        <v>B-Interbank</v>
      </c>
      <c r="C157" s="3" t="s">
        <v>1352</v>
      </c>
      <c r="D157" s="14">
        <v>45888</v>
      </c>
      <c r="E157" s="5"/>
      <c r="F157" s="5"/>
      <c r="G157" s="6" t="s">
        <v>364</v>
      </c>
      <c r="H157" s="6" t="s">
        <v>68</v>
      </c>
      <c r="I157" s="6" t="s">
        <v>4440</v>
      </c>
      <c r="J157" s="6">
        <v>16201</v>
      </c>
      <c r="K157" s="7" t="s">
        <v>5111</v>
      </c>
      <c r="L157" s="8">
        <v>256897</v>
      </c>
      <c r="M157" s="8" t="str">
        <f t="shared" si="24"/>
        <v>PEN</v>
      </c>
      <c r="N157" s="13">
        <v>258.42</v>
      </c>
      <c r="O157" s="13"/>
      <c r="P157" s="3">
        <f t="shared" si="20"/>
        <v>0</v>
      </c>
      <c r="Q157" s="3">
        <f t="shared" si="21"/>
        <v>0</v>
      </c>
      <c r="R157" s="3">
        <f t="shared" si="22"/>
        <v>2596.1999999999957</v>
      </c>
      <c r="S157" s="24" t="s">
        <v>1334</v>
      </c>
      <c r="T157" s="24" t="s">
        <v>1334</v>
      </c>
      <c r="U157" s="3"/>
      <c r="V157" s="3"/>
      <c r="W157" s="3"/>
      <c r="X157" s="3"/>
      <c r="Y157" s="3"/>
      <c r="Z157" s="3"/>
      <c r="AA157" s="3" t="str">
        <f>IF(Interbank_Soles[[#This Row],[fecha]]&gt;0,TEXT(Interbank_Soles[[#This Row],[fecha]],"mmmm"),0)</f>
        <v>Agosto</v>
      </c>
    </row>
    <row r="158" spans="1:27" ht="24" x14ac:dyDescent="0.3">
      <c r="A158" s="2" t="str">
        <f>IF(Interbank_Soles[[#This Row],[tipo_registro]]="R",COUNTIFS($C$4:$C157,"R")+1,"")</f>
        <v/>
      </c>
      <c r="B158" s="19" t="str">
        <f t="shared" si="23"/>
        <v>B-Interbank</v>
      </c>
      <c r="C158" s="3" t="s">
        <v>1352</v>
      </c>
      <c r="D158" s="14">
        <v>45888</v>
      </c>
      <c r="E158" s="5"/>
      <c r="F158" s="5"/>
      <c r="G158" s="6" t="s">
        <v>364</v>
      </c>
      <c r="H158" s="6" t="s">
        <v>68</v>
      </c>
      <c r="I158" s="6" t="s">
        <v>4440</v>
      </c>
      <c r="J158" s="6">
        <v>16209</v>
      </c>
      <c r="K158" s="7" t="s">
        <v>5111</v>
      </c>
      <c r="L158" s="8">
        <v>256897</v>
      </c>
      <c r="M158" s="8" t="str">
        <f t="shared" si="24"/>
        <v>PEN</v>
      </c>
      <c r="N158" s="13">
        <v>516.84</v>
      </c>
      <c r="O158" s="13"/>
      <c r="P158" s="3">
        <f t="shared" si="20"/>
        <v>0</v>
      </c>
      <c r="Q158" s="3">
        <f t="shared" si="21"/>
        <v>0</v>
      </c>
      <c r="R158" s="3">
        <f t="shared" si="22"/>
        <v>2596.1999999999957</v>
      </c>
      <c r="S158" s="24" t="s">
        <v>1334</v>
      </c>
      <c r="T158" s="24" t="s">
        <v>1334</v>
      </c>
      <c r="U158" s="3"/>
      <c r="V158" s="3"/>
      <c r="W158" s="3"/>
      <c r="X158" s="3"/>
      <c r="Y158" s="3"/>
      <c r="Z158" s="3"/>
      <c r="AA158" s="3" t="str">
        <f>IF(Interbank_Soles[[#This Row],[fecha]]&gt;0,TEXT(Interbank_Soles[[#This Row],[fecha]],"mmmm"),0)</f>
        <v>Agosto</v>
      </c>
    </row>
    <row r="159" spans="1:27" ht="24" x14ac:dyDescent="0.3">
      <c r="A159" s="2" t="str">
        <f>IF(Interbank_Soles[[#This Row],[tipo_registro]]="R",COUNTIFS($C$4:$C158,"R")+1,"")</f>
        <v/>
      </c>
      <c r="B159" s="19" t="str">
        <f t="shared" si="23"/>
        <v>B-Interbank</v>
      </c>
      <c r="C159" s="3" t="s">
        <v>1352</v>
      </c>
      <c r="D159" s="14">
        <v>45888</v>
      </c>
      <c r="E159" s="5"/>
      <c r="F159" s="5"/>
      <c r="G159" s="6" t="s">
        <v>364</v>
      </c>
      <c r="H159" s="6" t="s">
        <v>68</v>
      </c>
      <c r="I159" s="6" t="s">
        <v>1508</v>
      </c>
      <c r="J159" s="6">
        <v>11434</v>
      </c>
      <c r="K159" s="7" t="s">
        <v>5111</v>
      </c>
      <c r="L159" s="8">
        <v>256897</v>
      </c>
      <c r="M159" s="8" t="str">
        <f t="shared" si="24"/>
        <v>PEN</v>
      </c>
      <c r="N159" s="13">
        <v>258.42</v>
      </c>
      <c r="O159" s="13"/>
      <c r="P159" s="3">
        <f t="shared" si="20"/>
        <v>0</v>
      </c>
      <c r="Q159" s="3">
        <f t="shared" si="21"/>
        <v>0</v>
      </c>
      <c r="R159" s="3">
        <f t="shared" si="22"/>
        <v>2596.1999999999957</v>
      </c>
      <c r="S159" s="24" t="s">
        <v>1334</v>
      </c>
      <c r="T159" s="24" t="s">
        <v>1334</v>
      </c>
      <c r="U159" s="3"/>
      <c r="V159" s="3"/>
      <c r="W159" s="3"/>
      <c r="X159" s="3"/>
      <c r="Y159" s="3"/>
      <c r="Z159" s="3"/>
      <c r="AA159" s="3" t="str">
        <f>IF(Interbank_Soles[[#This Row],[fecha]]&gt;0,TEXT(Interbank_Soles[[#This Row],[fecha]],"mmmm"),0)</f>
        <v>Agosto</v>
      </c>
    </row>
    <row r="160" spans="1:27" x14ac:dyDescent="0.3">
      <c r="A160" s="2">
        <f>IF(Interbank_Soles[[#This Row],[tipo_registro]]="R",COUNTIFS($C$4:$C159,"R")+1,"")</f>
        <v>130</v>
      </c>
      <c r="B160" s="19" t="str">
        <f t="shared" si="23"/>
        <v>B-Interbank</v>
      </c>
      <c r="C160" s="3" t="s">
        <v>1330</v>
      </c>
      <c r="D160" s="14">
        <v>45888</v>
      </c>
      <c r="E160" s="5" t="s">
        <v>5060</v>
      </c>
      <c r="F160" s="5" t="s">
        <v>1336</v>
      </c>
      <c r="G160" s="6"/>
      <c r="H160" s="6"/>
      <c r="I160" s="6"/>
      <c r="J160" s="6"/>
      <c r="K160" s="7" t="s">
        <v>5061</v>
      </c>
      <c r="L160" s="8"/>
      <c r="M160" s="8" t="str">
        <f t="shared" si="24"/>
        <v>PEN</v>
      </c>
      <c r="N160" s="13"/>
      <c r="O160" s="13">
        <v>0.05</v>
      </c>
      <c r="P160" s="3">
        <f t="shared" si="20"/>
        <v>0</v>
      </c>
      <c r="Q160" s="3">
        <f t="shared" si="21"/>
        <v>0.05</v>
      </c>
      <c r="R160" s="3">
        <f t="shared" si="22"/>
        <v>2596.1499999999955</v>
      </c>
      <c r="S160" s="24" t="s">
        <v>1334</v>
      </c>
      <c r="T160" s="24" t="s">
        <v>1334</v>
      </c>
      <c r="U160" s="3"/>
      <c r="V160" s="3"/>
      <c r="W160" s="3"/>
      <c r="X160" s="3"/>
      <c r="Y160" s="3"/>
      <c r="Z160" s="3"/>
      <c r="AA160" s="3" t="str">
        <f>IF(Interbank_Soles[[#This Row],[fecha]]&gt;0,TEXT(Interbank_Soles[[#This Row],[fecha]],"mmmm"),0)</f>
        <v>Agosto</v>
      </c>
    </row>
    <row r="161" spans="1:27" x14ac:dyDescent="0.3">
      <c r="A161" s="2">
        <f>IF(Interbank_Soles[[#This Row],[tipo_registro]]="R",COUNTIFS($C$4:$C160,"R")+1,"")</f>
        <v>131</v>
      </c>
      <c r="B161" s="19" t="str">
        <f t="shared" si="23"/>
        <v>B-Interbank</v>
      </c>
      <c r="C161" s="3" t="s">
        <v>1330</v>
      </c>
      <c r="D161" s="14">
        <v>45890</v>
      </c>
      <c r="E161" s="5" t="s">
        <v>1338</v>
      </c>
      <c r="F161" s="5" t="s">
        <v>1336</v>
      </c>
      <c r="G161" s="6" t="s">
        <v>1108</v>
      </c>
      <c r="H161" s="6" t="s">
        <v>68</v>
      </c>
      <c r="I161" s="6" t="s">
        <v>1376</v>
      </c>
      <c r="J161" s="6">
        <v>53</v>
      </c>
      <c r="K161" s="7" t="s">
        <v>5172</v>
      </c>
      <c r="L161" s="8">
        <v>310739</v>
      </c>
      <c r="M161" s="8" t="str">
        <f t="shared" si="24"/>
        <v>PEN</v>
      </c>
      <c r="N161" s="13"/>
      <c r="O161" s="13">
        <v>180</v>
      </c>
      <c r="P161" s="3">
        <f t="shared" si="20"/>
        <v>0</v>
      </c>
      <c r="Q161" s="3">
        <f t="shared" si="21"/>
        <v>180</v>
      </c>
      <c r="R161" s="3">
        <f t="shared" si="22"/>
        <v>2416.1499999999955</v>
      </c>
      <c r="S161" s="24" t="s">
        <v>1334</v>
      </c>
      <c r="T161" s="24" t="s">
        <v>1334</v>
      </c>
      <c r="U161" s="3"/>
      <c r="V161" s="3"/>
      <c r="W161" s="3"/>
      <c r="X161" s="3"/>
      <c r="Y161" s="3"/>
      <c r="Z161" s="3"/>
      <c r="AA161" s="3" t="str">
        <f>IF(Interbank_Soles[[#This Row],[fecha]]&gt;0,TEXT(Interbank_Soles[[#This Row],[fecha]],"mmmm"),0)</f>
        <v>Agosto</v>
      </c>
    </row>
    <row r="162" spans="1:27" ht="24" x14ac:dyDescent="0.3">
      <c r="A162" s="2">
        <f>IF(Interbank_Soles[[#This Row],[tipo_registro]]="R",COUNTIFS($C$4:$C161,"R")+1,"")</f>
        <v>132</v>
      </c>
      <c r="B162" s="19" t="str">
        <f t="shared" si="23"/>
        <v>B-Interbank</v>
      </c>
      <c r="C162" s="3" t="s">
        <v>1330</v>
      </c>
      <c r="D162" s="14">
        <v>45891</v>
      </c>
      <c r="E162" s="5" t="s">
        <v>5173</v>
      </c>
      <c r="F162" s="5" t="s">
        <v>1336</v>
      </c>
      <c r="G162" s="6" t="s">
        <v>425</v>
      </c>
      <c r="H162" s="6"/>
      <c r="I162" s="6"/>
      <c r="J162" s="6"/>
      <c r="K162" s="7" t="s">
        <v>5174</v>
      </c>
      <c r="L162" s="8" t="s">
        <v>1333</v>
      </c>
      <c r="M162" s="8" t="str">
        <f t="shared" si="24"/>
        <v>PEN</v>
      </c>
      <c r="N162" s="13"/>
      <c r="O162" s="13">
        <v>2305.3000000000002</v>
      </c>
      <c r="P162" s="3">
        <f t="shared" si="20"/>
        <v>0</v>
      </c>
      <c r="Q162" s="3">
        <f t="shared" si="21"/>
        <v>2305.3000000000002</v>
      </c>
      <c r="R162" s="3">
        <f t="shared" si="22"/>
        <v>110.84999999999536</v>
      </c>
      <c r="S162" s="24"/>
      <c r="T162" s="24"/>
      <c r="U162" s="3"/>
      <c r="V162" s="3"/>
      <c r="W162" s="3"/>
      <c r="X162" s="3"/>
      <c r="Y162" s="3"/>
      <c r="Z162" s="3"/>
      <c r="AA162" s="3" t="str">
        <f>IF(Interbank_Soles[[#This Row],[fecha]]&gt;0,TEXT(Interbank_Soles[[#This Row],[fecha]],"mmmm"),0)</f>
        <v>Agosto</v>
      </c>
    </row>
    <row r="163" spans="1:27" ht="24" x14ac:dyDescent="0.3">
      <c r="A163" s="2" t="str">
        <f>IF(Interbank_Soles[[#This Row],[tipo_registro]]="R",COUNTIFS($C$4:$C162,"R")+1,"")</f>
        <v/>
      </c>
      <c r="B163" s="19" t="str">
        <f>"B-Interbank"</f>
        <v>B-Interbank</v>
      </c>
      <c r="C163" s="3" t="s">
        <v>1352</v>
      </c>
      <c r="D163" s="14">
        <v>45891</v>
      </c>
      <c r="E163" s="5" t="s">
        <v>5173</v>
      </c>
      <c r="F163" s="5" t="s">
        <v>1336</v>
      </c>
      <c r="G163" s="6" t="s">
        <v>425</v>
      </c>
      <c r="H163" s="6"/>
      <c r="I163" s="6"/>
      <c r="J163" s="6"/>
      <c r="K163" s="7" t="s">
        <v>5174</v>
      </c>
      <c r="L163" s="8" t="s">
        <v>1333</v>
      </c>
      <c r="M163" s="8" t="str">
        <f>"PEN"</f>
        <v>PEN</v>
      </c>
      <c r="N163" s="13">
        <v>2300</v>
      </c>
      <c r="O163" s="13"/>
      <c r="P163" s="3">
        <f t="shared" si="20"/>
        <v>0</v>
      </c>
      <c r="Q163" s="3">
        <f t="shared" si="21"/>
        <v>0</v>
      </c>
      <c r="R163" s="3">
        <f t="shared" si="22"/>
        <v>110.84999999999536</v>
      </c>
      <c r="S163" s="24"/>
      <c r="T163" s="24"/>
      <c r="U163" s="3"/>
      <c r="V163" s="3"/>
      <c r="W163" s="3"/>
      <c r="X163" s="3"/>
      <c r="Y163" s="3"/>
      <c r="Z163" s="3"/>
      <c r="AA163" s="3" t="str">
        <f>IF(Interbank_Soles[[#This Row],[fecha]]&gt;0,TEXT(Interbank_Soles[[#This Row],[fecha]],"mmmm"),0)</f>
        <v>Agosto</v>
      </c>
    </row>
    <row r="164" spans="1:27" ht="36" x14ac:dyDescent="0.3">
      <c r="A164" s="2" t="str">
        <f>IF(Interbank_Soles[[#This Row],[tipo_registro]]="R",COUNTIFS($C$4:$C163,"R")+1,"")</f>
        <v/>
      </c>
      <c r="B164" s="19" t="str">
        <f>"B-Interbank"</f>
        <v>B-Interbank</v>
      </c>
      <c r="C164" s="3" t="s">
        <v>1352</v>
      </c>
      <c r="D164" s="14">
        <v>45891</v>
      </c>
      <c r="E164" s="5" t="s">
        <v>5173</v>
      </c>
      <c r="F164" s="5" t="s">
        <v>1336</v>
      </c>
      <c r="G164" s="6" t="s">
        <v>1207</v>
      </c>
      <c r="H164" s="6" t="s">
        <v>68</v>
      </c>
      <c r="I164" s="6" t="s">
        <v>5142</v>
      </c>
      <c r="J164" s="6">
        <v>3769189</v>
      </c>
      <c r="K164" s="7" t="s">
        <v>5174</v>
      </c>
      <c r="L164" s="8" t="s">
        <v>1333</v>
      </c>
      <c r="M164" s="8" t="str">
        <f>"PEN"</f>
        <v>PEN</v>
      </c>
      <c r="N164" s="13">
        <v>5.3</v>
      </c>
      <c r="O164" s="13"/>
      <c r="P164" s="3">
        <f t="shared" si="20"/>
        <v>0</v>
      </c>
      <c r="Q164" s="3">
        <f t="shared" si="21"/>
        <v>0</v>
      </c>
      <c r="R164" s="3">
        <f t="shared" si="22"/>
        <v>110.84999999999536</v>
      </c>
      <c r="S164" s="24" t="s">
        <v>1334</v>
      </c>
      <c r="T164" s="24"/>
      <c r="U164" s="3"/>
      <c r="V164" s="3"/>
      <c r="W164" s="3"/>
      <c r="X164" s="3"/>
      <c r="Y164" s="3"/>
      <c r="Z164" s="3"/>
      <c r="AA164" s="3" t="str">
        <f>IF(Interbank_Soles[[#This Row],[fecha]]&gt;0,TEXT(Interbank_Soles[[#This Row],[fecha]],"mmmm"),0)</f>
        <v>Agosto</v>
      </c>
    </row>
    <row r="165" spans="1:27" ht="36" x14ac:dyDescent="0.3">
      <c r="A165" s="2">
        <f>IF(Interbank_Soles[[#This Row],[tipo_registro]]="R",COUNTIFS($C$4:$C164,"R")+1,"")</f>
        <v>133</v>
      </c>
      <c r="B165" s="19" t="str">
        <f t="shared" ref="B165:B170" si="25">"B-Interbank"</f>
        <v>B-Interbank</v>
      </c>
      <c r="C165" s="3" t="s">
        <v>1330</v>
      </c>
      <c r="D165" s="14">
        <v>45904</v>
      </c>
      <c r="E165" s="5" t="s">
        <v>208</v>
      </c>
      <c r="F165" s="5" t="s">
        <v>1303</v>
      </c>
      <c r="G165" s="6" t="s">
        <v>425</v>
      </c>
      <c r="H165" s="6"/>
      <c r="I165" s="6"/>
      <c r="J165" s="6"/>
      <c r="K165" s="7" t="s">
        <v>5123</v>
      </c>
      <c r="L165" s="8">
        <v>8052693</v>
      </c>
      <c r="M165" s="8" t="str">
        <f t="shared" ref="M165:M170" si="26">"PEN"</f>
        <v>PEN</v>
      </c>
      <c r="N165" s="13"/>
      <c r="O165" s="13">
        <v>6492.45</v>
      </c>
      <c r="P165" s="3">
        <f t="shared" si="20"/>
        <v>6492.45</v>
      </c>
      <c r="Q165" s="3">
        <f t="shared" si="21"/>
        <v>0</v>
      </c>
      <c r="R165" s="3">
        <f t="shared" si="22"/>
        <v>6603.2999999999956</v>
      </c>
      <c r="S165" s="24" t="s">
        <v>1334</v>
      </c>
      <c r="T165" s="24" t="s">
        <v>1334</v>
      </c>
      <c r="U165" s="3"/>
      <c r="V165" s="3"/>
      <c r="W165" s="3"/>
      <c r="X165" s="3"/>
      <c r="Y165" s="3"/>
      <c r="Z165" s="3"/>
      <c r="AA165" s="3" t="str">
        <f>IF(Interbank_Soles[[#This Row],[fecha]]&gt;0,TEXT(Interbank_Soles[[#This Row],[fecha]],"mmmm"),0)</f>
        <v>Setiembre</v>
      </c>
    </row>
    <row r="166" spans="1:27" ht="36" x14ac:dyDescent="0.3">
      <c r="A166" s="2" t="str">
        <f>IF(Interbank_Soles[[#This Row],[tipo_registro]]="R",COUNTIFS($C$4:$C165,"R")+1,"")</f>
        <v/>
      </c>
      <c r="B166" s="19" t="str">
        <f t="shared" si="25"/>
        <v>B-Interbank</v>
      </c>
      <c r="C166" s="3" t="s">
        <v>1352</v>
      </c>
      <c r="D166" s="14">
        <v>45904</v>
      </c>
      <c r="E166" s="5" t="s">
        <v>208</v>
      </c>
      <c r="F166" s="5"/>
      <c r="G166" s="5"/>
      <c r="H166" s="6" t="s">
        <v>68</v>
      </c>
      <c r="I166" s="6" t="s">
        <v>1784</v>
      </c>
      <c r="J166" s="6">
        <v>191</v>
      </c>
      <c r="K166" s="7" t="s">
        <v>5123</v>
      </c>
      <c r="L166" s="8">
        <v>8052693</v>
      </c>
      <c r="M166" s="8" t="str">
        <f t="shared" si="26"/>
        <v>PEN</v>
      </c>
      <c r="N166" s="13">
        <v>4676.25</v>
      </c>
      <c r="O166" s="13"/>
      <c r="P166" s="3">
        <f t="shared" si="20"/>
        <v>0</v>
      </c>
      <c r="Q166" s="3">
        <f t="shared" si="21"/>
        <v>0</v>
      </c>
      <c r="R166" s="3">
        <f t="shared" si="22"/>
        <v>6603.2999999999956</v>
      </c>
      <c r="S166" s="28" t="s">
        <v>1334</v>
      </c>
      <c r="T166" s="24" t="s">
        <v>1334</v>
      </c>
      <c r="U166" s="3"/>
      <c r="V166" s="3"/>
      <c r="W166" s="3"/>
      <c r="X166" s="3"/>
      <c r="Y166" s="3"/>
      <c r="Z166" s="3"/>
      <c r="AA166" s="3" t="str">
        <f>IF(Interbank_Soles[[#This Row],[fecha]]&gt;0,TEXT(Interbank_Soles[[#This Row],[fecha]],"mmmm"),0)</f>
        <v>Setiembre</v>
      </c>
    </row>
    <row r="167" spans="1:27" ht="36" x14ac:dyDescent="0.3">
      <c r="A167" s="2" t="str">
        <f>IF(Interbank_Soles[[#This Row],[tipo_registro]]="R",COUNTIFS($C$4:$C166,"R")+1,"")</f>
        <v/>
      </c>
      <c r="B167" s="19" t="str">
        <f t="shared" si="25"/>
        <v>B-Interbank</v>
      </c>
      <c r="C167" s="3" t="s">
        <v>1352</v>
      </c>
      <c r="D167" s="14">
        <v>45904</v>
      </c>
      <c r="E167" s="5" t="s">
        <v>208</v>
      </c>
      <c r="F167" s="5"/>
      <c r="G167" s="5"/>
      <c r="H167" s="6" t="s">
        <v>68</v>
      </c>
      <c r="I167" s="6" t="s">
        <v>1784</v>
      </c>
      <c r="J167" s="6">
        <v>192</v>
      </c>
      <c r="K167" s="7" t="s">
        <v>5123</v>
      </c>
      <c r="L167" s="8">
        <v>8052693</v>
      </c>
      <c r="M167" s="8" t="str">
        <f t="shared" si="26"/>
        <v>PEN</v>
      </c>
      <c r="N167" s="13">
        <v>1384.46</v>
      </c>
      <c r="O167" s="13"/>
      <c r="P167" s="3">
        <f t="shared" si="20"/>
        <v>0</v>
      </c>
      <c r="Q167" s="3">
        <f t="shared" si="21"/>
        <v>0</v>
      </c>
      <c r="R167" s="3">
        <f t="shared" si="22"/>
        <v>6603.2999999999956</v>
      </c>
      <c r="S167" s="28" t="s">
        <v>1334</v>
      </c>
      <c r="T167" s="24" t="s">
        <v>1334</v>
      </c>
      <c r="U167" s="3"/>
      <c r="V167" s="3"/>
      <c r="W167" s="3"/>
      <c r="X167" s="3"/>
      <c r="Y167" s="3"/>
      <c r="Z167" s="3"/>
      <c r="AA167" s="3" t="str">
        <f>IF(Interbank_Soles[[#This Row],[fecha]]&gt;0,TEXT(Interbank_Soles[[#This Row],[fecha]],"mmmm"),0)</f>
        <v>Setiembre</v>
      </c>
    </row>
    <row r="168" spans="1:27" ht="36" x14ac:dyDescent="0.3">
      <c r="A168" s="2" t="str">
        <f>IF(Interbank_Soles[[#This Row],[tipo_registro]]="R",COUNTIFS($C$4:$C167,"R")+1,"")</f>
        <v/>
      </c>
      <c r="B168" s="19" t="str">
        <f t="shared" si="25"/>
        <v>B-Interbank</v>
      </c>
      <c r="C168" s="3" t="s">
        <v>1352</v>
      </c>
      <c r="D168" s="14">
        <v>45904</v>
      </c>
      <c r="E168" s="5" t="s">
        <v>208</v>
      </c>
      <c r="F168" s="5"/>
      <c r="G168" s="5"/>
      <c r="H168" s="6" t="s">
        <v>68</v>
      </c>
      <c r="I168" s="6" t="s">
        <v>1784</v>
      </c>
      <c r="J168" s="6">
        <v>194</v>
      </c>
      <c r="K168" s="7" t="s">
        <v>5123</v>
      </c>
      <c r="L168" s="8">
        <v>8052693</v>
      </c>
      <c r="M168" s="8" t="str">
        <f t="shared" si="26"/>
        <v>PEN</v>
      </c>
      <c r="N168" s="13">
        <v>431.74</v>
      </c>
      <c r="O168" s="13"/>
      <c r="P168" s="3">
        <f t="shared" si="20"/>
        <v>0</v>
      </c>
      <c r="Q168" s="3">
        <f t="shared" si="21"/>
        <v>0</v>
      </c>
      <c r="R168" s="3">
        <f t="shared" si="22"/>
        <v>6603.2999999999956</v>
      </c>
      <c r="S168" s="28" t="s">
        <v>1334</v>
      </c>
      <c r="T168" s="24" t="s">
        <v>1334</v>
      </c>
      <c r="U168" s="3"/>
      <c r="V168" s="3"/>
      <c r="W168" s="3"/>
      <c r="X168" s="3"/>
      <c r="Y168" s="3"/>
      <c r="Z168" s="3"/>
      <c r="AA168" s="3" t="str">
        <f>IF(Interbank_Soles[[#This Row],[fecha]]&gt;0,TEXT(Interbank_Soles[[#This Row],[fecha]],"mmmm"),0)</f>
        <v>Setiembre</v>
      </c>
    </row>
    <row r="169" spans="1:27" x14ac:dyDescent="0.3">
      <c r="A169" s="2">
        <f>IF(Interbank_Soles[[#This Row],[tipo_registro]]="R",COUNTIFS($C$4:$C168,"R")+1,"")</f>
        <v>134</v>
      </c>
      <c r="B169" s="19" t="str">
        <f t="shared" si="25"/>
        <v>B-Interbank</v>
      </c>
      <c r="C169" s="3" t="s">
        <v>1330</v>
      </c>
      <c r="D169" s="14">
        <v>45904</v>
      </c>
      <c r="E169" s="5" t="s">
        <v>5060</v>
      </c>
      <c r="F169" s="5" t="s">
        <v>1336</v>
      </c>
      <c r="G169" s="6"/>
      <c r="H169" s="6"/>
      <c r="I169" s="6"/>
      <c r="J169" s="6"/>
      <c r="K169" s="7" t="s">
        <v>5061</v>
      </c>
      <c r="L169" s="8"/>
      <c r="M169" s="8" t="str">
        <f t="shared" si="26"/>
        <v>PEN</v>
      </c>
      <c r="N169" s="13"/>
      <c r="O169" s="13">
        <v>0.3</v>
      </c>
      <c r="P169" s="3">
        <f t="shared" si="20"/>
        <v>0</v>
      </c>
      <c r="Q169" s="3">
        <f t="shared" si="21"/>
        <v>0.3</v>
      </c>
      <c r="R169" s="3">
        <f t="shared" si="22"/>
        <v>6602.9999999999955</v>
      </c>
      <c r="S169" s="24" t="s">
        <v>1334</v>
      </c>
      <c r="T169" s="24" t="s">
        <v>1334</v>
      </c>
      <c r="U169" s="3"/>
      <c r="V169" s="3"/>
      <c r="W169" s="3"/>
      <c r="X169" s="3"/>
      <c r="Y169" s="3"/>
      <c r="Z169" s="3"/>
      <c r="AA169" s="3" t="str">
        <f>IF(Interbank_Soles[[#This Row],[fecha]]&gt;0,TEXT(Interbank_Soles[[#This Row],[fecha]],"mmmm"),0)</f>
        <v>Setiembre</v>
      </c>
    </row>
    <row r="170" spans="1:27" ht="24" x14ac:dyDescent="0.3">
      <c r="A170" s="2">
        <f>IF(Interbank_Soles[[#This Row],[tipo_registro]]="R",COUNTIFS($C$4:$C169,"R")+1,"")</f>
        <v>135</v>
      </c>
      <c r="B170" s="19" t="str">
        <f t="shared" si="25"/>
        <v>B-Interbank</v>
      </c>
      <c r="C170" s="3" t="s">
        <v>1330</v>
      </c>
      <c r="D170" s="14">
        <v>45911</v>
      </c>
      <c r="E170" s="5" t="s">
        <v>1338</v>
      </c>
      <c r="F170" s="5" t="s">
        <v>1336</v>
      </c>
      <c r="G170" s="6" t="s">
        <v>364</v>
      </c>
      <c r="H170" s="6" t="s">
        <v>68</v>
      </c>
      <c r="I170" s="6" t="s">
        <v>4440</v>
      </c>
      <c r="J170" s="6">
        <v>16273</v>
      </c>
      <c r="K170" s="7" t="s">
        <v>5111</v>
      </c>
      <c r="L170" s="8">
        <v>659145</v>
      </c>
      <c r="M170" s="8" t="str">
        <f t="shared" si="26"/>
        <v>PEN</v>
      </c>
      <c r="N170" s="13"/>
      <c r="O170" s="13">
        <v>108.56</v>
      </c>
      <c r="P170" s="3">
        <f t="shared" si="20"/>
        <v>0</v>
      </c>
      <c r="Q170" s="3">
        <f t="shared" si="21"/>
        <v>108.56</v>
      </c>
      <c r="R170" s="3">
        <f t="shared" si="22"/>
        <v>6494.4399999999951</v>
      </c>
      <c r="S170" s="24" t="s">
        <v>1334</v>
      </c>
      <c r="T170" s="24" t="s">
        <v>1334</v>
      </c>
      <c r="U170" s="3"/>
      <c r="V170" s="3"/>
      <c r="W170" s="3"/>
      <c r="X170" s="3"/>
      <c r="Y170" s="3"/>
      <c r="Z170" s="3"/>
      <c r="AA170" s="3" t="str">
        <f>IF(Interbank_Soles[[#This Row],[fecha]]&gt;0,TEXT(Interbank_Soles[[#This Row],[fecha]],"mmmm"),0)</f>
        <v>Setiembre</v>
      </c>
    </row>
    <row r="171" spans="1:27" x14ac:dyDescent="0.3">
      <c r="A171" s="2">
        <f>IF(Interbank_Soles[[#This Row],[tipo_registro]]="R",COUNTIFS($C$4:$C170,"R")+1,"")</f>
        <v>136</v>
      </c>
      <c r="B171" s="19" t="str">
        <f t="shared" ref="B171:B174" si="27">"B-Interbank"</f>
        <v>B-Interbank</v>
      </c>
      <c r="C171" s="3" t="s">
        <v>1330</v>
      </c>
      <c r="D171" s="14">
        <v>45915</v>
      </c>
      <c r="E171" s="5" t="s">
        <v>5060</v>
      </c>
      <c r="F171" s="5" t="s">
        <v>1336</v>
      </c>
      <c r="G171" s="6"/>
      <c r="H171" s="6"/>
      <c r="I171" s="6"/>
      <c r="J171" s="6"/>
      <c r="K171" s="7" t="s">
        <v>5061</v>
      </c>
      <c r="L171" s="8" t="s">
        <v>1333</v>
      </c>
      <c r="M171" s="8" t="str">
        <f t="shared" ref="M171:M174" si="28">"PEN"</f>
        <v>PEN</v>
      </c>
      <c r="N171" s="13"/>
      <c r="O171" s="13">
        <v>0.15</v>
      </c>
      <c r="P171" s="3">
        <f t="shared" si="20"/>
        <v>0</v>
      </c>
      <c r="Q171" s="3">
        <f t="shared" si="21"/>
        <v>0.15</v>
      </c>
      <c r="R171" s="3">
        <f t="shared" si="22"/>
        <v>6494.2899999999954</v>
      </c>
      <c r="S171" s="24" t="s">
        <v>1334</v>
      </c>
      <c r="T171" s="24" t="s">
        <v>1334</v>
      </c>
      <c r="U171" s="3"/>
      <c r="V171" s="3"/>
      <c r="W171" s="3"/>
      <c r="X171" s="3"/>
      <c r="Y171" s="3"/>
      <c r="Z171" s="3"/>
      <c r="AA171" s="3" t="str">
        <f>IF(Interbank_Soles[[#This Row],[fecha]]&gt;0,TEXT(Interbank_Soles[[#This Row],[fecha]],"mmmm"),0)</f>
        <v>Setiembre</v>
      </c>
    </row>
    <row r="172" spans="1:27" ht="24" x14ac:dyDescent="0.3">
      <c r="A172" s="2">
        <f>IF(Interbank_Soles[[#This Row],[tipo_registro]]="R",COUNTIFS($C$4:$C171,"R")+1,"")</f>
        <v>137</v>
      </c>
      <c r="B172" s="19" t="str">
        <f t="shared" si="27"/>
        <v>B-Interbank</v>
      </c>
      <c r="C172" s="3" t="s">
        <v>1330</v>
      </c>
      <c r="D172" s="14">
        <v>45915</v>
      </c>
      <c r="E172" s="5" t="s">
        <v>1338</v>
      </c>
      <c r="F172" s="5" t="s">
        <v>1336</v>
      </c>
      <c r="G172" s="6" t="s">
        <v>364</v>
      </c>
      <c r="H172" s="6" t="s">
        <v>68</v>
      </c>
      <c r="I172" s="6" t="s">
        <v>1715</v>
      </c>
      <c r="J172" s="6">
        <v>157147</v>
      </c>
      <c r="K172" s="7" t="s">
        <v>5175</v>
      </c>
      <c r="L172" s="8">
        <v>1945525</v>
      </c>
      <c r="M172" s="8" t="str">
        <f t="shared" si="28"/>
        <v>PEN</v>
      </c>
      <c r="N172" s="13"/>
      <c r="O172" s="13">
        <v>3455.95</v>
      </c>
      <c r="P172" s="3">
        <f t="shared" ref="P172:P193" si="29">+IF(OR($F172="SALDO",$F172="INGRESO"),$O172,0)</f>
        <v>0</v>
      </c>
      <c r="Q172" s="3">
        <f t="shared" ref="Q172:Q193" si="30">+IF($F172="EGRESO",$O172,0)</f>
        <v>3455.95</v>
      </c>
      <c r="R172" s="3">
        <f t="shared" ref="R172:R182" si="31">IFERROR(IF(F172="SALDO",P172,R171+P172-Q172),0)</f>
        <v>3038.3399999999956</v>
      </c>
      <c r="S172" s="24" t="s">
        <v>1334</v>
      </c>
      <c r="T172" s="24" t="s">
        <v>1334</v>
      </c>
      <c r="U172" s="3"/>
      <c r="V172" s="3"/>
      <c r="W172" s="3"/>
      <c r="X172" s="3"/>
      <c r="Y172" s="3"/>
      <c r="Z172" s="3"/>
      <c r="AA172" s="3" t="str">
        <f>IF(Interbank_Soles[[#This Row],[fecha]]&gt;0,TEXT(Interbank_Soles[[#This Row],[fecha]],"mmmm"),0)</f>
        <v>Setiembre</v>
      </c>
    </row>
    <row r="173" spans="1:27" ht="24" x14ac:dyDescent="0.3">
      <c r="A173" s="2">
        <f>IF(Interbank_Soles[[#This Row],[tipo_registro]]="R",COUNTIFS($C$4:$C172,"R")+1,"")</f>
        <v>138</v>
      </c>
      <c r="B173" s="19" t="str">
        <f t="shared" si="27"/>
        <v>B-Interbank</v>
      </c>
      <c r="C173" s="3" t="s">
        <v>1330</v>
      </c>
      <c r="D173" s="14">
        <v>45915</v>
      </c>
      <c r="E173" s="5" t="s">
        <v>1338</v>
      </c>
      <c r="F173" s="5" t="s">
        <v>1336</v>
      </c>
      <c r="G173" s="6" t="s">
        <v>364</v>
      </c>
      <c r="H173" s="6" t="s">
        <v>68</v>
      </c>
      <c r="I173" s="6" t="s">
        <v>1377</v>
      </c>
      <c r="J173" s="6">
        <v>182199</v>
      </c>
      <c r="K173" s="7" t="s">
        <v>5175</v>
      </c>
      <c r="L173" s="8">
        <v>1945472</v>
      </c>
      <c r="M173" s="8" t="str">
        <f t="shared" si="28"/>
        <v>PEN</v>
      </c>
      <c r="N173" s="13"/>
      <c r="O173" s="13">
        <v>942.06</v>
      </c>
      <c r="P173" s="3">
        <f t="shared" si="29"/>
        <v>0</v>
      </c>
      <c r="Q173" s="3">
        <f t="shared" si="30"/>
        <v>942.06</v>
      </c>
      <c r="R173" s="3">
        <f t="shared" si="31"/>
        <v>2096.2799999999957</v>
      </c>
      <c r="S173" s="24" t="s">
        <v>1334</v>
      </c>
      <c r="T173" s="24" t="s">
        <v>1334</v>
      </c>
      <c r="U173" s="3"/>
      <c r="V173" s="3"/>
      <c r="W173" s="3"/>
      <c r="X173" s="3"/>
      <c r="Y173" s="3"/>
      <c r="Z173" s="3"/>
      <c r="AA173" s="3" t="str">
        <f>IF(Interbank_Soles[[#This Row],[fecha]]&gt;0,TEXT(Interbank_Soles[[#This Row],[fecha]],"mmmm"),0)</f>
        <v>Setiembre</v>
      </c>
    </row>
    <row r="174" spans="1:27" ht="36" x14ac:dyDescent="0.3">
      <c r="A174" s="2">
        <f>IF(Interbank_Soles[[#This Row],[tipo_registro]]="R",COUNTIFS($C$4:$C173,"R")+1,"")</f>
        <v>139</v>
      </c>
      <c r="B174" s="19" t="str">
        <f t="shared" si="27"/>
        <v>B-Interbank</v>
      </c>
      <c r="C174" s="3" t="s">
        <v>1330</v>
      </c>
      <c r="D174" s="14">
        <v>45916</v>
      </c>
      <c r="E174" s="5" t="s">
        <v>4171</v>
      </c>
      <c r="F174" s="5" t="s">
        <v>1336</v>
      </c>
      <c r="G174" s="6" t="s">
        <v>780</v>
      </c>
      <c r="H174" s="6"/>
      <c r="I174" s="6"/>
      <c r="J174" s="6"/>
      <c r="K174" s="7" t="s">
        <v>5065</v>
      </c>
      <c r="L174" s="8">
        <v>280120</v>
      </c>
      <c r="M174" s="8" t="str">
        <f t="shared" si="28"/>
        <v>PEN</v>
      </c>
      <c r="N174" s="13"/>
      <c r="O174" s="13">
        <v>1969.44</v>
      </c>
      <c r="P174" s="3">
        <f t="shared" si="29"/>
        <v>0</v>
      </c>
      <c r="Q174" s="3">
        <f t="shared" si="30"/>
        <v>1969.44</v>
      </c>
      <c r="R174" s="3">
        <f t="shared" si="31"/>
        <v>126.8399999999956</v>
      </c>
      <c r="S174" s="24"/>
      <c r="T174" s="24" t="s">
        <v>1334</v>
      </c>
      <c r="U174" s="3"/>
      <c r="V174" s="3"/>
      <c r="W174" s="3"/>
      <c r="X174" s="3"/>
      <c r="Y174" s="3"/>
      <c r="Z174" s="3"/>
      <c r="AA174" s="3" t="str">
        <f>IF(Interbank_Soles[[#This Row],[fecha]]&gt;0,TEXT(Interbank_Soles[[#This Row],[fecha]],"mmmm"),0)</f>
        <v>Setiembre</v>
      </c>
    </row>
    <row r="175" spans="1:27" x14ac:dyDescent="0.3">
      <c r="A175" s="2">
        <f>IF(Interbank_Soles[[#This Row],[tipo_registro]]="R",COUNTIFS($C$4:$C174,"R")+1,"")</f>
        <v>140</v>
      </c>
      <c r="B175" s="19" t="str">
        <f t="shared" ref="B175:B181" si="32">"B-Interbank"</f>
        <v>B-Interbank</v>
      </c>
      <c r="C175" s="3" t="s">
        <v>1330</v>
      </c>
      <c r="D175" s="14">
        <v>45916</v>
      </c>
      <c r="E175" s="5" t="s">
        <v>5060</v>
      </c>
      <c r="F175" s="5" t="s">
        <v>1336</v>
      </c>
      <c r="G175" s="6"/>
      <c r="H175" s="6"/>
      <c r="I175" s="6"/>
      <c r="J175" s="6"/>
      <c r="K175" s="7" t="s">
        <v>5176</v>
      </c>
      <c r="L175" s="8"/>
      <c r="M175" s="8" t="str">
        <f t="shared" ref="M175:M181" si="33">"PEN"</f>
        <v>PEN</v>
      </c>
      <c r="N175" s="13"/>
      <c r="O175" s="13">
        <v>0.05</v>
      </c>
      <c r="P175" s="3">
        <f t="shared" si="29"/>
        <v>0</v>
      </c>
      <c r="Q175" s="3">
        <f t="shared" si="30"/>
        <v>0.05</v>
      </c>
      <c r="R175" s="3">
        <f t="shared" si="31"/>
        <v>126.7899999999956</v>
      </c>
      <c r="S175" s="24" t="s">
        <v>1334</v>
      </c>
      <c r="T175" s="24" t="s">
        <v>1334</v>
      </c>
      <c r="U175" s="3"/>
      <c r="V175" s="3"/>
      <c r="W175" s="3"/>
      <c r="X175" s="3"/>
      <c r="Y175" s="3"/>
      <c r="Z175" s="3"/>
      <c r="AA175" s="3" t="str">
        <f>IF(Interbank_Soles[[#This Row],[fecha]]&gt;0,TEXT(Interbank_Soles[[#This Row],[fecha]],"mmmm"),0)</f>
        <v>Setiembre</v>
      </c>
    </row>
    <row r="176" spans="1:27" x14ac:dyDescent="0.3">
      <c r="A176" s="2">
        <f>IF(Interbank_Soles[[#This Row],[tipo_registro]]="R",COUNTIFS($C$4:$C175,"R")+1,"")</f>
        <v>141</v>
      </c>
      <c r="B176" s="19" t="str">
        <f t="shared" si="32"/>
        <v>B-Interbank</v>
      </c>
      <c r="C176" s="3" t="s">
        <v>1330</v>
      </c>
      <c r="D176" s="14">
        <v>45919</v>
      </c>
      <c r="E176" s="5" t="s">
        <v>1338</v>
      </c>
      <c r="F176" s="5" t="s">
        <v>1336</v>
      </c>
      <c r="G176" s="6" t="s">
        <v>1108</v>
      </c>
      <c r="H176" s="6" t="s">
        <v>68</v>
      </c>
      <c r="I176" s="6" t="s">
        <v>1376</v>
      </c>
      <c r="J176" s="6">
        <v>112</v>
      </c>
      <c r="K176" s="7" t="s">
        <v>5177</v>
      </c>
      <c r="L176" s="8" t="s">
        <v>5178</v>
      </c>
      <c r="M176" s="8" t="str">
        <f t="shared" si="33"/>
        <v>PEN</v>
      </c>
      <c r="N176" s="13"/>
      <c r="O176" s="13">
        <v>120</v>
      </c>
      <c r="P176" s="3">
        <f t="shared" si="29"/>
        <v>0</v>
      </c>
      <c r="Q176" s="3">
        <f t="shared" si="30"/>
        <v>120</v>
      </c>
      <c r="R176" s="3">
        <f t="shared" si="31"/>
        <v>6.7899999999956009</v>
      </c>
      <c r="S176" s="24" t="s">
        <v>1334</v>
      </c>
      <c r="T176" s="24" t="s">
        <v>1334</v>
      </c>
      <c r="U176" s="3"/>
      <c r="V176" s="3"/>
      <c r="W176" s="3"/>
      <c r="X176" s="3"/>
      <c r="Y176" s="3"/>
      <c r="Z176" s="3"/>
      <c r="AA176" s="3" t="str">
        <f>IF(Interbank_Soles[[#This Row],[fecha]]&gt;0,TEXT(Interbank_Soles[[#This Row],[fecha]],"mmmm"),0)</f>
        <v>Setiembre</v>
      </c>
    </row>
    <row r="177" spans="1:27" ht="36" x14ac:dyDescent="0.3">
      <c r="A177" s="2">
        <f>IF(Interbank_Soles[[#This Row],[tipo_registro]]="R",COUNTIFS($C$4:$C176,"R")+1,"")</f>
        <v>142</v>
      </c>
      <c r="B177" s="19" t="str">
        <f t="shared" si="32"/>
        <v>B-Interbank</v>
      </c>
      <c r="C177" s="3" t="s">
        <v>1330</v>
      </c>
      <c r="D177" s="14">
        <v>45925</v>
      </c>
      <c r="E177" s="5" t="s">
        <v>208</v>
      </c>
      <c r="F177" s="5" t="s">
        <v>1303</v>
      </c>
      <c r="G177" s="6" t="s">
        <v>425</v>
      </c>
      <c r="H177" s="6"/>
      <c r="I177" s="6"/>
      <c r="J177" s="6"/>
      <c r="K177" s="7" t="s">
        <v>5123</v>
      </c>
      <c r="L177" s="8">
        <v>8085598</v>
      </c>
      <c r="M177" s="8" t="str">
        <f t="shared" si="33"/>
        <v>PEN</v>
      </c>
      <c r="N177" s="13"/>
      <c r="O177" s="13">
        <v>10301.24</v>
      </c>
      <c r="P177" s="3">
        <f t="shared" si="29"/>
        <v>10301.24</v>
      </c>
      <c r="Q177" s="3">
        <f t="shared" si="30"/>
        <v>0</v>
      </c>
      <c r="R177" s="3">
        <f t="shared" si="31"/>
        <v>10308.029999999995</v>
      </c>
      <c r="S177" s="24" t="s">
        <v>1334</v>
      </c>
      <c r="T177" s="24" t="s">
        <v>1334</v>
      </c>
      <c r="U177" s="3"/>
      <c r="V177" s="3"/>
      <c r="W177" s="3"/>
      <c r="X177" s="3"/>
      <c r="Y177" s="3"/>
      <c r="Z177" s="3"/>
      <c r="AA177" s="3" t="str">
        <f>IF(Interbank_Soles[[#This Row],[fecha]]&gt;0,TEXT(Interbank_Soles[[#This Row],[fecha]],"mmmm"),0)</f>
        <v>Setiembre</v>
      </c>
    </row>
    <row r="178" spans="1:27" ht="36" x14ac:dyDescent="0.3">
      <c r="A178" s="2" t="str">
        <f>IF(Interbank_Soles[[#This Row],[tipo_registro]]="R",COUNTIFS($C$4:$C177,"R")+1,"")</f>
        <v/>
      </c>
      <c r="B178" s="19" t="str">
        <f t="shared" si="32"/>
        <v>B-Interbank</v>
      </c>
      <c r="C178" s="3" t="s">
        <v>1352</v>
      </c>
      <c r="D178" s="14">
        <v>45925</v>
      </c>
      <c r="E178" s="5" t="s">
        <v>208</v>
      </c>
      <c r="F178" s="5" t="s">
        <v>1303</v>
      </c>
      <c r="G178" s="6"/>
      <c r="H178" s="6" t="s">
        <v>68</v>
      </c>
      <c r="I178" s="6" t="s">
        <v>1784</v>
      </c>
      <c r="J178" s="6">
        <v>224</v>
      </c>
      <c r="K178" s="7" t="s">
        <v>5123</v>
      </c>
      <c r="L178" s="8">
        <v>8085598</v>
      </c>
      <c r="M178" s="8" t="str">
        <f t="shared" si="33"/>
        <v>PEN</v>
      </c>
      <c r="N178" s="13">
        <v>3897.54</v>
      </c>
      <c r="O178" s="13"/>
      <c r="P178" s="3">
        <f t="shared" si="29"/>
        <v>0</v>
      </c>
      <c r="Q178" s="3">
        <f t="shared" si="30"/>
        <v>0</v>
      </c>
      <c r="R178" s="3">
        <f t="shared" si="31"/>
        <v>10308.029999999995</v>
      </c>
      <c r="S178" s="24" t="s">
        <v>1334</v>
      </c>
      <c r="T178" s="24" t="s">
        <v>1334</v>
      </c>
      <c r="U178" s="3"/>
      <c r="V178" s="3"/>
      <c r="W178" s="3"/>
      <c r="X178" s="3"/>
      <c r="Y178" s="3"/>
      <c r="Z178" s="3"/>
      <c r="AA178" s="3" t="str">
        <f>IF(Interbank_Soles[[#This Row],[fecha]]&gt;0,TEXT(Interbank_Soles[[#This Row],[fecha]],"mmmm"),0)</f>
        <v>Setiembre</v>
      </c>
    </row>
    <row r="179" spans="1:27" ht="36" x14ac:dyDescent="0.3">
      <c r="A179" s="2" t="str">
        <f>IF(Interbank_Soles[[#This Row],[tipo_registro]]="R",COUNTIFS($C$4:$C178,"R")+1,"")</f>
        <v/>
      </c>
      <c r="B179" s="19" t="str">
        <f t="shared" si="32"/>
        <v>B-Interbank</v>
      </c>
      <c r="C179" s="3" t="s">
        <v>1352</v>
      </c>
      <c r="D179" s="14">
        <v>45925</v>
      </c>
      <c r="E179" s="5" t="s">
        <v>208</v>
      </c>
      <c r="F179" s="5" t="s">
        <v>1303</v>
      </c>
      <c r="G179" s="6"/>
      <c r="H179" s="6" t="s">
        <v>68</v>
      </c>
      <c r="I179" s="6" t="s">
        <v>1784</v>
      </c>
      <c r="J179" s="6">
        <v>225</v>
      </c>
      <c r="K179" s="7" t="s">
        <v>5123</v>
      </c>
      <c r="L179" s="8">
        <v>8085598</v>
      </c>
      <c r="M179" s="8" t="str">
        <f t="shared" si="33"/>
        <v>PEN</v>
      </c>
      <c r="N179" s="13">
        <v>4959.2700000000004</v>
      </c>
      <c r="O179" s="13"/>
      <c r="P179" s="3">
        <f t="shared" si="29"/>
        <v>0</v>
      </c>
      <c r="Q179" s="3">
        <f t="shared" si="30"/>
        <v>0</v>
      </c>
      <c r="R179" s="3">
        <f t="shared" si="31"/>
        <v>10308.029999999995</v>
      </c>
      <c r="S179" s="24" t="s">
        <v>1334</v>
      </c>
      <c r="T179" s="24" t="s">
        <v>1334</v>
      </c>
      <c r="U179" s="3"/>
      <c r="V179" s="3"/>
      <c r="W179" s="3"/>
      <c r="X179" s="3"/>
      <c r="Y179" s="3"/>
      <c r="Z179" s="3"/>
      <c r="AA179" s="3" t="str">
        <f>IF(Interbank_Soles[[#This Row],[fecha]]&gt;0,TEXT(Interbank_Soles[[#This Row],[fecha]],"mmmm"),0)</f>
        <v>Setiembre</v>
      </c>
    </row>
    <row r="180" spans="1:27" ht="36" x14ac:dyDescent="0.3">
      <c r="A180" s="2" t="str">
        <f>IF(Interbank_Soles[[#This Row],[tipo_registro]]="R",COUNTIFS($C$4:$C179,"R")+1,"")</f>
        <v/>
      </c>
      <c r="B180" s="19" t="str">
        <f t="shared" si="32"/>
        <v>B-Interbank</v>
      </c>
      <c r="C180" s="3" t="s">
        <v>1352</v>
      </c>
      <c r="D180" s="14">
        <v>45925</v>
      </c>
      <c r="E180" s="5" t="s">
        <v>208</v>
      </c>
      <c r="F180" s="5" t="s">
        <v>1303</v>
      </c>
      <c r="G180" s="6"/>
      <c r="H180" s="6" t="s">
        <v>68</v>
      </c>
      <c r="I180" s="6" t="s">
        <v>1784</v>
      </c>
      <c r="J180" s="6">
        <v>226</v>
      </c>
      <c r="K180" s="7" t="s">
        <v>5123</v>
      </c>
      <c r="L180" s="8">
        <v>8085598</v>
      </c>
      <c r="M180" s="8" t="str">
        <f t="shared" si="33"/>
        <v>PEN</v>
      </c>
      <c r="N180" s="13">
        <v>1444.43</v>
      </c>
      <c r="O180" s="13"/>
      <c r="P180" s="3">
        <f t="shared" si="29"/>
        <v>0</v>
      </c>
      <c r="Q180" s="3">
        <f t="shared" si="30"/>
        <v>0</v>
      </c>
      <c r="R180" s="3">
        <f t="shared" si="31"/>
        <v>10308.029999999995</v>
      </c>
      <c r="S180" s="24" t="s">
        <v>1334</v>
      </c>
      <c r="T180" s="24" t="s">
        <v>1334</v>
      </c>
      <c r="U180" s="3"/>
      <c r="V180" s="3"/>
      <c r="W180" s="3"/>
      <c r="X180" s="3"/>
      <c r="Y180" s="3"/>
      <c r="Z180" s="3"/>
      <c r="AA180" s="3" t="str">
        <f>IF(Interbank_Soles[[#This Row],[fecha]]&gt;0,TEXT(Interbank_Soles[[#This Row],[fecha]],"mmmm"),0)</f>
        <v>Setiembre</v>
      </c>
    </row>
    <row r="181" spans="1:27" x14ac:dyDescent="0.3">
      <c r="A181" s="2">
        <f>IF(Interbank_Soles[[#This Row],[tipo_registro]]="R",COUNTIFS($C$4:$C180,"R")+1,"")</f>
        <v>143</v>
      </c>
      <c r="B181" s="19" t="str">
        <f t="shared" si="32"/>
        <v>B-Interbank</v>
      </c>
      <c r="C181" s="3" t="s">
        <v>1330</v>
      </c>
      <c r="D181" s="14">
        <v>45925</v>
      </c>
      <c r="E181" s="5" t="s">
        <v>5060</v>
      </c>
      <c r="F181" s="5" t="s">
        <v>1336</v>
      </c>
      <c r="G181" s="6"/>
      <c r="H181" s="6"/>
      <c r="I181" s="6"/>
      <c r="J181" s="6"/>
      <c r="K181" s="7" t="s">
        <v>5061</v>
      </c>
      <c r="L181" s="8"/>
      <c r="M181" s="8" t="str">
        <f t="shared" si="33"/>
        <v>PEN</v>
      </c>
      <c r="N181" s="13"/>
      <c r="O181" s="13">
        <v>0.5</v>
      </c>
      <c r="P181" s="3">
        <f t="shared" si="29"/>
        <v>0</v>
      </c>
      <c r="Q181" s="3">
        <f t="shared" si="30"/>
        <v>0.5</v>
      </c>
      <c r="R181" s="3">
        <f t="shared" si="31"/>
        <v>10307.529999999995</v>
      </c>
      <c r="S181" s="24" t="s">
        <v>1334</v>
      </c>
      <c r="T181" s="24" t="s">
        <v>1334</v>
      </c>
      <c r="U181" s="3"/>
      <c r="V181" s="3"/>
      <c r="W181" s="3"/>
      <c r="X181" s="3"/>
      <c r="Y181" s="3"/>
      <c r="Z181" s="3"/>
      <c r="AA181" s="3" t="str">
        <f>IF(Interbank_Soles[[#This Row],[fecha]]&gt;0,TEXT(Interbank_Soles[[#This Row],[fecha]],"mmmm"),0)</f>
        <v>Setiembre</v>
      </c>
    </row>
    <row r="182" spans="1:27" x14ac:dyDescent="0.3">
      <c r="A182" s="2">
        <f>IF(Interbank_Soles[[#This Row],[tipo_registro]]="R",COUNTIFS($C$4:$C181,"R")+1,"")</f>
        <v>144</v>
      </c>
      <c r="B182" s="19" t="str">
        <f>"B-Interbank"</f>
        <v>B-Interbank</v>
      </c>
      <c r="C182" s="3" t="s">
        <v>1330</v>
      </c>
      <c r="D182" s="14">
        <v>45930</v>
      </c>
      <c r="E182" s="5" t="s">
        <v>5173</v>
      </c>
      <c r="F182" s="5" t="s">
        <v>1336</v>
      </c>
      <c r="G182" s="6" t="s">
        <v>425</v>
      </c>
      <c r="H182" s="6"/>
      <c r="I182" s="6"/>
      <c r="J182" s="6"/>
      <c r="K182" s="7" t="s">
        <v>5179</v>
      </c>
      <c r="L182" s="8"/>
      <c r="M182" s="8" t="str">
        <f>"PEN"</f>
        <v>PEN</v>
      </c>
      <c r="N182" s="13"/>
      <c r="O182" s="13">
        <v>10005.299999999999</v>
      </c>
      <c r="P182" s="3">
        <f t="shared" si="29"/>
        <v>0</v>
      </c>
      <c r="Q182" s="3">
        <f t="shared" si="30"/>
        <v>10005.299999999999</v>
      </c>
      <c r="R182" s="3">
        <f t="shared" si="31"/>
        <v>302.22999999999593</v>
      </c>
      <c r="S182" s="24"/>
      <c r="T182" s="24"/>
      <c r="U182" s="3"/>
      <c r="V182" s="3"/>
      <c r="W182" s="3"/>
      <c r="X182" s="3"/>
      <c r="Y182" s="3"/>
      <c r="Z182" s="3"/>
      <c r="AA182" s="3" t="str">
        <f>IF(Interbank_Soles[[#This Row],[fecha]]&gt;0,TEXT(Interbank_Soles[[#This Row],[fecha]],"mmmm"),0)</f>
        <v>Setiembre</v>
      </c>
    </row>
    <row r="183" spans="1:27" x14ac:dyDescent="0.3">
      <c r="A183" s="2" t="str">
        <f>IF(Interbank_Soles[[#This Row],[tipo_registro]]="R",COUNTIFS($C$4:$C182,"R")+1,"")</f>
        <v/>
      </c>
      <c r="B183" s="19" t="str">
        <f>"B-Interbank"</f>
        <v>B-Interbank</v>
      </c>
      <c r="C183" s="3" t="s">
        <v>1352</v>
      </c>
      <c r="D183" s="14">
        <v>45930</v>
      </c>
      <c r="E183" s="5" t="s">
        <v>5173</v>
      </c>
      <c r="F183" s="5" t="s">
        <v>1336</v>
      </c>
      <c r="G183" s="6" t="s">
        <v>425</v>
      </c>
      <c r="H183" s="6"/>
      <c r="I183" s="6"/>
      <c r="J183" s="6"/>
      <c r="K183" s="7" t="s">
        <v>5179</v>
      </c>
      <c r="L183" s="8"/>
      <c r="M183" s="8" t="str">
        <f>"PEN"</f>
        <v>PEN</v>
      </c>
      <c r="N183" s="13">
        <v>10000</v>
      </c>
      <c r="O183" s="13"/>
      <c r="P183" s="3">
        <f>+IF(OR($F183="SALDO",$F183="INGRESO"),$O183,0)</f>
        <v>0</v>
      </c>
      <c r="Q183" s="3">
        <f>+IF($F183="EGRESO",$O183,0)</f>
        <v>0</v>
      </c>
      <c r="R183" s="3">
        <f>IFERROR(IF(F183="SALDO",P183,R182+P183-Q183),0)</f>
        <v>302.22999999999593</v>
      </c>
      <c r="S183" s="24"/>
      <c r="T183" s="24"/>
      <c r="U183" s="3"/>
      <c r="V183" s="3"/>
      <c r="W183" s="3"/>
      <c r="X183" s="3"/>
      <c r="Y183" s="3"/>
      <c r="Z183" s="3"/>
      <c r="AA183" s="3" t="str">
        <f>IF(Interbank_Soles[[#This Row],[fecha]]&gt;0,TEXT(Interbank_Soles[[#This Row],[fecha]],"mmmm"),0)</f>
        <v>Setiembre</v>
      </c>
    </row>
    <row r="184" spans="1:27" ht="36" x14ac:dyDescent="0.3">
      <c r="A184" s="2" t="str">
        <f>IF(Interbank_Soles[[#This Row],[tipo_registro]]="R",COUNTIFS($C$4:$C183,"R")+1,"")</f>
        <v/>
      </c>
      <c r="B184" s="19" t="str">
        <f>"B-Interbank"</f>
        <v>B-Interbank</v>
      </c>
      <c r="C184" s="3" t="s">
        <v>1352</v>
      </c>
      <c r="D184" s="14">
        <v>45930</v>
      </c>
      <c r="E184" s="5" t="s">
        <v>5173</v>
      </c>
      <c r="F184" s="5" t="s">
        <v>1336</v>
      </c>
      <c r="G184" s="6" t="s">
        <v>1207</v>
      </c>
      <c r="H184" s="6"/>
      <c r="I184" s="6"/>
      <c r="J184" s="6"/>
      <c r="K184" s="7" t="s">
        <v>5179</v>
      </c>
      <c r="L184" s="8"/>
      <c r="M184" s="8" t="str">
        <f>"PEN"</f>
        <v>PEN</v>
      </c>
      <c r="N184" s="13">
        <v>5.3</v>
      </c>
      <c r="O184" s="13"/>
      <c r="P184" s="3">
        <f>+IF(OR($F184="SALDO",$F184="INGRESO"),$O184,0)</f>
        <v>0</v>
      </c>
      <c r="Q184" s="3">
        <f>+IF($F184="EGRESO",$O184,0)</f>
        <v>0</v>
      </c>
      <c r="R184" s="3">
        <f t="shared" ref="R184:R185" si="34">IFERROR(IF(F184="SALDO",P184,R183+P184-Q184),0)</f>
        <v>302.22999999999593</v>
      </c>
      <c r="S184" s="24"/>
      <c r="T184" s="24"/>
      <c r="U184" s="3"/>
      <c r="V184" s="3"/>
      <c r="W184" s="3"/>
      <c r="X184" s="3"/>
      <c r="Y184" s="3"/>
      <c r="Z184" s="3"/>
      <c r="AA184" s="3" t="str">
        <f>IF(Interbank_Soles[[#This Row],[fecha]]&gt;0,TEXT(Interbank_Soles[[#This Row],[fecha]],"mmmm"),0)</f>
        <v>Setiembre</v>
      </c>
    </row>
    <row r="185" spans="1:27" ht="48" x14ac:dyDescent="0.3">
      <c r="A185" s="2">
        <f>IF(Interbank_Soles[[#This Row],[tipo_registro]]="R",COUNTIFS($C$4:$C184,"R")+1,"")</f>
        <v>145</v>
      </c>
      <c r="B185" s="19" t="str">
        <f>"B-Interbank"</f>
        <v>B-Interbank</v>
      </c>
      <c r="C185" s="13" t="s">
        <v>1330</v>
      </c>
      <c r="D185" s="14">
        <v>45954</v>
      </c>
      <c r="E185" s="5" t="s">
        <v>310</v>
      </c>
      <c r="F185" s="5" t="s">
        <v>1303</v>
      </c>
      <c r="G185" s="6" t="s">
        <v>425</v>
      </c>
      <c r="H185" s="6" t="s">
        <v>68</v>
      </c>
      <c r="I185" s="6" t="s">
        <v>1784</v>
      </c>
      <c r="J185" s="6">
        <v>288</v>
      </c>
      <c r="K185" s="7" t="s">
        <v>5090</v>
      </c>
      <c r="L185" s="8" t="s">
        <v>5180</v>
      </c>
      <c r="M185" s="8"/>
      <c r="N185" s="13"/>
      <c r="O185" s="13">
        <v>932.2</v>
      </c>
      <c r="P185" s="3">
        <f t="shared" si="29"/>
        <v>932.2</v>
      </c>
      <c r="Q185" s="3">
        <f t="shared" si="30"/>
        <v>0</v>
      </c>
      <c r="R185" s="3">
        <f t="shared" si="34"/>
        <v>1234.429999999996</v>
      </c>
      <c r="S185" s="24" t="s">
        <v>1334</v>
      </c>
      <c r="T185" s="24"/>
      <c r="U185" s="3"/>
      <c r="V185" s="3"/>
      <c r="W185" s="3"/>
      <c r="X185" s="3"/>
      <c r="Y185" s="3"/>
      <c r="Z185" s="3"/>
      <c r="AA185" s="3" t="str">
        <f>IF(Interbank_Soles[[#This Row],[fecha]]&gt;0,TEXT(Interbank_Soles[[#This Row],[fecha]],"mmmm"),0)</f>
        <v>Octubre</v>
      </c>
    </row>
    <row r="186" spans="1:27" ht="24" x14ac:dyDescent="0.3">
      <c r="A186" s="2">
        <f>IF(Interbank_Soles[[#This Row],[tipo_registro]]="R",COUNTIFS($C$4:$C185,"R")+1,"")</f>
        <v>146</v>
      </c>
      <c r="B186" s="19" t="str">
        <f>"B-Interbank"</f>
        <v>B-Interbank</v>
      </c>
      <c r="C186" s="3" t="s">
        <v>1330</v>
      </c>
      <c r="D186" s="14">
        <v>45958</v>
      </c>
      <c r="E186" s="5" t="s">
        <v>5173</v>
      </c>
      <c r="F186" s="5" t="s">
        <v>1336</v>
      </c>
      <c r="G186" s="6" t="s">
        <v>1108</v>
      </c>
      <c r="H186" s="6"/>
      <c r="I186" s="6"/>
      <c r="J186" s="6"/>
      <c r="K186" s="7" t="s">
        <v>5181</v>
      </c>
      <c r="L186" s="8">
        <v>383718</v>
      </c>
      <c r="M186" s="8" t="str">
        <f>"PEN"</f>
        <v>PEN</v>
      </c>
      <c r="N186" s="13"/>
      <c r="O186" s="13">
        <v>180</v>
      </c>
      <c r="P186" s="3">
        <f t="shared" si="29"/>
        <v>0</v>
      </c>
      <c r="Q186" s="3">
        <f t="shared" si="30"/>
        <v>180</v>
      </c>
      <c r="R186" s="3">
        <f>IFERROR(IF(F186="SALDO",P186,R185+P186-Q186),0)</f>
        <v>1054.429999999996</v>
      </c>
      <c r="S186" s="24"/>
      <c r="T186" s="24"/>
      <c r="U186" s="3"/>
      <c r="V186" s="3"/>
      <c r="W186" s="3"/>
      <c r="X186" s="3"/>
      <c r="Y186" s="3"/>
      <c r="Z186" s="3"/>
      <c r="AA186" s="3" t="str">
        <f>IF(Interbank_Soles[[#This Row],[fecha]]&gt;0,TEXT(Interbank_Soles[[#This Row],[fecha]],"mmmm"),0)</f>
        <v>Octubre</v>
      </c>
    </row>
    <row r="187" spans="1:27" ht="36" x14ac:dyDescent="0.3">
      <c r="A187" s="2">
        <f>IF(Interbank_Soles[[#This Row],[tipo_registro]]="R",COUNTIFS($C$4:$C186,"R")+1,"")</f>
        <v>147</v>
      </c>
      <c r="B187" s="19" t="str">
        <f t="shared" ref="B187:B191" si="35">"B-Interbank"</f>
        <v>B-Interbank</v>
      </c>
      <c r="C187" s="3" t="s">
        <v>1330</v>
      </c>
      <c r="D187" s="14">
        <v>45960</v>
      </c>
      <c r="E187" s="5" t="s">
        <v>208</v>
      </c>
      <c r="F187" s="5" t="s">
        <v>1303</v>
      </c>
      <c r="G187" s="6" t="s">
        <v>425</v>
      </c>
      <c r="H187" s="6"/>
      <c r="I187" s="6"/>
      <c r="J187" s="6"/>
      <c r="K187" s="7" t="s">
        <v>5123</v>
      </c>
      <c r="L187" s="8">
        <v>8072868</v>
      </c>
      <c r="M187" s="8" t="str">
        <f t="shared" ref="M187:M191" si="36">"PEN"</f>
        <v>PEN</v>
      </c>
      <c r="N187" s="13"/>
      <c r="O187" s="13">
        <v>7242.94</v>
      </c>
      <c r="P187" s="3">
        <f t="shared" si="29"/>
        <v>7242.94</v>
      </c>
      <c r="Q187" s="3">
        <f t="shared" si="30"/>
        <v>0</v>
      </c>
      <c r="R187" s="3">
        <f t="shared" ref="R187" si="37">IFERROR(IF(F187="SALDO",P187,R186+P187-Q187),0)</f>
        <v>8297.3699999999953</v>
      </c>
      <c r="S187" s="24" t="s">
        <v>1334</v>
      </c>
      <c r="T187" s="24"/>
      <c r="U187" s="3"/>
      <c r="V187" s="3"/>
      <c r="W187" s="3"/>
      <c r="X187" s="3"/>
      <c r="Y187" s="3"/>
      <c r="Z187" s="3"/>
      <c r="AA187" s="3" t="str">
        <f>IF(Interbank_Soles[[#This Row],[fecha]]&gt;0,TEXT(Interbank_Soles[[#This Row],[fecha]],"mmmm"),0)</f>
        <v>Octubre</v>
      </c>
    </row>
    <row r="188" spans="1:27" ht="36" x14ac:dyDescent="0.3">
      <c r="A188" s="2" t="str">
        <f>IF(Interbank_Soles[[#This Row],[tipo_registro]]="R",COUNTIFS($C$4:$C187,"R")+1,"")</f>
        <v/>
      </c>
      <c r="B188" s="19" t="str">
        <f>"B-Interbank"</f>
        <v>B-Interbank</v>
      </c>
      <c r="C188" s="3" t="s">
        <v>1352</v>
      </c>
      <c r="D188" s="14">
        <v>45960</v>
      </c>
      <c r="E188" s="5" t="s">
        <v>208</v>
      </c>
      <c r="F188" s="5" t="s">
        <v>1303</v>
      </c>
      <c r="G188" s="6" t="s">
        <v>425</v>
      </c>
      <c r="H188" s="6" t="s">
        <v>68</v>
      </c>
      <c r="I188" s="6" t="s">
        <v>1784</v>
      </c>
      <c r="J188" s="6">
        <v>269</v>
      </c>
      <c r="K188" s="7" t="s">
        <v>5123</v>
      </c>
      <c r="L188" s="8">
        <v>8072868</v>
      </c>
      <c r="M188" s="8" t="str">
        <f>"PEN"</f>
        <v>PEN</v>
      </c>
      <c r="N188" s="13">
        <v>5455.96</v>
      </c>
      <c r="O188" s="13"/>
      <c r="P188" s="3">
        <f t="shared" si="29"/>
        <v>0</v>
      </c>
      <c r="Q188" s="3">
        <f t="shared" si="30"/>
        <v>0</v>
      </c>
      <c r="R188" s="3">
        <f>IFERROR(IF(F188="SALDO",P188,R187+P188-Q188),0)</f>
        <v>8297.3699999999953</v>
      </c>
      <c r="S188" s="24" t="s">
        <v>1334</v>
      </c>
      <c r="T188" s="24"/>
      <c r="U188" s="3"/>
      <c r="V188" s="3"/>
      <c r="W188" s="3"/>
      <c r="X188" s="3"/>
      <c r="Y188" s="3"/>
      <c r="Z188" s="3"/>
      <c r="AA188" s="3" t="str">
        <f>IF(Interbank_Soles[[#This Row],[fecha]]&gt;0,TEXT(Interbank_Soles[[#This Row],[fecha]],"mmmm"),0)</f>
        <v>Octubre</v>
      </c>
    </row>
    <row r="189" spans="1:27" ht="36" x14ac:dyDescent="0.3">
      <c r="A189" s="2" t="str">
        <f>IF(Interbank_Soles[[#This Row],[tipo_registro]]="R",COUNTIFS($C$4:$C188,"R")+1,"")</f>
        <v/>
      </c>
      <c r="B189" s="19" t="str">
        <f>"B-Interbank"</f>
        <v>B-Interbank</v>
      </c>
      <c r="C189" s="3" t="s">
        <v>1352</v>
      </c>
      <c r="D189" s="14">
        <v>45960</v>
      </c>
      <c r="E189" s="5" t="s">
        <v>208</v>
      </c>
      <c r="F189" s="5" t="s">
        <v>1303</v>
      </c>
      <c r="G189" s="6" t="s">
        <v>425</v>
      </c>
      <c r="H189" s="6" t="s">
        <v>68</v>
      </c>
      <c r="I189" s="6" t="s">
        <v>1784</v>
      </c>
      <c r="J189" s="6">
        <v>270</v>
      </c>
      <c r="K189" s="7" t="s">
        <v>5123</v>
      </c>
      <c r="L189" s="8">
        <v>8072868</v>
      </c>
      <c r="M189" s="8" t="str">
        <f>"PEN"</f>
        <v>PEN</v>
      </c>
      <c r="N189" s="13">
        <v>1533.53</v>
      </c>
      <c r="O189" s="13"/>
      <c r="P189" s="3">
        <f t="shared" si="29"/>
        <v>0</v>
      </c>
      <c r="Q189" s="3">
        <f t="shared" si="30"/>
        <v>0</v>
      </c>
      <c r="R189" s="3">
        <f t="shared" ref="R189:R191" si="38">IFERROR(IF(F189="SALDO",P189,R188+P189-Q189),0)</f>
        <v>8297.3699999999953</v>
      </c>
      <c r="S189" s="24" t="s">
        <v>1334</v>
      </c>
      <c r="T189" s="24"/>
      <c r="U189" s="3"/>
      <c r="V189" s="3"/>
      <c r="W189" s="3"/>
      <c r="X189" s="3"/>
      <c r="Y189" s="3"/>
      <c r="Z189" s="3"/>
      <c r="AA189" s="3" t="str">
        <f>IF(Interbank_Soles[[#This Row],[fecha]]&gt;0,TEXT(Interbank_Soles[[#This Row],[fecha]],"mmmm"),0)</f>
        <v>Octubre</v>
      </c>
    </row>
    <row r="190" spans="1:27" ht="36" x14ac:dyDescent="0.3">
      <c r="A190" s="2" t="str">
        <f>IF(Interbank_Soles[[#This Row],[tipo_registro]]="R",COUNTIFS($C$4:$C189,"R")+1,"")</f>
        <v/>
      </c>
      <c r="B190" s="19" t="str">
        <f>"B-Interbank"</f>
        <v>B-Interbank</v>
      </c>
      <c r="C190" s="3" t="s">
        <v>1352</v>
      </c>
      <c r="D190" s="14">
        <v>45960</v>
      </c>
      <c r="E190" s="5" t="s">
        <v>208</v>
      </c>
      <c r="F190" s="5" t="s">
        <v>1303</v>
      </c>
      <c r="G190" s="6" t="s">
        <v>425</v>
      </c>
      <c r="H190" s="6" t="s">
        <v>68</v>
      </c>
      <c r="I190" s="6" t="s">
        <v>1784</v>
      </c>
      <c r="J190" s="6">
        <v>271</v>
      </c>
      <c r="K190" s="7" t="s">
        <v>5123</v>
      </c>
      <c r="L190" s="8">
        <v>8072868</v>
      </c>
      <c r="M190" s="8" t="str">
        <f>"PEN"</f>
        <v>PEN</v>
      </c>
      <c r="N190" s="13">
        <v>253.45</v>
      </c>
      <c r="O190" s="13"/>
      <c r="P190" s="3">
        <f t="shared" si="29"/>
        <v>0</v>
      </c>
      <c r="Q190" s="3">
        <f t="shared" si="30"/>
        <v>0</v>
      </c>
      <c r="R190" s="3">
        <f t="shared" si="38"/>
        <v>8297.3699999999953</v>
      </c>
      <c r="S190" s="24" t="s">
        <v>1334</v>
      </c>
      <c r="T190" s="24"/>
      <c r="U190" s="3"/>
      <c r="V190" s="3"/>
      <c r="W190" s="3"/>
      <c r="X190" s="3"/>
      <c r="Y190" s="3"/>
      <c r="Z190" s="3"/>
      <c r="AA190" s="3" t="str">
        <f>IF(Interbank_Soles[[#This Row],[fecha]]&gt;0,TEXT(Interbank_Soles[[#This Row],[fecha]],"mmmm"),0)</f>
        <v>Octubre</v>
      </c>
    </row>
    <row r="191" spans="1:27" x14ac:dyDescent="0.3">
      <c r="A191" s="2">
        <f>IF(Interbank_Soles[[#This Row],[tipo_registro]]="R",COUNTIFS($C$4:$C190,"R")+1,"")</f>
        <v>148</v>
      </c>
      <c r="B191" s="19" t="str">
        <f t="shared" si="35"/>
        <v>B-Interbank</v>
      </c>
      <c r="C191" s="3" t="s">
        <v>1330</v>
      </c>
      <c r="D191" s="14">
        <v>45960</v>
      </c>
      <c r="E191" s="5"/>
      <c r="F191" s="5" t="s">
        <v>1336</v>
      </c>
      <c r="G191" s="6"/>
      <c r="H191" s="6"/>
      <c r="I191" s="6"/>
      <c r="J191" s="6"/>
      <c r="K191" s="7" t="s">
        <v>5061</v>
      </c>
      <c r="L191" s="8"/>
      <c r="M191" s="8" t="str">
        <f t="shared" si="36"/>
        <v>PEN</v>
      </c>
      <c r="N191" s="13"/>
      <c r="O191" s="13">
        <v>0.35</v>
      </c>
      <c r="P191" s="3">
        <f t="shared" si="29"/>
        <v>0</v>
      </c>
      <c r="Q191" s="3">
        <f t="shared" si="30"/>
        <v>0.35</v>
      </c>
      <c r="R191" s="3">
        <f t="shared" si="38"/>
        <v>8297.019999999995</v>
      </c>
      <c r="S191" s="24"/>
      <c r="T191" s="24"/>
      <c r="U191" s="3"/>
      <c r="V191" s="3"/>
      <c r="W191" s="3"/>
      <c r="X191" s="3"/>
      <c r="Y191" s="3"/>
      <c r="Z191" s="3"/>
      <c r="AA191" s="3" t="str">
        <f>IF(Interbank_Soles[[#This Row],[fecha]]&gt;0,TEXT(Interbank_Soles[[#This Row],[fecha]],"mmmm"),0)</f>
        <v>Octubre</v>
      </c>
    </row>
    <row r="192" spans="1:27" x14ac:dyDescent="0.3">
      <c r="A192" s="2">
        <f>IF(Interbank_Soles[[#This Row],[tipo_registro]]="R",COUNTIFS($C$4:$C191,"R")+1,"")</f>
        <v>149</v>
      </c>
      <c r="B192" s="19" t="str">
        <f>"B-Interbank"</f>
        <v>B-Interbank</v>
      </c>
      <c r="C192" s="3" t="s">
        <v>1330</v>
      </c>
      <c r="D192" s="14">
        <v>45961</v>
      </c>
      <c r="E192" s="5"/>
      <c r="F192" s="5" t="s">
        <v>1336</v>
      </c>
      <c r="G192" s="6"/>
      <c r="H192" s="6"/>
      <c r="I192" s="6"/>
      <c r="J192" s="6"/>
      <c r="K192" s="7" t="s">
        <v>5083</v>
      </c>
      <c r="L192" s="8"/>
      <c r="M192" s="8" t="str">
        <f>"PEN"</f>
        <v>PEN</v>
      </c>
      <c r="N192" s="13"/>
      <c r="O192" s="13">
        <v>8005.3</v>
      </c>
      <c r="P192" s="3">
        <f t="shared" si="29"/>
        <v>0</v>
      </c>
      <c r="Q192" s="3">
        <f t="shared" si="30"/>
        <v>8005.3</v>
      </c>
      <c r="R192" s="3">
        <f>IFERROR(IF(F192="SALDO",P192,R191+P192-Q192),0)</f>
        <v>291.7199999999948</v>
      </c>
      <c r="S192" s="24"/>
      <c r="T192" s="24"/>
      <c r="U192" s="3"/>
      <c r="V192" s="3"/>
      <c r="W192" s="3"/>
      <c r="X192" s="3"/>
      <c r="Y192" s="3"/>
      <c r="Z192" s="3"/>
      <c r="AA192" s="3" t="str">
        <f>IF(Interbank_Soles[[#This Row],[fecha]]&gt;0,TEXT(Interbank_Soles[[#This Row],[fecha]],"mmmm"),0)</f>
        <v>Octubre</v>
      </c>
    </row>
    <row r="193" spans="1:27" ht="36" x14ac:dyDescent="0.3">
      <c r="A193" s="222">
        <f>IF(Interbank_Soles[[#This Row],[tipo_registro]]="R",COUNTIFS($C$4:$C192,"R")+1,"")</f>
        <v>150</v>
      </c>
      <c r="B193" s="19" t="str">
        <f>"B-Interbank"</f>
        <v>B-Interbank</v>
      </c>
      <c r="C193" s="3" t="s">
        <v>1330</v>
      </c>
      <c r="D193" s="223">
        <v>45964</v>
      </c>
      <c r="E193" s="224"/>
      <c r="F193" s="5" t="s">
        <v>1336</v>
      </c>
      <c r="G193" s="6" t="s">
        <v>1207</v>
      </c>
      <c r="H193" s="6"/>
      <c r="I193" s="6"/>
      <c r="J193" s="6"/>
      <c r="K193" s="7" t="s">
        <v>9398</v>
      </c>
      <c r="L193" s="226">
        <v>9557631</v>
      </c>
      <c r="M193" s="226" t="str">
        <f>"PEN"</f>
        <v>PEN</v>
      </c>
      <c r="N193" s="13"/>
      <c r="O193" s="227">
        <v>50</v>
      </c>
      <c r="P193" s="228">
        <f t="shared" si="29"/>
        <v>0</v>
      </c>
      <c r="Q193" s="228">
        <f t="shared" si="30"/>
        <v>50</v>
      </c>
      <c r="R193" s="228">
        <f>IFERROR(IF(F193="SALDO",P193,R192+P193-Q193),0)</f>
        <v>241.7199999999948</v>
      </c>
      <c r="S193" s="229"/>
      <c r="T193" s="229"/>
      <c r="U193" s="228"/>
      <c r="V193" s="3"/>
      <c r="W193" s="3"/>
      <c r="X193" s="3"/>
      <c r="Y193" s="3"/>
      <c r="Z193" s="3"/>
      <c r="AA193" s="228" t="str">
        <f>IF(Interbank_Soles[[#This Row],[fecha]]&gt;0,TEXT(Interbank_Soles[[#This Row],[fecha]],"mmmm"),0)</f>
        <v>Noviembre</v>
      </c>
    </row>
    <row r="200" spans="1:27" x14ac:dyDescent="0.3">
      <c r="B200" s="200"/>
    </row>
  </sheetData>
  <mergeCells count="1">
    <mergeCell ref="A2:AA2"/>
  </mergeCells>
  <conditionalFormatting sqref="A5:AA100035">
    <cfRule type="expression" dxfId="259" priority="1">
      <formula>$T5="OK"</formula>
    </cfRule>
    <cfRule type="expression" dxfId="258" priority="5">
      <formula>$S5="OK"</formula>
    </cfRule>
  </conditionalFormatting>
  <dataValidations count="4">
    <dataValidation type="list" allowBlank="1" showInputMessage="1" showErrorMessage="1" sqref="G176:G180 G138:G159 G193 G169:G170 G172:G174 G161:G165 G5:G136 G182:G190" xr:uid="{2320E5E2-E392-4416-B576-09D17844BB29}">
      <formula1>Proveedores_Clientes</formula1>
    </dataValidation>
    <dataValidation type="list" allowBlank="1" showInputMessage="1" showErrorMessage="1" sqref="H5:H193" xr:uid="{51C30162-76EA-4893-98A3-7B55F9CF8578}">
      <formula1>Documentos</formula1>
    </dataValidation>
    <dataValidation type="list" allowBlank="1" showInputMessage="1" showErrorMessage="1" sqref="F5:F193" xr:uid="{A308460D-107B-4AD7-980A-E9F949544797}">
      <formula1>"SALDO,INGRESO,EGRESO"</formula1>
    </dataValidation>
    <dataValidation type="list" allowBlank="1" showInputMessage="1" showErrorMessage="1" sqref="C5:C193" xr:uid="{0FD811BE-7AD8-4741-B306-22A09600688E}">
      <formula1>"R,D"</formula1>
    </dataValidation>
  </dataValidations>
  <hyperlinks>
    <hyperlink ref="U114" r:id="rId1" xr:uid="{30CD9888-2305-45E6-B09E-480FAFE357D3}"/>
  </hyperlinks>
  <printOptions horizontalCentered="1"/>
  <pageMargins left="0.11811023622047245" right="0.11811023622047245" top="0.35433070866141736" bottom="0.35433070866141736" header="0.31496062992125984" footer="0.31496062992125984"/>
  <pageSetup paperSize="9" scale="48" fitToHeight="0" orientation="landscape"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DA78E-7B4C-4062-B660-A7878E45CCFA}">
  <sheetPr codeName="Hoja5">
    <tabColor theme="6"/>
    <pageSetUpPr fitToPage="1"/>
  </sheetPr>
  <dimension ref="A1:AB51"/>
  <sheetViews>
    <sheetView showGridLines="0" zoomScaleNormal="100" zoomScaleSheetLayoutView="100" workbookViewId="0">
      <selection sqref="A1:AA1"/>
    </sheetView>
  </sheetViews>
  <sheetFormatPr defaultColWidth="11.44140625" defaultRowHeight="14.4" outlineLevelCol="1" x14ac:dyDescent="0.3"/>
  <cols>
    <col min="1" max="1" width="9.44140625" bestFit="1" customWidth="1"/>
    <col min="2" max="2" width="16.44140625" customWidth="1"/>
    <col min="3" max="3" width="13.44140625" bestFit="1" customWidth="1"/>
    <col min="4" max="4" width="10.6640625" bestFit="1" customWidth="1"/>
    <col min="5" max="5" width="14.33203125" customWidth="1"/>
    <col min="6" max="6" width="11.6640625" bestFit="1" customWidth="1"/>
    <col min="7" max="7" width="17" bestFit="1" customWidth="1"/>
    <col min="8" max="8" width="16" customWidth="1"/>
    <col min="9" max="9" width="10.109375" bestFit="1" customWidth="1"/>
    <col min="10" max="10" width="12.44140625" bestFit="1" customWidth="1"/>
    <col min="11" max="11" width="40.44140625" bestFit="1" customWidth="1"/>
    <col min="12" max="12" width="15" bestFit="1" customWidth="1"/>
    <col min="13" max="13" width="12.44140625" bestFit="1" customWidth="1"/>
    <col min="14" max="14" width="12.109375" bestFit="1" customWidth="1"/>
    <col min="15" max="15" width="11.44140625" bestFit="1" customWidth="1"/>
    <col min="16" max="17" width="11.33203125" bestFit="1" customWidth="1"/>
    <col min="18" max="18" width="10.88671875" bestFit="1" customWidth="1"/>
    <col min="19" max="19" width="12" bestFit="1" customWidth="1"/>
    <col min="20" max="20" width="13" bestFit="1" customWidth="1"/>
    <col min="21" max="21" width="15.88671875" bestFit="1" customWidth="1"/>
    <col min="22" max="26" width="17.109375" hidden="1" customWidth="1" outlineLevel="1"/>
    <col min="27" max="27" width="12.88671875" hidden="1" customWidth="1" outlineLevel="1"/>
    <col min="28" max="28" width="11.44140625" collapsed="1"/>
  </cols>
  <sheetData>
    <row r="1" spans="1:27" x14ac:dyDescent="0.3">
      <c r="A1" s="263" t="s">
        <v>9536</v>
      </c>
      <c r="B1" s="263" t="s">
        <v>9537</v>
      </c>
      <c r="C1" s="263" t="s">
        <v>9538</v>
      </c>
      <c r="D1" s="263" t="s">
        <v>9539</v>
      </c>
      <c r="E1" s="263" t="s">
        <v>9540</v>
      </c>
      <c r="F1" s="263" t="s">
        <v>9541</v>
      </c>
      <c r="G1" s="263" t="s">
        <v>9542</v>
      </c>
      <c r="H1" s="263" t="s">
        <v>9543</v>
      </c>
      <c r="I1" s="263" t="s">
        <v>9544</v>
      </c>
      <c r="J1" s="263" t="s">
        <v>9545</v>
      </c>
      <c r="K1" s="263" t="s">
        <v>9546</v>
      </c>
      <c r="L1" s="263" t="s">
        <v>9547</v>
      </c>
      <c r="M1" s="263" t="s">
        <v>9548</v>
      </c>
      <c r="N1" s="263" t="s">
        <v>9549</v>
      </c>
      <c r="O1" s="263" t="s">
        <v>9550</v>
      </c>
      <c r="P1" s="263" t="s">
        <v>9551</v>
      </c>
      <c r="Q1" s="263" t="s">
        <v>9552</v>
      </c>
      <c r="R1" s="263" t="s">
        <v>9553</v>
      </c>
      <c r="S1" s="263" t="s">
        <v>9554</v>
      </c>
      <c r="T1" s="263" t="s">
        <v>9555</v>
      </c>
      <c r="U1" s="263" t="s">
        <v>9556</v>
      </c>
      <c r="V1" s="263" t="s">
        <v>9557</v>
      </c>
      <c r="W1" s="263" t="s">
        <v>9558</v>
      </c>
      <c r="X1" s="263" t="s">
        <v>9559</v>
      </c>
      <c r="Y1" s="263" t="s">
        <v>9560</v>
      </c>
      <c r="Z1" s="263" t="s">
        <v>9561</v>
      </c>
      <c r="AA1" s="263" t="s">
        <v>9562</v>
      </c>
    </row>
    <row r="2" spans="1:27" hidden="1" x14ac:dyDescent="0.3">
      <c r="A2" s="16">
        <f>IF(Bbva_Soles[[#This Row],[tipo_registro]]="R",COUNTIFS($C$1:$C1,"R")+1,"")</f>
        <v>1</v>
      </c>
      <c r="B2" s="18" t="str">
        <f t="shared" ref="B2:B35" si="0">"B-BBVA"</f>
        <v>B-BBVA</v>
      </c>
      <c r="C2" s="13" t="s">
        <v>1330</v>
      </c>
      <c r="D2" s="4">
        <v>45658</v>
      </c>
      <c r="E2" s="5" t="s">
        <v>1331</v>
      </c>
      <c r="F2" s="6" t="s">
        <v>1320</v>
      </c>
      <c r="G2" s="6"/>
      <c r="H2" s="6"/>
      <c r="I2" s="6"/>
      <c r="J2" s="6"/>
      <c r="K2" s="7" t="s">
        <v>1332</v>
      </c>
      <c r="L2" s="8" t="s">
        <v>1333</v>
      </c>
      <c r="M2" s="8" t="str">
        <f t="shared" ref="M2:M32" si="1">"PEN"</f>
        <v>PEN</v>
      </c>
      <c r="N2" s="13"/>
      <c r="O2" s="13">
        <v>1197.7</v>
      </c>
      <c r="P2" s="13">
        <f t="shared" ref="P2:P35" si="2">+IF(OR($F2="SALDO",$F2="INGRESO"),$O2,0)</f>
        <v>1197.7</v>
      </c>
      <c r="Q2" s="13">
        <f t="shared" ref="Q2:Q35" si="3">+IF($F2="EGRESO",$O2,0)</f>
        <v>0</v>
      </c>
      <c r="R2" s="13">
        <f>IFERROR(IF(F2="SALDO",P2,R1+P2-Q2),0)</f>
        <v>1197.7</v>
      </c>
      <c r="S2" s="28" t="s">
        <v>1334</v>
      </c>
      <c r="T2" s="28"/>
      <c r="U2" s="17"/>
      <c r="V2" s="17"/>
      <c r="W2" s="17"/>
      <c r="X2" s="17"/>
      <c r="Y2" s="17"/>
      <c r="Z2" s="17"/>
      <c r="AA2" s="13" t="str">
        <f>IF(Bbva_Soles[[#This Row],[fecha]]&gt;0,TEXT(Bbva_Soles[[#This Row],[fecha]],"mmmm"),0)</f>
        <v>Enero</v>
      </c>
    </row>
    <row r="3" spans="1:27" hidden="1" x14ac:dyDescent="0.3">
      <c r="A3" s="2">
        <f>IF(Bbva_Soles[[#This Row],[tipo_registro]]="R",COUNTIFS($C$1:$C2,"R")+1,"")</f>
        <v>2</v>
      </c>
      <c r="B3" s="19" t="str">
        <f t="shared" si="0"/>
        <v>B-BBVA</v>
      </c>
      <c r="C3" s="3" t="s">
        <v>1330</v>
      </c>
      <c r="D3" s="14">
        <v>45666</v>
      </c>
      <c r="E3" s="5" t="s">
        <v>225</v>
      </c>
      <c r="F3" s="5" t="s">
        <v>1303</v>
      </c>
      <c r="G3" s="6" t="s">
        <v>425</v>
      </c>
      <c r="H3" s="6" t="s">
        <v>68</v>
      </c>
      <c r="I3" s="6" t="s">
        <v>1343</v>
      </c>
      <c r="J3" s="6">
        <v>493</v>
      </c>
      <c r="K3" s="7" t="s">
        <v>5182</v>
      </c>
      <c r="L3" s="8">
        <v>542</v>
      </c>
      <c r="M3" s="8" t="str">
        <f t="shared" si="1"/>
        <v>PEN</v>
      </c>
      <c r="N3" s="13"/>
      <c r="O3" s="13">
        <v>871.02</v>
      </c>
      <c r="P3" s="3">
        <f t="shared" si="2"/>
        <v>871.02</v>
      </c>
      <c r="Q3" s="3">
        <f t="shared" si="3"/>
        <v>0</v>
      </c>
      <c r="R3" s="3">
        <f t="shared" ref="R3:R38" si="4">IFERROR(IF(F3="SALDO",P3,R2+P3-Q3),0)</f>
        <v>2068.7200000000003</v>
      </c>
      <c r="S3" s="24" t="s">
        <v>1334</v>
      </c>
      <c r="T3" s="24" t="s">
        <v>1334</v>
      </c>
      <c r="U3" s="3"/>
      <c r="V3" s="3" t="s">
        <v>1345</v>
      </c>
      <c r="W3" s="3" t="s">
        <v>5183</v>
      </c>
      <c r="X3" s="3"/>
      <c r="Y3" s="3"/>
      <c r="Z3" s="3"/>
      <c r="AA3" s="3" t="str">
        <f>IF(Bbva_Soles[[#This Row],[fecha]]&gt;0,TEXT(Bbva_Soles[[#This Row],[fecha]],"mmmm"),0)</f>
        <v>Enero</v>
      </c>
    </row>
    <row r="4" spans="1:27" hidden="1" x14ac:dyDescent="0.3">
      <c r="A4" s="2">
        <f>IF(Bbva_Soles[[#This Row],[tipo_registro]]="R",COUNTIFS($C$1:$C3,"R")+1,"")</f>
        <v>3</v>
      </c>
      <c r="B4" s="19" t="str">
        <f t="shared" si="0"/>
        <v>B-BBVA</v>
      </c>
      <c r="C4" s="3" t="s">
        <v>1330</v>
      </c>
      <c r="D4" s="14">
        <v>45678</v>
      </c>
      <c r="E4" s="5" t="s">
        <v>225</v>
      </c>
      <c r="F4" s="5" t="s">
        <v>1303</v>
      </c>
      <c r="G4" s="6"/>
      <c r="H4" s="6"/>
      <c r="I4" s="6"/>
      <c r="J4" s="6"/>
      <c r="K4" s="7" t="s">
        <v>5182</v>
      </c>
      <c r="L4" s="8">
        <v>543</v>
      </c>
      <c r="M4" s="8" t="str">
        <f t="shared" si="1"/>
        <v>PEN</v>
      </c>
      <c r="N4" s="13"/>
      <c r="O4" s="13">
        <v>1062.8800000000001</v>
      </c>
      <c r="P4" s="3">
        <f t="shared" si="2"/>
        <v>1062.8800000000001</v>
      </c>
      <c r="Q4" s="3">
        <f t="shared" si="3"/>
        <v>0</v>
      </c>
      <c r="R4" s="3">
        <f t="shared" si="4"/>
        <v>3131.6000000000004</v>
      </c>
      <c r="S4" s="24" t="s">
        <v>1334</v>
      </c>
      <c r="T4" s="24" t="s">
        <v>1334</v>
      </c>
      <c r="U4" s="3"/>
      <c r="V4" s="3" t="s">
        <v>1345</v>
      </c>
      <c r="W4" s="3" t="s">
        <v>5184</v>
      </c>
      <c r="X4" s="3"/>
      <c r="Y4" s="3"/>
      <c r="Z4" s="3"/>
      <c r="AA4" s="3" t="str">
        <f>IF(Bbva_Soles[[#This Row],[fecha]]&gt;0,TEXT(Bbva_Soles[[#This Row],[fecha]],"mmmm"),0)</f>
        <v>Enero</v>
      </c>
    </row>
    <row r="5" spans="1:27" hidden="1" x14ac:dyDescent="0.3">
      <c r="A5" s="2">
        <f>IF(Bbva_Soles[[#This Row],[tipo_registro]]="R",COUNTIFS($C$1:$C4,"R")+1,"")</f>
        <v>4</v>
      </c>
      <c r="B5" s="19" t="str">
        <f t="shared" si="0"/>
        <v>B-BBVA</v>
      </c>
      <c r="C5" s="3" t="s">
        <v>1330</v>
      </c>
      <c r="D5" s="14">
        <v>45678</v>
      </c>
      <c r="E5" s="5" t="s">
        <v>5185</v>
      </c>
      <c r="F5" s="5" t="s">
        <v>1336</v>
      </c>
      <c r="G5" s="6"/>
      <c r="H5" s="6"/>
      <c r="I5" s="6"/>
      <c r="J5" s="6"/>
      <c r="K5" s="7" t="s">
        <v>1337</v>
      </c>
      <c r="L5" s="8">
        <v>544</v>
      </c>
      <c r="M5" s="8" t="str">
        <f t="shared" si="1"/>
        <v>PEN</v>
      </c>
      <c r="N5" s="13"/>
      <c r="O5" s="13">
        <v>0.05</v>
      </c>
      <c r="P5" s="3">
        <f t="shared" si="2"/>
        <v>0</v>
      </c>
      <c r="Q5" s="3">
        <f t="shared" si="3"/>
        <v>0.05</v>
      </c>
      <c r="R5" s="3">
        <f t="shared" si="4"/>
        <v>3131.55</v>
      </c>
      <c r="S5" s="24" t="s">
        <v>1334</v>
      </c>
      <c r="T5" s="24" t="s">
        <v>1334</v>
      </c>
      <c r="U5" s="3"/>
      <c r="V5" s="3"/>
      <c r="W5" s="3"/>
      <c r="X5" s="3"/>
      <c r="Y5" s="3"/>
      <c r="Z5" s="3"/>
      <c r="AA5" s="3" t="str">
        <f>IF(Bbva_Soles[[#This Row],[fecha]]&gt;0,TEXT(Bbva_Soles[[#This Row],[fecha]],"mmmm"),0)</f>
        <v>Enero</v>
      </c>
    </row>
    <row r="6" spans="1:27" ht="24" hidden="1" x14ac:dyDescent="0.3">
      <c r="A6" s="2">
        <f>IF(Bbva_Soles[[#This Row],[tipo_registro]]="R",COUNTIFS($C$1:$C5,"R")+1,"")</f>
        <v>5</v>
      </c>
      <c r="B6" s="19" t="str">
        <f t="shared" si="0"/>
        <v>B-BBVA</v>
      </c>
      <c r="C6" s="3" t="s">
        <v>1330</v>
      </c>
      <c r="D6" s="14">
        <v>45688</v>
      </c>
      <c r="E6" s="5" t="s">
        <v>446</v>
      </c>
      <c r="F6" s="5" t="s">
        <v>1303</v>
      </c>
      <c r="G6" s="6" t="s">
        <v>425</v>
      </c>
      <c r="H6" s="6" t="s">
        <v>68</v>
      </c>
      <c r="I6" s="6" t="s">
        <v>1343</v>
      </c>
      <c r="J6" s="6">
        <v>61</v>
      </c>
      <c r="K6" s="7" t="s">
        <v>5186</v>
      </c>
      <c r="L6" s="8">
        <v>545</v>
      </c>
      <c r="M6" s="8" t="str">
        <f t="shared" si="1"/>
        <v>PEN</v>
      </c>
      <c r="N6" s="13"/>
      <c r="O6" s="13">
        <v>536</v>
      </c>
      <c r="P6" s="3">
        <f t="shared" si="2"/>
        <v>536</v>
      </c>
      <c r="Q6" s="3">
        <f t="shared" si="3"/>
        <v>0</v>
      </c>
      <c r="R6" s="3">
        <f t="shared" si="4"/>
        <v>3667.55</v>
      </c>
      <c r="S6" s="24" t="s">
        <v>1334</v>
      </c>
      <c r="T6" s="24" t="s">
        <v>1334</v>
      </c>
      <c r="U6" s="3"/>
      <c r="V6" s="3" t="s">
        <v>1345</v>
      </c>
      <c r="W6" s="3" t="s">
        <v>5187</v>
      </c>
      <c r="X6" s="3"/>
      <c r="Y6" s="3"/>
      <c r="Z6" s="3"/>
      <c r="AA6" s="3" t="str">
        <f>IF(Bbva_Soles[[#This Row],[fecha]]&gt;0,TEXT(Bbva_Soles[[#This Row],[fecha]],"mmmm"),0)</f>
        <v>Enero</v>
      </c>
    </row>
    <row r="7" spans="1:27" x14ac:dyDescent="0.3">
      <c r="A7" s="2">
        <f>IF(Bbva_Soles[[#This Row],[tipo_registro]]="R",COUNTIFS($C$1:$C6,"R")+1,"")</f>
        <v>6</v>
      </c>
      <c r="B7" s="19" t="str">
        <f t="shared" si="0"/>
        <v>B-BBVA</v>
      </c>
      <c r="C7" s="3" t="s">
        <v>1330</v>
      </c>
      <c r="D7" s="14">
        <v>45688</v>
      </c>
      <c r="E7" s="5" t="s">
        <v>5185</v>
      </c>
      <c r="F7" s="5" t="s">
        <v>1336</v>
      </c>
      <c r="G7" s="6" t="s">
        <v>1208</v>
      </c>
      <c r="H7" s="6" t="s">
        <v>68</v>
      </c>
      <c r="I7" s="6" t="s">
        <v>5188</v>
      </c>
      <c r="J7" s="6">
        <v>20247751</v>
      </c>
      <c r="K7" s="7" t="s">
        <v>5189</v>
      </c>
      <c r="L7" s="8">
        <v>546</v>
      </c>
      <c r="M7" s="8" t="str">
        <f t="shared" si="1"/>
        <v>PEN</v>
      </c>
      <c r="N7" s="13"/>
      <c r="O7" s="13">
        <v>30</v>
      </c>
      <c r="P7" s="3">
        <f t="shared" si="2"/>
        <v>0</v>
      </c>
      <c r="Q7" s="3">
        <f t="shared" si="3"/>
        <v>30</v>
      </c>
      <c r="R7" s="3">
        <f t="shared" si="4"/>
        <v>3637.55</v>
      </c>
      <c r="S7" s="24" t="s">
        <v>1334</v>
      </c>
      <c r="T7" s="24" t="s">
        <v>1334</v>
      </c>
      <c r="U7" s="3"/>
      <c r="V7" s="3"/>
      <c r="W7" s="3"/>
      <c r="X7" s="3"/>
      <c r="Y7" s="3"/>
      <c r="Z7" s="3"/>
      <c r="AA7" s="3" t="str">
        <f>IF(Bbva_Soles[[#This Row],[fecha]]&gt;0,TEXT(Bbva_Soles[[#This Row],[fecha]],"mmmm"),0)</f>
        <v>Enero</v>
      </c>
    </row>
    <row r="8" spans="1:27" x14ac:dyDescent="0.3">
      <c r="A8" s="2">
        <f>IF(Bbva_Soles[[#This Row],[tipo_registro]]="R",COUNTIFS($C$1:$C7,"R")+1,"")</f>
        <v>7</v>
      </c>
      <c r="B8" s="19" t="str">
        <f t="shared" si="0"/>
        <v>B-BBVA</v>
      </c>
      <c r="C8" s="3" t="s">
        <v>1330</v>
      </c>
      <c r="D8" s="14">
        <v>45699</v>
      </c>
      <c r="E8" s="5" t="s">
        <v>5185</v>
      </c>
      <c r="F8" s="5" t="s">
        <v>1336</v>
      </c>
      <c r="G8" s="6" t="s">
        <v>1208</v>
      </c>
      <c r="H8" s="6" t="s">
        <v>68</v>
      </c>
      <c r="I8" s="6" t="s">
        <v>5188</v>
      </c>
      <c r="J8" s="6">
        <v>20502943</v>
      </c>
      <c r="K8" s="7" t="s">
        <v>5190</v>
      </c>
      <c r="L8" s="8">
        <v>547</v>
      </c>
      <c r="M8" s="8" t="str">
        <f t="shared" si="1"/>
        <v>PEN</v>
      </c>
      <c r="N8" s="13"/>
      <c r="O8" s="13">
        <v>225</v>
      </c>
      <c r="P8" s="3">
        <f t="shared" si="2"/>
        <v>0</v>
      </c>
      <c r="Q8" s="3">
        <f t="shared" si="3"/>
        <v>225</v>
      </c>
      <c r="R8" s="3">
        <f t="shared" si="4"/>
        <v>3412.55</v>
      </c>
      <c r="S8" s="24" t="s">
        <v>1334</v>
      </c>
      <c r="T8" s="24" t="s">
        <v>1334</v>
      </c>
      <c r="U8" s="3"/>
      <c r="V8" s="3"/>
      <c r="W8" s="3" t="s">
        <v>5191</v>
      </c>
      <c r="X8" s="3"/>
      <c r="Y8" s="3"/>
      <c r="Z8" s="3"/>
      <c r="AA8" s="3" t="str">
        <f>IF(Bbva_Soles[[#This Row],[fecha]]&gt;0,TEXT(Bbva_Soles[[#This Row],[fecha]],"mmmm"),0)</f>
        <v>Febrero</v>
      </c>
    </row>
    <row r="9" spans="1:27" x14ac:dyDescent="0.3">
      <c r="A9" s="2">
        <f>IF(Bbva_Soles[[#This Row],[tipo_registro]]="R",COUNTIFS($C$1:$C8,"R")+1,"")</f>
        <v>8</v>
      </c>
      <c r="B9" s="19" t="str">
        <f t="shared" si="0"/>
        <v>B-BBVA</v>
      </c>
      <c r="C9" s="3" t="s">
        <v>1330</v>
      </c>
      <c r="D9" s="14">
        <v>45716</v>
      </c>
      <c r="E9" s="5" t="s">
        <v>5185</v>
      </c>
      <c r="F9" s="5" t="s">
        <v>1336</v>
      </c>
      <c r="G9" s="6" t="s">
        <v>1208</v>
      </c>
      <c r="H9" s="6" t="s">
        <v>68</v>
      </c>
      <c r="I9" s="6" t="s">
        <v>5188</v>
      </c>
      <c r="J9" s="6">
        <v>20673136</v>
      </c>
      <c r="K9" s="7" t="s">
        <v>5189</v>
      </c>
      <c r="L9" s="8">
        <v>548</v>
      </c>
      <c r="M9" s="8" t="str">
        <f t="shared" si="1"/>
        <v>PEN</v>
      </c>
      <c r="N9" s="13"/>
      <c r="O9" s="13">
        <v>30</v>
      </c>
      <c r="P9" s="3">
        <f t="shared" si="2"/>
        <v>0</v>
      </c>
      <c r="Q9" s="3">
        <f t="shared" si="3"/>
        <v>30</v>
      </c>
      <c r="R9" s="3">
        <f t="shared" si="4"/>
        <v>3382.55</v>
      </c>
      <c r="S9" s="24" t="s">
        <v>1334</v>
      </c>
      <c r="T9" s="24" t="s">
        <v>1334</v>
      </c>
      <c r="U9" s="3"/>
      <c r="V9" s="3"/>
      <c r="W9" s="3" t="s">
        <v>5192</v>
      </c>
      <c r="X9" s="3"/>
      <c r="Y9" s="3"/>
      <c r="Z9" s="3"/>
      <c r="AA9" s="3" t="str">
        <f>IF(Bbva_Soles[[#This Row],[fecha]]&gt;0,TEXT(Bbva_Soles[[#This Row],[fecha]],"mmmm"),0)</f>
        <v>Febrero</v>
      </c>
    </row>
    <row r="10" spans="1:27" x14ac:dyDescent="0.3">
      <c r="A10" s="2">
        <f>IF(Bbva_Soles[[#This Row],[tipo_registro]]="R",COUNTIFS($C$1:$C9,"R")+1,"")</f>
        <v>9</v>
      </c>
      <c r="B10" s="19" t="str">
        <f t="shared" si="0"/>
        <v>B-BBVA</v>
      </c>
      <c r="C10" s="3" t="s">
        <v>1330</v>
      </c>
      <c r="D10" s="14">
        <v>45747</v>
      </c>
      <c r="E10" s="5" t="s">
        <v>5185</v>
      </c>
      <c r="F10" s="5" t="s">
        <v>1336</v>
      </c>
      <c r="G10" s="6" t="s">
        <v>1208</v>
      </c>
      <c r="H10" s="6" t="s">
        <v>68</v>
      </c>
      <c r="I10" s="6" t="s">
        <v>5193</v>
      </c>
      <c r="J10" s="6">
        <v>21111080</v>
      </c>
      <c r="K10" s="7" t="s">
        <v>5189</v>
      </c>
      <c r="L10" s="8">
        <v>549</v>
      </c>
      <c r="M10" s="8" t="str">
        <f t="shared" si="1"/>
        <v>PEN</v>
      </c>
      <c r="N10" s="13"/>
      <c r="O10" s="13">
        <v>30</v>
      </c>
      <c r="P10" s="3">
        <f t="shared" si="2"/>
        <v>0</v>
      </c>
      <c r="Q10" s="3">
        <f t="shared" si="3"/>
        <v>30</v>
      </c>
      <c r="R10" s="3">
        <f t="shared" si="4"/>
        <v>3352.55</v>
      </c>
      <c r="S10" s="24" t="s">
        <v>1334</v>
      </c>
      <c r="T10" s="24" t="s">
        <v>1334</v>
      </c>
      <c r="U10" s="3"/>
      <c r="V10" s="3"/>
      <c r="W10" s="3" t="s">
        <v>5194</v>
      </c>
      <c r="X10" s="3"/>
      <c r="Y10" s="3"/>
      <c r="Z10" s="3"/>
      <c r="AA10" s="3" t="str">
        <f>IF(Bbva_Soles[[#This Row],[fecha]]&gt;0,TEXT(Bbva_Soles[[#This Row],[fecha]],"mmmm"),0)</f>
        <v>Marzo</v>
      </c>
    </row>
    <row r="11" spans="1:27" x14ac:dyDescent="0.3">
      <c r="A11" s="2">
        <f>IF(Bbva_Soles[[#This Row],[tipo_registro]]="R",COUNTIFS($C$1:$C10,"R")+1,"")</f>
        <v>10</v>
      </c>
      <c r="B11" s="19" t="str">
        <f t="shared" si="0"/>
        <v>B-BBVA</v>
      </c>
      <c r="C11" s="3" t="s">
        <v>1330</v>
      </c>
      <c r="D11" s="14">
        <v>45777</v>
      </c>
      <c r="E11" s="5" t="s">
        <v>5185</v>
      </c>
      <c r="F11" s="5" t="s">
        <v>1336</v>
      </c>
      <c r="G11" s="6" t="s">
        <v>1208</v>
      </c>
      <c r="H11" s="6" t="s">
        <v>68</v>
      </c>
      <c r="I11" s="6" t="s">
        <v>5193</v>
      </c>
      <c r="J11" s="6">
        <v>21551579</v>
      </c>
      <c r="K11" s="7" t="s">
        <v>5189</v>
      </c>
      <c r="L11" s="8" t="s">
        <v>5195</v>
      </c>
      <c r="M11" s="8" t="str">
        <f t="shared" si="1"/>
        <v>PEN</v>
      </c>
      <c r="N11" s="13"/>
      <c r="O11" s="13">
        <v>30</v>
      </c>
      <c r="P11" s="3">
        <f t="shared" si="2"/>
        <v>0</v>
      </c>
      <c r="Q11" s="3">
        <f t="shared" si="3"/>
        <v>30</v>
      </c>
      <c r="R11" s="3">
        <f t="shared" si="4"/>
        <v>3322.55</v>
      </c>
      <c r="S11" s="24" t="s">
        <v>1334</v>
      </c>
      <c r="T11" s="24" t="s">
        <v>1334</v>
      </c>
      <c r="U11" s="3"/>
      <c r="V11" s="3"/>
      <c r="W11" s="3" t="s">
        <v>5196</v>
      </c>
      <c r="X11" s="3"/>
      <c r="Y11" s="3"/>
      <c r="Z11" s="3"/>
      <c r="AA11" s="3" t="str">
        <f>IF(Bbva_Soles[[#This Row],[fecha]]&gt;0,TEXT(Bbva_Soles[[#This Row],[fecha]],"mmmm"),0)</f>
        <v>Abril</v>
      </c>
    </row>
    <row r="12" spans="1:27" hidden="1" x14ac:dyDescent="0.3">
      <c r="A12" s="2">
        <f>IF(Bbva_Soles[[#This Row],[tipo_registro]]="R",COUNTIFS($C$1:$C11,"R")+1,"")</f>
        <v>11</v>
      </c>
      <c r="B12" s="19" t="str">
        <f t="shared" si="0"/>
        <v>B-BBVA</v>
      </c>
      <c r="C12" s="3" t="s">
        <v>1330</v>
      </c>
      <c r="D12" s="14">
        <v>45777</v>
      </c>
      <c r="E12" s="5" t="s">
        <v>5185</v>
      </c>
      <c r="F12" s="5" t="s">
        <v>1336</v>
      </c>
      <c r="G12" s="6"/>
      <c r="H12" s="6"/>
      <c r="I12" s="6"/>
      <c r="J12" s="6"/>
      <c r="K12" s="7" t="s">
        <v>1337</v>
      </c>
      <c r="L12" s="8">
        <v>551</v>
      </c>
      <c r="M12" s="8" t="str">
        <f t="shared" si="1"/>
        <v>PEN</v>
      </c>
      <c r="N12" s="13"/>
      <c r="O12" s="13">
        <v>1.5</v>
      </c>
      <c r="P12" s="3">
        <f t="shared" si="2"/>
        <v>0</v>
      </c>
      <c r="Q12" s="3">
        <f t="shared" si="3"/>
        <v>1.5</v>
      </c>
      <c r="R12" s="3">
        <f t="shared" si="4"/>
        <v>3321.05</v>
      </c>
      <c r="S12" s="24"/>
      <c r="T12" s="24" t="s">
        <v>1334</v>
      </c>
      <c r="U12" s="3"/>
      <c r="V12" s="3"/>
      <c r="W12" s="3"/>
      <c r="X12" s="3"/>
      <c r="Y12" s="3"/>
      <c r="Z12" s="3"/>
      <c r="AA12" s="3" t="str">
        <f>IF(Bbva_Soles[[#This Row],[fecha]]&gt;0,TEXT(Bbva_Soles[[#This Row],[fecha]],"mmmm"),0)</f>
        <v>Abril</v>
      </c>
    </row>
    <row r="13" spans="1:27" hidden="1" x14ac:dyDescent="0.3">
      <c r="A13" s="2">
        <f>IF(Bbva_Soles[[#This Row],[tipo_registro]]="R",COUNTIFS($C$1:$C12,"R")+1,"")</f>
        <v>12</v>
      </c>
      <c r="B13" s="19" t="str">
        <f t="shared" si="0"/>
        <v>B-BBVA</v>
      </c>
      <c r="C13" s="3" t="s">
        <v>1330</v>
      </c>
      <c r="D13" s="14">
        <v>45777</v>
      </c>
      <c r="E13" s="5" t="s">
        <v>5185</v>
      </c>
      <c r="F13" s="5" t="s">
        <v>1336</v>
      </c>
      <c r="G13" s="6"/>
      <c r="H13" s="6"/>
      <c r="I13" s="6"/>
      <c r="J13" s="6"/>
      <c r="K13" s="7" t="s">
        <v>1337</v>
      </c>
      <c r="L13" s="8">
        <v>553</v>
      </c>
      <c r="M13" s="8" t="str">
        <f t="shared" si="1"/>
        <v>PEN</v>
      </c>
      <c r="N13" s="13"/>
      <c r="O13" s="13">
        <v>1.5</v>
      </c>
      <c r="P13" s="3">
        <f t="shared" si="2"/>
        <v>0</v>
      </c>
      <c r="Q13" s="3">
        <f t="shared" si="3"/>
        <v>1.5</v>
      </c>
      <c r="R13" s="3">
        <f t="shared" si="4"/>
        <v>3319.55</v>
      </c>
      <c r="S13" s="24"/>
      <c r="T13" s="24" t="s">
        <v>1334</v>
      </c>
      <c r="U13" s="3"/>
      <c r="V13" s="3"/>
      <c r="W13" s="3"/>
      <c r="X13" s="3"/>
      <c r="Y13" s="3"/>
      <c r="Z13" s="3"/>
      <c r="AA13" s="3" t="str">
        <f>IF(Bbva_Soles[[#This Row],[fecha]]&gt;0,TEXT(Bbva_Soles[[#This Row],[fecha]],"mmmm"),0)</f>
        <v>Abril</v>
      </c>
    </row>
    <row r="14" spans="1:27" hidden="1" x14ac:dyDescent="0.3">
      <c r="A14" s="2">
        <f>IF(Bbva_Soles[[#This Row],[tipo_registro]]="R",COUNTIFS($C$1:$C13,"R")+1,"")</f>
        <v>13</v>
      </c>
      <c r="B14" s="19" t="str">
        <f t="shared" si="0"/>
        <v>B-BBVA</v>
      </c>
      <c r="C14" s="3" t="s">
        <v>1330</v>
      </c>
      <c r="D14" s="14">
        <v>45777</v>
      </c>
      <c r="E14" s="5" t="s">
        <v>5185</v>
      </c>
      <c r="F14" s="5" t="s">
        <v>1336</v>
      </c>
      <c r="G14" s="6"/>
      <c r="H14" s="6"/>
      <c r="I14" s="6"/>
      <c r="J14" s="6"/>
      <c r="K14" s="7" t="s">
        <v>1337</v>
      </c>
      <c r="L14" s="8">
        <v>555</v>
      </c>
      <c r="M14" s="8" t="str">
        <f t="shared" si="1"/>
        <v>PEN</v>
      </c>
      <c r="N14" s="13"/>
      <c r="O14" s="13">
        <v>0.45</v>
      </c>
      <c r="P14" s="3">
        <f t="shared" si="2"/>
        <v>0</v>
      </c>
      <c r="Q14" s="3">
        <f t="shared" si="3"/>
        <v>0.45</v>
      </c>
      <c r="R14" s="3">
        <f t="shared" si="4"/>
        <v>3319.1000000000004</v>
      </c>
      <c r="S14" s="24"/>
      <c r="T14" s="24" t="s">
        <v>1334</v>
      </c>
      <c r="U14" s="3"/>
      <c r="V14" s="3"/>
      <c r="W14" s="3"/>
      <c r="X14" s="3"/>
      <c r="Y14" s="3"/>
      <c r="Z14" s="3"/>
      <c r="AA14" s="3" t="str">
        <f>IF(Bbva_Soles[[#This Row],[fecha]]&gt;0,TEXT(Bbva_Soles[[#This Row],[fecha]],"mmmm"),0)</f>
        <v>Abril</v>
      </c>
    </row>
    <row r="15" spans="1:27" hidden="1" x14ac:dyDescent="0.3">
      <c r="A15" s="2">
        <f>IF(Bbva_Soles[[#This Row],[tipo_registro]]="R",COUNTIFS($C$1:$C14,"R")+1,"")</f>
        <v>14</v>
      </c>
      <c r="B15" s="19" t="str">
        <f t="shared" si="0"/>
        <v>B-BBVA</v>
      </c>
      <c r="C15" s="3" t="s">
        <v>1330</v>
      </c>
      <c r="D15" s="14">
        <v>45777</v>
      </c>
      <c r="E15" s="5" t="s">
        <v>5185</v>
      </c>
      <c r="F15" s="5" t="s">
        <v>1336</v>
      </c>
      <c r="G15" s="6"/>
      <c r="H15" s="6"/>
      <c r="I15" s="6"/>
      <c r="J15" s="6"/>
      <c r="K15" s="7" t="s">
        <v>1337</v>
      </c>
      <c r="L15" s="8">
        <v>557</v>
      </c>
      <c r="M15" s="8" t="str">
        <f t="shared" si="1"/>
        <v>PEN</v>
      </c>
      <c r="N15" s="13"/>
      <c r="O15" s="13">
        <v>0.05</v>
      </c>
      <c r="P15" s="3">
        <f t="shared" si="2"/>
        <v>0</v>
      </c>
      <c r="Q15" s="3">
        <f t="shared" si="3"/>
        <v>0.05</v>
      </c>
      <c r="R15" s="3">
        <f t="shared" si="4"/>
        <v>3319.05</v>
      </c>
      <c r="S15" s="24"/>
      <c r="T15" s="24" t="s">
        <v>1334</v>
      </c>
      <c r="U15" s="3"/>
      <c r="V15" s="3"/>
      <c r="W15" s="3"/>
      <c r="X15" s="3"/>
      <c r="Y15" s="3"/>
      <c r="Z15" s="3"/>
      <c r="AA15" s="3" t="str">
        <f>IF(Bbva_Soles[[#This Row],[fecha]]&gt;0,TEXT(Bbva_Soles[[#This Row],[fecha]],"mmmm"),0)</f>
        <v>Abril</v>
      </c>
    </row>
    <row r="16" spans="1:27" ht="24" hidden="1" x14ac:dyDescent="0.3">
      <c r="A16" s="2">
        <f>IF(Bbva_Soles[[#This Row],[tipo_registro]]="R",COUNTIFS($C$1:$C15,"R")+1,"")</f>
        <v>15</v>
      </c>
      <c r="B16" s="19" t="str">
        <f t="shared" si="0"/>
        <v>B-BBVA</v>
      </c>
      <c r="C16" s="3" t="s">
        <v>1330</v>
      </c>
      <c r="D16" s="14">
        <v>45777</v>
      </c>
      <c r="E16" s="5" t="s">
        <v>601</v>
      </c>
      <c r="F16" s="5" t="s">
        <v>1303</v>
      </c>
      <c r="G16" s="6"/>
      <c r="H16" s="6"/>
      <c r="I16" s="6"/>
      <c r="J16" s="6"/>
      <c r="K16" s="7" t="s">
        <v>5197</v>
      </c>
      <c r="L16" s="8" t="s">
        <v>5198</v>
      </c>
      <c r="M16" s="8" t="str">
        <f t="shared" si="1"/>
        <v>PEN</v>
      </c>
      <c r="N16" s="13"/>
      <c r="O16" s="13">
        <v>622</v>
      </c>
      <c r="P16" s="3">
        <f t="shared" si="2"/>
        <v>622</v>
      </c>
      <c r="Q16" s="3">
        <f t="shared" si="3"/>
        <v>0</v>
      </c>
      <c r="R16" s="3">
        <f t="shared" si="4"/>
        <v>3941.05</v>
      </c>
      <c r="S16" s="24" t="s">
        <v>1334</v>
      </c>
      <c r="T16" s="24" t="s">
        <v>1334</v>
      </c>
      <c r="U16" s="3"/>
      <c r="V16" s="3" t="s">
        <v>1345</v>
      </c>
      <c r="W16" s="3" t="s">
        <v>5199</v>
      </c>
      <c r="X16" s="3"/>
      <c r="Y16" s="3"/>
      <c r="Z16" s="3"/>
      <c r="AA16" s="3" t="str">
        <f>IF(Bbva_Soles[[#This Row],[fecha]]&gt;0,TEXT(Bbva_Soles[[#This Row],[fecha]],"mmmm"),0)</f>
        <v>Abril</v>
      </c>
    </row>
    <row r="17" spans="1:27" ht="24" hidden="1" x14ac:dyDescent="0.3">
      <c r="A17" s="2">
        <f>IF(Bbva_Soles[[#This Row],[tipo_registro]]="R",COUNTIFS($C$1:$C16,"R")+1,"")</f>
        <v>16</v>
      </c>
      <c r="B17" s="19" t="str">
        <f t="shared" si="0"/>
        <v>B-BBVA</v>
      </c>
      <c r="C17" s="3" t="s">
        <v>1330</v>
      </c>
      <c r="D17" s="14">
        <v>45777</v>
      </c>
      <c r="E17" s="5" t="s">
        <v>601</v>
      </c>
      <c r="F17" s="5" t="s">
        <v>1303</v>
      </c>
      <c r="G17" s="6"/>
      <c r="H17" s="6"/>
      <c r="I17" s="6"/>
      <c r="J17" s="6"/>
      <c r="K17" s="7" t="s">
        <v>5197</v>
      </c>
      <c r="L17" s="8" t="s">
        <v>5200</v>
      </c>
      <c r="M17" s="8" t="str">
        <f t="shared" si="1"/>
        <v>PEN</v>
      </c>
      <c r="N17" s="13"/>
      <c r="O17" s="13">
        <v>500</v>
      </c>
      <c r="P17" s="3">
        <f t="shared" si="2"/>
        <v>500</v>
      </c>
      <c r="Q17" s="3">
        <f t="shared" si="3"/>
        <v>0</v>
      </c>
      <c r="R17" s="3">
        <f t="shared" si="4"/>
        <v>4441.05</v>
      </c>
      <c r="S17" s="24" t="s">
        <v>1334</v>
      </c>
      <c r="T17" s="24" t="s">
        <v>1334</v>
      </c>
      <c r="U17" s="3"/>
      <c r="V17" s="3" t="s">
        <v>1345</v>
      </c>
      <c r="W17" s="3" t="s">
        <v>5199</v>
      </c>
      <c r="X17" s="3"/>
      <c r="Y17" s="3"/>
      <c r="Z17" s="3"/>
      <c r="AA17" s="3" t="str">
        <f>IF(Bbva_Soles[[#This Row],[fecha]]&gt;0,TEXT(Bbva_Soles[[#This Row],[fecha]],"mmmm"),0)</f>
        <v>Abril</v>
      </c>
    </row>
    <row r="18" spans="1:27" ht="24" hidden="1" x14ac:dyDescent="0.3">
      <c r="A18" s="2">
        <f>IF(Bbva_Soles[[#This Row],[tipo_registro]]="R",COUNTIFS($C$1:$C17,"R")+1,"")</f>
        <v>17</v>
      </c>
      <c r="B18" s="19" t="str">
        <f t="shared" si="0"/>
        <v>B-BBVA</v>
      </c>
      <c r="C18" s="3" t="s">
        <v>1330</v>
      </c>
      <c r="D18" s="14">
        <v>45777</v>
      </c>
      <c r="E18" s="5" t="s">
        <v>601</v>
      </c>
      <c r="F18" s="5" t="s">
        <v>1303</v>
      </c>
      <c r="G18" s="6"/>
      <c r="H18" s="6"/>
      <c r="I18" s="6"/>
      <c r="J18" s="6"/>
      <c r="K18" s="7" t="s">
        <v>5197</v>
      </c>
      <c r="L18" s="8" t="s">
        <v>5201</v>
      </c>
      <c r="M18" s="8" t="str">
        <f t="shared" si="1"/>
        <v>PEN</v>
      </c>
      <c r="N18" s="13"/>
      <c r="O18" s="13">
        <v>500</v>
      </c>
      <c r="P18" s="3">
        <f t="shared" si="2"/>
        <v>500</v>
      </c>
      <c r="Q18" s="3">
        <f t="shared" si="3"/>
        <v>0</v>
      </c>
      <c r="R18" s="3">
        <f t="shared" si="4"/>
        <v>4941.05</v>
      </c>
      <c r="S18" s="24" t="s">
        <v>1334</v>
      </c>
      <c r="T18" s="24" t="s">
        <v>1334</v>
      </c>
      <c r="U18" s="3"/>
      <c r="V18" s="3" t="s">
        <v>1345</v>
      </c>
      <c r="W18" s="3" t="s">
        <v>5199</v>
      </c>
      <c r="X18" s="3"/>
      <c r="Y18" s="3"/>
      <c r="Z18" s="3"/>
      <c r="AA18" s="3" t="str">
        <f>IF(Bbva_Soles[[#This Row],[fecha]]&gt;0,TEXT(Bbva_Soles[[#This Row],[fecha]],"mmmm"),0)</f>
        <v>Abril</v>
      </c>
    </row>
    <row r="19" spans="1:27" ht="24" hidden="1" x14ac:dyDescent="0.3">
      <c r="A19" s="2">
        <f>IF(Bbva_Soles[[#This Row],[tipo_registro]]="R",COUNTIFS($C$1:$C18,"R")+1,"")</f>
        <v>18</v>
      </c>
      <c r="B19" s="19" t="str">
        <f t="shared" si="0"/>
        <v>B-BBVA</v>
      </c>
      <c r="C19" s="3" t="s">
        <v>1330</v>
      </c>
      <c r="D19" s="14">
        <v>45777</v>
      </c>
      <c r="E19" s="5" t="s">
        <v>601</v>
      </c>
      <c r="F19" s="5" t="s">
        <v>1303</v>
      </c>
      <c r="G19" s="6"/>
      <c r="H19" s="6"/>
      <c r="I19" s="6"/>
      <c r="J19" s="6"/>
      <c r="K19" s="7" t="s">
        <v>5197</v>
      </c>
      <c r="L19" s="8" t="s">
        <v>5202</v>
      </c>
      <c r="M19" s="8" t="str">
        <f t="shared" si="1"/>
        <v>PEN</v>
      </c>
      <c r="N19" s="13"/>
      <c r="O19" s="13">
        <v>500</v>
      </c>
      <c r="P19" s="3">
        <f t="shared" si="2"/>
        <v>500</v>
      </c>
      <c r="Q19" s="3">
        <f t="shared" si="3"/>
        <v>0</v>
      </c>
      <c r="R19" s="3">
        <f t="shared" si="4"/>
        <v>5441.05</v>
      </c>
      <c r="S19" s="24" t="s">
        <v>1334</v>
      </c>
      <c r="T19" s="24" t="s">
        <v>1334</v>
      </c>
      <c r="U19" s="3"/>
      <c r="V19" s="3" t="s">
        <v>1345</v>
      </c>
      <c r="W19" s="3" t="s">
        <v>5199</v>
      </c>
      <c r="X19" s="3"/>
      <c r="Y19" s="3"/>
      <c r="Z19" s="3"/>
      <c r="AA19" s="3" t="str">
        <f>IF(Bbva_Soles[[#This Row],[fecha]]&gt;0,TEXT(Bbva_Soles[[#This Row],[fecha]],"mmmm"),0)</f>
        <v>Abril</v>
      </c>
    </row>
    <row r="20" spans="1:27" ht="24" hidden="1" x14ac:dyDescent="0.3">
      <c r="A20" s="2">
        <f>IF(Bbva_Soles[[#This Row],[tipo_registro]]="R",COUNTIFS($C$1:$C19,"R")+1,"")</f>
        <v>19</v>
      </c>
      <c r="B20" s="19" t="str">
        <f t="shared" si="0"/>
        <v>B-BBVA</v>
      </c>
      <c r="C20" s="3" t="s">
        <v>1330</v>
      </c>
      <c r="D20" s="14">
        <v>45777</v>
      </c>
      <c r="E20" s="5" t="s">
        <v>601</v>
      </c>
      <c r="F20" s="5" t="s">
        <v>1303</v>
      </c>
      <c r="G20" s="6"/>
      <c r="H20" s="6"/>
      <c r="I20" s="6"/>
      <c r="J20" s="6"/>
      <c r="K20" s="7" t="s">
        <v>5197</v>
      </c>
      <c r="L20" s="8" t="s">
        <v>5203</v>
      </c>
      <c r="M20" s="8" t="str">
        <f t="shared" si="1"/>
        <v>PEN</v>
      </c>
      <c r="N20" s="13"/>
      <c r="O20" s="13">
        <v>500</v>
      </c>
      <c r="P20" s="3">
        <f t="shared" si="2"/>
        <v>500</v>
      </c>
      <c r="Q20" s="3">
        <f t="shared" si="3"/>
        <v>0</v>
      </c>
      <c r="R20" s="3">
        <f t="shared" si="4"/>
        <v>5941.05</v>
      </c>
      <c r="S20" s="24" t="s">
        <v>1334</v>
      </c>
      <c r="T20" s="24" t="s">
        <v>1334</v>
      </c>
      <c r="U20" s="3"/>
      <c r="V20" s="3" t="s">
        <v>1345</v>
      </c>
      <c r="W20" s="3" t="s">
        <v>5199</v>
      </c>
      <c r="X20" s="3"/>
      <c r="Y20" s="3"/>
      <c r="Z20" s="3"/>
      <c r="AA20" s="3" t="str">
        <f>IF(Bbva_Soles[[#This Row],[fecha]]&gt;0,TEXT(Bbva_Soles[[#This Row],[fecha]],"mmmm"),0)</f>
        <v>Abril</v>
      </c>
    </row>
    <row r="21" spans="1:27" ht="24" hidden="1" x14ac:dyDescent="0.3">
      <c r="A21" s="2">
        <f>IF(Bbva_Soles[[#This Row],[tipo_registro]]="R",COUNTIFS($C$1:$C20,"R")+1,"")</f>
        <v>20</v>
      </c>
      <c r="B21" s="19" t="str">
        <f t="shared" si="0"/>
        <v>B-BBVA</v>
      </c>
      <c r="C21" s="3" t="s">
        <v>1330</v>
      </c>
      <c r="D21" s="14">
        <v>45777</v>
      </c>
      <c r="E21" s="5" t="s">
        <v>446</v>
      </c>
      <c r="F21" s="5" t="s">
        <v>1303</v>
      </c>
      <c r="G21" s="6"/>
      <c r="H21" s="6"/>
      <c r="I21" s="6"/>
      <c r="J21" s="6"/>
      <c r="K21" s="7" t="s">
        <v>5186</v>
      </c>
      <c r="L21" s="8" t="s">
        <v>5204</v>
      </c>
      <c r="M21" s="8" t="str">
        <f t="shared" si="1"/>
        <v>PEN</v>
      </c>
      <c r="N21" s="13"/>
      <c r="O21" s="13">
        <v>1582</v>
      </c>
      <c r="P21" s="3">
        <f t="shared" si="2"/>
        <v>1582</v>
      </c>
      <c r="Q21" s="3">
        <f t="shared" si="3"/>
        <v>0</v>
      </c>
      <c r="R21" s="3">
        <f t="shared" si="4"/>
        <v>7523.05</v>
      </c>
      <c r="S21" s="24" t="s">
        <v>1334</v>
      </c>
      <c r="T21" s="24" t="s">
        <v>1334</v>
      </c>
      <c r="U21" s="3"/>
      <c r="V21" s="3" t="s">
        <v>1345</v>
      </c>
      <c r="W21" s="3" t="s">
        <v>5205</v>
      </c>
      <c r="X21" s="3"/>
      <c r="Y21" s="3"/>
      <c r="Z21" s="3"/>
      <c r="AA21" s="3" t="str">
        <f>IF(Bbva_Soles[[#This Row],[fecha]]&gt;0,TEXT(Bbva_Soles[[#This Row],[fecha]],"mmmm"),0)</f>
        <v>Abril</v>
      </c>
    </row>
    <row r="22" spans="1:27" ht="24" hidden="1" x14ac:dyDescent="0.3">
      <c r="A22" s="2">
        <f>IF(Bbva_Soles[[#This Row],[tipo_registro]]="R",COUNTIFS($C$1:$C21,"R")+1,"")</f>
        <v>21</v>
      </c>
      <c r="B22" s="19" t="str">
        <f t="shared" si="0"/>
        <v>B-BBVA</v>
      </c>
      <c r="C22" s="3" t="s">
        <v>1330</v>
      </c>
      <c r="D22" s="14">
        <v>45777</v>
      </c>
      <c r="E22" s="5" t="s">
        <v>601</v>
      </c>
      <c r="F22" s="5" t="s">
        <v>1303</v>
      </c>
      <c r="G22" s="6"/>
      <c r="H22" s="6"/>
      <c r="I22" s="6"/>
      <c r="J22" s="6"/>
      <c r="K22" s="7" t="s">
        <v>5206</v>
      </c>
      <c r="L22" s="8" t="s">
        <v>5207</v>
      </c>
      <c r="M22" s="8" t="str">
        <f t="shared" si="1"/>
        <v>PEN</v>
      </c>
      <c r="N22" s="13"/>
      <c r="O22" s="13">
        <v>9700</v>
      </c>
      <c r="P22" s="3">
        <f t="shared" si="2"/>
        <v>9700</v>
      </c>
      <c r="Q22" s="3">
        <f t="shared" si="3"/>
        <v>0</v>
      </c>
      <c r="R22" s="3">
        <f t="shared" si="4"/>
        <v>17223.05</v>
      </c>
      <c r="S22" s="24" t="s">
        <v>1334</v>
      </c>
      <c r="T22" s="24" t="s">
        <v>1334</v>
      </c>
      <c r="U22" s="3"/>
      <c r="V22" s="3" t="s">
        <v>1345</v>
      </c>
      <c r="W22" s="3" t="s">
        <v>5199</v>
      </c>
      <c r="X22" s="3"/>
      <c r="Y22" s="3"/>
      <c r="Z22" s="3"/>
      <c r="AA22" s="3" t="str">
        <f>IF(Bbva_Soles[[#This Row],[fecha]]&gt;0,TEXT(Bbva_Soles[[#This Row],[fecha]],"mmmm"),0)</f>
        <v>Abril</v>
      </c>
    </row>
    <row r="23" spans="1:27" ht="24" hidden="1" x14ac:dyDescent="0.3">
      <c r="A23" s="2">
        <f>IF(Bbva_Soles[[#This Row],[tipo_registro]]="R",COUNTIFS($C$1:$C22,"R")+1,"")</f>
        <v>22</v>
      </c>
      <c r="B23" s="19" t="str">
        <f t="shared" si="0"/>
        <v>B-BBVA</v>
      </c>
      <c r="C23" s="3" t="s">
        <v>1330</v>
      </c>
      <c r="D23" s="14">
        <v>45777</v>
      </c>
      <c r="E23" s="5" t="s">
        <v>601</v>
      </c>
      <c r="F23" s="5" t="s">
        <v>1303</v>
      </c>
      <c r="G23" s="6"/>
      <c r="H23" s="6"/>
      <c r="I23" s="6"/>
      <c r="J23" s="6"/>
      <c r="K23" s="7" t="s">
        <v>5206</v>
      </c>
      <c r="L23" s="8" t="s">
        <v>5208</v>
      </c>
      <c r="M23" s="8" t="str">
        <f t="shared" si="1"/>
        <v>PEN</v>
      </c>
      <c r="N23" s="13"/>
      <c r="O23" s="13">
        <v>30000</v>
      </c>
      <c r="P23" s="3">
        <f t="shared" si="2"/>
        <v>30000</v>
      </c>
      <c r="Q23" s="3">
        <f t="shared" si="3"/>
        <v>0</v>
      </c>
      <c r="R23" s="3">
        <f t="shared" si="4"/>
        <v>47223.05</v>
      </c>
      <c r="S23" s="24" t="s">
        <v>1334</v>
      </c>
      <c r="T23" s="24" t="s">
        <v>1334</v>
      </c>
      <c r="U23" s="3"/>
      <c r="V23" s="3" t="s">
        <v>1345</v>
      </c>
      <c r="W23" s="3" t="s">
        <v>5199</v>
      </c>
      <c r="X23" s="3"/>
      <c r="Y23" s="3"/>
      <c r="Z23" s="3"/>
      <c r="AA23" s="3" t="str">
        <f>IF(Bbva_Soles[[#This Row],[fecha]]&gt;0,TEXT(Bbva_Soles[[#This Row],[fecha]],"mmmm"),0)</f>
        <v>Abril</v>
      </c>
    </row>
    <row r="24" spans="1:27" ht="24" hidden="1" x14ac:dyDescent="0.3">
      <c r="A24" s="2">
        <f>IF(Bbva_Soles[[#This Row],[tipo_registro]]="R",COUNTIFS($C$1:$C23,"R")+1,"")</f>
        <v>23</v>
      </c>
      <c r="B24" s="19" t="str">
        <f t="shared" si="0"/>
        <v>B-BBVA</v>
      </c>
      <c r="C24" s="3" t="s">
        <v>1330</v>
      </c>
      <c r="D24" s="14">
        <v>45777</v>
      </c>
      <c r="E24" s="5" t="s">
        <v>601</v>
      </c>
      <c r="F24" s="5" t="s">
        <v>1303</v>
      </c>
      <c r="G24" s="6"/>
      <c r="H24" s="6"/>
      <c r="I24" s="6"/>
      <c r="J24" s="6"/>
      <c r="K24" s="7" t="s">
        <v>5206</v>
      </c>
      <c r="L24" s="8" t="s">
        <v>5209</v>
      </c>
      <c r="M24" s="8" t="str">
        <f t="shared" si="1"/>
        <v>PEN</v>
      </c>
      <c r="N24" s="13"/>
      <c r="O24" s="13">
        <v>30000</v>
      </c>
      <c r="P24" s="3">
        <f t="shared" si="2"/>
        <v>30000</v>
      </c>
      <c r="Q24" s="3">
        <f t="shared" si="3"/>
        <v>0</v>
      </c>
      <c r="R24" s="3">
        <f t="shared" si="4"/>
        <v>77223.05</v>
      </c>
      <c r="S24" s="24" t="s">
        <v>1334</v>
      </c>
      <c r="T24" s="24" t="s">
        <v>1334</v>
      </c>
      <c r="U24" s="3"/>
      <c r="V24" s="3" t="s">
        <v>1345</v>
      </c>
      <c r="W24" s="3" t="s">
        <v>5199</v>
      </c>
      <c r="X24" s="3"/>
      <c r="Y24" s="3"/>
      <c r="Z24" s="3"/>
      <c r="AA24" s="3" t="str">
        <f>IF(Bbva_Soles[[#This Row],[fecha]]&gt;0,TEXT(Bbva_Soles[[#This Row],[fecha]],"mmmm"),0)</f>
        <v>Abril</v>
      </c>
    </row>
    <row r="25" spans="1:27" x14ac:dyDescent="0.3">
      <c r="A25" s="2">
        <f>IF(Bbva_Soles[[#This Row],[tipo_registro]]="R",COUNTIFS($C$1:$C24,"R")+1,"")</f>
        <v>24</v>
      </c>
      <c r="B25" s="19" t="str">
        <f t="shared" si="0"/>
        <v>B-BBVA</v>
      </c>
      <c r="C25" s="3" t="s">
        <v>1330</v>
      </c>
      <c r="D25" s="14">
        <v>45807</v>
      </c>
      <c r="E25" s="5" t="s">
        <v>5185</v>
      </c>
      <c r="F25" s="5" t="s">
        <v>1336</v>
      </c>
      <c r="G25" s="6" t="s">
        <v>1208</v>
      </c>
      <c r="H25" s="6" t="s">
        <v>68</v>
      </c>
      <c r="I25" s="6" t="s">
        <v>5193</v>
      </c>
      <c r="J25" s="6">
        <v>21998860</v>
      </c>
      <c r="K25" s="7" t="s">
        <v>5189</v>
      </c>
      <c r="L25" s="8" t="s">
        <v>5210</v>
      </c>
      <c r="M25" s="8" t="str">
        <f t="shared" si="1"/>
        <v>PEN</v>
      </c>
      <c r="N25" s="13"/>
      <c r="O25" s="13">
        <v>30</v>
      </c>
      <c r="P25" s="3">
        <f t="shared" si="2"/>
        <v>0</v>
      </c>
      <c r="Q25" s="3">
        <f t="shared" si="3"/>
        <v>30</v>
      </c>
      <c r="R25" s="3">
        <f t="shared" si="4"/>
        <v>77193.05</v>
      </c>
      <c r="S25" s="24" t="s">
        <v>1334</v>
      </c>
      <c r="T25" s="24" t="s">
        <v>1334</v>
      </c>
      <c r="U25" s="3"/>
      <c r="V25" s="3"/>
      <c r="W25" s="3" t="s">
        <v>5211</v>
      </c>
      <c r="X25" s="3"/>
      <c r="Y25" s="3"/>
      <c r="Z25" s="3"/>
      <c r="AA25" s="3" t="str">
        <f>IF(Bbva_Soles[[#This Row],[fecha]]&gt;0,TEXT(Bbva_Soles[[#This Row],[fecha]],"mmmm"),0)</f>
        <v>Mayo</v>
      </c>
    </row>
    <row r="26" spans="1:27" hidden="1" x14ac:dyDescent="0.3">
      <c r="A26" s="2">
        <f>IF(Bbva_Soles[[#This Row],[tipo_registro]]="R",COUNTIFS($C$1:$C25,"R")+1,"")</f>
        <v>25</v>
      </c>
      <c r="B26" s="19" t="str">
        <f t="shared" si="0"/>
        <v>B-BBVA</v>
      </c>
      <c r="C26" s="3" t="s">
        <v>1330</v>
      </c>
      <c r="D26" s="14">
        <v>45807</v>
      </c>
      <c r="E26" s="5" t="s">
        <v>5212</v>
      </c>
      <c r="F26" s="5" t="s">
        <v>1336</v>
      </c>
      <c r="G26" s="6" t="s">
        <v>425</v>
      </c>
      <c r="H26" s="6"/>
      <c r="I26" s="6"/>
      <c r="J26" s="6"/>
      <c r="K26" s="7" t="s">
        <v>3224</v>
      </c>
      <c r="L26" s="8" t="s">
        <v>5213</v>
      </c>
      <c r="M26" s="8" t="str">
        <f t="shared" si="1"/>
        <v>PEN</v>
      </c>
      <c r="N26" s="13"/>
      <c r="O26" s="13">
        <v>40000</v>
      </c>
      <c r="P26" s="3">
        <f t="shared" si="2"/>
        <v>0</v>
      </c>
      <c r="Q26" s="3">
        <f t="shared" si="3"/>
        <v>40000</v>
      </c>
      <c r="R26" s="3">
        <f t="shared" si="4"/>
        <v>37193.050000000003</v>
      </c>
      <c r="S26" s="24" t="s">
        <v>1334</v>
      </c>
      <c r="T26" s="24" t="s">
        <v>1334</v>
      </c>
      <c r="U26" s="3"/>
      <c r="V26" s="3"/>
      <c r="W26" s="3"/>
      <c r="X26" s="3"/>
      <c r="Y26" s="3"/>
      <c r="Z26" s="3"/>
      <c r="AA26" s="3" t="str">
        <f>IF(Bbva_Soles[[#This Row],[fecha]]&gt;0,TEXT(Bbva_Soles[[#This Row],[fecha]],"mmmm"),0)</f>
        <v>Mayo</v>
      </c>
    </row>
    <row r="27" spans="1:27" hidden="1" x14ac:dyDescent="0.3">
      <c r="A27" s="2">
        <f>IF(Bbva_Soles[[#This Row],[tipo_registro]]="R",COUNTIFS($C$1:$C26,"R")+1,"")</f>
        <v>26</v>
      </c>
      <c r="B27" s="19" t="str">
        <f t="shared" si="0"/>
        <v>B-BBVA</v>
      </c>
      <c r="C27" s="3" t="s">
        <v>1330</v>
      </c>
      <c r="D27" s="14">
        <v>45807</v>
      </c>
      <c r="E27" s="5" t="s">
        <v>5185</v>
      </c>
      <c r="F27" s="5" t="s">
        <v>1336</v>
      </c>
      <c r="G27" s="6"/>
      <c r="H27" s="6"/>
      <c r="I27" s="6"/>
      <c r="J27" s="6"/>
      <c r="K27" s="7" t="s">
        <v>1337</v>
      </c>
      <c r="L27" s="8">
        <v>570</v>
      </c>
      <c r="M27" s="8" t="str">
        <f t="shared" si="1"/>
        <v>PEN</v>
      </c>
      <c r="N27" s="13"/>
      <c r="O27" s="13">
        <v>2</v>
      </c>
      <c r="P27" s="3">
        <f t="shared" si="2"/>
        <v>0</v>
      </c>
      <c r="Q27" s="3">
        <f t="shared" si="3"/>
        <v>2</v>
      </c>
      <c r="R27" s="3">
        <f t="shared" si="4"/>
        <v>37191.050000000003</v>
      </c>
      <c r="S27" s="24" t="s">
        <v>1334</v>
      </c>
      <c r="T27" s="24" t="s">
        <v>1334</v>
      </c>
      <c r="U27" s="3"/>
      <c r="V27" s="3"/>
      <c r="W27" s="3"/>
      <c r="X27" s="3"/>
      <c r="Y27" s="3"/>
      <c r="Z27" s="3"/>
      <c r="AA27" s="3" t="str">
        <f>IF(Bbva_Soles[[#This Row],[fecha]]&gt;0,TEXT(Bbva_Soles[[#This Row],[fecha]],"mmmm"),0)</f>
        <v>Mayo</v>
      </c>
    </row>
    <row r="28" spans="1:27" ht="48" hidden="1" x14ac:dyDescent="0.3">
      <c r="A28" s="2">
        <f>IF(Bbva_Soles[[#This Row],[tipo_registro]]="R",COUNTIFS($C$1:$C27,"R")+1,"")</f>
        <v>27</v>
      </c>
      <c r="B28" s="19" t="str">
        <f t="shared" si="0"/>
        <v>B-BBVA</v>
      </c>
      <c r="C28" s="3" t="s">
        <v>1330</v>
      </c>
      <c r="D28" s="14">
        <v>45807</v>
      </c>
      <c r="E28" s="5" t="s">
        <v>368</v>
      </c>
      <c r="F28" s="5" t="s">
        <v>1303</v>
      </c>
      <c r="G28" s="6"/>
      <c r="H28" s="6"/>
      <c r="I28" s="6"/>
      <c r="J28" s="6"/>
      <c r="K28" s="7" t="s">
        <v>5214</v>
      </c>
      <c r="L28" s="8" t="s">
        <v>5215</v>
      </c>
      <c r="M28" s="8" t="str">
        <f t="shared" si="1"/>
        <v>PEN</v>
      </c>
      <c r="N28" s="13"/>
      <c r="O28" s="13">
        <v>1756.95</v>
      </c>
      <c r="P28" s="3">
        <f t="shared" si="2"/>
        <v>1756.95</v>
      </c>
      <c r="Q28" s="3">
        <f t="shared" si="3"/>
        <v>0</v>
      </c>
      <c r="R28" s="3">
        <f t="shared" si="4"/>
        <v>38948</v>
      </c>
      <c r="S28" s="24" t="s">
        <v>1334</v>
      </c>
      <c r="T28" s="24" t="s">
        <v>1334</v>
      </c>
      <c r="U28" s="3"/>
      <c r="V28" s="3" t="s">
        <v>1345</v>
      </c>
      <c r="W28" s="3" t="s">
        <v>5216</v>
      </c>
      <c r="X28" s="3"/>
      <c r="Y28" s="3"/>
      <c r="Z28" s="3"/>
      <c r="AA28" s="3" t="str">
        <f>IF(Bbva_Soles[[#This Row],[fecha]]&gt;0,TEXT(Bbva_Soles[[#This Row],[fecha]],"mmmm"),0)</f>
        <v>Mayo</v>
      </c>
    </row>
    <row r="29" spans="1:27" hidden="1" x14ac:dyDescent="0.3">
      <c r="A29" s="2">
        <f>IF(Bbva_Soles[[#This Row],[tipo_registro]]="R",COUNTIFS($C$1:$C28,"R")+1,"")</f>
        <v>28</v>
      </c>
      <c r="B29" s="19" t="str">
        <f t="shared" si="0"/>
        <v>B-BBVA</v>
      </c>
      <c r="C29" s="3" t="s">
        <v>1330</v>
      </c>
      <c r="D29" s="14">
        <v>45807</v>
      </c>
      <c r="E29" s="5" t="s">
        <v>5185</v>
      </c>
      <c r="F29" s="5" t="s">
        <v>1336</v>
      </c>
      <c r="G29" s="6"/>
      <c r="H29" s="6"/>
      <c r="I29" s="6"/>
      <c r="J29" s="6"/>
      <c r="K29" s="7" t="s">
        <v>1337</v>
      </c>
      <c r="L29" s="8">
        <v>568</v>
      </c>
      <c r="M29" s="8" t="str">
        <f t="shared" si="1"/>
        <v>PEN</v>
      </c>
      <c r="N29" s="13"/>
      <c r="O29" s="13">
        <v>0.05</v>
      </c>
      <c r="P29" s="3">
        <f t="shared" si="2"/>
        <v>0</v>
      </c>
      <c r="Q29" s="3">
        <f t="shared" si="3"/>
        <v>0.05</v>
      </c>
      <c r="R29" s="3">
        <f t="shared" si="4"/>
        <v>38947.949999999997</v>
      </c>
      <c r="S29" s="24" t="s">
        <v>1334</v>
      </c>
      <c r="T29" s="24" t="s">
        <v>1334</v>
      </c>
      <c r="U29" s="3"/>
      <c r="V29" s="3"/>
      <c r="W29" s="3"/>
      <c r="X29" s="3"/>
      <c r="Y29" s="3"/>
      <c r="Z29" s="3"/>
      <c r="AA29" s="3" t="str">
        <f>IF(Bbva_Soles[[#This Row],[fecha]]&gt;0,TEXT(Bbva_Soles[[#This Row],[fecha]],"mmmm"),0)</f>
        <v>Mayo</v>
      </c>
    </row>
    <row r="30" spans="1:27" hidden="1" x14ac:dyDescent="0.3">
      <c r="A30" s="2">
        <f>IF(Bbva_Soles[[#This Row],[tipo_registro]]="R",COUNTIFS($C$1:$C29,"R")+1,"")</f>
        <v>29</v>
      </c>
      <c r="B30" s="19" t="str">
        <f t="shared" si="0"/>
        <v>B-BBVA</v>
      </c>
      <c r="C30" s="3" t="s">
        <v>1330</v>
      </c>
      <c r="D30" s="14">
        <v>45807</v>
      </c>
      <c r="E30" s="5" t="s">
        <v>254</v>
      </c>
      <c r="F30" s="5" t="s">
        <v>1303</v>
      </c>
      <c r="G30" s="6"/>
      <c r="H30" s="6"/>
      <c r="I30" s="6"/>
      <c r="J30" s="6"/>
      <c r="K30" s="7" t="s">
        <v>5217</v>
      </c>
      <c r="L30" s="8">
        <v>565</v>
      </c>
      <c r="M30" s="8" t="str">
        <f t="shared" si="1"/>
        <v>PEN</v>
      </c>
      <c r="N30" s="13"/>
      <c r="O30" s="13">
        <v>2908.39</v>
      </c>
      <c r="P30" s="3">
        <f t="shared" si="2"/>
        <v>2908.39</v>
      </c>
      <c r="Q30" s="3">
        <f t="shared" si="3"/>
        <v>0</v>
      </c>
      <c r="R30" s="3">
        <f t="shared" si="4"/>
        <v>41856.339999999997</v>
      </c>
      <c r="S30" s="24" t="s">
        <v>1334</v>
      </c>
      <c r="T30" s="24" t="s">
        <v>1334</v>
      </c>
      <c r="U30" s="3"/>
      <c r="V30" s="3" t="s">
        <v>1345</v>
      </c>
      <c r="W30" s="3" t="s">
        <v>5218</v>
      </c>
      <c r="X30" s="3"/>
      <c r="Y30" s="3"/>
      <c r="Z30" s="3"/>
      <c r="AA30" s="3" t="str">
        <f>IF(Bbva_Soles[[#This Row],[fecha]]&gt;0,TEXT(Bbva_Soles[[#This Row],[fecha]],"mmmm"),0)</f>
        <v>Mayo</v>
      </c>
    </row>
    <row r="31" spans="1:27" hidden="1" x14ac:dyDescent="0.3">
      <c r="A31" s="2">
        <f>IF(Bbva_Soles[[#This Row],[tipo_registro]]="R",COUNTIFS($C$1:$C30,"R")+1,"")</f>
        <v>30</v>
      </c>
      <c r="B31" s="19" t="str">
        <f t="shared" si="0"/>
        <v>B-BBVA</v>
      </c>
      <c r="C31" s="3" t="s">
        <v>1330</v>
      </c>
      <c r="D31" s="14">
        <v>45807</v>
      </c>
      <c r="E31" s="5" t="s">
        <v>5185</v>
      </c>
      <c r="F31" s="5" t="s">
        <v>1336</v>
      </c>
      <c r="G31" s="6"/>
      <c r="H31" s="6"/>
      <c r="I31" s="6"/>
      <c r="J31" s="6"/>
      <c r="K31" s="7" t="s">
        <v>1337</v>
      </c>
      <c r="L31" s="8">
        <v>566</v>
      </c>
      <c r="M31" s="8" t="str">
        <f t="shared" si="1"/>
        <v>PEN</v>
      </c>
      <c r="N31" s="13"/>
      <c r="O31" s="13">
        <v>0.1</v>
      </c>
      <c r="P31" s="3">
        <f t="shared" si="2"/>
        <v>0</v>
      </c>
      <c r="Q31" s="3">
        <f t="shared" si="3"/>
        <v>0.1</v>
      </c>
      <c r="R31" s="3">
        <f t="shared" si="4"/>
        <v>41856.239999999998</v>
      </c>
      <c r="S31" s="24" t="s">
        <v>1334</v>
      </c>
      <c r="T31" s="24" t="s">
        <v>1334</v>
      </c>
      <c r="U31" s="3"/>
      <c r="V31" s="3"/>
      <c r="W31" s="3"/>
      <c r="X31" s="3"/>
      <c r="Y31" s="3"/>
      <c r="Z31" s="3"/>
      <c r="AA31" s="3" t="str">
        <f>IF(Bbva_Soles[[#This Row],[fecha]]&gt;0,TEXT(Bbva_Soles[[#This Row],[fecha]],"mmmm"),0)</f>
        <v>Mayo</v>
      </c>
    </row>
    <row r="32" spans="1:27" x14ac:dyDescent="0.3">
      <c r="A32" s="2">
        <f>IF(Bbva_Soles[[#This Row],[tipo_registro]]="R",COUNTIFS($C$1:$C31,"R")+1,"")</f>
        <v>31</v>
      </c>
      <c r="B32" s="19" t="str">
        <f t="shared" si="0"/>
        <v>B-BBVA</v>
      </c>
      <c r="C32" s="3" t="s">
        <v>1330</v>
      </c>
      <c r="D32" s="14">
        <v>45807</v>
      </c>
      <c r="E32" s="5" t="s">
        <v>5185</v>
      </c>
      <c r="F32" s="5" t="s">
        <v>1336</v>
      </c>
      <c r="G32" s="6" t="s">
        <v>1208</v>
      </c>
      <c r="H32" s="6" t="s">
        <v>68</v>
      </c>
      <c r="I32" s="6" t="s">
        <v>5193</v>
      </c>
      <c r="J32" s="6">
        <v>21998860</v>
      </c>
      <c r="K32" s="7" t="s">
        <v>5219</v>
      </c>
      <c r="L32" s="8">
        <v>564</v>
      </c>
      <c r="M32" s="8" t="str">
        <f t="shared" si="1"/>
        <v>PEN</v>
      </c>
      <c r="N32" s="13"/>
      <c r="O32" s="13">
        <v>20</v>
      </c>
      <c r="P32" s="3">
        <f t="shared" si="2"/>
        <v>0</v>
      </c>
      <c r="Q32" s="3">
        <f t="shared" si="3"/>
        <v>20</v>
      </c>
      <c r="R32" s="3">
        <f t="shared" si="4"/>
        <v>41836.239999999998</v>
      </c>
      <c r="S32" s="24" t="s">
        <v>1334</v>
      </c>
      <c r="T32" s="24" t="s">
        <v>1334</v>
      </c>
      <c r="U32" s="3"/>
      <c r="V32" s="3"/>
      <c r="W32" s="3"/>
      <c r="X32" s="3"/>
      <c r="Y32" s="3"/>
      <c r="Z32" s="3"/>
      <c r="AA32" s="3" t="str">
        <f>IF(Bbva_Soles[[#This Row],[fecha]]&gt;0,TEXT(Bbva_Soles[[#This Row],[fecha]],"mmmm"),0)</f>
        <v>Mayo</v>
      </c>
    </row>
    <row r="33" spans="1:27" hidden="1" x14ac:dyDescent="0.3">
      <c r="A33" s="2">
        <f>IF(Bbva_Soles[[#This Row],[tipo_registro]]="R",COUNTIFS($C$1:$C32,"R")+1,"")</f>
        <v>32</v>
      </c>
      <c r="B33" s="19" t="str">
        <f t="shared" si="0"/>
        <v>B-BBVA</v>
      </c>
      <c r="C33" s="3" t="s">
        <v>1330</v>
      </c>
      <c r="D33" s="14">
        <v>45821</v>
      </c>
      <c r="E33" s="5" t="s">
        <v>225</v>
      </c>
      <c r="F33" s="5" t="s">
        <v>1303</v>
      </c>
      <c r="G33" s="6" t="s">
        <v>425</v>
      </c>
      <c r="H33" s="6" t="s">
        <v>68</v>
      </c>
      <c r="I33" s="6" t="s">
        <v>1784</v>
      </c>
      <c r="J33" s="6">
        <v>100</v>
      </c>
      <c r="K33" s="7" t="s">
        <v>5182</v>
      </c>
      <c r="L33" s="8">
        <v>572</v>
      </c>
      <c r="M33" s="8" t="str">
        <f t="shared" ref="M33:M35" si="5">"PEN"</f>
        <v>PEN</v>
      </c>
      <c r="N33" s="13"/>
      <c r="O33" s="13">
        <v>871.02</v>
      </c>
      <c r="P33" s="3">
        <f t="shared" si="2"/>
        <v>871.02</v>
      </c>
      <c r="Q33" s="3">
        <f t="shared" si="3"/>
        <v>0</v>
      </c>
      <c r="R33" s="3">
        <f t="shared" si="4"/>
        <v>42707.259999999995</v>
      </c>
      <c r="S33" s="24" t="s">
        <v>1334</v>
      </c>
      <c r="T33" s="24" t="s">
        <v>1334</v>
      </c>
      <c r="U33" s="3"/>
      <c r="V33" s="3" t="s">
        <v>1345</v>
      </c>
      <c r="W33" s="3" t="s">
        <v>5220</v>
      </c>
      <c r="X33" s="3"/>
      <c r="Y33" s="3"/>
      <c r="Z33" s="3"/>
      <c r="AA33" s="3" t="str">
        <f>IF(Bbva_Soles[[#This Row],[fecha]]&gt;0,TEXT(Bbva_Soles[[#This Row],[fecha]],"mmmm"),0)</f>
        <v>Junio</v>
      </c>
    </row>
    <row r="34" spans="1:27" x14ac:dyDescent="0.3">
      <c r="A34" s="2">
        <f>IF(Bbva_Soles[[#This Row],[tipo_registro]]="R",COUNTIFS($C$1:$C33,"R")+1,"")</f>
        <v>33</v>
      </c>
      <c r="B34" s="19" t="str">
        <f t="shared" si="0"/>
        <v>B-BBVA</v>
      </c>
      <c r="C34" s="3" t="s">
        <v>1330</v>
      </c>
      <c r="D34" s="14">
        <v>45838</v>
      </c>
      <c r="E34" s="5" t="s">
        <v>5185</v>
      </c>
      <c r="F34" s="5" t="s">
        <v>1336</v>
      </c>
      <c r="G34" s="6" t="s">
        <v>1208</v>
      </c>
      <c r="H34" s="6" t="s">
        <v>68</v>
      </c>
      <c r="I34" s="6" t="s">
        <v>5221</v>
      </c>
      <c r="J34" s="6">
        <v>22442303</v>
      </c>
      <c r="K34" s="7" t="s">
        <v>5189</v>
      </c>
      <c r="L34" s="8">
        <v>573</v>
      </c>
      <c r="M34" s="8" t="str">
        <f t="shared" si="5"/>
        <v>PEN</v>
      </c>
      <c r="N34" s="13"/>
      <c r="O34" s="13">
        <v>30</v>
      </c>
      <c r="P34" s="3">
        <f t="shared" si="2"/>
        <v>0</v>
      </c>
      <c r="Q34" s="3">
        <f>+IF($F34="EGRESO",$O34,0)</f>
        <v>30</v>
      </c>
      <c r="R34" s="3">
        <f t="shared" si="4"/>
        <v>42677.259999999995</v>
      </c>
      <c r="S34" s="24" t="s">
        <v>1334</v>
      </c>
      <c r="T34" s="24" t="s">
        <v>1334</v>
      </c>
      <c r="U34" s="3"/>
      <c r="V34" s="3"/>
      <c r="W34" s="3" t="s">
        <v>5222</v>
      </c>
      <c r="X34" s="3"/>
      <c r="Y34" s="3"/>
      <c r="Z34" s="3"/>
      <c r="AA34" s="3" t="str">
        <f>IF(Bbva_Soles[[#This Row],[fecha]]&gt;0,TEXT(Bbva_Soles[[#This Row],[fecha]],"mmmm"),0)</f>
        <v>Junio</v>
      </c>
    </row>
    <row r="35" spans="1:27" ht="24" hidden="1" x14ac:dyDescent="0.3">
      <c r="A35" s="2">
        <f>IF(Bbva_Soles[[#This Row],[tipo_registro]]="R",COUNTIFS($C$1:$C34,"R")+1,"")</f>
        <v>34</v>
      </c>
      <c r="B35" s="19" t="str">
        <f t="shared" si="0"/>
        <v>B-BBVA</v>
      </c>
      <c r="C35" s="3" t="s">
        <v>1330</v>
      </c>
      <c r="D35" s="14">
        <v>45839</v>
      </c>
      <c r="E35" s="5" t="s">
        <v>5212</v>
      </c>
      <c r="F35" s="5" t="s">
        <v>1336</v>
      </c>
      <c r="G35" s="6" t="s">
        <v>425</v>
      </c>
      <c r="H35" s="6"/>
      <c r="I35" s="6"/>
      <c r="J35" s="6"/>
      <c r="K35" s="7" t="s">
        <v>5223</v>
      </c>
      <c r="L35" s="8">
        <v>574</v>
      </c>
      <c r="M35" s="8" t="str">
        <f t="shared" si="5"/>
        <v>PEN</v>
      </c>
      <c r="N35" s="13"/>
      <c r="O35" s="13">
        <v>40000</v>
      </c>
      <c r="P35" s="3">
        <f t="shared" si="2"/>
        <v>0</v>
      </c>
      <c r="Q35" s="3">
        <f t="shared" si="3"/>
        <v>40000</v>
      </c>
      <c r="R35" s="3">
        <f>IFERROR(IF(F35="SALDO",P35,R34+P35-Q35),0)</f>
        <v>2677.2599999999948</v>
      </c>
      <c r="S35" s="24" t="s">
        <v>1334</v>
      </c>
      <c r="T35" s="24" t="s">
        <v>1334</v>
      </c>
      <c r="U35" s="3"/>
      <c r="V35" s="3"/>
      <c r="W35" s="3"/>
      <c r="X35" s="3"/>
      <c r="Y35" s="3"/>
      <c r="Z35" s="3"/>
      <c r="AA35" s="3" t="str">
        <f>IF(Bbva_Soles[[#This Row],[fecha]]&gt;0,TEXT(Bbva_Soles[[#This Row],[fecha]],"mmmm"),0)</f>
        <v>Julio</v>
      </c>
    </row>
    <row r="36" spans="1:27" hidden="1" x14ac:dyDescent="0.3">
      <c r="A36" s="2">
        <f>IF(Bbva_Soles[[#This Row],[tipo_registro]]="R",COUNTIFS($C$1:$C35,"R")+1,"")</f>
        <v>35</v>
      </c>
      <c r="B36" s="19" t="str">
        <f t="shared" ref="B36:B41" si="6">"B-BBVA"</f>
        <v>B-BBVA</v>
      </c>
      <c r="C36" s="3" t="s">
        <v>1330</v>
      </c>
      <c r="D36" s="14">
        <v>45839</v>
      </c>
      <c r="E36" s="5" t="s">
        <v>5185</v>
      </c>
      <c r="F36" s="5" t="s">
        <v>1336</v>
      </c>
      <c r="G36" s="6" t="s">
        <v>1009</v>
      </c>
      <c r="H36" s="6" t="s">
        <v>64</v>
      </c>
      <c r="I36" s="6" t="s">
        <v>5224</v>
      </c>
      <c r="J36" s="6">
        <v>35</v>
      </c>
      <c r="K36" s="7" t="s">
        <v>1337</v>
      </c>
      <c r="L36" s="8">
        <v>575</v>
      </c>
      <c r="M36" s="8" t="str">
        <f t="shared" ref="M36:M41" si="7">"PEN"</f>
        <v>PEN</v>
      </c>
      <c r="N36" s="13"/>
      <c r="O36" s="13">
        <v>2</v>
      </c>
      <c r="P36" s="3">
        <f t="shared" ref="P36:P41" si="8">+IF(OR($F36="SALDO",$F36="INGRESO"),$O36,0)</f>
        <v>0</v>
      </c>
      <c r="Q36" s="3">
        <f t="shared" ref="Q36:Q41" si="9">+IF($F36="EGRESO",$O36,0)</f>
        <v>2</v>
      </c>
      <c r="R36" s="3">
        <f t="shared" si="4"/>
        <v>2675.2599999999948</v>
      </c>
      <c r="S36" s="24" t="s">
        <v>1334</v>
      </c>
      <c r="T36" s="24" t="s">
        <v>1334</v>
      </c>
      <c r="U36" s="3"/>
      <c r="V36" s="3"/>
      <c r="W36" s="3"/>
      <c r="X36" s="3"/>
      <c r="Y36" s="3"/>
      <c r="Z36" s="3"/>
      <c r="AA36" s="3" t="str">
        <f>IF(Bbva_Soles[[#This Row],[fecha]]&gt;0,TEXT(Bbva_Soles[[#This Row],[fecha]],"mmmm"),0)</f>
        <v>Julio</v>
      </c>
    </row>
    <row r="37" spans="1:27" ht="48" hidden="1" x14ac:dyDescent="0.3">
      <c r="A37" s="2">
        <f>IF(Bbva_Soles[[#This Row],[tipo_registro]]="R",COUNTIFS($C$1:$C36,"R")+1,"")</f>
        <v>36</v>
      </c>
      <c r="B37" s="19" t="str">
        <f t="shared" si="6"/>
        <v>B-BBVA</v>
      </c>
      <c r="C37" s="3" t="s">
        <v>1330</v>
      </c>
      <c r="D37" s="14">
        <v>45860</v>
      </c>
      <c r="E37" s="5" t="s">
        <v>405</v>
      </c>
      <c r="F37" s="5" t="s">
        <v>1303</v>
      </c>
      <c r="G37" s="6" t="s">
        <v>425</v>
      </c>
      <c r="H37" s="6" t="s">
        <v>68</v>
      </c>
      <c r="I37" s="6" t="s">
        <v>1784</v>
      </c>
      <c r="J37" s="6">
        <v>174</v>
      </c>
      <c r="K37" s="7" t="s">
        <v>5225</v>
      </c>
      <c r="L37" s="8">
        <v>576</v>
      </c>
      <c r="M37" s="8" t="str">
        <f t="shared" si="7"/>
        <v>PEN</v>
      </c>
      <c r="N37" s="13"/>
      <c r="O37" s="3">
        <v>1370.12</v>
      </c>
      <c r="P37" s="3">
        <f t="shared" si="8"/>
        <v>1370.12</v>
      </c>
      <c r="Q37" s="3">
        <f t="shared" si="9"/>
        <v>0</v>
      </c>
      <c r="R37" s="3">
        <f>IFERROR(IF(F37="SALDO",P37,R36+P37-Q37),0)</f>
        <v>4045.3799999999947</v>
      </c>
      <c r="S37" s="24" t="s">
        <v>1334</v>
      </c>
      <c r="T37" s="24" t="s">
        <v>1334</v>
      </c>
      <c r="U37" s="3"/>
      <c r="V37" s="3"/>
      <c r="W37" s="3"/>
      <c r="X37" s="3"/>
      <c r="Y37" s="3"/>
      <c r="Z37" s="3"/>
      <c r="AA37" s="3" t="str">
        <f>IF(Bbva_Soles[[#This Row],[fecha]]&gt;0,TEXT(Bbva_Soles[[#This Row],[fecha]],"mmmm"),0)</f>
        <v>Julio</v>
      </c>
    </row>
    <row r="38" spans="1:27" hidden="1" x14ac:dyDescent="0.3">
      <c r="A38" s="2">
        <f>IF(Bbva_Soles[[#This Row],[tipo_registro]]="R",COUNTIFS($C$1:$C37,"R")+1,"")</f>
        <v>37</v>
      </c>
      <c r="B38" s="19" t="str">
        <f t="shared" si="6"/>
        <v>B-BBVA</v>
      </c>
      <c r="C38" s="3" t="s">
        <v>1330</v>
      </c>
      <c r="D38" s="14">
        <v>45860</v>
      </c>
      <c r="E38" s="5" t="s">
        <v>5185</v>
      </c>
      <c r="F38" s="5" t="s">
        <v>1336</v>
      </c>
      <c r="G38" s="6" t="s">
        <v>1009</v>
      </c>
      <c r="H38" s="6" t="s">
        <v>64</v>
      </c>
      <c r="I38" s="6" t="s">
        <v>5224</v>
      </c>
      <c r="J38" s="6">
        <v>37</v>
      </c>
      <c r="K38" s="7" t="s">
        <v>1337</v>
      </c>
      <c r="L38" s="8">
        <v>577</v>
      </c>
      <c r="M38" s="8" t="str">
        <f t="shared" si="7"/>
        <v>PEN</v>
      </c>
      <c r="N38" s="13"/>
      <c r="O38" s="13">
        <v>0.05</v>
      </c>
      <c r="P38" s="3">
        <f t="shared" si="8"/>
        <v>0</v>
      </c>
      <c r="Q38" s="3">
        <f t="shared" si="9"/>
        <v>0.05</v>
      </c>
      <c r="R38" s="3">
        <f t="shared" si="4"/>
        <v>4045.3299999999945</v>
      </c>
      <c r="S38" s="24" t="s">
        <v>1334</v>
      </c>
      <c r="T38" s="24" t="s">
        <v>1334</v>
      </c>
      <c r="U38" s="3"/>
      <c r="V38" s="3"/>
      <c r="W38" s="3"/>
      <c r="X38" s="3"/>
      <c r="Y38" s="3"/>
      <c r="Z38" s="3"/>
      <c r="AA38" s="3" t="str">
        <f>IF(Bbva_Soles[[#This Row],[fecha]]&gt;0,TEXT(Bbva_Soles[[#This Row],[fecha]],"mmmm"),0)</f>
        <v>Julio</v>
      </c>
    </row>
    <row r="39" spans="1:27" x14ac:dyDescent="0.3">
      <c r="A39" s="2">
        <f>IF(Bbva_Soles[[#This Row],[tipo_registro]]="R",COUNTIFS($C$1:$C38,"R")+1,"")</f>
        <v>38</v>
      </c>
      <c r="B39" s="19" t="str">
        <f t="shared" si="6"/>
        <v>B-BBVA</v>
      </c>
      <c r="C39" s="3" t="s">
        <v>1330</v>
      </c>
      <c r="D39" s="14">
        <v>45869</v>
      </c>
      <c r="E39" s="5" t="s">
        <v>5185</v>
      </c>
      <c r="F39" s="5" t="s">
        <v>1336</v>
      </c>
      <c r="G39" s="6" t="s">
        <v>1208</v>
      </c>
      <c r="H39" s="6" t="s">
        <v>68</v>
      </c>
      <c r="I39" s="6"/>
      <c r="J39" s="6"/>
      <c r="K39" s="7" t="s">
        <v>5189</v>
      </c>
      <c r="L39" s="8">
        <v>578</v>
      </c>
      <c r="M39" s="8" t="str">
        <f t="shared" si="7"/>
        <v>PEN</v>
      </c>
      <c r="N39" s="13"/>
      <c r="O39" s="13">
        <v>30</v>
      </c>
      <c r="P39" s="3">
        <f t="shared" si="8"/>
        <v>0</v>
      </c>
      <c r="Q39" s="3">
        <f t="shared" si="9"/>
        <v>30</v>
      </c>
      <c r="R39" s="3">
        <f t="shared" ref="R39:R44" si="10">IFERROR(IF(F39="SALDO",P39,R38+P39-Q39),0)</f>
        <v>4015.3299999999945</v>
      </c>
      <c r="S39" s="24"/>
      <c r="T39" s="24"/>
      <c r="U39" s="3"/>
      <c r="V39" s="3"/>
      <c r="W39" s="3"/>
      <c r="X39" s="3"/>
      <c r="Y39" s="3"/>
      <c r="Z39" s="3"/>
      <c r="AA39" s="3" t="str">
        <f>IF(Bbva_Soles[[#This Row],[fecha]]&gt;0,TEXT(Bbva_Soles[[#This Row],[fecha]],"mmmm"),0)</f>
        <v>Julio</v>
      </c>
    </row>
    <row r="40" spans="1:27" hidden="1" x14ac:dyDescent="0.3">
      <c r="A40" s="2">
        <f>IF(Bbva_Soles[[#This Row],[tipo_registro]]="R",COUNTIFS($C$1:$C39,"R")+1,"")</f>
        <v>39</v>
      </c>
      <c r="B40" s="19" t="str">
        <f t="shared" si="6"/>
        <v>B-BBVA</v>
      </c>
      <c r="C40" s="3" t="s">
        <v>1330</v>
      </c>
      <c r="D40" s="14">
        <v>45887</v>
      </c>
      <c r="E40" s="5" t="s">
        <v>225</v>
      </c>
      <c r="F40" s="5" t="s">
        <v>1303</v>
      </c>
      <c r="G40" s="6" t="s">
        <v>425</v>
      </c>
      <c r="H40" s="6" t="s">
        <v>68</v>
      </c>
      <c r="I40" s="6" t="s">
        <v>1784</v>
      </c>
      <c r="J40" s="6">
        <v>186</v>
      </c>
      <c r="K40" s="7" t="s">
        <v>5182</v>
      </c>
      <c r="L40" s="8">
        <v>579</v>
      </c>
      <c r="M40" s="8" t="str">
        <f t="shared" si="7"/>
        <v>PEN</v>
      </c>
      <c r="N40" s="13"/>
      <c r="O40" s="13">
        <v>871.02</v>
      </c>
      <c r="P40" s="3">
        <f t="shared" si="8"/>
        <v>871.02</v>
      </c>
      <c r="Q40" s="3">
        <f t="shared" si="9"/>
        <v>0</v>
      </c>
      <c r="R40" s="3">
        <f t="shared" si="10"/>
        <v>4886.3499999999949</v>
      </c>
      <c r="S40" s="24" t="s">
        <v>1334</v>
      </c>
      <c r="T40" s="24" t="s">
        <v>1334</v>
      </c>
      <c r="U40" s="3"/>
      <c r="V40" s="3"/>
      <c r="W40" s="3"/>
      <c r="X40" s="3"/>
      <c r="Y40" s="3"/>
      <c r="Z40" s="3"/>
      <c r="AA40" s="3" t="str">
        <f>IF(Bbva_Soles[[#This Row],[fecha]]&gt;0,TEXT(Bbva_Soles[[#This Row],[fecha]],"mmmm"),0)</f>
        <v>Agosto</v>
      </c>
    </row>
    <row r="41" spans="1:27" ht="24" hidden="1" x14ac:dyDescent="0.3">
      <c r="A41" s="2">
        <f>IF(Bbva_Soles[[#This Row],[tipo_registro]]="R",COUNTIFS($C$1:$C40,"R")+1,"")</f>
        <v>40</v>
      </c>
      <c r="B41" s="19" t="str">
        <f t="shared" si="6"/>
        <v>B-BBVA</v>
      </c>
      <c r="C41" s="3" t="s">
        <v>1330</v>
      </c>
      <c r="D41" s="14">
        <v>45898</v>
      </c>
      <c r="E41" s="5" t="s">
        <v>446</v>
      </c>
      <c r="F41" s="5" t="s">
        <v>1303</v>
      </c>
      <c r="G41" s="6" t="s">
        <v>425</v>
      </c>
      <c r="H41" s="6" t="s">
        <v>68</v>
      </c>
      <c r="I41" s="6" t="s">
        <v>1784</v>
      </c>
      <c r="J41" s="6">
        <v>212</v>
      </c>
      <c r="K41" s="7" t="s">
        <v>5186</v>
      </c>
      <c r="L41" s="8">
        <v>580</v>
      </c>
      <c r="M41" s="8" t="str">
        <f t="shared" si="7"/>
        <v>PEN</v>
      </c>
      <c r="N41" s="13"/>
      <c r="O41" s="13">
        <v>1874.1</v>
      </c>
      <c r="P41" s="3">
        <f t="shared" si="8"/>
        <v>1874.1</v>
      </c>
      <c r="Q41" s="3">
        <f t="shared" si="9"/>
        <v>0</v>
      </c>
      <c r="R41" s="3">
        <f t="shared" si="10"/>
        <v>6760.4499999999953</v>
      </c>
      <c r="S41" s="24" t="s">
        <v>1334</v>
      </c>
      <c r="T41" s="24" t="s">
        <v>1334</v>
      </c>
      <c r="U41" s="3"/>
      <c r="V41" s="3"/>
      <c r="W41" s="3"/>
      <c r="X41" s="3"/>
      <c r="Y41" s="3"/>
      <c r="Z41" s="3"/>
      <c r="AA41" s="3" t="str">
        <f>IF(Bbva_Soles[[#This Row],[fecha]]&gt;0,TEXT(Bbva_Soles[[#This Row],[fecha]],"mmmm"),0)</f>
        <v>Agosto</v>
      </c>
    </row>
    <row r="42" spans="1:27" hidden="1" x14ac:dyDescent="0.3">
      <c r="A42" s="2">
        <f>IF(Bbva_Soles[[#This Row],[tipo_registro]]="R",COUNTIFS($C$1:$C41,"R")+1,"")</f>
        <v>41</v>
      </c>
      <c r="B42" s="19" t="str">
        <f t="shared" ref="B42:B51" si="11">"B-BBVA"</f>
        <v>B-BBVA</v>
      </c>
      <c r="C42" s="3" t="s">
        <v>1330</v>
      </c>
      <c r="D42" s="14">
        <v>45898</v>
      </c>
      <c r="E42" s="5" t="s">
        <v>5185</v>
      </c>
      <c r="F42" s="5" t="s">
        <v>1336</v>
      </c>
      <c r="G42" s="6" t="s">
        <v>1009</v>
      </c>
      <c r="H42" s="6" t="s">
        <v>64</v>
      </c>
      <c r="I42" s="6"/>
      <c r="J42" s="6"/>
      <c r="K42" s="7" t="s">
        <v>1337</v>
      </c>
      <c r="L42" s="8">
        <v>581</v>
      </c>
      <c r="M42" s="8" t="str">
        <f t="shared" ref="M42:M51" si="12">"PEN"</f>
        <v>PEN</v>
      </c>
      <c r="N42" s="13"/>
      <c r="O42" s="13">
        <v>0.05</v>
      </c>
      <c r="P42" s="3">
        <f t="shared" ref="P42:P51" si="13">+IF(OR($F42="SALDO",$F42="INGRESO"),$O42,0)</f>
        <v>0</v>
      </c>
      <c r="Q42" s="3">
        <f t="shared" ref="Q42:Q51" si="14">+IF($F42="EGRESO",$O42,0)</f>
        <v>0.05</v>
      </c>
      <c r="R42" s="3">
        <f t="shared" si="10"/>
        <v>6760.3999999999951</v>
      </c>
      <c r="S42" s="24" t="s">
        <v>1334</v>
      </c>
      <c r="T42" s="24" t="s">
        <v>1334</v>
      </c>
      <c r="U42" s="3"/>
      <c r="V42" s="3"/>
      <c r="W42" s="3"/>
      <c r="X42" s="3"/>
      <c r="Y42" s="3"/>
      <c r="Z42" s="3"/>
      <c r="AA42" s="3" t="str">
        <f>IF(Bbva_Soles[[#This Row],[fecha]]&gt;0,TEXT(Bbva_Soles[[#This Row],[fecha]],"mmmm"),0)</f>
        <v>Agosto</v>
      </c>
    </row>
    <row r="43" spans="1:27" x14ac:dyDescent="0.3">
      <c r="A43" s="2">
        <f>IF(Bbva_Soles[[#This Row],[tipo_registro]]="R",COUNTIFS($C$1:$C42,"R")+1,"")</f>
        <v>42</v>
      </c>
      <c r="B43" s="19" t="str">
        <f t="shared" si="11"/>
        <v>B-BBVA</v>
      </c>
      <c r="C43" s="3" t="s">
        <v>1330</v>
      </c>
      <c r="D43" s="14">
        <v>45900</v>
      </c>
      <c r="E43" s="5" t="s">
        <v>5185</v>
      </c>
      <c r="F43" s="5" t="s">
        <v>1336</v>
      </c>
      <c r="G43" s="6" t="s">
        <v>1208</v>
      </c>
      <c r="H43" s="6" t="s">
        <v>68</v>
      </c>
      <c r="I43" s="6"/>
      <c r="J43" s="6"/>
      <c r="K43" s="7" t="s">
        <v>5226</v>
      </c>
      <c r="L43" s="8">
        <v>582</v>
      </c>
      <c r="M43" s="8" t="str">
        <f t="shared" si="12"/>
        <v>PEN</v>
      </c>
      <c r="N43" s="13"/>
      <c r="O43" s="13">
        <v>30</v>
      </c>
      <c r="P43" s="3">
        <f t="shared" si="13"/>
        <v>0</v>
      </c>
      <c r="Q43" s="3">
        <f t="shared" si="14"/>
        <v>30</v>
      </c>
      <c r="R43" s="3">
        <f t="shared" si="10"/>
        <v>6730.3999999999951</v>
      </c>
      <c r="S43" s="24"/>
      <c r="T43" s="24"/>
      <c r="U43" s="3"/>
      <c r="V43" s="3"/>
      <c r="W43" s="3"/>
      <c r="X43" s="3"/>
      <c r="Y43" s="3"/>
      <c r="Z43" s="3"/>
      <c r="AA43" s="3" t="str">
        <f>IF(Bbva_Soles[[#This Row],[fecha]]&gt;0,TEXT(Bbva_Soles[[#This Row],[fecha]],"mmmm"),0)</f>
        <v>Agosto</v>
      </c>
    </row>
    <row r="44" spans="1:27" hidden="1" x14ac:dyDescent="0.3">
      <c r="A44" s="2">
        <f>IF(Bbva_Soles[[#This Row],[tipo_registro]]="R",COUNTIFS($C$1:$C43,"R")+1,"")</f>
        <v>43</v>
      </c>
      <c r="B44" s="19" t="str">
        <f t="shared" si="11"/>
        <v>B-BBVA</v>
      </c>
      <c r="C44" s="3" t="s">
        <v>1330</v>
      </c>
      <c r="D44" s="14">
        <v>45908</v>
      </c>
      <c r="E44" s="5" t="s">
        <v>5227</v>
      </c>
      <c r="F44" s="5" t="s">
        <v>1303</v>
      </c>
      <c r="G44" s="6" t="s">
        <v>425</v>
      </c>
      <c r="H44" s="6"/>
      <c r="I44" s="6"/>
      <c r="J44" s="6"/>
      <c r="K44" s="7" t="s">
        <v>5228</v>
      </c>
      <c r="L44" s="8">
        <v>583</v>
      </c>
      <c r="M44" s="8" t="str">
        <f t="shared" si="12"/>
        <v>PEN</v>
      </c>
      <c r="N44" s="13"/>
      <c r="O44" s="13">
        <v>14.21</v>
      </c>
      <c r="P44" s="3">
        <f t="shared" si="13"/>
        <v>14.21</v>
      </c>
      <c r="Q44" s="3">
        <f t="shared" si="14"/>
        <v>0</v>
      </c>
      <c r="R44" s="3">
        <f t="shared" si="10"/>
        <v>6744.6099999999951</v>
      </c>
      <c r="S44" s="24"/>
      <c r="T44" s="24"/>
      <c r="U44" s="3"/>
      <c r="V44" s="3"/>
      <c r="W44" s="3"/>
      <c r="X44" s="3"/>
      <c r="Y44" s="3"/>
      <c r="Z44" s="3"/>
      <c r="AA44" s="3" t="str">
        <f>IF(Bbva_Soles[[#This Row],[fecha]]&gt;0,TEXT(Bbva_Soles[[#This Row],[fecha]],"mmmm"),0)</f>
        <v>Setiembre</v>
      </c>
    </row>
    <row r="45" spans="1:27" hidden="1" x14ac:dyDescent="0.3">
      <c r="A45" s="2">
        <f>IF(Bbva_Soles[[#This Row],[tipo_registro]]="R",COUNTIFS($C$1:$C44,"R")+1,"")</f>
        <v>44</v>
      </c>
      <c r="B45" s="19" t="str">
        <f t="shared" si="11"/>
        <v>B-BBVA</v>
      </c>
      <c r="C45" s="3" t="s">
        <v>1330</v>
      </c>
      <c r="D45" s="14">
        <v>45930</v>
      </c>
      <c r="E45" s="5" t="s">
        <v>5212</v>
      </c>
      <c r="F45" s="5" t="s">
        <v>1336</v>
      </c>
      <c r="G45" s="6" t="s">
        <v>425</v>
      </c>
      <c r="H45" s="6"/>
      <c r="I45" s="6"/>
      <c r="J45" s="6"/>
      <c r="K45" s="7" t="s">
        <v>3224</v>
      </c>
      <c r="L45" s="8">
        <v>584</v>
      </c>
      <c r="M45" s="8" t="str">
        <f t="shared" si="12"/>
        <v>PEN</v>
      </c>
      <c r="N45" s="13"/>
      <c r="O45" s="13">
        <v>3000</v>
      </c>
      <c r="P45" s="3">
        <f t="shared" si="13"/>
        <v>0</v>
      </c>
      <c r="Q45" s="3">
        <f t="shared" si="14"/>
        <v>3000</v>
      </c>
      <c r="R45" s="3">
        <f>IFERROR(IF(F45="SALDO",P45,R44+P45-Q45),0)</f>
        <v>3744.6099999999951</v>
      </c>
      <c r="S45" s="24" t="s">
        <v>1334</v>
      </c>
      <c r="T45" s="24" t="s">
        <v>1334</v>
      </c>
      <c r="U45" s="3"/>
      <c r="V45" s="3"/>
      <c r="W45" s="3"/>
      <c r="X45" s="3"/>
      <c r="Y45" s="3"/>
      <c r="Z45" s="3"/>
      <c r="AA45" s="3" t="str">
        <f>IF(Bbva_Soles[[#This Row],[fecha]]&gt;0,TEXT(Bbva_Soles[[#This Row],[fecha]],"mmmm"),0)</f>
        <v>Setiembre</v>
      </c>
    </row>
    <row r="46" spans="1:27" hidden="1" x14ac:dyDescent="0.3">
      <c r="A46" s="2">
        <f>IF(Bbva_Soles[[#This Row],[tipo_registro]]="R",COUNTIFS($C$1:$C45,"R")+1,"")</f>
        <v>45</v>
      </c>
      <c r="B46" s="19" t="str">
        <f t="shared" si="11"/>
        <v>B-BBVA</v>
      </c>
      <c r="C46" s="3" t="s">
        <v>1330</v>
      </c>
      <c r="D46" s="14">
        <v>45930</v>
      </c>
      <c r="E46" s="5" t="s">
        <v>5185</v>
      </c>
      <c r="F46" s="5" t="s">
        <v>1336</v>
      </c>
      <c r="G46" s="6"/>
      <c r="H46" s="6"/>
      <c r="I46" s="6"/>
      <c r="J46" s="6"/>
      <c r="K46" s="7" t="s">
        <v>1337</v>
      </c>
      <c r="L46" s="8">
        <v>585</v>
      </c>
      <c r="M46" s="8" t="str">
        <f t="shared" si="12"/>
        <v>PEN</v>
      </c>
      <c r="N46" s="13"/>
      <c r="O46" s="13">
        <v>0.15</v>
      </c>
      <c r="P46" s="3">
        <f t="shared" si="13"/>
        <v>0</v>
      </c>
      <c r="Q46" s="3">
        <f t="shared" si="14"/>
        <v>0.15</v>
      </c>
      <c r="R46" s="3">
        <f>IFERROR(IF(F46="SALDO",P46,R45+P46-Q46),0)</f>
        <v>3744.459999999995</v>
      </c>
      <c r="S46" s="24" t="s">
        <v>1334</v>
      </c>
      <c r="T46" s="24" t="s">
        <v>1334</v>
      </c>
      <c r="U46" s="3"/>
      <c r="V46" s="3"/>
      <c r="W46" s="3"/>
      <c r="X46" s="3"/>
      <c r="Y46" s="3"/>
      <c r="Z46" s="3"/>
      <c r="AA46" s="3" t="str">
        <f>IF(Bbva_Soles[[#This Row],[fecha]]&gt;0,TEXT(Bbva_Soles[[#This Row],[fecha]],"mmmm"),0)</f>
        <v>Setiembre</v>
      </c>
    </row>
    <row r="47" spans="1:27" x14ac:dyDescent="0.3">
      <c r="A47" s="2">
        <f>IF(Bbva_Soles[[#This Row],[tipo_registro]]="R",COUNTIFS($C$1:$C46,"R")+1,"")</f>
        <v>46</v>
      </c>
      <c r="B47" s="19" t="str">
        <f t="shared" si="11"/>
        <v>B-BBVA</v>
      </c>
      <c r="C47" s="3" t="s">
        <v>1330</v>
      </c>
      <c r="D47" s="14">
        <v>45930</v>
      </c>
      <c r="E47" s="5" t="s">
        <v>5185</v>
      </c>
      <c r="F47" s="5" t="s">
        <v>1336</v>
      </c>
      <c r="G47" s="6" t="s">
        <v>1208</v>
      </c>
      <c r="H47" s="6" t="s">
        <v>68</v>
      </c>
      <c r="I47" s="6"/>
      <c r="J47" s="6"/>
      <c r="K47" s="7" t="s">
        <v>5189</v>
      </c>
      <c r="L47" s="8">
        <v>586</v>
      </c>
      <c r="M47" s="8" t="str">
        <f t="shared" si="12"/>
        <v>PEN</v>
      </c>
      <c r="N47" s="13"/>
      <c r="O47" s="13">
        <v>30</v>
      </c>
      <c r="P47" s="3">
        <f t="shared" si="13"/>
        <v>0</v>
      </c>
      <c r="Q47" s="3">
        <f t="shared" si="14"/>
        <v>30</v>
      </c>
      <c r="R47" s="3">
        <f>IFERROR(IF(F47="SALDO",P47,R46+P47-Q47),0)</f>
        <v>3714.459999999995</v>
      </c>
      <c r="S47" s="24"/>
      <c r="T47" s="24"/>
      <c r="U47" s="3"/>
      <c r="V47" s="3"/>
      <c r="W47" s="3"/>
      <c r="X47" s="3"/>
      <c r="Y47" s="3"/>
      <c r="Z47" s="3"/>
      <c r="AA47" s="3" t="str">
        <f>IF(Bbva_Soles[[#This Row],[fecha]]&gt;0,TEXT(Bbva_Soles[[#This Row],[fecha]],"mmmm"),0)</f>
        <v>Setiembre</v>
      </c>
    </row>
    <row r="48" spans="1:27" hidden="1" x14ac:dyDescent="0.3">
      <c r="A48" s="2">
        <f>IF(Bbva_Soles[[#This Row],[tipo_registro]]="R",COUNTIFS($C$1:$C47,"R")+1,"")</f>
        <v>47</v>
      </c>
      <c r="B48" s="19" t="str">
        <f t="shared" si="11"/>
        <v>B-BBVA</v>
      </c>
      <c r="C48" s="3" t="s">
        <v>1330</v>
      </c>
      <c r="D48" s="14">
        <v>45932</v>
      </c>
      <c r="E48" s="5" t="s">
        <v>5212</v>
      </c>
      <c r="F48" s="5" t="s">
        <v>1336</v>
      </c>
      <c r="G48" s="6"/>
      <c r="H48" s="6"/>
      <c r="I48" s="6"/>
      <c r="J48" s="6"/>
      <c r="K48" s="7" t="s">
        <v>5229</v>
      </c>
      <c r="L48" s="8">
        <v>587</v>
      </c>
      <c r="M48" s="8" t="str">
        <f t="shared" si="12"/>
        <v>PEN</v>
      </c>
      <c r="N48" s="13"/>
      <c r="O48" s="13">
        <v>3000</v>
      </c>
      <c r="P48" s="3">
        <f t="shared" si="13"/>
        <v>0</v>
      </c>
      <c r="Q48" s="3">
        <f t="shared" si="14"/>
        <v>3000</v>
      </c>
      <c r="R48" s="3">
        <f t="shared" ref="R48" si="15">IFERROR(IF(F48="SALDO",P48,R47+P48-Q48),0)</f>
        <v>714.45999999999503</v>
      </c>
      <c r="S48" s="24"/>
      <c r="T48" s="24"/>
      <c r="U48" s="3"/>
      <c r="V48" s="3"/>
      <c r="W48" s="3"/>
      <c r="X48" s="3"/>
      <c r="Y48" s="3"/>
      <c r="Z48" s="3"/>
      <c r="AA48" s="3" t="str">
        <f>IF(Bbva_Soles[[#This Row],[fecha]]&gt;0,TEXT(Bbva_Soles[[#This Row],[fecha]],"mmmm"),0)</f>
        <v>Octubre</v>
      </c>
    </row>
    <row r="49" spans="1:27" hidden="1" x14ac:dyDescent="0.3">
      <c r="A49" s="2">
        <f>IF(Bbva_Soles[[#This Row],[tipo_registro]]="R",COUNTIFS($C$1:$C48,"R")+1,"")</f>
        <v>48</v>
      </c>
      <c r="B49" s="19" t="str">
        <f t="shared" si="11"/>
        <v>B-BBVA</v>
      </c>
      <c r="C49" s="3" t="s">
        <v>1330</v>
      </c>
      <c r="D49" s="14">
        <v>45932</v>
      </c>
      <c r="E49" s="5" t="s">
        <v>5185</v>
      </c>
      <c r="F49" s="5" t="s">
        <v>1336</v>
      </c>
      <c r="G49" s="6"/>
      <c r="H49" s="6"/>
      <c r="I49" s="6"/>
      <c r="J49" s="6"/>
      <c r="K49" s="7" t="s">
        <v>1337</v>
      </c>
      <c r="L49" s="8">
        <v>588</v>
      </c>
      <c r="M49" s="8" t="str">
        <f t="shared" si="12"/>
        <v>PEN</v>
      </c>
      <c r="N49" s="13"/>
      <c r="O49" s="13">
        <v>0.15</v>
      </c>
      <c r="P49" s="3">
        <f t="shared" si="13"/>
        <v>0</v>
      </c>
      <c r="Q49" s="3">
        <f t="shared" si="14"/>
        <v>0.15</v>
      </c>
      <c r="R49" s="3">
        <f>IFERROR(IF(F49="SALDO",P49,R48+P49-Q49),0)</f>
        <v>714.30999999999506</v>
      </c>
      <c r="S49" s="24"/>
      <c r="T49" s="24"/>
      <c r="U49" s="3"/>
      <c r="V49" s="3"/>
      <c r="W49" s="3"/>
      <c r="X49" s="3"/>
      <c r="Y49" s="3"/>
      <c r="Z49" s="3"/>
      <c r="AA49" s="3" t="str">
        <f>IF(Bbva_Soles[[#This Row],[fecha]]&gt;0,TEXT(Bbva_Soles[[#This Row],[fecha]],"mmmm"),0)</f>
        <v>Octubre</v>
      </c>
    </row>
    <row r="50" spans="1:27" ht="48" hidden="1" x14ac:dyDescent="0.3">
      <c r="A50" s="2">
        <f>IF(Bbva_Soles[[#This Row],[tipo_registro]]="R",COUNTIFS($C$1:$C49,"R")+1,"")</f>
        <v>49</v>
      </c>
      <c r="B50" s="19" t="str">
        <f t="shared" si="11"/>
        <v>B-BBVA</v>
      </c>
      <c r="C50" s="3" t="s">
        <v>1330</v>
      </c>
      <c r="D50" s="14">
        <v>45933</v>
      </c>
      <c r="E50" s="5" t="s">
        <v>368</v>
      </c>
      <c r="F50" s="5" t="s">
        <v>1303</v>
      </c>
      <c r="G50" s="6" t="s">
        <v>425</v>
      </c>
      <c r="H50" s="6" t="s">
        <v>68</v>
      </c>
      <c r="I50" s="6" t="s">
        <v>3302</v>
      </c>
      <c r="J50" s="6">
        <v>73</v>
      </c>
      <c r="K50" s="7" t="s">
        <v>5230</v>
      </c>
      <c r="L50" s="8">
        <v>589</v>
      </c>
      <c r="M50" s="8" t="str">
        <f t="shared" si="12"/>
        <v>PEN</v>
      </c>
      <c r="N50" s="13"/>
      <c r="O50" s="13">
        <v>1552.08</v>
      </c>
      <c r="P50" s="3">
        <f t="shared" si="13"/>
        <v>1552.08</v>
      </c>
      <c r="Q50" s="3">
        <f t="shared" si="14"/>
        <v>0</v>
      </c>
      <c r="R50" s="3">
        <f>IFERROR(IF(F50="SALDO",P50,R49+P50-Q50),0)</f>
        <v>2266.3899999999949</v>
      </c>
      <c r="S50" s="24" t="s">
        <v>1334</v>
      </c>
      <c r="T50" s="24" t="s">
        <v>1334</v>
      </c>
      <c r="U50" s="3"/>
      <c r="V50" s="3"/>
      <c r="W50" s="3"/>
      <c r="X50" s="3"/>
      <c r="Y50" s="3"/>
      <c r="Z50" s="3"/>
      <c r="AA50" s="3" t="str">
        <f>IF(Bbva_Soles[[#This Row],[fecha]]&gt;0,TEXT(Bbva_Soles[[#This Row],[fecha]],"mmmm"),0)</f>
        <v>Octubre</v>
      </c>
    </row>
    <row r="51" spans="1:27" hidden="1" x14ac:dyDescent="0.3">
      <c r="A51" s="2">
        <f>IF(Bbva_Soles[[#This Row],[tipo_registro]]="R",COUNTIFS($C$1:$C50,"R")+1,"")</f>
        <v>50</v>
      </c>
      <c r="B51" s="19" t="str">
        <f t="shared" si="11"/>
        <v>B-BBVA</v>
      </c>
      <c r="C51" s="3" t="s">
        <v>1330</v>
      </c>
      <c r="D51" s="14">
        <v>45933</v>
      </c>
      <c r="E51" s="5" t="s">
        <v>5185</v>
      </c>
      <c r="F51" s="5" t="s">
        <v>1336</v>
      </c>
      <c r="G51" s="6"/>
      <c r="H51" s="6"/>
      <c r="I51" s="6"/>
      <c r="J51" s="6"/>
      <c r="K51" s="7" t="s">
        <v>1337</v>
      </c>
      <c r="L51" s="8"/>
      <c r="M51" s="8" t="str">
        <f t="shared" si="12"/>
        <v>PEN</v>
      </c>
      <c r="N51" s="13"/>
      <c r="O51" s="13">
        <v>0.05</v>
      </c>
      <c r="P51" s="3">
        <f t="shared" si="13"/>
        <v>0</v>
      </c>
      <c r="Q51" s="3">
        <f t="shared" si="14"/>
        <v>0.05</v>
      </c>
      <c r="R51" s="3">
        <f>IFERROR(IF(F51="SALDO",P51,R50+P51-Q51),0)</f>
        <v>2266.3399999999947</v>
      </c>
      <c r="S51" s="24"/>
      <c r="T51" s="24"/>
      <c r="U51" s="3"/>
      <c r="V51" s="3"/>
      <c r="W51" s="3"/>
      <c r="X51" s="3"/>
      <c r="Y51" s="3"/>
      <c r="Z51" s="3"/>
      <c r="AA51" s="3" t="str">
        <f>IF(Bbva_Soles[[#This Row],[fecha]]&gt;0,TEXT(Bbva_Soles[[#This Row],[fecha]],"mmmm"),0)</f>
        <v>Octubre</v>
      </c>
    </row>
  </sheetData>
  <conditionalFormatting sqref="A2:T51 AA2:AA51">
    <cfRule type="expression" dxfId="257" priority="6">
      <formula>$C2="D"</formula>
    </cfRule>
  </conditionalFormatting>
  <conditionalFormatting sqref="A2:AA10003">
    <cfRule type="expression" dxfId="256" priority="4">
      <formula>$T2="OK"</formula>
    </cfRule>
    <cfRule type="expression" dxfId="255" priority="5">
      <formula>$S2="OK"</formula>
    </cfRule>
  </conditionalFormatting>
  <conditionalFormatting sqref="C51:E51">
    <cfRule type="expression" dxfId="254" priority="1">
      <formula>$C51="D"</formula>
    </cfRule>
  </conditionalFormatting>
  <conditionalFormatting sqref="C50:G50">
    <cfRule type="expression" dxfId="253" priority="3">
      <formula>$C50="D"</formula>
    </cfRule>
  </conditionalFormatting>
  <dataValidations count="4">
    <dataValidation type="list" allowBlank="1" showInputMessage="1" showErrorMessage="1" sqref="H2:H51" xr:uid="{17FFDCC5-888E-4F5E-B931-94E99B2CCE2D}">
      <formula1>Documentos</formula1>
    </dataValidation>
    <dataValidation type="list" allowBlank="1" showInputMessage="1" showErrorMessage="1" sqref="G2:G51" xr:uid="{1B37895A-4067-470B-B99F-BCEDC57F09AD}">
      <formula1>Proveedores_Clientes</formula1>
    </dataValidation>
    <dataValidation type="list" allowBlank="1" showInputMessage="1" showErrorMessage="1" sqref="F2:F51" xr:uid="{C3137924-14C7-4BF8-AA01-70E9143BD39C}">
      <formula1>"SALDO,INGRESO,EGRESO"</formula1>
    </dataValidation>
    <dataValidation type="list" allowBlank="1" showInputMessage="1" showErrorMessage="1" sqref="C2:C51" xr:uid="{382F8886-B8E2-4576-90C8-1D3EE6F0DED1}">
      <formula1>"R,D"</formula1>
    </dataValidation>
  </dataValidations>
  <printOptions horizontalCentered="1"/>
  <pageMargins left="0.11811023622047245" right="0.11811023622047245" top="0.35433070866141736" bottom="0.35433070866141736" header="0.31496062992125984" footer="0.31496062992125984"/>
  <pageSetup paperSize="9" scale="48" fitToHeight="0" orientation="landscape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2B831-98E6-4464-BD8C-A6271E0A76D1}">
  <sheetPr codeName="Hoja6">
    <tabColor theme="6"/>
    <pageSetUpPr fitToPage="1"/>
  </sheetPr>
  <dimension ref="A1:AA830"/>
  <sheetViews>
    <sheetView showGridLines="0" zoomScale="114" zoomScaleNormal="115" zoomScaleSheetLayoutView="100" workbookViewId="0">
      <selection sqref="A1:AA1"/>
    </sheetView>
  </sheetViews>
  <sheetFormatPr defaultColWidth="11.44140625" defaultRowHeight="14.4" outlineLevelCol="1" x14ac:dyDescent="0.3"/>
  <cols>
    <col min="1" max="1" width="9.44140625" bestFit="1" customWidth="1"/>
    <col min="2" max="2" width="16.44140625" customWidth="1"/>
    <col min="3" max="3" width="13.44140625" bestFit="1" customWidth="1"/>
    <col min="4" max="4" width="10.6640625" bestFit="1" customWidth="1"/>
    <col min="5" max="5" width="14.33203125" customWidth="1"/>
    <col min="6" max="6" width="11.6640625" bestFit="1" customWidth="1"/>
    <col min="7" max="7" width="17" customWidth="1" outlineLevel="1"/>
    <col min="8" max="8" width="16" customWidth="1" outlineLevel="1"/>
    <col min="9" max="9" width="10.109375" bestFit="1" customWidth="1"/>
    <col min="10" max="10" width="12.44140625" bestFit="1" customWidth="1"/>
    <col min="11" max="11" width="40.44140625" customWidth="1" outlineLevel="1"/>
    <col min="12" max="12" width="15" bestFit="1" customWidth="1"/>
    <col min="13" max="13" width="12.44140625" bestFit="1" customWidth="1"/>
    <col min="14" max="14" width="12.109375" customWidth="1" outlineLevel="1"/>
    <col min="15" max="15" width="11.44140625" bestFit="1" customWidth="1"/>
    <col min="16" max="17" width="11.33203125" bestFit="1" customWidth="1"/>
    <col min="18" max="18" width="10.88671875" bestFit="1" customWidth="1"/>
    <col min="19" max="19" width="12" bestFit="1" customWidth="1"/>
    <col min="20" max="20" width="13" bestFit="1" customWidth="1"/>
    <col min="21" max="21" width="15.88671875" bestFit="1" customWidth="1"/>
    <col min="22" max="22" width="79.109375" customWidth="1" outlineLevel="1"/>
    <col min="23" max="23" width="24.109375" customWidth="1" outlineLevel="1"/>
    <col min="24" max="24" width="42.6640625" customWidth="1" outlineLevel="1"/>
    <col min="25" max="26" width="17.109375" customWidth="1" outlineLevel="1"/>
    <col min="27" max="27" width="12.88671875" customWidth="1" outlineLevel="1"/>
  </cols>
  <sheetData>
    <row r="1" spans="1:27" x14ac:dyDescent="0.3">
      <c r="A1" s="263" t="s">
        <v>9536</v>
      </c>
      <c r="B1" s="263" t="s">
        <v>9537</v>
      </c>
      <c r="C1" s="263" t="s">
        <v>9538</v>
      </c>
      <c r="D1" s="263" t="s">
        <v>9539</v>
      </c>
      <c r="E1" s="263" t="s">
        <v>9540</v>
      </c>
      <c r="F1" s="263" t="s">
        <v>9541</v>
      </c>
      <c r="G1" s="263" t="s">
        <v>9542</v>
      </c>
      <c r="H1" s="263" t="s">
        <v>9543</v>
      </c>
      <c r="I1" s="263" t="s">
        <v>9544</v>
      </c>
      <c r="J1" s="263" t="s">
        <v>9545</v>
      </c>
      <c r="K1" s="263" t="s">
        <v>9546</v>
      </c>
      <c r="L1" s="263" t="s">
        <v>9547</v>
      </c>
      <c r="M1" s="263" t="s">
        <v>9548</v>
      </c>
      <c r="N1" s="263" t="s">
        <v>9549</v>
      </c>
      <c r="O1" s="263" t="s">
        <v>9550</v>
      </c>
      <c r="P1" s="263" t="s">
        <v>9551</v>
      </c>
      <c r="Q1" s="263" t="s">
        <v>9552</v>
      </c>
      <c r="R1" s="263" t="s">
        <v>9553</v>
      </c>
      <c r="S1" s="263" t="s">
        <v>9554</v>
      </c>
      <c r="T1" s="263" t="s">
        <v>9555</v>
      </c>
      <c r="U1" s="263" t="s">
        <v>9556</v>
      </c>
      <c r="V1" s="263" t="s">
        <v>9557</v>
      </c>
      <c r="W1" s="263" t="s">
        <v>9558</v>
      </c>
      <c r="X1" s="263" t="s">
        <v>9559</v>
      </c>
      <c r="Y1" s="263" t="s">
        <v>9560</v>
      </c>
      <c r="Z1" s="263" t="s">
        <v>9561</v>
      </c>
      <c r="AA1" s="263" t="s">
        <v>9562</v>
      </c>
    </row>
    <row r="2" spans="1:27" x14ac:dyDescent="0.3">
      <c r="A2" s="16">
        <f>IF(Banco_Nacion[[#This Row],[tipo_registro]]="R",COUNTIFS($C$1:$C1,"R")+1,"")</f>
        <v>1</v>
      </c>
      <c r="B2" s="18" t="str">
        <f t="shared" ref="B2:B65" si="0">"B-Banco de la Nacion"</f>
        <v>B-Banco de la Nacion</v>
      </c>
      <c r="C2" s="13" t="s">
        <v>1330</v>
      </c>
      <c r="D2" s="4">
        <v>45658</v>
      </c>
      <c r="E2" s="5" t="s">
        <v>1331</v>
      </c>
      <c r="F2" s="6" t="s">
        <v>1320</v>
      </c>
      <c r="G2" s="6"/>
      <c r="H2" s="6"/>
      <c r="I2" s="6" t="s">
        <v>5231</v>
      </c>
      <c r="J2" s="6" t="s">
        <v>5231</v>
      </c>
      <c r="K2" s="7" t="s">
        <v>1332</v>
      </c>
      <c r="L2" s="8" t="s">
        <v>1333</v>
      </c>
      <c r="M2" s="8" t="str">
        <f t="shared" ref="M2:M65" si="1">"PEN"</f>
        <v>PEN</v>
      </c>
      <c r="N2" s="13"/>
      <c r="O2" s="13">
        <v>45894.010000000009</v>
      </c>
      <c r="P2" s="13">
        <f t="shared" ref="P2:P65" si="2">+IF(OR($F2="SALDO",$F2="INGRESO"),$O2,0)</f>
        <v>45894.010000000009</v>
      </c>
      <c r="Q2" s="13">
        <f t="shared" ref="Q2:Q65" si="3">+IF($F2="EGRESO",$O2,0)</f>
        <v>0</v>
      </c>
      <c r="R2" s="13">
        <f t="shared" ref="R2:R65" si="4">IFERROR(IF(F2="SALDO",P2,R1+P2-Q2),0)</f>
        <v>45894.010000000009</v>
      </c>
      <c r="S2" s="28" t="s">
        <v>1334</v>
      </c>
      <c r="T2" s="28" t="s">
        <v>1334</v>
      </c>
      <c r="U2" s="17"/>
      <c r="V2" s="99" t="str">
        <f>IFERROR(VLOOKUP(Banco_Nacion[[#This Row],[responsable]],Clientes_Proveedores[[Ruc / Dni]:[Razon Social]],2,0),"")</f>
        <v/>
      </c>
      <c r="W2" s="99" t="str">
        <f>IF(Banco_Nacion[[#This Row],[tipo_mov]]="INGRESO",Banco_Nacion[[#This Row],[serie]]&amp;Banco_Nacion[[#This Row],[numero]]&amp;Banco_Nacion[[#This Row],[responsable]]&amp;Banco_Nacion[[#This Row],[monto]],"")</f>
        <v/>
      </c>
      <c r="X2" s="98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-</v>
      </c>
      <c r="Y2" s="17" t="str">
        <f>IFERROR(VLOOKUP(Banco_Nacion[[#This Row],[serie]]&amp;Banco_Nacion[[#This Row],[numero]]&amp;Banco_Nacion[[#This Row],[responsable]],[2]!Provision_CXC[[ID CXP]:[DETRACCION]],47,0),"")</f>
        <v/>
      </c>
      <c r="Z2" s="17"/>
      <c r="AA2" s="28" t="str">
        <f>IF(Banco_Nacion[[#This Row],[fecha]]&gt;0,TEXT(Banco_Nacion[[#This Row],[fecha]],"mmmm"),0)</f>
        <v>Enero</v>
      </c>
    </row>
    <row r="3" spans="1:27" x14ac:dyDescent="0.3">
      <c r="A3" s="2">
        <f>IF(Banco_Nacion[[#This Row],[tipo_registro]]="R",COUNTIFS($C$1:$C2,"R")+1,"")</f>
        <v>2</v>
      </c>
      <c r="B3" s="19" t="str">
        <f t="shared" si="0"/>
        <v>B-Banco de la Nacion</v>
      </c>
      <c r="C3" s="3" t="s">
        <v>1330</v>
      </c>
      <c r="D3" s="14">
        <v>45659</v>
      </c>
      <c r="E3" s="5">
        <v>20370146994</v>
      </c>
      <c r="F3" s="5" t="s">
        <v>1303</v>
      </c>
      <c r="G3" s="6" t="s">
        <v>425</v>
      </c>
      <c r="H3" s="6" t="s">
        <v>68</v>
      </c>
      <c r="I3" s="6" t="s">
        <v>1353</v>
      </c>
      <c r="J3" s="6">
        <v>165</v>
      </c>
      <c r="K3" s="7" t="s">
        <v>5232</v>
      </c>
      <c r="L3" s="8">
        <v>63467627</v>
      </c>
      <c r="M3" s="8" t="str">
        <f t="shared" si="1"/>
        <v>PEN</v>
      </c>
      <c r="N3" s="13"/>
      <c r="O3" s="13">
        <v>3866</v>
      </c>
      <c r="P3" s="3">
        <f t="shared" si="2"/>
        <v>3866</v>
      </c>
      <c r="Q3" s="3">
        <f t="shared" si="3"/>
        <v>0</v>
      </c>
      <c r="R3" s="3">
        <f t="shared" si="4"/>
        <v>49760.010000000009</v>
      </c>
      <c r="S3" s="24" t="s">
        <v>1334</v>
      </c>
      <c r="T3" s="24" t="s">
        <v>1334</v>
      </c>
      <c r="U3" s="3"/>
      <c r="V3" s="19" t="str">
        <f>IFERROR(VLOOKUP(Banco_Nacion[[#This Row],[responsable]],Clientes_Proveedores[[Ruc / Dni]:[Razon Social]],2,0),"")</f>
        <v>CORPORACION ACEROS AREQUIPA S.A</v>
      </c>
      <c r="W3" s="19" t="str">
        <f>IF(Banco_Nacion[[#This Row],[tipo_mov]]="INGRESO",Banco_Nacion[[#This Row],[serie]]&amp;Banco_Nacion[[#This Row],[numero]]&amp;Banco_Nacion[[#This Row],[responsable]]&amp;Banco_Nacion[[#This Row],[monto]],"")</f>
        <v>FE02165203701469943866</v>
      </c>
      <c r="X3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63467627</v>
      </c>
      <c r="Y3" s="3" t="str">
        <f>IFERROR(VLOOKUP(Banco_Nacion[[#This Row],[serie]]&amp;Banco_Nacion[[#This Row],[numero]]&amp;Banco_Nacion[[#This Row],[responsable]],[2]!Provision_CXC[[ID CXP]:[DETRACCION]],47,0),"")</f>
        <v/>
      </c>
      <c r="Z3" s="3"/>
      <c r="AA3" s="24" t="str">
        <f>IF(Banco_Nacion[[#This Row],[fecha]]&gt;0,TEXT(Banco_Nacion[[#This Row],[fecha]],"mmmm"),0)</f>
        <v>Enero</v>
      </c>
    </row>
    <row r="4" spans="1:27" x14ac:dyDescent="0.3">
      <c r="A4" s="2">
        <f>IF(Banco_Nacion[[#This Row],[tipo_registro]]="R",COUNTIFS($C$1:$C3,"R")+1,"")</f>
        <v>3</v>
      </c>
      <c r="B4" s="19" t="str">
        <f t="shared" si="0"/>
        <v>B-Banco de la Nacion</v>
      </c>
      <c r="C4" s="3" t="s">
        <v>1330</v>
      </c>
      <c r="D4" s="14">
        <v>45659</v>
      </c>
      <c r="E4" s="5">
        <v>20523573226</v>
      </c>
      <c r="F4" s="5" t="s">
        <v>1303</v>
      </c>
      <c r="G4" s="6" t="s">
        <v>425</v>
      </c>
      <c r="H4" s="6"/>
      <c r="I4" s="6" t="s">
        <v>1343</v>
      </c>
      <c r="J4" s="6">
        <v>462</v>
      </c>
      <c r="K4" s="7" t="s">
        <v>5232</v>
      </c>
      <c r="L4" s="8">
        <v>63414889</v>
      </c>
      <c r="M4" s="8" t="str">
        <f t="shared" si="1"/>
        <v>PEN</v>
      </c>
      <c r="N4" s="13"/>
      <c r="O4" s="13">
        <v>405</v>
      </c>
      <c r="P4" s="3">
        <f t="shared" si="2"/>
        <v>405</v>
      </c>
      <c r="Q4" s="3">
        <f t="shared" si="3"/>
        <v>0</v>
      </c>
      <c r="R4" s="3">
        <f t="shared" si="4"/>
        <v>50165.010000000009</v>
      </c>
      <c r="S4" s="24" t="s">
        <v>1334</v>
      </c>
      <c r="T4" s="24" t="s">
        <v>1334</v>
      </c>
      <c r="U4" s="3"/>
      <c r="V4" s="19" t="str">
        <f>IFERROR(VLOOKUP(Banco_Nacion[[#This Row],[responsable]],Clientes_Proveedores[[Ruc / Dni]:[Razon Social]],2,0),"")</f>
        <v>CBB PERU S.A.</v>
      </c>
      <c r="W4" s="19" t="str">
        <f>IF(Banco_Nacion[[#This Row],[tipo_mov]]="INGRESO",Banco_Nacion[[#This Row],[serie]]&amp;Banco_Nacion[[#This Row],[numero]]&amp;Banco_Nacion[[#This Row],[responsable]]&amp;Banco_Nacion[[#This Row],[monto]],"")</f>
        <v>FE0146220523573226405</v>
      </c>
      <c r="X4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63414889</v>
      </c>
      <c r="Y4" s="3" t="str">
        <f>IFERROR(VLOOKUP(Banco_Nacion[[#This Row],[serie]]&amp;Banco_Nacion[[#This Row],[numero]]&amp;Banco_Nacion[[#This Row],[responsable]],[2]!Provision_CXC[[ID CXP]:[DETRACCION]],47,0),"")</f>
        <v/>
      </c>
      <c r="Z4" s="3"/>
      <c r="AA4" s="24" t="str">
        <f>IF(Banco_Nacion[[#This Row],[fecha]]&gt;0,TEXT(Banco_Nacion[[#This Row],[fecha]],"mmmm"),0)</f>
        <v>Enero</v>
      </c>
    </row>
    <row r="5" spans="1:27" x14ac:dyDescent="0.3">
      <c r="A5" s="2">
        <f>IF(Banco_Nacion[[#This Row],[tipo_registro]]="R",COUNTIFS($C$1:$C4,"R")+1,"")</f>
        <v>4</v>
      </c>
      <c r="B5" s="19" t="str">
        <f t="shared" si="0"/>
        <v>B-Banco de la Nacion</v>
      </c>
      <c r="C5" s="3" t="s">
        <v>1330</v>
      </c>
      <c r="D5" s="14">
        <v>45659</v>
      </c>
      <c r="E5" s="5">
        <v>20523573226</v>
      </c>
      <c r="F5" s="5" t="s">
        <v>1303</v>
      </c>
      <c r="G5" s="6" t="s">
        <v>425</v>
      </c>
      <c r="H5" s="6"/>
      <c r="I5" s="6" t="s">
        <v>1343</v>
      </c>
      <c r="J5" s="6">
        <v>415</v>
      </c>
      <c r="K5" s="7" t="s">
        <v>5232</v>
      </c>
      <c r="L5" s="8">
        <v>63414837</v>
      </c>
      <c r="M5" s="8" t="str">
        <f t="shared" si="1"/>
        <v>PEN</v>
      </c>
      <c r="N5" s="13"/>
      <c r="O5" s="13">
        <v>315</v>
      </c>
      <c r="P5" s="3">
        <f t="shared" si="2"/>
        <v>315</v>
      </c>
      <c r="Q5" s="3">
        <f t="shared" si="3"/>
        <v>0</v>
      </c>
      <c r="R5" s="3">
        <f t="shared" si="4"/>
        <v>50480.010000000009</v>
      </c>
      <c r="S5" s="24" t="s">
        <v>1334</v>
      </c>
      <c r="T5" s="24" t="s">
        <v>1334</v>
      </c>
      <c r="U5" s="3"/>
      <c r="V5" s="19" t="str">
        <f>IFERROR(VLOOKUP(Banco_Nacion[[#This Row],[responsable]],Clientes_Proveedores[[Ruc / Dni]:[Razon Social]],2,0),"")</f>
        <v>CBB PERU S.A.</v>
      </c>
      <c r="W5" s="19" t="str">
        <f>IF(Banco_Nacion[[#This Row],[tipo_mov]]="INGRESO",Banco_Nacion[[#This Row],[serie]]&amp;Banco_Nacion[[#This Row],[numero]]&amp;Banco_Nacion[[#This Row],[responsable]]&amp;Banco_Nacion[[#This Row],[monto]],"")</f>
        <v>FE0141520523573226315</v>
      </c>
      <c r="X5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63414837</v>
      </c>
      <c r="Y5" s="3" t="str">
        <f>IFERROR(VLOOKUP(Banco_Nacion[[#This Row],[serie]]&amp;Banco_Nacion[[#This Row],[numero]]&amp;Banco_Nacion[[#This Row],[responsable]],[2]!Provision_CXC[[ID CXP]:[DETRACCION]],47,0),"")</f>
        <v/>
      </c>
      <c r="Z5" s="3"/>
      <c r="AA5" s="24" t="str">
        <f>IF(Banco_Nacion[[#This Row],[fecha]]&gt;0,TEXT(Banco_Nacion[[#This Row],[fecha]],"mmmm"),0)</f>
        <v>Enero</v>
      </c>
    </row>
    <row r="6" spans="1:27" x14ac:dyDescent="0.3">
      <c r="A6" s="2">
        <f>IF(Banco_Nacion[[#This Row],[tipo_registro]]="R",COUNTIFS($C$1:$C5,"R")+1,"")</f>
        <v>5</v>
      </c>
      <c r="B6" s="19" t="str">
        <f t="shared" si="0"/>
        <v>B-Banco de la Nacion</v>
      </c>
      <c r="C6" s="3" t="s">
        <v>1330</v>
      </c>
      <c r="D6" s="14">
        <v>45659</v>
      </c>
      <c r="E6" s="5">
        <v>20455283915</v>
      </c>
      <c r="F6" s="5" t="s">
        <v>1303</v>
      </c>
      <c r="G6" s="6" t="s">
        <v>425</v>
      </c>
      <c r="H6" s="6"/>
      <c r="I6" s="6" t="s">
        <v>1353</v>
      </c>
      <c r="J6" s="6">
        <v>167</v>
      </c>
      <c r="K6" s="7" t="s">
        <v>5232</v>
      </c>
      <c r="L6" s="8">
        <v>63379785</v>
      </c>
      <c r="M6" s="8" t="str">
        <f t="shared" si="1"/>
        <v>PEN</v>
      </c>
      <c r="N6" s="13"/>
      <c r="O6" s="13">
        <v>78</v>
      </c>
      <c r="P6" s="3">
        <f t="shared" si="2"/>
        <v>78</v>
      </c>
      <c r="Q6" s="3">
        <f t="shared" si="3"/>
        <v>0</v>
      </c>
      <c r="R6" s="3">
        <f t="shared" si="4"/>
        <v>50558.010000000009</v>
      </c>
      <c r="S6" s="24" t="s">
        <v>1334</v>
      </c>
      <c r="T6" s="24" t="s">
        <v>1334</v>
      </c>
      <c r="U6" s="3"/>
      <c r="V6" s="19" t="str">
        <f>IFERROR(VLOOKUP(Banco_Nacion[[#This Row],[responsable]],Clientes_Proveedores[[Ruc / Dni]:[Razon Social]],2,0),"")</f>
        <v>EMPRESA CONSERVADORA AMBIENTAL DEL SUR E.I.R.L. - ECA SUR E.I.R.L.</v>
      </c>
      <c r="W6" s="19" t="str">
        <f>IF(Banco_Nacion[[#This Row],[tipo_mov]]="INGRESO",Banco_Nacion[[#This Row],[serie]]&amp;Banco_Nacion[[#This Row],[numero]]&amp;Banco_Nacion[[#This Row],[responsable]]&amp;Banco_Nacion[[#This Row],[monto]],"")</f>
        <v>FE021672045528391578</v>
      </c>
      <c r="X6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63379785</v>
      </c>
      <c r="Y6" s="3" t="str">
        <f>IFERROR(VLOOKUP(Banco_Nacion[[#This Row],[serie]]&amp;Banco_Nacion[[#This Row],[numero]]&amp;Banco_Nacion[[#This Row],[responsable]],[2]!Provision_CXC[[ID CXP]:[DETRACCION]],47,0),"")</f>
        <v/>
      </c>
      <c r="Z6" s="3"/>
      <c r="AA6" s="24" t="str">
        <f>IF(Banco_Nacion[[#This Row],[fecha]]&gt;0,TEXT(Banco_Nacion[[#This Row],[fecha]],"mmmm"),0)</f>
        <v>Enero</v>
      </c>
    </row>
    <row r="7" spans="1:27" x14ac:dyDescent="0.3">
      <c r="A7" s="2">
        <f>IF(Banco_Nacion[[#This Row],[tipo_registro]]="R",COUNTIFS($C$1:$C6,"R")+1,"")</f>
        <v>6</v>
      </c>
      <c r="B7" s="19" t="str">
        <f t="shared" si="0"/>
        <v>B-Banco de la Nacion</v>
      </c>
      <c r="C7" s="3" t="s">
        <v>1330</v>
      </c>
      <c r="D7" s="14">
        <v>45659</v>
      </c>
      <c r="E7" s="5">
        <v>20455283915</v>
      </c>
      <c r="F7" s="5" t="s">
        <v>1303</v>
      </c>
      <c r="G7" s="6" t="s">
        <v>425</v>
      </c>
      <c r="H7" s="6" t="s">
        <v>68</v>
      </c>
      <c r="I7" s="6" t="s">
        <v>1353</v>
      </c>
      <c r="J7" s="6">
        <v>164</v>
      </c>
      <c r="K7" s="7" t="s">
        <v>5232</v>
      </c>
      <c r="L7" s="8">
        <v>63379784</v>
      </c>
      <c r="M7" s="8" t="str">
        <f t="shared" si="1"/>
        <v>PEN</v>
      </c>
      <c r="N7" s="13"/>
      <c r="O7" s="13">
        <v>61</v>
      </c>
      <c r="P7" s="3">
        <f t="shared" si="2"/>
        <v>61</v>
      </c>
      <c r="Q7" s="3">
        <f t="shared" si="3"/>
        <v>0</v>
      </c>
      <c r="R7" s="3">
        <f t="shared" si="4"/>
        <v>50619.010000000009</v>
      </c>
      <c r="S7" s="24" t="s">
        <v>1334</v>
      </c>
      <c r="T7" s="24" t="s">
        <v>1334</v>
      </c>
      <c r="U7" s="3"/>
      <c r="V7" s="19" t="str">
        <f>IFERROR(VLOOKUP(Banco_Nacion[[#This Row],[responsable]],Clientes_Proveedores[[Ruc / Dni]:[Razon Social]],2,0),"")</f>
        <v>EMPRESA CONSERVADORA AMBIENTAL DEL SUR E.I.R.L. - ECA SUR E.I.R.L.</v>
      </c>
      <c r="W7" s="19" t="str">
        <f>IF(Banco_Nacion[[#This Row],[tipo_mov]]="INGRESO",Banco_Nacion[[#This Row],[serie]]&amp;Banco_Nacion[[#This Row],[numero]]&amp;Banco_Nacion[[#This Row],[responsable]]&amp;Banco_Nacion[[#This Row],[monto]],"")</f>
        <v>FE021642045528391561</v>
      </c>
      <c r="X7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63379784</v>
      </c>
      <c r="Y7" s="3" t="str">
        <f>IFERROR(VLOOKUP(Banco_Nacion[[#This Row],[serie]]&amp;Banco_Nacion[[#This Row],[numero]]&amp;Banco_Nacion[[#This Row],[responsable]],[2]!Provision_CXC[[ID CXP]:[DETRACCION]],47,0),"")</f>
        <v/>
      </c>
      <c r="Z7" s="3"/>
      <c r="AA7" s="24" t="str">
        <f>IF(Banco_Nacion[[#This Row],[fecha]]&gt;0,TEXT(Banco_Nacion[[#This Row],[fecha]],"mmmm"),0)</f>
        <v>Enero</v>
      </c>
    </row>
    <row r="8" spans="1:27" x14ac:dyDescent="0.3">
      <c r="A8" s="2">
        <f>IF(Banco_Nacion[[#This Row],[tipo_registro]]="R",COUNTIFS($C$1:$C7,"R")+1,"")</f>
        <v>7</v>
      </c>
      <c r="B8" s="19" t="str">
        <f t="shared" si="0"/>
        <v>B-Banco de la Nacion</v>
      </c>
      <c r="C8" s="3" t="s">
        <v>1330</v>
      </c>
      <c r="D8" s="14">
        <v>45659</v>
      </c>
      <c r="E8" s="5">
        <v>20498309713</v>
      </c>
      <c r="F8" s="5" t="s">
        <v>1303</v>
      </c>
      <c r="G8" s="6" t="s">
        <v>425</v>
      </c>
      <c r="H8" s="6" t="s">
        <v>68</v>
      </c>
      <c r="I8" s="6" t="s">
        <v>1353</v>
      </c>
      <c r="J8" s="6">
        <v>166</v>
      </c>
      <c r="K8" s="7" t="s">
        <v>5232</v>
      </c>
      <c r="L8" s="8">
        <v>63379674</v>
      </c>
      <c r="M8" s="8" t="str">
        <f t="shared" si="1"/>
        <v>PEN</v>
      </c>
      <c r="N8" s="13"/>
      <c r="O8" s="13">
        <v>7</v>
      </c>
      <c r="P8" s="3">
        <f t="shared" si="2"/>
        <v>7</v>
      </c>
      <c r="Q8" s="3">
        <f t="shared" si="3"/>
        <v>0</v>
      </c>
      <c r="R8" s="3">
        <f t="shared" si="4"/>
        <v>50626.010000000009</v>
      </c>
      <c r="S8" s="24" t="s">
        <v>1334</v>
      </c>
      <c r="T8" s="24" t="s">
        <v>1334</v>
      </c>
      <c r="U8" s="3"/>
      <c r="V8" s="19" t="str">
        <f>IFERROR(VLOOKUP(Banco_Nacion[[#This Row],[responsable]],Clientes_Proveedores[[Ruc / Dni]:[Razon Social]],2,0),"")</f>
        <v>SCOMAR S.R.L</v>
      </c>
      <c r="W8" s="19" t="str">
        <f>IF(Banco_Nacion[[#This Row],[tipo_mov]]="INGRESO",Banco_Nacion[[#This Row],[serie]]&amp;Banco_Nacion[[#This Row],[numero]]&amp;Banco_Nacion[[#This Row],[responsable]]&amp;Banco_Nacion[[#This Row],[monto]],"")</f>
        <v>FE02166204983097137</v>
      </c>
      <c r="X8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63379674</v>
      </c>
      <c r="Y8" s="3" t="str">
        <f>IFERROR(VLOOKUP(Banco_Nacion[[#This Row],[serie]]&amp;Banco_Nacion[[#This Row],[numero]]&amp;Banco_Nacion[[#This Row],[responsable]],[2]!Provision_CXC[[ID CXP]:[DETRACCION]],47,0),"")</f>
        <v/>
      </c>
      <c r="Z8" s="3"/>
      <c r="AA8" s="24" t="str">
        <f>IF(Banco_Nacion[[#This Row],[fecha]]&gt;0,TEXT(Banco_Nacion[[#This Row],[fecha]],"mmmm"),0)</f>
        <v>Enero</v>
      </c>
    </row>
    <row r="9" spans="1:27" x14ac:dyDescent="0.3">
      <c r="A9" s="2">
        <f>IF(Banco_Nacion[[#This Row],[tipo_registro]]="R",COUNTIFS($C$1:$C8,"R")+1,"")</f>
        <v>8</v>
      </c>
      <c r="B9" s="19" t="str">
        <f t="shared" si="0"/>
        <v>B-Banco de la Nacion</v>
      </c>
      <c r="C9" s="3" t="s">
        <v>1330</v>
      </c>
      <c r="D9" s="14">
        <v>45659</v>
      </c>
      <c r="E9" s="5">
        <v>20455283915</v>
      </c>
      <c r="F9" s="5" t="s">
        <v>1303</v>
      </c>
      <c r="G9" s="6" t="s">
        <v>425</v>
      </c>
      <c r="H9" s="6" t="s">
        <v>68</v>
      </c>
      <c r="I9" s="6" t="s">
        <v>1353</v>
      </c>
      <c r="J9" s="6">
        <v>159</v>
      </c>
      <c r="K9" s="7" t="s">
        <v>5232</v>
      </c>
      <c r="L9" s="8">
        <v>63367839</v>
      </c>
      <c r="M9" s="8" t="str">
        <f t="shared" si="1"/>
        <v>PEN</v>
      </c>
      <c r="N9" s="13"/>
      <c r="O9" s="13">
        <v>27</v>
      </c>
      <c r="P9" s="3">
        <f t="shared" si="2"/>
        <v>27</v>
      </c>
      <c r="Q9" s="3">
        <f t="shared" si="3"/>
        <v>0</v>
      </c>
      <c r="R9" s="3">
        <f t="shared" si="4"/>
        <v>50653.010000000009</v>
      </c>
      <c r="S9" s="24" t="s">
        <v>1334</v>
      </c>
      <c r="T9" s="24" t="s">
        <v>1334</v>
      </c>
      <c r="U9" s="3"/>
      <c r="V9" s="19" t="str">
        <f>IFERROR(VLOOKUP(Banco_Nacion[[#This Row],[responsable]],Clientes_Proveedores[[Ruc / Dni]:[Razon Social]],2,0),"")</f>
        <v>EMPRESA CONSERVADORA AMBIENTAL DEL SUR E.I.R.L. - ECA SUR E.I.R.L.</v>
      </c>
      <c r="W9" s="19" t="str">
        <f>IF(Banco_Nacion[[#This Row],[tipo_mov]]="INGRESO",Banco_Nacion[[#This Row],[serie]]&amp;Banco_Nacion[[#This Row],[numero]]&amp;Banco_Nacion[[#This Row],[responsable]]&amp;Banco_Nacion[[#This Row],[monto]],"")</f>
        <v>FE021592045528391527</v>
      </c>
      <c r="X9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63367839</v>
      </c>
      <c r="Y9" s="3" t="str">
        <f>IFERROR(VLOOKUP(Banco_Nacion[[#This Row],[serie]]&amp;Banco_Nacion[[#This Row],[numero]]&amp;Banco_Nacion[[#This Row],[responsable]],[2]!Provision_CXC[[ID CXP]:[DETRACCION]],47,0),"")</f>
        <v/>
      </c>
      <c r="Z9" s="3"/>
      <c r="AA9" s="24" t="str">
        <f>IF(Banco_Nacion[[#This Row],[fecha]]&gt;0,TEXT(Banco_Nacion[[#This Row],[fecha]],"mmmm"),0)</f>
        <v>Enero</v>
      </c>
    </row>
    <row r="10" spans="1:27" x14ac:dyDescent="0.3">
      <c r="A10" s="2">
        <f>IF(Banco_Nacion[[#This Row],[tipo_registro]]="R",COUNTIFS($C$1:$C9,"R")+1,"")</f>
        <v>9</v>
      </c>
      <c r="B10" s="19" t="str">
        <f t="shared" si="0"/>
        <v>B-Banco de la Nacion</v>
      </c>
      <c r="C10" s="3" t="s">
        <v>1330</v>
      </c>
      <c r="D10" s="14">
        <v>45659</v>
      </c>
      <c r="E10" s="5">
        <v>20455283915</v>
      </c>
      <c r="F10" s="5" t="s">
        <v>1303</v>
      </c>
      <c r="G10" s="6" t="s">
        <v>425</v>
      </c>
      <c r="H10" s="6" t="s">
        <v>68</v>
      </c>
      <c r="I10" s="6" t="s">
        <v>1353</v>
      </c>
      <c r="J10" s="6">
        <v>158</v>
      </c>
      <c r="K10" s="7" t="s">
        <v>5232</v>
      </c>
      <c r="L10" s="8">
        <v>63367838</v>
      </c>
      <c r="M10" s="8" t="str">
        <f t="shared" si="1"/>
        <v>PEN</v>
      </c>
      <c r="N10" s="13"/>
      <c r="O10" s="13">
        <v>212</v>
      </c>
      <c r="P10" s="3">
        <f t="shared" si="2"/>
        <v>212</v>
      </c>
      <c r="Q10" s="3">
        <f t="shared" si="3"/>
        <v>0</v>
      </c>
      <c r="R10" s="3">
        <f t="shared" si="4"/>
        <v>50865.010000000009</v>
      </c>
      <c r="S10" s="24" t="s">
        <v>1334</v>
      </c>
      <c r="T10" s="24" t="s">
        <v>1334</v>
      </c>
      <c r="U10" s="3"/>
      <c r="V10" s="19" t="str">
        <f>IFERROR(VLOOKUP(Banco_Nacion[[#This Row],[responsable]],Clientes_Proveedores[[Ruc / Dni]:[Razon Social]],2,0),"")</f>
        <v>EMPRESA CONSERVADORA AMBIENTAL DEL SUR E.I.R.L. - ECA SUR E.I.R.L.</v>
      </c>
      <c r="W10" s="19" t="str">
        <f>IF(Banco_Nacion[[#This Row],[tipo_mov]]="INGRESO",Banco_Nacion[[#This Row],[serie]]&amp;Banco_Nacion[[#This Row],[numero]]&amp;Banco_Nacion[[#This Row],[responsable]]&amp;Banco_Nacion[[#This Row],[monto]],"")</f>
        <v>FE0215820455283915212</v>
      </c>
      <c r="X10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63367838</v>
      </c>
      <c r="Y10" s="3" t="str">
        <f>IFERROR(VLOOKUP(Banco_Nacion[[#This Row],[serie]]&amp;Banco_Nacion[[#This Row],[numero]]&amp;Banco_Nacion[[#This Row],[responsable]],[2]!Provision_CXC[[ID CXP]:[DETRACCION]],47,0),"")</f>
        <v/>
      </c>
      <c r="Z10" s="3"/>
      <c r="AA10" s="24" t="str">
        <f>IF(Banco_Nacion[[#This Row],[fecha]]&gt;0,TEXT(Banco_Nacion[[#This Row],[fecha]],"mmmm"),0)</f>
        <v>Enero</v>
      </c>
    </row>
    <row r="11" spans="1:27" x14ac:dyDescent="0.3">
      <c r="A11" s="2">
        <f>IF(Banco_Nacion[[#This Row],[tipo_registro]]="R",COUNTIFS($C$1:$C10,"R")+1,"")</f>
        <v>10</v>
      </c>
      <c r="B11" s="19" t="str">
        <f t="shared" si="0"/>
        <v>B-Banco de la Nacion</v>
      </c>
      <c r="C11" s="3" t="s">
        <v>1330</v>
      </c>
      <c r="D11" s="14">
        <v>45659</v>
      </c>
      <c r="E11" s="5">
        <v>20455283915</v>
      </c>
      <c r="F11" s="5" t="s">
        <v>1303</v>
      </c>
      <c r="G11" s="6" t="s">
        <v>425</v>
      </c>
      <c r="H11" s="6" t="s">
        <v>68</v>
      </c>
      <c r="I11" s="6" t="s">
        <v>1353</v>
      </c>
      <c r="J11" s="6">
        <v>156</v>
      </c>
      <c r="K11" s="7" t="s">
        <v>5232</v>
      </c>
      <c r="L11" s="8">
        <v>63367837</v>
      </c>
      <c r="M11" s="8" t="str">
        <f t="shared" si="1"/>
        <v>PEN</v>
      </c>
      <c r="N11" s="13"/>
      <c r="O11" s="13">
        <v>246</v>
      </c>
      <c r="P11" s="3">
        <f t="shared" si="2"/>
        <v>246</v>
      </c>
      <c r="Q11" s="3">
        <f t="shared" si="3"/>
        <v>0</v>
      </c>
      <c r="R11" s="3">
        <f t="shared" si="4"/>
        <v>51111.010000000009</v>
      </c>
      <c r="S11" s="24" t="s">
        <v>1334</v>
      </c>
      <c r="T11" s="24" t="s">
        <v>1334</v>
      </c>
      <c r="U11" s="3"/>
      <c r="V11" s="19" t="str">
        <f>IFERROR(VLOOKUP(Banco_Nacion[[#This Row],[responsable]],Clientes_Proveedores[[Ruc / Dni]:[Razon Social]],2,0),"")</f>
        <v>EMPRESA CONSERVADORA AMBIENTAL DEL SUR E.I.R.L. - ECA SUR E.I.R.L.</v>
      </c>
      <c r="W11" s="19" t="str">
        <f>IF(Banco_Nacion[[#This Row],[tipo_mov]]="INGRESO",Banco_Nacion[[#This Row],[serie]]&amp;Banco_Nacion[[#This Row],[numero]]&amp;Banco_Nacion[[#This Row],[responsable]]&amp;Banco_Nacion[[#This Row],[monto]],"")</f>
        <v>FE0215620455283915246</v>
      </c>
      <c r="X11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63367837</v>
      </c>
      <c r="Y11" s="3" t="str">
        <f>IFERROR(VLOOKUP(Banco_Nacion[[#This Row],[serie]]&amp;Banco_Nacion[[#This Row],[numero]]&amp;Banco_Nacion[[#This Row],[responsable]],[2]!Provision_CXC[[ID CXP]:[DETRACCION]],47,0),"")</f>
        <v/>
      </c>
      <c r="Z11" s="3"/>
      <c r="AA11" s="24" t="str">
        <f>IF(Banco_Nacion[[#This Row],[fecha]]&gt;0,TEXT(Banco_Nacion[[#This Row],[fecha]],"mmmm"),0)</f>
        <v>Enero</v>
      </c>
    </row>
    <row r="12" spans="1:27" x14ac:dyDescent="0.3">
      <c r="A12" s="2">
        <f>IF(Banco_Nacion[[#This Row],[tipo_registro]]="R",COUNTIFS($C$1:$C11,"R")+1,"")</f>
        <v>11</v>
      </c>
      <c r="B12" s="19" t="str">
        <f t="shared" si="0"/>
        <v>B-Banco de la Nacion</v>
      </c>
      <c r="C12" s="3" t="s">
        <v>1330</v>
      </c>
      <c r="D12" s="14">
        <v>45659</v>
      </c>
      <c r="E12" s="5">
        <v>20455283915</v>
      </c>
      <c r="F12" s="5" t="s">
        <v>1303</v>
      </c>
      <c r="G12" s="6" t="s">
        <v>425</v>
      </c>
      <c r="H12" s="6" t="s">
        <v>68</v>
      </c>
      <c r="I12" s="6" t="s">
        <v>1353</v>
      </c>
      <c r="J12" s="6">
        <v>149</v>
      </c>
      <c r="K12" s="7" t="s">
        <v>5232</v>
      </c>
      <c r="L12" s="8">
        <v>63367836</v>
      </c>
      <c r="M12" s="8" t="str">
        <f t="shared" si="1"/>
        <v>PEN</v>
      </c>
      <c r="N12" s="13"/>
      <c r="O12" s="13">
        <v>516</v>
      </c>
      <c r="P12" s="3">
        <f t="shared" si="2"/>
        <v>516</v>
      </c>
      <c r="Q12" s="3">
        <f t="shared" si="3"/>
        <v>0</v>
      </c>
      <c r="R12" s="3">
        <f t="shared" si="4"/>
        <v>51627.010000000009</v>
      </c>
      <c r="S12" s="24" t="s">
        <v>1334</v>
      </c>
      <c r="T12" s="24" t="s">
        <v>1334</v>
      </c>
      <c r="U12" s="3"/>
      <c r="V12" s="19" t="str">
        <f>IFERROR(VLOOKUP(Banco_Nacion[[#This Row],[responsable]],Clientes_Proveedores[[Ruc / Dni]:[Razon Social]],2,0),"")</f>
        <v>EMPRESA CONSERVADORA AMBIENTAL DEL SUR E.I.R.L. - ECA SUR E.I.R.L.</v>
      </c>
      <c r="W12" s="19" t="str">
        <f>IF(Banco_Nacion[[#This Row],[tipo_mov]]="INGRESO",Banco_Nacion[[#This Row],[serie]]&amp;Banco_Nacion[[#This Row],[numero]]&amp;Banco_Nacion[[#This Row],[responsable]]&amp;Banco_Nacion[[#This Row],[monto]],"")</f>
        <v>FE0214920455283915516</v>
      </c>
      <c r="X12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63367836</v>
      </c>
      <c r="Y12" s="3" t="str">
        <f>IFERROR(VLOOKUP(Banco_Nacion[[#This Row],[serie]]&amp;Banco_Nacion[[#This Row],[numero]]&amp;Banco_Nacion[[#This Row],[responsable]],[2]!Provision_CXC[[ID CXP]:[DETRACCION]],47,0),"")</f>
        <v/>
      </c>
      <c r="Z12" s="3"/>
      <c r="AA12" s="24" t="str">
        <f>IF(Banco_Nacion[[#This Row],[fecha]]&gt;0,TEXT(Banco_Nacion[[#This Row],[fecha]],"mmmm"),0)</f>
        <v>Enero</v>
      </c>
    </row>
    <row r="13" spans="1:27" x14ac:dyDescent="0.3">
      <c r="A13" s="2">
        <f>IF(Banco_Nacion[[#This Row],[tipo_registro]]="R",COUNTIFS($C$1:$C12,"R")+1,"")</f>
        <v>12</v>
      </c>
      <c r="B13" s="19" t="str">
        <f t="shared" si="0"/>
        <v>B-Banco de la Nacion</v>
      </c>
      <c r="C13" s="3" t="s">
        <v>1330</v>
      </c>
      <c r="D13" s="14">
        <v>45659</v>
      </c>
      <c r="E13" s="5">
        <v>20100192064</v>
      </c>
      <c r="F13" s="5" t="s">
        <v>1303</v>
      </c>
      <c r="G13" s="6" t="s">
        <v>425</v>
      </c>
      <c r="H13" s="6" t="s">
        <v>68</v>
      </c>
      <c r="I13" s="6" t="s">
        <v>1343</v>
      </c>
      <c r="J13" s="6">
        <v>496</v>
      </c>
      <c r="K13" s="7" t="s">
        <v>5232</v>
      </c>
      <c r="L13" s="8">
        <v>63360967</v>
      </c>
      <c r="M13" s="8" t="str">
        <f t="shared" si="1"/>
        <v>PEN</v>
      </c>
      <c r="N13" s="13"/>
      <c r="O13" s="13">
        <v>423</v>
      </c>
      <c r="P13" s="3">
        <f t="shared" si="2"/>
        <v>423</v>
      </c>
      <c r="Q13" s="3">
        <f t="shared" si="3"/>
        <v>0</v>
      </c>
      <c r="R13" s="3">
        <f t="shared" si="4"/>
        <v>52050.010000000009</v>
      </c>
      <c r="S13" s="24" t="s">
        <v>1334</v>
      </c>
      <c r="T13" s="24" t="s">
        <v>1334</v>
      </c>
      <c r="U13" s="3"/>
      <c r="V13" s="19" t="str">
        <f>IFERROR(VLOOKUP(Banco_Nacion[[#This Row],[responsable]],Clientes_Proveedores[[Ruc / Dni]:[Razon Social]],2,0),"")</f>
        <v>MOLY-COP ADESUR S.A</v>
      </c>
      <c r="W13" s="19" t="str">
        <f>IF(Banco_Nacion[[#This Row],[tipo_mov]]="INGRESO",Banco_Nacion[[#This Row],[serie]]&amp;Banco_Nacion[[#This Row],[numero]]&amp;Banco_Nacion[[#This Row],[responsable]]&amp;Banco_Nacion[[#This Row],[monto]],"")</f>
        <v>FE0149620100192064423</v>
      </c>
      <c r="X13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63360967</v>
      </c>
      <c r="Y13" s="3" t="str">
        <f>IFERROR(VLOOKUP(Banco_Nacion[[#This Row],[serie]]&amp;Banco_Nacion[[#This Row],[numero]]&amp;Banco_Nacion[[#This Row],[responsable]],[2]!Provision_CXC[[ID CXP]:[DETRACCION]],47,0),"")</f>
        <v/>
      </c>
      <c r="Z13" s="3"/>
      <c r="AA13" s="24" t="str">
        <f>IF(Banco_Nacion[[#This Row],[fecha]]&gt;0,TEXT(Banco_Nacion[[#This Row],[fecha]],"mmmm"),0)</f>
        <v>Enero</v>
      </c>
    </row>
    <row r="14" spans="1:27" x14ac:dyDescent="0.3">
      <c r="A14" s="2">
        <f>IF(Banco_Nacion[[#This Row],[tipo_registro]]="R",COUNTIFS($C$1:$C13,"R")+1,"")</f>
        <v>13</v>
      </c>
      <c r="B14" s="19" t="str">
        <f t="shared" si="0"/>
        <v>B-Banco de la Nacion</v>
      </c>
      <c r="C14" s="3" t="s">
        <v>1330</v>
      </c>
      <c r="D14" s="14">
        <v>45659</v>
      </c>
      <c r="E14" s="5">
        <v>20100192064</v>
      </c>
      <c r="F14" s="5" t="s">
        <v>1303</v>
      </c>
      <c r="G14" s="6" t="s">
        <v>425</v>
      </c>
      <c r="H14" s="6" t="s">
        <v>68</v>
      </c>
      <c r="I14" s="6" t="s">
        <v>1343</v>
      </c>
      <c r="J14" s="6">
        <v>495</v>
      </c>
      <c r="K14" s="7" t="s">
        <v>5232</v>
      </c>
      <c r="L14" s="8">
        <v>63360966</v>
      </c>
      <c r="M14" s="8" t="str">
        <f t="shared" si="1"/>
        <v>PEN</v>
      </c>
      <c r="N14" s="13"/>
      <c r="O14" s="13">
        <v>424</v>
      </c>
      <c r="P14" s="3">
        <f t="shared" si="2"/>
        <v>424</v>
      </c>
      <c r="Q14" s="3">
        <f t="shared" si="3"/>
        <v>0</v>
      </c>
      <c r="R14" s="3">
        <f t="shared" si="4"/>
        <v>52474.010000000009</v>
      </c>
      <c r="S14" s="24" t="s">
        <v>1334</v>
      </c>
      <c r="T14" s="24" t="s">
        <v>1334</v>
      </c>
      <c r="U14" s="3"/>
      <c r="V14" s="19" t="str">
        <f>IFERROR(VLOOKUP(Banco_Nacion[[#This Row],[responsable]],Clientes_Proveedores[[Ruc / Dni]:[Razon Social]],2,0),"")</f>
        <v>MOLY-COP ADESUR S.A</v>
      </c>
      <c r="W14" s="19" t="str">
        <f>IF(Banco_Nacion[[#This Row],[tipo_mov]]="INGRESO",Banco_Nacion[[#This Row],[serie]]&amp;Banco_Nacion[[#This Row],[numero]]&amp;Banco_Nacion[[#This Row],[responsable]]&amp;Banco_Nacion[[#This Row],[monto]],"")</f>
        <v>FE0149520100192064424</v>
      </c>
      <c r="X14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63360966</v>
      </c>
      <c r="Y14" s="3" t="str">
        <f>IFERROR(VLOOKUP(Banco_Nacion[[#This Row],[serie]]&amp;Banco_Nacion[[#This Row],[numero]]&amp;Banco_Nacion[[#This Row],[responsable]],[2]!Provision_CXC[[ID CXP]:[DETRACCION]],47,0),"")</f>
        <v/>
      </c>
      <c r="Z14" s="3"/>
      <c r="AA14" s="24" t="str">
        <f>IF(Banco_Nacion[[#This Row],[fecha]]&gt;0,TEXT(Banco_Nacion[[#This Row],[fecha]],"mmmm"),0)</f>
        <v>Enero</v>
      </c>
    </row>
    <row r="15" spans="1:27" x14ac:dyDescent="0.3">
      <c r="A15" s="2">
        <f>IF(Banco_Nacion[[#This Row],[tipo_registro]]="R",COUNTIFS($C$1:$C14,"R")+1,"")</f>
        <v>14</v>
      </c>
      <c r="B15" s="19" t="str">
        <f t="shared" si="0"/>
        <v>B-Banco de la Nacion</v>
      </c>
      <c r="C15" s="3" t="s">
        <v>1330</v>
      </c>
      <c r="D15" s="14">
        <v>45659</v>
      </c>
      <c r="E15" s="5">
        <v>20100192064</v>
      </c>
      <c r="F15" s="5" t="s">
        <v>1303</v>
      </c>
      <c r="G15" s="6" t="s">
        <v>425</v>
      </c>
      <c r="H15" s="6" t="s">
        <v>68</v>
      </c>
      <c r="I15" s="6" t="s">
        <v>1343</v>
      </c>
      <c r="J15" s="6">
        <v>474</v>
      </c>
      <c r="K15" s="7" t="s">
        <v>5232</v>
      </c>
      <c r="L15" s="8">
        <v>63360849</v>
      </c>
      <c r="M15" s="8" t="str">
        <f t="shared" si="1"/>
        <v>PEN</v>
      </c>
      <c r="N15" s="13"/>
      <c r="O15" s="13">
        <v>886</v>
      </c>
      <c r="P15" s="3">
        <f t="shared" si="2"/>
        <v>886</v>
      </c>
      <c r="Q15" s="3">
        <f t="shared" si="3"/>
        <v>0</v>
      </c>
      <c r="R15" s="3">
        <f t="shared" si="4"/>
        <v>53360.010000000009</v>
      </c>
      <c r="S15" s="24" t="s">
        <v>1334</v>
      </c>
      <c r="T15" s="24" t="s">
        <v>1334</v>
      </c>
      <c r="U15" s="3"/>
      <c r="V15" s="19" t="str">
        <f>IFERROR(VLOOKUP(Banco_Nacion[[#This Row],[responsable]],Clientes_Proveedores[[Ruc / Dni]:[Razon Social]],2,0),"")</f>
        <v>MOLY-COP ADESUR S.A</v>
      </c>
      <c r="W15" s="19" t="str">
        <f>IF(Banco_Nacion[[#This Row],[tipo_mov]]="INGRESO",Banco_Nacion[[#This Row],[serie]]&amp;Banco_Nacion[[#This Row],[numero]]&amp;Banco_Nacion[[#This Row],[responsable]]&amp;Banco_Nacion[[#This Row],[monto]],"")</f>
        <v>FE0147420100192064886</v>
      </c>
      <c r="X15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63360849</v>
      </c>
      <c r="Y15" s="3" t="str">
        <f>IFERROR(VLOOKUP(Banco_Nacion[[#This Row],[serie]]&amp;Banco_Nacion[[#This Row],[numero]]&amp;Banco_Nacion[[#This Row],[responsable]],[2]!Provision_CXC[[ID CXP]:[DETRACCION]],47,0),"")</f>
        <v/>
      </c>
      <c r="Z15" s="3"/>
      <c r="AA15" s="24" t="str">
        <f>IF(Banco_Nacion[[#This Row],[fecha]]&gt;0,TEXT(Banco_Nacion[[#This Row],[fecha]],"mmmm"),0)</f>
        <v>Enero</v>
      </c>
    </row>
    <row r="16" spans="1:27" x14ac:dyDescent="0.3">
      <c r="A16" s="2">
        <f>IF(Banco_Nacion[[#This Row],[tipo_registro]]="R",COUNTIFS($C$1:$C15,"R")+1,"")</f>
        <v>15</v>
      </c>
      <c r="B16" s="19" t="str">
        <f t="shared" si="0"/>
        <v>B-Banco de la Nacion</v>
      </c>
      <c r="C16" s="3" t="s">
        <v>1330</v>
      </c>
      <c r="D16" s="14">
        <v>45659</v>
      </c>
      <c r="E16" s="5">
        <v>20100192064</v>
      </c>
      <c r="F16" s="5" t="s">
        <v>1303</v>
      </c>
      <c r="G16" s="6" t="s">
        <v>425</v>
      </c>
      <c r="H16" s="6" t="s">
        <v>68</v>
      </c>
      <c r="I16" s="6" t="s">
        <v>1343</v>
      </c>
      <c r="J16" s="6">
        <v>475</v>
      </c>
      <c r="K16" s="7" t="s">
        <v>5232</v>
      </c>
      <c r="L16" s="8">
        <v>63360848</v>
      </c>
      <c r="M16" s="8" t="str">
        <f t="shared" si="1"/>
        <v>PEN</v>
      </c>
      <c r="N16" s="13"/>
      <c r="O16" s="13">
        <v>642</v>
      </c>
      <c r="P16" s="3">
        <f t="shared" si="2"/>
        <v>642</v>
      </c>
      <c r="Q16" s="3">
        <f t="shared" si="3"/>
        <v>0</v>
      </c>
      <c r="R16" s="3">
        <f t="shared" si="4"/>
        <v>54002.010000000009</v>
      </c>
      <c r="S16" s="24" t="s">
        <v>1334</v>
      </c>
      <c r="T16" s="24" t="s">
        <v>1334</v>
      </c>
      <c r="U16" s="3"/>
      <c r="V16" s="19" t="str">
        <f>IFERROR(VLOOKUP(Banco_Nacion[[#This Row],[responsable]],Clientes_Proveedores[[Ruc / Dni]:[Razon Social]],2,0),"")</f>
        <v>MOLY-COP ADESUR S.A</v>
      </c>
      <c r="W16" s="19" t="str">
        <f>IF(Banco_Nacion[[#This Row],[tipo_mov]]="INGRESO",Banco_Nacion[[#This Row],[serie]]&amp;Banco_Nacion[[#This Row],[numero]]&amp;Banco_Nacion[[#This Row],[responsable]]&amp;Banco_Nacion[[#This Row],[monto]],"")</f>
        <v>FE0147520100192064642</v>
      </c>
      <c r="X16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63360848</v>
      </c>
      <c r="Y16" s="3" t="str">
        <f>IFERROR(VLOOKUP(Banco_Nacion[[#This Row],[serie]]&amp;Banco_Nacion[[#This Row],[numero]]&amp;Banco_Nacion[[#This Row],[responsable]],[2]!Provision_CXC[[ID CXP]:[DETRACCION]],47,0),"")</f>
        <v/>
      </c>
      <c r="Z16" s="3"/>
      <c r="AA16" s="24" t="str">
        <f>IF(Banco_Nacion[[#This Row],[fecha]]&gt;0,TEXT(Banco_Nacion[[#This Row],[fecha]],"mmmm"),0)</f>
        <v>Enero</v>
      </c>
    </row>
    <row r="17" spans="1:27" x14ac:dyDescent="0.3">
      <c r="A17" s="2">
        <f>IF(Banco_Nacion[[#This Row],[tipo_registro]]="R",COUNTIFS($C$1:$C16,"R")+1,"")</f>
        <v>16</v>
      </c>
      <c r="B17" s="19" t="str">
        <f t="shared" si="0"/>
        <v>B-Banco de la Nacion</v>
      </c>
      <c r="C17" s="3" t="s">
        <v>1330</v>
      </c>
      <c r="D17" s="14">
        <v>45659</v>
      </c>
      <c r="E17" s="5">
        <v>20100192064</v>
      </c>
      <c r="F17" s="5" t="s">
        <v>1303</v>
      </c>
      <c r="G17" s="6" t="s">
        <v>425</v>
      </c>
      <c r="H17" s="6" t="s">
        <v>68</v>
      </c>
      <c r="I17" s="6" t="s">
        <v>1343</v>
      </c>
      <c r="J17" s="6">
        <v>481</v>
      </c>
      <c r="K17" s="7" t="s">
        <v>5232</v>
      </c>
      <c r="L17" s="8">
        <v>63360847</v>
      </c>
      <c r="M17" s="8" t="str">
        <f t="shared" si="1"/>
        <v>PEN</v>
      </c>
      <c r="N17" s="13"/>
      <c r="O17" s="13">
        <v>109</v>
      </c>
      <c r="P17" s="3">
        <f t="shared" si="2"/>
        <v>109</v>
      </c>
      <c r="Q17" s="3">
        <f t="shared" si="3"/>
        <v>0</v>
      </c>
      <c r="R17" s="3">
        <f t="shared" si="4"/>
        <v>54111.010000000009</v>
      </c>
      <c r="S17" s="24" t="s">
        <v>1334</v>
      </c>
      <c r="T17" s="24" t="s">
        <v>1334</v>
      </c>
      <c r="U17" s="3"/>
      <c r="V17" s="19" t="str">
        <f>IFERROR(VLOOKUP(Banco_Nacion[[#This Row],[responsable]],Clientes_Proveedores[[Ruc / Dni]:[Razon Social]],2,0),"")</f>
        <v>MOLY-COP ADESUR S.A</v>
      </c>
      <c r="W17" s="19" t="str">
        <f>IF(Banco_Nacion[[#This Row],[tipo_mov]]="INGRESO",Banco_Nacion[[#This Row],[serie]]&amp;Banco_Nacion[[#This Row],[numero]]&amp;Banco_Nacion[[#This Row],[responsable]]&amp;Banco_Nacion[[#This Row],[monto]],"")</f>
        <v>FE0148120100192064109</v>
      </c>
      <c r="X17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63360847</v>
      </c>
      <c r="Y17" s="3" t="str">
        <f>IFERROR(VLOOKUP(Banco_Nacion[[#This Row],[serie]]&amp;Banco_Nacion[[#This Row],[numero]]&amp;Banco_Nacion[[#This Row],[responsable]],[2]!Provision_CXC[[ID CXP]:[DETRACCION]],47,0),"")</f>
        <v/>
      </c>
      <c r="Z17" s="3"/>
      <c r="AA17" s="24" t="str">
        <f>IF(Banco_Nacion[[#This Row],[fecha]]&gt;0,TEXT(Banco_Nacion[[#This Row],[fecha]],"mmmm"),0)</f>
        <v>Enero</v>
      </c>
    </row>
    <row r="18" spans="1:27" x14ac:dyDescent="0.3">
      <c r="A18" s="2">
        <f>IF(Banco_Nacion[[#This Row],[tipo_registro]]="R",COUNTIFS($C$1:$C17,"R")+1,"")</f>
        <v>17</v>
      </c>
      <c r="B18" s="19" t="str">
        <f t="shared" si="0"/>
        <v>B-Banco de la Nacion</v>
      </c>
      <c r="C18" s="3" t="s">
        <v>1330</v>
      </c>
      <c r="D18" s="14">
        <v>45659</v>
      </c>
      <c r="E18" s="5">
        <v>20100192064</v>
      </c>
      <c r="F18" s="5" t="s">
        <v>1303</v>
      </c>
      <c r="G18" s="6" t="s">
        <v>425</v>
      </c>
      <c r="H18" s="6" t="s">
        <v>68</v>
      </c>
      <c r="I18" s="6" t="s">
        <v>1343</v>
      </c>
      <c r="J18" s="6">
        <v>482</v>
      </c>
      <c r="K18" s="7" t="s">
        <v>5232</v>
      </c>
      <c r="L18" s="8">
        <v>63360846</v>
      </c>
      <c r="M18" s="8" t="str">
        <f t="shared" si="1"/>
        <v>PEN</v>
      </c>
      <c r="N18" s="13"/>
      <c r="O18" s="13">
        <v>512</v>
      </c>
      <c r="P18" s="3">
        <f t="shared" si="2"/>
        <v>512</v>
      </c>
      <c r="Q18" s="3">
        <f t="shared" si="3"/>
        <v>0</v>
      </c>
      <c r="R18" s="3">
        <f t="shared" si="4"/>
        <v>54623.010000000009</v>
      </c>
      <c r="S18" s="24" t="s">
        <v>1334</v>
      </c>
      <c r="T18" s="24" t="s">
        <v>1334</v>
      </c>
      <c r="U18" s="3"/>
      <c r="V18" s="19" t="str">
        <f>IFERROR(VLOOKUP(Banco_Nacion[[#This Row],[responsable]],Clientes_Proveedores[[Ruc / Dni]:[Razon Social]],2,0),"")</f>
        <v>MOLY-COP ADESUR S.A</v>
      </c>
      <c r="W18" s="19" t="str">
        <f>IF(Banco_Nacion[[#This Row],[tipo_mov]]="INGRESO",Banco_Nacion[[#This Row],[serie]]&amp;Banco_Nacion[[#This Row],[numero]]&amp;Banco_Nacion[[#This Row],[responsable]]&amp;Banco_Nacion[[#This Row],[monto]],"")</f>
        <v>FE0148220100192064512</v>
      </c>
      <c r="X18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63360846</v>
      </c>
      <c r="Y18" s="3" t="str">
        <f>IFERROR(VLOOKUP(Banco_Nacion[[#This Row],[serie]]&amp;Banco_Nacion[[#This Row],[numero]]&amp;Banco_Nacion[[#This Row],[responsable]],[2]!Provision_CXC[[ID CXP]:[DETRACCION]],47,0),"")</f>
        <v/>
      </c>
      <c r="Z18" s="3"/>
      <c r="AA18" s="24" t="str">
        <f>IF(Banco_Nacion[[#This Row],[fecha]]&gt;0,TEXT(Banco_Nacion[[#This Row],[fecha]],"mmmm"),0)</f>
        <v>Enero</v>
      </c>
    </row>
    <row r="19" spans="1:27" x14ac:dyDescent="0.3">
      <c r="A19" s="2">
        <f>IF(Banco_Nacion[[#This Row],[tipo_registro]]="R",COUNTIFS($C$1:$C18,"R")+1,"")</f>
        <v>18</v>
      </c>
      <c r="B19" s="19" t="str">
        <f t="shared" si="0"/>
        <v>B-Banco de la Nacion</v>
      </c>
      <c r="C19" s="3" t="s">
        <v>1330</v>
      </c>
      <c r="D19" s="14">
        <v>45659</v>
      </c>
      <c r="E19" s="5">
        <v>20100192064</v>
      </c>
      <c r="F19" s="5" t="s">
        <v>1303</v>
      </c>
      <c r="G19" s="6" t="s">
        <v>425</v>
      </c>
      <c r="H19" s="6" t="s">
        <v>68</v>
      </c>
      <c r="I19" s="6" t="s">
        <v>1343</v>
      </c>
      <c r="J19" s="6">
        <v>483</v>
      </c>
      <c r="K19" s="7" t="s">
        <v>5232</v>
      </c>
      <c r="L19" s="8">
        <v>63360845</v>
      </c>
      <c r="M19" s="8" t="str">
        <f t="shared" si="1"/>
        <v>PEN</v>
      </c>
      <c r="N19" s="13"/>
      <c r="O19" s="13">
        <v>83</v>
      </c>
      <c r="P19" s="3">
        <f t="shared" si="2"/>
        <v>83</v>
      </c>
      <c r="Q19" s="3">
        <f t="shared" si="3"/>
        <v>0</v>
      </c>
      <c r="R19" s="3">
        <f t="shared" si="4"/>
        <v>54706.010000000009</v>
      </c>
      <c r="S19" s="24" t="s">
        <v>1334</v>
      </c>
      <c r="T19" s="24" t="s">
        <v>1334</v>
      </c>
      <c r="U19" s="3"/>
      <c r="V19" s="19" t="str">
        <f>IFERROR(VLOOKUP(Banco_Nacion[[#This Row],[responsable]],Clientes_Proveedores[[Ruc / Dni]:[Razon Social]],2,0),"")</f>
        <v>MOLY-COP ADESUR S.A</v>
      </c>
      <c r="W19" s="19" t="str">
        <f>IF(Banco_Nacion[[#This Row],[tipo_mov]]="INGRESO",Banco_Nacion[[#This Row],[serie]]&amp;Banco_Nacion[[#This Row],[numero]]&amp;Banco_Nacion[[#This Row],[responsable]]&amp;Banco_Nacion[[#This Row],[monto]],"")</f>
        <v>FE014832010019206483</v>
      </c>
      <c r="X19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63360845</v>
      </c>
      <c r="Y19" s="3" t="str">
        <f>IFERROR(VLOOKUP(Banco_Nacion[[#This Row],[serie]]&amp;Banco_Nacion[[#This Row],[numero]]&amp;Banco_Nacion[[#This Row],[responsable]],[2]!Provision_CXC[[ID CXP]:[DETRACCION]],47,0),"")</f>
        <v/>
      </c>
      <c r="Z19" s="3"/>
      <c r="AA19" s="24" t="str">
        <f>IF(Banco_Nacion[[#This Row],[fecha]]&gt;0,TEXT(Banco_Nacion[[#This Row],[fecha]],"mmmm"),0)</f>
        <v>Enero</v>
      </c>
    </row>
    <row r="20" spans="1:27" x14ac:dyDescent="0.3">
      <c r="A20" s="2">
        <f>IF(Banco_Nacion[[#This Row],[tipo_registro]]="R",COUNTIFS($C$1:$C19,"R")+1,"")</f>
        <v>19</v>
      </c>
      <c r="B20" s="19" t="str">
        <f t="shared" si="0"/>
        <v>B-Banco de la Nacion</v>
      </c>
      <c r="C20" s="3" t="s">
        <v>1330</v>
      </c>
      <c r="D20" s="14">
        <v>45659</v>
      </c>
      <c r="E20" s="5">
        <v>20603536569</v>
      </c>
      <c r="F20" s="5" t="s">
        <v>1303</v>
      </c>
      <c r="G20" s="6" t="s">
        <v>425</v>
      </c>
      <c r="H20" s="6" t="s">
        <v>68</v>
      </c>
      <c r="I20" s="6" t="s">
        <v>1343</v>
      </c>
      <c r="J20" s="6">
        <v>469</v>
      </c>
      <c r="K20" s="7" t="s">
        <v>5232</v>
      </c>
      <c r="L20" s="8">
        <v>63322588</v>
      </c>
      <c r="M20" s="8" t="str">
        <f t="shared" si="1"/>
        <v>PEN</v>
      </c>
      <c r="N20" s="13"/>
      <c r="O20" s="13">
        <v>437</v>
      </c>
      <c r="P20" s="3">
        <f t="shared" si="2"/>
        <v>437</v>
      </c>
      <c r="Q20" s="3">
        <f t="shared" si="3"/>
        <v>0</v>
      </c>
      <c r="R20" s="3">
        <f t="shared" si="4"/>
        <v>55143.010000000009</v>
      </c>
      <c r="S20" s="24" t="s">
        <v>1334</v>
      </c>
      <c r="T20" s="24" t="s">
        <v>1334</v>
      </c>
      <c r="U20" s="3"/>
      <c r="V20" s="19" t="str">
        <f>IFERROR(VLOOKUP(Banco_Nacion[[#This Row],[responsable]],Clientes_Proveedores[[Ruc / Dni]:[Razon Social]],2,0),"")</f>
        <v>ANTILLA COPPER SOCIEDAD ANONIMA</v>
      </c>
      <c r="W20" s="19" t="str">
        <f>IF(Banco_Nacion[[#This Row],[tipo_mov]]="INGRESO",Banco_Nacion[[#This Row],[serie]]&amp;Banco_Nacion[[#This Row],[numero]]&amp;Banco_Nacion[[#This Row],[responsable]]&amp;Banco_Nacion[[#This Row],[monto]],"")</f>
        <v>FE0146920603536569437</v>
      </c>
      <c r="X20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63322588</v>
      </c>
      <c r="Y20" s="3" t="str">
        <f>IFERROR(VLOOKUP(Banco_Nacion[[#This Row],[serie]]&amp;Banco_Nacion[[#This Row],[numero]]&amp;Banco_Nacion[[#This Row],[responsable]],[2]!Provision_CXC[[ID CXP]:[DETRACCION]],47,0),"")</f>
        <v/>
      </c>
      <c r="Z20" s="3"/>
      <c r="AA20" s="24" t="str">
        <f>IF(Banco_Nacion[[#This Row],[fecha]]&gt;0,TEXT(Banco_Nacion[[#This Row],[fecha]],"mmmm"),0)</f>
        <v>Enero</v>
      </c>
    </row>
    <row r="21" spans="1:27" x14ac:dyDescent="0.3">
      <c r="A21" s="2">
        <f>IF(Banco_Nacion[[#This Row],[tipo_registro]]="R",COUNTIFS($C$1:$C20,"R")+1,"")</f>
        <v>20</v>
      </c>
      <c r="B21" s="19" t="str">
        <f t="shared" si="0"/>
        <v>B-Banco de la Nacion</v>
      </c>
      <c r="C21" s="3" t="s">
        <v>1330</v>
      </c>
      <c r="D21" s="14">
        <v>45659</v>
      </c>
      <c r="E21" s="5">
        <v>20603536569</v>
      </c>
      <c r="F21" s="5" t="s">
        <v>1303</v>
      </c>
      <c r="G21" s="6" t="s">
        <v>425</v>
      </c>
      <c r="H21" s="6" t="s">
        <v>68</v>
      </c>
      <c r="I21" s="6" t="s">
        <v>1343</v>
      </c>
      <c r="J21" s="6">
        <v>468</v>
      </c>
      <c r="K21" s="7" t="s">
        <v>5232</v>
      </c>
      <c r="L21" s="8">
        <v>63322485</v>
      </c>
      <c r="M21" s="8" t="str">
        <f t="shared" si="1"/>
        <v>PEN</v>
      </c>
      <c r="N21" s="13"/>
      <c r="O21" s="13">
        <v>963</v>
      </c>
      <c r="P21" s="3">
        <f t="shared" si="2"/>
        <v>963</v>
      </c>
      <c r="Q21" s="3">
        <f t="shared" si="3"/>
        <v>0</v>
      </c>
      <c r="R21" s="3">
        <f t="shared" si="4"/>
        <v>56106.010000000009</v>
      </c>
      <c r="S21" s="24" t="s">
        <v>1334</v>
      </c>
      <c r="T21" s="24" t="s">
        <v>1334</v>
      </c>
      <c r="U21" s="3"/>
      <c r="V21" s="19" t="str">
        <f>IFERROR(VLOOKUP(Banco_Nacion[[#This Row],[responsable]],Clientes_Proveedores[[Ruc / Dni]:[Razon Social]],2,0),"")</f>
        <v>ANTILLA COPPER SOCIEDAD ANONIMA</v>
      </c>
      <c r="W21" s="19" t="str">
        <f>IF(Banco_Nacion[[#This Row],[tipo_mov]]="INGRESO",Banco_Nacion[[#This Row],[serie]]&amp;Banco_Nacion[[#This Row],[numero]]&amp;Banco_Nacion[[#This Row],[responsable]]&amp;Banco_Nacion[[#This Row],[monto]],"")</f>
        <v>FE0146820603536569963</v>
      </c>
      <c r="X21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63322485</v>
      </c>
      <c r="Y21" s="3" t="str">
        <f>IFERROR(VLOOKUP(Banco_Nacion[[#This Row],[serie]]&amp;Banco_Nacion[[#This Row],[numero]]&amp;Banco_Nacion[[#This Row],[responsable]],[2]!Provision_CXC[[ID CXP]:[DETRACCION]],47,0),"")</f>
        <v/>
      </c>
      <c r="Z21" s="3"/>
      <c r="AA21" s="24" t="str">
        <f>IF(Banco_Nacion[[#This Row],[fecha]]&gt;0,TEXT(Banco_Nacion[[#This Row],[fecha]],"mmmm"),0)</f>
        <v>Enero</v>
      </c>
    </row>
    <row r="22" spans="1:27" x14ac:dyDescent="0.3">
      <c r="A22" s="2">
        <f>IF(Banco_Nacion[[#This Row],[tipo_registro]]="R",COUNTIFS($C$1:$C21,"R")+1,"")</f>
        <v>21</v>
      </c>
      <c r="B22" s="19" t="str">
        <f t="shared" si="0"/>
        <v>B-Banco de la Nacion</v>
      </c>
      <c r="C22" s="3" t="s">
        <v>1330</v>
      </c>
      <c r="D22" s="14">
        <v>45659</v>
      </c>
      <c r="E22" s="5">
        <v>20603536569</v>
      </c>
      <c r="F22" s="5" t="s">
        <v>1303</v>
      </c>
      <c r="G22" s="6" t="s">
        <v>425</v>
      </c>
      <c r="H22" s="6" t="s">
        <v>68</v>
      </c>
      <c r="I22" s="6" t="s">
        <v>1343</v>
      </c>
      <c r="J22" s="6">
        <v>494</v>
      </c>
      <c r="K22" s="7" t="s">
        <v>5232</v>
      </c>
      <c r="L22" s="8">
        <v>63322344</v>
      </c>
      <c r="M22" s="8" t="str">
        <f t="shared" si="1"/>
        <v>PEN</v>
      </c>
      <c r="N22" s="13"/>
      <c r="O22" s="13">
        <v>678</v>
      </c>
      <c r="P22" s="3">
        <f t="shared" si="2"/>
        <v>678</v>
      </c>
      <c r="Q22" s="3">
        <f t="shared" si="3"/>
        <v>0</v>
      </c>
      <c r="R22" s="3">
        <f t="shared" si="4"/>
        <v>56784.010000000009</v>
      </c>
      <c r="S22" s="24" t="s">
        <v>1334</v>
      </c>
      <c r="T22" s="24" t="s">
        <v>1334</v>
      </c>
      <c r="U22" s="3"/>
      <c r="V22" s="19" t="str">
        <f>IFERROR(VLOOKUP(Banco_Nacion[[#This Row],[responsable]],Clientes_Proveedores[[Ruc / Dni]:[Razon Social]],2,0),"")</f>
        <v>ANTILLA COPPER SOCIEDAD ANONIMA</v>
      </c>
      <c r="W22" s="19" t="str">
        <f>IF(Banco_Nacion[[#This Row],[tipo_mov]]="INGRESO",Banco_Nacion[[#This Row],[serie]]&amp;Banco_Nacion[[#This Row],[numero]]&amp;Banco_Nacion[[#This Row],[responsable]]&amp;Banco_Nacion[[#This Row],[monto]],"")</f>
        <v>FE0149420603536569678</v>
      </c>
      <c r="X22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63322344</v>
      </c>
      <c r="Y22" s="3" t="str">
        <f>IFERROR(VLOOKUP(Banco_Nacion[[#This Row],[serie]]&amp;Banco_Nacion[[#This Row],[numero]]&amp;Banco_Nacion[[#This Row],[responsable]],[2]!Provision_CXC[[ID CXP]:[DETRACCION]],47,0),"")</f>
        <v/>
      </c>
      <c r="Z22" s="3"/>
      <c r="AA22" s="24" t="str">
        <f>IF(Banco_Nacion[[#This Row],[fecha]]&gt;0,TEXT(Banco_Nacion[[#This Row],[fecha]],"mmmm"),0)</f>
        <v>Enero</v>
      </c>
    </row>
    <row r="23" spans="1:27" x14ac:dyDescent="0.3">
      <c r="A23" s="2">
        <f>IF(Banco_Nacion[[#This Row],[tipo_registro]]="R",COUNTIFS($C$1:$C22,"R")+1,"")</f>
        <v>22</v>
      </c>
      <c r="B23" s="19" t="str">
        <f t="shared" si="0"/>
        <v>B-Banco de la Nacion</v>
      </c>
      <c r="C23" s="3" t="s">
        <v>1330</v>
      </c>
      <c r="D23" s="14">
        <v>45659</v>
      </c>
      <c r="E23" s="5">
        <v>20141637941</v>
      </c>
      <c r="F23" s="5" t="s">
        <v>1303</v>
      </c>
      <c r="G23" s="6" t="s">
        <v>425</v>
      </c>
      <c r="H23" s="6" t="s">
        <v>68</v>
      </c>
      <c r="I23" s="6" t="s">
        <v>1343</v>
      </c>
      <c r="J23" s="6">
        <v>453</v>
      </c>
      <c r="K23" s="7" t="s">
        <v>5232</v>
      </c>
      <c r="L23" s="8">
        <v>63230539</v>
      </c>
      <c r="M23" s="8" t="str">
        <f t="shared" si="1"/>
        <v>PEN</v>
      </c>
      <c r="N23" s="13"/>
      <c r="O23" s="13">
        <v>262</v>
      </c>
      <c r="P23" s="3">
        <f t="shared" si="2"/>
        <v>262</v>
      </c>
      <c r="Q23" s="3">
        <f t="shared" si="3"/>
        <v>0</v>
      </c>
      <c r="R23" s="3">
        <f t="shared" si="4"/>
        <v>57046.010000000009</v>
      </c>
      <c r="S23" s="24" t="s">
        <v>1334</v>
      </c>
      <c r="T23" s="24" t="s">
        <v>1334</v>
      </c>
      <c r="U23" s="3"/>
      <c r="V23" s="19" t="str">
        <f>IFERROR(VLOOKUP(Banco_Nacion[[#This Row],[responsable]],Clientes_Proveedores[[Ruc / Dni]:[Razon Social]],2,0),"")</f>
        <v>UNIVERSIDAD CATOLICA DE SANTA MARIA</v>
      </c>
      <c r="W23" s="19" t="str">
        <f>IF(Banco_Nacion[[#This Row],[tipo_mov]]="INGRESO",Banco_Nacion[[#This Row],[serie]]&amp;Banco_Nacion[[#This Row],[numero]]&amp;Banco_Nacion[[#This Row],[responsable]]&amp;Banco_Nacion[[#This Row],[monto]],"")</f>
        <v>FE0145320141637941262</v>
      </c>
      <c r="X23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63230539</v>
      </c>
      <c r="Y23" s="3" t="str">
        <f>IFERROR(VLOOKUP(Banco_Nacion[[#This Row],[serie]]&amp;Banco_Nacion[[#This Row],[numero]]&amp;Banco_Nacion[[#This Row],[responsable]],[2]!Provision_CXC[[ID CXP]:[DETRACCION]],47,0),"")</f>
        <v/>
      </c>
      <c r="Z23" s="3"/>
      <c r="AA23" s="24" t="str">
        <f>IF(Banco_Nacion[[#This Row],[fecha]]&gt;0,TEXT(Banco_Nacion[[#This Row],[fecha]],"mmmm"),0)</f>
        <v>Enero</v>
      </c>
    </row>
    <row r="24" spans="1:27" x14ac:dyDescent="0.3">
      <c r="A24" s="2">
        <f>IF(Banco_Nacion[[#This Row],[tipo_registro]]="R",COUNTIFS($C$1:$C23,"R")+1,"")</f>
        <v>23</v>
      </c>
      <c r="B24" s="19" t="str">
        <f t="shared" si="0"/>
        <v>B-Banco de la Nacion</v>
      </c>
      <c r="C24" s="3" t="s">
        <v>1330</v>
      </c>
      <c r="D24" s="14">
        <v>45660</v>
      </c>
      <c r="E24" s="5">
        <v>20419158462</v>
      </c>
      <c r="F24" s="5" t="s">
        <v>1303</v>
      </c>
      <c r="G24" s="6" t="s">
        <v>425</v>
      </c>
      <c r="H24" s="6" t="s">
        <v>68</v>
      </c>
      <c r="I24" s="6" t="s">
        <v>1343</v>
      </c>
      <c r="J24" s="6">
        <v>497</v>
      </c>
      <c r="K24" s="7" t="s">
        <v>5232</v>
      </c>
      <c r="L24" s="8">
        <v>63605573</v>
      </c>
      <c r="M24" s="8" t="str">
        <f t="shared" si="1"/>
        <v>PEN</v>
      </c>
      <c r="N24" s="13"/>
      <c r="O24" s="13">
        <v>368</v>
      </c>
      <c r="P24" s="3">
        <f t="shared" si="2"/>
        <v>368</v>
      </c>
      <c r="Q24" s="3">
        <f t="shared" si="3"/>
        <v>0</v>
      </c>
      <c r="R24" s="3">
        <f t="shared" si="4"/>
        <v>57414.010000000009</v>
      </c>
      <c r="S24" s="24"/>
      <c r="T24" s="24" t="s">
        <v>1334</v>
      </c>
      <c r="U24" s="3"/>
      <c r="V24" s="19" t="str">
        <f>IFERROR(VLOOKUP(Banco_Nacion[[#This Row],[responsable]],Clientes_Proveedores[[Ruc / Dni]:[Razon Social]],2,0),"")</f>
        <v>GRANJA RINCONADA DEL SUR S.A.</v>
      </c>
      <c r="W24" s="19" t="str">
        <f>IF(Banco_Nacion[[#This Row],[tipo_mov]]="INGRESO",Banco_Nacion[[#This Row],[serie]]&amp;Banco_Nacion[[#This Row],[numero]]&amp;Banco_Nacion[[#This Row],[responsable]]&amp;Banco_Nacion[[#This Row],[monto]],"")</f>
        <v>FE0149720419158462368</v>
      </c>
      <c r="X24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63605573</v>
      </c>
      <c r="Y24" s="3" t="str">
        <f>IFERROR(VLOOKUP(Banco_Nacion[[#This Row],[serie]]&amp;Banco_Nacion[[#This Row],[numero]]&amp;Banco_Nacion[[#This Row],[responsable]],[2]!Provision_CXC[[ID CXP]:[DETRACCION]],47,0),"")</f>
        <v/>
      </c>
      <c r="Z24" s="3"/>
      <c r="AA24" s="24" t="str">
        <f>IF(Banco_Nacion[[#This Row],[fecha]]&gt;0,TEXT(Banco_Nacion[[#This Row],[fecha]],"mmmm"),0)</f>
        <v>Enero</v>
      </c>
    </row>
    <row r="25" spans="1:27" x14ac:dyDescent="0.3">
      <c r="A25" s="2">
        <f>IF(Banco_Nacion[[#This Row],[tipo_registro]]="R",COUNTIFS($C$1:$C24,"R")+1,"")</f>
        <v>24</v>
      </c>
      <c r="B25" s="19" t="str">
        <f t="shared" si="0"/>
        <v>B-Banco de la Nacion</v>
      </c>
      <c r="C25" s="3" t="s">
        <v>1330</v>
      </c>
      <c r="D25" s="14">
        <v>45660</v>
      </c>
      <c r="E25" s="5">
        <v>20514133931</v>
      </c>
      <c r="F25" s="5" t="s">
        <v>1303</v>
      </c>
      <c r="G25" s="6" t="s">
        <v>425</v>
      </c>
      <c r="H25" s="6" t="s">
        <v>68</v>
      </c>
      <c r="I25" s="6" t="s">
        <v>1347</v>
      </c>
      <c r="J25" s="6">
        <v>112</v>
      </c>
      <c r="K25" s="7" t="s">
        <v>5232</v>
      </c>
      <c r="L25" s="8">
        <v>63572716</v>
      </c>
      <c r="M25" s="8" t="str">
        <f t="shared" si="1"/>
        <v>PEN</v>
      </c>
      <c r="N25" s="13"/>
      <c r="O25" s="13">
        <v>16</v>
      </c>
      <c r="P25" s="3">
        <f t="shared" si="2"/>
        <v>16</v>
      </c>
      <c r="Q25" s="3">
        <f t="shared" si="3"/>
        <v>0</v>
      </c>
      <c r="R25" s="3">
        <f t="shared" si="4"/>
        <v>57430.010000000009</v>
      </c>
      <c r="S25" s="24"/>
      <c r="T25" s="24" t="s">
        <v>1334</v>
      </c>
      <c r="U25" s="3"/>
      <c r="V25" s="19" t="str">
        <f>IFERROR(VLOOKUP(Banco_Nacion[[#This Row],[responsable]],Clientes_Proveedores[[Ruc / Dni]:[Razon Social]],2,0),"")</f>
        <v>CORPORACION MEDIOAMBIENTAL AMPCO PERU SOCIEDAD ANONIMA CERRADA
- CM AMPCO PERU S.A.C</v>
      </c>
      <c r="W25" s="19" t="str">
        <f>IF(Banco_Nacion[[#This Row],[tipo_mov]]="INGRESO",Banco_Nacion[[#This Row],[serie]]&amp;Banco_Nacion[[#This Row],[numero]]&amp;Banco_Nacion[[#This Row],[responsable]]&amp;Banco_Nacion[[#This Row],[monto]],"")</f>
        <v>FE051122051413393116</v>
      </c>
      <c r="X25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63572716</v>
      </c>
      <c r="Y25" s="3" t="str">
        <f>IFERROR(VLOOKUP(Banco_Nacion[[#This Row],[serie]]&amp;Banco_Nacion[[#This Row],[numero]]&amp;Banco_Nacion[[#This Row],[responsable]],[2]!Provision_CXC[[ID CXP]:[DETRACCION]],47,0),"")</f>
        <v/>
      </c>
      <c r="Z25" s="3"/>
      <c r="AA25" s="24" t="str">
        <f>IF(Banco_Nacion[[#This Row],[fecha]]&gt;0,TEXT(Banco_Nacion[[#This Row],[fecha]],"mmmm"),0)</f>
        <v>Enero</v>
      </c>
    </row>
    <row r="26" spans="1:27" x14ac:dyDescent="0.3">
      <c r="A26" s="2">
        <f>IF(Banco_Nacion[[#This Row],[tipo_registro]]="R",COUNTIFS($C$1:$C25,"R")+1,"")</f>
        <v>25</v>
      </c>
      <c r="B26" s="19" t="str">
        <f t="shared" si="0"/>
        <v>B-Banco de la Nacion</v>
      </c>
      <c r="C26" s="3" t="s">
        <v>1330</v>
      </c>
      <c r="D26" s="14">
        <v>45660</v>
      </c>
      <c r="E26" s="5">
        <v>20607388416</v>
      </c>
      <c r="F26" s="5" t="s">
        <v>1303</v>
      </c>
      <c r="G26" s="6" t="s">
        <v>425</v>
      </c>
      <c r="H26" s="6" t="s">
        <v>68</v>
      </c>
      <c r="I26" s="6" t="s">
        <v>1347</v>
      </c>
      <c r="J26" s="6">
        <v>110</v>
      </c>
      <c r="K26" s="7" t="s">
        <v>5232</v>
      </c>
      <c r="L26" s="8">
        <v>63552658</v>
      </c>
      <c r="M26" s="8" t="str">
        <f t="shared" si="1"/>
        <v>PEN</v>
      </c>
      <c r="N26" s="13"/>
      <c r="O26" s="13">
        <v>351</v>
      </c>
      <c r="P26" s="3">
        <f t="shared" si="2"/>
        <v>351</v>
      </c>
      <c r="Q26" s="3">
        <f t="shared" si="3"/>
        <v>0</v>
      </c>
      <c r="R26" s="3">
        <f t="shared" si="4"/>
        <v>57781.010000000009</v>
      </c>
      <c r="S26" s="24"/>
      <c r="T26" s="24" t="s">
        <v>1334</v>
      </c>
      <c r="U26" s="3"/>
      <c r="V26" s="19" t="str">
        <f>IFERROR(VLOOKUP(Banco_Nacion[[#This Row],[responsable]],Clientes_Proveedores[[Ruc / Dni]:[Razon Social]],2,0),"")</f>
        <v>ALEACIONES FERROSAS Y METALICAS S.A.C.</v>
      </c>
      <c r="W26" s="19" t="str">
        <f>IF(Banco_Nacion[[#This Row],[tipo_mov]]="INGRESO",Banco_Nacion[[#This Row],[serie]]&amp;Banco_Nacion[[#This Row],[numero]]&amp;Banco_Nacion[[#This Row],[responsable]]&amp;Banco_Nacion[[#This Row],[monto]],"")</f>
        <v>FE0511020607388416351</v>
      </c>
      <c r="X26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63552658</v>
      </c>
      <c r="Y26" s="3" t="str">
        <f>IFERROR(VLOOKUP(Banco_Nacion[[#This Row],[serie]]&amp;Banco_Nacion[[#This Row],[numero]]&amp;Banco_Nacion[[#This Row],[responsable]],[2]!Provision_CXC[[ID CXP]:[DETRACCION]],47,0),"")</f>
        <v/>
      </c>
      <c r="Z26" s="3"/>
      <c r="AA26" s="24" t="str">
        <f>IF(Banco_Nacion[[#This Row],[fecha]]&gt;0,TEXT(Banco_Nacion[[#This Row],[fecha]],"mmmm"),0)</f>
        <v>Enero</v>
      </c>
    </row>
    <row r="27" spans="1:27" x14ac:dyDescent="0.3">
      <c r="A27" s="2">
        <f>IF(Banco_Nacion[[#This Row],[tipo_registro]]="R",COUNTIFS($C$1:$C26,"R")+1,"")</f>
        <v>26</v>
      </c>
      <c r="B27" s="19" t="str">
        <f t="shared" si="0"/>
        <v>B-Banco de la Nacion</v>
      </c>
      <c r="C27" s="3" t="s">
        <v>1330</v>
      </c>
      <c r="D27" s="14">
        <v>45660</v>
      </c>
      <c r="E27" s="5">
        <v>20601119600</v>
      </c>
      <c r="F27" s="5" t="s">
        <v>1303</v>
      </c>
      <c r="G27" s="6" t="s">
        <v>425</v>
      </c>
      <c r="H27" s="6" t="s">
        <v>68</v>
      </c>
      <c r="I27" s="6" t="s">
        <v>1347</v>
      </c>
      <c r="J27" s="6">
        <v>117</v>
      </c>
      <c r="K27" s="7" t="s">
        <v>5232</v>
      </c>
      <c r="L27" s="8">
        <v>25541718</v>
      </c>
      <c r="M27" s="8" t="str">
        <f t="shared" si="1"/>
        <v>PEN</v>
      </c>
      <c r="N27" s="13"/>
      <c r="O27" s="13">
        <v>299</v>
      </c>
      <c r="P27" s="3">
        <f t="shared" si="2"/>
        <v>299</v>
      </c>
      <c r="Q27" s="3">
        <f t="shared" si="3"/>
        <v>0</v>
      </c>
      <c r="R27" s="3">
        <f t="shared" si="4"/>
        <v>58080.010000000009</v>
      </c>
      <c r="S27" s="24" t="s">
        <v>1334</v>
      </c>
      <c r="T27" s="24" t="s">
        <v>1334</v>
      </c>
      <c r="U27" s="3"/>
      <c r="V27" s="19" t="str">
        <f>IFERROR(VLOOKUP(Banco_Nacion[[#This Row],[responsable]],Clientes_Proveedores[[Ruc / Dni]:[Razon Social]],2,0),"")</f>
        <v>INVERSIONES W.J.M. S.A.C.</v>
      </c>
      <c r="W27" s="19" t="str">
        <f>IF(Banco_Nacion[[#This Row],[tipo_mov]]="INGRESO",Banco_Nacion[[#This Row],[serie]]&amp;Banco_Nacion[[#This Row],[numero]]&amp;Banco_Nacion[[#This Row],[responsable]]&amp;Banco_Nacion[[#This Row],[monto]],"")</f>
        <v>FE0511720601119600299</v>
      </c>
      <c r="X27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25541718</v>
      </c>
      <c r="Y27" s="3" t="str">
        <f>IFERROR(VLOOKUP(Banco_Nacion[[#This Row],[serie]]&amp;Banco_Nacion[[#This Row],[numero]]&amp;Banco_Nacion[[#This Row],[responsable]],[2]!Provision_CXC[[ID CXP]:[DETRACCION]],47,0),"")</f>
        <v/>
      </c>
      <c r="Z27" s="3"/>
      <c r="AA27" s="24" t="str">
        <f>IF(Banco_Nacion[[#This Row],[fecha]]&gt;0,TEXT(Banco_Nacion[[#This Row],[fecha]],"mmmm"),0)</f>
        <v>Enero</v>
      </c>
    </row>
    <row r="28" spans="1:27" x14ac:dyDescent="0.3">
      <c r="A28" s="2">
        <f>IF(Banco_Nacion[[#This Row],[tipo_registro]]="R",COUNTIFS($C$1:$C27,"R")+1,"")</f>
        <v>27</v>
      </c>
      <c r="B28" s="19" t="str">
        <f t="shared" si="0"/>
        <v>B-Banco de la Nacion</v>
      </c>
      <c r="C28" s="3" t="s">
        <v>1330</v>
      </c>
      <c r="D28" s="14">
        <v>45663</v>
      </c>
      <c r="E28" s="5">
        <v>20100211115</v>
      </c>
      <c r="F28" s="5" t="s">
        <v>1303</v>
      </c>
      <c r="G28" s="6" t="s">
        <v>425</v>
      </c>
      <c r="H28" s="6" t="s">
        <v>68</v>
      </c>
      <c r="I28" s="6" t="s">
        <v>1343</v>
      </c>
      <c r="J28" s="6">
        <v>477</v>
      </c>
      <c r="K28" s="7" t="s">
        <v>5232</v>
      </c>
      <c r="L28" s="8">
        <v>63835551</v>
      </c>
      <c r="M28" s="8" t="str">
        <f t="shared" si="1"/>
        <v>PEN</v>
      </c>
      <c r="N28" s="13"/>
      <c r="O28" s="13">
        <v>288</v>
      </c>
      <c r="P28" s="3">
        <f t="shared" si="2"/>
        <v>288</v>
      </c>
      <c r="Q28" s="3">
        <f t="shared" si="3"/>
        <v>0</v>
      </c>
      <c r="R28" s="3">
        <f t="shared" si="4"/>
        <v>58368.010000000009</v>
      </c>
      <c r="S28" s="24"/>
      <c r="T28" s="24" t="s">
        <v>1334</v>
      </c>
      <c r="U28" s="3"/>
      <c r="V28" s="19" t="str">
        <f>IFERROR(VLOOKUP(Banco_Nacion[[#This Row],[responsable]],Clientes_Proveedores[[Ruc / Dni]:[Razon Social]],2,0),"")</f>
        <v>FAB DE CHOCOLATES LA IBERICA S.A.</v>
      </c>
      <c r="W28" s="19" t="str">
        <f>IF(Banco_Nacion[[#This Row],[tipo_mov]]="INGRESO",Banco_Nacion[[#This Row],[serie]]&amp;Banco_Nacion[[#This Row],[numero]]&amp;Banco_Nacion[[#This Row],[responsable]]&amp;Banco_Nacion[[#This Row],[monto]],"")</f>
        <v>FE0147720100211115288</v>
      </c>
      <c r="X28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63835551</v>
      </c>
      <c r="Y28" s="3" t="str">
        <f>IFERROR(VLOOKUP(Banco_Nacion[[#This Row],[serie]]&amp;Banco_Nacion[[#This Row],[numero]]&amp;Banco_Nacion[[#This Row],[responsable]],[2]!Provision_CXC[[ID CXP]:[DETRACCION]],47,0),"")</f>
        <v/>
      </c>
      <c r="Z28" s="3"/>
      <c r="AA28" s="24" t="str">
        <f>IF(Banco_Nacion[[#This Row],[fecha]]&gt;0,TEXT(Banco_Nacion[[#This Row],[fecha]],"mmmm"),0)</f>
        <v>Enero</v>
      </c>
    </row>
    <row r="29" spans="1:27" x14ac:dyDescent="0.3">
      <c r="A29" s="2">
        <f>IF(Banco_Nacion[[#This Row],[tipo_registro]]="R",COUNTIFS($C$1:$C28,"R")+1,"")</f>
        <v>28</v>
      </c>
      <c r="B29" s="19" t="str">
        <f t="shared" si="0"/>
        <v>B-Banco de la Nacion</v>
      </c>
      <c r="C29" s="3" t="s">
        <v>1330</v>
      </c>
      <c r="D29" s="14">
        <v>45663</v>
      </c>
      <c r="E29" s="5">
        <v>20100211115</v>
      </c>
      <c r="F29" s="5" t="s">
        <v>1303</v>
      </c>
      <c r="G29" s="6" t="s">
        <v>425</v>
      </c>
      <c r="H29" s="6" t="s">
        <v>68</v>
      </c>
      <c r="I29" s="6" t="s">
        <v>1343</v>
      </c>
      <c r="J29" s="6">
        <v>478</v>
      </c>
      <c r="K29" s="7" t="s">
        <v>5232</v>
      </c>
      <c r="L29" s="8">
        <v>63835550</v>
      </c>
      <c r="M29" s="8" t="str">
        <f t="shared" si="1"/>
        <v>PEN</v>
      </c>
      <c r="N29" s="13"/>
      <c r="O29" s="13">
        <v>501</v>
      </c>
      <c r="P29" s="3">
        <f t="shared" si="2"/>
        <v>501</v>
      </c>
      <c r="Q29" s="3">
        <f t="shared" si="3"/>
        <v>0</v>
      </c>
      <c r="R29" s="3">
        <f t="shared" si="4"/>
        <v>58869.010000000009</v>
      </c>
      <c r="S29" s="24"/>
      <c r="T29" s="24" t="s">
        <v>1334</v>
      </c>
      <c r="U29" s="3"/>
      <c r="V29" s="19" t="str">
        <f>IFERROR(VLOOKUP(Banco_Nacion[[#This Row],[responsable]],Clientes_Proveedores[[Ruc / Dni]:[Razon Social]],2,0),"")</f>
        <v>FAB DE CHOCOLATES LA IBERICA S.A.</v>
      </c>
      <c r="W29" s="19" t="str">
        <f>IF(Banco_Nacion[[#This Row],[tipo_mov]]="INGRESO",Banco_Nacion[[#This Row],[serie]]&amp;Banco_Nacion[[#This Row],[numero]]&amp;Banco_Nacion[[#This Row],[responsable]]&amp;Banco_Nacion[[#This Row],[monto]],"")</f>
        <v>FE0147820100211115501</v>
      </c>
      <c r="X29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63835550</v>
      </c>
      <c r="Y29" s="3" t="str">
        <f>IFERROR(VLOOKUP(Banco_Nacion[[#This Row],[serie]]&amp;Banco_Nacion[[#This Row],[numero]]&amp;Banco_Nacion[[#This Row],[responsable]],[2]!Provision_CXC[[ID CXP]:[DETRACCION]],47,0),"")</f>
        <v/>
      </c>
      <c r="Z29" s="3"/>
      <c r="AA29" s="24" t="str">
        <f>IF(Banco_Nacion[[#This Row],[fecha]]&gt;0,TEXT(Banco_Nacion[[#This Row],[fecha]],"mmmm"),0)</f>
        <v>Enero</v>
      </c>
    </row>
    <row r="30" spans="1:27" x14ac:dyDescent="0.3">
      <c r="A30" s="2">
        <f>IF(Banco_Nacion[[#This Row],[tipo_registro]]="R",COUNTIFS($C$1:$C29,"R")+1,"")</f>
        <v>29</v>
      </c>
      <c r="B30" s="19" t="str">
        <f t="shared" si="0"/>
        <v>B-Banco de la Nacion</v>
      </c>
      <c r="C30" s="3" t="s">
        <v>1330</v>
      </c>
      <c r="D30" s="14">
        <v>45663</v>
      </c>
      <c r="E30" s="5">
        <v>20607388416</v>
      </c>
      <c r="F30" s="5" t="s">
        <v>1303</v>
      </c>
      <c r="G30" s="6" t="s">
        <v>425</v>
      </c>
      <c r="H30" s="6" t="s">
        <v>68</v>
      </c>
      <c r="I30" s="6" t="s">
        <v>1347</v>
      </c>
      <c r="J30" s="6">
        <v>116</v>
      </c>
      <c r="K30" s="7" t="s">
        <v>5232</v>
      </c>
      <c r="L30" s="8">
        <v>63767895</v>
      </c>
      <c r="M30" s="8" t="str">
        <f t="shared" si="1"/>
        <v>PEN</v>
      </c>
      <c r="N30" s="13"/>
      <c r="O30" s="13">
        <v>201</v>
      </c>
      <c r="P30" s="3">
        <f t="shared" si="2"/>
        <v>201</v>
      </c>
      <c r="Q30" s="3">
        <f t="shared" si="3"/>
        <v>0</v>
      </c>
      <c r="R30" s="3">
        <f t="shared" si="4"/>
        <v>59070.010000000009</v>
      </c>
      <c r="S30" s="24"/>
      <c r="T30" s="24" t="s">
        <v>1334</v>
      </c>
      <c r="U30" s="3"/>
      <c r="V30" s="19" t="str">
        <f>IFERROR(VLOOKUP(Banco_Nacion[[#This Row],[responsable]],Clientes_Proveedores[[Ruc / Dni]:[Razon Social]],2,0),"")</f>
        <v>ALEACIONES FERROSAS Y METALICAS S.A.C.</v>
      </c>
      <c r="W30" s="19" t="str">
        <f>IF(Banco_Nacion[[#This Row],[tipo_mov]]="INGRESO",Banco_Nacion[[#This Row],[serie]]&amp;Banco_Nacion[[#This Row],[numero]]&amp;Banco_Nacion[[#This Row],[responsable]]&amp;Banco_Nacion[[#This Row],[monto]],"")</f>
        <v>FE0511620607388416201</v>
      </c>
      <c r="X30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63767895</v>
      </c>
      <c r="Y30" s="3" t="str">
        <f>IFERROR(VLOOKUP(Banco_Nacion[[#This Row],[serie]]&amp;Banco_Nacion[[#This Row],[numero]]&amp;Banco_Nacion[[#This Row],[responsable]],[2]!Provision_CXC[[ID CXP]:[DETRACCION]],47,0),"")</f>
        <v/>
      </c>
      <c r="Z30" s="3"/>
      <c r="AA30" s="24" t="str">
        <f>IF(Banco_Nacion[[#This Row],[fecha]]&gt;0,TEXT(Banco_Nacion[[#This Row],[fecha]],"mmmm"),0)</f>
        <v>Enero</v>
      </c>
    </row>
    <row r="31" spans="1:27" x14ac:dyDescent="0.3">
      <c r="A31" s="2">
        <f>IF(Banco_Nacion[[#This Row],[tipo_registro]]="R",COUNTIFS($C$1:$C30,"R")+1,"")</f>
        <v>30</v>
      </c>
      <c r="B31" s="19" t="str">
        <f t="shared" si="0"/>
        <v>B-Banco de la Nacion</v>
      </c>
      <c r="C31" s="3" t="s">
        <v>1330</v>
      </c>
      <c r="D31" s="14">
        <v>45663</v>
      </c>
      <c r="E31" s="5">
        <v>20607388416</v>
      </c>
      <c r="F31" s="5" t="s">
        <v>1303</v>
      </c>
      <c r="G31" s="6" t="s">
        <v>425</v>
      </c>
      <c r="H31" s="6" t="s">
        <v>68</v>
      </c>
      <c r="I31" s="6" t="s">
        <v>1353</v>
      </c>
      <c r="J31" s="6">
        <v>160</v>
      </c>
      <c r="K31" s="7" t="s">
        <v>5232</v>
      </c>
      <c r="L31" s="8">
        <v>63758916</v>
      </c>
      <c r="M31" s="8" t="str">
        <f t="shared" si="1"/>
        <v>PEN</v>
      </c>
      <c r="N31" s="13"/>
      <c r="O31" s="13">
        <v>150</v>
      </c>
      <c r="P31" s="3">
        <f t="shared" si="2"/>
        <v>150</v>
      </c>
      <c r="Q31" s="3">
        <f t="shared" si="3"/>
        <v>0</v>
      </c>
      <c r="R31" s="3">
        <f t="shared" si="4"/>
        <v>59220.010000000009</v>
      </c>
      <c r="S31" s="24"/>
      <c r="T31" s="24" t="s">
        <v>1334</v>
      </c>
      <c r="U31" s="3"/>
      <c r="V31" s="19" t="str">
        <f>IFERROR(VLOOKUP(Banco_Nacion[[#This Row],[responsable]],Clientes_Proveedores[[Ruc / Dni]:[Razon Social]],2,0),"")</f>
        <v>ALEACIONES FERROSAS Y METALICAS S.A.C.</v>
      </c>
      <c r="W31" s="19" t="str">
        <f>IF(Banco_Nacion[[#This Row],[tipo_mov]]="INGRESO",Banco_Nacion[[#This Row],[serie]]&amp;Banco_Nacion[[#This Row],[numero]]&amp;Banco_Nacion[[#This Row],[responsable]]&amp;Banco_Nacion[[#This Row],[monto]],"")</f>
        <v>FE0216020607388416150</v>
      </c>
      <c r="X31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63758916</v>
      </c>
      <c r="Y31" s="3" t="str">
        <f>IFERROR(VLOOKUP(Banco_Nacion[[#This Row],[serie]]&amp;Banco_Nacion[[#This Row],[numero]]&amp;Banco_Nacion[[#This Row],[responsable]],[2]!Provision_CXC[[ID CXP]:[DETRACCION]],47,0),"")</f>
        <v/>
      </c>
      <c r="Z31" s="3"/>
      <c r="AA31" s="24" t="str">
        <f>IF(Banco_Nacion[[#This Row],[fecha]]&gt;0,TEXT(Banco_Nacion[[#This Row],[fecha]],"mmmm"),0)</f>
        <v>Enero</v>
      </c>
    </row>
    <row r="32" spans="1:27" x14ac:dyDescent="0.3">
      <c r="A32" s="2">
        <f>IF(Banco_Nacion[[#This Row],[tipo_registro]]="R",COUNTIFS($C$1:$C31,"R")+1,"")</f>
        <v>31</v>
      </c>
      <c r="B32" s="19" t="str">
        <f t="shared" si="0"/>
        <v>B-Banco de la Nacion</v>
      </c>
      <c r="C32" s="3" t="s">
        <v>1330</v>
      </c>
      <c r="D32" s="14">
        <v>45663</v>
      </c>
      <c r="E32" s="5">
        <v>20607388416</v>
      </c>
      <c r="F32" s="5" t="s">
        <v>1303</v>
      </c>
      <c r="G32" s="6" t="s">
        <v>425</v>
      </c>
      <c r="H32" s="6" t="s">
        <v>68</v>
      </c>
      <c r="I32" s="6" t="s">
        <v>1347</v>
      </c>
      <c r="J32" s="6">
        <v>111</v>
      </c>
      <c r="K32" s="7" t="s">
        <v>5232</v>
      </c>
      <c r="L32" s="8">
        <v>63751825</v>
      </c>
      <c r="M32" s="8" t="str">
        <f t="shared" si="1"/>
        <v>PEN</v>
      </c>
      <c r="N32" s="13"/>
      <c r="O32" s="13">
        <v>370</v>
      </c>
      <c r="P32" s="3">
        <f t="shared" si="2"/>
        <v>370</v>
      </c>
      <c r="Q32" s="3">
        <f t="shared" si="3"/>
        <v>0</v>
      </c>
      <c r="R32" s="3">
        <f t="shared" si="4"/>
        <v>59590.010000000009</v>
      </c>
      <c r="S32" s="24"/>
      <c r="T32" s="24" t="s">
        <v>1334</v>
      </c>
      <c r="U32" s="3"/>
      <c r="V32" s="19" t="str">
        <f>IFERROR(VLOOKUP(Banco_Nacion[[#This Row],[responsable]],Clientes_Proveedores[[Ruc / Dni]:[Razon Social]],2,0),"")</f>
        <v>ALEACIONES FERROSAS Y METALICAS S.A.C.</v>
      </c>
      <c r="W32" s="19" t="str">
        <f>IF(Banco_Nacion[[#This Row],[tipo_mov]]="INGRESO",Banco_Nacion[[#This Row],[serie]]&amp;Banco_Nacion[[#This Row],[numero]]&amp;Banco_Nacion[[#This Row],[responsable]]&amp;Banco_Nacion[[#This Row],[monto]],"")</f>
        <v>FE0511120607388416370</v>
      </c>
      <c r="X32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63751825</v>
      </c>
      <c r="Y32" s="3" t="str">
        <f>IFERROR(VLOOKUP(Banco_Nacion[[#This Row],[serie]]&amp;Banco_Nacion[[#This Row],[numero]]&amp;Banco_Nacion[[#This Row],[responsable]],[2]!Provision_CXC[[ID CXP]:[DETRACCION]],47,0),"")</f>
        <v/>
      </c>
      <c r="Z32" s="3"/>
      <c r="AA32" s="24" t="str">
        <f>IF(Banco_Nacion[[#This Row],[fecha]]&gt;0,TEXT(Banco_Nacion[[#This Row],[fecha]],"mmmm"),0)</f>
        <v>Enero</v>
      </c>
    </row>
    <row r="33" spans="1:27" x14ac:dyDescent="0.3">
      <c r="A33" s="2">
        <f>IF(Banco_Nacion[[#This Row],[tipo_registro]]="R",COUNTIFS($C$1:$C32,"R")+1,"")</f>
        <v>32</v>
      </c>
      <c r="B33" s="19" t="str">
        <f t="shared" si="0"/>
        <v>B-Banco de la Nacion</v>
      </c>
      <c r="C33" s="3" t="s">
        <v>1330</v>
      </c>
      <c r="D33" s="14">
        <v>45664</v>
      </c>
      <c r="E33" s="5">
        <v>20432552072</v>
      </c>
      <c r="F33" s="5" t="s">
        <v>1303</v>
      </c>
      <c r="G33" s="6" t="s">
        <v>425</v>
      </c>
      <c r="H33" s="6" t="s">
        <v>68</v>
      </c>
      <c r="I33" s="6" t="s">
        <v>1343</v>
      </c>
      <c r="J33" s="6">
        <v>498</v>
      </c>
      <c r="K33" s="7" t="s">
        <v>5232</v>
      </c>
      <c r="L33" s="8">
        <v>63943799</v>
      </c>
      <c r="M33" s="8" t="str">
        <f t="shared" si="1"/>
        <v>PEN</v>
      </c>
      <c r="N33" s="13"/>
      <c r="O33" s="13">
        <v>186</v>
      </c>
      <c r="P33" s="3">
        <f t="shared" si="2"/>
        <v>186</v>
      </c>
      <c r="Q33" s="3">
        <f t="shared" si="3"/>
        <v>0</v>
      </c>
      <c r="R33" s="3">
        <f t="shared" si="4"/>
        <v>59776.010000000009</v>
      </c>
      <c r="S33" s="24"/>
      <c r="T33" s="24" t="s">
        <v>1334</v>
      </c>
      <c r="U33" s="3"/>
      <c r="V33" s="19" t="str">
        <f>IFERROR(VLOOKUP(Banco_Nacion[[#This Row],[responsable]],Clientes_Proveedores[[Ruc / Dni]:[Razon Social]],2,0),"")</f>
        <v>CARGO TRANSPORT S.A.C.</v>
      </c>
      <c r="W33" s="19" t="str">
        <f>IF(Banco_Nacion[[#This Row],[tipo_mov]]="INGRESO",Banco_Nacion[[#This Row],[serie]]&amp;Banco_Nacion[[#This Row],[numero]]&amp;Banco_Nacion[[#This Row],[responsable]]&amp;Banco_Nacion[[#This Row],[monto]],"")</f>
        <v>FE0149820432552072186</v>
      </c>
      <c r="X33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63943799</v>
      </c>
      <c r="Y33" s="3" t="str">
        <f>IFERROR(VLOOKUP(Banco_Nacion[[#This Row],[serie]]&amp;Banco_Nacion[[#This Row],[numero]]&amp;Banco_Nacion[[#This Row],[responsable]],[2]!Provision_CXC[[ID CXP]:[DETRACCION]],47,0),"")</f>
        <v/>
      </c>
      <c r="Z33" s="3"/>
      <c r="AA33" s="24" t="str">
        <f>IF(Banco_Nacion[[#This Row],[fecha]]&gt;0,TEXT(Banco_Nacion[[#This Row],[fecha]],"mmmm"),0)</f>
        <v>Enero</v>
      </c>
    </row>
    <row r="34" spans="1:27" x14ac:dyDescent="0.3">
      <c r="A34" s="2">
        <f>IF(Banco_Nacion[[#This Row],[tipo_registro]]="R",COUNTIFS($C$1:$C33,"R")+1,"")</f>
        <v>33</v>
      </c>
      <c r="B34" s="19" t="str">
        <f t="shared" si="0"/>
        <v>B-Banco de la Nacion</v>
      </c>
      <c r="C34" s="3" t="s">
        <v>1330</v>
      </c>
      <c r="D34" s="14">
        <v>45664</v>
      </c>
      <c r="E34" s="5">
        <v>20454186002</v>
      </c>
      <c r="F34" s="5" t="s">
        <v>1303</v>
      </c>
      <c r="G34" s="6" t="s">
        <v>425</v>
      </c>
      <c r="H34" s="6" t="s">
        <v>68</v>
      </c>
      <c r="I34" s="6" t="s">
        <v>1343</v>
      </c>
      <c r="J34" s="6">
        <v>492</v>
      </c>
      <c r="K34" s="7" t="s">
        <v>5232</v>
      </c>
      <c r="L34" s="8">
        <v>63936683</v>
      </c>
      <c r="M34" s="8" t="str">
        <f t="shared" si="1"/>
        <v>PEN</v>
      </c>
      <c r="N34" s="13"/>
      <c r="O34" s="13">
        <v>184</v>
      </c>
      <c r="P34" s="3">
        <f t="shared" si="2"/>
        <v>184</v>
      </c>
      <c r="Q34" s="3">
        <f t="shared" si="3"/>
        <v>0</v>
      </c>
      <c r="R34" s="3">
        <f t="shared" si="4"/>
        <v>59960.010000000009</v>
      </c>
      <c r="S34" s="24"/>
      <c r="T34" s="24" t="s">
        <v>1334</v>
      </c>
      <c r="U34" s="3"/>
      <c r="V34" s="19" t="str">
        <f>IFERROR(VLOOKUP(Banco_Nacion[[#This Row],[responsable]],Clientes_Proveedores[[Ruc / Dni]:[Razon Social]],2,0),"")</f>
        <v>ALSUR PERU S.A.C.</v>
      </c>
      <c r="W34" s="19" t="str">
        <f>IF(Banco_Nacion[[#This Row],[tipo_mov]]="INGRESO",Banco_Nacion[[#This Row],[serie]]&amp;Banco_Nacion[[#This Row],[numero]]&amp;Banco_Nacion[[#This Row],[responsable]]&amp;Banco_Nacion[[#This Row],[monto]],"")</f>
        <v>FE0149220454186002184</v>
      </c>
      <c r="X34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63936683</v>
      </c>
      <c r="Y34" s="3" t="str">
        <f>IFERROR(VLOOKUP(Banco_Nacion[[#This Row],[serie]]&amp;Banco_Nacion[[#This Row],[numero]]&amp;Banco_Nacion[[#This Row],[responsable]],[2]!Provision_CXC[[ID CXP]:[DETRACCION]],47,0),"")</f>
        <v/>
      </c>
      <c r="Z34" s="3"/>
      <c r="AA34" s="24" t="str">
        <f>IF(Banco_Nacion[[#This Row],[fecha]]&gt;0,TEXT(Banco_Nacion[[#This Row],[fecha]],"mmmm"),0)</f>
        <v>Enero</v>
      </c>
    </row>
    <row r="35" spans="1:27" x14ac:dyDescent="0.3">
      <c r="A35" s="2">
        <f>IF(Banco_Nacion[[#This Row],[tipo_registro]]="R",COUNTIFS($C$1:$C34,"R")+1,"")</f>
        <v>34</v>
      </c>
      <c r="B35" s="19" t="str">
        <f t="shared" si="0"/>
        <v>B-Banco de la Nacion</v>
      </c>
      <c r="C35" s="3" t="s">
        <v>1330</v>
      </c>
      <c r="D35" s="14">
        <v>45664</v>
      </c>
      <c r="E35" s="5">
        <v>20454186002</v>
      </c>
      <c r="F35" s="5" t="s">
        <v>1303</v>
      </c>
      <c r="G35" s="6" t="s">
        <v>425</v>
      </c>
      <c r="H35" s="6" t="s">
        <v>68</v>
      </c>
      <c r="I35" s="6" t="s">
        <v>1343</v>
      </c>
      <c r="J35" s="6">
        <v>487</v>
      </c>
      <c r="K35" s="7" t="s">
        <v>5232</v>
      </c>
      <c r="L35" s="8">
        <v>63936682</v>
      </c>
      <c r="M35" s="8" t="str">
        <f t="shared" si="1"/>
        <v>PEN</v>
      </c>
      <c r="N35" s="13"/>
      <c r="O35" s="13">
        <v>466</v>
      </c>
      <c r="P35" s="3">
        <f t="shared" si="2"/>
        <v>466</v>
      </c>
      <c r="Q35" s="3">
        <f t="shared" si="3"/>
        <v>0</v>
      </c>
      <c r="R35" s="3">
        <f t="shared" si="4"/>
        <v>60426.010000000009</v>
      </c>
      <c r="S35" s="24"/>
      <c r="T35" s="24" t="s">
        <v>1334</v>
      </c>
      <c r="U35" s="3"/>
      <c r="V35" s="19" t="str">
        <f>IFERROR(VLOOKUP(Banco_Nacion[[#This Row],[responsable]],Clientes_Proveedores[[Ruc / Dni]:[Razon Social]],2,0),"")</f>
        <v>ALSUR PERU S.A.C.</v>
      </c>
      <c r="W35" s="19" t="str">
        <f>IF(Banco_Nacion[[#This Row],[tipo_mov]]="INGRESO",Banco_Nacion[[#This Row],[serie]]&amp;Banco_Nacion[[#This Row],[numero]]&amp;Banco_Nacion[[#This Row],[responsable]]&amp;Banco_Nacion[[#This Row],[monto]],"")</f>
        <v>FE0148720454186002466</v>
      </c>
      <c r="X35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63936682</v>
      </c>
      <c r="Y35" s="3" t="str">
        <f>IFERROR(VLOOKUP(Banco_Nacion[[#This Row],[serie]]&amp;Banco_Nacion[[#This Row],[numero]]&amp;Banco_Nacion[[#This Row],[responsable]],[2]!Provision_CXC[[ID CXP]:[DETRACCION]],47,0),"")</f>
        <v/>
      </c>
      <c r="Z35" s="3"/>
      <c r="AA35" s="24" t="str">
        <f>IF(Banco_Nacion[[#This Row],[fecha]]&gt;0,TEXT(Banco_Nacion[[#This Row],[fecha]],"mmmm"),0)</f>
        <v>Enero</v>
      </c>
    </row>
    <row r="36" spans="1:27" x14ac:dyDescent="0.3">
      <c r="A36" s="2">
        <f>IF(Banco_Nacion[[#This Row],[tipo_registro]]="R",COUNTIFS($C$1:$C35,"R")+1,"")</f>
        <v>35</v>
      </c>
      <c r="B36" s="19" t="str">
        <f t="shared" si="0"/>
        <v>B-Banco de la Nacion</v>
      </c>
      <c r="C36" s="3" t="s">
        <v>1330</v>
      </c>
      <c r="D36" s="14">
        <v>45665</v>
      </c>
      <c r="E36" s="5">
        <v>20100383919</v>
      </c>
      <c r="F36" s="5" t="s">
        <v>1303</v>
      </c>
      <c r="G36" s="6" t="s">
        <v>425</v>
      </c>
      <c r="H36" s="6" t="s">
        <v>68</v>
      </c>
      <c r="I36" s="6" t="s">
        <v>1343</v>
      </c>
      <c r="J36" s="6">
        <v>418</v>
      </c>
      <c r="K36" s="7" t="s">
        <v>5232</v>
      </c>
      <c r="L36" s="8">
        <v>64162588</v>
      </c>
      <c r="M36" s="8" t="str">
        <f t="shared" si="1"/>
        <v>PEN</v>
      </c>
      <c r="N36" s="13"/>
      <c r="O36" s="13">
        <v>252</v>
      </c>
      <c r="P36" s="3">
        <f t="shared" si="2"/>
        <v>252</v>
      </c>
      <c r="Q36" s="3">
        <f t="shared" si="3"/>
        <v>0</v>
      </c>
      <c r="R36" s="3">
        <f t="shared" si="4"/>
        <v>60678.010000000009</v>
      </c>
      <c r="S36" s="24"/>
      <c r="T36" s="24" t="s">
        <v>1334</v>
      </c>
      <c r="U36" s="3"/>
      <c r="V36" s="19" t="str">
        <f>IFERROR(VLOOKUP(Banco_Nacion[[#This Row],[responsable]],Clientes_Proveedores[[Ruc / Dni]:[Razon Social]],2,0),"")</f>
        <v>STIERLIFT S.A.</v>
      </c>
      <c r="W36" s="19" t="str">
        <f>IF(Banco_Nacion[[#This Row],[tipo_mov]]="INGRESO",Banco_Nacion[[#This Row],[serie]]&amp;Banco_Nacion[[#This Row],[numero]]&amp;Banco_Nacion[[#This Row],[responsable]]&amp;Banco_Nacion[[#This Row],[monto]],"")</f>
        <v>FE0141820100383919252</v>
      </c>
      <c r="X36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64162588</v>
      </c>
      <c r="Y36" s="3" t="str">
        <f>IFERROR(VLOOKUP(Banco_Nacion[[#This Row],[serie]]&amp;Banco_Nacion[[#This Row],[numero]]&amp;Banco_Nacion[[#This Row],[responsable]],[2]!Provision_CXC[[ID CXP]:[DETRACCION]],47,0),"")</f>
        <v/>
      </c>
      <c r="Z36" s="3"/>
      <c r="AA36" s="24" t="str">
        <f>IF(Banco_Nacion[[#This Row],[fecha]]&gt;0,TEXT(Banco_Nacion[[#This Row],[fecha]],"mmmm"),0)</f>
        <v>Enero</v>
      </c>
    </row>
    <row r="37" spans="1:27" x14ac:dyDescent="0.3">
      <c r="A37" s="2">
        <f>IF(Banco_Nacion[[#This Row],[tipo_registro]]="R",COUNTIFS($C$1:$C36,"R")+1,"")</f>
        <v>36</v>
      </c>
      <c r="B37" s="19" t="str">
        <f t="shared" si="0"/>
        <v>B-Banco de la Nacion</v>
      </c>
      <c r="C37" s="3" t="s">
        <v>1330</v>
      </c>
      <c r="D37" s="14">
        <v>45665</v>
      </c>
      <c r="E37" s="5">
        <v>20607388416</v>
      </c>
      <c r="F37" s="5" t="s">
        <v>1303</v>
      </c>
      <c r="G37" s="6" t="s">
        <v>425</v>
      </c>
      <c r="H37" s="6" t="s">
        <v>68</v>
      </c>
      <c r="I37" s="6" t="s">
        <v>1353</v>
      </c>
      <c r="J37" s="6">
        <v>161</v>
      </c>
      <c r="K37" s="7" t="s">
        <v>5232</v>
      </c>
      <c r="L37" s="8">
        <v>64087439</v>
      </c>
      <c r="M37" s="8" t="str">
        <f t="shared" si="1"/>
        <v>PEN</v>
      </c>
      <c r="N37" s="13"/>
      <c r="O37" s="13">
        <v>210</v>
      </c>
      <c r="P37" s="3">
        <f t="shared" si="2"/>
        <v>210</v>
      </c>
      <c r="Q37" s="3">
        <f t="shared" si="3"/>
        <v>0</v>
      </c>
      <c r="R37" s="3">
        <f t="shared" si="4"/>
        <v>60888.010000000009</v>
      </c>
      <c r="S37" s="24"/>
      <c r="T37" s="24" t="s">
        <v>1334</v>
      </c>
      <c r="U37" s="3"/>
      <c r="V37" s="19" t="str">
        <f>IFERROR(VLOOKUP(Banco_Nacion[[#This Row],[responsable]],Clientes_Proveedores[[Ruc / Dni]:[Razon Social]],2,0),"")</f>
        <v>ALEACIONES FERROSAS Y METALICAS S.A.C.</v>
      </c>
      <c r="W37" s="19" t="str">
        <f>IF(Banco_Nacion[[#This Row],[tipo_mov]]="INGRESO",Banco_Nacion[[#This Row],[serie]]&amp;Banco_Nacion[[#This Row],[numero]]&amp;Banco_Nacion[[#This Row],[responsable]]&amp;Banco_Nacion[[#This Row],[monto]],"")</f>
        <v>FE0216120607388416210</v>
      </c>
      <c r="X37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64087439</v>
      </c>
      <c r="Y37" s="3" t="str">
        <f>IFERROR(VLOOKUP(Banco_Nacion[[#This Row],[serie]]&amp;Banco_Nacion[[#This Row],[numero]]&amp;Banco_Nacion[[#This Row],[responsable]],[2]!Provision_CXC[[ID CXP]:[DETRACCION]],47,0),"")</f>
        <v/>
      </c>
      <c r="Z37" s="3"/>
      <c r="AA37" s="24" t="str">
        <f>IF(Banco_Nacion[[#This Row],[fecha]]&gt;0,TEXT(Banco_Nacion[[#This Row],[fecha]],"mmmm"),0)</f>
        <v>Enero</v>
      </c>
    </row>
    <row r="38" spans="1:27" x14ac:dyDescent="0.3">
      <c r="A38" s="2">
        <f>IF(Banco_Nacion[[#This Row],[tipo_registro]]="R",COUNTIFS($C$1:$C37,"R")+1,"")</f>
        <v>37</v>
      </c>
      <c r="B38" s="19" t="str">
        <f t="shared" si="0"/>
        <v>B-Banco de la Nacion</v>
      </c>
      <c r="C38" s="3" t="s">
        <v>1330</v>
      </c>
      <c r="D38" s="14">
        <v>45665</v>
      </c>
      <c r="E38" s="5">
        <v>20100235138</v>
      </c>
      <c r="F38" s="5" t="s">
        <v>1303</v>
      </c>
      <c r="G38" s="6" t="s">
        <v>425</v>
      </c>
      <c r="H38" s="6" t="s">
        <v>68</v>
      </c>
      <c r="I38" s="6" t="s">
        <v>1343</v>
      </c>
      <c r="J38" s="6">
        <v>479</v>
      </c>
      <c r="K38" s="7" t="s">
        <v>5232</v>
      </c>
      <c r="L38" s="8">
        <v>64055370</v>
      </c>
      <c r="M38" s="8" t="str">
        <f t="shared" si="1"/>
        <v>PEN</v>
      </c>
      <c r="N38" s="13"/>
      <c r="O38" s="13">
        <v>350</v>
      </c>
      <c r="P38" s="3">
        <f t="shared" si="2"/>
        <v>350</v>
      </c>
      <c r="Q38" s="3">
        <f t="shared" si="3"/>
        <v>0</v>
      </c>
      <c r="R38" s="3">
        <f t="shared" si="4"/>
        <v>61238.010000000009</v>
      </c>
      <c r="S38" s="24"/>
      <c r="T38" s="24" t="s">
        <v>1334</v>
      </c>
      <c r="U38" s="3"/>
      <c r="V38" s="19" t="str">
        <f>IFERROR(VLOOKUP(Banco_Nacion[[#This Row],[responsable]],Clientes_Proveedores[[Ruc / Dni]:[Razon Social]],2,0),"")</f>
        <v>METALURGICA QUIMICA S.A.C.</v>
      </c>
      <c r="W38" s="19" t="str">
        <f>IF(Banco_Nacion[[#This Row],[tipo_mov]]="INGRESO",Banco_Nacion[[#This Row],[serie]]&amp;Banco_Nacion[[#This Row],[numero]]&amp;Banco_Nacion[[#This Row],[responsable]]&amp;Banco_Nacion[[#This Row],[monto]],"")</f>
        <v>FE0147920100235138350</v>
      </c>
      <c r="X38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64055370</v>
      </c>
      <c r="Y38" s="3" t="str">
        <f>IFERROR(VLOOKUP(Banco_Nacion[[#This Row],[serie]]&amp;Banco_Nacion[[#This Row],[numero]]&amp;Banco_Nacion[[#This Row],[responsable]],[2]!Provision_CXC[[ID CXP]:[DETRACCION]],47,0),"")</f>
        <v/>
      </c>
      <c r="Z38" s="3"/>
      <c r="AA38" s="24" t="str">
        <f>IF(Banco_Nacion[[#This Row],[fecha]]&gt;0,TEXT(Banco_Nacion[[#This Row],[fecha]],"mmmm"),0)</f>
        <v>Enero</v>
      </c>
    </row>
    <row r="39" spans="1:27" x14ac:dyDescent="0.3">
      <c r="A39" s="2">
        <f>IF(Banco_Nacion[[#This Row],[tipo_registro]]="R",COUNTIFS($C$1:$C38,"R")+1,"")</f>
        <v>38</v>
      </c>
      <c r="B39" s="19" t="str">
        <f t="shared" si="0"/>
        <v>B-Banco de la Nacion</v>
      </c>
      <c r="C39" s="3" t="s">
        <v>1330</v>
      </c>
      <c r="D39" s="14">
        <v>45665</v>
      </c>
      <c r="E39" s="5">
        <v>20539610377</v>
      </c>
      <c r="F39" s="5" t="s">
        <v>1303</v>
      </c>
      <c r="G39" s="6" t="s">
        <v>425</v>
      </c>
      <c r="H39" s="6" t="s">
        <v>68</v>
      </c>
      <c r="I39" s="6" t="s">
        <v>1343</v>
      </c>
      <c r="J39" s="6">
        <v>461</v>
      </c>
      <c r="K39" s="7" t="s">
        <v>5233</v>
      </c>
      <c r="L39" s="8">
        <v>78788888</v>
      </c>
      <c r="M39" s="8" t="str">
        <f t="shared" si="1"/>
        <v>PEN</v>
      </c>
      <c r="N39" s="13"/>
      <c r="O39" s="13">
        <v>283</v>
      </c>
      <c r="P39" s="3">
        <f t="shared" si="2"/>
        <v>283</v>
      </c>
      <c r="Q39" s="3">
        <f t="shared" si="3"/>
        <v>0</v>
      </c>
      <c r="R39" s="3">
        <f t="shared" si="4"/>
        <v>61521.010000000009</v>
      </c>
      <c r="S39" s="24"/>
      <c r="T39" s="24" t="s">
        <v>1334</v>
      </c>
      <c r="U39" s="3"/>
      <c r="V39" s="19" t="str">
        <f>IFERROR(VLOOKUP(Banco_Nacion[[#This Row],[responsable]],Clientes_Proveedores[[Ruc / Dni]:[Razon Social]],2,0),"")</f>
        <v>EFIMERA ARQUITECTOS E.I.R.L.</v>
      </c>
      <c r="W39" s="19" t="str">
        <f>IF(Banco_Nacion[[#This Row],[tipo_mov]]="INGRESO",Banco_Nacion[[#This Row],[serie]]&amp;Banco_Nacion[[#This Row],[numero]]&amp;Banco_Nacion[[#This Row],[responsable]]&amp;Banco_Nacion[[#This Row],[monto]],"")</f>
        <v>FE0146120539610377283</v>
      </c>
      <c r="X39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78788888</v>
      </c>
      <c r="Y39" s="3" t="str">
        <f>IFERROR(VLOOKUP(Banco_Nacion[[#This Row],[serie]]&amp;Banco_Nacion[[#This Row],[numero]]&amp;Banco_Nacion[[#This Row],[responsable]],[2]!Provision_CXC[[ID CXP]:[DETRACCION]],47,0),"")</f>
        <v/>
      </c>
      <c r="Z39" s="3"/>
      <c r="AA39" s="24" t="str">
        <f>IF(Banco_Nacion[[#This Row],[fecha]]&gt;0,TEXT(Banco_Nacion[[#This Row],[fecha]],"mmmm"),0)</f>
        <v>Enero</v>
      </c>
    </row>
    <row r="40" spans="1:27" x14ac:dyDescent="0.3">
      <c r="A40" s="2">
        <f>IF(Banco_Nacion[[#This Row],[tipo_registro]]="R",COUNTIFS($C$1:$C39,"R")+1,"")</f>
        <v>39</v>
      </c>
      <c r="B40" s="19" t="str">
        <f t="shared" si="0"/>
        <v>B-Banco de la Nacion</v>
      </c>
      <c r="C40" s="3" t="s">
        <v>1330</v>
      </c>
      <c r="D40" s="14">
        <v>45666</v>
      </c>
      <c r="E40" s="5">
        <v>20121393736</v>
      </c>
      <c r="F40" s="5" t="s">
        <v>1303</v>
      </c>
      <c r="G40" s="6" t="s">
        <v>425</v>
      </c>
      <c r="H40" s="6" t="s">
        <v>68</v>
      </c>
      <c r="I40" s="6" t="s">
        <v>1343</v>
      </c>
      <c r="J40" s="6">
        <v>500</v>
      </c>
      <c r="K40" s="7" t="s">
        <v>5232</v>
      </c>
      <c r="L40" s="8">
        <v>64833646</v>
      </c>
      <c r="M40" s="8" t="str">
        <f t="shared" si="1"/>
        <v>PEN</v>
      </c>
      <c r="N40" s="13"/>
      <c r="O40" s="13">
        <v>145</v>
      </c>
      <c r="P40" s="3">
        <f t="shared" si="2"/>
        <v>145</v>
      </c>
      <c r="Q40" s="3">
        <f t="shared" si="3"/>
        <v>0</v>
      </c>
      <c r="R40" s="3">
        <f t="shared" si="4"/>
        <v>61666.010000000009</v>
      </c>
      <c r="S40" s="24"/>
      <c r="T40" s="24" t="s">
        <v>1334</v>
      </c>
      <c r="U40" s="3"/>
      <c r="V40" s="19" t="str">
        <f>IFERROR(VLOOKUP(Banco_Nacion[[#This Row],[responsable]],Clientes_Proveedores[[Ruc / Dni]:[Razon Social]],2,0),"")</f>
        <v>EMPRESA YURA SRL</v>
      </c>
      <c r="W40" s="19" t="str">
        <f>IF(Banco_Nacion[[#This Row],[tipo_mov]]="INGRESO",Banco_Nacion[[#This Row],[serie]]&amp;Banco_Nacion[[#This Row],[numero]]&amp;Banco_Nacion[[#This Row],[responsable]]&amp;Banco_Nacion[[#This Row],[monto]],"")</f>
        <v>FE0150020121393736145</v>
      </c>
      <c r="X40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64833646</v>
      </c>
      <c r="Y40" s="3" t="str">
        <f>IFERROR(VLOOKUP(Banco_Nacion[[#This Row],[serie]]&amp;Banco_Nacion[[#This Row],[numero]]&amp;Banco_Nacion[[#This Row],[responsable]],[2]!Provision_CXC[[ID CXP]:[DETRACCION]],47,0),"")</f>
        <v/>
      </c>
      <c r="Z40" s="3"/>
      <c r="AA40" s="24" t="str">
        <f>IF(Banco_Nacion[[#This Row],[fecha]]&gt;0,TEXT(Banco_Nacion[[#This Row],[fecha]],"mmmm"),0)</f>
        <v>Enero</v>
      </c>
    </row>
    <row r="41" spans="1:27" x14ac:dyDescent="0.3">
      <c r="A41" s="2">
        <f>IF(Banco_Nacion[[#This Row],[tipo_registro]]="R",COUNTIFS($C$1:$C40,"R")+1,"")</f>
        <v>40</v>
      </c>
      <c r="B41" s="19" t="str">
        <f t="shared" si="0"/>
        <v>B-Banco de la Nacion</v>
      </c>
      <c r="C41" s="3" t="s">
        <v>1330</v>
      </c>
      <c r="D41" s="14">
        <v>45666</v>
      </c>
      <c r="E41" s="5">
        <v>20121393736</v>
      </c>
      <c r="F41" s="5" t="s">
        <v>1303</v>
      </c>
      <c r="G41" s="6" t="s">
        <v>425</v>
      </c>
      <c r="H41" s="6" t="s">
        <v>68</v>
      </c>
      <c r="I41" s="6" t="s">
        <v>1343</v>
      </c>
      <c r="J41" s="6">
        <v>493</v>
      </c>
      <c r="K41" s="7" t="s">
        <v>5232</v>
      </c>
      <c r="L41" s="8">
        <v>64833639</v>
      </c>
      <c r="M41" s="8" t="str">
        <f t="shared" si="1"/>
        <v>PEN</v>
      </c>
      <c r="N41" s="13"/>
      <c r="O41" s="13">
        <v>119</v>
      </c>
      <c r="P41" s="3">
        <f t="shared" si="2"/>
        <v>119</v>
      </c>
      <c r="Q41" s="3">
        <f t="shared" si="3"/>
        <v>0</v>
      </c>
      <c r="R41" s="3">
        <f t="shared" si="4"/>
        <v>61785.010000000009</v>
      </c>
      <c r="S41" s="24"/>
      <c r="T41" s="24" t="s">
        <v>1334</v>
      </c>
      <c r="U41" s="3"/>
      <c r="V41" s="19" t="str">
        <f>IFERROR(VLOOKUP(Banco_Nacion[[#This Row],[responsable]],Clientes_Proveedores[[Ruc / Dni]:[Razon Social]],2,0),"")</f>
        <v>EMPRESA YURA SRL</v>
      </c>
      <c r="W41" s="19" t="str">
        <f>IF(Banco_Nacion[[#This Row],[tipo_mov]]="INGRESO",Banco_Nacion[[#This Row],[serie]]&amp;Banco_Nacion[[#This Row],[numero]]&amp;Banco_Nacion[[#This Row],[responsable]]&amp;Banco_Nacion[[#This Row],[monto]],"")</f>
        <v>FE0149320121393736119</v>
      </c>
      <c r="X41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64833639</v>
      </c>
      <c r="Y41" s="3" t="str">
        <f>IFERROR(VLOOKUP(Banco_Nacion[[#This Row],[serie]]&amp;Banco_Nacion[[#This Row],[numero]]&amp;Banco_Nacion[[#This Row],[responsable]],[2]!Provision_CXC[[ID CXP]:[DETRACCION]],47,0),"")</f>
        <v/>
      </c>
      <c r="Z41" s="3"/>
      <c r="AA41" s="24" t="str">
        <f>IF(Banco_Nacion[[#This Row],[fecha]]&gt;0,TEXT(Banco_Nacion[[#This Row],[fecha]],"mmmm"),0)</f>
        <v>Enero</v>
      </c>
    </row>
    <row r="42" spans="1:27" x14ac:dyDescent="0.3">
      <c r="A42" s="2">
        <f>IF(Banco_Nacion[[#This Row],[tipo_registro]]="R",COUNTIFS($C$1:$C41,"R")+1,"")</f>
        <v>41</v>
      </c>
      <c r="B42" s="19" t="str">
        <f t="shared" si="0"/>
        <v>B-Banco de la Nacion</v>
      </c>
      <c r="C42" s="3" t="s">
        <v>1330</v>
      </c>
      <c r="D42" s="14">
        <v>45666</v>
      </c>
      <c r="E42" s="5">
        <v>20514133931</v>
      </c>
      <c r="F42" s="5" t="s">
        <v>1303</v>
      </c>
      <c r="G42" s="6" t="s">
        <v>425</v>
      </c>
      <c r="H42" s="6" t="s">
        <v>68</v>
      </c>
      <c r="I42" s="6" t="s">
        <v>1353</v>
      </c>
      <c r="J42" s="6">
        <v>152</v>
      </c>
      <c r="K42" s="7" t="s">
        <v>5232</v>
      </c>
      <c r="L42" s="8">
        <v>64744689</v>
      </c>
      <c r="M42" s="8" t="str">
        <f t="shared" si="1"/>
        <v>PEN</v>
      </c>
      <c r="N42" s="13"/>
      <c r="O42" s="13">
        <v>319</v>
      </c>
      <c r="P42" s="3">
        <f t="shared" si="2"/>
        <v>319</v>
      </c>
      <c r="Q42" s="3">
        <f t="shared" si="3"/>
        <v>0</v>
      </c>
      <c r="R42" s="3">
        <f t="shared" si="4"/>
        <v>62104.010000000009</v>
      </c>
      <c r="S42" s="24"/>
      <c r="T42" s="24" t="s">
        <v>1334</v>
      </c>
      <c r="U42" s="3"/>
      <c r="V42" s="19" t="str">
        <f>IFERROR(VLOOKUP(Banco_Nacion[[#This Row],[responsable]],Clientes_Proveedores[[Ruc / Dni]:[Razon Social]],2,0),"")</f>
        <v>CORPORACION MEDIOAMBIENTAL AMPCO PERU SOCIEDAD ANONIMA CERRADA
- CM AMPCO PERU S.A.C</v>
      </c>
      <c r="W42" s="19" t="str">
        <f>IF(Banco_Nacion[[#This Row],[tipo_mov]]="INGRESO",Banco_Nacion[[#This Row],[serie]]&amp;Banco_Nacion[[#This Row],[numero]]&amp;Banco_Nacion[[#This Row],[responsable]]&amp;Banco_Nacion[[#This Row],[monto]],"")</f>
        <v>FE0215220514133931319</v>
      </c>
      <c r="X42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64744689</v>
      </c>
      <c r="Y42" s="3" t="str">
        <f>IFERROR(VLOOKUP(Banco_Nacion[[#This Row],[serie]]&amp;Banco_Nacion[[#This Row],[numero]]&amp;Banco_Nacion[[#This Row],[responsable]],[2]!Provision_CXC[[ID CXP]:[DETRACCION]],47,0),"")</f>
        <v/>
      </c>
      <c r="Z42" s="3"/>
      <c r="AA42" s="24" t="str">
        <f>IF(Banco_Nacion[[#This Row],[fecha]]&gt;0,TEXT(Banco_Nacion[[#This Row],[fecha]],"mmmm"),0)</f>
        <v>Enero</v>
      </c>
    </row>
    <row r="43" spans="1:27" x14ac:dyDescent="0.3">
      <c r="A43" s="2">
        <f>IF(Banco_Nacion[[#This Row],[tipo_registro]]="R",COUNTIFS($C$1:$C42,"R")+1,"")</f>
        <v>42</v>
      </c>
      <c r="B43" s="19" t="str">
        <f t="shared" si="0"/>
        <v>B-Banco de la Nacion</v>
      </c>
      <c r="C43" s="3" t="s">
        <v>1330</v>
      </c>
      <c r="D43" s="14">
        <v>45666</v>
      </c>
      <c r="E43" s="5">
        <v>20100199743</v>
      </c>
      <c r="F43" s="5" t="s">
        <v>1303</v>
      </c>
      <c r="G43" s="6" t="s">
        <v>425</v>
      </c>
      <c r="H43" s="6" t="s">
        <v>68</v>
      </c>
      <c r="I43" s="6" t="s">
        <v>1343</v>
      </c>
      <c r="J43" s="6">
        <v>464</v>
      </c>
      <c r="K43" s="7" t="s">
        <v>5232</v>
      </c>
      <c r="L43" s="8">
        <v>64659335</v>
      </c>
      <c r="M43" s="8" t="str">
        <f t="shared" si="1"/>
        <v>PEN</v>
      </c>
      <c r="N43" s="13"/>
      <c r="O43" s="13">
        <v>288</v>
      </c>
      <c r="P43" s="3">
        <f t="shared" si="2"/>
        <v>288</v>
      </c>
      <c r="Q43" s="3">
        <f t="shared" si="3"/>
        <v>0</v>
      </c>
      <c r="R43" s="3">
        <f t="shared" si="4"/>
        <v>62392.010000000009</v>
      </c>
      <c r="S43" s="24"/>
      <c r="T43" s="24" t="s">
        <v>1334</v>
      </c>
      <c r="U43" s="3"/>
      <c r="V43" s="19" t="str">
        <f>IFERROR(VLOOKUP(Banco_Nacion[[#This Row],[responsable]],Clientes_Proveedores[[Ruc / Dni]:[Razon Social]],2,0),"")</f>
        <v>INCA TOPS S.A</v>
      </c>
      <c r="W43" s="19" t="str">
        <f>IF(Banco_Nacion[[#This Row],[tipo_mov]]="INGRESO",Banco_Nacion[[#This Row],[serie]]&amp;Banco_Nacion[[#This Row],[numero]]&amp;Banco_Nacion[[#This Row],[responsable]]&amp;Banco_Nacion[[#This Row],[monto]],"")</f>
        <v>FE0146420100199743288</v>
      </c>
      <c r="X43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64659335</v>
      </c>
      <c r="Y43" s="3" t="str">
        <f>IFERROR(VLOOKUP(Banco_Nacion[[#This Row],[serie]]&amp;Banco_Nacion[[#This Row],[numero]]&amp;Banco_Nacion[[#This Row],[responsable]],[2]!Provision_CXC[[ID CXP]:[DETRACCION]],47,0),"")</f>
        <v/>
      </c>
      <c r="Z43" s="3"/>
      <c r="AA43" s="24" t="str">
        <f>IF(Banco_Nacion[[#This Row],[fecha]]&gt;0,TEXT(Banco_Nacion[[#This Row],[fecha]],"mmmm"),0)</f>
        <v>Enero</v>
      </c>
    </row>
    <row r="44" spans="1:27" x14ac:dyDescent="0.3">
      <c r="A44" s="2">
        <f>IF(Banco_Nacion[[#This Row],[tipo_registro]]="R",COUNTIFS($C$1:$C43,"R")+1,"")</f>
        <v>43</v>
      </c>
      <c r="B44" s="19" t="str">
        <f t="shared" si="0"/>
        <v>B-Banco de la Nacion</v>
      </c>
      <c r="C44" s="3" t="s">
        <v>1330</v>
      </c>
      <c r="D44" s="14">
        <v>45666</v>
      </c>
      <c r="E44" s="5">
        <v>20100199743</v>
      </c>
      <c r="F44" s="5" t="s">
        <v>1303</v>
      </c>
      <c r="G44" s="6" t="s">
        <v>425</v>
      </c>
      <c r="H44" s="6" t="s">
        <v>68</v>
      </c>
      <c r="I44" s="6" t="s">
        <v>1343</v>
      </c>
      <c r="J44" s="6">
        <v>480</v>
      </c>
      <c r="K44" s="7" t="s">
        <v>5232</v>
      </c>
      <c r="L44" s="8">
        <v>64659334</v>
      </c>
      <c r="M44" s="8" t="str">
        <f t="shared" si="1"/>
        <v>PEN</v>
      </c>
      <c r="N44" s="13"/>
      <c r="O44" s="13">
        <v>288</v>
      </c>
      <c r="P44" s="3">
        <f t="shared" si="2"/>
        <v>288</v>
      </c>
      <c r="Q44" s="3">
        <f t="shared" si="3"/>
        <v>0</v>
      </c>
      <c r="R44" s="3">
        <f t="shared" si="4"/>
        <v>62680.010000000009</v>
      </c>
      <c r="S44" s="24"/>
      <c r="T44" s="24" t="s">
        <v>1334</v>
      </c>
      <c r="U44" s="3"/>
      <c r="V44" s="19" t="str">
        <f>IFERROR(VLOOKUP(Banco_Nacion[[#This Row],[responsable]],Clientes_Proveedores[[Ruc / Dni]:[Razon Social]],2,0),"")</f>
        <v>INCA TOPS S.A</v>
      </c>
      <c r="W44" s="19" t="str">
        <f>IF(Banco_Nacion[[#This Row],[tipo_mov]]="INGRESO",Banco_Nacion[[#This Row],[serie]]&amp;Banco_Nacion[[#This Row],[numero]]&amp;Banco_Nacion[[#This Row],[responsable]]&amp;Banco_Nacion[[#This Row],[monto]],"")</f>
        <v>FE0148020100199743288</v>
      </c>
      <c r="X44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64659334</v>
      </c>
      <c r="Y44" s="3" t="str">
        <f>IFERROR(VLOOKUP(Banco_Nacion[[#This Row],[serie]]&amp;Banco_Nacion[[#This Row],[numero]]&amp;Banco_Nacion[[#This Row],[responsable]],[2]!Provision_CXC[[ID CXP]:[DETRACCION]],47,0),"")</f>
        <v/>
      </c>
      <c r="Z44" s="3"/>
      <c r="AA44" s="24" t="str">
        <f>IF(Banco_Nacion[[#This Row],[fecha]]&gt;0,TEXT(Banco_Nacion[[#This Row],[fecha]],"mmmm"),0)</f>
        <v>Enero</v>
      </c>
    </row>
    <row r="45" spans="1:27" x14ac:dyDescent="0.3">
      <c r="A45" s="2">
        <f>IF(Banco_Nacion[[#This Row],[tipo_registro]]="R",COUNTIFS($C$1:$C44,"R")+1,"")</f>
        <v>44</v>
      </c>
      <c r="B45" s="19" t="str">
        <f t="shared" si="0"/>
        <v>B-Banco de la Nacion</v>
      </c>
      <c r="C45" s="3" t="s">
        <v>1330</v>
      </c>
      <c r="D45" s="14">
        <v>45666</v>
      </c>
      <c r="E45" s="5">
        <v>20154639293</v>
      </c>
      <c r="F45" s="5" t="s">
        <v>1303</v>
      </c>
      <c r="G45" s="6" t="s">
        <v>425</v>
      </c>
      <c r="H45" s="6" t="s">
        <v>68</v>
      </c>
      <c r="I45" s="6" t="s">
        <v>1343</v>
      </c>
      <c r="J45" s="6">
        <v>484</v>
      </c>
      <c r="K45" s="7" t="s">
        <v>5232</v>
      </c>
      <c r="L45" s="8">
        <v>64537795</v>
      </c>
      <c r="M45" s="8" t="str">
        <f t="shared" si="1"/>
        <v>PEN</v>
      </c>
      <c r="N45" s="13"/>
      <c r="O45" s="13">
        <v>171</v>
      </c>
      <c r="P45" s="3">
        <f t="shared" si="2"/>
        <v>171</v>
      </c>
      <c r="Q45" s="3">
        <f t="shared" si="3"/>
        <v>0</v>
      </c>
      <c r="R45" s="3">
        <f t="shared" si="4"/>
        <v>62851.010000000009</v>
      </c>
      <c r="S45" s="24"/>
      <c r="T45" s="24" t="s">
        <v>1334</v>
      </c>
      <c r="U45" s="3"/>
      <c r="V45" s="19" t="str">
        <f>IFERROR(VLOOKUP(Banco_Nacion[[#This Row],[responsable]],Clientes_Proveedores[[Ruc / Dni]:[Razon Social]],2,0),"")</f>
        <v>TECNIFLOW S.A.C.</v>
      </c>
      <c r="W45" s="19" t="str">
        <f>IF(Banco_Nacion[[#This Row],[tipo_mov]]="INGRESO",Banco_Nacion[[#This Row],[serie]]&amp;Banco_Nacion[[#This Row],[numero]]&amp;Banco_Nacion[[#This Row],[responsable]]&amp;Banco_Nacion[[#This Row],[monto]],"")</f>
        <v>FE0148420154639293171</v>
      </c>
      <c r="X45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64537795</v>
      </c>
      <c r="Y45" s="3" t="str">
        <f>IFERROR(VLOOKUP(Banco_Nacion[[#This Row],[serie]]&amp;Banco_Nacion[[#This Row],[numero]]&amp;Banco_Nacion[[#This Row],[responsable]],[2]!Provision_CXC[[ID CXP]:[DETRACCION]],47,0),"")</f>
        <v/>
      </c>
      <c r="Z45" s="3"/>
      <c r="AA45" s="24" t="str">
        <f>IF(Banco_Nacion[[#This Row],[fecha]]&gt;0,TEXT(Banco_Nacion[[#This Row],[fecha]],"mmmm"),0)</f>
        <v>Enero</v>
      </c>
    </row>
    <row r="46" spans="1:27" x14ac:dyDescent="0.3">
      <c r="A46" s="2">
        <f>IF(Banco_Nacion[[#This Row],[tipo_registro]]="R",COUNTIFS($C$1:$C45,"R")+1,"")</f>
        <v>45</v>
      </c>
      <c r="B46" s="19" t="str">
        <f t="shared" si="0"/>
        <v>B-Banco de la Nacion</v>
      </c>
      <c r="C46" s="3" t="s">
        <v>1330</v>
      </c>
      <c r="D46" s="14">
        <v>45666</v>
      </c>
      <c r="E46" s="5">
        <v>20417573705</v>
      </c>
      <c r="F46" s="5" t="s">
        <v>1303</v>
      </c>
      <c r="G46" s="6" t="s">
        <v>425</v>
      </c>
      <c r="H46" s="6" t="s">
        <v>68</v>
      </c>
      <c r="I46" s="6" t="s">
        <v>1343</v>
      </c>
      <c r="J46" s="6">
        <v>448</v>
      </c>
      <c r="K46" s="7" t="s">
        <v>5232</v>
      </c>
      <c r="L46" s="8">
        <v>64520538</v>
      </c>
      <c r="M46" s="8" t="str">
        <f t="shared" si="1"/>
        <v>PEN</v>
      </c>
      <c r="N46" s="13"/>
      <c r="O46" s="13">
        <v>575</v>
      </c>
      <c r="P46" s="3">
        <f t="shared" si="2"/>
        <v>575</v>
      </c>
      <c r="Q46" s="3">
        <f t="shared" si="3"/>
        <v>0</v>
      </c>
      <c r="R46" s="3">
        <f t="shared" si="4"/>
        <v>63426.010000000009</v>
      </c>
      <c r="S46" s="24" t="s">
        <v>1334</v>
      </c>
      <c r="T46" s="24" t="s">
        <v>1334</v>
      </c>
      <c r="U46" s="3"/>
      <c r="V46" s="19" t="str">
        <f>IFERROR(VLOOKUP(Banco_Nacion[[#This Row],[responsable]],Clientes_Proveedores[[Ruc / Dni]:[Razon Social]],2,0),"")</f>
        <v>TECNO FAST S.A.C.</v>
      </c>
      <c r="W46" s="19" t="str">
        <f>IF(Banco_Nacion[[#This Row],[tipo_mov]]="INGRESO",Banco_Nacion[[#This Row],[serie]]&amp;Banco_Nacion[[#This Row],[numero]]&amp;Banco_Nacion[[#This Row],[responsable]]&amp;Banco_Nacion[[#This Row],[monto]],"")</f>
        <v>FE0144820417573705575</v>
      </c>
      <c r="X46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64520538</v>
      </c>
      <c r="Y46" s="3" t="str">
        <f>IFERROR(VLOOKUP(Banco_Nacion[[#This Row],[serie]]&amp;Banco_Nacion[[#This Row],[numero]]&amp;Banco_Nacion[[#This Row],[responsable]],[2]!Provision_CXC[[ID CXP]:[DETRACCION]],47,0),"")</f>
        <v/>
      </c>
      <c r="Z46" s="3"/>
      <c r="AA46" s="24" t="str">
        <f>IF(Banco_Nacion[[#This Row],[fecha]]&gt;0,TEXT(Banco_Nacion[[#This Row],[fecha]],"mmmm"),0)</f>
        <v>Enero</v>
      </c>
    </row>
    <row r="47" spans="1:27" x14ac:dyDescent="0.3">
      <c r="A47" s="2">
        <f>IF(Banco_Nacion[[#This Row],[tipo_registro]]="R",COUNTIFS($C$1:$C46,"R")+1,"")</f>
        <v>46</v>
      </c>
      <c r="B47" s="19" t="str">
        <f t="shared" si="0"/>
        <v>B-Banco de la Nacion</v>
      </c>
      <c r="C47" s="3" t="s">
        <v>1330</v>
      </c>
      <c r="D47" s="14">
        <v>45666</v>
      </c>
      <c r="E47" s="5">
        <v>20455825742</v>
      </c>
      <c r="F47" s="5" t="s">
        <v>1303</v>
      </c>
      <c r="G47" s="6" t="s">
        <v>425</v>
      </c>
      <c r="H47" s="6" t="s">
        <v>68</v>
      </c>
      <c r="I47" s="6" t="s">
        <v>1343</v>
      </c>
      <c r="J47" s="6">
        <v>411</v>
      </c>
      <c r="K47" s="7" t="s">
        <v>5232</v>
      </c>
      <c r="L47" s="8">
        <v>64438110</v>
      </c>
      <c r="M47" s="8" t="str">
        <f t="shared" si="1"/>
        <v>PEN</v>
      </c>
      <c r="N47" s="13"/>
      <c r="O47" s="13">
        <v>261</v>
      </c>
      <c r="P47" s="3">
        <f t="shared" si="2"/>
        <v>261</v>
      </c>
      <c r="Q47" s="3">
        <f t="shared" si="3"/>
        <v>0</v>
      </c>
      <c r="R47" s="3">
        <f t="shared" si="4"/>
        <v>63687.010000000009</v>
      </c>
      <c r="S47" s="24"/>
      <c r="T47" s="24" t="s">
        <v>1334</v>
      </c>
      <c r="U47" s="3"/>
      <c r="V47" s="19" t="str">
        <f>IFERROR(VLOOKUP(Banco_Nacion[[#This Row],[responsable]],Clientes_Proveedores[[Ruc / Dni]:[Razon Social]],2,0),"")</f>
        <v>LIVIGUI PERU S.A.C.</v>
      </c>
      <c r="W47" s="19" t="str">
        <f>IF(Banco_Nacion[[#This Row],[tipo_mov]]="INGRESO",Banco_Nacion[[#This Row],[serie]]&amp;Banco_Nacion[[#This Row],[numero]]&amp;Banco_Nacion[[#This Row],[responsable]]&amp;Banco_Nacion[[#This Row],[monto]],"")</f>
        <v>FE0141120455825742261</v>
      </c>
      <c r="X47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64438110</v>
      </c>
      <c r="Y47" s="3" t="str">
        <f>IFERROR(VLOOKUP(Banco_Nacion[[#This Row],[serie]]&amp;Banco_Nacion[[#This Row],[numero]]&amp;Banco_Nacion[[#This Row],[responsable]],[2]!Provision_CXC[[ID CXP]:[DETRACCION]],47,0),"")</f>
        <v/>
      </c>
      <c r="Z47" s="3"/>
      <c r="AA47" s="24" t="str">
        <f>IF(Banco_Nacion[[#This Row],[fecha]]&gt;0,TEXT(Banco_Nacion[[#This Row],[fecha]],"mmmm"),0)</f>
        <v>Enero</v>
      </c>
    </row>
    <row r="48" spans="1:27" x14ac:dyDescent="0.3">
      <c r="A48" s="2">
        <f>IF(Banco_Nacion[[#This Row],[tipo_registro]]="R",COUNTIFS($C$1:$C47,"R")+1,"")</f>
        <v>47</v>
      </c>
      <c r="B48" s="19" t="str">
        <f t="shared" si="0"/>
        <v>B-Banco de la Nacion</v>
      </c>
      <c r="C48" s="3" t="s">
        <v>1330</v>
      </c>
      <c r="D48" s="14">
        <v>45667</v>
      </c>
      <c r="E48" s="5">
        <v>20370146994</v>
      </c>
      <c r="F48" s="5" t="s">
        <v>1303</v>
      </c>
      <c r="G48" s="6" t="s">
        <v>425</v>
      </c>
      <c r="H48" s="6" t="s">
        <v>68</v>
      </c>
      <c r="I48" s="6" t="s">
        <v>1353</v>
      </c>
      <c r="J48" s="6">
        <v>173</v>
      </c>
      <c r="K48" s="7" t="s">
        <v>5232</v>
      </c>
      <c r="L48" s="8">
        <v>64953621</v>
      </c>
      <c r="M48" s="8" t="str">
        <f t="shared" si="1"/>
        <v>PEN</v>
      </c>
      <c r="N48" s="13"/>
      <c r="O48" s="13">
        <v>134</v>
      </c>
      <c r="P48" s="3">
        <f t="shared" si="2"/>
        <v>134</v>
      </c>
      <c r="Q48" s="3">
        <f t="shared" si="3"/>
        <v>0</v>
      </c>
      <c r="R48" s="3">
        <f t="shared" si="4"/>
        <v>63821.010000000009</v>
      </c>
      <c r="S48" s="24"/>
      <c r="T48" s="24" t="s">
        <v>1334</v>
      </c>
      <c r="U48" s="3"/>
      <c r="V48" s="19" t="str">
        <f>IFERROR(VLOOKUP(Banco_Nacion[[#This Row],[responsable]],Clientes_Proveedores[[Ruc / Dni]:[Razon Social]],2,0),"")</f>
        <v>CORPORACION ACEROS AREQUIPA S.A</v>
      </c>
      <c r="W48" s="19" t="str">
        <f>IF(Banco_Nacion[[#This Row],[tipo_mov]]="INGRESO",Banco_Nacion[[#This Row],[serie]]&amp;Banco_Nacion[[#This Row],[numero]]&amp;Banco_Nacion[[#This Row],[responsable]]&amp;Banco_Nacion[[#This Row],[monto]],"")</f>
        <v>FE0217320370146994134</v>
      </c>
      <c r="X48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64953621</v>
      </c>
      <c r="Y48" s="3" t="str">
        <f>IFERROR(VLOOKUP(Banco_Nacion[[#This Row],[serie]]&amp;Banco_Nacion[[#This Row],[numero]]&amp;Banco_Nacion[[#This Row],[responsable]],[2]!Provision_CXC[[ID CXP]:[DETRACCION]],47,0),"")</f>
        <v/>
      </c>
      <c r="Z48" s="3"/>
      <c r="AA48" s="24" t="str">
        <f>IF(Banco_Nacion[[#This Row],[fecha]]&gt;0,TEXT(Banco_Nacion[[#This Row],[fecha]],"mmmm"),0)</f>
        <v>Enero</v>
      </c>
    </row>
    <row r="49" spans="1:27" x14ac:dyDescent="0.3">
      <c r="A49" s="2">
        <f>IF(Banco_Nacion[[#This Row],[tipo_registro]]="R",COUNTIFS($C$1:$C48,"R")+1,"")</f>
        <v>48</v>
      </c>
      <c r="B49" s="19" t="str">
        <f t="shared" si="0"/>
        <v>B-Banco de la Nacion</v>
      </c>
      <c r="C49" s="3" t="s">
        <v>1330</v>
      </c>
      <c r="D49" s="14">
        <v>45667</v>
      </c>
      <c r="E49" s="5">
        <v>20606592494</v>
      </c>
      <c r="F49" s="5" t="s">
        <v>1303</v>
      </c>
      <c r="G49" s="6" t="s">
        <v>425</v>
      </c>
      <c r="H49" s="6" t="s">
        <v>68</v>
      </c>
      <c r="I49" s="6" t="s">
        <v>1353</v>
      </c>
      <c r="J49" s="6">
        <v>151</v>
      </c>
      <c r="K49" s="7" t="s">
        <v>5232</v>
      </c>
      <c r="L49" s="8">
        <v>64905221</v>
      </c>
      <c r="M49" s="8" t="str">
        <f t="shared" si="1"/>
        <v>PEN</v>
      </c>
      <c r="N49" s="13"/>
      <c r="O49" s="13">
        <v>3310</v>
      </c>
      <c r="P49" s="3">
        <f t="shared" si="2"/>
        <v>3310</v>
      </c>
      <c r="Q49" s="3">
        <f t="shared" si="3"/>
        <v>0</v>
      </c>
      <c r="R49" s="3">
        <f t="shared" si="4"/>
        <v>67131.010000000009</v>
      </c>
      <c r="S49" s="24"/>
      <c r="T49" s="24" t="s">
        <v>1334</v>
      </c>
      <c r="U49" s="3"/>
      <c r="V49" s="19" t="str">
        <f>IFERROR(VLOOKUP(Banco_Nacion[[#This Row],[responsable]],Clientes_Proveedores[[Ruc / Dni]:[Razon Social]],2,0),"")</f>
        <v>RESIGRALE S.R.L.</v>
      </c>
      <c r="W49" s="19" t="str">
        <f>IF(Banco_Nacion[[#This Row],[tipo_mov]]="INGRESO",Banco_Nacion[[#This Row],[serie]]&amp;Banco_Nacion[[#This Row],[numero]]&amp;Banco_Nacion[[#This Row],[responsable]]&amp;Banco_Nacion[[#This Row],[monto]],"")</f>
        <v>FE02151206065924943310</v>
      </c>
      <c r="X49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64905221</v>
      </c>
      <c r="Y49" s="3" t="str">
        <f>IFERROR(VLOOKUP(Banco_Nacion[[#This Row],[serie]]&amp;Banco_Nacion[[#This Row],[numero]]&amp;Banco_Nacion[[#This Row],[responsable]],[2]!Provision_CXC[[ID CXP]:[DETRACCION]],47,0),"")</f>
        <v/>
      </c>
      <c r="Z49" s="3"/>
      <c r="AA49" s="24" t="str">
        <f>IF(Banco_Nacion[[#This Row],[fecha]]&gt;0,TEXT(Banco_Nacion[[#This Row],[fecha]],"mmmm"),0)</f>
        <v>Enero</v>
      </c>
    </row>
    <row r="50" spans="1:27" x14ac:dyDescent="0.3">
      <c r="A50" s="2">
        <f>IF(Banco_Nacion[[#This Row],[tipo_registro]]="R",COUNTIFS($C$1:$C49,"R")+1,"")</f>
        <v>49</v>
      </c>
      <c r="B50" s="19" t="str">
        <f t="shared" si="0"/>
        <v>B-Banco de la Nacion</v>
      </c>
      <c r="C50" s="3" t="s">
        <v>1330</v>
      </c>
      <c r="D50" s="14">
        <v>45667</v>
      </c>
      <c r="E50" s="5">
        <v>20161541991</v>
      </c>
      <c r="F50" s="5" t="s">
        <v>1303</v>
      </c>
      <c r="G50" s="6" t="s">
        <v>425</v>
      </c>
      <c r="H50" s="6" t="s">
        <v>68</v>
      </c>
      <c r="I50" s="6" t="s">
        <v>1343</v>
      </c>
      <c r="J50" s="6">
        <v>466</v>
      </c>
      <c r="K50" s="7" t="s">
        <v>5232</v>
      </c>
      <c r="L50" s="8">
        <v>64891501</v>
      </c>
      <c r="M50" s="8" t="str">
        <f t="shared" si="1"/>
        <v>PEN</v>
      </c>
      <c r="N50" s="13"/>
      <c r="O50" s="13">
        <v>148</v>
      </c>
      <c r="P50" s="3">
        <f t="shared" si="2"/>
        <v>148</v>
      </c>
      <c r="Q50" s="3">
        <f t="shared" si="3"/>
        <v>0</v>
      </c>
      <c r="R50" s="3">
        <f t="shared" si="4"/>
        <v>67279.010000000009</v>
      </c>
      <c r="S50" s="24"/>
      <c r="T50" s="24" t="s">
        <v>1334</v>
      </c>
      <c r="U50" s="3"/>
      <c r="V50" s="19" t="str">
        <f>IFERROR(VLOOKUP(Banco_Nacion[[#This Row],[responsable]],Clientes_Proveedores[[Ruc / Dni]:[Razon Social]],2,0),"")</f>
        <v>ASOCIACION TECSUP N° 2</v>
      </c>
      <c r="W50" s="19" t="str">
        <f>IF(Banco_Nacion[[#This Row],[tipo_mov]]="INGRESO",Banco_Nacion[[#This Row],[serie]]&amp;Banco_Nacion[[#This Row],[numero]]&amp;Banco_Nacion[[#This Row],[responsable]]&amp;Banco_Nacion[[#This Row],[monto]],"")</f>
        <v>FE0146620161541991148</v>
      </c>
      <c r="X50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64891501</v>
      </c>
      <c r="Y50" s="3" t="str">
        <f>IFERROR(VLOOKUP(Banco_Nacion[[#This Row],[serie]]&amp;Banco_Nacion[[#This Row],[numero]]&amp;Banco_Nacion[[#This Row],[responsable]],[2]!Provision_CXC[[ID CXP]:[DETRACCION]],47,0),"")</f>
        <v/>
      </c>
      <c r="Z50" s="3"/>
      <c r="AA50" s="24" t="str">
        <f>IF(Banco_Nacion[[#This Row],[fecha]]&gt;0,TEXT(Banco_Nacion[[#This Row],[fecha]],"mmmm"),0)</f>
        <v>Enero</v>
      </c>
    </row>
    <row r="51" spans="1:27" x14ac:dyDescent="0.3">
      <c r="A51" s="2">
        <f>IF(Banco_Nacion[[#This Row],[tipo_registro]]="R",COUNTIFS($C$1:$C50,"R")+1,"")</f>
        <v>50</v>
      </c>
      <c r="B51" s="19" t="str">
        <f t="shared" si="0"/>
        <v>B-Banco de la Nacion</v>
      </c>
      <c r="C51" s="3" t="s">
        <v>1330</v>
      </c>
      <c r="D51" s="14">
        <v>45667</v>
      </c>
      <c r="E51" s="5">
        <v>20496535066</v>
      </c>
      <c r="F51" s="5" t="s">
        <v>1303</v>
      </c>
      <c r="G51" s="6" t="s">
        <v>425</v>
      </c>
      <c r="H51" s="6" t="s">
        <v>68</v>
      </c>
      <c r="I51" s="6" t="s">
        <v>1343</v>
      </c>
      <c r="J51" s="6">
        <v>454</v>
      </c>
      <c r="K51" s="7" t="s">
        <v>5232</v>
      </c>
      <c r="L51" s="8">
        <v>25723909</v>
      </c>
      <c r="M51" s="8" t="str">
        <f t="shared" si="1"/>
        <v>PEN</v>
      </c>
      <c r="N51" s="13"/>
      <c r="O51" s="13">
        <v>115</v>
      </c>
      <c r="P51" s="3">
        <f t="shared" si="2"/>
        <v>115</v>
      </c>
      <c r="Q51" s="3">
        <f t="shared" si="3"/>
        <v>0</v>
      </c>
      <c r="R51" s="3">
        <f t="shared" si="4"/>
        <v>67394.010000000009</v>
      </c>
      <c r="S51" s="24"/>
      <c r="T51" s="24" t="s">
        <v>1334</v>
      </c>
      <c r="U51" s="3"/>
      <c r="V51" s="19" t="str">
        <f>IFERROR(VLOOKUP(Banco_Nacion[[#This Row],[responsable]],Clientes_Proveedores[[Ruc / Dni]:[Razon Social]],2,0),"")</f>
        <v>CORP.ELECTROMECANICA EN ING.Y CONSTR.SAC</v>
      </c>
      <c r="W51" s="19" t="str">
        <f>IF(Banco_Nacion[[#This Row],[tipo_mov]]="INGRESO",Banco_Nacion[[#This Row],[serie]]&amp;Banco_Nacion[[#This Row],[numero]]&amp;Banco_Nacion[[#This Row],[responsable]]&amp;Banco_Nacion[[#This Row],[monto]],"")</f>
        <v>FE0145420496535066115</v>
      </c>
      <c r="X51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25723909</v>
      </c>
      <c r="Y51" s="3" t="str">
        <f>IFERROR(VLOOKUP(Banco_Nacion[[#This Row],[serie]]&amp;Banco_Nacion[[#This Row],[numero]]&amp;Banco_Nacion[[#This Row],[responsable]],[2]!Provision_CXC[[ID CXP]:[DETRACCION]],47,0),"")</f>
        <v/>
      </c>
      <c r="Z51" s="3"/>
      <c r="AA51" s="24" t="str">
        <f>IF(Banco_Nacion[[#This Row],[fecha]]&gt;0,TEXT(Banco_Nacion[[#This Row],[fecha]],"mmmm"),0)</f>
        <v>Enero</v>
      </c>
    </row>
    <row r="52" spans="1:27" x14ac:dyDescent="0.3">
      <c r="A52" s="2">
        <f>IF(Banco_Nacion[[#This Row],[tipo_registro]]="R",COUNTIFS($C$1:$C51,"R")+1,"")</f>
        <v>51</v>
      </c>
      <c r="B52" s="19" t="str">
        <f t="shared" si="0"/>
        <v>B-Banco de la Nacion</v>
      </c>
      <c r="C52" s="3" t="s">
        <v>1330</v>
      </c>
      <c r="D52" s="14">
        <v>45667</v>
      </c>
      <c r="E52" s="5">
        <v>20496535066</v>
      </c>
      <c r="F52" s="5" t="s">
        <v>1303</v>
      </c>
      <c r="G52" s="6" t="s">
        <v>425</v>
      </c>
      <c r="H52" s="6" t="s">
        <v>68</v>
      </c>
      <c r="I52" s="6" t="s">
        <v>1343</v>
      </c>
      <c r="J52" s="6">
        <v>455</v>
      </c>
      <c r="K52" s="7" t="s">
        <v>5232</v>
      </c>
      <c r="L52" s="8">
        <v>25723906</v>
      </c>
      <c r="M52" s="8" t="str">
        <f t="shared" si="1"/>
        <v>PEN</v>
      </c>
      <c r="N52" s="13"/>
      <c r="O52" s="13">
        <v>106</v>
      </c>
      <c r="P52" s="3">
        <f t="shared" si="2"/>
        <v>106</v>
      </c>
      <c r="Q52" s="3">
        <f t="shared" si="3"/>
        <v>0</v>
      </c>
      <c r="R52" s="3">
        <f t="shared" si="4"/>
        <v>67500.010000000009</v>
      </c>
      <c r="S52" s="24"/>
      <c r="T52" s="24" t="s">
        <v>1334</v>
      </c>
      <c r="U52" s="3"/>
      <c r="V52" s="19" t="str">
        <f>IFERROR(VLOOKUP(Banco_Nacion[[#This Row],[responsable]],Clientes_Proveedores[[Ruc / Dni]:[Razon Social]],2,0),"")</f>
        <v>CORP.ELECTROMECANICA EN ING.Y CONSTR.SAC</v>
      </c>
      <c r="W52" s="19" t="str">
        <f>IF(Banco_Nacion[[#This Row],[tipo_mov]]="INGRESO",Banco_Nacion[[#This Row],[serie]]&amp;Banco_Nacion[[#This Row],[numero]]&amp;Banco_Nacion[[#This Row],[responsable]]&amp;Banco_Nacion[[#This Row],[monto]],"")</f>
        <v>FE0145520496535066106</v>
      </c>
      <c r="X52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25723906</v>
      </c>
      <c r="Y52" s="3" t="str">
        <f>IFERROR(VLOOKUP(Banco_Nacion[[#This Row],[serie]]&amp;Banco_Nacion[[#This Row],[numero]]&amp;Banco_Nacion[[#This Row],[responsable]],[2]!Provision_CXC[[ID CXP]:[DETRACCION]],47,0),"")</f>
        <v/>
      </c>
      <c r="Z52" s="3"/>
      <c r="AA52" s="24" t="str">
        <f>IF(Banco_Nacion[[#This Row],[fecha]]&gt;0,TEXT(Banco_Nacion[[#This Row],[fecha]],"mmmm"),0)</f>
        <v>Enero</v>
      </c>
    </row>
    <row r="53" spans="1:27" x14ac:dyDescent="0.3">
      <c r="A53" s="2">
        <f>IF(Banco_Nacion[[#This Row],[tipo_registro]]="R",COUNTIFS($C$1:$C52,"R")+1,"")</f>
        <v>52</v>
      </c>
      <c r="B53" s="19" t="str">
        <f t="shared" si="0"/>
        <v>B-Banco de la Nacion</v>
      </c>
      <c r="C53" s="3" t="s">
        <v>1330</v>
      </c>
      <c r="D53" s="14">
        <v>45667</v>
      </c>
      <c r="E53" s="5">
        <v>20601119600</v>
      </c>
      <c r="F53" s="5" t="s">
        <v>1303</v>
      </c>
      <c r="G53" s="6" t="s">
        <v>425</v>
      </c>
      <c r="H53" s="6" t="s">
        <v>68</v>
      </c>
      <c r="I53" s="6" t="s">
        <v>1347</v>
      </c>
      <c r="J53" s="6">
        <v>45</v>
      </c>
      <c r="K53" s="7" t="s">
        <v>5232</v>
      </c>
      <c r="L53" s="8">
        <v>25687244</v>
      </c>
      <c r="M53" s="8" t="str">
        <f t="shared" si="1"/>
        <v>PEN</v>
      </c>
      <c r="N53" s="13"/>
      <c r="O53" s="13">
        <v>244</v>
      </c>
      <c r="P53" s="3">
        <f t="shared" si="2"/>
        <v>244</v>
      </c>
      <c r="Q53" s="3">
        <f t="shared" si="3"/>
        <v>0</v>
      </c>
      <c r="R53" s="3">
        <f t="shared" si="4"/>
        <v>67744.010000000009</v>
      </c>
      <c r="S53" s="24"/>
      <c r="T53" s="24" t="s">
        <v>1334</v>
      </c>
      <c r="U53" s="3"/>
      <c r="V53" s="19" t="str">
        <f>IFERROR(VLOOKUP(Banco_Nacion[[#This Row],[responsable]],Clientes_Proveedores[[Ruc / Dni]:[Razon Social]],2,0),"")</f>
        <v>INVERSIONES W.J.M. S.A.C.</v>
      </c>
      <c r="W53" s="19" t="str">
        <f>IF(Banco_Nacion[[#This Row],[tipo_mov]]="INGRESO",Banco_Nacion[[#This Row],[serie]]&amp;Banco_Nacion[[#This Row],[numero]]&amp;Banco_Nacion[[#This Row],[responsable]]&amp;Banco_Nacion[[#This Row],[monto]],"")</f>
        <v>FE054520601119600244</v>
      </c>
      <c r="X53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25687244</v>
      </c>
      <c r="Y53" s="3" t="str">
        <f>IFERROR(VLOOKUP(Banco_Nacion[[#This Row],[serie]]&amp;Banco_Nacion[[#This Row],[numero]]&amp;Banco_Nacion[[#This Row],[responsable]],[2]!Provision_CXC[[ID CXP]:[DETRACCION]],47,0),"")</f>
        <v/>
      </c>
      <c r="Z53" s="3"/>
      <c r="AA53" s="24" t="str">
        <f>IF(Banco_Nacion[[#This Row],[fecha]]&gt;0,TEXT(Banco_Nacion[[#This Row],[fecha]],"mmmm"),0)</f>
        <v>Enero</v>
      </c>
    </row>
    <row r="54" spans="1:27" x14ac:dyDescent="0.3">
      <c r="A54" s="2">
        <f>IF(Banco_Nacion[[#This Row],[tipo_registro]]="R",COUNTIFS($C$1:$C53,"R")+1,"")</f>
        <v>53</v>
      </c>
      <c r="B54" s="19" t="str">
        <f t="shared" si="0"/>
        <v>B-Banco de la Nacion</v>
      </c>
      <c r="C54" s="3" t="s">
        <v>1330</v>
      </c>
      <c r="D54" s="14">
        <v>45671</v>
      </c>
      <c r="E54" s="5">
        <v>20603536569</v>
      </c>
      <c r="F54" s="5" t="s">
        <v>1303</v>
      </c>
      <c r="G54" s="6" t="s">
        <v>425</v>
      </c>
      <c r="H54" s="6" t="s">
        <v>68</v>
      </c>
      <c r="I54" s="6" t="s">
        <v>1343</v>
      </c>
      <c r="J54" s="6">
        <v>330</v>
      </c>
      <c r="K54" s="7" t="s">
        <v>5232</v>
      </c>
      <c r="L54" s="8">
        <v>65053701</v>
      </c>
      <c r="M54" s="8" t="str">
        <f t="shared" si="1"/>
        <v>PEN</v>
      </c>
      <c r="N54" s="13"/>
      <c r="O54" s="13">
        <v>916</v>
      </c>
      <c r="P54" s="3">
        <f t="shared" si="2"/>
        <v>916</v>
      </c>
      <c r="Q54" s="3">
        <f t="shared" si="3"/>
        <v>0</v>
      </c>
      <c r="R54" s="3">
        <f t="shared" si="4"/>
        <v>68660.010000000009</v>
      </c>
      <c r="S54" s="24"/>
      <c r="T54" s="24" t="s">
        <v>1334</v>
      </c>
      <c r="U54" s="3"/>
      <c r="V54" s="19" t="str">
        <f>IFERROR(VLOOKUP(Banco_Nacion[[#This Row],[responsable]],Clientes_Proveedores[[Ruc / Dni]:[Razon Social]],2,0),"")</f>
        <v>ANTILLA COPPER SOCIEDAD ANONIMA</v>
      </c>
      <c r="W54" s="19" t="str">
        <f>IF(Banco_Nacion[[#This Row],[tipo_mov]]="INGRESO",Banco_Nacion[[#This Row],[serie]]&amp;Banco_Nacion[[#This Row],[numero]]&amp;Banco_Nacion[[#This Row],[responsable]]&amp;Banco_Nacion[[#This Row],[monto]],"")</f>
        <v>FE0133020603536569916</v>
      </c>
      <c r="X54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65053701</v>
      </c>
      <c r="Y54" s="3" t="str">
        <f>IFERROR(VLOOKUP(Banco_Nacion[[#This Row],[serie]]&amp;Banco_Nacion[[#This Row],[numero]]&amp;Banco_Nacion[[#This Row],[responsable]],[2]!Provision_CXC[[ID CXP]:[DETRACCION]],47,0),"")</f>
        <v/>
      </c>
      <c r="Z54" s="3"/>
      <c r="AA54" s="24" t="str">
        <f>IF(Banco_Nacion[[#This Row],[fecha]]&gt;0,TEXT(Banco_Nacion[[#This Row],[fecha]],"mmmm"),0)</f>
        <v>Enero</v>
      </c>
    </row>
    <row r="55" spans="1:27" x14ac:dyDescent="0.3">
      <c r="A55" s="2">
        <f>IF(Banco_Nacion[[#This Row],[tipo_registro]]="R",COUNTIFS($C$1:$C54,"R")+1,"")</f>
        <v>54</v>
      </c>
      <c r="B55" s="19" t="str">
        <f t="shared" si="0"/>
        <v>B-Banco de la Nacion</v>
      </c>
      <c r="C55" s="3" t="s">
        <v>1330</v>
      </c>
      <c r="D55" s="14">
        <v>45673</v>
      </c>
      <c r="E55" s="5">
        <v>20553255709</v>
      </c>
      <c r="F55" s="5" t="s">
        <v>1303</v>
      </c>
      <c r="G55" s="6" t="s">
        <v>425</v>
      </c>
      <c r="H55" s="6" t="s">
        <v>68</v>
      </c>
      <c r="I55" s="6" t="s">
        <v>1343</v>
      </c>
      <c r="J55" s="6">
        <v>408</v>
      </c>
      <c r="K55" s="7" t="s">
        <v>5232</v>
      </c>
      <c r="L55" s="8">
        <v>65175942</v>
      </c>
      <c r="M55" s="8" t="str">
        <f t="shared" si="1"/>
        <v>PEN</v>
      </c>
      <c r="N55" s="13"/>
      <c r="O55" s="13">
        <v>83</v>
      </c>
      <c r="P55" s="3">
        <f t="shared" si="2"/>
        <v>83</v>
      </c>
      <c r="Q55" s="3">
        <f t="shared" si="3"/>
        <v>0</v>
      </c>
      <c r="R55" s="3">
        <f t="shared" si="4"/>
        <v>68743.010000000009</v>
      </c>
      <c r="S55" s="24"/>
      <c r="T55" s="24" t="s">
        <v>1334</v>
      </c>
      <c r="U55" s="3"/>
      <c r="V55" s="19" t="str">
        <f>IFERROR(VLOOKUP(Banco_Nacion[[#This Row],[responsable]],Clientes_Proveedores[[Ruc / Dni]:[Razon Social]],2,0),"")</f>
        <v>KANAY S.A.C.</v>
      </c>
      <c r="W55" s="19" t="str">
        <f>IF(Banco_Nacion[[#This Row],[tipo_mov]]="INGRESO",Banco_Nacion[[#This Row],[serie]]&amp;Banco_Nacion[[#This Row],[numero]]&amp;Banco_Nacion[[#This Row],[responsable]]&amp;Banco_Nacion[[#This Row],[monto]],"")</f>
        <v>FE014082055325570983</v>
      </c>
      <c r="X55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65175942</v>
      </c>
      <c r="Y55" s="3" t="str">
        <f>IFERROR(VLOOKUP(Banco_Nacion[[#This Row],[serie]]&amp;Banco_Nacion[[#This Row],[numero]]&amp;Banco_Nacion[[#This Row],[responsable]],[2]!Provision_CXC[[ID CXP]:[DETRACCION]],47,0),"")</f>
        <v/>
      </c>
      <c r="Z55" s="3"/>
      <c r="AA55" s="24" t="str">
        <f>IF(Banco_Nacion[[#This Row],[fecha]]&gt;0,TEXT(Banco_Nacion[[#This Row],[fecha]],"mmmm"),0)</f>
        <v>Enero</v>
      </c>
    </row>
    <row r="56" spans="1:27" x14ac:dyDescent="0.3">
      <c r="A56" s="2">
        <f>IF(Banco_Nacion[[#This Row],[tipo_registro]]="R",COUNTIFS($C$1:$C55,"R")+1,"")</f>
        <v>55</v>
      </c>
      <c r="B56" s="19" t="str">
        <f t="shared" si="0"/>
        <v>B-Banco de la Nacion</v>
      </c>
      <c r="C56" s="3" t="s">
        <v>1330</v>
      </c>
      <c r="D56" s="14">
        <v>45677</v>
      </c>
      <c r="E56" s="5">
        <v>20100172543</v>
      </c>
      <c r="F56" s="5" t="s">
        <v>1303</v>
      </c>
      <c r="G56" s="6" t="s">
        <v>425</v>
      </c>
      <c r="H56" s="6" t="s">
        <v>68</v>
      </c>
      <c r="I56" s="6" t="s">
        <v>1343</v>
      </c>
      <c r="J56" s="6">
        <v>502</v>
      </c>
      <c r="K56" s="7" t="s">
        <v>5232</v>
      </c>
      <c r="L56" s="8">
        <v>65334495</v>
      </c>
      <c r="M56" s="8" t="str">
        <f t="shared" si="1"/>
        <v>PEN</v>
      </c>
      <c r="N56" s="13"/>
      <c r="O56" s="13">
        <v>136</v>
      </c>
      <c r="P56" s="3">
        <f t="shared" si="2"/>
        <v>136</v>
      </c>
      <c r="Q56" s="3">
        <f t="shared" si="3"/>
        <v>0</v>
      </c>
      <c r="R56" s="3">
        <f t="shared" si="4"/>
        <v>68879.010000000009</v>
      </c>
      <c r="S56" s="24"/>
      <c r="T56" s="24" t="s">
        <v>1334</v>
      </c>
      <c r="U56" s="3"/>
      <c r="V56" s="19" t="str">
        <f>IFERROR(VLOOKUP(Banco_Nacion[[#This Row],[responsable]],Clientes_Proveedores[[Ruc / Dni]:[Razon Social]],2,0),"")</f>
        <v>MOVITECNICA S A</v>
      </c>
      <c r="W56" s="19" t="str">
        <f>IF(Banco_Nacion[[#This Row],[tipo_mov]]="INGRESO",Banco_Nacion[[#This Row],[serie]]&amp;Banco_Nacion[[#This Row],[numero]]&amp;Banco_Nacion[[#This Row],[responsable]]&amp;Banco_Nacion[[#This Row],[monto]],"")</f>
        <v>FE0150220100172543136</v>
      </c>
      <c r="X56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65334495</v>
      </c>
      <c r="Y56" s="3" t="str">
        <f>IFERROR(VLOOKUP(Banco_Nacion[[#This Row],[serie]]&amp;Banco_Nacion[[#This Row],[numero]]&amp;Banco_Nacion[[#This Row],[responsable]],[2]!Provision_CXC[[ID CXP]:[DETRACCION]],47,0),"")</f>
        <v/>
      </c>
      <c r="Z56" s="3"/>
      <c r="AA56" s="24" t="str">
        <f>IF(Banco_Nacion[[#This Row],[fecha]]&gt;0,TEXT(Banco_Nacion[[#This Row],[fecha]],"mmmm"),0)</f>
        <v>Enero</v>
      </c>
    </row>
    <row r="57" spans="1:27" x14ac:dyDescent="0.3">
      <c r="A57" s="2">
        <f>IF(Banco_Nacion[[#This Row],[tipo_registro]]="R",COUNTIFS($C$1:$C56,"R")+1,"")</f>
        <v>56</v>
      </c>
      <c r="B57" s="19" t="str">
        <f t="shared" si="0"/>
        <v>B-Banco de la Nacion</v>
      </c>
      <c r="C57" s="3" t="s">
        <v>1330</v>
      </c>
      <c r="D57" s="14">
        <v>45678</v>
      </c>
      <c r="E57" s="5">
        <v>20370146994</v>
      </c>
      <c r="F57" s="5" t="s">
        <v>1303</v>
      </c>
      <c r="G57" s="6" t="s">
        <v>425</v>
      </c>
      <c r="H57" s="6" t="s">
        <v>68</v>
      </c>
      <c r="I57" s="6" t="s">
        <v>1353</v>
      </c>
      <c r="J57" s="6">
        <v>180</v>
      </c>
      <c r="K57" s="7" t="s">
        <v>5232</v>
      </c>
      <c r="L57" s="8">
        <v>65437646</v>
      </c>
      <c r="M57" s="8" t="str">
        <f t="shared" si="1"/>
        <v>PEN</v>
      </c>
      <c r="N57" s="13"/>
      <c r="O57" s="13">
        <v>685</v>
      </c>
      <c r="P57" s="3">
        <f t="shared" si="2"/>
        <v>685</v>
      </c>
      <c r="Q57" s="3">
        <f t="shared" si="3"/>
        <v>0</v>
      </c>
      <c r="R57" s="3">
        <f t="shared" si="4"/>
        <v>69564.010000000009</v>
      </c>
      <c r="S57" s="24"/>
      <c r="T57" s="24" t="s">
        <v>1334</v>
      </c>
      <c r="U57" s="3"/>
      <c r="V57" s="19" t="str">
        <f>IFERROR(VLOOKUP(Banco_Nacion[[#This Row],[responsable]],Clientes_Proveedores[[Ruc / Dni]:[Razon Social]],2,0),"")</f>
        <v>CORPORACION ACEROS AREQUIPA S.A</v>
      </c>
      <c r="W57" s="19" t="str">
        <f>IF(Banco_Nacion[[#This Row],[tipo_mov]]="INGRESO",Banco_Nacion[[#This Row],[serie]]&amp;Banco_Nacion[[#This Row],[numero]]&amp;Banco_Nacion[[#This Row],[responsable]]&amp;Banco_Nacion[[#This Row],[monto]],"")</f>
        <v>FE0218020370146994685</v>
      </c>
      <c r="X57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65437646</v>
      </c>
      <c r="Y57" s="3" t="str">
        <f>IFERROR(VLOOKUP(Banco_Nacion[[#This Row],[serie]]&amp;Banco_Nacion[[#This Row],[numero]]&amp;Banco_Nacion[[#This Row],[responsable]],[2]!Provision_CXC[[ID CXP]:[DETRACCION]],47,0),"")</f>
        <v/>
      </c>
      <c r="Z57" s="3"/>
      <c r="AA57" s="24" t="str">
        <f>IF(Banco_Nacion[[#This Row],[fecha]]&gt;0,TEXT(Banco_Nacion[[#This Row],[fecha]],"mmmm"),0)</f>
        <v>Enero</v>
      </c>
    </row>
    <row r="58" spans="1:27" x14ac:dyDescent="0.3">
      <c r="A58" s="2">
        <f>IF(Banco_Nacion[[#This Row],[tipo_registro]]="R",COUNTIFS($C$1:$C57,"R")+1,"")</f>
        <v>57</v>
      </c>
      <c r="B58" s="19" t="str">
        <f t="shared" si="0"/>
        <v>B-Banco de la Nacion</v>
      </c>
      <c r="C58" s="3" t="s">
        <v>1330</v>
      </c>
      <c r="D58" s="14">
        <v>45678</v>
      </c>
      <c r="E58" s="5">
        <v>20454377011</v>
      </c>
      <c r="F58" s="5" t="s">
        <v>1303</v>
      </c>
      <c r="G58" s="6" t="s">
        <v>425</v>
      </c>
      <c r="H58" s="6" t="s">
        <v>68</v>
      </c>
      <c r="I58" s="6" t="s">
        <v>1343</v>
      </c>
      <c r="J58" s="6">
        <v>172</v>
      </c>
      <c r="K58" s="7" t="s">
        <v>5232</v>
      </c>
      <c r="L58" s="8">
        <v>65395438</v>
      </c>
      <c r="M58" s="8" t="str">
        <f t="shared" si="1"/>
        <v>PEN</v>
      </c>
      <c r="N58" s="13"/>
      <c r="O58" s="13">
        <v>122</v>
      </c>
      <c r="P58" s="3">
        <f t="shared" si="2"/>
        <v>122</v>
      </c>
      <c r="Q58" s="3">
        <f t="shared" si="3"/>
        <v>0</v>
      </c>
      <c r="R58" s="3">
        <f t="shared" si="4"/>
        <v>69686.010000000009</v>
      </c>
      <c r="S58" s="24"/>
      <c r="T58" s="24" t="s">
        <v>1334</v>
      </c>
      <c r="U58" s="3"/>
      <c r="V58" s="19" t="str">
        <f>IFERROR(VLOOKUP(Banco_Nacion[[#This Row],[responsable]],Clientes_Proveedores[[Ruc / Dni]:[Razon Social]],2,0),"")</f>
        <v>ROHA CONSTRUCCION Y MINERIA S.A.C.</v>
      </c>
      <c r="W58" s="19" t="str">
        <f>IF(Banco_Nacion[[#This Row],[tipo_mov]]="INGRESO",Banco_Nacion[[#This Row],[serie]]&amp;Banco_Nacion[[#This Row],[numero]]&amp;Banco_Nacion[[#This Row],[responsable]]&amp;Banco_Nacion[[#This Row],[monto]],"")</f>
        <v>FE0117220454377011122</v>
      </c>
      <c r="X58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65395438</v>
      </c>
      <c r="Y58" s="3" t="str">
        <f>IFERROR(VLOOKUP(Banco_Nacion[[#This Row],[serie]]&amp;Banco_Nacion[[#This Row],[numero]]&amp;Banco_Nacion[[#This Row],[responsable]],[2]!Provision_CXC[[ID CXP]:[DETRACCION]],47,0),"")</f>
        <v/>
      </c>
      <c r="Z58" s="3"/>
      <c r="AA58" s="24" t="str">
        <f>IF(Banco_Nacion[[#This Row],[fecha]]&gt;0,TEXT(Banco_Nacion[[#This Row],[fecha]],"mmmm"),0)</f>
        <v>Enero</v>
      </c>
    </row>
    <row r="59" spans="1:27" x14ac:dyDescent="0.3">
      <c r="A59" s="2">
        <f>IF(Banco_Nacion[[#This Row],[tipo_registro]]="R",COUNTIFS($C$1:$C58,"R")+1,"")</f>
        <v>58</v>
      </c>
      <c r="B59" s="19" t="str">
        <f t="shared" si="0"/>
        <v>B-Banco de la Nacion</v>
      </c>
      <c r="C59" s="3" t="s">
        <v>1330</v>
      </c>
      <c r="D59" s="14">
        <v>45678</v>
      </c>
      <c r="E59" s="5">
        <v>20558698048</v>
      </c>
      <c r="F59" s="5" t="s">
        <v>1303</v>
      </c>
      <c r="G59" s="6" t="s">
        <v>425</v>
      </c>
      <c r="H59" s="6" t="s">
        <v>68</v>
      </c>
      <c r="I59" s="6" t="s">
        <v>1353</v>
      </c>
      <c r="J59" s="6">
        <v>168</v>
      </c>
      <c r="K59" s="7" t="s">
        <v>5233</v>
      </c>
      <c r="L59" s="8">
        <v>78788888</v>
      </c>
      <c r="M59" s="8" t="str">
        <f t="shared" si="1"/>
        <v>PEN</v>
      </c>
      <c r="N59" s="13"/>
      <c r="O59" s="13">
        <v>122</v>
      </c>
      <c r="P59" s="3">
        <f t="shared" si="2"/>
        <v>122</v>
      </c>
      <c r="Q59" s="3">
        <f t="shared" si="3"/>
        <v>0</v>
      </c>
      <c r="R59" s="3">
        <f t="shared" si="4"/>
        <v>69808.010000000009</v>
      </c>
      <c r="S59" s="24"/>
      <c r="T59" s="24" t="s">
        <v>1334</v>
      </c>
      <c r="U59" s="3"/>
      <c r="V59" s="19" t="str">
        <f>IFERROR(VLOOKUP(Banco_Nacion[[#This Row],[responsable]],Clientes_Proveedores[[Ruc / Dni]:[Razon Social]],2,0),"")</f>
        <v xml:space="preserve">J&amp;R FAST CARGO E.I.R.L. </v>
      </c>
      <c r="W59" s="19" t="str">
        <f>IF(Banco_Nacion[[#This Row],[tipo_mov]]="INGRESO",Banco_Nacion[[#This Row],[serie]]&amp;Banco_Nacion[[#This Row],[numero]]&amp;Banco_Nacion[[#This Row],[responsable]]&amp;Banco_Nacion[[#This Row],[monto]],"")</f>
        <v>FE0216820558698048122</v>
      </c>
      <c r="X59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78788888</v>
      </c>
      <c r="Y59" s="3" t="str">
        <f>IFERROR(VLOOKUP(Banco_Nacion[[#This Row],[serie]]&amp;Banco_Nacion[[#This Row],[numero]]&amp;Banco_Nacion[[#This Row],[responsable]],[2]!Provision_CXC[[ID CXP]:[DETRACCION]],47,0),"")</f>
        <v/>
      </c>
      <c r="Z59" s="3"/>
      <c r="AA59" s="24" t="str">
        <f>IF(Banco_Nacion[[#This Row],[fecha]]&gt;0,TEXT(Banco_Nacion[[#This Row],[fecha]],"mmmm"),0)</f>
        <v>Enero</v>
      </c>
    </row>
    <row r="60" spans="1:27" x14ac:dyDescent="0.3">
      <c r="A60" s="2">
        <f>IF(Banco_Nacion[[#This Row],[tipo_registro]]="R",COUNTIFS($C$1:$C59,"R")+1,"")</f>
        <v>59</v>
      </c>
      <c r="B60" s="19" t="str">
        <f t="shared" si="0"/>
        <v>B-Banco de la Nacion</v>
      </c>
      <c r="C60" s="3" t="s">
        <v>1330</v>
      </c>
      <c r="D60" s="14">
        <v>45679</v>
      </c>
      <c r="E60" s="5">
        <v>20505675836</v>
      </c>
      <c r="F60" s="5" t="s">
        <v>1303</v>
      </c>
      <c r="G60" s="6" t="s">
        <v>425</v>
      </c>
      <c r="H60" s="6" t="s">
        <v>68</v>
      </c>
      <c r="I60" s="6" t="s">
        <v>1343</v>
      </c>
      <c r="J60" s="6">
        <v>486</v>
      </c>
      <c r="K60" s="7" t="s">
        <v>5232</v>
      </c>
      <c r="L60" s="8">
        <v>65475360</v>
      </c>
      <c r="M60" s="8" t="str">
        <f t="shared" si="1"/>
        <v>PEN</v>
      </c>
      <c r="N60" s="13"/>
      <c r="O60" s="13">
        <v>112</v>
      </c>
      <c r="P60" s="3">
        <f t="shared" si="2"/>
        <v>112</v>
      </c>
      <c r="Q60" s="3">
        <f t="shared" si="3"/>
        <v>0</v>
      </c>
      <c r="R60" s="3">
        <f t="shared" si="4"/>
        <v>69920.010000000009</v>
      </c>
      <c r="S60" s="24"/>
      <c r="T60" s="24" t="s">
        <v>1334</v>
      </c>
      <c r="U60" s="3"/>
      <c r="V60" s="19" t="str">
        <f>IFERROR(VLOOKUP(Banco_Nacion[[#This Row],[responsable]],Clientes_Proveedores[[Ruc / Dni]:[Razon Social]],2,0),"")</f>
        <v>FLSMIDTH S.A.C.</v>
      </c>
      <c r="W60" s="19" t="str">
        <f>IF(Banco_Nacion[[#This Row],[tipo_mov]]="INGRESO",Banco_Nacion[[#This Row],[serie]]&amp;Banco_Nacion[[#This Row],[numero]]&amp;Banco_Nacion[[#This Row],[responsable]]&amp;Banco_Nacion[[#This Row],[monto]],"")</f>
        <v>FE0148620505675836112</v>
      </c>
      <c r="X60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65475360</v>
      </c>
      <c r="Y60" s="3" t="str">
        <f>IFERROR(VLOOKUP(Banco_Nacion[[#This Row],[serie]]&amp;Banco_Nacion[[#This Row],[numero]]&amp;Banco_Nacion[[#This Row],[responsable]],[2]!Provision_CXC[[ID CXP]:[DETRACCION]],47,0),"")</f>
        <v/>
      </c>
      <c r="Z60" s="3"/>
      <c r="AA60" s="24" t="str">
        <f>IF(Banco_Nacion[[#This Row],[fecha]]&gt;0,TEXT(Banco_Nacion[[#This Row],[fecha]],"mmmm"),0)</f>
        <v>Enero</v>
      </c>
    </row>
    <row r="61" spans="1:27" x14ac:dyDescent="0.3">
      <c r="A61" s="2">
        <f>IF(Banco_Nacion[[#This Row],[tipo_registro]]="R",COUNTIFS($C$1:$C60,"R")+1,"")</f>
        <v>60</v>
      </c>
      <c r="B61" s="19" t="str">
        <f t="shared" si="0"/>
        <v>B-Banco de la Nacion</v>
      </c>
      <c r="C61" s="3" t="s">
        <v>1330</v>
      </c>
      <c r="D61" s="14">
        <v>45679</v>
      </c>
      <c r="E61" s="5"/>
      <c r="F61" s="5" t="s">
        <v>1336</v>
      </c>
      <c r="G61" s="6"/>
      <c r="H61" s="6"/>
      <c r="I61" s="6" t="s">
        <v>5231</v>
      </c>
      <c r="J61" s="6"/>
      <c r="K61" s="7" t="s">
        <v>5234</v>
      </c>
      <c r="L61" s="8">
        <v>78787878</v>
      </c>
      <c r="M61" s="8" t="str">
        <f t="shared" si="1"/>
        <v>PEN</v>
      </c>
      <c r="N61" s="13"/>
      <c r="O61" s="13">
        <v>7603</v>
      </c>
      <c r="P61" s="3">
        <f t="shared" si="2"/>
        <v>0</v>
      </c>
      <c r="Q61" s="3">
        <f t="shared" si="3"/>
        <v>7603</v>
      </c>
      <c r="R61" s="3">
        <f t="shared" si="4"/>
        <v>62317.010000000009</v>
      </c>
      <c r="S61" s="24"/>
      <c r="T61" s="24"/>
      <c r="U61" s="3"/>
      <c r="V61" s="19" t="str">
        <f>IFERROR(VLOOKUP(Banco_Nacion[[#This Row],[responsable]],Clientes_Proveedores[[Ruc / Dni]:[Razon Social]],2,0),"")</f>
        <v/>
      </c>
      <c r="W61" s="19" t="str">
        <f>IF(Banco_Nacion[[#This Row],[tipo_mov]]="INGRESO",Banco_Nacion[[#This Row],[serie]]&amp;Banco_Nacion[[#This Row],[numero]]&amp;Banco_Nacion[[#This Row],[responsable]]&amp;Banco_Nacion[[#This Row],[monto]],"")</f>
        <v/>
      </c>
      <c r="X61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/>
      </c>
      <c r="Y61" s="3" t="str">
        <f>IFERROR(VLOOKUP(Banco_Nacion[[#This Row],[serie]]&amp;Banco_Nacion[[#This Row],[numero]]&amp;Banco_Nacion[[#This Row],[responsable]],[2]!Provision_CXC[[ID CXP]:[DETRACCION]],47,0),"")</f>
        <v/>
      </c>
      <c r="Z61" s="3"/>
      <c r="AA61" s="24" t="str">
        <f>IF(Banco_Nacion[[#This Row],[fecha]]&gt;0,TEXT(Banco_Nacion[[#This Row],[fecha]],"mmmm"),0)</f>
        <v>Enero</v>
      </c>
    </row>
    <row r="62" spans="1:27" x14ac:dyDescent="0.3">
      <c r="A62" s="2">
        <f>IF(Banco_Nacion[[#This Row],[tipo_registro]]="R",COUNTIFS($C$1:$C61,"R")+1,"")</f>
        <v>61</v>
      </c>
      <c r="B62" s="19" t="str">
        <f t="shared" si="0"/>
        <v>B-Banco de la Nacion</v>
      </c>
      <c r="C62" s="3" t="s">
        <v>1330</v>
      </c>
      <c r="D62" s="14">
        <v>45679</v>
      </c>
      <c r="E62" s="5"/>
      <c r="F62" s="5" t="s">
        <v>1336</v>
      </c>
      <c r="G62" s="6"/>
      <c r="H62" s="6"/>
      <c r="I62" s="6" t="s">
        <v>5231</v>
      </c>
      <c r="J62" s="6"/>
      <c r="K62" s="7" t="s">
        <v>5234</v>
      </c>
      <c r="L62" s="8">
        <v>78787878</v>
      </c>
      <c r="M62" s="8" t="str">
        <f t="shared" si="1"/>
        <v>PEN</v>
      </c>
      <c r="N62" s="13"/>
      <c r="O62" s="13">
        <v>1968</v>
      </c>
      <c r="P62" s="3">
        <f t="shared" si="2"/>
        <v>0</v>
      </c>
      <c r="Q62" s="3">
        <f t="shared" si="3"/>
        <v>1968</v>
      </c>
      <c r="R62" s="3">
        <f t="shared" si="4"/>
        <v>60349.010000000009</v>
      </c>
      <c r="S62" s="24"/>
      <c r="T62" s="24"/>
      <c r="U62" s="3"/>
      <c r="V62" s="19" t="str">
        <f>IFERROR(VLOOKUP(Banco_Nacion[[#This Row],[responsable]],Clientes_Proveedores[[Ruc / Dni]:[Razon Social]],2,0),"")</f>
        <v/>
      </c>
      <c r="W62" s="19" t="str">
        <f>IF(Banco_Nacion[[#This Row],[tipo_mov]]="INGRESO",Banco_Nacion[[#This Row],[serie]]&amp;Banco_Nacion[[#This Row],[numero]]&amp;Banco_Nacion[[#This Row],[responsable]]&amp;Banco_Nacion[[#This Row],[monto]],"")</f>
        <v/>
      </c>
      <c r="X62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/>
      </c>
      <c r="Y62" s="3" t="str">
        <f>IFERROR(VLOOKUP(Banco_Nacion[[#This Row],[serie]]&amp;Banco_Nacion[[#This Row],[numero]]&amp;Banco_Nacion[[#This Row],[responsable]],[2]!Provision_CXC[[ID CXP]:[DETRACCION]],47,0),"")</f>
        <v/>
      </c>
      <c r="Z62" s="3"/>
      <c r="AA62" s="24" t="str">
        <f>IF(Banco_Nacion[[#This Row],[fecha]]&gt;0,TEXT(Banco_Nacion[[#This Row],[fecha]],"mmmm"),0)</f>
        <v>Enero</v>
      </c>
    </row>
    <row r="63" spans="1:27" x14ac:dyDescent="0.3">
      <c r="A63" s="2">
        <f>IF(Banco_Nacion[[#This Row],[tipo_registro]]="R",COUNTIFS($C$1:$C62,"R")+1,"")</f>
        <v>62</v>
      </c>
      <c r="B63" s="19" t="str">
        <f t="shared" si="0"/>
        <v>B-Banco de la Nacion</v>
      </c>
      <c r="C63" s="3" t="s">
        <v>1330</v>
      </c>
      <c r="D63" s="14">
        <v>45679</v>
      </c>
      <c r="E63" s="5"/>
      <c r="F63" s="5" t="s">
        <v>1336</v>
      </c>
      <c r="G63" s="6"/>
      <c r="H63" s="6"/>
      <c r="I63" s="6" t="s">
        <v>5231</v>
      </c>
      <c r="J63" s="6"/>
      <c r="K63" s="7" t="s">
        <v>5234</v>
      </c>
      <c r="L63" s="8">
        <v>78787878</v>
      </c>
      <c r="M63" s="8" t="str">
        <f t="shared" si="1"/>
        <v>PEN</v>
      </c>
      <c r="N63" s="13"/>
      <c r="O63" s="13">
        <v>125</v>
      </c>
      <c r="P63" s="3">
        <f t="shared" si="2"/>
        <v>0</v>
      </c>
      <c r="Q63" s="3">
        <f t="shared" si="3"/>
        <v>125</v>
      </c>
      <c r="R63" s="3">
        <f t="shared" si="4"/>
        <v>60224.010000000009</v>
      </c>
      <c r="S63" s="24"/>
      <c r="T63" s="24"/>
      <c r="U63" s="3"/>
      <c r="V63" s="19" t="str">
        <f>IFERROR(VLOOKUP(Banco_Nacion[[#This Row],[responsable]],Clientes_Proveedores[[Ruc / Dni]:[Razon Social]],2,0),"")</f>
        <v/>
      </c>
      <c r="W63" s="19" t="str">
        <f>IF(Banco_Nacion[[#This Row],[tipo_mov]]="INGRESO",Banco_Nacion[[#This Row],[serie]]&amp;Banco_Nacion[[#This Row],[numero]]&amp;Banco_Nacion[[#This Row],[responsable]]&amp;Banco_Nacion[[#This Row],[monto]],"")</f>
        <v/>
      </c>
      <c r="X63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/>
      </c>
      <c r="Y63" s="3" t="str">
        <f>IFERROR(VLOOKUP(Banco_Nacion[[#This Row],[serie]]&amp;Banco_Nacion[[#This Row],[numero]]&amp;Banco_Nacion[[#This Row],[responsable]],[2]!Provision_CXC[[ID CXP]:[DETRACCION]],47,0),"")</f>
        <v/>
      </c>
      <c r="Z63" s="3"/>
      <c r="AA63" s="24" t="str">
        <f>IF(Banco_Nacion[[#This Row],[fecha]]&gt;0,TEXT(Banco_Nacion[[#This Row],[fecha]],"mmmm"),0)</f>
        <v>Enero</v>
      </c>
    </row>
    <row r="64" spans="1:27" x14ac:dyDescent="0.3">
      <c r="A64" s="2">
        <f>IF(Banco_Nacion[[#This Row],[tipo_registro]]="R",COUNTIFS($C$1:$C63,"R")+1,"")</f>
        <v>63</v>
      </c>
      <c r="B64" s="19" t="str">
        <f t="shared" si="0"/>
        <v>B-Banco de la Nacion</v>
      </c>
      <c r="C64" s="3" t="s">
        <v>1330</v>
      </c>
      <c r="D64" s="14">
        <v>45680</v>
      </c>
      <c r="E64" s="5">
        <v>20141637941</v>
      </c>
      <c r="F64" s="5" t="s">
        <v>1303</v>
      </c>
      <c r="G64" s="6" t="s">
        <v>425</v>
      </c>
      <c r="H64" s="6" t="s">
        <v>68</v>
      </c>
      <c r="I64" s="6" t="s">
        <v>1343</v>
      </c>
      <c r="J64" s="6">
        <v>501</v>
      </c>
      <c r="K64" s="7" t="s">
        <v>5232</v>
      </c>
      <c r="L64" s="8">
        <v>65524424</v>
      </c>
      <c r="M64" s="8" t="str">
        <f t="shared" si="1"/>
        <v>PEN</v>
      </c>
      <c r="N64" s="13"/>
      <c r="O64" s="13">
        <v>593</v>
      </c>
      <c r="P64" s="3">
        <f t="shared" si="2"/>
        <v>593</v>
      </c>
      <c r="Q64" s="3">
        <f t="shared" si="3"/>
        <v>0</v>
      </c>
      <c r="R64" s="3">
        <f t="shared" si="4"/>
        <v>60817.010000000009</v>
      </c>
      <c r="S64" s="24"/>
      <c r="T64" s="24" t="s">
        <v>1334</v>
      </c>
      <c r="U64" s="3"/>
      <c r="V64" s="19" t="str">
        <f>IFERROR(VLOOKUP(Banco_Nacion[[#This Row],[responsable]],Clientes_Proveedores[[Ruc / Dni]:[Razon Social]],2,0),"")</f>
        <v>UNIVERSIDAD CATOLICA DE SANTA MARIA</v>
      </c>
      <c r="W64" s="19" t="str">
        <f>IF(Banco_Nacion[[#This Row],[tipo_mov]]="INGRESO",Banco_Nacion[[#This Row],[serie]]&amp;Banco_Nacion[[#This Row],[numero]]&amp;Banco_Nacion[[#This Row],[responsable]]&amp;Banco_Nacion[[#This Row],[monto]],"")</f>
        <v>FE0150120141637941593</v>
      </c>
      <c r="X64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65524424</v>
      </c>
      <c r="Y64" s="3" t="str">
        <f>IFERROR(VLOOKUP(Banco_Nacion[[#This Row],[serie]]&amp;Banco_Nacion[[#This Row],[numero]]&amp;Banco_Nacion[[#This Row],[responsable]],[2]!Provision_CXC[[ID CXP]:[DETRACCION]],47,0),"")</f>
        <v/>
      </c>
      <c r="Z64" s="3"/>
      <c r="AA64" s="24" t="str">
        <f>IF(Banco_Nacion[[#This Row],[fecha]]&gt;0,TEXT(Banco_Nacion[[#This Row],[fecha]],"mmmm"),0)</f>
        <v>Enero</v>
      </c>
    </row>
    <row r="65" spans="1:27" x14ac:dyDescent="0.3">
      <c r="A65" s="2">
        <f>IF(Banco_Nacion[[#This Row],[tipo_registro]]="R",COUNTIFS($C$1:$C64,"R")+1,"")</f>
        <v>64</v>
      </c>
      <c r="B65" s="19" t="str">
        <f t="shared" si="0"/>
        <v>B-Banco de la Nacion</v>
      </c>
      <c r="C65" s="3" t="s">
        <v>1330</v>
      </c>
      <c r="D65" s="14">
        <v>45680</v>
      </c>
      <c r="E65" s="5"/>
      <c r="F65" s="5" t="s">
        <v>1336</v>
      </c>
      <c r="G65" s="6"/>
      <c r="H65" s="6"/>
      <c r="I65" s="6" t="s">
        <v>5231</v>
      </c>
      <c r="J65" s="6"/>
      <c r="K65" s="7" t="s">
        <v>5234</v>
      </c>
      <c r="L65" s="8">
        <v>78787878</v>
      </c>
      <c r="M65" s="8" t="str">
        <f t="shared" si="1"/>
        <v>PEN</v>
      </c>
      <c r="N65" s="13"/>
      <c r="O65" s="13">
        <v>4169</v>
      </c>
      <c r="P65" s="3">
        <f t="shared" si="2"/>
        <v>0</v>
      </c>
      <c r="Q65" s="3">
        <f t="shared" si="3"/>
        <v>4169</v>
      </c>
      <c r="R65" s="3">
        <f t="shared" si="4"/>
        <v>56648.010000000009</v>
      </c>
      <c r="S65" s="24"/>
      <c r="T65" s="24"/>
      <c r="U65" s="3"/>
      <c r="V65" s="19" t="str">
        <f>IFERROR(VLOOKUP(Banco_Nacion[[#This Row],[responsable]],Clientes_Proveedores[[Ruc / Dni]:[Razon Social]],2,0),"")</f>
        <v/>
      </c>
      <c r="W65" s="19" t="str">
        <f>IF(Banco_Nacion[[#This Row],[tipo_mov]]="INGRESO",Banco_Nacion[[#This Row],[serie]]&amp;Banco_Nacion[[#This Row],[numero]]&amp;Banco_Nacion[[#This Row],[responsable]]&amp;Banco_Nacion[[#This Row],[monto]],"")</f>
        <v/>
      </c>
      <c r="X65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/>
      </c>
      <c r="Y65" s="3" t="str">
        <f>IFERROR(VLOOKUP(Banco_Nacion[[#This Row],[serie]]&amp;Banco_Nacion[[#This Row],[numero]]&amp;Banco_Nacion[[#This Row],[responsable]],[2]!Provision_CXC[[ID CXP]:[DETRACCION]],47,0),"")</f>
        <v/>
      </c>
      <c r="Z65" s="3"/>
      <c r="AA65" s="24" t="str">
        <f>IF(Banco_Nacion[[#This Row],[fecha]]&gt;0,TEXT(Banco_Nacion[[#This Row],[fecha]],"mmmm"),0)</f>
        <v>Enero</v>
      </c>
    </row>
    <row r="66" spans="1:27" x14ac:dyDescent="0.3">
      <c r="A66" s="2">
        <f>IF(Banco_Nacion[[#This Row],[tipo_registro]]="R",COUNTIFS($C$1:$C65,"R")+1,"")</f>
        <v>65</v>
      </c>
      <c r="B66" s="19" t="str">
        <f t="shared" ref="B66:B129" si="5">"B-Banco de la Nacion"</f>
        <v>B-Banco de la Nacion</v>
      </c>
      <c r="C66" s="3" t="s">
        <v>1330</v>
      </c>
      <c r="D66" s="14">
        <v>45684</v>
      </c>
      <c r="E66" s="5">
        <v>20454186002</v>
      </c>
      <c r="F66" s="5" t="s">
        <v>1303</v>
      </c>
      <c r="G66" s="6" t="s">
        <v>425</v>
      </c>
      <c r="H66" s="6" t="s">
        <v>68</v>
      </c>
      <c r="I66" s="6" t="s">
        <v>1343</v>
      </c>
      <c r="J66" s="6">
        <v>523</v>
      </c>
      <c r="K66" s="7" t="s">
        <v>5232</v>
      </c>
      <c r="L66" s="8">
        <v>65724350</v>
      </c>
      <c r="M66" s="8" t="str">
        <f t="shared" ref="M66:M129" si="6">"PEN"</f>
        <v>PEN</v>
      </c>
      <c r="N66" s="13"/>
      <c r="O66" s="13">
        <v>327</v>
      </c>
      <c r="P66" s="3">
        <f t="shared" ref="P66:P129" si="7">+IF(OR($F66="SALDO",$F66="INGRESO"),$O66,0)</f>
        <v>327</v>
      </c>
      <c r="Q66" s="3">
        <f t="shared" ref="Q66:Q129" si="8">+IF($F66="EGRESO",$O66,0)</f>
        <v>0</v>
      </c>
      <c r="R66" s="3">
        <f t="shared" ref="R66:R129" si="9">IFERROR(IF(F66="SALDO",P66,R65+P66-Q66),0)</f>
        <v>56975.010000000009</v>
      </c>
      <c r="S66" s="24" t="s">
        <v>1334</v>
      </c>
      <c r="T66" s="24" t="s">
        <v>1334</v>
      </c>
      <c r="U66" s="3"/>
      <c r="V66" s="19" t="str">
        <f>IFERROR(VLOOKUP(Banco_Nacion[[#This Row],[responsable]],Clientes_Proveedores[[Ruc / Dni]:[Razon Social]],2,0),"")</f>
        <v>ALSUR PERU S.A.C.</v>
      </c>
      <c r="W66" s="19" t="str">
        <f>IF(Banco_Nacion[[#This Row],[tipo_mov]]="INGRESO",Banco_Nacion[[#This Row],[serie]]&amp;Banco_Nacion[[#This Row],[numero]]&amp;Banco_Nacion[[#This Row],[responsable]]&amp;Banco_Nacion[[#This Row],[monto]],"")</f>
        <v>FE0152320454186002327</v>
      </c>
      <c r="X66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65724350</v>
      </c>
      <c r="Y66" s="3" t="str">
        <f>IFERROR(VLOOKUP(Banco_Nacion[[#This Row],[serie]]&amp;Banco_Nacion[[#This Row],[numero]]&amp;Banco_Nacion[[#This Row],[responsable]],[2]!Provision_CXC[[ID CXP]:[DETRACCION]],47,0),"")</f>
        <v/>
      </c>
      <c r="Z66" s="3"/>
      <c r="AA66" s="24" t="str">
        <f>IF(Banco_Nacion[[#This Row],[fecha]]&gt;0,TEXT(Banco_Nacion[[#This Row],[fecha]],"mmmm"),0)</f>
        <v>Enero</v>
      </c>
    </row>
    <row r="67" spans="1:27" x14ac:dyDescent="0.3">
      <c r="A67" s="2">
        <f>IF(Banco_Nacion[[#This Row],[tipo_registro]]="R",COUNTIFS($C$1:$C66,"R")+1,"")</f>
        <v>66</v>
      </c>
      <c r="B67" s="19" t="str">
        <f t="shared" si="5"/>
        <v>B-Banco de la Nacion</v>
      </c>
      <c r="C67" s="3" t="s">
        <v>1330</v>
      </c>
      <c r="D67" s="14">
        <v>45684</v>
      </c>
      <c r="E67" s="5">
        <v>20454186002</v>
      </c>
      <c r="F67" s="5" t="s">
        <v>1303</v>
      </c>
      <c r="G67" s="6" t="s">
        <v>425</v>
      </c>
      <c r="H67" s="6" t="s">
        <v>68</v>
      </c>
      <c r="I67" s="6" t="s">
        <v>1343</v>
      </c>
      <c r="J67" s="6">
        <v>522</v>
      </c>
      <c r="K67" s="7" t="s">
        <v>5232</v>
      </c>
      <c r="L67" s="8">
        <v>65724349</v>
      </c>
      <c r="M67" s="8" t="str">
        <f t="shared" si="6"/>
        <v>PEN</v>
      </c>
      <c r="N67" s="13"/>
      <c r="O67" s="13">
        <v>193</v>
      </c>
      <c r="P67" s="3">
        <f t="shared" si="7"/>
        <v>193</v>
      </c>
      <c r="Q67" s="3">
        <f t="shared" si="8"/>
        <v>0</v>
      </c>
      <c r="R67" s="3">
        <f t="shared" si="9"/>
        <v>57168.010000000009</v>
      </c>
      <c r="S67" s="24"/>
      <c r="T67" s="24" t="s">
        <v>1334</v>
      </c>
      <c r="U67" s="3"/>
      <c r="V67" s="19" t="str">
        <f>IFERROR(VLOOKUP(Banco_Nacion[[#This Row],[responsable]],Clientes_Proveedores[[Ruc / Dni]:[Razon Social]],2,0),"")</f>
        <v>ALSUR PERU S.A.C.</v>
      </c>
      <c r="W67" s="19" t="str">
        <f>IF(Banco_Nacion[[#This Row],[tipo_mov]]="INGRESO",Banco_Nacion[[#This Row],[serie]]&amp;Banco_Nacion[[#This Row],[numero]]&amp;Banco_Nacion[[#This Row],[responsable]]&amp;Banco_Nacion[[#This Row],[monto]],"")</f>
        <v>FE0152220454186002193</v>
      </c>
      <c r="X67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65724349</v>
      </c>
      <c r="Y67" s="3" t="str">
        <f>IFERROR(VLOOKUP(Banco_Nacion[[#This Row],[serie]]&amp;Banco_Nacion[[#This Row],[numero]]&amp;Banco_Nacion[[#This Row],[responsable]],[2]!Provision_CXC[[ID CXP]:[DETRACCION]],47,0),"")</f>
        <v/>
      </c>
      <c r="Z67" s="3"/>
      <c r="AA67" s="24" t="str">
        <f>IF(Banco_Nacion[[#This Row],[fecha]]&gt;0,TEXT(Banco_Nacion[[#This Row],[fecha]],"mmmm"),0)</f>
        <v>Enero</v>
      </c>
    </row>
    <row r="68" spans="1:27" x14ac:dyDescent="0.3">
      <c r="A68" s="2">
        <f>IF(Banco_Nacion[[#This Row],[tipo_registro]]="R",COUNTIFS($C$1:$C67,"R")+1,"")</f>
        <v>67</v>
      </c>
      <c r="B68" s="19" t="str">
        <f t="shared" si="5"/>
        <v>B-Banco de la Nacion</v>
      </c>
      <c r="C68" s="3" t="s">
        <v>1330</v>
      </c>
      <c r="D68" s="14">
        <v>45684</v>
      </c>
      <c r="E68" s="5">
        <v>20514133931</v>
      </c>
      <c r="F68" s="5" t="s">
        <v>1303</v>
      </c>
      <c r="G68" s="6" t="s">
        <v>425</v>
      </c>
      <c r="H68" s="6" t="s">
        <v>68</v>
      </c>
      <c r="I68" s="6" t="s">
        <v>1347</v>
      </c>
      <c r="J68" s="6">
        <v>119</v>
      </c>
      <c r="K68" s="7" t="s">
        <v>5232</v>
      </c>
      <c r="L68" s="8">
        <v>65722346</v>
      </c>
      <c r="M68" s="8" t="str">
        <f t="shared" si="6"/>
        <v>PEN</v>
      </c>
      <c r="N68" s="13"/>
      <c r="O68" s="13">
        <v>34</v>
      </c>
      <c r="P68" s="3">
        <f t="shared" si="7"/>
        <v>34</v>
      </c>
      <c r="Q68" s="3">
        <f t="shared" si="8"/>
        <v>0</v>
      </c>
      <c r="R68" s="3">
        <f t="shared" si="9"/>
        <v>57202.010000000009</v>
      </c>
      <c r="S68" s="24"/>
      <c r="T68" s="24" t="s">
        <v>1334</v>
      </c>
      <c r="U68" s="3"/>
      <c r="V68" s="19" t="str">
        <f>IFERROR(VLOOKUP(Banco_Nacion[[#This Row],[responsable]],Clientes_Proveedores[[Ruc / Dni]:[Razon Social]],2,0),"")</f>
        <v>CORPORACION MEDIOAMBIENTAL AMPCO PERU SOCIEDAD ANONIMA CERRADA
- CM AMPCO PERU S.A.C</v>
      </c>
      <c r="W68" s="19" t="str">
        <f>IF(Banco_Nacion[[#This Row],[tipo_mov]]="INGRESO",Banco_Nacion[[#This Row],[serie]]&amp;Banco_Nacion[[#This Row],[numero]]&amp;Banco_Nacion[[#This Row],[responsable]]&amp;Banco_Nacion[[#This Row],[monto]],"")</f>
        <v>FE051192051413393134</v>
      </c>
      <c r="X68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65722346</v>
      </c>
      <c r="Y68" s="3" t="str">
        <f>IFERROR(VLOOKUP(Banco_Nacion[[#This Row],[serie]]&amp;Banco_Nacion[[#This Row],[numero]]&amp;Banco_Nacion[[#This Row],[responsable]],[2]!Provision_CXC[[ID CXP]:[DETRACCION]],47,0),"")</f>
        <v/>
      </c>
      <c r="Z68" s="3"/>
      <c r="AA68" s="24" t="str">
        <f>IF(Banco_Nacion[[#This Row],[fecha]]&gt;0,TEXT(Banco_Nacion[[#This Row],[fecha]],"mmmm"),0)</f>
        <v>Enero</v>
      </c>
    </row>
    <row r="69" spans="1:27" x14ac:dyDescent="0.3">
      <c r="A69" s="2">
        <f>IF(Banco_Nacion[[#This Row],[tipo_registro]]="R",COUNTIFS($C$1:$C68,"R")+1,"")</f>
        <v>68</v>
      </c>
      <c r="B69" s="19" t="str">
        <f t="shared" si="5"/>
        <v>B-Banco de la Nacion</v>
      </c>
      <c r="C69" s="3" t="s">
        <v>1330</v>
      </c>
      <c r="D69" s="14">
        <v>45685</v>
      </c>
      <c r="E69" s="5">
        <v>20607388416</v>
      </c>
      <c r="F69" s="5" t="s">
        <v>1303</v>
      </c>
      <c r="G69" s="6" t="s">
        <v>425</v>
      </c>
      <c r="H69" s="6" t="s">
        <v>68</v>
      </c>
      <c r="I69" s="6" t="s">
        <v>1347</v>
      </c>
      <c r="J69" s="6">
        <v>123</v>
      </c>
      <c r="K69" s="7" t="s">
        <v>5232</v>
      </c>
      <c r="L69" s="8">
        <v>65774642</v>
      </c>
      <c r="M69" s="8" t="str">
        <f t="shared" si="6"/>
        <v>PEN</v>
      </c>
      <c r="N69" s="13"/>
      <c r="O69" s="13">
        <v>233</v>
      </c>
      <c r="P69" s="3">
        <f t="shared" si="7"/>
        <v>233</v>
      </c>
      <c r="Q69" s="3">
        <f t="shared" si="8"/>
        <v>0</v>
      </c>
      <c r="R69" s="3">
        <f t="shared" si="9"/>
        <v>57435.010000000009</v>
      </c>
      <c r="S69" s="24"/>
      <c r="T69" s="24" t="s">
        <v>1334</v>
      </c>
      <c r="U69" s="3"/>
      <c r="V69" s="19" t="str">
        <f>IFERROR(VLOOKUP(Banco_Nacion[[#This Row],[responsable]],Clientes_Proveedores[[Ruc / Dni]:[Razon Social]],2,0),"")</f>
        <v>ALEACIONES FERROSAS Y METALICAS S.A.C.</v>
      </c>
      <c r="W69" s="19" t="str">
        <f>IF(Banco_Nacion[[#This Row],[tipo_mov]]="INGRESO",Banco_Nacion[[#This Row],[serie]]&amp;Banco_Nacion[[#This Row],[numero]]&amp;Banco_Nacion[[#This Row],[responsable]]&amp;Banco_Nacion[[#This Row],[monto]],"")</f>
        <v>FE0512320607388416233</v>
      </c>
      <c r="X69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65774642</v>
      </c>
      <c r="Y69" s="3" t="str">
        <f>IFERROR(VLOOKUP(Banco_Nacion[[#This Row],[serie]]&amp;Banco_Nacion[[#This Row],[numero]]&amp;Banco_Nacion[[#This Row],[responsable]],[2]!Provision_CXC[[ID CXP]:[DETRACCION]],47,0),"")</f>
        <v/>
      </c>
      <c r="Z69" s="3"/>
      <c r="AA69" s="24" t="str">
        <f>IF(Banco_Nacion[[#This Row],[fecha]]&gt;0,TEXT(Banco_Nacion[[#This Row],[fecha]],"mmmm"),0)</f>
        <v>Enero</v>
      </c>
    </row>
    <row r="70" spans="1:27" x14ac:dyDescent="0.3">
      <c r="A70" s="2">
        <f>IF(Banco_Nacion[[#This Row],[tipo_registro]]="R",COUNTIFS($C$1:$C69,"R")+1,"")</f>
        <v>69</v>
      </c>
      <c r="B70" s="19" t="str">
        <f t="shared" si="5"/>
        <v>B-Banco de la Nacion</v>
      </c>
      <c r="C70" s="3" t="s">
        <v>1330</v>
      </c>
      <c r="D70" s="14">
        <v>45685</v>
      </c>
      <c r="E70" s="5">
        <v>20607388416</v>
      </c>
      <c r="F70" s="5" t="s">
        <v>1303</v>
      </c>
      <c r="G70" s="6" t="s">
        <v>425</v>
      </c>
      <c r="H70" s="6" t="s">
        <v>68</v>
      </c>
      <c r="I70" s="6" t="s">
        <v>1347</v>
      </c>
      <c r="J70" s="6">
        <v>122</v>
      </c>
      <c r="K70" s="7" t="s">
        <v>5232</v>
      </c>
      <c r="L70" s="8">
        <v>65774580</v>
      </c>
      <c r="M70" s="8" t="str">
        <f t="shared" si="6"/>
        <v>PEN</v>
      </c>
      <c r="N70" s="13"/>
      <c r="O70" s="13">
        <v>479</v>
      </c>
      <c r="P70" s="3">
        <f t="shared" si="7"/>
        <v>479</v>
      </c>
      <c r="Q70" s="3">
        <f t="shared" si="8"/>
        <v>0</v>
      </c>
      <c r="R70" s="3">
        <f t="shared" si="9"/>
        <v>57914.010000000009</v>
      </c>
      <c r="S70" s="24"/>
      <c r="T70" s="24" t="s">
        <v>1334</v>
      </c>
      <c r="U70" s="3"/>
      <c r="V70" s="19" t="str">
        <f>IFERROR(VLOOKUP(Banco_Nacion[[#This Row],[responsable]],Clientes_Proveedores[[Ruc / Dni]:[Razon Social]],2,0),"")</f>
        <v>ALEACIONES FERROSAS Y METALICAS S.A.C.</v>
      </c>
      <c r="W70" s="19" t="str">
        <f>IF(Banco_Nacion[[#This Row],[tipo_mov]]="INGRESO",Banco_Nacion[[#This Row],[serie]]&amp;Banco_Nacion[[#This Row],[numero]]&amp;Banco_Nacion[[#This Row],[responsable]]&amp;Banco_Nacion[[#This Row],[monto]],"")</f>
        <v>FE0512220607388416479</v>
      </c>
      <c r="X70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65774580</v>
      </c>
      <c r="Y70" s="3" t="str">
        <f>IFERROR(VLOOKUP(Banco_Nacion[[#This Row],[serie]]&amp;Banco_Nacion[[#This Row],[numero]]&amp;Banco_Nacion[[#This Row],[responsable]],[2]!Provision_CXC[[ID CXP]:[DETRACCION]],47,0),"")</f>
        <v/>
      </c>
      <c r="Z70" s="3"/>
      <c r="AA70" s="24" t="str">
        <f>IF(Banco_Nacion[[#This Row],[fecha]]&gt;0,TEXT(Banco_Nacion[[#This Row],[fecha]],"mmmm"),0)</f>
        <v>Enero</v>
      </c>
    </row>
    <row r="71" spans="1:27" x14ac:dyDescent="0.3">
      <c r="A71" s="2">
        <f>IF(Banco_Nacion[[#This Row],[tipo_registro]]="R",COUNTIFS($C$1:$C70,"R")+1,"")</f>
        <v>70</v>
      </c>
      <c r="B71" s="19" t="str">
        <f t="shared" si="5"/>
        <v>B-Banco de la Nacion</v>
      </c>
      <c r="C71" s="3" t="s">
        <v>1330</v>
      </c>
      <c r="D71" s="14">
        <v>45685</v>
      </c>
      <c r="E71" s="5">
        <v>20607388416</v>
      </c>
      <c r="F71" s="5" t="s">
        <v>1303</v>
      </c>
      <c r="G71" s="6" t="s">
        <v>425</v>
      </c>
      <c r="H71" s="6" t="s">
        <v>68</v>
      </c>
      <c r="I71" s="6" t="s">
        <v>1347</v>
      </c>
      <c r="J71" s="6">
        <v>121</v>
      </c>
      <c r="K71" s="7" t="s">
        <v>5232</v>
      </c>
      <c r="L71" s="8">
        <v>65774210</v>
      </c>
      <c r="M71" s="8" t="str">
        <f t="shared" si="6"/>
        <v>PEN</v>
      </c>
      <c r="N71" s="13"/>
      <c r="O71" s="13">
        <v>358</v>
      </c>
      <c r="P71" s="3">
        <f t="shared" si="7"/>
        <v>358</v>
      </c>
      <c r="Q71" s="3">
        <f t="shared" si="8"/>
        <v>0</v>
      </c>
      <c r="R71" s="3">
        <f t="shared" si="9"/>
        <v>58272.010000000009</v>
      </c>
      <c r="S71" s="24"/>
      <c r="T71" s="24" t="s">
        <v>1334</v>
      </c>
      <c r="U71" s="3"/>
      <c r="V71" s="19" t="str">
        <f>IFERROR(VLOOKUP(Banco_Nacion[[#This Row],[responsable]],Clientes_Proveedores[[Ruc / Dni]:[Razon Social]],2,0),"")</f>
        <v>ALEACIONES FERROSAS Y METALICAS S.A.C.</v>
      </c>
      <c r="W71" s="19" t="str">
        <f>IF(Banco_Nacion[[#This Row],[tipo_mov]]="INGRESO",Banco_Nacion[[#This Row],[serie]]&amp;Banco_Nacion[[#This Row],[numero]]&amp;Banco_Nacion[[#This Row],[responsable]]&amp;Banco_Nacion[[#This Row],[monto]],"")</f>
        <v>FE0512120607388416358</v>
      </c>
      <c r="X71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65774210</v>
      </c>
      <c r="Y71" s="3" t="str">
        <f>IFERROR(VLOOKUP(Banco_Nacion[[#This Row],[serie]]&amp;Banco_Nacion[[#This Row],[numero]]&amp;Banco_Nacion[[#This Row],[responsable]],[2]!Provision_CXC[[ID CXP]:[DETRACCION]],47,0),"")</f>
        <v/>
      </c>
      <c r="Z71" s="3"/>
      <c r="AA71" s="24" t="str">
        <f>IF(Banco_Nacion[[#This Row],[fecha]]&gt;0,TEXT(Banco_Nacion[[#This Row],[fecha]],"mmmm"),0)</f>
        <v>Enero</v>
      </c>
    </row>
    <row r="72" spans="1:27" x14ac:dyDescent="0.3">
      <c r="A72" s="2">
        <f>IF(Banco_Nacion[[#This Row],[tipo_registro]]="R",COUNTIFS($C$1:$C71,"R")+1,"")</f>
        <v>71</v>
      </c>
      <c r="B72" s="19" t="str">
        <f t="shared" si="5"/>
        <v>B-Banco de la Nacion</v>
      </c>
      <c r="C72" s="3" t="s">
        <v>1330</v>
      </c>
      <c r="D72" s="14">
        <v>45685</v>
      </c>
      <c r="E72" s="5">
        <v>20607388416</v>
      </c>
      <c r="F72" s="5" t="s">
        <v>1303</v>
      </c>
      <c r="G72" s="6" t="s">
        <v>425</v>
      </c>
      <c r="H72" s="6" t="s">
        <v>68</v>
      </c>
      <c r="I72" s="6" t="s">
        <v>1347</v>
      </c>
      <c r="J72" s="6">
        <v>120</v>
      </c>
      <c r="K72" s="7" t="s">
        <v>5232</v>
      </c>
      <c r="L72" s="8">
        <v>65773628</v>
      </c>
      <c r="M72" s="8" t="str">
        <f t="shared" si="6"/>
        <v>PEN</v>
      </c>
      <c r="N72" s="13"/>
      <c r="O72" s="13">
        <v>582</v>
      </c>
      <c r="P72" s="3">
        <f t="shared" si="7"/>
        <v>582</v>
      </c>
      <c r="Q72" s="3">
        <f t="shared" si="8"/>
        <v>0</v>
      </c>
      <c r="R72" s="3">
        <f t="shared" si="9"/>
        <v>58854.010000000009</v>
      </c>
      <c r="S72" s="24"/>
      <c r="T72" s="24" t="s">
        <v>1334</v>
      </c>
      <c r="U72" s="3"/>
      <c r="V72" s="19" t="str">
        <f>IFERROR(VLOOKUP(Banco_Nacion[[#This Row],[responsable]],Clientes_Proveedores[[Ruc / Dni]:[Razon Social]],2,0),"")</f>
        <v>ALEACIONES FERROSAS Y METALICAS S.A.C.</v>
      </c>
      <c r="W72" s="19" t="str">
        <f>IF(Banco_Nacion[[#This Row],[tipo_mov]]="INGRESO",Banco_Nacion[[#This Row],[serie]]&amp;Banco_Nacion[[#This Row],[numero]]&amp;Banco_Nacion[[#This Row],[responsable]]&amp;Banco_Nacion[[#This Row],[monto]],"")</f>
        <v>FE0512020607388416582</v>
      </c>
      <c r="X72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65773628</v>
      </c>
      <c r="Y72" s="3" t="str">
        <f>IFERROR(VLOOKUP(Banco_Nacion[[#This Row],[serie]]&amp;Banco_Nacion[[#This Row],[numero]]&amp;Banco_Nacion[[#This Row],[responsable]],[2]!Provision_CXC[[ID CXP]:[DETRACCION]],47,0),"")</f>
        <v/>
      </c>
      <c r="Z72" s="3"/>
      <c r="AA72" s="24" t="str">
        <f>IF(Banco_Nacion[[#This Row],[fecha]]&gt;0,TEXT(Banco_Nacion[[#This Row],[fecha]],"mmmm"),0)</f>
        <v>Enero</v>
      </c>
    </row>
    <row r="73" spans="1:27" x14ac:dyDescent="0.3">
      <c r="A73" s="2">
        <f>IF(Banco_Nacion[[#This Row],[tipo_registro]]="R",COUNTIFS($C$1:$C72,"R")+1,"")</f>
        <v>72</v>
      </c>
      <c r="B73" s="19" t="str">
        <f t="shared" si="5"/>
        <v>B-Banco de la Nacion</v>
      </c>
      <c r="C73" s="3" t="s">
        <v>1330</v>
      </c>
      <c r="D73" s="14">
        <v>45685</v>
      </c>
      <c r="E73" s="5">
        <v>20607388416</v>
      </c>
      <c r="F73" s="5" t="s">
        <v>1303</v>
      </c>
      <c r="G73" s="6" t="s">
        <v>425</v>
      </c>
      <c r="H73" s="6" t="s">
        <v>68</v>
      </c>
      <c r="I73" s="6" t="s">
        <v>1347</v>
      </c>
      <c r="J73" s="6">
        <v>118</v>
      </c>
      <c r="K73" s="7" t="s">
        <v>5232</v>
      </c>
      <c r="L73" s="8">
        <v>65773577</v>
      </c>
      <c r="M73" s="8" t="str">
        <f t="shared" si="6"/>
        <v>PEN</v>
      </c>
      <c r="N73" s="13"/>
      <c r="O73" s="13">
        <v>208</v>
      </c>
      <c r="P73" s="3">
        <f t="shared" si="7"/>
        <v>208</v>
      </c>
      <c r="Q73" s="3">
        <f t="shared" si="8"/>
        <v>0</v>
      </c>
      <c r="R73" s="3">
        <f t="shared" si="9"/>
        <v>59062.010000000009</v>
      </c>
      <c r="S73" s="24"/>
      <c r="T73" s="24" t="s">
        <v>1334</v>
      </c>
      <c r="U73" s="3"/>
      <c r="V73" s="19" t="str">
        <f>IFERROR(VLOOKUP(Banco_Nacion[[#This Row],[responsable]],Clientes_Proveedores[[Ruc / Dni]:[Razon Social]],2,0),"")</f>
        <v>ALEACIONES FERROSAS Y METALICAS S.A.C.</v>
      </c>
      <c r="W73" s="19" t="str">
        <f>IF(Banco_Nacion[[#This Row],[tipo_mov]]="INGRESO",Banco_Nacion[[#This Row],[serie]]&amp;Banco_Nacion[[#This Row],[numero]]&amp;Banco_Nacion[[#This Row],[responsable]]&amp;Banco_Nacion[[#This Row],[monto]],"")</f>
        <v>FE0511820607388416208</v>
      </c>
      <c r="X73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65773577</v>
      </c>
      <c r="Y73" s="3" t="str">
        <f>IFERROR(VLOOKUP(Banco_Nacion[[#This Row],[serie]]&amp;Banco_Nacion[[#This Row],[numero]]&amp;Banco_Nacion[[#This Row],[responsable]],[2]!Provision_CXC[[ID CXP]:[DETRACCION]],47,0),"")</f>
        <v/>
      </c>
      <c r="Z73" s="3"/>
      <c r="AA73" s="24" t="str">
        <f>IF(Banco_Nacion[[#This Row],[fecha]]&gt;0,TEXT(Banco_Nacion[[#This Row],[fecha]],"mmmm"),0)</f>
        <v>Enero</v>
      </c>
    </row>
    <row r="74" spans="1:27" x14ac:dyDescent="0.3">
      <c r="A74" s="2">
        <f>IF(Banco_Nacion[[#This Row],[tipo_registro]]="R",COUNTIFS($C$1:$C73,"R")+1,"")</f>
        <v>73</v>
      </c>
      <c r="B74" s="19" t="str">
        <f t="shared" si="5"/>
        <v>B-Banco de la Nacion</v>
      </c>
      <c r="C74" s="3" t="s">
        <v>1330</v>
      </c>
      <c r="D74" s="14">
        <v>45685</v>
      </c>
      <c r="E74" s="5">
        <v>20100247730</v>
      </c>
      <c r="F74" s="5" t="s">
        <v>1303</v>
      </c>
      <c r="G74" s="6" t="s">
        <v>425</v>
      </c>
      <c r="H74" s="6" t="s">
        <v>68</v>
      </c>
      <c r="I74" s="6" t="s">
        <v>1343</v>
      </c>
      <c r="J74" s="6">
        <v>524</v>
      </c>
      <c r="K74" s="7" t="s">
        <v>5232</v>
      </c>
      <c r="L74" s="8">
        <v>65767696</v>
      </c>
      <c r="M74" s="8" t="str">
        <f t="shared" si="6"/>
        <v>PEN</v>
      </c>
      <c r="N74" s="13"/>
      <c r="O74" s="13">
        <v>140</v>
      </c>
      <c r="P74" s="3">
        <f t="shared" si="7"/>
        <v>140</v>
      </c>
      <c r="Q74" s="3">
        <f t="shared" si="8"/>
        <v>0</v>
      </c>
      <c r="R74" s="3">
        <f t="shared" si="9"/>
        <v>59202.010000000009</v>
      </c>
      <c r="S74" s="24"/>
      <c r="T74" s="24" t="s">
        <v>1334</v>
      </c>
      <c r="U74" s="3"/>
      <c r="V74" s="19" t="str">
        <f>IFERROR(VLOOKUP(Banco_Nacion[[#This Row],[responsable]],Clientes_Proveedores[[Ruc / Dni]:[Razon Social]],2,0),"")</f>
        <v>ALFRED H KNIGHT DEL PERU SOCIEDAD ANONIMA CERRADA-ALFRED H KNIGHT
DEL PERU S.A.C.</v>
      </c>
      <c r="W74" s="19" t="str">
        <f>IF(Banco_Nacion[[#This Row],[tipo_mov]]="INGRESO",Banco_Nacion[[#This Row],[serie]]&amp;Banco_Nacion[[#This Row],[numero]]&amp;Banco_Nacion[[#This Row],[responsable]]&amp;Banco_Nacion[[#This Row],[monto]],"")</f>
        <v>FE0152420100247730140</v>
      </c>
      <c r="X74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65767696</v>
      </c>
      <c r="Y74" s="3" t="str">
        <f>IFERROR(VLOOKUP(Banco_Nacion[[#This Row],[serie]]&amp;Banco_Nacion[[#This Row],[numero]]&amp;Banco_Nacion[[#This Row],[responsable]],[2]!Provision_CXC[[ID CXP]:[DETRACCION]],47,0),"")</f>
        <v/>
      </c>
      <c r="Z74" s="3"/>
      <c r="AA74" s="24" t="str">
        <f>IF(Banco_Nacion[[#This Row],[fecha]]&gt;0,TEXT(Banco_Nacion[[#This Row],[fecha]],"mmmm"),0)</f>
        <v>Enero</v>
      </c>
    </row>
    <row r="75" spans="1:27" x14ac:dyDescent="0.3">
      <c r="A75" s="2">
        <f>IF(Banco_Nacion[[#This Row],[tipo_registro]]="R",COUNTIFS($C$1:$C74,"R")+1,"")</f>
        <v>74</v>
      </c>
      <c r="B75" s="19" t="str">
        <f t="shared" si="5"/>
        <v>B-Banco de la Nacion</v>
      </c>
      <c r="C75" s="3" t="s">
        <v>1330</v>
      </c>
      <c r="D75" s="14">
        <v>45685</v>
      </c>
      <c r="E75" s="5">
        <v>20406350178</v>
      </c>
      <c r="F75" s="5" t="s">
        <v>1303</v>
      </c>
      <c r="G75" s="6" t="s">
        <v>425</v>
      </c>
      <c r="H75" s="6" t="s">
        <v>68</v>
      </c>
      <c r="I75" s="6" t="s">
        <v>5235</v>
      </c>
      <c r="J75" s="6">
        <v>340</v>
      </c>
      <c r="K75" s="7" t="s">
        <v>5232</v>
      </c>
      <c r="L75" s="8">
        <v>65754725</v>
      </c>
      <c r="M75" s="8" t="str">
        <f t="shared" si="6"/>
        <v>PEN</v>
      </c>
      <c r="N75" s="13"/>
      <c r="O75" s="13">
        <v>266</v>
      </c>
      <c r="P75" s="3">
        <f t="shared" si="7"/>
        <v>266</v>
      </c>
      <c r="Q75" s="3">
        <f t="shared" si="8"/>
        <v>0</v>
      </c>
      <c r="R75" s="3">
        <f t="shared" si="9"/>
        <v>59468.010000000009</v>
      </c>
      <c r="S75" s="24"/>
      <c r="T75" s="24"/>
      <c r="U75" s="3"/>
      <c r="V75" s="19" t="str">
        <f>IFERROR(VLOOKUP(Banco_Nacion[[#This Row],[responsable]],Clientes_Proveedores[[Ruc / Dni]:[Razon Social]],2,0),"")</f>
        <v>COOPERATIVA MINERA HALCON DE ORO DE ANANEA LIMITADA</v>
      </c>
      <c r="W75" s="19" t="str">
        <f>IF(Banco_Nacion[[#This Row],[tipo_mov]]="INGRESO",Banco_Nacion[[#This Row],[serie]]&amp;Banco_Nacion[[#This Row],[numero]]&amp;Banco_Nacion[[#This Row],[responsable]]&amp;Banco_Nacion[[#This Row],[monto]],"")</f>
        <v>FGD134020406350178266</v>
      </c>
      <c r="X75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65754725</v>
      </c>
      <c r="Y75" s="3" t="str">
        <f>IFERROR(VLOOKUP(Banco_Nacion[[#This Row],[serie]]&amp;Banco_Nacion[[#This Row],[numero]]&amp;Banco_Nacion[[#This Row],[responsable]],[2]!Provision_CXC[[ID CXP]:[DETRACCION]],47,0),"")</f>
        <v/>
      </c>
      <c r="Z75" s="3"/>
      <c r="AA75" s="24" t="str">
        <f>IF(Banco_Nacion[[#This Row],[fecha]]&gt;0,TEXT(Banco_Nacion[[#This Row],[fecha]],"mmmm"),0)</f>
        <v>Enero</v>
      </c>
    </row>
    <row r="76" spans="1:27" x14ac:dyDescent="0.3">
      <c r="A76" s="2">
        <f>IF(Banco_Nacion[[#This Row],[tipo_registro]]="R",COUNTIFS($C$1:$C75,"R")+1,"")</f>
        <v>75</v>
      </c>
      <c r="B76" s="19" t="str">
        <f t="shared" si="5"/>
        <v>B-Banco de la Nacion</v>
      </c>
      <c r="C76" s="3" t="s">
        <v>1330</v>
      </c>
      <c r="D76" s="14">
        <v>45685</v>
      </c>
      <c r="E76" s="5">
        <v>20406350178</v>
      </c>
      <c r="F76" s="5" t="s">
        <v>1303</v>
      </c>
      <c r="G76" s="6" t="s">
        <v>425</v>
      </c>
      <c r="H76" s="6" t="s">
        <v>68</v>
      </c>
      <c r="I76" s="6" t="s">
        <v>5235</v>
      </c>
      <c r="J76" s="6">
        <v>378</v>
      </c>
      <c r="K76" s="7" t="s">
        <v>5232</v>
      </c>
      <c r="L76" s="8">
        <v>65754724</v>
      </c>
      <c r="M76" s="8" t="str">
        <f t="shared" si="6"/>
        <v>PEN</v>
      </c>
      <c r="N76" s="13"/>
      <c r="O76" s="13">
        <v>266</v>
      </c>
      <c r="P76" s="3">
        <f t="shared" si="7"/>
        <v>266</v>
      </c>
      <c r="Q76" s="3">
        <f t="shared" si="8"/>
        <v>0</v>
      </c>
      <c r="R76" s="3">
        <f t="shared" si="9"/>
        <v>59734.010000000009</v>
      </c>
      <c r="S76" s="24"/>
      <c r="T76" s="24" t="s">
        <v>1334</v>
      </c>
      <c r="U76" s="3"/>
      <c r="V76" s="19" t="str">
        <f>IFERROR(VLOOKUP(Banco_Nacion[[#This Row],[responsable]],Clientes_Proveedores[[Ruc / Dni]:[Razon Social]],2,0),"")</f>
        <v>COOPERATIVA MINERA HALCON DE ORO DE ANANEA LIMITADA</v>
      </c>
      <c r="W76" s="19" t="str">
        <f>IF(Banco_Nacion[[#This Row],[tipo_mov]]="INGRESO",Banco_Nacion[[#This Row],[serie]]&amp;Banco_Nacion[[#This Row],[numero]]&amp;Banco_Nacion[[#This Row],[responsable]]&amp;Banco_Nacion[[#This Row],[monto]],"")</f>
        <v>FGD137820406350178266</v>
      </c>
      <c r="X76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65754724</v>
      </c>
      <c r="Y76" s="3" t="str">
        <f>IFERROR(VLOOKUP(Banco_Nacion[[#This Row],[serie]]&amp;Banco_Nacion[[#This Row],[numero]]&amp;Banco_Nacion[[#This Row],[responsable]],[2]!Provision_CXC[[ID CXP]:[DETRACCION]],47,0),"")</f>
        <v/>
      </c>
      <c r="Z76" s="3"/>
      <c r="AA76" s="24" t="str">
        <f>IF(Banco_Nacion[[#This Row],[fecha]]&gt;0,TEXT(Banco_Nacion[[#This Row],[fecha]],"mmmm"),0)</f>
        <v>Enero</v>
      </c>
    </row>
    <row r="77" spans="1:27" x14ac:dyDescent="0.3">
      <c r="A77" s="2">
        <f>IF(Banco_Nacion[[#This Row],[tipo_registro]]="R",COUNTIFS($C$1:$C76,"R")+1,"")</f>
        <v>76</v>
      </c>
      <c r="B77" s="19" t="str">
        <f t="shared" si="5"/>
        <v>B-Banco de la Nacion</v>
      </c>
      <c r="C77" s="3" t="s">
        <v>1330</v>
      </c>
      <c r="D77" s="14">
        <v>45687</v>
      </c>
      <c r="E77" s="5">
        <v>20100192064</v>
      </c>
      <c r="F77" s="5" t="s">
        <v>1303</v>
      </c>
      <c r="G77" s="6" t="s">
        <v>425</v>
      </c>
      <c r="H77" s="6" t="s">
        <v>68</v>
      </c>
      <c r="I77" s="6" t="s">
        <v>1343</v>
      </c>
      <c r="J77" s="6">
        <v>531</v>
      </c>
      <c r="K77" s="7" t="s">
        <v>5232</v>
      </c>
      <c r="L77" s="8">
        <v>65893265</v>
      </c>
      <c r="M77" s="8" t="str">
        <f t="shared" si="6"/>
        <v>PEN</v>
      </c>
      <c r="N77" s="13"/>
      <c r="O77" s="13">
        <v>269</v>
      </c>
      <c r="P77" s="3">
        <f t="shared" si="7"/>
        <v>269</v>
      </c>
      <c r="Q77" s="3">
        <f t="shared" si="8"/>
        <v>0</v>
      </c>
      <c r="R77" s="3">
        <f t="shared" si="9"/>
        <v>60003.010000000009</v>
      </c>
      <c r="S77" s="24"/>
      <c r="T77" s="24" t="s">
        <v>1334</v>
      </c>
      <c r="U77" s="3"/>
      <c r="V77" s="19" t="str">
        <f>IFERROR(VLOOKUP(Banco_Nacion[[#This Row],[responsable]],Clientes_Proveedores[[Ruc / Dni]:[Razon Social]],2,0),"")</f>
        <v>MOLY-COP ADESUR S.A</v>
      </c>
      <c r="W77" s="19" t="str">
        <f>IF(Banco_Nacion[[#This Row],[tipo_mov]]="INGRESO",Banco_Nacion[[#This Row],[serie]]&amp;Banco_Nacion[[#This Row],[numero]]&amp;Banco_Nacion[[#This Row],[responsable]]&amp;Banco_Nacion[[#This Row],[monto]],"")</f>
        <v>FE0153120100192064269</v>
      </c>
      <c r="X77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65893265</v>
      </c>
      <c r="Y77" s="3" t="str">
        <f>IFERROR(VLOOKUP(Banco_Nacion[[#This Row],[serie]]&amp;Banco_Nacion[[#This Row],[numero]]&amp;Banco_Nacion[[#This Row],[responsable]],[2]!Provision_CXC[[ID CXP]:[DETRACCION]],47,0),"")</f>
        <v/>
      </c>
      <c r="Z77" s="3"/>
      <c r="AA77" s="24" t="str">
        <f>IF(Banco_Nacion[[#This Row],[fecha]]&gt;0,TEXT(Banco_Nacion[[#This Row],[fecha]],"mmmm"),0)</f>
        <v>Enero</v>
      </c>
    </row>
    <row r="78" spans="1:27" x14ac:dyDescent="0.3">
      <c r="A78" s="2">
        <f>IF(Banco_Nacion[[#This Row],[tipo_registro]]="R",COUNTIFS($C$1:$C77,"R")+1,"")</f>
        <v>77</v>
      </c>
      <c r="B78" s="19" t="str">
        <f t="shared" si="5"/>
        <v>B-Banco de la Nacion</v>
      </c>
      <c r="C78" s="3" t="s">
        <v>1330</v>
      </c>
      <c r="D78" s="14">
        <v>45687</v>
      </c>
      <c r="E78" s="5">
        <v>20100192064</v>
      </c>
      <c r="F78" s="5" t="s">
        <v>1303</v>
      </c>
      <c r="G78" s="6" t="s">
        <v>425</v>
      </c>
      <c r="H78" s="6" t="s">
        <v>68</v>
      </c>
      <c r="I78" s="6" t="s">
        <v>1343</v>
      </c>
      <c r="J78" s="6">
        <v>530</v>
      </c>
      <c r="K78" s="7" t="s">
        <v>5232</v>
      </c>
      <c r="L78" s="8">
        <v>65893264</v>
      </c>
      <c r="M78" s="8" t="str">
        <f t="shared" si="6"/>
        <v>PEN</v>
      </c>
      <c r="N78" s="13"/>
      <c r="O78" s="13">
        <v>745</v>
      </c>
      <c r="P78" s="3">
        <f t="shared" si="7"/>
        <v>745</v>
      </c>
      <c r="Q78" s="3">
        <f t="shared" si="8"/>
        <v>0</v>
      </c>
      <c r="R78" s="3">
        <f t="shared" si="9"/>
        <v>60748.010000000009</v>
      </c>
      <c r="S78" s="24"/>
      <c r="T78" s="24" t="s">
        <v>1334</v>
      </c>
      <c r="U78" s="3"/>
      <c r="V78" s="19" t="str">
        <f>IFERROR(VLOOKUP(Banco_Nacion[[#This Row],[responsable]],Clientes_Proveedores[[Ruc / Dni]:[Razon Social]],2,0),"")</f>
        <v>MOLY-COP ADESUR S.A</v>
      </c>
      <c r="W78" s="19" t="str">
        <f>IF(Banco_Nacion[[#This Row],[tipo_mov]]="INGRESO",Banco_Nacion[[#This Row],[serie]]&amp;Banco_Nacion[[#This Row],[numero]]&amp;Banco_Nacion[[#This Row],[responsable]]&amp;Banco_Nacion[[#This Row],[monto]],"")</f>
        <v>FE0153020100192064745</v>
      </c>
      <c r="X78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65893264</v>
      </c>
      <c r="Y78" s="3" t="str">
        <f>IFERROR(VLOOKUP(Banco_Nacion[[#This Row],[serie]]&amp;Banco_Nacion[[#This Row],[numero]]&amp;Banco_Nacion[[#This Row],[responsable]],[2]!Provision_CXC[[ID CXP]:[DETRACCION]],47,0),"")</f>
        <v/>
      </c>
      <c r="Z78" s="3"/>
      <c r="AA78" s="24" t="str">
        <f>IF(Banco_Nacion[[#This Row],[fecha]]&gt;0,TEXT(Banco_Nacion[[#This Row],[fecha]],"mmmm"),0)</f>
        <v>Enero</v>
      </c>
    </row>
    <row r="79" spans="1:27" x14ac:dyDescent="0.3">
      <c r="A79" s="2">
        <f>IF(Banco_Nacion[[#This Row],[tipo_registro]]="R",COUNTIFS($C$1:$C78,"R")+1,"")</f>
        <v>78</v>
      </c>
      <c r="B79" s="19" t="str">
        <f t="shared" si="5"/>
        <v>B-Banco de la Nacion</v>
      </c>
      <c r="C79" s="3" t="s">
        <v>1330</v>
      </c>
      <c r="D79" s="14">
        <v>45687</v>
      </c>
      <c r="E79" s="5">
        <v>20505675836</v>
      </c>
      <c r="F79" s="5" t="s">
        <v>1303</v>
      </c>
      <c r="G79" s="6" t="s">
        <v>425</v>
      </c>
      <c r="H79" s="6" t="s">
        <v>68</v>
      </c>
      <c r="I79" s="6" t="s">
        <v>1343</v>
      </c>
      <c r="J79" s="6">
        <v>504</v>
      </c>
      <c r="K79" s="7" t="s">
        <v>5232</v>
      </c>
      <c r="L79" s="8">
        <v>65876749</v>
      </c>
      <c r="M79" s="8" t="str">
        <f t="shared" si="6"/>
        <v>PEN</v>
      </c>
      <c r="N79" s="13"/>
      <c r="O79" s="13">
        <v>919</v>
      </c>
      <c r="P79" s="3">
        <f t="shared" si="7"/>
        <v>919</v>
      </c>
      <c r="Q79" s="3">
        <f t="shared" si="8"/>
        <v>0</v>
      </c>
      <c r="R79" s="3">
        <f t="shared" si="9"/>
        <v>61667.010000000009</v>
      </c>
      <c r="S79" s="24"/>
      <c r="T79" s="24" t="s">
        <v>1334</v>
      </c>
      <c r="U79" s="3"/>
      <c r="V79" s="19" t="str">
        <f>IFERROR(VLOOKUP(Banco_Nacion[[#This Row],[responsable]],Clientes_Proveedores[[Ruc / Dni]:[Razon Social]],2,0),"")</f>
        <v>FLSMIDTH S.A.C.</v>
      </c>
      <c r="W79" s="19" t="str">
        <f>IF(Banco_Nacion[[#This Row],[tipo_mov]]="INGRESO",Banco_Nacion[[#This Row],[serie]]&amp;Banco_Nacion[[#This Row],[numero]]&amp;Banco_Nacion[[#This Row],[responsable]]&amp;Banco_Nacion[[#This Row],[monto]],"")</f>
        <v>FE0150420505675836919</v>
      </c>
      <c r="X79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65876749</v>
      </c>
      <c r="Y79" s="3" t="str">
        <f>IFERROR(VLOOKUP(Banco_Nacion[[#This Row],[serie]]&amp;Banco_Nacion[[#This Row],[numero]]&amp;Banco_Nacion[[#This Row],[responsable]],[2]!Provision_CXC[[ID CXP]:[DETRACCION]],47,0),"")</f>
        <v/>
      </c>
      <c r="Z79" s="3"/>
      <c r="AA79" s="24" t="str">
        <f>IF(Banco_Nacion[[#This Row],[fecha]]&gt;0,TEXT(Banco_Nacion[[#This Row],[fecha]],"mmmm"),0)</f>
        <v>Enero</v>
      </c>
    </row>
    <row r="80" spans="1:27" x14ac:dyDescent="0.3">
      <c r="A80" s="2">
        <f>IF(Banco_Nacion[[#This Row],[tipo_registro]]="R",COUNTIFS($C$1:$C79,"R")+1,"")</f>
        <v>79</v>
      </c>
      <c r="B80" s="19" t="str">
        <f t="shared" si="5"/>
        <v>B-Banco de la Nacion</v>
      </c>
      <c r="C80" s="3" t="s">
        <v>1330</v>
      </c>
      <c r="D80" s="14">
        <v>45687</v>
      </c>
      <c r="E80" s="5">
        <v>20505675836</v>
      </c>
      <c r="F80" s="5" t="s">
        <v>1303</v>
      </c>
      <c r="G80" s="6" t="s">
        <v>425</v>
      </c>
      <c r="H80" s="6" t="s">
        <v>68</v>
      </c>
      <c r="I80" s="6" t="s">
        <v>1343</v>
      </c>
      <c r="J80" s="6">
        <v>503</v>
      </c>
      <c r="K80" s="7" t="s">
        <v>5232</v>
      </c>
      <c r="L80" s="8">
        <v>65876748</v>
      </c>
      <c r="M80" s="8" t="str">
        <f t="shared" si="6"/>
        <v>PEN</v>
      </c>
      <c r="N80" s="13"/>
      <c r="O80" s="13">
        <v>1448</v>
      </c>
      <c r="P80" s="3">
        <f t="shared" si="7"/>
        <v>1448</v>
      </c>
      <c r="Q80" s="3">
        <f t="shared" si="8"/>
        <v>0</v>
      </c>
      <c r="R80" s="3">
        <f t="shared" si="9"/>
        <v>63115.010000000009</v>
      </c>
      <c r="S80" s="24"/>
      <c r="T80" s="24" t="s">
        <v>1334</v>
      </c>
      <c r="U80" s="3"/>
      <c r="V80" s="19" t="str">
        <f>IFERROR(VLOOKUP(Banco_Nacion[[#This Row],[responsable]],Clientes_Proveedores[[Ruc / Dni]:[Razon Social]],2,0),"")</f>
        <v>FLSMIDTH S.A.C.</v>
      </c>
      <c r="W80" s="19" t="str">
        <f>IF(Banco_Nacion[[#This Row],[tipo_mov]]="INGRESO",Banco_Nacion[[#This Row],[serie]]&amp;Banco_Nacion[[#This Row],[numero]]&amp;Banco_Nacion[[#This Row],[responsable]]&amp;Banco_Nacion[[#This Row],[monto]],"")</f>
        <v>FE01503205056758361448</v>
      </c>
      <c r="X80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65876748</v>
      </c>
      <c r="Y80" s="3" t="str">
        <f>IFERROR(VLOOKUP(Banco_Nacion[[#This Row],[serie]]&amp;Banco_Nacion[[#This Row],[numero]]&amp;Banco_Nacion[[#This Row],[responsable]],[2]!Provision_CXC[[ID CXP]:[DETRACCION]],47,0),"")</f>
        <v/>
      </c>
      <c r="Z80" s="3"/>
      <c r="AA80" s="24" t="str">
        <f>IF(Banco_Nacion[[#This Row],[fecha]]&gt;0,TEXT(Banco_Nacion[[#This Row],[fecha]],"mmmm"),0)</f>
        <v>Enero</v>
      </c>
    </row>
    <row r="81" spans="1:27" x14ac:dyDescent="0.3">
      <c r="A81" s="2">
        <f>IF(Banco_Nacion[[#This Row],[tipo_registro]]="R",COUNTIFS($C$1:$C80,"R")+1,"")</f>
        <v>80</v>
      </c>
      <c r="B81" s="19" t="str">
        <f t="shared" si="5"/>
        <v>B-Banco de la Nacion</v>
      </c>
      <c r="C81" s="3" t="s">
        <v>1330</v>
      </c>
      <c r="D81" s="14">
        <v>45688</v>
      </c>
      <c r="E81" s="5" t="s">
        <v>5231</v>
      </c>
      <c r="F81" s="5" t="s">
        <v>1336</v>
      </c>
      <c r="G81" s="6"/>
      <c r="H81" s="6"/>
      <c r="I81" s="6" t="s">
        <v>5231</v>
      </c>
      <c r="J81" s="6"/>
      <c r="K81" s="7" t="s">
        <v>5234</v>
      </c>
      <c r="L81" s="8">
        <v>78787878</v>
      </c>
      <c r="M81" s="8" t="str">
        <f t="shared" si="6"/>
        <v>PEN</v>
      </c>
      <c r="N81" s="13"/>
      <c r="O81" s="13">
        <v>11234</v>
      </c>
      <c r="P81" s="3">
        <f t="shared" si="7"/>
        <v>0</v>
      </c>
      <c r="Q81" s="3">
        <f t="shared" si="8"/>
        <v>11234</v>
      </c>
      <c r="R81" s="3">
        <f t="shared" si="9"/>
        <v>51881.010000000009</v>
      </c>
      <c r="S81" s="24"/>
      <c r="T81" s="24"/>
      <c r="U81" s="3"/>
      <c r="V81" s="19" t="str">
        <f>IFERROR(VLOOKUP(Banco_Nacion[[#This Row],[responsable]],Clientes_Proveedores[[Ruc / Dni]:[Razon Social]],2,0),"")</f>
        <v/>
      </c>
      <c r="W81" s="19" t="str">
        <f>IF(Banco_Nacion[[#This Row],[tipo_mov]]="INGRESO",Banco_Nacion[[#This Row],[serie]]&amp;Banco_Nacion[[#This Row],[numero]]&amp;Banco_Nacion[[#This Row],[responsable]]&amp;Banco_Nacion[[#This Row],[monto]],"")</f>
        <v/>
      </c>
      <c r="X81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/>
      </c>
      <c r="Y81" s="3" t="str">
        <f>IFERROR(VLOOKUP(Banco_Nacion[[#This Row],[serie]]&amp;Banco_Nacion[[#This Row],[numero]]&amp;Banco_Nacion[[#This Row],[responsable]],[2]!Provision_CXC[[ID CXP]:[DETRACCION]],47,0),"")</f>
        <v/>
      </c>
      <c r="Z81" s="3"/>
      <c r="AA81" s="24" t="str">
        <f>IF(Banco_Nacion[[#This Row],[fecha]]&gt;0,TEXT(Banco_Nacion[[#This Row],[fecha]],"mmmm"),0)</f>
        <v>Enero</v>
      </c>
    </row>
    <row r="82" spans="1:27" x14ac:dyDescent="0.3">
      <c r="A82" s="2">
        <f>IF(Banco_Nacion[[#This Row],[tipo_registro]]="R",COUNTIFS($C$1:$C81,"R")+1,"")</f>
        <v>81</v>
      </c>
      <c r="B82" s="19" t="str">
        <f t="shared" si="5"/>
        <v>B-Banco de la Nacion</v>
      </c>
      <c r="C82" s="3" t="s">
        <v>1330</v>
      </c>
      <c r="D82" s="14">
        <v>45691</v>
      </c>
      <c r="E82" s="5">
        <v>20605570829</v>
      </c>
      <c r="F82" s="5" t="s">
        <v>1303</v>
      </c>
      <c r="G82" s="6" t="s">
        <v>425</v>
      </c>
      <c r="H82" s="6" t="s">
        <v>68</v>
      </c>
      <c r="I82" s="6" t="s">
        <v>1353</v>
      </c>
      <c r="J82" s="6">
        <v>176</v>
      </c>
      <c r="K82" s="7" t="s">
        <v>5232</v>
      </c>
      <c r="L82" s="8">
        <v>66131103</v>
      </c>
      <c r="M82" s="8" t="str">
        <f t="shared" si="6"/>
        <v>PEN</v>
      </c>
      <c r="N82" s="13"/>
      <c r="O82" s="13">
        <v>140</v>
      </c>
      <c r="P82" s="3">
        <f t="shared" si="7"/>
        <v>140</v>
      </c>
      <c r="Q82" s="3">
        <f t="shared" si="8"/>
        <v>0</v>
      </c>
      <c r="R82" s="3">
        <f t="shared" si="9"/>
        <v>52021.010000000009</v>
      </c>
      <c r="S82" s="24"/>
      <c r="T82" s="24" t="s">
        <v>1334</v>
      </c>
      <c r="U82" s="3"/>
      <c r="V82" s="19" t="str">
        <f>IFERROR(VLOOKUP(Banco_Nacion[[#This Row],[responsable]],Clientes_Proveedores[[Ruc / Dni]:[Razon Social]],2,0),"")</f>
        <v>SYNERGO CAP S.A.C.</v>
      </c>
      <c r="W82" s="19" t="str">
        <f>IF(Banco_Nacion[[#This Row],[tipo_mov]]="INGRESO",Banco_Nacion[[#This Row],[serie]]&amp;Banco_Nacion[[#This Row],[numero]]&amp;Banco_Nacion[[#This Row],[responsable]]&amp;Banco_Nacion[[#This Row],[monto]],"")</f>
        <v>FE0217620605570829140</v>
      </c>
      <c r="X82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66131103</v>
      </c>
      <c r="Y82" s="3" t="str">
        <f>IFERROR(VLOOKUP(Banco_Nacion[[#This Row],[serie]]&amp;Banco_Nacion[[#This Row],[numero]]&amp;Banco_Nacion[[#This Row],[responsable]],[2]!Provision_CXC[[ID CXP]:[DETRACCION]],47,0),"")</f>
        <v/>
      </c>
      <c r="Z82" s="3"/>
      <c r="AA82" s="24" t="str">
        <f>IF(Banco_Nacion[[#This Row],[fecha]]&gt;0,TEXT(Banco_Nacion[[#This Row],[fecha]],"mmmm"),0)</f>
        <v>Febrero</v>
      </c>
    </row>
    <row r="83" spans="1:27" x14ac:dyDescent="0.3">
      <c r="A83" s="2">
        <f>IF(Banco_Nacion[[#This Row],[tipo_registro]]="R",COUNTIFS($C$1:$C82,"R")+1,"")</f>
        <v>82</v>
      </c>
      <c r="B83" s="19" t="str">
        <f t="shared" si="5"/>
        <v>B-Banco de la Nacion</v>
      </c>
      <c r="C83" s="3" t="s">
        <v>1330</v>
      </c>
      <c r="D83" s="14">
        <v>45691</v>
      </c>
      <c r="E83" s="5">
        <v>20505675836</v>
      </c>
      <c r="F83" s="5" t="s">
        <v>1303</v>
      </c>
      <c r="G83" s="6" t="s">
        <v>425</v>
      </c>
      <c r="H83" s="6" t="s">
        <v>68</v>
      </c>
      <c r="I83" s="6" t="s">
        <v>1343</v>
      </c>
      <c r="J83" s="6">
        <v>505</v>
      </c>
      <c r="K83" s="7" t="s">
        <v>5232</v>
      </c>
      <c r="L83" s="8">
        <v>66058476</v>
      </c>
      <c r="M83" s="8" t="str">
        <f t="shared" si="6"/>
        <v>PEN</v>
      </c>
      <c r="N83" s="13"/>
      <c r="O83" s="13">
        <v>112</v>
      </c>
      <c r="P83" s="3">
        <f t="shared" si="7"/>
        <v>112</v>
      </c>
      <c r="Q83" s="3">
        <f t="shared" si="8"/>
        <v>0</v>
      </c>
      <c r="R83" s="3">
        <f t="shared" si="9"/>
        <v>52133.010000000009</v>
      </c>
      <c r="S83" s="24"/>
      <c r="T83" s="24" t="s">
        <v>1334</v>
      </c>
      <c r="U83" s="3"/>
      <c r="V83" s="19" t="str">
        <f>IFERROR(VLOOKUP(Banco_Nacion[[#This Row],[responsable]],Clientes_Proveedores[[Ruc / Dni]:[Razon Social]],2,0),"")</f>
        <v>FLSMIDTH S.A.C.</v>
      </c>
      <c r="W83" s="19" t="str">
        <f>IF(Banco_Nacion[[#This Row],[tipo_mov]]="INGRESO",Banco_Nacion[[#This Row],[serie]]&amp;Banco_Nacion[[#This Row],[numero]]&amp;Banco_Nacion[[#This Row],[responsable]]&amp;Banco_Nacion[[#This Row],[monto]],"")</f>
        <v>FE0150520505675836112</v>
      </c>
      <c r="X83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66058476</v>
      </c>
      <c r="Y83" s="3" t="str">
        <f>IFERROR(VLOOKUP(Banco_Nacion[[#This Row],[serie]]&amp;Banco_Nacion[[#This Row],[numero]]&amp;Banco_Nacion[[#This Row],[responsable]],[2]!Provision_CXC[[ID CXP]:[DETRACCION]],47,0),"")</f>
        <v/>
      </c>
      <c r="Z83" s="3"/>
      <c r="AA83" s="24" t="str">
        <f>IF(Banco_Nacion[[#This Row],[fecha]]&gt;0,TEXT(Banco_Nacion[[#This Row],[fecha]],"mmmm"),0)</f>
        <v>Febrero</v>
      </c>
    </row>
    <row r="84" spans="1:27" x14ac:dyDescent="0.3">
      <c r="A84" s="2">
        <f>IF(Banco_Nacion[[#This Row],[tipo_registro]]="R",COUNTIFS($C$1:$C83,"R")+1,"")</f>
        <v>83</v>
      </c>
      <c r="B84" s="19" t="str">
        <f t="shared" si="5"/>
        <v>B-Banco de la Nacion</v>
      </c>
      <c r="C84" s="3" t="s">
        <v>1330</v>
      </c>
      <c r="D84" s="14">
        <v>45691</v>
      </c>
      <c r="E84" s="5">
        <v>20455283915</v>
      </c>
      <c r="F84" s="5" t="s">
        <v>1303</v>
      </c>
      <c r="G84" s="6" t="s">
        <v>425</v>
      </c>
      <c r="H84" s="6" t="s">
        <v>68</v>
      </c>
      <c r="I84" s="6" t="s">
        <v>1353</v>
      </c>
      <c r="J84" s="6">
        <v>183</v>
      </c>
      <c r="K84" s="7" t="s">
        <v>5232</v>
      </c>
      <c r="L84" s="8">
        <v>66057686</v>
      </c>
      <c r="M84" s="8" t="str">
        <f t="shared" si="6"/>
        <v>PEN</v>
      </c>
      <c r="N84" s="13"/>
      <c r="O84" s="13">
        <v>544</v>
      </c>
      <c r="P84" s="3">
        <f t="shared" si="7"/>
        <v>544</v>
      </c>
      <c r="Q84" s="3">
        <f t="shared" si="8"/>
        <v>0</v>
      </c>
      <c r="R84" s="3">
        <f t="shared" si="9"/>
        <v>52677.010000000009</v>
      </c>
      <c r="S84" s="24"/>
      <c r="T84" s="24" t="s">
        <v>1334</v>
      </c>
      <c r="U84" s="3"/>
      <c r="V84" s="19" t="str">
        <f>IFERROR(VLOOKUP(Banco_Nacion[[#This Row],[responsable]],Clientes_Proveedores[[Ruc / Dni]:[Razon Social]],2,0),"")</f>
        <v>EMPRESA CONSERVADORA AMBIENTAL DEL SUR E.I.R.L. - ECA SUR E.I.R.L.</v>
      </c>
      <c r="W84" s="19" t="str">
        <f>IF(Banco_Nacion[[#This Row],[tipo_mov]]="INGRESO",Banco_Nacion[[#This Row],[serie]]&amp;Banco_Nacion[[#This Row],[numero]]&amp;Banco_Nacion[[#This Row],[responsable]]&amp;Banco_Nacion[[#This Row],[monto]],"")</f>
        <v>FE0218320455283915544</v>
      </c>
      <c r="X84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66057686</v>
      </c>
      <c r="Y84" s="3" t="str">
        <f>IFERROR(VLOOKUP(Banco_Nacion[[#This Row],[serie]]&amp;Banco_Nacion[[#This Row],[numero]]&amp;Banco_Nacion[[#This Row],[responsable]],[2]!Provision_CXC[[ID CXP]:[DETRACCION]],47,0),"")</f>
        <v/>
      </c>
      <c r="Z84" s="3"/>
      <c r="AA84" s="24" t="str">
        <f>IF(Banco_Nacion[[#This Row],[fecha]]&gt;0,TEXT(Banco_Nacion[[#This Row],[fecha]],"mmmm"),0)</f>
        <v>Febrero</v>
      </c>
    </row>
    <row r="85" spans="1:27" x14ac:dyDescent="0.3">
      <c r="A85" s="2">
        <f>IF(Banco_Nacion[[#This Row],[tipo_registro]]="R",COUNTIFS($C$1:$C84,"R")+1,"")</f>
        <v>84</v>
      </c>
      <c r="B85" s="19" t="str">
        <f t="shared" si="5"/>
        <v>B-Banco de la Nacion</v>
      </c>
      <c r="C85" s="3" t="s">
        <v>1330</v>
      </c>
      <c r="D85" s="14">
        <v>45691</v>
      </c>
      <c r="E85" s="5">
        <v>20455283915</v>
      </c>
      <c r="F85" s="5" t="s">
        <v>1303</v>
      </c>
      <c r="G85" s="6" t="s">
        <v>425</v>
      </c>
      <c r="H85" s="6" t="s">
        <v>68</v>
      </c>
      <c r="I85" s="6" t="s">
        <v>1353</v>
      </c>
      <c r="J85" s="6">
        <v>179</v>
      </c>
      <c r="K85" s="7" t="s">
        <v>5232</v>
      </c>
      <c r="L85" s="8">
        <v>66057685</v>
      </c>
      <c r="M85" s="8" t="str">
        <f t="shared" si="6"/>
        <v>PEN</v>
      </c>
      <c r="N85" s="13"/>
      <c r="O85" s="13">
        <v>224</v>
      </c>
      <c r="P85" s="3">
        <f t="shared" si="7"/>
        <v>224</v>
      </c>
      <c r="Q85" s="3">
        <f t="shared" si="8"/>
        <v>0</v>
      </c>
      <c r="R85" s="3">
        <f t="shared" si="9"/>
        <v>52901.010000000009</v>
      </c>
      <c r="S85" s="24"/>
      <c r="T85" s="24" t="s">
        <v>1334</v>
      </c>
      <c r="U85" s="3"/>
      <c r="V85" s="19" t="str">
        <f>IFERROR(VLOOKUP(Banco_Nacion[[#This Row],[responsable]],Clientes_Proveedores[[Ruc / Dni]:[Razon Social]],2,0),"")</f>
        <v>EMPRESA CONSERVADORA AMBIENTAL DEL SUR E.I.R.L. - ECA SUR E.I.R.L.</v>
      </c>
      <c r="W85" s="19" t="str">
        <f>IF(Banco_Nacion[[#This Row],[tipo_mov]]="INGRESO",Banco_Nacion[[#This Row],[serie]]&amp;Banco_Nacion[[#This Row],[numero]]&amp;Banco_Nacion[[#This Row],[responsable]]&amp;Banco_Nacion[[#This Row],[monto]],"")</f>
        <v>FE0217920455283915224</v>
      </c>
      <c r="X85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66057685</v>
      </c>
      <c r="Y85" s="3" t="str">
        <f>IFERROR(VLOOKUP(Banco_Nacion[[#This Row],[serie]]&amp;Banco_Nacion[[#This Row],[numero]]&amp;Banco_Nacion[[#This Row],[responsable]],[2]!Provision_CXC[[ID CXP]:[DETRACCION]],47,0),"")</f>
        <v/>
      </c>
      <c r="Z85" s="3"/>
      <c r="AA85" s="24" t="str">
        <f>IF(Banco_Nacion[[#This Row],[fecha]]&gt;0,TEXT(Banco_Nacion[[#This Row],[fecha]],"mmmm"),0)</f>
        <v>Febrero</v>
      </c>
    </row>
    <row r="86" spans="1:27" x14ac:dyDescent="0.3">
      <c r="A86" s="2">
        <f>IF(Banco_Nacion[[#This Row],[tipo_registro]]="R",COUNTIFS($C$1:$C85,"R")+1,"")</f>
        <v>85</v>
      </c>
      <c r="B86" s="19" t="str">
        <f t="shared" si="5"/>
        <v>B-Banco de la Nacion</v>
      </c>
      <c r="C86" s="3" t="s">
        <v>1330</v>
      </c>
      <c r="D86" s="14">
        <v>45691</v>
      </c>
      <c r="E86" s="5">
        <v>20455283915</v>
      </c>
      <c r="F86" s="5" t="s">
        <v>1303</v>
      </c>
      <c r="G86" s="6" t="s">
        <v>425</v>
      </c>
      <c r="H86" s="6" t="s">
        <v>68</v>
      </c>
      <c r="I86" s="6" t="s">
        <v>1353</v>
      </c>
      <c r="J86" s="6">
        <v>178</v>
      </c>
      <c r="K86" s="7" t="s">
        <v>5232</v>
      </c>
      <c r="L86" s="8">
        <v>66057684</v>
      </c>
      <c r="M86" s="8" t="str">
        <f t="shared" si="6"/>
        <v>PEN</v>
      </c>
      <c r="N86" s="13"/>
      <c r="O86" s="13">
        <v>185</v>
      </c>
      <c r="P86" s="3">
        <f t="shared" si="7"/>
        <v>185</v>
      </c>
      <c r="Q86" s="3">
        <f t="shared" si="8"/>
        <v>0</v>
      </c>
      <c r="R86" s="3">
        <f t="shared" si="9"/>
        <v>53086.010000000009</v>
      </c>
      <c r="S86" s="24"/>
      <c r="T86" s="24" t="s">
        <v>1334</v>
      </c>
      <c r="U86" s="3"/>
      <c r="V86" s="19" t="str">
        <f>IFERROR(VLOOKUP(Banco_Nacion[[#This Row],[responsable]],Clientes_Proveedores[[Ruc / Dni]:[Razon Social]],2,0),"")</f>
        <v>EMPRESA CONSERVADORA AMBIENTAL DEL SUR E.I.R.L. - ECA SUR E.I.R.L.</v>
      </c>
      <c r="W86" s="19" t="str">
        <f>IF(Banco_Nacion[[#This Row],[tipo_mov]]="INGRESO",Banco_Nacion[[#This Row],[serie]]&amp;Banco_Nacion[[#This Row],[numero]]&amp;Banco_Nacion[[#This Row],[responsable]]&amp;Banco_Nacion[[#This Row],[monto]],"")</f>
        <v>FE0217820455283915185</v>
      </c>
      <c r="X86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66057684</v>
      </c>
      <c r="Y86" s="3" t="str">
        <f>IFERROR(VLOOKUP(Banco_Nacion[[#This Row],[serie]]&amp;Banco_Nacion[[#This Row],[numero]]&amp;Banco_Nacion[[#This Row],[responsable]],[2]!Provision_CXC[[ID CXP]:[DETRACCION]],47,0),"")</f>
        <v/>
      </c>
      <c r="Z86" s="3"/>
      <c r="AA86" s="24" t="str">
        <f>IF(Banco_Nacion[[#This Row],[fecha]]&gt;0,TEXT(Banco_Nacion[[#This Row],[fecha]],"mmmm"),0)</f>
        <v>Febrero</v>
      </c>
    </row>
    <row r="87" spans="1:27" x14ac:dyDescent="0.3">
      <c r="A87" s="2">
        <f>IF(Banco_Nacion[[#This Row],[tipo_registro]]="R",COUNTIFS($C$1:$C86,"R")+1,"")</f>
        <v>86</v>
      </c>
      <c r="B87" s="19" t="str">
        <f t="shared" si="5"/>
        <v>B-Banco de la Nacion</v>
      </c>
      <c r="C87" s="3" t="s">
        <v>1330</v>
      </c>
      <c r="D87" s="14">
        <v>45691</v>
      </c>
      <c r="E87" s="5">
        <v>20455283915</v>
      </c>
      <c r="F87" s="5" t="s">
        <v>1303</v>
      </c>
      <c r="G87" s="6" t="s">
        <v>425</v>
      </c>
      <c r="H87" s="6" t="s">
        <v>68</v>
      </c>
      <c r="I87" s="6" t="s">
        <v>1353</v>
      </c>
      <c r="J87" s="6">
        <v>172</v>
      </c>
      <c r="K87" s="7" t="s">
        <v>5232</v>
      </c>
      <c r="L87" s="8">
        <v>66057683</v>
      </c>
      <c r="M87" s="8" t="str">
        <f t="shared" si="6"/>
        <v>PEN</v>
      </c>
      <c r="N87" s="13"/>
      <c r="O87" s="13">
        <v>98</v>
      </c>
      <c r="P87" s="3">
        <f t="shared" si="7"/>
        <v>98</v>
      </c>
      <c r="Q87" s="3">
        <f t="shared" si="8"/>
        <v>0</v>
      </c>
      <c r="R87" s="3">
        <f t="shared" si="9"/>
        <v>53184.010000000009</v>
      </c>
      <c r="S87" s="24"/>
      <c r="T87" s="24" t="s">
        <v>1334</v>
      </c>
      <c r="U87" s="3"/>
      <c r="V87" s="19" t="str">
        <f>IFERROR(VLOOKUP(Banco_Nacion[[#This Row],[responsable]],Clientes_Proveedores[[Ruc / Dni]:[Razon Social]],2,0),"")</f>
        <v>EMPRESA CONSERVADORA AMBIENTAL DEL SUR E.I.R.L. - ECA SUR E.I.R.L.</v>
      </c>
      <c r="W87" s="19" t="str">
        <f>IF(Banco_Nacion[[#This Row],[tipo_mov]]="INGRESO",Banco_Nacion[[#This Row],[serie]]&amp;Banco_Nacion[[#This Row],[numero]]&amp;Banco_Nacion[[#This Row],[responsable]]&amp;Banco_Nacion[[#This Row],[monto]],"")</f>
        <v>FE021722045528391598</v>
      </c>
      <c r="X87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66057683</v>
      </c>
      <c r="Y87" s="3" t="str">
        <f>IFERROR(VLOOKUP(Banco_Nacion[[#This Row],[serie]]&amp;Banco_Nacion[[#This Row],[numero]]&amp;Banco_Nacion[[#This Row],[responsable]],[2]!Provision_CXC[[ID CXP]:[DETRACCION]],47,0),"")</f>
        <v/>
      </c>
      <c r="Z87" s="3"/>
      <c r="AA87" s="24" t="str">
        <f>IF(Banco_Nacion[[#This Row],[fecha]]&gt;0,TEXT(Banco_Nacion[[#This Row],[fecha]],"mmmm"),0)</f>
        <v>Febrero</v>
      </c>
    </row>
    <row r="88" spans="1:27" x14ac:dyDescent="0.3">
      <c r="A88" s="2">
        <f>IF(Banco_Nacion[[#This Row],[tipo_registro]]="R",COUNTIFS($C$1:$C87,"R")+1,"")</f>
        <v>87</v>
      </c>
      <c r="B88" s="19" t="str">
        <f t="shared" si="5"/>
        <v>B-Banco de la Nacion</v>
      </c>
      <c r="C88" s="3" t="s">
        <v>1330</v>
      </c>
      <c r="D88" s="14">
        <v>45691</v>
      </c>
      <c r="E88" s="5">
        <v>20455283915</v>
      </c>
      <c r="F88" s="5" t="s">
        <v>1303</v>
      </c>
      <c r="G88" s="6" t="s">
        <v>425</v>
      </c>
      <c r="H88" s="6" t="s">
        <v>68</v>
      </c>
      <c r="I88" s="6" t="s">
        <v>1353</v>
      </c>
      <c r="J88" s="6">
        <v>169</v>
      </c>
      <c r="K88" s="7" t="s">
        <v>5232</v>
      </c>
      <c r="L88" s="8">
        <v>66057682</v>
      </c>
      <c r="M88" s="8" t="str">
        <f t="shared" si="6"/>
        <v>PEN</v>
      </c>
      <c r="N88" s="13"/>
      <c r="O88" s="13">
        <v>548</v>
      </c>
      <c r="P88" s="3">
        <f t="shared" si="7"/>
        <v>548</v>
      </c>
      <c r="Q88" s="3">
        <f t="shared" si="8"/>
        <v>0</v>
      </c>
      <c r="R88" s="3">
        <f t="shared" si="9"/>
        <v>53732.010000000009</v>
      </c>
      <c r="S88" s="24"/>
      <c r="T88" s="24" t="s">
        <v>1334</v>
      </c>
      <c r="U88" s="3"/>
      <c r="V88" s="19" t="str">
        <f>IFERROR(VLOOKUP(Banco_Nacion[[#This Row],[responsable]],Clientes_Proveedores[[Ruc / Dni]:[Razon Social]],2,0),"")</f>
        <v>EMPRESA CONSERVADORA AMBIENTAL DEL SUR E.I.R.L. - ECA SUR E.I.R.L.</v>
      </c>
      <c r="W88" s="19" t="str">
        <f>IF(Banco_Nacion[[#This Row],[tipo_mov]]="INGRESO",Banco_Nacion[[#This Row],[serie]]&amp;Banco_Nacion[[#This Row],[numero]]&amp;Banco_Nacion[[#This Row],[responsable]]&amp;Banco_Nacion[[#This Row],[monto]],"")</f>
        <v>FE0216920455283915548</v>
      </c>
      <c r="X88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66057682</v>
      </c>
      <c r="Y88" s="3" t="str">
        <f>IFERROR(VLOOKUP(Banco_Nacion[[#This Row],[serie]]&amp;Banco_Nacion[[#This Row],[numero]]&amp;Banco_Nacion[[#This Row],[responsable]],[2]!Provision_CXC[[ID CXP]:[DETRACCION]],47,0),"")</f>
        <v/>
      </c>
      <c r="Z88" s="3"/>
      <c r="AA88" s="24" t="str">
        <f>IF(Banco_Nacion[[#This Row],[fecha]]&gt;0,TEXT(Banco_Nacion[[#This Row],[fecha]],"mmmm"),0)</f>
        <v>Febrero</v>
      </c>
    </row>
    <row r="89" spans="1:27" x14ac:dyDescent="0.3">
      <c r="A89" s="2">
        <f>IF(Banco_Nacion[[#This Row],[tipo_registro]]="R",COUNTIFS($C$1:$C88,"R")+1,"")</f>
        <v>88</v>
      </c>
      <c r="B89" s="19" t="str">
        <f t="shared" si="5"/>
        <v>B-Banco de la Nacion</v>
      </c>
      <c r="C89" s="3" t="s">
        <v>1330</v>
      </c>
      <c r="D89" s="14">
        <v>45691</v>
      </c>
      <c r="E89" s="5">
        <v>20603536569</v>
      </c>
      <c r="F89" s="5" t="s">
        <v>1303</v>
      </c>
      <c r="G89" s="6" t="s">
        <v>425</v>
      </c>
      <c r="H89" s="6" t="s">
        <v>68</v>
      </c>
      <c r="I89" s="6" t="s">
        <v>1343</v>
      </c>
      <c r="J89" s="6">
        <v>528</v>
      </c>
      <c r="K89" s="7" t="s">
        <v>5232</v>
      </c>
      <c r="L89" s="8">
        <v>66034250</v>
      </c>
      <c r="M89" s="8" t="str">
        <f t="shared" si="6"/>
        <v>PEN</v>
      </c>
      <c r="N89" s="13"/>
      <c r="O89" s="13">
        <v>577</v>
      </c>
      <c r="P89" s="3">
        <f t="shared" si="7"/>
        <v>577</v>
      </c>
      <c r="Q89" s="3">
        <f t="shared" si="8"/>
        <v>0</v>
      </c>
      <c r="R89" s="3">
        <f t="shared" si="9"/>
        <v>54309.010000000009</v>
      </c>
      <c r="S89" s="24"/>
      <c r="T89" s="24" t="s">
        <v>1334</v>
      </c>
      <c r="U89" s="3"/>
      <c r="V89" s="19" t="str">
        <f>IFERROR(VLOOKUP(Banco_Nacion[[#This Row],[responsable]],Clientes_Proveedores[[Ruc / Dni]:[Razon Social]],2,0),"")</f>
        <v>ANTILLA COPPER SOCIEDAD ANONIMA</v>
      </c>
      <c r="W89" s="19" t="str">
        <f>IF(Banco_Nacion[[#This Row],[tipo_mov]]="INGRESO",Banco_Nacion[[#This Row],[serie]]&amp;Banco_Nacion[[#This Row],[numero]]&amp;Banco_Nacion[[#This Row],[responsable]]&amp;Banco_Nacion[[#This Row],[monto]],"")</f>
        <v>FE0152820603536569577</v>
      </c>
      <c r="X89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66034250</v>
      </c>
      <c r="Y89" s="3" t="str">
        <f>IFERROR(VLOOKUP(Banco_Nacion[[#This Row],[serie]]&amp;Banco_Nacion[[#This Row],[numero]]&amp;Banco_Nacion[[#This Row],[responsable]],[2]!Provision_CXC[[ID CXP]:[DETRACCION]],47,0),"")</f>
        <v/>
      </c>
      <c r="Z89" s="3"/>
      <c r="AA89" s="24" t="str">
        <f>IF(Banco_Nacion[[#This Row],[fecha]]&gt;0,TEXT(Banco_Nacion[[#This Row],[fecha]],"mmmm"),0)</f>
        <v>Febrero</v>
      </c>
    </row>
    <row r="90" spans="1:27" x14ac:dyDescent="0.3">
      <c r="A90" s="2">
        <f>IF(Banco_Nacion[[#This Row],[tipo_registro]]="R",COUNTIFS($C$1:$C89,"R")+1,"")</f>
        <v>89</v>
      </c>
      <c r="B90" s="19" t="str">
        <f t="shared" si="5"/>
        <v>B-Banco de la Nacion</v>
      </c>
      <c r="C90" s="3" t="s">
        <v>1330</v>
      </c>
      <c r="D90" s="14">
        <v>45692</v>
      </c>
      <c r="E90" s="5">
        <v>20370146994</v>
      </c>
      <c r="F90" s="5" t="s">
        <v>1303</v>
      </c>
      <c r="G90" s="6" t="s">
        <v>425</v>
      </c>
      <c r="H90" s="6" t="s">
        <v>68</v>
      </c>
      <c r="I90" s="6" t="s">
        <v>1353</v>
      </c>
      <c r="J90" s="6">
        <v>188</v>
      </c>
      <c r="K90" s="7" t="s">
        <v>5232</v>
      </c>
      <c r="L90" s="8">
        <v>66211876</v>
      </c>
      <c r="M90" s="8" t="str">
        <f t="shared" si="6"/>
        <v>PEN</v>
      </c>
      <c r="N90" s="13"/>
      <c r="O90" s="13">
        <v>3589</v>
      </c>
      <c r="P90" s="3">
        <f t="shared" si="7"/>
        <v>3589</v>
      </c>
      <c r="Q90" s="3">
        <f t="shared" si="8"/>
        <v>0</v>
      </c>
      <c r="R90" s="3">
        <f t="shared" si="9"/>
        <v>57898.010000000009</v>
      </c>
      <c r="S90" s="24"/>
      <c r="T90" s="24" t="s">
        <v>1334</v>
      </c>
      <c r="U90" s="3"/>
      <c r="V90" s="19" t="str">
        <f>IFERROR(VLOOKUP(Banco_Nacion[[#This Row],[responsable]],Clientes_Proveedores[[Ruc / Dni]:[Razon Social]],2,0),"")</f>
        <v>CORPORACION ACEROS AREQUIPA S.A</v>
      </c>
      <c r="W90" s="19" t="str">
        <f>IF(Banco_Nacion[[#This Row],[tipo_mov]]="INGRESO",Banco_Nacion[[#This Row],[serie]]&amp;Banco_Nacion[[#This Row],[numero]]&amp;Banco_Nacion[[#This Row],[responsable]]&amp;Banco_Nacion[[#This Row],[monto]],"")</f>
        <v>FE02188203701469943589</v>
      </c>
      <c r="X90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66211876</v>
      </c>
      <c r="Y90" s="3" t="str">
        <f>IFERROR(VLOOKUP(Banco_Nacion[[#This Row],[serie]]&amp;Banco_Nacion[[#This Row],[numero]]&amp;Banco_Nacion[[#This Row],[responsable]],[2]!Provision_CXC[[ID CXP]:[DETRACCION]],47,0),"")</f>
        <v/>
      </c>
      <c r="Z90" s="3"/>
      <c r="AA90" s="24" t="str">
        <f>IF(Banco_Nacion[[#This Row],[fecha]]&gt;0,TEXT(Banco_Nacion[[#This Row],[fecha]],"mmmm"),0)</f>
        <v>Febrero</v>
      </c>
    </row>
    <row r="91" spans="1:27" x14ac:dyDescent="0.3">
      <c r="A91" s="2">
        <f>IF(Banco_Nacion[[#This Row],[tipo_registro]]="R",COUNTIFS($C$1:$C90,"R")+1,"")</f>
        <v>90</v>
      </c>
      <c r="B91" s="19" t="str">
        <f t="shared" si="5"/>
        <v>B-Banco de la Nacion</v>
      </c>
      <c r="C91" s="3" t="s">
        <v>1330</v>
      </c>
      <c r="D91" s="14">
        <v>45692</v>
      </c>
      <c r="E91" s="5">
        <v>20100055237</v>
      </c>
      <c r="F91" s="5" t="s">
        <v>1303</v>
      </c>
      <c r="G91" s="6" t="s">
        <v>425</v>
      </c>
      <c r="H91" s="6" t="s">
        <v>68</v>
      </c>
      <c r="I91" s="6" t="s">
        <v>1343</v>
      </c>
      <c r="J91" s="6">
        <v>532</v>
      </c>
      <c r="K91" s="7" t="s">
        <v>5232</v>
      </c>
      <c r="L91" s="8">
        <v>66196043</v>
      </c>
      <c r="M91" s="8" t="str">
        <f t="shared" si="6"/>
        <v>PEN</v>
      </c>
      <c r="N91" s="13"/>
      <c r="O91" s="13">
        <v>70</v>
      </c>
      <c r="P91" s="3">
        <f t="shared" si="7"/>
        <v>70</v>
      </c>
      <c r="Q91" s="3">
        <f t="shared" si="8"/>
        <v>0</v>
      </c>
      <c r="R91" s="3">
        <f t="shared" si="9"/>
        <v>57968.010000000009</v>
      </c>
      <c r="S91" s="24"/>
      <c r="T91" s="24" t="s">
        <v>1334</v>
      </c>
      <c r="U91" s="3"/>
      <c r="V91" s="19" t="str">
        <f>IFERROR(VLOOKUP(Banco_Nacion[[#This Row],[responsable]],Clientes_Proveedores[[Ruc / Dni]:[Razon Social]],2,0),"")</f>
        <v>ALICORP SAA</v>
      </c>
      <c r="W91" s="19" t="str">
        <f>IF(Banco_Nacion[[#This Row],[tipo_mov]]="INGRESO",Banco_Nacion[[#This Row],[serie]]&amp;Banco_Nacion[[#This Row],[numero]]&amp;Banco_Nacion[[#This Row],[responsable]]&amp;Banco_Nacion[[#This Row],[monto]],"")</f>
        <v>FE015322010005523770</v>
      </c>
      <c r="X91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66196043</v>
      </c>
      <c r="Y91" s="3" t="str">
        <f>IFERROR(VLOOKUP(Banco_Nacion[[#This Row],[serie]]&amp;Banco_Nacion[[#This Row],[numero]]&amp;Banco_Nacion[[#This Row],[responsable]],[2]!Provision_CXC[[ID CXP]:[DETRACCION]],47,0),"")</f>
        <v/>
      </c>
      <c r="Z91" s="3"/>
      <c r="AA91" s="24" t="str">
        <f>IF(Banco_Nacion[[#This Row],[fecha]]&gt;0,TEXT(Banco_Nacion[[#This Row],[fecha]],"mmmm"),0)</f>
        <v>Febrero</v>
      </c>
    </row>
    <row r="92" spans="1:27" x14ac:dyDescent="0.3">
      <c r="A92" s="2">
        <f>IF(Banco_Nacion[[#This Row],[tipo_registro]]="R",COUNTIFS($C$1:$C91,"R")+1,"")</f>
        <v>91</v>
      </c>
      <c r="B92" s="19" t="str">
        <f t="shared" si="5"/>
        <v>B-Banco de la Nacion</v>
      </c>
      <c r="C92" s="3" t="s">
        <v>1330</v>
      </c>
      <c r="D92" s="14">
        <v>45692</v>
      </c>
      <c r="E92" s="5">
        <v>20521817047</v>
      </c>
      <c r="F92" s="5" t="s">
        <v>1303</v>
      </c>
      <c r="G92" s="6" t="s">
        <v>425</v>
      </c>
      <c r="H92" s="6" t="s">
        <v>68</v>
      </c>
      <c r="I92" s="6" t="s">
        <v>1343</v>
      </c>
      <c r="J92" s="6">
        <v>521</v>
      </c>
      <c r="K92" s="7" t="s">
        <v>5232</v>
      </c>
      <c r="L92" s="8">
        <v>66147197</v>
      </c>
      <c r="M92" s="8" t="str">
        <f t="shared" si="6"/>
        <v>PEN</v>
      </c>
      <c r="N92" s="13"/>
      <c r="O92" s="13">
        <v>483</v>
      </c>
      <c r="P92" s="3">
        <f t="shared" si="7"/>
        <v>483</v>
      </c>
      <c r="Q92" s="3">
        <f t="shared" si="8"/>
        <v>0</v>
      </c>
      <c r="R92" s="3">
        <f t="shared" si="9"/>
        <v>58451.010000000009</v>
      </c>
      <c r="S92" s="24"/>
      <c r="T92" s="24" t="s">
        <v>1334</v>
      </c>
      <c r="U92" s="3"/>
      <c r="V92" s="19" t="str">
        <f>IFERROR(VLOOKUP(Banco_Nacion[[#This Row],[responsable]],Clientes_Proveedores[[Ruc / Dni]:[Razon Social]],2,0),"")</f>
        <v>H-E PARTS INTERNATIONAL PERU S.A.C</v>
      </c>
      <c r="W92" s="19" t="str">
        <f>IF(Banco_Nacion[[#This Row],[tipo_mov]]="INGRESO",Banco_Nacion[[#This Row],[serie]]&amp;Banco_Nacion[[#This Row],[numero]]&amp;Banco_Nacion[[#This Row],[responsable]]&amp;Banco_Nacion[[#This Row],[monto]],"")</f>
        <v>FE0152120521817047483</v>
      </c>
      <c r="X92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66147197</v>
      </c>
      <c r="Y92" s="3" t="str">
        <f>IFERROR(VLOOKUP(Banco_Nacion[[#This Row],[serie]]&amp;Banco_Nacion[[#This Row],[numero]]&amp;Banco_Nacion[[#This Row],[responsable]],[2]!Provision_CXC[[ID CXP]:[DETRACCION]],47,0),"")</f>
        <v/>
      </c>
      <c r="Z92" s="3"/>
      <c r="AA92" s="24" t="str">
        <f>IF(Banco_Nacion[[#This Row],[fecha]]&gt;0,TEXT(Banco_Nacion[[#This Row],[fecha]],"mmmm"),0)</f>
        <v>Febrero</v>
      </c>
    </row>
    <row r="93" spans="1:27" x14ac:dyDescent="0.3">
      <c r="A93" s="2">
        <f>IF(Banco_Nacion[[#This Row],[tipo_registro]]="R",COUNTIFS($C$1:$C92,"R")+1,"")</f>
        <v>92</v>
      </c>
      <c r="B93" s="19" t="str">
        <f t="shared" si="5"/>
        <v>B-Banco de la Nacion</v>
      </c>
      <c r="C93" s="3" t="s">
        <v>1330</v>
      </c>
      <c r="D93" s="14">
        <v>45694</v>
      </c>
      <c r="E93" s="5">
        <v>20516903113</v>
      </c>
      <c r="F93" s="5" t="s">
        <v>1303</v>
      </c>
      <c r="G93" s="6" t="s">
        <v>425</v>
      </c>
      <c r="H93" s="6" t="s">
        <v>68</v>
      </c>
      <c r="I93" s="6" t="s">
        <v>1343</v>
      </c>
      <c r="J93" s="6">
        <v>509</v>
      </c>
      <c r="K93" s="7" t="s">
        <v>5232</v>
      </c>
      <c r="L93" s="8">
        <v>66488274</v>
      </c>
      <c r="M93" s="8" t="str">
        <f t="shared" si="6"/>
        <v>PEN</v>
      </c>
      <c r="N93" s="13"/>
      <c r="O93" s="13">
        <v>86</v>
      </c>
      <c r="P93" s="3">
        <f t="shared" si="7"/>
        <v>86</v>
      </c>
      <c r="Q93" s="3">
        <f t="shared" si="8"/>
        <v>0</v>
      </c>
      <c r="R93" s="3">
        <f t="shared" si="9"/>
        <v>58537.010000000009</v>
      </c>
      <c r="S93" s="24" t="s">
        <v>1334</v>
      </c>
      <c r="T93" s="24" t="s">
        <v>1334</v>
      </c>
      <c r="U93" s="3"/>
      <c r="V93" s="19" t="str">
        <f>IFERROR(VLOOKUP(Banco_Nacion[[#This Row],[responsable]],Clientes_Proveedores[[Ruc / Dni]:[Razon Social]],2,0),"")</f>
        <v>GRUPO DE GESTION C SOCIEDAD ANONIMA - GRUPO DE GESTION C S.A.</v>
      </c>
      <c r="W93" s="19" t="str">
        <f>IF(Banco_Nacion[[#This Row],[tipo_mov]]="INGRESO",Banco_Nacion[[#This Row],[serie]]&amp;Banco_Nacion[[#This Row],[numero]]&amp;Banco_Nacion[[#This Row],[responsable]]&amp;Banco_Nacion[[#This Row],[monto]],"")</f>
        <v>FE015092051690311386</v>
      </c>
      <c r="X93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66488274</v>
      </c>
      <c r="Y93" s="3" t="str">
        <f>IFERROR(VLOOKUP(Banco_Nacion[[#This Row],[serie]]&amp;Banco_Nacion[[#This Row],[numero]]&amp;Banco_Nacion[[#This Row],[responsable]],[2]!Provision_CXC[[ID CXP]:[DETRACCION]],47,0),"")</f>
        <v/>
      </c>
      <c r="Z93" s="3"/>
      <c r="AA93" s="24" t="str">
        <f>IF(Banco_Nacion[[#This Row],[fecha]]&gt;0,TEXT(Banco_Nacion[[#This Row],[fecha]],"mmmm"),0)</f>
        <v>Febrero</v>
      </c>
    </row>
    <row r="94" spans="1:27" x14ac:dyDescent="0.3">
      <c r="A94" s="2">
        <f>IF(Banco_Nacion[[#This Row],[tipo_registro]]="R",COUNTIFS($C$1:$C93,"R")+1,"")</f>
        <v>93</v>
      </c>
      <c r="B94" s="19" t="str">
        <f t="shared" si="5"/>
        <v>B-Banco de la Nacion</v>
      </c>
      <c r="C94" s="3" t="s">
        <v>1330</v>
      </c>
      <c r="D94" s="14">
        <v>45694</v>
      </c>
      <c r="E94" s="5">
        <v>20100192064</v>
      </c>
      <c r="F94" s="5" t="s">
        <v>1303</v>
      </c>
      <c r="G94" s="6" t="s">
        <v>425</v>
      </c>
      <c r="H94" s="6" t="s">
        <v>68</v>
      </c>
      <c r="I94" s="6" t="s">
        <v>1343</v>
      </c>
      <c r="J94" s="6">
        <v>539</v>
      </c>
      <c r="K94" s="7" t="s">
        <v>5232</v>
      </c>
      <c r="L94" s="8">
        <v>66448402</v>
      </c>
      <c r="M94" s="8" t="str">
        <f t="shared" si="6"/>
        <v>PEN</v>
      </c>
      <c r="N94" s="13"/>
      <c r="O94" s="13">
        <v>424</v>
      </c>
      <c r="P94" s="3">
        <f t="shared" si="7"/>
        <v>424</v>
      </c>
      <c r="Q94" s="3">
        <f t="shared" si="8"/>
        <v>0</v>
      </c>
      <c r="R94" s="3">
        <f t="shared" si="9"/>
        <v>58961.010000000009</v>
      </c>
      <c r="S94" s="24"/>
      <c r="T94" s="24" t="s">
        <v>1334</v>
      </c>
      <c r="U94" s="3"/>
      <c r="V94" s="19" t="str">
        <f>IFERROR(VLOOKUP(Banco_Nacion[[#This Row],[responsable]],Clientes_Proveedores[[Ruc / Dni]:[Razon Social]],2,0),"")</f>
        <v>MOLY-COP ADESUR S.A</v>
      </c>
      <c r="W94" s="19" t="str">
        <f>IF(Banco_Nacion[[#This Row],[tipo_mov]]="INGRESO",Banco_Nacion[[#This Row],[serie]]&amp;Banco_Nacion[[#This Row],[numero]]&amp;Banco_Nacion[[#This Row],[responsable]]&amp;Banco_Nacion[[#This Row],[monto]],"")</f>
        <v>FE0153920100192064424</v>
      </c>
      <c r="X94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66448402</v>
      </c>
      <c r="Y94" s="3" t="str">
        <f>IFERROR(VLOOKUP(Banco_Nacion[[#This Row],[serie]]&amp;Banco_Nacion[[#This Row],[numero]]&amp;Banco_Nacion[[#This Row],[responsable]],[2]!Provision_CXC[[ID CXP]:[DETRACCION]],47,0),"")</f>
        <v/>
      </c>
      <c r="Z94" s="3"/>
      <c r="AA94" s="24" t="str">
        <f>IF(Banco_Nacion[[#This Row],[fecha]]&gt;0,TEXT(Banco_Nacion[[#This Row],[fecha]],"mmmm"),0)</f>
        <v>Febrero</v>
      </c>
    </row>
    <row r="95" spans="1:27" x14ac:dyDescent="0.3">
      <c r="A95" s="2">
        <f>IF(Banco_Nacion[[#This Row],[tipo_registro]]="R",COUNTIFS($C$1:$C94,"R")+1,"")</f>
        <v>94</v>
      </c>
      <c r="B95" s="19" t="str">
        <f t="shared" si="5"/>
        <v>B-Banco de la Nacion</v>
      </c>
      <c r="C95" s="3" t="s">
        <v>1330</v>
      </c>
      <c r="D95" s="14">
        <v>45694</v>
      </c>
      <c r="E95" s="5">
        <v>20100192064</v>
      </c>
      <c r="F95" s="5" t="s">
        <v>1303</v>
      </c>
      <c r="G95" s="6" t="s">
        <v>425</v>
      </c>
      <c r="H95" s="6" t="s">
        <v>68</v>
      </c>
      <c r="I95" s="6" t="s">
        <v>1343</v>
      </c>
      <c r="J95" s="6">
        <v>535</v>
      </c>
      <c r="K95" s="7" t="s">
        <v>5232</v>
      </c>
      <c r="L95" s="8">
        <v>66448370</v>
      </c>
      <c r="M95" s="8" t="str">
        <f t="shared" si="6"/>
        <v>PEN</v>
      </c>
      <c r="N95" s="13"/>
      <c r="O95" s="13">
        <v>728</v>
      </c>
      <c r="P95" s="3">
        <f t="shared" si="7"/>
        <v>728</v>
      </c>
      <c r="Q95" s="3">
        <f t="shared" si="8"/>
        <v>0</v>
      </c>
      <c r="R95" s="3">
        <f t="shared" si="9"/>
        <v>59689.010000000009</v>
      </c>
      <c r="S95" s="24"/>
      <c r="T95" s="24" t="s">
        <v>1334</v>
      </c>
      <c r="U95" s="3"/>
      <c r="V95" s="19" t="str">
        <f>IFERROR(VLOOKUP(Banco_Nacion[[#This Row],[responsable]],Clientes_Proveedores[[Ruc / Dni]:[Razon Social]],2,0),"")</f>
        <v>MOLY-COP ADESUR S.A</v>
      </c>
      <c r="W95" s="19" t="str">
        <f>IF(Banco_Nacion[[#This Row],[tipo_mov]]="INGRESO",Banco_Nacion[[#This Row],[serie]]&amp;Banco_Nacion[[#This Row],[numero]]&amp;Banco_Nacion[[#This Row],[responsable]]&amp;Banco_Nacion[[#This Row],[monto]],"")</f>
        <v>FE0153520100192064728</v>
      </c>
      <c r="X95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66448370</v>
      </c>
      <c r="Y95" s="3" t="str">
        <f>IFERROR(VLOOKUP(Banco_Nacion[[#This Row],[serie]]&amp;Banco_Nacion[[#This Row],[numero]]&amp;Banco_Nacion[[#This Row],[responsable]],[2]!Provision_CXC[[ID CXP]:[DETRACCION]],47,0),"")</f>
        <v/>
      </c>
      <c r="Z95" s="3"/>
      <c r="AA95" s="24" t="str">
        <f>IF(Banco_Nacion[[#This Row],[fecha]]&gt;0,TEXT(Banco_Nacion[[#This Row],[fecha]],"mmmm"),0)</f>
        <v>Febrero</v>
      </c>
    </row>
    <row r="96" spans="1:27" x14ac:dyDescent="0.3">
      <c r="A96" s="2">
        <f>IF(Banco_Nacion[[#This Row],[tipo_registro]]="R",COUNTIFS($C$1:$C95,"R")+1,"")</f>
        <v>95</v>
      </c>
      <c r="B96" s="19" t="str">
        <f t="shared" si="5"/>
        <v>B-Banco de la Nacion</v>
      </c>
      <c r="C96" s="3" t="s">
        <v>1330</v>
      </c>
      <c r="D96" s="14">
        <v>45694</v>
      </c>
      <c r="E96" s="5">
        <v>20100192064</v>
      </c>
      <c r="F96" s="5" t="s">
        <v>1303</v>
      </c>
      <c r="G96" s="6" t="s">
        <v>425</v>
      </c>
      <c r="H96" s="6" t="s">
        <v>68</v>
      </c>
      <c r="I96" s="6" t="s">
        <v>1343</v>
      </c>
      <c r="J96" s="6">
        <v>534</v>
      </c>
      <c r="K96" s="7" t="s">
        <v>5232</v>
      </c>
      <c r="L96" s="8">
        <v>66448369</v>
      </c>
      <c r="M96" s="8" t="str">
        <f t="shared" si="6"/>
        <v>PEN</v>
      </c>
      <c r="N96" s="13"/>
      <c r="O96" s="13">
        <v>1130</v>
      </c>
      <c r="P96" s="3">
        <f t="shared" si="7"/>
        <v>1130</v>
      </c>
      <c r="Q96" s="3">
        <f t="shared" si="8"/>
        <v>0</v>
      </c>
      <c r="R96" s="3">
        <f t="shared" si="9"/>
        <v>60819.010000000009</v>
      </c>
      <c r="S96" s="24"/>
      <c r="T96" s="24" t="s">
        <v>1334</v>
      </c>
      <c r="U96" s="3"/>
      <c r="V96" s="19" t="str">
        <f>IFERROR(VLOOKUP(Banco_Nacion[[#This Row],[responsable]],Clientes_Proveedores[[Ruc / Dni]:[Razon Social]],2,0),"")</f>
        <v>MOLY-COP ADESUR S.A</v>
      </c>
      <c r="W96" s="19" t="str">
        <f>IF(Banco_Nacion[[#This Row],[tipo_mov]]="INGRESO",Banco_Nacion[[#This Row],[serie]]&amp;Banco_Nacion[[#This Row],[numero]]&amp;Banco_Nacion[[#This Row],[responsable]]&amp;Banco_Nacion[[#This Row],[monto]],"")</f>
        <v>FE01534201001920641130</v>
      </c>
      <c r="X96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66448369</v>
      </c>
      <c r="Y96" s="3" t="str">
        <f>IFERROR(VLOOKUP(Banco_Nacion[[#This Row],[serie]]&amp;Banco_Nacion[[#This Row],[numero]]&amp;Banco_Nacion[[#This Row],[responsable]],[2]!Provision_CXC[[ID CXP]:[DETRACCION]],47,0),"")</f>
        <v/>
      </c>
      <c r="Z96" s="3"/>
      <c r="AA96" s="24" t="str">
        <f>IF(Banco_Nacion[[#This Row],[fecha]]&gt;0,TEXT(Banco_Nacion[[#This Row],[fecha]],"mmmm"),0)</f>
        <v>Febrero</v>
      </c>
    </row>
    <row r="97" spans="1:27" x14ac:dyDescent="0.3">
      <c r="A97" s="2">
        <f>IF(Banco_Nacion[[#This Row],[tipo_registro]]="R",COUNTIFS($C$1:$C96,"R")+1,"")</f>
        <v>96</v>
      </c>
      <c r="B97" s="19" t="str">
        <f t="shared" si="5"/>
        <v>B-Banco de la Nacion</v>
      </c>
      <c r="C97" s="3" t="s">
        <v>1330</v>
      </c>
      <c r="D97" s="14">
        <v>45694</v>
      </c>
      <c r="E97" s="5">
        <v>20100192064</v>
      </c>
      <c r="F97" s="5" t="s">
        <v>1303</v>
      </c>
      <c r="G97" s="6" t="s">
        <v>425</v>
      </c>
      <c r="H97" s="6" t="s">
        <v>68</v>
      </c>
      <c r="I97" s="6" t="s">
        <v>1343</v>
      </c>
      <c r="J97" s="6">
        <v>533</v>
      </c>
      <c r="K97" s="7" t="s">
        <v>5232</v>
      </c>
      <c r="L97" s="8">
        <v>66448368</v>
      </c>
      <c r="M97" s="8" t="str">
        <f t="shared" si="6"/>
        <v>PEN</v>
      </c>
      <c r="N97" s="13"/>
      <c r="O97" s="13">
        <v>64</v>
      </c>
      <c r="P97" s="3">
        <f t="shared" si="7"/>
        <v>64</v>
      </c>
      <c r="Q97" s="3">
        <f t="shared" si="8"/>
        <v>0</v>
      </c>
      <c r="R97" s="3">
        <f t="shared" si="9"/>
        <v>60883.010000000009</v>
      </c>
      <c r="S97" s="24"/>
      <c r="T97" s="24" t="s">
        <v>1334</v>
      </c>
      <c r="U97" s="3"/>
      <c r="V97" s="19" t="str">
        <f>IFERROR(VLOOKUP(Banco_Nacion[[#This Row],[responsable]],Clientes_Proveedores[[Ruc / Dni]:[Razon Social]],2,0),"")</f>
        <v>MOLY-COP ADESUR S.A</v>
      </c>
      <c r="W97" s="19" t="str">
        <f>IF(Banco_Nacion[[#This Row],[tipo_mov]]="INGRESO",Banco_Nacion[[#This Row],[serie]]&amp;Banco_Nacion[[#This Row],[numero]]&amp;Banco_Nacion[[#This Row],[responsable]]&amp;Banco_Nacion[[#This Row],[monto]],"")</f>
        <v>FE015332010019206464</v>
      </c>
      <c r="X97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66448368</v>
      </c>
      <c r="Y97" s="3" t="str">
        <f>IFERROR(VLOOKUP(Banco_Nacion[[#This Row],[serie]]&amp;Banco_Nacion[[#This Row],[numero]]&amp;Banco_Nacion[[#This Row],[responsable]],[2]!Provision_CXC[[ID CXP]:[DETRACCION]],47,0),"")</f>
        <v/>
      </c>
      <c r="Z97" s="3"/>
      <c r="AA97" s="24" t="str">
        <f>IF(Banco_Nacion[[#This Row],[fecha]]&gt;0,TEXT(Banco_Nacion[[#This Row],[fecha]],"mmmm"),0)</f>
        <v>Febrero</v>
      </c>
    </row>
    <row r="98" spans="1:27" x14ac:dyDescent="0.3">
      <c r="A98" s="2">
        <f>IF(Banco_Nacion[[#This Row],[tipo_registro]]="R",COUNTIFS($C$1:$C97,"R")+1,"")</f>
        <v>97</v>
      </c>
      <c r="B98" s="19" t="str">
        <f t="shared" si="5"/>
        <v>B-Banco de la Nacion</v>
      </c>
      <c r="C98" s="3" t="s">
        <v>1330</v>
      </c>
      <c r="D98" s="14">
        <v>45695</v>
      </c>
      <c r="E98" s="5">
        <v>20419158462</v>
      </c>
      <c r="F98" s="5" t="s">
        <v>1303</v>
      </c>
      <c r="G98" s="6" t="s">
        <v>425</v>
      </c>
      <c r="H98" s="6" t="s">
        <v>68</v>
      </c>
      <c r="I98" s="6" t="s">
        <v>1343</v>
      </c>
      <c r="J98" s="6">
        <v>517</v>
      </c>
      <c r="K98" s="7" t="s">
        <v>5232</v>
      </c>
      <c r="L98" s="8">
        <v>66766040</v>
      </c>
      <c r="M98" s="8" t="str">
        <f t="shared" si="6"/>
        <v>PEN</v>
      </c>
      <c r="N98" s="13"/>
      <c r="O98" s="13">
        <v>202</v>
      </c>
      <c r="P98" s="3">
        <f t="shared" si="7"/>
        <v>202</v>
      </c>
      <c r="Q98" s="3">
        <f t="shared" si="8"/>
        <v>0</v>
      </c>
      <c r="R98" s="3">
        <f t="shared" si="9"/>
        <v>61085.010000000009</v>
      </c>
      <c r="S98" s="24"/>
      <c r="T98" s="24" t="s">
        <v>1334</v>
      </c>
      <c r="U98" s="3"/>
      <c r="V98" s="19" t="str">
        <f>IFERROR(VLOOKUP(Banco_Nacion[[#This Row],[responsable]],Clientes_Proveedores[[Ruc / Dni]:[Razon Social]],2,0),"")</f>
        <v>GRANJA RINCONADA DEL SUR S.A.</v>
      </c>
      <c r="W98" s="19" t="str">
        <f>IF(Banco_Nacion[[#This Row],[tipo_mov]]="INGRESO",Banco_Nacion[[#This Row],[serie]]&amp;Banco_Nacion[[#This Row],[numero]]&amp;Banco_Nacion[[#This Row],[responsable]]&amp;Banco_Nacion[[#This Row],[monto]],"")</f>
        <v>FE0151720419158462202</v>
      </c>
      <c r="X98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66766040</v>
      </c>
      <c r="Y98" s="3" t="str">
        <f>IFERROR(VLOOKUP(Banco_Nacion[[#This Row],[serie]]&amp;Banco_Nacion[[#This Row],[numero]]&amp;Banco_Nacion[[#This Row],[responsable]],[2]!Provision_CXC[[ID CXP]:[DETRACCION]],47,0),"")</f>
        <v/>
      </c>
      <c r="Z98" s="3"/>
      <c r="AA98" s="24" t="str">
        <f>IF(Banco_Nacion[[#This Row],[fecha]]&gt;0,TEXT(Banco_Nacion[[#This Row],[fecha]],"mmmm"),0)</f>
        <v>Febrero</v>
      </c>
    </row>
    <row r="99" spans="1:27" x14ac:dyDescent="0.3">
      <c r="A99" s="2">
        <f>IF(Banco_Nacion[[#This Row],[tipo_registro]]="R",COUNTIFS($C$1:$C98,"R")+1,"")</f>
        <v>98</v>
      </c>
      <c r="B99" s="19" t="str">
        <f t="shared" si="5"/>
        <v>B-Banco de la Nacion</v>
      </c>
      <c r="C99" s="3" t="s">
        <v>1330</v>
      </c>
      <c r="D99" s="14">
        <v>45695</v>
      </c>
      <c r="E99" s="5">
        <v>20419158462</v>
      </c>
      <c r="F99" s="5" t="s">
        <v>1303</v>
      </c>
      <c r="G99" s="6" t="s">
        <v>425</v>
      </c>
      <c r="H99" s="6" t="s">
        <v>68</v>
      </c>
      <c r="I99" s="6" t="s">
        <v>1343</v>
      </c>
      <c r="J99" s="6">
        <v>518</v>
      </c>
      <c r="K99" s="7" t="s">
        <v>5232</v>
      </c>
      <c r="L99" s="8">
        <v>66766039</v>
      </c>
      <c r="M99" s="8" t="str">
        <f t="shared" si="6"/>
        <v>PEN</v>
      </c>
      <c r="N99" s="13"/>
      <c r="O99" s="13">
        <v>202</v>
      </c>
      <c r="P99" s="3">
        <f t="shared" si="7"/>
        <v>202</v>
      </c>
      <c r="Q99" s="3">
        <f t="shared" si="8"/>
        <v>0</v>
      </c>
      <c r="R99" s="3">
        <f t="shared" si="9"/>
        <v>61287.010000000009</v>
      </c>
      <c r="S99" s="24"/>
      <c r="T99" s="24" t="s">
        <v>1334</v>
      </c>
      <c r="U99" s="3"/>
      <c r="V99" s="19" t="str">
        <f>IFERROR(VLOOKUP(Banco_Nacion[[#This Row],[responsable]],Clientes_Proveedores[[Ruc / Dni]:[Razon Social]],2,0),"")</f>
        <v>GRANJA RINCONADA DEL SUR S.A.</v>
      </c>
      <c r="W99" s="19" t="str">
        <f>IF(Banco_Nacion[[#This Row],[tipo_mov]]="INGRESO",Banco_Nacion[[#This Row],[serie]]&amp;Banco_Nacion[[#This Row],[numero]]&amp;Banco_Nacion[[#This Row],[responsable]]&amp;Banco_Nacion[[#This Row],[monto]],"")</f>
        <v>FE0151820419158462202</v>
      </c>
      <c r="X99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66766039</v>
      </c>
      <c r="Y99" s="3" t="str">
        <f>IFERROR(VLOOKUP(Banco_Nacion[[#This Row],[serie]]&amp;Banco_Nacion[[#This Row],[numero]]&amp;Banco_Nacion[[#This Row],[responsable]],[2]!Provision_CXC[[ID CXP]:[DETRACCION]],47,0),"")</f>
        <v/>
      </c>
      <c r="Z99" s="3"/>
      <c r="AA99" s="24" t="str">
        <f>IF(Banco_Nacion[[#This Row],[fecha]]&gt;0,TEXT(Banco_Nacion[[#This Row],[fecha]],"mmmm"),0)</f>
        <v>Febrero</v>
      </c>
    </row>
    <row r="100" spans="1:27" x14ac:dyDescent="0.3">
      <c r="A100" s="2">
        <f>IF(Banco_Nacion[[#This Row],[tipo_registro]]="R",COUNTIFS($C$1:$C99,"R")+1,"")</f>
        <v>99</v>
      </c>
      <c r="B100" s="19" t="str">
        <f t="shared" si="5"/>
        <v>B-Banco de la Nacion</v>
      </c>
      <c r="C100" s="3" t="s">
        <v>1330</v>
      </c>
      <c r="D100" s="14">
        <v>45695</v>
      </c>
      <c r="E100" s="5">
        <v>20419158462</v>
      </c>
      <c r="F100" s="5" t="s">
        <v>1303</v>
      </c>
      <c r="G100" s="6" t="s">
        <v>425</v>
      </c>
      <c r="H100" s="6" t="s">
        <v>68</v>
      </c>
      <c r="I100" s="6" t="s">
        <v>1343</v>
      </c>
      <c r="J100" s="6">
        <v>513</v>
      </c>
      <c r="K100" s="7" t="s">
        <v>5232</v>
      </c>
      <c r="L100" s="8">
        <v>66766038</v>
      </c>
      <c r="M100" s="8" t="str">
        <f t="shared" si="6"/>
        <v>PEN</v>
      </c>
      <c r="N100" s="13"/>
      <c r="O100" s="13">
        <v>408</v>
      </c>
      <c r="P100" s="3">
        <f t="shared" si="7"/>
        <v>408</v>
      </c>
      <c r="Q100" s="3">
        <f t="shared" si="8"/>
        <v>0</v>
      </c>
      <c r="R100" s="3">
        <f t="shared" si="9"/>
        <v>61695.010000000009</v>
      </c>
      <c r="S100" s="24"/>
      <c r="T100" s="24" t="s">
        <v>1334</v>
      </c>
      <c r="U100" s="3"/>
      <c r="V100" s="19" t="str">
        <f>IFERROR(VLOOKUP(Banco_Nacion[[#This Row],[responsable]],Clientes_Proveedores[[Ruc / Dni]:[Razon Social]],2,0),"")</f>
        <v>GRANJA RINCONADA DEL SUR S.A.</v>
      </c>
      <c r="W100" s="19" t="str">
        <f>IF(Banco_Nacion[[#This Row],[tipo_mov]]="INGRESO",Banco_Nacion[[#This Row],[serie]]&amp;Banco_Nacion[[#This Row],[numero]]&amp;Banco_Nacion[[#This Row],[responsable]]&amp;Banco_Nacion[[#This Row],[monto]],"")</f>
        <v>FE0151320419158462408</v>
      </c>
      <c r="X100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66766038</v>
      </c>
      <c r="Y100" s="3" t="str">
        <f>IFERROR(VLOOKUP(Banco_Nacion[[#This Row],[serie]]&amp;Banco_Nacion[[#This Row],[numero]]&amp;Banco_Nacion[[#This Row],[responsable]],[2]!Provision_CXC[[ID CXP]:[DETRACCION]],47,0),"")</f>
        <v/>
      </c>
      <c r="Z100" s="3"/>
      <c r="AA100" s="24" t="str">
        <f>IF(Banco_Nacion[[#This Row],[fecha]]&gt;0,TEXT(Banco_Nacion[[#This Row],[fecha]],"mmmm"),0)</f>
        <v>Febrero</v>
      </c>
    </row>
    <row r="101" spans="1:27" x14ac:dyDescent="0.3">
      <c r="A101" s="2">
        <f>IF(Banco_Nacion[[#This Row],[tipo_registro]]="R",COUNTIFS($C$1:$C100,"R")+1,"")</f>
        <v>100</v>
      </c>
      <c r="B101" s="19" t="str">
        <f t="shared" si="5"/>
        <v>B-Banco de la Nacion</v>
      </c>
      <c r="C101" s="3" t="s">
        <v>1330</v>
      </c>
      <c r="D101" s="14">
        <v>45695</v>
      </c>
      <c r="E101" s="5">
        <v>20419158462</v>
      </c>
      <c r="F101" s="5" t="s">
        <v>1303</v>
      </c>
      <c r="G101" s="6" t="s">
        <v>425</v>
      </c>
      <c r="H101" s="6" t="s">
        <v>68</v>
      </c>
      <c r="I101" s="6" t="s">
        <v>1343</v>
      </c>
      <c r="J101" s="6">
        <v>516</v>
      </c>
      <c r="K101" s="7" t="s">
        <v>5232</v>
      </c>
      <c r="L101" s="8">
        <v>66766037</v>
      </c>
      <c r="M101" s="8" t="str">
        <f t="shared" si="6"/>
        <v>PEN</v>
      </c>
      <c r="N101" s="13"/>
      <c r="O101" s="13">
        <v>143</v>
      </c>
      <c r="P101" s="3">
        <f t="shared" si="7"/>
        <v>143</v>
      </c>
      <c r="Q101" s="3">
        <f t="shared" si="8"/>
        <v>0</v>
      </c>
      <c r="R101" s="3">
        <f t="shared" si="9"/>
        <v>61838.010000000009</v>
      </c>
      <c r="S101" s="24"/>
      <c r="T101" s="24" t="s">
        <v>1334</v>
      </c>
      <c r="U101" s="3"/>
      <c r="V101" s="19" t="str">
        <f>IFERROR(VLOOKUP(Banco_Nacion[[#This Row],[responsable]],Clientes_Proveedores[[Ruc / Dni]:[Razon Social]],2,0),"")</f>
        <v>GRANJA RINCONADA DEL SUR S.A.</v>
      </c>
      <c r="W101" s="19" t="str">
        <f>IF(Banco_Nacion[[#This Row],[tipo_mov]]="INGRESO",Banco_Nacion[[#This Row],[serie]]&amp;Banco_Nacion[[#This Row],[numero]]&amp;Banco_Nacion[[#This Row],[responsable]]&amp;Banco_Nacion[[#This Row],[monto]],"")</f>
        <v>FE0151620419158462143</v>
      </c>
      <c r="X101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66766037</v>
      </c>
      <c r="Y101" s="3" t="str">
        <f>IFERROR(VLOOKUP(Banco_Nacion[[#This Row],[serie]]&amp;Banco_Nacion[[#This Row],[numero]]&amp;Banco_Nacion[[#This Row],[responsable]],[2]!Provision_CXC[[ID CXP]:[DETRACCION]],47,0),"")</f>
        <v/>
      </c>
      <c r="Z101" s="3"/>
      <c r="AA101" s="24" t="str">
        <f>IF(Banco_Nacion[[#This Row],[fecha]]&gt;0,TEXT(Banco_Nacion[[#This Row],[fecha]],"mmmm"),0)</f>
        <v>Febrero</v>
      </c>
    </row>
    <row r="102" spans="1:27" x14ac:dyDescent="0.3">
      <c r="A102" s="2">
        <f>IF(Banco_Nacion[[#This Row],[tipo_registro]]="R",COUNTIFS($C$1:$C101,"R")+1,"")</f>
        <v>101</v>
      </c>
      <c r="B102" s="19" t="str">
        <f t="shared" si="5"/>
        <v>B-Banco de la Nacion</v>
      </c>
      <c r="C102" s="3" t="s">
        <v>1330</v>
      </c>
      <c r="D102" s="14">
        <v>45695</v>
      </c>
      <c r="E102" s="5">
        <v>20419158462</v>
      </c>
      <c r="F102" s="5" t="s">
        <v>1303</v>
      </c>
      <c r="G102" s="6" t="s">
        <v>425</v>
      </c>
      <c r="H102" s="6" t="s">
        <v>68</v>
      </c>
      <c r="I102" s="6" t="s">
        <v>1343</v>
      </c>
      <c r="J102" s="6">
        <v>514</v>
      </c>
      <c r="K102" s="7" t="s">
        <v>5232</v>
      </c>
      <c r="L102" s="8">
        <v>66766036</v>
      </c>
      <c r="M102" s="8" t="str">
        <f t="shared" si="6"/>
        <v>PEN</v>
      </c>
      <c r="N102" s="13"/>
      <c r="O102" s="13">
        <v>381</v>
      </c>
      <c r="P102" s="3">
        <f t="shared" si="7"/>
        <v>381</v>
      </c>
      <c r="Q102" s="3">
        <f t="shared" si="8"/>
        <v>0</v>
      </c>
      <c r="R102" s="3">
        <f t="shared" si="9"/>
        <v>62219.010000000009</v>
      </c>
      <c r="S102" s="24"/>
      <c r="T102" s="24" t="s">
        <v>1334</v>
      </c>
      <c r="U102" s="3"/>
      <c r="V102" s="19" t="str">
        <f>IFERROR(VLOOKUP(Banco_Nacion[[#This Row],[responsable]],Clientes_Proveedores[[Ruc / Dni]:[Razon Social]],2,0),"")</f>
        <v>GRANJA RINCONADA DEL SUR S.A.</v>
      </c>
      <c r="W102" s="19" t="str">
        <f>IF(Banco_Nacion[[#This Row],[tipo_mov]]="INGRESO",Banco_Nacion[[#This Row],[serie]]&amp;Banco_Nacion[[#This Row],[numero]]&amp;Banco_Nacion[[#This Row],[responsable]]&amp;Banco_Nacion[[#This Row],[monto]],"")</f>
        <v>FE0151420419158462381</v>
      </c>
      <c r="X102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66766036</v>
      </c>
      <c r="Y102" s="3" t="str">
        <f>IFERROR(VLOOKUP(Banco_Nacion[[#This Row],[serie]]&amp;Banco_Nacion[[#This Row],[numero]]&amp;Banco_Nacion[[#This Row],[responsable]],[2]!Provision_CXC[[ID CXP]:[DETRACCION]],47,0),"")</f>
        <v/>
      </c>
      <c r="Z102" s="3"/>
      <c r="AA102" s="24" t="str">
        <f>IF(Banco_Nacion[[#This Row],[fecha]]&gt;0,TEXT(Banco_Nacion[[#This Row],[fecha]],"mmmm"),0)</f>
        <v>Febrero</v>
      </c>
    </row>
    <row r="103" spans="1:27" x14ac:dyDescent="0.3">
      <c r="A103" s="2">
        <f>IF(Banco_Nacion[[#This Row],[tipo_registro]]="R",COUNTIFS($C$1:$C102,"R")+1,"")</f>
        <v>102</v>
      </c>
      <c r="B103" s="19" t="str">
        <f t="shared" si="5"/>
        <v>B-Banco de la Nacion</v>
      </c>
      <c r="C103" s="3" t="s">
        <v>1330</v>
      </c>
      <c r="D103" s="14">
        <v>45695</v>
      </c>
      <c r="E103" s="5">
        <v>20419158462</v>
      </c>
      <c r="F103" s="5" t="s">
        <v>1303</v>
      </c>
      <c r="G103" s="6" t="s">
        <v>425</v>
      </c>
      <c r="H103" s="6" t="s">
        <v>68</v>
      </c>
      <c r="I103" s="6" t="s">
        <v>1343</v>
      </c>
      <c r="J103" s="6" t="s">
        <v>5236</v>
      </c>
      <c r="K103" s="7" t="s">
        <v>5232</v>
      </c>
      <c r="L103" s="8">
        <v>66766035</v>
      </c>
      <c r="M103" s="8" t="str">
        <f t="shared" si="6"/>
        <v>PEN</v>
      </c>
      <c r="N103" s="13"/>
      <c r="O103" s="13">
        <v>202</v>
      </c>
      <c r="P103" s="3">
        <f t="shared" si="7"/>
        <v>202</v>
      </c>
      <c r="Q103" s="3">
        <f t="shared" si="8"/>
        <v>0</v>
      </c>
      <c r="R103" s="3">
        <f t="shared" si="9"/>
        <v>62421.010000000009</v>
      </c>
      <c r="S103" s="24"/>
      <c r="T103" s="24" t="s">
        <v>1334</v>
      </c>
      <c r="U103" s="3"/>
      <c r="V103" s="19" t="str">
        <f>IFERROR(VLOOKUP(Banco_Nacion[[#This Row],[responsable]],Clientes_Proveedores[[Ruc / Dni]:[Razon Social]],2,0),"")</f>
        <v>GRANJA RINCONADA DEL SUR S.A.</v>
      </c>
      <c r="W103" s="19" t="str">
        <f>IF(Banco_Nacion[[#This Row],[tipo_mov]]="INGRESO",Banco_Nacion[[#This Row],[serie]]&amp;Banco_Nacion[[#This Row],[numero]]&amp;Banco_Nacion[[#This Row],[responsable]]&amp;Banco_Nacion[[#This Row],[monto]],"")</f>
        <v>FE0151520419158462202</v>
      </c>
      <c r="X103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66766035</v>
      </c>
      <c r="Y103" s="3" t="str">
        <f>IFERROR(VLOOKUP(Banco_Nacion[[#This Row],[serie]]&amp;Banco_Nacion[[#This Row],[numero]]&amp;Banco_Nacion[[#This Row],[responsable]],[2]!Provision_CXC[[ID CXP]:[DETRACCION]],47,0),"")</f>
        <v/>
      </c>
      <c r="Z103" s="3"/>
      <c r="AA103" s="24" t="str">
        <f>IF(Banco_Nacion[[#This Row],[fecha]]&gt;0,TEXT(Banco_Nacion[[#This Row],[fecha]],"mmmm"),0)</f>
        <v>Febrero</v>
      </c>
    </row>
    <row r="104" spans="1:27" x14ac:dyDescent="0.3">
      <c r="A104" s="2">
        <f>IF(Banco_Nacion[[#This Row],[tipo_registro]]="R",COUNTIFS($C$1:$C103,"R")+1,"")</f>
        <v>103</v>
      </c>
      <c r="B104" s="19" t="str">
        <f t="shared" si="5"/>
        <v>B-Banco de la Nacion</v>
      </c>
      <c r="C104" s="3" t="s">
        <v>1330</v>
      </c>
      <c r="D104" s="14">
        <v>45695</v>
      </c>
      <c r="E104" s="5">
        <v>20100211115</v>
      </c>
      <c r="F104" s="5" t="s">
        <v>1303</v>
      </c>
      <c r="G104" s="6" t="s">
        <v>425</v>
      </c>
      <c r="H104" s="6" t="s">
        <v>68</v>
      </c>
      <c r="I104" s="6" t="s">
        <v>1343</v>
      </c>
      <c r="J104" s="6">
        <v>537</v>
      </c>
      <c r="K104" s="7" t="s">
        <v>5232</v>
      </c>
      <c r="L104" s="8">
        <v>66666156</v>
      </c>
      <c r="M104" s="8" t="str">
        <f t="shared" si="6"/>
        <v>PEN</v>
      </c>
      <c r="N104" s="13"/>
      <c r="O104" s="13">
        <v>359</v>
      </c>
      <c r="P104" s="3">
        <f t="shared" si="7"/>
        <v>359</v>
      </c>
      <c r="Q104" s="3">
        <f t="shared" si="8"/>
        <v>0</v>
      </c>
      <c r="R104" s="3">
        <f t="shared" si="9"/>
        <v>62780.010000000009</v>
      </c>
      <c r="S104" s="24"/>
      <c r="T104" s="24" t="s">
        <v>1334</v>
      </c>
      <c r="U104" s="3"/>
      <c r="V104" s="19" t="str">
        <f>IFERROR(VLOOKUP(Banco_Nacion[[#This Row],[responsable]],Clientes_Proveedores[[Ruc / Dni]:[Razon Social]],2,0),"")</f>
        <v>FAB DE CHOCOLATES LA IBERICA S.A.</v>
      </c>
      <c r="W104" s="19" t="str">
        <f>IF(Banco_Nacion[[#This Row],[tipo_mov]]="INGRESO",Banco_Nacion[[#This Row],[serie]]&amp;Banco_Nacion[[#This Row],[numero]]&amp;Banco_Nacion[[#This Row],[responsable]]&amp;Banco_Nacion[[#This Row],[monto]],"")</f>
        <v>FE0153720100211115359</v>
      </c>
      <c r="X104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66666156</v>
      </c>
      <c r="Y104" s="3" t="str">
        <f>IFERROR(VLOOKUP(Banco_Nacion[[#This Row],[serie]]&amp;Banco_Nacion[[#This Row],[numero]]&amp;Banco_Nacion[[#This Row],[responsable]],[2]!Provision_CXC[[ID CXP]:[DETRACCION]],47,0),"")</f>
        <v/>
      </c>
      <c r="Z104" s="3"/>
      <c r="AA104" s="24" t="str">
        <f>IF(Banco_Nacion[[#This Row],[fecha]]&gt;0,TEXT(Banco_Nacion[[#This Row],[fecha]],"mmmm"),0)</f>
        <v>Febrero</v>
      </c>
    </row>
    <row r="105" spans="1:27" x14ac:dyDescent="0.3">
      <c r="A105" s="2">
        <f>IF(Banco_Nacion[[#This Row],[tipo_registro]]="R",COUNTIFS($C$1:$C104,"R")+1,"")</f>
        <v>104</v>
      </c>
      <c r="B105" s="19" t="str">
        <f t="shared" si="5"/>
        <v>B-Banco de la Nacion</v>
      </c>
      <c r="C105" s="3" t="s">
        <v>1330</v>
      </c>
      <c r="D105" s="14">
        <v>45695</v>
      </c>
      <c r="E105" s="5">
        <v>20100211115</v>
      </c>
      <c r="F105" s="5" t="s">
        <v>1303</v>
      </c>
      <c r="G105" s="6" t="s">
        <v>425</v>
      </c>
      <c r="H105" s="6" t="s">
        <v>68</v>
      </c>
      <c r="I105" s="6" t="s">
        <v>1343</v>
      </c>
      <c r="J105" s="6">
        <v>536</v>
      </c>
      <c r="K105" s="7" t="s">
        <v>5232</v>
      </c>
      <c r="L105" s="8">
        <v>66666155</v>
      </c>
      <c r="M105" s="8" t="str">
        <f t="shared" si="6"/>
        <v>PEN</v>
      </c>
      <c r="N105" s="13"/>
      <c r="O105" s="13">
        <v>835</v>
      </c>
      <c r="P105" s="3">
        <f t="shared" si="7"/>
        <v>835</v>
      </c>
      <c r="Q105" s="3">
        <f t="shared" si="8"/>
        <v>0</v>
      </c>
      <c r="R105" s="3">
        <f t="shared" si="9"/>
        <v>63615.010000000009</v>
      </c>
      <c r="S105" s="24"/>
      <c r="T105" s="24" t="s">
        <v>1334</v>
      </c>
      <c r="U105" s="3"/>
      <c r="V105" s="19" t="str">
        <f>IFERROR(VLOOKUP(Banco_Nacion[[#This Row],[responsable]],Clientes_Proveedores[[Ruc / Dni]:[Razon Social]],2,0),"")</f>
        <v>FAB DE CHOCOLATES LA IBERICA S.A.</v>
      </c>
      <c r="W105" s="19" t="str">
        <f>IF(Banco_Nacion[[#This Row],[tipo_mov]]="INGRESO",Banco_Nacion[[#This Row],[serie]]&amp;Banco_Nacion[[#This Row],[numero]]&amp;Banco_Nacion[[#This Row],[responsable]]&amp;Banco_Nacion[[#This Row],[monto]],"")</f>
        <v>FE0153620100211115835</v>
      </c>
      <c r="X105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66666155</v>
      </c>
      <c r="Y105" s="3" t="str">
        <f>IFERROR(VLOOKUP(Banco_Nacion[[#This Row],[serie]]&amp;Banco_Nacion[[#This Row],[numero]]&amp;Banco_Nacion[[#This Row],[responsable]],[2]!Provision_CXC[[ID CXP]:[DETRACCION]],47,0),"")</f>
        <v/>
      </c>
      <c r="Z105" s="3"/>
      <c r="AA105" s="24" t="str">
        <f>IF(Banco_Nacion[[#This Row],[fecha]]&gt;0,TEXT(Banco_Nacion[[#This Row],[fecha]],"mmmm"),0)</f>
        <v>Febrero</v>
      </c>
    </row>
    <row r="106" spans="1:27" x14ac:dyDescent="0.3">
      <c r="A106" s="2">
        <f>IF(Banco_Nacion[[#This Row],[tipo_registro]]="R",COUNTIFS($C$1:$C105,"R")+1,"")</f>
        <v>105</v>
      </c>
      <c r="B106" s="19" t="str">
        <f t="shared" si="5"/>
        <v>B-Banco de la Nacion</v>
      </c>
      <c r="C106" s="3" t="s">
        <v>1330</v>
      </c>
      <c r="D106" s="14">
        <v>45698</v>
      </c>
      <c r="E106" s="5">
        <v>20498311963</v>
      </c>
      <c r="F106" s="5" t="s">
        <v>1303</v>
      </c>
      <c r="G106" s="6" t="s">
        <v>425</v>
      </c>
      <c r="H106" s="6" t="s">
        <v>68</v>
      </c>
      <c r="I106" s="6" t="s">
        <v>1343</v>
      </c>
      <c r="J106" s="6">
        <v>525</v>
      </c>
      <c r="K106" s="7" t="s">
        <v>5232</v>
      </c>
      <c r="L106" s="8">
        <v>67268507</v>
      </c>
      <c r="M106" s="8" t="str">
        <f t="shared" si="6"/>
        <v>PEN</v>
      </c>
      <c r="N106" s="13"/>
      <c r="O106" s="13">
        <v>126</v>
      </c>
      <c r="P106" s="3">
        <f t="shared" si="7"/>
        <v>126</v>
      </c>
      <c r="Q106" s="3">
        <f t="shared" si="8"/>
        <v>0</v>
      </c>
      <c r="R106" s="3">
        <f t="shared" si="9"/>
        <v>63741.010000000009</v>
      </c>
      <c r="S106" s="24"/>
      <c r="T106" s="24" t="s">
        <v>1334</v>
      </c>
      <c r="U106" s="3"/>
      <c r="V106" s="19" t="str">
        <f>IFERROR(VLOOKUP(Banco_Nacion[[#This Row],[responsable]],Clientes_Proveedores[[Ruc / Dni]:[Razon Social]],2,0),"")</f>
        <v>TRANSPORTES JIRENA S.A.C.</v>
      </c>
      <c r="W106" s="19" t="str">
        <f>IF(Banco_Nacion[[#This Row],[tipo_mov]]="INGRESO",Banco_Nacion[[#This Row],[serie]]&amp;Banco_Nacion[[#This Row],[numero]]&amp;Banco_Nacion[[#This Row],[responsable]]&amp;Banco_Nacion[[#This Row],[monto]],"")</f>
        <v>FE0152520498311963126</v>
      </c>
      <c r="X106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67268507</v>
      </c>
      <c r="Y106" s="3" t="str">
        <f>IFERROR(VLOOKUP(Banco_Nacion[[#This Row],[serie]]&amp;Banco_Nacion[[#This Row],[numero]]&amp;Banco_Nacion[[#This Row],[responsable]],[2]!Provision_CXC[[ID CXP]:[DETRACCION]],47,0),"")</f>
        <v/>
      </c>
      <c r="Z106" s="3"/>
      <c r="AA106" s="24" t="str">
        <f>IF(Banco_Nacion[[#This Row],[fecha]]&gt;0,TEXT(Banco_Nacion[[#This Row],[fecha]],"mmmm"),0)</f>
        <v>Febrero</v>
      </c>
    </row>
    <row r="107" spans="1:27" x14ac:dyDescent="0.3">
      <c r="A107" s="2">
        <f>IF(Banco_Nacion[[#This Row],[tipo_registro]]="R",COUNTIFS($C$1:$C106,"R")+1,"")</f>
        <v>106</v>
      </c>
      <c r="B107" s="19" t="str">
        <f t="shared" si="5"/>
        <v>B-Banco de la Nacion</v>
      </c>
      <c r="C107" s="3" t="s">
        <v>1330</v>
      </c>
      <c r="D107" s="14">
        <v>45698</v>
      </c>
      <c r="E107" s="5">
        <v>20120858425</v>
      </c>
      <c r="F107" s="5" t="s">
        <v>1303</v>
      </c>
      <c r="G107" s="6" t="s">
        <v>425</v>
      </c>
      <c r="H107" s="6" t="s">
        <v>68</v>
      </c>
      <c r="I107" s="6" t="s">
        <v>1343</v>
      </c>
      <c r="J107" s="6">
        <v>527</v>
      </c>
      <c r="K107" s="7" t="s">
        <v>5232</v>
      </c>
      <c r="L107" s="8">
        <v>67183599</v>
      </c>
      <c r="M107" s="8" t="str">
        <f t="shared" si="6"/>
        <v>PEN</v>
      </c>
      <c r="N107" s="13"/>
      <c r="O107" s="13">
        <v>96</v>
      </c>
      <c r="P107" s="3">
        <f t="shared" si="7"/>
        <v>96</v>
      </c>
      <c r="Q107" s="3">
        <f t="shared" si="8"/>
        <v>0</v>
      </c>
      <c r="R107" s="3">
        <f t="shared" si="9"/>
        <v>63837.010000000009</v>
      </c>
      <c r="S107" s="24"/>
      <c r="T107" s="24" t="s">
        <v>1334</v>
      </c>
      <c r="U107" s="3"/>
      <c r="V107" s="19" t="str">
        <f>IFERROR(VLOOKUP(Banco_Nacion[[#This Row],[responsable]],Clientes_Proveedores[[Ruc / Dni]:[Razon Social]],2,0),"")</f>
        <v>POWER S.A.C.</v>
      </c>
      <c r="W107" s="19" t="str">
        <f>IF(Banco_Nacion[[#This Row],[tipo_mov]]="INGRESO",Banco_Nacion[[#This Row],[serie]]&amp;Banco_Nacion[[#This Row],[numero]]&amp;Banco_Nacion[[#This Row],[responsable]]&amp;Banco_Nacion[[#This Row],[monto]],"")</f>
        <v>FE015272012085842596</v>
      </c>
      <c r="X107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67183599</v>
      </c>
      <c r="Y107" s="3" t="str">
        <f>IFERROR(VLOOKUP(Banco_Nacion[[#This Row],[serie]]&amp;Banco_Nacion[[#This Row],[numero]]&amp;Banco_Nacion[[#This Row],[responsable]],[2]!Provision_CXC[[ID CXP]:[DETRACCION]],47,0),"")</f>
        <v/>
      </c>
      <c r="Z107" s="3"/>
      <c r="AA107" s="24" t="str">
        <f>IF(Banco_Nacion[[#This Row],[fecha]]&gt;0,TEXT(Banco_Nacion[[#This Row],[fecha]],"mmmm"),0)</f>
        <v>Febrero</v>
      </c>
    </row>
    <row r="108" spans="1:27" x14ac:dyDescent="0.3">
      <c r="A108" s="2">
        <f>IF(Banco_Nacion[[#This Row],[tipo_registro]]="R",COUNTIFS($C$1:$C107,"R")+1,"")</f>
        <v>107</v>
      </c>
      <c r="B108" s="19" t="str">
        <f t="shared" si="5"/>
        <v>B-Banco de la Nacion</v>
      </c>
      <c r="C108" s="3" t="s">
        <v>1330</v>
      </c>
      <c r="D108" s="14">
        <v>45698</v>
      </c>
      <c r="E108" s="5">
        <v>20120858425</v>
      </c>
      <c r="F108" s="5" t="s">
        <v>1303</v>
      </c>
      <c r="G108" s="6" t="s">
        <v>425</v>
      </c>
      <c r="H108" s="6" t="s">
        <v>68</v>
      </c>
      <c r="I108" s="6" t="s">
        <v>1343</v>
      </c>
      <c r="J108" s="6">
        <v>526</v>
      </c>
      <c r="K108" s="7" t="s">
        <v>5232</v>
      </c>
      <c r="L108" s="8">
        <v>67183598</v>
      </c>
      <c r="M108" s="8" t="str">
        <f t="shared" si="6"/>
        <v>PEN</v>
      </c>
      <c r="N108" s="13"/>
      <c r="O108" s="13">
        <v>159</v>
      </c>
      <c r="P108" s="3">
        <f t="shared" si="7"/>
        <v>159</v>
      </c>
      <c r="Q108" s="3">
        <f t="shared" si="8"/>
        <v>0</v>
      </c>
      <c r="R108" s="3">
        <f t="shared" si="9"/>
        <v>63996.010000000009</v>
      </c>
      <c r="S108" s="24"/>
      <c r="T108" s="24" t="s">
        <v>1334</v>
      </c>
      <c r="U108" s="3"/>
      <c r="V108" s="19" t="str">
        <f>IFERROR(VLOOKUP(Banco_Nacion[[#This Row],[responsable]],Clientes_Proveedores[[Ruc / Dni]:[Razon Social]],2,0),"")</f>
        <v>POWER S.A.C.</v>
      </c>
      <c r="W108" s="19" t="str">
        <f>IF(Banco_Nacion[[#This Row],[tipo_mov]]="INGRESO",Banco_Nacion[[#This Row],[serie]]&amp;Banco_Nacion[[#This Row],[numero]]&amp;Banco_Nacion[[#This Row],[responsable]]&amp;Banco_Nacion[[#This Row],[monto]],"")</f>
        <v>FE0152620120858425159</v>
      </c>
      <c r="X108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67183598</v>
      </c>
      <c r="Y108" s="3" t="str">
        <f>IFERROR(VLOOKUP(Banco_Nacion[[#This Row],[serie]]&amp;Banco_Nacion[[#This Row],[numero]]&amp;Banco_Nacion[[#This Row],[responsable]],[2]!Provision_CXC[[ID CXP]:[DETRACCION]],47,0),"")</f>
        <v/>
      </c>
      <c r="Z108" s="3"/>
      <c r="AA108" s="24" t="str">
        <f>IF(Banco_Nacion[[#This Row],[fecha]]&gt;0,TEXT(Banco_Nacion[[#This Row],[fecha]],"mmmm"),0)</f>
        <v>Febrero</v>
      </c>
    </row>
    <row r="109" spans="1:27" x14ac:dyDescent="0.3">
      <c r="A109" s="2">
        <f>IF(Banco_Nacion[[#This Row],[tipo_registro]]="R",COUNTIFS($C$1:$C108,"R")+1,"")</f>
        <v>108</v>
      </c>
      <c r="B109" s="19" t="str">
        <f t="shared" si="5"/>
        <v>B-Banco de la Nacion</v>
      </c>
      <c r="C109" s="3" t="s">
        <v>1330</v>
      </c>
      <c r="D109" s="14">
        <v>45698</v>
      </c>
      <c r="E109" s="5">
        <v>20603087675</v>
      </c>
      <c r="F109" s="5" t="s">
        <v>1303</v>
      </c>
      <c r="G109" s="6" t="s">
        <v>425</v>
      </c>
      <c r="H109" s="6" t="s">
        <v>68</v>
      </c>
      <c r="I109" s="6" t="s">
        <v>1343</v>
      </c>
      <c r="J109" s="6">
        <v>472</v>
      </c>
      <c r="K109" s="7" t="s">
        <v>5232</v>
      </c>
      <c r="L109" s="8">
        <v>67147582</v>
      </c>
      <c r="M109" s="8" t="str">
        <f t="shared" si="6"/>
        <v>PEN</v>
      </c>
      <c r="N109" s="13"/>
      <c r="O109" s="13">
        <v>205</v>
      </c>
      <c r="P109" s="3">
        <f t="shared" si="7"/>
        <v>205</v>
      </c>
      <c r="Q109" s="3">
        <f t="shared" si="8"/>
        <v>0</v>
      </c>
      <c r="R109" s="3">
        <f t="shared" si="9"/>
        <v>64201.010000000009</v>
      </c>
      <c r="S109" s="24"/>
      <c r="T109" s="24" t="s">
        <v>1334</v>
      </c>
      <c r="U109" s="3"/>
      <c r="V109" s="19" t="str">
        <f>IFERROR(VLOOKUP(Banco_Nacion[[#This Row],[responsable]],Clientes_Proveedores[[Ruc / Dni]:[Razon Social]],2,0),"")</f>
        <v>CARAL SOLUCIONES ENERGETICAS S.A.C.</v>
      </c>
      <c r="W109" s="19" t="str">
        <f>IF(Banco_Nacion[[#This Row],[tipo_mov]]="INGRESO",Banco_Nacion[[#This Row],[serie]]&amp;Banco_Nacion[[#This Row],[numero]]&amp;Banco_Nacion[[#This Row],[responsable]]&amp;Banco_Nacion[[#This Row],[monto]],"")</f>
        <v>FE0147220603087675205</v>
      </c>
      <c r="X109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67147582</v>
      </c>
      <c r="Y109" s="3" t="str">
        <f>IFERROR(VLOOKUP(Banco_Nacion[[#This Row],[serie]]&amp;Banco_Nacion[[#This Row],[numero]]&amp;Banco_Nacion[[#This Row],[responsable]],[2]!Provision_CXC[[ID CXP]:[DETRACCION]],47,0),"")</f>
        <v/>
      </c>
      <c r="Z109" s="3"/>
      <c r="AA109" s="24" t="str">
        <f>IF(Banco_Nacion[[#This Row],[fecha]]&gt;0,TEXT(Banco_Nacion[[#This Row],[fecha]],"mmmm"),0)</f>
        <v>Febrero</v>
      </c>
    </row>
    <row r="110" spans="1:27" x14ac:dyDescent="0.3">
      <c r="A110" s="2">
        <f>IF(Banco_Nacion[[#This Row],[tipo_registro]]="R",COUNTIFS($C$1:$C109,"R")+1,"")</f>
        <v>109</v>
      </c>
      <c r="B110" s="19" t="str">
        <f t="shared" si="5"/>
        <v>B-Banco de la Nacion</v>
      </c>
      <c r="C110" s="3" t="s">
        <v>1330</v>
      </c>
      <c r="D110" s="14">
        <v>45698</v>
      </c>
      <c r="E110" s="5">
        <v>20462509236</v>
      </c>
      <c r="F110" s="5" t="s">
        <v>1303</v>
      </c>
      <c r="G110" s="6" t="s">
        <v>425</v>
      </c>
      <c r="H110" s="6" t="s">
        <v>68</v>
      </c>
      <c r="I110" s="6" t="s">
        <v>1343</v>
      </c>
      <c r="J110" s="6">
        <v>507</v>
      </c>
      <c r="K110" s="7" t="s">
        <v>5232</v>
      </c>
      <c r="L110" s="8">
        <v>67133428</v>
      </c>
      <c r="M110" s="8" t="str">
        <f t="shared" si="6"/>
        <v>PEN</v>
      </c>
      <c r="N110" s="13"/>
      <c r="O110" s="13">
        <v>307</v>
      </c>
      <c r="P110" s="3">
        <f t="shared" si="7"/>
        <v>307</v>
      </c>
      <c r="Q110" s="3">
        <f t="shared" si="8"/>
        <v>0</v>
      </c>
      <c r="R110" s="3">
        <f t="shared" si="9"/>
        <v>64508.010000000009</v>
      </c>
      <c r="S110" s="24"/>
      <c r="T110" s="24" t="s">
        <v>1334</v>
      </c>
      <c r="U110" s="3"/>
      <c r="V110" s="19" t="str">
        <f>IFERROR(VLOOKUP(Banco_Nacion[[#This Row],[responsable]],Clientes_Proveedores[[Ruc / Dni]:[Razon Social]],2,0),"")</f>
        <v>UNIVERSIDAD TECNOLOGICA DEL PERU S.A.C. O UTP S.A.C.</v>
      </c>
      <c r="W110" s="19" t="str">
        <f>IF(Banco_Nacion[[#This Row],[tipo_mov]]="INGRESO",Banco_Nacion[[#This Row],[serie]]&amp;Banco_Nacion[[#This Row],[numero]]&amp;Banco_Nacion[[#This Row],[responsable]]&amp;Banco_Nacion[[#This Row],[monto]],"")</f>
        <v>FE0150720462509236307</v>
      </c>
      <c r="X110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67133428</v>
      </c>
      <c r="Y110" s="3" t="str">
        <f>IFERROR(VLOOKUP(Banco_Nacion[[#This Row],[serie]]&amp;Banco_Nacion[[#This Row],[numero]]&amp;Banco_Nacion[[#This Row],[responsable]],[2]!Provision_CXC[[ID CXP]:[DETRACCION]],47,0),"")</f>
        <v/>
      </c>
      <c r="Z110" s="3"/>
      <c r="AA110" s="24" t="str">
        <f>IF(Banco_Nacion[[#This Row],[fecha]]&gt;0,TEXT(Banco_Nacion[[#This Row],[fecha]],"mmmm"),0)</f>
        <v>Febrero</v>
      </c>
    </row>
    <row r="111" spans="1:27" x14ac:dyDescent="0.3">
      <c r="A111" s="2">
        <f>IF(Banco_Nacion[[#This Row],[tipo_registro]]="R",COUNTIFS($C$1:$C110,"R")+1,"")</f>
        <v>110</v>
      </c>
      <c r="B111" s="19" t="str">
        <f t="shared" si="5"/>
        <v>B-Banco de la Nacion</v>
      </c>
      <c r="C111" s="3" t="s">
        <v>1330</v>
      </c>
      <c r="D111" s="14">
        <v>45698</v>
      </c>
      <c r="E111" s="5">
        <v>20462509236</v>
      </c>
      <c r="F111" s="5" t="s">
        <v>1303</v>
      </c>
      <c r="G111" s="6" t="s">
        <v>425</v>
      </c>
      <c r="H111" s="6" t="s">
        <v>68</v>
      </c>
      <c r="I111" s="6" t="s">
        <v>1343</v>
      </c>
      <c r="J111" s="6">
        <v>508</v>
      </c>
      <c r="K111" s="7" t="s">
        <v>5232</v>
      </c>
      <c r="L111" s="8">
        <v>67133423</v>
      </c>
      <c r="M111" s="8" t="str">
        <f t="shared" si="6"/>
        <v>PEN</v>
      </c>
      <c r="N111" s="13"/>
      <c r="O111" s="13">
        <v>552</v>
      </c>
      <c r="P111" s="3">
        <f t="shared" si="7"/>
        <v>552</v>
      </c>
      <c r="Q111" s="3">
        <f t="shared" si="8"/>
        <v>0</v>
      </c>
      <c r="R111" s="3">
        <f t="shared" si="9"/>
        <v>65060.010000000009</v>
      </c>
      <c r="S111" s="24"/>
      <c r="T111" s="24" t="s">
        <v>1334</v>
      </c>
      <c r="U111" s="3"/>
      <c r="V111" s="19" t="str">
        <f>IFERROR(VLOOKUP(Banco_Nacion[[#This Row],[responsable]],Clientes_Proveedores[[Ruc / Dni]:[Razon Social]],2,0),"")</f>
        <v>UNIVERSIDAD TECNOLOGICA DEL PERU S.A.C. O UTP S.A.C.</v>
      </c>
      <c r="W111" s="19" t="str">
        <f>IF(Banco_Nacion[[#This Row],[tipo_mov]]="INGRESO",Banco_Nacion[[#This Row],[serie]]&amp;Banco_Nacion[[#This Row],[numero]]&amp;Banco_Nacion[[#This Row],[responsable]]&amp;Banco_Nacion[[#This Row],[monto]],"")</f>
        <v>FE0150820462509236552</v>
      </c>
      <c r="X111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67133423</v>
      </c>
      <c r="Y111" s="3" t="str">
        <f>IFERROR(VLOOKUP(Banco_Nacion[[#This Row],[serie]]&amp;Banco_Nacion[[#This Row],[numero]]&amp;Banco_Nacion[[#This Row],[responsable]],[2]!Provision_CXC[[ID CXP]:[DETRACCION]],47,0),"")</f>
        <v/>
      </c>
      <c r="Z111" s="3"/>
      <c r="AA111" s="24" t="str">
        <f>IF(Banco_Nacion[[#This Row],[fecha]]&gt;0,TEXT(Banco_Nacion[[#This Row],[fecha]],"mmmm"),0)</f>
        <v>Febrero</v>
      </c>
    </row>
    <row r="112" spans="1:27" x14ac:dyDescent="0.3">
      <c r="A112" s="2">
        <f>IF(Banco_Nacion[[#This Row],[tipo_registro]]="R",COUNTIFS($C$1:$C111,"R")+1,"")</f>
        <v>111</v>
      </c>
      <c r="B112" s="19" t="str">
        <f t="shared" si="5"/>
        <v>B-Banco de la Nacion</v>
      </c>
      <c r="C112" s="3" t="s">
        <v>1330</v>
      </c>
      <c r="D112" s="14">
        <v>45698</v>
      </c>
      <c r="E112" s="5">
        <v>20547132158</v>
      </c>
      <c r="F112" s="5" t="s">
        <v>1303</v>
      </c>
      <c r="G112" s="6" t="s">
        <v>425</v>
      </c>
      <c r="H112" s="6" t="s">
        <v>68</v>
      </c>
      <c r="I112" s="6" t="s">
        <v>1343</v>
      </c>
      <c r="J112" s="6">
        <v>506</v>
      </c>
      <c r="K112" s="7" t="s">
        <v>5232</v>
      </c>
      <c r="L112" s="8">
        <v>67132051</v>
      </c>
      <c r="M112" s="8" t="str">
        <f t="shared" si="6"/>
        <v>PEN</v>
      </c>
      <c r="N112" s="13"/>
      <c r="O112" s="13">
        <v>388</v>
      </c>
      <c r="P112" s="3">
        <f t="shared" si="7"/>
        <v>388</v>
      </c>
      <c r="Q112" s="3">
        <f t="shared" si="8"/>
        <v>0</v>
      </c>
      <c r="R112" s="3">
        <f t="shared" si="9"/>
        <v>65448.010000000009</v>
      </c>
      <c r="S112" s="24"/>
      <c r="T112" s="24" t="s">
        <v>1334</v>
      </c>
      <c r="U112" s="3"/>
      <c r="V112" s="19" t="str">
        <f>IFERROR(VLOOKUP(Banco_Nacion[[#This Row],[responsable]],Clientes_Proveedores[[Ruc / Dni]:[Razon Social]],2,0),"")</f>
        <v>DOMINIONPERU SOLUCIONES Y SERVICIOS S.A.C.</v>
      </c>
      <c r="W112" s="19" t="str">
        <f>IF(Banco_Nacion[[#This Row],[tipo_mov]]="INGRESO",Banco_Nacion[[#This Row],[serie]]&amp;Banco_Nacion[[#This Row],[numero]]&amp;Banco_Nacion[[#This Row],[responsable]]&amp;Banco_Nacion[[#This Row],[monto]],"")</f>
        <v>FE0150620547132158388</v>
      </c>
      <c r="X112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67132051</v>
      </c>
      <c r="Y112" s="3" t="str">
        <f>IFERROR(VLOOKUP(Banco_Nacion[[#This Row],[serie]]&amp;Banco_Nacion[[#This Row],[numero]]&amp;Banco_Nacion[[#This Row],[responsable]],[2]!Provision_CXC[[ID CXP]:[DETRACCION]],47,0),"")</f>
        <v/>
      </c>
      <c r="Z112" s="3"/>
      <c r="AA112" s="24" t="str">
        <f>IF(Banco_Nacion[[#This Row],[fecha]]&gt;0,TEXT(Banco_Nacion[[#This Row],[fecha]],"mmmm"),0)</f>
        <v>Febrero</v>
      </c>
    </row>
    <row r="113" spans="1:27" x14ac:dyDescent="0.3">
      <c r="A113" s="2">
        <f>IF(Banco_Nacion[[#This Row],[tipo_registro]]="R",COUNTIFS($C$1:$C112,"R")+1,"")</f>
        <v>112</v>
      </c>
      <c r="B113" s="19" t="str">
        <f t="shared" si="5"/>
        <v>B-Banco de la Nacion</v>
      </c>
      <c r="C113" s="3" t="s">
        <v>1330</v>
      </c>
      <c r="D113" s="14">
        <v>45698</v>
      </c>
      <c r="E113" s="5">
        <v>20455283915</v>
      </c>
      <c r="F113" s="5" t="s">
        <v>1303</v>
      </c>
      <c r="G113" s="6" t="s">
        <v>425</v>
      </c>
      <c r="H113" s="6" t="s">
        <v>68</v>
      </c>
      <c r="I113" s="6" t="s">
        <v>1353</v>
      </c>
      <c r="J113" s="6">
        <v>186</v>
      </c>
      <c r="K113" s="7" t="s">
        <v>5232</v>
      </c>
      <c r="L113" s="8">
        <v>67101493</v>
      </c>
      <c r="M113" s="8" t="str">
        <f t="shared" si="6"/>
        <v>PEN</v>
      </c>
      <c r="N113" s="13"/>
      <c r="O113" s="13">
        <v>499</v>
      </c>
      <c r="P113" s="3">
        <f t="shared" si="7"/>
        <v>499</v>
      </c>
      <c r="Q113" s="3">
        <f t="shared" si="8"/>
        <v>0</v>
      </c>
      <c r="R113" s="3">
        <f t="shared" si="9"/>
        <v>65947.010000000009</v>
      </c>
      <c r="S113" s="24"/>
      <c r="T113" s="24" t="s">
        <v>1334</v>
      </c>
      <c r="U113" s="3"/>
      <c r="V113" s="19" t="str">
        <f>IFERROR(VLOOKUP(Banco_Nacion[[#This Row],[responsable]],Clientes_Proveedores[[Ruc / Dni]:[Razon Social]],2,0),"")</f>
        <v>EMPRESA CONSERVADORA AMBIENTAL DEL SUR E.I.R.L. - ECA SUR E.I.R.L.</v>
      </c>
      <c r="W113" s="19" t="str">
        <f>IF(Banco_Nacion[[#This Row],[tipo_mov]]="INGRESO",Banco_Nacion[[#This Row],[serie]]&amp;Banco_Nacion[[#This Row],[numero]]&amp;Banco_Nacion[[#This Row],[responsable]]&amp;Banco_Nacion[[#This Row],[monto]],"")</f>
        <v>FE0218620455283915499</v>
      </c>
      <c r="X113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67101493</v>
      </c>
      <c r="Y113" s="3" t="str">
        <f>IFERROR(VLOOKUP(Banco_Nacion[[#This Row],[serie]]&amp;Banco_Nacion[[#This Row],[numero]]&amp;Banco_Nacion[[#This Row],[responsable]],[2]!Provision_CXC[[ID CXP]:[DETRACCION]],47,0),"")</f>
        <v/>
      </c>
      <c r="Z113" s="3"/>
      <c r="AA113" s="24" t="str">
        <f>IF(Banco_Nacion[[#This Row],[fecha]]&gt;0,TEXT(Banco_Nacion[[#This Row],[fecha]],"mmmm"),0)</f>
        <v>Febrero</v>
      </c>
    </row>
    <row r="114" spans="1:27" x14ac:dyDescent="0.3">
      <c r="A114" s="2">
        <f>IF(Banco_Nacion[[#This Row],[tipo_registro]]="R",COUNTIFS($C$1:$C113,"R")+1,"")</f>
        <v>113</v>
      </c>
      <c r="B114" s="19" t="str">
        <f t="shared" si="5"/>
        <v>B-Banco de la Nacion</v>
      </c>
      <c r="C114" s="3" t="s">
        <v>1330</v>
      </c>
      <c r="D114" s="14">
        <v>45699</v>
      </c>
      <c r="E114" s="5">
        <v>20607388416</v>
      </c>
      <c r="F114" s="5" t="s">
        <v>1303</v>
      </c>
      <c r="G114" s="6" t="s">
        <v>425</v>
      </c>
      <c r="H114" s="6" t="s">
        <v>68</v>
      </c>
      <c r="I114" s="6" t="s">
        <v>1353</v>
      </c>
      <c r="J114" s="6">
        <v>187</v>
      </c>
      <c r="K114" s="7" t="s">
        <v>5232</v>
      </c>
      <c r="L114" s="8">
        <v>67608800</v>
      </c>
      <c r="M114" s="8" t="str">
        <f t="shared" si="6"/>
        <v>PEN</v>
      </c>
      <c r="N114" s="13"/>
      <c r="O114" s="13">
        <v>146</v>
      </c>
      <c r="P114" s="3">
        <f t="shared" si="7"/>
        <v>146</v>
      </c>
      <c r="Q114" s="3">
        <f t="shared" si="8"/>
        <v>0</v>
      </c>
      <c r="R114" s="3">
        <f t="shared" si="9"/>
        <v>66093.010000000009</v>
      </c>
      <c r="S114" s="24"/>
      <c r="T114" s="24" t="s">
        <v>1334</v>
      </c>
      <c r="U114" s="3"/>
      <c r="V114" s="19" t="str">
        <f>IFERROR(VLOOKUP(Banco_Nacion[[#This Row],[responsable]],Clientes_Proveedores[[Ruc / Dni]:[Razon Social]],2,0),"")</f>
        <v>ALEACIONES FERROSAS Y METALICAS S.A.C.</v>
      </c>
      <c r="W114" s="19" t="str">
        <f>IF(Banco_Nacion[[#This Row],[tipo_mov]]="INGRESO",Banco_Nacion[[#This Row],[serie]]&amp;Banco_Nacion[[#This Row],[numero]]&amp;Banco_Nacion[[#This Row],[responsable]]&amp;Banco_Nacion[[#This Row],[monto]],"")</f>
        <v>FE0218720607388416146</v>
      </c>
      <c r="X114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67608800</v>
      </c>
      <c r="Y114" s="3" t="str">
        <f>IFERROR(VLOOKUP(Banco_Nacion[[#This Row],[serie]]&amp;Banco_Nacion[[#This Row],[numero]]&amp;Banco_Nacion[[#This Row],[responsable]],[2]!Provision_CXC[[ID CXP]:[DETRACCION]],47,0),"")</f>
        <v/>
      </c>
      <c r="Z114" s="3"/>
      <c r="AA114" s="24" t="str">
        <f>IF(Banco_Nacion[[#This Row],[fecha]]&gt;0,TEXT(Banco_Nacion[[#This Row],[fecha]],"mmmm"),0)</f>
        <v>Febrero</v>
      </c>
    </row>
    <row r="115" spans="1:27" x14ac:dyDescent="0.3">
      <c r="A115" s="2">
        <f>IF(Banco_Nacion[[#This Row],[tipo_registro]]="R",COUNTIFS($C$1:$C114,"R")+1,"")</f>
        <v>114</v>
      </c>
      <c r="B115" s="19" t="str">
        <f t="shared" si="5"/>
        <v>B-Banco de la Nacion</v>
      </c>
      <c r="C115" s="3" t="s">
        <v>1330</v>
      </c>
      <c r="D115" s="14">
        <v>45699</v>
      </c>
      <c r="E115" s="5">
        <v>20607388416</v>
      </c>
      <c r="F115" s="5" t="s">
        <v>1303</v>
      </c>
      <c r="G115" s="6" t="s">
        <v>425</v>
      </c>
      <c r="H115" s="6" t="s">
        <v>68</v>
      </c>
      <c r="I115" s="6" t="s">
        <v>1347</v>
      </c>
      <c r="J115" s="6">
        <v>124</v>
      </c>
      <c r="K115" s="7" t="s">
        <v>5232</v>
      </c>
      <c r="L115" s="8">
        <v>67607537</v>
      </c>
      <c r="M115" s="8" t="str">
        <f t="shared" si="6"/>
        <v>PEN</v>
      </c>
      <c r="N115" s="13"/>
      <c r="O115" s="13">
        <v>608</v>
      </c>
      <c r="P115" s="3">
        <f t="shared" si="7"/>
        <v>608</v>
      </c>
      <c r="Q115" s="3">
        <f t="shared" si="8"/>
        <v>0</v>
      </c>
      <c r="R115" s="3">
        <f t="shared" si="9"/>
        <v>66701.010000000009</v>
      </c>
      <c r="S115" s="24"/>
      <c r="T115" s="24" t="s">
        <v>1334</v>
      </c>
      <c r="U115" s="3"/>
      <c r="V115" s="19" t="str">
        <f>IFERROR(VLOOKUP(Banco_Nacion[[#This Row],[responsable]],Clientes_Proveedores[[Ruc / Dni]:[Razon Social]],2,0),"")</f>
        <v>ALEACIONES FERROSAS Y METALICAS S.A.C.</v>
      </c>
      <c r="W115" s="19" t="str">
        <f>IF(Banco_Nacion[[#This Row],[tipo_mov]]="INGRESO",Banco_Nacion[[#This Row],[serie]]&amp;Banco_Nacion[[#This Row],[numero]]&amp;Banco_Nacion[[#This Row],[responsable]]&amp;Banco_Nacion[[#This Row],[monto]],"")</f>
        <v>FE0512420607388416608</v>
      </c>
      <c r="X115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67607537</v>
      </c>
      <c r="Y115" s="3" t="str">
        <f>IFERROR(VLOOKUP(Banco_Nacion[[#This Row],[serie]]&amp;Banco_Nacion[[#This Row],[numero]]&amp;Banco_Nacion[[#This Row],[responsable]],[2]!Provision_CXC[[ID CXP]:[DETRACCION]],47,0),"")</f>
        <v/>
      </c>
      <c r="Z115" s="3"/>
      <c r="AA115" s="24" t="str">
        <f>IF(Banco_Nacion[[#This Row],[fecha]]&gt;0,TEXT(Banco_Nacion[[#This Row],[fecha]],"mmmm"),0)</f>
        <v>Febrero</v>
      </c>
    </row>
    <row r="116" spans="1:27" x14ac:dyDescent="0.3">
      <c r="A116" s="2">
        <f>IF(Banco_Nacion[[#This Row],[tipo_registro]]="R",COUNTIFS($C$1:$C115,"R")+1,"")</f>
        <v>115</v>
      </c>
      <c r="B116" s="19" t="str">
        <f t="shared" si="5"/>
        <v>B-Banco de la Nacion</v>
      </c>
      <c r="C116" s="3" t="s">
        <v>1330</v>
      </c>
      <c r="D116" s="14">
        <v>45701</v>
      </c>
      <c r="E116" s="5"/>
      <c r="F116" s="5" t="s">
        <v>1336</v>
      </c>
      <c r="G116" s="6"/>
      <c r="H116" s="6"/>
      <c r="I116" s="6" t="s">
        <v>5231</v>
      </c>
      <c r="J116" s="6"/>
      <c r="K116" s="7" t="s">
        <v>5234</v>
      </c>
      <c r="L116" s="8">
        <v>78787878</v>
      </c>
      <c r="M116" s="8" t="str">
        <f t="shared" si="6"/>
        <v>PEN</v>
      </c>
      <c r="N116" s="13"/>
      <c r="O116" s="13">
        <v>22949</v>
      </c>
      <c r="P116" s="3">
        <f t="shared" si="7"/>
        <v>0</v>
      </c>
      <c r="Q116" s="3">
        <f t="shared" si="8"/>
        <v>22949</v>
      </c>
      <c r="R116" s="3">
        <f t="shared" si="9"/>
        <v>43752.010000000009</v>
      </c>
      <c r="S116" s="24"/>
      <c r="T116" s="24"/>
      <c r="U116" s="3"/>
      <c r="V116" s="19" t="str">
        <f>IFERROR(VLOOKUP(Banco_Nacion[[#This Row],[responsable]],Clientes_Proveedores[[Ruc / Dni]:[Razon Social]],2,0),"")</f>
        <v/>
      </c>
      <c r="W116" s="19" t="str">
        <f>IF(Banco_Nacion[[#This Row],[tipo_mov]]="INGRESO",Banco_Nacion[[#This Row],[serie]]&amp;Banco_Nacion[[#This Row],[numero]]&amp;Banco_Nacion[[#This Row],[responsable]]&amp;Banco_Nacion[[#This Row],[monto]],"")</f>
        <v/>
      </c>
      <c r="X116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/>
      </c>
      <c r="Y116" s="3" t="str">
        <f>IFERROR(VLOOKUP(Banco_Nacion[[#This Row],[serie]]&amp;Banco_Nacion[[#This Row],[numero]]&amp;Banco_Nacion[[#This Row],[responsable]],[2]!Provision_CXC[[ID CXP]:[DETRACCION]],47,0),"")</f>
        <v/>
      </c>
      <c r="Z116" s="3"/>
      <c r="AA116" s="24" t="str">
        <f>IF(Banco_Nacion[[#This Row],[fecha]]&gt;0,TEXT(Banco_Nacion[[#This Row],[fecha]],"mmmm"),0)</f>
        <v>Febrero</v>
      </c>
    </row>
    <row r="117" spans="1:27" x14ac:dyDescent="0.3">
      <c r="A117" s="2">
        <f>IF(Banco_Nacion[[#This Row],[tipo_registro]]="R",COUNTIFS($C$1:$C116,"R")+1,"")</f>
        <v>116</v>
      </c>
      <c r="B117" s="19" t="str">
        <f t="shared" si="5"/>
        <v>B-Banco de la Nacion</v>
      </c>
      <c r="C117" s="3" t="s">
        <v>1330</v>
      </c>
      <c r="D117" s="14">
        <v>45705</v>
      </c>
      <c r="E117" s="5">
        <v>20498309713</v>
      </c>
      <c r="F117" s="5" t="s">
        <v>1303</v>
      </c>
      <c r="G117" s="6" t="s">
        <v>425</v>
      </c>
      <c r="H117" s="6" t="s">
        <v>68</v>
      </c>
      <c r="I117" s="6" t="s">
        <v>1353</v>
      </c>
      <c r="J117" s="6">
        <v>191</v>
      </c>
      <c r="K117" s="7" t="s">
        <v>5232</v>
      </c>
      <c r="L117" s="8">
        <v>67848471</v>
      </c>
      <c r="M117" s="8" t="str">
        <f t="shared" si="6"/>
        <v>PEN</v>
      </c>
      <c r="N117" s="13"/>
      <c r="O117" s="13">
        <v>178</v>
      </c>
      <c r="P117" s="3">
        <f t="shared" si="7"/>
        <v>178</v>
      </c>
      <c r="Q117" s="3">
        <f t="shared" si="8"/>
        <v>0</v>
      </c>
      <c r="R117" s="3">
        <f t="shared" si="9"/>
        <v>43930.010000000009</v>
      </c>
      <c r="S117" s="24"/>
      <c r="T117" s="24" t="s">
        <v>1334</v>
      </c>
      <c r="U117" s="3"/>
      <c r="V117" s="19" t="str">
        <f>IFERROR(VLOOKUP(Banco_Nacion[[#This Row],[responsable]],Clientes_Proveedores[[Ruc / Dni]:[Razon Social]],2,0),"")</f>
        <v>SCOMAR S.R.L</v>
      </c>
      <c r="W117" s="19" t="str">
        <f>IF(Banco_Nacion[[#This Row],[tipo_mov]]="INGRESO",Banco_Nacion[[#This Row],[serie]]&amp;Banco_Nacion[[#This Row],[numero]]&amp;Banco_Nacion[[#This Row],[responsable]]&amp;Banco_Nacion[[#This Row],[monto]],"")</f>
        <v>FE0219120498309713178</v>
      </c>
      <c r="X117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67848471</v>
      </c>
      <c r="Y117" s="3" t="str">
        <f>IFERROR(VLOOKUP(Banco_Nacion[[#This Row],[serie]]&amp;Banco_Nacion[[#This Row],[numero]]&amp;Banco_Nacion[[#This Row],[responsable]],[2]!Provision_CXC[[ID CXP]:[DETRACCION]],47,0),"")</f>
        <v/>
      </c>
      <c r="Z117" s="3"/>
      <c r="AA117" s="24" t="str">
        <f>IF(Banco_Nacion[[#This Row],[fecha]]&gt;0,TEXT(Banco_Nacion[[#This Row],[fecha]],"mmmm"),0)</f>
        <v>Febrero</v>
      </c>
    </row>
    <row r="118" spans="1:27" x14ac:dyDescent="0.3">
      <c r="A118" s="2">
        <f>IF(Banco_Nacion[[#This Row],[tipo_registro]]="R",COUNTIFS($C$1:$C117,"R")+1,"")</f>
        <v>117</v>
      </c>
      <c r="B118" s="19" t="str">
        <f t="shared" si="5"/>
        <v>B-Banco de la Nacion</v>
      </c>
      <c r="C118" s="3" t="s">
        <v>1330</v>
      </c>
      <c r="D118" s="14">
        <v>45706</v>
      </c>
      <c r="E118" s="5">
        <v>20498220062</v>
      </c>
      <c r="F118" s="5" t="s">
        <v>1303</v>
      </c>
      <c r="G118" s="6" t="s">
        <v>425</v>
      </c>
      <c r="H118" s="6" t="s">
        <v>68</v>
      </c>
      <c r="I118" s="6" t="s">
        <v>1353</v>
      </c>
      <c r="J118" s="6">
        <v>192</v>
      </c>
      <c r="K118" s="7" t="s">
        <v>5232</v>
      </c>
      <c r="L118" s="8">
        <v>78788888</v>
      </c>
      <c r="M118" s="8" t="str">
        <f t="shared" si="6"/>
        <v>PEN</v>
      </c>
      <c r="N118" s="13"/>
      <c r="O118" s="13">
        <v>6</v>
      </c>
      <c r="P118" s="3">
        <f t="shared" si="7"/>
        <v>6</v>
      </c>
      <c r="Q118" s="3">
        <f t="shared" si="8"/>
        <v>0</v>
      </c>
      <c r="R118" s="3">
        <f t="shared" si="9"/>
        <v>43936.010000000009</v>
      </c>
      <c r="S118" s="24"/>
      <c r="T118" s="24" t="s">
        <v>1334</v>
      </c>
      <c r="U118" s="3"/>
      <c r="V118" s="19" t="str">
        <f>IFERROR(VLOOKUP(Banco_Nacion[[#This Row],[responsable]],Clientes_Proveedores[[Ruc / Dni]:[Razon Social]],2,0),"")</f>
        <v>ELECMIN S.A.C.</v>
      </c>
      <c r="W118" s="19" t="str">
        <f>IF(Banco_Nacion[[#This Row],[tipo_mov]]="INGRESO",Banco_Nacion[[#This Row],[serie]]&amp;Banco_Nacion[[#This Row],[numero]]&amp;Banco_Nacion[[#This Row],[responsable]]&amp;Banco_Nacion[[#This Row],[monto]],"")</f>
        <v>FE02192204982200626</v>
      </c>
      <c r="X118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78788888</v>
      </c>
      <c r="Y118" s="3" t="str">
        <f>IFERROR(VLOOKUP(Banco_Nacion[[#This Row],[serie]]&amp;Banco_Nacion[[#This Row],[numero]]&amp;Banco_Nacion[[#This Row],[responsable]],[2]!Provision_CXC[[ID CXP]:[DETRACCION]],47,0),"")</f>
        <v/>
      </c>
      <c r="Z118" s="3"/>
      <c r="AA118" s="24" t="str">
        <f>IF(Banco_Nacion[[#This Row],[fecha]]&gt;0,TEXT(Banco_Nacion[[#This Row],[fecha]],"mmmm"),0)</f>
        <v>Febrero</v>
      </c>
    </row>
    <row r="119" spans="1:27" x14ac:dyDescent="0.3">
      <c r="A119" s="2">
        <f>IF(Banco_Nacion[[#This Row],[tipo_registro]]="R",COUNTIFS($C$1:$C118,"R")+1,"")</f>
        <v>118</v>
      </c>
      <c r="B119" s="19" t="str">
        <f t="shared" si="5"/>
        <v>B-Banco de la Nacion</v>
      </c>
      <c r="C119" s="3" t="s">
        <v>1330</v>
      </c>
      <c r="D119" s="14">
        <v>45709</v>
      </c>
      <c r="E119" s="5">
        <v>20100055237</v>
      </c>
      <c r="F119" s="5" t="s">
        <v>1303</v>
      </c>
      <c r="G119" s="6" t="s">
        <v>425</v>
      </c>
      <c r="H119" s="6" t="s">
        <v>68</v>
      </c>
      <c r="I119" s="6" t="s">
        <v>1343</v>
      </c>
      <c r="J119" s="6">
        <v>562</v>
      </c>
      <c r="K119" s="7" t="s">
        <v>5232</v>
      </c>
      <c r="L119" s="8">
        <v>68128759</v>
      </c>
      <c r="M119" s="8" t="str">
        <f t="shared" si="6"/>
        <v>PEN</v>
      </c>
      <c r="N119" s="13"/>
      <c r="O119" s="13">
        <v>127</v>
      </c>
      <c r="P119" s="3">
        <f t="shared" si="7"/>
        <v>127</v>
      </c>
      <c r="Q119" s="3">
        <f t="shared" si="8"/>
        <v>0</v>
      </c>
      <c r="R119" s="3">
        <f t="shared" si="9"/>
        <v>44063.010000000009</v>
      </c>
      <c r="S119" s="24"/>
      <c r="T119" s="24" t="s">
        <v>1334</v>
      </c>
      <c r="U119" s="3"/>
      <c r="V119" s="19" t="str">
        <f>IFERROR(VLOOKUP(Banco_Nacion[[#This Row],[responsable]],Clientes_Proveedores[[Ruc / Dni]:[Razon Social]],2,0),"")</f>
        <v>ALICORP SAA</v>
      </c>
      <c r="W119" s="19" t="str">
        <f>IF(Banco_Nacion[[#This Row],[tipo_mov]]="INGRESO",Banco_Nacion[[#This Row],[serie]]&amp;Banco_Nacion[[#This Row],[numero]]&amp;Banco_Nacion[[#This Row],[responsable]]&amp;Banco_Nacion[[#This Row],[monto]],"")</f>
        <v>FE0156220100055237127</v>
      </c>
      <c r="X119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68128759</v>
      </c>
      <c r="Y119" s="3" t="str">
        <f>IFERROR(VLOOKUP(Banco_Nacion[[#This Row],[serie]]&amp;Banco_Nacion[[#This Row],[numero]]&amp;Banco_Nacion[[#This Row],[responsable]],[2]!Provision_CXC[[ID CXP]:[DETRACCION]],47,0),"")</f>
        <v/>
      </c>
      <c r="Z119" s="3"/>
      <c r="AA119" s="24" t="str">
        <f>IF(Banco_Nacion[[#This Row],[fecha]]&gt;0,TEXT(Banco_Nacion[[#This Row],[fecha]],"mmmm"),0)</f>
        <v>Febrero</v>
      </c>
    </row>
    <row r="120" spans="1:27" x14ac:dyDescent="0.3">
      <c r="A120" s="2">
        <f>IF(Banco_Nacion[[#This Row],[tipo_registro]]="R",COUNTIFS($C$1:$C119,"R")+1,"")</f>
        <v>119</v>
      </c>
      <c r="B120" s="19" t="str">
        <f t="shared" si="5"/>
        <v>B-Banco de la Nacion</v>
      </c>
      <c r="C120" s="3" t="s">
        <v>1330</v>
      </c>
      <c r="D120" s="14">
        <v>45712</v>
      </c>
      <c r="E120" s="5">
        <v>20454186002</v>
      </c>
      <c r="F120" s="5" t="s">
        <v>1303</v>
      </c>
      <c r="G120" s="6" t="s">
        <v>425</v>
      </c>
      <c r="H120" s="6" t="s">
        <v>68</v>
      </c>
      <c r="I120" s="6" t="s">
        <v>1343</v>
      </c>
      <c r="J120" s="6">
        <v>559</v>
      </c>
      <c r="K120" s="7" t="s">
        <v>5232</v>
      </c>
      <c r="L120" s="8">
        <v>68238348</v>
      </c>
      <c r="M120" s="8" t="str">
        <f t="shared" si="6"/>
        <v>PEN</v>
      </c>
      <c r="N120" s="13"/>
      <c r="O120" s="13">
        <v>566</v>
      </c>
      <c r="P120" s="3">
        <f t="shared" si="7"/>
        <v>566</v>
      </c>
      <c r="Q120" s="3">
        <f t="shared" si="8"/>
        <v>0</v>
      </c>
      <c r="R120" s="3">
        <f t="shared" si="9"/>
        <v>44629.010000000009</v>
      </c>
      <c r="S120" s="24"/>
      <c r="T120" s="24" t="s">
        <v>1334</v>
      </c>
      <c r="U120" s="3"/>
      <c r="V120" s="19" t="str">
        <f>IFERROR(VLOOKUP(Banco_Nacion[[#This Row],[responsable]],Clientes_Proveedores[[Ruc / Dni]:[Razon Social]],2,0),"")</f>
        <v>ALSUR PERU S.A.C.</v>
      </c>
      <c r="W120" s="19" t="str">
        <f>IF(Banco_Nacion[[#This Row],[tipo_mov]]="INGRESO",Banco_Nacion[[#This Row],[serie]]&amp;Banco_Nacion[[#This Row],[numero]]&amp;Banco_Nacion[[#This Row],[responsable]]&amp;Banco_Nacion[[#This Row],[monto]],"")</f>
        <v>FE0155920454186002566</v>
      </c>
      <c r="X120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68238348</v>
      </c>
      <c r="Y120" s="3" t="str">
        <f>IFERROR(VLOOKUP(Banco_Nacion[[#This Row],[serie]]&amp;Banco_Nacion[[#This Row],[numero]]&amp;Banco_Nacion[[#This Row],[responsable]],[2]!Provision_CXC[[ID CXP]:[DETRACCION]],47,0),"")</f>
        <v/>
      </c>
      <c r="Z120" s="3"/>
      <c r="AA120" s="24" t="str">
        <f>IF(Banco_Nacion[[#This Row],[fecha]]&gt;0,TEXT(Banco_Nacion[[#This Row],[fecha]],"mmmm"),0)</f>
        <v>Febrero</v>
      </c>
    </row>
    <row r="121" spans="1:27" x14ac:dyDescent="0.3">
      <c r="A121" s="2">
        <f>IF(Banco_Nacion[[#This Row],[tipo_registro]]="R",COUNTIFS($C$1:$C120,"R")+1,"")</f>
        <v>120</v>
      </c>
      <c r="B121" s="19" t="str">
        <f t="shared" si="5"/>
        <v>B-Banco de la Nacion</v>
      </c>
      <c r="C121" s="3" t="s">
        <v>1330</v>
      </c>
      <c r="D121" s="14">
        <v>45712</v>
      </c>
      <c r="E121" s="5">
        <v>20454186002</v>
      </c>
      <c r="F121" s="5" t="s">
        <v>1303</v>
      </c>
      <c r="G121" s="6" t="s">
        <v>425</v>
      </c>
      <c r="H121" s="6" t="s">
        <v>68</v>
      </c>
      <c r="I121" s="6" t="s">
        <v>1343</v>
      </c>
      <c r="J121" s="6">
        <v>567</v>
      </c>
      <c r="K121" s="7" t="s">
        <v>5232</v>
      </c>
      <c r="L121" s="8">
        <v>68238347</v>
      </c>
      <c r="M121" s="8" t="str">
        <f t="shared" si="6"/>
        <v>PEN</v>
      </c>
      <c r="N121" s="13"/>
      <c r="O121" s="13">
        <v>753</v>
      </c>
      <c r="P121" s="3">
        <f t="shared" si="7"/>
        <v>753</v>
      </c>
      <c r="Q121" s="3">
        <f t="shared" si="8"/>
        <v>0</v>
      </c>
      <c r="R121" s="3">
        <f t="shared" si="9"/>
        <v>45382.010000000009</v>
      </c>
      <c r="S121" s="24"/>
      <c r="T121" s="24" t="s">
        <v>1334</v>
      </c>
      <c r="U121" s="3"/>
      <c r="V121" s="19" t="str">
        <f>IFERROR(VLOOKUP(Banco_Nacion[[#This Row],[responsable]],Clientes_Proveedores[[Ruc / Dni]:[Razon Social]],2,0),"")</f>
        <v>ALSUR PERU S.A.C.</v>
      </c>
      <c r="W121" s="19" t="str">
        <f>IF(Banco_Nacion[[#This Row],[tipo_mov]]="INGRESO",Banco_Nacion[[#This Row],[serie]]&amp;Banco_Nacion[[#This Row],[numero]]&amp;Banco_Nacion[[#This Row],[responsable]]&amp;Banco_Nacion[[#This Row],[monto]],"")</f>
        <v>FE0156720454186002753</v>
      </c>
      <c r="X121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68238347</v>
      </c>
      <c r="Y121" s="3" t="str">
        <f>IFERROR(VLOOKUP(Banco_Nacion[[#This Row],[serie]]&amp;Banco_Nacion[[#This Row],[numero]]&amp;Banco_Nacion[[#This Row],[responsable]],[2]!Provision_CXC[[ID CXP]:[DETRACCION]],47,0),"")</f>
        <v/>
      </c>
      <c r="Z121" s="3"/>
      <c r="AA121" s="24" t="str">
        <f>IF(Banco_Nacion[[#This Row],[fecha]]&gt;0,TEXT(Banco_Nacion[[#This Row],[fecha]],"mmmm"),0)</f>
        <v>Febrero</v>
      </c>
    </row>
    <row r="122" spans="1:27" x14ac:dyDescent="0.3">
      <c r="A122" s="2">
        <f>IF(Banco_Nacion[[#This Row],[tipo_registro]]="R",COUNTIFS($C$1:$C121,"R")+1,"")</f>
        <v>121</v>
      </c>
      <c r="B122" s="19" t="str">
        <f t="shared" si="5"/>
        <v>B-Banco de la Nacion</v>
      </c>
      <c r="C122" s="3" t="s">
        <v>1330</v>
      </c>
      <c r="D122" s="14">
        <v>45712</v>
      </c>
      <c r="E122" s="5">
        <v>20454186002</v>
      </c>
      <c r="F122" s="5" t="s">
        <v>1303</v>
      </c>
      <c r="G122" s="6" t="s">
        <v>425</v>
      </c>
      <c r="H122" s="6" t="s">
        <v>68</v>
      </c>
      <c r="I122" s="6" t="s">
        <v>1343</v>
      </c>
      <c r="J122" s="6">
        <v>568</v>
      </c>
      <c r="K122" s="7" t="s">
        <v>5232</v>
      </c>
      <c r="L122" s="8">
        <v>68238346</v>
      </c>
      <c r="M122" s="8" t="str">
        <f t="shared" si="6"/>
        <v>PEN</v>
      </c>
      <c r="N122" s="13"/>
      <c r="O122" s="13">
        <v>506</v>
      </c>
      <c r="P122" s="3">
        <f t="shared" si="7"/>
        <v>506</v>
      </c>
      <c r="Q122" s="3">
        <f t="shared" si="8"/>
        <v>0</v>
      </c>
      <c r="R122" s="3">
        <f t="shared" si="9"/>
        <v>45888.010000000009</v>
      </c>
      <c r="S122" s="24"/>
      <c r="T122" s="24" t="s">
        <v>1334</v>
      </c>
      <c r="U122" s="3"/>
      <c r="V122" s="19" t="str">
        <f>IFERROR(VLOOKUP(Banco_Nacion[[#This Row],[responsable]],Clientes_Proveedores[[Ruc / Dni]:[Razon Social]],2,0),"")</f>
        <v>ALSUR PERU S.A.C.</v>
      </c>
      <c r="W122" s="19" t="str">
        <f>IF(Banco_Nacion[[#This Row],[tipo_mov]]="INGRESO",Banco_Nacion[[#This Row],[serie]]&amp;Banco_Nacion[[#This Row],[numero]]&amp;Banco_Nacion[[#This Row],[responsable]]&amp;Banco_Nacion[[#This Row],[monto]],"")</f>
        <v>FE0156820454186002506</v>
      </c>
      <c r="X122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68238346</v>
      </c>
      <c r="Y122" s="3" t="str">
        <f>IFERROR(VLOOKUP(Banco_Nacion[[#This Row],[serie]]&amp;Banco_Nacion[[#This Row],[numero]]&amp;Banco_Nacion[[#This Row],[responsable]],[2]!Provision_CXC[[ID CXP]:[DETRACCION]],47,0),"")</f>
        <v/>
      </c>
      <c r="Z122" s="3"/>
      <c r="AA122" s="24" t="str">
        <f>IF(Banco_Nacion[[#This Row],[fecha]]&gt;0,TEXT(Banco_Nacion[[#This Row],[fecha]],"mmmm"),0)</f>
        <v>Febrero</v>
      </c>
    </row>
    <row r="123" spans="1:27" x14ac:dyDescent="0.3">
      <c r="A123" s="2">
        <f>IF(Banco_Nacion[[#This Row],[tipo_registro]]="R",COUNTIFS($C$1:$C122,"R")+1,"")</f>
        <v>122</v>
      </c>
      <c r="B123" s="19" t="str">
        <f t="shared" si="5"/>
        <v>B-Banco de la Nacion</v>
      </c>
      <c r="C123" s="3" t="s">
        <v>1330</v>
      </c>
      <c r="D123" s="14">
        <v>45712</v>
      </c>
      <c r="E123" s="5"/>
      <c r="F123" s="5" t="s">
        <v>1336</v>
      </c>
      <c r="G123" s="6"/>
      <c r="H123" s="6"/>
      <c r="I123" s="6" t="s">
        <v>5231</v>
      </c>
      <c r="J123" s="6"/>
      <c r="K123" s="7" t="s">
        <v>5234</v>
      </c>
      <c r="L123" s="8">
        <v>78787878</v>
      </c>
      <c r="M123" s="8" t="str">
        <f t="shared" si="6"/>
        <v>PEN</v>
      </c>
      <c r="N123" s="13"/>
      <c r="O123" s="13">
        <v>43</v>
      </c>
      <c r="P123" s="3">
        <f t="shared" si="7"/>
        <v>0</v>
      </c>
      <c r="Q123" s="3">
        <f t="shared" si="8"/>
        <v>43</v>
      </c>
      <c r="R123" s="3">
        <f t="shared" si="9"/>
        <v>45845.010000000009</v>
      </c>
      <c r="S123" s="24"/>
      <c r="T123" s="24"/>
      <c r="U123" s="3"/>
      <c r="V123" s="19" t="str">
        <f>IFERROR(VLOOKUP(Banco_Nacion[[#This Row],[responsable]],Clientes_Proveedores[[Ruc / Dni]:[Razon Social]],2,0),"")</f>
        <v/>
      </c>
      <c r="W123" s="19" t="str">
        <f>IF(Banco_Nacion[[#This Row],[tipo_mov]]="INGRESO",Banco_Nacion[[#This Row],[serie]]&amp;Banco_Nacion[[#This Row],[numero]]&amp;Banco_Nacion[[#This Row],[responsable]]&amp;Banco_Nacion[[#This Row],[monto]],"")</f>
        <v/>
      </c>
      <c r="X123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/>
      </c>
      <c r="Y123" s="3" t="str">
        <f>IFERROR(VLOOKUP(Banco_Nacion[[#This Row],[serie]]&amp;Banco_Nacion[[#This Row],[numero]]&amp;Banco_Nacion[[#This Row],[responsable]],[2]!Provision_CXC[[ID CXP]:[DETRACCION]],47,0),"")</f>
        <v/>
      </c>
      <c r="Z123" s="3"/>
      <c r="AA123" s="24" t="str">
        <f>IF(Banco_Nacion[[#This Row],[fecha]]&gt;0,TEXT(Banco_Nacion[[#This Row],[fecha]],"mmmm"),0)</f>
        <v>Febrero</v>
      </c>
    </row>
    <row r="124" spans="1:27" x14ac:dyDescent="0.3">
      <c r="A124" s="2">
        <f>IF(Banco_Nacion[[#This Row],[tipo_registro]]="R",COUNTIFS($C$1:$C123,"R")+1,"")</f>
        <v>123</v>
      </c>
      <c r="B124" s="19" t="str">
        <f t="shared" si="5"/>
        <v>B-Banco de la Nacion</v>
      </c>
      <c r="C124" s="3" t="s">
        <v>1330</v>
      </c>
      <c r="D124" s="14">
        <v>45712</v>
      </c>
      <c r="E124" s="5" t="s">
        <v>5231</v>
      </c>
      <c r="F124" s="5" t="s">
        <v>1336</v>
      </c>
      <c r="G124" s="6"/>
      <c r="H124" s="6"/>
      <c r="I124" s="6" t="s">
        <v>5231</v>
      </c>
      <c r="J124" s="6"/>
      <c r="K124" s="7" t="s">
        <v>5234</v>
      </c>
      <c r="L124" s="8">
        <v>78787878</v>
      </c>
      <c r="M124" s="8" t="str">
        <f t="shared" si="6"/>
        <v>PEN</v>
      </c>
      <c r="N124" s="13"/>
      <c r="O124" s="13">
        <v>93</v>
      </c>
      <c r="P124" s="3">
        <f t="shared" si="7"/>
        <v>0</v>
      </c>
      <c r="Q124" s="3">
        <f t="shared" si="8"/>
        <v>93</v>
      </c>
      <c r="R124" s="3">
        <f t="shared" si="9"/>
        <v>45752.010000000009</v>
      </c>
      <c r="S124" s="24"/>
      <c r="T124" s="24"/>
      <c r="U124" s="3"/>
      <c r="V124" s="19" t="str">
        <f>IFERROR(VLOOKUP(Banco_Nacion[[#This Row],[responsable]],Clientes_Proveedores[[Ruc / Dni]:[Razon Social]],2,0),"")</f>
        <v/>
      </c>
      <c r="W124" s="19" t="str">
        <f>IF(Banco_Nacion[[#This Row],[tipo_mov]]="INGRESO",Banco_Nacion[[#This Row],[serie]]&amp;Banco_Nacion[[#This Row],[numero]]&amp;Banco_Nacion[[#This Row],[responsable]]&amp;Banco_Nacion[[#This Row],[monto]],"")</f>
        <v/>
      </c>
      <c r="X124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/>
      </c>
      <c r="Y124" s="3" t="str">
        <f>IFERROR(VLOOKUP(Banco_Nacion[[#This Row],[serie]]&amp;Banco_Nacion[[#This Row],[numero]]&amp;Banco_Nacion[[#This Row],[responsable]],[2]!Provision_CXC[[ID CXP]:[DETRACCION]],47,0),"")</f>
        <v/>
      </c>
      <c r="Z124" s="3"/>
      <c r="AA124" s="24" t="str">
        <f>IF(Banco_Nacion[[#This Row],[fecha]]&gt;0,TEXT(Banco_Nacion[[#This Row],[fecha]],"mmmm"),0)</f>
        <v>Febrero</v>
      </c>
    </row>
    <row r="125" spans="1:27" x14ac:dyDescent="0.3">
      <c r="A125" s="2">
        <f>IF(Banco_Nacion[[#This Row],[tipo_registro]]="R",COUNTIFS($C$1:$C124,"R")+1,"")</f>
        <v>124</v>
      </c>
      <c r="B125" s="19" t="str">
        <f t="shared" si="5"/>
        <v>B-Banco de la Nacion</v>
      </c>
      <c r="C125" s="3" t="s">
        <v>1330</v>
      </c>
      <c r="D125" s="14">
        <v>45712</v>
      </c>
      <c r="E125" s="5"/>
      <c r="F125" s="5" t="s">
        <v>1336</v>
      </c>
      <c r="G125" s="6"/>
      <c r="H125" s="6"/>
      <c r="I125" s="6" t="s">
        <v>5231</v>
      </c>
      <c r="J125" s="6"/>
      <c r="K125" s="7" t="s">
        <v>5234</v>
      </c>
      <c r="L125" s="8">
        <v>78787878</v>
      </c>
      <c r="M125" s="8" t="str">
        <f t="shared" si="6"/>
        <v>PEN</v>
      </c>
      <c r="N125" s="13"/>
      <c r="O125" s="13">
        <v>6919</v>
      </c>
      <c r="P125" s="3">
        <f t="shared" si="7"/>
        <v>0</v>
      </c>
      <c r="Q125" s="3">
        <f t="shared" si="8"/>
        <v>6919</v>
      </c>
      <c r="R125" s="3">
        <f t="shared" si="9"/>
        <v>38833.010000000009</v>
      </c>
      <c r="S125" s="24"/>
      <c r="T125" s="24"/>
      <c r="U125" s="3"/>
      <c r="V125" s="19" t="str">
        <f>IFERROR(VLOOKUP(Banco_Nacion[[#This Row],[responsable]],Clientes_Proveedores[[Ruc / Dni]:[Razon Social]],2,0),"")</f>
        <v/>
      </c>
      <c r="W125" s="19" t="str">
        <f>IF(Banco_Nacion[[#This Row],[tipo_mov]]="INGRESO",Banco_Nacion[[#This Row],[serie]]&amp;Banco_Nacion[[#This Row],[numero]]&amp;Banco_Nacion[[#This Row],[responsable]]&amp;Banco_Nacion[[#This Row],[monto]],"")</f>
        <v/>
      </c>
      <c r="X125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/>
      </c>
      <c r="Y125" s="3" t="str">
        <f>IFERROR(VLOOKUP(Banco_Nacion[[#This Row],[serie]]&amp;Banco_Nacion[[#This Row],[numero]]&amp;Banco_Nacion[[#This Row],[responsable]],[2]!Provision_CXC[[ID CXP]:[DETRACCION]],47,0),"")</f>
        <v/>
      </c>
      <c r="Z125" s="3"/>
      <c r="AA125" s="24" t="str">
        <f>IF(Banco_Nacion[[#This Row],[fecha]]&gt;0,TEXT(Banco_Nacion[[#This Row],[fecha]],"mmmm"),0)</f>
        <v>Febrero</v>
      </c>
    </row>
    <row r="126" spans="1:27" x14ac:dyDescent="0.3">
      <c r="A126" s="2">
        <f>IF(Banco_Nacion[[#This Row],[tipo_registro]]="R",COUNTIFS($C$1:$C125,"R")+1,"")</f>
        <v>125</v>
      </c>
      <c r="B126" s="19" t="str">
        <f t="shared" si="5"/>
        <v>B-Banco de la Nacion</v>
      </c>
      <c r="C126" s="3" t="s">
        <v>1330</v>
      </c>
      <c r="D126" s="14">
        <v>45712</v>
      </c>
      <c r="E126" s="5" t="s">
        <v>5231</v>
      </c>
      <c r="F126" s="5" t="s">
        <v>1336</v>
      </c>
      <c r="G126" s="6"/>
      <c r="H126" s="6"/>
      <c r="I126" s="6" t="s">
        <v>5231</v>
      </c>
      <c r="J126" s="6"/>
      <c r="K126" s="7" t="s">
        <v>5234</v>
      </c>
      <c r="L126" s="8">
        <v>78787878</v>
      </c>
      <c r="M126" s="8" t="str">
        <f t="shared" si="6"/>
        <v>PEN</v>
      </c>
      <c r="N126" s="13"/>
      <c r="O126" s="13">
        <v>1912</v>
      </c>
      <c r="P126" s="3">
        <f t="shared" si="7"/>
        <v>0</v>
      </c>
      <c r="Q126" s="3">
        <f t="shared" si="8"/>
        <v>1912</v>
      </c>
      <c r="R126" s="3">
        <f t="shared" si="9"/>
        <v>36921.010000000009</v>
      </c>
      <c r="S126" s="24"/>
      <c r="T126" s="24"/>
      <c r="U126" s="3"/>
      <c r="V126" s="19" t="str">
        <f>IFERROR(VLOOKUP(Banco_Nacion[[#This Row],[responsable]],Clientes_Proveedores[[Ruc / Dni]:[Razon Social]],2,0),"")</f>
        <v/>
      </c>
      <c r="W126" s="19" t="str">
        <f>IF(Banco_Nacion[[#This Row],[tipo_mov]]="INGRESO",Banco_Nacion[[#This Row],[serie]]&amp;Banco_Nacion[[#This Row],[numero]]&amp;Banco_Nacion[[#This Row],[responsable]]&amp;Banco_Nacion[[#This Row],[monto]],"")</f>
        <v/>
      </c>
      <c r="X126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/>
      </c>
      <c r="Y126" s="3" t="str">
        <f>IFERROR(VLOOKUP(Banco_Nacion[[#This Row],[serie]]&amp;Banco_Nacion[[#This Row],[numero]]&amp;Banco_Nacion[[#This Row],[responsable]],[2]!Provision_CXC[[ID CXP]:[DETRACCION]],47,0),"")</f>
        <v/>
      </c>
      <c r="Z126" s="3"/>
      <c r="AA126" s="24" t="str">
        <f>IF(Banco_Nacion[[#This Row],[fecha]]&gt;0,TEXT(Banco_Nacion[[#This Row],[fecha]],"mmmm"),0)</f>
        <v>Febrero</v>
      </c>
    </row>
    <row r="127" spans="1:27" x14ac:dyDescent="0.3">
      <c r="A127" s="2">
        <f>IF(Banco_Nacion[[#This Row],[tipo_registro]]="R",COUNTIFS($C$1:$C126,"R")+1,"")</f>
        <v>126</v>
      </c>
      <c r="B127" s="19" t="str">
        <f t="shared" si="5"/>
        <v>B-Banco de la Nacion</v>
      </c>
      <c r="C127" s="3" t="s">
        <v>1330</v>
      </c>
      <c r="D127" s="14">
        <v>45714</v>
      </c>
      <c r="E127" s="5">
        <v>20603577079</v>
      </c>
      <c r="F127" s="5" t="s">
        <v>1303</v>
      </c>
      <c r="G127" s="6" t="s">
        <v>425</v>
      </c>
      <c r="H127" s="6" t="s">
        <v>68</v>
      </c>
      <c r="I127" s="6" t="s">
        <v>1353</v>
      </c>
      <c r="J127" s="6">
        <v>200</v>
      </c>
      <c r="K127" s="7" t="s">
        <v>5232</v>
      </c>
      <c r="L127" s="8">
        <v>68342667</v>
      </c>
      <c r="M127" s="8" t="str">
        <f t="shared" si="6"/>
        <v>PEN</v>
      </c>
      <c r="N127" s="13"/>
      <c r="O127" s="13">
        <v>2667</v>
      </c>
      <c r="P127" s="3">
        <f t="shared" si="7"/>
        <v>2667</v>
      </c>
      <c r="Q127" s="3">
        <f t="shared" si="8"/>
        <v>0</v>
      </c>
      <c r="R127" s="3">
        <f t="shared" si="9"/>
        <v>39588.010000000009</v>
      </c>
      <c r="S127" s="24" t="s">
        <v>1334</v>
      </c>
      <c r="T127" s="24" t="s">
        <v>1334</v>
      </c>
      <c r="U127" s="3"/>
      <c r="V127" s="19" t="str">
        <f>IFERROR(VLOOKUP(Banco_Nacion[[#This Row],[responsable]],Clientes_Proveedores[[Ruc / Dni]:[Razon Social]],2,0),"")</f>
        <v>ENVASES CAROLINA S.A.C.</v>
      </c>
      <c r="W127" s="19" t="str">
        <f>IF(Banco_Nacion[[#This Row],[tipo_mov]]="INGRESO",Banco_Nacion[[#This Row],[serie]]&amp;Banco_Nacion[[#This Row],[numero]]&amp;Banco_Nacion[[#This Row],[responsable]]&amp;Banco_Nacion[[#This Row],[monto]],"")</f>
        <v>FE02200206035770792667</v>
      </c>
      <c r="X127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68342667</v>
      </c>
      <c r="Y127" s="3" t="str">
        <f>IFERROR(VLOOKUP(Banco_Nacion[[#This Row],[serie]]&amp;Banco_Nacion[[#This Row],[numero]]&amp;Banco_Nacion[[#This Row],[responsable]],[2]!Provision_CXC[[ID CXP]:[DETRACCION]],47,0),"")</f>
        <v/>
      </c>
      <c r="Z127" s="3"/>
      <c r="AA127" s="24" t="str">
        <f>IF(Banco_Nacion[[#This Row],[fecha]]&gt;0,TEXT(Banco_Nacion[[#This Row],[fecha]],"mmmm"),0)</f>
        <v>Febrero</v>
      </c>
    </row>
    <row r="128" spans="1:27" x14ac:dyDescent="0.3">
      <c r="A128" s="2">
        <f>IF(Banco_Nacion[[#This Row],[tipo_registro]]="R",COUNTIFS($C$1:$C127,"R")+1,"")</f>
        <v>127</v>
      </c>
      <c r="B128" s="19" t="str">
        <f t="shared" si="5"/>
        <v>B-Banco de la Nacion</v>
      </c>
      <c r="C128" s="3" t="s">
        <v>1330</v>
      </c>
      <c r="D128" s="14">
        <v>45714</v>
      </c>
      <c r="E128" s="5">
        <v>20120877055</v>
      </c>
      <c r="F128" s="5" t="s">
        <v>1303</v>
      </c>
      <c r="G128" s="6" t="s">
        <v>425</v>
      </c>
      <c r="H128" s="6" t="s">
        <v>68</v>
      </c>
      <c r="I128" s="6" t="s">
        <v>1353</v>
      </c>
      <c r="J128" s="6">
        <v>196</v>
      </c>
      <c r="K128" s="7" t="s">
        <v>5232</v>
      </c>
      <c r="L128" s="8">
        <v>68342666</v>
      </c>
      <c r="M128" s="8" t="str">
        <f t="shared" si="6"/>
        <v>PEN</v>
      </c>
      <c r="N128" s="13"/>
      <c r="O128" s="13">
        <v>56</v>
      </c>
      <c r="P128" s="3">
        <f t="shared" si="7"/>
        <v>56</v>
      </c>
      <c r="Q128" s="3">
        <f t="shared" si="8"/>
        <v>0</v>
      </c>
      <c r="R128" s="3">
        <f t="shared" si="9"/>
        <v>39644.010000000009</v>
      </c>
      <c r="S128" s="24" t="s">
        <v>1334</v>
      </c>
      <c r="T128" s="24" t="s">
        <v>1334</v>
      </c>
      <c r="U128" s="3"/>
      <c r="V128" s="19" t="str">
        <f>IFERROR(VLOOKUP(Banco_Nacion[[#This Row],[responsable]],Clientes_Proveedores[[Ruc / Dni]:[Razon Social]],2,0),"")</f>
        <v>LADRILLERA EL DIAMANTE S.A.C.</v>
      </c>
      <c r="W128" s="19" t="str">
        <f>IF(Banco_Nacion[[#This Row],[tipo_mov]]="INGRESO",Banco_Nacion[[#This Row],[serie]]&amp;Banco_Nacion[[#This Row],[numero]]&amp;Banco_Nacion[[#This Row],[responsable]]&amp;Banco_Nacion[[#This Row],[monto]],"")</f>
        <v>FE021962012087705556</v>
      </c>
      <c r="X128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68342666</v>
      </c>
      <c r="Y128" s="3" t="str">
        <f>IFERROR(VLOOKUP(Banco_Nacion[[#This Row],[serie]]&amp;Banco_Nacion[[#This Row],[numero]]&amp;Banco_Nacion[[#This Row],[responsable]],[2]!Provision_CXC[[ID CXP]:[DETRACCION]],47,0),"")</f>
        <v/>
      </c>
      <c r="Z128" s="3"/>
      <c r="AA128" s="24" t="str">
        <f>IF(Banco_Nacion[[#This Row],[fecha]]&gt;0,TEXT(Banco_Nacion[[#This Row],[fecha]],"mmmm"),0)</f>
        <v>Febrero</v>
      </c>
    </row>
    <row r="129" spans="1:27" x14ac:dyDescent="0.3">
      <c r="A129" s="2">
        <f>IF(Banco_Nacion[[#This Row],[tipo_registro]]="R",COUNTIFS($C$1:$C128,"R")+1,"")</f>
        <v>128</v>
      </c>
      <c r="B129" s="19" t="str">
        <f t="shared" si="5"/>
        <v>B-Banco de la Nacion</v>
      </c>
      <c r="C129" s="3" t="s">
        <v>1330</v>
      </c>
      <c r="D129" s="14">
        <v>45714</v>
      </c>
      <c r="E129" s="5">
        <v>20456012427</v>
      </c>
      <c r="F129" s="5" t="s">
        <v>1303</v>
      </c>
      <c r="G129" s="6" t="s">
        <v>425</v>
      </c>
      <c r="H129" s="6" t="s">
        <v>68</v>
      </c>
      <c r="I129" s="6" t="s">
        <v>1343</v>
      </c>
      <c r="J129" s="6">
        <v>545</v>
      </c>
      <c r="K129" s="7" t="s">
        <v>5232</v>
      </c>
      <c r="L129" s="8">
        <v>68342665</v>
      </c>
      <c r="M129" s="8" t="str">
        <f t="shared" si="6"/>
        <v>PEN</v>
      </c>
      <c r="N129" s="13"/>
      <c r="O129" s="13">
        <v>136</v>
      </c>
      <c r="P129" s="3">
        <f t="shared" si="7"/>
        <v>136</v>
      </c>
      <c r="Q129" s="3">
        <f t="shared" si="8"/>
        <v>0</v>
      </c>
      <c r="R129" s="3">
        <f t="shared" si="9"/>
        <v>39780.010000000009</v>
      </c>
      <c r="S129" s="24" t="s">
        <v>1334</v>
      </c>
      <c r="T129" s="24" t="s">
        <v>1334</v>
      </c>
      <c r="U129" s="3"/>
      <c r="V129" s="19" t="str">
        <f>IFERROR(VLOOKUP(Banco_Nacion[[#This Row],[responsable]],Clientes_Proveedores[[Ruc / Dni]:[Razon Social]],2,0),"")</f>
        <v>J. CH. COMERCIALIZADORA DE RESIDUOS SOLIDOS S.R.L.</v>
      </c>
      <c r="W129" s="19" t="str">
        <f>IF(Banco_Nacion[[#This Row],[tipo_mov]]="INGRESO",Banco_Nacion[[#This Row],[serie]]&amp;Banco_Nacion[[#This Row],[numero]]&amp;Banco_Nacion[[#This Row],[responsable]]&amp;Banco_Nacion[[#This Row],[monto]],"")</f>
        <v>FE0154520456012427136</v>
      </c>
      <c r="X129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68342665</v>
      </c>
      <c r="Y129" s="3" t="str">
        <f>IFERROR(VLOOKUP(Banco_Nacion[[#This Row],[serie]]&amp;Banco_Nacion[[#This Row],[numero]]&amp;Banco_Nacion[[#This Row],[responsable]],[2]!Provision_CXC[[ID CXP]:[DETRACCION]],47,0),"")</f>
        <v/>
      </c>
      <c r="Z129" s="3"/>
      <c r="AA129" s="24" t="str">
        <f>IF(Banco_Nacion[[#This Row],[fecha]]&gt;0,TEXT(Banco_Nacion[[#This Row],[fecha]],"mmmm"),0)</f>
        <v>Febrero</v>
      </c>
    </row>
    <row r="130" spans="1:27" x14ac:dyDescent="0.3">
      <c r="A130" s="2">
        <f>IF(Banco_Nacion[[#This Row],[tipo_registro]]="R",COUNTIFS($C$1:$C129,"R")+1,"")</f>
        <v>129</v>
      </c>
      <c r="B130" s="19" t="str">
        <f t="shared" ref="B130:B193" si="10">"B-Banco de la Nacion"</f>
        <v>B-Banco de la Nacion</v>
      </c>
      <c r="C130" s="3" t="s">
        <v>1330</v>
      </c>
      <c r="D130" s="14">
        <v>45714</v>
      </c>
      <c r="E130" s="5">
        <v>20508597208</v>
      </c>
      <c r="F130" s="5" t="s">
        <v>1303</v>
      </c>
      <c r="G130" s="6" t="s">
        <v>425</v>
      </c>
      <c r="H130" s="6" t="s">
        <v>68</v>
      </c>
      <c r="I130" s="6" t="s">
        <v>1353</v>
      </c>
      <c r="J130" s="6">
        <v>184</v>
      </c>
      <c r="K130" s="7" t="s">
        <v>5232</v>
      </c>
      <c r="L130" s="8">
        <v>68342664</v>
      </c>
      <c r="M130" s="8" t="str">
        <f t="shared" ref="M130:M193" si="11">"PEN"</f>
        <v>PEN</v>
      </c>
      <c r="N130" s="13"/>
      <c r="O130" s="13">
        <v>149</v>
      </c>
      <c r="P130" s="3">
        <f t="shared" ref="P130:P193" si="12">+IF(OR($F130="SALDO",$F130="INGRESO"),$O130,0)</f>
        <v>149</v>
      </c>
      <c r="Q130" s="3">
        <f t="shared" ref="Q130:Q193" si="13">+IF($F130="EGRESO",$O130,0)</f>
        <v>0</v>
      </c>
      <c r="R130" s="3">
        <f t="shared" ref="R130:R193" si="14">IFERROR(IF(F130="SALDO",P130,R129+P130-Q130),0)</f>
        <v>39929.010000000009</v>
      </c>
      <c r="S130" s="24" t="s">
        <v>1334</v>
      </c>
      <c r="T130" s="24" t="s">
        <v>1334</v>
      </c>
      <c r="U130" s="3"/>
      <c r="V130" s="19" t="str">
        <f>IFERROR(VLOOKUP(Banco_Nacion[[#This Row],[responsable]],Clientes_Proveedores[[Ruc / Dni]:[Razon Social]],2,0),"")</f>
        <v>CORPORACION DINA E HIJOS S.R.L.</v>
      </c>
      <c r="W130" s="19" t="str">
        <f>IF(Banco_Nacion[[#This Row],[tipo_mov]]="INGRESO",Banco_Nacion[[#This Row],[serie]]&amp;Banco_Nacion[[#This Row],[numero]]&amp;Banco_Nacion[[#This Row],[responsable]]&amp;Banco_Nacion[[#This Row],[monto]],"")</f>
        <v>FE0218420508597208149</v>
      </c>
      <c r="X130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68342664</v>
      </c>
      <c r="Y130" s="3" t="str">
        <f>IFERROR(VLOOKUP(Banco_Nacion[[#This Row],[serie]]&amp;Banco_Nacion[[#This Row],[numero]]&amp;Banco_Nacion[[#This Row],[responsable]],[2]!Provision_CXC[[ID CXP]:[DETRACCION]],47,0),"")</f>
        <v/>
      </c>
      <c r="Z130" s="3"/>
      <c r="AA130" s="24" t="str">
        <f>IF(Banco_Nacion[[#This Row],[fecha]]&gt;0,TEXT(Banco_Nacion[[#This Row],[fecha]],"mmmm"),0)</f>
        <v>Febrero</v>
      </c>
    </row>
    <row r="131" spans="1:27" x14ac:dyDescent="0.3">
      <c r="A131" s="2">
        <f>IF(Banco_Nacion[[#This Row],[tipo_registro]]="R",COUNTIFS($C$1:$C130,"R")+1,"")</f>
        <v>130</v>
      </c>
      <c r="B131" s="19" t="str">
        <f t="shared" si="10"/>
        <v>B-Banco de la Nacion</v>
      </c>
      <c r="C131" s="3" t="s">
        <v>1330</v>
      </c>
      <c r="D131" s="14">
        <v>45714</v>
      </c>
      <c r="E131" s="5">
        <v>20508597208</v>
      </c>
      <c r="F131" s="5" t="s">
        <v>1303</v>
      </c>
      <c r="G131" s="6" t="s">
        <v>425</v>
      </c>
      <c r="H131" s="6" t="s">
        <v>68</v>
      </c>
      <c r="I131" s="6" t="s">
        <v>1353</v>
      </c>
      <c r="J131" s="6">
        <v>171</v>
      </c>
      <c r="K131" s="7" t="s">
        <v>5232</v>
      </c>
      <c r="L131" s="8">
        <v>68342663</v>
      </c>
      <c r="M131" s="8" t="str">
        <f t="shared" si="11"/>
        <v>PEN</v>
      </c>
      <c r="N131" s="13"/>
      <c r="O131" s="13">
        <v>266</v>
      </c>
      <c r="P131" s="3">
        <f t="shared" si="12"/>
        <v>266</v>
      </c>
      <c r="Q131" s="3">
        <f t="shared" si="13"/>
        <v>0</v>
      </c>
      <c r="R131" s="3">
        <f t="shared" si="14"/>
        <v>40195.010000000009</v>
      </c>
      <c r="S131" s="24" t="s">
        <v>1334</v>
      </c>
      <c r="T131" s="24" t="s">
        <v>1334</v>
      </c>
      <c r="U131" s="3"/>
      <c r="V131" s="19" t="str">
        <f>IFERROR(VLOOKUP(Banco_Nacion[[#This Row],[responsable]],Clientes_Proveedores[[Ruc / Dni]:[Razon Social]],2,0),"")</f>
        <v>CORPORACION DINA E HIJOS S.R.L.</v>
      </c>
      <c r="W131" s="19" t="str">
        <f>IF(Banco_Nacion[[#This Row],[tipo_mov]]="INGRESO",Banco_Nacion[[#This Row],[serie]]&amp;Banco_Nacion[[#This Row],[numero]]&amp;Banco_Nacion[[#This Row],[responsable]]&amp;Banco_Nacion[[#This Row],[monto]],"")</f>
        <v>FE0217120508597208266</v>
      </c>
      <c r="X131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68342663</v>
      </c>
      <c r="Y131" s="3" t="str">
        <f>IFERROR(VLOOKUP(Banco_Nacion[[#This Row],[serie]]&amp;Banco_Nacion[[#This Row],[numero]]&amp;Banco_Nacion[[#This Row],[responsable]],[2]!Provision_CXC[[ID CXP]:[DETRACCION]],47,0),"")</f>
        <v/>
      </c>
      <c r="Z131" s="3"/>
      <c r="AA131" s="24" t="str">
        <f>IF(Banco_Nacion[[#This Row],[fecha]]&gt;0,TEXT(Banco_Nacion[[#This Row],[fecha]],"mmmm"),0)</f>
        <v>Febrero</v>
      </c>
    </row>
    <row r="132" spans="1:27" x14ac:dyDescent="0.3">
      <c r="A132" s="2">
        <f>IF(Banco_Nacion[[#This Row],[tipo_registro]]="R",COUNTIFS($C$1:$C131,"R")+1,"")</f>
        <v>131</v>
      </c>
      <c r="B132" s="19" t="str">
        <f t="shared" si="10"/>
        <v>B-Banco de la Nacion</v>
      </c>
      <c r="C132" s="3" t="s">
        <v>1330</v>
      </c>
      <c r="D132" s="14">
        <v>45715</v>
      </c>
      <c r="E132" s="5">
        <v>20523573226</v>
      </c>
      <c r="F132" s="5" t="s">
        <v>1303</v>
      </c>
      <c r="G132" s="6" t="s">
        <v>425</v>
      </c>
      <c r="H132" s="6" t="s">
        <v>68</v>
      </c>
      <c r="I132" s="6" t="s">
        <v>1343</v>
      </c>
      <c r="J132" s="6">
        <v>549</v>
      </c>
      <c r="K132" s="7" t="s">
        <v>5232</v>
      </c>
      <c r="L132" s="8">
        <v>68375973</v>
      </c>
      <c r="M132" s="8" t="str">
        <f t="shared" si="11"/>
        <v>PEN</v>
      </c>
      <c r="N132" s="13"/>
      <c r="O132" s="13">
        <v>376</v>
      </c>
      <c r="P132" s="3">
        <f t="shared" si="12"/>
        <v>376</v>
      </c>
      <c r="Q132" s="3">
        <f t="shared" si="13"/>
        <v>0</v>
      </c>
      <c r="R132" s="3">
        <f t="shared" si="14"/>
        <v>40571.010000000009</v>
      </c>
      <c r="S132" s="24"/>
      <c r="T132" s="24" t="s">
        <v>1334</v>
      </c>
      <c r="U132" s="3"/>
      <c r="V132" s="19" t="str">
        <f>IFERROR(VLOOKUP(Banco_Nacion[[#This Row],[responsable]],Clientes_Proveedores[[Ruc / Dni]:[Razon Social]],2,0),"")</f>
        <v>CBB PERU S.A.</v>
      </c>
      <c r="W132" s="19" t="str">
        <f>IF(Banco_Nacion[[#This Row],[tipo_mov]]="INGRESO",Banco_Nacion[[#This Row],[serie]]&amp;Banco_Nacion[[#This Row],[numero]]&amp;Banco_Nacion[[#This Row],[responsable]]&amp;Banco_Nacion[[#This Row],[monto]],"")</f>
        <v>FE0154920523573226376</v>
      </c>
      <c r="X132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68375973</v>
      </c>
      <c r="Y132" s="3" t="str">
        <f>IFERROR(VLOOKUP(Banco_Nacion[[#This Row],[serie]]&amp;Banco_Nacion[[#This Row],[numero]]&amp;Banco_Nacion[[#This Row],[responsable]],[2]!Provision_CXC[[ID CXP]:[DETRACCION]],47,0),"")</f>
        <v/>
      </c>
      <c r="Z132" s="3"/>
      <c r="AA132" s="24" t="str">
        <f>IF(Banco_Nacion[[#This Row],[fecha]]&gt;0,TEXT(Banco_Nacion[[#This Row],[fecha]],"mmmm"),0)</f>
        <v>Febrero</v>
      </c>
    </row>
    <row r="133" spans="1:27" x14ac:dyDescent="0.3">
      <c r="A133" s="2">
        <f>IF(Banco_Nacion[[#This Row],[tipo_registro]]="R",COUNTIFS($C$1:$C132,"R")+1,"")</f>
        <v>132</v>
      </c>
      <c r="B133" s="19" t="str">
        <f t="shared" si="10"/>
        <v>B-Banco de la Nacion</v>
      </c>
      <c r="C133" s="3" t="s">
        <v>1330</v>
      </c>
      <c r="D133" s="14">
        <v>45715</v>
      </c>
      <c r="E133" s="5">
        <v>20523573226</v>
      </c>
      <c r="F133" s="5" t="s">
        <v>1303</v>
      </c>
      <c r="G133" s="6" t="s">
        <v>425</v>
      </c>
      <c r="H133" s="6" t="s">
        <v>68</v>
      </c>
      <c r="I133" s="6" t="s">
        <v>1343</v>
      </c>
      <c r="J133" s="6">
        <v>550</v>
      </c>
      <c r="K133" s="7" t="s">
        <v>5232</v>
      </c>
      <c r="L133" s="8">
        <v>68375972</v>
      </c>
      <c r="M133" s="8" t="str">
        <f t="shared" si="11"/>
        <v>PEN</v>
      </c>
      <c r="N133" s="13"/>
      <c r="O133" s="13">
        <v>344</v>
      </c>
      <c r="P133" s="3">
        <f t="shared" si="12"/>
        <v>344</v>
      </c>
      <c r="Q133" s="3">
        <f t="shared" si="13"/>
        <v>0</v>
      </c>
      <c r="R133" s="3">
        <f t="shared" si="14"/>
        <v>40915.010000000009</v>
      </c>
      <c r="S133" s="24"/>
      <c r="T133" s="24" t="s">
        <v>1334</v>
      </c>
      <c r="U133" s="3"/>
      <c r="V133" s="19" t="str">
        <f>IFERROR(VLOOKUP(Banco_Nacion[[#This Row],[responsable]],Clientes_Proveedores[[Ruc / Dni]:[Razon Social]],2,0),"")</f>
        <v>CBB PERU S.A.</v>
      </c>
      <c r="W133" s="19" t="str">
        <f>IF(Banco_Nacion[[#This Row],[tipo_mov]]="INGRESO",Banco_Nacion[[#This Row],[serie]]&amp;Banco_Nacion[[#This Row],[numero]]&amp;Banco_Nacion[[#This Row],[responsable]]&amp;Banco_Nacion[[#This Row],[monto]],"")</f>
        <v>FE0155020523573226344</v>
      </c>
      <c r="X133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68375972</v>
      </c>
      <c r="Y133" s="3" t="str">
        <f>IFERROR(VLOOKUP(Banco_Nacion[[#This Row],[serie]]&amp;Banco_Nacion[[#This Row],[numero]]&amp;Banco_Nacion[[#This Row],[responsable]],[2]!Provision_CXC[[ID CXP]:[DETRACCION]],47,0),"")</f>
        <v/>
      </c>
      <c r="Z133" s="3"/>
      <c r="AA133" s="24" t="str">
        <f>IF(Banco_Nacion[[#This Row],[fecha]]&gt;0,TEXT(Banco_Nacion[[#This Row],[fecha]],"mmmm"),0)</f>
        <v>Febrero</v>
      </c>
    </row>
    <row r="134" spans="1:27" x14ac:dyDescent="0.3">
      <c r="A134" s="2">
        <f>IF(Banco_Nacion[[#This Row],[tipo_registro]]="R",COUNTIFS($C$1:$C133,"R")+1,"")</f>
        <v>133</v>
      </c>
      <c r="B134" s="19" t="str">
        <f t="shared" si="10"/>
        <v>B-Banco de la Nacion</v>
      </c>
      <c r="C134" s="3" t="s">
        <v>1330</v>
      </c>
      <c r="D134" s="14">
        <v>45716</v>
      </c>
      <c r="E134" s="5">
        <v>20141637941</v>
      </c>
      <c r="F134" s="5" t="s">
        <v>1303</v>
      </c>
      <c r="G134" s="6" t="s">
        <v>425</v>
      </c>
      <c r="H134" s="6" t="s">
        <v>68</v>
      </c>
      <c r="I134" s="6" t="s">
        <v>1343</v>
      </c>
      <c r="J134" s="6">
        <v>511</v>
      </c>
      <c r="K134" s="7" t="s">
        <v>5232</v>
      </c>
      <c r="L134" s="8">
        <v>68428996</v>
      </c>
      <c r="M134" s="8" t="str">
        <f t="shared" si="11"/>
        <v>PEN</v>
      </c>
      <c r="N134" s="13"/>
      <c r="O134" s="13">
        <v>421</v>
      </c>
      <c r="P134" s="3">
        <f t="shared" si="12"/>
        <v>421</v>
      </c>
      <c r="Q134" s="3">
        <f t="shared" si="13"/>
        <v>0</v>
      </c>
      <c r="R134" s="3">
        <f t="shared" si="14"/>
        <v>41336.010000000009</v>
      </c>
      <c r="S134" s="24"/>
      <c r="T134" s="24" t="s">
        <v>1334</v>
      </c>
      <c r="U134" s="3"/>
      <c r="V134" s="19" t="str">
        <f>IFERROR(VLOOKUP(Banco_Nacion[[#This Row],[responsable]],Clientes_Proveedores[[Ruc / Dni]:[Razon Social]],2,0),"")</f>
        <v>UNIVERSIDAD CATOLICA DE SANTA MARIA</v>
      </c>
      <c r="W134" s="19" t="str">
        <f>IF(Banco_Nacion[[#This Row],[tipo_mov]]="INGRESO",Banco_Nacion[[#This Row],[serie]]&amp;Banco_Nacion[[#This Row],[numero]]&amp;Banco_Nacion[[#This Row],[responsable]]&amp;Banco_Nacion[[#This Row],[monto]],"")</f>
        <v>FE0151120141637941421</v>
      </c>
      <c r="X134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68428996</v>
      </c>
      <c r="Y134" s="3" t="str">
        <f>IFERROR(VLOOKUP(Banco_Nacion[[#This Row],[serie]]&amp;Banco_Nacion[[#This Row],[numero]]&amp;Banco_Nacion[[#This Row],[responsable]],[2]!Provision_CXC[[ID CXP]:[DETRACCION]],47,0),"")</f>
        <v/>
      </c>
      <c r="Z134" s="3"/>
      <c r="AA134" s="24" t="str">
        <f>IF(Banco_Nacion[[#This Row],[fecha]]&gt;0,TEXT(Banco_Nacion[[#This Row],[fecha]],"mmmm"),0)</f>
        <v>Febrero</v>
      </c>
    </row>
    <row r="135" spans="1:27" x14ac:dyDescent="0.3">
      <c r="A135" s="2">
        <f>IF(Banco_Nacion[[#This Row],[tipo_registro]]="R",COUNTIFS($C$1:$C134,"R")+1,"")</f>
        <v>134</v>
      </c>
      <c r="B135" s="19" t="str">
        <f t="shared" si="10"/>
        <v>B-Banco de la Nacion</v>
      </c>
      <c r="C135" s="3" t="s">
        <v>1330</v>
      </c>
      <c r="D135" s="14">
        <v>45716</v>
      </c>
      <c r="E135" s="5">
        <v>20141637941</v>
      </c>
      <c r="F135" s="5" t="s">
        <v>1303</v>
      </c>
      <c r="G135" s="6" t="s">
        <v>425</v>
      </c>
      <c r="H135" s="6" t="s">
        <v>68</v>
      </c>
      <c r="I135" s="6" t="s">
        <v>1343</v>
      </c>
      <c r="J135" s="6">
        <v>512</v>
      </c>
      <c r="K135" s="7" t="s">
        <v>5232</v>
      </c>
      <c r="L135" s="8">
        <v>68428995</v>
      </c>
      <c r="M135" s="8" t="str">
        <f t="shared" si="11"/>
        <v>PEN</v>
      </c>
      <c r="N135" s="13"/>
      <c r="O135" s="13">
        <v>177</v>
      </c>
      <c r="P135" s="3">
        <f t="shared" si="12"/>
        <v>177</v>
      </c>
      <c r="Q135" s="3">
        <f t="shared" si="13"/>
        <v>0</v>
      </c>
      <c r="R135" s="3">
        <f t="shared" si="14"/>
        <v>41513.010000000009</v>
      </c>
      <c r="S135" s="24"/>
      <c r="T135" s="24" t="s">
        <v>1334</v>
      </c>
      <c r="U135" s="3"/>
      <c r="V135" s="19" t="str">
        <f>IFERROR(VLOOKUP(Banco_Nacion[[#This Row],[responsable]],Clientes_Proveedores[[Ruc / Dni]:[Razon Social]],2,0),"")</f>
        <v>UNIVERSIDAD CATOLICA DE SANTA MARIA</v>
      </c>
      <c r="W135" s="19" t="str">
        <f>IF(Banco_Nacion[[#This Row],[tipo_mov]]="INGRESO",Banco_Nacion[[#This Row],[serie]]&amp;Banco_Nacion[[#This Row],[numero]]&amp;Banco_Nacion[[#This Row],[responsable]]&amp;Banco_Nacion[[#This Row],[monto]],"")</f>
        <v>FE0151220141637941177</v>
      </c>
      <c r="X135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68428995</v>
      </c>
      <c r="Y135" s="3" t="str">
        <f>IFERROR(VLOOKUP(Banco_Nacion[[#This Row],[serie]]&amp;Banco_Nacion[[#This Row],[numero]]&amp;Banco_Nacion[[#This Row],[responsable]],[2]!Provision_CXC[[ID CXP]:[DETRACCION]],47,0),"")</f>
        <v/>
      </c>
      <c r="Z135" s="3"/>
      <c r="AA135" s="24" t="str">
        <f>IF(Banco_Nacion[[#This Row],[fecha]]&gt;0,TEXT(Banco_Nacion[[#This Row],[fecha]],"mmmm"),0)</f>
        <v>Febrero</v>
      </c>
    </row>
    <row r="136" spans="1:27" x14ac:dyDescent="0.3">
      <c r="A136" s="2">
        <f>IF(Banco_Nacion[[#This Row],[tipo_registro]]="R",COUNTIFS($C$1:$C135,"R")+1,"")</f>
        <v>135</v>
      </c>
      <c r="B136" s="19" t="str">
        <f t="shared" si="10"/>
        <v>B-Banco de la Nacion</v>
      </c>
      <c r="C136" s="3" t="s">
        <v>1330</v>
      </c>
      <c r="D136" s="14">
        <v>45716</v>
      </c>
      <c r="E136" s="5">
        <v>20141637941</v>
      </c>
      <c r="F136" s="5" t="s">
        <v>1303</v>
      </c>
      <c r="G136" s="6" t="s">
        <v>425</v>
      </c>
      <c r="H136" s="6" t="s">
        <v>68</v>
      </c>
      <c r="I136" s="6" t="s">
        <v>1343</v>
      </c>
      <c r="J136" s="6">
        <v>529</v>
      </c>
      <c r="K136" s="7" t="s">
        <v>5232</v>
      </c>
      <c r="L136" s="8">
        <v>68428994</v>
      </c>
      <c r="M136" s="8" t="str">
        <f t="shared" si="11"/>
        <v>PEN</v>
      </c>
      <c r="N136" s="13"/>
      <c r="O136" s="13">
        <v>176</v>
      </c>
      <c r="P136" s="3">
        <f t="shared" si="12"/>
        <v>176</v>
      </c>
      <c r="Q136" s="3">
        <f t="shared" si="13"/>
        <v>0</v>
      </c>
      <c r="R136" s="3">
        <f t="shared" si="14"/>
        <v>41689.010000000009</v>
      </c>
      <c r="S136" s="24"/>
      <c r="T136" s="24" t="s">
        <v>1334</v>
      </c>
      <c r="U136" s="3"/>
      <c r="V136" s="19" t="str">
        <f>IFERROR(VLOOKUP(Banco_Nacion[[#This Row],[responsable]],Clientes_Proveedores[[Ruc / Dni]:[Razon Social]],2,0),"")</f>
        <v>UNIVERSIDAD CATOLICA DE SANTA MARIA</v>
      </c>
      <c r="W136" s="19" t="str">
        <f>IF(Banco_Nacion[[#This Row],[tipo_mov]]="INGRESO",Banco_Nacion[[#This Row],[serie]]&amp;Banco_Nacion[[#This Row],[numero]]&amp;Banco_Nacion[[#This Row],[responsable]]&amp;Banco_Nacion[[#This Row],[monto]],"")</f>
        <v>FE0152920141637941176</v>
      </c>
      <c r="X136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68428994</v>
      </c>
      <c r="Y136" s="3" t="str">
        <f>IFERROR(VLOOKUP(Banco_Nacion[[#This Row],[serie]]&amp;Banco_Nacion[[#This Row],[numero]]&amp;Banco_Nacion[[#This Row],[responsable]],[2]!Provision_CXC[[ID CXP]:[DETRACCION]],47,0),"")</f>
        <v/>
      </c>
      <c r="Z136" s="3"/>
      <c r="AA136" s="24" t="str">
        <f>IF(Banco_Nacion[[#This Row],[fecha]]&gt;0,TEXT(Banco_Nacion[[#This Row],[fecha]],"mmmm"),0)</f>
        <v>Febrero</v>
      </c>
    </row>
    <row r="137" spans="1:27" x14ac:dyDescent="0.3">
      <c r="A137" s="2">
        <f>IF(Banco_Nacion[[#This Row],[tipo_registro]]="R",COUNTIFS($C$1:$C136,"R")+1,"")</f>
        <v>136</v>
      </c>
      <c r="B137" s="19" t="str">
        <f t="shared" si="10"/>
        <v>B-Banco de la Nacion</v>
      </c>
      <c r="C137" s="3" t="s">
        <v>1330</v>
      </c>
      <c r="D137" s="14">
        <v>45716</v>
      </c>
      <c r="E137" s="5">
        <v>20603536569</v>
      </c>
      <c r="F137" s="5" t="s">
        <v>1303</v>
      </c>
      <c r="G137" s="6" t="s">
        <v>425</v>
      </c>
      <c r="H137" s="6" t="s">
        <v>68</v>
      </c>
      <c r="I137" s="6" t="s">
        <v>1343</v>
      </c>
      <c r="J137" s="6">
        <v>547</v>
      </c>
      <c r="K137" s="7" t="s">
        <v>5232</v>
      </c>
      <c r="L137" s="8">
        <v>68426885</v>
      </c>
      <c r="M137" s="8" t="str">
        <f t="shared" si="11"/>
        <v>PEN</v>
      </c>
      <c r="N137" s="13"/>
      <c r="O137" s="13">
        <v>563</v>
      </c>
      <c r="P137" s="3">
        <f t="shared" si="12"/>
        <v>563</v>
      </c>
      <c r="Q137" s="3">
        <f t="shared" si="13"/>
        <v>0</v>
      </c>
      <c r="R137" s="3">
        <f t="shared" si="14"/>
        <v>42252.010000000009</v>
      </c>
      <c r="S137" s="24"/>
      <c r="T137" s="24" t="s">
        <v>1334</v>
      </c>
      <c r="U137" s="3"/>
      <c r="V137" s="19" t="str">
        <f>IFERROR(VLOOKUP(Banco_Nacion[[#This Row],[responsable]],Clientes_Proveedores[[Ruc / Dni]:[Razon Social]],2,0),"")</f>
        <v>ANTILLA COPPER SOCIEDAD ANONIMA</v>
      </c>
      <c r="W137" s="19" t="str">
        <f>IF(Banco_Nacion[[#This Row],[tipo_mov]]="INGRESO",Banco_Nacion[[#This Row],[serie]]&amp;Banco_Nacion[[#This Row],[numero]]&amp;Banco_Nacion[[#This Row],[responsable]]&amp;Banco_Nacion[[#This Row],[monto]],"")</f>
        <v>FE0154720603536569563</v>
      </c>
      <c r="X137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68426885</v>
      </c>
      <c r="Y137" s="3" t="str">
        <f>IFERROR(VLOOKUP(Banco_Nacion[[#This Row],[serie]]&amp;Banco_Nacion[[#This Row],[numero]]&amp;Banco_Nacion[[#This Row],[responsable]],[2]!Provision_CXC[[ID CXP]:[DETRACCION]],47,0),"")</f>
        <v/>
      </c>
      <c r="Z137" s="3"/>
      <c r="AA137" s="24" t="str">
        <f>IF(Banco_Nacion[[#This Row],[fecha]]&gt;0,TEXT(Banco_Nacion[[#This Row],[fecha]],"mmmm"),0)</f>
        <v>Febrero</v>
      </c>
    </row>
    <row r="138" spans="1:27" x14ac:dyDescent="0.3">
      <c r="A138" s="2">
        <f>IF(Banco_Nacion[[#This Row],[tipo_registro]]="R",COUNTIFS($C$1:$C137,"R")+1,"")</f>
        <v>137</v>
      </c>
      <c r="B138" s="19" t="str">
        <f t="shared" si="10"/>
        <v>B-Banco de la Nacion</v>
      </c>
      <c r="C138" s="3" t="s">
        <v>1330</v>
      </c>
      <c r="D138" s="14">
        <v>45719</v>
      </c>
      <c r="E138" s="5">
        <v>20454186002</v>
      </c>
      <c r="F138" s="5" t="s">
        <v>1303</v>
      </c>
      <c r="G138" s="6" t="s">
        <v>425</v>
      </c>
      <c r="H138" s="6" t="s">
        <v>68</v>
      </c>
      <c r="I138" s="6" t="s">
        <v>1343</v>
      </c>
      <c r="J138" s="6">
        <v>569</v>
      </c>
      <c r="K138" s="7" t="s">
        <v>5232</v>
      </c>
      <c r="L138" s="8">
        <v>68581952</v>
      </c>
      <c r="M138" s="8" t="str">
        <f t="shared" si="11"/>
        <v>PEN</v>
      </c>
      <c r="N138" s="13"/>
      <c r="O138" s="13">
        <v>611</v>
      </c>
      <c r="P138" s="3">
        <f t="shared" si="12"/>
        <v>611</v>
      </c>
      <c r="Q138" s="3">
        <f t="shared" si="13"/>
        <v>0</v>
      </c>
      <c r="R138" s="3">
        <f t="shared" si="14"/>
        <v>42863.010000000009</v>
      </c>
      <c r="S138" s="24"/>
      <c r="T138" s="24" t="s">
        <v>1334</v>
      </c>
      <c r="U138" s="3"/>
      <c r="V138" s="19" t="str">
        <f>IFERROR(VLOOKUP(Banco_Nacion[[#This Row],[responsable]],Clientes_Proveedores[[Ruc / Dni]:[Razon Social]],2,0),"")</f>
        <v>ALSUR PERU S.A.C.</v>
      </c>
      <c r="W138" s="19" t="str">
        <f>IF(Banco_Nacion[[#This Row],[tipo_mov]]="INGRESO",Banco_Nacion[[#This Row],[serie]]&amp;Banco_Nacion[[#This Row],[numero]]&amp;Banco_Nacion[[#This Row],[responsable]]&amp;Banco_Nacion[[#This Row],[monto]],"")</f>
        <v>FE0156920454186002611</v>
      </c>
      <c r="X138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68581952</v>
      </c>
      <c r="Y138" s="3" t="str">
        <f>IFERROR(VLOOKUP(Banco_Nacion[[#This Row],[serie]]&amp;Banco_Nacion[[#This Row],[numero]]&amp;Banco_Nacion[[#This Row],[responsable]],[2]!Provision_CXC[[ID CXP]:[DETRACCION]],47,0),"")</f>
        <v/>
      </c>
      <c r="Z138" s="3"/>
      <c r="AA138" s="24" t="str">
        <f>IF(Banco_Nacion[[#This Row],[fecha]]&gt;0,TEXT(Banco_Nacion[[#This Row],[fecha]],"mmmm"),0)</f>
        <v>Marzo</v>
      </c>
    </row>
    <row r="139" spans="1:27" x14ac:dyDescent="0.3">
      <c r="A139" s="2">
        <f>IF(Banco_Nacion[[#This Row],[tipo_registro]]="R",COUNTIFS($C$1:$C138,"R")+1,"")</f>
        <v>138</v>
      </c>
      <c r="B139" s="19" t="str">
        <f t="shared" si="10"/>
        <v>B-Banco de la Nacion</v>
      </c>
      <c r="C139" s="3" t="s">
        <v>1330</v>
      </c>
      <c r="D139" s="14">
        <v>45719</v>
      </c>
      <c r="E139" s="5">
        <v>20607388416</v>
      </c>
      <c r="F139" s="5" t="s">
        <v>1303</v>
      </c>
      <c r="G139" s="6" t="s">
        <v>425</v>
      </c>
      <c r="H139" s="6" t="s">
        <v>68</v>
      </c>
      <c r="I139" s="6" t="s">
        <v>1347</v>
      </c>
      <c r="J139" s="6">
        <v>128</v>
      </c>
      <c r="K139" s="7" t="s">
        <v>5232</v>
      </c>
      <c r="L139" s="8">
        <v>68522152</v>
      </c>
      <c r="M139" s="8" t="str">
        <f t="shared" si="11"/>
        <v>PEN</v>
      </c>
      <c r="N139" s="13"/>
      <c r="O139" s="13">
        <v>159</v>
      </c>
      <c r="P139" s="3">
        <f t="shared" si="12"/>
        <v>159</v>
      </c>
      <c r="Q139" s="3">
        <f t="shared" si="13"/>
        <v>0</v>
      </c>
      <c r="R139" s="3">
        <f t="shared" si="14"/>
        <v>43022.010000000009</v>
      </c>
      <c r="S139" s="24"/>
      <c r="T139" s="24" t="s">
        <v>1334</v>
      </c>
      <c r="U139" s="3"/>
      <c r="V139" s="19" t="str">
        <f>IFERROR(VLOOKUP(Banco_Nacion[[#This Row],[responsable]],Clientes_Proveedores[[Ruc / Dni]:[Razon Social]],2,0),"")</f>
        <v>ALEACIONES FERROSAS Y METALICAS S.A.C.</v>
      </c>
      <c r="W139" s="19" t="str">
        <f>IF(Banco_Nacion[[#This Row],[tipo_mov]]="INGRESO",Banco_Nacion[[#This Row],[serie]]&amp;Banco_Nacion[[#This Row],[numero]]&amp;Banco_Nacion[[#This Row],[responsable]]&amp;Banco_Nacion[[#This Row],[monto]],"")</f>
        <v>FE0512820607388416159</v>
      </c>
      <c r="X139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68522152</v>
      </c>
      <c r="Y139" s="3" t="str">
        <f>IFERROR(VLOOKUP(Banco_Nacion[[#This Row],[serie]]&amp;Banco_Nacion[[#This Row],[numero]]&amp;Banco_Nacion[[#This Row],[responsable]],[2]!Provision_CXC[[ID CXP]:[DETRACCION]],47,0),"")</f>
        <v/>
      </c>
      <c r="Z139" s="3"/>
      <c r="AA139" s="24" t="str">
        <f>IF(Banco_Nacion[[#This Row],[fecha]]&gt;0,TEXT(Banco_Nacion[[#This Row],[fecha]],"mmmm"),0)</f>
        <v>Marzo</v>
      </c>
    </row>
    <row r="140" spans="1:27" x14ac:dyDescent="0.3">
      <c r="A140" s="2">
        <f>IF(Banco_Nacion[[#This Row],[tipo_registro]]="R",COUNTIFS($C$1:$C139,"R")+1,"")</f>
        <v>139</v>
      </c>
      <c r="B140" s="19" t="str">
        <f t="shared" si="10"/>
        <v>B-Banco de la Nacion</v>
      </c>
      <c r="C140" s="3" t="s">
        <v>1330</v>
      </c>
      <c r="D140" s="14">
        <v>45719</v>
      </c>
      <c r="E140" s="5">
        <v>20607388416</v>
      </c>
      <c r="F140" s="5" t="s">
        <v>1303</v>
      </c>
      <c r="G140" s="6" t="s">
        <v>425</v>
      </c>
      <c r="H140" s="6" t="s">
        <v>68</v>
      </c>
      <c r="I140" s="6" t="s">
        <v>1347</v>
      </c>
      <c r="J140" s="6">
        <v>127</v>
      </c>
      <c r="K140" s="7" t="s">
        <v>5232</v>
      </c>
      <c r="L140" s="8">
        <v>68522028</v>
      </c>
      <c r="M140" s="8" t="str">
        <f t="shared" si="11"/>
        <v>PEN</v>
      </c>
      <c r="N140" s="13"/>
      <c r="O140" s="13">
        <v>115</v>
      </c>
      <c r="P140" s="3">
        <f t="shared" si="12"/>
        <v>115</v>
      </c>
      <c r="Q140" s="3">
        <f t="shared" si="13"/>
        <v>0</v>
      </c>
      <c r="R140" s="3">
        <f t="shared" si="14"/>
        <v>43137.010000000009</v>
      </c>
      <c r="S140" s="24"/>
      <c r="T140" s="24" t="s">
        <v>1334</v>
      </c>
      <c r="U140" s="3"/>
      <c r="V140" s="19" t="str">
        <f>IFERROR(VLOOKUP(Banco_Nacion[[#This Row],[responsable]],Clientes_Proveedores[[Ruc / Dni]:[Razon Social]],2,0),"")</f>
        <v>ALEACIONES FERROSAS Y METALICAS S.A.C.</v>
      </c>
      <c r="W140" s="19" t="str">
        <f>IF(Banco_Nacion[[#This Row],[tipo_mov]]="INGRESO",Banco_Nacion[[#This Row],[serie]]&amp;Banco_Nacion[[#This Row],[numero]]&amp;Banco_Nacion[[#This Row],[responsable]]&amp;Banco_Nacion[[#This Row],[monto]],"")</f>
        <v>FE0512720607388416115</v>
      </c>
      <c r="X140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68522028</v>
      </c>
      <c r="Y140" s="3" t="str">
        <f>IFERROR(VLOOKUP(Banco_Nacion[[#This Row],[serie]]&amp;Banco_Nacion[[#This Row],[numero]]&amp;Banco_Nacion[[#This Row],[responsable]],[2]!Provision_CXC[[ID CXP]:[DETRACCION]],47,0),"")</f>
        <v/>
      </c>
      <c r="Z140" s="3"/>
      <c r="AA140" s="24" t="str">
        <f>IF(Banco_Nacion[[#This Row],[fecha]]&gt;0,TEXT(Banco_Nacion[[#This Row],[fecha]],"mmmm"),0)</f>
        <v>Marzo</v>
      </c>
    </row>
    <row r="141" spans="1:27" x14ac:dyDescent="0.3">
      <c r="A141" s="2">
        <f>IF(Banco_Nacion[[#This Row],[tipo_registro]]="R",COUNTIFS($C$1:$C140,"R")+1,"")</f>
        <v>140</v>
      </c>
      <c r="B141" s="19" t="str">
        <f t="shared" si="10"/>
        <v>B-Banco de la Nacion</v>
      </c>
      <c r="C141" s="3" t="s">
        <v>1330</v>
      </c>
      <c r="D141" s="14">
        <v>45719</v>
      </c>
      <c r="E141" s="5">
        <v>20607388416</v>
      </c>
      <c r="F141" s="5" t="s">
        <v>1303</v>
      </c>
      <c r="G141" s="6" t="s">
        <v>425</v>
      </c>
      <c r="H141" s="6" t="s">
        <v>68</v>
      </c>
      <c r="I141" s="6" t="s">
        <v>1347</v>
      </c>
      <c r="J141" s="6">
        <v>126</v>
      </c>
      <c r="K141" s="7" t="s">
        <v>5232</v>
      </c>
      <c r="L141" s="8">
        <v>68521907</v>
      </c>
      <c r="M141" s="8" t="str">
        <f t="shared" si="11"/>
        <v>PEN</v>
      </c>
      <c r="N141" s="13"/>
      <c r="O141" s="13">
        <v>108</v>
      </c>
      <c r="P141" s="3">
        <f t="shared" si="12"/>
        <v>108</v>
      </c>
      <c r="Q141" s="3">
        <f t="shared" si="13"/>
        <v>0</v>
      </c>
      <c r="R141" s="3">
        <f t="shared" si="14"/>
        <v>43245.010000000009</v>
      </c>
      <c r="S141" s="24"/>
      <c r="T141" s="24" t="s">
        <v>1334</v>
      </c>
      <c r="U141" s="3"/>
      <c r="V141" s="19" t="str">
        <f>IFERROR(VLOOKUP(Banco_Nacion[[#This Row],[responsable]],Clientes_Proveedores[[Ruc / Dni]:[Razon Social]],2,0),"")</f>
        <v>ALEACIONES FERROSAS Y METALICAS S.A.C.</v>
      </c>
      <c r="W141" s="19" t="str">
        <f>IF(Banco_Nacion[[#This Row],[tipo_mov]]="INGRESO",Banco_Nacion[[#This Row],[serie]]&amp;Banco_Nacion[[#This Row],[numero]]&amp;Banco_Nacion[[#This Row],[responsable]]&amp;Banco_Nacion[[#This Row],[monto]],"")</f>
        <v>FE0512620607388416108</v>
      </c>
      <c r="X141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68521907</v>
      </c>
      <c r="Y141" s="3" t="str">
        <f>IFERROR(VLOOKUP(Banco_Nacion[[#This Row],[serie]]&amp;Banco_Nacion[[#This Row],[numero]]&amp;Banco_Nacion[[#This Row],[responsable]],[2]!Provision_CXC[[ID CXP]:[DETRACCION]],47,0),"")</f>
        <v/>
      </c>
      <c r="Z141" s="3"/>
      <c r="AA141" s="24" t="str">
        <f>IF(Banco_Nacion[[#This Row],[fecha]]&gt;0,TEXT(Banco_Nacion[[#This Row],[fecha]],"mmmm"),0)</f>
        <v>Marzo</v>
      </c>
    </row>
    <row r="142" spans="1:27" x14ac:dyDescent="0.3">
      <c r="A142" s="2">
        <f>IF(Banco_Nacion[[#This Row],[tipo_registro]]="R",COUNTIFS($C$1:$C141,"R")+1,"")</f>
        <v>141</v>
      </c>
      <c r="B142" s="19" t="str">
        <f t="shared" si="10"/>
        <v>B-Banco de la Nacion</v>
      </c>
      <c r="C142" s="3" t="s">
        <v>1330</v>
      </c>
      <c r="D142" s="14">
        <v>45719</v>
      </c>
      <c r="E142" s="5">
        <v>20607388416</v>
      </c>
      <c r="F142" s="5" t="s">
        <v>1303</v>
      </c>
      <c r="G142" s="6" t="s">
        <v>425</v>
      </c>
      <c r="H142" s="6" t="s">
        <v>68</v>
      </c>
      <c r="I142" s="6" t="s">
        <v>1347</v>
      </c>
      <c r="J142" s="6">
        <v>130</v>
      </c>
      <c r="K142" s="7" t="s">
        <v>5232</v>
      </c>
      <c r="L142" s="8">
        <v>68519638</v>
      </c>
      <c r="M142" s="8" t="str">
        <f t="shared" si="11"/>
        <v>PEN</v>
      </c>
      <c r="N142" s="13"/>
      <c r="O142" s="13">
        <v>132</v>
      </c>
      <c r="P142" s="3">
        <f t="shared" si="12"/>
        <v>132</v>
      </c>
      <c r="Q142" s="3">
        <f t="shared" si="13"/>
        <v>0</v>
      </c>
      <c r="R142" s="3">
        <f t="shared" si="14"/>
        <v>43377.010000000009</v>
      </c>
      <c r="S142" s="24"/>
      <c r="T142" s="24" t="s">
        <v>1334</v>
      </c>
      <c r="U142" s="3"/>
      <c r="V142" s="19" t="str">
        <f>IFERROR(VLOOKUP(Banco_Nacion[[#This Row],[responsable]],Clientes_Proveedores[[Ruc / Dni]:[Razon Social]],2,0),"")</f>
        <v>ALEACIONES FERROSAS Y METALICAS S.A.C.</v>
      </c>
      <c r="W142" s="19" t="str">
        <f>IF(Banco_Nacion[[#This Row],[tipo_mov]]="INGRESO",Banco_Nacion[[#This Row],[serie]]&amp;Banco_Nacion[[#This Row],[numero]]&amp;Banco_Nacion[[#This Row],[responsable]]&amp;Banco_Nacion[[#This Row],[monto]],"")</f>
        <v>FE0513020607388416132</v>
      </c>
      <c r="X142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68519638</v>
      </c>
      <c r="Y142" s="3" t="str">
        <f>IFERROR(VLOOKUP(Banco_Nacion[[#This Row],[serie]]&amp;Banco_Nacion[[#This Row],[numero]]&amp;Banco_Nacion[[#This Row],[responsable]],[2]!Provision_CXC[[ID CXP]:[DETRACCION]],47,0),"")</f>
        <v/>
      </c>
      <c r="Z142" s="3"/>
      <c r="AA142" s="24" t="str">
        <f>IF(Banco_Nacion[[#This Row],[fecha]]&gt;0,TEXT(Banco_Nacion[[#This Row],[fecha]],"mmmm"),0)</f>
        <v>Marzo</v>
      </c>
    </row>
    <row r="143" spans="1:27" x14ac:dyDescent="0.3">
      <c r="A143" s="2">
        <f>IF(Banco_Nacion[[#This Row],[tipo_registro]]="R",COUNTIFS($C$1:$C142,"R")+1,"")</f>
        <v>142</v>
      </c>
      <c r="B143" s="19" t="str">
        <f t="shared" si="10"/>
        <v>B-Banco de la Nacion</v>
      </c>
      <c r="C143" s="3" t="s">
        <v>1330</v>
      </c>
      <c r="D143" s="14">
        <v>45719</v>
      </c>
      <c r="E143" s="5">
        <v>20607388416</v>
      </c>
      <c r="F143" s="5" t="s">
        <v>1303</v>
      </c>
      <c r="G143" s="6" t="s">
        <v>425</v>
      </c>
      <c r="H143" s="6" t="s">
        <v>68</v>
      </c>
      <c r="I143" s="6" t="s">
        <v>1347</v>
      </c>
      <c r="J143" s="6">
        <v>125</v>
      </c>
      <c r="K143" s="7" t="s">
        <v>5232</v>
      </c>
      <c r="L143" s="8">
        <v>68516478</v>
      </c>
      <c r="M143" s="8" t="str">
        <f t="shared" si="11"/>
        <v>PEN</v>
      </c>
      <c r="N143" s="13"/>
      <c r="O143" s="13">
        <v>150</v>
      </c>
      <c r="P143" s="3">
        <f t="shared" si="12"/>
        <v>150</v>
      </c>
      <c r="Q143" s="3">
        <f t="shared" si="13"/>
        <v>0</v>
      </c>
      <c r="R143" s="3">
        <f t="shared" si="14"/>
        <v>43527.010000000009</v>
      </c>
      <c r="S143" s="24"/>
      <c r="T143" s="24" t="s">
        <v>1334</v>
      </c>
      <c r="U143" s="3"/>
      <c r="V143" s="19" t="str">
        <f>IFERROR(VLOOKUP(Banco_Nacion[[#This Row],[responsable]],Clientes_Proveedores[[Ruc / Dni]:[Razon Social]],2,0),"")</f>
        <v>ALEACIONES FERROSAS Y METALICAS S.A.C.</v>
      </c>
      <c r="W143" s="19" t="str">
        <f>IF(Banco_Nacion[[#This Row],[tipo_mov]]="INGRESO",Banco_Nacion[[#This Row],[serie]]&amp;Banco_Nacion[[#This Row],[numero]]&amp;Banco_Nacion[[#This Row],[responsable]]&amp;Banco_Nacion[[#This Row],[monto]],"")</f>
        <v>FE0512520607388416150</v>
      </c>
      <c r="X143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68516478</v>
      </c>
      <c r="Y143" s="3" t="str">
        <f>IFERROR(VLOOKUP(Banco_Nacion[[#This Row],[serie]]&amp;Banco_Nacion[[#This Row],[numero]]&amp;Banco_Nacion[[#This Row],[responsable]],[2]!Provision_CXC[[ID CXP]:[DETRACCION]],47,0),"")</f>
        <v/>
      </c>
      <c r="Z143" s="3"/>
      <c r="AA143" s="24" t="str">
        <f>IF(Banco_Nacion[[#This Row],[fecha]]&gt;0,TEXT(Banco_Nacion[[#This Row],[fecha]],"mmmm"),0)</f>
        <v>Marzo</v>
      </c>
    </row>
    <row r="144" spans="1:27" x14ac:dyDescent="0.3">
      <c r="A144" s="2">
        <f>IF(Banco_Nacion[[#This Row],[tipo_registro]]="R",COUNTIFS($C$1:$C143,"R")+1,"")</f>
        <v>143</v>
      </c>
      <c r="B144" s="19" t="str">
        <f t="shared" si="10"/>
        <v>B-Banco de la Nacion</v>
      </c>
      <c r="C144" s="3" t="s">
        <v>1330</v>
      </c>
      <c r="D144" s="14">
        <v>45719</v>
      </c>
      <c r="E144" s="5">
        <v>20607388416</v>
      </c>
      <c r="F144" s="5" t="s">
        <v>1303</v>
      </c>
      <c r="G144" s="6" t="s">
        <v>425</v>
      </c>
      <c r="H144" s="6" t="s">
        <v>68</v>
      </c>
      <c r="I144" s="6" t="s">
        <v>1347</v>
      </c>
      <c r="J144" s="6">
        <v>132</v>
      </c>
      <c r="K144" s="7" t="s">
        <v>5232</v>
      </c>
      <c r="L144" s="8">
        <v>68511618</v>
      </c>
      <c r="M144" s="8" t="str">
        <f t="shared" si="11"/>
        <v>PEN</v>
      </c>
      <c r="N144" s="13"/>
      <c r="O144" s="13">
        <v>261</v>
      </c>
      <c r="P144" s="3">
        <f t="shared" si="12"/>
        <v>261</v>
      </c>
      <c r="Q144" s="3">
        <f t="shared" si="13"/>
        <v>0</v>
      </c>
      <c r="R144" s="3">
        <f t="shared" si="14"/>
        <v>43788.010000000009</v>
      </c>
      <c r="S144" s="24"/>
      <c r="T144" s="24" t="s">
        <v>1334</v>
      </c>
      <c r="U144" s="3"/>
      <c r="V144" s="19" t="str">
        <f>IFERROR(VLOOKUP(Banco_Nacion[[#This Row],[responsable]],Clientes_Proveedores[[Ruc / Dni]:[Razon Social]],2,0),"")</f>
        <v>ALEACIONES FERROSAS Y METALICAS S.A.C.</v>
      </c>
      <c r="W144" s="19" t="str">
        <f>IF(Banco_Nacion[[#This Row],[tipo_mov]]="INGRESO",Banco_Nacion[[#This Row],[serie]]&amp;Banco_Nacion[[#This Row],[numero]]&amp;Banco_Nacion[[#This Row],[responsable]]&amp;Banco_Nacion[[#This Row],[monto]],"")</f>
        <v>FE0513220607388416261</v>
      </c>
      <c r="X144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68511618</v>
      </c>
      <c r="Y144" s="3" t="str">
        <f>IFERROR(VLOOKUP(Banco_Nacion[[#This Row],[serie]]&amp;Banco_Nacion[[#This Row],[numero]]&amp;Banco_Nacion[[#This Row],[responsable]],[2]!Provision_CXC[[ID CXP]:[DETRACCION]],47,0),"")</f>
        <v/>
      </c>
      <c r="Z144" s="3"/>
      <c r="AA144" s="24" t="str">
        <f>IF(Banco_Nacion[[#This Row],[fecha]]&gt;0,TEXT(Banco_Nacion[[#This Row],[fecha]],"mmmm"),0)</f>
        <v>Marzo</v>
      </c>
    </row>
    <row r="145" spans="1:27" x14ac:dyDescent="0.3">
      <c r="A145" s="2">
        <f>IF(Banco_Nacion[[#This Row],[tipo_registro]]="R",COUNTIFS($C$1:$C144,"R")+1,"")</f>
        <v>144</v>
      </c>
      <c r="B145" s="19" t="str">
        <f t="shared" si="10"/>
        <v>B-Banco de la Nacion</v>
      </c>
      <c r="C145" s="3" t="s">
        <v>1330</v>
      </c>
      <c r="D145" s="14">
        <v>45719</v>
      </c>
      <c r="E145" s="5">
        <v>20607388416</v>
      </c>
      <c r="F145" s="5" t="s">
        <v>1303</v>
      </c>
      <c r="G145" s="6" t="s">
        <v>425</v>
      </c>
      <c r="H145" s="6" t="s">
        <v>68</v>
      </c>
      <c r="I145" s="6" t="s">
        <v>1353</v>
      </c>
      <c r="J145" s="6">
        <v>194</v>
      </c>
      <c r="K145" s="7" t="s">
        <v>5232</v>
      </c>
      <c r="L145" s="8">
        <v>68511584</v>
      </c>
      <c r="M145" s="8" t="str">
        <f t="shared" si="11"/>
        <v>PEN</v>
      </c>
      <c r="N145" s="13"/>
      <c r="O145" s="13">
        <v>331</v>
      </c>
      <c r="P145" s="3">
        <f t="shared" si="12"/>
        <v>331</v>
      </c>
      <c r="Q145" s="3">
        <f t="shared" si="13"/>
        <v>0</v>
      </c>
      <c r="R145" s="3">
        <f t="shared" si="14"/>
        <v>44119.010000000009</v>
      </c>
      <c r="S145" s="24"/>
      <c r="T145" s="24" t="s">
        <v>1334</v>
      </c>
      <c r="U145" s="3"/>
      <c r="V145" s="19" t="str">
        <f>IFERROR(VLOOKUP(Banco_Nacion[[#This Row],[responsable]],Clientes_Proveedores[[Ruc / Dni]:[Razon Social]],2,0),"")</f>
        <v>ALEACIONES FERROSAS Y METALICAS S.A.C.</v>
      </c>
      <c r="W145" s="19" t="str">
        <f>IF(Banco_Nacion[[#This Row],[tipo_mov]]="INGRESO",Banco_Nacion[[#This Row],[serie]]&amp;Banco_Nacion[[#This Row],[numero]]&amp;Banco_Nacion[[#This Row],[responsable]]&amp;Banco_Nacion[[#This Row],[monto]],"")</f>
        <v>FE0219420607388416331</v>
      </c>
      <c r="X145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68511584</v>
      </c>
      <c r="Y145" s="3" t="str">
        <f>IFERROR(VLOOKUP(Banco_Nacion[[#This Row],[serie]]&amp;Banco_Nacion[[#This Row],[numero]]&amp;Banco_Nacion[[#This Row],[responsable]],[2]!Provision_CXC[[ID CXP]:[DETRACCION]],47,0),"")</f>
        <v/>
      </c>
      <c r="Z145" s="3"/>
      <c r="AA145" s="24" t="str">
        <f>IF(Banco_Nacion[[#This Row],[fecha]]&gt;0,TEXT(Banco_Nacion[[#This Row],[fecha]],"mmmm"),0)</f>
        <v>Marzo</v>
      </c>
    </row>
    <row r="146" spans="1:27" x14ac:dyDescent="0.3">
      <c r="A146" s="2">
        <f>IF(Banco_Nacion[[#This Row],[tipo_registro]]="R",COUNTIFS($C$1:$C145,"R")+1,"")</f>
        <v>145</v>
      </c>
      <c r="B146" s="19" t="str">
        <f t="shared" si="10"/>
        <v>B-Banco de la Nacion</v>
      </c>
      <c r="C146" s="3" t="s">
        <v>1330</v>
      </c>
      <c r="D146" s="14">
        <v>45720</v>
      </c>
      <c r="E146" s="5">
        <v>20455283915</v>
      </c>
      <c r="F146" s="5" t="s">
        <v>1303</v>
      </c>
      <c r="G146" s="6" t="s">
        <v>425</v>
      </c>
      <c r="H146" s="6" t="s">
        <v>68</v>
      </c>
      <c r="I146" s="6" t="s">
        <v>1353</v>
      </c>
      <c r="J146" s="6">
        <v>201</v>
      </c>
      <c r="K146" s="7" t="s">
        <v>5232</v>
      </c>
      <c r="L146" s="8">
        <v>68618871</v>
      </c>
      <c r="M146" s="8" t="str">
        <f t="shared" si="11"/>
        <v>PEN</v>
      </c>
      <c r="N146" s="13"/>
      <c r="O146" s="13">
        <v>789</v>
      </c>
      <c r="P146" s="3">
        <f t="shared" si="12"/>
        <v>789</v>
      </c>
      <c r="Q146" s="3">
        <f t="shared" si="13"/>
        <v>0</v>
      </c>
      <c r="R146" s="3">
        <f t="shared" si="14"/>
        <v>44908.010000000009</v>
      </c>
      <c r="S146" s="24"/>
      <c r="T146" s="24" t="s">
        <v>1334</v>
      </c>
      <c r="U146" s="3"/>
      <c r="V146" s="19" t="str">
        <f>IFERROR(VLOOKUP(Banco_Nacion[[#This Row],[responsable]],Clientes_Proveedores[[Ruc / Dni]:[Razon Social]],2,0),"")</f>
        <v>EMPRESA CONSERVADORA AMBIENTAL DEL SUR E.I.R.L. - ECA SUR E.I.R.L.</v>
      </c>
      <c r="W146" s="19" t="str">
        <f>IF(Banco_Nacion[[#This Row],[tipo_mov]]="INGRESO",Banco_Nacion[[#This Row],[serie]]&amp;Banco_Nacion[[#This Row],[numero]]&amp;Banco_Nacion[[#This Row],[responsable]]&amp;Banco_Nacion[[#This Row],[monto]],"")</f>
        <v>FE0220120455283915789</v>
      </c>
      <c r="X146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68618871</v>
      </c>
      <c r="Y146" s="3" t="str">
        <f>IFERROR(VLOOKUP(Banco_Nacion[[#This Row],[serie]]&amp;Banco_Nacion[[#This Row],[numero]]&amp;Banco_Nacion[[#This Row],[responsable]],[2]!Provision_CXC[[ID CXP]:[DETRACCION]],47,0),"")</f>
        <v/>
      </c>
      <c r="Z146" s="3"/>
      <c r="AA146" s="24" t="str">
        <f>IF(Banco_Nacion[[#This Row],[fecha]]&gt;0,TEXT(Banco_Nacion[[#This Row],[fecha]],"mmmm"),0)</f>
        <v>Marzo</v>
      </c>
    </row>
    <row r="147" spans="1:27" x14ac:dyDescent="0.3">
      <c r="A147" s="2">
        <f>IF(Banco_Nacion[[#This Row],[tipo_registro]]="R",COUNTIFS($C$1:$C146,"R")+1,"")</f>
        <v>146</v>
      </c>
      <c r="B147" s="19" t="str">
        <f t="shared" si="10"/>
        <v>B-Banco de la Nacion</v>
      </c>
      <c r="C147" s="3" t="s">
        <v>1330</v>
      </c>
      <c r="D147" s="14">
        <v>45720</v>
      </c>
      <c r="E147" s="5">
        <v>20455283915</v>
      </c>
      <c r="F147" s="5" t="s">
        <v>1303</v>
      </c>
      <c r="G147" s="6" t="s">
        <v>425</v>
      </c>
      <c r="H147" s="6" t="s">
        <v>68</v>
      </c>
      <c r="I147" s="6" t="s">
        <v>1353</v>
      </c>
      <c r="J147" s="6">
        <v>198</v>
      </c>
      <c r="K147" s="7" t="s">
        <v>5232</v>
      </c>
      <c r="L147" s="8">
        <v>68618870</v>
      </c>
      <c r="M147" s="8" t="str">
        <f t="shared" si="11"/>
        <v>PEN</v>
      </c>
      <c r="N147" s="13"/>
      <c r="O147" s="13">
        <v>492</v>
      </c>
      <c r="P147" s="3">
        <f t="shared" si="12"/>
        <v>492</v>
      </c>
      <c r="Q147" s="3">
        <f t="shared" si="13"/>
        <v>0</v>
      </c>
      <c r="R147" s="3">
        <f t="shared" si="14"/>
        <v>45400.010000000009</v>
      </c>
      <c r="S147" s="24"/>
      <c r="T147" s="24" t="s">
        <v>1334</v>
      </c>
      <c r="U147" s="3"/>
      <c r="V147" s="19" t="str">
        <f>IFERROR(VLOOKUP(Banco_Nacion[[#This Row],[responsable]],Clientes_Proveedores[[Ruc / Dni]:[Razon Social]],2,0),"")</f>
        <v>EMPRESA CONSERVADORA AMBIENTAL DEL SUR E.I.R.L. - ECA SUR E.I.R.L.</v>
      </c>
      <c r="W147" s="19" t="str">
        <f>IF(Banco_Nacion[[#This Row],[tipo_mov]]="INGRESO",Banco_Nacion[[#This Row],[serie]]&amp;Banco_Nacion[[#This Row],[numero]]&amp;Banco_Nacion[[#This Row],[responsable]]&amp;Banco_Nacion[[#This Row],[monto]],"")</f>
        <v>FE0219820455283915492</v>
      </c>
      <c r="X147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68618870</v>
      </c>
      <c r="Y147" s="3" t="str">
        <f>IFERROR(VLOOKUP(Banco_Nacion[[#This Row],[serie]]&amp;Banco_Nacion[[#This Row],[numero]]&amp;Banco_Nacion[[#This Row],[responsable]],[2]!Provision_CXC[[ID CXP]:[DETRACCION]],47,0),"")</f>
        <v/>
      </c>
      <c r="Z147" s="3"/>
      <c r="AA147" s="24" t="str">
        <f>IF(Banco_Nacion[[#This Row],[fecha]]&gt;0,TEXT(Banco_Nacion[[#This Row],[fecha]],"mmmm"),0)</f>
        <v>Marzo</v>
      </c>
    </row>
    <row r="148" spans="1:27" x14ac:dyDescent="0.3">
      <c r="A148" s="2">
        <f>IF(Banco_Nacion[[#This Row],[tipo_registro]]="R",COUNTIFS($C$1:$C147,"R")+1,"")</f>
        <v>147</v>
      </c>
      <c r="B148" s="19" t="str">
        <f t="shared" si="10"/>
        <v>B-Banco de la Nacion</v>
      </c>
      <c r="C148" s="3" t="s">
        <v>1330</v>
      </c>
      <c r="D148" s="14">
        <v>45720</v>
      </c>
      <c r="E148" s="5">
        <v>20455283915</v>
      </c>
      <c r="F148" s="5" t="s">
        <v>1303</v>
      </c>
      <c r="G148" s="6" t="s">
        <v>425</v>
      </c>
      <c r="H148" s="6" t="s">
        <v>68</v>
      </c>
      <c r="I148" s="6" t="s">
        <v>1353</v>
      </c>
      <c r="J148" s="6">
        <v>190</v>
      </c>
      <c r="K148" s="7" t="s">
        <v>5232</v>
      </c>
      <c r="L148" s="8">
        <v>68618869</v>
      </c>
      <c r="M148" s="8" t="str">
        <f t="shared" si="11"/>
        <v>PEN</v>
      </c>
      <c r="N148" s="13"/>
      <c r="O148" s="13">
        <v>318</v>
      </c>
      <c r="P148" s="3">
        <f t="shared" si="12"/>
        <v>318</v>
      </c>
      <c r="Q148" s="3">
        <f t="shared" si="13"/>
        <v>0</v>
      </c>
      <c r="R148" s="3">
        <f t="shared" si="14"/>
        <v>45718.010000000009</v>
      </c>
      <c r="S148" s="24"/>
      <c r="T148" s="24" t="s">
        <v>1334</v>
      </c>
      <c r="U148" s="3"/>
      <c r="V148" s="19" t="str">
        <f>IFERROR(VLOOKUP(Banco_Nacion[[#This Row],[responsable]],Clientes_Proveedores[[Ruc / Dni]:[Razon Social]],2,0),"")</f>
        <v>EMPRESA CONSERVADORA AMBIENTAL DEL SUR E.I.R.L. - ECA SUR E.I.R.L.</v>
      </c>
      <c r="W148" s="19" t="str">
        <f>IF(Banco_Nacion[[#This Row],[tipo_mov]]="INGRESO",Banco_Nacion[[#This Row],[serie]]&amp;Banco_Nacion[[#This Row],[numero]]&amp;Banco_Nacion[[#This Row],[responsable]]&amp;Banco_Nacion[[#This Row],[monto]],"")</f>
        <v>FE0219020455283915318</v>
      </c>
      <c r="X148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68618869</v>
      </c>
      <c r="Y148" s="3" t="str">
        <f>IFERROR(VLOOKUP(Banco_Nacion[[#This Row],[serie]]&amp;Banco_Nacion[[#This Row],[numero]]&amp;Banco_Nacion[[#This Row],[responsable]],[2]!Provision_CXC[[ID CXP]:[DETRACCION]],47,0),"")</f>
        <v/>
      </c>
      <c r="Z148" s="3"/>
      <c r="AA148" s="24" t="str">
        <f>IF(Banco_Nacion[[#This Row],[fecha]]&gt;0,TEXT(Banco_Nacion[[#This Row],[fecha]],"mmmm"),0)</f>
        <v>Marzo</v>
      </c>
    </row>
    <row r="149" spans="1:27" x14ac:dyDescent="0.3">
      <c r="A149" s="2">
        <f>IF(Banco_Nacion[[#This Row],[tipo_registro]]="R",COUNTIFS($C$1:$C148,"R")+1,"")</f>
        <v>148</v>
      </c>
      <c r="B149" s="19" t="str">
        <f t="shared" si="10"/>
        <v>B-Banco de la Nacion</v>
      </c>
      <c r="C149" s="3" t="s">
        <v>1330</v>
      </c>
      <c r="D149" s="14">
        <v>45721</v>
      </c>
      <c r="E149" s="5">
        <v>20340584237</v>
      </c>
      <c r="F149" s="5" t="s">
        <v>1303</v>
      </c>
      <c r="G149" s="6" t="s">
        <v>425</v>
      </c>
      <c r="H149" s="6" t="s">
        <v>68</v>
      </c>
      <c r="I149" s="6" t="s">
        <v>1343</v>
      </c>
      <c r="J149" s="6">
        <v>560</v>
      </c>
      <c r="K149" s="7" t="s">
        <v>5232</v>
      </c>
      <c r="L149" s="8">
        <v>68753907</v>
      </c>
      <c r="M149" s="8" t="str">
        <f t="shared" si="11"/>
        <v>PEN</v>
      </c>
      <c r="N149" s="13"/>
      <c r="O149" s="13">
        <v>397</v>
      </c>
      <c r="P149" s="3">
        <f t="shared" si="12"/>
        <v>397</v>
      </c>
      <c r="Q149" s="3">
        <f t="shared" si="13"/>
        <v>0</v>
      </c>
      <c r="R149" s="3">
        <f t="shared" si="14"/>
        <v>46115.010000000009</v>
      </c>
      <c r="S149" s="24"/>
      <c r="T149" s="24" t="s">
        <v>1334</v>
      </c>
      <c r="U149" s="3"/>
      <c r="V149" s="19" t="str">
        <f>IFERROR(VLOOKUP(Banco_Nacion[[#This Row],[responsable]],Clientes_Proveedores[[Ruc / Dni]:[Razon Social]],2,0),"")</f>
        <v>CAMPOSOL S.A.</v>
      </c>
      <c r="W149" s="19" t="str">
        <f>IF(Banco_Nacion[[#This Row],[tipo_mov]]="INGRESO",Banco_Nacion[[#This Row],[serie]]&amp;Banco_Nacion[[#This Row],[numero]]&amp;Banco_Nacion[[#This Row],[responsable]]&amp;Banco_Nacion[[#This Row],[monto]],"")</f>
        <v>FE0156020340584237397</v>
      </c>
      <c r="X149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68753907</v>
      </c>
      <c r="Y149" s="3" t="str">
        <f>IFERROR(VLOOKUP(Banco_Nacion[[#This Row],[serie]]&amp;Banco_Nacion[[#This Row],[numero]]&amp;Banco_Nacion[[#This Row],[responsable]],[2]!Provision_CXC[[ID CXP]:[DETRACCION]],47,0),"")</f>
        <v/>
      </c>
      <c r="Z149" s="3"/>
      <c r="AA149" s="24" t="str">
        <f>IF(Banco_Nacion[[#This Row],[fecha]]&gt;0,TEXT(Banco_Nacion[[#This Row],[fecha]],"mmmm"),0)</f>
        <v>Marzo</v>
      </c>
    </row>
    <row r="150" spans="1:27" x14ac:dyDescent="0.3">
      <c r="A150" s="2">
        <f>IF(Banco_Nacion[[#This Row],[tipo_registro]]="R",COUNTIFS($C$1:$C149,"R")+1,"")</f>
        <v>149</v>
      </c>
      <c r="B150" s="19" t="str">
        <f t="shared" si="10"/>
        <v>B-Banco de la Nacion</v>
      </c>
      <c r="C150" s="3" t="s">
        <v>1330</v>
      </c>
      <c r="D150" s="14">
        <v>45721</v>
      </c>
      <c r="E150" s="5">
        <v>20607388416</v>
      </c>
      <c r="F150" s="5" t="s">
        <v>1303</v>
      </c>
      <c r="G150" s="6" t="s">
        <v>425</v>
      </c>
      <c r="H150" s="6" t="s">
        <v>68</v>
      </c>
      <c r="I150" s="6" t="s">
        <v>1347</v>
      </c>
      <c r="J150" s="6">
        <v>133</v>
      </c>
      <c r="K150" s="7" t="s">
        <v>5232</v>
      </c>
      <c r="L150" s="8">
        <v>68717688</v>
      </c>
      <c r="M150" s="8" t="str">
        <f t="shared" si="11"/>
        <v>PEN</v>
      </c>
      <c r="N150" s="13"/>
      <c r="O150" s="13">
        <v>177</v>
      </c>
      <c r="P150" s="3">
        <f t="shared" si="12"/>
        <v>177</v>
      </c>
      <c r="Q150" s="3">
        <f t="shared" si="13"/>
        <v>0</v>
      </c>
      <c r="R150" s="3">
        <f t="shared" si="14"/>
        <v>46292.010000000009</v>
      </c>
      <c r="S150" s="24"/>
      <c r="T150" s="24" t="s">
        <v>1334</v>
      </c>
      <c r="U150" s="3"/>
      <c r="V150" s="19" t="str">
        <f>IFERROR(VLOOKUP(Banco_Nacion[[#This Row],[responsable]],Clientes_Proveedores[[Ruc / Dni]:[Razon Social]],2,0),"")</f>
        <v>ALEACIONES FERROSAS Y METALICAS S.A.C.</v>
      </c>
      <c r="W150" s="19" t="str">
        <f>IF(Banco_Nacion[[#This Row],[tipo_mov]]="INGRESO",Banco_Nacion[[#This Row],[serie]]&amp;Banco_Nacion[[#This Row],[numero]]&amp;Banco_Nacion[[#This Row],[responsable]]&amp;Banco_Nacion[[#This Row],[monto]],"")</f>
        <v>FE0513320607388416177</v>
      </c>
      <c r="X150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68717688</v>
      </c>
      <c r="Y150" s="3" t="str">
        <f>IFERROR(VLOOKUP(Banco_Nacion[[#This Row],[serie]]&amp;Banco_Nacion[[#This Row],[numero]]&amp;Banco_Nacion[[#This Row],[responsable]],[2]!Provision_CXC[[ID CXP]:[DETRACCION]],47,0),"")</f>
        <v/>
      </c>
      <c r="Z150" s="3"/>
      <c r="AA150" s="24" t="str">
        <f>IF(Banco_Nacion[[#This Row],[fecha]]&gt;0,TEXT(Banco_Nacion[[#This Row],[fecha]],"mmmm"),0)</f>
        <v>Marzo</v>
      </c>
    </row>
    <row r="151" spans="1:27" x14ac:dyDescent="0.3">
      <c r="A151" s="2">
        <f>IF(Banco_Nacion[[#This Row],[tipo_registro]]="R",COUNTIFS($C$1:$C150,"R")+1,"")</f>
        <v>150</v>
      </c>
      <c r="B151" s="19" t="str">
        <f t="shared" si="10"/>
        <v>B-Banco de la Nacion</v>
      </c>
      <c r="C151" s="3" t="s">
        <v>1330</v>
      </c>
      <c r="D151" s="14">
        <v>45722</v>
      </c>
      <c r="E151" s="5"/>
      <c r="F151" s="5" t="s">
        <v>1336</v>
      </c>
      <c r="G151" s="6"/>
      <c r="H151" s="6"/>
      <c r="I151" s="6" t="s">
        <v>5231</v>
      </c>
      <c r="J151" s="6"/>
      <c r="K151" s="7" t="s">
        <v>5234</v>
      </c>
      <c r="L151" s="8">
        <v>78787878</v>
      </c>
      <c r="M151" s="8" t="str">
        <f t="shared" si="11"/>
        <v>PEN</v>
      </c>
      <c r="N151" s="13"/>
      <c r="O151" s="13">
        <v>31595</v>
      </c>
      <c r="P151" s="3">
        <f t="shared" si="12"/>
        <v>0</v>
      </c>
      <c r="Q151" s="3">
        <f t="shared" si="13"/>
        <v>31595</v>
      </c>
      <c r="R151" s="3">
        <f t="shared" si="14"/>
        <v>14697.010000000009</v>
      </c>
      <c r="S151" s="24"/>
      <c r="T151" s="24"/>
      <c r="U151" s="3"/>
      <c r="V151" s="19" t="str">
        <f>IFERROR(VLOOKUP(Banco_Nacion[[#This Row],[responsable]],Clientes_Proveedores[[Ruc / Dni]:[Razon Social]],2,0),"")</f>
        <v/>
      </c>
      <c r="W151" s="19" t="str">
        <f>IF(Banco_Nacion[[#This Row],[tipo_mov]]="INGRESO",Banco_Nacion[[#This Row],[serie]]&amp;Banco_Nacion[[#This Row],[numero]]&amp;Banco_Nacion[[#This Row],[responsable]]&amp;Banco_Nacion[[#This Row],[monto]],"")</f>
        <v/>
      </c>
      <c r="X151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/>
      </c>
      <c r="Y151" s="3" t="str">
        <f>IFERROR(VLOOKUP(Banco_Nacion[[#This Row],[serie]]&amp;Banco_Nacion[[#This Row],[numero]]&amp;Banco_Nacion[[#This Row],[responsable]],[2]!Provision_CXC[[ID CXP]:[DETRACCION]],47,0),"")</f>
        <v/>
      </c>
      <c r="Z151" s="3"/>
      <c r="AA151" s="24" t="str">
        <f>IF(Banco_Nacion[[#This Row],[fecha]]&gt;0,TEXT(Banco_Nacion[[#This Row],[fecha]],"mmmm"),0)</f>
        <v>Marzo</v>
      </c>
    </row>
    <row r="152" spans="1:27" x14ac:dyDescent="0.3">
      <c r="A152" s="2">
        <f>IF(Banco_Nacion[[#This Row],[tipo_registro]]="R",COUNTIFS($C$1:$C151,"R")+1,"")</f>
        <v>151</v>
      </c>
      <c r="B152" s="19" t="str">
        <f t="shared" si="10"/>
        <v>B-Banco de la Nacion</v>
      </c>
      <c r="C152" s="3" t="s">
        <v>1330</v>
      </c>
      <c r="D152" s="14">
        <v>45722</v>
      </c>
      <c r="E152" s="5"/>
      <c r="F152" s="5" t="s">
        <v>1336</v>
      </c>
      <c r="G152" s="6"/>
      <c r="H152" s="6"/>
      <c r="I152" s="6" t="s">
        <v>5231</v>
      </c>
      <c r="J152" s="6"/>
      <c r="K152" s="7" t="s">
        <v>5234</v>
      </c>
      <c r="L152" s="8">
        <v>78787878</v>
      </c>
      <c r="M152" s="8" t="str">
        <f t="shared" si="11"/>
        <v>PEN</v>
      </c>
      <c r="N152" s="13"/>
      <c r="O152" s="13">
        <v>1903</v>
      </c>
      <c r="P152" s="3">
        <f t="shared" si="12"/>
        <v>0</v>
      </c>
      <c r="Q152" s="3">
        <f t="shared" si="13"/>
        <v>1903</v>
      </c>
      <c r="R152" s="3">
        <f t="shared" si="14"/>
        <v>12794.010000000009</v>
      </c>
      <c r="S152" s="24"/>
      <c r="T152" s="24"/>
      <c r="U152" s="3"/>
      <c r="V152" s="19" t="str">
        <f>IFERROR(VLOOKUP(Banco_Nacion[[#This Row],[responsable]],Clientes_Proveedores[[Ruc / Dni]:[Razon Social]],2,0),"")</f>
        <v/>
      </c>
      <c r="W152" s="19" t="str">
        <f>IF(Banco_Nacion[[#This Row],[tipo_mov]]="INGRESO",Banco_Nacion[[#This Row],[serie]]&amp;Banco_Nacion[[#This Row],[numero]]&amp;Banco_Nacion[[#This Row],[responsable]]&amp;Banco_Nacion[[#This Row],[monto]],"")</f>
        <v/>
      </c>
      <c r="X152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/>
      </c>
      <c r="Y152" s="3" t="str">
        <f>IFERROR(VLOOKUP(Banco_Nacion[[#This Row],[serie]]&amp;Banco_Nacion[[#This Row],[numero]]&amp;Banco_Nacion[[#This Row],[responsable]],[2]!Provision_CXC[[ID CXP]:[DETRACCION]],47,0),"")</f>
        <v/>
      </c>
      <c r="Z152" s="3"/>
      <c r="AA152" s="24" t="str">
        <f>IF(Banco_Nacion[[#This Row],[fecha]]&gt;0,TEXT(Banco_Nacion[[#This Row],[fecha]],"mmmm"),0)</f>
        <v>Marzo</v>
      </c>
    </row>
    <row r="153" spans="1:27" x14ac:dyDescent="0.3">
      <c r="A153" s="2">
        <f>IF(Banco_Nacion[[#This Row],[tipo_registro]]="R",COUNTIFS($C$1:$C152,"R")+1,"")</f>
        <v>152</v>
      </c>
      <c r="B153" s="19" t="str">
        <f t="shared" si="10"/>
        <v>B-Banco de la Nacion</v>
      </c>
      <c r="C153" s="3" t="s">
        <v>1330</v>
      </c>
      <c r="D153" s="14">
        <v>45722</v>
      </c>
      <c r="E153" s="5">
        <v>20370146994</v>
      </c>
      <c r="F153" s="5" t="s">
        <v>1303</v>
      </c>
      <c r="G153" s="6" t="s">
        <v>425</v>
      </c>
      <c r="H153" s="6" t="s">
        <v>68</v>
      </c>
      <c r="I153" s="6" t="s">
        <v>1353</v>
      </c>
      <c r="J153" s="6">
        <v>205</v>
      </c>
      <c r="K153" s="7" t="s">
        <v>5232</v>
      </c>
      <c r="L153" s="8">
        <v>69057489</v>
      </c>
      <c r="M153" s="8" t="str">
        <f t="shared" si="11"/>
        <v>PEN</v>
      </c>
      <c r="N153" s="13"/>
      <c r="O153" s="13">
        <v>3684</v>
      </c>
      <c r="P153" s="3">
        <f t="shared" si="12"/>
        <v>3684</v>
      </c>
      <c r="Q153" s="3">
        <f t="shared" si="13"/>
        <v>0</v>
      </c>
      <c r="R153" s="3">
        <f t="shared" si="14"/>
        <v>16478.010000000009</v>
      </c>
      <c r="S153" s="24"/>
      <c r="T153" s="24" t="s">
        <v>1334</v>
      </c>
      <c r="U153" s="3"/>
      <c r="V153" s="19" t="str">
        <f>IFERROR(VLOOKUP(Banco_Nacion[[#This Row],[responsable]],Clientes_Proveedores[[Ruc / Dni]:[Razon Social]],2,0),"")</f>
        <v>CORPORACION ACEROS AREQUIPA S.A</v>
      </c>
      <c r="W153" s="19" t="str">
        <f>IF(Banco_Nacion[[#This Row],[tipo_mov]]="INGRESO",Banco_Nacion[[#This Row],[serie]]&amp;Banco_Nacion[[#This Row],[numero]]&amp;Banco_Nacion[[#This Row],[responsable]]&amp;Banco_Nacion[[#This Row],[monto]],"")</f>
        <v>FE02205203701469943684</v>
      </c>
      <c r="X153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69057489</v>
      </c>
      <c r="Y153" s="3" t="str">
        <f>IFERROR(VLOOKUP(Banco_Nacion[[#This Row],[serie]]&amp;Banco_Nacion[[#This Row],[numero]]&amp;Banco_Nacion[[#This Row],[responsable]],[2]!Provision_CXC[[ID CXP]:[DETRACCION]],47,0),"")</f>
        <v/>
      </c>
      <c r="Z153" s="3"/>
      <c r="AA153" s="24" t="str">
        <f>IF(Banco_Nacion[[#This Row],[fecha]]&gt;0,TEXT(Banco_Nacion[[#This Row],[fecha]],"mmmm"),0)</f>
        <v>Marzo</v>
      </c>
    </row>
    <row r="154" spans="1:27" x14ac:dyDescent="0.3">
      <c r="A154" s="2">
        <f>IF(Banco_Nacion[[#This Row],[tipo_registro]]="R",COUNTIFS($C$1:$C153,"R")+1,"")</f>
        <v>153</v>
      </c>
      <c r="B154" s="19" t="str">
        <f t="shared" si="10"/>
        <v>B-Banco de la Nacion</v>
      </c>
      <c r="C154" s="3" t="s">
        <v>1330</v>
      </c>
      <c r="D154" s="14">
        <v>45722</v>
      </c>
      <c r="E154" s="5">
        <v>20100192064</v>
      </c>
      <c r="F154" s="5" t="s">
        <v>1303</v>
      </c>
      <c r="G154" s="6" t="s">
        <v>425</v>
      </c>
      <c r="H154" s="6" t="s">
        <v>68</v>
      </c>
      <c r="I154" s="6" t="s">
        <v>1343</v>
      </c>
      <c r="J154" s="6">
        <v>579</v>
      </c>
      <c r="K154" s="7" t="s">
        <v>5232</v>
      </c>
      <c r="L154" s="8">
        <v>69000757</v>
      </c>
      <c r="M154" s="8" t="str">
        <f t="shared" si="11"/>
        <v>PEN</v>
      </c>
      <c r="N154" s="13"/>
      <c r="O154" s="13">
        <v>1863</v>
      </c>
      <c r="P154" s="3">
        <f t="shared" si="12"/>
        <v>1863</v>
      </c>
      <c r="Q154" s="3">
        <f t="shared" si="13"/>
        <v>0</v>
      </c>
      <c r="R154" s="3">
        <f t="shared" si="14"/>
        <v>18341.010000000009</v>
      </c>
      <c r="S154" s="24"/>
      <c r="T154" s="24" t="s">
        <v>1334</v>
      </c>
      <c r="U154" s="3"/>
      <c r="V154" s="19" t="str">
        <f>IFERROR(VLOOKUP(Banco_Nacion[[#This Row],[responsable]],Clientes_Proveedores[[Ruc / Dni]:[Razon Social]],2,0),"")</f>
        <v>MOLY-COP ADESUR S.A</v>
      </c>
      <c r="W154" s="19" t="str">
        <f>IF(Banco_Nacion[[#This Row],[tipo_mov]]="INGRESO",Banco_Nacion[[#This Row],[serie]]&amp;Banco_Nacion[[#This Row],[numero]]&amp;Banco_Nacion[[#This Row],[responsable]]&amp;Banco_Nacion[[#This Row],[monto]],"")</f>
        <v>FE01579201001920641863</v>
      </c>
      <c r="X154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69000757</v>
      </c>
      <c r="Y154" s="3" t="str">
        <f>IFERROR(VLOOKUP(Banco_Nacion[[#This Row],[serie]]&amp;Banco_Nacion[[#This Row],[numero]]&amp;Banco_Nacion[[#This Row],[responsable]],[2]!Provision_CXC[[ID CXP]:[DETRACCION]],47,0),"")</f>
        <v/>
      </c>
      <c r="Z154" s="3"/>
      <c r="AA154" s="24" t="str">
        <f>IF(Banco_Nacion[[#This Row],[fecha]]&gt;0,TEXT(Banco_Nacion[[#This Row],[fecha]],"mmmm"),0)</f>
        <v>Marzo</v>
      </c>
    </row>
    <row r="155" spans="1:27" x14ac:dyDescent="0.3">
      <c r="A155" s="2">
        <f>IF(Banco_Nacion[[#This Row],[tipo_registro]]="R",COUNTIFS($C$1:$C154,"R")+1,"")</f>
        <v>154</v>
      </c>
      <c r="B155" s="19" t="str">
        <f t="shared" si="10"/>
        <v>B-Banco de la Nacion</v>
      </c>
      <c r="C155" s="3" t="s">
        <v>1330</v>
      </c>
      <c r="D155" s="14">
        <v>45722</v>
      </c>
      <c r="E155" s="5">
        <v>20100192064</v>
      </c>
      <c r="F155" s="5" t="s">
        <v>1303</v>
      </c>
      <c r="G155" s="6" t="s">
        <v>425</v>
      </c>
      <c r="H155" s="6" t="s">
        <v>68</v>
      </c>
      <c r="I155" s="6" t="s">
        <v>1343</v>
      </c>
      <c r="J155" s="6">
        <v>577</v>
      </c>
      <c r="K155" s="7" t="s">
        <v>5232</v>
      </c>
      <c r="L155" s="8">
        <v>69000732</v>
      </c>
      <c r="M155" s="8" t="str">
        <f t="shared" si="11"/>
        <v>PEN</v>
      </c>
      <c r="N155" s="13"/>
      <c r="O155" s="13">
        <v>671</v>
      </c>
      <c r="P155" s="3">
        <f t="shared" si="12"/>
        <v>671</v>
      </c>
      <c r="Q155" s="3">
        <f t="shared" si="13"/>
        <v>0</v>
      </c>
      <c r="R155" s="3">
        <f t="shared" si="14"/>
        <v>19012.010000000009</v>
      </c>
      <c r="S155" s="24"/>
      <c r="T155" s="24" t="s">
        <v>1334</v>
      </c>
      <c r="U155" s="3"/>
      <c r="V155" s="19" t="str">
        <f>IFERROR(VLOOKUP(Banco_Nacion[[#This Row],[responsable]],Clientes_Proveedores[[Ruc / Dni]:[Razon Social]],2,0),"")</f>
        <v>MOLY-COP ADESUR S.A</v>
      </c>
      <c r="W155" s="19" t="str">
        <f>IF(Banco_Nacion[[#This Row],[tipo_mov]]="INGRESO",Banco_Nacion[[#This Row],[serie]]&amp;Banco_Nacion[[#This Row],[numero]]&amp;Banco_Nacion[[#This Row],[responsable]]&amp;Banco_Nacion[[#This Row],[monto]],"")</f>
        <v>FE0157720100192064671</v>
      </c>
      <c r="X155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69000732</v>
      </c>
      <c r="Y155" s="3" t="str">
        <f>IFERROR(VLOOKUP(Banco_Nacion[[#This Row],[serie]]&amp;Banco_Nacion[[#This Row],[numero]]&amp;Banco_Nacion[[#This Row],[responsable]],[2]!Provision_CXC[[ID CXP]:[DETRACCION]],47,0),"")</f>
        <v/>
      </c>
      <c r="Z155" s="3"/>
      <c r="AA155" s="24" t="str">
        <f>IF(Banco_Nacion[[#This Row],[fecha]]&gt;0,TEXT(Banco_Nacion[[#This Row],[fecha]],"mmmm"),0)</f>
        <v>Marzo</v>
      </c>
    </row>
    <row r="156" spans="1:27" x14ac:dyDescent="0.3">
      <c r="A156" s="2">
        <f>IF(Banco_Nacion[[#This Row],[tipo_registro]]="R",COUNTIFS($C$1:$C155,"R")+1,"")</f>
        <v>155</v>
      </c>
      <c r="B156" s="19" t="str">
        <f t="shared" si="10"/>
        <v>B-Banco de la Nacion</v>
      </c>
      <c r="C156" s="3" t="s">
        <v>1330</v>
      </c>
      <c r="D156" s="14">
        <v>45722</v>
      </c>
      <c r="E156" s="5">
        <v>20100192064</v>
      </c>
      <c r="F156" s="5" t="s">
        <v>1303</v>
      </c>
      <c r="G156" s="6" t="s">
        <v>425</v>
      </c>
      <c r="H156" s="6" t="s">
        <v>68</v>
      </c>
      <c r="I156" s="6" t="s">
        <v>1343</v>
      </c>
      <c r="J156" s="6">
        <v>583</v>
      </c>
      <c r="K156" s="7" t="s">
        <v>5232</v>
      </c>
      <c r="L156" s="8">
        <v>69000713</v>
      </c>
      <c r="M156" s="8" t="str">
        <f t="shared" si="11"/>
        <v>PEN</v>
      </c>
      <c r="N156" s="13"/>
      <c r="O156" s="13">
        <v>1294</v>
      </c>
      <c r="P156" s="3">
        <f t="shared" si="12"/>
        <v>1294</v>
      </c>
      <c r="Q156" s="3">
        <f t="shared" si="13"/>
        <v>0</v>
      </c>
      <c r="R156" s="3">
        <f t="shared" si="14"/>
        <v>20306.010000000009</v>
      </c>
      <c r="S156" s="24"/>
      <c r="T156" s="24" t="s">
        <v>1334</v>
      </c>
      <c r="U156" s="3"/>
      <c r="V156" s="19" t="str">
        <f>IFERROR(VLOOKUP(Banco_Nacion[[#This Row],[responsable]],Clientes_Proveedores[[Ruc / Dni]:[Razon Social]],2,0),"")</f>
        <v>MOLY-COP ADESUR S.A</v>
      </c>
      <c r="W156" s="19" t="str">
        <f>IF(Banco_Nacion[[#This Row],[tipo_mov]]="INGRESO",Banco_Nacion[[#This Row],[serie]]&amp;Banco_Nacion[[#This Row],[numero]]&amp;Banco_Nacion[[#This Row],[responsable]]&amp;Banco_Nacion[[#This Row],[monto]],"")</f>
        <v>FE01583201001920641294</v>
      </c>
      <c r="X156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69000713</v>
      </c>
      <c r="Y156" s="3" t="str">
        <f>IFERROR(VLOOKUP(Banco_Nacion[[#This Row],[serie]]&amp;Banco_Nacion[[#This Row],[numero]]&amp;Banco_Nacion[[#This Row],[responsable]],[2]!Provision_CXC[[ID CXP]:[DETRACCION]],47,0),"")</f>
        <v/>
      </c>
      <c r="Z156" s="3"/>
      <c r="AA156" s="24" t="str">
        <f>IF(Banco_Nacion[[#This Row],[fecha]]&gt;0,TEXT(Banco_Nacion[[#This Row],[fecha]],"mmmm"),0)</f>
        <v>Marzo</v>
      </c>
    </row>
    <row r="157" spans="1:27" x14ac:dyDescent="0.3">
      <c r="A157" s="2">
        <f>IF(Banco_Nacion[[#This Row],[tipo_registro]]="R",COUNTIFS($C$1:$C156,"R")+1,"")</f>
        <v>156</v>
      </c>
      <c r="B157" s="19" t="str">
        <f t="shared" si="10"/>
        <v>B-Banco de la Nacion</v>
      </c>
      <c r="C157" s="3" t="s">
        <v>1330</v>
      </c>
      <c r="D157" s="14">
        <v>45723</v>
      </c>
      <c r="E157" s="5">
        <v>20558353814</v>
      </c>
      <c r="F157" s="5" t="s">
        <v>1303</v>
      </c>
      <c r="G157" s="6" t="s">
        <v>425</v>
      </c>
      <c r="H157" s="6" t="s">
        <v>68</v>
      </c>
      <c r="I157" s="6" t="s">
        <v>1343</v>
      </c>
      <c r="J157" s="6">
        <v>561</v>
      </c>
      <c r="K157" s="7" t="s">
        <v>5232</v>
      </c>
      <c r="L157" s="8">
        <v>78788888</v>
      </c>
      <c r="M157" s="8" t="str">
        <f t="shared" si="11"/>
        <v>PEN</v>
      </c>
      <c r="N157" s="13"/>
      <c r="O157" s="13">
        <v>596</v>
      </c>
      <c r="P157" s="3">
        <f t="shared" si="12"/>
        <v>596</v>
      </c>
      <c r="Q157" s="3">
        <f t="shared" si="13"/>
        <v>0</v>
      </c>
      <c r="R157" s="3">
        <f t="shared" si="14"/>
        <v>20902.010000000009</v>
      </c>
      <c r="S157" s="24"/>
      <c r="T157" s="24" t="s">
        <v>1334</v>
      </c>
      <c r="U157" s="3"/>
      <c r="V157" s="19" t="str">
        <f>IFERROR(VLOOKUP(Banco_Nacion[[#This Row],[responsable]],Clientes_Proveedores[[Ruc / Dni]:[Razon Social]],2,0),"")</f>
        <v>TACONSER E.I.R.L.</v>
      </c>
      <c r="W157" s="19" t="str">
        <f>IF(Banco_Nacion[[#This Row],[tipo_mov]]="INGRESO",Banco_Nacion[[#This Row],[serie]]&amp;Banco_Nacion[[#This Row],[numero]]&amp;Banco_Nacion[[#This Row],[responsable]]&amp;Banco_Nacion[[#This Row],[monto]],"")</f>
        <v>FE0156120558353814596</v>
      </c>
      <c r="X157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78788888</v>
      </c>
      <c r="Y157" s="3" t="str">
        <f>IFERROR(VLOOKUP(Banco_Nacion[[#This Row],[serie]]&amp;Banco_Nacion[[#This Row],[numero]]&amp;Banco_Nacion[[#This Row],[responsable]],[2]!Provision_CXC[[ID CXP]:[DETRACCION]],47,0),"")</f>
        <v/>
      </c>
      <c r="Z157" s="3"/>
      <c r="AA157" s="24" t="str">
        <f>IF(Banco_Nacion[[#This Row],[fecha]]&gt;0,TEXT(Banco_Nacion[[#This Row],[fecha]],"mmmm"),0)</f>
        <v>Marzo</v>
      </c>
    </row>
    <row r="158" spans="1:27" x14ac:dyDescent="0.3">
      <c r="A158" s="2">
        <f>IF(Banco_Nacion[[#This Row],[tipo_registro]]="R",COUNTIFS($C$1:$C157,"R")+1,"")</f>
        <v>157</v>
      </c>
      <c r="B158" s="19" t="str">
        <f t="shared" si="10"/>
        <v>B-Banco de la Nacion</v>
      </c>
      <c r="C158" s="3" t="s">
        <v>1330</v>
      </c>
      <c r="D158" s="14">
        <v>45726</v>
      </c>
      <c r="E158" s="5">
        <v>20454186002</v>
      </c>
      <c r="F158" s="5" t="s">
        <v>1303</v>
      </c>
      <c r="G158" s="6" t="s">
        <v>425</v>
      </c>
      <c r="H158" s="6" t="s">
        <v>68</v>
      </c>
      <c r="I158" s="6" t="s">
        <v>1343</v>
      </c>
      <c r="J158" s="6">
        <v>580</v>
      </c>
      <c r="K158" s="7" t="s">
        <v>5232</v>
      </c>
      <c r="L158" s="8">
        <v>69584940</v>
      </c>
      <c r="M158" s="8" t="str">
        <f t="shared" si="11"/>
        <v>PEN</v>
      </c>
      <c r="N158" s="13"/>
      <c r="O158" s="13">
        <v>808</v>
      </c>
      <c r="P158" s="3">
        <f t="shared" si="12"/>
        <v>808</v>
      </c>
      <c r="Q158" s="3">
        <f t="shared" si="13"/>
        <v>0</v>
      </c>
      <c r="R158" s="3">
        <f t="shared" si="14"/>
        <v>21710.010000000009</v>
      </c>
      <c r="S158" s="24"/>
      <c r="T158" s="24" t="s">
        <v>1334</v>
      </c>
      <c r="U158" s="3"/>
      <c r="V158" s="19" t="str">
        <f>IFERROR(VLOOKUP(Banco_Nacion[[#This Row],[responsable]],Clientes_Proveedores[[Ruc / Dni]:[Razon Social]],2,0),"")</f>
        <v>ALSUR PERU S.A.C.</v>
      </c>
      <c r="W158" s="19" t="str">
        <f>IF(Banco_Nacion[[#This Row],[tipo_mov]]="INGRESO",Banco_Nacion[[#This Row],[serie]]&amp;Banco_Nacion[[#This Row],[numero]]&amp;Banco_Nacion[[#This Row],[responsable]]&amp;Banco_Nacion[[#This Row],[monto]],"")</f>
        <v>FE0158020454186002808</v>
      </c>
      <c r="X158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69584940</v>
      </c>
      <c r="Y158" s="3" t="str">
        <f>IFERROR(VLOOKUP(Banco_Nacion[[#This Row],[serie]]&amp;Banco_Nacion[[#This Row],[numero]]&amp;Banco_Nacion[[#This Row],[responsable]],[2]!Provision_CXC[[ID CXP]:[DETRACCION]],47,0),"")</f>
        <v/>
      </c>
      <c r="Z158" s="3"/>
      <c r="AA158" s="24" t="str">
        <f>IF(Banco_Nacion[[#This Row],[fecha]]&gt;0,TEXT(Banco_Nacion[[#This Row],[fecha]],"mmmm"),0)</f>
        <v>Marzo</v>
      </c>
    </row>
    <row r="159" spans="1:27" x14ac:dyDescent="0.3">
      <c r="A159" s="2">
        <f>IF(Banco_Nacion[[#This Row],[tipo_registro]]="R",COUNTIFS($C$1:$C158,"R")+1,"")</f>
        <v>158</v>
      </c>
      <c r="B159" s="19" t="str">
        <f t="shared" si="10"/>
        <v>B-Banco de la Nacion</v>
      </c>
      <c r="C159" s="3" t="s">
        <v>1330</v>
      </c>
      <c r="D159" s="14">
        <v>45726</v>
      </c>
      <c r="E159" s="5">
        <v>20454186002</v>
      </c>
      <c r="F159" s="5" t="s">
        <v>1303</v>
      </c>
      <c r="G159" s="6" t="s">
        <v>425</v>
      </c>
      <c r="H159" s="6" t="s">
        <v>68</v>
      </c>
      <c r="I159" s="6" t="s">
        <v>1343</v>
      </c>
      <c r="J159" s="6">
        <v>581</v>
      </c>
      <c r="K159" s="7" t="s">
        <v>5232</v>
      </c>
      <c r="L159" s="8">
        <v>69584939</v>
      </c>
      <c r="M159" s="8" t="str">
        <f t="shared" si="11"/>
        <v>PEN</v>
      </c>
      <c r="N159" s="13"/>
      <c r="O159" s="13">
        <v>395</v>
      </c>
      <c r="P159" s="3">
        <f t="shared" si="12"/>
        <v>395</v>
      </c>
      <c r="Q159" s="3">
        <f t="shared" si="13"/>
        <v>0</v>
      </c>
      <c r="R159" s="3">
        <f t="shared" si="14"/>
        <v>22105.010000000009</v>
      </c>
      <c r="S159" s="24"/>
      <c r="T159" s="24" t="s">
        <v>1334</v>
      </c>
      <c r="U159" s="3"/>
      <c r="V159" s="19" t="str">
        <f>IFERROR(VLOOKUP(Banco_Nacion[[#This Row],[responsable]],Clientes_Proveedores[[Ruc / Dni]:[Razon Social]],2,0),"")</f>
        <v>ALSUR PERU S.A.C.</v>
      </c>
      <c r="W159" s="19" t="str">
        <f>IF(Banco_Nacion[[#This Row],[tipo_mov]]="INGRESO",Banco_Nacion[[#This Row],[serie]]&amp;Banco_Nacion[[#This Row],[numero]]&amp;Banco_Nacion[[#This Row],[responsable]]&amp;Banco_Nacion[[#This Row],[monto]],"")</f>
        <v>FE0158120454186002395</v>
      </c>
      <c r="X159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69584939</v>
      </c>
      <c r="Y159" s="3" t="str">
        <f>IFERROR(VLOOKUP(Banco_Nacion[[#This Row],[serie]]&amp;Banco_Nacion[[#This Row],[numero]]&amp;Banco_Nacion[[#This Row],[responsable]],[2]!Provision_CXC[[ID CXP]:[DETRACCION]],47,0),"")</f>
        <v/>
      </c>
      <c r="Z159" s="3"/>
      <c r="AA159" s="24" t="str">
        <f>IF(Banco_Nacion[[#This Row],[fecha]]&gt;0,TEXT(Banco_Nacion[[#This Row],[fecha]],"mmmm"),0)</f>
        <v>Marzo</v>
      </c>
    </row>
    <row r="160" spans="1:27" x14ac:dyDescent="0.3">
      <c r="A160" s="2">
        <f>IF(Banco_Nacion[[#This Row],[tipo_registro]]="R",COUNTIFS($C$1:$C159,"R")+1,"")</f>
        <v>159</v>
      </c>
      <c r="B160" s="19" t="str">
        <f t="shared" si="10"/>
        <v>B-Banco de la Nacion</v>
      </c>
      <c r="C160" s="3" t="s">
        <v>1330</v>
      </c>
      <c r="D160" s="14">
        <v>45726</v>
      </c>
      <c r="E160" s="5">
        <v>20454186002</v>
      </c>
      <c r="F160" s="5" t="s">
        <v>1303</v>
      </c>
      <c r="G160" s="6" t="s">
        <v>425</v>
      </c>
      <c r="H160" s="6" t="s">
        <v>68</v>
      </c>
      <c r="I160" s="6" t="s">
        <v>1343</v>
      </c>
      <c r="J160" s="6">
        <v>578</v>
      </c>
      <c r="K160" s="7" t="s">
        <v>5232</v>
      </c>
      <c r="L160" s="8">
        <v>69584938</v>
      </c>
      <c r="M160" s="8" t="str">
        <f t="shared" si="11"/>
        <v>PEN</v>
      </c>
      <c r="N160" s="13"/>
      <c r="O160" s="13">
        <v>484</v>
      </c>
      <c r="P160" s="3">
        <f t="shared" si="12"/>
        <v>484</v>
      </c>
      <c r="Q160" s="3">
        <f t="shared" si="13"/>
        <v>0</v>
      </c>
      <c r="R160" s="3">
        <f t="shared" si="14"/>
        <v>22589.010000000009</v>
      </c>
      <c r="S160" s="24"/>
      <c r="T160" s="24" t="s">
        <v>1334</v>
      </c>
      <c r="U160" s="3"/>
      <c r="V160" s="19" t="str">
        <f>IFERROR(VLOOKUP(Banco_Nacion[[#This Row],[responsable]],Clientes_Proveedores[[Ruc / Dni]:[Razon Social]],2,0),"")</f>
        <v>ALSUR PERU S.A.C.</v>
      </c>
      <c r="W160" s="19" t="str">
        <f>IF(Banco_Nacion[[#This Row],[tipo_mov]]="INGRESO",Banco_Nacion[[#This Row],[serie]]&amp;Banco_Nacion[[#This Row],[numero]]&amp;Banco_Nacion[[#This Row],[responsable]]&amp;Banco_Nacion[[#This Row],[monto]],"")</f>
        <v>FE0157820454186002484</v>
      </c>
      <c r="X160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69584938</v>
      </c>
      <c r="Y160" s="3" t="str">
        <f>IFERROR(VLOOKUP(Banco_Nacion[[#This Row],[serie]]&amp;Banco_Nacion[[#This Row],[numero]]&amp;Banco_Nacion[[#This Row],[responsable]],[2]!Provision_CXC[[ID CXP]:[DETRACCION]],47,0),"")</f>
        <v/>
      </c>
      <c r="Z160" s="3"/>
      <c r="AA160" s="24" t="str">
        <f>IF(Banco_Nacion[[#This Row],[fecha]]&gt;0,TEXT(Banco_Nacion[[#This Row],[fecha]],"mmmm"),0)</f>
        <v>Marzo</v>
      </c>
    </row>
    <row r="161" spans="1:27" x14ac:dyDescent="0.3">
      <c r="A161" s="2">
        <f>IF(Banco_Nacion[[#This Row],[tipo_registro]]="R",COUNTIFS($C$1:$C160,"R")+1,"")</f>
        <v>160</v>
      </c>
      <c r="B161" s="19" t="str">
        <f t="shared" si="10"/>
        <v>B-Banco de la Nacion</v>
      </c>
      <c r="C161" s="3" t="s">
        <v>1330</v>
      </c>
      <c r="D161" s="14">
        <v>45726</v>
      </c>
      <c r="E161" s="5">
        <v>20514133931</v>
      </c>
      <c r="F161" s="5" t="s">
        <v>1303</v>
      </c>
      <c r="G161" s="6" t="s">
        <v>425</v>
      </c>
      <c r="H161" s="6" t="s">
        <v>68</v>
      </c>
      <c r="I161" s="6" t="s">
        <v>1353</v>
      </c>
      <c r="J161" s="6">
        <v>189</v>
      </c>
      <c r="K161" s="7" t="s">
        <v>5232</v>
      </c>
      <c r="L161" s="8">
        <v>69572534</v>
      </c>
      <c r="M161" s="8" t="str">
        <f t="shared" si="11"/>
        <v>PEN</v>
      </c>
      <c r="N161" s="13"/>
      <c r="O161" s="13">
        <v>30</v>
      </c>
      <c r="P161" s="3">
        <f t="shared" si="12"/>
        <v>30</v>
      </c>
      <c r="Q161" s="3">
        <f t="shared" si="13"/>
        <v>0</v>
      </c>
      <c r="R161" s="3">
        <f t="shared" si="14"/>
        <v>22619.010000000009</v>
      </c>
      <c r="S161" s="24"/>
      <c r="T161" s="24" t="s">
        <v>1334</v>
      </c>
      <c r="U161" s="3"/>
      <c r="V161" s="19" t="str">
        <f>IFERROR(VLOOKUP(Banco_Nacion[[#This Row],[responsable]],Clientes_Proveedores[[Ruc / Dni]:[Razon Social]],2,0),"")</f>
        <v>CORPORACION MEDIOAMBIENTAL AMPCO PERU SOCIEDAD ANONIMA CERRADA
- CM AMPCO PERU S.A.C</v>
      </c>
      <c r="W161" s="19" t="str">
        <f>IF(Banco_Nacion[[#This Row],[tipo_mov]]="INGRESO",Banco_Nacion[[#This Row],[serie]]&amp;Banco_Nacion[[#This Row],[numero]]&amp;Banco_Nacion[[#This Row],[responsable]]&amp;Banco_Nacion[[#This Row],[monto]],"")</f>
        <v>FE021892051413393130</v>
      </c>
      <c r="X161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69572534</v>
      </c>
      <c r="Y161" s="3" t="str">
        <f>IFERROR(VLOOKUP(Banco_Nacion[[#This Row],[serie]]&amp;Banco_Nacion[[#This Row],[numero]]&amp;Banco_Nacion[[#This Row],[responsable]],[2]!Provision_CXC[[ID CXP]:[DETRACCION]],47,0),"")</f>
        <v/>
      </c>
      <c r="Z161" s="3"/>
      <c r="AA161" s="24" t="str">
        <f>IF(Banco_Nacion[[#This Row],[fecha]]&gt;0,TEXT(Banco_Nacion[[#This Row],[fecha]],"mmmm"),0)</f>
        <v>Marzo</v>
      </c>
    </row>
    <row r="162" spans="1:27" x14ac:dyDescent="0.3">
      <c r="A162" s="2">
        <f>IF(Banco_Nacion[[#This Row],[tipo_registro]]="R",COUNTIFS($C$1:$C161,"R")+1,"")</f>
        <v>161</v>
      </c>
      <c r="B162" s="19" t="str">
        <f t="shared" si="10"/>
        <v>B-Banco de la Nacion</v>
      </c>
      <c r="C162" s="3" t="s">
        <v>1330</v>
      </c>
      <c r="D162" s="14">
        <v>45726</v>
      </c>
      <c r="E162" s="5">
        <v>20553956324</v>
      </c>
      <c r="F162" s="5" t="s">
        <v>1303</v>
      </c>
      <c r="G162" s="6" t="s">
        <v>425</v>
      </c>
      <c r="H162" s="6" t="s">
        <v>68</v>
      </c>
      <c r="I162" s="6" t="s">
        <v>1343</v>
      </c>
      <c r="J162" s="6">
        <v>546</v>
      </c>
      <c r="K162" s="7" t="s">
        <v>5232</v>
      </c>
      <c r="L162" s="8">
        <v>69496881</v>
      </c>
      <c r="M162" s="8" t="str">
        <f t="shared" si="11"/>
        <v>PEN</v>
      </c>
      <c r="N162" s="13"/>
      <c r="O162" s="13">
        <v>299</v>
      </c>
      <c r="P162" s="3">
        <f t="shared" si="12"/>
        <v>299</v>
      </c>
      <c r="Q162" s="3">
        <f t="shared" si="13"/>
        <v>0</v>
      </c>
      <c r="R162" s="3">
        <f t="shared" si="14"/>
        <v>22918.010000000009</v>
      </c>
      <c r="S162" s="24"/>
      <c r="T162" s="24" t="s">
        <v>1334</v>
      </c>
      <c r="U162" s="3"/>
      <c r="V162" s="19" t="str">
        <f>IFERROR(VLOOKUP(Banco_Nacion[[#This Row],[responsable]],Clientes_Proveedores[[Ruc / Dni]:[Razon Social]],2,0),"")</f>
        <v>ALQUIMODUL S.A.C.</v>
      </c>
      <c r="W162" s="19" t="str">
        <f>IF(Banco_Nacion[[#This Row],[tipo_mov]]="INGRESO",Banco_Nacion[[#This Row],[serie]]&amp;Banco_Nacion[[#This Row],[numero]]&amp;Banco_Nacion[[#This Row],[responsable]]&amp;Banco_Nacion[[#This Row],[monto]],"")</f>
        <v>FE0154620553956324299</v>
      </c>
      <c r="X162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69496881</v>
      </c>
      <c r="Y162" s="3" t="str">
        <f>IFERROR(VLOOKUP(Banco_Nacion[[#This Row],[serie]]&amp;Banco_Nacion[[#This Row],[numero]]&amp;Banco_Nacion[[#This Row],[responsable]],[2]!Provision_CXC[[ID CXP]:[DETRACCION]],47,0),"")</f>
        <v/>
      </c>
      <c r="Z162" s="3"/>
      <c r="AA162" s="24" t="str">
        <f>IF(Banco_Nacion[[#This Row],[fecha]]&gt;0,TEXT(Banco_Nacion[[#This Row],[fecha]],"mmmm"),0)</f>
        <v>Marzo</v>
      </c>
    </row>
    <row r="163" spans="1:27" x14ac:dyDescent="0.3">
      <c r="A163" s="2">
        <f>IF(Banco_Nacion[[#This Row],[tipo_registro]]="R",COUNTIFS($C$1:$C162,"R")+1,"")</f>
        <v>162</v>
      </c>
      <c r="B163" s="19" t="str">
        <f t="shared" si="10"/>
        <v>B-Banco de la Nacion</v>
      </c>
      <c r="C163" s="3" t="s">
        <v>1330</v>
      </c>
      <c r="D163" s="14">
        <v>45726</v>
      </c>
      <c r="E163" s="5">
        <v>20120858425</v>
      </c>
      <c r="F163" s="5" t="s">
        <v>1303</v>
      </c>
      <c r="G163" s="6" t="s">
        <v>425</v>
      </c>
      <c r="H163" s="6" t="s">
        <v>68</v>
      </c>
      <c r="I163" s="6" t="s">
        <v>1343</v>
      </c>
      <c r="J163" s="6">
        <v>544</v>
      </c>
      <c r="K163" s="7" t="s">
        <v>5232</v>
      </c>
      <c r="L163" s="8">
        <v>69436084</v>
      </c>
      <c r="M163" s="8" t="str">
        <f t="shared" si="11"/>
        <v>PEN</v>
      </c>
      <c r="N163" s="13"/>
      <c r="O163" s="13">
        <v>172</v>
      </c>
      <c r="P163" s="3">
        <f t="shared" si="12"/>
        <v>172</v>
      </c>
      <c r="Q163" s="3">
        <f t="shared" si="13"/>
        <v>0</v>
      </c>
      <c r="R163" s="3">
        <f t="shared" si="14"/>
        <v>23090.010000000009</v>
      </c>
      <c r="S163" s="24" t="s">
        <v>1334</v>
      </c>
      <c r="T163" s="24" t="s">
        <v>1334</v>
      </c>
      <c r="U163" s="3"/>
      <c r="V163" s="19" t="str">
        <f>IFERROR(VLOOKUP(Banco_Nacion[[#This Row],[responsable]],Clientes_Proveedores[[Ruc / Dni]:[Razon Social]],2,0),"")</f>
        <v>POWER S.A.C.</v>
      </c>
      <c r="W163" s="19" t="str">
        <f>IF(Banco_Nacion[[#This Row],[tipo_mov]]="INGRESO",Banco_Nacion[[#This Row],[serie]]&amp;Banco_Nacion[[#This Row],[numero]]&amp;Banco_Nacion[[#This Row],[responsable]]&amp;Banco_Nacion[[#This Row],[monto]],"")</f>
        <v>FE0154420120858425172</v>
      </c>
      <c r="X163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69436084</v>
      </c>
      <c r="Y163" s="3" t="str">
        <f>IFERROR(VLOOKUP(Banco_Nacion[[#This Row],[serie]]&amp;Banco_Nacion[[#This Row],[numero]]&amp;Banco_Nacion[[#This Row],[responsable]],[2]!Provision_CXC[[ID CXP]:[DETRACCION]],47,0),"")</f>
        <v/>
      </c>
      <c r="Z163" s="3"/>
      <c r="AA163" s="24" t="str">
        <f>IF(Banco_Nacion[[#This Row],[fecha]]&gt;0,TEXT(Banco_Nacion[[#This Row],[fecha]],"mmmm"),0)</f>
        <v>Marzo</v>
      </c>
    </row>
    <row r="164" spans="1:27" x14ac:dyDescent="0.3">
      <c r="A164" s="2">
        <f>IF(Banco_Nacion[[#This Row],[tipo_registro]]="R",COUNTIFS($C$1:$C163,"R")+1,"")</f>
        <v>163</v>
      </c>
      <c r="B164" s="19" t="str">
        <f t="shared" si="10"/>
        <v>B-Banco de la Nacion</v>
      </c>
      <c r="C164" s="3" t="s">
        <v>1330</v>
      </c>
      <c r="D164" s="14">
        <v>45726</v>
      </c>
      <c r="E164" s="5">
        <v>20120877055</v>
      </c>
      <c r="F164" s="5" t="s">
        <v>1303</v>
      </c>
      <c r="G164" s="6" t="s">
        <v>425</v>
      </c>
      <c r="H164" s="6" t="s">
        <v>68</v>
      </c>
      <c r="I164" s="6" t="s">
        <v>1353</v>
      </c>
      <c r="J164" s="6">
        <v>199</v>
      </c>
      <c r="K164" s="7" t="s">
        <v>5232</v>
      </c>
      <c r="L164" s="8">
        <v>69410255</v>
      </c>
      <c r="M164" s="8" t="str">
        <f t="shared" si="11"/>
        <v>PEN</v>
      </c>
      <c r="N164" s="13"/>
      <c r="O164" s="13">
        <v>64</v>
      </c>
      <c r="P164" s="3">
        <f t="shared" si="12"/>
        <v>64</v>
      </c>
      <c r="Q164" s="3">
        <f t="shared" si="13"/>
        <v>0</v>
      </c>
      <c r="R164" s="3">
        <f t="shared" si="14"/>
        <v>23154.010000000009</v>
      </c>
      <c r="S164" s="24"/>
      <c r="T164" s="24" t="s">
        <v>1334</v>
      </c>
      <c r="U164" s="3"/>
      <c r="V164" s="19" t="str">
        <f>IFERROR(VLOOKUP(Banco_Nacion[[#This Row],[responsable]],Clientes_Proveedores[[Ruc / Dni]:[Razon Social]],2,0),"")</f>
        <v>LADRILLERA EL DIAMANTE S.A.C.</v>
      </c>
      <c r="W164" s="19" t="str">
        <f>IF(Banco_Nacion[[#This Row],[tipo_mov]]="INGRESO",Banco_Nacion[[#This Row],[serie]]&amp;Banco_Nacion[[#This Row],[numero]]&amp;Banco_Nacion[[#This Row],[responsable]]&amp;Banco_Nacion[[#This Row],[monto]],"")</f>
        <v>FE021992012087705564</v>
      </c>
      <c r="X164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69410255</v>
      </c>
      <c r="Y164" s="3" t="str">
        <f>IFERROR(VLOOKUP(Banco_Nacion[[#This Row],[serie]]&amp;Banco_Nacion[[#This Row],[numero]]&amp;Banco_Nacion[[#This Row],[responsable]],[2]!Provision_CXC[[ID CXP]:[DETRACCION]],47,0),"")</f>
        <v/>
      </c>
      <c r="Z164" s="3"/>
      <c r="AA164" s="24" t="str">
        <f>IF(Banco_Nacion[[#This Row],[fecha]]&gt;0,TEXT(Banco_Nacion[[#This Row],[fecha]],"mmmm"),0)</f>
        <v>Marzo</v>
      </c>
    </row>
    <row r="165" spans="1:27" x14ac:dyDescent="0.3">
      <c r="A165" s="2">
        <f>IF(Banco_Nacion[[#This Row],[tipo_registro]]="R",COUNTIFS($C$1:$C164,"R")+1,"")</f>
        <v>164</v>
      </c>
      <c r="B165" s="19" t="str">
        <f t="shared" si="10"/>
        <v>B-Banco de la Nacion</v>
      </c>
      <c r="C165" s="3" t="s">
        <v>1330</v>
      </c>
      <c r="D165" s="14">
        <v>45726</v>
      </c>
      <c r="E165" s="5">
        <v>20558203332</v>
      </c>
      <c r="F165" s="5" t="s">
        <v>1303</v>
      </c>
      <c r="G165" s="6" t="s">
        <v>425</v>
      </c>
      <c r="H165" s="6" t="s">
        <v>68</v>
      </c>
      <c r="I165" s="6" t="s">
        <v>1353</v>
      </c>
      <c r="J165" s="6">
        <v>193</v>
      </c>
      <c r="K165" s="7" t="s">
        <v>5232</v>
      </c>
      <c r="L165" s="8">
        <v>69382277</v>
      </c>
      <c r="M165" s="8" t="str">
        <f t="shared" si="11"/>
        <v>PEN</v>
      </c>
      <c r="N165" s="13"/>
      <c r="O165" s="13">
        <v>53</v>
      </c>
      <c r="P165" s="3">
        <f t="shared" si="12"/>
        <v>53</v>
      </c>
      <c r="Q165" s="3">
        <f t="shared" si="13"/>
        <v>0</v>
      </c>
      <c r="R165" s="3">
        <f t="shared" si="14"/>
        <v>23207.010000000009</v>
      </c>
      <c r="S165" s="24"/>
      <c r="T165" s="24" t="s">
        <v>1334</v>
      </c>
      <c r="U165" s="3"/>
      <c r="V165" s="19" t="str">
        <f>IFERROR(VLOOKUP(Banco_Nacion[[#This Row],[responsable]],Clientes_Proveedores[[Ruc / Dni]:[Razon Social]],2,0),"")</f>
        <v>ISC INGENIERIA DEL SUR S.A.C.</v>
      </c>
      <c r="W165" s="19" t="str">
        <f>IF(Banco_Nacion[[#This Row],[tipo_mov]]="INGRESO",Banco_Nacion[[#This Row],[serie]]&amp;Banco_Nacion[[#This Row],[numero]]&amp;Banco_Nacion[[#This Row],[responsable]]&amp;Banco_Nacion[[#This Row],[monto]],"")</f>
        <v>FE021932055820333253</v>
      </c>
      <c r="X165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69382277</v>
      </c>
      <c r="Y165" s="3" t="str">
        <f>IFERROR(VLOOKUP(Banco_Nacion[[#This Row],[serie]]&amp;Banco_Nacion[[#This Row],[numero]]&amp;Banco_Nacion[[#This Row],[responsable]],[2]!Provision_CXC[[ID CXP]:[DETRACCION]],47,0),"")</f>
        <v/>
      </c>
      <c r="Z165" s="3"/>
      <c r="AA165" s="24" t="str">
        <f>IF(Banco_Nacion[[#This Row],[fecha]]&gt;0,TEXT(Banco_Nacion[[#This Row],[fecha]],"mmmm"),0)</f>
        <v>Marzo</v>
      </c>
    </row>
    <row r="166" spans="1:27" x14ac:dyDescent="0.3">
      <c r="A166" s="2">
        <f>IF(Banco_Nacion[[#This Row],[tipo_registro]]="R",COUNTIFS($C$1:$C165,"R")+1,"")</f>
        <v>165</v>
      </c>
      <c r="B166" s="19" t="str">
        <f t="shared" si="10"/>
        <v>B-Banco de la Nacion</v>
      </c>
      <c r="C166" s="3" t="s">
        <v>1330</v>
      </c>
      <c r="D166" s="14">
        <v>45726</v>
      </c>
      <c r="E166" s="5">
        <v>20100235138</v>
      </c>
      <c r="F166" s="5" t="s">
        <v>1303</v>
      </c>
      <c r="G166" s="6" t="s">
        <v>425</v>
      </c>
      <c r="H166" s="6" t="s">
        <v>68</v>
      </c>
      <c r="I166" s="6" t="s">
        <v>1343</v>
      </c>
      <c r="J166" s="6">
        <v>565</v>
      </c>
      <c r="K166" s="7" t="s">
        <v>5232</v>
      </c>
      <c r="L166" s="8">
        <v>69381798</v>
      </c>
      <c r="M166" s="8" t="str">
        <f t="shared" si="11"/>
        <v>PEN</v>
      </c>
      <c r="N166" s="13"/>
      <c r="O166" s="13">
        <v>185</v>
      </c>
      <c r="P166" s="3">
        <f t="shared" si="12"/>
        <v>185</v>
      </c>
      <c r="Q166" s="3">
        <f t="shared" si="13"/>
        <v>0</v>
      </c>
      <c r="R166" s="3">
        <f t="shared" si="14"/>
        <v>23392.010000000009</v>
      </c>
      <c r="S166" s="24"/>
      <c r="T166" s="24" t="s">
        <v>1334</v>
      </c>
      <c r="U166" s="3"/>
      <c r="V166" s="19" t="str">
        <f>IFERROR(VLOOKUP(Banco_Nacion[[#This Row],[responsable]],Clientes_Proveedores[[Ruc / Dni]:[Razon Social]],2,0),"")</f>
        <v>METALURGICA QUIMICA S.A.C.</v>
      </c>
      <c r="W166" s="19" t="str">
        <f>IF(Banco_Nacion[[#This Row],[tipo_mov]]="INGRESO",Banco_Nacion[[#This Row],[serie]]&amp;Banco_Nacion[[#This Row],[numero]]&amp;Banco_Nacion[[#This Row],[responsable]]&amp;Banco_Nacion[[#This Row],[monto]],"")</f>
        <v>FE0156520100235138185</v>
      </c>
      <c r="X166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69381798</v>
      </c>
      <c r="Y166" s="3" t="str">
        <f>IFERROR(VLOOKUP(Banco_Nacion[[#This Row],[serie]]&amp;Banco_Nacion[[#This Row],[numero]]&amp;Banco_Nacion[[#This Row],[responsable]],[2]!Provision_CXC[[ID CXP]:[DETRACCION]],47,0),"")</f>
        <v/>
      </c>
      <c r="Z166" s="3"/>
      <c r="AA166" s="24" t="str">
        <f>IF(Banco_Nacion[[#This Row],[fecha]]&gt;0,TEXT(Banco_Nacion[[#This Row],[fecha]],"mmmm"),0)</f>
        <v>Marzo</v>
      </c>
    </row>
    <row r="167" spans="1:27" x14ac:dyDescent="0.3">
      <c r="A167" s="2">
        <f>IF(Banco_Nacion[[#This Row],[tipo_registro]]="R",COUNTIFS($C$1:$C166,"R")+1,"")</f>
        <v>166</v>
      </c>
      <c r="B167" s="19" t="str">
        <f t="shared" si="10"/>
        <v>B-Banco de la Nacion</v>
      </c>
      <c r="C167" s="3" t="s">
        <v>1330</v>
      </c>
      <c r="D167" s="14">
        <v>45726</v>
      </c>
      <c r="E167" s="5">
        <v>20100235138</v>
      </c>
      <c r="F167" s="5" t="s">
        <v>1303</v>
      </c>
      <c r="G167" s="6" t="s">
        <v>425</v>
      </c>
      <c r="H167" s="6" t="s">
        <v>68</v>
      </c>
      <c r="I167" s="6" t="s">
        <v>1343</v>
      </c>
      <c r="J167" s="6">
        <v>543</v>
      </c>
      <c r="K167" s="7" t="s">
        <v>5232</v>
      </c>
      <c r="L167" s="8">
        <v>69381797</v>
      </c>
      <c r="M167" s="8" t="str">
        <f t="shared" si="11"/>
        <v>PEN</v>
      </c>
      <c r="N167" s="13"/>
      <c r="O167" s="13">
        <v>291</v>
      </c>
      <c r="P167" s="3">
        <f t="shared" si="12"/>
        <v>291</v>
      </c>
      <c r="Q167" s="3">
        <f t="shared" si="13"/>
        <v>0</v>
      </c>
      <c r="R167" s="3">
        <f t="shared" si="14"/>
        <v>23683.010000000009</v>
      </c>
      <c r="S167" s="24"/>
      <c r="T167" s="24" t="s">
        <v>1334</v>
      </c>
      <c r="U167" s="3"/>
      <c r="V167" s="19" t="str">
        <f>IFERROR(VLOOKUP(Banco_Nacion[[#This Row],[responsable]],Clientes_Proveedores[[Ruc / Dni]:[Razon Social]],2,0),"")</f>
        <v>METALURGICA QUIMICA S.A.C.</v>
      </c>
      <c r="W167" s="19" t="str">
        <f>IF(Banco_Nacion[[#This Row],[tipo_mov]]="INGRESO",Banco_Nacion[[#This Row],[serie]]&amp;Banco_Nacion[[#This Row],[numero]]&amp;Banco_Nacion[[#This Row],[responsable]]&amp;Banco_Nacion[[#This Row],[monto]],"")</f>
        <v>FE0154320100235138291</v>
      </c>
      <c r="X167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69381797</v>
      </c>
      <c r="Y167" s="3" t="str">
        <f>IFERROR(VLOOKUP(Banco_Nacion[[#This Row],[serie]]&amp;Banco_Nacion[[#This Row],[numero]]&amp;Banco_Nacion[[#This Row],[responsable]],[2]!Provision_CXC[[ID CXP]:[DETRACCION]],47,0),"")</f>
        <v/>
      </c>
      <c r="Z167" s="3"/>
      <c r="AA167" s="24" t="str">
        <f>IF(Banco_Nacion[[#This Row],[fecha]]&gt;0,TEXT(Banco_Nacion[[#This Row],[fecha]],"mmmm"),0)</f>
        <v>Marzo</v>
      </c>
    </row>
    <row r="168" spans="1:27" x14ac:dyDescent="0.3">
      <c r="A168" s="2">
        <f>IF(Banco_Nacion[[#This Row],[tipo_registro]]="R",COUNTIFS($C$1:$C167,"R")+1,"")</f>
        <v>167</v>
      </c>
      <c r="B168" s="19" t="str">
        <f t="shared" si="10"/>
        <v>B-Banco de la Nacion</v>
      </c>
      <c r="C168" s="3" t="s">
        <v>1330</v>
      </c>
      <c r="D168" s="14">
        <v>45727</v>
      </c>
      <c r="E168" s="5">
        <v>20496535066</v>
      </c>
      <c r="F168" s="5" t="s">
        <v>1303</v>
      </c>
      <c r="G168" s="6" t="s">
        <v>425</v>
      </c>
      <c r="H168" s="6" t="s">
        <v>68</v>
      </c>
      <c r="I168" s="6" t="s">
        <v>1343</v>
      </c>
      <c r="J168" s="6">
        <v>499</v>
      </c>
      <c r="K168" s="7" t="s">
        <v>5232</v>
      </c>
      <c r="L168" s="8">
        <v>69728650</v>
      </c>
      <c r="M168" s="8" t="str">
        <f t="shared" si="11"/>
        <v>PEN</v>
      </c>
      <c r="N168" s="13"/>
      <c r="O168" s="13">
        <v>168</v>
      </c>
      <c r="P168" s="3">
        <f t="shared" si="12"/>
        <v>168</v>
      </c>
      <c r="Q168" s="3">
        <f t="shared" si="13"/>
        <v>0</v>
      </c>
      <c r="R168" s="3">
        <f t="shared" si="14"/>
        <v>23851.010000000009</v>
      </c>
      <c r="S168" s="24"/>
      <c r="T168" s="24" t="s">
        <v>1334</v>
      </c>
      <c r="U168" s="3"/>
      <c r="V168" s="19" t="str">
        <f>IFERROR(VLOOKUP(Banco_Nacion[[#This Row],[responsable]],Clientes_Proveedores[[Ruc / Dni]:[Razon Social]],2,0),"")</f>
        <v>CORP.ELECTROMECANICA EN ING.Y CONSTR.SAC</v>
      </c>
      <c r="W168" s="19" t="str">
        <f>IF(Banco_Nacion[[#This Row],[tipo_mov]]="INGRESO",Banco_Nacion[[#This Row],[serie]]&amp;Banco_Nacion[[#This Row],[numero]]&amp;Banco_Nacion[[#This Row],[responsable]]&amp;Banco_Nacion[[#This Row],[monto]],"")</f>
        <v>FE0149920496535066168</v>
      </c>
      <c r="X168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69728650</v>
      </c>
      <c r="Y168" s="3" t="str">
        <f>IFERROR(VLOOKUP(Banco_Nacion[[#This Row],[serie]]&amp;Banco_Nacion[[#This Row],[numero]]&amp;Banco_Nacion[[#This Row],[responsable]],[2]!Provision_CXC[[ID CXP]:[DETRACCION]],47,0),"")</f>
        <v/>
      </c>
      <c r="Z168" s="3"/>
      <c r="AA168" s="24" t="str">
        <f>IF(Banco_Nacion[[#This Row],[fecha]]&gt;0,TEXT(Banco_Nacion[[#This Row],[fecha]],"mmmm"),0)</f>
        <v>Marzo</v>
      </c>
    </row>
    <row r="169" spans="1:27" x14ac:dyDescent="0.3">
      <c r="A169" s="2">
        <f>IF(Banco_Nacion[[#This Row],[tipo_registro]]="R",COUNTIFS($C$1:$C168,"R")+1,"")</f>
        <v>168</v>
      </c>
      <c r="B169" s="19" t="str">
        <f t="shared" si="10"/>
        <v>B-Banco de la Nacion</v>
      </c>
      <c r="C169" s="3" t="s">
        <v>1330</v>
      </c>
      <c r="D169" s="14">
        <v>45728</v>
      </c>
      <c r="E169" s="5">
        <v>20100055237</v>
      </c>
      <c r="F169" s="5" t="s">
        <v>1303</v>
      </c>
      <c r="G169" s="6" t="s">
        <v>425</v>
      </c>
      <c r="H169" s="6" t="s">
        <v>68</v>
      </c>
      <c r="I169" s="6" t="s">
        <v>1343</v>
      </c>
      <c r="J169" s="6">
        <v>591</v>
      </c>
      <c r="K169" s="7" t="s">
        <v>5232</v>
      </c>
      <c r="L169" s="8">
        <v>69885329</v>
      </c>
      <c r="M169" s="8" t="str">
        <f t="shared" si="11"/>
        <v>PEN</v>
      </c>
      <c r="N169" s="13"/>
      <c r="O169" s="13">
        <v>112</v>
      </c>
      <c r="P169" s="3">
        <f t="shared" si="12"/>
        <v>112</v>
      </c>
      <c r="Q169" s="3">
        <f t="shared" si="13"/>
        <v>0</v>
      </c>
      <c r="R169" s="3">
        <f t="shared" si="14"/>
        <v>23963.010000000009</v>
      </c>
      <c r="S169" s="24"/>
      <c r="T169" s="24" t="s">
        <v>1334</v>
      </c>
      <c r="U169" s="3"/>
      <c r="V169" s="19" t="str">
        <f>IFERROR(VLOOKUP(Banco_Nacion[[#This Row],[responsable]],Clientes_Proveedores[[Ruc / Dni]:[Razon Social]],2,0),"")</f>
        <v>ALICORP SAA</v>
      </c>
      <c r="W169" s="19" t="str">
        <f>IF(Banco_Nacion[[#This Row],[tipo_mov]]="INGRESO",Banco_Nacion[[#This Row],[serie]]&amp;Banco_Nacion[[#This Row],[numero]]&amp;Banco_Nacion[[#This Row],[responsable]]&amp;Banco_Nacion[[#This Row],[monto]],"")</f>
        <v>FE0159120100055237112</v>
      </c>
      <c r="X169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69885329</v>
      </c>
      <c r="Y169" s="3" t="str">
        <f>IFERROR(VLOOKUP(Banco_Nacion[[#This Row],[serie]]&amp;Banco_Nacion[[#This Row],[numero]]&amp;Banco_Nacion[[#This Row],[responsable]],[2]!Provision_CXC[[ID CXP]:[DETRACCION]],47,0),"")</f>
        <v/>
      </c>
      <c r="Z169" s="3"/>
      <c r="AA169" s="24" t="str">
        <f>IF(Banco_Nacion[[#This Row],[fecha]]&gt;0,TEXT(Banco_Nacion[[#This Row],[fecha]],"mmmm"),0)</f>
        <v>Marzo</v>
      </c>
    </row>
    <row r="170" spans="1:27" x14ac:dyDescent="0.3">
      <c r="A170" s="2">
        <f>IF(Banco_Nacion[[#This Row],[tipo_registro]]="R",COUNTIFS($C$1:$C169,"R")+1,"")</f>
        <v>169</v>
      </c>
      <c r="B170" s="19" t="str">
        <f t="shared" si="10"/>
        <v>B-Banco de la Nacion</v>
      </c>
      <c r="C170" s="3" t="s">
        <v>1330</v>
      </c>
      <c r="D170" s="14">
        <v>45729</v>
      </c>
      <c r="E170" s="5">
        <v>20370146994</v>
      </c>
      <c r="F170" s="5" t="s">
        <v>1303</v>
      </c>
      <c r="G170" s="6" t="s">
        <v>425</v>
      </c>
      <c r="H170" s="6" t="s">
        <v>68</v>
      </c>
      <c r="I170" s="6" t="s">
        <v>1376</v>
      </c>
      <c r="J170" s="6">
        <v>15</v>
      </c>
      <c r="K170" s="7" t="s">
        <v>5232</v>
      </c>
      <c r="L170" s="8">
        <v>69942509</v>
      </c>
      <c r="M170" s="8" t="str">
        <f t="shared" si="11"/>
        <v>PEN</v>
      </c>
      <c r="N170" s="13"/>
      <c r="O170" s="13">
        <v>124</v>
      </c>
      <c r="P170" s="3">
        <f t="shared" si="12"/>
        <v>124</v>
      </c>
      <c r="Q170" s="3">
        <f t="shared" si="13"/>
        <v>0</v>
      </c>
      <c r="R170" s="3">
        <f t="shared" si="14"/>
        <v>24087.010000000009</v>
      </c>
      <c r="S170" s="24"/>
      <c r="T170" s="24" t="s">
        <v>1334</v>
      </c>
      <c r="U170" s="3"/>
      <c r="V170" s="19" t="str">
        <f>IFERROR(VLOOKUP(Banco_Nacion[[#This Row],[responsable]],Clientes_Proveedores[[Ruc / Dni]:[Razon Social]],2,0),"")</f>
        <v>CORPORACION ACEROS AREQUIPA S.A</v>
      </c>
      <c r="W170" s="19" t="str">
        <f>IF(Banco_Nacion[[#This Row],[tipo_mov]]="INGRESO",Banco_Nacion[[#This Row],[serie]]&amp;Banco_Nacion[[#This Row],[numero]]&amp;Banco_Nacion[[#This Row],[responsable]]&amp;Banco_Nacion[[#This Row],[monto]],"")</f>
        <v>E0011520370146994124</v>
      </c>
      <c r="X170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69942509</v>
      </c>
      <c r="Y170" s="3" t="str">
        <f>IFERROR(VLOOKUP(Banco_Nacion[[#This Row],[serie]]&amp;Banco_Nacion[[#This Row],[numero]]&amp;Banco_Nacion[[#This Row],[responsable]],[2]!Provision_CXC[[ID CXP]:[DETRACCION]],47,0),"")</f>
        <v/>
      </c>
      <c r="Z170" s="3"/>
      <c r="AA170" s="24" t="str">
        <f>IF(Banco_Nacion[[#This Row],[fecha]]&gt;0,TEXT(Banco_Nacion[[#This Row],[fecha]],"mmmm"),0)</f>
        <v>Marzo</v>
      </c>
    </row>
    <row r="171" spans="1:27" x14ac:dyDescent="0.3">
      <c r="A171" s="2">
        <f>IF(Banco_Nacion[[#This Row],[tipo_registro]]="R",COUNTIFS($C$1:$C170,"R")+1,"")</f>
        <v>170</v>
      </c>
      <c r="B171" s="19" t="str">
        <f t="shared" si="10"/>
        <v>B-Banco de la Nacion</v>
      </c>
      <c r="C171" s="3" t="s">
        <v>1330</v>
      </c>
      <c r="D171" s="14">
        <v>45730</v>
      </c>
      <c r="E171" s="5">
        <v>20133208292</v>
      </c>
      <c r="F171" s="5" t="s">
        <v>1303</v>
      </c>
      <c r="G171" s="6" t="s">
        <v>425</v>
      </c>
      <c r="H171" s="6" t="s">
        <v>68</v>
      </c>
      <c r="I171" s="6" t="s">
        <v>1343</v>
      </c>
      <c r="J171" s="6">
        <v>554</v>
      </c>
      <c r="K171" s="7" t="s">
        <v>5232</v>
      </c>
      <c r="L171" s="8">
        <v>69977993</v>
      </c>
      <c r="M171" s="8" t="str">
        <f t="shared" si="11"/>
        <v>PEN</v>
      </c>
      <c r="N171" s="13"/>
      <c r="O171" s="13">
        <v>1172</v>
      </c>
      <c r="P171" s="3">
        <f t="shared" si="12"/>
        <v>1172</v>
      </c>
      <c r="Q171" s="3">
        <f t="shared" si="13"/>
        <v>0</v>
      </c>
      <c r="R171" s="3">
        <f t="shared" si="14"/>
        <v>25259.010000000009</v>
      </c>
      <c r="S171" s="24"/>
      <c r="T171" s="24" t="s">
        <v>1334</v>
      </c>
      <c r="U171" s="3"/>
      <c r="V171" s="19" t="str">
        <f>IFERROR(VLOOKUP(Banco_Nacion[[#This Row],[responsable]],Clientes_Proveedores[[Ruc / Dni]:[Razon Social]],2,0),"")</f>
        <v>COMANDO SOCIEDAD ANONIMA CERRADA</v>
      </c>
      <c r="W171" s="19" t="str">
        <f>IF(Banco_Nacion[[#This Row],[tipo_mov]]="INGRESO",Banco_Nacion[[#This Row],[serie]]&amp;Banco_Nacion[[#This Row],[numero]]&amp;Banco_Nacion[[#This Row],[responsable]]&amp;Banco_Nacion[[#This Row],[monto]],"")</f>
        <v>FE01554201332082921172</v>
      </c>
      <c r="X171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69977993</v>
      </c>
      <c r="Y171" s="3" t="str">
        <f>IFERROR(VLOOKUP(Banco_Nacion[[#This Row],[serie]]&amp;Banco_Nacion[[#This Row],[numero]]&amp;Banco_Nacion[[#This Row],[responsable]],[2]!Provision_CXC[[ID CXP]:[DETRACCION]],47,0),"")</f>
        <v/>
      </c>
      <c r="Z171" s="3"/>
      <c r="AA171" s="24" t="str">
        <f>IF(Banco_Nacion[[#This Row],[fecha]]&gt;0,TEXT(Banco_Nacion[[#This Row],[fecha]],"mmmm"),0)</f>
        <v>Marzo</v>
      </c>
    </row>
    <row r="172" spans="1:27" x14ac:dyDescent="0.3">
      <c r="A172" s="2">
        <f>IF(Banco_Nacion[[#This Row],[tipo_registro]]="R",COUNTIFS($C$1:$C171,"R")+1,"")</f>
        <v>171</v>
      </c>
      <c r="B172" s="19" t="str">
        <f t="shared" si="10"/>
        <v>B-Banco de la Nacion</v>
      </c>
      <c r="C172" s="3" t="s">
        <v>1330</v>
      </c>
      <c r="D172" s="14">
        <v>45733</v>
      </c>
      <c r="E172" s="5">
        <v>20100211115</v>
      </c>
      <c r="F172" s="5" t="s">
        <v>1303</v>
      </c>
      <c r="G172" s="6" t="s">
        <v>425</v>
      </c>
      <c r="H172" s="6" t="s">
        <v>68</v>
      </c>
      <c r="I172" s="6" t="s">
        <v>1343</v>
      </c>
      <c r="J172" s="6">
        <v>588</v>
      </c>
      <c r="K172" s="7" t="s">
        <v>5232</v>
      </c>
      <c r="L172" s="8">
        <v>70026980</v>
      </c>
      <c r="M172" s="8" t="str">
        <f t="shared" si="11"/>
        <v>PEN</v>
      </c>
      <c r="N172" s="13"/>
      <c r="O172" s="13">
        <v>780</v>
      </c>
      <c r="P172" s="3">
        <f t="shared" si="12"/>
        <v>780</v>
      </c>
      <c r="Q172" s="3">
        <f t="shared" si="13"/>
        <v>0</v>
      </c>
      <c r="R172" s="3">
        <f t="shared" si="14"/>
        <v>26039.010000000009</v>
      </c>
      <c r="S172" s="24"/>
      <c r="T172" s="24" t="s">
        <v>1334</v>
      </c>
      <c r="U172" s="3"/>
      <c r="V172" s="19" t="str">
        <f>IFERROR(VLOOKUP(Banco_Nacion[[#This Row],[responsable]],Clientes_Proveedores[[Ruc / Dni]:[Razon Social]],2,0),"")</f>
        <v>FAB DE CHOCOLATES LA IBERICA S.A.</v>
      </c>
      <c r="W172" s="19" t="str">
        <f>IF(Banco_Nacion[[#This Row],[tipo_mov]]="INGRESO",Banco_Nacion[[#This Row],[serie]]&amp;Banco_Nacion[[#This Row],[numero]]&amp;Banco_Nacion[[#This Row],[responsable]]&amp;Banco_Nacion[[#This Row],[monto]],"")</f>
        <v>FE0158820100211115780</v>
      </c>
      <c r="X172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70026980</v>
      </c>
      <c r="Y172" s="3" t="str">
        <f>IFERROR(VLOOKUP(Banco_Nacion[[#This Row],[serie]]&amp;Banco_Nacion[[#This Row],[numero]]&amp;Banco_Nacion[[#This Row],[responsable]],[2]!Provision_CXC[[ID CXP]:[DETRACCION]],47,0),"")</f>
        <v/>
      </c>
      <c r="Z172" s="3"/>
      <c r="AA172" s="24" t="str">
        <f>IF(Banco_Nacion[[#This Row],[fecha]]&gt;0,TEXT(Banco_Nacion[[#This Row],[fecha]],"mmmm"),0)</f>
        <v>Marzo</v>
      </c>
    </row>
    <row r="173" spans="1:27" x14ac:dyDescent="0.3">
      <c r="A173" s="2">
        <f>IF(Banco_Nacion[[#This Row],[tipo_registro]]="R",COUNTIFS($C$1:$C172,"R")+1,"")</f>
        <v>172</v>
      </c>
      <c r="B173" s="19" t="str">
        <f t="shared" si="10"/>
        <v>B-Banco de la Nacion</v>
      </c>
      <c r="C173" s="3" t="s">
        <v>1330</v>
      </c>
      <c r="D173" s="14">
        <v>45733</v>
      </c>
      <c r="E173" s="5">
        <v>20100211115</v>
      </c>
      <c r="F173" s="5" t="s">
        <v>1303</v>
      </c>
      <c r="G173" s="6" t="s">
        <v>425</v>
      </c>
      <c r="H173" s="6" t="s">
        <v>68</v>
      </c>
      <c r="I173" s="6" t="s">
        <v>1343</v>
      </c>
      <c r="J173" s="6">
        <v>589</v>
      </c>
      <c r="K173" s="7" t="s">
        <v>5232</v>
      </c>
      <c r="L173" s="8">
        <v>70026979</v>
      </c>
      <c r="M173" s="8" t="str">
        <f t="shared" si="11"/>
        <v>PEN</v>
      </c>
      <c r="N173" s="13"/>
      <c r="O173" s="13">
        <v>188</v>
      </c>
      <c r="P173" s="3">
        <f t="shared" si="12"/>
        <v>188</v>
      </c>
      <c r="Q173" s="3">
        <f t="shared" si="13"/>
        <v>0</v>
      </c>
      <c r="R173" s="3">
        <f t="shared" si="14"/>
        <v>26227.010000000009</v>
      </c>
      <c r="S173" s="24"/>
      <c r="T173" s="24" t="s">
        <v>1334</v>
      </c>
      <c r="U173" s="3"/>
      <c r="V173" s="19" t="str">
        <f>IFERROR(VLOOKUP(Banco_Nacion[[#This Row],[responsable]],Clientes_Proveedores[[Ruc / Dni]:[Razon Social]],2,0),"")</f>
        <v>FAB DE CHOCOLATES LA IBERICA S.A.</v>
      </c>
      <c r="W173" s="19" t="str">
        <f>IF(Banco_Nacion[[#This Row],[tipo_mov]]="INGRESO",Banco_Nacion[[#This Row],[serie]]&amp;Banco_Nacion[[#This Row],[numero]]&amp;Banco_Nacion[[#This Row],[responsable]]&amp;Banco_Nacion[[#This Row],[monto]],"")</f>
        <v>FE0158920100211115188</v>
      </c>
      <c r="X173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70026979</v>
      </c>
      <c r="Y173" s="3" t="str">
        <f>IFERROR(VLOOKUP(Banco_Nacion[[#This Row],[serie]]&amp;Banco_Nacion[[#This Row],[numero]]&amp;Banco_Nacion[[#This Row],[responsable]],[2]!Provision_CXC[[ID CXP]:[DETRACCION]],47,0),"")</f>
        <v/>
      </c>
      <c r="Z173" s="3"/>
      <c r="AA173" s="24" t="str">
        <f>IF(Banco_Nacion[[#This Row],[fecha]]&gt;0,TEXT(Banco_Nacion[[#This Row],[fecha]],"mmmm"),0)</f>
        <v>Marzo</v>
      </c>
    </row>
    <row r="174" spans="1:27" x14ac:dyDescent="0.3">
      <c r="A174" s="2">
        <f>IF(Banco_Nacion[[#This Row],[tipo_registro]]="R",COUNTIFS($C$1:$C173,"R")+1,"")</f>
        <v>173</v>
      </c>
      <c r="B174" s="19" t="str">
        <f t="shared" si="10"/>
        <v>B-Banco de la Nacion</v>
      </c>
      <c r="C174" s="3" t="s">
        <v>1330</v>
      </c>
      <c r="D174" s="14">
        <v>45734</v>
      </c>
      <c r="E174" s="5">
        <v>20141637941</v>
      </c>
      <c r="F174" s="5" t="s">
        <v>1303</v>
      </c>
      <c r="G174" s="6" t="s">
        <v>425</v>
      </c>
      <c r="H174" s="6" t="s">
        <v>68</v>
      </c>
      <c r="I174" s="6" t="s">
        <v>1343</v>
      </c>
      <c r="J174" s="6">
        <v>557</v>
      </c>
      <c r="K174" s="7" t="s">
        <v>5232</v>
      </c>
      <c r="L174" s="8">
        <v>70101947</v>
      </c>
      <c r="M174" s="8" t="str">
        <f t="shared" si="11"/>
        <v>PEN</v>
      </c>
      <c r="N174" s="13"/>
      <c r="O174" s="13">
        <v>175</v>
      </c>
      <c r="P174" s="3">
        <f t="shared" si="12"/>
        <v>175</v>
      </c>
      <c r="Q174" s="3">
        <f t="shared" si="13"/>
        <v>0</v>
      </c>
      <c r="R174" s="3">
        <f t="shared" si="14"/>
        <v>26402.010000000009</v>
      </c>
      <c r="S174" s="24"/>
      <c r="T174" s="24" t="s">
        <v>1334</v>
      </c>
      <c r="U174" s="3"/>
      <c r="V174" s="19" t="str">
        <f>IFERROR(VLOOKUP(Banco_Nacion[[#This Row],[responsable]],Clientes_Proveedores[[Ruc / Dni]:[Razon Social]],2,0),"")</f>
        <v>UNIVERSIDAD CATOLICA DE SANTA MARIA</v>
      </c>
      <c r="W174" s="19" t="str">
        <f>IF(Banco_Nacion[[#This Row],[tipo_mov]]="INGRESO",Banco_Nacion[[#This Row],[serie]]&amp;Banco_Nacion[[#This Row],[numero]]&amp;Banco_Nacion[[#This Row],[responsable]]&amp;Banco_Nacion[[#This Row],[monto]],"")</f>
        <v>FE0155720141637941175</v>
      </c>
      <c r="X174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70101947</v>
      </c>
      <c r="Y174" s="3" t="str">
        <f>IFERROR(VLOOKUP(Banco_Nacion[[#This Row],[serie]]&amp;Banco_Nacion[[#This Row],[numero]]&amp;Banco_Nacion[[#This Row],[responsable]],[2]!Provision_CXC[[ID CXP]:[DETRACCION]],47,0),"")</f>
        <v/>
      </c>
      <c r="Z174" s="3"/>
      <c r="AA174" s="24" t="str">
        <f>IF(Banco_Nacion[[#This Row],[fecha]]&gt;0,TEXT(Banco_Nacion[[#This Row],[fecha]],"mmmm"),0)</f>
        <v>Marzo</v>
      </c>
    </row>
    <row r="175" spans="1:27" x14ac:dyDescent="0.3">
      <c r="A175" s="2">
        <f>IF(Banco_Nacion[[#This Row],[tipo_registro]]="R",COUNTIFS($C$1:$C174,"R")+1,"")</f>
        <v>174</v>
      </c>
      <c r="B175" s="19" t="str">
        <f t="shared" si="10"/>
        <v>B-Banco de la Nacion</v>
      </c>
      <c r="C175" s="3" t="s">
        <v>1330</v>
      </c>
      <c r="D175" s="14">
        <v>45734</v>
      </c>
      <c r="E175" s="5">
        <v>20498309713</v>
      </c>
      <c r="F175" s="5" t="s">
        <v>1303</v>
      </c>
      <c r="G175" s="6" t="s">
        <v>425</v>
      </c>
      <c r="H175" s="6" t="s">
        <v>68</v>
      </c>
      <c r="I175" s="6" t="s">
        <v>1353</v>
      </c>
      <c r="J175" s="6">
        <v>207</v>
      </c>
      <c r="K175" s="7" t="s">
        <v>5232</v>
      </c>
      <c r="L175" s="8">
        <v>70087956</v>
      </c>
      <c r="M175" s="8" t="str">
        <f t="shared" si="11"/>
        <v>PEN</v>
      </c>
      <c r="N175" s="13"/>
      <c r="O175" s="13">
        <v>118</v>
      </c>
      <c r="P175" s="3">
        <f t="shared" si="12"/>
        <v>118</v>
      </c>
      <c r="Q175" s="3">
        <f t="shared" si="13"/>
        <v>0</v>
      </c>
      <c r="R175" s="3">
        <f t="shared" si="14"/>
        <v>26520.010000000009</v>
      </c>
      <c r="S175" s="24"/>
      <c r="T175" s="24" t="s">
        <v>1334</v>
      </c>
      <c r="U175" s="3"/>
      <c r="V175" s="19" t="str">
        <f>IFERROR(VLOOKUP(Banco_Nacion[[#This Row],[responsable]],Clientes_Proveedores[[Ruc / Dni]:[Razon Social]],2,0),"")</f>
        <v>SCOMAR S.R.L</v>
      </c>
      <c r="W175" s="19" t="str">
        <f>IF(Banco_Nacion[[#This Row],[tipo_mov]]="INGRESO",Banco_Nacion[[#This Row],[serie]]&amp;Banco_Nacion[[#This Row],[numero]]&amp;Banco_Nacion[[#This Row],[responsable]]&amp;Banco_Nacion[[#This Row],[monto]],"")</f>
        <v>FE0220720498309713118</v>
      </c>
      <c r="X175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70087956</v>
      </c>
      <c r="Y175" s="3" t="str">
        <f>IFERROR(VLOOKUP(Banco_Nacion[[#This Row],[serie]]&amp;Banco_Nacion[[#This Row],[numero]]&amp;Banco_Nacion[[#This Row],[responsable]],[2]!Provision_CXC[[ID CXP]:[DETRACCION]],47,0),"")</f>
        <v/>
      </c>
      <c r="Z175" s="3"/>
      <c r="AA175" s="24" t="str">
        <f>IF(Banco_Nacion[[#This Row],[fecha]]&gt;0,TEXT(Banco_Nacion[[#This Row],[fecha]],"mmmm"),0)</f>
        <v>Marzo</v>
      </c>
    </row>
    <row r="176" spans="1:27" x14ac:dyDescent="0.3">
      <c r="A176" s="2">
        <f>IF(Banco_Nacion[[#This Row],[tipo_registro]]="R",COUNTIFS($C$1:$C175,"R")+1,"")</f>
        <v>175</v>
      </c>
      <c r="B176" s="19" t="str">
        <f t="shared" si="10"/>
        <v>B-Banco de la Nacion</v>
      </c>
      <c r="C176" s="3" t="s">
        <v>1330</v>
      </c>
      <c r="D176" s="14">
        <v>45734</v>
      </c>
      <c r="E176" s="5">
        <v>20601119600</v>
      </c>
      <c r="F176" s="5" t="s">
        <v>1303</v>
      </c>
      <c r="G176" s="6" t="s">
        <v>425</v>
      </c>
      <c r="H176" s="6" t="s">
        <v>68</v>
      </c>
      <c r="I176" s="6" t="s">
        <v>1376</v>
      </c>
      <c r="J176" s="6">
        <v>23</v>
      </c>
      <c r="K176" s="7" t="s">
        <v>5232</v>
      </c>
      <c r="L176" s="8">
        <v>26246937</v>
      </c>
      <c r="M176" s="8" t="str">
        <f t="shared" si="11"/>
        <v>PEN</v>
      </c>
      <c r="N176" s="13"/>
      <c r="O176" s="13">
        <v>99</v>
      </c>
      <c r="P176" s="3">
        <f t="shared" si="12"/>
        <v>99</v>
      </c>
      <c r="Q176" s="3">
        <f t="shared" si="13"/>
        <v>0</v>
      </c>
      <c r="R176" s="3">
        <f t="shared" si="14"/>
        <v>26619.010000000009</v>
      </c>
      <c r="S176" s="24"/>
      <c r="T176" s="24" t="s">
        <v>1334</v>
      </c>
      <c r="U176" s="3"/>
      <c r="V176" s="19" t="str">
        <f>IFERROR(VLOOKUP(Banco_Nacion[[#This Row],[responsable]],Clientes_Proveedores[[Ruc / Dni]:[Razon Social]],2,0),"")</f>
        <v>INVERSIONES W.J.M. S.A.C.</v>
      </c>
      <c r="W176" s="19" t="str">
        <f>IF(Banco_Nacion[[#This Row],[tipo_mov]]="INGRESO",Banco_Nacion[[#This Row],[serie]]&amp;Banco_Nacion[[#This Row],[numero]]&amp;Banco_Nacion[[#This Row],[responsable]]&amp;Banco_Nacion[[#This Row],[monto]],"")</f>
        <v>E001232060111960099</v>
      </c>
      <c r="X176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26246937</v>
      </c>
      <c r="Y176" s="3" t="str">
        <f>IFERROR(VLOOKUP(Banco_Nacion[[#This Row],[serie]]&amp;Banco_Nacion[[#This Row],[numero]]&amp;Banco_Nacion[[#This Row],[responsable]],[2]!Provision_CXC[[ID CXP]:[DETRACCION]],47,0),"")</f>
        <v/>
      </c>
      <c r="Z176" s="3"/>
      <c r="AA176" s="24" t="str">
        <f>IF(Banco_Nacion[[#This Row],[fecha]]&gt;0,TEXT(Banco_Nacion[[#This Row],[fecha]],"mmmm"),0)</f>
        <v>Marzo</v>
      </c>
    </row>
    <row r="177" spans="1:27" x14ac:dyDescent="0.3">
      <c r="A177" s="2">
        <f>IF(Banco_Nacion[[#This Row],[tipo_registro]]="R",COUNTIFS($C$1:$C176,"R")+1,"")</f>
        <v>176</v>
      </c>
      <c r="B177" s="19" t="str">
        <f t="shared" si="10"/>
        <v>B-Banco de la Nacion</v>
      </c>
      <c r="C177" s="3" t="s">
        <v>1330</v>
      </c>
      <c r="D177" s="14">
        <v>45735</v>
      </c>
      <c r="E177" s="5">
        <v>20505675836</v>
      </c>
      <c r="F177" s="5" t="s">
        <v>1303</v>
      </c>
      <c r="G177" s="6" t="s">
        <v>425</v>
      </c>
      <c r="H177" s="6" t="s">
        <v>68</v>
      </c>
      <c r="I177" s="6" t="s">
        <v>1343</v>
      </c>
      <c r="J177" s="6">
        <v>576</v>
      </c>
      <c r="K177" s="7" t="s">
        <v>5232</v>
      </c>
      <c r="L177" s="8">
        <v>70164598</v>
      </c>
      <c r="M177" s="8" t="str">
        <f t="shared" si="11"/>
        <v>PEN</v>
      </c>
      <c r="N177" s="13"/>
      <c r="O177" s="13">
        <v>1554</v>
      </c>
      <c r="P177" s="3">
        <f t="shared" si="12"/>
        <v>1554</v>
      </c>
      <c r="Q177" s="3">
        <f t="shared" si="13"/>
        <v>0</v>
      </c>
      <c r="R177" s="3">
        <f t="shared" si="14"/>
        <v>28173.010000000009</v>
      </c>
      <c r="S177" s="24"/>
      <c r="T177" s="24" t="s">
        <v>1334</v>
      </c>
      <c r="U177" s="3"/>
      <c r="V177" s="19" t="str">
        <f>IFERROR(VLOOKUP(Banco_Nacion[[#This Row],[responsable]],Clientes_Proveedores[[Ruc / Dni]:[Razon Social]],2,0),"")</f>
        <v>FLSMIDTH S.A.C.</v>
      </c>
      <c r="W177" s="19" t="str">
        <f>IF(Banco_Nacion[[#This Row],[tipo_mov]]="INGRESO",Banco_Nacion[[#This Row],[serie]]&amp;Banco_Nacion[[#This Row],[numero]]&amp;Banco_Nacion[[#This Row],[responsable]]&amp;Banco_Nacion[[#This Row],[monto]],"")</f>
        <v>FE01576205056758361554</v>
      </c>
      <c r="X177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70164598</v>
      </c>
      <c r="Y177" s="3" t="str">
        <f>IFERROR(VLOOKUP(Banco_Nacion[[#This Row],[serie]]&amp;Banco_Nacion[[#This Row],[numero]]&amp;Banco_Nacion[[#This Row],[responsable]],[2]!Provision_CXC[[ID CXP]:[DETRACCION]],47,0),"")</f>
        <v/>
      </c>
      <c r="Z177" s="3"/>
      <c r="AA177" s="24" t="str">
        <f>IF(Banco_Nacion[[#This Row],[fecha]]&gt;0,TEXT(Banco_Nacion[[#This Row],[fecha]],"mmmm"),0)</f>
        <v>Marzo</v>
      </c>
    </row>
    <row r="178" spans="1:27" x14ac:dyDescent="0.3">
      <c r="A178" s="2">
        <f>IF(Banco_Nacion[[#This Row],[tipo_registro]]="R",COUNTIFS($C$1:$C177,"R")+1,"")</f>
        <v>177</v>
      </c>
      <c r="B178" s="19" t="str">
        <f t="shared" si="10"/>
        <v>B-Banco de la Nacion</v>
      </c>
      <c r="C178" s="3" t="s">
        <v>1330</v>
      </c>
      <c r="D178" s="14">
        <v>45735</v>
      </c>
      <c r="E178" s="5">
        <v>20505675836</v>
      </c>
      <c r="F178" s="5" t="s">
        <v>1303</v>
      </c>
      <c r="G178" s="6" t="s">
        <v>425</v>
      </c>
      <c r="H178" s="6" t="s">
        <v>68</v>
      </c>
      <c r="I178" s="6" t="s">
        <v>1343</v>
      </c>
      <c r="J178" s="6">
        <v>573</v>
      </c>
      <c r="K178" s="7" t="s">
        <v>5232</v>
      </c>
      <c r="L178" s="8">
        <v>70164597</v>
      </c>
      <c r="M178" s="8" t="str">
        <f t="shared" si="11"/>
        <v>PEN</v>
      </c>
      <c r="N178" s="13"/>
      <c r="O178" s="13">
        <v>24</v>
      </c>
      <c r="P178" s="3">
        <f t="shared" si="12"/>
        <v>24</v>
      </c>
      <c r="Q178" s="3">
        <f t="shared" si="13"/>
        <v>0</v>
      </c>
      <c r="R178" s="3">
        <f t="shared" si="14"/>
        <v>28197.010000000009</v>
      </c>
      <c r="S178" s="24"/>
      <c r="T178" s="24" t="s">
        <v>1334</v>
      </c>
      <c r="U178" s="3"/>
      <c r="V178" s="19" t="str">
        <f>IFERROR(VLOOKUP(Banco_Nacion[[#This Row],[responsable]],Clientes_Proveedores[[Ruc / Dni]:[Razon Social]],2,0),"")</f>
        <v>FLSMIDTH S.A.C.</v>
      </c>
      <c r="W178" s="19" t="str">
        <f>IF(Banco_Nacion[[#This Row],[tipo_mov]]="INGRESO",Banco_Nacion[[#This Row],[serie]]&amp;Banco_Nacion[[#This Row],[numero]]&amp;Banco_Nacion[[#This Row],[responsable]]&amp;Banco_Nacion[[#This Row],[monto]],"")</f>
        <v>FE015732050567583624</v>
      </c>
      <c r="X178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70164597</v>
      </c>
      <c r="Y178" s="3" t="str">
        <f>IFERROR(VLOOKUP(Banco_Nacion[[#This Row],[serie]]&amp;Banco_Nacion[[#This Row],[numero]]&amp;Banco_Nacion[[#This Row],[responsable]],[2]!Provision_CXC[[ID CXP]:[DETRACCION]],47,0),"")</f>
        <v/>
      </c>
      <c r="Z178" s="3"/>
      <c r="AA178" s="24" t="str">
        <f>IF(Banco_Nacion[[#This Row],[fecha]]&gt;0,TEXT(Banco_Nacion[[#This Row],[fecha]],"mmmm"),0)</f>
        <v>Marzo</v>
      </c>
    </row>
    <row r="179" spans="1:27" x14ac:dyDescent="0.3">
      <c r="A179" s="2">
        <f>IF(Banco_Nacion[[#This Row],[tipo_registro]]="R",COUNTIFS($C$1:$C178,"R")+1,"")</f>
        <v>178</v>
      </c>
      <c r="B179" s="19" t="str">
        <f t="shared" si="10"/>
        <v>B-Banco de la Nacion</v>
      </c>
      <c r="C179" s="3" t="s">
        <v>1330</v>
      </c>
      <c r="D179" s="14">
        <v>45735</v>
      </c>
      <c r="E179" s="5">
        <v>20505675836</v>
      </c>
      <c r="F179" s="5" t="s">
        <v>1303</v>
      </c>
      <c r="G179" s="6" t="s">
        <v>425</v>
      </c>
      <c r="H179" s="6" t="s">
        <v>68</v>
      </c>
      <c r="I179" s="6" t="s">
        <v>1343</v>
      </c>
      <c r="J179" s="6">
        <v>572</v>
      </c>
      <c r="K179" s="7" t="s">
        <v>5232</v>
      </c>
      <c r="L179" s="8">
        <v>70164596</v>
      </c>
      <c r="M179" s="8" t="str">
        <f t="shared" si="11"/>
        <v>PEN</v>
      </c>
      <c r="N179" s="13"/>
      <c r="O179" s="13">
        <v>970</v>
      </c>
      <c r="P179" s="3">
        <f t="shared" si="12"/>
        <v>970</v>
      </c>
      <c r="Q179" s="3">
        <f t="shared" si="13"/>
        <v>0</v>
      </c>
      <c r="R179" s="3">
        <f t="shared" si="14"/>
        <v>29167.010000000009</v>
      </c>
      <c r="S179" s="24"/>
      <c r="T179" s="24" t="s">
        <v>1334</v>
      </c>
      <c r="U179" s="3"/>
      <c r="V179" s="19" t="str">
        <f>IFERROR(VLOOKUP(Banco_Nacion[[#This Row],[responsable]],Clientes_Proveedores[[Ruc / Dni]:[Razon Social]],2,0),"")</f>
        <v>FLSMIDTH S.A.C.</v>
      </c>
      <c r="W179" s="19" t="str">
        <f>IF(Banco_Nacion[[#This Row],[tipo_mov]]="INGRESO",Banco_Nacion[[#This Row],[serie]]&amp;Banco_Nacion[[#This Row],[numero]]&amp;Banco_Nacion[[#This Row],[responsable]]&amp;Banco_Nacion[[#This Row],[monto]],"")</f>
        <v>FE0157220505675836970</v>
      </c>
      <c r="X179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70164596</v>
      </c>
      <c r="Y179" s="3" t="str">
        <f>IFERROR(VLOOKUP(Banco_Nacion[[#This Row],[serie]]&amp;Banco_Nacion[[#This Row],[numero]]&amp;Banco_Nacion[[#This Row],[responsable]],[2]!Provision_CXC[[ID CXP]:[DETRACCION]],47,0),"")</f>
        <v/>
      </c>
      <c r="Z179" s="3"/>
      <c r="AA179" s="24" t="str">
        <f>IF(Banco_Nacion[[#This Row],[fecha]]&gt;0,TEXT(Banco_Nacion[[#This Row],[fecha]],"mmmm"),0)</f>
        <v>Marzo</v>
      </c>
    </row>
    <row r="180" spans="1:27" x14ac:dyDescent="0.3">
      <c r="A180" s="2">
        <f>IF(Banco_Nacion[[#This Row],[tipo_registro]]="R",COUNTIFS($C$1:$C179,"R")+1,"")</f>
        <v>179</v>
      </c>
      <c r="B180" s="19" t="str">
        <f t="shared" si="10"/>
        <v>B-Banco de la Nacion</v>
      </c>
      <c r="C180" s="3" t="s">
        <v>1330</v>
      </c>
      <c r="D180" s="14">
        <v>45735</v>
      </c>
      <c r="E180" s="5">
        <v>20505675836</v>
      </c>
      <c r="F180" s="5" t="s">
        <v>1303</v>
      </c>
      <c r="G180" s="6" t="s">
        <v>425</v>
      </c>
      <c r="H180" s="6" t="s">
        <v>68</v>
      </c>
      <c r="I180" s="6" t="s">
        <v>1343</v>
      </c>
      <c r="J180" s="6">
        <v>571</v>
      </c>
      <c r="K180" s="7" t="s">
        <v>5232</v>
      </c>
      <c r="L180" s="8">
        <v>70164595</v>
      </c>
      <c r="M180" s="8" t="str">
        <f t="shared" si="11"/>
        <v>PEN</v>
      </c>
      <c r="N180" s="13"/>
      <c r="O180" s="13">
        <v>3879</v>
      </c>
      <c r="P180" s="3">
        <f t="shared" si="12"/>
        <v>3879</v>
      </c>
      <c r="Q180" s="3">
        <f t="shared" si="13"/>
        <v>0</v>
      </c>
      <c r="R180" s="3">
        <f t="shared" si="14"/>
        <v>33046.010000000009</v>
      </c>
      <c r="S180" s="24"/>
      <c r="T180" s="24" t="s">
        <v>1334</v>
      </c>
      <c r="U180" s="3"/>
      <c r="V180" s="19" t="str">
        <f>IFERROR(VLOOKUP(Banco_Nacion[[#This Row],[responsable]],Clientes_Proveedores[[Ruc / Dni]:[Razon Social]],2,0),"")</f>
        <v>FLSMIDTH S.A.C.</v>
      </c>
      <c r="W180" s="19" t="str">
        <f>IF(Banco_Nacion[[#This Row],[tipo_mov]]="INGRESO",Banco_Nacion[[#This Row],[serie]]&amp;Banco_Nacion[[#This Row],[numero]]&amp;Banco_Nacion[[#This Row],[responsable]]&amp;Banco_Nacion[[#This Row],[monto]],"")</f>
        <v>FE01571205056758363879</v>
      </c>
      <c r="X180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70164595</v>
      </c>
      <c r="Y180" s="3" t="str">
        <f>IFERROR(VLOOKUP(Banco_Nacion[[#This Row],[serie]]&amp;Banco_Nacion[[#This Row],[numero]]&amp;Banco_Nacion[[#This Row],[responsable]],[2]!Provision_CXC[[ID CXP]:[DETRACCION]],47,0),"")</f>
        <v/>
      </c>
      <c r="Z180" s="3"/>
      <c r="AA180" s="24" t="str">
        <f>IF(Banco_Nacion[[#This Row],[fecha]]&gt;0,TEXT(Banco_Nacion[[#This Row],[fecha]],"mmmm"),0)</f>
        <v>Marzo</v>
      </c>
    </row>
    <row r="181" spans="1:27" x14ac:dyDescent="0.3">
      <c r="A181" s="2">
        <f>IF(Banco_Nacion[[#This Row],[tipo_registro]]="R",COUNTIFS($C$1:$C180,"R")+1,"")</f>
        <v>180</v>
      </c>
      <c r="B181" s="19" t="str">
        <f t="shared" si="10"/>
        <v>B-Banco de la Nacion</v>
      </c>
      <c r="C181" s="3" t="s">
        <v>1330</v>
      </c>
      <c r="D181" s="14">
        <v>45737</v>
      </c>
      <c r="E181" s="5">
        <v>20601119600</v>
      </c>
      <c r="F181" s="5" t="s">
        <v>1303</v>
      </c>
      <c r="G181" s="6" t="s">
        <v>425</v>
      </c>
      <c r="H181" s="6" t="s">
        <v>68</v>
      </c>
      <c r="I181" s="6" t="s">
        <v>1376</v>
      </c>
      <c r="J181" s="6">
        <v>30</v>
      </c>
      <c r="K181" s="7" t="s">
        <v>5232</v>
      </c>
      <c r="L181" s="8">
        <v>26261191</v>
      </c>
      <c r="M181" s="8" t="str">
        <f t="shared" si="11"/>
        <v>PEN</v>
      </c>
      <c r="N181" s="13"/>
      <c r="O181" s="13">
        <v>303</v>
      </c>
      <c r="P181" s="3">
        <f t="shared" si="12"/>
        <v>303</v>
      </c>
      <c r="Q181" s="3">
        <f t="shared" si="13"/>
        <v>0</v>
      </c>
      <c r="R181" s="3">
        <f t="shared" si="14"/>
        <v>33349.010000000009</v>
      </c>
      <c r="S181" s="24"/>
      <c r="T181" s="24" t="s">
        <v>1334</v>
      </c>
      <c r="U181" s="3"/>
      <c r="V181" s="19" t="str">
        <f>IFERROR(VLOOKUP(Banco_Nacion[[#This Row],[responsable]],Clientes_Proveedores[[Ruc / Dni]:[Razon Social]],2,0),"")</f>
        <v>INVERSIONES W.J.M. S.A.C.</v>
      </c>
      <c r="W181" s="19" t="str">
        <f>IF(Banco_Nacion[[#This Row],[tipo_mov]]="INGRESO",Banco_Nacion[[#This Row],[serie]]&amp;Banco_Nacion[[#This Row],[numero]]&amp;Banco_Nacion[[#This Row],[responsable]]&amp;Banco_Nacion[[#This Row],[monto]],"")</f>
        <v>E0013020601119600303</v>
      </c>
      <c r="X181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26261191</v>
      </c>
      <c r="Y181" s="3" t="str">
        <f>IFERROR(VLOOKUP(Banco_Nacion[[#This Row],[serie]]&amp;Banco_Nacion[[#This Row],[numero]]&amp;Banco_Nacion[[#This Row],[responsable]],[2]!Provision_CXC[[ID CXP]:[DETRACCION]],47,0),"")</f>
        <v/>
      </c>
      <c r="Z181" s="3"/>
      <c r="AA181" s="24" t="str">
        <f>IF(Banco_Nacion[[#This Row],[fecha]]&gt;0,TEXT(Banco_Nacion[[#This Row],[fecha]],"mmmm"),0)</f>
        <v>Marzo</v>
      </c>
    </row>
    <row r="182" spans="1:27" x14ac:dyDescent="0.3">
      <c r="A182" s="2">
        <f>IF(Banco_Nacion[[#This Row],[tipo_registro]]="R",COUNTIFS($C$1:$C181,"R")+1,"")</f>
        <v>181</v>
      </c>
      <c r="B182" s="19" t="str">
        <f t="shared" si="10"/>
        <v>B-Banco de la Nacion</v>
      </c>
      <c r="C182" s="3" t="s">
        <v>1330</v>
      </c>
      <c r="D182" s="14">
        <v>45737</v>
      </c>
      <c r="E182" s="5">
        <v>20601119600</v>
      </c>
      <c r="F182" s="5" t="s">
        <v>1303</v>
      </c>
      <c r="G182" s="6" t="s">
        <v>425</v>
      </c>
      <c r="H182" s="6" t="s">
        <v>68</v>
      </c>
      <c r="I182" s="6" t="s">
        <v>1376</v>
      </c>
      <c r="J182" s="6">
        <v>29</v>
      </c>
      <c r="K182" s="7" t="s">
        <v>5232</v>
      </c>
      <c r="L182" s="8">
        <v>26261148</v>
      </c>
      <c r="M182" s="8" t="str">
        <f t="shared" si="11"/>
        <v>PEN</v>
      </c>
      <c r="N182" s="13"/>
      <c r="O182" s="13">
        <v>274</v>
      </c>
      <c r="P182" s="3">
        <f t="shared" si="12"/>
        <v>274</v>
      </c>
      <c r="Q182" s="3">
        <f t="shared" si="13"/>
        <v>0</v>
      </c>
      <c r="R182" s="3">
        <f t="shared" si="14"/>
        <v>33623.010000000009</v>
      </c>
      <c r="S182" s="24"/>
      <c r="T182" s="24" t="s">
        <v>1334</v>
      </c>
      <c r="U182" s="3"/>
      <c r="V182" s="19" t="str">
        <f>IFERROR(VLOOKUP(Banco_Nacion[[#This Row],[responsable]],Clientes_Proveedores[[Ruc / Dni]:[Razon Social]],2,0),"")</f>
        <v>INVERSIONES W.J.M. S.A.C.</v>
      </c>
      <c r="W182" s="19" t="str">
        <f>IF(Banco_Nacion[[#This Row],[tipo_mov]]="INGRESO",Banco_Nacion[[#This Row],[serie]]&amp;Banco_Nacion[[#This Row],[numero]]&amp;Banco_Nacion[[#This Row],[responsable]]&amp;Banco_Nacion[[#This Row],[monto]],"")</f>
        <v>E0012920601119600274</v>
      </c>
      <c r="X182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26261148</v>
      </c>
      <c r="Y182" s="3" t="str">
        <f>IFERROR(VLOOKUP(Banco_Nacion[[#This Row],[serie]]&amp;Banco_Nacion[[#This Row],[numero]]&amp;Banco_Nacion[[#This Row],[responsable]],[2]!Provision_CXC[[ID CXP]:[DETRACCION]],47,0),"")</f>
        <v/>
      </c>
      <c r="Z182" s="3"/>
      <c r="AA182" s="24" t="str">
        <f>IF(Banco_Nacion[[#This Row],[fecha]]&gt;0,TEXT(Banco_Nacion[[#This Row],[fecha]],"mmmm"),0)</f>
        <v>Marzo</v>
      </c>
    </row>
    <row r="183" spans="1:27" x14ac:dyDescent="0.3">
      <c r="A183" s="2">
        <f>IF(Banco_Nacion[[#This Row],[tipo_registro]]="R",COUNTIFS($C$1:$C182,"R")+1,"")</f>
        <v>182</v>
      </c>
      <c r="B183" s="19" t="str">
        <f t="shared" si="10"/>
        <v>B-Banco de la Nacion</v>
      </c>
      <c r="C183" s="3" t="s">
        <v>1330</v>
      </c>
      <c r="D183" s="14">
        <v>45740</v>
      </c>
      <c r="E183" s="5">
        <v>20454186002</v>
      </c>
      <c r="F183" s="5" t="s">
        <v>1303</v>
      </c>
      <c r="G183" s="6" t="s">
        <v>425</v>
      </c>
      <c r="H183" s="6" t="s">
        <v>68</v>
      </c>
      <c r="I183" s="6" t="s">
        <v>1376</v>
      </c>
      <c r="J183" s="6">
        <v>18</v>
      </c>
      <c r="K183" s="7" t="s">
        <v>5232</v>
      </c>
      <c r="L183" s="8">
        <v>70451882</v>
      </c>
      <c r="M183" s="8" t="str">
        <f t="shared" si="11"/>
        <v>PEN</v>
      </c>
      <c r="N183" s="13"/>
      <c r="O183" s="13">
        <v>608</v>
      </c>
      <c r="P183" s="3">
        <f t="shared" si="12"/>
        <v>608</v>
      </c>
      <c r="Q183" s="3">
        <f t="shared" si="13"/>
        <v>0</v>
      </c>
      <c r="R183" s="3">
        <f t="shared" si="14"/>
        <v>34231.010000000009</v>
      </c>
      <c r="S183" s="24" t="s">
        <v>1334</v>
      </c>
      <c r="T183" s="24" t="s">
        <v>1334</v>
      </c>
      <c r="U183" s="3"/>
      <c r="V183" s="19" t="str">
        <f>IFERROR(VLOOKUP(Banco_Nacion[[#This Row],[responsable]],Clientes_Proveedores[[Ruc / Dni]:[Razon Social]],2,0),"")</f>
        <v>ALSUR PERU S.A.C.</v>
      </c>
      <c r="W183" s="19" t="str">
        <f>IF(Banco_Nacion[[#This Row],[tipo_mov]]="INGRESO",Banco_Nacion[[#This Row],[serie]]&amp;Banco_Nacion[[#This Row],[numero]]&amp;Banco_Nacion[[#This Row],[responsable]]&amp;Banco_Nacion[[#This Row],[monto]],"")</f>
        <v>E0011820454186002608</v>
      </c>
      <c r="X183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70451882</v>
      </c>
      <c r="Y183" s="3" t="str">
        <f>IFERROR(VLOOKUP(Banco_Nacion[[#This Row],[serie]]&amp;Banco_Nacion[[#This Row],[numero]]&amp;Banco_Nacion[[#This Row],[responsable]],[2]!Provision_CXC[[ID CXP]:[DETRACCION]],47,0),"")</f>
        <v/>
      </c>
      <c r="Z183" s="3"/>
      <c r="AA183" s="24" t="str">
        <f>IF(Banco_Nacion[[#This Row],[fecha]]&gt;0,TEXT(Banco_Nacion[[#This Row],[fecha]],"mmmm"),0)</f>
        <v>Marzo</v>
      </c>
    </row>
    <row r="184" spans="1:27" x14ac:dyDescent="0.3">
      <c r="A184" s="2">
        <f>IF(Banco_Nacion[[#This Row],[tipo_registro]]="R",COUNTIFS($C$1:$C183,"R")+1,"")</f>
        <v>183</v>
      </c>
      <c r="B184" s="19" t="str">
        <f t="shared" si="10"/>
        <v>B-Banco de la Nacion</v>
      </c>
      <c r="C184" s="3" t="s">
        <v>1330</v>
      </c>
      <c r="D184" s="14">
        <v>45740</v>
      </c>
      <c r="E184" s="5">
        <v>20454186002</v>
      </c>
      <c r="F184" s="5" t="s">
        <v>1303</v>
      </c>
      <c r="G184" s="6" t="s">
        <v>425</v>
      </c>
      <c r="H184" s="6" t="s">
        <v>68</v>
      </c>
      <c r="I184" s="6" t="s">
        <v>1376</v>
      </c>
      <c r="J184" s="6">
        <v>35</v>
      </c>
      <c r="K184" s="7" t="s">
        <v>5232</v>
      </c>
      <c r="L184" s="8">
        <v>70451881</v>
      </c>
      <c r="M184" s="8" t="str">
        <f t="shared" si="11"/>
        <v>PEN</v>
      </c>
      <c r="N184" s="13"/>
      <c r="O184" s="13">
        <v>288</v>
      </c>
      <c r="P184" s="3">
        <f t="shared" si="12"/>
        <v>288</v>
      </c>
      <c r="Q184" s="3">
        <f t="shared" si="13"/>
        <v>0</v>
      </c>
      <c r="R184" s="3">
        <f t="shared" si="14"/>
        <v>34519.010000000009</v>
      </c>
      <c r="S184" s="24"/>
      <c r="T184" s="24" t="s">
        <v>1334</v>
      </c>
      <c r="U184" s="3"/>
      <c r="V184" s="19" t="str">
        <f>IFERROR(VLOOKUP(Banco_Nacion[[#This Row],[responsable]],Clientes_Proveedores[[Ruc / Dni]:[Razon Social]],2,0),"")</f>
        <v>ALSUR PERU S.A.C.</v>
      </c>
      <c r="W184" s="19" t="str">
        <f>IF(Banco_Nacion[[#This Row],[tipo_mov]]="INGRESO",Banco_Nacion[[#This Row],[serie]]&amp;Banco_Nacion[[#This Row],[numero]]&amp;Banco_Nacion[[#This Row],[responsable]]&amp;Banco_Nacion[[#This Row],[monto]],"")</f>
        <v>E0013520454186002288</v>
      </c>
      <c r="X184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70451881</v>
      </c>
      <c r="Y184" s="3" t="str">
        <f>IFERROR(VLOOKUP(Banco_Nacion[[#This Row],[serie]]&amp;Banco_Nacion[[#This Row],[numero]]&amp;Banco_Nacion[[#This Row],[responsable]],[2]!Provision_CXC[[ID CXP]:[DETRACCION]],47,0),"")</f>
        <v/>
      </c>
      <c r="Z184" s="3"/>
      <c r="AA184" s="24" t="str">
        <f>IF(Banco_Nacion[[#This Row],[fecha]]&gt;0,TEXT(Banco_Nacion[[#This Row],[fecha]],"mmmm"),0)</f>
        <v>Marzo</v>
      </c>
    </row>
    <row r="185" spans="1:27" x14ac:dyDescent="0.3">
      <c r="A185" s="2">
        <f>IF(Banco_Nacion[[#This Row],[tipo_registro]]="R",COUNTIFS($C$1:$C184,"R")+1,"")</f>
        <v>184</v>
      </c>
      <c r="B185" s="19" t="str">
        <f t="shared" si="10"/>
        <v>B-Banco de la Nacion</v>
      </c>
      <c r="C185" s="3" t="s">
        <v>1330</v>
      </c>
      <c r="D185" s="14">
        <v>45740</v>
      </c>
      <c r="E185" s="5">
        <v>20603577079</v>
      </c>
      <c r="F185" s="5" t="s">
        <v>1303</v>
      </c>
      <c r="G185" s="6" t="s">
        <v>425</v>
      </c>
      <c r="H185" s="6" t="s">
        <v>68</v>
      </c>
      <c r="I185" s="6" t="s">
        <v>1376</v>
      </c>
      <c r="J185" s="6">
        <v>12</v>
      </c>
      <c r="K185" s="7" t="s">
        <v>5232</v>
      </c>
      <c r="L185" s="8">
        <v>70421298</v>
      </c>
      <c r="M185" s="8" t="str">
        <f t="shared" si="11"/>
        <v>PEN</v>
      </c>
      <c r="N185" s="13"/>
      <c r="O185" s="13">
        <v>2220</v>
      </c>
      <c r="P185" s="3">
        <f t="shared" si="12"/>
        <v>2220</v>
      </c>
      <c r="Q185" s="3">
        <f t="shared" si="13"/>
        <v>0</v>
      </c>
      <c r="R185" s="3">
        <f t="shared" si="14"/>
        <v>36739.010000000009</v>
      </c>
      <c r="S185" s="24" t="s">
        <v>1334</v>
      </c>
      <c r="T185" s="24" t="s">
        <v>1334</v>
      </c>
      <c r="U185" s="3"/>
      <c r="V185" s="19" t="str">
        <f>IFERROR(VLOOKUP(Banco_Nacion[[#This Row],[responsable]],Clientes_Proveedores[[Ruc / Dni]:[Razon Social]],2,0),"")</f>
        <v>ENVASES CAROLINA S.A.C.</v>
      </c>
      <c r="W185" s="19" t="str">
        <f>IF(Banco_Nacion[[#This Row],[tipo_mov]]="INGRESO",Banco_Nacion[[#This Row],[serie]]&amp;Banco_Nacion[[#This Row],[numero]]&amp;Banco_Nacion[[#This Row],[responsable]]&amp;Banco_Nacion[[#This Row],[monto]],"")</f>
        <v>E00112206035770792220</v>
      </c>
      <c r="X185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70421298</v>
      </c>
      <c r="Y185" s="3" t="str">
        <f>IFERROR(VLOOKUP(Banco_Nacion[[#This Row],[serie]]&amp;Banco_Nacion[[#This Row],[numero]]&amp;Banco_Nacion[[#This Row],[responsable]],[2]!Provision_CXC[[ID CXP]:[DETRACCION]],47,0),"")</f>
        <v/>
      </c>
      <c r="Z185" s="3"/>
      <c r="AA185" s="24" t="str">
        <f>IF(Banco_Nacion[[#This Row],[fecha]]&gt;0,TEXT(Banco_Nacion[[#This Row],[fecha]],"mmmm"),0)</f>
        <v>Marzo</v>
      </c>
    </row>
    <row r="186" spans="1:27" x14ac:dyDescent="0.3">
      <c r="A186" s="2">
        <f>IF(Banco_Nacion[[#This Row],[tipo_registro]]="R",COUNTIFS($C$1:$C185,"R")+1,"")</f>
        <v>185</v>
      </c>
      <c r="B186" s="19" t="str">
        <f t="shared" si="10"/>
        <v>B-Banco de la Nacion</v>
      </c>
      <c r="C186" s="3" t="s">
        <v>1330</v>
      </c>
      <c r="D186" s="14">
        <v>45740</v>
      </c>
      <c r="E186" s="5">
        <v>20603577079</v>
      </c>
      <c r="F186" s="5" t="s">
        <v>1303</v>
      </c>
      <c r="G186" s="6" t="s">
        <v>425</v>
      </c>
      <c r="H186" s="6" t="s">
        <v>68</v>
      </c>
      <c r="I186" s="6" t="s">
        <v>1353</v>
      </c>
      <c r="J186" s="6">
        <v>202</v>
      </c>
      <c r="K186" s="7" t="s">
        <v>5232</v>
      </c>
      <c r="L186" s="8">
        <v>70421297</v>
      </c>
      <c r="M186" s="8" t="str">
        <f t="shared" si="11"/>
        <v>PEN</v>
      </c>
      <c r="N186" s="13"/>
      <c r="O186" s="13">
        <v>759</v>
      </c>
      <c r="P186" s="3">
        <f t="shared" si="12"/>
        <v>759</v>
      </c>
      <c r="Q186" s="3">
        <f t="shared" si="13"/>
        <v>0</v>
      </c>
      <c r="R186" s="3">
        <f t="shared" si="14"/>
        <v>37498.010000000009</v>
      </c>
      <c r="S186" s="24" t="s">
        <v>1334</v>
      </c>
      <c r="T186" s="24" t="s">
        <v>1334</v>
      </c>
      <c r="U186" s="3"/>
      <c r="V186" s="19" t="str">
        <f>IFERROR(VLOOKUP(Banco_Nacion[[#This Row],[responsable]],Clientes_Proveedores[[Ruc / Dni]:[Razon Social]],2,0),"")</f>
        <v>ENVASES CAROLINA S.A.C.</v>
      </c>
      <c r="W186" s="19" t="str">
        <f>IF(Banco_Nacion[[#This Row],[tipo_mov]]="INGRESO",Banco_Nacion[[#This Row],[serie]]&amp;Banco_Nacion[[#This Row],[numero]]&amp;Banco_Nacion[[#This Row],[responsable]]&amp;Banco_Nacion[[#This Row],[monto]],"")</f>
        <v>FE0220220603577079759</v>
      </c>
      <c r="X186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70421297</v>
      </c>
      <c r="Y186" s="3" t="str">
        <f>IFERROR(VLOOKUP(Banco_Nacion[[#This Row],[serie]]&amp;Banco_Nacion[[#This Row],[numero]]&amp;Banco_Nacion[[#This Row],[responsable]],[2]!Provision_CXC[[ID CXP]:[DETRACCION]],47,0),"")</f>
        <v/>
      </c>
      <c r="Z186" s="3"/>
      <c r="AA186" s="24" t="str">
        <f>IF(Banco_Nacion[[#This Row],[fecha]]&gt;0,TEXT(Banco_Nacion[[#This Row],[fecha]],"mmmm"),0)</f>
        <v>Marzo</v>
      </c>
    </row>
    <row r="187" spans="1:27" x14ac:dyDescent="0.3">
      <c r="A187" s="2">
        <f>IF(Banco_Nacion[[#This Row],[tipo_registro]]="R",COUNTIFS($C$1:$C186,"R")+1,"")</f>
        <v>186</v>
      </c>
      <c r="B187" s="19" t="str">
        <f t="shared" si="10"/>
        <v>B-Banco de la Nacion</v>
      </c>
      <c r="C187" s="3" t="s">
        <v>1330</v>
      </c>
      <c r="D187" s="14">
        <v>45740</v>
      </c>
      <c r="E187" s="5">
        <v>20456012427</v>
      </c>
      <c r="F187" s="5" t="s">
        <v>1303</v>
      </c>
      <c r="G187" s="6" t="s">
        <v>425</v>
      </c>
      <c r="H187" s="6" t="s">
        <v>68</v>
      </c>
      <c r="I187" s="6" t="s">
        <v>1343</v>
      </c>
      <c r="J187" s="6">
        <v>582</v>
      </c>
      <c r="K187" s="7" t="s">
        <v>5232</v>
      </c>
      <c r="L187" s="8">
        <v>70421296</v>
      </c>
      <c r="M187" s="8" t="str">
        <f t="shared" si="11"/>
        <v>PEN</v>
      </c>
      <c r="N187" s="13"/>
      <c r="O187" s="13">
        <v>112</v>
      </c>
      <c r="P187" s="3">
        <f t="shared" si="12"/>
        <v>112</v>
      </c>
      <c r="Q187" s="3">
        <f t="shared" si="13"/>
        <v>0</v>
      </c>
      <c r="R187" s="3">
        <f t="shared" si="14"/>
        <v>37610.010000000009</v>
      </c>
      <c r="S187" s="24" t="s">
        <v>1334</v>
      </c>
      <c r="T187" s="24" t="s">
        <v>1334</v>
      </c>
      <c r="U187" s="3"/>
      <c r="V187" s="19" t="str">
        <f>IFERROR(VLOOKUP(Banco_Nacion[[#This Row],[responsable]],Clientes_Proveedores[[Ruc / Dni]:[Razon Social]],2,0),"")</f>
        <v>J. CH. COMERCIALIZADORA DE RESIDUOS SOLIDOS S.R.L.</v>
      </c>
      <c r="W187" s="19" t="str">
        <f>IF(Banco_Nacion[[#This Row],[tipo_mov]]="INGRESO",Banco_Nacion[[#This Row],[serie]]&amp;Banco_Nacion[[#This Row],[numero]]&amp;Banco_Nacion[[#This Row],[responsable]]&amp;Banco_Nacion[[#This Row],[monto]],"")</f>
        <v>FE0158220456012427112</v>
      </c>
      <c r="X187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70421296</v>
      </c>
      <c r="Y187" s="3" t="str">
        <f>IFERROR(VLOOKUP(Banco_Nacion[[#This Row],[serie]]&amp;Banco_Nacion[[#This Row],[numero]]&amp;Banco_Nacion[[#This Row],[responsable]],[2]!Provision_CXC[[ID CXP]:[DETRACCION]],47,0),"")</f>
        <v/>
      </c>
      <c r="Z187" s="3"/>
      <c r="AA187" s="24" t="str">
        <f>IF(Banco_Nacion[[#This Row],[fecha]]&gt;0,TEXT(Banco_Nacion[[#This Row],[fecha]],"mmmm"),0)</f>
        <v>Marzo</v>
      </c>
    </row>
    <row r="188" spans="1:27" x14ac:dyDescent="0.3">
      <c r="A188" s="2">
        <f>IF(Banco_Nacion[[#This Row],[tipo_registro]]="R",COUNTIFS($C$1:$C187,"R")+1,"")</f>
        <v>187</v>
      </c>
      <c r="B188" s="19" t="str">
        <f t="shared" si="10"/>
        <v>B-Banco de la Nacion</v>
      </c>
      <c r="C188" s="3" t="s">
        <v>1330</v>
      </c>
      <c r="D188" s="14">
        <v>45740</v>
      </c>
      <c r="E188" s="5">
        <v>20601045835</v>
      </c>
      <c r="F188" s="5" t="s">
        <v>1303</v>
      </c>
      <c r="G188" s="6" t="s">
        <v>425</v>
      </c>
      <c r="H188" s="6" t="s">
        <v>68</v>
      </c>
      <c r="I188" s="6" t="s">
        <v>1343</v>
      </c>
      <c r="J188" s="6">
        <v>575</v>
      </c>
      <c r="K188" s="7" t="s">
        <v>5232</v>
      </c>
      <c r="L188" s="8">
        <v>70421295</v>
      </c>
      <c r="M188" s="8" t="str">
        <f t="shared" si="11"/>
        <v>PEN</v>
      </c>
      <c r="N188" s="13"/>
      <c r="O188" s="13">
        <v>180</v>
      </c>
      <c r="P188" s="3">
        <f t="shared" si="12"/>
        <v>180</v>
      </c>
      <c r="Q188" s="3">
        <f t="shared" si="13"/>
        <v>0</v>
      </c>
      <c r="R188" s="3">
        <f t="shared" si="14"/>
        <v>37790.010000000009</v>
      </c>
      <c r="S188" s="24" t="s">
        <v>1334</v>
      </c>
      <c r="T188" s="24" t="s">
        <v>1334</v>
      </c>
      <c r="U188" s="3"/>
      <c r="V188" s="19" t="str">
        <f>IFERROR(VLOOKUP(Banco_Nacion[[#This Row],[responsable]],Clientes_Proveedores[[Ruc / Dni]:[Razon Social]],2,0),"")</f>
        <v>P &amp; P CONSULTORES Y EJECUTORES S.R.L.</v>
      </c>
      <c r="W188" s="19" t="str">
        <f>IF(Banco_Nacion[[#This Row],[tipo_mov]]="INGRESO",Banco_Nacion[[#This Row],[serie]]&amp;Banco_Nacion[[#This Row],[numero]]&amp;Banco_Nacion[[#This Row],[responsable]]&amp;Banco_Nacion[[#This Row],[monto]],"")</f>
        <v>FE0157520601045835180</v>
      </c>
      <c r="X188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70421295</v>
      </c>
      <c r="Y188" s="3" t="str">
        <f>IFERROR(VLOOKUP(Banco_Nacion[[#This Row],[serie]]&amp;Banco_Nacion[[#This Row],[numero]]&amp;Banco_Nacion[[#This Row],[responsable]],[2]!Provision_CXC[[ID CXP]:[DETRACCION]],47,0),"")</f>
        <v/>
      </c>
      <c r="Z188" s="3"/>
      <c r="AA188" s="24" t="str">
        <f>IF(Banco_Nacion[[#This Row],[fecha]]&gt;0,TEXT(Banco_Nacion[[#This Row],[fecha]],"mmmm"),0)</f>
        <v>Marzo</v>
      </c>
    </row>
    <row r="189" spans="1:27" x14ac:dyDescent="0.3">
      <c r="A189" s="2">
        <f>IF(Banco_Nacion[[#This Row],[tipo_registro]]="R",COUNTIFS($C$1:$C188,"R")+1,"")</f>
        <v>188</v>
      </c>
      <c r="B189" s="19" t="str">
        <f t="shared" si="10"/>
        <v>B-Banco de la Nacion</v>
      </c>
      <c r="C189" s="3" t="s">
        <v>1330</v>
      </c>
      <c r="D189" s="14">
        <v>45740</v>
      </c>
      <c r="E189" s="5">
        <v>20456012427</v>
      </c>
      <c r="F189" s="5" t="s">
        <v>1303</v>
      </c>
      <c r="G189" s="6" t="s">
        <v>425</v>
      </c>
      <c r="H189" s="6" t="s">
        <v>68</v>
      </c>
      <c r="I189" s="6" t="s">
        <v>1343</v>
      </c>
      <c r="J189" s="6">
        <v>491</v>
      </c>
      <c r="K189" s="7" t="s">
        <v>5232</v>
      </c>
      <c r="L189" s="8">
        <v>70421294</v>
      </c>
      <c r="M189" s="8" t="str">
        <f t="shared" si="11"/>
        <v>PEN</v>
      </c>
      <c r="N189" s="13"/>
      <c r="O189" s="13">
        <v>359</v>
      </c>
      <c r="P189" s="3">
        <f t="shared" si="12"/>
        <v>359</v>
      </c>
      <c r="Q189" s="3">
        <f t="shared" si="13"/>
        <v>0</v>
      </c>
      <c r="R189" s="3">
        <f t="shared" si="14"/>
        <v>38149.010000000009</v>
      </c>
      <c r="S189" s="24" t="s">
        <v>1334</v>
      </c>
      <c r="T189" s="24" t="s">
        <v>1334</v>
      </c>
      <c r="U189" s="3"/>
      <c r="V189" s="19" t="str">
        <f>IFERROR(VLOOKUP(Banco_Nacion[[#This Row],[responsable]],Clientes_Proveedores[[Ruc / Dni]:[Razon Social]],2,0),"")</f>
        <v>J. CH. COMERCIALIZADORA DE RESIDUOS SOLIDOS S.R.L.</v>
      </c>
      <c r="W189" s="19" t="str">
        <f>IF(Banco_Nacion[[#This Row],[tipo_mov]]="INGRESO",Banco_Nacion[[#This Row],[serie]]&amp;Banco_Nacion[[#This Row],[numero]]&amp;Banco_Nacion[[#This Row],[responsable]]&amp;Banco_Nacion[[#This Row],[monto]],"")</f>
        <v>FE0149120456012427359</v>
      </c>
      <c r="X189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70421294</v>
      </c>
      <c r="Y189" s="3" t="str">
        <f>IFERROR(VLOOKUP(Banco_Nacion[[#This Row],[serie]]&amp;Banco_Nacion[[#This Row],[numero]]&amp;Banco_Nacion[[#This Row],[responsable]],[2]!Provision_CXC[[ID CXP]:[DETRACCION]],47,0),"")</f>
        <v/>
      </c>
      <c r="Z189" s="3"/>
      <c r="AA189" s="24" t="str">
        <f>IF(Banco_Nacion[[#This Row],[fecha]]&gt;0,TEXT(Banco_Nacion[[#This Row],[fecha]],"mmmm"),0)</f>
        <v>Marzo</v>
      </c>
    </row>
    <row r="190" spans="1:27" x14ac:dyDescent="0.3">
      <c r="A190" s="2">
        <f>IF(Banco_Nacion[[#This Row],[tipo_registro]]="R",COUNTIFS($C$1:$C189,"R")+1,"")</f>
        <v>189</v>
      </c>
      <c r="B190" s="19" t="str">
        <f t="shared" si="10"/>
        <v>B-Banco de la Nacion</v>
      </c>
      <c r="C190" s="3" t="s">
        <v>1330</v>
      </c>
      <c r="D190" s="14">
        <v>45740</v>
      </c>
      <c r="E190" s="5">
        <v>20456012427</v>
      </c>
      <c r="F190" s="5" t="s">
        <v>1303</v>
      </c>
      <c r="G190" s="6" t="s">
        <v>425</v>
      </c>
      <c r="H190" s="6" t="s">
        <v>68</v>
      </c>
      <c r="I190" s="6" t="s">
        <v>1343</v>
      </c>
      <c r="J190" s="6">
        <v>373</v>
      </c>
      <c r="K190" s="7" t="s">
        <v>5232</v>
      </c>
      <c r="L190" s="8">
        <v>70421293</v>
      </c>
      <c r="M190" s="8" t="str">
        <f t="shared" si="11"/>
        <v>PEN</v>
      </c>
      <c r="N190" s="13"/>
      <c r="O190" s="13">
        <v>120</v>
      </c>
      <c r="P190" s="3">
        <f t="shared" si="12"/>
        <v>120</v>
      </c>
      <c r="Q190" s="3">
        <f t="shared" si="13"/>
        <v>0</v>
      </c>
      <c r="R190" s="3">
        <f t="shared" si="14"/>
        <v>38269.010000000009</v>
      </c>
      <c r="S190" s="24" t="s">
        <v>1334</v>
      </c>
      <c r="T190" s="24" t="s">
        <v>1334</v>
      </c>
      <c r="U190" s="3"/>
      <c r="V190" s="19" t="str">
        <f>IFERROR(VLOOKUP(Banco_Nacion[[#This Row],[responsable]],Clientes_Proveedores[[Ruc / Dni]:[Razon Social]],2,0),"")</f>
        <v>J. CH. COMERCIALIZADORA DE RESIDUOS SOLIDOS S.R.L.</v>
      </c>
      <c r="W190" s="19" t="str">
        <f>IF(Banco_Nacion[[#This Row],[tipo_mov]]="INGRESO",Banco_Nacion[[#This Row],[serie]]&amp;Banco_Nacion[[#This Row],[numero]]&amp;Banco_Nacion[[#This Row],[responsable]]&amp;Banco_Nacion[[#This Row],[monto]],"")</f>
        <v>FE0137320456012427120</v>
      </c>
      <c r="X190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70421293</v>
      </c>
      <c r="Y190" s="3" t="str">
        <f>IFERROR(VLOOKUP(Banco_Nacion[[#This Row],[serie]]&amp;Banco_Nacion[[#This Row],[numero]]&amp;Banco_Nacion[[#This Row],[responsable]],[2]!Provision_CXC[[ID CXP]:[DETRACCION]],47,0),"")</f>
        <v/>
      </c>
      <c r="Z190" s="3"/>
      <c r="AA190" s="24" t="str">
        <f>IF(Banco_Nacion[[#This Row],[fecha]]&gt;0,TEXT(Banco_Nacion[[#This Row],[fecha]],"mmmm"),0)</f>
        <v>Marzo</v>
      </c>
    </row>
    <row r="191" spans="1:27" x14ac:dyDescent="0.3">
      <c r="A191" s="2">
        <f>IF(Banco_Nacion[[#This Row],[tipo_registro]]="R",COUNTIFS($C$1:$C190,"R")+1,"")</f>
        <v>190</v>
      </c>
      <c r="B191" s="19" t="str">
        <f t="shared" si="10"/>
        <v>B-Banco de la Nacion</v>
      </c>
      <c r="C191" s="3" t="s">
        <v>1330</v>
      </c>
      <c r="D191" s="14">
        <v>45740</v>
      </c>
      <c r="E191" s="5"/>
      <c r="F191" s="5" t="s">
        <v>1336</v>
      </c>
      <c r="G191" s="6"/>
      <c r="H191" s="6"/>
      <c r="I191" s="6" t="s">
        <v>5231</v>
      </c>
      <c r="J191" s="6"/>
      <c r="K191" s="7" t="s">
        <v>5234</v>
      </c>
      <c r="L191" s="8">
        <v>78787878</v>
      </c>
      <c r="M191" s="8" t="str">
        <f t="shared" si="11"/>
        <v>PEN</v>
      </c>
      <c r="N191" s="13"/>
      <c r="O191" s="13">
        <v>2717</v>
      </c>
      <c r="P191" s="3">
        <f t="shared" si="12"/>
        <v>0</v>
      </c>
      <c r="Q191" s="3">
        <f t="shared" si="13"/>
        <v>2717</v>
      </c>
      <c r="R191" s="3">
        <f t="shared" si="14"/>
        <v>35552.010000000009</v>
      </c>
      <c r="S191" s="24"/>
      <c r="T191" s="24"/>
      <c r="U191" s="3"/>
      <c r="V191" s="19" t="str">
        <f>IFERROR(VLOOKUP(Banco_Nacion[[#This Row],[responsable]],Clientes_Proveedores[[Ruc / Dni]:[Razon Social]],2,0),"")</f>
        <v/>
      </c>
      <c r="W191" s="19" t="str">
        <f>IF(Banco_Nacion[[#This Row],[tipo_mov]]="INGRESO",Banco_Nacion[[#This Row],[serie]]&amp;Banco_Nacion[[#This Row],[numero]]&amp;Banco_Nacion[[#This Row],[responsable]]&amp;Banco_Nacion[[#This Row],[monto]],"")</f>
        <v/>
      </c>
      <c r="X191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/>
      </c>
      <c r="Y191" s="3" t="str">
        <f>IFERROR(VLOOKUP(Banco_Nacion[[#This Row],[serie]]&amp;Banco_Nacion[[#This Row],[numero]]&amp;Banco_Nacion[[#This Row],[responsable]],[2]!Provision_CXC[[ID CXP]:[DETRACCION]],47,0),"")</f>
        <v/>
      </c>
      <c r="Z191" s="3"/>
      <c r="AA191" s="24" t="str">
        <f>IF(Banco_Nacion[[#This Row],[fecha]]&gt;0,TEXT(Banco_Nacion[[#This Row],[fecha]],"mmmm"),0)</f>
        <v>Marzo</v>
      </c>
    </row>
    <row r="192" spans="1:27" x14ac:dyDescent="0.3">
      <c r="A192" s="2">
        <f>IF(Banco_Nacion[[#This Row],[tipo_registro]]="R",COUNTIFS($C$1:$C191,"R")+1,"")</f>
        <v>191</v>
      </c>
      <c r="B192" s="19" t="str">
        <f t="shared" si="10"/>
        <v>B-Banco de la Nacion</v>
      </c>
      <c r="C192" s="3" t="s">
        <v>1330</v>
      </c>
      <c r="D192" s="14">
        <v>45740</v>
      </c>
      <c r="E192" s="5" t="s">
        <v>5231</v>
      </c>
      <c r="F192" s="5" t="s">
        <v>1336</v>
      </c>
      <c r="G192" s="6"/>
      <c r="H192" s="6"/>
      <c r="I192" s="6" t="s">
        <v>5231</v>
      </c>
      <c r="J192" s="6"/>
      <c r="K192" s="7" t="s">
        <v>5234</v>
      </c>
      <c r="L192" s="8">
        <v>78787878</v>
      </c>
      <c r="M192" s="8" t="str">
        <f t="shared" si="11"/>
        <v>PEN</v>
      </c>
      <c r="N192" s="13"/>
      <c r="O192" s="13">
        <v>7363</v>
      </c>
      <c r="P192" s="3">
        <f t="shared" si="12"/>
        <v>0</v>
      </c>
      <c r="Q192" s="3">
        <f t="shared" si="13"/>
        <v>7363</v>
      </c>
      <c r="R192" s="3">
        <f t="shared" si="14"/>
        <v>28189.010000000009</v>
      </c>
      <c r="S192" s="24"/>
      <c r="T192" s="24"/>
      <c r="U192" s="3"/>
      <c r="V192" s="19" t="str">
        <f>IFERROR(VLOOKUP(Banco_Nacion[[#This Row],[responsable]],Clientes_Proveedores[[Ruc / Dni]:[Razon Social]],2,0),"")</f>
        <v/>
      </c>
      <c r="W192" s="19" t="str">
        <f>IF(Banco_Nacion[[#This Row],[tipo_mov]]="INGRESO",Banco_Nacion[[#This Row],[serie]]&amp;Banco_Nacion[[#This Row],[numero]]&amp;Banco_Nacion[[#This Row],[responsable]]&amp;Banco_Nacion[[#This Row],[monto]],"")</f>
        <v/>
      </c>
      <c r="X192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/>
      </c>
      <c r="Y192" s="3" t="str">
        <f>IFERROR(VLOOKUP(Banco_Nacion[[#This Row],[serie]]&amp;Banco_Nacion[[#This Row],[numero]]&amp;Banco_Nacion[[#This Row],[responsable]],[2]!Provision_CXC[[ID CXP]:[DETRACCION]],47,0),"")</f>
        <v/>
      </c>
      <c r="Z192" s="3"/>
      <c r="AA192" s="24" t="str">
        <f>IF(Banco_Nacion[[#This Row],[fecha]]&gt;0,TEXT(Banco_Nacion[[#This Row],[fecha]],"mmmm"),0)</f>
        <v>Marzo</v>
      </c>
    </row>
    <row r="193" spans="1:27" x14ac:dyDescent="0.3">
      <c r="A193" s="2">
        <f>IF(Banco_Nacion[[#This Row],[tipo_registro]]="R",COUNTIFS($C$1:$C192,"R")+1,"")</f>
        <v>192</v>
      </c>
      <c r="B193" s="19" t="str">
        <f t="shared" si="10"/>
        <v>B-Banco de la Nacion</v>
      </c>
      <c r="C193" s="3" t="s">
        <v>1330</v>
      </c>
      <c r="D193" s="14">
        <v>45740</v>
      </c>
      <c r="E193" s="5" t="s">
        <v>5231</v>
      </c>
      <c r="F193" s="5" t="s">
        <v>1336</v>
      </c>
      <c r="G193" s="6"/>
      <c r="H193" s="6"/>
      <c r="I193" s="6" t="s">
        <v>5231</v>
      </c>
      <c r="J193" s="6"/>
      <c r="K193" s="7" t="s">
        <v>5234</v>
      </c>
      <c r="L193" s="8">
        <v>78787878</v>
      </c>
      <c r="M193" s="8" t="str">
        <f t="shared" si="11"/>
        <v>PEN</v>
      </c>
      <c r="N193" s="13"/>
      <c r="O193" s="13">
        <v>93</v>
      </c>
      <c r="P193" s="3">
        <f t="shared" si="12"/>
        <v>0</v>
      </c>
      <c r="Q193" s="3">
        <f t="shared" si="13"/>
        <v>93</v>
      </c>
      <c r="R193" s="3">
        <f t="shared" si="14"/>
        <v>28096.010000000009</v>
      </c>
      <c r="S193" s="24"/>
      <c r="T193" s="24"/>
      <c r="U193" s="3"/>
      <c r="V193" s="19" t="str">
        <f>IFERROR(VLOOKUP(Banco_Nacion[[#This Row],[responsable]],Clientes_Proveedores[[Ruc / Dni]:[Razon Social]],2,0),"")</f>
        <v/>
      </c>
      <c r="W193" s="19" t="str">
        <f>IF(Banco_Nacion[[#This Row],[tipo_mov]]="INGRESO",Banco_Nacion[[#This Row],[serie]]&amp;Banco_Nacion[[#This Row],[numero]]&amp;Banco_Nacion[[#This Row],[responsable]]&amp;Banco_Nacion[[#This Row],[monto]],"")</f>
        <v/>
      </c>
      <c r="X193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/>
      </c>
      <c r="Y193" s="3" t="str">
        <f>IFERROR(VLOOKUP(Banco_Nacion[[#This Row],[serie]]&amp;Banco_Nacion[[#This Row],[numero]]&amp;Banco_Nacion[[#This Row],[responsable]],[2]!Provision_CXC[[ID CXP]:[DETRACCION]],47,0),"")</f>
        <v/>
      </c>
      <c r="Z193" s="3"/>
      <c r="AA193" s="24" t="str">
        <f>IF(Banco_Nacion[[#This Row],[fecha]]&gt;0,TEXT(Banco_Nacion[[#This Row],[fecha]],"mmmm"),0)</f>
        <v>Marzo</v>
      </c>
    </row>
    <row r="194" spans="1:27" x14ac:dyDescent="0.3">
      <c r="A194" s="2">
        <f>IF(Banco_Nacion[[#This Row],[tipo_registro]]="R",COUNTIFS($C$1:$C193,"R")+1,"")</f>
        <v>193</v>
      </c>
      <c r="B194" s="19" t="str">
        <f t="shared" ref="B194:B257" si="15">"B-Banco de la Nacion"</f>
        <v>B-Banco de la Nacion</v>
      </c>
      <c r="C194" s="3" t="s">
        <v>1330</v>
      </c>
      <c r="D194" s="14">
        <v>45740</v>
      </c>
      <c r="E194" s="5" t="s">
        <v>5231</v>
      </c>
      <c r="F194" s="5" t="s">
        <v>1336</v>
      </c>
      <c r="G194" s="6"/>
      <c r="H194" s="6"/>
      <c r="I194" s="6" t="s">
        <v>5231</v>
      </c>
      <c r="J194" s="6"/>
      <c r="K194" s="7" t="s">
        <v>5234</v>
      </c>
      <c r="L194" s="8">
        <v>78787878</v>
      </c>
      <c r="M194" s="8" t="str">
        <f t="shared" ref="M194:M257" si="16">"PEN"</f>
        <v>PEN</v>
      </c>
      <c r="N194" s="13"/>
      <c r="O194" s="13">
        <v>2284</v>
      </c>
      <c r="P194" s="3">
        <f t="shared" ref="P194:P257" si="17">+IF(OR($F194="SALDO",$F194="INGRESO"),$O194,0)</f>
        <v>0</v>
      </c>
      <c r="Q194" s="3">
        <f t="shared" ref="Q194:Q257" si="18">+IF($F194="EGRESO",$O194,0)</f>
        <v>2284</v>
      </c>
      <c r="R194" s="3">
        <f t="shared" ref="R194:R257" si="19">IFERROR(IF(F194="SALDO",P194,R193+P194-Q194),0)</f>
        <v>25812.010000000009</v>
      </c>
      <c r="S194" s="24"/>
      <c r="T194" s="24"/>
      <c r="U194" s="3"/>
      <c r="V194" s="19" t="str">
        <f>IFERROR(VLOOKUP(Banco_Nacion[[#This Row],[responsable]],Clientes_Proveedores[[Ruc / Dni]:[Razon Social]],2,0),"")</f>
        <v/>
      </c>
      <c r="W194" s="19" t="str">
        <f>IF(Banco_Nacion[[#This Row],[tipo_mov]]="INGRESO",Banco_Nacion[[#This Row],[serie]]&amp;Banco_Nacion[[#This Row],[numero]]&amp;Banco_Nacion[[#This Row],[responsable]]&amp;Banco_Nacion[[#This Row],[monto]],"")</f>
        <v/>
      </c>
      <c r="X194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/>
      </c>
      <c r="Y194" s="3" t="str">
        <f>IFERROR(VLOOKUP(Banco_Nacion[[#This Row],[serie]]&amp;Banco_Nacion[[#This Row],[numero]]&amp;Banco_Nacion[[#This Row],[responsable]],[2]!Provision_CXC[[ID CXP]:[DETRACCION]],47,0),"")</f>
        <v/>
      </c>
      <c r="Z194" s="3"/>
      <c r="AA194" s="24" t="str">
        <f>IF(Banco_Nacion[[#This Row],[fecha]]&gt;0,TEXT(Banco_Nacion[[#This Row],[fecha]],"mmmm"),0)</f>
        <v>Marzo</v>
      </c>
    </row>
    <row r="195" spans="1:27" x14ac:dyDescent="0.3">
      <c r="A195" s="2">
        <f>IF(Banco_Nacion[[#This Row],[tipo_registro]]="R",COUNTIFS($C$1:$C194,"R")+1,"")</f>
        <v>194</v>
      </c>
      <c r="B195" s="19" t="str">
        <f t="shared" si="15"/>
        <v>B-Banco de la Nacion</v>
      </c>
      <c r="C195" s="3" t="s">
        <v>1330</v>
      </c>
      <c r="D195" s="14">
        <v>45741</v>
      </c>
      <c r="E195" s="5">
        <v>20603536569</v>
      </c>
      <c r="F195" s="5" t="s">
        <v>1303</v>
      </c>
      <c r="G195" s="6" t="s">
        <v>425</v>
      </c>
      <c r="H195" s="6" t="s">
        <v>68</v>
      </c>
      <c r="I195" s="6" t="s">
        <v>1343</v>
      </c>
      <c r="J195" s="6">
        <v>585</v>
      </c>
      <c r="K195" s="7" t="s">
        <v>5232</v>
      </c>
      <c r="L195" s="8">
        <v>70466438</v>
      </c>
      <c r="M195" s="8" t="str">
        <f t="shared" si="16"/>
        <v>PEN</v>
      </c>
      <c r="N195" s="13"/>
      <c r="O195" s="13">
        <v>936</v>
      </c>
      <c r="P195" s="3">
        <f t="shared" si="17"/>
        <v>936</v>
      </c>
      <c r="Q195" s="3">
        <f t="shared" si="18"/>
        <v>0</v>
      </c>
      <c r="R195" s="3">
        <f t="shared" si="19"/>
        <v>26748.010000000009</v>
      </c>
      <c r="S195" s="24"/>
      <c r="T195" s="24" t="s">
        <v>1334</v>
      </c>
      <c r="U195" s="3"/>
      <c r="V195" s="19" t="str">
        <f>IFERROR(VLOOKUP(Banco_Nacion[[#This Row],[responsable]],Clientes_Proveedores[[Ruc / Dni]:[Razon Social]],2,0),"")</f>
        <v>ANTILLA COPPER SOCIEDAD ANONIMA</v>
      </c>
      <c r="W195" s="19" t="str">
        <f>IF(Banco_Nacion[[#This Row],[tipo_mov]]="INGRESO",Banco_Nacion[[#This Row],[serie]]&amp;Banco_Nacion[[#This Row],[numero]]&amp;Banco_Nacion[[#This Row],[responsable]]&amp;Banco_Nacion[[#This Row],[monto]],"")</f>
        <v>FE0158520603536569936</v>
      </c>
      <c r="X195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70466438</v>
      </c>
      <c r="Y195" s="3" t="str">
        <f>IFERROR(VLOOKUP(Banco_Nacion[[#This Row],[serie]]&amp;Banco_Nacion[[#This Row],[numero]]&amp;Banco_Nacion[[#This Row],[responsable]],[2]!Provision_CXC[[ID CXP]:[DETRACCION]],47,0),"")</f>
        <v/>
      </c>
      <c r="Z195" s="3"/>
      <c r="AA195" s="24" t="str">
        <f>IF(Banco_Nacion[[#This Row],[fecha]]&gt;0,TEXT(Banco_Nacion[[#This Row],[fecha]],"mmmm"),0)</f>
        <v>Marzo</v>
      </c>
    </row>
    <row r="196" spans="1:27" x14ac:dyDescent="0.3">
      <c r="A196" s="2">
        <f>IF(Banco_Nacion[[#This Row],[tipo_registro]]="R",COUNTIFS($C$1:$C195,"R")+1,"")</f>
        <v>195</v>
      </c>
      <c r="B196" s="19" t="str">
        <f t="shared" si="15"/>
        <v>B-Banco de la Nacion</v>
      </c>
      <c r="C196" s="3" t="s">
        <v>1330</v>
      </c>
      <c r="D196" s="14">
        <v>45741</v>
      </c>
      <c r="E196" s="5">
        <v>20603536569</v>
      </c>
      <c r="F196" s="5" t="s">
        <v>1303</v>
      </c>
      <c r="G196" s="6" t="s">
        <v>425</v>
      </c>
      <c r="H196" s="6" t="s">
        <v>68</v>
      </c>
      <c r="I196" s="6" t="s">
        <v>1343</v>
      </c>
      <c r="J196" s="6">
        <v>586</v>
      </c>
      <c r="K196" s="7" t="s">
        <v>5232</v>
      </c>
      <c r="L196" s="8">
        <v>70466439</v>
      </c>
      <c r="M196" s="8" t="str">
        <f t="shared" si="16"/>
        <v>PEN</v>
      </c>
      <c r="N196" s="13"/>
      <c r="O196" s="13">
        <v>334</v>
      </c>
      <c r="P196" s="3">
        <f t="shared" si="17"/>
        <v>334</v>
      </c>
      <c r="Q196" s="3">
        <f t="shared" si="18"/>
        <v>0</v>
      </c>
      <c r="R196" s="3">
        <f t="shared" si="19"/>
        <v>27082.010000000009</v>
      </c>
      <c r="S196" s="24"/>
      <c r="T196" s="24" t="s">
        <v>1334</v>
      </c>
      <c r="U196" s="3"/>
      <c r="V196" s="19" t="str">
        <f>IFERROR(VLOOKUP(Banco_Nacion[[#This Row],[responsable]],Clientes_Proveedores[[Ruc / Dni]:[Razon Social]],2,0),"")</f>
        <v>ANTILLA COPPER SOCIEDAD ANONIMA</v>
      </c>
      <c r="W196" s="19" t="str">
        <f>IF(Banco_Nacion[[#This Row],[tipo_mov]]="INGRESO",Banco_Nacion[[#This Row],[serie]]&amp;Banco_Nacion[[#This Row],[numero]]&amp;Banco_Nacion[[#This Row],[responsable]]&amp;Banco_Nacion[[#This Row],[monto]],"")</f>
        <v>FE0158620603536569334</v>
      </c>
      <c r="X196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70466439</v>
      </c>
      <c r="Y196" s="3" t="str">
        <f>IFERROR(VLOOKUP(Banco_Nacion[[#This Row],[serie]]&amp;Banco_Nacion[[#This Row],[numero]]&amp;Banco_Nacion[[#This Row],[responsable]],[2]!Provision_CXC[[ID CXP]:[DETRACCION]],47,0),"")</f>
        <v/>
      </c>
      <c r="Z196" s="3"/>
      <c r="AA196" s="24" t="str">
        <f>IF(Banco_Nacion[[#This Row],[fecha]]&gt;0,TEXT(Banco_Nacion[[#This Row],[fecha]],"mmmm"),0)</f>
        <v>Marzo</v>
      </c>
    </row>
    <row r="197" spans="1:27" x14ac:dyDescent="0.3">
      <c r="A197" s="2">
        <f>IF(Banco_Nacion[[#This Row],[tipo_registro]]="R",COUNTIFS($C$1:$C196,"R")+1,"")</f>
        <v>196</v>
      </c>
      <c r="B197" s="19" t="str">
        <f t="shared" si="15"/>
        <v>B-Banco de la Nacion</v>
      </c>
      <c r="C197" s="3" t="s">
        <v>1330</v>
      </c>
      <c r="D197" s="14">
        <v>45743</v>
      </c>
      <c r="E197" s="5">
        <v>20159473148</v>
      </c>
      <c r="F197" s="5" t="s">
        <v>1303</v>
      </c>
      <c r="G197" s="6" t="s">
        <v>425</v>
      </c>
      <c r="H197" s="6" t="s">
        <v>68</v>
      </c>
      <c r="I197" s="6" t="s">
        <v>1376</v>
      </c>
      <c r="J197" s="6">
        <v>50</v>
      </c>
      <c r="K197" s="7" t="s">
        <v>5232</v>
      </c>
      <c r="L197" s="8">
        <v>70677580</v>
      </c>
      <c r="M197" s="8" t="str">
        <f t="shared" si="16"/>
        <v>PEN</v>
      </c>
      <c r="N197" s="13"/>
      <c r="O197" s="13">
        <v>973</v>
      </c>
      <c r="P197" s="3">
        <f t="shared" si="17"/>
        <v>973</v>
      </c>
      <c r="Q197" s="3">
        <f t="shared" si="18"/>
        <v>0</v>
      </c>
      <c r="R197" s="3">
        <f t="shared" si="19"/>
        <v>28055.010000000009</v>
      </c>
      <c r="S197" s="24"/>
      <c r="T197" s="24" t="s">
        <v>1334</v>
      </c>
      <c r="U197" s="3"/>
      <c r="V197" s="19" t="str">
        <f>IFERROR(VLOOKUP(Banco_Nacion[[#This Row],[responsable]],Clientes_Proveedores[[Ruc / Dni]:[Razon Social]],2,0),"")</f>
        <v>PESQUERA DIAMANTE S.A.</v>
      </c>
      <c r="W197" s="19" t="str">
        <f>IF(Banco_Nacion[[#This Row],[tipo_mov]]="INGRESO",Banco_Nacion[[#This Row],[serie]]&amp;Banco_Nacion[[#This Row],[numero]]&amp;Banco_Nacion[[#This Row],[responsable]]&amp;Banco_Nacion[[#This Row],[monto]],"")</f>
        <v>E0015020159473148973</v>
      </c>
      <c r="X197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70677580</v>
      </c>
      <c r="Y197" s="3" t="str">
        <f>IFERROR(VLOOKUP(Banco_Nacion[[#This Row],[serie]]&amp;Banco_Nacion[[#This Row],[numero]]&amp;Banco_Nacion[[#This Row],[responsable]],[2]!Provision_CXC[[ID CXP]:[DETRACCION]],47,0),"")</f>
        <v/>
      </c>
      <c r="Z197" s="3"/>
      <c r="AA197" s="24" t="str">
        <f>IF(Banco_Nacion[[#This Row],[fecha]]&gt;0,TEXT(Banco_Nacion[[#This Row],[fecha]],"mmmm"),0)</f>
        <v>Marzo</v>
      </c>
    </row>
    <row r="198" spans="1:27" x14ac:dyDescent="0.3">
      <c r="A198" s="2">
        <f>IF(Banco_Nacion[[#This Row],[tipo_registro]]="R",COUNTIFS($C$1:$C197,"R")+1,"")</f>
        <v>197</v>
      </c>
      <c r="B198" s="19" t="str">
        <f t="shared" si="15"/>
        <v>B-Banco de la Nacion</v>
      </c>
      <c r="C198" s="3" t="s">
        <v>1330</v>
      </c>
      <c r="D198" s="14">
        <v>45747</v>
      </c>
      <c r="E198" s="5">
        <v>20141637941</v>
      </c>
      <c r="F198" s="5" t="s">
        <v>1303</v>
      </c>
      <c r="G198" s="6" t="s">
        <v>425</v>
      </c>
      <c r="H198" s="6" t="s">
        <v>68</v>
      </c>
      <c r="I198" s="6" t="s">
        <v>1343</v>
      </c>
      <c r="J198" s="6">
        <v>587</v>
      </c>
      <c r="K198" s="7" t="s">
        <v>5232</v>
      </c>
      <c r="L198" s="8">
        <v>70828063</v>
      </c>
      <c r="M198" s="8" t="str">
        <f t="shared" si="16"/>
        <v>PEN</v>
      </c>
      <c r="N198" s="13"/>
      <c r="O198" s="13">
        <v>364</v>
      </c>
      <c r="P198" s="3">
        <f t="shared" si="17"/>
        <v>364</v>
      </c>
      <c r="Q198" s="3">
        <f t="shared" si="18"/>
        <v>0</v>
      </c>
      <c r="R198" s="3">
        <f t="shared" si="19"/>
        <v>28419.010000000009</v>
      </c>
      <c r="S198" s="24"/>
      <c r="T198" s="24" t="s">
        <v>1334</v>
      </c>
      <c r="U198" s="3"/>
      <c r="V198" s="19" t="str">
        <f>IFERROR(VLOOKUP(Banco_Nacion[[#This Row],[responsable]],Clientes_Proveedores[[Ruc / Dni]:[Razon Social]],2,0),"")</f>
        <v>UNIVERSIDAD CATOLICA DE SANTA MARIA</v>
      </c>
      <c r="W198" s="19" t="str">
        <f>IF(Banco_Nacion[[#This Row],[tipo_mov]]="INGRESO",Banco_Nacion[[#This Row],[serie]]&amp;Banco_Nacion[[#This Row],[numero]]&amp;Banco_Nacion[[#This Row],[responsable]]&amp;Banco_Nacion[[#This Row],[monto]],"")</f>
        <v>FE0158720141637941364</v>
      </c>
      <c r="X198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70828063</v>
      </c>
      <c r="Y198" s="3" t="str">
        <f>IFERROR(VLOOKUP(Banco_Nacion[[#This Row],[serie]]&amp;Banco_Nacion[[#This Row],[numero]]&amp;Banco_Nacion[[#This Row],[responsable]],[2]!Provision_CXC[[ID CXP]:[DETRACCION]],47,0),"")</f>
        <v/>
      </c>
      <c r="Z198" s="3"/>
      <c r="AA198" s="24" t="str">
        <f>IF(Banco_Nacion[[#This Row],[fecha]]&gt;0,TEXT(Banco_Nacion[[#This Row],[fecha]],"mmmm"),0)</f>
        <v>Marzo</v>
      </c>
    </row>
    <row r="199" spans="1:27" x14ac:dyDescent="0.3">
      <c r="A199" s="2">
        <f>IF(Banco_Nacion[[#This Row],[tipo_registro]]="R",COUNTIFS($C$1:$C198,"R")+1,"")</f>
        <v>198</v>
      </c>
      <c r="B199" s="19" t="str">
        <f t="shared" si="15"/>
        <v>B-Banco de la Nacion</v>
      </c>
      <c r="C199" s="3" t="s">
        <v>1330</v>
      </c>
      <c r="D199" s="14">
        <v>45747</v>
      </c>
      <c r="E199" s="5">
        <v>20141637941</v>
      </c>
      <c r="F199" s="5" t="s">
        <v>1303</v>
      </c>
      <c r="G199" s="6" t="s">
        <v>425</v>
      </c>
      <c r="H199" s="6" t="s">
        <v>68</v>
      </c>
      <c r="I199" s="6" t="s">
        <v>1343</v>
      </c>
      <c r="J199" s="6">
        <v>552</v>
      </c>
      <c r="K199" s="7" t="s">
        <v>5232</v>
      </c>
      <c r="L199" s="8">
        <v>70814988</v>
      </c>
      <c r="M199" s="8" t="str">
        <f t="shared" si="16"/>
        <v>PEN</v>
      </c>
      <c r="N199" s="13"/>
      <c r="O199" s="13">
        <v>88</v>
      </c>
      <c r="P199" s="3">
        <f t="shared" si="17"/>
        <v>88</v>
      </c>
      <c r="Q199" s="3">
        <f t="shared" si="18"/>
        <v>0</v>
      </c>
      <c r="R199" s="3">
        <f t="shared" si="19"/>
        <v>28507.010000000009</v>
      </c>
      <c r="S199" s="24"/>
      <c r="T199" s="24" t="s">
        <v>1334</v>
      </c>
      <c r="U199" s="3"/>
      <c r="V199" s="19" t="str">
        <f>IFERROR(VLOOKUP(Banco_Nacion[[#This Row],[responsable]],Clientes_Proveedores[[Ruc / Dni]:[Razon Social]],2,0),"")</f>
        <v>UNIVERSIDAD CATOLICA DE SANTA MARIA</v>
      </c>
      <c r="W199" s="19" t="str">
        <f>IF(Banco_Nacion[[#This Row],[tipo_mov]]="INGRESO",Banco_Nacion[[#This Row],[serie]]&amp;Banco_Nacion[[#This Row],[numero]]&amp;Banco_Nacion[[#This Row],[responsable]]&amp;Banco_Nacion[[#This Row],[monto]],"")</f>
        <v>FE015522014163794188</v>
      </c>
      <c r="X199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70814988</v>
      </c>
      <c r="Y199" s="3" t="str">
        <f>IFERROR(VLOOKUP(Banco_Nacion[[#This Row],[serie]]&amp;Banco_Nacion[[#This Row],[numero]]&amp;Banco_Nacion[[#This Row],[responsable]],[2]!Provision_CXC[[ID CXP]:[DETRACCION]],47,0),"")</f>
        <v/>
      </c>
      <c r="Z199" s="3"/>
      <c r="AA199" s="24" t="str">
        <f>IF(Banco_Nacion[[#This Row],[fecha]]&gt;0,TEXT(Banco_Nacion[[#This Row],[fecha]],"mmmm"),0)</f>
        <v>Marzo</v>
      </c>
    </row>
    <row r="200" spans="1:27" x14ac:dyDescent="0.3">
      <c r="A200" s="2">
        <f>IF(Banco_Nacion[[#This Row],[tipo_registro]]="R",COUNTIFS($C$1:$C199,"R")+1,"")</f>
        <v>199</v>
      </c>
      <c r="B200" s="19" t="str">
        <f t="shared" si="15"/>
        <v>B-Banco de la Nacion</v>
      </c>
      <c r="C200" s="3" t="s">
        <v>1330</v>
      </c>
      <c r="D200" s="14">
        <v>45748</v>
      </c>
      <c r="E200" s="5">
        <v>20607388416</v>
      </c>
      <c r="F200" s="5" t="s">
        <v>1303</v>
      </c>
      <c r="G200" s="6" t="s">
        <v>425</v>
      </c>
      <c r="H200" s="6" t="s">
        <v>68</v>
      </c>
      <c r="I200" s="6" t="s">
        <v>1347</v>
      </c>
      <c r="J200" s="6">
        <v>135</v>
      </c>
      <c r="K200" s="7" t="s">
        <v>5232</v>
      </c>
      <c r="L200" s="8">
        <v>71119671</v>
      </c>
      <c r="M200" s="8" t="str">
        <f t="shared" si="16"/>
        <v>PEN</v>
      </c>
      <c r="N200" s="13"/>
      <c r="O200" s="13">
        <v>648</v>
      </c>
      <c r="P200" s="3">
        <f t="shared" si="17"/>
        <v>648</v>
      </c>
      <c r="Q200" s="3">
        <f t="shared" si="18"/>
        <v>0</v>
      </c>
      <c r="R200" s="3">
        <f t="shared" si="19"/>
        <v>29155.010000000009</v>
      </c>
      <c r="S200" s="24"/>
      <c r="T200" s="24" t="s">
        <v>1334</v>
      </c>
      <c r="U200" s="3"/>
      <c r="V200" s="19" t="str">
        <f>IFERROR(VLOOKUP(Banco_Nacion[[#This Row],[responsable]],Clientes_Proveedores[[Ruc / Dni]:[Razon Social]],2,0),"")</f>
        <v>ALEACIONES FERROSAS Y METALICAS S.A.C.</v>
      </c>
      <c r="W200" s="19" t="str">
        <f>IF(Banco_Nacion[[#This Row],[tipo_mov]]="INGRESO",Banco_Nacion[[#This Row],[serie]]&amp;Banco_Nacion[[#This Row],[numero]]&amp;Banco_Nacion[[#This Row],[responsable]]&amp;Banco_Nacion[[#This Row],[monto]],"")</f>
        <v>FE0513520607388416648</v>
      </c>
      <c r="X200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71119671</v>
      </c>
      <c r="Y200" s="3" t="str">
        <f>IFERROR(VLOOKUP(Banco_Nacion[[#This Row],[serie]]&amp;Banco_Nacion[[#This Row],[numero]]&amp;Banco_Nacion[[#This Row],[responsable]],[2]!Provision_CXC[[ID CXP]:[DETRACCION]],47,0),"")</f>
        <v/>
      </c>
      <c r="Z200" s="3"/>
      <c r="AA200" s="24" t="str">
        <f>IF(Banco_Nacion[[#This Row],[fecha]]&gt;0,TEXT(Banco_Nacion[[#This Row],[fecha]],"mmmm"),0)</f>
        <v>Abril</v>
      </c>
    </row>
    <row r="201" spans="1:27" x14ac:dyDescent="0.3">
      <c r="A201" s="2">
        <f>IF(Banco_Nacion[[#This Row],[tipo_registro]]="R",COUNTIFS($C$1:$C200,"R")+1,"")</f>
        <v>200</v>
      </c>
      <c r="B201" s="19" t="str">
        <f t="shared" si="15"/>
        <v>B-Banco de la Nacion</v>
      </c>
      <c r="C201" s="3" t="s">
        <v>1330</v>
      </c>
      <c r="D201" s="14">
        <v>45748</v>
      </c>
      <c r="E201" s="5">
        <v>20607388416</v>
      </c>
      <c r="F201" s="5" t="s">
        <v>1303</v>
      </c>
      <c r="G201" s="6" t="s">
        <v>425</v>
      </c>
      <c r="H201" s="6" t="s">
        <v>68</v>
      </c>
      <c r="I201" s="6" t="s">
        <v>1347</v>
      </c>
      <c r="J201" s="6">
        <v>134</v>
      </c>
      <c r="K201" s="7" t="s">
        <v>5232</v>
      </c>
      <c r="L201" s="8">
        <v>71118879</v>
      </c>
      <c r="M201" s="8" t="str">
        <f t="shared" si="16"/>
        <v>PEN</v>
      </c>
      <c r="N201" s="13"/>
      <c r="O201" s="13">
        <v>185</v>
      </c>
      <c r="P201" s="3">
        <f t="shared" si="17"/>
        <v>185</v>
      </c>
      <c r="Q201" s="3">
        <f t="shared" si="18"/>
        <v>0</v>
      </c>
      <c r="R201" s="3">
        <f t="shared" si="19"/>
        <v>29340.010000000009</v>
      </c>
      <c r="S201" s="24"/>
      <c r="T201" s="24" t="s">
        <v>1334</v>
      </c>
      <c r="U201" s="3"/>
      <c r="V201" s="19" t="str">
        <f>IFERROR(VLOOKUP(Banco_Nacion[[#This Row],[responsable]],Clientes_Proveedores[[Ruc / Dni]:[Razon Social]],2,0),"")</f>
        <v>ALEACIONES FERROSAS Y METALICAS S.A.C.</v>
      </c>
      <c r="W201" s="19" t="str">
        <f>IF(Banco_Nacion[[#This Row],[tipo_mov]]="INGRESO",Banco_Nacion[[#This Row],[serie]]&amp;Banco_Nacion[[#This Row],[numero]]&amp;Banco_Nacion[[#This Row],[responsable]]&amp;Banco_Nacion[[#This Row],[monto]],"")</f>
        <v>FE0513420607388416185</v>
      </c>
      <c r="X201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71118879</v>
      </c>
      <c r="Y201" s="3" t="str">
        <f>IFERROR(VLOOKUP(Banco_Nacion[[#This Row],[serie]]&amp;Banco_Nacion[[#This Row],[numero]]&amp;Banco_Nacion[[#This Row],[responsable]],[2]!Provision_CXC[[ID CXP]:[DETRACCION]],47,0),"")</f>
        <v/>
      </c>
      <c r="Z201" s="3"/>
      <c r="AA201" s="24" t="str">
        <f>IF(Banco_Nacion[[#This Row],[fecha]]&gt;0,TEXT(Banco_Nacion[[#This Row],[fecha]],"mmmm"),0)</f>
        <v>Abril</v>
      </c>
    </row>
    <row r="202" spans="1:27" x14ac:dyDescent="0.3">
      <c r="A202" s="2">
        <f>IF(Banco_Nacion[[#This Row],[tipo_registro]]="R",COUNTIFS($C$1:$C201,"R")+1,"")</f>
        <v>201</v>
      </c>
      <c r="B202" s="19" t="str">
        <f t="shared" si="15"/>
        <v>B-Banco de la Nacion</v>
      </c>
      <c r="C202" s="3" t="s">
        <v>1330</v>
      </c>
      <c r="D202" s="14">
        <v>45748</v>
      </c>
      <c r="E202" s="5">
        <v>20517355951</v>
      </c>
      <c r="F202" s="5" t="s">
        <v>1303</v>
      </c>
      <c r="G202" s="6" t="s">
        <v>425</v>
      </c>
      <c r="H202" s="6" t="s">
        <v>68</v>
      </c>
      <c r="I202" s="6" t="s">
        <v>1376</v>
      </c>
      <c r="J202" s="6">
        <v>19</v>
      </c>
      <c r="K202" s="7" t="s">
        <v>5232</v>
      </c>
      <c r="L202" s="8">
        <v>71118476</v>
      </c>
      <c r="M202" s="8" t="str">
        <f t="shared" si="16"/>
        <v>PEN</v>
      </c>
      <c r="N202" s="13"/>
      <c r="O202" s="13">
        <v>470</v>
      </c>
      <c r="P202" s="3">
        <f t="shared" si="17"/>
        <v>470</v>
      </c>
      <c r="Q202" s="3">
        <f t="shared" si="18"/>
        <v>0</v>
      </c>
      <c r="R202" s="3">
        <f t="shared" si="19"/>
        <v>29810.010000000009</v>
      </c>
      <c r="S202" s="24"/>
      <c r="T202" s="24" t="s">
        <v>1334</v>
      </c>
      <c r="U202" s="3"/>
      <c r="V202" s="19" t="str">
        <f>IFERROR(VLOOKUP(Banco_Nacion[[#This Row],[responsable]],Clientes_Proveedores[[Ruc / Dni]:[Razon Social]],2,0),"")</f>
        <v>MEGA PESCA S.A.</v>
      </c>
      <c r="W202" s="19" t="str">
        <f>IF(Banco_Nacion[[#This Row],[tipo_mov]]="INGRESO",Banco_Nacion[[#This Row],[serie]]&amp;Banco_Nacion[[#This Row],[numero]]&amp;Banco_Nacion[[#This Row],[responsable]]&amp;Banco_Nacion[[#This Row],[monto]],"")</f>
        <v>E0011920517355951470</v>
      </c>
      <c r="X202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71118476</v>
      </c>
      <c r="Y202" s="3" t="str">
        <f>IFERROR(VLOOKUP(Banco_Nacion[[#This Row],[serie]]&amp;Banco_Nacion[[#This Row],[numero]]&amp;Banco_Nacion[[#This Row],[responsable]],[2]!Provision_CXC[[ID CXP]:[DETRACCION]],47,0),"")</f>
        <v/>
      </c>
      <c r="Z202" s="3"/>
      <c r="AA202" s="24" t="str">
        <f>IF(Banco_Nacion[[#This Row],[fecha]]&gt;0,TEXT(Banco_Nacion[[#This Row],[fecha]],"mmmm"),0)</f>
        <v>Abril</v>
      </c>
    </row>
    <row r="203" spans="1:27" x14ac:dyDescent="0.3">
      <c r="A203" s="2">
        <f>IF(Banco_Nacion[[#This Row],[tipo_registro]]="R",COUNTIFS($C$1:$C202,"R")+1,"")</f>
        <v>202</v>
      </c>
      <c r="B203" s="19" t="str">
        <f t="shared" si="15"/>
        <v>B-Banco de la Nacion</v>
      </c>
      <c r="C203" s="3" t="s">
        <v>1330</v>
      </c>
      <c r="D203" s="14">
        <v>45748</v>
      </c>
      <c r="E203" s="5">
        <v>20505675836</v>
      </c>
      <c r="F203" s="5" t="s">
        <v>1303</v>
      </c>
      <c r="G203" s="6" t="s">
        <v>425</v>
      </c>
      <c r="H203" s="6" t="s">
        <v>68</v>
      </c>
      <c r="I203" s="6" t="s">
        <v>1376</v>
      </c>
      <c r="J203" s="6">
        <v>39</v>
      </c>
      <c r="K203" s="7" t="s">
        <v>5232</v>
      </c>
      <c r="L203" s="8">
        <v>71110713</v>
      </c>
      <c r="M203" s="8" t="str">
        <f t="shared" si="16"/>
        <v>PEN</v>
      </c>
      <c r="N203" s="13"/>
      <c r="O203" s="13">
        <v>450</v>
      </c>
      <c r="P203" s="3">
        <f t="shared" si="17"/>
        <v>450</v>
      </c>
      <c r="Q203" s="3">
        <f t="shared" si="18"/>
        <v>0</v>
      </c>
      <c r="R203" s="3">
        <f t="shared" si="19"/>
        <v>30260.010000000009</v>
      </c>
      <c r="S203" s="24"/>
      <c r="T203" s="24" t="s">
        <v>1334</v>
      </c>
      <c r="U203" s="3"/>
      <c r="V203" s="19" t="str">
        <f>IFERROR(VLOOKUP(Banco_Nacion[[#This Row],[responsable]],Clientes_Proveedores[[Ruc / Dni]:[Razon Social]],2,0),"")</f>
        <v>FLSMIDTH S.A.C.</v>
      </c>
      <c r="W203" s="19" t="str">
        <f>IF(Banco_Nacion[[#This Row],[tipo_mov]]="INGRESO",Banco_Nacion[[#This Row],[serie]]&amp;Banco_Nacion[[#This Row],[numero]]&amp;Banco_Nacion[[#This Row],[responsable]]&amp;Banco_Nacion[[#This Row],[monto]],"")</f>
        <v>E0013920505675836450</v>
      </c>
      <c r="X203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71110713</v>
      </c>
      <c r="Y203" s="3" t="str">
        <f>IFERROR(VLOOKUP(Banco_Nacion[[#This Row],[serie]]&amp;Banco_Nacion[[#This Row],[numero]]&amp;Banco_Nacion[[#This Row],[responsable]],[2]!Provision_CXC[[ID CXP]:[DETRACCION]],47,0),"")</f>
        <v/>
      </c>
      <c r="Z203" s="3"/>
      <c r="AA203" s="24" t="str">
        <f>IF(Banco_Nacion[[#This Row],[fecha]]&gt;0,TEXT(Banco_Nacion[[#This Row],[fecha]],"mmmm"),0)</f>
        <v>Abril</v>
      </c>
    </row>
    <row r="204" spans="1:27" x14ac:dyDescent="0.3">
      <c r="A204" s="2">
        <f>IF(Banco_Nacion[[#This Row],[tipo_registro]]="R",COUNTIFS($C$1:$C203,"R")+1,"")</f>
        <v>203</v>
      </c>
      <c r="B204" s="19" t="str">
        <f t="shared" si="15"/>
        <v>B-Banco de la Nacion</v>
      </c>
      <c r="C204" s="3" t="s">
        <v>1330</v>
      </c>
      <c r="D204" s="14">
        <v>45748</v>
      </c>
      <c r="E204" s="5">
        <v>20505675836</v>
      </c>
      <c r="F204" s="5" t="s">
        <v>1303</v>
      </c>
      <c r="G204" s="6" t="s">
        <v>425</v>
      </c>
      <c r="H204" s="6" t="s">
        <v>68</v>
      </c>
      <c r="I204" s="6" t="s">
        <v>1376</v>
      </c>
      <c r="J204" s="6">
        <v>38</v>
      </c>
      <c r="K204" s="7" t="s">
        <v>5232</v>
      </c>
      <c r="L204" s="8">
        <v>71110712</v>
      </c>
      <c r="M204" s="8" t="str">
        <f t="shared" si="16"/>
        <v>PEN</v>
      </c>
      <c r="N204" s="13"/>
      <c r="O204" s="13">
        <v>892</v>
      </c>
      <c r="P204" s="3">
        <f t="shared" si="17"/>
        <v>892</v>
      </c>
      <c r="Q204" s="3">
        <f t="shared" si="18"/>
        <v>0</v>
      </c>
      <c r="R204" s="3">
        <f t="shared" si="19"/>
        <v>31152.010000000009</v>
      </c>
      <c r="S204" s="24"/>
      <c r="T204" s="24" t="s">
        <v>1334</v>
      </c>
      <c r="U204" s="3"/>
      <c r="V204" s="19" t="str">
        <f>IFERROR(VLOOKUP(Banco_Nacion[[#This Row],[responsable]],Clientes_Proveedores[[Ruc / Dni]:[Razon Social]],2,0),"")</f>
        <v>FLSMIDTH S.A.C.</v>
      </c>
      <c r="W204" s="19" t="str">
        <f>IF(Banco_Nacion[[#This Row],[tipo_mov]]="INGRESO",Banco_Nacion[[#This Row],[serie]]&amp;Banco_Nacion[[#This Row],[numero]]&amp;Banco_Nacion[[#This Row],[responsable]]&amp;Banco_Nacion[[#This Row],[monto]],"")</f>
        <v>E0013820505675836892</v>
      </c>
      <c r="X204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71110712</v>
      </c>
      <c r="Y204" s="3" t="str">
        <f>IFERROR(VLOOKUP(Banco_Nacion[[#This Row],[serie]]&amp;Banco_Nacion[[#This Row],[numero]]&amp;Banco_Nacion[[#This Row],[responsable]],[2]!Provision_CXC[[ID CXP]:[DETRACCION]],47,0),"")</f>
        <v/>
      </c>
      <c r="Z204" s="3"/>
      <c r="AA204" s="24" t="str">
        <f>IF(Banco_Nacion[[#This Row],[fecha]]&gt;0,TEXT(Banco_Nacion[[#This Row],[fecha]],"mmmm"),0)</f>
        <v>Abril</v>
      </c>
    </row>
    <row r="205" spans="1:27" x14ac:dyDescent="0.3">
      <c r="A205" s="2">
        <f>IF(Banco_Nacion[[#This Row],[tipo_registro]]="R",COUNTIFS($C$1:$C204,"R")+1,"")</f>
        <v>204</v>
      </c>
      <c r="B205" s="19" t="str">
        <f t="shared" si="15"/>
        <v>B-Banco de la Nacion</v>
      </c>
      <c r="C205" s="3" t="s">
        <v>1330</v>
      </c>
      <c r="D205" s="14">
        <v>45749</v>
      </c>
      <c r="E205" s="5">
        <v>20455283915</v>
      </c>
      <c r="F205" s="5" t="s">
        <v>1303</v>
      </c>
      <c r="G205" s="6" t="s">
        <v>425</v>
      </c>
      <c r="H205" s="6" t="s">
        <v>68</v>
      </c>
      <c r="I205" s="6" t="s">
        <v>3302</v>
      </c>
      <c r="J205" s="6">
        <v>2</v>
      </c>
      <c r="K205" s="7" t="s">
        <v>5232</v>
      </c>
      <c r="L205" s="8">
        <v>71194275</v>
      </c>
      <c r="M205" s="8" t="str">
        <f t="shared" si="16"/>
        <v>PEN</v>
      </c>
      <c r="N205" s="13"/>
      <c r="O205" s="13">
        <v>324</v>
      </c>
      <c r="P205" s="3">
        <f t="shared" si="17"/>
        <v>324</v>
      </c>
      <c r="Q205" s="3">
        <f t="shared" si="18"/>
        <v>0</v>
      </c>
      <c r="R205" s="3">
        <f t="shared" si="19"/>
        <v>31476.010000000009</v>
      </c>
      <c r="S205" s="24"/>
      <c r="T205" s="24" t="s">
        <v>1334</v>
      </c>
      <c r="U205" s="3"/>
      <c r="V205" s="19" t="str">
        <f>IFERROR(VLOOKUP(Banco_Nacion[[#This Row],[responsable]],Clientes_Proveedores[[Ruc / Dni]:[Razon Social]],2,0),"")</f>
        <v>EMPRESA CONSERVADORA AMBIENTAL DEL SUR E.I.R.L. - ECA SUR E.I.R.L.</v>
      </c>
      <c r="W205" s="19" t="str">
        <f>IF(Banco_Nacion[[#This Row],[tipo_mov]]="INGRESO",Banco_Nacion[[#This Row],[serie]]&amp;Banco_Nacion[[#This Row],[numero]]&amp;Banco_Nacion[[#This Row],[responsable]]&amp;Banco_Nacion[[#This Row],[monto]],"")</f>
        <v>FF02220455283915324</v>
      </c>
      <c r="X205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71194275</v>
      </c>
      <c r="Y205" s="3" t="str">
        <f>IFERROR(VLOOKUP(Banco_Nacion[[#This Row],[serie]]&amp;Banco_Nacion[[#This Row],[numero]]&amp;Banco_Nacion[[#This Row],[responsable]],[2]!Provision_CXC[[ID CXP]:[DETRACCION]],47,0),"")</f>
        <v/>
      </c>
      <c r="Z205" s="3"/>
      <c r="AA205" s="24" t="str">
        <f>IF(Banco_Nacion[[#This Row],[fecha]]&gt;0,TEXT(Banco_Nacion[[#This Row],[fecha]],"mmmm"),0)</f>
        <v>Abril</v>
      </c>
    </row>
    <row r="206" spans="1:27" x14ac:dyDescent="0.3">
      <c r="A206" s="2">
        <f>IF(Banco_Nacion[[#This Row],[tipo_registro]]="R",COUNTIFS($C$1:$C205,"R")+1,"")</f>
        <v>205</v>
      </c>
      <c r="B206" s="19" t="str">
        <f t="shared" si="15"/>
        <v>B-Banco de la Nacion</v>
      </c>
      <c r="C206" s="3" t="s">
        <v>1330</v>
      </c>
      <c r="D206" s="14">
        <v>45749</v>
      </c>
      <c r="E206" s="5">
        <v>20455283915</v>
      </c>
      <c r="F206" s="5" t="s">
        <v>1303</v>
      </c>
      <c r="G206" s="6" t="s">
        <v>425</v>
      </c>
      <c r="H206" s="6" t="s">
        <v>68</v>
      </c>
      <c r="I206" s="6" t="s">
        <v>1353</v>
      </c>
      <c r="J206" s="6">
        <v>208</v>
      </c>
      <c r="K206" s="7" t="s">
        <v>5232</v>
      </c>
      <c r="L206" s="8">
        <v>71194274</v>
      </c>
      <c r="M206" s="8" t="str">
        <f t="shared" si="16"/>
        <v>PEN</v>
      </c>
      <c r="N206" s="13"/>
      <c r="O206" s="13">
        <v>308</v>
      </c>
      <c r="P206" s="3">
        <f t="shared" si="17"/>
        <v>308</v>
      </c>
      <c r="Q206" s="3">
        <f t="shared" si="18"/>
        <v>0</v>
      </c>
      <c r="R206" s="3">
        <f t="shared" si="19"/>
        <v>31784.010000000009</v>
      </c>
      <c r="S206" s="24"/>
      <c r="T206" s="24" t="s">
        <v>1334</v>
      </c>
      <c r="U206" s="3"/>
      <c r="V206" s="19" t="str">
        <f>IFERROR(VLOOKUP(Banco_Nacion[[#This Row],[responsable]],Clientes_Proveedores[[Ruc / Dni]:[Razon Social]],2,0),"")</f>
        <v>EMPRESA CONSERVADORA AMBIENTAL DEL SUR E.I.R.L. - ECA SUR E.I.R.L.</v>
      </c>
      <c r="W206" s="19" t="str">
        <f>IF(Banco_Nacion[[#This Row],[tipo_mov]]="INGRESO",Banco_Nacion[[#This Row],[serie]]&amp;Banco_Nacion[[#This Row],[numero]]&amp;Banco_Nacion[[#This Row],[responsable]]&amp;Banco_Nacion[[#This Row],[monto]],"")</f>
        <v>FE0220820455283915308</v>
      </c>
      <c r="X206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71194274</v>
      </c>
      <c r="Y206" s="3" t="str">
        <f>IFERROR(VLOOKUP(Banco_Nacion[[#This Row],[serie]]&amp;Banco_Nacion[[#This Row],[numero]]&amp;Banco_Nacion[[#This Row],[responsable]],[2]!Provision_CXC[[ID CXP]:[DETRACCION]],47,0),"")</f>
        <v/>
      </c>
      <c r="Z206" s="3"/>
      <c r="AA206" s="24" t="str">
        <f>IF(Banco_Nacion[[#This Row],[fecha]]&gt;0,TEXT(Banco_Nacion[[#This Row],[fecha]],"mmmm"),0)</f>
        <v>Abril</v>
      </c>
    </row>
    <row r="207" spans="1:27" x14ac:dyDescent="0.3">
      <c r="A207" s="2">
        <f>IF(Banco_Nacion[[#This Row],[tipo_registro]]="R",COUNTIFS($C$1:$C206,"R")+1,"")</f>
        <v>206</v>
      </c>
      <c r="B207" s="19" t="str">
        <f t="shared" si="15"/>
        <v>B-Banco de la Nacion</v>
      </c>
      <c r="C207" s="3" t="s">
        <v>1330</v>
      </c>
      <c r="D207" s="14">
        <v>45749</v>
      </c>
      <c r="E207" s="5">
        <v>20455283915</v>
      </c>
      <c r="F207" s="5" t="s">
        <v>1303</v>
      </c>
      <c r="G207" s="6" t="s">
        <v>425</v>
      </c>
      <c r="H207" s="6" t="s">
        <v>68</v>
      </c>
      <c r="I207" s="6" t="s">
        <v>1376</v>
      </c>
      <c r="J207" s="6">
        <v>44</v>
      </c>
      <c r="K207" s="7" t="s">
        <v>5232</v>
      </c>
      <c r="L207" s="8">
        <v>71194273</v>
      </c>
      <c r="M207" s="8" t="str">
        <f t="shared" si="16"/>
        <v>PEN</v>
      </c>
      <c r="N207" s="13"/>
      <c r="O207" s="13">
        <v>119</v>
      </c>
      <c r="P207" s="3">
        <f t="shared" si="17"/>
        <v>119</v>
      </c>
      <c r="Q207" s="3">
        <f t="shared" si="18"/>
        <v>0</v>
      </c>
      <c r="R207" s="3">
        <f t="shared" si="19"/>
        <v>31903.010000000009</v>
      </c>
      <c r="S207" s="24"/>
      <c r="T207" s="24" t="s">
        <v>1334</v>
      </c>
      <c r="U207" s="3"/>
      <c r="V207" s="19" t="str">
        <f>IFERROR(VLOOKUP(Banco_Nacion[[#This Row],[responsable]],Clientes_Proveedores[[Ruc / Dni]:[Razon Social]],2,0),"")</f>
        <v>EMPRESA CONSERVADORA AMBIENTAL DEL SUR E.I.R.L. - ECA SUR E.I.R.L.</v>
      </c>
      <c r="W207" s="19" t="str">
        <f>IF(Banco_Nacion[[#This Row],[tipo_mov]]="INGRESO",Banco_Nacion[[#This Row],[serie]]&amp;Banco_Nacion[[#This Row],[numero]]&amp;Banco_Nacion[[#This Row],[responsable]]&amp;Banco_Nacion[[#This Row],[monto]],"")</f>
        <v>E0014420455283915119</v>
      </c>
      <c r="X207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71194273</v>
      </c>
      <c r="Y207" s="3" t="str">
        <f>IFERROR(VLOOKUP(Banco_Nacion[[#This Row],[serie]]&amp;Banco_Nacion[[#This Row],[numero]]&amp;Banco_Nacion[[#This Row],[responsable]],[2]!Provision_CXC[[ID CXP]:[DETRACCION]],47,0),"")</f>
        <v/>
      </c>
      <c r="Z207" s="3"/>
      <c r="AA207" s="24" t="str">
        <f>IF(Banco_Nacion[[#This Row],[fecha]]&gt;0,TEXT(Banco_Nacion[[#This Row],[fecha]],"mmmm"),0)</f>
        <v>Abril</v>
      </c>
    </row>
    <row r="208" spans="1:27" x14ac:dyDescent="0.3">
      <c r="A208" s="2">
        <f>IF(Banco_Nacion[[#This Row],[tipo_registro]]="R",COUNTIFS($C$1:$C207,"R")+1,"")</f>
        <v>207</v>
      </c>
      <c r="B208" s="19" t="str">
        <f t="shared" si="15"/>
        <v>B-Banco de la Nacion</v>
      </c>
      <c r="C208" s="3" t="s">
        <v>1330</v>
      </c>
      <c r="D208" s="14">
        <v>45749</v>
      </c>
      <c r="E208" s="5">
        <v>20455283915</v>
      </c>
      <c r="F208" s="5" t="s">
        <v>1303</v>
      </c>
      <c r="G208" s="6" t="s">
        <v>425</v>
      </c>
      <c r="H208" s="6" t="s">
        <v>68</v>
      </c>
      <c r="I208" s="6" t="s">
        <v>1376</v>
      </c>
      <c r="J208" s="6">
        <v>43</v>
      </c>
      <c r="K208" s="7" t="s">
        <v>5232</v>
      </c>
      <c r="L208" s="8">
        <v>71194272</v>
      </c>
      <c r="M208" s="8" t="str">
        <f t="shared" si="16"/>
        <v>PEN</v>
      </c>
      <c r="N208" s="13"/>
      <c r="O208" s="13">
        <v>96</v>
      </c>
      <c r="P208" s="3">
        <f t="shared" si="17"/>
        <v>96</v>
      </c>
      <c r="Q208" s="3">
        <f t="shared" si="18"/>
        <v>0</v>
      </c>
      <c r="R208" s="3">
        <f t="shared" si="19"/>
        <v>31999.010000000009</v>
      </c>
      <c r="S208" s="24"/>
      <c r="T208" s="24" t="s">
        <v>1334</v>
      </c>
      <c r="U208" s="3"/>
      <c r="V208" s="19" t="str">
        <f>IFERROR(VLOOKUP(Banco_Nacion[[#This Row],[responsable]],Clientes_Proveedores[[Ruc / Dni]:[Razon Social]],2,0),"")</f>
        <v>EMPRESA CONSERVADORA AMBIENTAL DEL SUR E.I.R.L. - ECA SUR E.I.R.L.</v>
      </c>
      <c r="W208" s="19" t="str">
        <f>IF(Banco_Nacion[[#This Row],[tipo_mov]]="INGRESO",Banco_Nacion[[#This Row],[serie]]&amp;Banco_Nacion[[#This Row],[numero]]&amp;Banco_Nacion[[#This Row],[responsable]]&amp;Banco_Nacion[[#This Row],[monto]],"")</f>
        <v>E001432045528391596</v>
      </c>
      <c r="X208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71194272</v>
      </c>
      <c r="Y208" s="3" t="str">
        <f>IFERROR(VLOOKUP(Banco_Nacion[[#This Row],[serie]]&amp;Banco_Nacion[[#This Row],[numero]]&amp;Banco_Nacion[[#This Row],[responsable]],[2]!Provision_CXC[[ID CXP]:[DETRACCION]],47,0),"")</f>
        <v/>
      </c>
      <c r="Z208" s="3"/>
      <c r="AA208" s="24" t="str">
        <f>IF(Banco_Nacion[[#This Row],[fecha]]&gt;0,TEXT(Banco_Nacion[[#This Row],[fecha]],"mmmm"),0)</f>
        <v>Abril</v>
      </c>
    </row>
    <row r="209" spans="1:27" x14ac:dyDescent="0.3">
      <c r="A209" s="2">
        <f>IF(Banco_Nacion[[#This Row],[tipo_registro]]="R",COUNTIFS($C$1:$C208,"R")+1,"")</f>
        <v>208</v>
      </c>
      <c r="B209" s="19" t="str">
        <f t="shared" si="15"/>
        <v>B-Banco de la Nacion</v>
      </c>
      <c r="C209" s="3" t="s">
        <v>1330</v>
      </c>
      <c r="D209" s="14">
        <v>45749</v>
      </c>
      <c r="E209" s="5">
        <v>20455283915</v>
      </c>
      <c r="F209" s="5" t="s">
        <v>1303</v>
      </c>
      <c r="G209" s="6" t="s">
        <v>425</v>
      </c>
      <c r="H209" s="6" t="s">
        <v>68</v>
      </c>
      <c r="I209" s="6" t="s">
        <v>1376</v>
      </c>
      <c r="J209" s="6">
        <v>42</v>
      </c>
      <c r="K209" s="7" t="s">
        <v>5232</v>
      </c>
      <c r="L209" s="8">
        <v>71194271</v>
      </c>
      <c r="M209" s="8" t="str">
        <f t="shared" si="16"/>
        <v>PEN</v>
      </c>
      <c r="N209" s="13"/>
      <c r="O209" s="13">
        <v>38</v>
      </c>
      <c r="P209" s="3">
        <f t="shared" si="17"/>
        <v>38</v>
      </c>
      <c r="Q209" s="3">
        <f t="shared" si="18"/>
        <v>0</v>
      </c>
      <c r="R209" s="3">
        <f t="shared" si="19"/>
        <v>32037.010000000009</v>
      </c>
      <c r="S209" s="24"/>
      <c r="T209" s="24" t="s">
        <v>1334</v>
      </c>
      <c r="U209" s="3"/>
      <c r="V209" s="19" t="str">
        <f>IFERROR(VLOOKUP(Banco_Nacion[[#This Row],[responsable]],Clientes_Proveedores[[Ruc / Dni]:[Razon Social]],2,0),"")</f>
        <v>EMPRESA CONSERVADORA AMBIENTAL DEL SUR E.I.R.L. - ECA SUR E.I.R.L.</v>
      </c>
      <c r="W209" s="19" t="str">
        <f>IF(Banco_Nacion[[#This Row],[tipo_mov]]="INGRESO",Banco_Nacion[[#This Row],[serie]]&amp;Banco_Nacion[[#This Row],[numero]]&amp;Banco_Nacion[[#This Row],[responsable]]&amp;Banco_Nacion[[#This Row],[monto]],"")</f>
        <v>E001422045528391538</v>
      </c>
      <c r="X209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71194271</v>
      </c>
      <c r="Y209" s="3" t="str">
        <f>IFERROR(VLOOKUP(Banco_Nacion[[#This Row],[serie]]&amp;Banco_Nacion[[#This Row],[numero]]&amp;Banco_Nacion[[#This Row],[responsable]],[2]!Provision_CXC[[ID CXP]:[DETRACCION]],47,0),"")</f>
        <v/>
      </c>
      <c r="Z209" s="3"/>
      <c r="AA209" s="24" t="str">
        <f>IF(Banco_Nacion[[#This Row],[fecha]]&gt;0,TEXT(Banco_Nacion[[#This Row],[fecha]],"mmmm"),0)</f>
        <v>Abril</v>
      </c>
    </row>
    <row r="210" spans="1:27" x14ac:dyDescent="0.3">
      <c r="A210" s="2">
        <f>IF(Banco_Nacion[[#This Row],[tipo_registro]]="R",COUNTIFS($C$1:$C209,"R")+1,"")</f>
        <v>209</v>
      </c>
      <c r="B210" s="19" t="str">
        <f t="shared" si="15"/>
        <v>B-Banco de la Nacion</v>
      </c>
      <c r="C210" s="3" t="s">
        <v>1330</v>
      </c>
      <c r="D210" s="14">
        <v>45749</v>
      </c>
      <c r="E210" s="5">
        <v>20455283915</v>
      </c>
      <c r="F210" s="5" t="s">
        <v>1303</v>
      </c>
      <c r="G210" s="6" t="s">
        <v>425</v>
      </c>
      <c r="H210" s="6" t="s">
        <v>68</v>
      </c>
      <c r="I210" s="6" t="s">
        <v>1376</v>
      </c>
      <c r="J210" s="6">
        <v>41</v>
      </c>
      <c r="K210" s="7" t="s">
        <v>5232</v>
      </c>
      <c r="L210" s="8">
        <v>71194270</v>
      </c>
      <c r="M210" s="8" t="str">
        <f t="shared" si="16"/>
        <v>PEN</v>
      </c>
      <c r="N210" s="13"/>
      <c r="O210" s="13">
        <v>108</v>
      </c>
      <c r="P210" s="3">
        <f t="shared" si="17"/>
        <v>108</v>
      </c>
      <c r="Q210" s="3">
        <f t="shared" si="18"/>
        <v>0</v>
      </c>
      <c r="R210" s="3">
        <f t="shared" si="19"/>
        <v>32145.010000000009</v>
      </c>
      <c r="S210" s="24"/>
      <c r="T210" s="24" t="s">
        <v>1334</v>
      </c>
      <c r="U210" s="3"/>
      <c r="V210" s="19" t="str">
        <f>IFERROR(VLOOKUP(Banco_Nacion[[#This Row],[responsable]],Clientes_Proveedores[[Ruc / Dni]:[Razon Social]],2,0),"")</f>
        <v>EMPRESA CONSERVADORA AMBIENTAL DEL SUR E.I.R.L. - ECA SUR E.I.R.L.</v>
      </c>
      <c r="W210" s="19" t="str">
        <f>IF(Banco_Nacion[[#This Row],[tipo_mov]]="INGRESO",Banco_Nacion[[#This Row],[serie]]&amp;Banco_Nacion[[#This Row],[numero]]&amp;Banco_Nacion[[#This Row],[responsable]]&amp;Banco_Nacion[[#This Row],[monto]],"")</f>
        <v>E0014120455283915108</v>
      </c>
      <c r="X210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71194270</v>
      </c>
      <c r="Y210" s="3" t="str">
        <f>IFERROR(VLOOKUP(Banco_Nacion[[#This Row],[serie]]&amp;Banco_Nacion[[#This Row],[numero]]&amp;Banco_Nacion[[#This Row],[responsable]],[2]!Provision_CXC[[ID CXP]:[DETRACCION]],47,0),"")</f>
        <v/>
      </c>
      <c r="Z210" s="3"/>
      <c r="AA210" s="24" t="str">
        <f>IF(Banco_Nacion[[#This Row],[fecha]]&gt;0,TEXT(Banco_Nacion[[#This Row],[fecha]],"mmmm"),0)</f>
        <v>Abril</v>
      </c>
    </row>
    <row r="211" spans="1:27" x14ac:dyDescent="0.3">
      <c r="A211" s="2">
        <f>IF(Banco_Nacion[[#This Row],[tipo_registro]]="R",COUNTIFS($C$1:$C210,"R")+1,"")</f>
        <v>210</v>
      </c>
      <c r="B211" s="19" t="str">
        <f t="shared" si="15"/>
        <v>B-Banco de la Nacion</v>
      </c>
      <c r="C211" s="3" t="s">
        <v>1330</v>
      </c>
      <c r="D211" s="14">
        <v>45749</v>
      </c>
      <c r="E211" s="5">
        <v>20455283915</v>
      </c>
      <c r="F211" s="5" t="s">
        <v>1303</v>
      </c>
      <c r="G211" s="6" t="s">
        <v>425</v>
      </c>
      <c r="H211" s="6" t="s">
        <v>68</v>
      </c>
      <c r="I211" s="6" t="s">
        <v>1376</v>
      </c>
      <c r="J211" s="6">
        <v>40</v>
      </c>
      <c r="K211" s="7" t="s">
        <v>5232</v>
      </c>
      <c r="L211" s="8">
        <v>71194269</v>
      </c>
      <c r="M211" s="8" t="str">
        <f t="shared" si="16"/>
        <v>PEN</v>
      </c>
      <c r="N211" s="13"/>
      <c r="O211" s="13">
        <v>118</v>
      </c>
      <c r="P211" s="3">
        <f t="shared" si="17"/>
        <v>118</v>
      </c>
      <c r="Q211" s="3">
        <f t="shared" si="18"/>
        <v>0</v>
      </c>
      <c r="R211" s="3">
        <f t="shared" si="19"/>
        <v>32263.010000000009</v>
      </c>
      <c r="S211" s="24"/>
      <c r="T211" s="24" t="s">
        <v>1334</v>
      </c>
      <c r="U211" s="3"/>
      <c r="V211" s="19" t="str">
        <f>IFERROR(VLOOKUP(Banco_Nacion[[#This Row],[responsable]],Clientes_Proveedores[[Ruc / Dni]:[Razon Social]],2,0),"")</f>
        <v>EMPRESA CONSERVADORA AMBIENTAL DEL SUR E.I.R.L. - ECA SUR E.I.R.L.</v>
      </c>
      <c r="W211" s="19" t="str">
        <f>IF(Banco_Nacion[[#This Row],[tipo_mov]]="INGRESO",Banco_Nacion[[#This Row],[serie]]&amp;Banco_Nacion[[#This Row],[numero]]&amp;Banco_Nacion[[#This Row],[responsable]]&amp;Banco_Nacion[[#This Row],[monto]],"")</f>
        <v>E0014020455283915118</v>
      </c>
      <c r="X211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71194269</v>
      </c>
      <c r="Y211" s="3" t="str">
        <f>IFERROR(VLOOKUP(Banco_Nacion[[#This Row],[serie]]&amp;Banco_Nacion[[#This Row],[numero]]&amp;Banco_Nacion[[#This Row],[responsable]],[2]!Provision_CXC[[ID CXP]:[DETRACCION]],47,0),"")</f>
        <v/>
      </c>
      <c r="Z211" s="3"/>
      <c r="AA211" s="24" t="str">
        <f>IF(Banco_Nacion[[#This Row],[fecha]]&gt;0,TEXT(Banco_Nacion[[#This Row],[fecha]],"mmmm"),0)</f>
        <v>Abril</v>
      </c>
    </row>
    <row r="212" spans="1:27" x14ac:dyDescent="0.3">
      <c r="A212" s="2">
        <f>IF(Banco_Nacion[[#This Row],[tipo_registro]]="R",COUNTIFS($C$1:$C211,"R")+1,"")</f>
        <v>211</v>
      </c>
      <c r="B212" s="19" t="str">
        <f t="shared" si="15"/>
        <v>B-Banco de la Nacion</v>
      </c>
      <c r="C212" s="3" t="s">
        <v>1330</v>
      </c>
      <c r="D212" s="14">
        <v>45749</v>
      </c>
      <c r="E212" s="5">
        <v>20455283915</v>
      </c>
      <c r="F212" s="5" t="s">
        <v>1303</v>
      </c>
      <c r="G212" s="6" t="s">
        <v>425</v>
      </c>
      <c r="H212" s="6" t="s">
        <v>68</v>
      </c>
      <c r="I212" s="6" t="s">
        <v>1376</v>
      </c>
      <c r="J212" s="6">
        <v>22</v>
      </c>
      <c r="K212" s="7" t="s">
        <v>5232</v>
      </c>
      <c r="L212" s="8">
        <v>71194268</v>
      </c>
      <c r="M212" s="8" t="str">
        <f t="shared" si="16"/>
        <v>PEN</v>
      </c>
      <c r="N212" s="13"/>
      <c r="O212" s="13">
        <v>89</v>
      </c>
      <c r="P212" s="3">
        <f t="shared" si="17"/>
        <v>89</v>
      </c>
      <c r="Q212" s="3">
        <f t="shared" si="18"/>
        <v>0</v>
      </c>
      <c r="R212" s="3">
        <f t="shared" si="19"/>
        <v>32352.010000000009</v>
      </c>
      <c r="S212" s="24"/>
      <c r="T212" s="24" t="s">
        <v>1334</v>
      </c>
      <c r="U212" s="3"/>
      <c r="V212" s="19" t="str">
        <f>IFERROR(VLOOKUP(Banco_Nacion[[#This Row],[responsable]],Clientes_Proveedores[[Ruc / Dni]:[Razon Social]],2,0),"")</f>
        <v>EMPRESA CONSERVADORA AMBIENTAL DEL SUR E.I.R.L. - ECA SUR E.I.R.L.</v>
      </c>
      <c r="W212" s="19" t="str">
        <f>IF(Banco_Nacion[[#This Row],[tipo_mov]]="INGRESO",Banco_Nacion[[#This Row],[serie]]&amp;Banco_Nacion[[#This Row],[numero]]&amp;Banco_Nacion[[#This Row],[responsable]]&amp;Banco_Nacion[[#This Row],[monto]],"")</f>
        <v>E001222045528391589</v>
      </c>
      <c r="X212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71194268</v>
      </c>
      <c r="Y212" s="3" t="str">
        <f>IFERROR(VLOOKUP(Banco_Nacion[[#This Row],[serie]]&amp;Banco_Nacion[[#This Row],[numero]]&amp;Banco_Nacion[[#This Row],[responsable]],[2]!Provision_CXC[[ID CXP]:[DETRACCION]],47,0),"")</f>
        <v/>
      </c>
      <c r="Z212" s="3"/>
      <c r="AA212" s="24" t="str">
        <f>IF(Banco_Nacion[[#This Row],[fecha]]&gt;0,TEXT(Banco_Nacion[[#This Row],[fecha]],"mmmm"),0)</f>
        <v>Abril</v>
      </c>
    </row>
    <row r="213" spans="1:27" x14ac:dyDescent="0.3">
      <c r="A213" s="2">
        <f>IF(Banco_Nacion[[#This Row],[tipo_registro]]="R",COUNTIFS($C$1:$C212,"R")+1,"")</f>
        <v>212</v>
      </c>
      <c r="B213" s="19" t="str">
        <f t="shared" si="15"/>
        <v>B-Banco de la Nacion</v>
      </c>
      <c r="C213" s="3" t="s">
        <v>1330</v>
      </c>
      <c r="D213" s="14">
        <v>45749</v>
      </c>
      <c r="E213" s="5">
        <v>20455283915</v>
      </c>
      <c r="F213" s="5" t="s">
        <v>1303</v>
      </c>
      <c r="G213" s="6" t="s">
        <v>425</v>
      </c>
      <c r="H213" s="6" t="s">
        <v>68</v>
      </c>
      <c r="I213" s="6" t="s">
        <v>1376</v>
      </c>
      <c r="J213" s="6">
        <v>21</v>
      </c>
      <c r="K213" s="7" t="s">
        <v>5232</v>
      </c>
      <c r="L213" s="8">
        <v>71194267</v>
      </c>
      <c r="M213" s="8" t="str">
        <f t="shared" si="16"/>
        <v>PEN</v>
      </c>
      <c r="N213" s="13"/>
      <c r="O213" s="13">
        <v>36</v>
      </c>
      <c r="P213" s="3">
        <f t="shared" si="17"/>
        <v>36</v>
      </c>
      <c r="Q213" s="3">
        <f t="shared" si="18"/>
        <v>0</v>
      </c>
      <c r="R213" s="3">
        <f t="shared" si="19"/>
        <v>32388.010000000009</v>
      </c>
      <c r="S213" s="24"/>
      <c r="T213" s="24" t="s">
        <v>1334</v>
      </c>
      <c r="U213" s="3"/>
      <c r="V213" s="19" t="str">
        <f>IFERROR(VLOOKUP(Banco_Nacion[[#This Row],[responsable]],Clientes_Proveedores[[Ruc / Dni]:[Razon Social]],2,0),"")</f>
        <v>EMPRESA CONSERVADORA AMBIENTAL DEL SUR E.I.R.L. - ECA SUR E.I.R.L.</v>
      </c>
      <c r="W213" s="19" t="str">
        <f>IF(Banco_Nacion[[#This Row],[tipo_mov]]="INGRESO",Banco_Nacion[[#This Row],[serie]]&amp;Banco_Nacion[[#This Row],[numero]]&amp;Banco_Nacion[[#This Row],[responsable]]&amp;Banco_Nacion[[#This Row],[monto]],"")</f>
        <v>E001212045528391536</v>
      </c>
      <c r="X213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71194267</v>
      </c>
      <c r="Y213" s="3" t="str">
        <f>IFERROR(VLOOKUP(Banco_Nacion[[#This Row],[serie]]&amp;Banco_Nacion[[#This Row],[numero]]&amp;Banco_Nacion[[#This Row],[responsable]],[2]!Provision_CXC[[ID CXP]:[DETRACCION]],47,0),"")</f>
        <v/>
      </c>
      <c r="Z213" s="3"/>
      <c r="AA213" s="24" t="str">
        <f>IF(Banco_Nacion[[#This Row],[fecha]]&gt;0,TEXT(Banco_Nacion[[#This Row],[fecha]],"mmmm"),0)</f>
        <v>Abril</v>
      </c>
    </row>
    <row r="214" spans="1:27" x14ac:dyDescent="0.3">
      <c r="A214" s="2">
        <f>IF(Banco_Nacion[[#This Row],[tipo_registro]]="R",COUNTIFS($C$1:$C213,"R")+1,"")</f>
        <v>213</v>
      </c>
      <c r="B214" s="19" t="str">
        <f t="shared" si="15"/>
        <v>B-Banco de la Nacion</v>
      </c>
      <c r="C214" s="3" t="s">
        <v>1330</v>
      </c>
      <c r="D214" s="14">
        <v>45749</v>
      </c>
      <c r="E214" s="5">
        <v>20455283915</v>
      </c>
      <c r="F214" s="5" t="s">
        <v>1303</v>
      </c>
      <c r="G214" s="6" t="s">
        <v>425</v>
      </c>
      <c r="H214" s="6" t="s">
        <v>68</v>
      </c>
      <c r="I214" s="6" t="s">
        <v>1376</v>
      </c>
      <c r="J214" s="6">
        <v>20</v>
      </c>
      <c r="K214" s="7" t="s">
        <v>5232</v>
      </c>
      <c r="L214" s="8">
        <v>71194266</v>
      </c>
      <c r="M214" s="8" t="str">
        <f t="shared" si="16"/>
        <v>PEN</v>
      </c>
      <c r="N214" s="13"/>
      <c r="O214" s="13">
        <v>205</v>
      </c>
      <c r="P214" s="3">
        <f t="shared" si="17"/>
        <v>205</v>
      </c>
      <c r="Q214" s="3">
        <f t="shared" si="18"/>
        <v>0</v>
      </c>
      <c r="R214" s="3">
        <f t="shared" si="19"/>
        <v>32593.010000000009</v>
      </c>
      <c r="S214" s="24"/>
      <c r="T214" s="24" t="s">
        <v>1334</v>
      </c>
      <c r="U214" s="3"/>
      <c r="V214" s="19" t="str">
        <f>IFERROR(VLOOKUP(Banco_Nacion[[#This Row],[responsable]],Clientes_Proveedores[[Ruc / Dni]:[Razon Social]],2,0),"")</f>
        <v>EMPRESA CONSERVADORA AMBIENTAL DEL SUR E.I.R.L. - ECA SUR E.I.R.L.</v>
      </c>
      <c r="W214" s="19" t="str">
        <f>IF(Banco_Nacion[[#This Row],[tipo_mov]]="INGRESO",Banco_Nacion[[#This Row],[serie]]&amp;Banco_Nacion[[#This Row],[numero]]&amp;Banco_Nacion[[#This Row],[responsable]]&amp;Banco_Nacion[[#This Row],[monto]],"")</f>
        <v>E0012020455283915205</v>
      </c>
      <c r="X214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71194266</v>
      </c>
      <c r="Y214" s="3" t="str">
        <f>IFERROR(VLOOKUP(Banco_Nacion[[#This Row],[serie]]&amp;Banco_Nacion[[#This Row],[numero]]&amp;Banco_Nacion[[#This Row],[responsable]],[2]!Provision_CXC[[ID CXP]:[DETRACCION]],47,0),"")</f>
        <v/>
      </c>
      <c r="Z214" s="3"/>
      <c r="AA214" s="24" t="str">
        <f>IF(Banco_Nacion[[#This Row],[fecha]]&gt;0,TEXT(Banco_Nacion[[#This Row],[fecha]],"mmmm"),0)</f>
        <v>Abril</v>
      </c>
    </row>
    <row r="215" spans="1:27" x14ac:dyDescent="0.3">
      <c r="A215" s="2">
        <f>IF(Banco_Nacion[[#This Row],[tipo_registro]]="R",COUNTIFS($C$1:$C214,"R")+1,"")</f>
        <v>214</v>
      </c>
      <c r="B215" s="19" t="str">
        <f t="shared" si="15"/>
        <v>B-Banco de la Nacion</v>
      </c>
      <c r="C215" s="3" t="s">
        <v>1330</v>
      </c>
      <c r="D215" s="14">
        <v>45749</v>
      </c>
      <c r="E215" s="5">
        <v>20607388416</v>
      </c>
      <c r="F215" s="5" t="s">
        <v>1303</v>
      </c>
      <c r="G215" s="6" t="s">
        <v>425</v>
      </c>
      <c r="H215" s="6" t="s">
        <v>68</v>
      </c>
      <c r="I215" s="6" t="s">
        <v>1376</v>
      </c>
      <c r="J215" s="6">
        <v>16</v>
      </c>
      <c r="K215" s="7" t="s">
        <v>5232</v>
      </c>
      <c r="L215" s="8">
        <v>71188683</v>
      </c>
      <c r="M215" s="8" t="str">
        <f t="shared" si="16"/>
        <v>PEN</v>
      </c>
      <c r="N215" s="13"/>
      <c r="O215" s="13">
        <v>218</v>
      </c>
      <c r="P215" s="3">
        <f t="shared" si="17"/>
        <v>218</v>
      </c>
      <c r="Q215" s="3">
        <f t="shared" si="18"/>
        <v>0</v>
      </c>
      <c r="R215" s="3">
        <f t="shared" si="19"/>
        <v>32811.010000000009</v>
      </c>
      <c r="S215" s="24"/>
      <c r="T215" s="24" t="s">
        <v>1334</v>
      </c>
      <c r="U215" s="3"/>
      <c r="V215" s="19" t="str">
        <f>IFERROR(VLOOKUP(Banco_Nacion[[#This Row],[responsable]],Clientes_Proveedores[[Ruc / Dni]:[Razon Social]],2,0),"")</f>
        <v>ALEACIONES FERROSAS Y METALICAS S.A.C.</v>
      </c>
      <c r="W215" s="19" t="str">
        <f>IF(Banco_Nacion[[#This Row],[tipo_mov]]="INGRESO",Banco_Nacion[[#This Row],[serie]]&amp;Banco_Nacion[[#This Row],[numero]]&amp;Banco_Nacion[[#This Row],[responsable]]&amp;Banco_Nacion[[#This Row],[monto]],"")</f>
        <v>E0011620607388416218</v>
      </c>
      <c r="X215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71188683</v>
      </c>
      <c r="Y215" s="3" t="str">
        <f>IFERROR(VLOOKUP(Banco_Nacion[[#This Row],[serie]]&amp;Banco_Nacion[[#This Row],[numero]]&amp;Banco_Nacion[[#This Row],[responsable]],[2]!Provision_CXC[[ID CXP]:[DETRACCION]],47,0),"")</f>
        <v/>
      </c>
      <c r="Z215" s="3"/>
      <c r="AA215" s="24" t="str">
        <f>IF(Banco_Nacion[[#This Row],[fecha]]&gt;0,TEXT(Banco_Nacion[[#This Row],[fecha]],"mmmm"),0)</f>
        <v>Abril</v>
      </c>
    </row>
    <row r="216" spans="1:27" x14ac:dyDescent="0.3">
      <c r="A216" s="2">
        <f>IF(Banco_Nacion[[#This Row],[tipo_registro]]="R",COUNTIFS($C$1:$C215,"R")+1,"")</f>
        <v>215</v>
      </c>
      <c r="B216" s="19" t="str">
        <f t="shared" si="15"/>
        <v>B-Banco de la Nacion</v>
      </c>
      <c r="C216" s="3" t="s">
        <v>1330</v>
      </c>
      <c r="D216" s="14">
        <v>45749</v>
      </c>
      <c r="E216" s="5">
        <v>20607388416</v>
      </c>
      <c r="F216" s="5" t="s">
        <v>1303</v>
      </c>
      <c r="G216" s="6" t="s">
        <v>425</v>
      </c>
      <c r="H216" s="6" t="s">
        <v>68</v>
      </c>
      <c r="I216" s="6" t="s">
        <v>1376</v>
      </c>
      <c r="J216" s="6">
        <v>13</v>
      </c>
      <c r="K216" s="7" t="s">
        <v>5232</v>
      </c>
      <c r="L216" s="8">
        <v>71188386</v>
      </c>
      <c r="M216" s="8" t="str">
        <f t="shared" si="16"/>
        <v>PEN</v>
      </c>
      <c r="N216" s="13"/>
      <c r="O216" s="13">
        <v>127</v>
      </c>
      <c r="P216" s="3">
        <f t="shared" si="17"/>
        <v>127</v>
      </c>
      <c r="Q216" s="3">
        <f t="shared" si="18"/>
        <v>0</v>
      </c>
      <c r="R216" s="3">
        <f t="shared" si="19"/>
        <v>32938.010000000009</v>
      </c>
      <c r="S216" s="24"/>
      <c r="T216" s="24" t="s">
        <v>1334</v>
      </c>
      <c r="U216" s="3"/>
      <c r="V216" s="19" t="str">
        <f>IFERROR(VLOOKUP(Banco_Nacion[[#This Row],[responsable]],Clientes_Proveedores[[Ruc / Dni]:[Razon Social]],2,0),"")</f>
        <v>ALEACIONES FERROSAS Y METALICAS S.A.C.</v>
      </c>
      <c r="W216" s="19" t="str">
        <f>IF(Banco_Nacion[[#This Row],[tipo_mov]]="INGRESO",Banco_Nacion[[#This Row],[serie]]&amp;Banco_Nacion[[#This Row],[numero]]&amp;Banco_Nacion[[#This Row],[responsable]]&amp;Banco_Nacion[[#This Row],[monto]],"")</f>
        <v>E0011320607388416127</v>
      </c>
      <c r="X216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71188386</v>
      </c>
      <c r="Y216" s="3" t="str">
        <f>IFERROR(VLOOKUP(Banco_Nacion[[#This Row],[serie]]&amp;Banco_Nacion[[#This Row],[numero]]&amp;Banco_Nacion[[#This Row],[responsable]],[2]!Provision_CXC[[ID CXP]:[DETRACCION]],47,0),"")</f>
        <v/>
      </c>
      <c r="Z216" s="3"/>
      <c r="AA216" s="24" t="str">
        <f>IF(Banco_Nacion[[#This Row],[fecha]]&gt;0,TEXT(Banco_Nacion[[#This Row],[fecha]],"mmmm"),0)</f>
        <v>Abril</v>
      </c>
    </row>
    <row r="217" spans="1:27" x14ac:dyDescent="0.3">
      <c r="A217" s="2">
        <f>IF(Banco_Nacion[[#This Row],[tipo_registro]]="R",COUNTIFS($C$1:$C216,"R")+1,"")</f>
        <v>216</v>
      </c>
      <c r="B217" s="19" t="str">
        <f t="shared" si="15"/>
        <v>B-Banco de la Nacion</v>
      </c>
      <c r="C217" s="3" t="s">
        <v>1330</v>
      </c>
      <c r="D217" s="14">
        <v>45749</v>
      </c>
      <c r="E217" s="5">
        <v>20601119600</v>
      </c>
      <c r="F217" s="5" t="s">
        <v>1303</v>
      </c>
      <c r="G217" s="6" t="s">
        <v>425</v>
      </c>
      <c r="H217" s="6" t="s">
        <v>68</v>
      </c>
      <c r="I217" s="6" t="s">
        <v>1376</v>
      </c>
      <c r="J217" s="6">
        <v>34</v>
      </c>
      <c r="K217" s="7" t="s">
        <v>5232</v>
      </c>
      <c r="L217" s="8">
        <v>26360862</v>
      </c>
      <c r="M217" s="8" t="str">
        <f t="shared" si="16"/>
        <v>PEN</v>
      </c>
      <c r="N217" s="13"/>
      <c r="O217" s="13">
        <v>142</v>
      </c>
      <c r="P217" s="3">
        <f t="shared" si="17"/>
        <v>142</v>
      </c>
      <c r="Q217" s="3">
        <f t="shared" si="18"/>
        <v>0</v>
      </c>
      <c r="R217" s="3">
        <f t="shared" si="19"/>
        <v>33080.010000000009</v>
      </c>
      <c r="S217" s="24"/>
      <c r="T217" s="24" t="s">
        <v>1334</v>
      </c>
      <c r="U217" s="3"/>
      <c r="V217" s="19" t="str">
        <f>IFERROR(VLOOKUP(Banco_Nacion[[#This Row],[responsable]],Clientes_Proveedores[[Ruc / Dni]:[Razon Social]],2,0),"")</f>
        <v>INVERSIONES W.J.M. S.A.C.</v>
      </c>
      <c r="W217" s="19" t="str">
        <f>IF(Banco_Nacion[[#This Row],[tipo_mov]]="INGRESO",Banco_Nacion[[#This Row],[serie]]&amp;Banco_Nacion[[#This Row],[numero]]&amp;Banco_Nacion[[#This Row],[responsable]]&amp;Banco_Nacion[[#This Row],[monto]],"")</f>
        <v>E0013420601119600142</v>
      </c>
      <c r="X217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26360862</v>
      </c>
      <c r="Y217" s="3" t="str">
        <f>IFERROR(VLOOKUP(Banco_Nacion[[#This Row],[serie]]&amp;Banco_Nacion[[#This Row],[numero]]&amp;Banco_Nacion[[#This Row],[responsable]],[2]!Provision_CXC[[ID CXP]:[DETRACCION]],47,0),"")</f>
        <v/>
      </c>
      <c r="Z217" s="3"/>
      <c r="AA217" s="24" t="str">
        <f>IF(Banco_Nacion[[#This Row],[fecha]]&gt;0,TEXT(Banco_Nacion[[#This Row],[fecha]],"mmmm"),0)</f>
        <v>Abril</v>
      </c>
    </row>
    <row r="218" spans="1:27" x14ac:dyDescent="0.3">
      <c r="A218" s="2">
        <f>IF(Banco_Nacion[[#This Row],[tipo_registro]]="R",COUNTIFS($C$1:$C217,"R")+1,"")</f>
        <v>217</v>
      </c>
      <c r="B218" s="19" t="str">
        <f t="shared" si="15"/>
        <v>B-Banco de la Nacion</v>
      </c>
      <c r="C218" s="3" t="s">
        <v>1330</v>
      </c>
      <c r="D218" s="14">
        <v>45749</v>
      </c>
      <c r="E218" s="5">
        <v>20601119600</v>
      </c>
      <c r="F218" s="5" t="s">
        <v>1303</v>
      </c>
      <c r="G218" s="6" t="s">
        <v>425</v>
      </c>
      <c r="H218" s="6" t="s">
        <v>68</v>
      </c>
      <c r="I218" s="6" t="s">
        <v>1376</v>
      </c>
      <c r="J218" s="6">
        <v>37</v>
      </c>
      <c r="K218" s="7" t="s">
        <v>5232</v>
      </c>
      <c r="L218" s="8">
        <v>26359654</v>
      </c>
      <c r="M218" s="8" t="str">
        <f t="shared" si="16"/>
        <v>PEN</v>
      </c>
      <c r="N218" s="13"/>
      <c r="O218" s="13">
        <v>79</v>
      </c>
      <c r="P218" s="3">
        <f t="shared" si="17"/>
        <v>79</v>
      </c>
      <c r="Q218" s="3">
        <f t="shared" si="18"/>
        <v>0</v>
      </c>
      <c r="R218" s="3">
        <f t="shared" si="19"/>
        <v>33159.010000000009</v>
      </c>
      <c r="S218" s="24"/>
      <c r="T218" s="24" t="s">
        <v>1334</v>
      </c>
      <c r="U218" s="3"/>
      <c r="V218" s="19" t="str">
        <f>IFERROR(VLOOKUP(Banco_Nacion[[#This Row],[responsable]],Clientes_Proveedores[[Ruc / Dni]:[Razon Social]],2,0),"")</f>
        <v>INVERSIONES W.J.M. S.A.C.</v>
      </c>
      <c r="W218" s="19" t="str">
        <f>IF(Banco_Nacion[[#This Row],[tipo_mov]]="INGRESO",Banco_Nacion[[#This Row],[serie]]&amp;Banco_Nacion[[#This Row],[numero]]&amp;Banco_Nacion[[#This Row],[responsable]]&amp;Banco_Nacion[[#This Row],[monto]],"")</f>
        <v>E001372060111960079</v>
      </c>
      <c r="X218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26359654</v>
      </c>
      <c r="Y218" s="3" t="str">
        <f>IFERROR(VLOOKUP(Banco_Nacion[[#This Row],[serie]]&amp;Banco_Nacion[[#This Row],[numero]]&amp;Banco_Nacion[[#This Row],[responsable]],[2]!Provision_CXC[[ID CXP]:[DETRACCION]],47,0),"")</f>
        <v/>
      </c>
      <c r="Z218" s="3"/>
      <c r="AA218" s="24" t="str">
        <f>IF(Banco_Nacion[[#This Row],[fecha]]&gt;0,TEXT(Banco_Nacion[[#This Row],[fecha]],"mmmm"),0)</f>
        <v>Abril</v>
      </c>
    </row>
    <row r="219" spans="1:27" x14ac:dyDescent="0.3">
      <c r="A219" s="2">
        <f>IF(Banco_Nacion[[#This Row],[tipo_registro]]="R",COUNTIFS($C$1:$C218,"R")+1,"")</f>
        <v>218</v>
      </c>
      <c r="B219" s="19" t="str">
        <f t="shared" si="15"/>
        <v>B-Banco de la Nacion</v>
      </c>
      <c r="C219" s="3" t="s">
        <v>1330</v>
      </c>
      <c r="D219" s="14">
        <v>45750</v>
      </c>
      <c r="E219" s="5">
        <v>20481475342</v>
      </c>
      <c r="F219" s="5" t="s">
        <v>1303</v>
      </c>
      <c r="G219" s="6" t="s">
        <v>425</v>
      </c>
      <c r="H219" s="6" t="s">
        <v>68</v>
      </c>
      <c r="I219" s="6" t="s">
        <v>1343</v>
      </c>
      <c r="J219" s="6">
        <v>556</v>
      </c>
      <c r="K219" s="7" t="s">
        <v>5232</v>
      </c>
      <c r="L219" s="8">
        <v>71533121</v>
      </c>
      <c r="M219" s="8" t="str">
        <f t="shared" si="16"/>
        <v>PEN</v>
      </c>
      <c r="N219" s="13"/>
      <c r="O219" s="13">
        <v>331</v>
      </c>
      <c r="P219" s="3">
        <f t="shared" si="17"/>
        <v>331</v>
      </c>
      <c r="Q219" s="3">
        <f t="shared" si="18"/>
        <v>0</v>
      </c>
      <c r="R219" s="3">
        <f t="shared" si="19"/>
        <v>33490.010000000009</v>
      </c>
      <c r="S219" s="24"/>
      <c r="T219" s="24" t="s">
        <v>1334</v>
      </c>
      <c r="U219" s="3"/>
      <c r="V219" s="19" t="str">
        <f>IFERROR(VLOOKUP(Banco_Nacion[[#This Row],[responsable]],Clientes_Proveedores[[Ruc / Dni]:[Razon Social]],2,0),"")</f>
        <v>R&amp;C INGENIEROS CONSULTORES Y CONSTRUCTORES SRL</v>
      </c>
      <c r="W219" s="19" t="str">
        <f>IF(Banco_Nacion[[#This Row],[tipo_mov]]="INGRESO",Banco_Nacion[[#This Row],[serie]]&amp;Banco_Nacion[[#This Row],[numero]]&amp;Banco_Nacion[[#This Row],[responsable]]&amp;Banco_Nacion[[#This Row],[monto]],"")</f>
        <v>FE0155620481475342331</v>
      </c>
      <c r="X219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71533121</v>
      </c>
      <c r="Y219" s="3" t="str">
        <f>IFERROR(VLOOKUP(Banco_Nacion[[#This Row],[serie]]&amp;Banco_Nacion[[#This Row],[numero]]&amp;Banco_Nacion[[#This Row],[responsable]],[2]!Provision_CXC[[ID CXP]:[DETRACCION]],47,0),"")</f>
        <v/>
      </c>
      <c r="Z219" s="3"/>
      <c r="AA219" s="24" t="str">
        <f>IF(Banco_Nacion[[#This Row],[fecha]]&gt;0,TEXT(Banco_Nacion[[#This Row],[fecha]],"mmmm"),0)</f>
        <v>Abril</v>
      </c>
    </row>
    <row r="220" spans="1:27" x14ac:dyDescent="0.3">
      <c r="A220" s="2">
        <f>IF(Banco_Nacion[[#This Row],[tipo_registro]]="R",COUNTIFS($C$1:$C219,"R")+1,"")</f>
        <v>219</v>
      </c>
      <c r="B220" s="19" t="str">
        <f t="shared" si="15"/>
        <v>B-Banco de la Nacion</v>
      </c>
      <c r="C220" s="3" t="s">
        <v>1330</v>
      </c>
      <c r="D220" s="14">
        <v>45750</v>
      </c>
      <c r="E220" s="5">
        <v>20100192064</v>
      </c>
      <c r="F220" s="5" t="s">
        <v>1303</v>
      </c>
      <c r="G220" s="6" t="s">
        <v>425</v>
      </c>
      <c r="H220" s="6" t="s">
        <v>68</v>
      </c>
      <c r="I220" s="6" t="s">
        <v>1784</v>
      </c>
      <c r="J220" s="6">
        <v>9</v>
      </c>
      <c r="K220" s="7" t="s">
        <v>5232</v>
      </c>
      <c r="L220" s="8">
        <v>71503555</v>
      </c>
      <c r="M220" s="8" t="str">
        <f t="shared" si="16"/>
        <v>PEN</v>
      </c>
      <c r="N220" s="13"/>
      <c r="O220" s="13">
        <v>516</v>
      </c>
      <c r="P220" s="3">
        <f t="shared" si="17"/>
        <v>516</v>
      </c>
      <c r="Q220" s="3">
        <f t="shared" si="18"/>
        <v>0</v>
      </c>
      <c r="R220" s="3">
        <f t="shared" si="19"/>
        <v>34006.010000000009</v>
      </c>
      <c r="S220" s="24"/>
      <c r="T220" s="24" t="s">
        <v>1334</v>
      </c>
      <c r="U220" s="3"/>
      <c r="V220" s="19" t="str">
        <f>IFERROR(VLOOKUP(Banco_Nacion[[#This Row],[responsable]],Clientes_Proveedores[[Ruc / Dni]:[Razon Social]],2,0),"")</f>
        <v>MOLY-COP ADESUR S.A</v>
      </c>
      <c r="W220" s="19" t="str">
        <f>IF(Banco_Nacion[[#This Row],[tipo_mov]]="INGRESO",Banco_Nacion[[#This Row],[serie]]&amp;Banco_Nacion[[#This Row],[numero]]&amp;Banco_Nacion[[#This Row],[responsable]]&amp;Banco_Nacion[[#This Row],[monto]],"")</f>
        <v>FF01920100192064516</v>
      </c>
      <c r="X220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71503555</v>
      </c>
      <c r="Y220" s="3" t="str">
        <f>IFERROR(VLOOKUP(Banco_Nacion[[#This Row],[serie]]&amp;Banco_Nacion[[#This Row],[numero]]&amp;Banco_Nacion[[#This Row],[responsable]],[2]!Provision_CXC[[ID CXP]:[DETRACCION]],47,0),"")</f>
        <v/>
      </c>
      <c r="Z220" s="3"/>
      <c r="AA220" s="24" t="str">
        <f>IF(Banco_Nacion[[#This Row],[fecha]]&gt;0,TEXT(Banco_Nacion[[#This Row],[fecha]],"mmmm"),0)</f>
        <v>Abril</v>
      </c>
    </row>
    <row r="221" spans="1:27" x14ac:dyDescent="0.3">
      <c r="A221" s="2">
        <f>IF(Banco_Nacion[[#This Row],[tipo_registro]]="R",COUNTIFS($C$1:$C220,"R")+1,"")</f>
        <v>220</v>
      </c>
      <c r="B221" s="19" t="str">
        <f t="shared" si="15"/>
        <v>B-Banco de la Nacion</v>
      </c>
      <c r="C221" s="3" t="s">
        <v>1330</v>
      </c>
      <c r="D221" s="14">
        <v>45750</v>
      </c>
      <c r="E221" s="5">
        <v>20100192064</v>
      </c>
      <c r="F221" s="5" t="s">
        <v>1303</v>
      </c>
      <c r="G221" s="6" t="s">
        <v>425</v>
      </c>
      <c r="H221" s="6" t="s">
        <v>68</v>
      </c>
      <c r="I221" s="6" t="s">
        <v>1784</v>
      </c>
      <c r="J221" s="6">
        <v>1</v>
      </c>
      <c r="K221" s="7" t="s">
        <v>5232</v>
      </c>
      <c r="L221" s="8">
        <v>71503385</v>
      </c>
      <c r="M221" s="8" t="str">
        <f t="shared" si="16"/>
        <v>PEN</v>
      </c>
      <c r="N221" s="13"/>
      <c r="O221" s="13">
        <v>1396</v>
      </c>
      <c r="P221" s="3">
        <f t="shared" si="17"/>
        <v>1396</v>
      </c>
      <c r="Q221" s="3">
        <f t="shared" si="18"/>
        <v>0</v>
      </c>
      <c r="R221" s="3">
        <f t="shared" si="19"/>
        <v>35402.010000000009</v>
      </c>
      <c r="S221" s="24"/>
      <c r="T221" s="24" t="s">
        <v>1334</v>
      </c>
      <c r="U221" s="3"/>
      <c r="V221" s="19" t="str">
        <f>IFERROR(VLOOKUP(Banco_Nacion[[#This Row],[responsable]],Clientes_Proveedores[[Ruc / Dni]:[Razon Social]],2,0),"")</f>
        <v>MOLY-COP ADESUR S.A</v>
      </c>
      <c r="W221" s="19" t="str">
        <f>IF(Banco_Nacion[[#This Row],[tipo_mov]]="INGRESO",Banco_Nacion[[#This Row],[serie]]&amp;Banco_Nacion[[#This Row],[numero]]&amp;Banco_Nacion[[#This Row],[responsable]]&amp;Banco_Nacion[[#This Row],[monto]],"")</f>
        <v>FF011201001920641396</v>
      </c>
      <c r="X221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71503385</v>
      </c>
      <c r="Y221" s="3" t="str">
        <f>IFERROR(VLOOKUP(Banco_Nacion[[#This Row],[serie]]&amp;Banco_Nacion[[#This Row],[numero]]&amp;Banco_Nacion[[#This Row],[responsable]],[2]!Provision_CXC[[ID CXP]:[DETRACCION]],47,0),"")</f>
        <v/>
      </c>
      <c r="Z221" s="3"/>
      <c r="AA221" s="24" t="str">
        <f>IF(Banco_Nacion[[#This Row],[fecha]]&gt;0,TEXT(Banco_Nacion[[#This Row],[fecha]],"mmmm"),0)</f>
        <v>Abril</v>
      </c>
    </row>
    <row r="222" spans="1:27" x14ac:dyDescent="0.3">
      <c r="A222" s="2">
        <f>IF(Banco_Nacion[[#This Row],[tipo_registro]]="R",COUNTIFS($C$1:$C221,"R")+1,"")</f>
        <v>221</v>
      </c>
      <c r="B222" s="19" t="str">
        <f t="shared" si="15"/>
        <v>B-Banco de la Nacion</v>
      </c>
      <c r="C222" s="3" t="s">
        <v>1330</v>
      </c>
      <c r="D222" s="14">
        <v>45750</v>
      </c>
      <c r="E222" s="5">
        <v>20141637941</v>
      </c>
      <c r="F222" s="5" t="s">
        <v>1303</v>
      </c>
      <c r="G222" s="6" t="s">
        <v>425</v>
      </c>
      <c r="H222" s="6" t="s">
        <v>68</v>
      </c>
      <c r="I222" s="6" t="s">
        <v>1376</v>
      </c>
      <c r="J222" s="6">
        <v>33</v>
      </c>
      <c r="K222" s="7" t="s">
        <v>5232</v>
      </c>
      <c r="L222" s="8">
        <v>71478824</v>
      </c>
      <c r="M222" s="8" t="str">
        <f t="shared" si="16"/>
        <v>PEN</v>
      </c>
      <c r="N222" s="13"/>
      <c r="O222" s="13">
        <v>95</v>
      </c>
      <c r="P222" s="3">
        <f t="shared" si="17"/>
        <v>95</v>
      </c>
      <c r="Q222" s="3">
        <f t="shared" si="18"/>
        <v>0</v>
      </c>
      <c r="R222" s="3">
        <f t="shared" si="19"/>
        <v>35497.010000000009</v>
      </c>
      <c r="S222" s="24"/>
      <c r="T222" s="24" t="s">
        <v>1334</v>
      </c>
      <c r="U222" s="3"/>
      <c r="V222" s="19" t="str">
        <f>IFERROR(VLOOKUP(Banco_Nacion[[#This Row],[responsable]],Clientes_Proveedores[[Ruc / Dni]:[Razon Social]],2,0),"")</f>
        <v>UNIVERSIDAD CATOLICA DE SANTA MARIA</v>
      </c>
      <c r="W222" s="19" t="str">
        <f>IF(Banco_Nacion[[#This Row],[tipo_mov]]="INGRESO",Banco_Nacion[[#This Row],[serie]]&amp;Banco_Nacion[[#This Row],[numero]]&amp;Banco_Nacion[[#This Row],[responsable]]&amp;Banco_Nacion[[#This Row],[monto]],"")</f>
        <v>E001332014163794195</v>
      </c>
      <c r="X222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71478824</v>
      </c>
      <c r="Y222" s="3" t="str">
        <f>IFERROR(VLOOKUP(Banco_Nacion[[#This Row],[serie]]&amp;Banco_Nacion[[#This Row],[numero]]&amp;Banco_Nacion[[#This Row],[responsable]],[2]!Provision_CXC[[ID CXP]:[DETRACCION]],47,0),"")</f>
        <v/>
      </c>
      <c r="Z222" s="3"/>
      <c r="AA222" s="24" t="str">
        <f>IF(Banco_Nacion[[#This Row],[fecha]]&gt;0,TEXT(Banco_Nacion[[#This Row],[fecha]],"mmmm"),0)</f>
        <v>Abril</v>
      </c>
    </row>
    <row r="223" spans="1:27" x14ac:dyDescent="0.3">
      <c r="A223" s="2">
        <f>IF(Banco_Nacion[[#This Row],[tipo_registro]]="R",COUNTIFS($C$1:$C222,"R")+1,"")</f>
        <v>222</v>
      </c>
      <c r="B223" s="19" t="str">
        <f t="shared" si="15"/>
        <v>B-Banco de la Nacion</v>
      </c>
      <c r="C223" s="3" t="s">
        <v>1330</v>
      </c>
      <c r="D223" s="14">
        <v>45754</v>
      </c>
      <c r="E223" s="5">
        <v>20370146994</v>
      </c>
      <c r="F223" s="5" t="s">
        <v>1303</v>
      </c>
      <c r="G223" s="6" t="s">
        <v>425</v>
      </c>
      <c r="H223" s="6" t="s">
        <v>68</v>
      </c>
      <c r="I223" s="6" t="s">
        <v>3302</v>
      </c>
      <c r="J223" s="6">
        <v>6</v>
      </c>
      <c r="K223" s="7" t="s">
        <v>5232</v>
      </c>
      <c r="L223" s="8">
        <v>71880293</v>
      </c>
      <c r="M223" s="8" t="str">
        <f t="shared" si="16"/>
        <v>PEN</v>
      </c>
      <c r="N223" s="13"/>
      <c r="O223" s="13">
        <v>3848</v>
      </c>
      <c r="P223" s="3">
        <f t="shared" si="17"/>
        <v>3848</v>
      </c>
      <c r="Q223" s="3">
        <f t="shared" si="18"/>
        <v>0</v>
      </c>
      <c r="R223" s="3">
        <f t="shared" si="19"/>
        <v>39345.010000000009</v>
      </c>
      <c r="S223" s="24"/>
      <c r="T223" s="24" t="s">
        <v>1334</v>
      </c>
      <c r="U223" s="3"/>
      <c r="V223" s="19" t="str">
        <f>IFERROR(VLOOKUP(Banco_Nacion[[#This Row],[responsable]],Clientes_Proveedores[[Ruc / Dni]:[Razon Social]],2,0),"")</f>
        <v>CORPORACION ACEROS AREQUIPA S.A</v>
      </c>
      <c r="W223" s="19" t="str">
        <f>IF(Banco_Nacion[[#This Row],[tipo_mov]]="INGRESO",Banco_Nacion[[#This Row],[serie]]&amp;Banco_Nacion[[#This Row],[numero]]&amp;Banco_Nacion[[#This Row],[responsable]]&amp;Banco_Nacion[[#This Row],[monto]],"")</f>
        <v>FF026203701469943848</v>
      </c>
      <c r="X223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71880293</v>
      </c>
      <c r="Y223" s="3" t="str">
        <f>IFERROR(VLOOKUP(Banco_Nacion[[#This Row],[serie]]&amp;Banco_Nacion[[#This Row],[numero]]&amp;Banco_Nacion[[#This Row],[responsable]],[2]!Provision_CXC[[ID CXP]:[DETRACCION]],47,0),"")</f>
        <v/>
      </c>
      <c r="Z223" s="3"/>
      <c r="AA223" s="24" t="str">
        <f>IF(Banco_Nacion[[#This Row],[fecha]]&gt;0,TEXT(Banco_Nacion[[#This Row],[fecha]],"mmmm"),0)</f>
        <v>Abril</v>
      </c>
    </row>
    <row r="224" spans="1:27" x14ac:dyDescent="0.3">
      <c r="A224" s="2">
        <f>IF(Banco_Nacion[[#This Row],[tipo_registro]]="R",COUNTIFS($C$1:$C223,"R")+1,"")</f>
        <v>223</v>
      </c>
      <c r="B224" s="19" t="str">
        <f t="shared" si="15"/>
        <v>B-Banco de la Nacion</v>
      </c>
      <c r="C224" s="3" t="s">
        <v>1330</v>
      </c>
      <c r="D224" s="14">
        <v>45754</v>
      </c>
      <c r="E224" s="5">
        <v>20432552072</v>
      </c>
      <c r="F224" s="5" t="s">
        <v>1303</v>
      </c>
      <c r="G224" s="6" t="s">
        <v>425</v>
      </c>
      <c r="H224" s="6" t="s">
        <v>68</v>
      </c>
      <c r="I224" s="6" t="s">
        <v>1343</v>
      </c>
      <c r="J224" s="6">
        <v>584</v>
      </c>
      <c r="K224" s="7" t="s">
        <v>5232</v>
      </c>
      <c r="L224" s="8">
        <v>71831156</v>
      </c>
      <c r="M224" s="8" t="str">
        <f t="shared" si="16"/>
        <v>PEN</v>
      </c>
      <c r="N224" s="13"/>
      <c r="O224" s="13">
        <v>156</v>
      </c>
      <c r="P224" s="3">
        <f t="shared" si="17"/>
        <v>156</v>
      </c>
      <c r="Q224" s="3">
        <f t="shared" si="18"/>
        <v>0</v>
      </c>
      <c r="R224" s="3">
        <f t="shared" si="19"/>
        <v>39501.010000000009</v>
      </c>
      <c r="S224" s="24"/>
      <c r="T224" s="24" t="s">
        <v>1334</v>
      </c>
      <c r="U224" s="3"/>
      <c r="V224" s="19" t="str">
        <f>IFERROR(VLOOKUP(Banco_Nacion[[#This Row],[responsable]],Clientes_Proveedores[[Ruc / Dni]:[Razon Social]],2,0),"")</f>
        <v>CARGO TRANSPORT S.A.C.</v>
      </c>
      <c r="W224" s="19" t="str">
        <f>IF(Banco_Nacion[[#This Row],[tipo_mov]]="INGRESO",Banco_Nacion[[#This Row],[serie]]&amp;Banco_Nacion[[#This Row],[numero]]&amp;Banco_Nacion[[#This Row],[responsable]]&amp;Banco_Nacion[[#This Row],[monto]],"")</f>
        <v>FE0158420432552072156</v>
      </c>
      <c r="X224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71831156</v>
      </c>
      <c r="Y224" s="3" t="str">
        <f>IFERROR(VLOOKUP(Banco_Nacion[[#This Row],[serie]]&amp;Banco_Nacion[[#This Row],[numero]]&amp;Banco_Nacion[[#This Row],[responsable]],[2]!Provision_CXC[[ID CXP]:[DETRACCION]],47,0),"")</f>
        <v/>
      </c>
      <c r="Z224" s="3"/>
      <c r="AA224" s="24" t="str">
        <f>IF(Banco_Nacion[[#This Row],[fecha]]&gt;0,TEXT(Banco_Nacion[[#This Row],[fecha]],"mmmm"),0)</f>
        <v>Abril</v>
      </c>
    </row>
    <row r="225" spans="1:27" x14ac:dyDescent="0.3">
      <c r="A225" s="2">
        <f>IF(Banco_Nacion[[#This Row],[tipo_registro]]="R",COUNTIFS($C$1:$C224,"R")+1,"")</f>
        <v>224</v>
      </c>
      <c r="B225" s="19" t="str">
        <f t="shared" si="15"/>
        <v>B-Banco de la Nacion</v>
      </c>
      <c r="C225" s="3" t="s">
        <v>1330</v>
      </c>
      <c r="D225" s="14">
        <v>45755</v>
      </c>
      <c r="E225" s="5">
        <v>20514133931</v>
      </c>
      <c r="F225" s="5" t="s">
        <v>1303</v>
      </c>
      <c r="G225" s="6" t="s">
        <v>425</v>
      </c>
      <c r="H225" s="6" t="s">
        <v>68</v>
      </c>
      <c r="I225" s="6" t="s">
        <v>1376</v>
      </c>
      <c r="J225" s="6">
        <v>14</v>
      </c>
      <c r="K225" s="7" t="s">
        <v>5232</v>
      </c>
      <c r="L225" s="8">
        <v>72722424</v>
      </c>
      <c r="M225" s="8" t="str">
        <f t="shared" si="16"/>
        <v>PEN</v>
      </c>
      <c r="N225" s="13"/>
      <c r="O225" s="13">
        <v>160</v>
      </c>
      <c r="P225" s="3">
        <f t="shared" si="17"/>
        <v>160</v>
      </c>
      <c r="Q225" s="3">
        <f t="shared" si="18"/>
        <v>0</v>
      </c>
      <c r="R225" s="3">
        <f t="shared" si="19"/>
        <v>39661.010000000009</v>
      </c>
      <c r="S225" s="24"/>
      <c r="T225" s="24" t="s">
        <v>1334</v>
      </c>
      <c r="U225" s="3"/>
      <c r="V225" s="19" t="str">
        <f>IFERROR(VLOOKUP(Banco_Nacion[[#This Row],[responsable]],Clientes_Proveedores[[Ruc / Dni]:[Razon Social]],2,0),"")</f>
        <v>CORPORACION MEDIOAMBIENTAL AMPCO PERU SOCIEDAD ANONIMA CERRADA
- CM AMPCO PERU S.A.C</v>
      </c>
      <c r="W225" s="19" t="str">
        <f>IF(Banco_Nacion[[#This Row],[tipo_mov]]="INGRESO",Banco_Nacion[[#This Row],[serie]]&amp;Banco_Nacion[[#This Row],[numero]]&amp;Banco_Nacion[[#This Row],[responsable]]&amp;Banco_Nacion[[#This Row],[monto]],"")</f>
        <v>E0011420514133931160</v>
      </c>
      <c r="X225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72722424</v>
      </c>
      <c r="Y225" s="3" t="str">
        <f>IFERROR(VLOOKUP(Banco_Nacion[[#This Row],[serie]]&amp;Banco_Nacion[[#This Row],[numero]]&amp;Banco_Nacion[[#This Row],[responsable]],[2]!Provision_CXC[[ID CXP]:[DETRACCION]],47,0),"")</f>
        <v/>
      </c>
      <c r="Z225" s="3"/>
      <c r="AA225" s="24" t="str">
        <f>IF(Banco_Nacion[[#This Row],[fecha]]&gt;0,TEXT(Banco_Nacion[[#This Row],[fecha]],"mmmm"),0)</f>
        <v>Abril</v>
      </c>
    </row>
    <row r="226" spans="1:27" x14ac:dyDescent="0.3">
      <c r="A226" s="2">
        <f>IF(Banco_Nacion[[#This Row],[tipo_registro]]="R",COUNTIFS($C$1:$C225,"R")+1,"")</f>
        <v>225</v>
      </c>
      <c r="B226" s="19" t="str">
        <f t="shared" si="15"/>
        <v>B-Banco de la Nacion</v>
      </c>
      <c r="C226" s="3" t="s">
        <v>1330</v>
      </c>
      <c r="D226" s="14">
        <v>45755</v>
      </c>
      <c r="E226" s="5">
        <v>20100211115</v>
      </c>
      <c r="F226" s="5" t="s">
        <v>1303</v>
      </c>
      <c r="G226" s="6" t="s">
        <v>425</v>
      </c>
      <c r="H226" s="6" t="s">
        <v>68</v>
      </c>
      <c r="I226" s="6" t="s">
        <v>1784</v>
      </c>
      <c r="J226" s="6">
        <v>2</v>
      </c>
      <c r="K226" s="7" t="s">
        <v>5232</v>
      </c>
      <c r="L226" s="8">
        <v>72578755</v>
      </c>
      <c r="M226" s="8" t="str">
        <f t="shared" si="16"/>
        <v>PEN</v>
      </c>
      <c r="N226" s="13"/>
      <c r="O226" s="13">
        <v>613</v>
      </c>
      <c r="P226" s="3">
        <f t="shared" si="17"/>
        <v>613</v>
      </c>
      <c r="Q226" s="3">
        <f t="shared" si="18"/>
        <v>0</v>
      </c>
      <c r="R226" s="3">
        <f t="shared" si="19"/>
        <v>40274.010000000009</v>
      </c>
      <c r="S226" s="24"/>
      <c r="T226" s="24" t="s">
        <v>1334</v>
      </c>
      <c r="U226" s="3"/>
      <c r="V226" s="19" t="str">
        <f>IFERROR(VLOOKUP(Banco_Nacion[[#This Row],[responsable]],Clientes_Proveedores[[Ruc / Dni]:[Razon Social]],2,0),"")</f>
        <v>FAB DE CHOCOLATES LA IBERICA S.A.</v>
      </c>
      <c r="W226" s="19" t="str">
        <f>IF(Banco_Nacion[[#This Row],[tipo_mov]]="INGRESO",Banco_Nacion[[#This Row],[serie]]&amp;Banco_Nacion[[#This Row],[numero]]&amp;Banco_Nacion[[#This Row],[responsable]]&amp;Banco_Nacion[[#This Row],[monto]],"")</f>
        <v>FF01220100211115613</v>
      </c>
      <c r="X226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72578755</v>
      </c>
      <c r="Y226" s="3" t="str">
        <f>IFERROR(VLOOKUP(Banco_Nacion[[#This Row],[serie]]&amp;Banco_Nacion[[#This Row],[numero]]&amp;Banco_Nacion[[#This Row],[responsable]],[2]!Provision_CXC[[ID CXP]:[DETRACCION]],47,0),"")</f>
        <v/>
      </c>
      <c r="Z226" s="3"/>
      <c r="AA226" s="24" t="str">
        <f>IF(Banco_Nacion[[#This Row],[fecha]]&gt;0,TEXT(Banco_Nacion[[#This Row],[fecha]],"mmmm"),0)</f>
        <v>Abril</v>
      </c>
    </row>
    <row r="227" spans="1:27" x14ac:dyDescent="0.3">
      <c r="A227" s="2">
        <f>IF(Banco_Nacion[[#This Row],[tipo_registro]]="R",COUNTIFS($C$1:$C226,"R")+1,"")</f>
        <v>226</v>
      </c>
      <c r="B227" s="19" t="str">
        <f t="shared" si="15"/>
        <v>B-Banco de la Nacion</v>
      </c>
      <c r="C227" s="3" t="s">
        <v>1330</v>
      </c>
      <c r="D227" s="14">
        <v>45755</v>
      </c>
      <c r="E227" s="5">
        <v>20553956324</v>
      </c>
      <c r="F227" s="5" t="s">
        <v>1303</v>
      </c>
      <c r="G227" s="6" t="s">
        <v>425</v>
      </c>
      <c r="H227" s="6" t="s">
        <v>68</v>
      </c>
      <c r="I227" s="6" t="s">
        <v>1376</v>
      </c>
      <c r="J227" s="6">
        <v>24</v>
      </c>
      <c r="K227" s="7" t="s">
        <v>5232</v>
      </c>
      <c r="L227" s="8">
        <v>72564063</v>
      </c>
      <c r="M227" s="8" t="str">
        <f t="shared" si="16"/>
        <v>PEN</v>
      </c>
      <c r="N227" s="13"/>
      <c r="O227" s="13">
        <v>523</v>
      </c>
      <c r="P227" s="3">
        <f t="shared" si="17"/>
        <v>523</v>
      </c>
      <c r="Q227" s="3">
        <f t="shared" si="18"/>
        <v>0</v>
      </c>
      <c r="R227" s="3">
        <f t="shared" si="19"/>
        <v>40797.010000000009</v>
      </c>
      <c r="S227" s="24"/>
      <c r="T227" s="24" t="s">
        <v>1334</v>
      </c>
      <c r="U227" s="3"/>
      <c r="V227" s="19" t="str">
        <f>IFERROR(VLOOKUP(Banco_Nacion[[#This Row],[responsable]],Clientes_Proveedores[[Ruc / Dni]:[Razon Social]],2,0),"")</f>
        <v>ALQUIMODUL S.A.C.</v>
      </c>
      <c r="W227" s="19" t="str">
        <f>IF(Banco_Nacion[[#This Row],[tipo_mov]]="INGRESO",Banco_Nacion[[#This Row],[serie]]&amp;Banco_Nacion[[#This Row],[numero]]&amp;Banco_Nacion[[#This Row],[responsable]]&amp;Banco_Nacion[[#This Row],[monto]],"")</f>
        <v>E0012420553956324523</v>
      </c>
      <c r="X227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72564063</v>
      </c>
      <c r="Y227" s="3" t="str">
        <f>IFERROR(VLOOKUP(Banco_Nacion[[#This Row],[serie]]&amp;Banco_Nacion[[#This Row],[numero]]&amp;Banco_Nacion[[#This Row],[responsable]],[2]!Provision_CXC[[ID CXP]:[DETRACCION]],47,0),"")</f>
        <v/>
      </c>
      <c r="Z227" s="3"/>
      <c r="AA227" s="24" t="str">
        <f>IF(Banco_Nacion[[#This Row],[fecha]]&gt;0,TEXT(Banco_Nacion[[#This Row],[fecha]],"mmmm"),0)</f>
        <v>Abril</v>
      </c>
    </row>
    <row r="228" spans="1:27" x14ac:dyDescent="0.3">
      <c r="A228" s="2">
        <f>IF(Banco_Nacion[[#This Row],[tipo_registro]]="R",COUNTIFS($C$1:$C227,"R")+1,"")</f>
        <v>227</v>
      </c>
      <c r="B228" s="19" t="str">
        <f t="shared" si="15"/>
        <v>B-Banco de la Nacion</v>
      </c>
      <c r="C228" s="3" t="s">
        <v>1330</v>
      </c>
      <c r="D228" s="14">
        <v>45755</v>
      </c>
      <c r="E228" s="5">
        <v>20100235138</v>
      </c>
      <c r="F228" s="5" t="s">
        <v>1303</v>
      </c>
      <c r="G228" s="6" t="s">
        <v>425</v>
      </c>
      <c r="H228" s="6" t="s">
        <v>68</v>
      </c>
      <c r="I228" s="6" t="s">
        <v>1353</v>
      </c>
      <c r="J228" s="6">
        <v>203</v>
      </c>
      <c r="K228" s="7" t="s">
        <v>5232</v>
      </c>
      <c r="L228" s="8">
        <v>72493774</v>
      </c>
      <c r="M228" s="8" t="str">
        <f t="shared" si="16"/>
        <v>PEN</v>
      </c>
      <c r="N228" s="13"/>
      <c r="O228" s="13">
        <v>14</v>
      </c>
      <c r="P228" s="3">
        <f t="shared" si="17"/>
        <v>14</v>
      </c>
      <c r="Q228" s="3">
        <f t="shared" si="18"/>
        <v>0</v>
      </c>
      <c r="R228" s="3">
        <f t="shared" si="19"/>
        <v>40811.010000000009</v>
      </c>
      <c r="S228" s="24"/>
      <c r="T228" s="24" t="s">
        <v>1334</v>
      </c>
      <c r="U228" s="3"/>
      <c r="V228" s="19" t="str">
        <f>IFERROR(VLOOKUP(Banco_Nacion[[#This Row],[responsable]],Clientes_Proveedores[[Ruc / Dni]:[Razon Social]],2,0),"")</f>
        <v>METALURGICA QUIMICA S.A.C.</v>
      </c>
      <c r="W228" s="19" t="str">
        <f>IF(Banco_Nacion[[#This Row],[tipo_mov]]="INGRESO",Banco_Nacion[[#This Row],[serie]]&amp;Banco_Nacion[[#This Row],[numero]]&amp;Banco_Nacion[[#This Row],[responsable]]&amp;Banco_Nacion[[#This Row],[monto]],"")</f>
        <v>FE022032010023513814</v>
      </c>
      <c r="X228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72493774</v>
      </c>
      <c r="Y228" s="3" t="str">
        <f>IFERROR(VLOOKUP(Banco_Nacion[[#This Row],[serie]]&amp;Banco_Nacion[[#This Row],[numero]]&amp;Banco_Nacion[[#This Row],[responsable]],[2]!Provision_CXC[[ID CXP]:[DETRACCION]],47,0),"")</f>
        <v/>
      </c>
      <c r="Z228" s="3"/>
      <c r="AA228" s="24" t="str">
        <f>IF(Banco_Nacion[[#This Row],[fecha]]&gt;0,TEXT(Banco_Nacion[[#This Row],[fecha]],"mmmm"),0)</f>
        <v>Abril</v>
      </c>
    </row>
    <row r="229" spans="1:27" x14ac:dyDescent="0.3">
      <c r="A229" s="2">
        <f>IF(Banco_Nacion[[#This Row],[tipo_registro]]="R",COUNTIFS($C$1:$C228,"R")+1,"")</f>
        <v>228</v>
      </c>
      <c r="B229" s="19" t="str">
        <f t="shared" si="15"/>
        <v>B-Banco de la Nacion</v>
      </c>
      <c r="C229" s="3" t="s">
        <v>1330</v>
      </c>
      <c r="D229" s="14">
        <v>45755</v>
      </c>
      <c r="E229" s="5">
        <v>20100235138</v>
      </c>
      <c r="F229" s="5" t="s">
        <v>1303</v>
      </c>
      <c r="G229" s="6" t="s">
        <v>425</v>
      </c>
      <c r="H229" s="6" t="s">
        <v>68</v>
      </c>
      <c r="I229" s="6" t="s">
        <v>1376</v>
      </c>
      <c r="J229" s="6">
        <v>36</v>
      </c>
      <c r="K229" s="7" t="s">
        <v>5232</v>
      </c>
      <c r="L229" s="8">
        <v>72493773</v>
      </c>
      <c r="M229" s="8" t="str">
        <f t="shared" si="16"/>
        <v>PEN</v>
      </c>
      <c r="N229" s="13"/>
      <c r="O229" s="13">
        <v>43</v>
      </c>
      <c r="P229" s="3">
        <f t="shared" si="17"/>
        <v>43</v>
      </c>
      <c r="Q229" s="3">
        <f t="shared" si="18"/>
        <v>0</v>
      </c>
      <c r="R229" s="3">
        <f t="shared" si="19"/>
        <v>40854.010000000009</v>
      </c>
      <c r="S229" s="24"/>
      <c r="T229" s="24" t="s">
        <v>1334</v>
      </c>
      <c r="U229" s="3"/>
      <c r="V229" s="19" t="str">
        <f>IFERROR(VLOOKUP(Banco_Nacion[[#This Row],[responsable]],Clientes_Proveedores[[Ruc / Dni]:[Razon Social]],2,0),"")</f>
        <v>METALURGICA QUIMICA S.A.C.</v>
      </c>
      <c r="W229" s="19" t="str">
        <f>IF(Banco_Nacion[[#This Row],[tipo_mov]]="INGRESO",Banco_Nacion[[#This Row],[serie]]&amp;Banco_Nacion[[#This Row],[numero]]&amp;Banco_Nacion[[#This Row],[responsable]]&amp;Banco_Nacion[[#This Row],[monto]],"")</f>
        <v>E001362010023513843</v>
      </c>
      <c r="X229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72493773</v>
      </c>
      <c r="Y229" s="3" t="str">
        <f>IFERROR(VLOOKUP(Banco_Nacion[[#This Row],[serie]]&amp;Banco_Nacion[[#This Row],[numero]]&amp;Banco_Nacion[[#This Row],[responsable]],[2]!Provision_CXC[[ID CXP]:[DETRACCION]],47,0),"")</f>
        <v/>
      </c>
      <c r="Z229" s="3"/>
      <c r="AA229" s="24" t="str">
        <f>IF(Banco_Nacion[[#This Row],[fecha]]&gt;0,TEXT(Banco_Nacion[[#This Row],[fecha]],"mmmm"),0)</f>
        <v>Abril</v>
      </c>
    </row>
    <row r="230" spans="1:27" x14ac:dyDescent="0.3">
      <c r="A230" s="2">
        <f>IF(Banco_Nacion[[#This Row],[tipo_registro]]="R",COUNTIFS($C$1:$C229,"R")+1,"")</f>
        <v>229</v>
      </c>
      <c r="B230" s="19" t="str">
        <f t="shared" si="15"/>
        <v>B-Banco de la Nacion</v>
      </c>
      <c r="C230" s="3" t="s">
        <v>1330</v>
      </c>
      <c r="D230" s="14">
        <v>45755</v>
      </c>
      <c r="E230" s="5">
        <v>20603065906</v>
      </c>
      <c r="F230" s="5" t="s">
        <v>1303</v>
      </c>
      <c r="G230" s="6" t="s">
        <v>425</v>
      </c>
      <c r="H230" s="6" t="s">
        <v>68</v>
      </c>
      <c r="I230" s="6" t="s">
        <v>1376</v>
      </c>
      <c r="J230" s="6">
        <v>28</v>
      </c>
      <c r="K230" s="7" t="s">
        <v>5232</v>
      </c>
      <c r="L230" s="8">
        <v>72376929</v>
      </c>
      <c r="M230" s="8" t="str">
        <f t="shared" si="16"/>
        <v>PEN</v>
      </c>
      <c r="N230" s="13"/>
      <c r="O230" s="13">
        <v>102</v>
      </c>
      <c r="P230" s="3">
        <f t="shared" si="17"/>
        <v>102</v>
      </c>
      <c r="Q230" s="3">
        <f t="shared" si="18"/>
        <v>0</v>
      </c>
      <c r="R230" s="3">
        <f t="shared" si="19"/>
        <v>40956.010000000009</v>
      </c>
      <c r="S230" s="24"/>
      <c r="T230" s="24" t="s">
        <v>1334</v>
      </c>
      <c r="U230" s="3"/>
      <c r="V230" s="19" t="str">
        <f>IFERROR(VLOOKUP(Banco_Nacion[[#This Row],[responsable]],Clientes_Proveedores[[Ruc / Dni]:[Razon Social]],2,0),"")</f>
        <v>COMERCIO SERVICIOS E INVERSIONES YANCE E.I.R.L.</v>
      </c>
      <c r="W230" s="19" t="str">
        <f>IF(Banco_Nacion[[#This Row],[tipo_mov]]="INGRESO",Banco_Nacion[[#This Row],[serie]]&amp;Banco_Nacion[[#This Row],[numero]]&amp;Banco_Nacion[[#This Row],[responsable]]&amp;Banco_Nacion[[#This Row],[monto]],"")</f>
        <v>E0012820603065906102</v>
      </c>
      <c r="X230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72376929</v>
      </c>
      <c r="Y230" s="3" t="str">
        <f>IFERROR(VLOOKUP(Banco_Nacion[[#This Row],[serie]]&amp;Banco_Nacion[[#This Row],[numero]]&amp;Banco_Nacion[[#This Row],[responsable]],[2]!Provision_CXC[[ID CXP]:[DETRACCION]],47,0),"")</f>
        <v/>
      </c>
      <c r="Z230" s="3"/>
      <c r="AA230" s="24" t="str">
        <f>IF(Banco_Nacion[[#This Row],[fecha]]&gt;0,TEXT(Banco_Nacion[[#This Row],[fecha]],"mmmm"),0)</f>
        <v>Abril</v>
      </c>
    </row>
    <row r="231" spans="1:27" x14ac:dyDescent="0.3">
      <c r="A231" s="2">
        <f>IF(Banco_Nacion[[#This Row],[tipo_registro]]="R",COUNTIFS($C$1:$C230,"R")+1,"")</f>
        <v>230</v>
      </c>
      <c r="B231" s="19" t="str">
        <f t="shared" si="15"/>
        <v>B-Banco de la Nacion</v>
      </c>
      <c r="C231" s="3" t="s">
        <v>1330</v>
      </c>
      <c r="D231" s="14">
        <v>45755</v>
      </c>
      <c r="E231" s="5">
        <v>20603065906</v>
      </c>
      <c r="F231" s="5" t="s">
        <v>1303</v>
      </c>
      <c r="G231" s="6" t="s">
        <v>425</v>
      </c>
      <c r="H231" s="6" t="s">
        <v>68</v>
      </c>
      <c r="I231" s="6" t="s">
        <v>1376</v>
      </c>
      <c r="J231" s="6">
        <v>55</v>
      </c>
      <c r="K231" s="7" t="s">
        <v>5232</v>
      </c>
      <c r="L231" s="8">
        <v>72059170</v>
      </c>
      <c r="M231" s="8" t="str">
        <f t="shared" si="16"/>
        <v>PEN</v>
      </c>
      <c r="N231" s="13"/>
      <c r="O231" s="13">
        <v>370</v>
      </c>
      <c r="P231" s="3">
        <f t="shared" si="17"/>
        <v>370</v>
      </c>
      <c r="Q231" s="3">
        <f t="shared" si="18"/>
        <v>0</v>
      </c>
      <c r="R231" s="3">
        <f t="shared" si="19"/>
        <v>41326.010000000009</v>
      </c>
      <c r="S231" s="24"/>
      <c r="T231" s="24" t="s">
        <v>1334</v>
      </c>
      <c r="U231" s="3"/>
      <c r="V231" s="19" t="str">
        <f>IFERROR(VLOOKUP(Banco_Nacion[[#This Row],[responsable]],Clientes_Proveedores[[Ruc / Dni]:[Razon Social]],2,0),"")</f>
        <v>COMERCIO SERVICIOS E INVERSIONES YANCE E.I.R.L.</v>
      </c>
      <c r="W231" s="19" t="str">
        <f>IF(Banco_Nacion[[#This Row],[tipo_mov]]="INGRESO",Banco_Nacion[[#This Row],[serie]]&amp;Banco_Nacion[[#This Row],[numero]]&amp;Banco_Nacion[[#This Row],[responsable]]&amp;Banco_Nacion[[#This Row],[monto]],"")</f>
        <v>E0015520603065906370</v>
      </c>
      <c r="X231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72059170</v>
      </c>
      <c r="Y231" s="3" t="str">
        <f>IFERROR(VLOOKUP(Banco_Nacion[[#This Row],[serie]]&amp;Banco_Nacion[[#This Row],[numero]]&amp;Banco_Nacion[[#This Row],[responsable]],[2]!Provision_CXC[[ID CXP]:[DETRACCION]],47,0),"")</f>
        <v/>
      </c>
      <c r="Z231" s="3"/>
      <c r="AA231" s="24" t="str">
        <f>IF(Banco_Nacion[[#This Row],[fecha]]&gt;0,TEXT(Banco_Nacion[[#This Row],[fecha]],"mmmm"),0)</f>
        <v>Abril</v>
      </c>
    </row>
    <row r="232" spans="1:27" x14ac:dyDescent="0.3">
      <c r="A232" s="2">
        <f>IF(Banco_Nacion[[#This Row],[tipo_registro]]="R",COUNTIFS($C$1:$C231,"R")+1,"")</f>
        <v>231</v>
      </c>
      <c r="B232" s="19" t="str">
        <f t="shared" si="15"/>
        <v>B-Banco de la Nacion</v>
      </c>
      <c r="C232" s="3" t="s">
        <v>1330</v>
      </c>
      <c r="D232" s="14">
        <v>45755</v>
      </c>
      <c r="E232" s="5">
        <v>20603065906</v>
      </c>
      <c r="F232" s="5" t="s">
        <v>1303</v>
      </c>
      <c r="G232" s="6" t="s">
        <v>425</v>
      </c>
      <c r="H232" s="6" t="s">
        <v>68</v>
      </c>
      <c r="I232" s="6" t="s">
        <v>1376</v>
      </c>
      <c r="J232" s="6">
        <v>54</v>
      </c>
      <c r="K232" s="7" t="s">
        <v>5232</v>
      </c>
      <c r="L232" s="8">
        <v>72059169</v>
      </c>
      <c r="M232" s="8" t="str">
        <f t="shared" si="16"/>
        <v>PEN</v>
      </c>
      <c r="N232" s="13"/>
      <c r="O232" s="13">
        <v>305</v>
      </c>
      <c r="P232" s="3">
        <f t="shared" si="17"/>
        <v>305</v>
      </c>
      <c r="Q232" s="3">
        <f t="shared" si="18"/>
        <v>0</v>
      </c>
      <c r="R232" s="3">
        <f t="shared" si="19"/>
        <v>41631.010000000009</v>
      </c>
      <c r="S232" s="24"/>
      <c r="T232" s="24" t="s">
        <v>1334</v>
      </c>
      <c r="U232" s="3"/>
      <c r="V232" s="19" t="str">
        <f>IFERROR(VLOOKUP(Banco_Nacion[[#This Row],[responsable]],Clientes_Proveedores[[Ruc / Dni]:[Razon Social]],2,0),"")</f>
        <v>COMERCIO SERVICIOS E INVERSIONES YANCE E.I.R.L.</v>
      </c>
      <c r="W232" s="19" t="str">
        <f>IF(Banco_Nacion[[#This Row],[tipo_mov]]="INGRESO",Banco_Nacion[[#This Row],[serie]]&amp;Banco_Nacion[[#This Row],[numero]]&amp;Banco_Nacion[[#This Row],[responsable]]&amp;Banco_Nacion[[#This Row],[monto]],"")</f>
        <v>E0015420603065906305</v>
      </c>
      <c r="X232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72059169</v>
      </c>
      <c r="Y232" s="3" t="str">
        <f>IFERROR(VLOOKUP(Banco_Nacion[[#This Row],[serie]]&amp;Banco_Nacion[[#This Row],[numero]]&amp;Banco_Nacion[[#This Row],[responsable]],[2]!Provision_CXC[[ID CXP]:[DETRACCION]],47,0),"")</f>
        <v/>
      </c>
      <c r="Z232" s="3"/>
      <c r="AA232" s="24" t="str">
        <f>IF(Banco_Nacion[[#This Row],[fecha]]&gt;0,TEXT(Banco_Nacion[[#This Row],[fecha]],"mmmm"),0)</f>
        <v>Abril</v>
      </c>
    </row>
    <row r="233" spans="1:27" x14ac:dyDescent="0.3">
      <c r="A233" s="2">
        <f>IF(Banco_Nacion[[#This Row],[tipo_registro]]="R",COUNTIFS($C$1:$C232,"R")+1,"")</f>
        <v>232</v>
      </c>
      <c r="B233" s="19" t="str">
        <f t="shared" si="15"/>
        <v>B-Banco de la Nacion</v>
      </c>
      <c r="C233" s="3" t="s">
        <v>1330</v>
      </c>
      <c r="D233" s="14">
        <v>45756</v>
      </c>
      <c r="E233" s="5">
        <v>20558353814</v>
      </c>
      <c r="F233" s="5" t="s">
        <v>1303</v>
      </c>
      <c r="G233" s="6" t="s">
        <v>425</v>
      </c>
      <c r="H233" s="6" t="s">
        <v>68</v>
      </c>
      <c r="I233" s="6" t="s">
        <v>1376</v>
      </c>
      <c r="J233" s="6">
        <v>25</v>
      </c>
      <c r="K233" s="7" t="s">
        <v>5233</v>
      </c>
      <c r="L233" s="8">
        <v>78788888</v>
      </c>
      <c r="M233" s="8" t="str">
        <f t="shared" si="16"/>
        <v>PEN</v>
      </c>
      <c r="N233" s="13"/>
      <c r="O233" s="13">
        <v>289</v>
      </c>
      <c r="P233" s="3">
        <f t="shared" si="17"/>
        <v>289</v>
      </c>
      <c r="Q233" s="3">
        <f t="shared" si="18"/>
        <v>0</v>
      </c>
      <c r="R233" s="3">
        <f t="shared" si="19"/>
        <v>41920.010000000009</v>
      </c>
      <c r="S233" s="24"/>
      <c r="T233" s="24" t="s">
        <v>1334</v>
      </c>
      <c r="U233" s="3"/>
      <c r="V233" s="19" t="str">
        <f>IFERROR(VLOOKUP(Banco_Nacion[[#This Row],[responsable]],Clientes_Proveedores[[Ruc / Dni]:[Razon Social]],2,0),"")</f>
        <v>TACONSER E.I.R.L.</v>
      </c>
      <c r="W233" s="19" t="str">
        <f>IF(Banco_Nacion[[#This Row],[tipo_mov]]="INGRESO",Banco_Nacion[[#This Row],[serie]]&amp;Banco_Nacion[[#This Row],[numero]]&amp;Banco_Nacion[[#This Row],[responsable]]&amp;Banco_Nacion[[#This Row],[monto]],"")</f>
        <v>E0012520558353814289</v>
      </c>
      <c r="X233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78788888</v>
      </c>
      <c r="Y233" s="3" t="str">
        <f>IFERROR(VLOOKUP(Banco_Nacion[[#This Row],[serie]]&amp;Banco_Nacion[[#This Row],[numero]]&amp;Banco_Nacion[[#This Row],[responsable]],[2]!Provision_CXC[[ID CXP]:[DETRACCION]],47,0),"")</f>
        <v/>
      </c>
      <c r="Z233" s="3"/>
      <c r="AA233" s="24" t="str">
        <f>IF(Banco_Nacion[[#This Row],[fecha]]&gt;0,TEXT(Banco_Nacion[[#This Row],[fecha]],"mmmm"),0)</f>
        <v>Abril</v>
      </c>
    </row>
    <row r="234" spans="1:27" x14ac:dyDescent="0.3">
      <c r="A234" s="2">
        <f>IF(Banco_Nacion[[#This Row],[tipo_registro]]="R",COUNTIFS($C$1:$C233,"R")+1,"")</f>
        <v>233</v>
      </c>
      <c r="B234" s="19" t="str">
        <f t="shared" si="15"/>
        <v>B-Banco de la Nacion</v>
      </c>
      <c r="C234" s="3" t="s">
        <v>1330</v>
      </c>
      <c r="D234" s="14">
        <v>45757</v>
      </c>
      <c r="E234" s="5">
        <v>20226909576</v>
      </c>
      <c r="F234" s="5" t="s">
        <v>1303</v>
      </c>
      <c r="G234" s="6" t="s">
        <v>425</v>
      </c>
      <c r="H234" s="6" t="s">
        <v>68</v>
      </c>
      <c r="I234" s="6" t="s">
        <v>1376</v>
      </c>
      <c r="J234" s="6">
        <v>48</v>
      </c>
      <c r="K234" s="7" t="s">
        <v>5232</v>
      </c>
      <c r="L234" s="8">
        <v>73139353</v>
      </c>
      <c r="M234" s="8" t="str">
        <f t="shared" si="16"/>
        <v>PEN</v>
      </c>
      <c r="N234" s="13"/>
      <c r="O234" s="13">
        <v>320</v>
      </c>
      <c r="P234" s="3">
        <f t="shared" si="17"/>
        <v>320</v>
      </c>
      <c r="Q234" s="3">
        <f t="shared" si="18"/>
        <v>0</v>
      </c>
      <c r="R234" s="3">
        <f t="shared" si="19"/>
        <v>42240.010000000009</v>
      </c>
      <c r="S234" s="24"/>
      <c r="T234" s="24" t="s">
        <v>1334</v>
      </c>
      <c r="U234" s="3"/>
      <c r="V234" s="19" t="str">
        <f>IFERROR(VLOOKUP(Banco_Nacion[[#This Row],[responsable]],Clientes_Proveedores[[Ruc / Dni]:[Razon Social]],2,0),"")</f>
        <v xml:space="preserve"> COOPERATIVA MINERA EL DORADO DE ANANEA LTDA</v>
      </c>
      <c r="W234" s="19" t="str">
        <f>IF(Banco_Nacion[[#This Row],[tipo_mov]]="INGRESO",Banco_Nacion[[#This Row],[serie]]&amp;Banco_Nacion[[#This Row],[numero]]&amp;Banco_Nacion[[#This Row],[responsable]]&amp;Banco_Nacion[[#This Row],[monto]],"")</f>
        <v>E0014820226909576320</v>
      </c>
      <c r="X234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73139353</v>
      </c>
      <c r="Y234" s="3" t="str">
        <f>IFERROR(VLOOKUP(Banco_Nacion[[#This Row],[serie]]&amp;Banco_Nacion[[#This Row],[numero]]&amp;Banco_Nacion[[#This Row],[responsable]],[2]!Provision_CXC[[ID CXP]:[DETRACCION]],47,0),"")</f>
        <v/>
      </c>
      <c r="Z234" s="3"/>
      <c r="AA234" s="24" t="str">
        <f>IF(Banco_Nacion[[#This Row],[fecha]]&gt;0,TEXT(Banco_Nacion[[#This Row],[fecha]],"mmmm"),0)</f>
        <v>Abril</v>
      </c>
    </row>
    <row r="235" spans="1:27" x14ac:dyDescent="0.3">
      <c r="A235" s="2">
        <f>IF(Banco_Nacion[[#This Row],[tipo_registro]]="R",COUNTIFS($C$1:$C234,"R")+1,"")</f>
        <v>234</v>
      </c>
      <c r="B235" s="19" t="str">
        <f t="shared" si="15"/>
        <v>B-Banco de la Nacion</v>
      </c>
      <c r="C235" s="3" t="s">
        <v>1330</v>
      </c>
      <c r="D235" s="14">
        <v>45757</v>
      </c>
      <c r="E235" s="5">
        <v>20517932346</v>
      </c>
      <c r="F235" s="5" t="s">
        <v>1303</v>
      </c>
      <c r="G235" s="6" t="s">
        <v>425</v>
      </c>
      <c r="H235" s="6" t="s">
        <v>68</v>
      </c>
      <c r="I235" s="6" t="s">
        <v>1343</v>
      </c>
      <c r="J235" s="6">
        <v>-574</v>
      </c>
      <c r="K235" s="7" t="s">
        <v>5232</v>
      </c>
      <c r="L235" s="8">
        <v>73001277</v>
      </c>
      <c r="M235" s="8" t="str">
        <f t="shared" si="16"/>
        <v>PEN</v>
      </c>
      <c r="N235" s="13"/>
      <c r="O235" s="13">
        <v>73.209999999999994</v>
      </c>
      <c r="P235" s="3">
        <f t="shared" si="17"/>
        <v>73.209999999999994</v>
      </c>
      <c r="Q235" s="3">
        <f t="shared" si="18"/>
        <v>0</v>
      </c>
      <c r="R235" s="3">
        <f t="shared" si="19"/>
        <v>42313.220000000008</v>
      </c>
      <c r="S235" s="24"/>
      <c r="T235" s="24"/>
      <c r="U235" s="3"/>
      <c r="V235" s="19" t="str">
        <f>IFERROR(VLOOKUP(Banco_Nacion[[#This Row],[responsable]],Clientes_Proveedores[[Ruc / Dni]:[Razon Social]],2,0),"")</f>
        <v>TUBERIAS Y GEOSISTEMAS DEL PERU SA - TUBERIAS Y GEOS S.A.</v>
      </c>
      <c r="W235" s="19" t="str">
        <f>IF(Banco_Nacion[[#This Row],[tipo_mov]]="INGRESO",Banco_Nacion[[#This Row],[serie]]&amp;Banco_Nacion[[#This Row],[numero]]&amp;Banco_Nacion[[#This Row],[responsable]]&amp;Banco_Nacion[[#This Row],[monto]],"")</f>
        <v>FE01-5742051793234673.21</v>
      </c>
      <c r="X235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73001277</v>
      </c>
      <c r="Y235" s="3" t="str">
        <f>IFERROR(VLOOKUP(Banco_Nacion[[#This Row],[serie]]&amp;Banco_Nacion[[#This Row],[numero]]&amp;Banco_Nacion[[#This Row],[responsable]],[2]!Provision_CXC[[ID CXP]:[DETRACCION]],47,0),"")</f>
        <v/>
      </c>
      <c r="Z235" s="3"/>
      <c r="AA235" s="24" t="str">
        <f>IF(Banco_Nacion[[#This Row],[fecha]]&gt;0,TEXT(Banco_Nacion[[#This Row],[fecha]],"mmmm"),0)</f>
        <v>Abril</v>
      </c>
    </row>
    <row r="236" spans="1:27" x14ac:dyDescent="0.3">
      <c r="A236" s="2">
        <f>IF(Banco_Nacion[[#This Row],[tipo_registro]]="R",COUNTIFS($C$1:$C235,"R")+1,"")</f>
        <v>235</v>
      </c>
      <c r="B236" s="19" t="str">
        <f t="shared" si="15"/>
        <v>B-Banco de la Nacion</v>
      </c>
      <c r="C236" s="3" t="s">
        <v>1330</v>
      </c>
      <c r="D236" s="14">
        <v>45758</v>
      </c>
      <c r="E236" s="5">
        <v>20159473148</v>
      </c>
      <c r="F236" s="5" t="s">
        <v>1303</v>
      </c>
      <c r="G236" s="6" t="s">
        <v>425</v>
      </c>
      <c r="H236" s="6" t="s">
        <v>68</v>
      </c>
      <c r="I236" s="6" t="s">
        <v>1784</v>
      </c>
      <c r="J236" s="6">
        <v>21</v>
      </c>
      <c r="K236" s="7" t="s">
        <v>5232</v>
      </c>
      <c r="L236" s="8">
        <v>73823462</v>
      </c>
      <c r="M236" s="8" t="str">
        <f t="shared" si="16"/>
        <v>PEN</v>
      </c>
      <c r="N236" s="13"/>
      <c r="O236" s="13">
        <v>129</v>
      </c>
      <c r="P236" s="3">
        <f t="shared" si="17"/>
        <v>129</v>
      </c>
      <c r="Q236" s="3">
        <f t="shared" si="18"/>
        <v>0</v>
      </c>
      <c r="R236" s="3">
        <f t="shared" si="19"/>
        <v>42442.220000000008</v>
      </c>
      <c r="S236" s="24"/>
      <c r="T236" s="24" t="s">
        <v>1334</v>
      </c>
      <c r="U236" s="3"/>
      <c r="V236" s="19" t="str">
        <f>IFERROR(VLOOKUP(Banco_Nacion[[#This Row],[responsable]],Clientes_Proveedores[[Ruc / Dni]:[Razon Social]],2,0),"")</f>
        <v>PESQUERA DIAMANTE S.A.</v>
      </c>
      <c r="W236" s="19" t="str">
        <f>IF(Banco_Nacion[[#This Row],[tipo_mov]]="INGRESO",Banco_Nacion[[#This Row],[serie]]&amp;Banco_Nacion[[#This Row],[numero]]&amp;Banco_Nacion[[#This Row],[responsable]]&amp;Banco_Nacion[[#This Row],[monto]],"")</f>
        <v>FF012120159473148129</v>
      </c>
      <c r="X236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73823462</v>
      </c>
      <c r="Y236" s="3" t="str">
        <f>IFERROR(VLOOKUP(Banco_Nacion[[#This Row],[serie]]&amp;Banco_Nacion[[#This Row],[numero]]&amp;Banco_Nacion[[#This Row],[responsable]],[2]!Provision_CXC[[ID CXP]:[DETRACCION]],47,0),"")</f>
        <v/>
      </c>
      <c r="Z236" s="3"/>
      <c r="AA236" s="24" t="str">
        <f>IF(Banco_Nacion[[#This Row],[fecha]]&gt;0,TEXT(Banco_Nacion[[#This Row],[fecha]],"mmmm"),0)</f>
        <v>Abril</v>
      </c>
    </row>
    <row r="237" spans="1:27" x14ac:dyDescent="0.3">
      <c r="A237" s="2">
        <f>IF(Banco_Nacion[[#This Row],[tipo_registro]]="R",COUNTIFS($C$1:$C236,"R")+1,"")</f>
        <v>236</v>
      </c>
      <c r="B237" s="19" t="str">
        <f t="shared" si="15"/>
        <v>B-Banco de la Nacion</v>
      </c>
      <c r="C237" s="3" t="s">
        <v>1330</v>
      </c>
      <c r="D237" s="14">
        <v>45758</v>
      </c>
      <c r="E237" s="5"/>
      <c r="F237" s="5" t="s">
        <v>1336</v>
      </c>
      <c r="G237" s="6"/>
      <c r="H237" s="6"/>
      <c r="I237" s="6" t="s">
        <v>5231</v>
      </c>
      <c r="J237" s="6"/>
      <c r="K237" s="7" t="s">
        <v>5234</v>
      </c>
      <c r="L237" s="8">
        <v>78787878</v>
      </c>
      <c r="M237" s="8" t="str">
        <f t="shared" si="16"/>
        <v>PEN</v>
      </c>
      <c r="N237" s="13"/>
      <c r="O237" s="13">
        <v>24787</v>
      </c>
      <c r="P237" s="3">
        <f t="shared" si="17"/>
        <v>0</v>
      </c>
      <c r="Q237" s="3">
        <f t="shared" si="18"/>
        <v>24787</v>
      </c>
      <c r="R237" s="3">
        <f t="shared" si="19"/>
        <v>17655.220000000008</v>
      </c>
      <c r="S237" s="24"/>
      <c r="T237" s="24"/>
      <c r="U237" s="3"/>
      <c r="V237" s="19" t="str">
        <f>IFERROR(VLOOKUP(Banco_Nacion[[#This Row],[responsable]],Clientes_Proveedores[[Ruc / Dni]:[Razon Social]],2,0),"")</f>
        <v/>
      </c>
      <c r="W237" s="19" t="str">
        <f>IF(Banco_Nacion[[#This Row],[tipo_mov]]="INGRESO",Banco_Nacion[[#This Row],[serie]]&amp;Banco_Nacion[[#This Row],[numero]]&amp;Banco_Nacion[[#This Row],[responsable]]&amp;Banco_Nacion[[#This Row],[monto]],"")</f>
        <v/>
      </c>
      <c r="X237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/>
      </c>
      <c r="Y237" s="3" t="str">
        <f>IFERROR(VLOOKUP(Banco_Nacion[[#This Row],[serie]]&amp;Banco_Nacion[[#This Row],[numero]]&amp;Banco_Nacion[[#This Row],[responsable]],[2]!Provision_CXC[[ID CXP]:[DETRACCION]],47,0),"")</f>
        <v/>
      </c>
      <c r="Z237" s="3"/>
      <c r="AA237" s="24" t="str">
        <f>IF(Banco_Nacion[[#This Row],[fecha]]&gt;0,TEXT(Banco_Nacion[[#This Row],[fecha]],"mmmm"),0)</f>
        <v>Abril</v>
      </c>
    </row>
    <row r="238" spans="1:27" x14ac:dyDescent="0.3">
      <c r="A238" s="2">
        <f>IF(Banco_Nacion[[#This Row],[tipo_registro]]="R",COUNTIFS($C$1:$C237,"R")+1,"")</f>
        <v>237</v>
      </c>
      <c r="B238" s="19" t="str">
        <f t="shared" si="15"/>
        <v>B-Banco de la Nacion</v>
      </c>
      <c r="C238" s="3" t="s">
        <v>1330</v>
      </c>
      <c r="D238" s="14">
        <v>45763</v>
      </c>
      <c r="E238" s="5">
        <v>20455977330</v>
      </c>
      <c r="F238" s="5" t="s">
        <v>1303</v>
      </c>
      <c r="G238" s="6" t="s">
        <v>425</v>
      </c>
      <c r="H238" s="6" t="s">
        <v>68</v>
      </c>
      <c r="I238" s="6" t="s">
        <v>1784</v>
      </c>
      <c r="J238" s="6">
        <v>24</v>
      </c>
      <c r="K238" s="7" t="s">
        <v>5232</v>
      </c>
      <c r="L238" s="8">
        <v>74300178</v>
      </c>
      <c r="M238" s="8" t="str">
        <f t="shared" si="16"/>
        <v>PEN</v>
      </c>
      <c r="N238" s="13"/>
      <c r="O238" s="13">
        <v>116</v>
      </c>
      <c r="P238" s="3">
        <f t="shared" si="17"/>
        <v>116</v>
      </c>
      <c r="Q238" s="3">
        <f t="shared" si="18"/>
        <v>0</v>
      </c>
      <c r="R238" s="3">
        <f t="shared" si="19"/>
        <v>17771.220000000008</v>
      </c>
      <c r="S238" s="24" t="s">
        <v>1334</v>
      </c>
      <c r="T238" s="24" t="s">
        <v>1334</v>
      </c>
      <c r="U238" s="3"/>
      <c r="V238" s="19" t="str">
        <f>IFERROR(VLOOKUP(Banco_Nacion[[#This Row],[responsable]],Clientes_Proveedores[[Ruc / Dni]:[Razon Social]],2,0),"")</f>
        <v>AUTOPROYECT E.I.R.L.</v>
      </c>
      <c r="W238" s="19" t="str">
        <f>IF(Banco_Nacion[[#This Row],[tipo_mov]]="INGRESO",Banco_Nacion[[#This Row],[serie]]&amp;Banco_Nacion[[#This Row],[numero]]&amp;Banco_Nacion[[#This Row],[responsable]]&amp;Banco_Nacion[[#This Row],[monto]],"")</f>
        <v>FF012420455977330116</v>
      </c>
      <c r="X238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74300178</v>
      </c>
      <c r="Y238" s="3" t="str">
        <f>IFERROR(VLOOKUP(Banco_Nacion[[#This Row],[serie]]&amp;Banco_Nacion[[#This Row],[numero]]&amp;Banco_Nacion[[#This Row],[responsable]],[2]!Provision_CXC[[ID CXP]:[DETRACCION]],47,0),"")</f>
        <v/>
      </c>
      <c r="Z238" s="3"/>
      <c r="AA238" s="24" t="str">
        <f>IF(Banco_Nacion[[#This Row],[fecha]]&gt;0,TEXT(Banco_Nacion[[#This Row],[fecha]],"mmmm"),0)</f>
        <v>Abril</v>
      </c>
    </row>
    <row r="239" spans="1:27" x14ac:dyDescent="0.3">
      <c r="A239" s="2">
        <f>IF(Banco_Nacion[[#This Row],[tipo_registro]]="R",COUNTIFS($C$1:$C238,"R")+1,"")</f>
        <v>238</v>
      </c>
      <c r="B239" s="19" t="str">
        <f t="shared" si="15"/>
        <v>B-Banco de la Nacion</v>
      </c>
      <c r="C239" s="3" t="s">
        <v>1330</v>
      </c>
      <c r="D239" s="14">
        <v>45763</v>
      </c>
      <c r="E239" s="5">
        <v>20613110586</v>
      </c>
      <c r="F239" s="5" t="s">
        <v>1303</v>
      </c>
      <c r="G239" s="6" t="s">
        <v>425</v>
      </c>
      <c r="H239" s="6" t="s">
        <v>68</v>
      </c>
      <c r="I239" s="6" t="s">
        <v>3302</v>
      </c>
      <c r="J239" s="6">
        <v>8</v>
      </c>
      <c r="K239" s="7" t="s">
        <v>5232</v>
      </c>
      <c r="L239" s="8">
        <v>74300177</v>
      </c>
      <c r="M239" s="8" t="str">
        <f t="shared" si="16"/>
        <v>PEN</v>
      </c>
      <c r="N239" s="13"/>
      <c r="O239" s="13">
        <v>102</v>
      </c>
      <c r="P239" s="3">
        <f t="shared" si="17"/>
        <v>102</v>
      </c>
      <c r="Q239" s="3">
        <f t="shared" si="18"/>
        <v>0</v>
      </c>
      <c r="R239" s="3">
        <f t="shared" si="19"/>
        <v>17873.220000000008</v>
      </c>
      <c r="S239" s="24" t="s">
        <v>1334</v>
      </c>
      <c r="T239" s="24" t="s">
        <v>1334</v>
      </c>
      <c r="U239" s="3"/>
      <c r="V239" s="19" t="str">
        <f>IFERROR(VLOOKUP(Banco_Nacion[[#This Row],[responsable]],Clientes_Proveedores[[Ruc / Dni]:[Razon Social]],2,0),"")</f>
        <v>ACTIVA SERVICIOS GASTRONOMICOS S.R.L.</v>
      </c>
      <c r="W239" s="19" t="str">
        <f>IF(Banco_Nacion[[#This Row],[tipo_mov]]="INGRESO",Banco_Nacion[[#This Row],[serie]]&amp;Banco_Nacion[[#This Row],[numero]]&amp;Banco_Nacion[[#This Row],[responsable]]&amp;Banco_Nacion[[#This Row],[monto]],"")</f>
        <v>FF02820613110586102</v>
      </c>
      <c r="X239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74300177</v>
      </c>
      <c r="Y239" s="3" t="str">
        <f>IFERROR(VLOOKUP(Banco_Nacion[[#This Row],[serie]]&amp;Banco_Nacion[[#This Row],[numero]]&amp;Banco_Nacion[[#This Row],[responsable]],[2]!Provision_CXC[[ID CXP]:[DETRACCION]],47,0),"")</f>
        <v/>
      </c>
      <c r="Z239" s="3"/>
      <c r="AA239" s="24" t="str">
        <f>IF(Banco_Nacion[[#This Row],[fecha]]&gt;0,TEXT(Banco_Nacion[[#This Row],[fecha]],"mmmm"),0)</f>
        <v>Abril</v>
      </c>
    </row>
    <row r="240" spans="1:27" x14ac:dyDescent="0.3">
      <c r="A240" s="2">
        <f>IF(Banco_Nacion[[#This Row],[tipo_registro]]="R",COUNTIFS($C$1:$C239,"R")+1,"")</f>
        <v>239</v>
      </c>
      <c r="B240" s="19" t="str">
        <f t="shared" si="15"/>
        <v>B-Banco de la Nacion</v>
      </c>
      <c r="C240" s="3" t="s">
        <v>1330</v>
      </c>
      <c r="D240" s="14">
        <v>45763</v>
      </c>
      <c r="E240" s="5">
        <v>20456012427</v>
      </c>
      <c r="F240" s="5" t="s">
        <v>1303</v>
      </c>
      <c r="G240" s="6" t="s">
        <v>425</v>
      </c>
      <c r="H240" s="6" t="s">
        <v>68</v>
      </c>
      <c r="I240" s="6" t="s">
        <v>1784</v>
      </c>
      <c r="J240" s="6">
        <v>6</v>
      </c>
      <c r="K240" s="7" t="s">
        <v>5232</v>
      </c>
      <c r="L240" s="8">
        <v>74300176</v>
      </c>
      <c r="M240" s="8" t="str">
        <f t="shared" si="16"/>
        <v>PEN</v>
      </c>
      <c r="N240" s="13"/>
      <c r="O240" s="13">
        <v>140</v>
      </c>
      <c r="P240" s="3">
        <f t="shared" si="17"/>
        <v>140</v>
      </c>
      <c r="Q240" s="3">
        <f t="shared" si="18"/>
        <v>0</v>
      </c>
      <c r="R240" s="3">
        <f t="shared" si="19"/>
        <v>18013.220000000008</v>
      </c>
      <c r="S240" s="24" t="s">
        <v>1334</v>
      </c>
      <c r="T240" s="24" t="s">
        <v>1334</v>
      </c>
      <c r="U240" s="3"/>
      <c r="V240" s="19" t="str">
        <f>IFERROR(VLOOKUP(Banco_Nacion[[#This Row],[responsable]],Clientes_Proveedores[[Ruc / Dni]:[Razon Social]],2,0),"")</f>
        <v>J. CH. COMERCIALIZADORA DE RESIDUOS SOLIDOS S.R.L.</v>
      </c>
      <c r="W240" s="19" t="str">
        <f>IF(Banco_Nacion[[#This Row],[tipo_mov]]="INGRESO",Banco_Nacion[[#This Row],[serie]]&amp;Banco_Nacion[[#This Row],[numero]]&amp;Banco_Nacion[[#This Row],[responsable]]&amp;Banco_Nacion[[#This Row],[monto]],"")</f>
        <v>FF01620456012427140</v>
      </c>
      <c r="X240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74300176</v>
      </c>
      <c r="Y240" s="3" t="str">
        <f>IFERROR(VLOOKUP(Banco_Nacion[[#This Row],[serie]]&amp;Banco_Nacion[[#This Row],[numero]]&amp;Banco_Nacion[[#This Row],[responsable]],[2]!Provision_CXC[[ID CXP]:[DETRACCION]],47,0),"")</f>
        <v/>
      </c>
      <c r="Z240" s="3"/>
      <c r="AA240" s="24" t="str">
        <f>IF(Banco_Nacion[[#This Row],[fecha]]&gt;0,TEXT(Banco_Nacion[[#This Row],[fecha]],"mmmm"),0)</f>
        <v>Abril</v>
      </c>
    </row>
    <row r="241" spans="1:27" x14ac:dyDescent="0.3">
      <c r="A241" s="2">
        <f>IF(Banco_Nacion[[#This Row],[tipo_registro]]="R",COUNTIFS($C$1:$C240,"R")+1,"")</f>
        <v>240</v>
      </c>
      <c r="B241" s="19" t="str">
        <f t="shared" si="15"/>
        <v>B-Banco de la Nacion</v>
      </c>
      <c r="C241" s="3" t="s">
        <v>1330</v>
      </c>
      <c r="D241" s="14">
        <v>45763</v>
      </c>
      <c r="E241" s="5">
        <v>20100172543</v>
      </c>
      <c r="F241" s="5" t="s">
        <v>1303</v>
      </c>
      <c r="G241" s="6" t="s">
        <v>425</v>
      </c>
      <c r="H241" s="6" t="s">
        <v>68</v>
      </c>
      <c r="I241" s="6" t="s">
        <v>1784</v>
      </c>
      <c r="J241" s="6">
        <v>11</v>
      </c>
      <c r="K241" s="7" t="s">
        <v>5232</v>
      </c>
      <c r="L241" s="8">
        <v>74292097</v>
      </c>
      <c r="M241" s="8" t="str">
        <f t="shared" si="16"/>
        <v>PEN</v>
      </c>
      <c r="N241" s="13"/>
      <c r="O241" s="13">
        <v>148</v>
      </c>
      <c r="P241" s="3">
        <f t="shared" si="17"/>
        <v>148</v>
      </c>
      <c r="Q241" s="3">
        <f t="shared" si="18"/>
        <v>0</v>
      </c>
      <c r="R241" s="3">
        <f t="shared" si="19"/>
        <v>18161.220000000008</v>
      </c>
      <c r="S241" s="24"/>
      <c r="T241" s="24" t="s">
        <v>1334</v>
      </c>
      <c r="U241" s="3"/>
      <c r="V241" s="19" t="str">
        <f>IFERROR(VLOOKUP(Banco_Nacion[[#This Row],[responsable]],Clientes_Proveedores[[Ruc / Dni]:[Razon Social]],2,0),"")</f>
        <v>MOVITECNICA S A</v>
      </c>
      <c r="W241" s="19" t="str">
        <f>IF(Banco_Nacion[[#This Row],[tipo_mov]]="INGRESO",Banco_Nacion[[#This Row],[serie]]&amp;Banco_Nacion[[#This Row],[numero]]&amp;Banco_Nacion[[#This Row],[responsable]]&amp;Banco_Nacion[[#This Row],[monto]],"")</f>
        <v>FF011120100172543148</v>
      </c>
      <c r="X241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74292097</v>
      </c>
      <c r="Y241" s="3" t="str">
        <f>IFERROR(VLOOKUP(Banco_Nacion[[#This Row],[serie]]&amp;Banco_Nacion[[#This Row],[numero]]&amp;Banco_Nacion[[#This Row],[responsable]],[2]!Provision_CXC[[ID CXP]:[DETRACCION]],47,0),"")</f>
        <v/>
      </c>
      <c r="Z241" s="3"/>
      <c r="AA241" s="24" t="str">
        <f>IF(Banco_Nacion[[#This Row],[fecha]]&gt;0,TEXT(Banco_Nacion[[#This Row],[fecha]],"mmmm"),0)</f>
        <v>Abril</v>
      </c>
    </row>
    <row r="242" spans="1:27" x14ac:dyDescent="0.3">
      <c r="A242" s="2">
        <f>IF(Banco_Nacion[[#This Row],[tipo_registro]]="R",COUNTIFS($C$1:$C241,"R")+1,"")</f>
        <v>241</v>
      </c>
      <c r="B242" s="19" t="str">
        <f t="shared" si="15"/>
        <v>B-Banco de la Nacion</v>
      </c>
      <c r="C242" s="3" t="s">
        <v>1330</v>
      </c>
      <c r="D242" s="14">
        <v>45763</v>
      </c>
      <c r="E242" s="5">
        <v>20607388416</v>
      </c>
      <c r="F242" s="5" t="s">
        <v>1303</v>
      </c>
      <c r="G242" s="6" t="s">
        <v>425</v>
      </c>
      <c r="H242" s="6" t="s">
        <v>68</v>
      </c>
      <c r="I242" s="6" t="s">
        <v>3381</v>
      </c>
      <c r="J242" s="6">
        <v>6</v>
      </c>
      <c r="K242" s="7" t="s">
        <v>5232</v>
      </c>
      <c r="L242" s="8">
        <v>74286229</v>
      </c>
      <c r="M242" s="8" t="str">
        <f t="shared" si="16"/>
        <v>PEN</v>
      </c>
      <c r="N242" s="13"/>
      <c r="O242" s="13">
        <v>295</v>
      </c>
      <c r="P242" s="3">
        <f t="shared" si="17"/>
        <v>295</v>
      </c>
      <c r="Q242" s="3">
        <f t="shared" si="18"/>
        <v>0</v>
      </c>
      <c r="R242" s="3">
        <f t="shared" si="19"/>
        <v>18456.220000000008</v>
      </c>
      <c r="S242" s="24"/>
      <c r="T242" s="24" t="s">
        <v>1334</v>
      </c>
      <c r="U242" s="3"/>
      <c r="V242" s="19" t="str">
        <f>IFERROR(VLOOKUP(Banco_Nacion[[#This Row],[responsable]],Clientes_Proveedores[[Ruc / Dni]:[Razon Social]],2,0),"")</f>
        <v>ALEACIONES FERROSAS Y METALICAS S.A.C.</v>
      </c>
      <c r="W242" s="19" t="str">
        <f>IF(Banco_Nacion[[#This Row],[tipo_mov]]="INGRESO",Banco_Nacion[[#This Row],[serie]]&amp;Banco_Nacion[[#This Row],[numero]]&amp;Banco_Nacion[[#This Row],[responsable]]&amp;Banco_Nacion[[#This Row],[monto]],"")</f>
        <v>FF05620607388416295</v>
      </c>
      <c r="X242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74286229</v>
      </c>
      <c r="Y242" s="3" t="str">
        <f>IFERROR(VLOOKUP(Banco_Nacion[[#This Row],[serie]]&amp;Banco_Nacion[[#This Row],[numero]]&amp;Banco_Nacion[[#This Row],[responsable]],[2]!Provision_CXC[[ID CXP]:[DETRACCION]],47,0),"")</f>
        <v/>
      </c>
      <c r="Z242" s="3"/>
      <c r="AA242" s="24" t="str">
        <f>IF(Banco_Nacion[[#This Row],[fecha]]&gt;0,TEXT(Banco_Nacion[[#This Row],[fecha]],"mmmm"),0)</f>
        <v>Abril</v>
      </c>
    </row>
    <row r="243" spans="1:27" x14ac:dyDescent="0.3">
      <c r="A243" s="2">
        <f>IF(Banco_Nacion[[#This Row],[tipo_registro]]="R",COUNTIFS($C$1:$C242,"R")+1,"")</f>
        <v>242</v>
      </c>
      <c r="B243" s="19" t="str">
        <f t="shared" si="15"/>
        <v>B-Banco de la Nacion</v>
      </c>
      <c r="C243" s="3" t="s">
        <v>1330</v>
      </c>
      <c r="D243" s="14">
        <v>45763</v>
      </c>
      <c r="E243" s="5">
        <v>20607388416</v>
      </c>
      <c r="F243" s="5" t="s">
        <v>1303</v>
      </c>
      <c r="G243" s="6" t="s">
        <v>425</v>
      </c>
      <c r="H243" s="6" t="s">
        <v>68</v>
      </c>
      <c r="I243" s="6" t="s">
        <v>3381</v>
      </c>
      <c r="J243" s="6">
        <v>4</v>
      </c>
      <c r="K243" s="7" t="s">
        <v>5232</v>
      </c>
      <c r="L243" s="8">
        <v>74286210</v>
      </c>
      <c r="M243" s="8" t="str">
        <f t="shared" si="16"/>
        <v>PEN</v>
      </c>
      <c r="N243" s="13"/>
      <c r="O243" s="13">
        <v>738</v>
      </c>
      <c r="P243" s="3">
        <f t="shared" si="17"/>
        <v>738</v>
      </c>
      <c r="Q243" s="3">
        <f t="shared" si="18"/>
        <v>0</v>
      </c>
      <c r="R243" s="3">
        <f t="shared" si="19"/>
        <v>19194.220000000008</v>
      </c>
      <c r="S243" s="24"/>
      <c r="T243" s="24" t="s">
        <v>1334</v>
      </c>
      <c r="U243" s="3"/>
      <c r="V243" s="19" t="str">
        <f>IFERROR(VLOOKUP(Banco_Nacion[[#This Row],[responsable]],Clientes_Proveedores[[Ruc / Dni]:[Razon Social]],2,0),"")</f>
        <v>ALEACIONES FERROSAS Y METALICAS S.A.C.</v>
      </c>
      <c r="W243" s="19" t="str">
        <f>IF(Banco_Nacion[[#This Row],[tipo_mov]]="INGRESO",Banco_Nacion[[#This Row],[serie]]&amp;Banco_Nacion[[#This Row],[numero]]&amp;Banco_Nacion[[#This Row],[responsable]]&amp;Banco_Nacion[[#This Row],[monto]],"")</f>
        <v>FF05420607388416738</v>
      </c>
      <c r="X243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74286210</v>
      </c>
      <c r="Y243" s="3" t="str">
        <f>IFERROR(VLOOKUP(Banco_Nacion[[#This Row],[serie]]&amp;Banco_Nacion[[#This Row],[numero]]&amp;Banco_Nacion[[#This Row],[responsable]],[2]!Provision_CXC[[ID CXP]:[DETRACCION]],47,0),"")</f>
        <v/>
      </c>
      <c r="Z243" s="3"/>
      <c r="AA243" s="24" t="str">
        <f>IF(Banco_Nacion[[#This Row],[fecha]]&gt;0,TEXT(Banco_Nacion[[#This Row],[fecha]],"mmmm"),0)</f>
        <v>Abril</v>
      </c>
    </row>
    <row r="244" spans="1:27" x14ac:dyDescent="0.3">
      <c r="A244" s="2">
        <f>IF(Banco_Nacion[[#This Row],[tipo_registro]]="R",COUNTIFS($C$1:$C243,"R")+1,"")</f>
        <v>243</v>
      </c>
      <c r="B244" s="19" t="str">
        <f t="shared" si="15"/>
        <v>B-Banco de la Nacion</v>
      </c>
      <c r="C244" s="3" t="s">
        <v>1330</v>
      </c>
      <c r="D244" s="14">
        <v>45763</v>
      </c>
      <c r="E244" s="5">
        <v>20607388416</v>
      </c>
      <c r="F244" s="5" t="s">
        <v>1303</v>
      </c>
      <c r="G244" s="6" t="s">
        <v>425</v>
      </c>
      <c r="H244" s="6" t="s">
        <v>68</v>
      </c>
      <c r="I244" s="6" t="s">
        <v>3381</v>
      </c>
      <c r="J244" s="6">
        <v>8</v>
      </c>
      <c r="K244" s="7" t="s">
        <v>5232</v>
      </c>
      <c r="L244" s="8">
        <v>74286035</v>
      </c>
      <c r="M244" s="8" t="str">
        <f t="shared" si="16"/>
        <v>PEN</v>
      </c>
      <c r="N244" s="13"/>
      <c r="O244" s="13">
        <v>306</v>
      </c>
      <c r="P244" s="3">
        <f t="shared" si="17"/>
        <v>306</v>
      </c>
      <c r="Q244" s="3">
        <f t="shared" si="18"/>
        <v>0</v>
      </c>
      <c r="R244" s="3">
        <f t="shared" si="19"/>
        <v>19500.220000000008</v>
      </c>
      <c r="S244" s="24"/>
      <c r="T244" s="24" t="s">
        <v>1334</v>
      </c>
      <c r="U244" s="3"/>
      <c r="V244" s="19" t="str">
        <f>IFERROR(VLOOKUP(Banco_Nacion[[#This Row],[responsable]],Clientes_Proveedores[[Ruc / Dni]:[Razon Social]],2,0),"")</f>
        <v>ALEACIONES FERROSAS Y METALICAS S.A.C.</v>
      </c>
      <c r="W244" s="19" t="str">
        <f>IF(Banco_Nacion[[#This Row],[tipo_mov]]="INGRESO",Banco_Nacion[[#This Row],[serie]]&amp;Banco_Nacion[[#This Row],[numero]]&amp;Banco_Nacion[[#This Row],[responsable]]&amp;Banco_Nacion[[#This Row],[monto]],"")</f>
        <v>FF05820607388416306</v>
      </c>
      <c r="X244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74286035</v>
      </c>
      <c r="Y244" s="3" t="str">
        <f>IFERROR(VLOOKUP(Banco_Nacion[[#This Row],[serie]]&amp;Banco_Nacion[[#This Row],[numero]]&amp;Banco_Nacion[[#This Row],[responsable]],[2]!Provision_CXC[[ID CXP]:[DETRACCION]],47,0),"")</f>
        <v/>
      </c>
      <c r="Z244" s="3"/>
      <c r="AA244" s="24" t="str">
        <f>IF(Banco_Nacion[[#This Row],[fecha]]&gt;0,TEXT(Banco_Nacion[[#This Row],[fecha]],"mmmm"),0)</f>
        <v>Abril</v>
      </c>
    </row>
    <row r="245" spans="1:27" x14ac:dyDescent="0.3">
      <c r="A245" s="2">
        <f>IF(Banco_Nacion[[#This Row],[tipo_registro]]="R",COUNTIFS($C$1:$C244,"R")+1,"")</f>
        <v>244</v>
      </c>
      <c r="B245" s="19" t="str">
        <f t="shared" si="15"/>
        <v>B-Banco de la Nacion</v>
      </c>
      <c r="C245" s="3" t="s">
        <v>1330</v>
      </c>
      <c r="D245" s="14">
        <v>45763</v>
      </c>
      <c r="E245" s="5">
        <v>20601119600</v>
      </c>
      <c r="F245" s="5" t="s">
        <v>1303</v>
      </c>
      <c r="G245" s="6" t="s">
        <v>425</v>
      </c>
      <c r="H245" s="6" t="s">
        <v>68</v>
      </c>
      <c r="I245" s="6" t="s">
        <v>3381</v>
      </c>
      <c r="J245" s="6">
        <v>9</v>
      </c>
      <c r="K245" s="7" t="s">
        <v>5232</v>
      </c>
      <c r="L245" s="8">
        <v>26676564</v>
      </c>
      <c r="M245" s="8" t="str">
        <f t="shared" si="16"/>
        <v>PEN</v>
      </c>
      <c r="N245" s="13"/>
      <c r="O245" s="13">
        <v>124</v>
      </c>
      <c r="P245" s="3">
        <f t="shared" si="17"/>
        <v>124</v>
      </c>
      <c r="Q245" s="3">
        <f t="shared" si="18"/>
        <v>0</v>
      </c>
      <c r="R245" s="3">
        <f t="shared" si="19"/>
        <v>19624.220000000008</v>
      </c>
      <c r="S245" s="24"/>
      <c r="T245" s="24" t="s">
        <v>1334</v>
      </c>
      <c r="U245" s="3"/>
      <c r="V245" s="19" t="str">
        <f>IFERROR(VLOOKUP(Banco_Nacion[[#This Row],[responsable]],Clientes_Proveedores[[Ruc / Dni]:[Razon Social]],2,0),"")</f>
        <v>INVERSIONES W.J.M. S.A.C.</v>
      </c>
      <c r="W245" s="19" t="str">
        <f>IF(Banco_Nacion[[#This Row],[tipo_mov]]="INGRESO",Banco_Nacion[[#This Row],[serie]]&amp;Banco_Nacion[[#This Row],[numero]]&amp;Banco_Nacion[[#This Row],[responsable]]&amp;Banco_Nacion[[#This Row],[monto]],"")</f>
        <v>FF05920601119600124</v>
      </c>
      <c r="X245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26676564</v>
      </c>
      <c r="Y245" s="3" t="str">
        <f>IFERROR(VLOOKUP(Banco_Nacion[[#This Row],[serie]]&amp;Banco_Nacion[[#This Row],[numero]]&amp;Banco_Nacion[[#This Row],[responsable]],[2]!Provision_CXC[[ID CXP]:[DETRACCION]],47,0),"")</f>
        <v/>
      </c>
      <c r="Z245" s="3"/>
      <c r="AA245" s="24" t="str">
        <f>IF(Banco_Nacion[[#This Row],[fecha]]&gt;0,TEXT(Banco_Nacion[[#This Row],[fecha]],"mmmm"),0)</f>
        <v>Abril</v>
      </c>
    </row>
    <row r="246" spans="1:27" x14ac:dyDescent="0.3">
      <c r="A246" s="2">
        <f>IF(Banco_Nacion[[#This Row],[tipo_registro]]="R",COUNTIFS($C$1:$C245,"R")+1,"")</f>
        <v>245</v>
      </c>
      <c r="B246" s="19" t="str">
        <f t="shared" si="15"/>
        <v>B-Banco de la Nacion</v>
      </c>
      <c r="C246" s="3" t="s">
        <v>1330</v>
      </c>
      <c r="D246" s="14">
        <v>45763</v>
      </c>
      <c r="E246" s="5">
        <v>20601119600</v>
      </c>
      <c r="F246" s="5" t="s">
        <v>1303</v>
      </c>
      <c r="G246" s="6" t="s">
        <v>425</v>
      </c>
      <c r="H246" s="6" t="s">
        <v>68</v>
      </c>
      <c r="I246" s="6" t="s">
        <v>3381</v>
      </c>
      <c r="J246" s="6">
        <v>7</v>
      </c>
      <c r="K246" s="7" t="s">
        <v>5232</v>
      </c>
      <c r="L246" s="8">
        <v>26676525</v>
      </c>
      <c r="M246" s="8" t="str">
        <f t="shared" si="16"/>
        <v>PEN</v>
      </c>
      <c r="N246" s="13"/>
      <c r="O246" s="13">
        <v>190</v>
      </c>
      <c r="P246" s="3">
        <f t="shared" si="17"/>
        <v>190</v>
      </c>
      <c r="Q246" s="3">
        <f t="shared" si="18"/>
        <v>0</v>
      </c>
      <c r="R246" s="3">
        <f t="shared" si="19"/>
        <v>19814.220000000008</v>
      </c>
      <c r="S246" s="24"/>
      <c r="T246" s="24" t="s">
        <v>1334</v>
      </c>
      <c r="U246" s="3"/>
      <c r="V246" s="19" t="str">
        <f>IFERROR(VLOOKUP(Banco_Nacion[[#This Row],[responsable]],Clientes_Proveedores[[Ruc / Dni]:[Razon Social]],2,0),"")</f>
        <v>INVERSIONES W.J.M. S.A.C.</v>
      </c>
      <c r="W246" s="19" t="str">
        <f>IF(Banco_Nacion[[#This Row],[tipo_mov]]="INGRESO",Banco_Nacion[[#This Row],[serie]]&amp;Banco_Nacion[[#This Row],[numero]]&amp;Banco_Nacion[[#This Row],[responsable]]&amp;Banco_Nacion[[#This Row],[monto]],"")</f>
        <v>FF05720601119600190</v>
      </c>
      <c r="X246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26676525</v>
      </c>
      <c r="Y246" s="3" t="str">
        <f>IFERROR(VLOOKUP(Banco_Nacion[[#This Row],[serie]]&amp;Banco_Nacion[[#This Row],[numero]]&amp;Banco_Nacion[[#This Row],[responsable]],[2]!Provision_CXC[[ID CXP]:[DETRACCION]],47,0),"")</f>
        <v/>
      </c>
      <c r="Z246" s="3"/>
      <c r="AA246" s="24" t="str">
        <f>IF(Banco_Nacion[[#This Row],[fecha]]&gt;0,TEXT(Banco_Nacion[[#This Row],[fecha]],"mmmm"),0)</f>
        <v>Abril</v>
      </c>
    </row>
    <row r="247" spans="1:27" x14ac:dyDescent="0.3">
      <c r="A247" s="2">
        <f>IF(Banco_Nacion[[#This Row],[tipo_registro]]="R",COUNTIFS($C$1:$C246,"R")+1,"")</f>
        <v>246</v>
      </c>
      <c r="B247" s="19" t="str">
        <f t="shared" si="15"/>
        <v>B-Banco de la Nacion</v>
      </c>
      <c r="C247" s="3" t="s">
        <v>1330</v>
      </c>
      <c r="D247" s="14">
        <v>45768</v>
      </c>
      <c r="E247" s="5">
        <v>20523573226</v>
      </c>
      <c r="F247" s="5" t="s">
        <v>1303</v>
      </c>
      <c r="G247" s="6" t="s">
        <v>425</v>
      </c>
      <c r="H247" s="6" t="s">
        <v>68</v>
      </c>
      <c r="I247" s="6" t="s">
        <v>1784</v>
      </c>
      <c r="J247" s="6">
        <v>19</v>
      </c>
      <c r="K247" s="7" t="s">
        <v>5232</v>
      </c>
      <c r="L247" s="8">
        <v>74412565</v>
      </c>
      <c r="M247" s="8" t="str">
        <f t="shared" si="16"/>
        <v>PEN</v>
      </c>
      <c r="N247" s="13"/>
      <c r="O247" s="13">
        <v>114</v>
      </c>
      <c r="P247" s="3">
        <f t="shared" si="17"/>
        <v>114</v>
      </c>
      <c r="Q247" s="3">
        <f t="shared" si="18"/>
        <v>0</v>
      </c>
      <c r="R247" s="3">
        <f t="shared" si="19"/>
        <v>19928.220000000008</v>
      </c>
      <c r="S247" s="24"/>
      <c r="T247" s="24" t="s">
        <v>1334</v>
      </c>
      <c r="U247" s="3"/>
      <c r="V247" s="19" t="str">
        <f>IFERROR(VLOOKUP(Banco_Nacion[[#This Row],[responsable]],Clientes_Proveedores[[Ruc / Dni]:[Razon Social]],2,0),"")</f>
        <v>CBB PERU S.A.</v>
      </c>
      <c r="W247" s="19" t="str">
        <f>IF(Banco_Nacion[[#This Row],[tipo_mov]]="INGRESO",Banco_Nacion[[#This Row],[serie]]&amp;Banco_Nacion[[#This Row],[numero]]&amp;Banco_Nacion[[#This Row],[responsable]]&amp;Banco_Nacion[[#This Row],[monto]],"")</f>
        <v>FF011920523573226114</v>
      </c>
      <c r="X247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74412565</v>
      </c>
      <c r="Y247" s="3" t="str">
        <f>IFERROR(VLOOKUP(Banco_Nacion[[#This Row],[serie]]&amp;Banco_Nacion[[#This Row],[numero]]&amp;Banco_Nacion[[#This Row],[responsable]],[2]!Provision_CXC[[ID CXP]:[DETRACCION]],47,0),"")</f>
        <v/>
      </c>
      <c r="Z247" s="3"/>
      <c r="AA247" s="24" t="str">
        <f>IF(Banco_Nacion[[#This Row],[fecha]]&gt;0,TEXT(Banco_Nacion[[#This Row],[fecha]],"mmmm"),0)</f>
        <v>Abril</v>
      </c>
    </row>
    <row r="248" spans="1:27" x14ac:dyDescent="0.3">
      <c r="A248" s="2">
        <f>IF(Banco_Nacion[[#This Row],[tipo_registro]]="R",COUNTIFS($C$1:$C247,"R")+1,"")</f>
        <v>247</v>
      </c>
      <c r="B248" s="19" t="str">
        <f t="shared" si="15"/>
        <v>B-Banco de la Nacion</v>
      </c>
      <c r="C248" s="3" t="s">
        <v>1330</v>
      </c>
      <c r="D248" s="14">
        <v>45770</v>
      </c>
      <c r="E248" s="5">
        <v>20607388416</v>
      </c>
      <c r="F248" s="5" t="s">
        <v>1303</v>
      </c>
      <c r="G248" s="6" t="s">
        <v>425</v>
      </c>
      <c r="H248" s="6" t="s">
        <v>68</v>
      </c>
      <c r="I248" s="6" t="s">
        <v>3381</v>
      </c>
      <c r="J248" s="6">
        <v>11</v>
      </c>
      <c r="K248" s="7" t="s">
        <v>5232</v>
      </c>
      <c r="L248" s="8">
        <v>74774361</v>
      </c>
      <c r="M248" s="8" t="str">
        <f t="shared" si="16"/>
        <v>PEN</v>
      </c>
      <c r="N248" s="13"/>
      <c r="O248" s="13">
        <v>167</v>
      </c>
      <c r="P248" s="3">
        <f t="shared" si="17"/>
        <v>167</v>
      </c>
      <c r="Q248" s="3">
        <f t="shared" si="18"/>
        <v>0</v>
      </c>
      <c r="R248" s="3">
        <f t="shared" si="19"/>
        <v>20095.220000000008</v>
      </c>
      <c r="S248" s="24"/>
      <c r="T248" s="24" t="s">
        <v>1334</v>
      </c>
      <c r="U248" s="3"/>
      <c r="V248" s="19" t="str">
        <f>IFERROR(VLOOKUP(Banco_Nacion[[#This Row],[responsable]],Clientes_Proveedores[[Ruc / Dni]:[Razon Social]],2,0),"")</f>
        <v>ALEACIONES FERROSAS Y METALICAS S.A.C.</v>
      </c>
      <c r="W248" s="19" t="str">
        <f>IF(Banco_Nacion[[#This Row],[tipo_mov]]="INGRESO",Banco_Nacion[[#This Row],[serie]]&amp;Banco_Nacion[[#This Row],[numero]]&amp;Banco_Nacion[[#This Row],[responsable]]&amp;Banco_Nacion[[#This Row],[monto]],"")</f>
        <v>FF051120607388416167</v>
      </c>
      <c r="X248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74774361</v>
      </c>
      <c r="Y248" s="3" t="str">
        <f>IFERROR(VLOOKUP(Banco_Nacion[[#This Row],[serie]]&amp;Banco_Nacion[[#This Row],[numero]]&amp;Banco_Nacion[[#This Row],[responsable]],[2]!Provision_CXC[[ID CXP]:[DETRACCION]],47,0),"")</f>
        <v/>
      </c>
      <c r="Z248" s="3"/>
      <c r="AA248" s="24" t="str">
        <f>IF(Banco_Nacion[[#This Row],[fecha]]&gt;0,TEXT(Banco_Nacion[[#This Row],[fecha]],"mmmm"),0)</f>
        <v>Abril</v>
      </c>
    </row>
    <row r="249" spans="1:27" x14ac:dyDescent="0.3">
      <c r="A249" s="2">
        <f>IF(Banco_Nacion[[#This Row],[tipo_registro]]="R",COUNTIFS($C$1:$C248,"R")+1,"")</f>
        <v>248</v>
      </c>
      <c r="B249" s="19" t="str">
        <f t="shared" si="15"/>
        <v>B-Banco de la Nacion</v>
      </c>
      <c r="C249" s="3" t="s">
        <v>1330</v>
      </c>
      <c r="D249" s="14">
        <v>45771</v>
      </c>
      <c r="E249" s="5">
        <v>20402885549</v>
      </c>
      <c r="F249" s="5" t="s">
        <v>1303</v>
      </c>
      <c r="G249" s="6" t="s">
        <v>425</v>
      </c>
      <c r="H249" s="6" t="s">
        <v>68</v>
      </c>
      <c r="I249" s="6" t="s">
        <v>3302</v>
      </c>
      <c r="J249" s="6">
        <v>12</v>
      </c>
      <c r="K249" s="7" t="s">
        <v>5232</v>
      </c>
      <c r="L249" s="8">
        <v>74848552</v>
      </c>
      <c r="M249" s="8" t="str">
        <f t="shared" si="16"/>
        <v>PEN</v>
      </c>
      <c r="N249" s="13"/>
      <c r="O249" s="13">
        <v>3615</v>
      </c>
      <c r="P249" s="3">
        <f t="shared" si="17"/>
        <v>3615</v>
      </c>
      <c r="Q249" s="3">
        <f t="shared" si="18"/>
        <v>0</v>
      </c>
      <c r="R249" s="3">
        <f t="shared" si="19"/>
        <v>23710.220000000008</v>
      </c>
      <c r="S249" s="24"/>
      <c r="T249" s="24" t="s">
        <v>1334</v>
      </c>
      <c r="U249" s="3"/>
      <c r="V249" s="19" t="str">
        <f>IFERROR(VLOOKUP(Banco_Nacion[[#This Row],[responsable]],Clientes_Proveedores[[Ruc / Dni]:[Razon Social]],2,0),"")</f>
        <v>EMPRESA SIDERURGICA DEL PERU S.A.A.</v>
      </c>
      <c r="W249" s="19" t="str">
        <f>IF(Banco_Nacion[[#This Row],[tipo_mov]]="INGRESO",Banco_Nacion[[#This Row],[serie]]&amp;Banco_Nacion[[#This Row],[numero]]&amp;Banco_Nacion[[#This Row],[responsable]]&amp;Banco_Nacion[[#This Row],[monto]],"")</f>
        <v>FF0212204028855493615</v>
      </c>
      <c r="X249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74848552</v>
      </c>
      <c r="Y249" s="3" t="str">
        <f>IFERROR(VLOOKUP(Banco_Nacion[[#This Row],[serie]]&amp;Banco_Nacion[[#This Row],[numero]]&amp;Banco_Nacion[[#This Row],[responsable]],[2]!Provision_CXC[[ID CXP]:[DETRACCION]],47,0),"")</f>
        <v/>
      </c>
      <c r="Z249" s="3"/>
      <c r="AA249" s="24" t="str">
        <f>IF(Banco_Nacion[[#This Row],[fecha]]&gt;0,TEXT(Banco_Nacion[[#This Row],[fecha]],"mmmm"),0)</f>
        <v>Abril</v>
      </c>
    </row>
    <row r="250" spans="1:27" x14ac:dyDescent="0.3">
      <c r="A250" s="2">
        <f>IF(Banco_Nacion[[#This Row],[tipo_registro]]="R",COUNTIFS($C$1:$C249,"R")+1,"")</f>
        <v>249</v>
      </c>
      <c r="B250" s="19" t="str">
        <f t="shared" si="15"/>
        <v>B-Banco de la Nacion</v>
      </c>
      <c r="C250" s="3" t="s">
        <v>1330</v>
      </c>
      <c r="D250" s="14">
        <v>45771</v>
      </c>
      <c r="E250" s="5">
        <v>20402885549</v>
      </c>
      <c r="F250" s="5" t="s">
        <v>1303</v>
      </c>
      <c r="G250" s="6" t="s">
        <v>425</v>
      </c>
      <c r="H250" s="6" t="s">
        <v>68</v>
      </c>
      <c r="I250" s="6" t="s">
        <v>3302</v>
      </c>
      <c r="J250" s="6">
        <v>10</v>
      </c>
      <c r="K250" s="7" t="s">
        <v>5232</v>
      </c>
      <c r="L250" s="8">
        <v>74848446</v>
      </c>
      <c r="M250" s="8" t="str">
        <f t="shared" si="16"/>
        <v>PEN</v>
      </c>
      <c r="N250" s="13"/>
      <c r="O250" s="13">
        <v>2789</v>
      </c>
      <c r="P250" s="3">
        <f t="shared" si="17"/>
        <v>2789</v>
      </c>
      <c r="Q250" s="3">
        <f t="shared" si="18"/>
        <v>0</v>
      </c>
      <c r="R250" s="3">
        <f t="shared" si="19"/>
        <v>26499.220000000008</v>
      </c>
      <c r="S250" s="24"/>
      <c r="T250" s="24" t="s">
        <v>1334</v>
      </c>
      <c r="U250" s="3"/>
      <c r="V250" s="19" t="str">
        <f>IFERROR(VLOOKUP(Banco_Nacion[[#This Row],[responsable]],Clientes_Proveedores[[Ruc / Dni]:[Razon Social]],2,0),"")</f>
        <v>EMPRESA SIDERURGICA DEL PERU S.A.A.</v>
      </c>
      <c r="W250" s="19" t="str">
        <f>IF(Banco_Nacion[[#This Row],[tipo_mov]]="INGRESO",Banco_Nacion[[#This Row],[serie]]&amp;Banco_Nacion[[#This Row],[numero]]&amp;Banco_Nacion[[#This Row],[responsable]]&amp;Banco_Nacion[[#This Row],[monto]],"")</f>
        <v>FF0210204028855492789</v>
      </c>
      <c r="X250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74848446</v>
      </c>
      <c r="Y250" s="3" t="str">
        <f>IFERROR(VLOOKUP(Banco_Nacion[[#This Row],[serie]]&amp;Banco_Nacion[[#This Row],[numero]]&amp;Banco_Nacion[[#This Row],[responsable]],[2]!Provision_CXC[[ID CXP]:[DETRACCION]],47,0),"")</f>
        <v/>
      </c>
      <c r="Z250" s="3"/>
      <c r="AA250" s="24" t="str">
        <f>IF(Banco_Nacion[[#This Row],[fecha]]&gt;0,TEXT(Banco_Nacion[[#This Row],[fecha]],"mmmm"),0)</f>
        <v>Abril</v>
      </c>
    </row>
    <row r="251" spans="1:27" x14ac:dyDescent="0.3">
      <c r="A251" s="2">
        <f>IF(Banco_Nacion[[#This Row],[tipo_registro]]="R",COUNTIFS($C$1:$C250,"R")+1,"")</f>
        <v>250</v>
      </c>
      <c r="B251" s="19" t="str">
        <f t="shared" si="15"/>
        <v>B-Banco de la Nacion</v>
      </c>
      <c r="C251" s="3" t="s">
        <v>1330</v>
      </c>
      <c r="D251" s="14">
        <v>45771</v>
      </c>
      <c r="E251" s="5">
        <v>20402885549</v>
      </c>
      <c r="F251" s="5" t="s">
        <v>1303</v>
      </c>
      <c r="G251" s="6" t="s">
        <v>425</v>
      </c>
      <c r="H251" s="6" t="s">
        <v>68</v>
      </c>
      <c r="I251" s="6" t="s">
        <v>3302</v>
      </c>
      <c r="J251" s="6">
        <v>11</v>
      </c>
      <c r="K251" s="7" t="s">
        <v>5232</v>
      </c>
      <c r="L251" s="8">
        <v>74848442</v>
      </c>
      <c r="M251" s="8" t="str">
        <f t="shared" si="16"/>
        <v>PEN</v>
      </c>
      <c r="N251" s="13"/>
      <c r="O251" s="13">
        <v>4915</v>
      </c>
      <c r="P251" s="3">
        <f t="shared" si="17"/>
        <v>4915</v>
      </c>
      <c r="Q251" s="3">
        <f t="shared" si="18"/>
        <v>0</v>
      </c>
      <c r="R251" s="3">
        <f t="shared" si="19"/>
        <v>31414.220000000008</v>
      </c>
      <c r="S251" s="24"/>
      <c r="T251" s="24" t="s">
        <v>1334</v>
      </c>
      <c r="U251" s="3"/>
      <c r="V251" s="19" t="str">
        <f>IFERROR(VLOOKUP(Banco_Nacion[[#This Row],[responsable]],Clientes_Proveedores[[Ruc / Dni]:[Razon Social]],2,0),"")</f>
        <v>EMPRESA SIDERURGICA DEL PERU S.A.A.</v>
      </c>
      <c r="W251" s="19" t="str">
        <f>IF(Banco_Nacion[[#This Row],[tipo_mov]]="INGRESO",Banco_Nacion[[#This Row],[serie]]&amp;Banco_Nacion[[#This Row],[numero]]&amp;Banco_Nacion[[#This Row],[responsable]]&amp;Banco_Nacion[[#This Row],[monto]],"")</f>
        <v>FF0211204028855494915</v>
      </c>
      <c r="X251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74848442</v>
      </c>
      <c r="Y251" s="3" t="str">
        <f>IFERROR(VLOOKUP(Banco_Nacion[[#This Row],[serie]]&amp;Banco_Nacion[[#This Row],[numero]]&amp;Banco_Nacion[[#This Row],[responsable]],[2]!Provision_CXC[[ID CXP]:[DETRACCION]],47,0),"")</f>
        <v/>
      </c>
      <c r="Z251" s="3"/>
      <c r="AA251" s="24" t="str">
        <f>IF(Banco_Nacion[[#This Row],[fecha]]&gt;0,TEXT(Banco_Nacion[[#This Row],[fecha]],"mmmm"),0)</f>
        <v>Abril</v>
      </c>
    </row>
    <row r="252" spans="1:27" x14ac:dyDescent="0.3">
      <c r="A252" s="2">
        <f>IF(Banco_Nacion[[#This Row],[tipo_registro]]="R",COUNTIFS($C$1:$C251,"R")+1,"")</f>
        <v>251</v>
      </c>
      <c r="B252" s="19" t="str">
        <f t="shared" si="15"/>
        <v>B-Banco de la Nacion</v>
      </c>
      <c r="C252" s="3" t="s">
        <v>1330</v>
      </c>
      <c r="D252" s="14">
        <v>45771</v>
      </c>
      <c r="E252" s="5"/>
      <c r="F252" s="5" t="s">
        <v>1336</v>
      </c>
      <c r="G252" s="6"/>
      <c r="H252" s="6"/>
      <c r="I252" s="6" t="s">
        <v>5231</v>
      </c>
      <c r="J252" s="6"/>
      <c r="K252" s="7" t="s">
        <v>5234</v>
      </c>
      <c r="L252" s="8">
        <v>78787878</v>
      </c>
      <c r="M252" s="8" t="str">
        <f t="shared" si="16"/>
        <v>PEN</v>
      </c>
      <c r="N252" s="13"/>
      <c r="O252" s="13">
        <v>7918</v>
      </c>
      <c r="P252" s="3">
        <f t="shared" si="17"/>
        <v>0</v>
      </c>
      <c r="Q252" s="3">
        <f t="shared" si="18"/>
        <v>7918</v>
      </c>
      <c r="R252" s="3">
        <f t="shared" si="19"/>
        <v>23496.220000000008</v>
      </c>
      <c r="S252" s="24"/>
      <c r="T252" s="24"/>
      <c r="U252" s="3"/>
      <c r="V252" s="19" t="str">
        <f>IFERROR(VLOOKUP(Banco_Nacion[[#This Row],[responsable]],Clientes_Proveedores[[Ruc / Dni]:[Razon Social]],2,0),"")</f>
        <v/>
      </c>
      <c r="W252" s="19" t="str">
        <f>IF(Banco_Nacion[[#This Row],[tipo_mov]]="INGRESO",Banco_Nacion[[#This Row],[serie]]&amp;Banco_Nacion[[#This Row],[numero]]&amp;Banco_Nacion[[#This Row],[responsable]]&amp;Banco_Nacion[[#This Row],[monto]],"")</f>
        <v/>
      </c>
      <c r="X252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/>
      </c>
      <c r="Y252" s="3" t="str">
        <f>IFERROR(VLOOKUP(Banco_Nacion[[#This Row],[serie]]&amp;Banco_Nacion[[#This Row],[numero]]&amp;Banco_Nacion[[#This Row],[responsable]],[2]!Provision_CXC[[ID CXP]:[DETRACCION]],47,0),"")</f>
        <v/>
      </c>
      <c r="Z252" s="3"/>
      <c r="AA252" s="24" t="str">
        <f>IF(Banco_Nacion[[#This Row],[fecha]]&gt;0,TEXT(Banco_Nacion[[#This Row],[fecha]],"mmmm"),0)</f>
        <v>Abril</v>
      </c>
    </row>
    <row r="253" spans="1:27" x14ac:dyDescent="0.3">
      <c r="A253" s="2">
        <f>IF(Banco_Nacion[[#This Row],[tipo_registro]]="R",COUNTIFS($C$1:$C252,"R")+1,"")</f>
        <v>252</v>
      </c>
      <c r="B253" s="19" t="str">
        <f t="shared" si="15"/>
        <v>B-Banco de la Nacion</v>
      </c>
      <c r="C253" s="3" t="s">
        <v>1330</v>
      </c>
      <c r="D253" s="14">
        <v>45771</v>
      </c>
      <c r="E253" s="5"/>
      <c r="F253" s="5" t="s">
        <v>1336</v>
      </c>
      <c r="G253" s="6"/>
      <c r="H253" s="6"/>
      <c r="I253" s="6" t="s">
        <v>5231</v>
      </c>
      <c r="J253" s="6"/>
      <c r="K253" s="7" t="s">
        <v>5234</v>
      </c>
      <c r="L253" s="8">
        <v>78787878</v>
      </c>
      <c r="M253" s="8" t="str">
        <f t="shared" si="16"/>
        <v>PEN</v>
      </c>
      <c r="N253" s="13"/>
      <c r="O253" s="13">
        <v>93</v>
      </c>
      <c r="P253" s="3">
        <f t="shared" si="17"/>
        <v>0</v>
      </c>
      <c r="Q253" s="3">
        <f t="shared" si="18"/>
        <v>93</v>
      </c>
      <c r="R253" s="3">
        <f t="shared" si="19"/>
        <v>23403.220000000008</v>
      </c>
      <c r="S253" s="24"/>
      <c r="T253" s="24"/>
      <c r="U253" s="3"/>
      <c r="V253" s="19" t="str">
        <f>IFERROR(VLOOKUP(Banco_Nacion[[#This Row],[responsable]],Clientes_Proveedores[[Ruc / Dni]:[Razon Social]],2,0),"")</f>
        <v/>
      </c>
      <c r="W253" s="19" t="str">
        <f>IF(Banco_Nacion[[#This Row],[tipo_mov]]="INGRESO",Banco_Nacion[[#This Row],[serie]]&amp;Banco_Nacion[[#This Row],[numero]]&amp;Banco_Nacion[[#This Row],[responsable]]&amp;Banco_Nacion[[#This Row],[monto]],"")</f>
        <v/>
      </c>
      <c r="X253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/>
      </c>
      <c r="Y253" s="3" t="str">
        <f>IFERROR(VLOOKUP(Banco_Nacion[[#This Row],[serie]]&amp;Banco_Nacion[[#This Row],[numero]]&amp;Banco_Nacion[[#This Row],[responsable]],[2]!Provision_CXC[[ID CXP]:[DETRACCION]],47,0),"")</f>
        <v/>
      </c>
      <c r="Z253" s="3"/>
      <c r="AA253" s="24" t="str">
        <f>IF(Banco_Nacion[[#This Row],[fecha]]&gt;0,TEXT(Banco_Nacion[[#This Row],[fecha]],"mmmm"),0)</f>
        <v>Abril</v>
      </c>
    </row>
    <row r="254" spans="1:27" x14ac:dyDescent="0.3">
      <c r="A254" s="2">
        <f>IF(Banco_Nacion[[#This Row],[tipo_registro]]="R",COUNTIFS($C$1:$C253,"R")+1,"")</f>
        <v>253</v>
      </c>
      <c r="B254" s="19" t="str">
        <f t="shared" si="15"/>
        <v>B-Banco de la Nacion</v>
      </c>
      <c r="C254" s="3" t="s">
        <v>1330</v>
      </c>
      <c r="D254" s="14">
        <v>45771</v>
      </c>
      <c r="E254" s="5"/>
      <c r="F254" s="5" t="s">
        <v>1336</v>
      </c>
      <c r="G254" s="6"/>
      <c r="H254" s="6"/>
      <c r="I254" s="6" t="s">
        <v>5231</v>
      </c>
      <c r="J254" s="6"/>
      <c r="K254" s="7" t="s">
        <v>5234</v>
      </c>
      <c r="L254" s="8">
        <v>78787878</v>
      </c>
      <c r="M254" s="8" t="str">
        <f t="shared" si="16"/>
        <v>PEN</v>
      </c>
      <c r="N254" s="13"/>
      <c r="O254" s="13">
        <v>2585</v>
      </c>
      <c r="P254" s="3">
        <f t="shared" si="17"/>
        <v>0</v>
      </c>
      <c r="Q254" s="3">
        <f t="shared" si="18"/>
        <v>2585</v>
      </c>
      <c r="R254" s="3">
        <f t="shared" si="19"/>
        <v>20818.220000000008</v>
      </c>
      <c r="S254" s="24"/>
      <c r="T254" s="24"/>
      <c r="U254" s="3"/>
      <c r="V254" s="19" t="str">
        <f>IFERROR(VLOOKUP(Banco_Nacion[[#This Row],[responsable]],Clientes_Proveedores[[Ruc / Dni]:[Razon Social]],2,0),"")</f>
        <v/>
      </c>
      <c r="W254" s="19" t="str">
        <f>IF(Banco_Nacion[[#This Row],[tipo_mov]]="INGRESO",Banco_Nacion[[#This Row],[serie]]&amp;Banco_Nacion[[#This Row],[numero]]&amp;Banco_Nacion[[#This Row],[responsable]]&amp;Banco_Nacion[[#This Row],[monto]],"")</f>
        <v/>
      </c>
      <c r="X254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/>
      </c>
      <c r="Y254" s="3" t="str">
        <f>IFERROR(VLOOKUP(Banco_Nacion[[#This Row],[serie]]&amp;Banco_Nacion[[#This Row],[numero]]&amp;Banco_Nacion[[#This Row],[responsable]],[2]!Provision_CXC[[ID CXP]:[DETRACCION]],47,0),"")</f>
        <v/>
      </c>
      <c r="Z254" s="3"/>
      <c r="AA254" s="24" t="str">
        <f>IF(Banco_Nacion[[#This Row],[fecha]]&gt;0,TEXT(Banco_Nacion[[#This Row],[fecha]],"mmmm"),0)</f>
        <v>Abril</v>
      </c>
    </row>
    <row r="255" spans="1:27" x14ac:dyDescent="0.3">
      <c r="A255" s="2">
        <f>IF(Banco_Nacion[[#This Row],[tipo_registro]]="R",COUNTIFS($C$1:$C254,"R")+1,"")</f>
        <v>254</v>
      </c>
      <c r="B255" s="19" t="str">
        <f t="shared" si="15"/>
        <v>B-Banco de la Nacion</v>
      </c>
      <c r="C255" s="3" t="s">
        <v>1330</v>
      </c>
      <c r="D255" s="14">
        <v>45772</v>
      </c>
      <c r="E255" s="5">
        <v>20419158462</v>
      </c>
      <c r="F255" s="5" t="s">
        <v>1303</v>
      </c>
      <c r="G255" s="6" t="s">
        <v>425</v>
      </c>
      <c r="H255" s="6" t="s">
        <v>68</v>
      </c>
      <c r="I255" s="6" t="s">
        <v>1784</v>
      </c>
      <c r="J255" s="6">
        <v>25</v>
      </c>
      <c r="K255" s="7" t="s">
        <v>5232</v>
      </c>
      <c r="L255" s="8">
        <v>75377635</v>
      </c>
      <c r="M255" s="8" t="str">
        <f t="shared" si="16"/>
        <v>PEN</v>
      </c>
      <c r="N255" s="13"/>
      <c r="O255" s="13">
        <v>368</v>
      </c>
      <c r="P255" s="3">
        <f t="shared" si="17"/>
        <v>368</v>
      </c>
      <c r="Q255" s="3">
        <f t="shared" si="18"/>
        <v>0</v>
      </c>
      <c r="R255" s="3">
        <f t="shared" si="19"/>
        <v>21186.220000000008</v>
      </c>
      <c r="S255" s="24"/>
      <c r="T255" s="24" t="s">
        <v>1334</v>
      </c>
      <c r="U255" s="3"/>
      <c r="V255" s="19" t="str">
        <f>IFERROR(VLOOKUP(Banco_Nacion[[#This Row],[responsable]],Clientes_Proveedores[[Ruc / Dni]:[Razon Social]],2,0),"")</f>
        <v>GRANJA RINCONADA DEL SUR S.A.</v>
      </c>
      <c r="W255" s="19" t="str">
        <f>IF(Banco_Nacion[[#This Row],[tipo_mov]]="INGRESO",Banco_Nacion[[#This Row],[serie]]&amp;Banco_Nacion[[#This Row],[numero]]&amp;Banco_Nacion[[#This Row],[responsable]]&amp;Banco_Nacion[[#This Row],[monto]],"")</f>
        <v>FF012520419158462368</v>
      </c>
      <c r="X255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75377635</v>
      </c>
      <c r="Y255" s="3" t="str">
        <f>IFERROR(VLOOKUP(Banco_Nacion[[#This Row],[serie]]&amp;Banco_Nacion[[#This Row],[numero]]&amp;Banco_Nacion[[#This Row],[responsable]],[2]!Provision_CXC[[ID CXP]:[DETRACCION]],47,0),"")</f>
        <v/>
      </c>
      <c r="Z255" s="3"/>
      <c r="AA255" s="24" t="str">
        <f>IF(Banco_Nacion[[#This Row],[fecha]]&gt;0,TEXT(Banco_Nacion[[#This Row],[fecha]],"mmmm"),0)</f>
        <v>Abril</v>
      </c>
    </row>
    <row r="256" spans="1:27" x14ac:dyDescent="0.3">
      <c r="A256" s="2">
        <f>IF(Banco_Nacion[[#This Row],[tipo_registro]]="R",COUNTIFS($C$1:$C255,"R")+1,"")</f>
        <v>255</v>
      </c>
      <c r="B256" s="19" t="str">
        <f t="shared" si="15"/>
        <v>B-Banco de la Nacion</v>
      </c>
      <c r="C256" s="3" t="s">
        <v>1330</v>
      </c>
      <c r="D256" s="14">
        <v>45772</v>
      </c>
      <c r="E256" s="5">
        <v>20419158462</v>
      </c>
      <c r="F256" s="5" t="s">
        <v>1303</v>
      </c>
      <c r="G256" s="6" t="s">
        <v>425</v>
      </c>
      <c r="H256" s="6" t="s">
        <v>68</v>
      </c>
      <c r="I256" s="6" t="s">
        <v>1784</v>
      </c>
      <c r="J256" s="6">
        <v>20</v>
      </c>
      <c r="K256" s="7" t="s">
        <v>5232</v>
      </c>
      <c r="L256" s="8">
        <v>75377634</v>
      </c>
      <c r="M256" s="8" t="str">
        <f t="shared" si="16"/>
        <v>PEN</v>
      </c>
      <c r="N256" s="13"/>
      <c r="O256" s="13">
        <v>1471</v>
      </c>
      <c r="P256" s="3">
        <f t="shared" si="17"/>
        <v>1471</v>
      </c>
      <c r="Q256" s="3">
        <f t="shared" si="18"/>
        <v>0</v>
      </c>
      <c r="R256" s="3">
        <f t="shared" si="19"/>
        <v>22657.220000000008</v>
      </c>
      <c r="S256" s="24"/>
      <c r="T256" s="24" t="s">
        <v>1334</v>
      </c>
      <c r="U256" s="3"/>
      <c r="V256" s="19" t="str">
        <f>IFERROR(VLOOKUP(Banco_Nacion[[#This Row],[responsable]],Clientes_Proveedores[[Ruc / Dni]:[Razon Social]],2,0),"")</f>
        <v>GRANJA RINCONADA DEL SUR S.A.</v>
      </c>
      <c r="W256" s="19" t="str">
        <f>IF(Banco_Nacion[[#This Row],[tipo_mov]]="INGRESO",Banco_Nacion[[#This Row],[serie]]&amp;Banco_Nacion[[#This Row],[numero]]&amp;Banco_Nacion[[#This Row],[responsable]]&amp;Banco_Nacion[[#This Row],[monto]],"")</f>
        <v>FF0120204191584621471</v>
      </c>
      <c r="X256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75377634</v>
      </c>
      <c r="Y256" s="3" t="str">
        <f>IFERROR(VLOOKUP(Banco_Nacion[[#This Row],[serie]]&amp;Banco_Nacion[[#This Row],[numero]]&amp;Banco_Nacion[[#This Row],[responsable]],[2]!Provision_CXC[[ID CXP]:[DETRACCION]],47,0),"")</f>
        <v/>
      </c>
      <c r="Z256" s="3"/>
      <c r="AA256" s="24" t="str">
        <f>IF(Banco_Nacion[[#This Row],[fecha]]&gt;0,TEXT(Banco_Nacion[[#This Row],[fecha]],"mmmm"),0)</f>
        <v>Abril</v>
      </c>
    </row>
    <row r="257" spans="1:27" x14ac:dyDescent="0.3">
      <c r="A257" s="2">
        <f>IF(Banco_Nacion[[#This Row],[tipo_registro]]="R",COUNTIFS($C$1:$C256,"R")+1,"")</f>
        <v>256</v>
      </c>
      <c r="B257" s="19" t="str">
        <f t="shared" si="15"/>
        <v>B-Banco de la Nacion</v>
      </c>
      <c r="C257" s="3" t="s">
        <v>1330</v>
      </c>
      <c r="D257" s="14">
        <v>45775</v>
      </c>
      <c r="E257" s="5">
        <v>20454186002</v>
      </c>
      <c r="F257" s="5" t="s">
        <v>1303</v>
      </c>
      <c r="G257" s="6" t="s">
        <v>425</v>
      </c>
      <c r="H257" s="6" t="s">
        <v>68</v>
      </c>
      <c r="I257" s="6" t="s">
        <v>1784</v>
      </c>
      <c r="J257" s="6">
        <v>35</v>
      </c>
      <c r="K257" s="7" t="s">
        <v>5232</v>
      </c>
      <c r="L257" s="8">
        <v>75429319</v>
      </c>
      <c r="M257" s="8" t="str">
        <f t="shared" si="16"/>
        <v>PEN</v>
      </c>
      <c r="N257" s="13"/>
      <c r="O257" s="13">
        <v>343</v>
      </c>
      <c r="P257" s="3">
        <f t="shared" si="17"/>
        <v>343</v>
      </c>
      <c r="Q257" s="3">
        <f t="shared" si="18"/>
        <v>0</v>
      </c>
      <c r="R257" s="3">
        <f t="shared" si="19"/>
        <v>23000.220000000008</v>
      </c>
      <c r="S257" s="24"/>
      <c r="T257" s="24" t="s">
        <v>1334</v>
      </c>
      <c r="U257" s="3"/>
      <c r="V257" s="19" t="str">
        <f>IFERROR(VLOOKUP(Banco_Nacion[[#This Row],[responsable]],Clientes_Proveedores[[Ruc / Dni]:[Razon Social]],2,0),"")</f>
        <v>ALSUR PERU S.A.C.</v>
      </c>
      <c r="W257" s="19" t="str">
        <f>IF(Banco_Nacion[[#This Row],[tipo_mov]]="INGRESO",Banco_Nacion[[#This Row],[serie]]&amp;Banco_Nacion[[#This Row],[numero]]&amp;Banco_Nacion[[#This Row],[responsable]]&amp;Banco_Nacion[[#This Row],[monto]],"")</f>
        <v>FF013520454186002343</v>
      </c>
      <c r="X257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75429319</v>
      </c>
      <c r="Y257" s="3" t="str">
        <f>IFERROR(VLOOKUP(Banco_Nacion[[#This Row],[serie]]&amp;Banco_Nacion[[#This Row],[numero]]&amp;Banco_Nacion[[#This Row],[responsable]],[2]!Provision_CXC[[ID CXP]:[DETRACCION]],47,0),"")</f>
        <v/>
      </c>
      <c r="Z257" s="3"/>
      <c r="AA257" s="24" t="str">
        <f>IF(Banco_Nacion[[#This Row],[fecha]]&gt;0,TEXT(Banco_Nacion[[#This Row],[fecha]],"mmmm"),0)</f>
        <v>Abril</v>
      </c>
    </row>
    <row r="258" spans="1:27" x14ac:dyDescent="0.3">
      <c r="A258" s="2">
        <f>IF(Banco_Nacion[[#This Row],[tipo_registro]]="R",COUNTIFS($C$1:$C257,"R")+1,"")</f>
        <v>257</v>
      </c>
      <c r="B258" s="19" t="str">
        <f t="shared" ref="B258:B321" si="20">"B-Banco de la Nacion"</f>
        <v>B-Banco de la Nacion</v>
      </c>
      <c r="C258" s="3" t="s">
        <v>1330</v>
      </c>
      <c r="D258" s="14">
        <v>45775</v>
      </c>
      <c r="E258" s="5">
        <v>20454186002</v>
      </c>
      <c r="F258" s="5" t="s">
        <v>1303</v>
      </c>
      <c r="G258" s="6" t="s">
        <v>425</v>
      </c>
      <c r="H258" s="6" t="s">
        <v>68</v>
      </c>
      <c r="I258" s="6" t="s">
        <v>1784</v>
      </c>
      <c r="J258" s="6">
        <v>36</v>
      </c>
      <c r="K258" s="7" t="s">
        <v>5232</v>
      </c>
      <c r="L258" s="8">
        <v>75429318</v>
      </c>
      <c r="M258" s="8" t="str">
        <f t="shared" ref="M258:M321" si="21">"PEN"</f>
        <v>PEN</v>
      </c>
      <c r="N258" s="13"/>
      <c r="O258" s="13">
        <v>352</v>
      </c>
      <c r="P258" s="3">
        <f t="shared" ref="P258:P321" si="22">+IF(OR($F258="SALDO",$F258="INGRESO"),$O258,0)</f>
        <v>352</v>
      </c>
      <c r="Q258" s="3">
        <f t="shared" ref="Q258:Q321" si="23">+IF($F258="EGRESO",$O258,0)</f>
        <v>0</v>
      </c>
      <c r="R258" s="3">
        <f t="shared" ref="R258:R321" si="24">IFERROR(IF(F258="SALDO",P258,R257+P258-Q258),0)</f>
        <v>23352.220000000008</v>
      </c>
      <c r="S258" s="24"/>
      <c r="T258" s="24" t="s">
        <v>1334</v>
      </c>
      <c r="U258" s="3"/>
      <c r="V258" s="19" t="str">
        <f>IFERROR(VLOOKUP(Banco_Nacion[[#This Row],[responsable]],Clientes_Proveedores[[Ruc / Dni]:[Razon Social]],2,0),"")</f>
        <v>ALSUR PERU S.A.C.</v>
      </c>
      <c r="W258" s="19" t="str">
        <f>IF(Banco_Nacion[[#This Row],[tipo_mov]]="INGRESO",Banco_Nacion[[#This Row],[serie]]&amp;Banco_Nacion[[#This Row],[numero]]&amp;Banco_Nacion[[#This Row],[responsable]]&amp;Banco_Nacion[[#This Row],[monto]],"")</f>
        <v>FF013620454186002352</v>
      </c>
      <c r="X258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75429318</v>
      </c>
      <c r="Y258" s="3" t="str">
        <f>IFERROR(VLOOKUP(Banco_Nacion[[#This Row],[serie]]&amp;Banco_Nacion[[#This Row],[numero]]&amp;Banco_Nacion[[#This Row],[responsable]],[2]!Provision_CXC[[ID CXP]:[DETRACCION]],47,0),"")</f>
        <v/>
      </c>
      <c r="Z258" s="3"/>
      <c r="AA258" s="24" t="str">
        <f>IF(Banco_Nacion[[#This Row],[fecha]]&gt;0,TEXT(Banco_Nacion[[#This Row],[fecha]],"mmmm"),0)</f>
        <v>Abril</v>
      </c>
    </row>
    <row r="259" spans="1:27" x14ac:dyDescent="0.3">
      <c r="A259" s="2">
        <f>IF(Banco_Nacion[[#This Row],[tipo_registro]]="R",COUNTIFS($C$1:$C258,"R")+1,"")</f>
        <v>258</v>
      </c>
      <c r="B259" s="19" t="str">
        <f t="shared" si="20"/>
        <v>B-Banco de la Nacion</v>
      </c>
      <c r="C259" s="3" t="s">
        <v>1330</v>
      </c>
      <c r="D259" s="14">
        <v>45776</v>
      </c>
      <c r="E259" s="5">
        <v>20419158462</v>
      </c>
      <c r="F259" s="5" t="s">
        <v>1303</v>
      </c>
      <c r="G259" s="6" t="s">
        <v>425</v>
      </c>
      <c r="H259" s="6" t="s">
        <v>68</v>
      </c>
      <c r="I259" s="6" t="s">
        <v>1784</v>
      </c>
      <c r="J259" s="6">
        <v>48</v>
      </c>
      <c r="K259" s="7" t="s">
        <v>5232</v>
      </c>
      <c r="L259" s="8">
        <v>75520677</v>
      </c>
      <c r="M259" s="8" t="str">
        <f t="shared" si="21"/>
        <v>PEN</v>
      </c>
      <c r="N259" s="13"/>
      <c r="O259" s="13">
        <v>1320</v>
      </c>
      <c r="P259" s="3">
        <f t="shared" si="22"/>
        <v>1320</v>
      </c>
      <c r="Q259" s="3">
        <f t="shared" si="23"/>
        <v>0</v>
      </c>
      <c r="R259" s="3">
        <f t="shared" si="24"/>
        <v>24672.220000000008</v>
      </c>
      <c r="S259" s="24"/>
      <c r="T259" s="24" t="s">
        <v>1334</v>
      </c>
      <c r="U259" s="3"/>
      <c r="V259" s="19" t="str">
        <f>IFERROR(VLOOKUP(Banco_Nacion[[#This Row],[responsable]],Clientes_Proveedores[[Ruc / Dni]:[Razon Social]],2,0),"")</f>
        <v>GRANJA RINCONADA DEL SUR S.A.</v>
      </c>
      <c r="W259" s="19" t="str">
        <f>IF(Banco_Nacion[[#This Row],[tipo_mov]]="INGRESO",Banco_Nacion[[#This Row],[serie]]&amp;Banco_Nacion[[#This Row],[numero]]&amp;Banco_Nacion[[#This Row],[responsable]]&amp;Banco_Nacion[[#This Row],[monto]],"")</f>
        <v>FF0148204191584621320</v>
      </c>
      <c r="X259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75520677</v>
      </c>
      <c r="Y259" s="3" t="str">
        <f>IFERROR(VLOOKUP(Banco_Nacion[[#This Row],[serie]]&amp;Banco_Nacion[[#This Row],[numero]]&amp;Banco_Nacion[[#This Row],[responsable]],[2]!Provision_CXC[[ID CXP]:[DETRACCION]],47,0),"")</f>
        <v/>
      </c>
      <c r="Z259" s="3"/>
      <c r="AA259" s="24" t="str">
        <f>IF(Banco_Nacion[[#This Row],[fecha]]&gt;0,TEXT(Banco_Nacion[[#This Row],[fecha]],"mmmm"),0)</f>
        <v>Abril</v>
      </c>
    </row>
    <row r="260" spans="1:27" x14ac:dyDescent="0.3">
      <c r="A260" s="2">
        <f>IF(Banco_Nacion[[#This Row],[tipo_registro]]="R",COUNTIFS($C$1:$C259,"R")+1,"")</f>
        <v>259</v>
      </c>
      <c r="B260" s="19" t="str">
        <f t="shared" si="20"/>
        <v>B-Banco de la Nacion</v>
      </c>
      <c r="C260" s="3" t="s">
        <v>1330</v>
      </c>
      <c r="D260" s="14">
        <v>45776</v>
      </c>
      <c r="E260" s="5">
        <v>20419158462</v>
      </c>
      <c r="F260" s="5" t="s">
        <v>1303</v>
      </c>
      <c r="G260" s="6" t="s">
        <v>425</v>
      </c>
      <c r="H260" s="6" t="s">
        <v>68</v>
      </c>
      <c r="I260" s="6" t="s">
        <v>1784</v>
      </c>
      <c r="J260" s="6">
        <v>47</v>
      </c>
      <c r="K260" s="7" t="s">
        <v>5232</v>
      </c>
      <c r="L260" s="8">
        <v>75520676</v>
      </c>
      <c r="M260" s="8" t="str">
        <f t="shared" si="21"/>
        <v>PEN</v>
      </c>
      <c r="N260" s="13"/>
      <c r="O260" s="13">
        <v>874</v>
      </c>
      <c r="P260" s="3">
        <f t="shared" si="22"/>
        <v>874</v>
      </c>
      <c r="Q260" s="3">
        <f t="shared" si="23"/>
        <v>0</v>
      </c>
      <c r="R260" s="3">
        <f t="shared" si="24"/>
        <v>25546.220000000008</v>
      </c>
      <c r="S260" s="24"/>
      <c r="T260" s="24" t="s">
        <v>1334</v>
      </c>
      <c r="U260" s="3"/>
      <c r="V260" s="19" t="str">
        <f>IFERROR(VLOOKUP(Banco_Nacion[[#This Row],[responsable]],Clientes_Proveedores[[Ruc / Dni]:[Razon Social]],2,0),"")</f>
        <v>GRANJA RINCONADA DEL SUR S.A.</v>
      </c>
      <c r="W260" s="19" t="str">
        <f>IF(Banco_Nacion[[#This Row],[tipo_mov]]="INGRESO",Banco_Nacion[[#This Row],[serie]]&amp;Banco_Nacion[[#This Row],[numero]]&amp;Banco_Nacion[[#This Row],[responsable]]&amp;Banco_Nacion[[#This Row],[monto]],"")</f>
        <v>FF014720419158462874</v>
      </c>
      <c r="X260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75520676</v>
      </c>
      <c r="Y260" s="3" t="str">
        <f>IFERROR(VLOOKUP(Banco_Nacion[[#This Row],[serie]]&amp;Banco_Nacion[[#This Row],[numero]]&amp;Banco_Nacion[[#This Row],[responsable]],[2]!Provision_CXC[[ID CXP]:[DETRACCION]],47,0),"")</f>
        <v/>
      </c>
      <c r="Z260" s="3"/>
      <c r="AA260" s="24" t="str">
        <f>IF(Banco_Nacion[[#This Row],[fecha]]&gt;0,TEXT(Banco_Nacion[[#This Row],[fecha]],"mmmm"),0)</f>
        <v>Abril</v>
      </c>
    </row>
    <row r="261" spans="1:27" x14ac:dyDescent="0.3">
      <c r="A261" s="2">
        <f>IF(Banco_Nacion[[#This Row],[tipo_registro]]="R",COUNTIFS($C$1:$C260,"R")+1,"")</f>
        <v>260</v>
      </c>
      <c r="B261" s="19" t="str">
        <f t="shared" si="20"/>
        <v>B-Banco de la Nacion</v>
      </c>
      <c r="C261" s="3" t="s">
        <v>1330</v>
      </c>
      <c r="D261" s="14">
        <v>45776</v>
      </c>
      <c r="E261" s="5">
        <v>20419158462</v>
      </c>
      <c r="F261" s="5" t="s">
        <v>1303</v>
      </c>
      <c r="G261" s="6" t="s">
        <v>425</v>
      </c>
      <c r="H261" s="6" t="s">
        <v>68</v>
      </c>
      <c r="I261" s="6" t="s">
        <v>1784</v>
      </c>
      <c r="J261" s="6">
        <v>33</v>
      </c>
      <c r="K261" s="7" t="s">
        <v>5232</v>
      </c>
      <c r="L261" s="8">
        <v>75520675</v>
      </c>
      <c r="M261" s="8" t="str">
        <f t="shared" si="21"/>
        <v>PEN</v>
      </c>
      <c r="N261" s="13"/>
      <c r="O261" s="13">
        <v>202</v>
      </c>
      <c r="P261" s="3">
        <f t="shared" si="22"/>
        <v>202</v>
      </c>
      <c r="Q261" s="3">
        <f t="shared" si="23"/>
        <v>0</v>
      </c>
      <c r="R261" s="3">
        <f t="shared" si="24"/>
        <v>25748.220000000008</v>
      </c>
      <c r="S261" s="24"/>
      <c r="T261" s="24" t="s">
        <v>1334</v>
      </c>
      <c r="U261" s="3"/>
      <c r="V261" s="19" t="str">
        <f>IFERROR(VLOOKUP(Banco_Nacion[[#This Row],[responsable]],Clientes_Proveedores[[Ruc / Dni]:[Razon Social]],2,0),"")</f>
        <v>GRANJA RINCONADA DEL SUR S.A.</v>
      </c>
      <c r="W261" s="19" t="str">
        <f>IF(Banco_Nacion[[#This Row],[tipo_mov]]="INGRESO",Banco_Nacion[[#This Row],[serie]]&amp;Banco_Nacion[[#This Row],[numero]]&amp;Banco_Nacion[[#This Row],[responsable]]&amp;Banco_Nacion[[#This Row],[monto]],"")</f>
        <v>FF013320419158462202</v>
      </c>
      <c r="X261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75520675</v>
      </c>
      <c r="Y261" s="3" t="str">
        <f>IFERROR(VLOOKUP(Banco_Nacion[[#This Row],[serie]]&amp;Banco_Nacion[[#This Row],[numero]]&amp;Banco_Nacion[[#This Row],[responsable]],[2]!Provision_CXC[[ID CXP]:[DETRACCION]],47,0),"")</f>
        <v/>
      </c>
      <c r="Z261" s="3"/>
      <c r="AA261" s="24" t="str">
        <f>IF(Banco_Nacion[[#This Row],[fecha]]&gt;0,TEXT(Banco_Nacion[[#This Row],[fecha]],"mmmm"),0)</f>
        <v>Abril</v>
      </c>
    </row>
    <row r="262" spans="1:27" x14ac:dyDescent="0.3">
      <c r="A262" s="2">
        <f>IF(Banco_Nacion[[#This Row],[tipo_registro]]="R",COUNTIFS($C$1:$C261,"R")+1,"")</f>
        <v>261</v>
      </c>
      <c r="B262" s="19" t="str">
        <f t="shared" si="20"/>
        <v>B-Banco de la Nacion</v>
      </c>
      <c r="C262" s="3" t="s">
        <v>1330</v>
      </c>
      <c r="D262" s="14">
        <v>45776</v>
      </c>
      <c r="E262" s="5">
        <v>20419158462</v>
      </c>
      <c r="F262" s="5" t="s">
        <v>1303</v>
      </c>
      <c r="G262" s="6" t="s">
        <v>425</v>
      </c>
      <c r="H262" s="6" t="s">
        <v>68</v>
      </c>
      <c r="I262" s="6" t="s">
        <v>1784</v>
      </c>
      <c r="J262" s="6">
        <v>29</v>
      </c>
      <c r="K262" s="7" t="s">
        <v>5232</v>
      </c>
      <c r="L262" s="8">
        <v>75520674</v>
      </c>
      <c r="M262" s="8" t="str">
        <f t="shared" si="21"/>
        <v>PEN</v>
      </c>
      <c r="N262" s="13"/>
      <c r="O262" s="13">
        <v>202</v>
      </c>
      <c r="P262" s="3">
        <f t="shared" si="22"/>
        <v>202</v>
      </c>
      <c r="Q262" s="3">
        <f t="shared" si="23"/>
        <v>0</v>
      </c>
      <c r="R262" s="3">
        <f t="shared" si="24"/>
        <v>25950.220000000008</v>
      </c>
      <c r="S262" s="24"/>
      <c r="T262" s="24" t="s">
        <v>1334</v>
      </c>
      <c r="U262" s="3"/>
      <c r="V262" s="19" t="str">
        <f>IFERROR(VLOOKUP(Banco_Nacion[[#This Row],[responsable]],Clientes_Proveedores[[Ruc / Dni]:[Razon Social]],2,0),"")</f>
        <v>GRANJA RINCONADA DEL SUR S.A.</v>
      </c>
      <c r="W262" s="19" t="str">
        <f>IF(Banco_Nacion[[#This Row],[tipo_mov]]="INGRESO",Banco_Nacion[[#This Row],[serie]]&amp;Banco_Nacion[[#This Row],[numero]]&amp;Banco_Nacion[[#This Row],[responsable]]&amp;Banco_Nacion[[#This Row],[monto]],"")</f>
        <v>FF012920419158462202</v>
      </c>
      <c r="X262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75520674</v>
      </c>
      <c r="Y262" s="3" t="str">
        <f>IFERROR(VLOOKUP(Banco_Nacion[[#This Row],[serie]]&amp;Banco_Nacion[[#This Row],[numero]]&amp;Banco_Nacion[[#This Row],[responsable]],[2]!Provision_CXC[[ID CXP]:[DETRACCION]],47,0),"")</f>
        <v/>
      </c>
      <c r="Z262" s="3"/>
      <c r="AA262" s="24" t="str">
        <f>IF(Banco_Nacion[[#This Row],[fecha]]&gt;0,TEXT(Banco_Nacion[[#This Row],[fecha]],"mmmm"),0)</f>
        <v>Abril</v>
      </c>
    </row>
    <row r="263" spans="1:27" x14ac:dyDescent="0.3">
      <c r="A263" s="2">
        <f>IF(Banco_Nacion[[#This Row],[tipo_registro]]="R",COUNTIFS($C$1:$C262,"R")+1,"")</f>
        <v>262</v>
      </c>
      <c r="B263" s="19" t="str">
        <f t="shared" si="20"/>
        <v>B-Banco de la Nacion</v>
      </c>
      <c r="C263" s="3" t="s">
        <v>1330</v>
      </c>
      <c r="D263" s="14">
        <v>45776</v>
      </c>
      <c r="E263" s="5">
        <v>20419158462</v>
      </c>
      <c r="F263" s="5" t="s">
        <v>1303</v>
      </c>
      <c r="G263" s="6" t="s">
        <v>425</v>
      </c>
      <c r="H263" s="6" t="s">
        <v>68</v>
      </c>
      <c r="I263" s="6" t="s">
        <v>1784</v>
      </c>
      <c r="J263" s="6">
        <v>28</v>
      </c>
      <c r="K263" s="7" t="s">
        <v>5232</v>
      </c>
      <c r="L263" s="8">
        <v>75520673</v>
      </c>
      <c r="M263" s="8" t="str">
        <f t="shared" si="21"/>
        <v>PEN</v>
      </c>
      <c r="N263" s="13"/>
      <c r="O263" s="13">
        <v>202</v>
      </c>
      <c r="P263" s="3">
        <f t="shared" si="22"/>
        <v>202</v>
      </c>
      <c r="Q263" s="3">
        <f t="shared" si="23"/>
        <v>0</v>
      </c>
      <c r="R263" s="3">
        <f t="shared" si="24"/>
        <v>26152.220000000008</v>
      </c>
      <c r="S263" s="24"/>
      <c r="T263" s="24" t="s">
        <v>1334</v>
      </c>
      <c r="U263" s="3"/>
      <c r="V263" s="19" t="str">
        <f>IFERROR(VLOOKUP(Banco_Nacion[[#This Row],[responsable]],Clientes_Proveedores[[Ruc / Dni]:[Razon Social]],2,0),"")</f>
        <v>GRANJA RINCONADA DEL SUR S.A.</v>
      </c>
      <c r="W263" s="19" t="str">
        <f>IF(Banco_Nacion[[#This Row],[tipo_mov]]="INGRESO",Banco_Nacion[[#This Row],[serie]]&amp;Banco_Nacion[[#This Row],[numero]]&amp;Banco_Nacion[[#This Row],[responsable]]&amp;Banco_Nacion[[#This Row],[monto]],"")</f>
        <v>FF012820419158462202</v>
      </c>
      <c r="X263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75520673</v>
      </c>
      <c r="Y263" s="3" t="str">
        <f>IFERROR(VLOOKUP(Banco_Nacion[[#This Row],[serie]]&amp;Banco_Nacion[[#This Row],[numero]]&amp;Banco_Nacion[[#This Row],[responsable]],[2]!Provision_CXC[[ID CXP]:[DETRACCION]],47,0),"")</f>
        <v/>
      </c>
      <c r="Z263" s="3"/>
      <c r="AA263" s="24" t="str">
        <f>IF(Banco_Nacion[[#This Row],[fecha]]&gt;0,TEXT(Banco_Nacion[[#This Row],[fecha]],"mmmm"),0)</f>
        <v>Abril</v>
      </c>
    </row>
    <row r="264" spans="1:27" x14ac:dyDescent="0.3">
      <c r="A264" s="2">
        <f>IF(Banco_Nacion[[#This Row],[tipo_registro]]="R",COUNTIFS($C$1:$C263,"R")+1,"")</f>
        <v>263</v>
      </c>
      <c r="B264" s="19" t="str">
        <f t="shared" si="20"/>
        <v>B-Banco de la Nacion</v>
      </c>
      <c r="C264" s="3" t="s">
        <v>1330</v>
      </c>
      <c r="D264" s="14">
        <v>45776</v>
      </c>
      <c r="E264" s="5">
        <v>20419158462</v>
      </c>
      <c r="F264" s="5" t="s">
        <v>1303</v>
      </c>
      <c r="G264" s="6" t="s">
        <v>425</v>
      </c>
      <c r="H264" s="6" t="s">
        <v>68</v>
      </c>
      <c r="I264" s="6" t="s">
        <v>1784</v>
      </c>
      <c r="J264" s="6">
        <v>30</v>
      </c>
      <c r="K264" s="7" t="s">
        <v>5232</v>
      </c>
      <c r="L264" s="8">
        <v>75520672</v>
      </c>
      <c r="M264" s="8" t="str">
        <f t="shared" si="21"/>
        <v>PEN</v>
      </c>
      <c r="N264" s="13"/>
      <c r="O264" s="13">
        <v>218</v>
      </c>
      <c r="P264" s="3">
        <f t="shared" si="22"/>
        <v>218</v>
      </c>
      <c r="Q264" s="3">
        <f t="shared" si="23"/>
        <v>0</v>
      </c>
      <c r="R264" s="3">
        <f t="shared" si="24"/>
        <v>26370.220000000008</v>
      </c>
      <c r="S264" s="24"/>
      <c r="T264" s="24" t="s">
        <v>1334</v>
      </c>
      <c r="U264" s="3"/>
      <c r="V264" s="19" t="str">
        <f>IFERROR(VLOOKUP(Banco_Nacion[[#This Row],[responsable]],Clientes_Proveedores[[Ruc / Dni]:[Razon Social]],2,0),"")</f>
        <v>GRANJA RINCONADA DEL SUR S.A.</v>
      </c>
      <c r="W264" s="19" t="str">
        <f>IF(Banco_Nacion[[#This Row],[tipo_mov]]="INGRESO",Banco_Nacion[[#This Row],[serie]]&amp;Banco_Nacion[[#This Row],[numero]]&amp;Banco_Nacion[[#This Row],[responsable]]&amp;Banco_Nacion[[#This Row],[monto]],"")</f>
        <v>FF013020419158462218</v>
      </c>
      <c r="X264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75520672</v>
      </c>
      <c r="Y264" s="3" t="str">
        <f>IFERROR(VLOOKUP(Banco_Nacion[[#This Row],[serie]]&amp;Banco_Nacion[[#This Row],[numero]]&amp;Banco_Nacion[[#This Row],[responsable]],[2]!Provision_CXC[[ID CXP]:[DETRACCION]],47,0),"")</f>
        <v/>
      </c>
      <c r="Z264" s="3"/>
      <c r="AA264" s="24" t="str">
        <f>IF(Banco_Nacion[[#This Row],[fecha]]&gt;0,TEXT(Banco_Nacion[[#This Row],[fecha]],"mmmm"),0)</f>
        <v>Abril</v>
      </c>
    </row>
    <row r="265" spans="1:27" x14ac:dyDescent="0.3">
      <c r="A265" s="2">
        <f>IF(Banco_Nacion[[#This Row],[tipo_registro]]="R",COUNTIFS($C$1:$C264,"R")+1,"")</f>
        <v>264</v>
      </c>
      <c r="B265" s="19" t="str">
        <f t="shared" si="20"/>
        <v>B-Banco de la Nacion</v>
      </c>
      <c r="C265" s="3" t="s">
        <v>1330</v>
      </c>
      <c r="D265" s="14">
        <v>45776</v>
      </c>
      <c r="E265" s="5">
        <v>20419158462</v>
      </c>
      <c r="F265" s="5" t="s">
        <v>1303</v>
      </c>
      <c r="G265" s="6" t="s">
        <v>425</v>
      </c>
      <c r="H265" s="6" t="s">
        <v>68</v>
      </c>
      <c r="I265" s="6" t="s">
        <v>1784</v>
      </c>
      <c r="J265" s="6">
        <v>27</v>
      </c>
      <c r="K265" s="7" t="s">
        <v>5232</v>
      </c>
      <c r="L265" s="8">
        <v>75520671</v>
      </c>
      <c r="M265" s="8" t="str">
        <f t="shared" si="21"/>
        <v>PEN</v>
      </c>
      <c r="N265" s="13"/>
      <c r="O265" s="13">
        <v>202</v>
      </c>
      <c r="P265" s="3">
        <f t="shared" si="22"/>
        <v>202</v>
      </c>
      <c r="Q265" s="3">
        <f t="shared" si="23"/>
        <v>0</v>
      </c>
      <c r="R265" s="3">
        <f t="shared" si="24"/>
        <v>26572.220000000008</v>
      </c>
      <c r="S265" s="24"/>
      <c r="T265" s="24" t="s">
        <v>1334</v>
      </c>
      <c r="U265" s="3"/>
      <c r="V265" s="19" t="str">
        <f>IFERROR(VLOOKUP(Banco_Nacion[[#This Row],[responsable]],Clientes_Proveedores[[Ruc / Dni]:[Razon Social]],2,0),"")</f>
        <v>GRANJA RINCONADA DEL SUR S.A.</v>
      </c>
      <c r="W265" s="19" t="str">
        <f>IF(Banco_Nacion[[#This Row],[tipo_mov]]="INGRESO",Banco_Nacion[[#This Row],[serie]]&amp;Banco_Nacion[[#This Row],[numero]]&amp;Banco_Nacion[[#This Row],[responsable]]&amp;Banco_Nacion[[#This Row],[monto]],"")</f>
        <v>FF012720419158462202</v>
      </c>
      <c r="X265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75520671</v>
      </c>
      <c r="Y265" s="3" t="str">
        <f>IFERROR(VLOOKUP(Banco_Nacion[[#This Row],[serie]]&amp;Banco_Nacion[[#This Row],[numero]]&amp;Banco_Nacion[[#This Row],[responsable]],[2]!Provision_CXC[[ID CXP]:[DETRACCION]],47,0),"")</f>
        <v/>
      </c>
      <c r="Z265" s="3"/>
      <c r="AA265" s="24" t="str">
        <f>IF(Banco_Nacion[[#This Row],[fecha]]&gt;0,TEXT(Banco_Nacion[[#This Row],[fecha]],"mmmm"),0)</f>
        <v>Abril</v>
      </c>
    </row>
    <row r="266" spans="1:27" x14ac:dyDescent="0.3">
      <c r="A266" s="2">
        <f>IF(Banco_Nacion[[#This Row],[tipo_registro]]="R",COUNTIFS($C$1:$C265,"R")+1,"")</f>
        <v>265</v>
      </c>
      <c r="B266" s="19" t="str">
        <f t="shared" si="20"/>
        <v>B-Banco de la Nacion</v>
      </c>
      <c r="C266" s="3" t="s">
        <v>1330</v>
      </c>
      <c r="D266" s="14">
        <v>45776</v>
      </c>
      <c r="E266" s="5">
        <v>20419158462</v>
      </c>
      <c r="F266" s="5" t="s">
        <v>1303</v>
      </c>
      <c r="G266" s="6" t="s">
        <v>425</v>
      </c>
      <c r="H266" s="6" t="s">
        <v>68</v>
      </c>
      <c r="I266" s="6" t="s">
        <v>1784</v>
      </c>
      <c r="J266" s="6">
        <v>32</v>
      </c>
      <c r="K266" s="7" t="s">
        <v>5232</v>
      </c>
      <c r="L266" s="8">
        <v>75520670</v>
      </c>
      <c r="M266" s="8" t="str">
        <f t="shared" si="21"/>
        <v>PEN</v>
      </c>
      <c r="N266" s="13"/>
      <c r="O266" s="13">
        <v>202</v>
      </c>
      <c r="P266" s="3">
        <f t="shared" si="22"/>
        <v>202</v>
      </c>
      <c r="Q266" s="3">
        <f t="shared" si="23"/>
        <v>0</v>
      </c>
      <c r="R266" s="3">
        <f t="shared" si="24"/>
        <v>26774.220000000008</v>
      </c>
      <c r="S266" s="24"/>
      <c r="T266" s="24" t="s">
        <v>1334</v>
      </c>
      <c r="U266" s="3"/>
      <c r="V266" s="19" t="str">
        <f>IFERROR(VLOOKUP(Banco_Nacion[[#This Row],[responsable]],Clientes_Proveedores[[Ruc / Dni]:[Razon Social]],2,0),"")</f>
        <v>GRANJA RINCONADA DEL SUR S.A.</v>
      </c>
      <c r="W266" s="19" t="str">
        <f>IF(Banco_Nacion[[#This Row],[tipo_mov]]="INGRESO",Banco_Nacion[[#This Row],[serie]]&amp;Banco_Nacion[[#This Row],[numero]]&amp;Banco_Nacion[[#This Row],[responsable]]&amp;Banco_Nacion[[#This Row],[monto]],"")</f>
        <v>FF013220419158462202</v>
      </c>
      <c r="X266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75520670</v>
      </c>
      <c r="Y266" s="3" t="str">
        <f>IFERROR(VLOOKUP(Banco_Nacion[[#This Row],[serie]]&amp;Banco_Nacion[[#This Row],[numero]]&amp;Banco_Nacion[[#This Row],[responsable]],[2]!Provision_CXC[[ID CXP]:[DETRACCION]],47,0),"")</f>
        <v/>
      </c>
      <c r="Z266" s="3"/>
      <c r="AA266" s="24" t="str">
        <f>IF(Banco_Nacion[[#This Row],[fecha]]&gt;0,TEXT(Banco_Nacion[[#This Row],[fecha]],"mmmm"),0)</f>
        <v>Abril</v>
      </c>
    </row>
    <row r="267" spans="1:27" x14ac:dyDescent="0.3">
      <c r="A267" s="2">
        <f>IF(Banco_Nacion[[#This Row],[tipo_registro]]="R",COUNTIFS($C$1:$C266,"R")+1,"")</f>
        <v>266</v>
      </c>
      <c r="B267" s="19" t="str">
        <f t="shared" si="20"/>
        <v>B-Banco de la Nacion</v>
      </c>
      <c r="C267" s="3" t="s">
        <v>1330</v>
      </c>
      <c r="D267" s="14">
        <v>45776</v>
      </c>
      <c r="E267" s="5">
        <v>20419158462</v>
      </c>
      <c r="F267" s="5" t="s">
        <v>1303</v>
      </c>
      <c r="G267" s="6" t="s">
        <v>425</v>
      </c>
      <c r="H267" s="6" t="s">
        <v>68</v>
      </c>
      <c r="I267" s="6" t="s">
        <v>1784</v>
      </c>
      <c r="J267" s="6">
        <v>26</v>
      </c>
      <c r="K267" s="7" t="s">
        <v>5232</v>
      </c>
      <c r="L267" s="8">
        <v>75520669</v>
      </c>
      <c r="M267" s="8" t="str">
        <f t="shared" si="21"/>
        <v>PEN</v>
      </c>
      <c r="N267" s="13"/>
      <c r="O267" s="13">
        <v>202</v>
      </c>
      <c r="P267" s="3">
        <f t="shared" si="22"/>
        <v>202</v>
      </c>
      <c r="Q267" s="3">
        <f t="shared" si="23"/>
        <v>0</v>
      </c>
      <c r="R267" s="3">
        <f t="shared" si="24"/>
        <v>26976.220000000008</v>
      </c>
      <c r="S267" s="24"/>
      <c r="T267" s="24" t="s">
        <v>1334</v>
      </c>
      <c r="U267" s="3"/>
      <c r="V267" s="19" t="str">
        <f>IFERROR(VLOOKUP(Banco_Nacion[[#This Row],[responsable]],Clientes_Proveedores[[Ruc / Dni]:[Razon Social]],2,0),"")</f>
        <v>GRANJA RINCONADA DEL SUR S.A.</v>
      </c>
      <c r="W267" s="19" t="str">
        <f>IF(Banco_Nacion[[#This Row],[tipo_mov]]="INGRESO",Banco_Nacion[[#This Row],[serie]]&amp;Banco_Nacion[[#This Row],[numero]]&amp;Banco_Nacion[[#This Row],[responsable]]&amp;Banco_Nacion[[#This Row],[monto]],"")</f>
        <v>FF012620419158462202</v>
      </c>
      <c r="X267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75520669</v>
      </c>
      <c r="Y267" s="3" t="str">
        <f>IFERROR(VLOOKUP(Banco_Nacion[[#This Row],[serie]]&amp;Banco_Nacion[[#This Row],[numero]]&amp;Banco_Nacion[[#This Row],[responsable]],[2]!Provision_CXC[[ID CXP]:[DETRACCION]],47,0),"")</f>
        <v/>
      </c>
      <c r="Z267" s="3"/>
      <c r="AA267" s="24" t="str">
        <f>IF(Banco_Nacion[[#This Row],[fecha]]&gt;0,TEXT(Banco_Nacion[[#This Row],[fecha]],"mmmm"),0)</f>
        <v>Abril</v>
      </c>
    </row>
    <row r="268" spans="1:27" x14ac:dyDescent="0.3">
      <c r="A268" s="2">
        <f>IF(Banco_Nacion[[#This Row],[tipo_registro]]="R",COUNTIFS($C$1:$C267,"R")+1,"")</f>
        <v>267</v>
      </c>
      <c r="B268" s="19" t="str">
        <f t="shared" si="20"/>
        <v>B-Banco de la Nacion</v>
      </c>
      <c r="C268" s="3" t="s">
        <v>1330</v>
      </c>
      <c r="D268" s="14">
        <v>45776</v>
      </c>
      <c r="E268" s="5">
        <v>20419158462</v>
      </c>
      <c r="F268" s="5" t="s">
        <v>1303</v>
      </c>
      <c r="G268" s="6" t="s">
        <v>425</v>
      </c>
      <c r="H268" s="6" t="s">
        <v>68</v>
      </c>
      <c r="I268" s="6" t="s">
        <v>1784</v>
      </c>
      <c r="J268" s="6">
        <v>31</v>
      </c>
      <c r="K268" s="7" t="s">
        <v>5232</v>
      </c>
      <c r="L268" s="8">
        <v>75520668</v>
      </c>
      <c r="M268" s="8" t="str">
        <f t="shared" si="21"/>
        <v>PEN</v>
      </c>
      <c r="N268" s="13"/>
      <c r="O268" s="13">
        <v>202</v>
      </c>
      <c r="P268" s="3">
        <f t="shared" si="22"/>
        <v>202</v>
      </c>
      <c r="Q268" s="3">
        <f t="shared" si="23"/>
        <v>0</v>
      </c>
      <c r="R268" s="3">
        <f t="shared" si="24"/>
        <v>27178.220000000008</v>
      </c>
      <c r="S268" s="24"/>
      <c r="T268" s="24" t="s">
        <v>1334</v>
      </c>
      <c r="U268" s="3"/>
      <c r="V268" s="19" t="str">
        <f>IFERROR(VLOOKUP(Banco_Nacion[[#This Row],[responsable]],Clientes_Proveedores[[Ruc / Dni]:[Razon Social]],2,0),"")</f>
        <v>GRANJA RINCONADA DEL SUR S.A.</v>
      </c>
      <c r="W268" s="19" t="str">
        <f>IF(Banco_Nacion[[#This Row],[tipo_mov]]="INGRESO",Banco_Nacion[[#This Row],[serie]]&amp;Banco_Nacion[[#This Row],[numero]]&amp;Banco_Nacion[[#This Row],[responsable]]&amp;Banco_Nacion[[#This Row],[monto]],"")</f>
        <v>FF013120419158462202</v>
      </c>
      <c r="X268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75520668</v>
      </c>
      <c r="Y268" s="3" t="str">
        <f>IFERROR(VLOOKUP(Banco_Nacion[[#This Row],[serie]]&amp;Banco_Nacion[[#This Row],[numero]]&amp;Banco_Nacion[[#This Row],[responsable]],[2]!Provision_CXC[[ID CXP]:[DETRACCION]],47,0),"")</f>
        <v/>
      </c>
      <c r="Z268" s="3"/>
      <c r="AA268" s="24" t="str">
        <f>IF(Banco_Nacion[[#This Row],[fecha]]&gt;0,TEXT(Banco_Nacion[[#This Row],[fecha]],"mmmm"),0)</f>
        <v>Abril</v>
      </c>
    </row>
    <row r="269" spans="1:27" x14ac:dyDescent="0.3">
      <c r="A269" s="2">
        <f>IF(Banco_Nacion[[#This Row],[tipo_registro]]="R",COUNTIFS($C$1:$C268,"R")+1,"")</f>
        <v>268</v>
      </c>
      <c r="B269" s="19" t="str">
        <f t="shared" si="20"/>
        <v>B-Banco de la Nacion</v>
      </c>
      <c r="C269" s="3" t="s">
        <v>1330</v>
      </c>
      <c r="D269" s="14">
        <v>45776</v>
      </c>
      <c r="E269" s="5">
        <v>20601119600</v>
      </c>
      <c r="F269" s="5" t="s">
        <v>1303</v>
      </c>
      <c r="G269" s="6" t="s">
        <v>425</v>
      </c>
      <c r="H269" s="6" t="s">
        <v>68</v>
      </c>
      <c r="I269" s="6" t="s">
        <v>3381</v>
      </c>
      <c r="J269" s="6">
        <v>12</v>
      </c>
      <c r="K269" s="7" t="s">
        <v>5232</v>
      </c>
      <c r="L269" s="8">
        <v>26763522</v>
      </c>
      <c r="M269" s="8" t="str">
        <f t="shared" si="21"/>
        <v>PEN</v>
      </c>
      <c r="N269" s="13"/>
      <c r="O269" s="13">
        <v>145</v>
      </c>
      <c r="P269" s="3">
        <f t="shared" si="22"/>
        <v>145</v>
      </c>
      <c r="Q269" s="3">
        <f t="shared" si="23"/>
        <v>0</v>
      </c>
      <c r="R269" s="3">
        <f t="shared" si="24"/>
        <v>27323.220000000008</v>
      </c>
      <c r="S269" s="24"/>
      <c r="T269" s="24" t="s">
        <v>1334</v>
      </c>
      <c r="U269" s="3"/>
      <c r="V269" s="19" t="str">
        <f>IFERROR(VLOOKUP(Banco_Nacion[[#This Row],[responsable]],Clientes_Proveedores[[Ruc / Dni]:[Razon Social]],2,0),"")</f>
        <v>INVERSIONES W.J.M. S.A.C.</v>
      </c>
      <c r="W269" s="19" t="str">
        <f>IF(Banco_Nacion[[#This Row],[tipo_mov]]="INGRESO",Banco_Nacion[[#This Row],[serie]]&amp;Banco_Nacion[[#This Row],[numero]]&amp;Banco_Nacion[[#This Row],[responsable]]&amp;Banco_Nacion[[#This Row],[monto]],"")</f>
        <v>FF051220601119600145</v>
      </c>
      <c r="X269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26763522</v>
      </c>
      <c r="Y269" s="3" t="str">
        <f>IFERROR(VLOOKUP(Banco_Nacion[[#This Row],[serie]]&amp;Banco_Nacion[[#This Row],[numero]]&amp;Banco_Nacion[[#This Row],[responsable]],[2]!Provision_CXC[[ID CXP]:[DETRACCION]],47,0),"")</f>
        <v/>
      </c>
      <c r="Z269" s="3"/>
      <c r="AA269" s="24" t="str">
        <f>IF(Banco_Nacion[[#This Row],[fecha]]&gt;0,TEXT(Banco_Nacion[[#This Row],[fecha]],"mmmm"),0)</f>
        <v>Abril</v>
      </c>
    </row>
    <row r="270" spans="1:27" x14ac:dyDescent="0.3">
      <c r="A270" s="2">
        <f>IF(Banco_Nacion[[#This Row],[tipo_registro]]="R",COUNTIFS($C$1:$C269,"R")+1,"")</f>
        <v>269</v>
      </c>
      <c r="B270" s="19" t="str">
        <f t="shared" si="20"/>
        <v>B-Banco de la Nacion</v>
      </c>
      <c r="C270" s="3" t="s">
        <v>1330</v>
      </c>
      <c r="D270" s="14">
        <v>45776</v>
      </c>
      <c r="E270" s="5">
        <v>20601119600</v>
      </c>
      <c r="F270" s="5" t="s">
        <v>1303</v>
      </c>
      <c r="G270" s="6" t="s">
        <v>425</v>
      </c>
      <c r="H270" s="6" t="s">
        <v>68</v>
      </c>
      <c r="I270" s="6" t="s">
        <v>3381</v>
      </c>
      <c r="J270" s="6">
        <v>13</v>
      </c>
      <c r="K270" s="7" t="s">
        <v>5232</v>
      </c>
      <c r="L270" s="8">
        <v>26762908</v>
      </c>
      <c r="M270" s="8" t="str">
        <f t="shared" si="21"/>
        <v>PEN</v>
      </c>
      <c r="N270" s="13"/>
      <c r="O270" s="13">
        <v>126</v>
      </c>
      <c r="P270" s="3">
        <f t="shared" si="22"/>
        <v>126</v>
      </c>
      <c r="Q270" s="3">
        <f t="shared" si="23"/>
        <v>0</v>
      </c>
      <c r="R270" s="3">
        <f t="shared" si="24"/>
        <v>27449.220000000008</v>
      </c>
      <c r="S270" s="24"/>
      <c r="T270" s="24" t="s">
        <v>1334</v>
      </c>
      <c r="U270" s="3"/>
      <c r="V270" s="19" t="str">
        <f>IFERROR(VLOOKUP(Banco_Nacion[[#This Row],[responsable]],Clientes_Proveedores[[Ruc / Dni]:[Razon Social]],2,0),"")</f>
        <v>INVERSIONES W.J.M. S.A.C.</v>
      </c>
      <c r="W270" s="19" t="str">
        <f>IF(Banco_Nacion[[#This Row],[tipo_mov]]="INGRESO",Banco_Nacion[[#This Row],[serie]]&amp;Banco_Nacion[[#This Row],[numero]]&amp;Banco_Nacion[[#This Row],[responsable]]&amp;Banco_Nacion[[#This Row],[monto]],"")</f>
        <v>FF051320601119600126</v>
      </c>
      <c r="X270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26762908</v>
      </c>
      <c r="Y270" s="3" t="str">
        <f>IFERROR(VLOOKUP(Banco_Nacion[[#This Row],[serie]]&amp;Banco_Nacion[[#This Row],[numero]]&amp;Banco_Nacion[[#This Row],[responsable]],[2]!Provision_CXC[[ID CXP]:[DETRACCION]],47,0),"")</f>
        <v/>
      </c>
      <c r="Z270" s="3"/>
      <c r="AA270" s="24" t="str">
        <f>IF(Banco_Nacion[[#This Row],[fecha]]&gt;0,TEXT(Banco_Nacion[[#This Row],[fecha]],"mmmm"),0)</f>
        <v>Abril</v>
      </c>
    </row>
    <row r="271" spans="1:27" x14ac:dyDescent="0.3">
      <c r="A271" s="2">
        <f>IF(Banco_Nacion[[#This Row],[tipo_registro]]="R",COUNTIFS($C$1:$C270,"R")+1,"")</f>
        <v>270</v>
      </c>
      <c r="B271" s="19" t="str">
        <f t="shared" si="20"/>
        <v>B-Banco de la Nacion</v>
      </c>
      <c r="C271" s="3" t="s">
        <v>1330</v>
      </c>
      <c r="D271" s="14">
        <v>45776</v>
      </c>
      <c r="E271" s="5">
        <v>20601119600</v>
      </c>
      <c r="F271" s="5" t="s">
        <v>1303</v>
      </c>
      <c r="G271" s="6" t="s">
        <v>425</v>
      </c>
      <c r="H271" s="6" t="s">
        <v>68</v>
      </c>
      <c r="I271" s="6" t="s">
        <v>3381</v>
      </c>
      <c r="J271" s="6">
        <v>10</v>
      </c>
      <c r="K271" s="7" t="s">
        <v>5232</v>
      </c>
      <c r="L271" s="8">
        <v>26761673</v>
      </c>
      <c r="M271" s="8" t="str">
        <f t="shared" si="21"/>
        <v>PEN</v>
      </c>
      <c r="N271" s="13"/>
      <c r="O271" s="13">
        <v>284</v>
      </c>
      <c r="P271" s="3">
        <f t="shared" si="22"/>
        <v>284</v>
      </c>
      <c r="Q271" s="3">
        <f t="shared" si="23"/>
        <v>0</v>
      </c>
      <c r="R271" s="3">
        <f t="shared" si="24"/>
        <v>27733.220000000008</v>
      </c>
      <c r="S271" s="24"/>
      <c r="T271" s="24" t="s">
        <v>1334</v>
      </c>
      <c r="U271" s="3"/>
      <c r="V271" s="19" t="str">
        <f>IFERROR(VLOOKUP(Banco_Nacion[[#This Row],[responsable]],Clientes_Proveedores[[Ruc / Dni]:[Razon Social]],2,0),"")</f>
        <v>INVERSIONES W.J.M. S.A.C.</v>
      </c>
      <c r="W271" s="19" t="str">
        <f>IF(Banco_Nacion[[#This Row],[tipo_mov]]="INGRESO",Banco_Nacion[[#This Row],[serie]]&amp;Banco_Nacion[[#This Row],[numero]]&amp;Banco_Nacion[[#This Row],[responsable]]&amp;Banco_Nacion[[#This Row],[monto]],"")</f>
        <v>FF051020601119600284</v>
      </c>
      <c r="X271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26761673</v>
      </c>
      <c r="Y271" s="3" t="str">
        <f>IFERROR(VLOOKUP(Banco_Nacion[[#This Row],[serie]]&amp;Banco_Nacion[[#This Row],[numero]]&amp;Banco_Nacion[[#This Row],[responsable]],[2]!Provision_CXC[[ID CXP]:[DETRACCION]],47,0),"")</f>
        <v/>
      </c>
      <c r="Z271" s="3"/>
      <c r="AA271" s="24" t="str">
        <f>IF(Banco_Nacion[[#This Row],[fecha]]&gt;0,TEXT(Banco_Nacion[[#This Row],[fecha]],"mmmm"),0)</f>
        <v>Abril</v>
      </c>
    </row>
    <row r="272" spans="1:27" x14ac:dyDescent="0.3">
      <c r="A272" s="2">
        <f>IF(Banco_Nacion[[#This Row],[tipo_registro]]="R",COUNTIFS($C$1:$C271,"R")+1,"")</f>
        <v>271</v>
      </c>
      <c r="B272" s="19" t="str">
        <f t="shared" si="20"/>
        <v>B-Banco de la Nacion</v>
      </c>
      <c r="C272" s="3" t="s">
        <v>1330</v>
      </c>
      <c r="D272" s="14">
        <v>45776</v>
      </c>
      <c r="E272" s="5">
        <v>20610293906</v>
      </c>
      <c r="F272" s="5" t="s">
        <v>1303</v>
      </c>
      <c r="G272" s="6" t="s">
        <v>425</v>
      </c>
      <c r="H272" s="6" t="s">
        <v>68</v>
      </c>
      <c r="I272" s="6" t="s">
        <v>3736</v>
      </c>
      <c r="J272" s="6">
        <v>1</v>
      </c>
      <c r="K272" s="7" t="s">
        <v>5233</v>
      </c>
      <c r="L272" s="8">
        <v>78788888</v>
      </c>
      <c r="M272" s="8" t="str">
        <f t="shared" si="21"/>
        <v>PEN</v>
      </c>
      <c r="N272" s="13"/>
      <c r="O272" s="13">
        <v>12763</v>
      </c>
      <c r="P272" s="3">
        <f t="shared" si="22"/>
        <v>12763</v>
      </c>
      <c r="Q272" s="3">
        <f t="shared" si="23"/>
        <v>0</v>
      </c>
      <c r="R272" s="3">
        <f t="shared" si="24"/>
        <v>40496.220000000008</v>
      </c>
      <c r="S272" s="24"/>
      <c r="T272" s="24" t="s">
        <v>1334</v>
      </c>
      <c r="U272" s="3"/>
      <c r="V272" s="19" t="str">
        <f>IFERROR(VLOOKUP(Banco_Nacion[[#This Row],[responsable]],Clientes_Proveedores[[Ruc / Dni]:[Razon Social]],2,0),"")</f>
        <v>CARE ECOEXPORT E.I.R.L.</v>
      </c>
      <c r="W272" s="19" t="str">
        <f>IF(Banco_Nacion[[#This Row],[tipo_mov]]="INGRESO",Banco_Nacion[[#This Row],[serie]]&amp;Banco_Nacion[[#This Row],[numero]]&amp;Banco_Nacion[[#This Row],[responsable]]&amp;Banco_Nacion[[#This Row],[monto]],"")</f>
        <v>FF0712061029390612763</v>
      </c>
      <c r="X272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78788888</v>
      </c>
      <c r="Y272" s="3" t="str">
        <f>IFERROR(VLOOKUP(Banco_Nacion[[#This Row],[serie]]&amp;Banco_Nacion[[#This Row],[numero]]&amp;Banco_Nacion[[#This Row],[responsable]],[2]!Provision_CXC[[ID CXP]:[DETRACCION]],47,0),"")</f>
        <v/>
      </c>
      <c r="Z272" s="3"/>
      <c r="AA272" s="24" t="str">
        <f>IF(Banco_Nacion[[#This Row],[fecha]]&gt;0,TEXT(Banco_Nacion[[#This Row],[fecha]],"mmmm"),0)</f>
        <v>Abril</v>
      </c>
    </row>
    <row r="273" spans="1:27" x14ac:dyDescent="0.3">
      <c r="A273" s="2">
        <f>IF(Banco_Nacion[[#This Row],[tipo_registro]]="R",COUNTIFS($C$1:$C272,"R")+1,"")</f>
        <v>272</v>
      </c>
      <c r="B273" s="19" t="str">
        <f t="shared" si="20"/>
        <v>B-Banco de la Nacion</v>
      </c>
      <c r="C273" s="3" t="s">
        <v>1330</v>
      </c>
      <c r="D273" s="14">
        <v>45779</v>
      </c>
      <c r="E273" s="5">
        <v>20455283915</v>
      </c>
      <c r="F273" s="5" t="s">
        <v>1303</v>
      </c>
      <c r="G273" s="6" t="s">
        <v>425</v>
      </c>
      <c r="H273" s="6" t="s">
        <v>68</v>
      </c>
      <c r="I273" s="6" t="s">
        <v>3302</v>
      </c>
      <c r="J273" s="6">
        <v>9</v>
      </c>
      <c r="K273" s="7" t="s">
        <v>5232</v>
      </c>
      <c r="L273" s="8">
        <v>75725637</v>
      </c>
      <c r="M273" s="8" t="str">
        <f t="shared" si="21"/>
        <v>PEN</v>
      </c>
      <c r="N273" s="13"/>
      <c r="O273" s="13">
        <v>354</v>
      </c>
      <c r="P273" s="3">
        <f t="shared" si="22"/>
        <v>354</v>
      </c>
      <c r="Q273" s="3">
        <f t="shared" si="23"/>
        <v>0</v>
      </c>
      <c r="R273" s="3">
        <f t="shared" si="24"/>
        <v>40850.220000000008</v>
      </c>
      <c r="S273" s="24"/>
      <c r="T273" s="24" t="s">
        <v>1334</v>
      </c>
      <c r="U273" s="3"/>
      <c r="V273" s="19" t="str">
        <f>IFERROR(VLOOKUP(Banco_Nacion[[#This Row],[responsable]],Clientes_Proveedores[[Ruc / Dni]:[Razon Social]],2,0),"")</f>
        <v>EMPRESA CONSERVADORA AMBIENTAL DEL SUR E.I.R.L. - ECA SUR E.I.R.L.</v>
      </c>
      <c r="W273" s="19" t="str">
        <f>IF(Banco_Nacion[[#This Row],[tipo_mov]]="INGRESO",Banco_Nacion[[#This Row],[serie]]&amp;Banco_Nacion[[#This Row],[numero]]&amp;Banco_Nacion[[#This Row],[responsable]]&amp;Banco_Nacion[[#This Row],[monto]],"")</f>
        <v>FF02920455283915354</v>
      </c>
      <c r="X273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75725637</v>
      </c>
      <c r="Y273" s="3" t="str">
        <f>IFERROR(VLOOKUP(Banco_Nacion[[#This Row],[serie]]&amp;Banco_Nacion[[#This Row],[numero]]&amp;Banco_Nacion[[#This Row],[responsable]],[2]!Provision_CXC[[ID CXP]:[DETRACCION]],47,0),"")</f>
        <v/>
      </c>
      <c r="Z273" s="3"/>
      <c r="AA273" s="24" t="str">
        <f>IF(Banco_Nacion[[#This Row],[fecha]]&gt;0,TEXT(Banco_Nacion[[#This Row],[fecha]],"mmmm"),0)</f>
        <v>Mayo</v>
      </c>
    </row>
    <row r="274" spans="1:27" x14ac:dyDescent="0.3">
      <c r="A274" s="2">
        <f>IF(Banco_Nacion[[#This Row],[tipo_registro]]="R",COUNTIFS($C$1:$C273,"R")+1,"")</f>
        <v>273</v>
      </c>
      <c r="B274" s="19" t="str">
        <f t="shared" si="20"/>
        <v>B-Banco de la Nacion</v>
      </c>
      <c r="C274" s="3" t="s">
        <v>1330</v>
      </c>
      <c r="D274" s="14">
        <v>45779</v>
      </c>
      <c r="E274" s="5">
        <v>20455283915</v>
      </c>
      <c r="F274" s="5" t="s">
        <v>1303</v>
      </c>
      <c r="G274" s="6" t="s">
        <v>425</v>
      </c>
      <c r="H274" s="6" t="s">
        <v>68</v>
      </c>
      <c r="I274" s="6" t="s">
        <v>3302</v>
      </c>
      <c r="J274" s="6">
        <v>7</v>
      </c>
      <c r="K274" s="7" t="s">
        <v>5232</v>
      </c>
      <c r="L274" s="8">
        <v>75725636</v>
      </c>
      <c r="M274" s="8" t="str">
        <f t="shared" si="21"/>
        <v>PEN</v>
      </c>
      <c r="N274" s="13"/>
      <c r="O274" s="13">
        <v>330</v>
      </c>
      <c r="P274" s="3">
        <f t="shared" si="22"/>
        <v>330</v>
      </c>
      <c r="Q274" s="3">
        <f t="shared" si="23"/>
        <v>0</v>
      </c>
      <c r="R274" s="3">
        <f t="shared" si="24"/>
        <v>41180.220000000008</v>
      </c>
      <c r="S274" s="24" t="s">
        <v>1334</v>
      </c>
      <c r="T274" s="24" t="s">
        <v>1334</v>
      </c>
      <c r="U274" s="3"/>
      <c r="V274" s="19" t="str">
        <f>IFERROR(VLOOKUP(Banco_Nacion[[#This Row],[responsable]],Clientes_Proveedores[[Ruc / Dni]:[Razon Social]],2,0),"")</f>
        <v>EMPRESA CONSERVADORA AMBIENTAL DEL SUR E.I.R.L. - ECA SUR E.I.R.L.</v>
      </c>
      <c r="W274" s="19" t="str">
        <f>IF(Banco_Nacion[[#This Row],[tipo_mov]]="INGRESO",Banco_Nacion[[#This Row],[serie]]&amp;Banco_Nacion[[#This Row],[numero]]&amp;Banco_Nacion[[#This Row],[responsable]]&amp;Banco_Nacion[[#This Row],[monto]],"")</f>
        <v>FF02720455283915330</v>
      </c>
      <c r="X274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75725636</v>
      </c>
      <c r="Y274" s="3" t="str">
        <f>IFERROR(VLOOKUP(Banco_Nacion[[#This Row],[serie]]&amp;Banco_Nacion[[#This Row],[numero]]&amp;Banco_Nacion[[#This Row],[responsable]],[2]!Provision_CXC[[ID CXP]:[DETRACCION]],47,0),"")</f>
        <v/>
      </c>
      <c r="Z274" s="3"/>
      <c r="AA274" s="24" t="str">
        <f>IF(Banco_Nacion[[#This Row],[fecha]]&gt;0,TEXT(Banco_Nacion[[#This Row],[fecha]],"mmmm"),0)</f>
        <v>Mayo</v>
      </c>
    </row>
    <row r="275" spans="1:27" x14ac:dyDescent="0.3">
      <c r="A275" s="2">
        <f>IF(Banco_Nacion[[#This Row],[tipo_registro]]="R",COUNTIFS($C$1:$C274,"R")+1,"")</f>
        <v>274</v>
      </c>
      <c r="B275" s="19" t="str">
        <f t="shared" si="20"/>
        <v>B-Banco de la Nacion</v>
      </c>
      <c r="C275" s="3" t="s">
        <v>1330</v>
      </c>
      <c r="D275" s="14">
        <v>45779</v>
      </c>
      <c r="E275" s="5">
        <v>20455283915</v>
      </c>
      <c r="F275" s="5" t="s">
        <v>1303</v>
      </c>
      <c r="G275" s="6" t="s">
        <v>425</v>
      </c>
      <c r="H275" s="6" t="s">
        <v>68</v>
      </c>
      <c r="I275" s="6" t="s">
        <v>3302</v>
      </c>
      <c r="J275" s="6">
        <v>4</v>
      </c>
      <c r="K275" s="7" t="s">
        <v>5232</v>
      </c>
      <c r="L275" s="8">
        <v>75725635</v>
      </c>
      <c r="M275" s="8" t="str">
        <f t="shared" si="21"/>
        <v>PEN</v>
      </c>
      <c r="N275" s="13"/>
      <c r="O275" s="13">
        <v>29</v>
      </c>
      <c r="P275" s="3">
        <f t="shared" si="22"/>
        <v>29</v>
      </c>
      <c r="Q275" s="3">
        <f t="shared" si="23"/>
        <v>0</v>
      </c>
      <c r="R275" s="3">
        <f t="shared" si="24"/>
        <v>41209.220000000008</v>
      </c>
      <c r="S275" s="24"/>
      <c r="T275" s="24" t="s">
        <v>1334</v>
      </c>
      <c r="U275" s="3"/>
      <c r="V275" s="19" t="str">
        <f>IFERROR(VLOOKUP(Banco_Nacion[[#This Row],[responsable]],Clientes_Proveedores[[Ruc / Dni]:[Razon Social]],2,0),"")</f>
        <v>EMPRESA CONSERVADORA AMBIENTAL DEL SUR E.I.R.L. - ECA SUR E.I.R.L.</v>
      </c>
      <c r="W275" s="19" t="str">
        <f>IF(Banco_Nacion[[#This Row],[tipo_mov]]="INGRESO",Banco_Nacion[[#This Row],[serie]]&amp;Banco_Nacion[[#This Row],[numero]]&amp;Banco_Nacion[[#This Row],[responsable]]&amp;Banco_Nacion[[#This Row],[monto]],"")</f>
        <v>FF0242045528391529</v>
      </c>
      <c r="X275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75725635</v>
      </c>
      <c r="Y275" s="3" t="str">
        <f>IFERROR(VLOOKUP(Banco_Nacion[[#This Row],[serie]]&amp;Banco_Nacion[[#This Row],[numero]]&amp;Banco_Nacion[[#This Row],[responsable]],[2]!Provision_CXC[[ID CXP]:[DETRACCION]],47,0),"")</f>
        <v/>
      </c>
      <c r="Z275" s="3"/>
      <c r="AA275" s="24" t="str">
        <f>IF(Banco_Nacion[[#This Row],[fecha]]&gt;0,TEXT(Banco_Nacion[[#This Row],[fecha]],"mmmm"),0)</f>
        <v>Mayo</v>
      </c>
    </row>
    <row r="276" spans="1:27" x14ac:dyDescent="0.3">
      <c r="A276" s="2">
        <f>IF(Banco_Nacion[[#This Row],[tipo_registro]]="R",COUNTIFS($C$1:$C275,"R")+1,"")</f>
        <v>275</v>
      </c>
      <c r="B276" s="19" t="str">
        <f t="shared" si="20"/>
        <v>B-Banco de la Nacion</v>
      </c>
      <c r="C276" s="3" t="s">
        <v>1330</v>
      </c>
      <c r="D276" s="14">
        <v>45779</v>
      </c>
      <c r="E276" s="5">
        <v>20455283915</v>
      </c>
      <c r="F276" s="5" t="s">
        <v>1303</v>
      </c>
      <c r="G276" s="6" t="s">
        <v>425</v>
      </c>
      <c r="H276" s="6" t="s">
        <v>68</v>
      </c>
      <c r="I276" s="6" t="s">
        <v>3302</v>
      </c>
      <c r="J276" s="6">
        <v>25</v>
      </c>
      <c r="K276" s="7" t="s">
        <v>5232</v>
      </c>
      <c r="L276" s="8">
        <v>75725634</v>
      </c>
      <c r="M276" s="8" t="str">
        <f t="shared" si="21"/>
        <v>PEN</v>
      </c>
      <c r="N276" s="13"/>
      <c r="O276" s="13">
        <v>86</v>
      </c>
      <c r="P276" s="3">
        <f t="shared" si="22"/>
        <v>86</v>
      </c>
      <c r="Q276" s="3">
        <f t="shared" si="23"/>
        <v>0</v>
      </c>
      <c r="R276" s="3">
        <f t="shared" si="24"/>
        <v>41295.220000000008</v>
      </c>
      <c r="S276" s="24"/>
      <c r="T276" s="24" t="s">
        <v>1334</v>
      </c>
      <c r="U276" s="3"/>
      <c r="V276" s="19" t="str">
        <f>IFERROR(VLOOKUP(Banco_Nacion[[#This Row],[responsable]],Clientes_Proveedores[[Ruc / Dni]:[Razon Social]],2,0),"")</f>
        <v>EMPRESA CONSERVADORA AMBIENTAL DEL SUR E.I.R.L. - ECA SUR E.I.R.L.</v>
      </c>
      <c r="W276" s="19" t="str">
        <f>IF(Banco_Nacion[[#This Row],[tipo_mov]]="INGRESO",Banco_Nacion[[#This Row],[serie]]&amp;Banco_Nacion[[#This Row],[numero]]&amp;Banco_Nacion[[#This Row],[responsable]]&amp;Banco_Nacion[[#This Row],[monto]],"")</f>
        <v>FF02252045528391586</v>
      </c>
      <c r="X276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75725634</v>
      </c>
      <c r="Y276" s="3" t="str">
        <f>IFERROR(VLOOKUP(Banco_Nacion[[#This Row],[serie]]&amp;Banco_Nacion[[#This Row],[numero]]&amp;Banco_Nacion[[#This Row],[responsable]],[2]!Provision_CXC[[ID CXP]:[DETRACCION]],47,0),"")</f>
        <v/>
      </c>
      <c r="Z276" s="3"/>
      <c r="AA276" s="24" t="str">
        <f>IF(Banco_Nacion[[#This Row],[fecha]]&gt;0,TEXT(Banco_Nacion[[#This Row],[fecha]],"mmmm"),0)</f>
        <v>Mayo</v>
      </c>
    </row>
    <row r="277" spans="1:27" x14ac:dyDescent="0.3">
      <c r="A277" s="2">
        <f>IF(Banco_Nacion[[#This Row],[tipo_registro]]="R",COUNTIFS($C$1:$C276,"R")+1,"")</f>
        <v>276</v>
      </c>
      <c r="B277" s="19" t="str">
        <f t="shared" si="20"/>
        <v>B-Banco de la Nacion</v>
      </c>
      <c r="C277" s="3" t="s">
        <v>1330</v>
      </c>
      <c r="D277" s="14">
        <v>45779</v>
      </c>
      <c r="E277" s="5">
        <v>20455283915</v>
      </c>
      <c r="F277" s="5" t="s">
        <v>1303</v>
      </c>
      <c r="G277" s="6" t="s">
        <v>425</v>
      </c>
      <c r="H277" s="6" t="s">
        <v>68</v>
      </c>
      <c r="I277" s="6" t="s">
        <v>3302</v>
      </c>
      <c r="J277" s="6">
        <v>24</v>
      </c>
      <c r="K277" s="7" t="s">
        <v>5232</v>
      </c>
      <c r="L277" s="8">
        <v>75725633</v>
      </c>
      <c r="M277" s="8" t="str">
        <f t="shared" si="21"/>
        <v>PEN</v>
      </c>
      <c r="N277" s="13"/>
      <c r="O277" s="13">
        <v>59</v>
      </c>
      <c r="P277" s="3">
        <f t="shared" si="22"/>
        <v>59</v>
      </c>
      <c r="Q277" s="3">
        <f t="shared" si="23"/>
        <v>0</v>
      </c>
      <c r="R277" s="3">
        <f t="shared" si="24"/>
        <v>41354.220000000008</v>
      </c>
      <c r="S277" s="24"/>
      <c r="T277" s="24" t="s">
        <v>1334</v>
      </c>
      <c r="U277" s="3"/>
      <c r="V277" s="19" t="str">
        <f>IFERROR(VLOOKUP(Banco_Nacion[[#This Row],[responsable]],Clientes_Proveedores[[Ruc / Dni]:[Razon Social]],2,0),"")</f>
        <v>EMPRESA CONSERVADORA AMBIENTAL DEL SUR E.I.R.L. - ECA SUR E.I.R.L.</v>
      </c>
      <c r="W277" s="19" t="str">
        <f>IF(Banco_Nacion[[#This Row],[tipo_mov]]="INGRESO",Banco_Nacion[[#This Row],[serie]]&amp;Banco_Nacion[[#This Row],[numero]]&amp;Banco_Nacion[[#This Row],[responsable]]&amp;Banco_Nacion[[#This Row],[monto]],"")</f>
        <v>FF02242045528391559</v>
      </c>
      <c r="X277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75725633</v>
      </c>
      <c r="Y277" s="3" t="str">
        <f>IFERROR(VLOOKUP(Banco_Nacion[[#This Row],[serie]]&amp;Banco_Nacion[[#This Row],[numero]]&amp;Banco_Nacion[[#This Row],[responsable]],[2]!Provision_CXC[[ID CXP]:[DETRACCION]],47,0),"")</f>
        <v/>
      </c>
      <c r="Z277" s="3"/>
      <c r="AA277" s="24" t="str">
        <f>IF(Banco_Nacion[[#This Row],[fecha]]&gt;0,TEXT(Banco_Nacion[[#This Row],[fecha]],"mmmm"),0)</f>
        <v>Mayo</v>
      </c>
    </row>
    <row r="278" spans="1:27" x14ac:dyDescent="0.3">
      <c r="A278" s="2">
        <f>IF(Banco_Nacion[[#This Row],[tipo_registro]]="R",COUNTIFS($C$1:$C277,"R")+1,"")</f>
        <v>277</v>
      </c>
      <c r="B278" s="19" t="str">
        <f t="shared" si="20"/>
        <v>B-Banco de la Nacion</v>
      </c>
      <c r="C278" s="3" t="s">
        <v>1330</v>
      </c>
      <c r="D278" s="14">
        <v>45779</v>
      </c>
      <c r="E278" s="5">
        <v>20455283915</v>
      </c>
      <c r="F278" s="5" t="s">
        <v>1303</v>
      </c>
      <c r="G278" s="6" t="s">
        <v>425</v>
      </c>
      <c r="H278" s="6" t="s">
        <v>68</v>
      </c>
      <c r="I278" s="6" t="s">
        <v>3302</v>
      </c>
      <c r="J278" s="6">
        <v>22</v>
      </c>
      <c r="K278" s="7" t="s">
        <v>5232</v>
      </c>
      <c r="L278" s="8">
        <v>75725632</v>
      </c>
      <c r="M278" s="8" t="str">
        <f t="shared" si="21"/>
        <v>PEN</v>
      </c>
      <c r="N278" s="13"/>
      <c r="O278" s="13">
        <v>310</v>
      </c>
      <c r="P278" s="3">
        <f t="shared" si="22"/>
        <v>310</v>
      </c>
      <c r="Q278" s="3">
        <f t="shared" si="23"/>
        <v>0</v>
      </c>
      <c r="R278" s="3">
        <f t="shared" si="24"/>
        <v>41664.220000000008</v>
      </c>
      <c r="S278" s="24"/>
      <c r="T278" s="24" t="s">
        <v>1334</v>
      </c>
      <c r="U278" s="3"/>
      <c r="V278" s="19" t="str">
        <f>IFERROR(VLOOKUP(Banco_Nacion[[#This Row],[responsable]],Clientes_Proveedores[[Ruc / Dni]:[Razon Social]],2,0),"")</f>
        <v>EMPRESA CONSERVADORA AMBIENTAL DEL SUR E.I.R.L. - ECA SUR E.I.R.L.</v>
      </c>
      <c r="W278" s="19" t="str">
        <f>IF(Banco_Nacion[[#This Row],[tipo_mov]]="INGRESO",Banco_Nacion[[#This Row],[serie]]&amp;Banco_Nacion[[#This Row],[numero]]&amp;Banco_Nacion[[#This Row],[responsable]]&amp;Banco_Nacion[[#This Row],[monto]],"")</f>
        <v>FF022220455283915310</v>
      </c>
      <c r="X278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75725632</v>
      </c>
      <c r="Y278" s="3" t="str">
        <f>IFERROR(VLOOKUP(Banco_Nacion[[#This Row],[serie]]&amp;Banco_Nacion[[#This Row],[numero]]&amp;Banco_Nacion[[#This Row],[responsable]],[2]!Provision_CXC[[ID CXP]:[DETRACCION]],47,0),"")</f>
        <v/>
      </c>
      <c r="Z278" s="3"/>
      <c r="AA278" s="24" t="str">
        <f>IF(Banco_Nacion[[#This Row],[fecha]]&gt;0,TEXT(Banco_Nacion[[#This Row],[fecha]],"mmmm"),0)</f>
        <v>Mayo</v>
      </c>
    </row>
    <row r="279" spans="1:27" x14ac:dyDescent="0.3">
      <c r="A279" s="2">
        <f>IF(Banco_Nacion[[#This Row],[tipo_registro]]="R",COUNTIFS($C$1:$C278,"R")+1,"")</f>
        <v>278</v>
      </c>
      <c r="B279" s="19" t="str">
        <f t="shared" si="20"/>
        <v>B-Banco de la Nacion</v>
      </c>
      <c r="C279" s="3" t="s">
        <v>1330</v>
      </c>
      <c r="D279" s="14">
        <v>45779</v>
      </c>
      <c r="E279" s="5">
        <v>20455283915</v>
      </c>
      <c r="F279" s="5" t="s">
        <v>1303</v>
      </c>
      <c r="G279" s="6" t="s">
        <v>425</v>
      </c>
      <c r="H279" s="6" t="s">
        <v>68</v>
      </c>
      <c r="I279" s="6" t="s">
        <v>3302</v>
      </c>
      <c r="J279" s="6">
        <v>20</v>
      </c>
      <c r="K279" s="7" t="s">
        <v>5232</v>
      </c>
      <c r="L279" s="8">
        <v>75725631</v>
      </c>
      <c r="M279" s="8" t="str">
        <f t="shared" si="21"/>
        <v>PEN</v>
      </c>
      <c r="N279" s="13"/>
      <c r="O279" s="13">
        <v>146</v>
      </c>
      <c r="P279" s="3">
        <f t="shared" si="22"/>
        <v>146</v>
      </c>
      <c r="Q279" s="3">
        <f t="shared" si="23"/>
        <v>0</v>
      </c>
      <c r="R279" s="3">
        <f t="shared" si="24"/>
        <v>41810.220000000008</v>
      </c>
      <c r="S279" s="24" t="s">
        <v>1334</v>
      </c>
      <c r="T279" s="24" t="s">
        <v>1334</v>
      </c>
      <c r="U279" s="3"/>
      <c r="V279" s="19" t="str">
        <f>IFERROR(VLOOKUP(Banco_Nacion[[#This Row],[responsable]],Clientes_Proveedores[[Ruc / Dni]:[Razon Social]],2,0),"")</f>
        <v>EMPRESA CONSERVADORA AMBIENTAL DEL SUR E.I.R.L. - ECA SUR E.I.R.L.</v>
      </c>
      <c r="W279" s="19" t="str">
        <f>IF(Banco_Nacion[[#This Row],[tipo_mov]]="INGRESO",Banco_Nacion[[#This Row],[serie]]&amp;Banco_Nacion[[#This Row],[numero]]&amp;Banco_Nacion[[#This Row],[responsable]]&amp;Banco_Nacion[[#This Row],[monto]],"")</f>
        <v>FF022020455283915146</v>
      </c>
      <c r="X279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75725631</v>
      </c>
      <c r="Y279" s="3" t="str">
        <f>IFERROR(VLOOKUP(Banco_Nacion[[#This Row],[serie]]&amp;Banco_Nacion[[#This Row],[numero]]&amp;Banco_Nacion[[#This Row],[responsable]],[2]!Provision_CXC[[ID CXP]:[DETRACCION]],47,0),"")</f>
        <v/>
      </c>
      <c r="Z279" s="3"/>
      <c r="AA279" s="24" t="str">
        <f>IF(Banco_Nacion[[#This Row],[fecha]]&gt;0,TEXT(Banco_Nacion[[#This Row],[fecha]],"mmmm"),0)</f>
        <v>Mayo</v>
      </c>
    </row>
    <row r="280" spans="1:27" x14ac:dyDescent="0.3">
      <c r="A280" s="2">
        <f>IF(Banco_Nacion[[#This Row],[tipo_registro]]="R",COUNTIFS($C$1:$C279,"R")+1,"")</f>
        <v>279</v>
      </c>
      <c r="B280" s="19" t="str">
        <f t="shared" si="20"/>
        <v>B-Banco de la Nacion</v>
      </c>
      <c r="C280" s="3" t="s">
        <v>1330</v>
      </c>
      <c r="D280" s="14">
        <v>45779</v>
      </c>
      <c r="E280" s="5">
        <v>20455283915</v>
      </c>
      <c r="F280" s="5" t="s">
        <v>1303</v>
      </c>
      <c r="G280" s="6" t="s">
        <v>425</v>
      </c>
      <c r="H280" s="6" t="s">
        <v>68</v>
      </c>
      <c r="I280" s="6" t="s">
        <v>3302</v>
      </c>
      <c r="J280" s="6">
        <v>19</v>
      </c>
      <c r="K280" s="7" t="s">
        <v>5232</v>
      </c>
      <c r="L280" s="8">
        <v>75725630</v>
      </c>
      <c r="M280" s="8" t="str">
        <f t="shared" si="21"/>
        <v>PEN</v>
      </c>
      <c r="N280" s="13"/>
      <c r="O280" s="13">
        <v>89</v>
      </c>
      <c r="P280" s="3">
        <f t="shared" si="22"/>
        <v>89</v>
      </c>
      <c r="Q280" s="3">
        <f t="shared" si="23"/>
        <v>0</v>
      </c>
      <c r="R280" s="3">
        <f t="shared" si="24"/>
        <v>41899.220000000008</v>
      </c>
      <c r="S280" s="24"/>
      <c r="T280" s="24" t="s">
        <v>1334</v>
      </c>
      <c r="U280" s="3"/>
      <c r="V280" s="19" t="str">
        <f>IFERROR(VLOOKUP(Banco_Nacion[[#This Row],[responsable]],Clientes_Proveedores[[Ruc / Dni]:[Razon Social]],2,0),"")</f>
        <v>EMPRESA CONSERVADORA AMBIENTAL DEL SUR E.I.R.L. - ECA SUR E.I.R.L.</v>
      </c>
      <c r="W280" s="19" t="str">
        <f>IF(Banco_Nacion[[#This Row],[tipo_mov]]="INGRESO",Banco_Nacion[[#This Row],[serie]]&amp;Banco_Nacion[[#This Row],[numero]]&amp;Banco_Nacion[[#This Row],[responsable]]&amp;Banco_Nacion[[#This Row],[monto]],"")</f>
        <v>FF02192045528391589</v>
      </c>
      <c r="X280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75725630</v>
      </c>
      <c r="Y280" s="3" t="str">
        <f>IFERROR(VLOOKUP(Banco_Nacion[[#This Row],[serie]]&amp;Banco_Nacion[[#This Row],[numero]]&amp;Banco_Nacion[[#This Row],[responsable]],[2]!Provision_CXC[[ID CXP]:[DETRACCION]],47,0),"")</f>
        <v/>
      </c>
      <c r="Z280" s="3"/>
      <c r="AA280" s="24" t="str">
        <f>IF(Banco_Nacion[[#This Row],[fecha]]&gt;0,TEXT(Banco_Nacion[[#This Row],[fecha]],"mmmm"),0)</f>
        <v>Mayo</v>
      </c>
    </row>
    <row r="281" spans="1:27" x14ac:dyDescent="0.3">
      <c r="A281" s="2">
        <f>IF(Banco_Nacion[[#This Row],[tipo_registro]]="R",COUNTIFS($C$1:$C280,"R")+1,"")</f>
        <v>280</v>
      </c>
      <c r="B281" s="19" t="str">
        <f t="shared" si="20"/>
        <v>B-Banco de la Nacion</v>
      </c>
      <c r="C281" s="3" t="s">
        <v>1330</v>
      </c>
      <c r="D281" s="14">
        <v>45779</v>
      </c>
      <c r="E281" s="5">
        <v>20455283915</v>
      </c>
      <c r="F281" s="5" t="s">
        <v>1303</v>
      </c>
      <c r="G281" s="6" t="s">
        <v>425</v>
      </c>
      <c r="H281" s="6" t="s">
        <v>68</v>
      </c>
      <c r="I281" s="6" t="s">
        <v>3302</v>
      </c>
      <c r="J281" s="6">
        <v>18</v>
      </c>
      <c r="K281" s="7" t="s">
        <v>5232</v>
      </c>
      <c r="L281" s="8">
        <v>75725629</v>
      </c>
      <c r="M281" s="8" t="str">
        <f t="shared" si="21"/>
        <v>PEN</v>
      </c>
      <c r="N281" s="13"/>
      <c r="O281" s="13">
        <v>60</v>
      </c>
      <c r="P281" s="3">
        <f t="shared" si="22"/>
        <v>60</v>
      </c>
      <c r="Q281" s="3">
        <f t="shared" si="23"/>
        <v>0</v>
      </c>
      <c r="R281" s="3">
        <f t="shared" si="24"/>
        <v>41959.220000000008</v>
      </c>
      <c r="S281" s="24"/>
      <c r="T281" s="24" t="s">
        <v>1334</v>
      </c>
      <c r="U281" s="3"/>
      <c r="V281" s="19" t="str">
        <f>IFERROR(VLOOKUP(Banco_Nacion[[#This Row],[responsable]],Clientes_Proveedores[[Ruc / Dni]:[Razon Social]],2,0),"")</f>
        <v>EMPRESA CONSERVADORA AMBIENTAL DEL SUR E.I.R.L. - ECA SUR E.I.R.L.</v>
      </c>
      <c r="W281" s="19" t="str">
        <f>IF(Banco_Nacion[[#This Row],[tipo_mov]]="INGRESO",Banco_Nacion[[#This Row],[serie]]&amp;Banco_Nacion[[#This Row],[numero]]&amp;Banco_Nacion[[#This Row],[responsable]]&amp;Banco_Nacion[[#This Row],[monto]],"")</f>
        <v>FF02182045528391560</v>
      </c>
      <c r="X281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75725629</v>
      </c>
      <c r="Y281" s="3" t="str">
        <f>IFERROR(VLOOKUP(Banco_Nacion[[#This Row],[serie]]&amp;Banco_Nacion[[#This Row],[numero]]&amp;Banco_Nacion[[#This Row],[responsable]],[2]!Provision_CXC[[ID CXP]:[DETRACCION]],47,0),"")</f>
        <v/>
      </c>
      <c r="Z281" s="3"/>
      <c r="AA281" s="24" t="str">
        <f>IF(Banco_Nacion[[#This Row],[fecha]]&gt;0,TEXT(Banco_Nacion[[#This Row],[fecha]],"mmmm"),0)</f>
        <v>Mayo</v>
      </c>
    </row>
    <row r="282" spans="1:27" x14ac:dyDescent="0.3">
      <c r="A282" s="2">
        <f>IF(Banco_Nacion[[#This Row],[tipo_registro]]="R",COUNTIFS($C$1:$C281,"R")+1,"")</f>
        <v>281</v>
      </c>
      <c r="B282" s="19" t="str">
        <f t="shared" si="20"/>
        <v>B-Banco de la Nacion</v>
      </c>
      <c r="C282" s="3" t="s">
        <v>1330</v>
      </c>
      <c r="D282" s="14">
        <v>45779</v>
      </c>
      <c r="E282" s="5">
        <v>20455283915</v>
      </c>
      <c r="F282" s="5" t="s">
        <v>1303</v>
      </c>
      <c r="G282" s="6" t="s">
        <v>425</v>
      </c>
      <c r="H282" s="6" t="s">
        <v>68</v>
      </c>
      <c r="I282" s="6" t="s">
        <v>3302</v>
      </c>
      <c r="J282" s="6">
        <v>17</v>
      </c>
      <c r="K282" s="7" t="s">
        <v>5232</v>
      </c>
      <c r="L282" s="8">
        <v>75725628</v>
      </c>
      <c r="M282" s="8" t="str">
        <f t="shared" si="21"/>
        <v>PEN</v>
      </c>
      <c r="N282" s="13"/>
      <c r="O282" s="13">
        <v>197</v>
      </c>
      <c r="P282" s="3">
        <f t="shared" si="22"/>
        <v>197</v>
      </c>
      <c r="Q282" s="3">
        <f t="shared" si="23"/>
        <v>0</v>
      </c>
      <c r="R282" s="3">
        <f t="shared" si="24"/>
        <v>42156.220000000008</v>
      </c>
      <c r="S282" s="24"/>
      <c r="T282" s="24" t="s">
        <v>1334</v>
      </c>
      <c r="U282" s="3"/>
      <c r="V282" s="19" t="str">
        <f>IFERROR(VLOOKUP(Banco_Nacion[[#This Row],[responsable]],Clientes_Proveedores[[Ruc / Dni]:[Razon Social]],2,0),"")</f>
        <v>EMPRESA CONSERVADORA AMBIENTAL DEL SUR E.I.R.L. - ECA SUR E.I.R.L.</v>
      </c>
      <c r="W282" s="19" t="str">
        <f>IF(Banco_Nacion[[#This Row],[tipo_mov]]="INGRESO",Banco_Nacion[[#This Row],[serie]]&amp;Banco_Nacion[[#This Row],[numero]]&amp;Banco_Nacion[[#This Row],[responsable]]&amp;Banco_Nacion[[#This Row],[monto]],"")</f>
        <v>FF021720455283915197</v>
      </c>
      <c r="X282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75725628</v>
      </c>
      <c r="Y282" s="3" t="str">
        <f>IFERROR(VLOOKUP(Banco_Nacion[[#This Row],[serie]]&amp;Banco_Nacion[[#This Row],[numero]]&amp;Banco_Nacion[[#This Row],[responsable]],[2]!Provision_CXC[[ID CXP]:[DETRACCION]],47,0),"")</f>
        <v/>
      </c>
      <c r="Z282" s="3"/>
      <c r="AA282" s="24" t="str">
        <f>IF(Banco_Nacion[[#This Row],[fecha]]&gt;0,TEXT(Banco_Nacion[[#This Row],[fecha]],"mmmm"),0)</f>
        <v>Mayo</v>
      </c>
    </row>
    <row r="283" spans="1:27" x14ac:dyDescent="0.3">
      <c r="A283" s="2">
        <f>IF(Banco_Nacion[[#This Row],[tipo_registro]]="R",COUNTIFS($C$1:$C282,"R")+1,"")</f>
        <v>282</v>
      </c>
      <c r="B283" s="19" t="str">
        <f t="shared" si="20"/>
        <v>B-Banco de la Nacion</v>
      </c>
      <c r="C283" s="3" t="s">
        <v>1330</v>
      </c>
      <c r="D283" s="14">
        <v>45779</v>
      </c>
      <c r="E283" s="5">
        <v>20120788389</v>
      </c>
      <c r="F283" s="5" t="s">
        <v>1303</v>
      </c>
      <c r="G283" s="6" t="s">
        <v>425</v>
      </c>
      <c r="H283" s="6" t="s">
        <v>68</v>
      </c>
      <c r="I283" s="6" t="s">
        <v>1784</v>
      </c>
      <c r="J283" s="6">
        <v>16</v>
      </c>
      <c r="K283" s="7" t="s">
        <v>5232</v>
      </c>
      <c r="L283" s="8">
        <v>75721301</v>
      </c>
      <c r="M283" s="8" t="str">
        <f t="shared" si="21"/>
        <v>PEN</v>
      </c>
      <c r="N283" s="13"/>
      <c r="O283" s="13">
        <v>95</v>
      </c>
      <c r="P283" s="3">
        <f t="shared" si="22"/>
        <v>95</v>
      </c>
      <c r="Q283" s="3">
        <f t="shared" si="23"/>
        <v>0</v>
      </c>
      <c r="R283" s="3">
        <f t="shared" si="24"/>
        <v>42251.220000000008</v>
      </c>
      <c r="S283" s="24"/>
      <c r="T283" s="24" t="s">
        <v>1334</v>
      </c>
      <c r="U283" s="3"/>
      <c r="V283" s="19" t="str">
        <f>IFERROR(VLOOKUP(Banco_Nacion[[#This Row],[responsable]],Clientes_Proveedores[[Ruc / Dni]:[Razon Social]],2,0),"")</f>
        <v>CARMEN INMUEBLES S.A.</v>
      </c>
      <c r="W283" s="19" t="str">
        <f>IF(Banco_Nacion[[#This Row],[tipo_mov]]="INGRESO",Banco_Nacion[[#This Row],[serie]]&amp;Banco_Nacion[[#This Row],[numero]]&amp;Banco_Nacion[[#This Row],[responsable]]&amp;Banco_Nacion[[#This Row],[monto]],"")</f>
        <v>FF01162012078838995</v>
      </c>
      <c r="X283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75721301</v>
      </c>
      <c r="Y283" s="3" t="str">
        <f>IFERROR(VLOOKUP(Banco_Nacion[[#This Row],[serie]]&amp;Banco_Nacion[[#This Row],[numero]]&amp;Banco_Nacion[[#This Row],[responsable]],[2]!Provision_CXC[[ID CXP]:[DETRACCION]],47,0),"")</f>
        <v/>
      </c>
      <c r="Z283" s="3"/>
      <c r="AA283" s="24" t="str">
        <f>IF(Banco_Nacion[[#This Row],[fecha]]&gt;0,TEXT(Banco_Nacion[[#This Row],[fecha]],"mmmm"),0)</f>
        <v>Mayo</v>
      </c>
    </row>
    <row r="284" spans="1:27" x14ac:dyDescent="0.3">
      <c r="A284" s="2">
        <f>IF(Banco_Nacion[[#This Row],[tipo_registro]]="R",COUNTIFS($C$1:$C283,"R")+1,"")</f>
        <v>283</v>
      </c>
      <c r="B284" s="19" t="str">
        <f t="shared" si="20"/>
        <v>B-Banco de la Nacion</v>
      </c>
      <c r="C284" s="3" t="s">
        <v>1330</v>
      </c>
      <c r="D284" s="14">
        <v>45779</v>
      </c>
      <c r="E284" s="5"/>
      <c r="F284" s="5" t="s">
        <v>1336</v>
      </c>
      <c r="G284" s="6"/>
      <c r="H284" s="6"/>
      <c r="I284" s="6" t="s">
        <v>5231</v>
      </c>
      <c r="J284" s="6"/>
      <c r="K284" s="7" t="s">
        <v>5234</v>
      </c>
      <c r="L284" s="8">
        <v>78787878</v>
      </c>
      <c r="M284" s="8" t="str">
        <f t="shared" si="21"/>
        <v>PEN</v>
      </c>
      <c r="N284" s="13"/>
      <c r="O284" s="13">
        <v>14982</v>
      </c>
      <c r="P284" s="3">
        <f t="shared" si="22"/>
        <v>0</v>
      </c>
      <c r="Q284" s="3">
        <f t="shared" si="23"/>
        <v>14982</v>
      </c>
      <c r="R284" s="3">
        <f t="shared" si="24"/>
        <v>27269.220000000008</v>
      </c>
      <c r="S284" s="24"/>
      <c r="T284" s="24"/>
      <c r="U284" s="3"/>
      <c r="V284" s="19" t="str">
        <f>IFERROR(VLOOKUP(Banco_Nacion[[#This Row],[responsable]],Clientes_Proveedores[[Ruc / Dni]:[Razon Social]],2,0),"")</f>
        <v/>
      </c>
      <c r="W284" s="19" t="str">
        <f>IF(Banco_Nacion[[#This Row],[tipo_mov]]="INGRESO",Banco_Nacion[[#This Row],[serie]]&amp;Banco_Nacion[[#This Row],[numero]]&amp;Banco_Nacion[[#This Row],[responsable]]&amp;Banco_Nacion[[#This Row],[monto]],"")</f>
        <v/>
      </c>
      <c r="X284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/>
      </c>
      <c r="Y284" s="3" t="str">
        <f>IFERROR(VLOOKUP(Banco_Nacion[[#This Row],[serie]]&amp;Banco_Nacion[[#This Row],[numero]]&amp;Banco_Nacion[[#This Row],[responsable]],[2]!Provision_CXC[[ID CXP]:[DETRACCION]],47,0),"")</f>
        <v/>
      </c>
      <c r="Z284" s="3"/>
      <c r="AA284" s="24" t="str">
        <f>IF(Banco_Nacion[[#This Row],[fecha]]&gt;0,TEXT(Banco_Nacion[[#This Row],[fecha]],"mmmm"),0)</f>
        <v>Mayo</v>
      </c>
    </row>
    <row r="285" spans="1:27" x14ac:dyDescent="0.3">
      <c r="A285" s="2">
        <f>IF(Banco_Nacion[[#This Row],[tipo_registro]]="R",COUNTIFS($C$1:$C284,"R")+1,"")</f>
        <v>284</v>
      </c>
      <c r="B285" s="19" t="str">
        <f t="shared" si="20"/>
        <v>B-Banco de la Nacion</v>
      </c>
      <c r="C285" s="3" t="s">
        <v>1330</v>
      </c>
      <c r="D285" s="14">
        <v>45780</v>
      </c>
      <c r="E285" s="5">
        <v>20550891086</v>
      </c>
      <c r="F285" s="5" t="s">
        <v>1303</v>
      </c>
      <c r="G285" s="6" t="s">
        <v>425</v>
      </c>
      <c r="H285" s="6" t="s">
        <v>68</v>
      </c>
      <c r="I285" s="6" t="s">
        <v>3302</v>
      </c>
      <c r="J285" s="6">
        <v>21</v>
      </c>
      <c r="K285" s="7" t="s">
        <v>5232</v>
      </c>
      <c r="L285" s="8">
        <v>26821327</v>
      </c>
      <c r="M285" s="8" t="str">
        <f t="shared" si="21"/>
        <v>PEN</v>
      </c>
      <c r="N285" s="13"/>
      <c r="O285" s="13">
        <v>917</v>
      </c>
      <c r="P285" s="3">
        <f t="shared" si="22"/>
        <v>917</v>
      </c>
      <c r="Q285" s="3">
        <f t="shared" si="23"/>
        <v>0</v>
      </c>
      <c r="R285" s="3">
        <f t="shared" si="24"/>
        <v>28186.220000000008</v>
      </c>
      <c r="S285" s="24"/>
      <c r="T285" s="24" t="s">
        <v>1334</v>
      </c>
      <c r="U285" s="3"/>
      <c r="V285" s="19" t="str">
        <f>IFERROR(VLOOKUP(Banco_Nacion[[#This Row],[responsable]],Clientes_Proveedores[[Ruc / Dni]:[Razon Social]],2,0),"")</f>
        <v>SANTOS CHAVARRIA VEGA E.I.R.L.</v>
      </c>
      <c r="W285" s="19" t="str">
        <f>IF(Banco_Nacion[[#This Row],[tipo_mov]]="INGRESO",Banco_Nacion[[#This Row],[serie]]&amp;Banco_Nacion[[#This Row],[numero]]&amp;Banco_Nacion[[#This Row],[responsable]]&amp;Banco_Nacion[[#This Row],[monto]],"")</f>
        <v>FF022120550891086917</v>
      </c>
      <c r="X285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26821327</v>
      </c>
      <c r="Y285" s="3" t="str">
        <f>IFERROR(VLOOKUP(Banco_Nacion[[#This Row],[serie]]&amp;Banco_Nacion[[#This Row],[numero]]&amp;Banco_Nacion[[#This Row],[responsable]],[2]!Provision_CXC[[ID CXP]:[DETRACCION]],47,0),"")</f>
        <v/>
      </c>
      <c r="Z285" s="3"/>
      <c r="AA285" s="24" t="str">
        <f>IF(Banco_Nacion[[#This Row],[fecha]]&gt;0,TEXT(Banco_Nacion[[#This Row],[fecha]],"mmmm"),0)</f>
        <v>Mayo</v>
      </c>
    </row>
    <row r="286" spans="1:27" x14ac:dyDescent="0.3">
      <c r="A286" s="2">
        <f>IF(Banco_Nacion[[#This Row],[tipo_registro]]="R",COUNTIFS($C$1:$C285,"R")+1,"")</f>
        <v>285</v>
      </c>
      <c r="B286" s="19" t="str">
        <f t="shared" si="20"/>
        <v>B-Banco de la Nacion</v>
      </c>
      <c r="C286" s="3" t="s">
        <v>1330</v>
      </c>
      <c r="D286" s="14">
        <v>45780</v>
      </c>
      <c r="E286" s="5">
        <v>20558698048</v>
      </c>
      <c r="F286" s="5" t="s">
        <v>1303</v>
      </c>
      <c r="G286" s="6" t="s">
        <v>425</v>
      </c>
      <c r="H286" s="6" t="s">
        <v>68</v>
      </c>
      <c r="I286" s="6" t="s">
        <v>3302</v>
      </c>
      <c r="J286" s="6">
        <v>23</v>
      </c>
      <c r="K286" s="7" t="s">
        <v>5233</v>
      </c>
      <c r="L286" s="8">
        <v>78788888</v>
      </c>
      <c r="M286" s="8" t="str">
        <f t="shared" si="21"/>
        <v>PEN</v>
      </c>
      <c r="N286" s="13"/>
      <c r="O286" s="13">
        <v>465</v>
      </c>
      <c r="P286" s="3">
        <f t="shared" si="22"/>
        <v>465</v>
      </c>
      <c r="Q286" s="3">
        <f t="shared" si="23"/>
        <v>0</v>
      </c>
      <c r="R286" s="3">
        <f t="shared" si="24"/>
        <v>28651.220000000008</v>
      </c>
      <c r="S286" s="24"/>
      <c r="T286" s="24" t="s">
        <v>1334</v>
      </c>
      <c r="U286" s="3"/>
      <c r="V286" s="19" t="str">
        <f>IFERROR(VLOOKUP(Banco_Nacion[[#This Row],[responsable]],Clientes_Proveedores[[Ruc / Dni]:[Razon Social]],2,0),"")</f>
        <v xml:space="preserve">J&amp;R FAST CARGO E.I.R.L. </v>
      </c>
      <c r="W286" s="19" t="str">
        <f>IF(Banco_Nacion[[#This Row],[tipo_mov]]="INGRESO",Banco_Nacion[[#This Row],[serie]]&amp;Banco_Nacion[[#This Row],[numero]]&amp;Banco_Nacion[[#This Row],[responsable]]&amp;Banco_Nacion[[#This Row],[monto]],"")</f>
        <v>FF022320558698048465</v>
      </c>
      <c r="X286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78788888</v>
      </c>
      <c r="Y286" s="3" t="str">
        <f>IFERROR(VLOOKUP(Banco_Nacion[[#This Row],[serie]]&amp;Banco_Nacion[[#This Row],[numero]]&amp;Banco_Nacion[[#This Row],[responsable]],[2]!Provision_CXC[[ID CXP]:[DETRACCION]],47,0),"")</f>
        <v/>
      </c>
      <c r="Z286" s="3"/>
      <c r="AA286" s="24" t="str">
        <f>IF(Banco_Nacion[[#This Row],[fecha]]&gt;0,TEXT(Banco_Nacion[[#This Row],[fecha]],"mmmm"),0)</f>
        <v>Mayo</v>
      </c>
    </row>
    <row r="287" spans="1:27" x14ac:dyDescent="0.3">
      <c r="A287" s="2">
        <f>IF(Banco_Nacion[[#This Row],[tipo_registro]]="R",COUNTIFS($C$1:$C286,"R")+1,"")</f>
        <v>286</v>
      </c>
      <c r="B287" s="19" t="str">
        <f t="shared" si="20"/>
        <v>B-Banco de la Nacion</v>
      </c>
      <c r="C287" s="3" t="s">
        <v>1330</v>
      </c>
      <c r="D287" s="14">
        <v>45782</v>
      </c>
      <c r="E287" s="5">
        <v>20370146994</v>
      </c>
      <c r="F287" s="5" t="s">
        <v>1303</v>
      </c>
      <c r="G287" s="6" t="s">
        <v>425</v>
      </c>
      <c r="H287" s="6" t="s">
        <v>68</v>
      </c>
      <c r="I287" s="6" t="s">
        <v>3302</v>
      </c>
      <c r="J287" s="6">
        <v>26</v>
      </c>
      <c r="K287" s="7" t="s">
        <v>5232</v>
      </c>
      <c r="L287" s="8">
        <v>75884446</v>
      </c>
      <c r="M287" s="8" t="str">
        <f t="shared" si="21"/>
        <v>PEN</v>
      </c>
      <c r="N287" s="13"/>
      <c r="O287" s="13">
        <v>128</v>
      </c>
      <c r="P287" s="3">
        <f t="shared" si="22"/>
        <v>128</v>
      </c>
      <c r="Q287" s="3">
        <f t="shared" si="23"/>
        <v>0</v>
      </c>
      <c r="R287" s="3">
        <f t="shared" si="24"/>
        <v>28779.220000000008</v>
      </c>
      <c r="S287" s="24"/>
      <c r="T287" s="24" t="s">
        <v>1334</v>
      </c>
      <c r="U287" s="3"/>
      <c r="V287" s="19" t="str">
        <f>IFERROR(VLOOKUP(Banco_Nacion[[#This Row],[responsable]],Clientes_Proveedores[[Ruc / Dni]:[Razon Social]],2,0),"")</f>
        <v>CORPORACION ACEROS AREQUIPA S.A</v>
      </c>
      <c r="W287" s="19" t="str">
        <f>IF(Banco_Nacion[[#This Row],[tipo_mov]]="INGRESO",Banco_Nacion[[#This Row],[serie]]&amp;Banco_Nacion[[#This Row],[numero]]&amp;Banco_Nacion[[#This Row],[responsable]]&amp;Banco_Nacion[[#This Row],[monto]],"")</f>
        <v>FF022620370146994128</v>
      </c>
      <c r="X287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75884446</v>
      </c>
      <c r="Y287" s="3" t="str">
        <f>IFERROR(VLOOKUP(Banco_Nacion[[#This Row],[serie]]&amp;Banco_Nacion[[#This Row],[numero]]&amp;Banco_Nacion[[#This Row],[responsable]],[2]!Provision_CXC[[ID CXP]:[DETRACCION]],47,0),"")</f>
        <v/>
      </c>
      <c r="Z287" s="3"/>
      <c r="AA287" s="24" t="str">
        <f>IF(Banco_Nacion[[#This Row],[fecha]]&gt;0,TEXT(Banco_Nacion[[#This Row],[fecha]],"mmmm"),0)</f>
        <v>Mayo</v>
      </c>
    </row>
    <row r="288" spans="1:27" x14ac:dyDescent="0.3">
      <c r="A288" s="2">
        <f>IF(Banco_Nacion[[#This Row],[tipo_registro]]="R",COUNTIFS($C$1:$C287,"R")+1,"")</f>
        <v>287</v>
      </c>
      <c r="B288" s="19" t="str">
        <f t="shared" si="20"/>
        <v>B-Banco de la Nacion</v>
      </c>
      <c r="C288" s="3" t="s">
        <v>1330</v>
      </c>
      <c r="D288" s="14">
        <v>45782</v>
      </c>
      <c r="E288" s="5">
        <v>20454186002</v>
      </c>
      <c r="F288" s="5" t="s">
        <v>1303</v>
      </c>
      <c r="G288" s="6" t="s">
        <v>425</v>
      </c>
      <c r="H288" s="6" t="s">
        <v>68</v>
      </c>
      <c r="I288" s="6" t="s">
        <v>1784</v>
      </c>
      <c r="J288" s="6">
        <v>55</v>
      </c>
      <c r="K288" s="7" t="s">
        <v>5232</v>
      </c>
      <c r="L288" s="8">
        <v>75862423</v>
      </c>
      <c r="M288" s="8" t="str">
        <f t="shared" si="21"/>
        <v>PEN</v>
      </c>
      <c r="N288" s="13"/>
      <c r="O288" s="13">
        <v>372</v>
      </c>
      <c r="P288" s="3">
        <f t="shared" si="22"/>
        <v>372</v>
      </c>
      <c r="Q288" s="3">
        <f t="shared" si="23"/>
        <v>0</v>
      </c>
      <c r="R288" s="3">
        <f t="shared" si="24"/>
        <v>29151.220000000008</v>
      </c>
      <c r="S288" s="24"/>
      <c r="T288" s="24" t="s">
        <v>1334</v>
      </c>
      <c r="U288" s="3"/>
      <c r="V288" s="19" t="str">
        <f>IFERROR(VLOOKUP(Banco_Nacion[[#This Row],[responsable]],Clientes_Proveedores[[Ruc / Dni]:[Razon Social]],2,0),"")</f>
        <v>ALSUR PERU S.A.C.</v>
      </c>
      <c r="W288" s="19" t="str">
        <f>IF(Banco_Nacion[[#This Row],[tipo_mov]]="INGRESO",Banco_Nacion[[#This Row],[serie]]&amp;Banco_Nacion[[#This Row],[numero]]&amp;Banco_Nacion[[#This Row],[responsable]]&amp;Banco_Nacion[[#This Row],[monto]],"")</f>
        <v>FF015520454186002372</v>
      </c>
      <c r="X288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75862423</v>
      </c>
      <c r="Y288" s="3" t="str">
        <f>IFERROR(VLOOKUP(Banco_Nacion[[#This Row],[serie]]&amp;Banco_Nacion[[#This Row],[numero]]&amp;Banco_Nacion[[#This Row],[responsable]],[2]!Provision_CXC[[ID CXP]:[DETRACCION]],47,0),"")</f>
        <v/>
      </c>
      <c r="Z288" s="3"/>
      <c r="AA288" s="24" t="str">
        <f>IF(Banco_Nacion[[#This Row],[fecha]]&gt;0,TEXT(Banco_Nacion[[#This Row],[fecha]],"mmmm"),0)</f>
        <v>Mayo</v>
      </c>
    </row>
    <row r="289" spans="1:27" x14ac:dyDescent="0.3">
      <c r="A289" s="2">
        <f>IF(Banco_Nacion[[#This Row],[tipo_registro]]="R",COUNTIFS($C$1:$C288,"R")+1,"")</f>
        <v>288</v>
      </c>
      <c r="B289" s="19" t="str">
        <f t="shared" si="20"/>
        <v>B-Banco de la Nacion</v>
      </c>
      <c r="C289" s="3" t="s">
        <v>1330</v>
      </c>
      <c r="D289" s="14">
        <v>45784</v>
      </c>
      <c r="E289" s="5">
        <v>20370146994</v>
      </c>
      <c r="F289" s="5" t="s">
        <v>1303</v>
      </c>
      <c r="G289" s="6" t="s">
        <v>425</v>
      </c>
      <c r="H289" s="6" t="s">
        <v>68</v>
      </c>
      <c r="I289" s="6" t="s">
        <v>3302</v>
      </c>
      <c r="J289" s="6">
        <v>29</v>
      </c>
      <c r="K289" s="7" t="s">
        <v>5232</v>
      </c>
      <c r="L289" s="8">
        <v>76136957</v>
      </c>
      <c r="M289" s="8" t="str">
        <f t="shared" si="21"/>
        <v>PEN</v>
      </c>
      <c r="N289" s="13"/>
      <c r="O289" s="13">
        <v>133</v>
      </c>
      <c r="P289" s="3">
        <f t="shared" si="22"/>
        <v>133</v>
      </c>
      <c r="Q289" s="3">
        <f t="shared" si="23"/>
        <v>0</v>
      </c>
      <c r="R289" s="3">
        <f t="shared" si="24"/>
        <v>29284.220000000008</v>
      </c>
      <c r="S289" s="24"/>
      <c r="T289" s="24" t="s">
        <v>1334</v>
      </c>
      <c r="U289" s="3"/>
      <c r="V289" s="19" t="str">
        <f>IFERROR(VLOOKUP(Banco_Nacion[[#This Row],[responsable]],Clientes_Proveedores[[Ruc / Dni]:[Razon Social]],2,0),"")</f>
        <v>CORPORACION ACEROS AREQUIPA S.A</v>
      </c>
      <c r="W289" s="19" t="str">
        <f>IF(Banco_Nacion[[#This Row],[tipo_mov]]="INGRESO",Banco_Nacion[[#This Row],[serie]]&amp;Banco_Nacion[[#This Row],[numero]]&amp;Banco_Nacion[[#This Row],[responsable]]&amp;Banco_Nacion[[#This Row],[monto]],"")</f>
        <v>FF022920370146994133</v>
      </c>
      <c r="X289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76136957</v>
      </c>
      <c r="Y289" s="3" t="str">
        <f>IFERROR(VLOOKUP(Banco_Nacion[[#This Row],[serie]]&amp;Banco_Nacion[[#This Row],[numero]]&amp;Banco_Nacion[[#This Row],[responsable]],[2]!Provision_CXC[[ID CXP]:[DETRACCION]],47,0),"")</f>
        <v/>
      </c>
      <c r="Z289" s="3"/>
      <c r="AA289" s="24" t="str">
        <f>IF(Banco_Nacion[[#This Row],[fecha]]&gt;0,TEXT(Banco_Nacion[[#This Row],[fecha]],"mmmm"),0)</f>
        <v>Mayo</v>
      </c>
    </row>
    <row r="290" spans="1:27" x14ac:dyDescent="0.3">
      <c r="A290" s="2">
        <f>IF(Banco_Nacion[[#This Row],[tipo_registro]]="R",COUNTIFS($C$1:$C289,"R")+1,"")</f>
        <v>289</v>
      </c>
      <c r="B290" s="19" t="str">
        <f t="shared" si="20"/>
        <v>B-Banco de la Nacion</v>
      </c>
      <c r="C290" s="3" t="s">
        <v>1330</v>
      </c>
      <c r="D290" s="14">
        <v>45784</v>
      </c>
      <c r="E290" s="5">
        <v>20508597208</v>
      </c>
      <c r="F290" s="5" t="s">
        <v>1303</v>
      </c>
      <c r="G290" s="6" t="s">
        <v>425</v>
      </c>
      <c r="H290" s="6" t="s">
        <v>68</v>
      </c>
      <c r="I290" s="6" t="s">
        <v>1353</v>
      </c>
      <c r="J290" s="6">
        <v>155</v>
      </c>
      <c r="K290" s="7" t="s">
        <v>5232</v>
      </c>
      <c r="L290" s="8">
        <v>76053059</v>
      </c>
      <c r="M290" s="8" t="str">
        <f t="shared" si="21"/>
        <v>PEN</v>
      </c>
      <c r="N290" s="13"/>
      <c r="O290" s="13">
        <v>234</v>
      </c>
      <c r="P290" s="3">
        <f t="shared" si="22"/>
        <v>234</v>
      </c>
      <c r="Q290" s="3">
        <f t="shared" si="23"/>
        <v>0</v>
      </c>
      <c r="R290" s="3">
        <f t="shared" si="24"/>
        <v>29518.220000000008</v>
      </c>
      <c r="S290" s="24"/>
      <c r="T290" s="24"/>
      <c r="U290" s="3"/>
      <c r="V290" s="19" t="str">
        <f>IFERROR(VLOOKUP(Banco_Nacion[[#This Row],[responsable]],Clientes_Proveedores[[Ruc / Dni]:[Razon Social]],2,0),"")</f>
        <v>CORPORACION DINA E HIJOS S.R.L.</v>
      </c>
      <c r="W290" s="19" t="str">
        <f>IF(Banco_Nacion[[#This Row],[tipo_mov]]="INGRESO",Banco_Nacion[[#This Row],[serie]]&amp;Banco_Nacion[[#This Row],[numero]]&amp;Banco_Nacion[[#This Row],[responsable]]&amp;Banco_Nacion[[#This Row],[monto]],"")</f>
        <v>FE0215520508597208234</v>
      </c>
      <c r="X290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76053059</v>
      </c>
      <c r="Y290" s="3" t="str">
        <f>IFERROR(VLOOKUP(Banco_Nacion[[#This Row],[serie]]&amp;Banco_Nacion[[#This Row],[numero]]&amp;Banco_Nacion[[#This Row],[responsable]],[2]!Provision_CXC[[ID CXP]:[DETRACCION]],47,0),"")</f>
        <v/>
      </c>
      <c r="Z290" s="3"/>
      <c r="AA290" s="24" t="str">
        <f>IF(Banco_Nacion[[#This Row],[fecha]]&gt;0,TEXT(Banco_Nacion[[#This Row],[fecha]],"mmmm"),0)</f>
        <v>Mayo</v>
      </c>
    </row>
    <row r="291" spans="1:27" x14ac:dyDescent="0.3">
      <c r="A291" s="2">
        <f>IF(Banco_Nacion[[#This Row],[tipo_registro]]="R",COUNTIFS($C$1:$C290,"R")+1,"")</f>
        <v>290</v>
      </c>
      <c r="B291" s="19" t="str">
        <f t="shared" si="20"/>
        <v>B-Banco de la Nacion</v>
      </c>
      <c r="C291" s="3" t="s">
        <v>1330</v>
      </c>
      <c r="D291" s="14">
        <v>45784</v>
      </c>
      <c r="E291" s="5">
        <v>20100172543</v>
      </c>
      <c r="F291" s="5" t="s">
        <v>1303</v>
      </c>
      <c r="G291" s="6" t="s">
        <v>425</v>
      </c>
      <c r="H291" s="6" t="s">
        <v>68</v>
      </c>
      <c r="I291" s="6" t="s">
        <v>3302</v>
      </c>
      <c r="J291" s="6">
        <v>27</v>
      </c>
      <c r="K291" s="7" t="s">
        <v>5232</v>
      </c>
      <c r="L291" s="8">
        <v>76053058</v>
      </c>
      <c r="M291" s="8" t="str">
        <f t="shared" si="21"/>
        <v>PEN</v>
      </c>
      <c r="N291" s="13"/>
      <c r="O291" s="13">
        <v>69</v>
      </c>
      <c r="P291" s="3">
        <f t="shared" si="22"/>
        <v>69</v>
      </c>
      <c r="Q291" s="3">
        <f t="shared" si="23"/>
        <v>0</v>
      </c>
      <c r="R291" s="3">
        <f t="shared" si="24"/>
        <v>29587.220000000008</v>
      </c>
      <c r="S291" s="24"/>
      <c r="T291" s="24"/>
      <c r="U291" s="3"/>
      <c r="V291" s="19" t="str">
        <f>IFERROR(VLOOKUP(Banco_Nacion[[#This Row],[responsable]],Clientes_Proveedores[[Ruc / Dni]:[Razon Social]],2,0),"")</f>
        <v>MOVITECNICA S A</v>
      </c>
      <c r="W291" s="19" t="str">
        <f>IF(Banco_Nacion[[#This Row],[tipo_mov]]="INGRESO",Banco_Nacion[[#This Row],[serie]]&amp;Banco_Nacion[[#This Row],[numero]]&amp;Banco_Nacion[[#This Row],[responsable]]&amp;Banco_Nacion[[#This Row],[monto]],"")</f>
        <v>FF02272010017254369</v>
      </c>
      <c r="X291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76053058</v>
      </c>
      <c r="Y291" s="3" t="str">
        <f>IFERROR(VLOOKUP(Banco_Nacion[[#This Row],[serie]]&amp;Banco_Nacion[[#This Row],[numero]]&amp;Banco_Nacion[[#This Row],[responsable]],[2]!Provision_CXC[[ID CXP]:[DETRACCION]],47,0),"")</f>
        <v/>
      </c>
      <c r="Z291" s="3"/>
      <c r="AA291" s="24" t="str">
        <f>IF(Banco_Nacion[[#This Row],[fecha]]&gt;0,TEXT(Banco_Nacion[[#This Row],[fecha]],"mmmm"),0)</f>
        <v>Mayo</v>
      </c>
    </row>
    <row r="292" spans="1:27" x14ac:dyDescent="0.3">
      <c r="A292" s="2">
        <f>IF(Banco_Nacion[[#This Row],[tipo_registro]]="R",COUNTIFS($C$1:$C291,"R")+1,"")</f>
        <v>291</v>
      </c>
      <c r="B292" s="19" t="str">
        <f t="shared" si="20"/>
        <v>B-Banco de la Nacion</v>
      </c>
      <c r="C292" s="3" t="s">
        <v>1330</v>
      </c>
      <c r="D292" s="14">
        <v>45784</v>
      </c>
      <c r="E292" s="5">
        <v>20613110586</v>
      </c>
      <c r="F292" s="5" t="s">
        <v>1303</v>
      </c>
      <c r="G292" s="6" t="s">
        <v>425</v>
      </c>
      <c r="H292" s="6" t="s">
        <v>68</v>
      </c>
      <c r="I292" s="6" t="s">
        <v>3302</v>
      </c>
      <c r="J292" s="6">
        <v>15</v>
      </c>
      <c r="K292" s="7" t="s">
        <v>5232</v>
      </c>
      <c r="L292" s="8">
        <v>76053057</v>
      </c>
      <c r="M292" s="8" t="str">
        <f t="shared" si="21"/>
        <v>PEN</v>
      </c>
      <c r="N292" s="13"/>
      <c r="O292" s="13">
        <v>93</v>
      </c>
      <c r="P292" s="3">
        <f t="shared" si="22"/>
        <v>93</v>
      </c>
      <c r="Q292" s="3">
        <f t="shared" si="23"/>
        <v>0</v>
      </c>
      <c r="R292" s="3">
        <f t="shared" si="24"/>
        <v>29680.220000000008</v>
      </c>
      <c r="S292" s="24"/>
      <c r="T292" s="24"/>
      <c r="U292" s="3"/>
      <c r="V292" s="19" t="str">
        <f>IFERROR(VLOOKUP(Banco_Nacion[[#This Row],[responsable]],Clientes_Proveedores[[Ruc / Dni]:[Razon Social]],2,0),"")</f>
        <v>ACTIVA SERVICIOS GASTRONOMICOS S.R.L.</v>
      </c>
      <c r="W292" s="19" t="str">
        <f>IF(Banco_Nacion[[#This Row],[tipo_mov]]="INGRESO",Banco_Nacion[[#This Row],[serie]]&amp;Banco_Nacion[[#This Row],[numero]]&amp;Banco_Nacion[[#This Row],[responsable]]&amp;Banco_Nacion[[#This Row],[monto]],"")</f>
        <v>FF02152061311058693</v>
      </c>
      <c r="X292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76053057</v>
      </c>
      <c r="Y292" s="3" t="str">
        <f>IFERROR(VLOOKUP(Banco_Nacion[[#This Row],[serie]]&amp;Banco_Nacion[[#This Row],[numero]]&amp;Banco_Nacion[[#This Row],[responsable]],[2]!Provision_CXC[[ID CXP]:[DETRACCION]],47,0),"")</f>
        <v/>
      </c>
      <c r="Z292" s="3"/>
      <c r="AA292" s="24" t="str">
        <f>IF(Banco_Nacion[[#This Row],[fecha]]&gt;0,TEXT(Banco_Nacion[[#This Row],[fecha]],"mmmm"),0)</f>
        <v>Mayo</v>
      </c>
    </row>
    <row r="293" spans="1:27" x14ac:dyDescent="0.3">
      <c r="A293" s="2">
        <f>IF(Banco_Nacion[[#This Row],[tipo_registro]]="R",COUNTIFS($C$1:$C292,"R")+1,"")</f>
        <v>292</v>
      </c>
      <c r="B293" s="19" t="str">
        <f t="shared" si="20"/>
        <v>B-Banco de la Nacion</v>
      </c>
      <c r="C293" s="3" t="s">
        <v>1330</v>
      </c>
      <c r="D293" s="14">
        <v>45784</v>
      </c>
      <c r="E293" s="5">
        <v>20406313213</v>
      </c>
      <c r="F293" s="5" t="s">
        <v>1303</v>
      </c>
      <c r="G293" s="6" t="s">
        <v>425</v>
      </c>
      <c r="H293" s="6" t="s">
        <v>68</v>
      </c>
      <c r="I293" s="6" t="s">
        <v>1376</v>
      </c>
      <c r="J293" s="6">
        <v>46</v>
      </c>
      <c r="K293" s="7" t="s">
        <v>5232</v>
      </c>
      <c r="L293" s="8">
        <v>76053056</v>
      </c>
      <c r="M293" s="8" t="str">
        <f t="shared" si="21"/>
        <v>PEN</v>
      </c>
      <c r="N293" s="13"/>
      <c r="O293" s="13">
        <v>286</v>
      </c>
      <c r="P293" s="3">
        <f t="shared" si="22"/>
        <v>286</v>
      </c>
      <c r="Q293" s="3">
        <f t="shared" si="23"/>
        <v>0</v>
      </c>
      <c r="R293" s="3">
        <f t="shared" si="24"/>
        <v>29966.220000000008</v>
      </c>
      <c r="S293" s="24"/>
      <c r="T293" s="24"/>
      <c r="U293" s="3"/>
      <c r="V293" s="19" t="str">
        <f>IFERROR(VLOOKUP(Banco_Nacion[[#This Row],[responsable]],Clientes_Proveedores[[Ruc / Dni]:[Razon Social]],2,0),"")</f>
        <v>COOPERATIVA MINERA SAN ANTONIO DE ANANEA LTDA</v>
      </c>
      <c r="W293" s="19" t="str">
        <f>IF(Banco_Nacion[[#This Row],[tipo_mov]]="INGRESO",Banco_Nacion[[#This Row],[serie]]&amp;Banco_Nacion[[#This Row],[numero]]&amp;Banco_Nacion[[#This Row],[responsable]]&amp;Banco_Nacion[[#This Row],[monto]],"")</f>
        <v>E0014620406313213286</v>
      </c>
      <c r="X293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76053056</v>
      </c>
      <c r="Y293" s="3" t="str">
        <f>IFERROR(VLOOKUP(Banco_Nacion[[#This Row],[serie]]&amp;Banco_Nacion[[#This Row],[numero]]&amp;Banco_Nacion[[#This Row],[responsable]],[2]!Provision_CXC[[ID CXP]:[DETRACCION]],47,0),"")</f>
        <v/>
      </c>
      <c r="Z293" s="3"/>
      <c r="AA293" s="24" t="str">
        <f>IF(Banco_Nacion[[#This Row],[fecha]]&gt;0,TEXT(Banco_Nacion[[#This Row],[fecha]],"mmmm"),0)</f>
        <v>Mayo</v>
      </c>
    </row>
    <row r="294" spans="1:27" x14ac:dyDescent="0.3">
      <c r="A294" s="2">
        <f>IF(Banco_Nacion[[#This Row],[tipo_registro]]="R",COUNTIFS($C$1:$C293,"R")+1,"")</f>
        <v>293</v>
      </c>
      <c r="B294" s="19" t="str">
        <f t="shared" si="20"/>
        <v>B-Banco de la Nacion</v>
      </c>
      <c r="C294" s="3" t="s">
        <v>1330</v>
      </c>
      <c r="D294" s="14">
        <v>45784</v>
      </c>
      <c r="E294" s="5">
        <v>20558353814</v>
      </c>
      <c r="F294" s="5" t="s">
        <v>1303</v>
      </c>
      <c r="G294" s="6" t="s">
        <v>425</v>
      </c>
      <c r="H294" s="6" t="s">
        <v>68</v>
      </c>
      <c r="I294" s="6" t="s">
        <v>1376</v>
      </c>
      <c r="J294" s="6">
        <v>32</v>
      </c>
      <c r="K294" s="7" t="s">
        <v>5232</v>
      </c>
      <c r="L294" s="8">
        <v>76053055</v>
      </c>
      <c r="M294" s="8" t="str">
        <f t="shared" si="21"/>
        <v>PEN</v>
      </c>
      <c r="N294" s="13"/>
      <c r="O294" s="13">
        <v>313</v>
      </c>
      <c r="P294" s="3">
        <f t="shared" si="22"/>
        <v>313</v>
      </c>
      <c r="Q294" s="3">
        <f t="shared" si="23"/>
        <v>0</v>
      </c>
      <c r="R294" s="3">
        <f t="shared" si="24"/>
        <v>30279.220000000008</v>
      </c>
      <c r="S294" s="24"/>
      <c r="T294" s="24"/>
      <c r="U294" s="3"/>
      <c r="V294" s="19" t="str">
        <f>IFERROR(VLOOKUP(Banco_Nacion[[#This Row],[responsable]],Clientes_Proveedores[[Ruc / Dni]:[Razon Social]],2,0),"")</f>
        <v>TACONSER E.I.R.L.</v>
      </c>
      <c r="W294" s="19" t="str">
        <f>IF(Banco_Nacion[[#This Row],[tipo_mov]]="INGRESO",Banco_Nacion[[#This Row],[serie]]&amp;Banco_Nacion[[#This Row],[numero]]&amp;Banco_Nacion[[#This Row],[responsable]]&amp;Banco_Nacion[[#This Row],[monto]],"")</f>
        <v>E0013220558353814313</v>
      </c>
      <c r="X294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76053055</v>
      </c>
      <c r="Y294" s="3" t="str">
        <f>IFERROR(VLOOKUP(Banco_Nacion[[#This Row],[serie]]&amp;Banco_Nacion[[#This Row],[numero]]&amp;Banco_Nacion[[#This Row],[responsable]],[2]!Provision_CXC[[ID CXP]:[DETRACCION]],47,0),"")</f>
        <v/>
      </c>
      <c r="Z294" s="3"/>
      <c r="AA294" s="24" t="str">
        <f>IF(Banco_Nacion[[#This Row],[fecha]]&gt;0,TEXT(Banco_Nacion[[#This Row],[fecha]],"mmmm"),0)</f>
        <v>Mayo</v>
      </c>
    </row>
    <row r="295" spans="1:27" x14ac:dyDescent="0.3">
      <c r="A295" s="2">
        <f>IF(Banco_Nacion[[#This Row],[tipo_registro]]="R",COUNTIFS($C$1:$C294,"R")+1,"")</f>
        <v>294</v>
      </c>
      <c r="B295" s="19" t="str">
        <f t="shared" si="20"/>
        <v>B-Banco de la Nacion</v>
      </c>
      <c r="C295" s="3" t="s">
        <v>1330</v>
      </c>
      <c r="D295" s="14">
        <v>45784</v>
      </c>
      <c r="E295" s="5">
        <v>10292831973</v>
      </c>
      <c r="F295" s="5" t="s">
        <v>1303</v>
      </c>
      <c r="G295" s="6" t="s">
        <v>425</v>
      </c>
      <c r="H295" s="6" t="s">
        <v>68</v>
      </c>
      <c r="I295" s="6" t="s">
        <v>1353</v>
      </c>
      <c r="J295" s="6">
        <v>204</v>
      </c>
      <c r="K295" s="7" t="s">
        <v>5232</v>
      </c>
      <c r="L295" s="8">
        <v>76053054</v>
      </c>
      <c r="M295" s="8" t="str">
        <f t="shared" si="21"/>
        <v>PEN</v>
      </c>
      <c r="N295" s="13"/>
      <c r="O295" s="13">
        <v>522</v>
      </c>
      <c r="P295" s="3">
        <f t="shared" si="22"/>
        <v>522</v>
      </c>
      <c r="Q295" s="3">
        <f t="shared" si="23"/>
        <v>0</v>
      </c>
      <c r="R295" s="3">
        <f t="shared" si="24"/>
        <v>30801.220000000008</v>
      </c>
      <c r="S295" s="24"/>
      <c r="T295" s="24"/>
      <c r="U295" s="3"/>
      <c r="V295" s="19" t="str">
        <f>IFERROR(VLOOKUP(Banco_Nacion[[#This Row],[responsable]],Clientes_Proveedores[[Ruc / Dni]:[Razon Social]],2,0),"")</f>
        <v>VARGAS LUQUE ORESTES</v>
      </c>
      <c r="W295" s="19" t="str">
        <f>IF(Banco_Nacion[[#This Row],[tipo_mov]]="INGRESO",Banco_Nacion[[#This Row],[serie]]&amp;Banco_Nacion[[#This Row],[numero]]&amp;Banco_Nacion[[#This Row],[responsable]]&amp;Banco_Nacion[[#This Row],[monto]],"")</f>
        <v>FE0220410292831973522</v>
      </c>
      <c r="X295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76053054</v>
      </c>
      <c r="Y295" s="3" t="str">
        <f>IFERROR(VLOOKUP(Banco_Nacion[[#This Row],[serie]]&amp;Banco_Nacion[[#This Row],[numero]]&amp;Banco_Nacion[[#This Row],[responsable]],[2]!Provision_CXC[[ID CXP]:[DETRACCION]],47,0),"")</f>
        <v/>
      </c>
      <c r="Z295" s="3"/>
      <c r="AA295" s="24" t="str">
        <f>IF(Banco_Nacion[[#This Row],[fecha]]&gt;0,TEXT(Banco_Nacion[[#This Row],[fecha]],"mmmm"),0)</f>
        <v>Mayo</v>
      </c>
    </row>
    <row r="296" spans="1:27" x14ac:dyDescent="0.3">
      <c r="A296" s="2">
        <f>IF(Banco_Nacion[[#This Row],[tipo_registro]]="R",COUNTIFS($C$1:$C295,"R")+1,"")</f>
        <v>295</v>
      </c>
      <c r="B296" s="19" t="str">
        <f t="shared" si="20"/>
        <v>B-Banco de la Nacion</v>
      </c>
      <c r="C296" s="3" t="s">
        <v>1330</v>
      </c>
      <c r="D296" s="14">
        <v>45784</v>
      </c>
      <c r="E296" s="5">
        <v>20508597208</v>
      </c>
      <c r="F296" s="5" t="s">
        <v>1303</v>
      </c>
      <c r="G296" s="6" t="s">
        <v>425</v>
      </c>
      <c r="H296" s="6" t="s">
        <v>68</v>
      </c>
      <c r="I296" s="6" t="s">
        <v>1353</v>
      </c>
      <c r="J296" s="6">
        <v>182</v>
      </c>
      <c r="K296" s="7" t="s">
        <v>5232</v>
      </c>
      <c r="L296" s="8">
        <v>76053053</v>
      </c>
      <c r="M296" s="8" t="str">
        <f t="shared" si="21"/>
        <v>PEN</v>
      </c>
      <c r="N296" s="13"/>
      <c r="O296" s="13">
        <v>268</v>
      </c>
      <c r="P296" s="3">
        <f t="shared" si="22"/>
        <v>268</v>
      </c>
      <c r="Q296" s="3">
        <f t="shared" si="23"/>
        <v>0</v>
      </c>
      <c r="R296" s="3">
        <f t="shared" si="24"/>
        <v>31069.220000000008</v>
      </c>
      <c r="S296" s="24"/>
      <c r="T296" s="24"/>
      <c r="U296" s="3"/>
      <c r="V296" s="19" t="str">
        <f>IFERROR(VLOOKUP(Banco_Nacion[[#This Row],[responsable]],Clientes_Proveedores[[Ruc / Dni]:[Razon Social]],2,0),"")</f>
        <v>CORPORACION DINA E HIJOS S.R.L.</v>
      </c>
      <c r="W296" s="19" t="str">
        <f>IF(Banco_Nacion[[#This Row],[tipo_mov]]="INGRESO",Banco_Nacion[[#This Row],[serie]]&amp;Banco_Nacion[[#This Row],[numero]]&amp;Banco_Nacion[[#This Row],[responsable]]&amp;Banco_Nacion[[#This Row],[monto]],"")</f>
        <v>FE0218220508597208268</v>
      </c>
      <c r="X296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76053053</v>
      </c>
      <c r="Y296" s="3" t="str">
        <f>IFERROR(VLOOKUP(Banco_Nacion[[#This Row],[serie]]&amp;Banco_Nacion[[#This Row],[numero]]&amp;Banco_Nacion[[#This Row],[responsable]],[2]!Provision_CXC[[ID CXP]:[DETRACCION]],47,0),"")</f>
        <v/>
      </c>
      <c r="Z296" s="3"/>
      <c r="AA296" s="24" t="str">
        <f>IF(Banco_Nacion[[#This Row],[fecha]]&gt;0,TEXT(Banco_Nacion[[#This Row],[fecha]],"mmmm"),0)</f>
        <v>Mayo</v>
      </c>
    </row>
    <row r="297" spans="1:27" x14ac:dyDescent="0.3">
      <c r="A297" s="2">
        <f>IF(Banco_Nacion[[#This Row],[tipo_registro]]="R",COUNTIFS($C$1:$C296,"R")+1,"")</f>
        <v>296</v>
      </c>
      <c r="B297" s="19" t="str">
        <f t="shared" si="20"/>
        <v>B-Banco de la Nacion</v>
      </c>
      <c r="C297" s="3" t="s">
        <v>1330</v>
      </c>
      <c r="D297" s="14">
        <v>45784</v>
      </c>
      <c r="E297" s="5">
        <v>20607076783</v>
      </c>
      <c r="F297" s="5" t="s">
        <v>1303</v>
      </c>
      <c r="G297" s="6" t="s">
        <v>425</v>
      </c>
      <c r="H297" s="6" t="s">
        <v>68</v>
      </c>
      <c r="I297" s="6" t="s">
        <v>1353</v>
      </c>
      <c r="J297" s="6">
        <v>174</v>
      </c>
      <c r="K297" s="7" t="s">
        <v>5232</v>
      </c>
      <c r="L297" s="8">
        <v>76053052</v>
      </c>
      <c r="M297" s="8" t="str">
        <f t="shared" si="21"/>
        <v>PEN</v>
      </c>
      <c r="N297" s="13"/>
      <c r="O297" s="13">
        <v>11</v>
      </c>
      <c r="P297" s="3">
        <f t="shared" si="22"/>
        <v>11</v>
      </c>
      <c r="Q297" s="3">
        <f t="shared" si="23"/>
        <v>0</v>
      </c>
      <c r="R297" s="3">
        <f t="shared" si="24"/>
        <v>31080.220000000008</v>
      </c>
      <c r="S297" s="24"/>
      <c r="T297" s="24" t="s">
        <v>1334</v>
      </c>
      <c r="U297" s="3"/>
      <c r="V297" s="19" t="str">
        <f>IFERROR(VLOOKUP(Banco_Nacion[[#This Row],[responsable]],Clientes_Proveedores[[Ruc / Dni]:[Razon Social]],2,0),"")</f>
        <v>BLAXTEEL SAC</v>
      </c>
      <c r="W297" s="19" t="str">
        <f>IF(Banco_Nacion[[#This Row],[tipo_mov]]="INGRESO",Banco_Nacion[[#This Row],[serie]]&amp;Banco_Nacion[[#This Row],[numero]]&amp;Banco_Nacion[[#This Row],[responsable]]&amp;Banco_Nacion[[#This Row],[monto]],"")</f>
        <v>FE021742060707678311</v>
      </c>
      <c r="X297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76053052</v>
      </c>
      <c r="Y297" s="3" t="str">
        <f>IFERROR(VLOOKUP(Banco_Nacion[[#This Row],[serie]]&amp;Banco_Nacion[[#This Row],[numero]]&amp;Banco_Nacion[[#This Row],[responsable]],[2]!Provision_CXC[[ID CXP]:[DETRACCION]],47,0),"")</f>
        <v/>
      </c>
      <c r="Z297" s="3"/>
      <c r="AA297" s="24" t="str">
        <f>IF(Banco_Nacion[[#This Row],[fecha]]&gt;0,TEXT(Banco_Nacion[[#This Row],[fecha]],"mmmm"),0)</f>
        <v>Mayo</v>
      </c>
    </row>
    <row r="298" spans="1:27" x14ac:dyDescent="0.3">
      <c r="A298" s="2">
        <f>IF(Banco_Nacion[[#This Row],[tipo_registro]]="R",COUNTIFS($C$1:$C297,"R")+1,"")</f>
        <v>297</v>
      </c>
      <c r="B298" s="19" t="str">
        <f t="shared" si="20"/>
        <v>B-Banco de la Nacion</v>
      </c>
      <c r="C298" s="3" t="s">
        <v>1330</v>
      </c>
      <c r="D298" s="14">
        <v>45784</v>
      </c>
      <c r="E298" s="5">
        <v>20601119600</v>
      </c>
      <c r="F298" s="5" t="s">
        <v>1303</v>
      </c>
      <c r="G298" s="6" t="s">
        <v>425</v>
      </c>
      <c r="H298" s="6" t="s">
        <v>68</v>
      </c>
      <c r="I298" s="6" t="s">
        <v>3381</v>
      </c>
      <c r="J298" s="6">
        <v>16</v>
      </c>
      <c r="K298" s="7" t="s">
        <v>5232</v>
      </c>
      <c r="L298" s="8">
        <v>26835489</v>
      </c>
      <c r="M298" s="8" t="str">
        <f t="shared" si="21"/>
        <v>PEN</v>
      </c>
      <c r="N298" s="13"/>
      <c r="O298" s="13">
        <v>224</v>
      </c>
      <c r="P298" s="3">
        <f t="shared" si="22"/>
        <v>224</v>
      </c>
      <c r="Q298" s="3">
        <f t="shared" si="23"/>
        <v>0</v>
      </c>
      <c r="R298" s="3">
        <f t="shared" si="24"/>
        <v>31304.220000000008</v>
      </c>
      <c r="S298" s="24"/>
      <c r="T298" s="24" t="s">
        <v>1334</v>
      </c>
      <c r="U298" s="3"/>
      <c r="V298" s="19" t="str">
        <f>IFERROR(VLOOKUP(Banco_Nacion[[#This Row],[responsable]],Clientes_Proveedores[[Ruc / Dni]:[Razon Social]],2,0),"")</f>
        <v>INVERSIONES W.J.M. S.A.C.</v>
      </c>
      <c r="W298" s="19" t="str">
        <f>IF(Banco_Nacion[[#This Row],[tipo_mov]]="INGRESO",Banco_Nacion[[#This Row],[serie]]&amp;Banco_Nacion[[#This Row],[numero]]&amp;Banco_Nacion[[#This Row],[responsable]]&amp;Banco_Nacion[[#This Row],[monto]],"")</f>
        <v>FF051620601119600224</v>
      </c>
      <c r="X298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26835489</v>
      </c>
      <c r="Y298" s="3" t="str">
        <f>IFERROR(VLOOKUP(Banco_Nacion[[#This Row],[serie]]&amp;Banco_Nacion[[#This Row],[numero]]&amp;Banco_Nacion[[#This Row],[responsable]],[2]!Provision_CXC[[ID CXP]:[DETRACCION]],47,0),"")</f>
        <v/>
      </c>
      <c r="Z298" s="3"/>
      <c r="AA298" s="24" t="str">
        <f>IF(Banco_Nacion[[#This Row],[fecha]]&gt;0,TEXT(Banco_Nacion[[#This Row],[fecha]],"mmmm"),0)</f>
        <v>Mayo</v>
      </c>
    </row>
    <row r="299" spans="1:27" x14ac:dyDescent="0.3">
      <c r="A299" s="2">
        <f>IF(Banco_Nacion[[#This Row],[tipo_registro]]="R",COUNTIFS($C$1:$C298,"R")+1,"")</f>
        <v>298</v>
      </c>
      <c r="B299" s="19" t="str">
        <f t="shared" si="20"/>
        <v>B-Banco de la Nacion</v>
      </c>
      <c r="C299" s="3" t="s">
        <v>1330</v>
      </c>
      <c r="D299" s="14">
        <v>45784</v>
      </c>
      <c r="E299" s="5">
        <v>20601119600</v>
      </c>
      <c r="F299" s="5" t="s">
        <v>1303</v>
      </c>
      <c r="G299" s="6" t="s">
        <v>425</v>
      </c>
      <c r="H299" s="6" t="s">
        <v>68</v>
      </c>
      <c r="I299" s="6" t="s">
        <v>3381</v>
      </c>
      <c r="J299" s="6">
        <v>14</v>
      </c>
      <c r="K299" s="7" t="s">
        <v>5232</v>
      </c>
      <c r="L299" s="8">
        <v>26835477</v>
      </c>
      <c r="M299" s="8" t="str">
        <f t="shared" si="21"/>
        <v>PEN</v>
      </c>
      <c r="N299" s="13"/>
      <c r="O299" s="13">
        <v>101</v>
      </c>
      <c r="P299" s="3">
        <f t="shared" si="22"/>
        <v>101</v>
      </c>
      <c r="Q299" s="3">
        <f t="shared" si="23"/>
        <v>0</v>
      </c>
      <c r="R299" s="3">
        <f t="shared" si="24"/>
        <v>31405.220000000008</v>
      </c>
      <c r="S299" s="24" t="s">
        <v>1334</v>
      </c>
      <c r="T299" s="24" t="s">
        <v>1334</v>
      </c>
      <c r="U299" s="3"/>
      <c r="V299" s="19" t="str">
        <f>IFERROR(VLOOKUP(Banco_Nacion[[#This Row],[responsable]],Clientes_Proveedores[[Ruc / Dni]:[Razon Social]],2,0),"")</f>
        <v>INVERSIONES W.J.M. S.A.C.</v>
      </c>
      <c r="W299" s="19" t="str">
        <f>IF(Banco_Nacion[[#This Row],[tipo_mov]]="INGRESO",Banco_Nacion[[#This Row],[serie]]&amp;Banco_Nacion[[#This Row],[numero]]&amp;Banco_Nacion[[#This Row],[responsable]]&amp;Banco_Nacion[[#This Row],[monto]],"")</f>
        <v>FF051420601119600101</v>
      </c>
      <c r="X299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26835477</v>
      </c>
      <c r="Y299" s="3" t="str">
        <f>IFERROR(VLOOKUP(Banco_Nacion[[#This Row],[serie]]&amp;Banco_Nacion[[#This Row],[numero]]&amp;Banco_Nacion[[#This Row],[responsable]],[2]!Provision_CXC[[ID CXP]:[DETRACCION]],47,0),"")</f>
        <v/>
      </c>
      <c r="Z299" s="3"/>
      <c r="AA299" s="24" t="str">
        <f>IF(Banco_Nacion[[#This Row],[fecha]]&gt;0,TEXT(Banco_Nacion[[#This Row],[fecha]],"mmmm"),0)</f>
        <v>Mayo</v>
      </c>
    </row>
    <row r="300" spans="1:27" x14ac:dyDescent="0.3">
      <c r="A300" s="2">
        <f>IF(Banco_Nacion[[#This Row],[tipo_registro]]="R",COUNTIFS($C$1:$C299,"R")+1,"")</f>
        <v>299</v>
      </c>
      <c r="B300" s="19" t="str">
        <f t="shared" si="20"/>
        <v>B-Banco de la Nacion</v>
      </c>
      <c r="C300" s="3" t="s">
        <v>1330</v>
      </c>
      <c r="D300" s="14">
        <v>45785</v>
      </c>
      <c r="E300" s="5">
        <v>20565347099</v>
      </c>
      <c r="F300" s="5" t="s">
        <v>1303</v>
      </c>
      <c r="G300" s="6" t="s">
        <v>425</v>
      </c>
      <c r="H300" s="6" t="s">
        <v>68</v>
      </c>
      <c r="I300" s="6" t="s">
        <v>1343</v>
      </c>
      <c r="J300" s="6">
        <v>566</v>
      </c>
      <c r="K300" s="7" t="s">
        <v>5232</v>
      </c>
      <c r="L300" s="8">
        <v>76335255</v>
      </c>
      <c r="M300" s="8" t="str">
        <f t="shared" si="21"/>
        <v>PEN</v>
      </c>
      <c r="N300" s="13"/>
      <c r="O300" s="13">
        <v>216</v>
      </c>
      <c r="P300" s="3">
        <f t="shared" si="22"/>
        <v>216</v>
      </c>
      <c r="Q300" s="3">
        <f t="shared" si="23"/>
        <v>0</v>
      </c>
      <c r="R300" s="3">
        <f t="shared" si="24"/>
        <v>31621.220000000008</v>
      </c>
      <c r="S300" s="24" t="s">
        <v>1334</v>
      </c>
      <c r="T300" s="24" t="s">
        <v>1334</v>
      </c>
      <c r="U300" s="3"/>
      <c r="V300" s="19" t="str">
        <f>IFERROR(VLOOKUP(Banco_Nacion[[#This Row],[responsable]],Clientes_Proveedores[[Ruc / Dni]:[Razon Social]],2,0),"")</f>
        <v>HAM CRIOGENICA PERU S.A.C.</v>
      </c>
      <c r="W300" s="19" t="str">
        <f>IF(Banco_Nacion[[#This Row],[tipo_mov]]="INGRESO",Banco_Nacion[[#This Row],[serie]]&amp;Banco_Nacion[[#This Row],[numero]]&amp;Banco_Nacion[[#This Row],[responsable]]&amp;Banco_Nacion[[#This Row],[monto]],"")</f>
        <v>FE0156620565347099216</v>
      </c>
      <c r="X300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76335255</v>
      </c>
      <c r="Y300" s="3" t="str">
        <f>IFERROR(VLOOKUP(Banco_Nacion[[#This Row],[serie]]&amp;Banco_Nacion[[#This Row],[numero]]&amp;Banco_Nacion[[#This Row],[responsable]],[2]!Provision_CXC[[ID CXP]:[DETRACCION]],47,0),"")</f>
        <v/>
      </c>
      <c r="Z300" s="3"/>
      <c r="AA300" s="24" t="str">
        <f>IF(Banco_Nacion[[#This Row],[fecha]]&gt;0,TEXT(Banco_Nacion[[#This Row],[fecha]],"mmmm"),0)</f>
        <v>Mayo</v>
      </c>
    </row>
    <row r="301" spans="1:27" x14ac:dyDescent="0.3">
      <c r="A301" s="2">
        <f>IF(Banco_Nacion[[#This Row],[tipo_registro]]="R",COUNTIFS($C$1:$C300,"R")+1,"")</f>
        <v>300</v>
      </c>
      <c r="B301" s="19" t="str">
        <f t="shared" si="20"/>
        <v>B-Banco de la Nacion</v>
      </c>
      <c r="C301" s="3" t="s">
        <v>1330</v>
      </c>
      <c r="D301" s="14">
        <v>45785</v>
      </c>
      <c r="E301" s="5">
        <v>20606592494</v>
      </c>
      <c r="F301" s="5" t="s">
        <v>1303</v>
      </c>
      <c r="G301" s="6" t="s">
        <v>425</v>
      </c>
      <c r="H301" s="6" t="s">
        <v>68</v>
      </c>
      <c r="I301" s="6" t="s">
        <v>3736</v>
      </c>
      <c r="J301" s="6">
        <v>5</v>
      </c>
      <c r="K301" s="7" t="s">
        <v>5232</v>
      </c>
      <c r="L301" s="8">
        <v>76217825</v>
      </c>
      <c r="M301" s="8" t="str">
        <f t="shared" si="21"/>
        <v>PEN</v>
      </c>
      <c r="N301" s="13"/>
      <c r="O301" s="13">
        <v>531</v>
      </c>
      <c r="P301" s="3">
        <f t="shared" si="22"/>
        <v>531</v>
      </c>
      <c r="Q301" s="3">
        <f t="shared" si="23"/>
        <v>0</v>
      </c>
      <c r="R301" s="3">
        <f t="shared" si="24"/>
        <v>32152.220000000008</v>
      </c>
      <c r="S301" s="24"/>
      <c r="T301" s="24"/>
      <c r="U301" s="3"/>
      <c r="V301" s="19" t="str">
        <f>IFERROR(VLOOKUP(Banco_Nacion[[#This Row],[responsable]],Clientes_Proveedores[[Ruc / Dni]:[Razon Social]],2,0),"")</f>
        <v>RESIGRALE S.R.L.</v>
      </c>
      <c r="W301" s="19" t="str">
        <f>IF(Banco_Nacion[[#This Row],[tipo_mov]]="INGRESO",Banco_Nacion[[#This Row],[serie]]&amp;Banco_Nacion[[#This Row],[numero]]&amp;Banco_Nacion[[#This Row],[responsable]]&amp;Banco_Nacion[[#This Row],[monto]],"")</f>
        <v>FF07520606592494531</v>
      </c>
      <c r="X301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76217825</v>
      </c>
      <c r="Y301" s="3" t="str">
        <f>IFERROR(VLOOKUP(Banco_Nacion[[#This Row],[serie]]&amp;Banco_Nacion[[#This Row],[numero]]&amp;Banco_Nacion[[#This Row],[responsable]],[2]!Provision_CXC[[ID CXP]:[DETRACCION]],47,0),"")</f>
        <v/>
      </c>
      <c r="Z301" s="3"/>
      <c r="AA301" s="24" t="str">
        <f>IF(Banco_Nacion[[#This Row],[fecha]]&gt;0,TEXT(Banco_Nacion[[#This Row],[fecha]],"mmmm"),0)</f>
        <v>Mayo</v>
      </c>
    </row>
    <row r="302" spans="1:27" x14ac:dyDescent="0.3">
      <c r="A302" s="2">
        <f>IF(Banco_Nacion[[#This Row],[tipo_registro]]="R",COUNTIFS($C$1:$C301,"R")+1,"")</f>
        <v>301</v>
      </c>
      <c r="B302" s="19" t="str">
        <f t="shared" si="20"/>
        <v>B-Banco de la Nacion</v>
      </c>
      <c r="C302" s="3" t="s">
        <v>1330</v>
      </c>
      <c r="D302" s="14">
        <v>45785</v>
      </c>
      <c r="E302" s="5">
        <v>20606592494</v>
      </c>
      <c r="F302" s="5" t="s">
        <v>1303</v>
      </c>
      <c r="G302" s="6" t="s">
        <v>425</v>
      </c>
      <c r="H302" s="6" t="s">
        <v>68</v>
      </c>
      <c r="I302" s="6" t="s">
        <v>3736</v>
      </c>
      <c r="J302" s="6">
        <v>4</v>
      </c>
      <c r="K302" s="7" t="s">
        <v>5232</v>
      </c>
      <c r="L302" s="8">
        <v>76217687</v>
      </c>
      <c r="M302" s="8" t="str">
        <f t="shared" si="21"/>
        <v>PEN</v>
      </c>
      <c r="N302" s="13"/>
      <c r="O302" s="13">
        <v>743</v>
      </c>
      <c r="P302" s="3">
        <f t="shared" si="22"/>
        <v>743</v>
      </c>
      <c r="Q302" s="3">
        <f t="shared" si="23"/>
        <v>0</v>
      </c>
      <c r="R302" s="3">
        <f t="shared" si="24"/>
        <v>32895.220000000008</v>
      </c>
      <c r="S302" s="24"/>
      <c r="T302" s="24"/>
      <c r="U302" s="3"/>
      <c r="V302" s="19" t="str">
        <f>IFERROR(VLOOKUP(Banco_Nacion[[#This Row],[responsable]],Clientes_Proveedores[[Ruc / Dni]:[Razon Social]],2,0),"")</f>
        <v>RESIGRALE S.R.L.</v>
      </c>
      <c r="W302" s="19" t="str">
        <f>IF(Banco_Nacion[[#This Row],[tipo_mov]]="INGRESO",Banco_Nacion[[#This Row],[serie]]&amp;Banco_Nacion[[#This Row],[numero]]&amp;Banco_Nacion[[#This Row],[responsable]]&amp;Banco_Nacion[[#This Row],[monto]],"")</f>
        <v>FF07420606592494743</v>
      </c>
      <c r="X302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76217687</v>
      </c>
      <c r="Y302" s="3" t="str">
        <f>IFERROR(VLOOKUP(Banco_Nacion[[#This Row],[serie]]&amp;Banco_Nacion[[#This Row],[numero]]&amp;Banco_Nacion[[#This Row],[responsable]],[2]!Provision_CXC[[ID CXP]:[DETRACCION]],47,0),"")</f>
        <v/>
      </c>
      <c r="Z302" s="3"/>
      <c r="AA302" s="24" t="str">
        <f>IF(Banco_Nacion[[#This Row],[fecha]]&gt;0,TEXT(Banco_Nacion[[#This Row],[fecha]],"mmmm"),0)</f>
        <v>Mayo</v>
      </c>
    </row>
    <row r="303" spans="1:27" x14ac:dyDescent="0.3">
      <c r="A303" s="2">
        <f>IF(Banco_Nacion[[#This Row],[tipo_registro]]="R",COUNTIFS($C$1:$C302,"R")+1,"")</f>
        <v>302</v>
      </c>
      <c r="B303" s="19" t="str">
        <f t="shared" si="20"/>
        <v>B-Banco de la Nacion</v>
      </c>
      <c r="C303" s="3" t="s">
        <v>1330</v>
      </c>
      <c r="D303" s="14">
        <v>45785</v>
      </c>
      <c r="E303" s="5">
        <v>20606592494</v>
      </c>
      <c r="F303" s="5" t="s">
        <v>1303</v>
      </c>
      <c r="G303" s="6" t="s">
        <v>425</v>
      </c>
      <c r="H303" s="6" t="s">
        <v>68</v>
      </c>
      <c r="I303" s="6" t="s">
        <v>3736</v>
      </c>
      <c r="J303" s="6">
        <v>3</v>
      </c>
      <c r="K303" s="7" t="s">
        <v>5232</v>
      </c>
      <c r="L303" s="8">
        <v>76215898</v>
      </c>
      <c r="M303" s="8" t="str">
        <f t="shared" si="21"/>
        <v>PEN</v>
      </c>
      <c r="N303" s="13"/>
      <c r="O303" s="13">
        <v>319</v>
      </c>
      <c r="P303" s="3">
        <f t="shared" si="22"/>
        <v>319</v>
      </c>
      <c r="Q303" s="3">
        <f t="shared" si="23"/>
        <v>0</v>
      </c>
      <c r="R303" s="3">
        <f t="shared" si="24"/>
        <v>33214.220000000008</v>
      </c>
      <c r="S303" s="24"/>
      <c r="T303" s="24"/>
      <c r="U303" s="3"/>
      <c r="V303" s="19" t="str">
        <f>IFERROR(VLOOKUP(Banco_Nacion[[#This Row],[responsable]],Clientes_Proveedores[[Ruc / Dni]:[Razon Social]],2,0),"")</f>
        <v>RESIGRALE S.R.L.</v>
      </c>
      <c r="W303" s="19" t="str">
        <f>IF(Banco_Nacion[[#This Row],[tipo_mov]]="INGRESO",Banco_Nacion[[#This Row],[serie]]&amp;Banco_Nacion[[#This Row],[numero]]&amp;Banco_Nacion[[#This Row],[responsable]]&amp;Banco_Nacion[[#This Row],[monto]],"")</f>
        <v>FF07320606592494319</v>
      </c>
      <c r="X303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76215898</v>
      </c>
      <c r="Y303" s="3" t="str">
        <f>IFERROR(VLOOKUP(Banco_Nacion[[#This Row],[serie]]&amp;Banco_Nacion[[#This Row],[numero]]&amp;Banco_Nacion[[#This Row],[responsable]],[2]!Provision_CXC[[ID CXP]:[DETRACCION]],47,0),"")</f>
        <v/>
      </c>
      <c r="Z303" s="3"/>
      <c r="AA303" s="24" t="str">
        <f>IF(Banco_Nacion[[#This Row],[fecha]]&gt;0,TEXT(Banco_Nacion[[#This Row],[fecha]],"mmmm"),0)</f>
        <v>Mayo</v>
      </c>
    </row>
    <row r="304" spans="1:27" x14ac:dyDescent="0.3">
      <c r="A304" s="2">
        <f>IF(Banco_Nacion[[#This Row],[tipo_registro]]="R",COUNTIFS($C$1:$C303,"R")+1,"")</f>
        <v>303</v>
      </c>
      <c r="B304" s="19" t="str">
        <f t="shared" si="20"/>
        <v>B-Banco de la Nacion</v>
      </c>
      <c r="C304" s="3" t="s">
        <v>1330</v>
      </c>
      <c r="D304" s="14">
        <v>45785</v>
      </c>
      <c r="E304" s="5">
        <v>20606592494</v>
      </c>
      <c r="F304" s="5" t="s">
        <v>1303</v>
      </c>
      <c r="G304" s="6" t="s">
        <v>425</v>
      </c>
      <c r="H304" s="6" t="s">
        <v>68</v>
      </c>
      <c r="I304" s="6" t="s">
        <v>3736</v>
      </c>
      <c r="J304" s="6">
        <v>2</v>
      </c>
      <c r="K304" s="7" t="s">
        <v>5232</v>
      </c>
      <c r="L304" s="8">
        <v>76215536</v>
      </c>
      <c r="M304" s="8" t="str">
        <f t="shared" si="21"/>
        <v>PEN</v>
      </c>
      <c r="N304" s="13"/>
      <c r="O304" s="13">
        <v>2301</v>
      </c>
      <c r="P304" s="3">
        <f t="shared" si="22"/>
        <v>2301</v>
      </c>
      <c r="Q304" s="3">
        <f t="shared" si="23"/>
        <v>0</v>
      </c>
      <c r="R304" s="3">
        <f t="shared" si="24"/>
        <v>35515.220000000008</v>
      </c>
      <c r="S304" s="24"/>
      <c r="T304" s="24"/>
      <c r="U304" s="3"/>
      <c r="V304" s="19" t="str">
        <f>IFERROR(VLOOKUP(Banco_Nacion[[#This Row],[responsable]],Clientes_Proveedores[[Ruc / Dni]:[Razon Social]],2,0),"")</f>
        <v>RESIGRALE S.R.L.</v>
      </c>
      <c r="W304" s="19" t="str">
        <f>IF(Banco_Nacion[[#This Row],[tipo_mov]]="INGRESO",Banco_Nacion[[#This Row],[serie]]&amp;Banco_Nacion[[#This Row],[numero]]&amp;Banco_Nacion[[#This Row],[responsable]]&amp;Banco_Nacion[[#This Row],[monto]],"")</f>
        <v>FF072206065924942301</v>
      </c>
      <c r="X304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76215536</v>
      </c>
      <c r="Y304" s="3" t="str">
        <f>IFERROR(VLOOKUP(Banco_Nacion[[#This Row],[serie]]&amp;Banco_Nacion[[#This Row],[numero]]&amp;Banco_Nacion[[#This Row],[responsable]],[2]!Provision_CXC[[ID CXP]:[DETRACCION]],47,0),"")</f>
        <v/>
      </c>
      <c r="Z304" s="3"/>
      <c r="AA304" s="24" t="str">
        <f>IF(Banco_Nacion[[#This Row],[fecha]]&gt;0,TEXT(Banco_Nacion[[#This Row],[fecha]],"mmmm"),0)</f>
        <v>Mayo</v>
      </c>
    </row>
    <row r="305" spans="1:27" x14ac:dyDescent="0.3">
      <c r="A305" s="2">
        <f>IF(Banco_Nacion[[#This Row],[tipo_registro]]="R",COUNTIFS($C$1:$C304,"R")+1,"")</f>
        <v>304</v>
      </c>
      <c r="B305" s="19" t="str">
        <f t="shared" si="20"/>
        <v>B-Banco de la Nacion</v>
      </c>
      <c r="C305" s="3" t="s">
        <v>1330</v>
      </c>
      <c r="D305" s="14">
        <v>45785</v>
      </c>
      <c r="E305" s="5">
        <v>20100199743</v>
      </c>
      <c r="F305" s="5" t="s">
        <v>1303</v>
      </c>
      <c r="G305" s="6" t="s">
        <v>425</v>
      </c>
      <c r="H305" s="6" t="s">
        <v>68</v>
      </c>
      <c r="I305" s="6" t="s">
        <v>1784</v>
      </c>
      <c r="J305" s="6">
        <v>45</v>
      </c>
      <c r="K305" s="7" t="s">
        <v>5232</v>
      </c>
      <c r="L305" s="8">
        <v>76205080</v>
      </c>
      <c r="M305" s="8" t="str">
        <f t="shared" si="21"/>
        <v>PEN</v>
      </c>
      <c r="N305" s="13"/>
      <c r="O305" s="13">
        <v>293</v>
      </c>
      <c r="P305" s="3">
        <f t="shared" si="22"/>
        <v>293</v>
      </c>
      <c r="Q305" s="3">
        <f t="shared" si="23"/>
        <v>0</v>
      </c>
      <c r="R305" s="3">
        <f t="shared" si="24"/>
        <v>35808.220000000008</v>
      </c>
      <c r="S305" s="24"/>
      <c r="T305" s="24" t="s">
        <v>1334</v>
      </c>
      <c r="U305" s="3"/>
      <c r="V305" s="19" t="str">
        <f>IFERROR(VLOOKUP(Banco_Nacion[[#This Row],[responsable]],Clientes_Proveedores[[Ruc / Dni]:[Razon Social]],2,0),"")</f>
        <v>INCA TOPS S.A</v>
      </c>
      <c r="W305" s="19" t="str">
        <f>IF(Banco_Nacion[[#This Row],[tipo_mov]]="INGRESO",Banco_Nacion[[#This Row],[serie]]&amp;Banco_Nacion[[#This Row],[numero]]&amp;Banco_Nacion[[#This Row],[responsable]]&amp;Banco_Nacion[[#This Row],[monto]],"")</f>
        <v>FF014520100199743293</v>
      </c>
      <c r="X305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76205080</v>
      </c>
      <c r="Y305" s="3" t="str">
        <f>IFERROR(VLOOKUP(Banco_Nacion[[#This Row],[serie]]&amp;Banco_Nacion[[#This Row],[numero]]&amp;Banco_Nacion[[#This Row],[responsable]],[2]!Provision_CXC[[ID CXP]:[DETRACCION]],47,0),"")</f>
        <v/>
      </c>
      <c r="Z305" s="3"/>
      <c r="AA305" s="24" t="str">
        <f>IF(Banco_Nacion[[#This Row],[fecha]]&gt;0,TEXT(Banco_Nacion[[#This Row],[fecha]],"mmmm"),0)</f>
        <v>Mayo</v>
      </c>
    </row>
    <row r="306" spans="1:27" x14ac:dyDescent="0.3">
      <c r="A306" s="2">
        <f>IF(Banco_Nacion[[#This Row],[tipo_registro]]="R",COUNTIFS($C$1:$C305,"R")+1,"")</f>
        <v>305</v>
      </c>
      <c r="B306" s="19" t="str">
        <f t="shared" si="20"/>
        <v>B-Banco de la Nacion</v>
      </c>
      <c r="C306" s="3" t="s">
        <v>1330</v>
      </c>
      <c r="D306" s="14">
        <v>45785</v>
      </c>
      <c r="E306" s="5">
        <v>20100192064</v>
      </c>
      <c r="F306" s="5" t="s">
        <v>1303</v>
      </c>
      <c r="G306" s="6" t="s">
        <v>425</v>
      </c>
      <c r="H306" s="6" t="s">
        <v>68</v>
      </c>
      <c r="I306" s="6" t="s">
        <v>1784</v>
      </c>
      <c r="J306" s="6">
        <v>59</v>
      </c>
      <c r="K306" s="7" t="s">
        <v>5232</v>
      </c>
      <c r="L306" s="8">
        <v>76195841</v>
      </c>
      <c r="M306" s="8" t="str">
        <f t="shared" si="21"/>
        <v>PEN</v>
      </c>
      <c r="N306" s="13"/>
      <c r="O306" s="13">
        <v>791</v>
      </c>
      <c r="P306" s="3">
        <f t="shared" si="22"/>
        <v>791</v>
      </c>
      <c r="Q306" s="3">
        <f t="shared" si="23"/>
        <v>0</v>
      </c>
      <c r="R306" s="3">
        <f t="shared" si="24"/>
        <v>36599.220000000008</v>
      </c>
      <c r="S306" s="24"/>
      <c r="T306" s="24" t="s">
        <v>1334</v>
      </c>
      <c r="U306" s="3"/>
      <c r="V306" s="19" t="str">
        <f>IFERROR(VLOOKUP(Banco_Nacion[[#This Row],[responsable]],Clientes_Proveedores[[Ruc / Dni]:[Razon Social]],2,0),"")</f>
        <v>MOLY-COP ADESUR S.A</v>
      </c>
      <c r="W306" s="19" t="str">
        <f>IF(Banco_Nacion[[#This Row],[tipo_mov]]="INGRESO",Banco_Nacion[[#This Row],[serie]]&amp;Banco_Nacion[[#This Row],[numero]]&amp;Banco_Nacion[[#This Row],[responsable]]&amp;Banco_Nacion[[#This Row],[monto]],"")</f>
        <v>FF015920100192064791</v>
      </c>
      <c r="X306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76195841</v>
      </c>
      <c r="Y306" s="3" t="str">
        <f>IFERROR(VLOOKUP(Banco_Nacion[[#This Row],[serie]]&amp;Banco_Nacion[[#This Row],[numero]]&amp;Banco_Nacion[[#This Row],[responsable]],[2]!Provision_CXC[[ID CXP]:[DETRACCION]],47,0),"")</f>
        <v/>
      </c>
      <c r="Z306" s="3"/>
      <c r="AA306" s="24" t="str">
        <f>IF(Banco_Nacion[[#This Row],[fecha]]&gt;0,TEXT(Banco_Nacion[[#This Row],[fecha]],"mmmm"),0)</f>
        <v>Mayo</v>
      </c>
    </row>
    <row r="307" spans="1:27" x14ac:dyDescent="0.3">
      <c r="A307" s="2">
        <f>IF(Banco_Nacion[[#This Row],[tipo_registro]]="R",COUNTIFS($C$1:$C306,"R")+1,"")</f>
        <v>306</v>
      </c>
      <c r="B307" s="19" t="str">
        <f t="shared" si="20"/>
        <v>B-Banco de la Nacion</v>
      </c>
      <c r="C307" s="3" t="s">
        <v>1330</v>
      </c>
      <c r="D307" s="14">
        <v>45785</v>
      </c>
      <c r="E307" s="5">
        <v>20100192064</v>
      </c>
      <c r="F307" s="5" t="s">
        <v>1303</v>
      </c>
      <c r="G307" s="6" t="s">
        <v>425</v>
      </c>
      <c r="H307" s="6" t="s">
        <v>68</v>
      </c>
      <c r="I307" s="6" t="s">
        <v>1784</v>
      </c>
      <c r="J307" s="6">
        <v>54</v>
      </c>
      <c r="K307" s="7" t="s">
        <v>5232</v>
      </c>
      <c r="L307" s="8">
        <v>76195718</v>
      </c>
      <c r="M307" s="8" t="str">
        <f t="shared" si="21"/>
        <v>PEN</v>
      </c>
      <c r="N307" s="13"/>
      <c r="O307" s="13">
        <v>1532</v>
      </c>
      <c r="P307" s="3">
        <f t="shared" si="22"/>
        <v>1532</v>
      </c>
      <c r="Q307" s="3">
        <f t="shared" si="23"/>
        <v>0</v>
      </c>
      <c r="R307" s="3">
        <f t="shared" si="24"/>
        <v>38131.220000000008</v>
      </c>
      <c r="S307" s="24"/>
      <c r="T307" s="24" t="s">
        <v>1334</v>
      </c>
      <c r="U307" s="3"/>
      <c r="V307" s="19" t="str">
        <f>IFERROR(VLOOKUP(Banco_Nacion[[#This Row],[responsable]],Clientes_Proveedores[[Ruc / Dni]:[Razon Social]],2,0),"")</f>
        <v>MOLY-COP ADESUR S.A</v>
      </c>
      <c r="W307" s="19" t="str">
        <f>IF(Banco_Nacion[[#This Row],[tipo_mov]]="INGRESO",Banco_Nacion[[#This Row],[serie]]&amp;Banco_Nacion[[#This Row],[numero]]&amp;Banco_Nacion[[#This Row],[responsable]]&amp;Banco_Nacion[[#This Row],[monto]],"")</f>
        <v>FF0154201001920641532</v>
      </c>
      <c r="X307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76195718</v>
      </c>
      <c r="Y307" s="3" t="str">
        <f>IFERROR(VLOOKUP(Banco_Nacion[[#This Row],[serie]]&amp;Banco_Nacion[[#This Row],[numero]]&amp;Banco_Nacion[[#This Row],[responsable]],[2]!Provision_CXC[[ID CXP]:[DETRACCION]],47,0),"")</f>
        <v/>
      </c>
      <c r="Z307" s="3"/>
      <c r="AA307" s="24" t="str">
        <f>IF(Banco_Nacion[[#This Row],[fecha]]&gt;0,TEXT(Banco_Nacion[[#This Row],[fecha]],"mmmm"),0)</f>
        <v>Mayo</v>
      </c>
    </row>
    <row r="308" spans="1:27" x14ac:dyDescent="0.3">
      <c r="A308" s="2">
        <f>IF(Banco_Nacion[[#This Row],[tipo_registro]]="R",COUNTIFS($C$1:$C307,"R")+1,"")</f>
        <v>307</v>
      </c>
      <c r="B308" s="19" t="str">
        <f t="shared" si="20"/>
        <v>B-Banco de la Nacion</v>
      </c>
      <c r="C308" s="3" t="s">
        <v>1330</v>
      </c>
      <c r="D308" s="14">
        <v>45785</v>
      </c>
      <c r="E308" s="5">
        <v>20141637941</v>
      </c>
      <c r="F308" s="5" t="s">
        <v>1303</v>
      </c>
      <c r="G308" s="6" t="s">
        <v>425</v>
      </c>
      <c r="H308" s="6" t="s">
        <v>68</v>
      </c>
      <c r="I308" s="6" t="s">
        <v>1784</v>
      </c>
      <c r="J308" s="6">
        <v>23</v>
      </c>
      <c r="K308" s="7" t="s">
        <v>5232</v>
      </c>
      <c r="L308" s="8">
        <v>76186288</v>
      </c>
      <c r="M308" s="8" t="str">
        <f t="shared" si="21"/>
        <v>PEN</v>
      </c>
      <c r="N308" s="13"/>
      <c r="O308" s="13">
        <v>148</v>
      </c>
      <c r="P308" s="3">
        <f t="shared" si="22"/>
        <v>148</v>
      </c>
      <c r="Q308" s="3">
        <f t="shared" si="23"/>
        <v>0</v>
      </c>
      <c r="R308" s="3">
        <f t="shared" si="24"/>
        <v>38279.220000000008</v>
      </c>
      <c r="S308" s="24"/>
      <c r="T308" s="24" t="s">
        <v>1334</v>
      </c>
      <c r="U308" s="3"/>
      <c r="V308" s="19" t="str">
        <f>IFERROR(VLOOKUP(Banco_Nacion[[#This Row],[responsable]],Clientes_Proveedores[[Ruc / Dni]:[Razon Social]],2,0),"")</f>
        <v>UNIVERSIDAD CATOLICA DE SANTA MARIA</v>
      </c>
      <c r="W308" s="19" t="str">
        <f>IF(Banco_Nacion[[#This Row],[tipo_mov]]="INGRESO",Banco_Nacion[[#This Row],[serie]]&amp;Banco_Nacion[[#This Row],[numero]]&amp;Banco_Nacion[[#This Row],[responsable]]&amp;Banco_Nacion[[#This Row],[monto]],"")</f>
        <v>FF012320141637941148</v>
      </c>
      <c r="X308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76186288</v>
      </c>
      <c r="Y308" s="3" t="str">
        <f>IFERROR(VLOOKUP(Banco_Nacion[[#This Row],[serie]]&amp;Banco_Nacion[[#This Row],[numero]]&amp;Banco_Nacion[[#This Row],[responsable]],[2]!Provision_CXC[[ID CXP]:[DETRACCION]],47,0),"")</f>
        <v/>
      </c>
      <c r="Z308" s="3"/>
      <c r="AA308" s="24" t="str">
        <f>IF(Banco_Nacion[[#This Row],[fecha]]&gt;0,TEXT(Banco_Nacion[[#This Row],[fecha]],"mmmm"),0)</f>
        <v>Mayo</v>
      </c>
    </row>
    <row r="309" spans="1:27" x14ac:dyDescent="0.3">
      <c r="A309" s="2">
        <f>IF(Banco_Nacion[[#This Row],[tipo_registro]]="R",COUNTIFS($C$1:$C308,"R")+1,"")</f>
        <v>308</v>
      </c>
      <c r="B309" s="19" t="str">
        <f t="shared" si="20"/>
        <v>B-Banco de la Nacion</v>
      </c>
      <c r="C309" s="3" t="s">
        <v>1330</v>
      </c>
      <c r="D309" s="14">
        <v>45785</v>
      </c>
      <c r="E309" s="5">
        <v>20141637941</v>
      </c>
      <c r="F309" s="5" t="s">
        <v>1303</v>
      </c>
      <c r="G309" s="6" t="s">
        <v>425</v>
      </c>
      <c r="H309" s="6" t="s">
        <v>68</v>
      </c>
      <c r="I309" s="6" t="s">
        <v>1784</v>
      </c>
      <c r="J309" s="6">
        <v>12</v>
      </c>
      <c r="K309" s="7" t="s">
        <v>5232</v>
      </c>
      <c r="L309" s="8">
        <v>76186287</v>
      </c>
      <c r="M309" s="8" t="str">
        <f t="shared" si="21"/>
        <v>PEN</v>
      </c>
      <c r="N309" s="13"/>
      <c r="O309" s="13">
        <v>260</v>
      </c>
      <c r="P309" s="3">
        <f t="shared" si="22"/>
        <v>260</v>
      </c>
      <c r="Q309" s="3">
        <f t="shared" si="23"/>
        <v>0</v>
      </c>
      <c r="R309" s="3">
        <f t="shared" si="24"/>
        <v>38539.220000000008</v>
      </c>
      <c r="S309" s="24"/>
      <c r="T309" s="24" t="s">
        <v>1334</v>
      </c>
      <c r="U309" s="3"/>
      <c r="V309" s="19" t="str">
        <f>IFERROR(VLOOKUP(Banco_Nacion[[#This Row],[responsable]],Clientes_Proveedores[[Ruc / Dni]:[Razon Social]],2,0),"")</f>
        <v>UNIVERSIDAD CATOLICA DE SANTA MARIA</v>
      </c>
      <c r="W309" s="19" t="str">
        <f>IF(Banco_Nacion[[#This Row],[tipo_mov]]="INGRESO",Banco_Nacion[[#This Row],[serie]]&amp;Banco_Nacion[[#This Row],[numero]]&amp;Banco_Nacion[[#This Row],[responsable]]&amp;Banco_Nacion[[#This Row],[monto]],"")</f>
        <v>FF011220141637941260</v>
      </c>
      <c r="X309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76186287</v>
      </c>
      <c r="Y309" s="3" t="str">
        <f>IFERROR(VLOOKUP(Banco_Nacion[[#This Row],[serie]]&amp;Banco_Nacion[[#This Row],[numero]]&amp;Banco_Nacion[[#This Row],[responsable]],[2]!Provision_CXC[[ID CXP]:[DETRACCION]],47,0),"")</f>
        <v/>
      </c>
      <c r="Z309" s="3"/>
      <c r="AA309" s="24" t="str">
        <f>IF(Banco_Nacion[[#This Row],[fecha]]&gt;0,TEXT(Banco_Nacion[[#This Row],[fecha]],"mmmm"),0)</f>
        <v>Mayo</v>
      </c>
    </row>
    <row r="310" spans="1:27" x14ac:dyDescent="0.3">
      <c r="A310" s="2">
        <f>IF(Banco_Nacion[[#This Row],[tipo_registro]]="R",COUNTIFS($C$1:$C309,"R")+1,"")</f>
        <v>309</v>
      </c>
      <c r="B310" s="19" t="str">
        <f t="shared" si="20"/>
        <v>B-Banco de la Nacion</v>
      </c>
      <c r="C310" s="3" t="s">
        <v>1330</v>
      </c>
      <c r="D310" s="14">
        <v>45786</v>
      </c>
      <c r="E310" s="5">
        <v>20546530184</v>
      </c>
      <c r="F310" s="5" t="s">
        <v>1303</v>
      </c>
      <c r="G310" s="6" t="s">
        <v>425</v>
      </c>
      <c r="H310" s="6" t="s">
        <v>68</v>
      </c>
      <c r="I310" s="6" t="s">
        <v>1784</v>
      </c>
      <c r="J310" s="6">
        <v>39</v>
      </c>
      <c r="K310" s="7" t="s">
        <v>5232</v>
      </c>
      <c r="L310" s="8">
        <v>76740791</v>
      </c>
      <c r="M310" s="8" t="str">
        <f t="shared" si="21"/>
        <v>PEN</v>
      </c>
      <c r="N310" s="13"/>
      <c r="O310" s="13">
        <v>119</v>
      </c>
      <c r="P310" s="3">
        <f t="shared" si="22"/>
        <v>119</v>
      </c>
      <c r="Q310" s="3">
        <f t="shared" si="23"/>
        <v>0</v>
      </c>
      <c r="R310" s="3">
        <f t="shared" si="24"/>
        <v>38658.220000000008</v>
      </c>
      <c r="S310" s="24"/>
      <c r="T310" s="24" t="s">
        <v>1334</v>
      </c>
      <c r="U310" s="3"/>
      <c r="V310" s="19" t="str">
        <f>IFERROR(VLOOKUP(Banco_Nacion[[#This Row],[responsable]],Clientes_Proveedores[[Ruc / Dni]:[Razon Social]],2,0),"")</f>
        <v>INGENIERIA SERVICIOS Y SOLUCIONES APLICADAS ISSA PERU S.A.C.</v>
      </c>
      <c r="W310" s="19" t="str">
        <f>IF(Banco_Nacion[[#This Row],[tipo_mov]]="INGRESO",Banco_Nacion[[#This Row],[serie]]&amp;Banco_Nacion[[#This Row],[numero]]&amp;Banco_Nacion[[#This Row],[responsable]]&amp;Banco_Nacion[[#This Row],[monto]],"")</f>
        <v>FF013920546530184119</v>
      </c>
      <c r="X310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76740791</v>
      </c>
      <c r="Y310" s="3" t="str">
        <f>IFERROR(VLOOKUP(Banco_Nacion[[#This Row],[serie]]&amp;Banco_Nacion[[#This Row],[numero]]&amp;Banco_Nacion[[#This Row],[responsable]],[2]!Provision_CXC[[ID CXP]:[DETRACCION]],47,0),"")</f>
        <v/>
      </c>
      <c r="Z310" s="3"/>
      <c r="AA310" s="24" t="str">
        <f>IF(Banco_Nacion[[#This Row],[fecha]]&gt;0,TEXT(Banco_Nacion[[#This Row],[fecha]],"mmmm"),0)</f>
        <v>Mayo</v>
      </c>
    </row>
    <row r="311" spans="1:27" x14ac:dyDescent="0.3">
      <c r="A311" s="2">
        <f>IF(Banco_Nacion[[#This Row],[tipo_registro]]="R",COUNTIFS($C$1:$C310,"R")+1,"")</f>
        <v>310</v>
      </c>
      <c r="B311" s="19" t="str">
        <f t="shared" si="20"/>
        <v>B-Banco de la Nacion</v>
      </c>
      <c r="C311" s="3" t="s">
        <v>1330</v>
      </c>
      <c r="D311" s="14">
        <v>45786</v>
      </c>
      <c r="E311" s="5">
        <v>20602438181</v>
      </c>
      <c r="F311" s="5" t="s">
        <v>1303</v>
      </c>
      <c r="G311" s="6" t="s">
        <v>425</v>
      </c>
      <c r="H311" s="6" t="s">
        <v>68</v>
      </c>
      <c r="I311" s="6" t="s">
        <v>1784</v>
      </c>
      <c r="J311" s="6">
        <v>13</v>
      </c>
      <c r="K311" s="7" t="s">
        <v>5232</v>
      </c>
      <c r="L311" s="8">
        <v>76699794</v>
      </c>
      <c r="M311" s="8" t="str">
        <f t="shared" si="21"/>
        <v>PEN</v>
      </c>
      <c r="N311" s="13"/>
      <c r="O311" s="13">
        <v>899</v>
      </c>
      <c r="P311" s="3">
        <f t="shared" si="22"/>
        <v>899</v>
      </c>
      <c r="Q311" s="3">
        <f t="shared" si="23"/>
        <v>0</v>
      </c>
      <c r="R311" s="3">
        <f t="shared" si="24"/>
        <v>39557.220000000008</v>
      </c>
      <c r="S311" s="24"/>
      <c r="T311" s="24" t="s">
        <v>1334</v>
      </c>
      <c r="U311" s="3"/>
      <c r="V311" s="19" t="str">
        <f>IFERROR(VLOOKUP(Banco_Nacion[[#This Row],[responsable]],Clientes_Proveedores[[Ruc / Dni]:[Razon Social]],2,0),"")</f>
        <v>COOPERATIVA MINERA COMIG DE ANANEA LIMITADA</v>
      </c>
      <c r="W311" s="19" t="str">
        <f>IF(Banco_Nacion[[#This Row],[tipo_mov]]="INGRESO",Banco_Nacion[[#This Row],[serie]]&amp;Banco_Nacion[[#This Row],[numero]]&amp;Banco_Nacion[[#This Row],[responsable]]&amp;Banco_Nacion[[#This Row],[monto]],"")</f>
        <v>FF011320602438181899</v>
      </c>
      <c r="X311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76699794</v>
      </c>
      <c r="Y311" s="3" t="str">
        <f>IFERROR(VLOOKUP(Banco_Nacion[[#This Row],[serie]]&amp;Banco_Nacion[[#This Row],[numero]]&amp;Banco_Nacion[[#This Row],[responsable]],[2]!Provision_CXC[[ID CXP]:[DETRACCION]],47,0),"")</f>
        <v/>
      </c>
      <c r="Z311" s="3"/>
      <c r="AA311" s="24" t="str">
        <f>IF(Banco_Nacion[[#This Row],[fecha]]&gt;0,TEXT(Banco_Nacion[[#This Row],[fecha]],"mmmm"),0)</f>
        <v>Mayo</v>
      </c>
    </row>
    <row r="312" spans="1:27" x14ac:dyDescent="0.3">
      <c r="A312" s="2">
        <f>IF(Banco_Nacion[[#This Row],[tipo_registro]]="R",COUNTIFS($C$1:$C311,"R")+1,"")</f>
        <v>311</v>
      </c>
      <c r="B312" s="19" t="str">
        <f t="shared" si="20"/>
        <v>B-Banco de la Nacion</v>
      </c>
      <c r="C312" s="3" t="s">
        <v>1330</v>
      </c>
      <c r="D312" s="14">
        <v>45786</v>
      </c>
      <c r="E312" s="5">
        <v>20454186002</v>
      </c>
      <c r="F312" s="5" t="s">
        <v>1303</v>
      </c>
      <c r="G312" s="6" t="s">
        <v>425</v>
      </c>
      <c r="H312" s="6" t="s">
        <v>68</v>
      </c>
      <c r="I312" s="6" t="s">
        <v>1784</v>
      </c>
      <c r="J312" s="6">
        <v>50</v>
      </c>
      <c r="K312" s="7" t="s">
        <v>5232</v>
      </c>
      <c r="L312" s="8">
        <v>76651110</v>
      </c>
      <c r="M312" s="8" t="str">
        <f t="shared" si="21"/>
        <v>PEN</v>
      </c>
      <c r="N312" s="13"/>
      <c r="O312" s="13">
        <v>363</v>
      </c>
      <c r="P312" s="3">
        <f t="shared" si="22"/>
        <v>363</v>
      </c>
      <c r="Q312" s="3">
        <f t="shared" si="23"/>
        <v>0</v>
      </c>
      <c r="R312" s="3">
        <f t="shared" si="24"/>
        <v>39920.220000000008</v>
      </c>
      <c r="S312" s="24"/>
      <c r="T312" s="24" t="s">
        <v>1334</v>
      </c>
      <c r="U312" s="3"/>
      <c r="V312" s="19" t="str">
        <f>IFERROR(VLOOKUP(Banco_Nacion[[#This Row],[responsable]],Clientes_Proveedores[[Ruc / Dni]:[Razon Social]],2,0),"")</f>
        <v>ALSUR PERU S.A.C.</v>
      </c>
      <c r="W312" s="19" t="str">
        <f>IF(Banco_Nacion[[#This Row],[tipo_mov]]="INGRESO",Banco_Nacion[[#This Row],[serie]]&amp;Banco_Nacion[[#This Row],[numero]]&amp;Banco_Nacion[[#This Row],[responsable]]&amp;Banco_Nacion[[#This Row],[monto]],"")</f>
        <v>FF015020454186002363</v>
      </c>
      <c r="X312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76651110</v>
      </c>
      <c r="Y312" s="3" t="str">
        <f>IFERROR(VLOOKUP(Banco_Nacion[[#This Row],[serie]]&amp;Banco_Nacion[[#This Row],[numero]]&amp;Banco_Nacion[[#This Row],[responsable]],[2]!Provision_CXC[[ID CXP]:[DETRACCION]],47,0),"")</f>
        <v/>
      </c>
      <c r="Z312" s="3"/>
      <c r="AA312" s="24" t="str">
        <f>IF(Banco_Nacion[[#This Row],[fecha]]&gt;0,TEXT(Banco_Nacion[[#This Row],[fecha]],"mmmm"),0)</f>
        <v>Mayo</v>
      </c>
    </row>
    <row r="313" spans="1:27" x14ac:dyDescent="0.3">
      <c r="A313" s="2">
        <f>IF(Banco_Nacion[[#This Row],[tipo_registro]]="R",COUNTIFS($C$1:$C312,"R")+1,"")</f>
        <v>312</v>
      </c>
      <c r="B313" s="19" t="str">
        <f t="shared" si="20"/>
        <v>B-Banco de la Nacion</v>
      </c>
      <c r="C313" s="3" t="s">
        <v>1330</v>
      </c>
      <c r="D313" s="14">
        <v>45786</v>
      </c>
      <c r="E313" s="5">
        <v>20601852927</v>
      </c>
      <c r="F313" s="5" t="s">
        <v>1303</v>
      </c>
      <c r="G313" s="6" t="s">
        <v>425</v>
      </c>
      <c r="H313" s="6" t="s">
        <v>68</v>
      </c>
      <c r="I313" s="6" t="s">
        <v>1784</v>
      </c>
      <c r="J313" s="6">
        <v>10</v>
      </c>
      <c r="K313" s="7" t="s">
        <v>5232</v>
      </c>
      <c r="L313" s="8">
        <v>76637887</v>
      </c>
      <c r="M313" s="8" t="str">
        <f t="shared" si="21"/>
        <v>PEN</v>
      </c>
      <c r="N313" s="13"/>
      <c r="O313" s="13">
        <v>600</v>
      </c>
      <c r="P313" s="3">
        <f t="shared" si="22"/>
        <v>600</v>
      </c>
      <c r="Q313" s="3">
        <f t="shared" si="23"/>
        <v>0</v>
      </c>
      <c r="R313" s="3">
        <f t="shared" si="24"/>
        <v>40520.220000000008</v>
      </c>
      <c r="S313" s="24"/>
      <c r="T313" s="24" t="s">
        <v>1334</v>
      </c>
      <c r="U313" s="3"/>
      <c r="V313" s="19" t="str">
        <f>IFERROR(VLOOKUP(Banco_Nacion[[#This Row],[responsable]],Clientes_Proveedores[[Ruc / Dni]:[Razon Social]],2,0),"")</f>
        <v>CONSORCIO PUENTES DEL NORTE</v>
      </c>
      <c r="W313" s="19" t="str">
        <f>IF(Banco_Nacion[[#This Row],[tipo_mov]]="INGRESO",Banco_Nacion[[#This Row],[serie]]&amp;Banco_Nacion[[#This Row],[numero]]&amp;Banco_Nacion[[#This Row],[responsable]]&amp;Banco_Nacion[[#This Row],[monto]],"")</f>
        <v>FF011020601852927600</v>
      </c>
      <c r="X313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76637887</v>
      </c>
      <c r="Y313" s="3" t="str">
        <f>IFERROR(VLOOKUP(Banco_Nacion[[#This Row],[serie]]&amp;Banco_Nacion[[#This Row],[numero]]&amp;Banco_Nacion[[#This Row],[responsable]],[2]!Provision_CXC[[ID CXP]:[DETRACCION]],47,0),"")</f>
        <v/>
      </c>
      <c r="Z313" s="3"/>
      <c r="AA313" s="24" t="str">
        <f>IF(Banco_Nacion[[#This Row],[fecha]]&gt;0,TEXT(Banco_Nacion[[#This Row],[fecha]],"mmmm"),0)</f>
        <v>Mayo</v>
      </c>
    </row>
    <row r="314" spans="1:27" x14ac:dyDescent="0.3">
      <c r="A314" s="2">
        <f>IF(Banco_Nacion[[#This Row],[tipo_registro]]="R",COUNTIFS($C$1:$C313,"R")+1,"")</f>
        <v>313</v>
      </c>
      <c r="B314" s="19" t="str">
        <f t="shared" si="20"/>
        <v>B-Banco de la Nacion</v>
      </c>
      <c r="C314" s="3" t="s">
        <v>1330</v>
      </c>
      <c r="D314" s="14">
        <v>45786</v>
      </c>
      <c r="E314" s="5">
        <v>20496535066</v>
      </c>
      <c r="F314" s="5" t="s">
        <v>1303</v>
      </c>
      <c r="G314" s="6" t="s">
        <v>425</v>
      </c>
      <c r="H314" s="6" t="s">
        <v>68</v>
      </c>
      <c r="I314" s="6" t="s">
        <v>1376</v>
      </c>
      <c r="J314" s="6">
        <v>31</v>
      </c>
      <c r="K314" s="7" t="s">
        <v>5232</v>
      </c>
      <c r="L314" s="8">
        <v>76585847</v>
      </c>
      <c r="M314" s="8" t="str">
        <f t="shared" si="21"/>
        <v>PEN</v>
      </c>
      <c r="N314" s="13"/>
      <c r="O314" s="13">
        <v>570</v>
      </c>
      <c r="P314" s="3">
        <f t="shared" si="22"/>
        <v>570</v>
      </c>
      <c r="Q314" s="3">
        <f t="shared" si="23"/>
        <v>0</v>
      </c>
      <c r="R314" s="3">
        <f t="shared" si="24"/>
        <v>41090.220000000008</v>
      </c>
      <c r="S314" s="24"/>
      <c r="T314" s="24" t="s">
        <v>1334</v>
      </c>
      <c r="U314" s="3"/>
      <c r="V314" s="19" t="str">
        <f>IFERROR(VLOOKUP(Banco_Nacion[[#This Row],[responsable]],Clientes_Proveedores[[Ruc / Dni]:[Razon Social]],2,0),"")</f>
        <v>CORP.ELECTROMECANICA EN ING.Y CONSTR.SAC</v>
      </c>
      <c r="W314" s="19" t="str">
        <f>IF(Banco_Nacion[[#This Row],[tipo_mov]]="INGRESO",Banco_Nacion[[#This Row],[serie]]&amp;Banco_Nacion[[#This Row],[numero]]&amp;Banco_Nacion[[#This Row],[responsable]]&amp;Banco_Nacion[[#This Row],[monto]],"")</f>
        <v>E0013120496535066570</v>
      </c>
      <c r="X314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76585847</v>
      </c>
      <c r="Y314" s="3" t="str">
        <f>IFERROR(VLOOKUP(Banco_Nacion[[#This Row],[serie]]&amp;Banco_Nacion[[#This Row],[numero]]&amp;Banco_Nacion[[#This Row],[responsable]],[2]!Provision_CXC[[ID CXP]:[DETRACCION]],47,0),"")</f>
        <v/>
      </c>
      <c r="Z314" s="3"/>
      <c r="AA314" s="24" t="str">
        <f>IF(Banco_Nacion[[#This Row],[fecha]]&gt;0,TEXT(Banco_Nacion[[#This Row],[fecha]],"mmmm"),0)</f>
        <v>Mayo</v>
      </c>
    </row>
    <row r="315" spans="1:27" x14ac:dyDescent="0.3">
      <c r="A315" s="2">
        <f>IF(Banco_Nacion[[#This Row],[tipo_registro]]="R",COUNTIFS($C$1:$C314,"R")+1,"")</f>
        <v>314</v>
      </c>
      <c r="B315" s="19" t="str">
        <f t="shared" si="20"/>
        <v>B-Banco de la Nacion</v>
      </c>
      <c r="C315" s="3" t="s">
        <v>1330</v>
      </c>
      <c r="D315" s="14">
        <v>45786</v>
      </c>
      <c r="E315" s="5">
        <v>20100211115</v>
      </c>
      <c r="F315" s="5" t="s">
        <v>1303</v>
      </c>
      <c r="G315" s="6" t="s">
        <v>425</v>
      </c>
      <c r="H315" s="6" t="s">
        <v>68</v>
      </c>
      <c r="I315" s="6" t="s">
        <v>1784</v>
      </c>
      <c r="J315" s="6">
        <v>60</v>
      </c>
      <c r="K315" s="7" t="s">
        <v>5232</v>
      </c>
      <c r="L315" s="8">
        <v>76557909</v>
      </c>
      <c r="M315" s="8" t="str">
        <f t="shared" si="21"/>
        <v>PEN</v>
      </c>
      <c r="N315" s="13"/>
      <c r="O315" s="13">
        <v>724</v>
      </c>
      <c r="P315" s="3">
        <f t="shared" si="22"/>
        <v>724</v>
      </c>
      <c r="Q315" s="3">
        <f t="shared" si="23"/>
        <v>0</v>
      </c>
      <c r="R315" s="3">
        <f t="shared" si="24"/>
        <v>41814.220000000008</v>
      </c>
      <c r="S315" s="24"/>
      <c r="T315" s="24" t="s">
        <v>1334</v>
      </c>
      <c r="U315" s="3"/>
      <c r="V315" s="19" t="str">
        <f>IFERROR(VLOOKUP(Banco_Nacion[[#This Row],[responsable]],Clientes_Proveedores[[Ruc / Dni]:[Razon Social]],2,0),"")</f>
        <v>FAB DE CHOCOLATES LA IBERICA S.A.</v>
      </c>
      <c r="W315" s="19" t="str">
        <f>IF(Banco_Nacion[[#This Row],[tipo_mov]]="INGRESO",Banco_Nacion[[#This Row],[serie]]&amp;Banco_Nacion[[#This Row],[numero]]&amp;Banco_Nacion[[#This Row],[responsable]]&amp;Banco_Nacion[[#This Row],[monto]],"")</f>
        <v>FF016020100211115724</v>
      </c>
      <c r="X315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76557909</v>
      </c>
      <c r="Y315" s="3" t="str">
        <f>IFERROR(VLOOKUP(Banco_Nacion[[#This Row],[serie]]&amp;Banco_Nacion[[#This Row],[numero]]&amp;Banco_Nacion[[#This Row],[responsable]],[2]!Provision_CXC[[ID CXP]:[DETRACCION]],47,0),"")</f>
        <v/>
      </c>
      <c r="Z315" s="3"/>
      <c r="AA315" s="24" t="str">
        <f>IF(Banco_Nacion[[#This Row],[fecha]]&gt;0,TEXT(Banco_Nacion[[#This Row],[fecha]],"mmmm"),0)</f>
        <v>Mayo</v>
      </c>
    </row>
    <row r="316" spans="1:27" x14ac:dyDescent="0.3">
      <c r="A316" s="2">
        <f>IF(Banco_Nacion[[#This Row],[tipo_registro]]="R",COUNTIFS($C$1:$C315,"R")+1,"")</f>
        <v>315</v>
      </c>
      <c r="B316" s="19" t="str">
        <f t="shared" si="20"/>
        <v>B-Banco de la Nacion</v>
      </c>
      <c r="C316" s="3" t="s">
        <v>1330</v>
      </c>
      <c r="D316" s="14">
        <v>45786</v>
      </c>
      <c r="E316" s="5">
        <v>20100211115</v>
      </c>
      <c r="F316" s="5" t="s">
        <v>1303</v>
      </c>
      <c r="G316" s="6" t="s">
        <v>425</v>
      </c>
      <c r="H316" s="6" t="s">
        <v>68</v>
      </c>
      <c r="I316" s="6" t="s">
        <v>1784</v>
      </c>
      <c r="J316" s="6">
        <v>61</v>
      </c>
      <c r="K316" s="7" t="s">
        <v>5232</v>
      </c>
      <c r="L316" s="8">
        <v>76557908</v>
      </c>
      <c r="M316" s="8" t="str">
        <f t="shared" si="21"/>
        <v>PEN</v>
      </c>
      <c r="N316" s="13"/>
      <c r="O316" s="13">
        <v>157</v>
      </c>
      <c r="P316" s="3">
        <f t="shared" si="22"/>
        <v>157</v>
      </c>
      <c r="Q316" s="3">
        <f t="shared" si="23"/>
        <v>0</v>
      </c>
      <c r="R316" s="3">
        <f t="shared" si="24"/>
        <v>41971.220000000008</v>
      </c>
      <c r="S316" s="24"/>
      <c r="T316" s="24" t="s">
        <v>1334</v>
      </c>
      <c r="U316" s="3"/>
      <c r="V316" s="19" t="str">
        <f>IFERROR(VLOOKUP(Banco_Nacion[[#This Row],[responsable]],Clientes_Proveedores[[Ruc / Dni]:[Razon Social]],2,0),"")</f>
        <v>FAB DE CHOCOLATES LA IBERICA S.A.</v>
      </c>
      <c r="W316" s="19" t="str">
        <f>IF(Banco_Nacion[[#This Row],[tipo_mov]]="INGRESO",Banco_Nacion[[#This Row],[serie]]&amp;Banco_Nacion[[#This Row],[numero]]&amp;Banco_Nacion[[#This Row],[responsable]]&amp;Banco_Nacion[[#This Row],[monto]],"")</f>
        <v>FF016120100211115157</v>
      </c>
      <c r="X316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76557908</v>
      </c>
      <c r="Y316" s="3" t="str">
        <f>IFERROR(VLOOKUP(Banco_Nacion[[#This Row],[serie]]&amp;Banco_Nacion[[#This Row],[numero]]&amp;Banco_Nacion[[#This Row],[responsable]],[2]!Provision_CXC[[ID CXP]:[DETRACCION]],47,0),"")</f>
        <v/>
      </c>
      <c r="Z316" s="3"/>
      <c r="AA316" s="24" t="str">
        <f>IF(Banco_Nacion[[#This Row],[fecha]]&gt;0,TEXT(Banco_Nacion[[#This Row],[fecha]],"mmmm"),0)</f>
        <v>Mayo</v>
      </c>
    </row>
    <row r="317" spans="1:27" x14ac:dyDescent="0.3">
      <c r="A317" s="2">
        <f>IF(Banco_Nacion[[#This Row],[tipo_registro]]="R",COUNTIFS($C$1:$C316,"R")+1,"")</f>
        <v>316</v>
      </c>
      <c r="B317" s="19" t="str">
        <f t="shared" si="20"/>
        <v>B-Banco de la Nacion</v>
      </c>
      <c r="C317" s="3" t="s">
        <v>1330</v>
      </c>
      <c r="D317" s="14">
        <v>45786</v>
      </c>
      <c r="E317" s="5">
        <v>20100383919</v>
      </c>
      <c r="F317" s="5" t="s">
        <v>1303</v>
      </c>
      <c r="G317" s="6" t="s">
        <v>425</v>
      </c>
      <c r="H317" s="6" t="s">
        <v>68</v>
      </c>
      <c r="I317" s="6" t="s">
        <v>1784</v>
      </c>
      <c r="J317" s="6">
        <v>43</v>
      </c>
      <c r="K317" s="7" t="s">
        <v>5232</v>
      </c>
      <c r="L317" s="8">
        <v>76545036</v>
      </c>
      <c r="M317" s="8" t="str">
        <f t="shared" si="21"/>
        <v>PEN</v>
      </c>
      <c r="N317" s="13"/>
      <c r="O317" s="13">
        <v>158</v>
      </c>
      <c r="P317" s="3">
        <f t="shared" si="22"/>
        <v>158</v>
      </c>
      <c r="Q317" s="3">
        <f t="shared" si="23"/>
        <v>0</v>
      </c>
      <c r="R317" s="3">
        <f t="shared" si="24"/>
        <v>42129.220000000008</v>
      </c>
      <c r="S317" s="24"/>
      <c r="T317" s="24" t="s">
        <v>1334</v>
      </c>
      <c r="U317" s="3"/>
      <c r="V317" s="19" t="str">
        <f>IFERROR(VLOOKUP(Banco_Nacion[[#This Row],[responsable]],Clientes_Proveedores[[Ruc / Dni]:[Razon Social]],2,0),"")</f>
        <v>STIERLIFT S.A.</v>
      </c>
      <c r="W317" s="19" t="str">
        <f>IF(Banco_Nacion[[#This Row],[tipo_mov]]="INGRESO",Banco_Nacion[[#This Row],[serie]]&amp;Banco_Nacion[[#This Row],[numero]]&amp;Banco_Nacion[[#This Row],[responsable]]&amp;Banco_Nacion[[#This Row],[monto]],"")</f>
        <v>FF014320100383919158</v>
      </c>
      <c r="X317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76545036</v>
      </c>
      <c r="Y317" s="3" t="str">
        <f>IFERROR(VLOOKUP(Banco_Nacion[[#This Row],[serie]]&amp;Banco_Nacion[[#This Row],[numero]]&amp;Banco_Nacion[[#This Row],[responsable]],[2]!Provision_CXC[[ID CXP]:[DETRACCION]],47,0),"")</f>
        <v/>
      </c>
      <c r="Z317" s="3"/>
      <c r="AA317" s="24" t="str">
        <f>IF(Banco_Nacion[[#This Row],[fecha]]&gt;0,TEXT(Banco_Nacion[[#This Row],[fecha]],"mmmm"),0)</f>
        <v>Mayo</v>
      </c>
    </row>
    <row r="318" spans="1:27" x14ac:dyDescent="0.3">
      <c r="A318" s="2">
        <f>IF(Banco_Nacion[[#This Row],[tipo_registro]]="R",COUNTIFS($C$1:$C317,"R")+1,"")</f>
        <v>317</v>
      </c>
      <c r="B318" s="19" t="str">
        <f t="shared" si="20"/>
        <v>B-Banco de la Nacion</v>
      </c>
      <c r="C318" s="3" t="s">
        <v>1330</v>
      </c>
      <c r="D318" s="14">
        <v>45786</v>
      </c>
      <c r="E318" s="5">
        <v>20509128686</v>
      </c>
      <c r="F318" s="5" t="s">
        <v>1303</v>
      </c>
      <c r="G318" s="6" t="s">
        <v>425</v>
      </c>
      <c r="H318" s="6" t="s">
        <v>68</v>
      </c>
      <c r="I318" s="6" t="s">
        <v>1784</v>
      </c>
      <c r="J318" s="6">
        <v>38</v>
      </c>
      <c r="K318" s="7" t="s">
        <v>5232</v>
      </c>
      <c r="L318" s="8">
        <v>76517973</v>
      </c>
      <c r="M318" s="8" t="str">
        <f t="shared" si="21"/>
        <v>PEN</v>
      </c>
      <c r="N318" s="13"/>
      <c r="O318" s="13">
        <v>428</v>
      </c>
      <c r="P318" s="3">
        <f t="shared" si="22"/>
        <v>428</v>
      </c>
      <c r="Q318" s="3">
        <f t="shared" si="23"/>
        <v>0</v>
      </c>
      <c r="R318" s="3">
        <f t="shared" si="24"/>
        <v>42557.220000000008</v>
      </c>
      <c r="S318" s="24"/>
      <c r="T318" s="24" t="s">
        <v>1334</v>
      </c>
      <c r="U318" s="3"/>
      <c r="V318" s="19" t="str">
        <f>IFERROR(VLOOKUP(Banco_Nacion[[#This Row],[responsable]],Clientes_Proveedores[[Ruc / Dni]:[Razon Social]],2,0),"")</f>
        <v>COMIMTEL SOCIEDAD ANONIMA CERRADA</v>
      </c>
      <c r="W318" s="19" t="str">
        <f>IF(Banco_Nacion[[#This Row],[tipo_mov]]="INGRESO",Banco_Nacion[[#This Row],[serie]]&amp;Banco_Nacion[[#This Row],[numero]]&amp;Banco_Nacion[[#This Row],[responsable]]&amp;Banco_Nacion[[#This Row],[monto]],"")</f>
        <v>FF013820509128686428</v>
      </c>
      <c r="X318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76517973</v>
      </c>
      <c r="Y318" s="3" t="str">
        <f>IFERROR(VLOOKUP(Banco_Nacion[[#This Row],[serie]]&amp;Banco_Nacion[[#This Row],[numero]]&amp;Banco_Nacion[[#This Row],[responsable]],[2]!Provision_CXC[[ID CXP]:[DETRACCION]],47,0),"")</f>
        <v/>
      </c>
      <c r="Z318" s="3"/>
      <c r="AA318" s="24" t="str">
        <f>IF(Banco_Nacion[[#This Row],[fecha]]&gt;0,TEXT(Banco_Nacion[[#This Row],[fecha]],"mmmm"),0)</f>
        <v>Mayo</v>
      </c>
    </row>
    <row r="319" spans="1:27" x14ac:dyDescent="0.3">
      <c r="A319" s="2">
        <f>IF(Banco_Nacion[[#This Row],[tipo_registro]]="R",COUNTIFS($C$1:$C318,"R")+1,"")</f>
        <v>318</v>
      </c>
      <c r="B319" s="19" t="str">
        <f t="shared" si="20"/>
        <v>B-Banco de la Nacion</v>
      </c>
      <c r="C319" s="3" t="s">
        <v>1330</v>
      </c>
      <c r="D319" s="14">
        <v>45786</v>
      </c>
      <c r="E319" s="5">
        <v>20509128686</v>
      </c>
      <c r="F319" s="5" t="s">
        <v>1303</v>
      </c>
      <c r="G319" s="6" t="s">
        <v>425</v>
      </c>
      <c r="H319" s="6" t="s">
        <v>68</v>
      </c>
      <c r="I319" s="6" t="s">
        <v>1784</v>
      </c>
      <c r="J319" s="6">
        <v>37</v>
      </c>
      <c r="K319" s="7" t="s">
        <v>5232</v>
      </c>
      <c r="L319" s="8">
        <v>76517972</v>
      </c>
      <c r="M319" s="8" t="str">
        <f t="shared" si="21"/>
        <v>PEN</v>
      </c>
      <c r="N319" s="13"/>
      <c r="O319" s="13">
        <v>732</v>
      </c>
      <c r="P319" s="3">
        <f t="shared" si="22"/>
        <v>732</v>
      </c>
      <c r="Q319" s="3">
        <f t="shared" si="23"/>
        <v>0</v>
      </c>
      <c r="R319" s="3">
        <f t="shared" si="24"/>
        <v>43289.220000000008</v>
      </c>
      <c r="S319" s="24"/>
      <c r="T319" s="24" t="s">
        <v>1334</v>
      </c>
      <c r="U319" s="3"/>
      <c r="V319" s="19" t="str">
        <f>IFERROR(VLOOKUP(Banco_Nacion[[#This Row],[responsable]],Clientes_Proveedores[[Ruc / Dni]:[Razon Social]],2,0),"")</f>
        <v>COMIMTEL SOCIEDAD ANONIMA CERRADA</v>
      </c>
      <c r="W319" s="19" t="str">
        <f>IF(Banco_Nacion[[#This Row],[tipo_mov]]="INGRESO",Banco_Nacion[[#This Row],[serie]]&amp;Banco_Nacion[[#This Row],[numero]]&amp;Banco_Nacion[[#This Row],[responsable]]&amp;Banco_Nacion[[#This Row],[monto]],"")</f>
        <v>FF013720509128686732</v>
      </c>
      <c r="X319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76517972</v>
      </c>
      <c r="Y319" s="3" t="str">
        <f>IFERROR(VLOOKUP(Banco_Nacion[[#This Row],[serie]]&amp;Banco_Nacion[[#This Row],[numero]]&amp;Banco_Nacion[[#This Row],[responsable]],[2]!Provision_CXC[[ID CXP]:[DETRACCION]],47,0),"")</f>
        <v/>
      </c>
      <c r="Z319" s="3"/>
      <c r="AA319" s="24" t="str">
        <f>IF(Banco_Nacion[[#This Row],[fecha]]&gt;0,TEXT(Banco_Nacion[[#This Row],[fecha]],"mmmm"),0)</f>
        <v>Mayo</v>
      </c>
    </row>
    <row r="320" spans="1:27" x14ac:dyDescent="0.3">
      <c r="A320" s="2">
        <f>IF(Banco_Nacion[[#This Row],[tipo_registro]]="R",COUNTIFS($C$1:$C319,"R")+1,"")</f>
        <v>319</v>
      </c>
      <c r="B320" s="19" t="str">
        <f t="shared" si="20"/>
        <v>B-Banco de la Nacion</v>
      </c>
      <c r="C320" s="3" t="s">
        <v>1330</v>
      </c>
      <c r="D320" s="14">
        <v>45786</v>
      </c>
      <c r="E320" s="5">
        <v>20509128686</v>
      </c>
      <c r="F320" s="5" t="s">
        <v>1303</v>
      </c>
      <c r="G320" s="6" t="s">
        <v>425</v>
      </c>
      <c r="H320" s="6" t="s">
        <v>68</v>
      </c>
      <c r="I320" s="6" t="s">
        <v>1784</v>
      </c>
      <c r="J320" s="6">
        <v>17</v>
      </c>
      <c r="K320" s="7" t="s">
        <v>5232</v>
      </c>
      <c r="L320" s="8">
        <v>76517971</v>
      </c>
      <c r="M320" s="8" t="str">
        <f t="shared" si="21"/>
        <v>PEN</v>
      </c>
      <c r="N320" s="13"/>
      <c r="O320" s="13">
        <v>198</v>
      </c>
      <c r="P320" s="3">
        <f t="shared" si="22"/>
        <v>198</v>
      </c>
      <c r="Q320" s="3">
        <f t="shared" si="23"/>
        <v>0</v>
      </c>
      <c r="R320" s="3">
        <f t="shared" si="24"/>
        <v>43487.220000000008</v>
      </c>
      <c r="S320" s="24"/>
      <c r="T320" s="24" t="s">
        <v>1334</v>
      </c>
      <c r="U320" s="3"/>
      <c r="V320" s="19" t="str">
        <f>IFERROR(VLOOKUP(Banco_Nacion[[#This Row],[responsable]],Clientes_Proveedores[[Ruc / Dni]:[Razon Social]],2,0),"")</f>
        <v>COMIMTEL SOCIEDAD ANONIMA CERRADA</v>
      </c>
      <c r="W320" s="19" t="str">
        <f>IF(Banco_Nacion[[#This Row],[tipo_mov]]="INGRESO",Banco_Nacion[[#This Row],[serie]]&amp;Banco_Nacion[[#This Row],[numero]]&amp;Banco_Nacion[[#This Row],[responsable]]&amp;Banco_Nacion[[#This Row],[monto]],"")</f>
        <v>FF011720509128686198</v>
      </c>
      <c r="X320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76517971</v>
      </c>
      <c r="Y320" s="3" t="str">
        <f>IFERROR(VLOOKUP(Banco_Nacion[[#This Row],[serie]]&amp;Banco_Nacion[[#This Row],[numero]]&amp;Banco_Nacion[[#This Row],[responsable]],[2]!Provision_CXC[[ID CXP]:[DETRACCION]],47,0),"")</f>
        <v/>
      </c>
      <c r="Z320" s="3"/>
      <c r="AA320" s="24" t="str">
        <f>IF(Banco_Nacion[[#This Row],[fecha]]&gt;0,TEXT(Banco_Nacion[[#This Row],[fecha]],"mmmm"),0)</f>
        <v>Mayo</v>
      </c>
    </row>
    <row r="321" spans="1:27" x14ac:dyDescent="0.3">
      <c r="A321" s="2">
        <f>IF(Banco_Nacion[[#This Row],[tipo_registro]]="R",COUNTIFS($C$1:$C320,"R")+1,"")</f>
        <v>320</v>
      </c>
      <c r="B321" s="19" t="str">
        <f t="shared" si="20"/>
        <v>B-Banco de la Nacion</v>
      </c>
      <c r="C321" s="3" t="s">
        <v>1330</v>
      </c>
      <c r="D321" s="14">
        <v>45786</v>
      </c>
      <c r="E321" s="5">
        <v>20161541991</v>
      </c>
      <c r="F321" s="5" t="s">
        <v>1303</v>
      </c>
      <c r="G321" s="6" t="s">
        <v>425</v>
      </c>
      <c r="H321" s="6" t="s">
        <v>68</v>
      </c>
      <c r="I321" s="6" t="s">
        <v>1784</v>
      </c>
      <c r="J321" s="6">
        <v>46</v>
      </c>
      <c r="K321" s="7" t="s">
        <v>5232</v>
      </c>
      <c r="L321" s="8">
        <v>76495631</v>
      </c>
      <c r="M321" s="8" t="str">
        <f t="shared" si="21"/>
        <v>PEN</v>
      </c>
      <c r="N321" s="13"/>
      <c r="O321" s="13">
        <v>164</v>
      </c>
      <c r="P321" s="3">
        <f t="shared" si="22"/>
        <v>164</v>
      </c>
      <c r="Q321" s="3">
        <f t="shared" si="23"/>
        <v>0</v>
      </c>
      <c r="R321" s="3">
        <f t="shared" si="24"/>
        <v>43651.220000000008</v>
      </c>
      <c r="S321" s="24"/>
      <c r="T321" s="24" t="s">
        <v>1334</v>
      </c>
      <c r="U321" s="3"/>
      <c r="V321" s="19" t="str">
        <f>IFERROR(VLOOKUP(Banco_Nacion[[#This Row],[responsable]],Clientes_Proveedores[[Ruc / Dni]:[Razon Social]],2,0),"")</f>
        <v>ASOCIACION TECSUP N° 2</v>
      </c>
      <c r="W321" s="19" t="str">
        <f>IF(Banco_Nacion[[#This Row],[tipo_mov]]="INGRESO",Banco_Nacion[[#This Row],[serie]]&amp;Banco_Nacion[[#This Row],[numero]]&amp;Banco_Nacion[[#This Row],[responsable]]&amp;Banco_Nacion[[#This Row],[monto]],"")</f>
        <v>FF014620161541991164</v>
      </c>
      <c r="X321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76495631</v>
      </c>
      <c r="Y321" s="3" t="str">
        <f>IFERROR(VLOOKUP(Banco_Nacion[[#This Row],[serie]]&amp;Banco_Nacion[[#This Row],[numero]]&amp;Banco_Nacion[[#This Row],[responsable]],[2]!Provision_CXC[[ID CXP]:[DETRACCION]],47,0),"")</f>
        <v/>
      </c>
      <c r="Z321" s="3"/>
      <c r="AA321" s="24" t="str">
        <f>IF(Banco_Nacion[[#This Row],[fecha]]&gt;0,TEXT(Banco_Nacion[[#This Row],[fecha]],"mmmm"),0)</f>
        <v>Mayo</v>
      </c>
    </row>
    <row r="322" spans="1:27" x14ac:dyDescent="0.3">
      <c r="A322" s="2">
        <f>IF(Banco_Nacion[[#This Row],[tipo_registro]]="R",COUNTIFS($C$1:$C321,"R")+1,"")</f>
        <v>321</v>
      </c>
      <c r="B322" s="19" t="str">
        <f t="shared" ref="B322:B385" si="25">"B-Banco de la Nacion"</f>
        <v>B-Banco de la Nacion</v>
      </c>
      <c r="C322" s="3" t="s">
        <v>1330</v>
      </c>
      <c r="D322" s="14">
        <v>45786</v>
      </c>
      <c r="E322" s="5">
        <v>20498185305</v>
      </c>
      <c r="F322" s="5" t="s">
        <v>1303</v>
      </c>
      <c r="G322" s="6" t="s">
        <v>425</v>
      </c>
      <c r="H322" s="6" t="s">
        <v>68</v>
      </c>
      <c r="I322" s="6" t="s">
        <v>1784</v>
      </c>
      <c r="J322" s="6">
        <v>15</v>
      </c>
      <c r="K322" s="7" t="s">
        <v>5232</v>
      </c>
      <c r="L322" s="8">
        <v>76478639</v>
      </c>
      <c r="M322" s="8" t="str">
        <f t="shared" ref="M322:M385" si="26">"PEN"</f>
        <v>PEN</v>
      </c>
      <c r="N322" s="13"/>
      <c r="O322" s="13">
        <v>282</v>
      </c>
      <c r="P322" s="3">
        <f t="shared" ref="P322:P385" si="27">+IF(OR($F322="SALDO",$F322="INGRESO"),$O322,0)</f>
        <v>282</v>
      </c>
      <c r="Q322" s="3">
        <f t="shared" ref="Q322:Q385" si="28">+IF($F322="EGRESO",$O322,0)</f>
        <v>0</v>
      </c>
      <c r="R322" s="3">
        <f t="shared" ref="R322:R385" si="29">IFERROR(IF(F322="SALDO",P322,R321+P322-Q322),0)</f>
        <v>43933.220000000008</v>
      </c>
      <c r="S322" s="24"/>
      <c r="T322" s="24" t="s">
        <v>1334</v>
      </c>
      <c r="U322" s="3"/>
      <c r="V322" s="19" t="str">
        <f>IFERROR(VLOOKUP(Banco_Nacion[[#This Row],[responsable]],Clientes_Proveedores[[Ruc / Dni]:[Razon Social]],2,0),"")</f>
        <v>INVERSIONES MILENIUM S.R.L.</v>
      </c>
      <c r="W322" s="19" t="str">
        <f>IF(Banco_Nacion[[#This Row],[tipo_mov]]="INGRESO",Banco_Nacion[[#This Row],[serie]]&amp;Banco_Nacion[[#This Row],[numero]]&amp;Banco_Nacion[[#This Row],[responsable]]&amp;Banco_Nacion[[#This Row],[monto]],"")</f>
        <v>FF011520498185305282</v>
      </c>
      <c r="X322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76478639</v>
      </c>
      <c r="Y322" s="3" t="str">
        <f>IFERROR(VLOOKUP(Banco_Nacion[[#This Row],[serie]]&amp;Banco_Nacion[[#This Row],[numero]]&amp;Banco_Nacion[[#This Row],[responsable]],[2]!Provision_CXC[[ID CXP]:[DETRACCION]],47,0),"")</f>
        <v/>
      </c>
      <c r="Z322" s="3"/>
      <c r="AA322" s="24" t="str">
        <f>IF(Banco_Nacion[[#This Row],[fecha]]&gt;0,TEXT(Banco_Nacion[[#This Row],[fecha]],"mmmm"),0)</f>
        <v>Mayo</v>
      </c>
    </row>
    <row r="323" spans="1:27" x14ac:dyDescent="0.3">
      <c r="A323" s="2">
        <f>IF(Banco_Nacion[[#This Row],[tipo_registro]]="R",COUNTIFS($C$1:$C322,"R")+1,"")</f>
        <v>322</v>
      </c>
      <c r="B323" s="19" t="str">
        <f t="shared" si="25"/>
        <v>B-Banco de la Nacion</v>
      </c>
      <c r="C323" s="3" t="s">
        <v>1330</v>
      </c>
      <c r="D323" s="14">
        <v>45786</v>
      </c>
      <c r="E323" s="5">
        <v>20455825742</v>
      </c>
      <c r="F323" s="5" t="s">
        <v>1303</v>
      </c>
      <c r="G323" s="6" t="s">
        <v>425</v>
      </c>
      <c r="H323" s="6" t="s">
        <v>68</v>
      </c>
      <c r="I323" s="6" t="s">
        <v>1784</v>
      </c>
      <c r="J323" s="6">
        <v>18</v>
      </c>
      <c r="K323" s="7" t="s">
        <v>5232</v>
      </c>
      <c r="L323" s="8">
        <v>76376648</v>
      </c>
      <c r="M323" s="8" t="str">
        <f t="shared" si="26"/>
        <v>PEN</v>
      </c>
      <c r="N323" s="13"/>
      <c r="O323" s="13">
        <v>377</v>
      </c>
      <c r="P323" s="3">
        <f t="shared" si="27"/>
        <v>377</v>
      </c>
      <c r="Q323" s="3">
        <f t="shared" si="28"/>
        <v>0</v>
      </c>
      <c r="R323" s="3">
        <f t="shared" si="29"/>
        <v>44310.220000000008</v>
      </c>
      <c r="S323" s="24"/>
      <c r="T323" s="24" t="s">
        <v>1334</v>
      </c>
      <c r="U323" s="3"/>
      <c r="V323" s="19" t="str">
        <f>IFERROR(VLOOKUP(Banco_Nacion[[#This Row],[responsable]],Clientes_Proveedores[[Ruc / Dni]:[Razon Social]],2,0),"")</f>
        <v>LIVIGUI PERU S.A.C.</v>
      </c>
      <c r="W323" s="19" t="str">
        <f>IF(Banco_Nacion[[#This Row],[tipo_mov]]="INGRESO",Banco_Nacion[[#This Row],[serie]]&amp;Banco_Nacion[[#This Row],[numero]]&amp;Banco_Nacion[[#This Row],[responsable]]&amp;Banco_Nacion[[#This Row],[monto]],"")</f>
        <v>FF011820455825742377</v>
      </c>
      <c r="X323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76376648</v>
      </c>
      <c r="Y323" s="3" t="str">
        <f>IFERROR(VLOOKUP(Banco_Nacion[[#This Row],[serie]]&amp;Banco_Nacion[[#This Row],[numero]]&amp;Banco_Nacion[[#This Row],[responsable]],[2]!Provision_CXC[[ID CXP]:[DETRACCION]],47,0),"")</f>
        <v/>
      </c>
      <c r="Z323" s="3"/>
      <c r="AA323" s="24" t="str">
        <f>IF(Banco_Nacion[[#This Row],[fecha]]&gt;0,TEXT(Banco_Nacion[[#This Row],[fecha]],"mmmm"),0)</f>
        <v>Mayo</v>
      </c>
    </row>
    <row r="324" spans="1:27" x14ac:dyDescent="0.3">
      <c r="A324" s="2">
        <f>IF(Banco_Nacion[[#This Row],[tipo_registro]]="R",COUNTIFS($C$1:$C323,"R")+1,"")</f>
        <v>323</v>
      </c>
      <c r="B324" s="19" t="str">
        <f t="shared" si="25"/>
        <v>B-Banco de la Nacion</v>
      </c>
      <c r="C324" s="3" t="s">
        <v>1330</v>
      </c>
      <c r="D324" s="14">
        <v>45789</v>
      </c>
      <c r="E324" s="5">
        <v>20419158462</v>
      </c>
      <c r="F324" s="5" t="s">
        <v>1303</v>
      </c>
      <c r="G324" s="6" t="s">
        <v>425</v>
      </c>
      <c r="H324" s="6" t="s">
        <v>68</v>
      </c>
      <c r="I324" s="6" t="s">
        <v>1784</v>
      </c>
      <c r="J324" s="6">
        <v>58</v>
      </c>
      <c r="K324" s="7" t="s">
        <v>5232</v>
      </c>
      <c r="L324" s="8">
        <v>76848706</v>
      </c>
      <c r="M324" s="8" t="str">
        <f t="shared" si="26"/>
        <v>PEN</v>
      </c>
      <c r="N324" s="13"/>
      <c r="O324" s="13">
        <v>185</v>
      </c>
      <c r="P324" s="3">
        <f t="shared" si="27"/>
        <v>185</v>
      </c>
      <c r="Q324" s="3">
        <f t="shared" si="28"/>
        <v>0</v>
      </c>
      <c r="R324" s="3">
        <f t="shared" si="29"/>
        <v>44495.220000000008</v>
      </c>
      <c r="S324" s="24"/>
      <c r="T324" s="24" t="s">
        <v>1334</v>
      </c>
      <c r="U324" s="3"/>
      <c r="V324" s="19" t="str">
        <f>IFERROR(VLOOKUP(Banco_Nacion[[#This Row],[responsable]],Clientes_Proveedores[[Ruc / Dni]:[Razon Social]],2,0),"")</f>
        <v>GRANJA RINCONADA DEL SUR S.A.</v>
      </c>
      <c r="W324" s="19" t="str">
        <f>IF(Banco_Nacion[[#This Row],[tipo_mov]]="INGRESO",Banco_Nacion[[#This Row],[serie]]&amp;Banco_Nacion[[#This Row],[numero]]&amp;Banco_Nacion[[#This Row],[responsable]]&amp;Banco_Nacion[[#This Row],[monto]],"")</f>
        <v>FF015820419158462185</v>
      </c>
      <c r="X324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76848706</v>
      </c>
      <c r="Y324" s="3" t="str">
        <f>IFERROR(VLOOKUP(Banco_Nacion[[#This Row],[serie]]&amp;Banco_Nacion[[#This Row],[numero]]&amp;Banco_Nacion[[#This Row],[responsable]],[2]!Provision_CXC[[ID CXP]:[DETRACCION]],47,0),"")</f>
        <v/>
      </c>
      <c r="Z324" s="3"/>
      <c r="AA324" s="24" t="str">
        <f>IF(Banco_Nacion[[#This Row],[fecha]]&gt;0,TEXT(Banco_Nacion[[#This Row],[fecha]],"mmmm"),0)</f>
        <v>Mayo</v>
      </c>
    </row>
    <row r="325" spans="1:27" x14ac:dyDescent="0.3">
      <c r="A325" s="2">
        <f>IF(Banco_Nacion[[#This Row],[tipo_registro]]="R",COUNTIFS($C$1:$C324,"R")+1,"")</f>
        <v>324</v>
      </c>
      <c r="B325" s="19" t="str">
        <f t="shared" si="25"/>
        <v>B-Banco de la Nacion</v>
      </c>
      <c r="C325" s="3" t="s">
        <v>1330</v>
      </c>
      <c r="D325" s="14">
        <v>45789</v>
      </c>
      <c r="E325" s="5">
        <v>20419158462</v>
      </c>
      <c r="F325" s="5" t="s">
        <v>1303</v>
      </c>
      <c r="G325" s="6" t="s">
        <v>425</v>
      </c>
      <c r="H325" s="6" t="s">
        <v>68</v>
      </c>
      <c r="I325" s="6" t="s">
        <v>1784</v>
      </c>
      <c r="J325" s="6">
        <v>57</v>
      </c>
      <c r="K325" s="7" t="s">
        <v>5232</v>
      </c>
      <c r="L325" s="8">
        <v>76848705</v>
      </c>
      <c r="M325" s="8" t="str">
        <f t="shared" si="26"/>
        <v>PEN</v>
      </c>
      <c r="N325" s="13"/>
      <c r="O325" s="13">
        <v>173</v>
      </c>
      <c r="P325" s="3">
        <f t="shared" si="27"/>
        <v>173</v>
      </c>
      <c r="Q325" s="3">
        <f t="shared" si="28"/>
        <v>0</v>
      </c>
      <c r="R325" s="3">
        <f t="shared" si="29"/>
        <v>44668.220000000008</v>
      </c>
      <c r="S325" s="24"/>
      <c r="T325" s="24" t="s">
        <v>1334</v>
      </c>
      <c r="U325" s="3"/>
      <c r="V325" s="19" t="str">
        <f>IFERROR(VLOOKUP(Banco_Nacion[[#This Row],[responsable]],Clientes_Proveedores[[Ruc / Dni]:[Razon Social]],2,0),"")</f>
        <v>GRANJA RINCONADA DEL SUR S.A.</v>
      </c>
      <c r="W325" s="19" t="str">
        <f>IF(Banco_Nacion[[#This Row],[tipo_mov]]="INGRESO",Banco_Nacion[[#This Row],[serie]]&amp;Banco_Nacion[[#This Row],[numero]]&amp;Banco_Nacion[[#This Row],[responsable]]&amp;Banco_Nacion[[#This Row],[monto]],"")</f>
        <v>FF015720419158462173</v>
      </c>
      <c r="X325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76848705</v>
      </c>
      <c r="Y325" s="3" t="str">
        <f>IFERROR(VLOOKUP(Banco_Nacion[[#This Row],[serie]]&amp;Banco_Nacion[[#This Row],[numero]]&amp;Banco_Nacion[[#This Row],[responsable]],[2]!Provision_CXC[[ID CXP]:[DETRACCION]],47,0),"")</f>
        <v/>
      </c>
      <c r="Z325" s="3"/>
      <c r="AA325" s="24" t="str">
        <f>IF(Banco_Nacion[[#This Row],[fecha]]&gt;0,TEXT(Banco_Nacion[[#This Row],[fecha]],"mmmm"),0)</f>
        <v>Mayo</v>
      </c>
    </row>
    <row r="326" spans="1:27" x14ac:dyDescent="0.3">
      <c r="A326" s="2">
        <f>IF(Banco_Nacion[[#This Row],[tipo_registro]]="R",COUNTIFS($C$1:$C325,"R")+1,"")</f>
        <v>325</v>
      </c>
      <c r="B326" s="19" t="str">
        <f t="shared" si="25"/>
        <v>B-Banco de la Nacion</v>
      </c>
      <c r="C326" s="3" t="s">
        <v>1330</v>
      </c>
      <c r="D326" s="14">
        <v>45789</v>
      </c>
      <c r="E326" s="5">
        <v>20419158462</v>
      </c>
      <c r="F326" s="5" t="s">
        <v>1303</v>
      </c>
      <c r="G326" s="6" t="s">
        <v>425</v>
      </c>
      <c r="H326" s="6" t="s">
        <v>68</v>
      </c>
      <c r="I326" s="6" t="s">
        <v>1784</v>
      </c>
      <c r="J326" s="6">
        <v>56</v>
      </c>
      <c r="K326" s="7" t="s">
        <v>5232</v>
      </c>
      <c r="L326" s="8">
        <v>76848704</v>
      </c>
      <c r="M326" s="8" t="str">
        <f t="shared" si="26"/>
        <v>PEN</v>
      </c>
      <c r="N326" s="13"/>
      <c r="O326" s="13">
        <v>202</v>
      </c>
      <c r="P326" s="3">
        <f t="shared" si="27"/>
        <v>202</v>
      </c>
      <c r="Q326" s="3">
        <f t="shared" si="28"/>
        <v>0</v>
      </c>
      <c r="R326" s="3">
        <f t="shared" si="29"/>
        <v>44870.220000000008</v>
      </c>
      <c r="S326" s="24"/>
      <c r="T326" s="24" t="s">
        <v>1334</v>
      </c>
      <c r="U326" s="3"/>
      <c r="V326" s="19" t="str">
        <f>IFERROR(VLOOKUP(Banco_Nacion[[#This Row],[responsable]],Clientes_Proveedores[[Ruc / Dni]:[Razon Social]],2,0),"")</f>
        <v>GRANJA RINCONADA DEL SUR S.A.</v>
      </c>
      <c r="W326" s="19" t="str">
        <f>IF(Banco_Nacion[[#This Row],[tipo_mov]]="INGRESO",Banco_Nacion[[#This Row],[serie]]&amp;Banco_Nacion[[#This Row],[numero]]&amp;Banco_Nacion[[#This Row],[responsable]]&amp;Banco_Nacion[[#This Row],[monto]],"")</f>
        <v>FF015620419158462202</v>
      </c>
      <c r="X326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76848704</v>
      </c>
      <c r="Y326" s="3" t="str">
        <f>IFERROR(VLOOKUP(Banco_Nacion[[#This Row],[serie]]&amp;Banco_Nacion[[#This Row],[numero]]&amp;Banco_Nacion[[#This Row],[responsable]],[2]!Provision_CXC[[ID CXP]:[DETRACCION]],47,0),"")</f>
        <v/>
      </c>
      <c r="Z326" s="3"/>
      <c r="AA326" s="24" t="str">
        <f>IF(Banco_Nacion[[#This Row],[fecha]]&gt;0,TEXT(Banco_Nacion[[#This Row],[fecha]],"mmmm"),0)</f>
        <v>Mayo</v>
      </c>
    </row>
    <row r="327" spans="1:27" x14ac:dyDescent="0.3">
      <c r="A327" s="2">
        <f>IF(Banco_Nacion[[#This Row],[tipo_registro]]="R",COUNTIFS($C$1:$C326,"R")+1,"")</f>
        <v>326</v>
      </c>
      <c r="B327" s="19" t="str">
        <f t="shared" si="25"/>
        <v>B-Banco de la Nacion</v>
      </c>
      <c r="C327" s="3" t="s">
        <v>1330</v>
      </c>
      <c r="D327" s="14">
        <v>45789</v>
      </c>
      <c r="E327" s="5">
        <v>20498309713</v>
      </c>
      <c r="F327" s="5" t="s">
        <v>1303</v>
      </c>
      <c r="G327" s="6" t="s">
        <v>425</v>
      </c>
      <c r="H327" s="6" t="s">
        <v>68</v>
      </c>
      <c r="I327" s="6" t="s">
        <v>3302</v>
      </c>
      <c r="J327" s="6">
        <v>28</v>
      </c>
      <c r="K327" s="7" t="s">
        <v>5232</v>
      </c>
      <c r="L327" s="8">
        <v>76776332</v>
      </c>
      <c r="M327" s="8" t="str">
        <f t="shared" si="26"/>
        <v>PEN</v>
      </c>
      <c r="N327" s="13"/>
      <c r="O327" s="13">
        <v>268</v>
      </c>
      <c r="P327" s="3">
        <f t="shared" si="27"/>
        <v>268</v>
      </c>
      <c r="Q327" s="3">
        <f t="shared" si="28"/>
        <v>0</v>
      </c>
      <c r="R327" s="3">
        <f t="shared" si="29"/>
        <v>45138.220000000008</v>
      </c>
      <c r="S327" s="24"/>
      <c r="T327" s="24" t="s">
        <v>1334</v>
      </c>
      <c r="U327" s="3"/>
      <c r="V327" s="19" t="str">
        <f>IFERROR(VLOOKUP(Banco_Nacion[[#This Row],[responsable]],Clientes_Proveedores[[Ruc / Dni]:[Razon Social]],2,0),"")</f>
        <v>SCOMAR S.R.L</v>
      </c>
      <c r="W327" s="19" t="str">
        <f>IF(Banco_Nacion[[#This Row],[tipo_mov]]="INGRESO",Banco_Nacion[[#This Row],[serie]]&amp;Banco_Nacion[[#This Row],[numero]]&amp;Banco_Nacion[[#This Row],[responsable]]&amp;Banco_Nacion[[#This Row],[monto]],"")</f>
        <v>FF022820498309713268</v>
      </c>
      <c r="X327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76776332</v>
      </c>
      <c r="Y327" s="3" t="str">
        <f>IFERROR(VLOOKUP(Banco_Nacion[[#This Row],[serie]]&amp;Banco_Nacion[[#This Row],[numero]]&amp;Banco_Nacion[[#This Row],[responsable]],[2]!Provision_CXC[[ID CXP]:[DETRACCION]],47,0),"")</f>
        <v/>
      </c>
      <c r="Z327" s="3"/>
      <c r="AA327" s="24" t="str">
        <f>IF(Banco_Nacion[[#This Row],[fecha]]&gt;0,TEXT(Banco_Nacion[[#This Row],[fecha]],"mmmm"),0)</f>
        <v>Mayo</v>
      </c>
    </row>
    <row r="328" spans="1:27" x14ac:dyDescent="0.3">
      <c r="A328" s="2">
        <f>IF(Banco_Nacion[[#This Row],[tipo_registro]]="R",COUNTIFS($C$1:$C327,"R")+1,"")</f>
        <v>327</v>
      </c>
      <c r="B328" s="19" t="str">
        <f t="shared" si="25"/>
        <v>B-Banco de la Nacion</v>
      </c>
      <c r="C328" s="3" t="s">
        <v>1330</v>
      </c>
      <c r="D328" s="14">
        <v>45790</v>
      </c>
      <c r="E328" s="5">
        <v>20603065906</v>
      </c>
      <c r="F328" s="5" t="s">
        <v>1303</v>
      </c>
      <c r="G328" s="6" t="s">
        <v>425</v>
      </c>
      <c r="H328" s="6" t="s">
        <v>68</v>
      </c>
      <c r="I328" s="6" t="s">
        <v>3381</v>
      </c>
      <c r="J328" s="6">
        <v>15</v>
      </c>
      <c r="K328" s="7" t="s">
        <v>5232</v>
      </c>
      <c r="L328" s="8">
        <v>76875407</v>
      </c>
      <c r="M328" s="8" t="str">
        <f t="shared" si="26"/>
        <v>PEN</v>
      </c>
      <c r="N328" s="13"/>
      <c r="O328" s="13">
        <v>169</v>
      </c>
      <c r="P328" s="3">
        <f t="shared" si="27"/>
        <v>169</v>
      </c>
      <c r="Q328" s="3">
        <f t="shared" si="28"/>
        <v>0</v>
      </c>
      <c r="R328" s="3">
        <f t="shared" si="29"/>
        <v>45307.220000000008</v>
      </c>
      <c r="S328" s="24"/>
      <c r="T328" s="24" t="s">
        <v>1334</v>
      </c>
      <c r="U328" s="3"/>
      <c r="V328" s="19" t="str">
        <f>IFERROR(VLOOKUP(Banco_Nacion[[#This Row],[responsable]],Clientes_Proveedores[[Ruc / Dni]:[Razon Social]],2,0),"")</f>
        <v>COMERCIO SERVICIOS E INVERSIONES YANCE E.I.R.L.</v>
      </c>
      <c r="W328" s="19" t="str">
        <f>IF(Banco_Nacion[[#This Row],[tipo_mov]]="INGRESO",Banco_Nacion[[#This Row],[serie]]&amp;Banco_Nacion[[#This Row],[numero]]&amp;Banco_Nacion[[#This Row],[responsable]]&amp;Banco_Nacion[[#This Row],[monto]],"")</f>
        <v>FF051520603065906169</v>
      </c>
      <c r="X328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76875407</v>
      </c>
      <c r="Y328" s="3" t="str">
        <f>IFERROR(VLOOKUP(Banco_Nacion[[#This Row],[serie]]&amp;Banco_Nacion[[#This Row],[numero]]&amp;Banco_Nacion[[#This Row],[responsable]],[2]!Provision_CXC[[ID CXP]:[DETRACCION]],47,0),"")</f>
        <v/>
      </c>
      <c r="Z328" s="3"/>
      <c r="AA328" s="24" t="str">
        <f>IF(Banco_Nacion[[#This Row],[fecha]]&gt;0,TEXT(Banco_Nacion[[#This Row],[fecha]],"mmmm"),0)</f>
        <v>Mayo</v>
      </c>
    </row>
    <row r="329" spans="1:27" x14ac:dyDescent="0.3">
      <c r="A329" s="2">
        <f>IF(Banco_Nacion[[#This Row],[tipo_registro]]="R",COUNTIFS($C$1:$C328,"R")+1,"")</f>
        <v>328</v>
      </c>
      <c r="B329" s="19" t="str">
        <f t="shared" si="25"/>
        <v>B-Banco de la Nacion</v>
      </c>
      <c r="C329" s="3" t="s">
        <v>1330</v>
      </c>
      <c r="D329" s="14">
        <v>45792</v>
      </c>
      <c r="E329" s="5">
        <v>20100055237</v>
      </c>
      <c r="F329" s="5" t="s">
        <v>1303</v>
      </c>
      <c r="G329" s="6" t="s">
        <v>425</v>
      </c>
      <c r="H329" s="6" t="s">
        <v>68</v>
      </c>
      <c r="I329" s="6" t="s">
        <v>1784</v>
      </c>
      <c r="J329" s="6">
        <v>72</v>
      </c>
      <c r="K329" s="7" t="s">
        <v>5232</v>
      </c>
      <c r="L329" s="8">
        <v>76997098</v>
      </c>
      <c r="M329" s="8" t="str">
        <f t="shared" si="26"/>
        <v>PEN</v>
      </c>
      <c r="N329" s="13"/>
      <c r="O329" s="13">
        <v>112</v>
      </c>
      <c r="P329" s="3">
        <f t="shared" si="27"/>
        <v>112</v>
      </c>
      <c r="Q329" s="3">
        <f t="shared" si="28"/>
        <v>0</v>
      </c>
      <c r="R329" s="3">
        <f t="shared" si="29"/>
        <v>45419.220000000008</v>
      </c>
      <c r="S329" s="24"/>
      <c r="T329" s="24" t="s">
        <v>1334</v>
      </c>
      <c r="U329" s="3"/>
      <c r="V329" s="19" t="str">
        <f>IFERROR(VLOOKUP(Banco_Nacion[[#This Row],[responsable]],Clientes_Proveedores[[Ruc / Dni]:[Razon Social]],2,0),"")</f>
        <v>ALICORP SAA</v>
      </c>
      <c r="W329" s="19" t="str">
        <f>IF(Banco_Nacion[[#This Row],[tipo_mov]]="INGRESO",Banco_Nacion[[#This Row],[serie]]&amp;Banco_Nacion[[#This Row],[numero]]&amp;Banco_Nacion[[#This Row],[responsable]]&amp;Banco_Nacion[[#This Row],[monto]],"")</f>
        <v>FF017220100055237112</v>
      </c>
      <c r="X329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76997098</v>
      </c>
      <c r="Y329" s="3" t="str">
        <f>IFERROR(VLOOKUP(Banco_Nacion[[#This Row],[serie]]&amp;Banco_Nacion[[#This Row],[numero]]&amp;Banco_Nacion[[#This Row],[responsable]],[2]!Provision_CXC[[ID CXP]:[DETRACCION]],47,0),"")</f>
        <v/>
      </c>
      <c r="Z329" s="3"/>
      <c r="AA329" s="24" t="str">
        <f>IF(Banco_Nacion[[#This Row],[fecha]]&gt;0,TEXT(Banco_Nacion[[#This Row],[fecha]],"mmmm"),0)</f>
        <v>Mayo</v>
      </c>
    </row>
    <row r="330" spans="1:27" x14ac:dyDescent="0.3">
      <c r="A330" s="2">
        <f>IF(Banco_Nacion[[#This Row],[tipo_registro]]="R",COUNTIFS($C$1:$C329,"R")+1,"")</f>
        <v>329</v>
      </c>
      <c r="B330" s="19" t="str">
        <f t="shared" si="25"/>
        <v>B-Banco de la Nacion</v>
      </c>
      <c r="C330" s="3" t="s">
        <v>1330</v>
      </c>
      <c r="D330" s="14">
        <v>45792</v>
      </c>
      <c r="E330" s="5">
        <v>20100192064</v>
      </c>
      <c r="F330" s="5" t="s">
        <v>1303</v>
      </c>
      <c r="G330" s="6" t="s">
        <v>425</v>
      </c>
      <c r="H330" s="6" t="s">
        <v>68</v>
      </c>
      <c r="I330" s="6" t="s">
        <v>1784</v>
      </c>
      <c r="J330" s="6">
        <v>68</v>
      </c>
      <c r="K330" s="7" t="s">
        <v>5232</v>
      </c>
      <c r="L330" s="8">
        <v>76983108</v>
      </c>
      <c r="M330" s="8" t="str">
        <f t="shared" si="26"/>
        <v>PEN</v>
      </c>
      <c r="N330" s="13"/>
      <c r="O330" s="13">
        <v>283</v>
      </c>
      <c r="P330" s="3">
        <f t="shared" si="27"/>
        <v>283</v>
      </c>
      <c r="Q330" s="3">
        <f t="shared" si="28"/>
        <v>0</v>
      </c>
      <c r="R330" s="3">
        <f t="shared" si="29"/>
        <v>45702.220000000008</v>
      </c>
      <c r="S330" s="24"/>
      <c r="T330" s="24" t="s">
        <v>1334</v>
      </c>
      <c r="U330" s="3"/>
      <c r="V330" s="19" t="str">
        <f>IFERROR(VLOOKUP(Banco_Nacion[[#This Row],[responsable]],Clientes_Proveedores[[Ruc / Dni]:[Razon Social]],2,0),"")</f>
        <v>MOLY-COP ADESUR S.A</v>
      </c>
      <c r="W330" s="19" t="str">
        <f>IF(Banco_Nacion[[#This Row],[tipo_mov]]="INGRESO",Banco_Nacion[[#This Row],[serie]]&amp;Banco_Nacion[[#This Row],[numero]]&amp;Banco_Nacion[[#This Row],[responsable]]&amp;Banco_Nacion[[#This Row],[monto]],"")</f>
        <v>FF016820100192064283</v>
      </c>
      <c r="X330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76983108</v>
      </c>
      <c r="Y330" s="3" t="str">
        <f>IFERROR(VLOOKUP(Banco_Nacion[[#This Row],[serie]]&amp;Banco_Nacion[[#This Row],[numero]]&amp;Banco_Nacion[[#This Row],[responsable]],[2]!Provision_CXC[[ID CXP]:[DETRACCION]],47,0),"")</f>
        <v/>
      </c>
      <c r="Z330" s="3"/>
      <c r="AA330" s="24" t="str">
        <f>IF(Banco_Nacion[[#This Row],[fecha]]&gt;0,TEXT(Banco_Nacion[[#This Row],[fecha]],"mmmm"),0)</f>
        <v>Mayo</v>
      </c>
    </row>
    <row r="331" spans="1:27" x14ac:dyDescent="0.3">
      <c r="A331" s="2">
        <f>IF(Banco_Nacion[[#This Row],[tipo_registro]]="R",COUNTIFS($C$1:$C330,"R")+1,"")</f>
        <v>330</v>
      </c>
      <c r="B331" s="19" t="str">
        <f t="shared" si="25"/>
        <v>B-Banco de la Nacion</v>
      </c>
      <c r="C331" s="3" t="s">
        <v>1330</v>
      </c>
      <c r="D331" s="14">
        <v>45792</v>
      </c>
      <c r="E331" s="5">
        <v>20100192064</v>
      </c>
      <c r="F331" s="5" t="s">
        <v>1303</v>
      </c>
      <c r="G331" s="6" t="s">
        <v>425</v>
      </c>
      <c r="H331" s="6" t="s">
        <v>68</v>
      </c>
      <c r="I331" s="6" t="s">
        <v>1784</v>
      </c>
      <c r="J331" s="6">
        <v>67</v>
      </c>
      <c r="K331" s="7" t="s">
        <v>5232</v>
      </c>
      <c r="L331" s="8">
        <v>76983107</v>
      </c>
      <c r="M331" s="8" t="str">
        <f t="shared" si="26"/>
        <v>PEN</v>
      </c>
      <c r="N331" s="13"/>
      <c r="O331" s="13">
        <v>142</v>
      </c>
      <c r="P331" s="3">
        <f t="shared" si="27"/>
        <v>142</v>
      </c>
      <c r="Q331" s="3">
        <f t="shared" si="28"/>
        <v>0</v>
      </c>
      <c r="R331" s="3">
        <f t="shared" si="29"/>
        <v>45844.220000000008</v>
      </c>
      <c r="S331" s="24"/>
      <c r="T331" s="24" t="s">
        <v>1334</v>
      </c>
      <c r="U331" s="3"/>
      <c r="V331" s="19" t="str">
        <f>IFERROR(VLOOKUP(Banco_Nacion[[#This Row],[responsable]],Clientes_Proveedores[[Ruc / Dni]:[Razon Social]],2,0),"")</f>
        <v>MOLY-COP ADESUR S.A</v>
      </c>
      <c r="W331" s="19" t="str">
        <f>IF(Banco_Nacion[[#This Row],[tipo_mov]]="INGRESO",Banco_Nacion[[#This Row],[serie]]&amp;Banco_Nacion[[#This Row],[numero]]&amp;Banco_Nacion[[#This Row],[responsable]]&amp;Banco_Nacion[[#This Row],[monto]],"")</f>
        <v>FF016720100192064142</v>
      </c>
      <c r="X331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76983107</v>
      </c>
      <c r="Y331" s="3" t="str">
        <f>IFERROR(VLOOKUP(Banco_Nacion[[#This Row],[serie]]&amp;Banco_Nacion[[#This Row],[numero]]&amp;Banco_Nacion[[#This Row],[responsable]],[2]!Provision_CXC[[ID CXP]:[DETRACCION]],47,0),"")</f>
        <v/>
      </c>
      <c r="Z331" s="3"/>
      <c r="AA331" s="24" t="str">
        <f>IF(Banco_Nacion[[#This Row],[fecha]]&gt;0,TEXT(Banco_Nacion[[#This Row],[fecha]],"mmmm"),0)</f>
        <v>Mayo</v>
      </c>
    </row>
    <row r="332" spans="1:27" x14ac:dyDescent="0.3">
      <c r="A332" s="2">
        <f>IF(Banco_Nacion[[#This Row],[tipo_registro]]="R",COUNTIFS($C$1:$C331,"R")+1,"")</f>
        <v>331</v>
      </c>
      <c r="B332" s="19" t="str">
        <f t="shared" si="25"/>
        <v>B-Banco de la Nacion</v>
      </c>
      <c r="C332" s="3" t="s">
        <v>1330</v>
      </c>
      <c r="D332" s="14">
        <v>45793</v>
      </c>
      <c r="E332" s="5">
        <v>20133208292</v>
      </c>
      <c r="F332" s="5" t="s">
        <v>1303</v>
      </c>
      <c r="G332" s="6" t="s">
        <v>425</v>
      </c>
      <c r="H332" s="6" t="s">
        <v>68</v>
      </c>
      <c r="I332" s="6" t="s">
        <v>1784</v>
      </c>
      <c r="J332" s="6">
        <v>41</v>
      </c>
      <c r="K332" s="7" t="s">
        <v>5232</v>
      </c>
      <c r="L332" s="8">
        <v>77231780</v>
      </c>
      <c r="M332" s="8" t="str">
        <f t="shared" si="26"/>
        <v>PEN</v>
      </c>
      <c r="N332" s="13"/>
      <c r="O332" s="13">
        <v>572</v>
      </c>
      <c r="P332" s="3">
        <f t="shared" si="27"/>
        <v>572</v>
      </c>
      <c r="Q332" s="3">
        <f t="shared" si="28"/>
        <v>0</v>
      </c>
      <c r="R332" s="3">
        <f t="shared" si="29"/>
        <v>46416.220000000008</v>
      </c>
      <c r="S332" s="24"/>
      <c r="T332" s="24" t="s">
        <v>1334</v>
      </c>
      <c r="U332" s="3"/>
      <c r="V332" s="19" t="str">
        <f>IFERROR(VLOOKUP(Banco_Nacion[[#This Row],[responsable]],Clientes_Proveedores[[Ruc / Dni]:[Razon Social]],2,0),"")</f>
        <v>COMANDO SOCIEDAD ANONIMA CERRADA</v>
      </c>
      <c r="W332" s="19" t="str">
        <f>IF(Banco_Nacion[[#This Row],[tipo_mov]]="INGRESO",Banco_Nacion[[#This Row],[serie]]&amp;Banco_Nacion[[#This Row],[numero]]&amp;Banco_Nacion[[#This Row],[responsable]]&amp;Banco_Nacion[[#This Row],[monto]],"")</f>
        <v>FF014120133208292572</v>
      </c>
      <c r="X332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77231780</v>
      </c>
      <c r="Y332" s="3" t="str">
        <f>IFERROR(VLOOKUP(Banco_Nacion[[#This Row],[serie]]&amp;Banco_Nacion[[#This Row],[numero]]&amp;Banco_Nacion[[#This Row],[responsable]],[2]!Provision_CXC[[ID CXP]:[DETRACCION]],47,0),"")</f>
        <v/>
      </c>
      <c r="Z332" s="3"/>
      <c r="AA332" s="24" t="str">
        <f>IF(Banco_Nacion[[#This Row],[fecha]]&gt;0,TEXT(Banco_Nacion[[#This Row],[fecha]],"mmmm"),0)</f>
        <v>Mayo</v>
      </c>
    </row>
    <row r="333" spans="1:27" x14ac:dyDescent="0.3">
      <c r="A333" s="2">
        <f>IF(Banco_Nacion[[#This Row],[tipo_registro]]="R",COUNTIFS($C$1:$C332,"R")+1,"")</f>
        <v>332</v>
      </c>
      <c r="B333" s="19" t="str">
        <f t="shared" si="25"/>
        <v>B-Banco de la Nacion</v>
      </c>
      <c r="C333" s="3" t="s">
        <v>1330</v>
      </c>
      <c r="D333" s="14">
        <v>45793</v>
      </c>
      <c r="E333" s="5">
        <v>20402885549</v>
      </c>
      <c r="F333" s="5" t="s">
        <v>1303</v>
      </c>
      <c r="G333" s="6" t="s">
        <v>425</v>
      </c>
      <c r="H333" s="6" t="s">
        <v>68</v>
      </c>
      <c r="I333" s="6" t="s">
        <v>3302</v>
      </c>
      <c r="J333" s="6">
        <v>37</v>
      </c>
      <c r="K333" s="7" t="s">
        <v>5232</v>
      </c>
      <c r="L333" s="8">
        <v>77200285</v>
      </c>
      <c r="M333" s="8" t="str">
        <f t="shared" si="26"/>
        <v>PEN</v>
      </c>
      <c r="N333" s="13"/>
      <c r="O333" s="13">
        <v>4163</v>
      </c>
      <c r="P333" s="3">
        <f t="shared" si="27"/>
        <v>4163</v>
      </c>
      <c r="Q333" s="3">
        <f t="shared" si="28"/>
        <v>0</v>
      </c>
      <c r="R333" s="3">
        <f t="shared" si="29"/>
        <v>50579.220000000008</v>
      </c>
      <c r="S333" s="24"/>
      <c r="T333" s="24" t="s">
        <v>1334</v>
      </c>
      <c r="U333" s="3"/>
      <c r="V333" s="19" t="str">
        <f>IFERROR(VLOOKUP(Banco_Nacion[[#This Row],[responsable]],Clientes_Proveedores[[Ruc / Dni]:[Razon Social]],2,0),"")</f>
        <v>EMPRESA SIDERURGICA DEL PERU S.A.A.</v>
      </c>
      <c r="W333" s="19" t="str">
        <f>IF(Banco_Nacion[[#This Row],[tipo_mov]]="INGRESO",Banco_Nacion[[#This Row],[serie]]&amp;Banco_Nacion[[#This Row],[numero]]&amp;Banco_Nacion[[#This Row],[responsable]]&amp;Banco_Nacion[[#This Row],[monto]],"")</f>
        <v>FF0237204028855494163</v>
      </c>
      <c r="X333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77200285</v>
      </c>
      <c r="Y333" s="3" t="str">
        <f>IFERROR(VLOOKUP(Banco_Nacion[[#This Row],[serie]]&amp;Banco_Nacion[[#This Row],[numero]]&amp;Banco_Nacion[[#This Row],[responsable]],[2]!Provision_CXC[[ID CXP]:[DETRACCION]],47,0),"")</f>
        <v/>
      </c>
      <c r="Z333" s="3"/>
      <c r="AA333" s="24" t="str">
        <f>IF(Banco_Nacion[[#This Row],[fecha]]&gt;0,TEXT(Banco_Nacion[[#This Row],[fecha]],"mmmm"),0)</f>
        <v>Mayo</v>
      </c>
    </row>
    <row r="334" spans="1:27" x14ac:dyDescent="0.3">
      <c r="A334" s="2">
        <f>IF(Banco_Nacion[[#This Row],[tipo_registro]]="R",COUNTIFS($C$1:$C333,"R")+1,"")</f>
        <v>333</v>
      </c>
      <c r="B334" s="19" t="str">
        <f t="shared" si="25"/>
        <v>B-Banco de la Nacion</v>
      </c>
      <c r="C334" s="3" t="s">
        <v>1330</v>
      </c>
      <c r="D334" s="14">
        <v>45793</v>
      </c>
      <c r="E334" s="5">
        <v>20455283915</v>
      </c>
      <c r="F334" s="5" t="s">
        <v>1303</v>
      </c>
      <c r="G334" s="6" t="s">
        <v>425</v>
      </c>
      <c r="H334" s="6"/>
      <c r="I334" s="6" t="s">
        <v>5231</v>
      </c>
      <c r="J334" s="6" t="s">
        <v>5231</v>
      </c>
      <c r="K334" s="7" t="s">
        <v>5232</v>
      </c>
      <c r="L334" s="8">
        <v>77192128</v>
      </c>
      <c r="M334" s="8" t="str">
        <f t="shared" si="26"/>
        <v>PEN</v>
      </c>
      <c r="N334" s="13"/>
      <c r="O334" s="13">
        <v>354</v>
      </c>
      <c r="P334" s="3">
        <f t="shared" si="27"/>
        <v>354</v>
      </c>
      <c r="Q334" s="3">
        <f t="shared" si="28"/>
        <v>0</v>
      </c>
      <c r="R334" s="3">
        <f t="shared" si="29"/>
        <v>50933.220000000008</v>
      </c>
      <c r="S334" s="24"/>
      <c r="T334" s="24"/>
      <c r="U334" s="3"/>
      <c r="V334" s="19" t="str">
        <f>IFERROR(VLOOKUP(Banco_Nacion[[#This Row],[responsable]],Clientes_Proveedores[[Ruc / Dni]:[Razon Social]],2,0),"")</f>
        <v>EMPRESA CONSERVADORA AMBIENTAL DEL SUR E.I.R.L. - ECA SUR E.I.R.L.</v>
      </c>
      <c r="W334" s="19" t="str">
        <f>IF(Banco_Nacion[[#This Row],[tipo_mov]]="INGRESO",Banco_Nacion[[#This Row],[serie]]&amp;Banco_Nacion[[#This Row],[numero]]&amp;Banco_Nacion[[#This Row],[responsable]]&amp;Banco_Nacion[[#This Row],[monto]],"")</f>
        <v>20455283915354</v>
      </c>
      <c r="X334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77192128</v>
      </c>
      <c r="Y334" s="3" t="str">
        <f>IFERROR(VLOOKUP(Banco_Nacion[[#This Row],[serie]]&amp;Banco_Nacion[[#This Row],[numero]]&amp;Banco_Nacion[[#This Row],[responsable]],[2]!Provision_CXC[[ID CXP]:[DETRACCION]],47,0),"")</f>
        <v/>
      </c>
      <c r="Z334" s="3"/>
      <c r="AA334" s="24" t="str">
        <f>IF(Banco_Nacion[[#This Row],[fecha]]&gt;0,TEXT(Banco_Nacion[[#This Row],[fecha]],"mmmm"),0)</f>
        <v>Mayo</v>
      </c>
    </row>
    <row r="335" spans="1:27" x14ac:dyDescent="0.3">
      <c r="A335" s="2">
        <f>IF(Banco_Nacion[[#This Row],[tipo_registro]]="R",COUNTIFS($C$1:$C334,"R")+1,"")</f>
        <v>334</v>
      </c>
      <c r="B335" s="19" t="str">
        <f t="shared" si="25"/>
        <v>B-Banco de la Nacion</v>
      </c>
      <c r="C335" s="3" t="s">
        <v>1330</v>
      </c>
      <c r="D335" s="14">
        <v>45793</v>
      </c>
      <c r="E335" s="5">
        <v>20455283915</v>
      </c>
      <c r="F335" s="5" t="s">
        <v>1303</v>
      </c>
      <c r="G335" s="6" t="s">
        <v>425</v>
      </c>
      <c r="H335" s="6"/>
      <c r="I335" s="6" t="s">
        <v>5231</v>
      </c>
      <c r="J335" s="6" t="s">
        <v>5231</v>
      </c>
      <c r="K335" s="7" t="s">
        <v>5232</v>
      </c>
      <c r="L335" s="8">
        <v>77192127</v>
      </c>
      <c r="M335" s="8" t="str">
        <f t="shared" si="26"/>
        <v>PEN</v>
      </c>
      <c r="N335" s="13"/>
      <c r="O335" s="13">
        <v>330</v>
      </c>
      <c r="P335" s="3">
        <f t="shared" si="27"/>
        <v>330</v>
      </c>
      <c r="Q335" s="3">
        <f t="shared" si="28"/>
        <v>0</v>
      </c>
      <c r="R335" s="3">
        <f t="shared" si="29"/>
        <v>51263.220000000008</v>
      </c>
      <c r="S335" s="24"/>
      <c r="T335" s="24"/>
      <c r="U335" s="3"/>
      <c r="V335" s="19" t="str">
        <f>IFERROR(VLOOKUP(Banco_Nacion[[#This Row],[responsable]],Clientes_Proveedores[[Ruc / Dni]:[Razon Social]],2,0),"")</f>
        <v>EMPRESA CONSERVADORA AMBIENTAL DEL SUR E.I.R.L. - ECA SUR E.I.R.L.</v>
      </c>
      <c r="W335" s="19" t="str">
        <f>IF(Banco_Nacion[[#This Row],[tipo_mov]]="INGRESO",Banco_Nacion[[#This Row],[serie]]&amp;Banco_Nacion[[#This Row],[numero]]&amp;Banco_Nacion[[#This Row],[responsable]]&amp;Banco_Nacion[[#This Row],[monto]],"")</f>
        <v>20455283915330</v>
      </c>
      <c r="X335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77192127</v>
      </c>
      <c r="Y335" s="3" t="str">
        <f>IFERROR(VLOOKUP(Banco_Nacion[[#This Row],[serie]]&amp;Banco_Nacion[[#This Row],[numero]]&amp;Banco_Nacion[[#This Row],[responsable]],[2]!Provision_CXC[[ID CXP]:[DETRACCION]],47,0),"")</f>
        <v/>
      </c>
      <c r="Z335" s="3"/>
      <c r="AA335" s="24" t="str">
        <f>IF(Banco_Nacion[[#This Row],[fecha]]&gt;0,TEXT(Banco_Nacion[[#This Row],[fecha]],"mmmm"),0)</f>
        <v>Mayo</v>
      </c>
    </row>
    <row r="336" spans="1:27" x14ac:dyDescent="0.3">
      <c r="A336" s="2">
        <f>IF(Banco_Nacion[[#This Row],[tipo_registro]]="R",COUNTIFS($C$1:$C335,"R")+1,"")</f>
        <v>335</v>
      </c>
      <c r="B336" s="19" t="str">
        <f t="shared" si="25"/>
        <v>B-Banco de la Nacion</v>
      </c>
      <c r="C336" s="3" t="s">
        <v>1330</v>
      </c>
      <c r="D336" s="14">
        <v>45793</v>
      </c>
      <c r="E336" s="5">
        <v>20455283915</v>
      </c>
      <c r="F336" s="5" t="s">
        <v>1303</v>
      </c>
      <c r="G336" s="6" t="s">
        <v>425</v>
      </c>
      <c r="H336" s="6"/>
      <c r="I336" s="6" t="s">
        <v>5231</v>
      </c>
      <c r="J336" s="6" t="s">
        <v>5231</v>
      </c>
      <c r="K336" s="7" t="s">
        <v>5232</v>
      </c>
      <c r="L336" s="8">
        <v>77192126</v>
      </c>
      <c r="M336" s="8" t="str">
        <f t="shared" si="26"/>
        <v>PEN</v>
      </c>
      <c r="N336" s="13"/>
      <c r="O336" s="13">
        <v>29</v>
      </c>
      <c r="P336" s="3">
        <f t="shared" si="27"/>
        <v>29</v>
      </c>
      <c r="Q336" s="3">
        <f t="shared" si="28"/>
        <v>0</v>
      </c>
      <c r="R336" s="3">
        <f t="shared" si="29"/>
        <v>51292.220000000008</v>
      </c>
      <c r="S336" s="24"/>
      <c r="T336" s="24"/>
      <c r="U336" s="3"/>
      <c r="V336" s="19" t="str">
        <f>IFERROR(VLOOKUP(Banco_Nacion[[#This Row],[responsable]],Clientes_Proveedores[[Ruc / Dni]:[Razon Social]],2,0),"")</f>
        <v>EMPRESA CONSERVADORA AMBIENTAL DEL SUR E.I.R.L. - ECA SUR E.I.R.L.</v>
      </c>
      <c r="W336" s="19" t="str">
        <f>IF(Banco_Nacion[[#This Row],[tipo_mov]]="INGRESO",Banco_Nacion[[#This Row],[serie]]&amp;Banco_Nacion[[#This Row],[numero]]&amp;Banco_Nacion[[#This Row],[responsable]]&amp;Banco_Nacion[[#This Row],[monto]],"")</f>
        <v>2045528391529</v>
      </c>
      <c r="X336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77192126</v>
      </c>
      <c r="Y336" s="3" t="str">
        <f>IFERROR(VLOOKUP(Banco_Nacion[[#This Row],[serie]]&amp;Banco_Nacion[[#This Row],[numero]]&amp;Banco_Nacion[[#This Row],[responsable]],[2]!Provision_CXC[[ID CXP]:[DETRACCION]],47,0),"")</f>
        <v/>
      </c>
      <c r="Z336" s="3"/>
      <c r="AA336" s="24" t="str">
        <f>IF(Banco_Nacion[[#This Row],[fecha]]&gt;0,TEXT(Banco_Nacion[[#This Row],[fecha]],"mmmm"),0)</f>
        <v>Mayo</v>
      </c>
    </row>
    <row r="337" spans="1:27" x14ac:dyDescent="0.3">
      <c r="A337" s="2">
        <f>IF(Banco_Nacion[[#This Row],[tipo_registro]]="R",COUNTIFS($C$1:$C336,"R")+1,"")</f>
        <v>336</v>
      </c>
      <c r="B337" s="19" t="str">
        <f t="shared" si="25"/>
        <v>B-Banco de la Nacion</v>
      </c>
      <c r="C337" s="3" t="s">
        <v>1330</v>
      </c>
      <c r="D337" s="14">
        <v>45793</v>
      </c>
      <c r="E337" s="5">
        <v>20455283915</v>
      </c>
      <c r="F337" s="5" t="s">
        <v>1303</v>
      </c>
      <c r="G337" s="6" t="s">
        <v>425</v>
      </c>
      <c r="H337" s="6"/>
      <c r="I337" s="6" t="s">
        <v>5231</v>
      </c>
      <c r="J337" s="6" t="s">
        <v>5231</v>
      </c>
      <c r="K337" s="7" t="s">
        <v>5232</v>
      </c>
      <c r="L337" s="8">
        <v>77192125</v>
      </c>
      <c r="M337" s="8" t="str">
        <f t="shared" si="26"/>
        <v>PEN</v>
      </c>
      <c r="N337" s="13"/>
      <c r="O337" s="13">
        <v>86</v>
      </c>
      <c r="P337" s="3">
        <f t="shared" si="27"/>
        <v>86</v>
      </c>
      <c r="Q337" s="3">
        <f t="shared" si="28"/>
        <v>0</v>
      </c>
      <c r="R337" s="3">
        <f t="shared" si="29"/>
        <v>51378.220000000008</v>
      </c>
      <c r="S337" s="24"/>
      <c r="T337" s="24"/>
      <c r="U337" s="3"/>
      <c r="V337" s="19" t="str">
        <f>IFERROR(VLOOKUP(Banco_Nacion[[#This Row],[responsable]],Clientes_Proveedores[[Ruc / Dni]:[Razon Social]],2,0),"")</f>
        <v>EMPRESA CONSERVADORA AMBIENTAL DEL SUR E.I.R.L. - ECA SUR E.I.R.L.</v>
      </c>
      <c r="W337" s="19" t="str">
        <f>IF(Banco_Nacion[[#This Row],[tipo_mov]]="INGRESO",Banco_Nacion[[#This Row],[serie]]&amp;Banco_Nacion[[#This Row],[numero]]&amp;Banco_Nacion[[#This Row],[responsable]]&amp;Banco_Nacion[[#This Row],[monto]],"")</f>
        <v>2045528391586</v>
      </c>
      <c r="X337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77192125</v>
      </c>
      <c r="Y337" s="3" t="str">
        <f>IFERROR(VLOOKUP(Banco_Nacion[[#This Row],[serie]]&amp;Banco_Nacion[[#This Row],[numero]]&amp;Banco_Nacion[[#This Row],[responsable]],[2]!Provision_CXC[[ID CXP]:[DETRACCION]],47,0),"")</f>
        <v/>
      </c>
      <c r="Z337" s="3"/>
      <c r="AA337" s="24" t="str">
        <f>IF(Banco_Nacion[[#This Row],[fecha]]&gt;0,TEXT(Banco_Nacion[[#This Row],[fecha]],"mmmm"),0)</f>
        <v>Mayo</v>
      </c>
    </row>
    <row r="338" spans="1:27" x14ac:dyDescent="0.3">
      <c r="A338" s="2">
        <f>IF(Banco_Nacion[[#This Row],[tipo_registro]]="R",COUNTIFS($C$1:$C337,"R")+1,"")</f>
        <v>337</v>
      </c>
      <c r="B338" s="19" t="str">
        <f t="shared" si="25"/>
        <v>B-Banco de la Nacion</v>
      </c>
      <c r="C338" s="3" t="s">
        <v>1330</v>
      </c>
      <c r="D338" s="14">
        <v>45793</v>
      </c>
      <c r="E338" s="5">
        <v>20455283915</v>
      </c>
      <c r="F338" s="5" t="s">
        <v>1303</v>
      </c>
      <c r="G338" s="6" t="s">
        <v>425</v>
      </c>
      <c r="H338" s="6"/>
      <c r="I338" s="6" t="s">
        <v>5231</v>
      </c>
      <c r="J338" s="6" t="s">
        <v>5231</v>
      </c>
      <c r="K338" s="7" t="s">
        <v>5232</v>
      </c>
      <c r="L338" s="8">
        <v>77192124</v>
      </c>
      <c r="M338" s="8" t="str">
        <f t="shared" si="26"/>
        <v>PEN</v>
      </c>
      <c r="N338" s="13"/>
      <c r="O338" s="13">
        <v>59</v>
      </c>
      <c r="P338" s="3">
        <f t="shared" si="27"/>
        <v>59</v>
      </c>
      <c r="Q338" s="3">
        <f t="shared" si="28"/>
        <v>0</v>
      </c>
      <c r="R338" s="3">
        <f t="shared" si="29"/>
        <v>51437.220000000008</v>
      </c>
      <c r="S338" s="24"/>
      <c r="T338" s="24"/>
      <c r="U338" s="3"/>
      <c r="V338" s="19" t="str">
        <f>IFERROR(VLOOKUP(Banco_Nacion[[#This Row],[responsable]],Clientes_Proveedores[[Ruc / Dni]:[Razon Social]],2,0),"")</f>
        <v>EMPRESA CONSERVADORA AMBIENTAL DEL SUR E.I.R.L. - ECA SUR E.I.R.L.</v>
      </c>
      <c r="W338" s="19" t="str">
        <f>IF(Banco_Nacion[[#This Row],[tipo_mov]]="INGRESO",Banco_Nacion[[#This Row],[serie]]&amp;Banco_Nacion[[#This Row],[numero]]&amp;Banco_Nacion[[#This Row],[responsable]]&amp;Banco_Nacion[[#This Row],[monto]],"")</f>
        <v>2045528391559</v>
      </c>
      <c r="X338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77192124</v>
      </c>
      <c r="Y338" s="3" t="str">
        <f>IFERROR(VLOOKUP(Banco_Nacion[[#This Row],[serie]]&amp;Banco_Nacion[[#This Row],[numero]]&amp;Banco_Nacion[[#This Row],[responsable]],[2]!Provision_CXC[[ID CXP]:[DETRACCION]],47,0),"")</f>
        <v/>
      </c>
      <c r="Z338" s="3"/>
      <c r="AA338" s="24" t="str">
        <f>IF(Banco_Nacion[[#This Row],[fecha]]&gt;0,TEXT(Banco_Nacion[[#This Row],[fecha]],"mmmm"),0)</f>
        <v>Mayo</v>
      </c>
    </row>
    <row r="339" spans="1:27" x14ac:dyDescent="0.3">
      <c r="A339" s="2">
        <f>IF(Banco_Nacion[[#This Row],[tipo_registro]]="R",COUNTIFS($C$1:$C338,"R")+1,"")</f>
        <v>338</v>
      </c>
      <c r="B339" s="19" t="str">
        <f t="shared" si="25"/>
        <v>B-Banco de la Nacion</v>
      </c>
      <c r="C339" s="3" t="s">
        <v>1330</v>
      </c>
      <c r="D339" s="14">
        <v>45793</v>
      </c>
      <c r="E339" s="5">
        <v>20455283915</v>
      </c>
      <c r="F339" s="5" t="s">
        <v>1303</v>
      </c>
      <c r="G339" s="6" t="s">
        <v>425</v>
      </c>
      <c r="H339" s="6"/>
      <c r="I339" s="6" t="s">
        <v>5231</v>
      </c>
      <c r="J339" s="6" t="s">
        <v>5231</v>
      </c>
      <c r="K339" s="7" t="s">
        <v>5232</v>
      </c>
      <c r="L339" s="8">
        <v>77192123</v>
      </c>
      <c r="M339" s="8" t="str">
        <f t="shared" si="26"/>
        <v>PEN</v>
      </c>
      <c r="N339" s="13"/>
      <c r="O339" s="13">
        <v>310</v>
      </c>
      <c r="P339" s="3">
        <f t="shared" si="27"/>
        <v>310</v>
      </c>
      <c r="Q339" s="3">
        <f t="shared" si="28"/>
        <v>0</v>
      </c>
      <c r="R339" s="3">
        <f t="shared" si="29"/>
        <v>51747.220000000008</v>
      </c>
      <c r="S339" s="24"/>
      <c r="T339" s="24"/>
      <c r="U339" s="3"/>
      <c r="V339" s="19" t="str">
        <f>IFERROR(VLOOKUP(Banco_Nacion[[#This Row],[responsable]],Clientes_Proveedores[[Ruc / Dni]:[Razon Social]],2,0),"")</f>
        <v>EMPRESA CONSERVADORA AMBIENTAL DEL SUR E.I.R.L. - ECA SUR E.I.R.L.</v>
      </c>
      <c r="W339" s="19" t="str">
        <f>IF(Banco_Nacion[[#This Row],[tipo_mov]]="INGRESO",Banco_Nacion[[#This Row],[serie]]&amp;Banco_Nacion[[#This Row],[numero]]&amp;Banco_Nacion[[#This Row],[responsable]]&amp;Banco_Nacion[[#This Row],[monto]],"")</f>
        <v>20455283915310</v>
      </c>
      <c r="X339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77192123</v>
      </c>
      <c r="Y339" s="3" t="str">
        <f>IFERROR(VLOOKUP(Banco_Nacion[[#This Row],[serie]]&amp;Banco_Nacion[[#This Row],[numero]]&amp;Banco_Nacion[[#This Row],[responsable]],[2]!Provision_CXC[[ID CXP]:[DETRACCION]],47,0),"")</f>
        <v/>
      </c>
      <c r="Z339" s="3"/>
      <c r="AA339" s="24" t="str">
        <f>IF(Banco_Nacion[[#This Row],[fecha]]&gt;0,TEXT(Banco_Nacion[[#This Row],[fecha]],"mmmm"),0)</f>
        <v>Mayo</v>
      </c>
    </row>
    <row r="340" spans="1:27" x14ac:dyDescent="0.3">
      <c r="A340" s="2">
        <f>IF(Banco_Nacion[[#This Row],[tipo_registro]]="R",COUNTIFS($C$1:$C339,"R")+1,"")</f>
        <v>339</v>
      </c>
      <c r="B340" s="19" t="str">
        <f t="shared" si="25"/>
        <v>B-Banco de la Nacion</v>
      </c>
      <c r="C340" s="3" t="s">
        <v>1330</v>
      </c>
      <c r="D340" s="14">
        <v>45793</v>
      </c>
      <c r="E340" s="5">
        <v>20455283915</v>
      </c>
      <c r="F340" s="5" t="s">
        <v>1303</v>
      </c>
      <c r="G340" s="6" t="s">
        <v>425</v>
      </c>
      <c r="H340" s="6"/>
      <c r="I340" s="6" t="s">
        <v>5231</v>
      </c>
      <c r="J340" s="6" t="s">
        <v>5231</v>
      </c>
      <c r="K340" s="7" t="s">
        <v>5232</v>
      </c>
      <c r="L340" s="8">
        <v>77192122</v>
      </c>
      <c r="M340" s="8" t="str">
        <f t="shared" si="26"/>
        <v>PEN</v>
      </c>
      <c r="N340" s="13"/>
      <c r="O340" s="13">
        <v>146</v>
      </c>
      <c r="P340" s="3">
        <f t="shared" si="27"/>
        <v>146</v>
      </c>
      <c r="Q340" s="3">
        <f t="shared" si="28"/>
        <v>0</v>
      </c>
      <c r="R340" s="3">
        <f t="shared" si="29"/>
        <v>51893.220000000008</v>
      </c>
      <c r="S340" s="24"/>
      <c r="T340" s="24"/>
      <c r="U340" s="3"/>
      <c r="V340" s="19" t="str">
        <f>IFERROR(VLOOKUP(Banco_Nacion[[#This Row],[responsable]],Clientes_Proveedores[[Ruc / Dni]:[Razon Social]],2,0),"")</f>
        <v>EMPRESA CONSERVADORA AMBIENTAL DEL SUR E.I.R.L. - ECA SUR E.I.R.L.</v>
      </c>
      <c r="W340" s="19" t="str">
        <f>IF(Banco_Nacion[[#This Row],[tipo_mov]]="INGRESO",Banco_Nacion[[#This Row],[serie]]&amp;Banco_Nacion[[#This Row],[numero]]&amp;Banco_Nacion[[#This Row],[responsable]]&amp;Banco_Nacion[[#This Row],[monto]],"")</f>
        <v>20455283915146</v>
      </c>
      <c r="X340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77192122</v>
      </c>
      <c r="Y340" s="3" t="str">
        <f>IFERROR(VLOOKUP(Banco_Nacion[[#This Row],[serie]]&amp;Banco_Nacion[[#This Row],[numero]]&amp;Banco_Nacion[[#This Row],[responsable]],[2]!Provision_CXC[[ID CXP]:[DETRACCION]],47,0),"")</f>
        <v/>
      </c>
      <c r="Z340" s="3"/>
      <c r="AA340" s="24" t="str">
        <f>IF(Banco_Nacion[[#This Row],[fecha]]&gt;0,TEXT(Banco_Nacion[[#This Row],[fecha]],"mmmm"),0)</f>
        <v>Mayo</v>
      </c>
    </row>
    <row r="341" spans="1:27" x14ac:dyDescent="0.3">
      <c r="A341" s="2">
        <f>IF(Banco_Nacion[[#This Row],[tipo_registro]]="R",COUNTIFS($C$1:$C340,"R")+1,"")</f>
        <v>340</v>
      </c>
      <c r="B341" s="19" t="str">
        <f t="shared" si="25"/>
        <v>B-Banco de la Nacion</v>
      </c>
      <c r="C341" s="3" t="s">
        <v>1330</v>
      </c>
      <c r="D341" s="14">
        <v>45793</v>
      </c>
      <c r="E341" s="5">
        <v>20455283915</v>
      </c>
      <c r="F341" s="5" t="s">
        <v>1303</v>
      </c>
      <c r="G341" s="6" t="s">
        <v>425</v>
      </c>
      <c r="H341" s="6"/>
      <c r="I341" s="6" t="s">
        <v>5231</v>
      </c>
      <c r="J341" s="6" t="s">
        <v>5231</v>
      </c>
      <c r="K341" s="7" t="s">
        <v>5232</v>
      </c>
      <c r="L341" s="8">
        <v>77192121</v>
      </c>
      <c r="M341" s="8" t="str">
        <f t="shared" si="26"/>
        <v>PEN</v>
      </c>
      <c r="N341" s="13"/>
      <c r="O341" s="13">
        <v>89</v>
      </c>
      <c r="P341" s="3">
        <f t="shared" si="27"/>
        <v>89</v>
      </c>
      <c r="Q341" s="3">
        <f t="shared" si="28"/>
        <v>0</v>
      </c>
      <c r="R341" s="3">
        <f t="shared" si="29"/>
        <v>51982.220000000008</v>
      </c>
      <c r="S341" s="24"/>
      <c r="T341" s="24"/>
      <c r="U341" s="3"/>
      <c r="V341" s="19" t="str">
        <f>IFERROR(VLOOKUP(Banco_Nacion[[#This Row],[responsable]],Clientes_Proveedores[[Ruc / Dni]:[Razon Social]],2,0),"")</f>
        <v>EMPRESA CONSERVADORA AMBIENTAL DEL SUR E.I.R.L. - ECA SUR E.I.R.L.</v>
      </c>
      <c r="W341" s="19" t="str">
        <f>IF(Banco_Nacion[[#This Row],[tipo_mov]]="INGRESO",Banco_Nacion[[#This Row],[serie]]&amp;Banco_Nacion[[#This Row],[numero]]&amp;Banco_Nacion[[#This Row],[responsable]]&amp;Banco_Nacion[[#This Row],[monto]],"")</f>
        <v>2045528391589</v>
      </c>
      <c r="X341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77192121</v>
      </c>
      <c r="Y341" s="3" t="str">
        <f>IFERROR(VLOOKUP(Banco_Nacion[[#This Row],[serie]]&amp;Banco_Nacion[[#This Row],[numero]]&amp;Banco_Nacion[[#This Row],[responsable]],[2]!Provision_CXC[[ID CXP]:[DETRACCION]],47,0),"")</f>
        <v/>
      </c>
      <c r="Z341" s="3"/>
      <c r="AA341" s="24" t="str">
        <f>IF(Banco_Nacion[[#This Row],[fecha]]&gt;0,TEXT(Banco_Nacion[[#This Row],[fecha]],"mmmm"),0)</f>
        <v>Mayo</v>
      </c>
    </row>
    <row r="342" spans="1:27" x14ac:dyDescent="0.3">
      <c r="A342" s="2">
        <f>IF(Banco_Nacion[[#This Row],[tipo_registro]]="R",COUNTIFS($C$1:$C341,"R")+1,"")</f>
        <v>341</v>
      </c>
      <c r="B342" s="19" t="str">
        <f t="shared" si="25"/>
        <v>B-Banco de la Nacion</v>
      </c>
      <c r="C342" s="3" t="s">
        <v>1330</v>
      </c>
      <c r="D342" s="14">
        <v>45793</v>
      </c>
      <c r="E342" s="5">
        <v>20455283915</v>
      </c>
      <c r="F342" s="5" t="s">
        <v>1303</v>
      </c>
      <c r="G342" s="6" t="s">
        <v>425</v>
      </c>
      <c r="H342" s="6"/>
      <c r="I342" s="6" t="s">
        <v>5231</v>
      </c>
      <c r="J342" s="6" t="s">
        <v>5231</v>
      </c>
      <c r="K342" s="7" t="s">
        <v>5232</v>
      </c>
      <c r="L342" s="8">
        <v>77192120</v>
      </c>
      <c r="M342" s="8" t="str">
        <f t="shared" si="26"/>
        <v>PEN</v>
      </c>
      <c r="N342" s="13"/>
      <c r="O342" s="13">
        <v>60</v>
      </c>
      <c r="P342" s="3">
        <f t="shared" si="27"/>
        <v>60</v>
      </c>
      <c r="Q342" s="3">
        <f t="shared" si="28"/>
        <v>0</v>
      </c>
      <c r="R342" s="3">
        <f t="shared" si="29"/>
        <v>52042.220000000008</v>
      </c>
      <c r="S342" s="24"/>
      <c r="T342" s="24"/>
      <c r="U342" s="3"/>
      <c r="V342" s="19" t="str">
        <f>IFERROR(VLOOKUP(Banco_Nacion[[#This Row],[responsable]],Clientes_Proveedores[[Ruc / Dni]:[Razon Social]],2,0),"")</f>
        <v>EMPRESA CONSERVADORA AMBIENTAL DEL SUR E.I.R.L. - ECA SUR E.I.R.L.</v>
      </c>
      <c r="W342" s="19" t="str">
        <f>IF(Banco_Nacion[[#This Row],[tipo_mov]]="INGRESO",Banco_Nacion[[#This Row],[serie]]&amp;Banco_Nacion[[#This Row],[numero]]&amp;Banco_Nacion[[#This Row],[responsable]]&amp;Banco_Nacion[[#This Row],[monto]],"")</f>
        <v>2045528391560</v>
      </c>
      <c r="X342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77192120</v>
      </c>
      <c r="Y342" s="3" t="str">
        <f>IFERROR(VLOOKUP(Banco_Nacion[[#This Row],[serie]]&amp;Banco_Nacion[[#This Row],[numero]]&amp;Banco_Nacion[[#This Row],[responsable]],[2]!Provision_CXC[[ID CXP]:[DETRACCION]],47,0),"")</f>
        <v/>
      </c>
      <c r="Z342" s="3"/>
      <c r="AA342" s="24" t="str">
        <f>IF(Banco_Nacion[[#This Row],[fecha]]&gt;0,TEXT(Banco_Nacion[[#This Row],[fecha]],"mmmm"),0)</f>
        <v>Mayo</v>
      </c>
    </row>
    <row r="343" spans="1:27" x14ac:dyDescent="0.3">
      <c r="A343" s="2">
        <f>IF(Banco_Nacion[[#This Row],[tipo_registro]]="R",COUNTIFS($C$1:$C342,"R")+1,"")</f>
        <v>342</v>
      </c>
      <c r="B343" s="19" t="str">
        <f t="shared" si="25"/>
        <v>B-Banco de la Nacion</v>
      </c>
      <c r="C343" s="3" t="s">
        <v>1330</v>
      </c>
      <c r="D343" s="14">
        <v>45793</v>
      </c>
      <c r="E343" s="5">
        <v>20455283915</v>
      </c>
      <c r="F343" s="5" t="s">
        <v>1303</v>
      </c>
      <c r="G343" s="6" t="s">
        <v>425</v>
      </c>
      <c r="H343" s="6"/>
      <c r="I343" s="6" t="s">
        <v>5231</v>
      </c>
      <c r="J343" s="6" t="s">
        <v>5231</v>
      </c>
      <c r="K343" s="7" t="s">
        <v>5232</v>
      </c>
      <c r="L343" s="8">
        <v>77192119</v>
      </c>
      <c r="M343" s="8" t="str">
        <f t="shared" si="26"/>
        <v>PEN</v>
      </c>
      <c r="N343" s="13"/>
      <c r="O343" s="13">
        <v>197</v>
      </c>
      <c r="P343" s="3">
        <f t="shared" si="27"/>
        <v>197</v>
      </c>
      <c r="Q343" s="3">
        <f t="shared" si="28"/>
        <v>0</v>
      </c>
      <c r="R343" s="3">
        <f t="shared" si="29"/>
        <v>52239.220000000008</v>
      </c>
      <c r="S343" s="24"/>
      <c r="T343" s="24"/>
      <c r="U343" s="3"/>
      <c r="V343" s="19" t="str">
        <f>IFERROR(VLOOKUP(Banco_Nacion[[#This Row],[responsable]],Clientes_Proveedores[[Ruc / Dni]:[Razon Social]],2,0),"")</f>
        <v>EMPRESA CONSERVADORA AMBIENTAL DEL SUR E.I.R.L. - ECA SUR E.I.R.L.</v>
      </c>
      <c r="W343" s="19" t="str">
        <f>IF(Banco_Nacion[[#This Row],[tipo_mov]]="INGRESO",Banco_Nacion[[#This Row],[serie]]&amp;Banco_Nacion[[#This Row],[numero]]&amp;Banco_Nacion[[#This Row],[responsable]]&amp;Banco_Nacion[[#This Row],[monto]],"")</f>
        <v>20455283915197</v>
      </c>
      <c r="X343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77192119</v>
      </c>
      <c r="Y343" s="3" t="str">
        <f>IFERROR(VLOOKUP(Banco_Nacion[[#This Row],[serie]]&amp;Banco_Nacion[[#This Row],[numero]]&amp;Banco_Nacion[[#This Row],[responsable]],[2]!Provision_CXC[[ID CXP]:[DETRACCION]],47,0),"")</f>
        <v/>
      </c>
      <c r="Z343" s="3"/>
      <c r="AA343" s="24" t="str">
        <f>IF(Banco_Nacion[[#This Row],[fecha]]&gt;0,TEXT(Banco_Nacion[[#This Row],[fecha]],"mmmm"),0)</f>
        <v>Mayo</v>
      </c>
    </row>
    <row r="344" spans="1:27" x14ac:dyDescent="0.3">
      <c r="A344" s="2">
        <f>IF(Banco_Nacion[[#This Row],[tipo_registro]]="R",COUNTIFS($C$1:$C343,"R")+1,"")</f>
        <v>343</v>
      </c>
      <c r="B344" s="19" t="str">
        <f t="shared" si="25"/>
        <v>B-Banco de la Nacion</v>
      </c>
      <c r="C344" s="3" t="s">
        <v>1330</v>
      </c>
      <c r="D344" s="14">
        <v>45793</v>
      </c>
      <c r="E344" s="5">
        <v>20120788389</v>
      </c>
      <c r="F344" s="5" t="s">
        <v>1303</v>
      </c>
      <c r="G344" s="6" t="s">
        <v>425</v>
      </c>
      <c r="H344" s="6"/>
      <c r="I344" s="6" t="s">
        <v>5231</v>
      </c>
      <c r="J344" s="6" t="s">
        <v>5231</v>
      </c>
      <c r="K344" s="7" t="s">
        <v>5232</v>
      </c>
      <c r="L344" s="8">
        <v>77187792</v>
      </c>
      <c r="M344" s="8" t="str">
        <f t="shared" si="26"/>
        <v>PEN</v>
      </c>
      <c r="N344" s="13"/>
      <c r="O344" s="13">
        <v>95</v>
      </c>
      <c r="P344" s="3">
        <f t="shared" si="27"/>
        <v>95</v>
      </c>
      <c r="Q344" s="3">
        <f t="shared" si="28"/>
        <v>0</v>
      </c>
      <c r="R344" s="3">
        <f t="shared" si="29"/>
        <v>52334.220000000008</v>
      </c>
      <c r="S344" s="24"/>
      <c r="T344" s="24"/>
      <c r="U344" s="3"/>
      <c r="V344" s="19" t="str">
        <f>IFERROR(VLOOKUP(Banco_Nacion[[#This Row],[responsable]],Clientes_Proveedores[[Ruc / Dni]:[Razon Social]],2,0),"")</f>
        <v>CARMEN INMUEBLES S.A.</v>
      </c>
      <c r="W344" s="19" t="str">
        <f>IF(Banco_Nacion[[#This Row],[tipo_mov]]="INGRESO",Banco_Nacion[[#This Row],[serie]]&amp;Banco_Nacion[[#This Row],[numero]]&amp;Banco_Nacion[[#This Row],[responsable]]&amp;Banco_Nacion[[#This Row],[monto]],"")</f>
        <v>2012078838995</v>
      </c>
      <c r="X344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77187792</v>
      </c>
      <c r="Y344" s="3" t="str">
        <f>IFERROR(VLOOKUP(Banco_Nacion[[#This Row],[serie]]&amp;Banco_Nacion[[#This Row],[numero]]&amp;Banco_Nacion[[#This Row],[responsable]],[2]!Provision_CXC[[ID CXP]:[DETRACCION]],47,0),"")</f>
        <v/>
      </c>
      <c r="Z344" s="3"/>
      <c r="AA344" s="24" t="str">
        <f>IF(Banco_Nacion[[#This Row],[fecha]]&gt;0,TEXT(Banco_Nacion[[#This Row],[fecha]],"mmmm"),0)</f>
        <v>Mayo</v>
      </c>
    </row>
    <row r="345" spans="1:27" x14ac:dyDescent="0.3">
      <c r="A345" s="2">
        <f>IF(Banco_Nacion[[#This Row],[tipo_registro]]="R",COUNTIFS($C$1:$C344,"R")+1,"")</f>
        <v>344</v>
      </c>
      <c r="B345" s="19" t="str">
        <f t="shared" si="25"/>
        <v>B-Banco de la Nacion</v>
      </c>
      <c r="C345" s="3" t="s">
        <v>1330</v>
      </c>
      <c r="D345" s="14">
        <v>45796</v>
      </c>
      <c r="E345" s="5">
        <v>20170040938</v>
      </c>
      <c r="F345" s="5" t="s">
        <v>1303</v>
      </c>
      <c r="G345" s="6" t="s">
        <v>425</v>
      </c>
      <c r="H345" s="6"/>
      <c r="I345" s="6" t="s">
        <v>1784</v>
      </c>
      <c r="J345" s="6">
        <v>69</v>
      </c>
      <c r="K345" s="7" t="s">
        <v>5232</v>
      </c>
      <c r="L345" s="8">
        <v>77345686</v>
      </c>
      <c r="M345" s="8" t="str">
        <f t="shared" si="26"/>
        <v>PEN</v>
      </c>
      <c r="N345" s="13"/>
      <c r="O345" s="13">
        <v>1142</v>
      </c>
      <c r="P345" s="3">
        <f t="shared" si="27"/>
        <v>1142</v>
      </c>
      <c r="Q345" s="3">
        <f t="shared" si="28"/>
        <v>0</v>
      </c>
      <c r="R345" s="3">
        <f t="shared" si="29"/>
        <v>53476.220000000008</v>
      </c>
      <c r="S345" s="24" t="s">
        <v>1334</v>
      </c>
      <c r="T345" s="24" t="s">
        <v>1334</v>
      </c>
      <c r="U345" s="3"/>
      <c r="V345" s="19" t="str">
        <f>IFERROR(VLOOKUP(Banco_Nacion[[#This Row],[responsable]],Clientes_Proveedores[[Ruc / Dni]:[Razon Social]],2,0),"")</f>
        <v>DANPER TRUJILLO S.A.C</v>
      </c>
      <c r="W345" s="19" t="str">
        <f>IF(Banco_Nacion[[#This Row],[tipo_mov]]="INGRESO",Banco_Nacion[[#This Row],[serie]]&amp;Banco_Nacion[[#This Row],[numero]]&amp;Banco_Nacion[[#This Row],[responsable]]&amp;Banco_Nacion[[#This Row],[monto]],"")</f>
        <v>FF0169201700409381142</v>
      </c>
      <c r="X345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77345686</v>
      </c>
      <c r="Y345" s="3" t="str">
        <f>IFERROR(VLOOKUP(Banco_Nacion[[#This Row],[serie]]&amp;Banco_Nacion[[#This Row],[numero]]&amp;Banco_Nacion[[#This Row],[responsable]],[2]!Provision_CXC[[ID CXP]:[DETRACCION]],47,0),"")</f>
        <v/>
      </c>
      <c r="Z345" s="3"/>
      <c r="AA345" s="24" t="str">
        <f>IF(Banco_Nacion[[#This Row],[fecha]]&gt;0,TEXT(Banco_Nacion[[#This Row],[fecha]],"mmmm"),0)</f>
        <v>Mayo</v>
      </c>
    </row>
    <row r="346" spans="1:27" x14ac:dyDescent="0.3">
      <c r="A346" s="2">
        <f>IF(Banco_Nacion[[#This Row],[tipo_registro]]="R",COUNTIFS($C$1:$C345,"R")+1,"")</f>
        <v>345</v>
      </c>
      <c r="B346" s="19" t="str">
        <f t="shared" si="25"/>
        <v>B-Banco de la Nacion</v>
      </c>
      <c r="C346" s="3" t="s">
        <v>1330</v>
      </c>
      <c r="D346" s="14">
        <v>45797</v>
      </c>
      <c r="E346" s="5">
        <v>20601119600</v>
      </c>
      <c r="F346" s="5" t="s">
        <v>1303</v>
      </c>
      <c r="G346" s="6" t="s">
        <v>425</v>
      </c>
      <c r="H346" s="6"/>
      <c r="I346" s="6" t="s">
        <v>3381</v>
      </c>
      <c r="J346" s="6">
        <v>1</v>
      </c>
      <c r="K346" s="7" t="s">
        <v>5232</v>
      </c>
      <c r="L346" s="8">
        <v>26982667</v>
      </c>
      <c r="M346" s="8" t="str">
        <f t="shared" si="26"/>
        <v>PEN</v>
      </c>
      <c r="N346" s="13"/>
      <c r="O346" s="13">
        <v>88</v>
      </c>
      <c r="P346" s="3">
        <f t="shared" si="27"/>
        <v>88</v>
      </c>
      <c r="Q346" s="3">
        <f t="shared" si="28"/>
        <v>0</v>
      </c>
      <c r="R346" s="3">
        <f t="shared" si="29"/>
        <v>53564.220000000008</v>
      </c>
      <c r="S346" s="24" t="s">
        <v>1334</v>
      </c>
      <c r="T346" s="24" t="s">
        <v>1334</v>
      </c>
      <c r="U346" s="3"/>
      <c r="V346" s="19" t="str">
        <f>IFERROR(VLOOKUP(Banco_Nacion[[#This Row],[responsable]],Clientes_Proveedores[[Ruc / Dni]:[Razon Social]],2,0),"")</f>
        <v>INVERSIONES W.J.M. S.A.C.</v>
      </c>
      <c r="W346" s="19" t="str">
        <f>IF(Banco_Nacion[[#This Row],[tipo_mov]]="INGRESO",Banco_Nacion[[#This Row],[serie]]&amp;Banco_Nacion[[#This Row],[numero]]&amp;Banco_Nacion[[#This Row],[responsable]]&amp;Banco_Nacion[[#This Row],[monto]],"")</f>
        <v>FF0512060111960088</v>
      </c>
      <c r="X346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26982667</v>
      </c>
      <c r="Y346" s="3" t="str">
        <f>IFERROR(VLOOKUP(Banco_Nacion[[#This Row],[serie]]&amp;Banco_Nacion[[#This Row],[numero]]&amp;Banco_Nacion[[#This Row],[responsable]],[2]!Provision_CXC[[ID CXP]:[DETRACCION]],47,0),"")</f>
        <v/>
      </c>
      <c r="Z346" s="3"/>
      <c r="AA346" s="24" t="str">
        <f>IF(Banco_Nacion[[#This Row],[fecha]]&gt;0,TEXT(Banco_Nacion[[#This Row],[fecha]],"mmmm"),0)</f>
        <v>Mayo</v>
      </c>
    </row>
    <row r="347" spans="1:27" x14ac:dyDescent="0.3">
      <c r="A347" s="2">
        <f>IF(Banco_Nacion[[#This Row],[tipo_registro]]="R",COUNTIFS($C$1:$C346,"R")+1,"")</f>
        <v>346</v>
      </c>
      <c r="B347" s="19" t="str">
        <f t="shared" si="25"/>
        <v>B-Banco de la Nacion</v>
      </c>
      <c r="C347" s="3" t="s">
        <v>1330</v>
      </c>
      <c r="D347" s="14">
        <v>45797</v>
      </c>
      <c r="E347" s="5" t="s">
        <v>5231</v>
      </c>
      <c r="F347" s="5" t="s">
        <v>1336</v>
      </c>
      <c r="G347" s="6"/>
      <c r="H347" s="6"/>
      <c r="I347" s="6" t="s">
        <v>5231</v>
      </c>
      <c r="J347" s="6" t="s">
        <v>5231</v>
      </c>
      <c r="K347" s="7" t="s">
        <v>5234</v>
      </c>
      <c r="L347" s="8">
        <v>31415161</v>
      </c>
      <c r="M347" s="8" t="str">
        <f t="shared" si="26"/>
        <v>PEN</v>
      </c>
      <c r="N347" s="13"/>
      <c r="O347" s="13">
        <v>197</v>
      </c>
      <c r="P347" s="3">
        <f t="shared" si="27"/>
        <v>0</v>
      </c>
      <c r="Q347" s="3">
        <f t="shared" si="28"/>
        <v>197</v>
      </c>
      <c r="R347" s="3">
        <f t="shared" si="29"/>
        <v>53367.220000000008</v>
      </c>
      <c r="S347" s="24"/>
      <c r="T347" s="24"/>
      <c r="U347" s="3"/>
      <c r="V347" s="19" t="str">
        <f>IFERROR(VLOOKUP(Banco_Nacion[[#This Row],[responsable]],Clientes_Proveedores[[Ruc / Dni]:[Razon Social]],2,0),"")</f>
        <v/>
      </c>
      <c r="W347" s="19" t="str">
        <f>IF(Banco_Nacion[[#This Row],[tipo_mov]]="INGRESO",Banco_Nacion[[#This Row],[serie]]&amp;Banco_Nacion[[#This Row],[numero]]&amp;Banco_Nacion[[#This Row],[responsable]]&amp;Banco_Nacion[[#This Row],[monto]],"")</f>
        <v/>
      </c>
      <c r="X347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/>
      </c>
      <c r="Y347" s="3" t="str">
        <f>IFERROR(VLOOKUP(Banco_Nacion[[#This Row],[serie]]&amp;Banco_Nacion[[#This Row],[numero]]&amp;Banco_Nacion[[#This Row],[responsable]],[2]!Provision_CXC[[ID CXP]:[DETRACCION]],47,0),"")</f>
        <v/>
      </c>
      <c r="Z347" s="3"/>
      <c r="AA347" s="24" t="str">
        <f>IF(Banco_Nacion[[#This Row],[fecha]]&gt;0,TEXT(Banco_Nacion[[#This Row],[fecha]],"mmmm"),0)</f>
        <v>Mayo</v>
      </c>
    </row>
    <row r="348" spans="1:27" x14ac:dyDescent="0.3">
      <c r="A348" s="2">
        <f>IF(Banco_Nacion[[#This Row],[tipo_registro]]="R",COUNTIFS($C$1:$C347,"R")+1,"")</f>
        <v>347</v>
      </c>
      <c r="B348" s="19" t="str">
        <f t="shared" si="25"/>
        <v>B-Banco de la Nacion</v>
      </c>
      <c r="C348" s="3" t="s">
        <v>1330</v>
      </c>
      <c r="D348" s="14">
        <v>45797</v>
      </c>
      <c r="E348" s="5" t="s">
        <v>5231</v>
      </c>
      <c r="F348" s="5" t="s">
        <v>1336</v>
      </c>
      <c r="G348" s="6"/>
      <c r="H348" s="6"/>
      <c r="I348" s="6" t="s">
        <v>5231</v>
      </c>
      <c r="J348" s="6" t="s">
        <v>5231</v>
      </c>
      <c r="K348" s="7" t="s">
        <v>5234</v>
      </c>
      <c r="L348" s="8">
        <v>31415161</v>
      </c>
      <c r="M348" s="8" t="str">
        <f t="shared" si="26"/>
        <v>PEN</v>
      </c>
      <c r="N348" s="13"/>
      <c r="O348" s="13">
        <v>86</v>
      </c>
      <c r="P348" s="3">
        <f t="shared" si="27"/>
        <v>0</v>
      </c>
      <c r="Q348" s="3">
        <f t="shared" si="28"/>
        <v>86</v>
      </c>
      <c r="R348" s="3">
        <f t="shared" si="29"/>
        <v>53281.220000000008</v>
      </c>
      <c r="S348" s="24"/>
      <c r="T348" s="24"/>
      <c r="U348" s="3"/>
      <c r="V348" s="19" t="str">
        <f>IFERROR(VLOOKUP(Banco_Nacion[[#This Row],[responsable]],Clientes_Proveedores[[Ruc / Dni]:[Razon Social]],2,0),"")</f>
        <v/>
      </c>
      <c r="W348" s="19" t="str">
        <f>IF(Banco_Nacion[[#This Row],[tipo_mov]]="INGRESO",Banco_Nacion[[#This Row],[serie]]&amp;Banco_Nacion[[#This Row],[numero]]&amp;Banco_Nacion[[#This Row],[responsable]]&amp;Banco_Nacion[[#This Row],[monto]],"")</f>
        <v/>
      </c>
      <c r="X348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/>
      </c>
      <c r="Y348" s="3" t="str">
        <f>IFERROR(VLOOKUP(Banco_Nacion[[#This Row],[serie]]&amp;Banco_Nacion[[#This Row],[numero]]&amp;Banco_Nacion[[#This Row],[responsable]],[2]!Provision_CXC[[ID CXP]:[DETRACCION]],47,0),"")</f>
        <v/>
      </c>
      <c r="Z348" s="3"/>
      <c r="AA348" s="24" t="str">
        <f>IF(Banco_Nacion[[#This Row],[fecha]]&gt;0,TEXT(Banco_Nacion[[#This Row],[fecha]],"mmmm"),0)</f>
        <v>Mayo</v>
      </c>
    </row>
    <row r="349" spans="1:27" x14ac:dyDescent="0.3">
      <c r="A349" s="2">
        <f>IF(Banco_Nacion[[#This Row],[tipo_registro]]="R",COUNTIFS($C$1:$C348,"R")+1,"")</f>
        <v>348</v>
      </c>
      <c r="B349" s="19" t="str">
        <f t="shared" si="25"/>
        <v>B-Banco de la Nacion</v>
      </c>
      <c r="C349" s="3" t="s">
        <v>1330</v>
      </c>
      <c r="D349" s="14">
        <v>45797</v>
      </c>
      <c r="E349" s="5" t="s">
        <v>5231</v>
      </c>
      <c r="F349" s="5" t="s">
        <v>1336</v>
      </c>
      <c r="G349" s="6"/>
      <c r="H349" s="6"/>
      <c r="I349" s="6" t="s">
        <v>5231</v>
      </c>
      <c r="J349" s="6" t="s">
        <v>5231</v>
      </c>
      <c r="K349" s="7" t="s">
        <v>5234</v>
      </c>
      <c r="L349" s="8">
        <v>31415161</v>
      </c>
      <c r="M349" s="8" t="str">
        <f t="shared" si="26"/>
        <v>PEN</v>
      </c>
      <c r="N349" s="13"/>
      <c r="O349" s="13">
        <v>354</v>
      </c>
      <c r="P349" s="3">
        <f t="shared" si="27"/>
        <v>0</v>
      </c>
      <c r="Q349" s="3">
        <f t="shared" si="28"/>
        <v>354</v>
      </c>
      <c r="R349" s="3">
        <f t="shared" si="29"/>
        <v>52927.220000000008</v>
      </c>
      <c r="S349" s="24"/>
      <c r="T349" s="24"/>
      <c r="U349" s="3"/>
      <c r="V349" s="19" t="str">
        <f>IFERROR(VLOOKUP(Banco_Nacion[[#This Row],[responsable]],Clientes_Proveedores[[Ruc / Dni]:[Razon Social]],2,0),"")</f>
        <v/>
      </c>
      <c r="W349" s="19" t="str">
        <f>IF(Banco_Nacion[[#This Row],[tipo_mov]]="INGRESO",Banco_Nacion[[#This Row],[serie]]&amp;Banco_Nacion[[#This Row],[numero]]&amp;Banco_Nacion[[#This Row],[responsable]]&amp;Banco_Nacion[[#This Row],[monto]],"")</f>
        <v/>
      </c>
      <c r="X349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/>
      </c>
      <c r="Y349" s="3" t="str">
        <f>IFERROR(VLOOKUP(Banco_Nacion[[#This Row],[serie]]&amp;Banco_Nacion[[#This Row],[numero]]&amp;Banco_Nacion[[#This Row],[responsable]],[2]!Provision_CXC[[ID CXP]:[DETRACCION]],47,0),"")</f>
        <v/>
      </c>
      <c r="Z349" s="3"/>
      <c r="AA349" s="24" t="str">
        <f>IF(Banco_Nacion[[#This Row],[fecha]]&gt;0,TEXT(Banco_Nacion[[#This Row],[fecha]],"mmmm"),0)</f>
        <v>Mayo</v>
      </c>
    </row>
    <row r="350" spans="1:27" x14ac:dyDescent="0.3">
      <c r="A350" s="2">
        <f>IF(Banco_Nacion[[#This Row],[tipo_registro]]="R",COUNTIFS($C$1:$C349,"R")+1,"")</f>
        <v>349</v>
      </c>
      <c r="B350" s="19" t="str">
        <f t="shared" si="25"/>
        <v>B-Banco de la Nacion</v>
      </c>
      <c r="C350" s="3" t="s">
        <v>1330</v>
      </c>
      <c r="D350" s="14">
        <v>45797</v>
      </c>
      <c r="E350" s="5" t="s">
        <v>5231</v>
      </c>
      <c r="F350" s="5" t="s">
        <v>1336</v>
      </c>
      <c r="G350" s="6"/>
      <c r="H350" s="6"/>
      <c r="I350" s="6" t="s">
        <v>5231</v>
      </c>
      <c r="J350" s="6" t="s">
        <v>5231</v>
      </c>
      <c r="K350" s="7" t="s">
        <v>5234</v>
      </c>
      <c r="L350" s="8">
        <v>31415161</v>
      </c>
      <c r="M350" s="8" t="str">
        <f t="shared" si="26"/>
        <v>PEN</v>
      </c>
      <c r="N350" s="13"/>
      <c r="O350" s="13">
        <v>59</v>
      </c>
      <c r="P350" s="3">
        <f t="shared" si="27"/>
        <v>0</v>
      </c>
      <c r="Q350" s="3">
        <f t="shared" si="28"/>
        <v>59</v>
      </c>
      <c r="R350" s="3">
        <f t="shared" si="29"/>
        <v>52868.220000000008</v>
      </c>
      <c r="S350" s="24"/>
      <c r="T350" s="24"/>
      <c r="U350" s="3"/>
      <c r="V350" s="19" t="str">
        <f>IFERROR(VLOOKUP(Banco_Nacion[[#This Row],[responsable]],Clientes_Proveedores[[Ruc / Dni]:[Razon Social]],2,0),"")</f>
        <v/>
      </c>
      <c r="W350" s="19" t="str">
        <f>IF(Banco_Nacion[[#This Row],[tipo_mov]]="INGRESO",Banco_Nacion[[#This Row],[serie]]&amp;Banco_Nacion[[#This Row],[numero]]&amp;Banco_Nacion[[#This Row],[responsable]]&amp;Banco_Nacion[[#This Row],[monto]],"")</f>
        <v/>
      </c>
      <c r="X350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/>
      </c>
      <c r="Y350" s="3" t="str">
        <f>IFERROR(VLOOKUP(Banco_Nacion[[#This Row],[serie]]&amp;Banco_Nacion[[#This Row],[numero]]&amp;Banco_Nacion[[#This Row],[responsable]],[2]!Provision_CXC[[ID CXP]:[DETRACCION]],47,0),"")</f>
        <v/>
      </c>
      <c r="Z350" s="3"/>
      <c r="AA350" s="24" t="str">
        <f>IF(Banco_Nacion[[#This Row],[fecha]]&gt;0,TEXT(Banco_Nacion[[#This Row],[fecha]],"mmmm"),0)</f>
        <v>Mayo</v>
      </c>
    </row>
    <row r="351" spans="1:27" x14ac:dyDescent="0.3">
      <c r="A351" s="2">
        <f>IF(Banco_Nacion[[#This Row],[tipo_registro]]="R",COUNTIFS($C$1:$C350,"R")+1,"")</f>
        <v>350</v>
      </c>
      <c r="B351" s="19" t="str">
        <f t="shared" si="25"/>
        <v>B-Banco de la Nacion</v>
      </c>
      <c r="C351" s="3" t="s">
        <v>1330</v>
      </c>
      <c r="D351" s="14">
        <v>45797</v>
      </c>
      <c r="E351" s="5" t="s">
        <v>5231</v>
      </c>
      <c r="F351" s="5" t="s">
        <v>1336</v>
      </c>
      <c r="G351" s="6"/>
      <c r="H351" s="6"/>
      <c r="I351" s="6" t="s">
        <v>5231</v>
      </c>
      <c r="J351" s="6" t="s">
        <v>5231</v>
      </c>
      <c r="K351" s="7" t="s">
        <v>5234</v>
      </c>
      <c r="L351" s="8">
        <v>31415161</v>
      </c>
      <c r="M351" s="8" t="str">
        <f t="shared" si="26"/>
        <v>PEN</v>
      </c>
      <c r="N351" s="13"/>
      <c r="O351" s="13">
        <v>95</v>
      </c>
      <c r="P351" s="3">
        <f t="shared" si="27"/>
        <v>0</v>
      </c>
      <c r="Q351" s="3">
        <f t="shared" si="28"/>
        <v>95</v>
      </c>
      <c r="R351" s="3">
        <f t="shared" si="29"/>
        <v>52773.220000000008</v>
      </c>
      <c r="S351" s="24"/>
      <c r="T351" s="24"/>
      <c r="U351" s="3"/>
      <c r="V351" s="19" t="str">
        <f>IFERROR(VLOOKUP(Banco_Nacion[[#This Row],[responsable]],Clientes_Proveedores[[Ruc / Dni]:[Razon Social]],2,0),"")</f>
        <v/>
      </c>
      <c r="W351" s="19" t="str">
        <f>IF(Banco_Nacion[[#This Row],[tipo_mov]]="INGRESO",Banco_Nacion[[#This Row],[serie]]&amp;Banco_Nacion[[#This Row],[numero]]&amp;Banco_Nacion[[#This Row],[responsable]]&amp;Banco_Nacion[[#This Row],[monto]],"")</f>
        <v/>
      </c>
      <c r="X351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/>
      </c>
      <c r="Y351" s="3" t="str">
        <f>IFERROR(VLOOKUP(Banco_Nacion[[#This Row],[serie]]&amp;Banco_Nacion[[#This Row],[numero]]&amp;Banco_Nacion[[#This Row],[responsable]],[2]!Provision_CXC[[ID CXP]:[DETRACCION]],47,0),"")</f>
        <v/>
      </c>
      <c r="Z351" s="3"/>
      <c r="AA351" s="24" t="str">
        <f>IF(Banco_Nacion[[#This Row],[fecha]]&gt;0,TEXT(Banco_Nacion[[#This Row],[fecha]],"mmmm"),0)</f>
        <v>Mayo</v>
      </c>
    </row>
    <row r="352" spans="1:27" x14ac:dyDescent="0.3">
      <c r="A352" s="2">
        <f>IF(Banco_Nacion[[#This Row],[tipo_registro]]="R",COUNTIFS($C$1:$C351,"R")+1,"")</f>
        <v>351</v>
      </c>
      <c r="B352" s="19" t="str">
        <f t="shared" si="25"/>
        <v>B-Banco de la Nacion</v>
      </c>
      <c r="C352" s="3" t="s">
        <v>1330</v>
      </c>
      <c r="D352" s="14">
        <v>45797</v>
      </c>
      <c r="E352" s="5" t="s">
        <v>5231</v>
      </c>
      <c r="F352" s="5" t="s">
        <v>1336</v>
      </c>
      <c r="G352" s="6"/>
      <c r="H352" s="6"/>
      <c r="I352" s="6" t="s">
        <v>5231</v>
      </c>
      <c r="J352" s="6" t="s">
        <v>5231</v>
      </c>
      <c r="K352" s="7" t="s">
        <v>5234</v>
      </c>
      <c r="L352" s="8">
        <v>31415161</v>
      </c>
      <c r="M352" s="8" t="str">
        <f t="shared" si="26"/>
        <v>PEN</v>
      </c>
      <c r="N352" s="13"/>
      <c r="O352" s="13">
        <v>89</v>
      </c>
      <c r="P352" s="3">
        <f t="shared" si="27"/>
        <v>0</v>
      </c>
      <c r="Q352" s="3">
        <f t="shared" si="28"/>
        <v>89</v>
      </c>
      <c r="R352" s="3">
        <f t="shared" si="29"/>
        <v>52684.220000000008</v>
      </c>
      <c r="S352" s="24"/>
      <c r="T352" s="24"/>
      <c r="U352" s="3"/>
      <c r="V352" s="19" t="str">
        <f>IFERROR(VLOOKUP(Banco_Nacion[[#This Row],[responsable]],Clientes_Proveedores[[Ruc / Dni]:[Razon Social]],2,0),"")</f>
        <v/>
      </c>
      <c r="W352" s="19" t="str">
        <f>IF(Banco_Nacion[[#This Row],[tipo_mov]]="INGRESO",Banco_Nacion[[#This Row],[serie]]&amp;Banco_Nacion[[#This Row],[numero]]&amp;Banco_Nacion[[#This Row],[responsable]]&amp;Banco_Nacion[[#This Row],[monto]],"")</f>
        <v/>
      </c>
      <c r="X352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/>
      </c>
      <c r="Y352" s="3" t="str">
        <f>IFERROR(VLOOKUP(Banco_Nacion[[#This Row],[serie]]&amp;Banco_Nacion[[#This Row],[numero]]&amp;Banco_Nacion[[#This Row],[responsable]],[2]!Provision_CXC[[ID CXP]:[DETRACCION]],47,0),"")</f>
        <v/>
      </c>
      <c r="Z352" s="3"/>
      <c r="AA352" s="24" t="str">
        <f>IF(Banco_Nacion[[#This Row],[fecha]]&gt;0,TEXT(Banco_Nacion[[#This Row],[fecha]],"mmmm"),0)</f>
        <v>Mayo</v>
      </c>
    </row>
    <row r="353" spans="1:27" x14ac:dyDescent="0.3">
      <c r="A353" s="2">
        <f>IF(Banco_Nacion[[#This Row],[tipo_registro]]="R",COUNTIFS($C$1:$C352,"R")+1,"")</f>
        <v>352</v>
      </c>
      <c r="B353" s="19" t="str">
        <f t="shared" si="25"/>
        <v>B-Banco de la Nacion</v>
      </c>
      <c r="C353" s="3" t="s">
        <v>1330</v>
      </c>
      <c r="D353" s="14">
        <v>45797</v>
      </c>
      <c r="E353" s="5" t="s">
        <v>5231</v>
      </c>
      <c r="F353" s="5" t="s">
        <v>1336</v>
      </c>
      <c r="G353" s="6"/>
      <c r="H353" s="6"/>
      <c r="I353" s="6" t="s">
        <v>5231</v>
      </c>
      <c r="J353" s="6" t="s">
        <v>5231</v>
      </c>
      <c r="K353" s="7" t="s">
        <v>5234</v>
      </c>
      <c r="L353" s="8">
        <v>31415161</v>
      </c>
      <c r="M353" s="8" t="str">
        <f t="shared" si="26"/>
        <v>PEN</v>
      </c>
      <c r="N353" s="13"/>
      <c r="O353" s="13">
        <v>310</v>
      </c>
      <c r="P353" s="3">
        <f t="shared" si="27"/>
        <v>0</v>
      </c>
      <c r="Q353" s="3">
        <f t="shared" si="28"/>
        <v>310</v>
      </c>
      <c r="R353" s="3">
        <f t="shared" si="29"/>
        <v>52374.220000000008</v>
      </c>
      <c r="S353" s="24"/>
      <c r="T353" s="24"/>
      <c r="U353" s="3"/>
      <c r="V353" s="19" t="str">
        <f>IFERROR(VLOOKUP(Banco_Nacion[[#This Row],[responsable]],Clientes_Proveedores[[Ruc / Dni]:[Razon Social]],2,0),"")</f>
        <v/>
      </c>
      <c r="W353" s="19" t="str">
        <f>IF(Banco_Nacion[[#This Row],[tipo_mov]]="INGRESO",Banco_Nacion[[#This Row],[serie]]&amp;Banco_Nacion[[#This Row],[numero]]&amp;Banco_Nacion[[#This Row],[responsable]]&amp;Banco_Nacion[[#This Row],[monto]],"")</f>
        <v/>
      </c>
      <c r="X353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/>
      </c>
      <c r="Y353" s="3" t="str">
        <f>IFERROR(VLOOKUP(Banco_Nacion[[#This Row],[serie]]&amp;Banco_Nacion[[#This Row],[numero]]&amp;Banco_Nacion[[#This Row],[responsable]],[2]!Provision_CXC[[ID CXP]:[DETRACCION]],47,0),"")</f>
        <v/>
      </c>
      <c r="Z353" s="3"/>
      <c r="AA353" s="24" t="str">
        <f>IF(Banco_Nacion[[#This Row],[fecha]]&gt;0,TEXT(Banco_Nacion[[#This Row],[fecha]],"mmmm"),0)</f>
        <v>Mayo</v>
      </c>
    </row>
    <row r="354" spans="1:27" x14ac:dyDescent="0.3">
      <c r="A354" s="2">
        <f>IF(Banco_Nacion[[#This Row],[tipo_registro]]="R",COUNTIFS($C$1:$C353,"R")+1,"")</f>
        <v>353</v>
      </c>
      <c r="B354" s="19" t="str">
        <f t="shared" si="25"/>
        <v>B-Banco de la Nacion</v>
      </c>
      <c r="C354" s="3" t="s">
        <v>1330</v>
      </c>
      <c r="D354" s="14">
        <v>45797</v>
      </c>
      <c r="E354" s="5" t="s">
        <v>5231</v>
      </c>
      <c r="F354" s="5" t="s">
        <v>1336</v>
      </c>
      <c r="G354" s="6"/>
      <c r="H354" s="6"/>
      <c r="I354" s="6" t="s">
        <v>5231</v>
      </c>
      <c r="J354" s="6" t="s">
        <v>5231</v>
      </c>
      <c r="K354" s="7" t="s">
        <v>5234</v>
      </c>
      <c r="L354" s="8">
        <v>31415161</v>
      </c>
      <c r="M354" s="8" t="str">
        <f t="shared" si="26"/>
        <v>PEN</v>
      </c>
      <c r="N354" s="13"/>
      <c r="O354" s="13">
        <v>146</v>
      </c>
      <c r="P354" s="3">
        <f t="shared" si="27"/>
        <v>0</v>
      </c>
      <c r="Q354" s="3">
        <f t="shared" si="28"/>
        <v>146</v>
      </c>
      <c r="R354" s="3">
        <f t="shared" si="29"/>
        <v>52228.220000000008</v>
      </c>
      <c r="S354" s="24"/>
      <c r="T354" s="24"/>
      <c r="U354" s="3"/>
      <c r="V354" s="19" t="str">
        <f>IFERROR(VLOOKUP(Banco_Nacion[[#This Row],[responsable]],Clientes_Proveedores[[Ruc / Dni]:[Razon Social]],2,0),"")</f>
        <v/>
      </c>
      <c r="W354" s="19" t="str">
        <f>IF(Banco_Nacion[[#This Row],[tipo_mov]]="INGRESO",Banco_Nacion[[#This Row],[serie]]&amp;Banco_Nacion[[#This Row],[numero]]&amp;Banco_Nacion[[#This Row],[responsable]]&amp;Banco_Nacion[[#This Row],[monto]],"")</f>
        <v/>
      </c>
      <c r="X354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/>
      </c>
      <c r="Y354" s="3" t="str">
        <f>IFERROR(VLOOKUP(Banco_Nacion[[#This Row],[serie]]&amp;Banco_Nacion[[#This Row],[numero]]&amp;Banco_Nacion[[#This Row],[responsable]],[2]!Provision_CXC[[ID CXP]:[DETRACCION]],47,0),"")</f>
        <v/>
      </c>
      <c r="Z354" s="3"/>
      <c r="AA354" s="24" t="str">
        <f>IF(Banco_Nacion[[#This Row],[fecha]]&gt;0,TEXT(Banco_Nacion[[#This Row],[fecha]],"mmmm"),0)</f>
        <v>Mayo</v>
      </c>
    </row>
    <row r="355" spans="1:27" x14ac:dyDescent="0.3">
      <c r="A355" s="2">
        <f>IF(Banco_Nacion[[#This Row],[tipo_registro]]="R",COUNTIFS($C$1:$C354,"R")+1,"")</f>
        <v>354</v>
      </c>
      <c r="B355" s="19" t="str">
        <f t="shared" si="25"/>
        <v>B-Banco de la Nacion</v>
      </c>
      <c r="C355" s="3" t="s">
        <v>1330</v>
      </c>
      <c r="D355" s="14">
        <v>45797</v>
      </c>
      <c r="E355" s="5" t="s">
        <v>5231</v>
      </c>
      <c r="F355" s="5" t="s">
        <v>1336</v>
      </c>
      <c r="G355" s="6"/>
      <c r="H355" s="6"/>
      <c r="I355" s="6" t="s">
        <v>5231</v>
      </c>
      <c r="J355" s="6" t="s">
        <v>5231</v>
      </c>
      <c r="K355" s="7" t="s">
        <v>5234</v>
      </c>
      <c r="L355" s="8">
        <v>31415161</v>
      </c>
      <c r="M355" s="8" t="str">
        <f t="shared" si="26"/>
        <v>PEN</v>
      </c>
      <c r="N355" s="13"/>
      <c r="O355" s="13">
        <v>60</v>
      </c>
      <c r="P355" s="3">
        <f t="shared" si="27"/>
        <v>0</v>
      </c>
      <c r="Q355" s="3">
        <f t="shared" si="28"/>
        <v>60</v>
      </c>
      <c r="R355" s="3">
        <f t="shared" si="29"/>
        <v>52168.220000000008</v>
      </c>
      <c r="S355" s="24"/>
      <c r="T355" s="24"/>
      <c r="U355" s="3"/>
      <c r="V355" s="19" t="str">
        <f>IFERROR(VLOOKUP(Banco_Nacion[[#This Row],[responsable]],Clientes_Proveedores[[Ruc / Dni]:[Razon Social]],2,0),"")</f>
        <v/>
      </c>
      <c r="W355" s="19" t="str">
        <f>IF(Banco_Nacion[[#This Row],[tipo_mov]]="INGRESO",Banco_Nacion[[#This Row],[serie]]&amp;Banco_Nacion[[#This Row],[numero]]&amp;Banco_Nacion[[#This Row],[responsable]]&amp;Banco_Nacion[[#This Row],[monto]],"")</f>
        <v/>
      </c>
      <c r="X355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/>
      </c>
      <c r="Y355" s="3" t="str">
        <f>IFERROR(VLOOKUP(Banco_Nacion[[#This Row],[serie]]&amp;Banco_Nacion[[#This Row],[numero]]&amp;Banco_Nacion[[#This Row],[responsable]],[2]!Provision_CXC[[ID CXP]:[DETRACCION]],47,0),"")</f>
        <v/>
      </c>
      <c r="Z355" s="3"/>
      <c r="AA355" s="24" t="str">
        <f>IF(Banco_Nacion[[#This Row],[fecha]]&gt;0,TEXT(Banco_Nacion[[#This Row],[fecha]],"mmmm"),0)</f>
        <v>Mayo</v>
      </c>
    </row>
    <row r="356" spans="1:27" x14ac:dyDescent="0.3">
      <c r="A356" s="2">
        <f>IF(Banco_Nacion[[#This Row],[tipo_registro]]="R",COUNTIFS($C$1:$C355,"R")+1,"")</f>
        <v>355</v>
      </c>
      <c r="B356" s="19" t="str">
        <f t="shared" si="25"/>
        <v>B-Banco de la Nacion</v>
      </c>
      <c r="C356" s="3" t="s">
        <v>1330</v>
      </c>
      <c r="D356" s="14">
        <v>45797</v>
      </c>
      <c r="E356" s="5" t="s">
        <v>5231</v>
      </c>
      <c r="F356" s="5" t="s">
        <v>1336</v>
      </c>
      <c r="G356" s="6"/>
      <c r="H356" s="6"/>
      <c r="I356" s="6" t="s">
        <v>5231</v>
      </c>
      <c r="J356" s="6" t="s">
        <v>5231</v>
      </c>
      <c r="K356" s="7" t="s">
        <v>5234</v>
      </c>
      <c r="L356" s="8">
        <v>31415161</v>
      </c>
      <c r="M356" s="8" t="str">
        <f t="shared" si="26"/>
        <v>PEN</v>
      </c>
      <c r="N356" s="13"/>
      <c r="O356" s="13">
        <v>330</v>
      </c>
      <c r="P356" s="3">
        <f t="shared" si="27"/>
        <v>0</v>
      </c>
      <c r="Q356" s="3">
        <f t="shared" si="28"/>
        <v>330</v>
      </c>
      <c r="R356" s="3">
        <f t="shared" si="29"/>
        <v>51838.220000000008</v>
      </c>
      <c r="S356" s="24"/>
      <c r="T356" s="24"/>
      <c r="U356" s="3"/>
      <c r="V356" s="19" t="str">
        <f>IFERROR(VLOOKUP(Banco_Nacion[[#This Row],[responsable]],Clientes_Proveedores[[Ruc / Dni]:[Razon Social]],2,0),"")</f>
        <v/>
      </c>
      <c r="W356" s="19" t="str">
        <f>IF(Banco_Nacion[[#This Row],[tipo_mov]]="INGRESO",Banco_Nacion[[#This Row],[serie]]&amp;Banco_Nacion[[#This Row],[numero]]&amp;Banco_Nacion[[#This Row],[responsable]]&amp;Banco_Nacion[[#This Row],[monto]],"")</f>
        <v/>
      </c>
      <c r="X356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/>
      </c>
      <c r="Y356" s="3" t="str">
        <f>IFERROR(VLOOKUP(Banco_Nacion[[#This Row],[serie]]&amp;Banco_Nacion[[#This Row],[numero]]&amp;Banco_Nacion[[#This Row],[responsable]],[2]!Provision_CXC[[ID CXP]:[DETRACCION]],47,0),"")</f>
        <v/>
      </c>
      <c r="Z356" s="3"/>
      <c r="AA356" s="24" t="str">
        <f>IF(Banco_Nacion[[#This Row],[fecha]]&gt;0,TEXT(Banco_Nacion[[#This Row],[fecha]],"mmmm"),0)</f>
        <v>Mayo</v>
      </c>
    </row>
    <row r="357" spans="1:27" x14ac:dyDescent="0.3">
      <c r="A357" s="2">
        <f>IF(Banco_Nacion[[#This Row],[tipo_registro]]="R",COUNTIFS($C$1:$C356,"R")+1,"")</f>
        <v>356</v>
      </c>
      <c r="B357" s="19" t="str">
        <f t="shared" si="25"/>
        <v>B-Banco de la Nacion</v>
      </c>
      <c r="C357" s="3" t="s">
        <v>1330</v>
      </c>
      <c r="D357" s="14">
        <v>45797</v>
      </c>
      <c r="E357" s="5" t="s">
        <v>5231</v>
      </c>
      <c r="F357" s="5" t="s">
        <v>1336</v>
      </c>
      <c r="G357" s="6"/>
      <c r="H357" s="6"/>
      <c r="I357" s="6" t="s">
        <v>5231</v>
      </c>
      <c r="J357" s="6" t="s">
        <v>5231</v>
      </c>
      <c r="K357" s="7" t="s">
        <v>5234</v>
      </c>
      <c r="L357" s="8">
        <v>31415161</v>
      </c>
      <c r="M357" s="8" t="str">
        <f t="shared" si="26"/>
        <v>PEN</v>
      </c>
      <c r="N357" s="13"/>
      <c r="O357" s="13">
        <v>29</v>
      </c>
      <c r="P357" s="3">
        <f t="shared" si="27"/>
        <v>0</v>
      </c>
      <c r="Q357" s="3">
        <f t="shared" si="28"/>
        <v>29</v>
      </c>
      <c r="R357" s="3">
        <f t="shared" si="29"/>
        <v>51809.220000000008</v>
      </c>
      <c r="S357" s="24"/>
      <c r="T357" s="24"/>
      <c r="U357" s="3"/>
      <c r="V357" s="19" t="str">
        <f>IFERROR(VLOOKUP(Banco_Nacion[[#This Row],[responsable]],Clientes_Proveedores[[Ruc / Dni]:[Razon Social]],2,0),"")</f>
        <v/>
      </c>
      <c r="W357" s="19" t="str">
        <f>IF(Banco_Nacion[[#This Row],[tipo_mov]]="INGRESO",Banco_Nacion[[#This Row],[serie]]&amp;Banco_Nacion[[#This Row],[numero]]&amp;Banco_Nacion[[#This Row],[responsable]]&amp;Banco_Nacion[[#This Row],[monto]],"")</f>
        <v/>
      </c>
      <c r="X357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/>
      </c>
      <c r="Y357" s="3" t="str">
        <f>IFERROR(VLOOKUP(Banco_Nacion[[#This Row],[serie]]&amp;Banco_Nacion[[#This Row],[numero]]&amp;Banco_Nacion[[#This Row],[responsable]],[2]!Provision_CXC[[ID CXP]:[DETRACCION]],47,0),"")</f>
        <v/>
      </c>
      <c r="Z357" s="3"/>
      <c r="AA357" s="24" t="str">
        <f>IF(Banco_Nacion[[#This Row],[fecha]]&gt;0,TEXT(Banco_Nacion[[#This Row],[fecha]],"mmmm"),0)</f>
        <v>Mayo</v>
      </c>
    </row>
    <row r="358" spans="1:27" x14ac:dyDescent="0.3">
      <c r="A358" s="2">
        <f>IF(Banco_Nacion[[#This Row],[tipo_registro]]="R",COUNTIFS($C$1:$C357,"R")+1,"")</f>
        <v>357</v>
      </c>
      <c r="B358" s="19" t="str">
        <f t="shared" si="25"/>
        <v>B-Banco de la Nacion</v>
      </c>
      <c r="C358" s="3" t="s">
        <v>1330</v>
      </c>
      <c r="D358" s="14">
        <v>45798</v>
      </c>
      <c r="E358" s="5">
        <v>20505675836</v>
      </c>
      <c r="F358" s="5" t="s">
        <v>1303</v>
      </c>
      <c r="G358" s="6" t="s">
        <v>425</v>
      </c>
      <c r="H358" s="6"/>
      <c r="I358" s="6" t="s">
        <v>1784</v>
      </c>
      <c r="J358" s="6">
        <v>66</v>
      </c>
      <c r="K358" s="7" t="s">
        <v>5232</v>
      </c>
      <c r="L358" s="8">
        <v>77732163</v>
      </c>
      <c r="M358" s="8" t="str">
        <f t="shared" si="26"/>
        <v>PEN</v>
      </c>
      <c r="N358" s="13"/>
      <c r="O358" s="13">
        <v>112</v>
      </c>
      <c r="P358" s="3">
        <f t="shared" si="27"/>
        <v>112</v>
      </c>
      <c r="Q358" s="3">
        <f t="shared" si="28"/>
        <v>0</v>
      </c>
      <c r="R358" s="3">
        <f t="shared" si="29"/>
        <v>51921.220000000008</v>
      </c>
      <c r="S358" s="24"/>
      <c r="T358" s="24" t="s">
        <v>1334</v>
      </c>
      <c r="U358" s="3"/>
      <c r="V358" s="19" t="str">
        <f>IFERROR(VLOOKUP(Banco_Nacion[[#This Row],[responsable]],Clientes_Proveedores[[Ruc / Dni]:[Razon Social]],2,0),"")</f>
        <v>FLSMIDTH S.A.C.</v>
      </c>
      <c r="W358" s="19" t="str">
        <f>IF(Banco_Nacion[[#This Row],[tipo_mov]]="INGRESO",Banco_Nacion[[#This Row],[serie]]&amp;Banco_Nacion[[#This Row],[numero]]&amp;Banco_Nacion[[#This Row],[responsable]]&amp;Banco_Nacion[[#This Row],[monto]],"")</f>
        <v>FF016620505675836112</v>
      </c>
      <c r="X358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77732163</v>
      </c>
      <c r="Y358" s="3" t="str">
        <f>IFERROR(VLOOKUP(Banco_Nacion[[#This Row],[serie]]&amp;Banco_Nacion[[#This Row],[numero]]&amp;Banco_Nacion[[#This Row],[responsable]],[2]!Provision_CXC[[ID CXP]:[DETRACCION]],47,0),"")</f>
        <v/>
      </c>
      <c r="Z358" s="3"/>
      <c r="AA358" s="24" t="str">
        <f>IF(Banco_Nacion[[#This Row],[fecha]]&gt;0,TEXT(Banco_Nacion[[#This Row],[fecha]],"mmmm"),0)</f>
        <v>Mayo</v>
      </c>
    </row>
    <row r="359" spans="1:27" x14ac:dyDescent="0.3">
      <c r="A359" s="2">
        <f>IF(Banco_Nacion[[#This Row],[tipo_registro]]="R",COUNTIFS($C$1:$C358,"R")+1,"")</f>
        <v>358</v>
      </c>
      <c r="B359" s="19" t="str">
        <f t="shared" si="25"/>
        <v>B-Banco de la Nacion</v>
      </c>
      <c r="C359" s="3" t="s">
        <v>1330</v>
      </c>
      <c r="D359" s="14">
        <v>45798</v>
      </c>
      <c r="E359" s="5">
        <v>20505675836</v>
      </c>
      <c r="F359" s="5" t="s">
        <v>1303</v>
      </c>
      <c r="G359" s="6" t="s">
        <v>425</v>
      </c>
      <c r="H359" s="6"/>
      <c r="I359" s="6" t="s">
        <v>1784</v>
      </c>
      <c r="J359" s="6">
        <v>65</v>
      </c>
      <c r="K359" s="7" t="s">
        <v>5232</v>
      </c>
      <c r="L359" s="8">
        <v>77732162</v>
      </c>
      <c r="M359" s="8" t="str">
        <f t="shared" si="26"/>
        <v>PEN</v>
      </c>
      <c r="N359" s="13"/>
      <c r="O359" s="13">
        <v>232</v>
      </c>
      <c r="P359" s="3">
        <f t="shared" si="27"/>
        <v>232</v>
      </c>
      <c r="Q359" s="3">
        <f t="shared" si="28"/>
        <v>0</v>
      </c>
      <c r="R359" s="3">
        <f t="shared" si="29"/>
        <v>52153.220000000008</v>
      </c>
      <c r="S359" s="24"/>
      <c r="T359" s="24" t="s">
        <v>1334</v>
      </c>
      <c r="U359" s="3"/>
      <c r="V359" s="19" t="str">
        <f>IFERROR(VLOOKUP(Banco_Nacion[[#This Row],[responsable]],Clientes_Proveedores[[Ruc / Dni]:[Razon Social]],2,0),"")</f>
        <v>FLSMIDTH S.A.C.</v>
      </c>
      <c r="W359" s="19" t="str">
        <f>IF(Banco_Nacion[[#This Row],[tipo_mov]]="INGRESO",Banco_Nacion[[#This Row],[serie]]&amp;Banco_Nacion[[#This Row],[numero]]&amp;Banco_Nacion[[#This Row],[responsable]]&amp;Banco_Nacion[[#This Row],[monto]],"")</f>
        <v>FF016520505675836232</v>
      </c>
      <c r="X359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77732162</v>
      </c>
      <c r="Y359" s="3" t="str">
        <f>IFERROR(VLOOKUP(Banco_Nacion[[#This Row],[serie]]&amp;Banco_Nacion[[#This Row],[numero]]&amp;Banco_Nacion[[#This Row],[responsable]],[2]!Provision_CXC[[ID CXP]:[DETRACCION]],47,0),"")</f>
        <v/>
      </c>
      <c r="Z359" s="3"/>
      <c r="AA359" s="24" t="str">
        <f>IF(Banco_Nacion[[#This Row],[fecha]]&gt;0,TEXT(Banco_Nacion[[#This Row],[fecha]],"mmmm"),0)</f>
        <v>Mayo</v>
      </c>
    </row>
    <row r="360" spans="1:27" x14ac:dyDescent="0.3">
      <c r="A360" s="2">
        <f>IF(Banco_Nacion[[#This Row],[tipo_registro]]="R",COUNTIFS($C$1:$C359,"R")+1,"")</f>
        <v>359</v>
      </c>
      <c r="B360" s="19" t="str">
        <f t="shared" si="25"/>
        <v>B-Banco de la Nacion</v>
      </c>
      <c r="C360" s="3" t="s">
        <v>1330</v>
      </c>
      <c r="D360" s="14">
        <v>45798</v>
      </c>
      <c r="E360" s="5">
        <v>20505675836</v>
      </c>
      <c r="F360" s="5" t="s">
        <v>1303</v>
      </c>
      <c r="G360" s="6" t="s">
        <v>425</v>
      </c>
      <c r="H360" s="6"/>
      <c r="I360" s="6" t="s">
        <v>1784</v>
      </c>
      <c r="J360" s="6">
        <v>64</v>
      </c>
      <c r="K360" s="7" t="s">
        <v>5232</v>
      </c>
      <c r="L360" s="8">
        <v>77732161</v>
      </c>
      <c r="M360" s="8" t="str">
        <f t="shared" si="26"/>
        <v>PEN</v>
      </c>
      <c r="N360" s="13"/>
      <c r="O360" s="13">
        <v>526</v>
      </c>
      <c r="P360" s="3">
        <f t="shared" si="27"/>
        <v>526</v>
      </c>
      <c r="Q360" s="3">
        <f t="shared" si="28"/>
        <v>0</v>
      </c>
      <c r="R360" s="3">
        <f t="shared" si="29"/>
        <v>52679.220000000008</v>
      </c>
      <c r="S360" s="24"/>
      <c r="T360" s="24" t="s">
        <v>1334</v>
      </c>
      <c r="U360" s="3"/>
      <c r="V360" s="19" t="str">
        <f>IFERROR(VLOOKUP(Banco_Nacion[[#This Row],[responsable]],Clientes_Proveedores[[Ruc / Dni]:[Razon Social]],2,0),"")</f>
        <v>FLSMIDTH S.A.C.</v>
      </c>
      <c r="W360" s="19" t="str">
        <f>IF(Banco_Nacion[[#This Row],[tipo_mov]]="INGRESO",Banco_Nacion[[#This Row],[serie]]&amp;Banco_Nacion[[#This Row],[numero]]&amp;Banco_Nacion[[#This Row],[responsable]]&amp;Banco_Nacion[[#This Row],[monto]],"")</f>
        <v>FF016420505675836526</v>
      </c>
      <c r="X360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77732161</v>
      </c>
      <c r="Y360" s="3" t="str">
        <f>IFERROR(VLOOKUP(Banco_Nacion[[#This Row],[serie]]&amp;Banco_Nacion[[#This Row],[numero]]&amp;Banco_Nacion[[#This Row],[responsable]],[2]!Provision_CXC[[ID CXP]:[DETRACCION]],47,0),"")</f>
        <v/>
      </c>
      <c r="Z360" s="3"/>
      <c r="AA360" s="24" t="str">
        <f>IF(Banco_Nacion[[#This Row],[fecha]]&gt;0,TEXT(Banco_Nacion[[#This Row],[fecha]],"mmmm"),0)</f>
        <v>Mayo</v>
      </c>
    </row>
    <row r="361" spans="1:27" x14ac:dyDescent="0.3">
      <c r="A361" s="2">
        <f>IF(Banco_Nacion[[#This Row],[tipo_registro]]="R",COUNTIFS($C$1:$C360,"R")+1,"")</f>
        <v>360</v>
      </c>
      <c r="B361" s="19" t="str">
        <f t="shared" si="25"/>
        <v>B-Banco de la Nacion</v>
      </c>
      <c r="C361" s="3" t="s">
        <v>1330</v>
      </c>
      <c r="D361" s="14">
        <v>45798</v>
      </c>
      <c r="E361" s="5">
        <v>20505675836</v>
      </c>
      <c r="F361" s="5" t="s">
        <v>1303</v>
      </c>
      <c r="G361" s="6" t="s">
        <v>425</v>
      </c>
      <c r="H361" s="6"/>
      <c r="I361" s="6" t="s">
        <v>1784</v>
      </c>
      <c r="J361" s="6">
        <v>63</v>
      </c>
      <c r="K361" s="7" t="s">
        <v>5232</v>
      </c>
      <c r="L361" s="8">
        <v>77732160</v>
      </c>
      <c r="M361" s="8" t="str">
        <f t="shared" si="26"/>
        <v>PEN</v>
      </c>
      <c r="N361" s="13"/>
      <c r="O361" s="13">
        <v>983</v>
      </c>
      <c r="P361" s="3">
        <f t="shared" si="27"/>
        <v>983</v>
      </c>
      <c r="Q361" s="3">
        <f t="shared" si="28"/>
        <v>0</v>
      </c>
      <c r="R361" s="3">
        <f t="shared" si="29"/>
        <v>53662.220000000008</v>
      </c>
      <c r="S361" s="24"/>
      <c r="T361" s="24" t="s">
        <v>1334</v>
      </c>
      <c r="U361" s="3"/>
      <c r="V361" s="19" t="str">
        <f>IFERROR(VLOOKUP(Banco_Nacion[[#This Row],[responsable]],Clientes_Proveedores[[Ruc / Dni]:[Razon Social]],2,0),"")</f>
        <v>FLSMIDTH S.A.C.</v>
      </c>
      <c r="W361" s="19" t="str">
        <f>IF(Banco_Nacion[[#This Row],[tipo_mov]]="INGRESO",Banco_Nacion[[#This Row],[serie]]&amp;Banco_Nacion[[#This Row],[numero]]&amp;Banco_Nacion[[#This Row],[responsable]]&amp;Banco_Nacion[[#This Row],[monto]],"")</f>
        <v>FF016320505675836983</v>
      </c>
      <c r="X361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77732160</v>
      </c>
      <c r="Y361" s="3" t="str">
        <f>IFERROR(VLOOKUP(Banco_Nacion[[#This Row],[serie]]&amp;Banco_Nacion[[#This Row],[numero]]&amp;Banco_Nacion[[#This Row],[responsable]],[2]!Provision_CXC[[ID CXP]:[DETRACCION]],47,0),"")</f>
        <v/>
      </c>
      <c r="Z361" s="3"/>
      <c r="AA361" s="24" t="str">
        <f>IF(Banco_Nacion[[#This Row],[fecha]]&gt;0,TEXT(Banco_Nacion[[#This Row],[fecha]],"mmmm"),0)</f>
        <v>Mayo</v>
      </c>
    </row>
    <row r="362" spans="1:27" x14ac:dyDescent="0.3">
      <c r="A362" s="2">
        <f>IF(Banco_Nacion[[#This Row],[tipo_registro]]="R",COUNTIFS($C$1:$C361,"R")+1,"")</f>
        <v>361</v>
      </c>
      <c r="B362" s="19" t="str">
        <f t="shared" si="25"/>
        <v>B-Banco de la Nacion</v>
      </c>
      <c r="C362" s="3" t="s">
        <v>1330</v>
      </c>
      <c r="D362" s="14">
        <v>45799</v>
      </c>
      <c r="E362" s="5">
        <v>20115133285</v>
      </c>
      <c r="F362" s="5" t="s">
        <v>1303</v>
      </c>
      <c r="G362" s="6" t="s">
        <v>425</v>
      </c>
      <c r="H362" s="6"/>
      <c r="I362" s="6" t="s">
        <v>1376</v>
      </c>
      <c r="J362" s="6">
        <v>45</v>
      </c>
      <c r="K362" s="7" t="s">
        <v>5232</v>
      </c>
      <c r="L362" s="8">
        <v>77830298</v>
      </c>
      <c r="M362" s="8" t="str">
        <f t="shared" si="26"/>
        <v>PEN</v>
      </c>
      <c r="N362" s="13"/>
      <c r="O362" s="13">
        <v>401</v>
      </c>
      <c r="P362" s="3">
        <f t="shared" si="27"/>
        <v>401</v>
      </c>
      <c r="Q362" s="3">
        <f t="shared" si="28"/>
        <v>0</v>
      </c>
      <c r="R362" s="3">
        <f t="shared" si="29"/>
        <v>54063.220000000008</v>
      </c>
      <c r="S362" s="24"/>
      <c r="T362" s="24" t="s">
        <v>1334</v>
      </c>
      <c r="U362" s="3"/>
      <c r="V362" s="19" t="str">
        <f>IFERROR(VLOOKUP(Banco_Nacion[[#This Row],[responsable]],Clientes_Proveedores[[Ruc / Dni]:[Razon Social]],2,0),"")</f>
        <v>COOPERATIVA MINERA SANTIAGO DE ANANEA LIMITADA</v>
      </c>
      <c r="W362" s="19" t="str">
        <f>IF(Banco_Nacion[[#This Row],[tipo_mov]]="INGRESO",Banco_Nacion[[#This Row],[serie]]&amp;Banco_Nacion[[#This Row],[numero]]&amp;Banco_Nacion[[#This Row],[responsable]]&amp;Banco_Nacion[[#This Row],[monto]],"")</f>
        <v>E0014520115133285401</v>
      </c>
      <c r="X362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77830298</v>
      </c>
      <c r="Y362" s="3" t="str">
        <f>IFERROR(VLOOKUP(Banco_Nacion[[#This Row],[serie]]&amp;Banco_Nacion[[#This Row],[numero]]&amp;Banco_Nacion[[#This Row],[responsable]],[2]!Provision_CXC[[ID CXP]:[DETRACCION]],47,0),"")</f>
        <v/>
      </c>
      <c r="Z362" s="3"/>
      <c r="AA362" s="24" t="str">
        <f>IF(Banco_Nacion[[#This Row],[fecha]]&gt;0,TEXT(Banco_Nacion[[#This Row],[fecha]],"mmmm"),0)</f>
        <v>Mayo</v>
      </c>
    </row>
    <row r="363" spans="1:27" x14ac:dyDescent="0.3">
      <c r="A363" s="2">
        <f>IF(Banco_Nacion[[#This Row],[tipo_registro]]="R",COUNTIFS($C$1:$C362,"R")+1,"")</f>
        <v>362</v>
      </c>
      <c r="B363" s="19" t="str">
        <f t="shared" si="25"/>
        <v>B-Banco de la Nacion</v>
      </c>
      <c r="C363" s="3" t="s">
        <v>1330</v>
      </c>
      <c r="D363" s="14">
        <v>45799</v>
      </c>
      <c r="E363" s="5">
        <v>20607388416</v>
      </c>
      <c r="F363" s="5" t="s">
        <v>1303</v>
      </c>
      <c r="G363" s="6" t="s">
        <v>425</v>
      </c>
      <c r="H363" s="6"/>
      <c r="I363" s="6" t="s">
        <v>3381</v>
      </c>
      <c r="J363" s="6">
        <v>19</v>
      </c>
      <c r="K363" s="7" t="s">
        <v>5232</v>
      </c>
      <c r="L363" s="8">
        <v>77804314</v>
      </c>
      <c r="M363" s="8" t="str">
        <f t="shared" si="26"/>
        <v>PEN</v>
      </c>
      <c r="N363" s="13"/>
      <c r="O363" s="13">
        <v>143</v>
      </c>
      <c r="P363" s="3">
        <f t="shared" si="27"/>
        <v>143</v>
      </c>
      <c r="Q363" s="3">
        <f t="shared" si="28"/>
        <v>0</v>
      </c>
      <c r="R363" s="3">
        <f t="shared" si="29"/>
        <v>54206.220000000008</v>
      </c>
      <c r="S363" s="24"/>
      <c r="T363" s="24" t="s">
        <v>1334</v>
      </c>
      <c r="U363" s="3"/>
      <c r="V363" s="19" t="str">
        <f>IFERROR(VLOOKUP(Banco_Nacion[[#This Row],[responsable]],Clientes_Proveedores[[Ruc / Dni]:[Razon Social]],2,0),"")</f>
        <v>ALEACIONES FERROSAS Y METALICAS S.A.C.</v>
      </c>
      <c r="W363" s="19" t="str">
        <f>IF(Banco_Nacion[[#This Row],[tipo_mov]]="INGRESO",Banco_Nacion[[#This Row],[serie]]&amp;Banco_Nacion[[#This Row],[numero]]&amp;Banco_Nacion[[#This Row],[responsable]]&amp;Banco_Nacion[[#This Row],[monto]],"")</f>
        <v>FF051920607388416143</v>
      </c>
      <c r="X363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77804314</v>
      </c>
      <c r="Y363" s="3" t="str">
        <f>IFERROR(VLOOKUP(Banco_Nacion[[#This Row],[serie]]&amp;Banco_Nacion[[#This Row],[numero]]&amp;Banco_Nacion[[#This Row],[responsable]],[2]!Provision_CXC[[ID CXP]:[DETRACCION]],47,0),"")</f>
        <v/>
      </c>
      <c r="Z363" s="3"/>
      <c r="AA363" s="24" t="str">
        <f>IF(Banco_Nacion[[#This Row],[fecha]]&gt;0,TEXT(Banco_Nacion[[#This Row],[fecha]],"mmmm"),0)</f>
        <v>Mayo</v>
      </c>
    </row>
    <row r="364" spans="1:27" x14ac:dyDescent="0.3">
      <c r="A364" s="2">
        <f>IF(Banco_Nacion[[#This Row],[tipo_registro]]="R",COUNTIFS($C$1:$C363,"R")+1,"")</f>
        <v>363</v>
      </c>
      <c r="B364" s="19" t="str">
        <f t="shared" si="25"/>
        <v>B-Banco de la Nacion</v>
      </c>
      <c r="C364" s="3" t="s">
        <v>1330</v>
      </c>
      <c r="D364" s="14">
        <v>45799</v>
      </c>
      <c r="E364" s="5">
        <v>20607388416</v>
      </c>
      <c r="F364" s="5" t="s">
        <v>1303</v>
      </c>
      <c r="G364" s="6" t="s">
        <v>425</v>
      </c>
      <c r="H364" s="6"/>
      <c r="I364" s="6" t="s">
        <v>3381</v>
      </c>
      <c r="J364" s="6">
        <v>24</v>
      </c>
      <c r="K364" s="7" t="s">
        <v>5232</v>
      </c>
      <c r="L364" s="8">
        <v>77804278</v>
      </c>
      <c r="M364" s="8" t="str">
        <f t="shared" si="26"/>
        <v>PEN</v>
      </c>
      <c r="N364" s="13"/>
      <c r="O364" s="13">
        <v>150</v>
      </c>
      <c r="P364" s="3">
        <f t="shared" si="27"/>
        <v>150</v>
      </c>
      <c r="Q364" s="3">
        <f t="shared" si="28"/>
        <v>0</v>
      </c>
      <c r="R364" s="3">
        <f t="shared" si="29"/>
        <v>54356.220000000008</v>
      </c>
      <c r="S364" s="24"/>
      <c r="T364" s="24" t="s">
        <v>1334</v>
      </c>
      <c r="U364" s="3"/>
      <c r="V364" s="19" t="str">
        <f>IFERROR(VLOOKUP(Banco_Nacion[[#This Row],[responsable]],Clientes_Proveedores[[Ruc / Dni]:[Razon Social]],2,0),"")</f>
        <v>ALEACIONES FERROSAS Y METALICAS S.A.C.</v>
      </c>
      <c r="W364" s="19" t="str">
        <f>IF(Banco_Nacion[[#This Row],[tipo_mov]]="INGRESO",Banco_Nacion[[#This Row],[serie]]&amp;Banco_Nacion[[#This Row],[numero]]&amp;Banco_Nacion[[#This Row],[responsable]]&amp;Banco_Nacion[[#This Row],[monto]],"")</f>
        <v>FF052420607388416150</v>
      </c>
      <c r="X364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77804278</v>
      </c>
      <c r="Y364" s="3" t="str">
        <f>IFERROR(VLOOKUP(Banco_Nacion[[#This Row],[serie]]&amp;Banco_Nacion[[#This Row],[numero]]&amp;Banco_Nacion[[#This Row],[responsable]],[2]!Provision_CXC[[ID CXP]:[DETRACCION]],47,0),"")</f>
        <v/>
      </c>
      <c r="Z364" s="3"/>
      <c r="AA364" s="24" t="str">
        <f>IF(Banco_Nacion[[#This Row],[fecha]]&gt;0,TEXT(Banco_Nacion[[#This Row],[fecha]],"mmmm"),0)</f>
        <v>Mayo</v>
      </c>
    </row>
    <row r="365" spans="1:27" x14ac:dyDescent="0.3">
      <c r="A365" s="2">
        <f>IF(Banco_Nacion[[#This Row],[tipo_registro]]="R",COUNTIFS($C$1:$C364,"R")+1,"")</f>
        <v>364</v>
      </c>
      <c r="B365" s="19" t="str">
        <f t="shared" si="25"/>
        <v>B-Banco de la Nacion</v>
      </c>
      <c r="C365" s="3" t="s">
        <v>1330</v>
      </c>
      <c r="D365" s="14">
        <v>45799</v>
      </c>
      <c r="E365" s="5">
        <v>20607388416</v>
      </c>
      <c r="F365" s="5" t="s">
        <v>1303</v>
      </c>
      <c r="G365" s="6" t="s">
        <v>425</v>
      </c>
      <c r="H365" s="6"/>
      <c r="I365" s="6" t="s">
        <v>3381</v>
      </c>
      <c r="J365" s="6">
        <v>18</v>
      </c>
      <c r="K365" s="7" t="s">
        <v>5232</v>
      </c>
      <c r="L365" s="8">
        <v>77804129</v>
      </c>
      <c r="M365" s="8" t="str">
        <f t="shared" si="26"/>
        <v>PEN</v>
      </c>
      <c r="N365" s="13"/>
      <c r="O365" s="13">
        <v>187</v>
      </c>
      <c r="P365" s="3">
        <f t="shared" si="27"/>
        <v>187</v>
      </c>
      <c r="Q365" s="3">
        <f t="shared" si="28"/>
        <v>0</v>
      </c>
      <c r="R365" s="3">
        <f t="shared" si="29"/>
        <v>54543.220000000008</v>
      </c>
      <c r="S365" s="24"/>
      <c r="T365" s="24" t="s">
        <v>1334</v>
      </c>
      <c r="U365" s="3"/>
      <c r="V365" s="19" t="str">
        <f>IFERROR(VLOOKUP(Banco_Nacion[[#This Row],[responsable]],Clientes_Proveedores[[Ruc / Dni]:[Razon Social]],2,0),"")</f>
        <v>ALEACIONES FERROSAS Y METALICAS S.A.C.</v>
      </c>
      <c r="W365" s="19" t="str">
        <f>IF(Banco_Nacion[[#This Row],[tipo_mov]]="INGRESO",Banco_Nacion[[#This Row],[serie]]&amp;Banco_Nacion[[#This Row],[numero]]&amp;Banco_Nacion[[#This Row],[responsable]]&amp;Banco_Nacion[[#This Row],[monto]],"")</f>
        <v>FF051820607388416187</v>
      </c>
      <c r="X365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77804129</v>
      </c>
      <c r="Y365" s="3" t="str">
        <f>IFERROR(VLOOKUP(Banco_Nacion[[#This Row],[serie]]&amp;Banco_Nacion[[#This Row],[numero]]&amp;Banco_Nacion[[#This Row],[responsable]],[2]!Provision_CXC[[ID CXP]:[DETRACCION]],47,0),"")</f>
        <v/>
      </c>
      <c r="Z365" s="3"/>
      <c r="AA365" s="24" t="str">
        <f>IF(Banco_Nacion[[#This Row],[fecha]]&gt;0,TEXT(Banco_Nacion[[#This Row],[fecha]],"mmmm"),0)</f>
        <v>Mayo</v>
      </c>
    </row>
    <row r="366" spans="1:27" x14ac:dyDescent="0.3">
      <c r="A366" s="2">
        <f>IF(Banco_Nacion[[#This Row],[tipo_registro]]="R",COUNTIFS($C$1:$C365,"R")+1,"")</f>
        <v>365</v>
      </c>
      <c r="B366" s="19" t="str">
        <f t="shared" si="25"/>
        <v>B-Banco de la Nacion</v>
      </c>
      <c r="C366" s="3" t="s">
        <v>1330</v>
      </c>
      <c r="D366" s="14">
        <v>45799</v>
      </c>
      <c r="E366" s="5">
        <v>20607388416</v>
      </c>
      <c r="F366" s="5" t="s">
        <v>1303</v>
      </c>
      <c r="G366" s="6" t="s">
        <v>425</v>
      </c>
      <c r="H366" s="6"/>
      <c r="I366" s="6" t="s">
        <v>3381</v>
      </c>
      <c r="J366" s="6">
        <v>23</v>
      </c>
      <c r="K366" s="7" t="s">
        <v>5232</v>
      </c>
      <c r="L366" s="8">
        <v>77804045</v>
      </c>
      <c r="M366" s="8" t="str">
        <f t="shared" si="26"/>
        <v>PEN</v>
      </c>
      <c r="N366" s="13"/>
      <c r="O366" s="13">
        <v>169</v>
      </c>
      <c r="P366" s="3">
        <f t="shared" si="27"/>
        <v>169</v>
      </c>
      <c r="Q366" s="3">
        <f t="shared" si="28"/>
        <v>0</v>
      </c>
      <c r="R366" s="3">
        <f t="shared" si="29"/>
        <v>54712.220000000008</v>
      </c>
      <c r="S366" s="24"/>
      <c r="T366" s="24" t="s">
        <v>1334</v>
      </c>
      <c r="U366" s="3"/>
      <c r="V366" s="19" t="str">
        <f>IFERROR(VLOOKUP(Banco_Nacion[[#This Row],[responsable]],Clientes_Proveedores[[Ruc / Dni]:[Razon Social]],2,0),"")</f>
        <v>ALEACIONES FERROSAS Y METALICAS S.A.C.</v>
      </c>
      <c r="W366" s="19" t="str">
        <f>IF(Banco_Nacion[[#This Row],[tipo_mov]]="INGRESO",Banco_Nacion[[#This Row],[serie]]&amp;Banco_Nacion[[#This Row],[numero]]&amp;Banco_Nacion[[#This Row],[responsable]]&amp;Banco_Nacion[[#This Row],[monto]],"")</f>
        <v>FF052320607388416169</v>
      </c>
      <c r="X366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77804045</v>
      </c>
      <c r="Y366" s="3" t="str">
        <f>IFERROR(VLOOKUP(Banco_Nacion[[#This Row],[serie]]&amp;Banco_Nacion[[#This Row],[numero]]&amp;Banco_Nacion[[#This Row],[responsable]],[2]!Provision_CXC[[ID CXP]:[DETRACCION]],47,0),"")</f>
        <v/>
      </c>
      <c r="Z366" s="3"/>
      <c r="AA366" s="24" t="str">
        <f>IF(Banco_Nacion[[#This Row],[fecha]]&gt;0,TEXT(Banco_Nacion[[#This Row],[fecha]],"mmmm"),0)</f>
        <v>Mayo</v>
      </c>
    </row>
    <row r="367" spans="1:27" x14ac:dyDescent="0.3">
      <c r="A367" s="2">
        <f>IF(Banco_Nacion[[#This Row],[tipo_registro]]="R",COUNTIFS($C$1:$C366,"R")+1,"")</f>
        <v>366</v>
      </c>
      <c r="B367" s="19" t="str">
        <f t="shared" si="25"/>
        <v>B-Banco de la Nacion</v>
      </c>
      <c r="C367" s="3" t="s">
        <v>1330</v>
      </c>
      <c r="D367" s="14">
        <v>45800</v>
      </c>
      <c r="E367" s="5"/>
      <c r="F367" s="5" t="s">
        <v>1336</v>
      </c>
      <c r="G367" s="6"/>
      <c r="H367" s="6"/>
      <c r="I367" s="6" t="s">
        <v>5231</v>
      </c>
      <c r="J367" s="6" t="s">
        <v>5231</v>
      </c>
      <c r="K367" s="7" t="s">
        <v>5234</v>
      </c>
      <c r="L367" s="8">
        <v>78787878</v>
      </c>
      <c r="M367" s="8" t="str">
        <f t="shared" si="26"/>
        <v>PEN</v>
      </c>
      <c r="N367" s="13"/>
      <c r="O367" s="13">
        <v>3744</v>
      </c>
      <c r="P367" s="3">
        <f t="shared" si="27"/>
        <v>0</v>
      </c>
      <c r="Q367" s="3">
        <f t="shared" si="28"/>
        <v>3744</v>
      </c>
      <c r="R367" s="3">
        <f t="shared" si="29"/>
        <v>50968.220000000008</v>
      </c>
      <c r="S367" s="24"/>
      <c r="T367" s="24"/>
      <c r="U367" s="3"/>
      <c r="V367" s="19" t="str">
        <f>IFERROR(VLOOKUP(Banco_Nacion[[#This Row],[responsable]],Clientes_Proveedores[[Ruc / Dni]:[Razon Social]],2,0),"")</f>
        <v/>
      </c>
      <c r="W367" s="19" t="str">
        <f>IF(Banco_Nacion[[#This Row],[tipo_mov]]="INGRESO",Banco_Nacion[[#This Row],[serie]]&amp;Banco_Nacion[[#This Row],[numero]]&amp;Banco_Nacion[[#This Row],[responsable]]&amp;Banco_Nacion[[#This Row],[monto]],"")</f>
        <v/>
      </c>
      <c r="X367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/>
      </c>
      <c r="Y367" s="3" t="str">
        <f>IFERROR(VLOOKUP(Banco_Nacion[[#This Row],[serie]]&amp;Banco_Nacion[[#This Row],[numero]]&amp;Banco_Nacion[[#This Row],[responsable]],[2]!Provision_CXC[[ID CXP]:[DETRACCION]],47,0),"")</f>
        <v/>
      </c>
      <c r="Z367" s="3"/>
      <c r="AA367" s="24" t="str">
        <f>IF(Banco_Nacion[[#This Row],[fecha]]&gt;0,TEXT(Banco_Nacion[[#This Row],[fecha]],"mmmm"),0)</f>
        <v>Mayo</v>
      </c>
    </row>
    <row r="368" spans="1:27" x14ac:dyDescent="0.3">
      <c r="A368" s="2">
        <f>IF(Banco_Nacion[[#This Row],[tipo_registro]]="R",COUNTIFS($C$1:$C367,"R")+1,"")</f>
        <v>367</v>
      </c>
      <c r="B368" s="19" t="str">
        <f t="shared" si="25"/>
        <v>B-Banco de la Nacion</v>
      </c>
      <c r="C368" s="3" t="s">
        <v>1330</v>
      </c>
      <c r="D368" s="14">
        <v>45800</v>
      </c>
      <c r="E368" s="5"/>
      <c r="F368" s="5" t="s">
        <v>1336</v>
      </c>
      <c r="G368" s="6"/>
      <c r="H368" s="6"/>
      <c r="I368" s="6" t="s">
        <v>5231</v>
      </c>
      <c r="J368" s="6" t="s">
        <v>5231</v>
      </c>
      <c r="K368" s="7" t="s">
        <v>5234</v>
      </c>
      <c r="L368" s="8">
        <v>78787878</v>
      </c>
      <c r="M368" s="8" t="str">
        <f t="shared" si="26"/>
        <v>PEN</v>
      </c>
      <c r="N368" s="13"/>
      <c r="O368" s="13">
        <v>93</v>
      </c>
      <c r="P368" s="3">
        <f t="shared" si="27"/>
        <v>0</v>
      </c>
      <c r="Q368" s="3">
        <f t="shared" si="28"/>
        <v>93</v>
      </c>
      <c r="R368" s="3">
        <f t="shared" si="29"/>
        <v>50875.220000000008</v>
      </c>
      <c r="S368" s="24"/>
      <c r="T368" s="24"/>
      <c r="U368" s="3"/>
      <c r="V368" s="19" t="str">
        <f>IFERROR(VLOOKUP(Banco_Nacion[[#This Row],[responsable]],Clientes_Proveedores[[Ruc / Dni]:[Razon Social]],2,0),"")</f>
        <v/>
      </c>
      <c r="W368" s="19" t="str">
        <f>IF(Banco_Nacion[[#This Row],[tipo_mov]]="INGRESO",Banco_Nacion[[#This Row],[serie]]&amp;Banco_Nacion[[#This Row],[numero]]&amp;Banco_Nacion[[#This Row],[responsable]]&amp;Banco_Nacion[[#This Row],[monto]],"")</f>
        <v/>
      </c>
      <c r="X368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/>
      </c>
      <c r="Y368" s="3" t="str">
        <f>IFERROR(VLOOKUP(Banco_Nacion[[#This Row],[serie]]&amp;Banco_Nacion[[#This Row],[numero]]&amp;Banco_Nacion[[#This Row],[responsable]],[2]!Provision_CXC[[ID CXP]:[DETRACCION]],47,0),"")</f>
        <v/>
      </c>
      <c r="Z368" s="3"/>
      <c r="AA368" s="24" t="str">
        <f>IF(Banco_Nacion[[#This Row],[fecha]]&gt;0,TEXT(Banco_Nacion[[#This Row],[fecha]],"mmmm"),0)</f>
        <v>Mayo</v>
      </c>
    </row>
    <row r="369" spans="1:27" x14ac:dyDescent="0.3">
      <c r="A369" s="2">
        <f>IF(Banco_Nacion[[#This Row],[tipo_registro]]="R",COUNTIFS($C$1:$C368,"R")+1,"")</f>
        <v>368</v>
      </c>
      <c r="B369" s="19" t="str">
        <f t="shared" si="25"/>
        <v>B-Banco de la Nacion</v>
      </c>
      <c r="C369" s="3" t="s">
        <v>1330</v>
      </c>
      <c r="D369" s="14">
        <v>45800</v>
      </c>
      <c r="E369" s="5"/>
      <c r="F369" s="5" t="s">
        <v>1336</v>
      </c>
      <c r="G369" s="6"/>
      <c r="H369" s="6"/>
      <c r="I369" s="6" t="s">
        <v>5231</v>
      </c>
      <c r="J369" s="6" t="s">
        <v>5231</v>
      </c>
      <c r="K369" s="7" t="s">
        <v>5234</v>
      </c>
      <c r="L369" s="8">
        <v>78787878</v>
      </c>
      <c r="M369" s="8" t="str">
        <f t="shared" si="26"/>
        <v>PEN</v>
      </c>
      <c r="N369" s="13"/>
      <c r="O369" s="13">
        <v>2489</v>
      </c>
      <c r="P369" s="3">
        <f t="shared" si="27"/>
        <v>0</v>
      </c>
      <c r="Q369" s="3">
        <f t="shared" si="28"/>
        <v>2489</v>
      </c>
      <c r="R369" s="3">
        <f t="shared" si="29"/>
        <v>48386.220000000008</v>
      </c>
      <c r="S369" s="24"/>
      <c r="T369" s="24"/>
      <c r="U369" s="3"/>
      <c r="V369" s="19" t="str">
        <f>IFERROR(VLOOKUP(Banco_Nacion[[#This Row],[responsable]],Clientes_Proveedores[[Ruc / Dni]:[Razon Social]],2,0),"")</f>
        <v/>
      </c>
      <c r="W369" s="19" t="str">
        <f>IF(Banco_Nacion[[#This Row],[tipo_mov]]="INGRESO",Banco_Nacion[[#This Row],[serie]]&amp;Banco_Nacion[[#This Row],[numero]]&amp;Banco_Nacion[[#This Row],[responsable]]&amp;Banco_Nacion[[#This Row],[monto]],"")</f>
        <v/>
      </c>
      <c r="X369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/>
      </c>
      <c r="Y369" s="3" t="str">
        <f>IFERROR(VLOOKUP(Banco_Nacion[[#This Row],[serie]]&amp;Banco_Nacion[[#This Row],[numero]]&amp;Banco_Nacion[[#This Row],[responsable]],[2]!Provision_CXC[[ID CXP]:[DETRACCION]],47,0),"")</f>
        <v/>
      </c>
      <c r="Z369" s="3"/>
      <c r="AA369" s="24" t="str">
        <f>IF(Banco_Nacion[[#This Row],[fecha]]&gt;0,TEXT(Banco_Nacion[[#This Row],[fecha]],"mmmm"),0)</f>
        <v>Mayo</v>
      </c>
    </row>
    <row r="370" spans="1:27" x14ac:dyDescent="0.3">
      <c r="A370" s="2">
        <f>IF(Banco_Nacion[[#This Row],[tipo_registro]]="R",COUNTIFS($C$1:$C369,"R")+1,"")</f>
        <v>369</v>
      </c>
      <c r="B370" s="19" t="str">
        <f t="shared" si="25"/>
        <v>B-Banco de la Nacion</v>
      </c>
      <c r="C370" s="3" t="s">
        <v>1330</v>
      </c>
      <c r="D370" s="14">
        <v>45800</v>
      </c>
      <c r="E370" s="5" t="s">
        <v>5231</v>
      </c>
      <c r="F370" s="5" t="s">
        <v>1336</v>
      </c>
      <c r="G370" s="6"/>
      <c r="H370" s="6"/>
      <c r="I370" s="6" t="s">
        <v>5231</v>
      </c>
      <c r="J370" s="6" t="s">
        <v>5231</v>
      </c>
      <c r="K370" s="7" t="s">
        <v>5234</v>
      </c>
      <c r="L370" s="8">
        <v>78787878</v>
      </c>
      <c r="M370" s="8" t="str">
        <f t="shared" si="26"/>
        <v>PEN</v>
      </c>
      <c r="N370" s="13"/>
      <c r="O370" s="13">
        <v>8411</v>
      </c>
      <c r="P370" s="3">
        <f t="shared" si="27"/>
        <v>0</v>
      </c>
      <c r="Q370" s="3">
        <f t="shared" si="28"/>
        <v>8411</v>
      </c>
      <c r="R370" s="3">
        <f t="shared" si="29"/>
        <v>39975.220000000008</v>
      </c>
      <c r="S370" s="24"/>
      <c r="T370" s="24"/>
      <c r="U370" s="3"/>
      <c r="V370" s="19" t="str">
        <f>IFERROR(VLOOKUP(Banco_Nacion[[#This Row],[responsable]],Clientes_Proveedores[[Ruc / Dni]:[Razon Social]],2,0),"")</f>
        <v/>
      </c>
      <c r="W370" s="19" t="str">
        <f>IF(Banco_Nacion[[#This Row],[tipo_mov]]="INGRESO",Banco_Nacion[[#This Row],[serie]]&amp;Banco_Nacion[[#This Row],[numero]]&amp;Banco_Nacion[[#This Row],[responsable]]&amp;Banco_Nacion[[#This Row],[monto]],"")</f>
        <v/>
      </c>
      <c r="X370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/>
      </c>
      <c r="Y370" s="3" t="str">
        <f>IFERROR(VLOOKUP(Banco_Nacion[[#This Row],[serie]]&amp;Banco_Nacion[[#This Row],[numero]]&amp;Banco_Nacion[[#This Row],[responsable]],[2]!Provision_CXC[[ID CXP]:[DETRACCION]],47,0),"")</f>
        <v/>
      </c>
      <c r="Z370" s="3"/>
      <c r="AA370" s="24" t="str">
        <f>IF(Banco_Nacion[[#This Row],[fecha]]&gt;0,TEXT(Banco_Nacion[[#This Row],[fecha]],"mmmm"),0)</f>
        <v>Mayo</v>
      </c>
    </row>
    <row r="371" spans="1:27" x14ac:dyDescent="0.3">
      <c r="A371" s="2">
        <f>IF(Banco_Nacion[[#This Row],[tipo_registro]]="R",COUNTIFS($C$1:$C370,"R")+1,"")</f>
        <v>370</v>
      </c>
      <c r="B371" s="19" t="str">
        <f t="shared" si="25"/>
        <v>B-Banco de la Nacion</v>
      </c>
      <c r="C371" s="3" t="s">
        <v>1330</v>
      </c>
      <c r="D371" s="14">
        <v>45803</v>
      </c>
      <c r="E371" s="5">
        <v>20406350178</v>
      </c>
      <c r="F371" s="5" t="s">
        <v>1303</v>
      </c>
      <c r="G371" s="6" t="s">
        <v>425</v>
      </c>
      <c r="H371" s="6"/>
      <c r="I371" s="6" t="s">
        <v>1784</v>
      </c>
      <c r="J371" s="6">
        <v>87</v>
      </c>
      <c r="K371" s="7" t="s">
        <v>5232</v>
      </c>
      <c r="L371" s="8">
        <v>78195578</v>
      </c>
      <c r="M371" s="8" t="str">
        <f t="shared" si="26"/>
        <v>PEN</v>
      </c>
      <c r="N371" s="13"/>
      <c r="O371" s="13">
        <v>409</v>
      </c>
      <c r="P371" s="3">
        <f t="shared" si="27"/>
        <v>409</v>
      </c>
      <c r="Q371" s="3">
        <f t="shared" si="28"/>
        <v>0</v>
      </c>
      <c r="R371" s="3">
        <f t="shared" si="29"/>
        <v>40384.220000000008</v>
      </c>
      <c r="S371" s="24"/>
      <c r="T371" s="24"/>
      <c r="U371" s="3"/>
      <c r="V371" s="19" t="str">
        <f>IFERROR(VLOOKUP(Banco_Nacion[[#This Row],[responsable]],Clientes_Proveedores[[Ruc / Dni]:[Razon Social]],2,0),"")</f>
        <v>COOPERATIVA MINERA HALCON DE ORO DE ANANEA LIMITADA</v>
      </c>
      <c r="W371" s="19" t="str">
        <f>IF(Banco_Nacion[[#This Row],[tipo_mov]]="INGRESO",Banco_Nacion[[#This Row],[serie]]&amp;Banco_Nacion[[#This Row],[numero]]&amp;Banco_Nacion[[#This Row],[responsable]]&amp;Banco_Nacion[[#This Row],[monto]],"")</f>
        <v>FF018720406350178409</v>
      </c>
      <c r="X371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78195578</v>
      </c>
      <c r="Y371" s="3" t="str">
        <f>IFERROR(VLOOKUP(Banco_Nacion[[#This Row],[serie]]&amp;Banco_Nacion[[#This Row],[numero]]&amp;Banco_Nacion[[#This Row],[responsable]],[2]!Provision_CXC[[ID CXP]:[DETRACCION]],47,0),"")</f>
        <v/>
      </c>
      <c r="Z371" s="3"/>
      <c r="AA371" s="24" t="str">
        <f>IF(Banco_Nacion[[#This Row],[fecha]]&gt;0,TEXT(Banco_Nacion[[#This Row],[fecha]],"mmmm"),0)</f>
        <v>Mayo</v>
      </c>
    </row>
    <row r="372" spans="1:27" x14ac:dyDescent="0.3">
      <c r="A372" s="2">
        <f>IF(Banco_Nacion[[#This Row],[tipo_registro]]="R",COUNTIFS($C$1:$C371,"R")+1,"")</f>
        <v>371</v>
      </c>
      <c r="B372" s="19" t="str">
        <f t="shared" si="25"/>
        <v>B-Banco de la Nacion</v>
      </c>
      <c r="C372" s="3" t="s">
        <v>1330</v>
      </c>
      <c r="D372" s="14">
        <v>45803</v>
      </c>
      <c r="E372" s="5">
        <v>20424092941</v>
      </c>
      <c r="F372" s="5" t="s">
        <v>1303</v>
      </c>
      <c r="G372" s="6" t="s">
        <v>425</v>
      </c>
      <c r="H372" s="6"/>
      <c r="I372" s="6" t="s">
        <v>3302</v>
      </c>
      <c r="J372" s="6">
        <v>39</v>
      </c>
      <c r="K372" s="7" t="s">
        <v>5232</v>
      </c>
      <c r="L372" s="8">
        <v>78195577</v>
      </c>
      <c r="M372" s="8" t="str">
        <f t="shared" si="26"/>
        <v>PEN</v>
      </c>
      <c r="N372" s="13"/>
      <c r="O372" s="13">
        <v>31</v>
      </c>
      <c r="P372" s="3">
        <f t="shared" si="27"/>
        <v>31</v>
      </c>
      <c r="Q372" s="3">
        <f t="shared" si="28"/>
        <v>0</v>
      </c>
      <c r="R372" s="3">
        <f t="shared" si="29"/>
        <v>40415.220000000008</v>
      </c>
      <c r="S372" s="24"/>
      <c r="T372" s="24"/>
      <c r="U372" s="3"/>
      <c r="V372" s="19" t="str">
        <f>IFERROR(VLOOKUP(Banco_Nacion[[#This Row],[responsable]],Clientes_Proveedores[[Ruc / Dni]:[Razon Social]],2,0),"")</f>
        <v>TRANSPORTES PEREDA S.R.L.</v>
      </c>
      <c r="W372" s="19" t="str">
        <f>IF(Banco_Nacion[[#This Row],[tipo_mov]]="INGRESO",Banco_Nacion[[#This Row],[serie]]&amp;Banco_Nacion[[#This Row],[numero]]&amp;Banco_Nacion[[#This Row],[responsable]]&amp;Banco_Nacion[[#This Row],[monto]],"")</f>
        <v>FF02392042409294131</v>
      </c>
      <c r="X372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78195577</v>
      </c>
      <c r="Y372" s="3" t="str">
        <f>IFERROR(VLOOKUP(Banco_Nacion[[#This Row],[serie]]&amp;Banco_Nacion[[#This Row],[numero]]&amp;Banco_Nacion[[#This Row],[responsable]],[2]!Provision_CXC[[ID CXP]:[DETRACCION]],47,0),"")</f>
        <v/>
      </c>
      <c r="Z372" s="3"/>
      <c r="AA372" s="24" t="str">
        <f>IF(Banco_Nacion[[#This Row],[fecha]]&gt;0,TEXT(Banco_Nacion[[#This Row],[fecha]],"mmmm"),0)</f>
        <v>Mayo</v>
      </c>
    </row>
    <row r="373" spans="1:27" x14ac:dyDescent="0.3">
      <c r="A373" s="2">
        <f>IF(Banco_Nacion[[#This Row],[tipo_registro]]="R",COUNTIFS($C$1:$C372,"R")+1,"")</f>
        <v>372</v>
      </c>
      <c r="B373" s="19" t="str">
        <f t="shared" si="25"/>
        <v>B-Banco de la Nacion</v>
      </c>
      <c r="C373" s="3" t="s">
        <v>1330</v>
      </c>
      <c r="D373" s="14">
        <v>45803</v>
      </c>
      <c r="E373" s="5">
        <v>20611035072</v>
      </c>
      <c r="F373" s="5" t="s">
        <v>1303</v>
      </c>
      <c r="G373" s="6" t="s">
        <v>425</v>
      </c>
      <c r="H373" s="6"/>
      <c r="I373" s="6" t="s">
        <v>3302</v>
      </c>
      <c r="J373" s="6">
        <v>38</v>
      </c>
      <c r="K373" s="7" t="s">
        <v>5232</v>
      </c>
      <c r="L373" s="8">
        <v>78195576</v>
      </c>
      <c r="M373" s="8" t="str">
        <f t="shared" si="26"/>
        <v>PEN</v>
      </c>
      <c r="N373" s="13"/>
      <c r="O373" s="13">
        <v>498</v>
      </c>
      <c r="P373" s="3">
        <f t="shared" si="27"/>
        <v>498</v>
      </c>
      <c r="Q373" s="3">
        <f t="shared" si="28"/>
        <v>0</v>
      </c>
      <c r="R373" s="3">
        <f t="shared" si="29"/>
        <v>40913.220000000008</v>
      </c>
      <c r="S373" s="24"/>
      <c r="T373" s="24"/>
      <c r="U373" s="3"/>
      <c r="V373" s="19" t="str">
        <f>IFERROR(VLOOKUP(Banco_Nacion[[#This Row],[responsable]],Clientes_Proveedores[[Ruc / Dni]:[Razon Social]],2,0),"")</f>
        <v>REALM HUAMANI ENGINEERS S.A.C.</v>
      </c>
      <c r="W373" s="19" t="str">
        <f>IF(Banco_Nacion[[#This Row],[tipo_mov]]="INGRESO",Banco_Nacion[[#This Row],[serie]]&amp;Banco_Nacion[[#This Row],[numero]]&amp;Banco_Nacion[[#This Row],[responsable]]&amp;Banco_Nacion[[#This Row],[monto]],"")</f>
        <v>FF023820611035072498</v>
      </c>
      <c r="X373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78195576</v>
      </c>
      <c r="Y373" s="3" t="str">
        <f>IFERROR(VLOOKUP(Banco_Nacion[[#This Row],[serie]]&amp;Banco_Nacion[[#This Row],[numero]]&amp;Banco_Nacion[[#This Row],[responsable]],[2]!Provision_CXC[[ID CXP]:[DETRACCION]],47,0),"")</f>
        <v/>
      </c>
      <c r="Z373" s="3"/>
      <c r="AA373" s="24" t="str">
        <f>IF(Banco_Nacion[[#This Row],[fecha]]&gt;0,TEXT(Banco_Nacion[[#This Row],[fecha]],"mmmm"),0)</f>
        <v>Mayo</v>
      </c>
    </row>
    <row r="374" spans="1:27" x14ac:dyDescent="0.3">
      <c r="A374" s="2">
        <f>IF(Banco_Nacion[[#This Row],[tipo_registro]]="R",COUNTIFS($C$1:$C373,"R")+1,"")</f>
        <v>373</v>
      </c>
      <c r="B374" s="19" t="str">
        <f t="shared" si="25"/>
        <v>B-Banco de la Nacion</v>
      </c>
      <c r="C374" s="3" t="s">
        <v>1330</v>
      </c>
      <c r="D374" s="14">
        <v>45803</v>
      </c>
      <c r="E374" s="5">
        <v>20613110586</v>
      </c>
      <c r="F374" s="5" t="s">
        <v>1303</v>
      </c>
      <c r="G374" s="6" t="s">
        <v>425</v>
      </c>
      <c r="H374" s="6"/>
      <c r="I374" s="6" t="s">
        <v>3302</v>
      </c>
      <c r="J374" s="6">
        <v>31</v>
      </c>
      <c r="K374" s="7" t="s">
        <v>5232</v>
      </c>
      <c r="L374" s="8">
        <v>78195575</v>
      </c>
      <c r="M374" s="8" t="str">
        <f t="shared" si="26"/>
        <v>PEN</v>
      </c>
      <c r="N374" s="13"/>
      <c r="O374" s="13">
        <v>80</v>
      </c>
      <c r="P374" s="3">
        <f t="shared" si="27"/>
        <v>80</v>
      </c>
      <c r="Q374" s="3">
        <f t="shared" si="28"/>
        <v>0</v>
      </c>
      <c r="R374" s="3">
        <f t="shared" si="29"/>
        <v>40993.220000000008</v>
      </c>
      <c r="S374" s="24"/>
      <c r="T374" s="24"/>
      <c r="U374" s="3"/>
      <c r="V374" s="19" t="str">
        <f>IFERROR(VLOOKUP(Banco_Nacion[[#This Row],[responsable]],Clientes_Proveedores[[Ruc / Dni]:[Razon Social]],2,0),"")</f>
        <v>ACTIVA SERVICIOS GASTRONOMICOS S.R.L.</v>
      </c>
      <c r="W374" s="19" t="str">
        <f>IF(Banco_Nacion[[#This Row],[tipo_mov]]="INGRESO",Banco_Nacion[[#This Row],[serie]]&amp;Banco_Nacion[[#This Row],[numero]]&amp;Banco_Nacion[[#This Row],[responsable]]&amp;Banco_Nacion[[#This Row],[monto]],"")</f>
        <v>FF02312061311058680</v>
      </c>
      <c r="X374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78195575</v>
      </c>
      <c r="Y374" s="3" t="str">
        <f>IFERROR(VLOOKUP(Banco_Nacion[[#This Row],[serie]]&amp;Banco_Nacion[[#This Row],[numero]]&amp;Banco_Nacion[[#This Row],[responsable]],[2]!Provision_CXC[[ID CXP]:[DETRACCION]],47,0),"")</f>
        <v/>
      </c>
      <c r="Z374" s="3"/>
      <c r="AA374" s="24" t="str">
        <f>IF(Banco_Nacion[[#This Row],[fecha]]&gt;0,TEXT(Banco_Nacion[[#This Row],[fecha]],"mmmm"),0)</f>
        <v>Mayo</v>
      </c>
    </row>
    <row r="375" spans="1:27" x14ac:dyDescent="0.3">
      <c r="A375" s="2">
        <f>IF(Banco_Nacion[[#This Row],[tipo_registro]]="R",COUNTIFS($C$1:$C374,"R")+1,"")</f>
        <v>374</v>
      </c>
      <c r="B375" s="19" t="str">
        <f t="shared" si="25"/>
        <v>B-Banco de la Nacion</v>
      </c>
      <c r="C375" s="3" t="s">
        <v>1330</v>
      </c>
      <c r="D375" s="14">
        <v>45803</v>
      </c>
      <c r="E375" s="5">
        <v>20455703558</v>
      </c>
      <c r="F375" s="5" t="s">
        <v>1303</v>
      </c>
      <c r="G375" s="6" t="s">
        <v>425</v>
      </c>
      <c r="H375" s="6"/>
      <c r="I375" s="6" t="s">
        <v>3302</v>
      </c>
      <c r="J375" s="6">
        <v>30</v>
      </c>
      <c r="K375" s="7" t="s">
        <v>5232</v>
      </c>
      <c r="L375" s="8">
        <v>78195574</v>
      </c>
      <c r="M375" s="8" t="str">
        <f t="shared" si="26"/>
        <v>PEN</v>
      </c>
      <c r="N375" s="13"/>
      <c r="O375" s="13">
        <v>68</v>
      </c>
      <c r="P375" s="3">
        <f t="shared" si="27"/>
        <v>68</v>
      </c>
      <c r="Q375" s="3">
        <f t="shared" si="28"/>
        <v>0</v>
      </c>
      <c r="R375" s="3">
        <f t="shared" si="29"/>
        <v>41061.220000000008</v>
      </c>
      <c r="S375" s="24"/>
      <c r="T375" s="24"/>
      <c r="U375" s="3"/>
      <c r="V375" s="19" t="str">
        <f>IFERROR(VLOOKUP(Banco_Nacion[[#This Row],[responsable]],Clientes_Proveedores[[Ruc / Dni]:[Razon Social]],2,0),"")</f>
        <v>LIVISSI CONSTRUCCIONES E.I.R.L.</v>
      </c>
      <c r="W375" s="19" t="str">
        <f>IF(Banco_Nacion[[#This Row],[tipo_mov]]="INGRESO",Banco_Nacion[[#This Row],[serie]]&amp;Banco_Nacion[[#This Row],[numero]]&amp;Banco_Nacion[[#This Row],[responsable]]&amp;Banco_Nacion[[#This Row],[monto]],"")</f>
        <v>FF02302045570355868</v>
      </c>
      <c r="X375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78195574</v>
      </c>
      <c r="Y375" s="3" t="str">
        <f>IFERROR(VLOOKUP(Banco_Nacion[[#This Row],[serie]]&amp;Banco_Nacion[[#This Row],[numero]]&amp;Banco_Nacion[[#This Row],[responsable]],[2]!Provision_CXC[[ID CXP]:[DETRACCION]],47,0),"")</f>
        <v/>
      </c>
      <c r="Z375" s="3"/>
      <c r="AA375" s="24" t="str">
        <f>IF(Banco_Nacion[[#This Row],[fecha]]&gt;0,TEXT(Banco_Nacion[[#This Row],[fecha]],"mmmm"),0)</f>
        <v>Mayo</v>
      </c>
    </row>
    <row r="376" spans="1:27" x14ac:dyDescent="0.3">
      <c r="A376" s="2">
        <f>IF(Banco_Nacion[[#This Row],[tipo_registro]]="R",COUNTIFS($C$1:$C375,"R")+1,"")</f>
        <v>375</v>
      </c>
      <c r="B376" s="19" t="str">
        <f t="shared" si="25"/>
        <v>B-Banco de la Nacion</v>
      </c>
      <c r="C376" s="3" t="s">
        <v>1330</v>
      </c>
      <c r="D376" s="14">
        <v>45803</v>
      </c>
      <c r="E376" s="5">
        <v>20456012427</v>
      </c>
      <c r="F376" s="5" t="s">
        <v>1303</v>
      </c>
      <c r="G376" s="6" t="s">
        <v>425</v>
      </c>
      <c r="H376" s="6"/>
      <c r="I376" s="6" t="s">
        <v>1784</v>
      </c>
      <c r="J376" s="6">
        <v>42</v>
      </c>
      <c r="K376" s="7" t="s">
        <v>5232</v>
      </c>
      <c r="L376" s="8">
        <v>78195573</v>
      </c>
      <c r="M376" s="8" t="str">
        <f t="shared" si="26"/>
        <v>PEN</v>
      </c>
      <c r="N376" s="13"/>
      <c r="O376" s="13">
        <v>112</v>
      </c>
      <c r="P376" s="3">
        <f t="shared" si="27"/>
        <v>112</v>
      </c>
      <c r="Q376" s="3">
        <f t="shared" si="28"/>
        <v>0</v>
      </c>
      <c r="R376" s="3">
        <f t="shared" si="29"/>
        <v>41173.220000000008</v>
      </c>
      <c r="S376" s="24"/>
      <c r="T376" s="24"/>
      <c r="U376" s="3"/>
      <c r="V376" s="19" t="str">
        <f>IFERROR(VLOOKUP(Banco_Nacion[[#This Row],[responsable]],Clientes_Proveedores[[Ruc / Dni]:[Razon Social]],2,0),"")</f>
        <v>J. CH. COMERCIALIZADORA DE RESIDUOS SOLIDOS S.R.L.</v>
      </c>
      <c r="W376" s="19" t="str">
        <f>IF(Banco_Nacion[[#This Row],[tipo_mov]]="INGRESO",Banco_Nacion[[#This Row],[serie]]&amp;Banco_Nacion[[#This Row],[numero]]&amp;Banco_Nacion[[#This Row],[responsable]]&amp;Banco_Nacion[[#This Row],[monto]],"")</f>
        <v>FF014220456012427112</v>
      </c>
      <c r="X376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78195573</v>
      </c>
      <c r="Y376" s="3" t="str">
        <f>IFERROR(VLOOKUP(Banco_Nacion[[#This Row],[serie]]&amp;Banco_Nacion[[#This Row],[numero]]&amp;Banco_Nacion[[#This Row],[responsable]],[2]!Provision_CXC[[ID CXP]:[DETRACCION]],47,0),"")</f>
        <v/>
      </c>
      <c r="Z376" s="3"/>
      <c r="AA376" s="24" t="str">
        <f>IF(Banco_Nacion[[#This Row],[fecha]]&gt;0,TEXT(Banco_Nacion[[#This Row],[fecha]],"mmmm"),0)</f>
        <v>Mayo</v>
      </c>
    </row>
    <row r="377" spans="1:27" x14ac:dyDescent="0.3">
      <c r="A377" s="2">
        <f>IF(Banco_Nacion[[#This Row],[tipo_registro]]="R",COUNTIFS($C$1:$C376,"R")+1,"")</f>
        <v>376</v>
      </c>
      <c r="B377" s="19" t="str">
        <f t="shared" si="25"/>
        <v>B-Banco de la Nacion</v>
      </c>
      <c r="C377" s="3" t="s">
        <v>1330</v>
      </c>
      <c r="D377" s="14">
        <v>45803</v>
      </c>
      <c r="E377" s="5">
        <v>20558353814</v>
      </c>
      <c r="F377" s="5" t="s">
        <v>1303</v>
      </c>
      <c r="G377" s="6" t="s">
        <v>425</v>
      </c>
      <c r="H377" s="6"/>
      <c r="I377" s="6" t="s">
        <v>1784</v>
      </c>
      <c r="J377" s="6">
        <v>34</v>
      </c>
      <c r="K377" s="7" t="s">
        <v>5232</v>
      </c>
      <c r="L377" s="8">
        <v>78195572</v>
      </c>
      <c r="M377" s="8" t="str">
        <f t="shared" si="26"/>
        <v>PEN</v>
      </c>
      <c r="N377" s="13"/>
      <c r="O377" s="13">
        <v>299</v>
      </c>
      <c r="P377" s="3">
        <f t="shared" si="27"/>
        <v>299</v>
      </c>
      <c r="Q377" s="3">
        <f t="shared" si="28"/>
        <v>0</v>
      </c>
      <c r="R377" s="3">
        <f t="shared" si="29"/>
        <v>41472.220000000008</v>
      </c>
      <c r="S377" s="24"/>
      <c r="T377" s="24"/>
      <c r="U377" s="3"/>
      <c r="V377" s="19" t="str">
        <f>IFERROR(VLOOKUP(Banco_Nacion[[#This Row],[responsable]],Clientes_Proveedores[[Ruc / Dni]:[Razon Social]],2,0),"")</f>
        <v>TACONSER E.I.R.L.</v>
      </c>
      <c r="W377" s="19" t="str">
        <f>IF(Banco_Nacion[[#This Row],[tipo_mov]]="INGRESO",Banco_Nacion[[#This Row],[serie]]&amp;Banco_Nacion[[#This Row],[numero]]&amp;Banco_Nacion[[#This Row],[responsable]]&amp;Banco_Nacion[[#This Row],[monto]],"")</f>
        <v>FF013420558353814299</v>
      </c>
      <c r="X377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78195572</v>
      </c>
      <c r="Y377" s="3" t="str">
        <f>IFERROR(VLOOKUP(Banco_Nacion[[#This Row],[serie]]&amp;Banco_Nacion[[#This Row],[numero]]&amp;Banco_Nacion[[#This Row],[responsable]],[2]!Provision_CXC[[ID CXP]:[DETRACCION]],47,0),"")</f>
        <v/>
      </c>
      <c r="Z377" s="3"/>
      <c r="AA377" s="24" t="str">
        <f>IF(Banco_Nacion[[#This Row],[fecha]]&gt;0,TEXT(Banco_Nacion[[#This Row],[fecha]],"mmmm"),0)</f>
        <v>Mayo</v>
      </c>
    </row>
    <row r="378" spans="1:27" x14ac:dyDescent="0.3">
      <c r="A378" s="2">
        <f>IF(Banco_Nacion[[#This Row],[tipo_registro]]="R",COUNTIFS($C$1:$C377,"R")+1,"")</f>
        <v>377</v>
      </c>
      <c r="B378" s="19" t="str">
        <f t="shared" si="25"/>
        <v>B-Banco de la Nacion</v>
      </c>
      <c r="C378" s="3" t="s">
        <v>1330</v>
      </c>
      <c r="D378" s="14">
        <v>45803</v>
      </c>
      <c r="E378" s="5">
        <v>20603536569</v>
      </c>
      <c r="F378" s="5" t="s">
        <v>1303</v>
      </c>
      <c r="G378" s="6" t="s">
        <v>425</v>
      </c>
      <c r="H378" s="6"/>
      <c r="I378" s="6" t="s">
        <v>1784</v>
      </c>
      <c r="J378" s="6">
        <v>85</v>
      </c>
      <c r="K378" s="7" t="s">
        <v>5232</v>
      </c>
      <c r="L378" s="8">
        <v>78183287</v>
      </c>
      <c r="M378" s="8" t="str">
        <f t="shared" si="26"/>
        <v>PEN</v>
      </c>
      <c r="N378" s="13"/>
      <c r="O378" s="13">
        <v>549</v>
      </c>
      <c r="P378" s="3">
        <f t="shared" si="27"/>
        <v>549</v>
      </c>
      <c r="Q378" s="3">
        <f t="shared" si="28"/>
        <v>0</v>
      </c>
      <c r="R378" s="3">
        <f t="shared" si="29"/>
        <v>42021.220000000008</v>
      </c>
      <c r="S378" s="24"/>
      <c r="T378" s="24" t="s">
        <v>1334</v>
      </c>
      <c r="U378" s="3"/>
      <c r="V378" s="19" t="str">
        <f>IFERROR(VLOOKUP(Banco_Nacion[[#This Row],[responsable]],Clientes_Proveedores[[Ruc / Dni]:[Razon Social]],2,0),"")</f>
        <v>ANTILLA COPPER SOCIEDAD ANONIMA</v>
      </c>
      <c r="W378" s="19" t="str">
        <f>IF(Banco_Nacion[[#This Row],[tipo_mov]]="INGRESO",Banco_Nacion[[#This Row],[serie]]&amp;Banco_Nacion[[#This Row],[numero]]&amp;Banco_Nacion[[#This Row],[responsable]]&amp;Banco_Nacion[[#This Row],[monto]],"")</f>
        <v>FF018520603536569549</v>
      </c>
      <c r="X378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78183287</v>
      </c>
      <c r="Y378" s="3" t="str">
        <f>IFERROR(VLOOKUP(Banco_Nacion[[#This Row],[serie]]&amp;Banco_Nacion[[#This Row],[numero]]&amp;Banco_Nacion[[#This Row],[responsable]],[2]!Provision_CXC[[ID CXP]:[DETRACCION]],47,0),"")</f>
        <v/>
      </c>
      <c r="Z378" s="3"/>
      <c r="AA378" s="24" t="str">
        <f>IF(Banco_Nacion[[#This Row],[fecha]]&gt;0,TEXT(Banco_Nacion[[#This Row],[fecha]],"mmmm"),0)</f>
        <v>Mayo</v>
      </c>
    </row>
    <row r="379" spans="1:27" x14ac:dyDescent="0.3">
      <c r="A379" s="2">
        <f>IF(Banco_Nacion[[#This Row],[tipo_registro]]="R",COUNTIFS($C$1:$C378,"R")+1,"")</f>
        <v>378</v>
      </c>
      <c r="B379" s="19" t="str">
        <f t="shared" si="25"/>
        <v>B-Banco de la Nacion</v>
      </c>
      <c r="C379" s="3" t="s">
        <v>1330</v>
      </c>
      <c r="D379" s="14">
        <v>45804</v>
      </c>
      <c r="E379" s="5">
        <v>20607388416</v>
      </c>
      <c r="F379" s="5" t="s">
        <v>1303</v>
      </c>
      <c r="G379" s="6" t="s">
        <v>425</v>
      </c>
      <c r="H379" s="6"/>
      <c r="I379" s="6" t="s">
        <v>3381</v>
      </c>
      <c r="J379" s="6">
        <v>27</v>
      </c>
      <c r="K379" s="7" t="s">
        <v>5232</v>
      </c>
      <c r="L379" s="8">
        <v>78269338</v>
      </c>
      <c r="M379" s="8" t="str">
        <f t="shared" si="26"/>
        <v>PEN</v>
      </c>
      <c r="N379" s="13"/>
      <c r="O379" s="13">
        <v>374</v>
      </c>
      <c r="P379" s="3">
        <f t="shared" si="27"/>
        <v>374</v>
      </c>
      <c r="Q379" s="3">
        <f t="shared" si="28"/>
        <v>0</v>
      </c>
      <c r="R379" s="3">
        <f t="shared" si="29"/>
        <v>42395.220000000008</v>
      </c>
      <c r="S379" s="24"/>
      <c r="T379" s="24" t="s">
        <v>1334</v>
      </c>
      <c r="U379" s="3"/>
      <c r="V379" s="19" t="str">
        <f>IFERROR(VLOOKUP(Banco_Nacion[[#This Row],[responsable]],Clientes_Proveedores[[Ruc / Dni]:[Razon Social]],2,0),"")</f>
        <v>ALEACIONES FERROSAS Y METALICAS S.A.C.</v>
      </c>
      <c r="W379" s="19" t="str">
        <f>IF(Banco_Nacion[[#This Row],[tipo_mov]]="INGRESO",Banco_Nacion[[#This Row],[serie]]&amp;Banco_Nacion[[#This Row],[numero]]&amp;Banco_Nacion[[#This Row],[responsable]]&amp;Banco_Nacion[[#This Row],[monto]],"")</f>
        <v>FF052720607388416374</v>
      </c>
      <c r="X379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78269338</v>
      </c>
      <c r="Y379" s="3" t="str">
        <f>IFERROR(VLOOKUP(Banco_Nacion[[#This Row],[serie]]&amp;Banco_Nacion[[#This Row],[numero]]&amp;Banco_Nacion[[#This Row],[responsable]],[2]!Provision_CXC[[ID CXP]:[DETRACCION]],47,0),"")</f>
        <v/>
      </c>
      <c r="Z379" s="3"/>
      <c r="AA379" s="24" t="str">
        <f>IF(Banco_Nacion[[#This Row],[fecha]]&gt;0,TEXT(Banco_Nacion[[#This Row],[fecha]],"mmmm"),0)</f>
        <v>Mayo</v>
      </c>
    </row>
    <row r="380" spans="1:27" x14ac:dyDescent="0.3">
      <c r="A380" s="2">
        <f>IF(Banco_Nacion[[#This Row],[tipo_registro]]="R",COUNTIFS($C$1:$C379,"R")+1,"")</f>
        <v>379</v>
      </c>
      <c r="B380" s="19" t="str">
        <f t="shared" si="25"/>
        <v>B-Banco de la Nacion</v>
      </c>
      <c r="C380" s="3" t="s">
        <v>1330</v>
      </c>
      <c r="D380" s="14">
        <v>45805</v>
      </c>
      <c r="E380" s="5">
        <v>20141637941</v>
      </c>
      <c r="F380" s="5" t="s">
        <v>1303</v>
      </c>
      <c r="G380" s="6" t="s">
        <v>425</v>
      </c>
      <c r="H380" s="6"/>
      <c r="I380" s="6" t="s">
        <v>1784</v>
      </c>
      <c r="J380" s="6">
        <v>40</v>
      </c>
      <c r="K380" s="7" t="s">
        <v>5232</v>
      </c>
      <c r="L380" s="8">
        <v>78320927</v>
      </c>
      <c r="M380" s="8" t="str">
        <f t="shared" si="26"/>
        <v>PEN</v>
      </c>
      <c r="N380" s="13"/>
      <c r="O380" s="13">
        <v>439</v>
      </c>
      <c r="P380" s="3">
        <f t="shared" si="27"/>
        <v>439</v>
      </c>
      <c r="Q380" s="3">
        <f t="shared" si="28"/>
        <v>0</v>
      </c>
      <c r="R380" s="3">
        <f t="shared" si="29"/>
        <v>42834.220000000008</v>
      </c>
      <c r="S380" s="24"/>
      <c r="T380" s="24" t="s">
        <v>1334</v>
      </c>
      <c r="U380" s="3"/>
      <c r="V380" s="19" t="str">
        <f>IFERROR(VLOOKUP(Banco_Nacion[[#This Row],[responsable]],Clientes_Proveedores[[Ruc / Dni]:[Razon Social]],2,0),"")</f>
        <v>UNIVERSIDAD CATOLICA DE SANTA MARIA</v>
      </c>
      <c r="W380" s="19" t="str">
        <f>IF(Banco_Nacion[[#This Row],[tipo_mov]]="INGRESO",Banco_Nacion[[#This Row],[serie]]&amp;Banco_Nacion[[#This Row],[numero]]&amp;Banco_Nacion[[#This Row],[responsable]]&amp;Banco_Nacion[[#This Row],[monto]],"")</f>
        <v>FF014020141637941439</v>
      </c>
      <c r="X380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78320927</v>
      </c>
      <c r="Y380" s="3" t="str">
        <f>IFERROR(VLOOKUP(Banco_Nacion[[#This Row],[serie]]&amp;Banco_Nacion[[#This Row],[numero]]&amp;Banco_Nacion[[#This Row],[responsable]],[2]!Provision_CXC[[ID CXP]:[DETRACCION]],47,0),"")</f>
        <v/>
      </c>
      <c r="Z380" s="3"/>
      <c r="AA380" s="24" t="str">
        <f>IF(Banco_Nacion[[#This Row],[fecha]]&gt;0,TEXT(Banco_Nacion[[#This Row],[fecha]],"mmmm"),0)</f>
        <v>Mayo</v>
      </c>
    </row>
    <row r="381" spans="1:27" x14ac:dyDescent="0.3">
      <c r="A381" s="2">
        <f>IF(Banco_Nacion[[#This Row],[tipo_registro]]="R",COUNTIFS($C$1:$C380,"R")+1,"")</f>
        <v>380</v>
      </c>
      <c r="B381" s="19" t="str">
        <f t="shared" si="25"/>
        <v>B-Banco de la Nacion</v>
      </c>
      <c r="C381" s="3" t="s">
        <v>1330</v>
      </c>
      <c r="D381" s="14">
        <v>45806</v>
      </c>
      <c r="E381" s="5">
        <v>20100192064</v>
      </c>
      <c r="F381" s="5" t="s">
        <v>1303</v>
      </c>
      <c r="G381" s="6" t="s">
        <v>425</v>
      </c>
      <c r="H381" s="6" t="s">
        <v>68</v>
      </c>
      <c r="I381" s="6" t="s">
        <v>1784</v>
      </c>
      <c r="J381" s="6">
        <v>97</v>
      </c>
      <c r="K381" s="7" t="s">
        <v>5232</v>
      </c>
      <c r="L381" s="8">
        <v>78397331</v>
      </c>
      <c r="M381" s="8" t="str">
        <f t="shared" si="26"/>
        <v>PEN</v>
      </c>
      <c r="N381" s="13"/>
      <c r="O381" s="13">
        <v>1508</v>
      </c>
      <c r="P381" s="3">
        <f t="shared" si="27"/>
        <v>1508</v>
      </c>
      <c r="Q381" s="3">
        <f t="shared" si="28"/>
        <v>0</v>
      </c>
      <c r="R381" s="3">
        <f t="shared" si="29"/>
        <v>44342.220000000008</v>
      </c>
      <c r="S381" s="24" t="s">
        <v>1334</v>
      </c>
      <c r="T381" s="24" t="s">
        <v>1334</v>
      </c>
      <c r="U381" s="3"/>
      <c r="V381" s="19" t="str">
        <f>IFERROR(VLOOKUP(Banco_Nacion[[#This Row],[responsable]],Clientes_Proveedores[[Ruc / Dni]:[Razon Social]],2,0),"")</f>
        <v>MOLY-COP ADESUR S.A</v>
      </c>
      <c r="W381" s="19" t="str">
        <f>IF(Banco_Nacion[[#This Row],[tipo_mov]]="INGRESO",Banco_Nacion[[#This Row],[serie]]&amp;Banco_Nacion[[#This Row],[numero]]&amp;Banco_Nacion[[#This Row],[responsable]]&amp;Banco_Nacion[[#This Row],[monto]],"")</f>
        <v>FF0197201001920641508</v>
      </c>
      <c r="X381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78397331</v>
      </c>
      <c r="Y381" s="3" t="str">
        <f>IFERROR(VLOOKUP(Banco_Nacion[[#This Row],[serie]]&amp;Banco_Nacion[[#This Row],[numero]]&amp;Banco_Nacion[[#This Row],[responsable]],[2]!Provision_CXC[[ID CXP]:[DETRACCION]],47,0),"")</f>
        <v/>
      </c>
      <c r="Z381" s="3"/>
      <c r="AA381" s="24" t="str">
        <f>IF(Banco_Nacion[[#This Row],[fecha]]&gt;0,TEXT(Banco_Nacion[[#This Row],[fecha]],"mmmm"),0)</f>
        <v>Mayo</v>
      </c>
    </row>
    <row r="382" spans="1:27" x14ac:dyDescent="0.3">
      <c r="A382" s="2">
        <f>IF(Banco_Nacion[[#This Row],[tipo_registro]]="R",COUNTIFS($C$1:$C381,"R")+1,"")</f>
        <v>381</v>
      </c>
      <c r="B382" s="19" t="str">
        <f t="shared" si="25"/>
        <v>B-Banco de la Nacion</v>
      </c>
      <c r="C382" s="3" t="s">
        <v>1330</v>
      </c>
      <c r="D382" s="14">
        <v>45806</v>
      </c>
      <c r="E382" s="5">
        <v>20141637941</v>
      </c>
      <c r="F382" s="5" t="s">
        <v>1303</v>
      </c>
      <c r="G382" s="6" t="s">
        <v>425</v>
      </c>
      <c r="H382" s="6"/>
      <c r="I382" s="6" t="s">
        <v>1784</v>
      </c>
      <c r="J382" s="6">
        <v>70</v>
      </c>
      <c r="K382" s="7" t="s">
        <v>5232</v>
      </c>
      <c r="L382" s="8">
        <v>78387651</v>
      </c>
      <c r="M382" s="8" t="str">
        <f t="shared" si="26"/>
        <v>PEN</v>
      </c>
      <c r="N382" s="13"/>
      <c r="O382" s="13">
        <v>420</v>
      </c>
      <c r="P382" s="3">
        <f t="shared" si="27"/>
        <v>420</v>
      </c>
      <c r="Q382" s="3">
        <f t="shared" si="28"/>
        <v>0</v>
      </c>
      <c r="R382" s="3">
        <f t="shared" si="29"/>
        <v>44762.220000000008</v>
      </c>
      <c r="S382" s="24"/>
      <c r="T382" s="24" t="s">
        <v>1334</v>
      </c>
      <c r="U382" s="3"/>
      <c r="V382" s="19" t="str">
        <f>IFERROR(VLOOKUP(Banco_Nacion[[#This Row],[responsable]],Clientes_Proveedores[[Ruc / Dni]:[Razon Social]],2,0),"")</f>
        <v>UNIVERSIDAD CATOLICA DE SANTA MARIA</v>
      </c>
      <c r="W382" s="19" t="str">
        <f>IF(Banco_Nacion[[#This Row],[tipo_mov]]="INGRESO",Banco_Nacion[[#This Row],[serie]]&amp;Banco_Nacion[[#This Row],[numero]]&amp;Banco_Nacion[[#This Row],[responsable]]&amp;Banco_Nacion[[#This Row],[monto]],"")</f>
        <v>FF017020141637941420</v>
      </c>
      <c r="X382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78387651</v>
      </c>
      <c r="Y382" s="3" t="str">
        <f>IFERROR(VLOOKUP(Banco_Nacion[[#This Row],[serie]]&amp;Banco_Nacion[[#This Row],[numero]]&amp;Banco_Nacion[[#This Row],[responsable]],[2]!Provision_CXC[[ID CXP]:[DETRACCION]],47,0),"")</f>
        <v/>
      </c>
      <c r="Z382" s="3"/>
      <c r="AA382" s="24" t="str">
        <f>IF(Banco_Nacion[[#This Row],[fecha]]&gt;0,TEXT(Banco_Nacion[[#This Row],[fecha]],"mmmm"),0)</f>
        <v>Mayo</v>
      </c>
    </row>
    <row r="383" spans="1:27" x14ac:dyDescent="0.3">
      <c r="A383" s="2">
        <f>IF(Banco_Nacion[[#This Row],[tipo_registro]]="R",COUNTIFS($C$1:$C382,"R")+1,"")</f>
        <v>382</v>
      </c>
      <c r="B383" s="19" t="str">
        <f t="shared" si="25"/>
        <v>B-Banco de la Nacion</v>
      </c>
      <c r="C383" s="3" t="s">
        <v>1330</v>
      </c>
      <c r="D383" s="14">
        <v>45806</v>
      </c>
      <c r="E383" s="5">
        <v>20601119600</v>
      </c>
      <c r="F383" s="5" t="s">
        <v>1303</v>
      </c>
      <c r="G383" s="6" t="s">
        <v>425</v>
      </c>
      <c r="H383" s="6"/>
      <c r="I383" s="6" t="s">
        <v>3381</v>
      </c>
      <c r="J383" s="6">
        <v>26</v>
      </c>
      <c r="K383" s="7" t="s">
        <v>5232</v>
      </c>
      <c r="L383" s="8">
        <v>27074483</v>
      </c>
      <c r="M383" s="8" t="str">
        <f t="shared" si="26"/>
        <v>PEN</v>
      </c>
      <c r="N383" s="13"/>
      <c r="O383" s="13">
        <v>102</v>
      </c>
      <c r="P383" s="3">
        <f t="shared" si="27"/>
        <v>102</v>
      </c>
      <c r="Q383" s="3">
        <f t="shared" si="28"/>
        <v>0</v>
      </c>
      <c r="R383" s="3">
        <f t="shared" si="29"/>
        <v>44864.220000000008</v>
      </c>
      <c r="S383" s="24"/>
      <c r="T383" s="24" t="s">
        <v>1334</v>
      </c>
      <c r="U383" s="3"/>
      <c r="V383" s="19" t="str">
        <f>IFERROR(VLOOKUP(Banco_Nacion[[#This Row],[responsable]],Clientes_Proveedores[[Ruc / Dni]:[Razon Social]],2,0),"")</f>
        <v>INVERSIONES W.J.M. S.A.C.</v>
      </c>
      <c r="W383" s="19" t="str">
        <f>IF(Banco_Nacion[[#This Row],[tipo_mov]]="INGRESO",Banco_Nacion[[#This Row],[serie]]&amp;Banco_Nacion[[#This Row],[numero]]&amp;Banco_Nacion[[#This Row],[responsable]]&amp;Banco_Nacion[[#This Row],[monto]],"")</f>
        <v>FF052620601119600102</v>
      </c>
      <c r="X383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27074483</v>
      </c>
      <c r="Y383" s="3" t="str">
        <f>IFERROR(VLOOKUP(Banco_Nacion[[#This Row],[serie]]&amp;Banco_Nacion[[#This Row],[numero]]&amp;Banco_Nacion[[#This Row],[responsable]],[2]!Provision_CXC[[ID CXP]:[DETRACCION]],47,0),"")</f>
        <v/>
      </c>
      <c r="Z383" s="3"/>
      <c r="AA383" s="24" t="str">
        <f>IF(Banco_Nacion[[#This Row],[fecha]]&gt;0,TEXT(Banco_Nacion[[#This Row],[fecha]],"mmmm"),0)</f>
        <v>Mayo</v>
      </c>
    </row>
    <row r="384" spans="1:27" x14ac:dyDescent="0.3">
      <c r="A384" s="2">
        <f>IF(Banco_Nacion[[#This Row],[tipo_registro]]="R",COUNTIFS($C$1:$C383,"R")+1,"")</f>
        <v>383</v>
      </c>
      <c r="B384" s="19" t="str">
        <f t="shared" si="25"/>
        <v>B-Banco de la Nacion</v>
      </c>
      <c r="C384" s="3" t="s">
        <v>1330</v>
      </c>
      <c r="D384" s="14">
        <v>45807</v>
      </c>
      <c r="E384" s="5">
        <v>20419158462</v>
      </c>
      <c r="F384" s="5" t="s">
        <v>1303</v>
      </c>
      <c r="G384" s="6" t="s">
        <v>425</v>
      </c>
      <c r="H384" s="6"/>
      <c r="I384" s="6" t="s">
        <v>1784</v>
      </c>
      <c r="J384" s="6">
        <v>73</v>
      </c>
      <c r="K384" s="7" t="s">
        <v>5232</v>
      </c>
      <c r="L384" s="8">
        <v>78511331</v>
      </c>
      <c r="M384" s="8" t="str">
        <f t="shared" si="26"/>
        <v>PEN</v>
      </c>
      <c r="N384" s="13"/>
      <c r="O384" s="13">
        <v>202</v>
      </c>
      <c r="P384" s="3">
        <f t="shared" si="27"/>
        <v>202</v>
      </c>
      <c r="Q384" s="3">
        <f t="shared" si="28"/>
        <v>0</v>
      </c>
      <c r="R384" s="3">
        <f t="shared" si="29"/>
        <v>45066.220000000008</v>
      </c>
      <c r="S384" s="24"/>
      <c r="T384" s="24" t="s">
        <v>1334</v>
      </c>
      <c r="U384" s="3"/>
      <c r="V384" s="19" t="str">
        <f>IFERROR(VLOOKUP(Banco_Nacion[[#This Row],[responsable]],Clientes_Proveedores[[Ruc / Dni]:[Razon Social]],2,0),"")</f>
        <v>GRANJA RINCONADA DEL SUR S.A.</v>
      </c>
      <c r="W384" s="19" t="str">
        <f>IF(Banco_Nacion[[#This Row],[tipo_mov]]="INGRESO",Banco_Nacion[[#This Row],[serie]]&amp;Banco_Nacion[[#This Row],[numero]]&amp;Banco_Nacion[[#This Row],[responsable]]&amp;Banco_Nacion[[#This Row],[monto]],"")</f>
        <v>FF017320419158462202</v>
      </c>
      <c r="X384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78511331</v>
      </c>
      <c r="Y384" s="3" t="str">
        <f>IFERROR(VLOOKUP(Banco_Nacion[[#This Row],[serie]]&amp;Banco_Nacion[[#This Row],[numero]]&amp;Banco_Nacion[[#This Row],[responsable]],[2]!Provision_CXC[[ID CXP]:[DETRACCION]],47,0),"")</f>
        <v/>
      </c>
      <c r="Z384" s="3"/>
      <c r="AA384" s="24" t="str">
        <f>IF(Banco_Nacion[[#This Row],[fecha]]&gt;0,TEXT(Banco_Nacion[[#This Row],[fecha]],"mmmm"),0)</f>
        <v>Mayo</v>
      </c>
    </row>
    <row r="385" spans="1:27" x14ac:dyDescent="0.3">
      <c r="A385" s="2">
        <f>IF(Banco_Nacion[[#This Row],[tipo_registro]]="R",COUNTIFS($C$1:$C384,"R")+1,"")</f>
        <v>384</v>
      </c>
      <c r="B385" s="19" t="str">
        <f t="shared" si="25"/>
        <v>B-Banco de la Nacion</v>
      </c>
      <c r="C385" s="3" t="s">
        <v>1330</v>
      </c>
      <c r="D385" s="14">
        <v>45807</v>
      </c>
      <c r="E385" s="5">
        <v>20419158462</v>
      </c>
      <c r="F385" s="5" t="s">
        <v>1303</v>
      </c>
      <c r="G385" s="6" t="s">
        <v>425</v>
      </c>
      <c r="H385" s="6"/>
      <c r="I385" s="6" t="s">
        <v>1784</v>
      </c>
      <c r="J385" s="6">
        <v>74</v>
      </c>
      <c r="K385" s="7" t="s">
        <v>5232</v>
      </c>
      <c r="L385" s="8">
        <v>78511330</v>
      </c>
      <c r="M385" s="8" t="str">
        <f t="shared" si="26"/>
        <v>PEN</v>
      </c>
      <c r="N385" s="13"/>
      <c r="O385" s="13">
        <v>202</v>
      </c>
      <c r="P385" s="3">
        <f t="shared" si="27"/>
        <v>202</v>
      </c>
      <c r="Q385" s="3">
        <f t="shared" si="28"/>
        <v>0</v>
      </c>
      <c r="R385" s="3">
        <f t="shared" si="29"/>
        <v>45268.220000000008</v>
      </c>
      <c r="S385" s="24"/>
      <c r="T385" s="24" t="s">
        <v>1334</v>
      </c>
      <c r="U385" s="3"/>
      <c r="V385" s="19" t="str">
        <f>IFERROR(VLOOKUP(Banco_Nacion[[#This Row],[responsable]],Clientes_Proveedores[[Ruc / Dni]:[Razon Social]],2,0),"")</f>
        <v>GRANJA RINCONADA DEL SUR S.A.</v>
      </c>
      <c r="W385" s="19" t="str">
        <f>IF(Banco_Nacion[[#This Row],[tipo_mov]]="INGRESO",Banco_Nacion[[#This Row],[serie]]&amp;Banco_Nacion[[#This Row],[numero]]&amp;Banco_Nacion[[#This Row],[responsable]]&amp;Banco_Nacion[[#This Row],[monto]],"")</f>
        <v>FF017420419158462202</v>
      </c>
      <c r="X385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78511330</v>
      </c>
      <c r="Y385" s="3" t="str">
        <f>IFERROR(VLOOKUP(Banco_Nacion[[#This Row],[serie]]&amp;Banco_Nacion[[#This Row],[numero]]&amp;Banco_Nacion[[#This Row],[responsable]],[2]!Provision_CXC[[ID CXP]:[DETRACCION]],47,0),"")</f>
        <v/>
      </c>
      <c r="Z385" s="3"/>
      <c r="AA385" s="24" t="str">
        <f>IF(Banco_Nacion[[#This Row],[fecha]]&gt;0,TEXT(Banco_Nacion[[#This Row],[fecha]],"mmmm"),0)</f>
        <v>Mayo</v>
      </c>
    </row>
    <row r="386" spans="1:27" x14ac:dyDescent="0.3">
      <c r="A386" s="2">
        <f>IF(Banco_Nacion[[#This Row],[tipo_registro]]="R",COUNTIFS($C$1:$C385,"R")+1,"")</f>
        <v>385</v>
      </c>
      <c r="B386" s="19" t="str">
        <f t="shared" ref="B386:B431" si="30">"B-Banco de la Nacion"</f>
        <v>B-Banco de la Nacion</v>
      </c>
      <c r="C386" s="3" t="s">
        <v>1330</v>
      </c>
      <c r="D386" s="14">
        <v>45810</v>
      </c>
      <c r="E386" s="5">
        <v>20454186002</v>
      </c>
      <c r="F386" s="5" t="s">
        <v>1303</v>
      </c>
      <c r="G386" s="6" t="s">
        <v>425</v>
      </c>
      <c r="H386" s="6"/>
      <c r="I386" s="6" t="s">
        <v>1784</v>
      </c>
      <c r="J386" s="6">
        <v>91</v>
      </c>
      <c r="K386" s="7" t="s">
        <v>5232</v>
      </c>
      <c r="L386" s="8">
        <v>78579465</v>
      </c>
      <c r="M386" s="8" t="str">
        <f t="shared" ref="M386:M431" si="31">"PEN"</f>
        <v>PEN</v>
      </c>
      <c r="N386" s="13"/>
      <c r="O386" s="13">
        <v>294</v>
      </c>
      <c r="P386" s="3">
        <f t="shared" ref="P386:P449" si="32">+IF(OR($F386="SALDO",$F386="INGRESO"),$O386,0)</f>
        <v>294</v>
      </c>
      <c r="Q386" s="3">
        <f t="shared" ref="Q386:Q449" si="33">+IF($F386="EGRESO",$O386,0)</f>
        <v>0</v>
      </c>
      <c r="R386" s="3">
        <f t="shared" ref="R386:R449" si="34">IFERROR(IF(F386="SALDO",P386,R385+P386-Q386),0)</f>
        <v>45562.220000000008</v>
      </c>
      <c r="S386" s="24"/>
      <c r="T386" s="24" t="s">
        <v>1334</v>
      </c>
      <c r="U386" s="3"/>
      <c r="V386" s="19" t="str">
        <f>IFERROR(VLOOKUP(Banco_Nacion[[#This Row],[responsable]],Clientes_Proveedores[[Ruc / Dni]:[Razon Social]],2,0),"")</f>
        <v>ALSUR PERU S.A.C.</v>
      </c>
      <c r="W386" s="19" t="str">
        <f>IF(Banco_Nacion[[#This Row],[tipo_mov]]="INGRESO",Banco_Nacion[[#This Row],[serie]]&amp;Banco_Nacion[[#This Row],[numero]]&amp;Banco_Nacion[[#This Row],[responsable]]&amp;Banco_Nacion[[#This Row],[monto]],"")</f>
        <v>FF019120454186002294</v>
      </c>
      <c r="X386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78579465</v>
      </c>
      <c r="Y386" s="3" t="str">
        <f>IFERROR(VLOOKUP(Banco_Nacion[[#This Row],[serie]]&amp;Banco_Nacion[[#This Row],[numero]]&amp;Banco_Nacion[[#This Row],[responsable]],[2]!Provision_CXC[[ID CXP]:[DETRACCION]],47,0),"")</f>
        <v/>
      </c>
      <c r="Z386" s="3"/>
      <c r="AA386" s="24" t="str">
        <f>IF(Banco_Nacion[[#This Row],[fecha]]&gt;0,TEXT(Banco_Nacion[[#This Row],[fecha]],"mmmm"),0)</f>
        <v>Junio</v>
      </c>
    </row>
    <row r="387" spans="1:27" x14ac:dyDescent="0.3">
      <c r="A387" s="2">
        <f>IF(Banco_Nacion[[#This Row],[tipo_registro]]="R",COUNTIFS($C$1:$C386,"R")+1,"")</f>
        <v>386</v>
      </c>
      <c r="B387" s="19" t="str">
        <f t="shared" si="30"/>
        <v>B-Banco de la Nacion</v>
      </c>
      <c r="C387" s="3" t="s">
        <v>1330</v>
      </c>
      <c r="D387" s="14">
        <v>45810</v>
      </c>
      <c r="E387" s="5">
        <v>20100211115</v>
      </c>
      <c r="F387" s="5" t="s">
        <v>1303</v>
      </c>
      <c r="G387" s="6" t="s">
        <v>425</v>
      </c>
      <c r="H387" s="6"/>
      <c r="I387" s="6" t="s">
        <v>1784</v>
      </c>
      <c r="J387" s="6">
        <v>94</v>
      </c>
      <c r="K387" s="7" t="s">
        <v>5232</v>
      </c>
      <c r="L387" s="8">
        <v>78568421</v>
      </c>
      <c r="M387" s="8" t="str">
        <f t="shared" si="31"/>
        <v>PEN</v>
      </c>
      <c r="N387" s="13"/>
      <c r="O387" s="13">
        <v>668</v>
      </c>
      <c r="P387" s="3">
        <f t="shared" si="32"/>
        <v>668</v>
      </c>
      <c r="Q387" s="3">
        <f t="shared" si="33"/>
        <v>0</v>
      </c>
      <c r="R387" s="3">
        <f t="shared" si="34"/>
        <v>46230.220000000008</v>
      </c>
      <c r="S387" s="24"/>
      <c r="T387" s="24" t="s">
        <v>1334</v>
      </c>
      <c r="U387" s="3"/>
      <c r="V387" s="19" t="str">
        <f>IFERROR(VLOOKUP(Banco_Nacion[[#This Row],[responsable]],Clientes_Proveedores[[Ruc / Dni]:[Razon Social]],2,0),"")</f>
        <v>FAB DE CHOCOLATES LA IBERICA S.A.</v>
      </c>
      <c r="W387" s="19" t="str">
        <f>IF(Banco_Nacion[[#This Row],[tipo_mov]]="INGRESO",Banco_Nacion[[#This Row],[serie]]&amp;Banco_Nacion[[#This Row],[numero]]&amp;Banco_Nacion[[#This Row],[responsable]]&amp;Banco_Nacion[[#This Row],[monto]],"")</f>
        <v>FF019420100211115668</v>
      </c>
      <c r="X387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78568421</v>
      </c>
      <c r="Y387" s="3" t="str">
        <f>IFERROR(VLOOKUP(Banco_Nacion[[#This Row],[serie]]&amp;Banco_Nacion[[#This Row],[numero]]&amp;Banco_Nacion[[#This Row],[responsable]],[2]!Provision_CXC[[ID CXP]:[DETRACCION]],47,0),"")</f>
        <v/>
      </c>
      <c r="Z387" s="3"/>
      <c r="AA387" s="24" t="str">
        <f>IF(Banco_Nacion[[#This Row],[fecha]]&gt;0,TEXT(Banco_Nacion[[#This Row],[fecha]],"mmmm"),0)</f>
        <v>Junio</v>
      </c>
    </row>
    <row r="388" spans="1:27" x14ac:dyDescent="0.3">
      <c r="A388" s="2">
        <f>IF(Banco_Nacion[[#This Row],[tipo_registro]]="R",COUNTIFS($C$1:$C387,"R")+1,"")</f>
        <v>387</v>
      </c>
      <c r="B388" s="19" t="str">
        <f t="shared" si="30"/>
        <v>B-Banco de la Nacion</v>
      </c>
      <c r="C388" s="3" t="s">
        <v>1330</v>
      </c>
      <c r="D388" s="14">
        <v>45810</v>
      </c>
      <c r="E388" s="5">
        <v>20141637941</v>
      </c>
      <c r="F388" s="5" t="s">
        <v>1303</v>
      </c>
      <c r="G388" s="6" t="s">
        <v>425</v>
      </c>
      <c r="H388" s="6"/>
      <c r="I388" s="6" t="s">
        <v>1784</v>
      </c>
      <c r="J388" s="6">
        <v>77</v>
      </c>
      <c r="K388" s="7" t="s">
        <v>5232</v>
      </c>
      <c r="L388" s="8">
        <v>78521919</v>
      </c>
      <c r="M388" s="8" t="str">
        <f t="shared" si="31"/>
        <v>PEN</v>
      </c>
      <c r="N388" s="13"/>
      <c r="O388" s="13">
        <v>342</v>
      </c>
      <c r="P388" s="3">
        <f t="shared" si="32"/>
        <v>342</v>
      </c>
      <c r="Q388" s="3">
        <f t="shared" si="33"/>
        <v>0</v>
      </c>
      <c r="R388" s="3">
        <f t="shared" si="34"/>
        <v>46572.220000000008</v>
      </c>
      <c r="S388" s="24"/>
      <c r="T388" s="24" t="s">
        <v>1334</v>
      </c>
      <c r="U388" s="3"/>
      <c r="V388" s="19" t="str">
        <f>IFERROR(VLOOKUP(Banco_Nacion[[#This Row],[responsable]],Clientes_Proveedores[[Ruc / Dni]:[Razon Social]],2,0),"")</f>
        <v>UNIVERSIDAD CATOLICA DE SANTA MARIA</v>
      </c>
      <c r="W388" s="19" t="str">
        <f>IF(Banco_Nacion[[#This Row],[tipo_mov]]="INGRESO",Banco_Nacion[[#This Row],[serie]]&amp;Banco_Nacion[[#This Row],[numero]]&amp;Banco_Nacion[[#This Row],[responsable]]&amp;Banco_Nacion[[#This Row],[monto]],"")</f>
        <v>FF017720141637941342</v>
      </c>
      <c r="X388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78521919</v>
      </c>
      <c r="Y388" s="3" t="str">
        <f>IFERROR(VLOOKUP(Banco_Nacion[[#This Row],[serie]]&amp;Banco_Nacion[[#This Row],[numero]]&amp;Banco_Nacion[[#This Row],[responsable]],[2]!Provision_CXC[[ID CXP]:[DETRACCION]],47,0),"")</f>
        <v/>
      </c>
      <c r="Z388" s="3"/>
      <c r="AA388" s="24" t="str">
        <f>IF(Banco_Nacion[[#This Row],[fecha]]&gt;0,TEXT(Banco_Nacion[[#This Row],[fecha]],"mmmm"),0)</f>
        <v>Junio</v>
      </c>
    </row>
    <row r="389" spans="1:27" x14ac:dyDescent="0.3">
      <c r="A389" s="2">
        <f>IF(Banco_Nacion[[#This Row],[tipo_registro]]="R",COUNTIFS($C$1:$C388,"R")+1,"")</f>
        <v>388</v>
      </c>
      <c r="B389" s="19" t="str">
        <f t="shared" si="30"/>
        <v>B-Banco de la Nacion</v>
      </c>
      <c r="C389" s="3" t="s">
        <v>1330</v>
      </c>
      <c r="D389" s="14">
        <v>45810</v>
      </c>
      <c r="E389" s="5">
        <v>20141637941</v>
      </c>
      <c r="F389" s="5" t="s">
        <v>1303</v>
      </c>
      <c r="G389" s="6" t="s">
        <v>425</v>
      </c>
      <c r="H389" s="6"/>
      <c r="I389" s="6" t="s">
        <v>1784</v>
      </c>
      <c r="J389" s="6">
        <v>71</v>
      </c>
      <c r="K389" s="7" t="s">
        <v>5232</v>
      </c>
      <c r="L389" s="8">
        <v>78521918</v>
      </c>
      <c r="M389" s="8" t="str">
        <f t="shared" si="31"/>
        <v>PEN</v>
      </c>
      <c r="N389" s="13"/>
      <c r="O389" s="13">
        <v>170</v>
      </c>
      <c r="P389" s="3">
        <f t="shared" si="32"/>
        <v>170</v>
      </c>
      <c r="Q389" s="3">
        <f t="shared" si="33"/>
        <v>0</v>
      </c>
      <c r="R389" s="3">
        <f t="shared" si="34"/>
        <v>46742.220000000008</v>
      </c>
      <c r="S389" s="24"/>
      <c r="T389" s="24" t="s">
        <v>1334</v>
      </c>
      <c r="U389" s="3"/>
      <c r="V389" s="19" t="str">
        <f>IFERROR(VLOOKUP(Banco_Nacion[[#This Row],[responsable]],Clientes_Proveedores[[Ruc / Dni]:[Razon Social]],2,0),"")</f>
        <v>UNIVERSIDAD CATOLICA DE SANTA MARIA</v>
      </c>
      <c r="W389" s="19" t="str">
        <f>IF(Banco_Nacion[[#This Row],[tipo_mov]]="INGRESO",Banco_Nacion[[#This Row],[serie]]&amp;Banco_Nacion[[#This Row],[numero]]&amp;Banco_Nacion[[#This Row],[responsable]]&amp;Banco_Nacion[[#This Row],[monto]],"")</f>
        <v>FF017120141637941170</v>
      </c>
      <c r="X389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78521918</v>
      </c>
      <c r="Y389" s="3" t="str">
        <f>IFERROR(VLOOKUP(Banco_Nacion[[#This Row],[serie]]&amp;Banco_Nacion[[#This Row],[numero]]&amp;Banco_Nacion[[#This Row],[responsable]],[2]!Provision_CXC[[ID CXP]:[DETRACCION]],47,0),"")</f>
        <v/>
      </c>
      <c r="Z389" s="3"/>
      <c r="AA389" s="24" t="str">
        <f>IF(Banco_Nacion[[#This Row],[fecha]]&gt;0,TEXT(Banco_Nacion[[#This Row],[fecha]],"mmmm"),0)</f>
        <v>Junio</v>
      </c>
    </row>
    <row r="390" spans="1:27" x14ac:dyDescent="0.3">
      <c r="A390" s="2">
        <f>IF(Banco_Nacion[[#This Row],[tipo_registro]]="R",COUNTIFS($C$1:$C389,"R")+1,"")</f>
        <v>389</v>
      </c>
      <c r="B390" s="19" t="str">
        <f t="shared" si="30"/>
        <v>B-Banco de la Nacion</v>
      </c>
      <c r="C390" s="3" t="s">
        <v>1330</v>
      </c>
      <c r="D390" s="14">
        <v>45811</v>
      </c>
      <c r="E390" s="5">
        <v>20402885549</v>
      </c>
      <c r="F390" s="5" t="s">
        <v>1303</v>
      </c>
      <c r="G390" s="6" t="s">
        <v>425</v>
      </c>
      <c r="H390" s="6"/>
      <c r="I390" s="6" t="s">
        <v>3302</v>
      </c>
      <c r="J390" s="6">
        <v>35</v>
      </c>
      <c r="K390" s="7" t="s">
        <v>5232</v>
      </c>
      <c r="L390" s="8">
        <v>78727399</v>
      </c>
      <c r="M390" s="8" t="str">
        <f t="shared" si="31"/>
        <v>PEN</v>
      </c>
      <c r="N390" s="13"/>
      <c r="O390" s="13">
        <v>4608</v>
      </c>
      <c r="P390" s="3">
        <f t="shared" si="32"/>
        <v>4608</v>
      </c>
      <c r="Q390" s="3">
        <f t="shared" si="33"/>
        <v>0</v>
      </c>
      <c r="R390" s="3">
        <f t="shared" si="34"/>
        <v>51350.220000000008</v>
      </c>
      <c r="S390" s="24"/>
      <c r="T390" s="24" t="s">
        <v>1334</v>
      </c>
      <c r="U390" s="3"/>
      <c r="V390" s="19" t="str">
        <f>IFERROR(VLOOKUP(Banco_Nacion[[#This Row],[responsable]],Clientes_Proveedores[[Ruc / Dni]:[Razon Social]],2,0),"")</f>
        <v>EMPRESA SIDERURGICA DEL PERU S.A.A.</v>
      </c>
      <c r="W390" s="19" t="str">
        <f>IF(Banco_Nacion[[#This Row],[tipo_mov]]="INGRESO",Banco_Nacion[[#This Row],[serie]]&amp;Banco_Nacion[[#This Row],[numero]]&amp;Banco_Nacion[[#This Row],[responsable]]&amp;Banco_Nacion[[#This Row],[monto]],"")</f>
        <v>FF0235204028855494608</v>
      </c>
      <c r="X390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78727399</v>
      </c>
      <c r="Y390" s="3" t="str">
        <f>IFERROR(VLOOKUP(Banco_Nacion[[#This Row],[serie]]&amp;Banco_Nacion[[#This Row],[numero]]&amp;Banco_Nacion[[#This Row],[responsable]],[2]!Provision_CXC[[ID CXP]:[DETRACCION]],47,0),"")</f>
        <v/>
      </c>
      <c r="Z390" s="3"/>
      <c r="AA390" s="24" t="str">
        <f>IF(Banco_Nacion[[#This Row],[fecha]]&gt;0,TEXT(Banco_Nacion[[#This Row],[fecha]],"mmmm"),0)</f>
        <v>Junio</v>
      </c>
    </row>
    <row r="391" spans="1:27" x14ac:dyDescent="0.3">
      <c r="A391" s="2">
        <f>IF(Banco_Nacion[[#This Row],[tipo_registro]]="R",COUNTIFS($C$1:$C390,"R")+1,"")</f>
        <v>390</v>
      </c>
      <c r="B391" s="19" t="str">
        <f t="shared" si="30"/>
        <v>B-Banco de la Nacion</v>
      </c>
      <c r="C391" s="3" t="s">
        <v>1330</v>
      </c>
      <c r="D391" s="14">
        <v>45811</v>
      </c>
      <c r="E391" s="5">
        <v>20402885549</v>
      </c>
      <c r="F391" s="5" t="s">
        <v>1303</v>
      </c>
      <c r="G391" s="6" t="s">
        <v>425</v>
      </c>
      <c r="H391" s="6"/>
      <c r="I391" s="6" t="s">
        <v>3302</v>
      </c>
      <c r="J391" s="6">
        <v>49</v>
      </c>
      <c r="K391" s="7" t="s">
        <v>5232</v>
      </c>
      <c r="L391" s="8">
        <v>78727302</v>
      </c>
      <c r="M391" s="8" t="str">
        <f t="shared" si="31"/>
        <v>PEN</v>
      </c>
      <c r="N391" s="13"/>
      <c r="O391" s="13">
        <v>3241</v>
      </c>
      <c r="P391" s="3">
        <f t="shared" si="32"/>
        <v>3241</v>
      </c>
      <c r="Q391" s="3">
        <f t="shared" si="33"/>
        <v>0</v>
      </c>
      <c r="R391" s="3">
        <f t="shared" si="34"/>
        <v>54591.220000000008</v>
      </c>
      <c r="S391" s="24"/>
      <c r="T391" s="24" t="s">
        <v>1334</v>
      </c>
      <c r="U391" s="3"/>
      <c r="V391" s="19" t="str">
        <f>IFERROR(VLOOKUP(Banco_Nacion[[#This Row],[responsable]],Clientes_Proveedores[[Ruc / Dni]:[Razon Social]],2,0),"")</f>
        <v>EMPRESA SIDERURGICA DEL PERU S.A.A.</v>
      </c>
      <c r="W391" s="19" t="str">
        <f>IF(Banco_Nacion[[#This Row],[tipo_mov]]="INGRESO",Banco_Nacion[[#This Row],[serie]]&amp;Banco_Nacion[[#This Row],[numero]]&amp;Banco_Nacion[[#This Row],[responsable]]&amp;Banco_Nacion[[#This Row],[monto]],"")</f>
        <v>FF0249204028855493241</v>
      </c>
      <c r="X391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78727302</v>
      </c>
      <c r="Y391" s="3" t="str">
        <f>IFERROR(VLOOKUP(Banco_Nacion[[#This Row],[serie]]&amp;Banco_Nacion[[#This Row],[numero]]&amp;Banco_Nacion[[#This Row],[responsable]],[2]!Provision_CXC[[ID CXP]:[DETRACCION]],47,0),"")</f>
        <v/>
      </c>
      <c r="Z391" s="3"/>
      <c r="AA391" s="24" t="str">
        <f>IF(Banco_Nacion[[#This Row],[fecha]]&gt;0,TEXT(Banco_Nacion[[#This Row],[fecha]],"mmmm"),0)</f>
        <v>Junio</v>
      </c>
    </row>
    <row r="392" spans="1:27" x14ac:dyDescent="0.3">
      <c r="A392" s="2">
        <f>IF(Banco_Nacion[[#This Row],[tipo_registro]]="R",COUNTIFS($C$1:$C391,"R")+1,"")</f>
        <v>391</v>
      </c>
      <c r="B392" s="19" t="str">
        <f t="shared" si="30"/>
        <v>B-Banco de la Nacion</v>
      </c>
      <c r="C392" s="3" t="s">
        <v>1330</v>
      </c>
      <c r="D392" s="14">
        <v>45811</v>
      </c>
      <c r="E392" s="5">
        <v>20455283915</v>
      </c>
      <c r="F392" s="5" t="s">
        <v>1303</v>
      </c>
      <c r="G392" s="6" t="s">
        <v>425</v>
      </c>
      <c r="H392" s="6"/>
      <c r="I392" s="6" t="s">
        <v>3302</v>
      </c>
      <c r="J392" s="6">
        <v>48</v>
      </c>
      <c r="K392" s="7" t="s">
        <v>5232</v>
      </c>
      <c r="L392" s="8">
        <v>78705454</v>
      </c>
      <c r="M392" s="8" t="str">
        <f t="shared" si="31"/>
        <v>PEN</v>
      </c>
      <c r="N392" s="13"/>
      <c r="O392" s="13">
        <v>78</v>
      </c>
      <c r="P392" s="3">
        <f t="shared" si="32"/>
        <v>78</v>
      </c>
      <c r="Q392" s="3">
        <f t="shared" si="33"/>
        <v>0</v>
      </c>
      <c r="R392" s="3">
        <f t="shared" si="34"/>
        <v>54669.220000000008</v>
      </c>
      <c r="S392" s="24"/>
      <c r="T392" s="24" t="s">
        <v>1334</v>
      </c>
      <c r="U392" s="3"/>
      <c r="V392" s="19" t="str">
        <f>IFERROR(VLOOKUP(Banco_Nacion[[#This Row],[responsable]],Clientes_Proveedores[[Ruc / Dni]:[Razon Social]],2,0),"")</f>
        <v>EMPRESA CONSERVADORA AMBIENTAL DEL SUR E.I.R.L. - ECA SUR E.I.R.L.</v>
      </c>
      <c r="W392" s="19" t="str">
        <f>IF(Banco_Nacion[[#This Row],[tipo_mov]]="INGRESO",Banco_Nacion[[#This Row],[serie]]&amp;Banco_Nacion[[#This Row],[numero]]&amp;Banco_Nacion[[#This Row],[responsable]]&amp;Banco_Nacion[[#This Row],[monto]],"")</f>
        <v>FF02482045528391578</v>
      </c>
      <c r="X392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78705454</v>
      </c>
      <c r="Y392" s="3" t="str">
        <f>IFERROR(VLOOKUP(Banco_Nacion[[#This Row],[serie]]&amp;Banco_Nacion[[#This Row],[numero]]&amp;Banco_Nacion[[#This Row],[responsable]],[2]!Provision_CXC[[ID CXP]:[DETRACCION]],47,0),"")</f>
        <v/>
      </c>
      <c r="Z392" s="3"/>
      <c r="AA392" s="24" t="str">
        <f>IF(Banco_Nacion[[#This Row],[fecha]]&gt;0,TEXT(Banco_Nacion[[#This Row],[fecha]],"mmmm"),0)</f>
        <v>Junio</v>
      </c>
    </row>
    <row r="393" spans="1:27" x14ac:dyDescent="0.3">
      <c r="A393" s="2">
        <f>IF(Banco_Nacion[[#This Row],[tipo_registro]]="R",COUNTIFS($C$1:$C392,"R")+1,"")</f>
        <v>392</v>
      </c>
      <c r="B393" s="19" t="str">
        <f t="shared" si="30"/>
        <v>B-Banco de la Nacion</v>
      </c>
      <c r="C393" s="3" t="s">
        <v>1330</v>
      </c>
      <c r="D393" s="14">
        <v>45811</v>
      </c>
      <c r="E393" s="5">
        <v>20455283915</v>
      </c>
      <c r="F393" s="5" t="s">
        <v>1303</v>
      </c>
      <c r="G393" s="6" t="s">
        <v>425</v>
      </c>
      <c r="H393" s="6"/>
      <c r="I393" s="6" t="s">
        <v>3302</v>
      </c>
      <c r="J393" s="6">
        <v>47</v>
      </c>
      <c r="K393" s="7" t="s">
        <v>5232</v>
      </c>
      <c r="L393" s="8">
        <v>78705453</v>
      </c>
      <c r="M393" s="8" t="str">
        <f t="shared" si="31"/>
        <v>PEN</v>
      </c>
      <c r="N393" s="13"/>
      <c r="O393" s="13">
        <v>57</v>
      </c>
      <c r="P393" s="3">
        <f t="shared" si="32"/>
        <v>57</v>
      </c>
      <c r="Q393" s="3">
        <f t="shared" si="33"/>
        <v>0</v>
      </c>
      <c r="R393" s="3">
        <f t="shared" si="34"/>
        <v>54726.220000000008</v>
      </c>
      <c r="S393" s="24"/>
      <c r="T393" s="24" t="s">
        <v>1334</v>
      </c>
      <c r="U393" s="3"/>
      <c r="V393" s="19" t="str">
        <f>IFERROR(VLOOKUP(Banco_Nacion[[#This Row],[responsable]],Clientes_Proveedores[[Ruc / Dni]:[Razon Social]],2,0),"")</f>
        <v>EMPRESA CONSERVADORA AMBIENTAL DEL SUR E.I.R.L. - ECA SUR E.I.R.L.</v>
      </c>
      <c r="W393" s="19" t="str">
        <f>IF(Banco_Nacion[[#This Row],[tipo_mov]]="INGRESO",Banco_Nacion[[#This Row],[serie]]&amp;Banco_Nacion[[#This Row],[numero]]&amp;Banco_Nacion[[#This Row],[responsable]]&amp;Banco_Nacion[[#This Row],[monto]],"")</f>
        <v>FF02472045528391557</v>
      </c>
      <c r="X393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78705453</v>
      </c>
      <c r="Y393" s="3" t="str">
        <f>IFERROR(VLOOKUP(Banco_Nacion[[#This Row],[serie]]&amp;Banco_Nacion[[#This Row],[numero]]&amp;Banco_Nacion[[#This Row],[responsable]],[2]!Provision_CXC[[ID CXP]:[DETRACCION]],47,0),"")</f>
        <v/>
      </c>
      <c r="Z393" s="3"/>
      <c r="AA393" s="24" t="str">
        <f>IF(Banco_Nacion[[#This Row],[fecha]]&gt;0,TEXT(Banco_Nacion[[#This Row],[fecha]],"mmmm"),0)</f>
        <v>Junio</v>
      </c>
    </row>
    <row r="394" spans="1:27" x14ac:dyDescent="0.3">
      <c r="A394" s="2">
        <f>IF(Banco_Nacion[[#This Row],[tipo_registro]]="R",COUNTIFS($C$1:$C393,"R")+1,"")</f>
        <v>393</v>
      </c>
      <c r="B394" s="19" t="str">
        <f t="shared" si="30"/>
        <v>B-Banco de la Nacion</v>
      </c>
      <c r="C394" s="3" t="s">
        <v>1330</v>
      </c>
      <c r="D394" s="14">
        <v>45811</v>
      </c>
      <c r="E394" s="5">
        <v>20455283915</v>
      </c>
      <c r="F394" s="5" t="s">
        <v>1303</v>
      </c>
      <c r="G394" s="6" t="s">
        <v>425</v>
      </c>
      <c r="H394" s="6"/>
      <c r="I394" s="6" t="s">
        <v>3302</v>
      </c>
      <c r="J394" s="6">
        <v>46</v>
      </c>
      <c r="K394" s="7" t="s">
        <v>5232</v>
      </c>
      <c r="L394" s="8">
        <v>78705452</v>
      </c>
      <c r="M394" s="8" t="str">
        <f t="shared" si="31"/>
        <v>PEN</v>
      </c>
      <c r="N394" s="13"/>
      <c r="O394" s="13">
        <v>178</v>
      </c>
      <c r="P394" s="3">
        <f t="shared" si="32"/>
        <v>178</v>
      </c>
      <c r="Q394" s="3">
        <f t="shared" si="33"/>
        <v>0</v>
      </c>
      <c r="R394" s="3">
        <f t="shared" si="34"/>
        <v>54904.220000000008</v>
      </c>
      <c r="S394" s="24"/>
      <c r="T394" s="24" t="s">
        <v>1334</v>
      </c>
      <c r="U394" s="3"/>
      <c r="V394" s="19" t="str">
        <f>IFERROR(VLOOKUP(Banco_Nacion[[#This Row],[responsable]],Clientes_Proveedores[[Ruc / Dni]:[Razon Social]],2,0),"")</f>
        <v>EMPRESA CONSERVADORA AMBIENTAL DEL SUR E.I.R.L. - ECA SUR E.I.R.L.</v>
      </c>
      <c r="W394" s="19" t="str">
        <f>IF(Banco_Nacion[[#This Row],[tipo_mov]]="INGRESO",Banco_Nacion[[#This Row],[serie]]&amp;Banco_Nacion[[#This Row],[numero]]&amp;Banco_Nacion[[#This Row],[responsable]]&amp;Banco_Nacion[[#This Row],[monto]],"")</f>
        <v>FF024620455283915178</v>
      </c>
      <c r="X394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78705452</v>
      </c>
      <c r="Y394" s="3" t="str">
        <f>IFERROR(VLOOKUP(Banco_Nacion[[#This Row],[serie]]&amp;Banco_Nacion[[#This Row],[numero]]&amp;Banco_Nacion[[#This Row],[responsable]],[2]!Provision_CXC[[ID CXP]:[DETRACCION]],47,0),"")</f>
        <v/>
      </c>
      <c r="Z394" s="3"/>
      <c r="AA394" s="24" t="str">
        <f>IF(Banco_Nacion[[#This Row],[fecha]]&gt;0,TEXT(Banco_Nacion[[#This Row],[fecha]],"mmmm"),0)</f>
        <v>Junio</v>
      </c>
    </row>
    <row r="395" spans="1:27" x14ac:dyDescent="0.3">
      <c r="A395" s="2">
        <f>IF(Banco_Nacion[[#This Row],[tipo_registro]]="R",COUNTIFS($C$1:$C394,"R")+1,"")</f>
        <v>394</v>
      </c>
      <c r="B395" s="19" t="str">
        <f t="shared" si="30"/>
        <v>B-Banco de la Nacion</v>
      </c>
      <c r="C395" s="3" t="s">
        <v>1330</v>
      </c>
      <c r="D395" s="14">
        <v>45811</v>
      </c>
      <c r="E395" s="5">
        <v>20455283915</v>
      </c>
      <c r="F395" s="5" t="s">
        <v>1303</v>
      </c>
      <c r="G395" s="6" t="s">
        <v>425</v>
      </c>
      <c r="H395" s="6"/>
      <c r="I395" s="6" t="s">
        <v>3302</v>
      </c>
      <c r="J395" s="6">
        <v>45</v>
      </c>
      <c r="K395" s="7" t="s">
        <v>5232</v>
      </c>
      <c r="L395" s="8">
        <v>78705451</v>
      </c>
      <c r="M395" s="8" t="str">
        <f t="shared" si="31"/>
        <v>PEN</v>
      </c>
      <c r="N395" s="13"/>
      <c r="O395" s="13">
        <v>64</v>
      </c>
      <c r="P395" s="3">
        <f t="shared" si="32"/>
        <v>64</v>
      </c>
      <c r="Q395" s="3">
        <f t="shared" si="33"/>
        <v>0</v>
      </c>
      <c r="R395" s="3">
        <f t="shared" si="34"/>
        <v>54968.220000000008</v>
      </c>
      <c r="S395" s="24"/>
      <c r="T395" s="24" t="s">
        <v>1334</v>
      </c>
      <c r="U395" s="3"/>
      <c r="V395" s="19" t="str">
        <f>IFERROR(VLOOKUP(Banco_Nacion[[#This Row],[responsable]],Clientes_Proveedores[[Ruc / Dni]:[Razon Social]],2,0),"")</f>
        <v>EMPRESA CONSERVADORA AMBIENTAL DEL SUR E.I.R.L. - ECA SUR E.I.R.L.</v>
      </c>
      <c r="W395" s="19" t="str">
        <f>IF(Banco_Nacion[[#This Row],[tipo_mov]]="INGRESO",Banco_Nacion[[#This Row],[serie]]&amp;Banco_Nacion[[#This Row],[numero]]&amp;Banco_Nacion[[#This Row],[responsable]]&amp;Banco_Nacion[[#This Row],[monto]],"")</f>
        <v>FF02452045528391564</v>
      </c>
      <c r="X395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78705451</v>
      </c>
      <c r="Y395" s="3" t="str">
        <f>IFERROR(VLOOKUP(Banco_Nacion[[#This Row],[serie]]&amp;Banco_Nacion[[#This Row],[numero]]&amp;Banco_Nacion[[#This Row],[responsable]],[2]!Provision_CXC[[ID CXP]:[DETRACCION]],47,0),"")</f>
        <v/>
      </c>
      <c r="Z395" s="3"/>
      <c r="AA395" s="24" t="str">
        <f>IF(Banco_Nacion[[#This Row],[fecha]]&gt;0,TEXT(Banco_Nacion[[#This Row],[fecha]],"mmmm"),0)</f>
        <v>Junio</v>
      </c>
    </row>
    <row r="396" spans="1:27" x14ac:dyDescent="0.3">
      <c r="A396" s="2">
        <f>IF(Banco_Nacion[[#This Row],[tipo_registro]]="R",COUNTIFS($C$1:$C395,"R")+1,"")</f>
        <v>395</v>
      </c>
      <c r="B396" s="19" t="str">
        <f t="shared" si="30"/>
        <v>B-Banco de la Nacion</v>
      </c>
      <c r="C396" s="3" t="s">
        <v>1330</v>
      </c>
      <c r="D396" s="14">
        <v>45811</v>
      </c>
      <c r="E396" s="5">
        <v>20455283915</v>
      </c>
      <c r="F396" s="5" t="s">
        <v>1303</v>
      </c>
      <c r="G396" s="6" t="s">
        <v>425</v>
      </c>
      <c r="H396" s="6"/>
      <c r="I396" s="6" t="s">
        <v>3302</v>
      </c>
      <c r="J396" s="6">
        <v>44</v>
      </c>
      <c r="K396" s="7" t="s">
        <v>5232</v>
      </c>
      <c r="L396" s="8">
        <v>78705450</v>
      </c>
      <c r="M396" s="8" t="str">
        <f t="shared" si="31"/>
        <v>PEN</v>
      </c>
      <c r="N396" s="13"/>
      <c r="O396" s="13">
        <v>150</v>
      </c>
      <c r="P396" s="3">
        <f t="shared" si="32"/>
        <v>150</v>
      </c>
      <c r="Q396" s="3">
        <f t="shared" si="33"/>
        <v>0</v>
      </c>
      <c r="R396" s="3">
        <f t="shared" si="34"/>
        <v>55118.220000000008</v>
      </c>
      <c r="S396" s="24"/>
      <c r="T396" s="24" t="s">
        <v>1334</v>
      </c>
      <c r="U396" s="3"/>
      <c r="V396" s="19" t="str">
        <f>IFERROR(VLOOKUP(Banco_Nacion[[#This Row],[responsable]],Clientes_Proveedores[[Ruc / Dni]:[Razon Social]],2,0),"")</f>
        <v>EMPRESA CONSERVADORA AMBIENTAL DEL SUR E.I.R.L. - ECA SUR E.I.R.L.</v>
      </c>
      <c r="W396" s="19" t="str">
        <f>IF(Banco_Nacion[[#This Row],[tipo_mov]]="INGRESO",Banco_Nacion[[#This Row],[serie]]&amp;Banco_Nacion[[#This Row],[numero]]&amp;Banco_Nacion[[#This Row],[responsable]]&amp;Banco_Nacion[[#This Row],[monto]],"")</f>
        <v>FF024420455283915150</v>
      </c>
      <c r="X396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78705450</v>
      </c>
      <c r="Y396" s="3" t="str">
        <f>IFERROR(VLOOKUP(Banco_Nacion[[#This Row],[serie]]&amp;Banco_Nacion[[#This Row],[numero]]&amp;Banco_Nacion[[#This Row],[responsable]],[2]!Provision_CXC[[ID CXP]:[DETRACCION]],47,0),"")</f>
        <v/>
      </c>
      <c r="Z396" s="3"/>
      <c r="AA396" s="24" t="str">
        <f>IF(Banco_Nacion[[#This Row],[fecha]]&gt;0,TEXT(Banco_Nacion[[#This Row],[fecha]],"mmmm"),0)</f>
        <v>Junio</v>
      </c>
    </row>
    <row r="397" spans="1:27" x14ac:dyDescent="0.3">
      <c r="A397" s="2">
        <f>IF(Banco_Nacion[[#This Row],[tipo_registro]]="R",COUNTIFS($C$1:$C396,"R")+1,"")</f>
        <v>396</v>
      </c>
      <c r="B397" s="19" t="str">
        <f t="shared" si="30"/>
        <v>B-Banco de la Nacion</v>
      </c>
      <c r="C397" s="3" t="s">
        <v>1330</v>
      </c>
      <c r="D397" s="14">
        <v>45811</v>
      </c>
      <c r="E397" s="5">
        <v>20455283915</v>
      </c>
      <c r="F397" s="5" t="s">
        <v>1303</v>
      </c>
      <c r="G397" s="6" t="s">
        <v>425</v>
      </c>
      <c r="H397" s="6"/>
      <c r="I397" s="6" t="s">
        <v>3302</v>
      </c>
      <c r="J397" s="6">
        <v>42</v>
      </c>
      <c r="K397" s="7" t="s">
        <v>5232</v>
      </c>
      <c r="L397" s="8">
        <v>78705449</v>
      </c>
      <c r="M397" s="8" t="str">
        <f t="shared" si="31"/>
        <v>PEN</v>
      </c>
      <c r="N397" s="13"/>
      <c r="O397" s="13">
        <v>53</v>
      </c>
      <c r="P397" s="3">
        <f t="shared" si="32"/>
        <v>53</v>
      </c>
      <c r="Q397" s="3">
        <f t="shared" si="33"/>
        <v>0</v>
      </c>
      <c r="R397" s="3">
        <f t="shared" si="34"/>
        <v>55171.220000000008</v>
      </c>
      <c r="S397" s="24"/>
      <c r="T397" s="24" t="s">
        <v>1334</v>
      </c>
      <c r="U397" s="3"/>
      <c r="V397" s="19" t="str">
        <f>IFERROR(VLOOKUP(Banco_Nacion[[#This Row],[responsable]],Clientes_Proveedores[[Ruc / Dni]:[Razon Social]],2,0),"")</f>
        <v>EMPRESA CONSERVADORA AMBIENTAL DEL SUR E.I.R.L. - ECA SUR E.I.R.L.</v>
      </c>
      <c r="W397" s="19" t="str">
        <f>IF(Banco_Nacion[[#This Row],[tipo_mov]]="INGRESO",Banco_Nacion[[#This Row],[serie]]&amp;Banco_Nacion[[#This Row],[numero]]&amp;Banco_Nacion[[#This Row],[responsable]]&amp;Banco_Nacion[[#This Row],[monto]],"")</f>
        <v>FF02422045528391553</v>
      </c>
      <c r="X397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78705449</v>
      </c>
      <c r="Y397" s="3" t="str">
        <f>IFERROR(VLOOKUP(Banco_Nacion[[#This Row],[serie]]&amp;Banco_Nacion[[#This Row],[numero]]&amp;Banco_Nacion[[#This Row],[responsable]],[2]!Provision_CXC[[ID CXP]:[DETRACCION]],47,0),"")</f>
        <v/>
      </c>
      <c r="Z397" s="3"/>
      <c r="AA397" s="24" t="str">
        <f>IF(Banco_Nacion[[#This Row],[fecha]]&gt;0,TEXT(Banco_Nacion[[#This Row],[fecha]],"mmmm"),0)</f>
        <v>Junio</v>
      </c>
    </row>
    <row r="398" spans="1:27" x14ac:dyDescent="0.3">
      <c r="A398" s="2">
        <f>IF(Banco_Nacion[[#This Row],[tipo_registro]]="R",COUNTIFS($C$1:$C397,"R")+1,"")</f>
        <v>397</v>
      </c>
      <c r="B398" s="19" t="str">
        <f t="shared" si="30"/>
        <v>B-Banco de la Nacion</v>
      </c>
      <c r="C398" s="3" t="s">
        <v>1330</v>
      </c>
      <c r="D398" s="14">
        <v>45811</v>
      </c>
      <c r="E398" s="5">
        <v>20455283915</v>
      </c>
      <c r="F398" s="5" t="s">
        <v>1303</v>
      </c>
      <c r="G398" s="6" t="s">
        <v>425</v>
      </c>
      <c r="H398" s="6"/>
      <c r="I398" s="6" t="s">
        <v>3302</v>
      </c>
      <c r="J398" s="6">
        <v>33</v>
      </c>
      <c r="K398" s="7" t="s">
        <v>5232</v>
      </c>
      <c r="L398" s="8">
        <v>78705448</v>
      </c>
      <c r="M398" s="8" t="str">
        <f t="shared" si="31"/>
        <v>PEN</v>
      </c>
      <c r="N398" s="13"/>
      <c r="O398" s="13">
        <v>166</v>
      </c>
      <c r="P398" s="3">
        <f t="shared" si="32"/>
        <v>166</v>
      </c>
      <c r="Q398" s="3">
        <f t="shared" si="33"/>
        <v>0</v>
      </c>
      <c r="R398" s="3">
        <f t="shared" si="34"/>
        <v>55337.220000000008</v>
      </c>
      <c r="S398" s="24"/>
      <c r="T398" s="24" t="s">
        <v>1334</v>
      </c>
      <c r="U398" s="3"/>
      <c r="V398" s="19" t="str">
        <f>IFERROR(VLOOKUP(Banco_Nacion[[#This Row],[responsable]],Clientes_Proveedores[[Ruc / Dni]:[Razon Social]],2,0),"")</f>
        <v>EMPRESA CONSERVADORA AMBIENTAL DEL SUR E.I.R.L. - ECA SUR E.I.R.L.</v>
      </c>
      <c r="W398" s="19" t="str">
        <f>IF(Banco_Nacion[[#This Row],[tipo_mov]]="INGRESO",Banco_Nacion[[#This Row],[serie]]&amp;Banco_Nacion[[#This Row],[numero]]&amp;Banco_Nacion[[#This Row],[responsable]]&amp;Banco_Nacion[[#This Row],[monto]],"")</f>
        <v>FF023320455283915166</v>
      </c>
      <c r="X398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78705448</v>
      </c>
      <c r="Y398" s="3" t="str">
        <f>IFERROR(VLOOKUP(Banco_Nacion[[#This Row],[serie]]&amp;Banco_Nacion[[#This Row],[numero]]&amp;Banco_Nacion[[#This Row],[responsable]],[2]!Provision_CXC[[ID CXP]:[DETRACCION]],47,0),"")</f>
        <v/>
      </c>
      <c r="Z398" s="3"/>
      <c r="AA398" s="24" t="str">
        <f>IF(Banco_Nacion[[#This Row],[fecha]]&gt;0,TEXT(Banco_Nacion[[#This Row],[fecha]],"mmmm"),0)</f>
        <v>Junio</v>
      </c>
    </row>
    <row r="399" spans="1:27" x14ac:dyDescent="0.3">
      <c r="A399" s="2">
        <f>IF(Banco_Nacion[[#This Row],[tipo_registro]]="R",COUNTIFS($C$1:$C398,"R")+1,"")</f>
        <v>398</v>
      </c>
      <c r="B399" s="19" t="str">
        <f t="shared" si="30"/>
        <v>B-Banco de la Nacion</v>
      </c>
      <c r="C399" s="3" t="s">
        <v>1330</v>
      </c>
      <c r="D399" s="14">
        <v>45811</v>
      </c>
      <c r="E399" s="5">
        <v>20455283915</v>
      </c>
      <c r="F399" s="5" t="s">
        <v>1303</v>
      </c>
      <c r="G399" s="6" t="s">
        <v>425</v>
      </c>
      <c r="H399" s="6"/>
      <c r="I399" s="6" t="s">
        <v>3302</v>
      </c>
      <c r="J399" s="6">
        <v>32</v>
      </c>
      <c r="K399" s="7" t="s">
        <v>5232</v>
      </c>
      <c r="L399" s="8">
        <v>78705447</v>
      </c>
      <c r="M399" s="8" t="str">
        <f t="shared" si="31"/>
        <v>PEN</v>
      </c>
      <c r="N399" s="13"/>
      <c r="O399" s="13">
        <v>60</v>
      </c>
      <c r="P399" s="3">
        <f t="shared" si="32"/>
        <v>60</v>
      </c>
      <c r="Q399" s="3">
        <f t="shared" si="33"/>
        <v>0</v>
      </c>
      <c r="R399" s="3">
        <f t="shared" si="34"/>
        <v>55397.220000000008</v>
      </c>
      <c r="S399" s="24"/>
      <c r="T399" s="24" t="s">
        <v>1334</v>
      </c>
      <c r="U399" s="3"/>
      <c r="V399" s="19" t="str">
        <f>IFERROR(VLOOKUP(Banco_Nacion[[#This Row],[responsable]],Clientes_Proveedores[[Ruc / Dni]:[Razon Social]],2,0),"")</f>
        <v>EMPRESA CONSERVADORA AMBIENTAL DEL SUR E.I.R.L. - ECA SUR E.I.R.L.</v>
      </c>
      <c r="W399" s="19" t="str">
        <f>IF(Banco_Nacion[[#This Row],[tipo_mov]]="INGRESO",Banco_Nacion[[#This Row],[serie]]&amp;Banco_Nacion[[#This Row],[numero]]&amp;Banco_Nacion[[#This Row],[responsable]]&amp;Banco_Nacion[[#This Row],[monto]],"")</f>
        <v>FF02322045528391560</v>
      </c>
      <c r="X399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78705447</v>
      </c>
      <c r="Y399" s="3" t="str">
        <f>IFERROR(VLOOKUP(Banco_Nacion[[#This Row],[serie]]&amp;Banco_Nacion[[#This Row],[numero]]&amp;Banco_Nacion[[#This Row],[responsable]],[2]!Provision_CXC[[ID CXP]:[DETRACCION]],47,0),"")</f>
        <v/>
      </c>
      <c r="Z399" s="3"/>
      <c r="AA399" s="24" t="str">
        <f>IF(Banco_Nacion[[#This Row],[fecha]]&gt;0,TEXT(Banco_Nacion[[#This Row],[fecha]],"mmmm"),0)</f>
        <v>Junio</v>
      </c>
    </row>
    <row r="400" spans="1:27" x14ac:dyDescent="0.3">
      <c r="A400" s="2">
        <f>IF(Banco_Nacion[[#This Row],[tipo_registro]]="R",COUNTIFS($C$1:$C399,"R")+1,"")</f>
        <v>399</v>
      </c>
      <c r="B400" s="19" t="str">
        <f t="shared" si="30"/>
        <v>B-Banco de la Nacion</v>
      </c>
      <c r="C400" s="3" t="s">
        <v>1330</v>
      </c>
      <c r="D400" s="14">
        <v>45811</v>
      </c>
      <c r="E400" s="5">
        <v>20120788389</v>
      </c>
      <c r="F400" s="5" t="s">
        <v>1303</v>
      </c>
      <c r="G400" s="6" t="s">
        <v>425</v>
      </c>
      <c r="H400" s="6" t="s">
        <v>68</v>
      </c>
      <c r="I400" s="6" t="s">
        <v>1784</v>
      </c>
      <c r="J400" s="6">
        <v>78</v>
      </c>
      <c r="K400" s="7" t="s">
        <v>5232</v>
      </c>
      <c r="L400" s="8">
        <v>78703872</v>
      </c>
      <c r="M400" s="8" t="str">
        <f t="shared" si="31"/>
        <v>PEN</v>
      </c>
      <c r="N400" s="13"/>
      <c r="O400" s="13">
        <v>95</v>
      </c>
      <c r="P400" s="3">
        <f t="shared" si="32"/>
        <v>95</v>
      </c>
      <c r="Q400" s="3">
        <f t="shared" si="33"/>
        <v>0</v>
      </c>
      <c r="R400" s="3">
        <f t="shared" si="34"/>
        <v>55492.220000000008</v>
      </c>
      <c r="S400" s="24" t="s">
        <v>1334</v>
      </c>
      <c r="T400" s="24" t="s">
        <v>1334</v>
      </c>
      <c r="U400" s="3"/>
      <c r="V400" s="19" t="str">
        <f>IFERROR(VLOOKUP(Banco_Nacion[[#This Row],[responsable]],Clientes_Proveedores[[Ruc / Dni]:[Razon Social]],2,0),"")</f>
        <v>CARMEN INMUEBLES S.A.</v>
      </c>
      <c r="W400" s="19" t="str">
        <f>IF(Banco_Nacion[[#This Row],[tipo_mov]]="INGRESO",Banco_Nacion[[#This Row],[serie]]&amp;Banco_Nacion[[#This Row],[numero]]&amp;Banco_Nacion[[#This Row],[responsable]]&amp;Banco_Nacion[[#This Row],[monto]],"")</f>
        <v>FF01782012078838995</v>
      </c>
      <c r="X400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78703872</v>
      </c>
      <c r="Y400" s="3" t="str">
        <f>IFERROR(VLOOKUP(Banco_Nacion[[#This Row],[serie]]&amp;Banco_Nacion[[#This Row],[numero]]&amp;Banco_Nacion[[#This Row],[responsable]],[2]!Provision_CXC[[ID CXP]:[DETRACCION]],47,0),"")</f>
        <v/>
      </c>
      <c r="Z400" s="3"/>
      <c r="AA400" s="24" t="str">
        <f>IF(Banco_Nacion[[#This Row],[fecha]]&gt;0,TEXT(Banco_Nacion[[#This Row],[fecha]],"mmmm"),0)</f>
        <v>Junio</v>
      </c>
    </row>
    <row r="401" spans="1:27" x14ac:dyDescent="0.3">
      <c r="A401" s="2">
        <f>IF(Banco_Nacion[[#This Row],[tipo_registro]]="R",COUNTIFS($C$1:$C400,"R")+1,"")</f>
        <v>400</v>
      </c>
      <c r="B401" s="19" t="str">
        <f t="shared" si="30"/>
        <v>B-Banco de la Nacion</v>
      </c>
      <c r="C401" s="3" t="s">
        <v>1330</v>
      </c>
      <c r="D401" s="14">
        <v>45811</v>
      </c>
      <c r="E401" s="5"/>
      <c r="F401" s="5" t="s">
        <v>1336</v>
      </c>
      <c r="G401" s="6"/>
      <c r="H401" s="6"/>
      <c r="I401" s="6" t="s">
        <v>5231</v>
      </c>
      <c r="J401" s="6" t="s">
        <v>5231</v>
      </c>
      <c r="K401" s="7" t="s">
        <v>5234</v>
      </c>
      <c r="L401" s="8">
        <v>78787878</v>
      </c>
      <c r="M401" s="8" t="str">
        <f t="shared" si="31"/>
        <v>PEN</v>
      </c>
      <c r="N401" s="13"/>
      <c r="O401" s="13">
        <v>14775</v>
      </c>
      <c r="P401" s="3">
        <f t="shared" si="32"/>
        <v>0</v>
      </c>
      <c r="Q401" s="3">
        <f t="shared" si="33"/>
        <v>14775</v>
      </c>
      <c r="R401" s="3">
        <f t="shared" si="34"/>
        <v>40717.220000000008</v>
      </c>
      <c r="S401" s="24"/>
      <c r="T401" s="24"/>
      <c r="U401" s="3"/>
      <c r="V401" s="19" t="str">
        <f>IFERROR(VLOOKUP(Banco_Nacion[[#This Row],[responsable]],Clientes_Proveedores[[Ruc / Dni]:[Razon Social]],2,0),"")</f>
        <v/>
      </c>
      <c r="W401" s="19" t="str">
        <f>IF(Banco_Nacion[[#This Row],[tipo_mov]]="INGRESO",Banco_Nacion[[#This Row],[serie]]&amp;Banco_Nacion[[#This Row],[numero]]&amp;Banco_Nacion[[#This Row],[responsable]]&amp;Banco_Nacion[[#This Row],[monto]],"")</f>
        <v/>
      </c>
      <c r="X401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/>
      </c>
      <c r="Y401" s="3" t="str">
        <f>IFERROR(VLOOKUP(Banco_Nacion[[#This Row],[serie]]&amp;Banco_Nacion[[#This Row],[numero]]&amp;Banco_Nacion[[#This Row],[responsable]],[2]!Provision_CXC[[ID CXP]:[DETRACCION]],47,0),"")</f>
        <v/>
      </c>
      <c r="Z401" s="3"/>
      <c r="AA401" s="24" t="str">
        <f>IF(Banco_Nacion[[#This Row],[fecha]]&gt;0,TEXT(Banco_Nacion[[#This Row],[fecha]],"mmmm"),0)</f>
        <v>Junio</v>
      </c>
    </row>
    <row r="402" spans="1:27" x14ac:dyDescent="0.3">
      <c r="A402" s="2">
        <f>IF(Banco_Nacion[[#This Row],[tipo_registro]]="R",COUNTIFS($C$1:$C401,"R")+1,"")</f>
        <v>401</v>
      </c>
      <c r="B402" s="19" t="str">
        <f t="shared" si="30"/>
        <v>B-Banco de la Nacion</v>
      </c>
      <c r="C402" s="3" t="s">
        <v>1330</v>
      </c>
      <c r="D402" s="14">
        <v>45813</v>
      </c>
      <c r="E402" s="5">
        <v>20100192064</v>
      </c>
      <c r="F402" s="5" t="s">
        <v>1303</v>
      </c>
      <c r="G402" s="6" t="s">
        <v>425</v>
      </c>
      <c r="H402" s="6" t="s">
        <v>68</v>
      </c>
      <c r="I402" s="6" t="s">
        <v>1784</v>
      </c>
      <c r="J402" s="6">
        <v>98</v>
      </c>
      <c r="K402" s="7" t="s">
        <v>5232</v>
      </c>
      <c r="L402" s="8">
        <v>78946627</v>
      </c>
      <c r="M402" s="8" t="str">
        <f t="shared" si="31"/>
        <v>PEN</v>
      </c>
      <c r="N402" s="13"/>
      <c r="O402" s="13">
        <v>735</v>
      </c>
      <c r="P402" s="3">
        <f t="shared" si="32"/>
        <v>735</v>
      </c>
      <c r="Q402" s="3">
        <f t="shared" si="33"/>
        <v>0</v>
      </c>
      <c r="R402" s="3">
        <f t="shared" si="34"/>
        <v>41452.220000000008</v>
      </c>
      <c r="S402" s="24" t="s">
        <v>1334</v>
      </c>
      <c r="T402" s="24" t="s">
        <v>1334</v>
      </c>
      <c r="U402" s="3"/>
      <c r="V402" s="19" t="str">
        <f>IFERROR(VLOOKUP(Banco_Nacion[[#This Row],[responsable]],Clientes_Proveedores[[Ruc / Dni]:[Razon Social]],2,0),"")</f>
        <v>MOLY-COP ADESUR S.A</v>
      </c>
      <c r="W402" s="19" t="str">
        <f>IF(Banco_Nacion[[#This Row],[tipo_mov]]="INGRESO",Banco_Nacion[[#This Row],[serie]]&amp;Banco_Nacion[[#This Row],[numero]]&amp;Banco_Nacion[[#This Row],[responsable]]&amp;Banco_Nacion[[#This Row],[monto]],"")</f>
        <v>FF019820100192064735</v>
      </c>
      <c r="X402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78946627</v>
      </c>
      <c r="Y402" s="3" t="str">
        <f>IFERROR(VLOOKUP(Banco_Nacion[[#This Row],[serie]]&amp;Banco_Nacion[[#This Row],[numero]]&amp;Banco_Nacion[[#This Row],[responsable]],[2]!Provision_CXC[[ID CXP]:[DETRACCION]],47,0),"")</f>
        <v/>
      </c>
      <c r="Z402" s="3"/>
      <c r="AA402" s="24" t="str">
        <f>IF(Banco_Nacion[[#This Row],[fecha]]&gt;0,TEXT(Banco_Nacion[[#This Row],[fecha]],"mmmm"),0)</f>
        <v>Junio</v>
      </c>
    </row>
    <row r="403" spans="1:27" x14ac:dyDescent="0.3">
      <c r="A403" s="2">
        <f>IF(Banco_Nacion[[#This Row],[tipo_registro]]="R",COUNTIFS($C$1:$C402,"R")+1,"")</f>
        <v>402</v>
      </c>
      <c r="B403" s="19" t="str">
        <f t="shared" si="30"/>
        <v>B-Banco de la Nacion</v>
      </c>
      <c r="C403" s="3" t="s">
        <v>1330</v>
      </c>
      <c r="D403" s="14">
        <v>45814</v>
      </c>
      <c r="E403" s="5">
        <v>20419158462</v>
      </c>
      <c r="F403" s="5" t="s">
        <v>1303</v>
      </c>
      <c r="G403" s="6" t="s">
        <v>425</v>
      </c>
      <c r="H403" s="6"/>
      <c r="I403" s="6" t="s">
        <v>1784</v>
      </c>
      <c r="J403" s="6">
        <v>83</v>
      </c>
      <c r="K403" s="7" t="s">
        <v>5232</v>
      </c>
      <c r="L403" s="8">
        <v>79255565</v>
      </c>
      <c r="M403" s="8" t="str">
        <f t="shared" si="31"/>
        <v>PEN</v>
      </c>
      <c r="N403" s="13"/>
      <c r="O403" s="13">
        <v>202</v>
      </c>
      <c r="P403" s="3">
        <f t="shared" si="32"/>
        <v>202</v>
      </c>
      <c r="Q403" s="3">
        <f t="shared" si="33"/>
        <v>0</v>
      </c>
      <c r="R403" s="3">
        <f t="shared" si="34"/>
        <v>41654.220000000008</v>
      </c>
      <c r="S403" s="24"/>
      <c r="T403" s="24" t="s">
        <v>1334</v>
      </c>
      <c r="U403" s="3"/>
      <c r="V403" s="19" t="str">
        <f>IFERROR(VLOOKUP(Banco_Nacion[[#This Row],[responsable]],Clientes_Proveedores[[Ruc / Dni]:[Razon Social]],2,0),"")</f>
        <v>GRANJA RINCONADA DEL SUR S.A.</v>
      </c>
      <c r="W403" s="19" t="str">
        <f>IF(Banco_Nacion[[#This Row],[tipo_mov]]="INGRESO",Banco_Nacion[[#This Row],[serie]]&amp;Banco_Nacion[[#This Row],[numero]]&amp;Banco_Nacion[[#This Row],[responsable]]&amp;Banco_Nacion[[#This Row],[monto]],"")</f>
        <v>FF018320419158462202</v>
      </c>
      <c r="X403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79255565</v>
      </c>
      <c r="Y403" s="3" t="str">
        <f>IFERROR(VLOOKUP(Banco_Nacion[[#This Row],[serie]]&amp;Banco_Nacion[[#This Row],[numero]]&amp;Banco_Nacion[[#This Row],[responsable]],[2]!Provision_CXC[[ID CXP]:[DETRACCION]],47,0),"")</f>
        <v/>
      </c>
      <c r="Z403" s="3"/>
      <c r="AA403" s="24" t="str">
        <f>IF(Banco_Nacion[[#This Row],[fecha]]&gt;0,TEXT(Banco_Nacion[[#This Row],[fecha]],"mmmm"),0)</f>
        <v>Junio</v>
      </c>
    </row>
    <row r="404" spans="1:27" x14ac:dyDescent="0.3">
      <c r="A404" s="2">
        <f>IF(Banco_Nacion[[#This Row],[tipo_registro]]="R",COUNTIFS($C$1:$C403,"R")+1,"")</f>
        <v>403</v>
      </c>
      <c r="B404" s="19" t="str">
        <f t="shared" si="30"/>
        <v>B-Banco de la Nacion</v>
      </c>
      <c r="C404" s="3" t="s">
        <v>1330</v>
      </c>
      <c r="D404" s="14">
        <v>45814</v>
      </c>
      <c r="E404" s="5">
        <v>20419158462</v>
      </c>
      <c r="F404" s="5" t="s">
        <v>1303</v>
      </c>
      <c r="G404" s="6" t="s">
        <v>425</v>
      </c>
      <c r="H404" s="6"/>
      <c r="I404" s="6" t="s">
        <v>1784</v>
      </c>
      <c r="J404" s="6">
        <v>84</v>
      </c>
      <c r="K404" s="7" t="s">
        <v>5232</v>
      </c>
      <c r="L404" s="8">
        <v>79255564</v>
      </c>
      <c r="M404" s="8" t="str">
        <f t="shared" si="31"/>
        <v>PEN</v>
      </c>
      <c r="N404" s="13"/>
      <c r="O404" s="13">
        <v>202</v>
      </c>
      <c r="P404" s="3">
        <f t="shared" si="32"/>
        <v>202</v>
      </c>
      <c r="Q404" s="3">
        <f t="shared" si="33"/>
        <v>0</v>
      </c>
      <c r="R404" s="3">
        <f t="shared" si="34"/>
        <v>41856.220000000008</v>
      </c>
      <c r="S404" s="24"/>
      <c r="T404" s="24" t="s">
        <v>1334</v>
      </c>
      <c r="U404" s="3"/>
      <c r="V404" s="19" t="str">
        <f>IFERROR(VLOOKUP(Banco_Nacion[[#This Row],[responsable]],Clientes_Proveedores[[Ruc / Dni]:[Razon Social]],2,0),"")</f>
        <v>GRANJA RINCONADA DEL SUR S.A.</v>
      </c>
      <c r="W404" s="19" t="str">
        <f>IF(Banco_Nacion[[#This Row],[tipo_mov]]="INGRESO",Banco_Nacion[[#This Row],[serie]]&amp;Banco_Nacion[[#This Row],[numero]]&amp;Banco_Nacion[[#This Row],[responsable]]&amp;Banco_Nacion[[#This Row],[monto]],"")</f>
        <v>FF018420419158462202</v>
      </c>
      <c r="X404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79255564</v>
      </c>
      <c r="Y404" s="3" t="str">
        <f>IFERROR(VLOOKUP(Banco_Nacion[[#This Row],[serie]]&amp;Banco_Nacion[[#This Row],[numero]]&amp;Banco_Nacion[[#This Row],[responsable]],[2]!Provision_CXC[[ID CXP]:[DETRACCION]],47,0),"")</f>
        <v/>
      </c>
      <c r="Z404" s="3"/>
      <c r="AA404" s="24" t="str">
        <f>IF(Banco_Nacion[[#This Row],[fecha]]&gt;0,TEXT(Banco_Nacion[[#This Row],[fecha]],"mmmm"),0)</f>
        <v>Junio</v>
      </c>
    </row>
    <row r="405" spans="1:27" x14ac:dyDescent="0.3">
      <c r="A405" s="2">
        <f>IF(Banco_Nacion[[#This Row],[tipo_registro]]="R",COUNTIFS($C$1:$C404,"R")+1,"")</f>
        <v>404</v>
      </c>
      <c r="B405" s="19" t="str">
        <f t="shared" si="30"/>
        <v>B-Banco de la Nacion</v>
      </c>
      <c r="C405" s="3" t="s">
        <v>1330</v>
      </c>
      <c r="D405" s="14">
        <v>45814</v>
      </c>
      <c r="E405" s="5">
        <v>20419158462</v>
      </c>
      <c r="F405" s="5" t="s">
        <v>1303</v>
      </c>
      <c r="G405" s="6" t="s">
        <v>425</v>
      </c>
      <c r="H405" s="6"/>
      <c r="I405" s="6" t="s">
        <v>1784</v>
      </c>
      <c r="J405" s="6">
        <v>81</v>
      </c>
      <c r="K405" s="7" t="s">
        <v>5232</v>
      </c>
      <c r="L405" s="8">
        <v>79255563</v>
      </c>
      <c r="M405" s="8" t="str">
        <f t="shared" si="31"/>
        <v>PEN</v>
      </c>
      <c r="N405" s="13"/>
      <c r="O405" s="13">
        <v>202</v>
      </c>
      <c r="P405" s="3">
        <f t="shared" si="32"/>
        <v>202</v>
      </c>
      <c r="Q405" s="3">
        <f t="shared" si="33"/>
        <v>0</v>
      </c>
      <c r="R405" s="3">
        <f t="shared" si="34"/>
        <v>42058.220000000008</v>
      </c>
      <c r="S405" s="24"/>
      <c r="T405" s="24" t="s">
        <v>1334</v>
      </c>
      <c r="U405" s="3"/>
      <c r="V405" s="19" t="str">
        <f>IFERROR(VLOOKUP(Banco_Nacion[[#This Row],[responsable]],Clientes_Proveedores[[Ruc / Dni]:[Razon Social]],2,0),"")</f>
        <v>GRANJA RINCONADA DEL SUR S.A.</v>
      </c>
      <c r="W405" s="19" t="str">
        <f>IF(Banco_Nacion[[#This Row],[tipo_mov]]="INGRESO",Banco_Nacion[[#This Row],[serie]]&amp;Banco_Nacion[[#This Row],[numero]]&amp;Banco_Nacion[[#This Row],[responsable]]&amp;Banco_Nacion[[#This Row],[monto]],"")</f>
        <v>FF018120419158462202</v>
      </c>
      <c r="X405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79255563</v>
      </c>
      <c r="Y405" s="3" t="str">
        <f>IFERROR(VLOOKUP(Banco_Nacion[[#This Row],[serie]]&amp;Banco_Nacion[[#This Row],[numero]]&amp;Banco_Nacion[[#This Row],[responsable]],[2]!Provision_CXC[[ID CXP]:[DETRACCION]],47,0),"")</f>
        <v/>
      </c>
      <c r="Z405" s="3"/>
      <c r="AA405" s="24" t="str">
        <f>IF(Banco_Nacion[[#This Row],[fecha]]&gt;0,TEXT(Banco_Nacion[[#This Row],[fecha]],"mmmm"),0)</f>
        <v>Junio</v>
      </c>
    </row>
    <row r="406" spans="1:27" x14ac:dyDescent="0.3">
      <c r="A406" s="2">
        <f>IF(Banco_Nacion[[#This Row],[tipo_registro]]="R",COUNTIFS($C$1:$C405,"R")+1,"")</f>
        <v>405</v>
      </c>
      <c r="B406" s="19" t="str">
        <f t="shared" si="30"/>
        <v>B-Banco de la Nacion</v>
      </c>
      <c r="C406" s="3" t="s">
        <v>1330</v>
      </c>
      <c r="D406" s="14">
        <v>45814</v>
      </c>
      <c r="E406" s="5">
        <v>20419158462</v>
      </c>
      <c r="F406" s="5" t="s">
        <v>1303</v>
      </c>
      <c r="G406" s="6" t="s">
        <v>425</v>
      </c>
      <c r="H406" s="6"/>
      <c r="I406" s="6" t="s">
        <v>1784</v>
      </c>
      <c r="J406" s="6">
        <v>82</v>
      </c>
      <c r="K406" s="7" t="s">
        <v>5232</v>
      </c>
      <c r="L406" s="8">
        <v>79255562</v>
      </c>
      <c r="M406" s="8" t="str">
        <f t="shared" si="31"/>
        <v>PEN</v>
      </c>
      <c r="N406" s="13"/>
      <c r="O406" s="13">
        <v>202</v>
      </c>
      <c r="P406" s="3">
        <f t="shared" si="32"/>
        <v>202</v>
      </c>
      <c r="Q406" s="3">
        <f t="shared" si="33"/>
        <v>0</v>
      </c>
      <c r="R406" s="3">
        <f t="shared" si="34"/>
        <v>42260.220000000008</v>
      </c>
      <c r="S406" s="24"/>
      <c r="T406" s="24" t="s">
        <v>1334</v>
      </c>
      <c r="U406" s="3"/>
      <c r="V406" s="19" t="str">
        <f>IFERROR(VLOOKUP(Banco_Nacion[[#This Row],[responsable]],Clientes_Proveedores[[Ruc / Dni]:[Razon Social]],2,0),"")</f>
        <v>GRANJA RINCONADA DEL SUR S.A.</v>
      </c>
      <c r="W406" s="19" t="str">
        <f>IF(Banco_Nacion[[#This Row],[tipo_mov]]="INGRESO",Banco_Nacion[[#This Row],[serie]]&amp;Banco_Nacion[[#This Row],[numero]]&amp;Banco_Nacion[[#This Row],[responsable]]&amp;Banco_Nacion[[#This Row],[monto]],"")</f>
        <v>FF018220419158462202</v>
      </c>
      <c r="X406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79255562</v>
      </c>
      <c r="Y406" s="3" t="str">
        <f>IFERROR(VLOOKUP(Banco_Nacion[[#This Row],[serie]]&amp;Banco_Nacion[[#This Row],[numero]]&amp;Banco_Nacion[[#This Row],[responsable]],[2]!Provision_CXC[[ID CXP]:[DETRACCION]],47,0),"")</f>
        <v/>
      </c>
      <c r="Z406" s="3"/>
      <c r="AA406" s="24" t="str">
        <f>IF(Banco_Nacion[[#This Row],[fecha]]&gt;0,TEXT(Banco_Nacion[[#This Row],[fecha]],"mmmm"),0)</f>
        <v>Junio</v>
      </c>
    </row>
    <row r="407" spans="1:27" x14ac:dyDescent="0.3">
      <c r="A407" s="2">
        <f>IF(Banco_Nacion[[#This Row],[tipo_registro]]="R",COUNTIFS($C$1:$C406,"R")+1,"")</f>
        <v>406</v>
      </c>
      <c r="B407" s="19" t="str">
        <f t="shared" si="30"/>
        <v>B-Banco de la Nacion</v>
      </c>
      <c r="C407" s="3" t="s">
        <v>1330</v>
      </c>
      <c r="D407" s="14">
        <v>45814</v>
      </c>
      <c r="E407" s="5">
        <v>20419158462</v>
      </c>
      <c r="F407" s="5" t="s">
        <v>1303</v>
      </c>
      <c r="G407" s="6" t="s">
        <v>425</v>
      </c>
      <c r="H407" s="6"/>
      <c r="I407" s="6" t="s">
        <v>1784</v>
      </c>
      <c r="J407" s="6">
        <v>80</v>
      </c>
      <c r="K407" s="7" t="s">
        <v>5232</v>
      </c>
      <c r="L407" s="8">
        <v>79255561</v>
      </c>
      <c r="M407" s="8" t="str">
        <f t="shared" si="31"/>
        <v>PEN</v>
      </c>
      <c r="N407" s="13"/>
      <c r="O407" s="13">
        <v>202</v>
      </c>
      <c r="P407" s="3">
        <f t="shared" si="32"/>
        <v>202</v>
      </c>
      <c r="Q407" s="3">
        <f t="shared" si="33"/>
        <v>0</v>
      </c>
      <c r="R407" s="3">
        <f t="shared" si="34"/>
        <v>42462.220000000008</v>
      </c>
      <c r="S407" s="24"/>
      <c r="T407" s="24" t="s">
        <v>1334</v>
      </c>
      <c r="U407" s="3"/>
      <c r="V407" s="19" t="str">
        <f>IFERROR(VLOOKUP(Banco_Nacion[[#This Row],[responsable]],Clientes_Proveedores[[Ruc / Dni]:[Razon Social]],2,0),"")</f>
        <v>GRANJA RINCONADA DEL SUR S.A.</v>
      </c>
      <c r="W407" s="19" t="str">
        <f>IF(Banco_Nacion[[#This Row],[tipo_mov]]="INGRESO",Banco_Nacion[[#This Row],[serie]]&amp;Banco_Nacion[[#This Row],[numero]]&amp;Banco_Nacion[[#This Row],[responsable]]&amp;Banco_Nacion[[#This Row],[monto]],"")</f>
        <v>FF018020419158462202</v>
      </c>
      <c r="X407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79255561</v>
      </c>
      <c r="Y407" s="3" t="str">
        <f>IFERROR(VLOOKUP(Banco_Nacion[[#This Row],[serie]]&amp;Banco_Nacion[[#This Row],[numero]]&amp;Banco_Nacion[[#This Row],[responsable]],[2]!Provision_CXC[[ID CXP]:[DETRACCION]],47,0),"")</f>
        <v/>
      </c>
      <c r="Z407" s="3"/>
      <c r="AA407" s="24" t="str">
        <f>IF(Banco_Nacion[[#This Row],[fecha]]&gt;0,TEXT(Banco_Nacion[[#This Row],[fecha]],"mmmm"),0)</f>
        <v>Junio</v>
      </c>
    </row>
    <row r="408" spans="1:27" x14ac:dyDescent="0.3">
      <c r="A408" s="2">
        <f>IF(Banco_Nacion[[#This Row],[tipo_registro]]="R",COUNTIFS($C$1:$C407,"R")+1,"")</f>
        <v>407</v>
      </c>
      <c r="B408" s="19" t="str">
        <f t="shared" si="30"/>
        <v>B-Banco de la Nacion</v>
      </c>
      <c r="C408" s="3" t="s">
        <v>1330</v>
      </c>
      <c r="D408" s="14">
        <v>45817</v>
      </c>
      <c r="E408" s="5">
        <v>20121393736</v>
      </c>
      <c r="F408" s="5" t="s">
        <v>1303</v>
      </c>
      <c r="G408" s="6" t="s">
        <v>425</v>
      </c>
      <c r="H408" s="6"/>
      <c r="I408" s="6" t="s">
        <v>1784</v>
      </c>
      <c r="J408" s="6">
        <v>100</v>
      </c>
      <c r="K408" s="7" t="s">
        <v>5232</v>
      </c>
      <c r="L408" s="8">
        <v>79698061</v>
      </c>
      <c r="M408" s="8" t="str">
        <f t="shared" si="31"/>
        <v>PEN</v>
      </c>
      <c r="N408" s="13"/>
      <c r="O408" s="13">
        <v>119</v>
      </c>
      <c r="P408" s="3">
        <f t="shared" si="32"/>
        <v>119</v>
      </c>
      <c r="Q408" s="3">
        <f t="shared" si="33"/>
        <v>0</v>
      </c>
      <c r="R408" s="3">
        <f t="shared" si="34"/>
        <v>42581.220000000008</v>
      </c>
      <c r="S408" s="24"/>
      <c r="T408" s="24" t="s">
        <v>1334</v>
      </c>
      <c r="U408" s="3"/>
      <c r="V408" s="19" t="str">
        <f>IFERROR(VLOOKUP(Banco_Nacion[[#This Row],[responsable]],Clientes_Proveedores[[Ruc / Dni]:[Razon Social]],2,0),"")</f>
        <v>EMPRESA YURA SRL</v>
      </c>
      <c r="W408" s="19" t="str">
        <f>IF(Banco_Nacion[[#This Row],[tipo_mov]]="INGRESO",Banco_Nacion[[#This Row],[serie]]&amp;Banco_Nacion[[#This Row],[numero]]&amp;Banco_Nacion[[#This Row],[responsable]]&amp;Banco_Nacion[[#This Row],[monto]],"")</f>
        <v>FF0110020121393736119</v>
      </c>
      <c r="X408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79698061</v>
      </c>
      <c r="Y408" s="3" t="str">
        <f>IFERROR(VLOOKUP(Banco_Nacion[[#This Row],[serie]]&amp;Banco_Nacion[[#This Row],[numero]]&amp;Banco_Nacion[[#This Row],[responsable]],[2]!Provision_CXC[[ID CXP]:[DETRACCION]],47,0),"")</f>
        <v/>
      </c>
      <c r="Z408" s="3"/>
      <c r="AA408" s="24" t="str">
        <f>IF(Banco_Nacion[[#This Row],[fecha]]&gt;0,TEXT(Banco_Nacion[[#This Row],[fecha]],"mmmm"),0)</f>
        <v>Junio</v>
      </c>
    </row>
    <row r="409" spans="1:27" x14ac:dyDescent="0.3">
      <c r="A409" s="2">
        <f>IF(Banco_Nacion[[#This Row],[tipo_registro]]="R",COUNTIFS($C$1:$C408,"R")+1,"")</f>
        <v>408</v>
      </c>
      <c r="B409" s="19" t="str">
        <f t="shared" si="30"/>
        <v>B-Banco de la Nacion</v>
      </c>
      <c r="C409" s="3" t="s">
        <v>1330</v>
      </c>
      <c r="D409" s="14">
        <v>45817</v>
      </c>
      <c r="E409" s="5">
        <v>20601852927</v>
      </c>
      <c r="F409" s="5" t="s">
        <v>1303</v>
      </c>
      <c r="G409" s="6" t="s">
        <v>425</v>
      </c>
      <c r="H409" s="6"/>
      <c r="I409" s="6" t="s">
        <v>1784</v>
      </c>
      <c r="J409" s="6">
        <v>52</v>
      </c>
      <c r="K409" s="7" t="s">
        <v>5232</v>
      </c>
      <c r="L409" s="8">
        <v>79605073</v>
      </c>
      <c r="M409" s="8" t="str">
        <f t="shared" si="31"/>
        <v>PEN</v>
      </c>
      <c r="N409" s="13"/>
      <c r="O409" s="13">
        <v>149</v>
      </c>
      <c r="P409" s="3">
        <f t="shared" si="32"/>
        <v>149</v>
      </c>
      <c r="Q409" s="3">
        <f t="shared" si="33"/>
        <v>0</v>
      </c>
      <c r="R409" s="3">
        <f t="shared" si="34"/>
        <v>42730.220000000008</v>
      </c>
      <c r="S409" s="24"/>
      <c r="T409" s="24" t="s">
        <v>1334</v>
      </c>
      <c r="U409" s="3"/>
      <c r="V409" s="19" t="str">
        <f>IFERROR(VLOOKUP(Banco_Nacion[[#This Row],[responsable]],Clientes_Proveedores[[Ruc / Dni]:[Razon Social]],2,0),"")</f>
        <v>CONSORCIO PUENTES DEL NORTE</v>
      </c>
      <c r="W409" s="19" t="str">
        <f>IF(Banco_Nacion[[#This Row],[tipo_mov]]="INGRESO",Banco_Nacion[[#This Row],[serie]]&amp;Banco_Nacion[[#This Row],[numero]]&amp;Banco_Nacion[[#This Row],[responsable]]&amp;Banco_Nacion[[#This Row],[monto]],"")</f>
        <v>FF015220601852927149</v>
      </c>
      <c r="X409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79605073</v>
      </c>
      <c r="Y409" s="3" t="str">
        <f>IFERROR(VLOOKUP(Banco_Nacion[[#This Row],[serie]]&amp;Banco_Nacion[[#This Row],[numero]]&amp;Banco_Nacion[[#This Row],[responsable]],[2]!Provision_CXC[[ID CXP]:[DETRACCION]],47,0),"")</f>
        <v/>
      </c>
      <c r="Z409" s="3"/>
      <c r="AA409" s="24" t="str">
        <f>IF(Banco_Nacion[[#This Row],[fecha]]&gt;0,TEXT(Banco_Nacion[[#This Row],[fecha]],"mmmm"),0)</f>
        <v>Junio</v>
      </c>
    </row>
    <row r="410" spans="1:27" x14ac:dyDescent="0.3">
      <c r="A410" s="2">
        <f>IF(Banco_Nacion[[#This Row],[tipo_registro]]="R",COUNTIFS($C$1:$C409,"R")+1,"")</f>
        <v>409</v>
      </c>
      <c r="B410" s="19" t="str">
        <f t="shared" si="30"/>
        <v>B-Banco de la Nacion</v>
      </c>
      <c r="C410" s="3" t="s">
        <v>1330</v>
      </c>
      <c r="D410" s="14">
        <v>45817</v>
      </c>
      <c r="E410" s="5">
        <v>20514133931</v>
      </c>
      <c r="F410" s="5" t="s">
        <v>1303</v>
      </c>
      <c r="G410" s="6" t="s">
        <v>425</v>
      </c>
      <c r="H410" s="6" t="s">
        <v>68</v>
      </c>
      <c r="I410" s="6" t="s">
        <v>3302</v>
      </c>
      <c r="J410" s="6">
        <v>16</v>
      </c>
      <c r="K410" s="7" t="s">
        <v>5232</v>
      </c>
      <c r="L410" s="8">
        <v>79574000</v>
      </c>
      <c r="M410" s="8" t="str">
        <f t="shared" si="31"/>
        <v>PEN</v>
      </c>
      <c r="N410" s="13"/>
      <c r="O410" s="13">
        <v>9</v>
      </c>
      <c r="P410" s="3">
        <f t="shared" si="32"/>
        <v>9</v>
      </c>
      <c r="Q410" s="3">
        <f t="shared" si="33"/>
        <v>0</v>
      </c>
      <c r="R410" s="3">
        <f t="shared" si="34"/>
        <v>42739.220000000008</v>
      </c>
      <c r="S410" s="24" t="s">
        <v>1334</v>
      </c>
      <c r="T410" s="24" t="s">
        <v>1334</v>
      </c>
      <c r="U410" s="3"/>
      <c r="V410" s="19" t="str">
        <f>IFERROR(VLOOKUP(Banco_Nacion[[#This Row],[responsable]],Clientes_Proveedores[[Ruc / Dni]:[Razon Social]],2,0),"")</f>
        <v>CORPORACION MEDIOAMBIENTAL AMPCO PERU SOCIEDAD ANONIMA CERRADA
- CM AMPCO PERU S.A.C</v>
      </c>
      <c r="W410" s="19" t="str">
        <f>IF(Banco_Nacion[[#This Row],[tipo_mov]]="INGRESO",Banco_Nacion[[#This Row],[serie]]&amp;Banco_Nacion[[#This Row],[numero]]&amp;Banco_Nacion[[#This Row],[responsable]]&amp;Banco_Nacion[[#This Row],[monto]],"")</f>
        <v>FF0216205141339319</v>
      </c>
      <c r="X410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79574000</v>
      </c>
      <c r="Y410" s="3" t="str">
        <f>IFERROR(VLOOKUP(Banco_Nacion[[#This Row],[serie]]&amp;Banco_Nacion[[#This Row],[numero]]&amp;Banco_Nacion[[#This Row],[responsable]],[2]!Provision_CXC[[ID CXP]:[DETRACCION]],47,0),"")</f>
        <v/>
      </c>
      <c r="Z410" s="3"/>
      <c r="AA410" s="24" t="str">
        <f>IF(Banco_Nacion[[#This Row],[fecha]]&gt;0,TEXT(Banco_Nacion[[#This Row],[fecha]],"mmmm"),0)</f>
        <v>Junio</v>
      </c>
    </row>
    <row r="411" spans="1:27" x14ac:dyDescent="0.3">
      <c r="A411" s="2">
        <f>IF(Banco_Nacion[[#This Row],[tipo_registro]]="R",COUNTIFS($C$1:$C410,"R")+1,"")</f>
        <v>410</v>
      </c>
      <c r="B411" s="19" t="str">
        <f t="shared" si="30"/>
        <v>B-Banco de la Nacion</v>
      </c>
      <c r="C411" s="3" t="s">
        <v>1330</v>
      </c>
      <c r="D411" s="14">
        <v>45817</v>
      </c>
      <c r="E411" s="5">
        <v>20406463614</v>
      </c>
      <c r="F411" s="5" t="s">
        <v>1303</v>
      </c>
      <c r="G411" s="6" t="s">
        <v>425</v>
      </c>
      <c r="H411" s="6" t="s">
        <v>68</v>
      </c>
      <c r="I411" s="6" t="s">
        <v>1784</v>
      </c>
      <c r="J411" s="6">
        <v>86</v>
      </c>
      <c r="K411" s="7" t="s">
        <v>5232</v>
      </c>
      <c r="L411" s="8">
        <v>79548819</v>
      </c>
      <c r="M411" s="8" t="str">
        <f t="shared" si="31"/>
        <v>PEN</v>
      </c>
      <c r="N411" s="13"/>
      <c r="O411" s="13">
        <v>376</v>
      </c>
      <c r="P411" s="3">
        <f t="shared" si="32"/>
        <v>376</v>
      </c>
      <c r="Q411" s="3">
        <f t="shared" si="33"/>
        <v>0</v>
      </c>
      <c r="R411" s="3">
        <f t="shared" si="34"/>
        <v>43115.220000000008</v>
      </c>
      <c r="S411" s="24" t="s">
        <v>1334</v>
      </c>
      <c r="T411" s="24" t="s">
        <v>1334</v>
      </c>
      <c r="U411" s="3"/>
      <c r="V411" s="19" t="str">
        <f>IFERROR(VLOOKUP(Banco_Nacion[[#This Row],[responsable]],Clientes_Proveedores[[Ruc / Dni]:[Razon Social]],2,0),"")</f>
        <v>COOPERATIVA MINERA ESTRELLA DE ORO DE ANANEA LIMITADA</v>
      </c>
      <c r="W411" s="19" t="str">
        <f>IF(Banco_Nacion[[#This Row],[tipo_mov]]="INGRESO",Banco_Nacion[[#This Row],[serie]]&amp;Banco_Nacion[[#This Row],[numero]]&amp;Banco_Nacion[[#This Row],[responsable]]&amp;Banco_Nacion[[#This Row],[monto]],"")</f>
        <v>FF018620406463614376</v>
      </c>
      <c r="X411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79548819</v>
      </c>
      <c r="Y411" s="3" t="str">
        <f>IFERROR(VLOOKUP(Banco_Nacion[[#This Row],[serie]]&amp;Banco_Nacion[[#This Row],[numero]]&amp;Banco_Nacion[[#This Row],[responsable]],[2]!Provision_CXC[[ID CXP]:[DETRACCION]],47,0),"")</f>
        <v/>
      </c>
      <c r="Z411" s="3"/>
      <c r="AA411" s="24" t="str">
        <f>IF(Banco_Nacion[[#This Row],[fecha]]&gt;0,TEXT(Banco_Nacion[[#This Row],[fecha]],"mmmm"),0)</f>
        <v>Junio</v>
      </c>
    </row>
    <row r="412" spans="1:27" x14ac:dyDescent="0.3">
      <c r="A412" s="2">
        <f>IF(Banco_Nacion[[#This Row],[tipo_registro]]="R",COUNTIFS($C$1:$C411,"R")+1,"")</f>
        <v>411</v>
      </c>
      <c r="B412" s="19" t="str">
        <f t="shared" si="30"/>
        <v>B-Banco de la Nacion</v>
      </c>
      <c r="C412" s="3" t="s">
        <v>1330</v>
      </c>
      <c r="D412" s="14">
        <v>45817</v>
      </c>
      <c r="E412" s="5">
        <v>20553956324</v>
      </c>
      <c r="F412" s="5" t="s">
        <v>1303</v>
      </c>
      <c r="G412" s="6" t="s">
        <v>425</v>
      </c>
      <c r="H412" s="6" t="s">
        <v>68</v>
      </c>
      <c r="I412" s="6" t="s">
        <v>1784</v>
      </c>
      <c r="J412" s="6">
        <v>76</v>
      </c>
      <c r="K412" s="7" t="s">
        <v>5232</v>
      </c>
      <c r="L412" s="8">
        <v>79505445</v>
      </c>
      <c r="M412" s="8" t="str">
        <f t="shared" si="31"/>
        <v>PEN</v>
      </c>
      <c r="N412" s="13"/>
      <c r="O412" s="13">
        <v>693</v>
      </c>
      <c r="P412" s="3">
        <f t="shared" si="32"/>
        <v>693</v>
      </c>
      <c r="Q412" s="3">
        <f t="shared" si="33"/>
        <v>0</v>
      </c>
      <c r="R412" s="3">
        <f t="shared" si="34"/>
        <v>43808.220000000008</v>
      </c>
      <c r="S412" s="24" t="s">
        <v>1334</v>
      </c>
      <c r="T412" s="24" t="s">
        <v>1334</v>
      </c>
      <c r="U412" s="3"/>
      <c r="V412" s="19" t="str">
        <f>IFERROR(VLOOKUP(Banco_Nacion[[#This Row],[responsable]],Clientes_Proveedores[[Ruc / Dni]:[Razon Social]],2,0),"")</f>
        <v>ALQUIMODUL S.A.C.</v>
      </c>
      <c r="W412" s="19" t="str">
        <f>IF(Banco_Nacion[[#This Row],[tipo_mov]]="INGRESO",Banco_Nacion[[#This Row],[serie]]&amp;Banco_Nacion[[#This Row],[numero]]&amp;Banco_Nacion[[#This Row],[responsable]]&amp;Banco_Nacion[[#This Row],[monto]],"")</f>
        <v>FF017620553956324693</v>
      </c>
      <c r="X412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79505445</v>
      </c>
      <c r="Y412" s="3" t="str">
        <f>IFERROR(VLOOKUP(Banco_Nacion[[#This Row],[serie]]&amp;Banco_Nacion[[#This Row],[numero]]&amp;Banco_Nacion[[#This Row],[responsable]],[2]!Provision_CXC[[ID CXP]:[DETRACCION]],47,0),"")</f>
        <v/>
      </c>
      <c r="Z412" s="3"/>
      <c r="AA412" s="24" t="str">
        <f>IF(Banco_Nacion[[#This Row],[fecha]]&gt;0,TEXT(Banco_Nacion[[#This Row],[fecha]],"mmmm"),0)</f>
        <v>Junio</v>
      </c>
    </row>
    <row r="413" spans="1:27" x14ac:dyDescent="0.3">
      <c r="A413" s="2">
        <f>IF(Banco_Nacion[[#This Row],[tipo_registro]]="R",COUNTIFS($C$1:$C412,"R")+1,"")</f>
        <v>412</v>
      </c>
      <c r="B413" s="19" t="str">
        <f t="shared" si="30"/>
        <v>B-Banco de la Nacion</v>
      </c>
      <c r="C413" s="3" t="s">
        <v>1330</v>
      </c>
      <c r="D413" s="14">
        <v>45817</v>
      </c>
      <c r="E413" s="5">
        <v>20553956324</v>
      </c>
      <c r="F413" s="5" t="s">
        <v>1303</v>
      </c>
      <c r="G413" s="6" t="s">
        <v>425</v>
      </c>
      <c r="H413" s="6" t="s">
        <v>68</v>
      </c>
      <c r="I413" s="6" t="s">
        <v>1784</v>
      </c>
      <c r="J413" s="6">
        <v>75</v>
      </c>
      <c r="K413" s="7" t="s">
        <v>5232</v>
      </c>
      <c r="L413" s="8">
        <v>79505443</v>
      </c>
      <c r="M413" s="8" t="str">
        <f t="shared" si="31"/>
        <v>PEN</v>
      </c>
      <c r="N413" s="13"/>
      <c r="O413" s="13">
        <v>588</v>
      </c>
      <c r="P413" s="3">
        <f t="shared" si="32"/>
        <v>588</v>
      </c>
      <c r="Q413" s="3">
        <f t="shared" si="33"/>
        <v>0</v>
      </c>
      <c r="R413" s="3">
        <f t="shared" si="34"/>
        <v>44396.220000000008</v>
      </c>
      <c r="S413" s="24" t="s">
        <v>1334</v>
      </c>
      <c r="T413" s="24" t="s">
        <v>1334</v>
      </c>
      <c r="U413" s="3"/>
      <c r="V413" s="19" t="str">
        <f>IFERROR(VLOOKUP(Banco_Nacion[[#This Row],[responsable]],Clientes_Proveedores[[Ruc / Dni]:[Razon Social]],2,0),"")</f>
        <v>ALQUIMODUL S.A.C.</v>
      </c>
      <c r="W413" s="19" t="str">
        <f>IF(Banco_Nacion[[#This Row],[tipo_mov]]="INGRESO",Banco_Nacion[[#This Row],[serie]]&amp;Banco_Nacion[[#This Row],[numero]]&amp;Banco_Nacion[[#This Row],[responsable]]&amp;Banco_Nacion[[#This Row],[monto]],"")</f>
        <v>FF017520553956324588</v>
      </c>
      <c r="X413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79505443</v>
      </c>
      <c r="Y413" s="3" t="str">
        <f>IFERROR(VLOOKUP(Banco_Nacion[[#This Row],[serie]]&amp;Banco_Nacion[[#This Row],[numero]]&amp;Banco_Nacion[[#This Row],[responsable]],[2]!Provision_CXC[[ID CXP]:[DETRACCION]],47,0),"")</f>
        <v/>
      </c>
      <c r="Z413" s="3"/>
      <c r="AA413" s="24" t="str">
        <f>IF(Banco_Nacion[[#This Row],[fecha]]&gt;0,TEXT(Banco_Nacion[[#This Row],[fecha]],"mmmm"),0)</f>
        <v>Junio</v>
      </c>
    </row>
    <row r="414" spans="1:27" x14ac:dyDescent="0.3">
      <c r="A414" s="2">
        <f>IF(Banco_Nacion[[#This Row],[tipo_registro]]="R",COUNTIFS($C$1:$C413,"R")+1,"")</f>
        <v>413</v>
      </c>
      <c r="B414" s="19" t="str">
        <f t="shared" si="30"/>
        <v>B-Banco de la Nacion</v>
      </c>
      <c r="C414" s="3" t="s">
        <v>1330</v>
      </c>
      <c r="D414" s="14">
        <v>45817</v>
      </c>
      <c r="E414" s="5">
        <v>20603065906</v>
      </c>
      <c r="F414" s="5" t="s">
        <v>1303</v>
      </c>
      <c r="G414" s="6" t="s">
        <v>425</v>
      </c>
      <c r="H414" s="6" t="s">
        <v>68</v>
      </c>
      <c r="I414" s="6" t="s">
        <v>3381</v>
      </c>
      <c r="J414" s="6">
        <v>20</v>
      </c>
      <c r="K414" s="7" t="s">
        <v>5232</v>
      </c>
      <c r="L414" s="8">
        <v>79493692</v>
      </c>
      <c r="M414" s="8" t="str">
        <f t="shared" si="31"/>
        <v>PEN</v>
      </c>
      <c r="N414" s="13"/>
      <c r="O414" s="13">
        <v>279</v>
      </c>
      <c r="P414" s="3">
        <f t="shared" si="32"/>
        <v>279</v>
      </c>
      <c r="Q414" s="3">
        <f t="shared" si="33"/>
        <v>0</v>
      </c>
      <c r="R414" s="3">
        <f t="shared" si="34"/>
        <v>44675.220000000008</v>
      </c>
      <c r="S414" s="24" t="s">
        <v>1334</v>
      </c>
      <c r="T414" s="24" t="s">
        <v>1334</v>
      </c>
      <c r="U414" s="3"/>
      <c r="V414" s="19" t="str">
        <f>IFERROR(VLOOKUP(Banco_Nacion[[#This Row],[responsable]],Clientes_Proveedores[[Ruc / Dni]:[Razon Social]],2,0),"")</f>
        <v>COMERCIO SERVICIOS E INVERSIONES YANCE E.I.R.L.</v>
      </c>
      <c r="W414" s="19" t="str">
        <f>IF(Banco_Nacion[[#This Row],[tipo_mov]]="INGRESO",Banco_Nacion[[#This Row],[serie]]&amp;Banco_Nacion[[#This Row],[numero]]&amp;Banco_Nacion[[#This Row],[responsable]]&amp;Banco_Nacion[[#This Row],[monto]],"")</f>
        <v>FF052020603065906279</v>
      </c>
      <c r="X414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79493692</v>
      </c>
      <c r="Y414" s="3" t="str">
        <f>IFERROR(VLOOKUP(Banco_Nacion[[#This Row],[serie]]&amp;Banco_Nacion[[#This Row],[numero]]&amp;Banco_Nacion[[#This Row],[responsable]],[2]!Provision_CXC[[ID CXP]:[DETRACCION]],47,0),"")</f>
        <v/>
      </c>
      <c r="Z414" s="3"/>
      <c r="AA414" s="24" t="str">
        <f>IF(Banco_Nacion[[#This Row],[fecha]]&gt;0,TEXT(Banco_Nacion[[#This Row],[fecha]],"mmmm"),0)</f>
        <v>Junio</v>
      </c>
    </row>
    <row r="415" spans="1:27" x14ac:dyDescent="0.3">
      <c r="A415" s="2">
        <f>IF(Banco_Nacion[[#This Row],[tipo_registro]]="R",COUNTIFS($C$1:$C414,"R")+1,"")</f>
        <v>414</v>
      </c>
      <c r="B415" s="19" t="str">
        <f t="shared" si="30"/>
        <v>B-Banco de la Nacion</v>
      </c>
      <c r="C415" s="3" t="s">
        <v>1330</v>
      </c>
      <c r="D415" s="14">
        <v>45817</v>
      </c>
      <c r="E415" s="5">
        <v>20603065906</v>
      </c>
      <c r="F415" s="5" t="s">
        <v>1303</v>
      </c>
      <c r="G415" s="6" t="s">
        <v>425</v>
      </c>
      <c r="H415" s="6" t="s">
        <v>68</v>
      </c>
      <c r="I415" s="6" t="s">
        <v>3381</v>
      </c>
      <c r="J415" s="6">
        <v>25</v>
      </c>
      <c r="K415" s="7" t="s">
        <v>5232</v>
      </c>
      <c r="L415" s="8">
        <v>79493691</v>
      </c>
      <c r="M415" s="8" t="str">
        <f t="shared" si="31"/>
        <v>PEN</v>
      </c>
      <c r="N415" s="13"/>
      <c r="O415" s="13">
        <v>585</v>
      </c>
      <c r="P415" s="3">
        <f t="shared" si="32"/>
        <v>585</v>
      </c>
      <c r="Q415" s="3">
        <f t="shared" si="33"/>
        <v>0</v>
      </c>
      <c r="R415" s="3">
        <f t="shared" si="34"/>
        <v>45260.220000000008</v>
      </c>
      <c r="S415" s="24" t="s">
        <v>1334</v>
      </c>
      <c r="T415" s="24" t="s">
        <v>1334</v>
      </c>
      <c r="U415" s="3"/>
      <c r="V415" s="19" t="str">
        <f>IFERROR(VLOOKUP(Banco_Nacion[[#This Row],[responsable]],Clientes_Proveedores[[Ruc / Dni]:[Razon Social]],2,0),"")</f>
        <v>COMERCIO SERVICIOS E INVERSIONES YANCE E.I.R.L.</v>
      </c>
      <c r="W415" s="19" t="str">
        <f>IF(Banco_Nacion[[#This Row],[tipo_mov]]="INGRESO",Banco_Nacion[[#This Row],[serie]]&amp;Banco_Nacion[[#This Row],[numero]]&amp;Banco_Nacion[[#This Row],[responsable]]&amp;Banco_Nacion[[#This Row],[monto]],"")</f>
        <v>FF052520603065906585</v>
      </c>
      <c r="X415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79493691</v>
      </c>
      <c r="Y415" s="3" t="str">
        <f>IFERROR(VLOOKUP(Banco_Nacion[[#This Row],[serie]]&amp;Banco_Nacion[[#This Row],[numero]]&amp;Banco_Nacion[[#This Row],[responsable]],[2]!Provision_CXC[[ID CXP]:[DETRACCION]],47,0),"")</f>
        <v/>
      </c>
      <c r="Z415" s="3"/>
      <c r="AA415" s="24" t="str">
        <f>IF(Banco_Nacion[[#This Row],[fecha]]&gt;0,TEXT(Banco_Nacion[[#This Row],[fecha]],"mmmm"),0)</f>
        <v>Junio</v>
      </c>
    </row>
    <row r="416" spans="1:27" x14ac:dyDescent="0.3">
      <c r="A416" s="2">
        <f>IF(Banco_Nacion[[#This Row],[tipo_registro]]="R",COUNTIFS($C$1:$C415,"R")+1,"")</f>
        <v>415</v>
      </c>
      <c r="B416" s="19" t="str">
        <f t="shared" si="30"/>
        <v>B-Banco de la Nacion</v>
      </c>
      <c r="C416" s="3" t="s">
        <v>1330</v>
      </c>
      <c r="D416" s="14">
        <v>45817</v>
      </c>
      <c r="E416" s="5">
        <v>20204621242</v>
      </c>
      <c r="F416" s="5" t="s">
        <v>1303</v>
      </c>
      <c r="G416" s="6" t="s">
        <v>425</v>
      </c>
      <c r="H416" s="6" t="s">
        <v>68</v>
      </c>
      <c r="I416" s="6" t="s">
        <v>1784</v>
      </c>
      <c r="J416" s="6">
        <v>103</v>
      </c>
      <c r="K416" s="7" t="s">
        <v>5232</v>
      </c>
      <c r="L416" s="8">
        <v>79424438</v>
      </c>
      <c r="M416" s="8" t="str">
        <f t="shared" si="31"/>
        <v>PEN</v>
      </c>
      <c r="N416" s="13"/>
      <c r="O416" s="13">
        <v>172</v>
      </c>
      <c r="P416" s="3">
        <f t="shared" si="32"/>
        <v>172</v>
      </c>
      <c r="Q416" s="3">
        <f t="shared" si="33"/>
        <v>0</v>
      </c>
      <c r="R416" s="3">
        <f t="shared" si="34"/>
        <v>45432.220000000008</v>
      </c>
      <c r="S416" s="24" t="s">
        <v>1334</v>
      </c>
      <c r="T416" s="24" t="s">
        <v>1334</v>
      </c>
      <c r="U416" s="3"/>
      <c r="V416" s="19" t="str">
        <f>IFERROR(VLOOKUP(Banco_Nacion[[#This Row],[responsable]],Clientes_Proveedores[[Ruc / Dni]:[Razon Social]],2,0),"")</f>
        <v>TALMA SERVICIOS AEROPORTUARIOS S.A.</v>
      </c>
      <c r="W416" s="19" t="str">
        <f>IF(Banco_Nacion[[#This Row],[tipo_mov]]="INGRESO",Banco_Nacion[[#This Row],[serie]]&amp;Banco_Nacion[[#This Row],[numero]]&amp;Banco_Nacion[[#This Row],[responsable]]&amp;Banco_Nacion[[#This Row],[monto]],"")</f>
        <v>FF0110320204621242172</v>
      </c>
      <c r="X416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79424438</v>
      </c>
      <c r="Y416" s="3" t="str">
        <f>IFERROR(VLOOKUP(Banco_Nacion[[#This Row],[serie]]&amp;Banco_Nacion[[#This Row],[numero]]&amp;Banco_Nacion[[#This Row],[responsable]],[2]!Provision_CXC[[ID CXP]:[DETRACCION]],47,0),"")</f>
        <v/>
      </c>
      <c r="Z416" s="3"/>
      <c r="AA416" s="24" t="str">
        <f>IF(Banco_Nacion[[#This Row],[fecha]]&gt;0,TEXT(Banco_Nacion[[#This Row],[fecha]],"mmmm"),0)</f>
        <v>Junio</v>
      </c>
    </row>
    <row r="417" spans="1:27" x14ac:dyDescent="0.3">
      <c r="A417" s="2">
        <f>IF(Banco_Nacion[[#This Row],[tipo_registro]]="R",COUNTIFS($C$1:$C416,"R")+1,"")</f>
        <v>416</v>
      </c>
      <c r="B417" s="19" t="str">
        <f t="shared" si="30"/>
        <v>B-Banco de la Nacion</v>
      </c>
      <c r="C417" s="3" t="s">
        <v>1330</v>
      </c>
      <c r="D417" s="14">
        <v>45817</v>
      </c>
      <c r="E417" s="5">
        <v>20204621242</v>
      </c>
      <c r="F417" s="5" t="s">
        <v>1303</v>
      </c>
      <c r="G417" s="6" t="s">
        <v>425</v>
      </c>
      <c r="H417" s="6" t="s">
        <v>68</v>
      </c>
      <c r="I417" s="6" t="s">
        <v>1784</v>
      </c>
      <c r="J417" s="6">
        <v>88</v>
      </c>
      <c r="K417" s="7" t="s">
        <v>5232</v>
      </c>
      <c r="L417" s="8">
        <v>79424437</v>
      </c>
      <c r="M417" s="8" t="str">
        <f t="shared" si="31"/>
        <v>PEN</v>
      </c>
      <c r="N417" s="13"/>
      <c r="O417" s="13">
        <v>784</v>
      </c>
      <c r="P417" s="3">
        <f t="shared" si="32"/>
        <v>784</v>
      </c>
      <c r="Q417" s="3">
        <f t="shared" si="33"/>
        <v>0</v>
      </c>
      <c r="R417" s="3">
        <f t="shared" si="34"/>
        <v>46216.220000000008</v>
      </c>
      <c r="S417" s="24" t="s">
        <v>1334</v>
      </c>
      <c r="T417" s="24" t="s">
        <v>1334</v>
      </c>
      <c r="U417" s="3"/>
      <c r="V417" s="19" t="str">
        <f>IFERROR(VLOOKUP(Banco_Nacion[[#This Row],[responsable]],Clientes_Proveedores[[Ruc / Dni]:[Razon Social]],2,0),"")</f>
        <v>TALMA SERVICIOS AEROPORTUARIOS S.A.</v>
      </c>
      <c r="W417" s="19" t="str">
        <f>IF(Banco_Nacion[[#This Row],[tipo_mov]]="INGRESO",Banco_Nacion[[#This Row],[serie]]&amp;Banco_Nacion[[#This Row],[numero]]&amp;Banco_Nacion[[#This Row],[responsable]]&amp;Banco_Nacion[[#This Row],[monto]],"")</f>
        <v>FF018820204621242784</v>
      </c>
      <c r="X417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79424437</v>
      </c>
      <c r="Y417" s="3" t="str">
        <f>IFERROR(VLOOKUP(Banco_Nacion[[#This Row],[serie]]&amp;Banco_Nacion[[#This Row],[numero]]&amp;Banco_Nacion[[#This Row],[responsable]],[2]!Provision_CXC[[ID CXP]:[DETRACCION]],47,0),"")</f>
        <v/>
      </c>
      <c r="Z417" s="3"/>
      <c r="AA417" s="24" t="str">
        <f>IF(Banco_Nacion[[#This Row],[fecha]]&gt;0,TEXT(Banco_Nacion[[#This Row],[fecha]],"mmmm"),0)</f>
        <v>Junio</v>
      </c>
    </row>
    <row r="418" spans="1:27" x14ac:dyDescent="0.3">
      <c r="A418" s="2">
        <f>IF(Banco_Nacion[[#This Row],[tipo_registro]]="R",COUNTIFS($C$1:$C417,"R")+1,"")</f>
        <v>417</v>
      </c>
      <c r="B418" s="19" t="str">
        <f t="shared" si="30"/>
        <v>B-Banco de la Nacion</v>
      </c>
      <c r="C418" s="3" t="s">
        <v>1330</v>
      </c>
      <c r="D418" s="14">
        <v>45817</v>
      </c>
      <c r="E418" s="5">
        <v>20498459791</v>
      </c>
      <c r="F418" s="5" t="s">
        <v>1303</v>
      </c>
      <c r="G418" s="6" t="s">
        <v>425</v>
      </c>
      <c r="H418" s="6" t="s">
        <v>68</v>
      </c>
      <c r="I418" s="6" t="s">
        <v>1784</v>
      </c>
      <c r="J418" s="6">
        <v>101</v>
      </c>
      <c r="K418" s="7" t="s">
        <v>5232</v>
      </c>
      <c r="L418" s="8">
        <v>79378745</v>
      </c>
      <c r="M418" s="8" t="str">
        <f t="shared" si="31"/>
        <v>PEN</v>
      </c>
      <c r="N418" s="13"/>
      <c r="O418" s="13">
        <v>170</v>
      </c>
      <c r="P418" s="3">
        <f t="shared" si="32"/>
        <v>170</v>
      </c>
      <c r="Q418" s="3">
        <f t="shared" si="33"/>
        <v>0</v>
      </c>
      <c r="R418" s="3">
        <f t="shared" si="34"/>
        <v>46386.220000000008</v>
      </c>
      <c r="S418" s="24" t="s">
        <v>1334</v>
      </c>
      <c r="T418" s="24" t="s">
        <v>1334</v>
      </c>
      <c r="U418" s="3"/>
      <c r="V418" s="19" t="str">
        <f>IFERROR(VLOOKUP(Banco_Nacion[[#This Row],[responsable]],Clientes_Proveedores[[Ruc / Dni]:[Razon Social]],2,0),"")</f>
        <v>INDUSTRIA DEL REENCAUCHE S.A.C.</v>
      </c>
      <c r="W418" s="19" t="str">
        <f>IF(Banco_Nacion[[#This Row],[tipo_mov]]="INGRESO",Banco_Nacion[[#This Row],[serie]]&amp;Banco_Nacion[[#This Row],[numero]]&amp;Banco_Nacion[[#This Row],[responsable]]&amp;Banco_Nacion[[#This Row],[monto]],"")</f>
        <v>FF0110120498459791170</v>
      </c>
      <c r="X418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79378745</v>
      </c>
      <c r="Y418" s="3" t="str">
        <f>IFERROR(VLOOKUP(Banco_Nacion[[#This Row],[serie]]&amp;Banco_Nacion[[#This Row],[numero]]&amp;Banco_Nacion[[#This Row],[responsable]],[2]!Provision_CXC[[ID CXP]:[DETRACCION]],47,0),"")</f>
        <v/>
      </c>
      <c r="Z418" s="3"/>
      <c r="AA418" s="24" t="str">
        <f>IF(Banco_Nacion[[#This Row],[fecha]]&gt;0,TEXT(Banco_Nacion[[#This Row],[fecha]],"mmmm"),0)</f>
        <v>Junio</v>
      </c>
    </row>
    <row r="419" spans="1:27" x14ac:dyDescent="0.3">
      <c r="A419" s="2">
        <f>IF(Banco_Nacion[[#This Row],[tipo_registro]]="R",COUNTIFS($C$1:$C418,"R")+1,"")</f>
        <v>418</v>
      </c>
      <c r="B419" s="19" t="str">
        <f t="shared" si="30"/>
        <v>B-Banco de la Nacion</v>
      </c>
      <c r="C419" s="3" t="s">
        <v>1330</v>
      </c>
      <c r="D419" s="14">
        <v>45817</v>
      </c>
      <c r="E419" s="5">
        <v>20498459791</v>
      </c>
      <c r="F419" s="5" t="s">
        <v>1303</v>
      </c>
      <c r="G419" s="6" t="s">
        <v>425</v>
      </c>
      <c r="H419" s="6" t="s">
        <v>68</v>
      </c>
      <c r="I419" s="6" t="s">
        <v>1784</v>
      </c>
      <c r="J419" s="6">
        <v>14</v>
      </c>
      <c r="K419" s="7" t="s">
        <v>5232</v>
      </c>
      <c r="L419" s="8">
        <v>79378744</v>
      </c>
      <c r="M419" s="8" t="str">
        <f t="shared" si="31"/>
        <v>PEN</v>
      </c>
      <c r="N419" s="13"/>
      <c r="O419" s="13">
        <v>200</v>
      </c>
      <c r="P419" s="3">
        <f t="shared" si="32"/>
        <v>200</v>
      </c>
      <c r="Q419" s="3">
        <f t="shared" si="33"/>
        <v>0</v>
      </c>
      <c r="R419" s="3">
        <f t="shared" si="34"/>
        <v>46586.220000000008</v>
      </c>
      <c r="S419" s="24" t="s">
        <v>1334</v>
      </c>
      <c r="T419" s="24" t="s">
        <v>1334</v>
      </c>
      <c r="U419" s="3"/>
      <c r="V419" s="19" t="str">
        <f>IFERROR(VLOOKUP(Banco_Nacion[[#This Row],[responsable]],Clientes_Proveedores[[Ruc / Dni]:[Razon Social]],2,0),"")</f>
        <v>INDUSTRIA DEL REENCAUCHE S.A.C.</v>
      </c>
      <c r="W419" s="19" t="str">
        <f>IF(Banco_Nacion[[#This Row],[tipo_mov]]="INGRESO",Banco_Nacion[[#This Row],[serie]]&amp;Banco_Nacion[[#This Row],[numero]]&amp;Banco_Nacion[[#This Row],[responsable]]&amp;Banco_Nacion[[#This Row],[monto]],"")</f>
        <v>FF011420498459791200</v>
      </c>
      <c r="X419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79378744</v>
      </c>
      <c r="Y419" s="3" t="str">
        <f>IFERROR(VLOOKUP(Banco_Nacion[[#This Row],[serie]]&amp;Banco_Nacion[[#This Row],[numero]]&amp;Banco_Nacion[[#This Row],[responsable]],[2]!Provision_CXC[[ID CXP]:[DETRACCION]],47,0),"")</f>
        <v/>
      </c>
      <c r="Z419" s="3"/>
      <c r="AA419" s="24" t="str">
        <f>IF(Banco_Nacion[[#This Row],[fecha]]&gt;0,TEXT(Banco_Nacion[[#This Row],[fecha]],"mmmm"),0)</f>
        <v>Junio</v>
      </c>
    </row>
    <row r="420" spans="1:27" x14ac:dyDescent="0.3">
      <c r="A420" s="2">
        <f>IF(Banco_Nacion[[#This Row],[tipo_registro]]="R",COUNTIFS($C$1:$C419,"R")+1,"")</f>
        <v>419</v>
      </c>
      <c r="B420" s="19" t="str">
        <f t="shared" si="30"/>
        <v>B-Banco de la Nacion</v>
      </c>
      <c r="C420" s="3" t="s">
        <v>1330</v>
      </c>
      <c r="D420" s="14">
        <v>45817</v>
      </c>
      <c r="E420" s="5">
        <v>20417573705</v>
      </c>
      <c r="F420" s="5" t="s">
        <v>1303</v>
      </c>
      <c r="G420" s="6" t="s">
        <v>425</v>
      </c>
      <c r="H420" s="6" t="s">
        <v>68</v>
      </c>
      <c r="I420" s="6" t="s">
        <v>1784</v>
      </c>
      <c r="J420" s="6">
        <v>90</v>
      </c>
      <c r="K420" s="7" t="s">
        <v>5232</v>
      </c>
      <c r="L420" s="8">
        <v>79315089</v>
      </c>
      <c r="M420" s="8" t="str">
        <f t="shared" si="31"/>
        <v>PEN</v>
      </c>
      <c r="N420" s="13"/>
      <c r="O420" s="13">
        <v>554</v>
      </c>
      <c r="P420" s="3">
        <f t="shared" si="32"/>
        <v>554</v>
      </c>
      <c r="Q420" s="3">
        <f t="shared" si="33"/>
        <v>0</v>
      </c>
      <c r="R420" s="3">
        <f t="shared" si="34"/>
        <v>47140.220000000008</v>
      </c>
      <c r="S420" s="24" t="s">
        <v>1334</v>
      </c>
      <c r="T420" s="24" t="s">
        <v>1334</v>
      </c>
      <c r="U420" s="3"/>
      <c r="V420" s="19" t="str">
        <f>IFERROR(VLOOKUP(Banco_Nacion[[#This Row],[responsable]],Clientes_Proveedores[[Ruc / Dni]:[Razon Social]],2,0),"")</f>
        <v>TECNO FAST S.A.C.</v>
      </c>
      <c r="W420" s="19" t="str">
        <f>IF(Banco_Nacion[[#This Row],[tipo_mov]]="INGRESO",Banco_Nacion[[#This Row],[serie]]&amp;Banco_Nacion[[#This Row],[numero]]&amp;Banco_Nacion[[#This Row],[responsable]]&amp;Banco_Nacion[[#This Row],[monto]],"")</f>
        <v>FF019020417573705554</v>
      </c>
      <c r="X420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79315089</v>
      </c>
      <c r="Y420" s="3" t="str">
        <f>IFERROR(VLOOKUP(Banco_Nacion[[#This Row],[serie]]&amp;Banco_Nacion[[#This Row],[numero]]&amp;Banco_Nacion[[#This Row],[responsable]],[2]!Provision_CXC[[ID CXP]:[DETRACCION]],47,0),"")</f>
        <v/>
      </c>
      <c r="Z420" s="3"/>
      <c r="AA420" s="24" t="str">
        <f>IF(Banco_Nacion[[#This Row],[fecha]]&gt;0,TEXT(Banco_Nacion[[#This Row],[fecha]],"mmmm"),0)</f>
        <v>Junio</v>
      </c>
    </row>
    <row r="421" spans="1:27" x14ac:dyDescent="0.3">
      <c r="A421" s="2">
        <f>IF(Banco_Nacion[[#This Row],[tipo_registro]]="R",COUNTIFS($C$1:$C420,"R")+1,"")</f>
        <v>420</v>
      </c>
      <c r="B421" s="19" t="str">
        <f t="shared" si="30"/>
        <v>B-Banco de la Nacion</v>
      </c>
      <c r="C421" s="3" t="s">
        <v>1330</v>
      </c>
      <c r="D421" s="14">
        <v>45818</v>
      </c>
      <c r="E421" s="5">
        <v>20402885549</v>
      </c>
      <c r="F421" s="5" t="s">
        <v>1303</v>
      </c>
      <c r="G421" s="6" t="s">
        <v>425</v>
      </c>
      <c r="H421" s="6" t="s">
        <v>68</v>
      </c>
      <c r="I421" s="6" t="s">
        <v>3302</v>
      </c>
      <c r="J421" s="6">
        <v>54</v>
      </c>
      <c r="K421" s="7" t="s">
        <v>5232</v>
      </c>
      <c r="L421" s="8">
        <v>79783697</v>
      </c>
      <c r="M421" s="8" t="str">
        <f t="shared" si="31"/>
        <v>PEN</v>
      </c>
      <c r="N421" s="13"/>
      <c r="O421" s="13">
        <v>795</v>
      </c>
      <c r="P421" s="3">
        <f t="shared" si="32"/>
        <v>795</v>
      </c>
      <c r="Q421" s="3">
        <f t="shared" si="33"/>
        <v>0</v>
      </c>
      <c r="R421" s="3">
        <f t="shared" si="34"/>
        <v>47935.220000000008</v>
      </c>
      <c r="S421" s="24" t="s">
        <v>1334</v>
      </c>
      <c r="T421" s="24" t="s">
        <v>1334</v>
      </c>
      <c r="U421" s="3"/>
      <c r="V421" s="19" t="str">
        <f>IFERROR(VLOOKUP(Banco_Nacion[[#This Row],[responsable]],Clientes_Proveedores[[Ruc / Dni]:[Razon Social]],2,0),"")</f>
        <v>EMPRESA SIDERURGICA DEL PERU S.A.A.</v>
      </c>
      <c r="W421" s="19" t="str">
        <f>IF(Banco_Nacion[[#This Row],[tipo_mov]]="INGRESO",Banco_Nacion[[#This Row],[serie]]&amp;Banco_Nacion[[#This Row],[numero]]&amp;Banco_Nacion[[#This Row],[responsable]]&amp;Banco_Nacion[[#This Row],[monto]],"")</f>
        <v>FF025420402885549795</v>
      </c>
      <c r="X421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79783697</v>
      </c>
      <c r="Y421" s="3" t="str">
        <f>IFERROR(VLOOKUP(Banco_Nacion[[#This Row],[serie]]&amp;Banco_Nacion[[#This Row],[numero]]&amp;Banco_Nacion[[#This Row],[responsable]],[2]!Provision_CXC[[ID CXP]:[DETRACCION]],47,0),"")</f>
        <v/>
      </c>
      <c r="Z421" s="3"/>
      <c r="AA421" s="24" t="str">
        <f>IF(Banco_Nacion[[#This Row],[fecha]]&gt;0,TEXT(Banco_Nacion[[#This Row],[fecha]],"mmmm"),0)</f>
        <v>Junio</v>
      </c>
    </row>
    <row r="422" spans="1:27" x14ac:dyDescent="0.3">
      <c r="A422" s="2">
        <f>IF(Banco_Nacion[[#This Row],[tipo_registro]]="R",COUNTIFS($C$1:$C421,"R")+1,"")</f>
        <v>421</v>
      </c>
      <c r="B422" s="19" t="str">
        <f t="shared" si="30"/>
        <v>B-Banco de la Nacion</v>
      </c>
      <c r="C422" s="3" t="s">
        <v>1330</v>
      </c>
      <c r="D422" s="14">
        <v>45819</v>
      </c>
      <c r="E422" s="5">
        <v>20100055237</v>
      </c>
      <c r="F422" s="5" t="s">
        <v>1303</v>
      </c>
      <c r="G422" s="6" t="s">
        <v>425</v>
      </c>
      <c r="H422" s="6" t="s">
        <v>68</v>
      </c>
      <c r="I422" s="6" t="s">
        <v>1784</v>
      </c>
      <c r="J422" s="6">
        <v>104</v>
      </c>
      <c r="K422" s="7" t="s">
        <v>5232</v>
      </c>
      <c r="L422" s="8">
        <v>80011315</v>
      </c>
      <c r="M422" s="8" t="str">
        <f t="shared" si="31"/>
        <v>PEN</v>
      </c>
      <c r="N422" s="13"/>
      <c r="O422" s="13">
        <v>113</v>
      </c>
      <c r="P422" s="3">
        <f t="shared" si="32"/>
        <v>113</v>
      </c>
      <c r="Q422" s="3">
        <f t="shared" si="33"/>
        <v>0</v>
      </c>
      <c r="R422" s="3">
        <f t="shared" si="34"/>
        <v>48048.220000000008</v>
      </c>
      <c r="S422" s="24" t="s">
        <v>1334</v>
      </c>
      <c r="T422" s="24" t="s">
        <v>1334</v>
      </c>
      <c r="U422" s="3"/>
      <c r="V422" s="19" t="str">
        <f>IFERROR(VLOOKUP(Banco_Nacion[[#This Row],[responsable]],Clientes_Proveedores[[Ruc / Dni]:[Razon Social]],2,0),"")</f>
        <v>ALICORP SAA</v>
      </c>
      <c r="W422" s="19" t="str">
        <f>IF(Banco_Nacion[[#This Row],[tipo_mov]]="INGRESO",Banco_Nacion[[#This Row],[serie]]&amp;Banco_Nacion[[#This Row],[numero]]&amp;Banco_Nacion[[#This Row],[responsable]]&amp;Banco_Nacion[[#This Row],[monto]],"")</f>
        <v>FF0110420100055237113</v>
      </c>
      <c r="X422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80011315</v>
      </c>
      <c r="Y422" s="3" t="str">
        <f>IFERROR(VLOOKUP(Banco_Nacion[[#This Row],[serie]]&amp;Banco_Nacion[[#This Row],[numero]]&amp;Banco_Nacion[[#This Row],[responsable]],[2]!Provision_CXC[[ID CXP]:[DETRACCION]],47,0),"")</f>
        <v/>
      </c>
      <c r="Z422" s="3"/>
      <c r="AA422" s="24" t="str">
        <f>IF(Banco_Nacion[[#This Row],[fecha]]&gt;0,TEXT(Banco_Nacion[[#This Row],[fecha]],"mmmm"),0)</f>
        <v>Junio</v>
      </c>
    </row>
    <row r="423" spans="1:27" x14ac:dyDescent="0.3">
      <c r="A423" s="2">
        <f>IF(Banco_Nacion[[#This Row],[tipo_registro]]="R",COUNTIFS($C$1:$C422,"R")+1,"")</f>
        <v>422</v>
      </c>
      <c r="B423" s="19" t="str">
        <f t="shared" si="30"/>
        <v>B-Banco de la Nacion</v>
      </c>
      <c r="C423" s="3" t="s">
        <v>1330</v>
      </c>
      <c r="D423" s="14">
        <v>45819</v>
      </c>
      <c r="E423" s="5">
        <v>20141637941</v>
      </c>
      <c r="F423" s="5" t="s">
        <v>1303</v>
      </c>
      <c r="G423" s="6" t="s">
        <v>425</v>
      </c>
      <c r="H423" s="6" t="s">
        <v>68</v>
      </c>
      <c r="I423" s="6" t="s">
        <v>1784</v>
      </c>
      <c r="J423" s="6">
        <v>79</v>
      </c>
      <c r="K423" s="7" t="s">
        <v>5232</v>
      </c>
      <c r="L423" s="8">
        <v>79984520</v>
      </c>
      <c r="M423" s="8" t="str">
        <f t="shared" si="31"/>
        <v>PEN</v>
      </c>
      <c r="N423" s="13"/>
      <c r="O423" s="13">
        <v>258</v>
      </c>
      <c r="P423" s="3">
        <f t="shared" si="32"/>
        <v>258</v>
      </c>
      <c r="Q423" s="3">
        <f t="shared" si="33"/>
        <v>0</v>
      </c>
      <c r="R423" s="3">
        <f t="shared" si="34"/>
        <v>48306.220000000008</v>
      </c>
      <c r="S423" s="24" t="s">
        <v>1334</v>
      </c>
      <c r="T423" s="24" t="s">
        <v>1334</v>
      </c>
      <c r="U423" s="3"/>
      <c r="V423" s="19" t="str">
        <f>IFERROR(VLOOKUP(Banco_Nacion[[#This Row],[responsable]],Clientes_Proveedores[[Ruc / Dni]:[Razon Social]],2,0),"")</f>
        <v>UNIVERSIDAD CATOLICA DE SANTA MARIA</v>
      </c>
      <c r="W423" s="19" t="str">
        <f>IF(Banco_Nacion[[#This Row],[tipo_mov]]="INGRESO",Banco_Nacion[[#This Row],[serie]]&amp;Banco_Nacion[[#This Row],[numero]]&amp;Banco_Nacion[[#This Row],[responsable]]&amp;Banco_Nacion[[#This Row],[monto]],"")</f>
        <v>FF017920141637941258</v>
      </c>
      <c r="X423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79984520</v>
      </c>
      <c r="Y423" s="3" t="str">
        <f>IFERROR(VLOOKUP(Banco_Nacion[[#This Row],[serie]]&amp;Banco_Nacion[[#This Row],[numero]]&amp;Banco_Nacion[[#This Row],[responsable]],[2]!Provision_CXC[[ID CXP]:[DETRACCION]],47,0),"")</f>
        <v/>
      </c>
      <c r="Z423" s="3"/>
      <c r="AA423" s="24" t="str">
        <f>IF(Banco_Nacion[[#This Row],[fecha]]&gt;0,TEXT(Banco_Nacion[[#This Row],[fecha]],"mmmm"),0)</f>
        <v>Junio</v>
      </c>
    </row>
    <row r="424" spans="1:27" x14ac:dyDescent="0.3">
      <c r="A424" s="2">
        <f>IF(Banco_Nacion[[#This Row],[tipo_registro]]="R",COUNTIFS($C$1:$C423,"R")+1,"")</f>
        <v>423</v>
      </c>
      <c r="B424" s="19" t="str">
        <f t="shared" si="30"/>
        <v>B-Banco de la Nacion</v>
      </c>
      <c r="C424" s="3" t="s">
        <v>1330</v>
      </c>
      <c r="D424" s="14">
        <v>45819</v>
      </c>
      <c r="E424" s="5">
        <v>20141637941</v>
      </c>
      <c r="F424" s="5" t="s">
        <v>1303</v>
      </c>
      <c r="G424" s="6" t="s">
        <v>425</v>
      </c>
      <c r="H424" s="6" t="s">
        <v>68</v>
      </c>
      <c r="I424" s="6" t="s">
        <v>1784</v>
      </c>
      <c r="J424" s="6">
        <v>93</v>
      </c>
      <c r="K424" s="7" t="s">
        <v>5232</v>
      </c>
      <c r="L424" s="8">
        <v>79984519</v>
      </c>
      <c r="M424" s="8" t="str">
        <f t="shared" si="31"/>
        <v>PEN</v>
      </c>
      <c r="N424" s="13"/>
      <c r="O424" s="13">
        <v>258</v>
      </c>
      <c r="P424" s="3">
        <f t="shared" si="32"/>
        <v>258</v>
      </c>
      <c r="Q424" s="3">
        <f t="shared" si="33"/>
        <v>0</v>
      </c>
      <c r="R424" s="3">
        <f t="shared" si="34"/>
        <v>48564.220000000008</v>
      </c>
      <c r="S424" s="24" t="s">
        <v>1334</v>
      </c>
      <c r="T424" s="24" t="s">
        <v>1334</v>
      </c>
      <c r="U424" s="3"/>
      <c r="V424" s="19" t="str">
        <f>IFERROR(VLOOKUP(Banco_Nacion[[#This Row],[responsable]],Clientes_Proveedores[[Ruc / Dni]:[Razon Social]],2,0),"")</f>
        <v>UNIVERSIDAD CATOLICA DE SANTA MARIA</v>
      </c>
      <c r="W424" s="19" t="str">
        <f>IF(Banco_Nacion[[#This Row],[tipo_mov]]="INGRESO",Banco_Nacion[[#This Row],[serie]]&amp;Banco_Nacion[[#This Row],[numero]]&amp;Banco_Nacion[[#This Row],[responsable]]&amp;Banco_Nacion[[#This Row],[monto]],"")</f>
        <v>FF019320141637941258</v>
      </c>
      <c r="X424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79984519</v>
      </c>
      <c r="Y424" s="3" t="str">
        <f>IFERROR(VLOOKUP(Banco_Nacion[[#This Row],[serie]]&amp;Banco_Nacion[[#This Row],[numero]]&amp;Banco_Nacion[[#This Row],[responsable]],[2]!Provision_CXC[[ID CXP]:[DETRACCION]],47,0),"")</f>
        <v/>
      </c>
      <c r="Z424" s="3"/>
      <c r="AA424" s="24" t="str">
        <f>IF(Banco_Nacion[[#This Row],[fecha]]&gt;0,TEXT(Banco_Nacion[[#This Row],[fecha]],"mmmm"),0)</f>
        <v>Junio</v>
      </c>
    </row>
    <row r="425" spans="1:27" x14ac:dyDescent="0.3">
      <c r="A425" s="2">
        <f>IF(Banco_Nacion[[#This Row],[tipo_registro]]="R",COUNTIFS($C$1:$C424,"R")+1,"")</f>
        <v>424</v>
      </c>
      <c r="B425" s="19" t="str">
        <f t="shared" si="30"/>
        <v>B-Banco de la Nacion</v>
      </c>
      <c r="C425" s="3" t="s">
        <v>1330</v>
      </c>
      <c r="D425" s="14">
        <v>45824</v>
      </c>
      <c r="E425" s="5">
        <v>20523573226</v>
      </c>
      <c r="F425" s="5" t="s">
        <v>1303</v>
      </c>
      <c r="G425" s="6" t="s">
        <v>425</v>
      </c>
      <c r="H425" s="6" t="s">
        <v>68</v>
      </c>
      <c r="I425" s="6" t="s">
        <v>1784</v>
      </c>
      <c r="J425" s="6">
        <v>102</v>
      </c>
      <c r="K425" s="7" t="s">
        <v>5232</v>
      </c>
      <c r="L425" s="8">
        <v>80263365</v>
      </c>
      <c r="M425" s="8" t="str">
        <f t="shared" si="31"/>
        <v>PEN</v>
      </c>
      <c r="N425" s="13"/>
      <c r="O425" s="13">
        <v>136</v>
      </c>
      <c r="P425" s="3">
        <f t="shared" si="32"/>
        <v>136</v>
      </c>
      <c r="Q425" s="3">
        <f t="shared" si="33"/>
        <v>0</v>
      </c>
      <c r="R425" s="3">
        <f t="shared" si="34"/>
        <v>48700.220000000008</v>
      </c>
      <c r="S425" s="24" t="s">
        <v>1334</v>
      </c>
      <c r="T425" s="24" t="s">
        <v>1334</v>
      </c>
      <c r="U425" s="3"/>
      <c r="V425" s="19" t="str">
        <f>IFERROR(VLOOKUP(Banco_Nacion[[#This Row],[responsable]],Clientes_Proveedores[[Ruc / Dni]:[Razon Social]],2,0),"")</f>
        <v>CBB PERU S.A.</v>
      </c>
      <c r="W425" s="19" t="str">
        <f>IF(Banco_Nacion[[#This Row],[tipo_mov]]="INGRESO",Banco_Nacion[[#This Row],[serie]]&amp;Banco_Nacion[[#This Row],[numero]]&amp;Banco_Nacion[[#This Row],[responsable]]&amp;Banco_Nacion[[#This Row],[monto]],"")</f>
        <v>FF0110220523573226136</v>
      </c>
      <c r="X425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80263365</v>
      </c>
      <c r="Y425" s="3" t="str">
        <f>IFERROR(VLOOKUP(Banco_Nacion[[#This Row],[serie]]&amp;Banco_Nacion[[#This Row],[numero]]&amp;Banco_Nacion[[#This Row],[responsable]],[2]!Provision_CXC[[ID CXP]:[DETRACCION]],47,0),"")</f>
        <v/>
      </c>
      <c r="Z425" s="3"/>
      <c r="AA425" s="24" t="str">
        <f>IF(Banco_Nacion[[#This Row],[fecha]]&gt;0,TEXT(Banco_Nacion[[#This Row],[fecha]],"mmmm"),0)</f>
        <v>Junio</v>
      </c>
    </row>
    <row r="426" spans="1:27" x14ac:dyDescent="0.3">
      <c r="A426" s="2">
        <f>IF(Banco_Nacion[[#This Row],[tipo_registro]]="R",COUNTIFS($C$1:$C425,"R")+1,"")</f>
        <v>425</v>
      </c>
      <c r="B426" s="19" t="str">
        <f t="shared" si="30"/>
        <v>B-Banco de la Nacion</v>
      </c>
      <c r="C426" s="3" t="s">
        <v>1330</v>
      </c>
      <c r="D426" s="14">
        <v>45824</v>
      </c>
      <c r="E426" s="5">
        <v>20607388416</v>
      </c>
      <c r="F426" s="5" t="s">
        <v>1303</v>
      </c>
      <c r="G426" s="6" t="s">
        <v>425</v>
      </c>
      <c r="H426" s="6" t="s">
        <v>68</v>
      </c>
      <c r="I426" s="6" t="s">
        <v>3381</v>
      </c>
      <c r="J426" s="6">
        <v>32</v>
      </c>
      <c r="K426" s="7" t="s">
        <v>5232</v>
      </c>
      <c r="L426" s="8">
        <v>80257885</v>
      </c>
      <c r="M426" s="8" t="str">
        <f t="shared" si="31"/>
        <v>PEN</v>
      </c>
      <c r="N426" s="13"/>
      <c r="O426" s="13">
        <v>120</v>
      </c>
      <c r="P426" s="3">
        <f t="shared" si="32"/>
        <v>120</v>
      </c>
      <c r="Q426" s="3">
        <f t="shared" si="33"/>
        <v>0</v>
      </c>
      <c r="R426" s="3">
        <f t="shared" si="34"/>
        <v>48820.220000000008</v>
      </c>
      <c r="S426" s="24" t="s">
        <v>1334</v>
      </c>
      <c r="T426" s="24" t="s">
        <v>1334</v>
      </c>
      <c r="U426" s="3"/>
      <c r="V426" s="19" t="str">
        <f>IFERROR(VLOOKUP(Banco_Nacion[[#This Row],[responsable]],Clientes_Proveedores[[Ruc / Dni]:[Razon Social]],2,0),"")</f>
        <v>ALEACIONES FERROSAS Y METALICAS S.A.C.</v>
      </c>
      <c r="W426" s="19" t="str">
        <f>IF(Banco_Nacion[[#This Row],[tipo_mov]]="INGRESO",Banco_Nacion[[#This Row],[serie]]&amp;Banco_Nacion[[#This Row],[numero]]&amp;Banco_Nacion[[#This Row],[responsable]]&amp;Banco_Nacion[[#This Row],[monto]],"")</f>
        <v>FF053220607388416120</v>
      </c>
      <c r="X426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80257885</v>
      </c>
      <c r="Y426" s="3" t="str">
        <f>IFERROR(VLOOKUP(Banco_Nacion[[#This Row],[serie]]&amp;Banco_Nacion[[#This Row],[numero]]&amp;Banco_Nacion[[#This Row],[responsable]],[2]!Provision_CXC[[ID CXP]:[DETRACCION]],47,0),"")</f>
        <v/>
      </c>
      <c r="Z426" s="3"/>
      <c r="AA426" s="24" t="str">
        <f>IF(Banco_Nacion[[#This Row],[fecha]]&gt;0,TEXT(Banco_Nacion[[#This Row],[fecha]],"mmmm"),0)</f>
        <v>Junio</v>
      </c>
    </row>
    <row r="427" spans="1:27" x14ac:dyDescent="0.3">
      <c r="A427" s="2">
        <f>IF(Banco_Nacion[[#This Row],[tipo_registro]]="R",COUNTIFS($C$1:$C426,"R")+1,"")</f>
        <v>426</v>
      </c>
      <c r="B427" s="19" t="str">
        <f t="shared" si="30"/>
        <v>B-Banco de la Nacion</v>
      </c>
      <c r="C427" s="3" t="s">
        <v>1330</v>
      </c>
      <c r="D427" s="14">
        <v>45824</v>
      </c>
      <c r="E427" s="5">
        <v>20607388416</v>
      </c>
      <c r="F427" s="5" t="s">
        <v>1303</v>
      </c>
      <c r="G427" s="6" t="s">
        <v>425</v>
      </c>
      <c r="H427" s="6" t="s">
        <v>68</v>
      </c>
      <c r="I427" s="6" t="s">
        <v>3381</v>
      </c>
      <c r="J427" s="6">
        <v>31</v>
      </c>
      <c r="K427" s="7" t="s">
        <v>5232</v>
      </c>
      <c r="L427" s="8">
        <v>80257884</v>
      </c>
      <c r="M427" s="8" t="str">
        <f t="shared" si="31"/>
        <v>PEN</v>
      </c>
      <c r="N427" s="13"/>
      <c r="O427" s="13">
        <v>252</v>
      </c>
      <c r="P427" s="3">
        <f t="shared" si="32"/>
        <v>252</v>
      </c>
      <c r="Q427" s="3">
        <f t="shared" si="33"/>
        <v>0</v>
      </c>
      <c r="R427" s="3">
        <f t="shared" si="34"/>
        <v>49072.220000000008</v>
      </c>
      <c r="S427" s="24" t="s">
        <v>1334</v>
      </c>
      <c r="T427" s="24" t="s">
        <v>1334</v>
      </c>
      <c r="U427" s="3"/>
      <c r="V427" s="19" t="str">
        <f>IFERROR(VLOOKUP(Banco_Nacion[[#This Row],[responsable]],Clientes_Proveedores[[Ruc / Dni]:[Razon Social]],2,0),"")</f>
        <v>ALEACIONES FERROSAS Y METALICAS S.A.C.</v>
      </c>
      <c r="W427" s="19" t="str">
        <f>IF(Banco_Nacion[[#This Row],[tipo_mov]]="INGRESO",Banco_Nacion[[#This Row],[serie]]&amp;Banco_Nacion[[#This Row],[numero]]&amp;Banco_Nacion[[#This Row],[responsable]]&amp;Banco_Nacion[[#This Row],[monto]],"")</f>
        <v>FF053120607388416252</v>
      </c>
      <c r="X427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80257884</v>
      </c>
      <c r="Y427" s="3" t="str">
        <f>IFERROR(VLOOKUP(Banco_Nacion[[#This Row],[serie]]&amp;Banco_Nacion[[#This Row],[numero]]&amp;Banco_Nacion[[#This Row],[responsable]],[2]!Provision_CXC[[ID CXP]:[DETRACCION]],47,0),"")</f>
        <v/>
      </c>
      <c r="Z427" s="3"/>
      <c r="AA427" s="24" t="str">
        <f>IF(Banco_Nacion[[#This Row],[fecha]]&gt;0,TEXT(Banco_Nacion[[#This Row],[fecha]],"mmmm"),0)</f>
        <v>Junio</v>
      </c>
    </row>
    <row r="428" spans="1:27" x14ac:dyDescent="0.3">
      <c r="A428" s="2">
        <f>IF(Banco_Nacion[[#This Row],[tipo_registro]]="R",COUNTIFS($C$1:$C427,"R")+1,"")</f>
        <v>427</v>
      </c>
      <c r="B428" s="19" t="str">
        <f t="shared" si="30"/>
        <v>B-Banco de la Nacion</v>
      </c>
      <c r="C428" s="3" t="s">
        <v>1330</v>
      </c>
      <c r="D428" s="14">
        <v>45824</v>
      </c>
      <c r="E428" s="5">
        <v>20607388416</v>
      </c>
      <c r="F428" s="5" t="s">
        <v>1303</v>
      </c>
      <c r="G428" s="6" t="s">
        <v>425</v>
      </c>
      <c r="H428" s="6" t="s">
        <v>68</v>
      </c>
      <c r="I428" s="6" t="s">
        <v>3381</v>
      </c>
      <c r="J428" s="6">
        <v>30</v>
      </c>
      <c r="K428" s="7" t="s">
        <v>5232</v>
      </c>
      <c r="L428" s="8">
        <v>80257883</v>
      </c>
      <c r="M428" s="8" t="str">
        <f t="shared" si="31"/>
        <v>PEN</v>
      </c>
      <c r="N428" s="13"/>
      <c r="O428" s="13">
        <v>180</v>
      </c>
      <c r="P428" s="3">
        <f t="shared" si="32"/>
        <v>180</v>
      </c>
      <c r="Q428" s="3">
        <f t="shared" si="33"/>
        <v>0</v>
      </c>
      <c r="R428" s="3">
        <f t="shared" si="34"/>
        <v>49252.220000000008</v>
      </c>
      <c r="S428" s="24" t="s">
        <v>1334</v>
      </c>
      <c r="T428" s="24" t="s">
        <v>1334</v>
      </c>
      <c r="U428" s="3"/>
      <c r="V428" s="19" t="str">
        <f>IFERROR(VLOOKUP(Banco_Nacion[[#This Row],[responsable]],Clientes_Proveedores[[Ruc / Dni]:[Razon Social]],2,0),"")</f>
        <v>ALEACIONES FERROSAS Y METALICAS S.A.C.</v>
      </c>
      <c r="W428" s="19" t="str">
        <f>IF(Banco_Nacion[[#This Row],[tipo_mov]]="INGRESO",Banco_Nacion[[#This Row],[serie]]&amp;Banco_Nacion[[#This Row],[numero]]&amp;Banco_Nacion[[#This Row],[responsable]]&amp;Banco_Nacion[[#This Row],[monto]],"")</f>
        <v>FF053020607388416180</v>
      </c>
      <c r="X428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80257883</v>
      </c>
      <c r="Y428" s="3" t="str">
        <f>IFERROR(VLOOKUP(Banco_Nacion[[#This Row],[serie]]&amp;Banco_Nacion[[#This Row],[numero]]&amp;Banco_Nacion[[#This Row],[responsable]],[2]!Provision_CXC[[ID CXP]:[DETRACCION]],47,0),"")</f>
        <v/>
      </c>
      <c r="Z428" s="3"/>
      <c r="AA428" s="24" t="str">
        <f>IF(Banco_Nacion[[#This Row],[fecha]]&gt;0,TEXT(Banco_Nacion[[#This Row],[fecha]],"mmmm"),0)</f>
        <v>Junio</v>
      </c>
    </row>
    <row r="429" spans="1:27" x14ac:dyDescent="0.3">
      <c r="A429" s="2">
        <f>IF(Banco_Nacion[[#This Row],[tipo_registro]]="R",COUNTIFS($C$1:$C428,"R")+1,"")</f>
        <v>428</v>
      </c>
      <c r="B429" s="19" t="str">
        <f t="shared" si="30"/>
        <v>B-Banco de la Nacion</v>
      </c>
      <c r="C429" s="3" t="s">
        <v>1330</v>
      </c>
      <c r="D429" s="14">
        <v>45824</v>
      </c>
      <c r="E429" s="5">
        <v>20607388416</v>
      </c>
      <c r="F429" s="5" t="s">
        <v>1303</v>
      </c>
      <c r="G429" s="6" t="s">
        <v>425</v>
      </c>
      <c r="H429" s="6" t="s">
        <v>68</v>
      </c>
      <c r="I429" s="6" t="s">
        <v>3381</v>
      </c>
      <c r="J429" s="6">
        <v>28</v>
      </c>
      <c r="K429" s="7" t="s">
        <v>5232</v>
      </c>
      <c r="L429" s="8">
        <v>80257882</v>
      </c>
      <c r="M429" s="8" t="str">
        <f t="shared" si="31"/>
        <v>PEN</v>
      </c>
      <c r="N429" s="13"/>
      <c r="O429" s="13">
        <v>143</v>
      </c>
      <c r="P429" s="3">
        <f t="shared" si="32"/>
        <v>143</v>
      </c>
      <c r="Q429" s="3">
        <f t="shared" si="33"/>
        <v>0</v>
      </c>
      <c r="R429" s="3">
        <f t="shared" si="34"/>
        <v>49395.220000000008</v>
      </c>
      <c r="S429" s="24" t="s">
        <v>1334</v>
      </c>
      <c r="T429" s="24" t="s">
        <v>1334</v>
      </c>
      <c r="U429" s="3"/>
      <c r="V429" s="19" t="str">
        <f>IFERROR(VLOOKUP(Banco_Nacion[[#This Row],[responsable]],Clientes_Proveedores[[Ruc / Dni]:[Razon Social]],2,0),"")</f>
        <v>ALEACIONES FERROSAS Y METALICAS S.A.C.</v>
      </c>
      <c r="W429" s="19" t="str">
        <f>IF(Banco_Nacion[[#This Row],[tipo_mov]]="INGRESO",Banco_Nacion[[#This Row],[serie]]&amp;Banco_Nacion[[#This Row],[numero]]&amp;Banco_Nacion[[#This Row],[responsable]]&amp;Banco_Nacion[[#This Row],[monto]],"")</f>
        <v>FF052820607388416143</v>
      </c>
      <c r="X429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80257882</v>
      </c>
      <c r="Y429" s="3" t="str">
        <f>IFERROR(VLOOKUP(Banco_Nacion[[#This Row],[serie]]&amp;Banco_Nacion[[#This Row],[numero]]&amp;Banco_Nacion[[#This Row],[responsable]],[2]!Provision_CXC[[ID CXP]:[DETRACCION]],47,0),"")</f>
        <v/>
      </c>
      <c r="Z429" s="3"/>
      <c r="AA429" s="24" t="str">
        <f>IF(Banco_Nacion[[#This Row],[fecha]]&gt;0,TEXT(Banco_Nacion[[#This Row],[fecha]],"mmmm"),0)</f>
        <v>Junio</v>
      </c>
    </row>
    <row r="430" spans="1:27" x14ac:dyDescent="0.3">
      <c r="A430" s="2">
        <f>IF(Banco_Nacion[[#This Row],[tipo_registro]]="R",COUNTIFS($C$1:$C429,"R")+1,"")</f>
        <v>429</v>
      </c>
      <c r="B430" s="19" t="str">
        <f t="shared" si="30"/>
        <v>B-Banco de la Nacion</v>
      </c>
      <c r="C430" s="3" t="s">
        <v>1330</v>
      </c>
      <c r="D430" s="14">
        <v>45827</v>
      </c>
      <c r="E430" s="5">
        <v>20100055237</v>
      </c>
      <c r="F430" s="5" t="s">
        <v>1303</v>
      </c>
      <c r="G430" s="6" t="s">
        <v>425</v>
      </c>
      <c r="H430" s="6" t="s">
        <v>68</v>
      </c>
      <c r="I430" s="6" t="s">
        <v>1784</v>
      </c>
      <c r="J430" s="6">
        <v>120</v>
      </c>
      <c r="K430" s="7" t="s">
        <v>5232</v>
      </c>
      <c r="L430" s="8">
        <v>80436274</v>
      </c>
      <c r="M430" s="8" t="str">
        <f t="shared" si="31"/>
        <v>PEN</v>
      </c>
      <c r="N430" s="13"/>
      <c r="O430" s="13">
        <v>112</v>
      </c>
      <c r="P430" s="3">
        <f t="shared" si="32"/>
        <v>112</v>
      </c>
      <c r="Q430" s="3">
        <f t="shared" si="33"/>
        <v>0</v>
      </c>
      <c r="R430" s="3">
        <f t="shared" si="34"/>
        <v>49507.220000000008</v>
      </c>
      <c r="S430" s="24" t="s">
        <v>1334</v>
      </c>
      <c r="T430" s="24" t="s">
        <v>1334</v>
      </c>
      <c r="U430" s="3"/>
      <c r="V430" s="19" t="str">
        <f>IFERROR(VLOOKUP(Banco_Nacion[[#This Row],[responsable]],Clientes_Proveedores[[Ruc / Dni]:[Razon Social]],2,0),"")</f>
        <v>ALICORP SAA</v>
      </c>
      <c r="W430" s="19" t="str">
        <f>IF(Banco_Nacion[[#This Row],[tipo_mov]]="INGRESO",Banco_Nacion[[#This Row],[serie]]&amp;Banco_Nacion[[#This Row],[numero]]&amp;Banco_Nacion[[#This Row],[responsable]]&amp;Banco_Nacion[[#This Row],[monto]],"")</f>
        <v>FF0112020100055237112</v>
      </c>
      <c r="X430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80436274</v>
      </c>
      <c r="Y430" s="3" t="str">
        <f>IFERROR(VLOOKUP(Banco_Nacion[[#This Row],[serie]]&amp;Banco_Nacion[[#This Row],[numero]]&amp;Banco_Nacion[[#This Row],[responsable]],[2]!Provision_CXC[[ID CXP]:[DETRACCION]],47,0),"")</f>
        <v/>
      </c>
      <c r="Z430" s="3"/>
      <c r="AA430" s="24" t="str">
        <f>IF(Banco_Nacion[[#This Row],[fecha]]&gt;0,TEXT(Banco_Nacion[[#This Row],[fecha]],"mmmm"),0)</f>
        <v>Junio</v>
      </c>
    </row>
    <row r="431" spans="1:27" x14ac:dyDescent="0.3">
      <c r="A431" s="2">
        <f>IF(Banco_Nacion[[#This Row],[tipo_registro]]="R",COUNTIFS($C$1:$C430,"R")+1,"")</f>
        <v>430</v>
      </c>
      <c r="B431" s="19" t="str">
        <f t="shared" si="30"/>
        <v>B-Banco de la Nacion</v>
      </c>
      <c r="C431" s="3" t="s">
        <v>1330</v>
      </c>
      <c r="D431" s="14">
        <v>45828</v>
      </c>
      <c r="E431" s="5">
        <v>20402885549</v>
      </c>
      <c r="F431" s="5" t="s">
        <v>1303</v>
      </c>
      <c r="G431" s="6" t="s">
        <v>425</v>
      </c>
      <c r="H431" s="6" t="s">
        <v>68</v>
      </c>
      <c r="I431" s="6" t="s">
        <v>3302</v>
      </c>
      <c r="J431" s="6">
        <v>62</v>
      </c>
      <c r="K431" s="7" t="s">
        <v>5232</v>
      </c>
      <c r="L431" s="8">
        <v>80567371</v>
      </c>
      <c r="M431" s="8" t="str">
        <f t="shared" si="31"/>
        <v>PEN</v>
      </c>
      <c r="N431" s="13"/>
      <c r="O431" s="13">
        <v>5003</v>
      </c>
      <c r="P431" s="3">
        <f t="shared" si="32"/>
        <v>5003</v>
      </c>
      <c r="Q431" s="3">
        <f t="shared" si="33"/>
        <v>0</v>
      </c>
      <c r="R431" s="3">
        <f t="shared" si="34"/>
        <v>54510.220000000008</v>
      </c>
      <c r="S431" s="24" t="s">
        <v>1334</v>
      </c>
      <c r="T431" s="24" t="s">
        <v>1334</v>
      </c>
      <c r="U431" s="3"/>
      <c r="V431" s="19" t="str">
        <f>IFERROR(VLOOKUP(Banco_Nacion[[#This Row],[responsable]],Clientes_Proveedores[[Ruc / Dni]:[Razon Social]],2,0),"")</f>
        <v>EMPRESA SIDERURGICA DEL PERU S.A.A.</v>
      </c>
      <c r="W431" s="19" t="str">
        <f>IF(Banco_Nacion[[#This Row],[tipo_mov]]="INGRESO",Banco_Nacion[[#This Row],[serie]]&amp;Banco_Nacion[[#This Row],[numero]]&amp;Banco_Nacion[[#This Row],[responsable]]&amp;Banco_Nacion[[#This Row],[monto]],"")</f>
        <v>FF0262204028855495003</v>
      </c>
      <c r="X431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80567371</v>
      </c>
      <c r="Y431" s="3" t="str">
        <f>IFERROR(VLOOKUP(Banco_Nacion[[#This Row],[serie]]&amp;Banco_Nacion[[#This Row],[numero]]&amp;Banco_Nacion[[#This Row],[responsable]],[2]!Provision_CXC[[ID CXP]:[DETRACCION]],47,0),"")</f>
        <v/>
      </c>
      <c r="Z431" s="3"/>
      <c r="AA431" s="24" t="str">
        <f>IF(Banco_Nacion[[#This Row],[fecha]]&gt;0,TEXT(Banco_Nacion[[#This Row],[fecha]],"mmmm"),0)</f>
        <v>Junio</v>
      </c>
    </row>
    <row r="432" spans="1:27" x14ac:dyDescent="0.3">
      <c r="A432" s="2">
        <f>IF(Banco_Nacion[[#This Row],[tipo_registro]]="R",COUNTIFS($C$1:$C431,"R")+1,"")</f>
        <v>431</v>
      </c>
      <c r="B432" s="19" t="str">
        <f t="shared" ref="B432:B448" si="35">"B-Banco de la Nacion"</f>
        <v>B-Banco de la Nacion</v>
      </c>
      <c r="C432" s="3" t="s">
        <v>1330</v>
      </c>
      <c r="D432" s="14">
        <v>45831</v>
      </c>
      <c r="E432" s="5">
        <v>20607388416</v>
      </c>
      <c r="F432" s="5" t="s">
        <v>1303</v>
      </c>
      <c r="G432" s="6" t="s">
        <v>425</v>
      </c>
      <c r="H432" s="6" t="s">
        <v>68</v>
      </c>
      <c r="I432" s="6" t="s">
        <v>3381</v>
      </c>
      <c r="J432" s="6">
        <v>34</v>
      </c>
      <c r="K432" s="7" t="s">
        <v>5232</v>
      </c>
      <c r="L432" s="8">
        <v>80740825</v>
      </c>
      <c r="M432" s="8" t="str">
        <f t="shared" ref="M432:M448" si="36">"PEN"</f>
        <v>PEN</v>
      </c>
      <c r="N432" s="13"/>
      <c r="O432" s="13">
        <v>125</v>
      </c>
      <c r="P432" s="3">
        <f t="shared" si="32"/>
        <v>125</v>
      </c>
      <c r="Q432" s="3">
        <f t="shared" si="33"/>
        <v>0</v>
      </c>
      <c r="R432" s="3">
        <f t="shared" si="34"/>
        <v>54635.220000000008</v>
      </c>
      <c r="S432" s="24" t="s">
        <v>1334</v>
      </c>
      <c r="T432" s="24" t="s">
        <v>1334</v>
      </c>
      <c r="U432" s="3"/>
      <c r="V432" s="19" t="str">
        <f>IFERROR(VLOOKUP(Banco_Nacion[[#This Row],[responsable]],Clientes_Proveedores[[Ruc / Dni]:[Razon Social]],2,0),"")</f>
        <v>ALEACIONES FERROSAS Y METALICAS S.A.C.</v>
      </c>
      <c r="W432" s="19" t="str">
        <f>IF(Banco_Nacion[[#This Row],[tipo_mov]]="INGRESO",Banco_Nacion[[#This Row],[serie]]&amp;Banco_Nacion[[#This Row],[numero]]&amp;Banco_Nacion[[#This Row],[responsable]]&amp;Banco_Nacion[[#This Row],[monto]],"")</f>
        <v>FF053420607388416125</v>
      </c>
      <c r="X432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80740825</v>
      </c>
      <c r="Y432" s="3" t="str">
        <f>IFERROR(VLOOKUP(Banco_Nacion[[#This Row],[serie]]&amp;Banco_Nacion[[#This Row],[numero]]&amp;Banco_Nacion[[#This Row],[responsable]],[2]!Provision_CXC[[ID CXP]:[DETRACCION]],47,0),"")</f>
        <v/>
      </c>
      <c r="Z432" s="3"/>
      <c r="AA432" s="24" t="str">
        <f>IF(Banco_Nacion[[#This Row],[fecha]]&gt;0,TEXT(Banco_Nacion[[#This Row],[fecha]],"mmmm"),0)</f>
        <v>Junio</v>
      </c>
    </row>
    <row r="433" spans="1:27" x14ac:dyDescent="0.3">
      <c r="A433" s="2">
        <f>IF(Banco_Nacion[[#This Row],[tipo_registro]]="R",COUNTIFS($C$1:$C432,"R")+1,"")</f>
        <v>432</v>
      </c>
      <c r="B433" s="19" t="str">
        <f t="shared" si="35"/>
        <v>B-Banco de la Nacion</v>
      </c>
      <c r="C433" s="3" t="s">
        <v>1330</v>
      </c>
      <c r="D433" s="14">
        <v>45831</v>
      </c>
      <c r="E433" s="5" t="s">
        <v>5231</v>
      </c>
      <c r="F433" s="5" t="s">
        <v>1336</v>
      </c>
      <c r="G433" s="6"/>
      <c r="H433" s="6"/>
      <c r="I433" s="6" t="s">
        <v>5231</v>
      </c>
      <c r="J433" s="6" t="s">
        <v>5231</v>
      </c>
      <c r="K433" s="7" t="s">
        <v>5234</v>
      </c>
      <c r="L433" s="8">
        <v>78787878</v>
      </c>
      <c r="M433" s="8" t="str">
        <f t="shared" si="36"/>
        <v>PEN</v>
      </c>
      <c r="N433" s="13"/>
      <c r="O433" s="13">
        <v>10733</v>
      </c>
      <c r="P433" s="3">
        <f t="shared" si="32"/>
        <v>0</v>
      </c>
      <c r="Q433" s="3">
        <f t="shared" si="33"/>
        <v>10733</v>
      </c>
      <c r="R433" s="3">
        <f t="shared" si="34"/>
        <v>43902.220000000008</v>
      </c>
      <c r="S433" s="24"/>
      <c r="T433" s="24"/>
      <c r="U433" s="3"/>
      <c r="V433" s="19" t="str">
        <f>IFERROR(VLOOKUP(Banco_Nacion[[#This Row],[responsable]],Clientes_Proveedores[[Ruc / Dni]:[Razon Social]],2,0),"")</f>
        <v/>
      </c>
      <c r="W433" s="19" t="str">
        <f>IF(Banco_Nacion[[#This Row],[tipo_mov]]="INGRESO",Banco_Nacion[[#This Row],[serie]]&amp;Banco_Nacion[[#This Row],[numero]]&amp;Banco_Nacion[[#This Row],[responsable]]&amp;Banco_Nacion[[#This Row],[monto]],"")</f>
        <v/>
      </c>
      <c r="X433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/>
      </c>
      <c r="Y433" s="3" t="str">
        <f>IFERROR(VLOOKUP(Banco_Nacion[[#This Row],[serie]]&amp;Banco_Nacion[[#This Row],[numero]]&amp;Banco_Nacion[[#This Row],[responsable]],[2]!Provision_CXC[[ID CXP]:[DETRACCION]],47,0),"")</f>
        <v/>
      </c>
      <c r="Z433" s="3"/>
      <c r="AA433" s="24" t="str">
        <f>IF(Banco_Nacion[[#This Row],[fecha]]&gt;0,TEXT(Banco_Nacion[[#This Row],[fecha]],"mmmm"),0)</f>
        <v>Junio</v>
      </c>
    </row>
    <row r="434" spans="1:27" x14ac:dyDescent="0.3">
      <c r="A434" s="2">
        <f>IF(Banco_Nacion[[#This Row],[tipo_registro]]="R",COUNTIFS($C$1:$C433,"R")+1,"")</f>
        <v>433</v>
      </c>
      <c r="B434" s="19" t="str">
        <f t="shared" si="35"/>
        <v>B-Banco de la Nacion</v>
      </c>
      <c r="C434" s="3" t="s">
        <v>1330</v>
      </c>
      <c r="D434" s="14">
        <v>45831</v>
      </c>
      <c r="E434" s="5" t="s">
        <v>5231</v>
      </c>
      <c r="F434" s="5" t="s">
        <v>1336</v>
      </c>
      <c r="G434" s="6"/>
      <c r="H434" s="6"/>
      <c r="I434" s="6" t="s">
        <v>5231</v>
      </c>
      <c r="J434" s="6" t="s">
        <v>5231</v>
      </c>
      <c r="K434" s="7" t="s">
        <v>5234</v>
      </c>
      <c r="L434" s="8">
        <v>78787878</v>
      </c>
      <c r="M434" s="8" t="str">
        <f t="shared" si="36"/>
        <v>PEN</v>
      </c>
      <c r="N434" s="13"/>
      <c r="O434" s="13">
        <v>2335</v>
      </c>
      <c r="P434" s="3">
        <f t="shared" si="32"/>
        <v>0</v>
      </c>
      <c r="Q434" s="3">
        <f t="shared" si="33"/>
        <v>2335</v>
      </c>
      <c r="R434" s="3">
        <f t="shared" si="34"/>
        <v>41567.220000000008</v>
      </c>
      <c r="S434" s="24"/>
      <c r="T434" s="24"/>
      <c r="U434" s="3"/>
      <c r="V434" s="19" t="str">
        <f>IFERROR(VLOOKUP(Banco_Nacion[[#This Row],[responsable]],Clientes_Proveedores[[Ruc / Dni]:[Razon Social]],2,0),"")</f>
        <v/>
      </c>
      <c r="W434" s="19" t="str">
        <f>IF(Banco_Nacion[[#This Row],[tipo_mov]]="INGRESO",Banco_Nacion[[#This Row],[serie]]&amp;Banco_Nacion[[#This Row],[numero]]&amp;Banco_Nacion[[#This Row],[responsable]]&amp;Banco_Nacion[[#This Row],[monto]],"")</f>
        <v/>
      </c>
      <c r="X434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/>
      </c>
      <c r="Y434" s="3" t="str">
        <f>IFERROR(VLOOKUP(Banco_Nacion[[#This Row],[serie]]&amp;Banco_Nacion[[#This Row],[numero]]&amp;Banco_Nacion[[#This Row],[responsable]],[2]!Provision_CXC[[ID CXP]:[DETRACCION]],47,0),"")</f>
        <v/>
      </c>
      <c r="Z434" s="3"/>
      <c r="AA434" s="24" t="str">
        <f>IF(Banco_Nacion[[#This Row],[fecha]]&gt;0,TEXT(Banco_Nacion[[#This Row],[fecha]],"mmmm"),0)</f>
        <v>Junio</v>
      </c>
    </row>
    <row r="435" spans="1:27" x14ac:dyDescent="0.3">
      <c r="A435" s="2">
        <f>IF(Banco_Nacion[[#This Row],[tipo_registro]]="R",COUNTIFS($C$1:$C434,"R")+1,"")</f>
        <v>434</v>
      </c>
      <c r="B435" s="19" t="str">
        <f t="shared" si="35"/>
        <v>B-Banco de la Nacion</v>
      </c>
      <c r="C435" s="3" t="s">
        <v>1330</v>
      </c>
      <c r="D435" s="14">
        <v>45832</v>
      </c>
      <c r="E435" s="5">
        <v>20603536569</v>
      </c>
      <c r="F435" s="5" t="s">
        <v>1303</v>
      </c>
      <c r="G435" s="6" t="s">
        <v>425</v>
      </c>
      <c r="H435" s="6" t="s">
        <v>68</v>
      </c>
      <c r="I435" s="6" t="s">
        <v>1784</v>
      </c>
      <c r="J435" s="6">
        <v>110</v>
      </c>
      <c r="K435" s="7" t="s">
        <v>5232</v>
      </c>
      <c r="L435" s="8">
        <v>80802612</v>
      </c>
      <c r="M435" s="8" t="str">
        <f t="shared" si="36"/>
        <v>PEN</v>
      </c>
      <c r="N435" s="13"/>
      <c r="O435" s="13">
        <v>549</v>
      </c>
      <c r="P435" s="3">
        <f t="shared" si="32"/>
        <v>549</v>
      </c>
      <c r="Q435" s="3">
        <f t="shared" si="33"/>
        <v>0</v>
      </c>
      <c r="R435" s="3">
        <f t="shared" si="34"/>
        <v>42116.220000000008</v>
      </c>
      <c r="S435" s="24" t="s">
        <v>1334</v>
      </c>
      <c r="T435" s="24" t="s">
        <v>1334</v>
      </c>
      <c r="U435" s="3"/>
      <c r="V435" s="19" t="str">
        <f>IFERROR(VLOOKUP(Banco_Nacion[[#This Row],[responsable]],Clientes_Proveedores[[Ruc / Dni]:[Razon Social]],2,0),"")</f>
        <v>ANTILLA COPPER SOCIEDAD ANONIMA</v>
      </c>
      <c r="W435" s="19" t="str">
        <f>IF(Banco_Nacion[[#This Row],[tipo_mov]]="INGRESO",Banco_Nacion[[#This Row],[serie]]&amp;Banco_Nacion[[#This Row],[numero]]&amp;Banco_Nacion[[#This Row],[responsable]]&amp;Banco_Nacion[[#This Row],[monto]],"")</f>
        <v>FF0111020603536569549</v>
      </c>
      <c r="X435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80802612</v>
      </c>
      <c r="Y435" s="3" t="str">
        <f>IFERROR(VLOOKUP(Banco_Nacion[[#This Row],[serie]]&amp;Banco_Nacion[[#This Row],[numero]]&amp;Banco_Nacion[[#This Row],[responsable]],[2]!Provision_CXC[[ID CXP]:[DETRACCION]],47,0),"")</f>
        <v/>
      </c>
      <c r="Z435" s="3"/>
      <c r="AA435" s="24" t="str">
        <f>IF(Banco_Nacion[[#This Row],[fecha]]&gt;0,TEXT(Banco_Nacion[[#This Row],[fecha]],"mmmm"),0)</f>
        <v>Junio</v>
      </c>
    </row>
    <row r="436" spans="1:27" x14ac:dyDescent="0.3">
      <c r="A436" s="2">
        <f>IF(Banco_Nacion[[#This Row],[tipo_registro]]="R",COUNTIFS($C$1:$C435,"R")+1,"")</f>
        <v>435</v>
      </c>
      <c r="B436" s="19" t="str">
        <f t="shared" si="35"/>
        <v>B-Banco de la Nacion</v>
      </c>
      <c r="C436" s="3" t="s">
        <v>1330</v>
      </c>
      <c r="D436" s="14">
        <v>45832</v>
      </c>
      <c r="E436" s="5">
        <v>20100199743</v>
      </c>
      <c r="F436" s="5" t="s">
        <v>1303</v>
      </c>
      <c r="G436" s="6" t="s">
        <v>425</v>
      </c>
      <c r="H436" s="6" t="s">
        <v>68</v>
      </c>
      <c r="I436" s="6" t="s">
        <v>1784</v>
      </c>
      <c r="J436" s="6">
        <v>105</v>
      </c>
      <c r="K436" s="7" t="s">
        <v>5232</v>
      </c>
      <c r="L436" s="8">
        <v>80795247</v>
      </c>
      <c r="M436" s="8" t="str">
        <f t="shared" si="36"/>
        <v>PEN</v>
      </c>
      <c r="N436" s="13"/>
      <c r="O436" s="13">
        <v>288</v>
      </c>
      <c r="P436" s="3">
        <f t="shared" si="32"/>
        <v>288</v>
      </c>
      <c r="Q436" s="3">
        <f t="shared" si="33"/>
        <v>0</v>
      </c>
      <c r="R436" s="3">
        <f t="shared" si="34"/>
        <v>42404.220000000008</v>
      </c>
      <c r="S436" s="24" t="s">
        <v>1334</v>
      </c>
      <c r="T436" s="24" t="s">
        <v>1334</v>
      </c>
      <c r="U436" s="3"/>
      <c r="V436" s="19" t="str">
        <f>IFERROR(VLOOKUP(Banco_Nacion[[#This Row],[responsable]],Clientes_Proveedores[[Ruc / Dni]:[Razon Social]],2,0),"")</f>
        <v>INCA TOPS S.A</v>
      </c>
      <c r="W436" s="19" t="str">
        <f>IF(Banco_Nacion[[#This Row],[tipo_mov]]="INGRESO",Banco_Nacion[[#This Row],[serie]]&amp;Banco_Nacion[[#This Row],[numero]]&amp;Banco_Nacion[[#This Row],[responsable]]&amp;Banco_Nacion[[#This Row],[monto]],"")</f>
        <v>FF0110520100199743288</v>
      </c>
      <c r="X436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80795247</v>
      </c>
      <c r="Y436" s="3" t="str">
        <f>IFERROR(VLOOKUP(Banco_Nacion[[#This Row],[serie]]&amp;Banco_Nacion[[#This Row],[numero]]&amp;Banco_Nacion[[#This Row],[responsable]],[2]!Provision_CXC[[ID CXP]:[DETRACCION]],47,0),"")</f>
        <v/>
      </c>
      <c r="Z436" s="3"/>
      <c r="AA436" s="24" t="str">
        <f>IF(Banco_Nacion[[#This Row],[fecha]]&gt;0,TEXT(Banco_Nacion[[#This Row],[fecha]],"mmmm"),0)</f>
        <v>Junio</v>
      </c>
    </row>
    <row r="437" spans="1:27" x14ac:dyDescent="0.3">
      <c r="A437" s="2">
        <f>IF(Banco_Nacion[[#This Row],[tipo_registro]]="R",COUNTIFS($C$1:$C436,"R")+1,"")</f>
        <v>436</v>
      </c>
      <c r="B437" s="19" t="str">
        <f t="shared" si="35"/>
        <v>B-Banco de la Nacion</v>
      </c>
      <c r="C437" s="3" t="s">
        <v>1330</v>
      </c>
      <c r="D437" s="14">
        <v>45832</v>
      </c>
      <c r="E437" s="5">
        <v>20558698048</v>
      </c>
      <c r="F437" s="5" t="s">
        <v>1303</v>
      </c>
      <c r="G437" s="6" t="s">
        <v>425</v>
      </c>
      <c r="H437" s="6" t="s">
        <v>68</v>
      </c>
      <c r="I437" s="6" t="s">
        <v>3302</v>
      </c>
      <c r="J437" s="6">
        <v>74</v>
      </c>
      <c r="K437" s="7" t="s">
        <v>5232</v>
      </c>
      <c r="L437" s="8">
        <v>78788888</v>
      </c>
      <c r="M437" s="8" t="str">
        <f t="shared" si="36"/>
        <v>PEN</v>
      </c>
      <c r="N437" s="13"/>
      <c r="O437" s="13">
        <v>381</v>
      </c>
      <c r="P437" s="3">
        <f t="shared" si="32"/>
        <v>381</v>
      </c>
      <c r="Q437" s="3">
        <f t="shared" si="33"/>
        <v>0</v>
      </c>
      <c r="R437" s="3">
        <f t="shared" si="34"/>
        <v>42785.220000000008</v>
      </c>
      <c r="S437" s="24" t="s">
        <v>1334</v>
      </c>
      <c r="T437" s="24" t="s">
        <v>1334</v>
      </c>
      <c r="U437" s="3"/>
      <c r="V437" s="19" t="str">
        <f>IFERROR(VLOOKUP(Banco_Nacion[[#This Row],[responsable]],Clientes_Proveedores[[Ruc / Dni]:[Razon Social]],2,0),"")</f>
        <v xml:space="preserve">J&amp;R FAST CARGO E.I.R.L. </v>
      </c>
      <c r="W437" s="19" t="str">
        <f>IF(Banco_Nacion[[#This Row],[tipo_mov]]="INGRESO",Banco_Nacion[[#This Row],[serie]]&amp;Banco_Nacion[[#This Row],[numero]]&amp;Banco_Nacion[[#This Row],[responsable]]&amp;Banco_Nacion[[#This Row],[monto]],"")</f>
        <v>FF027420558698048381</v>
      </c>
      <c r="X437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78788888</v>
      </c>
      <c r="Y437" s="3" t="str">
        <f>IFERROR(VLOOKUP(Banco_Nacion[[#This Row],[serie]]&amp;Banco_Nacion[[#This Row],[numero]]&amp;Banco_Nacion[[#This Row],[responsable]],[2]!Provision_CXC[[ID CXP]:[DETRACCION]],47,0),"")</f>
        <v/>
      </c>
      <c r="Z437" s="3"/>
      <c r="AA437" s="24" t="str">
        <f>IF(Banco_Nacion[[#This Row],[fecha]]&gt;0,TEXT(Banco_Nacion[[#This Row],[fecha]],"mmmm"),0)</f>
        <v>Junio</v>
      </c>
    </row>
    <row r="438" spans="1:27" x14ac:dyDescent="0.3">
      <c r="A438" s="2">
        <f>IF(Banco_Nacion[[#This Row],[tipo_registro]]="R",COUNTIFS($C$1:$C437,"R")+1,"")</f>
        <v>437</v>
      </c>
      <c r="B438" s="19" t="str">
        <f t="shared" si="35"/>
        <v>B-Banco de la Nacion</v>
      </c>
      <c r="C438" s="3" t="s">
        <v>1330</v>
      </c>
      <c r="D438" s="14">
        <v>45832</v>
      </c>
      <c r="E438" s="5">
        <v>20558698048</v>
      </c>
      <c r="F438" s="5" t="s">
        <v>1303</v>
      </c>
      <c r="G438" s="6" t="s">
        <v>425</v>
      </c>
      <c r="H438" s="6" t="s">
        <v>68</v>
      </c>
      <c r="I438" s="6" t="s">
        <v>3302</v>
      </c>
      <c r="J438" s="6">
        <v>72</v>
      </c>
      <c r="K438" s="7" t="s">
        <v>5232</v>
      </c>
      <c r="L438" s="8">
        <v>78788888</v>
      </c>
      <c r="M438" s="8" t="str">
        <f t="shared" si="36"/>
        <v>PEN</v>
      </c>
      <c r="N438" s="13"/>
      <c r="O438" s="13">
        <v>122</v>
      </c>
      <c r="P438" s="3">
        <f t="shared" si="32"/>
        <v>122</v>
      </c>
      <c r="Q438" s="3">
        <f t="shared" si="33"/>
        <v>0</v>
      </c>
      <c r="R438" s="3">
        <f t="shared" si="34"/>
        <v>42907.220000000008</v>
      </c>
      <c r="S438" s="24" t="s">
        <v>1334</v>
      </c>
      <c r="T438" s="24" t="s">
        <v>1334</v>
      </c>
      <c r="U438" s="3"/>
      <c r="V438" s="19" t="str">
        <f>IFERROR(VLOOKUP(Banco_Nacion[[#This Row],[responsable]],Clientes_Proveedores[[Ruc / Dni]:[Razon Social]],2,0),"")</f>
        <v xml:space="preserve">J&amp;R FAST CARGO E.I.R.L. </v>
      </c>
      <c r="W438" s="19" t="str">
        <f>IF(Banco_Nacion[[#This Row],[tipo_mov]]="INGRESO",Banco_Nacion[[#This Row],[serie]]&amp;Banco_Nacion[[#This Row],[numero]]&amp;Banco_Nacion[[#This Row],[responsable]]&amp;Banco_Nacion[[#This Row],[monto]],"")</f>
        <v>FF027220558698048122</v>
      </c>
      <c r="X438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78788888</v>
      </c>
      <c r="Y438" s="3" t="str">
        <f>IFERROR(VLOOKUP(Banco_Nacion[[#This Row],[serie]]&amp;Banco_Nacion[[#This Row],[numero]]&amp;Banco_Nacion[[#This Row],[responsable]],[2]!Provision_CXC[[ID CXP]:[DETRACCION]],47,0),"")</f>
        <v/>
      </c>
      <c r="Z438" s="3"/>
      <c r="AA438" s="24" t="str">
        <f>IF(Banco_Nacion[[#This Row],[fecha]]&gt;0,TEXT(Banco_Nacion[[#This Row],[fecha]],"mmmm"),0)</f>
        <v>Junio</v>
      </c>
    </row>
    <row r="439" spans="1:27" x14ac:dyDescent="0.3">
      <c r="A439" s="2">
        <f>IF(Banco_Nacion[[#This Row],[tipo_registro]]="R",COUNTIFS($C$1:$C438,"R")+1,"")</f>
        <v>438</v>
      </c>
      <c r="B439" s="19" t="str">
        <f t="shared" si="35"/>
        <v>B-Banco de la Nacion</v>
      </c>
      <c r="C439" s="3" t="s">
        <v>1330</v>
      </c>
      <c r="D439" s="14">
        <v>45834</v>
      </c>
      <c r="E439" s="5">
        <v>20100192064</v>
      </c>
      <c r="F439" s="5" t="s">
        <v>1303</v>
      </c>
      <c r="G439" s="6" t="s">
        <v>425</v>
      </c>
      <c r="H439" s="6" t="s">
        <v>68</v>
      </c>
      <c r="I439" s="6" t="s">
        <v>1784</v>
      </c>
      <c r="J439" s="6">
        <v>123</v>
      </c>
      <c r="K439" s="7" t="s">
        <v>5232</v>
      </c>
      <c r="L439" s="8">
        <v>80984274</v>
      </c>
      <c r="M439" s="8" t="str">
        <f t="shared" si="36"/>
        <v>PEN</v>
      </c>
      <c r="N439" s="13"/>
      <c r="O439" s="13">
        <v>2548</v>
      </c>
      <c r="P439" s="3">
        <f t="shared" si="32"/>
        <v>2548</v>
      </c>
      <c r="Q439" s="3">
        <f t="shared" si="33"/>
        <v>0</v>
      </c>
      <c r="R439" s="3">
        <f t="shared" si="34"/>
        <v>45455.220000000008</v>
      </c>
      <c r="S439" s="24" t="s">
        <v>1334</v>
      </c>
      <c r="T439" s="24" t="s">
        <v>1334</v>
      </c>
      <c r="U439" s="3"/>
      <c r="V439" s="19" t="str">
        <f>IFERROR(VLOOKUP(Banco_Nacion[[#This Row],[responsable]],Clientes_Proveedores[[Ruc / Dni]:[Razon Social]],2,0),"")</f>
        <v>MOLY-COP ADESUR S.A</v>
      </c>
      <c r="W439" s="19" t="str">
        <f>IF(Banco_Nacion[[#This Row],[tipo_mov]]="INGRESO",Banco_Nacion[[#This Row],[serie]]&amp;Banco_Nacion[[#This Row],[numero]]&amp;Banco_Nacion[[#This Row],[responsable]]&amp;Banco_Nacion[[#This Row],[monto]],"")</f>
        <v>FF01123201001920642548</v>
      </c>
      <c r="X439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80984274</v>
      </c>
      <c r="Y439" s="3" t="str">
        <f>IFERROR(VLOOKUP(Banco_Nacion[[#This Row],[serie]]&amp;Banco_Nacion[[#This Row],[numero]]&amp;Banco_Nacion[[#This Row],[responsable]],[2]!Provision_CXC[[ID CXP]:[DETRACCION]],47,0),"")</f>
        <v/>
      </c>
      <c r="Z439" s="3"/>
      <c r="AA439" s="24" t="str">
        <f>IF(Banco_Nacion[[#This Row],[fecha]]&gt;0,TEXT(Banco_Nacion[[#This Row],[fecha]],"mmmm"),0)</f>
        <v>Junio</v>
      </c>
    </row>
    <row r="440" spans="1:27" x14ac:dyDescent="0.3">
      <c r="A440" s="2">
        <f>IF(Banco_Nacion[[#This Row],[tipo_registro]]="R",COUNTIFS($C$1:$C439,"R")+1,"")</f>
        <v>439</v>
      </c>
      <c r="B440" s="19" t="str">
        <f t="shared" si="35"/>
        <v>B-Banco de la Nacion</v>
      </c>
      <c r="C440" s="3" t="s">
        <v>1330</v>
      </c>
      <c r="D440" s="14">
        <v>45834</v>
      </c>
      <c r="E440" s="5">
        <v>20100192064</v>
      </c>
      <c r="F440" s="5" t="s">
        <v>1303</v>
      </c>
      <c r="G440" s="6" t="s">
        <v>425</v>
      </c>
      <c r="H440" s="6" t="s">
        <v>68</v>
      </c>
      <c r="I440" s="6" t="s">
        <v>1784</v>
      </c>
      <c r="J440" s="6">
        <v>121</v>
      </c>
      <c r="K440" s="7" t="s">
        <v>5232</v>
      </c>
      <c r="L440" s="8">
        <v>80984273</v>
      </c>
      <c r="M440" s="8" t="str">
        <f t="shared" si="36"/>
        <v>PEN</v>
      </c>
      <c r="N440" s="13"/>
      <c r="O440" s="13">
        <v>397</v>
      </c>
      <c r="P440" s="3">
        <f t="shared" si="32"/>
        <v>397</v>
      </c>
      <c r="Q440" s="3">
        <f t="shared" si="33"/>
        <v>0</v>
      </c>
      <c r="R440" s="3">
        <f t="shared" si="34"/>
        <v>45852.220000000008</v>
      </c>
      <c r="S440" s="24" t="s">
        <v>1334</v>
      </c>
      <c r="T440" s="24" t="s">
        <v>1334</v>
      </c>
      <c r="U440" s="3"/>
      <c r="V440" s="19" t="str">
        <f>IFERROR(VLOOKUP(Banco_Nacion[[#This Row],[responsable]],Clientes_Proveedores[[Ruc / Dni]:[Razon Social]],2,0),"")</f>
        <v>MOLY-COP ADESUR S.A</v>
      </c>
      <c r="W440" s="19" t="str">
        <f>IF(Banco_Nacion[[#This Row],[tipo_mov]]="INGRESO",Banco_Nacion[[#This Row],[serie]]&amp;Banco_Nacion[[#This Row],[numero]]&amp;Banco_Nacion[[#This Row],[responsable]]&amp;Banco_Nacion[[#This Row],[monto]],"")</f>
        <v>FF0112120100192064397</v>
      </c>
      <c r="X440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80984273</v>
      </c>
      <c r="Y440" s="3" t="str">
        <f>IFERROR(VLOOKUP(Banco_Nacion[[#This Row],[serie]]&amp;Banco_Nacion[[#This Row],[numero]]&amp;Banco_Nacion[[#This Row],[responsable]],[2]!Provision_CXC[[ID CXP]:[DETRACCION]],47,0),"")</f>
        <v/>
      </c>
      <c r="Z440" s="3"/>
      <c r="AA440" s="24" t="str">
        <f>IF(Banco_Nacion[[#This Row],[fecha]]&gt;0,TEXT(Banco_Nacion[[#This Row],[fecha]],"mmmm"),0)</f>
        <v>Junio</v>
      </c>
    </row>
    <row r="441" spans="1:27" x14ac:dyDescent="0.3">
      <c r="A441" s="2">
        <f>IF(Banco_Nacion[[#This Row],[tipo_registro]]="R",COUNTIFS($C$1:$C440,"R")+1,"")</f>
        <v>440</v>
      </c>
      <c r="B441" s="19" t="str">
        <f t="shared" si="35"/>
        <v>B-Banco de la Nacion</v>
      </c>
      <c r="C441" s="3" t="s">
        <v>1330</v>
      </c>
      <c r="D441" s="14">
        <v>45834</v>
      </c>
      <c r="E441" s="5">
        <v>20505675836</v>
      </c>
      <c r="F441" s="5" t="s">
        <v>1303</v>
      </c>
      <c r="G441" s="6" t="s">
        <v>425</v>
      </c>
      <c r="H441" s="6" t="s">
        <v>68</v>
      </c>
      <c r="I441" s="6" t="s">
        <v>1784</v>
      </c>
      <c r="J441" s="6">
        <v>113</v>
      </c>
      <c r="K441" s="7" t="s">
        <v>5232</v>
      </c>
      <c r="L441" s="8">
        <v>80979908</v>
      </c>
      <c r="M441" s="8" t="str">
        <f t="shared" si="36"/>
        <v>PEN</v>
      </c>
      <c r="N441" s="13"/>
      <c r="O441" s="13">
        <v>395</v>
      </c>
      <c r="P441" s="3">
        <f t="shared" si="32"/>
        <v>395</v>
      </c>
      <c r="Q441" s="3">
        <f t="shared" si="33"/>
        <v>0</v>
      </c>
      <c r="R441" s="3">
        <f t="shared" si="34"/>
        <v>46247.220000000008</v>
      </c>
      <c r="S441" s="24" t="s">
        <v>1334</v>
      </c>
      <c r="T441" s="24" t="s">
        <v>1334</v>
      </c>
      <c r="U441" s="3"/>
      <c r="V441" s="19" t="str">
        <f>IFERROR(VLOOKUP(Banco_Nacion[[#This Row],[responsable]],Clientes_Proveedores[[Ruc / Dni]:[Razon Social]],2,0),"")</f>
        <v>FLSMIDTH S.A.C.</v>
      </c>
      <c r="W441" s="19" t="str">
        <f>IF(Banco_Nacion[[#This Row],[tipo_mov]]="INGRESO",Banco_Nacion[[#This Row],[serie]]&amp;Banco_Nacion[[#This Row],[numero]]&amp;Banco_Nacion[[#This Row],[responsable]]&amp;Banco_Nacion[[#This Row],[monto]],"")</f>
        <v>FF0111320505675836395</v>
      </c>
      <c r="X441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80979908</v>
      </c>
      <c r="Y441" s="3" t="str">
        <f>IFERROR(VLOOKUP(Banco_Nacion[[#This Row],[serie]]&amp;Banco_Nacion[[#This Row],[numero]]&amp;Banco_Nacion[[#This Row],[responsable]],[2]!Provision_CXC[[ID CXP]:[DETRACCION]],47,0),"")</f>
        <v/>
      </c>
      <c r="Z441" s="3"/>
      <c r="AA441" s="24" t="str">
        <f>IF(Banco_Nacion[[#This Row],[fecha]]&gt;0,TEXT(Banco_Nacion[[#This Row],[fecha]],"mmmm"),0)</f>
        <v>Junio</v>
      </c>
    </row>
    <row r="442" spans="1:27" x14ac:dyDescent="0.3">
      <c r="A442" s="2">
        <f>IF(Banco_Nacion[[#This Row],[tipo_registro]]="R",COUNTIFS($C$1:$C441,"R")+1,"")</f>
        <v>441</v>
      </c>
      <c r="B442" s="19" t="str">
        <f t="shared" si="35"/>
        <v>B-Banco de la Nacion</v>
      </c>
      <c r="C442" s="3" t="s">
        <v>1330</v>
      </c>
      <c r="D442" s="14">
        <v>45834</v>
      </c>
      <c r="E442" s="5">
        <v>20505675836</v>
      </c>
      <c r="F442" s="5" t="s">
        <v>1303</v>
      </c>
      <c r="G442" s="6" t="s">
        <v>425</v>
      </c>
      <c r="H442" s="6" t="s">
        <v>68</v>
      </c>
      <c r="I442" s="6" t="s">
        <v>1784</v>
      </c>
      <c r="J442" s="6">
        <v>112</v>
      </c>
      <c r="K442" s="7" t="s">
        <v>5232</v>
      </c>
      <c r="L442" s="8">
        <v>80979907</v>
      </c>
      <c r="M442" s="8" t="str">
        <f t="shared" si="36"/>
        <v>PEN</v>
      </c>
      <c r="N442" s="13"/>
      <c r="O442" s="13">
        <v>899</v>
      </c>
      <c r="P442" s="3">
        <f t="shared" si="32"/>
        <v>899</v>
      </c>
      <c r="Q442" s="3">
        <f t="shared" si="33"/>
        <v>0</v>
      </c>
      <c r="R442" s="3">
        <f t="shared" si="34"/>
        <v>47146.220000000008</v>
      </c>
      <c r="S442" s="24" t="s">
        <v>1334</v>
      </c>
      <c r="T442" s="24" t="s">
        <v>1334</v>
      </c>
      <c r="U442" s="3"/>
      <c r="V442" s="19" t="str">
        <f>IFERROR(VLOOKUP(Banco_Nacion[[#This Row],[responsable]],Clientes_Proveedores[[Ruc / Dni]:[Razon Social]],2,0),"")</f>
        <v>FLSMIDTH S.A.C.</v>
      </c>
      <c r="W442" s="19" t="str">
        <f>IF(Banco_Nacion[[#This Row],[tipo_mov]]="INGRESO",Banco_Nacion[[#This Row],[serie]]&amp;Banco_Nacion[[#This Row],[numero]]&amp;Banco_Nacion[[#This Row],[responsable]]&amp;Banco_Nacion[[#This Row],[monto]],"")</f>
        <v>FF0111220505675836899</v>
      </c>
      <c r="X442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80979907</v>
      </c>
      <c r="Y442" s="3" t="str">
        <f>IFERROR(VLOOKUP(Banco_Nacion[[#This Row],[serie]]&amp;Banco_Nacion[[#This Row],[numero]]&amp;Banco_Nacion[[#This Row],[responsable]],[2]!Provision_CXC[[ID CXP]:[DETRACCION]],47,0),"")</f>
        <v/>
      </c>
      <c r="Z442" s="3"/>
      <c r="AA442" s="24" t="str">
        <f>IF(Banco_Nacion[[#This Row],[fecha]]&gt;0,TEXT(Banco_Nacion[[#This Row],[fecha]],"mmmm"),0)</f>
        <v>Junio</v>
      </c>
    </row>
    <row r="443" spans="1:27" x14ac:dyDescent="0.3">
      <c r="A443" s="2">
        <f>IF(Banco_Nacion[[#This Row],[tipo_registro]]="R",COUNTIFS($C$1:$C442,"R")+1,"")</f>
        <v>442</v>
      </c>
      <c r="B443" s="19" t="str">
        <f t="shared" si="35"/>
        <v>B-Banco de la Nacion</v>
      </c>
      <c r="C443" s="3" t="s">
        <v>1330</v>
      </c>
      <c r="D443" s="14">
        <v>45834</v>
      </c>
      <c r="E443" s="5">
        <v>20505675836</v>
      </c>
      <c r="F443" s="5" t="s">
        <v>1303</v>
      </c>
      <c r="G443" s="6" t="s">
        <v>425</v>
      </c>
      <c r="H443" s="6" t="s">
        <v>68</v>
      </c>
      <c r="I443" s="6" t="s">
        <v>1784</v>
      </c>
      <c r="J443" s="6">
        <v>111</v>
      </c>
      <c r="K443" s="7" t="s">
        <v>5232</v>
      </c>
      <c r="L443" s="8">
        <v>80979906</v>
      </c>
      <c r="M443" s="8" t="str">
        <f t="shared" si="36"/>
        <v>PEN</v>
      </c>
      <c r="N443" s="13"/>
      <c r="O443" s="13">
        <v>297</v>
      </c>
      <c r="P443" s="3">
        <f t="shared" si="32"/>
        <v>297</v>
      </c>
      <c r="Q443" s="3">
        <f t="shared" si="33"/>
        <v>0</v>
      </c>
      <c r="R443" s="3">
        <f t="shared" si="34"/>
        <v>47443.220000000008</v>
      </c>
      <c r="S443" s="24" t="s">
        <v>1334</v>
      </c>
      <c r="T443" s="24" t="s">
        <v>1334</v>
      </c>
      <c r="U443" s="3"/>
      <c r="V443" s="19" t="str">
        <f>IFERROR(VLOOKUP(Banco_Nacion[[#This Row],[responsable]],Clientes_Proveedores[[Ruc / Dni]:[Razon Social]],2,0),"")</f>
        <v>FLSMIDTH S.A.C.</v>
      </c>
      <c r="W443" s="19" t="str">
        <f>IF(Banco_Nacion[[#This Row],[tipo_mov]]="INGRESO",Banco_Nacion[[#This Row],[serie]]&amp;Banco_Nacion[[#This Row],[numero]]&amp;Banco_Nacion[[#This Row],[responsable]]&amp;Banco_Nacion[[#This Row],[monto]],"")</f>
        <v>FF0111120505675836297</v>
      </c>
      <c r="X443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80979906</v>
      </c>
      <c r="Y443" s="3" t="str">
        <f>IFERROR(VLOOKUP(Banco_Nacion[[#This Row],[serie]]&amp;Banco_Nacion[[#This Row],[numero]]&amp;Banco_Nacion[[#This Row],[responsable]],[2]!Provision_CXC[[ID CXP]:[DETRACCION]],47,0),"")</f>
        <v/>
      </c>
      <c r="Z443" s="3"/>
      <c r="AA443" s="24" t="str">
        <f>IF(Banco_Nacion[[#This Row],[fecha]]&gt;0,TEXT(Banco_Nacion[[#This Row],[fecha]],"mmmm"),0)</f>
        <v>Junio</v>
      </c>
    </row>
    <row r="444" spans="1:27" x14ac:dyDescent="0.3">
      <c r="A444" s="2">
        <f>IF(Banco_Nacion[[#This Row],[tipo_registro]]="R",COUNTIFS($C$1:$C443,"R")+1,"")</f>
        <v>443</v>
      </c>
      <c r="B444" s="19" t="str">
        <f t="shared" si="35"/>
        <v>B-Banco de la Nacion</v>
      </c>
      <c r="C444" s="3" t="s">
        <v>1330</v>
      </c>
      <c r="D444" s="14">
        <v>45835</v>
      </c>
      <c r="E444" s="5">
        <v>20141637941</v>
      </c>
      <c r="F444" s="5" t="s">
        <v>1303</v>
      </c>
      <c r="G444" s="6" t="s">
        <v>425</v>
      </c>
      <c r="H444" s="6" t="s">
        <v>68</v>
      </c>
      <c r="I444" s="6" t="s">
        <v>1784</v>
      </c>
      <c r="J444" s="6">
        <v>124</v>
      </c>
      <c r="K444" s="7" t="s">
        <v>5232</v>
      </c>
      <c r="L444" s="8">
        <v>81047012</v>
      </c>
      <c r="M444" s="8" t="str">
        <f t="shared" si="36"/>
        <v>PEN</v>
      </c>
      <c r="N444" s="13"/>
      <c r="O444" s="13">
        <v>255</v>
      </c>
      <c r="P444" s="3">
        <f t="shared" si="32"/>
        <v>255</v>
      </c>
      <c r="Q444" s="3">
        <f t="shared" si="33"/>
        <v>0</v>
      </c>
      <c r="R444" s="3">
        <f t="shared" si="34"/>
        <v>47698.220000000008</v>
      </c>
      <c r="S444" s="24" t="s">
        <v>1334</v>
      </c>
      <c r="T444" s="24" t="s">
        <v>1334</v>
      </c>
      <c r="U444" s="3"/>
      <c r="V444" s="19" t="str">
        <f>IFERROR(VLOOKUP(Banco_Nacion[[#This Row],[responsable]],Clientes_Proveedores[[Ruc / Dni]:[Razon Social]],2,0),"")</f>
        <v>UNIVERSIDAD CATOLICA DE SANTA MARIA</v>
      </c>
      <c r="W444" s="19" t="str">
        <f>IF(Banco_Nacion[[#This Row],[tipo_mov]]="INGRESO",Banco_Nacion[[#This Row],[serie]]&amp;Banco_Nacion[[#This Row],[numero]]&amp;Banco_Nacion[[#This Row],[responsable]]&amp;Banco_Nacion[[#This Row],[monto]],"")</f>
        <v>FF0112420141637941255</v>
      </c>
      <c r="X444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81047012</v>
      </c>
      <c r="Y444" s="3" t="str">
        <f>IFERROR(VLOOKUP(Banco_Nacion[[#This Row],[serie]]&amp;Banco_Nacion[[#This Row],[numero]]&amp;Banco_Nacion[[#This Row],[responsable]],[2]!Provision_CXC[[ID CXP]:[DETRACCION]],47,0),"")</f>
        <v/>
      </c>
      <c r="Z444" s="3"/>
      <c r="AA444" s="24" t="str">
        <f>IF(Banco_Nacion[[#This Row],[fecha]]&gt;0,TEXT(Banco_Nacion[[#This Row],[fecha]],"mmmm"),0)</f>
        <v>Junio</v>
      </c>
    </row>
    <row r="445" spans="1:27" x14ac:dyDescent="0.3">
      <c r="A445" s="2">
        <f>IF(Banco_Nacion[[#This Row],[tipo_registro]]="R",COUNTIFS($C$1:$C444,"R")+1,"")</f>
        <v>444</v>
      </c>
      <c r="B445" s="19" t="str">
        <f t="shared" si="35"/>
        <v>B-Banco de la Nacion</v>
      </c>
      <c r="C445" s="3" t="s">
        <v>1330</v>
      </c>
      <c r="D445" s="14">
        <v>45835</v>
      </c>
      <c r="E445" s="5">
        <v>20601119600</v>
      </c>
      <c r="F445" s="5" t="s">
        <v>1303</v>
      </c>
      <c r="G445" s="6" t="s">
        <v>425</v>
      </c>
      <c r="H445" s="6" t="s">
        <v>68</v>
      </c>
      <c r="I445" s="6" t="s">
        <v>3381</v>
      </c>
      <c r="J445" s="6">
        <v>37</v>
      </c>
      <c r="K445" s="7" t="s">
        <v>5232</v>
      </c>
      <c r="L445" s="8">
        <v>27351627</v>
      </c>
      <c r="M445" s="8" t="str">
        <f t="shared" si="36"/>
        <v>PEN</v>
      </c>
      <c r="N445" s="13"/>
      <c r="O445" s="13">
        <v>334</v>
      </c>
      <c r="P445" s="3">
        <f t="shared" si="32"/>
        <v>334</v>
      </c>
      <c r="Q445" s="3">
        <f t="shared" si="33"/>
        <v>0</v>
      </c>
      <c r="R445" s="3">
        <f t="shared" si="34"/>
        <v>48032.220000000008</v>
      </c>
      <c r="S445" s="24" t="s">
        <v>1334</v>
      </c>
      <c r="T445" s="24" t="s">
        <v>1334</v>
      </c>
      <c r="U445" s="3"/>
      <c r="V445" s="19" t="str">
        <f>IFERROR(VLOOKUP(Banco_Nacion[[#This Row],[responsable]],Clientes_Proveedores[[Ruc / Dni]:[Razon Social]],2,0),"")</f>
        <v>INVERSIONES W.J.M. S.A.C.</v>
      </c>
      <c r="W445" s="19" t="str">
        <f>IF(Banco_Nacion[[#This Row],[tipo_mov]]="INGRESO",Banco_Nacion[[#This Row],[serie]]&amp;Banco_Nacion[[#This Row],[numero]]&amp;Banco_Nacion[[#This Row],[responsable]]&amp;Banco_Nacion[[#This Row],[monto]],"")</f>
        <v>FF053720601119600334</v>
      </c>
      <c r="X445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27351627</v>
      </c>
      <c r="Y445" s="3" t="str">
        <f>IFERROR(VLOOKUP(Banco_Nacion[[#This Row],[serie]]&amp;Banco_Nacion[[#This Row],[numero]]&amp;Banco_Nacion[[#This Row],[responsable]],[2]!Provision_CXC[[ID CXP]:[DETRACCION]],47,0),"")</f>
        <v/>
      </c>
      <c r="Z445" s="3"/>
      <c r="AA445" s="24" t="str">
        <f>IF(Banco_Nacion[[#This Row],[fecha]]&gt;0,TEXT(Banco_Nacion[[#This Row],[fecha]],"mmmm"),0)</f>
        <v>Junio</v>
      </c>
    </row>
    <row r="446" spans="1:27" x14ac:dyDescent="0.3">
      <c r="A446" s="2">
        <f>IF(Banco_Nacion[[#This Row],[tipo_registro]]="R",COUNTIFS($C$1:$C445,"R")+1,"")</f>
        <v>445</v>
      </c>
      <c r="B446" s="19" t="str">
        <f t="shared" si="35"/>
        <v>B-Banco de la Nacion</v>
      </c>
      <c r="C446" s="3" t="s">
        <v>1330</v>
      </c>
      <c r="D446" s="14">
        <v>45838</v>
      </c>
      <c r="E446" s="5">
        <v>20454186002</v>
      </c>
      <c r="F446" s="5" t="s">
        <v>1303</v>
      </c>
      <c r="G446" s="6" t="s">
        <v>425</v>
      </c>
      <c r="H446" s="6" t="s">
        <v>68</v>
      </c>
      <c r="I446" s="6" t="s">
        <v>1784</v>
      </c>
      <c r="J446" s="6">
        <v>118</v>
      </c>
      <c r="K446" s="7" t="s">
        <v>5232</v>
      </c>
      <c r="L446" s="8">
        <v>81171540</v>
      </c>
      <c r="M446" s="8" t="str">
        <f t="shared" si="36"/>
        <v>PEN</v>
      </c>
      <c r="N446" s="13"/>
      <c r="O446" s="13">
        <v>272</v>
      </c>
      <c r="P446" s="3">
        <f t="shared" si="32"/>
        <v>272</v>
      </c>
      <c r="Q446" s="3">
        <f t="shared" si="33"/>
        <v>0</v>
      </c>
      <c r="R446" s="3">
        <f t="shared" si="34"/>
        <v>48304.220000000008</v>
      </c>
      <c r="S446" s="24" t="s">
        <v>1334</v>
      </c>
      <c r="T446" s="24" t="s">
        <v>1334</v>
      </c>
      <c r="U446" s="3"/>
      <c r="V446" s="19" t="str">
        <f>IFERROR(VLOOKUP(Banco_Nacion[[#This Row],[responsable]],Clientes_Proveedores[[Ruc / Dni]:[Razon Social]],2,0),"")</f>
        <v>ALSUR PERU S.A.C.</v>
      </c>
      <c r="W446" s="19" t="str">
        <f>IF(Banco_Nacion[[#This Row],[tipo_mov]]="INGRESO",Banco_Nacion[[#This Row],[serie]]&amp;Banco_Nacion[[#This Row],[numero]]&amp;Banco_Nacion[[#This Row],[responsable]]&amp;Banco_Nacion[[#This Row],[monto]],"")</f>
        <v>FF0111820454186002272</v>
      </c>
      <c r="X446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81171540</v>
      </c>
      <c r="Y446" s="3" t="str">
        <f>IFERROR(VLOOKUP(Banco_Nacion[[#This Row],[serie]]&amp;Banco_Nacion[[#This Row],[numero]]&amp;Banco_Nacion[[#This Row],[responsable]],[2]!Provision_CXC[[ID CXP]:[DETRACCION]],47,0),"")</f>
        <v/>
      </c>
      <c r="Z446" s="3"/>
      <c r="AA446" s="24" t="str">
        <f>IF(Banco_Nacion[[#This Row],[fecha]]&gt;0,TEXT(Banco_Nacion[[#This Row],[fecha]],"mmmm"),0)</f>
        <v>Junio</v>
      </c>
    </row>
    <row r="447" spans="1:27" x14ac:dyDescent="0.3">
      <c r="A447" s="2">
        <f>IF(Banco_Nacion[[#This Row],[tipo_registro]]="R",COUNTIFS($C$1:$C446,"R")+1,"")</f>
        <v>446</v>
      </c>
      <c r="B447" s="19" t="str">
        <f t="shared" si="35"/>
        <v>B-Banco de la Nacion</v>
      </c>
      <c r="C447" s="3" t="s">
        <v>1330</v>
      </c>
      <c r="D447" s="14">
        <v>45838</v>
      </c>
      <c r="E447" s="5">
        <v>20454186002</v>
      </c>
      <c r="F447" s="5" t="s">
        <v>1303</v>
      </c>
      <c r="G447" s="6" t="s">
        <v>425</v>
      </c>
      <c r="H447" s="6" t="s">
        <v>68</v>
      </c>
      <c r="I447" s="6" t="s">
        <v>1784</v>
      </c>
      <c r="J447" s="6">
        <v>132</v>
      </c>
      <c r="K447" s="7" t="s">
        <v>5232</v>
      </c>
      <c r="L447" s="8">
        <v>81171530</v>
      </c>
      <c r="M447" s="8" t="str">
        <f t="shared" si="36"/>
        <v>PEN</v>
      </c>
      <c r="N447" s="13"/>
      <c r="O447" s="13">
        <v>283</v>
      </c>
      <c r="P447" s="3">
        <f t="shared" si="32"/>
        <v>283</v>
      </c>
      <c r="Q447" s="3">
        <f t="shared" si="33"/>
        <v>0</v>
      </c>
      <c r="R447" s="3">
        <f t="shared" si="34"/>
        <v>48587.220000000008</v>
      </c>
      <c r="S447" s="24" t="s">
        <v>1334</v>
      </c>
      <c r="T447" s="24" t="s">
        <v>1334</v>
      </c>
      <c r="U447" s="3"/>
      <c r="V447" s="19" t="str">
        <f>IFERROR(VLOOKUP(Banco_Nacion[[#This Row],[responsable]],Clientes_Proveedores[[Ruc / Dni]:[Razon Social]],2,0),"")</f>
        <v>ALSUR PERU S.A.C.</v>
      </c>
      <c r="W447" s="19" t="str">
        <f>IF(Banco_Nacion[[#This Row],[tipo_mov]]="INGRESO",Banco_Nacion[[#This Row],[serie]]&amp;Banco_Nacion[[#This Row],[numero]]&amp;Banco_Nacion[[#This Row],[responsable]]&amp;Banco_Nacion[[#This Row],[monto]],"")</f>
        <v>FF0113220454186002283</v>
      </c>
      <c r="X447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81171530</v>
      </c>
      <c r="Y447" s="3" t="str">
        <f>IFERROR(VLOOKUP(Banco_Nacion[[#This Row],[serie]]&amp;Banco_Nacion[[#This Row],[numero]]&amp;Banco_Nacion[[#This Row],[responsable]],[2]!Provision_CXC[[ID CXP]:[DETRACCION]],47,0),"")</f>
        <v/>
      </c>
      <c r="Z447" s="3"/>
      <c r="AA447" s="24" t="str">
        <f>IF(Banco_Nacion[[#This Row],[fecha]]&gt;0,TEXT(Banco_Nacion[[#This Row],[fecha]],"mmmm"),0)</f>
        <v>Junio</v>
      </c>
    </row>
    <row r="448" spans="1:27" x14ac:dyDescent="0.3">
      <c r="A448" s="2">
        <f>IF(Banco_Nacion[[#This Row],[tipo_registro]]="R",COUNTIFS($C$1:$C447,"R")+1,"")</f>
        <v>447</v>
      </c>
      <c r="B448" s="19" t="str">
        <f t="shared" si="35"/>
        <v>B-Banco de la Nacion</v>
      </c>
      <c r="C448" s="3" t="s">
        <v>1330</v>
      </c>
      <c r="D448" s="14">
        <v>45838</v>
      </c>
      <c r="E448" s="5">
        <v>20607388416</v>
      </c>
      <c r="F448" s="5" t="s">
        <v>1303</v>
      </c>
      <c r="G448" s="6" t="s">
        <v>425</v>
      </c>
      <c r="H448" s="6" t="s">
        <v>68</v>
      </c>
      <c r="I448" s="6" t="s">
        <v>3381</v>
      </c>
      <c r="J448" s="6">
        <v>40</v>
      </c>
      <c r="K448" s="7" t="s">
        <v>5232</v>
      </c>
      <c r="L448" s="8">
        <v>81154928</v>
      </c>
      <c r="M448" s="8" t="str">
        <f t="shared" si="36"/>
        <v>PEN</v>
      </c>
      <c r="N448" s="13"/>
      <c r="O448" s="13">
        <v>135</v>
      </c>
      <c r="P448" s="3">
        <f t="shared" si="32"/>
        <v>135</v>
      </c>
      <c r="Q448" s="3">
        <f t="shared" si="33"/>
        <v>0</v>
      </c>
      <c r="R448" s="3">
        <f t="shared" si="34"/>
        <v>48722.220000000008</v>
      </c>
      <c r="S448" s="24" t="s">
        <v>1334</v>
      </c>
      <c r="T448" s="24" t="s">
        <v>1334</v>
      </c>
      <c r="U448" s="3"/>
      <c r="V448" s="19" t="str">
        <f>IFERROR(VLOOKUP(Banco_Nacion[[#This Row],[responsable]],Clientes_Proveedores[[Ruc / Dni]:[Razon Social]],2,0),"")</f>
        <v>ALEACIONES FERROSAS Y METALICAS S.A.C.</v>
      </c>
      <c r="W448" s="19" t="str">
        <f>IF(Banco_Nacion[[#This Row],[tipo_mov]]="INGRESO",Banco_Nacion[[#This Row],[serie]]&amp;Banco_Nacion[[#This Row],[numero]]&amp;Banco_Nacion[[#This Row],[responsable]]&amp;Banco_Nacion[[#This Row],[monto]],"")</f>
        <v>FF054020607388416135</v>
      </c>
      <c r="X448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81154928</v>
      </c>
      <c r="Y448" s="3" t="str">
        <f>IFERROR(VLOOKUP(Banco_Nacion[[#This Row],[serie]]&amp;Banco_Nacion[[#This Row],[numero]]&amp;Banco_Nacion[[#This Row],[responsable]],[2]!Provision_CXC[[ID CXP]:[DETRACCION]],47,0),"")</f>
        <v/>
      </c>
      <c r="Z448" s="3"/>
      <c r="AA448" s="24" t="str">
        <f>IF(Banco_Nacion[[#This Row],[fecha]]&gt;0,TEXT(Banco_Nacion[[#This Row],[fecha]],"mmmm"),0)</f>
        <v>Junio</v>
      </c>
    </row>
    <row r="449" spans="1:27" x14ac:dyDescent="0.3">
      <c r="A449" s="2">
        <f>IF(Banco_Nacion[[#This Row],[tipo_registro]]="R",COUNTIFS($C$1:$C448,"R")+1,"")</f>
        <v>448</v>
      </c>
      <c r="B449" s="19" t="str">
        <f t="shared" ref="B449:B475" si="37">"B-Banco de la Nacion"</f>
        <v>B-Banco de la Nacion</v>
      </c>
      <c r="C449" s="3" t="s">
        <v>1330</v>
      </c>
      <c r="D449" s="14">
        <v>45839</v>
      </c>
      <c r="E449" s="5">
        <v>20170040938</v>
      </c>
      <c r="F449" s="5" t="s">
        <v>1303</v>
      </c>
      <c r="G449" s="6" t="s">
        <v>425</v>
      </c>
      <c r="H449" s="6" t="s">
        <v>68</v>
      </c>
      <c r="I449" s="6" t="s">
        <v>1784</v>
      </c>
      <c r="J449" s="6">
        <v>106</v>
      </c>
      <c r="K449" s="7" t="s">
        <v>5232</v>
      </c>
      <c r="L449" s="8">
        <v>81544135</v>
      </c>
      <c r="M449" s="8" t="str">
        <f t="shared" ref="M449:M475" si="38">"PEN"</f>
        <v>PEN</v>
      </c>
      <c r="N449" s="13"/>
      <c r="O449" s="13">
        <v>1374</v>
      </c>
      <c r="P449" s="3">
        <f t="shared" si="32"/>
        <v>1374</v>
      </c>
      <c r="Q449" s="3">
        <f t="shared" si="33"/>
        <v>0</v>
      </c>
      <c r="R449" s="3">
        <f t="shared" si="34"/>
        <v>50096.220000000008</v>
      </c>
      <c r="S449" s="24" t="s">
        <v>1334</v>
      </c>
      <c r="T449" s="24" t="s">
        <v>1334</v>
      </c>
      <c r="U449" s="3"/>
      <c r="V449" s="19" t="str">
        <f>IFERROR(VLOOKUP(Banco_Nacion[[#This Row],[responsable]],Clientes_Proveedores[[Ruc / Dni]:[Razon Social]],2,0),"")</f>
        <v>DANPER TRUJILLO S.A.C</v>
      </c>
      <c r="W449" s="19" t="str">
        <f>IF(Banco_Nacion[[#This Row],[tipo_mov]]="INGRESO",Banco_Nacion[[#This Row],[serie]]&amp;Banco_Nacion[[#This Row],[numero]]&amp;Banco_Nacion[[#This Row],[responsable]]&amp;Banco_Nacion[[#This Row],[monto]],"")</f>
        <v>FF01106201700409381374</v>
      </c>
      <c r="X449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81544135</v>
      </c>
      <c r="Y449" s="3" t="str">
        <f>IFERROR(VLOOKUP(Banco_Nacion[[#This Row],[serie]]&amp;Banco_Nacion[[#This Row],[numero]]&amp;Banco_Nacion[[#This Row],[responsable]],[2]!Provision_CXC[[ID CXP]:[DETRACCION]],47,0),"")</f>
        <v/>
      </c>
      <c r="Z449" s="3"/>
      <c r="AA449" s="24" t="str">
        <f>IF(Banco_Nacion[[#This Row],[fecha]]&gt;0,TEXT(Banco_Nacion[[#This Row],[fecha]],"mmmm"),0)</f>
        <v>Julio</v>
      </c>
    </row>
    <row r="450" spans="1:27" x14ac:dyDescent="0.3">
      <c r="A450" s="2">
        <f>IF(Banco_Nacion[[#This Row],[tipo_registro]]="R",COUNTIFS($C$1:$C449,"R")+1,"")</f>
        <v>449</v>
      </c>
      <c r="B450" s="19" t="str">
        <f t="shared" si="37"/>
        <v>B-Banco de la Nacion</v>
      </c>
      <c r="C450" s="3" t="s">
        <v>1330</v>
      </c>
      <c r="D450" s="14">
        <v>45839</v>
      </c>
      <c r="E450" s="5">
        <v>20558203332</v>
      </c>
      <c r="F450" s="5" t="s">
        <v>1303</v>
      </c>
      <c r="G450" s="6" t="s">
        <v>425</v>
      </c>
      <c r="H450" s="6" t="s">
        <v>68</v>
      </c>
      <c r="I450" s="6" t="s">
        <v>3302</v>
      </c>
      <c r="J450" s="6">
        <v>59</v>
      </c>
      <c r="K450" s="7" t="s">
        <v>5232</v>
      </c>
      <c r="L450" s="8">
        <v>81539767</v>
      </c>
      <c r="M450" s="8" t="str">
        <f t="shared" si="38"/>
        <v>PEN</v>
      </c>
      <c r="N450" s="13"/>
      <c r="O450" s="13">
        <v>21</v>
      </c>
      <c r="P450" s="3">
        <f t="shared" ref="P450:P475" si="39">+IF(OR($F450="SALDO",$F450="INGRESO"),$O450,0)</f>
        <v>21</v>
      </c>
      <c r="Q450" s="3">
        <f t="shared" ref="Q450:Q475" si="40">+IF($F450="EGRESO",$O450,0)</f>
        <v>0</v>
      </c>
      <c r="R450" s="3">
        <f t="shared" ref="R450:R513" si="41">IFERROR(IF(F450="SALDO",P450,R449+P450-Q450),0)</f>
        <v>50117.220000000008</v>
      </c>
      <c r="S450" s="24" t="s">
        <v>1334</v>
      </c>
      <c r="T450" s="24" t="s">
        <v>1334</v>
      </c>
      <c r="U450" s="3"/>
      <c r="V450" s="19" t="str">
        <f>IFERROR(VLOOKUP(Banco_Nacion[[#This Row],[responsable]],Clientes_Proveedores[[Ruc / Dni]:[Razon Social]],2,0),"")</f>
        <v>ISC INGENIERIA DEL SUR S.A.C.</v>
      </c>
      <c r="W450" s="19" t="str">
        <f>IF(Banco_Nacion[[#This Row],[tipo_mov]]="INGRESO",Banco_Nacion[[#This Row],[serie]]&amp;Banco_Nacion[[#This Row],[numero]]&amp;Banco_Nacion[[#This Row],[responsable]]&amp;Banco_Nacion[[#This Row],[monto]],"")</f>
        <v>FF02592055820333221</v>
      </c>
      <c r="X450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81539767</v>
      </c>
      <c r="Y450" s="3" t="str">
        <f>IFERROR(VLOOKUP(Banco_Nacion[[#This Row],[serie]]&amp;Banco_Nacion[[#This Row],[numero]]&amp;Banco_Nacion[[#This Row],[responsable]],[2]!Provision_CXC[[ID CXP]:[DETRACCION]],47,0),"")</f>
        <v/>
      </c>
      <c r="Z450" s="3"/>
      <c r="AA450" s="24" t="str">
        <f>IF(Banco_Nacion[[#This Row],[fecha]]&gt;0,TEXT(Banco_Nacion[[#This Row],[fecha]],"mmmm"),0)</f>
        <v>Julio</v>
      </c>
    </row>
    <row r="451" spans="1:27" x14ac:dyDescent="0.3">
      <c r="A451" s="2">
        <f>IF(Banco_Nacion[[#This Row],[tipo_registro]]="R",COUNTIFS($C$1:$C450,"R")+1,"")</f>
        <v>450</v>
      </c>
      <c r="B451" s="19" t="str">
        <f t="shared" si="37"/>
        <v>B-Banco de la Nacion</v>
      </c>
      <c r="C451" s="3" t="s">
        <v>1330</v>
      </c>
      <c r="D451" s="14">
        <v>45839</v>
      </c>
      <c r="E451" s="5">
        <v>20402885549</v>
      </c>
      <c r="F451" s="5" t="s">
        <v>1303</v>
      </c>
      <c r="G451" s="6" t="s">
        <v>425</v>
      </c>
      <c r="H451" s="6" t="s">
        <v>68</v>
      </c>
      <c r="I451" s="6" t="s">
        <v>3302</v>
      </c>
      <c r="J451" s="6">
        <v>80</v>
      </c>
      <c r="K451" s="7" t="s">
        <v>5232</v>
      </c>
      <c r="L451" s="8">
        <v>81431565</v>
      </c>
      <c r="M451" s="8" t="str">
        <f t="shared" si="38"/>
        <v>PEN</v>
      </c>
      <c r="N451" s="13"/>
      <c r="O451" s="13">
        <v>4866</v>
      </c>
      <c r="P451" s="3">
        <f t="shared" si="39"/>
        <v>4866</v>
      </c>
      <c r="Q451" s="3">
        <f t="shared" si="40"/>
        <v>0</v>
      </c>
      <c r="R451" s="3">
        <f t="shared" si="41"/>
        <v>54983.220000000008</v>
      </c>
      <c r="S451" s="24" t="s">
        <v>1334</v>
      </c>
      <c r="T451" s="24" t="s">
        <v>1334</v>
      </c>
      <c r="U451" s="3"/>
      <c r="V451" s="19" t="str">
        <f>IFERROR(VLOOKUP(Banco_Nacion[[#This Row],[responsable]],Clientes_Proveedores[[Ruc / Dni]:[Razon Social]],2,0),"")</f>
        <v>EMPRESA SIDERURGICA DEL PERU S.A.A.</v>
      </c>
      <c r="W451" s="19" t="str">
        <f>IF(Banco_Nacion[[#This Row],[tipo_mov]]="INGRESO",Banco_Nacion[[#This Row],[serie]]&amp;Banco_Nacion[[#This Row],[numero]]&amp;Banco_Nacion[[#This Row],[responsable]]&amp;Banco_Nacion[[#This Row],[monto]],"")</f>
        <v>FF0280204028855494866</v>
      </c>
      <c r="X451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81431565</v>
      </c>
      <c r="Y451" s="3" t="str">
        <f>IFERROR(VLOOKUP(Banco_Nacion[[#This Row],[serie]]&amp;Banco_Nacion[[#This Row],[numero]]&amp;Banco_Nacion[[#This Row],[responsable]],[2]!Provision_CXC[[ID CXP]:[DETRACCION]],47,0),"")</f>
        <v/>
      </c>
      <c r="Z451" s="3"/>
      <c r="AA451" s="24" t="str">
        <f>IF(Banco_Nacion[[#This Row],[fecha]]&gt;0,TEXT(Banco_Nacion[[#This Row],[fecha]],"mmmm"),0)</f>
        <v>Julio</v>
      </c>
    </row>
    <row r="452" spans="1:27" x14ac:dyDescent="0.3">
      <c r="A452" s="2">
        <f>IF(Banco_Nacion[[#This Row],[tipo_registro]]="R",COUNTIFS($C$1:$C451,"R")+1,"")</f>
        <v>451</v>
      </c>
      <c r="B452" s="19" t="str">
        <f t="shared" si="37"/>
        <v>B-Banco de la Nacion</v>
      </c>
      <c r="C452" s="3" t="s">
        <v>1330</v>
      </c>
      <c r="D452" s="14">
        <v>45839</v>
      </c>
      <c r="E452" s="5"/>
      <c r="F452" s="5" t="s">
        <v>1336</v>
      </c>
      <c r="G452" s="6"/>
      <c r="H452" s="6"/>
      <c r="I452" s="6" t="s">
        <v>5231</v>
      </c>
      <c r="J452" s="6" t="s">
        <v>5231</v>
      </c>
      <c r="K452" s="7" t="s">
        <v>5234</v>
      </c>
      <c r="L452" s="8">
        <v>78787878</v>
      </c>
      <c r="M452" s="8" t="str">
        <f t="shared" si="38"/>
        <v>PEN</v>
      </c>
      <c r="N452" s="13"/>
      <c r="O452" s="13">
        <v>18801</v>
      </c>
      <c r="P452" s="3">
        <f t="shared" si="39"/>
        <v>0</v>
      </c>
      <c r="Q452" s="3">
        <f t="shared" si="40"/>
        <v>18801</v>
      </c>
      <c r="R452" s="3">
        <f t="shared" si="41"/>
        <v>36182.220000000008</v>
      </c>
      <c r="S452" s="24"/>
      <c r="T452" s="24"/>
      <c r="U452" s="3"/>
      <c r="V452" s="19" t="str">
        <f>IFERROR(VLOOKUP(Banco_Nacion[[#This Row],[responsable]],Clientes_Proveedores[[Ruc / Dni]:[Razon Social]],2,0),"")</f>
        <v/>
      </c>
      <c r="W452" s="19" t="str">
        <f>IF(Banco_Nacion[[#This Row],[tipo_mov]]="INGRESO",Banco_Nacion[[#This Row],[serie]]&amp;Banco_Nacion[[#This Row],[numero]]&amp;Banco_Nacion[[#This Row],[responsable]]&amp;Banco_Nacion[[#This Row],[monto]],"")</f>
        <v/>
      </c>
      <c r="X452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/>
      </c>
      <c r="Y452" s="3" t="str">
        <f>IFERROR(VLOOKUP(Banco_Nacion[[#This Row],[serie]]&amp;Banco_Nacion[[#This Row],[numero]]&amp;Banco_Nacion[[#This Row],[responsable]],[2]!Provision_CXC[[ID CXP]:[DETRACCION]],47,0),"")</f>
        <v/>
      </c>
      <c r="Z452" s="3"/>
      <c r="AA452" s="24" t="str">
        <f>IF(Banco_Nacion[[#This Row],[fecha]]&gt;0,TEXT(Banco_Nacion[[#This Row],[fecha]],"mmmm"),0)</f>
        <v>Julio</v>
      </c>
    </row>
    <row r="453" spans="1:27" x14ac:dyDescent="0.3">
      <c r="A453" s="2">
        <f>IF(Banco_Nacion[[#This Row],[tipo_registro]]="R",COUNTIFS($C$1:$C452,"R")+1,"")</f>
        <v>452</v>
      </c>
      <c r="B453" s="19" t="str">
        <f t="shared" si="37"/>
        <v>B-Banco de la Nacion</v>
      </c>
      <c r="C453" s="3" t="s">
        <v>1330</v>
      </c>
      <c r="D453" s="14">
        <v>45839</v>
      </c>
      <c r="E453" s="5"/>
      <c r="F453" s="5" t="s">
        <v>1336</v>
      </c>
      <c r="G453" s="6"/>
      <c r="H453" s="6"/>
      <c r="I453" s="6" t="s">
        <v>5231</v>
      </c>
      <c r="J453" s="6" t="s">
        <v>5231</v>
      </c>
      <c r="K453" s="7" t="s">
        <v>5234</v>
      </c>
      <c r="L453" s="8">
        <v>78787878</v>
      </c>
      <c r="M453" s="8" t="str">
        <f t="shared" si="38"/>
        <v>PEN</v>
      </c>
      <c r="N453" s="13"/>
      <c r="O453" s="13">
        <v>866</v>
      </c>
      <c r="P453" s="3">
        <f t="shared" si="39"/>
        <v>0</v>
      </c>
      <c r="Q453" s="3">
        <f t="shared" si="40"/>
        <v>866</v>
      </c>
      <c r="R453" s="3">
        <f t="shared" si="41"/>
        <v>35316.220000000008</v>
      </c>
      <c r="S453" s="24"/>
      <c r="T453" s="24"/>
      <c r="U453" s="3"/>
      <c r="V453" s="19" t="str">
        <f>IFERROR(VLOOKUP(Banco_Nacion[[#This Row],[responsable]],Clientes_Proveedores[[Ruc / Dni]:[Razon Social]],2,0),"")</f>
        <v/>
      </c>
      <c r="W453" s="19" t="str">
        <f>IF(Banco_Nacion[[#This Row],[tipo_mov]]="INGRESO",Banco_Nacion[[#This Row],[serie]]&amp;Banco_Nacion[[#This Row],[numero]]&amp;Banco_Nacion[[#This Row],[responsable]]&amp;Banco_Nacion[[#This Row],[monto]],"")</f>
        <v/>
      </c>
      <c r="X453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/>
      </c>
      <c r="Y453" s="3" t="str">
        <f>IFERROR(VLOOKUP(Banco_Nacion[[#This Row],[serie]]&amp;Banco_Nacion[[#This Row],[numero]]&amp;Banco_Nacion[[#This Row],[responsable]],[2]!Provision_CXC[[ID CXP]:[DETRACCION]],47,0),"")</f>
        <v/>
      </c>
      <c r="Z453" s="3"/>
      <c r="AA453" s="24" t="str">
        <f>IF(Banco_Nacion[[#This Row],[fecha]]&gt;0,TEXT(Banco_Nacion[[#This Row],[fecha]],"mmmm"),0)</f>
        <v>Julio</v>
      </c>
    </row>
    <row r="454" spans="1:27" x14ac:dyDescent="0.3">
      <c r="A454" s="2">
        <f>IF(Banco_Nacion[[#This Row],[tipo_registro]]="R",COUNTIFS($C$1:$C453,"R")+1,"")</f>
        <v>453</v>
      </c>
      <c r="B454" s="19" t="str">
        <f t="shared" si="37"/>
        <v>B-Banco de la Nacion</v>
      </c>
      <c r="C454" s="3" t="s">
        <v>1330</v>
      </c>
      <c r="D454" s="14">
        <v>45840</v>
      </c>
      <c r="E454" s="5">
        <v>20100172543</v>
      </c>
      <c r="F454" s="5" t="s">
        <v>1303</v>
      </c>
      <c r="G454" s="6" t="s">
        <v>425</v>
      </c>
      <c r="H454" s="6" t="s">
        <v>68</v>
      </c>
      <c r="I454" s="6" t="s">
        <v>1784</v>
      </c>
      <c r="J454" s="6">
        <v>125</v>
      </c>
      <c r="K454" s="7" t="s">
        <v>5232</v>
      </c>
      <c r="L454" s="8">
        <v>81718111</v>
      </c>
      <c r="M454" s="8" t="str">
        <f t="shared" si="38"/>
        <v>PEN</v>
      </c>
      <c r="N454" s="13"/>
      <c r="O454" s="13">
        <v>171</v>
      </c>
      <c r="P454" s="3">
        <f t="shared" si="39"/>
        <v>171</v>
      </c>
      <c r="Q454" s="3">
        <f t="shared" si="40"/>
        <v>0</v>
      </c>
      <c r="R454" s="3">
        <f t="shared" si="41"/>
        <v>35487.220000000008</v>
      </c>
      <c r="S454" s="24" t="s">
        <v>1334</v>
      </c>
      <c r="T454" s="24" t="s">
        <v>1334</v>
      </c>
      <c r="U454" s="3"/>
      <c r="V454" s="19" t="str">
        <f>IFERROR(VLOOKUP(Banco_Nacion[[#This Row],[responsable]],Clientes_Proveedores[[Ruc / Dni]:[Razon Social]],2,0),"")</f>
        <v>MOVITECNICA S A</v>
      </c>
      <c r="W454" s="19" t="str">
        <f>IF(Banco_Nacion[[#This Row],[tipo_mov]]="INGRESO",Banco_Nacion[[#This Row],[serie]]&amp;Banco_Nacion[[#This Row],[numero]]&amp;Banco_Nacion[[#This Row],[responsable]]&amp;Banco_Nacion[[#This Row],[monto]],"")</f>
        <v>FF0112520100172543171</v>
      </c>
      <c r="X454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81718111</v>
      </c>
      <c r="Y454" s="3" t="str">
        <f>IFERROR(VLOOKUP(Banco_Nacion[[#This Row],[serie]]&amp;Banco_Nacion[[#This Row],[numero]]&amp;Banco_Nacion[[#This Row],[responsable]],[2]!Provision_CXC[[ID CXP]:[DETRACCION]],47,0),"")</f>
        <v/>
      </c>
      <c r="Z454" s="3"/>
      <c r="AA454" s="24" t="str">
        <f>IF(Banco_Nacion[[#This Row],[fecha]]&gt;0,TEXT(Banco_Nacion[[#This Row],[fecha]],"mmmm"),0)</f>
        <v>Julio</v>
      </c>
    </row>
    <row r="455" spans="1:27" x14ac:dyDescent="0.3">
      <c r="A455" s="2">
        <f>IF(Banco_Nacion[[#This Row],[tipo_registro]]="R",COUNTIFS($C$1:$C454,"R")+1,"")</f>
        <v>454</v>
      </c>
      <c r="B455" s="19" t="str">
        <f t="shared" si="37"/>
        <v>B-Banco de la Nacion</v>
      </c>
      <c r="C455" s="3" t="s">
        <v>1330</v>
      </c>
      <c r="D455" s="14">
        <v>45840</v>
      </c>
      <c r="E455" s="5">
        <v>20159473148</v>
      </c>
      <c r="F455" s="5" t="s">
        <v>1303</v>
      </c>
      <c r="G455" s="6" t="s">
        <v>425</v>
      </c>
      <c r="H455" s="6" t="s">
        <v>68</v>
      </c>
      <c r="I455" s="6" t="s">
        <v>1784</v>
      </c>
      <c r="J455" s="6">
        <v>131</v>
      </c>
      <c r="K455" s="7" t="s">
        <v>5232</v>
      </c>
      <c r="L455" s="8">
        <v>81705578</v>
      </c>
      <c r="M455" s="8" t="str">
        <f t="shared" si="38"/>
        <v>PEN</v>
      </c>
      <c r="N455" s="13"/>
      <c r="O455" s="13">
        <v>169</v>
      </c>
      <c r="P455" s="3">
        <f t="shared" si="39"/>
        <v>169</v>
      </c>
      <c r="Q455" s="3">
        <f t="shared" si="40"/>
        <v>0</v>
      </c>
      <c r="R455" s="3">
        <f t="shared" si="41"/>
        <v>35656.220000000008</v>
      </c>
      <c r="S455" s="24" t="s">
        <v>1334</v>
      </c>
      <c r="T455" s="24" t="s">
        <v>1334</v>
      </c>
      <c r="U455" s="3"/>
      <c r="V455" s="19" t="str">
        <f>IFERROR(VLOOKUP(Banco_Nacion[[#This Row],[responsable]],Clientes_Proveedores[[Ruc / Dni]:[Razon Social]],2,0),"")</f>
        <v>PESQUERA DIAMANTE S.A.</v>
      </c>
      <c r="W455" s="19" t="str">
        <f>IF(Banco_Nacion[[#This Row],[tipo_mov]]="INGRESO",Banco_Nacion[[#This Row],[serie]]&amp;Banco_Nacion[[#This Row],[numero]]&amp;Banco_Nacion[[#This Row],[responsable]]&amp;Banco_Nacion[[#This Row],[monto]],"")</f>
        <v>FF0113120159473148169</v>
      </c>
      <c r="X455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81705578</v>
      </c>
      <c r="Y455" s="3" t="str">
        <f>IFERROR(VLOOKUP(Banco_Nacion[[#This Row],[serie]]&amp;Banco_Nacion[[#This Row],[numero]]&amp;Banco_Nacion[[#This Row],[responsable]],[2]!Provision_CXC[[ID CXP]:[DETRACCION]],47,0),"")</f>
        <v/>
      </c>
      <c r="Z455" s="3"/>
      <c r="AA455" s="24" t="str">
        <f>IF(Banco_Nacion[[#This Row],[fecha]]&gt;0,TEXT(Banco_Nacion[[#This Row],[fecha]],"mmmm"),0)</f>
        <v>Julio</v>
      </c>
    </row>
    <row r="456" spans="1:27" x14ac:dyDescent="0.3">
      <c r="A456" s="2">
        <f>IF(Banco_Nacion[[#This Row],[tipo_registro]]="R",COUNTIFS($C$1:$C455,"R")+1,"")</f>
        <v>455</v>
      </c>
      <c r="B456" s="19" t="str">
        <f t="shared" si="37"/>
        <v>B-Banco de la Nacion</v>
      </c>
      <c r="C456" s="3" t="s">
        <v>1330</v>
      </c>
      <c r="D456" s="14">
        <v>45842</v>
      </c>
      <c r="E456" s="5">
        <v>20100192064</v>
      </c>
      <c r="F456" s="5" t="s">
        <v>1303</v>
      </c>
      <c r="G456" s="6" t="s">
        <v>425</v>
      </c>
      <c r="H456" s="6" t="s">
        <v>68</v>
      </c>
      <c r="I456" s="6" t="s">
        <v>1784</v>
      </c>
      <c r="J456" s="6">
        <v>141</v>
      </c>
      <c r="K456" s="7" t="s">
        <v>5232</v>
      </c>
      <c r="L456" s="8">
        <v>81933838</v>
      </c>
      <c r="M456" s="8" t="str">
        <f t="shared" si="38"/>
        <v>PEN</v>
      </c>
      <c r="N456" s="13"/>
      <c r="O456" s="13">
        <v>463</v>
      </c>
      <c r="P456" s="3">
        <f t="shared" si="39"/>
        <v>463</v>
      </c>
      <c r="Q456" s="3">
        <f t="shared" si="40"/>
        <v>0</v>
      </c>
      <c r="R456" s="3">
        <f t="shared" si="41"/>
        <v>36119.220000000008</v>
      </c>
      <c r="S456" s="24" t="s">
        <v>1334</v>
      </c>
      <c r="T456" s="24" t="s">
        <v>1334</v>
      </c>
      <c r="U456" s="3"/>
      <c r="V456" s="19" t="str">
        <f>IFERROR(VLOOKUP(Banco_Nacion[[#This Row],[responsable]],Clientes_Proveedores[[Ruc / Dni]:[Razon Social]],2,0),"")</f>
        <v>MOLY-COP ADESUR S.A</v>
      </c>
      <c r="W456" s="19" t="str">
        <f>IF(Banco_Nacion[[#This Row],[tipo_mov]]="INGRESO",Banco_Nacion[[#This Row],[serie]]&amp;Banco_Nacion[[#This Row],[numero]]&amp;Banco_Nacion[[#This Row],[responsable]]&amp;Banco_Nacion[[#This Row],[monto]],"")</f>
        <v>FF0114120100192064463</v>
      </c>
      <c r="X456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81933838</v>
      </c>
      <c r="Y456" s="3" t="str">
        <f>IFERROR(VLOOKUP(Banco_Nacion[[#This Row],[serie]]&amp;Banco_Nacion[[#This Row],[numero]]&amp;Banco_Nacion[[#This Row],[responsable]],[2]!Provision_CXC[[ID CXP]:[DETRACCION]],47,0),"")</f>
        <v/>
      </c>
      <c r="Z456" s="3"/>
      <c r="AA456" s="24" t="str">
        <f>IF(Banco_Nacion[[#This Row],[fecha]]&gt;0,TEXT(Banco_Nacion[[#This Row],[fecha]],"mmmm"),0)</f>
        <v>Julio</v>
      </c>
    </row>
    <row r="457" spans="1:27" x14ac:dyDescent="0.3">
      <c r="A457" s="2">
        <f>IF(Banco_Nacion[[#This Row],[tipo_registro]]="R",COUNTIFS($C$1:$C456,"R")+1,"")</f>
        <v>456</v>
      </c>
      <c r="B457" s="19" t="str">
        <f t="shared" si="37"/>
        <v>B-Banco de la Nacion</v>
      </c>
      <c r="C457" s="3" t="s">
        <v>1330</v>
      </c>
      <c r="D457" s="14">
        <v>45842</v>
      </c>
      <c r="E457" s="5">
        <v>20100192064</v>
      </c>
      <c r="F457" s="5" t="s">
        <v>1303</v>
      </c>
      <c r="G457" s="6" t="s">
        <v>425</v>
      </c>
      <c r="H457" s="6" t="s">
        <v>68</v>
      </c>
      <c r="I457" s="6" t="s">
        <v>1784</v>
      </c>
      <c r="J457" s="6">
        <v>140</v>
      </c>
      <c r="K457" s="7" t="s">
        <v>5232</v>
      </c>
      <c r="L457" s="8">
        <v>81933777</v>
      </c>
      <c r="M457" s="8" t="str">
        <f t="shared" si="38"/>
        <v>PEN</v>
      </c>
      <c r="N457" s="13"/>
      <c r="O457" s="13">
        <v>668</v>
      </c>
      <c r="P457" s="3">
        <f t="shared" si="39"/>
        <v>668</v>
      </c>
      <c r="Q457" s="3">
        <f t="shared" si="40"/>
        <v>0</v>
      </c>
      <c r="R457" s="3">
        <f t="shared" si="41"/>
        <v>36787.220000000008</v>
      </c>
      <c r="S457" s="24" t="s">
        <v>1334</v>
      </c>
      <c r="T457" s="24" t="s">
        <v>1334</v>
      </c>
      <c r="U457" s="3"/>
      <c r="V457" s="19" t="str">
        <f>IFERROR(VLOOKUP(Banco_Nacion[[#This Row],[responsable]],Clientes_Proveedores[[Ruc / Dni]:[Razon Social]],2,0),"")</f>
        <v>MOLY-COP ADESUR S.A</v>
      </c>
      <c r="W457" s="19" t="str">
        <f>IF(Banco_Nacion[[#This Row],[tipo_mov]]="INGRESO",Banco_Nacion[[#This Row],[serie]]&amp;Banco_Nacion[[#This Row],[numero]]&amp;Banco_Nacion[[#This Row],[responsable]]&amp;Banco_Nacion[[#This Row],[monto]],"")</f>
        <v>FF0114020100192064668</v>
      </c>
      <c r="X457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81933777</v>
      </c>
      <c r="Y457" s="3" t="str">
        <f>IFERROR(VLOOKUP(Banco_Nacion[[#This Row],[serie]]&amp;Banco_Nacion[[#This Row],[numero]]&amp;Banco_Nacion[[#This Row],[responsable]],[2]!Provision_CXC[[ID CXP]:[DETRACCION]],47,0),"")</f>
        <v/>
      </c>
      <c r="Z457" s="3"/>
      <c r="AA457" s="24" t="str">
        <f>IF(Banco_Nacion[[#This Row],[fecha]]&gt;0,TEXT(Banco_Nacion[[#This Row],[fecha]],"mmmm"),0)</f>
        <v>Julio</v>
      </c>
    </row>
    <row r="458" spans="1:27" x14ac:dyDescent="0.3">
      <c r="A458" s="2">
        <f>IF(Banco_Nacion[[#This Row],[tipo_registro]]="R",COUNTIFS($C$1:$C457,"R")+1,"")</f>
        <v>457</v>
      </c>
      <c r="B458" s="19" t="str">
        <f t="shared" si="37"/>
        <v>B-Banco de la Nacion</v>
      </c>
      <c r="C458" s="3" t="s">
        <v>1330</v>
      </c>
      <c r="D458" s="14">
        <v>45842</v>
      </c>
      <c r="E458" s="5">
        <v>20100192064</v>
      </c>
      <c r="F458" s="5" t="s">
        <v>1303</v>
      </c>
      <c r="G458" s="6" t="s">
        <v>425</v>
      </c>
      <c r="H458" s="6" t="s">
        <v>68</v>
      </c>
      <c r="I458" s="6" t="s">
        <v>1784</v>
      </c>
      <c r="J458" s="6">
        <v>134</v>
      </c>
      <c r="K458" s="7" t="s">
        <v>5232</v>
      </c>
      <c r="L458" s="8">
        <v>81933716</v>
      </c>
      <c r="M458" s="8" t="str">
        <f t="shared" si="38"/>
        <v>PEN</v>
      </c>
      <c r="N458" s="13"/>
      <c r="O458" s="13">
        <v>1313</v>
      </c>
      <c r="P458" s="3">
        <f t="shared" si="39"/>
        <v>1313</v>
      </c>
      <c r="Q458" s="3">
        <f t="shared" si="40"/>
        <v>0</v>
      </c>
      <c r="R458" s="3">
        <f t="shared" si="41"/>
        <v>38100.220000000008</v>
      </c>
      <c r="S458" s="24" t="s">
        <v>1334</v>
      </c>
      <c r="T458" s="24" t="s">
        <v>1334</v>
      </c>
      <c r="U458" s="3"/>
      <c r="V458" s="19" t="str">
        <f>IFERROR(VLOOKUP(Banco_Nacion[[#This Row],[responsable]],Clientes_Proveedores[[Ruc / Dni]:[Razon Social]],2,0),"")</f>
        <v>MOLY-COP ADESUR S.A</v>
      </c>
      <c r="W458" s="19" t="str">
        <f>IF(Banco_Nacion[[#This Row],[tipo_mov]]="INGRESO",Banco_Nacion[[#This Row],[serie]]&amp;Banco_Nacion[[#This Row],[numero]]&amp;Banco_Nacion[[#This Row],[responsable]]&amp;Banco_Nacion[[#This Row],[monto]],"")</f>
        <v>FF01134201001920641313</v>
      </c>
      <c r="X458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81933716</v>
      </c>
      <c r="Y458" s="3" t="str">
        <f>IFERROR(VLOOKUP(Banco_Nacion[[#This Row],[serie]]&amp;Banco_Nacion[[#This Row],[numero]]&amp;Banco_Nacion[[#This Row],[responsable]],[2]!Provision_CXC[[ID CXP]:[DETRACCION]],47,0),"")</f>
        <v/>
      </c>
      <c r="Z458" s="3"/>
      <c r="AA458" s="24" t="str">
        <f>IF(Banco_Nacion[[#This Row],[fecha]]&gt;0,TEXT(Banco_Nacion[[#This Row],[fecha]],"mmmm"),0)</f>
        <v>Julio</v>
      </c>
    </row>
    <row r="459" spans="1:27" x14ac:dyDescent="0.3">
      <c r="A459" s="2">
        <f>IF(Banco_Nacion[[#This Row],[tipo_registro]]="R",COUNTIFS($C$1:$C458,"R")+1,"")</f>
        <v>458</v>
      </c>
      <c r="B459" s="19" t="str">
        <f t="shared" si="37"/>
        <v>B-Banco de la Nacion</v>
      </c>
      <c r="C459" s="3" t="s">
        <v>1330</v>
      </c>
      <c r="D459" s="14">
        <v>45842</v>
      </c>
      <c r="E459" s="5">
        <v>20100192064</v>
      </c>
      <c r="F459" s="5" t="s">
        <v>1303</v>
      </c>
      <c r="G459" s="6" t="s">
        <v>425</v>
      </c>
      <c r="H459" s="6" t="s">
        <v>68</v>
      </c>
      <c r="I459" s="6" t="s">
        <v>1784</v>
      </c>
      <c r="J459" s="6">
        <v>133</v>
      </c>
      <c r="K459" s="7" t="s">
        <v>5232</v>
      </c>
      <c r="L459" s="8">
        <v>81933678</v>
      </c>
      <c r="M459" s="8" t="str">
        <f t="shared" si="38"/>
        <v>PEN</v>
      </c>
      <c r="N459" s="13"/>
      <c r="O459" s="13">
        <v>213</v>
      </c>
      <c r="P459" s="3">
        <f t="shared" si="39"/>
        <v>213</v>
      </c>
      <c r="Q459" s="3">
        <f t="shared" si="40"/>
        <v>0</v>
      </c>
      <c r="R459" s="3">
        <f t="shared" si="41"/>
        <v>38313.220000000008</v>
      </c>
      <c r="S459" s="24" t="s">
        <v>1334</v>
      </c>
      <c r="T459" s="24" t="s">
        <v>1334</v>
      </c>
      <c r="U459" s="3"/>
      <c r="V459" s="19" t="str">
        <f>IFERROR(VLOOKUP(Banco_Nacion[[#This Row],[responsable]],Clientes_Proveedores[[Ruc / Dni]:[Razon Social]],2,0),"")</f>
        <v>MOLY-COP ADESUR S.A</v>
      </c>
      <c r="W459" s="19" t="str">
        <f>IF(Banco_Nacion[[#This Row],[tipo_mov]]="INGRESO",Banco_Nacion[[#This Row],[serie]]&amp;Banco_Nacion[[#This Row],[numero]]&amp;Banco_Nacion[[#This Row],[responsable]]&amp;Banco_Nacion[[#This Row],[monto]],"")</f>
        <v>FF0113320100192064213</v>
      </c>
      <c r="X459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81933678</v>
      </c>
      <c r="Y459" s="3" t="str">
        <f>IFERROR(VLOOKUP(Banco_Nacion[[#This Row],[serie]]&amp;Banco_Nacion[[#This Row],[numero]]&amp;Banco_Nacion[[#This Row],[responsable]],[2]!Provision_CXC[[ID CXP]:[DETRACCION]],47,0),"")</f>
        <v/>
      </c>
      <c r="Z459" s="3"/>
      <c r="AA459" s="24" t="str">
        <f>IF(Banco_Nacion[[#This Row],[fecha]]&gt;0,TEXT(Banco_Nacion[[#This Row],[fecha]],"mmmm"),0)</f>
        <v>Julio</v>
      </c>
    </row>
    <row r="460" spans="1:27" x14ac:dyDescent="0.3">
      <c r="A460" s="2">
        <f>IF(Banco_Nacion[[#This Row],[tipo_registro]]="R",COUNTIFS($C$1:$C459,"R")+1,"")</f>
        <v>459</v>
      </c>
      <c r="B460" s="19" t="str">
        <f t="shared" si="37"/>
        <v>B-Banco de la Nacion</v>
      </c>
      <c r="C460" s="3" t="s">
        <v>1330</v>
      </c>
      <c r="D460" s="14">
        <v>45842</v>
      </c>
      <c r="E460" s="5">
        <v>20514133931</v>
      </c>
      <c r="F460" s="5" t="s">
        <v>1303</v>
      </c>
      <c r="G460" s="6" t="s">
        <v>425</v>
      </c>
      <c r="H460" s="6" t="s">
        <v>68</v>
      </c>
      <c r="I460" s="6" t="s">
        <v>3302</v>
      </c>
      <c r="J460" s="6">
        <v>57</v>
      </c>
      <c r="K460" s="7" t="s">
        <v>5232</v>
      </c>
      <c r="L460" s="8">
        <v>81915276</v>
      </c>
      <c r="M460" s="8" t="str">
        <f t="shared" si="38"/>
        <v>PEN</v>
      </c>
      <c r="N460" s="13"/>
      <c r="O460" s="13">
        <v>116</v>
      </c>
      <c r="P460" s="3">
        <f t="shared" si="39"/>
        <v>116</v>
      </c>
      <c r="Q460" s="3">
        <f t="shared" si="40"/>
        <v>0</v>
      </c>
      <c r="R460" s="3">
        <f t="shared" si="41"/>
        <v>38429.220000000008</v>
      </c>
      <c r="S460" s="24" t="s">
        <v>1334</v>
      </c>
      <c r="T460" s="24" t="s">
        <v>1334</v>
      </c>
      <c r="U460" s="3"/>
      <c r="V460" s="19" t="str">
        <f>IFERROR(VLOOKUP(Banco_Nacion[[#This Row],[responsable]],Clientes_Proveedores[[Ruc / Dni]:[Razon Social]],2,0),"")</f>
        <v>CORPORACION MEDIOAMBIENTAL AMPCO PERU SOCIEDAD ANONIMA CERRADA
- CM AMPCO PERU S.A.C</v>
      </c>
      <c r="W460" s="19" t="str">
        <f>IF(Banco_Nacion[[#This Row],[tipo_mov]]="INGRESO",Banco_Nacion[[#This Row],[serie]]&amp;Banco_Nacion[[#This Row],[numero]]&amp;Banco_Nacion[[#This Row],[responsable]]&amp;Banco_Nacion[[#This Row],[monto]],"")</f>
        <v>FF025720514133931116</v>
      </c>
      <c r="X460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81915276</v>
      </c>
      <c r="Y460" s="3" t="str">
        <f>IFERROR(VLOOKUP(Banco_Nacion[[#This Row],[serie]]&amp;Banco_Nacion[[#This Row],[numero]]&amp;Banco_Nacion[[#This Row],[responsable]],[2]!Provision_CXC[[ID CXP]:[DETRACCION]],47,0),"")</f>
        <v/>
      </c>
      <c r="Z460" s="3"/>
      <c r="AA460" s="24" t="str">
        <f>IF(Banco_Nacion[[#This Row],[fecha]]&gt;0,TEXT(Banco_Nacion[[#This Row],[fecha]],"mmmm"),0)</f>
        <v>Julio</v>
      </c>
    </row>
    <row r="461" spans="1:27" x14ac:dyDescent="0.3">
      <c r="A461" s="2">
        <f>IF(Banco_Nacion[[#This Row],[tipo_registro]]="R",COUNTIFS($C$1:$C460,"R")+1,"")</f>
        <v>460</v>
      </c>
      <c r="B461" s="19" t="str">
        <f t="shared" si="37"/>
        <v>B-Banco de la Nacion</v>
      </c>
      <c r="C461" s="3" t="s">
        <v>1330</v>
      </c>
      <c r="D461" s="14">
        <v>45842</v>
      </c>
      <c r="E461" s="5">
        <v>20514133931</v>
      </c>
      <c r="F461" s="5" t="s">
        <v>1303</v>
      </c>
      <c r="G461" s="6" t="s">
        <v>425</v>
      </c>
      <c r="H461" s="6" t="s">
        <v>68</v>
      </c>
      <c r="I461" s="6" t="s">
        <v>3302</v>
      </c>
      <c r="J461" s="6">
        <v>56</v>
      </c>
      <c r="K461" s="7" t="s">
        <v>5232</v>
      </c>
      <c r="L461" s="8">
        <v>81915275</v>
      </c>
      <c r="M461" s="8" t="str">
        <f t="shared" si="38"/>
        <v>PEN</v>
      </c>
      <c r="N461" s="13"/>
      <c r="O461" s="13">
        <v>20</v>
      </c>
      <c r="P461" s="3">
        <f t="shared" si="39"/>
        <v>20</v>
      </c>
      <c r="Q461" s="3">
        <f t="shared" si="40"/>
        <v>0</v>
      </c>
      <c r="R461" s="3">
        <f t="shared" si="41"/>
        <v>38449.220000000008</v>
      </c>
      <c r="S461" s="24" t="s">
        <v>1334</v>
      </c>
      <c r="T461" s="24" t="s">
        <v>1334</v>
      </c>
      <c r="U461" s="3"/>
      <c r="V461" s="19" t="str">
        <f>IFERROR(VLOOKUP(Banco_Nacion[[#This Row],[responsable]],Clientes_Proveedores[[Ruc / Dni]:[Razon Social]],2,0),"")</f>
        <v>CORPORACION MEDIOAMBIENTAL AMPCO PERU SOCIEDAD ANONIMA CERRADA
- CM AMPCO PERU S.A.C</v>
      </c>
      <c r="W461" s="19" t="str">
        <f>IF(Banco_Nacion[[#This Row],[tipo_mov]]="INGRESO",Banco_Nacion[[#This Row],[serie]]&amp;Banco_Nacion[[#This Row],[numero]]&amp;Banco_Nacion[[#This Row],[responsable]]&amp;Banco_Nacion[[#This Row],[monto]],"")</f>
        <v>FF02562051413393120</v>
      </c>
      <c r="X461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81915275</v>
      </c>
      <c r="Y461" s="3" t="str">
        <f>IFERROR(VLOOKUP(Banco_Nacion[[#This Row],[serie]]&amp;Banco_Nacion[[#This Row],[numero]]&amp;Banco_Nacion[[#This Row],[responsable]],[2]!Provision_CXC[[ID CXP]:[DETRACCION]],47,0),"")</f>
        <v/>
      </c>
      <c r="Z461" s="3"/>
      <c r="AA461" s="24" t="str">
        <f>IF(Banco_Nacion[[#This Row],[fecha]]&gt;0,TEXT(Banco_Nacion[[#This Row],[fecha]],"mmmm"),0)</f>
        <v>Julio</v>
      </c>
    </row>
    <row r="462" spans="1:27" x14ac:dyDescent="0.3">
      <c r="A462" s="2">
        <f>IF(Banco_Nacion[[#This Row],[tipo_registro]]="R",COUNTIFS($C$1:$C461,"R")+1,"")</f>
        <v>461</v>
      </c>
      <c r="B462" s="19" t="str">
        <f t="shared" si="37"/>
        <v>B-Banco de la Nacion</v>
      </c>
      <c r="C462" s="3" t="s">
        <v>1330</v>
      </c>
      <c r="D462" s="14">
        <v>45842</v>
      </c>
      <c r="E462" s="5">
        <v>20514133931</v>
      </c>
      <c r="F462" s="5" t="s">
        <v>1303</v>
      </c>
      <c r="G462" s="6" t="s">
        <v>425</v>
      </c>
      <c r="H462" s="6" t="s">
        <v>68</v>
      </c>
      <c r="I462" s="6" t="s">
        <v>3302</v>
      </c>
      <c r="J462" s="6">
        <v>55</v>
      </c>
      <c r="K462" s="7" t="s">
        <v>5232</v>
      </c>
      <c r="L462" s="8">
        <v>81915274</v>
      </c>
      <c r="M462" s="8" t="str">
        <f t="shared" si="38"/>
        <v>PEN</v>
      </c>
      <c r="N462" s="13"/>
      <c r="O462" s="13">
        <v>449</v>
      </c>
      <c r="P462" s="3">
        <f t="shared" si="39"/>
        <v>449</v>
      </c>
      <c r="Q462" s="3">
        <f t="shared" si="40"/>
        <v>0</v>
      </c>
      <c r="R462" s="3">
        <f t="shared" si="41"/>
        <v>38898.220000000008</v>
      </c>
      <c r="S462" s="24" t="s">
        <v>1334</v>
      </c>
      <c r="T462" s="24" t="s">
        <v>1334</v>
      </c>
      <c r="U462" s="3"/>
      <c r="V462" s="19" t="str">
        <f>IFERROR(VLOOKUP(Banco_Nacion[[#This Row],[responsable]],Clientes_Proveedores[[Ruc / Dni]:[Razon Social]],2,0),"")</f>
        <v>CORPORACION MEDIOAMBIENTAL AMPCO PERU SOCIEDAD ANONIMA CERRADA
- CM AMPCO PERU S.A.C</v>
      </c>
      <c r="W462" s="19" t="str">
        <f>IF(Banco_Nacion[[#This Row],[tipo_mov]]="INGRESO",Banco_Nacion[[#This Row],[serie]]&amp;Banco_Nacion[[#This Row],[numero]]&amp;Banco_Nacion[[#This Row],[responsable]]&amp;Banco_Nacion[[#This Row],[monto]],"")</f>
        <v>FF025520514133931449</v>
      </c>
      <c r="X462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81915274</v>
      </c>
      <c r="Y462" s="3" t="str">
        <f>IFERROR(VLOOKUP(Banco_Nacion[[#This Row],[serie]]&amp;Banco_Nacion[[#This Row],[numero]]&amp;Banco_Nacion[[#This Row],[responsable]],[2]!Provision_CXC[[ID CXP]:[DETRACCION]],47,0),"")</f>
        <v/>
      </c>
      <c r="Z462" s="3"/>
      <c r="AA462" s="24" t="str">
        <f>IF(Banco_Nacion[[#This Row],[fecha]]&gt;0,TEXT(Banco_Nacion[[#This Row],[fecha]],"mmmm"),0)</f>
        <v>Julio</v>
      </c>
    </row>
    <row r="463" spans="1:27" x14ac:dyDescent="0.3">
      <c r="A463" s="2">
        <f>IF(Banco_Nacion[[#This Row],[tipo_registro]]="R",COUNTIFS($C$1:$C462,"R")+1,"")</f>
        <v>462</v>
      </c>
      <c r="B463" s="19" t="str">
        <f t="shared" si="37"/>
        <v>B-Banco de la Nacion</v>
      </c>
      <c r="C463" s="3" t="s">
        <v>1330</v>
      </c>
      <c r="D463" s="14">
        <v>45842</v>
      </c>
      <c r="E463" s="5">
        <v>20455283915</v>
      </c>
      <c r="F463" s="5" t="s">
        <v>1303</v>
      </c>
      <c r="G463" s="6" t="s">
        <v>425</v>
      </c>
      <c r="H463" s="6" t="s">
        <v>68</v>
      </c>
      <c r="I463" s="6" t="s">
        <v>3302</v>
      </c>
      <c r="J463" s="6">
        <v>78</v>
      </c>
      <c r="K463" s="7" t="s">
        <v>5232</v>
      </c>
      <c r="L463" s="8">
        <v>27417149</v>
      </c>
      <c r="M463" s="8" t="str">
        <f t="shared" si="38"/>
        <v>PEN</v>
      </c>
      <c r="N463" s="13"/>
      <c r="O463" s="13">
        <v>19</v>
      </c>
      <c r="P463" s="3">
        <f t="shared" si="39"/>
        <v>19</v>
      </c>
      <c r="Q463" s="3">
        <f t="shared" si="40"/>
        <v>0</v>
      </c>
      <c r="R463" s="3">
        <f t="shared" si="41"/>
        <v>38917.220000000008</v>
      </c>
      <c r="S463" s="24" t="s">
        <v>1334</v>
      </c>
      <c r="T463" s="24" t="s">
        <v>1334</v>
      </c>
      <c r="U463" s="3"/>
      <c r="V463" s="19" t="str">
        <f>IFERROR(VLOOKUP(Banco_Nacion[[#This Row],[responsable]],Clientes_Proveedores[[Ruc / Dni]:[Razon Social]],2,0),"")</f>
        <v>EMPRESA CONSERVADORA AMBIENTAL DEL SUR E.I.R.L. - ECA SUR E.I.R.L.</v>
      </c>
      <c r="W463" s="19" t="str">
        <f>IF(Banco_Nacion[[#This Row],[tipo_mov]]="INGRESO",Banco_Nacion[[#This Row],[serie]]&amp;Banco_Nacion[[#This Row],[numero]]&amp;Banco_Nacion[[#This Row],[responsable]]&amp;Banco_Nacion[[#This Row],[monto]],"")</f>
        <v>FF02782045528391519</v>
      </c>
      <c r="X463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27417149</v>
      </c>
      <c r="Y463" s="3" t="str">
        <f>IFERROR(VLOOKUP(Banco_Nacion[[#This Row],[serie]]&amp;Banco_Nacion[[#This Row],[numero]]&amp;Banco_Nacion[[#This Row],[responsable]],[2]!Provision_CXC[[ID CXP]:[DETRACCION]],47,0),"")</f>
        <v/>
      </c>
      <c r="Z463" s="3"/>
      <c r="AA463" s="24" t="str">
        <f>IF(Banco_Nacion[[#This Row],[fecha]]&gt;0,TEXT(Banco_Nacion[[#This Row],[fecha]],"mmmm"),0)</f>
        <v>Julio</v>
      </c>
    </row>
    <row r="464" spans="1:27" x14ac:dyDescent="0.3">
      <c r="A464" s="2">
        <f>IF(Banco_Nacion[[#This Row],[tipo_registro]]="R",COUNTIFS($C$1:$C463,"R")+1,"")</f>
        <v>463</v>
      </c>
      <c r="B464" s="19" t="str">
        <f t="shared" si="37"/>
        <v>B-Banco de la Nacion</v>
      </c>
      <c r="C464" s="3" t="s">
        <v>1330</v>
      </c>
      <c r="D464" s="14">
        <v>45842</v>
      </c>
      <c r="E464" s="5">
        <v>20455283915</v>
      </c>
      <c r="F464" s="5" t="s">
        <v>1303</v>
      </c>
      <c r="G464" s="6" t="s">
        <v>425</v>
      </c>
      <c r="H464" s="6" t="s">
        <v>68</v>
      </c>
      <c r="I464" s="6" t="s">
        <v>3302</v>
      </c>
      <c r="J464" s="6">
        <v>82</v>
      </c>
      <c r="K464" s="7" t="s">
        <v>5232</v>
      </c>
      <c r="L464" s="8">
        <v>27417149</v>
      </c>
      <c r="M464" s="8" t="str">
        <f t="shared" si="38"/>
        <v>PEN</v>
      </c>
      <c r="N464" s="13"/>
      <c r="O464" s="13">
        <v>81</v>
      </c>
      <c r="P464" s="3">
        <f t="shared" si="39"/>
        <v>81</v>
      </c>
      <c r="Q464" s="3">
        <f t="shared" si="40"/>
        <v>0</v>
      </c>
      <c r="R464" s="3">
        <f t="shared" si="41"/>
        <v>38998.220000000008</v>
      </c>
      <c r="S464" s="24" t="s">
        <v>1334</v>
      </c>
      <c r="T464" s="24" t="s">
        <v>1334</v>
      </c>
      <c r="U464" s="3"/>
      <c r="V464" s="19" t="str">
        <f>IFERROR(VLOOKUP(Banco_Nacion[[#This Row],[responsable]],Clientes_Proveedores[[Ruc / Dni]:[Razon Social]],2,0),"")</f>
        <v>EMPRESA CONSERVADORA AMBIENTAL DEL SUR E.I.R.L. - ECA SUR E.I.R.L.</v>
      </c>
      <c r="W464" s="19" t="str">
        <f>IF(Banco_Nacion[[#This Row],[tipo_mov]]="INGRESO",Banco_Nacion[[#This Row],[serie]]&amp;Banco_Nacion[[#This Row],[numero]]&amp;Banco_Nacion[[#This Row],[responsable]]&amp;Banco_Nacion[[#This Row],[monto]],"")</f>
        <v>FF02822045528391581</v>
      </c>
      <c r="X464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27417149</v>
      </c>
      <c r="Y464" s="3" t="str">
        <f>IFERROR(VLOOKUP(Banco_Nacion[[#This Row],[serie]]&amp;Banco_Nacion[[#This Row],[numero]]&amp;Banco_Nacion[[#This Row],[responsable]],[2]!Provision_CXC[[ID CXP]:[DETRACCION]],47,0),"")</f>
        <v/>
      </c>
      <c r="Z464" s="3"/>
      <c r="AA464" s="24" t="str">
        <f>IF(Banco_Nacion[[#This Row],[fecha]]&gt;0,TEXT(Banco_Nacion[[#This Row],[fecha]],"mmmm"),0)</f>
        <v>Julio</v>
      </c>
    </row>
    <row r="465" spans="1:27" x14ac:dyDescent="0.3">
      <c r="A465" s="2">
        <f>IF(Banco_Nacion[[#This Row],[tipo_registro]]="R",COUNTIFS($C$1:$C464,"R")+1,"")</f>
        <v>464</v>
      </c>
      <c r="B465" s="19" t="str">
        <f t="shared" si="37"/>
        <v>B-Banco de la Nacion</v>
      </c>
      <c r="C465" s="3" t="s">
        <v>1330</v>
      </c>
      <c r="D465" s="14">
        <v>45842</v>
      </c>
      <c r="E465" s="5">
        <v>20455283915</v>
      </c>
      <c r="F465" s="5" t="s">
        <v>1303</v>
      </c>
      <c r="G465" s="6" t="s">
        <v>425</v>
      </c>
      <c r="H465" s="6" t="s">
        <v>68</v>
      </c>
      <c r="I465" s="6" t="s">
        <v>3302</v>
      </c>
      <c r="J465" s="6">
        <v>79</v>
      </c>
      <c r="K465" s="7" t="s">
        <v>5232</v>
      </c>
      <c r="L465" s="8">
        <v>27417149</v>
      </c>
      <c r="M465" s="8" t="str">
        <f t="shared" si="38"/>
        <v>PEN</v>
      </c>
      <c r="N465" s="13"/>
      <c r="O465" s="13">
        <v>155</v>
      </c>
      <c r="P465" s="3">
        <f t="shared" si="39"/>
        <v>155</v>
      </c>
      <c r="Q465" s="3">
        <f t="shared" si="40"/>
        <v>0</v>
      </c>
      <c r="R465" s="3">
        <f t="shared" si="41"/>
        <v>39153.220000000008</v>
      </c>
      <c r="S465" s="24" t="s">
        <v>1334</v>
      </c>
      <c r="T465" s="24" t="s">
        <v>1334</v>
      </c>
      <c r="U465" s="3"/>
      <c r="V465" s="19" t="str">
        <f>IFERROR(VLOOKUP(Banco_Nacion[[#This Row],[responsable]],Clientes_Proveedores[[Ruc / Dni]:[Razon Social]],2,0),"")</f>
        <v>EMPRESA CONSERVADORA AMBIENTAL DEL SUR E.I.R.L. - ECA SUR E.I.R.L.</v>
      </c>
      <c r="W465" s="19" t="str">
        <f>IF(Banco_Nacion[[#This Row],[tipo_mov]]="INGRESO",Banco_Nacion[[#This Row],[serie]]&amp;Banco_Nacion[[#This Row],[numero]]&amp;Banco_Nacion[[#This Row],[responsable]]&amp;Banco_Nacion[[#This Row],[monto]],"")</f>
        <v>FF027920455283915155</v>
      </c>
      <c r="X465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27417149</v>
      </c>
      <c r="Y465" s="3" t="str">
        <f>IFERROR(VLOOKUP(Banco_Nacion[[#This Row],[serie]]&amp;Banco_Nacion[[#This Row],[numero]]&amp;Banco_Nacion[[#This Row],[responsable]],[2]!Provision_CXC[[ID CXP]:[DETRACCION]],47,0),"")</f>
        <v/>
      </c>
      <c r="Z465" s="3"/>
      <c r="AA465" s="24" t="str">
        <f>IF(Banco_Nacion[[#This Row],[fecha]]&gt;0,TEXT(Banco_Nacion[[#This Row],[fecha]],"mmmm"),0)</f>
        <v>Julio</v>
      </c>
    </row>
    <row r="466" spans="1:27" x14ac:dyDescent="0.3">
      <c r="A466" s="2">
        <f>IF(Banco_Nacion[[#This Row],[tipo_registro]]="R",COUNTIFS($C$1:$C465,"R")+1,"")</f>
        <v>465</v>
      </c>
      <c r="B466" s="19" t="str">
        <f t="shared" si="37"/>
        <v>B-Banco de la Nacion</v>
      </c>
      <c r="C466" s="3" t="s">
        <v>1330</v>
      </c>
      <c r="D466" s="14">
        <v>45842</v>
      </c>
      <c r="E466" s="5">
        <v>20455283915</v>
      </c>
      <c r="F466" s="5" t="s">
        <v>1303</v>
      </c>
      <c r="G466" s="6" t="s">
        <v>425</v>
      </c>
      <c r="H466" s="6" t="s">
        <v>68</v>
      </c>
      <c r="I466" s="6" t="s">
        <v>3302</v>
      </c>
      <c r="J466" s="6">
        <v>77</v>
      </c>
      <c r="K466" s="7" t="s">
        <v>5232</v>
      </c>
      <c r="L466" s="8">
        <v>27417148</v>
      </c>
      <c r="M466" s="8" t="str">
        <f t="shared" si="38"/>
        <v>PEN</v>
      </c>
      <c r="N466" s="13"/>
      <c r="O466" s="13">
        <v>158</v>
      </c>
      <c r="P466" s="3">
        <f t="shared" si="39"/>
        <v>158</v>
      </c>
      <c r="Q466" s="3">
        <f t="shared" si="40"/>
        <v>0</v>
      </c>
      <c r="R466" s="3">
        <f t="shared" si="41"/>
        <v>39311.220000000008</v>
      </c>
      <c r="S466" s="24" t="s">
        <v>1334</v>
      </c>
      <c r="T466" s="24" t="s">
        <v>1334</v>
      </c>
      <c r="U466" s="3"/>
      <c r="V466" s="19" t="str">
        <f>IFERROR(VLOOKUP(Banco_Nacion[[#This Row],[responsable]],Clientes_Proveedores[[Ruc / Dni]:[Razon Social]],2,0),"")</f>
        <v>EMPRESA CONSERVADORA AMBIENTAL DEL SUR E.I.R.L. - ECA SUR E.I.R.L.</v>
      </c>
      <c r="W466" s="19" t="str">
        <f>IF(Banco_Nacion[[#This Row],[tipo_mov]]="INGRESO",Banco_Nacion[[#This Row],[serie]]&amp;Banco_Nacion[[#This Row],[numero]]&amp;Banco_Nacion[[#This Row],[responsable]]&amp;Banco_Nacion[[#This Row],[monto]],"")</f>
        <v>FF027720455283915158</v>
      </c>
      <c r="X466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27417148</v>
      </c>
      <c r="Y466" s="3" t="str">
        <f>IFERROR(VLOOKUP(Banco_Nacion[[#This Row],[serie]]&amp;Banco_Nacion[[#This Row],[numero]]&amp;Banco_Nacion[[#This Row],[responsable]],[2]!Provision_CXC[[ID CXP]:[DETRACCION]],47,0),"")</f>
        <v/>
      </c>
      <c r="Z466" s="3"/>
      <c r="AA466" s="24" t="str">
        <f>IF(Banco_Nacion[[#This Row],[fecha]]&gt;0,TEXT(Banco_Nacion[[#This Row],[fecha]],"mmmm"),0)</f>
        <v>Julio</v>
      </c>
    </row>
    <row r="467" spans="1:27" x14ac:dyDescent="0.3">
      <c r="A467" s="2">
        <f>IF(Banco_Nacion[[#This Row],[tipo_registro]]="R",COUNTIFS($C$1:$C466,"R")+1,"")</f>
        <v>466</v>
      </c>
      <c r="B467" s="19" t="str">
        <f t="shared" si="37"/>
        <v>B-Banco de la Nacion</v>
      </c>
      <c r="C467" s="3" t="s">
        <v>1330</v>
      </c>
      <c r="D467" s="14">
        <v>45842</v>
      </c>
      <c r="E467" s="5">
        <v>20455283915</v>
      </c>
      <c r="F467" s="5" t="s">
        <v>1303</v>
      </c>
      <c r="G467" s="6" t="s">
        <v>425</v>
      </c>
      <c r="H467" s="6" t="s">
        <v>68</v>
      </c>
      <c r="I467" s="6" t="s">
        <v>3302</v>
      </c>
      <c r="J467" s="6">
        <v>64</v>
      </c>
      <c r="K467" s="7" t="s">
        <v>5232</v>
      </c>
      <c r="L467" s="8">
        <v>27417148</v>
      </c>
      <c r="M467" s="8" t="str">
        <f t="shared" si="38"/>
        <v>PEN</v>
      </c>
      <c r="N467" s="13"/>
      <c r="O467" s="13">
        <v>75</v>
      </c>
      <c r="P467" s="3">
        <f t="shared" si="39"/>
        <v>75</v>
      </c>
      <c r="Q467" s="3">
        <f t="shared" si="40"/>
        <v>0</v>
      </c>
      <c r="R467" s="3">
        <f t="shared" si="41"/>
        <v>39386.220000000008</v>
      </c>
      <c r="S467" s="24" t="s">
        <v>1334</v>
      </c>
      <c r="T467" s="24" t="s">
        <v>1334</v>
      </c>
      <c r="U467" s="3"/>
      <c r="V467" s="19" t="str">
        <f>IFERROR(VLOOKUP(Banco_Nacion[[#This Row],[responsable]],Clientes_Proveedores[[Ruc / Dni]:[Razon Social]],2,0),"")</f>
        <v>EMPRESA CONSERVADORA AMBIENTAL DEL SUR E.I.R.L. - ECA SUR E.I.R.L.</v>
      </c>
      <c r="W467" s="19" t="str">
        <f>IF(Banco_Nacion[[#This Row],[tipo_mov]]="INGRESO",Banco_Nacion[[#This Row],[serie]]&amp;Banco_Nacion[[#This Row],[numero]]&amp;Banco_Nacion[[#This Row],[responsable]]&amp;Banco_Nacion[[#This Row],[monto]],"")</f>
        <v>FF02642045528391575</v>
      </c>
      <c r="X467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27417148</v>
      </c>
      <c r="Y467" s="3" t="str">
        <f>IFERROR(VLOOKUP(Banco_Nacion[[#This Row],[serie]]&amp;Banco_Nacion[[#This Row],[numero]]&amp;Banco_Nacion[[#This Row],[responsable]],[2]!Provision_CXC[[ID CXP]:[DETRACCION]],47,0),"")</f>
        <v/>
      </c>
      <c r="Z467" s="3"/>
      <c r="AA467" s="24" t="str">
        <f>IF(Banco_Nacion[[#This Row],[fecha]]&gt;0,TEXT(Banco_Nacion[[#This Row],[fecha]],"mmmm"),0)</f>
        <v>Julio</v>
      </c>
    </row>
    <row r="468" spans="1:27" x14ac:dyDescent="0.3">
      <c r="A468" s="2">
        <f>IF(Banco_Nacion[[#This Row],[tipo_registro]]="R",COUNTIFS($C$1:$C467,"R")+1,"")</f>
        <v>467</v>
      </c>
      <c r="B468" s="19" t="str">
        <f t="shared" si="37"/>
        <v>B-Banco de la Nacion</v>
      </c>
      <c r="C468" s="3" t="s">
        <v>1330</v>
      </c>
      <c r="D468" s="14">
        <v>45842</v>
      </c>
      <c r="E468" s="5">
        <v>20455283915</v>
      </c>
      <c r="F468" s="5" t="s">
        <v>1303</v>
      </c>
      <c r="G468" s="6" t="s">
        <v>425</v>
      </c>
      <c r="H468" s="6" t="s">
        <v>68</v>
      </c>
      <c r="I468" s="6" t="s">
        <v>3302</v>
      </c>
      <c r="J468" s="6">
        <v>65</v>
      </c>
      <c r="K468" s="7" t="s">
        <v>5232</v>
      </c>
      <c r="L468" s="8">
        <v>27417148</v>
      </c>
      <c r="M468" s="8" t="str">
        <f t="shared" si="38"/>
        <v>PEN</v>
      </c>
      <c r="N468" s="13"/>
      <c r="O468" s="13">
        <v>65</v>
      </c>
      <c r="P468" s="3">
        <f t="shared" si="39"/>
        <v>65</v>
      </c>
      <c r="Q468" s="3">
        <f t="shared" si="40"/>
        <v>0</v>
      </c>
      <c r="R468" s="3">
        <f t="shared" si="41"/>
        <v>39451.220000000008</v>
      </c>
      <c r="S468" s="24" t="s">
        <v>1334</v>
      </c>
      <c r="T468" s="24" t="s">
        <v>1334</v>
      </c>
      <c r="U468" s="3"/>
      <c r="V468" s="19" t="str">
        <f>IFERROR(VLOOKUP(Banco_Nacion[[#This Row],[responsable]],Clientes_Proveedores[[Ruc / Dni]:[Razon Social]],2,0),"")</f>
        <v>EMPRESA CONSERVADORA AMBIENTAL DEL SUR E.I.R.L. - ECA SUR E.I.R.L.</v>
      </c>
      <c r="W468" s="19" t="str">
        <f>IF(Banco_Nacion[[#This Row],[tipo_mov]]="INGRESO",Banco_Nacion[[#This Row],[serie]]&amp;Banco_Nacion[[#This Row],[numero]]&amp;Banco_Nacion[[#This Row],[responsable]]&amp;Banco_Nacion[[#This Row],[monto]],"")</f>
        <v>FF02652045528391565</v>
      </c>
      <c r="X468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27417148</v>
      </c>
      <c r="Y468" s="3" t="str">
        <f>IFERROR(VLOOKUP(Banco_Nacion[[#This Row],[serie]]&amp;Banco_Nacion[[#This Row],[numero]]&amp;Banco_Nacion[[#This Row],[responsable]],[2]!Provision_CXC[[ID CXP]:[DETRACCION]],47,0),"")</f>
        <v/>
      </c>
      <c r="Z468" s="3"/>
      <c r="AA468" s="24" t="str">
        <f>IF(Banco_Nacion[[#This Row],[fecha]]&gt;0,TEXT(Banco_Nacion[[#This Row],[fecha]],"mmmm"),0)</f>
        <v>Julio</v>
      </c>
    </row>
    <row r="469" spans="1:27" x14ac:dyDescent="0.3">
      <c r="A469" s="2">
        <f>IF(Banco_Nacion[[#This Row],[tipo_registro]]="R",COUNTIFS($C$1:$C468,"R")+1,"")</f>
        <v>468</v>
      </c>
      <c r="B469" s="19" t="str">
        <f t="shared" si="37"/>
        <v>B-Banco de la Nacion</v>
      </c>
      <c r="C469" s="3" t="s">
        <v>1330</v>
      </c>
      <c r="D469" s="14">
        <v>45842</v>
      </c>
      <c r="E469" s="5">
        <v>20455283915</v>
      </c>
      <c r="F469" s="5" t="s">
        <v>1303</v>
      </c>
      <c r="G469" s="6" t="s">
        <v>425</v>
      </c>
      <c r="H469" s="6" t="s">
        <v>68</v>
      </c>
      <c r="I469" s="6" t="s">
        <v>3302</v>
      </c>
      <c r="J469" s="6">
        <v>66</v>
      </c>
      <c r="K469" s="7" t="s">
        <v>5232</v>
      </c>
      <c r="L469" s="8">
        <v>27417148</v>
      </c>
      <c r="M469" s="8" t="str">
        <f t="shared" si="38"/>
        <v>PEN</v>
      </c>
      <c r="N469" s="13"/>
      <c r="O469" s="13">
        <v>72</v>
      </c>
      <c r="P469" s="3">
        <f t="shared" si="39"/>
        <v>72</v>
      </c>
      <c r="Q469" s="3">
        <f t="shared" si="40"/>
        <v>0</v>
      </c>
      <c r="R469" s="3">
        <f t="shared" si="41"/>
        <v>39523.220000000008</v>
      </c>
      <c r="S469" s="24" t="s">
        <v>1334</v>
      </c>
      <c r="T469" s="24" t="s">
        <v>1334</v>
      </c>
      <c r="U469" s="3"/>
      <c r="V469" s="19" t="str">
        <f>IFERROR(VLOOKUP(Banco_Nacion[[#This Row],[responsable]],Clientes_Proveedores[[Ruc / Dni]:[Razon Social]],2,0),"")</f>
        <v>EMPRESA CONSERVADORA AMBIENTAL DEL SUR E.I.R.L. - ECA SUR E.I.R.L.</v>
      </c>
      <c r="W469" s="19" t="str">
        <f>IF(Banco_Nacion[[#This Row],[tipo_mov]]="INGRESO",Banco_Nacion[[#This Row],[serie]]&amp;Banco_Nacion[[#This Row],[numero]]&amp;Banco_Nacion[[#This Row],[responsable]]&amp;Banco_Nacion[[#This Row],[monto]],"")</f>
        <v>FF02662045528391572</v>
      </c>
      <c r="X469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27417148</v>
      </c>
      <c r="Y469" s="3" t="str">
        <f>IFERROR(VLOOKUP(Banco_Nacion[[#This Row],[serie]]&amp;Banco_Nacion[[#This Row],[numero]]&amp;Banco_Nacion[[#This Row],[responsable]],[2]!Provision_CXC[[ID CXP]:[DETRACCION]],47,0),"")</f>
        <v/>
      </c>
      <c r="Z469" s="3"/>
      <c r="AA469" s="24" t="str">
        <f>IF(Banco_Nacion[[#This Row],[fecha]]&gt;0,TEXT(Banco_Nacion[[#This Row],[fecha]],"mmmm"),0)</f>
        <v>Julio</v>
      </c>
    </row>
    <row r="470" spans="1:27" x14ac:dyDescent="0.3">
      <c r="A470" s="2">
        <f>IF(Banco_Nacion[[#This Row],[tipo_registro]]="R",COUNTIFS($C$1:$C469,"R")+1,"")</f>
        <v>469</v>
      </c>
      <c r="B470" s="19" t="str">
        <f t="shared" si="37"/>
        <v>B-Banco de la Nacion</v>
      </c>
      <c r="C470" s="3" t="s">
        <v>1330</v>
      </c>
      <c r="D470" s="14">
        <v>45842</v>
      </c>
      <c r="E470" s="5">
        <v>20455283915</v>
      </c>
      <c r="F470" s="5" t="s">
        <v>1303</v>
      </c>
      <c r="G470" s="6" t="s">
        <v>425</v>
      </c>
      <c r="H470" s="6" t="s">
        <v>68</v>
      </c>
      <c r="I470" s="6" t="s">
        <v>3302</v>
      </c>
      <c r="J470" s="6">
        <v>70</v>
      </c>
      <c r="K470" s="7" t="s">
        <v>5232</v>
      </c>
      <c r="L470" s="8">
        <v>27417148</v>
      </c>
      <c r="M470" s="8" t="str">
        <f t="shared" si="38"/>
        <v>PEN</v>
      </c>
      <c r="N470" s="13"/>
      <c r="O470" s="13">
        <v>51</v>
      </c>
      <c r="P470" s="3">
        <f t="shared" si="39"/>
        <v>51</v>
      </c>
      <c r="Q470" s="3">
        <f t="shared" si="40"/>
        <v>0</v>
      </c>
      <c r="R470" s="3">
        <f t="shared" si="41"/>
        <v>39574.220000000008</v>
      </c>
      <c r="S470" s="24" t="s">
        <v>1334</v>
      </c>
      <c r="T470" s="24" t="s">
        <v>1334</v>
      </c>
      <c r="U470" s="3"/>
      <c r="V470" s="19" t="str">
        <f>IFERROR(VLOOKUP(Banco_Nacion[[#This Row],[responsable]],Clientes_Proveedores[[Ruc / Dni]:[Razon Social]],2,0),"")</f>
        <v>EMPRESA CONSERVADORA AMBIENTAL DEL SUR E.I.R.L. - ECA SUR E.I.R.L.</v>
      </c>
      <c r="W470" s="19" t="str">
        <f>IF(Banco_Nacion[[#This Row],[tipo_mov]]="INGRESO",Banco_Nacion[[#This Row],[serie]]&amp;Banco_Nacion[[#This Row],[numero]]&amp;Banco_Nacion[[#This Row],[responsable]]&amp;Banco_Nacion[[#This Row],[monto]],"")</f>
        <v>FF02702045528391551</v>
      </c>
      <c r="X470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27417148</v>
      </c>
      <c r="Y470" s="3" t="str">
        <f>IFERROR(VLOOKUP(Banco_Nacion[[#This Row],[serie]]&amp;Banco_Nacion[[#This Row],[numero]]&amp;Banco_Nacion[[#This Row],[responsable]],[2]!Provision_CXC[[ID CXP]:[DETRACCION]],47,0),"")</f>
        <v/>
      </c>
      <c r="Z470" s="3"/>
      <c r="AA470" s="24" t="str">
        <f>IF(Banco_Nacion[[#This Row],[fecha]]&gt;0,TEXT(Banco_Nacion[[#This Row],[fecha]],"mmmm"),0)</f>
        <v>Julio</v>
      </c>
    </row>
    <row r="471" spans="1:27" x14ac:dyDescent="0.3">
      <c r="A471" s="2">
        <f>IF(Banco_Nacion[[#This Row],[tipo_registro]]="R",COUNTIFS($C$1:$C470,"R")+1,"")</f>
        <v>470</v>
      </c>
      <c r="B471" s="19" t="str">
        <f t="shared" si="37"/>
        <v>B-Banco de la Nacion</v>
      </c>
      <c r="C471" s="3" t="s">
        <v>1330</v>
      </c>
      <c r="D471" s="14">
        <v>45842</v>
      </c>
      <c r="E471" s="5">
        <v>20455283915</v>
      </c>
      <c r="F471" s="5" t="s">
        <v>1303</v>
      </c>
      <c r="G471" s="6" t="s">
        <v>425</v>
      </c>
      <c r="H471" s="6" t="s">
        <v>68</v>
      </c>
      <c r="I471" s="6" t="s">
        <v>3302</v>
      </c>
      <c r="J471" s="6">
        <v>67</v>
      </c>
      <c r="K471" s="7" t="s">
        <v>5232</v>
      </c>
      <c r="L471" s="8">
        <v>27417148</v>
      </c>
      <c r="M471" s="8" t="str">
        <f t="shared" si="38"/>
        <v>PEN</v>
      </c>
      <c r="N471" s="13"/>
      <c r="O471" s="13">
        <v>43</v>
      </c>
      <c r="P471" s="3">
        <f t="shared" si="39"/>
        <v>43</v>
      </c>
      <c r="Q471" s="3">
        <f t="shared" si="40"/>
        <v>0</v>
      </c>
      <c r="R471" s="3">
        <f t="shared" si="41"/>
        <v>39617.220000000008</v>
      </c>
      <c r="S471" s="24" t="s">
        <v>1334</v>
      </c>
      <c r="T471" s="24" t="s">
        <v>1334</v>
      </c>
      <c r="U471" s="3"/>
      <c r="V471" s="19" t="str">
        <f>IFERROR(VLOOKUP(Banco_Nacion[[#This Row],[responsable]],Clientes_Proveedores[[Ruc / Dni]:[Razon Social]],2,0),"")</f>
        <v>EMPRESA CONSERVADORA AMBIENTAL DEL SUR E.I.R.L. - ECA SUR E.I.R.L.</v>
      </c>
      <c r="W471" s="19" t="str">
        <f>IF(Banco_Nacion[[#This Row],[tipo_mov]]="INGRESO",Banco_Nacion[[#This Row],[serie]]&amp;Banco_Nacion[[#This Row],[numero]]&amp;Banco_Nacion[[#This Row],[responsable]]&amp;Banco_Nacion[[#This Row],[monto]],"")</f>
        <v>FF02672045528391543</v>
      </c>
      <c r="X471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27417148</v>
      </c>
      <c r="Y471" s="3" t="str">
        <f>IFERROR(VLOOKUP(Banco_Nacion[[#This Row],[serie]]&amp;Banco_Nacion[[#This Row],[numero]]&amp;Banco_Nacion[[#This Row],[responsable]],[2]!Provision_CXC[[ID CXP]:[DETRACCION]],47,0),"")</f>
        <v/>
      </c>
      <c r="Z471" s="3"/>
      <c r="AA471" s="24" t="str">
        <f>IF(Banco_Nacion[[#This Row],[fecha]]&gt;0,TEXT(Banco_Nacion[[#This Row],[fecha]],"mmmm"),0)</f>
        <v>Julio</v>
      </c>
    </row>
    <row r="472" spans="1:27" x14ac:dyDescent="0.3">
      <c r="A472" s="2">
        <f>IF(Banco_Nacion[[#This Row],[tipo_registro]]="R",COUNTIFS($C$1:$C471,"R")+1,"")</f>
        <v>471</v>
      </c>
      <c r="B472" s="19" t="str">
        <f t="shared" si="37"/>
        <v>B-Banco de la Nacion</v>
      </c>
      <c r="C472" s="3" t="s">
        <v>1330</v>
      </c>
      <c r="D472" s="14">
        <v>45842</v>
      </c>
      <c r="E472" s="5">
        <v>20455283915</v>
      </c>
      <c r="F472" s="5" t="s">
        <v>1303</v>
      </c>
      <c r="G472" s="6" t="s">
        <v>425</v>
      </c>
      <c r="H472" s="6" t="s">
        <v>68</v>
      </c>
      <c r="I472" s="6" t="s">
        <v>3302</v>
      </c>
      <c r="J472" s="6">
        <v>68</v>
      </c>
      <c r="K472" s="7" t="s">
        <v>5232</v>
      </c>
      <c r="L472" s="8">
        <v>27417148</v>
      </c>
      <c r="M472" s="8" t="str">
        <f t="shared" si="38"/>
        <v>PEN</v>
      </c>
      <c r="N472" s="13"/>
      <c r="O472" s="13">
        <v>37</v>
      </c>
      <c r="P472" s="3">
        <f t="shared" si="39"/>
        <v>37</v>
      </c>
      <c r="Q472" s="3">
        <f t="shared" si="40"/>
        <v>0</v>
      </c>
      <c r="R472" s="3">
        <f t="shared" si="41"/>
        <v>39654.220000000008</v>
      </c>
      <c r="S472" s="24" t="s">
        <v>1334</v>
      </c>
      <c r="T472" s="24" t="s">
        <v>1334</v>
      </c>
      <c r="U472" s="3"/>
      <c r="V472" s="19" t="str">
        <f>IFERROR(VLOOKUP(Banco_Nacion[[#This Row],[responsable]],Clientes_Proveedores[[Ruc / Dni]:[Razon Social]],2,0),"")</f>
        <v>EMPRESA CONSERVADORA AMBIENTAL DEL SUR E.I.R.L. - ECA SUR E.I.R.L.</v>
      </c>
      <c r="W472" s="19" t="str">
        <f>IF(Banco_Nacion[[#This Row],[tipo_mov]]="INGRESO",Banco_Nacion[[#This Row],[serie]]&amp;Banco_Nacion[[#This Row],[numero]]&amp;Banco_Nacion[[#This Row],[responsable]]&amp;Banco_Nacion[[#This Row],[monto]],"")</f>
        <v>FF02682045528391537</v>
      </c>
      <c r="X472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27417148</v>
      </c>
      <c r="Y472" s="3" t="str">
        <f>IFERROR(VLOOKUP(Banco_Nacion[[#This Row],[serie]]&amp;Banco_Nacion[[#This Row],[numero]]&amp;Banco_Nacion[[#This Row],[responsable]],[2]!Provision_CXC[[ID CXP]:[DETRACCION]],47,0),"")</f>
        <v/>
      </c>
      <c r="Z472" s="3"/>
      <c r="AA472" s="24" t="str">
        <f>IF(Banco_Nacion[[#This Row],[fecha]]&gt;0,TEXT(Banco_Nacion[[#This Row],[fecha]],"mmmm"),0)</f>
        <v>Julio</v>
      </c>
    </row>
    <row r="473" spans="1:27" x14ac:dyDescent="0.3">
      <c r="A473" s="2">
        <f>IF(Banco_Nacion[[#This Row],[tipo_registro]]="R",COUNTIFS($C$1:$C472,"R")+1,"")</f>
        <v>472</v>
      </c>
      <c r="B473" s="19" t="str">
        <f t="shared" si="37"/>
        <v>B-Banco de la Nacion</v>
      </c>
      <c r="C473" s="3" t="s">
        <v>1330</v>
      </c>
      <c r="D473" s="14">
        <v>45842</v>
      </c>
      <c r="E473" s="5">
        <v>20455283915</v>
      </c>
      <c r="F473" s="5" t="s">
        <v>1303</v>
      </c>
      <c r="G473" s="6" t="s">
        <v>425</v>
      </c>
      <c r="H473" s="6" t="s">
        <v>68</v>
      </c>
      <c r="I473" s="6" t="s">
        <v>3302</v>
      </c>
      <c r="J473" s="6">
        <v>69</v>
      </c>
      <c r="K473" s="7" t="s">
        <v>5232</v>
      </c>
      <c r="L473" s="8">
        <v>27417148</v>
      </c>
      <c r="M473" s="8" t="str">
        <f t="shared" si="38"/>
        <v>PEN</v>
      </c>
      <c r="N473" s="13"/>
      <c r="O473" s="13">
        <v>78</v>
      </c>
      <c r="P473" s="3">
        <f t="shared" si="39"/>
        <v>78</v>
      </c>
      <c r="Q473" s="3">
        <f t="shared" si="40"/>
        <v>0</v>
      </c>
      <c r="R473" s="3">
        <f t="shared" si="41"/>
        <v>39732.220000000008</v>
      </c>
      <c r="S473" s="24" t="s">
        <v>1334</v>
      </c>
      <c r="T473" s="24" t="s">
        <v>1334</v>
      </c>
      <c r="U473" s="3"/>
      <c r="V473" s="19" t="str">
        <f>IFERROR(VLOOKUP(Banco_Nacion[[#This Row],[responsable]],Clientes_Proveedores[[Ruc / Dni]:[Razon Social]],2,0),"")</f>
        <v>EMPRESA CONSERVADORA AMBIENTAL DEL SUR E.I.R.L. - ECA SUR E.I.R.L.</v>
      </c>
      <c r="W473" s="19" t="str">
        <f>IF(Banco_Nacion[[#This Row],[tipo_mov]]="INGRESO",Banco_Nacion[[#This Row],[serie]]&amp;Banco_Nacion[[#This Row],[numero]]&amp;Banco_Nacion[[#This Row],[responsable]]&amp;Banco_Nacion[[#This Row],[monto]],"")</f>
        <v>FF02692045528391578</v>
      </c>
      <c r="X473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27417148</v>
      </c>
      <c r="Y473" s="3" t="str">
        <f>IFERROR(VLOOKUP(Banco_Nacion[[#This Row],[serie]]&amp;Banco_Nacion[[#This Row],[numero]]&amp;Banco_Nacion[[#This Row],[responsable]],[2]!Provision_CXC[[ID CXP]:[DETRACCION]],47,0),"")</f>
        <v/>
      </c>
      <c r="Z473" s="3"/>
      <c r="AA473" s="24" t="str">
        <f>IF(Banco_Nacion[[#This Row],[fecha]]&gt;0,TEXT(Banco_Nacion[[#This Row],[fecha]],"mmmm"),0)</f>
        <v>Julio</v>
      </c>
    </row>
    <row r="474" spans="1:27" x14ac:dyDescent="0.3">
      <c r="A474" s="2">
        <f>IF(Banco_Nacion[[#This Row],[tipo_registro]]="R",COUNTIFS($C$1:$C473,"R")+1,"")</f>
        <v>473</v>
      </c>
      <c r="B474" s="19" t="str">
        <f t="shared" si="37"/>
        <v>B-Banco de la Nacion</v>
      </c>
      <c r="C474" s="3" t="s">
        <v>1330</v>
      </c>
      <c r="D474" s="14">
        <v>45842</v>
      </c>
      <c r="E474" s="5">
        <v>20455283915</v>
      </c>
      <c r="F474" s="5" t="s">
        <v>1303</v>
      </c>
      <c r="G474" s="6" t="s">
        <v>425</v>
      </c>
      <c r="H474" s="6" t="s">
        <v>68</v>
      </c>
      <c r="I474" s="6" t="s">
        <v>3302</v>
      </c>
      <c r="J474" s="6">
        <v>71</v>
      </c>
      <c r="K474" s="7" t="s">
        <v>5232</v>
      </c>
      <c r="L474" s="8">
        <v>27417148</v>
      </c>
      <c r="M474" s="8" t="str">
        <f t="shared" si="38"/>
        <v>PEN</v>
      </c>
      <c r="N474" s="13"/>
      <c r="O474" s="13">
        <v>94</v>
      </c>
      <c r="P474" s="3">
        <f t="shared" si="39"/>
        <v>94</v>
      </c>
      <c r="Q474" s="3">
        <f t="shared" si="40"/>
        <v>0</v>
      </c>
      <c r="R474" s="3">
        <f t="shared" si="41"/>
        <v>39826.220000000008</v>
      </c>
      <c r="S474" s="24" t="s">
        <v>1334</v>
      </c>
      <c r="T474" s="24" t="s">
        <v>1334</v>
      </c>
      <c r="U474" s="3"/>
      <c r="V474" s="19" t="str">
        <f>IFERROR(VLOOKUP(Banco_Nacion[[#This Row],[responsable]],Clientes_Proveedores[[Ruc / Dni]:[Razon Social]],2,0),"")</f>
        <v>EMPRESA CONSERVADORA AMBIENTAL DEL SUR E.I.R.L. - ECA SUR E.I.R.L.</v>
      </c>
      <c r="W474" s="19" t="str">
        <f>IF(Banco_Nacion[[#This Row],[tipo_mov]]="INGRESO",Banco_Nacion[[#This Row],[serie]]&amp;Banco_Nacion[[#This Row],[numero]]&amp;Banco_Nacion[[#This Row],[responsable]]&amp;Banco_Nacion[[#This Row],[monto]],"")</f>
        <v>FF02712045528391594</v>
      </c>
      <c r="X474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27417148</v>
      </c>
      <c r="Y474" s="3" t="str">
        <f>IFERROR(VLOOKUP(Banco_Nacion[[#This Row],[serie]]&amp;Banco_Nacion[[#This Row],[numero]]&amp;Banco_Nacion[[#This Row],[responsable]],[2]!Provision_CXC[[ID CXP]:[DETRACCION]],47,0),"")</f>
        <v/>
      </c>
      <c r="Z474" s="3"/>
      <c r="AA474" s="24" t="str">
        <f>IF(Banco_Nacion[[#This Row],[fecha]]&gt;0,TEXT(Banco_Nacion[[#This Row],[fecha]],"mmmm"),0)</f>
        <v>Julio</v>
      </c>
    </row>
    <row r="475" spans="1:27" x14ac:dyDescent="0.3">
      <c r="A475" s="2">
        <f>IF(Banco_Nacion[[#This Row],[tipo_registro]]="R",COUNTIFS($C$1:$C474,"R")+1,"")</f>
        <v>474</v>
      </c>
      <c r="B475" s="19" t="str">
        <f t="shared" si="37"/>
        <v>B-Banco de la Nacion</v>
      </c>
      <c r="C475" s="3" t="s">
        <v>1330</v>
      </c>
      <c r="D475" s="14">
        <v>45845</v>
      </c>
      <c r="E475" s="5">
        <v>20206432692</v>
      </c>
      <c r="F475" s="5" t="s">
        <v>1303</v>
      </c>
      <c r="G475" s="6" t="s">
        <v>425</v>
      </c>
      <c r="H475" s="6"/>
      <c r="I475" s="6" t="s">
        <v>3302</v>
      </c>
      <c r="J475" s="6">
        <v>83</v>
      </c>
      <c r="K475" s="7" t="s">
        <v>5232</v>
      </c>
      <c r="L475" s="8">
        <v>82066821</v>
      </c>
      <c r="M475" s="8" t="str">
        <f t="shared" si="38"/>
        <v>PEN</v>
      </c>
      <c r="N475" s="13"/>
      <c r="O475" s="13">
        <v>13</v>
      </c>
      <c r="P475" s="3">
        <f t="shared" si="39"/>
        <v>13</v>
      </c>
      <c r="Q475" s="3">
        <f t="shared" si="40"/>
        <v>0</v>
      </c>
      <c r="R475" s="3">
        <f t="shared" si="41"/>
        <v>39839.220000000008</v>
      </c>
      <c r="S475" s="24"/>
      <c r="T475" s="24"/>
      <c r="U475" s="3"/>
      <c r="V475" s="19" t="str">
        <f>IFERROR(VLOOKUP(Banco_Nacion[[#This Row],[responsable]],Clientes_Proveedores[[Ruc / Dni]:[Razon Social]],2,0),"")</f>
        <v>LATINOAMERICANA EIR LTDA</v>
      </c>
      <c r="W475" s="19" t="str">
        <f>IF(Banco_Nacion[[#This Row],[tipo_mov]]="INGRESO",Banco_Nacion[[#This Row],[serie]]&amp;Banco_Nacion[[#This Row],[numero]]&amp;Banco_Nacion[[#This Row],[responsable]]&amp;Banco_Nacion[[#This Row],[monto]],"")</f>
        <v>FF02832020643269213</v>
      </c>
      <c r="X475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82066821</v>
      </c>
      <c r="Y475" s="3" t="str">
        <f>IFERROR(VLOOKUP(Banco_Nacion[[#This Row],[serie]]&amp;Banco_Nacion[[#This Row],[numero]]&amp;Banco_Nacion[[#This Row],[responsable]],[2]!Provision_CXC[[ID CXP]:[DETRACCION]],47,0),"")</f>
        <v/>
      </c>
      <c r="Z475" s="3"/>
      <c r="AA475" s="24" t="str">
        <f>IF(Banco_Nacion[[#This Row],[fecha]]&gt;0,TEXT(Banco_Nacion[[#This Row],[fecha]],"mmmm"),0)</f>
        <v>Julio</v>
      </c>
    </row>
    <row r="476" spans="1:27" x14ac:dyDescent="0.3">
      <c r="A476" s="2">
        <f>IF(Banco_Nacion[[#This Row],[tipo_registro]]="R",COUNTIFS($C$1:$C475,"R")+1,"")</f>
        <v>475</v>
      </c>
      <c r="B476" s="19" t="str">
        <f t="shared" ref="B476:B494" si="42">"B-Banco de la Nacion"</f>
        <v>B-Banco de la Nacion</v>
      </c>
      <c r="C476" s="3" t="s">
        <v>1330</v>
      </c>
      <c r="D476" s="14">
        <v>45846</v>
      </c>
      <c r="E476" s="5">
        <v>20546530184</v>
      </c>
      <c r="F476" s="5" t="s">
        <v>1303</v>
      </c>
      <c r="G476" s="6" t="s">
        <v>425</v>
      </c>
      <c r="H476" s="6" t="s">
        <v>68</v>
      </c>
      <c r="I476" s="6" t="s">
        <v>1784</v>
      </c>
      <c r="J476" s="6">
        <v>109</v>
      </c>
      <c r="K476" s="7" t="s">
        <v>5232</v>
      </c>
      <c r="L476" s="8">
        <v>82635685</v>
      </c>
      <c r="M476" s="8" t="str">
        <f t="shared" ref="M476:M494" si="43">"PEN"</f>
        <v>PEN</v>
      </c>
      <c r="N476" s="13"/>
      <c r="O476" s="13">
        <v>828</v>
      </c>
      <c r="P476" s="3">
        <f t="shared" ref="P476:P494" si="44">+IF(OR($F476="SALDO",$F476="INGRESO"),$O476,0)</f>
        <v>828</v>
      </c>
      <c r="Q476" s="3">
        <f t="shared" ref="Q476:Q494" si="45">+IF($F476="EGRESO",$O476,0)</f>
        <v>0</v>
      </c>
      <c r="R476" s="3">
        <f t="shared" si="41"/>
        <v>40667.220000000008</v>
      </c>
      <c r="S476" s="24" t="s">
        <v>1334</v>
      </c>
      <c r="T476" s="24" t="s">
        <v>1334</v>
      </c>
      <c r="U476" s="3"/>
      <c r="V476" s="19" t="str">
        <f>IFERROR(VLOOKUP(Banco_Nacion[[#This Row],[responsable]],Clientes_Proveedores[[Ruc / Dni]:[Razon Social]],2,0),"")</f>
        <v>INGENIERIA SERVICIOS Y SOLUCIONES APLICADAS ISSA PERU S.A.C.</v>
      </c>
      <c r="W476" s="19" t="str">
        <f>IF(Banco_Nacion[[#This Row],[tipo_mov]]="INGRESO",Banco_Nacion[[#This Row],[serie]]&amp;Banco_Nacion[[#This Row],[numero]]&amp;Banco_Nacion[[#This Row],[responsable]]&amp;Banco_Nacion[[#This Row],[monto]],"")</f>
        <v>FF0110920546530184828</v>
      </c>
      <c r="X476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82635685</v>
      </c>
      <c r="Y476" s="3" t="str">
        <f>IFERROR(VLOOKUP(Banco_Nacion[[#This Row],[serie]]&amp;Banco_Nacion[[#This Row],[numero]]&amp;Banco_Nacion[[#This Row],[responsable]],[2]!Provision_CXC[[ID CXP]:[DETRACCION]],47,0),"")</f>
        <v/>
      </c>
      <c r="Z476" s="3"/>
      <c r="AA476" s="24" t="str">
        <f>IF(Banco_Nacion[[#This Row],[fecha]]&gt;0,TEXT(Banco_Nacion[[#This Row],[fecha]],"mmmm"),0)</f>
        <v>Julio</v>
      </c>
    </row>
    <row r="477" spans="1:27" x14ac:dyDescent="0.3">
      <c r="A477" s="2">
        <f>IF(Banco_Nacion[[#This Row],[tipo_registro]]="R",COUNTIFS($C$1:$C476,"R")+1,"")</f>
        <v>476</v>
      </c>
      <c r="B477" s="19" t="str">
        <f t="shared" si="42"/>
        <v>B-Banco de la Nacion</v>
      </c>
      <c r="C477" s="3" t="s">
        <v>1330</v>
      </c>
      <c r="D477" s="14">
        <v>45846</v>
      </c>
      <c r="E477" s="5">
        <v>20100211115</v>
      </c>
      <c r="F477" s="5" t="s">
        <v>1303</v>
      </c>
      <c r="G477" s="6" t="s">
        <v>425</v>
      </c>
      <c r="H477" s="6" t="s">
        <v>68</v>
      </c>
      <c r="I477" s="6" t="s">
        <v>1784</v>
      </c>
      <c r="J477" s="6">
        <v>137</v>
      </c>
      <c r="K477" s="7" t="s">
        <v>5232</v>
      </c>
      <c r="L477" s="8">
        <v>82487167</v>
      </c>
      <c r="M477" s="8" t="str">
        <f t="shared" si="43"/>
        <v>PEN</v>
      </c>
      <c r="N477" s="13"/>
      <c r="O477" s="13">
        <v>691</v>
      </c>
      <c r="P477" s="3">
        <f t="shared" si="44"/>
        <v>691</v>
      </c>
      <c r="Q477" s="3">
        <f t="shared" si="45"/>
        <v>0</v>
      </c>
      <c r="R477" s="3">
        <f t="shared" si="41"/>
        <v>41358.220000000008</v>
      </c>
      <c r="S477" s="24" t="s">
        <v>1334</v>
      </c>
      <c r="T477" s="24" t="s">
        <v>1334</v>
      </c>
      <c r="U477" s="3"/>
      <c r="V477" s="19" t="str">
        <f>IFERROR(VLOOKUP(Banco_Nacion[[#This Row],[responsable]],Clientes_Proveedores[[Ruc / Dni]:[Razon Social]],2,0),"")</f>
        <v>FAB DE CHOCOLATES LA IBERICA S.A.</v>
      </c>
      <c r="W477" s="19" t="str">
        <f>IF(Banco_Nacion[[#This Row],[tipo_mov]]="INGRESO",Banco_Nacion[[#This Row],[serie]]&amp;Banco_Nacion[[#This Row],[numero]]&amp;Banco_Nacion[[#This Row],[responsable]]&amp;Banco_Nacion[[#This Row],[monto]],"")</f>
        <v>FF0113720100211115691</v>
      </c>
      <c r="X477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82487167</v>
      </c>
      <c r="Y477" s="3" t="str">
        <f>IFERROR(VLOOKUP(Banco_Nacion[[#This Row],[serie]]&amp;Banco_Nacion[[#This Row],[numero]]&amp;Banco_Nacion[[#This Row],[responsable]],[2]!Provision_CXC[[ID CXP]:[DETRACCION]],47,0),"")</f>
        <v/>
      </c>
      <c r="Z477" s="3"/>
      <c r="AA477" s="24" t="str">
        <f>IF(Banco_Nacion[[#This Row],[fecha]]&gt;0,TEXT(Banco_Nacion[[#This Row],[fecha]],"mmmm"),0)</f>
        <v>Julio</v>
      </c>
    </row>
    <row r="478" spans="1:27" x14ac:dyDescent="0.3">
      <c r="A478" s="2">
        <f>IF(Banco_Nacion[[#This Row],[tipo_registro]]="R",COUNTIFS($C$1:$C477,"R")+1,"")</f>
        <v>477</v>
      </c>
      <c r="B478" s="19" t="str">
        <f t="shared" si="42"/>
        <v>B-Banco de la Nacion</v>
      </c>
      <c r="C478" s="3" t="s">
        <v>1330</v>
      </c>
      <c r="D478" s="14">
        <v>45846</v>
      </c>
      <c r="E478" s="5">
        <v>20100211115</v>
      </c>
      <c r="F478" s="5" t="s">
        <v>1303</v>
      </c>
      <c r="G478" s="6" t="s">
        <v>425</v>
      </c>
      <c r="H478" s="6" t="s">
        <v>68</v>
      </c>
      <c r="I478" s="6" t="s">
        <v>1784</v>
      </c>
      <c r="J478" s="6">
        <v>138</v>
      </c>
      <c r="K478" s="7" t="s">
        <v>5232</v>
      </c>
      <c r="L478" s="8">
        <v>82487166</v>
      </c>
      <c r="M478" s="8" t="str">
        <f t="shared" si="43"/>
        <v>PEN</v>
      </c>
      <c r="N478" s="13"/>
      <c r="O478" s="13">
        <v>222</v>
      </c>
      <c r="P478" s="3">
        <f t="shared" si="44"/>
        <v>222</v>
      </c>
      <c r="Q478" s="3">
        <f t="shared" si="45"/>
        <v>0</v>
      </c>
      <c r="R478" s="3">
        <f t="shared" si="41"/>
        <v>41580.220000000008</v>
      </c>
      <c r="S478" s="24" t="s">
        <v>1334</v>
      </c>
      <c r="T478" s="24" t="s">
        <v>1334</v>
      </c>
      <c r="U478" s="3"/>
      <c r="V478" s="19" t="str">
        <f>IFERROR(VLOOKUP(Banco_Nacion[[#This Row],[responsable]],Clientes_Proveedores[[Ruc / Dni]:[Razon Social]],2,0),"")</f>
        <v>FAB DE CHOCOLATES LA IBERICA S.A.</v>
      </c>
      <c r="W478" s="19" t="str">
        <f>IF(Banco_Nacion[[#This Row],[tipo_mov]]="INGRESO",Banco_Nacion[[#This Row],[serie]]&amp;Banco_Nacion[[#This Row],[numero]]&amp;Banco_Nacion[[#This Row],[responsable]]&amp;Banco_Nacion[[#This Row],[monto]],"")</f>
        <v>FF0113820100211115222</v>
      </c>
      <c r="X478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82487166</v>
      </c>
      <c r="Y478" s="3" t="str">
        <f>IFERROR(VLOOKUP(Banco_Nacion[[#This Row],[serie]]&amp;Banco_Nacion[[#This Row],[numero]]&amp;Banco_Nacion[[#This Row],[responsable]],[2]!Provision_CXC[[ID CXP]:[DETRACCION]],47,0),"")</f>
        <v/>
      </c>
      <c r="Z478" s="3"/>
      <c r="AA478" s="24" t="str">
        <f>IF(Banco_Nacion[[#This Row],[fecha]]&gt;0,TEXT(Banco_Nacion[[#This Row],[fecha]],"mmmm"),0)</f>
        <v>Julio</v>
      </c>
    </row>
    <row r="479" spans="1:27" x14ac:dyDescent="0.3">
      <c r="A479" s="2">
        <f>IF(Banco_Nacion[[#This Row],[tipo_registro]]="R",COUNTIFS($C$1:$C478,"R")+1,"")</f>
        <v>478</v>
      </c>
      <c r="B479" s="19" t="str">
        <f t="shared" si="42"/>
        <v>B-Banco de la Nacion</v>
      </c>
      <c r="C479" s="3" t="s">
        <v>1330</v>
      </c>
      <c r="D479" s="14">
        <v>45846</v>
      </c>
      <c r="E479" s="5">
        <v>20603065906</v>
      </c>
      <c r="F479" s="5" t="s">
        <v>1303</v>
      </c>
      <c r="G479" s="6" t="s">
        <v>425</v>
      </c>
      <c r="H479" s="6" t="s">
        <v>68</v>
      </c>
      <c r="I479" s="6" t="s">
        <v>3381</v>
      </c>
      <c r="J479" s="6">
        <v>39</v>
      </c>
      <c r="K479" s="7" t="s">
        <v>5232</v>
      </c>
      <c r="L479" s="8">
        <v>82425651</v>
      </c>
      <c r="M479" s="8" t="str">
        <f t="shared" si="43"/>
        <v>PEN</v>
      </c>
      <c r="N479" s="13"/>
      <c r="O479" s="13">
        <v>213</v>
      </c>
      <c r="P479" s="3">
        <f t="shared" si="44"/>
        <v>213</v>
      </c>
      <c r="Q479" s="3">
        <f t="shared" si="45"/>
        <v>0</v>
      </c>
      <c r="R479" s="3">
        <f t="shared" si="41"/>
        <v>41793.220000000008</v>
      </c>
      <c r="S479" s="24" t="s">
        <v>1334</v>
      </c>
      <c r="T479" s="24" t="s">
        <v>1334</v>
      </c>
      <c r="U479" s="3"/>
      <c r="V479" s="19" t="str">
        <f>IFERROR(VLOOKUP(Banco_Nacion[[#This Row],[responsable]],Clientes_Proveedores[[Ruc / Dni]:[Razon Social]],2,0),"")</f>
        <v>COMERCIO SERVICIOS E INVERSIONES YANCE E.I.R.L.</v>
      </c>
      <c r="W479" s="19" t="str">
        <f>IF(Banco_Nacion[[#This Row],[tipo_mov]]="INGRESO",Banco_Nacion[[#This Row],[serie]]&amp;Banco_Nacion[[#This Row],[numero]]&amp;Banco_Nacion[[#This Row],[responsable]]&amp;Banco_Nacion[[#This Row],[monto]],"")</f>
        <v>FF053920603065906213</v>
      </c>
      <c r="X479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82425651</v>
      </c>
      <c r="Y479" s="3" t="str">
        <f>IFERROR(VLOOKUP(Banco_Nacion[[#This Row],[serie]]&amp;Banco_Nacion[[#This Row],[numero]]&amp;Banco_Nacion[[#This Row],[responsable]],[2]!Provision_CXC[[ID CXP]:[DETRACCION]],47,0),"")</f>
        <v/>
      </c>
      <c r="Z479" s="3"/>
      <c r="AA479" s="24" t="str">
        <f>IF(Banco_Nacion[[#This Row],[fecha]]&gt;0,TEXT(Banco_Nacion[[#This Row],[fecha]],"mmmm"),0)</f>
        <v>Julio</v>
      </c>
    </row>
    <row r="480" spans="1:27" x14ac:dyDescent="0.3">
      <c r="A480" s="2">
        <f>IF(Banco_Nacion[[#This Row],[tipo_registro]]="R",COUNTIFS($C$1:$C479,"R")+1,"")</f>
        <v>479</v>
      </c>
      <c r="B480" s="19" t="str">
        <f t="shared" si="42"/>
        <v>B-Banco de la Nacion</v>
      </c>
      <c r="C480" s="3" t="s">
        <v>1330</v>
      </c>
      <c r="D480" s="14">
        <v>45846</v>
      </c>
      <c r="E480" s="5">
        <v>20603065906</v>
      </c>
      <c r="F480" s="5" t="s">
        <v>1303</v>
      </c>
      <c r="G480" s="6" t="s">
        <v>425</v>
      </c>
      <c r="H480" s="6" t="s">
        <v>68</v>
      </c>
      <c r="I480" s="6" t="s">
        <v>3381</v>
      </c>
      <c r="J480" s="6">
        <v>38</v>
      </c>
      <c r="K480" s="7" t="s">
        <v>5232</v>
      </c>
      <c r="L480" s="8">
        <v>82425650</v>
      </c>
      <c r="M480" s="8" t="str">
        <f t="shared" si="43"/>
        <v>PEN</v>
      </c>
      <c r="N480" s="13"/>
      <c r="O480" s="13">
        <v>464</v>
      </c>
      <c r="P480" s="3">
        <f t="shared" si="44"/>
        <v>464</v>
      </c>
      <c r="Q480" s="3">
        <f t="shared" si="45"/>
        <v>0</v>
      </c>
      <c r="R480" s="3">
        <f t="shared" si="41"/>
        <v>42257.220000000008</v>
      </c>
      <c r="S480" s="24" t="s">
        <v>1334</v>
      </c>
      <c r="T480" s="24" t="s">
        <v>1334</v>
      </c>
      <c r="U480" s="3"/>
      <c r="V480" s="19" t="str">
        <f>IFERROR(VLOOKUP(Banco_Nacion[[#This Row],[responsable]],Clientes_Proveedores[[Ruc / Dni]:[Razon Social]],2,0),"")</f>
        <v>COMERCIO SERVICIOS E INVERSIONES YANCE E.I.R.L.</v>
      </c>
      <c r="W480" s="19" t="str">
        <f>IF(Banco_Nacion[[#This Row],[tipo_mov]]="INGRESO",Banco_Nacion[[#This Row],[serie]]&amp;Banco_Nacion[[#This Row],[numero]]&amp;Banco_Nacion[[#This Row],[responsable]]&amp;Banco_Nacion[[#This Row],[monto]],"")</f>
        <v>FF053820603065906464</v>
      </c>
      <c r="X480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82425650</v>
      </c>
      <c r="Y480" s="3" t="str">
        <f>IFERROR(VLOOKUP(Banco_Nacion[[#This Row],[serie]]&amp;Banco_Nacion[[#This Row],[numero]]&amp;Banco_Nacion[[#This Row],[responsable]],[2]!Provision_CXC[[ID CXP]:[DETRACCION]],47,0),"")</f>
        <v/>
      </c>
      <c r="Z480" s="3"/>
      <c r="AA480" s="24" t="str">
        <f>IF(Banco_Nacion[[#This Row],[fecha]]&gt;0,TEXT(Banco_Nacion[[#This Row],[fecha]],"mmmm"),0)</f>
        <v>Julio</v>
      </c>
    </row>
    <row r="481" spans="1:27" x14ac:dyDescent="0.3">
      <c r="A481" s="2">
        <f>IF(Banco_Nacion[[#This Row],[tipo_registro]]="R",COUNTIFS($C$1:$C480,"R")+1,"")</f>
        <v>480</v>
      </c>
      <c r="B481" s="19" t="str">
        <f t="shared" si="42"/>
        <v>B-Banco de la Nacion</v>
      </c>
      <c r="C481" s="3" t="s">
        <v>1330</v>
      </c>
      <c r="D481" s="14">
        <v>45846</v>
      </c>
      <c r="E481" s="5">
        <v>20603065906</v>
      </c>
      <c r="F481" s="5" t="s">
        <v>1303</v>
      </c>
      <c r="G481" s="6" t="s">
        <v>425</v>
      </c>
      <c r="H481" s="6" t="s">
        <v>68</v>
      </c>
      <c r="I481" s="6" t="s">
        <v>3381</v>
      </c>
      <c r="J481" s="6">
        <v>36</v>
      </c>
      <c r="K481" s="7" t="s">
        <v>5232</v>
      </c>
      <c r="L481" s="8">
        <v>82425649</v>
      </c>
      <c r="M481" s="8" t="str">
        <f t="shared" si="43"/>
        <v>PEN</v>
      </c>
      <c r="N481" s="13"/>
      <c r="O481" s="13">
        <v>290</v>
      </c>
      <c r="P481" s="3">
        <f t="shared" si="44"/>
        <v>290</v>
      </c>
      <c r="Q481" s="3">
        <f t="shared" si="45"/>
        <v>0</v>
      </c>
      <c r="R481" s="3">
        <f t="shared" si="41"/>
        <v>42547.220000000008</v>
      </c>
      <c r="S481" s="24" t="s">
        <v>1334</v>
      </c>
      <c r="T481" s="24" t="s">
        <v>1334</v>
      </c>
      <c r="U481" s="3"/>
      <c r="V481" s="19" t="str">
        <f>IFERROR(VLOOKUP(Banco_Nacion[[#This Row],[responsable]],Clientes_Proveedores[[Ruc / Dni]:[Razon Social]],2,0),"")</f>
        <v>COMERCIO SERVICIOS E INVERSIONES YANCE E.I.R.L.</v>
      </c>
      <c r="W481" s="19" t="str">
        <f>IF(Banco_Nacion[[#This Row],[tipo_mov]]="INGRESO",Banco_Nacion[[#This Row],[serie]]&amp;Banco_Nacion[[#This Row],[numero]]&amp;Banco_Nacion[[#This Row],[responsable]]&amp;Banco_Nacion[[#This Row],[monto]],"")</f>
        <v>FF053620603065906290</v>
      </c>
      <c r="X481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82425649</v>
      </c>
      <c r="Y481" s="3" t="str">
        <f>IFERROR(VLOOKUP(Banco_Nacion[[#This Row],[serie]]&amp;Banco_Nacion[[#This Row],[numero]]&amp;Banco_Nacion[[#This Row],[responsable]],[2]!Provision_CXC[[ID CXP]:[DETRACCION]],47,0),"")</f>
        <v/>
      </c>
      <c r="Z481" s="3"/>
      <c r="AA481" s="24" t="str">
        <f>IF(Banco_Nacion[[#This Row],[fecha]]&gt;0,TEXT(Banco_Nacion[[#This Row],[fecha]],"mmmm"),0)</f>
        <v>Julio</v>
      </c>
    </row>
    <row r="482" spans="1:27" x14ac:dyDescent="0.3">
      <c r="A482" s="2">
        <f>IF(Banco_Nacion[[#This Row],[tipo_registro]]="R",COUNTIFS($C$1:$C481,"R")+1,"")</f>
        <v>481</v>
      </c>
      <c r="B482" s="19" t="str">
        <f t="shared" si="42"/>
        <v>B-Banco de la Nacion</v>
      </c>
      <c r="C482" s="3" t="s">
        <v>1330</v>
      </c>
      <c r="D482" s="14">
        <v>45846</v>
      </c>
      <c r="E482" s="5">
        <v>20603065906</v>
      </c>
      <c r="F482" s="5" t="s">
        <v>1303</v>
      </c>
      <c r="G482" s="6" t="s">
        <v>425</v>
      </c>
      <c r="H482" s="6" t="s">
        <v>68</v>
      </c>
      <c r="I482" s="6" t="s">
        <v>3381</v>
      </c>
      <c r="J482" s="6">
        <v>35</v>
      </c>
      <c r="K482" s="7" t="s">
        <v>5232</v>
      </c>
      <c r="L482" s="8">
        <v>82425648</v>
      </c>
      <c r="M482" s="8" t="str">
        <f t="shared" si="43"/>
        <v>PEN</v>
      </c>
      <c r="N482" s="13"/>
      <c r="O482" s="13">
        <v>378</v>
      </c>
      <c r="P482" s="3">
        <f t="shared" si="44"/>
        <v>378</v>
      </c>
      <c r="Q482" s="3">
        <f t="shared" si="45"/>
        <v>0</v>
      </c>
      <c r="R482" s="3">
        <f t="shared" si="41"/>
        <v>42925.220000000008</v>
      </c>
      <c r="S482" s="24" t="s">
        <v>1334</v>
      </c>
      <c r="T482" s="24" t="s">
        <v>1334</v>
      </c>
      <c r="U482" s="3"/>
      <c r="V482" s="19" t="str">
        <f>IFERROR(VLOOKUP(Banco_Nacion[[#This Row],[responsable]],Clientes_Proveedores[[Ruc / Dni]:[Razon Social]],2,0),"")</f>
        <v>COMERCIO SERVICIOS E INVERSIONES YANCE E.I.R.L.</v>
      </c>
      <c r="W482" s="19" t="str">
        <f>IF(Banco_Nacion[[#This Row],[tipo_mov]]="INGRESO",Banco_Nacion[[#This Row],[serie]]&amp;Banco_Nacion[[#This Row],[numero]]&amp;Banco_Nacion[[#This Row],[responsable]]&amp;Banco_Nacion[[#This Row],[monto]],"")</f>
        <v>FF053520603065906378</v>
      </c>
      <c r="X482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82425648</v>
      </c>
      <c r="Y482" s="3" t="str">
        <f>IFERROR(VLOOKUP(Banco_Nacion[[#This Row],[serie]]&amp;Banco_Nacion[[#This Row],[numero]]&amp;Banco_Nacion[[#This Row],[responsable]],[2]!Provision_CXC[[ID CXP]:[DETRACCION]],47,0),"")</f>
        <v/>
      </c>
      <c r="Z482" s="3"/>
      <c r="AA482" s="24" t="str">
        <f>IF(Banco_Nacion[[#This Row],[fecha]]&gt;0,TEXT(Banco_Nacion[[#This Row],[fecha]],"mmmm"),0)</f>
        <v>Julio</v>
      </c>
    </row>
    <row r="483" spans="1:27" x14ac:dyDescent="0.3">
      <c r="A483" s="2">
        <f>IF(Banco_Nacion[[#This Row],[tipo_registro]]="R",COUNTIFS($C$1:$C482,"R")+1,"")</f>
        <v>482</v>
      </c>
      <c r="B483" s="19" t="str">
        <f t="shared" si="42"/>
        <v>B-Banco de la Nacion</v>
      </c>
      <c r="C483" s="3" t="s">
        <v>1330</v>
      </c>
      <c r="D483" s="14">
        <v>45846</v>
      </c>
      <c r="E483" s="5">
        <v>20603065906</v>
      </c>
      <c r="F483" s="5" t="s">
        <v>1303</v>
      </c>
      <c r="G483" s="6" t="s">
        <v>425</v>
      </c>
      <c r="H483" s="6" t="s">
        <v>68</v>
      </c>
      <c r="I483" s="6" t="s">
        <v>3381</v>
      </c>
      <c r="J483" s="6">
        <v>33</v>
      </c>
      <c r="K483" s="7" t="s">
        <v>5232</v>
      </c>
      <c r="L483" s="8">
        <v>82408208</v>
      </c>
      <c r="M483" s="8" t="str">
        <f t="shared" si="43"/>
        <v>PEN</v>
      </c>
      <c r="N483" s="13"/>
      <c r="O483" s="13">
        <v>331</v>
      </c>
      <c r="P483" s="3">
        <f t="shared" si="44"/>
        <v>331</v>
      </c>
      <c r="Q483" s="3">
        <f t="shared" si="45"/>
        <v>0</v>
      </c>
      <c r="R483" s="3">
        <f t="shared" si="41"/>
        <v>43256.220000000008</v>
      </c>
      <c r="S483" s="24" t="s">
        <v>1334</v>
      </c>
      <c r="T483" s="24" t="s">
        <v>1334</v>
      </c>
      <c r="U483" s="3"/>
      <c r="V483" s="19" t="str">
        <f>IFERROR(VLOOKUP(Banco_Nacion[[#This Row],[responsable]],Clientes_Proveedores[[Ruc / Dni]:[Razon Social]],2,0),"")</f>
        <v>COMERCIO SERVICIOS E INVERSIONES YANCE E.I.R.L.</v>
      </c>
      <c r="W483" s="19" t="str">
        <f>IF(Banco_Nacion[[#This Row],[tipo_mov]]="INGRESO",Banco_Nacion[[#This Row],[serie]]&amp;Banco_Nacion[[#This Row],[numero]]&amp;Banco_Nacion[[#This Row],[responsable]]&amp;Banco_Nacion[[#This Row],[monto]],"")</f>
        <v>FF053320603065906331</v>
      </c>
      <c r="X483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82408208</v>
      </c>
      <c r="Y483" s="3" t="str">
        <f>IFERROR(VLOOKUP(Banco_Nacion[[#This Row],[serie]]&amp;Banco_Nacion[[#This Row],[numero]]&amp;Banco_Nacion[[#This Row],[responsable]],[2]!Provision_CXC[[ID CXP]:[DETRACCION]],47,0),"")</f>
        <v/>
      </c>
      <c r="Z483" s="3"/>
      <c r="AA483" s="24" t="str">
        <f>IF(Banco_Nacion[[#This Row],[fecha]]&gt;0,TEXT(Banco_Nacion[[#This Row],[fecha]],"mmmm"),0)</f>
        <v>Julio</v>
      </c>
    </row>
    <row r="484" spans="1:27" x14ac:dyDescent="0.3">
      <c r="A484" s="2">
        <f>IF(Banco_Nacion[[#This Row],[tipo_registro]]="R",COUNTIFS($C$1:$C483,"R")+1,"")</f>
        <v>483</v>
      </c>
      <c r="B484" s="19" t="str">
        <f t="shared" si="42"/>
        <v>B-Banco de la Nacion</v>
      </c>
      <c r="C484" s="3" t="s">
        <v>1330</v>
      </c>
      <c r="D484" s="14">
        <v>45846</v>
      </c>
      <c r="E484" s="5">
        <v>20455825742</v>
      </c>
      <c r="F484" s="5" t="s">
        <v>1303</v>
      </c>
      <c r="G484" s="6" t="s">
        <v>425</v>
      </c>
      <c r="H484" s="6" t="s">
        <v>68</v>
      </c>
      <c r="I484" s="6" t="s">
        <v>1784</v>
      </c>
      <c r="J484" s="6">
        <v>135</v>
      </c>
      <c r="K484" s="7" t="s">
        <v>5232</v>
      </c>
      <c r="L484" s="8">
        <v>82372062</v>
      </c>
      <c r="M484" s="8" t="str">
        <f t="shared" si="43"/>
        <v>PEN</v>
      </c>
      <c r="N484" s="13"/>
      <c r="O484" s="13">
        <v>322</v>
      </c>
      <c r="P484" s="3">
        <f t="shared" si="44"/>
        <v>322</v>
      </c>
      <c r="Q484" s="3">
        <f t="shared" si="45"/>
        <v>0</v>
      </c>
      <c r="R484" s="3">
        <f t="shared" si="41"/>
        <v>43578.220000000008</v>
      </c>
      <c r="S484" s="24" t="s">
        <v>1334</v>
      </c>
      <c r="T484" s="24" t="s">
        <v>1334</v>
      </c>
      <c r="U484" s="3"/>
      <c r="V484" s="19" t="str">
        <f>IFERROR(VLOOKUP(Banco_Nacion[[#This Row],[responsable]],Clientes_Proveedores[[Ruc / Dni]:[Razon Social]],2,0),"")</f>
        <v>LIVIGUI PERU S.A.C.</v>
      </c>
      <c r="W484" s="19" t="str">
        <f>IF(Banco_Nacion[[#This Row],[tipo_mov]]="INGRESO",Banco_Nacion[[#This Row],[serie]]&amp;Banco_Nacion[[#This Row],[numero]]&amp;Banco_Nacion[[#This Row],[responsable]]&amp;Banco_Nacion[[#This Row],[monto]],"")</f>
        <v>FF0113520455825742322</v>
      </c>
      <c r="X484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82372062</v>
      </c>
      <c r="Y484" s="3" t="str">
        <f>IFERROR(VLOOKUP(Banco_Nacion[[#This Row],[serie]]&amp;Banco_Nacion[[#This Row],[numero]]&amp;Banco_Nacion[[#This Row],[responsable]],[2]!Provision_CXC[[ID CXP]:[DETRACCION]],47,0),"")</f>
        <v/>
      </c>
      <c r="Z484" s="3"/>
      <c r="AA484" s="24" t="str">
        <f>IF(Banco_Nacion[[#This Row],[fecha]]&gt;0,TEXT(Banco_Nacion[[#This Row],[fecha]],"mmmm"),0)</f>
        <v>Julio</v>
      </c>
    </row>
    <row r="485" spans="1:27" x14ac:dyDescent="0.3">
      <c r="A485" s="2">
        <f>IF(Banco_Nacion[[#This Row],[tipo_registro]]="R",COUNTIFS($C$1:$C484,"R")+1,"")</f>
        <v>484</v>
      </c>
      <c r="B485" s="19" t="str">
        <f t="shared" si="42"/>
        <v>B-Banco de la Nacion</v>
      </c>
      <c r="C485" s="3" t="s">
        <v>1330</v>
      </c>
      <c r="D485" s="14">
        <v>45846</v>
      </c>
      <c r="E485" s="5">
        <v>20120858425</v>
      </c>
      <c r="F485" s="5" t="s">
        <v>1303</v>
      </c>
      <c r="G485" s="6" t="s">
        <v>425</v>
      </c>
      <c r="H485" s="6" t="s">
        <v>68</v>
      </c>
      <c r="I485" s="6" t="s">
        <v>1784</v>
      </c>
      <c r="J485" s="6">
        <v>117</v>
      </c>
      <c r="K485" s="7" t="s">
        <v>5232</v>
      </c>
      <c r="L485" s="8">
        <v>82352922</v>
      </c>
      <c r="M485" s="8" t="str">
        <f t="shared" si="43"/>
        <v>PEN</v>
      </c>
      <c r="N485" s="13"/>
      <c r="O485" s="13">
        <v>147</v>
      </c>
      <c r="P485" s="3">
        <f t="shared" si="44"/>
        <v>147</v>
      </c>
      <c r="Q485" s="3">
        <f t="shared" si="45"/>
        <v>0</v>
      </c>
      <c r="R485" s="3">
        <f t="shared" si="41"/>
        <v>43725.220000000008</v>
      </c>
      <c r="S485" s="24" t="s">
        <v>1334</v>
      </c>
      <c r="T485" s="24" t="s">
        <v>1334</v>
      </c>
      <c r="U485" s="3"/>
      <c r="V485" s="19" t="str">
        <f>IFERROR(VLOOKUP(Banco_Nacion[[#This Row],[responsable]],Clientes_Proveedores[[Ruc / Dni]:[Razon Social]],2,0),"")</f>
        <v>POWER S.A.C.</v>
      </c>
      <c r="W485" s="19" t="str">
        <f>IF(Banco_Nacion[[#This Row],[tipo_mov]]="INGRESO",Banco_Nacion[[#This Row],[serie]]&amp;Banco_Nacion[[#This Row],[numero]]&amp;Banco_Nacion[[#This Row],[responsable]]&amp;Banco_Nacion[[#This Row],[monto]],"")</f>
        <v>FF0111720120858425147</v>
      </c>
      <c r="X485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82352922</v>
      </c>
      <c r="Y485" s="3" t="str">
        <f>IFERROR(VLOOKUP(Banco_Nacion[[#This Row],[serie]]&amp;Banco_Nacion[[#This Row],[numero]]&amp;Banco_Nacion[[#This Row],[responsable]],[2]!Provision_CXC[[ID CXP]:[DETRACCION]],47,0),"")</f>
        <v/>
      </c>
      <c r="Z485" s="3"/>
      <c r="AA485" s="24" t="str">
        <f>IF(Banco_Nacion[[#This Row],[fecha]]&gt;0,TEXT(Banco_Nacion[[#This Row],[fecha]],"mmmm"),0)</f>
        <v>Julio</v>
      </c>
    </row>
    <row r="486" spans="1:27" x14ac:dyDescent="0.3">
      <c r="A486" s="2">
        <f>IF(Banco_Nacion[[#This Row],[tipo_registro]]="R",COUNTIFS($C$1:$C485,"R")+1,"")</f>
        <v>485</v>
      </c>
      <c r="B486" s="19" t="str">
        <f t="shared" si="42"/>
        <v>B-Banco de la Nacion</v>
      </c>
      <c r="C486" s="3" t="s">
        <v>1330</v>
      </c>
      <c r="D486" s="14">
        <v>45846</v>
      </c>
      <c r="E486" s="5">
        <v>20100235138</v>
      </c>
      <c r="F486" s="5" t="s">
        <v>1303</v>
      </c>
      <c r="G486" s="6" t="s">
        <v>425</v>
      </c>
      <c r="H486" s="6" t="s">
        <v>68</v>
      </c>
      <c r="I486" s="6" t="s">
        <v>3302</v>
      </c>
      <c r="J486" s="6">
        <v>53</v>
      </c>
      <c r="K486" s="7" t="s">
        <v>5232</v>
      </c>
      <c r="L486" s="8">
        <v>82292594</v>
      </c>
      <c r="M486" s="8" t="str">
        <f t="shared" si="43"/>
        <v>PEN</v>
      </c>
      <c r="N486" s="13"/>
      <c r="O486" s="13">
        <v>55</v>
      </c>
      <c r="P486" s="3">
        <f t="shared" si="44"/>
        <v>55</v>
      </c>
      <c r="Q486" s="3">
        <f t="shared" si="45"/>
        <v>0</v>
      </c>
      <c r="R486" s="3">
        <f t="shared" si="41"/>
        <v>43780.220000000008</v>
      </c>
      <c r="S486" s="24" t="s">
        <v>1334</v>
      </c>
      <c r="T486" s="24" t="s">
        <v>1334</v>
      </c>
      <c r="U486" s="3"/>
      <c r="V486" s="19" t="str">
        <f>IFERROR(VLOOKUP(Banco_Nacion[[#This Row],[responsable]],Clientes_Proveedores[[Ruc / Dni]:[Razon Social]],2,0),"")</f>
        <v>METALURGICA QUIMICA S.A.C.</v>
      </c>
      <c r="W486" s="19" t="str">
        <f>IF(Banco_Nacion[[#This Row],[tipo_mov]]="INGRESO",Banco_Nacion[[#This Row],[serie]]&amp;Banco_Nacion[[#This Row],[numero]]&amp;Banco_Nacion[[#This Row],[responsable]]&amp;Banco_Nacion[[#This Row],[monto]],"")</f>
        <v>FF02532010023513855</v>
      </c>
      <c r="X486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82292594</v>
      </c>
      <c r="Y486" s="3" t="str">
        <f>IFERROR(VLOOKUP(Banco_Nacion[[#This Row],[serie]]&amp;Banco_Nacion[[#This Row],[numero]]&amp;Banco_Nacion[[#This Row],[responsable]],[2]!Provision_CXC[[ID CXP]:[DETRACCION]],47,0),"")</f>
        <v/>
      </c>
      <c r="Z486" s="3"/>
      <c r="AA486" s="24" t="str">
        <f>IF(Banco_Nacion[[#This Row],[fecha]]&gt;0,TEXT(Banco_Nacion[[#This Row],[fecha]],"mmmm"),0)</f>
        <v>Julio</v>
      </c>
    </row>
    <row r="487" spans="1:27" x14ac:dyDescent="0.3">
      <c r="A487" s="2">
        <f>IF(Banco_Nacion[[#This Row],[tipo_registro]]="R",COUNTIFS($C$1:$C486,"R")+1,"")</f>
        <v>486</v>
      </c>
      <c r="B487" s="19" t="str">
        <f t="shared" si="42"/>
        <v>B-Banco de la Nacion</v>
      </c>
      <c r="C487" s="3" t="s">
        <v>1330</v>
      </c>
      <c r="D487" s="14">
        <v>45846</v>
      </c>
      <c r="E487" s="5">
        <v>20558203332</v>
      </c>
      <c r="F487" s="5" t="s">
        <v>1303</v>
      </c>
      <c r="G487" s="6" t="s">
        <v>425</v>
      </c>
      <c r="H487" s="6" t="s">
        <v>68</v>
      </c>
      <c r="I487" s="6" t="s">
        <v>3302</v>
      </c>
      <c r="J487" s="6">
        <v>75</v>
      </c>
      <c r="K487" s="7" t="s">
        <v>5232</v>
      </c>
      <c r="L487" s="8">
        <v>82272673</v>
      </c>
      <c r="M487" s="8" t="str">
        <f t="shared" si="43"/>
        <v>PEN</v>
      </c>
      <c r="N487" s="13"/>
      <c r="O487" s="13">
        <v>25</v>
      </c>
      <c r="P487" s="3">
        <f t="shared" si="44"/>
        <v>25</v>
      </c>
      <c r="Q487" s="3">
        <f t="shared" si="45"/>
        <v>0</v>
      </c>
      <c r="R487" s="3">
        <f t="shared" si="41"/>
        <v>43805.220000000008</v>
      </c>
      <c r="S487" s="24" t="s">
        <v>1334</v>
      </c>
      <c r="T487" s="24" t="s">
        <v>1334</v>
      </c>
      <c r="U487" s="3"/>
      <c r="V487" s="19" t="str">
        <f>IFERROR(VLOOKUP(Banco_Nacion[[#This Row],[responsable]],Clientes_Proveedores[[Ruc / Dni]:[Razon Social]],2,0),"")</f>
        <v>ISC INGENIERIA DEL SUR S.A.C.</v>
      </c>
      <c r="W487" s="19" t="str">
        <f>IF(Banco_Nacion[[#This Row],[tipo_mov]]="INGRESO",Banco_Nacion[[#This Row],[serie]]&amp;Banco_Nacion[[#This Row],[numero]]&amp;Banco_Nacion[[#This Row],[responsable]]&amp;Banco_Nacion[[#This Row],[monto]],"")</f>
        <v>FF02752055820333225</v>
      </c>
      <c r="X487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82272673</v>
      </c>
      <c r="Y487" s="3" t="str">
        <f>IFERROR(VLOOKUP(Banco_Nacion[[#This Row],[serie]]&amp;Banco_Nacion[[#This Row],[numero]]&amp;Banco_Nacion[[#This Row],[responsable]],[2]!Provision_CXC[[ID CXP]:[DETRACCION]],47,0),"")</f>
        <v/>
      </c>
      <c r="Z487" s="3"/>
      <c r="AA487" s="24" t="str">
        <f>IF(Banco_Nacion[[#This Row],[fecha]]&gt;0,TEXT(Banco_Nacion[[#This Row],[fecha]],"mmmm"),0)</f>
        <v>Julio</v>
      </c>
    </row>
    <row r="488" spans="1:27" x14ac:dyDescent="0.3">
      <c r="A488" s="2">
        <f>IF(Banco_Nacion[[#This Row],[tipo_registro]]="R",COUNTIFS($C$1:$C487,"R")+1,"")</f>
        <v>487</v>
      </c>
      <c r="B488" s="19" t="str">
        <f t="shared" si="42"/>
        <v>B-Banco de la Nacion</v>
      </c>
      <c r="C488" s="3" t="s">
        <v>1330</v>
      </c>
      <c r="D488" s="14">
        <v>45846</v>
      </c>
      <c r="E488" s="5">
        <v>20100199743</v>
      </c>
      <c r="F488" s="5" t="s">
        <v>1303</v>
      </c>
      <c r="G488" s="6" t="s">
        <v>425</v>
      </c>
      <c r="H488" s="6" t="s">
        <v>68</v>
      </c>
      <c r="I488" s="6" t="s">
        <v>1784</v>
      </c>
      <c r="J488" s="6">
        <v>127</v>
      </c>
      <c r="K488" s="7" t="s">
        <v>5232</v>
      </c>
      <c r="L488" s="8">
        <v>82236202</v>
      </c>
      <c r="M488" s="8" t="str">
        <f t="shared" si="43"/>
        <v>PEN</v>
      </c>
      <c r="N488" s="13"/>
      <c r="O488" s="13">
        <v>236</v>
      </c>
      <c r="P488" s="3">
        <f t="shared" si="44"/>
        <v>236</v>
      </c>
      <c r="Q488" s="3">
        <f t="shared" si="45"/>
        <v>0</v>
      </c>
      <c r="R488" s="3">
        <f t="shared" si="41"/>
        <v>44041.220000000008</v>
      </c>
      <c r="S488" s="24" t="s">
        <v>1334</v>
      </c>
      <c r="T488" s="24" t="s">
        <v>1334</v>
      </c>
      <c r="U488" s="3"/>
      <c r="V488" s="19" t="str">
        <f>IFERROR(VLOOKUP(Banco_Nacion[[#This Row],[responsable]],Clientes_Proveedores[[Ruc / Dni]:[Razon Social]],2,0),"")</f>
        <v>INCA TOPS S.A</v>
      </c>
      <c r="W488" s="19" t="str">
        <f>IF(Banco_Nacion[[#This Row],[tipo_mov]]="INGRESO",Banco_Nacion[[#This Row],[serie]]&amp;Banco_Nacion[[#This Row],[numero]]&amp;Banco_Nacion[[#This Row],[responsable]]&amp;Banco_Nacion[[#This Row],[monto]],"")</f>
        <v>FF0112720100199743236</v>
      </c>
      <c r="X488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82236202</v>
      </c>
      <c r="Y488" s="3" t="str">
        <f>IFERROR(VLOOKUP(Banco_Nacion[[#This Row],[serie]]&amp;Banco_Nacion[[#This Row],[numero]]&amp;Banco_Nacion[[#This Row],[responsable]],[2]!Provision_CXC[[ID CXP]:[DETRACCION]],47,0),"")</f>
        <v/>
      </c>
      <c r="Z488" s="3"/>
      <c r="AA488" s="24" t="str">
        <f>IF(Banco_Nacion[[#This Row],[fecha]]&gt;0,TEXT(Banco_Nacion[[#This Row],[fecha]],"mmmm"),0)</f>
        <v>Julio</v>
      </c>
    </row>
    <row r="489" spans="1:27" x14ac:dyDescent="0.3">
      <c r="A489" s="2">
        <f>IF(Banco_Nacion[[#This Row],[tipo_registro]]="R",COUNTIFS($C$1:$C488,"R")+1,"")</f>
        <v>488</v>
      </c>
      <c r="B489" s="19" t="str">
        <f t="shared" si="42"/>
        <v>B-Banco de la Nacion</v>
      </c>
      <c r="C489" s="3" t="s">
        <v>1330</v>
      </c>
      <c r="D489" s="14">
        <v>45846</v>
      </c>
      <c r="E489" s="5">
        <v>20601119600</v>
      </c>
      <c r="F489" s="5" t="s">
        <v>1303</v>
      </c>
      <c r="G489" s="6" t="s">
        <v>425</v>
      </c>
      <c r="H489" s="6" t="s">
        <v>68</v>
      </c>
      <c r="I489" s="6" t="s">
        <v>3381</v>
      </c>
      <c r="J489" s="6">
        <v>43</v>
      </c>
      <c r="K489" s="7" t="s">
        <v>5232</v>
      </c>
      <c r="L489" s="8">
        <v>27458130</v>
      </c>
      <c r="M489" s="8" t="str">
        <f t="shared" si="43"/>
        <v>PEN</v>
      </c>
      <c r="N489" s="13"/>
      <c r="O489" s="13">
        <v>80</v>
      </c>
      <c r="P489" s="3">
        <f t="shared" si="44"/>
        <v>80</v>
      </c>
      <c r="Q489" s="3">
        <f t="shared" si="45"/>
        <v>0</v>
      </c>
      <c r="R489" s="3">
        <f t="shared" si="41"/>
        <v>44121.220000000008</v>
      </c>
      <c r="S489" s="24" t="s">
        <v>1334</v>
      </c>
      <c r="T489" s="24" t="s">
        <v>1334</v>
      </c>
      <c r="U489" s="3"/>
      <c r="V489" s="19" t="str">
        <f>IFERROR(VLOOKUP(Banco_Nacion[[#This Row],[responsable]],Clientes_Proveedores[[Ruc / Dni]:[Razon Social]],2,0),"")</f>
        <v>INVERSIONES W.J.M. S.A.C.</v>
      </c>
      <c r="W489" s="19" t="str">
        <f>IF(Banco_Nacion[[#This Row],[tipo_mov]]="INGRESO",Banco_Nacion[[#This Row],[serie]]&amp;Banco_Nacion[[#This Row],[numero]]&amp;Banco_Nacion[[#This Row],[responsable]]&amp;Banco_Nacion[[#This Row],[monto]],"")</f>
        <v>FF05432060111960080</v>
      </c>
      <c r="X489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27458130</v>
      </c>
      <c r="Y489" s="3" t="str">
        <f>IFERROR(VLOOKUP(Banco_Nacion[[#This Row],[serie]]&amp;Banco_Nacion[[#This Row],[numero]]&amp;Banco_Nacion[[#This Row],[responsable]],[2]!Provision_CXC[[ID CXP]:[DETRACCION]],47,0),"")</f>
        <v/>
      </c>
      <c r="Z489" s="3"/>
      <c r="AA489" s="24" t="str">
        <f>IF(Banco_Nacion[[#This Row],[fecha]]&gt;0,TEXT(Banco_Nacion[[#This Row],[fecha]],"mmmm"),0)</f>
        <v>Julio</v>
      </c>
    </row>
    <row r="490" spans="1:27" x14ac:dyDescent="0.3">
      <c r="A490" s="2">
        <f>IF(Banco_Nacion[[#This Row],[tipo_registro]]="R",COUNTIFS($C$1:$C489,"R")+1,"")</f>
        <v>489</v>
      </c>
      <c r="B490" s="19" t="str">
        <f t="shared" si="42"/>
        <v>B-Banco de la Nacion</v>
      </c>
      <c r="C490" s="3" t="s">
        <v>1330</v>
      </c>
      <c r="D490" s="14">
        <v>45848</v>
      </c>
      <c r="E490" s="5">
        <v>20402885549</v>
      </c>
      <c r="F490" s="5" t="s">
        <v>1303</v>
      </c>
      <c r="G490" s="6" t="s">
        <v>425</v>
      </c>
      <c r="H490" s="6" t="s">
        <v>68</v>
      </c>
      <c r="I490" s="6" t="s">
        <v>3302</v>
      </c>
      <c r="J490" s="6">
        <v>86</v>
      </c>
      <c r="K490" s="7" t="s">
        <v>5232</v>
      </c>
      <c r="L490" s="8">
        <v>82844209</v>
      </c>
      <c r="M490" s="8" t="str">
        <f t="shared" si="43"/>
        <v>PEN</v>
      </c>
      <c r="N490" s="13"/>
      <c r="O490" s="13">
        <v>342</v>
      </c>
      <c r="P490" s="3">
        <f t="shared" si="44"/>
        <v>342</v>
      </c>
      <c r="Q490" s="3">
        <f t="shared" si="45"/>
        <v>0</v>
      </c>
      <c r="R490" s="3">
        <f t="shared" si="41"/>
        <v>44463.220000000008</v>
      </c>
      <c r="S490" s="24" t="s">
        <v>1334</v>
      </c>
      <c r="T490" s="24" t="s">
        <v>1334</v>
      </c>
      <c r="U490" s="3"/>
      <c r="V490" s="19" t="str">
        <f>IFERROR(VLOOKUP(Banco_Nacion[[#This Row],[responsable]],Clientes_Proveedores[[Ruc / Dni]:[Razon Social]],2,0),"")</f>
        <v>EMPRESA SIDERURGICA DEL PERU S.A.A.</v>
      </c>
      <c r="W490" s="19" t="str">
        <f>IF(Banco_Nacion[[#This Row],[tipo_mov]]="INGRESO",Banco_Nacion[[#This Row],[serie]]&amp;Banco_Nacion[[#This Row],[numero]]&amp;Banco_Nacion[[#This Row],[responsable]]&amp;Banco_Nacion[[#This Row],[monto]],"")</f>
        <v>FF028620402885549342</v>
      </c>
      <c r="X490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82844209</v>
      </c>
      <c r="Y490" s="3" t="str">
        <f>IFERROR(VLOOKUP(Banco_Nacion[[#This Row],[serie]]&amp;Banco_Nacion[[#This Row],[numero]]&amp;Banco_Nacion[[#This Row],[responsable]],[2]!Provision_CXC[[ID CXP]:[DETRACCION]],47,0),"")</f>
        <v/>
      </c>
      <c r="Z490" s="3"/>
      <c r="AA490" s="24" t="str">
        <f>IF(Banco_Nacion[[#This Row],[fecha]]&gt;0,TEXT(Banco_Nacion[[#This Row],[fecha]],"mmmm"),0)</f>
        <v>Julio</v>
      </c>
    </row>
    <row r="491" spans="1:27" x14ac:dyDescent="0.3">
      <c r="A491" s="2">
        <f>IF(Banco_Nacion[[#This Row],[tipo_registro]]="R",COUNTIFS($C$1:$C490,"R")+1,"")</f>
        <v>490</v>
      </c>
      <c r="B491" s="19" t="str">
        <f t="shared" si="42"/>
        <v>B-Banco de la Nacion</v>
      </c>
      <c r="C491" s="3" t="s">
        <v>1330</v>
      </c>
      <c r="D491" s="14">
        <v>45852</v>
      </c>
      <c r="E491" s="5">
        <v>20607388416</v>
      </c>
      <c r="F491" s="5" t="s">
        <v>1303</v>
      </c>
      <c r="G491" s="6" t="s">
        <v>425</v>
      </c>
      <c r="H491" s="6" t="s">
        <v>68</v>
      </c>
      <c r="I491" s="6" t="s">
        <v>3381</v>
      </c>
      <c r="J491" s="6">
        <v>29</v>
      </c>
      <c r="K491" s="7" t="s">
        <v>5232</v>
      </c>
      <c r="L491" s="8">
        <v>82972583</v>
      </c>
      <c r="M491" s="8" t="str">
        <f t="shared" si="43"/>
        <v>PEN</v>
      </c>
      <c r="N491" s="13"/>
      <c r="O491" s="13">
        <v>235</v>
      </c>
      <c r="P491" s="3">
        <f t="shared" si="44"/>
        <v>235</v>
      </c>
      <c r="Q491" s="3">
        <f t="shared" si="45"/>
        <v>0</v>
      </c>
      <c r="R491" s="3">
        <f t="shared" si="41"/>
        <v>44698.220000000008</v>
      </c>
      <c r="S491" s="24" t="s">
        <v>1334</v>
      </c>
      <c r="T491" s="24" t="s">
        <v>1334</v>
      </c>
      <c r="U491" s="3"/>
      <c r="V491" s="19" t="str">
        <f>IFERROR(VLOOKUP(Banco_Nacion[[#This Row],[responsable]],Clientes_Proveedores[[Ruc / Dni]:[Razon Social]],2,0),"")</f>
        <v>ALEACIONES FERROSAS Y METALICAS S.A.C.</v>
      </c>
      <c r="W491" s="19" t="str">
        <f>IF(Banco_Nacion[[#This Row],[tipo_mov]]="INGRESO",Banco_Nacion[[#This Row],[serie]]&amp;Banco_Nacion[[#This Row],[numero]]&amp;Banco_Nacion[[#This Row],[responsable]]&amp;Banco_Nacion[[#This Row],[monto]],"")</f>
        <v>FF052920607388416235</v>
      </c>
      <c r="X491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82972583</v>
      </c>
      <c r="Y491" s="3" t="str">
        <f>IFERROR(VLOOKUP(Banco_Nacion[[#This Row],[serie]]&amp;Banco_Nacion[[#This Row],[numero]]&amp;Banco_Nacion[[#This Row],[responsable]],[2]!Provision_CXC[[ID CXP]:[DETRACCION]],47,0),"")</f>
        <v/>
      </c>
      <c r="Z491" s="3"/>
      <c r="AA491" s="24" t="str">
        <f>IF(Banco_Nacion[[#This Row],[fecha]]&gt;0,TEXT(Banco_Nacion[[#This Row],[fecha]],"mmmm"),0)</f>
        <v>Julio</v>
      </c>
    </row>
    <row r="492" spans="1:27" x14ac:dyDescent="0.3">
      <c r="A492" s="2">
        <f>IF(Banco_Nacion[[#This Row],[tipo_registro]]="R",COUNTIFS($C$1:$C491,"R")+1,"")</f>
        <v>491</v>
      </c>
      <c r="B492" s="19" t="str">
        <f t="shared" si="42"/>
        <v>B-Banco de la Nacion</v>
      </c>
      <c r="C492" s="3" t="s">
        <v>1330</v>
      </c>
      <c r="D492" s="14">
        <v>45852</v>
      </c>
      <c r="E492" s="5">
        <v>20607388416</v>
      </c>
      <c r="F492" s="5" t="s">
        <v>1303</v>
      </c>
      <c r="G492" s="6" t="s">
        <v>425</v>
      </c>
      <c r="H492" s="6" t="s">
        <v>68</v>
      </c>
      <c r="I492" s="6" t="s">
        <v>3381</v>
      </c>
      <c r="J492" s="6">
        <v>42</v>
      </c>
      <c r="K492" s="7" t="s">
        <v>5232</v>
      </c>
      <c r="L492" s="8">
        <v>82972582</v>
      </c>
      <c r="M492" s="8" t="str">
        <f t="shared" si="43"/>
        <v>PEN</v>
      </c>
      <c r="N492" s="13"/>
      <c r="O492" s="13">
        <v>412</v>
      </c>
      <c r="P492" s="3">
        <f t="shared" si="44"/>
        <v>412</v>
      </c>
      <c r="Q492" s="3">
        <f t="shared" si="45"/>
        <v>0</v>
      </c>
      <c r="R492" s="3">
        <f t="shared" si="41"/>
        <v>45110.220000000008</v>
      </c>
      <c r="S492" s="24" t="s">
        <v>1334</v>
      </c>
      <c r="T492" s="24" t="s">
        <v>1334</v>
      </c>
      <c r="U492" s="3"/>
      <c r="V492" s="19" t="str">
        <f>IFERROR(VLOOKUP(Banco_Nacion[[#This Row],[responsable]],Clientes_Proveedores[[Ruc / Dni]:[Razon Social]],2,0),"")</f>
        <v>ALEACIONES FERROSAS Y METALICAS S.A.C.</v>
      </c>
      <c r="W492" s="19" t="str">
        <f>IF(Banco_Nacion[[#This Row],[tipo_mov]]="INGRESO",Banco_Nacion[[#This Row],[serie]]&amp;Banco_Nacion[[#This Row],[numero]]&amp;Banco_Nacion[[#This Row],[responsable]]&amp;Banco_Nacion[[#This Row],[monto]],"")</f>
        <v>FF054220607388416412</v>
      </c>
      <c r="X492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82972582</v>
      </c>
      <c r="Y492" s="3" t="str">
        <f>IFERROR(VLOOKUP(Banco_Nacion[[#This Row],[serie]]&amp;Banco_Nacion[[#This Row],[numero]]&amp;Banco_Nacion[[#This Row],[responsable]],[2]!Provision_CXC[[ID CXP]:[DETRACCION]],47,0),"")</f>
        <v/>
      </c>
      <c r="Z492" s="3"/>
      <c r="AA492" s="24" t="str">
        <f>IF(Banco_Nacion[[#This Row],[fecha]]&gt;0,TEXT(Banco_Nacion[[#This Row],[fecha]],"mmmm"),0)</f>
        <v>Julio</v>
      </c>
    </row>
    <row r="493" spans="1:27" x14ac:dyDescent="0.3">
      <c r="A493" s="2">
        <f>IF(Banco_Nacion[[#This Row],[tipo_registro]]="R",COUNTIFS($C$1:$C492,"R")+1,"")</f>
        <v>492</v>
      </c>
      <c r="B493" s="19" t="str">
        <f t="shared" si="42"/>
        <v>B-Banco de la Nacion</v>
      </c>
      <c r="C493" s="3" t="s">
        <v>1330</v>
      </c>
      <c r="D493" s="14">
        <v>45855</v>
      </c>
      <c r="E493" s="5">
        <v>20402885549</v>
      </c>
      <c r="F493" s="5" t="s">
        <v>1303</v>
      </c>
      <c r="G493" s="6" t="s">
        <v>425</v>
      </c>
      <c r="H493" s="6" t="s">
        <v>68</v>
      </c>
      <c r="I493" s="6" t="s">
        <v>3302</v>
      </c>
      <c r="J493" s="6">
        <v>93</v>
      </c>
      <c r="K493" s="7" t="s">
        <v>5232</v>
      </c>
      <c r="L493" s="8">
        <v>83349150</v>
      </c>
      <c r="M493" s="8" t="str">
        <f t="shared" si="43"/>
        <v>PEN</v>
      </c>
      <c r="N493" s="13"/>
      <c r="O493" s="13">
        <v>3739</v>
      </c>
      <c r="P493" s="3">
        <f t="shared" si="44"/>
        <v>3739</v>
      </c>
      <c r="Q493" s="3">
        <f t="shared" si="45"/>
        <v>0</v>
      </c>
      <c r="R493" s="3">
        <f t="shared" si="41"/>
        <v>48849.220000000008</v>
      </c>
      <c r="S493" s="24" t="s">
        <v>1334</v>
      </c>
      <c r="T493" s="24" t="s">
        <v>1334</v>
      </c>
      <c r="U493" s="3"/>
      <c r="V493" s="19" t="str">
        <f>IFERROR(VLOOKUP(Banco_Nacion[[#This Row],[responsable]],Clientes_Proveedores[[Ruc / Dni]:[Razon Social]],2,0),"")</f>
        <v>EMPRESA SIDERURGICA DEL PERU S.A.A.</v>
      </c>
      <c r="W493" s="19" t="str">
        <f>IF(Banco_Nacion[[#This Row],[tipo_mov]]="INGRESO",Banco_Nacion[[#This Row],[serie]]&amp;Banco_Nacion[[#This Row],[numero]]&amp;Banco_Nacion[[#This Row],[responsable]]&amp;Banco_Nacion[[#This Row],[monto]],"")</f>
        <v>FF0293204028855493739</v>
      </c>
      <c r="X493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83349150</v>
      </c>
      <c r="Y493" s="3" t="str">
        <f>IFERROR(VLOOKUP(Banco_Nacion[[#This Row],[serie]]&amp;Banco_Nacion[[#This Row],[numero]]&amp;Banco_Nacion[[#This Row],[responsable]],[2]!Provision_CXC[[ID CXP]:[DETRACCION]],47,0),"")</f>
        <v/>
      </c>
      <c r="Z493" s="3"/>
      <c r="AA493" s="24" t="str">
        <f>IF(Banco_Nacion[[#This Row],[fecha]]&gt;0,TEXT(Banco_Nacion[[#This Row],[fecha]],"mmmm"),0)</f>
        <v>Julio</v>
      </c>
    </row>
    <row r="494" spans="1:27" x14ac:dyDescent="0.3">
      <c r="A494" s="2">
        <f>IF(Banco_Nacion[[#This Row],[tipo_registro]]="R",COUNTIFS($C$1:$C493,"R")+1,"")</f>
        <v>493</v>
      </c>
      <c r="B494" s="19" t="str">
        <f t="shared" si="42"/>
        <v>B-Banco de la Nacion</v>
      </c>
      <c r="C494" s="3" t="s">
        <v>1330</v>
      </c>
      <c r="D494" s="14">
        <v>45855</v>
      </c>
      <c r="E494" s="5">
        <v>20100192064</v>
      </c>
      <c r="F494" s="5" t="s">
        <v>1303</v>
      </c>
      <c r="G494" s="6" t="s">
        <v>425</v>
      </c>
      <c r="H494" s="6" t="s">
        <v>68</v>
      </c>
      <c r="I494" s="6" t="s">
        <v>1784</v>
      </c>
      <c r="J494" s="6">
        <v>145</v>
      </c>
      <c r="K494" s="7" t="s">
        <v>5232</v>
      </c>
      <c r="L494" s="8">
        <v>83346004</v>
      </c>
      <c r="M494" s="8" t="str">
        <f t="shared" si="43"/>
        <v>PEN</v>
      </c>
      <c r="N494" s="13"/>
      <c r="O494" s="13">
        <v>629</v>
      </c>
      <c r="P494" s="3">
        <f t="shared" si="44"/>
        <v>629</v>
      </c>
      <c r="Q494" s="3">
        <f t="shared" si="45"/>
        <v>0</v>
      </c>
      <c r="R494" s="3">
        <f t="shared" si="41"/>
        <v>49478.220000000008</v>
      </c>
      <c r="S494" s="24" t="s">
        <v>1334</v>
      </c>
      <c r="T494" s="24" t="s">
        <v>1334</v>
      </c>
      <c r="U494" s="3"/>
      <c r="V494" s="19" t="str">
        <f>IFERROR(VLOOKUP(Banco_Nacion[[#This Row],[responsable]],Clientes_Proveedores[[Ruc / Dni]:[Razon Social]],2,0),"")</f>
        <v>MOLY-COP ADESUR S.A</v>
      </c>
      <c r="W494" s="19" t="str">
        <f>IF(Banco_Nacion[[#This Row],[tipo_mov]]="INGRESO",Banco_Nacion[[#This Row],[serie]]&amp;Banco_Nacion[[#This Row],[numero]]&amp;Banco_Nacion[[#This Row],[responsable]]&amp;Banco_Nacion[[#This Row],[monto]],"")</f>
        <v>FF0114520100192064629</v>
      </c>
      <c r="X494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83346004</v>
      </c>
      <c r="Y494" s="3" t="str">
        <f>IFERROR(VLOOKUP(Banco_Nacion[[#This Row],[serie]]&amp;Banco_Nacion[[#This Row],[numero]]&amp;Banco_Nacion[[#This Row],[responsable]],[2]!Provision_CXC[[ID CXP]:[DETRACCION]],47,0),"")</f>
        <v/>
      </c>
      <c r="Z494" s="3"/>
      <c r="AA494" s="24" t="str">
        <f>IF(Banco_Nacion[[#This Row],[fecha]]&gt;0,TEXT(Banco_Nacion[[#This Row],[fecha]],"mmmm"),0)</f>
        <v>Julio</v>
      </c>
    </row>
    <row r="495" spans="1:27" x14ac:dyDescent="0.3">
      <c r="A495" s="2">
        <f>IF(Banco_Nacion[[#This Row],[tipo_registro]]="R",COUNTIFS($C$1:$C494,"R")+1,"")</f>
        <v>494</v>
      </c>
      <c r="B495" s="19" t="str">
        <f t="shared" ref="B495:B533" si="46">"B-Banco de la Nacion"</f>
        <v>B-Banco de la Nacion</v>
      </c>
      <c r="C495" s="3" t="s">
        <v>1330</v>
      </c>
      <c r="D495" s="14">
        <v>45860</v>
      </c>
      <c r="E495" s="5">
        <v>20505675836</v>
      </c>
      <c r="F495" s="5" t="s">
        <v>1303</v>
      </c>
      <c r="G495" s="6" t="s">
        <v>425</v>
      </c>
      <c r="H495" s="6" t="s">
        <v>68</v>
      </c>
      <c r="I495" s="6" t="s">
        <v>1784</v>
      </c>
      <c r="J495" s="6">
        <v>165</v>
      </c>
      <c r="K495" s="7" t="s">
        <v>5232</v>
      </c>
      <c r="L495" s="8">
        <v>83645168</v>
      </c>
      <c r="M495" s="8" t="str">
        <f t="shared" ref="M495:M533" si="47">"PEN"</f>
        <v>PEN</v>
      </c>
      <c r="N495" s="13"/>
      <c r="O495" s="13">
        <v>779</v>
      </c>
      <c r="P495" s="3">
        <f t="shared" ref="P495:P533" si="48">+IF(OR($F495="SALDO",$F495="INGRESO"),$O495,0)</f>
        <v>779</v>
      </c>
      <c r="Q495" s="3">
        <f t="shared" ref="Q495:Q533" si="49">+IF($F495="EGRESO",$O495,0)</f>
        <v>0</v>
      </c>
      <c r="R495" s="3">
        <f t="shared" si="41"/>
        <v>50257.220000000008</v>
      </c>
      <c r="S495" s="24" t="s">
        <v>1334</v>
      </c>
      <c r="T495" s="24" t="s">
        <v>1334</v>
      </c>
      <c r="U495" s="3"/>
      <c r="V495" s="19" t="str">
        <f>IFERROR(VLOOKUP(Banco_Nacion[[#This Row],[responsable]],Clientes_Proveedores[[Ruc / Dni]:[Razon Social]],2,0),"")</f>
        <v>FLSMIDTH S.A.C.</v>
      </c>
      <c r="W495" s="19" t="str">
        <f>IF(Banco_Nacion[[#This Row],[tipo_mov]]="INGRESO",Banco_Nacion[[#This Row],[serie]]&amp;Banco_Nacion[[#This Row],[numero]]&amp;Banco_Nacion[[#This Row],[responsable]]&amp;Banco_Nacion[[#This Row],[monto]],"")</f>
        <v>FF0116520505675836779</v>
      </c>
      <c r="X495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83645168</v>
      </c>
      <c r="Y495" s="3" t="str">
        <f>IFERROR(VLOOKUP(Banco_Nacion[[#This Row],[serie]]&amp;Banco_Nacion[[#This Row],[numero]]&amp;Banco_Nacion[[#This Row],[responsable]],[2]!Provision_CXC[[ID CXP]:[DETRACCION]],47,0),"")</f>
        <v/>
      </c>
      <c r="Z495" s="3"/>
      <c r="AA495" s="24" t="str">
        <f>IF(Banco_Nacion[[#This Row],[fecha]]&gt;0,TEXT(Banco_Nacion[[#This Row],[fecha]],"mmmm"),0)</f>
        <v>Julio</v>
      </c>
    </row>
    <row r="496" spans="1:27" x14ac:dyDescent="0.3">
      <c r="A496" s="2">
        <f>IF(Banco_Nacion[[#This Row],[tipo_registro]]="R",COUNTIFS($C$1:$C495,"R")+1,"")</f>
        <v>495</v>
      </c>
      <c r="B496" s="19" t="str">
        <f t="shared" si="46"/>
        <v>B-Banco de la Nacion</v>
      </c>
      <c r="C496" s="3" t="s">
        <v>1330</v>
      </c>
      <c r="D496" s="14">
        <v>45860</v>
      </c>
      <c r="E496" s="5">
        <v>20505675836</v>
      </c>
      <c r="F496" s="5" t="s">
        <v>1303</v>
      </c>
      <c r="G496" s="6" t="s">
        <v>425</v>
      </c>
      <c r="H496" s="6" t="s">
        <v>68</v>
      </c>
      <c r="I496" s="6" t="s">
        <v>1784</v>
      </c>
      <c r="J496" s="6">
        <v>164</v>
      </c>
      <c r="K496" s="7" t="s">
        <v>5232</v>
      </c>
      <c r="L496" s="8">
        <v>83645167</v>
      </c>
      <c r="M496" s="8" t="str">
        <f t="shared" si="47"/>
        <v>PEN</v>
      </c>
      <c r="N496" s="13"/>
      <c r="O496" s="13">
        <v>1033</v>
      </c>
      <c r="P496" s="3">
        <f t="shared" si="48"/>
        <v>1033</v>
      </c>
      <c r="Q496" s="3">
        <f t="shared" si="49"/>
        <v>0</v>
      </c>
      <c r="R496" s="3">
        <f t="shared" si="41"/>
        <v>51290.220000000008</v>
      </c>
      <c r="S496" s="24" t="s">
        <v>1334</v>
      </c>
      <c r="T496" s="24" t="s">
        <v>1334</v>
      </c>
      <c r="U496" s="3"/>
      <c r="V496" s="19" t="str">
        <f>IFERROR(VLOOKUP(Banco_Nacion[[#This Row],[responsable]],Clientes_Proveedores[[Ruc / Dni]:[Razon Social]],2,0),"")</f>
        <v>FLSMIDTH S.A.C.</v>
      </c>
      <c r="W496" s="19" t="str">
        <f>IF(Banco_Nacion[[#This Row],[tipo_mov]]="INGRESO",Banco_Nacion[[#This Row],[serie]]&amp;Banco_Nacion[[#This Row],[numero]]&amp;Banco_Nacion[[#This Row],[responsable]]&amp;Banco_Nacion[[#This Row],[monto]],"")</f>
        <v>FF01164205056758361033</v>
      </c>
      <c r="X496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83645167</v>
      </c>
      <c r="Y496" s="3" t="str">
        <f>IFERROR(VLOOKUP(Banco_Nacion[[#This Row],[serie]]&amp;Banco_Nacion[[#This Row],[numero]]&amp;Banco_Nacion[[#This Row],[responsable]],[2]!Provision_CXC[[ID CXP]:[DETRACCION]],47,0),"")</f>
        <v/>
      </c>
      <c r="Z496" s="3"/>
      <c r="AA496" s="24" t="str">
        <f>IF(Banco_Nacion[[#This Row],[fecha]]&gt;0,TEXT(Banco_Nacion[[#This Row],[fecha]],"mmmm"),0)</f>
        <v>Julio</v>
      </c>
    </row>
    <row r="497" spans="1:27" x14ac:dyDescent="0.3">
      <c r="A497" s="2">
        <f>IF(Banco_Nacion[[#This Row],[tipo_registro]]="R",COUNTIFS($C$1:$C496,"R")+1,"")</f>
        <v>496</v>
      </c>
      <c r="B497" s="19" t="str">
        <f t="shared" si="46"/>
        <v>B-Banco de la Nacion</v>
      </c>
      <c r="C497" s="3" t="s">
        <v>1330</v>
      </c>
      <c r="D497" s="14">
        <v>45860</v>
      </c>
      <c r="E497" s="5">
        <v>20505675836</v>
      </c>
      <c r="F497" s="5" t="s">
        <v>1303</v>
      </c>
      <c r="G497" s="6" t="s">
        <v>425</v>
      </c>
      <c r="H497" s="6" t="s">
        <v>68</v>
      </c>
      <c r="I497" s="6" t="s">
        <v>1784</v>
      </c>
      <c r="J497" s="6">
        <v>163</v>
      </c>
      <c r="K497" s="7" t="s">
        <v>5232</v>
      </c>
      <c r="L497" s="8">
        <v>83645166</v>
      </c>
      <c r="M497" s="8" t="str">
        <f t="shared" si="47"/>
        <v>PEN</v>
      </c>
      <c r="N497" s="13"/>
      <c r="O497" s="13">
        <v>480</v>
      </c>
      <c r="P497" s="3">
        <f t="shared" si="48"/>
        <v>480</v>
      </c>
      <c r="Q497" s="3">
        <f t="shared" si="49"/>
        <v>0</v>
      </c>
      <c r="R497" s="3">
        <f t="shared" si="41"/>
        <v>51770.220000000008</v>
      </c>
      <c r="S497" s="24" t="s">
        <v>1334</v>
      </c>
      <c r="T497" s="24" t="s">
        <v>1334</v>
      </c>
      <c r="U497" s="3"/>
      <c r="V497" s="19" t="str">
        <f>IFERROR(VLOOKUP(Banco_Nacion[[#This Row],[responsable]],Clientes_Proveedores[[Ruc / Dni]:[Razon Social]],2,0),"")</f>
        <v>FLSMIDTH S.A.C.</v>
      </c>
      <c r="W497" s="19" t="str">
        <f>IF(Banco_Nacion[[#This Row],[tipo_mov]]="INGRESO",Banco_Nacion[[#This Row],[serie]]&amp;Banco_Nacion[[#This Row],[numero]]&amp;Banco_Nacion[[#This Row],[responsable]]&amp;Banco_Nacion[[#This Row],[monto]],"")</f>
        <v>FF0116320505675836480</v>
      </c>
      <c r="X497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83645166</v>
      </c>
      <c r="Y497" s="3" t="str">
        <f>IFERROR(VLOOKUP(Banco_Nacion[[#This Row],[serie]]&amp;Banco_Nacion[[#This Row],[numero]]&amp;Banco_Nacion[[#This Row],[responsable]],[2]!Provision_CXC[[ID CXP]:[DETRACCION]],47,0),"")</f>
        <v/>
      </c>
      <c r="Z497" s="3"/>
      <c r="AA497" s="24" t="str">
        <f>IF(Banco_Nacion[[#This Row],[fecha]]&gt;0,TEXT(Banco_Nacion[[#This Row],[fecha]],"mmmm"),0)</f>
        <v>Julio</v>
      </c>
    </row>
    <row r="498" spans="1:27" x14ac:dyDescent="0.3">
      <c r="A498" s="2">
        <f>IF(Banco_Nacion[[#This Row],[tipo_registro]]="R",COUNTIFS($C$1:$C497,"R")+1,"")</f>
        <v>497</v>
      </c>
      <c r="B498" s="19" t="str">
        <f t="shared" si="46"/>
        <v>B-Banco de la Nacion</v>
      </c>
      <c r="C498" s="3" t="s">
        <v>1330</v>
      </c>
      <c r="D498" s="14">
        <v>45860</v>
      </c>
      <c r="E498" s="5">
        <v>20505675836</v>
      </c>
      <c r="F498" s="5" t="s">
        <v>1303</v>
      </c>
      <c r="G498" s="6" t="s">
        <v>425</v>
      </c>
      <c r="H498" s="6" t="s">
        <v>68</v>
      </c>
      <c r="I498" s="6" t="s">
        <v>1784</v>
      </c>
      <c r="J498" s="6">
        <v>162</v>
      </c>
      <c r="K498" s="7" t="s">
        <v>5232</v>
      </c>
      <c r="L498" s="8">
        <v>83645165</v>
      </c>
      <c r="M498" s="8" t="str">
        <f t="shared" si="47"/>
        <v>PEN</v>
      </c>
      <c r="N498" s="13"/>
      <c r="O498" s="13">
        <v>555</v>
      </c>
      <c r="P498" s="3">
        <f t="shared" si="48"/>
        <v>555</v>
      </c>
      <c r="Q498" s="3">
        <f t="shared" si="49"/>
        <v>0</v>
      </c>
      <c r="R498" s="3">
        <f t="shared" si="41"/>
        <v>52325.220000000008</v>
      </c>
      <c r="S498" s="24" t="s">
        <v>1334</v>
      </c>
      <c r="T498" s="24" t="s">
        <v>1334</v>
      </c>
      <c r="U498" s="3"/>
      <c r="V498" s="19" t="str">
        <f>IFERROR(VLOOKUP(Banco_Nacion[[#This Row],[responsable]],Clientes_Proveedores[[Ruc / Dni]:[Razon Social]],2,0),"")</f>
        <v>FLSMIDTH S.A.C.</v>
      </c>
      <c r="W498" s="19" t="str">
        <f>IF(Banco_Nacion[[#This Row],[tipo_mov]]="INGRESO",Banco_Nacion[[#This Row],[serie]]&amp;Banco_Nacion[[#This Row],[numero]]&amp;Banco_Nacion[[#This Row],[responsable]]&amp;Banco_Nacion[[#This Row],[monto]],"")</f>
        <v>FF0116220505675836555</v>
      </c>
      <c r="X498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83645165</v>
      </c>
      <c r="Y498" s="3" t="str">
        <f>IFERROR(VLOOKUP(Banco_Nacion[[#This Row],[serie]]&amp;Banco_Nacion[[#This Row],[numero]]&amp;Banco_Nacion[[#This Row],[responsable]],[2]!Provision_CXC[[ID CXP]:[DETRACCION]],47,0),"")</f>
        <v/>
      </c>
      <c r="Z498" s="3"/>
      <c r="AA498" s="24" t="str">
        <f>IF(Banco_Nacion[[#This Row],[fecha]]&gt;0,TEXT(Banco_Nacion[[#This Row],[fecha]],"mmmm"),0)</f>
        <v>Julio</v>
      </c>
    </row>
    <row r="499" spans="1:27" x14ac:dyDescent="0.3">
      <c r="A499" s="2">
        <f>IF(Banco_Nacion[[#This Row],[tipo_registro]]="R",COUNTIFS($C$1:$C498,"R")+1,"")</f>
        <v>498</v>
      </c>
      <c r="B499" s="19" t="str">
        <f t="shared" si="46"/>
        <v>B-Banco de la Nacion</v>
      </c>
      <c r="C499" s="3" t="s">
        <v>1330</v>
      </c>
      <c r="D499" s="14">
        <v>45860</v>
      </c>
      <c r="E499" s="5">
        <v>20141637941</v>
      </c>
      <c r="F499" s="5" t="s">
        <v>1303</v>
      </c>
      <c r="G499" s="6" t="s">
        <v>425</v>
      </c>
      <c r="H499" s="6" t="s">
        <v>68</v>
      </c>
      <c r="I499" s="6" t="s">
        <v>1784</v>
      </c>
      <c r="J499" s="6">
        <v>168</v>
      </c>
      <c r="K499" s="7" t="s">
        <v>5232</v>
      </c>
      <c r="L499" s="8">
        <v>83639868</v>
      </c>
      <c r="M499" s="8" t="str">
        <f t="shared" si="47"/>
        <v>PEN</v>
      </c>
      <c r="N499" s="13"/>
      <c r="O499" s="13">
        <v>261</v>
      </c>
      <c r="P499" s="3">
        <f t="shared" si="48"/>
        <v>261</v>
      </c>
      <c r="Q499" s="3">
        <f t="shared" si="49"/>
        <v>0</v>
      </c>
      <c r="R499" s="3">
        <f t="shared" si="41"/>
        <v>52586.220000000008</v>
      </c>
      <c r="S499" s="24" t="s">
        <v>1334</v>
      </c>
      <c r="T499" s="24" t="s">
        <v>1334</v>
      </c>
      <c r="U499" s="3"/>
      <c r="V499" s="19" t="str">
        <f>IFERROR(VLOOKUP(Banco_Nacion[[#This Row],[responsable]],Clientes_Proveedores[[Ruc / Dni]:[Razon Social]],2,0),"")</f>
        <v>UNIVERSIDAD CATOLICA DE SANTA MARIA</v>
      </c>
      <c r="W499" s="19" t="str">
        <f>IF(Banco_Nacion[[#This Row],[tipo_mov]]="INGRESO",Banco_Nacion[[#This Row],[serie]]&amp;Banco_Nacion[[#This Row],[numero]]&amp;Banco_Nacion[[#This Row],[responsable]]&amp;Banco_Nacion[[#This Row],[monto]],"")</f>
        <v>FF0116820141637941261</v>
      </c>
      <c r="X499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83639868</v>
      </c>
      <c r="Y499" s="3" t="str">
        <f>IFERROR(VLOOKUP(Banco_Nacion[[#This Row],[serie]]&amp;Banco_Nacion[[#This Row],[numero]]&amp;Banco_Nacion[[#This Row],[responsable]],[2]!Provision_CXC[[ID CXP]:[DETRACCION]],47,0),"")</f>
        <v/>
      </c>
      <c r="Z499" s="3"/>
      <c r="AA499" s="24" t="str">
        <f>IF(Banco_Nacion[[#This Row],[fecha]]&gt;0,TEXT(Banco_Nacion[[#This Row],[fecha]],"mmmm"),0)</f>
        <v>Julio</v>
      </c>
    </row>
    <row r="500" spans="1:27" x14ac:dyDescent="0.3">
      <c r="A500" s="2">
        <f>IF(Banco_Nacion[[#This Row],[tipo_registro]]="R",COUNTIFS($C$1:$C499,"R")+1,"")</f>
        <v>499</v>
      </c>
      <c r="B500" s="19" t="str">
        <f t="shared" si="46"/>
        <v>B-Banco de la Nacion</v>
      </c>
      <c r="C500" s="3" t="s">
        <v>1330</v>
      </c>
      <c r="D500" s="14">
        <v>45860</v>
      </c>
      <c r="E500" s="5">
        <v>20601119600</v>
      </c>
      <c r="F500" s="5" t="s">
        <v>1303</v>
      </c>
      <c r="G500" s="6" t="s">
        <v>425</v>
      </c>
      <c r="H500" s="6" t="s">
        <v>68</v>
      </c>
      <c r="I500" s="6" t="s">
        <v>3381</v>
      </c>
      <c r="J500" s="6">
        <v>45</v>
      </c>
      <c r="K500" s="7" t="s">
        <v>5232</v>
      </c>
      <c r="L500" s="8">
        <v>27604086</v>
      </c>
      <c r="M500" s="8" t="str">
        <f t="shared" si="47"/>
        <v>PEN</v>
      </c>
      <c r="N500" s="13"/>
      <c r="O500" s="13">
        <v>184</v>
      </c>
      <c r="P500" s="3">
        <f t="shared" si="48"/>
        <v>184</v>
      </c>
      <c r="Q500" s="3">
        <f t="shared" si="49"/>
        <v>0</v>
      </c>
      <c r="R500" s="3">
        <f t="shared" si="41"/>
        <v>52770.220000000008</v>
      </c>
      <c r="S500" s="24" t="s">
        <v>1334</v>
      </c>
      <c r="T500" s="24" t="s">
        <v>1334</v>
      </c>
      <c r="U500" s="3"/>
      <c r="V500" s="19" t="str">
        <f>IFERROR(VLOOKUP(Banco_Nacion[[#This Row],[responsable]],Clientes_Proveedores[[Ruc / Dni]:[Razon Social]],2,0),"")</f>
        <v>INVERSIONES W.J.M. S.A.C.</v>
      </c>
      <c r="W500" s="19" t="str">
        <f>IF(Banco_Nacion[[#This Row],[tipo_mov]]="INGRESO",Banco_Nacion[[#This Row],[serie]]&amp;Banco_Nacion[[#This Row],[numero]]&amp;Banco_Nacion[[#This Row],[responsable]]&amp;Banco_Nacion[[#This Row],[monto]],"")</f>
        <v>FF054520601119600184</v>
      </c>
      <c r="X500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27604086</v>
      </c>
      <c r="Y500" s="3" t="str">
        <f>IFERROR(VLOOKUP(Banco_Nacion[[#This Row],[serie]]&amp;Banco_Nacion[[#This Row],[numero]]&amp;Banco_Nacion[[#This Row],[responsable]],[2]!Provision_CXC[[ID CXP]:[DETRACCION]],47,0),"")</f>
        <v/>
      </c>
      <c r="Z500" s="3"/>
      <c r="AA500" s="24" t="str">
        <f>IF(Banco_Nacion[[#This Row],[fecha]]&gt;0,TEXT(Banco_Nacion[[#This Row],[fecha]],"mmmm"),0)</f>
        <v>Julio</v>
      </c>
    </row>
    <row r="501" spans="1:27" x14ac:dyDescent="0.3">
      <c r="A501" s="2">
        <f>IF(Banco_Nacion[[#This Row],[tipo_registro]]="R",COUNTIFS($C$1:$C500,"R")+1,"")</f>
        <v>500</v>
      </c>
      <c r="B501" s="19" t="str">
        <f t="shared" si="46"/>
        <v>B-Banco de la Nacion</v>
      </c>
      <c r="C501" s="3" t="s">
        <v>1330</v>
      </c>
      <c r="D501" s="14">
        <v>45860</v>
      </c>
      <c r="E501" s="5"/>
      <c r="F501" s="5" t="s">
        <v>1336</v>
      </c>
      <c r="G501" s="6"/>
      <c r="H501" s="6"/>
      <c r="I501" s="6" t="s">
        <v>5231</v>
      </c>
      <c r="J501" s="6" t="s">
        <v>5231</v>
      </c>
      <c r="K501" s="7" t="s">
        <v>5234</v>
      </c>
      <c r="L501" s="8">
        <v>78787878</v>
      </c>
      <c r="M501" s="8" t="str">
        <f t="shared" si="47"/>
        <v>PEN</v>
      </c>
      <c r="N501" s="13"/>
      <c r="O501" s="13">
        <v>4672</v>
      </c>
      <c r="P501" s="3">
        <f t="shared" si="48"/>
        <v>0</v>
      </c>
      <c r="Q501" s="3">
        <f t="shared" si="49"/>
        <v>4672</v>
      </c>
      <c r="R501" s="3">
        <f t="shared" si="41"/>
        <v>48098.220000000008</v>
      </c>
      <c r="S501" s="24"/>
      <c r="T501" s="24"/>
      <c r="U501" s="3"/>
      <c r="V501" s="19" t="str">
        <f>IFERROR(VLOOKUP(Banco_Nacion[[#This Row],[responsable]],Clientes_Proveedores[[Ruc / Dni]:[Razon Social]],2,0),"")</f>
        <v/>
      </c>
      <c r="W501" s="19" t="str">
        <f>IF(Banco_Nacion[[#This Row],[tipo_mov]]="INGRESO",Banco_Nacion[[#This Row],[serie]]&amp;Banco_Nacion[[#This Row],[numero]]&amp;Banco_Nacion[[#This Row],[responsable]]&amp;Banco_Nacion[[#This Row],[monto]],"")</f>
        <v/>
      </c>
      <c r="X501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/>
      </c>
      <c r="Y501" s="3" t="str">
        <f>IFERROR(VLOOKUP(Banco_Nacion[[#This Row],[serie]]&amp;Banco_Nacion[[#This Row],[numero]]&amp;Banco_Nacion[[#This Row],[responsable]],[2]!Provision_CXC[[ID CXP]:[DETRACCION]],47,0),"")</f>
        <v/>
      </c>
      <c r="Z501" s="3"/>
      <c r="AA501" s="24" t="str">
        <f>IF(Banco_Nacion[[#This Row],[fecha]]&gt;0,TEXT(Banco_Nacion[[#This Row],[fecha]],"mmmm"),0)</f>
        <v>Julio</v>
      </c>
    </row>
    <row r="502" spans="1:27" x14ac:dyDescent="0.3">
      <c r="A502" s="2">
        <f>IF(Banco_Nacion[[#This Row],[tipo_registro]]="R",COUNTIFS($C$1:$C501,"R")+1,"")</f>
        <v>501</v>
      </c>
      <c r="B502" s="19" t="str">
        <f t="shared" si="46"/>
        <v>B-Banco de la Nacion</v>
      </c>
      <c r="C502" s="3" t="s">
        <v>1330</v>
      </c>
      <c r="D502" s="14">
        <v>45860</v>
      </c>
      <c r="E502" s="5"/>
      <c r="F502" s="5" t="s">
        <v>1336</v>
      </c>
      <c r="G502" s="6"/>
      <c r="H502" s="6"/>
      <c r="I502" s="6" t="s">
        <v>5231</v>
      </c>
      <c r="J502" s="6" t="s">
        <v>5231</v>
      </c>
      <c r="K502" s="7" t="s">
        <v>5234</v>
      </c>
      <c r="L502" s="8">
        <v>78787878</v>
      </c>
      <c r="M502" s="8" t="str">
        <f t="shared" si="47"/>
        <v>PEN</v>
      </c>
      <c r="N502" s="13"/>
      <c r="O502" s="13">
        <v>3251</v>
      </c>
      <c r="P502" s="3">
        <f t="shared" si="48"/>
        <v>0</v>
      </c>
      <c r="Q502" s="3">
        <f t="shared" si="49"/>
        <v>3251</v>
      </c>
      <c r="R502" s="3">
        <f t="shared" si="41"/>
        <v>44847.220000000008</v>
      </c>
      <c r="S502" s="24"/>
      <c r="T502" s="24"/>
      <c r="U502" s="3"/>
      <c r="V502" s="19" t="str">
        <f>IFERROR(VLOOKUP(Banco_Nacion[[#This Row],[responsable]],Clientes_Proveedores[[Ruc / Dni]:[Razon Social]],2,0),"")</f>
        <v/>
      </c>
      <c r="W502" s="19" t="str">
        <f>IF(Banco_Nacion[[#This Row],[tipo_mov]]="INGRESO",Banco_Nacion[[#This Row],[serie]]&amp;Banco_Nacion[[#This Row],[numero]]&amp;Banco_Nacion[[#This Row],[responsable]]&amp;Banco_Nacion[[#This Row],[monto]],"")</f>
        <v/>
      </c>
      <c r="X502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/>
      </c>
      <c r="Y502" s="3" t="str">
        <f>IFERROR(VLOOKUP(Banco_Nacion[[#This Row],[serie]]&amp;Banco_Nacion[[#This Row],[numero]]&amp;Banco_Nacion[[#This Row],[responsable]],[2]!Provision_CXC[[ID CXP]:[DETRACCION]],47,0),"")</f>
        <v/>
      </c>
      <c r="Z502" s="3"/>
      <c r="AA502" s="24" t="str">
        <f>IF(Banco_Nacion[[#This Row],[fecha]]&gt;0,TEXT(Banco_Nacion[[#This Row],[fecha]],"mmmm"),0)</f>
        <v>Julio</v>
      </c>
    </row>
    <row r="503" spans="1:27" x14ac:dyDescent="0.3">
      <c r="A503" s="2">
        <f>IF(Banco_Nacion[[#This Row],[tipo_registro]]="R",COUNTIFS($C$1:$C502,"R")+1,"")</f>
        <v>502</v>
      </c>
      <c r="B503" s="19" t="str">
        <f t="shared" si="46"/>
        <v>B-Banco de la Nacion</v>
      </c>
      <c r="C503" s="3" t="s">
        <v>1330</v>
      </c>
      <c r="D503" s="14">
        <v>45860</v>
      </c>
      <c r="E503" s="5"/>
      <c r="F503" s="5" t="s">
        <v>1336</v>
      </c>
      <c r="G503" s="6"/>
      <c r="H503" s="6"/>
      <c r="I503" s="6" t="s">
        <v>5231</v>
      </c>
      <c r="J503" s="6" t="s">
        <v>5231</v>
      </c>
      <c r="K503" s="7" t="s">
        <v>5234</v>
      </c>
      <c r="L503" s="8">
        <v>78787878</v>
      </c>
      <c r="M503" s="8" t="str">
        <f t="shared" si="47"/>
        <v>PEN</v>
      </c>
      <c r="N503" s="13"/>
      <c r="O503" s="13">
        <v>11659</v>
      </c>
      <c r="P503" s="3">
        <f t="shared" si="48"/>
        <v>0</v>
      </c>
      <c r="Q503" s="3">
        <f t="shared" si="49"/>
        <v>11659</v>
      </c>
      <c r="R503" s="3">
        <f t="shared" si="41"/>
        <v>33188.220000000008</v>
      </c>
      <c r="S503" s="24"/>
      <c r="T503" s="24"/>
      <c r="U503" s="3"/>
      <c r="V503" s="19" t="str">
        <f>IFERROR(VLOOKUP(Banco_Nacion[[#This Row],[responsable]],Clientes_Proveedores[[Ruc / Dni]:[Razon Social]],2,0),"")</f>
        <v/>
      </c>
      <c r="W503" s="19" t="str">
        <f>IF(Banco_Nacion[[#This Row],[tipo_mov]]="INGRESO",Banco_Nacion[[#This Row],[serie]]&amp;Banco_Nacion[[#This Row],[numero]]&amp;Banco_Nacion[[#This Row],[responsable]]&amp;Banco_Nacion[[#This Row],[monto]],"")</f>
        <v/>
      </c>
      <c r="X503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/>
      </c>
      <c r="Y503" s="3" t="str">
        <f>IFERROR(VLOOKUP(Banco_Nacion[[#This Row],[serie]]&amp;Banco_Nacion[[#This Row],[numero]]&amp;Banco_Nacion[[#This Row],[responsable]],[2]!Provision_CXC[[ID CXP]:[DETRACCION]],47,0),"")</f>
        <v/>
      </c>
      <c r="Z503" s="3"/>
      <c r="AA503" s="24" t="str">
        <f>IF(Banco_Nacion[[#This Row],[fecha]]&gt;0,TEXT(Banco_Nacion[[#This Row],[fecha]],"mmmm"),0)</f>
        <v>Julio</v>
      </c>
    </row>
    <row r="504" spans="1:27" x14ac:dyDescent="0.3">
      <c r="A504" s="2">
        <f>IF(Banco_Nacion[[#This Row],[tipo_registro]]="R",COUNTIFS($C$1:$C503,"R")+1,"")</f>
        <v>503</v>
      </c>
      <c r="B504" s="19" t="str">
        <f t="shared" si="46"/>
        <v>B-Banco de la Nacion</v>
      </c>
      <c r="C504" s="3" t="s">
        <v>1330</v>
      </c>
      <c r="D504" s="14">
        <v>45862</v>
      </c>
      <c r="E504" s="5">
        <v>20100055237</v>
      </c>
      <c r="F504" s="5" t="s">
        <v>1303</v>
      </c>
      <c r="G504" s="6" t="s">
        <v>425</v>
      </c>
      <c r="H504" s="6" t="s">
        <v>68</v>
      </c>
      <c r="I504" s="6" t="s">
        <v>1784</v>
      </c>
      <c r="J504" s="6">
        <v>169</v>
      </c>
      <c r="K504" s="7" t="s">
        <v>5232</v>
      </c>
      <c r="L504" s="8">
        <v>83723749</v>
      </c>
      <c r="M504" s="8" t="str">
        <f t="shared" si="47"/>
        <v>PEN</v>
      </c>
      <c r="N504" s="13"/>
      <c r="O504" s="13">
        <v>84</v>
      </c>
      <c r="P504" s="3">
        <f t="shared" si="48"/>
        <v>84</v>
      </c>
      <c r="Q504" s="3">
        <f t="shared" si="49"/>
        <v>0</v>
      </c>
      <c r="R504" s="3">
        <f t="shared" si="41"/>
        <v>33272.220000000008</v>
      </c>
      <c r="S504" s="24" t="s">
        <v>1334</v>
      </c>
      <c r="T504" s="24" t="s">
        <v>1334</v>
      </c>
      <c r="U504" s="3"/>
      <c r="V504" s="19" t="str">
        <f>IFERROR(VLOOKUP(Banco_Nacion[[#This Row],[responsable]],Clientes_Proveedores[[Ruc / Dni]:[Razon Social]],2,0),"")</f>
        <v>ALICORP SAA</v>
      </c>
      <c r="W504" s="19" t="str">
        <f>IF(Banco_Nacion[[#This Row],[tipo_mov]]="INGRESO",Banco_Nacion[[#This Row],[serie]]&amp;Banco_Nacion[[#This Row],[numero]]&amp;Banco_Nacion[[#This Row],[responsable]]&amp;Banco_Nacion[[#This Row],[monto]],"")</f>
        <v>FF011692010005523784</v>
      </c>
      <c r="X504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83723749</v>
      </c>
      <c r="Y504" s="3" t="str">
        <f>IFERROR(VLOOKUP(Banco_Nacion[[#This Row],[serie]]&amp;Banco_Nacion[[#This Row],[numero]]&amp;Banco_Nacion[[#This Row],[responsable]],[2]!Provision_CXC[[ID CXP]:[DETRACCION]],47,0),"")</f>
        <v/>
      </c>
      <c r="Z504" s="3"/>
      <c r="AA504" s="24" t="str">
        <f>IF(Banco_Nacion[[#This Row],[fecha]]&gt;0,TEXT(Banco_Nacion[[#This Row],[fecha]],"mmmm"),0)</f>
        <v>Julio</v>
      </c>
    </row>
    <row r="505" spans="1:27" x14ac:dyDescent="0.3">
      <c r="A505" s="2">
        <f>IF(Banco_Nacion[[#This Row],[tipo_registro]]="R",COUNTIFS($C$1:$C504,"R")+1,"")</f>
        <v>504</v>
      </c>
      <c r="B505" s="19" t="str">
        <f t="shared" si="46"/>
        <v>B-Banco de la Nacion</v>
      </c>
      <c r="C505" s="3" t="s">
        <v>1330</v>
      </c>
      <c r="D505" s="14">
        <v>45863</v>
      </c>
      <c r="E505" s="5">
        <v>20419158462</v>
      </c>
      <c r="F505" s="5" t="s">
        <v>1303</v>
      </c>
      <c r="G505" s="6" t="s">
        <v>425</v>
      </c>
      <c r="H505" s="6" t="s">
        <v>68</v>
      </c>
      <c r="I505" s="6" t="s">
        <v>1784</v>
      </c>
      <c r="J505" s="6">
        <v>157</v>
      </c>
      <c r="K505" s="7" t="s">
        <v>5232</v>
      </c>
      <c r="L505" s="8">
        <v>84000423</v>
      </c>
      <c r="M505" s="8" t="str">
        <f t="shared" si="47"/>
        <v>PEN</v>
      </c>
      <c r="N505" s="13"/>
      <c r="O505" s="13">
        <v>368</v>
      </c>
      <c r="P505" s="3">
        <f t="shared" si="48"/>
        <v>368</v>
      </c>
      <c r="Q505" s="3">
        <f t="shared" si="49"/>
        <v>0</v>
      </c>
      <c r="R505" s="3">
        <f t="shared" si="41"/>
        <v>33640.220000000008</v>
      </c>
      <c r="S505" s="24" t="s">
        <v>1334</v>
      </c>
      <c r="T505" s="24" t="s">
        <v>1334</v>
      </c>
      <c r="U505" s="3"/>
      <c r="V505" s="19" t="str">
        <f>IFERROR(VLOOKUP(Banco_Nacion[[#This Row],[responsable]],Clientes_Proveedores[[Ruc / Dni]:[Razon Social]],2,0),"")</f>
        <v>GRANJA RINCONADA DEL SUR S.A.</v>
      </c>
      <c r="W505" s="19" t="str">
        <f>IF(Banco_Nacion[[#This Row],[tipo_mov]]="INGRESO",Banco_Nacion[[#This Row],[serie]]&amp;Banco_Nacion[[#This Row],[numero]]&amp;Banco_Nacion[[#This Row],[responsable]]&amp;Banco_Nacion[[#This Row],[monto]],"")</f>
        <v>FF0115720419158462368</v>
      </c>
      <c r="X505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84000423</v>
      </c>
      <c r="Y505" s="3" t="str">
        <f>IFERROR(VLOOKUP(Banco_Nacion[[#This Row],[serie]]&amp;Banco_Nacion[[#This Row],[numero]]&amp;Banco_Nacion[[#This Row],[responsable]],[2]!Provision_CXC[[ID CXP]:[DETRACCION]],47,0),"")</f>
        <v/>
      </c>
      <c r="Z505" s="3"/>
      <c r="AA505" s="24" t="str">
        <f>IF(Banco_Nacion[[#This Row],[fecha]]&gt;0,TEXT(Banco_Nacion[[#This Row],[fecha]],"mmmm"),0)</f>
        <v>Julio</v>
      </c>
    </row>
    <row r="506" spans="1:27" x14ac:dyDescent="0.3">
      <c r="A506" s="2">
        <f>IF(Banco_Nacion[[#This Row],[tipo_registro]]="R",COUNTIFS($C$1:$C505,"R")+1,"")</f>
        <v>505</v>
      </c>
      <c r="B506" s="19" t="str">
        <f t="shared" si="46"/>
        <v>B-Banco de la Nacion</v>
      </c>
      <c r="C506" s="3" t="s">
        <v>1330</v>
      </c>
      <c r="D506" s="14">
        <v>45863</v>
      </c>
      <c r="E506" s="5">
        <v>20419158462</v>
      </c>
      <c r="F506" s="5" t="s">
        <v>1303</v>
      </c>
      <c r="G506" s="6" t="s">
        <v>425</v>
      </c>
      <c r="H506" s="6" t="s">
        <v>68</v>
      </c>
      <c r="I506" s="6" t="s">
        <v>1784</v>
      </c>
      <c r="J506" s="6">
        <v>160</v>
      </c>
      <c r="K506" s="7" t="s">
        <v>5232</v>
      </c>
      <c r="L506" s="8">
        <v>84000422</v>
      </c>
      <c r="M506" s="8" t="str">
        <f t="shared" si="47"/>
        <v>PEN</v>
      </c>
      <c r="N506" s="13"/>
      <c r="O506" s="13">
        <v>504</v>
      </c>
      <c r="P506" s="3">
        <f t="shared" si="48"/>
        <v>504</v>
      </c>
      <c r="Q506" s="3">
        <f t="shared" si="49"/>
        <v>0</v>
      </c>
      <c r="R506" s="3">
        <f t="shared" si="41"/>
        <v>34144.220000000008</v>
      </c>
      <c r="S506" s="24" t="s">
        <v>1334</v>
      </c>
      <c r="T506" s="24" t="s">
        <v>1334</v>
      </c>
      <c r="U506" s="3"/>
      <c r="V506" s="19" t="str">
        <f>IFERROR(VLOOKUP(Banco_Nacion[[#This Row],[responsable]],Clientes_Proveedores[[Ruc / Dni]:[Razon Social]],2,0),"")</f>
        <v>GRANJA RINCONADA DEL SUR S.A.</v>
      </c>
      <c r="W506" s="19" t="str">
        <f>IF(Banco_Nacion[[#This Row],[tipo_mov]]="INGRESO",Banco_Nacion[[#This Row],[serie]]&amp;Banco_Nacion[[#This Row],[numero]]&amp;Banco_Nacion[[#This Row],[responsable]]&amp;Banco_Nacion[[#This Row],[monto]],"")</f>
        <v>FF0116020419158462504</v>
      </c>
      <c r="X506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84000422</v>
      </c>
      <c r="Y506" s="3" t="str">
        <f>IFERROR(VLOOKUP(Banco_Nacion[[#This Row],[serie]]&amp;Banco_Nacion[[#This Row],[numero]]&amp;Banco_Nacion[[#This Row],[responsable]],[2]!Provision_CXC[[ID CXP]:[DETRACCION]],47,0),"")</f>
        <v/>
      </c>
      <c r="Z506" s="3"/>
      <c r="AA506" s="24" t="str">
        <f>IF(Banco_Nacion[[#This Row],[fecha]]&gt;0,TEXT(Banco_Nacion[[#This Row],[fecha]],"mmmm"),0)</f>
        <v>Julio</v>
      </c>
    </row>
    <row r="507" spans="1:27" x14ac:dyDescent="0.3">
      <c r="A507" s="2">
        <f>IF(Banco_Nacion[[#This Row],[tipo_registro]]="R",COUNTIFS($C$1:$C506,"R")+1,"")</f>
        <v>506</v>
      </c>
      <c r="B507" s="19" t="str">
        <f t="shared" si="46"/>
        <v>B-Banco de la Nacion</v>
      </c>
      <c r="C507" s="3" t="s">
        <v>1330</v>
      </c>
      <c r="D507" s="14">
        <v>45863</v>
      </c>
      <c r="E507" s="5">
        <v>20419158462</v>
      </c>
      <c r="F507" s="5" t="s">
        <v>1303</v>
      </c>
      <c r="G507" s="6" t="s">
        <v>425</v>
      </c>
      <c r="H507" s="6" t="s">
        <v>68</v>
      </c>
      <c r="I507" s="6" t="s">
        <v>1784</v>
      </c>
      <c r="J507" s="6">
        <v>159</v>
      </c>
      <c r="K507" s="7" t="s">
        <v>5232</v>
      </c>
      <c r="L507" s="8">
        <v>84000421</v>
      </c>
      <c r="M507" s="8" t="str">
        <f t="shared" si="47"/>
        <v>PEN</v>
      </c>
      <c r="N507" s="13"/>
      <c r="O507" s="13">
        <v>530</v>
      </c>
      <c r="P507" s="3">
        <f t="shared" si="48"/>
        <v>530</v>
      </c>
      <c r="Q507" s="3">
        <f t="shared" si="49"/>
        <v>0</v>
      </c>
      <c r="R507" s="3">
        <f t="shared" si="41"/>
        <v>34674.220000000008</v>
      </c>
      <c r="S507" s="24" t="s">
        <v>1334</v>
      </c>
      <c r="T507" s="24" t="s">
        <v>1334</v>
      </c>
      <c r="U507" s="3"/>
      <c r="V507" s="19" t="str">
        <f>IFERROR(VLOOKUP(Banco_Nacion[[#This Row],[responsable]],Clientes_Proveedores[[Ruc / Dni]:[Razon Social]],2,0),"")</f>
        <v>GRANJA RINCONADA DEL SUR S.A.</v>
      </c>
      <c r="W507" s="19" t="str">
        <f>IF(Banco_Nacion[[#This Row],[tipo_mov]]="INGRESO",Banco_Nacion[[#This Row],[serie]]&amp;Banco_Nacion[[#This Row],[numero]]&amp;Banco_Nacion[[#This Row],[responsable]]&amp;Banco_Nacion[[#This Row],[monto]],"")</f>
        <v>FF0115920419158462530</v>
      </c>
      <c r="X507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84000421</v>
      </c>
      <c r="Y507" s="3" t="str">
        <f>IFERROR(VLOOKUP(Banco_Nacion[[#This Row],[serie]]&amp;Banco_Nacion[[#This Row],[numero]]&amp;Banco_Nacion[[#This Row],[responsable]],[2]!Provision_CXC[[ID CXP]:[DETRACCION]],47,0),"")</f>
        <v/>
      </c>
      <c r="Z507" s="3"/>
      <c r="AA507" s="24" t="str">
        <f>IF(Banco_Nacion[[#This Row],[fecha]]&gt;0,TEXT(Banco_Nacion[[#This Row],[fecha]],"mmmm"),0)</f>
        <v>Julio</v>
      </c>
    </row>
    <row r="508" spans="1:27" x14ac:dyDescent="0.3">
      <c r="A508" s="2">
        <f>IF(Banco_Nacion[[#This Row],[tipo_registro]]="R",COUNTIFS($C$1:$C507,"R")+1,"")</f>
        <v>507</v>
      </c>
      <c r="B508" s="19" t="str">
        <f t="shared" si="46"/>
        <v>B-Banco de la Nacion</v>
      </c>
      <c r="C508" s="3" t="s">
        <v>1330</v>
      </c>
      <c r="D508" s="14">
        <v>45863</v>
      </c>
      <c r="E508" s="5">
        <v>20419158462</v>
      </c>
      <c r="F508" s="5" t="s">
        <v>1303</v>
      </c>
      <c r="G508" s="6" t="s">
        <v>425</v>
      </c>
      <c r="H508" s="6" t="s">
        <v>68</v>
      </c>
      <c r="I508" s="6" t="s">
        <v>1784</v>
      </c>
      <c r="J508" s="6">
        <v>166</v>
      </c>
      <c r="K508" s="7" t="s">
        <v>5232</v>
      </c>
      <c r="L508" s="8">
        <v>84000420</v>
      </c>
      <c r="M508" s="8" t="str">
        <f t="shared" si="47"/>
        <v>PEN</v>
      </c>
      <c r="N508" s="13"/>
      <c r="O508" s="13">
        <v>368</v>
      </c>
      <c r="P508" s="3">
        <f t="shared" si="48"/>
        <v>368</v>
      </c>
      <c r="Q508" s="3">
        <f t="shared" si="49"/>
        <v>0</v>
      </c>
      <c r="R508" s="3">
        <f t="shared" si="41"/>
        <v>35042.220000000008</v>
      </c>
      <c r="S508" s="24" t="s">
        <v>1334</v>
      </c>
      <c r="T508" s="24" t="s">
        <v>1334</v>
      </c>
      <c r="U508" s="3"/>
      <c r="V508" s="19" t="str">
        <f>IFERROR(VLOOKUP(Banco_Nacion[[#This Row],[responsable]],Clientes_Proveedores[[Ruc / Dni]:[Razon Social]],2,0),"")</f>
        <v>GRANJA RINCONADA DEL SUR S.A.</v>
      </c>
      <c r="W508" s="19" t="str">
        <f>IF(Banco_Nacion[[#This Row],[tipo_mov]]="INGRESO",Banco_Nacion[[#This Row],[serie]]&amp;Banco_Nacion[[#This Row],[numero]]&amp;Banco_Nacion[[#This Row],[responsable]]&amp;Banco_Nacion[[#This Row],[monto]],"")</f>
        <v>FF0116620419158462368</v>
      </c>
      <c r="X508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84000420</v>
      </c>
      <c r="Y508" s="3" t="str">
        <f>IFERROR(VLOOKUP(Banco_Nacion[[#This Row],[serie]]&amp;Banco_Nacion[[#This Row],[numero]]&amp;Banco_Nacion[[#This Row],[responsable]],[2]!Provision_CXC[[ID CXP]:[DETRACCION]],47,0),"")</f>
        <v/>
      </c>
      <c r="Z508" s="3"/>
      <c r="AA508" s="24" t="str">
        <f>IF(Banco_Nacion[[#This Row],[fecha]]&gt;0,TEXT(Banco_Nacion[[#This Row],[fecha]],"mmmm"),0)</f>
        <v>Julio</v>
      </c>
    </row>
    <row r="509" spans="1:27" x14ac:dyDescent="0.3">
      <c r="A509" s="2">
        <f>IF(Banco_Nacion[[#This Row],[tipo_registro]]="R",COUNTIFS($C$1:$C508,"R")+1,"")</f>
        <v>508</v>
      </c>
      <c r="B509" s="19" t="str">
        <f t="shared" si="46"/>
        <v>B-Banco de la Nacion</v>
      </c>
      <c r="C509" s="3" t="s">
        <v>1330</v>
      </c>
      <c r="D509" s="14">
        <v>45863</v>
      </c>
      <c r="E509" s="5">
        <v>20419158462</v>
      </c>
      <c r="F509" s="5" t="s">
        <v>1303</v>
      </c>
      <c r="G509" s="6" t="s">
        <v>425</v>
      </c>
      <c r="H509" s="6" t="s">
        <v>68</v>
      </c>
      <c r="I509" s="6" t="s">
        <v>1784</v>
      </c>
      <c r="J509" s="6">
        <v>158</v>
      </c>
      <c r="K509" s="7" t="s">
        <v>5232</v>
      </c>
      <c r="L509" s="8">
        <v>84000419</v>
      </c>
      <c r="M509" s="8" t="str">
        <f t="shared" si="47"/>
        <v>PEN</v>
      </c>
      <c r="N509" s="13"/>
      <c r="O509" s="13">
        <v>368</v>
      </c>
      <c r="P509" s="3">
        <f t="shared" si="48"/>
        <v>368</v>
      </c>
      <c r="Q509" s="3">
        <f t="shared" si="49"/>
        <v>0</v>
      </c>
      <c r="R509" s="3">
        <f t="shared" si="41"/>
        <v>35410.220000000008</v>
      </c>
      <c r="S509" s="24" t="s">
        <v>1334</v>
      </c>
      <c r="T509" s="24" t="s">
        <v>1334</v>
      </c>
      <c r="U509" s="3"/>
      <c r="V509" s="19" t="str">
        <f>IFERROR(VLOOKUP(Banco_Nacion[[#This Row],[responsable]],Clientes_Proveedores[[Ruc / Dni]:[Razon Social]],2,0),"")</f>
        <v>GRANJA RINCONADA DEL SUR S.A.</v>
      </c>
      <c r="W509" s="19" t="str">
        <f>IF(Banco_Nacion[[#This Row],[tipo_mov]]="INGRESO",Banco_Nacion[[#This Row],[serie]]&amp;Banco_Nacion[[#This Row],[numero]]&amp;Banco_Nacion[[#This Row],[responsable]]&amp;Banco_Nacion[[#This Row],[monto]],"")</f>
        <v>FF0115820419158462368</v>
      </c>
      <c r="X509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84000419</v>
      </c>
      <c r="Y509" s="3" t="str">
        <f>IFERROR(VLOOKUP(Banco_Nacion[[#This Row],[serie]]&amp;Banco_Nacion[[#This Row],[numero]]&amp;Banco_Nacion[[#This Row],[responsable]],[2]!Provision_CXC[[ID CXP]:[DETRACCION]],47,0),"")</f>
        <v/>
      </c>
      <c r="Z509" s="3"/>
      <c r="AA509" s="24" t="str">
        <f>IF(Banco_Nacion[[#This Row],[fecha]]&gt;0,TEXT(Banco_Nacion[[#This Row],[fecha]],"mmmm"),0)</f>
        <v>Julio</v>
      </c>
    </row>
    <row r="510" spans="1:27" x14ac:dyDescent="0.3">
      <c r="A510" s="2">
        <f>IF(Banco_Nacion[[#This Row],[tipo_registro]]="R",COUNTIFS($C$1:$C509,"R")+1,"")</f>
        <v>509</v>
      </c>
      <c r="B510" s="19" t="str">
        <f t="shared" si="46"/>
        <v>B-Banco de la Nacion</v>
      </c>
      <c r="C510" s="3" t="s">
        <v>1330</v>
      </c>
      <c r="D510" s="14">
        <v>45863</v>
      </c>
      <c r="E510" s="5">
        <v>20419158462</v>
      </c>
      <c r="F510" s="5" t="s">
        <v>1303</v>
      </c>
      <c r="G510" s="6" t="s">
        <v>425</v>
      </c>
      <c r="H510" s="6" t="s">
        <v>68</v>
      </c>
      <c r="I510" s="6" t="s">
        <v>1784</v>
      </c>
      <c r="J510" s="6">
        <v>146</v>
      </c>
      <c r="K510" s="7" t="s">
        <v>5232</v>
      </c>
      <c r="L510" s="8">
        <v>84000418</v>
      </c>
      <c r="M510" s="8" t="str">
        <f t="shared" si="47"/>
        <v>PEN</v>
      </c>
      <c r="N510" s="13"/>
      <c r="O510" s="13">
        <v>202</v>
      </c>
      <c r="P510" s="3">
        <f t="shared" si="48"/>
        <v>202</v>
      </c>
      <c r="Q510" s="3">
        <f t="shared" si="49"/>
        <v>0</v>
      </c>
      <c r="R510" s="3">
        <f t="shared" si="41"/>
        <v>35612.220000000008</v>
      </c>
      <c r="S510" s="24" t="s">
        <v>1334</v>
      </c>
      <c r="T510" s="24" t="s">
        <v>1334</v>
      </c>
      <c r="U510" s="3"/>
      <c r="V510" s="19" t="str">
        <f>IFERROR(VLOOKUP(Banco_Nacion[[#This Row],[responsable]],Clientes_Proveedores[[Ruc / Dni]:[Razon Social]],2,0),"")</f>
        <v>GRANJA RINCONADA DEL SUR S.A.</v>
      </c>
      <c r="W510" s="19" t="str">
        <f>IF(Banco_Nacion[[#This Row],[tipo_mov]]="INGRESO",Banco_Nacion[[#This Row],[serie]]&amp;Banco_Nacion[[#This Row],[numero]]&amp;Banco_Nacion[[#This Row],[responsable]]&amp;Banco_Nacion[[#This Row],[monto]],"")</f>
        <v>FF0114620419158462202</v>
      </c>
      <c r="X510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84000418</v>
      </c>
      <c r="Y510" s="3" t="str">
        <f>IFERROR(VLOOKUP(Banco_Nacion[[#This Row],[serie]]&amp;Banco_Nacion[[#This Row],[numero]]&amp;Banco_Nacion[[#This Row],[responsable]],[2]!Provision_CXC[[ID CXP]:[DETRACCION]],47,0),"")</f>
        <v/>
      </c>
      <c r="Z510" s="3"/>
      <c r="AA510" s="24" t="str">
        <f>IF(Banco_Nacion[[#This Row],[fecha]]&gt;0,TEXT(Banco_Nacion[[#This Row],[fecha]],"mmmm"),0)</f>
        <v>Julio</v>
      </c>
    </row>
    <row r="511" spans="1:27" x14ac:dyDescent="0.3">
      <c r="A511" s="2">
        <f>IF(Banco_Nacion[[#This Row],[tipo_registro]]="R",COUNTIFS($C$1:$C510,"R")+1,"")</f>
        <v>510</v>
      </c>
      <c r="B511" s="19" t="str">
        <f t="shared" si="46"/>
        <v>B-Banco de la Nacion</v>
      </c>
      <c r="C511" s="3" t="s">
        <v>1330</v>
      </c>
      <c r="D511" s="14">
        <v>45863</v>
      </c>
      <c r="E511" s="5">
        <v>20419158462</v>
      </c>
      <c r="F511" s="5" t="s">
        <v>1303</v>
      </c>
      <c r="G511" s="6" t="s">
        <v>425</v>
      </c>
      <c r="H511" s="6" t="s">
        <v>68</v>
      </c>
      <c r="I511" s="6" t="s">
        <v>1784</v>
      </c>
      <c r="J511" s="6">
        <v>149</v>
      </c>
      <c r="K511" s="7" t="s">
        <v>5232</v>
      </c>
      <c r="L511" s="8">
        <v>84000417</v>
      </c>
      <c r="M511" s="8" t="str">
        <f t="shared" si="47"/>
        <v>PEN</v>
      </c>
      <c r="N511" s="13"/>
      <c r="O511" s="13">
        <v>202</v>
      </c>
      <c r="P511" s="3">
        <f t="shared" si="48"/>
        <v>202</v>
      </c>
      <c r="Q511" s="3">
        <f t="shared" si="49"/>
        <v>0</v>
      </c>
      <c r="R511" s="3">
        <f t="shared" si="41"/>
        <v>35814.220000000008</v>
      </c>
      <c r="S511" s="24" t="s">
        <v>1334</v>
      </c>
      <c r="T511" s="24" t="s">
        <v>1334</v>
      </c>
      <c r="U511" s="3"/>
      <c r="V511" s="19" t="str">
        <f>IFERROR(VLOOKUP(Banco_Nacion[[#This Row],[responsable]],Clientes_Proveedores[[Ruc / Dni]:[Razon Social]],2,0),"")</f>
        <v>GRANJA RINCONADA DEL SUR S.A.</v>
      </c>
      <c r="W511" s="19" t="str">
        <f>IF(Banco_Nacion[[#This Row],[tipo_mov]]="INGRESO",Banco_Nacion[[#This Row],[serie]]&amp;Banco_Nacion[[#This Row],[numero]]&amp;Banco_Nacion[[#This Row],[responsable]]&amp;Banco_Nacion[[#This Row],[monto]],"")</f>
        <v>FF0114920419158462202</v>
      </c>
      <c r="X511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84000417</v>
      </c>
      <c r="Y511" s="3" t="str">
        <f>IFERROR(VLOOKUP(Banco_Nacion[[#This Row],[serie]]&amp;Banco_Nacion[[#This Row],[numero]]&amp;Banco_Nacion[[#This Row],[responsable]],[2]!Provision_CXC[[ID CXP]:[DETRACCION]],47,0),"")</f>
        <v/>
      </c>
      <c r="Z511" s="3"/>
      <c r="AA511" s="24" t="str">
        <f>IF(Banco_Nacion[[#This Row],[fecha]]&gt;0,TEXT(Banco_Nacion[[#This Row],[fecha]],"mmmm"),0)</f>
        <v>Julio</v>
      </c>
    </row>
    <row r="512" spans="1:27" x14ac:dyDescent="0.3">
      <c r="A512" s="2">
        <f>IF(Banco_Nacion[[#This Row],[tipo_registro]]="R",COUNTIFS($C$1:$C511,"R")+1,"")</f>
        <v>511</v>
      </c>
      <c r="B512" s="19" t="str">
        <f t="shared" si="46"/>
        <v>B-Banco de la Nacion</v>
      </c>
      <c r="C512" s="3" t="s">
        <v>1330</v>
      </c>
      <c r="D512" s="14">
        <v>45863</v>
      </c>
      <c r="E512" s="5">
        <v>20419158462</v>
      </c>
      <c r="F512" s="5" t="s">
        <v>1303</v>
      </c>
      <c r="G512" s="6" t="s">
        <v>425</v>
      </c>
      <c r="H512" s="6" t="s">
        <v>68</v>
      </c>
      <c r="I512" s="6" t="s">
        <v>1784</v>
      </c>
      <c r="J512" s="6">
        <v>154</v>
      </c>
      <c r="K512" s="7" t="s">
        <v>5232</v>
      </c>
      <c r="L512" s="8">
        <v>84000416</v>
      </c>
      <c r="M512" s="8" t="str">
        <f t="shared" si="47"/>
        <v>PEN</v>
      </c>
      <c r="N512" s="13"/>
      <c r="O512" s="13">
        <v>202</v>
      </c>
      <c r="P512" s="3">
        <f t="shared" si="48"/>
        <v>202</v>
      </c>
      <c r="Q512" s="3">
        <f t="shared" si="49"/>
        <v>0</v>
      </c>
      <c r="R512" s="3">
        <f t="shared" si="41"/>
        <v>36016.220000000008</v>
      </c>
      <c r="S512" s="24" t="s">
        <v>1334</v>
      </c>
      <c r="T512" s="24" t="s">
        <v>1334</v>
      </c>
      <c r="U512" s="3"/>
      <c r="V512" s="19" t="str">
        <f>IFERROR(VLOOKUP(Banco_Nacion[[#This Row],[responsable]],Clientes_Proveedores[[Ruc / Dni]:[Razon Social]],2,0),"")</f>
        <v>GRANJA RINCONADA DEL SUR S.A.</v>
      </c>
      <c r="W512" s="19" t="str">
        <f>IF(Banco_Nacion[[#This Row],[tipo_mov]]="INGRESO",Banco_Nacion[[#This Row],[serie]]&amp;Banco_Nacion[[#This Row],[numero]]&amp;Banco_Nacion[[#This Row],[responsable]]&amp;Banco_Nacion[[#This Row],[monto]],"")</f>
        <v>FF0115420419158462202</v>
      </c>
      <c r="X512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84000416</v>
      </c>
      <c r="Y512" s="3" t="str">
        <f>IFERROR(VLOOKUP(Banco_Nacion[[#This Row],[serie]]&amp;Banco_Nacion[[#This Row],[numero]]&amp;Banco_Nacion[[#This Row],[responsable]],[2]!Provision_CXC[[ID CXP]:[DETRACCION]],47,0),"")</f>
        <v/>
      </c>
      <c r="Z512" s="3"/>
      <c r="AA512" s="24" t="str">
        <f>IF(Banco_Nacion[[#This Row],[fecha]]&gt;0,TEXT(Banco_Nacion[[#This Row],[fecha]],"mmmm"),0)</f>
        <v>Julio</v>
      </c>
    </row>
    <row r="513" spans="1:27" x14ac:dyDescent="0.3">
      <c r="A513" s="2">
        <f>IF(Banco_Nacion[[#This Row],[tipo_registro]]="R",COUNTIFS($C$1:$C512,"R")+1,"")</f>
        <v>512</v>
      </c>
      <c r="B513" s="19" t="str">
        <f t="shared" si="46"/>
        <v>B-Banco de la Nacion</v>
      </c>
      <c r="C513" s="3" t="s">
        <v>1330</v>
      </c>
      <c r="D513" s="14">
        <v>45863</v>
      </c>
      <c r="E513" s="5">
        <v>20419158462</v>
      </c>
      <c r="F513" s="5" t="s">
        <v>1303</v>
      </c>
      <c r="G513" s="6" t="s">
        <v>425</v>
      </c>
      <c r="H513" s="6" t="s">
        <v>68</v>
      </c>
      <c r="I513" s="6" t="s">
        <v>1784</v>
      </c>
      <c r="J513" s="6">
        <v>152</v>
      </c>
      <c r="K513" s="7" t="s">
        <v>5232</v>
      </c>
      <c r="L513" s="8">
        <v>84000415</v>
      </c>
      <c r="M513" s="8" t="str">
        <f t="shared" si="47"/>
        <v>PEN</v>
      </c>
      <c r="N513" s="13"/>
      <c r="O513" s="13">
        <v>266</v>
      </c>
      <c r="P513" s="3">
        <f t="shared" si="48"/>
        <v>266</v>
      </c>
      <c r="Q513" s="3">
        <f t="shared" si="49"/>
        <v>0</v>
      </c>
      <c r="R513" s="3">
        <f t="shared" si="41"/>
        <v>36282.220000000008</v>
      </c>
      <c r="S513" s="24" t="s">
        <v>1334</v>
      </c>
      <c r="T513" s="24" t="s">
        <v>1334</v>
      </c>
      <c r="U513" s="3"/>
      <c r="V513" s="19" t="str">
        <f>IFERROR(VLOOKUP(Banco_Nacion[[#This Row],[responsable]],Clientes_Proveedores[[Ruc / Dni]:[Razon Social]],2,0),"")</f>
        <v>GRANJA RINCONADA DEL SUR S.A.</v>
      </c>
      <c r="W513" s="19" t="str">
        <f>IF(Banco_Nacion[[#This Row],[tipo_mov]]="INGRESO",Banco_Nacion[[#This Row],[serie]]&amp;Banco_Nacion[[#This Row],[numero]]&amp;Banco_Nacion[[#This Row],[responsable]]&amp;Banco_Nacion[[#This Row],[monto]],"")</f>
        <v>FF0115220419158462266</v>
      </c>
      <c r="X513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84000415</v>
      </c>
      <c r="Y513" s="3" t="str">
        <f>IFERROR(VLOOKUP(Banco_Nacion[[#This Row],[serie]]&amp;Banco_Nacion[[#This Row],[numero]]&amp;Banco_Nacion[[#This Row],[responsable]],[2]!Provision_CXC[[ID CXP]:[DETRACCION]],47,0),"")</f>
        <v/>
      </c>
      <c r="Z513" s="3"/>
      <c r="AA513" s="24" t="str">
        <f>IF(Banco_Nacion[[#This Row],[fecha]]&gt;0,TEXT(Banco_Nacion[[#This Row],[fecha]],"mmmm"),0)</f>
        <v>Julio</v>
      </c>
    </row>
    <row r="514" spans="1:27" x14ac:dyDescent="0.3">
      <c r="A514" s="2">
        <f>IF(Banco_Nacion[[#This Row],[tipo_registro]]="R",COUNTIFS($C$1:$C513,"R")+1,"")</f>
        <v>513</v>
      </c>
      <c r="B514" s="19" t="str">
        <f t="shared" si="46"/>
        <v>B-Banco de la Nacion</v>
      </c>
      <c r="C514" s="3" t="s">
        <v>1330</v>
      </c>
      <c r="D514" s="14">
        <v>45863</v>
      </c>
      <c r="E514" s="5">
        <v>20419158462</v>
      </c>
      <c r="F514" s="5" t="s">
        <v>1303</v>
      </c>
      <c r="G514" s="6" t="s">
        <v>425</v>
      </c>
      <c r="H514" s="6" t="s">
        <v>68</v>
      </c>
      <c r="I514" s="6" t="s">
        <v>1784</v>
      </c>
      <c r="J514" s="6">
        <v>155</v>
      </c>
      <c r="K514" s="7" t="s">
        <v>5232</v>
      </c>
      <c r="L514" s="8">
        <v>84000414</v>
      </c>
      <c r="M514" s="8" t="str">
        <f t="shared" si="47"/>
        <v>PEN</v>
      </c>
      <c r="N514" s="13"/>
      <c r="O514" s="13">
        <v>202</v>
      </c>
      <c r="P514" s="3">
        <f t="shared" si="48"/>
        <v>202</v>
      </c>
      <c r="Q514" s="3">
        <f t="shared" si="49"/>
        <v>0</v>
      </c>
      <c r="R514" s="3">
        <f t="shared" ref="R514:R577" si="50">IFERROR(IF(F514="SALDO",P514,R513+P514-Q514),0)</f>
        <v>36484.220000000008</v>
      </c>
      <c r="S514" s="24" t="s">
        <v>1334</v>
      </c>
      <c r="T514" s="24" t="s">
        <v>1334</v>
      </c>
      <c r="U514" s="3"/>
      <c r="V514" s="19" t="str">
        <f>IFERROR(VLOOKUP(Banco_Nacion[[#This Row],[responsable]],Clientes_Proveedores[[Ruc / Dni]:[Razon Social]],2,0),"")</f>
        <v>GRANJA RINCONADA DEL SUR S.A.</v>
      </c>
      <c r="W514" s="19" t="str">
        <f>IF(Banco_Nacion[[#This Row],[tipo_mov]]="INGRESO",Banco_Nacion[[#This Row],[serie]]&amp;Banco_Nacion[[#This Row],[numero]]&amp;Banco_Nacion[[#This Row],[responsable]]&amp;Banco_Nacion[[#This Row],[monto]],"")</f>
        <v>FF0115520419158462202</v>
      </c>
      <c r="X514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84000414</v>
      </c>
      <c r="Y514" s="3" t="str">
        <f>IFERROR(VLOOKUP(Banco_Nacion[[#This Row],[serie]]&amp;Banco_Nacion[[#This Row],[numero]]&amp;Banco_Nacion[[#This Row],[responsable]],[2]!Provision_CXC[[ID CXP]:[DETRACCION]],47,0),"")</f>
        <v/>
      </c>
      <c r="Z514" s="3"/>
      <c r="AA514" s="24" t="str">
        <f>IF(Banco_Nacion[[#This Row],[fecha]]&gt;0,TEXT(Banco_Nacion[[#This Row],[fecha]],"mmmm"),0)</f>
        <v>Julio</v>
      </c>
    </row>
    <row r="515" spans="1:27" x14ac:dyDescent="0.3">
      <c r="A515" s="2">
        <f>IF(Banco_Nacion[[#This Row],[tipo_registro]]="R",COUNTIFS($C$1:$C514,"R")+1,"")</f>
        <v>514</v>
      </c>
      <c r="B515" s="19" t="str">
        <f t="shared" si="46"/>
        <v>B-Banco de la Nacion</v>
      </c>
      <c r="C515" s="3" t="s">
        <v>1330</v>
      </c>
      <c r="D515" s="14">
        <v>45863</v>
      </c>
      <c r="E515" s="5">
        <v>20419158462</v>
      </c>
      <c r="F515" s="5" t="s">
        <v>1303</v>
      </c>
      <c r="G515" s="6" t="s">
        <v>425</v>
      </c>
      <c r="H515" s="6" t="s">
        <v>68</v>
      </c>
      <c r="I515" s="6" t="s">
        <v>1784</v>
      </c>
      <c r="J515" s="6">
        <v>148</v>
      </c>
      <c r="K515" s="7" t="s">
        <v>5232</v>
      </c>
      <c r="L515" s="8">
        <v>84000413</v>
      </c>
      <c r="M515" s="8" t="str">
        <f t="shared" si="47"/>
        <v>PEN</v>
      </c>
      <c r="N515" s="13"/>
      <c r="O515" s="13">
        <v>202</v>
      </c>
      <c r="P515" s="3">
        <f t="shared" si="48"/>
        <v>202</v>
      </c>
      <c r="Q515" s="3">
        <f t="shared" si="49"/>
        <v>0</v>
      </c>
      <c r="R515" s="3">
        <f t="shared" si="50"/>
        <v>36686.220000000008</v>
      </c>
      <c r="S515" s="24" t="s">
        <v>1334</v>
      </c>
      <c r="T515" s="24" t="s">
        <v>1334</v>
      </c>
      <c r="U515" s="3"/>
      <c r="V515" s="19" t="str">
        <f>IFERROR(VLOOKUP(Banco_Nacion[[#This Row],[responsable]],Clientes_Proveedores[[Ruc / Dni]:[Razon Social]],2,0),"")</f>
        <v>GRANJA RINCONADA DEL SUR S.A.</v>
      </c>
      <c r="W515" s="19" t="str">
        <f>IF(Banco_Nacion[[#This Row],[tipo_mov]]="INGRESO",Banco_Nacion[[#This Row],[serie]]&amp;Banco_Nacion[[#This Row],[numero]]&amp;Banco_Nacion[[#This Row],[responsable]]&amp;Banco_Nacion[[#This Row],[monto]],"")</f>
        <v>FF0114820419158462202</v>
      </c>
      <c r="X515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84000413</v>
      </c>
      <c r="Y515" s="3" t="str">
        <f>IFERROR(VLOOKUP(Banco_Nacion[[#This Row],[serie]]&amp;Banco_Nacion[[#This Row],[numero]]&amp;Banco_Nacion[[#This Row],[responsable]],[2]!Provision_CXC[[ID CXP]:[DETRACCION]],47,0),"")</f>
        <v/>
      </c>
      <c r="Z515" s="3"/>
      <c r="AA515" s="24" t="str">
        <f>IF(Banco_Nacion[[#This Row],[fecha]]&gt;0,TEXT(Banco_Nacion[[#This Row],[fecha]],"mmmm"),0)</f>
        <v>Julio</v>
      </c>
    </row>
    <row r="516" spans="1:27" x14ac:dyDescent="0.3">
      <c r="A516" s="2">
        <f>IF(Banco_Nacion[[#This Row],[tipo_registro]]="R",COUNTIFS($C$1:$C515,"R")+1,"")</f>
        <v>515</v>
      </c>
      <c r="B516" s="19" t="str">
        <f t="shared" si="46"/>
        <v>B-Banco de la Nacion</v>
      </c>
      <c r="C516" s="3" t="s">
        <v>1330</v>
      </c>
      <c r="D516" s="14">
        <v>45863</v>
      </c>
      <c r="E516" s="5">
        <v>20419158462</v>
      </c>
      <c r="F516" s="5" t="s">
        <v>1303</v>
      </c>
      <c r="G516" s="6" t="s">
        <v>425</v>
      </c>
      <c r="H516" s="6" t="s">
        <v>68</v>
      </c>
      <c r="I516" s="6" t="s">
        <v>1784</v>
      </c>
      <c r="J516" s="6">
        <v>150</v>
      </c>
      <c r="K516" s="7" t="s">
        <v>5232</v>
      </c>
      <c r="L516" s="8">
        <v>84000412</v>
      </c>
      <c r="M516" s="8" t="str">
        <f t="shared" si="47"/>
        <v>PEN</v>
      </c>
      <c r="N516" s="13"/>
      <c r="O516" s="13">
        <v>202</v>
      </c>
      <c r="P516" s="3">
        <f t="shared" si="48"/>
        <v>202</v>
      </c>
      <c r="Q516" s="3">
        <f t="shared" si="49"/>
        <v>0</v>
      </c>
      <c r="R516" s="3">
        <f t="shared" si="50"/>
        <v>36888.220000000008</v>
      </c>
      <c r="S516" s="24" t="s">
        <v>1334</v>
      </c>
      <c r="T516" s="24" t="s">
        <v>1334</v>
      </c>
      <c r="U516" s="3"/>
      <c r="V516" s="19" t="str">
        <f>IFERROR(VLOOKUP(Banco_Nacion[[#This Row],[responsable]],Clientes_Proveedores[[Ruc / Dni]:[Razon Social]],2,0),"")</f>
        <v>GRANJA RINCONADA DEL SUR S.A.</v>
      </c>
      <c r="W516" s="19" t="str">
        <f>IF(Banco_Nacion[[#This Row],[tipo_mov]]="INGRESO",Banco_Nacion[[#This Row],[serie]]&amp;Banco_Nacion[[#This Row],[numero]]&amp;Banco_Nacion[[#This Row],[responsable]]&amp;Banco_Nacion[[#This Row],[monto]],"")</f>
        <v>FF0115020419158462202</v>
      </c>
      <c r="X516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84000412</v>
      </c>
      <c r="Y516" s="3" t="str">
        <f>IFERROR(VLOOKUP(Banco_Nacion[[#This Row],[serie]]&amp;Banco_Nacion[[#This Row],[numero]]&amp;Banco_Nacion[[#This Row],[responsable]],[2]!Provision_CXC[[ID CXP]:[DETRACCION]],47,0),"")</f>
        <v/>
      </c>
      <c r="Z516" s="3"/>
      <c r="AA516" s="24" t="str">
        <f>IF(Banco_Nacion[[#This Row],[fecha]]&gt;0,TEXT(Banco_Nacion[[#This Row],[fecha]],"mmmm"),0)</f>
        <v>Julio</v>
      </c>
    </row>
    <row r="517" spans="1:27" x14ac:dyDescent="0.3">
      <c r="A517" s="2">
        <f>IF(Banco_Nacion[[#This Row],[tipo_registro]]="R",COUNTIFS($C$1:$C516,"R")+1,"")</f>
        <v>516</v>
      </c>
      <c r="B517" s="19" t="str">
        <f t="shared" si="46"/>
        <v>B-Banco de la Nacion</v>
      </c>
      <c r="C517" s="3" t="s">
        <v>1330</v>
      </c>
      <c r="D517" s="14">
        <v>45863</v>
      </c>
      <c r="E517" s="5">
        <v>20419158462</v>
      </c>
      <c r="F517" s="5" t="s">
        <v>1303</v>
      </c>
      <c r="G517" s="6" t="s">
        <v>425</v>
      </c>
      <c r="H517" s="6" t="s">
        <v>68</v>
      </c>
      <c r="I517" s="6" t="s">
        <v>1784</v>
      </c>
      <c r="J517" s="6">
        <v>151</v>
      </c>
      <c r="K517" s="7" t="s">
        <v>5232</v>
      </c>
      <c r="L517" s="8">
        <v>84000411</v>
      </c>
      <c r="M517" s="8" t="str">
        <f t="shared" si="47"/>
        <v>PEN</v>
      </c>
      <c r="N517" s="13"/>
      <c r="O517" s="13">
        <v>202</v>
      </c>
      <c r="P517" s="3">
        <f t="shared" si="48"/>
        <v>202</v>
      </c>
      <c r="Q517" s="3">
        <f t="shared" si="49"/>
        <v>0</v>
      </c>
      <c r="R517" s="3">
        <f t="shared" si="50"/>
        <v>37090.220000000008</v>
      </c>
      <c r="S517" s="24" t="s">
        <v>1334</v>
      </c>
      <c r="T517" s="24" t="s">
        <v>1334</v>
      </c>
      <c r="U517" s="3"/>
      <c r="V517" s="19" t="str">
        <f>IFERROR(VLOOKUP(Banco_Nacion[[#This Row],[responsable]],Clientes_Proveedores[[Ruc / Dni]:[Razon Social]],2,0),"")</f>
        <v>GRANJA RINCONADA DEL SUR S.A.</v>
      </c>
      <c r="W517" s="19" t="str">
        <f>IF(Banco_Nacion[[#This Row],[tipo_mov]]="INGRESO",Banco_Nacion[[#This Row],[serie]]&amp;Banco_Nacion[[#This Row],[numero]]&amp;Banco_Nacion[[#This Row],[responsable]]&amp;Banco_Nacion[[#This Row],[monto]],"")</f>
        <v>FF0115120419158462202</v>
      </c>
      <c r="X517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84000411</v>
      </c>
      <c r="Y517" s="3" t="str">
        <f>IFERROR(VLOOKUP(Banco_Nacion[[#This Row],[serie]]&amp;Banco_Nacion[[#This Row],[numero]]&amp;Banco_Nacion[[#This Row],[responsable]],[2]!Provision_CXC[[ID CXP]:[DETRACCION]],47,0),"")</f>
        <v/>
      </c>
      <c r="Z517" s="3"/>
      <c r="AA517" s="24" t="str">
        <f>IF(Banco_Nacion[[#This Row],[fecha]]&gt;0,TEXT(Banco_Nacion[[#This Row],[fecha]],"mmmm"),0)</f>
        <v>Julio</v>
      </c>
    </row>
    <row r="518" spans="1:27" x14ac:dyDescent="0.3">
      <c r="A518" s="2">
        <f>IF(Banco_Nacion[[#This Row],[tipo_registro]]="R",COUNTIFS($C$1:$C517,"R")+1,"")</f>
        <v>517</v>
      </c>
      <c r="B518" s="19" t="str">
        <f t="shared" si="46"/>
        <v>B-Banco de la Nacion</v>
      </c>
      <c r="C518" s="3" t="s">
        <v>1330</v>
      </c>
      <c r="D518" s="14">
        <v>45863</v>
      </c>
      <c r="E518" s="5">
        <v>20419158462</v>
      </c>
      <c r="F518" s="5" t="s">
        <v>1303</v>
      </c>
      <c r="G518" s="6" t="s">
        <v>425</v>
      </c>
      <c r="H518" s="6" t="s">
        <v>68</v>
      </c>
      <c r="I518" s="6" t="s">
        <v>1784</v>
      </c>
      <c r="J518" s="6">
        <v>147</v>
      </c>
      <c r="K518" s="7" t="s">
        <v>5232</v>
      </c>
      <c r="L518" s="8">
        <v>84000410</v>
      </c>
      <c r="M518" s="8" t="str">
        <f t="shared" si="47"/>
        <v>PEN</v>
      </c>
      <c r="N518" s="13"/>
      <c r="O518" s="13">
        <v>242</v>
      </c>
      <c r="P518" s="3">
        <f t="shared" si="48"/>
        <v>242</v>
      </c>
      <c r="Q518" s="3">
        <f t="shared" si="49"/>
        <v>0</v>
      </c>
      <c r="R518" s="3">
        <f t="shared" si="50"/>
        <v>37332.220000000008</v>
      </c>
      <c r="S518" s="24" t="s">
        <v>1334</v>
      </c>
      <c r="T518" s="24" t="s">
        <v>1334</v>
      </c>
      <c r="U518" s="3"/>
      <c r="V518" s="19" t="str">
        <f>IFERROR(VLOOKUP(Banco_Nacion[[#This Row],[responsable]],Clientes_Proveedores[[Ruc / Dni]:[Razon Social]],2,0),"")</f>
        <v>GRANJA RINCONADA DEL SUR S.A.</v>
      </c>
      <c r="W518" s="19" t="str">
        <f>IF(Banco_Nacion[[#This Row],[tipo_mov]]="INGRESO",Banco_Nacion[[#This Row],[serie]]&amp;Banco_Nacion[[#This Row],[numero]]&amp;Banco_Nacion[[#This Row],[responsable]]&amp;Banco_Nacion[[#This Row],[monto]],"")</f>
        <v>FF0114720419158462242</v>
      </c>
      <c r="X518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84000410</v>
      </c>
      <c r="Y518" s="3" t="str">
        <f>IFERROR(VLOOKUP(Banco_Nacion[[#This Row],[serie]]&amp;Banco_Nacion[[#This Row],[numero]]&amp;Banco_Nacion[[#This Row],[responsable]],[2]!Provision_CXC[[ID CXP]:[DETRACCION]],47,0),"")</f>
        <v/>
      </c>
      <c r="Z518" s="3"/>
      <c r="AA518" s="24" t="str">
        <f>IF(Banco_Nacion[[#This Row],[fecha]]&gt;0,TEXT(Banco_Nacion[[#This Row],[fecha]],"mmmm"),0)</f>
        <v>Julio</v>
      </c>
    </row>
    <row r="519" spans="1:27" x14ac:dyDescent="0.3">
      <c r="A519" s="2">
        <f>IF(Banco_Nacion[[#This Row],[tipo_registro]]="R",COUNTIFS($C$1:$C518,"R")+1,"")</f>
        <v>518</v>
      </c>
      <c r="B519" s="19" t="str">
        <f t="shared" si="46"/>
        <v>B-Banco de la Nacion</v>
      </c>
      <c r="C519" s="3" t="s">
        <v>1330</v>
      </c>
      <c r="D519" s="14">
        <v>45863</v>
      </c>
      <c r="E519" s="5">
        <v>20419158462</v>
      </c>
      <c r="F519" s="5" t="s">
        <v>1303</v>
      </c>
      <c r="G519" s="6" t="s">
        <v>425</v>
      </c>
      <c r="H519" s="6" t="s">
        <v>68</v>
      </c>
      <c r="I519" s="6" t="s">
        <v>1784</v>
      </c>
      <c r="J519" s="6">
        <v>153</v>
      </c>
      <c r="K519" s="7" t="s">
        <v>5232</v>
      </c>
      <c r="L519" s="8">
        <v>84000409</v>
      </c>
      <c r="M519" s="8" t="str">
        <f t="shared" si="47"/>
        <v>PEN</v>
      </c>
      <c r="N519" s="13"/>
      <c r="O519" s="13">
        <v>202</v>
      </c>
      <c r="P519" s="3">
        <f t="shared" si="48"/>
        <v>202</v>
      </c>
      <c r="Q519" s="3">
        <f t="shared" si="49"/>
        <v>0</v>
      </c>
      <c r="R519" s="3">
        <f t="shared" si="50"/>
        <v>37534.220000000008</v>
      </c>
      <c r="S519" s="24" t="s">
        <v>1334</v>
      </c>
      <c r="T519" s="24" t="s">
        <v>1334</v>
      </c>
      <c r="U519" s="3"/>
      <c r="V519" s="19" t="str">
        <f>IFERROR(VLOOKUP(Banco_Nacion[[#This Row],[responsable]],Clientes_Proveedores[[Ruc / Dni]:[Razon Social]],2,0),"")</f>
        <v>GRANJA RINCONADA DEL SUR S.A.</v>
      </c>
      <c r="W519" s="19" t="str">
        <f>IF(Banco_Nacion[[#This Row],[tipo_mov]]="INGRESO",Banco_Nacion[[#This Row],[serie]]&amp;Banco_Nacion[[#This Row],[numero]]&amp;Banco_Nacion[[#This Row],[responsable]]&amp;Banco_Nacion[[#This Row],[monto]],"")</f>
        <v>FF0115320419158462202</v>
      </c>
      <c r="X519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84000409</v>
      </c>
      <c r="Y519" s="3" t="str">
        <f>IFERROR(VLOOKUP(Banco_Nacion[[#This Row],[serie]]&amp;Banco_Nacion[[#This Row],[numero]]&amp;Banco_Nacion[[#This Row],[responsable]],[2]!Provision_CXC[[ID CXP]:[DETRACCION]],47,0),"")</f>
        <v/>
      </c>
      <c r="Z519" s="3"/>
      <c r="AA519" s="24" t="str">
        <f>IF(Banco_Nacion[[#This Row],[fecha]]&gt;0,TEXT(Banco_Nacion[[#This Row],[fecha]],"mmmm"),0)</f>
        <v>Julio</v>
      </c>
    </row>
    <row r="520" spans="1:27" x14ac:dyDescent="0.3">
      <c r="A520" s="2">
        <f>IF(Banco_Nacion[[#This Row],[tipo_registro]]="R",COUNTIFS($C$1:$C519,"R")+1,"")</f>
        <v>519</v>
      </c>
      <c r="B520" s="19" t="str">
        <f t="shared" si="46"/>
        <v>B-Banco de la Nacion</v>
      </c>
      <c r="C520" s="3" t="s">
        <v>1330</v>
      </c>
      <c r="D520" s="14">
        <v>45863</v>
      </c>
      <c r="E520" s="5">
        <v>20601119600</v>
      </c>
      <c r="F520" s="5" t="s">
        <v>1303</v>
      </c>
      <c r="G520" s="6" t="s">
        <v>425</v>
      </c>
      <c r="H520" s="6" t="s">
        <v>68</v>
      </c>
      <c r="I520" s="6" t="s">
        <v>3381</v>
      </c>
      <c r="J520" s="6">
        <v>46</v>
      </c>
      <c r="K520" s="7" t="s">
        <v>5232</v>
      </c>
      <c r="L520" s="8">
        <v>27626231</v>
      </c>
      <c r="M520" s="8" t="str">
        <f t="shared" si="47"/>
        <v>PEN</v>
      </c>
      <c r="N520" s="13"/>
      <c r="O520" s="13">
        <v>194</v>
      </c>
      <c r="P520" s="3">
        <f t="shared" si="48"/>
        <v>194</v>
      </c>
      <c r="Q520" s="3">
        <f t="shared" si="49"/>
        <v>0</v>
      </c>
      <c r="R520" s="3">
        <f t="shared" si="50"/>
        <v>37728.220000000008</v>
      </c>
      <c r="S520" s="24" t="s">
        <v>1334</v>
      </c>
      <c r="T520" s="24" t="s">
        <v>1334</v>
      </c>
      <c r="U520" s="3"/>
      <c r="V520" s="19" t="str">
        <f>IFERROR(VLOOKUP(Banco_Nacion[[#This Row],[responsable]],Clientes_Proveedores[[Ruc / Dni]:[Razon Social]],2,0),"")</f>
        <v>INVERSIONES W.J.M. S.A.C.</v>
      </c>
      <c r="W520" s="19" t="str">
        <f>IF(Banco_Nacion[[#This Row],[tipo_mov]]="INGRESO",Banco_Nacion[[#This Row],[serie]]&amp;Banco_Nacion[[#This Row],[numero]]&amp;Banco_Nacion[[#This Row],[responsable]]&amp;Banco_Nacion[[#This Row],[monto]],"")</f>
        <v>FF054620601119600194</v>
      </c>
      <c r="X520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27626231</v>
      </c>
      <c r="Y520" s="3" t="str">
        <f>IFERROR(VLOOKUP(Banco_Nacion[[#This Row],[serie]]&amp;Banco_Nacion[[#This Row],[numero]]&amp;Banco_Nacion[[#This Row],[responsable]],[2]!Provision_CXC[[ID CXP]:[DETRACCION]],47,0),"")</f>
        <v/>
      </c>
      <c r="Z520" s="3"/>
      <c r="AA520" s="24" t="str">
        <f>IF(Banco_Nacion[[#This Row],[fecha]]&gt;0,TEXT(Banco_Nacion[[#This Row],[fecha]],"mmmm"),0)</f>
        <v>Julio</v>
      </c>
    </row>
    <row r="521" spans="1:27" x14ac:dyDescent="0.3">
      <c r="A521" s="2">
        <f>IF(Banco_Nacion[[#This Row],[tipo_registro]]="R",COUNTIFS($C$1:$C520,"R")+1,"")</f>
        <v>520</v>
      </c>
      <c r="B521" s="19" t="str">
        <f t="shared" si="46"/>
        <v>B-Banco de la Nacion</v>
      </c>
      <c r="C521" s="3" t="s">
        <v>1330</v>
      </c>
      <c r="D521" s="14">
        <v>45863</v>
      </c>
      <c r="E521" s="5">
        <v>20601119600</v>
      </c>
      <c r="F521" s="5" t="s">
        <v>1303</v>
      </c>
      <c r="G521" s="6" t="s">
        <v>425</v>
      </c>
      <c r="H521" s="6" t="s">
        <v>68</v>
      </c>
      <c r="I521" s="6" t="s">
        <v>3381</v>
      </c>
      <c r="J521" s="6">
        <v>47</v>
      </c>
      <c r="K521" s="7" t="s">
        <v>5232</v>
      </c>
      <c r="L521" s="8">
        <v>27626166</v>
      </c>
      <c r="M521" s="8" t="str">
        <f t="shared" si="47"/>
        <v>PEN</v>
      </c>
      <c r="N521" s="13"/>
      <c r="O521" s="13">
        <v>138</v>
      </c>
      <c r="P521" s="3">
        <f t="shared" si="48"/>
        <v>138</v>
      </c>
      <c r="Q521" s="3">
        <f t="shared" si="49"/>
        <v>0</v>
      </c>
      <c r="R521" s="3">
        <f t="shared" si="50"/>
        <v>37866.220000000008</v>
      </c>
      <c r="S521" s="24" t="s">
        <v>1334</v>
      </c>
      <c r="T521" s="24" t="s">
        <v>1334</v>
      </c>
      <c r="U521" s="3"/>
      <c r="V521" s="19" t="str">
        <f>IFERROR(VLOOKUP(Banco_Nacion[[#This Row],[responsable]],Clientes_Proveedores[[Ruc / Dni]:[Razon Social]],2,0),"")</f>
        <v>INVERSIONES W.J.M. S.A.C.</v>
      </c>
      <c r="W521" s="19" t="str">
        <f>IF(Banco_Nacion[[#This Row],[tipo_mov]]="INGRESO",Banco_Nacion[[#This Row],[serie]]&amp;Banco_Nacion[[#This Row],[numero]]&amp;Banco_Nacion[[#This Row],[responsable]]&amp;Banco_Nacion[[#This Row],[monto]],"")</f>
        <v>FF054720601119600138</v>
      </c>
      <c r="X521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27626166</v>
      </c>
      <c r="Y521" s="3" t="str">
        <f>IFERROR(VLOOKUP(Banco_Nacion[[#This Row],[serie]]&amp;Banco_Nacion[[#This Row],[numero]]&amp;Banco_Nacion[[#This Row],[responsable]],[2]!Provision_CXC[[ID CXP]:[DETRACCION]],47,0),"")</f>
        <v/>
      </c>
      <c r="Z521" s="3"/>
      <c r="AA521" s="24" t="str">
        <f>IF(Banco_Nacion[[#This Row],[fecha]]&gt;0,TEXT(Banco_Nacion[[#This Row],[fecha]],"mmmm"),0)</f>
        <v>Julio</v>
      </c>
    </row>
    <row r="522" spans="1:27" x14ac:dyDescent="0.3">
      <c r="A522" s="2">
        <f>IF(Banco_Nacion[[#This Row],[tipo_registro]]="R",COUNTIFS($C$1:$C521,"R")+1,"")</f>
        <v>521</v>
      </c>
      <c r="B522" s="19" t="str">
        <f t="shared" si="46"/>
        <v>B-Banco de la Nacion</v>
      </c>
      <c r="C522" s="3" t="s">
        <v>1330</v>
      </c>
      <c r="D522" s="14">
        <v>45868</v>
      </c>
      <c r="E522" s="5">
        <v>20454186002</v>
      </c>
      <c r="F522" s="5" t="s">
        <v>1303</v>
      </c>
      <c r="G522" s="6" t="s">
        <v>425</v>
      </c>
      <c r="H522" s="6" t="s">
        <v>68</v>
      </c>
      <c r="I522" s="6" t="s">
        <v>1784</v>
      </c>
      <c r="J522" s="6">
        <v>182</v>
      </c>
      <c r="K522" s="7" t="s">
        <v>5232</v>
      </c>
      <c r="L522" s="8">
        <v>84128811</v>
      </c>
      <c r="M522" s="8" t="str">
        <f t="shared" si="47"/>
        <v>PEN</v>
      </c>
      <c r="N522" s="13"/>
      <c r="O522" s="13">
        <v>264</v>
      </c>
      <c r="P522" s="3">
        <f t="shared" si="48"/>
        <v>264</v>
      </c>
      <c r="Q522" s="3">
        <f t="shared" si="49"/>
        <v>0</v>
      </c>
      <c r="R522" s="3">
        <f t="shared" si="50"/>
        <v>38130.220000000008</v>
      </c>
      <c r="S522" s="24" t="s">
        <v>1334</v>
      </c>
      <c r="T522" s="24" t="s">
        <v>1334</v>
      </c>
      <c r="U522" s="3"/>
      <c r="V522" s="19" t="str">
        <f>IFERROR(VLOOKUP(Banco_Nacion[[#This Row],[responsable]],Clientes_Proveedores[[Ruc / Dni]:[Razon Social]],2,0),"")</f>
        <v>ALSUR PERU S.A.C.</v>
      </c>
      <c r="W522" s="19" t="str">
        <f>IF(Banco_Nacion[[#This Row],[tipo_mov]]="INGRESO",Banco_Nacion[[#This Row],[serie]]&amp;Banco_Nacion[[#This Row],[numero]]&amp;Banco_Nacion[[#This Row],[responsable]]&amp;Banco_Nacion[[#This Row],[monto]],"")</f>
        <v>FF0118220454186002264</v>
      </c>
      <c r="X522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84128811</v>
      </c>
      <c r="Y522" s="3" t="str">
        <f>IFERROR(VLOOKUP(Banco_Nacion[[#This Row],[serie]]&amp;Banco_Nacion[[#This Row],[numero]]&amp;Banco_Nacion[[#This Row],[responsable]],[2]!Provision_CXC[[ID CXP]:[DETRACCION]],47,0),"")</f>
        <v/>
      </c>
      <c r="Z522" s="3"/>
      <c r="AA522" s="24" t="str">
        <f>IF(Banco_Nacion[[#This Row],[fecha]]&gt;0,TEXT(Banco_Nacion[[#This Row],[fecha]],"mmmm"),0)</f>
        <v>Julio</v>
      </c>
    </row>
    <row r="523" spans="1:27" x14ac:dyDescent="0.3">
      <c r="A523" s="2">
        <f>IF(Banco_Nacion[[#This Row],[tipo_registro]]="R",COUNTIFS($C$1:$C522,"R")+1,"")</f>
        <v>522</v>
      </c>
      <c r="B523" s="19" t="str">
        <f t="shared" si="46"/>
        <v>B-Banco de la Nacion</v>
      </c>
      <c r="C523" s="3" t="s">
        <v>1330</v>
      </c>
      <c r="D523" s="14">
        <v>45868</v>
      </c>
      <c r="E523" s="5">
        <v>20454186002</v>
      </c>
      <c r="F523" s="5" t="s">
        <v>1303</v>
      </c>
      <c r="G523" s="6" t="s">
        <v>425</v>
      </c>
      <c r="H523" s="6" t="s">
        <v>68</v>
      </c>
      <c r="I523" s="6" t="s">
        <v>1784</v>
      </c>
      <c r="J523" s="6">
        <v>183</v>
      </c>
      <c r="K523" s="7" t="s">
        <v>5232</v>
      </c>
      <c r="L523" s="8">
        <v>84128807</v>
      </c>
      <c r="M523" s="8" t="str">
        <f t="shared" si="47"/>
        <v>PEN</v>
      </c>
      <c r="N523" s="13"/>
      <c r="O523" s="13">
        <v>210</v>
      </c>
      <c r="P523" s="3">
        <f t="shared" si="48"/>
        <v>210</v>
      </c>
      <c r="Q523" s="3">
        <f t="shared" si="49"/>
        <v>0</v>
      </c>
      <c r="R523" s="3">
        <f t="shared" si="50"/>
        <v>38340.220000000008</v>
      </c>
      <c r="S523" s="24" t="s">
        <v>1334</v>
      </c>
      <c r="T523" s="24" t="s">
        <v>1334</v>
      </c>
      <c r="U523" s="3"/>
      <c r="V523" s="19" t="str">
        <f>IFERROR(VLOOKUP(Banco_Nacion[[#This Row],[responsable]],Clientes_Proveedores[[Ruc / Dni]:[Razon Social]],2,0),"")</f>
        <v>ALSUR PERU S.A.C.</v>
      </c>
      <c r="W523" s="19" t="str">
        <f>IF(Banco_Nacion[[#This Row],[tipo_mov]]="INGRESO",Banco_Nacion[[#This Row],[serie]]&amp;Banco_Nacion[[#This Row],[numero]]&amp;Banco_Nacion[[#This Row],[responsable]]&amp;Banco_Nacion[[#This Row],[monto]],"")</f>
        <v>FF0118320454186002210</v>
      </c>
      <c r="X523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84128807</v>
      </c>
      <c r="Y523" s="3" t="str">
        <f>IFERROR(VLOOKUP(Banco_Nacion[[#This Row],[serie]]&amp;Banco_Nacion[[#This Row],[numero]]&amp;Banco_Nacion[[#This Row],[responsable]],[2]!Provision_CXC[[ID CXP]:[DETRACCION]],47,0),"")</f>
        <v/>
      </c>
      <c r="Z523" s="3"/>
      <c r="AA523" s="24" t="str">
        <f>IF(Banco_Nacion[[#This Row],[fecha]]&gt;0,TEXT(Banco_Nacion[[#This Row],[fecha]],"mmmm"),0)</f>
        <v>Julio</v>
      </c>
    </row>
    <row r="524" spans="1:27" x14ac:dyDescent="0.3">
      <c r="A524" s="2">
        <f>IF(Banco_Nacion[[#This Row],[tipo_registro]]="R",COUNTIFS($C$1:$C523,"R")+1,"")</f>
        <v>523</v>
      </c>
      <c r="B524" s="19" t="str">
        <f t="shared" si="46"/>
        <v>B-Banco de la Nacion</v>
      </c>
      <c r="C524" s="3" t="s">
        <v>1330</v>
      </c>
      <c r="D524" s="14">
        <v>45868</v>
      </c>
      <c r="E524" s="5">
        <v>20454186002</v>
      </c>
      <c r="F524" s="5" t="s">
        <v>1303</v>
      </c>
      <c r="G524" s="6" t="s">
        <v>425</v>
      </c>
      <c r="H524" s="6" t="s">
        <v>68</v>
      </c>
      <c r="I524" s="6" t="s">
        <v>1784</v>
      </c>
      <c r="J524" s="6">
        <v>180</v>
      </c>
      <c r="K524" s="7" t="s">
        <v>5232</v>
      </c>
      <c r="L524" s="8">
        <v>84128759</v>
      </c>
      <c r="M524" s="8" t="str">
        <f t="shared" si="47"/>
        <v>PEN</v>
      </c>
      <c r="N524" s="13"/>
      <c r="O524" s="13">
        <v>473</v>
      </c>
      <c r="P524" s="3">
        <f t="shared" si="48"/>
        <v>473</v>
      </c>
      <c r="Q524" s="3">
        <f t="shared" si="49"/>
        <v>0</v>
      </c>
      <c r="R524" s="3">
        <f t="shared" si="50"/>
        <v>38813.220000000008</v>
      </c>
      <c r="S524" s="24" t="s">
        <v>1334</v>
      </c>
      <c r="T524" s="24" t="s">
        <v>1334</v>
      </c>
      <c r="U524" s="3"/>
      <c r="V524" s="19" t="str">
        <f>IFERROR(VLOOKUP(Banco_Nacion[[#This Row],[responsable]],Clientes_Proveedores[[Ruc / Dni]:[Razon Social]],2,0),"")</f>
        <v>ALSUR PERU S.A.C.</v>
      </c>
      <c r="W524" s="19" t="str">
        <f>IF(Banco_Nacion[[#This Row],[tipo_mov]]="INGRESO",Banco_Nacion[[#This Row],[serie]]&amp;Banco_Nacion[[#This Row],[numero]]&amp;Banco_Nacion[[#This Row],[responsable]]&amp;Banco_Nacion[[#This Row],[monto]],"")</f>
        <v>FF0118020454186002473</v>
      </c>
      <c r="X524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84128759</v>
      </c>
      <c r="Y524" s="3" t="str">
        <f>IFERROR(VLOOKUP(Banco_Nacion[[#This Row],[serie]]&amp;Banco_Nacion[[#This Row],[numero]]&amp;Banco_Nacion[[#This Row],[responsable]],[2]!Provision_CXC[[ID CXP]:[DETRACCION]],47,0),"")</f>
        <v/>
      </c>
      <c r="Z524" s="3"/>
      <c r="AA524" s="24" t="str">
        <f>IF(Banco_Nacion[[#This Row],[fecha]]&gt;0,TEXT(Banco_Nacion[[#This Row],[fecha]],"mmmm"),0)</f>
        <v>Julio</v>
      </c>
    </row>
    <row r="525" spans="1:27" x14ac:dyDescent="0.3">
      <c r="A525" s="2">
        <f>IF(Banco_Nacion[[#This Row],[tipo_registro]]="R",COUNTIFS($C$1:$C524,"R")+1,"")</f>
        <v>524</v>
      </c>
      <c r="B525" s="19" t="str">
        <f t="shared" si="46"/>
        <v>B-Banco de la Nacion</v>
      </c>
      <c r="C525" s="3" t="s">
        <v>1330</v>
      </c>
      <c r="D525" s="14">
        <v>45868</v>
      </c>
      <c r="E525" s="5">
        <v>20454186002</v>
      </c>
      <c r="F525" s="5" t="s">
        <v>1303</v>
      </c>
      <c r="G525" s="6" t="s">
        <v>425</v>
      </c>
      <c r="H525" s="6" t="s">
        <v>68</v>
      </c>
      <c r="I525" s="6" t="s">
        <v>1784</v>
      </c>
      <c r="J525" s="6">
        <v>179</v>
      </c>
      <c r="K525" s="7" t="s">
        <v>5232</v>
      </c>
      <c r="L525" s="8">
        <v>84128758</v>
      </c>
      <c r="M525" s="8" t="str">
        <f t="shared" si="47"/>
        <v>PEN</v>
      </c>
      <c r="N525" s="13"/>
      <c r="O525" s="13">
        <v>352</v>
      </c>
      <c r="P525" s="3">
        <f t="shared" si="48"/>
        <v>352</v>
      </c>
      <c r="Q525" s="3">
        <f t="shared" si="49"/>
        <v>0</v>
      </c>
      <c r="R525" s="3">
        <f t="shared" si="50"/>
        <v>39165.220000000008</v>
      </c>
      <c r="S525" s="24" t="s">
        <v>1334</v>
      </c>
      <c r="T525" s="24" t="s">
        <v>1334</v>
      </c>
      <c r="U525" s="3"/>
      <c r="V525" s="19" t="str">
        <f>IFERROR(VLOOKUP(Banco_Nacion[[#This Row],[responsable]],Clientes_Proveedores[[Ruc / Dni]:[Razon Social]],2,0),"")</f>
        <v>ALSUR PERU S.A.C.</v>
      </c>
      <c r="W525" s="19" t="str">
        <f>IF(Banco_Nacion[[#This Row],[tipo_mov]]="INGRESO",Banco_Nacion[[#This Row],[serie]]&amp;Banco_Nacion[[#This Row],[numero]]&amp;Banco_Nacion[[#This Row],[responsable]]&amp;Banco_Nacion[[#This Row],[monto]],"")</f>
        <v>FF0117920454186002352</v>
      </c>
      <c r="X525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84128758</v>
      </c>
      <c r="Y525" s="3" t="str">
        <f>IFERROR(VLOOKUP(Banco_Nacion[[#This Row],[serie]]&amp;Banco_Nacion[[#This Row],[numero]]&amp;Banco_Nacion[[#This Row],[responsable]],[2]!Provision_CXC[[ID CXP]:[DETRACCION]],47,0),"")</f>
        <v/>
      </c>
      <c r="Z525" s="3"/>
      <c r="AA525" s="24" t="str">
        <f>IF(Banco_Nacion[[#This Row],[fecha]]&gt;0,TEXT(Banco_Nacion[[#This Row],[fecha]],"mmmm"),0)</f>
        <v>Julio</v>
      </c>
    </row>
    <row r="526" spans="1:27" x14ac:dyDescent="0.3">
      <c r="A526" s="2">
        <f>IF(Banco_Nacion[[#This Row],[tipo_registro]]="R",COUNTIFS($C$1:$C525,"R")+1,"")</f>
        <v>525</v>
      </c>
      <c r="B526" s="19" t="str">
        <f t="shared" si="46"/>
        <v>B-Banco de la Nacion</v>
      </c>
      <c r="C526" s="3" t="s">
        <v>1330</v>
      </c>
      <c r="D526" s="14">
        <v>45868</v>
      </c>
      <c r="E526" s="5">
        <v>20558698048</v>
      </c>
      <c r="F526" s="5" t="s">
        <v>1303</v>
      </c>
      <c r="G526" s="6" t="s">
        <v>425</v>
      </c>
      <c r="H526" s="6" t="s">
        <v>68</v>
      </c>
      <c r="I526" s="6" t="s">
        <v>3302</v>
      </c>
      <c r="J526" s="6">
        <v>96</v>
      </c>
      <c r="K526" s="7" t="s">
        <v>5233</v>
      </c>
      <c r="L526" s="8">
        <v>78788888</v>
      </c>
      <c r="M526" s="8" t="str">
        <f t="shared" si="47"/>
        <v>PEN</v>
      </c>
      <c r="N526" s="13"/>
      <c r="O526" s="13">
        <v>160</v>
      </c>
      <c r="P526" s="3">
        <f t="shared" si="48"/>
        <v>160</v>
      </c>
      <c r="Q526" s="3">
        <f t="shared" si="49"/>
        <v>0</v>
      </c>
      <c r="R526" s="3">
        <f t="shared" si="50"/>
        <v>39325.220000000008</v>
      </c>
      <c r="S526" s="24" t="s">
        <v>1334</v>
      </c>
      <c r="T526" s="24" t="s">
        <v>1334</v>
      </c>
      <c r="U526" s="3"/>
      <c r="V526" s="19" t="str">
        <f>IFERROR(VLOOKUP(Banco_Nacion[[#This Row],[responsable]],Clientes_Proveedores[[Ruc / Dni]:[Razon Social]],2,0),"")</f>
        <v xml:space="preserve">J&amp;R FAST CARGO E.I.R.L. </v>
      </c>
      <c r="W526" s="19" t="str">
        <f>IF(Banco_Nacion[[#This Row],[tipo_mov]]="INGRESO",Banco_Nacion[[#This Row],[serie]]&amp;Banco_Nacion[[#This Row],[numero]]&amp;Banco_Nacion[[#This Row],[responsable]]&amp;Banco_Nacion[[#This Row],[monto]],"")</f>
        <v>FF029620558698048160</v>
      </c>
      <c r="X526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78788888</v>
      </c>
      <c r="Y526" s="3" t="str">
        <f>IFERROR(VLOOKUP(Banco_Nacion[[#This Row],[serie]]&amp;Banco_Nacion[[#This Row],[numero]]&amp;Banco_Nacion[[#This Row],[responsable]],[2]!Provision_CXC[[ID CXP]:[DETRACCION]],47,0),"")</f>
        <v/>
      </c>
      <c r="Z526" s="3"/>
      <c r="AA526" s="24" t="str">
        <f>IF(Banco_Nacion[[#This Row],[fecha]]&gt;0,TEXT(Banco_Nacion[[#This Row],[fecha]],"mmmm"),0)</f>
        <v>Julio</v>
      </c>
    </row>
    <row r="527" spans="1:27" x14ac:dyDescent="0.3">
      <c r="A527" s="2">
        <f>IF(Banco_Nacion[[#This Row],[tipo_registro]]="R",COUNTIFS($C$1:$C526,"R")+1,"")</f>
        <v>526</v>
      </c>
      <c r="B527" s="19" t="str">
        <f t="shared" si="46"/>
        <v>B-Banco de la Nacion</v>
      </c>
      <c r="C527" s="3" t="s">
        <v>1330</v>
      </c>
      <c r="D527" s="14">
        <v>45869</v>
      </c>
      <c r="E527" s="5">
        <v>20100192064</v>
      </c>
      <c r="F527" s="5" t="s">
        <v>1303</v>
      </c>
      <c r="G527" s="6" t="s">
        <v>425</v>
      </c>
      <c r="H527" s="6" t="s">
        <v>68</v>
      </c>
      <c r="I527" s="6" t="s">
        <v>1784</v>
      </c>
      <c r="J527" s="6">
        <v>185</v>
      </c>
      <c r="K527" s="7" t="s">
        <v>5232</v>
      </c>
      <c r="L527" s="8">
        <v>84410012</v>
      </c>
      <c r="M527" s="8" t="str">
        <f t="shared" si="47"/>
        <v>PEN</v>
      </c>
      <c r="N527" s="13"/>
      <c r="O527" s="13">
        <v>453</v>
      </c>
      <c r="P527" s="3">
        <f t="shared" si="48"/>
        <v>453</v>
      </c>
      <c r="Q527" s="3">
        <f t="shared" si="49"/>
        <v>0</v>
      </c>
      <c r="R527" s="3">
        <f t="shared" si="50"/>
        <v>39778.220000000008</v>
      </c>
      <c r="S527" s="24" t="s">
        <v>1334</v>
      </c>
      <c r="T527" s="24" t="s">
        <v>1334</v>
      </c>
      <c r="U527" s="3"/>
      <c r="V527" s="19" t="str">
        <f>IFERROR(VLOOKUP(Banco_Nacion[[#This Row],[responsable]],Clientes_Proveedores[[Ruc / Dni]:[Razon Social]],2,0),"")</f>
        <v>MOLY-COP ADESUR S.A</v>
      </c>
      <c r="W527" s="19" t="str">
        <f>IF(Banco_Nacion[[#This Row],[tipo_mov]]="INGRESO",Banco_Nacion[[#This Row],[serie]]&amp;Banco_Nacion[[#This Row],[numero]]&amp;Banco_Nacion[[#This Row],[responsable]]&amp;Banco_Nacion[[#This Row],[monto]],"")</f>
        <v>FF0118520100192064453</v>
      </c>
      <c r="X527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84410012</v>
      </c>
      <c r="Y527" s="3" t="str">
        <f>IFERROR(VLOOKUP(Banco_Nacion[[#This Row],[serie]]&amp;Banco_Nacion[[#This Row],[numero]]&amp;Banco_Nacion[[#This Row],[responsable]],[2]!Provision_CXC[[ID CXP]:[DETRACCION]],47,0),"")</f>
        <v/>
      </c>
      <c r="Z527" s="3"/>
      <c r="AA527" s="24" t="str">
        <f>IF(Banco_Nacion[[#This Row],[fecha]]&gt;0,TEXT(Banco_Nacion[[#This Row],[fecha]],"mmmm"),0)</f>
        <v>Julio</v>
      </c>
    </row>
    <row r="528" spans="1:27" x14ac:dyDescent="0.3">
      <c r="A528" s="2">
        <f>IF(Banco_Nacion[[#This Row],[tipo_registro]]="R",COUNTIFS($C$1:$C527,"R")+1,"")</f>
        <v>527</v>
      </c>
      <c r="B528" s="19" t="str">
        <f t="shared" si="46"/>
        <v>B-Banco de la Nacion</v>
      </c>
      <c r="C528" s="3" t="s">
        <v>1330</v>
      </c>
      <c r="D528" s="14">
        <v>45869</v>
      </c>
      <c r="E528" s="5">
        <v>20523573226</v>
      </c>
      <c r="F528" s="5" t="s">
        <v>1303</v>
      </c>
      <c r="G528" s="6" t="s">
        <v>425</v>
      </c>
      <c r="H528" s="6" t="s">
        <v>68</v>
      </c>
      <c r="I528" s="6" t="s">
        <v>1784</v>
      </c>
      <c r="J528" s="6">
        <v>144</v>
      </c>
      <c r="K528" s="7" t="s">
        <v>5232</v>
      </c>
      <c r="L528" s="8">
        <v>84332789</v>
      </c>
      <c r="M528" s="8" t="str">
        <f t="shared" si="47"/>
        <v>PEN</v>
      </c>
      <c r="N528" s="13"/>
      <c r="O528" s="13">
        <v>690</v>
      </c>
      <c r="P528" s="3">
        <f t="shared" si="48"/>
        <v>690</v>
      </c>
      <c r="Q528" s="3">
        <f t="shared" si="49"/>
        <v>0</v>
      </c>
      <c r="R528" s="3">
        <f t="shared" si="50"/>
        <v>40468.220000000008</v>
      </c>
      <c r="S528" s="24" t="s">
        <v>1334</v>
      </c>
      <c r="T528" s="24" t="s">
        <v>1334</v>
      </c>
      <c r="U528" s="3"/>
      <c r="V528" s="19" t="str">
        <f>IFERROR(VLOOKUP(Banco_Nacion[[#This Row],[responsable]],Clientes_Proveedores[[Ruc / Dni]:[Razon Social]],2,0),"")</f>
        <v>CBB PERU S.A.</v>
      </c>
      <c r="W528" s="19" t="str">
        <f>IF(Banco_Nacion[[#This Row],[tipo_mov]]="INGRESO",Banco_Nacion[[#This Row],[serie]]&amp;Banco_Nacion[[#This Row],[numero]]&amp;Banco_Nacion[[#This Row],[responsable]]&amp;Banco_Nacion[[#This Row],[monto]],"")</f>
        <v>FF0114420523573226690</v>
      </c>
      <c r="X528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84332789</v>
      </c>
      <c r="Y528" s="3" t="str">
        <f>IFERROR(VLOOKUP(Banco_Nacion[[#This Row],[serie]]&amp;Banco_Nacion[[#This Row],[numero]]&amp;Banco_Nacion[[#This Row],[responsable]],[2]!Provision_CXC[[ID CXP]:[DETRACCION]],47,0),"")</f>
        <v/>
      </c>
      <c r="Z528" s="3"/>
      <c r="AA528" s="24" t="str">
        <f>IF(Banco_Nacion[[#This Row],[fecha]]&gt;0,TEXT(Banco_Nacion[[#This Row],[fecha]],"mmmm"),0)</f>
        <v>Julio</v>
      </c>
    </row>
    <row r="529" spans="1:27" x14ac:dyDescent="0.3">
      <c r="A529" s="2">
        <f>IF(Banco_Nacion[[#This Row],[tipo_registro]]="R",COUNTIFS($C$1:$C528,"R")+1,"")</f>
        <v>528</v>
      </c>
      <c r="B529" s="19" t="str">
        <f t="shared" si="46"/>
        <v>B-Banco de la Nacion</v>
      </c>
      <c r="C529" s="3" t="s">
        <v>1330</v>
      </c>
      <c r="D529" s="14">
        <v>45869</v>
      </c>
      <c r="E529" s="5">
        <v>20603536569</v>
      </c>
      <c r="F529" s="5" t="s">
        <v>1303</v>
      </c>
      <c r="G529" s="6" t="s">
        <v>425</v>
      </c>
      <c r="H529" s="6" t="s">
        <v>68</v>
      </c>
      <c r="I529" s="6" t="s">
        <v>1784</v>
      </c>
      <c r="J529" s="6">
        <v>175</v>
      </c>
      <c r="K529" s="7" t="s">
        <v>5232</v>
      </c>
      <c r="L529" s="8">
        <v>84162035</v>
      </c>
      <c r="M529" s="8" t="str">
        <f t="shared" si="47"/>
        <v>PEN</v>
      </c>
      <c r="N529" s="13"/>
      <c r="O529" s="13">
        <v>575</v>
      </c>
      <c r="P529" s="3">
        <f t="shared" si="48"/>
        <v>575</v>
      </c>
      <c r="Q529" s="3">
        <f t="shared" si="49"/>
        <v>0</v>
      </c>
      <c r="R529" s="3">
        <f t="shared" si="50"/>
        <v>41043.220000000008</v>
      </c>
      <c r="S529" s="24" t="s">
        <v>1334</v>
      </c>
      <c r="T529" s="24" t="s">
        <v>1334</v>
      </c>
      <c r="U529" s="3"/>
      <c r="V529" s="19" t="str">
        <f>IFERROR(VLOOKUP(Banco_Nacion[[#This Row],[responsable]],Clientes_Proveedores[[Ruc / Dni]:[Razon Social]],2,0),"")</f>
        <v>ANTILLA COPPER SOCIEDAD ANONIMA</v>
      </c>
      <c r="W529" s="19" t="str">
        <f>IF(Banco_Nacion[[#This Row],[tipo_mov]]="INGRESO",Banco_Nacion[[#This Row],[serie]]&amp;Banco_Nacion[[#This Row],[numero]]&amp;Banco_Nacion[[#This Row],[responsable]]&amp;Banco_Nacion[[#This Row],[monto]],"")</f>
        <v>FF0117520603536569575</v>
      </c>
      <c r="X529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84162035</v>
      </c>
      <c r="Y529" s="3" t="str">
        <f>IFERROR(VLOOKUP(Banco_Nacion[[#This Row],[serie]]&amp;Banco_Nacion[[#This Row],[numero]]&amp;Banco_Nacion[[#This Row],[responsable]],[2]!Provision_CXC[[ID CXP]:[DETRACCION]],47,0),"")</f>
        <v/>
      </c>
      <c r="Z529" s="3"/>
      <c r="AA529" s="24" t="str">
        <f>IF(Banco_Nacion[[#This Row],[fecha]]&gt;0,TEXT(Banco_Nacion[[#This Row],[fecha]],"mmmm"),0)</f>
        <v>Julio</v>
      </c>
    </row>
    <row r="530" spans="1:27" x14ac:dyDescent="0.3">
      <c r="A530" s="2">
        <f>IF(Banco_Nacion[[#This Row],[tipo_registro]]="R",COUNTIFS($C$1:$C529,"R")+1,"")</f>
        <v>529</v>
      </c>
      <c r="B530" s="19" t="str">
        <f t="shared" si="46"/>
        <v>B-Banco de la Nacion</v>
      </c>
      <c r="C530" s="3" t="s">
        <v>1330</v>
      </c>
      <c r="D530" s="14">
        <v>45869</v>
      </c>
      <c r="E530" s="5">
        <v>20601119600</v>
      </c>
      <c r="F530" s="5" t="s">
        <v>1303</v>
      </c>
      <c r="G530" s="6" t="s">
        <v>425</v>
      </c>
      <c r="H530" s="6" t="s">
        <v>68</v>
      </c>
      <c r="I530" s="6" t="s">
        <v>3381</v>
      </c>
      <c r="J530" s="6">
        <v>48</v>
      </c>
      <c r="K530" s="7" t="s">
        <v>5232</v>
      </c>
      <c r="L530" s="8">
        <v>27650504</v>
      </c>
      <c r="M530" s="8" t="str">
        <f t="shared" si="47"/>
        <v>PEN</v>
      </c>
      <c r="N530" s="13"/>
      <c r="O530" s="13">
        <v>91</v>
      </c>
      <c r="P530" s="3">
        <f t="shared" si="48"/>
        <v>91</v>
      </c>
      <c r="Q530" s="3">
        <f t="shared" si="49"/>
        <v>0</v>
      </c>
      <c r="R530" s="3">
        <f t="shared" si="50"/>
        <v>41134.220000000008</v>
      </c>
      <c r="S530" s="24" t="s">
        <v>1334</v>
      </c>
      <c r="T530" s="24" t="s">
        <v>1334</v>
      </c>
      <c r="U530" s="3"/>
      <c r="V530" s="19" t="str">
        <f>IFERROR(VLOOKUP(Banco_Nacion[[#This Row],[responsable]],Clientes_Proveedores[[Ruc / Dni]:[Razon Social]],2,0),"")</f>
        <v>INVERSIONES W.J.M. S.A.C.</v>
      </c>
      <c r="W530" s="19" t="str">
        <f>IF(Banco_Nacion[[#This Row],[tipo_mov]]="INGRESO",Banco_Nacion[[#This Row],[serie]]&amp;Banco_Nacion[[#This Row],[numero]]&amp;Banco_Nacion[[#This Row],[responsable]]&amp;Banco_Nacion[[#This Row],[monto]],"")</f>
        <v>FF05482060111960091</v>
      </c>
      <c r="X530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27650504</v>
      </c>
      <c r="Y530" s="3" t="str">
        <f>IFERROR(VLOOKUP(Banco_Nacion[[#This Row],[serie]]&amp;Banco_Nacion[[#This Row],[numero]]&amp;Banco_Nacion[[#This Row],[responsable]],[2]!Provision_CXC[[ID CXP]:[DETRACCION]],47,0),"")</f>
        <v/>
      </c>
      <c r="Z530" s="3"/>
      <c r="AA530" s="24" t="str">
        <f>IF(Banco_Nacion[[#This Row],[fecha]]&gt;0,TEXT(Banco_Nacion[[#This Row],[fecha]],"mmmm"),0)</f>
        <v>Julio</v>
      </c>
    </row>
    <row r="531" spans="1:27" x14ac:dyDescent="0.3">
      <c r="A531" s="2">
        <f>IF(Banco_Nacion[[#This Row],[tipo_registro]]="R",COUNTIFS($C$1:$C530,"R")+1,"")</f>
        <v>530</v>
      </c>
      <c r="B531" s="19" t="str">
        <f t="shared" si="46"/>
        <v>B-Banco de la Nacion</v>
      </c>
      <c r="C531" s="3" t="s">
        <v>1330</v>
      </c>
      <c r="D531" s="14">
        <v>45869</v>
      </c>
      <c r="E531" s="5">
        <v>20601119600</v>
      </c>
      <c r="F531" s="5" t="s">
        <v>1303</v>
      </c>
      <c r="G531" s="6" t="s">
        <v>425</v>
      </c>
      <c r="H531" s="6" t="s">
        <v>68</v>
      </c>
      <c r="I531" s="6" t="s">
        <v>3381</v>
      </c>
      <c r="J531" s="6">
        <v>49</v>
      </c>
      <c r="K531" s="7" t="s">
        <v>5232</v>
      </c>
      <c r="L531" s="8">
        <v>27650437</v>
      </c>
      <c r="M531" s="8" t="str">
        <f t="shared" si="47"/>
        <v>PEN</v>
      </c>
      <c r="N531" s="13"/>
      <c r="O531" s="13">
        <v>219</v>
      </c>
      <c r="P531" s="3">
        <f t="shared" si="48"/>
        <v>219</v>
      </c>
      <c r="Q531" s="3">
        <f t="shared" si="49"/>
        <v>0</v>
      </c>
      <c r="R531" s="3">
        <f t="shared" si="50"/>
        <v>41353.220000000008</v>
      </c>
      <c r="S531" s="24" t="s">
        <v>1334</v>
      </c>
      <c r="T531" s="24" t="s">
        <v>1334</v>
      </c>
      <c r="U531" s="3"/>
      <c r="V531" s="19" t="str">
        <f>IFERROR(VLOOKUP(Banco_Nacion[[#This Row],[responsable]],Clientes_Proveedores[[Ruc / Dni]:[Razon Social]],2,0),"")</f>
        <v>INVERSIONES W.J.M. S.A.C.</v>
      </c>
      <c r="W531" s="19" t="str">
        <f>IF(Banco_Nacion[[#This Row],[tipo_mov]]="INGRESO",Banco_Nacion[[#This Row],[serie]]&amp;Banco_Nacion[[#This Row],[numero]]&amp;Banco_Nacion[[#This Row],[responsable]]&amp;Banco_Nacion[[#This Row],[monto]],"")</f>
        <v>FF054920601119600219</v>
      </c>
      <c r="X531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27650437</v>
      </c>
      <c r="Y531" s="3" t="str">
        <f>IFERROR(VLOOKUP(Banco_Nacion[[#This Row],[serie]]&amp;Banco_Nacion[[#This Row],[numero]]&amp;Banco_Nacion[[#This Row],[responsable]],[2]!Provision_CXC[[ID CXP]:[DETRACCION]],47,0),"")</f>
        <v/>
      </c>
      <c r="Z531" s="3"/>
      <c r="AA531" s="24" t="str">
        <f>IF(Banco_Nacion[[#This Row],[fecha]]&gt;0,TEXT(Banco_Nacion[[#This Row],[fecha]],"mmmm"),0)</f>
        <v>Julio</v>
      </c>
    </row>
    <row r="532" spans="1:27" x14ac:dyDescent="0.3">
      <c r="A532" s="2">
        <f>IF(Banco_Nacion[[#This Row],[tipo_registro]]="R",COUNTIFS($C$1:$C531,"R")+1,"")</f>
        <v>531</v>
      </c>
      <c r="B532" s="19" t="str">
        <f t="shared" si="46"/>
        <v>B-Banco de la Nacion</v>
      </c>
      <c r="C532" s="3" t="s">
        <v>1330</v>
      </c>
      <c r="D532" s="14">
        <v>45869</v>
      </c>
      <c r="E532" s="5">
        <v>20601119600</v>
      </c>
      <c r="F532" s="5" t="s">
        <v>1303</v>
      </c>
      <c r="G532" s="6" t="s">
        <v>425</v>
      </c>
      <c r="H532" s="6" t="s">
        <v>68</v>
      </c>
      <c r="I532" s="6" t="s">
        <v>3381</v>
      </c>
      <c r="J532" s="6">
        <v>50</v>
      </c>
      <c r="K532" s="7" t="s">
        <v>5232</v>
      </c>
      <c r="L532" s="8">
        <v>27650339</v>
      </c>
      <c r="M532" s="8" t="str">
        <f t="shared" si="47"/>
        <v>PEN</v>
      </c>
      <c r="N532" s="13"/>
      <c r="O532" s="13">
        <v>302</v>
      </c>
      <c r="P532" s="3">
        <f t="shared" si="48"/>
        <v>302</v>
      </c>
      <c r="Q532" s="3">
        <f t="shared" si="49"/>
        <v>0</v>
      </c>
      <c r="R532" s="3">
        <f t="shared" si="50"/>
        <v>41655.220000000008</v>
      </c>
      <c r="S532" s="24" t="s">
        <v>1334</v>
      </c>
      <c r="T532" s="24" t="s">
        <v>1334</v>
      </c>
      <c r="U532" s="3"/>
      <c r="V532" s="19" t="str">
        <f>IFERROR(VLOOKUP(Banco_Nacion[[#This Row],[responsable]],Clientes_Proveedores[[Ruc / Dni]:[Razon Social]],2,0),"")</f>
        <v>INVERSIONES W.J.M. S.A.C.</v>
      </c>
      <c r="W532" s="19" t="str">
        <f>IF(Banco_Nacion[[#This Row],[tipo_mov]]="INGRESO",Banco_Nacion[[#This Row],[serie]]&amp;Banco_Nacion[[#This Row],[numero]]&amp;Banco_Nacion[[#This Row],[responsable]]&amp;Banco_Nacion[[#This Row],[monto]],"")</f>
        <v>FF055020601119600302</v>
      </c>
      <c r="X532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27650339</v>
      </c>
      <c r="Y532" s="3" t="str">
        <f>IFERROR(VLOOKUP(Banco_Nacion[[#This Row],[serie]]&amp;Banco_Nacion[[#This Row],[numero]]&amp;Banco_Nacion[[#This Row],[responsable]],[2]!Provision_CXC[[ID CXP]:[DETRACCION]],47,0),"")</f>
        <v/>
      </c>
      <c r="Z532" s="3"/>
      <c r="AA532" s="24" t="str">
        <f>IF(Banco_Nacion[[#This Row],[fecha]]&gt;0,TEXT(Banco_Nacion[[#This Row],[fecha]],"mmmm"),0)</f>
        <v>Julio</v>
      </c>
    </row>
    <row r="533" spans="1:27" x14ac:dyDescent="0.3">
      <c r="A533" s="2">
        <f>IF(Banco_Nacion[[#This Row],[tipo_registro]]="R",COUNTIFS($C$1:$C532,"R")+1,"")</f>
        <v>532</v>
      </c>
      <c r="B533" s="19" t="str">
        <f t="shared" si="46"/>
        <v>B-Banco de la Nacion</v>
      </c>
      <c r="C533" s="3" t="s">
        <v>1330</v>
      </c>
      <c r="D533" s="14">
        <v>45869</v>
      </c>
      <c r="E533" s="5" t="s">
        <v>5231</v>
      </c>
      <c r="F533" s="5" t="s">
        <v>1336</v>
      </c>
      <c r="G533" s="6"/>
      <c r="H533" s="6"/>
      <c r="I533" s="6" t="s">
        <v>5231</v>
      </c>
      <c r="J533" s="6" t="s">
        <v>5231</v>
      </c>
      <c r="K533" s="7" t="s">
        <v>5234</v>
      </c>
      <c r="L533" s="8">
        <v>78787878</v>
      </c>
      <c r="M533" s="8" t="str">
        <f t="shared" si="47"/>
        <v>PEN</v>
      </c>
      <c r="N533" s="13"/>
      <c r="O533" s="13">
        <v>866</v>
      </c>
      <c r="P533" s="3">
        <f t="shared" si="48"/>
        <v>0</v>
      </c>
      <c r="Q533" s="3">
        <f t="shared" si="49"/>
        <v>866</v>
      </c>
      <c r="R533" s="3">
        <f t="shared" si="50"/>
        <v>40789.220000000008</v>
      </c>
      <c r="S533" s="24"/>
      <c r="T533" s="24"/>
      <c r="U533" s="3"/>
      <c r="V533" s="19" t="str">
        <f>IFERROR(VLOOKUP(Banco_Nacion[[#This Row],[responsable]],Clientes_Proveedores[[Ruc / Dni]:[Razon Social]],2,0),"")</f>
        <v/>
      </c>
      <c r="W533" s="19" t="str">
        <f>IF(Banco_Nacion[[#This Row],[tipo_mov]]="INGRESO",Banco_Nacion[[#This Row],[serie]]&amp;Banco_Nacion[[#This Row],[numero]]&amp;Banco_Nacion[[#This Row],[responsable]]&amp;Banco_Nacion[[#This Row],[monto]],"")</f>
        <v/>
      </c>
      <c r="X533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/>
      </c>
      <c r="Y533" s="3" t="str">
        <f>IFERROR(VLOOKUP(Banco_Nacion[[#This Row],[serie]]&amp;Banco_Nacion[[#This Row],[numero]]&amp;Banco_Nacion[[#This Row],[responsable]],[2]!Provision_CXC[[ID CXP]:[DETRACCION]],47,0),"")</f>
        <v/>
      </c>
      <c r="Z533" s="3"/>
      <c r="AA533" s="24" t="str">
        <f>IF(Banco_Nacion[[#This Row],[fecha]]&gt;0,TEXT(Banco_Nacion[[#This Row],[fecha]],"mmmm"),0)</f>
        <v>Julio</v>
      </c>
    </row>
    <row r="534" spans="1:27" x14ac:dyDescent="0.3">
      <c r="A534" s="2">
        <f>IF(Banco_Nacion[[#This Row],[tipo_registro]]="R",COUNTIFS($C$1:$C533,"R")+1,"")</f>
        <v>533</v>
      </c>
      <c r="B534" s="19" t="str">
        <f t="shared" ref="B534:B545" si="51">"B-Banco de la Nacion"</f>
        <v>B-Banco de la Nacion</v>
      </c>
      <c r="C534" s="3" t="s">
        <v>1330</v>
      </c>
      <c r="D534" s="14">
        <v>45874</v>
      </c>
      <c r="E534" s="5">
        <v>20120788389</v>
      </c>
      <c r="F534" s="5" t="s">
        <v>1303</v>
      </c>
      <c r="G534" s="6" t="s">
        <v>425</v>
      </c>
      <c r="H534" s="6" t="s">
        <v>68</v>
      </c>
      <c r="I534" s="6" t="s">
        <v>1784</v>
      </c>
      <c r="J534" s="6">
        <v>176</v>
      </c>
      <c r="K534" s="7" t="s">
        <v>5232</v>
      </c>
      <c r="L534" s="8">
        <v>84727495</v>
      </c>
      <c r="M534" s="8" t="str">
        <f t="shared" ref="M534:M545" si="52">"PEN"</f>
        <v>PEN</v>
      </c>
      <c r="N534" s="13"/>
      <c r="O534" s="13">
        <v>95</v>
      </c>
      <c r="P534" s="3">
        <f t="shared" ref="P534:P545" si="53">+IF(OR($F534="SALDO",$F534="INGRESO"),$O534,0)</f>
        <v>95</v>
      </c>
      <c r="Q534" s="3">
        <f t="shared" ref="Q534:Q545" si="54">+IF($F534="EGRESO",$O534,0)</f>
        <v>0</v>
      </c>
      <c r="R534" s="3">
        <f t="shared" si="50"/>
        <v>40884.220000000008</v>
      </c>
      <c r="S534" s="24" t="s">
        <v>1334</v>
      </c>
      <c r="T534" s="24" t="s">
        <v>1334</v>
      </c>
      <c r="U534" s="3"/>
      <c r="V534" s="19" t="str">
        <f>IFERROR(VLOOKUP(Banco_Nacion[[#This Row],[responsable]],Clientes_Proveedores[[Ruc / Dni]:[Razon Social]],2,0),"")</f>
        <v>CARMEN INMUEBLES S.A.</v>
      </c>
      <c r="W534" s="19" t="str">
        <f>IF(Banco_Nacion[[#This Row],[tipo_mov]]="INGRESO",Banco_Nacion[[#This Row],[serie]]&amp;Banco_Nacion[[#This Row],[numero]]&amp;Banco_Nacion[[#This Row],[responsable]]&amp;Banco_Nacion[[#This Row],[monto]],"")</f>
        <v>FF011762012078838995</v>
      </c>
      <c r="X534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84727495</v>
      </c>
      <c r="Y534" s="3" t="str">
        <f>IFERROR(VLOOKUP(Banco_Nacion[[#This Row],[serie]]&amp;Banco_Nacion[[#This Row],[numero]]&amp;Banco_Nacion[[#This Row],[responsable]],[2]!Provision_CXC[[ID CXP]:[DETRACCION]],47,0),"")</f>
        <v/>
      </c>
      <c r="Z534" s="3"/>
      <c r="AA534" s="24" t="str">
        <f>IF(Banco_Nacion[[#This Row],[fecha]]&gt;0,TEXT(Banco_Nacion[[#This Row],[fecha]],"mmmm"),0)</f>
        <v>Agosto</v>
      </c>
    </row>
    <row r="535" spans="1:27" x14ac:dyDescent="0.3">
      <c r="A535" s="2">
        <f>IF(Banco_Nacion[[#This Row],[tipo_registro]]="R",COUNTIFS($C$1:$C534,"R")+1,"")</f>
        <v>534</v>
      </c>
      <c r="B535" s="19" t="str">
        <f t="shared" si="51"/>
        <v>B-Banco de la Nacion</v>
      </c>
      <c r="C535" s="3" t="s">
        <v>1330</v>
      </c>
      <c r="D535" s="14">
        <v>45874</v>
      </c>
      <c r="E535" s="5">
        <v>20550891086</v>
      </c>
      <c r="F535" s="5" t="s">
        <v>1303</v>
      </c>
      <c r="G535" s="6" t="s">
        <v>425</v>
      </c>
      <c r="H535" s="6" t="s">
        <v>68</v>
      </c>
      <c r="I535" s="6" t="s">
        <v>3302</v>
      </c>
      <c r="J535" s="6">
        <v>101</v>
      </c>
      <c r="K535" s="7" t="s">
        <v>5232</v>
      </c>
      <c r="L535" s="8">
        <v>27713554</v>
      </c>
      <c r="M535" s="8" t="str">
        <f t="shared" si="52"/>
        <v>PEN</v>
      </c>
      <c r="N535" s="13"/>
      <c r="O535" s="13">
        <v>1026</v>
      </c>
      <c r="P535" s="3">
        <f t="shared" si="53"/>
        <v>1026</v>
      </c>
      <c r="Q535" s="3">
        <f t="shared" si="54"/>
        <v>0</v>
      </c>
      <c r="R535" s="3">
        <f t="shared" si="50"/>
        <v>41910.220000000008</v>
      </c>
      <c r="S535" s="24" t="s">
        <v>1334</v>
      </c>
      <c r="T535" s="24" t="s">
        <v>1334</v>
      </c>
      <c r="U535" s="3"/>
      <c r="V535" s="19" t="str">
        <f>IFERROR(VLOOKUP(Banco_Nacion[[#This Row],[responsable]],Clientes_Proveedores[[Ruc / Dni]:[Razon Social]],2,0),"")</f>
        <v>SANTOS CHAVARRIA VEGA E.I.R.L.</v>
      </c>
      <c r="W535" s="19" t="str">
        <f>IF(Banco_Nacion[[#This Row],[tipo_mov]]="INGRESO",Banco_Nacion[[#This Row],[serie]]&amp;Banco_Nacion[[#This Row],[numero]]&amp;Banco_Nacion[[#This Row],[responsable]]&amp;Banco_Nacion[[#This Row],[monto]],"")</f>
        <v>FF02101205508910861026</v>
      </c>
      <c r="X535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27713554</v>
      </c>
      <c r="Y535" s="3" t="str">
        <f>IFERROR(VLOOKUP(Banco_Nacion[[#This Row],[serie]]&amp;Banco_Nacion[[#This Row],[numero]]&amp;Banco_Nacion[[#This Row],[responsable]],[2]!Provision_CXC[[ID CXP]:[DETRACCION]],47,0),"")</f>
        <v/>
      </c>
      <c r="Z535" s="3"/>
      <c r="AA535" s="24" t="str">
        <f>IF(Banco_Nacion[[#This Row],[fecha]]&gt;0,TEXT(Banco_Nacion[[#This Row],[fecha]],"mmmm"),0)</f>
        <v>Agosto</v>
      </c>
    </row>
    <row r="536" spans="1:27" x14ac:dyDescent="0.3">
      <c r="A536" s="2">
        <f>IF(Banco_Nacion[[#This Row],[tipo_registro]]="R",COUNTIFS($C$1:$C535,"R")+1,"")</f>
        <v>535</v>
      </c>
      <c r="B536" s="19" t="str">
        <f t="shared" si="51"/>
        <v>B-Banco de la Nacion</v>
      </c>
      <c r="C536" s="3" t="s">
        <v>1330</v>
      </c>
      <c r="D536" s="14">
        <v>45874</v>
      </c>
      <c r="E536" s="5">
        <v>20455283915</v>
      </c>
      <c r="F536" s="5" t="s">
        <v>1303</v>
      </c>
      <c r="G536" s="6" t="s">
        <v>425</v>
      </c>
      <c r="H536" s="6" t="s">
        <v>68</v>
      </c>
      <c r="I536" s="6" t="s">
        <v>3302</v>
      </c>
      <c r="J536" s="6">
        <v>98</v>
      </c>
      <c r="K536" s="7" t="s">
        <v>5232</v>
      </c>
      <c r="L536" s="8">
        <v>27708475</v>
      </c>
      <c r="M536" s="8" t="str">
        <f t="shared" si="52"/>
        <v>PEN</v>
      </c>
      <c r="N536" s="13"/>
      <c r="O536" s="13">
        <v>89</v>
      </c>
      <c r="P536" s="3">
        <f t="shared" si="53"/>
        <v>89</v>
      </c>
      <c r="Q536" s="3">
        <f t="shared" si="54"/>
        <v>0</v>
      </c>
      <c r="R536" s="3">
        <f t="shared" si="50"/>
        <v>41999.220000000008</v>
      </c>
      <c r="S536" s="24" t="s">
        <v>1334</v>
      </c>
      <c r="T536" s="24" t="s">
        <v>1334</v>
      </c>
      <c r="U536" s="3"/>
      <c r="V536" s="19" t="str">
        <f>IFERROR(VLOOKUP(Banco_Nacion[[#This Row],[responsable]],Clientes_Proveedores[[Ruc / Dni]:[Razon Social]],2,0),"")</f>
        <v>EMPRESA CONSERVADORA AMBIENTAL DEL SUR E.I.R.L. - ECA SUR E.I.R.L.</v>
      </c>
      <c r="W536" s="19" t="str">
        <f>IF(Banco_Nacion[[#This Row],[tipo_mov]]="INGRESO",Banco_Nacion[[#This Row],[serie]]&amp;Banco_Nacion[[#This Row],[numero]]&amp;Banco_Nacion[[#This Row],[responsable]]&amp;Banco_Nacion[[#This Row],[monto]],"")</f>
        <v>FF02982045528391589</v>
      </c>
      <c r="X536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27708475</v>
      </c>
      <c r="Y536" s="3" t="str">
        <f>IFERROR(VLOOKUP(Banco_Nacion[[#This Row],[serie]]&amp;Banco_Nacion[[#This Row],[numero]]&amp;Banco_Nacion[[#This Row],[responsable]],[2]!Provision_CXC[[ID CXP]:[DETRACCION]],47,0),"")</f>
        <v/>
      </c>
      <c r="Z536" s="3"/>
      <c r="AA536" s="24" t="str">
        <f>IF(Banco_Nacion[[#This Row],[fecha]]&gt;0,TEXT(Banco_Nacion[[#This Row],[fecha]],"mmmm"),0)</f>
        <v>Agosto</v>
      </c>
    </row>
    <row r="537" spans="1:27" x14ac:dyDescent="0.3">
      <c r="A537" s="2">
        <f>IF(Banco_Nacion[[#This Row],[tipo_registro]]="R",COUNTIFS($C$1:$C536,"R")+1,"")</f>
        <v>536</v>
      </c>
      <c r="B537" s="19" t="str">
        <f t="shared" si="51"/>
        <v>B-Banco de la Nacion</v>
      </c>
      <c r="C537" s="3" t="s">
        <v>1330</v>
      </c>
      <c r="D537" s="14">
        <v>45874</v>
      </c>
      <c r="E537" s="5">
        <v>20455283915</v>
      </c>
      <c r="F537" s="5" t="s">
        <v>1303</v>
      </c>
      <c r="G537" s="6" t="s">
        <v>425</v>
      </c>
      <c r="H537" s="6" t="s">
        <v>68</v>
      </c>
      <c r="I537" s="6" t="s">
        <v>3302</v>
      </c>
      <c r="J537" s="6">
        <v>91</v>
      </c>
      <c r="K537" s="7" t="s">
        <v>5232</v>
      </c>
      <c r="L537" s="8">
        <v>27708475</v>
      </c>
      <c r="M537" s="8" t="str">
        <f t="shared" si="52"/>
        <v>PEN</v>
      </c>
      <c r="N537" s="13"/>
      <c r="O537" s="13">
        <v>157</v>
      </c>
      <c r="P537" s="3">
        <f t="shared" si="53"/>
        <v>157</v>
      </c>
      <c r="Q537" s="3">
        <f t="shared" si="54"/>
        <v>0</v>
      </c>
      <c r="R537" s="3">
        <f t="shared" si="50"/>
        <v>42156.220000000008</v>
      </c>
      <c r="S537" s="24" t="s">
        <v>1334</v>
      </c>
      <c r="T537" s="24" t="s">
        <v>1334</v>
      </c>
      <c r="U537" s="3"/>
      <c r="V537" s="19" t="str">
        <f>IFERROR(VLOOKUP(Banco_Nacion[[#This Row],[responsable]],Clientes_Proveedores[[Ruc / Dni]:[Razon Social]],2,0),"")</f>
        <v>EMPRESA CONSERVADORA AMBIENTAL DEL SUR E.I.R.L. - ECA SUR E.I.R.L.</v>
      </c>
      <c r="W537" s="19" t="str">
        <f>IF(Banco_Nacion[[#This Row],[tipo_mov]]="INGRESO",Banco_Nacion[[#This Row],[serie]]&amp;Banco_Nacion[[#This Row],[numero]]&amp;Banco_Nacion[[#This Row],[responsable]]&amp;Banco_Nacion[[#This Row],[monto]],"")</f>
        <v>FF029120455283915157</v>
      </c>
      <c r="X537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27708475</v>
      </c>
      <c r="Y537" s="3" t="str">
        <f>IFERROR(VLOOKUP(Banco_Nacion[[#This Row],[serie]]&amp;Banco_Nacion[[#This Row],[numero]]&amp;Banco_Nacion[[#This Row],[responsable]],[2]!Provision_CXC[[ID CXP]:[DETRACCION]],47,0),"")</f>
        <v/>
      </c>
      <c r="Z537" s="3"/>
      <c r="AA537" s="24" t="str">
        <f>IF(Banco_Nacion[[#This Row],[fecha]]&gt;0,TEXT(Banco_Nacion[[#This Row],[fecha]],"mmmm"),0)</f>
        <v>Agosto</v>
      </c>
    </row>
    <row r="538" spans="1:27" x14ac:dyDescent="0.3">
      <c r="A538" s="2">
        <f>IF(Banco_Nacion[[#This Row],[tipo_registro]]="R",COUNTIFS($C$1:$C537,"R")+1,"")</f>
        <v>537</v>
      </c>
      <c r="B538" s="19" t="str">
        <f t="shared" si="51"/>
        <v>B-Banco de la Nacion</v>
      </c>
      <c r="C538" s="3" t="s">
        <v>1330</v>
      </c>
      <c r="D538" s="14">
        <v>45874</v>
      </c>
      <c r="E538" s="5">
        <v>20455283915</v>
      </c>
      <c r="F538" s="5" t="s">
        <v>1303</v>
      </c>
      <c r="G538" s="6" t="s">
        <v>425</v>
      </c>
      <c r="H538" s="6" t="s">
        <v>68</v>
      </c>
      <c r="I538" s="6" t="s">
        <v>3302</v>
      </c>
      <c r="J538" s="6">
        <v>97</v>
      </c>
      <c r="K538" s="7" t="s">
        <v>5232</v>
      </c>
      <c r="L538" s="8">
        <v>27708475</v>
      </c>
      <c r="M538" s="8" t="str">
        <f t="shared" si="52"/>
        <v>PEN</v>
      </c>
      <c r="N538" s="13"/>
      <c r="O538" s="13">
        <v>98</v>
      </c>
      <c r="P538" s="3">
        <f t="shared" si="53"/>
        <v>98</v>
      </c>
      <c r="Q538" s="3">
        <f t="shared" si="54"/>
        <v>0</v>
      </c>
      <c r="R538" s="3">
        <f t="shared" si="50"/>
        <v>42254.220000000008</v>
      </c>
      <c r="S538" s="24" t="s">
        <v>1334</v>
      </c>
      <c r="T538" s="24" t="s">
        <v>1334</v>
      </c>
      <c r="U538" s="3"/>
      <c r="V538" s="19" t="str">
        <f>IFERROR(VLOOKUP(Banco_Nacion[[#This Row],[responsable]],Clientes_Proveedores[[Ruc / Dni]:[Razon Social]],2,0),"")</f>
        <v>EMPRESA CONSERVADORA AMBIENTAL DEL SUR E.I.R.L. - ECA SUR E.I.R.L.</v>
      </c>
      <c r="W538" s="19" t="str">
        <f>IF(Banco_Nacion[[#This Row],[tipo_mov]]="INGRESO",Banco_Nacion[[#This Row],[serie]]&amp;Banco_Nacion[[#This Row],[numero]]&amp;Banco_Nacion[[#This Row],[responsable]]&amp;Banco_Nacion[[#This Row],[monto]],"")</f>
        <v>FF02972045528391598</v>
      </c>
      <c r="X538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27708475</v>
      </c>
      <c r="Y538" s="3" t="str">
        <f>IFERROR(VLOOKUP(Banco_Nacion[[#This Row],[serie]]&amp;Banco_Nacion[[#This Row],[numero]]&amp;Banco_Nacion[[#This Row],[responsable]],[2]!Provision_CXC[[ID CXP]:[DETRACCION]],47,0),"")</f>
        <v/>
      </c>
      <c r="Z538" s="3"/>
      <c r="AA538" s="24" t="str">
        <f>IF(Banco_Nacion[[#This Row],[fecha]]&gt;0,TEXT(Banco_Nacion[[#This Row],[fecha]],"mmmm"),0)</f>
        <v>Agosto</v>
      </c>
    </row>
    <row r="539" spans="1:27" x14ac:dyDescent="0.3">
      <c r="A539" s="2">
        <f>IF(Banco_Nacion[[#This Row],[tipo_registro]]="R",COUNTIFS($C$1:$C538,"R")+1,"")</f>
        <v>538</v>
      </c>
      <c r="B539" s="19" t="str">
        <f t="shared" si="51"/>
        <v>B-Banco de la Nacion</v>
      </c>
      <c r="C539" s="3" t="s">
        <v>1330</v>
      </c>
      <c r="D539" s="14">
        <v>45874</v>
      </c>
      <c r="E539" s="5">
        <v>20455283915</v>
      </c>
      <c r="F539" s="5" t="s">
        <v>1303</v>
      </c>
      <c r="G539" s="6" t="s">
        <v>425</v>
      </c>
      <c r="H539" s="6" t="s">
        <v>68</v>
      </c>
      <c r="I539" s="6" t="s">
        <v>3302</v>
      </c>
      <c r="J539" s="6">
        <v>89</v>
      </c>
      <c r="K539" s="7" t="s">
        <v>5232</v>
      </c>
      <c r="L539" s="8">
        <v>27708474</v>
      </c>
      <c r="M539" s="8" t="str">
        <f t="shared" si="52"/>
        <v>PEN</v>
      </c>
      <c r="N539" s="13"/>
      <c r="O539" s="13">
        <v>62</v>
      </c>
      <c r="P539" s="3">
        <f t="shared" si="53"/>
        <v>62</v>
      </c>
      <c r="Q539" s="3">
        <f t="shared" si="54"/>
        <v>0</v>
      </c>
      <c r="R539" s="3">
        <f t="shared" si="50"/>
        <v>42316.220000000008</v>
      </c>
      <c r="S539" s="24" t="s">
        <v>1334</v>
      </c>
      <c r="T539" s="24" t="s">
        <v>1334</v>
      </c>
      <c r="U539" s="3"/>
      <c r="V539" s="19" t="str">
        <f>IFERROR(VLOOKUP(Banco_Nacion[[#This Row],[responsable]],Clientes_Proveedores[[Ruc / Dni]:[Razon Social]],2,0),"")</f>
        <v>EMPRESA CONSERVADORA AMBIENTAL DEL SUR E.I.R.L. - ECA SUR E.I.R.L.</v>
      </c>
      <c r="W539" s="19" t="str">
        <f>IF(Banco_Nacion[[#This Row],[tipo_mov]]="INGRESO",Banco_Nacion[[#This Row],[serie]]&amp;Banco_Nacion[[#This Row],[numero]]&amp;Banco_Nacion[[#This Row],[responsable]]&amp;Banco_Nacion[[#This Row],[monto]],"")</f>
        <v>FF02892045528391562</v>
      </c>
      <c r="X539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27708474</v>
      </c>
      <c r="Y539" s="3" t="str">
        <f>IFERROR(VLOOKUP(Banco_Nacion[[#This Row],[serie]]&amp;Banco_Nacion[[#This Row],[numero]]&amp;Banco_Nacion[[#This Row],[responsable]],[2]!Provision_CXC[[ID CXP]:[DETRACCION]],47,0),"")</f>
        <v/>
      </c>
      <c r="Z539" s="3"/>
      <c r="AA539" s="24" t="str">
        <f>IF(Banco_Nacion[[#This Row],[fecha]]&gt;0,TEXT(Banco_Nacion[[#This Row],[fecha]],"mmmm"),0)</f>
        <v>Agosto</v>
      </c>
    </row>
    <row r="540" spans="1:27" x14ac:dyDescent="0.3">
      <c r="A540" s="2">
        <f>IF(Banco_Nacion[[#This Row],[tipo_registro]]="R",COUNTIFS($C$1:$C539,"R")+1,"")</f>
        <v>539</v>
      </c>
      <c r="B540" s="19" t="str">
        <f t="shared" si="51"/>
        <v>B-Banco de la Nacion</v>
      </c>
      <c r="C540" s="3" t="s">
        <v>1330</v>
      </c>
      <c r="D540" s="14">
        <v>45874</v>
      </c>
      <c r="E540" s="5">
        <v>20455283915</v>
      </c>
      <c r="F540" s="5" t="s">
        <v>1303</v>
      </c>
      <c r="G540" s="6" t="s">
        <v>425</v>
      </c>
      <c r="H540" s="6"/>
      <c r="I540" s="6" t="s">
        <v>3302</v>
      </c>
      <c r="J540" s="6">
        <v>104</v>
      </c>
      <c r="K540" s="7" t="s">
        <v>5232</v>
      </c>
      <c r="L540" s="8">
        <v>27708474</v>
      </c>
      <c r="M540" s="8" t="str">
        <f t="shared" si="52"/>
        <v>PEN</v>
      </c>
      <c r="N540" s="13"/>
      <c r="O540" s="13">
        <v>72</v>
      </c>
      <c r="P540" s="3">
        <f t="shared" si="53"/>
        <v>72</v>
      </c>
      <c r="Q540" s="3">
        <f t="shared" si="54"/>
        <v>0</v>
      </c>
      <c r="R540" s="3">
        <f t="shared" si="50"/>
        <v>42388.220000000008</v>
      </c>
      <c r="S540" s="24" t="s">
        <v>1334</v>
      </c>
      <c r="T540" s="24" t="s">
        <v>1334</v>
      </c>
      <c r="U540" s="3"/>
      <c r="V540" s="19" t="str">
        <f>IFERROR(VLOOKUP(Banco_Nacion[[#This Row],[responsable]],Clientes_Proveedores[[Ruc / Dni]:[Razon Social]],2,0),"")</f>
        <v>EMPRESA CONSERVADORA AMBIENTAL DEL SUR E.I.R.L. - ECA SUR E.I.R.L.</v>
      </c>
      <c r="W540" s="19" t="str">
        <f>IF(Banco_Nacion[[#This Row],[tipo_mov]]="INGRESO",Banco_Nacion[[#This Row],[serie]]&amp;Banco_Nacion[[#This Row],[numero]]&amp;Banco_Nacion[[#This Row],[responsable]]&amp;Banco_Nacion[[#This Row],[monto]],"")</f>
        <v>FF021042045528391572</v>
      </c>
      <c r="X540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27708474</v>
      </c>
      <c r="Y540" s="3" t="str">
        <f>IFERROR(VLOOKUP(Banco_Nacion[[#This Row],[serie]]&amp;Banco_Nacion[[#This Row],[numero]]&amp;Banco_Nacion[[#This Row],[responsable]],[2]!Provision_CXC[[ID CXP]:[DETRACCION]],47,0),"")</f>
        <v/>
      </c>
      <c r="Z540" s="3"/>
      <c r="AA540" s="24" t="str">
        <f>IF(Banco_Nacion[[#This Row],[fecha]]&gt;0,TEXT(Banco_Nacion[[#This Row],[fecha]],"mmmm"),0)</f>
        <v>Agosto</v>
      </c>
    </row>
    <row r="541" spans="1:27" x14ac:dyDescent="0.3">
      <c r="A541" s="2">
        <f>IF(Banco_Nacion[[#This Row],[tipo_registro]]="R",COUNTIFS($C$1:$C540,"R")+1,"")</f>
        <v>540</v>
      </c>
      <c r="B541" s="19" t="str">
        <f t="shared" si="51"/>
        <v>B-Banco de la Nacion</v>
      </c>
      <c r="C541" s="3" t="s">
        <v>1330</v>
      </c>
      <c r="D541" s="14">
        <v>45874</v>
      </c>
      <c r="E541" s="5">
        <v>20455283915</v>
      </c>
      <c r="F541" s="5" t="s">
        <v>1303</v>
      </c>
      <c r="G541" s="6" t="s">
        <v>425</v>
      </c>
      <c r="H541" s="6" t="s">
        <v>68</v>
      </c>
      <c r="I541" s="6" t="s">
        <v>3302</v>
      </c>
      <c r="J541" s="6">
        <v>90</v>
      </c>
      <c r="K541" s="7" t="s">
        <v>5232</v>
      </c>
      <c r="L541" s="8">
        <v>27708474</v>
      </c>
      <c r="M541" s="8" t="str">
        <f t="shared" si="52"/>
        <v>PEN</v>
      </c>
      <c r="N541" s="13"/>
      <c r="O541" s="13">
        <v>89</v>
      </c>
      <c r="P541" s="3">
        <f t="shared" si="53"/>
        <v>89</v>
      </c>
      <c r="Q541" s="3">
        <f t="shared" si="54"/>
        <v>0</v>
      </c>
      <c r="R541" s="3">
        <f t="shared" si="50"/>
        <v>42477.220000000008</v>
      </c>
      <c r="S541" s="24" t="s">
        <v>1334</v>
      </c>
      <c r="T541" s="24" t="s">
        <v>1334</v>
      </c>
      <c r="U541" s="3"/>
      <c r="V541" s="19" t="str">
        <f>IFERROR(VLOOKUP(Banco_Nacion[[#This Row],[responsable]],Clientes_Proveedores[[Ruc / Dni]:[Razon Social]],2,0),"")</f>
        <v>EMPRESA CONSERVADORA AMBIENTAL DEL SUR E.I.R.L. - ECA SUR E.I.R.L.</v>
      </c>
      <c r="W541" s="19" t="str">
        <f>IF(Banco_Nacion[[#This Row],[tipo_mov]]="INGRESO",Banco_Nacion[[#This Row],[serie]]&amp;Banco_Nacion[[#This Row],[numero]]&amp;Banco_Nacion[[#This Row],[responsable]]&amp;Banco_Nacion[[#This Row],[monto]],"")</f>
        <v>FF02902045528391589</v>
      </c>
      <c r="X541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27708474</v>
      </c>
      <c r="Y541" s="3" t="str">
        <f>IFERROR(VLOOKUP(Banco_Nacion[[#This Row],[serie]]&amp;Banco_Nacion[[#This Row],[numero]]&amp;Banco_Nacion[[#This Row],[responsable]],[2]!Provision_CXC[[ID CXP]:[DETRACCION]],47,0),"")</f>
        <v/>
      </c>
      <c r="Z541" s="3"/>
      <c r="AA541" s="24" t="str">
        <f>IF(Banco_Nacion[[#This Row],[fecha]]&gt;0,TEXT(Banco_Nacion[[#This Row],[fecha]],"mmmm"),0)</f>
        <v>Agosto</v>
      </c>
    </row>
    <row r="542" spans="1:27" x14ac:dyDescent="0.3">
      <c r="A542" s="2">
        <f>IF(Banco_Nacion[[#This Row],[tipo_registro]]="R",COUNTIFS($C$1:$C541,"R")+1,"")</f>
        <v>541</v>
      </c>
      <c r="B542" s="19" t="str">
        <f t="shared" si="51"/>
        <v>B-Banco de la Nacion</v>
      </c>
      <c r="C542" s="3" t="s">
        <v>1330</v>
      </c>
      <c r="D542" s="14">
        <v>45874</v>
      </c>
      <c r="E542" s="5">
        <v>20455283915</v>
      </c>
      <c r="F542" s="5" t="s">
        <v>1303</v>
      </c>
      <c r="G542" s="6" t="s">
        <v>425</v>
      </c>
      <c r="H542" s="6"/>
      <c r="I542" s="6" t="s">
        <v>3302</v>
      </c>
      <c r="J542" s="6">
        <v>103</v>
      </c>
      <c r="K542" s="7" t="s">
        <v>5232</v>
      </c>
      <c r="L542" s="8">
        <v>27708474</v>
      </c>
      <c r="M542" s="8" t="str">
        <f t="shared" si="52"/>
        <v>PEN</v>
      </c>
      <c r="N542" s="13"/>
      <c r="O542" s="13">
        <v>53</v>
      </c>
      <c r="P542" s="3">
        <f t="shared" si="53"/>
        <v>53</v>
      </c>
      <c r="Q542" s="3">
        <f t="shared" si="54"/>
        <v>0</v>
      </c>
      <c r="R542" s="3">
        <f t="shared" si="50"/>
        <v>42530.220000000008</v>
      </c>
      <c r="S542" s="24" t="s">
        <v>1334</v>
      </c>
      <c r="T542" s="24" t="s">
        <v>1334</v>
      </c>
      <c r="U542" s="3"/>
      <c r="V542" s="19" t="str">
        <f>IFERROR(VLOOKUP(Banco_Nacion[[#This Row],[responsable]],Clientes_Proveedores[[Ruc / Dni]:[Razon Social]],2,0),"")</f>
        <v>EMPRESA CONSERVADORA AMBIENTAL DEL SUR E.I.R.L. - ECA SUR E.I.R.L.</v>
      </c>
      <c r="W542" s="19" t="str">
        <f>IF(Banco_Nacion[[#This Row],[tipo_mov]]="INGRESO",Banco_Nacion[[#This Row],[serie]]&amp;Banco_Nacion[[#This Row],[numero]]&amp;Banco_Nacion[[#This Row],[responsable]]&amp;Banco_Nacion[[#This Row],[monto]],"")</f>
        <v>FF021032045528391553</v>
      </c>
      <c r="X542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27708474</v>
      </c>
      <c r="Y542" s="3" t="str">
        <f>IFERROR(VLOOKUP(Banco_Nacion[[#This Row],[serie]]&amp;Banco_Nacion[[#This Row],[numero]]&amp;Banco_Nacion[[#This Row],[responsable]],[2]!Provision_CXC[[ID CXP]:[DETRACCION]],47,0),"")</f>
        <v/>
      </c>
      <c r="Z542" s="3"/>
      <c r="AA542" s="24" t="str">
        <f>IF(Banco_Nacion[[#This Row],[fecha]]&gt;0,TEXT(Banco_Nacion[[#This Row],[fecha]],"mmmm"),0)</f>
        <v>Agosto</v>
      </c>
    </row>
    <row r="543" spans="1:27" x14ac:dyDescent="0.3">
      <c r="A543" s="2">
        <f>IF(Banco_Nacion[[#This Row],[tipo_registro]]="R",COUNTIFS($C$1:$C542,"R")+1,"")</f>
        <v>542</v>
      </c>
      <c r="B543" s="19" t="str">
        <f t="shared" si="51"/>
        <v>B-Banco de la Nacion</v>
      </c>
      <c r="C543" s="3" t="s">
        <v>1330</v>
      </c>
      <c r="D543" s="14">
        <v>45874</v>
      </c>
      <c r="E543" s="5">
        <v>20455283915</v>
      </c>
      <c r="F543" s="5" t="s">
        <v>1303</v>
      </c>
      <c r="G543" s="6" t="s">
        <v>425</v>
      </c>
      <c r="H543" s="6"/>
      <c r="I543" s="6" t="s">
        <v>3302</v>
      </c>
      <c r="J543" s="6">
        <v>102</v>
      </c>
      <c r="K543" s="7" t="s">
        <v>5232</v>
      </c>
      <c r="L543" s="8">
        <v>27708474</v>
      </c>
      <c r="M543" s="8" t="str">
        <f t="shared" si="52"/>
        <v>PEN</v>
      </c>
      <c r="N543" s="13"/>
      <c r="O543" s="13">
        <v>113</v>
      </c>
      <c r="P543" s="3">
        <f t="shared" si="53"/>
        <v>113</v>
      </c>
      <c r="Q543" s="3">
        <f t="shared" si="54"/>
        <v>0</v>
      </c>
      <c r="R543" s="3">
        <f t="shared" si="50"/>
        <v>42643.220000000008</v>
      </c>
      <c r="S543" s="24" t="s">
        <v>1334</v>
      </c>
      <c r="T543" s="24" t="s">
        <v>1334</v>
      </c>
      <c r="U543" s="3"/>
      <c r="V543" s="19" t="str">
        <f>IFERROR(VLOOKUP(Banco_Nacion[[#This Row],[responsable]],Clientes_Proveedores[[Ruc / Dni]:[Razon Social]],2,0),"")</f>
        <v>EMPRESA CONSERVADORA AMBIENTAL DEL SUR E.I.R.L. - ECA SUR E.I.R.L.</v>
      </c>
      <c r="W543" s="19" t="str">
        <f>IF(Banco_Nacion[[#This Row],[tipo_mov]]="INGRESO",Banco_Nacion[[#This Row],[serie]]&amp;Banco_Nacion[[#This Row],[numero]]&amp;Banco_Nacion[[#This Row],[responsable]]&amp;Banco_Nacion[[#This Row],[monto]],"")</f>
        <v>FF0210220455283915113</v>
      </c>
      <c r="X543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27708474</v>
      </c>
      <c r="Y543" s="3" t="str">
        <f>IFERROR(VLOOKUP(Banco_Nacion[[#This Row],[serie]]&amp;Banco_Nacion[[#This Row],[numero]]&amp;Banco_Nacion[[#This Row],[responsable]],[2]!Provision_CXC[[ID CXP]:[DETRACCION]],47,0),"")</f>
        <v/>
      </c>
      <c r="Z543" s="3"/>
      <c r="AA543" s="24" t="str">
        <f>IF(Banco_Nacion[[#This Row],[fecha]]&gt;0,TEXT(Banco_Nacion[[#This Row],[fecha]],"mmmm"),0)</f>
        <v>Agosto</v>
      </c>
    </row>
    <row r="544" spans="1:27" x14ac:dyDescent="0.3">
      <c r="A544" s="2">
        <f>IF(Banco_Nacion[[#This Row],[tipo_registro]]="R",COUNTIFS($C$1:$C543,"R")+1,"")</f>
        <v>543</v>
      </c>
      <c r="B544" s="19" t="str">
        <f t="shared" si="51"/>
        <v>B-Banco de la Nacion</v>
      </c>
      <c r="C544" s="3" t="s">
        <v>1330</v>
      </c>
      <c r="D544" s="14">
        <v>45874</v>
      </c>
      <c r="E544" s="5">
        <v>20455283915</v>
      </c>
      <c r="F544" s="5" t="s">
        <v>1303</v>
      </c>
      <c r="G544" s="6" t="s">
        <v>425</v>
      </c>
      <c r="H544" s="6"/>
      <c r="I544" s="6" t="s">
        <v>3302</v>
      </c>
      <c r="J544" s="6">
        <v>105</v>
      </c>
      <c r="K544" s="7" t="s">
        <v>5232</v>
      </c>
      <c r="L544" s="8">
        <v>27708474</v>
      </c>
      <c r="M544" s="8" t="str">
        <f t="shared" si="52"/>
        <v>PEN</v>
      </c>
      <c r="N544" s="13"/>
      <c r="O544" s="13">
        <v>28</v>
      </c>
      <c r="P544" s="3">
        <f t="shared" si="53"/>
        <v>28</v>
      </c>
      <c r="Q544" s="3">
        <f t="shared" si="54"/>
        <v>0</v>
      </c>
      <c r="R544" s="3">
        <f t="shared" si="50"/>
        <v>42671.220000000008</v>
      </c>
      <c r="S544" s="24" t="s">
        <v>1334</v>
      </c>
      <c r="T544" s="24" t="s">
        <v>1334</v>
      </c>
      <c r="U544" s="3"/>
      <c r="V544" s="19" t="str">
        <f>IFERROR(VLOOKUP(Banco_Nacion[[#This Row],[responsable]],Clientes_Proveedores[[Ruc / Dni]:[Razon Social]],2,0),"")</f>
        <v>EMPRESA CONSERVADORA AMBIENTAL DEL SUR E.I.R.L. - ECA SUR E.I.R.L.</v>
      </c>
      <c r="W544" s="19" t="str">
        <f>IF(Banco_Nacion[[#This Row],[tipo_mov]]="INGRESO",Banco_Nacion[[#This Row],[serie]]&amp;Banco_Nacion[[#This Row],[numero]]&amp;Banco_Nacion[[#This Row],[responsable]]&amp;Banco_Nacion[[#This Row],[monto]],"")</f>
        <v>FF021052045528391528</v>
      </c>
      <c r="X544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27708474</v>
      </c>
      <c r="Y544" s="3" t="str">
        <f>IFERROR(VLOOKUP(Banco_Nacion[[#This Row],[serie]]&amp;Banco_Nacion[[#This Row],[numero]]&amp;Banco_Nacion[[#This Row],[responsable]],[2]!Provision_CXC[[ID CXP]:[DETRACCION]],47,0),"")</f>
        <v/>
      </c>
      <c r="Z544" s="3"/>
      <c r="AA544" s="24" t="str">
        <f>IF(Banco_Nacion[[#This Row],[fecha]]&gt;0,TEXT(Banco_Nacion[[#This Row],[fecha]],"mmmm"),0)</f>
        <v>Agosto</v>
      </c>
    </row>
    <row r="545" spans="1:27" x14ac:dyDescent="0.3">
      <c r="A545" s="2">
        <f>IF(Banco_Nacion[[#This Row],[tipo_registro]]="R",COUNTIFS($C$1:$C544,"R")+1,"")</f>
        <v>544</v>
      </c>
      <c r="B545" s="19" t="str">
        <f t="shared" si="51"/>
        <v>B-Banco de la Nacion</v>
      </c>
      <c r="C545" s="3" t="s">
        <v>1330</v>
      </c>
      <c r="D545" s="14">
        <v>45874</v>
      </c>
      <c r="E545" s="5">
        <v>20498309713</v>
      </c>
      <c r="F545" s="5" t="s">
        <v>1303</v>
      </c>
      <c r="G545" s="6" t="s">
        <v>425</v>
      </c>
      <c r="H545" s="6" t="s">
        <v>68</v>
      </c>
      <c r="I545" s="6" t="s">
        <v>3302</v>
      </c>
      <c r="J545" s="6">
        <v>99</v>
      </c>
      <c r="K545" s="7" t="s">
        <v>5232</v>
      </c>
      <c r="L545" s="8">
        <v>27708271</v>
      </c>
      <c r="M545" s="8" t="str">
        <f t="shared" si="52"/>
        <v>PEN</v>
      </c>
      <c r="N545" s="13"/>
      <c r="O545" s="13">
        <v>97</v>
      </c>
      <c r="P545" s="3">
        <f t="shared" si="53"/>
        <v>97</v>
      </c>
      <c r="Q545" s="3">
        <f t="shared" si="54"/>
        <v>0</v>
      </c>
      <c r="R545" s="3">
        <f t="shared" si="50"/>
        <v>42768.220000000008</v>
      </c>
      <c r="S545" s="24" t="s">
        <v>1334</v>
      </c>
      <c r="T545" s="24" t="s">
        <v>1334</v>
      </c>
      <c r="U545" s="3"/>
      <c r="V545" s="19" t="str">
        <f>IFERROR(VLOOKUP(Banco_Nacion[[#This Row],[responsable]],Clientes_Proveedores[[Ruc / Dni]:[Razon Social]],2,0),"")</f>
        <v>SCOMAR S.R.L</v>
      </c>
      <c r="W545" s="19" t="str">
        <f>IF(Banco_Nacion[[#This Row],[tipo_mov]]="INGRESO",Banco_Nacion[[#This Row],[serie]]&amp;Banco_Nacion[[#This Row],[numero]]&amp;Banco_Nacion[[#This Row],[responsable]]&amp;Banco_Nacion[[#This Row],[monto]],"")</f>
        <v>FF02992049830971397</v>
      </c>
      <c r="X545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27708271</v>
      </c>
      <c r="Y545" s="3" t="str">
        <f>IFERROR(VLOOKUP(Banco_Nacion[[#This Row],[serie]]&amp;Banco_Nacion[[#This Row],[numero]]&amp;Banco_Nacion[[#This Row],[responsable]],[2]!Provision_CXC[[ID CXP]:[DETRACCION]],47,0),"")</f>
        <v/>
      </c>
      <c r="Z545" s="3"/>
      <c r="AA545" s="24" t="str">
        <f>IF(Banco_Nacion[[#This Row],[fecha]]&gt;0,TEXT(Banco_Nacion[[#This Row],[fecha]],"mmmm"),0)</f>
        <v>Agosto</v>
      </c>
    </row>
    <row r="546" spans="1:27" x14ac:dyDescent="0.3">
      <c r="A546" s="2">
        <f>IF(Banco_Nacion[[#This Row],[tipo_registro]]="R",COUNTIFS($C$1:$C545,"R")+1,"")</f>
        <v>545</v>
      </c>
      <c r="B546" s="19" t="str">
        <f t="shared" ref="B546:B582" si="55">"B-Banco de la Nacion"</f>
        <v>B-Banco de la Nacion</v>
      </c>
      <c r="C546" s="3" t="s">
        <v>1330</v>
      </c>
      <c r="D546" s="14">
        <v>45876</v>
      </c>
      <c r="E546" s="5">
        <v>20100192064</v>
      </c>
      <c r="F546" s="5" t="s">
        <v>1303</v>
      </c>
      <c r="G546" s="6" t="s">
        <v>425</v>
      </c>
      <c r="H546" s="6" t="s">
        <v>68</v>
      </c>
      <c r="I546" s="6" t="s">
        <v>1784</v>
      </c>
      <c r="J546" s="6">
        <v>190</v>
      </c>
      <c r="K546" s="7" t="s">
        <v>5232</v>
      </c>
      <c r="L546" s="8">
        <v>84936346</v>
      </c>
      <c r="M546" s="8" t="str">
        <f t="shared" ref="M546:M582" si="56">"PEN"</f>
        <v>PEN</v>
      </c>
      <c r="N546" s="13"/>
      <c r="O546" s="13">
        <v>888</v>
      </c>
      <c r="P546" s="3">
        <f t="shared" ref="P546:P582" si="57">+IF(OR($F546="SALDO",$F546="INGRESO"),$O546,0)</f>
        <v>888</v>
      </c>
      <c r="Q546" s="3">
        <f t="shared" ref="Q546:Q582" si="58">+IF($F546="EGRESO",$O546,0)</f>
        <v>0</v>
      </c>
      <c r="R546" s="3">
        <f t="shared" si="50"/>
        <v>43656.220000000008</v>
      </c>
      <c r="S546" s="24" t="s">
        <v>1334</v>
      </c>
      <c r="T546" s="24" t="s">
        <v>1334</v>
      </c>
      <c r="U546" s="3"/>
      <c r="V546" s="19" t="str">
        <f>IFERROR(VLOOKUP(Banco_Nacion[[#This Row],[responsable]],Clientes_Proveedores[[Ruc / Dni]:[Razon Social]],2,0),"")</f>
        <v>MOLY-COP ADESUR S.A</v>
      </c>
      <c r="W546" s="19" t="str">
        <f>IF(Banco_Nacion[[#This Row],[tipo_mov]]="INGRESO",Banco_Nacion[[#This Row],[serie]]&amp;Banco_Nacion[[#This Row],[numero]]&amp;Banco_Nacion[[#This Row],[responsable]]&amp;Banco_Nacion[[#This Row],[monto]],"")</f>
        <v>FF0119020100192064888</v>
      </c>
      <c r="X546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84936346</v>
      </c>
      <c r="Y546" s="3" t="str">
        <f>IFERROR(VLOOKUP(Banco_Nacion[[#This Row],[serie]]&amp;Banco_Nacion[[#This Row],[numero]]&amp;Banco_Nacion[[#This Row],[responsable]],[2]!Provision_CXC[[ID CXP]:[DETRACCION]],47,0),"")</f>
        <v/>
      </c>
      <c r="Z546" s="3"/>
      <c r="AA546" s="24" t="str">
        <f>IF(Banco_Nacion[[#This Row],[fecha]]&gt;0,TEXT(Banco_Nacion[[#This Row],[fecha]],"mmmm"),0)</f>
        <v>Agosto</v>
      </c>
    </row>
    <row r="547" spans="1:27" x14ac:dyDescent="0.3">
      <c r="A547" s="2">
        <f>IF(Banco_Nacion[[#This Row],[tipo_registro]]="R",COUNTIFS($C$1:$C546,"R")+1,"")</f>
        <v>546</v>
      </c>
      <c r="B547" s="19" t="str">
        <f t="shared" si="55"/>
        <v>B-Banco de la Nacion</v>
      </c>
      <c r="C547" s="3" t="s">
        <v>1330</v>
      </c>
      <c r="D547" s="14">
        <v>45876</v>
      </c>
      <c r="E547" s="5">
        <v>20100192064</v>
      </c>
      <c r="F547" s="5" t="s">
        <v>1303</v>
      </c>
      <c r="G547" s="6" t="s">
        <v>425</v>
      </c>
      <c r="H547" s="6" t="s">
        <v>68</v>
      </c>
      <c r="I547" s="6" t="s">
        <v>1784</v>
      </c>
      <c r="J547" s="6">
        <v>189</v>
      </c>
      <c r="K547" s="7" t="s">
        <v>5232</v>
      </c>
      <c r="L547" s="8">
        <v>84936344</v>
      </c>
      <c r="M547" s="8" t="str">
        <f t="shared" si="56"/>
        <v>PEN</v>
      </c>
      <c r="N547" s="13"/>
      <c r="O547" s="13">
        <v>1476</v>
      </c>
      <c r="P547" s="3">
        <f t="shared" si="57"/>
        <v>1476</v>
      </c>
      <c r="Q547" s="3">
        <f t="shared" si="58"/>
        <v>0</v>
      </c>
      <c r="R547" s="3">
        <f t="shared" si="50"/>
        <v>45132.220000000008</v>
      </c>
      <c r="S547" s="24" t="s">
        <v>1334</v>
      </c>
      <c r="T547" s="24" t="s">
        <v>1334</v>
      </c>
      <c r="U547" s="3"/>
      <c r="V547" s="19" t="str">
        <f>IFERROR(VLOOKUP(Banco_Nacion[[#This Row],[responsable]],Clientes_Proveedores[[Ruc / Dni]:[Razon Social]],2,0),"")</f>
        <v>MOLY-COP ADESUR S.A</v>
      </c>
      <c r="W547" s="19" t="str">
        <f>IF(Banco_Nacion[[#This Row],[tipo_mov]]="INGRESO",Banco_Nacion[[#This Row],[serie]]&amp;Banco_Nacion[[#This Row],[numero]]&amp;Banco_Nacion[[#This Row],[responsable]]&amp;Banco_Nacion[[#This Row],[monto]],"")</f>
        <v>FF01189201001920641476</v>
      </c>
      <c r="X547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84936344</v>
      </c>
      <c r="Y547" s="3" t="str">
        <f>IFERROR(VLOOKUP(Banco_Nacion[[#This Row],[serie]]&amp;Banco_Nacion[[#This Row],[numero]]&amp;Banco_Nacion[[#This Row],[responsable]],[2]!Provision_CXC[[ID CXP]:[DETRACCION]],47,0),"")</f>
        <v/>
      </c>
      <c r="Z547" s="3"/>
      <c r="AA547" s="24" t="str">
        <f>IF(Banco_Nacion[[#This Row],[fecha]]&gt;0,TEXT(Banco_Nacion[[#This Row],[fecha]],"mmmm"),0)</f>
        <v>Agosto</v>
      </c>
    </row>
    <row r="548" spans="1:27" x14ac:dyDescent="0.3">
      <c r="A548" s="2">
        <f>IF(Banco_Nacion[[#This Row],[tipo_registro]]="R",COUNTIFS($C$1:$C547,"R")+1,"")</f>
        <v>547</v>
      </c>
      <c r="B548" s="19" t="str">
        <f t="shared" si="55"/>
        <v>B-Banco de la Nacion</v>
      </c>
      <c r="C548" s="3" t="s">
        <v>1330</v>
      </c>
      <c r="D548" s="14">
        <v>45877</v>
      </c>
      <c r="E548" s="5">
        <v>20206432692</v>
      </c>
      <c r="F548" s="5" t="s">
        <v>1303</v>
      </c>
      <c r="G548" s="6" t="s">
        <v>425</v>
      </c>
      <c r="H548" s="6" t="s">
        <v>68</v>
      </c>
      <c r="I548" s="6" t="s">
        <v>3302</v>
      </c>
      <c r="J548" s="6">
        <v>95</v>
      </c>
      <c r="K548" s="7" t="s">
        <v>5232</v>
      </c>
      <c r="L548" s="8">
        <v>85204902</v>
      </c>
      <c r="M548" s="8" t="str">
        <f t="shared" si="56"/>
        <v>PEN</v>
      </c>
      <c r="N548" s="13"/>
      <c r="O548" s="13">
        <v>56</v>
      </c>
      <c r="P548" s="3">
        <f t="shared" si="57"/>
        <v>56</v>
      </c>
      <c r="Q548" s="3">
        <f t="shared" si="58"/>
        <v>0</v>
      </c>
      <c r="R548" s="3">
        <f t="shared" si="50"/>
        <v>45188.220000000008</v>
      </c>
      <c r="S548" s="24" t="s">
        <v>1334</v>
      </c>
      <c r="T548" s="24" t="s">
        <v>1334</v>
      </c>
      <c r="U548" s="3"/>
      <c r="V548" s="19" t="str">
        <f>IFERROR(VLOOKUP(Banco_Nacion[[#This Row],[responsable]],Clientes_Proveedores[[Ruc / Dni]:[Razon Social]],2,0),"")</f>
        <v>LATINOAMERICANA EIR LTDA</v>
      </c>
      <c r="W548" s="19" t="str">
        <f>IF(Banco_Nacion[[#This Row],[tipo_mov]]="INGRESO",Banco_Nacion[[#This Row],[serie]]&amp;Banco_Nacion[[#This Row],[numero]]&amp;Banco_Nacion[[#This Row],[responsable]]&amp;Banco_Nacion[[#This Row],[monto]],"")</f>
        <v>FF02952020643269256</v>
      </c>
      <c r="X548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85204902</v>
      </c>
      <c r="Y548" s="3" t="str">
        <f>IFERROR(VLOOKUP(Banco_Nacion[[#This Row],[serie]]&amp;Banco_Nacion[[#This Row],[numero]]&amp;Banco_Nacion[[#This Row],[responsable]],[2]!Provision_CXC[[ID CXP]:[DETRACCION]],47,0),"")</f>
        <v/>
      </c>
      <c r="Z548" s="3"/>
      <c r="AA548" s="24" t="str">
        <f>IF(Banco_Nacion[[#This Row],[fecha]]&gt;0,TEXT(Banco_Nacion[[#This Row],[fecha]],"mmmm"),0)</f>
        <v>Agosto</v>
      </c>
    </row>
    <row r="549" spans="1:27" x14ac:dyDescent="0.3">
      <c r="A549" s="2">
        <f>IF(Banco_Nacion[[#This Row],[tipo_registro]]="R",COUNTIFS($C$1:$C548,"R")+1,"")</f>
        <v>548</v>
      </c>
      <c r="B549" s="19" t="str">
        <f t="shared" si="55"/>
        <v>B-Banco de la Nacion</v>
      </c>
      <c r="C549" s="3" t="s">
        <v>1330</v>
      </c>
      <c r="D549" s="14">
        <v>45877</v>
      </c>
      <c r="E549" s="5">
        <v>20206432692</v>
      </c>
      <c r="F549" s="5" t="s">
        <v>1303</v>
      </c>
      <c r="G549" s="6" t="s">
        <v>425</v>
      </c>
      <c r="H549" s="6" t="s">
        <v>68</v>
      </c>
      <c r="I549" s="6" t="s">
        <v>3302</v>
      </c>
      <c r="J549" s="6">
        <v>87</v>
      </c>
      <c r="K549" s="7" t="s">
        <v>5232</v>
      </c>
      <c r="L549" s="8">
        <v>85204898</v>
      </c>
      <c r="M549" s="8" t="str">
        <f t="shared" si="56"/>
        <v>PEN</v>
      </c>
      <c r="N549" s="13"/>
      <c r="O549" s="13">
        <v>68</v>
      </c>
      <c r="P549" s="3">
        <f t="shared" si="57"/>
        <v>68</v>
      </c>
      <c r="Q549" s="3">
        <f t="shared" si="58"/>
        <v>0</v>
      </c>
      <c r="R549" s="3">
        <f t="shared" si="50"/>
        <v>45256.220000000008</v>
      </c>
      <c r="S549" s="24" t="s">
        <v>1334</v>
      </c>
      <c r="T549" s="24" t="s">
        <v>1334</v>
      </c>
      <c r="U549" s="3"/>
      <c r="V549" s="19" t="str">
        <f>IFERROR(VLOOKUP(Banco_Nacion[[#This Row],[responsable]],Clientes_Proveedores[[Ruc / Dni]:[Razon Social]],2,0),"")</f>
        <v>LATINOAMERICANA EIR LTDA</v>
      </c>
      <c r="W549" s="19" t="str">
        <f>IF(Banco_Nacion[[#This Row],[tipo_mov]]="INGRESO",Banco_Nacion[[#This Row],[serie]]&amp;Banco_Nacion[[#This Row],[numero]]&amp;Banco_Nacion[[#This Row],[responsable]]&amp;Banco_Nacion[[#This Row],[monto]],"")</f>
        <v>FF02872020643269268</v>
      </c>
      <c r="X549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85204898</v>
      </c>
      <c r="Y549" s="3" t="str">
        <f>IFERROR(VLOOKUP(Banco_Nacion[[#This Row],[serie]]&amp;Banco_Nacion[[#This Row],[numero]]&amp;Banco_Nacion[[#This Row],[responsable]],[2]!Provision_CXC[[ID CXP]:[DETRACCION]],47,0),"")</f>
        <v/>
      </c>
      <c r="Z549" s="3"/>
      <c r="AA549" s="24" t="str">
        <f>IF(Banco_Nacion[[#This Row],[fecha]]&gt;0,TEXT(Banco_Nacion[[#This Row],[fecha]],"mmmm"),0)</f>
        <v>Agosto</v>
      </c>
    </row>
    <row r="550" spans="1:27" x14ac:dyDescent="0.3">
      <c r="A550" s="2">
        <f>IF(Banco_Nacion[[#This Row],[tipo_registro]]="R",COUNTIFS($C$1:$C549,"R")+1,"")</f>
        <v>549</v>
      </c>
      <c r="B550" s="19" t="str">
        <f t="shared" si="55"/>
        <v>B-Banco de la Nacion</v>
      </c>
      <c r="C550" s="3" t="s">
        <v>1330</v>
      </c>
      <c r="D550" s="14">
        <v>45877</v>
      </c>
      <c r="E550" s="5">
        <v>20402885549</v>
      </c>
      <c r="F550" s="5" t="s">
        <v>1303</v>
      </c>
      <c r="G550" s="6"/>
      <c r="H550" s="6"/>
      <c r="I550" s="6" t="s">
        <v>3302</v>
      </c>
      <c r="J550" s="6">
        <v>107</v>
      </c>
      <c r="K550" s="7" t="s">
        <v>5232</v>
      </c>
      <c r="L550" s="8">
        <v>85130689</v>
      </c>
      <c r="M550" s="8" t="str">
        <f t="shared" si="56"/>
        <v>PEN</v>
      </c>
      <c r="N550" s="13"/>
      <c r="O550" s="13">
        <v>4000</v>
      </c>
      <c r="P550" s="3">
        <f t="shared" si="57"/>
        <v>4000</v>
      </c>
      <c r="Q550" s="3">
        <f t="shared" si="58"/>
        <v>0</v>
      </c>
      <c r="R550" s="3">
        <f t="shared" si="50"/>
        <v>49256.220000000008</v>
      </c>
      <c r="S550" s="24" t="s">
        <v>1334</v>
      </c>
      <c r="T550" s="24" t="s">
        <v>1334</v>
      </c>
      <c r="U550" s="3"/>
      <c r="V550" s="19" t="str">
        <f>IFERROR(VLOOKUP(Banco_Nacion[[#This Row],[responsable]],Clientes_Proveedores[[Ruc / Dni]:[Razon Social]],2,0),"")</f>
        <v>EMPRESA SIDERURGICA DEL PERU S.A.A.</v>
      </c>
      <c r="W550" s="19" t="str">
        <f>IF(Banco_Nacion[[#This Row],[tipo_mov]]="INGRESO",Banco_Nacion[[#This Row],[serie]]&amp;Banco_Nacion[[#This Row],[numero]]&amp;Banco_Nacion[[#This Row],[responsable]]&amp;Banco_Nacion[[#This Row],[monto]],"")</f>
        <v>FF02107204028855494000</v>
      </c>
      <c r="X550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85130689</v>
      </c>
      <c r="Y550" s="3" t="str">
        <f>IFERROR(VLOOKUP(Banco_Nacion[[#This Row],[serie]]&amp;Banco_Nacion[[#This Row],[numero]]&amp;Banco_Nacion[[#This Row],[responsable]],[2]!Provision_CXC[[ID CXP]:[DETRACCION]],47,0),"")</f>
        <v/>
      </c>
      <c r="Z550" s="3"/>
      <c r="AA550" s="24" t="str">
        <f>IF(Banco_Nacion[[#This Row],[fecha]]&gt;0,TEXT(Banco_Nacion[[#This Row],[fecha]],"mmmm"),0)</f>
        <v>Agosto</v>
      </c>
    </row>
    <row r="551" spans="1:27" x14ac:dyDescent="0.3">
      <c r="A551" s="2">
        <f>IF(Banco_Nacion[[#This Row],[tipo_registro]]="R",COUNTIFS($C$1:$C550,"R")+1,"")</f>
        <v>550</v>
      </c>
      <c r="B551" s="19" t="str">
        <f t="shared" si="55"/>
        <v>B-Banco de la Nacion</v>
      </c>
      <c r="C551" s="3" t="s">
        <v>1330</v>
      </c>
      <c r="D551" s="14">
        <v>45877</v>
      </c>
      <c r="E551" s="5">
        <v>20603065906</v>
      </c>
      <c r="F551" s="5" t="s">
        <v>1303</v>
      </c>
      <c r="G551" s="6" t="s">
        <v>425</v>
      </c>
      <c r="H551" s="6" t="s">
        <v>68</v>
      </c>
      <c r="I551" s="6" t="s">
        <v>3381</v>
      </c>
      <c r="J551" s="6">
        <v>41</v>
      </c>
      <c r="K551" s="7" t="s">
        <v>5232</v>
      </c>
      <c r="L551" s="8">
        <v>85102790</v>
      </c>
      <c r="M551" s="8" t="str">
        <f t="shared" si="56"/>
        <v>PEN</v>
      </c>
      <c r="N551" s="13"/>
      <c r="O551" s="13">
        <v>1078</v>
      </c>
      <c r="P551" s="3">
        <f t="shared" si="57"/>
        <v>1078</v>
      </c>
      <c r="Q551" s="3">
        <f t="shared" si="58"/>
        <v>0</v>
      </c>
      <c r="R551" s="3">
        <f t="shared" si="50"/>
        <v>50334.220000000008</v>
      </c>
      <c r="S551" s="24" t="s">
        <v>1334</v>
      </c>
      <c r="T551" s="24" t="s">
        <v>1334</v>
      </c>
      <c r="U551" s="3"/>
      <c r="V551" s="19" t="str">
        <f>IFERROR(VLOOKUP(Banco_Nacion[[#This Row],[responsable]],Clientes_Proveedores[[Ruc / Dni]:[Razon Social]],2,0),"")</f>
        <v>COMERCIO SERVICIOS E INVERSIONES YANCE E.I.R.L.</v>
      </c>
      <c r="W551" s="19" t="str">
        <f>IF(Banco_Nacion[[#This Row],[tipo_mov]]="INGRESO",Banco_Nacion[[#This Row],[serie]]&amp;Banco_Nacion[[#This Row],[numero]]&amp;Banco_Nacion[[#This Row],[responsable]]&amp;Banco_Nacion[[#This Row],[monto]],"")</f>
        <v>FF0541206030659061078</v>
      </c>
      <c r="X551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85102790</v>
      </c>
      <c r="Y551" s="3" t="str">
        <f>IFERROR(VLOOKUP(Banco_Nacion[[#This Row],[serie]]&amp;Banco_Nacion[[#This Row],[numero]]&amp;Banco_Nacion[[#This Row],[responsable]],[2]!Provision_CXC[[ID CXP]:[DETRACCION]],47,0),"")</f>
        <v/>
      </c>
      <c r="Z551" s="3"/>
      <c r="AA551" s="24" t="str">
        <f>IF(Banco_Nacion[[#This Row],[fecha]]&gt;0,TEXT(Banco_Nacion[[#This Row],[fecha]],"mmmm"),0)</f>
        <v>Agosto</v>
      </c>
    </row>
    <row r="552" spans="1:27" x14ac:dyDescent="0.3">
      <c r="A552" s="2">
        <f>IF(Banco_Nacion[[#This Row],[tipo_registro]]="R",COUNTIFS($C$1:$C551,"R")+1,"")</f>
        <v>551</v>
      </c>
      <c r="B552" s="19" t="str">
        <f t="shared" si="55"/>
        <v>B-Banco de la Nacion</v>
      </c>
      <c r="C552" s="3" t="s">
        <v>1330</v>
      </c>
      <c r="D552" s="14">
        <v>45877</v>
      </c>
      <c r="E552" s="5">
        <v>20603065906</v>
      </c>
      <c r="F552" s="5" t="s">
        <v>1303</v>
      </c>
      <c r="G552" s="6" t="s">
        <v>425</v>
      </c>
      <c r="H552" s="6" t="s">
        <v>68</v>
      </c>
      <c r="I552" s="6" t="s">
        <v>3381</v>
      </c>
      <c r="J552" s="6">
        <v>44</v>
      </c>
      <c r="K552" s="7" t="s">
        <v>5232</v>
      </c>
      <c r="L552" s="8">
        <v>85102789</v>
      </c>
      <c r="M552" s="8" t="str">
        <f t="shared" si="56"/>
        <v>PEN</v>
      </c>
      <c r="N552" s="13"/>
      <c r="O552" s="13">
        <v>359</v>
      </c>
      <c r="P552" s="3">
        <f t="shared" si="57"/>
        <v>359</v>
      </c>
      <c r="Q552" s="3">
        <f t="shared" si="58"/>
        <v>0</v>
      </c>
      <c r="R552" s="3">
        <f t="shared" si="50"/>
        <v>50693.220000000008</v>
      </c>
      <c r="S552" s="24" t="s">
        <v>1334</v>
      </c>
      <c r="T552" s="24" t="s">
        <v>1334</v>
      </c>
      <c r="U552" s="3"/>
      <c r="V552" s="19" t="str">
        <f>IFERROR(VLOOKUP(Banco_Nacion[[#This Row],[responsable]],Clientes_Proveedores[[Ruc / Dni]:[Razon Social]],2,0),"")</f>
        <v>COMERCIO SERVICIOS E INVERSIONES YANCE E.I.R.L.</v>
      </c>
      <c r="W552" s="19" t="str">
        <f>IF(Banco_Nacion[[#This Row],[tipo_mov]]="INGRESO",Banco_Nacion[[#This Row],[serie]]&amp;Banco_Nacion[[#This Row],[numero]]&amp;Banco_Nacion[[#This Row],[responsable]]&amp;Banco_Nacion[[#This Row],[monto]],"")</f>
        <v>FF054420603065906359</v>
      </c>
      <c r="X552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85102789</v>
      </c>
      <c r="Y552" s="3" t="str">
        <f>IFERROR(VLOOKUP(Banco_Nacion[[#This Row],[serie]]&amp;Banco_Nacion[[#This Row],[numero]]&amp;Banco_Nacion[[#This Row],[responsable]],[2]!Provision_CXC[[ID CXP]:[DETRACCION]],47,0),"")</f>
        <v/>
      </c>
      <c r="Z552" s="3"/>
      <c r="AA552" s="24" t="str">
        <f>IF(Banco_Nacion[[#This Row],[fecha]]&gt;0,TEXT(Banco_Nacion[[#This Row],[fecha]],"mmmm"),0)</f>
        <v>Agosto</v>
      </c>
    </row>
    <row r="553" spans="1:27" x14ac:dyDescent="0.3">
      <c r="A553" s="2">
        <f>IF(Banco_Nacion[[#This Row],[tipo_registro]]="R",COUNTIFS($C$1:$C552,"R")+1,"")</f>
        <v>552</v>
      </c>
      <c r="B553" s="19" t="str">
        <f t="shared" si="55"/>
        <v>B-Banco de la Nacion</v>
      </c>
      <c r="C553" s="3" t="s">
        <v>1330</v>
      </c>
      <c r="D553" s="14">
        <v>45880</v>
      </c>
      <c r="E553" s="5">
        <v>20121393736</v>
      </c>
      <c r="F553" s="5" t="s">
        <v>1303</v>
      </c>
      <c r="G553" s="6" t="s">
        <v>425</v>
      </c>
      <c r="H553" s="6" t="s">
        <v>68</v>
      </c>
      <c r="I553" s="6" t="s">
        <v>1784</v>
      </c>
      <c r="J553" s="6">
        <v>186</v>
      </c>
      <c r="K553" s="7" t="s">
        <v>5232</v>
      </c>
      <c r="L553" s="8">
        <v>85686131</v>
      </c>
      <c r="M553" s="8" t="str">
        <f t="shared" si="56"/>
        <v>PEN</v>
      </c>
      <c r="N553" s="13"/>
      <c r="O553" s="13">
        <v>119</v>
      </c>
      <c r="P553" s="3">
        <f t="shared" si="57"/>
        <v>119</v>
      </c>
      <c r="Q553" s="3">
        <f t="shared" si="58"/>
        <v>0</v>
      </c>
      <c r="R553" s="3">
        <f t="shared" si="50"/>
        <v>50812.220000000008</v>
      </c>
      <c r="S553" s="24" t="s">
        <v>1334</v>
      </c>
      <c r="T553" s="24" t="s">
        <v>1334</v>
      </c>
      <c r="U553" s="3"/>
      <c r="V553" s="19" t="str">
        <f>IFERROR(VLOOKUP(Banco_Nacion[[#This Row],[responsable]],Clientes_Proveedores[[Ruc / Dni]:[Razon Social]],2,0),"")</f>
        <v>EMPRESA YURA SRL</v>
      </c>
      <c r="W553" s="19" t="str">
        <f>IF(Banco_Nacion[[#This Row],[tipo_mov]]="INGRESO",Banco_Nacion[[#This Row],[serie]]&amp;Banco_Nacion[[#This Row],[numero]]&amp;Banco_Nacion[[#This Row],[responsable]]&amp;Banco_Nacion[[#This Row],[monto]],"")</f>
        <v>FF0118620121393736119</v>
      </c>
      <c r="X553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85686131</v>
      </c>
      <c r="Y553" s="3" t="str">
        <f>IFERROR(VLOOKUP(Banco_Nacion[[#This Row],[serie]]&amp;Banco_Nacion[[#This Row],[numero]]&amp;Banco_Nacion[[#This Row],[responsable]],[2]!Provision_CXC[[ID CXP]:[DETRACCION]],47,0),"")</f>
        <v/>
      </c>
      <c r="Z553" s="3"/>
      <c r="AA553" s="24" t="str">
        <f>IF(Banco_Nacion[[#This Row],[fecha]]&gt;0,TEXT(Banco_Nacion[[#This Row],[fecha]],"mmmm"),0)</f>
        <v>Agosto</v>
      </c>
    </row>
    <row r="554" spans="1:27" x14ac:dyDescent="0.3">
      <c r="A554" s="2">
        <f>IF(Banco_Nacion[[#This Row],[tipo_registro]]="R",COUNTIFS($C$1:$C553,"R")+1,"")</f>
        <v>553</v>
      </c>
      <c r="B554" s="19" t="str">
        <f t="shared" si="55"/>
        <v>B-Banco de la Nacion</v>
      </c>
      <c r="C554" s="3" t="s">
        <v>1330</v>
      </c>
      <c r="D554" s="14">
        <v>45880</v>
      </c>
      <c r="E554" s="5">
        <v>20546530184</v>
      </c>
      <c r="F554" s="5" t="s">
        <v>1303</v>
      </c>
      <c r="G554" s="6" t="s">
        <v>425</v>
      </c>
      <c r="H554" s="6" t="s">
        <v>68</v>
      </c>
      <c r="I554" s="6" t="s">
        <v>1784</v>
      </c>
      <c r="J554" s="6">
        <v>184</v>
      </c>
      <c r="K554" s="7" t="s">
        <v>5232</v>
      </c>
      <c r="L554" s="8">
        <v>85656145</v>
      </c>
      <c r="M554" s="8" t="str">
        <f t="shared" si="56"/>
        <v>PEN</v>
      </c>
      <c r="N554" s="13"/>
      <c r="O554" s="13">
        <v>901</v>
      </c>
      <c r="P554" s="3">
        <f t="shared" si="57"/>
        <v>901</v>
      </c>
      <c r="Q554" s="3">
        <f t="shared" si="58"/>
        <v>0</v>
      </c>
      <c r="R554" s="3">
        <f t="shared" si="50"/>
        <v>51713.220000000008</v>
      </c>
      <c r="S554" s="24" t="s">
        <v>1334</v>
      </c>
      <c r="T554" s="24" t="s">
        <v>1334</v>
      </c>
      <c r="U554" s="3"/>
      <c r="V554" s="19" t="str">
        <f>IFERROR(VLOOKUP(Banco_Nacion[[#This Row],[responsable]],Clientes_Proveedores[[Ruc / Dni]:[Razon Social]],2,0),"")</f>
        <v>INGENIERIA SERVICIOS Y SOLUCIONES APLICADAS ISSA PERU S.A.C.</v>
      </c>
      <c r="W554" s="19" t="str">
        <f>IF(Banco_Nacion[[#This Row],[tipo_mov]]="INGRESO",Banco_Nacion[[#This Row],[serie]]&amp;Banco_Nacion[[#This Row],[numero]]&amp;Banco_Nacion[[#This Row],[responsable]]&amp;Banco_Nacion[[#This Row],[monto]],"")</f>
        <v>FF0118420546530184901</v>
      </c>
      <c r="X554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85656145</v>
      </c>
      <c r="Y554" s="3" t="str">
        <f>IFERROR(VLOOKUP(Banco_Nacion[[#This Row],[serie]]&amp;Banco_Nacion[[#This Row],[numero]]&amp;Banco_Nacion[[#This Row],[responsable]],[2]!Provision_CXC[[ID CXP]:[DETRACCION]],47,0),"")</f>
        <v/>
      </c>
      <c r="Z554" s="3"/>
      <c r="AA554" s="24" t="str">
        <f>IF(Banco_Nacion[[#This Row],[fecha]]&gt;0,TEXT(Banco_Nacion[[#This Row],[fecha]],"mmmm"),0)</f>
        <v>Agosto</v>
      </c>
    </row>
    <row r="555" spans="1:27" x14ac:dyDescent="0.3">
      <c r="A555" s="2">
        <f>IF(Banco_Nacion[[#This Row],[tipo_registro]]="R",COUNTIFS($C$1:$C554,"R")+1,"")</f>
        <v>554</v>
      </c>
      <c r="B555" s="19" t="str">
        <f t="shared" si="55"/>
        <v>B-Banco de la Nacion</v>
      </c>
      <c r="C555" s="3" t="s">
        <v>1330</v>
      </c>
      <c r="D555" s="14">
        <v>45880</v>
      </c>
      <c r="E555" s="5">
        <v>20100211115</v>
      </c>
      <c r="F555" s="5" t="s">
        <v>1303</v>
      </c>
      <c r="G555" s="6"/>
      <c r="H555" s="6"/>
      <c r="I555" s="6" t="s">
        <v>1784</v>
      </c>
      <c r="J555" s="6">
        <v>191</v>
      </c>
      <c r="K555" s="7" t="s">
        <v>5232</v>
      </c>
      <c r="L555" s="8">
        <v>85627673</v>
      </c>
      <c r="M555" s="8" t="str">
        <f t="shared" si="56"/>
        <v>PEN</v>
      </c>
      <c r="N555" s="13"/>
      <c r="O555" s="13">
        <v>638</v>
      </c>
      <c r="P555" s="3">
        <f t="shared" si="57"/>
        <v>638</v>
      </c>
      <c r="Q555" s="3">
        <f t="shared" si="58"/>
        <v>0</v>
      </c>
      <c r="R555" s="3">
        <f t="shared" si="50"/>
        <v>52351.220000000008</v>
      </c>
      <c r="S555" s="24" t="s">
        <v>1334</v>
      </c>
      <c r="T555" s="24" t="s">
        <v>1334</v>
      </c>
      <c r="U555" s="3"/>
      <c r="V555" s="19" t="str">
        <f>IFERROR(VLOOKUP(Banco_Nacion[[#This Row],[responsable]],Clientes_Proveedores[[Ruc / Dni]:[Razon Social]],2,0),"")</f>
        <v>FAB DE CHOCOLATES LA IBERICA S.A.</v>
      </c>
      <c r="W555" s="19" t="str">
        <f>IF(Banco_Nacion[[#This Row],[tipo_mov]]="INGRESO",Banco_Nacion[[#This Row],[serie]]&amp;Banco_Nacion[[#This Row],[numero]]&amp;Banco_Nacion[[#This Row],[responsable]]&amp;Banco_Nacion[[#This Row],[monto]],"")</f>
        <v>FF0119120100211115638</v>
      </c>
      <c r="X555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85627673</v>
      </c>
      <c r="Y555" s="3" t="str">
        <f>IFERROR(VLOOKUP(Banco_Nacion[[#This Row],[serie]]&amp;Banco_Nacion[[#This Row],[numero]]&amp;Banco_Nacion[[#This Row],[responsable]],[2]!Provision_CXC[[ID CXP]:[DETRACCION]],47,0),"")</f>
        <v/>
      </c>
      <c r="Z555" s="3"/>
      <c r="AA555" s="24" t="str">
        <f>IF(Banco_Nacion[[#This Row],[fecha]]&gt;0,TEXT(Banco_Nacion[[#This Row],[fecha]],"mmmm"),0)</f>
        <v>Agosto</v>
      </c>
    </row>
    <row r="556" spans="1:27" x14ac:dyDescent="0.3">
      <c r="A556" s="2">
        <f>IF(Banco_Nacion[[#This Row],[tipo_registro]]="R",COUNTIFS($C$1:$C555,"R")+1,"")</f>
        <v>555</v>
      </c>
      <c r="B556" s="19" t="str">
        <f t="shared" si="55"/>
        <v>B-Banco de la Nacion</v>
      </c>
      <c r="C556" s="3" t="s">
        <v>1330</v>
      </c>
      <c r="D556" s="14">
        <v>45880</v>
      </c>
      <c r="E556" s="5">
        <v>20100211115</v>
      </c>
      <c r="F556" s="5" t="s">
        <v>1303</v>
      </c>
      <c r="G556" s="6"/>
      <c r="H556" s="6"/>
      <c r="I556" s="6" t="s">
        <v>1784</v>
      </c>
      <c r="J556" s="6">
        <v>192</v>
      </c>
      <c r="K556" s="7" t="s">
        <v>5232</v>
      </c>
      <c r="L556" s="8">
        <v>85627672</v>
      </c>
      <c r="M556" s="8" t="str">
        <f t="shared" si="56"/>
        <v>PEN</v>
      </c>
      <c r="N556" s="13"/>
      <c r="O556" s="13">
        <v>189</v>
      </c>
      <c r="P556" s="3">
        <f t="shared" si="57"/>
        <v>189</v>
      </c>
      <c r="Q556" s="3">
        <f t="shared" si="58"/>
        <v>0</v>
      </c>
      <c r="R556" s="3">
        <f t="shared" si="50"/>
        <v>52540.220000000008</v>
      </c>
      <c r="S556" s="24" t="s">
        <v>1334</v>
      </c>
      <c r="T556" s="24" t="s">
        <v>1334</v>
      </c>
      <c r="U556" s="3"/>
      <c r="V556" s="19" t="str">
        <f>IFERROR(VLOOKUP(Banco_Nacion[[#This Row],[responsable]],Clientes_Proveedores[[Ruc / Dni]:[Razon Social]],2,0),"")</f>
        <v>FAB DE CHOCOLATES LA IBERICA S.A.</v>
      </c>
      <c r="W556" s="19" t="str">
        <f>IF(Banco_Nacion[[#This Row],[tipo_mov]]="INGRESO",Banco_Nacion[[#This Row],[serie]]&amp;Banco_Nacion[[#This Row],[numero]]&amp;Banco_Nacion[[#This Row],[responsable]]&amp;Banco_Nacion[[#This Row],[monto]],"")</f>
        <v>FF0119220100211115189</v>
      </c>
      <c r="X556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85627672</v>
      </c>
      <c r="Y556" s="3" t="str">
        <f>IFERROR(VLOOKUP(Banco_Nacion[[#This Row],[serie]]&amp;Banco_Nacion[[#This Row],[numero]]&amp;Banco_Nacion[[#This Row],[responsable]],[2]!Provision_CXC[[ID CXP]:[DETRACCION]],47,0),"")</f>
        <v/>
      </c>
      <c r="Z556" s="3"/>
      <c r="AA556" s="24" t="str">
        <f>IF(Banco_Nacion[[#This Row],[fecha]]&gt;0,TEXT(Banco_Nacion[[#This Row],[fecha]],"mmmm"),0)</f>
        <v>Agosto</v>
      </c>
    </row>
    <row r="557" spans="1:27" x14ac:dyDescent="0.3">
      <c r="A557" s="2">
        <f>IF(Banco_Nacion[[#This Row],[tipo_registro]]="R",COUNTIFS($C$1:$C556,"R")+1,"")</f>
        <v>556</v>
      </c>
      <c r="B557" s="19" t="str">
        <f t="shared" si="55"/>
        <v>B-Banco de la Nacion</v>
      </c>
      <c r="C557" s="3" t="s">
        <v>1330</v>
      </c>
      <c r="D557" s="14">
        <v>45880</v>
      </c>
      <c r="E557" s="5">
        <v>20100211115</v>
      </c>
      <c r="F557" s="5" t="s">
        <v>1303</v>
      </c>
      <c r="G557" s="6"/>
      <c r="H557" s="6"/>
      <c r="I557" s="6" t="s">
        <v>1784</v>
      </c>
      <c r="J557" s="6">
        <v>194</v>
      </c>
      <c r="K557" s="7" t="s">
        <v>5232</v>
      </c>
      <c r="L557" s="8">
        <v>85627671</v>
      </c>
      <c r="M557" s="8" t="str">
        <f t="shared" si="56"/>
        <v>PEN</v>
      </c>
      <c r="N557" s="13"/>
      <c r="O557" s="13">
        <v>59</v>
      </c>
      <c r="P557" s="3">
        <f t="shared" si="57"/>
        <v>59</v>
      </c>
      <c r="Q557" s="3">
        <f t="shared" si="58"/>
        <v>0</v>
      </c>
      <c r="R557" s="3">
        <f t="shared" si="50"/>
        <v>52599.220000000008</v>
      </c>
      <c r="S557" s="24" t="s">
        <v>1334</v>
      </c>
      <c r="T557" s="24" t="s">
        <v>1334</v>
      </c>
      <c r="U557" s="3"/>
      <c r="V557" s="19" t="str">
        <f>IFERROR(VLOOKUP(Banco_Nacion[[#This Row],[responsable]],Clientes_Proveedores[[Ruc / Dni]:[Razon Social]],2,0),"")</f>
        <v>FAB DE CHOCOLATES LA IBERICA S.A.</v>
      </c>
      <c r="W557" s="19" t="str">
        <f>IF(Banco_Nacion[[#This Row],[tipo_mov]]="INGRESO",Banco_Nacion[[#This Row],[serie]]&amp;Banco_Nacion[[#This Row],[numero]]&amp;Banco_Nacion[[#This Row],[responsable]]&amp;Banco_Nacion[[#This Row],[monto]],"")</f>
        <v>FF011942010021111559</v>
      </c>
      <c r="X557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85627671</v>
      </c>
      <c r="Y557" s="3" t="str">
        <f>IFERROR(VLOOKUP(Banco_Nacion[[#This Row],[serie]]&amp;Banco_Nacion[[#This Row],[numero]]&amp;Banco_Nacion[[#This Row],[responsable]],[2]!Provision_CXC[[ID CXP]:[DETRACCION]],47,0),"")</f>
        <v/>
      </c>
      <c r="Z557" s="3"/>
      <c r="AA557" s="24" t="str">
        <f>IF(Banco_Nacion[[#This Row],[fecha]]&gt;0,TEXT(Banco_Nacion[[#This Row],[fecha]],"mmmm"),0)</f>
        <v>Agosto</v>
      </c>
    </row>
    <row r="558" spans="1:27" x14ac:dyDescent="0.3">
      <c r="A558" s="2">
        <f>IF(Banco_Nacion[[#This Row],[tipo_registro]]="R",COUNTIFS($C$1:$C557,"R")+1,"")</f>
        <v>557</v>
      </c>
      <c r="B558" s="19" t="str">
        <f t="shared" si="55"/>
        <v>B-Banco de la Nacion</v>
      </c>
      <c r="C558" s="3" t="s">
        <v>1330</v>
      </c>
      <c r="D558" s="14">
        <v>45880</v>
      </c>
      <c r="E558" s="5">
        <v>20553956324</v>
      </c>
      <c r="F558" s="5" t="s">
        <v>1303</v>
      </c>
      <c r="G558" s="6" t="s">
        <v>425</v>
      </c>
      <c r="H558" s="6" t="s">
        <v>68</v>
      </c>
      <c r="I558" s="6" t="s">
        <v>1784</v>
      </c>
      <c r="J558" s="6">
        <v>143</v>
      </c>
      <c r="K558" s="7" t="s">
        <v>5232</v>
      </c>
      <c r="L558" s="8">
        <v>85499682</v>
      </c>
      <c r="M558" s="8" t="str">
        <f t="shared" si="56"/>
        <v>PEN</v>
      </c>
      <c r="N558" s="13"/>
      <c r="O558" s="13">
        <v>635</v>
      </c>
      <c r="P558" s="3">
        <f t="shared" si="57"/>
        <v>635</v>
      </c>
      <c r="Q558" s="3">
        <f t="shared" si="58"/>
        <v>0</v>
      </c>
      <c r="R558" s="3">
        <f t="shared" si="50"/>
        <v>53234.220000000008</v>
      </c>
      <c r="S558" s="24" t="s">
        <v>1334</v>
      </c>
      <c r="T558" s="24" t="s">
        <v>1334</v>
      </c>
      <c r="U558" s="3"/>
      <c r="V558" s="19" t="str">
        <f>IFERROR(VLOOKUP(Banco_Nacion[[#This Row],[responsable]],Clientes_Proveedores[[Ruc / Dni]:[Razon Social]],2,0),"")</f>
        <v>ALQUIMODUL S.A.C.</v>
      </c>
      <c r="W558" s="19" t="str">
        <f>IF(Banco_Nacion[[#This Row],[tipo_mov]]="INGRESO",Banco_Nacion[[#This Row],[serie]]&amp;Banco_Nacion[[#This Row],[numero]]&amp;Banco_Nacion[[#This Row],[responsable]]&amp;Banco_Nacion[[#This Row],[monto]],"")</f>
        <v>FF0114320553956324635</v>
      </c>
      <c r="X558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85499682</v>
      </c>
      <c r="Y558" s="3" t="str">
        <f>IFERROR(VLOOKUP(Banco_Nacion[[#This Row],[serie]]&amp;Banco_Nacion[[#This Row],[numero]]&amp;Banco_Nacion[[#This Row],[responsable]],[2]!Provision_CXC[[ID CXP]:[DETRACCION]],47,0),"")</f>
        <v/>
      </c>
      <c r="Z558" s="3"/>
      <c r="AA558" s="24" t="str">
        <f>IF(Banco_Nacion[[#This Row],[fecha]]&gt;0,TEXT(Banco_Nacion[[#This Row],[fecha]],"mmmm"),0)</f>
        <v>Agosto</v>
      </c>
    </row>
    <row r="559" spans="1:27" x14ac:dyDescent="0.3">
      <c r="A559" s="2">
        <f>IF(Banco_Nacion[[#This Row],[tipo_registro]]="R",COUNTIFS($C$1:$C558,"R")+1,"")</f>
        <v>558</v>
      </c>
      <c r="B559" s="19" t="str">
        <f t="shared" si="55"/>
        <v>B-Banco de la Nacion</v>
      </c>
      <c r="C559" s="3" t="s">
        <v>1330</v>
      </c>
      <c r="D559" s="14">
        <v>45880</v>
      </c>
      <c r="E559" s="5">
        <v>20141637941</v>
      </c>
      <c r="F559" s="5" t="s">
        <v>1303</v>
      </c>
      <c r="G559" s="6" t="s">
        <v>425</v>
      </c>
      <c r="H559" s="6" t="s">
        <v>68</v>
      </c>
      <c r="I559" s="6" t="s">
        <v>1784</v>
      </c>
      <c r="J559" s="6">
        <v>136</v>
      </c>
      <c r="K559" s="7" t="s">
        <v>5232</v>
      </c>
      <c r="L559" s="8">
        <v>85416037</v>
      </c>
      <c r="M559" s="8" t="str">
        <f t="shared" si="56"/>
        <v>PEN</v>
      </c>
      <c r="N559" s="13"/>
      <c r="O559" s="13">
        <v>647</v>
      </c>
      <c r="P559" s="3">
        <f t="shared" si="57"/>
        <v>647</v>
      </c>
      <c r="Q559" s="3">
        <f t="shared" si="58"/>
        <v>0</v>
      </c>
      <c r="R559" s="3">
        <f t="shared" si="50"/>
        <v>53881.220000000008</v>
      </c>
      <c r="S559" s="24" t="s">
        <v>1334</v>
      </c>
      <c r="T559" s="24" t="s">
        <v>1334</v>
      </c>
      <c r="U559" s="3"/>
      <c r="V559" s="19" t="str">
        <f>IFERROR(VLOOKUP(Banco_Nacion[[#This Row],[responsable]],Clientes_Proveedores[[Ruc / Dni]:[Razon Social]],2,0),"")</f>
        <v>UNIVERSIDAD CATOLICA DE SANTA MARIA</v>
      </c>
      <c r="W559" s="19" t="str">
        <f>IF(Banco_Nacion[[#This Row],[tipo_mov]]="INGRESO",Banco_Nacion[[#This Row],[serie]]&amp;Banco_Nacion[[#This Row],[numero]]&amp;Banco_Nacion[[#This Row],[responsable]]&amp;Banco_Nacion[[#This Row],[monto]],"")</f>
        <v>FF0113620141637941647</v>
      </c>
      <c r="X559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85416037</v>
      </c>
      <c r="Y559" s="3" t="str">
        <f>IFERROR(VLOOKUP(Banco_Nacion[[#This Row],[serie]]&amp;Banco_Nacion[[#This Row],[numero]]&amp;Banco_Nacion[[#This Row],[responsable]],[2]!Provision_CXC[[ID CXP]:[DETRACCION]],47,0),"")</f>
        <v/>
      </c>
      <c r="Z559" s="3"/>
      <c r="AA559" s="24" t="str">
        <f>IF(Banco_Nacion[[#This Row],[fecha]]&gt;0,TEXT(Banco_Nacion[[#This Row],[fecha]],"mmmm"),0)</f>
        <v>Agosto</v>
      </c>
    </row>
    <row r="560" spans="1:27" x14ac:dyDescent="0.3">
      <c r="A560" s="2">
        <f>IF(Banco_Nacion[[#This Row],[tipo_registro]]="R",COUNTIFS($C$1:$C559,"R")+1,"")</f>
        <v>559</v>
      </c>
      <c r="B560" s="19" t="str">
        <f t="shared" si="55"/>
        <v>B-Banco de la Nacion</v>
      </c>
      <c r="C560" s="3" t="s">
        <v>1330</v>
      </c>
      <c r="D560" s="14">
        <v>45880</v>
      </c>
      <c r="E560" s="5">
        <v>20141637941</v>
      </c>
      <c r="F560" s="5" t="s">
        <v>1303</v>
      </c>
      <c r="G560" s="6" t="s">
        <v>425</v>
      </c>
      <c r="H560" s="6" t="s">
        <v>68</v>
      </c>
      <c r="I560" s="6" t="s">
        <v>1784</v>
      </c>
      <c r="J560" s="6">
        <v>126</v>
      </c>
      <c r="K560" s="7" t="s">
        <v>5232</v>
      </c>
      <c r="L560" s="8">
        <v>85416036</v>
      </c>
      <c r="M560" s="8" t="str">
        <f t="shared" si="56"/>
        <v>PEN</v>
      </c>
      <c r="N560" s="13"/>
      <c r="O560" s="13">
        <v>166</v>
      </c>
      <c r="P560" s="3">
        <f t="shared" si="57"/>
        <v>166</v>
      </c>
      <c r="Q560" s="3">
        <f t="shared" si="58"/>
        <v>0</v>
      </c>
      <c r="R560" s="3">
        <f t="shared" si="50"/>
        <v>54047.220000000008</v>
      </c>
      <c r="S560" s="24" t="s">
        <v>1334</v>
      </c>
      <c r="T560" s="24" t="s">
        <v>1334</v>
      </c>
      <c r="U560" s="3"/>
      <c r="V560" s="19" t="str">
        <f>IFERROR(VLOOKUP(Banco_Nacion[[#This Row],[responsable]],Clientes_Proveedores[[Ruc / Dni]:[Razon Social]],2,0),"")</f>
        <v>UNIVERSIDAD CATOLICA DE SANTA MARIA</v>
      </c>
      <c r="W560" s="19" t="str">
        <f>IF(Banco_Nacion[[#This Row],[tipo_mov]]="INGRESO",Banco_Nacion[[#This Row],[serie]]&amp;Banco_Nacion[[#This Row],[numero]]&amp;Banco_Nacion[[#This Row],[responsable]]&amp;Banco_Nacion[[#This Row],[monto]],"")</f>
        <v>FF0112620141637941166</v>
      </c>
      <c r="X560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85416036</v>
      </c>
      <c r="Y560" s="3" t="str">
        <f>IFERROR(VLOOKUP(Banco_Nacion[[#This Row],[serie]]&amp;Banco_Nacion[[#This Row],[numero]]&amp;Banco_Nacion[[#This Row],[responsable]],[2]!Provision_CXC[[ID CXP]:[DETRACCION]],47,0),"")</f>
        <v/>
      </c>
      <c r="Z560" s="3"/>
      <c r="AA560" s="24" t="str">
        <f>IF(Banco_Nacion[[#This Row],[fecha]]&gt;0,TEXT(Banco_Nacion[[#This Row],[fecha]],"mmmm"),0)</f>
        <v>Agosto</v>
      </c>
    </row>
    <row r="561" spans="1:27" x14ac:dyDescent="0.3">
      <c r="A561" s="2">
        <f>IF(Banco_Nacion[[#This Row],[tipo_registro]]="R",COUNTIFS($C$1:$C560,"R")+1,"")</f>
        <v>560</v>
      </c>
      <c r="B561" s="19" t="str">
        <f t="shared" si="55"/>
        <v>B-Banco de la Nacion</v>
      </c>
      <c r="C561" s="3" t="s">
        <v>1330</v>
      </c>
      <c r="D561" s="14">
        <v>45881</v>
      </c>
      <c r="E561" s="5">
        <v>20607388416</v>
      </c>
      <c r="F561" s="5" t="s">
        <v>1303</v>
      </c>
      <c r="G561" s="6"/>
      <c r="H561" s="6"/>
      <c r="I561" s="6" t="s">
        <v>3381</v>
      </c>
      <c r="J561" s="6">
        <v>51</v>
      </c>
      <c r="K561" s="7" t="s">
        <v>5232</v>
      </c>
      <c r="L561" s="8">
        <v>85777393</v>
      </c>
      <c r="M561" s="8" t="str">
        <f t="shared" si="56"/>
        <v>PEN</v>
      </c>
      <c r="N561" s="13"/>
      <c r="O561" s="13">
        <v>110</v>
      </c>
      <c r="P561" s="3">
        <f t="shared" si="57"/>
        <v>110</v>
      </c>
      <c r="Q561" s="3">
        <f t="shared" si="58"/>
        <v>0</v>
      </c>
      <c r="R561" s="3">
        <f t="shared" si="50"/>
        <v>54157.220000000008</v>
      </c>
      <c r="S561" s="24" t="s">
        <v>1334</v>
      </c>
      <c r="T561" s="24" t="s">
        <v>1334</v>
      </c>
      <c r="U561" s="3"/>
      <c r="V561" s="19" t="str">
        <f>IFERROR(VLOOKUP(Banco_Nacion[[#This Row],[responsable]],Clientes_Proveedores[[Ruc / Dni]:[Razon Social]],2,0),"")</f>
        <v>ALEACIONES FERROSAS Y METALICAS S.A.C.</v>
      </c>
      <c r="W561" s="19" t="str">
        <f>IF(Banco_Nacion[[#This Row],[tipo_mov]]="INGRESO",Banco_Nacion[[#This Row],[serie]]&amp;Banco_Nacion[[#This Row],[numero]]&amp;Banco_Nacion[[#This Row],[responsable]]&amp;Banco_Nacion[[#This Row],[monto]],"")</f>
        <v>FF055120607388416110</v>
      </c>
      <c r="X561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85777393</v>
      </c>
      <c r="Y561" s="3" t="str">
        <f>IFERROR(VLOOKUP(Banco_Nacion[[#This Row],[serie]]&amp;Banco_Nacion[[#This Row],[numero]]&amp;Banco_Nacion[[#This Row],[responsable]],[2]!Provision_CXC[[ID CXP]:[DETRACCION]],47,0),"")</f>
        <v/>
      </c>
      <c r="Z561" s="3"/>
      <c r="AA561" s="24" t="str">
        <f>IF(Banco_Nacion[[#This Row],[fecha]]&gt;0,TEXT(Banco_Nacion[[#This Row],[fecha]],"mmmm"),0)</f>
        <v>Agosto</v>
      </c>
    </row>
    <row r="562" spans="1:27" x14ac:dyDescent="0.3">
      <c r="A562" s="2">
        <f>IF(Banco_Nacion[[#This Row],[tipo_registro]]="R",COUNTIFS($C$1:$C561,"R")+1,"")</f>
        <v>561</v>
      </c>
      <c r="B562" s="19" t="str">
        <f t="shared" si="55"/>
        <v>B-Banco de la Nacion</v>
      </c>
      <c r="C562" s="3" t="s">
        <v>1330</v>
      </c>
      <c r="D562" s="14">
        <v>45881</v>
      </c>
      <c r="E562" s="5">
        <v>20607388416</v>
      </c>
      <c r="F562" s="5" t="s">
        <v>1303</v>
      </c>
      <c r="G562" s="6"/>
      <c r="H562" s="6"/>
      <c r="I562" s="6" t="s">
        <v>3381</v>
      </c>
      <c r="J562" s="6">
        <v>52</v>
      </c>
      <c r="K562" s="7" t="s">
        <v>5232</v>
      </c>
      <c r="L562" s="8">
        <v>85777392</v>
      </c>
      <c r="M562" s="8" t="str">
        <f t="shared" si="56"/>
        <v>PEN</v>
      </c>
      <c r="N562" s="13"/>
      <c r="O562" s="13">
        <v>98</v>
      </c>
      <c r="P562" s="3">
        <f t="shared" si="57"/>
        <v>98</v>
      </c>
      <c r="Q562" s="3">
        <f t="shared" si="58"/>
        <v>0</v>
      </c>
      <c r="R562" s="3">
        <f t="shared" si="50"/>
        <v>54255.220000000008</v>
      </c>
      <c r="S562" s="24" t="s">
        <v>1334</v>
      </c>
      <c r="T562" s="24" t="s">
        <v>1334</v>
      </c>
      <c r="U562" s="3"/>
      <c r="V562" s="19" t="str">
        <f>IFERROR(VLOOKUP(Banco_Nacion[[#This Row],[responsable]],Clientes_Proveedores[[Ruc / Dni]:[Razon Social]],2,0),"")</f>
        <v>ALEACIONES FERROSAS Y METALICAS S.A.C.</v>
      </c>
      <c r="W562" s="19" t="str">
        <f>IF(Banco_Nacion[[#This Row],[tipo_mov]]="INGRESO",Banco_Nacion[[#This Row],[serie]]&amp;Banco_Nacion[[#This Row],[numero]]&amp;Banco_Nacion[[#This Row],[responsable]]&amp;Banco_Nacion[[#This Row],[monto]],"")</f>
        <v>FF05522060738841698</v>
      </c>
      <c r="X562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85777392</v>
      </c>
      <c r="Y562" s="3" t="str">
        <f>IFERROR(VLOOKUP(Banco_Nacion[[#This Row],[serie]]&amp;Banco_Nacion[[#This Row],[numero]]&amp;Banco_Nacion[[#This Row],[responsable]],[2]!Provision_CXC[[ID CXP]:[DETRACCION]],47,0),"")</f>
        <v/>
      </c>
      <c r="Z562" s="3"/>
      <c r="AA562" s="24" t="str">
        <f>IF(Banco_Nacion[[#This Row],[fecha]]&gt;0,TEXT(Banco_Nacion[[#This Row],[fecha]],"mmmm"),0)</f>
        <v>Agosto</v>
      </c>
    </row>
    <row r="563" spans="1:27" x14ac:dyDescent="0.3">
      <c r="A563" s="2">
        <f>IF(Banco_Nacion[[#This Row],[tipo_registro]]="R",COUNTIFS($C$1:$C562,"R")+1,"")</f>
        <v>562</v>
      </c>
      <c r="B563" s="19" t="str">
        <f t="shared" si="55"/>
        <v>B-Banco de la Nacion</v>
      </c>
      <c r="C563" s="3" t="s">
        <v>1330</v>
      </c>
      <c r="D563" s="14">
        <v>45881</v>
      </c>
      <c r="E563" s="5">
        <v>20607388416</v>
      </c>
      <c r="F563" s="5" t="s">
        <v>1303</v>
      </c>
      <c r="G563" s="6"/>
      <c r="H563" s="6"/>
      <c r="I563" s="6" t="s">
        <v>3381</v>
      </c>
      <c r="J563" s="6">
        <v>53</v>
      </c>
      <c r="K563" s="7" t="s">
        <v>5232</v>
      </c>
      <c r="L563" s="8">
        <v>85777391</v>
      </c>
      <c r="M563" s="8" t="str">
        <f t="shared" si="56"/>
        <v>PEN</v>
      </c>
      <c r="N563" s="13"/>
      <c r="O563" s="13">
        <v>218</v>
      </c>
      <c r="P563" s="3">
        <f t="shared" si="57"/>
        <v>218</v>
      </c>
      <c r="Q563" s="3">
        <f t="shared" si="58"/>
        <v>0</v>
      </c>
      <c r="R563" s="3">
        <f t="shared" si="50"/>
        <v>54473.220000000008</v>
      </c>
      <c r="S563" s="24" t="s">
        <v>1334</v>
      </c>
      <c r="T563" s="24" t="s">
        <v>1334</v>
      </c>
      <c r="U563" s="3"/>
      <c r="V563" s="19" t="str">
        <f>IFERROR(VLOOKUP(Banco_Nacion[[#This Row],[responsable]],Clientes_Proveedores[[Ruc / Dni]:[Razon Social]],2,0),"")</f>
        <v>ALEACIONES FERROSAS Y METALICAS S.A.C.</v>
      </c>
      <c r="W563" s="19" t="str">
        <f>IF(Banco_Nacion[[#This Row],[tipo_mov]]="INGRESO",Banco_Nacion[[#This Row],[serie]]&amp;Banco_Nacion[[#This Row],[numero]]&amp;Banco_Nacion[[#This Row],[responsable]]&amp;Banco_Nacion[[#This Row],[monto]],"")</f>
        <v>FF055320607388416218</v>
      </c>
      <c r="X563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85777391</v>
      </c>
      <c r="Y563" s="3" t="str">
        <f>IFERROR(VLOOKUP(Banco_Nacion[[#This Row],[serie]]&amp;Banco_Nacion[[#This Row],[numero]]&amp;Banco_Nacion[[#This Row],[responsable]],[2]!Provision_CXC[[ID CXP]:[DETRACCION]],47,0),"")</f>
        <v/>
      </c>
      <c r="Z563" s="3"/>
      <c r="AA563" s="24" t="str">
        <f>IF(Banco_Nacion[[#This Row],[fecha]]&gt;0,TEXT(Banco_Nacion[[#This Row],[fecha]],"mmmm"),0)</f>
        <v>Agosto</v>
      </c>
    </row>
    <row r="564" spans="1:27" x14ac:dyDescent="0.3">
      <c r="A564" s="2">
        <f>IF(Banco_Nacion[[#This Row],[tipo_registro]]="R",COUNTIFS($C$1:$C563,"R")+1,"")</f>
        <v>563</v>
      </c>
      <c r="B564" s="19" t="str">
        <f t="shared" si="55"/>
        <v>B-Banco de la Nacion</v>
      </c>
      <c r="C564" s="3" t="s">
        <v>1330</v>
      </c>
      <c r="D564" s="14">
        <v>45881</v>
      </c>
      <c r="E564" s="5">
        <v>20496535066</v>
      </c>
      <c r="F564" s="5" t="s">
        <v>1303</v>
      </c>
      <c r="G564" s="6" t="s">
        <v>425</v>
      </c>
      <c r="H564" s="6" t="s">
        <v>68</v>
      </c>
      <c r="I564" s="6" t="s">
        <v>1784</v>
      </c>
      <c r="J564" s="6">
        <v>178</v>
      </c>
      <c r="K564" s="7" t="s">
        <v>5232</v>
      </c>
      <c r="L564" s="8">
        <v>85763027</v>
      </c>
      <c r="M564" s="8" t="str">
        <f t="shared" si="56"/>
        <v>PEN</v>
      </c>
      <c r="N564" s="13"/>
      <c r="O564" s="13">
        <v>252</v>
      </c>
      <c r="P564" s="3">
        <f t="shared" si="57"/>
        <v>252</v>
      </c>
      <c r="Q564" s="3">
        <f t="shared" si="58"/>
        <v>0</v>
      </c>
      <c r="R564" s="3">
        <f t="shared" si="50"/>
        <v>54725.220000000008</v>
      </c>
      <c r="S564" s="24" t="s">
        <v>1334</v>
      </c>
      <c r="T564" s="24" t="s">
        <v>1334</v>
      </c>
      <c r="U564" s="3"/>
      <c r="V564" s="19" t="str">
        <f>IFERROR(VLOOKUP(Banco_Nacion[[#This Row],[responsable]],Clientes_Proveedores[[Ruc / Dni]:[Razon Social]],2,0),"")</f>
        <v>CORP.ELECTROMECANICA EN ING.Y CONSTR.SAC</v>
      </c>
      <c r="W564" s="19" t="str">
        <f>IF(Banco_Nacion[[#This Row],[tipo_mov]]="INGRESO",Banco_Nacion[[#This Row],[serie]]&amp;Banco_Nacion[[#This Row],[numero]]&amp;Banco_Nacion[[#This Row],[responsable]]&amp;Banco_Nacion[[#This Row],[monto]],"")</f>
        <v>FF0117820496535066252</v>
      </c>
      <c r="X564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85763027</v>
      </c>
      <c r="Y564" s="3" t="str">
        <f>IFERROR(VLOOKUP(Banco_Nacion[[#This Row],[serie]]&amp;Banco_Nacion[[#This Row],[numero]]&amp;Banco_Nacion[[#This Row],[responsable]],[2]!Provision_CXC[[ID CXP]:[DETRACCION]],47,0),"")</f>
        <v/>
      </c>
      <c r="Z564" s="3"/>
      <c r="AA564" s="24" t="str">
        <f>IF(Banco_Nacion[[#This Row],[fecha]]&gt;0,TEXT(Banco_Nacion[[#This Row],[fecha]],"mmmm"),0)</f>
        <v>Agosto</v>
      </c>
    </row>
    <row r="565" spans="1:27" x14ac:dyDescent="0.3">
      <c r="A565" s="2">
        <f>IF(Banco_Nacion[[#This Row],[tipo_registro]]="R",COUNTIFS($C$1:$C564,"R")+1,"")</f>
        <v>564</v>
      </c>
      <c r="B565" s="19" t="str">
        <f t="shared" si="55"/>
        <v>B-Banco de la Nacion</v>
      </c>
      <c r="C565" s="3" t="s">
        <v>1330</v>
      </c>
      <c r="D565" s="14">
        <v>45881</v>
      </c>
      <c r="E565" s="5">
        <v>20496535066</v>
      </c>
      <c r="F565" s="5" t="s">
        <v>1303</v>
      </c>
      <c r="G565" s="6" t="s">
        <v>425</v>
      </c>
      <c r="H565" s="6" t="s">
        <v>68</v>
      </c>
      <c r="I565" s="6" t="s">
        <v>1784</v>
      </c>
      <c r="J565" s="6">
        <v>129</v>
      </c>
      <c r="K565" s="7" t="s">
        <v>5232</v>
      </c>
      <c r="L565" s="8">
        <v>85753343</v>
      </c>
      <c r="M565" s="8" t="str">
        <f t="shared" si="56"/>
        <v>PEN</v>
      </c>
      <c r="N565" s="13"/>
      <c r="O565" s="13">
        <v>2105</v>
      </c>
      <c r="P565" s="3">
        <f t="shared" si="57"/>
        <v>2105</v>
      </c>
      <c r="Q565" s="3">
        <f t="shared" si="58"/>
        <v>0</v>
      </c>
      <c r="R565" s="3">
        <f t="shared" si="50"/>
        <v>56830.220000000008</v>
      </c>
      <c r="S565" s="24" t="s">
        <v>1334</v>
      </c>
      <c r="T565" s="24" t="s">
        <v>1334</v>
      </c>
      <c r="U565" s="3"/>
      <c r="V565" s="19" t="str">
        <f>IFERROR(VLOOKUP(Banco_Nacion[[#This Row],[responsable]],Clientes_Proveedores[[Ruc / Dni]:[Razon Social]],2,0),"")</f>
        <v>CORP.ELECTROMECANICA EN ING.Y CONSTR.SAC</v>
      </c>
      <c r="W565" s="19" t="str">
        <f>IF(Banco_Nacion[[#This Row],[tipo_mov]]="INGRESO",Banco_Nacion[[#This Row],[serie]]&amp;Banco_Nacion[[#This Row],[numero]]&amp;Banco_Nacion[[#This Row],[responsable]]&amp;Banco_Nacion[[#This Row],[monto]],"")</f>
        <v>FF01129204965350662105</v>
      </c>
      <c r="X565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85753343</v>
      </c>
      <c r="Y565" s="3" t="str">
        <f>IFERROR(VLOOKUP(Banco_Nacion[[#This Row],[serie]]&amp;Banco_Nacion[[#This Row],[numero]]&amp;Banco_Nacion[[#This Row],[responsable]],[2]!Provision_CXC[[ID CXP]:[DETRACCION]],47,0),"")</f>
        <v/>
      </c>
      <c r="Z565" s="3"/>
      <c r="AA565" s="24" t="str">
        <f>IF(Banco_Nacion[[#This Row],[fecha]]&gt;0,TEXT(Banco_Nacion[[#This Row],[fecha]],"mmmm"),0)</f>
        <v>Agosto</v>
      </c>
    </row>
    <row r="566" spans="1:27" x14ac:dyDescent="0.3">
      <c r="A566" s="2">
        <f>IF(Banco_Nacion[[#This Row],[tipo_registro]]="R",COUNTIFS($C$1:$C565,"R")+1,"")</f>
        <v>565</v>
      </c>
      <c r="B566" s="19" t="str">
        <f t="shared" si="55"/>
        <v>B-Banco de la Nacion</v>
      </c>
      <c r="C566" s="3" t="s">
        <v>1330</v>
      </c>
      <c r="D566" s="14">
        <v>45882</v>
      </c>
      <c r="E566" s="5">
        <v>20558353814</v>
      </c>
      <c r="F566" s="5" t="s">
        <v>1303</v>
      </c>
      <c r="G566" s="6"/>
      <c r="H566" s="6"/>
      <c r="I566" s="6" t="s">
        <v>1784</v>
      </c>
      <c r="J566" s="6">
        <v>92</v>
      </c>
      <c r="K566" s="7" t="s">
        <v>5232</v>
      </c>
      <c r="L566" s="8">
        <v>85849893</v>
      </c>
      <c r="M566" s="8" t="str">
        <f t="shared" si="56"/>
        <v>PEN</v>
      </c>
      <c r="N566" s="13"/>
      <c r="O566" s="13">
        <v>302</v>
      </c>
      <c r="P566" s="3">
        <f t="shared" si="57"/>
        <v>302</v>
      </c>
      <c r="Q566" s="3">
        <f t="shared" si="58"/>
        <v>0</v>
      </c>
      <c r="R566" s="3">
        <f t="shared" si="50"/>
        <v>57132.220000000008</v>
      </c>
      <c r="S566" s="24"/>
      <c r="T566" s="24"/>
      <c r="U566" s="3"/>
      <c r="V566" s="19" t="str">
        <f>IFERROR(VLOOKUP(Banco_Nacion[[#This Row],[responsable]],Clientes_Proveedores[[Ruc / Dni]:[Razon Social]],2,0),"")</f>
        <v>TACONSER E.I.R.L.</v>
      </c>
      <c r="W566" s="19" t="str">
        <f>IF(Banco_Nacion[[#This Row],[tipo_mov]]="INGRESO",Banco_Nacion[[#This Row],[serie]]&amp;Banco_Nacion[[#This Row],[numero]]&amp;Banco_Nacion[[#This Row],[responsable]]&amp;Banco_Nacion[[#This Row],[monto]],"")</f>
        <v>FF019220558353814302</v>
      </c>
      <c r="X566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85849893</v>
      </c>
      <c r="Y566" s="3" t="str">
        <f>IFERROR(VLOOKUP(Banco_Nacion[[#This Row],[serie]]&amp;Banco_Nacion[[#This Row],[numero]]&amp;Banco_Nacion[[#This Row],[responsable]],[2]!Provision_CXC[[ID CXP]:[DETRACCION]],47,0),"")</f>
        <v/>
      </c>
      <c r="Z566" s="3"/>
      <c r="AA566" s="24" t="str">
        <f>IF(Banco_Nacion[[#This Row],[fecha]]&gt;0,TEXT(Banco_Nacion[[#This Row],[fecha]],"mmmm"),0)</f>
        <v>Agosto</v>
      </c>
    </row>
    <row r="567" spans="1:27" x14ac:dyDescent="0.3">
      <c r="A567" s="2">
        <f>IF(Banco_Nacion[[#This Row],[tipo_registro]]="R",COUNTIFS($C$1:$C566,"R")+1,"")</f>
        <v>566</v>
      </c>
      <c r="B567" s="19" t="str">
        <f t="shared" si="55"/>
        <v>B-Banco de la Nacion</v>
      </c>
      <c r="C567" s="3" t="s">
        <v>1330</v>
      </c>
      <c r="D567" s="14">
        <v>45887</v>
      </c>
      <c r="E567" s="5">
        <v>20607388416</v>
      </c>
      <c r="F567" s="5" t="s">
        <v>1303</v>
      </c>
      <c r="G567" s="6"/>
      <c r="H567" s="6"/>
      <c r="I567" s="6" t="s">
        <v>3381</v>
      </c>
      <c r="J567" s="6">
        <v>55</v>
      </c>
      <c r="K567" s="7" t="s">
        <v>5232</v>
      </c>
      <c r="L567" s="8">
        <v>86387261</v>
      </c>
      <c r="M567" s="8" t="str">
        <f t="shared" si="56"/>
        <v>PEN</v>
      </c>
      <c r="N567" s="13"/>
      <c r="O567" s="13">
        <v>107</v>
      </c>
      <c r="P567" s="3">
        <f t="shared" si="57"/>
        <v>107</v>
      </c>
      <c r="Q567" s="3">
        <f t="shared" si="58"/>
        <v>0</v>
      </c>
      <c r="R567" s="3">
        <f t="shared" si="50"/>
        <v>57239.220000000008</v>
      </c>
      <c r="S567" s="24" t="s">
        <v>1334</v>
      </c>
      <c r="T567" s="24" t="s">
        <v>1334</v>
      </c>
      <c r="U567" s="3"/>
      <c r="V567" s="19" t="str">
        <f>IFERROR(VLOOKUP(Banco_Nacion[[#This Row],[responsable]],Clientes_Proveedores[[Ruc / Dni]:[Razon Social]],2,0),"")</f>
        <v>ALEACIONES FERROSAS Y METALICAS S.A.C.</v>
      </c>
      <c r="W567" s="19" t="str">
        <f>IF(Banco_Nacion[[#This Row],[tipo_mov]]="INGRESO",Banco_Nacion[[#This Row],[serie]]&amp;Banco_Nacion[[#This Row],[numero]]&amp;Banco_Nacion[[#This Row],[responsable]]&amp;Banco_Nacion[[#This Row],[monto]],"")</f>
        <v>FF055520607388416107</v>
      </c>
      <c r="X567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86387261</v>
      </c>
      <c r="Y567" s="3" t="str">
        <f>IFERROR(VLOOKUP(Banco_Nacion[[#This Row],[serie]]&amp;Banco_Nacion[[#This Row],[numero]]&amp;Banco_Nacion[[#This Row],[responsable]],[2]!Provision_CXC[[ID CXP]:[DETRACCION]],47,0),"")</f>
        <v/>
      </c>
      <c r="Z567" s="3"/>
      <c r="AA567" s="24" t="str">
        <f>IF(Banco_Nacion[[#This Row],[fecha]]&gt;0,TEXT(Banco_Nacion[[#This Row],[fecha]],"mmmm"),0)</f>
        <v>Agosto</v>
      </c>
    </row>
    <row r="568" spans="1:27" x14ac:dyDescent="0.3">
      <c r="A568" s="2">
        <f>IF(Banco_Nacion[[#This Row],[tipo_registro]]="R",COUNTIFS($C$1:$C567,"R")+1,"")</f>
        <v>567</v>
      </c>
      <c r="B568" s="19" t="str">
        <f t="shared" si="55"/>
        <v>B-Banco de la Nacion</v>
      </c>
      <c r="C568" s="3" t="s">
        <v>1330</v>
      </c>
      <c r="D568" s="14">
        <v>45887</v>
      </c>
      <c r="E568" s="5">
        <v>20607388416</v>
      </c>
      <c r="F568" s="5" t="s">
        <v>1303</v>
      </c>
      <c r="G568" s="6"/>
      <c r="H568" s="6"/>
      <c r="I568" s="6" t="s">
        <v>3381</v>
      </c>
      <c r="J568" s="6">
        <v>54</v>
      </c>
      <c r="K568" s="7" t="s">
        <v>5232</v>
      </c>
      <c r="L568" s="8">
        <v>86387260</v>
      </c>
      <c r="M568" s="8" t="str">
        <f t="shared" si="56"/>
        <v>PEN</v>
      </c>
      <c r="N568" s="13"/>
      <c r="O568" s="13">
        <v>231</v>
      </c>
      <c r="P568" s="3">
        <f t="shared" si="57"/>
        <v>231</v>
      </c>
      <c r="Q568" s="3">
        <f t="shared" si="58"/>
        <v>0</v>
      </c>
      <c r="R568" s="3">
        <f t="shared" si="50"/>
        <v>57470.220000000008</v>
      </c>
      <c r="S568" s="24" t="s">
        <v>1334</v>
      </c>
      <c r="T568" s="24" t="s">
        <v>1334</v>
      </c>
      <c r="U568" s="3"/>
      <c r="V568" s="19" t="str">
        <f>IFERROR(VLOOKUP(Banco_Nacion[[#This Row],[responsable]],Clientes_Proveedores[[Ruc / Dni]:[Razon Social]],2,0),"")</f>
        <v>ALEACIONES FERROSAS Y METALICAS S.A.C.</v>
      </c>
      <c r="W568" s="19" t="str">
        <f>IF(Banco_Nacion[[#This Row],[tipo_mov]]="INGRESO",Banco_Nacion[[#This Row],[serie]]&amp;Banco_Nacion[[#This Row],[numero]]&amp;Banco_Nacion[[#This Row],[responsable]]&amp;Banco_Nacion[[#This Row],[monto]],"")</f>
        <v>FF055420607388416231</v>
      </c>
      <c r="X568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86387260</v>
      </c>
      <c r="Y568" s="3" t="str">
        <f>IFERROR(VLOOKUP(Banco_Nacion[[#This Row],[serie]]&amp;Banco_Nacion[[#This Row],[numero]]&amp;Banco_Nacion[[#This Row],[responsable]],[2]!Provision_CXC[[ID CXP]:[DETRACCION]],47,0),"")</f>
        <v/>
      </c>
      <c r="Z568" s="3"/>
      <c r="AA568" s="24" t="str">
        <f>IF(Banco_Nacion[[#This Row],[fecha]]&gt;0,TEXT(Banco_Nacion[[#This Row],[fecha]],"mmmm"),0)</f>
        <v>Agosto</v>
      </c>
    </row>
    <row r="569" spans="1:27" x14ac:dyDescent="0.3">
      <c r="A569" s="2">
        <f>IF(Banco_Nacion[[#This Row],[tipo_registro]]="R",COUNTIFS($C$1:$C568,"R")+1,"")</f>
        <v>568</v>
      </c>
      <c r="B569" s="19" t="str">
        <f t="shared" si="55"/>
        <v>B-Banco de la Nacion</v>
      </c>
      <c r="C569" s="3" t="s">
        <v>1330</v>
      </c>
      <c r="D569" s="14">
        <v>45887</v>
      </c>
      <c r="E569" s="5"/>
      <c r="F569" s="5" t="s">
        <v>1336</v>
      </c>
      <c r="G569" s="6"/>
      <c r="H569" s="6"/>
      <c r="I569" s="6"/>
      <c r="J569" s="6"/>
      <c r="K569" s="7" t="s">
        <v>5234</v>
      </c>
      <c r="L569" s="8">
        <v>78787878</v>
      </c>
      <c r="M569" s="8" t="str">
        <f t="shared" si="56"/>
        <v>PEN</v>
      </c>
      <c r="N569" s="13"/>
      <c r="O569" s="13">
        <v>2140</v>
      </c>
      <c r="P569" s="3">
        <f t="shared" si="57"/>
        <v>0</v>
      </c>
      <c r="Q569" s="3">
        <f t="shared" si="58"/>
        <v>2140</v>
      </c>
      <c r="R569" s="3">
        <f t="shared" si="50"/>
        <v>55330.220000000008</v>
      </c>
      <c r="S569" s="24"/>
      <c r="T569" s="24"/>
      <c r="U569" s="3"/>
      <c r="V569" s="19" t="str">
        <f>IFERROR(VLOOKUP(Banco_Nacion[[#This Row],[responsable]],Clientes_Proveedores[[Ruc / Dni]:[Razon Social]],2,0),"")</f>
        <v/>
      </c>
      <c r="W569" s="19" t="str">
        <f>IF(Banco_Nacion[[#This Row],[tipo_mov]]="INGRESO",Banco_Nacion[[#This Row],[serie]]&amp;Banco_Nacion[[#This Row],[numero]]&amp;Banco_Nacion[[#This Row],[responsable]]&amp;Banco_Nacion[[#This Row],[monto]],"")</f>
        <v/>
      </c>
      <c r="X569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/>
      </c>
      <c r="Y569" s="3" t="str">
        <f>IFERROR(VLOOKUP(Banco_Nacion[[#This Row],[serie]]&amp;Banco_Nacion[[#This Row],[numero]]&amp;Banco_Nacion[[#This Row],[responsable]],[2]!Provision_CXC[[ID CXP]:[DETRACCION]],47,0),"")</f>
        <v/>
      </c>
      <c r="Z569" s="3"/>
      <c r="AA569" s="24" t="str">
        <f>IF(Banco_Nacion[[#This Row],[fecha]]&gt;0,TEXT(Banco_Nacion[[#This Row],[fecha]],"mmmm"),0)</f>
        <v>Agosto</v>
      </c>
    </row>
    <row r="570" spans="1:27" x14ac:dyDescent="0.3">
      <c r="A570" s="2">
        <f>IF(Banco_Nacion[[#This Row],[tipo_registro]]="R",COUNTIFS($C$1:$C569,"R")+1,"")</f>
        <v>569</v>
      </c>
      <c r="B570" s="19" t="str">
        <f t="shared" si="55"/>
        <v>B-Banco de la Nacion</v>
      </c>
      <c r="C570" s="3" t="s">
        <v>1330</v>
      </c>
      <c r="D570" s="14">
        <v>45887</v>
      </c>
      <c r="E570" s="5"/>
      <c r="F570" s="5" t="s">
        <v>1336</v>
      </c>
      <c r="G570" s="6"/>
      <c r="H570" s="6"/>
      <c r="I570" s="6"/>
      <c r="J570" s="6"/>
      <c r="K570" s="7" t="s">
        <v>5234</v>
      </c>
      <c r="L570" s="8">
        <v>78787878</v>
      </c>
      <c r="M570" s="8" t="str">
        <f t="shared" si="56"/>
        <v>PEN</v>
      </c>
      <c r="N570" s="13"/>
      <c r="O570" s="13">
        <v>3317</v>
      </c>
      <c r="P570" s="3">
        <f t="shared" si="57"/>
        <v>0</v>
      </c>
      <c r="Q570" s="3">
        <f t="shared" si="58"/>
        <v>3317</v>
      </c>
      <c r="R570" s="3">
        <f t="shared" si="50"/>
        <v>52013.220000000008</v>
      </c>
      <c r="S570" s="24"/>
      <c r="T570" s="24"/>
      <c r="U570" s="3"/>
      <c r="V570" s="19" t="str">
        <f>IFERROR(VLOOKUP(Banco_Nacion[[#This Row],[responsable]],Clientes_Proveedores[[Ruc / Dni]:[Razon Social]],2,0),"")</f>
        <v/>
      </c>
      <c r="W570" s="19" t="str">
        <f>IF(Banco_Nacion[[#This Row],[tipo_mov]]="INGRESO",Banco_Nacion[[#This Row],[serie]]&amp;Banco_Nacion[[#This Row],[numero]]&amp;Banco_Nacion[[#This Row],[responsable]]&amp;Banco_Nacion[[#This Row],[monto]],"")</f>
        <v/>
      </c>
      <c r="X570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/>
      </c>
      <c r="Y570" s="3" t="str">
        <f>IFERROR(VLOOKUP(Banco_Nacion[[#This Row],[serie]]&amp;Banco_Nacion[[#This Row],[numero]]&amp;Banco_Nacion[[#This Row],[responsable]],[2]!Provision_CXC[[ID CXP]:[DETRACCION]],47,0),"")</f>
        <v/>
      </c>
      <c r="Z570" s="3"/>
      <c r="AA570" s="24" t="str">
        <f>IF(Banco_Nacion[[#This Row],[fecha]]&gt;0,TEXT(Banco_Nacion[[#This Row],[fecha]],"mmmm"),0)</f>
        <v>Agosto</v>
      </c>
    </row>
    <row r="571" spans="1:27" x14ac:dyDescent="0.3">
      <c r="A571" s="2">
        <f>IF(Banco_Nacion[[#This Row],[tipo_registro]]="R",COUNTIFS($C$1:$C570,"R")+1,"")</f>
        <v>570</v>
      </c>
      <c r="B571" s="19" t="str">
        <f t="shared" si="55"/>
        <v>B-Banco de la Nacion</v>
      </c>
      <c r="C571" s="3" t="s">
        <v>1330</v>
      </c>
      <c r="D571" s="14">
        <v>45888</v>
      </c>
      <c r="E571" s="5">
        <v>20613110586</v>
      </c>
      <c r="F571" s="5" t="s">
        <v>1303</v>
      </c>
      <c r="G571" s="6"/>
      <c r="H571" s="6"/>
      <c r="I571" s="6" t="s">
        <v>3302</v>
      </c>
      <c r="J571" s="6">
        <v>106</v>
      </c>
      <c r="K571" s="7" t="s">
        <v>5232</v>
      </c>
      <c r="L571" s="8">
        <v>86476344</v>
      </c>
      <c r="M571" s="8" t="str">
        <f t="shared" si="56"/>
        <v>PEN</v>
      </c>
      <c r="N571" s="13"/>
      <c r="O571" s="13">
        <v>88</v>
      </c>
      <c r="P571" s="3">
        <f t="shared" si="57"/>
        <v>88</v>
      </c>
      <c r="Q571" s="3">
        <f t="shared" si="58"/>
        <v>0</v>
      </c>
      <c r="R571" s="3">
        <f t="shared" si="50"/>
        <v>52101.220000000008</v>
      </c>
      <c r="S571" s="24"/>
      <c r="T571" s="24"/>
      <c r="U571" s="3"/>
      <c r="V571" s="19" t="str">
        <f>IFERROR(VLOOKUP(Banco_Nacion[[#This Row],[responsable]],Clientes_Proveedores[[Ruc / Dni]:[Razon Social]],2,0),"")</f>
        <v>ACTIVA SERVICIOS GASTRONOMICOS S.R.L.</v>
      </c>
      <c r="W571" s="19" t="str">
        <f>IF(Banco_Nacion[[#This Row],[tipo_mov]]="INGRESO",Banco_Nacion[[#This Row],[serie]]&amp;Banco_Nacion[[#This Row],[numero]]&amp;Banco_Nacion[[#This Row],[responsable]]&amp;Banco_Nacion[[#This Row],[monto]],"")</f>
        <v>FF021062061311058688</v>
      </c>
      <c r="X571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86476344</v>
      </c>
      <c r="Y571" s="3" t="str">
        <f>IFERROR(VLOOKUP(Banco_Nacion[[#This Row],[serie]]&amp;Banco_Nacion[[#This Row],[numero]]&amp;Banco_Nacion[[#This Row],[responsable]],[2]!Provision_CXC[[ID CXP]:[DETRACCION]],47,0),"")</f>
        <v/>
      </c>
      <c r="Z571" s="3"/>
      <c r="AA571" s="24" t="str">
        <f>IF(Banco_Nacion[[#This Row],[fecha]]&gt;0,TEXT(Banco_Nacion[[#This Row],[fecha]],"mmmm"),0)</f>
        <v>Agosto</v>
      </c>
    </row>
    <row r="572" spans="1:27" x14ac:dyDescent="0.3">
      <c r="A572" s="2">
        <f>IF(Banco_Nacion[[#This Row],[tipo_registro]]="R",COUNTIFS($C$1:$C571,"R")+1,"")</f>
        <v>571</v>
      </c>
      <c r="B572" s="19" t="str">
        <f t="shared" si="55"/>
        <v>B-Banco de la Nacion</v>
      </c>
      <c r="C572" s="3" t="s">
        <v>1330</v>
      </c>
      <c r="D572" s="14">
        <v>45888</v>
      </c>
      <c r="E572" s="5">
        <v>20424092941</v>
      </c>
      <c r="F572" s="5" t="s">
        <v>1303</v>
      </c>
      <c r="G572" s="6"/>
      <c r="H572" s="6"/>
      <c r="I572" s="6" t="s">
        <v>3302</v>
      </c>
      <c r="J572" s="6">
        <v>100</v>
      </c>
      <c r="K572" s="7" t="s">
        <v>5232</v>
      </c>
      <c r="L572" s="8">
        <v>86476343</v>
      </c>
      <c r="M572" s="8" t="str">
        <f t="shared" si="56"/>
        <v>PEN</v>
      </c>
      <c r="N572" s="13"/>
      <c r="O572" s="13">
        <v>57</v>
      </c>
      <c r="P572" s="3">
        <f t="shared" si="57"/>
        <v>57</v>
      </c>
      <c r="Q572" s="3">
        <f t="shared" si="58"/>
        <v>0</v>
      </c>
      <c r="R572" s="3">
        <f t="shared" si="50"/>
        <v>52158.220000000008</v>
      </c>
      <c r="S572" s="24"/>
      <c r="T572" s="24"/>
      <c r="U572" s="3"/>
      <c r="V572" s="19" t="str">
        <f>IFERROR(VLOOKUP(Banco_Nacion[[#This Row],[responsable]],Clientes_Proveedores[[Ruc / Dni]:[Razon Social]],2,0),"")</f>
        <v>TRANSPORTES PEREDA S.R.L.</v>
      </c>
      <c r="W572" s="19" t="str">
        <f>IF(Banco_Nacion[[#This Row],[tipo_mov]]="INGRESO",Banco_Nacion[[#This Row],[serie]]&amp;Banco_Nacion[[#This Row],[numero]]&amp;Banco_Nacion[[#This Row],[responsable]]&amp;Banco_Nacion[[#This Row],[monto]],"")</f>
        <v>FF021002042409294157</v>
      </c>
      <c r="X572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86476343</v>
      </c>
      <c r="Y572" s="3" t="str">
        <f>IFERROR(VLOOKUP(Banco_Nacion[[#This Row],[serie]]&amp;Banco_Nacion[[#This Row],[numero]]&amp;Banco_Nacion[[#This Row],[responsable]],[2]!Provision_CXC[[ID CXP]:[DETRACCION]],47,0),"")</f>
        <v/>
      </c>
      <c r="Z572" s="3"/>
      <c r="AA572" s="24" t="str">
        <f>IF(Banco_Nacion[[#This Row],[fecha]]&gt;0,TEXT(Banco_Nacion[[#This Row],[fecha]],"mmmm"),0)</f>
        <v>Agosto</v>
      </c>
    </row>
    <row r="573" spans="1:27" x14ac:dyDescent="0.3">
      <c r="A573" s="2">
        <f>IF(Banco_Nacion[[#This Row],[tipo_registro]]="R",COUNTIFS($C$1:$C572,"R")+1,"")</f>
        <v>572</v>
      </c>
      <c r="B573" s="19" t="str">
        <f t="shared" si="55"/>
        <v>B-Banco de la Nacion</v>
      </c>
      <c r="C573" s="3" t="s">
        <v>1330</v>
      </c>
      <c r="D573" s="14">
        <v>45888</v>
      </c>
      <c r="E573" s="5">
        <v>20613110586</v>
      </c>
      <c r="F573" s="5" t="s">
        <v>1303</v>
      </c>
      <c r="G573" s="6"/>
      <c r="H573" s="6"/>
      <c r="I573" s="6" t="s">
        <v>3302</v>
      </c>
      <c r="J573" s="6">
        <v>94</v>
      </c>
      <c r="K573" s="7" t="s">
        <v>5232</v>
      </c>
      <c r="L573" s="8">
        <v>86476342</v>
      </c>
      <c r="M573" s="8" t="str">
        <f t="shared" si="56"/>
        <v>PEN</v>
      </c>
      <c r="N573" s="13"/>
      <c r="O573" s="13">
        <v>103</v>
      </c>
      <c r="P573" s="3">
        <f t="shared" si="57"/>
        <v>103</v>
      </c>
      <c r="Q573" s="3">
        <f t="shared" si="58"/>
        <v>0</v>
      </c>
      <c r="R573" s="3">
        <f t="shared" si="50"/>
        <v>52261.220000000008</v>
      </c>
      <c r="S573" s="24"/>
      <c r="T573" s="24"/>
      <c r="U573" s="3"/>
      <c r="V573" s="19" t="str">
        <f>IFERROR(VLOOKUP(Banco_Nacion[[#This Row],[responsable]],Clientes_Proveedores[[Ruc / Dni]:[Razon Social]],2,0),"")</f>
        <v>ACTIVA SERVICIOS GASTRONOMICOS S.R.L.</v>
      </c>
      <c r="W573" s="19" t="str">
        <f>IF(Banco_Nacion[[#This Row],[tipo_mov]]="INGRESO",Banco_Nacion[[#This Row],[serie]]&amp;Banco_Nacion[[#This Row],[numero]]&amp;Banco_Nacion[[#This Row],[responsable]]&amp;Banco_Nacion[[#This Row],[monto]],"")</f>
        <v>FF029420613110586103</v>
      </c>
      <c r="X573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86476342</v>
      </c>
      <c r="Y573" s="3" t="str">
        <f>IFERROR(VLOOKUP(Banco_Nacion[[#This Row],[serie]]&amp;Banco_Nacion[[#This Row],[numero]]&amp;Banco_Nacion[[#This Row],[responsable]],[2]!Provision_CXC[[ID CXP]:[DETRACCION]],47,0),"")</f>
        <v/>
      </c>
      <c r="Z573" s="3"/>
      <c r="AA573" s="24" t="str">
        <f>IF(Banco_Nacion[[#This Row],[fecha]]&gt;0,TEXT(Banco_Nacion[[#This Row],[fecha]],"mmmm"),0)</f>
        <v>Agosto</v>
      </c>
    </row>
    <row r="574" spans="1:27" x14ac:dyDescent="0.3">
      <c r="A574" s="2">
        <f>IF(Banco_Nacion[[#This Row],[tipo_registro]]="R",COUNTIFS($C$1:$C573,"R")+1,"")</f>
        <v>573</v>
      </c>
      <c r="B574" s="19" t="str">
        <f t="shared" si="55"/>
        <v>B-Banco de la Nacion</v>
      </c>
      <c r="C574" s="3" t="s">
        <v>1330</v>
      </c>
      <c r="D574" s="14">
        <v>45888</v>
      </c>
      <c r="E574" s="5">
        <v>20613110586</v>
      </c>
      <c r="F574" s="5" t="s">
        <v>1303</v>
      </c>
      <c r="G574" s="6"/>
      <c r="H574" s="6"/>
      <c r="I574" s="6" t="s">
        <v>3302</v>
      </c>
      <c r="J574" s="6">
        <v>61</v>
      </c>
      <c r="K574" s="7" t="s">
        <v>5232</v>
      </c>
      <c r="L574" s="8">
        <v>86476341</v>
      </c>
      <c r="M574" s="8" t="str">
        <f t="shared" si="56"/>
        <v>PEN</v>
      </c>
      <c r="N574" s="13"/>
      <c r="O574" s="13">
        <v>89</v>
      </c>
      <c r="P574" s="3">
        <f t="shared" si="57"/>
        <v>89</v>
      </c>
      <c r="Q574" s="3">
        <f t="shared" si="58"/>
        <v>0</v>
      </c>
      <c r="R574" s="3">
        <f t="shared" si="50"/>
        <v>52350.220000000008</v>
      </c>
      <c r="S574" s="24"/>
      <c r="T574" s="24"/>
      <c r="U574" s="3"/>
      <c r="V574" s="19" t="str">
        <f>IFERROR(VLOOKUP(Banco_Nacion[[#This Row],[responsable]],Clientes_Proveedores[[Ruc / Dni]:[Razon Social]],2,0),"")</f>
        <v>ACTIVA SERVICIOS GASTRONOMICOS S.R.L.</v>
      </c>
      <c r="W574" s="19" t="str">
        <f>IF(Banco_Nacion[[#This Row],[tipo_mov]]="INGRESO",Banco_Nacion[[#This Row],[serie]]&amp;Banco_Nacion[[#This Row],[numero]]&amp;Banco_Nacion[[#This Row],[responsable]]&amp;Banco_Nacion[[#This Row],[monto]],"")</f>
        <v>FF02612061311058689</v>
      </c>
      <c r="X574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86476341</v>
      </c>
      <c r="Y574" s="3" t="str">
        <f>IFERROR(VLOOKUP(Banco_Nacion[[#This Row],[serie]]&amp;Banco_Nacion[[#This Row],[numero]]&amp;Banco_Nacion[[#This Row],[responsable]],[2]!Provision_CXC[[ID CXP]:[DETRACCION]],47,0),"")</f>
        <v/>
      </c>
      <c r="Z574" s="3"/>
      <c r="AA574" s="24" t="str">
        <f>IF(Banco_Nacion[[#This Row],[fecha]]&gt;0,TEXT(Banco_Nacion[[#This Row],[fecha]],"mmmm"),0)</f>
        <v>Agosto</v>
      </c>
    </row>
    <row r="575" spans="1:27" x14ac:dyDescent="0.3">
      <c r="A575" s="2">
        <f>IF(Banco_Nacion[[#This Row],[tipo_registro]]="R",COUNTIFS($C$1:$C574,"R")+1,"")</f>
        <v>574</v>
      </c>
      <c r="B575" s="19" t="str">
        <f t="shared" si="55"/>
        <v>B-Banco de la Nacion</v>
      </c>
      <c r="C575" s="3" t="s">
        <v>1330</v>
      </c>
      <c r="D575" s="14">
        <v>45888</v>
      </c>
      <c r="E575" s="5">
        <v>20454205660</v>
      </c>
      <c r="F575" s="5" t="s">
        <v>1303</v>
      </c>
      <c r="G575" s="6"/>
      <c r="H575" s="6"/>
      <c r="I575" s="6" t="s">
        <v>3302</v>
      </c>
      <c r="J575" s="6">
        <v>81</v>
      </c>
      <c r="K575" s="7" t="s">
        <v>5232</v>
      </c>
      <c r="L575" s="8">
        <v>86476340</v>
      </c>
      <c r="M575" s="8" t="str">
        <f t="shared" si="56"/>
        <v>PEN</v>
      </c>
      <c r="N575" s="13"/>
      <c r="O575" s="13">
        <v>32</v>
      </c>
      <c r="P575" s="3">
        <f t="shared" si="57"/>
        <v>32</v>
      </c>
      <c r="Q575" s="3">
        <f t="shared" si="58"/>
        <v>0</v>
      </c>
      <c r="R575" s="3">
        <f t="shared" si="50"/>
        <v>52382.220000000008</v>
      </c>
      <c r="S575" s="24"/>
      <c r="T575" s="24"/>
      <c r="U575" s="3"/>
      <c r="V575" s="19" t="str">
        <f>IFERROR(VLOOKUP(Banco_Nacion[[#This Row],[responsable]],Clientes_Proveedores[[Ruc / Dni]:[Razon Social]],2,0),"")</f>
        <v>AQP NEGOCIOS GENERALES S.A.</v>
      </c>
      <c r="W575" s="19" t="str">
        <f>IF(Banco_Nacion[[#This Row],[tipo_mov]]="INGRESO",Banco_Nacion[[#This Row],[serie]]&amp;Banco_Nacion[[#This Row],[numero]]&amp;Banco_Nacion[[#This Row],[responsable]]&amp;Banco_Nacion[[#This Row],[monto]],"")</f>
        <v>FF02812045420566032</v>
      </c>
      <c r="X575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86476340</v>
      </c>
      <c r="Y575" s="3" t="str">
        <f>IFERROR(VLOOKUP(Banco_Nacion[[#This Row],[serie]]&amp;Banco_Nacion[[#This Row],[numero]]&amp;Banco_Nacion[[#This Row],[responsable]],[2]!Provision_CXC[[ID CXP]:[DETRACCION]],47,0),"")</f>
        <v/>
      </c>
      <c r="Z575" s="3"/>
      <c r="AA575" s="24" t="str">
        <f>IF(Banco_Nacion[[#This Row],[fecha]]&gt;0,TEXT(Banco_Nacion[[#This Row],[fecha]],"mmmm"),0)</f>
        <v>Agosto</v>
      </c>
    </row>
    <row r="576" spans="1:27" x14ac:dyDescent="0.3">
      <c r="A576" s="2">
        <f>IF(Banco_Nacion[[#This Row],[tipo_registro]]="R",COUNTIFS($C$1:$C575,"R")+1,"")</f>
        <v>575</v>
      </c>
      <c r="B576" s="19" t="str">
        <f t="shared" si="55"/>
        <v>B-Banco de la Nacion</v>
      </c>
      <c r="C576" s="3" t="s">
        <v>1330</v>
      </c>
      <c r="D576" s="14">
        <v>45888</v>
      </c>
      <c r="E576" s="5">
        <v>20613110586</v>
      </c>
      <c r="F576" s="5" t="s">
        <v>1303</v>
      </c>
      <c r="G576" s="6"/>
      <c r="H576" s="6"/>
      <c r="I576" s="6" t="s">
        <v>3302</v>
      </c>
      <c r="J576" s="6">
        <v>85</v>
      </c>
      <c r="K576" s="7" t="s">
        <v>5232</v>
      </c>
      <c r="L576" s="8">
        <v>86476339</v>
      </c>
      <c r="M576" s="8" t="str">
        <f t="shared" si="56"/>
        <v>PEN</v>
      </c>
      <c r="N576" s="13"/>
      <c r="O576" s="13">
        <v>89</v>
      </c>
      <c r="P576" s="3">
        <f t="shared" si="57"/>
        <v>89</v>
      </c>
      <c r="Q576" s="3">
        <f t="shared" si="58"/>
        <v>0</v>
      </c>
      <c r="R576" s="3">
        <f t="shared" si="50"/>
        <v>52471.220000000008</v>
      </c>
      <c r="S576" s="24"/>
      <c r="T576" s="24"/>
      <c r="U576" s="3"/>
      <c r="V576" s="19" t="str">
        <f>IFERROR(VLOOKUP(Banco_Nacion[[#This Row],[responsable]],Clientes_Proveedores[[Ruc / Dni]:[Razon Social]],2,0),"")</f>
        <v>ACTIVA SERVICIOS GASTRONOMICOS S.R.L.</v>
      </c>
      <c r="W576" s="19" t="str">
        <f>IF(Banco_Nacion[[#This Row],[tipo_mov]]="INGRESO",Banco_Nacion[[#This Row],[serie]]&amp;Banco_Nacion[[#This Row],[numero]]&amp;Banco_Nacion[[#This Row],[responsable]]&amp;Banco_Nacion[[#This Row],[monto]],"")</f>
        <v>FF02852061311058689</v>
      </c>
      <c r="X576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86476339</v>
      </c>
      <c r="Y576" s="3" t="str">
        <f>IFERROR(VLOOKUP(Banco_Nacion[[#This Row],[serie]]&amp;Banco_Nacion[[#This Row],[numero]]&amp;Banco_Nacion[[#This Row],[responsable]],[2]!Provision_CXC[[ID CXP]:[DETRACCION]],47,0),"")</f>
        <v/>
      </c>
      <c r="Z576" s="3"/>
      <c r="AA576" s="24" t="str">
        <f>IF(Banco_Nacion[[#This Row],[fecha]]&gt;0,TEXT(Banco_Nacion[[#This Row],[fecha]],"mmmm"),0)</f>
        <v>Agosto</v>
      </c>
    </row>
    <row r="577" spans="1:27" x14ac:dyDescent="0.3">
      <c r="A577" s="2">
        <f>IF(Banco_Nacion[[#This Row],[tipo_registro]]="R",COUNTIFS($C$1:$C576,"R")+1,"")</f>
        <v>576</v>
      </c>
      <c r="B577" s="19" t="str">
        <f t="shared" si="55"/>
        <v>B-Banco de la Nacion</v>
      </c>
      <c r="C577" s="3" t="s">
        <v>1330</v>
      </c>
      <c r="D577" s="14">
        <v>45888</v>
      </c>
      <c r="E577" s="5">
        <v>20456012427</v>
      </c>
      <c r="F577" s="5" t="s">
        <v>1303</v>
      </c>
      <c r="G577" s="6"/>
      <c r="H577" s="6"/>
      <c r="I577" s="6" t="s">
        <v>1784</v>
      </c>
      <c r="J577" s="6">
        <v>119</v>
      </c>
      <c r="K577" s="7" t="s">
        <v>5232</v>
      </c>
      <c r="L577" s="8">
        <v>86476338</v>
      </c>
      <c r="M577" s="8" t="str">
        <f t="shared" si="56"/>
        <v>PEN</v>
      </c>
      <c r="N577" s="13"/>
      <c r="O577" s="13">
        <v>120</v>
      </c>
      <c r="P577" s="3">
        <f t="shared" si="57"/>
        <v>120</v>
      </c>
      <c r="Q577" s="3">
        <f t="shared" si="58"/>
        <v>0</v>
      </c>
      <c r="R577" s="3">
        <f t="shared" si="50"/>
        <v>52591.220000000008</v>
      </c>
      <c r="S577" s="24"/>
      <c r="T577" s="24"/>
      <c r="U577" s="3"/>
      <c r="V577" s="19" t="str">
        <f>IFERROR(VLOOKUP(Banco_Nacion[[#This Row],[responsable]],Clientes_Proveedores[[Ruc / Dni]:[Razon Social]],2,0),"")</f>
        <v>J. CH. COMERCIALIZADORA DE RESIDUOS SOLIDOS S.R.L.</v>
      </c>
      <c r="W577" s="19" t="str">
        <f>IF(Banco_Nacion[[#This Row],[tipo_mov]]="INGRESO",Banco_Nacion[[#This Row],[serie]]&amp;Banco_Nacion[[#This Row],[numero]]&amp;Banco_Nacion[[#This Row],[responsable]]&amp;Banco_Nacion[[#This Row],[monto]],"")</f>
        <v>FF0111920456012427120</v>
      </c>
      <c r="X577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86476338</v>
      </c>
      <c r="Y577" s="3" t="str">
        <f>IFERROR(VLOOKUP(Banco_Nacion[[#This Row],[serie]]&amp;Banco_Nacion[[#This Row],[numero]]&amp;Banco_Nacion[[#This Row],[responsable]],[2]!Provision_CXC[[ID CXP]:[DETRACCION]],47,0),"")</f>
        <v/>
      </c>
      <c r="Z577" s="3"/>
      <c r="AA577" s="24" t="str">
        <f>IF(Banco_Nacion[[#This Row],[fecha]]&gt;0,TEXT(Banco_Nacion[[#This Row],[fecha]],"mmmm"),0)</f>
        <v>Agosto</v>
      </c>
    </row>
    <row r="578" spans="1:27" x14ac:dyDescent="0.3">
      <c r="A578" s="2">
        <f>IF(Banco_Nacion[[#This Row],[tipo_registro]]="R",COUNTIFS($C$1:$C577,"R")+1,"")</f>
        <v>577</v>
      </c>
      <c r="B578" s="19" t="str">
        <f t="shared" si="55"/>
        <v>B-Banco de la Nacion</v>
      </c>
      <c r="C578" s="3" t="s">
        <v>1330</v>
      </c>
      <c r="D578" s="14">
        <v>45888</v>
      </c>
      <c r="E578" s="5">
        <v>20607095788</v>
      </c>
      <c r="F578" s="5" t="s">
        <v>1303</v>
      </c>
      <c r="G578" s="6"/>
      <c r="H578" s="6"/>
      <c r="I578" s="6" t="s">
        <v>3302</v>
      </c>
      <c r="J578" s="6">
        <v>60</v>
      </c>
      <c r="K578" s="7" t="s">
        <v>5232</v>
      </c>
      <c r="L578" s="8">
        <v>86476337</v>
      </c>
      <c r="M578" s="8" t="str">
        <f t="shared" si="56"/>
        <v>PEN</v>
      </c>
      <c r="N578" s="13"/>
      <c r="O578" s="13">
        <v>124</v>
      </c>
      <c r="P578" s="3">
        <f t="shared" si="57"/>
        <v>124</v>
      </c>
      <c r="Q578" s="3">
        <f t="shared" si="58"/>
        <v>0</v>
      </c>
      <c r="R578" s="3">
        <f t="shared" ref="R578:R641" si="59">IFERROR(IF(F578="SALDO",P578,R577+P578-Q578),0)</f>
        <v>52715.220000000008</v>
      </c>
      <c r="S578" s="24"/>
      <c r="T578" s="24"/>
      <c r="U578" s="3"/>
      <c r="V578" s="19" t="str">
        <f>IFERROR(VLOOKUP(Banco_Nacion[[#This Row],[responsable]],Clientes_Proveedores[[Ruc / Dni]:[Razon Social]],2,0),"")</f>
        <v>TJM EQUIPOS Y CONSTRUCCION S.C.R.L.</v>
      </c>
      <c r="W578" s="19" t="str">
        <f>IF(Banco_Nacion[[#This Row],[tipo_mov]]="INGRESO",Banco_Nacion[[#This Row],[serie]]&amp;Banco_Nacion[[#This Row],[numero]]&amp;Banco_Nacion[[#This Row],[responsable]]&amp;Banco_Nacion[[#This Row],[monto]],"")</f>
        <v>FF026020607095788124</v>
      </c>
      <c r="X578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86476337</v>
      </c>
      <c r="Y578" s="3" t="str">
        <f>IFERROR(VLOOKUP(Banco_Nacion[[#This Row],[serie]]&amp;Banco_Nacion[[#This Row],[numero]]&amp;Banco_Nacion[[#This Row],[responsable]],[2]!Provision_CXC[[ID CXP]:[DETRACCION]],47,0),"")</f>
        <v/>
      </c>
      <c r="Z578" s="3"/>
      <c r="AA578" s="24" t="str">
        <f>IF(Banco_Nacion[[#This Row],[fecha]]&gt;0,TEXT(Banco_Nacion[[#This Row],[fecha]],"mmmm"),0)</f>
        <v>Agosto</v>
      </c>
    </row>
    <row r="579" spans="1:27" x14ac:dyDescent="0.3">
      <c r="A579" s="2">
        <f>IF(Banco_Nacion[[#This Row],[tipo_registro]]="R",COUNTIFS($C$1:$C578,"R")+1,"")</f>
        <v>578</v>
      </c>
      <c r="B579" s="19" t="str">
        <f t="shared" si="55"/>
        <v>B-Banco de la Nacion</v>
      </c>
      <c r="C579" s="3" t="s">
        <v>1330</v>
      </c>
      <c r="D579" s="14">
        <v>45888</v>
      </c>
      <c r="E579" s="5">
        <v>20613110586</v>
      </c>
      <c r="F579" s="5" t="s">
        <v>1303</v>
      </c>
      <c r="G579" s="6"/>
      <c r="H579" s="6"/>
      <c r="I579" s="6" t="s">
        <v>3302</v>
      </c>
      <c r="J579" s="6">
        <v>58</v>
      </c>
      <c r="K579" s="7" t="s">
        <v>5232</v>
      </c>
      <c r="L579" s="8">
        <v>86476336</v>
      </c>
      <c r="M579" s="8" t="str">
        <f t="shared" si="56"/>
        <v>PEN</v>
      </c>
      <c r="N579" s="13"/>
      <c r="O579" s="13">
        <v>97</v>
      </c>
      <c r="P579" s="3">
        <f t="shared" si="57"/>
        <v>97</v>
      </c>
      <c r="Q579" s="3">
        <f t="shared" si="58"/>
        <v>0</v>
      </c>
      <c r="R579" s="3">
        <f t="shared" si="59"/>
        <v>52812.220000000008</v>
      </c>
      <c r="S579" s="24"/>
      <c r="T579" s="24"/>
      <c r="U579" s="3"/>
      <c r="V579" s="19" t="str">
        <f>IFERROR(VLOOKUP(Banco_Nacion[[#This Row],[responsable]],Clientes_Proveedores[[Ruc / Dni]:[Razon Social]],2,0),"")</f>
        <v>ACTIVA SERVICIOS GASTRONOMICOS S.R.L.</v>
      </c>
      <c r="W579" s="19" t="str">
        <f>IF(Banco_Nacion[[#This Row],[tipo_mov]]="INGRESO",Banco_Nacion[[#This Row],[serie]]&amp;Banco_Nacion[[#This Row],[numero]]&amp;Banco_Nacion[[#This Row],[responsable]]&amp;Banco_Nacion[[#This Row],[monto]],"")</f>
        <v>FF02582061311058697</v>
      </c>
      <c r="X579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86476336</v>
      </c>
      <c r="Y579" s="3" t="str">
        <f>IFERROR(VLOOKUP(Banco_Nacion[[#This Row],[serie]]&amp;Banco_Nacion[[#This Row],[numero]]&amp;Banco_Nacion[[#This Row],[responsable]],[2]!Provision_CXC[[ID CXP]:[DETRACCION]],47,0),"")</f>
        <v/>
      </c>
      <c r="Z579" s="3"/>
      <c r="AA579" s="24" t="str">
        <f>IF(Banco_Nacion[[#This Row],[fecha]]&gt;0,TEXT(Banco_Nacion[[#This Row],[fecha]],"mmmm"),0)</f>
        <v>Agosto</v>
      </c>
    </row>
    <row r="580" spans="1:27" x14ac:dyDescent="0.3">
      <c r="A580" s="2">
        <f>IF(Banco_Nacion[[#This Row],[tipo_registro]]="R",COUNTIFS($C$1:$C579,"R")+1,"")</f>
        <v>579</v>
      </c>
      <c r="B580" s="19" t="str">
        <f t="shared" si="55"/>
        <v>B-Banco de la Nacion</v>
      </c>
      <c r="C580" s="3" t="s">
        <v>1330</v>
      </c>
      <c r="D580" s="14">
        <v>45888</v>
      </c>
      <c r="E580" s="5">
        <v>20456012427</v>
      </c>
      <c r="F580" s="5" t="s">
        <v>1303</v>
      </c>
      <c r="G580" s="6"/>
      <c r="H580" s="6"/>
      <c r="I580" s="6" t="s">
        <v>1784</v>
      </c>
      <c r="J580" s="6">
        <v>108</v>
      </c>
      <c r="K580" s="7" t="s">
        <v>5232</v>
      </c>
      <c r="L580" s="8">
        <v>86476335</v>
      </c>
      <c r="M580" s="8" t="str">
        <f t="shared" si="56"/>
        <v>PEN</v>
      </c>
      <c r="N580" s="13"/>
      <c r="O580" s="13">
        <v>246</v>
      </c>
      <c r="P580" s="3">
        <f t="shared" si="57"/>
        <v>246</v>
      </c>
      <c r="Q580" s="3">
        <f t="shared" si="58"/>
        <v>0</v>
      </c>
      <c r="R580" s="3">
        <f t="shared" si="59"/>
        <v>53058.220000000008</v>
      </c>
      <c r="S580" s="24"/>
      <c r="T580" s="24"/>
      <c r="U580" s="3"/>
      <c r="V580" s="19" t="str">
        <f>IFERROR(VLOOKUP(Banco_Nacion[[#This Row],[responsable]],Clientes_Proveedores[[Ruc / Dni]:[Razon Social]],2,0),"")</f>
        <v>J. CH. COMERCIALIZADORA DE RESIDUOS SOLIDOS S.R.L.</v>
      </c>
      <c r="W580" s="19" t="str">
        <f>IF(Banco_Nacion[[#This Row],[tipo_mov]]="INGRESO",Banco_Nacion[[#This Row],[serie]]&amp;Banco_Nacion[[#This Row],[numero]]&amp;Banco_Nacion[[#This Row],[responsable]]&amp;Banco_Nacion[[#This Row],[monto]],"")</f>
        <v>FF0110820456012427246</v>
      </c>
      <c r="X580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86476335</v>
      </c>
      <c r="Y580" s="3" t="str">
        <f>IFERROR(VLOOKUP(Banco_Nacion[[#This Row],[serie]]&amp;Banco_Nacion[[#This Row],[numero]]&amp;Banco_Nacion[[#This Row],[responsable]],[2]!Provision_CXC[[ID CXP]:[DETRACCION]],47,0),"")</f>
        <v/>
      </c>
      <c r="Z580" s="3"/>
      <c r="AA580" s="24" t="str">
        <f>IF(Banco_Nacion[[#This Row],[fecha]]&gt;0,TEXT(Banco_Nacion[[#This Row],[fecha]],"mmmm"),0)</f>
        <v>Agosto</v>
      </c>
    </row>
    <row r="581" spans="1:27" x14ac:dyDescent="0.3">
      <c r="A581" s="2">
        <f>IF(Banco_Nacion[[#This Row],[tipo_registro]]="R",COUNTIFS($C$1:$C580,"R")+1,"")</f>
        <v>580</v>
      </c>
      <c r="B581" s="19" t="str">
        <f t="shared" si="55"/>
        <v>B-Banco de la Nacion</v>
      </c>
      <c r="C581" s="3" t="s">
        <v>1330</v>
      </c>
      <c r="D581" s="14">
        <v>45888</v>
      </c>
      <c r="E581" s="5">
        <v>20558253861</v>
      </c>
      <c r="F581" s="5" t="s">
        <v>1303</v>
      </c>
      <c r="G581" s="6"/>
      <c r="H581" s="6"/>
      <c r="I581" s="6" t="s">
        <v>1784</v>
      </c>
      <c r="J581" s="6">
        <v>99</v>
      </c>
      <c r="K581" s="7" t="s">
        <v>5232</v>
      </c>
      <c r="L581" s="8">
        <v>86476334</v>
      </c>
      <c r="M581" s="8" t="str">
        <f t="shared" si="56"/>
        <v>PEN</v>
      </c>
      <c r="N581" s="13"/>
      <c r="O581" s="13">
        <v>568</v>
      </c>
      <c r="P581" s="3">
        <f t="shared" si="57"/>
        <v>568</v>
      </c>
      <c r="Q581" s="3">
        <f t="shared" si="58"/>
        <v>0</v>
      </c>
      <c r="R581" s="3">
        <f t="shared" si="59"/>
        <v>53626.220000000008</v>
      </c>
      <c r="S581" s="24"/>
      <c r="T581" s="24"/>
      <c r="U581" s="3"/>
      <c r="V581" s="19" t="str">
        <f>IFERROR(VLOOKUP(Banco_Nacion[[#This Row],[responsable]],Clientes_Proveedores[[Ruc / Dni]:[Razon Social]],2,0),"")</f>
        <v>AZ ARQUITECTOS E.I.R.L.</v>
      </c>
      <c r="W581" s="19" t="str">
        <f>IF(Banco_Nacion[[#This Row],[tipo_mov]]="INGRESO",Banco_Nacion[[#This Row],[serie]]&amp;Banco_Nacion[[#This Row],[numero]]&amp;Banco_Nacion[[#This Row],[responsable]]&amp;Banco_Nacion[[#This Row],[monto]],"")</f>
        <v>FF019920558253861568</v>
      </c>
      <c r="X581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86476334</v>
      </c>
      <c r="Y581" s="3" t="str">
        <f>IFERROR(VLOOKUP(Banco_Nacion[[#This Row],[serie]]&amp;Banco_Nacion[[#This Row],[numero]]&amp;Banco_Nacion[[#This Row],[responsable]],[2]!Provision_CXC[[ID CXP]:[DETRACCION]],47,0),"")</f>
        <v/>
      </c>
      <c r="Z581" s="3"/>
      <c r="AA581" s="24" t="str">
        <f>IF(Banco_Nacion[[#This Row],[fecha]]&gt;0,TEXT(Banco_Nacion[[#This Row],[fecha]],"mmmm"),0)</f>
        <v>Agosto</v>
      </c>
    </row>
    <row r="582" spans="1:27" x14ac:dyDescent="0.3">
      <c r="A582" s="2">
        <f>IF(Banco_Nacion[[#This Row],[tipo_registro]]="R",COUNTIFS($C$1:$C581,"R")+1,"")</f>
        <v>581</v>
      </c>
      <c r="B582" s="19" t="str">
        <f t="shared" si="55"/>
        <v>B-Banco de la Nacion</v>
      </c>
      <c r="C582" s="3" t="s">
        <v>1330</v>
      </c>
      <c r="D582" s="14">
        <v>45888</v>
      </c>
      <c r="E582" s="5">
        <v>20613110586</v>
      </c>
      <c r="F582" s="5" t="s">
        <v>1303</v>
      </c>
      <c r="G582" s="6"/>
      <c r="H582" s="6"/>
      <c r="I582" s="6" t="s">
        <v>3302</v>
      </c>
      <c r="J582" s="6">
        <v>40</v>
      </c>
      <c r="K582" s="7" t="s">
        <v>5232</v>
      </c>
      <c r="L582" s="8">
        <v>86476333</v>
      </c>
      <c r="M582" s="8" t="str">
        <f t="shared" si="56"/>
        <v>PEN</v>
      </c>
      <c r="N582" s="13"/>
      <c r="O582" s="13">
        <v>93</v>
      </c>
      <c r="P582" s="3">
        <f t="shared" si="57"/>
        <v>93</v>
      </c>
      <c r="Q582" s="3">
        <f t="shared" si="58"/>
        <v>0</v>
      </c>
      <c r="R582" s="3">
        <f t="shared" si="59"/>
        <v>53719.220000000008</v>
      </c>
      <c r="S582" s="24"/>
      <c r="T582" s="24"/>
      <c r="U582" s="3"/>
      <c r="V582" s="19" t="str">
        <f>IFERROR(VLOOKUP(Banco_Nacion[[#This Row],[responsable]],Clientes_Proveedores[[Ruc / Dni]:[Razon Social]],2,0),"")</f>
        <v>ACTIVA SERVICIOS GASTRONOMICOS S.R.L.</v>
      </c>
      <c r="W582" s="19" t="str">
        <f>IF(Banco_Nacion[[#This Row],[tipo_mov]]="INGRESO",Banco_Nacion[[#This Row],[serie]]&amp;Banco_Nacion[[#This Row],[numero]]&amp;Banco_Nacion[[#This Row],[responsable]]&amp;Banco_Nacion[[#This Row],[monto]],"")</f>
        <v>FF02402061311058693</v>
      </c>
      <c r="X582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86476333</v>
      </c>
      <c r="Y582" s="3" t="str">
        <f>IFERROR(VLOOKUP(Banco_Nacion[[#This Row],[serie]]&amp;Banco_Nacion[[#This Row],[numero]]&amp;Banco_Nacion[[#This Row],[responsable]],[2]!Provision_CXC[[ID CXP]:[DETRACCION]],47,0),"")</f>
        <v/>
      </c>
      <c r="Z582" s="3"/>
      <c r="AA582" s="24" t="str">
        <f>IF(Banco_Nacion[[#This Row],[fecha]]&gt;0,TEXT(Banco_Nacion[[#This Row],[fecha]],"mmmm"),0)</f>
        <v>Agosto</v>
      </c>
    </row>
    <row r="583" spans="1:27" x14ac:dyDescent="0.3">
      <c r="A583" s="2">
        <f>IF(Banco_Nacion[[#This Row],[tipo_registro]]="R",COUNTIFS($C$1:$C582,"R")+1,"")</f>
        <v>582</v>
      </c>
      <c r="B583" s="19" t="str">
        <f>"B-Banco de la Nacion"</f>
        <v>B-Banco de la Nacion</v>
      </c>
      <c r="C583" s="3" t="s">
        <v>1330</v>
      </c>
      <c r="D583" s="14">
        <v>45891</v>
      </c>
      <c r="E583" s="5">
        <v>20100055237</v>
      </c>
      <c r="F583" s="5" t="s">
        <v>1303</v>
      </c>
      <c r="G583" s="6"/>
      <c r="H583" s="6"/>
      <c r="I583" s="6" t="s">
        <v>1784</v>
      </c>
      <c r="J583" s="6">
        <v>205</v>
      </c>
      <c r="K583" s="7" t="s">
        <v>5232</v>
      </c>
      <c r="L583" s="8">
        <v>86872165</v>
      </c>
      <c r="M583" s="8" t="str">
        <f>"PEN"</f>
        <v>PEN</v>
      </c>
      <c r="N583" s="13"/>
      <c r="O583" s="13">
        <v>127</v>
      </c>
      <c r="P583" s="3">
        <f>+IF(OR($F583="SALDO",$F583="INGRESO"),$O583,0)</f>
        <v>127</v>
      </c>
      <c r="Q583" s="3">
        <f>+IF($F583="EGRESO",$O583,0)</f>
        <v>0</v>
      </c>
      <c r="R583" s="3">
        <f t="shared" si="59"/>
        <v>53846.220000000008</v>
      </c>
      <c r="S583" s="24" t="s">
        <v>1334</v>
      </c>
      <c r="T583" s="24" t="s">
        <v>1334</v>
      </c>
      <c r="U583" s="3"/>
      <c r="V583" s="19" t="str">
        <f>IFERROR(VLOOKUP(Banco_Nacion[[#This Row],[responsable]],Clientes_Proveedores[[Ruc / Dni]:[Razon Social]],2,0),"")</f>
        <v>ALICORP SAA</v>
      </c>
      <c r="W583" s="19" t="str">
        <f>IF(Banco_Nacion[[#This Row],[tipo_mov]]="INGRESO",Banco_Nacion[[#This Row],[serie]]&amp;Banco_Nacion[[#This Row],[numero]]&amp;Banco_Nacion[[#This Row],[responsable]]&amp;Banco_Nacion[[#This Row],[monto]],"")</f>
        <v>FF0120520100055237127</v>
      </c>
      <c r="X583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86872165</v>
      </c>
      <c r="Y583" s="3" t="str">
        <f>IFERROR(VLOOKUP(Banco_Nacion[[#This Row],[serie]]&amp;Banco_Nacion[[#This Row],[numero]]&amp;Banco_Nacion[[#This Row],[responsable]],[2]!Provision_CXC[[ID CXP]:[DETRACCION]],47,0),"")</f>
        <v/>
      </c>
      <c r="Z583" s="3"/>
      <c r="AA583" s="24" t="str">
        <f>IF(Banco_Nacion[[#This Row],[fecha]]&gt;0,TEXT(Banco_Nacion[[#This Row],[fecha]],"mmmm"),0)</f>
        <v>Agosto</v>
      </c>
    </row>
    <row r="584" spans="1:27" x14ac:dyDescent="0.3">
      <c r="A584" s="2">
        <f>IF(Banco_Nacion[[#This Row],[tipo_registro]]="R",COUNTIFS($C$1:$C583,"R")+1,"")</f>
        <v>583</v>
      </c>
      <c r="B584" s="19" t="str">
        <f>"B-Banco de la Nacion"</f>
        <v>B-Banco de la Nacion</v>
      </c>
      <c r="C584" s="3" t="s">
        <v>1330</v>
      </c>
      <c r="D584" s="14">
        <v>45891</v>
      </c>
      <c r="E584" s="5"/>
      <c r="F584" s="5" t="s">
        <v>1336</v>
      </c>
      <c r="G584" s="6"/>
      <c r="H584" s="6"/>
      <c r="I584" s="6"/>
      <c r="J584" s="6"/>
      <c r="K584" s="7" t="s">
        <v>5234</v>
      </c>
      <c r="L584" s="8">
        <v>78787878</v>
      </c>
      <c r="M584" s="8" t="str">
        <f>"PEN"</f>
        <v>PEN</v>
      </c>
      <c r="N584" s="13"/>
      <c r="O584" s="13">
        <v>3849</v>
      </c>
      <c r="P584" s="3">
        <f>+IF(OR($F584="SALDO",$F584="INGRESO"),$O584,0)</f>
        <v>0</v>
      </c>
      <c r="Q584" s="3">
        <f>+IF($F584="EGRESO",$O584,0)</f>
        <v>3849</v>
      </c>
      <c r="R584" s="3">
        <f t="shared" si="59"/>
        <v>49997.220000000008</v>
      </c>
      <c r="S584" s="24"/>
      <c r="T584" s="24"/>
      <c r="U584" s="3"/>
      <c r="V584" s="19" t="str">
        <f>IFERROR(VLOOKUP(Banco_Nacion[[#This Row],[responsable]],Clientes_Proveedores[[Ruc / Dni]:[Razon Social]],2,0),"")</f>
        <v/>
      </c>
      <c r="W584" s="19" t="str">
        <f>IF(Banco_Nacion[[#This Row],[tipo_mov]]="INGRESO",Banco_Nacion[[#This Row],[serie]]&amp;Banco_Nacion[[#This Row],[numero]]&amp;Banco_Nacion[[#This Row],[responsable]]&amp;Banco_Nacion[[#This Row],[monto]],"")</f>
        <v/>
      </c>
      <c r="X584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/>
      </c>
      <c r="Y584" s="3" t="str">
        <f>IFERROR(VLOOKUP(Banco_Nacion[[#This Row],[serie]]&amp;Banco_Nacion[[#This Row],[numero]]&amp;Banco_Nacion[[#This Row],[responsable]],[2]!Provision_CXC[[ID CXP]:[DETRACCION]],47,0),"")</f>
        <v/>
      </c>
      <c r="Z584" s="3"/>
      <c r="AA584" s="24" t="str">
        <f>IF(Banco_Nacion[[#This Row],[fecha]]&gt;0,TEXT(Banco_Nacion[[#This Row],[fecha]],"mmmm"),0)</f>
        <v>Agosto</v>
      </c>
    </row>
    <row r="585" spans="1:27" x14ac:dyDescent="0.3">
      <c r="A585" s="2">
        <f>IF(Banco_Nacion[[#This Row],[tipo_registro]]="R",COUNTIFS($C$1:$C584,"R")+1,"")</f>
        <v>584</v>
      </c>
      <c r="B585" s="19" t="str">
        <f t="shared" ref="B585:B655" si="60">"B-Banco de la Nacion"</f>
        <v>B-Banco de la Nacion</v>
      </c>
      <c r="C585" s="3" t="s">
        <v>1330</v>
      </c>
      <c r="D585" s="14">
        <v>45894</v>
      </c>
      <c r="E585" s="5">
        <v>20424092941</v>
      </c>
      <c r="F585" s="5" t="s">
        <v>1303</v>
      </c>
      <c r="G585" s="6"/>
      <c r="H585" s="6"/>
      <c r="I585" s="6" t="s">
        <v>3302</v>
      </c>
      <c r="J585" s="6">
        <v>109</v>
      </c>
      <c r="K585" s="7" t="s">
        <v>5232</v>
      </c>
      <c r="L585" s="8">
        <v>86970420</v>
      </c>
      <c r="M585" s="8" t="str">
        <f t="shared" ref="M585:M655" si="61">"PEN"</f>
        <v>PEN</v>
      </c>
      <c r="N585" s="13"/>
      <c r="O585" s="13">
        <v>96</v>
      </c>
      <c r="P585" s="3">
        <f t="shared" ref="P585:P655" si="62">+IF(OR($F585="SALDO",$F585="INGRESO"),$O585,0)</f>
        <v>96</v>
      </c>
      <c r="Q585" s="3">
        <f t="shared" ref="Q585:Q655" si="63">+IF($F585="EGRESO",$O585,0)</f>
        <v>0</v>
      </c>
      <c r="R585" s="3">
        <f t="shared" si="59"/>
        <v>50093.220000000008</v>
      </c>
      <c r="S585" s="28" t="s">
        <v>1334</v>
      </c>
      <c r="T585" s="28" t="s">
        <v>1334</v>
      </c>
      <c r="U585" s="3"/>
      <c r="V585" s="19" t="str">
        <f>IFERROR(VLOOKUP(Banco_Nacion[[#This Row],[responsable]],Clientes_Proveedores[[Ruc / Dni]:[Razon Social]],2,0),"")</f>
        <v>TRANSPORTES PEREDA S.R.L.</v>
      </c>
      <c r="W585" s="19" t="str">
        <f>IF(Banco_Nacion[[#This Row],[tipo_mov]]="INGRESO",Banco_Nacion[[#This Row],[serie]]&amp;Banco_Nacion[[#This Row],[numero]]&amp;Banco_Nacion[[#This Row],[responsable]]&amp;Banco_Nacion[[#This Row],[monto]],"")</f>
        <v>FF021092042409294196</v>
      </c>
      <c r="X585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86970420</v>
      </c>
      <c r="Y585" s="3" t="str">
        <f>IFERROR(VLOOKUP(Banco_Nacion[[#This Row],[serie]]&amp;Banco_Nacion[[#This Row],[numero]]&amp;Banco_Nacion[[#This Row],[responsable]],[2]!Provision_CXC[[ID CXP]:[DETRACCION]],47,0),"")</f>
        <v/>
      </c>
      <c r="Z585" s="3"/>
      <c r="AA585" s="24" t="str">
        <f>IF(Banco_Nacion[[#This Row],[fecha]]&gt;0,TEXT(Banco_Nacion[[#This Row],[fecha]],"mmmm"),0)</f>
        <v>Agosto</v>
      </c>
    </row>
    <row r="586" spans="1:27" x14ac:dyDescent="0.3">
      <c r="A586" s="2">
        <f>IF(Banco_Nacion[[#This Row],[tipo_registro]]="R",COUNTIFS($C$1:$C585,"R")+1,"")</f>
        <v>585</v>
      </c>
      <c r="B586" s="19" t="str">
        <f t="shared" si="60"/>
        <v>B-Banco de la Nacion</v>
      </c>
      <c r="C586" s="3" t="s">
        <v>1330</v>
      </c>
      <c r="D586" s="14">
        <v>45894</v>
      </c>
      <c r="E586" s="5">
        <v>20607388416</v>
      </c>
      <c r="F586" s="5" t="s">
        <v>1303</v>
      </c>
      <c r="G586" s="6"/>
      <c r="H586" s="6"/>
      <c r="I586" s="6" t="s">
        <v>3381</v>
      </c>
      <c r="J586" s="6">
        <v>58</v>
      </c>
      <c r="K586" s="7" t="s">
        <v>5232</v>
      </c>
      <c r="L586" s="8">
        <v>86942844</v>
      </c>
      <c r="M586" s="8" t="str">
        <f t="shared" si="61"/>
        <v>PEN</v>
      </c>
      <c r="N586" s="13"/>
      <c r="O586" s="13">
        <v>315</v>
      </c>
      <c r="P586" s="3">
        <f t="shared" si="62"/>
        <v>315</v>
      </c>
      <c r="Q586" s="3">
        <f t="shared" si="63"/>
        <v>0</v>
      </c>
      <c r="R586" s="3">
        <f t="shared" si="59"/>
        <v>50408.220000000008</v>
      </c>
      <c r="S586" s="28" t="s">
        <v>1334</v>
      </c>
      <c r="T586" s="28" t="s">
        <v>1334</v>
      </c>
      <c r="U586" s="3"/>
      <c r="V586" s="19" t="str">
        <f>IFERROR(VLOOKUP(Banco_Nacion[[#This Row],[responsable]],Clientes_Proveedores[[Ruc / Dni]:[Razon Social]],2,0),"")</f>
        <v>ALEACIONES FERROSAS Y METALICAS S.A.C.</v>
      </c>
      <c r="W586" s="19" t="str">
        <f>IF(Banco_Nacion[[#This Row],[tipo_mov]]="INGRESO",Banco_Nacion[[#This Row],[serie]]&amp;Banco_Nacion[[#This Row],[numero]]&amp;Banco_Nacion[[#This Row],[responsable]]&amp;Banco_Nacion[[#This Row],[monto]],"")</f>
        <v>FF055820607388416315</v>
      </c>
      <c r="X586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86942844</v>
      </c>
      <c r="Y586" s="3" t="str">
        <f>IFERROR(VLOOKUP(Banco_Nacion[[#This Row],[serie]]&amp;Banco_Nacion[[#This Row],[numero]]&amp;Banco_Nacion[[#This Row],[responsable]],[2]!Provision_CXC[[ID CXP]:[DETRACCION]],47,0),"")</f>
        <v/>
      </c>
      <c r="Z586" s="3"/>
      <c r="AA586" s="24" t="str">
        <f>IF(Banco_Nacion[[#This Row],[fecha]]&gt;0,TEXT(Banco_Nacion[[#This Row],[fecha]],"mmmm"),0)</f>
        <v>Agosto</v>
      </c>
    </row>
    <row r="587" spans="1:27" x14ac:dyDescent="0.3">
      <c r="A587" s="2">
        <f>IF(Banco_Nacion[[#This Row],[tipo_registro]]="R",COUNTIFS($C$1:$C586,"R")+1,"")</f>
        <v>586</v>
      </c>
      <c r="B587" s="19" t="str">
        <f t="shared" si="60"/>
        <v>B-Banco de la Nacion</v>
      </c>
      <c r="C587" s="3" t="s">
        <v>1330</v>
      </c>
      <c r="D587" s="14">
        <v>45894</v>
      </c>
      <c r="E587" s="5">
        <v>20607388416</v>
      </c>
      <c r="F587" s="5" t="s">
        <v>1303</v>
      </c>
      <c r="G587" s="6"/>
      <c r="H587" s="6"/>
      <c r="I587" s="6" t="s">
        <v>3381</v>
      </c>
      <c r="J587" s="6">
        <v>56</v>
      </c>
      <c r="K587" s="7" t="s">
        <v>5232</v>
      </c>
      <c r="L587" s="8">
        <v>86942841</v>
      </c>
      <c r="M587" s="8" t="str">
        <f t="shared" si="61"/>
        <v>PEN</v>
      </c>
      <c r="N587" s="13"/>
      <c r="O587" s="13">
        <v>183</v>
      </c>
      <c r="P587" s="3">
        <f t="shared" si="62"/>
        <v>183</v>
      </c>
      <c r="Q587" s="3">
        <f t="shared" si="63"/>
        <v>0</v>
      </c>
      <c r="R587" s="3">
        <f t="shared" si="59"/>
        <v>50591.220000000008</v>
      </c>
      <c r="S587" s="28" t="s">
        <v>1334</v>
      </c>
      <c r="T587" s="28" t="s">
        <v>1334</v>
      </c>
      <c r="U587" s="3"/>
      <c r="V587" s="19" t="str">
        <f>IFERROR(VLOOKUP(Banco_Nacion[[#This Row],[responsable]],Clientes_Proveedores[[Ruc / Dni]:[Razon Social]],2,0),"")</f>
        <v>ALEACIONES FERROSAS Y METALICAS S.A.C.</v>
      </c>
      <c r="W587" s="19" t="str">
        <f>IF(Banco_Nacion[[#This Row],[tipo_mov]]="INGRESO",Banco_Nacion[[#This Row],[serie]]&amp;Banco_Nacion[[#This Row],[numero]]&amp;Banco_Nacion[[#This Row],[responsable]]&amp;Banco_Nacion[[#This Row],[monto]],"")</f>
        <v>FF055620607388416183</v>
      </c>
      <c r="X587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86942841</v>
      </c>
      <c r="Y587" s="3" t="str">
        <f>IFERROR(VLOOKUP(Banco_Nacion[[#This Row],[serie]]&amp;Banco_Nacion[[#This Row],[numero]]&amp;Banco_Nacion[[#This Row],[responsable]],[2]!Provision_CXC[[ID CXP]:[DETRACCION]],47,0),"")</f>
        <v/>
      </c>
      <c r="Z587" s="3"/>
      <c r="AA587" s="24" t="str">
        <f>IF(Banco_Nacion[[#This Row],[fecha]]&gt;0,TEXT(Banco_Nacion[[#This Row],[fecha]],"mmmm"),0)</f>
        <v>Agosto</v>
      </c>
    </row>
    <row r="588" spans="1:27" x14ac:dyDescent="0.3">
      <c r="A588" s="2">
        <f>IF(Banco_Nacion[[#This Row],[tipo_registro]]="R",COUNTIFS($C$1:$C587,"R")+1,"")</f>
        <v>587</v>
      </c>
      <c r="B588" s="19" t="str">
        <f t="shared" si="60"/>
        <v>B-Banco de la Nacion</v>
      </c>
      <c r="C588" s="3" t="s">
        <v>1330</v>
      </c>
      <c r="D588" s="14">
        <v>45894</v>
      </c>
      <c r="E588" s="5" t="s">
        <v>3833</v>
      </c>
      <c r="F588" s="5" t="s">
        <v>1336</v>
      </c>
      <c r="G588" s="6"/>
      <c r="H588" s="6"/>
      <c r="I588" s="6"/>
      <c r="J588" s="6"/>
      <c r="K588" s="7" t="s">
        <v>5234</v>
      </c>
      <c r="L588" s="8">
        <v>78787878</v>
      </c>
      <c r="M588" s="8" t="str">
        <f t="shared" si="61"/>
        <v>PEN</v>
      </c>
      <c r="N588" s="13"/>
      <c r="O588" s="13">
        <v>12344</v>
      </c>
      <c r="P588" s="3">
        <f t="shared" si="62"/>
        <v>0</v>
      </c>
      <c r="Q588" s="3">
        <f t="shared" si="63"/>
        <v>12344</v>
      </c>
      <c r="R588" s="3">
        <f t="shared" si="59"/>
        <v>38247.220000000008</v>
      </c>
      <c r="S588" s="24"/>
      <c r="T588" s="24"/>
      <c r="U588" s="3"/>
      <c r="V588" s="19" t="str">
        <f>IFERROR(VLOOKUP(Banco_Nacion[[#This Row],[responsable]],Clientes_Proveedores[[Ruc / Dni]:[Razon Social]],2,0),"")</f>
        <v/>
      </c>
      <c r="W588" s="19" t="str">
        <f>IF(Banco_Nacion[[#This Row],[tipo_mov]]="INGRESO",Banco_Nacion[[#This Row],[serie]]&amp;Banco_Nacion[[#This Row],[numero]]&amp;Banco_Nacion[[#This Row],[responsable]]&amp;Banco_Nacion[[#This Row],[monto]],"")</f>
        <v/>
      </c>
      <c r="X588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/>
      </c>
      <c r="Y588" s="3" t="str">
        <f>IFERROR(VLOOKUP(Banco_Nacion[[#This Row],[serie]]&amp;Banco_Nacion[[#This Row],[numero]]&amp;Banco_Nacion[[#This Row],[responsable]],[2]!Provision_CXC[[ID CXP]:[DETRACCION]],47,0),"")</f>
        <v/>
      </c>
      <c r="Z588" s="3"/>
      <c r="AA588" s="24" t="str">
        <f>IF(Banco_Nacion[[#This Row],[fecha]]&gt;0,TEXT(Banco_Nacion[[#This Row],[fecha]],"mmmm"),0)</f>
        <v>Agosto</v>
      </c>
    </row>
    <row r="589" spans="1:27" ht="24" x14ac:dyDescent="0.3">
      <c r="A589" s="2" t="str">
        <f>IF(Banco_Nacion[[#This Row],[tipo_registro]]="R",COUNTIFS($C$1:$C588,"R")+1,"")</f>
        <v/>
      </c>
      <c r="B589" s="19" t="str">
        <f t="shared" ref="B589:B620" si="64">"B-Banco de la Nacion"</f>
        <v>B-Banco de la Nacion</v>
      </c>
      <c r="C589" s="3" t="s">
        <v>1352</v>
      </c>
      <c r="D589" s="14">
        <v>45894</v>
      </c>
      <c r="E589" s="5" t="s">
        <v>3833</v>
      </c>
      <c r="F589" s="5"/>
      <c r="G589" s="6" t="s">
        <v>1013</v>
      </c>
      <c r="H589" s="6" t="s">
        <v>151</v>
      </c>
      <c r="I589" s="6" t="s">
        <v>5237</v>
      </c>
      <c r="J589" s="6">
        <v>1</v>
      </c>
      <c r="K589" s="7"/>
      <c r="L589" s="8">
        <v>78787878</v>
      </c>
      <c r="M589" s="8" t="str">
        <f t="shared" ref="M589:M620" si="65">"PEN"</f>
        <v>PEN</v>
      </c>
      <c r="N589" s="13">
        <v>157.5</v>
      </c>
      <c r="O589" s="13"/>
      <c r="P589" s="3">
        <f t="shared" ref="P589:P620" si="66">+IF(OR($F589="SALDO",$F589="INGRESO"),$O589,0)</f>
        <v>0</v>
      </c>
      <c r="Q589" s="3">
        <f t="shared" ref="Q589:Q620" si="67">+IF($F589="EGRESO",$O589,0)</f>
        <v>0</v>
      </c>
      <c r="R589" s="3">
        <f t="shared" si="59"/>
        <v>38247.220000000008</v>
      </c>
      <c r="S589" s="24"/>
      <c r="T589" s="24"/>
      <c r="U589" s="3"/>
      <c r="V589" s="19" t="str">
        <f>IFERROR(VLOOKUP(Banco_Nacion[[#This Row],[responsable]],Clientes_Proveedores[[Ruc / Dni]:[Razon Social]],2,0),"")</f>
        <v/>
      </c>
      <c r="W589" s="19" t="str">
        <f>IF(Banco_Nacion[[#This Row],[tipo_mov]]="INGRESO",Banco_Nacion[[#This Row],[serie]]&amp;Banco_Nacion[[#This Row],[numero]]&amp;Banco_Nacion[[#This Row],[responsable]]&amp;Banco_Nacion[[#This Row],[monto]],"")</f>
        <v/>
      </c>
      <c r="X589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/>
      </c>
      <c r="Y589" s="3" t="str">
        <f>IFERROR(VLOOKUP(Banco_Nacion[[#This Row],[serie]]&amp;Banco_Nacion[[#This Row],[numero]]&amp;Banco_Nacion[[#This Row],[responsable]],[2]!Provision_CXC[[ID CXP]:[DETRACCION]],47,0),"")</f>
        <v/>
      </c>
      <c r="Z589" s="3"/>
      <c r="AA589" s="24" t="str">
        <f>IF(Banco_Nacion[[#This Row],[fecha]]&gt;0,TEXT(Banco_Nacion[[#This Row],[fecha]],"mmmm"),0)</f>
        <v>Agosto</v>
      </c>
    </row>
    <row r="590" spans="1:27" ht="24" x14ac:dyDescent="0.3">
      <c r="A590" s="2" t="str">
        <f>IF(Banco_Nacion[[#This Row],[tipo_registro]]="R",COUNTIFS($C$1:$C589,"R")+1,"")</f>
        <v/>
      </c>
      <c r="B590" s="19" t="str">
        <f t="shared" si="64"/>
        <v>B-Banco de la Nacion</v>
      </c>
      <c r="C590" s="3" t="s">
        <v>1352</v>
      </c>
      <c r="D590" s="14">
        <v>45894</v>
      </c>
      <c r="E590" s="5" t="s">
        <v>3833</v>
      </c>
      <c r="F590" s="5"/>
      <c r="G590" s="6" t="s">
        <v>788</v>
      </c>
      <c r="H590" s="6" t="s">
        <v>151</v>
      </c>
      <c r="I590" s="6" t="s">
        <v>5237</v>
      </c>
      <c r="J590" s="6">
        <v>2</v>
      </c>
      <c r="K590" s="7"/>
      <c r="L590" s="8">
        <v>78787878</v>
      </c>
      <c r="M590" s="8" t="str">
        <f t="shared" si="65"/>
        <v>PEN</v>
      </c>
      <c r="N590" s="13">
        <v>106.44</v>
      </c>
      <c r="O590" s="13"/>
      <c r="P590" s="3">
        <f t="shared" si="66"/>
        <v>0</v>
      </c>
      <c r="Q590" s="3">
        <f t="shared" si="67"/>
        <v>0</v>
      </c>
      <c r="R590" s="3">
        <f t="shared" si="59"/>
        <v>38247.220000000008</v>
      </c>
      <c r="S590" s="24"/>
      <c r="T590" s="24"/>
      <c r="U590" s="3"/>
      <c r="V590" s="19" t="str">
        <f>IFERROR(VLOOKUP(Banco_Nacion[[#This Row],[responsable]],Clientes_Proveedores[[Ruc / Dni]:[Razon Social]],2,0),"")</f>
        <v/>
      </c>
      <c r="W590" s="19" t="str">
        <f>IF(Banco_Nacion[[#This Row],[tipo_mov]]="INGRESO",Banco_Nacion[[#This Row],[serie]]&amp;Banco_Nacion[[#This Row],[numero]]&amp;Banco_Nacion[[#This Row],[responsable]]&amp;Banco_Nacion[[#This Row],[monto]],"")</f>
        <v/>
      </c>
      <c r="X590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/>
      </c>
      <c r="Y590" s="3" t="str">
        <f>IFERROR(VLOOKUP(Banco_Nacion[[#This Row],[serie]]&amp;Banco_Nacion[[#This Row],[numero]]&amp;Banco_Nacion[[#This Row],[responsable]],[2]!Provision_CXC[[ID CXP]:[DETRACCION]],47,0),"")</f>
        <v/>
      </c>
      <c r="Z590" s="3"/>
      <c r="AA590" s="24" t="str">
        <f>IF(Banco_Nacion[[#This Row],[fecha]]&gt;0,TEXT(Banco_Nacion[[#This Row],[fecha]],"mmmm"),0)</f>
        <v>Agosto</v>
      </c>
    </row>
    <row r="591" spans="1:27" ht="24" x14ac:dyDescent="0.3">
      <c r="A591" s="2" t="str">
        <f>IF(Banco_Nacion[[#This Row],[tipo_registro]]="R",COUNTIFS($C$1:$C590,"R")+1,"")</f>
        <v/>
      </c>
      <c r="B591" s="19" t="str">
        <f t="shared" si="64"/>
        <v>B-Banco de la Nacion</v>
      </c>
      <c r="C591" s="3" t="s">
        <v>1352</v>
      </c>
      <c r="D591" s="14">
        <v>45894</v>
      </c>
      <c r="E591" s="5" t="s">
        <v>3833</v>
      </c>
      <c r="F591" s="5"/>
      <c r="G591" s="6" t="s">
        <v>1014</v>
      </c>
      <c r="H591" s="6" t="s">
        <v>151</v>
      </c>
      <c r="I591" s="6" t="s">
        <v>5237</v>
      </c>
      <c r="J591" s="6">
        <v>3</v>
      </c>
      <c r="K591" s="7"/>
      <c r="L591" s="8">
        <v>78787878</v>
      </c>
      <c r="M591" s="8" t="str">
        <f t="shared" si="65"/>
        <v>PEN</v>
      </c>
      <c r="N591" s="13">
        <v>146.21</v>
      </c>
      <c r="O591" s="13"/>
      <c r="P591" s="3">
        <f t="shared" si="66"/>
        <v>0</v>
      </c>
      <c r="Q591" s="3">
        <f t="shared" si="67"/>
        <v>0</v>
      </c>
      <c r="R591" s="3">
        <f t="shared" si="59"/>
        <v>38247.220000000008</v>
      </c>
      <c r="S591" s="24"/>
      <c r="T591" s="24"/>
      <c r="U591" s="3"/>
      <c r="V591" s="19" t="str">
        <f>IFERROR(VLOOKUP(Banco_Nacion[[#This Row],[responsable]],Clientes_Proveedores[[Ruc / Dni]:[Razon Social]],2,0),"")</f>
        <v/>
      </c>
      <c r="W591" s="19" t="str">
        <f>IF(Banco_Nacion[[#This Row],[tipo_mov]]="INGRESO",Banco_Nacion[[#This Row],[serie]]&amp;Banco_Nacion[[#This Row],[numero]]&amp;Banco_Nacion[[#This Row],[responsable]]&amp;Banco_Nacion[[#This Row],[monto]],"")</f>
        <v/>
      </c>
      <c r="X591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/>
      </c>
      <c r="Y591" s="3" t="str">
        <f>IFERROR(VLOOKUP(Banco_Nacion[[#This Row],[serie]]&amp;Banco_Nacion[[#This Row],[numero]]&amp;Banco_Nacion[[#This Row],[responsable]],[2]!Provision_CXC[[ID CXP]:[DETRACCION]],47,0),"")</f>
        <v/>
      </c>
      <c r="Z591" s="3"/>
      <c r="AA591" s="24" t="str">
        <f>IF(Banco_Nacion[[#This Row],[fecha]]&gt;0,TEXT(Banco_Nacion[[#This Row],[fecha]],"mmmm"),0)</f>
        <v>Agosto</v>
      </c>
    </row>
    <row r="592" spans="1:27" ht="24" x14ac:dyDescent="0.3">
      <c r="A592" s="2" t="str">
        <f>IF(Banco_Nacion[[#This Row],[tipo_registro]]="R",COUNTIFS($C$1:$C591,"R")+1,"")</f>
        <v/>
      </c>
      <c r="B592" s="19" t="str">
        <f t="shared" si="64"/>
        <v>B-Banco de la Nacion</v>
      </c>
      <c r="C592" s="3" t="s">
        <v>1352</v>
      </c>
      <c r="D592" s="14">
        <v>45894</v>
      </c>
      <c r="E592" s="5" t="s">
        <v>3833</v>
      </c>
      <c r="F592" s="5"/>
      <c r="G592" s="6" t="s">
        <v>790</v>
      </c>
      <c r="H592" s="6" t="s">
        <v>151</v>
      </c>
      <c r="I592" s="6" t="s">
        <v>5237</v>
      </c>
      <c r="J592" s="6">
        <v>4</v>
      </c>
      <c r="K592" s="7"/>
      <c r="L592" s="8">
        <v>78787878</v>
      </c>
      <c r="M592" s="8" t="str">
        <f t="shared" si="65"/>
        <v>PEN</v>
      </c>
      <c r="N592" s="13">
        <v>162.9</v>
      </c>
      <c r="O592" s="13"/>
      <c r="P592" s="3">
        <f t="shared" si="66"/>
        <v>0</v>
      </c>
      <c r="Q592" s="3">
        <f t="shared" si="67"/>
        <v>0</v>
      </c>
      <c r="R592" s="3">
        <f t="shared" si="59"/>
        <v>38247.220000000008</v>
      </c>
      <c r="S592" s="24"/>
      <c r="T592" s="24"/>
      <c r="U592" s="3"/>
      <c r="V592" s="19" t="str">
        <f>IFERROR(VLOOKUP(Banco_Nacion[[#This Row],[responsable]],Clientes_Proveedores[[Ruc / Dni]:[Razon Social]],2,0),"")</f>
        <v/>
      </c>
      <c r="W592" s="19" t="str">
        <f>IF(Banco_Nacion[[#This Row],[tipo_mov]]="INGRESO",Banco_Nacion[[#This Row],[serie]]&amp;Banco_Nacion[[#This Row],[numero]]&amp;Banco_Nacion[[#This Row],[responsable]]&amp;Banco_Nacion[[#This Row],[monto]],"")</f>
        <v/>
      </c>
      <c r="X592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/>
      </c>
      <c r="Y592" s="3" t="str">
        <f>IFERROR(VLOOKUP(Banco_Nacion[[#This Row],[serie]]&amp;Banco_Nacion[[#This Row],[numero]]&amp;Banco_Nacion[[#This Row],[responsable]],[2]!Provision_CXC[[ID CXP]:[DETRACCION]],47,0),"")</f>
        <v/>
      </c>
      <c r="Z592" s="3"/>
      <c r="AA592" s="24" t="str">
        <f>IF(Banco_Nacion[[#This Row],[fecha]]&gt;0,TEXT(Banco_Nacion[[#This Row],[fecha]],"mmmm"),0)</f>
        <v>Agosto</v>
      </c>
    </row>
    <row r="593" spans="1:27" ht="24" x14ac:dyDescent="0.3">
      <c r="A593" s="2" t="str">
        <f>IF(Banco_Nacion[[#This Row],[tipo_registro]]="R",COUNTIFS($C$1:$C592,"R")+1,"")</f>
        <v/>
      </c>
      <c r="B593" s="19" t="str">
        <f t="shared" si="64"/>
        <v>B-Banco de la Nacion</v>
      </c>
      <c r="C593" s="3" t="s">
        <v>1352</v>
      </c>
      <c r="D593" s="14">
        <v>45894</v>
      </c>
      <c r="E593" s="5" t="s">
        <v>3833</v>
      </c>
      <c r="F593" s="5"/>
      <c r="G593" s="6" t="s">
        <v>1015</v>
      </c>
      <c r="H593" s="6" t="s">
        <v>151</v>
      </c>
      <c r="I593" s="6" t="s">
        <v>5237</v>
      </c>
      <c r="J593" s="6">
        <v>5</v>
      </c>
      <c r="K593" s="7"/>
      <c r="L593" s="8">
        <v>78787878</v>
      </c>
      <c r="M593" s="8" t="str">
        <f t="shared" si="65"/>
        <v>PEN</v>
      </c>
      <c r="N593" s="13">
        <v>113.6</v>
      </c>
      <c r="O593" s="13"/>
      <c r="P593" s="3">
        <f t="shared" si="66"/>
        <v>0</v>
      </c>
      <c r="Q593" s="3">
        <f t="shared" si="67"/>
        <v>0</v>
      </c>
      <c r="R593" s="3">
        <f t="shared" si="59"/>
        <v>38247.220000000008</v>
      </c>
      <c r="S593" s="24"/>
      <c r="T593" s="24"/>
      <c r="U593" s="3"/>
      <c r="V593" s="19" t="str">
        <f>IFERROR(VLOOKUP(Banco_Nacion[[#This Row],[responsable]],Clientes_Proveedores[[Ruc / Dni]:[Razon Social]],2,0),"")</f>
        <v/>
      </c>
      <c r="W593" s="19" t="str">
        <f>IF(Banco_Nacion[[#This Row],[tipo_mov]]="INGRESO",Banco_Nacion[[#This Row],[serie]]&amp;Banco_Nacion[[#This Row],[numero]]&amp;Banco_Nacion[[#This Row],[responsable]]&amp;Banco_Nacion[[#This Row],[monto]],"")</f>
        <v/>
      </c>
      <c r="X593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/>
      </c>
      <c r="Y593" s="3" t="str">
        <f>IFERROR(VLOOKUP(Banco_Nacion[[#This Row],[serie]]&amp;Banco_Nacion[[#This Row],[numero]]&amp;Banco_Nacion[[#This Row],[responsable]],[2]!Provision_CXC[[ID CXP]:[DETRACCION]],47,0),"")</f>
        <v/>
      </c>
      <c r="Z593" s="3"/>
      <c r="AA593" s="24" t="str">
        <f>IF(Banco_Nacion[[#This Row],[fecha]]&gt;0,TEXT(Banco_Nacion[[#This Row],[fecha]],"mmmm"),0)</f>
        <v>Agosto</v>
      </c>
    </row>
    <row r="594" spans="1:27" ht="36" x14ac:dyDescent="0.3">
      <c r="A594" s="2" t="str">
        <f>IF(Banco_Nacion[[#This Row],[tipo_registro]]="R",COUNTIFS($C$1:$C593,"R")+1,"")</f>
        <v/>
      </c>
      <c r="B594" s="19" t="str">
        <f t="shared" si="64"/>
        <v>B-Banco de la Nacion</v>
      </c>
      <c r="C594" s="3" t="s">
        <v>1352</v>
      </c>
      <c r="D594" s="14">
        <v>45894</v>
      </c>
      <c r="E594" s="5" t="s">
        <v>3833</v>
      </c>
      <c r="F594" s="5"/>
      <c r="G594" s="6" t="s">
        <v>795</v>
      </c>
      <c r="H594" s="6" t="s">
        <v>151</v>
      </c>
      <c r="I594" s="6" t="s">
        <v>5237</v>
      </c>
      <c r="J594" s="6">
        <v>6</v>
      </c>
      <c r="K594" s="7"/>
      <c r="L594" s="8">
        <v>78787878</v>
      </c>
      <c r="M594" s="8" t="str">
        <f t="shared" si="65"/>
        <v>PEN</v>
      </c>
      <c r="N594" s="13">
        <v>133.97</v>
      </c>
      <c r="O594" s="13"/>
      <c r="P594" s="3">
        <f t="shared" si="66"/>
        <v>0</v>
      </c>
      <c r="Q594" s="3">
        <f t="shared" si="67"/>
        <v>0</v>
      </c>
      <c r="R594" s="3">
        <f t="shared" si="59"/>
        <v>38247.220000000008</v>
      </c>
      <c r="S594" s="24"/>
      <c r="T594" s="24"/>
      <c r="U594" s="3"/>
      <c r="V594" s="19" t="str">
        <f>IFERROR(VLOOKUP(Banco_Nacion[[#This Row],[responsable]],Clientes_Proveedores[[Ruc / Dni]:[Razon Social]],2,0),"")</f>
        <v/>
      </c>
      <c r="W594" s="19" t="str">
        <f>IF(Banco_Nacion[[#This Row],[tipo_mov]]="INGRESO",Banco_Nacion[[#This Row],[serie]]&amp;Banco_Nacion[[#This Row],[numero]]&amp;Banco_Nacion[[#This Row],[responsable]]&amp;Banco_Nacion[[#This Row],[monto]],"")</f>
        <v/>
      </c>
      <c r="X594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/>
      </c>
      <c r="Y594" s="3" t="str">
        <f>IFERROR(VLOOKUP(Banco_Nacion[[#This Row],[serie]]&amp;Banco_Nacion[[#This Row],[numero]]&amp;Banco_Nacion[[#This Row],[responsable]],[2]!Provision_CXC[[ID CXP]:[DETRACCION]],47,0),"")</f>
        <v/>
      </c>
      <c r="Z594" s="3"/>
      <c r="AA594" s="24" t="str">
        <f>IF(Banco_Nacion[[#This Row],[fecha]]&gt;0,TEXT(Banco_Nacion[[#This Row],[fecha]],"mmmm"),0)</f>
        <v>Agosto</v>
      </c>
    </row>
    <row r="595" spans="1:27" ht="24" x14ac:dyDescent="0.3">
      <c r="A595" s="2" t="str">
        <f>IF(Banco_Nacion[[#This Row],[tipo_registro]]="R",COUNTIFS($C$1:$C594,"R")+1,"")</f>
        <v/>
      </c>
      <c r="B595" s="19" t="str">
        <f t="shared" si="64"/>
        <v>B-Banco de la Nacion</v>
      </c>
      <c r="C595" s="3" t="s">
        <v>1352</v>
      </c>
      <c r="D595" s="14">
        <v>45894</v>
      </c>
      <c r="E595" s="5" t="s">
        <v>3833</v>
      </c>
      <c r="F595" s="5"/>
      <c r="G595" s="6" t="s">
        <v>1016</v>
      </c>
      <c r="H595" s="6" t="s">
        <v>151</v>
      </c>
      <c r="I595" s="6" t="s">
        <v>5237</v>
      </c>
      <c r="J595" s="6">
        <v>7</v>
      </c>
      <c r="K595" s="7"/>
      <c r="L595" s="8">
        <v>78787878</v>
      </c>
      <c r="M595" s="8" t="str">
        <f t="shared" si="65"/>
        <v>PEN</v>
      </c>
      <c r="N595" s="13">
        <v>117.46</v>
      </c>
      <c r="O595" s="13"/>
      <c r="P595" s="3">
        <f t="shared" si="66"/>
        <v>0</v>
      </c>
      <c r="Q595" s="3">
        <f t="shared" si="67"/>
        <v>0</v>
      </c>
      <c r="R595" s="3">
        <f t="shared" si="59"/>
        <v>38247.220000000008</v>
      </c>
      <c r="S595" s="24"/>
      <c r="T595" s="24"/>
      <c r="U595" s="3"/>
      <c r="V595" s="19" t="str">
        <f>IFERROR(VLOOKUP(Banco_Nacion[[#This Row],[responsable]],Clientes_Proveedores[[Ruc / Dni]:[Razon Social]],2,0),"")</f>
        <v/>
      </c>
      <c r="W595" s="19" t="str">
        <f>IF(Banco_Nacion[[#This Row],[tipo_mov]]="INGRESO",Banco_Nacion[[#This Row],[serie]]&amp;Banco_Nacion[[#This Row],[numero]]&amp;Banco_Nacion[[#This Row],[responsable]]&amp;Banco_Nacion[[#This Row],[monto]],"")</f>
        <v/>
      </c>
      <c r="X595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/>
      </c>
      <c r="Y595" s="3" t="str">
        <f>IFERROR(VLOOKUP(Banco_Nacion[[#This Row],[serie]]&amp;Banco_Nacion[[#This Row],[numero]]&amp;Banco_Nacion[[#This Row],[responsable]],[2]!Provision_CXC[[ID CXP]:[DETRACCION]],47,0),"")</f>
        <v/>
      </c>
      <c r="Z595" s="3"/>
      <c r="AA595" s="24" t="str">
        <f>IF(Banco_Nacion[[#This Row],[fecha]]&gt;0,TEXT(Banco_Nacion[[#This Row],[fecha]],"mmmm"),0)</f>
        <v>Agosto</v>
      </c>
    </row>
    <row r="596" spans="1:27" ht="24" x14ac:dyDescent="0.3">
      <c r="A596" s="2" t="str">
        <f>IF(Banco_Nacion[[#This Row],[tipo_registro]]="R",COUNTIFS($C$1:$C595,"R")+1,"")</f>
        <v/>
      </c>
      <c r="B596" s="19" t="str">
        <f t="shared" si="64"/>
        <v>B-Banco de la Nacion</v>
      </c>
      <c r="C596" s="3" t="s">
        <v>1352</v>
      </c>
      <c r="D596" s="14">
        <v>45894</v>
      </c>
      <c r="E596" s="5" t="s">
        <v>3833</v>
      </c>
      <c r="F596" s="5"/>
      <c r="G596" s="6" t="s">
        <v>806</v>
      </c>
      <c r="H596" s="6" t="s">
        <v>151</v>
      </c>
      <c r="I596" s="6" t="s">
        <v>5237</v>
      </c>
      <c r="J596" s="6">
        <v>8</v>
      </c>
      <c r="K596" s="7"/>
      <c r="L596" s="8">
        <v>78787878</v>
      </c>
      <c r="M596" s="8" t="str">
        <f t="shared" si="65"/>
        <v>PEN</v>
      </c>
      <c r="N596" s="13">
        <v>158.66999999999999</v>
      </c>
      <c r="O596" s="13"/>
      <c r="P596" s="3">
        <f t="shared" si="66"/>
        <v>0</v>
      </c>
      <c r="Q596" s="3">
        <f t="shared" si="67"/>
        <v>0</v>
      </c>
      <c r="R596" s="3">
        <f t="shared" si="59"/>
        <v>38247.220000000008</v>
      </c>
      <c r="S596" s="24"/>
      <c r="T596" s="24"/>
      <c r="U596" s="3"/>
      <c r="V596" s="19" t="str">
        <f>IFERROR(VLOOKUP(Banco_Nacion[[#This Row],[responsable]],Clientes_Proveedores[[Ruc / Dni]:[Razon Social]],2,0),"")</f>
        <v/>
      </c>
      <c r="W596" s="19" t="str">
        <f>IF(Banco_Nacion[[#This Row],[tipo_mov]]="INGRESO",Banco_Nacion[[#This Row],[serie]]&amp;Banco_Nacion[[#This Row],[numero]]&amp;Banco_Nacion[[#This Row],[responsable]]&amp;Banco_Nacion[[#This Row],[monto]],"")</f>
        <v/>
      </c>
      <c r="X596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/>
      </c>
      <c r="Y596" s="3" t="str">
        <f>IFERROR(VLOOKUP(Banco_Nacion[[#This Row],[serie]]&amp;Banco_Nacion[[#This Row],[numero]]&amp;Banco_Nacion[[#This Row],[responsable]],[2]!Provision_CXC[[ID CXP]:[DETRACCION]],47,0),"")</f>
        <v/>
      </c>
      <c r="Z596" s="3"/>
      <c r="AA596" s="24" t="str">
        <f>IF(Banco_Nacion[[#This Row],[fecha]]&gt;0,TEXT(Banco_Nacion[[#This Row],[fecha]],"mmmm"),0)</f>
        <v>Agosto</v>
      </c>
    </row>
    <row r="597" spans="1:27" ht="24" x14ac:dyDescent="0.3">
      <c r="A597" s="2" t="str">
        <f>IF(Banco_Nacion[[#This Row],[tipo_registro]]="R",COUNTIFS($C$1:$C596,"R")+1,"")</f>
        <v/>
      </c>
      <c r="B597" s="19" t="str">
        <f t="shared" si="64"/>
        <v>B-Banco de la Nacion</v>
      </c>
      <c r="C597" s="3" t="s">
        <v>1352</v>
      </c>
      <c r="D597" s="14">
        <v>45894</v>
      </c>
      <c r="E597" s="5" t="s">
        <v>3833</v>
      </c>
      <c r="F597" s="5"/>
      <c r="G597" s="6" t="s">
        <v>809</v>
      </c>
      <c r="H597" s="6" t="s">
        <v>151</v>
      </c>
      <c r="I597" s="6" t="s">
        <v>5237</v>
      </c>
      <c r="J597" s="6">
        <v>9</v>
      </c>
      <c r="K597" s="7"/>
      <c r="L597" s="8">
        <v>78787878</v>
      </c>
      <c r="M597" s="8" t="str">
        <f t="shared" si="65"/>
        <v>PEN</v>
      </c>
      <c r="N597" s="13">
        <v>386.72</v>
      </c>
      <c r="O597" s="13"/>
      <c r="P597" s="3">
        <f t="shared" si="66"/>
        <v>0</v>
      </c>
      <c r="Q597" s="3">
        <f t="shared" si="67"/>
        <v>0</v>
      </c>
      <c r="R597" s="3">
        <f t="shared" si="59"/>
        <v>38247.220000000008</v>
      </c>
      <c r="S597" s="24"/>
      <c r="T597" s="24"/>
      <c r="U597" s="3"/>
      <c r="V597" s="19" t="str">
        <f>IFERROR(VLOOKUP(Banco_Nacion[[#This Row],[responsable]],Clientes_Proveedores[[Ruc / Dni]:[Razon Social]],2,0),"")</f>
        <v/>
      </c>
      <c r="W597" s="19" t="str">
        <f>IF(Banco_Nacion[[#This Row],[tipo_mov]]="INGRESO",Banco_Nacion[[#This Row],[serie]]&amp;Banco_Nacion[[#This Row],[numero]]&amp;Banco_Nacion[[#This Row],[responsable]]&amp;Banco_Nacion[[#This Row],[monto]],"")</f>
        <v/>
      </c>
      <c r="X597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/>
      </c>
      <c r="Y597" s="3" t="str">
        <f>IFERROR(VLOOKUP(Banco_Nacion[[#This Row],[serie]]&amp;Banco_Nacion[[#This Row],[numero]]&amp;Banco_Nacion[[#This Row],[responsable]],[2]!Provision_CXC[[ID CXP]:[DETRACCION]],47,0),"")</f>
        <v/>
      </c>
      <c r="Z597" s="3"/>
      <c r="AA597" s="24" t="str">
        <f>IF(Banco_Nacion[[#This Row],[fecha]]&gt;0,TEXT(Banco_Nacion[[#This Row],[fecha]],"mmmm"),0)</f>
        <v>Agosto</v>
      </c>
    </row>
    <row r="598" spans="1:27" ht="24" x14ac:dyDescent="0.3">
      <c r="A598" s="2" t="str">
        <f>IF(Banco_Nacion[[#This Row],[tipo_registro]]="R",COUNTIFS($C$1:$C597,"R")+1,"")</f>
        <v/>
      </c>
      <c r="B598" s="19" t="str">
        <f t="shared" si="64"/>
        <v>B-Banco de la Nacion</v>
      </c>
      <c r="C598" s="3" t="s">
        <v>1352</v>
      </c>
      <c r="D598" s="14">
        <v>45894</v>
      </c>
      <c r="E598" s="5" t="s">
        <v>3833</v>
      </c>
      <c r="F598" s="5"/>
      <c r="G598" s="6" t="s">
        <v>812</v>
      </c>
      <c r="H598" s="6" t="s">
        <v>151</v>
      </c>
      <c r="I598" s="6" t="s">
        <v>5237</v>
      </c>
      <c r="J598" s="6">
        <v>10</v>
      </c>
      <c r="K598" s="7"/>
      <c r="L598" s="8">
        <v>78787878</v>
      </c>
      <c r="M598" s="8" t="str">
        <f t="shared" si="65"/>
        <v>PEN</v>
      </c>
      <c r="N598" s="13">
        <v>219.14</v>
      </c>
      <c r="O598" s="13"/>
      <c r="P598" s="3">
        <f t="shared" si="66"/>
        <v>0</v>
      </c>
      <c r="Q598" s="3">
        <f t="shared" si="67"/>
        <v>0</v>
      </c>
      <c r="R598" s="3">
        <f t="shared" si="59"/>
        <v>38247.220000000008</v>
      </c>
      <c r="S598" s="24"/>
      <c r="T598" s="24"/>
      <c r="U598" s="3"/>
      <c r="V598" s="19" t="str">
        <f>IFERROR(VLOOKUP(Banco_Nacion[[#This Row],[responsable]],Clientes_Proveedores[[Ruc / Dni]:[Razon Social]],2,0),"")</f>
        <v/>
      </c>
      <c r="W598" s="19" t="str">
        <f>IF(Banco_Nacion[[#This Row],[tipo_mov]]="INGRESO",Banco_Nacion[[#This Row],[serie]]&amp;Banco_Nacion[[#This Row],[numero]]&amp;Banco_Nacion[[#This Row],[responsable]]&amp;Banco_Nacion[[#This Row],[monto]],"")</f>
        <v/>
      </c>
      <c r="X598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/>
      </c>
      <c r="Y598" s="3" t="str">
        <f>IFERROR(VLOOKUP(Banco_Nacion[[#This Row],[serie]]&amp;Banco_Nacion[[#This Row],[numero]]&amp;Banco_Nacion[[#This Row],[responsable]],[2]!Provision_CXC[[ID CXP]:[DETRACCION]],47,0),"")</f>
        <v/>
      </c>
      <c r="Z598" s="3"/>
      <c r="AA598" s="24" t="str">
        <f>IF(Banco_Nacion[[#This Row],[fecha]]&gt;0,TEXT(Banco_Nacion[[#This Row],[fecha]],"mmmm"),0)</f>
        <v>Agosto</v>
      </c>
    </row>
    <row r="599" spans="1:27" ht="24" x14ac:dyDescent="0.3">
      <c r="A599" s="2" t="str">
        <f>IF(Banco_Nacion[[#This Row],[tipo_registro]]="R",COUNTIFS($C$1:$C598,"R")+1,"")</f>
        <v/>
      </c>
      <c r="B599" s="19" t="str">
        <f t="shared" si="64"/>
        <v>B-Banco de la Nacion</v>
      </c>
      <c r="C599" s="3" t="s">
        <v>1352</v>
      </c>
      <c r="D599" s="14">
        <v>45894</v>
      </c>
      <c r="E599" s="5" t="s">
        <v>3833</v>
      </c>
      <c r="F599" s="5"/>
      <c r="G599" s="6" t="s">
        <v>1017</v>
      </c>
      <c r="H599" s="6" t="s">
        <v>151</v>
      </c>
      <c r="I599" s="6" t="s">
        <v>5237</v>
      </c>
      <c r="J599" s="6">
        <v>11</v>
      </c>
      <c r="K599" s="7"/>
      <c r="L599" s="8">
        <v>78787878</v>
      </c>
      <c r="M599" s="8" t="str">
        <f t="shared" si="65"/>
        <v>PEN</v>
      </c>
      <c r="N599" s="13">
        <v>153.38</v>
      </c>
      <c r="O599" s="13"/>
      <c r="P599" s="3">
        <f t="shared" si="66"/>
        <v>0</v>
      </c>
      <c r="Q599" s="3">
        <f t="shared" si="67"/>
        <v>0</v>
      </c>
      <c r="R599" s="3">
        <f t="shared" si="59"/>
        <v>38247.220000000008</v>
      </c>
      <c r="S599" s="24"/>
      <c r="T599" s="24"/>
      <c r="U599" s="3"/>
      <c r="V599" s="19" t="str">
        <f>IFERROR(VLOOKUP(Banco_Nacion[[#This Row],[responsable]],Clientes_Proveedores[[Ruc / Dni]:[Razon Social]],2,0),"")</f>
        <v/>
      </c>
      <c r="W599" s="19" t="str">
        <f>IF(Banco_Nacion[[#This Row],[tipo_mov]]="INGRESO",Banco_Nacion[[#This Row],[serie]]&amp;Banco_Nacion[[#This Row],[numero]]&amp;Banco_Nacion[[#This Row],[responsable]]&amp;Banco_Nacion[[#This Row],[monto]],"")</f>
        <v/>
      </c>
      <c r="X599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/>
      </c>
      <c r="Y599" s="3" t="str">
        <f>IFERROR(VLOOKUP(Banco_Nacion[[#This Row],[serie]]&amp;Banco_Nacion[[#This Row],[numero]]&amp;Banco_Nacion[[#This Row],[responsable]],[2]!Provision_CXC[[ID CXP]:[DETRACCION]],47,0),"")</f>
        <v/>
      </c>
      <c r="Z599" s="3"/>
      <c r="AA599" s="24" t="str">
        <f>IF(Banco_Nacion[[#This Row],[fecha]]&gt;0,TEXT(Banco_Nacion[[#This Row],[fecha]],"mmmm"),0)</f>
        <v>Agosto</v>
      </c>
    </row>
    <row r="600" spans="1:27" ht="24" x14ac:dyDescent="0.3">
      <c r="A600" s="2" t="str">
        <f>IF(Banco_Nacion[[#This Row],[tipo_registro]]="R",COUNTIFS($C$1:$C599,"R")+1,"")</f>
        <v/>
      </c>
      <c r="B600" s="19" t="str">
        <f t="shared" si="64"/>
        <v>B-Banco de la Nacion</v>
      </c>
      <c r="C600" s="3" t="s">
        <v>1352</v>
      </c>
      <c r="D600" s="14">
        <v>45894</v>
      </c>
      <c r="E600" s="5" t="s">
        <v>3833</v>
      </c>
      <c r="F600" s="5"/>
      <c r="G600" s="6" t="s">
        <v>820</v>
      </c>
      <c r="H600" s="6" t="s">
        <v>151</v>
      </c>
      <c r="I600" s="6" t="s">
        <v>5237</v>
      </c>
      <c r="J600" s="6">
        <v>12</v>
      </c>
      <c r="K600" s="7"/>
      <c r="L600" s="8">
        <v>78787878</v>
      </c>
      <c r="M600" s="8" t="str">
        <f t="shared" si="65"/>
        <v>PEN</v>
      </c>
      <c r="N600" s="13">
        <v>138.75</v>
      </c>
      <c r="O600" s="13"/>
      <c r="P600" s="3">
        <f t="shared" si="66"/>
        <v>0</v>
      </c>
      <c r="Q600" s="3">
        <f t="shared" si="67"/>
        <v>0</v>
      </c>
      <c r="R600" s="3">
        <f t="shared" si="59"/>
        <v>38247.220000000008</v>
      </c>
      <c r="S600" s="24"/>
      <c r="T600" s="24"/>
      <c r="U600" s="3"/>
      <c r="V600" s="19" t="str">
        <f>IFERROR(VLOOKUP(Banco_Nacion[[#This Row],[responsable]],Clientes_Proveedores[[Ruc / Dni]:[Razon Social]],2,0),"")</f>
        <v/>
      </c>
      <c r="W600" s="19" t="str">
        <f>IF(Banco_Nacion[[#This Row],[tipo_mov]]="INGRESO",Banco_Nacion[[#This Row],[serie]]&amp;Banco_Nacion[[#This Row],[numero]]&amp;Banco_Nacion[[#This Row],[responsable]]&amp;Banco_Nacion[[#This Row],[monto]],"")</f>
        <v/>
      </c>
      <c r="X600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/>
      </c>
      <c r="Y600" s="3" t="str">
        <f>IFERROR(VLOOKUP(Banco_Nacion[[#This Row],[serie]]&amp;Banco_Nacion[[#This Row],[numero]]&amp;Banco_Nacion[[#This Row],[responsable]],[2]!Provision_CXC[[ID CXP]:[DETRACCION]],47,0),"")</f>
        <v/>
      </c>
      <c r="Z600" s="3"/>
      <c r="AA600" s="24" t="str">
        <f>IF(Banco_Nacion[[#This Row],[fecha]]&gt;0,TEXT(Banco_Nacion[[#This Row],[fecha]],"mmmm"),0)</f>
        <v>Agosto</v>
      </c>
    </row>
    <row r="601" spans="1:27" ht="24" x14ac:dyDescent="0.3">
      <c r="A601" s="2" t="str">
        <f>IF(Banco_Nacion[[#This Row],[tipo_registro]]="R",COUNTIFS($C$1:$C600,"R")+1,"")</f>
        <v/>
      </c>
      <c r="B601" s="19" t="str">
        <f t="shared" si="64"/>
        <v>B-Banco de la Nacion</v>
      </c>
      <c r="C601" s="3" t="s">
        <v>1352</v>
      </c>
      <c r="D601" s="14">
        <v>45894</v>
      </c>
      <c r="E601" s="5" t="s">
        <v>3833</v>
      </c>
      <c r="F601" s="5"/>
      <c r="G601" s="6" t="s">
        <v>829</v>
      </c>
      <c r="H601" s="6" t="s">
        <v>151</v>
      </c>
      <c r="I601" s="6" t="s">
        <v>5237</v>
      </c>
      <c r="J601" s="6">
        <v>13</v>
      </c>
      <c r="K601" s="7"/>
      <c r="L601" s="8">
        <v>78787878</v>
      </c>
      <c r="M601" s="8" t="str">
        <f t="shared" si="65"/>
        <v>PEN</v>
      </c>
      <c r="N601" s="13">
        <v>372.43</v>
      </c>
      <c r="O601" s="13"/>
      <c r="P601" s="3">
        <f t="shared" si="66"/>
        <v>0</v>
      </c>
      <c r="Q601" s="3">
        <f t="shared" si="67"/>
        <v>0</v>
      </c>
      <c r="R601" s="3">
        <f t="shared" si="59"/>
        <v>38247.220000000008</v>
      </c>
      <c r="S601" s="24"/>
      <c r="T601" s="24"/>
      <c r="U601" s="3"/>
      <c r="V601" s="19" t="str">
        <f>IFERROR(VLOOKUP(Banco_Nacion[[#This Row],[responsable]],Clientes_Proveedores[[Ruc / Dni]:[Razon Social]],2,0),"")</f>
        <v/>
      </c>
      <c r="W601" s="19" t="str">
        <f>IF(Banco_Nacion[[#This Row],[tipo_mov]]="INGRESO",Banco_Nacion[[#This Row],[serie]]&amp;Banco_Nacion[[#This Row],[numero]]&amp;Banco_Nacion[[#This Row],[responsable]]&amp;Banco_Nacion[[#This Row],[monto]],"")</f>
        <v/>
      </c>
      <c r="X601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/>
      </c>
      <c r="Y601" s="3" t="str">
        <f>IFERROR(VLOOKUP(Banco_Nacion[[#This Row],[serie]]&amp;Banco_Nacion[[#This Row],[numero]]&amp;Banco_Nacion[[#This Row],[responsable]],[2]!Provision_CXC[[ID CXP]:[DETRACCION]],47,0),"")</f>
        <v/>
      </c>
      <c r="Z601" s="3"/>
      <c r="AA601" s="24" t="str">
        <f>IF(Banco_Nacion[[#This Row],[fecha]]&gt;0,TEXT(Banco_Nacion[[#This Row],[fecha]],"mmmm"),0)</f>
        <v>Agosto</v>
      </c>
    </row>
    <row r="602" spans="1:27" ht="24" x14ac:dyDescent="0.3">
      <c r="A602" s="2" t="str">
        <f>IF(Banco_Nacion[[#This Row],[tipo_registro]]="R",COUNTIFS($C$1:$C601,"R")+1,"")</f>
        <v/>
      </c>
      <c r="B602" s="19" t="str">
        <f t="shared" si="64"/>
        <v>B-Banco de la Nacion</v>
      </c>
      <c r="C602" s="3" t="s">
        <v>1352</v>
      </c>
      <c r="D602" s="14">
        <v>45894</v>
      </c>
      <c r="E602" s="5" t="s">
        <v>3833</v>
      </c>
      <c r="F602" s="5"/>
      <c r="G602" s="6" t="s">
        <v>827</v>
      </c>
      <c r="H602" s="6" t="s">
        <v>151</v>
      </c>
      <c r="I602" s="6" t="s">
        <v>5237</v>
      </c>
      <c r="J602" s="6">
        <v>14</v>
      </c>
      <c r="K602" s="7"/>
      <c r="L602" s="8">
        <v>78787878</v>
      </c>
      <c r="M602" s="8" t="str">
        <f t="shared" si="65"/>
        <v>PEN</v>
      </c>
      <c r="N602" s="13">
        <v>155.22999999999999</v>
      </c>
      <c r="O602" s="13"/>
      <c r="P602" s="3">
        <f t="shared" si="66"/>
        <v>0</v>
      </c>
      <c r="Q602" s="3">
        <f t="shared" si="67"/>
        <v>0</v>
      </c>
      <c r="R602" s="3">
        <f t="shared" si="59"/>
        <v>38247.220000000008</v>
      </c>
      <c r="S602" s="24"/>
      <c r="T602" s="24"/>
      <c r="U602" s="3"/>
      <c r="V602" s="19" t="str">
        <f>IFERROR(VLOOKUP(Banco_Nacion[[#This Row],[responsable]],Clientes_Proveedores[[Ruc / Dni]:[Razon Social]],2,0),"")</f>
        <v/>
      </c>
      <c r="W602" s="19" t="str">
        <f>IF(Banco_Nacion[[#This Row],[tipo_mov]]="INGRESO",Banco_Nacion[[#This Row],[serie]]&amp;Banco_Nacion[[#This Row],[numero]]&amp;Banco_Nacion[[#This Row],[responsable]]&amp;Banco_Nacion[[#This Row],[monto]],"")</f>
        <v/>
      </c>
      <c r="X602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/>
      </c>
      <c r="Y602" s="3" t="str">
        <f>IFERROR(VLOOKUP(Banco_Nacion[[#This Row],[serie]]&amp;Banco_Nacion[[#This Row],[numero]]&amp;Banco_Nacion[[#This Row],[responsable]],[2]!Provision_CXC[[ID CXP]:[DETRACCION]],47,0),"")</f>
        <v/>
      </c>
      <c r="Z602" s="3"/>
      <c r="AA602" s="24" t="str">
        <f>IF(Banco_Nacion[[#This Row],[fecha]]&gt;0,TEXT(Banco_Nacion[[#This Row],[fecha]],"mmmm"),0)</f>
        <v>Agosto</v>
      </c>
    </row>
    <row r="603" spans="1:27" ht="24" x14ac:dyDescent="0.3">
      <c r="A603" s="2" t="str">
        <f>IF(Banco_Nacion[[#This Row],[tipo_registro]]="R",COUNTIFS($C$1:$C602,"R")+1,"")</f>
        <v/>
      </c>
      <c r="B603" s="19" t="str">
        <f t="shared" si="64"/>
        <v>B-Banco de la Nacion</v>
      </c>
      <c r="C603" s="3" t="s">
        <v>1352</v>
      </c>
      <c r="D603" s="14">
        <v>45894</v>
      </c>
      <c r="E603" s="5" t="s">
        <v>3833</v>
      </c>
      <c r="F603" s="5"/>
      <c r="G603" s="6" t="s">
        <v>836</v>
      </c>
      <c r="H603" s="6" t="s">
        <v>151</v>
      </c>
      <c r="I603" s="6" t="s">
        <v>5237</v>
      </c>
      <c r="J603" s="6">
        <v>15</v>
      </c>
      <c r="K603" s="7"/>
      <c r="L603" s="8">
        <v>78787878</v>
      </c>
      <c r="M603" s="8" t="str">
        <f t="shared" si="65"/>
        <v>PEN</v>
      </c>
      <c r="N603" s="13">
        <v>172.18</v>
      </c>
      <c r="O603" s="13"/>
      <c r="P603" s="3">
        <f t="shared" si="66"/>
        <v>0</v>
      </c>
      <c r="Q603" s="3">
        <f t="shared" si="67"/>
        <v>0</v>
      </c>
      <c r="R603" s="3">
        <f t="shared" si="59"/>
        <v>38247.220000000008</v>
      </c>
      <c r="S603" s="24"/>
      <c r="T603" s="24"/>
      <c r="U603" s="3"/>
      <c r="V603" s="19" t="str">
        <f>IFERROR(VLOOKUP(Banco_Nacion[[#This Row],[responsable]],Clientes_Proveedores[[Ruc / Dni]:[Razon Social]],2,0),"")</f>
        <v/>
      </c>
      <c r="W603" s="19" t="str">
        <f>IF(Banco_Nacion[[#This Row],[tipo_mov]]="INGRESO",Banco_Nacion[[#This Row],[serie]]&amp;Banco_Nacion[[#This Row],[numero]]&amp;Banco_Nacion[[#This Row],[responsable]]&amp;Banco_Nacion[[#This Row],[monto]],"")</f>
        <v/>
      </c>
      <c r="X603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/>
      </c>
      <c r="Y603" s="3" t="str">
        <f>IFERROR(VLOOKUP(Banco_Nacion[[#This Row],[serie]]&amp;Banco_Nacion[[#This Row],[numero]]&amp;Banco_Nacion[[#This Row],[responsable]],[2]!Provision_CXC[[ID CXP]:[DETRACCION]],47,0),"")</f>
        <v/>
      </c>
      <c r="Z603" s="3"/>
      <c r="AA603" s="24" t="str">
        <f>IF(Banco_Nacion[[#This Row],[fecha]]&gt;0,TEXT(Banco_Nacion[[#This Row],[fecha]],"mmmm"),0)</f>
        <v>Agosto</v>
      </c>
    </row>
    <row r="604" spans="1:27" ht="24" x14ac:dyDescent="0.3">
      <c r="A604" s="2" t="str">
        <f>IF(Banco_Nacion[[#This Row],[tipo_registro]]="R",COUNTIFS($C$1:$C603,"R")+1,"")</f>
        <v/>
      </c>
      <c r="B604" s="19" t="str">
        <f t="shared" si="64"/>
        <v>B-Banco de la Nacion</v>
      </c>
      <c r="C604" s="3" t="s">
        <v>1352</v>
      </c>
      <c r="D604" s="14">
        <v>45894</v>
      </c>
      <c r="E604" s="5" t="s">
        <v>3833</v>
      </c>
      <c r="F604" s="5"/>
      <c r="G604" s="6" t="s">
        <v>997</v>
      </c>
      <c r="H604" s="6" t="s">
        <v>151</v>
      </c>
      <c r="I604" s="6" t="s">
        <v>5237</v>
      </c>
      <c r="J604" s="6">
        <v>16</v>
      </c>
      <c r="K604" s="7"/>
      <c r="L604" s="8">
        <v>78787878</v>
      </c>
      <c r="M604" s="8" t="str">
        <f t="shared" si="65"/>
        <v>PEN</v>
      </c>
      <c r="N604" s="13">
        <v>159.72999999999999</v>
      </c>
      <c r="O604" s="13"/>
      <c r="P604" s="3">
        <f t="shared" si="66"/>
        <v>0</v>
      </c>
      <c r="Q604" s="3">
        <f t="shared" si="67"/>
        <v>0</v>
      </c>
      <c r="R604" s="3">
        <f t="shared" si="59"/>
        <v>38247.220000000008</v>
      </c>
      <c r="S604" s="24"/>
      <c r="T604" s="24"/>
      <c r="U604" s="3"/>
      <c r="V604" s="19" t="str">
        <f>IFERROR(VLOOKUP(Banco_Nacion[[#This Row],[responsable]],Clientes_Proveedores[[Ruc / Dni]:[Razon Social]],2,0),"")</f>
        <v/>
      </c>
      <c r="W604" s="19" t="str">
        <f>IF(Banco_Nacion[[#This Row],[tipo_mov]]="INGRESO",Banco_Nacion[[#This Row],[serie]]&amp;Banco_Nacion[[#This Row],[numero]]&amp;Banco_Nacion[[#This Row],[responsable]]&amp;Banco_Nacion[[#This Row],[monto]],"")</f>
        <v/>
      </c>
      <c r="X604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/>
      </c>
      <c r="Y604" s="3" t="str">
        <f>IFERROR(VLOOKUP(Banco_Nacion[[#This Row],[serie]]&amp;Banco_Nacion[[#This Row],[numero]]&amp;Banco_Nacion[[#This Row],[responsable]],[2]!Provision_CXC[[ID CXP]:[DETRACCION]],47,0),"")</f>
        <v/>
      </c>
      <c r="Z604" s="3"/>
      <c r="AA604" s="24" t="str">
        <f>IF(Banco_Nacion[[#This Row],[fecha]]&gt;0,TEXT(Banco_Nacion[[#This Row],[fecha]],"mmmm"),0)</f>
        <v>Agosto</v>
      </c>
    </row>
    <row r="605" spans="1:27" ht="24" x14ac:dyDescent="0.3">
      <c r="A605" s="2" t="str">
        <f>IF(Banco_Nacion[[#This Row],[tipo_registro]]="R",COUNTIFS($C$1:$C604,"R")+1,"")</f>
        <v/>
      </c>
      <c r="B605" s="19" t="str">
        <f t="shared" si="64"/>
        <v>B-Banco de la Nacion</v>
      </c>
      <c r="C605" s="3" t="s">
        <v>1352</v>
      </c>
      <c r="D605" s="14">
        <v>45894</v>
      </c>
      <c r="E605" s="5" t="s">
        <v>3833</v>
      </c>
      <c r="F605" s="5"/>
      <c r="G605" s="6" t="s">
        <v>967</v>
      </c>
      <c r="H605" s="6" t="s">
        <v>151</v>
      </c>
      <c r="I605" s="6" t="s">
        <v>5237</v>
      </c>
      <c r="J605" s="6">
        <v>17</v>
      </c>
      <c r="K605" s="7"/>
      <c r="L605" s="8">
        <v>78787878</v>
      </c>
      <c r="M605" s="8" t="str">
        <f t="shared" si="65"/>
        <v>PEN</v>
      </c>
      <c r="N605" s="13">
        <v>126.9</v>
      </c>
      <c r="O605" s="13"/>
      <c r="P605" s="3">
        <f t="shared" si="66"/>
        <v>0</v>
      </c>
      <c r="Q605" s="3">
        <f t="shared" si="67"/>
        <v>0</v>
      </c>
      <c r="R605" s="3">
        <f t="shared" si="59"/>
        <v>38247.220000000008</v>
      </c>
      <c r="S605" s="24"/>
      <c r="T605" s="24"/>
      <c r="U605" s="3"/>
      <c r="V605" s="19" t="str">
        <f>IFERROR(VLOOKUP(Banco_Nacion[[#This Row],[responsable]],Clientes_Proveedores[[Ruc / Dni]:[Razon Social]],2,0),"")</f>
        <v/>
      </c>
      <c r="W605" s="19" t="str">
        <f>IF(Banco_Nacion[[#This Row],[tipo_mov]]="INGRESO",Banco_Nacion[[#This Row],[serie]]&amp;Banco_Nacion[[#This Row],[numero]]&amp;Banco_Nacion[[#This Row],[responsable]]&amp;Banco_Nacion[[#This Row],[monto]],"")</f>
        <v/>
      </c>
      <c r="X605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/>
      </c>
      <c r="Y605" s="3" t="str">
        <f>IFERROR(VLOOKUP(Banco_Nacion[[#This Row],[serie]]&amp;Banco_Nacion[[#This Row],[numero]]&amp;Banco_Nacion[[#This Row],[responsable]],[2]!Provision_CXC[[ID CXP]:[DETRACCION]],47,0),"")</f>
        <v/>
      </c>
      <c r="Z605" s="3"/>
      <c r="AA605" s="24" t="str">
        <f>IF(Banco_Nacion[[#This Row],[fecha]]&gt;0,TEXT(Banco_Nacion[[#This Row],[fecha]],"mmmm"),0)</f>
        <v>Agosto</v>
      </c>
    </row>
    <row r="606" spans="1:27" ht="24" x14ac:dyDescent="0.3">
      <c r="A606" s="2" t="str">
        <f>IF(Banco_Nacion[[#This Row],[tipo_registro]]="R",COUNTIFS($C$1:$C605,"R")+1,"")</f>
        <v/>
      </c>
      <c r="B606" s="19" t="str">
        <f t="shared" si="64"/>
        <v>B-Banco de la Nacion</v>
      </c>
      <c r="C606" s="3" t="s">
        <v>1352</v>
      </c>
      <c r="D606" s="14">
        <v>45894</v>
      </c>
      <c r="E606" s="5" t="s">
        <v>3833</v>
      </c>
      <c r="F606" s="5"/>
      <c r="G606" s="6" t="s">
        <v>857</v>
      </c>
      <c r="H606" s="6" t="s">
        <v>151</v>
      </c>
      <c r="I606" s="6" t="s">
        <v>5237</v>
      </c>
      <c r="J606" s="6">
        <v>18</v>
      </c>
      <c r="K606" s="7"/>
      <c r="L606" s="8">
        <v>78787878</v>
      </c>
      <c r="M606" s="8" t="str">
        <f t="shared" si="65"/>
        <v>PEN</v>
      </c>
      <c r="N606" s="13">
        <v>164.58</v>
      </c>
      <c r="O606" s="13"/>
      <c r="P606" s="3">
        <f t="shared" si="66"/>
        <v>0</v>
      </c>
      <c r="Q606" s="3">
        <f t="shared" si="67"/>
        <v>0</v>
      </c>
      <c r="R606" s="3">
        <f t="shared" si="59"/>
        <v>38247.220000000008</v>
      </c>
      <c r="S606" s="24"/>
      <c r="T606" s="24"/>
      <c r="U606" s="3"/>
      <c r="V606" s="19" t="str">
        <f>IFERROR(VLOOKUP(Banco_Nacion[[#This Row],[responsable]],Clientes_Proveedores[[Ruc / Dni]:[Razon Social]],2,0),"")</f>
        <v/>
      </c>
      <c r="W606" s="19" t="str">
        <f>IF(Banco_Nacion[[#This Row],[tipo_mov]]="INGRESO",Banco_Nacion[[#This Row],[serie]]&amp;Banco_Nacion[[#This Row],[numero]]&amp;Banco_Nacion[[#This Row],[responsable]]&amp;Banco_Nacion[[#This Row],[monto]],"")</f>
        <v/>
      </c>
      <c r="X606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/>
      </c>
      <c r="Y606" s="3" t="str">
        <f>IFERROR(VLOOKUP(Banco_Nacion[[#This Row],[serie]]&amp;Banco_Nacion[[#This Row],[numero]]&amp;Banco_Nacion[[#This Row],[responsable]],[2]!Provision_CXC[[ID CXP]:[DETRACCION]],47,0),"")</f>
        <v/>
      </c>
      <c r="Z606" s="3"/>
      <c r="AA606" s="24" t="str">
        <f>IF(Banco_Nacion[[#This Row],[fecha]]&gt;0,TEXT(Banco_Nacion[[#This Row],[fecha]],"mmmm"),0)</f>
        <v>Agosto</v>
      </c>
    </row>
    <row r="607" spans="1:27" ht="24" x14ac:dyDescent="0.3">
      <c r="A607" s="2" t="str">
        <f>IF(Banco_Nacion[[#This Row],[tipo_registro]]="R",COUNTIFS($C$1:$C606,"R")+1,"")</f>
        <v/>
      </c>
      <c r="B607" s="19" t="str">
        <f t="shared" si="64"/>
        <v>B-Banco de la Nacion</v>
      </c>
      <c r="C607" s="3" t="s">
        <v>1352</v>
      </c>
      <c r="D607" s="14">
        <v>45894</v>
      </c>
      <c r="E607" s="5" t="s">
        <v>3833</v>
      </c>
      <c r="F607" s="5"/>
      <c r="G607" s="6" t="s">
        <v>859</v>
      </c>
      <c r="H607" s="6" t="s">
        <v>151</v>
      </c>
      <c r="I607" s="6" t="s">
        <v>5237</v>
      </c>
      <c r="J607" s="6">
        <v>19</v>
      </c>
      <c r="K607" s="7"/>
      <c r="L607" s="8">
        <v>78787878</v>
      </c>
      <c r="M607" s="8" t="str">
        <f t="shared" si="65"/>
        <v>PEN</v>
      </c>
      <c r="N607" s="13">
        <v>107.25</v>
      </c>
      <c r="O607" s="13"/>
      <c r="P607" s="3">
        <f t="shared" si="66"/>
        <v>0</v>
      </c>
      <c r="Q607" s="3">
        <f t="shared" si="67"/>
        <v>0</v>
      </c>
      <c r="R607" s="3">
        <f t="shared" si="59"/>
        <v>38247.220000000008</v>
      </c>
      <c r="S607" s="24"/>
      <c r="T607" s="24"/>
      <c r="U607" s="3"/>
      <c r="V607" s="19" t="str">
        <f>IFERROR(VLOOKUP(Banco_Nacion[[#This Row],[responsable]],Clientes_Proveedores[[Ruc / Dni]:[Razon Social]],2,0),"")</f>
        <v/>
      </c>
      <c r="W607" s="19" t="str">
        <f>IF(Banco_Nacion[[#This Row],[tipo_mov]]="INGRESO",Banco_Nacion[[#This Row],[serie]]&amp;Banco_Nacion[[#This Row],[numero]]&amp;Banco_Nacion[[#This Row],[responsable]]&amp;Banco_Nacion[[#This Row],[monto]],"")</f>
        <v/>
      </c>
      <c r="X607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/>
      </c>
      <c r="Y607" s="3" t="str">
        <f>IFERROR(VLOOKUP(Banco_Nacion[[#This Row],[serie]]&amp;Banco_Nacion[[#This Row],[numero]]&amp;Banco_Nacion[[#This Row],[responsable]],[2]!Provision_CXC[[ID CXP]:[DETRACCION]],47,0),"")</f>
        <v/>
      </c>
      <c r="Z607" s="3"/>
      <c r="AA607" s="24" t="str">
        <f>IF(Banco_Nacion[[#This Row],[fecha]]&gt;0,TEXT(Banco_Nacion[[#This Row],[fecha]],"mmmm"),0)</f>
        <v>Agosto</v>
      </c>
    </row>
    <row r="608" spans="1:27" ht="24" x14ac:dyDescent="0.3">
      <c r="A608" s="2" t="str">
        <f>IF(Banco_Nacion[[#This Row],[tipo_registro]]="R",COUNTIFS($C$1:$C607,"R")+1,"")</f>
        <v/>
      </c>
      <c r="B608" s="19" t="str">
        <f t="shared" si="64"/>
        <v>B-Banco de la Nacion</v>
      </c>
      <c r="C608" s="3" t="s">
        <v>1352</v>
      </c>
      <c r="D608" s="14">
        <v>45894</v>
      </c>
      <c r="E608" s="5" t="s">
        <v>3833</v>
      </c>
      <c r="F608" s="5"/>
      <c r="G608" s="6" t="s">
        <v>692</v>
      </c>
      <c r="H608" s="6" t="s">
        <v>151</v>
      </c>
      <c r="I608" s="6" t="s">
        <v>5237</v>
      </c>
      <c r="J608" s="6">
        <v>20</v>
      </c>
      <c r="K608" s="7"/>
      <c r="L608" s="8">
        <v>78787878</v>
      </c>
      <c r="M608" s="8" t="str">
        <f t="shared" si="65"/>
        <v>PEN</v>
      </c>
      <c r="N608" s="13">
        <v>347</v>
      </c>
      <c r="O608" s="13"/>
      <c r="P608" s="3">
        <f t="shared" si="66"/>
        <v>0</v>
      </c>
      <c r="Q608" s="3">
        <f t="shared" si="67"/>
        <v>0</v>
      </c>
      <c r="R608" s="3">
        <f t="shared" si="59"/>
        <v>38247.220000000008</v>
      </c>
      <c r="S608" s="24"/>
      <c r="T608" s="24"/>
      <c r="U608" s="3"/>
      <c r="V608" s="19" t="str">
        <f>IFERROR(VLOOKUP(Banco_Nacion[[#This Row],[responsable]],Clientes_Proveedores[[Ruc / Dni]:[Razon Social]],2,0),"")</f>
        <v/>
      </c>
      <c r="W608" s="19" t="str">
        <f>IF(Banco_Nacion[[#This Row],[tipo_mov]]="INGRESO",Banco_Nacion[[#This Row],[serie]]&amp;Banco_Nacion[[#This Row],[numero]]&amp;Banco_Nacion[[#This Row],[responsable]]&amp;Banco_Nacion[[#This Row],[monto]],"")</f>
        <v/>
      </c>
      <c r="X608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/>
      </c>
      <c r="Y608" s="3" t="str">
        <f>IFERROR(VLOOKUP(Banco_Nacion[[#This Row],[serie]]&amp;Banco_Nacion[[#This Row],[numero]]&amp;Banco_Nacion[[#This Row],[responsable]],[2]!Provision_CXC[[ID CXP]:[DETRACCION]],47,0),"")</f>
        <v/>
      </c>
      <c r="Z608" s="3"/>
      <c r="AA608" s="24" t="str">
        <f>IF(Banco_Nacion[[#This Row],[fecha]]&gt;0,TEXT(Banco_Nacion[[#This Row],[fecha]],"mmmm"),0)</f>
        <v>Agosto</v>
      </c>
    </row>
    <row r="609" spans="1:27" ht="24" x14ac:dyDescent="0.3">
      <c r="A609" s="2" t="str">
        <f>IF(Banco_Nacion[[#This Row],[tipo_registro]]="R",COUNTIFS($C$1:$C608,"R")+1,"")</f>
        <v/>
      </c>
      <c r="B609" s="19" t="str">
        <f t="shared" si="64"/>
        <v>B-Banco de la Nacion</v>
      </c>
      <c r="C609" s="3" t="s">
        <v>1352</v>
      </c>
      <c r="D609" s="14">
        <v>45894</v>
      </c>
      <c r="E609" s="5" t="s">
        <v>3833</v>
      </c>
      <c r="F609" s="5"/>
      <c r="G609" s="6" t="s">
        <v>866</v>
      </c>
      <c r="H609" s="6" t="s">
        <v>151</v>
      </c>
      <c r="I609" s="6" t="s">
        <v>5237</v>
      </c>
      <c r="J609" s="6">
        <v>21</v>
      </c>
      <c r="K609" s="7"/>
      <c r="L609" s="8">
        <v>78787878</v>
      </c>
      <c r="M609" s="8" t="str">
        <f t="shared" si="65"/>
        <v>PEN</v>
      </c>
      <c r="N609" s="13">
        <v>131.88</v>
      </c>
      <c r="O609" s="13"/>
      <c r="P609" s="3">
        <f t="shared" si="66"/>
        <v>0</v>
      </c>
      <c r="Q609" s="3">
        <f t="shared" si="67"/>
        <v>0</v>
      </c>
      <c r="R609" s="3">
        <f t="shared" si="59"/>
        <v>38247.220000000008</v>
      </c>
      <c r="S609" s="24"/>
      <c r="T609" s="24"/>
      <c r="U609" s="3"/>
      <c r="V609" s="19" t="str">
        <f>IFERROR(VLOOKUP(Banco_Nacion[[#This Row],[responsable]],Clientes_Proveedores[[Ruc / Dni]:[Razon Social]],2,0),"")</f>
        <v/>
      </c>
      <c r="W609" s="19" t="str">
        <f>IF(Banco_Nacion[[#This Row],[tipo_mov]]="INGRESO",Banco_Nacion[[#This Row],[serie]]&amp;Banco_Nacion[[#This Row],[numero]]&amp;Banco_Nacion[[#This Row],[responsable]]&amp;Banco_Nacion[[#This Row],[monto]],"")</f>
        <v/>
      </c>
      <c r="X609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/>
      </c>
      <c r="Y609" s="3" t="str">
        <f>IFERROR(VLOOKUP(Banco_Nacion[[#This Row],[serie]]&amp;Banco_Nacion[[#This Row],[numero]]&amp;Banco_Nacion[[#This Row],[responsable]],[2]!Provision_CXC[[ID CXP]:[DETRACCION]],47,0),"")</f>
        <v/>
      </c>
      <c r="Z609" s="3"/>
      <c r="AA609" s="24" t="str">
        <f>IF(Banco_Nacion[[#This Row],[fecha]]&gt;0,TEXT(Banco_Nacion[[#This Row],[fecha]],"mmmm"),0)</f>
        <v>Agosto</v>
      </c>
    </row>
    <row r="610" spans="1:27" ht="24" x14ac:dyDescent="0.3">
      <c r="A610" s="2" t="str">
        <f>IF(Banco_Nacion[[#This Row],[tipo_registro]]="R",COUNTIFS($C$1:$C609,"R")+1,"")</f>
        <v/>
      </c>
      <c r="B610" s="19" t="str">
        <f t="shared" si="64"/>
        <v>B-Banco de la Nacion</v>
      </c>
      <c r="C610" s="3" t="s">
        <v>1352</v>
      </c>
      <c r="D610" s="14">
        <v>45894</v>
      </c>
      <c r="E610" s="5" t="s">
        <v>3833</v>
      </c>
      <c r="F610" s="5"/>
      <c r="G610" s="6" t="s">
        <v>1075</v>
      </c>
      <c r="H610" s="6" t="s">
        <v>151</v>
      </c>
      <c r="I610" s="6" t="s">
        <v>5237</v>
      </c>
      <c r="J610" s="6">
        <v>22</v>
      </c>
      <c r="K610" s="7"/>
      <c r="L610" s="8">
        <v>78787878</v>
      </c>
      <c r="M610" s="8" t="str">
        <f t="shared" si="65"/>
        <v>PEN</v>
      </c>
      <c r="N610" s="13">
        <v>118.43</v>
      </c>
      <c r="O610" s="13"/>
      <c r="P610" s="3">
        <f t="shared" si="66"/>
        <v>0</v>
      </c>
      <c r="Q610" s="3">
        <f t="shared" si="67"/>
        <v>0</v>
      </c>
      <c r="R610" s="3">
        <f t="shared" si="59"/>
        <v>38247.220000000008</v>
      </c>
      <c r="S610" s="24"/>
      <c r="T610" s="24"/>
      <c r="U610" s="3"/>
      <c r="V610" s="19" t="str">
        <f>IFERROR(VLOOKUP(Banco_Nacion[[#This Row],[responsable]],Clientes_Proveedores[[Ruc / Dni]:[Razon Social]],2,0),"")</f>
        <v/>
      </c>
      <c r="W610" s="19" t="str">
        <f>IF(Banco_Nacion[[#This Row],[tipo_mov]]="INGRESO",Banco_Nacion[[#This Row],[serie]]&amp;Banco_Nacion[[#This Row],[numero]]&amp;Banco_Nacion[[#This Row],[responsable]]&amp;Banco_Nacion[[#This Row],[monto]],"")</f>
        <v/>
      </c>
      <c r="X610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/>
      </c>
      <c r="Y610" s="3" t="str">
        <f>IFERROR(VLOOKUP(Banco_Nacion[[#This Row],[serie]]&amp;Banco_Nacion[[#This Row],[numero]]&amp;Banco_Nacion[[#This Row],[responsable]],[2]!Provision_CXC[[ID CXP]:[DETRACCION]],47,0),"")</f>
        <v/>
      </c>
      <c r="Z610" s="3"/>
      <c r="AA610" s="24" t="str">
        <f>IF(Banco_Nacion[[#This Row],[fecha]]&gt;0,TEXT(Banco_Nacion[[#This Row],[fecha]],"mmmm"),0)</f>
        <v>Agosto</v>
      </c>
    </row>
    <row r="611" spans="1:27" ht="24" x14ac:dyDescent="0.3">
      <c r="A611" s="2" t="str">
        <f>IF(Banco_Nacion[[#This Row],[tipo_registro]]="R",COUNTIFS($C$1:$C610,"R")+1,"")</f>
        <v/>
      </c>
      <c r="B611" s="19" t="str">
        <f t="shared" si="64"/>
        <v>B-Banco de la Nacion</v>
      </c>
      <c r="C611" s="3" t="s">
        <v>1352</v>
      </c>
      <c r="D611" s="14">
        <v>45894</v>
      </c>
      <c r="E611" s="5" t="s">
        <v>3833</v>
      </c>
      <c r="F611" s="5"/>
      <c r="G611" s="6" t="s">
        <v>871</v>
      </c>
      <c r="H611" s="6" t="s">
        <v>151</v>
      </c>
      <c r="I611" s="6" t="s">
        <v>5237</v>
      </c>
      <c r="J611" s="6">
        <v>23</v>
      </c>
      <c r="K611" s="7"/>
      <c r="L611" s="8">
        <v>78787878</v>
      </c>
      <c r="M611" s="8" t="str">
        <f t="shared" si="65"/>
        <v>PEN</v>
      </c>
      <c r="N611" s="13">
        <v>158.91</v>
      </c>
      <c r="O611" s="13"/>
      <c r="P611" s="3">
        <f t="shared" si="66"/>
        <v>0</v>
      </c>
      <c r="Q611" s="3">
        <f t="shared" si="67"/>
        <v>0</v>
      </c>
      <c r="R611" s="3">
        <f t="shared" si="59"/>
        <v>38247.220000000008</v>
      </c>
      <c r="S611" s="24"/>
      <c r="T611" s="24"/>
      <c r="U611" s="3"/>
      <c r="V611" s="19" t="str">
        <f>IFERROR(VLOOKUP(Banco_Nacion[[#This Row],[responsable]],Clientes_Proveedores[[Ruc / Dni]:[Razon Social]],2,0),"")</f>
        <v/>
      </c>
      <c r="W611" s="19" t="str">
        <f>IF(Banco_Nacion[[#This Row],[tipo_mov]]="INGRESO",Banco_Nacion[[#This Row],[serie]]&amp;Banco_Nacion[[#This Row],[numero]]&amp;Banco_Nacion[[#This Row],[responsable]]&amp;Banco_Nacion[[#This Row],[monto]],"")</f>
        <v/>
      </c>
      <c r="X611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/>
      </c>
      <c r="Y611" s="3" t="str">
        <f>IFERROR(VLOOKUP(Banco_Nacion[[#This Row],[serie]]&amp;Banco_Nacion[[#This Row],[numero]]&amp;Banco_Nacion[[#This Row],[responsable]],[2]!Provision_CXC[[ID CXP]:[DETRACCION]],47,0),"")</f>
        <v/>
      </c>
      <c r="Z611" s="3"/>
      <c r="AA611" s="24" t="str">
        <f>IF(Banco_Nacion[[#This Row],[fecha]]&gt;0,TEXT(Banco_Nacion[[#This Row],[fecha]],"mmmm"),0)</f>
        <v>Agosto</v>
      </c>
    </row>
    <row r="612" spans="1:27" ht="24" x14ac:dyDescent="0.3">
      <c r="A612" s="2" t="str">
        <f>IF(Banco_Nacion[[#This Row],[tipo_registro]]="R",COUNTIFS($C$1:$C611,"R")+1,"")</f>
        <v/>
      </c>
      <c r="B612" s="19" t="str">
        <f t="shared" si="64"/>
        <v>B-Banco de la Nacion</v>
      </c>
      <c r="C612" s="3" t="s">
        <v>1352</v>
      </c>
      <c r="D612" s="14">
        <v>45894</v>
      </c>
      <c r="E612" s="5" t="s">
        <v>3833</v>
      </c>
      <c r="F612" s="5"/>
      <c r="G612" s="6" t="s">
        <v>873</v>
      </c>
      <c r="H612" s="6" t="s">
        <v>151</v>
      </c>
      <c r="I612" s="6" t="s">
        <v>5237</v>
      </c>
      <c r="J612" s="6">
        <v>24</v>
      </c>
      <c r="K612" s="7"/>
      <c r="L612" s="8">
        <v>78787878</v>
      </c>
      <c r="M612" s="8" t="str">
        <f t="shared" si="65"/>
        <v>PEN</v>
      </c>
      <c r="N612" s="13">
        <v>118.64</v>
      </c>
      <c r="O612" s="13"/>
      <c r="P612" s="3">
        <f t="shared" si="66"/>
        <v>0</v>
      </c>
      <c r="Q612" s="3">
        <f t="shared" si="67"/>
        <v>0</v>
      </c>
      <c r="R612" s="3">
        <f t="shared" si="59"/>
        <v>38247.220000000008</v>
      </c>
      <c r="S612" s="24"/>
      <c r="T612" s="24"/>
      <c r="U612" s="3"/>
      <c r="V612" s="19" t="str">
        <f>IFERROR(VLOOKUP(Banco_Nacion[[#This Row],[responsable]],Clientes_Proveedores[[Ruc / Dni]:[Razon Social]],2,0),"")</f>
        <v/>
      </c>
      <c r="W612" s="19" t="str">
        <f>IF(Banco_Nacion[[#This Row],[tipo_mov]]="INGRESO",Banco_Nacion[[#This Row],[serie]]&amp;Banco_Nacion[[#This Row],[numero]]&amp;Banco_Nacion[[#This Row],[responsable]]&amp;Banco_Nacion[[#This Row],[monto]],"")</f>
        <v/>
      </c>
      <c r="X612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/>
      </c>
      <c r="Y612" s="3" t="str">
        <f>IFERROR(VLOOKUP(Banco_Nacion[[#This Row],[serie]]&amp;Banco_Nacion[[#This Row],[numero]]&amp;Banco_Nacion[[#This Row],[responsable]],[2]!Provision_CXC[[ID CXP]:[DETRACCION]],47,0),"")</f>
        <v/>
      </c>
      <c r="Z612" s="3"/>
      <c r="AA612" s="24" t="str">
        <f>IF(Banco_Nacion[[#This Row],[fecha]]&gt;0,TEXT(Banco_Nacion[[#This Row],[fecha]],"mmmm"),0)</f>
        <v>Agosto</v>
      </c>
    </row>
    <row r="613" spans="1:27" ht="24" x14ac:dyDescent="0.3">
      <c r="A613" s="2" t="str">
        <f>IF(Banco_Nacion[[#This Row],[tipo_registro]]="R",COUNTIFS($C$1:$C612,"R")+1,"")</f>
        <v/>
      </c>
      <c r="B613" s="19" t="str">
        <f t="shared" si="64"/>
        <v>B-Banco de la Nacion</v>
      </c>
      <c r="C613" s="3" t="s">
        <v>1352</v>
      </c>
      <c r="D613" s="14">
        <v>45894</v>
      </c>
      <c r="E613" s="5" t="s">
        <v>3833</v>
      </c>
      <c r="F613" s="5"/>
      <c r="G613" s="6" t="s">
        <v>876</v>
      </c>
      <c r="H613" s="6" t="s">
        <v>151</v>
      </c>
      <c r="I613" s="6" t="s">
        <v>5237</v>
      </c>
      <c r="J613" s="6">
        <v>25</v>
      </c>
      <c r="K613" s="7"/>
      <c r="L613" s="8">
        <v>78787878</v>
      </c>
      <c r="M613" s="8" t="str">
        <f t="shared" si="65"/>
        <v>PEN</v>
      </c>
      <c r="N613" s="13">
        <v>172.04</v>
      </c>
      <c r="O613" s="13"/>
      <c r="P613" s="3">
        <f t="shared" si="66"/>
        <v>0</v>
      </c>
      <c r="Q613" s="3">
        <f t="shared" si="67"/>
        <v>0</v>
      </c>
      <c r="R613" s="3">
        <f t="shared" si="59"/>
        <v>38247.220000000008</v>
      </c>
      <c r="S613" s="24"/>
      <c r="T613" s="24"/>
      <c r="U613" s="3"/>
      <c r="V613" s="19" t="str">
        <f>IFERROR(VLOOKUP(Banco_Nacion[[#This Row],[responsable]],Clientes_Proveedores[[Ruc / Dni]:[Razon Social]],2,0),"")</f>
        <v/>
      </c>
      <c r="W613" s="19" t="str">
        <f>IF(Banco_Nacion[[#This Row],[tipo_mov]]="INGRESO",Banco_Nacion[[#This Row],[serie]]&amp;Banco_Nacion[[#This Row],[numero]]&amp;Banco_Nacion[[#This Row],[responsable]]&amp;Banco_Nacion[[#This Row],[monto]],"")</f>
        <v/>
      </c>
      <c r="X613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/>
      </c>
      <c r="Y613" s="3" t="str">
        <f>IFERROR(VLOOKUP(Banco_Nacion[[#This Row],[serie]]&amp;Banco_Nacion[[#This Row],[numero]]&amp;Banco_Nacion[[#This Row],[responsable]],[2]!Provision_CXC[[ID CXP]:[DETRACCION]],47,0),"")</f>
        <v/>
      </c>
      <c r="Z613" s="3"/>
      <c r="AA613" s="24" t="str">
        <f>IF(Banco_Nacion[[#This Row],[fecha]]&gt;0,TEXT(Banco_Nacion[[#This Row],[fecha]],"mmmm"),0)</f>
        <v>Agosto</v>
      </c>
    </row>
    <row r="614" spans="1:27" ht="24" x14ac:dyDescent="0.3">
      <c r="A614" s="2" t="str">
        <f>IF(Banco_Nacion[[#This Row],[tipo_registro]]="R",COUNTIFS($C$1:$C613,"R")+1,"")</f>
        <v/>
      </c>
      <c r="B614" s="19" t="str">
        <f t="shared" si="64"/>
        <v>B-Banco de la Nacion</v>
      </c>
      <c r="C614" s="3" t="s">
        <v>1352</v>
      </c>
      <c r="D614" s="14">
        <v>45894</v>
      </c>
      <c r="E614" s="5" t="s">
        <v>3833</v>
      </c>
      <c r="F614" s="5"/>
      <c r="G614" s="6" t="s">
        <v>882</v>
      </c>
      <c r="H614" s="6" t="s">
        <v>151</v>
      </c>
      <c r="I614" s="6" t="s">
        <v>5237</v>
      </c>
      <c r="J614" s="6">
        <v>26</v>
      </c>
      <c r="K614" s="7"/>
      <c r="L614" s="8">
        <v>78787878</v>
      </c>
      <c r="M614" s="8" t="str">
        <f t="shared" si="65"/>
        <v>PEN</v>
      </c>
      <c r="N614" s="13">
        <v>260.72000000000003</v>
      </c>
      <c r="O614" s="13"/>
      <c r="P614" s="3">
        <f t="shared" si="66"/>
        <v>0</v>
      </c>
      <c r="Q614" s="3">
        <f t="shared" si="67"/>
        <v>0</v>
      </c>
      <c r="R614" s="3">
        <f t="shared" si="59"/>
        <v>38247.220000000008</v>
      </c>
      <c r="S614" s="24"/>
      <c r="T614" s="24"/>
      <c r="U614" s="3"/>
      <c r="V614" s="19" t="str">
        <f>IFERROR(VLOOKUP(Banco_Nacion[[#This Row],[responsable]],Clientes_Proveedores[[Ruc / Dni]:[Razon Social]],2,0),"")</f>
        <v/>
      </c>
      <c r="W614" s="19" t="str">
        <f>IF(Banco_Nacion[[#This Row],[tipo_mov]]="INGRESO",Banco_Nacion[[#This Row],[serie]]&amp;Banco_Nacion[[#This Row],[numero]]&amp;Banco_Nacion[[#This Row],[responsable]]&amp;Banco_Nacion[[#This Row],[monto]],"")</f>
        <v/>
      </c>
      <c r="X614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/>
      </c>
      <c r="Y614" s="3" t="str">
        <f>IFERROR(VLOOKUP(Banco_Nacion[[#This Row],[serie]]&amp;Banco_Nacion[[#This Row],[numero]]&amp;Banco_Nacion[[#This Row],[responsable]],[2]!Provision_CXC[[ID CXP]:[DETRACCION]],47,0),"")</f>
        <v/>
      </c>
      <c r="Z614" s="3"/>
      <c r="AA614" s="24" t="str">
        <f>IF(Banco_Nacion[[#This Row],[fecha]]&gt;0,TEXT(Banco_Nacion[[#This Row],[fecha]],"mmmm"),0)</f>
        <v>Agosto</v>
      </c>
    </row>
    <row r="615" spans="1:27" ht="24" x14ac:dyDescent="0.3">
      <c r="A615" s="2" t="str">
        <f>IF(Banco_Nacion[[#This Row],[tipo_registro]]="R",COUNTIFS($C$1:$C614,"R")+1,"")</f>
        <v/>
      </c>
      <c r="B615" s="19" t="str">
        <f t="shared" si="64"/>
        <v>B-Banco de la Nacion</v>
      </c>
      <c r="C615" s="3" t="s">
        <v>1352</v>
      </c>
      <c r="D615" s="14">
        <v>45894</v>
      </c>
      <c r="E615" s="5" t="s">
        <v>3833</v>
      </c>
      <c r="F615" s="5"/>
      <c r="G615" s="6" t="s">
        <v>1010</v>
      </c>
      <c r="H615" s="6" t="s">
        <v>151</v>
      </c>
      <c r="I615" s="6" t="s">
        <v>5237</v>
      </c>
      <c r="J615" s="6">
        <v>27</v>
      </c>
      <c r="K615" s="7"/>
      <c r="L615" s="8">
        <v>78787878</v>
      </c>
      <c r="M615" s="8" t="str">
        <f t="shared" si="65"/>
        <v>PEN</v>
      </c>
      <c r="N615" s="13">
        <v>150.08000000000001</v>
      </c>
      <c r="O615" s="13"/>
      <c r="P615" s="3">
        <f t="shared" si="66"/>
        <v>0</v>
      </c>
      <c r="Q615" s="3">
        <f t="shared" si="67"/>
        <v>0</v>
      </c>
      <c r="R615" s="3">
        <f t="shared" si="59"/>
        <v>38247.220000000008</v>
      </c>
      <c r="S615" s="24"/>
      <c r="T615" s="24"/>
      <c r="U615" s="3"/>
      <c r="V615" s="19" t="str">
        <f>IFERROR(VLOOKUP(Banco_Nacion[[#This Row],[responsable]],Clientes_Proveedores[[Ruc / Dni]:[Razon Social]],2,0),"")</f>
        <v/>
      </c>
      <c r="W615" s="19" t="str">
        <f>IF(Banco_Nacion[[#This Row],[tipo_mov]]="INGRESO",Banco_Nacion[[#This Row],[serie]]&amp;Banco_Nacion[[#This Row],[numero]]&amp;Banco_Nacion[[#This Row],[responsable]]&amp;Banco_Nacion[[#This Row],[monto]],"")</f>
        <v/>
      </c>
      <c r="X615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/>
      </c>
      <c r="Y615" s="3" t="str">
        <f>IFERROR(VLOOKUP(Banco_Nacion[[#This Row],[serie]]&amp;Banco_Nacion[[#This Row],[numero]]&amp;Banco_Nacion[[#This Row],[responsable]],[2]!Provision_CXC[[ID CXP]:[DETRACCION]],47,0),"")</f>
        <v/>
      </c>
      <c r="Z615" s="3"/>
      <c r="AA615" s="24" t="str">
        <f>IF(Banco_Nacion[[#This Row],[fecha]]&gt;0,TEXT(Banco_Nacion[[#This Row],[fecha]],"mmmm"),0)</f>
        <v>Agosto</v>
      </c>
    </row>
    <row r="616" spans="1:27" ht="24" x14ac:dyDescent="0.3">
      <c r="A616" s="2" t="str">
        <f>IF(Banco_Nacion[[#This Row],[tipo_registro]]="R",COUNTIFS($C$1:$C615,"R")+1,"")</f>
        <v/>
      </c>
      <c r="B616" s="19" t="str">
        <f t="shared" si="64"/>
        <v>B-Banco de la Nacion</v>
      </c>
      <c r="C616" s="3" t="s">
        <v>1352</v>
      </c>
      <c r="D616" s="14">
        <v>45894</v>
      </c>
      <c r="E616" s="5" t="s">
        <v>3833</v>
      </c>
      <c r="F616" s="5"/>
      <c r="G616" s="6" t="s">
        <v>888</v>
      </c>
      <c r="H616" s="6" t="s">
        <v>151</v>
      </c>
      <c r="I616" s="6" t="s">
        <v>5237</v>
      </c>
      <c r="J616" s="6">
        <v>28</v>
      </c>
      <c r="K616" s="7"/>
      <c r="L616" s="8">
        <v>78787878</v>
      </c>
      <c r="M616" s="8" t="str">
        <f t="shared" si="65"/>
        <v>PEN</v>
      </c>
      <c r="N616" s="13">
        <v>211.27</v>
      </c>
      <c r="O616" s="13"/>
      <c r="P616" s="3">
        <f t="shared" si="66"/>
        <v>0</v>
      </c>
      <c r="Q616" s="3">
        <f t="shared" si="67"/>
        <v>0</v>
      </c>
      <c r="R616" s="3">
        <f t="shared" si="59"/>
        <v>38247.220000000008</v>
      </c>
      <c r="S616" s="24"/>
      <c r="T616" s="24"/>
      <c r="U616" s="3"/>
      <c r="V616" s="19" t="str">
        <f>IFERROR(VLOOKUP(Banco_Nacion[[#This Row],[responsable]],Clientes_Proveedores[[Ruc / Dni]:[Razon Social]],2,0),"")</f>
        <v/>
      </c>
      <c r="W616" s="19" t="str">
        <f>IF(Banco_Nacion[[#This Row],[tipo_mov]]="INGRESO",Banco_Nacion[[#This Row],[serie]]&amp;Banco_Nacion[[#This Row],[numero]]&amp;Banco_Nacion[[#This Row],[responsable]]&amp;Banco_Nacion[[#This Row],[monto]],"")</f>
        <v/>
      </c>
      <c r="X616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/>
      </c>
      <c r="Y616" s="3" t="str">
        <f>IFERROR(VLOOKUP(Banco_Nacion[[#This Row],[serie]]&amp;Banco_Nacion[[#This Row],[numero]]&amp;Banco_Nacion[[#This Row],[responsable]],[2]!Provision_CXC[[ID CXP]:[DETRACCION]],47,0),"")</f>
        <v/>
      </c>
      <c r="Z616" s="3"/>
      <c r="AA616" s="24" t="str">
        <f>IF(Banco_Nacion[[#This Row],[fecha]]&gt;0,TEXT(Banco_Nacion[[#This Row],[fecha]],"mmmm"),0)</f>
        <v>Agosto</v>
      </c>
    </row>
    <row r="617" spans="1:27" ht="24" x14ac:dyDescent="0.3">
      <c r="A617" s="2" t="str">
        <f>IF(Banco_Nacion[[#This Row],[tipo_registro]]="R",COUNTIFS($C$1:$C616,"R")+1,"")</f>
        <v/>
      </c>
      <c r="B617" s="19" t="str">
        <f t="shared" si="64"/>
        <v>B-Banco de la Nacion</v>
      </c>
      <c r="C617" s="3" t="s">
        <v>1352</v>
      </c>
      <c r="D617" s="14">
        <v>45894</v>
      </c>
      <c r="E617" s="5" t="s">
        <v>3833</v>
      </c>
      <c r="F617" s="5"/>
      <c r="G617" s="6" t="s">
        <v>890</v>
      </c>
      <c r="H617" s="6" t="s">
        <v>151</v>
      </c>
      <c r="I617" s="6" t="s">
        <v>5237</v>
      </c>
      <c r="J617" s="6">
        <v>29</v>
      </c>
      <c r="K617" s="7"/>
      <c r="L617" s="8">
        <v>78787878</v>
      </c>
      <c r="M617" s="8" t="str">
        <f t="shared" si="65"/>
        <v>PEN</v>
      </c>
      <c r="N617" s="13">
        <v>185.64</v>
      </c>
      <c r="O617" s="13"/>
      <c r="P617" s="3">
        <f t="shared" si="66"/>
        <v>0</v>
      </c>
      <c r="Q617" s="3">
        <f t="shared" si="67"/>
        <v>0</v>
      </c>
      <c r="R617" s="3">
        <f t="shared" si="59"/>
        <v>38247.220000000008</v>
      </c>
      <c r="S617" s="24"/>
      <c r="T617" s="24"/>
      <c r="U617" s="3"/>
      <c r="V617" s="19" t="str">
        <f>IFERROR(VLOOKUP(Banco_Nacion[[#This Row],[responsable]],Clientes_Proveedores[[Ruc / Dni]:[Razon Social]],2,0),"")</f>
        <v/>
      </c>
      <c r="W617" s="19" t="str">
        <f>IF(Banco_Nacion[[#This Row],[tipo_mov]]="INGRESO",Banco_Nacion[[#This Row],[serie]]&amp;Banco_Nacion[[#This Row],[numero]]&amp;Banco_Nacion[[#This Row],[responsable]]&amp;Banco_Nacion[[#This Row],[monto]],"")</f>
        <v/>
      </c>
      <c r="X617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/>
      </c>
      <c r="Y617" s="3" t="str">
        <f>IFERROR(VLOOKUP(Banco_Nacion[[#This Row],[serie]]&amp;Banco_Nacion[[#This Row],[numero]]&amp;Banco_Nacion[[#This Row],[responsable]],[2]!Provision_CXC[[ID CXP]:[DETRACCION]],47,0),"")</f>
        <v/>
      </c>
      <c r="Z617" s="3"/>
      <c r="AA617" s="24" t="str">
        <f>IF(Banco_Nacion[[#This Row],[fecha]]&gt;0,TEXT(Banco_Nacion[[#This Row],[fecha]],"mmmm"),0)</f>
        <v>Agosto</v>
      </c>
    </row>
    <row r="618" spans="1:27" ht="24" x14ac:dyDescent="0.3">
      <c r="A618" s="2" t="str">
        <f>IF(Banco_Nacion[[#This Row],[tipo_registro]]="R",COUNTIFS($C$1:$C617,"R")+1,"")</f>
        <v/>
      </c>
      <c r="B618" s="19" t="str">
        <f t="shared" si="64"/>
        <v>B-Banco de la Nacion</v>
      </c>
      <c r="C618" s="3" t="s">
        <v>1352</v>
      </c>
      <c r="D618" s="14">
        <v>45894</v>
      </c>
      <c r="E618" s="5" t="s">
        <v>3833</v>
      </c>
      <c r="F618" s="5"/>
      <c r="G618" s="6" t="s">
        <v>1038</v>
      </c>
      <c r="H618" s="6" t="s">
        <v>151</v>
      </c>
      <c r="I618" s="6" t="s">
        <v>5237</v>
      </c>
      <c r="J618" s="6">
        <v>30</v>
      </c>
      <c r="K618" s="7"/>
      <c r="L618" s="8">
        <v>78787878</v>
      </c>
      <c r="M618" s="8" t="str">
        <f t="shared" si="65"/>
        <v>PEN</v>
      </c>
      <c r="N618" s="13">
        <v>120.54</v>
      </c>
      <c r="O618" s="13"/>
      <c r="P618" s="3">
        <f t="shared" si="66"/>
        <v>0</v>
      </c>
      <c r="Q618" s="3">
        <f t="shared" si="67"/>
        <v>0</v>
      </c>
      <c r="R618" s="3">
        <f t="shared" si="59"/>
        <v>38247.220000000008</v>
      </c>
      <c r="S618" s="24"/>
      <c r="T618" s="24"/>
      <c r="U618" s="3"/>
      <c r="V618" s="19" t="str">
        <f>IFERROR(VLOOKUP(Banco_Nacion[[#This Row],[responsable]],Clientes_Proveedores[[Ruc / Dni]:[Razon Social]],2,0),"")</f>
        <v/>
      </c>
      <c r="W618" s="19" t="str">
        <f>IF(Banco_Nacion[[#This Row],[tipo_mov]]="INGRESO",Banco_Nacion[[#This Row],[serie]]&amp;Banco_Nacion[[#This Row],[numero]]&amp;Banco_Nacion[[#This Row],[responsable]]&amp;Banco_Nacion[[#This Row],[monto]],"")</f>
        <v/>
      </c>
      <c r="X618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/>
      </c>
      <c r="Y618" s="3" t="str">
        <f>IFERROR(VLOOKUP(Banco_Nacion[[#This Row],[serie]]&amp;Banco_Nacion[[#This Row],[numero]]&amp;Banco_Nacion[[#This Row],[responsable]],[2]!Provision_CXC[[ID CXP]:[DETRACCION]],47,0),"")</f>
        <v/>
      </c>
      <c r="Z618" s="3"/>
      <c r="AA618" s="24" t="str">
        <f>IF(Banco_Nacion[[#This Row],[fecha]]&gt;0,TEXT(Banco_Nacion[[#This Row],[fecha]],"mmmm"),0)</f>
        <v>Agosto</v>
      </c>
    </row>
    <row r="619" spans="1:27" ht="24" x14ac:dyDescent="0.3">
      <c r="A619" s="2" t="str">
        <f>IF(Banco_Nacion[[#This Row],[tipo_registro]]="R",COUNTIFS($C$1:$C618,"R")+1,"")</f>
        <v/>
      </c>
      <c r="B619" s="19" t="str">
        <f t="shared" si="64"/>
        <v>B-Banco de la Nacion</v>
      </c>
      <c r="C619" s="3" t="s">
        <v>1352</v>
      </c>
      <c r="D619" s="14">
        <v>45894</v>
      </c>
      <c r="E619" s="5" t="s">
        <v>3833</v>
      </c>
      <c r="F619" s="5"/>
      <c r="G619" s="6" t="s">
        <v>895</v>
      </c>
      <c r="H619" s="6" t="s">
        <v>151</v>
      </c>
      <c r="I619" s="6" t="s">
        <v>5237</v>
      </c>
      <c r="J619" s="6">
        <v>31</v>
      </c>
      <c r="K619" s="7"/>
      <c r="L619" s="8">
        <v>78787878</v>
      </c>
      <c r="M619" s="8" t="str">
        <f t="shared" si="65"/>
        <v>PEN</v>
      </c>
      <c r="N619" s="13">
        <v>194.12</v>
      </c>
      <c r="O619" s="13"/>
      <c r="P619" s="3">
        <f t="shared" si="66"/>
        <v>0</v>
      </c>
      <c r="Q619" s="3">
        <f t="shared" si="67"/>
        <v>0</v>
      </c>
      <c r="R619" s="3">
        <f t="shared" si="59"/>
        <v>38247.220000000008</v>
      </c>
      <c r="S619" s="24"/>
      <c r="T619" s="24"/>
      <c r="U619" s="3"/>
      <c r="V619" s="19" t="str">
        <f>IFERROR(VLOOKUP(Banco_Nacion[[#This Row],[responsable]],Clientes_Proveedores[[Ruc / Dni]:[Razon Social]],2,0),"")</f>
        <v/>
      </c>
      <c r="W619" s="19" t="str">
        <f>IF(Banco_Nacion[[#This Row],[tipo_mov]]="INGRESO",Banco_Nacion[[#This Row],[serie]]&amp;Banco_Nacion[[#This Row],[numero]]&amp;Banco_Nacion[[#This Row],[responsable]]&amp;Banco_Nacion[[#This Row],[monto]],"")</f>
        <v/>
      </c>
      <c r="X619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/>
      </c>
      <c r="Y619" s="3" t="str">
        <f>IFERROR(VLOOKUP(Banco_Nacion[[#This Row],[serie]]&amp;Banco_Nacion[[#This Row],[numero]]&amp;Banco_Nacion[[#This Row],[responsable]],[2]!Provision_CXC[[ID CXP]:[DETRACCION]],47,0),"")</f>
        <v/>
      </c>
      <c r="Z619" s="3"/>
      <c r="AA619" s="24" t="str">
        <f>IF(Banco_Nacion[[#This Row],[fecha]]&gt;0,TEXT(Banco_Nacion[[#This Row],[fecha]],"mmmm"),0)</f>
        <v>Agosto</v>
      </c>
    </row>
    <row r="620" spans="1:27" ht="24" x14ac:dyDescent="0.3">
      <c r="A620" s="2" t="str">
        <f>IF(Banco_Nacion[[#This Row],[tipo_registro]]="R",COUNTIFS($C$1:$C619,"R")+1,"")</f>
        <v/>
      </c>
      <c r="B620" s="19" t="str">
        <f t="shared" si="64"/>
        <v>B-Banco de la Nacion</v>
      </c>
      <c r="C620" s="3" t="s">
        <v>1352</v>
      </c>
      <c r="D620" s="14">
        <v>45894</v>
      </c>
      <c r="E620" s="5" t="s">
        <v>3833</v>
      </c>
      <c r="F620" s="5"/>
      <c r="G620" s="6" t="s">
        <v>901</v>
      </c>
      <c r="H620" s="6" t="s">
        <v>151</v>
      </c>
      <c r="I620" s="6" t="s">
        <v>5237</v>
      </c>
      <c r="J620" s="6">
        <v>32</v>
      </c>
      <c r="K620" s="7"/>
      <c r="L620" s="8">
        <v>78787878</v>
      </c>
      <c r="M620" s="8" t="str">
        <f t="shared" si="65"/>
        <v>PEN</v>
      </c>
      <c r="N620" s="13">
        <v>236.22</v>
      </c>
      <c r="O620" s="13"/>
      <c r="P620" s="3">
        <f t="shared" si="66"/>
        <v>0</v>
      </c>
      <c r="Q620" s="3">
        <f t="shared" si="67"/>
        <v>0</v>
      </c>
      <c r="R620" s="3">
        <f t="shared" si="59"/>
        <v>38247.220000000008</v>
      </c>
      <c r="S620" s="24"/>
      <c r="T620" s="24"/>
      <c r="U620" s="3"/>
      <c r="V620" s="19" t="str">
        <f>IFERROR(VLOOKUP(Banco_Nacion[[#This Row],[responsable]],Clientes_Proveedores[[Ruc / Dni]:[Razon Social]],2,0),"")</f>
        <v/>
      </c>
      <c r="W620" s="19" t="str">
        <f>IF(Banco_Nacion[[#This Row],[tipo_mov]]="INGRESO",Banco_Nacion[[#This Row],[serie]]&amp;Banco_Nacion[[#This Row],[numero]]&amp;Banco_Nacion[[#This Row],[responsable]]&amp;Banco_Nacion[[#This Row],[monto]],"")</f>
        <v/>
      </c>
      <c r="X620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/>
      </c>
      <c r="Y620" s="3" t="str">
        <f>IFERROR(VLOOKUP(Banco_Nacion[[#This Row],[serie]]&amp;Banco_Nacion[[#This Row],[numero]]&amp;Banco_Nacion[[#This Row],[responsable]],[2]!Provision_CXC[[ID CXP]:[DETRACCION]],47,0),"")</f>
        <v/>
      </c>
      <c r="Z620" s="3"/>
      <c r="AA620" s="24" t="str">
        <f>IF(Banco_Nacion[[#This Row],[fecha]]&gt;0,TEXT(Banco_Nacion[[#This Row],[fecha]],"mmmm"),0)</f>
        <v>Agosto</v>
      </c>
    </row>
    <row r="621" spans="1:27" ht="24" x14ac:dyDescent="0.3">
      <c r="A621" s="2" t="str">
        <f>IF(Banco_Nacion[[#This Row],[tipo_registro]]="R",COUNTIFS($C$1:$C620,"R")+1,"")</f>
        <v/>
      </c>
      <c r="B621" s="19" t="str">
        <f t="shared" ref="B621:B652" si="68">"B-Banco de la Nacion"</f>
        <v>B-Banco de la Nacion</v>
      </c>
      <c r="C621" s="3" t="s">
        <v>1352</v>
      </c>
      <c r="D621" s="14">
        <v>45894</v>
      </c>
      <c r="E621" s="5" t="s">
        <v>3833</v>
      </c>
      <c r="F621" s="5"/>
      <c r="G621" s="6" t="s">
        <v>993</v>
      </c>
      <c r="H621" s="6" t="s">
        <v>151</v>
      </c>
      <c r="I621" s="6" t="s">
        <v>5237</v>
      </c>
      <c r="J621" s="6">
        <v>33</v>
      </c>
      <c r="K621" s="7"/>
      <c r="L621" s="8">
        <v>78787878</v>
      </c>
      <c r="M621" s="8" t="str">
        <f t="shared" ref="M621:M652" si="69">"PEN"</f>
        <v>PEN</v>
      </c>
      <c r="N621" s="13">
        <v>147.62</v>
      </c>
      <c r="O621" s="13"/>
      <c r="P621" s="3">
        <f t="shared" ref="P621:P652" si="70">+IF(OR($F621="SALDO",$F621="INGRESO"),$O621,0)</f>
        <v>0</v>
      </c>
      <c r="Q621" s="3">
        <f t="shared" ref="Q621:Q652" si="71">+IF($F621="EGRESO",$O621,0)</f>
        <v>0</v>
      </c>
      <c r="R621" s="3">
        <f t="shared" si="59"/>
        <v>38247.220000000008</v>
      </c>
      <c r="S621" s="24"/>
      <c r="T621" s="24"/>
      <c r="U621" s="3"/>
      <c r="V621" s="19" t="str">
        <f>IFERROR(VLOOKUP(Banco_Nacion[[#This Row],[responsable]],Clientes_Proveedores[[Ruc / Dni]:[Razon Social]],2,0),"")</f>
        <v/>
      </c>
      <c r="W621" s="19" t="str">
        <f>IF(Banco_Nacion[[#This Row],[tipo_mov]]="INGRESO",Banco_Nacion[[#This Row],[serie]]&amp;Banco_Nacion[[#This Row],[numero]]&amp;Banco_Nacion[[#This Row],[responsable]]&amp;Banco_Nacion[[#This Row],[monto]],"")</f>
        <v/>
      </c>
      <c r="X621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/>
      </c>
      <c r="Y621" s="3" t="str">
        <f>IFERROR(VLOOKUP(Banco_Nacion[[#This Row],[serie]]&amp;Banco_Nacion[[#This Row],[numero]]&amp;Banco_Nacion[[#This Row],[responsable]],[2]!Provision_CXC[[ID CXP]:[DETRACCION]],47,0),"")</f>
        <v/>
      </c>
      <c r="Z621" s="3"/>
      <c r="AA621" s="24" t="str">
        <f>IF(Banco_Nacion[[#This Row],[fecha]]&gt;0,TEXT(Banco_Nacion[[#This Row],[fecha]],"mmmm"),0)</f>
        <v>Agosto</v>
      </c>
    </row>
    <row r="622" spans="1:27" ht="24" x14ac:dyDescent="0.3">
      <c r="A622" s="2" t="str">
        <f>IF(Banco_Nacion[[#This Row],[tipo_registro]]="R",COUNTIFS($C$1:$C621,"R")+1,"")</f>
        <v/>
      </c>
      <c r="B622" s="19" t="str">
        <f t="shared" si="68"/>
        <v>B-Banco de la Nacion</v>
      </c>
      <c r="C622" s="3" t="s">
        <v>1352</v>
      </c>
      <c r="D622" s="14">
        <v>45894</v>
      </c>
      <c r="E622" s="5" t="s">
        <v>3833</v>
      </c>
      <c r="F622" s="5"/>
      <c r="G622" s="6" t="s">
        <v>909</v>
      </c>
      <c r="H622" s="6" t="s">
        <v>151</v>
      </c>
      <c r="I622" s="6" t="s">
        <v>5237</v>
      </c>
      <c r="J622" s="6">
        <v>34</v>
      </c>
      <c r="K622" s="7"/>
      <c r="L622" s="8">
        <v>78787878</v>
      </c>
      <c r="M622" s="8" t="str">
        <f t="shared" si="69"/>
        <v>PEN</v>
      </c>
      <c r="N622" s="13">
        <v>333.06</v>
      </c>
      <c r="O622" s="13"/>
      <c r="P622" s="3">
        <f t="shared" si="70"/>
        <v>0</v>
      </c>
      <c r="Q622" s="3">
        <f t="shared" si="71"/>
        <v>0</v>
      </c>
      <c r="R622" s="3">
        <f t="shared" si="59"/>
        <v>38247.220000000008</v>
      </c>
      <c r="S622" s="24"/>
      <c r="T622" s="24"/>
      <c r="U622" s="3"/>
      <c r="V622" s="19" t="str">
        <f>IFERROR(VLOOKUP(Banco_Nacion[[#This Row],[responsable]],Clientes_Proveedores[[Ruc / Dni]:[Razon Social]],2,0),"")</f>
        <v/>
      </c>
      <c r="W622" s="19" t="str">
        <f>IF(Banco_Nacion[[#This Row],[tipo_mov]]="INGRESO",Banco_Nacion[[#This Row],[serie]]&amp;Banco_Nacion[[#This Row],[numero]]&amp;Banco_Nacion[[#This Row],[responsable]]&amp;Banco_Nacion[[#This Row],[monto]],"")</f>
        <v/>
      </c>
      <c r="X622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/>
      </c>
      <c r="Y622" s="3" t="str">
        <f>IFERROR(VLOOKUP(Banco_Nacion[[#This Row],[serie]]&amp;Banco_Nacion[[#This Row],[numero]]&amp;Banco_Nacion[[#This Row],[responsable]],[2]!Provision_CXC[[ID CXP]:[DETRACCION]],47,0),"")</f>
        <v/>
      </c>
      <c r="Z622" s="3"/>
      <c r="AA622" s="24" t="str">
        <f>IF(Banco_Nacion[[#This Row],[fecha]]&gt;0,TEXT(Banco_Nacion[[#This Row],[fecha]],"mmmm"),0)</f>
        <v>Agosto</v>
      </c>
    </row>
    <row r="623" spans="1:27" ht="24" x14ac:dyDescent="0.3">
      <c r="A623" s="2" t="str">
        <f>IF(Banco_Nacion[[#This Row],[tipo_registro]]="R",COUNTIFS($C$1:$C622,"R")+1,"")</f>
        <v/>
      </c>
      <c r="B623" s="19" t="str">
        <f t="shared" si="68"/>
        <v>B-Banco de la Nacion</v>
      </c>
      <c r="C623" s="3" t="s">
        <v>1352</v>
      </c>
      <c r="D623" s="14">
        <v>45894</v>
      </c>
      <c r="E623" s="5" t="s">
        <v>3833</v>
      </c>
      <c r="F623" s="5"/>
      <c r="G623" s="6" t="s">
        <v>913</v>
      </c>
      <c r="H623" s="6" t="s">
        <v>151</v>
      </c>
      <c r="I623" s="6" t="s">
        <v>5237</v>
      </c>
      <c r="J623" s="6">
        <v>35</v>
      </c>
      <c r="K623" s="7"/>
      <c r="L623" s="8">
        <v>78787878</v>
      </c>
      <c r="M623" s="8" t="str">
        <f t="shared" si="69"/>
        <v>PEN</v>
      </c>
      <c r="N623" s="13">
        <v>190.55</v>
      </c>
      <c r="O623" s="13"/>
      <c r="P623" s="3">
        <f t="shared" si="70"/>
        <v>0</v>
      </c>
      <c r="Q623" s="3">
        <f t="shared" si="71"/>
        <v>0</v>
      </c>
      <c r="R623" s="3">
        <f t="shared" si="59"/>
        <v>38247.220000000008</v>
      </c>
      <c r="S623" s="24"/>
      <c r="T623" s="24"/>
      <c r="U623" s="3"/>
      <c r="V623" s="19" t="str">
        <f>IFERROR(VLOOKUP(Banco_Nacion[[#This Row],[responsable]],Clientes_Proveedores[[Ruc / Dni]:[Razon Social]],2,0),"")</f>
        <v/>
      </c>
      <c r="W623" s="19" t="str">
        <f>IF(Banco_Nacion[[#This Row],[tipo_mov]]="INGRESO",Banco_Nacion[[#This Row],[serie]]&amp;Banco_Nacion[[#This Row],[numero]]&amp;Banco_Nacion[[#This Row],[responsable]]&amp;Banco_Nacion[[#This Row],[monto]],"")</f>
        <v/>
      </c>
      <c r="X623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/>
      </c>
      <c r="Y623" s="3" t="str">
        <f>IFERROR(VLOOKUP(Banco_Nacion[[#This Row],[serie]]&amp;Banco_Nacion[[#This Row],[numero]]&amp;Banco_Nacion[[#This Row],[responsable]],[2]!Provision_CXC[[ID CXP]:[DETRACCION]],47,0),"")</f>
        <v/>
      </c>
      <c r="Z623" s="3"/>
      <c r="AA623" s="24" t="str">
        <f>IF(Banco_Nacion[[#This Row],[fecha]]&gt;0,TEXT(Banco_Nacion[[#This Row],[fecha]],"mmmm"),0)</f>
        <v>Agosto</v>
      </c>
    </row>
    <row r="624" spans="1:27" ht="24" x14ac:dyDescent="0.3">
      <c r="A624" s="2" t="str">
        <f>IF(Banco_Nacion[[#This Row],[tipo_registro]]="R",COUNTIFS($C$1:$C623,"R")+1,"")</f>
        <v/>
      </c>
      <c r="B624" s="19" t="str">
        <f t="shared" si="68"/>
        <v>B-Banco de la Nacion</v>
      </c>
      <c r="C624" s="3" t="s">
        <v>1352</v>
      </c>
      <c r="D624" s="14">
        <v>45894</v>
      </c>
      <c r="E624" s="5" t="s">
        <v>3833</v>
      </c>
      <c r="F624" s="5"/>
      <c r="G624" s="6" t="s">
        <v>916</v>
      </c>
      <c r="H624" s="6" t="s">
        <v>151</v>
      </c>
      <c r="I624" s="6" t="s">
        <v>5237</v>
      </c>
      <c r="J624" s="6">
        <v>36</v>
      </c>
      <c r="K624" s="7"/>
      <c r="L624" s="8">
        <v>78787878</v>
      </c>
      <c r="M624" s="8" t="str">
        <f t="shared" si="69"/>
        <v>PEN</v>
      </c>
      <c r="N624" s="13">
        <v>135.57</v>
      </c>
      <c r="O624" s="13"/>
      <c r="P624" s="3">
        <f t="shared" si="70"/>
        <v>0</v>
      </c>
      <c r="Q624" s="3">
        <f t="shared" si="71"/>
        <v>0</v>
      </c>
      <c r="R624" s="3">
        <f t="shared" si="59"/>
        <v>38247.220000000008</v>
      </c>
      <c r="S624" s="24"/>
      <c r="T624" s="24"/>
      <c r="U624" s="3"/>
      <c r="V624" s="19" t="str">
        <f>IFERROR(VLOOKUP(Banco_Nacion[[#This Row],[responsable]],Clientes_Proveedores[[Ruc / Dni]:[Razon Social]],2,0),"")</f>
        <v/>
      </c>
      <c r="W624" s="19" t="str">
        <f>IF(Banco_Nacion[[#This Row],[tipo_mov]]="INGRESO",Banco_Nacion[[#This Row],[serie]]&amp;Banco_Nacion[[#This Row],[numero]]&amp;Banco_Nacion[[#This Row],[responsable]]&amp;Banco_Nacion[[#This Row],[monto]],"")</f>
        <v/>
      </c>
      <c r="X624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/>
      </c>
      <c r="Y624" s="3" t="str">
        <f>IFERROR(VLOOKUP(Banco_Nacion[[#This Row],[serie]]&amp;Banco_Nacion[[#This Row],[numero]]&amp;Banco_Nacion[[#This Row],[responsable]],[2]!Provision_CXC[[ID CXP]:[DETRACCION]],47,0),"")</f>
        <v/>
      </c>
      <c r="Z624" s="3"/>
      <c r="AA624" s="24" t="str">
        <f>IF(Banco_Nacion[[#This Row],[fecha]]&gt;0,TEXT(Banco_Nacion[[#This Row],[fecha]],"mmmm"),0)</f>
        <v>Agosto</v>
      </c>
    </row>
    <row r="625" spans="1:27" ht="24" x14ac:dyDescent="0.3">
      <c r="A625" s="2" t="str">
        <f>IF(Banco_Nacion[[#This Row],[tipo_registro]]="R",COUNTIFS($C$1:$C624,"R")+1,"")</f>
        <v/>
      </c>
      <c r="B625" s="19" t="str">
        <f t="shared" si="68"/>
        <v>B-Banco de la Nacion</v>
      </c>
      <c r="C625" s="3" t="s">
        <v>1352</v>
      </c>
      <c r="D625" s="14">
        <v>45894</v>
      </c>
      <c r="E625" s="5" t="s">
        <v>3833</v>
      </c>
      <c r="F625" s="5"/>
      <c r="G625" s="6" t="s">
        <v>918</v>
      </c>
      <c r="H625" s="6" t="s">
        <v>151</v>
      </c>
      <c r="I625" s="6" t="s">
        <v>5237</v>
      </c>
      <c r="J625" s="6">
        <v>37</v>
      </c>
      <c r="K625" s="7"/>
      <c r="L625" s="8">
        <v>78787878</v>
      </c>
      <c r="M625" s="8" t="str">
        <f t="shared" si="69"/>
        <v>PEN</v>
      </c>
      <c r="N625" s="13">
        <v>192.87</v>
      </c>
      <c r="O625" s="13"/>
      <c r="P625" s="3">
        <f t="shared" si="70"/>
        <v>0</v>
      </c>
      <c r="Q625" s="3">
        <f t="shared" si="71"/>
        <v>0</v>
      </c>
      <c r="R625" s="3">
        <f t="shared" si="59"/>
        <v>38247.220000000008</v>
      </c>
      <c r="S625" s="24"/>
      <c r="T625" s="24"/>
      <c r="U625" s="3"/>
      <c r="V625" s="19" t="str">
        <f>IFERROR(VLOOKUP(Banco_Nacion[[#This Row],[responsable]],Clientes_Proveedores[[Ruc / Dni]:[Razon Social]],2,0),"")</f>
        <v/>
      </c>
      <c r="W625" s="19" t="str">
        <f>IF(Banco_Nacion[[#This Row],[tipo_mov]]="INGRESO",Banco_Nacion[[#This Row],[serie]]&amp;Banco_Nacion[[#This Row],[numero]]&amp;Banco_Nacion[[#This Row],[responsable]]&amp;Banco_Nacion[[#This Row],[monto]],"")</f>
        <v/>
      </c>
      <c r="X625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/>
      </c>
      <c r="Y625" s="3" t="str">
        <f>IFERROR(VLOOKUP(Banco_Nacion[[#This Row],[serie]]&amp;Banco_Nacion[[#This Row],[numero]]&amp;Banco_Nacion[[#This Row],[responsable]],[2]!Provision_CXC[[ID CXP]:[DETRACCION]],47,0),"")</f>
        <v/>
      </c>
      <c r="Z625" s="3"/>
      <c r="AA625" s="24" t="str">
        <f>IF(Banco_Nacion[[#This Row],[fecha]]&gt;0,TEXT(Banco_Nacion[[#This Row],[fecha]],"mmmm"),0)</f>
        <v>Agosto</v>
      </c>
    </row>
    <row r="626" spans="1:27" ht="24" x14ac:dyDescent="0.3">
      <c r="A626" s="2" t="str">
        <f>IF(Banco_Nacion[[#This Row],[tipo_registro]]="R",COUNTIFS($C$1:$C625,"R")+1,"")</f>
        <v/>
      </c>
      <c r="B626" s="19" t="str">
        <f t="shared" si="68"/>
        <v>B-Banco de la Nacion</v>
      </c>
      <c r="C626" s="3" t="s">
        <v>1352</v>
      </c>
      <c r="D626" s="14">
        <v>45894</v>
      </c>
      <c r="E626" s="5" t="s">
        <v>3833</v>
      </c>
      <c r="F626" s="5"/>
      <c r="G626" s="6" t="s">
        <v>922</v>
      </c>
      <c r="H626" s="6" t="s">
        <v>151</v>
      </c>
      <c r="I626" s="6" t="s">
        <v>5237</v>
      </c>
      <c r="J626" s="6">
        <v>38</v>
      </c>
      <c r="K626" s="7"/>
      <c r="L626" s="8">
        <v>78787878</v>
      </c>
      <c r="M626" s="8" t="str">
        <f t="shared" si="69"/>
        <v>PEN</v>
      </c>
      <c r="N626" s="13">
        <v>166.01</v>
      </c>
      <c r="O626" s="13"/>
      <c r="P626" s="3">
        <f t="shared" si="70"/>
        <v>0</v>
      </c>
      <c r="Q626" s="3">
        <f t="shared" si="71"/>
        <v>0</v>
      </c>
      <c r="R626" s="3">
        <f t="shared" si="59"/>
        <v>38247.220000000008</v>
      </c>
      <c r="S626" s="24"/>
      <c r="T626" s="24"/>
      <c r="U626" s="3"/>
      <c r="V626" s="19" t="str">
        <f>IFERROR(VLOOKUP(Banco_Nacion[[#This Row],[responsable]],Clientes_Proveedores[[Ruc / Dni]:[Razon Social]],2,0),"")</f>
        <v/>
      </c>
      <c r="W626" s="19" t="str">
        <f>IF(Banco_Nacion[[#This Row],[tipo_mov]]="INGRESO",Banco_Nacion[[#This Row],[serie]]&amp;Banco_Nacion[[#This Row],[numero]]&amp;Banco_Nacion[[#This Row],[responsable]]&amp;Banco_Nacion[[#This Row],[monto]],"")</f>
        <v/>
      </c>
      <c r="X626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/>
      </c>
      <c r="Y626" s="3" t="str">
        <f>IFERROR(VLOOKUP(Banco_Nacion[[#This Row],[serie]]&amp;Banco_Nacion[[#This Row],[numero]]&amp;Banco_Nacion[[#This Row],[responsable]],[2]!Provision_CXC[[ID CXP]:[DETRACCION]],47,0),"")</f>
        <v/>
      </c>
      <c r="Z626" s="3"/>
      <c r="AA626" s="24" t="str">
        <f>IF(Banco_Nacion[[#This Row],[fecha]]&gt;0,TEXT(Banco_Nacion[[#This Row],[fecha]],"mmmm"),0)</f>
        <v>Agosto</v>
      </c>
    </row>
    <row r="627" spans="1:27" ht="24" x14ac:dyDescent="0.3">
      <c r="A627" s="2" t="str">
        <f>IF(Banco_Nacion[[#This Row],[tipo_registro]]="R",COUNTIFS($C$1:$C626,"R")+1,"")</f>
        <v/>
      </c>
      <c r="B627" s="19" t="str">
        <f t="shared" si="68"/>
        <v>B-Banco de la Nacion</v>
      </c>
      <c r="C627" s="3" t="s">
        <v>1352</v>
      </c>
      <c r="D627" s="14">
        <v>45894</v>
      </c>
      <c r="E627" s="5" t="s">
        <v>3833</v>
      </c>
      <c r="F627" s="5"/>
      <c r="G627" s="6" t="s">
        <v>1018</v>
      </c>
      <c r="H627" s="6" t="s">
        <v>151</v>
      </c>
      <c r="I627" s="6" t="s">
        <v>5237</v>
      </c>
      <c r="J627" s="6">
        <v>39</v>
      </c>
      <c r="K627" s="7"/>
      <c r="L627" s="8">
        <v>78787878</v>
      </c>
      <c r="M627" s="8" t="str">
        <f t="shared" si="69"/>
        <v>PEN</v>
      </c>
      <c r="N627" s="13">
        <v>112.97</v>
      </c>
      <c r="O627" s="13"/>
      <c r="P627" s="3">
        <f t="shared" si="70"/>
        <v>0</v>
      </c>
      <c r="Q627" s="3">
        <f t="shared" si="71"/>
        <v>0</v>
      </c>
      <c r="R627" s="3">
        <f t="shared" si="59"/>
        <v>38247.220000000008</v>
      </c>
      <c r="S627" s="24"/>
      <c r="T627" s="24"/>
      <c r="U627" s="3"/>
      <c r="V627" s="19" t="str">
        <f>IFERROR(VLOOKUP(Banco_Nacion[[#This Row],[responsable]],Clientes_Proveedores[[Ruc / Dni]:[Razon Social]],2,0),"")</f>
        <v/>
      </c>
      <c r="W627" s="19" t="str">
        <f>IF(Banco_Nacion[[#This Row],[tipo_mov]]="INGRESO",Banco_Nacion[[#This Row],[serie]]&amp;Banco_Nacion[[#This Row],[numero]]&amp;Banco_Nacion[[#This Row],[responsable]]&amp;Banco_Nacion[[#This Row],[monto]],"")</f>
        <v/>
      </c>
      <c r="X627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/>
      </c>
      <c r="Y627" s="3" t="str">
        <f>IFERROR(VLOOKUP(Banco_Nacion[[#This Row],[serie]]&amp;Banco_Nacion[[#This Row],[numero]]&amp;Banco_Nacion[[#This Row],[responsable]],[2]!Provision_CXC[[ID CXP]:[DETRACCION]],47,0),"")</f>
        <v/>
      </c>
      <c r="Z627" s="3"/>
      <c r="AA627" s="24" t="str">
        <f>IF(Banco_Nacion[[#This Row],[fecha]]&gt;0,TEXT(Banco_Nacion[[#This Row],[fecha]],"mmmm"),0)</f>
        <v>Agosto</v>
      </c>
    </row>
    <row r="628" spans="1:27" ht="24" x14ac:dyDescent="0.3">
      <c r="A628" s="2" t="str">
        <f>IF(Banco_Nacion[[#This Row],[tipo_registro]]="R",COUNTIFS($C$1:$C627,"R")+1,"")</f>
        <v/>
      </c>
      <c r="B628" s="19" t="str">
        <f t="shared" si="68"/>
        <v>B-Banco de la Nacion</v>
      </c>
      <c r="C628" s="3" t="s">
        <v>1352</v>
      </c>
      <c r="D628" s="14">
        <v>45894</v>
      </c>
      <c r="E628" s="5" t="s">
        <v>3833</v>
      </c>
      <c r="F628" s="5"/>
      <c r="G628" s="6" t="s">
        <v>925</v>
      </c>
      <c r="H628" s="6" t="s">
        <v>151</v>
      </c>
      <c r="I628" s="6" t="s">
        <v>5237</v>
      </c>
      <c r="J628" s="6">
        <v>40</v>
      </c>
      <c r="K628" s="7"/>
      <c r="L628" s="8">
        <v>78787878</v>
      </c>
      <c r="M628" s="8" t="str">
        <f t="shared" si="69"/>
        <v>PEN</v>
      </c>
      <c r="N628" s="13">
        <v>326.92</v>
      </c>
      <c r="O628" s="13"/>
      <c r="P628" s="3">
        <f t="shared" si="70"/>
        <v>0</v>
      </c>
      <c r="Q628" s="3">
        <f t="shared" si="71"/>
        <v>0</v>
      </c>
      <c r="R628" s="3">
        <f t="shared" si="59"/>
        <v>38247.220000000008</v>
      </c>
      <c r="S628" s="24"/>
      <c r="T628" s="24"/>
      <c r="U628" s="3"/>
      <c r="V628" s="19" t="str">
        <f>IFERROR(VLOOKUP(Banco_Nacion[[#This Row],[responsable]],Clientes_Proveedores[[Ruc / Dni]:[Razon Social]],2,0),"")</f>
        <v/>
      </c>
      <c r="W628" s="19" t="str">
        <f>IF(Banco_Nacion[[#This Row],[tipo_mov]]="INGRESO",Banco_Nacion[[#This Row],[serie]]&amp;Banco_Nacion[[#This Row],[numero]]&amp;Banco_Nacion[[#This Row],[responsable]]&amp;Banco_Nacion[[#This Row],[monto]],"")</f>
        <v/>
      </c>
      <c r="X628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/>
      </c>
      <c r="Y628" s="3" t="str">
        <f>IFERROR(VLOOKUP(Banco_Nacion[[#This Row],[serie]]&amp;Banco_Nacion[[#This Row],[numero]]&amp;Banco_Nacion[[#This Row],[responsable]],[2]!Provision_CXC[[ID CXP]:[DETRACCION]],47,0),"")</f>
        <v/>
      </c>
      <c r="Z628" s="3"/>
      <c r="AA628" s="24" t="str">
        <f>IF(Banco_Nacion[[#This Row],[fecha]]&gt;0,TEXT(Banco_Nacion[[#This Row],[fecha]],"mmmm"),0)</f>
        <v>Agosto</v>
      </c>
    </row>
    <row r="629" spans="1:27" ht="24" x14ac:dyDescent="0.3">
      <c r="A629" s="2" t="str">
        <f>IF(Banco_Nacion[[#This Row],[tipo_registro]]="R",COUNTIFS($C$1:$C628,"R")+1,"")</f>
        <v/>
      </c>
      <c r="B629" s="19" t="str">
        <f t="shared" si="68"/>
        <v>B-Banco de la Nacion</v>
      </c>
      <c r="C629" s="3" t="s">
        <v>1352</v>
      </c>
      <c r="D629" s="14">
        <v>45894</v>
      </c>
      <c r="E629" s="5" t="s">
        <v>3833</v>
      </c>
      <c r="F629" s="5"/>
      <c r="G629" s="6" t="s">
        <v>928</v>
      </c>
      <c r="H629" s="6" t="s">
        <v>151</v>
      </c>
      <c r="I629" s="6" t="s">
        <v>5237</v>
      </c>
      <c r="J629" s="6">
        <v>41</v>
      </c>
      <c r="K629" s="7"/>
      <c r="L629" s="8">
        <v>78787878</v>
      </c>
      <c r="M629" s="8" t="str">
        <f t="shared" si="69"/>
        <v>PEN</v>
      </c>
      <c r="N629" s="13">
        <v>141.5</v>
      </c>
      <c r="O629" s="13"/>
      <c r="P629" s="3">
        <f t="shared" si="70"/>
        <v>0</v>
      </c>
      <c r="Q629" s="3">
        <f t="shared" si="71"/>
        <v>0</v>
      </c>
      <c r="R629" s="3">
        <f t="shared" si="59"/>
        <v>38247.220000000008</v>
      </c>
      <c r="S629" s="24"/>
      <c r="T629" s="24"/>
      <c r="U629" s="3"/>
      <c r="V629" s="19" t="str">
        <f>IFERROR(VLOOKUP(Banco_Nacion[[#This Row],[responsable]],Clientes_Proveedores[[Ruc / Dni]:[Razon Social]],2,0),"")</f>
        <v/>
      </c>
      <c r="W629" s="19" t="str">
        <f>IF(Banco_Nacion[[#This Row],[tipo_mov]]="INGRESO",Banco_Nacion[[#This Row],[serie]]&amp;Banco_Nacion[[#This Row],[numero]]&amp;Banco_Nacion[[#This Row],[responsable]]&amp;Banco_Nacion[[#This Row],[monto]],"")</f>
        <v/>
      </c>
      <c r="X629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/>
      </c>
      <c r="Y629" s="3" t="str">
        <f>IFERROR(VLOOKUP(Banco_Nacion[[#This Row],[serie]]&amp;Banco_Nacion[[#This Row],[numero]]&amp;Banco_Nacion[[#This Row],[responsable]],[2]!Provision_CXC[[ID CXP]:[DETRACCION]],47,0),"")</f>
        <v/>
      </c>
      <c r="Z629" s="3"/>
      <c r="AA629" s="24" t="str">
        <f>IF(Banco_Nacion[[#This Row],[fecha]]&gt;0,TEXT(Banco_Nacion[[#This Row],[fecha]],"mmmm"),0)</f>
        <v>Agosto</v>
      </c>
    </row>
    <row r="630" spans="1:27" ht="24" x14ac:dyDescent="0.3">
      <c r="A630" s="2" t="str">
        <f>IF(Banco_Nacion[[#This Row],[tipo_registro]]="R",COUNTIFS($C$1:$C629,"R")+1,"")</f>
        <v/>
      </c>
      <c r="B630" s="19" t="str">
        <f t="shared" si="68"/>
        <v>B-Banco de la Nacion</v>
      </c>
      <c r="C630" s="3" t="s">
        <v>1352</v>
      </c>
      <c r="D630" s="14">
        <v>45894</v>
      </c>
      <c r="E630" s="5" t="s">
        <v>3833</v>
      </c>
      <c r="F630" s="5"/>
      <c r="G630" s="6" t="s">
        <v>933</v>
      </c>
      <c r="H630" s="6" t="s">
        <v>151</v>
      </c>
      <c r="I630" s="6" t="s">
        <v>5237</v>
      </c>
      <c r="J630" s="6">
        <v>42</v>
      </c>
      <c r="K630" s="7"/>
      <c r="L630" s="8">
        <v>78787878</v>
      </c>
      <c r="M630" s="8" t="str">
        <f t="shared" si="69"/>
        <v>PEN</v>
      </c>
      <c r="N630" s="13">
        <v>144.47999999999999</v>
      </c>
      <c r="O630" s="13"/>
      <c r="P630" s="3">
        <f t="shared" si="70"/>
        <v>0</v>
      </c>
      <c r="Q630" s="3">
        <f t="shared" si="71"/>
        <v>0</v>
      </c>
      <c r="R630" s="3">
        <f t="shared" si="59"/>
        <v>38247.220000000008</v>
      </c>
      <c r="S630" s="24"/>
      <c r="T630" s="24"/>
      <c r="U630" s="3"/>
      <c r="V630" s="19" t="str">
        <f>IFERROR(VLOOKUP(Banco_Nacion[[#This Row],[responsable]],Clientes_Proveedores[[Ruc / Dni]:[Razon Social]],2,0),"")</f>
        <v/>
      </c>
      <c r="W630" s="19" t="str">
        <f>IF(Banco_Nacion[[#This Row],[tipo_mov]]="INGRESO",Banco_Nacion[[#This Row],[serie]]&amp;Banco_Nacion[[#This Row],[numero]]&amp;Banco_Nacion[[#This Row],[responsable]]&amp;Banco_Nacion[[#This Row],[monto]],"")</f>
        <v/>
      </c>
      <c r="X630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/>
      </c>
      <c r="Y630" s="3" t="str">
        <f>IFERROR(VLOOKUP(Banco_Nacion[[#This Row],[serie]]&amp;Banco_Nacion[[#This Row],[numero]]&amp;Banco_Nacion[[#This Row],[responsable]],[2]!Provision_CXC[[ID CXP]:[DETRACCION]],47,0),"")</f>
        <v/>
      </c>
      <c r="Z630" s="3"/>
      <c r="AA630" s="24" t="str">
        <f>IF(Banco_Nacion[[#This Row],[fecha]]&gt;0,TEXT(Banco_Nacion[[#This Row],[fecha]],"mmmm"),0)</f>
        <v>Agosto</v>
      </c>
    </row>
    <row r="631" spans="1:27" ht="24" x14ac:dyDescent="0.3">
      <c r="A631" s="2" t="str">
        <f>IF(Banco_Nacion[[#This Row],[tipo_registro]]="R",COUNTIFS($C$1:$C630,"R")+1,"")</f>
        <v/>
      </c>
      <c r="B631" s="19" t="str">
        <f t="shared" si="68"/>
        <v>B-Banco de la Nacion</v>
      </c>
      <c r="C631" s="3" t="s">
        <v>1352</v>
      </c>
      <c r="D631" s="14">
        <v>45894</v>
      </c>
      <c r="E631" s="5" t="s">
        <v>3833</v>
      </c>
      <c r="F631" s="5"/>
      <c r="G631" s="6" t="s">
        <v>935</v>
      </c>
      <c r="H631" s="6" t="s">
        <v>151</v>
      </c>
      <c r="I631" s="6" t="s">
        <v>5237</v>
      </c>
      <c r="J631" s="6">
        <v>43</v>
      </c>
      <c r="K631" s="7"/>
      <c r="L631" s="8">
        <v>78787878</v>
      </c>
      <c r="M631" s="8" t="str">
        <f t="shared" si="69"/>
        <v>PEN</v>
      </c>
      <c r="N631" s="13">
        <v>134.19</v>
      </c>
      <c r="O631" s="13"/>
      <c r="P631" s="3">
        <f t="shared" si="70"/>
        <v>0</v>
      </c>
      <c r="Q631" s="3">
        <f t="shared" si="71"/>
        <v>0</v>
      </c>
      <c r="R631" s="3">
        <f t="shared" si="59"/>
        <v>38247.220000000008</v>
      </c>
      <c r="S631" s="24"/>
      <c r="T631" s="24"/>
      <c r="U631" s="3"/>
      <c r="V631" s="19" t="str">
        <f>IFERROR(VLOOKUP(Banco_Nacion[[#This Row],[responsable]],Clientes_Proveedores[[Ruc / Dni]:[Razon Social]],2,0),"")</f>
        <v/>
      </c>
      <c r="W631" s="19" t="str">
        <f>IF(Banco_Nacion[[#This Row],[tipo_mov]]="INGRESO",Banco_Nacion[[#This Row],[serie]]&amp;Banco_Nacion[[#This Row],[numero]]&amp;Banco_Nacion[[#This Row],[responsable]]&amp;Banco_Nacion[[#This Row],[monto]],"")</f>
        <v/>
      </c>
      <c r="X631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/>
      </c>
      <c r="Y631" s="3" t="str">
        <f>IFERROR(VLOOKUP(Banco_Nacion[[#This Row],[serie]]&amp;Banco_Nacion[[#This Row],[numero]]&amp;Banco_Nacion[[#This Row],[responsable]],[2]!Provision_CXC[[ID CXP]:[DETRACCION]],47,0),"")</f>
        <v/>
      </c>
      <c r="Z631" s="3"/>
      <c r="AA631" s="24" t="str">
        <f>IF(Banco_Nacion[[#This Row],[fecha]]&gt;0,TEXT(Banco_Nacion[[#This Row],[fecha]],"mmmm"),0)</f>
        <v>Agosto</v>
      </c>
    </row>
    <row r="632" spans="1:27" ht="36" x14ac:dyDescent="0.3">
      <c r="A632" s="2" t="str">
        <f>IF(Banco_Nacion[[#This Row],[tipo_registro]]="R",COUNTIFS($C$1:$C631,"R")+1,"")</f>
        <v/>
      </c>
      <c r="B632" s="19" t="str">
        <f t="shared" si="68"/>
        <v>B-Banco de la Nacion</v>
      </c>
      <c r="C632" s="3" t="s">
        <v>1352</v>
      </c>
      <c r="D632" s="14">
        <v>45894</v>
      </c>
      <c r="E632" s="5" t="s">
        <v>3833</v>
      </c>
      <c r="F632" s="5"/>
      <c r="G632" s="6" t="s">
        <v>937</v>
      </c>
      <c r="H632" s="6" t="s">
        <v>151</v>
      </c>
      <c r="I632" s="6" t="s">
        <v>5237</v>
      </c>
      <c r="J632" s="6">
        <v>44</v>
      </c>
      <c r="K632" s="7"/>
      <c r="L632" s="8">
        <v>78787878</v>
      </c>
      <c r="M632" s="8" t="str">
        <f t="shared" si="69"/>
        <v>PEN</v>
      </c>
      <c r="N632" s="13">
        <v>154.47</v>
      </c>
      <c r="O632" s="13"/>
      <c r="P632" s="3">
        <f t="shared" si="70"/>
        <v>0</v>
      </c>
      <c r="Q632" s="3">
        <f t="shared" si="71"/>
        <v>0</v>
      </c>
      <c r="R632" s="3">
        <f t="shared" si="59"/>
        <v>38247.220000000008</v>
      </c>
      <c r="S632" s="24"/>
      <c r="T632" s="24"/>
      <c r="U632" s="3"/>
      <c r="V632" s="19" t="str">
        <f>IFERROR(VLOOKUP(Banco_Nacion[[#This Row],[responsable]],Clientes_Proveedores[[Ruc / Dni]:[Razon Social]],2,0),"")</f>
        <v/>
      </c>
      <c r="W632" s="19" t="str">
        <f>IF(Banco_Nacion[[#This Row],[tipo_mov]]="INGRESO",Banco_Nacion[[#This Row],[serie]]&amp;Banco_Nacion[[#This Row],[numero]]&amp;Banco_Nacion[[#This Row],[responsable]]&amp;Banco_Nacion[[#This Row],[monto]],"")</f>
        <v/>
      </c>
      <c r="X632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/>
      </c>
      <c r="Y632" s="3" t="str">
        <f>IFERROR(VLOOKUP(Banco_Nacion[[#This Row],[serie]]&amp;Banco_Nacion[[#This Row],[numero]]&amp;Banco_Nacion[[#This Row],[responsable]],[2]!Provision_CXC[[ID CXP]:[DETRACCION]],47,0),"")</f>
        <v/>
      </c>
      <c r="Z632" s="3"/>
      <c r="AA632" s="24" t="str">
        <f>IF(Banco_Nacion[[#This Row],[fecha]]&gt;0,TEXT(Banco_Nacion[[#This Row],[fecha]],"mmmm"),0)</f>
        <v>Agosto</v>
      </c>
    </row>
    <row r="633" spans="1:27" ht="36" x14ac:dyDescent="0.3">
      <c r="A633" s="2" t="str">
        <f>IF(Banco_Nacion[[#This Row],[tipo_registro]]="R",COUNTIFS($C$1:$C632,"R")+1,"")</f>
        <v/>
      </c>
      <c r="B633" s="19" t="str">
        <f t="shared" si="68"/>
        <v>B-Banco de la Nacion</v>
      </c>
      <c r="C633" s="3" t="s">
        <v>1352</v>
      </c>
      <c r="D633" s="14">
        <v>45894</v>
      </c>
      <c r="E633" s="5" t="s">
        <v>3833</v>
      </c>
      <c r="F633" s="5"/>
      <c r="G633" s="6" t="s">
        <v>948</v>
      </c>
      <c r="H633" s="6" t="s">
        <v>151</v>
      </c>
      <c r="I633" s="6" t="s">
        <v>5237</v>
      </c>
      <c r="J633" s="6">
        <v>45</v>
      </c>
      <c r="K633" s="7"/>
      <c r="L633" s="8">
        <v>78787878</v>
      </c>
      <c r="M633" s="8" t="str">
        <f t="shared" si="69"/>
        <v>PEN</v>
      </c>
      <c r="N633" s="13">
        <v>135.49</v>
      </c>
      <c r="O633" s="13"/>
      <c r="P633" s="3">
        <f t="shared" si="70"/>
        <v>0</v>
      </c>
      <c r="Q633" s="3">
        <f t="shared" si="71"/>
        <v>0</v>
      </c>
      <c r="R633" s="3">
        <f t="shared" si="59"/>
        <v>38247.220000000008</v>
      </c>
      <c r="S633" s="24"/>
      <c r="T633" s="24"/>
      <c r="U633" s="3"/>
      <c r="V633" s="19" t="str">
        <f>IFERROR(VLOOKUP(Banco_Nacion[[#This Row],[responsable]],Clientes_Proveedores[[Ruc / Dni]:[Razon Social]],2,0),"")</f>
        <v/>
      </c>
      <c r="W633" s="19" t="str">
        <f>IF(Banco_Nacion[[#This Row],[tipo_mov]]="INGRESO",Banco_Nacion[[#This Row],[serie]]&amp;Banco_Nacion[[#This Row],[numero]]&amp;Banco_Nacion[[#This Row],[responsable]]&amp;Banco_Nacion[[#This Row],[monto]],"")</f>
        <v/>
      </c>
      <c r="X633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/>
      </c>
      <c r="Y633" s="3" t="str">
        <f>IFERROR(VLOOKUP(Banco_Nacion[[#This Row],[serie]]&amp;Banco_Nacion[[#This Row],[numero]]&amp;Banco_Nacion[[#This Row],[responsable]],[2]!Provision_CXC[[ID CXP]:[DETRACCION]],47,0),"")</f>
        <v/>
      </c>
      <c r="Z633" s="3"/>
      <c r="AA633" s="24" t="str">
        <f>IF(Banco_Nacion[[#This Row],[fecha]]&gt;0,TEXT(Banco_Nacion[[#This Row],[fecha]],"mmmm"),0)</f>
        <v>Agosto</v>
      </c>
    </row>
    <row r="634" spans="1:27" ht="24" x14ac:dyDescent="0.3">
      <c r="A634" s="2" t="str">
        <f>IF(Banco_Nacion[[#This Row],[tipo_registro]]="R",COUNTIFS($C$1:$C633,"R")+1,"")</f>
        <v/>
      </c>
      <c r="B634" s="19" t="str">
        <f t="shared" si="68"/>
        <v>B-Banco de la Nacion</v>
      </c>
      <c r="C634" s="3" t="s">
        <v>1352</v>
      </c>
      <c r="D634" s="14">
        <v>45894</v>
      </c>
      <c r="E634" s="5" t="s">
        <v>3833</v>
      </c>
      <c r="F634" s="5"/>
      <c r="G634" s="6" t="s">
        <v>1019</v>
      </c>
      <c r="H634" s="6" t="s">
        <v>151</v>
      </c>
      <c r="I634" s="6" t="s">
        <v>5237</v>
      </c>
      <c r="J634" s="6">
        <v>46</v>
      </c>
      <c r="K634" s="7"/>
      <c r="L634" s="8">
        <v>78787878</v>
      </c>
      <c r="M634" s="8" t="str">
        <f t="shared" si="69"/>
        <v>PEN</v>
      </c>
      <c r="N634" s="13">
        <v>301.83999999999997</v>
      </c>
      <c r="O634" s="13"/>
      <c r="P634" s="3">
        <f t="shared" si="70"/>
        <v>0</v>
      </c>
      <c r="Q634" s="3">
        <f t="shared" si="71"/>
        <v>0</v>
      </c>
      <c r="R634" s="3">
        <f t="shared" si="59"/>
        <v>38247.220000000008</v>
      </c>
      <c r="S634" s="24"/>
      <c r="T634" s="24"/>
      <c r="U634" s="3"/>
      <c r="V634" s="19" t="str">
        <f>IFERROR(VLOOKUP(Banco_Nacion[[#This Row],[responsable]],Clientes_Proveedores[[Ruc / Dni]:[Razon Social]],2,0),"")</f>
        <v/>
      </c>
      <c r="W634" s="19" t="str">
        <f>IF(Banco_Nacion[[#This Row],[tipo_mov]]="INGRESO",Banco_Nacion[[#This Row],[serie]]&amp;Banco_Nacion[[#This Row],[numero]]&amp;Banco_Nacion[[#This Row],[responsable]]&amp;Banco_Nacion[[#This Row],[monto]],"")</f>
        <v/>
      </c>
      <c r="X634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/>
      </c>
      <c r="Y634" s="3" t="str">
        <f>IFERROR(VLOOKUP(Banco_Nacion[[#This Row],[serie]]&amp;Banco_Nacion[[#This Row],[numero]]&amp;Banco_Nacion[[#This Row],[responsable]],[2]!Provision_CXC[[ID CXP]:[DETRACCION]],47,0),"")</f>
        <v/>
      </c>
      <c r="Z634" s="3"/>
      <c r="AA634" s="24" t="str">
        <f>IF(Banco_Nacion[[#This Row],[fecha]]&gt;0,TEXT(Banco_Nacion[[#This Row],[fecha]],"mmmm"),0)</f>
        <v>Agosto</v>
      </c>
    </row>
    <row r="635" spans="1:27" ht="24" x14ac:dyDescent="0.3">
      <c r="A635" s="2" t="str">
        <f>IF(Banco_Nacion[[#This Row],[tipo_registro]]="R",COUNTIFS($C$1:$C634,"R")+1,"")</f>
        <v/>
      </c>
      <c r="B635" s="19" t="str">
        <f t="shared" si="68"/>
        <v>B-Banco de la Nacion</v>
      </c>
      <c r="C635" s="3" t="s">
        <v>1352</v>
      </c>
      <c r="D635" s="14">
        <v>45894</v>
      </c>
      <c r="E635" s="5" t="s">
        <v>3833</v>
      </c>
      <c r="F635" s="5"/>
      <c r="G635" s="6" t="s">
        <v>953</v>
      </c>
      <c r="H635" s="6" t="s">
        <v>151</v>
      </c>
      <c r="I635" s="6" t="s">
        <v>5237</v>
      </c>
      <c r="J635" s="6">
        <v>47</v>
      </c>
      <c r="K635" s="7"/>
      <c r="L635" s="8">
        <v>78787878</v>
      </c>
      <c r="M635" s="8" t="str">
        <f t="shared" si="69"/>
        <v>PEN</v>
      </c>
      <c r="N635" s="13">
        <v>133.62</v>
      </c>
      <c r="O635" s="13"/>
      <c r="P635" s="3">
        <f t="shared" si="70"/>
        <v>0</v>
      </c>
      <c r="Q635" s="3">
        <f t="shared" si="71"/>
        <v>0</v>
      </c>
      <c r="R635" s="3">
        <f t="shared" si="59"/>
        <v>38247.220000000008</v>
      </c>
      <c r="S635" s="24"/>
      <c r="T635" s="24"/>
      <c r="U635" s="3"/>
      <c r="V635" s="19" t="str">
        <f>IFERROR(VLOOKUP(Banco_Nacion[[#This Row],[responsable]],Clientes_Proveedores[[Ruc / Dni]:[Razon Social]],2,0),"")</f>
        <v/>
      </c>
      <c r="W635" s="19" t="str">
        <f>IF(Banco_Nacion[[#This Row],[tipo_mov]]="INGRESO",Banco_Nacion[[#This Row],[serie]]&amp;Banco_Nacion[[#This Row],[numero]]&amp;Banco_Nacion[[#This Row],[responsable]]&amp;Banco_Nacion[[#This Row],[monto]],"")</f>
        <v/>
      </c>
      <c r="X635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/>
      </c>
      <c r="Y635" s="3" t="str">
        <f>IFERROR(VLOOKUP(Banco_Nacion[[#This Row],[serie]]&amp;Banco_Nacion[[#This Row],[numero]]&amp;Banco_Nacion[[#This Row],[responsable]],[2]!Provision_CXC[[ID CXP]:[DETRACCION]],47,0),"")</f>
        <v/>
      </c>
      <c r="Z635" s="3"/>
      <c r="AA635" s="24" t="str">
        <f>IF(Banco_Nacion[[#This Row],[fecha]]&gt;0,TEXT(Banco_Nacion[[#This Row],[fecha]],"mmmm"),0)</f>
        <v>Agosto</v>
      </c>
    </row>
    <row r="636" spans="1:27" ht="24" x14ac:dyDescent="0.3">
      <c r="A636" s="2" t="str">
        <f>IF(Banco_Nacion[[#This Row],[tipo_registro]]="R",COUNTIFS($C$1:$C635,"R")+1,"")</f>
        <v/>
      </c>
      <c r="B636" s="19" t="str">
        <f t="shared" si="68"/>
        <v>B-Banco de la Nacion</v>
      </c>
      <c r="C636" s="3" t="s">
        <v>1352</v>
      </c>
      <c r="D636" s="14">
        <v>45894</v>
      </c>
      <c r="E636" s="5" t="s">
        <v>3833</v>
      </c>
      <c r="F636" s="5"/>
      <c r="G636" s="6" t="s">
        <v>955</v>
      </c>
      <c r="H636" s="6" t="s">
        <v>151</v>
      </c>
      <c r="I636" s="6" t="s">
        <v>5237</v>
      </c>
      <c r="J636" s="6">
        <v>48</v>
      </c>
      <c r="K636" s="7"/>
      <c r="L636" s="8">
        <v>78787878</v>
      </c>
      <c r="M636" s="8" t="str">
        <f t="shared" si="69"/>
        <v>PEN</v>
      </c>
      <c r="N636" s="13">
        <v>118.95</v>
      </c>
      <c r="O636" s="13"/>
      <c r="P636" s="3">
        <f t="shared" si="70"/>
        <v>0</v>
      </c>
      <c r="Q636" s="3">
        <f t="shared" si="71"/>
        <v>0</v>
      </c>
      <c r="R636" s="3">
        <f t="shared" si="59"/>
        <v>38247.220000000008</v>
      </c>
      <c r="S636" s="24"/>
      <c r="T636" s="24"/>
      <c r="U636" s="3"/>
      <c r="V636" s="19" t="str">
        <f>IFERROR(VLOOKUP(Banco_Nacion[[#This Row],[responsable]],Clientes_Proveedores[[Ruc / Dni]:[Razon Social]],2,0),"")</f>
        <v/>
      </c>
      <c r="W636" s="19" t="str">
        <f>IF(Banco_Nacion[[#This Row],[tipo_mov]]="INGRESO",Banco_Nacion[[#This Row],[serie]]&amp;Banco_Nacion[[#This Row],[numero]]&amp;Banco_Nacion[[#This Row],[responsable]]&amp;Banco_Nacion[[#This Row],[monto]],"")</f>
        <v/>
      </c>
      <c r="X636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/>
      </c>
      <c r="Y636" s="3" t="str">
        <f>IFERROR(VLOOKUP(Banco_Nacion[[#This Row],[serie]]&amp;Banco_Nacion[[#This Row],[numero]]&amp;Banco_Nacion[[#This Row],[responsable]],[2]!Provision_CXC[[ID CXP]:[DETRACCION]],47,0),"")</f>
        <v/>
      </c>
      <c r="Z636" s="3"/>
      <c r="AA636" s="24" t="str">
        <f>IF(Banco_Nacion[[#This Row],[fecha]]&gt;0,TEXT(Banco_Nacion[[#This Row],[fecha]],"mmmm"),0)</f>
        <v>Agosto</v>
      </c>
    </row>
    <row r="637" spans="1:27" ht="24" x14ac:dyDescent="0.3">
      <c r="A637" s="2" t="str">
        <f>IF(Banco_Nacion[[#This Row],[tipo_registro]]="R",COUNTIFS($C$1:$C636,"R")+1,"")</f>
        <v/>
      </c>
      <c r="B637" s="19" t="str">
        <f t="shared" si="68"/>
        <v>B-Banco de la Nacion</v>
      </c>
      <c r="C637" s="3" t="s">
        <v>1352</v>
      </c>
      <c r="D637" s="14">
        <v>45894</v>
      </c>
      <c r="E637" s="5" t="s">
        <v>3833</v>
      </c>
      <c r="F637" s="5"/>
      <c r="G637" s="6" t="s">
        <v>957</v>
      </c>
      <c r="H637" s="6" t="s">
        <v>151</v>
      </c>
      <c r="I637" s="6" t="s">
        <v>5237</v>
      </c>
      <c r="J637" s="6">
        <v>49</v>
      </c>
      <c r="K637" s="7"/>
      <c r="L637" s="8">
        <v>78787878</v>
      </c>
      <c r="M637" s="8" t="str">
        <f t="shared" si="69"/>
        <v>PEN</v>
      </c>
      <c r="N637" s="13">
        <v>202.13</v>
      </c>
      <c r="O637" s="13"/>
      <c r="P637" s="3">
        <f t="shared" si="70"/>
        <v>0</v>
      </c>
      <c r="Q637" s="3">
        <f t="shared" si="71"/>
        <v>0</v>
      </c>
      <c r="R637" s="3">
        <f t="shared" si="59"/>
        <v>38247.220000000008</v>
      </c>
      <c r="S637" s="24"/>
      <c r="T637" s="24"/>
      <c r="U637" s="3"/>
      <c r="V637" s="19" t="str">
        <f>IFERROR(VLOOKUP(Banco_Nacion[[#This Row],[responsable]],Clientes_Proveedores[[Ruc / Dni]:[Razon Social]],2,0),"")</f>
        <v/>
      </c>
      <c r="W637" s="19" t="str">
        <f>IF(Banco_Nacion[[#This Row],[tipo_mov]]="INGRESO",Banco_Nacion[[#This Row],[serie]]&amp;Banco_Nacion[[#This Row],[numero]]&amp;Banco_Nacion[[#This Row],[responsable]]&amp;Banco_Nacion[[#This Row],[monto]],"")</f>
        <v/>
      </c>
      <c r="X637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/>
      </c>
      <c r="Y637" s="3" t="str">
        <f>IFERROR(VLOOKUP(Banco_Nacion[[#This Row],[serie]]&amp;Banco_Nacion[[#This Row],[numero]]&amp;Banco_Nacion[[#This Row],[responsable]],[2]!Provision_CXC[[ID CXP]:[DETRACCION]],47,0),"")</f>
        <v/>
      </c>
      <c r="Z637" s="3"/>
      <c r="AA637" s="24" t="str">
        <f>IF(Banco_Nacion[[#This Row],[fecha]]&gt;0,TEXT(Banco_Nacion[[#This Row],[fecha]],"mmmm"),0)</f>
        <v>Agosto</v>
      </c>
    </row>
    <row r="638" spans="1:27" ht="24" x14ac:dyDescent="0.3">
      <c r="A638" s="2" t="str">
        <f>IF(Banco_Nacion[[#This Row],[tipo_registro]]="R",COUNTIFS($C$1:$C637,"R")+1,"")</f>
        <v/>
      </c>
      <c r="B638" s="19" t="str">
        <f t="shared" si="68"/>
        <v>B-Banco de la Nacion</v>
      </c>
      <c r="C638" s="3" t="s">
        <v>1352</v>
      </c>
      <c r="D638" s="14">
        <v>45894</v>
      </c>
      <c r="E638" s="5" t="s">
        <v>3833</v>
      </c>
      <c r="F638" s="5"/>
      <c r="G638" s="6" t="s">
        <v>1020</v>
      </c>
      <c r="H638" s="6" t="s">
        <v>151</v>
      </c>
      <c r="I638" s="6" t="s">
        <v>5237</v>
      </c>
      <c r="J638" s="6">
        <v>50</v>
      </c>
      <c r="K638" s="7"/>
      <c r="L638" s="8">
        <v>78787878</v>
      </c>
      <c r="M638" s="8" t="str">
        <f t="shared" si="69"/>
        <v>PEN</v>
      </c>
      <c r="N638" s="13">
        <v>114.72</v>
      </c>
      <c r="O638" s="13"/>
      <c r="P638" s="3">
        <f t="shared" si="70"/>
        <v>0</v>
      </c>
      <c r="Q638" s="3">
        <f t="shared" si="71"/>
        <v>0</v>
      </c>
      <c r="R638" s="3">
        <f t="shared" si="59"/>
        <v>38247.220000000008</v>
      </c>
      <c r="S638" s="24"/>
      <c r="T638" s="24"/>
      <c r="U638" s="3"/>
      <c r="V638" s="19" t="str">
        <f>IFERROR(VLOOKUP(Banco_Nacion[[#This Row],[responsable]],Clientes_Proveedores[[Ruc / Dni]:[Razon Social]],2,0),"")</f>
        <v/>
      </c>
      <c r="W638" s="19" t="str">
        <f>IF(Banco_Nacion[[#This Row],[tipo_mov]]="INGRESO",Banco_Nacion[[#This Row],[serie]]&amp;Banco_Nacion[[#This Row],[numero]]&amp;Banco_Nacion[[#This Row],[responsable]]&amp;Banco_Nacion[[#This Row],[monto]],"")</f>
        <v/>
      </c>
      <c r="X638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/>
      </c>
      <c r="Y638" s="3" t="str">
        <f>IFERROR(VLOOKUP(Banco_Nacion[[#This Row],[serie]]&amp;Banco_Nacion[[#This Row],[numero]]&amp;Banco_Nacion[[#This Row],[responsable]],[2]!Provision_CXC[[ID CXP]:[DETRACCION]],47,0),"")</f>
        <v/>
      </c>
      <c r="Z638" s="3"/>
      <c r="AA638" s="24" t="str">
        <f>IF(Banco_Nacion[[#This Row],[fecha]]&gt;0,TEXT(Banco_Nacion[[#This Row],[fecha]],"mmmm"),0)</f>
        <v>Agosto</v>
      </c>
    </row>
    <row r="639" spans="1:27" ht="36" x14ac:dyDescent="0.3">
      <c r="A639" s="2" t="str">
        <f>IF(Banco_Nacion[[#This Row],[tipo_registro]]="R",COUNTIFS($C$1:$C638,"R")+1,"")</f>
        <v/>
      </c>
      <c r="B639" s="19" t="str">
        <f t="shared" si="68"/>
        <v>B-Banco de la Nacion</v>
      </c>
      <c r="C639" s="3" t="s">
        <v>1352</v>
      </c>
      <c r="D639" s="14">
        <v>45894</v>
      </c>
      <c r="E639" s="5" t="s">
        <v>3833</v>
      </c>
      <c r="F639" s="5"/>
      <c r="G639" s="6" t="s">
        <v>1076</v>
      </c>
      <c r="H639" s="6" t="s">
        <v>151</v>
      </c>
      <c r="I639" s="6" t="s">
        <v>5237</v>
      </c>
      <c r="J639" s="6">
        <v>51</v>
      </c>
      <c r="K639" s="7"/>
      <c r="L639" s="8">
        <v>78787878</v>
      </c>
      <c r="M639" s="8" t="str">
        <f t="shared" si="69"/>
        <v>PEN</v>
      </c>
      <c r="N639" s="13">
        <v>101.7</v>
      </c>
      <c r="O639" s="13"/>
      <c r="P639" s="3">
        <f t="shared" si="70"/>
        <v>0</v>
      </c>
      <c r="Q639" s="3">
        <f t="shared" si="71"/>
        <v>0</v>
      </c>
      <c r="R639" s="3">
        <f t="shared" si="59"/>
        <v>38247.220000000008</v>
      </c>
      <c r="S639" s="24"/>
      <c r="T639" s="24"/>
      <c r="U639" s="3"/>
      <c r="V639" s="19" t="str">
        <f>IFERROR(VLOOKUP(Banco_Nacion[[#This Row],[responsable]],Clientes_Proveedores[[Ruc / Dni]:[Razon Social]],2,0),"")</f>
        <v/>
      </c>
      <c r="W639" s="19" t="str">
        <f>IF(Banco_Nacion[[#This Row],[tipo_mov]]="INGRESO",Banco_Nacion[[#This Row],[serie]]&amp;Banco_Nacion[[#This Row],[numero]]&amp;Banco_Nacion[[#This Row],[responsable]]&amp;Banco_Nacion[[#This Row],[monto]],"")</f>
        <v/>
      </c>
      <c r="X639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/>
      </c>
      <c r="Y639" s="3" t="str">
        <f>IFERROR(VLOOKUP(Banco_Nacion[[#This Row],[serie]]&amp;Banco_Nacion[[#This Row],[numero]]&amp;Banco_Nacion[[#This Row],[responsable]],[2]!Provision_CXC[[ID CXP]:[DETRACCION]],47,0),"")</f>
        <v/>
      </c>
      <c r="Z639" s="3"/>
      <c r="AA639" s="24" t="str">
        <f>IF(Banco_Nacion[[#This Row],[fecha]]&gt;0,TEXT(Banco_Nacion[[#This Row],[fecha]],"mmmm"),0)</f>
        <v>Agosto</v>
      </c>
    </row>
    <row r="640" spans="1:27" ht="24" x14ac:dyDescent="0.3">
      <c r="A640" s="2" t="str">
        <f>IF(Banco_Nacion[[#This Row],[tipo_registro]]="R",COUNTIFS($C$1:$C639,"R")+1,"")</f>
        <v/>
      </c>
      <c r="B640" s="19" t="str">
        <f t="shared" si="68"/>
        <v>B-Banco de la Nacion</v>
      </c>
      <c r="C640" s="3" t="s">
        <v>1352</v>
      </c>
      <c r="D640" s="14">
        <v>45894</v>
      </c>
      <c r="E640" s="5" t="s">
        <v>3833</v>
      </c>
      <c r="F640" s="5"/>
      <c r="G640" s="6" t="s">
        <v>1021</v>
      </c>
      <c r="H640" s="6" t="s">
        <v>151</v>
      </c>
      <c r="I640" s="6" t="s">
        <v>5237</v>
      </c>
      <c r="J640" s="6">
        <v>52</v>
      </c>
      <c r="K640" s="7"/>
      <c r="L640" s="8">
        <v>78787878</v>
      </c>
      <c r="M640" s="8" t="str">
        <f t="shared" si="69"/>
        <v>PEN</v>
      </c>
      <c r="N640" s="13">
        <v>151.75</v>
      </c>
      <c r="O640" s="13"/>
      <c r="P640" s="3">
        <f t="shared" si="70"/>
        <v>0</v>
      </c>
      <c r="Q640" s="3">
        <f t="shared" si="71"/>
        <v>0</v>
      </c>
      <c r="R640" s="3">
        <f t="shared" si="59"/>
        <v>38247.220000000008</v>
      </c>
      <c r="S640" s="24"/>
      <c r="T640" s="24"/>
      <c r="U640" s="3"/>
      <c r="V640" s="19" t="str">
        <f>IFERROR(VLOOKUP(Banco_Nacion[[#This Row],[responsable]],Clientes_Proveedores[[Ruc / Dni]:[Razon Social]],2,0),"")</f>
        <v/>
      </c>
      <c r="W640" s="19" t="str">
        <f>IF(Banco_Nacion[[#This Row],[tipo_mov]]="INGRESO",Banco_Nacion[[#This Row],[serie]]&amp;Banco_Nacion[[#This Row],[numero]]&amp;Banco_Nacion[[#This Row],[responsable]]&amp;Banco_Nacion[[#This Row],[monto]],"")</f>
        <v/>
      </c>
      <c r="X640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/>
      </c>
      <c r="Y640" s="3" t="str">
        <f>IFERROR(VLOOKUP(Banco_Nacion[[#This Row],[serie]]&amp;Banco_Nacion[[#This Row],[numero]]&amp;Banco_Nacion[[#This Row],[responsable]],[2]!Provision_CXC[[ID CXP]:[DETRACCION]],47,0),"")</f>
        <v/>
      </c>
      <c r="Z640" s="3"/>
      <c r="AA640" s="24" t="str">
        <f>IF(Banco_Nacion[[#This Row],[fecha]]&gt;0,TEXT(Banco_Nacion[[#This Row],[fecha]],"mmmm"),0)</f>
        <v>Agosto</v>
      </c>
    </row>
    <row r="641" spans="1:27" ht="24" x14ac:dyDescent="0.3">
      <c r="A641" s="2" t="str">
        <f>IF(Banco_Nacion[[#This Row],[tipo_registro]]="R",COUNTIFS($C$1:$C640,"R")+1,"")</f>
        <v/>
      </c>
      <c r="B641" s="19" t="str">
        <f t="shared" si="68"/>
        <v>B-Banco de la Nacion</v>
      </c>
      <c r="C641" s="3" t="s">
        <v>1352</v>
      </c>
      <c r="D641" s="14">
        <v>45894</v>
      </c>
      <c r="E641" s="5" t="s">
        <v>3833</v>
      </c>
      <c r="F641" s="5"/>
      <c r="G641" s="6" t="s">
        <v>1022</v>
      </c>
      <c r="H641" s="6" t="s">
        <v>151</v>
      </c>
      <c r="I641" s="6" t="s">
        <v>5237</v>
      </c>
      <c r="J641" s="6">
        <v>53</v>
      </c>
      <c r="K641" s="7"/>
      <c r="L641" s="8">
        <v>78787878</v>
      </c>
      <c r="M641" s="8" t="str">
        <f t="shared" si="69"/>
        <v>PEN</v>
      </c>
      <c r="N641" s="13">
        <v>103.34</v>
      </c>
      <c r="O641" s="13"/>
      <c r="P641" s="3">
        <f t="shared" si="70"/>
        <v>0</v>
      </c>
      <c r="Q641" s="3">
        <f t="shared" si="71"/>
        <v>0</v>
      </c>
      <c r="R641" s="3">
        <f t="shared" si="59"/>
        <v>38247.220000000008</v>
      </c>
      <c r="S641" s="24"/>
      <c r="T641" s="24"/>
      <c r="U641" s="3"/>
      <c r="V641" s="19" t="str">
        <f>IFERROR(VLOOKUP(Banco_Nacion[[#This Row],[responsable]],Clientes_Proveedores[[Ruc / Dni]:[Razon Social]],2,0),"")</f>
        <v/>
      </c>
      <c r="W641" s="19" t="str">
        <f>IF(Banco_Nacion[[#This Row],[tipo_mov]]="INGRESO",Banco_Nacion[[#This Row],[serie]]&amp;Banco_Nacion[[#This Row],[numero]]&amp;Banco_Nacion[[#This Row],[responsable]]&amp;Banco_Nacion[[#This Row],[monto]],"")</f>
        <v/>
      </c>
      <c r="X641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/>
      </c>
      <c r="Y641" s="3" t="str">
        <f>IFERROR(VLOOKUP(Banco_Nacion[[#This Row],[serie]]&amp;Banco_Nacion[[#This Row],[numero]]&amp;Banco_Nacion[[#This Row],[responsable]],[2]!Provision_CXC[[ID CXP]:[DETRACCION]],47,0),"")</f>
        <v/>
      </c>
      <c r="Z641" s="3"/>
      <c r="AA641" s="24" t="str">
        <f>IF(Banco_Nacion[[#This Row],[fecha]]&gt;0,TEXT(Banco_Nacion[[#This Row],[fecha]],"mmmm"),0)</f>
        <v>Agosto</v>
      </c>
    </row>
    <row r="642" spans="1:27" ht="24" x14ac:dyDescent="0.3">
      <c r="A642" s="2" t="str">
        <f>IF(Banco_Nacion[[#This Row],[tipo_registro]]="R",COUNTIFS($C$1:$C641,"R")+1,"")</f>
        <v/>
      </c>
      <c r="B642" s="19" t="str">
        <f t="shared" si="68"/>
        <v>B-Banco de la Nacion</v>
      </c>
      <c r="C642" s="3" t="s">
        <v>1352</v>
      </c>
      <c r="D642" s="14">
        <v>45894</v>
      </c>
      <c r="E642" s="5" t="s">
        <v>3833</v>
      </c>
      <c r="F642" s="5"/>
      <c r="G642" s="6" t="s">
        <v>1039</v>
      </c>
      <c r="H642" s="6" t="s">
        <v>151</v>
      </c>
      <c r="I642" s="6" t="s">
        <v>5237</v>
      </c>
      <c r="J642" s="6">
        <v>54</v>
      </c>
      <c r="K642" s="7"/>
      <c r="L642" s="8">
        <v>78787878</v>
      </c>
      <c r="M642" s="8" t="str">
        <f t="shared" si="69"/>
        <v>PEN</v>
      </c>
      <c r="N642" s="13">
        <v>157.63</v>
      </c>
      <c r="O642" s="13"/>
      <c r="P642" s="3">
        <f t="shared" si="70"/>
        <v>0</v>
      </c>
      <c r="Q642" s="3">
        <f t="shared" si="71"/>
        <v>0</v>
      </c>
      <c r="R642" s="3">
        <f t="shared" ref="R642:R655" si="72">IFERROR(IF(F642="SALDO",P642,R641+P642-Q642),0)</f>
        <v>38247.220000000008</v>
      </c>
      <c r="S642" s="24"/>
      <c r="T642" s="24"/>
      <c r="U642" s="3"/>
      <c r="V642" s="19" t="str">
        <f>IFERROR(VLOOKUP(Banco_Nacion[[#This Row],[responsable]],Clientes_Proveedores[[Ruc / Dni]:[Razon Social]],2,0),"")</f>
        <v/>
      </c>
      <c r="W642" s="19" t="str">
        <f>IF(Banco_Nacion[[#This Row],[tipo_mov]]="INGRESO",Banco_Nacion[[#This Row],[serie]]&amp;Banco_Nacion[[#This Row],[numero]]&amp;Banco_Nacion[[#This Row],[responsable]]&amp;Banco_Nacion[[#This Row],[monto]],"")</f>
        <v/>
      </c>
      <c r="X642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/>
      </c>
      <c r="Y642" s="3" t="str">
        <f>IFERROR(VLOOKUP(Banco_Nacion[[#This Row],[serie]]&amp;Banco_Nacion[[#This Row],[numero]]&amp;Banco_Nacion[[#This Row],[responsable]],[2]!Provision_CXC[[ID CXP]:[DETRACCION]],47,0),"")</f>
        <v/>
      </c>
      <c r="Z642" s="3"/>
      <c r="AA642" s="24" t="str">
        <f>IF(Banco_Nacion[[#This Row],[fecha]]&gt;0,TEXT(Banco_Nacion[[#This Row],[fecha]],"mmmm"),0)</f>
        <v>Agosto</v>
      </c>
    </row>
    <row r="643" spans="1:27" ht="36" x14ac:dyDescent="0.3">
      <c r="A643" s="2" t="str">
        <f>IF(Banco_Nacion[[#This Row],[tipo_registro]]="R",COUNTIFS($C$1:$C642,"R")+1,"")</f>
        <v/>
      </c>
      <c r="B643" s="19" t="str">
        <f t="shared" si="68"/>
        <v>B-Banco de la Nacion</v>
      </c>
      <c r="C643" s="3" t="s">
        <v>1352</v>
      </c>
      <c r="D643" s="14">
        <v>45894</v>
      </c>
      <c r="E643" s="5" t="s">
        <v>3833</v>
      </c>
      <c r="F643" s="5"/>
      <c r="G643" s="6" t="s">
        <v>795</v>
      </c>
      <c r="H643" s="6" t="s">
        <v>151</v>
      </c>
      <c r="I643" s="6" t="s">
        <v>5238</v>
      </c>
      <c r="J643" s="6">
        <v>1</v>
      </c>
      <c r="K643" s="7"/>
      <c r="L643" s="8">
        <v>78787878</v>
      </c>
      <c r="M643" s="8" t="str">
        <f t="shared" si="69"/>
        <v>PEN</v>
      </c>
      <c r="N643" s="13">
        <v>193.51</v>
      </c>
      <c r="O643" s="13"/>
      <c r="P643" s="3">
        <f t="shared" si="70"/>
        <v>0</v>
      </c>
      <c r="Q643" s="3">
        <f t="shared" si="71"/>
        <v>0</v>
      </c>
      <c r="R643" s="3">
        <f t="shared" si="72"/>
        <v>38247.220000000008</v>
      </c>
      <c r="S643" s="24"/>
      <c r="T643" s="24"/>
      <c r="U643" s="3"/>
      <c r="V643" s="19" t="str">
        <f>IFERROR(VLOOKUP(Banco_Nacion[[#This Row],[responsable]],Clientes_Proveedores[[Ruc / Dni]:[Razon Social]],2,0),"")</f>
        <v/>
      </c>
      <c r="W643" s="19" t="str">
        <f>IF(Banco_Nacion[[#This Row],[tipo_mov]]="INGRESO",Banco_Nacion[[#This Row],[serie]]&amp;Banco_Nacion[[#This Row],[numero]]&amp;Banco_Nacion[[#This Row],[responsable]]&amp;Banco_Nacion[[#This Row],[monto]],"")</f>
        <v/>
      </c>
      <c r="X643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/>
      </c>
      <c r="Y643" s="3" t="str">
        <f>IFERROR(VLOOKUP(Banco_Nacion[[#This Row],[serie]]&amp;Banco_Nacion[[#This Row],[numero]]&amp;Banco_Nacion[[#This Row],[responsable]],[2]!Provision_CXC[[ID CXP]:[DETRACCION]],47,0),"")</f>
        <v/>
      </c>
      <c r="Z643" s="3"/>
      <c r="AA643" s="24" t="str">
        <f>IF(Banco_Nacion[[#This Row],[fecha]]&gt;0,TEXT(Banco_Nacion[[#This Row],[fecha]],"mmmm"),0)</f>
        <v>Agosto</v>
      </c>
    </row>
    <row r="644" spans="1:27" ht="24" x14ac:dyDescent="0.3">
      <c r="A644" s="2" t="str">
        <f>IF(Banco_Nacion[[#This Row],[tipo_registro]]="R",COUNTIFS($C$1:$C643,"R")+1,"")</f>
        <v/>
      </c>
      <c r="B644" s="19" t="str">
        <f t="shared" si="68"/>
        <v>B-Banco de la Nacion</v>
      </c>
      <c r="C644" s="3" t="s">
        <v>1352</v>
      </c>
      <c r="D644" s="14">
        <v>45894</v>
      </c>
      <c r="E644" s="5" t="s">
        <v>3833</v>
      </c>
      <c r="F644" s="5"/>
      <c r="G644" s="6" t="s">
        <v>809</v>
      </c>
      <c r="H644" s="6" t="s">
        <v>151</v>
      </c>
      <c r="I644" s="6" t="s">
        <v>5238</v>
      </c>
      <c r="J644" s="6">
        <v>2</v>
      </c>
      <c r="K644" s="7"/>
      <c r="L644" s="8">
        <v>78787878</v>
      </c>
      <c r="M644" s="8" t="str">
        <f t="shared" si="69"/>
        <v>PEN</v>
      </c>
      <c r="N644" s="13">
        <v>558.59</v>
      </c>
      <c r="O644" s="13"/>
      <c r="P644" s="3">
        <f t="shared" si="70"/>
        <v>0</v>
      </c>
      <c r="Q644" s="3">
        <f t="shared" si="71"/>
        <v>0</v>
      </c>
      <c r="R644" s="3">
        <f t="shared" si="72"/>
        <v>38247.220000000008</v>
      </c>
      <c r="S644" s="24"/>
      <c r="T644" s="24"/>
      <c r="U644" s="3"/>
      <c r="V644" s="19" t="str">
        <f>IFERROR(VLOOKUP(Banco_Nacion[[#This Row],[responsable]],Clientes_Proveedores[[Ruc / Dni]:[Razon Social]],2,0),"")</f>
        <v/>
      </c>
      <c r="W644" s="19" t="str">
        <f>IF(Banco_Nacion[[#This Row],[tipo_mov]]="INGRESO",Banco_Nacion[[#This Row],[serie]]&amp;Banco_Nacion[[#This Row],[numero]]&amp;Banco_Nacion[[#This Row],[responsable]]&amp;Banco_Nacion[[#This Row],[monto]],"")</f>
        <v/>
      </c>
      <c r="X644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/>
      </c>
      <c r="Y644" s="3" t="str">
        <f>IFERROR(VLOOKUP(Banco_Nacion[[#This Row],[serie]]&amp;Banco_Nacion[[#This Row],[numero]]&amp;Banco_Nacion[[#This Row],[responsable]],[2]!Provision_CXC[[ID CXP]:[DETRACCION]],47,0),"")</f>
        <v/>
      </c>
      <c r="Z644" s="3"/>
      <c r="AA644" s="24" t="str">
        <f>IF(Banco_Nacion[[#This Row],[fecha]]&gt;0,TEXT(Banco_Nacion[[#This Row],[fecha]],"mmmm"),0)</f>
        <v>Agosto</v>
      </c>
    </row>
    <row r="645" spans="1:27" ht="24" x14ac:dyDescent="0.3">
      <c r="A645" s="2" t="str">
        <f>IF(Banco_Nacion[[#This Row],[tipo_registro]]="R",COUNTIFS($C$1:$C644,"R")+1,"")</f>
        <v/>
      </c>
      <c r="B645" s="19" t="str">
        <f t="shared" si="68"/>
        <v>B-Banco de la Nacion</v>
      </c>
      <c r="C645" s="3" t="s">
        <v>1352</v>
      </c>
      <c r="D645" s="14">
        <v>45894</v>
      </c>
      <c r="E645" s="5" t="s">
        <v>3833</v>
      </c>
      <c r="F645" s="5"/>
      <c r="G645" s="6" t="s">
        <v>836</v>
      </c>
      <c r="H645" s="6" t="s">
        <v>151</v>
      </c>
      <c r="I645" s="6" t="s">
        <v>5238</v>
      </c>
      <c r="J645" s="6">
        <v>3</v>
      </c>
      <c r="K645" s="7"/>
      <c r="L645" s="8">
        <v>78787878</v>
      </c>
      <c r="M645" s="8" t="str">
        <f t="shared" si="69"/>
        <v>PEN</v>
      </c>
      <c r="N645" s="13">
        <v>248.7</v>
      </c>
      <c r="O645" s="13"/>
      <c r="P645" s="3">
        <f t="shared" si="70"/>
        <v>0</v>
      </c>
      <c r="Q645" s="3">
        <f t="shared" si="71"/>
        <v>0</v>
      </c>
      <c r="R645" s="3">
        <f t="shared" si="72"/>
        <v>38247.220000000008</v>
      </c>
      <c r="S645" s="24"/>
      <c r="T645" s="24"/>
      <c r="U645" s="3"/>
      <c r="V645" s="19" t="str">
        <f>IFERROR(VLOOKUP(Banco_Nacion[[#This Row],[responsable]],Clientes_Proveedores[[Ruc / Dni]:[Razon Social]],2,0),"")</f>
        <v/>
      </c>
      <c r="W645" s="19" t="str">
        <f>IF(Banco_Nacion[[#This Row],[tipo_mov]]="INGRESO",Banco_Nacion[[#This Row],[serie]]&amp;Banco_Nacion[[#This Row],[numero]]&amp;Banco_Nacion[[#This Row],[responsable]]&amp;Banco_Nacion[[#This Row],[monto]],"")</f>
        <v/>
      </c>
      <c r="X645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/>
      </c>
      <c r="Y645" s="3" t="str">
        <f>IFERROR(VLOOKUP(Banco_Nacion[[#This Row],[serie]]&amp;Banco_Nacion[[#This Row],[numero]]&amp;Banco_Nacion[[#This Row],[responsable]],[2]!Provision_CXC[[ID CXP]:[DETRACCION]],47,0),"")</f>
        <v/>
      </c>
      <c r="Z645" s="3"/>
      <c r="AA645" s="24" t="str">
        <f>IF(Banco_Nacion[[#This Row],[fecha]]&gt;0,TEXT(Banco_Nacion[[#This Row],[fecha]],"mmmm"),0)</f>
        <v>Agosto</v>
      </c>
    </row>
    <row r="646" spans="1:27" ht="24" x14ac:dyDescent="0.3">
      <c r="A646" s="2" t="str">
        <f>IF(Banco_Nacion[[#This Row],[tipo_registro]]="R",COUNTIFS($C$1:$C645,"R")+1,"")</f>
        <v/>
      </c>
      <c r="B646" s="19" t="str">
        <f t="shared" si="68"/>
        <v>B-Banco de la Nacion</v>
      </c>
      <c r="C646" s="3" t="s">
        <v>1352</v>
      </c>
      <c r="D646" s="14">
        <v>45894</v>
      </c>
      <c r="E646" s="5" t="s">
        <v>3833</v>
      </c>
      <c r="F646" s="5"/>
      <c r="G646" s="6" t="s">
        <v>888</v>
      </c>
      <c r="H646" s="6" t="s">
        <v>151</v>
      </c>
      <c r="I646" s="6" t="s">
        <v>5238</v>
      </c>
      <c r="J646" s="6">
        <v>4</v>
      </c>
      <c r="K646" s="7"/>
      <c r="L646" s="8">
        <v>78787878</v>
      </c>
      <c r="M646" s="8" t="str">
        <f t="shared" si="69"/>
        <v>PEN</v>
      </c>
      <c r="N646" s="13">
        <v>305.17</v>
      </c>
      <c r="O646" s="13"/>
      <c r="P646" s="3">
        <f t="shared" si="70"/>
        <v>0</v>
      </c>
      <c r="Q646" s="3">
        <f t="shared" si="71"/>
        <v>0</v>
      </c>
      <c r="R646" s="3">
        <f t="shared" si="72"/>
        <v>38247.220000000008</v>
      </c>
      <c r="S646" s="24"/>
      <c r="T646" s="24"/>
      <c r="U646" s="3"/>
      <c r="V646" s="19" t="str">
        <f>IFERROR(VLOOKUP(Banco_Nacion[[#This Row],[responsable]],Clientes_Proveedores[[Ruc / Dni]:[Razon Social]],2,0),"")</f>
        <v/>
      </c>
      <c r="W646" s="19" t="str">
        <f>IF(Banco_Nacion[[#This Row],[tipo_mov]]="INGRESO",Banco_Nacion[[#This Row],[serie]]&amp;Banco_Nacion[[#This Row],[numero]]&amp;Banco_Nacion[[#This Row],[responsable]]&amp;Banco_Nacion[[#This Row],[monto]],"")</f>
        <v/>
      </c>
      <c r="X646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/>
      </c>
      <c r="Y646" s="3" t="str">
        <f>IFERROR(VLOOKUP(Banco_Nacion[[#This Row],[serie]]&amp;Banco_Nacion[[#This Row],[numero]]&amp;Banco_Nacion[[#This Row],[responsable]],[2]!Provision_CXC[[ID CXP]:[DETRACCION]],47,0),"")</f>
        <v/>
      </c>
      <c r="Z646" s="3"/>
      <c r="AA646" s="24" t="str">
        <f>IF(Banco_Nacion[[#This Row],[fecha]]&gt;0,TEXT(Banco_Nacion[[#This Row],[fecha]],"mmmm"),0)</f>
        <v>Agosto</v>
      </c>
    </row>
    <row r="647" spans="1:27" ht="24" x14ac:dyDescent="0.3">
      <c r="A647" s="2" t="str">
        <f>IF(Banco_Nacion[[#This Row],[tipo_registro]]="R",COUNTIFS($C$1:$C646,"R")+1,"")</f>
        <v/>
      </c>
      <c r="B647" s="19" t="str">
        <f t="shared" si="68"/>
        <v>B-Banco de la Nacion</v>
      </c>
      <c r="C647" s="3" t="s">
        <v>1352</v>
      </c>
      <c r="D647" s="14">
        <v>45894</v>
      </c>
      <c r="E647" s="5" t="s">
        <v>3833</v>
      </c>
      <c r="F647" s="5"/>
      <c r="G647" s="6" t="s">
        <v>909</v>
      </c>
      <c r="H647" s="6" t="s">
        <v>151</v>
      </c>
      <c r="I647" s="6" t="s">
        <v>5238</v>
      </c>
      <c r="J647" s="6">
        <v>5</v>
      </c>
      <c r="K647" s="7"/>
      <c r="L647" s="8">
        <v>78787878</v>
      </c>
      <c r="M647" s="8" t="str">
        <f t="shared" si="69"/>
        <v>PEN</v>
      </c>
      <c r="N647" s="13">
        <v>481.08</v>
      </c>
      <c r="O647" s="13"/>
      <c r="P647" s="3">
        <f t="shared" si="70"/>
        <v>0</v>
      </c>
      <c r="Q647" s="3">
        <f t="shared" si="71"/>
        <v>0</v>
      </c>
      <c r="R647" s="3">
        <f t="shared" si="72"/>
        <v>38247.220000000008</v>
      </c>
      <c r="S647" s="24"/>
      <c r="T647" s="24"/>
      <c r="U647" s="3"/>
      <c r="V647" s="19" t="str">
        <f>IFERROR(VLOOKUP(Banco_Nacion[[#This Row],[responsable]],Clientes_Proveedores[[Ruc / Dni]:[Razon Social]],2,0),"")</f>
        <v/>
      </c>
      <c r="W647" s="19" t="str">
        <f>IF(Banco_Nacion[[#This Row],[tipo_mov]]="INGRESO",Banco_Nacion[[#This Row],[serie]]&amp;Banco_Nacion[[#This Row],[numero]]&amp;Banco_Nacion[[#This Row],[responsable]]&amp;Banco_Nacion[[#This Row],[monto]],"")</f>
        <v/>
      </c>
      <c r="X647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/>
      </c>
      <c r="Y647" s="3" t="str">
        <f>IFERROR(VLOOKUP(Banco_Nacion[[#This Row],[serie]]&amp;Banco_Nacion[[#This Row],[numero]]&amp;Banco_Nacion[[#This Row],[responsable]],[2]!Provision_CXC[[ID CXP]:[DETRACCION]],47,0),"")</f>
        <v/>
      </c>
      <c r="Z647" s="3"/>
      <c r="AA647" s="24" t="str">
        <f>IF(Banco_Nacion[[#This Row],[fecha]]&gt;0,TEXT(Banco_Nacion[[#This Row],[fecha]],"mmmm"),0)</f>
        <v>Agosto</v>
      </c>
    </row>
    <row r="648" spans="1:27" ht="24" x14ac:dyDescent="0.3">
      <c r="A648" s="2" t="str">
        <f>IF(Banco_Nacion[[#This Row],[tipo_registro]]="R",COUNTIFS($C$1:$C647,"R")+1,"")</f>
        <v/>
      </c>
      <c r="B648" s="19" t="str">
        <f t="shared" si="68"/>
        <v>B-Banco de la Nacion</v>
      </c>
      <c r="C648" s="3" t="s">
        <v>1352</v>
      </c>
      <c r="D648" s="14">
        <v>45894</v>
      </c>
      <c r="E648" s="5" t="s">
        <v>3833</v>
      </c>
      <c r="F648" s="5"/>
      <c r="G648" s="6" t="s">
        <v>916</v>
      </c>
      <c r="H648" s="6" t="s">
        <v>151</v>
      </c>
      <c r="I648" s="6" t="s">
        <v>5238</v>
      </c>
      <c r="J648" s="6">
        <v>6</v>
      </c>
      <c r="K648" s="7"/>
      <c r="L648" s="8">
        <v>78787878</v>
      </c>
      <c r="M648" s="8" t="str">
        <f t="shared" si="69"/>
        <v>PEN</v>
      </c>
      <c r="N648" s="13">
        <v>195.83</v>
      </c>
      <c r="O648" s="13"/>
      <c r="P648" s="3">
        <f t="shared" si="70"/>
        <v>0</v>
      </c>
      <c r="Q648" s="3">
        <f t="shared" si="71"/>
        <v>0</v>
      </c>
      <c r="R648" s="3">
        <f t="shared" si="72"/>
        <v>38247.220000000008</v>
      </c>
      <c r="S648" s="24"/>
      <c r="T648" s="24"/>
      <c r="U648" s="3"/>
      <c r="V648" s="19" t="str">
        <f>IFERROR(VLOOKUP(Banco_Nacion[[#This Row],[responsable]],Clientes_Proveedores[[Ruc / Dni]:[Razon Social]],2,0),"")</f>
        <v/>
      </c>
      <c r="W648" s="19" t="str">
        <f>IF(Banco_Nacion[[#This Row],[tipo_mov]]="INGRESO",Banco_Nacion[[#This Row],[serie]]&amp;Banco_Nacion[[#This Row],[numero]]&amp;Banco_Nacion[[#This Row],[responsable]]&amp;Banco_Nacion[[#This Row],[monto]],"")</f>
        <v/>
      </c>
      <c r="X648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/>
      </c>
      <c r="Y648" s="3" t="str">
        <f>IFERROR(VLOOKUP(Banco_Nacion[[#This Row],[serie]]&amp;Banco_Nacion[[#This Row],[numero]]&amp;Banco_Nacion[[#This Row],[responsable]],[2]!Provision_CXC[[ID CXP]:[DETRACCION]],47,0),"")</f>
        <v/>
      </c>
      <c r="Z648" s="3"/>
      <c r="AA648" s="24" t="str">
        <f>IF(Banco_Nacion[[#This Row],[fecha]]&gt;0,TEXT(Banco_Nacion[[#This Row],[fecha]],"mmmm"),0)</f>
        <v>Agosto</v>
      </c>
    </row>
    <row r="649" spans="1:27" ht="36" x14ac:dyDescent="0.3">
      <c r="A649" s="2" t="str">
        <f>IF(Banco_Nacion[[#This Row],[tipo_registro]]="R",COUNTIFS($C$1:$C648,"R")+1,"")</f>
        <v/>
      </c>
      <c r="B649" s="19" t="str">
        <f t="shared" si="68"/>
        <v>B-Banco de la Nacion</v>
      </c>
      <c r="C649" s="3" t="s">
        <v>1352</v>
      </c>
      <c r="D649" s="14">
        <v>45894</v>
      </c>
      <c r="E649" s="5" t="s">
        <v>3833</v>
      </c>
      <c r="F649" s="5"/>
      <c r="G649" s="6" t="s">
        <v>948</v>
      </c>
      <c r="H649" s="6" t="s">
        <v>151</v>
      </c>
      <c r="I649" s="6" t="s">
        <v>5238</v>
      </c>
      <c r="J649" s="6">
        <v>7</v>
      </c>
      <c r="K649" s="7"/>
      <c r="L649" s="8">
        <v>78787878</v>
      </c>
      <c r="M649" s="8" t="str">
        <f t="shared" si="69"/>
        <v>PEN</v>
      </c>
      <c r="N649" s="13">
        <v>195.71</v>
      </c>
      <c r="O649" s="13"/>
      <c r="P649" s="3">
        <f t="shared" si="70"/>
        <v>0</v>
      </c>
      <c r="Q649" s="3">
        <f t="shared" si="71"/>
        <v>0</v>
      </c>
      <c r="R649" s="3">
        <f t="shared" si="72"/>
        <v>38247.220000000008</v>
      </c>
      <c r="S649" s="24"/>
      <c r="T649" s="24"/>
      <c r="U649" s="3"/>
      <c r="V649" s="19" t="str">
        <f>IFERROR(VLOOKUP(Banco_Nacion[[#This Row],[responsable]],Clientes_Proveedores[[Ruc / Dni]:[Razon Social]],2,0),"")</f>
        <v/>
      </c>
      <c r="W649" s="19" t="str">
        <f>IF(Banco_Nacion[[#This Row],[tipo_mov]]="INGRESO",Banco_Nacion[[#This Row],[serie]]&amp;Banco_Nacion[[#This Row],[numero]]&amp;Banco_Nacion[[#This Row],[responsable]]&amp;Banco_Nacion[[#This Row],[monto]],"")</f>
        <v/>
      </c>
      <c r="X649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/>
      </c>
      <c r="Y649" s="3" t="str">
        <f>IFERROR(VLOOKUP(Banco_Nacion[[#This Row],[serie]]&amp;Banco_Nacion[[#This Row],[numero]]&amp;Banco_Nacion[[#This Row],[responsable]],[2]!Provision_CXC[[ID CXP]:[DETRACCION]],47,0),"")</f>
        <v/>
      </c>
      <c r="Z649" s="3"/>
      <c r="AA649" s="24" t="str">
        <f>IF(Banco_Nacion[[#This Row],[fecha]]&gt;0,TEXT(Banco_Nacion[[#This Row],[fecha]],"mmmm"),0)</f>
        <v>Agosto</v>
      </c>
    </row>
    <row r="650" spans="1:27" ht="24" x14ac:dyDescent="0.3">
      <c r="A650" s="2" t="str">
        <f>IF(Banco_Nacion[[#This Row],[tipo_registro]]="R",COUNTIFS($C$1:$C649,"R")+1,"")</f>
        <v/>
      </c>
      <c r="B650" s="19" t="str">
        <f t="shared" si="68"/>
        <v>B-Banco de la Nacion</v>
      </c>
      <c r="C650" s="3" t="s">
        <v>1352</v>
      </c>
      <c r="D650" s="14">
        <v>45894</v>
      </c>
      <c r="E650" s="5" t="s">
        <v>3833</v>
      </c>
      <c r="F650" s="5"/>
      <c r="G650" s="6" t="s">
        <v>1019</v>
      </c>
      <c r="H650" s="6" t="s">
        <v>151</v>
      </c>
      <c r="I650" s="6" t="s">
        <v>5238</v>
      </c>
      <c r="J650" s="6">
        <v>8</v>
      </c>
      <c r="K650" s="7"/>
      <c r="L650" s="8">
        <v>78787878</v>
      </c>
      <c r="M650" s="8" t="str">
        <f t="shared" si="69"/>
        <v>PEN</v>
      </c>
      <c r="N650" s="13">
        <v>424.94</v>
      </c>
      <c r="O650" s="13"/>
      <c r="P650" s="3">
        <f t="shared" si="70"/>
        <v>0</v>
      </c>
      <c r="Q650" s="3">
        <f t="shared" si="71"/>
        <v>0</v>
      </c>
      <c r="R650" s="3">
        <f t="shared" si="72"/>
        <v>38247.220000000008</v>
      </c>
      <c r="S650" s="24"/>
      <c r="T650" s="24"/>
      <c r="U650" s="3"/>
      <c r="V650" s="19" t="str">
        <f>IFERROR(VLOOKUP(Banco_Nacion[[#This Row],[responsable]],Clientes_Proveedores[[Ruc / Dni]:[Razon Social]],2,0),"")</f>
        <v/>
      </c>
      <c r="W650" s="19" t="str">
        <f>IF(Banco_Nacion[[#This Row],[tipo_mov]]="INGRESO",Banco_Nacion[[#This Row],[serie]]&amp;Banco_Nacion[[#This Row],[numero]]&amp;Banco_Nacion[[#This Row],[responsable]]&amp;Banco_Nacion[[#This Row],[monto]],"")</f>
        <v/>
      </c>
      <c r="X650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/>
      </c>
      <c r="Y650" s="3" t="str">
        <f>IFERROR(VLOOKUP(Banco_Nacion[[#This Row],[serie]]&amp;Banco_Nacion[[#This Row],[numero]]&amp;Banco_Nacion[[#This Row],[responsable]],[2]!Provision_CXC[[ID CXP]:[DETRACCION]],47,0),"")</f>
        <v/>
      </c>
      <c r="Z650" s="3"/>
      <c r="AA650" s="24" t="str">
        <f>IF(Banco_Nacion[[#This Row],[fecha]]&gt;0,TEXT(Banco_Nacion[[#This Row],[fecha]],"mmmm"),0)</f>
        <v>Agosto</v>
      </c>
    </row>
    <row r="651" spans="1:27" ht="24" x14ac:dyDescent="0.3">
      <c r="A651" s="2" t="str">
        <f>IF(Banco_Nacion[[#This Row],[tipo_registro]]="R",COUNTIFS($C$1:$C650,"R")+1,"")</f>
        <v/>
      </c>
      <c r="B651" s="19" t="str">
        <f t="shared" si="68"/>
        <v>B-Banco de la Nacion</v>
      </c>
      <c r="C651" s="3" t="s">
        <v>1352</v>
      </c>
      <c r="D651" s="14">
        <v>45894</v>
      </c>
      <c r="E651" s="5" t="s">
        <v>3833</v>
      </c>
      <c r="F651" s="5"/>
      <c r="G651" s="6" t="s">
        <v>1022</v>
      </c>
      <c r="H651" s="6" t="s">
        <v>151</v>
      </c>
      <c r="I651" s="6" t="s">
        <v>5238</v>
      </c>
      <c r="J651" s="6">
        <v>9</v>
      </c>
      <c r="K651" s="7"/>
      <c r="L651" s="8">
        <v>78787878</v>
      </c>
      <c r="M651" s="8" t="str">
        <f t="shared" si="69"/>
        <v>PEN</v>
      </c>
      <c r="N651" s="13">
        <v>149.27000000000001</v>
      </c>
      <c r="O651" s="13"/>
      <c r="P651" s="3">
        <f t="shared" si="70"/>
        <v>0</v>
      </c>
      <c r="Q651" s="3">
        <f t="shared" si="71"/>
        <v>0</v>
      </c>
      <c r="R651" s="3">
        <f t="shared" si="72"/>
        <v>38247.220000000008</v>
      </c>
      <c r="S651" s="24"/>
      <c r="T651" s="24"/>
      <c r="U651" s="3"/>
      <c r="V651" s="19" t="str">
        <f>IFERROR(VLOOKUP(Banco_Nacion[[#This Row],[responsable]],Clientes_Proveedores[[Ruc / Dni]:[Razon Social]],2,0),"")</f>
        <v/>
      </c>
      <c r="W651" s="19" t="str">
        <f>IF(Banco_Nacion[[#This Row],[tipo_mov]]="INGRESO",Banco_Nacion[[#This Row],[serie]]&amp;Banco_Nacion[[#This Row],[numero]]&amp;Banco_Nacion[[#This Row],[responsable]]&amp;Banco_Nacion[[#This Row],[monto]],"")</f>
        <v/>
      </c>
      <c r="X651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/>
      </c>
      <c r="Y651" s="3" t="str">
        <f>IFERROR(VLOOKUP(Banco_Nacion[[#This Row],[serie]]&amp;Banco_Nacion[[#This Row],[numero]]&amp;Banco_Nacion[[#This Row],[responsable]],[2]!Provision_CXC[[ID CXP]:[DETRACCION]],47,0),"")</f>
        <v/>
      </c>
      <c r="Z651" s="3"/>
      <c r="AA651" s="24" t="str">
        <f>IF(Banco_Nacion[[#This Row],[fecha]]&gt;0,TEXT(Banco_Nacion[[#This Row],[fecha]],"mmmm"),0)</f>
        <v>Agosto</v>
      </c>
    </row>
    <row r="652" spans="1:27" ht="24" x14ac:dyDescent="0.3">
      <c r="A652" s="2" t="str">
        <f>IF(Banco_Nacion[[#This Row],[tipo_registro]]="R",COUNTIFS($C$1:$C651,"R")+1,"")</f>
        <v/>
      </c>
      <c r="B652" s="19" t="str">
        <f t="shared" si="68"/>
        <v>B-Banco de la Nacion</v>
      </c>
      <c r="C652" s="3" t="s">
        <v>1352</v>
      </c>
      <c r="D652" s="14">
        <v>45894</v>
      </c>
      <c r="E652" s="5" t="s">
        <v>3833</v>
      </c>
      <c r="F652" s="5"/>
      <c r="G652" s="6" t="s">
        <v>809</v>
      </c>
      <c r="H652" s="6" t="s">
        <v>151</v>
      </c>
      <c r="I652" s="6" t="s">
        <v>5239</v>
      </c>
      <c r="J652" s="6">
        <v>1</v>
      </c>
      <c r="K652" s="7"/>
      <c r="L652" s="8">
        <v>78787878</v>
      </c>
      <c r="M652" s="8" t="str">
        <f t="shared" si="69"/>
        <v>PEN</v>
      </c>
      <c r="N652" s="13">
        <v>155.01</v>
      </c>
      <c r="O652" s="13"/>
      <c r="P652" s="3">
        <f t="shared" si="70"/>
        <v>0</v>
      </c>
      <c r="Q652" s="3">
        <f t="shared" si="71"/>
        <v>0</v>
      </c>
      <c r="R652" s="3">
        <f t="shared" si="72"/>
        <v>38247.220000000008</v>
      </c>
      <c r="S652" s="24"/>
      <c r="T652" s="24"/>
      <c r="U652" s="3"/>
      <c r="V652" s="19" t="str">
        <f>IFERROR(VLOOKUP(Banco_Nacion[[#This Row],[responsable]],Clientes_Proveedores[[Ruc / Dni]:[Razon Social]],2,0),"")</f>
        <v/>
      </c>
      <c r="W652" s="19" t="str">
        <f>IF(Banco_Nacion[[#This Row],[tipo_mov]]="INGRESO",Banco_Nacion[[#This Row],[serie]]&amp;Banco_Nacion[[#This Row],[numero]]&amp;Banco_Nacion[[#This Row],[responsable]]&amp;Banco_Nacion[[#This Row],[monto]],"")</f>
        <v/>
      </c>
      <c r="X652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/>
      </c>
      <c r="Y652" s="3" t="str">
        <f>IFERROR(VLOOKUP(Banco_Nacion[[#This Row],[serie]]&amp;Banco_Nacion[[#This Row],[numero]]&amp;Banco_Nacion[[#This Row],[responsable]],[2]!Provision_CXC[[ID CXP]:[DETRACCION]],47,0),"")</f>
        <v/>
      </c>
      <c r="Z652" s="3"/>
      <c r="AA652" s="24" t="str">
        <f>IF(Banco_Nacion[[#This Row],[fecha]]&gt;0,TEXT(Banco_Nacion[[#This Row],[fecha]],"mmmm"),0)</f>
        <v>Agosto</v>
      </c>
    </row>
    <row r="653" spans="1:27" ht="24" x14ac:dyDescent="0.3">
      <c r="A653" s="2" t="str">
        <f>IF(Banco_Nacion[[#This Row],[tipo_registro]]="R",COUNTIFS($C$1:$C652,"R")+1,"")</f>
        <v/>
      </c>
      <c r="B653" s="19" t="str">
        <f t="shared" ref="B653" si="73">"B-Banco de la Nacion"</f>
        <v>B-Banco de la Nacion</v>
      </c>
      <c r="C653" s="3" t="s">
        <v>1352</v>
      </c>
      <c r="D653" s="14">
        <v>45894</v>
      </c>
      <c r="E653" s="5" t="s">
        <v>3833</v>
      </c>
      <c r="F653" s="5"/>
      <c r="G653" s="6" t="s">
        <v>909</v>
      </c>
      <c r="H653" s="6" t="s">
        <v>151</v>
      </c>
      <c r="I653" s="6" t="s">
        <v>5239</v>
      </c>
      <c r="J653" s="6">
        <v>2</v>
      </c>
      <c r="K653" s="7"/>
      <c r="L653" s="8">
        <v>78787878</v>
      </c>
      <c r="M653" s="8" t="str">
        <f t="shared" ref="M653" si="74">"PEN"</f>
        <v>PEN</v>
      </c>
      <c r="N653" s="13">
        <v>76.36</v>
      </c>
      <c r="O653" s="13"/>
      <c r="P653" s="3">
        <f t="shared" ref="P653" si="75">+IF(OR($F653="SALDO",$F653="INGRESO"),$O653,0)</f>
        <v>0</v>
      </c>
      <c r="Q653" s="3">
        <f t="shared" ref="Q653" si="76">+IF($F653="EGRESO",$O653,0)</f>
        <v>0</v>
      </c>
      <c r="R653" s="3">
        <f t="shared" si="72"/>
        <v>38247.220000000008</v>
      </c>
      <c r="S653" s="24"/>
      <c r="T653" s="24"/>
      <c r="U653" s="3"/>
      <c r="V653" s="19" t="str">
        <f>IFERROR(VLOOKUP(Banco_Nacion[[#This Row],[responsable]],Clientes_Proveedores[[Ruc / Dni]:[Razon Social]],2,0),"")</f>
        <v/>
      </c>
      <c r="W653" s="19" t="str">
        <f>IF(Banco_Nacion[[#This Row],[tipo_mov]]="INGRESO",Banco_Nacion[[#This Row],[serie]]&amp;Banco_Nacion[[#This Row],[numero]]&amp;Banco_Nacion[[#This Row],[responsable]]&amp;Banco_Nacion[[#This Row],[monto]],"")</f>
        <v/>
      </c>
      <c r="X653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/>
      </c>
      <c r="Y653" s="3" t="str">
        <f>IFERROR(VLOOKUP(Banco_Nacion[[#This Row],[serie]]&amp;Banco_Nacion[[#This Row],[numero]]&amp;Banco_Nacion[[#This Row],[responsable]],[2]!Provision_CXC[[ID CXP]:[DETRACCION]],47,0),"")</f>
        <v/>
      </c>
      <c r="Z653" s="3"/>
      <c r="AA653" s="24" t="str">
        <f>IF(Banco_Nacion[[#This Row],[fecha]]&gt;0,TEXT(Banco_Nacion[[#This Row],[fecha]],"mmmm"),0)</f>
        <v>Agosto</v>
      </c>
    </row>
    <row r="654" spans="1:27" x14ac:dyDescent="0.3">
      <c r="A654" s="2" t="str">
        <f>IF(Banco_Nacion[[#This Row],[tipo_registro]]="R",COUNTIFS($C$1:$C653,"R")+1,"")</f>
        <v/>
      </c>
      <c r="B654" s="19" t="str">
        <f>"B-Banco de la Nacion"</f>
        <v>B-Banco de la Nacion</v>
      </c>
      <c r="C654" s="3" t="s">
        <v>1352</v>
      </c>
      <c r="D654" s="14">
        <v>45894</v>
      </c>
      <c r="E654" s="5" t="s">
        <v>3833</v>
      </c>
      <c r="F654" s="5"/>
      <c r="G654" s="6" t="s">
        <v>425</v>
      </c>
      <c r="H654" s="6" t="s">
        <v>64</v>
      </c>
      <c r="I654" s="6" t="s">
        <v>5240</v>
      </c>
      <c r="J654" s="6">
        <v>1</v>
      </c>
      <c r="K654" s="7"/>
      <c r="L654" s="8">
        <v>78787878</v>
      </c>
      <c r="M654" s="8" t="str">
        <f>"PEN"</f>
        <v>PEN</v>
      </c>
      <c r="N654" s="13">
        <v>-0.08</v>
      </c>
      <c r="O654" s="13"/>
      <c r="P654" s="3">
        <f>+IF(OR($F654="SALDO",$F654="INGRESO"),$O654,0)</f>
        <v>0</v>
      </c>
      <c r="Q654" s="3">
        <f>+IF($F654="EGRESO",$O654,0)</f>
        <v>0</v>
      </c>
      <c r="R654" s="3">
        <f t="shared" si="72"/>
        <v>38247.220000000008</v>
      </c>
      <c r="S654" s="24"/>
      <c r="T654" s="24"/>
      <c r="U654" s="3"/>
      <c r="V654" s="19" t="str">
        <f>IFERROR(VLOOKUP(Banco_Nacion[[#This Row],[responsable]],Clientes_Proveedores[[Ruc / Dni]:[Razon Social]],2,0),"")</f>
        <v/>
      </c>
      <c r="W654" s="19" t="str">
        <f>IF(Banco_Nacion[[#This Row],[tipo_mov]]="INGRESO",Banco_Nacion[[#This Row],[serie]]&amp;Banco_Nacion[[#This Row],[numero]]&amp;Banco_Nacion[[#This Row],[responsable]]&amp;Banco_Nacion[[#This Row],[monto]],"")</f>
        <v/>
      </c>
      <c r="X654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/>
      </c>
      <c r="Y654" s="3" t="str">
        <f>IFERROR(VLOOKUP(Banco_Nacion[[#This Row],[serie]]&amp;Banco_Nacion[[#This Row],[numero]]&amp;Banco_Nacion[[#This Row],[responsable]],[2]!Provision_CXC[[ID CXP]:[DETRACCION]],47,0),"")</f>
        <v/>
      </c>
      <c r="Z654" s="3"/>
      <c r="AA654" s="24" t="str">
        <f>IF(Banco_Nacion[[#This Row],[fecha]]&gt;0,TEXT(Banco_Nacion[[#This Row],[fecha]],"mmmm"),0)</f>
        <v>Agosto</v>
      </c>
    </row>
    <row r="655" spans="1:27" x14ac:dyDescent="0.3">
      <c r="A655" s="2">
        <f>IF(Banco_Nacion[[#This Row],[tipo_registro]]="R",COUNTIFS($C$1:$C654,"R")+1,"")</f>
        <v>588</v>
      </c>
      <c r="B655" s="19" t="str">
        <f t="shared" si="60"/>
        <v>B-Banco de la Nacion</v>
      </c>
      <c r="C655" s="3" t="s">
        <v>1330</v>
      </c>
      <c r="D655" s="14">
        <v>45895</v>
      </c>
      <c r="E655" s="5">
        <v>20603536569</v>
      </c>
      <c r="F655" s="5" t="s">
        <v>1303</v>
      </c>
      <c r="G655" s="6" t="s">
        <v>425</v>
      </c>
      <c r="H655" s="6" t="s">
        <v>68</v>
      </c>
      <c r="I655" s="6" t="s">
        <v>1784</v>
      </c>
      <c r="J655" s="6">
        <v>206</v>
      </c>
      <c r="K655" s="7" t="s">
        <v>5232</v>
      </c>
      <c r="L655" s="8">
        <v>87238001</v>
      </c>
      <c r="M655" s="8" t="str">
        <f t="shared" si="61"/>
        <v>PEN</v>
      </c>
      <c r="N655" s="13"/>
      <c r="O655" s="13">
        <v>1135</v>
      </c>
      <c r="P655" s="3">
        <f t="shared" si="62"/>
        <v>1135</v>
      </c>
      <c r="Q655" s="3">
        <f t="shared" si="63"/>
        <v>0</v>
      </c>
      <c r="R655" s="3">
        <f t="shared" si="72"/>
        <v>39382.220000000008</v>
      </c>
      <c r="S655" s="28" t="s">
        <v>1334</v>
      </c>
      <c r="T655" s="28" t="s">
        <v>1334</v>
      </c>
      <c r="U655" s="3"/>
      <c r="V655" s="19" t="str">
        <f>IFERROR(VLOOKUP(Banco_Nacion[[#This Row],[responsable]],Clientes_Proveedores[[Ruc / Dni]:[Razon Social]],2,0),"")</f>
        <v>ANTILLA COPPER SOCIEDAD ANONIMA</v>
      </c>
      <c r="W655" s="19" t="str">
        <f>IF(Banco_Nacion[[#This Row],[tipo_mov]]="INGRESO",Banco_Nacion[[#This Row],[serie]]&amp;Banco_Nacion[[#This Row],[numero]]&amp;Banco_Nacion[[#This Row],[responsable]]&amp;Banco_Nacion[[#This Row],[monto]],"")</f>
        <v>FF01206206035365691135</v>
      </c>
      <c r="X655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87238001</v>
      </c>
      <c r="Y655" s="3" t="str">
        <f>IFERROR(VLOOKUP(Banco_Nacion[[#This Row],[serie]]&amp;Banco_Nacion[[#This Row],[numero]]&amp;Banco_Nacion[[#This Row],[responsable]],[2]!Provision_CXC[[ID CXP]:[DETRACCION]],47,0),"")</f>
        <v/>
      </c>
      <c r="Z655" s="3"/>
      <c r="AA655" s="24" t="str">
        <f>IF(Banco_Nacion[[#This Row],[fecha]]&gt;0,TEXT(Banco_Nacion[[#This Row],[fecha]],"mmmm"),0)</f>
        <v>Agosto</v>
      </c>
    </row>
    <row r="656" spans="1:27" x14ac:dyDescent="0.3">
      <c r="A656" s="2">
        <f>IF(Banco_Nacion[[#This Row],[tipo_registro]]="R",COUNTIFS($C$1:$C655,"R")+1,"")</f>
        <v>589</v>
      </c>
      <c r="B656" s="19" t="str">
        <f t="shared" ref="B656:B685" si="77">"B-Banco de la Nacion"</f>
        <v>B-Banco de la Nacion</v>
      </c>
      <c r="C656" s="3" t="s">
        <v>1330</v>
      </c>
      <c r="D656" s="14">
        <v>45897</v>
      </c>
      <c r="E656" s="5">
        <v>20100192064</v>
      </c>
      <c r="F656" s="5" t="s">
        <v>1303</v>
      </c>
      <c r="G656" s="6" t="s">
        <v>425</v>
      </c>
      <c r="H656" s="6" t="s">
        <v>68</v>
      </c>
      <c r="I656" s="6" t="s">
        <v>1784</v>
      </c>
      <c r="J656" s="6">
        <v>221</v>
      </c>
      <c r="K656" s="7" t="s">
        <v>5232</v>
      </c>
      <c r="L656" s="8">
        <v>87369418</v>
      </c>
      <c r="M656" s="8" t="str">
        <f t="shared" ref="M656:M685" si="78">"PEN"</f>
        <v>PEN</v>
      </c>
      <c r="N656" s="13"/>
      <c r="O656" s="13">
        <v>245</v>
      </c>
      <c r="P656" s="3">
        <f t="shared" ref="P656:P685" si="79">+IF(OR($F656="SALDO",$F656="INGRESO"),$O656,0)</f>
        <v>245</v>
      </c>
      <c r="Q656" s="3">
        <f t="shared" ref="Q656:Q685" si="80">+IF($F656="EGRESO",$O656,0)</f>
        <v>0</v>
      </c>
      <c r="R656" s="3">
        <f t="shared" ref="R656:R685" si="81">IFERROR(IF(F656="SALDO",P656,R655+P656-Q656),0)</f>
        <v>39627.220000000008</v>
      </c>
      <c r="S656" s="28" t="s">
        <v>1334</v>
      </c>
      <c r="T656" s="28" t="s">
        <v>1334</v>
      </c>
      <c r="U656" s="3"/>
      <c r="V656" s="19" t="str">
        <f>IFERROR(VLOOKUP(Banco_Nacion[[#This Row],[responsable]],Clientes_Proveedores[[Ruc / Dni]:[Razon Social]],2,0),"")</f>
        <v>MOLY-COP ADESUR S.A</v>
      </c>
      <c r="W656" s="19" t="str">
        <f>IF(Banco_Nacion[[#This Row],[tipo_mov]]="INGRESO",Banco_Nacion[[#This Row],[serie]]&amp;Banco_Nacion[[#This Row],[numero]]&amp;Banco_Nacion[[#This Row],[responsable]]&amp;Banco_Nacion[[#This Row],[monto]],"")</f>
        <v>FF0122120100192064245</v>
      </c>
      <c r="X656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87369418</v>
      </c>
      <c r="Y656" s="3" t="str">
        <f>IFERROR(VLOOKUP(Banco_Nacion[[#This Row],[serie]]&amp;Banco_Nacion[[#This Row],[numero]]&amp;Banco_Nacion[[#This Row],[responsable]],[2]!Provision_CXC[[ID CXP]:[DETRACCION]],47,0),"")</f>
        <v/>
      </c>
      <c r="Z656" s="3"/>
      <c r="AA656" s="24" t="str">
        <f>IF(Banco_Nacion[[#This Row],[fecha]]&gt;0,TEXT(Banco_Nacion[[#This Row],[fecha]],"mmmm"),0)</f>
        <v>Agosto</v>
      </c>
    </row>
    <row r="657" spans="1:27" x14ac:dyDescent="0.3">
      <c r="A657" s="2">
        <f>IF(Banco_Nacion[[#This Row],[tipo_registro]]="R",COUNTIFS($C$1:$C656,"R")+1,"")</f>
        <v>590</v>
      </c>
      <c r="B657" s="19" t="str">
        <f t="shared" si="77"/>
        <v>B-Banco de la Nacion</v>
      </c>
      <c r="C657" s="3" t="s">
        <v>1330</v>
      </c>
      <c r="D657" s="14">
        <v>45897</v>
      </c>
      <c r="E657" s="5">
        <v>20100192064</v>
      </c>
      <c r="F657" s="5" t="s">
        <v>1303</v>
      </c>
      <c r="G657" s="6" t="s">
        <v>425</v>
      </c>
      <c r="H657" s="6" t="s">
        <v>68</v>
      </c>
      <c r="I657" s="6" t="s">
        <v>1784</v>
      </c>
      <c r="J657" s="6">
        <v>220</v>
      </c>
      <c r="K657" s="7" t="s">
        <v>5232</v>
      </c>
      <c r="L657" s="8">
        <v>87369417</v>
      </c>
      <c r="M657" s="8" t="str">
        <f t="shared" si="78"/>
        <v>PEN</v>
      </c>
      <c r="N657" s="13"/>
      <c r="O657" s="13">
        <v>727</v>
      </c>
      <c r="P657" s="3">
        <f t="shared" si="79"/>
        <v>727</v>
      </c>
      <c r="Q657" s="3">
        <f t="shared" si="80"/>
        <v>0</v>
      </c>
      <c r="R657" s="3">
        <f t="shared" si="81"/>
        <v>40354.220000000008</v>
      </c>
      <c r="S657" s="28" t="s">
        <v>1334</v>
      </c>
      <c r="T657" s="28" t="s">
        <v>1334</v>
      </c>
      <c r="U657" s="3"/>
      <c r="V657" s="19" t="str">
        <f>IFERROR(VLOOKUP(Banco_Nacion[[#This Row],[responsable]],Clientes_Proveedores[[Ruc / Dni]:[Razon Social]],2,0),"")</f>
        <v>MOLY-COP ADESUR S.A</v>
      </c>
      <c r="W657" s="19" t="str">
        <f>IF(Banco_Nacion[[#This Row],[tipo_mov]]="INGRESO",Banco_Nacion[[#This Row],[serie]]&amp;Banco_Nacion[[#This Row],[numero]]&amp;Banco_Nacion[[#This Row],[responsable]]&amp;Banco_Nacion[[#This Row],[monto]],"")</f>
        <v>FF0122020100192064727</v>
      </c>
      <c r="X657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87369417</v>
      </c>
      <c r="Y657" s="3" t="str">
        <f>IFERROR(VLOOKUP(Banco_Nacion[[#This Row],[serie]]&amp;Banco_Nacion[[#This Row],[numero]]&amp;Banco_Nacion[[#This Row],[responsable]],[2]!Provision_CXC[[ID CXP]:[DETRACCION]],47,0),"")</f>
        <v/>
      </c>
      <c r="Z657" s="3"/>
      <c r="AA657" s="24" t="str">
        <f>IF(Banco_Nacion[[#This Row],[fecha]]&gt;0,TEXT(Banco_Nacion[[#This Row],[fecha]],"mmmm"),0)</f>
        <v>Agosto</v>
      </c>
    </row>
    <row r="658" spans="1:27" x14ac:dyDescent="0.3">
      <c r="A658" s="2">
        <f>IF(Banco_Nacion[[#This Row],[tipo_registro]]="R",COUNTIFS($C$1:$C657,"R")+1,"")</f>
        <v>591</v>
      </c>
      <c r="B658" s="19" t="str">
        <f t="shared" si="77"/>
        <v>B-Banco de la Nacion</v>
      </c>
      <c r="C658" s="3" t="s">
        <v>1330</v>
      </c>
      <c r="D658" s="14">
        <v>45897</v>
      </c>
      <c r="E658" s="5">
        <v>20402885549</v>
      </c>
      <c r="F658" s="5" t="s">
        <v>1303</v>
      </c>
      <c r="G658" s="6"/>
      <c r="H658" s="6"/>
      <c r="I658" s="6" t="s">
        <v>3302</v>
      </c>
      <c r="J658" s="6">
        <v>120</v>
      </c>
      <c r="K658" s="7" t="s">
        <v>5232</v>
      </c>
      <c r="L658" s="8">
        <v>87356068</v>
      </c>
      <c r="M658" s="8" t="str">
        <f t="shared" si="78"/>
        <v>PEN</v>
      </c>
      <c r="N658" s="13"/>
      <c r="O658" s="13">
        <v>3524</v>
      </c>
      <c r="P658" s="3">
        <f t="shared" si="79"/>
        <v>3524</v>
      </c>
      <c r="Q658" s="3">
        <f t="shared" si="80"/>
        <v>0</v>
      </c>
      <c r="R658" s="3">
        <f t="shared" si="81"/>
        <v>43878.220000000008</v>
      </c>
      <c r="S658" s="28" t="s">
        <v>1334</v>
      </c>
      <c r="T658" s="28" t="s">
        <v>1334</v>
      </c>
      <c r="U658" s="3"/>
      <c r="V658" s="19" t="str">
        <f>IFERROR(VLOOKUP(Banco_Nacion[[#This Row],[responsable]],Clientes_Proveedores[[Ruc / Dni]:[Razon Social]],2,0),"")</f>
        <v>EMPRESA SIDERURGICA DEL PERU S.A.A.</v>
      </c>
      <c r="W658" s="19" t="str">
        <f>IF(Banco_Nacion[[#This Row],[tipo_mov]]="INGRESO",Banco_Nacion[[#This Row],[serie]]&amp;Banco_Nacion[[#This Row],[numero]]&amp;Banco_Nacion[[#This Row],[responsable]]&amp;Banco_Nacion[[#This Row],[monto]],"")</f>
        <v>FF02120204028855493524</v>
      </c>
      <c r="X658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87356068</v>
      </c>
      <c r="Y658" s="3" t="str">
        <f>IFERROR(VLOOKUP(Banco_Nacion[[#This Row],[serie]]&amp;Banco_Nacion[[#This Row],[numero]]&amp;Banco_Nacion[[#This Row],[responsable]],[2]!Provision_CXC[[ID CXP]:[DETRACCION]],47,0),"")</f>
        <v/>
      </c>
      <c r="Z658" s="3"/>
      <c r="AA658" s="24" t="str">
        <f>IF(Banco_Nacion[[#This Row],[fecha]]&gt;0,TEXT(Banco_Nacion[[#This Row],[fecha]],"mmmm"),0)</f>
        <v>Agosto</v>
      </c>
    </row>
    <row r="659" spans="1:27" x14ac:dyDescent="0.3">
      <c r="A659" s="2">
        <f>IF(Banco_Nacion[[#This Row],[tipo_registro]]="R",COUNTIFS($C$1:$C658,"R")+1,"")</f>
        <v>592</v>
      </c>
      <c r="B659" s="19" t="str">
        <f t="shared" si="77"/>
        <v>B-Banco de la Nacion</v>
      </c>
      <c r="C659" s="3" t="s">
        <v>1330</v>
      </c>
      <c r="D659" s="14">
        <v>45897</v>
      </c>
      <c r="E659" s="5"/>
      <c r="F659" s="5" t="s">
        <v>1336</v>
      </c>
      <c r="G659" s="6"/>
      <c r="H659" s="6"/>
      <c r="I659" s="6"/>
      <c r="J659" s="6"/>
      <c r="K659" s="7" t="s">
        <v>5234</v>
      </c>
      <c r="L659" s="8">
        <v>78787878</v>
      </c>
      <c r="M659" s="8" t="str">
        <f t="shared" si="78"/>
        <v>PEN</v>
      </c>
      <c r="N659" s="13"/>
      <c r="O659" s="13">
        <v>39000</v>
      </c>
      <c r="P659" s="3">
        <f t="shared" si="79"/>
        <v>0</v>
      </c>
      <c r="Q659" s="3">
        <f t="shared" si="80"/>
        <v>39000</v>
      </c>
      <c r="R659" s="3">
        <f t="shared" si="81"/>
        <v>4878.2200000000084</v>
      </c>
      <c r="S659" s="24"/>
      <c r="T659" s="24"/>
      <c r="U659" s="3"/>
      <c r="V659" s="19" t="str">
        <f>IFERROR(VLOOKUP(Banco_Nacion[[#This Row],[responsable]],Clientes_Proveedores[[Ruc / Dni]:[Razon Social]],2,0),"")</f>
        <v/>
      </c>
      <c r="W659" s="19" t="str">
        <f>IF(Banco_Nacion[[#This Row],[tipo_mov]]="INGRESO",Banco_Nacion[[#This Row],[serie]]&amp;Banco_Nacion[[#This Row],[numero]]&amp;Banco_Nacion[[#This Row],[responsable]]&amp;Banco_Nacion[[#This Row],[monto]],"")</f>
        <v/>
      </c>
      <c r="X659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/>
      </c>
      <c r="Y659" s="3" t="str">
        <f>IFERROR(VLOOKUP(Banco_Nacion[[#This Row],[serie]]&amp;Banco_Nacion[[#This Row],[numero]]&amp;Banco_Nacion[[#This Row],[responsable]],[2]!Provision_CXC[[ID CXP]:[DETRACCION]],47,0),"")</f>
        <v/>
      </c>
      <c r="Z659" s="3"/>
      <c r="AA659" s="24" t="str">
        <f>IF(Banco_Nacion[[#This Row],[fecha]]&gt;0,TEXT(Banco_Nacion[[#This Row],[fecha]],"mmmm"),0)</f>
        <v>Agosto</v>
      </c>
    </row>
    <row r="660" spans="1:27" x14ac:dyDescent="0.3">
      <c r="A660" s="2">
        <f>IF(Banco_Nacion[[#This Row],[tipo_registro]]="R",COUNTIFS($C$1:$C659,"R")+1,"")</f>
        <v>593</v>
      </c>
      <c r="B660" s="19" t="str">
        <f t="shared" si="77"/>
        <v>B-Banco de la Nacion</v>
      </c>
      <c r="C660" s="3" t="s">
        <v>1330</v>
      </c>
      <c r="D660" s="14">
        <v>45898</v>
      </c>
      <c r="E660" s="5">
        <v>20100172543</v>
      </c>
      <c r="F660" s="5" t="s">
        <v>1303</v>
      </c>
      <c r="G660" s="6"/>
      <c r="H660" s="6"/>
      <c r="I660" s="6" t="s">
        <v>1784</v>
      </c>
      <c r="J660" s="6">
        <v>223</v>
      </c>
      <c r="K660" s="7" t="s">
        <v>5232</v>
      </c>
      <c r="L660" s="8">
        <v>87450687</v>
      </c>
      <c r="M660" s="8" t="str">
        <f t="shared" si="78"/>
        <v>PEN</v>
      </c>
      <c r="N660" s="13"/>
      <c r="O660" s="13">
        <v>176</v>
      </c>
      <c r="P660" s="3">
        <f t="shared" si="79"/>
        <v>176</v>
      </c>
      <c r="Q660" s="3">
        <f t="shared" si="80"/>
        <v>0</v>
      </c>
      <c r="R660" s="3">
        <f t="shared" si="81"/>
        <v>5054.2200000000084</v>
      </c>
      <c r="S660" s="28" t="s">
        <v>1334</v>
      </c>
      <c r="T660" s="28" t="s">
        <v>1334</v>
      </c>
      <c r="U660" s="3"/>
      <c r="V660" s="19" t="str">
        <f>IFERROR(VLOOKUP(Banco_Nacion[[#This Row],[responsable]],Clientes_Proveedores[[Ruc / Dni]:[Razon Social]],2,0),"")</f>
        <v>MOVITECNICA S A</v>
      </c>
      <c r="W660" s="19" t="str">
        <f>IF(Banco_Nacion[[#This Row],[tipo_mov]]="INGRESO",Banco_Nacion[[#This Row],[serie]]&amp;Banco_Nacion[[#This Row],[numero]]&amp;Banco_Nacion[[#This Row],[responsable]]&amp;Banco_Nacion[[#This Row],[monto]],"")</f>
        <v>FF0122320100172543176</v>
      </c>
      <c r="X660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87450687</v>
      </c>
      <c r="Y660" s="3" t="str">
        <f>IFERROR(VLOOKUP(Banco_Nacion[[#This Row],[serie]]&amp;Banco_Nacion[[#This Row],[numero]]&amp;Banco_Nacion[[#This Row],[responsable]],[2]!Provision_CXC[[ID CXP]:[DETRACCION]],47,0),"")</f>
        <v/>
      </c>
      <c r="Z660" s="3"/>
      <c r="AA660" s="24" t="str">
        <f>IF(Banco_Nacion[[#This Row],[fecha]]&gt;0,TEXT(Banco_Nacion[[#This Row],[fecha]],"mmmm"),0)</f>
        <v>Agosto</v>
      </c>
    </row>
    <row r="661" spans="1:27" x14ac:dyDescent="0.3">
      <c r="A661" s="2">
        <f>IF(Banco_Nacion[[#This Row],[tipo_registro]]="R",COUNTIFS($C$1:$C660,"R")+1,"")</f>
        <v>594</v>
      </c>
      <c r="B661" s="19" t="str">
        <f t="shared" si="77"/>
        <v>B-Banco de la Nacion</v>
      </c>
      <c r="C661" s="3" t="s">
        <v>1330</v>
      </c>
      <c r="D661" s="14">
        <v>45898</v>
      </c>
      <c r="E661" s="5"/>
      <c r="F661" s="5" t="s">
        <v>1336</v>
      </c>
      <c r="G661" s="6"/>
      <c r="H661" s="6"/>
      <c r="I661" s="6"/>
      <c r="J661" s="6"/>
      <c r="K661" s="7" t="s">
        <v>5234</v>
      </c>
      <c r="L661" s="8">
        <v>78787878</v>
      </c>
      <c r="M661" s="8" t="str">
        <f t="shared" si="78"/>
        <v>PEN</v>
      </c>
      <c r="N661" s="13"/>
      <c r="O661" s="13">
        <v>4800</v>
      </c>
      <c r="P661" s="3">
        <f t="shared" si="79"/>
        <v>0</v>
      </c>
      <c r="Q661" s="3">
        <f t="shared" si="80"/>
        <v>4800</v>
      </c>
      <c r="R661" s="3">
        <f t="shared" si="81"/>
        <v>254.22000000000844</v>
      </c>
      <c r="S661" s="24"/>
      <c r="T661" s="24"/>
      <c r="U661" s="3"/>
      <c r="V661" s="19" t="str">
        <f>IFERROR(VLOOKUP(Banco_Nacion[[#This Row],[responsable]],Clientes_Proveedores[[Ruc / Dni]:[Razon Social]],2,0),"")</f>
        <v/>
      </c>
      <c r="W661" s="19" t="str">
        <f>IF(Banco_Nacion[[#This Row],[tipo_mov]]="INGRESO",Banco_Nacion[[#This Row],[serie]]&amp;Banco_Nacion[[#This Row],[numero]]&amp;Banco_Nacion[[#This Row],[responsable]]&amp;Banco_Nacion[[#This Row],[monto]],"")</f>
        <v/>
      </c>
      <c r="X661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/>
      </c>
      <c r="Y661" s="3" t="str">
        <f>IFERROR(VLOOKUP(Banco_Nacion[[#This Row],[serie]]&amp;Banco_Nacion[[#This Row],[numero]]&amp;Banco_Nacion[[#This Row],[responsable]],[2]!Provision_CXC[[ID CXP]:[DETRACCION]],47,0),"")</f>
        <v/>
      </c>
      <c r="Z661" s="3"/>
      <c r="AA661" s="24" t="str">
        <f>IF(Banco_Nacion[[#This Row],[fecha]]&gt;0,TEXT(Banco_Nacion[[#This Row],[fecha]],"mmmm"),0)</f>
        <v>Agosto</v>
      </c>
    </row>
    <row r="662" spans="1:27" x14ac:dyDescent="0.3">
      <c r="A662" s="2">
        <f>IF(Banco_Nacion[[#This Row],[tipo_registro]]="R",COUNTIFS($C$1:$C661,"R")+1,"")</f>
        <v>595</v>
      </c>
      <c r="B662" s="19" t="str">
        <f t="shared" si="77"/>
        <v>B-Banco de la Nacion</v>
      </c>
      <c r="C662" s="3" t="s">
        <v>1330</v>
      </c>
      <c r="D662" s="14">
        <v>45901</v>
      </c>
      <c r="E662" s="5">
        <v>20454186002</v>
      </c>
      <c r="F662" s="5" t="s">
        <v>1303</v>
      </c>
      <c r="G662" s="6"/>
      <c r="H662" s="6"/>
      <c r="I662" s="6" t="s">
        <v>1784</v>
      </c>
      <c r="J662" s="6">
        <v>222</v>
      </c>
      <c r="K662" s="7" t="s">
        <v>5232</v>
      </c>
      <c r="L662" s="8">
        <v>87796877</v>
      </c>
      <c r="M662" s="8" t="str">
        <f t="shared" si="78"/>
        <v>PEN</v>
      </c>
      <c r="N662" s="13"/>
      <c r="O662" s="13">
        <v>219</v>
      </c>
      <c r="P662" s="3">
        <f t="shared" si="79"/>
        <v>219</v>
      </c>
      <c r="Q662" s="3">
        <f t="shared" si="80"/>
        <v>0</v>
      </c>
      <c r="R662" s="3">
        <f t="shared" si="81"/>
        <v>473.22000000000844</v>
      </c>
      <c r="S662" s="28" t="s">
        <v>1334</v>
      </c>
      <c r="T662" s="28" t="s">
        <v>1334</v>
      </c>
      <c r="U662" s="3"/>
      <c r="V662" s="19" t="str">
        <f>IFERROR(VLOOKUP(Banco_Nacion[[#This Row],[responsable]],Clientes_Proveedores[[Ruc / Dni]:[Razon Social]],2,0),"")</f>
        <v>ALSUR PERU S.A.C.</v>
      </c>
      <c r="W662" s="19" t="str">
        <f>IF(Banco_Nacion[[#This Row],[tipo_mov]]="INGRESO",Banco_Nacion[[#This Row],[serie]]&amp;Banco_Nacion[[#This Row],[numero]]&amp;Banco_Nacion[[#This Row],[responsable]]&amp;Banco_Nacion[[#This Row],[monto]],"")</f>
        <v>FF0122220454186002219</v>
      </c>
      <c r="X662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87796877</v>
      </c>
      <c r="Y662" s="3" t="str">
        <f>IFERROR(VLOOKUP(Banco_Nacion[[#This Row],[serie]]&amp;Banco_Nacion[[#This Row],[numero]]&amp;Banco_Nacion[[#This Row],[responsable]],[2]!Provision_CXC[[ID CXP]:[DETRACCION]],47,0),"")</f>
        <v/>
      </c>
      <c r="Z662" s="3"/>
      <c r="AA662" s="24" t="str">
        <f>IF(Banco_Nacion[[#This Row],[fecha]]&gt;0,TEXT(Banco_Nacion[[#This Row],[fecha]],"mmmm"),0)</f>
        <v>Setiembre</v>
      </c>
    </row>
    <row r="663" spans="1:27" x14ac:dyDescent="0.3">
      <c r="A663" s="2">
        <f>IF(Banco_Nacion[[#This Row],[tipo_registro]]="R",COUNTIFS($C$1:$C662,"R")+1,"")</f>
        <v>596</v>
      </c>
      <c r="B663" s="19" t="str">
        <f t="shared" si="77"/>
        <v>B-Banco de la Nacion</v>
      </c>
      <c r="C663" s="3" t="s">
        <v>1330</v>
      </c>
      <c r="D663" s="14">
        <v>45901</v>
      </c>
      <c r="E663" s="5">
        <v>20141637941</v>
      </c>
      <c r="F663" s="5" t="s">
        <v>1303</v>
      </c>
      <c r="G663" s="6"/>
      <c r="H663" s="6"/>
      <c r="I663" s="6" t="s">
        <v>1784</v>
      </c>
      <c r="J663" s="6">
        <v>204</v>
      </c>
      <c r="K663" s="7" t="s">
        <v>5232</v>
      </c>
      <c r="L663" s="8">
        <v>87795704</v>
      </c>
      <c r="M663" s="8" t="str">
        <f t="shared" si="78"/>
        <v>PEN</v>
      </c>
      <c r="N663" s="13"/>
      <c r="O663" s="13">
        <v>387</v>
      </c>
      <c r="P663" s="3">
        <f t="shared" si="79"/>
        <v>387</v>
      </c>
      <c r="Q663" s="3">
        <f t="shared" si="80"/>
        <v>0</v>
      </c>
      <c r="R663" s="3">
        <f t="shared" si="81"/>
        <v>860.22000000000844</v>
      </c>
      <c r="S663" s="28" t="s">
        <v>1334</v>
      </c>
      <c r="T663" s="28" t="s">
        <v>1334</v>
      </c>
      <c r="U663" s="3"/>
      <c r="V663" s="19" t="str">
        <f>IFERROR(VLOOKUP(Banco_Nacion[[#This Row],[responsable]],Clientes_Proveedores[[Ruc / Dni]:[Razon Social]],2,0),"")</f>
        <v>UNIVERSIDAD CATOLICA DE SANTA MARIA</v>
      </c>
      <c r="W663" s="19" t="str">
        <f>IF(Banco_Nacion[[#This Row],[tipo_mov]]="INGRESO",Banco_Nacion[[#This Row],[serie]]&amp;Banco_Nacion[[#This Row],[numero]]&amp;Banco_Nacion[[#This Row],[responsable]]&amp;Banco_Nacion[[#This Row],[monto]],"")</f>
        <v>FF0120420141637941387</v>
      </c>
      <c r="X663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87795704</v>
      </c>
      <c r="Y663" s="3" t="str">
        <f>IFERROR(VLOOKUP(Banco_Nacion[[#This Row],[serie]]&amp;Banco_Nacion[[#This Row],[numero]]&amp;Banco_Nacion[[#This Row],[responsable]],[2]!Provision_CXC[[ID CXP]:[DETRACCION]],47,0),"")</f>
        <v/>
      </c>
      <c r="Z663" s="3"/>
      <c r="AA663" s="24" t="str">
        <f>IF(Banco_Nacion[[#This Row],[fecha]]&gt;0,TEXT(Banco_Nacion[[#This Row],[fecha]],"mmmm"),0)</f>
        <v>Setiembre</v>
      </c>
    </row>
    <row r="664" spans="1:27" x14ac:dyDescent="0.3">
      <c r="A664" s="2">
        <f>IF(Banco_Nacion[[#This Row],[tipo_registro]]="R",COUNTIFS($C$1:$C663,"R")+1,"")</f>
        <v>597</v>
      </c>
      <c r="B664" s="19" t="str">
        <f t="shared" si="77"/>
        <v>B-Banco de la Nacion</v>
      </c>
      <c r="C664" s="3" t="s">
        <v>1330</v>
      </c>
      <c r="D664" s="14">
        <v>45901</v>
      </c>
      <c r="E664" s="5">
        <v>20100211115</v>
      </c>
      <c r="F664" s="5" t="s">
        <v>1303</v>
      </c>
      <c r="G664" s="6" t="s">
        <v>425</v>
      </c>
      <c r="H664" s="6" t="s">
        <v>68</v>
      </c>
      <c r="I664" s="6" t="s">
        <v>1784</v>
      </c>
      <c r="J664" s="6">
        <v>224</v>
      </c>
      <c r="K664" s="7" t="s">
        <v>5232</v>
      </c>
      <c r="L664" s="8">
        <v>87782570</v>
      </c>
      <c r="M664" s="8" t="str">
        <f t="shared" si="78"/>
        <v>PEN</v>
      </c>
      <c r="N664" s="13"/>
      <c r="O664" s="13">
        <v>531</v>
      </c>
      <c r="P664" s="3">
        <f t="shared" si="79"/>
        <v>531</v>
      </c>
      <c r="Q664" s="3">
        <f t="shared" si="80"/>
        <v>0</v>
      </c>
      <c r="R664" s="3">
        <f t="shared" si="81"/>
        <v>1391.2200000000084</v>
      </c>
      <c r="S664" s="28" t="s">
        <v>1334</v>
      </c>
      <c r="T664" s="28" t="s">
        <v>1334</v>
      </c>
      <c r="U664" s="3"/>
      <c r="V664" s="19" t="str">
        <f>IFERROR(VLOOKUP(Banco_Nacion[[#This Row],[responsable]],Clientes_Proveedores[[Ruc / Dni]:[Razon Social]],2,0),"")</f>
        <v>FAB DE CHOCOLATES LA IBERICA S.A.</v>
      </c>
      <c r="W664" s="19" t="str">
        <f>IF(Banco_Nacion[[#This Row],[tipo_mov]]="INGRESO",Banco_Nacion[[#This Row],[serie]]&amp;Banco_Nacion[[#This Row],[numero]]&amp;Banco_Nacion[[#This Row],[responsable]]&amp;Banco_Nacion[[#This Row],[monto]],"")</f>
        <v>FF0122420100211115531</v>
      </c>
      <c r="X664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87782570</v>
      </c>
      <c r="Y664" s="3" t="str">
        <f>IFERROR(VLOOKUP(Banco_Nacion[[#This Row],[serie]]&amp;Banco_Nacion[[#This Row],[numero]]&amp;Banco_Nacion[[#This Row],[responsable]],[2]!Provision_CXC[[ID CXP]:[DETRACCION]],47,0),"")</f>
        <v/>
      </c>
      <c r="Z664" s="3"/>
      <c r="AA664" s="24" t="str">
        <f>IF(Banco_Nacion[[#This Row],[fecha]]&gt;0,TEXT(Banco_Nacion[[#This Row],[fecha]],"mmmm"),0)</f>
        <v>Setiembre</v>
      </c>
    </row>
    <row r="665" spans="1:27" x14ac:dyDescent="0.3">
      <c r="A665" s="2">
        <f>IF(Banco_Nacion[[#This Row],[tipo_registro]]="R",COUNTIFS($C$1:$C664,"R")+1,"")</f>
        <v>598</v>
      </c>
      <c r="B665" s="19" t="str">
        <f t="shared" si="77"/>
        <v>B-Banco de la Nacion</v>
      </c>
      <c r="C665" s="3" t="s">
        <v>1330</v>
      </c>
      <c r="D665" s="14">
        <v>45901</v>
      </c>
      <c r="E665" s="5">
        <v>20100211115</v>
      </c>
      <c r="F665" s="5" t="s">
        <v>1303</v>
      </c>
      <c r="G665" s="6" t="s">
        <v>425</v>
      </c>
      <c r="H665" s="6" t="s">
        <v>68</v>
      </c>
      <c r="I665" s="6" t="s">
        <v>1784</v>
      </c>
      <c r="J665" s="6">
        <v>225</v>
      </c>
      <c r="K665" s="7" t="s">
        <v>5232</v>
      </c>
      <c r="L665" s="8">
        <v>87782569</v>
      </c>
      <c r="M665" s="8" t="str">
        <f t="shared" si="78"/>
        <v>PEN</v>
      </c>
      <c r="N665" s="13"/>
      <c r="O665" s="13">
        <v>676</v>
      </c>
      <c r="P665" s="3">
        <f t="shared" si="79"/>
        <v>676</v>
      </c>
      <c r="Q665" s="3">
        <f t="shared" si="80"/>
        <v>0</v>
      </c>
      <c r="R665" s="3">
        <f t="shared" si="81"/>
        <v>2067.2200000000084</v>
      </c>
      <c r="S665" s="28" t="s">
        <v>1334</v>
      </c>
      <c r="T665" s="28" t="s">
        <v>1334</v>
      </c>
      <c r="U665" s="3"/>
      <c r="V665" s="19" t="str">
        <f>IFERROR(VLOOKUP(Banco_Nacion[[#This Row],[responsable]],Clientes_Proveedores[[Ruc / Dni]:[Razon Social]],2,0),"")</f>
        <v>FAB DE CHOCOLATES LA IBERICA S.A.</v>
      </c>
      <c r="W665" s="19" t="str">
        <f>IF(Banco_Nacion[[#This Row],[tipo_mov]]="INGRESO",Banco_Nacion[[#This Row],[serie]]&amp;Banco_Nacion[[#This Row],[numero]]&amp;Banco_Nacion[[#This Row],[responsable]]&amp;Banco_Nacion[[#This Row],[monto]],"")</f>
        <v>FF0122520100211115676</v>
      </c>
      <c r="X665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87782569</v>
      </c>
      <c r="Y665" s="3" t="str">
        <f>IFERROR(VLOOKUP(Banco_Nacion[[#This Row],[serie]]&amp;Banco_Nacion[[#This Row],[numero]]&amp;Banco_Nacion[[#This Row],[responsable]],[2]!Provision_CXC[[ID CXP]:[DETRACCION]],47,0),"")</f>
        <v/>
      </c>
      <c r="Z665" s="3"/>
      <c r="AA665" s="24" t="str">
        <f>IF(Banco_Nacion[[#This Row],[fecha]]&gt;0,TEXT(Banco_Nacion[[#This Row],[fecha]],"mmmm"),0)</f>
        <v>Setiembre</v>
      </c>
    </row>
    <row r="666" spans="1:27" x14ac:dyDescent="0.3">
      <c r="A666" s="2">
        <f>IF(Banco_Nacion[[#This Row],[tipo_registro]]="R",COUNTIFS($C$1:$C665,"R")+1,"")</f>
        <v>599</v>
      </c>
      <c r="B666" s="19" t="str">
        <f t="shared" si="77"/>
        <v>B-Banco de la Nacion</v>
      </c>
      <c r="C666" s="3" t="s">
        <v>1330</v>
      </c>
      <c r="D666" s="14">
        <v>45901</v>
      </c>
      <c r="E666" s="5">
        <v>20100211115</v>
      </c>
      <c r="F666" s="5" t="s">
        <v>1303</v>
      </c>
      <c r="G666" s="6" t="s">
        <v>425</v>
      </c>
      <c r="H666" s="6" t="s">
        <v>68</v>
      </c>
      <c r="I666" s="6" t="s">
        <v>1784</v>
      </c>
      <c r="J666" s="6">
        <v>226</v>
      </c>
      <c r="K666" s="7" t="s">
        <v>5232</v>
      </c>
      <c r="L666" s="8">
        <v>87782568</v>
      </c>
      <c r="M666" s="8" t="str">
        <f t="shared" si="78"/>
        <v>PEN</v>
      </c>
      <c r="N666" s="13"/>
      <c r="O666" s="13">
        <v>197</v>
      </c>
      <c r="P666" s="3">
        <f t="shared" si="79"/>
        <v>197</v>
      </c>
      <c r="Q666" s="3">
        <f t="shared" si="80"/>
        <v>0</v>
      </c>
      <c r="R666" s="3">
        <f t="shared" si="81"/>
        <v>2264.2200000000084</v>
      </c>
      <c r="S666" s="28" t="s">
        <v>1334</v>
      </c>
      <c r="T666" s="28" t="s">
        <v>1334</v>
      </c>
      <c r="U666" s="3"/>
      <c r="V666" s="19" t="str">
        <f>IFERROR(VLOOKUP(Banco_Nacion[[#This Row],[responsable]],Clientes_Proveedores[[Ruc / Dni]:[Razon Social]],2,0),"")</f>
        <v>FAB DE CHOCOLATES LA IBERICA S.A.</v>
      </c>
      <c r="W666" s="19" t="str">
        <f>IF(Banco_Nacion[[#This Row],[tipo_mov]]="INGRESO",Banco_Nacion[[#This Row],[serie]]&amp;Banco_Nacion[[#This Row],[numero]]&amp;Banco_Nacion[[#This Row],[responsable]]&amp;Banco_Nacion[[#This Row],[monto]],"")</f>
        <v>FF0122620100211115197</v>
      </c>
      <c r="X666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87782568</v>
      </c>
      <c r="Y666" s="3" t="str">
        <f>IFERROR(VLOOKUP(Banco_Nacion[[#This Row],[serie]]&amp;Banco_Nacion[[#This Row],[numero]]&amp;Banco_Nacion[[#This Row],[responsable]],[2]!Provision_CXC[[ID CXP]:[DETRACCION]],47,0),"")</f>
        <v/>
      </c>
      <c r="Z666" s="3"/>
      <c r="AA666" s="24" t="str">
        <f>IF(Banco_Nacion[[#This Row],[fecha]]&gt;0,TEXT(Banco_Nacion[[#This Row],[fecha]],"mmmm"),0)</f>
        <v>Setiembre</v>
      </c>
    </row>
    <row r="667" spans="1:27" x14ac:dyDescent="0.3">
      <c r="A667" s="2">
        <f>IF(Banco_Nacion[[#This Row],[tipo_registro]]="R",COUNTIFS($C$1:$C666,"R")+1,"")</f>
        <v>600</v>
      </c>
      <c r="B667" s="19" t="str">
        <f t="shared" si="77"/>
        <v>B-Banco de la Nacion</v>
      </c>
      <c r="C667" s="3" t="s">
        <v>1330</v>
      </c>
      <c r="D667" s="14">
        <v>45901</v>
      </c>
      <c r="E667" s="5">
        <v>20505675836</v>
      </c>
      <c r="F667" s="5" t="s">
        <v>1303</v>
      </c>
      <c r="G667" s="6" t="s">
        <v>425</v>
      </c>
      <c r="H667" s="6" t="s">
        <v>68</v>
      </c>
      <c r="I667" s="6" t="s">
        <v>1784</v>
      </c>
      <c r="J667" s="6">
        <v>200</v>
      </c>
      <c r="K667" s="7" t="s">
        <v>5232</v>
      </c>
      <c r="L667" s="8">
        <v>87655539</v>
      </c>
      <c r="M667" s="8" t="str">
        <f t="shared" si="78"/>
        <v>PEN</v>
      </c>
      <c r="N667" s="13"/>
      <c r="O667" s="13">
        <v>1046</v>
      </c>
      <c r="P667" s="3">
        <f t="shared" si="79"/>
        <v>1046</v>
      </c>
      <c r="Q667" s="3">
        <f t="shared" si="80"/>
        <v>0</v>
      </c>
      <c r="R667" s="3">
        <f t="shared" si="81"/>
        <v>3310.2200000000084</v>
      </c>
      <c r="S667" s="28" t="s">
        <v>1334</v>
      </c>
      <c r="T667" s="28" t="s">
        <v>1334</v>
      </c>
      <c r="U667" s="3"/>
      <c r="V667" s="19" t="str">
        <f>IFERROR(VLOOKUP(Banco_Nacion[[#This Row],[responsable]],Clientes_Proveedores[[Ruc / Dni]:[Razon Social]],2,0),"")</f>
        <v>FLSMIDTH S.A.C.</v>
      </c>
      <c r="W667" s="19" t="str">
        <f>IF(Banco_Nacion[[#This Row],[tipo_mov]]="INGRESO",Banco_Nacion[[#This Row],[serie]]&amp;Banco_Nacion[[#This Row],[numero]]&amp;Banco_Nacion[[#This Row],[responsable]]&amp;Banco_Nacion[[#This Row],[monto]],"")</f>
        <v>FF01200205056758361046</v>
      </c>
      <c r="X667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87655539</v>
      </c>
      <c r="Y667" s="3" t="str">
        <f>IFERROR(VLOOKUP(Banco_Nacion[[#This Row],[serie]]&amp;Banco_Nacion[[#This Row],[numero]]&amp;Banco_Nacion[[#This Row],[responsable]],[2]!Provision_CXC[[ID CXP]:[DETRACCION]],47,0),"")</f>
        <v/>
      </c>
      <c r="Z667" s="3"/>
      <c r="AA667" s="24" t="str">
        <f>IF(Banco_Nacion[[#This Row],[fecha]]&gt;0,TEXT(Banco_Nacion[[#This Row],[fecha]],"mmmm"),0)</f>
        <v>Setiembre</v>
      </c>
    </row>
    <row r="668" spans="1:27" x14ac:dyDescent="0.3">
      <c r="A668" s="2">
        <f>IF(Banco_Nacion[[#This Row],[tipo_registro]]="R",COUNTIFS($C$1:$C667,"R")+1,"")</f>
        <v>601</v>
      </c>
      <c r="B668" s="19" t="str">
        <f t="shared" si="77"/>
        <v>B-Banco de la Nacion</v>
      </c>
      <c r="C668" s="3" t="s">
        <v>1330</v>
      </c>
      <c r="D668" s="14">
        <v>45901</v>
      </c>
      <c r="E668" s="5">
        <v>20505675836</v>
      </c>
      <c r="F668" s="5" t="s">
        <v>1303</v>
      </c>
      <c r="G668" s="6" t="s">
        <v>425</v>
      </c>
      <c r="H668" s="6" t="s">
        <v>68</v>
      </c>
      <c r="I668" s="6" t="s">
        <v>1784</v>
      </c>
      <c r="J668" s="6">
        <v>199</v>
      </c>
      <c r="K668" s="7" t="s">
        <v>5232</v>
      </c>
      <c r="L668" s="8">
        <v>87655538</v>
      </c>
      <c r="M668" s="8" t="str">
        <f t="shared" si="78"/>
        <v>PEN</v>
      </c>
      <c r="N668" s="13"/>
      <c r="O668" s="13">
        <v>477</v>
      </c>
      <c r="P668" s="3">
        <f t="shared" si="79"/>
        <v>477</v>
      </c>
      <c r="Q668" s="3">
        <f t="shared" si="80"/>
        <v>0</v>
      </c>
      <c r="R668" s="3">
        <f t="shared" si="81"/>
        <v>3787.2200000000084</v>
      </c>
      <c r="S668" s="28" t="s">
        <v>1334</v>
      </c>
      <c r="T668" s="28" t="s">
        <v>1334</v>
      </c>
      <c r="U668" s="3"/>
      <c r="V668" s="19" t="str">
        <f>IFERROR(VLOOKUP(Banco_Nacion[[#This Row],[responsable]],Clientes_Proveedores[[Ruc / Dni]:[Razon Social]],2,0),"")</f>
        <v>FLSMIDTH S.A.C.</v>
      </c>
      <c r="W668" s="19" t="str">
        <f>IF(Banco_Nacion[[#This Row],[tipo_mov]]="INGRESO",Banco_Nacion[[#This Row],[serie]]&amp;Banco_Nacion[[#This Row],[numero]]&amp;Banco_Nacion[[#This Row],[responsable]]&amp;Banco_Nacion[[#This Row],[monto]],"")</f>
        <v>FF0119920505675836477</v>
      </c>
      <c r="X668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87655538</v>
      </c>
      <c r="Y668" s="3" t="str">
        <f>IFERROR(VLOOKUP(Banco_Nacion[[#This Row],[serie]]&amp;Banco_Nacion[[#This Row],[numero]]&amp;Banco_Nacion[[#This Row],[responsable]],[2]!Provision_CXC[[ID CXP]:[DETRACCION]],47,0),"")</f>
        <v/>
      </c>
      <c r="Z668" s="3"/>
      <c r="AA668" s="24" t="str">
        <f>IF(Banco_Nacion[[#This Row],[fecha]]&gt;0,TEXT(Banco_Nacion[[#This Row],[fecha]],"mmmm"),0)</f>
        <v>Setiembre</v>
      </c>
    </row>
    <row r="669" spans="1:27" x14ac:dyDescent="0.3">
      <c r="A669" s="2">
        <f>IF(Banco_Nacion[[#This Row],[tipo_registro]]="R",COUNTIFS($C$1:$C668,"R")+1,"")</f>
        <v>602</v>
      </c>
      <c r="B669" s="19" t="str">
        <f t="shared" si="77"/>
        <v>B-Banco de la Nacion</v>
      </c>
      <c r="C669" s="3" t="s">
        <v>1330</v>
      </c>
      <c r="D669" s="14">
        <v>45901</v>
      </c>
      <c r="E669" s="5">
        <v>20505675836</v>
      </c>
      <c r="F669" s="5" t="s">
        <v>1303</v>
      </c>
      <c r="G669" s="6" t="s">
        <v>425</v>
      </c>
      <c r="H669" s="6" t="s">
        <v>68</v>
      </c>
      <c r="I669" s="6" t="s">
        <v>1784</v>
      </c>
      <c r="J669" s="6">
        <v>198</v>
      </c>
      <c r="K669" s="7" t="s">
        <v>5232</v>
      </c>
      <c r="L669" s="8">
        <v>87655537</v>
      </c>
      <c r="M669" s="8" t="str">
        <f t="shared" si="78"/>
        <v>PEN</v>
      </c>
      <c r="N669" s="13"/>
      <c r="O669" s="13">
        <v>871</v>
      </c>
      <c r="P669" s="3">
        <f t="shared" si="79"/>
        <v>871</v>
      </c>
      <c r="Q669" s="3">
        <f t="shared" si="80"/>
        <v>0</v>
      </c>
      <c r="R669" s="3">
        <f t="shared" si="81"/>
        <v>4658.2200000000084</v>
      </c>
      <c r="S669" s="28" t="s">
        <v>1334</v>
      </c>
      <c r="T669" s="28" t="s">
        <v>1334</v>
      </c>
      <c r="U669" s="3"/>
      <c r="V669" s="19" t="str">
        <f>IFERROR(VLOOKUP(Banco_Nacion[[#This Row],[responsable]],Clientes_Proveedores[[Ruc / Dni]:[Razon Social]],2,0),"")</f>
        <v>FLSMIDTH S.A.C.</v>
      </c>
      <c r="W669" s="19" t="str">
        <f>IF(Banco_Nacion[[#This Row],[tipo_mov]]="INGRESO",Banco_Nacion[[#This Row],[serie]]&amp;Banco_Nacion[[#This Row],[numero]]&amp;Banco_Nacion[[#This Row],[responsable]]&amp;Banco_Nacion[[#This Row],[monto]],"")</f>
        <v>FF0119820505675836871</v>
      </c>
      <c r="X669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87655537</v>
      </c>
      <c r="Y669" s="3" t="str">
        <f>IFERROR(VLOOKUP(Banco_Nacion[[#This Row],[serie]]&amp;Banco_Nacion[[#This Row],[numero]]&amp;Banco_Nacion[[#This Row],[responsable]],[2]!Provision_CXC[[ID CXP]:[DETRACCION]],47,0),"")</f>
        <v/>
      </c>
      <c r="Z669" s="3"/>
      <c r="AA669" s="24" t="str">
        <f>IF(Banco_Nacion[[#This Row],[fecha]]&gt;0,TEXT(Banco_Nacion[[#This Row],[fecha]],"mmmm"),0)</f>
        <v>Setiembre</v>
      </c>
    </row>
    <row r="670" spans="1:27" x14ac:dyDescent="0.3">
      <c r="A670" s="2">
        <f>IF(Banco_Nacion[[#This Row],[tipo_registro]]="R",COUNTIFS($C$1:$C669,"R")+1,"")</f>
        <v>603</v>
      </c>
      <c r="B670" s="19" t="str">
        <f t="shared" si="77"/>
        <v>B-Banco de la Nacion</v>
      </c>
      <c r="C670" s="3" t="s">
        <v>1330</v>
      </c>
      <c r="D670" s="14">
        <v>45901</v>
      </c>
      <c r="E670" s="5">
        <v>20505675836</v>
      </c>
      <c r="F670" s="5" t="s">
        <v>1303</v>
      </c>
      <c r="G670" s="6" t="s">
        <v>425</v>
      </c>
      <c r="H670" s="6" t="s">
        <v>68</v>
      </c>
      <c r="I670" s="6" t="s">
        <v>1784</v>
      </c>
      <c r="J670" s="6">
        <v>197</v>
      </c>
      <c r="K670" s="7" t="s">
        <v>5232</v>
      </c>
      <c r="L670" s="8">
        <v>87655536</v>
      </c>
      <c r="M670" s="8" t="str">
        <f t="shared" si="78"/>
        <v>PEN</v>
      </c>
      <c r="N670" s="13"/>
      <c r="O670" s="13">
        <v>2217</v>
      </c>
      <c r="P670" s="3">
        <f t="shared" si="79"/>
        <v>2217</v>
      </c>
      <c r="Q670" s="3">
        <f t="shared" si="80"/>
        <v>0</v>
      </c>
      <c r="R670" s="3">
        <f t="shared" si="81"/>
        <v>6875.2200000000084</v>
      </c>
      <c r="S670" s="28" t="s">
        <v>1334</v>
      </c>
      <c r="T670" s="28" t="s">
        <v>1334</v>
      </c>
      <c r="U670" s="3"/>
      <c r="V670" s="19" t="str">
        <f>IFERROR(VLOOKUP(Banco_Nacion[[#This Row],[responsable]],Clientes_Proveedores[[Ruc / Dni]:[Razon Social]],2,0),"")</f>
        <v>FLSMIDTH S.A.C.</v>
      </c>
      <c r="W670" s="19" t="str">
        <f>IF(Banco_Nacion[[#This Row],[tipo_mov]]="INGRESO",Banco_Nacion[[#This Row],[serie]]&amp;Banco_Nacion[[#This Row],[numero]]&amp;Banco_Nacion[[#This Row],[responsable]]&amp;Banco_Nacion[[#This Row],[monto]],"")</f>
        <v>FF01197205056758362217</v>
      </c>
      <c r="X670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87655536</v>
      </c>
      <c r="Y670" s="3" t="str">
        <f>IFERROR(VLOOKUP(Banco_Nacion[[#This Row],[serie]]&amp;Banco_Nacion[[#This Row],[numero]]&amp;Banco_Nacion[[#This Row],[responsable]],[2]!Provision_CXC[[ID CXP]:[DETRACCION]],47,0),"")</f>
        <v/>
      </c>
      <c r="Z670" s="3"/>
      <c r="AA670" s="24" t="str">
        <f>IF(Banco_Nacion[[#This Row],[fecha]]&gt;0,TEXT(Banco_Nacion[[#This Row],[fecha]],"mmmm"),0)</f>
        <v>Setiembre</v>
      </c>
    </row>
    <row r="671" spans="1:27" x14ac:dyDescent="0.3">
      <c r="A671" s="2">
        <f>IF(Banco_Nacion[[#This Row],[tipo_registro]]="R",COUNTIFS($C$1:$C670,"R")+1,"")</f>
        <v>604</v>
      </c>
      <c r="B671" s="19" t="str">
        <f t="shared" si="77"/>
        <v>B-Banco de la Nacion</v>
      </c>
      <c r="C671" s="3" t="s">
        <v>1330</v>
      </c>
      <c r="D671" s="14">
        <v>45903</v>
      </c>
      <c r="E671" s="5">
        <v>20565347099</v>
      </c>
      <c r="F671" s="5" t="s">
        <v>1303</v>
      </c>
      <c r="G671" s="6" t="s">
        <v>425</v>
      </c>
      <c r="H671" s="6" t="s">
        <v>68</v>
      </c>
      <c r="I671" s="6" t="s">
        <v>1784</v>
      </c>
      <c r="J671" s="6">
        <v>212</v>
      </c>
      <c r="K671" s="7" t="s">
        <v>5232</v>
      </c>
      <c r="L671" s="8">
        <v>88560225</v>
      </c>
      <c r="M671" s="8" t="str">
        <f t="shared" si="78"/>
        <v>PEN</v>
      </c>
      <c r="N671" s="13"/>
      <c r="O671" s="13">
        <v>256</v>
      </c>
      <c r="P671" s="3">
        <f t="shared" si="79"/>
        <v>256</v>
      </c>
      <c r="Q671" s="3">
        <f t="shared" si="80"/>
        <v>0</v>
      </c>
      <c r="R671" s="3">
        <f t="shared" si="81"/>
        <v>7131.2200000000084</v>
      </c>
      <c r="S671" s="28" t="s">
        <v>1334</v>
      </c>
      <c r="T671" s="28" t="s">
        <v>1334</v>
      </c>
      <c r="U671" s="3"/>
      <c r="V671" s="19" t="str">
        <f>IFERROR(VLOOKUP(Banco_Nacion[[#This Row],[responsable]],Clientes_Proveedores[[Ruc / Dni]:[Razon Social]],2,0),"")</f>
        <v>HAM CRIOGENICA PERU S.A.C.</v>
      </c>
      <c r="W671" s="19" t="str">
        <f>IF(Banco_Nacion[[#This Row],[tipo_mov]]="INGRESO",Banco_Nacion[[#This Row],[serie]]&amp;Banco_Nacion[[#This Row],[numero]]&amp;Banco_Nacion[[#This Row],[responsable]]&amp;Banco_Nacion[[#This Row],[monto]],"")</f>
        <v>FF0121220565347099256</v>
      </c>
      <c r="X671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88560225</v>
      </c>
      <c r="Y671" s="3" t="str">
        <f>IFERROR(VLOOKUP(Banco_Nacion[[#This Row],[serie]]&amp;Banco_Nacion[[#This Row],[numero]]&amp;Banco_Nacion[[#This Row],[responsable]],[2]!Provision_CXC[[ID CXP]:[DETRACCION]],47,0),"")</f>
        <v/>
      </c>
      <c r="Z671" s="3"/>
      <c r="AA671" s="24" t="str">
        <f>IF(Banco_Nacion[[#This Row],[fecha]]&gt;0,TEXT(Banco_Nacion[[#This Row],[fecha]],"mmmm"),0)</f>
        <v>Setiembre</v>
      </c>
    </row>
    <row r="672" spans="1:27" x14ac:dyDescent="0.3">
      <c r="A672" s="2">
        <f>IF(Banco_Nacion[[#This Row],[tipo_registro]]="R",COUNTIFS($C$1:$C671,"R")+1,"")</f>
        <v>605</v>
      </c>
      <c r="B672" s="19" t="str">
        <f t="shared" si="77"/>
        <v>B-Banco de la Nacion</v>
      </c>
      <c r="C672" s="3" t="s">
        <v>1330</v>
      </c>
      <c r="D672" s="14">
        <v>45903</v>
      </c>
      <c r="E672" s="5">
        <v>20120788389</v>
      </c>
      <c r="F672" s="5" t="s">
        <v>1303</v>
      </c>
      <c r="G672" s="6"/>
      <c r="H672" s="6"/>
      <c r="I672" s="6" t="s">
        <v>1784</v>
      </c>
      <c r="J672" s="6">
        <v>202</v>
      </c>
      <c r="K672" s="7" t="s">
        <v>5232</v>
      </c>
      <c r="L672" s="8">
        <v>88493699</v>
      </c>
      <c r="M672" s="8" t="str">
        <f t="shared" si="78"/>
        <v>PEN</v>
      </c>
      <c r="N672" s="13"/>
      <c r="O672" s="13">
        <v>95</v>
      </c>
      <c r="P672" s="3">
        <f t="shared" si="79"/>
        <v>95</v>
      </c>
      <c r="Q672" s="3">
        <f t="shared" si="80"/>
        <v>0</v>
      </c>
      <c r="R672" s="3">
        <f t="shared" si="81"/>
        <v>7226.2200000000084</v>
      </c>
      <c r="S672" s="28" t="s">
        <v>1334</v>
      </c>
      <c r="T672" s="28" t="s">
        <v>1334</v>
      </c>
      <c r="U672" s="3"/>
      <c r="V672" s="19" t="str">
        <f>IFERROR(VLOOKUP(Banco_Nacion[[#This Row],[responsable]],Clientes_Proveedores[[Ruc / Dni]:[Razon Social]],2,0),"")</f>
        <v>CARMEN INMUEBLES S.A.</v>
      </c>
      <c r="W672" s="19" t="str">
        <f>IF(Banco_Nacion[[#This Row],[tipo_mov]]="INGRESO",Banco_Nacion[[#This Row],[serie]]&amp;Banco_Nacion[[#This Row],[numero]]&amp;Banco_Nacion[[#This Row],[responsable]]&amp;Banco_Nacion[[#This Row],[monto]],"")</f>
        <v>FF012022012078838995</v>
      </c>
      <c r="X672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88493699</v>
      </c>
      <c r="Y672" s="3" t="str">
        <f>IFERROR(VLOOKUP(Banco_Nacion[[#This Row],[serie]]&amp;Banco_Nacion[[#This Row],[numero]]&amp;Banco_Nacion[[#This Row],[responsable]],[2]!Provision_CXC[[ID CXP]:[DETRACCION]],47,0),"")</f>
        <v/>
      </c>
      <c r="Z672" s="3"/>
      <c r="AA672" s="24" t="str">
        <f>IF(Banco_Nacion[[#This Row],[fecha]]&gt;0,TEXT(Banco_Nacion[[#This Row],[fecha]],"mmmm"),0)</f>
        <v>Setiembre</v>
      </c>
    </row>
    <row r="673" spans="1:27" x14ac:dyDescent="0.3">
      <c r="A673" s="2">
        <f>IF(Banco_Nacion[[#This Row],[tipo_registro]]="R",COUNTIFS($C$1:$C672,"R")+1,"")</f>
        <v>606</v>
      </c>
      <c r="B673" s="19" t="str">
        <f t="shared" si="77"/>
        <v>B-Banco de la Nacion</v>
      </c>
      <c r="C673" s="3" t="s">
        <v>1330</v>
      </c>
      <c r="D673" s="14">
        <v>45903</v>
      </c>
      <c r="E673" s="5">
        <v>20498309713</v>
      </c>
      <c r="F673" s="5" t="s">
        <v>1303</v>
      </c>
      <c r="G673" s="6"/>
      <c r="H673" s="6"/>
      <c r="I673" s="6" t="s">
        <v>3302</v>
      </c>
      <c r="J673" s="6">
        <v>126</v>
      </c>
      <c r="K673" s="7" t="s">
        <v>5232</v>
      </c>
      <c r="L673" s="8">
        <v>28052597</v>
      </c>
      <c r="M673" s="8" t="str">
        <f t="shared" si="78"/>
        <v>PEN</v>
      </c>
      <c r="N673" s="13"/>
      <c r="O673" s="13">
        <v>230</v>
      </c>
      <c r="P673" s="3">
        <f t="shared" si="79"/>
        <v>230</v>
      </c>
      <c r="Q673" s="3">
        <f t="shared" si="80"/>
        <v>0</v>
      </c>
      <c r="R673" s="3">
        <f t="shared" si="81"/>
        <v>7456.2200000000084</v>
      </c>
      <c r="S673" s="28" t="s">
        <v>1334</v>
      </c>
      <c r="T673" s="28" t="s">
        <v>1334</v>
      </c>
      <c r="U673" s="3"/>
      <c r="V673" s="19" t="str">
        <f>IFERROR(VLOOKUP(Banco_Nacion[[#This Row],[responsable]],Clientes_Proveedores[[Ruc / Dni]:[Razon Social]],2,0),"")</f>
        <v>SCOMAR S.R.L</v>
      </c>
      <c r="W673" s="19" t="str">
        <f>IF(Banco_Nacion[[#This Row],[tipo_mov]]="INGRESO",Banco_Nacion[[#This Row],[serie]]&amp;Banco_Nacion[[#This Row],[numero]]&amp;Banco_Nacion[[#This Row],[responsable]]&amp;Banco_Nacion[[#This Row],[monto]],"")</f>
        <v>FF0212620498309713230</v>
      </c>
      <c r="X673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28052597</v>
      </c>
      <c r="Y673" s="3" t="str">
        <f>IFERROR(VLOOKUP(Banco_Nacion[[#This Row],[serie]]&amp;Banco_Nacion[[#This Row],[numero]]&amp;Banco_Nacion[[#This Row],[responsable]],[2]!Provision_CXC[[ID CXP]:[DETRACCION]],47,0),"")</f>
        <v/>
      </c>
      <c r="Z673" s="3"/>
      <c r="AA673" s="24" t="str">
        <f>IF(Banco_Nacion[[#This Row],[fecha]]&gt;0,TEXT(Banco_Nacion[[#This Row],[fecha]],"mmmm"),0)</f>
        <v>Setiembre</v>
      </c>
    </row>
    <row r="674" spans="1:27" x14ac:dyDescent="0.3">
      <c r="A674" s="2">
        <f>IF(Banco_Nacion[[#This Row],[tipo_registro]]="R",COUNTIFS($C$1:$C673,"R")+1,"")</f>
        <v>607</v>
      </c>
      <c r="B674" s="19" t="str">
        <f t="shared" si="77"/>
        <v>B-Banco de la Nacion</v>
      </c>
      <c r="C674" s="3" t="s">
        <v>1330</v>
      </c>
      <c r="D674" s="14">
        <v>45903</v>
      </c>
      <c r="E674" s="5">
        <v>20455283915</v>
      </c>
      <c r="F674" s="5" t="s">
        <v>1303</v>
      </c>
      <c r="G674" s="6" t="s">
        <v>425</v>
      </c>
      <c r="H674" s="6" t="s">
        <v>68</v>
      </c>
      <c r="I674" s="6" t="s">
        <v>3302</v>
      </c>
      <c r="J674" s="6">
        <v>122</v>
      </c>
      <c r="K674" s="7" t="s">
        <v>5232</v>
      </c>
      <c r="L674" s="8">
        <v>28048161</v>
      </c>
      <c r="M674" s="8" t="str">
        <f t="shared" si="78"/>
        <v>PEN</v>
      </c>
      <c r="N674" s="13"/>
      <c r="O674" s="13">
        <v>159</v>
      </c>
      <c r="P674" s="3">
        <f t="shared" si="79"/>
        <v>159</v>
      </c>
      <c r="Q674" s="3">
        <f t="shared" si="80"/>
        <v>0</v>
      </c>
      <c r="R674" s="3">
        <f t="shared" si="81"/>
        <v>7615.2200000000084</v>
      </c>
      <c r="S674" s="28" t="s">
        <v>1334</v>
      </c>
      <c r="T674" s="28" t="s">
        <v>1334</v>
      </c>
      <c r="U674" s="3"/>
      <c r="V674" s="19" t="str">
        <f>IFERROR(VLOOKUP(Banco_Nacion[[#This Row],[responsable]],Clientes_Proveedores[[Ruc / Dni]:[Razon Social]],2,0),"")</f>
        <v>EMPRESA CONSERVADORA AMBIENTAL DEL SUR E.I.R.L. - ECA SUR E.I.R.L.</v>
      </c>
      <c r="W674" s="19" t="str">
        <f>IF(Banco_Nacion[[#This Row],[tipo_mov]]="INGRESO",Banco_Nacion[[#This Row],[serie]]&amp;Banco_Nacion[[#This Row],[numero]]&amp;Banco_Nacion[[#This Row],[responsable]]&amp;Banco_Nacion[[#This Row],[monto]],"")</f>
        <v>FF0212220455283915159</v>
      </c>
      <c r="X674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28048161</v>
      </c>
      <c r="Y674" s="3" t="str">
        <f>IFERROR(VLOOKUP(Banco_Nacion[[#This Row],[serie]]&amp;Banco_Nacion[[#This Row],[numero]]&amp;Banco_Nacion[[#This Row],[responsable]],[2]!Provision_CXC[[ID CXP]:[DETRACCION]],47,0),"")</f>
        <v/>
      </c>
      <c r="Z674" s="3"/>
      <c r="AA674" s="24" t="str">
        <f>IF(Banco_Nacion[[#This Row],[fecha]]&gt;0,TEXT(Banco_Nacion[[#This Row],[fecha]],"mmmm"),0)</f>
        <v>Setiembre</v>
      </c>
    </row>
    <row r="675" spans="1:27" x14ac:dyDescent="0.3">
      <c r="A675" s="2">
        <f>IF(Banco_Nacion[[#This Row],[tipo_registro]]="R",COUNTIFS($C$1:$C674,"R")+1,"")</f>
        <v>608</v>
      </c>
      <c r="B675" s="19" t="str">
        <f t="shared" si="77"/>
        <v>B-Banco de la Nacion</v>
      </c>
      <c r="C675" s="3" t="s">
        <v>1330</v>
      </c>
      <c r="D675" s="14">
        <v>45903</v>
      </c>
      <c r="E675" s="5">
        <v>20455283915</v>
      </c>
      <c r="F675" s="5" t="s">
        <v>1303</v>
      </c>
      <c r="G675" s="6" t="s">
        <v>425</v>
      </c>
      <c r="H675" s="6" t="s">
        <v>68</v>
      </c>
      <c r="I675" s="6" t="s">
        <v>3302</v>
      </c>
      <c r="J675" s="6">
        <v>125</v>
      </c>
      <c r="K675" s="7" t="s">
        <v>5232</v>
      </c>
      <c r="L675" s="8">
        <v>28048161</v>
      </c>
      <c r="M675" s="8" t="str">
        <f t="shared" si="78"/>
        <v>PEN</v>
      </c>
      <c r="N675" s="13"/>
      <c r="O675" s="13">
        <v>69</v>
      </c>
      <c r="P675" s="3">
        <f t="shared" si="79"/>
        <v>69</v>
      </c>
      <c r="Q675" s="3">
        <f t="shared" si="80"/>
        <v>0</v>
      </c>
      <c r="R675" s="3">
        <f t="shared" si="81"/>
        <v>7684.2200000000084</v>
      </c>
      <c r="S675" s="28" t="s">
        <v>1334</v>
      </c>
      <c r="T675" s="28" t="s">
        <v>1334</v>
      </c>
      <c r="U675" s="3"/>
      <c r="V675" s="19" t="str">
        <f>IFERROR(VLOOKUP(Banco_Nacion[[#This Row],[responsable]],Clientes_Proveedores[[Ruc / Dni]:[Razon Social]],2,0),"")</f>
        <v>EMPRESA CONSERVADORA AMBIENTAL DEL SUR E.I.R.L. - ECA SUR E.I.R.L.</v>
      </c>
      <c r="W675" s="19" t="str">
        <f>IF(Banco_Nacion[[#This Row],[tipo_mov]]="INGRESO",Banco_Nacion[[#This Row],[serie]]&amp;Banco_Nacion[[#This Row],[numero]]&amp;Banco_Nacion[[#This Row],[responsable]]&amp;Banco_Nacion[[#This Row],[monto]],"")</f>
        <v>FF021252045528391569</v>
      </c>
      <c r="X675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28048161</v>
      </c>
      <c r="Y675" s="3" t="str">
        <f>IFERROR(VLOOKUP(Banco_Nacion[[#This Row],[serie]]&amp;Banco_Nacion[[#This Row],[numero]]&amp;Banco_Nacion[[#This Row],[responsable]],[2]!Provision_CXC[[ID CXP]:[DETRACCION]],47,0),"")</f>
        <v/>
      </c>
      <c r="Z675" s="3"/>
      <c r="AA675" s="24" t="str">
        <f>IF(Banco_Nacion[[#This Row],[fecha]]&gt;0,TEXT(Banco_Nacion[[#This Row],[fecha]],"mmmm"),0)</f>
        <v>Setiembre</v>
      </c>
    </row>
    <row r="676" spans="1:27" x14ac:dyDescent="0.3">
      <c r="A676" s="2">
        <f>IF(Banco_Nacion[[#This Row],[tipo_registro]]="R",COUNTIFS($C$1:$C675,"R")+1,"")</f>
        <v>609</v>
      </c>
      <c r="B676" s="19" t="str">
        <f t="shared" si="77"/>
        <v>B-Banco de la Nacion</v>
      </c>
      <c r="C676" s="3" t="s">
        <v>1330</v>
      </c>
      <c r="D676" s="14">
        <v>45903</v>
      </c>
      <c r="E676" s="5">
        <v>20455283915</v>
      </c>
      <c r="F676" s="5" t="s">
        <v>1303</v>
      </c>
      <c r="G676" s="6" t="s">
        <v>425</v>
      </c>
      <c r="H676" s="6" t="s">
        <v>68</v>
      </c>
      <c r="I676" s="6" t="s">
        <v>3302</v>
      </c>
      <c r="J676" s="6">
        <v>115</v>
      </c>
      <c r="K676" s="7" t="s">
        <v>5232</v>
      </c>
      <c r="L676" s="8">
        <v>28048161</v>
      </c>
      <c r="M676" s="8" t="str">
        <f t="shared" si="78"/>
        <v>PEN</v>
      </c>
      <c r="N676" s="13"/>
      <c r="O676" s="13">
        <v>102</v>
      </c>
      <c r="P676" s="3">
        <f t="shared" si="79"/>
        <v>102</v>
      </c>
      <c r="Q676" s="3">
        <f t="shared" si="80"/>
        <v>0</v>
      </c>
      <c r="R676" s="3">
        <f t="shared" si="81"/>
        <v>7786.2200000000084</v>
      </c>
      <c r="S676" s="28" t="s">
        <v>1334</v>
      </c>
      <c r="T676" s="28" t="s">
        <v>1334</v>
      </c>
      <c r="U676" s="3"/>
      <c r="V676" s="19" t="str">
        <f>IFERROR(VLOOKUP(Banco_Nacion[[#This Row],[responsable]],Clientes_Proveedores[[Ruc / Dni]:[Razon Social]],2,0),"")</f>
        <v>EMPRESA CONSERVADORA AMBIENTAL DEL SUR E.I.R.L. - ECA SUR E.I.R.L.</v>
      </c>
      <c r="W676" s="19" t="str">
        <f>IF(Banco_Nacion[[#This Row],[tipo_mov]]="INGRESO",Banco_Nacion[[#This Row],[serie]]&amp;Banco_Nacion[[#This Row],[numero]]&amp;Banco_Nacion[[#This Row],[responsable]]&amp;Banco_Nacion[[#This Row],[monto]],"")</f>
        <v>FF0211520455283915102</v>
      </c>
      <c r="X676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28048161</v>
      </c>
      <c r="Y676" s="3" t="str">
        <f>IFERROR(VLOOKUP(Banco_Nacion[[#This Row],[serie]]&amp;Banco_Nacion[[#This Row],[numero]]&amp;Banco_Nacion[[#This Row],[responsable]],[2]!Provision_CXC[[ID CXP]:[DETRACCION]],47,0),"")</f>
        <v/>
      </c>
      <c r="Z676" s="3"/>
      <c r="AA676" s="24" t="str">
        <f>IF(Banco_Nacion[[#This Row],[fecha]]&gt;0,TEXT(Banco_Nacion[[#This Row],[fecha]],"mmmm"),0)</f>
        <v>Setiembre</v>
      </c>
    </row>
    <row r="677" spans="1:27" x14ac:dyDescent="0.3">
      <c r="A677" s="2">
        <f>IF(Banco_Nacion[[#This Row],[tipo_registro]]="R",COUNTIFS($C$1:$C676,"R")+1,"")</f>
        <v>610</v>
      </c>
      <c r="B677" s="19" t="str">
        <f t="shared" si="77"/>
        <v>B-Banco de la Nacion</v>
      </c>
      <c r="C677" s="3" t="s">
        <v>1330</v>
      </c>
      <c r="D677" s="14">
        <v>45903</v>
      </c>
      <c r="E677" s="5">
        <v>20455283915</v>
      </c>
      <c r="F677" s="5" t="s">
        <v>1303</v>
      </c>
      <c r="G677" s="6" t="s">
        <v>425</v>
      </c>
      <c r="H677" s="6" t="s">
        <v>68</v>
      </c>
      <c r="I677" s="6" t="s">
        <v>3302</v>
      </c>
      <c r="J677" s="6">
        <v>123</v>
      </c>
      <c r="K677" s="7" t="s">
        <v>5232</v>
      </c>
      <c r="L677" s="8">
        <v>28048161</v>
      </c>
      <c r="M677" s="8" t="str">
        <f t="shared" si="78"/>
        <v>PEN</v>
      </c>
      <c r="N677" s="13"/>
      <c r="O677" s="13">
        <v>88</v>
      </c>
      <c r="P677" s="3">
        <f t="shared" si="79"/>
        <v>88</v>
      </c>
      <c r="Q677" s="3">
        <f t="shared" si="80"/>
        <v>0</v>
      </c>
      <c r="R677" s="3">
        <f t="shared" si="81"/>
        <v>7874.2200000000084</v>
      </c>
      <c r="S677" s="28" t="s">
        <v>1334</v>
      </c>
      <c r="T677" s="28" t="s">
        <v>1334</v>
      </c>
      <c r="U677" s="3"/>
      <c r="V677" s="19" t="str">
        <f>IFERROR(VLOOKUP(Banco_Nacion[[#This Row],[responsable]],Clientes_Proveedores[[Ruc / Dni]:[Razon Social]],2,0),"")</f>
        <v>EMPRESA CONSERVADORA AMBIENTAL DEL SUR E.I.R.L. - ECA SUR E.I.R.L.</v>
      </c>
      <c r="W677" s="19" t="str">
        <f>IF(Banco_Nacion[[#This Row],[tipo_mov]]="INGRESO",Banco_Nacion[[#This Row],[serie]]&amp;Banco_Nacion[[#This Row],[numero]]&amp;Banco_Nacion[[#This Row],[responsable]]&amp;Banco_Nacion[[#This Row],[monto]],"")</f>
        <v>FF021232045528391588</v>
      </c>
      <c r="X677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28048161</v>
      </c>
      <c r="Y677" s="3" t="str">
        <f>IFERROR(VLOOKUP(Banco_Nacion[[#This Row],[serie]]&amp;Banco_Nacion[[#This Row],[numero]]&amp;Banco_Nacion[[#This Row],[responsable]],[2]!Provision_CXC[[ID CXP]:[DETRACCION]],47,0),"")</f>
        <v/>
      </c>
      <c r="Z677" s="3"/>
      <c r="AA677" s="24" t="str">
        <f>IF(Banco_Nacion[[#This Row],[fecha]]&gt;0,TEXT(Banco_Nacion[[#This Row],[fecha]],"mmmm"),0)</f>
        <v>Setiembre</v>
      </c>
    </row>
    <row r="678" spans="1:27" x14ac:dyDescent="0.3">
      <c r="A678" s="2">
        <f>IF(Banco_Nacion[[#This Row],[tipo_registro]]="R",COUNTIFS($C$1:$C677,"R")+1,"")</f>
        <v>611</v>
      </c>
      <c r="B678" s="19" t="str">
        <f t="shared" si="77"/>
        <v>B-Banco de la Nacion</v>
      </c>
      <c r="C678" s="3" t="s">
        <v>1330</v>
      </c>
      <c r="D678" s="14">
        <v>45903</v>
      </c>
      <c r="E678" s="5">
        <v>20455283915</v>
      </c>
      <c r="F678" s="5" t="s">
        <v>1303</v>
      </c>
      <c r="G678" s="6" t="s">
        <v>425</v>
      </c>
      <c r="H678" s="6" t="s">
        <v>68</v>
      </c>
      <c r="I678" s="6" t="s">
        <v>3302</v>
      </c>
      <c r="J678" s="6">
        <v>113</v>
      </c>
      <c r="K678" s="7" t="s">
        <v>5232</v>
      </c>
      <c r="L678" s="8">
        <v>28048161</v>
      </c>
      <c r="M678" s="8" t="str">
        <f t="shared" si="78"/>
        <v>PEN</v>
      </c>
      <c r="N678" s="13"/>
      <c r="O678" s="13">
        <v>64</v>
      </c>
      <c r="P678" s="3">
        <f t="shared" si="79"/>
        <v>64</v>
      </c>
      <c r="Q678" s="3">
        <f t="shared" si="80"/>
        <v>0</v>
      </c>
      <c r="R678" s="3">
        <f t="shared" si="81"/>
        <v>7938.2200000000084</v>
      </c>
      <c r="S678" s="28" t="s">
        <v>1334</v>
      </c>
      <c r="T678" s="28" t="s">
        <v>1334</v>
      </c>
      <c r="U678" s="3"/>
      <c r="V678" s="19" t="str">
        <f>IFERROR(VLOOKUP(Banco_Nacion[[#This Row],[responsable]],Clientes_Proveedores[[Ruc / Dni]:[Razon Social]],2,0),"")</f>
        <v>EMPRESA CONSERVADORA AMBIENTAL DEL SUR E.I.R.L. - ECA SUR E.I.R.L.</v>
      </c>
      <c r="W678" s="19" t="str">
        <f>IF(Banco_Nacion[[#This Row],[tipo_mov]]="INGRESO",Banco_Nacion[[#This Row],[serie]]&amp;Banco_Nacion[[#This Row],[numero]]&amp;Banco_Nacion[[#This Row],[responsable]]&amp;Banco_Nacion[[#This Row],[monto]],"")</f>
        <v>FF021132045528391564</v>
      </c>
      <c r="X678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28048161</v>
      </c>
      <c r="Y678" s="3" t="str">
        <f>IFERROR(VLOOKUP(Banco_Nacion[[#This Row],[serie]]&amp;Banco_Nacion[[#This Row],[numero]]&amp;Banco_Nacion[[#This Row],[responsable]],[2]!Provision_CXC[[ID CXP]:[DETRACCION]],47,0),"")</f>
        <v/>
      </c>
      <c r="Z678" s="3"/>
      <c r="AA678" s="24" t="str">
        <f>IF(Banco_Nacion[[#This Row],[fecha]]&gt;0,TEXT(Banco_Nacion[[#This Row],[fecha]],"mmmm"),0)</f>
        <v>Setiembre</v>
      </c>
    </row>
    <row r="679" spans="1:27" x14ac:dyDescent="0.3">
      <c r="A679" s="2">
        <f>IF(Banco_Nacion[[#This Row],[tipo_registro]]="R",COUNTIFS($C$1:$C678,"R")+1,"")</f>
        <v>612</v>
      </c>
      <c r="B679" s="19" t="str">
        <f t="shared" si="77"/>
        <v>B-Banco de la Nacion</v>
      </c>
      <c r="C679" s="3" t="s">
        <v>1330</v>
      </c>
      <c r="D679" s="14">
        <v>45903</v>
      </c>
      <c r="E679" s="5">
        <v>20455283915</v>
      </c>
      <c r="F679" s="5" t="s">
        <v>1303</v>
      </c>
      <c r="G679" s="6" t="s">
        <v>425</v>
      </c>
      <c r="H679" s="6" t="s">
        <v>68</v>
      </c>
      <c r="I679" s="6" t="s">
        <v>3302</v>
      </c>
      <c r="J679" s="6">
        <v>116</v>
      </c>
      <c r="K679" s="7" t="s">
        <v>5232</v>
      </c>
      <c r="L679" s="8">
        <v>28048161</v>
      </c>
      <c r="M679" s="8" t="str">
        <f t="shared" si="78"/>
        <v>PEN</v>
      </c>
      <c r="N679" s="13"/>
      <c r="O679" s="13">
        <v>70</v>
      </c>
      <c r="P679" s="3">
        <f t="shared" si="79"/>
        <v>70</v>
      </c>
      <c r="Q679" s="3">
        <f t="shared" si="80"/>
        <v>0</v>
      </c>
      <c r="R679" s="3">
        <f t="shared" si="81"/>
        <v>8008.2200000000084</v>
      </c>
      <c r="S679" s="28" t="s">
        <v>1334</v>
      </c>
      <c r="T679" s="28" t="s">
        <v>1334</v>
      </c>
      <c r="U679" s="3"/>
      <c r="V679" s="19" t="str">
        <f>IFERROR(VLOOKUP(Banco_Nacion[[#This Row],[responsable]],Clientes_Proveedores[[Ruc / Dni]:[Razon Social]],2,0),"")</f>
        <v>EMPRESA CONSERVADORA AMBIENTAL DEL SUR E.I.R.L. - ECA SUR E.I.R.L.</v>
      </c>
      <c r="W679" s="19" t="str">
        <f>IF(Banco_Nacion[[#This Row],[tipo_mov]]="INGRESO",Banco_Nacion[[#This Row],[serie]]&amp;Banco_Nacion[[#This Row],[numero]]&amp;Banco_Nacion[[#This Row],[responsable]]&amp;Banco_Nacion[[#This Row],[monto]],"")</f>
        <v>FF021162045528391570</v>
      </c>
      <c r="X679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28048161</v>
      </c>
      <c r="Y679" s="3" t="str">
        <f>IFERROR(VLOOKUP(Banco_Nacion[[#This Row],[serie]]&amp;Banco_Nacion[[#This Row],[numero]]&amp;Banco_Nacion[[#This Row],[responsable]],[2]!Provision_CXC[[ID CXP]:[DETRACCION]],47,0),"")</f>
        <v/>
      </c>
      <c r="Z679" s="3"/>
      <c r="AA679" s="24" t="str">
        <f>IF(Banco_Nacion[[#This Row],[fecha]]&gt;0,TEXT(Banco_Nacion[[#This Row],[fecha]],"mmmm"),0)</f>
        <v>Setiembre</v>
      </c>
    </row>
    <row r="680" spans="1:27" x14ac:dyDescent="0.3">
      <c r="A680" s="2">
        <f>IF(Banco_Nacion[[#This Row],[tipo_registro]]="R",COUNTIFS($C$1:$C679,"R")+1,"")</f>
        <v>613</v>
      </c>
      <c r="B680" s="19" t="str">
        <f t="shared" si="77"/>
        <v>B-Banco de la Nacion</v>
      </c>
      <c r="C680" s="3" t="s">
        <v>1330</v>
      </c>
      <c r="D680" s="14">
        <v>45903</v>
      </c>
      <c r="E680" s="5">
        <v>20455283915</v>
      </c>
      <c r="F680" s="5" t="s">
        <v>1303</v>
      </c>
      <c r="G680" s="6" t="s">
        <v>425</v>
      </c>
      <c r="H680" s="6" t="s">
        <v>68</v>
      </c>
      <c r="I680" s="6" t="s">
        <v>3302</v>
      </c>
      <c r="J680" s="6">
        <v>124</v>
      </c>
      <c r="K680" s="7" t="s">
        <v>5232</v>
      </c>
      <c r="L680" s="8">
        <v>28048161</v>
      </c>
      <c r="M680" s="8" t="str">
        <f t="shared" si="78"/>
        <v>PEN</v>
      </c>
      <c r="N680" s="13"/>
      <c r="O680" s="13">
        <v>54</v>
      </c>
      <c r="P680" s="3">
        <f t="shared" si="79"/>
        <v>54</v>
      </c>
      <c r="Q680" s="3">
        <f t="shared" si="80"/>
        <v>0</v>
      </c>
      <c r="R680" s="3">
        <f t="shared" si="81"/>
        <v>8062.2200000000084</v>
      </c>
      <c r="S680" s="28" t="s">
        <v>1334</v>
      </c>
      <c r="T680" s="28" t="s">
        <v>1334</v>
      </c>
      <c r="U680" s="3"/>
      <c r="V680" s="19" t="str">
        <f>IFERROR(VLOOKUP(Banco_Nacion[[#This Row],[responsable]],Clientes_Proveedores[[Ruc / Dni]:[Razon Social]],2,0),"")</f>
        <v>EMPRESA CONSERVADORA AMBIENTAL DEL SUR E.I.R.L. - ECA SUR E.I.R.L.</v>
      </c>
      <c r="W680" s="19" t="str">
        <f>IF(Banco_Nacion[[#This Row],[tipo_mov]]="INGRESO",Banco_Nacion[[#This Row],[serie]]&amp;Banco_Nacion[[#This Row],[numero]]&amp;Banco_Nacion[[#This Row],[responsable]]&amp;Banco_Nacion[[#This Row],[monto]],"")</f>
        <v>FF021242045528391554</v>
      </c>
      <c r="X680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28048161</v>
      </c>
      <c r="Y680" s="3" t="str">
        <f>IFERROR(VLOOKUP(Banco_Nacion[[#This Row],[serie]]&amp;Banco_Nacion[[#This Row],[numero]]&amp;Banco_Nacion[[#This Row],[responsable]],[2]!Provision_CXC[[ID CXP]:[DETRACCION]],47,0),"")</f>
        <v/>
      </c>
      <c r="Z680" s="3"/>
      <c r="AA680" s="24" t="str">
        <f>IF(Banco_Nacion[[#This Row],[fecha]]&gt;0,TEXT(Banco_Nacion[[#This Row],[fecha]],"mmmm"),0)</f>
        <v>Setiembre</v>
      </c>
    </row>
    <row r="681" spans="1:27" x14ac:dyDescent="0.3">
      <c r="A681" s="2">
        <f>IF(Banco_Nacion[[#This Row],[tipo_registro]]="R",COUNTIFS($C$1:$C680,"R")+1,"")</f>
        <v>614</v>
      </c>
      <c r="B681" s="19" t="str">
        <f t="shared" si="77"/>
        <v>B-Banco de la Nacion</v>
      </c>
      <c r="C681" s="3" t="s">
        <v>1330</v>
      </c>
      <c r="D681" s="14">
        <v>45903</v>
      </c>
      <c r="E681" s="5">
        <v>20455283915</v>
      </c>
      <c r="F681" s="5" t="s">
        <v>1303</v>
      </c>
      <c r="G681" s="6" t="s">
        <v>425</v>
      </c>
      <c r="H681" s="6" t="s">
        <v>68</v>
      </c>
      <c r="I681" s="6" t="s">
        <v>3302</v>
      </c>
      <c r="J681" s="6">
        <v>114</v>
      </c>
      <c r="K681" s="7" t="s">
        <v>5232</v>
      </c>
      <c r="L681" s="8">
        <v>28048161</v>
      </c>
      <c r="M681" s="8" t="str">
        <f t="shared" si="78"/>
        <v>PEN</v>
      </c>
      <c r="N681" s="13"/>
      <c r="O681" s="13">
        <v>33</v>
      </c>
      <c r="P681" s="3">
        <f t="shared" si="79"/>
        <v>33</v>
      </c>
      <c r="Q681" s="3">
        <f t="shared" si="80"/>
        <v>0</v>
      </c>
      <c r="R681" s="3">
        <f t="shared" si="81"/>
        <v>8095.2200000000084</v>
      </c>
      <c r="S681" s="28" t="s">
        <v>1334</v>
      </c>
      <c r="T681" s="28" t="s">
        <v>1334</v>
      </c>
      <c r="U681" s="3"/>
      <c r="V681" s="19" t="str">
        <f>IFERROR(VLOOKUP(Banco_Nacion[[#This Row],[responsable]],Clientes_Proveedores[[Ruc / Dni]:[Razon Social]],2,0),"")</f>
        <v>EMPRESA CONSERVADORA AMBIENTAL DEL SUR E.I.R.L. - ECA SUR E.I.R.L.</v>
      </c>
      <c r="W681" s="19" t="str">
        <f>IF(Banco_Nacion[[#This Row],[tipo_mov]]="INGRESO",Banco_Nacion[[#This Row],[serie]]&amp;Banco_Nacion[[#This Row],[numero]]&amp;Banco_Nacion[[#This Row],[responsable]]&amp;Banco_Nacion[[#This Row],[monto]],"")</f>
        <v>FF021142045528391533</v>
      </c>
      <c r="X681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28048161</v>
      </c>
      <c r="Y681" s="3" t="str">
        <f>IFERROR(VLOOKUP(Banco_Nacion[[#This Row],[serie]]&amp;Banco_Nacion[[#This Row],[numero]]&amp;Banco_Nacion[[#This Row],[responsable]],[2]!Provision_CXC[[ID CXP]:[DETRACCION]],47,0),"")</f>
        <v/>
      </c>
      <c r="Z681" s="3"/>
      <c r="AA681" s="24" t="str">
        <f>IF(Banco_Nacion[[#This Row],[fecha]]&gt;0,TEXT(Banco_Nacion[[#This Row],[fecha]],"mmmm"),0)</f>
        <v>Setiembre</v>
      </c>
    </row>
    <row r="682" spans="1:27" x14ac:dyDescent="0.3">
      <c r="A682" s="2">
        <f>IF(Banco_Nacion[[#This Row],[tipo_registro]]="R",COUNTIFS($C$1:$C681,"R")+1,"")</f>
        <v>615</v>
      </c>
      <c r="B682" s="19" t="str">
        <f t="shared" si="77"/>
        <v>B-Banco de la Nacion</v>
      </c>
      <c r="C682" s="3" t="s">
        <v>1330</v>
      </c>
      <c r="D682" s="14">
        <v>45903</v>
      </c>
      <c r="E682" s="5">
        <v>20455283915</v>
      </c>
      <c r="F682" s="5" t="s">
        <v>1303</v>
      </c>
      <c r="G682" s="6" t="s">
        <v>425</v>
      </c>
      <c r="H682" s="6" t="s">
        <v>68</v>
      </c>
      <c r="I682" s="6" t="s">
        <v>3302</v>
      </c>
      <c r="J682" s="6">
        <v>112</v>
      </c>
      <c r="K682" s="7" t="s">
        <v>5232</v>
      </c>
      <c r="L682" s="8">
        <v>28048160</v>
      </c>
      <c r="M682" s="8" t="str">
        <f t="shared" si="78"/>
        <v>PEN</v>
      </c>
      <c r="N682" s="13"/>
      <c r="O682" s="13">
        <v>106</v>
      </c>
      <c r="P682" s="3">
        <f t="shared" si="79"/>
        <v>106</v>
      </c>
      <c r="Q682" s="3">
        <f t="shared" si="80"/>
        <v>0</v>
      </c>
      <c r="R682" s="3">
        <f t="shared" si="81"/>
        <v>8201.2200000000084</v>
      </c>
      <c r="S682" s="28" t="s">
        <v>1334</v>
      </c>
      <c r="T682" s="28" t="s">
        <v>1334</v>
      </c>
      <c r="U682" s="3"/>
      <c r="V682" s="19" t="str">
        <f>IFERROR(VLOOKUP(Banco_Nacion[[#This Row],[responsable]],Clientes_Proveedores[[Ruc / Dni]:[Razon Social]],2,0),"")</f>
        <v>EMPRESA CONSERVADORA AMBIENTAL DEL SUR E.I.R.L. - ECA SUR E.I.R.L.</v>
      </c>
      <c r="W682" s="19" t="str">
        <f>IF(Banco_Nacion[[#This Row],[tipo_mov]]="INGRESO",Banco_Nacion[[#This Row],[serie]]&amp;Banco_Nacion[[#This Row],[numero]]&amp;Banco_Nacion[[#This Row],[responsable]]&amp;Banco_Nacion[[#This Row],[monto]],"")</f>
        <v>FF0211220455283915106</v>
      </c>
      <c r="X682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28048160</v>
      </c>
      <c r="Y682" s="3" t="str">
        <f>IFERROR(VLOOKUP(Banco_Nacion[[#This Row],[serie]]&amp;Banco_Nacion[[#This Row],[numero]]&amp;Banco_Nacion[[#This Row],[responsable]],[2]!Provision_CXC[[ID CXP]:[DETRACCION]],47,0),"")</f>
        <v/>
      </c>
      <c r="Z682" s="3"/>
      <c r="AA682" s="24" t="str">
        <f>IF(Banco_Nacion[[#This Row],[fecha]]&gt;0,TEXT(Banco_Nacion[[#This Row],[fecha]],"mmmm"),0)</f>
        <v>Setiembre</v>
      </c>
    </row>
    <row r="683" spans="1:27" x14ac:dyDescent="0.3">
      <c r="A683" s="2">
        <f>IF(Banco_Nacion[[#This Row],[tipo_registro]]="R",COUNTIFS($C$1:$C682,"R")+1,"")</f>
        <v>616</v>
      </c>
      <c r="B683" s="19" t="str">
        <f t="shared" si="77"/>
        <v>B-Banco de la Nacion</v>
      </c>
      <c r="C683" s="3" t="s">
        <v>1330</v>
      </c>
      <c r="D683" s="14">
        <v>45903</v>
      </c>
      <c r="E683" s="5">
        <v>20601119600</v>
      </c>
      <c r="F683" s="5" t="s">
        <v>1303</v>
      </c>
      <c r="G683" s="6"/>
      <c r="H683" s="6"/>
      <c r="I683" s="6" t="s">
        <v>3381</v>
      </c>
      <c r="J683" s="6">
        <v>60</v>
      </c>
      <c r="K683" s="7" t="s">
        <v>5232</v>
      </c>
      <c r="L683" s="8">
        <v>28038519</v>
      </c>
      <c r="M683" s="8" t="str">
        <f t="shared" si="78"/>
        <v>PEN</v>
      </c>
      <c r="N683" s="13"/>
      <c r="O683" s="13">
        <v>175</v>
      </c>
      <c r="P683" s="3">
        <f t="shared" si="79"/>
        <v>175</v>
      </c>
      <c r="Q683" s="3">
        <f t="shared" si="80"/>
        <v>0</v>
      </c>
      <c r="R683" s="3">
        <f t="shared" si="81"/>
        <v>8376.2200000000084</v>
      </c>
      <c r="S683" s="28" t="s">
        <v>1334</v>
      </c>
      <c r="T683" s="28" t="s">
        <v>1334</v>
      </c>
      <c r="U683" s="3"/>
      <c r="V683" s="19" t="str">
        <f>IFERROR(VLOOKUP(Banco_Nacion[[#This Row],[responsable]],Clientes_Proveedores[[Ruc / Dni]:[Razon Social]],2,0),"")</f>
        <v>INVERSIONES W.J.M. S.A.C.</v>
      </c>
      <c r="W683" s="19" t="str">
        <f>IF(Banco_Nacion[[#This Row],[tipo_mov]]="INGRESO",Banco_Nacion[[#This Row],[serie]]&amp;Banco_Nacion[[#This Row],[numero]]&amp;Banco_Nacion[[#This Row],[responsable]]&amp;Banco_Nacion[[#This Row],[monto]],"")</f>
        <v>FF056020601119600175</v>
      </c>
      <c r="X683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28038519</v>
      </c>
      <c r="Y683" s="3" t="str">
        <f>IFERROR(VLOOKUP(Banco_Nacion[[#This Row],[serie]]&amp;Banco_Nacion[[#This Row],[numero]]&amp;Banco_Nacion[[#This Row],[responsable]],[2]!Provision_CXC[[ID CXP]:[DETRACCION]],47,0),"")</f>
        <v/>
      </c>
      <c r="Z683" s="3"/>
      <c r="AA683" s="24" t="str">
        <f>IF(Banco_Nacion[[#This Row],[fecha]]&gt;0,TEXT(Banco_Nacion[[#This Row],[fecha]],"mmmm"),0)</f>
        <v>Setiembre</v>
      </c>
    </row>
    <row r="684" spans="1:27" x14ac:dyDescent="0.3">
      <c r="A684" s="2">
        <f>IF(Banco_Nacion[[#This Row],[tipo_registro]]="R",COUNTIFS($C$1:$C683,"R")+1,"")</f>
        <v>617</v>
      </c>
      <c r="B684" s="19" t="str">
        <f t="shared" si="77"/>
        <v>B-Banco de la Nacion</v>
      </c>
      <c r="C684" s="3" t="s">
        <v>1330</v>
      </c>
      <c r="D684" s="14">
        <v>45904</v>
      </c>
      <c r="E684" s="5">
        <v>20100192064</v>
      </c>
      <c r="F684" s="5" t="s">
        <v>1303</v>
      </c>
      <c r="G684" s="6" t="s">
        <v>425</v>
      </c>
      <c r="H684" s="6" t="s">
        <v>68</v>
      </c>
      <c r="I684" s="6" t="s">
        <v>1784</v>
      </c>
      <c r="J684" s="6">
        <v>229</v>
      </c>
      <c r="K684" s="7" t="s">
        <v>5232</v>
      </c>
      <c r="L684" s="8">
        <v>88863747</v>
      </c>
      <c r="M684" s="8" t="str">
        <f t="shared" si="78"/>
        <v>PEN</v>
      </c>
      <c r="N684" s="13"/>
      <c r="O684" s="13">
        <v>794</v>
      </c>
      <c r="P684" s="3">
        <f t="shared" si="79"/>
        <v>794</v>
      </c>
      <c r="Q684" s="3">
        <f t="shared" si="80"/>
        <v>0</v>
      </c>
      <c r="R684" s="3">
        <f t="shared" si="81"/>
        <v>9170.2200000000084</v>
      </c>
      <c r="S684" s="28" t="s">
        <v>1334</v>
      </c>
      <c r="T684" s="28" t="s">
        <v>1334</v>
      </c>
      <c r="U684" s="3"/>
      <c r="V684" s="19" t="str">
        <f>IFERROR(VLOOKUP(Banco_Nacion[[#This Row],[responsable]],Clientes_Proveedores[[Ruc / Dni]:[Razon Social]],2,0),"")</f>
        <v>MOLY-COP ADESUR S.A</v>
      </c>
      <c r="W684" s="19" t="str">
        <f>IF(Banco_Nacion[[#This Row],[tipo_mov]]="INGRESO",Banco_Nacion[[#This Row],[serie]]&amp;Banco_Nacion[[#This Row],[numero]]&amp;Banco_Nacion[[#This Row],[responsable]]&amp;Banco_Nacion[[#This Row],[monto]],"")</f>
        <v>FF0122920100192064794</v>
      </c>
      <c r="X684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88863747</v>
      </c>
      <c r="Y684" s="3" t="str">
        <f>IFERROR(VLOOKUP(Banco_Nacion[[#This Row],[serie]]&amp;Banco_Nacion[[#This Row],[numero]]&amp;Banco_Nacion[[#This Row],[responsable]],[2]!Provision_CXC[[ID CXP]:[DETRACCION]],47,0),"")</f>
        <v/>
      </c>
      <c r="Z684" s="3"/>
      <c r="AA684" s="24" t="str">
        <f>IF(Banco_Nacion[[#This Row],[fecha]]&gt;0,TEXT(Banco_Nacion[[#This Row],[fecha]],"mmmm"),0)</f>
        <v>Setiembre</v>
      </c>
    </row>
    <row r="685" spans="1:27" x14ac:dyDescent="0.3">
      <c r="A685" s="2">
        <f>IF(Banco_Nacion[[#This Row],[tipo_registro]]="R",COUNTIFS($C$1:$C684,"R")+1,"")</f>
        <v>618</v>
      </c>
      <c r="B685" s="19" t="str">
        <f t="shared" si="77"/>
        <v>B-Banco de la Nacion</v>
      </c>
      <c r="C685" s="3" t="s">
        <v>1330</v>
      </c>
      <c r="D685" s="14">
        <v>45904</v>
      </c>
      <c r="E685" s="5">
        <v>20159473148</v>
      </c>
      <c r="F685" s="5" t="s">
        <v>1303</v>
      </c>
      <c r="G685" s="6" t="s">
        <v>425</v>
      </c>
      <c r="H685" s="6" t="s">
        <v>68</v>
      </c>
      <c r="I685" s="6" t="s">
        <v>1784</v>
      </c>
      <c r="J685" s="6">
        <v>233</v>
      </c>
      <c r="K685" s="7" t="s">
        <v>5232</v>
      </c>
      <c r="L685" s="8">
        <v>88620069</v>
      </c>
      <c r="M685" s="8" t="str">
        <f t="shared" si="78"/>
        <v>PEN</v>
      </c>
      <c r="N685" s="13"/>
      <c r="O685" s="13">
        <v>185</v>
      </c>
      <c r="P685" s="3">
        <f t="shared" si="79"/>
        <v>185</v>
      </c>
      <c r="Q685" s="3">
        <f t="shared" si="80"/>
        <v>0</v>
      </c>
      <c r="R685" s="3">
        <f t="shared" si="81"/>
        <v>9355.2200000000084</v>
      </c>
      <c r="S685" s="28" t="s">
        <v>1334</v>
      </c>
      <c r="T685" s="28" t="s">
        <v>1334</v>
      </c>
      <c r="U685" s="3"/>
      <c r="V685" s="19" t="str">
        <f>IFERROR(VLOOKUP(Banco_Nacion[[#This Row],[responsable]],Clientes_Proveedores[[Ruc / Dni]:[Razon Social]],2,0),"")</f>
        <v>PESQUERA DIAMANTE S.A.</v>
      </c>
      <c r="W685" s="19" t="str">
        <f>IF(Banco_Nacion[[#This Row],[tipo_mov]]="INGRESO",Banco_Nacion[[#This Row],[serie]]&amp;Banco_Nacion[[#This Row],[numero]]&amp;Banco_Nacion[[#This Row],[responsable]]&amp;Banco_Nacion[[#This Row],[monto]],"")</f>
        <v>FF0123320159473148185</v>
      </c>
      <c r="X685" s="160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88620069</v>
      </c>
      <c r="Y685" s="3" t="str">
        <f>IFERROR(VLOOKUP(Banco_Nacion[[#This Row],[serie]]&amp;Banco_Nacion[[#This Row],[numero]]&amp;Banco_Nacion[[#This Row],[responsable]],[2]!Provision_CXC[[ID CXP]:[DETRACCION]],47,0),"")</f>
        <v/>
      </c>
      <c r="Z685" s="3"/>
      <c r="AA685" s="24" t="str">
        <f>IF(Banco_Nacion[[#This Row],[fecha]]&gt;0,TEXT(Banco_Nacion[[#This Row],[fecha]],"mmmm"),0)</f>
        <v>Setiembre</v>
      </c>
    </row>
    <row r="686" spans="1:27" x14ac:dyDescent="0.3">
      <c r="A686" s="2">
        <f>IF(Banco_Nacion[[#This Row],[tipo_registro]]="R",COUNTIFS($C$1:$C685,"R")+1,"")</f>
        <v>619</v>
      </c>
      <c r="B686" s="19" t="str">
        <f t="shared" ref="B686:B719" si="82">"B-Banco de la Nacion"</f>
        <v>B-Banco de la Nacion</v>
      </c>
      <c r="C686" s="3" t="s">
        <v>1330</v>
      </c>
      <c r="D686" s="14">
        <v>45905</v>
      </c>
      <c r="E686" s="5">
        <v>20419158462</v>
      </c>
      <c r="F686" s="5" t="s">
        <v>1303</v>
      </c>
      <c r="G686" s="6"/>
      <c r="H686" s="6"/>
      <c r="I686" s="6" t="s">
        <v>1784</v>
      </c>
      <c r="J686" s="6">
        <v>219</v>
      </c>
      <c r="K686" s="7" t="s">
        <v>5232</v>
      </c>
      <c r="L686" s="8">
        <v>89285352</v>
      </c>
      <c r="M686" s="8" t="str">
        <f t="shared" ref="M686:M719" si="83">"PEN"</f>
        <v>PEN</v>
      </c>
      <c r="N686" s="13"/>
      <c r="O686" s="13">
        <v>202</v>
      </c>
      <c r="P686" s="3">
        <f t="shared" ref="P686:P719" si="84">+IF(OR($F686="SALDO",$F686="INGRESO"),$O686,0)</f>
        <v>202</v>
      </c>
      <c r="Q686" s="3">
        <f t="shared" ref="Q686:Q719" si="85">+IF($F686="EGRESO",$O686,0)</f>
        <v>0</v>
      </c>
      <c r="R686" s="3">
        <f t="shared" ref="R686:R719" si="86">IFERROR(IF(F686="SALDO",P686,R685+P686-Q686),0)</f>
        <v>9557.2200000000084</v>
      </c>
      <c r="S686" s="28" t="s">
        <v>1334</v>
      </c>
      <c r="T686" s="28" t="s">
        <v>1334</v>
      </c>
      <c r="U686" s="3"/>
      <c r="V686" s="19" t="str">
        <f>IFERROR(VLOOKUP(Banco_Nacion[[#This Row],[responsable]],Clientes_Proveedores[[Ruc / Dni]:[Razon Social]],2,0),"")</f>
        <v>GRANJA RINCONADA DEL SUR S.A.</v>
      </c>
      <c r="W686" s="19" t="str">
        <f>IF(Banco_Nacion[[#This Row],[tipo_mov]]="INGRESO",Banco_Nacion[[#This Row],[serie]]&amp;Banco_Nacion[[#This Row],[numero]]&amp;Banco_Nacion[[#This Row],[responsable]]&amp;Banco_Nacion[[#This Row],[monto]],"")</f>
        <v>FF0121920419158462202</v>
      </c>
      <c r="X686" s="162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89285352</v>
      </c>
      <c r="Y686" s="3" t="str">
        <f>IFERROR(VLOOKUP(Banco_Nacion[[#This Row],[serie]]&amp;Banco_Nacion[[#This Row],[numero]]&amp;Banco_Nacion[[#This Row],[responsable]],[2]!Provision_CXC[[ID CXP]:[DETRACCION]],47,0),"")</f>
        <v/>
      </c>
      <c r="Z686" s="3"/>
      <c r="AA686" s="24" t="str">
        <f>IF(Banco_Nacion[[#This Row],[fecha]]&gt;0,TEXT(Banco_Nacion[[#This Row],[fecha]],"mmmm"),0)</f>
        <v>Setiembre</v>
      </c>
    </row>
    <row r="687" spans="1:27" x14ac:dyDescent="0.3">
      <c r="A687" s="2">
        <f>IF(Banco_Nacion[[#This Row],[tipo_registro]]="R",COUNTIFS($C$1:$C686,"R")+1,"")</f>
        <v>620</v>
      </c>
      <c r="B687" s="19" t="str">
        <f t="shared" si="82"/>
        <v>B-Banco de la Nacion</v>
      </c>
      <c r="C687" s="3" t="s">
        <v>1330</v>
      </c>
      <c r="D687" s="14">
        <v>45905</v>
      </c>
      <c r="E687" s="5">
        <v>20419158462</v>
      </c>
      <c r="F687" s="5" t="s">
        <v>1303</v>
      </c>
      <c r="G687" s="6"/>
      <c r="H687" s="6"/>
      <c r="I687" s="6" t="s">
        <v>1784</v>
      </c>
      <c r="J687" s="6">
        <v>218</v>
      </c>
      <c r="K687" s="7" t="s">
        <v>5232</v>
      </c>
      <c r="L687" s="8">
        <v>89285351</v>
      </c>
      <c r="M687" s="8" t="str">
        <f t="shared" si="83"/>
        <v>PEN</v>
      </c>
      <c r="N687" s="13"/>
      <c r="O687" s="13">
        <v>173</v>
      </c>
      <c r="P687" s="3">
        <f t="shared" si="84"/>
        <v>173</v>
      </c>
      <c r="Q687" s="3">
        <f t="shared" si="85"/>
        <v>0</v>
      </c>
      <c r="R687" s="3">
        <f t="shared" si="86"/>
        <v>9730.2200000000084</v>
      </c>
      <c r="S687" s="28" t="s">
        <v>1334</v>
      </c>
      <c r="T687" s="28" t="s">
        <v>1334</v>
      </c>
      <c r="U687" s="3"/>
      <c r="V687" s="19" t="str">
        <f>IFERROR(VLOOKUP(Banco_Nacion[[#This Row],[responsable]],Clientes_Proveedores[[Ruc / Dni]:[Razon Social]],2,0),"")</f>
        <v>GRANJA RINCONADA DEL SUR S.A.</v>
      </c>
      <c r="W687" s="19" t="str">
        <f>IF(Banco_Nacion[[#This Row],[tipo_mov]]="INGRESO",Banco_Nacion[[#This Row],[serie]]&amp;Banco_Nacion[[#This Row],[numero]]&amp;Banco_Nacion[[#This Row],[responsable]]&amp;Banco_Nacion[[#This Row],[monto]],"")</f>
        <v>FF0121820419158462173</v>
      </c>
      <c r="X687" s="162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89285351</v>
      </c>
      <c r="Y687" s="3" t="str">
        <f>IFERROR(VLOOKUP(Banco_Nacion[[#This Row],[serie]]&amp;Banco_Nacion[[#This Row],[numero]]&amp;Banco_Nacion[[#This Row],[responsable]],[2]!Provision_CXC[[ID CXP]:[DETRACCION]],47,0),"")</f>
        <v/>
      </c>
      <c r="Z687" s="3"/>
      <c r="AA687" s="24" t="str">
        <f>IF(Banco_Nacion[[#This Row],[fecha]]&gt;0,TEXT(Banco_Nacion[[#This Row],[fecha]],"mmmm"),0)</f>
        <v>Setiembre</v>
      </c>
    </row>
    <row r="688" spans="1:27" x14ac:dyDescent="0.3">
      <c r="A688" s="2">
        <f>IF(Banco_Nacion[[#This Row],[tipo_registro]]="R",COUNTIFS($C$1:$C687,"R")+1,"")</f>
        <v>621</v>
      </c>
      <c r="B688" s="19" t="str">
        <f t="shared" si="82"/>
        <v>B-Banco de la Nacion</v>
      </c>
      <c r="C688" s="3" t="s">
        <v>1330</v>
      </c>
      <c r="D688" s="14">
        <v>45905</v>
      </c>
      <c r="E688" s="5">
        <v>20419158462</v>
      </c>
      <c r="F688" s="5" t="s">
        <v>1303</v>
      </c>
      <c r="G688" s="6"/>
      <c r="H688" s="6"/>
      <c r="I688" s="6" t="s">
        <v>1784</v>
      </c>
      <c r="J688" s="6">
        <v>210</v>
      </c>
      <c r="K688" s="7" t="s">
        <v>5232</v>
      </c>
      <c r="L688" s="8">
        <v>89285350</v>
      </c>
      <c r="M688" s="8" t="str">
        <f t="shared" si="83"/>
        <v>PEN</v>
      </c>
      <c r="N688" s="13"/>
      <c r="O688" s="13">
        <v>368</v>
      </c>
      <c r="P688" s="3">
        <f t="shared" si="84"/>
        <v>368</v>
      </c>
      <c r="Q688" s="3">
        <f t="shared" si="85"/>
        <v>0</v>
      </c>
      <c r="R688" s="3">
        <f t="shared" si="86"/>
        <v>10098.220000000008</v>
      </c>
      <c r="S688" s="28" t="s">
        <v>1334</v>
      </c>
      <c r="T688" s="28" t="s">
        <v>1334</v>
      </c>
      <c r="U688" s="3"/>
      <c r="V688" s="19" t="str">
        <f>IFERROR(VLOOKUP(Banco_Nacion[[#This Row],[responsable]],Clientes_Proveedores[[Ruc / Dni]:[Razon Social]],2,0),"")</f>
        <v>GRANJA RINCONADA DEL SUR S.A.</v>
      </c>
      <c r="W688" s="19" t="str">
        <f>IF(Banco_Nacion[[#This Row],[tipo_mov]]="INGRESO",Banco_Nacion[[#This Row],[serie]]&amp;Banco_Nacion[[#This Row],[numero]]&amp;Banco_Nacion[[#This Row],[responsable]]&amp;Banco_Nacion[[#This Row],[monto]],"")</f>
        <v>FF0121020419158462368</v>
      </c>
      <c r="X688" s="162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89285350</v>
      </c>
      <c r="Y688" s="3" t="str">
        <f>IFERROR(VLOOKUP(Banco_Nacion[[#This Row],[serie]]&amp;Banco_Nacion[[#This Row],[numero]]&amp;Banco_Nacion[[#This Row],[responsable]],[2]!Provision_CXC[[ID CXP]:[DETRACCION]],47,0),"")</f>
        <v/>
      </c>
      <c r="Z688" s="3"/>
      <c r="AA688" s="24" t="str">
        <f>IF(Banco_Nacion[[#This Row],[fecha]]&gt;0,TEXT(Banco_Nacion[[#This Row],[fecha]],"mmmm"),0)</f>
        <v>Setiembre</v>
      </c>
    </row>
    <row r="689" spans="1:27" x14ac:dyDescent="0.3">
      <c r="A689" s="2">
        <f>IF(Banco_Nacion[[#This Row],[tipo_registro]]="R",COUNTIFS($C$1:$C688,"R")+1,"")</f>
        <v>622</v>
      </c>
      <c r="B689" s="19" t="str">
        <f t="shared" si="82"/>
        <v>B-Banco de la Nacion</v>
      </c>
      <c r="C689" s="3" t="s">
        <v>1330</v>
      </c>
      <c r="D689" s="14">
        <v>45905</v>
      </c>
      <c r="E689" s="5">
        <v>20424092941</v>
      </c>
      <c r="F689" s="5" t="s">
        <v>1303</v>
      </c>
      <c r="G689" s="6"/>
      <c r="H689" s="6"/>
      <c r="I689" s="6" t="s">
        <v>3302</v>
      </c>
      <c r="J689" s="6">
        <v>117</v>
      </c>
      <c r="K689" s="7" t="s">
        <v>5232</v>
      </c>
      <c r="L689" s="8">
        <v>89259979</v>
      </c>
      <c r="M689" s="8" t="str">
        <f t="shared" si="83"/>
        <v>PEN</v>
      </c>
      <c r="N689" s="13"/>
      <c r="O689" s="13">
        <v>64</v>
      </c>
      <c r="P689" s="3">
        <f t="shared" si="84"/>
        <v>64</v>
      </c>
      <c r="Q689" s="3">
        <f t="shared" si="85"/>
        <v>0</v>
      </c>
      <c r="R689" s="3">
        <f t="shared" si="86"/>
        <v>10162.220000000008</v>
      </c>
      <c r="S689" s="28" t="s">
        <v>1334</v>
      </c>
      <c r="T689" s="28" t="s">
        <v>1334</v>
      </c>
      <c r="U689" s="3"/>
      <c r="V689" s="19" t="str">
        <f>IFERROR(VLOOKUP(Banco_Nacion[[#This Row],[responsable]],Clientes_Proveedores[[Ruc / Dni]:[Razon Social]],2,0),"")</f>
        <v>TRANSPORTES PEREDA S.R.L.</v>
      </c>
      <c r="W689" s="19" t="str">
        <f>IF(Banco_Nacion[[#This Row],[tipo_mov]]="INGRESO",Banco_Nacion[[#This Row],[serie]]&amp;Banco_Nacion[[#This Row],[numero]]&amp;Banco_Nacion[[#This Row],[responsable]]&amp;Banco_Nacion[[#This Row],[monto]],"")</f>
        <v>FF021172042409294164</v>
      </c>
      <c r="X689" s="162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89259979</v>
      </c>
      <c r="Y689" s="3" t="str">
        <f>IFERROR(VLOOKUP(Banco_Nacion[[#This Row],[serie]]&amp;Banco_Nacion[[#This Row],[numero]]&amp;Banco_Nacion[[#This Row],[responsable]],[2]!Provision_CXC[[ID CXP]:[DETRACCION]],47,0),"")</f>
        <v/>
      </c>
      <c r="Z689" s="3"/>
      <c r="AA689" s="24" t="str">
        <f>IF(Banco_Nacion[[#This Row],[fecha]]&gt;0,TEXT(Banco_Nacion[[#This Row],[fecha]],"mmmm"),0)</f>
        <v>Setiembre</v>
      </c>
    </row>
    <row r="690" spans="1:27" x14ac:dyDescent="0.3">
      <c r="A690" s="2">
        <f>IF(Banco_Nacion[[#This Row],[tipo_registro]]="R",COUNTIFS($C$1:$C689,"R")+1,"")</f>
        <v>623</v>
      </c>
      <c r="B690" s="19" t="str">
        <f t="shared" si="82"/>
        <v>B-Banco de la Nacion</v>
      </c>
      <c r="C690" s="3" t="s">
        <v>1330</v>
      </c>
      <c r="D690" s="14">
        <v>45905</v>
      </c>
      <c r="E690" s="5">
        <v>20424092941</v>
      </c>
      <c r="F690" s="5" t="s">
        <v>1303</v>
      </c>
      <c r="G690" s="6"/>
      <c r="H690" s="6"/>
      <c r="I690" s="6" t="s">
        <v>3302</v>
      </c>
      <c r="J690" s="6">
        <v>121</v>
      </c>
      <c r="K690" s="7" t="s">
        <v>5232</v>
      </c>
      <c r="L690" s="8">
        <v>89259810</v>
      </c>
      <c r="M690" s="8" t="str">
        <f t="shared" si="83"/>
        <v>PEN</v>
      </c>
      <c r="N690" s="13"/>
      <c r="O690" s="13">
        <v>142</v>
      </c>
      <c r="P690" s="3">
        <f t="shared" si="84"/>
        <v>142</v>
      </c>
      <c r="Q690" s="3">
        <f t="shared" si="85"/>
        <v>0</v>
      </c>
      <c r="R690" s="3">
        <f t="shared" si="86"/>
        <v>10304.220000000008</v>
      </c>
      <c r="S690" s="28" t="s">
        <v>1334</v>
      </c>
      <c r="T690" s="28" t="s">
        <v>1334</v>
      </c>
      <c r="U690" s="3"/>
      <c r="V690" s="19" t="str">
        <f>IFERROR(VLOOKUP(Banco_Nacion[[#This Row],[responsable]],Clientes_Proveedores[[Ruc / Dni]:[Razon Social]],2,0),"")</f>
        <v>TRANSPORTES PEREDA S.R.L.</v>
      </c>
      <c r="W690" s="19" t="str">
        <f>IF(Banco_Nacion[[#This Row],[tipo_mov]]="INGRESO",Banco_Nacion[[#This Row],[serie]]&amp;Banco_Nacion[[#This Row],[numero]]&amp;Banco_Nacion[[#This Row],[responsable]]&amp;Banco_Nacion[[#This Row],[monto]],"")</f>
        <v>FF0212120424092941142</v>
      </c>
      <c r="X690" s="162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89259810</v>
      </c>
      <c r="Y690" s="3" t="str">
        <f>IFERROR(VLOOKUP(Banco_Nacion[[#This Row],[serie]]&amp;Banco_Nacion[[#This Row],[numero]]&amp;Banco_Nacion[[#This Row],[responsable]],[2]!Provision_CXC[[ID CXP]:[DETRACCION]],47,0),"")</f>
        <v/>
      </c>
      <c r="Z690" s="3"/>
      <c r="AA690" s="24" t="str">
        <f>IF(Banco_Nacion[[#This Row],[fecha]]&gt;0,TEXT(Banco_Nacion[[#This Row],[fecha]],"mmmm"),0)</f>
        <v>Setiembre</v>
      </c>
    </row>
    <row r="691" spans="1:27" x14ac:dyDescent="0.3">
      <c r="A691" s="2">
        <f>IF(Banco_Nacion[[#This Row],[tipo_registro]]="R",COUNTIFS($C$1:$C690,"R")+1,"")</f>
        <v>624</v>
      </c>
      <c r="B691" s="19" t="str">
        <f t="shared" si="82"/>
        <v>B-Banco de la Nacion</v>
      </c>
      <c r="C691" s="3" t="s">
        <v>1330</v>
      </c>
      <c r="D691" s="14">
        <v>45905</v>
      </c>
      <c r="E691" s="5">
        <v>20424092941</v>
      </c>
      <c r="F691" s="5" t="s">
        <v>1303</v>
      </c>
      <c r="G691" s="6"/>
      <c r="H691" s="6"/>
      <c r="I691" s="6" t="s">
        <v>3302</v>
      </c>
      <c r="J691" s="6">
        <v>110</v>
      </c>
      <c r="K691" s="7" t="s">
        <v>5232</v>
      </c>
      <c r="L691" s="8">
        <v>89259672</v>
      </c>
      <c r="M691" s="8" t="str">
        <f t="shared" si="83"/>
        <v>PEN</v>
      </c>
      <c r="N691" s="13"/>
      <c r="O691" s="13">
        <v>159</v>
      </c>
      <c r="P691" s="3">
        <f t="shared" si="84"/>
        <v>159</v>
      </c>
      <c r="Q691" s="3">
        <f t="shared" si="85"/>
        <v>0</v>
      </c>
      <c r="R691" s="3">
        <f t="shared" si="86"/>
        <v>10463.220000000008</v>
      </c>
      <c r="S691" s="28" t="s">
        <v>1334</v>
      </c>
      <c r="T691" s="28" t="s">
        <v>1334</v>
      </c>
      <c r="U691" s="3"/>
      <c r="V691" s="19" t="str">
        <f>IFERROR(VLOOKUP(Banco_Nacion[[#This Row],[responsable]],Clientes_Proveedores[[Ruc / Dni]:[Razon Social]],2,0),"")</f>
        <v>TRANSPORTES PEREDA S.R.L.</v>
      </c>
      <c r="W691" s="19" t="str">
        <f>IF(Banco_Nacion[[#This Row],[tipo_mov]]="INGRESO",Banco_Nacion[[#This Row],[serie]]&amp;Banco_Nacion[[#This Row],[numero]]&amp;Banco_Nacion[[#This Row],[responsable]]&amp;Banco_Nacion[[#This Row],[monto]],"")</f>
        <v>FF0211020424092941159</v>
      </c>
      <c r="X691" s="162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89259672</v>
      </c>
      <c r="Y691" s="3" t="str">
        <f>IFERROR(VLOOKUP(Banco_Nacion[[#This Row],[serie]]&amp;Banco_Nacion[[#This Row],[numero]]&amp;Banco_Nacion[[#This Row],[responsable]],[2]!Provision_CXC[[ID CXP]:[DETRACCION]],47,0),"")</f>
        <v/>
      </c>
      <c r="Z691" s="3"/>
      <c r="AA691" s="24" t="str">
        <f>IF(Banco_Nacion[[#This Row],[fecha]]&gt;0,TEXT(Banco_Nacion[[#This Row],[fecha]],"mmmm"),0)</f>
        <v>Setiembre</v>
      </c>
    </row>
    <row r="692" spans="1:27" x14ac:dyDescent="0.3">
      <c r="A692" s="2">
        <f>IF(Banco_Nacion[[#This Row],[tipo_registro]]="R",COUNTIFS($C$1:$C691,"R")+1,"")</f>
        <v>625</v>
      </c>
      <c r="B692" s="19" t="str">
        <f t="shared" si="82"/>
        <v>B-Banco de la Nacion</v>
      </c>
      <c r="C692" s="3" t="s">
        <v>1330</v>
      </c>
      <c r="D692" s="14">
        <v>45908</v>
      </c>
      <c r="E692" s="5">
        <v>20477233458</v>
      </c>
      <c r="F692" s="5" t="s">
        <v>1303</v>
      </c>
      <c r="G692" s="6"/>
      <c r="H692" s="6"/>
      <c r="I692" s="6" t="s">
        <v>1784</v>
      </c>
      <c r="J692" s="6">
        <v>214</v>
      </c>
      <c r="K692" s="7" t="s">
        <v>5232</v>
      </c>
      <c r="L692" s="8">
        <v>89775033</v>
      </c>
      <c r="M692" s="8" t="str">
        <f t="shared" si="83"/>
        <v>PEN</v>
      </c>
      <c r="N692" s="13"/>
      <c r="O692" s="13">
        <v>252</v>
      </c>
      <c r="P692" s="3">
        <f t="shared" si="84"/>
        <v>252</v>
      </c>
      <c r="Q692" s="3">
        <f t="shared" si="85"/>
        <v>0</v>
      </c>
      <c r="R692" s="3">
        <f t="shared" si="86"/>
        <v>10715.220000000008</v>
      </c>
      <c r="S692" s="28" t="s">
        <v>1334</v>
      </c>
      <c r="T692" s="28" t="s">
        <v>1334</v>
      </c>
      <c r="U692" s="3"/>
      <c r="V692" s="19" t="str">
        <f>IFERROR(VLOOKUP(Banco_Nacion[[#This Row],[responsable]],Clientes_Proveedores[[Ruc / Dni]:[Razon Social]],2,0),"")</f>
        <v>SANCHEZ RICO INGENIERIA Y CONSTRUCCION S.A.C.</v>
      </c>
      <c r="W692" s="19" t="str">
        <f>IF(Banco_Nacion[[#This Row],[tipo_mov]]="INGRESO",Banco_Nacion[[#This Row],[serie]]&amp;Banco_Nacion[[#This Row],[numero]]&amp;Banco_Nacion[[#This Row],[responsable]]&amp;Banco_Nacion[[#This Row],[monto]],"")</f>
        <v>FF0121420477233458252</v>
      </c>
      <c r="X692" s="162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89775033</v>
      </c>
      <c r="Y692" s="3" t="str">
        <f>IFERROR(VLOOKUP(Banco_Nacion[[#This Row],[serie]]&amp;Banco_Nacion[[#This Row],[numero]]&amp;Banco_Nacion[[#This Row],[responsable]],[2]!Provision_CXC[[ID CXP]:[DETRACCION]],47,0),"")</f>
        <v/>
      </c>
      <c r="Z692" s="3"/>
      <c r="AA692" s="24" t="str">
        <f>IF(Banco_Nacion[[#This Row],[fecha]]&gt;0,TEXT(Banco_Nacion[[#This Row],[fecha]],"mmmm"),0)</f>
        <v>Setiembre</v>
      </c>
    </row>
    <row r="693" spans="1:27" x14ac:dyDescent="0.3">
      <c r="A693" s="2">
        <f>IF(Banco_Nacion[[#This Row],[tipo_registro]]="R",COUNTIFS($C$1:$C692,"R")+1,"")</f>
        <v>626</v>
      </c>
      <c r="B693" s="19" t="str">
        <f t="shared" si="82"/>
        <v>B-Banco de la Nacion</v>
      </c>
      <c r="C693" s="3" t="s">
        <v>1330</v>
      </c>
      <c r="D693" s="14">
        <v>45908</v>
      </c>
      <c r="E693" s="5">
        <v>20454186002</v>
      </c>
      <c r="F693" s="5" t="s">
        <v>1303</v>
      </c>
      <c r="G693" s="6"/>
      <c r="H693" s="6"/>
      <c r="I693" s="6" t="s">
        <v>1784</v>
      </c>
      <c r="J693" s="6">
        <v>207</v>
      </c>
      <c r="K693" s="7" t="s">
        <v>5232</v>
      </c>
      <c r="L693" s="8">
        <v>89632366</v>
      </c>
      <c r="M693" s="8" t="str">
        <f t="shared" si="83"/>
        <v>PEN</v>
      </c>
      <c r="N693" s="13"/>
      <c r="O693" s="13">
        <v>274</v>
      </c>
      <c r="P693" s="3">
        <f t="shared" si="84"/>
        <v>274</v>
      </c>
      <c r="Q693" s="3">
        <f t="shared" si="85"/>
        <v>0</v>
      </c>
      <c r="R693" s="3">
        <f t="shared" si="86"/>
        <v>10989.220000000008</v>
      </c>
      <c r="S693" s="28" t="s">
        <v>1334</v>
      </c>
      <c r="T693" s="28" t="s">
        <v>1334</v>
      </c>
      <c r="U693" s="3"/>
      <c r="V693" s="19" t="str">
        <f>IFERROR(VLOOKUP(Banco_Nacion[[#This Row],[responsable]],Clientes_Proveedores[[Ruc / Dni]:[Razon Social]],2,0),"")</f>
        <v>ALSUR PERU S.A.C.</v>
      </c>
      <c r="W693" s="19" t="str">
        <f>IF(Banco_Nacion[[#This Row],[tipo_mov]]="INGRESO",Banco_Nacion[[#This Row],[serie]]&amp;Banco_Nacion[[#This Row],[numero]]&amp;Banco_Nacion[[#This Row],[responsable]]&amp;Banco_Nacion[[#This Row],[monto]],"")</f>
        <v>FF0120720454186002274</v>
      </c>
      <c r="X693" s="162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89632366</v>
      </c>
      <c r="Y693" s="3" t="str">
        <f>IFERROR(VLOOKUP(Banco_Nacion[[#This Row],[serie]]&amp;Banco_Nacion[[#This Row],[numero]]&amp;Banco_Nacion[[#This Row],[responsable]],[2]!Provision_CXC[[ID CXP]:[DETRACCION]],47,0),"")</f>
        <v/>
      </c>
      <c r="Z693" s="3"/>
      <c r="AA693" s="24" t="str">
        <f>IF(Banco_Nacion[[#This Row],[fecha]]&gt;0,TEXT(Banco_Nacion[[#This Row],[fecha]],"mmmm"),0)</f>
        <v>Setiembre</v>
      </c>
    </row>
    <row r="694" spans="1:27" x14ac:dyDescent="0.3">
      <c r="A694" s="2">
        <f>IF(Banco_Nacion[[#This Row],[tipo_registro]]="R",COUNTIFS($C$1:$C693,"R")+1,"")</f>
        <v>627</v>
      </c>
      <c r="B694" s="19" t="str">
        <f t="shared" si="82"/>
        <v>B-Banco de la Nacion</v>
      </c>
      <c r="C694" s="3" t="s">
        <v>1330</v>
      </c>
      <c r="D694" s="14">
        <v>45908</v>
      </c>
      <c r="E694" s="5">
        <v>20496535066</v>
      </c>
      <c r="F694" s="5" t="s">
        <v>1303</v>
      </c>
      <c r="G694" s="6"/>
      <c r="H694" s="6"/>
      <c r="I694" s="6" t="s">
        <v>1784</v>
      </c>
      <c r="J694" s="6">
        <v>130</v>
      </c>
      <c r="K694" s="7" t="s">
        <v>5232</v>
      </c>
      <c r="L694" s="8">
        <v>89577314</v>
      </c>
      <c r="M694" s="8" t="str">
        <f t="shared" si="83"/>
        <v>PEN</v>
      </c>
      <c r="N694" s="13"/>
      <c r="O694" s="13">
        <v>2299</v>
      </c>
      <c r="P694" s="3">
        <f t="shared" si="84"/>
        <v>2299</v>
      </c>
      <c r="Q694" s="3">
        <f t="shared" si="85"/>
        <v>0</v>
      </c>
      <c r="R694" s="3">
        <f t="shared" si="86"/>
        <v>13288.220000000008</v>
      </c>
      <c r="S694" s="28" t="s">
        <v>1334</v>
      </c>
      <c r="T694" s="28" t="s">
        <v>1334</v>
      </c>
      <c r="U694" s="3"/>
      <c r="V694" s="19" t="str">
        <f>IFERROR(VLOOKUP(Banco_Nacion[[#This Row],[responsable]],Clientes_Proveedores[[Ruc / Dni]:[Razon Social]],2,0),"")</f>
        <v>CORP.ELECTROMECANICA EN ING.Y CONSTR.SAC</v>
      </c>
      <c r="W694" s="19" t="str">
        <f>IF(Banco_Nacion[[#This Row],[tipo_mov]]="INGRESO",Banco_Nacion[[#This Row],[serie]]&amp;Banco_Nacion[[#This Row],[numero]]&amp;Banco_Nacion[[#This Row],[responsable]]&amp;Banco_Nacion[[#This Row],[monto]],"")</f>
        <v>FF01130204965350662299</v>
      </c>
      <c r="X694" s="162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89577314</v>
      </c>
      <c r="Y694" s="3" t="str">
        <f>IFERROR(VLOOKUP(Banco_Nacion[[#This Row],[serie]]&amp;Banco_Nacion[[#This Row],[numero]]&amp;Banco_Nacion[[#This Row],[responsable]],[2]!Provision_CXC[[ID CXP]:[DETRACCION]],47,0),"")</f>
        <v/>
      </c>
      <c r="Z694" s="3"/>
      <c r="AA694" s="24" t="str">
        <f>IF(Banco_Nacion[[#This Row],[fecha]]&gt;0,TEXT(Banco_Nacion[[#This Row],[fecha]],"mmmm"),0)</f>
        <v>Setiembre</v>
      </c>
    </row>
    <row r="695" spans="1:27" x14ac:dyDescent="0.3">
      <c r="A695" s="2">
        <f>IF(Banco_Nacion[[#This Row],[tipo_registro]]="R",COUNTIFS($C$1:$C694,"R")+1,"")</f>
        <v>628</v>
      </c>
      <c r="B695" s="19" t="str">
        <f t="shared" si="82"/>
        <v>B-Banco de la Nacion</v>
      </c>
      <c r="C695" s="3" t="s">
        <v>1330</v>
      </c>
      <c r="D695" s="14">
        <v>45908</v>
      </c>
      <c r="E695" s="5">
        <v>20607388416</v>
      </c>
      <c r="F695" s="5" t="s">
        <v>1303</v>
      </c>
      <c r="G695" s="6"/>
      <c r="H695" s="6"/>
      <c r="I695" s="6" t="s">
        <v>3381</v>
      </c>
      <c r="J695" s="6">
        <v>61</v>
      </c>
      <c r="K695" s="7" t="s">
        <v>5232</v>
      </c>
      <c r="L695" s="8">
        <v>89533743</v>
      </c>
      <c r="M695" s="8" t="str">
        <f t="shared" si="83"/>
        <v>PEN</v>
      </c>
      <c r="N695" s="13"/>
      <c r="O695" s="13">
        <v>156</v>
      </c>
      <c r="P695" s="3">
        <f t="shared" si="84"/>
        <v>156</v>
      </c>
      <c r="Q695" s="3">
        <f t="shared" si="85"/>
        <v>0</v>
      </c>
      <c r="R695" s="3">
        <f t="shared" si="86"/>
        <v>13444.220000000008</v>
      </c>
      <c r="S695" s="28" t="s">
        <v>1334</v>
      </c>
      <c r="T695" s="28" t="s">
        <v>1334</v>
      </c>
      <c r="U695" s="3"/>
      <c r="V695" s="19" t="str">
        <f>IFERROR(VLOOKUP(Banco_Nacion[[#This Row],[responsable]],Clientes_Proveedores[[Ruc / Dni]:[Razon Social]],2,0),"")</f>
        <v>ALEACIONES FERROSAS Y METALICAS S.A.C.</v>
      </c>
      <c r="W695" s="19" t="str">
        <f>IF(Banco_Nacion[[#This Row],[tipo_mov]]="INGRESO",Banco_Nacion[[#This Row],[serie]]&amp;Banco_Nacion[[#This Row],[numero]]&amp;Banco_Nacion[[#This Row],[responsable]]&amp;Banco_Nacion[[#This Row],[monto]],"")</f>
        <v>FF056120607388416156</v>
      </c>
      <c r="X695" s="162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89533743</v>
      </c>
      <c r="Y695" s="3" t="str">
        <f>IFERROR(VLOOKUP(Banco_Nacion[[#This Row],[serie]]&amp;Banco_Nacion[[#This Row],[numero]]&amp;Banco_Nacion[[#This Row],[responsable]],[2]!Provision_CXC[[ID CXP]:[DETRACCION]],47,0),"")</f>
        <v/>
      </c>
      <c r="Z695" s="3"/>
      <c r="AA695" s="24" t="str">
        <f>IF(Banco_Nacion[[#This Row],[fecha]]&gt;0,TEXT(Banco_Nacion[[#This Row],[fecha]],"mmmm"),0)</f>
        <v>Setiembre</v>
      </c>
    </row>
    <row r="696" spans="1:27" x14ac:dyDescent="0.3">
      <c r="A696" s="2">
        <f>IF(Banco_Nacion[[#This Row],[tipo_registro]]="R",COUNTIFS($C$1:$C695,"R")+1,"")</f>
        <v>629</v>
      </c>
      <c r="B696" s="19" t="str">
        <f t="shared" si="82"/>
        <v>B-Banco de la Nacion</v>
      </c>
      <c r="C696" s="3" t="s">
        <v>1330</v>
      </c>
      <c r="D696" s="14">
        <v>45908</v>
      </c>
      <c r="E696" s="5">
        <v>20604044082</v>
      </c>
      <c r="F696" s="5" t="s">
        <v>1303</v>
      </c>
      <c r="G696" s="6"/>
      <c r="H696" s="6"/>
      <c r="I696" s="6" t="s">
        <v>1784</v>
      </c>
      <c r="J696" s="6">
        <v>187</v>
      </c>
      <c r="K696" s="7" t="s">
        <v>5232</v>
      </c>
      <c r="L696" s="8">
        <v>89530649</v>
      </c>
      <c r="M696" s="8" t="str">
        <f t="shared" si="83"/>
        <v>PEN</v>
      </c>
      <c r="N696" s="13"/>
      <c r="O696" s="13">
        <v>109</v>
      </c>
      <c r="P696" s="3">
        <f t="shared" si="84"/>
        <v>109</v>
      </c>
      <c r="Q696" s="3">
        <f t="shared" si="85"/>
        <v>0</v>
      </c>
      <c r="R696" s="3">
        <f t="shared" si="86"/>
        <v>13553.220000000008</v>
      </c>
      <c r="S696" s="28" t="s">
        <v>1334</v>
      </c>
      <c r="T696" s="28" t="s">
        <v>1334</v>
      </c>
      <c r="U696" s="3"/>
      <c r="V696" s="19" t="str">
        <f>IFERROR(VLOOKUP(Banco_Nacion[[#This Row],[responsable]],Clientes_Proveedores[[Ruc / Dni]:[Razon Social]],2,0),"")</f>
        <v>KONTROL R &amp; M PERU S.A.C.</v>
      </c>
      <c r="W696" s="19" t="str">
        <f>IF(Banco_Nacion[[#This Row],[tipo_mov]]="INGRESO",Banco_Nacion[[#This Row],[serie]]&amp;Banco_Nacion[[#This Row],[numero]]&amp;Banco_Nacion[[#This Row],[responsable]]&amp;Banco_Nacion[[#This Row],[monto]],"")</f>
        <v>FF0118720604044082109</v>
      </c>
      <c r="X696" s="162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89530649</v>
      </c>
      <c r="Y696" s="3" t="str">
        <f>IFERROR(VLOOKUP(Banco_Nacion[[#This Row],[serie]]&amp;Banco_Nacion[[#This Row],[numero]]&amp;Banco_Nacion[[#This Row],[responsable]],[2]!Provision_CXC[[ID CXP]:[DETRACCION]],47,0),"")</f>
        <v/>
      </c>
      <c r="Z696" s="3"/>
      <c r="AA696" s="24" t="str">
        <f>IF(Banco_Nacion[[#This Row],[fecha]]&gt;0,TEXT(Banco_Nacion[[#This Row],[fecha]],"mmmm"),0)</f>
        <v>Setiembre</v>
      </c>
    </row>
    <row r="697" spans="1:27" x14ac:dyDescent="0.3">
      <c r="A697" s="2">
        <f>IF(Banco_Nacion[[#This Row],[tipo_registro]]="R",COUNTIFS($C$1:$C696,"R")+1,"")</f>
        <v>630</v>
      </c>
      <c r="B697" s="19" t="str">
        <f t="shared" si="82"/>
        <v>B-Banco de la Nacion</v>
      </c>
      <c r="C697" s="3" t="s">
        <v>1330</v>
      </c>
      <c r="D697" s="14">
        <v>45908</v>
      </c>
      <c r="E697" s="5">
        <v>20161541991</v>
      </c>
      <c r="F697" s="5" t="s">
        <v>1303</v>
      </c>
      <c r="G697" s="6"/>
      <c r="H697" s="6"/>
      <c r="I697" s="6" t="s">
        <v>1784</v>
      </c>
      <c r="J697" s="6">
        <v>216</v>
      </c>
      <c r="K697" s="7" t="s">
        <v>5232</v>
      </c>
      <c r="L697" s="8">
        <v>89508389</v>
      </c>
      <c r="M697" s="8" t="str">
        <f t="shared" si="83"/>
        <v>PEN</v>
      </c>
      <c r="N697" s="13"/>
      <c r="O697" s="13">
        <v>145</v>
      </c>
      <c r="P697" s="3">
        <f t="shared" si="84"/>
        <v>145</v>
      </c>
      <c r="Q697" s="3">
        <f t="shared" si="85"/>
        <v>0</v>
      </c>
      <c r="R697" s="3">
        <f t="shared" si="86"/>
        <v>13698.220000000008</v>
      </c>
      <c r="S697" s="28" t="s">
        <v>1334</v>
      </c>
      <c r="T697" s="28" t="s">
        <v>1334</v>
      </c>
      <c r="U697" s="3"/>
      <c r="V697" s="19" t="str">
        <f>IFERROR(VLOOKUP(Banco_Nacion[[#This Row],[responsable]],Clientes_Proveedores[[Ruc / Dni]:[Razon Social]],2,0),"")</f>
        <v>ASOCIACION TECSUP N° 2</v>
      </c>
      <c r="W697" s="19" t="str">
        <f>IF(Banco_Nacion[[#This Row],[tipo_mov]]="INGRESO",Banco_Nacion[[#This Row],[serie]]&amp;Banco_Nacion[[#This Row],[numero]]&amp;Banco_Nacion[[#This Row],[responsable]]&amp;Banco_Nacion[[#This Row],[monto]],"")</f>
        <v>FF0121620161541991145</v>
      </c>
      <c r="X697" s="162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89508389</v>
      </c>
      <c r="Y697" s="3" t="str">
        <f>IFERROR(VLOOKUP(Banco_Nacion[[#This Row],[serie]]&amp;Banco_Nacion[[#This Row],[numero]]&amp;Banco_Nacion[[#This Row],[responsable]],[2]!Provision_CXC[[ID CXP]:[DETRACCION]],47,0),"")</f>
        <v/>
      </c>
      <c r="Z697" s="3"/>
      <c r="AA697" s="24" t="str">
        <f>IF(Banco_Nacion[[#This Row],[fecha]]&gt;0,TEXT(Banco_Nacion[[#This Row],[fecha]],"mmmm"),0)</f>
        <v>Setiembre</v>
      </c>
    </row>
    <row r="698" spans="1:27" x14ac:dyDescent="0.3">
      <c r="A698" s="2">
        <f>IF(Banco_Nacion[[#This Row],[tipo_registro]]="R",COUNTIFS($C$1:$C697,"R")+1,"")</f>
        <v>631</v>
      </c>
      <c r="B698" s="19" t="str">
        <f t="shared" si="82"/>
        <v>B-Banco de la Nacion</v>
      </c>
      <c r="C698" s="3" t="s">
        <v>1330</v>
      </c>
      <c r="D698" s="14">
        <v>45908</v>
      </c>
      <c r="E698" s="5">
        <v>20603065906</v>
      </c>
      <c r="F698" s="5" t="s">
        <v>1303</v>
      </c>
      <c r="G698" s="6"/>
      <c r="H698" s="6"/>
      <c r="I698" s="6" t="s">
        <v>3381</v>
      </c>
      <c r="J698" s="6">
        <v>59</v>
      </c>
      <c r="K698" s="7" t="s">
        <v>5232</v>
      </c>
      <c r="L698" s="8">
        <v>89425271</v>
      </c>
      <c r="M698" s="8" t="str">
        <f t="shared" si="83"/>
        <v>PEN</v>
      </c>
      <c r="N698" s="13"/>
      <c r="O698" s="13">
        <v>354</v>
      </c>
      <c r="P698" s="3">
        <f t="shared" si="84"/>
        <v>354</v>
      </c>
      <c r="Q698" s="3">
        <f t="shared" si="85"/>
        <v>0</v>
      </c>
      <c r="R698" s="3">
        <f t="shared" si="86"/>
        <v>14052.220000000008</v>
      </c>
      <c r="S698" s="28" t="s">
        <v>1334</v>
      </c>
      <c r="T698" s="28" t="s">
        <v>1334</v>
      </c>
      <c r="U698" s="3"/>
      <c r="V698" s="19" t="str">
        <f>IFERROR(VLOOKUP(Banco_Nacion[[#This Row],[responsable]],Clientes_Proveedores[[Ruc / Dni]:[Razon Social]],2,0),"")</f>
        <v>COMERCIO SERVICIOS E INVERSIONES YANCE E.I.R.L.</v>
      </c>
      <c r="W698" s="19" t="str">
        <f>IF(Banco_Nacion[[#This Row],[tipo_mov]]="INGRESO",Banco_Nacion[[#This Row],[serie]]&amp;Banco_Nacion[[#This Row],[numero]]&amp;Banco_Nacion[[#This Row],[responsable]]&amp;Banco_Nacion[[#This Row],[monto]],"")</f>
        <v>FF055920603065906354</v>
      </c>
      <c r="X698" s="162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89425271</v>
      </c>
      <c r="Y698" s="3" t="str">
        <f>IFERROR(VLOOKUP(Banco_Nacion[[#This Row],[serie]]&amp;Banco_Nacion[[#This Row],[numero]]&amp;Banco_Nacion[[#This Row],[responsable]],[2]!Provision_CXC[[ID CXP]:[DETRACCION]],47,0),"")</f>
        <v/>
      </c>
      <c r="Z698" s="3"/>
      <c r="AA698" s="24" t="str">
        <f>IF(Banco_Nacion[[#This Row],[fecha]]&gt;0,TEXT(Banco_Nacion[[#This Row],[fecha]],"mmmm"),0)</f>
        <v>Setiembre</v>
      </c>
    </row>
    <row r="699" spans="1:27" x14ac:dyDescent="0.3">
      <c r="A699" s="2">
        <f>IF(Banco_Nacion[[#This Row],[tipo_registro]]="R",COUNTIFS($C$1:$C698,"R")+1,"")</f>
        <v>632</v>
      </c>
      <c r="B699" s="19" t="str">
        <f t="shared" si="82"/>
        <v>B-Banco de la Nacion</v>
      </c>
      <c r="C699" s="3" t="s">
        <v>1330</v>
      </c>
      <c r="D699" s="14">
        <v>45908</v>
      </c>
      <c r="E699" s="5">
        <v>20603065906</v>
      </c>
      <c r="F699" s="5" t="s">
        <v>1303</v>
      </c>
      <c r="G699" s="6"/>
      <c r="H699" s="6"/>
      <c r="I699" s="6" t="s">
        <v>3381</v>
      </c>
      <c r="J699" s="6">
        <v>57</v>
      </c>
      <c r="K699" s="7" t="s">
        <v>5232</v>
      </c>
      <c r="L699" s="8">
        <v>89416952</v>
      </c>
      <c r="M699" s="8" t="str">
        <f t="shared" si="83"/>
        <v>PEN</v>
      </c>
      <c r="N699" s="13"/>
      <c r="O699" s="13">
        <v>131</v>
      </c>
      <c r="P699" s="3">
        <f t="shared" si="84"/>
        <v>131</v>
      </c>
      <c r="Q699" s="3">
        <f t="shared" si="85"/>
        <v>0</v>
      </c>
      <c r="R699" s="3">
        <f t="shared" si="86"/>
        <v>14183.220000000008</v>
      </c>
      <c r="S699" s="28" t="s">
        <v>1334</v>
      </c>
      <c r="T699" s="28" t="s">
        <v>1334</v>
      </c>
      <c r="U699" s="3"/>
      <c r="V699" s="19" t="str">
        <f>IFERROR(VLOOKUP(Banco_Nacion[[#This Row],[responsable]],Clientes_Proveedores[[Ruc / Dni]:[Razon Social]],2,0),"")</f>
        <v>COMERCIO SERVICIOS E INVERSIONES YANCE E.I.R.L.</v>
      </c>
      <c r="W699" s="19" t="str">
        <f>IF(Banco_Nacion[[#This Row],[tipo_mov]]="INGRESO",Banco_Nacion[[#This Row],[serie]]&amp;Banco_Nacion[[#This Row],[numero]]&amp;Banco_Nacion[[#This Row],[responsable]]&amp;Banco_Nacion[[#This Row],[monto]],"")</f>
        <v>FF055720603065906131</v>
      </c>
      <c r="X699" s="162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89416952</v>
      </c>
      <c r="Y699" s="3" t="str">
        <f>IFERROR(VLOOKUP(Banco_Nacion[[#This Row],[serie]]&amp;Banco_Nacion[[#This Row],[numero]]&amp;Banco_Nacion[[#This Row],[responsable]],[2]!Provision_CXC[[ID CXP]:[DETRACCION]],47,0),"")</f>
        <v/>
      </c>
      <c r="Z699" s="3"/>
      <c r="AA699" s="24" t="str">
        <f>IF(Banco_Nacion[[#This Row],[fecha]]&gt;0,TEXT(Banco_Nacion[[#This Row],[fecha]],"mmmm"),0)</f>
        <v>Setiembre</v>
      </c>
    </row>
    <row r="700" spans="1:27" x14ac:dyDescent="0.3">
      <c r="A700" s="2">
        <f>IF(Banco_Nacion[[#This Row],[tipo_registro]]="R",COUNTIFS($C$1:$C699,"R")+1,"")</f>
        <v>633</v>
      </c>
      <c r="B700" s="19" t="str">
        <f t="shared" si="82"/>
        <v>B-Banco de la Nacion</v>
      </c>
      <c r="C700" s="3" t="s">
        <v>1330</v>
      </c>
      <c r="D700" s="14">
        <v>45908</v>
      </c>
      <c r="E700" s="5">
        <v>20100383919</v>
      </c>
      <c r="F700" s="5" t="s">
        <v>1303</v>
      </c>
      <c r="G700" s="6"/>
      <c r="H700" s="6"/>
      <c r="I700" s="6" t="s">
        <v>1784</v>
      </c>
      <c r="J700" s="6">
        <v>208</v>
      </c>
      <c r="K700" s="7" t="s">
        <v>5232</v>
      </c>
      <c r="L700" s="8">
        <v>89372321</v>
      </c>
      <c r="M700" s="8" t="str">
        <f t="shared" si="83"/>
        <v>PEN</v>
      </c>
      <c r="N700" s="13"/>
      <c r="O700" s="13">
        <v>146</v>
      </c>
      <c r="P700" s="3">
        <f t="shared" si="84"/>
        <v>146</v>
      </c>
      <c r="Q700" s="3">
        <f t="shared" si="85"/>
        <v>0</v>
      </c>
      <c r="R700" s="3">
        <f t="shared" si="86"/>
        <v>14329.220000000008</v>
      </c>
      <c r="S700" s="28" t="s">
        <v>1334</v>
      </c>
      <c r="T700" s="28" t="s">
        <v>1334</v>
      </c>
      <c r="U700" s="3"/>
      <c r="V700" s="19" t="str">
        <f>IFERROR(VLOOKUP(Banco_Nacion[[#This Row],[responsable]],Clientes_Proveedores[[Ruc / Dni]:[Razon Social]],2,0),"")</f>
        <v>STIERLIFT S.A.</v>
      </c>
      <c r="W700" s="19" t="str">
        <f>IF(Banco_Nacion[[#This Row],[tipo_mov]]="INGRESO",Banco_Nacion[[#This Row],[serie]]&amp;Banco_Nacion[[#This Row],[numero]]&amp;Banco_Nacion[[#This Row],[responsable]]&amp;Banco_Nacion[[#This Row],[monto]],"")</f>
        <v>FF0120820100383919146</v>
      </c>
      <c r="X700" s="162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89372321</v>
      </c>
      <c r="Y700" s="3" t="str">
        <f>IFERROR(VLOOKUP(Banco_Nacion[[#This Row],[serie]]&amp;Banco_Nacion[[#This Row],[numero]]&amp;Banco_Nacion[[#This Row],[responsable]],[2]!Provision_CXC[[ID CXP]:[DETRACCION]],47,0),"")</f>
        <v/>
      </c>
      <c r="Z700" s="3"/>
      <c r="AA700" s="24" t="str">
        <f>IF(Banco_Nacion[[#This Row],[fecha]]&gt;0,TEXT(Banco_Nacion[[#This Row],[fecha]],"mmmm"),0)</f>
        <v>Setiembre</v>
      </c>
    </row>
    <row r="701" spans="1:27" x14ac:dyDescent="0.3">
      <c r="A701" s="2">
        <f>IF(Banco_Nacion[[#This Row],[tipo_registro]]="R",COUNTIFS($C$1:$C700,"R")+1,"")</f>
        <v>634</v>
      </c>
      <c r="B701" s="19" t="str">
        <f t="shared" si="82"/>
        <v>B-Banco de la Nacion</v>
      </c>
      <c r="C701" s="3" t="s">
        <v>1330</v>
      </c>
      <c r="D701" s="14">
        <v>45908</v>
      </c>
      <c r="E701" s="5">
        <v>20498311963</v>
      </c>
      <c r="F701" s="5" t="s">
        <v>1303</v>
      </c>
      <c r="G701" s="6"/>
      <c r="H701" s="6"/>
      <c r="I701" s="6" t="s">
        <v>1784</v>
      </c>
      <c r="J701" s="6">
        <v>209</v>
      </c>
      <c r="K701" s="7" t="s">
        <v>5232</v>
      </c>
      <c r="L701" s="8">
        <v>89313809</v>
      </c>
      <c r="M701" s="8" t="str">
        <f t="shared" si="83"/>
        <v>PEN</v>
      </c>
      <c r="N701" s="13"/>
      <c r="O701" s="13">
        <v>126</v>
      </c>
      <c r="P701" s="3">
        <f t="shared" si="84"/>
        <v>126</v>
      </c>
      <c r="Q701" s="3">
        <f t="shared" si="85"/>
        <v>0</v>
      </c>
      <c r="R701" s="3">
        <f t="shared" si="86"/>
        <v>14455.220000000008</v>
      </c>
      <c r="S701" s="28" t="s">
        <v>1334</v>
      </c>
      <c r="T701" s="28" t="s">
        <v>1334</v>
      </c>
      <c r="U701" s="3"/>
      <c r="V701" s="19" t="str">
        <f>IFERROR(VLOOKUP(Banco_Nacion[[#This Row],[responsable]],Clientes_Proveedores[[Ruc / Dni]:[Razon Social]],2,0),"")</f>
        <v>TRANSPORTES JIRENA S.A.C.</v>
      </c>
      <c r="W701" s="19" t="str">
        <f>IF(Banco_Nacion[[#This Row],[tipo_mov]]="INGRESO",Banco_Nacion[[#This Row],[serie]]&amp;Banco_Nacion[[#This Row],[numero]]&amp;Banco_Nacion[[#This Row],[responsable]]&amp;Banco_Nacion[[#This Row],[monto]],"")</f>
        <v>FF0120920498311963126</v>
      </c>
      <c r="X701" s="162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89313809</v>
      </c>
      <c r="Y701" s="3" t="str">
        <f>IFERROR(VLOOKUP(Banco_Nacion[[#This Row],[serie]]&amp;Banco_Nacion[[#This Row],[numero]]&amp;Banco_Nacion[[#This Row],[responsable]],[2]!Provision_CXC[[ID CXP]:[DETRACCION]],47,0),"")</f>
        <v/>
      </c>
      <c r="Z701" s="3"/>
      <c r="AA701" s="24" t="str">
        <f>IF(Banco_Nacion[[#This Row],[fecha]]&gt;0,TEXT(Banco_Nacion[[#This Row],[fecha]],"mmmm"),0)</f>
        <v>Setiembre</v>
      </c>
    </row>
    <row r="702" spans="1:27" x14ac:dyDescent="0.3">
      <c r="A702" s="2">
        <f>IF(Banco_Nacion[[#This Row],[tipo_registro]]="R",COUNTIFS($C$1:$C701,"R")+1,"")</f>
        <v>635</v>
      </c>
      <c r="B702" s="19" t="str">
        <f t="shared" si="82"/>
        <v>B-Banco de la Nacion</v>
      </c>
      <c r="C702" s="3" t="s">
        <v>1330</v>
      </c>
      <c r="D702" s="14">
        <v>45910</v>
      </c>
      <c r="E702" s="5">
        <v>20402885549</v>
      </c>
      <c r="F702" s="5" t="s">
        <v>1303</v>
      </c>
      <c r="G702" s="6"/>
      <c r="H702" s="6"/>
      <c r="I702" s="6" t="s">
        <v>3302</v>
      </c>
      <c r="J702" s="6">
        <v>128</v>
      </c>
      <c r="K702" s="7" t="s">
        <v>5232</v>
      </c>
      <c r="L702" s="8">
        <v>90029831</v>
      </c>
      <c r="M702" s="8" t="str">
        <f t="shared" si="83"/>
        <v>PEN</v>
      </c>
      <c r="N702" s="13"/>
      <c r="O702" s="13">
        <v>3095</v>
      </c>
      <c r="P702" s="3">
        <f t="shared" si="84"/>
        <v>3095</v>
      </c>
      <c r="Q702" s="3">
        <f t="shared" si="85"/>
        <v>0</v>
      </c>
      <c r="R702" s="3">
        <f t="shared" si="86"/>
        <v>17550.220000000008</v>
      </c>
      <c r="S702" s="28" t="s">
        <v>1334</v>
      </c>
      <c r="T702" s="28" t="s">
        <v>1334</v>
      </c>
      <c r="U702" s="3"/>
      <c r="V702" s="19" t="str">
        <f>IFERROR(VLOOKUP(Banco_Nacion[[#This Row],[responsable]],Clientes_Proveedores[[Ruc / Dni]:[Razon Social]],2,0),"")</f>
        <v>EMPRESA SIDERURGICA DEL PERU S.A.A.</v>
      </c>
      <c r="W702" s="19" t="str">
        <f>IF(Banco_Nacion[[#This Row],[tipo_mov]]="INGRESO",Banco_Nacion[[#This Row],[serie]]&amp;Banco_Nacion[[#This Row],[numero]]&amp;Banco_Nacion[[#This Row],[responsable]]&amp;Banco_Nacion[[#This Row],[monto]],"")</f>
        <v>FF02128204028855493095</v>
      </c>
      <c r="X702" s="162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90029831</v>
      </c>
      <c r="Y702" s="3" t="str">
        <f>IFERROR(VLOOKUP(Banco_Nacion[[#This Row],[serie]]&amp;Banco_Nacion[[#This Row],[numero]]&amp;Banco_Nacion[[#This Row],[responsable]],[2]!Provision_CXC[[ID CXP]:[DETRACCION]],47,0),"")</f>
        <v/>
      </c>
      <c r="Z702" s="3"/>
      <c r="AA702" s="24" t="str">
        <f>IF(Banco_Nacion[[#This Row],[fecha]]&gt;0,TEXT(Banco_Nacion[[#This Row],[fecha]],"mmmm"),0)</f>
        <v>Setiembre</v>
      </c>
    </row>
    <row r="703" spans="1:27" x14ac:dyDescent="0.3">
      <c r="A703" s="2">
        <f>IF(Banco_Nacion[[#This Row],[tipo_registro]]="R",COUNTIFS($C$1:$C702,"R")+1,"")</f>
        <v>636</v>
      </c>
      <c r="B703" s="19" t="str">
        <f t="shared" si="82"/>
        <v>B-Banco de la Nacion</v>
      </c>
      <c r="C703" s="3" t="s">
        <v>1330</v>
      </c>
      <c r="D703" s="14">
        <v>45910</v>
      </c>
      <c r="E703" s="5">
        <v>20606592494</v>
      </c>
      <c r="F703" s="5" t="s">
        <v>1303</v>
      </c>
      <c r="G703" s="6"/>
      <c r="H703" s="6"/>
      <c r="I703" s="6" t="s">
        <v>3736</v>
      </c>
      <c r="J703" s="6">
        <v>14</v>
      </c>
      <c r="K703" s="7" t="s">
        <v>5232</v>
      </c>
      <c r="L703" s="8">
        <v>90026988</v>
      </c>
      <c r="M703" s="8" t="str">
        <f t="shared" si="83"/>
        <v>PEN</v>
      </c>
      <c r="N703" s="13"/>
      <c r="O703" s="13">
        <v>177</v>
      </c>
      <c r="P703" s="3">
        <f t="shared" si="84"/>
        <v>177</v>
      </c>
      <c r="Q703" s="3">
        <f t="shared" si="85"/>
        <v>0</v>
      </c>
      <c r="R703" s="3">
        <f t="shared" si="86"/>
        <v>17727.220000000008</v>
      </c>
      <c r="S703" s="24"/>
      <c r="T703" s="24"/>
      <c r="U703" s="3"/>
      <c r="V703" s="19" t="str">
        <f>IFERROR(VLOOKUP(Banco_Nacion[[#This Row],[responsable]],Clientes_Proveedores[[Ruc / Dni]:[Razon Social]],2,0),"")</f>
        <v>RESIGRALE S.R.L.</v>
      </c>
      <c r="W703" s="19" t="str">
        <f>IF(Banco_Nacion[[#This Row],[tipo_mov]]="INGRESO",Banco_Nacion[[#This Row],[serie]]&amp;Banco_Nacion[[#This Row],[numero]]&amp;Banco_Nacion[[#This Row],[responsable]]&amp;Banco_Nacion[[#This Row],[monto]],"")</f>
        <v>FF071420606592494177</v>
      </c>
      <c r="X703" s="162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90026988</v>
      </c>
      <c r="Y703" s="3" t="str">
        <f>IFERROR(VLOOKUP(Banco_Nacion[[#This Row],[serie]]&amp;Banco_Nacion[[#This Row],[numero]]&amp;Banco_Nacion[[#This Row],[responsable]],[2]!Provision_CXC[[ID CXP]:[DETRACCION]],47,0),"")</f>
        <v/>
      </c>
      <c r="Z703" s="3"/>
      <c r="AA703" s="24" t="str">
        <f>IF(Banco_Nacion[[#This Row],[fecha]]&gt;0,TEXT(Banco_Nacion[[#This Row],[fecha]],"mmmm"),0)</f>
        <v>Setiembre</v>
      </c>
    </row>
    <row r="704" spans="1:27" x14ac:dyDescent="0.3">
      <c r="A704" s="2">
        <f>IF(Banco_Nacion[[#This Row],[tipo_registro]]="R",COUNTIFS($C$1:$C703,"R")+1,"")</f>
        <v>637</v>
      </c>
      <c r="B704" s="19" t="str">
        <f t="shared" si="82"/>
        <v>B-Banco de la Nacion</v>
      </c>
      <c r="C704" s="3" t="s">
        <v>1330</v>
      </c>
      <c r="D704" s="14">
        <v>45910</v>
      </c>
      <c r="E704" s="5">
        <v>20606592494</v>
      </c>
      <c r="F704" s="5" t="s">
        <v>1303</v>
      </c>
      <c r="G704" s="6"/>
      <c r="H704" s="6"/>
      <c r="I704" s="6" t="s">
        <v>3736</v>
      </c>
      <c r="J704" s="6">
        <v>13</v>
      </c>
      <c r="K704" s="7" t="s">
        <v>5232</v>
      </c>
      <c r="L704" s="8">
        <v>90026987</v>
      </c>
      <c r="M704" s="8" t="str">
        <f t="shared" si="83"/>
        <v>PEN</v>
      </c>
      <c r="N704" s="13"/>
      <c r="O704" s="13">
        <v>398</v>
      </c>
      <c r="P704" s="3">
        <f t="shared" si="84"/>
        <v>398</v>
      </c>
      <c r="Q704" s="3">
        <f t="shared" si="85"/>
        <v>0</v>
      </c>
      <c r="R704" s="3">
        <f t="shared" si="86"/>
        <v>18125.220000000008</v>
      </c>
      <c r="S704" s="24"/>
      <c r="T704" s="24"/>
      <c r="U704" s="3"/>
      <c r="V704" s="19" t="str">
        <f>IFERROR(VLOOKUP(Banco_Nacion[[#This Row],[responsable]],Clientes_Proveedores[[Ruc / Dni]:[Razon Social]],2,0),"")</f>
        <v>RESIGRALE S.R.L.</v>
      </c>
      <c r="W704" s="19" t="str">
        <f>IF(Banco_Nacion[[#This Row],[tipo_mov]]="INGRESO",Banco_Nacion[[#This Row],[serie]]&amp;Banco_Nacion[[#This Row],[numero]]&amp;Banco_Nacion[[#This Row],[responsable]]&amp;Banco_Nacion[[#This Row],[monto]],"")</f>
        <v>FF071320606592494398</v>
      </c>
      <c r="X704" s="162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90026987</v>
      </c>
      <c r="Y704" s="3" t="str">
        <f>IFERROR(VLOOKUP(Banco_Nacion[[#This Row],[serie]]&amp;Banco_Nacion[[#This Row],[numero]]&amp;Banco_Nacion[[#This Row],[responsable]],[2]!Provision_CXC[[ID CXP]:[DETRACCION]],47,0),"")</f>
        <v/>
      </c>
      <c r="Z704" s="3"/>
      <c r="AA704" s="24" t="str">
        <f>IF(Banco_Nacion[[#This Row],[fecha]]&gt;0,TEXT(Banco_Nacion[[#This Row],[fecha]],"mmmm"),0)</f>
        <v>Setiembre</v>
      </c>
    </row>
    <row r="705" spans="1:27" x14ac:dyDescent="0.3">
      <c r="A705" s="2">
        <f>IF(Banco_Nacion[[#This Row],[tipo_registro]]="R",COUNTIFS($C$1:$C704,"R")+1,"")</f>
        <v>638</v>
      </c>
      <c r="B705" s="19" t="str">
        <f t="shared" si="82"/>
        <v>B-Banco de la Nacion</v>
      </c>
      <c r="C705" s="3" t="s">
        <v>1330</v>
      </c>
      <c r="D705" s="14">
        <v>45910</v>
      </c>
      <c r="E705" s="5">
        <v>20606592494</v>
      </c>
      <c r="F705" s="5" t="s">
        <v>1303</v>
      </c>
      <c r="G705" s="6"/>
      <c r="H705" s="6"/>
      <c r="I705" s="6" t="s">
        <v>3736</v>
      </c>
      <c r="J705" s="6">
        <v>12</v>
      </c>
      <c r="K705" s="7" t="s">
        <v>5232</v>
      </c>
      <c r="L705" s="8">
        <v>90026986</v>
      </c>
      <c r="M705" s="8" t="str">
        <f t="shared" si="83"/>
        <v>PEN</v>
      </c>
      <c r="N705" s="13"/>
      <c r="O705" s="13">
        <v>478</v>
      </c>
      <c r="P705" s="3">
        <f t="shared" si="84"/>
        <v>478</v>
      </c>
      <c r="Q705" s="3">
        <f t="shared" si="85"/>
        <v>0</v>
      </c>
      <c r="R705" s="3">
        <f t="shared" si="86"/>
        <v>18603.220000000008</v>
      </c>
      <c r="S705" s="24"/>
      <c r="T705" s="24"/>
      <c r="U705" s="3"/>
      <c r="V705" s="19" t="str">
        <f>IFERROR(VLOOKUP(Banco_Nacion[[#This Row],[responsable]],Clientes_Proveedores[[Ruc / Dni]:[Razon Social]],2,0),"")</f>
        <v>RESIGRALE S.R.L.</v>
      </c>
      <c r="W705" s="19" t="str">
        <f>IF(Banco_Nacion[[#This Row],[tipo_mov]]="INGRESO",Banco_Nacion[[#This Row],[serie]]&amp;Banco_Nacion[[#This Row],[numero]]&amp;Banco_Nacion[[#This Row],[responsable]]&amp;Banco_Nacion[[#This Row],[monto]],"")</f>
        <v>FF071220606592494478</v>
      </c>
      <c r="X705" s="162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90026986</v>
      </c>
      <c r="Y705" s="3" t="str">
        <f>IFERROR(VLOOKUP(Banco_Nacion[[#This Row],[serie]]&amp;Banco_Nacion[[#This Row],[numero]]&amp;Banco_Nacion[[#This Row],[responsable]],[2]!Provision_CXC[[ID CXP]:[DETRACCION]],47,0),"")</f>
        <v/>
      </c>
      <c r="Z705" s="3"/>
      <c r="AA705" s="24" t="str">
        <f>IF(Banco_Nacion[[#This Row],[fecha]]&gt;0,TEXT(Banco_Nacion[[#This Row],[fecha]],"mmmm"),0)</f>
        <v>Setiembre</v>
      </c>
    </row>
    <row r="706" spans="1:27" x14ac:dyDescent="0.3">
      <c r="A706" s="2">
        <f>IF(Banco_Nacion[[#This Row],[tipo_registro]]="R",COUNTIFS($C$1:$C705,"R")+1,"")</f>
        <v>639</v>
      </c>
      <c r="B706" s="19" t="str">
        <f t="shared" si="82"/>
        <v>B-Banco de la Nacion</v>
      </c>
      <c r="C706" s="3" t="s">
        <v>1330</v>
      </c>
      <c r="D706" s="14">
        <v>45910</v>
      </c>
      <c r="E706" s="5">
        <v>20606592494</v>
      </c>
      <c r="F706" s="5" t="s">
        <v>1303</v>
      </c>
      <c r="G706" s="6"/>
      <c r="H706" s="6"/>
      <c r="I706" s="6" t="s">
        <v>3736</v>
      </c>
      <c r="J706" s="6">
        <v>11</v>
      </c>
      <c r="K706" s="7" t="s">
        <v>5232</v>
      </c>
      <c r="L706" s="8">
        <v>90026985</v>
      </c>
      <c r="M706" s="8" t="str">
        <f t="shared" si="83"/>
        <v>PEN</v>
      </c>
      <c r="N706" s="13"/>
      <c r="O706" s="13">
        <v>425</v>
      </c>
      <c r="P706" s="3">
        <f t="shared" si="84"/>
        <v>425</v>
      </c>
      <c r="Q706" s="3">
        <f t="shared" si="85"/>
        <v>0</v>
      </c>
      <c r="R706" s="3">
        <f t="shared" si="86"/>
        <v>19028.220000000008</v>
      </c>
      <c r="S706" s="24"/>
      <c r="T706" s="24"/>
      <c r="U706" s="3"/>
      <c r="V706" s="19" t="str">
        <f>IFERROR(VLOOKUP(Banco_Nacion[[#This Row],[responsable]],Clientes_Proveedores[[Ruc / Dni]:[Razon Social]],2,0),"")</f>
        <v>RESIGRALE S.R.L.</v>
      </c>
      <c r="W706" s="19" t="str">
        <f>IF(Banco_Nacion[[#This Row],[tipo_mov]]="INGRESO",Banco_Nacion[[#This Row],[serie]]&amp;Banco_Nacion[[#This Row],[numero]]&amp;Banco_Nacion[[#This Row],[responsable]]&amp;Banco_Nacion[[#This Row],[monto]],"")</f>
        <v>FF071120606592494425</v>
      </c>
      <c r="X706" s="162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90026985</v>
      </c>
      <c r="Y706" s="3" t="str">
        <f>IFERROR(VLOOKUP(Banco_Nacion[[#This Row],[serie]]&amp;Banco_Nacion[[#This Row],[numero]]&amp;Banco_Nacion[[#This Row],[responsable]],[2]!Provision_CXC[[ID CXP]:[DETRACCION]],47,0),"")</f>
        <v/>
      </c>
      <c r="Z706" s="3"/>
      <c r="AA706" s="24" t="str">
        <f>IF(Banco_Nacion[[#This Row],[fecha]]&gt;0,TEXT(Banco_Nacion[[#This Row],[fecha]],"mmmm"),0)</f>
        <v>Setiembre</v>
      </c>
    </row>
    <row r="707" spans="1:27" x14ac:dyDescent="0.3">
      <c r="A707" s="2">
        <f>IF(Banco_Nacion[[#This Row],[tipo_registro]]="R",COUNTIFS($C$1:$C706,"R")+1,"")</f>
        <v>640</v>
      </c>
      <c r="B707" s="19" t="str">
        <f t="shared" si="82"/>
        <v>B-Banco de la Nacion</v>
      </c>
      <c r="C707" s="3" t="s">
        <v>1330</v>
      </c>
      <c r="D707" s="14">
        <v>45910</v>
      </c>
      <c r="E707" s="5">
        <v>20606592494</v>
      </c>
      <c r="F707" s="5" t="s">
        <v>1303</v>
      </c>
      <c r="G707" s="6"/>
      <c r="H707" s="6"/>
      <c r="I707" s="6" t="s">
        <v>3736</v>
      </c>
      <c r="J707" s="6">
        <v>10</v>
      </c>
      <c r="K707" s="7" t="s">
        <v>5232</v>
      </c>
      <c r="L707" s="8">
        <v>90026984</v>
      </c>
      <c r="M707" s="8" t="str">
        <f t="shared" si="83"/>
        <v>PEN</v>
      </c>
      <c r="N707" s="13"/>
      <c r="O707" s="13">
        <v>779</v>
      </c>
      <c r="P707" s="3">
        <f t="shared" si="84"/>
        <v>779</v>
      </c>
      <c r="Q707" s="3">
        <f t="shared" si="85"/>
        <v>0</v>
      </c>
      <c r="R707" s="3">
        <f t="shared" si="86"/>
        <v>19807.220000000008</v>
      </c>
      <c r="S707" s="24"/>
      <c r="T707" s="24"/>
      <c r="U707" s="3"/>
      <c r="V707" s="19" t="str">
        <f>IFERROR(VLOOKUP(Banco_Nacion[[#This Row],[responsable]],Clientes_Proveedores[[Ruc / Dni]:[Razon Social]],2,0),"")</f>
        <v>RESIGRALE S.R.L.</v>
      </c>
      <c r="W707" s="19" t="str">
        <f>IF(Banco_Nacion[[#This Row],[tipo_mov]]="INGRESO",Banco_Nacion[[#This Row],[serie]]&amp;Banco_Nacion[[#This Row],[numero]]&amp;Banco_Nacion[[#This Row],[responsable]]&amp;Banco_Nacion[[#This Row],[monto]],"")</f>
        <v>FF071020606592494779</v>
      </c>
      <c r="X707" s="162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90026984</v>
      </c>
      <c r="Y707" s="3" t="str">
        <f>IFERROR(VLOOKUP(Banco_Nacion[[#This Row],[serie]]&amp;Banco_Nacion[[#This Row],[numero]]&amp;Banco_Nacion[[#This Row],[responsable]],[2]!Provision_CXC[[ID CXP]:[DETRACCION]],47,0),"")</f>
        <v/>
      </c>
      <c r="Z707" s="3"/>
      <c r="AA707" s="24" t="str">
        <f>IF(Banco_Nacion[[#This Row],[fecha]]&gt;0,TEXT(Banco_Nacion[[#This Row],[fecha]],"mmmm"),0)</f>
        <v>Setiembre</v>
      </c>
    </row>
    <row r="708" spans="1:27" x14ac:dyDescent="0.3">
      <c r="A708" s="2">
        <f>IF(Banco_Nacion[[#This Row],[tipo_registro]]="R",COUNTIFS($C$1:$C707,"R")+1,"")</f>
        <v>641</v>
      </c>
      <c r="B708" s="19" t="str">
        <f t="shared" si="82"/>
        <v>B-Banco de la Nacion</v>
      </c>
      <c r="C708" s="3" t="s">
        <v>1330</v>
      </c>
      <c r="D708" s="14">
        <v>45910</v>
      </c>
      <c r="E708" s="5">
        <v>20606592494</v>
      </c>
      <c r="F708" s="5" t="s">
        <v>1303</v>
      </c>
      <c r="G708" s="6"/>
      <c r="H708" s="6"/>
      <c r="I708" s="6" t="s">
        <v>3736</v>
      </c>
      <c r="J708" s="6">
        <v>9</v>
      </c>
      <c r="K708" s="7" t="s">
        <v>5232</v>
      </c>
      <c r="L708" s="8">
        <v>90026983</v>
      </c>
      <c r="M708" s="8" t="str">
        <f t="shared" si="83"/>
        <v>PEN</v>
      </c>
      <c r="N708" s="13"/>
      <c r="O708" s="13">
        <v>531</v>
      </c>
      <c r="P708" s="3">
        <f t="shared" si="84"/>
        <v>531</v>
      </c>
      <c r="Q708" s="3">
        <f t="shared" si="85"/>
        <v>0</v>
      </c>
      <c r="R708" s="3">
        <f t="shared" si="86"/>
        <v>20338.220000000008</v>
      </c>
      <c r="S708" s="24"/>
      <c r="T708" s="24"/>
      <c r="U708" s="3"/>
      <c r="V708" s="19" t="str">
        <f>IFERROR(VLOOKUP(Banco_Nacion[[#This Row],[responsable]],Clientes_Proveedores[[Ruc / Dni]:[Razon Social]],2,0),"")</f>
        <v>RESIGRALE S.R.L.</v>
      </c>
      <c r="W708" s="19" t="str">
        <f>IF(Banco_Nacion[[#This Row],[tipo_mov]]="INGRESO",Banco_Nacion[[#This Row],[serie]]&amp;Banco_Nacion[[#This Row],[numero]]&amp;Banco_Nacion[[#This Row],[responsable]]&amp;Banco_Nacion[[#This Row],[monto]],"")</f>
        <v>FF07920606592494531</v>
      </c>
      <c r="X708" s="162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90026983</v>
      </c>
      <c r="Y708" s="3" t="str">
        <f>IFERROR(VLOOKUP(Banco_Nacion[[#This Row],[serie]]&amp;Banco_Nacion[[#This Row],[numero]]&amp;Banco_Nacion[[#This Row],[responsable]],[2]!Provision_CXC[[ID CXP]:[DETRACCION]],47,0),"")</f>
        <v/>
      </c>
      <c r="Z708" s="3"/>
      <c r="AA708" s="24" t="str">
        <f>IF(Banco_Nacion[[#This Row],[fecha]]&gt;0,TEXT(Banco_Nacion[[#This Row],[fecha]],"mmmm"),0)</f>
        <v>Setiembre</v>
      </c>
    </row>
    <row r="709" spans="1:27" x14ac:dyDescent="0.3">
      <c r="A709" s="2">
        <f>IF(Banco_Nacion[[#This Row],[tipo_registro]]="R",COUNTIFS($C$1:$C708,"R")+1,"")</f>
        <v>642</v>
      </c>
      <c r="B709" s="19" t="str">
        <f t="shared" si="82"/>
        <v>B-Banco de la Nacion</v>
      </c>
      <c r="C709" s="3" t="s">
        <v>1330</v>
      </c>
      <c r="D709" s="14">
        <v>45910</v>
      </c>
      <c r="E709" s="5">
        <v>20606592494</v>
      </c>
      <c r="F709" s="5" t="s">
        <v>1303</v>
      </c>
      <c r="G709" s="6"/>
      <c r="H709" s="6"/>
      <c r="I709" s="6" t="s">
        <v>3736</v>
      </c>
      <c r="J709" s="6">
        <v>8</v>
      </c>
      <c r="K709" s="7" t="s">
        <v>5232</v>
      </c>
      <c r="L709" s="8">
        <v>90026982</v>
      </c>
      <c r="M709" s="8" t="str">
        <f t="shared" si="83"/>
        <v>PEN</v>
      </c>
      <c r="N709" s="13"/>
      <c r="O709" s="13">
        <v>531</v>
      </c>
      <c r="P709" s="3">
        <f t="shared" si="84"/>
        <v>531</v>
      </c>
      <c r="Q709" s="3">
        <f t="shared" si="85"/>
        <v>0</v>
      </c>
      <c r="R709" s="3">
        <f t="shared" si="86"/>
        <v>20869.220000000008</v>
      </c>
      <c r="S709" s="24"/>
      <c r="T709" s="24"/>
      <c r="U709" s="3"/>
      <c r="V709" s="19" t="str">
        <f>IFERROR(VLOOKUP(Banco_Nacion[[#This Row],[responsable]],Clientes_Proveedores[[Ruc / Dni]:[Razon Social]],2,0),"")</f>
        <v>RESIGRALE S.R.L.</v>
      </c>
      <c r="W709" s="19" t="str">
        <f>IF(Banco_Nacion[[#This Row],[tipo_mov]]="INGRESO",Banco_Nacion[[#This Row],[serie]]&amp;Banco_Nacion[[#This Row],[numero]]&amp;Banco_Nacion[[#This Row],[responsable]]&amp;Banco_Nacion[[#This Row],[monto]],"")</f>
        <v>FF07820606592494531</v>
      </c>
      <c r="X709" s="162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90026982</v>
      </c>
      <c r="Y709" s="3" t="str">
        <f>IFERROR(VLOOKUP(Banco_Nacion[[#This Row],[serie]]&amp;Banco_Nacion[[#This Row],[numero]]&amp;Banco_Nacion[[#This Row],[responsable]],[2]!Provision_CXC[[ID CXP]:[DETRACCION]],47,0),"")</f>
        <v/>
      </c>
      <c r="Z709" s="3"/>
      <c r="AA709" s="24" t="str">
        <f>IF(Banco_Nacion[[#This Row],[fecha]]&gt;0,TEXT(Banco_Nacion[[#This Row],[fecha]],"mmmm"),0)</f>
        <v>Setiembre</v>
      </c>
    </row>
    <row r="710" spans="1:27" x14ac:dyDescent="0.3">
      <c r="A710" s="2">
        <f>IF(Banco_Nacion[[#This Row],[tipo_registro]]="R",COUNTIFS($C$1:$C709,"R")+1,"")</f>
        <v>643</v>
      </c>
      <c r="B710" s="19" t="str">
        <f t="shared" si="82"/>
        <v>B-Banco de la Nacion</v>
      </c>
      <c r="C710" s="3" t="s">
        <v>1330</v>
      </c>
      <c r="D710" s="14">
        <v>45910</v>
      </c>
      <c r="E710" s="5">
        <v>20606592494</v>
      </c>
      <c r="F710" s="5" t="s">
        <v>1303</v>
      </c>
      <c r="G710" s="6"/>
      <c r="H710" s="6"/>
      <c r="I710" s="6" t="s">
        <v>3736</v>
      </c>
      <c r="J710" s="6">
        <v>7</v>
      </c>
      <c r="K710" s="7" t="s">
        <v>5232</v>
      </c>
      <c r="L710" s="8">
        <v>90026981</v>
      </c>
      <c r="M710" s="8" t="str">
        <f t="shared" si="83"/>
        <v>PEN</v>
      </c>
      <c r="N710" s="13"/>
      <c r="O710" s="13">
        <v>266</v>
      </c>
      <c r="P710" s="3">
        <f t="shared" si="84"/>
        <v>266</v>
      </c>
      <c r="Q710" s="3">
        <f t="shared" si="85"/>
        <v>0</v>
      </c>
      <c r="R710" s="3">
        <f t="shared" si="86"/>
        <v>21135.220000000008</v>
      </c>
      <c r="S710" s="24"/>
      <c r="T710" s="24"/>
      <c r="U710" s="3"/>
      <c r="V710" s="19" t="str">
        <f>IFERROR(VLOOKUP(Banco_Nacion[[#This Row],[responsable]],Clientes_Proveedores[[Ruc / Dni]:[Razon Social]],2,0),"")</f>
        <v>RESIGRALE S.R.L.</v>
      </c>
      <c r="W710" s="19" t="str">
        <f>IF(Banco_Nacion[[#This Row],[tipo_mov]]="INGRESO",Banco_Nacion[[#This Row],[serie]]&amp;Banco_Nacion[[#This Row],[numero]]&amp;Banco_Nacion[[#This Row],[responsable]]&amp;Banco_Nacion[[#This Row],[monto]],"")</f>
        <v>FF07720606592494266</v>
      </c>
      <c r="X710" s="162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90026981</v>
      </c>
      <c r="Y710" s="3" t="str">
        <f>IFERROR(VLOOKUP(Banco_Nacion[[#This Row],[serie]]&amp;Banco_Nacion[[#This Row],[numero]]&amp;Banco_Nacion[[#This Row],[responsable]],[2]!Provision_CXC[[ID CXP]:[DETRACCION]],47,0),"")</f>
        <v/>
      </c>
      <c r="Z710" s="3"/>
      <c r="AA710" s="24" t="str">
        <f>IF(Banco_Nacion[[#This Row],[fecha]]&gt;0,TEXT(Banco_Nacion[[#This Row],[fecha]],"mmmm"),0)</f>
        <v>Setiembre</v>
      </c>
    </row>
    <row r="711" spans="1:27" x14ac:dyDescent="0.3">
      <c r="A711" s="2">
        <f>IF(Banco_Nacion[[#This Row],[tipo_registro]]="R",COUNTIFS($C$1:$C710,"R")+1,"")</f>
        <v>644</v>
      </c>
      <c r="B711" s="19" t="str">
        <f t="shared" si="82"/>
        <v>B-Banco de la Nacion</v>
      </c>
      <c r="C711" s="3" t="s">
        <v>1330</v>
      </c>
      <c r="D711" s="14">
        <v>45910</v>
      </c>
      <c r="E711" s="5">
        <v>20606592494</v>
      </c>
      <c r="F711" s="5" t="s">
        <v>1303</v>
      </c>
      <c r="G711" s="6"/>
      <c r="H711" s="6"/>
      <c r="I711" s="6" t="s">
        <v>3736</v>
      </c>
      <c r="J711" s="6">
        <v>6</v>
      </c>
      <c r="K711" s="7" t="s">
        <v>5232</v>
      </c>
      <c r="L711" s="8">
        <v>90026980</v>
      </c>
      <c r="M711" s="8" t="str">
        <f t="shared" si="83"/>
        <v>PEN</v>
      </c>
      <c r="N711" s="13"/>
      <c r="O711" s="13">
        <v>1416</v>
      </c>
      <c r="P711" s="3">
        <f t="shared" si="84"/>
        <v>1416</v>
      </c>
      <c r="Q711" s="3">
        <f t="shared" si="85"/>
        <v>0</v>
      </c>
      <c r="R711" s="3">
        <f t="shared" si="86"/>
        <v>22551.220000000008</v>
      </c>
      <c r="S711" s="24"/>
      <c r="T711" s="24"/>
      <c r="U711" s="3"/>
      <c r="V711" s="19" t="str">
        <f>IFERROR(VLOOKUP(Banco_Nacion[[#This Row],[responsable]],Clientes_Proveedores[[Ruc / Dni]:[Razon Social]],2,0),"")</f>
        <v>RESIGRALE S.R.L.</v>
      </c>
      <c r="W711" s="19" t="str">
        <f>IF(Banco_Nacion[[#This Row],[tipo_mov]]="INGRESO",Banco_Nacion[[#This Row],[serie]]&amp;Banco_Nacion[[#This Row],[numero]]&amp;Banco_Nacion[[#This Row],[responsable]]&amp;Banco_Nacion[[#This Row],[monto]],"")</f>
        <v>FF076206065924941416</v>
      </c>
      <c r="X711" s="162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90026980</v>
      </c>
      <c r="Y711" s="3" t="str">
        <f>IFERROR(VLOOKUP(Banco_Nacion[[#This Row],[serie]]&amp;Banco_Nacion[[#This Row],[numero]]&amp;Banco_Nacion[[#This Row],[responsable]],[2]!Provision_CXC[[ID CXP]:[DETRACCION]],47,0),"")</f>
        <v/>
      </c>
      <c r="Z711" s="3"/>
      <c r="AA711" s="24" t="str">
        <f>IF(Banco_Nacion[[#This Row],[fecha]]&gt;0,TEXT(Banco_Nacion[[#This Row],[fecha]],"mmmm"),0)</f>
        <v>Setiembre</v>
      </c>
    </row>
    <row r="712" spans="1:27" x14ac:dyDescent="0.3">
      <c r="A712" s="2">
        <f>IF(Banco_Nacion[[#This Row],[tipo_registro]]="R",COUNTIFS($C$1:$C711,"R")+1,"")</f>
        <v>645</v>
      </c>
      <c r="B712" s="19" t="str">
        <f t="shared" si="82"/>
        <v>B-Banco de la Nacion</v>
      </c>
      <c r="C712" s="3" t="s">
        <v>1330</v>
      </c>
      <c r="D712" s="14">
        <v>45911</v>
      </c>
      <c r="E712" s="5">
        <v>20141637941</v>
      </c>
      <c r="F712" s="5" t="s">
        <v>1303</v>
      </c>
      <c r="G712" s="6"/>
      <c r="H712" s="6"/>
      <c r="I712" s="6" t="s">
        <v>1784</v>
      </c>
      <c r="J712" s="6">
        <v>181</v>
      </c>
      <c r="K712" s="7" t="s">
        <v>5232</v>
      </c>
      <c r="L712" s="8">
        <v>90165153</v>
      </c>
      <c r="M712" s="8" t="str">
        <f t="shared" si="83"/>
        <v>PEN</v>
      </c>
      <c r="N712" s="13"/>
      <c r="O712" s="13">
        <v>387</v>
      </c>
      <c r="P712" s="3">
        <f t="shared" si="84"/>
        <v>387</v>
      </c>
      <c r="Q712" s="3">
        <f t="shared" si="85"/>
        <v>0</v>
      </c>
      <c r="R712" s="3">
        <f t="shared" si="86"/>
        <v>22938.220000000008</v>
      </c>
      <c r="S712" s="28" t="s">
        <v>1334</v>
      </c>
      <c r="T712" s="28" t="s">
        <v>1334</v>
      </c>
      <c r="U712" s="3"/>
      <c r="V712" s="19" t="str">
        <f>IFERROR(VLOOKUP(Banco_Nacion[[#This Row],[responsable]],Clientes_Proveedores[[Ruc / Dni]:[Razon Social]],2,0),"")</f>
        <v>UNIVERSIDAD CATOLICA DE SANTA MARIA</v>
      </c>
      <c r="W712" s="19" t="str">
        <f>IF(Banco_Nacion[[#This Row],[tipo_mov]]="INGRESO",Banco_Nacion[[#This Row],[serie]]&amp;Banco_Nacion[[#This Row],[numero]]&amp;Banco_Nacion[[#This Row],[responsable]]&amp;Banco_Nacion[[#This Row],[monto]],"")</f>
        <v>FF0118120141637941387</v>
      </c>
      <c r="X712" s="162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90165153</v>
      </c>
      <c r="Y712" s="3" t="str">
        <f>IFERROR(VLOOKUP(Banco_Nacion[[#This Row],[serie]]&amp;Banco_Nacion[[#This Row],[numero]]&amp;Banco_Nacion[[#This Row],[responsable]],[2]!Provision_CXC[[ID CXP]:[DETRACCION]],47,0),"")</f>
        <v/>
      </c>
      <c r="Z712" s="3"/>
      <c r="AA712" s="24" t="str">
        <f>IF(Banco_Nacion[[#This Row],[fecha]]&gt;0,TEXT(Banco_Nacion[[#This Row],[fecha]],"mmmm"),0)</f>
        <v>Setiembre</v>
      </c>
    </row>
    <row r="713" spans="1:27" x14ac:dyDescent="0.3">
      <c r="A713" s="2">
        <f>IF(Banco_Nacion[[#This Row],[tipo_registro]]="R",COUNTIFS($C$1:$C712,"R")+1,"")</f>
        <v>646</v>
      </c>
      <c r="B713" s="19" t="str">
        <f t="shared" si="82"/>
        <v>B-Banco de la Nacion</v>
      </c>
      <c r="C713" s="3" t="s">
        <v>1330</v>
      </c>
      <c r="D713" s="14">
        <v>45911</v>
      </c>
      <c r="E713" s="5">
        <v>20141637941</v>
      </c>
      <c r="F713" s="5" t="s">
        <v>1303</v>
      </c>
      <c r="G713" s="6"/>
      <c r="H713" s="6"/>
      <c r="I713" s="6" t="s">
        <v>1784</v>
      </c>
      <c r="J713" s="6">
        <v>177</v>
      </c>
      <c r="K713" s="7" t="s">
        <v>5232</v>
      </c>
      <c r="L713" s="8">
        <v>90165152</v>
      </c>
      <c r="M713" s="8" t="str">
        <f t="shared" si="83"/>
        <v>PEN</v>
      </c>
      <c r="N713" s="13"/>
      <c r="O713" s="13">
        <v>388</v>
      </c>
      <c r="P713" s="3">
        <f t="shared" si="84"/>
        <v>388</v>
      </c>
      <c r="Q713" s="3">
        <f t="shared" si="85"/>
        <v>0</v>
      </c>
      <c r="R713" s="3">
        <f t="shared" si="86"/>
        <v>23326.220000000008</v>
      </c>
      <c r="S713" s="28" t="s">
        <v>1334</v>
      </c>
      <c r="T713" s="28" t="s">
        <v>1334</v>
      </c>
      <c r="U713" s="3"/>
      <c r="V713" s="19" t="str">
        <f>IFERROR(VLOOKUP(Banco_Nacion[[#This Row],[responsable]],Clientes_Proveedores[[Ruc / Dni]:[Razon Social]],2,0),"")</f>
        <v>UNIVERSIDAD CATOLICA DE SANTA MARIA</v>
      </c>
      <c r="W713" s="19" t="str">
        <f>IF(Banco_Nacion[[#This Row],[tipo_mov]]="INGRESO",Banco_Nacion[[#This Row],[serie]]&amp;Banco_Nacion[[#This Row],[numero]]&amp;Banco_Nacion[[#This Row],[responsable]]&amp;Banco_Nacion[[#This Row],[monto]],"")</f>
        <v>FF0117720141637941388</v>
      </c>
      <c r="X713" s="162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90165152</v>
      </c>
      <c r="Y713" s="3" t="str">
        <f>IFERROR(VLOOKUP(Banco_Nacion[[#This Row],[serie]]&amp;Banco_Nacion[[#This Row],[numero]]&amp;Banco_Nacion[[#This Row],[responsable]],[2]!Provision_CXC[[ID CXP]:[DETRACCION]],47,0),"")</f>
        <v/>
      </c>
      <c r="Z713" s="3"/>
      <c r="AA713" s="24" t="str">
        <f>IF(Banco_Nacion[[#This Row],[fecha]]&gt;0,TEXT(Banco_Nacion[[#This Row],[fecha]],"mmmm"),0)</f>
        <v>Setiembre</v>
      </c>
    </row>
    <row r="714" spans="1:27" x14ac:dyDescent="0.3">
      <c r="A714" s="2">
        <f>IF(Banco_Nacion[[#This Row],[tipo_registro]]="R",COUNTIFS($C$1:$C713,"R")+1,"")</f>
        <v>647</v>
      </c>
      <c r="B714" s="19" t="str">
        <f t="shared" si="82"/>
        <v>B-Banco de la Nacion</v>
      </c>
      <c r="C714" s="3" t="s">
        <v>1330</v>
      </c>
      <c r="D714" s="14">
        <v>45911</v>
      </c>
      <c r="E714" s="5">
        <v>20141637941</v>
      </c>
      <c r="F714" s="5" t="s">
        <v>1303</v>
      </c>
      <c r="G714" s="6"/>
      <c r="H714" s="6"/>
      <c r="I714" s="6" t="s">
        <v>1784</v>
      </c>
      <c r="J714" s="6">
        <v>173</v>
      </c>
      <c r="K714" s="7" t="s">
        <v>5232</v>
      </c>
      <c r="L714" s="8">
        <v>90165151</v>
      </c>
      <c r="M714" s="8" t="str">
        <f t="shared" si="83"/>
        <v>PEN</v>
      </c>
      <c r="N714" s="13"/>
      <c r="O714" s="13">
        <v>258</v>
      </c>
      <c r="P714" s="3">
        <f t="shared" si="84"/>
        <v>258</v>
      </c>
      <c r="Q714" s="3">
        <f t="shared" si="85"/>
        <v>0</v>
      </c>
      <c r="R714" s="3">
        <f t="shared" si="86"/>
        <v>23584.220000000008</v>
      </c>
      <c r="S714" s="28" t="s">
        <v>1334</v>
      </c>
      <c r="T714" s="28" t="s">
        <v>1334</v>
      </c>
      <c r="U714" s="3"/>
      <c r="V714" s="19" t="str">
        <f>IFERROR(VLOOKUP(Banco_Nacion[[#This Row],[responsable]],Clientes_Proveedores[[Ruc / Dni]:[Razon Social]],2,0),"")</f>
        <v>UNIVERSIDAD CATOLICA DE SANTA MARIA</v>
      </c>
      <c r="W714" s="19" t="str">
        <f>IF(Banco_Nacion[[#This Row],[tipo_mov]]="INGRESO",Banco_Nacion[[#This Row],[serie]]&amp;Banco_Nacion[[#This Row],[numero]]&amp;Banco_Nacion[[#This Row],[responsable]]&amp;Banco_Nacion[[#This Row],[monto]],"")</f>
        <v>FF0117320141637941258</v>
      </c>
      <c r="X714" s="162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90165151</v>
      </c>
      <c r="Y714" s="3" t="str">
        <f>IFERROR(VLOOKUP(Banco_Nacion[[#This Row],[serie]]&amp;Banco_Nacion[[#This Row],[numero]]&amp;Banco_Nacion[[#This Row],[responsable]],[2]!Provision_CXC[[ID CXP]:[DETRACCION]],47,0),"")</f>
        <v/>
      </c>
      <c r="Z714" s="3"/>
      <c r="AA714" s="24" t="str">
        <f>IF(Banco_Nacion[[#This Row],[fecha]]&gt;0,TEXT(Banco_Nacion[[#This Row],[fecha]],"mmmm"),0)</f>
        <v>Setiembre</v>
      </c>
    </row>
    <row r="715" spans="1:27" x14ac:dyDescent="0.3">
      <c r="A715" s="2">
        <f>IF(Banco_Nacion[[#This Row],[tipo_registro]]="R",COUNTIFS($C$1:$C714,"R")+1,"")</f>
        <v>648</v>
      </c>
      <c r="B715" s="19" t="str">
        <f t="shared" si="82"/>
        <v>B-Banco de la Nacion</v>
      </c>
      <c r="C715" s="3" t="s">
        <v>1330</v>
      </c>
      <c r="D715" s="14">
        <v>45915</v>
      </c>
      <c r="E715" s="5">
        <v>20454186002</v>
      </c>
      <c r="F715" s="5" t="s">
        <v>1303</v>
      </c>
      <c r="G715" s="6"/>
      <c r="H715" s="6"/>
      <c r="I715" s="6" t="s">
        <v>1784</v>
      </c>
      <c r="J715" s="6">
        <v>246</v>
      </c>
      <c r="K715" s="7" t="s">
        <v>5232</v>
      </c>
      <c r="L715" s="8">
        <v>90313053</v>
      </c>
      <c r="M715" s="8" t="str">
        <f t="shared" si="83"/>
        <v>PEN</v>
      </c>
      <c r="N715" s="13"/>
      <c r="O715" s="13">
        <v>257</v>
      </c>
      <c r="P715" s="3">
        <f t="shared" si="84"/>
        <v>257</v>
      </c>
      <c r="Q715" s="3">
        <f t="shared" si="85"/>
        <v>0</v>
      </c>
      <c r="R715" s="3">
        <f t="shared" si="86"/>
        <v>23841.220000000008</v>
      </c>
      <c r="S715" s="28" t="s">
        <v>1334</v>
      </c>
      <c r="T715" s="28" t="s">
        <v>1334</v>
      </c>
      <c r="U715" s="3"/>
      <c r="V715" s="19" t="str">
        <f>IFERROR(VLOOKUP(Banco_Nacion[[#This Row],[responsable]],Clientes_Proveedores[[Ruc / Dni]:[Razon Social]],2,0),"")</f>
        <v>ALSUR PERU S.A.C.</v>
      </c>
      <c r="W715" s="19" t="str">
        <f>IF(Banco_Nacion[[#This Row],[tipo_mov]]="INGRESO",Banco_Nacion[[#This Row],[serie]]&amp;Banco_Nacion[[#This Row],[numero]]&amp;Banco_Nacion[[#This Row],[responsable]]&amp;Banco_Nacion[[#This Row],[monto]],"")</f>
        <v>FF0124620454186002257</v>
      </c>
      <c r="X715" s="162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90313053</v>
      </c>
      <c r="Y715" s="3" t="str">
        <f>IFERROR(VLOOKUP(Banco_Nacion[[#This Row],[serie]]&amp;Banco_Nacion[[#This Row],[numero]]&amp;Banco_Nacion[[#This Row],[responsable]],[2]!Provision_CXC[[ID CXP]:[DETRACCION]],47,0),"")</f>
        <v/>
      </c>
      <c r="Z715" s="3"/>
      <c r="AA715" s="24" t="str">
        <f>IF(Banco_Nacion[[#This Row],[fecha]]&gt;0,TEXT(Banco_Nacion[[#This Row],[fecha]],"mmmm"),0)</f>
        <v>Setiembre</v>
      </c>
    </row>
    <row r="716" spans="1:27" x14ac:dyDescent="0.3">
      <c r="A716" s="2">
        <f>IF(Banco_Nacion[[#This Row],[tipo_registro]]="R",COUNTIFS($C$1:$C715,"R")+1,"")</f>
        <v>649</v>
      </c>
      <c r="B716" s="19" t="str">
        <f t="shared" si="82"/>
        <v>B-Banco de la Nacion</v>
      </c>
      <c r="C716" s="3" t="s">
        <v>1330</v>
      </c>
      <c r="D716" s="14">
        <v>45915</v>
      </c>
      <c r="E716" s="5">
        <v>20138861300</v>
      </c>
      <c r="F716" s="5" t="s">
        <v>1303</v>
      </c>
      <c r="G716" s="6"/>
      <c r="H716" s="6"/>
      <c r="I716" s="6" t="s">
        <v>1784</v>
      </c>
      <c r="J716" s="6">
        <v>53</v>
      </c>
      <c r="K716" s="7" t="s">
        <v>5232</v>
      </c>
      <c r="L716" s="8">
        <v>90278987</v>
      </c>
      <c r="M716" s="8" t="str">
        <f t="shared" si="83"/>
        <v>PEN</v>
      </c>
      <c r="N716" s="13"/>
      <c r="O716" s="13">
        <v>97</v>
      </c>
      <c r="P716" s="3">
        <f t="shared" si="84"/>
        <v>97</v>
      </c>
      <c r="Q716" s="3">
        <f t="shared" si="85"/>
        <v>0</v>
      </c>
      <c r="R716" s="3">
        <f t="shared" si="86"/>
        <v>23938.220000000008</v>
      </c>
      <c r="S716" s="28" t="s">
        <v>1334</v>
      </c>
      <c r="T716" s="28" t="s">
        <v>1334</v>
      </c>
      <c r="U716" s="3"/>
      <c r="V716" s="19" t="str">
        <f>IFERROR(VLOOKUP(Banco_Nacion[[#This Row],[responsable]],Clientes_Proveedores[[Ruc / Dni]:[Razon Social]],2,0),"")</f>
        <v>ADRA PERU</v>
      </c>
      <c r="W716" s="19" t="str">
        <f>IF(Banco_Nacion[[#This Row],[tipo_mov]]="INGRESO",Banco_Nacion[[#This Row],[serie]]&amp;Banco_Nacion[[#This Row],[numero]]&amp;Banco_Nacion[[#This Row],[responsable]]&amp;Banco_Nacion[[#This Row],[monto]],"")</f>
        <v>FF01532013886130097</v>
      </c>
      <c r="X716" s="162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90278987</v>
      </c>
      <c r="Y716" s="3" t="str">
        <f>IFERROR(VLOOKUP(Banco_Nacion[[#This Row],[serie]]&amp;Banco_Nacion[[#This Row],[numero]]&amp;Banco_Nacion[[#This Row],[responsable]],[2]!Provision_CXC[[ID CXP]:[DETRACCION]],47,0),"")</f>
        <v/>
      </c>
      <c r="Z716" s="3"/>
      <c r="AA716" s="24" t="str">
        <f>IF(Banco_Nacion[[#This Row],[fecha]]&gt;0,TEXT(Banco_Nacion[[#This Row],[fecha]],"mmmm"),0)</f>
        <v>Setiembre</v>
      </c>
    </row>
    <row r="717" spans="1:27" x14ac:dyDescent="0.3">
      <c r="A717" s="2">
        <f>IF(Banco_Nacion[[#This Row],[tipo_registro]]="R",COUNTIFS($C$1:$C716,"R")+1,"")</f>
        <v>650</v>
      </c>
      <c r="B717" s="19" t="str">
        <f t="shared" si="82"/>
        <v>B-Banco de la Nacion</v>
      </c>
      <c r="C717" s="3" t="s">
        <v>1330</v>
      </c>
      <c r="D717" s="14">
        <v>45918</v>
      </c>
      <c r="E717" s="5"/>
      <c r="F717" s="5" t="s">
        <v>1336</v>
      </c>
      <c r="G717" s="6"/>
      <c r="H717" s="6"/>
      <c r="I717" s="6"/>
      <c r="J717" s="6"/>
      <c r="K717" s="7" t="s">
        <v>5234</v>
      </c>
      <c r="L717" s="8">
        <v>78787878</v>
      </c>
      <c r="M717" s="8" t="str">
        <f t="shared" si="83"/>
        <v>PEN</v>
      </c>
      <c r="N717" s="13"/>
      <c r="O717" s="13">
        <v>11322</v>
      </c>
      <c r="P717" s="3">
        <f t="shared" si="84"/>
        <v>0</v>
      </c>
      <c r="Q717" s="3">
        <f t="shared" si="85"/>
        <v>11322</v>
      </c>
      <c r="R717" s="3">
        <f t="shared" si="86"/>
        <v>12616.220000000008</v>
      </c>
      <c r="S717" s="24"/>
      <c r="T717" s="24"/>
      <c r="U717" s="3"/>
      <c r="V717" s="19" t="str">
        <f>IFERROR(VLOOKUP(Banco_Nacion[[#This Row],[responsable]],Clientes_Proveedores[[Ruc / Dni]:[Razon Social]],2,0),"")</f>
        <v/>
      </c>
      <c r="W717" s="19" t="str">
        <f>IF(Banco_Nacion[[#This Row],[tipo_mov]]="INGRESO",Banco_Nacion[[#This Row],[serie]]&amp;Banco_Nacion[[#This Row],[numero]]&amp;Banco_Nacion[[#This Row],[responsable]]&amp;Banco_Nacion[[#This Row],[monto]],"")</f>
        <v/>
      </c>
      <c r="X717" s="162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/>
      </c>
      <c r="Y717" s="3" t="str">
        <f>IFERROR(VLOOKUP(Banco_Nacion[[#This Row],[serie]]&amp;Banco_Nacion[[#This Row],[numero]]&amp;Banco_Nacion[[#This Row],[responsable]],[2]!Provision_CXC[[ID CXP]:[DETRACCION]],47,0),"")</f>
        <v/>
      </c>
      <c r="Z717" s="3"/>
      <c r="AA717" s="24" t="str">
        <f>IF(Banco_Nacion[[#This Row],[fecha]]&gt;0,TEXT(Banco_Nacion[[#This Row],[fecha]],"mmmm"),0)</f>
        <v>Setiembre</v>
      </c>
    </row>
    <row r="718" spans="1:27" x14ac:dyDescent="0.3">
      <c r="A718" s="2">
        <f>IF(Banco_Nacion[[#This Row],[tipo_registro]]="R",COUNTIFS($C$1:$C717,"R")+1,"")</f>
        <v>651</v>
      </c>
      <c r="B718" s="19" t="str">
        <f t="shared" si="82"/>
        <v>B-Banco de la Nacion</v>
      </c>
      <c r="C718" s="3" t="s">
        <v>1330</v>
      </c>
      <c r="D718" s="14">
        <v>45919</v>
      </c>
      <c r="E718" s="5">
        <v>20402885549</v>
      </c>
      <c r="F718" s="5" t="s">
        <v>1303</v>
      </c>
      <c r="G718" s="6"/>
      <c r="H718" s="6"/>
      <c r="I718" s="6" t="s">
        <v>3302</v>
      </c>
      <c r="J718" s="6">
        <v>131</v>
      </c>
      <c r="K718" s="7" t="s">
        <v>5232</v>
      </c>
      <c r="L718" s="8">
        <v>90567756</v>
      </c>
      <c r="M718" s="8" t="str">
        <f t="shared" si="83"/>
        <v>PEN</v>
      </c>
      <c r="N718" s="13"/>
      <c r="O718" s="13">
        <v>271</v>
      </c>
      <c r="P718" s="3">
        <f t="shared" si="84"/>
        <v>271</v>
      </c>
      <c r="Q718" s="3">
        <f t="shared" si="85"/>
        <v>0</v>
      </c>
      <c r="R718" s="3">
        <f t="shared" si="86"/>
        <v>12887.220000000008</v>
      </c>
      <c r="S718" s="28" t="s">
        <v>1334</v>
      </c>
      <c r="T718" s="28" t="s">
        <v>1334</v>
      </c>
      <c r="U718" s="3"/>
      <c r="V718" s="19" t="str">
        <f>IFERROR(VLOOKUP(Banco_Nacion[[#This Row],[responsable]],Clientes_Proveedores[[Ruc / Dni]:[Razon Social]],2,0),"")</f>
        <v>EMPRESA SIDERURGICA DEL PERU S.A.A.</v>
      </c>
      <c r="W718" s="19" t="str">
        <f>IF(Banco_Nacion[[#This Row],[tipo_mov]]="INGRESO",Banco_Nacion[[#This Row],[serie]]&amp;Banco_Nacion[[#This Row],[numero]]&amp;Banco_Nacion[[#This Row],[responsable]]&amp;Banco_Nacion[[#This Row],[monto]],"")</f>
        <v>FF0213120402885549271</v>
      </c>
      <c r="X718" s="162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90567756</v>
      </c>
      <c r="Y718" s="3" t="str">
        <f>IFERROR(VLOOKUP(Banco_Nacion[[#This Row],[serie]]&amp;Banco_Nacion[[#This Row],[numero]]&amp;Banco_Nacion[[#This Row],[responsable]],[2]!Provision_CXC[[ID CXP]:[DETRACCION]],47,0),"")</f>
        <v/>
      </c>
      <c r="Z718" s="3"/>
      <c r="AA718" s="24" t="str">
        <f>IF(Banco_Nacion[[#This Row],[fecha]]&gt;0,TEXT(Banco_Nacion[[#This Row],[fecha]],"mmmm"),0)</f>
        <v>Setiembre</v>
      </c>
    </row>
    <row r="719" spans="1:27" x14ac:dyDescent="0.3">
      <c r="A719" s="2">
        <f>IF(Banco_Nacion[[#This Row],[tipo_registro]]="R",COUNTIFS($C$1:$C718,"R")+1,"")</f>
        <v>652</v>
      </c>
      <c r="B719" s="19" t="str">
        <f t="shared" si="82"/>
        <v>B-Banco de la Nacion</v>
      </c>
      <c r="C719" s="3" t="s">
        <v>1330</v>
      </c>
      <c r="D719" s="14">
        <v>45919</v>
      </c>
      <c r="E719" s="5">
        <v>20141637941</v>
      </c>
      <c r="F719" s="5" t="s">
        <v>1303</v>
      </c>
      <c r="G719" s="6"/>
      <c r="H719" s="6"/>
      <c r="I719" s="6" t="s">
        <v>1784</v>
      </c>
      <c r="J719" s="6">
        <v>239</v>
      </c>
      <c r="K719" s="7" t="s">
        <v>5232</v>
      </c>
      <c r="L719" s="8">
        <v>90563717</v>
      </c>
      <c r="M719" s="8" t="str">
        <f t="shared" si="83"/>
        <v>PEN</v>
      </c>
      <c r="N719" s="13"/>
      <c r="O719" s="13">
        <v>347</v>
      </c>
      <c r="P719" s="3">
        <f t="shared" si="84"/>
        <v>347</v>
      </c>
      <c r="Q719" s="3">
        <f t="shared" si="85"/>
        <v>0</v>
      </c>
      <c r="R719" s="3">
        <f t="shared" si="86"/>
        <v>13234.220000000008</v>
      </c>
      <c r="S719" s="28" t="s">
        <v>1334</v>
      </c>
      <c r="T719" s="28" t="s">
        <v>1334</v>
      </c>
      <c r="U719" s="3"/>
      <c r="V719" s="19" t="str">
        <f>IFERROR(VLOOKUP(Banco_Nacion[[#This Row],[responsable]],Clientes_Proveedores[[Ruc / Dni]:[Razon Social]],2,0),"")</f>
        <v>UNIVERSIDAD CATOLICA DE SANTA MARIA</v>
      </c>
      <c r="W719" s="19" t="str">
        <f>IF(Banco_Nacion[[#This Row],[tipo_mov]]="INGRESO",Banco_Nacion[[#This Row],[serie]]&amp;Banco_Nacion[[#This Row],[numero]]&amp;Banco_Nacion[[#This Row],[responsable]]&amp;Banco_Nacion[[#This Row],[monto]],"")</f>
        <v>FF0123920141637941347</v>
      </c>
      <c r="X719" s="162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90563717</v>
      </c>
      <c r="Y719" s="3" t="str">
        <f>IFERROR(VLOOKUP(Banco_Nacion[[#This Row],[serie]]&amp;Banco_Nacion[[#This Row],[numero]]&amp;Banco_Nacion[[#This Row],[responsable]],[2]!Provision_CXC[[ID CXP]:[DETRACCION]],47,0),"")</f>
        <v/>
      </c>
      <c r="Z719" s="3"/>
      <c r="AA719" s="24" t="str">
        <f>IF(Banco_Nacion[[#This Row],[fecha]]&gt;0,TEXT(Banco_Nacion[[#This Row],[fecha]],"mmmm"),0)</f>
        <v>Setiembre</v>
      </c>
    </row>
    <row r="720" spans="1:27" x14ac:dyDescent="0.3">
      <c r="A720" s="2">
        <f>IF(Banco_Nacion[[#This Row],[tipo_registro]]="R",COUNTIFS($C$1:$C719,"R")+1,"")</f>
        <v>653</v>
      </c>
      <c r="B720" s="19" t="str">
        <f t="shared" ref="B720:B732" si="87">"B-Banco de la Nacion"</f>
        <v>B-Banco de la Nacion</v>
      </c>
      <c r="C720" s="3" t="s">
        <v>1330</v>
      </c>
      <c r="D720" s="14">
        <v>45922</v>
      </c>
      <c r="E720" s="5">
        <v>20402885549</v>
      </c>
      <c r="F720" s="5" t="s">
        <v>1303</v>
      </c>
      <c r="G720" s="6"/>
      <c r="H720" s="6"/>
      <c r="I720" s="6" t="s">
        <v>3302</v>
      </c>
      <c r="J720" s="6">
        <v>136</v>
      </c>
      <c r="K720" s="7" t="s">
        <v>5232</v>
      </c>
      <c r="L720" s="8">
        <v>90641199</v>
      </c>
      <c r="M720" s="8" t="str">
        <f t="shared" ref="M720:M732" si="88">"PEN"</f>
        <v>PEN</v>
      </c>
      <c r="N720" s="13"/>
      <c r="O720" s="13">
        <v>2583</v>
      </c>
      <c r="P720" s="3">
        <f t="shared" ref="P720:P732" si="89">+IF(OR($F720="SALDO",$F720="INGRESO"),$O720,0)</f>
        <v>2583</v>
      </c>
      <c r="Q720" s="3">
        <f t="shared" ref="Q720:Q732" si="90">+IF($F720="EGRESO",$O720,0)</f>
        <v>0</v>
      </c>
      <c r="R720" s="3">
        <f t="shared" ref="R720:R732" si="91">IFERROR(IF(F720="SALDO",P720,R719+P720-Q720),0)</f>
        <v>15817.220000000008</v>
      </c>
      <c r="S720" s="24" t="s">
        <v>1334</v>
      </c>
      <c r="T720" s="24" t="s">
        <v>1334</v>
      </c>
      <c r="U720" s="3"/>
      <c r="V720" s="19" t="str">
        <f>IFERROR(VLOOKUP(Banco_Nacion[[#This Row],[responsable]],Clientes_Proveedores[[Ruc / Dni]:[Razon Social]],2,0),"")</f>
        <v>EMPRESA SIDERURGICA DEL PERU S.A.A.</v>
      </c>
      <c r="W720" s="19" t="str">
        <f>IF(Banco_Nacion[[#This Row],[tipo_mov]]="INGRESO",Banco_Nacion[[#This Row],[serie]]&amp;Banco_Nacion[[#This Row],[numero]]&amp;Banco_Nacion[[#This Row],[responsable]]&amp;Banco_Nacion[[#This Row],[monto]],"")</f>
        <v>FF02136204028855492583</v>
      </c>
      <c r="X720" s="162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90641199</v>
      </c>
      <c r="Y720" s="3" t="str">
        <f>IFERROR(VLOOKUP(Banco_Nacion[[#This Row],[serie]]&amp;Banco_Nacion[[#This Row],[numero]]&amp;Banco_Nacion[[#This Row],[responsable]],[2]!Provision_CXC[[ID CXP]:[DETRACCION]],47,0),"")</f>
        <v/>
      </c>
      <c r="Z720" s="3"/>
      <c r="AA720" s="24" t="str">
        <f>IF(Banco_Nacion[[#This Row],[fecha]]&gt;0,TEXT(Banco_Nacion[[#This Row],[fecha]],"mmmm"),0)</f>
        <v>Setiembre</v>
      </c>
    </row>
    <row r="721" spans="1:27" x14ac:dyDescent="0.3">
      <c r="A721" s="2">
        <f>IF(Banco_Nacion[[#This Row],[tipo_registro]]="R",COUNTIFS($C$1:$C720,"R")+1,"")</f>
        <v>654</v>
      </c>
      <c r="B721" s="19" t="str">
        <f t="shared" si="87"/>
        <v>B-Banco de la Nacion</v>
      </c>
      <c r="C721" s="3" t="s">
        <v>1330</v>
      </c>
      <c r="D721" s="14">
        <v>45922</v>
      </c>
      <c r="E721" s="5"/>
      <c r="F721" s="5" t="s">
        <v>1336</v>
      </c>
      <c r="G721" s="6"/>
      <c r="H721" s="6"/>
      <c r="I721" s="6"/>
      <c r="J721" s="6"/>
      <c r="K721" s="7" t="s">
        <v>5234</v>
      </c>
      <c r="L721" s="8">
        <v>78787878</v>
      </c>
      <c r="M721" s="8" t="str">
        <f t="shared" si="88"/>
        <v>PEN</v>
      </c>
      <c r="N721" s="13"/>
      <c r="O721" s="13">
        <v>3295</v>
      </c>
      <c r="P721" s="3">
        <f t="shared" si="89"/>
        <v>0</v>
      </c>
      <c r="Q721" s="3">
        <f t="shared" si="90"/>
        <v>3295</v>
      </c>
      <c r="R721" s="3">
        <f t="shared" si="91"/>
        <v>12522.220000000008</v>
      </c>
      <c r="S721" s="24"/>
      <c r="T721" s="24"/>
      <c r="U721" s="3"/>
      <c r="V721" s="19" t="str">
        <f>IFERROR(VLOOKUP(Banco_Nacion[[#This Row],[responsable]],Clientes_Proveedores[[Ruc / Dni]:[Razon Social]],2,0),"")</f>
        <v/>
      </c>
      <c r="W721" s="19" t="str">
        <f>IF(Banco_Nacion[[#This Row],[tipo_mov]]="INGRESO",Banco_Nacion[[#This Row],[serie]]&amp;Banco_Nacion[[#This Row],[numero]]&amp;Banco_Nacion[[#This Row],[responsable]]&amp;Banco_Nacion[[#This Row],[monto]],"")</f>
        <v/>
      </c>
      <c r="X721" s="162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/>
      </c>
      <c r="Y721" s="3" t="str">
        <f>IFERROR(VLOOKUP(Banco_Nacion[[#This Row],[serie]]&amp;Banco_Nacion[[#This Row],[numero]]&amp;Banco_Nacion[[#This Row],[responsable]],[2]!Provision_CXC[[ID CXP]:[DETRACCION]],47,0),"")</f>
        <v/>
      </c>
      <c r="Z721" s="3"/>
      <c r="AA721" s="24" t="str">
        <f>IF(Banco_Nacion[[#This Row],[fecha]]&gt;0,TEXT(Banco_Nacion[[#This Row],[fecha]],"mmmm"),0)</f>
        <v>Setiembre</v>
      </c>
    </row>
    <row r="722" spans="1:27" x14ac:dyDescent="0.3">
      <c r="A722" s="2">
        <f>IF(Banco_Nacion[[#This Row],[tipo_registro]]="R",COUNTIFS($C$1:$C721,"R")+1,"")</f>
        <v>655</v>
      </c>
      <c r="B722" s="19" t="str">
        <f t="shared" si="87"/>
        <v>B-Banco de la Nacion</v>
      </c>
      <c r="C722" s="3" t="s">
        <v>1330</v>
      </c>
      <c r="D722" s="14">
        <v>45922</v>
      </c>
      <c r="E722" s="5"/>
      <c r="F722" s="5" t="s">
        <v>1336</v>
      </c>
      <c r="G722" s="6"/>
      <c r="H722" s="6"/>
      <c r="I722" s="6"/>
      <c r="J722" s="6"/>
      <c r="K722" s="7" t="s">
        <v>5234</v>
      </c>
      <c r="L722" s="8">
        <v>78787878</v>
      </c>
      <c r="M722" s="8" t="str">
        <f t="shared" si="88"/>
        <v>PEN</v>
      </c>
      <c r="N722" s="13"/>
      <c r="O722" s="13">
        <v>6055</v>
      </c>
      <c r="P722" s="3">
        <f t="shared" si="89"/>
        <v>0</v>
      </c>
      <c r="Q722" s="3">
        <f t="shared" si="90"/>
        <v>6055</v>
      </c>
      <c r="R722" s="3">
        <f t="shared" si="91"/>
        <v>6467.2200000000084</v>
      </c>
      <c r="S722" s="24"/>
      <c r="T722" s="24"/>
      <c r="U722" s="3"/>
      <c r="V722" s="19" t="str">
        <f>IFERROR(VLOOKUP(Banco_Nacion[[#This Row],[responsable]],Clientes_Proveedores[[Ruc / Dni]:[Razon Social]],2,0),"")</f>
        <v/>
      </c>
      <c r="W722" s="19" t="str">
        <f>IF(Banco_Nacion[[#This Row],[tipo_mov]]="INGRESO",Banco_Nacion[[#This Row],[serie]]&amp;Banco_Nacion[[#This Row],[numero]]&amp;Banco_Nacion[[#This Row],[responsable]]&amp;Banco_Nacion[[#This Row],[monto]],"")</f>
        <v/>
      </c>
      <c r="X722" s="162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/>
      </c>
      <c r="Y722" s="3" t="str">
        <f>IFERROR(VLOOKUP(Banco_Nacion[[#This Row],[serie]]&amp;Banco_Nacion[[#This Row],[numero]]&amp;Banco_Nacion[[#This Row],[responsable]],[2]!Provision_CXC[[ID CXP]:[DETRACCION]],47,0),"")</f>
        <v/>
      </c>
      <c r="Z722" s="3"/>
      <c r="AA722" s="24" t="str">
        <f>IF(Banco_Nacion[[#This Row],[fecha]]&gt;0,TEXT(Banco_Nacion[[#This Row],[fecha]],"mmmm"),0)</f>
        <v>Setiembre</v>
      </c>
    </row>
    <row r="723" spans="1:27" x14ac:dyDescent="0.3">
      <c r="A723" s="2">
        <f>IF(Banco_Nacion[[#This Row],[tipo_registro]]="R",COUNTIFS($C$1:$C722,"R")+1,"")</f>
        <v>656</v>
      </c>
      <c r="B723" s="19" t="str">
        <f t="shared" si="87"/>
        <v>B-Banco de la Nacion</v>
      </c>
      <c r="C723" s="3" t="s">
        <v>1330</v>
      </c>
      <c r="D723" s="14">
        <v>45923</v>
      </c>
      <c r="E723" s="5">
        <v>20550891086</v>
      </c>
      <c r="F723" s="5" t="s">
        <v>1303</v>
      </c>
      <c r="G723" s="6"/>
      <c r="H723" s="6"/>
      <c r="I723" s="6" t="s">
        <v>3302</v>
      </c>
      <c r="J723" s="6">
        <v>134</v>
      </c>
      <c r="K723" s="7" t="s">
        <v>5232</v>
      </c>
      <c r="L723" s="8">
        <v>28323006</v>
      </c>
      <c r="M723" s="8" t="str">
        <f t="shared" si="88"/>
        <v>PEN</v>
      </c>
      <c r="N723" s="13"/>
      <c r="O723" s="13">
        <v>1434</v>
      </c>
      <c r="P723" s="3">
        <f t="shared" si="89"/>
        <v>1434</v>
      </c>
      <c r="Q723" s="3">
        <f t="shared" si="90"/>
        <v>0</v>
      </c>
      <c r="R723" s="3">
        <f t="shared" si="91"/>
        <v>7901.2200000000084</v>
      </c>
      <c r="S723" s="24" t="s">
        <v>1334</v>
      </c>
      <c r="T723" s="24" t="s">
        <v>1334</v>
      </c>
      <c r="U723" s="3"/>
      <c r="V723" s="19" t="str">
        <f>IFERROR(VLOOKUP(Banco_Nacion[[#This Row],[responsable]],Clientes_Proveedores[[Ruc / Dni]:[Razon Social]],2,0),"")</f>
        <v>SANTOS CHAVARRIA VEGA E.I.R.L.</v>
      </c>
      <c r="W723" s="19" t="str">
        <f>IF(Banco_Nacion[[#This Row],[tipo_mov]]="INGRESO",Banco_Nacion[[#This Row],[serie]]&amp;Banco_Nacion[[#This Row],[numero]]&amp;Banco_Nacion[[#This Row],[responsable]]&amp;Banco_Nacion[[#This Row],[monto]],"")</f>
        <v>FF02134205508910861434</v>
      </c>
      <c r="X723" s="162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28323006</v>
      </c>
      <c r="Y723" s="3" t="str">
        <f>IFERROR(VLOOKUP(Banco_Nacion[[#This Row],[serie]]&amp;Banco_Nacion[[#This Row],[numero]]&amp;Banco_Nacion[[#This Row],[responsable]],[2]!Provision_CXC[[ID CXP]:[DETRACCION]],47,0),"")</f>
        <v/>
      </c>
      <c r="Z723" s="3"/>
      <c r="AA723" s="24" t="str">
        <f>IF(Banco_Nacion[[#This Row],[fecha]]&gt;0,TEXT(Banco_Nacion[[#This Row],[fecha]],"mmmm"),0)</f>
        <v>Setiembre</v>
      </c>
    </row>
    <row r="724" spans="1:27" x14ac:dyDescent="0.3">
      <c r="A724" s="2">
        <f>IF(Banco_Nacion[[#This Row],[tipo_registro]]="R",COUNTIFS($C$1:$C723,"R")+1,"")</f>
        <v>657</v>
      </c>
      <c r="B724" s="19" t="str">
        <f t="shared" si="87"/>
        <v>B-Banco de la Nacion</v>
      </c>
      <c r="C724" s="3" t="s">
        <v>1330</v>
      </c>
      <c r="D724" s="14">
        <v>45924</v>
      </c>
      <c r="E724" s="5">
        <v>20159473148</v>
      </c>
      <c r="F724" s="5" t="s">
        <v>1303</v>
      </c>
      <c r="G724" s="6"/>
      <c r="H724" s="6"/>
      <c r="I724" s="6" t="s">
        <v>1784</v>
      </c>
      <c r="J724" s="6">
        <v>248</v>
      </c>
      <c r="K724" s="7" t="s">
        <v>5232</v>
      </c>
      <c r="L724" s="8">
        <v>90791964</v>
      </c>
      <c r="M724" s="8" t="str">
        <f t="shared" si="88"/>
        <v>PEN</v>
      </c>
      <c r="N724" s="13"/>
      <c r="O724" s="13">
        <v>401</v>
      </c>
      <c r="P724" s="3">
        <f t="shared" si="89"/>
        <v>401</v>
      </c>
      <c r="Q724" s="3">
        <f t="shared" si="90"/>
        <v>0</v>
      </c>
      <c r="R724" s="3">
        <f t="shared" si="91"/>
        <v>8302.2200000000084</v>
      </c>
      <c r="S724" s="24" t="s">
        <v>1334</v>
      </c>
      <c r="T724" s="24" t="s">
        <v>1334</v>
      </c>
      <c r="U724" s="3"/>
      <c r="V724" s="19" t="str">
        <f>IFERROR(VLOOKUP(Banco_Nacion[[#This Row],[responsable]],Clientes_Proveedores[[Ruc / Dni]:[Razon Social]],2,0),"")</f>
        <v>PESQUERA DIAMANTE S.A.</v>
      </c>
      <c r="W724" s="19" t="str">
        <f>IF(Banco_Nacion[[#This Row],[tipo_mov]]="INGRESO",Banco_Nacion[[#This Row],[serie]]&amp;Banco_Nacion[[#This Row],[numero]]&amp;Banco_Nacion[[#This Row],[responsable]]&amp;Banco_Nacion[[#This Row],[monto]],"")</f>
        <v>FF0124820159473148401</v>
      </c>
      <c r="X724" s="162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90791964</v>
      </c>
      <c r="Y724" s="3" t="str">
        <f>IFERROR(VLOOKUP(Banco_Nacion[[#This Row],[serie]]&amp;Banco_Nacion[[#This Row],[numero]]&amp;Banco_Nacion[[#This Row],[responsable]],[2]!Provision_CXC[[ID CXP]:[DETRACCION]],47,0),"")</f>
        <v/>
      </c>
      <c r="Z724" s="3"/>
      <c r="AA724" s="24" t="str">
        <f>IF(Banco_Nacion[[#This Row],[fecha]]&gt;0,TEXT(Banco_Nacion[[#This Row],[fecha]],"mmmm"),0)</f>
        <v>Setiembre</v>
      </c>
    </row>
    <row r="725" spans="1:27" x14ac:dyDescent="0.3">
      <c r="A725" s="2">
        <f>IF(Banco_Nacion[[#This Row],[tipo_registro]]="R",COUNTIFS($C$1:$C724,"R")+1,"")</f>
        <v>658</v>
      </c>
      <c r="B725" s="19" t="str">
        <f t="shared" si="87"/>
        <v>B-Banco de la Nacion</v>
      </c>
      <c r="C725" s="3" t="s">
        <v>1330</v>
      </c>
      <c r="D725" s="14">
        <v>45925</v>
      </c>
      <c r="E725" s="5">
        <v>20603536569</v>
      </c>
      <c r="F725" s="5" t="s">
        <v>1303</v>
      </c>
      <c r="G725" s="6"/>
      <c r="H725" s="6"/>
      <c r="I725" s="6" t="s">
        <v>1784</v>
      </c>
      <c r="J725" s="6">
        <v>241</v>
      </c>
      <c r="K725" s="7" t="s">
        <v>5232</v>
      </c>
      <c r="L725" s="8">
        <v>90868062</v>
      </c>
      <c r="M725" s="8" t="str">
        <f t="shared" si="88"/>
        <v>PEN</v>
      </c>
      <c r="N725" s="13"/>
      <c r="O725" s="13">
        <v>1229</v>
      </c>
      <c r="P725" s="3">
        <f t="shared" si="89"/>
        <v>1229</v>
      </c>
      <c r="Q725" s="3">
        <f t="shared" si="90"/>
        <v>0</v>
      </c>
      <c r="R725" s="3">
        <f t="shared" si="91"/>
        <v>9531.2200000000084</v>
      </c>
      <c r="S725" s="24" t="s">
        <v>1334</v>
      </c>
      <c r="T725" s="24" t="s">
        <v>1334</v>
      </c>
      <c r="U725" s="3"/>
      <c r="V725" s="19" t="str">
        <f>IFERROR(VLOOKUP(Banco_Nacion[[#This Row],[responsable]],Clientes_Proveedores[[Ruc / Dni]:[Razon Social]],2,0),"")</f>
        <v>ANTILLA COPPER SOCIEDAD ANONIMA</v>
      </c>
      <c r="W725" s="19" t="str">
        <f>IF(Banco_Nacion[[#This Row],[tipo_mov]]="INGRESO",Banco_Nacion[[#This Row],[serie]]&amp;Banco_Nacion[[#This Row],[numero]]&amp;Banco_Nacion[[#This Row],[responsable]]&amp;Banco_Nacion[[#This Row],[monto]],"")</f>
        <v>FF01241206035365691229</v>
      </c>
      <c r="X725" s="162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90868062</v>
      </c>
      <c r="Y725" s="3" t="str">
        <f>IFERROR(VLOOKUP(Banco_Nacion[[#This Row],[serie]]&amp;Banco_Nacion[[#This Row],[numero]]&amp;Banco_Nacion[[#This Row],[responsable]],[2]!Provision_CXC[[ID CXP]:[DETRACCION]],47,0),"")</f>
        <v/>
      </c>
      <c r="Z725" s="3"/>
      <c r="AA725" s="24" t="str">
        <f>IF(Banco_Nacion[[#This Row],[fecha]]&gt;0,TEXT(Banco_Nacion[[#This Row],[fecha]],"mmmm"),0)</f>
        <v>Setiembre</v>
      </c>
    </row>
    <row r="726" spans="1:27" x14ac:dyDescent="0.3">
      <c r="A726" s="2">
        <f>IF(Banco_Nacion[[#This Row],[tipo_registro]]="R",COUNTIFS($C$1:$C725,"R")+1,"")</f>
        <v>659</v>
      </c>
      <c r="B726" s="19" t="str">
        <f t="shared" si="87"/>
        <v>B-Banco de la Nacion</v>
      </c>
      <c r="C726" s="3" t="s">
        <v>1330</v>
      </c>
      <c r="D726" s="14">
        <v>45925</v>
      </c>
      <c r="E726" s="5">
        <v>20603536569</v>
      </c>
      <c r="F726" s="5" t="s">
        <v>1303</v>
      </c>
      <c r="G726" s="6"/>
      <c r="H726" s="6"/>
      <c r="I726" s="6" t="s">
        <v>1784</v>
      </c>
      <c r="J726" s="6">
        <v>238</v>
      </c>
      <c r="K726" s="7" t="s">
        <v>5232</v>
      </c>
      <c r="L726" s="8">
        <v>90868048</v>
      </c>
      <c r="M726" s="8" t="str">
        <f t="shared" si="88"/>
        <v>PEN</v>
      </c>
      <c r="N726" s="13"/>
      <c r="O726" s="13">
        <v>1120</v>
      </c>
      <c r="P726" s="3">
        <f t="shared" si="89"/>
        <v>1120</v>
      </c>
      <c r="Q726" s="3">
        <f t="shared" si="90"/>
        <v>0</v>
      </c>
      <c r="R726" s="3">
        <f t="shared" si="91"/>
        <v>10651.220000000008</v>
      </c>
      <c r="S726" s="24" t="s">
        <v>1334</v>
      </c>
      <c r="T726" s="24" t="s">
        <v>1334</v>
      </c>
      <c r="U726" s="3"/>
      <c r="V726" s="19" t="str">
        <f>IFERROR(VLOOKUP(Banco_Nacion[[#This Row],[responsable]],Clientes_Proveedores[[Ruc / Dni]:[Razon Social]],2,0),"")</f>
        <v>ANTILLA COPPER SOCIEDAD ANONIMA</v>
      </c>
      <c r="W726" s="19" t="str">
        <f>IF(Banco_Nacion[[#This Row],[tipo_mov]]="INGRESO",Banco_Nacion[[#This Row],[serie]]&amp;Banco_Nacion[[#This Row],[numero]]&amp;Banco_Nacion[[#This Row],[responsable]]&amp;Banco_Nacion[[#This Row],[monto]],"")</f>
        <v>FF01238206035365691120</v>
      </c>
      <c r="X726" s="162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90868048</v>
      </c>
      <c r="Y726" s="3" t="str">
        <f>IFERROR(VLOOKUP(Banco_Nacion[[#This Row],[serie]]&amp;Banco_Nacion[[#This Row],[numero]]&amp;Banco_Nacion[[#This Row],[responsable]],[2]!Provision_CXC[[ID CXP]:[DETRACCION]],47,0),"")</f>
        <v/>
      </c>
      <c r="Z726" s="3"/>
      <c r="AA726" s="24" t="str">
        <f>IF(Banco_Nacion[[#This Row],[fecha]]&gt;0,TEXT(Banco_Nacion[[#This Row],[fecha]],"mmmm"),0)</f>
        <v>Setiembre</v>
      </c>
    </row>
    <row r="727" spans="1:27" x14ac:dyDescent="0.3">
      <c r="A727" s="2">
        <f>IF(Banco_Nacion[[#This Row],[tipo_registro]]="R",COUNTIFS($C$1:$C726,"R")+1,"")</f>
        <v>660</v>
      </c>
      <c r="B727" s="19" t="str">
        <f t="shared" si="87"/>
        <v>B-Banco de la Nacion</v>
      </c>
      <c r="C727" s="3" t="s">
        <v>1330</v>
      </c>
      <c r="D727" s="14">
        <v>45926</v>
      </c>
      <c r="E727" s="5">
        <v>20523573226</v>
      </c>
      <c r="F727" s="5" t="s">
        <v>1303</v>
      </c>
      <c r="G727" s="6"/>
      <c r="H727" s="6"/>
      <c r="I727" s="6" t="s">
        <v>1784</v>
      </c>
      <c r="J727" s="6">
        <v>227</v>
      </c>
      <c r="K727" s="7" t="s">
        <v>5232</v>
      </c>
      <c r="L727" s="8">
        <v>91343234</v>
      </c>
      <c r="M727" s="8" t="str">
        <f t="shared" si="88"/>
        <v>PEN</v>
      </c>
      <c r="N727" s="13"/>
      <c r="O727" s="13">
        <v>485</v>
      </c>
      <c r="P727" s="3">
        <f t="shared" si="89"/>
        <v>485</v>
      </c>
      <c r="Q727" s="3">
        <f t="shared" si="90"/>
        <v>0</v>
      </c>
      <c r="R727" s="3">
        <f t="shared" si="91"/>
        <v>11136.220000000008</v>
      </c>
      <c r="S727" s="24" t="s">
        <v>1334</v>
      </c>
      <c r="T727" s="24" t="s">
        <v>1334</v>
      </c>
      <c r="U727" s="3"/>
      <c r="V727" s="19" t="str">
        <f>IFERROR(VLOOKUP(Banco_Nacion[[#This Row],[responsable]],Clientes_Proveedores[[Ruc / Dni]:[Razon Social]],2,0),"")</f>
        <v>CBB PERU S.A.</v>
      </c>
      <c r="W727" s="19" t="str">
        <f>IF(Banco_Nacion[[#This Row],[tipo_mov]]="INGRESO",Banco_Nacion[[#This Row],[serie]]&amp;Banco_Nacion[[#This Row],[numero]]&amp;Banco_Nacion[[#This Row],[responsable]]&amp;Banco_Nacion[[#This Row],[monto]],"")</f>
        <v>FF0122720523573226485</v>
      </c>
      <c r="X727" s="162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91343234</v>
      </c>
      <c r="Y727" s="3" t="str">
        <f>IFERROR(VLOOKUP(Banco_Nacion[[#This Row],[serie]]&amp;Banco_Nacion[[#This Row],[numero]]&amp;Banco_Nacion[[#This Row],[responsable]],[2]!Provision_CXC[[ID CXP]:[DETRACCION]],47,0),"")</f>
        <v/>
      </c>
      <c r="Z727" s="3"/>
      <c r="AA727" s="24" t="str">
        <f>IF(Banco_Nacion[[#This Row],[fecha]]&gt;0,TEXT(Banco_Nacion[[#This Row],[fecha]],"mmmm"),0)</f>
        <v>Setiembre</v>
      </c>
    </row>
    <row r="728" spans="1:27" x14ac:dyDescent="0.3">
      <c r="A728" s="2">
        <f>IF(Banco_Nacion[[#This Row],[tipo_registro]]="R",COUNTIFS($C$1:$C727,"R")+1,"")</f>
        <v>661</v>
      </c>
      <c r="B728" s="19" t="str">
        <f t="shared" si="87"/>
        <v>B-Banco de la Nacion</v>
      </c>
      <c r="C728" s="3" t="s">
        <v>1330</v>
      </c>
      <c r="D728" s="14">
        <v>45926</v>
      </c>
      <c r="E728" s="5">
        <v>20523573226</v>
      </c>
      <c r="F728" s="5" t="s">
        <v>1303</v>
      </c>
      <c r="G728" s="6"/>
      <c r="H728" s="6"/>
      <c r="I728" s="6" t="s">
        <v>1784</v>
      </c>
      <c r="J728" s="6">
        <v>228</v>
      </c>
      <c r="K728" s="7" t="s">
        <v>5232</v>
      </c>
      <c r="L728" s="8">
        <v>91343233</v>
      </c>
      <c r="M728" s="8" t="str">
        <f t="shared" si="88"/>
        <v>PEN</v>
      </c>
      <c r="N728" s="13"/>
      <c r="O728" s="13">
        <v>153</v>
      </c>
      <c r="P728" s="3">
        <f t="shared" si="89"/>
        <v>153</v>
      </c>
      <c r="Q728" s="3">
        <f t="shared" si="90"/>
        <v>0</v>
      </c>
      <c r="R728" s="3">
        <f t="shared" si="91"/>
        <v>11289.220000000008</v>
      </c>
      <c r="S728" s="24" t="s">
        <v>1334</v>
      </c>
      <c r="T728" s="24" t="s">
        <v>1334</v>
      </c>
      <c r="U728" s="3"/>
      <c r="V728" s="19" t="str">
        <f>IFERROR(VLOOKUP(Banco_Nacion[[#This Row],[responsable]],Clientes_Proveedores[[Ruc / Dni]:[Razon Social]],2,0),"")</f>
        <v>CBB PERU S.A.</v>
      </c>
      <c r="W728" s="19" t="str">
        <f>IF(Banco_Nacion[[#This Row],[tipo_mov]]="INGRESO",Banco_Nacion[[#This Row],[serie]]&amp;Banco_Nacion[[#This Row],[numero]]&amp;Banco_Nacion[[#This Row],[responsable]]&amp;Banco_Nacion[[#This Row],[monto]],"")</f>
        <v>FF0122820523573226153</v>
      </c>
      <c r="X728" s="162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91343233</v>
      </c>
      <c r="Y728" s="3" t="str">
        <f>IFERROR(VLOOKUP(Banco_Nacion[[#This Row],[serie]]&amp;Banco_Nacion[[#This Row],[numero]]&amp;Banco_Nacion[[#This Row],[responsable]],[2]!Provision_CXC[[ID CXP]:[DETRACCION]],47,0),"")</f>
        <v/>
      </c>
      <c r="Z728" s="3"/>
      <c r="AA728" s="24" t="str">
        <f>IF(Banco_Nacion[[#This Row],[fecha]]&gt;0,TEXT(Banco_Nacion[[#This Row],[fecha]],"mmmm"),0)</f>
        <v>Setiembre</v>
      </c>
    </row>
    <row r="729" spans="1:27" x14ac:dyDescent="0.3">
      <c r="A729" s="2">
        <f>IF(Banco_Nacion[[#This Row],[tipo_registro]]="R",COUNTIFS($C$1:$C728,"R")+1,"")</f>
        <v>662</v>
      </c>
      <c r="B729" s="19" t="str">
        <f t="shared" si="87"/>
        <v>B-Banco de la Nacion</v>
      </c>
      <c r="C729" s="3" t="s">
        <v>1330</v>
      </c>
      <c r="D729" s="14">
        <v>45929</v>
      </c>
      <c r="E729" s="5">
        <v>20552714378</v>
      </c>
      <c r="F729" s="5" t="s">
        <v>1303</v>
      </c>
      <c r="G729" s="6"/>
      <c r="H729" s="6"/>
      <c r="I729" s="6" t="s">
        <v>1784</v>
      </c>
      <c r="J729" s="6">
        <v>243</v>
      </c>
      <c r="K729" s="7" t="s">
        <v>5232</v>
      </c>
      <c r="L729" s="8">
        <v>91415379</v>
      </c>
      <c r="M729" s="8" t="str">
        <f t="shared" si="88"/>
        <v>PEN</v>
      </c>
      <c r="N729" s="13"/>
      <c r="O729" s="13">
        <v>721</v>
      </c>
      <c r="P729" s="3">
        <f t="shared" si="89"/>
        <v>721</v>
      </c>
      <c r="Q729" s="3">
        <f t="shared" si="90"/>
        <v>0</v>
      </c>
      <c r="R729" s="3">
        <f t="shared" si="91"/>
        <v>12010.220000000008</v>
      </c>
      <c r="S729" s="24" t="s">
        <v>1334</v>
      </c>
      <c r="T729" s="24" t="s">
        <v>1334</v>
      </c>
      <c r="U729" s="3"/>
      <c r="V729" s="19" t="str">
        <f>IFERROR(VLOOKUP(Banco_Nacion[[#This Row],[responsable]],Clientes_Proveedores[[Ruc / Dni]:[Razon Social]],2,0),"")</f>
        <v>COSAPI MINERIA S.A.C.</v>
      </c>
      <c r="W729" s="19" t="str">
        <f>IF(Banco_Nacion[[#This Row],[tipo_mov]]="INGRESO",Banco_Nacion[[#This Row],[serie]]&amp;Banco_Nacion[[#This Row],[numero]]&amp;Banco_Nacion[[#This Row],[responsable]]&amp;Banco_Nacion[[#This Row],[monto]],"")</f>
        <v>FF0124320552714378721</v>
      </c>
      <c r="X729" s="162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91415379</v>
      </c>
      <c r="Y729" s="3" t="str">
        <f>IFERROR(VLOOKUP(Banco_Nacion[[#This Row],[serie]]&amp;Banco_Nacion[[#This Row],[numero]]&amp;Banco_Nacion[[#This Row],[responsable]],[2]!Provision_CXC[[ID CXP]:[DETRACCION]],47,0),"")</f>
        <v/>
      </c>
      <c r="Z729" s="3"/>
      <c r="AA729" s="24" t="str">
        <f>IF(Banco_Nacion[[#This Row],[fecha]]&gt;0,TEXT(Banco_Nacion[[#This Row],[fecha]],"mmmm"),0)</f>
        <v>Setiembre</v>
      </c>
    </row>
    <row r="730" spans="1:27" x14ac:dyDescent="0.3">
      <c r="A730" s="2">
        <f>IF(Banco_Nacion[[#This Row],[tipo_registro]]="R",COUNTIFS($C$1:$C729,"R")+1,"")</f>
        <v>663</v>
      </c>
      <c r="B730" s="19" t="str">
        <f t="shared" si="87"/>
        <v>B-Banco de la Nacion</v>
      </c>
      <c r="C730" s="3" t="s">
        <v>1330</v>
      </c>
      <c r="D730" s="14">
        <v>45929</v>
      </c>
      <c r="E730" s="5">
        <v>20552714378</v>
      </c>
      <c r="F730" s="5" t="s">
        <v>1303</v>
      </c>
      <c r="G730" s="6"/>
      <c r="H730" s="6"/>
      <c r="I730" s="6" t="s">
        <v>1784</v>
      </c>
      <c r="J730" s="6">
        <v>242</v>
      </c>
      <c r="K730" s="7" t="s">
        <v>5232</v>
      </c>
      <c r="L730" s="8">
        <v>91415378</v>
      </c>
      <c r="M730" s="8" t="str">
        <f t="shared" si="88"/>
        <v>PEN</v>
      </c>
      <c r="N730" s="13"/>
      <c r="O730" s="13">
        <v>1507</v>
      </c>
      <c r="P730" s="3">
        <f t="shared" si="89"/>
        <v>1507</v>
      </c>
      <c r="Q730" s="3">
        <f t="shared" si="90"/>
        <v>0</v>
      </c>
      <c r="R730" s="3">
        <f t="shared" si="91"/>
        <v>13517.220000000008</v>
      </c>
      <c r="S730" s="24" t="s">
        <v>1334</v>
      </c>
      <c r="T730" s="24" t="s">
        <v>1334</v>
      </c>
      <c r="U730" s="3"/>
      <c r="V730" s="19" t="str">
        <f>IFERROR(VLOOKUP(Banco_Nacion[[#This Row],[responsable]],Clientes_Proveedores[[Ruc / Dni]:[Razon Social]],2,0),"")</f>
        <v>COSAPI MINERIA S.A.C.</v>
      </c>
      <c r="W730" s="19" t="str">
        <f>IF(Banco_Nacion[[#This Row],[tipo_mov]]="INGRESO",Banco_Nacion[[#This Row],[serie]]&amp;Banco_Nacion[[#This Row],[numero]]&amp;Banco_Nacion[[#This Row],[responsable]]&amp;Banco_Nacion[[#This Row],[monto]],"")</f>
        <v>FF01242205527143781507</v>
      </c>
      <c r="X730" s="162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91415378</v>
      </c>
      <c r="Y730" s="3" t="str">
        <f>IFERROR(VLOOKUP(Banco_Nacion[[#This Row],[serie]]&amp;Banco_Nacion[[#This Row],[numero]]&amp;Banco_Nacion[[#This Row],[responsable]],[2]!Provision_CXC[[ID CXP]:[DETRACCION]],47,0),"")</f>
        <v/>
      </c>
      <c r="Z730" s="3"/>
      <c r="AA730" s="24" t="str">
        <f>IF(Banco_Nacion[[#This Row],[fecha]]&gt;0,TEXT(Banco_Nacion[[#This Row],[fecha]],"mmmm"),0)</f>
        <v>Setiembre</v>
      </c>
    </row>
    <row r="731" spans="1:27" x14ac:dyDescent="0.3">
      <c r="A731" s="2">
        <f>IF(Banco_Nacion[[#This Row],[tipo_registro]]="R",COUNTIFS($C$1:$C730,"R")+1,"")</f>
        <v>664</v>
      </c>
      <c r="B731" s="19" t="str">
        <f t="shared" si="87"/>
        <v>B-Banco de la Nacion</v>
      </c>
      <c r="C731" s="3" t="s">
        <v>1330</v>
      </c>
      <c r="D731" s="14">
        <v>45930</v>
      </c>
      <c r="E731" s="5"/>
      <c r="F731" s="5" t="s">
        <v>1336</v>
      </c>
      <c r="G731" s="6"/>
      <c r="H731" s="6"/>
      <c r="I731" s="6"/>
      <c r="J731" s="6"/>
      <c r="K731" s="7" t="s">
        <v>5234</v>
      </c>
      <c r="L731" s="8">
        <v>78787878</v>
      </c>
      <c r="M731" s="8" t="str">
        <f t="shared" si="88"/>
        <v>PEN</v>
      </c>
      <c r="N731" s="13"/>
      <c r="O731" s="13">
        <v>866</v>
      </c>
      <c r="P731" s="3">
        <f t="shared" si="89"/>
        <v>0</v>
      </c>
      <c r="Q731" s="3">
        <f t="shared" si="90"/>
        <v>866</v>
      </c>
      <c r="R731" s="3">
        <f t="shared" si="91"/>
        <v>12651.220000000008</v>
      </c>
      <c r="S731" s="24"/>
      <c r="T731" s="24"/>
      <c r="U731" s="3"/>
      <c r="V731" s="19" t="str">
        <f>IFERROR(VLOOKUP(Banco_Nacion[[#This Row],[responsable]],Clientes_Proveedores[[Ruc / Dni]:[Razon Social]],2,0),"")</f>
        <v/>
      </c>
      <c r="W731" s="19" t="str">
        <f>IF(Banco_Nacion[[#This Row],[tipo_mov]]="INGRESO",Banco_Nacion[[#This Row],[serie]]&amp;Banco_Nacion[[#This Row],[numero]]&amp;Banco_Nacion[[#This Row],[responsable]]&amp;Banco_Nacion[[#This Row],[monto]],"")</f>
        <v/>
      </c>
      <c r="X731" s="162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/>
      </c>
      <c r="Y731" s="3" t="str">
        <f>IFERROR(VLOOKUP(Banco_Nacion[[#This Row],[serie]]&amp;Banco_Nacion[[#This Row],[numero]]&amp;Banco_Nacion[[#This Row],[responsable]],[2]!Provision_CXC[[ID CXP]:[DETRACCION]],47,0),"")</f>
        <v/>
      </c>
      <c r="Z731" s="3"/>
      <c r="AA731" s="24" t="str">
        <f>IF(Banco_Nacion[[#This Row],[fecha]]&gt;0,TEXT(Banco_Nacion[[#This Row],[fecha]],"mmmm"),0)</f>
        <v>Setiembre</v>
      </c>
    </row>
    <row r="732" spans="1:27" x14ac:dyDescent="0.3">
      <c r="A732" s="2">
        <f>IF(Banco_Nacion[[#This Row],[tipo_registro]]="R",COUNTIFS($C$1:$C731,"R")+1,"")</f>
        <v>665</v>
      </c>
      <c r="B732" s="19" t="str">
        <f t="shared" si="87"/>
        <v>B-Banco de la Nacion</v>
      </c>
      <c r="C732" s="3" t="s">
        <v>1330</v>
      </c>
      <c r="D732" s="14">
        <v>45931</v>
      </c>
      <c r="E732" s="5">
        <v>20120788389</v>
      </c>
      <c r="F732" s="5" t="s">
        <v>1303</v>
      </c>
      <c r="G732" s="6"/>
      <c r="H732" s="6"/>
      <c r="I732" s="6" t="s">
        <v>1784</v>
      </c>
      <c r="J732" s="6">
        <v>235</v>
      </c>
      <c r="K732" s="7" t="s">
        <v>5232</v>
      </c>
      <c r="L732" s="8">
        <v>91608787</v>
      </c>
      <c r="M732" s="8" t="str">
        <f t="shared" si="88"/>
        <v>PEN</v>
      </c>
      <c r="N732" s="13"/>
      <c r="O732" s="13">
        <v>95</v>
      </c>
      <c r="P732" s="3">
        <f t="shared" si="89"/>
        <v>95</v>
      </c>
      <c r="Q732" s="3">
        <f t="shared" si="90"/>
        <v>0</v>
      </c>
      <c r="R732" s="3">
        <f t="shared" si="91"/>
        <v>12746.220000000008</v>
      </c>
      <c r="S732" s="24" t="s">
        <v>1334</v>
      </c>
      <c r="T732" s="24" t="s">
        <v>1334</v>
      </c>
      <c r="U732" s="3"/>
      <c r="V732" s="19" t="str">
        <f>IFERROR(VLOOKUP(Banco_Nacion[[#This Row],[responsable]],Clientes_Proveedores[[Ruc / Dni]:[Razon Social]],2,0),"")</f>
        <v>CARMEN INMUEBLES S.A.</v>
      </c>
      <c r="W732" s="19" t="str">
        <f>IF(Banco_Nacion[[#This Row],[tipo_mov]]="INGRESO",Banco_Nacion[[#This Row],[serie]]&amp;Banco_Nacion[[#This Row],[numero]]&amp;Banco_Nacion[[#This Row],[responsable]]&amp;Banco_Nacion[[#This Row],[monto]],"")</f>
        <v>FF012352012078838995</v>
      </c>
      <c r="X732" s="162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91608787</v>
      </c>
      <c r="Y732" s="3" t="str">
        <f>IFERROR(VLOOKUP(Banco_Nacion[[#This Row],[serie]]&amp;Banco_Nacion[[#This Row],[numero]]&amp;Banco_Nacion[[#This Row],[responsable]],[2]!Provision_CXC[[ID CXP]:[DETRACCION]],47,0),"")</f>
        <v/>
      </c>
      <c r="Z732" s="3"/>
      <c r="AA732" s="24" t="str">
        <f>IF(Banco_Nacion[[#This Row],[fecha]]&gt;0,TEXT(Banco_Nacion[[#This Row],[fecha]],"mmmm"),0)</f>
        <v>Octubre</v>
      </c>
    </row>
    <row r="733" spans="1:27" x14ac:dyDescent="0.3">
      <c r="A733" s="43">
        <f>IF(Banco_Nacion[[#This Row],[tipo_registro]]="R",COUNTIFS($C$1:$C732,"R")+1,"")</f>
        <v>666</v>
      </c>
      <c r="B733" s="19" t="str">
        <f t="shared" ref="B733:B751" si="92">"B-Banco de la Nacion"</f>
        <v>B-Banco de la Nacion</v>
      </c>
      <c r="C733" s="3" t="s">
        <v>1330</v>
      </c>
      <c r="D733" s="14">
        <v>45932</v>
      </c>
      <c r="E733" s="5">
        <v>20100192064</v>
      </c>
      <c r="F733" s="5" t="s">
        <v>1303</v>
      </c>
      <c r="G733" s="6"/>
      <c r="H733" s="6"/>
      <c r="I733" s="6" t="s">
        <v>1784</v>
      </c>
      <c r="J733" s="6">
        <v>268</v>
      </c>
      <c r="K733" s="7" t="s">
        <v>5232</v>
      </c>
      <c r="L733" s="8">
        <v>91746996</v>
      </c>
      <c r="M733" s="8" t="str">
        <f t="shared" ref="M733:M751" si="93">"PEN"</f>
        <v>PEN</v>
      </c>
      <c r="N733" s="13"/>
      <c r="O733" s="13">
        <v>1051</v>
      </c>
      <c r="P733" s="3">
        <f t="shared" ref="P733:P751" si="94">+IF(OR($F733="SALDO",$F733="INGRESO"),$O733,0)</f>
        <v>1051</v>
      </c>
      <c r="Q733" s="3">
        <f t="shared" ref="Q733:Q751" si="95">+IF($F733="EGRESO",$O733,0)</f>
        <v>0</v>
      </c>
      <c r="R733" s="3">
        <f t="shared" ref="R733:R751" si="96">IFERROR(IF(F733="SALDO",P733,R732+P733-Q733),0)</f>
        <v>13797.220000000008</v>
      </c>
      <c r="S733" s="24"/>
      <c r="T733" s="24"/>
      <c r="U733" s="3"/>
      <c r="V733" s="19" t="str">
        <f>IFERROR(VLOOKUP(Banco_Nacion[[#This Row],[responsable]],Clientes_Proveedores[[Ruc / Dni]:[Razon Social]],2,0),"")</f>
        <v>MOLY-COP ADESUR S.A</v>
      </c>
      <c r="W733" s="19" t="str">
        <f>IF(Banco_Nacion[[#This Row],[tipo_mov]]="INGRESO",Banco_Nacion[[#This Row],[serie]]&amp;Banco_Nacion[[#This Row],[numero]]&amp;Banco_Nacion[[#This Row],[responsable]]&amp;Banco_Nacion[[#This Row],[monto]],"")</f>
        <v>FF01268201001920641051</v>
      </c>
      <c r="X733" s="162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91746996</v>
      </c>
      <c r="Y733" s="3" t="str">
        <f>IFERROR(VLOOKUP(Banco_Nacion[[#This Row],[serie]]&amp;Banco_Nacion[[#This Row],[numero]]&amp;Banco_Nacion[[#This Row],[responsable]],[2]!Provision_CXC[[ID CXP]:[DETRACCION]],47,0),"")</f>
        <v/>
      </c>
      <c r="Z733" s="3"/>
      <c r="AA733" s="24" t="str">
        <f>IF(Banco_Nacion[[#This Row],[fecha]]&gt;0,TEXT(Banco_Nacion[[#This Row],[fecha]],"mmmm"),0)</f>
        <v>Octubre</v>
      </c>
    </row>
    <row r="734" spans="1:27" x14ac:dyDescent="0.3">
      <c r="A734" s="43">
        <f>IF(Banco_Nacion[[#This Row],[tipo_registro]]="R",COUNTIFS($C$1:$C733,"R")+1,"")</f>
        <v>667</v>
      </c>
      <c r="B734" s="19" t="str">
        <f t="shared" si="92"/>
        <v>B-Banco de la Nacion</v>
      </c>
      <c r="C734" s="3" t="s">
        <v>1330</v>
      </c>
      <c r="D734" s="14">
        <v>45933</v>
      </c>
      <c r="E734" s="5">
        <v>20402885549</v>
      </c>
      <c r="F734" s="5" t="s">
        <v>1303</v>
      </c>
      <c r="G734" s="6"/>
      <c r="H734" s="6"/>
      <c r="I734" s="6" t="s">
        <v>3302</v>
      </c>
      <c r="J734" s="6">
        <v>142</v>
      </c>
      <c r="K734" s="7" t="s">
        <v>5232</v>
      </c>
      <c r="L734" s="8">
        <v>91778827</v>
      </c>
      <c r="M734" s="8" t="str">
        <f t="shared" si="93"/>
        <v>PEN</v>
      </c>
      <c r="N734" s="13"/>
      <c r="O734" s="13">
        <v>2842</v>
      </c>
      <c r="P734" s="3">
        <f t="shared" si="94"/>
        <v>2842</v>
      </c>
      <c r="Q734" s="3">
        <f t="shared" si="95"/>
        <v>0</v>
      </c>
      <c r="R734" s="3">
        <f t="shared" si="96"/>
        <v>16639.220000000008</v>
      </c>
      <c r="S734" s="24"/>
      <c r="T734" s="24"/>
      <c r="U734" s="3"/>
      <c r="V734" s="19" t="str">
        <f>IFERROR(VLOOKUP(Banco_Nacion[[#This Row],[responsable]],Clientes_Proveedores[[Ruc / Dni]:[Razon Social]],2,0),"")</f>
        <v>EMPRESA SIDERURGICA DEL PERU S.A.A.</v>
      </c>
      <c r="W734" s="19" t="str">
        <f>IF(Banco_Nacion[[#This Row],[tipo_mov]]="INGRESO",Banco_Nacion[[#This Row],[serie]]&amp;Banco_Nacion[[#This Row],[numero]]&amp;Banco_Nacion[[#This Row],[responsable]]&amp;Banco_Nacion[[#This Row],[monto]],"")</f>
        <v>FF02142204028855492842</v>
      </c>
      <c r="X734" s="162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91778827</v>
      </c>
      <c r="Y734" s="3" t="str">
        <f>IFERROR(VLOOKUP(Banco_Nacion[[#This Row],[serie]]&amp;Banco_Nacion[[#This Row],[numero]]&amp;Banco_Nacion[[#This Row],[responsable]],[2]!Provision_CXC[[ID CXP]:[DETRACCION]],47,0),"")</f>
        <v/>
      </c>
      <c r="Z734" s="3"/>
      <c r="AA734" s="24" t="str">
        <f>IF(Banco_Nacion[[#This Row],[fecha]]&gt;0,TEXT(Banco_Nacion[[#This Row],[fecha]],"mmmm"),0)</f>
        <v>Octubre</v>
      </c>
    </row>
    <row r="735" spans="1:27" x14ac:dyDescent="0.3">
      <c r="A735" s="43">
        <f>IF(Banco_Nacion[[#This Row],[tipo_registro]]="R",COUNTIFS($C$1:$C734,"R")+1,"")</f>
        <v>668</v>
      </c>
      <c r="B735" s="19" t="str">
        <f t="shared" si="92"/>
        <v>B-Banco de la Nacion</v>
      </c>
      <c r="C735" s="3" t="s">
        <v>1330</v>
      </c>
      <c r="D735" s="14">
        <v>45933</v>
      </c>
      <c r="E735" s="5">
        <v>20455283915</v>
      </c>
      <c r="F735" s="5" t="s">
        <v>1303</v>
      </c>
      <c r="G735" s="6"/>
      <c r="H735" s="6"/>
      <c r="I735" s="6" t="s">
        <v>3302</v>
      </c>
      <c r="J735" s="6">
        <v>141</v>
      </c>
      <c r="K735" s="7" t="s">
        <v>5232</v>
      </c>
      <c r="L735" s="8">
        <v>28431925</v>
      </c>
      <c r="M735" s="8" t="str">
        <f t="shared" si="93"/>
        <v>PEN</v>
      </c>
      <c r="N735" s="13"/>
      <c r="O735" s="13">
        <v>371</v>
      </c>
      <c r="P735" s="3">
        <f t="shared" si="94"/>
        <v>371</v>
      </c>
      <c r="Q735" s="3">
        <f t="shared" si="95"/>
        <v>0</v>
      </c>
      <c r="R735" s="3">
        <f t="shared" si="96"/>
        <v>17010.220000000008</v>
      </c>
      <c r="S735" s="24"/>
      <c r="T735" s="24"/>
      <c r="U735" s="3"/>
      <c r="V735" s="19" t="str">
        <f>IFERROR(VLOOKUP(Banco_Nacion[[#This Row],[responsable]],Clientes_Proveedores[[Ruc / Dni]:[Razon Social]],2,0),"")</f>
        <v>EMPRESA CONSERVADORA AMBIENTAL DEL SUR E.I.R.L. - ECA SUR E.I.R.L.</v>
      </c>
      <c r="W735" s="19" t="str">
        <f>IF(Banco_Nacion[[#This Row],[tipo_mov]]="INGRESO",Banco_Nacion[[#This Row],[serie]]&amp;Banco_Nacion[[#This Row],[numero]]&amp;Banco_Nacion[[#This Row],[responsable]]&amp;Banco_Nacion[[#This Row],[monto]],"")</f>
        <v>FF0214120455283915371</v>
      </c>
      <c r="X735" s="162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28431925</v>
      </c>
      <c r="Y735" s="3" t="str">
        <f>IFERROR(VLOOKUP(Banco_Nacion[[#This Row],[serie]]&amp;Banco_Nacion[[#This Row],[numero]]&amp;Banco_Nacion[[#This Row],[responsable]],[2]!Provision_CXC[[ID CXP]:[DETRACCION]],47,0),"")</f>
        <v/>
      </c>
      <c r="Z735" s="3"/>
      <c r="AA735" s="24" t="str">
        <f>IF(Banco_Nacion[[#This Row],[fecha]]&gt;0,TEXT(Banco_Nacion[[#This Row],[fecha]],"mmmm"),0)</f>
        <v>Octubre</v>
      </c>
    </row>
    <row r="736" spans="1:27" x14ac:dyDescent="0.3">
      <c r="A736" s="43">
        <f>IF(Banco_Nacion[[#This Row],[tipo_registro]]="R",COUNTIFS($C$1:$C735,"R")+1,"")</f>
        <v>669</v>
      </c>
      <c r="B736" s="19" t="str">
        <f t="shared" si="92"/>
        <v>B-Banco de la Nacion</v>
      </c>
      <c r="C736" s="3" t="s">
        <v>1330</v>
      </c>
      <c r="D736" s="14">
        <v>45933</v>
      </c>
      <c r="E736" s="5">
        <v>20455283915</v>
      </c>
      <c r="F736" s="5" t="s">
        <v>1303</v>
      </c>
      <c r="G736" s="6"/>
      <c r="H736" s="6"/>
      <c r="I736" s="6" t="s">
        <v>3302</v>
      </c>
      <c r="J736" s="6">
        <v>140</v>
      </c>
      <c r="K736" s="7" t="s">
        <v>5232</v>
      </c>
      <c r="L736" s="8">
        <v>28426024</v>
      </c>
      <c r="M736" s="8" t="str">
        <f t="shared" si="93"/>
        <v>PEN</v>
      </c>
      <c r="N736" s="13"/>
      <c r="O736" s="13">
        <v>56</v>
      </c>
      <c r="P736" s="3">
        <f t="shared" si="94"/>
        <v>56</v>
      </c>
      <c r="Q736" s="3">
        <f t="shared" si="95"/>
        <v>0</v>
      </c>
      <c r="R736" s="3">
        <f t="shared" si="96"/>
        <v>17066.220000000008</v>
      </c>
      <c r="S736" s="24"/>
      <c r="T736" s="24"/>
      <c r="U736" s="3"/>
      <c r="V736" s="19" t="str">
        <f>IFERROR(VLOOKUP(Banco_Nacion[[#This Row],[responsable]],Clientes_Proveedores[[Ruc / Dni]:[Razon Social]],2,0),"")</f>
        <v>EMPRESA CONSERVADORA AMBIENTAL DEL SUR E.I.R.L. - ECA SUR E.I.R.L.</v>
      </c>
      <c r="W736" s="19" t="str">
        <f>IF(Banco_Nacion[[#This Row],[tipo_mov]]="INGRESO",Banco_Nacion[[#This Row],[serie]]&amp;Banco_Nacion[[#This Row],[numero]]&amp;Banco_Nacion[[#This Row],[responsable]]&amp;Banco_Nacion[[#This Row],[monto]],"")</f>
        <v>FF021402045528391556</v>
      </c>
      <c r="X736" s="162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28426024</v>
      </c>
      <c r="Y736" s="3" t="str">
        <f>IFERROR(VLOOKUP(Banco_Nacion[[#This Row],[serie]]&amp;Banco_Nacion[[#This Row],[numero]]&amp;Banco_Nacion[[#This Row],[responsable]],[2]!Provision_CXC[[ID CXP]:[DETRACCION]],47,0),"")</f>
        <v/>
      </c>
      <c r="Z736" s="3"/>
      <c r="AA736" s="24" t="str">
        <f>IF(Banco_Nacion[[#This Row],[fecha]]&gt;0,TEXT(Banco_Nacion[[#This Row],[fecha]],"mmmm"),0)</f>
        <v>Octubre</v>
      </c>
    </row>
    <row r="737" spans="1:27" x14ac:dyDescent="0.3">
      <c r="A737" s="43">
        <f>IF(Banco_Nacion[[#This Row],[tipo_registro]]="R",COUNTIFS($C$1:$C736,"R")+1,"")</f>
        <v>670</v>
      </c>
      <c r="B737" s="19" t="str">
        <f t="shared" si="92"/>
        <v>B-Banco de la Nacion</v>
      </c>
      <c r="C737" s="3" t="s">
        <v>1330</v>
      </c>
      <c r="D737" s="14">
        <v>45933</v>
      </c>
      <c r="E737" s="5">
        <v>20455283915</v>
      </c>
      <c r="F737" s="5" t="s">
        <v>1303</v>
      </c>
      <c r="G737" s="6"/>
      <c r="H737" s="6"/>
      <c r="I737" s="6" t="s">
        <v>3302</v>
      </c>
      <c r="J737" s="6">
        <v>139</v>
      </c>
      <c r="K737" s="7" t="s">
        <v>5232</v>
      </c>
      <c r="L737" s="8">
        <v>28426024</v>
      </c>
      <c r="M737" s="8" t="str">
        <f t="shared" si="93"/>
        <v>PEN</v>
      </c>
      <c r="N737" s="13"/>
      <c r="O737" s="13">
        <v>604</v>
      </c>
      <c r="P737" s="3">
        <f t="shared" si="94"/>
        <v>604</v>
      </c>
      <c r="Q737" s="3">
        <f t="shared" si="95"/>
        <v>0</v>
      </c>
      <c r="R737" s="3">
        <f t="shared" si="96"/>
        <v>17670.220000000008</v>
      </c>
      <c r="S737" s="24"/>
      <c r="T737" s="24"/>
      <c r="U737" s="3"/>
      <c r="V737" s="19" t="str">
        <f>IFERROR(VLOOKUP(Banco_Nacion[[#This Row],[responsable]],Clientes_Proveedores[[Ruc / Dni]:[Razon Social]],2,0),"")</f>
        <v>EMPRESA CONSERVADORA AMBIENTAL DEL SUR E.I.R.L. - ECA SUR E.I.R.L.</v>
      </c>
      <c r="W737" s="19" t="str">
        <f>IF(Banco_Nacion[[#This Row],[tipo_mov]]="INGRESO",Banco_Nacion[[#This Row],[serie]]&amp;Banco_Nacion[[#This Row],[numero]]&amp;Banco_Nacion[[#This Row],[responsable]]&amp;Banco_Nacion[[#This Row],[monto]],"")</f>
        <v>FF0213920455283915604</v>
      </c>
      <c r="X737" s="162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28426024</v>
      </c>
      <c r="Y737" s="3" t="str">
        <f>IFERROR(VLOOKUP(Banco_Nacion[[#This Row],[serie]]&amp;Banco_Nacion[[#This Row],[numero]]&amp;Banco_Nacion[[#This Row],[responsable]],[2]!Provision_CXC[[ID CXP]:[DETRACCION]],47,0),"")</f>
        <v/>
      </c>
      <c r="Z737" s="3"/>
      <c r="AA737" s="24" t="str">
        <f>IF(Banco_Nacion[[#This Row],[fecha]]&gt;0,TEXT(Banco_Nacion[[#This Row],[fecha]],"mmmm"),0)</f>
        <v>Octubre</v>
      </c>
    </row>
    <row r="738" spans="1:27" x14ac:dyDescent="0.3">
      <c r="A738" s="43">
        <f>IF(Banco_Nacion[[#This Row],[tipo_registro]]="R",COUNTIFS($C$1:$C737,"R")+1,"")</f>
        <v>671</v>
      </c>
      <c r="B738" s="19" t="str">
        <f t="shared" si="92"/>
        <v>B-Banco de la Nacion</v>
      </c>
      <c r="C738" s="3" t="s">
        <v>1330</v>
      </c>
      <c r="D738" s="14">
        <v>45936</v>
      </c>
      <c r="E738" s="5">
        <v>20419158462</v>
      </c>
      <c r="F738" s="5" t="s">
        <v>1303</v>
      </c>
      <c r="G738" s="6"/>
      <c r="H738" s="6"/>
      <c r="I738" s="6" t="s">
        <v>1784</v>
      </c>
      <c r="J738" s="6">
        <v>256</v>
      </c>
      <c r="K738" s="7" t="s">
        <v>5232</v>
      </c>
      <c r="L738" s="8">
        <v>91993851</v>
      </c>
      <c r="M738" s="8" t="str">
        <f t="shared" si="93"/>
        <v>PEN</v>
      </c>
      <c r="N738" s="13"/>
      <c r="O738" s="13">
        <v>202</v>
      </c>
      <c r="P738" s="3">
        <f t="shared" si="94"/>
        <v>202</v>
      </c>
      <c r="Q738" s="3">
        <f t="shared" si="95"/>
        <v>0</v>
      </c>
      <c r="R738" s="3">
        <f t="shared" si="96"/>
        <v>17872.220000000008</v>
      </c>
      <c r="S738" s="24"/>
      <c r="T738" s="24"/>
      <c r="U738" s="3"/>
      <c r="V738" s="19" t="str">
        <f>IFERROR(VLOOKUP(Banco_Nacion[[#This Row],[responsable]],Clientes_Proveedores[[Ruc / Dni]:[Razon Social]],2,0),"")</f>
        <v>GRANJA RINCONADA DEL SUR S.A.</v>
      </c>
      <c r="W738" s="19" t="str">
        <f>IF(Banco_Nacion[[#This Row],[tipo_mov]]="INGRESO",Banco_Nacion[[#This Row],[serie]]&amp;Banco_Nacion[[#This Row],[numero]]&amp;Banco_Nacion[[#This Row],[responsable]]&amp;Banco_Nacion[[#This Row],[monto]],"")</f>
        <v>FF0125620419158462202</v>
      </c>
      <c r="X738" s="162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91993851</v>
      </c>
      <c r="Y738" s="3" t="str">
        <f>IFERROR(VLOOKUP(Banco_Nacion[[#This Row],[serie]]&amp;Banco_Nacion[[#This Row],[numero]]&amp;Banco_Nacion[[#This Row],[responsable]],[2]!Provision_CXC[[ID CXP]:[DETRACCION]],47,0),"")</f>
        <v/>
      </c>
      <c r="Z738" s="3"/>
      <c r="AA738" s="24" t="str">
        <f>IF(Banco_Nacion[[#This Row],[fecha]]&gt;0,TEXT(Banco_Nacion[[#This Row],[fecha]],"mmmm"),0)</f>
        <v>Octubre</v>
      </c>
    </row>
    <row r="739" spans="1:27" x14ac:dyDescent="0.3">
      <c r="A739" s="43">
        <f>IF(Banco_Nacion[[#This Row],[tipo_registro]]="R",COUNTIFS($C$1:$C738,"R")+1,"")</f>
        <v>672</v>
      </c>
      <c r="B739" s="19" t="str">
        <f t="shared" si="92"/>
        <v>B-Banco de la Nacion</v>
      </c>
      <c r="C739" s="3" t="s">
        <v>1330</v>
      </c>
      <c r="D739" s="14">
        <v>45936</v>
      </c>
      <c r="E739" s="5">
        <v>20419158462</v>
      </c>
      <c r="F739" s="5" t="s">
        <v>1303</v>
      </c>
      <c r="G739" s="6"/>
      <c r="H739" s="6"/>
      <c r="I739" s="6" t="s">
        <v>1784</v>
      </c>
      <c r="J739" s="6">
        <v>255</v>
      </c>
      <c r="K739" s="7" t="s">
        <v>5232</v>
      </c>
      <c r="L739" s="8">
        <v>91993850</v>
      </c>
      <c r="M739" s="8" t="str">
        <f t="shared" si="93"/>
        <v>PEN</v>
      </c>
      <c r="N739" s="13"/>
      <c r="O739" s="13">
        <v>202</v>
      </c>
      <c r="P739" s="3">
        <f t="shared" si="94"/>
        <v>202</v>
      </c>
      <c r="Q739" s="3">
        <f t="shared" si="95"/>
        <v>0</v>
      </c>
      <c r="R739" s="3">
        <f t="shared" si="96"/>
        <v>18074.220000000008</v>
      </c>
      <c r="S739" s="24"/>
      <c r="T739" s="24"/>
      <c r="U739" s="3"/>
      <c r="V739" s="19" t="str">
        <f>IFERROR(VLOOKUP(Banco_Nacion[[#This Row],[responsable]],Clientes_Proveedores[[Ruc / Dni]:[Razon Social]],2,0),"")</f>
        <v>GRANJA RINCONADA DEL SUR S.A.</v>
      </c>
      <c r="W739" s="19" t="str">
        <f>IF(Banco_Nacion[[#This Row],[tipo_mov]]="INGRESO",Banco_Nacion[[#This Row],[serie]]&amp;Banco_Nacion[[#This Row],[numero]]&amp;Banco_Nacion[[#This Row],[responsable]]&amp;Banco_Nacion[[#This Row],[monto]],"")</f>
        <v>FF0125520419158462202</v>
      </c>
      <c r="X739" s="162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91993850</v>
      </c>
      <c r="Y739" s="3" t="str">
        <f>IFERROR(VLOOKUP(Banco_Nacion[[#This Row],[serie]]&amp;Banco_Nacion[[#This Row],[numero]]&amp;Banco_Nacion[[#This Row],[responsable]],[2]!Provision_CXC[[ID CXP]:[DETRACCION]],47,0),"")</f>
        <v/>
      </c>
      <c r="Z739" s="3"/>
      <c r="AA739" s="24" t="str">
        <f>IF(Banco_Nacion[[#This Row],[fecha]]&gt;0,TEXT(Banco_Nacion[[#This Row],[fecha]],"mmmm"),0)</f>
        <v>Octubre</v>
      </c>
    </row>
    <row r="740" spans="1:27" x14ac:dyDescent="0.3">
      <c r="A740" s="43">
        <f>IF(Banco_Nacion[[#This Row],[tipo_registro]]="R",COUNTIFS($C$1:$C739,"R")+1,"")</f>
        <v>673</v>
      </c>
      <c r="B740" s="19" t="str">
        <f t="shared" si="92"/>
        <v>B-Banco de la Nacion</v>
      </c>
      <c r="C740" s="3" t="s">
        <v>1330</v>
      </c>
      <c r="D740" s="14">
        <v>45936</v>
      </c>
      <c r="E740" s="5">
        <v>20419158462</v>
      </c>
      <c r="F740" s="5" t="s">
        <v>1303</v>
      </c>
      <c r="G740" s="6"/>
      <c r="H740" s="6"/>
      <c r="I740" s="6" t="s">
        <v>1784</v>
      </c>
      <c r="J740" s="6">
        <v>257</v>
      </c>
      <c r="K740" s="7" t="s">
        <v>5232</v>
      </c>
      <c r="L740" s="8">
        <v>91993849</v>
      </c>
      <c r="M740" s="8" t="str">
        <f t="shared" si="93"/>
        <v>PEN</v>
      </c>
      <c r="N740" s="13"/>
      <c r="O740" s="13">
        <v>202</v>
      </c>
      <c r="P740" s="3">
        <f t="shared" si="94"/>
        <v>202</v>
      </c>
      <c r="Q740" s="3">
        <f t="shared" si="95"/>
        <v>0</v>
      </c>
      <c r="R740" s="3">
        <f t="shared" si="96"/>
        <v>18276.220000000008</v>
      </c>
      <c r="S740" s="24"/>
      <c r="T740" s="24"/>
      <c r="U740" s="3"/>
      <c r="V740" s="19" t="str">
        <f>IFERROR(VLOOKUP(Banco_Nacion[[#This Row],[responsable]],Clientes_Proveedores[[Ruc / Dni]:[Razon Social]],2,0),"")</f>
        <v>GRANJA RINCONADA DEL SUR S.A.</v>
      </c>
      <c r="W740" s="19" t="str">
        <f>IF(Banco_Nacion[[#This Row],[tipo_mov]]="INGRESO",Banco_Nacion[[#This Row],[serie]]&amp;Banco_Nacion[[#This Row],[numero]]&amp;Banco_Nacion[[#This Row],[responsable]]&amp;Banco_Nacion[[#This Row],[monto]],"")</f>
        <v>FF0125720419158462202</v>
      </c>
      <c r="X740" s="162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91993849</v>
      </c>
      <c r="Y740" s="3" t="str">
        <f>IFERROR(VLOOKUP(Banco_Nacion[[#This Row],[serie]]&amp;Banco_Nacion[[#This Row],[numero]]&amp;Banco_Nacion[[#This Row],[responsable]],[2]!Provision_CXC[[ID CXP]:[DETRACCION]],47,0),"")</f>
        <v/>
      </c>
      <c r="Z740" s="3"/>
      <c r="AA740" s="24" t="str">
        <f>IF(Banco_Nacion[[#This Row],[fecha]]&gt;0,TEXT(Banco_Nacion[[#This Row],[fecha]],"mmmm"),0)</f>
        <v>Octubre</v>
      </c>
    </row>
    <row r="741" spans="1:27" x14ac:dyDescent="0.3">
      <c r="A741" s="43">
        <f>IF(Banco_Nacion[[#This Row],[tipo_registro]]="R",COUNTIFS($C$1:$C740,"R")+1,"")</f>
        <v>674</v>
      </c>
      <c r="B741" s="19" t="str">
        <f t="shared" si="92"/>
        <v>B-Banco de la Nacion</v>
      </c>
      <c r="C741" s="3" t="s">
        <v>1330</v>
      </c>
      <c r="D741" s="14">
        <v>45936</v>
      </c>
      <c r="E741" s="5">
        <v>20454186002</v>
      </c>
      <c r="F741" s="5" t="s">
        <v>1303</v>
      </c>
      <c r="G741" s="6"/>
      <c r="H741" s="6"/>
      <c r="I741" s="6" t="s">
        <v>1784</v>
      </c>
      <c r="J741" s="6">
        <v>264</v>
      </c>
      <c r="K741" s="7" t="s">
        <v>5232</v>
      </c>
      <c r="L741" s="8">
        <v>91954366</v>
      </c>
      <c r="M741" s="8" t="str">
        <f t="shared" si="93"/>
        <v>PEN</v>
      </c>
      <c r="N741" s="13"/>
      <c r="O741" s="13">
        <v>335</v>
      </c>
      <c r="P741" s="3">
        <f t="shared" si="94"/>
        <v>335</v>
      </c>
      <c r="Q741" s="3">
        <f t="shared" si="95"/>
        <v>0</v>
      </c>
      <c r="R741" s="3">
        <f t="shared" si="96"/>
        <v>18611.220000000008</v>
      </c>
      <c r="S741" s="24"/>
      <c r="T741" s="24"/>
      <c r="U741" s="3"/>
      <c r="V741" s="19" t="str">
        <f>IFERROR(VLOOKUP(Banco_Nacion[[#This Row],[responsable]],Clientes_Proveedores[[Ruc / Dni]:[Razon Social]],2,0),"")</f>
        <v>ALSUR PERU S.A.C.</v>
      </c>
      <c r="W741" s="19" t="str">
        <f>IF(Banco_Nacion[[#This Row],[tipo_mov]]="INGRESO",Banco_Nacion[[#This Row],[serie]]&amp;Banco_Nacion[[#This Row],[numero]]&amp;Banco_Nacion[[#This Row],[responsable]]&amp;Banco_Nacion[[#This Row],[monto]],"")</f>
        <v>FF0126420454186002335</v>
      </c>
      <c r="X741" s="162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91954366</v>
      </c>
      <c r="Y741" s="3" t="str">
        <f>IFERROR(VLOOKUP(Banco_Nacion[[#This Row],[serie]]&amp;Banco_Nacion[[#This Row],[numero]]&amp;Banco_Nacion[[#This Row],[responsable]],[2]!Provision_CXC[[ID CXP]:[DETRACCION]],47,0),"")</f>
        <v/>
      </c>
      <c r="Z741" s="3"/>
      <c r="AA741" s="24" t="str">
        <f>IF(Banco_Nacion[[#This Row],[fecha]]&gt;0,TEXT(Banco_Nacion[[#This Row],[fecha]],"mmmm"),0)</f>
        <v>Octubre</v>
      </c>
    </row>
    <row r="742" spans="1:27" x14ac:dyDescent="0.3">
      <c r="A742" s="43">
        <f>IF(Banco_Nacion[[#This Row],[tipo_registro]]="R",COUNTIFS($C$1:$C741,"R")+1,"")</f>
        <v>675</v>
      </c>
      <c r="B742" s="19" t="str">
        <f t="shared" si="92"/>
        <v>B-Banco de la Nacion</v>
      </c>
      <c r="C742" s="3" t="s">
        <v>1330</v>
      </c>
      <c r="D742" s="14">
        <v>45936</v>
      </c>
      <c r="E742" s="5">
        <v>20100211115</v>
      </c>
      <c r="F742" s="5" t="s">
        <v>1303</v>
      </c>
      <c r="G742" s="6"/>
      <c r="H742" s="6"/>
      <c r="I742" s="6" t="s">
        <v>1784</v>
      </c>
      <c r="J742" s="6">
        <v>269</v>
      </c>
      <c r="K742" s="7" t="s">
        <v>5232</v>
      </c>
      <c r="L742" s="8">
        <v>91927879</v>
      </c>
      <c r="M742" s="8" t="str">
        <f t="shared" si="93"/>
        <v>PEN</v>
      </c>
      <c r="N742" s="13"/>
      <c r="O742" s="13">
        <v>744</v>
      </c>
      <c r="P742" s="3">
        <f t="shared" si="94"/>
        <v>744</v>
      </c>
      <c r="Q742" s="3">
        <f t="shared" si="95"/>
        <v>0</v>
      </c>
      <c r="R742" s="3">
        <f t="shared" si="96"/>
        <v>19355.220000000008</v>
      </c>
      <c r="S742" s="24"/>
      <c r="T742" s="24"/>
      <c r="U742" s="3"/>
      <c r="V742" s="19" t="str">
        <f>IFERROR(VLOOKUP(Banco_Nacion[[#This Row],[responsable]],Clientes_Proveedores[[Ruc / Dni]:[Razon Social]],2,0),"")</f>
        <v>FAB DE CHOCOLATES LA IBERICA S.A.</v>
      </c>
      <c r="W742" s="19" t="str">
        <f>IF(Banco_Nacion[[#This Row],[tipo_mov]]="INGRESO",Banco_Nacion[[#This Row],[serie]]&amp;Banco_Nacion[[#This Row],[numero]]&amp;Banco_Nacion[[#This Row],[responsable]]&amp;Banco_Nacion[[#This Row],[monto]],"")</f>
        <v>FF0126920100211115744</v>
      </c>
      <c r="X742" s="162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91927879</v>
      </c>
      <c r="Y742" s="3" t="str">
        <f>IFERROR(VLOOKUP(Banco_Nacion[[#This Row],[serie]]&amp;Banco_Nacion[[#This Row],[numero]]&amp;Banco_Nacion[[#This Row],[responsable]],[2]!Provision_CXC[[ID CXP]:[DETRACCION]],47,0),"")</f>
        <v/>
      </c>
      <c r="Z742" s="3"/>
      <c r="AA742" s="24" t="str">
        <f>IF(Banco_Nacion[[#This Row],[fecha]]&gt;0,TEXT(Banco_Nacion[[#This Row],[fecha]],"mmmm"),0)</f>
        <v>Octubre</v>
      </c>
    </row>
    <row r="743" spans="1:27" x14ac:dyDescent="0.3">
      <c r="A743" s="43">
        <f>IF(Banco_Nacion[[#This Row],[tipo_registro]]="R",COUNTIFS($C$1:$C742,"R")+1,"")</f>
        <v>676</v>
      </c>
      <c r="B743" s="19" t="str">
        <f t="shared" si="92"/>
        <v>B-Banco de la Nacion</v>
      </c>
      <c r="C743" s="3" t="s">
        <v>1330</v>
      </c>
      <c r="D743" s="14">
        <v>45936</v>
      </c>
      <c r="E743" s="5">
        <v>20100211115</v>
      </c>
      <c r="F743" s="5" t="s">
        <v>1303</v>
      </c>
      <c r="G743" s="6"/>
      <c r="H743" s="6"/>
      <c r="I743" s="6" t="s">
        <v>1784</v>
      </c>
      <c r="J743" s="6">
        <v>270</v>
      </c>
      <c r="K743" s="7" t="s">
        <v>5232</v>
      </c>
      <c r="L743" s="8">
        <v>91927878</v>
      </c>
      <c r="M743" s="8" t="str">
        <f t="shared" si="93"/>
        <v>PEN</v>
      </c>
      <c r="N743" s="13"/>
      <c r="O743" s="13">
        <v>209</v>
      </c>
      <c r="P743" s="3">
        <f t="shared" si="94"/>
        <v>209</v>
      </c>
      <c r="Q743" s="3">
        <f t="shared" si="95"/>
        <v>0</v>
      </c>
      <c r="R743" s="3">
        <f t="shared" si="96"/>
        <v>19564.220000000008</v>
      </c>
      <c r="S743" s="24"/>
      <c r="T743" s="24"/>
      <c r="U743" s="3"/>
      <c r="V743" s="19" t="str">
        <f>IFERROR(VLOOKUP(Banco_Nacion[[#This Row],[responsable]],Clientes_Proveedores[[Ruc / Dni]:[Razon Social]],2,0),"")</f>
        <v>FAB DE CHOCOLATES LA IBERICA S.A.</v>
      </c>
      <c r="W743" s="19" t="str">
        <f>IF(Banco_Nacion[[#This Row],[tipo_mov]]="INGRESO",Banco_Nacion[[#This Row],[serie]]&amp;Banco_Nacion[[#This Row],[numero]]&amp;Banco_Nacion[[#This Row],[responsable]]&amp;Banco_Nacion[[#This Row],[monto]],"")</f>
        <v>FF0127020100211115209</v>
      </c>
      <c r="X743" s="162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91927878</v>
      </c>
      <c r="Y743" s="3" t="str">
        <f>IFERROR(VLOOKUP(Banco_Nacion[[#This Row],[serie]]&amp;Banco_Nacion[[#This Row],[numero]]&amp;Banco_Nacion[[#This Row],[responsable]],[2]!Provision_CXC[[ID CXP]:[DETRACCION]],47,0),"")</f>
        <v/>
      </c>
      <c r="Z743" s="3"/>
      <c r="AA743" s="24" t="str">
        <f>IF(Banco_Nacion[[#This Row],[fecha]]&gt;0,TEXT(Banco_Nacion[[#This Row],[fecha]],"mmmm"),0)</f>
        <v>Octubre</v>
      </c>
    </row>
    <row r="744" spans="1:27" x14ac:dyDescent="0.3">
      <c r="A744" s="43">
        <f>IF(Banco_Nacion[[#This Row],[tipo_registro]]="R",COUNTIFS($C$1:$C743,"R")+1,"")</f>
        <v>677</v>
      </c>
      <c r="B744" s="19" t="str">
        <f t="shared" si="92"/>
        <v>B-Banco de la Nacion</v>
      </c>
      <c r="C744" s="3" t="s">
        <v>1330</v>
      </c>
      <c r="D744" s="14">
        <v>45936</v>
      </c>
      <c r="E744" s="5">
        <v>20552714378</v>
      </c>
      <c r="F744" s="5" t="s">
        <v>1303</v>
      </c>
      <c r="G744" s="6"/>
      <c r="H744" s="6"/>
      <c r="I744" s="6" t="s">
        <v>1784</v>
      </c>
      <c r="J744" s="6">
        <v>254</v>
      </c>
      <c r="K744" s="7" t="s">
        <v>5232</v>
      </c>
      <c r="L744" s="8">
        <v>91894579</v>
      </c>
      <c r="M744" s="8" t="str">
        <f t="shared" si="93"/>
        <v>PEN</v>
      </c>
      <c r="N744" s="13"/>
      <c r="O744" s="13">
        <v>729</v>
      </c>
      <c r="P744" s="3">
        <f t="shared" si="94"/>
        <v>729</v>
      </c>
      <c r="Q744" s="3">
        <f t="shared" si="95"/>
        <v>0</v>
      </c>
      <c r="R744" s="3">
        <f t="shared" si="96"/>
        <v>20293.220000000008</v>
      </c>
      <c r="S744" s="24"/>
      <c r="T744" s="24"/>
      <c r="U744" s="3"/>
      <c r="V744" s="19" t="str">
        <f>IFERROR(VLOOKUP(Banco_Nacion[[#This Row],[responsable]],Clientes_Proveedores[[Ruc / Dni]:[Razon Social]],2,0),"")</f>
        <v>COSAPI MINERIA S.A.C.</v>
      </c>
      <c r="W744" s="19" t="str">
        <f>IF(Banco_Nacion[[#This Row],[tipo_mov]]="INGRESO",Banco_Nacion[[#This Row],[serie]]&amp;Banco_Nacion[[#This Row],[numero]]&amp;Banco_Nacion[[#This Row],[responsable]]&amp;Banco_Nacion[[#This Row],[monto]],"")</f>
        <v>FF0125420552714378729</v>
      </c>
      <c r="X744" s="162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91894579</v>
      </c>
      <c r="Y744" s="3" t="str">
        <f>IFERROR(VLOOKUP(Banco_Nacion[[#This Row],[serie]]&amp;Banco_Nacion[[#This Row],[numero]]&amp;Banco_Nacion[[#This Row],[responsable]],[2]!Provision_CXC[[ID CXP]:[DETRACCION]],47,0),"")</f>
        <v/>
      </c>
      <c r="Z744" s="3"/>
      <c r="AA744" s="24" t="str">
        <f>IF(Banco_Nacion[[#This Row],[fecha]]&gt;0,TEXT(Banco_Nacion[[#This Row],[fecha]],"mmmm"),0)</f>
        <v>Octubre</v>
      </c>
    </row>
    <row r="745" spans="1:27" x14ac:dyDescent="0.3">
      <c r="A745" s="43">
        <f>IF(Banco_Nacion[[#This Row],[tipo_registro]]="R",COUNTIFS($C$1:$C744,"R")+1,"")</f>
        <v>678</v>
      </c>
      <c r="B745" s="19" t="str">
        <f t="shared" si="92"/>
        <v>B-Banco de la Nacion</v>
      </c>
      <c r="C745" s="3" t="s">
        <v>1330</v>
      </c>
      <c r="D745" s="14">
        <v>45936</v>
      </c>
      <c r="E745" s="5">
        <v>20552714378</v>
      </c>
      <c r="F745" s="5" t="s">
        <v>1303</v>
      </c>
      <c r="G745" s="6"/>
      <c r="H745" s="6"/>
      <c r="I745" s="6" t="s">
        <v>1784</v>
      </c>
      <c r="J745" s="6">
        <v>253</v>
      </c>
      <c r="K745" s="7" t="s">
        <v>5232</v>
      </c>
      <c r="L745" s="8">
        <v>91894578</v>
      </c>
      <c r="M745" s="8" t="str">
        <f t="shared" si="93"/>
        <v>PEN</v>
      </c>
      <c r="N745" s="13"/>
      <c r="O745" s="13">
        <v>1507</v>
      </c>
      <c r="P745" s="3">
        <f t="shared" si="94"/>
        <v>1507</v>
      </c>
      <c r="Q745" s="3">
        <f t="shared" si="95"/>
        <v>0</v>
      </c>
      <c r="R745" s="3">
        <f t="shared" si="96"/>
        <v>21800.220000000008</v>
      </c>
      <c r="S745" s="24"/>
      <c r="T745" s="24"/>
      <c r="U745" s="3"/>
      <c r="V745" s="19" t="str">
        <f>IFERROR(VLOOKUP(Banco_Nacion[[#This Row],[responsable]],Clientes_Proveedores[[Ruc / Dni]:[Razon Social]],2,0),"")</f>
        <v>COSAPI MINERIA S.A.C.</v>
      </c>
      <c r="W745" s="19" t="str">
        <f>IF(Banco_Nacion[[#This Row],[tipo_mov]]="INGRESO",Banco_Nacion[[#This Row],[serie]]&amp;Banco_Nacion[[#This Row],[numero]]&amp;Banco_Nacion[[#This Row],[responsable]]&amp;Banco_Nacion[[#This Row],[monto]],"")</f>
        <v>FF01253205527143781507</v>
      </c>
      <c r="X745" s="162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91894578</v>
      </c>
      <c r="Y745" s="3" t="str">
        <f>IFERROR(VLOOKUP(Banco_Nacion[[#This Row],[serie]]&amp;Banco_Nacion[[#This Row],[numero]]&amp;Banco_Nacion[[#This Row],[responsable]],[2]!Provision_CXC[[ID CXP]:[DETRACCION]],47,0),"")</f>
        <v/>
      </c>
      <c r="Z745" s="3"/>
      <c r="AA745" s="24" t="str">
        <f>IF(Banco_Nacion[[#This Row],[fecha]]&gt;0,TEXT(Banco_Nacion[[#This Row],[fecha]],"mmmm"),0)</f>
        <v>Octubre</v>
      </c>
    </row>
    <row r="746" spans="1:27" x14ac:dyDescent="0.3">
      <c r="A746" s="43">
        <f>IF(Banco_Nacion[[#This Row],[tipo_registro]]="R",COUNTIFS($C$1:$C745,"R")+1,"")</f>
        <v>679</v>
      </c>
      <c r="B746" s="19" t="str">
        <f t="shared" si="92"/>
        <v>B-Banco de la Nacion</v>
      </c>
      <c r="C746" s="3" t="s">
        <v>1330</v>
      </c>
      <c r="D746" s="14">
        <v>45936</v>
      </c>
      <c r="E746" s="5">
        <v>20607388416</v>
      </c>
      <c r="F746" s="5" t="s">
        <v>1303</v>
      </c>
      <c r="G746" s="6"/>
      <c r="H746" s="6"/>
      <c r="I746" s="6" t="s">
        <v>3381</v>
      </c>
      <c r="J746" s="6">
        <v>69</v>
      </c>
      <c r="K746" s="7" t="s">
        <v>5232</v>
      </c>
      <c r="L746" s="8">
        <v>91883879</v>
      </c>
      <c r="M746" s="8" t="str">
        <f t="shared" si="93"/>
        <v>PEN</v>
      </c>
      <c r="N746" s="13"/>
      <c r="O746" s="13">
        <v>109</v>
      </c>
      <c r="P746" s="3">
        <f t="shared" si="94"/>
        <v>109</v>
      </c>
      <c r="Q746" s="3">
        <f t="shared" si="95"/>
        <v>0</v>
      </c>
      <c r="R746" s="3">
        <f t="shared" si="96"/>
        <v>21909.220000000008</v>
      </c>
      <c r="S746" s="24"/>
      <c r="T746" s="24"/>
      <c r="U746" s="3"/>
      <c r="V746" s="19" t="str">
        <f>IFERROR(VLOOKUP(Banco_Nacion[[#This Row],[responsable]],Clientes_Proveedores[[Ruc / Dni]:[Razon Social]],2,0),"")</f>
        <v>ALEACIONES FERROSAS Y METALICAS S.A.C.</v>
      </c>
      <c r="W746" s="19" t="str">
        <f>IF(Banco_Nacion[[#This Row],[tipo_mov]]="INGRESO",Banco_Nacion[[#This Row],[serie]]&amp;Banco_Nacion[[#This Row],[numero]]&amp;Banco_Nacion[[#This Row],[responsable]]&amp;Banco_Nacion[[#This Row],[monto]],"")</f>
        <v>FF056920607388416109</v>
      </c>
      <c r="X746" s="162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91883879</v>
      </c>
      <c r="Y746" s="3" t="str">
        <f>IFERROR(VLOOKUP(Banco_Nacion[[#This Row],[serie]]&amp;Banco_Nacion[[#This Row],[numero]]&amp;Banco_Nacion[[#This Row],[responsable]],[2]!Provision_CXC[[ID CXP]:[DETRACCION]],47,0),"")</f>
        <v/>
      </c>
      <c r="Z746" s="3"/>
      <c r="AA746" s="24" t="str">
        <f>IF(Banco_Nacion[[#This Row],[fecha]]&gt;0,TEXT(Banco_Nacion[[#This Row],[fecha]],"mmmm"),0)</f>
        <v>Octubre</v>
      </c>
    </row>
    <row r="747" spans="1:27" x14ac:dyDescent="0.3">
      <c r="A747" s="43">
        <f>IF(Banco_Nacion[[#This Row],[tipo_registro]]="R",COUNTIFS($C$1:$C746,"R")+1,"")</f>
        <v>680</v>
      </c>
      <c r="B747" s="19" t="str">
        <f t="shared" si="92"/>
        <v>B-Banco de la Nacion</v>
      </c>
      <c r="C747" s="3" t="s">
        <v>1330</v>
      </c>
      <c r="D747" s="14">
        <v>45936</v>
      </c>
      <c r="E747" s="5">
        <v>20607388416</v>
      </c>
      <c r="F747" s="5" t="s">
        <v>1303</v>
      </c>
      <c r="G747" s="6"/>
      <c r="H747" s="6"/>
      <c r="I747" s="6" t="s">
        <v>3381</v>
      </c>
      <c r="J747" s="6">
        <v>68</v>
      </c>
      <c r="K747" s="7" t="s">
        <v>5232</v>
      </c>
      <c r="L747" s="8">
        <v>91883878</v>
      </c>
      <c r="M747" s="8" t="str">
        <f t="shared" si="93"/>
        <v>PEN</v>
      </c>
      <c r="N747" s="13"/>
      <c r="O747" s="13">
        <v>193</v>
      </c>
      <c r="P747" s="3">
        <f t="shared" si="94"/>
        <v>193</v>
      </c>
      <c r="Q747" s="3">
        <f t="shared" si="95"/>
        <v>0</v>
      </c>
      <c r="R747" s="3">
        <f t="shared" si="96"/>
        <v>22102.220000000008</v>
      </c>
      <c r="S747" s="24"/>
      <c r="T747" s="24"/>
      <c r="U747" s="3"/>
      <c r="V747" s="19" t="str">
        <f>IFERROR(VLOOKUP(Banco_Nacion[[#This Row],[responsable]],Clientes_Proveedores[[Ruc / Dni]:[Razon Social]],2,0),"")</f>
        <v>ALEACIONES FERROSAS Y METALICAS S.A.C.</v>
      </c>
      <c r="W747" s="19" t="str">
        <f>IF(Banco_Nacion[[#This Row],[tipo_mov]]="INGRESO",Banco_Nacion[[#This Row],[serie]]&amp;Banco_Nacion[[#This Row],[numero]]&amp;Banco_Nacion[[#This Row],[responsable]]&amp;Banco_Nacion[[#This Row],[monto]],"")</f>
        <v>FF056820607388416193</v>
      </c>
      <c r="X747" s="162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91883878</v>
      </c>
      <c r="Y747" s="3" t="str">
        <f>IFERROR(VLOOKUP(Banco_Nacion[[#This Row],[serie]]&amp;Banco_Nacion[[#This Row],[numero]]&amp;Banco_Nacion[[#This Row],[responsable]],[2]!Provision_CXC[[ID CXP]:[DETRACCION]],47,0),"")</f>
        <v/>
      </c>
      <c r="Z747" s="3"/>
      <c r="AA747" s="24" t="str">
        <f>IF(Banco_Nacion[[#This Row],[fecha]]&gt;0,TEXT(Banco_Nacion[[#This Row],[fecha]],"mmmm"),0)</f>
        <v>Octubre</v>
      </c>
    </row>
    <row r="748" spans="1:27" x14ac:dyDescent="0.3">
      <c r="A748" s="43">
        <f>IF(Banco_Nacion[[#This Row],[tipo_registro]]="R",COUNTIFS($C$1:$C747,"R")+1,"")</f>
        <v>681</v>
      </c>
      <c r="B748" s="19" t="str">
        <f t="shared" si="92"/>
        <v>B-Banco de la Nacion</v>
      </c>
      <c r="C748" s="3" t="s">
        <v>1330</v>
      </c>
      <c r="D748" s="14">
        <v>45936</v>
      </c>
      <c r="E748" s="5">
        <v>20607388416</v>
      </c>
      <c r="F748" s="5" t="s">
        <v>1303</v>
      </c>
      <c r="G748" s="6"/>
      <c r="H748" s="6"/>
      <c r="I748" s="6" t="s">
        <v>3381</v>
      </c>
      <c r="J748" s="6">
        <v>66</v>
      </c>
      <c r="K748" s="7" t="s">
        <v>5232</v>
      </c>
      <c r="L748" s="8">
        <v>91883877</v>
      </c>
      <c r="M748" s="8" t="str">
        <f t="shared" si="93"/>
        <v>PEN</v>
      </c>
      <c r="N748" s="13"/>
      <c r="O748" s="13">
        <v>158</v>
      </c>
      <c r="P748" s="3">
        <f t="shared" si="94"/>
        <v>158</v>
      </c>
      <c r="Q748" s="3">
        <f t="shared" si="95"/>
        <v>0</v>
      </c>
      <c r="R748" s="3">
        <f t="shared" si="96"/>
        <v>22260.220000000008</v>
      </c>
      <c r="S748" s="24"/>
      <c r="T748" s="24"/>
      <c r="U748" s="3"/>
      <c r="V748" s="19" t="str">
        <f>IFERROR(VLOOKUP(Banco_Nacion[[#This Row],[responsable]],Clientes_Proveedores[[Ruc / Dni]:[Razon Social]],2,0),"")</f>
        <v>ALEACIONES FERROSAS Y METALICAS S.A.C.</v>
      </c>
      <c r="W748" s="19" t="str">
        <f>IF(Banco_Nacion[[#This Row],[tipo_mov]]="INGRESO",Banco_Nacion[[#This Row],[serie]]&amp;Banco_Nacion[[#This Row],[numero]]&amp;Banco_Nacion[[#This Row],[responsable]]&amp;Banco_Nacion[[#This Row],[monto]],"")</f>
        <v>FF056620607388416158</v>
      </c>
      <c r="X748" s="162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91883877</v>
      </c>
      <c r="Y748" s="3" t="str">
        <f>IFERROR(VLOOKUP(Banco_Nacion[[#This Row],[serie]]&amp;Banco_Nacion[[#This Row],[numero]]&amp;Banco_Nacion[[#This Row],[responsable]],[2]!Provision_CXC[[ID CXP]:[DETRACCION]],47,0),"")</f>
        <v/>
      </c>
      <c r="Z748" s="3"/>
      <c r="AA748" s="24" t="str">
        <f>IF(Banco_Nacion[[#This Row],[fecha]]&gt;0,TEXT(Banco_Nacion[[#This Row],[fecha]],"mmmm"),0)</f>
        <v>Octubre</v>
      </c>
    </row>
    <row r="749" spans="1:27" x14ac:dyDescent="0.3">
      <c r="A749" s="43">
        <f>IF(Banco_Nacion[[#This Row],[tipo_registro]]="R",COUNTIFS($C$1:$C748,"R")+1,"")</f>
        <v>682</v>
      </c>
      <c r="B749" s="19" t="str">
        <f t="shared" si="92"/>
        <v>B-Banco de la Nacion</v>
      </c>
      <c r="C749" s="3" t="s">
        <v>1330</v>
      </c>
      <c r="D749" s="14">
        <v>45936</v>
      </c>
      <c r="E749" s="5">
        <v>20607388416</v>
      </c>
      <c r="F749" s="5" t="s">
        <v>1303</v>
      </c>
      <c r="G749" s="6"/>
      <c r="H749" s="6"/>
      <c r="I749" s="6" t="s">
        <v>3381</v>
      </c>
      <c r="J749" s="6">
        <v>64</v>
      </c>
      <c r="K749" s="7" t="s">
        <v>5232</v>
      </c>
      <c r="L749" s="8">
        <v>91883876</v>
      </c>
      <c r="M749" s="8" t="str">
        <f t="shared" si="93"/>
        <v>PEN</v>
      </c>
      <c r="N749" s="13"/>
      <c r="O749" s="13">
        <v>550</v>
      </c>
      <c r="P749" s="3">
        <f t="shared" si="94"/>
        <v>550</v>
      </c>
      <c r="Q749" s="3">
        <f t="shared" si="95"/>
        <v>0</v>
      </c>
      <c r="R749" s="3">
        <f t="shared" si="96"/>
        <v>22810.220000000008</v>
      </c>
      <c r="S749" s="24"/>
      <c r="T749" s="24"/>
      <c r="U749" s="3"/>
      <c r="V749" s="19" t="str">
        <f>IFERROR(VLOOKUP(Banco_Nacion[[#This Row],[responsable]],Clientes_Proveedores[[Ruc / Dni]:[Razon Social]],2,0),"")</f>
        <v>ALEACIONES FERROSAS Y METALICAS S.A.C.</v>
      </c>
      <c r="W749" s="19" t="str">
        <f>IF(Banco_Nacion[[#This Row],[tipo_mov]]="INGRESO",Banco_Nacion[[#This Row],[serie]]&amp;Banco_Nacion[[#This Row],[numero]]&amp;Banco_Nacion[[#This Row],[responsable]]&amp;Banco_Nacion[[#This Row],[monto]],"")</f>
        <v>FF056420607388416550</v>
      </c>
      <c r="X749" s="162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91883876</v>
      </c>
      <c r="Y749" s="3" t="str">
        <f>IFERROR(VLOOKUP(Banco_Nacion[[#This Row],[serie]]&amp;Banco_Nacion[[#This Row],[numero]]&amp;Banco_Nacion[[#This Row],[responsable]],[2]!Provision_CXC[[ID CXP]:[DETRACCION]],47,0),"")</f>
        <v/>
      </c>
      <c r="Z749" s="3"/>
      <c r="AA749" s="24" t="str">
        <f>IF(Banco_Nacion[[#This Row],[fecha]]&gt;0,TEXT(Banco_Nacion[[#This Row],[fecha]],"mmmm"),0)</f>
        <v>Octubre</v>
      </c>
    </row>
    <row r="750" spans="1:27" x14ac:dyDescent="0.3">
      <c r="A750" s="43">
        <f>IF(Banco_Nacion[[#This Row],[tipo_registro]]="R",COUNTIFS($C$1:$C749,"R")+1,"")</f>
        <v>683</v>
      </c>
      <c r="B750" s="19" t="str">
        <f t="shared" si="92"/>
        <v>B-Banco de la Nacion</v>
      </c>
      <c r="C750" s="3" t="s">
        <v>1330</v>
      </c>
      <c r="D750" s="14">
        <v>45936</v>
      </c>
      <c r="E750" s="5">
        <v>20607388416</v>
      </c>
      <c r="F750" s="5" t="s">
        <v>1303</v>
      </c>
      <c r="G750" s="6"/>
      <c r="H750" s="6"/>
      <c r="I750" s="6" t="s">
        <v>3381</v>
      </c>
      <c r="J750" s="6">
        <v>62</v>
      </c>
      <c r="K750" s="7" t="s">
        <v>5232</v>
      </c>
      <c r="L750" s="8">
        <v>91883875</v>
      </c>
      <c r="M750" s="8" t="str">
        <f t="shared" si="93"/>
        <v>PEN</v>
      </c>
      <c r="N750" s="13"/>
      <c r="O750" s="13">
        <v>185</v>
      </c>
      <c r="P750" s="3">
        <f t="shared" si="94"/>
        <v>185</v>
      </c>
      <c r="Q750" s="3">
        <f t="shared" si="95"/>
        <v>0</v>
      </c>
      <c r="R750" s="3">
        <f t="shared" si="96"/>
        <v>22995.220000000008</v>
      </c>
      <c r="S750" s="24"/>
      <c r="T750" s="24"/>
      <c r="U750" s="3"/>
      <c r="V750" s="19" t="str">
        <f>IFERROR(VLOOKUP(Banco_Nacion[[#This Row],[responsable]],Clientes_Proveedores[[Ruc / Dni]:[Razon Social]],2,0),"")</f>
        <v>ALEACIONES FERROSAS Y METALICAS S.A.C.</v>
      </c>
      <c r="W750" s="19" t="str">
        <f>IF(Banco_Nacion[[#This Row],[tipo_mov]]="INGRESO",Banco_Nacion[[#This Row],[serie]]&amp;Banco_Nacion[[#This Row],[numero]]&amp;Banco_Nacion[[#This Row],[responsable]]&amp;Banco_Nacion[[#This Row],[monto]],"")</f>
        <v>FF056220607388416185</v>
      </c>
      <c r="X750" s="162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91883875</v>
      </c>
      <c r="Y750" s="3" t="str">
        <f>IFERROR(VLOOKUP(Banco_Nacion[[#This Row],[serie]]&amp;Banco_Nacion[[#This Row],[numero]]&amp;Banco_Nacion[[#This Row],[responsable]],[2]!Provision_CXC[[ID CXP]:[DETRACCION]],47,0),"")</f>
        <v/>
      </c>
      <c r="Z750" s="3"/>
      <c r="AA750" s="24" t="str">
        <f>IF(Banco_Nacion[[#This Row],[fecha]]&gt;0,TEXT(Banco_Nacion[[#This Row],[fecha]],"mmmm"),0)</f>
        <v>Octubre</v>
      </c>
    </row>
    <row r="751" spans="1:27" x14ac:dyDescent="0.3">
      <c r="A751" s="43">
        <f>IF(Banco_Nacion[[#This Row],[tipo_registro]]="R",COUNTIFS($C$1:$C750,"R")+1,"")</f>
        <v>684</v>
      </c>
      <c r="B751" s="19" t="str">
        <f t="shared" si="92"/>
        <v>B-Banco de la Nacion</v>
      </c>
      <c r="C751" s="3" t="s">
        <v>1330</v>
      </c>
      <c r="D751" s="14">
        <v>45937</v>
      </c>
      <c r="E751" s="5">
        <v>20206432692</v>
      </c>
      <c r="F751" s="5" t="s">
        <v>1303</v>
      </c>
      <c r="G751" s="6"/>
      <c r="H751" s="6"/>
      <c r="I751" s="6" t="s">
        <v>3302</v>
      </c>
      <c r="J751" s="6">
        <v>135</v>
      </c>
      <c r="K751" s="7" t="s">
        <v>5232</v>
      </c>
      <c r="L751" s="8">
        <v>92153504</v>
      </c>
      <c r="M751" s="8" t="str">
        <f t="shared" si="93"/>
        <v>PEN</v>
      </c>
      <c r="N751" s="13"/>
      <c r="O751" s="13">
        <v>50</v>
      </c>
      <c r="P751" s="3">
        <f t="shared" si="94"/>
        <v>50</v>
      </c>
      <c r="Q751" s="3">
        <f t="shared" si="95"/>
        <v>0</v>
      </c>
      <c r="R751" s="3">
        <f t="shared" si="96"/>
        <v>23045.220000000008</v>
      </c>
      <c r="S751" s="24"/>
      <c r="T751" s="24"/>
      <c r="U751" s="3"/>
      <c r="V751" s="19" t="str">
        <f>IFERROR(VLOOKUP(Banco_Nacion[[#This Row],[responsable]],Clientes_Proveedores[[Ruc / Dni]:[Razon Social]],2,0),"")</f>
        <v>LATINOAMERICANA EIR LTDA</v>
      </c>
      <c r="W751" s="19" t="str">
        <f>IF(Banco_Nacion[[#This Row],[tipo_mov]]="INGRESO",Banco_Nacion[[#This Row],[serie]]&amp;Banco_Nacion[[#This Row],[numero]]&amp;Banco_Nacion[[#This Row],[responsable]]&amp;Banco_Nacion[[#This Row],[monto]],"")</f>
        <v>FF021352020643269250</v>
      </c>
      <c r="X751" s="162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92153504</v>
      </c>
      <c r="Y751" s="3" t="str">
        <f>IFERROR(VLOOKUP(Banco_Nacion[[#This Row],[serie]]&amp;Banco_Nacion[[#This Row],[numero]]&amp;Banco_Nacion[[#This Row],[responsable]],[2]!Provision_CXC[[ID CXP]:[DETRACCION]],47,0),"")</f>
        <v/>
      </c>
      <c r="Z751" s="3"/>
      <c r="AA751" s="24" t="str">
        <f>IF(Banco_Nacion[[#This Row],[fecha]]&gt;0,TEXT(Banco_Nacion[[#This Row],[fecha]],"mmmm"),0)</f>
        <v>Octubre</v>
      </c>
    </row>
    <row r="752" spans="1:27" x14ac:dyDescent="0.3">
      <c r="A752" s="43">
        <f>IF(Banco_Nacion[[#This Row],[tipo_registro]]="R",COUNTIFS($C$1:$C751,"R")+1,"")</f>
        <v>685</v>
      </c>
      <c r="B752" s="19" t="str">
        <f t="shared" ref="B752:B776" si="97">"B-Banco de la Nacion"</f>
        <v>B-Banco de la Nacion</v>
      </c>
      <c r="C752" s="3" t="s">
        <v>1330</v>
      </c>
      <c r="D752" s="14">
        <v>45939</v>
      </c>
      <c r="E752" s="5">
        <v>20424092941</v>
      </c>
      <c r="F752" s="5" t="s">
        <v>1303</v>
      </c>
      <c r="G752" s="6"/>
      <c r="H752" s="6"/>
      <c r="I752" s="6" t="s">
        <v>3302</v>
      </c>
      <c r="J752" s="6">
        <v>127</v>
      </c>
      <c r="K752" s="7" t="s">
        <v>5232</v>
      </c>
      <c r="L752" s="8">
        <v>92716590</v>
      </c>
      <c r="M752" s="8" t="str">
        <f t="shared" ref="M752:M776" si="98">"PEN"</f>
        <v>PEN</v>
      </c>
      <c r="N752" s="13"/>
      <c r="O752" s="13">
        <v>142</v>
      </c>
      <c r="P752" s="3">
        <f t="shared" ref="P752:P776" si="99">+IF(OR($F752="SALDO",$F752="INGRESO"),$O752,0)</f>
        <v>142</v>
      </c>
      <c r="Q752" s="3">
        <f t="shared" ref="Q752:Q776" si="100">+IF($F752="EGRESO",$O752,0)</f>
        <v>0</v>
      </c>
      <c r="R752" s="3">
        <f t="shared" ref="R752:R776" si="101">IFERROR(IF(F752="SALDO",P752,R751+P752-Q752),0)</f>
        <v>23187.220000000008</v>
      </c>
      <c r="S752" s="24"/>
      <c r="T752" s="24"/>
      <c r="U752" s="3"/>
      <c r="V752" s="19" t="str">
        <f>IFERROR(VLOOKUP(Banco_Nacion[[#This Row],[responsable]],Clientes_Proveedores[[Ruc / Dni]:[Razon Social]],2,0),"")</f>
        <v>TRANSPORTES PEREDA S.R.L.</v>
      </c>
      <c r="W752" s="19" t="str">
        <f>IF(Banco_Nacion[[#This Row],[tipo_mov]]="INGRESO",Banco_Nacion[[#This Row],[serie]]&amp;Banco_Nacion[[#This Row],[numero]]&amp;Banco_Nacion[[#This Row],[responsable]]&amp;Banco_Nacion[[#This Row],[monto]],"")</f>
        <v>FF0212720424092941142</v>
      </c>
      <c r="X752" s="162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92716590</v>
      </c>
      <c r="Y752" s="3" t="str">
        <f>IFERROR(VLOOKUP(Banco_Nacion[[#This Row],[serie]]&amp;Banco_Nacion[[#This Row],[numero]]&amp;Banco_Nacion[[#This Row],[responsable]],[2]!Provision_CXC[[ID CXP]:[DETRACCION]],47,0),"")</f>
        <v/>
      </c>
      <c r="Z752" s="3"/>
      <c r="AA752" s="24" t="str">
        <f>IF(Banco_Nacion[[#This Row],[fecha]]&gt;0,TEXT(Banco_Nacion[[#This Row],[fecha]],"mmmm"),0)</f>
        <v>Octubre</v>
      </c>
    </row>
    <row r="753" spans="1:27" x14ac:dyDescent="0.3">
      <c r="A753" s="43">
        <f>IF(Banco_Nacion[[#This Row],[tipo_registro]]="R",COUNTIFS($C$1:$C752,"R")+1,"")</f>
        <v>686</v>
      </c>
      <c r="B753" s="19" t="str">
        <f t="shared" si="97"/>
        <v>B-Banco de la Nacion</v>
      </c>
      <c r="C753" s="3" t="s">
        <v>1330</v>
      </c>
      <c r="D753" s="14">
        <v>45939</v>
      </c>
      <c r="E753" s="5">
        <v>20424092941</v>
      </c>
      <c r="F753" s="5" t="s">
        <v>1303</v>
      </c>
      <c r="G753" s="6"/>
      <c r="H753" s="6"/>
      <c r="I753" s="6" t="s">
        <v>3302</v>
      </c>
      <c r="J753" s="6">
        <v>138</v>
      </c>
      <c r="K753" s="7" t="s">
        <v>5232</v>
      </c>
      <c r="L753" s="8">
        <v>92716224</v>
      </c>
      <c r="M753" s="8" t="str">
        <f t="shared" si="98"/>
        <v>PEN</v>
      </c>
      <c r="N753" s="13"/>
      <c r="O753" s="13">
        <v>116</v>
      </c>
      <c r="P753" s="3">
        <f t="shared" si="99"/>
        <v>116</v>
      </c>
      <c r="Q753" s="3">
        <f t="shared" si="100"/>
        <v>0</v>
      </c>
      <c r="R753" s="3">
        <f t="shared" si="101"/>
        <v>23303.220000000008</v>
      </c>
      <c r="S753" s="24"/>
      <c r="T753" s="24"/>
      <c r="U753" s="3"/>
      <c r="V753" s="19" t="str">
        <f>IFERROR(VLOOKUP(Banco_Nacion[[#This Row],[responsable]],Clientes_Proveedores[[Ruc / Dni]:[Razon Social]],2,0),"")</f>
        <v>TRANSPORTES PEREDA S.R.L.</v>
      </c>
      <c r="W753" s="19" t="str">
        <f>IF(Banco_Nacion[[#This Row],[tipo_mov]]="INGRESO",Banco_Nacion[[#This Row],[serie]]&amp;Banco_Nacion[[#This Row],[numero]]&amp;Banco_Nacion[[#This Row],[responsable]]&amp;Banco_Nacion[[#This Row],[monto]],"")</f>
        <v>FF0213820424092941116</v>
      </c>
      <c r="X753" s="162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92716224</v>
      </c>
      <c r="Y753" s="3" t="str">
        <f>IFERROR(VLOOKUP(Banco_Nacion[[#This Row],[serie]]&amp;Banco_Nacion[[#This Row],[numero]]&amp;Banco_Nacion[[#This Row],[responsable]],[2]!Provision_CXC[[ID CXP]:[DETRACCION]],47,0),"")</f>
        <v/>
      </c>
      <c r="Z753" s="3"/>
      <c r="AA753" s="24" t="str">
        <f>IF(Banco_Nacion[[#This Row],[fecha]]&gt;0,TEXT(Banco_Nacion[[#This Row],[fecha]],"mmmm"),0)</f>
        <v>Octubre</v>
      </c>
    </row>
    <row r="754" spans="1:27" x14ac:dyDescent="0.3">
      <c r="A754" s="43">
        <f>IF(Banco_Nacion[[#This Row],[tipo_registro]]="R",COUNTIFS($C$1:$C753,"R")+1,"")</f>
        <v>687</v>
      </c>
      <c r="B754" s="19" t="str">
        <f t="shared" si="97"/>
        <v>B-Banco de la Nacion</v>
      </c>
      <c r="C754" s="3" t="s">
        <v>1330</v>
      </c>
      <c r="D754" s="14">
        <v>45939</v>
      </c>
      <c r="E754" s="5">
        <v>20424092941</v>
      </c>
      <c r="F754" s="5" t="s">
        <v>1303</v>
      </c>
      <c r="G754" s="6"/>
      <c r="H754" s="6"/>
      <c r="I754" s="6" t="s">
        <v>3302</v>
      </c>
      <c r="J754" s="6">
        <v>137</v>
      </c>
      <c r="K754" s="7" t="s">
        <v>5232</v>
      </c>
      <c r="L754" s="8">
        <v>92702141</v>
      </c>
      <c r="M754" s="8" t="str">
        <f t="shared" si="98"/>
        <v>PEN</v>
      </c>
      <c r="N754" s="13"/>
      <c r="O754" s="13">
        <v>142</v>
      </c>
      <c r="P754" s="3">
        <f t="shared" si="99"/>
        <v>142</v>
      </c>
      <c r="Q754" s="3">
        <f t="shared" si="100"/>
        <v>0</v>
      </c>
      <c r="R754" s="3">
        <f t="shared" si="101"/>
        <v>23445.220000000008</v>
      </c>
      <c r="S754" s="24"/>
      <c r="T754" s="24"/>
      <c r="U754" s="3"/>
      <c r="V754" s="19" t="str">
        <f>IFERROR(VLOOKUP(Banco_Nacion[[#This Row],[responsable]],Clientes_Proveedores[[Ruc / Dni]:[Razon Social]],2,0),"")</f>
        <v>TRANSPORTES PEREDA S.R.L.</v>
      </c>
      <c r="W754" s="19" t="str">
        <f>IF(Banco_Nacion[[#This Row],[tipo_mov]]="INGRESO",Banco_Nacion[[#This Row],[serie]]&amp;Banco_Nacion[[#This Row],[numero]]&amp;Banco_Nacion[[#This Row],[responsable]]&amp;Banco_Nacion[[#This Row],[monto]],"")</f>
        <v>FF0213720424092941142</v>
      </c>
      <c r="X754" s="162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92702141</v>
      </c>
      <c r="Y754" s="3" t="str">
        <f>IFERROR(VLOOKUP(Banco_Nacion[[#This Row],[serie]]&amp;Banco_Nacion[[#This Row],[numero]]&amp;Banco_Nacion[[#This Row],[responsable]],[2]!Provision_CXC[[ID CXP]:[DETRACCION]],47,0),"")</f>
        <v/>
      </c>
      <c r="Z754" s="3"/>
      <c r="AA754" s="24" t="str">
        <f>IF(Banco_Nacion[[#This Row],[fecha]]&gt;0,TEXT(Banco_Nacion[[#This Row],[fecha]],"mmmm"),0)</f>
        <v>Octubre</v>
      </c>
    </row>
    <row r="755" spans="1:27" x14ac:dyDescent="0.3">
      <c r="A755" s="43">
        <f>IF(Banco_Nacion[[#This Row],[tipo_registro]]="R",COUNTIFS($C$1:$C754,"R")+1,"")</f>
        <v>688</v>
      </c>
      <c r="B755" s="19" t="str">
        <f t="shared" si="97"/>
        <v>B-Banco de la Nacion</v>
      </c>
      <c r="C755" s="3" t="s">
        <v>1330</v>
      </c>
      <c r="D755" s="14">
        <v>45939</v>
      </c>
      <c r="E755" s="5">
        <v>20100192064</v>
      </c>
      <c r="F755" s="5" t="s">
        <v>1303</v>
      </c>
      <c r="G755" s="6"/>
      <c r="H755" s="6"/>
      <c r="I755" s="6" t="s">
        <v>5052</v>
      </c>
      <c r="J755" s="6">
        <v>4</v>
      </c>
      <c r="K755" s="7" t="s">
        <v>5232</v>
      </c>
      <c r="L755" s="8">
        <v>92657731</v>
      </c>
      <c r="M755" s="8" t="str">
        <f t="shared" si="98"/>
        <v>PEN</v>
      </c>
      <c r="N755" s="13"/>
      <c r="O755" s="13">
        <v>309</v>
      </c>
      <c r="P755" s="3">
        <f t="shared" si="99"/>
        <v>309</v>
      </c>
      <c r="Q755" s="3">
        <f t="shared" si="100"/>
        <v>0</v>
      </c>
      <c r="R755" s="3">
        <f t="shared" si="101"/>
        <v>23754.220000000008</v>
      </c>
      <c r="S755" s="24"/>
      <c r="T755" s="24"/>
      <c r="U755" s="3"/>
      <c r="V755" s="19" t="str">
        <f>IFERROR(VLOOKUP(Banco_Nacion[[#This Row],[responsable]],Clientes_Proveedores[[Ruc / Dni]:[Razon Social]],2,0),"")</f>
        <v>MOLY-COP ADESUR S.A</v>
      </c>
      <c r="W755" s="19" t="str">
        <f>IF(Banco_Nacion[[#This Row],[tipo_mov]]="INGRESO",Banco_Nacion[[#This Row],[serie]]&amp;Banco_Nacion[[#This Row],[numero]]&amp;Banco_Nacion[[#This Row],[responsable]]&amp;Banco_Nacion[[#This Row],[monto]],"")</f>
        <v>FF04420100192064309</v>
      </c>
      <c r="X755" s="162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92657731</v>
      </c>
      <c r="Y755" s="3" t="str">
        <f>IFERROR(VLOOKUP(Banco_Nacion[[#This Row],[serie]]&amp;Banco_Nacion[[#This Row],[numero]]&amp;Banco_Nacion[[#This Row],[responsable]],[2]!Provision_CXC[[ID CXP]:[DETRACCION]],47,0),"")</f>
        <v/>
      </c>
      <c r="Z755" s="3"/>
      <c r="AA755" s="24" t="str">
        <f>IF(Banco_Nacion[[#This Row],[fecha]]&gt;0,TEXT(Banco_Nacion[[#This Row],[fecha]],"mmmm"),0)</f>
        <v>Octubre</v>
      </c>
    </row>
    <row r="756" spans="1:27" x14ac:dyDescent="0.3">
      <c r="A756" s="43">
        <f>IF(Banco_Nacion[[#This Row],[tipo_registro]]="R",COUNTIFS($C$1:$C755,"R")+1,"")</f>
        <v>689</v>
      </c>
      <c r="B756" s="19" t="str">
        <f t="shared" si="97"/>
        <v>B-Banco de la Nacion</v>
      </c>
      <c r="C756" s="3" t="s">
        <v>1330</v>
      </c>
      <c r="D756" s="14">
        <v>45939</v>
      </c>
      <c r="E756" s="5">
        <v>20100192064</v>
      </c>
      <c r="F756" s="5" t="s">
        <v>1303</v>
      </c>
      <c r="G756" s="6"/>
      <c r="H756" s="6"/>
      <c r="I756" s="6" t="s">
        <v>5052</v>
      </c>
      <c r="J756" s="6">
        <v>3</v>
      </c>
      <c r="K756" s="7" t="s">
        <v>5232</v>
      </c>
      <c r="L756" s="8">
        <v>92657730</v>
      </c>
      <c r="M756" s="8" t="str">
        <f t="shared" si="98"/>
        <v>PEN</v>
      </c>
      <c r="N756" s="13"/>
      <c r="O756" s="13">
        <v>1358</v>
      </c>
      <c r="P756" s="3">
        <f t="shared" si="99"/>
        <v>1358</v>
      </c>
      <c r="Q756" s="3">
        <f t="shared" si="100"/>
        <v>0</v>
      </c>
      <c r="R756" s="3">
        <f t="shared" si="101"/>
        <v>25112.220000000008</v>
      </c>
      <c r="S756" s="24"/>
      <c r="T756" s="24"/>
      <c r="U756" s="3"/>
      <c r="V756" s="19" t="str">
        <f>IFERROR(VLOOKUP(Banco_Nacion[[#This Row],[responsable]],Clientes_Proveedores[[Ruc / Dni]:[Razon Social]],2,0),"")</f>
        <v>MOLY-COP ADESUR S.A</v>
      </c>
      <c r="W756" s="19" t="str">
        <f>IF(Banco_Nacion[[#This Row],[tipo_mov]]="INGRESO",Banco_Nacion[[#This Row],[serie]]&amp;Banco_Nacion[[#This Row],[numero]]&amp;Banco_Nacion[[#This Row],[responsable]]&amp;Banco_Nacion[[#This Row],[monto]],"")</f>
        <v>FF043201001920641358</v>
      </c>
      <c r="X756" s="162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92657730</v>
      </c>
      <c r="Y756" s="3" t="str">
        <f>IFERROR(VLOOKUP(Banco_Nacion[[#This Row],[serie]]&amp;Banco_Nacion[[#This Row],[numero]]&amp;Banco_Nacion[[#This Row],[responsable]],[2]!Provision_CXC[[ID CXP]:[DETRACCION]],47,0),"")</f>
        <v/>
      </c>
      <c r="Z756" s="3"/>
      <c r="AA756" s="24" t="str">
        <f>IF(Banco_Nacion[[#This Row],[fecha]]&gt;0,TEXT(Banco_Nacion[[#This Row],[fecha]],"mmmm"),0)</f>
        <v>Octubre</v>
      </c>
    </row>
    <row r="757" spans="1:27" x14ac:dyDescent="0.3">
      <c r="A757" s="43">
        <f>IF(Banco_Nacion[[#This Row],[tipo_registro]]="R",COUNTIFS($C$1:$C756,"R")+1,"")</f>
        <v>690</v>
      </c>
      <c r="B757" s="19" t="str">
        <f t="shared" si="97"/>
        <v>B-Banco de la Nacion</v>
      </c>
      <c r="C757" s="3" t="s">
        <v>1330</v>
      </c>
      <c r="D757" s="14">
        <v>45939</v>
      </c>
      <c r="E757" s="5">
        <v>20462509236</v>
      </c>
      <c r="F757" s="5" t="s">
        <v>1303</v>
      </c>
      <c r="G757" s="6"/>
      <c r="H757" s="6"/>
      <c r="I757" s="6" t="s">
        <v>1784</v>
      </c>
      <c r="J757" s="6">
        <v>252</v>
      </c>
      <c r="K757" s="7" t="s">
        <v>5232</v>
      </c>
      <c r="L757" s="8">
        <v>92553551</v>
      </c>
      <c r="M757" s="8" t="str">
        <f t="shared" si="98"/>
        <v>PEN</v>
      </c>
      <c r="N757" s="13"/>
      <c r="O757" s="13">
        <v>245</v>
      </c>
      <c r="P757" s="3">
        <f t="shared" si="99"/>
        <v>245</v>
      </c>
      <c r="Q757" s="3">
        <f t="shared" si="100"/>
        <v>0</v>
      </c>
      <c r="R757" s="3">
        <f t="shared" si="101"/>
        <v>25357.220000000008</v>
      </c>
      <c r="S757" s="24"/>
      <c r="T757" s="24"/>
      <c r="U757" s="3"/>
      <c r="V757" s="19" t="str">
        <f>IFERROR(VLOOKUP(Banco_Nacion[[#This Row],[responsable]],Clientes_Proveedores[[Ruc / Dni]:[Razon Social]],2,0),"")</f>
        <v>UNIVERSIDAD TECNOLOGICA DEL PERU S.A.C. O UTP S.A.C.</v>
      </c>
      <c r="W757" s="19" t="str">
        <f>IF(Banco_Nacion[[#This Row],[tipo_mov]]="INGRESO",Banco_Nacion[[#This Row],[serie]]&amp;Banco_Nacion[[#This Row],[numero]]&amp;Banco_Nacion[[#This Row],[responsable]]&amp;Banco_Nacion[[#This Row],[monto]],"")</f>
        <v>FF0125220462509236245</v>
      </c>
      <c r="X757" s="162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92553551</v>
      </c>
      <c r="Y757" s="3" t="str">
        <f>IFERROR(VLOOKUP(Banco_Nacion[[#This Row],[serie]]&amp;Banco_Nacion[[#This Row],[numero]]&amp;Banco_Nacion[[#This Row],[responsable]],[2]!Provision_CXC[[ID CXP]:[DETRACCION]],47,0),"")</f>
        <v/>
      </c>
      <c r="Z757" s="3"/>
      <c r="AA757" s="24" t="str">
        <f>IF(Banco_Nacion[[#This Row],[fecha]]&gt;0,TEXT(Banco_Nacion[[#This Row],[fecha]],"mmmm"),0)</f>
        <v>Octubre</v>
      </c>
    </row>
    <row r="758" spans="1:27" x14ac:dyDescent="0.3">
      <c r="A758" s="43">
        <f>IF(Banco_Nacion[[#This Row],[tipo_registro]]="R",COUNTIFS($C$1:$C757,"R")+1,"")</f>
        <v>691</v>
      </c>
      <c r="B758" s="19" t="str">
        <f t="shared" si="97"/>
        <v>B-Banco de la Nacion</v>
      </c>
      <c r="C758" s="3" t="s">
        <v>1330</v>
      </c>
      <c r="D758" s="14">
        <v>45939</v>
      </c>
      <c r="E758" s="5">
        <v>20462509236</v>
      </c>
      <c r="F758" s="5" t="s">
        <v>1303</v>
      </c>
      <c r="G758" s="6"/>
      <c r="H758" s="6"/>
      <c r="I758" s="6" t="s">
        <v>1784</v>
      </c>
      <c r="J758" s="6">
        <v>250</v>
      </c>
      <c r="K758" s="7" t="s">
        <v>5232</v>
      </c>
      <c r="L758" s="8">
        <v>92553550</v>
      </c>
      <c r="M758" s="8" t="str">
        <f t="shared" si="98"/>
        <v>PEN</v>
      </c>
      <c r="N758" s="13"/>
      <c r="O758" s="13">
        <v>245</v>
      </c>
      <c r="P758" s="3">
        <f t="shared" si="99"/>
        <v>245</v>
      </c>
      <c r="Q758" s="3">
        <f t="shared" si="100"/>
        <v>0</v>
      </c>
      <c r="R758" s="3">
        <f t="shared" si="101"/>
        <v>25602.220000000008</v>
      </c>
      <c r="S758" s="24"/>
      <c r="T758" s="24"/>
      <c r="U758" s="3"/>
      <c r="V758" s="19" t="str">
        <f>IFERROR(VLOOKUP(Banco_Nacion[[#This Row],[responsable]],Clientes_Proveedores[[Ruc / Dni]:[Razon Social]],2,0),"")</f>
        <v>UNIVERSIDAD TECNOLOGICA DEL PERU S.A.C. O UTP S.A.C.</v>
      </c>
      <c r="W758" s="19" t="str">
        <f>IF(Banco_Nacion[[#This Row],[tipo_mov]]="INGRESO",Banco_Nacion[[#This Row],[serie]]&amp;Banco_Nacion[[#This Row],[numero]]&amp;Banco_Nacion[[#This Row],[responsable]]&amp;Banco_Nacion[[#This Row],[monto]],"")</f>
        <v>FF0125020462509236245</v>
      </c>
      <c r="X758" s="162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92553550</v>
      </c>
      <c r="Y758" s="3" t="str">
        <f>IFERROR(VLOOKUP(Banco_Nacion[[#This Row],[serie]]&amp;Banco_Nacion[[#This Row],[numero]]&amp;Banco_Nacion[[#This Row],[responsable]],[2]!Provision_CXC[[ID CXP]:[DETRACCION]],47,0),"")</f>
        <v/>
      </c>
      <c r="Z758" s="3"/>
      <c r="AA758" s="24" t="str">
        <f>IF(Banco_Nacion[[#This Row],[fecha]]&gt;0,TEXT(Banco_Nacion[[#This Row],[fecha]],"mmmm"),0)</f>
        <v>Octubre</v>
      </c>
    </row>
    <row r="759" spans="1:27" x14ac:dyDescent="0.3">
      <c r="A759" s="43">
        <f>IF(Banco_Nacion[[#This Row],[tipo_registro]]="R",COUNTIFS($C$1:$C758,"R")+1,"")</f>
        <v>692</v>
      </c>
      <c r="B759" s="19" t="str">
        <f t="shared" si="97"/>
        <v>B-Banco de la Nacion</v>
      </c>
      <c r="C759" s="3" t="s">
        <v>1330</v>
      </c>
      <c r="D759" s="14">
        <v>45939</v>
      </c>
      <c r="E759" s="5">
        <v>20462509236</v>
      </c>
      <c r="F759" s="5" t="s">
        <v>1303</v>
      </c>
      <c r="G759" s="6"/>
      <c r="H759" s="6"/>
      <c r="I759" s="6" t="s">
        <v>1784</v>
      </c>
      <c r="J759" s="6">
        <v>251</v>
      </c>
      <c r="K759" s="7" t="s">
        <v>5232</v>
      </c>
      <c r="L759" s="8">
        <v>92553492</v>
      </c>
      <c r="M759" s="8" t="str">
        <f t="shared" si="98"/>
        <v>PEN</v>
      </c>
      <c r="N759" s="13"/>
      <c r="O759" s="13">
        <v>307</v>
      </c>
      <c r="P759" s="3">
        <f t="shared" si="99"/>
        <v>307</v>
      </c>
      <c r="Q759" s="3">
        <f t="shared" si="100"/>
        <v>0</v>
      </c>
      <c r="R759" s="3">
        <f t="shared" si="101"/>
        <v>25909.220000000008</v>
      </c>
      <c r="S759" s="24"/>
      <c r="T759" s="24"/>
      <c r="U759" s="3"/>
      <c r="V759" s="19" t="str">
        <f>IFERROR(VLOOKUP(Banco_Nacion[[#This Row],[responsable]],Clientes_Proveedores[[Ruc / Dni]:[Razon Social]],2,0),"")</f>
        <v>UNIVERSIDAD TECNOLOGICA DEL PERU S.A.C. O UTP S.A.C.</v>
      </c>
      <c r="W759" s="19" t="str">
        <f>IF(Banco_Nacion[[#This Row],[tipo_mov]]="INGRESO",Banco_Nacion[[#This Row],[serie]]&amp;Banco_Nacion[[#This Row],[numero]]&amp;Banco_Nacion[[#This Row],[responsable]]&amp;Banco_Nacion[[#This Row],[monto]],"")</f>
        <v>FF0125120462509236307</v>
      </c>
      <c r="X759" s="162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92553492</v>
      </c>
      <c r="Y759" s="3" t="str">
        <f>IFERROR(VLOOKUP(Banco_Nacion[[#This Row],[serie]]&amp;Banco_Nacion[[#This Row],[numero]]&amp;Banco_Nacion[[#This Row],[responsable]],[2]!Provision_CXC[[ID CXP]:[DETRACCION]],47,0),"")</f>
        <v/>
      </c>
      <c r="Z759" s="3"/>
      <c r="AA759" s="24" t="str">
        <f>IF(Banco_Nacion[[#This Row],[fecha]]&gt;0,TEXT(Banco_Nacion[[#This Row],[fecha]],"mmmm"),0)</f>
        <v>Octubre</v>
      </c>
    </row>
    <row r="760" spans="1:27" x14ac:dyDescent="0.3">
      <c r="A760" s="43">
        <f>IF(Banco_Nacion[[#This Row],[tipo_registro]]="R",COUNTIFS($C$1:$C759,"R")+1,"")</f>
        <v>693</v>
      </c>
      <c r="B760" s="19" t="str">
        <f t="shared" si="97"/>
        <v>B-Banco de la Nacion</v>
      </c>
      <c r="C760" s="3" t="s">
        <v>1330</v>
      </c>
      <c r="D760" s="14">
        <v>45939</v>
      </c>
      <c r="E760" s="5">
        <v>20462509236</v>
      </c>
      <c r="F760" s="5" t="s">
        <v>1303</v>
      </c>
      <c r="G760" s="6"/>
      <c r="H760" s="6"/>
      <c r="I760" s="6" t="s">
        <v>1784</v>
      </c>
      <c r="J760" s="6">
        <v>236</v>
      </c>
      <c r="K760" s="7" t="s">
        <v>5232</v>
      </c>
      <c r="L760" s="8">
        <v>92553323</v>
      </c>
      <c r="M760" s="8" t="str">
        <f t="shared" si="98"/>
        <v>PEN</v>
      </c>
      <c r="N760" s="13"/>
      <c r="O760" s="13">
        <v>552</v>
      </c>
      <c r="P760" s="3">
        <f t="shared" si="99"/>
        <v>552</v>
      </c>
      <c r="Q760" s="3">
        <f t="shared" si="100"/>
        <v>0</v>
      </c>
      <c r="R760" s="3">
        <f t="shared" si="101"/>
        <v>26461.220000000008</v>
      </c>
      <c r="S760" s="24"/>
      <c r="T760" s="24"/>
      <c r="U760" s="3"/>
      <c r="V760" s="19" t="str">
        <f>IFERROR(VLOOKUP(Banco_Nacion[[#This Row],[responsable]],Clientes_Proveedores[[Ruc / Dni]:[Razon Social]],2,0),"")</f>
        <v>UNIVERSIDAD TECNOLOGICA DEL PERU S.A.C. O UTP S.A.C.</v>
      </c>
      <c r="W760" s="19" t="str">
        <f>IF(Banco_Nacion[[#This Row],[tipo_mov]]="INGRESO",Banco_Nacion[[#This Row],[serie]]&amp;Banco_Nacion[[#This Row],[numero]]&amp;Banco_Nacion[[#This Row],[responsable]]&amp;Banco_Nacion[[#This Row],[monto]],"")</f>
        <v>FF0123620462509236552</v>
      </c>
      <c r="X760" s="162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92553323</v>
      </c>
      <c r="Y760" s="3" t="str">
        <f>IFERROR(VLOOKUP(Banco_Nacion[[#This Row],[serie]]&amp;Banco_Nacion[[#This Row],[numero]]&amp;Banco_Nacion[[#This Row],[responsable]],[2]!Provision_CXC[[ID CXP]:[DETRACCION]],47,0),"")</f>
        <v/>
      </c>
      <c r="Z760" s="3"/>
      <c r="AA760" s="24" t="str">
        <f>IF(Banco_Nacion[[#This Row],[fecha]]&gt;0,TEXT(Banco_Nacion[[#This Row],[fecha]],"mmmm"),0)</f>
        <v>Octubre</v>
      </c>
    </row>
    <row r="761" spans="1:27" x14ac:dyDescent="0.3">
      <c r="A761" s="43">
        <f>IF(Banco_Nacion[[#This Row],[tipo_registro]]="R",COUNTIFS($C$1:$C760,"R")+1,"")</f>
        <v>694</v>
      </c>
      <c r="B761" s="19" t="str">
        <f t="shared" si="97"/>
        <v>B-Banco de la Nacion</v>
      </c>
      <c r="C761" s="3" t="s">
        <v>1330</v>
      </c>
      <c r="D761" s="14">
        <v>45939</v>
      </c>
      <c r="E761" s="5">
        <v>20462509236</v>
      </c>
      <c r="F761" s="5" t="s">
        <v>1303</v>
      </c>
      <c r="G761" s="6"/>
      <c r="H761" s="6"/>
      <c r="I761" s="6" t="s">
        <v>1784</v>
      </c>
      <c r="J761" s="6">
        <v>237</v>
      </c>
      <c r="K761" s="7" t="s">
        <v>5232</v>
      </c>
      <c r="L761" s="8">
        <v>92553322</v>
      </c>
      <c r="M761" s="8" t="str">
        <f t="shared" si="98"/>
        <v>PEN</v>
      </c>
      <c r="N761" s="13"/>
      <c r="O761" s="13">
        <v>552</v>
      </c>
      <c r="P761" s="3">
        <f t="shared" si="99"/>
        <v>552</v>
      </c>
      <c r="Q761" s="3">
        <f t="shared" si="100"/>
        <v>0</v>
      </c>
      <c r="R761" s="3">
        <f t="shared" si="101"/>
        <v>27013.220000000008</v>
      </c>
      <c r="S761" s="24"/>
      <c r="T761" s="24"/>
      <c r="U761" s="3"/>
      <c r="V761" s="19" t="str">
        <f>IFERROR(VLOOKUP(Banco_Nacion[[#This Row],[responsable]],Clientes_Proveedores[[Ruc / Dni]:[Razon Social]],2,0),"")</f>
        <v>UNIVERSIDAD TECNOLOGICA DEL PERU S.A.C. O UTP S.A.C.</v>
      </c>
      <c r="W761" s="19" t="str">
        <f>IF(Banco_Nacion[[#This Row],[tipo_mov]]="INGRESO",Banco_Nacion[[#This Row],[serie]]&amp;Banco_Nacion[[#This Row],[numero]]&amp;Banco_Nacion[[#This Row],[responsable]]&amp;Banco_Nacion[[#This Row],[monto]],"")</f>
        <v>FF0123720462509236552</v>
      </c>
      <c r="X761" s="162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92553322</v>
      </c>
      <c r="Y761" s="3" t="str">
        <f>IFERROR(VLOOKUP(Banco_Nacion[[#This Row],[serie]]&amp;Banco_Nacion[[#This Row],[numero]]&amp;Banco_Nacion[[#This Row],[responsable]],[2]!Provision_CXC[[ID CXP]:[DETRACCION]],47,0),"")</f>
        <v/>
      </c>
      <c r="Z761" s="3"/>
      <c r="AA761" s="24" t="str">
        <f>IF(Banco_Nacion[[#This Row],[fecha]]&gt;0,TEXT(Banco_Nacion[[#This Row],[fecha]],"mmmm"),0)</f>
        <v>Octubre</v>
      </c>
    </row>
    <row r="762" spans="1:27" x14ac:dyDescent="0.3">
      <c r="A762" s="43">
        <f>IF(Banco_Nacion[[#This Row],[tipo_registro]]="R",COUNTIFS($C$1:$C761,"R")+1,"")</f>
        <v>695</v>
      </c>
      <c r="B762" s="19" t="str">
        <f t="shared" si="97"/>
        <v>B-Banco de la Nacion</v>
      </c>
      <c r="C762" s="3" t="s">
        <v>1330</v>
      </c>
      <c r="D762" s="14">
        <v>45939</v>
      </c>
      <c r="E762" s="5">
        <v>20549457879</v>
      </c>
      <c r="F762" s="5" t="s">
        <v>1303</v>
      </c>
      <c r="G762" s="6"/>
      <c r="H762" s="6"/>
      <c r="I762" s="6" t="s">
        <v>1784</v>
      </c>
      <c r="J762" s="6">
        <v>247</v>
      </c>
      <c r="K762" s="7" t="s">
        <v>5232</v>
      </c>
      <c r="L762" s="8">
        <v>92529518</v>
      </c>
      <c r="M762" s="8" t="str">
        <f t="shared" si="98"/>
        <v>PEN</v>
      </c>
      <c r="N762" s="13"/>
      <c r="O762" s="13">
        <v>136</v>
      </c>
      <c r="P762" s="3">
        <f t="shared" si="99"/>
        <v>136</v>
      </c>
      <c r="Q762" s="3">
        <f t="shared" si="100"/>
        <v>0</v>
      </c>
      <c r="R762" s="3">
        <f t="shared" si="101"/>
        <v>27149.220000000008</v>
      </c>
      <c r="S762" s="24"/>
      <c r="T762" s="24"/>
      <c r="U762" s="3"/>
      <c r="V762" s="19" t="str">
        <f>IFERROR(VLOOKUP(Banco_Nacion[[#This Row],[responsable]],Clientes_Proveedores[[Ruc / Dni]:[Razon Social]],2,0),"")</f>
        <v>ELEO ARQUITECTURA Y CONSTRUCCION S.A.C</v>
      </c>
      <c r="W762" s="19" t="str">
        <f>IF(Banco_Nacion[[#This Row],[tipo_mov]]="INGRESO",Banco_Nacion[[#This Row],[serie]]&amp;Banco_Nacion[[#This Row],[numero]]&amp;Banco_Nacion[[#This Row],[responsable]]&amp;Banco_Nacion[[#This Row],[monto]],"")</f>
        <v>FF0124720549457879136</v>
      </c>
      <c r="X762" s="162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92529518</v>
      </c>
      <c r="Y762" s="3" t="str">
        <f>IFERROR(VLOOKUP(Banco_Nacion[[#This Row],[serie]]&amp;Banco_Nacion[[#This Row],[numero]]&amp;Banco_Nacion[[#This Row],[responsable]],[2]!Provision_CXC[[ID CXP]:[DETRACCION]],47,0),"")</f>
        <v/>
      </c>
      <c r="Z762" s="3"/>
      <c r="AA762" s="24" t="str">
        <f>IF(Banco_Nacion[[#This Row],[fecha]]&gt;0,TEXT(Banco_Nacion[[#This Row],[fecha]],"mmmm"),0)</f>
        <v>Octubre</v>
      </c>
    </row>
    <row r="763" spans="1:27" x14ac:dyDescent="0.3">
      <c r="A763" s="43">
        <f>IF(Banco_Nacion[[#This Row],[tipo_registro]]="R",COUNTIFS($C$1:$C762,"R")+1,"")</f>
        <v>696</v>
      </c>
      <c r="B763" s="19" t="str">
        <f t="shared" si="97"/>
        <v>B-Banco de la Nacion</v>
      </c>
      <c r="C763" s="3" t="s">
        <v>1330</v>
      </c>
      <c r="D763" s="14">
        <v>45939</v>
      </c>
      <c r="E763" s="5">
        <v>20549457879</v>
      </c>
      <c r="F763" s="5" t="s">
        <v>1303</v>
      </c>
      <c r="G763" s="6"/>
      <c r="H763" s="6"/>
      <c r="I763" s="6" t="s">
        <v>1784</v>
      </c>
      <c r="J763" s="6">
        <v>232</v>
      </c>
      <c r="K763" s="7" t="s">
        <v>5232</v>
      </c>
      <c r="L763" s="8">
        <v>92529517</v>
      </c>
      <c r="M763" s="8" t="str">
        <f t="shared" si="98"/>
        <v>PEN</v>
      </c>
      <c r="N763" s="13"/>
      <c r="O763" s="13">
        <v>45</v>
      </c>
      <c r="P763" s="3">
        <f t="shared" si="99"/>
        <v>45</v>
      </c>
      <c r="Q763" s="3">
        <f t="shared" si="100"/>
        <v>0</v>
      </c>
      <c r="R763" s="3">
        <f t="shared" si="101"/>
        <v>27194.220000000008</v>
      </c>
      <c r="S763" s="24"/>
      <c r="T763" s="24"/>
      <c r="U763" s="3"/>
      <c r="V763" s="19" t="str">
        <f>IFERROR(VLOOKUP(Banco_Nacion[[#This Row],[responsable]],Clientes_Proveedores[[Ruc / Dni]:[Razon Social]],2,0),"")</f>
        <v>ELEO ARQUITECTURA Y CONSTRUCCION S.A.C</v>
      </c>
      <c r="W763" s="19" t="str">
        <f>IF(Banco_Nacion[[#This Row],[tipo_mov]]="INGRESO",Banco_Nacion[[#This Row],[serie]]&amp;Banco_Nacion[[#This Row],[numero]]&amp;Banco_Nacion[[#This Row],[responsable]]&amp;Banco_Nacion[[#This Row],[monto]],"")</f>
        <v>FF012322054945787945</v>
      </c>
      <c r="X763" s="162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92529517</v>
      </c>
      <c r="Y763" s="3" t="str">
        <f>IFERROR(VLOOKUP(Banco_Nacion[[#This Row],[serie]]&amp;Banco_Nacion[[#This Row],[numero]]&amp;Banco_Nacion[[#This Row],[responsable]],[2]!Provision_CXC[[ID CXP]:[DETRACCION]],47,0),"")</f>
        <v/>
      </c>
      <c r="Z763" s="3"/>
      <c r="AA763" s="24" t="str">
        <f>IF(Banco_Nacion[[#This Row],[fecha]]&gt;0,TEXT(Banco_Nacion[[#This Row],[fecha]],"mmmm"),0)</f>
        <v>Octubre</v>
      </c>
    </row>
    <row r="764" spans="1:27" x14ac:dyDescent="0.3">
      <c r="A764" s="43">
        <f>IF(Banco_Nacion[[#This Row],[tipo_registro]]="R",COUNTIFS($C$1:$C763,"R")+1,"")</f>
        <v>697</v>
      </c>
      <c r="B764" s="19" t="str">
        <f t="shared" si="97"/>
        <v>B-Banco de la Nacion</v>
      </c>
      <c r="C764" s="3" t="s">
        <v>1330</v>
      </c>
      <c r="D764" s="14">
        <v>45939</v>
      </c>
      <c r="E764" s="5">
        <v>20510495781</v>
      </c>
      <c r="F764" s="5" t="s">
        <v>1303</v>
      </c>
      <c r="G764" s="6"/>
      <c r="H764" s="6"/>
      <c r="I764" s="6" t="s">
        <v>1784</v>
      </c>
      <c r="J764" s="6">
        <v>265</v>
      </c>
      <c r="K764" s="7" t="s">
        <v>5232</v>
      </c>
      <c r="L764" s="8">
        <v>92470664</v>
      </c>
      <c r="M764" s="8" t="str">
        <f t="shared" si="98"/>
        <v>PEN</v>
      </c>
      <c r="N764" s="13"/>
      <c r="O764" s="13">
        <v>482</v>
      </c>
      <c r="P764" s="3">
        <f t="shared" si="99"/>
        <v>482</v>
      </c>
      <c r="Q764" s="3">
        <f t="shared" si="100"/>
        <v>0</v>
      </c>
      <c r="R764" s="3">
        <f t="shared" si="101"/>
        <v>27676.220000000008</v>
      </c>
      <c r="S764" s="24"/>
      <c r="T764" s="24"/>
      <c r="U764" s="3"/>
      <c r="V764" s="19" t="str">
        <f>IFERROR(VLOOKUP(Banco_Nacion[[#This Row],[responsable]],Clientes_Proveedores[[Ruc / Dni]:[Razon Social]],2,0),"")</f>
        <v>EXCEL: SERVICIOS GENERALES Y ACONDICIONAMIENTO S.A.C.</v>
      </c>
      <c r="W764" s="19" t="str">
        <f>IF(Banco_Nacion[[#This Row],[tipo_mov]]="INGRESO",Banco_Nacion[[#This Row],[serie]]&amp;Banco_Nacion[[#This Row],[numero]]&amp;Banco_Nacion[[#This Row],[responsable]]&amp;Banco_Nacion[[#This Row],[monto]],"")</f>
        <v>FF0126520510495781482</v>
      </c>
      <c r="X764" s="162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92470664</v>
      </c>
      <c r="Y764" s="3" t="str">
        <f>IFERROR(VLOOKUP(Banco_Nacion[[#This Row],[serie]]&amp;Banco_Nacion[[#This Row],[numero]]&amp;Banco_Nacion[[#This Row],[responsable]],[2]!Provision_CXC[[ID CXP]:[DETRACCION]],47,0),"")</f>
        <v/>
      </c>
      <c r="Z764" s="3"/>
      <c r="AA764" s="24" t="str">
        <f>IF(Banco_Nacion[[#This Row],[fecha]]&gt;0,TEXT(Banco_Nacion[[#This Row],[fecha]],"mmmm"),0)</f>
        <v>Octubre</v>
      </c>
    </row>
    <row r="765" spans="1:27" x14ac:dyDescent="0.3">
      <c r="A765" s="43">
        <f>IF(Banco_Nacion[[#This Row],[tipo_registro]]="R",COUNTIFS($C$1:$C764,"R")+1,"")</f>
        <v>698</v>
      </c>
      <c r="B765" s="19" t="str">
        <f t="shared" si="97"/>
        <v>B-Banco de la Nacion</v>
      </c>
      <c r="C765" s="3" t="s">
        <v>1330</v>
      </c>
      <c r="D765" s="14">
        <v>45939</v>
      </c>
      <c r="E765" s="5">
        <v>20455278750</v>
      </c>
      <c r="F765" s="5" t="s">
        <v>1303</v>
      </c>
      <c r="G765" s="6"/>
      <c r="H765" s="6"/>
      <c r="I765" s="6" t="s">
        <v>1784</v>
      </c>
      <c r="J765" s="6">
        <v>266</v>
      </c>
      <c r="K765" s="7" t="s">
        <v>5232</v>
      </c>
      <c r="L765" s="8">
        <v>92416168</v>
      </c>
      <c r="M765" s="8" t="str">
        <f t="shared" si="98"/>
        <v>PEN</v>
      </c>
      <c r="N765" s="13"/>
      <c r="O765" s="13">
        <v>333</v>
      </c>
      <c r="P765" s="3">
        <f t="shared" si="99"/>
        <v>333</v>
      </c>
      <c r="Q765" s="3">
        <f t="shared" si="100"/>
        <v>0</v>
      </c>
      <c r="R765" s="3">
        <f t="shared" si="101"/>
        <v>28009.220000000008</v>
      </c>
      <c r="S765" s="24"/>
      <c r="T765" s="24"/>
      <c r="U765" s="3"/>
      <c r="V765" s="19" t="str">
        <f>IFERROR(VLOOKUP(Banco_Nacion[[#This Row],[responsable]],Clientes_Proveedores[[Ruc / Dni]:[Razon Social]],2,0),"")</f>
        <v>CONTRATISTAS OBRAS INGENIERIA MINERIA Y SERVICIOS S.A.C. - COIMSER S.A.C.</v>
      </c>
      <c r="W765" s="19" t="str">
        <f>IF(Banco_Nacion[[#This Row],[tipo_mov]]="INGRESO",Banco_Nacion[[#This Row],[serie]]&amp;Banco_Nacion[[#This Row],[numero]]&amp;Banco_Nacion[[#This Row],[responsable]]&amp;Banco_Nacion[[#This Row],[monto]],"")</f>
        <v>FF0126620455278750333</v>
      </c>
      <c r="X765" s="162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92416168</v>
      </c>
      <c r="Y765" s="3" t="str">
        <f>IFERROR(VLOOKUP(Banco_Nacion[[#This Row],[serie]]&amp;Banco_Nacion[[#This Row],[numero]]&amp;Banco_Nacion[[#This Row],[responsable]],[2]!Provision_CXC[[ID CXP]:[DETRACCION]],47,0),"")</f>
        <v/>
      </c>
      <c r="Z765" s="3"/>
      <c r="AA765" s="24" t="str">
        <f>IF(Banco_Nacion[[#This Row],[fecha]]&gt;0,TEXT(Banco_Nacion[[#This Row],[fecha]],"mmmm"),0)</f>
        <v>Octubre</v>
      </c>
    </row>
    <row r="766" spans="1:27" x14ac:dyDescent="0.3">
      <c r="A766" s="43">
        <f>IF(Banco_Nacion[[#This Row],[tipo_registro]]="R",COUNTIFS($C$1:$C765,"R")+1,"")</f>
        <v>699</v>
      </c>
      <c r="B766" s="19" t="str">
        <f t="shared" si="97"/>
        <v>B-Banco de la Nacion</v>
      </c>
      <c r="C766" s="3" t="s">
        <v>1330</v>
      </c>
      <c r="D766" s="14">
        <v>45939</v>
      </c>
      <c r="E766" s="5">
        <v>20558203332</v>
      </c>
      <c r="F766" s="5" t="s">
        <v>1303</v>
      </c>
      <c r="G766" s="6"/>
      <c r="H766" s="6"/>
      <c r="I766" s="6" t="s">
        <v>3302</v>
      </c>
      <c r="J766" s="6">
        <v>129</v>
      </c>
      <c r="K766" s="7" t="s">
        <v>5232</v>
      </c>
      <c r="L766" s="8">
        <v>92415806</v>
      </c>
      <c r="M766" s="8" t="str">
        <f t="shared" si="98"/>
        <v>PEN</v>
      </c>
      <c r="N766" s="13"/>
      <c r="O766" s="13">
        <v>42</v>
      </c>
      <c r="P766" s="3">
        <f t="shared" si="99"/>
        <v>42</v>
      </c>
      <c r="Q766" s="3">
        <f t="shared" si="100"/>
        <v>0</v>
      </c>
      <c r="R766" s="3">
        <f t="shared" si="101"/>
        <v>28051.220000000008</v>
      </c>
      <c r="S766" s="24"/>
      <c r="T766" s="24"/>
      <c r="U766" s="3"/>
      <c r="V766" s="19" t="str">
        <f>IFERROR(VLOOKUP(Banco_Nacion[[#This Row],[responsable]],Clientes_Proveedores[[Ruc / Dni]:[Razon Social]],2,0),"")</f>
        <v>ISC INGENIERIA DEL SUR S.A.C.</v>
      </c>
      <c r="W766" s="19" t="str">
        <f>IF(Banco_Nacion[[#This Row],[tipo_mov]]="INGRESO",Banco_Nacion[[#This Row],[serie]]&amp;Banco_Nacion[[#This Row],[numero]]&amp;Banco_Nacion[[#This Row],[responsable]]&amp;Banco_Nacion[[#This Row],[monto]],"")</f>
        <v>FF021292055820333242</v>
      </c>
      <c r="X766" s="162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92415806</v>
      </c>
      <c r="Y766" s="3" t="str">
        <f>IFERROR(VLOOKUP(Banco_Nacion[[#This Row],[serie]]&amp;Banco_Nacion[[#This Row],[numero]]&amp;Banco_Nacion[[#This Row],[responsable]],[2]!Provision_CXC[[ID CXP]:[DETRACCION]],47,0),"")</f>
        <v/>
      </c>
      <c r="Z766" s="3"/>
      <c r="AA766" s="24" t="str">
        <f>IF(Banco_Nacion[[#This Row],[fecha]]&gt;0,TEXT(Banco_Nacion[[#This Row],[fecha]],"mmmm"),0)</f>
        <v>Octubre</v>
      </c>
    </row>
    <row r="767" spans="1:27" x14ac:dyDescent="0.3">
      <c r="A767" s="43">
        <f>IF(Banco_Nacion[[#This Row],[tipo_registro]]="R",COUNTIFS($C$1:$C766,"R")+1,"")</f>
        <v>700</v>
      </c>
      <c r="B767" s="19" t="str">
        <f t="shared" si="97"/>
        <v>B-Banco de la Nacion</v>
      </c>
      <c r="C767" s="3" t="s">
        <v>1330</v>
      </c>
      <c r="D767" s="14">
        <v>45939</v>
      </c>
      <c r="E767" s="5">
        <v>20603065906</v>
      </c>
      <c r="F767" s="5" t="s">
        <v>1303</v>
      </c>
      <c r="G767" s="6"/>
      <c r="H767" s="6"/>
      <c r="I767" s="6" t="s">
        <v>3381</v>
      </c>
      <c r="J767" s="6">
        <v>67</v>
      </c>
      <c r="K767" s="7" t="s">
        <v>5232</v>
      </c>
      <c r="L767" s="8">
        <v>92386772</v>
      </c>
      <c r="M767" s="8" t="str">
        <f t="shared" si="98"/>
        <v>PEN</v>
      </c>
      <c r="N767" s="13"/>
      <c r="O767" s="13">
        <v>284</v>
      </c>
      <c r="P767" s="3">
        <f t="shared" si="99"/>
        <v>284</v>
      </c>
      <c r="Q767" s="3">
        <f t="shared" si="100"/>
        <v>0</v>
      </c>
      <c r="R767" s="3">
        <f t="shared" si="101"/>
        <v>28335.220000000008</v>
      </c>
      <c r="S767" s="24"/>
      <c r="T767" s="24"/>
      <c r="U767" s="3"/>
      <c r="V767" s="19" t="str">
        <f>IFERROR(VLOOKUP(Banco_Nacion[[#This Row],[responsable]],Clientes_Proveedores[[Ruc / Dni]:[Razon Social]],2,0),"")</f>
        <v>COMERCIO SERVICIOS E INVERSIONES YANCE E.I.R.L.</v>
      </c>
      <c r="W767" s="19" t="str">
        <f>IF(Banco_Nacion[[#This Row],[tipo_mov]]="INGRESO",Banco_Nacion[[#This Row],[serie]]&amp;Banco_Nacion[[#This Row],[numero]]&amp;Banco_Nacion[[#This Row],[responsable]]&amp;Banco_Nacion[[#This Row],[monto]],"")</f>
        <v>FF056720603065906284</v>
      </c>
      <c r="X767" s="162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92386772</v>
      </c>
      <c r="Y767" s="3" t="str">
        <f>IFERROR(VLOOKUP(Banco_Nacion[[#This Row],[serie]]&amp;Banco_Nacion[[#This Row],[numero]]&amp;Banco_Nacion[[#This Row],[responsable]],[2]!Provision_CXC[[ID CXP]:[DETRACCION]],47,0),"")</f>
        <v/>
      </c>
      <c r="Z767" s="3"/>
      <c r="AA767" s="24" t="str">
        <f>IF(Banco_Nacion[[#This Row],[fecha]]&gt;0,TEXT(Banco_Nacion[[#This Row],[fecha]],"mmmm"),0)</f>
        <v>Octubre</v>
      </c>
    </row>
    <row r="768" spans="1:27" x14ac:dyDescent="0.3">
      <c r="A768" s="43">
        <f>IF(Banco_Nacion[[#This Row],[tipo_registro]]="R",COUNTIFS($C$1:$C767,"R")+1,"")</f>
        <v>701</v>
      </c>
      <c r="B768" s="19" t="str">
        <f t="shared" si="97"/>
        <v>B-Banco de la Nacion</v>
      </c>
      <c r="C768" s="3" t="s">
        <v>1330</v>
      </c>
      <c r="D768" s="14">
        <v>45939</v>
      </c>
      <c r="E768" s="5">
        <v>20603065906</v>
      </c>
      <c r="F768" s="5" t="s">
        <v>1303</v>
      </c>
      <c r="G768" s="6"/>
      <c r="H768" s="6"/>
      <c r="I768" s="6" t="s">
        <v>3381</v>
      </c>
      <c r="J768" s="6">
        <v>65</v>
      </c>
      <c r="K768" s="7" t="s">
        <v>5232</v>
      </c>
      <c r="L768" s="8">
        <v>92386769</v>
      </c>
      <c r="M768" s="8" t="str">
        <f t="shared" si="98"/>
        <v>PEN</v>
      </c>
      <c r="N768" s="13"/>
      <c r="O768" s="13">
        <v>311</v>
      </c>
      <c r="P768" s="3">
        <f t="shared" si="99"/>
        <v>311</v>
      </c>
      <c r="Q768" s="3">
        <f t="shared" si="100"/>
        <v>0</v>
      </c>
      <c r="R768" s="3">
        <f t="shared" si="101"/>
        <v>28646.220000000008</v>
      </c>
      <c r="S768" s="24"/>
      <c r="T768" s="24"/>
      <c r="U768" s="3"/>
      <c r="V768" s="19" t="str">
        <f>IFERROR(VLOOKUP(Banco_Nacion[[#This Row],[responsable]],Clientes_Proveedores[[Ruc / Dni]:[Razon Social]],2,0),"")</f>
        <v>COMERCIO SERVICIOS E INVERSIONES YANCE E.I.R.L.</v>
      </c>
      <c r="W768" s="19" t="str">
        <f>IF(Banco_Nacion[[#This Row],[tipo_mov]]="INGRESO",Banco_Nacion[[#This Row],[serie]]&amp;Banco_Nacion[[#This Row],[numero]]&amp;Banco_Nacion[[#This Row],[responsable]]&amp;Banco_Nacion[[#This Row],[monto]],"")</f>
        <v>FF056520603065906311</v>
      </c>
      <c r="X768" s="162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92386769</v>
      </c>
      <c r="Y768" s="3" t="str">
        <f>IFERROR(VLOOKUP(Banco_Nacion[[#This Row],[serie]]&amp;Banco_Nacion[[#This Row],[numero]]&amp;Banco_Nacion[[#This Row],[responsable]],[2]!Provision_CXC[[ID CXP]:[DETRACCION]],47,0),"")</f>
        <v/>
      </c>
      <c r="Z768" s="3"/>
      <c r="AA768" s="24" t="str">
        <f>IF(Banco_Nacion[[#This Row],[fecha]]&gt;0,TEXT(Banco_Nacion[[#This Row],[fecha]],"mmmm"),0)</f>
        <v>Octubre</v>
      </c>
    </row>
    <row r="769" spans="1:27" x14ac:dyDescent="0.3">
      <c r="A769" s="43">
        <f>IF(Banco_Nacion[[#This Row],[tipo_registro]]="R",COUNTIFS($C$1:$C768,"R")+1,"")</f>
        <v>702</v>
      </c>
      <c r="B769" s="19" t="str">
        <f t="shared" si="97"/>
        <v>B-Banco de la Nacion</v>
      </c>
      <c r="C769" s="3" t="s">
        <v>1330</v>
      </c>
      <c r="D769" s="14">
        <v>45939</v>
      </c>
      <c r="E769" s="5">
        <v>20603065906</v>
      </c>
      <c r="F769" s="5" t="s">
        <v>1303</v>
      </c>
      <c r="G769" s="6"/>
      <c r="H769" s="6"/>
      <c r="I769" s="6" t="s">
        <v>3381</v>
      </c>
      <c r="J769" s="6">
        <v>63</v>
      </c>
      <c r="K769" s="7" t="s">
        <v>5232</v>
      </c>
      <c r="L769" s="8">
        <v>92366871</v>
      </c>
      <c r="M769" s="8" t="str">
        <f t="shared" si="98"/>
        <v>PEN</v>
      </c>
      <c r="N769" s="13"/>
      <c r="O769" s="13">
        <v>731</v>
      </c>
      <c r="P769" s="3">
        <f t="shared" si="99"/>
        <v>731</v>
      </c>
      <c r="Q769" s="3">
        <f t="shared" si="100"/>
        <v>0</v>
      </c>
      <c r="R769" s="3">
        <f t="shared" si="101"/>
        <v>29377.220000000008</v>
      </c>
      <c r="S769" s="24"/>
      <c r="T769" s="24"/>
      <c r="U769" s="3"/>
      <c r="V769" s="19" t="str">
        <f>IFERROR(VLOOKUP(Banco_Nacion[[#This Row],[responsable]],Clientes_Proveedores[[Ruc / Dni]:[Razon Social]],2,0),"")</f>
        <v>COMERCIO SERVICIOS E INVERSIONES YANCE E.I.R.L.</v>
      </c>
      <c r="W769" s="19" t="str">
        <f>IF(Banco_Nacion[[#This Row],[tipo_mov]]="INGRESO",Banco_Nacion[[#This Row],[serie]]&amp;Banco_Nacion[[#This Row],[numero]]&amp;Banco_Nacion[[#This Row],[responsable]]&amp;Banco_Nacion[[#This Row],[monto]],"")</f>
        <v>FF056320603065906731</v>
      </c>
      <c r="X769" s="162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92366871</v>
      </c>
      <c r="Y769" s="3" t="str">
        <f>IFERROR(VLOOKUP(Banco_Nacion[[#This Row],[serie]]&amp;Banco_Nacion[[#This Row],[numero]]&amp;Banco_Nacion[[#This Row],[responsable]],[2]!Provision_CXC[[ID CXP]:[DETRACCION]],47,0),"")</f>
        <v/>
      </c>
      <c r="Z769" s="3"/>
      <c r="AA769" s="24" t="str">
        <f>IF(Banco_Nacion[[#This Row],[fecha]]&gt;0,TEXT(Banco_Nacion[[#This Row],[fecha]],"mmmm"),0)</f>
        <v>Octubre</v>
      </c>
    </row>
    <row r="770" spans="1:27" x14ac:dyDescent="0.3">
      <c r="A770" s="43">
        <f>IF(Banco_Nacion[[#This Row],[tipo_registro]]="R",COUNTIFS($C$1:$C769,"R")+1,"")</f>
        <v>703</v>
      </c>
      <c r="B770" s="19" t="str">
        <f t="shared" si="97"/>
        <v>B-Banco de la Nacion</v>
      </c>
      <c r="C770" s="3" t="s">
        <v>1330</v>
      </c>
      <c r="D770" s="14">
        <v>45939</v>
      </c>
      <c r="E770" s="5">
        <v>20100199743</v>
      </c>
      <c r="F770" s="5" t="s">
        <v>1303</v>
      </c>
      <c r="G770" s="6"/>
      <c r="H770" s="6"/>
      <c r="I770" s="6" t="s">
        <v>1784</v>
      </c>
      <c r="J770" s="6">
        <v>249</v>
      </c>
      <c r="K770" s="7" t="s">
        <v>5232</v>
      </c>
      <c r="L770" s="8">
        <v>92289350</v>
      </c>
      <c r="M770" s="8" t="str">
        <f t="shared" si="98"/>
        <v>PEN</v>
      </c>
      <c r="N770" s="13"/>
      <c r="O770" s="13">
        <v>288</v>
      </c>
      <c r="P770" s="3">
        <f t="shared" si="99"/>
        <v>288</v>
      </c>
      <c r="Q770" s="3">
        <f t="shared" si="100"/>
        <v>0</v>
      </c>
      <c r="R770" s="3">
        <f t="shared" si="101"/>
        <v>29665.220000000008</v>
      </c>
      <c r="S770" s="24"/>
      <c r="T770" s="24"/>
      <c r="U770" s="3"/>
      <c r="V770" s="19" t="str">
        <f>IFERROR(VLOOKUP(Banco_Nacion[[#This Row],[responsable]],Clientes_Proveedores[[Ruc / Dni]:[Razon Social]],2,0),"")</f>
        <v>INCA TOPS S.A</v>
      </c>
      <c r="W770" s="19" t="str">
        <f>IF(Banco_Nacion[[#This Row],[tipo_mov]]="INGRESO",Banco_Nacion[[#This Row],[serie]]&amp;Banco_Nacion[[#This Row],[numero]]&amp;Banco_Nacion[[#This Row],[responsable]]&amp;Banco_Nacion[[#This Row],[monto]],"")</f>
        <v>FF0124920100199743288</v>
      </c>
      <c r="X770" s="162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92289350</v>
      </c>
      <c r="Y770" s="3" t="str">
        <f>IFERROR(VLOOKUP(Banco_Nacion[[#This Row],[serie]]&amp;Banco_Nacion[[#This Row],[numero]]&amp;Banco_Nacion[[#This Row],[responsable]],[2]!Provision_CXC[[ID CXP]:[DETRACCION]],47,0),"")</f>
        <v/>
      </c>
      <c r="Z770" s="3"/>
      <c r="AA770" s="24" t="str">
        <f>IF(Banco_Nacion[[#This Row],[fecha]]&gt;0,TEXT(Banco_Nacion[[#This Row],[fecha]],"mmmm"),0)</f>
        <v>Octubre</v>
      </c>
    </row>
    <row r="771" spans="1:27" x14ac:dyDescent="0.3">
      <c r="A771" s="43">
        <f>IF(Banco_Nacion[[#This Row],[tipo_registro]]="R",COUNTIFS($C$1:$C770,"R")+1,"")</f>
        <v>704</v>
      </c>
      <c r="B771" s="19" t="str">
        <f t="shared" si="97"/>
        <v>B-Banco de la Nacion</v>
      </c>
      <c r="C771" s="3" t="s">
        <v>1330</v>
      </c>
      <c r="D771" s="14">
        <v>45939</v>
      </c>
      <c r="E771" s="5">
        <v>20505675836</v>
      </c>
      <c r="F771" s="5" t="s">
        <v>1303</v>
      </c>
      <c r="G771" s="6"/>
      <c r="H771" s="6"/>
      <c r="I771" s="6" t="s">
        <v>1784</v>
      </c>
      <c r="J771" s="6">
        <v>261</v>
      </c>
      <c r="K771" s="7" t="s">
        <v>5232</v>
      </c>
      <c r="L771" s="8">
        <v>92278107</v>
      </c>
      <c r="M771" s="8" t="str">
        <f t="shared" si="98"/>
        <v>PEN</v>
      </c>
      <c r="N771" s="13"/>
      <c r="O771" s="13">
        <v>760</v>
      </c>
      <c r="P771" s="3">
        <f t="shared" si="99"/>
        <v>760</v>
      </c>
      <c r="Q771" s="3">
        <f t="shared" si="100"/>
        <v>0</v>
      </c>
      <c r="R771" s="3">
        <f t="shared" si="101"/>
        <v>30425.220000000008</v>
      </c>
      <c r="S771" s="24"/>
      <c r="T771" s="24"/>
      <c r="U771" s="3"/>
      <c r="V771" s="19" t="str">
        <f>IFERROR(VLOOKUP(Banco_Nacion[[#This Row],[responsable]],Clientes_Proveedores[[Ruc / Dni]:[Razon Social]],2,0),"")</f>
        <v>FLSMIDTH S.A.C.</v>
      </c>
      <c r="W771" s="19" t="str">
        <f>IF(Banco_Nacion[[#This Row],[tipo_mov]]="INGRESO",Banco_Nacion[[#This Row],[serie]]&amp;Banco_Nacion[[#This Row],[numero]]&amp;Banco_Nacion[[#This Row],[responsable]]&amp;Banco_Nacion[[#This Row],[monto]],"")</f>
        <v>FF0126120505675836760</v>
      </c>
      <c r="X771" s="162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92278107</v>
      </c>
      <c r="Y771" s="3" t="str">
        <f>IFERROR(VLOOKUP(Banco_Nacion[[#This Row],[serie]]&amp;Banco_Nacion[[#This Row],[numero]]&amp;Banco_Nacion[[#This Row],[responsable]],[2]!Provision_CXC[[ID CXP]:[DETRACCION]],47,0),"")</f>
        <v/>
      </c>
      <c r="Z771" s="3"/>
      <c r="AA771" s="24" t="str">
        <f>IF(Banco_Nacion[[#This Row],[fecha]]&gt;0,TEXT(Banco_Nacion[[#This Row],[fecha]],"mmmm"),0)</f>
        <v>Octubre</v>
      </c>
    </row>
    <row r="772" spans="1:27" x14ac:dyDescent="0.3">
      <c r="A772" s="43">
        <f>IF(Banco_Nacion[[#This Row],[tipo_registro]]="R",COUNTIFS($C$1:$C771,"R")+1,"")</f>
        <v>705</v>
      </c>
      <c r="B772" s="19" t="str">
        <f t="shared" si="97"/>
        <v>B-Banco de la Nacion</v>
      </c>
      <c r="C772" s="3" t="s">
        <v>1330</v>
      </c>
      <c r="D772" s="14">
        <v>45939</v>
      </c>
      <c r="E772" s="5">
        <v>20505675836</v>
      </c>
      <c r="F772" s="5" t="s">
        <v>1303</v>
      </c>
      <c r="G772" s="6"/>
      <c r="H772" s="6"/>
      <c r="I772" s="6" t="s">
        <v>1784</v>
      </c>
      <c r="J772" s="6">
        <v>260</v>
      </c>
      <c r="K772" s="7" t="s">
        <v>5232</v>
      </c>
      <c r="L772" s="8">
        <v>92278106</v>
      </c>
      <c r="M772" s="8" t="str">
        <f t="shared" si="98"/>
        <v>PEN</v>
      </c>
      <c r="N772" s="13"/>
      <c r="O772" s="13">
        <v>404</v>
      </c>
      <c r="P772" s="3">
        <f t="shared" si="99"/>
        <v>404</v>
      </c>
      <c r="Q772" s="3">
        <f t="shared" si="100"/>
        <v>0</v>
      </c>
      <c r="R772" s="3">
        <f t="shared" si="101"/>
        <v>30829.220000000008</v>
      </c>
      <c r="S772" s="24"/>
      <c r="T772" s="24"/>
      <c r="U772" s="3"/>
      <c r="V772" s="19" t="str">
        <f>IFERROR(VLOOKUP(Banco_Nacion[[#This Row],[responsable]],Clientes_Proveedores[[Ruc / Dni]:[Razon Social]],2,0),"")</f>
        <v>FLSMIDTH S.A.C.</v>
      </c>
      <c r="W772" s="19" t="str">
        <f>IF(Banco_Nacion[[#This Row],[tipo_mov]]="INGRESO",Banco_Nacion[[#This Row],[serie]]&amp;Banco_Nacion[[#This Row],[numero]]&amp;Banco_Nacion[[#This Row],[responsable]]&amp;Banco_Nacion[[#This Row],[monto]],"")</f>
        <v>FF0126020505675836404</v>
      </c>
      <c r="X772" s="162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92278106</v>
      </c>
      <c r="Y772" s="3" t="str">
        <f>IFERROR(VLOOKUP(Banco_Nacion[[#This Row],[serie]]&amp;Banco_Nacion[[#This Row],[numero]]&amp;Banco_Nacion[[#This Row],[responsable]],[2]!Provision_CXC[[ID CXP]:[DETRACCION]],47,0),"")</f>
        <v/>
      </c>
      <c r="Z772" s="3"/>
      <c r="AA772" s="24" t="str">
        <f>IF(Banco_Nacion[[#This Row],[fecha]]&gt;0,TEXT(Banco_Nacion[[#This Row],[fecha]],"mmmm"),0)</f>
        <v>Octubre</v>
      </c>
    </row>
    <row r="773" spans="1:27" x14ac:dyDescent="0.3">
      <c r="A773" s="43">
        <f>IF(Banco_Nacion[[#This Row],[tipo_registro]]="R",COUNTIFS($C$1:$C772,"R")+1,"")</f>
        <v>706</v>
      </c>
      <c r="B773" s="19" t="str">
        <f t="shared" si="97"/>
        <v>B-Banco de la Nacion</v>
      </c>
      <c r="C773" s="3" t="s">
        <v>1330</v>
      </c>
      <c r="D773" s="14">
        <v>45940</v>
      </c>
      <c r="E773" s="5">
        <v>20548863571</v>
      </c>
      <c r="F773" s="5" t="s">
        <v>1303</v>
      </c>
      <c r="G773" s="6"/>
      <c r="H773" s="6"/>
      <c r="I773" s="6" t="s">
        <v>1784</v>
      </c>
      <c r="J773" s="6">
        <v>174</v>
      </c>
      <c r="K773" s="7" t="s">
        <v>5232</v>
      </c>
      <c r="L773" s="8">
        <v>28500384</v>
      </c>
      <c r="M773" s="8" t="str">
        <f t="shared" si="98"/>
        <v>PEN</v>
      </c>
      <c r="N773" s="13"/>
      <c r="O773" s="13">
        <v>417</v>
      </c>
      <c r="P773" s="3">
        <f t="shared" si="99"/>
        <v>417</v>
      </c>
      <c r="Q773" s="3">
        <f t="shared" si="100"/>
        <v>0</v>
      </c>
      <c r="R773" s="3">
        <f t="shared" si="101"/>
        <v>31246.220000000008</v>
      </c>
      <c r="S773" s="24"/>
      <c r="T773" s="24"/>
      <c r="U773" s="3"/>
      <c r="V773" s="19" t="str">
        <f>IFERROR(VLOOKUP(Banco_Nacion[[#This Row],[responsable]],Clientes_Proveedores[[Ruc / Dni]:[Razon Social]],2,0),"")</f>
        <v>COMPAÑÍA DE INGENIERIA ESPECIALIZADA S.A.C.</v>
      </c>
      <c r="W773" s="19" t="str">
        <f>IF(Banco_Nacion[[#This Row],[tipo_mov]]="INGRESO",Banco_Nacion[[#This Row],[serie]]&amp;Banco_Nacion[[#This Row],[numero]]&amp;Banco_Nacion[[#This Row],[responsable]]&amp;Banco_Nacion[[#This Row],[monto]],"")</f>
        <v>FF0117420548863571417</v>
      </c>
      <c r="X773" s="162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28500384</v>
      </c>
      <c r="Y773" s="3" t="str">
        <f>IFERROR(VLOOKUP(Banco_Nacion[[#This Row],[serie]]&amp;Banco_Nacion[[#This Row],[numero]]&amp;Banco_Nacion[[#This Row],[responsable]],[2]!Provision_CXC[[ID CXP]:[DETRACCION]],47,0),"")</f>
        <v/>
      </c>
      <c r="Z773" s="3"/>
      <c r="AA773" s="24" t="str">
        <f>IF(Banco_Nacion[[#This Row],[fecha]]&gt;0,TEXT(Banco_Nacion[[#This Row],[fecha]],"mmmm"),0)</f>
        <v>Octubre</v>
      </c>
    </row>
    <row r="774" spans="1:27" x14ac:dyDescent="0.3">
      <c r="A774" s="43">
        <f>IF(Banco_Nacion[[#This Row],[tipo_registro]]="R",COUNTIFS($C$1:$C773,"R")+1,"")</f>
        <v>707</v>
      </c>
      <c r="B774" s="19" t="str">
        <f t="shared" si="97"/>
        <v>B-Banco de la Nacion</v>
      </c>
      <c r="C774" s="3" t="s">
        <v>1330</v>
      </c>
      <c r="D774" s="14">
        <v>45940</v>
      </c>
      <c r="E774" s="5">
        <v>20558698048</v>
      </c>
      <c r="F774" s="5" t="s">
        <v>1303</v>
      </c>
      <c r="G774" s="6"/>
      <c r="H774" s="6"/>
      <c r="I774" s="6" t="s">
        <v>3302</v>
      </c>
      <c r="J774" s="6">
        <v>143</v>
      </c>
      <c r="K774" s="7" t="s">
        <v>5233</v>
      </c>
      <c r="L774" s="8">
        <v>78788888</v>
      </c>
      <c r="M774" s="8" t="str">
        <f t="shared" si="98"/>
        <v>PEN</v>
      </c>
      <c r="N774" s="13"/>
      <c r="O774" s="13">
        <v>146</v>
      </c>
      <c r="P774" s="3">
        <f t="shared" si="99"/>
        <v>146</v>
      </c>
      <c r="Q774" s="3">
        <f t="shared" si="100"/>
        <v>0</v>
      </c>
      <c r="R774" s="3">
        <f t="shared" si="101"/>
        <v>31392.220000000008</v>
      </c>
      <c r="S774" s="24"/>
      <c r="T774" s="24"/>
      <c r="U774" s="3"/>
      <c r="V774" s="19" t="str">
        <f>IFERROR(VLOOKUP(Banco_Nacion[[#This Row],[responsable]],Clientes_Proveedores[[Ruc / Dni]:[Razon Social]],2,0),"")</f>
        <v xml:space="preserve">J&amp;R FAST CARGO E.I.R.L. </v>
      </c>
      <c r="W774" s="19" t="str">
        <f>IF(Banco_Nacion[[#This Row],[tipo_mov]]="INGRESO",Banco_Nacion[[#This Row],[serie]]&amp;Banco_Nacion[[#This Row],[numero]]&amp;Banco_Nacion[[#This Row],[responsable]]&amp;Banco_Nacion[[#This Row],[monto]],"")</f>
        <v>FF0214320558698048146</v>
      </c>
      <c r="X774" s="162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78788888</v>
      </c>
      <c r="Y774" s="3" t="str">
        <f>IFERROR(VLOOKUP(Banco_Nacion[[#This Row],[serie]]&amp;Banco_Nacion[[#This Row],[numero]]&amp;Banco_Nacion[[#This Row],[responsable]],[2]!Provision_CXC[[ID CXP]:[DETRACCION]],47,0),"")</f>
        <v/>
      </c>
      <c r="Z774" s="3"/>
      <c r="AA774" s="24" t="str">
        <f>IF(Banco_Nacion[[#This Row],[fecha]]&gt;0,TEXT(Banco_Nacion[[#This Row],[fecha]],"mmmm"),0)</f>
        <v>Octubre</v>
      </c>
    </row>
    <row r="775" spans="1:27" x14ac:dyDescent="0.3">
      <c r="A775" s="43">
        <f>IF(Banco_Nacion[[#This Row],[tipo_registro]]="R",COUNTIFS($C$1:$C774,"R")+1,"")</f>
        <v>708</v>
      </c>
      <c r="B775" s="19" t="str">
        <f t="shared" si="97"/>
        <v>B-Banco de la Nacion</v>
      </c>
      <c r="C775" s="3" t="s">
        <v>1330</v>
      </c>
      <c r="D775" s="14">
        <v>45943</v>
      </c>
      <c r="E775" s="5">
        <v>20100055237</v>
      </c>
      <c r="F775" s="5" t="s">
        <v>1303</v>
      </c>
      <c r="G775" s="6"/>
      <c r="H775" s="6"/>
      <c r="I775" s="6" t="s">
        <v>1784</v>
      </c>
      <c r="J775" s="6">
        <v>283</v>
      </c>
      <c r="K775" s="7" t="s">
        <v>5232</v>
      </c>
      <c r="L775" s="8">
        <v>92945689</v>
      </c>
      <c r="M775" s="8" t="str">
        <f t="shared" si="98"/>
        <v>PEN</v>
      </c>
      <c r="N775" s="13"/>
      <c r="O775" s="13">
        <v>187</v>
      </c>
      <c r="P775" s="3">
        <f t="shared" si="99"/>
        <v>187</v>
      </c>
      <c r="Q775" s="3">
        <f t="shared" si="100"/>
        <v>0</v>
      </c>
      <c r="R775" s="3">
        <f t="shared" si="101"/>
        <v>31579.220000000008</v>
      </c>
      <c r="S775" s="24"/>
      <c r="T775" s="24"/>
      <c r="U775" s="3"/>
      <c r="V775" s="19" t="str">
        <f>IFERROR(VLOOKUP(Banco_Nacion[[#This Row],[responsable]],Clientes_Proveedores[[Ruc / Dni]:[Razon Social]],2,0),"")</f>
        <v>ALICORP SAA</v>
      </c>
      <c r="W775" s="19" t="str">
        <f>IF(Banco_Nacion[[#This Row],[tipo_mov]]="INGRESO",Banco_Nacion[[#This Row],[serie]]&amp;Banco_Nacion[[#This Row],[numero]]&amp;Banco_Nacion[[#This Row],[responsable]]&amp;Banco_Nacion[[#This Row],[monto]],"")</f>
        <v>FF0128320100055237187</v>
      </c>
      <c r="X775" s="162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92945689</v>
      </c>
      <c r="Y775" s="3" t="str">
        <f>IFERROR(VLOOKUP(Banco_Nacion[[#This Row],[serie]]&amp;Banco_Nacion[[#This Row],[numero]]&amp;Banco_Nacion[[#This Row],[responsable]],[2]!Provision_CXC[[ID CXP]:[DETRACCION]],47,0),"")</f>
        <v/>
      </c>
      <c r="Z775" s="3"/>
      <c r="AA775" s="24" t="str">
        <f>IF(Banco_Nacion[[#This Row],[fecha]]&gt;0,TEXT(Banco_Nacion[[#This Row],[fecha]],"mmmm"),0)</f>
        <v>Octubre</v>
      </c>
    </row>
    <row r="776" spans="1:27" x14ac:dyDescent="0.3">
      <c r="A776" s="43">
        <f>IF(Banco_Nacion[[#This Row],[tipo_registro]]="R",COUNTIFS($C$1:$C775,"R")+1,"")</f>
        <v>709</v>
      </c>
      <c r="B776" s="19" t="str">
        <f t="shared" si="97"/>
        <v>B-Banco de la Nacion</v>
      </c>
      <c r="C776" s="3" t="s">
        <v>1330</v>
      </c>
      <c r="D776" s="14">
        <v>45943</v>
      </c>
      <c r="E776" s="5">
        <v>20141637941</v>
      </c>
      <c r="F776" s="5" t="s">
        <v>1303</v>
      </c>
      <c r="G776" s="6"/>
      <c r="H776" s="6"/>
      <c r="I776" s="6" t="s">
        <v>1784</v>
      </c>
      <c r="J776" s="6">
        <v>275</v>
      </c>
      <c r="K776" s="7" t="s">
        <v>5232</v>
      </c>
      <c r="L776" s="8">
        <v>92924404</v>
      </c>
      <c r="M776" s="8" t="str">
        <f t="shared" si="98"/>
        <v>PEN</v>
      </c>
      <c r="N776" s="13"/>
      <c r="O776" s="13">
        <v>259</v>
      </c>
      <c r="P776" s="3">
        <f t="shared" si="99"/>
        <v>259</v>
      </c>
      <c r="Q776" s="3">
        <f t="shared" si="100"/>
        <v>0</v>
      </c>
      <c r="R776" s="3">
        <f t="shared" si="101"/>
        <v>31838.220000000008</v>
      </c>
      <c r="S776" s="24"/>
      <c r="T776" s="24"/>
      <c r="U776" s="3"/>
      <c r="V776" s="19" t="str">
        <f>IFERROR(VLOOKUP(Banco_Nacion[[#This Row],[responsable]],Clientes_Proveedores[[Ruc / Dni]:[Razon Social]],2,0),"")</f>
        <v>UNIVERSIDAD CATOLICA DE SANTA MARIA</v>
      </c>
      <c r="W776" s="19" t="str">
        <f>IF(Banco_Nacion[[#This Row],[tipo_mov]]="INGRESO",Banco_Nacion[[#This Row],[serie]]&amp;Banco_Nacion[[#This Row],[numero]]&amp;Banco_Nacion[[#This Row],[responsable]]&amp;Banco_Nacion[[#This Row],[monto]],"")</f>
        <v>FF0127520141637941259</v>
      </c>
      <c r="X776" s="162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92924404</v>
      </c>
      <c r="Y776" s="3" t="str">
        <f>IFERROR(VLOOKUP(Banco_Nacion[[#This Row],[serie]]&amp;Banco_Nacion[[#This Row],[numero]]&amp;Banco_Nacion[[#This Row],[responsable]],[2]!Provision_CXC[[ID CXP]:[DETRACCION]],47,0),"")</f>
        <v/>
      </c>
      <c r="Z776" s="3"/>
      <c r="AA776" s="24" t="str">
        <f>IF(Banco_Nacion[[#This Row],[fecha]]&gt;0,TEXT(Banco_Nacion[[#This Row],[fecha]],"mmmm"),0)</f>
        <v>Octubre</v>
      </c>
    </row>
    <row r="777" spans="1:27" x14ac:dyDescent="0.3">
      <c r="A777" s="43">
        <f>IF(Banco_Nacion[[#This Row],[tipo_registro]]="R",COUNTIFS($C$1:$C776,"R")+1,"")</f>
        <v>710</v>
      </c>
      <c r="B777" s="19" t="str">
        <f t="shared" ref="B777:B787" si="102">"B-Banco de la Nacion"</f>
        <v>B-Banco de la Nacion</v>
      </c>
      <c r="C777" s="3" t="s">
        <v>1330</v>
      </c>
      <c r="D777" s="14">
        <v>45946</v>
      </c>
      <c r="E777" s="5">
        <v>20100055237</v>
      </c>
      <c r="F777" s="5" t="s">
        <v>1303</v>
      </c>
      <c r="G777" s="6"/>
      <c r="H777" s="6"/>
      <c r="I777" s="6" t="s">
        <v>1784</v>
      </c>
      <c r="J777" s="6">
        <v>286</v>
      </c>
      <c r="K777" s="7" t="s">
        <v>5232</v>
      </c>
      <c r="L777" s="8">
        <v>93205075</v>
      </c>
      <c r="M777" s="8" t="str">
        <f t="shared" ref="M777:M787" si="103">"PEN"</f>
        <v>PEN</v>
      </c>
      <c r="N777" s="13"/>
      <c r="O777" s="13">
        <v>127</v>
      </c>
      <c r="P777" s="3">
        <f t="shared" ref="P777:P787" si="104">+IF(OR($F777="SALDO",$F777="INGRESO"),$O777,0)</f>
        <v>127</v>
      </c>
      <c r="Q777" s="3">
        <f t="shared" ref="Q777:Q787" si="105">+IF($F777="EGRESO",$O777,0)</f>
        <v>0</v>
      </c>
      <c r="R777" s="3">
        <f t="shared" ref="R777:R787" si="106">IFERROR(IF(F777="SALDO",P777,R776+P777-Q777),0)</f>
        <v>31965.220000000008</v>
      </c>
      <c r="S777" s="24"/>
      <c r="T777" s="24"/>
      <c r="U777" s="3"/>
      <c r="V777" s="19" t="str">
        <f>IFERROR(VLOOKUP(Banco_Nacion[[#This Row],[responsable]],Clientes_Proveedores[[Ruc / Dni]:[Razon Social]],2,0),"")</f>
        <v>ALICORP SAA</v>
      </c>
      <c r="W777" s="19" t="str">
        <f>IF(Banco_Nacion[[#This Row],[tipo_mov]]="INGRESO",Banco_Nacion[[#This Row],[serie]]&amp;Banco_Nacion[[#This Row],[numero]]&amp;Banco_Nacion[[#This Row],[responsable]]&amp;Banco_Nacion[[#This Row],[monto]],"")</f>
        <v>FF0128620100055237127</v>
      </c>
      <c r="X777" s="162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93205075</v>
      </c>
      <c r="Y777" s="3" t="str">
        <f>IFERROR(VLOOKUP(Banco_Nacion[[#This Row],[serie]]&amp;Banco_Nacion[[#This Row],[numero]]&amp;Banco_Nacion[[#This Row],[responsable]],[2]!Provision_CXC[[ID CXP]:[DETRACCION]],47,0),"")</f>
        <v/>
      </c>
      <c r="Z777" s="3"/>
      <c r="AA777" s="24" t="str">
        <f>IF(Banco_Nacion[[#This Row],[fecha]]&gt;0,TEXT(Banco_Nacion[[#This Row],[fecha]],"mmmm"),0)</f>
        <v>Octubre</v>
      </c>
    </row>
    <row r="778" spans="1:27" x14ac:dyDescent="0.3">
      <c r="A778" s="43">
        <f>IF(Banco_Nacion[[#This Row],[tipo_registro]]="R",COUNTIFS($C$1:$C777,"R")+1,"")</f>
        <v>711</v>
      </c>
      <c r="B778" s="19" t="str">
        <f t="shared" si="102"/>
        <v>B-Banco de la Nacion</v>
      </c>
      <c r="C778" s="3" t="s">
        <v>1330</v>
      </c>
      <c r="D778" s="14">
        <v>45948</v>
      </c>
      <c r="E778" s="5">
        <v>20601119600</v>
      </c>
      <c r="F778" s="5" t="s">
        <v>1303</v>
      </c>
      <c r="G778" s="6"/>
      <c r="H778" s="6"/>
      <c r="I778" s="6" t="s">
        <v>3381</v>
      </c>
      <c r="J778" s="6">
        <v>76</v>
      </c>
      <c r="K778" s="7" t="s">
        <v>5232</v>
      </c>
      <c r="L778" s="8">
        <v>28603003</v>
      </c>
      <c r="M778" s="8" t="str">
        <f t="shared" si="103"/>
        <v>PEN</v>
      </c>
      <c r="N778" s="13"/>
      <c r="O778" s="13">
        <v>154</v>
      </c>
      <c r="P778" s="3">
        <f t="shared" si="104"/>
        <v>154</v>
      </c>
      <c r="Q778" s="3">
        <f t="shared" si="105"/>
        <v>0</v>
      </c>
      <c r="R778" s="3">
        <f t="shared" si="106"/>
        <v>32119.220000000008</v>
      </c>
      <c r="S778" s="24"/>
      <c r="T778" s="24"/>
      <c r="U778" s="3"/>
      <c r="V778" s="19" t="str">
        <f>IFERROR(VLOOKUP(Banco_Nacion[[#This Row],[responsable]],Clientes_Proveedores[[Ruc / Dni]:[Razon Social]],2,0),"")</f>
        <v>INVERSIONES W.J.M. S.A.C.</v>
      </c>
      <c r="W778" s="19" t="str">
        <f>IF(Banco_Nacion[[#This Row],[tipo_mov]]="INGRESO",Banco_Nacion[[#This Row],[serie]]&amp;Banco_Nacion[[#This Row],[numero]]&amp;Banco_Nacion[[#This Row],[responsable]]&amp;Banco_Nacion[[#This Row],[monto]],"")</f>
        <v>FF057620601119600154</v>
      </c>
      <c r="X778" s="162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28603003</v>
      </c>
      <c r="Y778" s="3" t="str">
        <f>IFERROR(VLOOKUP(Banco_Nacion[[#This Row],[serie]]&amp;Banco_Nacion[[#This Row],[numero]]&amp;Banco_Nacion[[#This Row],[responsable]],[2]!Provision_CXC[[ID CXP]:[DETRACCION]],47,0),"")</f>
        <v/>
      </c>
      <c r="Z778" s="3"/>
      <c r="AA778" s="24" t="str">
        <f>IF(Banco_Nacion[[#This Row],[fecha]]&gt;0,TEXT(Banco_Nacion[[#This Row],[fecha]],"mmmm"),0)</f>
        <v>Octubre</v>
      </c>
    </row>
    <row r="779" spans="1:27" x14ac:dyDescent="0.3">
      <c r="A779" s="43">
        <f>IF(Banco_Nacion[[#This Row],[tipo_registro]]="R",COUNTIFS($C$1:$C778,"R")+1,"")</f>
        <v>712</v>
      </c>
      <c r="B779" s="19" t="str">
        <f t="shared" si="102"/>
        <v>B-Banco de la Nacion</v>
      </c>
      <c r="C779" s="3" t="s">
        <v>1330</v>
      </c>
      <c r="D779" s="14">
        <v>45950</v>
      </c>
      <c r="E779" s="5">
        <v>20514133931</v>
      </c>
      <c r="F779" s="5" t="s">
        <v>1303</v>
      </c>
      <c r="G779" s="6"/>
      <c r="H779" s="6"/>
      <c r="I779" s="6" t="s">
        <v>3302</v>
      </c>
      <c r="J779" s="6">
        <v>111</v>
      </c>
      <c r="K779" s="7" t="s">
        <v>5232</v>
      </c>
      <c r="L779" s="8">
        <v>93566209</v>
      </c>
      <c r="M779" s="8" t="str">
        <f t="shared" si="103"/>
        <v>PEN</v>
      </c>
      <c r="N779" s="13"/>
      <c r="O779" s="13">
        <v>277</v>
      </c>
      <c r="P779" s="3">
        <f t="shared" si="104"/>
        <v>277</v>
      </c>
      <c r="Q779" s="3">
        <f t="shared" si="105"/>
        <v>0</v>
      </c>
      <c r="R779" s="3">
        <f t="shared" si="106"/>
        <v>32396.220000000008</v>
      </c>
      <c r="S779" s="24"/>
      <c r="T779" s="24"/>
      <c r="U779" s="3"/>
      <c r="V779" s="19" t="str">
        <f>IFERROR(VLOOKUP(Banco_Nacion[[#This Row],[responsable]],Clientes_Proveedores[[Ruc / Dni]:[Razon Social]],2,0),"")</f>
        <v>CORPORACION MEDIOAMBIENTAL AMPCO PERU SOCIEDAD ANONIMA CERRADA
- CM AMPCO PERU S.A.C</v>
      </c>
      <c r="W779" s="19" t="str">
        <f>IF(Banco_Nacion[[#This Row],[tipo_mov]]="INGRESO",Banco_Nacion[[#This Row],[serie]]&amp;Banco_Nacion[[#This Row],[numero]]&amp;Banco_Nacion[[#This Row],[responsable]]&amp;Banco_Nacion[[#This Row],[monto]],"")</f>
        <v>FF0211120514133931277</v>
      </c>
      <c r="X779" s="162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93566209</v>
      </c>
      <c r="Y779" s="3" t="str">
        <f>IFERROR(VLOOKUP(Banco_Nacion[[#This Row],[serie]]&amp;Banco_Nacion[[#This Row],[numero]]&amp;Banco_Nacion[[#This Row],[responsable]],[2]!Provision_CXC[[ID CXP]:[DETRACCION]],47,0),"")</f>
        <v/>
      </c>
      <c r="Z779" s="3"/>
      <c r="AA779" s="24" t="str">
        <f>IF(Banco_Nacion[[#This Row],[fecha]]&gt;0,TEXT(Banco_Nacion[[#This Row],[fecha]],"mmmm"),0)</f>
        <v>Octubre</v>
      </c>
    </row>
    <row r="780" spans="1:27" x14ac:dyDescent="0.3">
      <c r="A780" s="43">
        <f>IF(Banco_Nacion[[#This Row],[tipo_registro]]="R",COUNTIFS($C$1:$C779,"R")+1,"")</f>
        <v>713</v>
      </c>
      <c r="B780" s="19" t="str">
        <f t="shared" si="102"/>
        <v>B-Banco de la Nacion</v>
      </c>
      <c r="C780" s="3" t="s">
        <v>1330</v>
      </c>
      <c r="D780" s="14">
        <v>45950</v>
      </c>
      <c r="E780" s="5">
        <v>20454186002</v>
      </c>
      <c r="F780" s="5" t="s">
        <v>1303</v>
      </c>
      <c r="G780" s="6"/>
      <c r="H780" s="6"/>
      <c r="I780" s="6" t="s">
        <v>1784</v>
      </c>
      <c r="J780" s="6">
        <v>289</v>
      </c>
      <c r="K780" s="7" t="s">
        <v>5232</v>
      </c>
      <c r="L780" s="8">
        <v>93562800</v>
      </c>
      <c r="M780" s="8" t="str">
        <f t="shared" si="103"/>
        <v>PEN</v>
      </c>
      <c r="N780" s="13"/>
      <c r="O780" s="13">
        <v>257</v>
      </c>
      <c r="P780" s="3">
        <f t="shared" si="104"/>
        <v>257</v>
      </c>
      <c r="Q780" s="3">
        <f t="shared" si="105"/>
        <v>0</v>
      </c>
      <c r="R780" s="3">
        <f t="shared" si="106"/>
        <v>32653.220000000008</v>
      </c>
      <c r="S780" s="24"/>
      <c r="T780" s="24"/>
      <c r="U780" s="3"/>
      <c r="V780" s="19" t="str">
        <f>IFERROR(VLOOKUP(Banco_Nacion[[#This Row],[responsable]],Clientes_Proveedores[[Ruc / Dni]:[Razon Social]],2,0),"")</f>
        <v>ALSUR PERU S.A.C.</v>
      </c>
      <c r="W780" s="19" t="str">
        <f>IF(Banco_Nacion[[#This Row],[tipo_mov]]="INGRESO",Banco_Nacion[[#This Row],[serie]]&amp;Banco_Nacion[[#This Row],[numero]]&amp;Banco_Nacion[[#This Row],[responsable]]&amp;Banco_Nacion[[#This Row],[monto]],"")</f>
        <v>FF0128920454186002257</v>
      </c>
      <c r="X780" s="162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93562800</v>
      </c>
      <c r="Y780" s="3" t="str">
        <f>IFERROR(VLOOKUP(Banco_Nacion[[#This Row],[serie]]&amp;Banco_Nacion[[#This Row],[numero]]&amp;Banco_Nacion[[#This Row],[responsable]],[2]!Provision_CXC[[ID CXP]:[DETRACCION]],47,0),"")</f>
        <v/>
      </c>
      <c r="Z780" s="3"/>
      <c r="AA780" s="24" t="str">
        <f>IF(Banco_Nacion[[#This Row],[fecha]]&gt;0,TEXT(Banco_Nacion[[#This Row],[fecha]],"mmmm"),0)</f>
        <v>Octubre</v>
      </c>
    </row>
    <row r="781" spans="1:27" x14ac:dyDescent="0.3">
      <c r="A781" s="43">
        <f>IF(Banco_Nacion[[#This Row],[tipo_registro]]="R",COUNTIFS($C$1:$C780,"R")+1,"")</f>
        <v>714</v>
      </c>
      <c r="B781" s="19" t="str">
        <f t="shared" si="102"/>
        <v>B-Banco de la Nacion</v>
      </c>
      <c r="C781" s="3" t="s">
        <v>1330</v>
      </c>
      <c r="D781" s="14">
        <v>45952</v>
      </c>
      <c r="E781" s="5">
        <v>20402885549</v>
      </c>
      <c r="F781" s="5" t="s">
        <v>1303</v>
      </c>
      <c r="G781" s="6"/>
      <c r="H781" s="6"/>
      <c r="I781" s="6" t="s">
        <v>3302</v>
      </c>
      <c r="J781" s="6">
        <v>154</v>
      </c>
      <c r="K781" s="7" t="s">
        <v>5232</v>
      </c>
      <c r="L781" s="8">
        <v>93673747</v>
      </c>
      <c r="M781" s="8" t="str">
        <f t="shared" si="103"/>
        <v>PEN</v>
      </c>
      <c r="N781" s="13"/>
      <c r="O781" s="13">
        <v>3928</v>
      </c>
      <c r="P781" s="3">
        <f t="shared" si="104"/>
        <v>3928</v>
      </c>
      <c r="Q781" s="3">
        <f t="shared" si="105"/>
        <v>0</v>
      </c>
      <c r="R781" s="3">
        <f t="shared" si="106"/>
        <v>36581.220000000008</v>
      </c>
      <c r="S781" s="24"/>
      <c r="T781" s="24"/>
      <c r="U781" s="3"/>
      <c r="V781" s="19" t="str">
        <f>IFERROR(VLOOKUP(Banco_Nacion[[#This Row],[responsable]],Clientes_Proveedores[[Ruc / Dni]:[Razon Social]],2,0),"")</f>
        <v>EMPRESA SIDERURGICA DEL PERU S.A.A.</v>
      </c>
      <c r="W781" s="19" t="str">
        <f>IF(Banco_Nacion[[#This Row],[tipo_mov]]="INGRESO",Banco_Nacion[[#This Row],[serie]]&amp;Banco_Nacion[[#This Row],[numero]]&amp;Banco_Nacion[[#This Row],[responsable]]&amp;Banco_Nacion[[#This Row],[monto]],"")</f>
        <v>FF02154204028855493928</v>
      </c>
      <c r="X781" s="162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93673747</v>
      </c>
      <c r="Y781" s="3" t="str">
        <f>IFERROR(VLOOKUP(Banco_Nacion[[#This Row],[serie]]&amp;Banco_Nacion[[#This Row],[numero]]&amp;Banco_Nacion[[#This Row],[responsable]],[2]!Provision_CXC[[ID CXP]:[DETRACCION]],47,0),"")</f>
        <v/>
      </c>
      <c r="Z781" s="3"/>
      <c r="AA781" s="24" t="str">
        <f>IF(Banco_Nacion[[#This Row],[fecha]]&gt;0,TEXT(Banco_Nacion[[#This Row],[fecha]],"mmmm"),0)</f>
        <v>Octubre</v>
      </c>
    </row>
    <row r="782" spans="1:27" x14ac:dyDescent="0.3">
      <c r="A782" s="43">
        <f>IF(Banco_Nacion[[#This Row],[tipo_registro]]="R",COUNTIFS($C$1:$C781,"R")+1,"")</f>
        <v>715</v>
      </c>
      <c r="B782" s="19" t="str">
        <f t="shared" si="102"/>
        <v>B-Banco de la Nacion</v>
      </c>
      <c r="C782" s="3" t="s">
        <v>1330</v>
      </c>
      <c r="D782" s="14">
        <v>45952</v>
      </c>
      <c r="E782" s="5">
        <v>20505675836</v>
      </c>
      <c r="F782" s="5" t="s">
        <v>1303</v>
      </c>
      <c r="G782" s="6"/>
      <c r="H782" s="6"/>
      <c r="I782" s="6" t="s">
        <v>1784</v>
      </c>
      <c r="J782" s="6">
        <v>280</v>
      </c>
      <c r="K782" s="7" t="s">
        <v>5232</v>
      </c>
      <c r="L782" s="8">
        <v>93672593</v>
      </c>
      <c r="M782" s="8" t="str">
        <f t="shared" si="103"/>
        <v>PEN</v>
      </c>
      <c r="N782" s="13"/>
      <c r="O782" s="13">
        <v>112</v>
      </c>
      <c r="P782" s="3">
        <f t="shared" si="104"/>
        <v>112</v>
      </c>
      <c r="Q782" s="3">
        <f t="shared" si="105"/>
        <v>0</v>
      </c>
      <c r="R782" s="3">
        <f t="shared" si="106"/>
        <v>36693.220000000008</v>
      </c>
      <c r="S782" s="24"/>
      <c r="T782" s="24"/>
      <c r="U782" s="3"/>
      <c r="V782" s="19" t="str">
        <f>IFERROR(VLOOKUP(Banco_Nacion[[#This Row],[responsable]],Clientes_Proveedores[[Ruc / Dni]:[Razon Social]],2,0),"")</f>
        <v>FLSMIDTH S.A.C.</v>
      </c>
      <c r="W782" s="19" t="str">
        <f>IF(Banco_Nacion[[#This Row],[tipo_mov]]="INGRESO",Banco_Nacion[[#This Row],[serie]]&amp;Banco_Nacion[[#This Row],[numero]]&amp;Banco_Nacion[[#This Row],[responsable]]&amp;Banco_Nacion[[#This Row],[monto]],"")</f>
        <v>FF0128020505675836112</v>
      </c>
      <c r="X782" s="162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93672593</v>
      </c>
      <c r="Y782" s="3" t="str">
        <f>IFERROR(VLOOKUP(Banco_Nacion[[#This Row],[serie]]&amp;Banco_Nacion[[#This Row],[numero]]&amp;Banco_Nacion[[#This Row],[responsable]],[2]!Provision_CXC[[ID CXP]:[DETRACCION]],47,0),"")</f>
        <v/>
      </c>
      <c r="Z782" s="3"/>
      <c r="AA782" s="24" t="str">
        <f>IF(Banco_Nacion[[#This Row],[fecha]]&gt;0,TEXT(Banco_Nacion[[#This Row],[fecha]],"mmmm"),0)</f>
        <v>Octubre</v>
      </c>
    </row>
    <row r="783" spans="1:27" x14ac:dyDescent="0.3">
      <c r="A783" s="43">
        <f>IF(Banco_Nacion[[#This Row],[tipo_registro]]="R",COUNTIFS($C$1:$C782,"R")+1,"")</f>
        <v>716</v>
      </c>
      <c r="B783" s="19" t="str">
        <f t="shared" si="102"/>
        <v>B-Banco de la Nacion</v>
      </c>
      <c r="C783" s="3" t="s">
        <v>1330</v>
      </c>
      <c r="D783" s="14">
        <v>45953</v>
      </c>
      <c r="E783" s="5">
        <v>20607388416</v>
      </c>
      <c r="F783" s="5" t="s">
        <v>1303</v>
      </c>
      <c r="G783" s="6"/>
      <c r="H783" s="6"/>
      <c r="I783" s="6" t="s">
        <v>3381</v>
      </c>
      <c r="J783" s="6">
        <v>72</v>
      </c>
      <c r="K783" s="7" t="s">
        <v>5232</v>
      </c>
      <c r="L783" s="8">
        <v>93737885</v>
      </c>
      <c r="M783" s="8" t="str">
        <f t="shared" si="103"/>
        <v>PEN</v>
      </c>
      <c r="N783" s="13"/>
      <c r="O783" s="13">
        <v>309</v>
      </c>
      <c r="P783" s="3">
        <f t="shared" si="104"/>
        <v>309</v>
      </c>
      <c r="Q783" s="3">
        <f t="shared" si="105"/>
        <v>0</v>
      </c>
      <c r="R783" s="3">
        <f t="shared" si="106"/>
        <v>37002.220000000008</v>
      </c>
      <c r="S783" s="24"/>
      <c r="T783" s="24"/>
      <c r="U783" s="3"/>
      <c r="V783" s="19" t="str">
        <f>IFERROR(VLOOKUP(Banco_Nacion[[#This Row],[responsable]],Clientes_Proveedores[[Ruc / Dni]:[Razon Social]],2,0),"")</f>
        <v>ALEACIONES FERROSAS Y METALICAS S.A.C.</v>
      </c>
      <c r="W783" s="19" t="str">
        <f>IF(Banco_Nacion[[#This Row],[tipo_mov]]="INGRESO",Banco_Nacion[[#This Row],[serie]]&amp;Banco_Nacion[[#This Row],[numero]]&amp;Banco_Nacion[[#This Row],[responsable]]&amp;Banco_Nacion[[#This Row],[monto]],"")</f>
        <v>FF057220607388416309</v>
      </c>
      <c r="X783" s="162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93737885</v>
      </c>
      <c r="Y783" s="3" t="str">
        <f>IFERROR(VLOOKUP(Banco_Nacion[[#This Row],[serie]]&amp;Banco_Nacion[[#This Row],[numero]]&amp;Banco_Nacion[[#This Row],[responsable]],[2]!Provision_CXC[[ID CXP]:[DETRACCION]],47,0),"")</f>
        <v/>
      </c>
      <c r="Z783" s="3"/>
      <c r="AA783" s="24" t="str">
        <f>IF(Banco_Nacion[[#This Row],[fecha]]&gt;0,TEXT(Banco_Nacion[[#This Row],[fecha]],"mmmm"),0)</f>
        <v>Octubre</v>
      </c>
    </row>
    <row r="784" spans="1:27" x14ac:dyDescent="0.3">
      <c r="A784" s="43">
        <f>IF(Banco_Nacion[[#This Row],[tipo_registro]]="R",COUNTIFS($C$1:$C783,"R")+1,"")</f>
        <v>717</v>
      </c>
      <c r="B784" s="19" t="str">
        <f t="shared" si="102"/>
        <v>B-Banco de la Nacion</v>
      </c>
      <c r="C784" s="3" t="s">
        <v>1330</v>
      </c>
      <c r="D784" s="14">
        <v>45953</v>
      </c>
      <c r="E784" s="5">
        <v>20607388416</v>
      </c>
      <c r="F784" s="5" t="s">
        <v>1303</v>
      </c>
      <c r="G784" s="6"/>
      <c r="H784" s="6"/>
      <c r="I784" s="6" t="s">
        <v>3381</v>
      </c>
      <c r="J784" s="6">
        <v>71</v>
      </c>
      <c r="K784" s="7" t="s">
        <v>5232</v>
      </c>
      <c r="L784" s="8">
        <v>93737884</v>
      </c>
      <c r="M784" s="8" t="str">
        <f t="shared" si="103"/>
        <v>PEN</v>
      </c>
      <c r="N784" s="13"/>
      <c r="O784" s="13">
        <v>97</v>
      </c>
      <c r="P784" s="3">
        <f t="shared" si="104"/>
        <v>97</v>
      </c>
      <c r="Q784" s="3">
        <f t="shared" si="105"/>
        <v>0</v>
      </c>
      <c r="R784" s="3">
        <f t="shared" si="106"/>
        <v>37099.220000000008</v>
      </c>
      <c r="S784" s="24"/>
      <c r="T784" s="24"/>
      <c r="U784" s="3"/>
      <c r="V784" s="19" t="str">
        <f>IFERROR(VLOOKUP(Banco_Nacion[[#This Row],[responsable]],Clientes_Proveedores[[Ruc / Dni]:[Razon Social]],2,0),"")</f>
        <v>ALEACIONES FERROSAS Y METALICAS S.A.C.</v>
      </c>
      <c r="W784" s="19" t="str">
        <f>IF(Banco_Nacion[[#This Row],[tipo_mov]]="INGRESO",Banco_Nacion[[#This Row],[serie]]&amp;Banco_Nacion[[#This Row],[numero]]&amp;Banco_Nacion[[#This Row],[responsable]]&amp;Banco_Nacion[[#This Row],[monto]],"")</f>
        <v>FF05712060738841697</v>
      </c>
      <c r="X784" s="162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93737884</v>
      </c>
      <c r="Y784" s="3" t="str">
        <f>IFERROR(VLOOKUP(Banco_Nacion[[#This Row],[serie]]&amp;Banco_Nacion[[#This Row],[numero]]&amp;Banco_Nacion[[#This Row],[responsable]],[2]!Provision_CXC[[ID CXP]:[DETRACCION]],47,0),"")</f>
        <v/>
      </c>
      <c r="Z784" s="3"/>
      <c r="AA784" s="24" t="str">
        <f>IF(Banco_Nacion[[#This Row],[fecha]]&gt;0,TEXT(Banco_Nacion[[#This Row],[fecha]],"mmmm"),0)</f>
        <v>Octubre</v>
      </c>
    </row>
    <row r="785" spans="1:27" x14ac:dyDescent="0.3">
      <c r="A785" s="43">
        <f>IF(Banco_Nacion[[#This Row],[tipo_registro]]="R",COUNTIFS($C$1:$C784,"R")+1,"")</f>
        <v>718</v>
      </c>
      <c r="B785" s="19" t="str">
        <f t="shared" si="102"/>
        <v>B-Banco de la Nacion</v>
      </c>
      <c r="C785" s="3" t="s">
        <v>1330</v>
      </c>
      <c r="D785" s="14">
        <v>45953</v>
      </c>
      <c r="E785" s="5">
        <v>20607388416</v>
      </c>
      <c r="F785" s="5" t="s">
        <v>1303</v>
      </c>
      <c r="G785" s="6"/>
      <c r="H785" s="6"/>
      <c r="I785" s="6" t="s">
        <v>3381</v>
      </c>
      <c r="J785" s="6">
        <v>70</v>
      </c>
      <c r="K785" s="7" t="s">
        <v>5232</v>
      </c>
      <c r="L785" s="8">
        <v>93737883</v>
      </c>
      <c r="M785" s="8" t="str">
        <f t="shared" si="103"/>
        <v>PEN</v>
      </c>
      <c r="N785" s="13"/>
      <c r="O785" s="13">
        <v>116</v>
      </c>
      <c r="P785" s="3">
        <f t="shared" si="104"/>
        <v>116</v>
      </c>
      <c r="Q785" s="3">
        <f t="shared" si="105"/>
        <v>0</v>
      </c>
      <c r="R785" s="3">
        <f t="shared" si="106"/>
        <v>37215.220000000008</v>
      </c>
      <c r="S785" s="24"/>
      <c r="T785" s="24"/>
      <c r="U785" s="3"/>
      <c r="V785" s="19" t="str">
        <f>IFERROR(VLOOKUP(Banco_Nacion[[#This Row],[responsable]],Clientes_Proveedores[[Ruc / Dni]:[Razon Social]],2,0),"")</f>
        <v>ALEACIONES FERROSAS Y METALICAS S.A.C.</v>
      </c>
      <c r="W785" s="19" t="str">
        <f>IF(Banco_Nacion[[#This Row],[tipo_mov]]="INGRESO",Banco_Nacion[[#This Row],[serie]]&amp;Banco_Nacion[[#This Row],[numero]]&amp;Banco_Nacion[[#This Row],[responsable]]&amp;Banco_Nacion[[#This Row],[monto]],"")</f>
        <v>FF057020607388416116</v>
      </c>
      <c r="X785" s="162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93737883</v>
      </c>
      <c r="Y785" s="3" t="str">
        <f>IFERROR(VLOOKUP(Banco_Nacion[[#This Row],[serie]]&amp;Banco_Nacion[[#This Row],[numero]]&amp;Banco_Nacion[[#This Row],[responsable]],[2]!Provision_CXC[[ID CXP]:[DETRACCION]],47,0),"")</f>
        <v/>
      </c>
      <c r="Z785" s="3"/>
      <c r="AA785" s="24" t="str">
        <f>IF(Banco_Nacion[[#This Row],[fecha]]&gt;0,TEXT(Banco_Nacion[[#This Row],[fecha]],"mmmm"),0)</f>
        <v>Octubre</v>
      </c>
    </row>
    <row r="786" spans="1:27" x14ac:dyDescent="0.3">
      <c r="A786" s="2">
        <f>IF(Banco_Nacion[[#This Row],[tipo_registro]]="R",COUNTIFS($C$1:$C785,"R")+1,"")</f>
        <v>719</v>
      </c>
      <c r="B786" s="19" t="str">
        <f t="shared" si="102"/>
        <v>B-Banco de la Nacion</v>
      </c>
      <c r="C786" s="3" t="s">
        <v>1330</v>
      </c>
      <c r="D786" s="14">
        <v>45953</v>
      </c>
      <c r="E786" s="5"/>
      <c r="F786" s="5" t="s">
        <v>1336</v>
      </c>
      <c r="G786" s="6"/>
      <c r="H786" s="6"/>
      <c r="I786" s="6"/>
      <c r="J786" s="6"/>
      <c r="K786" s="7" t="s">
        <v>5234</v>
      </c>
      <c r="L786" s="8">
        <v>78787878</v>
      </c>
      <c r="M786" s="8" t="str">
        <f t="shared" si="103"/>
        <v>PEN</v>
      </c>
      <c r="N786" s="13"/>
      <c r="O786" s="13">
        <v>11400</v>
      </c>
      <c r="P786" s="3">
        <f t="shared" si="104"/>
        <v>0</v>
      </c>
      <c r="Q786" s="3">
        <f t="shared" si="105"/>
        <v>11400</v>
      </c>
      <c r="R786" s="3">
        <f t="shared" si="106"/>
        <v>25815.220000000008</v>
      </c>
      <c r="S786" s="24"/>
      <c r="T786" s="24"/>
      <c r="U786" s="3"/>
      <c r="V786" s="19" t="str">
        <f>IFERROR(VLOOKUP(Banco_Nacion[[#This Row],[responsable]],Clientes_Proveedores[[Ruc / Dni]:[Razon Social]],2,0),"")</f>
        <v/>
      </c>
      <c r="W786" s="19" t="str">
        <f>IF(Banco_Nacion[[#This Row],[tipo_mov]]="INGRESO",Banco_Nacion[[#This Row],[serie]]&amp;Banco_Nacion[[#This Row],[numero]]&amp;Banco_Nacion[[#This Row],[responsable]]&amp;Banco_Nacion[[#This Row],[monto]],"")</f>
        <v/>
      </c>
      <c r="X786" s="162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/>
      </c>
      <c r="Y786" s="3" t="str">
        <f>IFERROR(VLOOKUP(Banco_Nacion[[#This Row],[serie]]&amp;Banco_Nacion[[#This Row],[numero]]&amp;Banco_Nacion[[#This Row],[responsable]],[2]!Provision_CXC[[ID CXP]:[DETRACCION]],47,0),"")</f>
        <v/>
      </c>
      <c r="Z786" s="3"/>
      <c r="AA786" s="24" t="str">
        <f>IF(Banco_Nacion[[#This Row],[fecha]]&gt;0,TEXT(Banco_Nacion[[#This Row],[fecha]],"mmmm"),0)</f>
        <v>Octubre</v>
      </c>
    </row>
    <row r="787" spans="1:27" x14ac:dyDescent="0.3">
      <c r="A787" s="2">
        <f>IF(Banco_Nacion[[#This Row],[tipo_registro]]="R",COUNTIFS($C$1:$C786,"R")+1,"")</f>
        <v>720</v>
      </c>
      <c r="B787" s="19" t="str">
        <f t="shared" si="102"/>
        <v>B-Banco de la Nacion</v>
      </c>
      <c r="C787" s="3" t="s">
        <v>1330</v>
      </c>
      <c r="D787" s="14">
        <v>45953</v>
      </c>
      <c r="E787" s="5"/>
      <c r="F787" s="5" t="s">
        <v>1336</v>
      </c>
      <c r="G787" s="6"/>
      <c r="H787" s="6"/>
      <c r="I787" s="6"/>
      <c r="J787" s="6"/>
      <c r="K787" s="7" t="s">
        <v>5234</v>
      </c>
      <c r="L787" s="8">
        <v>78787878</v>
      </c>
      <c r="M787" s="8" t="str">
        <f t="shared" si="103"/>
        <v>PEN</v>
      </c>
      <c r="N787" s="13"/>
      <c r="O787" s="13">
        <v>3710</v>
      </c>
      <c r="P787" s="3">
        <f t="shared" si="104"/>
        <v>0</v>
      </c>
      <c r="Q787" s="3">
        <f t="shared" si="105"/>
        <v>3710</v>
      </c>
      <c r="R787" s="3">
        <f t="shared" si="106"/>
        <v>22105.220000000008</v>
      </c>
      <c r="S787" s="24"/>
      <c r="T787" s="24"/>
      <c r="U787" s="3"/>
      <c r="V787" s="19" t="str">
        <f>IFERROR(VLOOKUP(Banco_Nacion[[#This Row],[responsable]],Clientes_Proveedores[[Ruc / Dni]:[Razon Social]],2,0),"")</f>
        <v/>
      </c>
      <c r="W787" s="19" t="str">
        <f>IF(Banco_Nacion[[#This Row],[tipo_mov]]="INGRESO",Banco_Nacion[[#This Row],[serie]]&amp;Banco_Nacion[[#This Row],[numero]]&amp;Banco_Nacion[[#This Row],[responsable]]&amp;Banco_Nacion[[#This Row],[monto]],"")</f>
        <v/>
      </c>
      <c r="X787" s="162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/>
      </c>
      <c r="Y787" s="3" t="str">
        <f>IFERROR(VLOOKUP(Banco_Nacion[[#This Row],[serie]]&amp;Banco_Nacion[[#This Row],[numero]]&amp;Banco_Nacion[[#This Row],[responsable]],[2]!Provision_CXC[[ID CXP]:[DETRACCION]],47,0),"")</f>
        <v/>
      </c>
      <c r="Z787" s="3"/>
      <c r="AA787" s="24" t="str">
        <f>IF(Banco_Nacion[[#This Row],[fecha]]&gt;0,TEXT(Banco_Nacion[[#This Row],[fecha]],"mmmm"),0)</f>
        <v>Octubre</v>
      </c>
    </row>
    <row r="788" spans="1:27" x14ac:dyDescent="0.3">
      <c r="A788" s="43">
        <f>IF(Banco_Nacion[[#This Row],[tipo_registro]]="R",COUNTIFS($C$1:$C787,"R")+1,"")</f>
        <v>721</v>
      </c>
      <c r="B788" s="19" t="str">
        <f t="shared" ref="B788:B794" si="107">"B-Banco de la Nacion"</f>
        <v>B-Banco de la Nacion</v>
      </c>
      <c r="C788" s="3" t="s">
        <v>1330</v>
      </c>
      <c r="D788" s="14">
        <v>45954</v>
      </c>
      <c r="E788" s="5">
        <v>20607388416</v>
      </c>
      <c r="F788" s="5" t="s">
        <v>1303</v>
      </c>
      <c r="G788" s="6"/>
      <c r="H788" s="6"/>
      <c r="I788" s="6" t="s">
        <v>3381</v>
      </c>
      <c r="J788" s="6">
        <v>77</v>
      </c>
      <c r="K788" s="7"/>
      <c r="L788" s="8">
        <v>93868008</v>
      </c>
      <c r="M788" s="8" t="str">
        <f t="shared" ref="M788:M794" si="108">"PEN"</f>
        <v>PEN</v>
      </c>
      <c r="N788" s="13"/>
      <c r="O788" s="13">
        <v>147</v>
      </c>
      <c r="P788" s="3">
        <f t="shared" ref="P788:P794" si="109">+IF(OR($F788="SALDO",$F788="INGRESO"),$O788,0)</f>
        <v>147</v>
      </c>
      <c r="Q788" s="3">
        <f t="shared" ref="Q788:Q794" si="110">+IF($F788="EGRESO",$O788,0)</f>
        <v>0</v>
      </c>
      <c r="R788" s="3">
        <f t="shared" ref="R788:R794" si="111">IFERROR(IF(F788="SALDO",P788,R787+P788-Q788),0)</f>
        <v>22252.220000000008</v>
      </c>
      <c r="S788" s="24"/>
      <c r="T788" s="24"/>
      <c r="U788" s="3"/>
      <c r="V788" s="19" t="str">
        <f>IFERROR(VLOOKUP(Banco_Nacion[[#This Row],[responsable]],Clientes_Proveedores[[Ruc / Dni]:[Razon Social]],2,0),"")</f>
        <v>ALEACIONES FERROSAS Y METALICAS S.A.C.</v>
      </c>
      <c r="W788" s="19" t="str">
        <f>IF(Banco_Nacion[[#This Row],[tipo_mov]]="INGRESO",Banco_Nacion[[#This Row],[serie]]&amp;Banco_Nacion[[#This Row],[numero]]&amp;Banco_Nacion[[#This Row],[responsable]]&amp;Banco_Nacion[[#This Row],[monto]],"")</f>
        <v>FF057720607388416147</v>
      </c>
      <c r="X788" s="162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93868008</v>
      </c>
      <c r="Y788" s="3" t="str">
        <f>IFERROR(VLOOKUP(Banco_Nacion[[#This Row],[serie]]&amp;Banco_Nacion[[#This Row],[numero]]&amp;Banco_Nacion[[#This Row],[responsable]],[2]!Provision_CXC[[ID CXP]:[DETRACCION]],47,0),"")</f>
        <v/>
      </c>
      <c r="Z788" s="3"/>
      <c r="AA788" s="24" t="str">
        <f>IF(Banco_Nacion[[#This Row],[fecha]]&gt;0,TEXT(Banco_Nacion[[#This Row],[fecha]],"mmmm"),0)</f>
        <v>Octubre</v>
      </c>
    </row>
    <row r="789" spans="1:27" x14ac:dyDescent="0.3">
      <c r="A789" s="43">
        <f>IF(Banco_Nacion[[#This Row],[tipo_registro]]="R",COUNTIFS($C$1:$C788,"R")+1,"")</f>
        <v>722</v>
      </c>
      <c r="B789" s="19" t="str">
        <f t="shared" si="107"/>
        <v>B-Banco de la Nacion</v>
      </c>
      <c r="C789" s="3" t="s">
        <v>1330</v>
      </c>
      <c r="D789" s="14">
        <v>45954</v>
      </c>
      <c r="E789" s="5">
        <v>20607388416</v>
      </c>
      <c r="F789" s="5" t="s">
        <v>1303</v>
      </c>
      <c r="G789" s="6"/>
      <c r="H789" s="6"/>
      <c r="I789" s="6" t="s">
        <v>3381</v>
      </c>
      <c r="J789" s="6">
        <v>75</v>
      </c>
      <c r="K789" s="7"/>
      <c r="L789" s="8">
        <v>93868007</v>
      </c>
      <c r="M789" s="8" t="str">
        <f t="shared" si="108"/>
        <v>PEN</v>
      </c>
      <c r="N789" s="13"/>
      <c r="O789" s="13">
        <v>266</v>
      </c>
      <c r="P789" s="3">
        <f t="shared" si="109"/>
        <v>266</v>
      </c>
      <c r="Q789" s="3">
        <f t="shared" si="110"/>
        <v>0</v>
      </c>
      <c r="R789" s="3">
        <f t="shared" si="111"/>
        <v>22518.220000000008</v>
      </c>
      <c r="S789" s="24"/>
      <c r="T789" s="24"/>
      <c r="U789" s="3"/>
      <c r="V789" s="19" t="str">
        <f>IFERROR(VLOOKUP(Banco_Nacion[[#This Row],[responsable]],Clientes_Proveedores[[Ruc / Dni]:[Razon Social]],2,0),"")</f>
        <v>ALEACIONES FERROSAS Y METALICAS S.A.C.</v>
      </c>
      <c r="W789" s="19" t="str">
        <f>IF(Banco_Nacion[[#This Row],[tipo_mov]]="INGRESO",Banco_Nacion[[#This Row],[serie]]&amp;Banco_Nacion[[#This Row],[numero]]&amp;Banco_Nacion[[#This Row],[responsable]]&amp;Banco_Nacion[[#This Row],[monto]],"")</f>
        <v>FF057520607388416266</v>
      </c>
      <c r="X789" s="162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93868007</v>
      </c>
      <c r="Y789" s="3" t="str">
        <f>IFERROR(VLOOKUP(Banco_Nacion[[#This Row],[serie]]&amp;Banco_Nacion[[#This Row],[numero]]&amp;Banco_Nacion[[#This Row],[responsable]],[2]!Provision_CXC[[ID CXP]:[DETRACCION]],47,0),"")</f>
        <v/>
      </c>
      <c r="Z789" s="3"/>
      <c r="AA789" s="24" t="str">
        <f>IF(Banco_Nacion[[#This Row],[fecha]]&gt;0,TEXT(Banco_Nacion[[#This Row],[fecha]],"mmmm"),0)</f>
        <v>Octubre</v>
      </c>
    </row>
    <row r="790" spans="1:27" x14ac:dyDescent="0.3">
      <c r="A790" s="2">
        <f>IF(Banco_Nacion[[#This Row],[tipo_registro]]="R",COUNTIFS($C$1:$C789,"R")+1,"")</f>
        <v>723</v>
      </c>
      <c r="B790" s="19" t="str">
        <f t="shared" si="107"/>
        <v>B-Banco de la Nacion</v>
      </c>
      <c r="C790" s="3" t="s">
        <v>1330</v>
      </c>
      <c r="D790" s="14">
        <v>45954</v>
      </c>
      <c r="E790" s="5"/>
      <c r="F790" s="5" t="s">
        <v>1336</v>
      </c>
      <c r="G790" s="6"/>
      <c r="H790" s="6"/>
      <c r="I790" s="6"/>
      <c r="J790" s="6"/>
      <c r="K790" s="7"/>
      <c r="L790" s="8">
        <v>78787878</v>
      </c>
      <c r="M790" s="8" t="str">
        <f t="shared" si="108"/>
        <v>PEN</v>
      </c>
      <c r="N790" s="13"/>
      <c r="O790" s="13">
        <v>18388</v>
      </c>
      <c r="P790" s="3">
        <f t="shared" si="109"/>
        <v>0</v>
      </c>
      <c r="Q790" s="3">
        <f t="shared" si="110"/>
        <v>18388</v>
      </c>
      <c r="R790" s="3">
        <f t="shared" si="111"/>
        <v>4130.2200000000084</v>
      </c>
      <c r="S790" s="24"/>
      <c r="T790" s="24"/>
      <c r="U790" s="3"/>
      <c r="V790" s="19" t="str">
        <f>IFERROR(VLOOKUP(Banco_Nacion[[#This Row],[responsable]],Clientes_Proveedores[[Ruc / Dni]:[Razon Social]],2,0),"")</f>
        <v/>
      </c>
      <c r="W790" s="19" t="str">
        <f>IF(Banco_Nacion[[#This Row],[tipo_mov]]="INGRESO",Banco_Nacion[[#This Row],[serie]]&amp;Banco_Nacion[[#This Row],[numero]]&amp;Banco_Nacion[[#This Row],[responsable]]&amp;Banco_Nacion[[#This Row],[monto]],"")</f>
        <v/>
      </c>
      <c r="X790" s="162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/>
      </c>
      <c r="Y790" s="3" t="str">
        <f>IFERROR(VLOOKUP(Banco_Nacion[[#This Row],[serie]]&amp;Banco_Nacion[[#This Row],[numero]]&amp;Banco_Nacion[[#This Row],[responsable]],[2]!Provision_CXC[[ID CXP]:[DETRACCION]],47,0),"")</f>
        <v/>
      </c>
      <c r="Z790" s="3"/>
      <c r="AA790" s="24" t="str">
        <f>IF(Banco_Nacion[[#This Row],[fecha]]&gt;0,TEXT(Banco_Nacion[[#This Row],[fecha]],"mmmm"),0)</f>
        <v>Octubre</v>
      </c>
    </row>
    <row r="791" spans="1:27" x14ac:dyDescent="0.3">
      <c r="A791" s="43">
        <f>IF(Banco_Nacion[[#This Row],[tipo_registro]]="R",COUNTIFS($C$1:$C790,"R")+1,"")</f>
        <v>724</v>
      </c>
      <c r="B791" s="19" t="str">
        <f t="shared" si="107"/>
        <v>B-Banco de la Nacion</v>
      </c>
      <c r="C791" s="3" t="s">
        <v>1330</v>
      </c>
      <c r="D791" s="14">
        <v>45957</v>
      </c>
      <c r="E791" s="5">
        <v>20100199743</v>
      </c>
      <c r="F791" s="5" t="s">
        <v>1303</v>
      </c>
      <c r="G791" s="6"/>
      <c r="H791" s="6"/>
      <c r="I791" s="6" t="s">
        <v>1784</v>
      </c>
      <c r="J791" s="6">
        <v>276</v>
      </c>
      <c r="K791" s="7"/>
      <c r="L791" s="8">
        <v>93985282</v>
      </c>
      <c r="M791" s="8" t="str">
        <f t="shared" si="108"/>
        <v>PEN</v>
      </c>
      <c r="N791" s="13"/>
      <c r="O791" s="13">
        <v>288</v>
      </c>
      <c r="P791" s="3">
        <f t="shared" si="109"/>
        <v>288</v>
      </c>
      <c r="Q791" s="3">
        <f t="shared" si="110"/>
        <v>0</v>
      </c>
      <c r="R791" s="3">
        <f t="shared" si="111"/>
        <v>4418.2200000000084</v>
      </c>
      <c r="S791" s="24"/>
      <c r="T791" s="24"/>
      <c r="U791" s="3"/>
      <c r="V791" s="19" t="str">
        <f>IFERROR(VLOOKUP(Banco_Nacion[[#This Row],[responsable]],Clientes_Proveedores[[Ruc / Dni]:[Razon Social]],2,0),"")</f>
        <v>INCA TOPS S.A</v>
      </c>
      <c r="W791" s="19" t="str">
        <f>IF(Banco_Nacion[[#This Row],[tipo_mov]]="INGRESO",Banco_Nacion[[#This Row],[serie]]&amp;Banco_Nacion[[#This Row],[numero]]&amp;Banco_Nacion[[#This Row],[responsable]]&amp;Banco_Nacion[[#This Row],[monto]],"")</f>
        <v>FF0127620100199743288</v>
      </c>
      <c r="X791" s="162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93985282</v>
      </c>
      <c r="Y791" s="3" t="str">
        <f>IFERROR(VLOOKUP(Banco_Nacion[[#This Row],[serie]]&amp;Banco_Nacion[[#This Row],[numero]]&amp;Banco_Nacion[[#This Row],[responsable]],[2]!Provision_CXC[[ID CXP]:[DETRACCION]],47,0),"")</f>
        <v/>
      </c>
      <c r="Z791" s="3"/>
      <c r="AA791" s="24" t="str">
        <f>IF(Banco_Nacion[[#This Row],[fecha]]&gt;0,TEXT(Banco_Nacion[[#This Row],[fecha]],"mmmm"),0)</f>
        <v>Octubre</v>
      </c>
    </row>
    <row r="792" spans="1:27" x14ac:dyDescent="0.3">
      <c r="A792" s="43">
        <f>IF(Banco_Nacion[[#This Row],[tipo_registro]]="R",COUNTIFS($C$1:$C791,"R")+1,"")</f>
        <v>725</v>
      </c>
      <c r="B792" s="19" t="str">
        <f t="shared" si="107"/>
        <v>B-Banco de la Nacion</v>
      </c>
      <c r="C792" s="3" t="s">
        <v>1330</v>
      </c>
      <c r="D792" s="14">
        <v>45957</v>
      </c>
      <c r="E792" s="5">
        <v>20159473148</v>
      </c>
      <c r="F792" s="5" t="s">
        <v>1303</v>
      </c>
      <c r="G792" s="6"/>
      <c r="H792" s="6"/>
      <c r="I792" s="6" t="s">
        <v>1784</v>
      </c>
      <c r="J792" s="6">
        <v>300</v>
      </c>
      <c r="K792" s="7"/>
      <c r="L792" s="8">
        <v>93971815</v>
      </c>
      <c r="M792" s="8" t="str">
        <f t="shared" si="108"/>
        <v>PEN</v>
      </c>
      <c r="N792" s="13"/>
      <c r="O792" s="13">
        <v>632</v>
      </c>
      <c r="P792" s="3">
        <f t="shared" si="109"/>
        <v>632</v>
      </c>
      <c r="Q792" s="3">
        <f t="shared" si="110"/>
        <v>0</v>
      </c>
      <c r="R792" s="3">
        <f t="shared" si="111"/>
        <v>5050.2200000000084</v>
      </c>
      <c r="S792" s="24"/>
      <c r="T792" s="24"/>
      <c r="U792" s="3"/>
      <c r="V792" s="19" t="str">
        <f>IFERROR(VLOOKUP(Banco_Nacion[[#This Row],[responsable]],Clientes_Proveedores[[Ruc / Dni]:[Razon Social]],2,0),"")</f>
        <v>PESQUERA DIAMANTE S.A.</v>
      </c>
      <c r="W792" s="19" t="str">
        <f>IF(Banco_Nacion[[#This Row],[tipo_mov]]="INGRESO",Banco_Nacion[[#This Row],[serie]]&amp;Banco_Nacion[[#This Row],[numero]]&amp;Banco_Nacion[[#This Row],[responsable]]&amp;Banco_Nacion[[#This Row],[monto]],"")</f>
        <v>FF0130020159473148632</v>
      </c>
      <c r="X792" s="162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93971815</v>
      </c>
      <c r="Y792" s="3" t="str">
        <f>IFERROR(VLOOKUP(Banco_Nacion[[#This Row],[serie]]&amp;Banco_Nacion[[#This Row],[numero]]&amp;Banco_Nacion[[#This Row],[responsable]],[2]!Provision_CXC[[ID CXP]:[DETRACCION]],47,0),"")</f>
        <v/>
      </c>
      <c r="Z792" s="3"/>
      <c r="AA792" s="24" t="str">
        <f>IF(Banco_Nacion[[#This Row],[fecha]]&gt;0,TEXT(Banco_Nacion[[#This Row],[fecha]],"mmmm"),0)</f>
        <v>Octubre</v>
      </c>
    </row>
    <row r="793" spans="1:27" x14ac:dyDescent="0.3">
      <c r="A793" s="43">
        <f>IF(Banco_Nacion[[#This Row],[tipo_registro]]="R",COUNTIFS($C$1:$C792,"R")+1,"")</f>
        <v>726</v>
      </c>
      <c r="B793" s="19" t="str">
        <f t="shared" si="107"/>
        <v>B-Banco de la Nacion</v>
      </c>
      <c r="C793" s="3" t="s">
        <v>1330</v>
      </c>
      <c r="D793" s="14">
        <v>45958</v>
      </c>
      <c r="E793" s="5">
        <v>20603536569</v>
      </c>
      <c r="F793" s="5" t="s">
        <v>1303</v>
      </c>
      <c r="G793" s="6"/>
      <c r="H793" s="6"/>
      <c r="I793" s="6" t="s">
        <v>1784</v>
      </c>
      <c r="J793" s="6">
        <v>290</v>
      </c>
      <c r="K793" s="7"/>
      <c r="L793" s="8">
        <v>94090878</v>
      </c>
      <c r="M793" s="8" t="str">
        <f t="shared" si="108"/>
        <v>PEN</v>
      </c>
      <c r="N793" s="13"/>
      <c r="O793" s="13">
        <v>1181</v>
      </c>
      <c r="P793" s="3">
        <f t="shared" si="109"/>
        <v>1181</v>
      </c>
      <c r="Q793" s="3">
        <f t="shared" si="110"/>
        <v>0</v>
      </c>
      <c r="R793" s="3">
        <f t="shared" si="111"/>
        <v>6231.2200000000084</v>
      </c>
      <c r="S793" s="24"/>
      <c r="T793" s="24"/>
      <c r="U793" s="3"/>
      <c r="V793" s="19" t="str">
        <f>IFERROR(VLOOKUP(Banco_Nacion[[#This Row],[responsable]],Clientes_Proveedores[[Ruc / Dni]:[Razon Social]],2,0),"")</f>
        <v>ANTILLA COPPER SOCIEDAD ANONIMA</v>
      </c>
      <c r="W793" s="19" t="str">
        <f>IF(Banco_Nacion[[#This Row],[tipo_mov]]="INGRESO",Banco_Nacion[[#This Row],[serie]]&amp;Banco_Nacion[[#This Row],[numero]]&amp;Banco_Nacion[[#This Row],[responsable]]&amp;Banco_Nacion[[#This Row],[monto]],"")</f>
        <v>FF01290206035365691181</v>
      </c>
      <c r="X793" s="162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94090878</v>
      </c>
      <c r="Y793" s="3" t="str">
        <f>IFERROR(VLOOKUP(Banco_Nacion[[#This Row],[serie]]&amp;Banco_Nacion[[#This Row],[numero]]&amp;Banco_Nacion[[#This Row],[responsable]],[2]!Provision_CXC[[ID CXP]:[DETRACCION]],47,0),"")</f>
        <v/>
      </c>
      <c r="Z793" s="3"/>
      <c r="AA793" s="24" t="str">
        <f>IF(Banco_Nacion[[#This Row],[fecha]]&gt;0,TEXT(Banco_Nacion[[#This Row],[fecha]],"mmmm"),0)</f>
        <v>Octubre</v>
      </c>
    </row>
    <row r="794" spans="1:27" x14ac:dyDescent="0.3">
      <c r="A794" s="43">
        <f>IF(Banco_Nacion[[#This Row],[tipo_registro]]="R",COUNTIFS($C$1:$C793,"R")+1,"")</f>
        <v>727</v>
      </c>
      <c r="B794" s="19" t="str">
        <f t="shared" si="107"/>
        <v>B-Banco de la Nacion</v>
      </c>
      <c r="C794" s="3" t="s">
        <v>1330</v>
      </c>
      <c r="D794" s="14">
        <v>45958</v>
      </c>
      <c r="E794" s="5">
        <v>20607388416</v>
      </c>
      <c r="F794" s="5" t="s">
        <v>1303</v>
      </c>
      <c r="G794" s="6"/>
      <c r="H794" s="6"/>
      <c r="I794" s="6" t="s">
        <v>3381</v>
      </c>
      <c r="J794" s="6">
        <v>79</v>
      </c>
      <c r="K794" s="7"/>
      <c r="L794" s="8">
        <v>94074751</v>
      </c>
      <c r="M794" s="8" t="str">
        <f t="shared" si="108"/>
        <v>PEN</v>
      </c>
      <c r="N794" s="13"/>
      <c r="O794" s="13">
        <v>158</v>
      </c>
      <c r="P794" s="3">
        <f t="shared" si="109"/>
        <v>158</v>
      </c>
      <c r="Q794" s="3">
        <f t="shared" si="110"/>
        <v>0</v>
      </c>
      <c r="R794" s="3">
        <f t="shared" si="111"/>
        <v>6389.2200000000084</v>
      </c>
      <c r="S794" s="24"/>
      <c r="T794" s="24"/>
      <c r="U794" s="3"/>
      <c r="V794" s="19" t="str">
        <f>IFERROR(VLOOKUP(Banco_Nacion[[#This Row],[responsable]],Clientes_Proveedores[[Ruc / Dni]:[Razon Social]],2,0),"")</f>
        <v>ALEACIONES FERROSAS Y METALICAS S.A.C.</v>
      </c>
      <c r="W794" s="19" t="str">
        <f>IF(Banco_Nacion[[#This Row],[tipo_mov]]="INGRESO",Banco_Nacion[[#This Row],[serie]]&amp;Banco_Nacion[[#This Row],[numero]]&amp;Banco_Nacion[[#This Row],[responsable]]&amp;Banco_Nacion[[#This Row],[monto]],"")</f>
        <v>FF057920607388416158</v>
      </c>
      <c r="X794" s="162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94074751</v>
      </c>
      <c r="Y794" s="3" t="str">
        <f>IFERROR(VLOOKUP(Banco_Nacion[[#This Row],[serie]]&amp;Banco_Nacion[[#This Row],[numero]]&amp;Banco_Nacion[[#This Row],[responsable]],[2]!Provision_CXC[[ID CXP]:[DETRACCION]],47,0),"")</f>
        <v/>
      </c>
      <c r="Z794" s="3"/>
      <c r="AA794" s="24" t="str">
        <f>IF(Banco_Nacion[[#This Row],[fecha]]&gt;0,TEXT(Banco_Nacion[[#This Row],[fecha]],"mmmm"),0)</f>
        <v>Octubre</v>
      </c>
    </row>
    <row r="795" spans="1:27" x14ac:dyDescent="0.3">
      <c r="A795" s="2">
        <f>IF(Banco_Nacion[[#This Row],[tipo_registro]]="R",COUNTIFS($C$1:$C794,"R")+1,"")</f>
        <v>728</v>
      </c>
      <c r="B795" s="19" t="str">
        <f t="shared" ref="B795:B805" si="112">"B-Banco de la Nacion"</f>
        <v>B-Banco de la Nacion</v>
      </c>
      <c r="C795" s="3" t="s">
        <v>1330</v>
      </c>
      <c r="D795" s="14">
        <v>45960</v>
      </c>
      <c r="E795" s="5"/>
      <c r="F795" s="5" t="s">
        <v>1336</v>
      </c>
      <c r="G795" s="6"/>
      <c r="H795" s="6"/>
      <c r="I795" s="6"/>
      <c r="J795" s="6"/>
      <c r="K795" s="7"/>
      <c r="L795" s="8">
        <v>78787878</v>
      </c>
      <c r="M795" s="8" t="str">
        <f t="shared" ref="M795:M805" si="113">"PEN"</f>
        <v>PEN</v>
      </c>
      <c r="N795" s="13"/>
      <c r="O795" s="13">
        <v>855</v>
      </c>
      <c r="P795" s="3">
        <f t="shared" ref="P795:P805" si="114">+IF(OR($F795="SALDO",$F795="INGRESO"),$O795,0)</f>
        <v>0</v>
      </c>
      <c r="Q795" s="3">
        <f t="shared" ref="Q795:Q805" si="115">+IF($F795="EGRESO",$O795,0)</f>
        <v>855</v>
      </c>
      <c r="R795" s="3">
        <f t="shared" ref="R795:R806" si="116">IFERROR(IF(F795="SALDO",P795,R794+P795-Q795),0)</f>
        <v>5534.2200000000084</v>
      </c>
      <c r="S795" s="24"/>
      <c r="T795" s="24"/>
      <c r="U795" s="3"/>
      <c r="V795" s="19" t="str">
        <f>IFERROR(VLOOKUP(Banco_Nacion[[#This Row],[responsable]],Clientes_Proveedores[[Ruc / Dni]:[Razon Social]],2,0),"")</f>
        <v/>
      </c>
      <c r="W795" s="19" t="str">
        <f>IF(Banco_Nacion[[#This Row],[tipo_mov]]="INGRESO",Banco_Nacion[[#This Row],[serie]]&amp;Banco_Nacion[[#This Row],[numero]]&amp;Banco_Nacion[[#This Row],[responsable]]&amp;Banco_Nacion[[#This Row],[monto]],"")</f>
        <v/>
      </c>
      <c r="X795" s="162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/>
      </c>
      <c r="Y795" s="3" t="str">
        <f>IFERROR(VLOOKUP(Banco_Nacion[[#This Row],[serie]]&amp;Banco_Nacion[[#This Row],[numero]]&amp;Banco_Nacion[[#This Row],[responsable]],[2]!Provision_CXC[[ID CXP]:[DETRACCION]],47,0),"")</f>
        <v/>
      </c>
      <c r="Z795" s="3"/>
      <c r="AA795" s="24" t="str">
        <f>IF(Banco_Nacion[[#This Row],[fecha]]&gt;0,TEXT(Banco_Nacion[[#This Row],[fecha]],"mmmm"),0)</f>
        <v>Octubre</v>
      </c>
    </row>
    <row r="796" spans="1:27" x14ac:dyDescent="0.3">
      <c r="A796" s="43">
        <f>IF(Banco_Nacion[[#This Row],[tipo_registro]]="R",COUNTIFS($C$1:$C795,"R")+1,"")</f>
        <v>729</v>
      </c>
      <c r="B796" s="19" t="str">
        <f t="shared" si="112"/>
        <v>B-Banco de la Nacion</v>
      </c>
      <c r="C796" s="3" t="s">
        <v>1330</v>
      </c>
      <c r="D796" s="14">
        <v>45964</v>
      </c>
      <c r="E796" s="5">
        <v>20170040938</v>
      </c>
      <c r="F796" s="5" t="s">
        <v>1303</v>
      </c>
      <c r="G796" s="6"/>
      <c r="H796" s="6"/>
      <c r="I796" s="6" t="s">
        <v>1784</v>
      </c>
      <c r="J796" s="6">
        <v>293</v>
      </c>
      <c r="K796" s="7"/>
      <c r="L796" s="8">
        <v>94582794</v>
      </c>
      <c r="M796" s="8" t="str">
        <f t="shared" si="113"/>
        <v>PEN</v>
      </c>
      <c r="N796" s="13"/>
      <c r="O796" s="13">
        <v>1375</v>
      </c>
      <c r="P796" s="3">
        <f t="shared" si="114"/>
        <v>1375</v>
      </c>
      <c r="Q796" s="3">
        <f t="shared" si="115"/>
        <v>0</v>
      </c>
      <c r="R796" s="3">
        <f t="shared" si="116"/>
        <v>6909.2200000000084</v>
      </c>
      <c r="S796" s="24"/>
      <c r="T796" s="24"/>
      <c r="U796" s="3"/>
      <c r="V796" s="19" t="str">
        <f>IFERROR(VLOOKUP(Banco_Nacion[[#This Row],[responsable]],Clientes_Proveedores[[Ruc / Dni]:[Razon Social]],2,0),"")</f>
        <v>DANPER TRUJILLO S.A.C</v>
      </c>
      <c r="W796" s="19" t="str">
        <f>IF(Banco_Nacion[[#This Row],[tipo_mov]]="INGRESO",Banco_Nacion[[#This Row],[serie]]&amp;Banco_Nacion[[#This Row],[numero]]&amp;Banco_Nacion[[#This Row],[responsable]]&amp;Banco_Nacion[[#This Row],[monto]],"")</f>
        <v>FF01293201700409381375</v>
      </c>
      <c r="X796" s="162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94582794</v>
      </c>
      <c r="Y796" s="3" t="str">
        <f>IFERROR(VLOOKUP(Banco_Nacion[[#This Row],[serie]]&amp;Banco_Nacion[[#This Row],[numero]]&amp;Banco_Nacion[[#This Row],[responsable]],[2]!Provision_CXC[[ID CXP]:[DETRACCION]],47,0),"")</f>
        <v/>
      </c>
      <c r="Z796" s="3"/>
      <c r="AA796" s="24" t="str">
        <f>IF(Banco_Nacion[[#This Row],[fecha]]&gt;0,TEXT(Banco_Nacion[[#This Row],[fecha]],"mmmm"),0)</f>
        <v>Noviembre</v>
      </c>
    </row>
    <row r="797" spans="1:27" x14ac:dyDescent="0.3">
      <c r="A797" s="43">
        <f>IF(Banco_Nacion[[#This Row],[tipo_registro]]="R",COUNTIFS($C$1:$C796,"R")+1,"")</f>
        <v>730</v>
      </c>
      <c r="B797" s="19" t="str">
        <f t="shared" si="112"/>
        <v>B-Banco de la Nacion</v>
      </c>
      <c r="C797" s="3" t="s">
        <v>1330</v>
      </c>
      <c r="D797" s="14">
        <v>45964</v>
      </c>
      <c r="E797" s="5">
        <v>20454186002</v>
      </c>
      <c r="F797" s="5" t="s">
        <v>1303</v>
      </c>
      <c r="G797" s="6"/>
      <c r="H797" s="6"/>
      <c r="I797" s="6" t="s">
        <v>1784</v>
      </c>
      <c r="J797" s="6">
        <v>307</v>
      </c>
      <c r="K797" s="7"/>
      <c r="L797" s="8">
        <v>94550949</v>
      </c>
      <c r="M797" s="8" t="str">
        <f t="shared" si="113"/>
        <v>PEN</v>
      </c>
      <c r="N797" s="13"/>
      <c r="O797" s="13">
        <v>309</v>
      </c>
      <c r="P797" s="3">
        <f t="shared" si="114"/>
        <v>309</v>
      </c>
      <c r="Q797" s="3">
        <f t="shared" si="115"/>
        <v>0</v>
      </c>
      <c r="R797" s="3">
        <f t="shared" si="116"/>
        <v>7218.2200000000084</v>
      </c>
      <c r="S797" s="24"/>
      <c r="T797" s="24"/>
      <c r="U797" s="3"/>
      <c r="V797" s="19" t="str">
        <f>IFERROR(VLOOKUP(Banco_Nacion[[#This Row],[responsable]],Clientes_Proveedores[[Ruc / Dni]:[Razon Social]],2,0),"")</f>
        <v>ALSUR PERU S.A.C.</v>
      </c>
      <c r="W797" s="19" t="str">
        <f>IF(Banco_Nacion[[#This Row],[tipo_mov]]="INGRESO",Banco_Nacion[[#This Row],[serie]]&amp;Banco_Nacion[[#This Row],[numero]]&amp;Banco_Nacion[[#This Row],[responsable]]&amp;Banco_Nacion[[#This Row],[monto]],"")</f>
        <v>FF0130720454186002309</v>
      </c>
      <c r="X797" s="162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94550949</v>
      </c>
      <c r="Y797" s="3" t="str">
        <f>IFERROR(VLOOKUP(Banco_Nacion[[#This Row],[serie]]&amp;Banco_Nacion[[#This Row],[numero]]&amp;Banco_Nacion[[#This Row],[responsable]],[2]!Provision_CXC[[ID CXP]:[DETRACCION]],47,0),"")</f>
        <v/>
      </c>
      <c r="Z797" s="3"/>
      <c r="AA797" s="24" t="str">
        <f>IF(Banco_Nacion[[#This Row],[fecha]]&gt;0,TEXT(Banco_Nacion[[#This Row],[fecha]],"mmmm"),0)</f>
        <v>Noviembre</v>
      </c>
    </row>
    <row r="798" spans="1:27" x14ac:dyDescent="0.3">
      <c r="A798" s="43">
        <f>IF(Banco_Nacion[[#This Row],[tipo_registro]]="R",COUNTIFS($C$1:$C797,"R")+1,"")</f>
        <v>731</v>
      </c>
      <c r="B798" s="19" t="str">
        <f t="shared" si="112"/>
        <v>B-Banco de la Nacion</v>
      </c>
      <c r="C798" s="3" t="s">
        <v>1330</v>
      </c>
      <c r="D798" s="14">
        <v>45964</v>
      </c>
      <c r="E798" s="5">
        <v>20454186002</v>
      </c>
      <c r="F798" s="5" t="s">
        <v>1303</v>
      </c>
      <c r="G798" s="6"/>
      <c r="H798" s="6"/>
      <c r="I798" s="6" t="s">
        <v>1784</v>
      </c>
      <c r="J798" s="6">
        <v>301</v>
      </c>
      <c r="K798" s="7"/>
      <c r="L798" s="8">
        <v>94550947</v>
      </c>
      <c r="M798" s="8" t="str">
        <f t="shared" si="113"/>
        <v>PEN</v>
      </c>
      <c r="N798" s="13"/>
      <c r="O798" s="13">
        <v>141</v>
      </c>
      <c r="P798" s="3">
        <f t="shared" si="114"/>
        <v>141</v>
      </c>
      <c r="Q798" s="3">
        <f t="shared" si="115"/>
        <v>0</v>
      </c>
      <c r="R798" s="3">
        <f t="shared" si="116"/>
        <v>7359.2200000000084</v>
      </c>
      <c r="S798" s="24"/>
      <c r="T798" s="24"/>
      <c r="U798" s="3"/>
      <c r="V798" s="19" t="str">
        <f>IFERROR(VLOOKUP(Banco_Nacion[[#This Row],[responsable]],Clientes_Proveedores[[Ruc / Dni]:[Razon Social]],2,0),"")</f>
        <v>ALSUR PERU S.A.C.</v>
      </c>
      <c r="W798" s="19" t="str">
        <f>IF(Banco_Nacion[[#This Row],[tipo_mov]]="INGRESO",Banco_Nacion[[#This Row],[serie]]&amp;Banco_Nacion[[#This Row],[numero]]&amp;Banco_Nacion[[#This Row],[responsable]]&amp;Banco_Nacion[[#This Row],[monto]],"")</f>
        <v>FF0130120454186002141</v>
      </c>
      <c r="X798" s="162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94550947</v>
      </c>
      <c r="Y798" s="3" t="str">
        <f>IFERROR(VLOOKUP(Banco_Nacion[[#This Row],[serie]]&amp;Banco_Nacion[[#This Row],[numero]]&amp;Banco_Nacion[[#This Row],[responsable]],[2]!Provision_CXC[[ID CXP]:[DETRACCION]],47,0),"")</f>
        <v/>
      </c>
      <c r="Z798" s="3"/>
      <c r="AA798" s="24" t="str">
        <f>IF(Banco_Nacion[[#This Row],[fecha]]&gt;0,TEXT(Banco_Nacion[[#This Row],[fecha]],"mmmm"),0)</f>
        <v>Noviembre</v>
      </c>
    </row>
    <row r="799" spans="1:27" x14ac:dyDescent="0.3">
      <c r="A799" s="43">
        <f>IF(Banco_Nacion[[#This Row],[tipo_registro]]="R",COUNTIFS($C$1:$C798,"R")+1,"")</f>
        <v>732</v>
      </c>
      <c r="B799" s="19" t="str">
        <f t="shared" si="112"/>
        <v>B-Banco de la Nacion</v>
      </c>
      <c r="C799" s="3" t="s">
        <v>1330</v>
      </c>
      <c r="D799" s="14">
        <v>45964</v>
      </c>
      <c r="E799" s="5">
        <v>20402885549</v>
      </c>
      <c r="F799" s="5" t="s">
        <v>1303</v>
      </c>
      <c r="G799" s="6"/>
      <c r="H799" s="6"/>
      <c r="I799" s="6" t="s">
        <v>3302</v>
      </c>
      <c r="J799" s="6">
        <v>161</v>
      </c>
      <c r="K799" s="7"/>
      <c r="L799" s="8">
        <v>94521960</v>
      </c>
      <c r="M799" s="8" t="str">
        <f t="shared" si="113"/>
        <v>PEN</v>
      </c>
      <c r="N799" s="13"/>
      <c r="O799" s="13">
        <v>3231</v>
      </c>
      <c r="P799" s="3">
        <f t="shared" si="114"/>
        <v>3231</v>
      </c>
      <c r="Q799" s="3">
        <f t="shared" si="115"/>
        <v>0</v>
      </c>
      <c r="R799" s="3">
        <f t="shared" si="116"/>
        <v>10590.220000000008</v>
      </c>
      <c r="S799" s="24"/>
      <c r="T799" s="24"/>
      <c r="U799" s="3"/>
      <c r="V799" s="19" t="str">
        <f>IFERROR(VLOOKUP(Banco_Nacion[[#This Row],[responsable]],Clientes_Proveedores[[Ruc / Dni]:[Razon Social]],2,0),"")</f>
        <v>EMPRESA SIDERURGICA DEL PERU S.A.A.</v>
      </c>
      <c r="W799" s="19" t="str">
        <f>IF(Banco_Nacion[[#This Row],[tipo_mov]]="INGRESO",Banco_Nacion[[#This Row],[serie]]&amp;Banco_Nacion[[#This Row],[numero]]&amp;Banco_Nacion[[#This Row],[responsable]]&amp;Banco_Nacion[[#This Row],[monto]],"")</f>
        <v>FF02161204028855493231</v>
      </c>
      <c r="X799" s="162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94521960</v>
      </c>
      <c r="Y799" s="3" t="str">
        <f>IFERROR(VLOOKUP(Banco_Nacion[[#This Row],[serie]]&amp;Banco_Nacion[[#This Row],[numero]]&amp;Banco_Nacion[[#This Row],[responsable]],[2]!Provision_CXC[[ID CXP]:[DETRACCION]],47,0),"")</f>
        <v/>
      </c>
      <c r="Z799" s="3"/>
      <c r="AA799" s="24" t="str">
        <f>IF(Banco_Nacion[[#This Row],[fecha]]&gt;0,TEXT(Banco_Nacion[[#This Row],[fecha]],"mmmm"),0)</f>
        <v>Noviembre</v>
      </c>
    </row>
    <row r="800" spans="1:27" x14ac:dyDescent="0.3">
      <c r="A800" s="43">
        <f>IF(Banco_Nacion[[#This Row],[tipo_registro]]="R",COUNTIFS($C$1:$C799,"R")+1,"")</f>
        <v>733</v>
      </c>
      <c r="B800" s="19" t="str">
        <f t="shared" si="112"/>
        <v>B-Banco de la Nacion</v>
      </c>
      <c r="C800" s="3" t="s">
        <v>1330</v>
      </c>
      <c r="D800" s="14">
        <v>45964</v>
      </c>
      <c r="E800" s="5">
        <v>20610105620</v>
      </c>
      <c r="F800" s="5" t="s">
        <v>1303</v>
      </c>
      <c r="G800" s="6"/>
      <c r="H800" s="6"/>
      <c r="I800" s="6" t="s">
        <v>1784</v>
      </c>
      <c r="J800" s="6">
        <v>299</v>
      </c>
      <c r="K800" s="7"/>
      <c r="L800" s="8">
        <v>94515516</v>
      </c>
      <c r="M800" s="8" t="str">
        <f t="shared" si="113"/>
        <v>PEN</v>
      </c>
      <c r="N800" s="13"/>
      <c r="O800" s="13">
        <v>612</v>
      </c>
      <c r="P800" s="3">
        <f t="shared" si="114"/>
        <v>612</v>
      </c>
      <c r="Q800" s="3">
        <f t="shared" si="115"/>
        <v>0</v>
      </c>
      <c r="R800" s="3">
        <f t="shared" si="116"/>
        <v>11202.220000000008</v>
      </c>
      <c r="S800" s="24"/>
      <c r="T800" s="24"/>
      <c r="U800" s="3"/>
      <c r="V800" s="19" t="str">
        <f>IFERROR(VLOOKUP(Banco_Nacion[[#This Row],[responsable]],Clientes_Proveedores[[Ruc / Dni]:[Razon Social]],2,0),"")</f>
        <v>STRACON PERU S.A.</v>
      </c>
      <c r="W800" s="19" t="str">
        <f>IF(Banco_Nacion[[#This Row],[tipo_mov]]="INGRESO",Banco_Nacion[[#This Row],[serie]]&amp;Banco_Nacion[[#This Row],[numero]]&amp;Banco_Nacion[[#This Row],[responsable]]&amp;Banco_Nacion[[#This Row],[monto]],"")</f>
        <v>FF0129920610105620612</v>
      </c>
      <c r="X800" s="162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94515516</v>
      </c>
      <c r="Y800" s="3" t="str">
        <f>IFERROR(VLOOKUP(Banco_Nacion[[#This Row],[serie]]&amp;Banco_Nacion[[#This Row],[numero]]&amp;Banco_Nacion[[#This Row],[responsable]],[2]!Provision_CXC[[ID CXP]:[DETRACCION]],47,0),"")</f>
        <v/>
      </c>
      <c r="Z800" s="3"/>
      <c r="AA800" s="24" t="str">
        <f>IF(Banco_Nacion[[#This Row],[fecha]]&gt;0,TEXT(Banco_Nacion[[#This Row],[fecha]],"mmmm"),0)</f>
        <v>Noviembre</v>
      </c>
    </row>
    <row r="801" spans="1:27" x14ac:dyDescent="0.3">
      <c r="A801" s="43">
        <f>IF(Banco_Nacion[[#This Row],[tipo_registro]]="R",COUNTIFS($C$1:$C800,"R")+1,"")</f>
        <v>734</v>
      </c>
      <c r="B801" s="19" t="str">
        <f t="shared" si="112"/>
        <v>B-Banco de la Nacion</v>
      </c>
      <c r="C801" s="3" t="s">
        <v>1330</v>
      </c>
      <c r="D801" s="14">
        <v>45964</v>
      </c>
      <c r="E801" s="5">
        <v>20552714378</v>
      </c>
      <c r="F801" s="5" t="s">
        <v>1303</v>
      </c>
      <c r="G801" s="6"/>
      <c r="H801" s="6"/>
      <c r="I801" s="6" t="s">
        <v>1784</v>
      </c>
      <c r="J801" s="6">
        <v>279</v>
      </c>
      <c r="K801" s="7"/>
      <c r="L801" s="8">
        <v>94484420</v>
      </c>
      <c r="M801" s="8" t="str">
        <f t="shared" si="113"/>
        <v>PEN</v>
      </c>
      <c r="N801" s="13"/>
      <c r="O801" s="13">
        <v>834</v>
      </c>
      <c r="P801" s="3">
        <f t="shared" si="114"/>
        <v>834</v>
      </c>
      <c r="Q801" s="3">
        <f t="shared" si="115"/>
        <v>0</v>
      </c>
      <c r="R801" s="3">
        <f t="shared" si="116"/>
        <v>12036.220000000008</v>
      </c>
      <c r="S801" s="24"/>
      <c r="T801" s="24"/>
      <c r="U801" s="3"/>
      <c r="V801" s="19" t="str">
        <f>IFERROR(VLOOKUP(Banco_Nacion[[#This Row],[responsable]],Clientes_Proveedores[[Ruc / Dni]:[Razon Social]],2,0),"")</f>
        <v>COSAPI MINERIA S.A.C.</v>
      </c>
      <c r="W801" s="19" t="str">
        <f>IF(Banco_Nacion[[#This Row],[tipo_mov]]="INGRESO",Banco_Nacion[[#This Row],[serie]]&amp;Banco_Nacion[[#This Row],[numero]]&amp;Banco_Nacion[[#This Row],[responsable]]&amp;Banco_Nacion[[#This Row],[monto]],"")</f>
        <v>FF0127920552714378834</v>
      </c>
      <c r="X801" s="162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94484420</v>
      </c>
      <c r="Y801" s="3" t="str">
        <f>IFERROR(VLOOKUP(Banco_Nacion[[#This Row],[serie]]&amp;Banco_Nacion[[#This Row],[numero]]&amp;Banco_Nacion[[#This Row],[responsable]],[2]!Provision_CXC[[ID CXP]:[DETRACCION]],47,0),"")</f>
        <v/>
      </c>
      <c r="Z801" s="3"/>
      <c r="AA801" s="24" t="str">
        <f>IF(Banco_Nacion[[#This Row],[fecha]]&gt;0,TEXT(Banco_Nacion[[#This Row],[fecha]],"mmmm"),0)</f>
        <v>Noviembre</v>
      </c>
    </row>
    <row r="802" spans="1:27" x14ac:dyDescent="0.3">
      <c r="A802" s="43">
        <f>IF(Banco_Nacion[[#This Row],[tipo_registro]]="R",COUNTIFS($C$1:$C801,"R")+1,"")</f>
        <v>735</v>
      </c>
      <c r="B802" s="19" t="str">
        <f t="shared" si="112"/>
        <v>B-Banco de la Nacion</v>
      </c>
      <c r="C802" s="3" t="s">
        <v>1330</v>
      </c>
      <c r="D802" s="14">
        <v>45964</v>
      </c>
      <c r="E802" s="5">
        <v>20552714378</v>
      </c>
      <c r="F802" s="5" t="s">
        <v>1303</v>
      </c>
      <c r="G802" s="6"/>
      <c r="H802" s="6"/>
      <c r="I802" s="6" t="s">
        <v>1784</v>
      </c>
      <c r="J802" s="6">
        <v>278</v>
      </c>
      <c r="K802" s="7"/>
      <c r="L802" s="8">
        <v>94484419</v>
      </c>
      <c r="M802" s="8" t="str">
        <f t="shared" si="113"/>
        <v>PEN</v>
      </c>
      <c r="N802" s="13"/>
      <c r="O802" s="13">
        <v>311</v>
      </c>
      <c r="P802" s="3">
        <f t="shared" si="114"/>
        <v>311</v>
      </c>
      <c r="Q802" s="3">
        <f t="shared" si="115"/>
        <v>0</v>
      </c>
      <c r="R802" s="3">
        <f t="shared" si="116"/>
        <v>12347.220000000008</v>
      </c>
      <c r="S802" s="24"/>
      <c r="T802" s="24"/>
      <c r="U802" s="3"/>
      <c r="V802" s="19" t="str">
        <f>IFERROR(VLOOKUP(Banco_Nacion[[#This Row],[responsable]],Clientes_Proveedores[[Ruc / Dni]:[Razon Social]],2,0),"")</f>
        <v>COSAPI MINERIA S.A.C.</v>
      </c>
      <c r="W802" s="19" t="str">
        <f>IF(Banco_Nacion[[#This Row],[tipo_mov]]="INGRESO",Banco_Nacion[[#This Row],[serie]]&amp;Banco_Nacion[[#This Row],[numero]]&amp;Banco_Nacion[[#This Row],[responsable]]&amp;Banco_Nacion[[#This Row],[monto]],"")</f>
        <v>FF0127820552714378311</v>
      </c>
      <c r="X802" s="162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94484419</v>
      </c>
      <c r="Y802" s="3" t="str">
        <f>IFERROR(VLOOKUP(Banco_Nacion[[#This Row],[serie]]&amp;Banco_Nacion[[#This Row],[numero]]&amp;Banco_Nacion[[#This Row],[responsable]],[2]!Provision_CXC[[ID CXP]:[DETRACCION]],47,0),"")</f>
        <v/>
      </c>
      <c r="Z802" s="3"/>
      <c r="AA802" s="24" t="str">
        <f>IF(Banco_Nacion[[#This Row],[fecha]]&gt;0,TEXT(Banco_Nacion[[#This Row],[fecha]],"mmmm"),0)</f>
        <v>Noviembre</v>
      </c>
    </row>
    <row r="803" spans="1:27" x14ac:dyDescent="0.3">
      <c r="A803" s="43">
        <f>IF(Banco_Nacion[[#This Row],[tipo_registro]]="R",COUNTIFS($C$1:$C802,"R")+1,"")</f>
        <v>736</v>
      </c>
      <c r="B803" s="19" t="str">
        <f t="shared" si="112"/>
        <v>B-Banco de la Nacion</v>
      </c>
      <c r="C803" s="3" t="s">
        <v>1330</v>
      </c>
      <c r="D803" s="14">
        <v>45964</v>
      </c>
      <c r="E803" s="5">
        <v>20120788389</v>
      </c>
      <c r="F803" s="5" t="s">
        <v>1303</v>
      </c>
      <c r="G803" s="6"/>
      <c r="H803" s="6"/>
      <c r="I803" s="6" t="s">
        <v>1784</v>
      </c>
      <c r="J803" s="6">
        <v>272</v>
      </c>
      <c r="K803" s="7"/>
      <c r="L803" s="8">
        <v>94463861</v>
      </c>
      <c r="M803" s="8" t="str">
        <f t="shared" si="113"/>
        <v>PEN</v>
      </c>
      <c r="N803" s="13"/>
      <c r="O803" s="13">
        <v>95</v>
      </c>
      <c r="P803" s="3">
        <f t="shared" si="114"/>
        <v>95</v>
      </c>
      <c r="Q803" s="3">
        <f t="shared" si="115"/>
        <v>0</v>
      </c>
      <c r="R803" s="3">
        <f t="shared" si="116"/>
        <v>12442.220000000008</v>
      </c>
      <c r="S803" s="24"/>
      <c r="T803" s="24"/>
      <c r="U803" s="3"/>
      <c r="V803" s="19" t="str">
        <f>IFERROR(VLOOKUP(Banco_Nacion[[#This Row],[responsable]],Clientes_Proveedores[[Ruc / Dni]:[Razon Social]],2,0),"")</f>
        <v>CARMEN INMUEBLES S.A.</v>
      </c>
      <c r="W803" s="19" t="str">
        <f>IF(Banco_Nacion[[#This Row],[tipo_mov]]="INGRESO",Banco_Nacion[[#This Row],[serie]]&amp;Banco_Nacion[[#This Row],[numero]]&amp;Banco_Nacion[[#This Row],[responsable]]&amp;Banco_Nacion[[#This Row],[monto]],"")</f>
        <v>FF012722012078838995</v>
      </c>
      <c r="X803" s="162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94463861</v>
      </c>
      <c r="Y803" s="3" t="str">
        <f>IFERROR(VLOOKUP(Banco_Nacion[[#This Row],[serie]]&amp;Banco_Nacion[[#This Row],[numero]]&amp;Banco_Nacion[[#This Row],[responsable]],[2]!Provision_CXC[[ID CXP]:[DETRACCION]],47,0),"")</f>
        <v/>
      </c>
      <c r="Z803" s="3"/>
      <c r="AA803" s="24" t="str">
        <f>IF(Banco_Nacion[[#This Row],[fecha]]&gt;0,TEXT(Banco_Nacion[[#This Row],[fecha]],"mmmm"),0)</f>
        <v>Noviembre</v>
      </c>
    </row>
    <row r="804" spans="1:27" x14ac:dyDescent="0.3">
      <c r="A804" s="2">
        <f>IF(Banco_Nacion[[#This Row],[tipo_registro]]="R",COUNTIFS($C$1:$C803,"R")+1,"")</f>
        <v>737</v>
      </c>
      <c r="B804" s="19" t="str">
        <f t="shared" si="112"/>
        <v>B-Banco de la Nacion</v>
      </c>
      <c r="C804" s="3" t="s">
        <v>1330</v>
      </c>
      <c r="D804" s="14">
        <v>45964</v>
      </c>
      <c r="E804" s="5">
        <v>20558698048</v>
      </c>
      <c r="F804" s="5" t="s">
        <v>1303</v>
      </c>
      <c r="G804" s="6"/>
      <c r="H804" s="6"/>
      <c r="I804" s="6" t="s">
        <v>3302</v>
      </c>
      <c r="J804" s="6">
        <v>162</v>
      </c>
      <c r="K804" s="7"/>
      <c r="L804" s="8">
        <v>78788888</v>
      </c>
      <c r="M804" s="8" t="str">
        <f t="shared" si="113"/>
        <v>PEN</v>
      </c>
      <c r="N804" s="13"/>
      <c r="O804" s="13">
        <v>137</v>
      </c>
      <c r="P804" s="3">
        <f t="shared" si="114"/>
        <v>137</v>
      </c>
      <c r="Q804" s="3">
        <f t="shared" si="115"/>
        <v>0</v>
      </c>
      <c r="R804" s="3">
        <f t="shared" si="116"/>
        <v>12579.220000000008</v>
      </c>
      <c r="S804" s="24"/>
      <c r="T804" s="24"/>
      <c r="U804" s="3"/>
      <c r="V804" s="19" t="str">
        <f>IFERROR(VLOOKUP(Banco_Nacion[[#This Row],[responsable]],Clientes_Proveedores[[Ruc / Dni]:[Razon Social]],2,0),"")</f>
        <v xml:space="preserve">J&amp;R FAST CARGO E.I.R.L. </v>
      </c>
      <c r="W804" s="19" t="str">
        <f>IF(Banco_Nacion[[#This Row],[tipo_mov]]="INGRESO",Banco_Nacion[[#This Row],[serie]]&amp;Banco_Nacion[[#This Row],[numero]]&amp;Banco_Nacion[[#This Row],[responsable]]&amp;Banco_Nacion[[#This Row],[monto]],"")</f>
        <v>FF0216220558698048137</v>
      </c>
      <c r="X804" s="162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78788888</v>
      </c>
      <c r="Y804" s="3" t="str">
        <f>IFERROR(VLOOKUP(Banco_Nacion[[#This Row],[serie]]&amp;Banco_Nacion[[#This Row],[numero]]&amp;Banco_Nacion[[#This Row],[responsable]],[2]!Provision_CXC[[ID CXP]:[DETRACCION]],47,0),"")</f>
        <v/>
      </c>
      <c r="Z804" s="3"/>
      <c r="AA804" s="24" t="str">
        <f>IF(Banco_Nacion[[#This Row],[fecha]]&gt;0,TEXT(Banco_Nacion[[#This Row],[fecha]],"mmmm"),0)</f>
        <v>Noviembre</v>
      </c>
    </row>
    <row r="805" spans="1:27" x14ac:dyDescent="0.3">
      <c r="A805" s="2">
        <f>IF(Banco_Nacion[[#This Row],[tipo_registro]]="R",COUNTIFS($C$1:$C804,"R")+1,"")</f>
        <v>738</v>
      </c>
      <c r="B805" s="19" t="str">
        <f t="shared" si="112"/>
        <v>B-Banco de la Nacion</v>
      </c>
      <c r="C805" s="3" t="s">
        <v>1330</v>
      </c>
      <c r="D805" s="14">
        <v>45965</v>
      </c>
      <c r="E805" s="5">
        <v>20607388416</v>
      </c>
      <c r="F805" s="5" t="s">
        <v>1303</v>
      </c>
      <c r="G805" s="6"/>
      <c r="H805" s="6"/>
      <c r="I805" s="6" t="s">
        <v>3381</v>
      </c>
      <c r="J805" s="6">
        <v>80</v>
      </c>
      <c r="K805" s="7"/>
      <c r="L805" s="8">
        <v>94627515</v>
      </c>
      <c r="M805" s="8" t="str">
        <f t="shared" si="113"/>
        <v>PEN</v>
      </c>
      <c r="N805" s="13"/>
      <c r="O805" s="13">
        <v>123</v>
      </c>
      <c r="P805" s="3">
        <f t="shared" si="114"/>
        <v>123</v>
      </c>
      <c r="Q805" s="3">
        <f t="shared" si="115"/>
        <v>0</v>
      </c>
      <c r="R805" s="3">
        <f t="shared" si="116"/>
        <v>12702.220000000008</v>
      </c>
      <c r="S805" s="24"/>
      <c r="T805" s="24"/>
      <c r="U805" s="3"/>
      <c r="V805" s="19" t="str">
        <f>IFERROR(VLOOKUP(Banco_Nacion[[#This Row],[responsable]],Clientes_Proveedores[[Ruc / Dni]:[Razon Social]],2,0),"")</f>
        <v>ALEACIONES FERROSAS Y METALICAS S.A.C.</v>
      </c>
      <c r="W805" s="19" t="str">
        <f>IF(Banco_Nacion[[#This Row],[tipo_mov]]="INGRESO",Banco_Nacion[[#This Row],[serie]]&amp;Banco_Nacion[[#This Row],[numero]]&amp;Banco_Nacion[[#This Row],[responsable]]&amp;Banco_Nacion[[#This Row],[monto]],"")</f>
        <v>FF058020607388416123</v>
      </c>
      <c r="X805" s="162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94627515</v>
      </c>
      <c r="Y805" s="3" t="str">
        <f>IFERROR(VLOOKUP(Banco_Nacion[[#This Row],[serie]]&amp;Banco_Nacion[[#This Row],[numero]]&amp;Banco_Nacion[[#This Row],[responsable]],[2]!Provision_CXC[[ID CXP]:[DETRACCION]],47,0),"")</f>
        <v/>
      </c>
      <c r="Z805" s="3"/>
      <c r="AA805" s="24" t="str">
        <f>IF(Banco_Nacion[[#This Row],[fecha]]&gt;0,TEXT(Banco_Nacion[[#This Row],[fecha]],"mmmm"),0)</f>
        <v>Noviembre</v>
      </c>
    </row>
    <row r="806" spans="1:27" x14ac:dyDescent="0.3">
      <c r="A806" s="43">
        <f>IF(Banco_Nacion[[#This Row],[tipo_registro]]="R",COUNTIFS($C$1:$C805,"R")+1,"")</f>
        <v>739</v>
      </c>
      <c r="B806" s="19" t="str">
        <f t="shared" ref="B806:B815" si="117">"B-Banco de la Nacion"</f>
        <v>B-Banco de la Nacion</v>
      </c>
      <c r="C806" s="3" t="s">
        <v>1330</v>
      </c>
      <c r="D806" s="14">
        <v>45965</v>
      </c>
      <c r="E806" s="5">
        <v>20498309713</v>
      </c>
      <c r="F806" s="5" t="s">
        <v>1303</v>
      </c>
      <c r="G806" s="6"/>
      <c r="H806" s="6"/>
      <c r="I806" s="6" t="s">
        <v>3302</v>
      </c>
      <c r="J806" s="6">
        <v>157</v>
      </c>
      <c r="K806" s="7"/>
      <c r="L806" s="8">
        <v>28739733</v>
      </c>
      <c r="M806" s="8" t="str">
        <f t="shared" ref="M806:M815" si="118">"PEN"</f>
        <v>PEN</v>
      </c>
      <c r="N806" s="13"/>
      <c r="O806" s="13">
        <v>72</v>
      </c>
      <c r="P806" s="3">
        <f t="shared" ref="P806:P815" si="119">+IF(OR($F806="SALDO",$F806="INGRESO"),$O806,0)</f>
        <v>72</v>
      </c>
      <c r="Q806" s="3">
        <f t="shared" ref="Q806:Q815" si="120">+IF($F806="EGRESO",$O806,0)</f>
        <v>0</v>
      </c>
      <c r="R806" s="3">
        <f t="shared" si="116"/>
        <v>12774.220000000008</v>
      </c>
      <c r="S806" s="24"/>
      <c r="T806" s="24"/>
      <c r="U806" s="3"/>
      <c r="V806" s="19" t="str">
        <f>IFERROR(VLOOKUP(Banco_Nacion[[#This Row],[responsable]],Clientes_Proveedores[[Ruc / Dni]:[Razon Social]],2,0),"")</f>
        <v>SCOMAR S.R.L</v>
      </c>
      <c r="W806" s="19" t="str">
        <f>IF(Banco_Nacion[[#This Row],[tipo_mov]]="INGRESO",Banco_Nacion[[#This Row],[serie]]&amp;Banco_Nacion[[#This Row],[numero]]&amp;Banco_Nacion[[#This Row],[responsable]]&amp;Banco_Nacion[[#This Row],[monto]],"")</f>
        <v>FF021572049830971372</v>
      </c>
      <c r="X806" s="162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28739733</v>
      </c>
      <c r="Y806" s="3" t="str">
        <f>IFERROR(VLOOKUP(Banco_Nacion[[#This Row],[serie]]&amp;Banco_Nacion[[#This Row],[numero]]&amp;Banco_Nacion[[#This Row],[responsable]],[2]!Provision_CXC[[ID CXP]:[DETRACCION]],47,0),"")</f>
        <v/>
      </c>
      <c r="Z806" s="3"/>
      <c r="AA806" s="24" t="str">
        <f>IF(Banco_Nacion[[#This Row],[fecha]]&gt;0,TEXT(Banco_Nacion[[#This Row],[fecha]],"mmmm"),0)</f>
        <v>Noviembre</v>
      </c>
    </row>
    <row r="807" spans="1:27" x14ac:dyDescent="0.3">
      <c r="A807" s="43">
        <f>IF(Banco_Nacion[[#This Row],[tipo_registro]]="R",COUNTIFS($C$1:$C806,"R")+1,"")</f>
        <v>740</v>
      </c>
      <c r="B807" s="19" t="str">
        <f t="shared" si="117"/>
        <v>B-Banco de la Nacion</v>
      </c>
      <c r="C807" s="3" t="s">
        <v>1330</v>
      </c>
      <c r="D807" s="14">
        <v>45965</v>
      </c>
      <c r="E807" s="5">
        <v>20455283915</v>
      </c>
      <c r="F807" s="5" t="s">
        <v>1303</v>
      </c>
      <c r="G807" s="6"/>
      <c r="H807" s="6"/>
      <c r="I807" s="6" t="s">
        <v>3302</v>
      </c>
      <c r="J807" s="6">
        <v>165</v>
      </c>
      <c r="K807" s="7"/>
      <c r="L807" s="8">
        <v>28739417</v>
      </c>
      <c r="M807" s="8" t="str">
        <f t="shared" si="118"/>
        <v>PEN</v>
      </c>
      <c r="N807" s="13"/>
      <c r="O807" s="13">
        <v>65</v>
      </c>
      <c r="P807" s="3">
        <f t="shared" si="119"/>
        <v>65</v>
      </c>
      <c r="Q807" s="3">
        <f t="shared" si="120"/>
        <v>0</v>
      </c>
      <c r="R807" s="3">
        <f t="shared" ref="R807:R815" si="121">IFERROR(IF(F807="SALDO",P807,R806+P807-Q807),0)</f>
        <v>12839.220000000008</v>
      </c>
      <c r="S807" s="24"/>
      <c r="T807" s="24"/>
      <c r="U807" s="3"/>
      <c r="V807" s="19" t="str">
        <f>IFERROR(VLOOKUP(Banco_Nacion[[#This Row],[responsable]],Clientes_Proveedores[[Ruc / Dni]:[Razon Social]],2,0),"")</f>
        <v>EMPRESA CONSERVADORA AMBIENTAL DEL SUR E.I.R.L. - ECA SUR E.I.R.L.</v>
      </c>
      <c r="W807" s="19" t="str">
        <f>IF(Banco_Nacion[[#This Row],[tipo_mov]]="INGRESO",Banco_Nacion[[#This Row],[serie]]&amp;Banco_Nacion[[#This Row],[numero]]&amp;Banco_Nacion[[#This Row],[responsable]]&amp;Banco_Nacion[[#This Row],[monto]],"")</f>
        <v>FF021652045528391565</v>
      </c>
      <c r="X807" s="162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28739417</v>
      </c>
      <c r="Y807" s="3" t="str">
        <f>IFERROR(VLOOKUP(Banco_Nacion[[#This Row],[serie]]&amp;Banco_Nacion[[#This Row],[numero]]&amp;Banco_Nacion[[#This Row],[responsable]],[2]!Provision_CXC[[ID CXP]:[DETRACCION]],47,0),"")</f>
        <v/>
      </c>
      <c r="Z807" s="3"/>
      <c r="AA807" s="24" t="str">
        <f>IF(Banco_Nacion[[#This Row],[fecha]]&gt;0,TEXT(Banco_Nacion[[#This Row],[fecha]],"mmmm"),0)</f>
        <v>Noviembre</v>
      </c>
    </row>
    <row r="808" spans="1:27" x14ac:dyDescent="0.3">
      <c r="A808" s="43">
        <f>IF(Banco_Nacion[[#This Row],[tipo_registro]]="R",COUNTIFS($C$1:$C807,"R")+1,"")</f>
        <v>741</v>
      </c>
      <c r="B808" s="19" t="str">
        <f t="shared" si="117"/>
        <v>B-Banco de la Nacion</v>
      </c>
      <c r="C808" s="3" t="s">
        <v>1330</v>
      </c>
      <c r="D808" s="14">
        <v>45965</v>
      </c>
      <c r="E808" s="5">
        <v>20455283915</v>
      </c>
      <c r="F808" s="5" t="s">
        <v>1303</v>
      </c>
      <c r="G808" s="6"/>
      <c r="H808" s="6"/>
      <c r="I808" s="6" t="s">
        <v>3302</v>
      </c>
      <c r="J808" s="6">
        <v>147</v>
      </c>
      <c r="K808" s="7"/>
      <c r="L808" s="8">
        <v>28739417</v>
      </c>
      <c r="M808" s="8" t="str">
        <f t="shared" si="118"/>
        <v>PEN</v>
      </c>
      <c r="N808" s="13"/>
      <c r="O808" s="13">
        <v>93</v>
      </c>
      <c r="P808" s="3">
        <f t="shared" si="119"/>
        <v>93</v>
      </c>
      <c r="Q808" s="3">
        <f t="shared" si="120"/>
        <v>0</v>
      </c>
      <c r="R808" s="3">
        <f t="shared" si="121"/>
        <v>12932.220000000008</v>
      </c>
      <c r="S808" s="24"/>
      <c r="T808" s="24"/>
      <c r="U808" s="3"/>
      <c r="V808" s="19" t="str">
        <f>IFERROR(VLOOKUP(Banco_Nacion[[#This Row],[responsable]],Clientes_Proveedores[[Ruc / Dni]:[Razon Social]],2,0),"")</f>
        <v>EMPRESA CONSERVADORA AMBIENTAL DEL SUR E.I.R.L. - ECA SUR E.I.R.L.</v>
      </c>
      <c r="W808" s="19" t="str">
        <f>IF(Banco_Nacion[[#This Row],[tipo_mov]]="INGRESO",Banco_Nacion[[#This Row],[serie]]&amp;Banco_Nacion[[#This Row],[numero]]&amp;Banco_Nacion[[#This Row],[responsable]]&amp;Banco_Nacion[[#This Row],[monto]],"")</f>
        <v>FF021472045528391593</v>
      </c>
      <c r="X808" s="162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28739417</v>
      </c>
      <c r="Y808" s="3" t="str">
        <f>IFERROR(VLOOKUP(Banco_Nacion[[#This Row],[serie]]&amp;Banco_Nacion[[#This Row],[numero]]&amp;Banco_Nacion[[#This Row],[responsable]],[2]!Provision_CXC[[ID CXP]:[DETRACCION]],47,0),"")</f>
        <v/>
      </c>
      <c r="Z808" s="3"/>
      <c r="AA808" s="24" t="str">
        <f>IF(Banco_Nacion[[#This Row],[fecha]]&gt;0,TEXT(Banco_Nacion[[#This Row],[fecha]],"mmmm"),0)</f>
        <v>Noviembre</v>
      </c>
    </row>
    <row r="809" spans="1:27" x14ac:dyDescent="0.3">
      <c r="A809" s="43">
        <f>IF(Banco_Nacion[[#This Row],[tipo_registro]]="R",COUNTIFS($C$1:$C808,"R")+1,"")</f>
        <v>742</v>
      </c>
      <c r="B809" s="19" t="str">
        <f t="shared" si="117"/>
        <v>B-Banco de la Nacion</v>
      </c>
      <c r="C809" s="3" t="s">
        <v>1330</v>
      </c>
      <c r="D809" s="14">
        <v>45965</v>
      </c>
      <c r="E809" s="5">
        <v>20455283915</v>
      </c>
      <c r="F809" s="5" t="s">
        <v>1303</v>
      </c>
      <c r="G809" s="6"/>
      <c r="H809" s="6"/>
      <c r="I809" s="6" t="s">
        <v>3302</v>
      </c>
      <c r="J809" s="6">
        <v>148</v>
      </c>
      <c r="K809" s="7"/>
      <c r="L809" s="8">
        <v>28739417</v>
      </c>
      <c r="M809" s="8" t="str">
        <f t="shared" si="118"/>
        <v>PEN</v>
      </c>
      <c r="N809" s="13"/>
      <c r="O809" s="13">
        <v>55</v>
      </c>
      <c r="P809" s="3">
        <f t="shared" si="119"/>
        <v>55</v>
      </c>
      <c r="Q809" s="3">
        <f t="shared" si="120"/>
        <v>0</v>
      </c>
      <c r="R809" s="3">
        <f t="shared" si="121"/>
        <v>12987.220000000008</v>
      </c>
      <c r="S809" s="24"/>
      <c r="T809" s="24"/>
      <c r="U809" s="3"/>
      <c r="V809" s="19" t="str">
        <f>IFERROR(VLOOKUP(Banco_Nacion[[#This Row],[responsable]],Clientes_Proveedores[[Ruc / Dni]:[Razon Social]],2,0),"")</f>
        <v>EMPRESA CONSERVADORA AMBIENTAL DEL SUR E.I.R.L. - ECA SUR E.I.R.L.</v>
      </c>
      <c r="W809" s="19" t="str">
        <f>IF(Banco_Nacion[[#This Row],[tipo_mov]]="INGRESO",Banco_Nacion[[#This Row],[serie]]&amp;Banco_Nacion[[#This Row],[numero]]&amp;Banco_Nacion[[#This Row],[responsable]]&amp;Banco_Nacion[[#This Row],[monto]],"")</f>
        <v>FF021482045528391555</v>
      </c>
      <c r="X809" s="162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28739417</v>
      </c>
      <c r="Y809" s="3" t="str">
        <f>IFERROR(VLOOKUP(Banco_Nacion[[#This Row],[serie]]&amp;Banco_Nacion[[#This Row],[numero]]&amp;Banco_Nacion[[#This Row],[responsable]],[2]!Provision_CXC[[ID CXP]:[DETRACCION]],47,0),"")</f>
        <v/>
      </c>
      <c r="Z809" s="3"/>
      <c r="AA809" s="24" t="str">
        <f>IF(Banco_Nacion[[#This Row],[fecha]]&gt;0,TEXT(Banco_Nacion[[#This Row],[fecha]],"mmmm"),0)</f>
        <v>Noviembre</v>
      </c>
    </row>
    <row r="810" spans="1:27" x14ac:dyDescent="0.3">
      <c r="A810" s="43">
        <f>IF(Banco_Nacion[[#This Row],[tipo_registro]]="R",COUNTIFS($C$1:$C809,"R")+1,"")</f>
        <v>743</v>
      </c>
      <c r="B810" s="19" t="str">
        <f t="shared" si="117"/>
        <v>B-Banco de la Nacion</v>
      </c>
      <c r="C810" s="3" t="s">
        <v>1330</v>
      </c>
      <c r="D810" s="14">
        <v>45965</v>
      </c>
      <c r="E810" s="5">
        <v>20455283915</v>
      </c>
      <c r="F810" s="5" t="s">
        <v>1303</v>
      </c>
      <c r="G810" s="6"/>
      <c r="H810" s="6"/>
      <c r="I810" s="6" t="s">
        <v>3302</v>
      </c>
      <c r="J810" s="6">
        <v>152</v>
      </c>
      <c r="K810" s="7"/>
      <c r="L810" s="8">
        <v>28739417</v>
      </c>
      <c r="M810" s="8" t="str">
        <f t="shared" si="118"/>
        <v>PEN</v>
      </c>
      <c r="N810" s="13"/>
      <c r="O810" s="13">
        <v>56</v>
      </c>
      <c r="P810" s="3">
        <f t="shared" si="119"/>
        <v>56</v>
      </c>
      <c r="Q810" s="3">
        <f t="shared" si="120"/>
        <v>0</v>
      </c>
      <c r="R810" s="3">
        <f t="shared" si="121"/>
        <v>13043.220000000008</v>
      </c>
      <c r="S810" s="24"/>
      <c r="T810" s="24"/>
      <c r="U810" s="3"/>
      <c r="V810" s="19" t="str">
        <f>IFERROR(VLOOKUP(Banco_Nacion[[#This Row],[responsable]],Clientes_Proveedores[[Ruc / Dni]:[Razon Social]],2,0),"")</f>
        <v>EMPRESA CONSERVADORA AMBIENTAL DEL SUR E.I.R.L. - ECA SUR E.I.R.L.</v>
      </c>
      <c r="W810" s="19" t="str">
        <f>IF(Banco_Nacion[[#This Row],[tipo_mov]]="INGRESO",Banco_Nacion[[#This Row],[serie]]&amp;Banco_Nacion[[#This Row],[numero]]&amp;Banco_Nacion[[#This Row],[responsable]]&amp;Banco_Nacion[[#This Row],[monto]],"")</f>
        <v>FF021522045528391556</v>
      </c>
      <c r="X810" s="162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28739417</v>
      </c>
      <c r="Y810" s="3" t="str">
        <f>IFERROR(VLOOKUP(Banco_Nacion[[#This Row],[serie]]&amp;Banco_Nacion[[#This Row],[numero]]&amp;Banco_Nacion[[#This Row],[responsable]],[2]!Provision_CXC[[ID CXP]:[DETRACCION]],47,0),"")</f>
        <v/>
      </c>
      <c r="Z810" s="3"/>
      <c r="AA810" s="24" t="str">
        <f>IF(Banco_Nacion[[#This Row],[fecha]]&gt;0,TEXT(Banco_Nacion[[#This Row],[fecha]],"mmmm"),0)</f>
        <v>Noviembre</v>
      </c>
    </row>
    <row r="811" spans="1:27" x14ac:dyDescent="0.3">
      <c r="A811" s="43">
        <f>IF(Banco_Nacion[[#This Row],[tipo_registro]]="R",COUNTIFS($C$1:$C810,"R")+1,"")</f>
        <v>744</v>
      </c>
      <c r="B811" s="19" t="str">
        <f t="shared" si="117"/>
        <v>B-Banco de la Nacion</v>
      </c>
      <c r="C811" s="3" t="s">
        <v>1330</v>
      </c>
      <c r="D811" s="14">
        <v>45965</v>
      </c>
      <c r="E811" s="5">
        <v>20455283915</v>
      </c>
      <c r="F811" s="5" t="s">
        <v>1303</v>
      </c>
      <c r="G811" s="6"/>
      <c r="H811" s="6"/>
      <c r="I811" s="6" t="s">
        <v>3302</v>
      </c>
      <c r="J811" s="6">
        <v>160</v>
      </c>
      <c r="K811" s="7"/>
      <c r="L811" s="8">
        <v>28739417</v>
      </c>
      <c r="M811" s="8" t="str">
        <f t="shared" si="118"/>
        <v>PEN</v>
      </c>
      <c r="N811" s="13"/>
      <c r="O811" s="13">
        <v>86</v>
      </c>
      <c r="P811" s="3">
        <f t="shared" si="119"/>
        <v>86</v>
      </c>
      <c r="Q811" s="3">
        <f t="shared" si="120"/>
        <v>0</v>
      </c>
      <c r="R811" s="3">
        <f t="shared" si="121"/>
        <v>13129.220000000008</v>
      </c>
      <c r="S811" s="24"/>
      <c r="T811" s="24"/>
      <c r="U811" s="3"/>
      <c r="V811" s="19" t="str">
        <f>IFERROR(VLOOKUP(Banco_Nacion[[#This Row],[responsable]],Clientes_Proveedores[[Ruc / Dni]:[Razon Social]],2,0),"")</f>
        <v>EMPRESA CONSERVADORA AMBIENTAL DEL SUR E.I.R.L. - ECA SUR E.I.R.L.</v>
      </c>
      <c r="W811" s="19" t="str">
        <f>IF(Banco_Nacion[[#This Row],[tipo_mov]]="INGRESO",Banco_Nacion[[#This Row],[serie]]&amp;Banco_Nacion[[#This Row],[numero]]&amp;Banco_Nacion[[#This Row],[responsable]]&amp;Banco_Nacion[[#This Row],[monto]],"")</f>
        <v>FF021602045528391586</v>
      </c>
      <c r="X811" s="162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28739417</v>
      </c>
      <c r="Y811" s="3" t="str">
        <f>IFERROR(VLOOKUP(Banco_Nacion[[#This Row],[serie]]&amp;Banco_Nacion[[#This Row],[numero]]&amp;Banco_Nacion[[#This Row],[responsable]],[2]!Provision_CXC[[ID CXP]:[DETRACCION]],47,0),"")</f>
        <v/>
      </c>
      <c r="Z811" s="3"/>
      <c r="AA811" s="24" t="str">
        <f>IF(Banco_Nacion[[#This Row],[fecha]]&gt;0,TEXT(Banco_Nacion[[#This Row],[fecha]],"mmmm"),0)</f>
        <v>Noviembre</v>
      </c>
    </row>
    <row r="812" spans="1:27" x14ac:dyDescent="0.3">
      <c r="A812" s="43">
        <f>IF(Banco_Nacion[[#This Row],[tipo_registro]]="R",COUNTIFS($C$1:$C811,"R")+1,"")</f>
        <v>745</v>
      </c>
      <c r="B812" s="19" t="str">
        <f t="shared" si="117"/>
        <v>B-Banco de la Nacion</v>
      </c>
      <c r="C812" s="3" t="s">
        <v>1330</v>
      </c>
      <c r="D812" s="14">
        <v>45965</v>
      </c>
      <c r="E812" s="5">
        <v>20455283915</v>
      </c>
      <c r="F812" s="5" t="s">
        <v>1303</v>
      </c>
      <c r="G812" s="6"/>
      <c r="H812" s="6"/>
      <c r="I812" s="6" t="s">
        <v>3302</v>
      </c>
      <c r="J812" s="6">
        <v>156</v>
      </c>
      <c r="K812" s="7"/>
      <c r="L812" s="8">
        <v>28739417</v>
      </c>
      <c r="M812" s="8" t="str">
        <f t="shared" si="118"/>
        <v>PEN</v>
      </c>
      <c r="N812" s="13"/>
      <c r="O812" s="13">
        <v>81</v>
      </c>
      <c r="P812" s="3">
        <f t="shared" si="119"/>
        <v>81</v>
      </c>
      <c r="Q812" s="3">
        <f t="shared" si="120"/>
        <v>0</v>
      </c>
      <c r="R812" s="3">
        <f t="shared" si="121"/>
        <v>13210.220000000008</v>
      </c>
      <c r="S812" s="24"/>
      <c r="T812" s="24"/>
      <c r="U812" s="3"/>
      <c r="V812" s="19" t="str">
        <f>IFERROR(VLOOKUP(Banco_Nacion[[#This Row],[responsable]],Clientes_Proveedores[[Ruc / Dni]:[Razon Social]],2,0),"")</f>
        <v>EMPRESA CONSERVADORA AMBIENTAL DEL SUR E.I.R.L. - ECA SUR E.I.R.L.</v>
      </c>
      <c r="W812" s="19" t="str">
        <f>IF(Banco_Nacion[[#This Row],[tipo_mov]]="INGRESO",Banco_Nacion[[#This Row],[serie]]&amp;Banco_Nacion[[#This Row],[numero]]&amp;Banco_Nacion[[#This Row],[responsable]]&amp;Banco_Nacion[[#This Row],[monto]],"")</f>
        <v>FF021562045528391581</v>
      </c>
      <c r="X812" s="162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28739417</v>
      </c>
      <c r="Y812" s="3" t="str">
        <f>IFERROR(VLOOKUP(Banco_Nacion[[#This Row],[serie]]&amp;Banco_Nacion[[#This Row],[numero]]&amp;Banco_Nacion[[#This Row],[responsable]],[2]!Provision_CXC[[ID CXP]:[DETRACCION]],47,0),"")</f>
        <v/>
      </c>
      <c r="Z812" s="3"/>
      <c r="AA812" s="24" t="str">
        <f>IF(Banco_Nacion[[#This Row],[fecha]]&gt;0,TEXT(Banco_Nacion[[#This Row],[fecha]],"mmmm"),0)</f>
        <v>Noviembre</v>
      </c>
    </row>
    <row r="813" spans="1:27" x14ac:dyDescent="0.3">
      <c r="A813" s="43">
        <f>IF(Banco_Nacion[[#This Row],[tipo_registro]]="R",COUNTIFS($C$1:$C812,"R")+1,"")</f>
        <v>746</v>
      </c>
      <c r="B813" s="19" t="str">
        <f t="shared" si="117"/>
        <v>B-Banco de la Nacion</v>
      </c>
      <c r="C813" s="3" t="s">
        <v>1330</v>
      </c>
      <c r="D813" s="14">
        <v>45965</v>
      </c>
      <c r="E813" s="5">
        <v>20455283915</v>
      </c>
      <c r="F813" s="5" t="s">
        <v>1303</v>
      </c>
      <c r="G813" s="6"/>
      <c r="H813" s="6"/>
      <c r="I813" s="6" t="s">
        <v>3302</v>
      </c>
      <c r="J813" s="6">
        <v>166</v>
      </c>
      <c r="K813" s="7"/>
      <c r="L813" s="8">
        <v>28739417</v>
      </c>
      <c r="M813" s="8" t="str">
        <f t="shared" si="118"/>
        <v>PEN</v>
      </c>
      <c r="N813" s="13"/>
      <c r="O813" s="13">
        <v>299</v>
      </c>
      <c r="P813" s="3">
        <f t="shared" si="119"/>
        <v>299</v>
      </c>
      <c r="Q813" s="3">
        <f t="shared" si="120"/>
        <v>0</v>
      </c>
      <c r="R813" s="3">
        <f t="shared" si="121"/>
        <v>13509.220000000008</v>
      </c>
      <c r="S813" s="24"/>
      <c r="T813" s="24"/>
      <c r="U813" s="3"/>
      <c r="V813" s="19" t="str">
        <f>IFERROR(VLOOKUP(Banco_Nacion[[#This Row],[responsable]],Clientes_Proveedores[[Ruc / Dni]:[Razon Social]],2,0),"")</f>
        <v>EMPRESA CONSERVADORA AMBIENTAL DEL SUR E.I.R.L. - ECA SUR E.I.R.L.</v>
      </c>
      <c r="W813" s="19" t="str">
        <f>IF(Banco_Nacion[[#This Row],[tipo_mov]]="INGRESO",Banco_Nacion[[#This Row],[serie]]&amp;Banco_Nacion[[#This Row],[numero]]&amp;Banco_Nacion[[#This Row],[responsable]]&amp;Banco_Nacion[[#This Row],[monto]],"")</f>
        <v>FF0216620455283915299</v>
      </c>
      <c r="X813" s="162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28739417</v>
      </c>
      <c r="Y813" s="3" t="str">
        <f>IFERROR(VLOOKUP(Banco_Nacion[[#This Row],[serie]]&amp;Banco_Nacion[[#This Row],[numero]]&amp;Banco_Nacion[[#This Row],[responsable]],[2]!Provision_CXC[[ID CXP]:[DETRACCION]],47,0),"")</f>
        <v/>
      </c>
      <c r="Z813" s="3"/>
      <c r="AA813" s="24" t="str">
        <f>IF(Banco_Nacion[[#This Row],[fecha]]&gt;0,TEXT(Banco_Nacion[[#This Row],[fecha]],"mmmm"),0)</f>
        <v>Noviembre</v>
      </c>
    </row>
    <row r="814" spans="1:27" x14ac:dyDescent="0.3">
      <c r="A814" s="43">
        <f>IF(Banco_Nacion[[#This Row],[tipo_registro]]="R",COUNTIFS($C$1:$C813,"R")+1,"")</f>
        <v>747</v>
      </c>
      <c r="B814" s="19" t="str">
        <f t="shared" si="117"/>
        <v>B-Banco de la Nacion</v>
      </c>
      <c r="C814" s="3" t="s">
        <v>1330</v>
      </c>
      <c r="D814" s="14">
        <v>45965</v>
      </c>
      <c r="E814" s="5">
        <v>20455283915</v>
      </c>
      <c r="F814" s="5" t="s">
        <v>1303</v>
      </c>
      <c r="G814" s="6"/>
      <c r="H814" s="6"/>
      <c r="I814" s="6" t="s">
        <v>3302</v>
      </c>
      <c r="J814" s="6">
        <v>163</v>
      </c>
      <c r="K814" s="7"/>
      <c r="L814" s="8">
        <v>28739417</v>
      </c>
      <c r="M814" s="8" t="str">
        <f t="shared" si="118"/>
        <v>PEN</v>
      </c>
      <c r="N814" s="13"/>
      <c r="O814" s="13">
        <v>198</v>
      </c>
      <c r="P814" s="3">
        <f t="shared" si="119"/>
        <v>198</v>
      </c>
      <c r="Q814" s="3">
        <f t="shared" si="120"/>
        <v>0</v>
      </c>
      <c r="R814" s="3">
        <f t="shared" si="121"/>
        <v>13707.220000000008</v>
      </c>
      <c r="S814" s="24"/>
      <c r="T814" s="24"/>
      <c r="U814" s="3"/>
      <c r="V814" s="19" t="str">
        <f>IFERROR(VLOOKUP(Banco_Nacion[[#This Row],[responsable]],Clientes_Proveedores[[Ruc / Dni]:[Razon Social]],2,0),"")</f>
        <v>EMPRESA CONSERVADORA AMBIENTAL DEL SUR E.I.R.L. - ECA SUR E.I.R.L.</v>
      </c>
      <c r="W814" s="19" t="str">
        <f>IF(Banco_Nacion[[#This Row],[tipo_mov]]="INGRESO",Banco_Nacion[[#This Row],[serie]]&amp;Banco_Nacion[[#This Row],[numero]]&amp;Banco_Nacion[[#This Row],[responsable]]&amp;Banco_Nacion[[#This Row],[monto]],"")</f>
        <v>FF0216320455283915198</v>
      </c>
      <c r="X814" s="162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28739417</v>
      </c>
      <c r="Y814" s="3" t="str">
        <f>IFERROR(VLOOKUP(Banco_Nacion[[#This Row],[serie]]&amp;Banco_Nacion[[#This Row],[numero]]&amp;Banco_Nacion[[#This Row],[responsable]],[2]!Provision_CXC[[ID CXP]:[DETRACCION]],47,0),"")</f>
        <v/>
      </c>
      <c r="Z814" s="3"/>
      <c r="AA814" s="24" t="str">
        <f>IF(Banco_Nacion[[#This Row],[fecha]]&gt;0,TEXT(Banco_Nacion[[#This Row],[fecha]],"mmmm"),0)</f>
        <v>Noviembre</v>
      </c>
    </row>
    <row r="815" spans="1:27" x14ac:dyDescent="0.3">
      <c r="A815" s="43">
        <f>IF(Banco_Nacion[[#This Row],[tipo_registro]]="R",COUNTIFS($C$1:$C814,"R")+1,"")</f>
        <v>748</v>
      </c>
      <c r="B815" s="19" t="str">
        <f t="shared" si="117"/>
        <v>B-Banco de la Nacion</v>
      </c>
      <c r="C815" s="3" t="s">
        <v>1330</v>
      </c>
      <c r="D815" s="14">
        <v>45965</v>
      </c>
      <c r="E815" s="5">
        <v>20455283915</v>
      </c>
      <c r="F815" s="5" t="s">
        <v>1303</v>
      </c>
      <c r="G815" s="6"/>
      <c r="H815" s="6"/>
      <c r="I815" s="6" t="s">
        <v>3302</v>
      </c>
      <c r="J815" s="6">
        <v>149</v>
      </c>
      <c r="K815" s="7"/>
      <c r="L815" s="8">
        <v>28739417</v>
      </c>
      <c r="M815" s="8" t="str">
        <f t="shared" si="118"/>
        <v>PEN</v>
      </c>
      <c r="N815" s="13"/>
      <c r="O815" s="13">
        <v>19</v>
      </c>
      <c r="P815" s="3">
        <f t="shared" si="119"/>
        <v>19</v>
      </c>
      <c r="Q815" s="3">
        <f t="shared" si="120"/>
        <v>0</v>
      </c>
      <c r="R815" s="3">
        <f t="shared" si="121"/>
        <v>13726.220000000008</v>
      </c>
      <c r="S815" s="24"/>
      <c r="T815" s="24"/>
      <c r="U815" s="3"/>
      <c r="V815" s="19" t="str">
        <f>IFERROR(VLOOKUP(Banco_Nacion[[#This Row],[responsable]],Clientes_Proveedores[[Ruc / Dni]:[Razon Social]],2,0),"")</f>
        <v>EMPRESA CONSERVADORA AMBIENTAL DEL SUR E.I.R.L. - ECA SUR E.I.R.L.</v>
      </c>
      <c r="W815" s="19" t="str">
        <f>IF(Banco_Nacion[[#This Row],[tipo_mov]]="INGRESO",Banco_Nacion[[#This Row],[serie]]&amp;Banco_Nacion[[#This Row],[numero]]&amp;Banco_Nacion[[#This Row],[responsable]]&amp;Banco_Nacion[[#This Row],[monto]],"")</f>
        <v>FF021492045528391519</v>
      </c>
      <c r="X815" s="162" t="str">
        <f>IF(Banco_Nacion[[#This Row],[abono]]&gt;0,"Por el cobro de Detraccion C.S. "&amp;(IFERROR(VLOOKUP(Banco_Nacion[[#This Row],[nota_2]],[1]!BD_Detracciones[[2]:[Numero Constancia]],4,0),""))&amp;" OP "&amp;Banco_Nacion[[#This Row],[num_operacion]],"")</f>
        <v>Por el cobro de Detraccion C.S.  OP 28739417</v>
      </c>
      <c r="Y815" s="3" t="str">
        <f>IFERROR(VLOOKUP(Banco_Nacion[[#This Row],[serie]]&amp;Banco_Nacion[[#This Row],[numero]]&amp;Banco_Nacion[[#This Row],[responsable]],[2]!Provision_CXC[[ID CXP]:[DETRACCION]],47,0),"")</f>
        <v/>
      </c>
      <c r="Z815" s="3"/>
      <c r="AA815" s="24" t="str">
        <f>IF(Banco_Nacion[[#This Row],[fecha]]&gt;0,TEXT(Banco_Nacion[[#This Row],[fecha]],"mmmm"),0)</f>
        <v>Noviembre</v>
      </c>
    </row>
    <row r="826" spans="6:12" x14ac:dyDescent="0.3">
      <c r="F826" s="57"/>
      <c r="G826" s="57"/>
      <c r="H826" s="57"/>
      <c r="I826" s="57"/>
      <c r="J826" s="140" t="s">
        <v>5241</v>
      </c>
      <c r="K826" s="141"/>
      <c r="L826" s="140" t="s">
        <v>5242</v>
      </c>
    </row>
    <row r="827" spans="6:12" x14ac:dyDescent="0.3">
      <c r="F827" s="57" t="s">
        <v>5243</v>
      </c>
      <c r="G827" s="57"/>
      <c r="H827" s="57"/>
      <c r="I827" s="142">
        <v>9359.91</v>
      </c>
      <c r="J827" s="143">
        <f>ROUND(I827,0)</f>
        <v>9360</v>
      </c>
      <c r="K827" s="141"/>
      <c r="L827" s="144">
        <f>J827-I827</f>
        <v>9.0000000000145519E-2</v>
      </c>
    </row>
    <row r="828" spans="6:12" x14ac:dyDescent="0.3">
      <c r="F828" s="57" t="s">
        <v>5244</v>
      </c>
      <c r="G828" s="57"/>
      <c r="H828" s="57"/>
      <c r="I828" s="142">
        <v>2752.8</v>
      </c>
      <c r="J828" s="143">
        <f>ROUND(I828,0)</f>
        <v>2753</v>
      </c>
      <c r="K828" s="141"/>
      <c r="L828" s="144">
        <f>J828-I828</f>
        <v>0.1999999999998181</v>
      </c>
    </row>
    <row r="829" spans="6:12" x14ac:dyDescent="0.3">
      <c r="F829" s="57" t="s">
        <v>5245</v>
      </c>
      <c r="G829" s="57"/>
      <c r="H829" s="57"/>
      <c r="I829" s="142">
        <v>231.37</v>
      </c>
      <c r="J829" s="143">
        <f>ROUND(I829,0)</f>
        <v>231</v>
      </c>
      <c r="K829" s="141"/>
      <c r="L829" s="144">
        <f>J829-I829</f>
        <v>-0.37000000000000455</v>
      </c>
    </row>
    <row r="830" spans="6:12" x14ac:dyDescent="0.3">
      <c r="F830" s="58" t="s">
        <v>5246</v>
      </c>
      <c r="G830" s="141"/>
      <c r="H830" s="141"/>
      <c r="I830" s="145">
        <f>SUM(I827:I829)</f>
        <v>12344.08</v>
      </c>
      <c r="J830" s="145">
        <f>SUM(J827:J829)</f>
        <v>12344</v>
      </c>
      <c r="K830" s="141"/>
      <c r="L830" s="145">
        <f>SUM(L827:L829)</f>
        <v>-8.0000000000040927E-2</v>
      </c>
    </row>
  </sheetData>
  <conditionalFormatting sqref="A2:T815 AA2:AA815">
    <cfRule type="expression" dxfId="252" priority="12">
      <formula>$C2="D"</formula>
    </cfRule>
  </conditionalFormatting>
  <conditionalFormatting sqref="A2:AA10277">
    <cfRule type="expression" dxfId="251" priority="11">
      <formula>$T2="OK"</formula>
    </cfRule>
  </conditionalFormatting>
  <conditionalFormatting sqref="C583:C584">
    <cfRule type="expression" dxfId="250" priority="9">
      <formula>$C583="D"</formula>
    </cfRule>
  </conditionalFormatting>
  <conditionalFormatting sqref="D721:D722">
    <cfRule type="expression" dxfId="249" priority="7">
      <formula>$C721="D"</formula>
    </cfRule>
  </conditionalFormatting>
  <conditionalFormatting sqref="D730">
    <cfRule type="expression" dxfId="248" priority="6">
      <formula>$C730="D"</formula>
    </cfRule>
  </conditionalFormatting>
  <conditionalFormatting sqref="D789:D790">
    <cfRule type="expression" dxfId="247" priority="4">
      <formula>$C789="D"</formula>
    </cfRule>
  </conditionalFormatting>
  <conditionalFormatting sqref="D792">
    <cfRule type="expression" dxfId="246" priority="3">
      <formula>$C792="D"</formula>
    </cfRule>
  </conditionalFormatting>
  <conditionalFormatting sqref="D794">
    <cfRule type="expression" dxfId="245" priority="2">
      <formula>$C794="D"</formula>
    </cfRule>
  </conditionalFormatting>
  <dataValidations count="4">
    <dataValidation type="list" allowBlank="1" showInputMessage="1" showErrorMessage="1" sqref="H2:H815" xr:uid="{84E66A5C-83C7-43B9-B459-94BECFB8D78C}">
      <formula1>Documentos</formula1>
    </dataValidation>
    <dataValidation type="list" allowBlank="1" showInputMessage="1" showErrorMessage="1" sqref="G2:G815" xr:uid="{A70A423A-063D-4FB7-B9B0-526F34D4AE36}">
      <formula1>Proveedores_Clientes</formula1>
    </dataValidation>
    <dataValidation type="list" allowBlank="1" showInputMessage="1" showErrorMessage="1" sqref="F2:F815" xr:uid="{0DF92C80-10F6-4B0F-BFFE-6C9959362A2A}">
      <formula1>"SALDO,INGRESO,EGRESO"</formula1>
    </dataValidation>
    <dataValidation type="list" allowBlank="1" showInputMessage="1" showErrorMessage="1" sqref="C2:C815" xr:uid="{E4EDA516-CCE3-489B-A576-301F0C2BD1BC}">
      <formula1>"R,D"</formula1>
    </dataValidation>
  </dataValidations>
  <printOptions horizontalCentered="1"/>
  <pageMargins left="0.11811023622047245" right="0.11811023622047245" top="0.35433070866141736" bottom="0.35433070866141736" header="0.31496062992125984" footer="0.31496062992125984"/>
  <pageSetup paperSize="9" scale="68" fitToHeight="0" orientation="landscape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70205-E818-4893-8A92-3130A72DD920}">
  <sheetPr codeName="Hoja7">
    <tabColor theme="0" tint="-0.499984740745262"/>
    <pageSetUpPr fitToPage="1"/>
  </sheetPr>
  <dimension ref="A1:AB1150"/>
  <sheetViews>
    <sheetView showGridLines="0" topLeftCell="R1" zoomScale="115" zoomScaleNormal="115" zoomScaleSheetLayoutView="100" workbookViewId="0">
      <selection sqref="A1:AB1"/>
    </sheetView>
  </sheetViews>
  <sheetFormatPr defaultColWidth="11.44140625" defaultRowHeight="14.4" outlineLevelCol="1" x14ac:dyDescent="0.3"/>
  <cols>
    <col min="1" max="1" width="9.44140625" bestFit="1" customWidth="1"/>
    <col min="2" max="2" width="15.44140625" bestFit="1" customWidth="1"/>
    <col min="3" max="3" width="13.44140625" bestFit="1" customWidth="1"/>
    <col min="4" max="4" width="10.6640625" bestFit="1" customWidth="1"/>
    <col min="5" max="5" width="14.33203125" customWidth="1"/>
    <col min="6" max="6" width="11.6640625" bestFit="1" customWidth="1"/>
    <col min="7" max="7" width="14.88671875" customWidth="1"/>
    <col min="8" max="8" width="17" bestFit="1" customWidth="1"/>
    <col min="9" max="9" width="16" customWidth="1"/>
    <col min="10" max="10" width="10.109375" bestFit="1" customWidth="1"/>
    <col min="11" max="11" width="12.44140625" bestFit="1" customWidth="1"/>
    <col min="12" max="12" width="40.44140625" bestFit="1" customWidth="1"/>
    <col min="13" max="13" width="15" bestFit="1" customWidth="1"/>
    <col min="14" max="14" width="12.44140625" bestFit="1" customWidth="1"/>
    <col min="15" max="15" width="12.109375" bestFit="1" customWidth="1"/>
    <col min="16" max="16" width="11.44140625" bestFit="1" customWidth="1"/>
    <col min="17" max="17" width="11.33203125" customWidth="1"/>
    <col min="18" max="18" width="11.33203125" bestFit="1" customWidth="1"/>
    <col min="19" max="19" width="10.88671875" bestFit="1" customWidth="1"/>
    <col min="20" max="20" width="12" bestFit="1" customWidth="1"/>
    <col min="21" max="21" width="13" bestFit="1" customWidth="1"/>
    <col min="22" max="22" width="15.88671875" customWidth="1"/>
    <col min="23" max="27" width="17.109375" customWidth="1" outlineLevel="1"/>
    <col min="28" max="28" width="12.88671875" customWidth="1" outlineLevel="1"/>
  </cols>
  <sheetData>
    <row r="1" spans="1:28" x14ac:dyDescent="0.3">
      <c r="A1" s="263" t="s">
        <v>9536</v>
      </c>
      <c r="B1" s="263" t="s">
        <v>9537</v>
      </c>
      <c r="C1" s="263" t="s">
        <v>9563</v>
      </c>
      <c r="D1" s="263" t="s">
        <v>9539</v>
      </c>
      <c r="E1" s="263" t="s">
        <v>9540</v>
      </c>
      <c r="F1" s="263" t="s">
        <v>9541</v>
      </c>
      <c r="G1" s="263" t="s">
        <v>9564</v>
      </c>
      <c r="H1" s="263" t="s">
        <v>9542</v>
      </c>
      <c r="I1" s="263" t="s">
        <v>9543</v>
      </c>
      <c r="J1" s="263" t="s">
        <v>9544</v>
      </c>
      <c r="K1" s="263" t="s">
        <v>9545</v>
      </c>
      <c r="L1" s="263" t="s">
        <v>9546</v>
      </c>
      <c r="M1" s="263" t="s">
        <v>9565</v>
      </c>
      <c r="N1" s="263" t="s">
        <v>9548</v>
      </c>
      <c r="O1" s="263" t="s">
        <v>9549</v>
      </c>
      <c r="P1" s="263" t="s">
        <v>9550</v>
      </c>
      <c r="Q1" s="263" t="s">
        <v>9551</v>
      </c>
      <c r="R1" s="263" t="s">
        <v>9552</v>
      </c>
      <c r="S1" s="263" t="s">
        <v>9553</v>
      </c>
      <c r="T1" s="263" t="s">
        <v>9554</v>
      </c>
      <c r="U1" s="263" t="s">
        <v>9555</v>
      </c>
      <c r="V1" s="263" t="s">
        <v>9556</v>
      </c>
      <c r="W1" s="263" t="s">
        <v>9557</v>
      </c>
      <c r="X1" s="263" t="s">
        <v>9558</v>
      </c>
      <c r="Y1" s="263" t="s">
        <v>9559</v>
      </c>
      <c r="Z1" s="263" t="s">
        <v>9560</v>
      </c>
      <c r="AA1" s="263" t="s">
        <v>9561</v>
      </c>
      <c r="AB1" s="263" t="s">
        <v>9562</v>
      </c>
    </row>
    <row r="2" spans="1:28" x14ac:dyDescent="0.3">
      <c r="A2" s="2">
        <f>IF(Caja_Arequipa[[#This Row],[tipo_r]]="R",COUNTIFS($C$1:$C1,"R")+1,A1)</f>
        <v>1</v>
      </c>
      <c r="B2" s="19" t="str">
        <f t="shared" ref="B2:B71" si="0">"C-Tesoreria"</f>
        <v>C-Tesoreria</v>
      </c>
      <c r="C2" s="3" t="s">
        <v>1330</v>
      </c>
      <c r="D2" s="4">
        <v>45658</v>
      </c>
      <c r="E2" s="5" t="s">
        <v>1387</v>
      </c>
      <c r="F2" s="6" t="s">
        <v>1320</v>
      </c>
      <c r="G2" s="15"/>
      <c r="H2" s="6"/>
      <c r="I2" s="6"/>
      <c r="J2" s="6"/>
      <c r="K2" s="6"/>
      <c r="L2" s="7" t="s">
        <v>1332</v>
      </c>
      <c r="M2" s="8" t="str">
        <f>IF(Caja_Arequipa[[#This Row],[tipo_r]]="R","001-"&amp;12002+A2,M1)</f>
        <v>001-12003</v>
      </c>
      <c r="N2" s="8" t="str">
        <f t="shared" ref="N2" si="1">"PEN"</f>
        <v>PEN</v>
      </c>
      <c r="O2" s="13"/>
      <c r="P2" s="9">
        <v>1054.0999999999999</v>
      </c>
      <c r="Q2" s="9">
        <f t="shared" ref="Q2:Q71" si="2">+IF(OR($F2="SALDO",$F2="INGRESO"),$P2,0)</f>
        <v>1054.0999999999999</v>
      </c>
      <c r="R2" s="9">
        <f t="shared" ref="R2:R71" si="3">+IF($F2="EGRESO",$P2,0)</f>
        <v>0</v>
      </c>
      <c r="S2" s="9">
        <f t="shared" ref="S2:S65" si="4">IFERROR(IF(F2="SALDO",Q2,S1+Q2-R2),0)</f>
        <v>1054.0999999999999</v>
      </c>
      <c r="T2" s="24"/>
      <c r="U2" s="24"/>
      <c r="V2" s="15"/>
      <c r="W2" s="103" t="str">
        <f>IFERROR(VLOOKUP(Caja_Arequipa[[#This Row],[destinatario]],CHOOSE({1,2},Clientes_Proveedores[Razon Social],Clientes_Proveedores[Ruc / Dni]),2,0),"")</f>
        <v/>
      </c>
      <c r="X2" s="15"/>
      <c r="Y2" s="15"/>
      <c r="Z2" s="15"/>
      <c r="AA2" s="15"/>
      <c r="AB2" s="3" t="str">
        <f>IF(Caja_Arequipa[[#This Row],[fecha]]&gt;0,TEXT(Caja_Arequipa[[#This Row],[fecha]],"mmmm"),0)</f>
        <v>Enero</v>
      </c>
    </row>
    <row r="3" spans="1:28" ht="36" x14ac:dyDescent="0.3">
      <c r="A3" s="2">
        <f>IF(Caja_Arequipa[[#This Row],[tipo_r]]="R",COUNTIFS($C$1:$C2,"R")+1,A2)</f>
        <v>2</v>
      </c>
      <c r="B3" s="19" t="str">
        <f t="shared" si="0"/>
        <v>C-Tesoreria</v>
      </c>
      <c r="C3" s="3" t="s">
        <v>1330</v>
      </c>
      <c r="D3" s="14">
        <v>45664</v>
      </c>
      <c r="E3" s="5" t="s">
        <v>1387</v>
      </c>
      <c r="F3" s="5" t="s">
        <v>1336</v>
      </c>
      <c r="G3" s="3" t="s">
        <v>3308</v>
      </c>
      <c r="H3" s="6"/>
      <c r="I3" s="6"/>
      <c r="J3" s="6"/>
      <c r="K3" s="6"/>
      <c r="L3" s="7" t="s">
        <v>5247</v>
      </c>
      <c r="M3" s="8" t="str">
        <f>IF(Caja_Arequipa[[#This Row],[tipo_r]]="R","001-"&amp;12002+A3,M2)</f>
        <v>001-12004</v>
      </c>
      <c r="N3" s="8" t="str">
        <f t="shared" ref="N3:N72" si="5">"PEN"</f>
        <v>PEN</v>
      </c>
      <c r="O3" s="13"/>
      <c r="P3" s="13">
        <v>70</v>
      </c>
      <c r="Q3" s="3">
        <f t="shared" si="2"/>
        <v>0</v>
      </c>
      <c r="R3" s="3">
        <f t="shared" si="3"/>
        <v>70</v>
      </c>
      <c r="S3" s="3">
        <f t="shared" si="4"/>
        <v>984.09999999999991</v>
      </c>
      <c r="T3" s="24"/>
      <c r="U3" s="24" t="s">
        <v>1334</v>
      </c>
      <c r="V3" s="3"/>
      <c r="W3" s="103" t="str">
        <f>IFERROR(VLOOKUP(Caja_Arequipa[[#This Row],[destinatario]],CHOOSE({1,2},Clientes_Proveedores[Razon Social],Clientes_Proveedores[Ruc / Dni]),2,0),"")</f>
        <v/>
      </c>
      <c r="X3" s="3"/>
      <c r="Y3" s="3"/>
      <c r="Z3" s="3"/>
      <c r="AA3" s="3"/>
      <c r="AB3" s="3" t="str">
        <f>IF(Caja_Arequipa[[#This Row],[fecha]]&gt;0,TEXT(Caja_Arequipa[[#This Row],[fecha]],"mmmm"),0)</f>
        <v>Enero</v>
      </c>
    </row>
    <row r="4" spans="1:28" x14ac:dyDescent="0.3">
      <c r="A4" s="2">
        <f>IF(Caja_Arequipa[[#This Row],[tipo_r]]="R",COUNTIFS($C$1:$C3,"R")+1,A3)</f>
        <v>3</v>
      </c>
      <c r="B4" s="19" t="str">
        <f t="shared" si="0"/>
        <v>C-Tesoreria</v>
      </c>
      <c r="C4" s="3" t="s">
        <v>1330</v>
      </c>
      <c r="D4" s="14">
        <v>45665</v>
      </c>
      <c r="E4" s="5" t="s">
        <v>1387</v>
      </c>
      <c r="F4" s="5" t="s">
        <v>1303</v>
      </c>
      <c r="G4" s="3" t="s">
        <v>5248</v>
      </c>
      <c r="H4" s="6"/>
      <c r="I4" s="6"/>
      <c r="J4" s="6"/>
      <c r="K4" s="6"/>
      <c r="L4" s="7" t="s">
        <v>5249</v>
      </c>
      <c r="M4" s="8" t="str">
        <f>IF(Caja_Arequipa[[#This Row],[tipo_r]]="R","001-"&amp;12002+A4,M3)</f>
        <v>001-12005</v>
      </c>
      <c r="N4" s="8" t="str">
        <f t="shared" si="5"/>
        <v>PEN</v>
      </c>
      <c r="O4" s="13"/>
      <c r="P4" s="13">
        <v>45.6</v>
      </c>
      <c r="Q4" s="3">
        <f t="shared" si="2"/>
        <v>45.6</v>
      </c>
      <c r="R4" s="3">
        <f t="shared" si="3"/>
        <v>0</v>
      </c>
      <c r="S4" s="3">
        <f t="shared" si="4"/>
        <v>1029.6999999999998</v>
      </c>
      <c r="T4" s="24"/>
      <c r="U4" s="24" t="s">
        <v>1334</v>
      </c>
      <c r="V4" s="3"/>
      <c r="W4" s="25" t="str">
        <f>IFERROR(VLOOKUP(Caja_Arequipa[[#This Row],[destinatario]],CHOOSE({1,2},Clientes_Proveedores[Razon Social],Clientes_Proveedores[Ruc / Dni]),2,0),"")</f>
        <v/>
      </c>
      <c r="X4" s="3"/>
      <c r="Y4" s="3"/>
      <c r="Z4" s="3"/>
      <c r="AA4" s="3"/>
      <c r="AB4" s="3" t="str">
        <f>IF(Caja_Arequipa[[#This Row],[fecha]]&gt;0,TEXT(Caja_Arequipa[[#This Row],[fecha]],"mmmm"),0)</f>
        <v>Enero</v>
      </c>
    </row>
    <row r="5" spans="1:28" ht="24" x14ac:dyDescent="0.3">
      <c r="A5" s="2">
        <f>IF(Caja_Arequipa[[#This Row],[tipo_r]]="R",COUNTIFS($C$1:$C4,"R")+1,A4)</f>
        <v>4</v>
      </c>
      <c r="B5" s="19" t="str">
        <f t="shared" si="0"/>
        <v>C-Tesoreria</v>
      </c>
      <c r="C5" s="3" t="s">
        <v>1330</v>
      </c>
      <c r="D5" s="14">
        <v>45665</v>
      </c>
      <c r="E5" s="5" t="s">
        <v>1387</v>
      </c>
      <c r="F5" s="5" t="s">
        <v>1336</v>
      </c>
      <c r="G5" s="3" t="s">
        <v>5250</v>
      </c>
      <c r="H5" s="6"/>
      <c r="I5" s="6"/>
      <c r="J5" s="6"/>
      <c r="K5" s="6"/>
      <c r="L5" s="7" t="s">
        <v>5251</v>
      </c>
      <c r="M5" s="8" t="str">
        <f>IF(Caja_Arequipa[[#This Row],[tipo_r]]="R","001-"&amp;12002+A5,M4)</f>
        <v>001-12006</v>
      </c>
      <c r="N5" s="8" t="str">
        <f t="shared" si="5"/>
        <v>PEN</v>
      </c>
      <c r="O5" s="13"/>
      <c r="P5" s="13">
        <v>16.600000000000001</v>
      </c>
      <c r="Q5" s="3">
        <f t="shared" si="2"/>
        <v>0</v>
      </c>
      <c r="R5" s="3">
        <f t="shared" si="3"/>
        <v>16.600000000000001</v>
      </c>
      <c r="S5" s="3">
        <f t="shared" si="4"/>
        <v>1013.0999999999998</v>
      </c>
      <c r="T5" s="24" t="s">
        <v>1334</v>
      </c>
      <c r="U5" s="24" t="s">
        <v>1334</v>
      </c>
      <c r="V5" s="3"/>
      <c r="W5" s="25" t="str">
        <f>IFERROR(VLOOKUP(Caja_Arequipa[[#This Row],[destinatario]],CHOOSE({1,2},Clientes_Proveedores[Razon Social],Clientes_Proveedores[Ruc / Dni]),2,0),"")</f>
        <v/>
      </c>
      <c r="X5" s="3" t="s">
        <v>5252</v>
      </c>
      <c r="Y5" s="3"/>
      <c r="Z5" s="3"/>
      <c r="AA5" s="3"/>
      <c r="AB5" s="3" t="str">
        <f>IF(Caja_Arequipa[[#This Row],[fecha]]&gt;0,TEXT(Caja_Arequipa[[#This Row],[fecha]],"mmmm"),0)</f>
        <v>Enero</v>
      </c>
    </row>
    <row r="6" spans="1:28" ht="24" x14ac:dyDescent="0.3">
      <c r="A6" s="2">
        <f>IF(Caja_Arequipa[[#This Row],[tipo_r]]="R",COUNTIFS($C$1:$C5,"R")+1,A5)</f>
        <v>5</v>
      </c>
      <c r="B6" s="19" t="str">
        <f t="shared" si="0"/>
        <v>C-Tesoreria</v>
      </c>
      <c r="C6" s="3" t="s">
        <v>1330</v>
      </c>
      <c r="D6" s="14">
        <v>45665</v>
      </c>
      <c r="E6" s="5" t="s">
        <v>1387</v>
      </c>
      <c r="F6" s="5" t="s">
        <v>1336</v>
      </c>
      <c r="G6" s="3" t="s">
        <v>5250</v>
      </c>
      <c r="H6" s="6"/>
      <c r="I6" s="6"/>
      <c r="J6" s="6"/>
      <c r="K6" s="6"/>
      <c r="L6" s="7" t="s">
        <v>5253</v>
      </c>
      <c r="M6" s="8" t="str">
        <f>IF(Caja_Arequipa[[#This Row],[tipo_r]]="R","001-"&amp;12002+A6,M5)</f>
        <v>001-12007</v>
      </c>
      <c r="N6" s="8" t="str">
        <f t="shared" si="5"/>
        <v>PEN</v>
      </c>
      <c r="O6" s="13"/>
      <c r="P6" s="13">
        <v>16.600000000000001</v>
      </c>
      <c r="Q6" s="3">
        <f t="shared" si="2"/>
        <v>0</v>
      </c>
      <c r="R6" s="3">
        <f t="shared" si="3"/>
        <v>16.600000000000001</v>
      </c>
      <c r="S6" s="3">
        <f t="shared" si="4"/>
        <v>996.49999999999977</v>
      </c>
      <c r="T6" s="24" t="s">
        <v>1334</v>
      </c>
      <c r="U6" s="24" t="s">
        <v>1334</v>
      </c>
      <c r="V6" s="3"/>
      <c r="W6" s="25" t="str">
        <f>IFERROR(VLOOKUP(Caja_Arequipa[[#This Row],[destinatario]],CHOOSE({1,2},Clientes_Proveedores[Razon Social],Clientes_Proveedores[Ruc / Dni]),2,0),"")</f>
        <v/>
      </c>
      <c r="X6" s="3" t="s">
        <v>5254</v>
      </c>
      <c r="Y6" s="3"/>
      <c r="Z6" s="3"/>
      <c r="AA6" s="3"/>
      <c r="AB6" s="3" t="str">
        <f>IF(Caja_Arequipa[[#This Row],[fecha]]&gt;0,TEXT(Caja_Arequipa[[#This Row],[fecha]],"mmmm"),0)</f>
        <v>Enero</v>
      </c>
    </row>
    <row r="7" spans="1:28" ht="24" x14ac:dyDescent="0.3">
      <c r="A7" s="2">
        <f>IF(Caja_Arequipa[[#This Row],[tipo_r]]="R",COUNTIFS($C$1:$C6,"R")+1,A6)</f>
        <v>6</v>
      </c>
      <c r="B7" s="19" t="str">
        <f t="shared" si="0"/>
        <v>C-Tesoreria</v>
      </c>
      <c r="C7" s="3" t="s">
        <v>1330</v>
      </c>
      <c r="D7" s="14">
        <v>45665</v>
      </c>
      <c r="E7" s="5" t="s">
        <v>1387</v>
      </c>
      <c r="F7" s="5" t="s">
        <v>1336</v>
      </c>
      <c r="G7" s="3" t="s">
        <v>5250</v>
      </c>
      <c r="H7" s="6"/>
      <c r="I7" s="6"/>
      <c r="J7" s="6"/>
      <c r="K7" s="6"/>
      <c r="L7" s="7" t="s">
        <v>5255</v>
      </c>
      <c r="M7" s="8" t="str">
        <f>IF(Caja_Arequipa[[#This Row],[tipo_r]]="R","001-"&amp;12002+A7,M6)</f>
        <v>001-12008</v>
      </c>
      <c r="N7" s="8" t="str">
        <f t="shared" si="5"/>
        <v>PEN</v>
      </c>
      <c r="O7" s="13"/>
      <c r="P7" s="13">
        <v>16.600000000000001</v>
      </c>
      <c r="Q7" s="3">
        <f t="shared" si="2"/>
        <v>0</v>
      </c>
      <c r="R7" s="3">
        <f t="shared" si="3"/>
        <v>16.600000000000001</v>
      </c>
      <c r="S7" s="3">
        <f t="shared" si="4"/>
        <v>979.89999999999975</v>
      </c>
      <c r="T7" s="24" t="s">
        <v>1334</v>
      </c>
      <c r="U7" s="24" t="s">
        <v>1334</v>
      </c>
      <c r="V7" s="3"/>
      <c r="W7" s="25" t="str">
        <f>IFERROR(VLOOKUP(Caja_Arequipa[[#This Row],[destinatario]],CHOOSE({1,2},Clientes_Proveedores[Razon Social],Clientes_Proveedores[Ruc / Dni]),2,0),"")</f>
        <v/>
      </c>
      <c r="X7" s="3" t="s">
        <v>5256</v>
      </c>
      <c r="Y7" s="3"/>
      <c r="Z7" s="3"/>
      <c r="AA7" s="3"/>
      <c r="AB7" s="3" t="str">
        <f>IF(Caja_Arequipa[[#This Row],[fecha]]&gt;0,TEXT(Caja_Arequipa[[#This Row],[fecha]],"mmmm"),0)</f>
        <v>Enero</v>
      </c>
    </row>
    <row r="8" spans="1:28" ht="24" x14ac:dyDescent="0.3">
      <c r="A8" s="2">
        <f>IF(Caja_Arequipa[[#This Row],[tipo_r]]="R",COUNTIFS($C$1:$C7,"R")+1,A7)</f>
        <v>7</v>
      </c>
      <c r="B8" s="19" t="str">
        <f t="shared" si="0"/>
        <v>C-Tesoreria</v>
      </c>
      <c r="C8" s="3" t="s">
        <v>1330</v>
      </c>
      <c r="D8" s="14">
        <v>45665</v>
      </c>
      <c r="E8" s="5" t="s">
        <v>1387</v>
      </c>
      <c r="F8" s="5" t="s">
        <v>1336</v>
      </c>
      <c r="G8" s="3" t="s">
        <v>5250</v>
      </c>
      <c r="H8" s="6"/>
      <c r="I8" s="6" t="s">
        <v>111</v>
      </c>
      <c r="J8" s="6">
        <v>3</v>
      </c>
      <c r="K8" s="6">
        <v>87</v>
      </c>
      <c r="L8" s="7" t="s">
        <v>5257</v>
      </c>
      <c r="M8" s="8" t="str">
        <f>IF(Caja_Arequipa[[#This Row],[tipo_r]]="R","001-"&amp;12002+A8,M7)</f>
        <v>001-12009</v>
      </c>
      <c r="N8" s="8" t="str">
        <f t="shared" si="5"/>
        <v>PEN</v>
      </c>
      <c r="O8" s="13"/>
      <c r="P8" s="13">
        <v>10</v>
      </c>
      <c r="Q8" s="3">
        <f t="shared" si="2"/>
        <v>0</v>
      </c>
      <c r="R8" s="3">
        <f t="shared" si="3"/>
        <v>10</v>
      </c>
      <c r="S8" s="3">
        <f t="shared" si="4"/>
        <v>969.89999999999975</v>
      </c>
      <c r="T8" s="24"/>
      <c r="U8" s="24" t="s">
        <v>1334</v>
      </c>
      <c r="V8" s="3"/>
      <c r="W8" s="25" t="str">
        <f>IFERROR(VLOOKUP(Caja_Arequipa[[#This Row],[destinatario]],CHOOSE({1,2},Clientes_Proveedores[Razon Social],Clientes_Proveedores[Ruc / Dni]),2,0),"")</f>
        <v/>
      </c>
      <c r="X8" s="3" t="s">
        <v>5258</v>
      </c>
      <c r="Y8" s="3"/>
      <c r="Z8" s="3"/>
      <c r="AA8" s="3"/>
      <c r="AB8" s="3" t="str">
        <f>IF(Caja_Arequipa[[#This Row],[fecha]]&gt;0,TEXT(Caja_Arequipa[[#This Row],[fecha]],"mmmm"),0)</f>
        <v>Enero</v>
      </c>
    </row>
    <row r="9" spans="1:28" x14ac:dyDescent="0.3">
      <c r="A9" s="2">
        <f>IF(Caja_Arequipa[[#This Row],[tipo_r]]="R",COUNTIFS($C$1:$C8,"R")+1,A8)</f>
        <v>8</v>
      </c>
      <c r="B9" s="19" t="str">
        <f t="shared" si="0"/>
        <v>C-Tesoreria</v>
      </c>
      <c r="C9" s="3" t="s">
        <v>1330</v>
      </c>
      <c r="D9" s="14">
        <v>45665</v>
      </c>
      <c r="E9" s="5" t="s">
        <v>1387</v>
      </c>
      <c r="F9" s="5" t="s">
        <v>1336</v>
      </c>
      <c r="G9" s="3" t="s">
        <v>5259</v>
      </c>
      <c r="H9" s="6"/>
      <c r="I9" s="6" t="s">
        <v>111</v>
      </c>
      <c r="J9" s="6">
        <v>3</v>
      </c>
      <c r="K9" s="6">
        <v>3762024</v>
      </c>
      <c r="L9" s="7" t="s">
        <v>5260</v>
      </c>
      <c r="M9" s="8" t="str">
        <f>IF(Caja_Arequipa[[#This Row],[tipo_r]]="R","001-"&amp;12002+A9,M8)</f>
        <v>001-12010</v>
      </c>
      <c r="N9" s="8" t="str">
        <f t="shared" si="5"/>
        <v>PEN</v>
      </c>
      <c r="O9" s="13"/>
      <c r="P9" s="13">
        <v>62</v>
      </c>
      <c r="Q9" s="3">
        <f t="shared" si="2"/>
        <v>0</v>
      </c>
      <c r="R9" s="3">
        <f t="shared" si="3"/>
        <v>62</v>
      </c>
      <c r="S9" s="3">
        <f t="shared" si="4"/>
        <v>907.89999999999975</v>
      </c>
      <c r="T9" s="24" t="s">
        <v>1334</v>
      </c>
      <c r="U9" s="24" t="s">
        <v>1334</v>
      </c>
      <c r="V9" s="3"/>
      <c r="W9" s="25" t="str">
        <f>IFERROR(VLOOKUP(Caja_Arequipa[[#This Row],[destinatario]],CHOOSE({1,2},Clientes_Proveedores[Razon Social],Clientes_Proveedores[Ruc / Dni]),2,0),"")</f>
        <v/>
      </c>
      <c r="X9" s="3" t="s">
        <v>5261</v>
      </c>
      <c r="Y9" s="3"/>
      <c r="Z9" s="3"/>
      <c r="AA9" s="3"/>
      <c r="AB9" s="3" t="str">
        <f>IF(Caja_Arequipa[[#This Row],[fecha]]&gt;0,TEXT(Caja_Arequipa[[#This Row],[fecha]],"mmmm"),0)</f>
        <v>Enero</v>
      </c>
    </row>
    <row r="10" spans="1:28" x14ac:dyDescent="0.3">
      <c r="A10" s="2">
        <f>IF(Caja_Arequipa[[#This Row],[tipo_r]]="R",COUNTIFS($C$1:$C9,"R")+1,A9)</f>
        <v>9</v>
      </c>
      <c r="B10" s="19" t="str">
        <f t="shared" si="0"/>
        <v>C-Tesoreria</v>
      </c>
      <c r="C10" s="3" t="s">
        <v>1330</v>
      </c>
      <c r="D10" s="14">
        <v>45665</v>
      </c>
      <c r="E10" s="5" t="s">
        <v>1387</v>
      </c>
      <c r="F10" s="5" t="s">
        <v>1336</v>
      </c>
      <c r="G10" s="3" t="s">
        <v>5259</v>
      </c>
      <c r="H10" s="6"/>
      <c r="I10" s="6" t="s">
        <v>111</v>
      </c>
      <c r="J10" s="6">
        <v>3</v>
      </c>
      <c r="K10" s="6">
        <v>3772024</v>
      </c>
      <c r="L10" s="7" t="s">
        <v>5262</v>
      </c>
      <c r="M10" s="8" t="str">
        <f>IF(Caja_Arequipa[[#This Row],[tipo_r]]="R","001-"&amp;12002+A10,M9)</f>
        <v>001-12011</v>
      </c>
      <c r="N10" s="8" t="str">
        <f t="shared" si="5"/>
        <v>PEN</v>
      </c>
      <c r="O10" s="13"/>
      <c r="P10" s="13">
        <v>20</v>
      </c>
      <c r="Q10" s="3">
        <f t="shared" si="2"/>
        <v>0</v>
      </c>
      <c r="R10" s="3">
        <f t="shared" si="3"/>
        <v>20</v>
      </c>
      <c r="S10" s="3">
        <f t="shared" si="4"/>
        <v>887.89999999999975</v>
      </c>
      <c r="T10" s="24" t="s">
        <v>1334</v>
      </c>
      <c r="U10" s="24" t="s">
        <v>1334</v>
      </c>
      <c r="V10" s="3"/>
      <c r="W10" s="25" t="str">
        <f>IFERROR(VLOOKUP(Caja_Arequipa[[#This Row],[destinatario]],CHOOSE({1,2},Clientes_Proveedores[Razon Social],Clientes_Proveedores[Ruc / Dni]),2,0),"")</f>
        <v/>
      </c>
      <c r="X10" s="3" t="s">
        <v>5263</v>
      </c>
      <c r="Y10" s="3"/>
      <c r="Z10" s="3"/>
      <c r="AA10" s="3"/>
      <c r="AB10" s="3" t="str">
        <f>IF(Caja_Arequipa[[#This Row],[fecha]]&gt;0,TEXT(Caja_Arequipa[[#This Row],[fecha]],"mmmm"),0)</f>
        <v>Enero</v>
      </c>
    </row>
    <row r="11" spans="1:28" x14ac:dyDescent="0.3">
      <c r="A11" s="2">
        <f>IF(Caja_Arequipa[[#This Row],[tipo_r]]="R",COUNTIFS($C$1:$C10,"R")+1,A10)</f>
        <v>10</v>
      </c>
      <c r="B11" s="19" t="str">
        <f t="shared" si="0"/>
        <v>C-Tesoreria</v>
      </c>
      <c r="C11" s="3" t="s">
        <v>1330</v>
      </c>
      <c r="D11" s="14">
        <v>45665</v>
      </c>
      <c r="E11" s="5" t="s">
        <v>1387</v>
      </c>
      <c r="F11" s="5" t="s">
        <v>1336</v>
      </c>
      <c r="G11" s="3" t="s">
        <v>5259</v>
      </c>
      <c r="H11" s="6"/>
      <c r="I11" s="6" t="s">
        <v>111</v>
      </c>
      <c r="J11" s="6">
        <v>3</v>
      </c>
      <c r="K11" s="6">
        <v>3782024</v>
      </c>
      <c r="L11" s="7" t="s">
        <v>5264</v>
      </c>
      <c r="M11" s="8" t="str">
        <f>IF(Caja_Arequipa[[#This Row],[tipo_r]]="R","001-"&amp;12002+A11,M10)</f>
        <v>001-12012</v>
      </c>
      <c r="N11" s="8" t="str">
        <f t="shared" si="5"/>
        <v>PEN</v>
      </c>
      <c r="O11" s="13"/>
      <c r="P11" s="13">
        <v>38</v>
      </c>
      <c r="Q11" s="3">
        <f t="shared" si="2"/>
        <v>0</v>
      </c>
      <c r="R11" s="3">
        <f t="shared" si="3"/>
        <v>38</v>
      </c>
      <c r="S11" s="3">
        <f t="shared" si="4"/>
        <v>849.89999999999975</v>
      </c>
      <c r="T11" s="24" t="s">
        <v>1334</v>
      </c>
      <c r="U11" s="24" t="s">
        <v>1334</v>
      </c>
      <c r="V11" s="3"/>
      <c r="W11" s="25" t="str">
        <f>IFERROR(VLOOKUP(Caja_Arequipa[[#This Row],[destinatario]],CHOOSE({1,2},Clientes_Proveedores[Razon Social],Clientes_Proveedores[Ruc / Dni]),2,0),"")</f>
        <v/>
      </c>
      <c r="X11" s="3" t="s">
        <v>5265</v>
      </c>
      <c r="Y11" s="3"/>
      <c r="Z11" s="3"/>
      <c r="AA11" s="3"/>
      <c r="AB11" s="3" t="str">
        <f>IF(Caja_Arequipa[[#This Row],[fecha]]&gt;0,TEXT(Caja_Arequipa[[#This Row],[fecha]],"mmmm"),0)</f>
        <v>Enero</v>
      </c>
    </row>
    <row r="12" spans="1:28" x14ac:dyDescent="0.3">
      <c r="A12" s="2">
        <f>IF(Caja_Arequipa[[#This Row],[tipo_r]]="R",COUNTIFS($C$1:$C11,"R")+1,A11)</f>
        <v>11</v>
      </c>
      <c r="B12" s="19" t="str">
        <f t="shared" si="0"/>
        <v>C-Tesoreria</v>
      </c>
      <c r="C12" s="3" t="s">
        <v>1330</v>
      </c>
      <c r="D12" s="14">
        <v>45665</v>
      </c>
      <c r="E12" s="5" t="s">
        <v>1387</v>
      </c>
      <c r="F12" s="5" t="s">
        <v>1336</v>
      </c>
      <c r="G12" s="3" t="s">
        <v>5259</v>
      </c>
      <c r="H12" s="6"/>
      <c r="I12" s="6" t="s">
        <v>111</v>
      </c>
      <c r="J12" s="6">
        <v>3</v>
      </c>
      <c r="K12" s="6">
        <v>3792024</v>
      </c>
      <c r="L12" s="7" t="s">
        <v>5266</v>
      </c>
      <c r="M12" s="8" t="str">
        <f>IF(Caja_Arequipa[[#This Row],[tipo_r]]="R","001-"&amp;12002+A12,M11)</f>
        <v>001-12013</v>
      </c>
      <c r="N12" s="8" t="str">
        <f t="shared" si="5"/>
        <v>PEN</v>
      </c>
      <c r="O12" s="13"/>
      <c r="P12" s="13">
        <v>10</v>
      </c>
      <c r="Q12" s="3">
        <f t="shared" si="2"/>
        <v>0</v>
      </c>
      <c r="R12" s="3">
        <f t="shared" si="3"/>
        <v>10</v>
      </c>
      <c r="S12" s="3">
        <f t="shared" si="4"/>
        <v>839.89999999999975</v>
      </c>
      <c r="T12" s="24" t="s">
        <v>1334</v>
      </c>
      <c r="U12" s="24" t="s">
        <v>1334</v>
      </c>
      <c r="V12" s="3"/>
      <c r="W12" s="25" t="str">
        <f>IFERROR(VLOOKUP(Caja_Arequipa[[#This Row],[destinatario]],CHOOSE({1,2},Clientes_Proveedores[Razon Social],Clientes_Proveedores[Ruc / Dni]),2,0),"")</f>
        <v/>
      </c>
      <c r="X12" s="3" t="s">
        <v>5267</v>
      </c>
      <c r="Y12" s="3"/>
      <c r="Z12" s="3"/>
      <c r="AA12" s="3"/>
      <c r="AB12" s="3" t="str">
        <f>IF(Caja_Arequipa[[#This Row],[fecha]]&gt;0,TEXT(Caja_Arequipa[[#This Row],[fecha]],"mmmm"),0)</f>
        <v>Enero</v>
      </c>
    </row>
    <row r="13" spans="1:28" x14ac:dyDescent="0.3">
      <c r="A13" s="2">
        <f>IF(Caja_Arequipa[[#This Row],[tipo_r]]="R",COUNTIFS($C$1:$C12,"R")+1,A12)</f>
        <v>12</v>
      </c>
      <c r="B13" s="19" t="str">
        <f t="shared" si="0"/>
        <v>C-Tesoreria</v>
      </c>
      <c r="C13" s="3" t="s">
        <v>1330</v>
      </c>
      <c r="D13" s="14">
        <v>45665</v>
      </c>
      <c r="E13" s="5" t="s">
        <v>1387</v>
      </c>
      <c r="F13" s="5" t="s">
        <v>1336</v>
      </c>
      <c r="G13" s="3" t="s">
        <v>5259</v>
      </c>
      <c r="H13" s="6"/>
      <c r="I13" s="6" t="s">
        <v>111</v>
      </c>
      <c r="J13" s="6">
        <v>3</v>
      </c>
      <c r="K13" s="6">
        <v>3802024</v>
      </c>
      <c r="L13" s="7" t="s">
        <v>5268</v>
      </c>
      <c r="M13" s="8" t="str">
        <f>IF(Caja_Arequipa[[#This Row],[tipo_r]]="R","001-"&amp;12002+A13,M12)</f>
        <v>001-12014</v>
      </c>
      <c r="N13" s="8" t="str">
        <f t="shared" si="5"/>
        <v>PEN</v>
      </c>
      <c r="O13" s="13"/>
      <c r="P13" s="13">
        <v>10</v>
      </c>
      <c r="Q13" s="3">
        <f t="shared" si="2"/>
        <v>0</v>
      </c>
      <c r="R13" s="3">
        <f t="shared" si="3"/>
        <v>10</v>
      </c>
      <c r="S13" s="3">
        <f t="shared" si="4"/>
        <v>829.89999999999975</v>
      </c>
      <c r="T13" s="24" t="s">
        <v>1334</v>
      </c>
      <c r="U13" s="24" t="s">
        <v>1334</v>
      </c>
      <c r="V13" s="3"/>
      <c r="W13" s="25" t="str">
        <f>IFERROR(VLOOKUP(Caja_Arequipa[[#This Row],[destinatario]],CHOOSE({1,2},Clientes_Proveedores[Razon Social],Clientes_Proveedores[Ruc / Dni]),2,0),"")</f>
        <v/>
      </c>
      <c r="X13" s="3" t="s">
        <v>5269</v>
      </c>
      <c r="Y13" s="3"/>
      <c r="Z13" s="3"/>
      <c r="AA13" s="3"/>
      <c r="AB13" s="3" t="str">
        <f>IF(Caja_Arequipa[[#This Row],[fecha]]&gt;0,TEXT(Caja_Arequipa[[#This Row],[fecha]],"mmmm"),0)</f>
        <v>Enero</v>
      </c>
    </row>
    <row r="14" spans="1:28" x14ac:dyDescent="0.3">
      <c r="A14" s="2">
        <f>IF(Caja_Arequipa[[#This Row],[tipo_r]]="R",COUNTIFS($C$1:$C13,"R")+1,A13)</f>
        <v>13</v>
      </c>
      <c r="B14" s="19" t="str">
        <f t="shared" si="0"/>
        <v>C-Tesoreria</v>
      </c>
      <c r="C14" s="3" t="s">
        <v>1330</v>
      </c>
      <c r="D14" s="14">
        <v>45665</v>
      </c>
      <c r="E14" s="5" t="s">
        <v>1387</v>
      </c>
      <c r="F14" s="5" t="s">
        <v>1336</v>
      </c>
      <c r="G14" s="3" t="s">
        <v>5259</v>
      </c>
      <c r="H14" s="6"/>
      <c r="I14" s="6" t="s">
        <v>111</v>
      </c>
      <c r="J14" s="6">
        <v>3</v>
      </c>
      <c r="K14" s="6">
        <v>3812024</v>
      </c>
      <c r="L14" s="7" t="s">
        <v>5270</v>
      </c>
      <c r="M14" s="8" t="str">
        <f>IF(Caja_Arequipa[[#This Row],[tipo_r]]="R","001-"&amp;12002+A14,M13)</f>
        <v>001-12015</v>
      </c>
      <c r="N14" s="8" t="str">
        <f t="shared" si="5"/>
        <v>PEN</v>
      </c>
      <c r="O14" s="13"/>
      <c r="P14" s="13">
        <v>48</v>
      </c>
      <c r="Q14" s="3">
        <f t="shared" si="2"/>
        <v>0</v>
      </c>
      <c r="R14" s="3">
        <f t="shared" si="3"/>
        <v>48</v>
      </c>
      <c r="S14" s="3">
        <f t="shared" si="4"/>
        <v>781.89999999999975</v>
      </c>
      <c r="T14" s="24" t="s">
        <v>1334</v>
      </c>
      <c r="U14" s="24" t="s">
        <v>1334</v>
      </c>
      <c r="V14" s="3"/>
      <c r="W14" s="25" t="str">
        <f>IFERROR(VLOOKUP(Caja_Arequipa[[#This Row],[destinatario]],CHOOSE({1,2},Clientes_Proveedores[Razon Social],Clientes_Proveedores[Ruc / Dni]),2,0),"")</f>
        <v/>
      </c>
      <c r="X14" s="3" t="s">
        <v>5271</v>
      </c>
      <c r="Y14" s="3"/>
      <c r="Z14" s="3"/>
      <c r="AA14" s="3"/>
      <c r="AB14" s="3" t="str">
        <f>IF(Caja_Arequipa[[#This Row],[fecha]]&gt;0,TEXT(Caja_Arequipa[[#This Row],[fecha]],"mmmm"),0)</f>
        <v>Enero</v>
      </c>
    </row>
    <row r="15" spans="1:28" x14ac:dyDescent="0.3">
      <c r="A15" s="2">
        <f>IF(Caja_Arequipa[[#This Row],[tipo_r]]="R",COUNTIFS($C$1:$C14,"R")+1,A14)</f>
        <v>14</v>
      </c>
      <c r="B15" s="19" t="str">
        <f t="shared" si="0"/>
        <v>C-Tesoreria</v>
      </c>
      <c r="C15" s="3" t="s">
        <v>1330</v>
      </c>
      <c r="D15" s="14">
        <v>45665</v>
      </c>
      <c r="E15" s="5" t="s">
        <v>1387</v>
      </c>
      <c r="F15" s="5" t="s">
        <v>1336</v>
      </c>
      <c r="G15" s="3" t="s">
        <v>5259</v>
      </c>
      <c r="H15" s="6"/>
      <c r="I15" s="6" t="s">
        <v>111</v>
      </c>
      <c r="J15" s="6">
        <v>3</v>
      </c>
      <c r="K15" s="6">
        <v>3822024</v>
      </c>
      <c r="L15" s="7" t="s">
        <v>5272</v>
      </c>
      <c r="M15" s="8" t="str">
        <f>IF(Caja_Arequipa[[#This Row],[tipo_r]]="R","001-"&amp;12002+A15,M14)</f>
        <v>001-12016</v>
      </c>
      <c r="N15" s="8" t="str">
        <f t="shared" si="5"/>
        <v>PEN</v>
      </c>
      <c r="O15" s="13"/>
      <c r="P15" s="13">
        <v>5</v>
      </c>
      <c r="Q15" s="3">
        <f t="shared" si="2"/>
        <v>0</v>
      </c>
      <c r="R15" s="3">
        <f t="shared" si="3"/>
        <v>5</v>
      </c>
      <c r="S15" s="3">
        <f t="shared" si="4"/>
        <v>776.89999999999975</v>
      </c>
      <c r="T15" s="24" t="s">
        <v>1334</v>
      </c>
      <c r="U15" s="24" t="s">
        <v>1334</v>
      </c>
      <c r="V15" s="3"/>
      <c r="W15" s="25" t="str">
        <f>IFERROR(VLOOKUP(Caja_Arequipa[[#This Row],[destinatario]],CHOOSE({1,2},Clientes_Proveedores[Razon Social],Clientes_Proveedores[Ruc / Dni]),2,0),"")</f>
        <v/>
      </c>
      <c r="X15" s="3" t="s">
        <v>5273</v>
      </c>
      <c r="Y15" s="3"/>
      <c r="Z15" s="3"/>
      <c r="AA15" s="3"/>
      <c r="AB15" s="3" t="str">
        <f>IF(Caja_Arequipa[[#This Row],[fecha]]&gt;0,TEXT(Caja_Arequipa[[#This Row],[fecha]],"mmmm"),0)</f>
        <v>Enero</v>
      </c>
    </row>
    <row r="16" spans="1:28" ht="24" x14ac:dyDescent="0.3">
      <c r="A16" s="2">
        <f>IF(Caja_Arequipa[[#This Row],[tipo_r]]="R",COUNTIFS($C$1:$C15,"R")+1,A15)</f>
        <v>15</v>
      </c>
      <c r="B16" s="19" t="str">
        <f t="shared" si="0"/>
        <v>C-Tesoreria</v>
      </c>
      <c r="C16" s="3" t="s">
        <v>1330</v>
      </c>
      <c r="D16" s="14">
        <v>45665</v>
      </c>
      <c r="E16" s="5" t="s">
        <v>1387</v>
      </c>
      <c r="F16" s="5" t="s">
        <v>1336</v>
      </c>
      <c r="G16" s="3" t="s">
        <v>5274</v>
      </c>
      <c r="H16" s="6"/>
      <c r="I16" s="6"/>
      <c r="J16" s="6"/>
      <c r="K16" s="6"/>
      <c r="L16" s="7" t="s">
        <v>5275</v>
      </c>
      <c r="M16" s="8" t="str">
        <f>IF(Caja_Arequipa[[#This Row],[tipo_r]]="R","001-"&amp;12002+A16,M15)</f>
        <v>001-12017</v>
      </c>
      <c r="N16" s="8" t="str">
        <f t="shared" si="5"/>
        <v>PEN</v>
      </c>
      <c r="O16" s="13"/>
      <c r="P16" s="13">
        <v>45</v>
      </c>
      <c r="Q16" s="3">
        <f t="shared" si="2"/>
        <v>0</v>
      </c>
      <c r="R16" s="3">
        <f t="shared" si="3"/>
        <v>45</v>
      </c>
      <c r="S16" s="3">
        <f t="shared" si="4"/>
        <v>731.89999999999975</v>
      </c>
      <c r="T16" s="24" t="s">
        <v>1334</v>
      </c>
      <c r="U16" s="24" t="s">
        <v>1334</v>
      </c>
      <c r="V16" s="3"/>
      <c r="W16" s="25" t="str">
        <f>IFERROR(VLOOKUP(Caja_Arequipa[[#This Row],[destinatario]],CHOOSE({1,2},Clientes_Proveedores[Razon Social],Clientes_Proveedores[Ruc / Dni]),2,0),"")</f>
        <v/>
      </c>
      <c r="X16" s="3" t="s">
        <v>5276</v>
      </c>
      <c r="Y16" s="3"/>
      <c r="Z16" s="3"/>
      <c r="AA16" s="3"/>
      <c r="AB16" s="3" t="str">
        <f>IF(Caja_Arequipa[[#This Row],[fecha]]&gt;0,TEXT(Caja_Arequipa[[#This Row],[fecha]],"mmmm"),0)</f>
        <v>Enero</v>
      </c>
    </row>
    <row r="17" spans="1:28" ht="24" x14ac:dyDescent="0.3">
      <c r="A17" s="2">
        <f>IF(Caja_Arequipa[[#This Row],[tipo_r]]="R",COUNTIFS($C$1:$C16,"R")+1,A16)</f>
        <v>15</v>
      </c>
      <c r="B17" s="19" t="str">
        <f>"C-Tesoreria"</f>
        <v>C-Tesoreria</v>
      </c>
      <c r="C17" s="3" t="s">
        <v>1352</v>
      </c>
      <c r="D17" s="14">
        <v>45665</v>
      </c>
      <c r="E17" s="5" t="s">
        <v>1387</v>
      </c>
      <c r="F17" s="5" t="s">
        <v>1336</v>
      </c>
      <c r="G17" s="3" t="s">
        <v>5274</v>
      </c>
      <c r="H17" s="6"/>
      <c r="I17" s="6" t="s">
        <v>111</v>
      </c>
      <c r="J17" s="6">
        <v>3</v>
      </c>
      <c r="K17" s="6">
        <v>1</v>
      </c>
      <c r="L17" s="7" t="s">
        <v>5275</v>
      </c>
      <c r="M17" s="8" t="str">
        <f>IF(Caja_Arequipa[[#This Row],[tipo_r]]="R","001-"&amp;12002+A17,M16)</f>
        <v>001-12017</v>
      </c>
      <c r="N17" s="8" t="str">
        <f>"PEN"</f>
        <v>PEN</v>
      </c>
      <c r="O17" s="13">
        <v>31</v>
      </c>
      <c r="P17" s="13"/>
      <c r="Q17" s="3">
        <f>+IF(OR($F17="SALDO",$F17="INGRESO"),$P17,0)</f>
        <v>0</v>
      </c>
      <c r="R17" s="3">
        <f>+IF($F17="EGRESO",$P17,0)</f>
        <v>0</v>
      </c>
      <c r="S17" s="3">
        <f t="shared" si="4"/>
        <v>731.89999999999975</v>
      </c>
      <c r="T17" s="24"/>
      <c r="U17" s="24"/>
      <c r="V17" s="3"/>
      <c r="W17" s="25" t="str">
        <f>IFERROR(VLOOKUP(Caja_Arequipa[[#This Row],[destinatario]],CHOOSE({1,2},Clientes_Proveedores[Razon Social],Clientes_Proveedores[Ruc / Dni]),2,0),"")</f>
        <v/>
      </c>
      <c r="X17" s="3"/>
      <c r="Y17" s="3"/>
      <c r="Z17" s="3"/>
      <c r="AA17" s="3"/>
      <c r="AB17" s="3" t="str">
        <f>IF(Caja_Arequipa[[#This Row],[fecha]]&gt;0,TEXT(Caja_Arequipa[[#This Row],[fecha]],"mmmm"),0)</f>
        <v>Enero</v>
      </c>
    </row>
    <row r="18" spans="1:28" x14ac:dyDescent="0.3">
      <c r="A18" s="2">
        <f>IF(Caja_Arequipa[[#This Row],[tipo_r]]="R",COUNTIFS($C$1:$C17,"R")+1,A17)</f>
        <v>15</v>
      </c>
      <c r="B18" s="19" t="str">
        <f>"C-Tesoreria"</f>
        <v>C-Tesoreria</v>
      </c>
      <c r="C18" s="3" t="s">
        <v>1352</v>
      </c>
      <c r="D18" s="14">
        <v>45665</v>
      </c>
      <c r="E18" s="5" t="s">
        <v>1387</v>
      </c>
      <c r="F18" s="5" t="s">
        <v>1336</v>
      </c>
      <c r="G18" s="3" t="s">
        <v>5274</v>
      </c>
      <c r="H18" s="6"/>
      <c r="I18" s="6"/>
      <c r="J18" s="6"/>
      <c r="K18" s="6"/>
      <c r="L18" s="7" t="s">
        <v>5277</v>
      </c>
      <c r="M18" s="8" t="str">
        <f>IF(Caja_Arequipa[[#This Row],[tipo_r]]="R","001-"&amp;12002+A18,M17)</f>
        <v>001-12017</v>
      </c>
      <c r="N18" s="8" t="str">
        <f>"PEN"</f>
        <v>PEN</v>
      </c>
      <c r="O18" s="13">
        <v>14</v>
      </c>
      <c r="P18" s="13"/>
      <c r="Q18" s="3">
        <f>+IF(OR($F18="SALDO",$F18="INGRESO"),$P18,0)</f>
        <v>0</v>
      </c>
      <c r="R18" s="3">
        <f>+IF($F18="EGRESO",$P18,0)</f>
        <v>0</v>
      </c>
      <c r="S18" s="3">
        <f t="shared" si="4"/>
        <v>731.89999999999975</v>
      </c>
      <c r="T18" s="24"/>
      <c r="U18" s="24"/>
      <c r="V18" s="3"/>
      <c r="W18" s="25" t="str">
        <f>IFERROR(VLOOKUP(Caja_Arequipa[[#This Row],[destinatario]],CHOOSE({1,2},Clientes_Proveedores[Razon Social],Clientes_Proveedores[Ruc / Dni]),2,0),"")</f>
        <v/>
      </c>
      <c r="X18" s="3"/>
      <c r="Y18" s="3"/>
      <c r="Z18" s="3"/>
      <c r="AA18" s="3"/>
      <c r="AB18" s="3" t="str">
        <f>IF(Caja_Arequipa[[#This Row],[fecha]]&gt;0,TEXT(Caja_Arequipa[[#This Row],[fecha]],"mmmm"),0)</f>
        <v>Enero</v>
      </c>
    </row>
    <row r="19" spans="1:28" ht="24" x14ac:dyDescent="0.3">
      <c r="A19" s="2">
        <f>IF(Caja_Arequipa[[#This Row],[tipo_r]]="R",COUNTIFS($C$1:$C18,"R")+1,A18)</f>
        <v>16</v>
      </c>
      <c r="B19" s="19" t="str">
        <f t="shared" si="0"/>
        <v>C-Tesoreria</v>
      </c>
      <c r="C19" s="3" t="s">
        <v>1330</v>
      </c>
      <c r="D19" s="14">
        <v>45666</v>
      </c>
      <c r="E19" s="5" t="s">
        <v>1387</v>
      </c>
      <c r="F19" s="5" t="s">
        <v>1303</v>
      </c>
      <c r="G19" s="3" t="s">
        <v>3634</v>
      </c>
      <c r="H19" s="6"/>
      <c r="I19" s="6"/>
      <c r="J19" s="6"/>
      <c r="K19" s="6"/>
      <c r="L19" s="7" t="s">
        <v>5278</v>
      </c>
      <c r="M19" s="8" t="str">
        <f>IF(Caja_Arequipa[[#This Row],[tipo_r]]="R","001-"&amp;12002+A19,M18)</f>
        <v>001-12018</v>
      </c>
      <c r="N19" s="8" t="str">
        <f t="shared" si="5"/>
        <v>PEN</v>
      </c>
      <c r="O19" s="13"/>
      <c r="P19" s="13">
        <v>50</v>
      </c>
      <c r="Q19" s="3">
        <f t="shared" si="2"/>
        <v>50</v>
      </c>
      <c r="R19" s="3">
        <f t="shared" si="3"/>
        <v>0</v>
      </c>
      <c r="S19" s="3">
        <f t="shared" si="4"/>
        <v>781.89999999999975</v>
      </c>
      <c r="T19" s="24"/>
      <c r="U19" s="24" t="s">
        <v>1334</v>
      </c>
      <c r="V19" s="3"/>
      <c r="W19" s="25" t="str">
        <f>IFERROR(VLOOKUP(Caja_Arequipa[[#This Row],[destinatario]],CHOOSE({1,2},Clientes_Proveedores[Razon Social],Clientes_Proveedores[Ruc / Dni]),2,0),"")</f>
        <v/>
      </c>
      <c r="X19" s="3"/>
      <c r="Y19" s="3"/>
      <c r="Z19" s="3"/>
      <c r="AA19" s="3"/>
      <c r="AB19" s="3" t="str">
        <f>IF(Caja_Arequipa[[#This Row],[fecha]]&gt;0,TEXT(Caja_Arequipa[[#This Row],[fecha]],"mmmm"),0)</f>
        <v>Enero</v>
      </c>
    </row>
    <row r="20" spans="1:28" ht="24" x14ac:dyDescent="0.3">
      <c r="A20" s="2">
        <f>IF(Caja_Arequipa[[#This Row],[tipo_r]]="R",COUNTIFS($C$1:$C19,"R")+1,A19)</f>
        <v>17</v>
      </c>
      <c r="B20" s="19" t="str">
        <f t="shared" si="0"/>
        <v>C-Tesoreria</v>
      </c>
      <c r="C20" s="3" t="s">
        <v>1330</v>
      </c>
      <c r="D20" s="14">
        <v>45666</v>
      </c>
      <c r="E20" s="5" t="s">
        <v>1387</v>
      </c>
      <c r="F20" s="5" t="s">
        <v>1303</v>
      </c>
      <c r="G20" s="3" t="s">
        <v>5274</v>
      </c>
      <c r="H20" s="6"/>
      <c r="I20" s="6"/>
      <c r="J20" s="6"/>
      <c r="K20" s="6"/>
      <c r="L20" s="7" t="s">
        <v>5279</v>
      </c>
      <c r="M20" s="8" t="str">
        <f>IF(Caja_Arequipa[[#This Row],[tipo_r]]="R","001-"&amp;12002+A20,M19)</f>
        <v>001-12019</v>
      </c>
      <c r="N20" s="8" t="str">
        <f t="shared" si="5"/>
        <v>PEN</v>
      </c>
      <c r="O20" s="13"/>
      <c r="P20" s="13">
        <v>14</v>
      </c>
      <c r="Q20" s="3">
        <f t="shared" si="2"/>
        <v>14</v>
      </c>
      <c r="R20" s="3">
        <f t="shared" si="3"/>
        <v>0</v>
      </c>
      <c r="S20" s="3">
        <f t="shared" si="4"/>
        <v>795.89999999999975</v>
      </c>
      <c r="T20" s="24"/>
      <c r="U20" s="24" t="s">
        <v>1334</v>
      </c>
      <c r="V20" s="3"/>
      <c r="W20" s="25" t="str">
        <f>IFERROR(VLOOKUP(Caja_Arequipa[[#This Row],[destinatario]],CHOOSE({1,2},Clientes_Proveedores[Razon Social],Clientes_Proveedores[Ruc / Dni]),2,0),"")</f>
        <v/>
      </c>
      <c r="X20" s="3" t="s">
        <v>5276</v>
      </c>
      <c r="Y20" s="3"/>
      <c r="Z20" s="3"/>
      <c r="AA20" s="3"/>
      <c r="AB20" s="3" t="str">
        <f>IF(Caja_Arequipa[[#This Row],[fecha]]&gt;0,TEXT(Caja_Arequipa[[#This Row],[fecha]],"mmmm"),0)</f>
        <v>Enero</v>
      </c>
    </row>
    <row r="21" spans="1:28" ht="24" x14ac:dyDescent="0.3">
      <c r="A21" s="2">
        <f>IF(Caja_Arequipa[[#This Row],[tipo_r]]="R",COUNTIFS($C$1:$C20,"R")+1,A20)</f>
        <v>18</v>
      </c>
      <c r="B21" s="19" t="str">
        <f t="shared" si="0"/>
        <v>C-Tesoreria</v>
      </c>
      <c r="C21" s="3" t="s">
        <v>1330</v>
      </c>
      <c r="D21" s="14">
        <v>45666</v>
      </c>
      <c r="E21" s="5" t="s">
        <v>1387</v>
      </c>
      <c r="F21" s="5" t="s">
        <v>1336</v>
      </c>
      <c r="G21" s="3" t="s">
        <v>5280</v>
      </c>
      <c r="H21" s="6"/>
      <c r="I21" s="6" t="s">
        <v>111</v>
      </c>
      <c r="J21" s="6">
        <v>3</v>
      </c>
      <c r="K21" s="6">
        <v>3842024</v>
      </c>
      <c r="L21" s="7" t="s">
        <v>5281</v>
      </c>
      <c r="M21" s="8" t="str">
        <f>IF(Caja_Arequipa[[#This Row],[tipo_r]]="R","001-"&amp;12002+A21,M20)</f>
        <v>001-12020</v>
      </c>
      <c r="N21" s="8" t="str">
        <f t="shared" si="5"/>
        <v>PEN</v>
      </c>
      <c r="O21" s="13"/>
      <c r="P21" s="13">
        <v>46</v>
      </c>
      <c r="Q21" s="3">
        <f t="shared" si="2"/>
        <v>0</v>
      </c>
      <c r="R21" s="3">
        <f t="shared" si="3"/>
        <v>46</v>
      </c>
      <c r="S21" s="3">
        <f t="shared" si="4"/>
        <v>749.89999999999975</v>
      </c>
      <c r="T21" s="24" t="s">
        <v>1334</v>
      </c>
      <c r="U21" s="24" t="s">
        <v>1334</v>
      </c>
      <c r="V21" s="3"/>
      <c r="W21" s="25" t="str">
        <f>IFERROR(VLOOKUP(Caja_Arequipa[[#This Row],[destinatario]],CHOOSE({1,2},Clientes_Proveedores[Razon Social],Clientes_Proveedores[Ruc / Dni]),2,0),"")</f>
        <v/>
      </c>
      <c r="X21" s="3" t="s">
        <v>5282</v>
      </c>
      <c r="Y21" s="3"/>
      <c r="Z21" s="3"/>
      <c r="AA21" s="3"/>
      <c r="AB21" s="3" t="str">
        <f>IF(Caja_Arequipa[[#This Row],[fecha]]&gt;0,TEXT(Caja_Arequipa[[#This Row],[fecha]],"mmmm"),0)</f>
        <v>Enero</v>
      </c>
    </row>
    <row r="22" spans="1:28" ht="24" x14ac:dyDescent="0.3">
      <c r="A22" s="2">
        <f>IF(Caja_Arequipa[[#This Row],[tipo_r]]="R",COUNTIFS($C$1:$C21,"R")+1,A21)</f>
        <v>19</v>
      </c>
      <c r="B22" s="19" t="str">
        <f t="shared" si="0"/>
        <v>C-Tesoreria</v>
      </c>
      <c r="C22" s="3" t="s">
        <v>1330</v>
      </c>
      <c r="D22" s="14">
        <v>45666</v>
      </c>
      <c r="E22" s="5" t="s">
        <v>1387</v>
      </c>
      <c r="F22" s="5" t="s">
        <v>1336</v>
      </c>
      <c r="G22" s="3" t="s">
        <v>3308</v>
      </c>
      <c r="H22" s="6"/>
      <c r="I22" s="6" t="s">
        <v>111</v>
      </c>
      <c r="J22" s="6">
        <v>3</v>
      </c>
      <c r="K22" s="6">
        <v>3692024</v>
      </c>
      <c r="L22" s="7" t="s">
        <v>5283</v>
      </c>
      <c r="M22" s="8" t="str">
        <f>IF(Caja_Arequipa[[#This Row],[tipo_r]]="R","001-"&amp;12002+A22,M21)</f>
        <v>001-12021</v>
      </c>
      <c r="N22" s="8" t="str">
        <f t="shared" si="5"/>
        <v>PEN</v>
      </c>
      <c r="O22" s="13"/>
      <c r="P22" s="13">
        <v>95.9</v>
      </c>
      <c r="Q22" s="3">
        <f t="shared" si="2"/>
        <v>0</v>
      </c>
      <c r="R22" s="3">
        <f t="shared" si="3"/>
        <v>95.9</v>
      </c>
      <c r="S22" s="3">
        <f t="shared" si="4"/>
        <v>653.99999999999977</v>
      </c>
      <c r="T22" s="24" t="s">
        <v>1334</v>
      </c>
      <c r="U22" s="24" t="s">
        <v>1334</v>
      </c>
      <c r="V22" s="3"/>
      <c r="W22" s="25" t="str">
        <f>IFERROR(VLOOKUP(Caja_Arequipa[[#This Row],[destinatario]],CHOOSE({1,2},Clientes_Proveedores[Razon Social],Clientes_Proveedores[Ruc / Dni]),2,0),"")</f>
        <v/>
      </c>
      <c r="X22" s="3" t="s">
        <v>5284</v>
      </c>
      <c r="Y22" s="3"/>
      <c r="Z22" s="3"/>
      <c r="AA22" s="3"/>
      <c r="AB22" s="3" t="str">
        <f>IF(Caja_Arequipa[[#This Row],[fecha]]&gt;0,TEXT(Caja_Arequipa[[#This Row],[fecha]],"mmmm"),0)</f>
        <v>Enero</v>
      </c>
    </row>
    <row r="23" spans="1:28" ht="24" x14ac:dyDescent="0.3">
      <c r="A23" s="2">
        <f>IF(Caja_Arequipa[[#This Row],[tipo_r]]="R",COUNTIFS($C$1:$C22,"R")+1,A22)</f>
        <v>20</v>
      </c>
      <c r="B23" s="19" t="str">
        <f t="shared" si="0"/>
        <v>C-Tesoreria</v>
      </c>
      <c r="C23" s="3" t="s">
        <v>1330</v>
      </c>
      <c r="D23" s="14">
        <v>45666</v>
      </c>
      <c r="E23" s="5" t="s">
        <v>1387</v>
      </c>
      <c r="F23" s="5" t="s">
        <v>1336</v>
      </c>
      <c r="G23" s="3" t="s">
        <v>5250</v>
      </c>
      <c r="H23" s="6"/>
      <c r="I23" s="6" t="s">
        <v>111</v>
      </c>
      <c r="J23" s="6">
        <v>3</v>
      </c>
      <c r="K23" s="6">
        <v>3862024</v>
      </c>
      <c r="L23" s="7" t="s">
        <v>5285</v>
      </c>
      <c r="M23" s="8" t="str">
        <f>IF(Caja_Arequipa[[#This Row],[tipo_r]]="R","001-"&amp;12002+A23,M22)</f>
        <v>001-12022</v>
      </c>
      <c r="N23" s="8" t="str">
        <f t="shared" si="5"/>
        <v>PEN</v>
      </c>
      <c r="O23" s="13"/>
      <c r="P23" s="13">
        <v>17</v>
      </c>
      <c r="Q23" s="3">
        <f t="shared" si="2"/>
        <v>0</v>
      </c>
      <c r="R23" s="3">
        <f t="shared" si="3"/>
        <v>17</v>
      </c>
      <c r="S23" s="3">
        <f t="shared" si="4"/>
        <v>636.99999999999977</v>
      </c>
      <c r="T23" s="24" t="s">
        <v>1334</v>
      </c>
      <c r="U23" s="24" t="s">
        <v>1334</v>
      </c>
      <c r="V23" s="3"/>
      <c r="W23" s="25" t="str">
        <f>IFERROR(VLOOKUP(Caja_Arequipa[[#This Row],[destinatario]],CHOOSE({1,2},Clientes_Proveedores[Razon Social],Clientes_Proveedores[Ruc / Dni]),2,0),"")</f>
        <v/>
      </c>
      <c r="X23" s="3" t="s">
        <v>5286</v>
      </c>
      <c r="Y23" s="3"/>
      <c r="Z23" s="3"/>
      <c r="AA23" s="3"/>
      <c r="AB23" s="3" t="str">
        <f>IF(Caja_Arequipa[[#This Row],[fecha]]&gt;0,TEXT(Caja_Arequipa[[#This Row],[fecha]],"mmmm"),0)</f>
        <v>Enero</v>
      </c>
    </row>
    <row r="24" spans="1:28" x14ac:dyDescent="0.3">
      <c r="A24" s="2">
        <f>IF(Caja_Arequipa[[#This Row],[tipo_r]]="R",COUNTIFS($C$1:$C23,"R")+1,A23)</f>
        <v>21</v>
      </c>
      <c r="B24" s="19" t="str">
        <f t="shared" si="0"/>
        <v>C-Tesoreria</v>
      </c>
      <c r="C24" s="3" t="s">
        <v>1330</v>
      </c>
      <c r="D24" s="14">
        <v>45666</v>
      </c>
      <c r="E24" s="5" t="s">
        <v>1387</v>
      </c>
      <c r="F24" s="5" t="s">
        <v>1336</v>
      </c>
      <c r="G24" s="3" t="s">
        <v>5287</v>
      </c>
      <c r="H24" s="6"/>
      <c r="I24" s="6"/>
      <c r="J24" s="6"/>
      <c r="K24" s="6"/>
      <c r="L24" s="7" t="s">
        <v>5288</v>
      </c>
      <c r="M24" s="8" t="str">
        <f>IF(Caja_Arequipa[[#This Row],[tipo_r]]="R","001-"&amp;12002+A24,M23)</f>
        <v>001-12023</v>
      </c>
      <c r="N24" s="8" t="str">
        <f t="shared" si="5"/>
        <v>PEN</v>
      </c>
      <c r="O24" s="13"/>
      <c r="P24" s="13">
        <v>10</v>
      </c>
      <c r="Q24" s="3">
        <f t="shared" si="2"/>
        <v>0</v>
      </c>
      <c r="R24" s="3">
        <f t="shared" si="3"/>
        <v>10</v>
      </c>
      <c r="S24" s="3">
        <f t="shared" si="4"/>
        <v>626.99999999999977</v>
      </c>
      <c r="T24" s="24" t="s">
        <v>1334</v>
      </c>
      <c r="U24" s="24" t="s">
        <v>1334</v>
      </c>
      <c r="V24" s="3"/>
      <c r="W24" s="25" t="str">
        <f>IFERROR(VLOOKUP(Caja_Arequipa[[#This Row],[destinatario]],CHOOSE({1,2},Clientes_Proveedores[Razon Social],Clientes_Proveedores[Ruc / Dni]),2,0),"")</f>
        <v/>
      </c>
      <c r="X24" s="3" t="s">
        <v>5289</v>
      </c>
      <c r="Y24" s="3"/>
      <c r="Z24" s="3"/>
      <c r="AA24" s="3"/>
      <c r="AB24" s="3" t="str">
        <f>IF(Caja_Arequipa[[#This Row],[fecha]]&gt;0,TEXT(Caja_Arequipa[[#This Row],[fecha]],"mmmm"),0)</f>
        <v>Enero</v>
      </c>
    </row>
    <row r="25" spans="1:28" x14ac:dyDescent="0.3">
      <c r="A25" s="2">
        <f>IF(Caja_Arequipa[[#This Row],[tipo_r]]="R",COUNTIFS($C$1:$C24,"R")+1,A24)</f>
        <v>22</v>
      </c>
      <c r="B25" s="19" t="str">
        <f t="shared" si="0"/>
        <v>C-Tesoreria</v>
      </c>
      <c r="C25" s="3" t="s">
        <v>1330</v>
      </c>
      <c r="D25" s="14">
        <v>45666</v>
      </c>
      <c r="E25" s="5" t="s">
        <v>1387</v>
      </c>
      <c r="F25" s="5" t="s">
        <v>1336</v>
      </c>
      <c r="G25" s="3" t="s">
        <v>5287</v>
      </c>
      <c r="H25" s="6"/>
      <c r="I25" s="6"/>
      <c r="J25" s="6"/>
      <c r="K25" s="6"/>
      <c r="L25" s="7" t="s">
        <v>5288</v>
      </c>
      <c r="M25" s="8" t="str">
        <f>IF(Caja_Arequipa[[#This Row],[tipo_r]]="R","001-"&amp;12002+A25,M24)</f>
        <v>001-12024</v>
      </c>
      <c r="N25" s="8" t="str">
        <f t="shared" si="5"/>
        <v>PEN</v>
      </c>
      <c r="O25" s="13"/>
      <c r="P25" s="13">
        <v>10</v>
      </c>
      <c r="Q25" s="3">
        <f t="shared" si="2"/>
        <v>0</v>
      </c>
      <c r="R25" s="3">
        <f t="shared" si="3"/>
        <v>10</v>
      </c>
      <c r="S25" s="3">
        <f t="shared" si="4"/>
        <v>616.99999999999977</v>
      </c>
      <c r="T25" s="24" t="s">
        <v>1334</v>
      </c>
      <c r="U25" s="24" t="s">
        <v>1334</v>
      </c>
      <c r="V25" s="3"/>
      <c r="W25" s="25" t="str">
        <f>IFERROR(VLOOKUP(Caja_Arequipa[[#This Row],[destinatario]],CHOOSE({1,2},Clientes_Proveedores[Razon Social],Clientes_Proveedores[Ruc / Dni]),2,0),"")</f>
        <v/>
      </c>
      <c r="X25" s="3" t="s">
        <v>5290</v>
      </c>
      <c r="Y25" s="3"/>
      <c r="Z25" s="3"/>
      <c r="AA25" s="3"/>
      <c r="AB25" s="3" t="str">
        <f>IF(Caja_Arequipa[[#This Row],[fecha]]&gt;0,TEXT(Caja_Arequipa[[#This Row],[fecha]],"mmmm"),0)</f>
        <v>Enero</v>
      </c>
    </row>
    <row r="26" spans="1:28" x14ac:dyDescent="0.3">
      <c r="A26" s="2">
        <f>IF(Caja_Arequipa[[#This Row],[tipo_r]]="R",COUNTIFS($C$1:$C25,"R")+1,A25)</f>
        <v>23</v>
      </c>
      <c r="B26" s="19" t="str">
        <f t="shared" si="0"/>
        <v>C-Tesoreria</v>
      </c>
      <c r="C26" s="3" t="s">
        <v>1330</v>
      </c>
      <c r="D26" s="14">
        <v>45666</v>
      </c>
      <c r="E26" s="5" t="s">
        <v>1387</v>
      </c>
      <c r="F26" s="5" t="s">
        <v>1336</v>
      </c>
      <c r="G26" s="3" t="s">
        <v>5287</v>
      </c>
      <c r="H26" s="6"/>
      <c r="I26" s="6"/>
      <c r="J26" s="6"/>
      <c r="K26" s="6"/>
      <c r="L26" s="7" t="s">
        <v>5288</v>
      </c>
      <c r="M26" s="8" t="str">
        <f>IF(Caja_Arequipa[[#This Row],[tipo_r]]="R","001-"&amp;12002+A26,M25)</f>
        <v>001-12025</v>
      </c>
      <c r="N26" s="8" t="str">
        <f t="shared" si="5"/>
        <v>PEN</v>
      </c>
      <c r="O26" s="13"/>
      <c r="P26" s="13">
        <v>10</v>
      </c>
      <c r="Q26" s="3">
        <f t="shared" si="2"/>
        <v>0</v>
      </c>
      <c r="R26" s="3">
        <f t="shared" si="3"/>
        <v>10</v>
      </c>
      <c r="S26" s="3">
        <f t="shared" si="4"/>
        <v>606.99999999999977</v>
      </c>
      <c r="T26" s="24" t="s">
        <v>1334</v>
      </c>
      <c r="U26" s="24" t="s">
        <v>1334</v>
      </c>
      <c r="V26" s="3"/>
      <c r="W26" s="25" t="str">
        <f>IFERROR(VLOOKUP(Caja_Arequipa[[#This Row],[destinatario]],CHOOSE({1,2},Clientes_Proveedores[Razon Social],Clientes_Proveedores[Ruc / Dni]),2,0),"")</f>
        <v/>
      </c>
      <c r="X26" s="3" t="s">
        <v>5291</v>
      </c>
      <c r="Y26" s="3"/>
      <c r="Z26" s="3"/>
      <c r="AA26" s="3"/>
      <c r="AB26" s="3" t="str">
        <f>IF(Caja_Arequipa[[#This Row],[fecha]]&gt;0,TEXT(Caja_Arequipa[[#This Row],[fecha]],"mmmm"),0)</f>
        <v>Enero</v>
      </c>
    </row>
    <row r="27" spans="1:28" x14ac:dyDescent="0.3">
      <c r="A27" s="2">
        <f>IF(Caja_Arequipa[[#This Row],[tipo_r]]="R",COUNTIFS($C$1:$C26,"R")+1,A26)</f>
        <v>24</v>
      </c>
      <c r="B27" s="19" t="str">
        <f t="shared" si="0"/>
        <v>C-Tesoreria</v>
      </c>
      <c r="C27" s="3" t="s">
        <v>1330</v>
      </c>
      <c r="D27" s="14">
        <v>45666</v>
      </c>
      <c r="E27" s="5" t="s">
        <v>1387</v>
      </c>
      <c r="F27" s="5" t="s">
        <v>1336</v>
      </c>
      <c r="G27" s="3" t="s">
        <v>5287</v>
      </c>
      <c r="H27" s="6"/>
      <c r="I27" s="6"/>
      <c r="J27" s="6"/>
      <c r="K27" s="6"/>
      <c r="L27" s="7" t="s">
        <v>5288</v>
      </c>
      <c r="M27" s="8" t="str">
        <f>IF(Caja_Arequipa[[#This Row],[tipo_r]]="R","001-"&amp;12002+A27,M26)</f>
        <v>001-12026</v>
      </c>
      <c r="N27" s="8" t="str">
        <f t="shared" si="5"/>
        <v>PEN</v>
      </c>
      <c r="O27" s="13"/>
      <c r="P27" s="13">
        <v>10</v>
      </c>
      <c r="Q27" s="3">
        <f t="shared" si="2"/>
        <v>0</v>
      </c>
      <c r="R27" s="3">
        <f t="shared" si="3"/>
        <v>10</v>
      </c>
      <c r="S27" s="3">
        <f t="shared" si="4"/>
        <v>596.99999999999977</v>
      </c>
      <c r="T27" s="24" t="s">
        <v>1334</v>
      </c>
      <c r="U27" s="24" t="s">
        <v>1334</v>
      </c>
      <c r="V27" s="3"/>
      <c r="W27" s="25" t="str">
        <f>IFERROR(VLOOKUP(Caja_Arequipa[[#This Row],[destinatario]],CHOOSE({1,2},Clientes_Proveedores[Razon Social],Clientes_Proveedores[Ruc / Dni]),2,0),"")</f>
        <v/>
      </c>
      <c r="X27" s="3" t="s">
        <v>5292</v>
      </c>
      <c r="Y27" s="3"/>
      <c r="Z27" s="3"/>
      <c r="AA27" s="3"/>
      <c r="AB27" s="3" t="str">
        <f>IF(Caja_Arequipa[[#This Row],[fecha]]&gt;0,TEXT(Caja_Arequipa[[#This Row],[fecha]],"mmmm"),0)</f>
        <v>Enero</v>
      </c>
    </row>
    <row r="28" spans="1:28" ht="24" x14ac:dyDescent="0.3">
      <c r="A28" s="2">
        <f>IF(Caja_Arequipa[[#This Row],[tipo_r]]="R",COUNTIFS($C$1:$C27,"R")+1,A27)</f>
        <v>25</v>
      </c>
      <c r="B28" s="19" t="str">
        <f t="shared" si="0"/>
        <v>C-Tesoreria</v>
      </c>
      <c r="C28" s="3" t="s">
        <v>1330</v>
      </c>
      <c r="D28" s="14">
        <v>45666</v>
      </c>
      <c r="E28" s="5" t="s">
        <v>1387</v>
      </c>
      <c r="F28" s="5" t="s">
        <v>1336</v>
      </c>
      <c r="G28" s="3" t="s">
        <v>3308</v>
      </c>
      <c r="H28" s="6"/>
      <c r="I28" s="6"/>
      <c r="J28" s="6"/>
      <c r="K28" s="6"/>
      <c r="L28" s="7" t="s">
        <v>5293</v>
      </c>
      <c r="M28" s="8" t="str">
        <f>IF(Caja_Arequipa[[#This Row],[tipo_r]]="R","001-"&amp;12002+A28,M27)</f>
        <v>001-12027</v>
      </c>
      <c r="N28" s="8" t="str">
        <f t="shared" si="5"/>
        <v>PEN</v>
      </c>
      <c r="O28" s="13"/>
      <c r="P28" s="13">
        <v>10</v>
      </c>
      <c r="Q28" s="3">
        <f t="shared" si="2"/>
        <v>0</v>
      </c>
      <c r="R28" s="3">
        <f t="shared" si="3"/>
        <v>10</v>
      </c>
      <c r="S28" s="3">
        <f t="shared" si="4"/>
        <v>586.99999999999977</v>
      </c>
      <c r="T28" s="24" t="s">
        <v>1334</v>
      </c>
      <c r="U28" s="24" t="s">
        <v>1334</v>
      </c>
      <c r="V28" s="3"/>
      <c r="W28" s="25" t="str">
        <f>IFERROR(VLOOKUP(Caja_Arequipa[[#This Row],[destinatario]],CHOOSE({1,2},Clientes_Proveedores[Razon Social],Clientes_Proveedores[Ruc / Dni]),2,0),"")</f>
        <v/>
      </c>
      <c r="X28" s="3" t="s">
        <v>5294</v>
      </c>
      <c r="Y28" s="3"/>
      <c r="Z28" s="3"/>
      <c r="AA28" s="3"/>
      <c r="AB28" s="3" t="str">
        <f>IF(Caja_Arequipa[[#This Row],[fecha]]&gt;0,TEXT(Caja_Arequipa[[#This Row],[fecha]],"mmmm"),0)</f>
        <v>Enero</v>
      </c>
    </row>
    <row r="29" spans="1:28" ht="24" x14ac:dyDescent="0.3">
      <c r="A29" s="2">
        <f>IF(Caja_Arequipa[[#This Row],[tipo_r]]="R",COUNTIFS($C$1:$C28,"R")+1,A28)</f>
        <v>26</v>
      </c>
      <c r="B29" s="19" t="str">
        <f t="shared" si="0"/>
        <v>C-Tesoreria</v>
      </c>
      <c r="C29" s="3" t="s">
        <v>1330</v>
      </c>
      <c r="D29" s="14">
        <v>45666</v>
      </c>
      <c r="E29" s="5" t="s">
        <v>1387</v>
      </c>
      <c r="F29" s="5" t="s">
        <v>1336</v>
      </c>
      <c r="G29" s="3" t="s">
        <v>5295</v>
      </c>
      <c r="H29" s="6"/>
      <c r="I29" s="6" t="s">
        <v>111</v>
      </c>
      <c r="J29" s="6">
        <v>3</v>
      </c>
      <c r="K29" s="6">
        <v>2</v>
      </c>
      <c r="L29" s="7" t="s">
        <v>5296</v>
      </c>
      <c r="M29" s="8" t="str">
        <f>IF(Caja_Arequipa[[#This Row],[tipo_r]]="R","001-"&amp;12002+A29,M28)</f>
        <v>001-12028</v>
      </c>
      <c r="N29" s="8" t="str">
        <f t="shared" si="5"/>
        <v>PEN</v>
      </c>
      <c r="O29" s="13"/>
      <c r="P29" s="13">
        <v>12</v>
      </c>
      <c r="Q29" s="3">
        <f t="shared" si="2"/>
        <v>0</v>
      </c>
      <c r="R29" s="3">
        <f t="shared" si="3"/>
        <v>12</v>
      </c>
      <c r="S29" s="3">
        <f t="shared" si="4"/>
        <v>574.99999999999977</v>
      </c>
      <c r="T29" s="24" t="s">
        <v>1334</v>
      </c>
      <c r="U29" s="24" t="s">
        <v>1334</v>
      </c>
      <c r="V29" s="3"/>
      <c r="W29" s="25" t="str">
        <f>IFERROR(VLOOKUP(Caja_Arequipa[[#This Row],[destinatario]],CHOOSE({1,2},Clientes_Proveedores[Razon Social],Clientes_Proveedores[Ruc / Dni]),2,0),"")</f>
        <v/>
      </c>
      <c r="X29" s="3" t="s">
        <v>5297</v>
      </c>
      <c r="Y29" s="3"/>
      <c r="Z29" s="3"/>
      <c r="AA29" s="3"/>
      <c r="AB29" s="3" t="str">
        <f>IF(Caja_Arequipa[[#This Row],[fecha]]&gt;0,TEXT(Caja_Arequipa[[#This Row],[fecha]],"mmmm"),0)</f>
        <v>Enero</v>
      </c>
    </row>
    <row r="30" spans="1:28" ht="24" x14ac:dyDescent="0.3">
      <c r="A30" s="2">
        <f>IF(Caja_Arequipa[[#This Row],[tipo_r]]="R",COUNTIFS($C$1:$C29,"R")+1,A29)</f>
        <v>27</v>
      </c>
      <c r="B30" s="19" t="str">
        <f t="shared" si="0"/>
        <v>C-Tesoreria</v>
      </c>
      <c r="C30" s="3" t="s">
        <v>1330</v>
      </c>
      <c r="D30" s="14">
        <v>45667</v>
      </c>
      <c r="E30" s="5" t="s">
        <v>1387</v>
      </c>
      <c r="F30" s="5" t="s">
        <v>1303</v>
      </c>
      <c r="G30" s="3" t="s">
        <v>3308</v>
      </c>
      <c r="H30" s="6"/>
      <c r="I30" s="6"/>
      <c r="J30" s="6"/>
      <c r="K30" s="6"/>
      <c r="L30" s="7" t="s">
        <v>5298</v>
      </c>
      <c r="M30" s="8" t="str">
        <f>IF(Caja_Arequipa[[#This Row],[tipo_r]]="R","001-"&amp;12002+A30,M29)</f>
        <v>001-12029</v>
      </c>
      <c r="N30" s="8" t="str">
        <f t="shared" si="5"/>
        <v>PEN</v>
      </c>
      <c r="O30" s="13"/>
      <c r="P30" s="13">
        <v>70</v>
      </c>
      <c r="Q30" s="3">
        <f t="shared" si="2"/>
        <v>70</v>
      </c>
      <c r="R30" s="3">
        <f t="shared" si="3"/>
        <v>0</v>
      </c>
      <c r="S30" s="3">
        <f t="shared" si="4"/>
        <v>644.99999999999977</v>
      </c>
      <c r="T30" s="24"/>
      <c r="U30" s="24" t="s">
        <v>1334</v>
      </c>
      <c r="V30" s="3"/>
      <c r="W30" s="25" t="str">
        <f>IFERROR(VLOOKUP(Caja_Arequipa[[#This Row],[destinatario]],CHOOSE({1,2},Clientes_Proveedores[Razon Social],Clientes_Proveedores[Ruc / Dni]),2,0),"")</f>
        <v/>
      </c>
      <c r="X30" s="3"/>
      <c r="Y30" s="3"/>
      <c r="Z30" s="3"/>
      <c r="AA30" s="3"/>
      <c r="AB30" s="3" t="str">
        <f>IF(Caja_Arequipa[[#This Row],[fecha]]&gt;0,TEXT(Caja_Arequipa[[#This Row],[fecha]],"mmmm"),0)</f>
        <v>Enero</v>
      </c>
    </row>
    <row r="31" spans="1:28" ht="24" x14ac:dyDescent="0.3">
      <c r="A31" s="2">
        <f>IF(Caja_Arequipa[[#This Row],[tipo_r]]="R",COUNTIFS($C$1:$C30,"R")+1,A30)</f>
        <v>28</v>
      </c>
      <c r="B31" s="19" t="str">
        <f t="shared" si="0"/>
        <v>C-Tesoreria</v>
      </c>
      <c r="C31" s="3" t="s">
        <v>1330</v>
      </c>
      <c r="D31" s="14">
        <v>45667</v>
      </c>
      <c r="E31" s="5" t="s">
        <v>1387</v>
      </c>
      <c r="F31" s="5" t="s">
        <v>1303</v>
      </c>
      <c r="G31" s="3" t="s">
        <v>5299</v>
      </c>
      <c r="H31" s="6"/>
      <c r="I31" s="6"/>
      <c r="J31" s="6"/>
      <c r="K31" s="6"/>
      <c r="L31" s="7" t="s">
        <v>5300</v>
      </c>
      <c r="M31" s="8" t="str">
        <f>IF(Caja_Arequipa[[#This Row],[tipo_r]]="R","001-"&amp;12002+A31,M30)</f>
        <v>001-12030</v>
      </c>
      <c r="N31" s="8" t="str">
        <f t="shared" si="5"/>
        <v>PEN</v>
      </c>
      <c r="O31" s="13"/>
      <c r="P31" s="13">
        <v>118.9</v>
      </c>
      <c r="Q31" s="3">
        <f t="shared" si="2"/>
        <v>118.9</v>
      </c>
      <c r="R31" s="3">
        <f t="shared" si="3"/>
        <v>0</v>
      </c>
      <c r="S31" s="3">
        <f t="shared" si="4"/>
        <v>763.89999999999975</v>
      </c>
      <c r="T31" s="24"/>
      <c r="U31" s="24" t="s">
        <v>1334</v>
      </c>
      <c r="V31" s="3"/>
      <c r="W31" s="25" t="str">
        <f>IFERROR(VLOOKUP(Caja_Arequipa[[#This Row],[destinatario]],CHOOSE({1,2},Clientes_Proveedores[Razon Social],Clientes_Proveedores[Ruc / Dni]),2,0),"")</f>
        <v/>
      </c>
      <c r="X31" s="3"/>
      <c r="Y31" s="3"/>
      <c r="Z31" s="3"/>
      <c r="AA31" s="3"/>
      <c r="AB31" s="3" t="str">
        <f>IF(Caja_Arequipa[[#This Row],[fecha]]&gt;0,TEXT(Caja_Arequipa[[#This Row],[fecha]],"mmmm"),0)</f>
        <v>Enero</v>
      </c>
    </row>
    <row r="32" spans="1:28" x14ac:dyDescent="0.3">
      <c r="A32" s="2">
        <f>IF(Caja_Arequipa[[#This Row],[tipo_r]]="R",COUNTIFS($C$1:$C31,"R")+1,A31)</f>
        <v>29</v>
      </c>
      <c r="B32" s="19" t="str">
        <f t="shared" si="0"/>
        <v>C-Tesoreria</v>
      </c>
      <c r="C32" s="3" t="s">
        <v>1330</v>
      </c>
      <c r="D32" s="14">
        <v>45667</v>
      </c>
      <c r="E32" s="5" t="s">
        <v>1387</v>
      </c>
      <c r="F32" s="5" t="s">
        <v>1336</v>
      </c>
      <c r="G32" s="3" t="s">
        <v>3308</v>
      </c>
      <c r="H32" s="6"/>
      <c r="I32" s="6"/>
      <c r="J32" s="6"/>
      <c r="K32" s="6"/>
      <c r="L32" s="7" t="s">
        <v>5301</v>
      </c>
      <c r="M32" s="8" t="str">
        <f>IF(Caja_Arequipa[[#This Row],[tipo_r]]="R","001-"&amp;12002+A32,M31)</f>
        <v>001-12031</v>
      </c>
      <c r="N32" s="8" t="str">
        <f t="shared" si="5"/>
        <v>PEN</v>
      </c>
      <c r="O32" s="13"/>
      <c r="P32" s="13">
        <v>9</v>
      </c>
      <c r="Q32" s="3">
        <f t="shared" si="2"/>
        <v>0</v>
      </c>
      <c r="R32" s="3">
        <f t="shared" si="3"/>
        <v>9</v>
      </c>
      <c r="S32" s="3">
        <f t="shared" si="4"/>
        <v>754.89999999999975</v>
      </c>
      <c r="T32" s="24" t="s">
        <v>1334</v>
      </c>
      <c r="U32" s="24" t="s">
        <v>1334</v>
      </c>
      <c r="V32" s="3"/>
      <c r="W32" s="25" t="str">
        <f>IFERROR(VLOOKUP(Caja_Arequipa[[#This Row],[destinatario]],CHOOSE({1,2},Clientes_Proveedores[Razon Social],Clientes_Proveedores[Ruc / Dni]),2,0),"")</f>
        <v/>
      </c>
      <c r="X32" s="3" t="s">
        <v>5302</v>
      </c>
      <c r="Y32" s="3"/>
      <c r="Z32" s="3"/>
      <c r="AA32" s="3"/>
      <c r="AB32" s="3" t="str">
        <f>IF(Caja_Arequipa[[#This Row],[fecha]]&gt;0,TEXT(Caja_Arequipa[[#This Row],[fecha]],"mmmm"),0)</f>
        <v>Enero</v>
      </c>
    </row>
    <row r="33" spans="1:28" ht="24" x14ac:dyDescent="0.3">
      <c r="A33" s="2">
        <f>IF(Caja_Arequipa[[#This Row],[tipo_r]]="R",COUNTIFS($C$1:$C32,"R")+1,A32)</f>
        <v>30</v>
      </c>
      <c r="B33" s="19" t="str">
        <f t="shared" si="0"/>
        <v>C-Tesoreria</v>
      </c>
      <c r="C33" s="3" t="s">
        <v>1330</v>
      </c>
      <c r="D33" s="14">
        <v>45667</v>
      </c>
      <c r="E33" s="5" t="s">
        <v>1387</v>
      </c>
      <c r="F33" s="5" t="s">
        <v>1336</v>
      </c>
      <c r="G33" s="3" t="s">
        <v>5303</v>
      </c>
      <c r="H33" s="6"/>
      <c r="I33" s="6"/>
      <c r="J33" s="6"/>
      <c r="K33" s="6"/>
      <c r="L33" s="7" t="s">
        <v>5304</v>
      </c>
      <c r="M33" s="8" t="str">
        <f>IF(Caja_Arequipa[[#This Row],[tipo_r]]="R","001-"&amp;12002+A33,M32)</f>
        <v>001-12032</v>
      </c>
      <c r="N33" s="8" t="str">
        <f t="shared" si="5"/>
        <v>PEN</v>
      </c>
      <c r="O33" s="13"/>
      <c r="P33" s="13">
        <v>13.9</v>
      </c>
      <c r="Q33" s="3">
        <f t="shared" si="2"/>
        <v>0</v>
      </c>
      <c r="R33" s="3">
        <f t="shared" si="3"/>
        <v>13.9</v>
      </c>
      <c r="S33" s="3">
        <f t="shared" si="4"/>
        <v>740.99999999999977</v>
      </c>
      <c r="T33" s="24" t="s">
        <v>1334</v>
      </c>
      <c r="U33" s="24" t="s">
        <v>1334</v>
      </c>
      <c r="V33" s="3"/>
      <c r="W33" s="25" t="str">
        <f>IFERROR(VLOOKUP(Caja_Arequipa[[#This Row],[destinatario]],CHOOSE({1,2},Clientes_Proveedores[Razon Social],Clientes_Proveedores[Ruc / Dni]),2,0),"")</f>
        <v/>
      </c>
      <c r="X33" s="3" t="s">
        <v>5305</v>
      </c>
      <c r="Y33" s="3"/>
      <c r="Z33" s="3"/>
      <c r="AA33" s="3"/>
      <c r="AB33" s="3" t="str">
        <f>IF(Caja_Arequipa[[#This Row],[fecha]]&gt;0,TEXT(Caja_Arequipa[[#This Row],[fecha]],"mmmm"),0)</f>
        <v>Enero</v>
      </c>
    </row>
    <row r="34" spans="1:28" x14ac:dyDescent="0.3">
      <c r="A34" s="2">
        <f>IF(Caja_Arequipa[[#This Row],[tipo_r]]="R",COUNTIFS($C$1:$C33,"R")+1,A33)</f>
        <v>31</v>
      </c>
      <c r="B34" s="19" t="str">
        <f t="shared" si="0"/>
        <v>C-Tesoreria</v>
      </c>
      <c r="C34" s="3" t="s">
        <v>1330</v>
      </c>
      <c r="D34" s="14">
        <v>45667</v>
      </c>
      <c r="E34" s="5" t="s">
        <v>1387</v>
      </c>
      <c r="F34" s="5" t="s">
        <v>1336</v>
      </c>
      <c r="G34" s="3" t="s">
        <v>5299</v>
      </c>
      <c r="H34" s="6"/>
      <c r="I34" s="6"/>
      <c r="J34" s="6"/>
      <c r="K34" s="6"/>
      <c r="L34" s="7" t="s">
        <v>5306</v>
      </c>
      <c r="M34" s="8" t="str">
        <f>IF(Caja_Arequipa[[#This Row],[tipo_r]]="R","001-"&amp;12002+A34,M33)</f>
        <v>001-12033</v>
      </c>
      <c r="N34" s="8" t="str">
        <f t="shared" si="5"/>
        <v>PEN</v>
      </c>
      <c r="O34" s="13"/>
      <c r="P34" s="13">
        <v>83</v>
      </c>
      <c r="Q34" s="3">
        <f t="shared" si="2"/>
        <v>0</v>
      </c>
      <c r="R34" s="3">
        <f t="shared" si="3"/>
        <v>83</v>
      </c>
      <c r="S34" s="3">
        <f t="shared" si="4"/>
        <v>657.99999999999977</v>
      </c>
      <c r="T34" s="24" t="s">
        <v>1334</v>
      </c>
      <c r="U34" s="24" t="s">
        <v>1334</v>
      </c>
      <c r="V34" s="3"/>
      <c r="W34" s="25" t="str">
        <f>IFERROR(VLOOKUP(Caja_Arequipa[[#This Row],[destinatario]],CHOOSE({1,2},Clientes_Proveedores[Razon Social],Clientes_Proveedores[Ruc / Dni]),2,0),"")</f>
        <v/>
      </c>
      <c r="X34" s="3" t="s">
        <v>5307</v>
      </c>
      <c r="Y34" s="3"/>
      <c r="Z34" s="3"/>
      <c r="AA34" s="3"/>
      <c r="AB34" s="3" t="str">
        <f>IF(Caja_Arequipa[[#This Row],[fecha]]&gt;0,TEXT(Caja_Arequipa[[#This Row],[fecha]],"mmmm"),0)</f>
        <v>Enero</v>
      </c>
    </row>
    <row r="35" spans="1:28" ht="24" x14ac:dyDescent="0.3">
      <c r="A35" s="2">
        <f>IF(Caja_Arequipa[[#This Row],[tipo_r]]="R",COUNTIFS($C$1:$C34,"R")+1,A34)</f>
        <v>32</v>
      </c>
      <c r="B35" s="19" t="str">
        <f t="shared" si="0"/>
        <v>C-Tesoreria</v>
      </c>
      <c r="C35" s="3" t="s">
        <v>1330</v>
      </c>
      <c r="D35" s="14">
        <v>45667</v>
      </c>
      <c r="E35" s="5" t="s">
        <v>1387</v>
      </c>
      <c r="F35" s="5" t="s">
        <v>1336</v>
      </c>
      <c r="G35" s="3" t="s">
        <v>5299</v>
      </c>
      <c r="H35" s="6"/>
      <c r="I35" s="6"/>
      <c r="J35" s="6"/>
      <c r="K35" s="6"/>
      <c r="L35" s="7" t="s">
        <v>5308</v>
      </c>
      <c r="M35" s="8" t="str">
        <f>IF(Caja_Arequipa[[#This Row],[tipo_r]]="R","001-"&amp;12002+A35,M34)</f>
        <v>001-12034</v>
      </c>
      <c r="N35" s="8" t="str">
        <f t="shared" si="5"/>
        <v>PEN</v>
      </c>
      <c r="O35" s="13"/>
      <c r="P35" s="13">
        <v>35.9</v>
      </c>
      <c r="Q35" s="3">
        <f t="shared" si="2"/>
        <v>0</v>
      </c>
      <c r="R35" s="3">
        <f t="shared" si="3"/>
        <v>35.9</v>
      </c>
      <c r="S35" s="3">
        <f t="shared" si="4"/>
        <v>622.0999999999998</v>
      </c>
      <c r="T35" s="24" t="s">
        <v>1334</v>
      </c>
      <c r="U35" s="24" t="s">
        <v>1334</v>
      </c>
      <c r="V35" s="3"/>
      <c r="W35" s="25" t="str">
        <f>IFERROR(VLOOKUP(Caja_Arequipa[[#This Row],[destinatario]],CHOOSE({1,2},Clientes_Proveedores[Razon Social],Clientes_Proveedores[Ruc / Dni]),2,0),"")</f>
        <v/>
      </c>
      <c r="X35" s="3" t="s">
        <v>5309</v>
      </c>
      <c r="Y35" s="3"/>
      <c r="Z35" s="3"/>
      <c r="AA35" s="3"/>
      <c r="AB35" s="3" t="str">
        <f>IF(Caja_Arequipa[[#This Row],[fecha]]&gt;0,TEXT(Caja_Arequipa[[#This Row],[fecha]],"mmmm"),0)</f>
        <v>Enero</v>
      </c>
    </row>
    <row r="36" spans="1:28" x14ac:dyDescent="0.3">
      <c r="A36" s="2">
        <f>IF(Caja_Arequipa[[#This Row],[tipo_r]]="R",COUNTIFS($C$1:$C35,"R")+1,A35)</f>
        <v>33</v>
      </c>
      <c r="B36" s="19" t="str">
        <f t="shared" si="0"/>
        <v>C-Tesoreria</v>
      </c>
      <c r="C36" s="3" t="s">
        <v>1330</v>
      </c>
      <c r="D36" s="14">
        <v>45670</v>
      </c>
      <c r="E36" s="5" t="s">
        <v>1338</v>
      </c>
      <c r="F36" s="5" t="s">
        <v>1336</v>
      </c>
      <c r="G36" s="3" t="s">
        <v>5250</v>
      </c>
      <c r="H36" s="6"/>
      <c r="I36" s="6"/>
      <c r="J36" s="6"/>
      <c r="K36" s="6"/>
      <c r="L36" s="7" t="s">
        <v>5310</v>
      </c>
      <c r="M36" s="8" t="str">
        <f>IF(Caja_Arequipa[[#This Row],[tipo_r]]="R","001-"&amp;12002+A36,M35)</f>
        <v>001-12035</v>
      </c>
      <c r="N36" s="8" t="str">
        <f t="shared" si="5"/>
        <v>PEN</v>
      </c>
      <c r="O36" s="13"/>
      <c r="P36" s="13">
        <v>16.600000000000001</v>
      </c>
      <c r="Q36" s="3">
        <f t="shared" si="2"/>
        <v>0</v>
      </c>
      <c r="R36" s="3">
        <f t="shared" si="3"/>
        <v>16.600000000000001</v>
      </c>
      <c r="S36" s="3">
        <f t="shared" si="4"/>
        <v>605.49999999999977</v>
      </c>
      <c r="T36" s="24"/>
      <c r="U36" s="24" t="s">
        <v>1334</v>
      </c>
      <c r="V36" s="3"/>
      <c r="W36" s="25" t="str">
        <f>IFERROR(VLOOKUP(Caja_Arequipa[[#This Row],[destinatario]],CHOOSE({1,2},Clientes_Proveedores[Razon Social],Clientes_Proveedores[Ruc / Dni]),2,0),"")</f>
        <v/>
      </c>
      <c r="X36" s="3" t="s">
        <v>5311</v>
      </c>
      <c r="Y36" s="3"/>
      <c r="Z36" s="3"/>
      <c r="AA36" s="3"/>
      <c r="AB36" s="3" t="str">
        <f>IF(Caja_Arequipa[[#This Row],[fecha]]&gt;0,TEXT(Caja_Arequipa[[#This Row],[fecha]],"mmmm"),0)</f>
        <v>Enero</v>
      </c>
    </row>
    <row r="37" spans="1:28" ht="24" x14ac:dyDescent="0.3">
      <c r="A37" s="2">
        <f>IF(Caja_Arequipa[[#This Row],[tipo_r]]="R",COUNTIFS($C$1:$C36,"R")+1,A36)</f>
        <v>34</v>
      </c>
      <c r="B37" s="19" t="str">
        <f t="shared" si="0"/>
        <v>C-Tesoreria</v>
      </c>
      <c r="C37" s="3" t="s">
        <v>1330</v>
      </c>
      <c r="D37" s="14">
        <v>45670</v>
      </c>
      <c r="E37" s="5" t="s">
        <v>1338</v>
      </c>
      <c r="F37" s="5" t="s">
        <v>1336</v>
      </c>
      <c r="G37" s="3" t="s">
        <v>5312</v>
      </c>
      <c r="H37" s="6"/>
      <c r="I37" s="6" t="s">
        <v>111</v>
      </c>
      <c r="J37" s="6">
        <v>3</v>
      </c>
      <c r="K37" s="6">
        <v>4</v>
      </c>
      <c r="L37" s="7" t="s">
        <v>5313</v>
      </c>
      <c r="M37" s="8" t="str">
        <f>IF(Caja_Arequipa[[#This Row],[tipo_r]]="R","001-"&amp;12002+A37,M36)</f>
        <v>001-12036</v>
      </c>
      <c r="N37" s="8" t="str">
        <f t="shared" si="5"/>
        <v>PEN</v>
      </c>
      <c r="O37" s="13"/>
      <c r="P37" s="13">
        <v>58</v>
      </c>
      <c r="Q37" s="3">
        <f t="shared" si="2"/>
        <v>0</v>
      </c>
      <c r="R37" s="3">
        <f t="shared" si="3"/>
        <v>58</v>
      </c>
      <c r="S37" s="3">
        <f t="shared" si="4"/>
        <v>547.49999999999977</v>
      </c>
      <c r="T37" s="24" t="s">
        <v>1334</v>
      </c>
      <c r="U37" s="24" t="s">
        <v>1334</v>
      </c>
      <c r="V37" s="3"/>
      <c r="W37" s="25" t="str">
        <f>IFERROR(VLOOKUP(Caja_Arequipa[[#This Row],[destinatario]],CHOOSE({1,2},Clientes_Proveedores[Razon Social],Clientes_Proveedores[Ruc / Dni]),2,0),"")</f>
        <v/>
      </c>
      <c r="X37" s="3" t="s">
        <v>5314</v>
      </c>
      <c r="Y37" s="3"/>
      <c r="Z37" s="3"/>
      <c r="AA37" s="3"/>
      <c r="AB37" s="3" t="str">
        <f>IF(Caja_Arequipa[[#This Row],[fecha]]&gt;0,TEXT(Caja_Arequipa[[#This Row],[fecha]],"mmmm"),0)</f>
        <v>Enero</v>
      </c>
    </row>
    <row r="38" spans="1:28" x14ac:dyDescent="0.3">
      <c r="A38" s="2">
        <f>IF(Caja_Arequipa[[#This Row],[tipo_r]]="R",COUNTIFS($C$1:$C37,"R")+1,A37)</f>
        <v>35</v>
      </c>
      <c r="B38" s="19" t="str">
        <f t="shared" si="0"/>
        <v>C-Tesoreria</v>
      </c>
      <c r="C38" s="3" t="s">
        <v>1330</v>
      </c>
      <c r="D38" s="14">
        <v>45671</v>
      </c>
      <c r="E38" s="5" t="s">
        <v>1338</v>
      </c>
      <c r="F38" s="5" t="s">
        <v>1336</v>
      </c>
      <c r="G38" s="3" t="s">
        <v>5248</v>
      </c>
      <c r="H38" s="6"/>
      <c r="I38" s="6"/>
      <c r="J38" s="6"/>
      <c r="K38" s="6"/>
      <c r="L38" s="7" t="s">
        <v>5315</v>
      </c>
      <c r="M38" s="8" t="str">
        <f>IF(Caja_Arequipa[[#This Row],[tipo_r]]="R","001-"&amp;12002+A38,M37)</f>
        <v>001-12037</v>
      </c>
      <c r="N38" s="8" t="str">
        <f t="shared" si="5"/>
        <v>PEN</v>
      </c>
      <c r="O38" s="13"/>
      <c r="P38" s="13">
        <v>25</v>
      </c>
      <c r="Q38" s="3">
        <f t="shared" si="2"/>
        <v>0</v>
      </c>
      <c r="R38" s="3">
        <f t="shared" si="3"/>
        <v>25</v>
      </c>
      <c r="S38" s="3">
        <f t="shared" si="4"/>
        <v>522.49999999999977</v>
      </c>
      <c r="T38" s="24" t="s">
        <v>1334</v>
      </c>
      <c r="U38" s="24" t="s">
        <v>1334</v>
      </c>
      <c r="V38" s="3"/>
      <c r="W38" s="25" t="str">
        <f>IFERROR(VLOOKUP(Caja_Arequipa[[#This Row],[destinatario]],CHOOSE({1,2},Clientes_Proveedores[Razon Social],Clientes_Proveedores[Ruc / Dni]),2,0),"")</f>
        <v/>
      </c>
      <c r="X38" s="3" t="s">
        <v>5316</v>
      </c>
      <c r="Y38" s="3"/>
      <c r="Z38" s="3"/>
      <c r="AA38" s="3"/>
      <c r="AB38" s="3" t="str">
        <f>IF(Caja_Arequipa[[#This Row],[fecha]]&gt;0,TEXT(Caja_Arequipa[[#This Row],[fecha]],"mmmm"),0)</f>
        <v>Enero</v>
      </c>
    </row>
    <row r="39" spans="1:28" ht="24" x14ac:dyDescent="0.3">
      <c r="A39" s="2">
        <f>IF(Caja_Arequipa[[#This Row],[tipo_r]]="R",COUNTIFS($C$1:$C38,"R")+1,A38)</f>
        <v>36</v>
      </c>
      <c r="B39" s="19" t="str">
        <f t="shared" si="0"/>
        <v>C-Tesoreria</v>
      </c>
      <c r="C39" s="3" t="s">
        <v>1330</v>
      </c>
      <c r="D39" s="14">
        <v>45671</v>
      </c>
      <c r="E39" s="5" t="s">
        <v>1338</v>
      </c>
      <c r="F39" s="5" t="s">
        <v>1336</v>
      </c>
      <c r="G39" s="3" t="s">
        <v>5317</v>
      </c>
      <c r="H39" s="6"/>
      <c r="I39" s="6"/>
      <c r="J39" s="6"/>
      <c r="K39" s="6"/>
      <c r="L39" s="7" t="s">
        <v>5318</v>
      </c>
      <c r="M39" s="8" t="str">
        <f>IF(Caja_Arequipa[[#This Row],[tipo_r]]="R","001-"&amp;12002+A39,M38)</f>
        <v>001-12038</v>
      </c>
      <c r="N39" s="8" t="str">
        <f t="shared" si="5"/>
        <v>PEN</v>
      </c>
      <c r="O39" s="13"/>
      <c r="P39" s="13">
        <v>94.5</v>
      </c>
      <c r="Q39" s="3">
        <f t="shared" si="2"/>
        <v>0</v>
      </c>
      <c r="R39" s="3">
        <f t="shared" si="3"/>
        <v>94.5</v>
      </c>
      <c r="S39" s="3">
        <f t="shared" si="4"/>
        <v>427.99999999999977</v>
      </c>
      <c r="T39" s="24" t="s">
        <v>1334</v>
      </c>
      <c r="U39" s="24" t="s">
        <v>1334</v>
      </c>
      <c r="V39" s="3"/>
      <c r="W39" s="25" t="str">
        <f>IFERROR(VLOOKUP(Caja_Arequipa[[#This Row],[destinatario]],CHOOSE({1,2},Clientes_Proveedores[Razon Social],Clientes_Proveedores[Ruc / Dni]),2,0),"")</f>
        <v/>
      </c>
      <c r="X39" s="3" t="s">
        <v>5319</v>
      </c>
      <c r="Y39" s="3"/>
      <c r="Z39" s="3"/>
      <c r="AA39" s="3"/>
      <c r="AB39" s="3" t="str">
        <f>IF(Caja_Arequipa[[#This Row],[fecha]]&gt;0,TEXT(Caja_Arequipa[[#This Row],[fecha]],"mmmm"),0)</f>
        <v>Enero</v>
      </c>
    </row>
    <row r="40" spans="1:28" x14ac:dyDescent="0.3">
      <c r="A40" s="2">
        <f>IF(Caja_Arequipa[[#This Row],[tipo_r]]="R",COUNTIFS($C$1:$C39,"R")+1,A39)</f>
        <v>37</v>
      </c>
      <c r="B40" s="19" t="str">
        <f t="shared" si="0"/>
        <v>C-Tesoreria</v>
      </c>
      <c r="C40" s="3" t="s">
        <v>1330</v>
      </c>
      <c r="D40" s="14">
        <v>45672</v>
      </c>
      <c r="E40" s="5" t="s">
        <v>1338</v>
      </c>
      <c r="F40" s="5" t="s">
        <v>1336</v>
      </c>
      <c r="G40" s="3" t="s">
        <v>5248</v>
      </c>
      <c r="H40" s="6"/>
      <c r="I40" s="6"/>
      <c r="J40" s="6"/>
      <c r="K40" s="6"/>
      <c r="L40" s="7" t="s">
        <v>5320</v>
      </c>
      <c r="M40" s="8" t="str">
        <f>IF(Caja_Arequipa[[#This Row],[tipo_r]]="R","001-"&amp;12002+A40,M39)</f>
        <v>001-12039</v>
      </c>
      <c r="N40" s="8" t="str">
        <f t="shared" si="5"/>
        <v>PEN</v>
      </c>
      <c r="O40" s="13"/>
      <c r="P40" s="13">
        <v>10</v>
      </c>
      <c r="Q40" s="3">
        <f t="shared" si="2"/>
        <v>0</v>
      </c>
      <c r="R40" s="3">
        <f t="shared" si="3"/>
        <v>10</v>
      </c>
      <c r="S40" s="3">
        <f t="shared" si="4"/>
        <v>417.99999999999977</v>
      </c>
      <c r="T40" s="24" t="s">
        <v>1334</v>
      </c>
      <c r="U40" s="24" t="s">
        <v>1334</v>
      </c>
      <c r="V40" s="3"/>
      <c r="W40" s="25" t="str">
        <f>IFERROR(VLOOKUP(Caja_Arequipa[[#This Row],[destinatario]],CHOOSE({1,2},Clientes_Proveedores[Razon Social],Clientes_Proveedores[Ruc / Dni]),2,0),"")</f>
        <v/>
      </c>
      <c r="X40" s="3" t="s">
        <v>5321</v>
      </c>
      <c r="Y40" s="3"/>
      <c r="Z40" s="3"/>
      <c r="AA40" s="3"/>
      <c r="AB40" s="3" t="str">
        <f>IF(Caja_Arequipa[[#This Row],[fecha]]&gt;0,TEXT(Caja_Arequipa[[#This Row],[fecha]],"mmmm"),0)</f>
        <v>Enero</v>
      </c>
    </row>
    <row r="41" spans="1:28" x14ac:dyDescent="0.3">
      <c r="A41" s="2">
        <f>IF(Caja_Arequipa[[#This Row],[tipo_r]]="R",COUNTIFS($C$1:$C40,"R")+1,A40)</f>
        <v>38</v>
      </c>
      <c r="B41" s="19" t="str">
        <f t="shared" si="0"/>
        <v>C-Tesoreria</v>
      </c>
      <c r="C41" s="3" t="s">
        <v>1330</v>
      </c>
      <c r="D41" s="14">
        <v>45672</v>
      </c>
      <c r="E41" s="5" t="s">
        <v>1338</v>
      </c>
      <c r="F41" s="5" t="s">
        <v>1336</v>
      </c>
      <c r="G41" s="3" t="s">
        <v>5299</v>
      </c>
      <c r="H41" s="6"/>
      <c r="I41" s="6"/>
      <c r="J41" s="6"/>
      <c r="K41" s="6"/>
      <c r="L41" s="7" t="s">
        <v>5322</v>
      </c>
      <c r="M41" s="8" t="str">
        <f>IF(Caja_Arequipa[[#This Row],[tipo_r]]="R","001-"&amp;12002+A41,M40)</f>
        <v>001-12040</v>
      </c>
      <c r="N41" s="8" t="str">
        <f t="shared" si="5"/>
        <v>PEN</v>
      </c>
      <c r="O41" s="13"/>
      <c r="P41" s="13">
        <v>107.7</v>
      </c>
      <c r="Q41" s="3">
        <f t="shared" si="2"/>
        <v>0</v>
      </c>
      <c r="R41" s="3">
        <f t="shared" si="3"/>
        <v>107.7</v>
      </c>
      <c r="S41" s="3">
        <f t="shared" si="4"/>
        <v>310.29999999999978</v>
      </c>
      <c r="T41" s="24" t="s">
        <v>1334</v>
      </c>
      <c r="U41" s="24" t="s">
        <v>1334</v>
      </c>
      <c r="V41" s="3"/>
      <c r="W41" s="25" t="str">
        <f>IFERROR(VLOOKUP(Caja_Arequipa[[#This Row],[destinatario]],CHOOSE({1,2},Clientes_Proveedores[Razon Social],Clientes_Proveedores[Ruc / Dni]),2,0),"")</f>
        <v/>
      </c>
      <c r="X41" s="3" t="s">
        <v>5323</v>
      </c>
      <c r="Y41" s="3"/>
      <c r="Z41" s="3"/>
      <c r="AA41" s="3"/>
      <c r="AB41" s="3" t="str">
        <f>IF(Caja_Arequipa[[#This Row],[fecha]]&gt;0,TEXT(Caja_Arequipa[[#This Row],[fecha]],"mmmm"),0)</f>
        <v>Enero</v>
      </c>
    </row>
    <row r="42" spans="1:28" ht="24" x14ac:dyDescent="0.3">
      <c r="A42" s="2">
        <f>IF(Caja_Arequipa[[#This Row],[tipo_r]]="R",COUNTIFS($C$1:$C41,"R")+1,A41)</f>
        <v>39</v>
      </c>
      <c r="B42" s="19" t="str">
        <f t="shared" si="0"/>
        <v>C-Tesoreria</v>
      </c>
      <c r="C42" s="3" t="s">
        <v>1330</v>
      </c>
      <c r="D42" s="14">
        <v>45672</v>
      </c>
      <c r="E42" s="5" t="s">
        <v>1338</v>
      </c>
      <c r="F42" s="5" t="s">
        <v>1336</v>
      </c>
      <c r="G42" s="3" t="s">
        <v>5317</v>
      </c>
      <c r="H42" s="6"/>
      <c r="I42" s="6"/>
      <c r="J42" s="6"/>
      <c r="K42" s="6"/>
      <c r="L42" s="7" t="s">
        <v>5324</v>
      </c>
      <c r="M42" s="8" t="str">
        <f>IF(Caja_Arequipa[[#This Row],[tipo_r]]="R","001-"&amp;12002+A42,M41)</f>
        <v>001-12041</v>
      </c>
      <c r="N42" s="8" t="str">
        <f t="shared" si="5"/>
        <v>PEN</v>
      </c>
      <c r="O42" s="13"/>
      <c r="P42" s="13">
        <v>13.5</v>
      </c>
      <c r="Q42" s="3">
        <f t="shared" si="2"/>
        <v>0</v>
      </c>
      <c r="R42" s="3">
        <f t="shared" si="3"/>
        <v>13.5</v>
      </c>
      <c r="S42" s="3">
        <f t="shared" si="4"/>
        <v>296.79999999999978</v>
      </c>
      <c r="T42" s="24" t="s">
        <v>1334</v>
      </c>
      <c r="U42" s="24" t="s">
        <v>1334</v>
      </c>
      <c r="V42" s="3"/>
      <c r="W42" s="25" t="str">
        <f>IFERROR(VLOOKUP(Caja_Arequipa[[#This Row],[destinatario]],CHOOSE({1,2},Clientes_Proveedores[Razon Social],Clientes_Proveedores[Ruc / Dni]),2,0),"")</f>
        <v/>
      </c>
      <c r="X42" s="3" t="s">
        <v>5319</v>
      </c>
      <c r="Y42" s="3"/>
      <c r="Z42" s="3"/>
      <c r="AA42" s="3"/>
      <c r="AB42" s="3" t="str">
        <f>IF(Caja_Arequipa[[#This Row],[fecha]]&gt;0,TEXT(Caja_Arequipa[[#This Row],[fecha]],"mmmm"),0)</f>
        <v>Enero</v>
      </c>
    </row>
    <row r="43" spans="1:28" ht="24" x14ac:dyDescent="0.3">
      <c r="A43" s="2">
        <f>IF(Caja_Arequipa[[#This Row],[tipo_r]]="R",COUNTIFS($C$1:$C42,"R")+1,A42)</f>
        <v>40</v>
      </c>
      <c r="B43" s="19" t="str">
        <f t="shared" si="0"/>
        <v>C-Tesoreria</v>
      </c>
      <c r="C43" s="3" t="s">
        <v>1330</v>
      </c>
      <c r="D43" s="14">
        <v>45673</v>
      </c>
      <c r="E43" s="5" t="s">
        <v>1416</v>
      </c>
      <c r="F43" s="5" t="s">
        <v>1336</v>
      </c>
      <c r="G43" s="3" t="s">
        <v>5248</v>
      </c>
      <c r="H43" s="6"/>
      <c r="I43" s="6"/>
      <c r="J43" s="6"/>
      <c r="K43" s="6"/>
      <c r="L43" s="7" t="s">
        <v>5325</v>
      </c>
      <c r="M43" s="8" t="str">
        <f>IF(Caja_Arequipa[[#This Row],[tipo_r]]="R","001-"&amp;12002+A43,M42)</f>
        <v>001-12042</v>
      </c>
      <c r="N43" s="8" t="str">
        <f t="shared" si="5"/>
        <v>PEN</v>
      </c>
      <c r="O43" s="13"/>
      <c r="P43" s="13">
        <v>11</v>
      </c>
      <c r="Q43" s="3">
        <f t="shared" si="2"/>
        <v>0</v>
      </c>
      <c r="R43" s="3">
        <f t="shared" si="3"/>
        <v>11</v>
      </c>
      <c r="S43" s="3">
        <f t="shared" si="4"/>
        <v>285.79999999999978</v>
      </c>
      <c r="T43" s="24" t="s">
        <v>1334</v>
      </c>
      <c r="U43" s="24" t="s">
        <v>1334</v>
      </c>
      <c r="V43" s="3"/>
      <c r="W43" s="25" t="str">
        <f>IFERROR(VLOOKUP(Caja_Arequipa[[#This Row],[destinatario]],CHOOSE({1,2},Clientes_Proveedores[Razon Social],Clientes_Proveedores[Ruc / Dni]),2,0),"")</f>
        <v/>
      </c>
      <c r="X43" s="3" t="s">
        <v>5326</v>
      </c>
      <c r="Y43" s="3"/>
      <c r="Z43" s="3"/>
      <c r="AA43" s="3"/>
      <c r="AB43" s="3" t="str">
        <f>IF(Caja_Arequipa[[#This Row],[fecha]]&gt;0,TEXT(Caja_Arequipa[[#This Row],[fecha]],"mmmm"),0)</f>
        <v>Enero</v>
      </c>
    </row>
    <row r="44" spans="1:28" ht="24" x14ac:dyDescent="0.3">
      <c r="A44" s="2">
        <f>IF(Caja_Arequipa[[#This Row],[tipo_r]]="R",COUNTIFS($C$1:$C43,"R")+1,A43)</f>
        <v>41</v>
      </c>
      <c r="B44" s="19" t="str">
        <f t="shared" si="0"/>
        <v>C-Tesoreria</v>
      </c>
      <c r="C44" s="3" t="s">
        <v>1330</v>
      </c>
      <c r="D44" s="14">
        <v>45674</v>
      </c>
      <c r="E44" s="5" t="s">
        <v>1416</v>
      </c>
      <c r="F44" s="5" t="s">
        <v>1336</v>
      </c>
      <c r="G44" s="3" t="s">
        <v>5299</v>
      </c>
      <c r="H44" s="6"/>
      <c r="I44" s="6"/>
      <c r="J44" s="6"/>
      <c r="K44" s="6"/>
      <c r="L44" s="7" t="s">
        <v>5327</v>
      </c>
      <c r="M44" s="8" t="str">
        <f>IF(Caja_Arequipa[[#This Row],[tipo_r]]="R","001-"&amp;12002+A44,M43)</f>
        <v>001-12043</v>
      </c>
      <c r="N44" s="8" t="str">
        <f t="shared" si="5"/>
        <v>PEN</v>
      </c>
      <c r="O44" s="13"/>
      <c r="P44" s="13">
        <v>22</v>
      </c>
      <c r="Q44" s="3">
        <f t="shared" si="2"/>
        <v>0</v>
      </c>
      <c r="R44" s="3">
        <f t="shared" si="3"/>
        <v>22</v>
      </c>
      <c r="S44" s="3">
        <f t="shared" si="4"/>
        <v>263.79999999999978</v>
      </c>
      <c r="T44" s="24" t="s">
        <v>1334</v>
      </c>
      <c r="U44" s="24" t="s">
        <v>1334</v>
      </c>
      <c r="V44" s="3"/>
      <c r="W44" s="25" t="str">
        <f>IFERROR(VLOOKUP(Caja_Arequipa[[#This Row],[destinatario]],CHOOSE({1,2},Clientes_Proveedores[Razon Social],Clientes_Proveedores[Ruc / Dni]),2,0),"")</f>
        <v/>
      </c>
      <c r="X44" s="3" t="s">
        <v>5328</v>
      </c>
      <c r="Y44" s="3"/>
      <c r="Z44" s="3"/>
      <c r="AA44" s="3"/>
      <c r="AB44" s="3" t="str">
        <f>IF(Caja_Arequipa[[#This Row],[fecha]]&gt;0,TEXT(Caja_Arequipa[[#This Row],[fecha]],"mmmm"),0)</f>
        <v>Enero</v>
      </c>
    </row>
    <row r="45" spans="1:28" ht="24" x14ac:dyDescent="0.3">
      <c r="A45" s="2">
        <f>IF(Caja_Arequipa[[#This Row],[tipo_r]]="R",COUNTIFS($C$1:$C44,"R")+1,A44)</f>
        <v>42</v>
      </c>
      <c r="B45" s="19" t="str">
        <f t="shared" si="0"/>
        <v>C-Tesoreria</v>
      </c>
      <c r="C45" s="3" t="s">
        <v>1330</v>
      </c>
      <c r="D45" s="14">
        <v>45674</v>
      </c>
      <c r="E45" s="5" t="s">
        <v>1416</v>
      </c>
      <c r="F45" s="5" t="s">
        <v>1336</v>
      </c>
      <c r="G45" s="3" t="s">
        <v>5299</v>
      </c>
      <c r="H45" s="6"/>
      <c r="I45" s="6"/>
      <c r="J45" s="6"/>
      <c r="K45" s="6"/>
      <c r="L45" s="7" t="s">
        <v>5329</v>
      </c>
      <c r="M45" s="8" t="str">
        <f>IF(Caja_Arequipa[[#This Row],[tipo_r]]="R","001-"&amp;12002+A45,M44)</f>
        <v>001-12044</v>
      </c>
      <c r="N45" s="8" t="str">
        <f t="shared" si="5"/>
        <v>PEN</v>
      </c>
      <c r="O45" s="13"/>
      <c r="P45" s="13">
        <v>16</v>
      </c>
      <c r="Q45" s="3">
        <f t="shared" si="2"/>
        <v>0</v>
      </c>
      <c r="R45" s="3">
        <f t="shared" si="3"/>
        <v>16</v>
      </c>
      <c r="S45" s="3">
        <f t="shared" si="4"/>
        <v>247.79999999999978</v>
      </c>
      <c r="T45" s="24" t="s">
        <v>1334</v>
      </c>
      <c r="U45" s="24" t="s">
        <v>1334</v>
      </c>
      <c r="V45" s="3"/>
      <c r="W45" s="25" t="str">
        <f>IFERROR(VLOOKUP(Caja_Arequipa[[#This Row],[destinatario]],CHOOSE({1,2},Clientes_Proveedores[Razon Social],Clientes_Proveedores[Ruc / Dni]),2,0),"")</f>
        <v/>
      </c>
      <c r="X45" s="3" t="s">
        <v>5330</v>
      </c>
      <c r="Y45" s="3"/>
      <c r="Z45" s="3"/>
      <c r="AA45" s="3"/>
      <c r="AB45" s="3" t="str">
        <f>IF(Caja_Arequipa[[#This Row],[fecha]]&gt;0,TEXT(Caja_Arequipa[[#This Row],[fecha]],"mmmm"),0)</f>
        <v>Enero</v>
      </c>
    </row>
    <row r="46" spans="1:28" x14ac:dyDescent="0.3">
      <c r="A46" s="2">
        <f>IF(Caja_Arequipa[[#This Row],[tipo_r]]="R",COUNTIFS($C$1:$C45,"R")+1,A45)</f>
        <v>43</v>
      </c>
      <c r="B46" s="19" t="str">
        <f t="shared" si="0"/>
        <v>C-Tesoreria</v>
      </c>
      <c r="C46" s="3" t="s">
        <v>1330</v>
      </c>
      <c r="D46" s="14">
        <v>45674</v>
      </c>
      <c r="E46" s="5" t="s">
        <v>1416</v>
      </c>
      <c r="F46" s="5" t="s">
        <v>1336</v>
      </c>
      <c r="G46" s="3" t="s">
        <v>5299</v>
      </c>
      <c r="H46" s="6"/>
      <c r="I46" s="6" t="s">
        <v>111</v>
      </c>
      <c r="J46" s="6">
        <v>3</v>
      </c>
      <c r="K46" s="6">
        <v>5</v>
      </c>
      <c r="L46" s="7" t="s">
        <v>5331</v>
      </c>
      <c r="M46" s="8" t="str">
        <f>IF(Caja_Arequipa[[#This Row],[tipo_r]]="R","001-"&amp;12002+A46,M45)</f>
        <v>001-12045</v>
      </c>
      <c r="N46" s="8" t="str">
        <f t="shared" si="5"/>
        <v>PEN</v>
      </c>
      <c r="O46" s="13"/>
      <c r="P46" s="13">
        <v>14</v>
      </c>
      <c r="Q46" s="3">
        <f t="shared" si="2"/>
        <v>0</v>
      </c>
      <c r="R46" s="3">
        <f t="shared" si="3"/>
        <v>14</v>
      </c>
      <c r="S46" s="3">
        <f t="shared" si="4"/>
        <v>233.79999999999978</v>
      </c>
      <c r="T46" s="24" t="s">
        <v>1334</v>
      </c>
      <c r="U46" s="24" t="s">
        <v>1334</v>
      </c>
      <c r="V46" s="3"/>
      <c r="W46" s="25" t="str">
        <f>IFERROR(VLOOKUP(Caja_Arequipa[[#This Row],[destinatario]],CHOOSE({1,2},Clientes_Proveedores[Razon Social],Clientes_Proveedores[Ruc / Dni]),2,0),"")</f>
        <v/>
      </c>
      <c r="X46" s="3" t="s">
        <v>5332</v>
      </c>
      <c r="Y46" s="3"/>
      <c r="Z46" s="3"/>
      <c r="AA46" s="3"/>
      <c r="AB46" s="3" t="str">
        <f>IF(Caja_Arequipa[[#This Row],[fecha]]&gt;0,TEXT(Caja_Arequipa[[#This Row],[fecha]],"mmmm"),0)</f>
        <v>Enero</v>
      </c>
    </row>
    <row r="47" spans="1:28" x14ac:dyDescent="0.3">
      <c r="A47" s="2">
        <f>IF(Caja_Arequipa[[#This Row],[tipo_r]]="R",COUNTIFS($C$1:$C46,"R")+1,A46)</f>
        <v>44</v>
      </c>
      <c r="B47" s="19" t="str">
        <f t="shared" si="0"/>
        <v>C-Tesoreria</v>
      </c>
      <c r="C47" s="3" t="s">
        <v>1330</v>
      </c>
      <c r="D47" s="14">
        <v>45674</v>
      </c>
      <c r="E47" s="5" t="s">
        <v>1416</v>
      </c>
      <c r="F47" s="5" t="s">
        <v>1336</v>
      </c>
      <c r="G47" s="3" t="s">
        <v>5248</v>
      </c>
      <c r="H47" s="6"/>
      <c r="I47" s="6"/>
      <c r="J47" s="6"/>
      <c r="K47" s="6"/>
      <c r="L47" s="7" t="s">
        <v>5333</v>
      </c>
      <c r="M47" s="8" t="str">
        <f>IF(Caja_Arequipa[[#This Row],[tipo_r]]="R","001-"&amp;12002+A47,M46)</f>
        <v>001-12046</v>
      </c>
      <c r="N47" s="8" t="str">
        <f t="shared" si="5"/>
        <v>PEN</v>
      </c>
      <c r="O47" s="13"/>
      <c r="P47" s="13">
        <v>30.1</v>
      </c>
      <c r="Q47" s="3">
        <f t="shared" si="2"/>
        <v>0</v>
      </c>
      <c r="R47" s="3">
        <f t="shared" si="3"/>
        <v>30.1</v>
      </c>
      <c r="S47" s="3">
        <f t="shared" si="4"/>
        <v>203.69999999999979</v>
      </c>
      <c r="T47" s="24" t="s">
        <v>1334</v>
      </c>
      <c r="U47" s="24" t="s">
        <v>1334</v>
      </c>
      <c r="V47" s="3"/>
      <c r="W47" s="25" t="str">
        <f>IFERROR(VLOOKUP(Caja_Arequipa[[#This Row],[destinatario]],CHOOSE({1,2},Clientes_Proveedores[Razon Social],Clientes_Proveedores[Ruc / Dni]),2,0),"")</f>
        <v/>
      </c>
      <c r="X47" s="3" t="s">
        <v>5334</v>
      </c>
      <c r="Y47" s="3"/>
      <c r="Z47" s="3"/>
      <c r="AA47" s="3"/>
      <c r="AB47" s="3" t="str">
        <f>IF(Caja_Arequipa[[#This Row],[fecha]]&gt;0,TEXT(Caja_Arequipa[[#This Row],[fecha]],"mmmm"),0)</f>
        <v>Enero</v>
      </c>
    </row>
    <row r="48" spans="1:28" ht="24" x14ac:dyDescent="0.3">
      <c r="A48" s="2">
        <f>IF(Caja_Arequipa[[#This Row],[tipo_r]]="R",COUNTIFS($C$1:$C47,"R")+1,A47)</f>
        <v>45</v>
      </c>
      <c r="B48" s="19" t="str">
        <f t="shared" si="0"/>
        <v>C-Tesoreria</v>
      </c>
      <c r="C48" s="3" t="s">
        <v>1330</v>
      </c>
      <c r="D48" s="14">
        <v>45674</v>
      </c>
      <c r="E48" s="5" t="s">
        <v>1416</v>
      </c>
      <c r="F48" s="5" t="s">
        <v>1336</v>
      </c>
      <c r="G48" s="3" t="s">
        <v>5274</v>
      </c>
      <c r="H48" s="6"/>
      <c r="I48" s="6" t="s">
        <v>111</v>
      </c>
      <c r="J48" s="6">
        <v>3</v>
      </c>
      <c r="K48" s="6">
        <v>6</v>
      </c>
      <c r="L48" s="7" t="s">
        <v>5335</v>
      </c>
      <c r="M48" s="8" t="str">
        <f>IF(Caja_Arequipa[[#This Row],[tipo_r]]="R","001-"&amp;12002+A48,M47)</f>
        <v>001-12047</v>
      </c>
      <c r="N48" s="8" t="str">
        <f t="shared" si="5"/>
        <v>PEN</v>
      </c>
      <c r="O48" s="13"/>
      <c r="P48" s="13">
        <v>24</v>
      </c>
      <c r="Q48" s="3">
        <f t="shared" si="2"/>
        <v>0</v>
      </c>
      <c r="R48" s="3">
        <f t="shared" si="3"/>
        <v>24</v>
      </c>
      <c r="S48" s="3">
        <f t="shared" si="4"/>
        <v>179.69999999999979</v>
      </c>
      <c r="T48" s="24" t="s">
        <v>1334</v>
      </c>
      <c r="U48" s="24" t="s">
        <v>1334</v>
      </c>
      <c r="V48" s="3"/>
      <c r="W48" s="25" t="str">
        <f>IFERROR(VLOOKUP(Caja_Arequipa[[#This Row],[destinatario]],CHOOSE({1,2},Clientes_Proveedores[Razon Social],Clientes_Proveedores[Ruc / Dni]),2,0),"")</f>
        <v/>
      </c>
      <c r="X48" s="3" t="s">
        <v>5336</v>
      </c>
      <c r="Y48" s="3"/>
      <c r="Z48" s="3"/>
      <c r="AA48" s="3"/>
      <c r="AB48" s="3" t="str">
        <f>IF(Caja_Arequipa[[#This Row],[fecha]]&gt;0,TEXT(Caja_Arequipa[[#This Row],[fecha]],"mmmm"),0)</f>
        <v>Enero</v>
      </c>
    </row>
    <row r="49" spans="1:28" x14ac:dyDescent="0.3">
      <c r="A49" s="2">
        <f>IF(Caja_Arequipa[[#This Row],[tipo_r]]="R",COUNTIFS($C$1:$C48,"R")+1,A48)</f>
        <v>46</v>
      </c>
      <c r="B49" s="19" t="str">
        <f t="shared" si="0"/>
        <v>C-Tesoreria</v>
      </c>
      <c r="C49" s="3" t="s">
        <v>1330</v>
      </c>
      <c r="D49" s="14">
        <v>45674</v>
      </c>
      <c r="E49" s="5" t="s">
        <v>1416</v>
      </c>
      <c r="F49" s="5" t="s">
        <v>1336</v>
      </c>
      <c r="G49" s="3" t="s">
        <v>3308</v>
      </c>
      <c r="H49" s="6"/>
      <c r="I49" s="6"/>
      <c r="J49" s="6"/>
      <c r="K49" s="6"/>
      <c r="L49" s="7" t="s">
        <v>5333</v>
      </c>
      <c r="M49" s="8" t="str">
        <f>IF(Caja_Arequipa[[#This Row],[tipo_r]]="R","001-"&amp;12002+A49,M48)</f>
        <v>001-12048</v>
      </c>
      <c r="N49" s="8" t="str">
        <f t="shared" si="5"/>
        <v>PEN</v>
      </c>
      <c r="O49" s="13"/>
      <c r="P49" s="13">
        <v>77</v>
      </c>
      <c r="Q49" s="3">
        <f t="shared" si="2"/>
        <v>0</v>
      </c>
      <c r="R49" s="3">
        <f t="shared" si="3"/>
        <v>77</v>
      </c>
      <c r="S49" s="3">
        <f t="shared" si="4"/>
        <v>102.69999999999979</v>
      </c>
      <c r="T49" s="24" t="s">
        <v>1334</v>
      </c>
      <c r="U49" s="24" t="s">
        <v>1334</v>
      </c>
      <c r="V49" s="3"/>
      <c r="W49" s="25" t="str">
        <f>IFERROR(VLOOKUP(Caja_Arequipa[[#This Row],[destinatario]],CHOOSE({1,2},Clientes_Proveedores[Razon Social],Clientes_Proveedores[Ruc / Dni]),2,0),"")</f>
        <v/>
      </c>
      <c r="X49" s="3" t="s">
        <v>5337</v>
      </c>
      <c r="Y49" s="3"/>
      <c r="Z49" s="3"/>
      <c r="AA49" s="3"/>
      <c r="AB49" s="3" t="str">
        <f>IF(Caja_Arequipa[[#This Row],[fecha]]&gt;0,TEXT(Caja_Arequipa[[#This Row],[fecha]],"mmmm"),0)</f>
        <v>Enero</v>
      </c>
    </row>
    <row r="50" spans="1:28" x14ac:dyDescent="0.3">
      <c r="A50" s="2">
        <f>IF(Caja_Arequipa[[#This Row],[tipo_r]]="R",COUNTIFS($C$1:$C49,"R")+1,A49)</f>
        <v>47</v>
      </c>
      <c r="B50" s="19" t="str">
        <f t="shared" si="0"/>
        <v>C-Tesoreria</v>
      </c>
      <c r="C50" s="3" t="s">
        <v>1330</v>
      </c>
      <c r="D50" s="14">
        <v>45674</v>
      </c>
      <c r="E50" s="5" t="s">
        <v>1416</v>
      </c>
      <c r="F50" s="5" t="s">
        <v>1336</v>
      </c>
      <c r="G50" s="3" t="s">
        <v>3308</v>
      </c>
      <c r="H50" s="6"/>
      <c r="I50" s="6"/>
      <c r="J50" s="6"/>
      <c r="K50" s="6"/>
      <c r="L50" s="7" t="s">
        <v>5333</v>
      </c>
      <c r="M50" s="8" t="str">
        <f>IF(Caja_Arequipa[[#This Row],[tipo_r]]="R","001-"&amp;12002+A50,M49)</f>
        <v>001-12049</v>
      </c>
      <c r="N50" s="8" t="str">
        <f t="shared" si="5"/>
        <v>PEN</v>
      </c>
      <c r="O50" s="13"/>
      <c r="P50" s="13">
        <v>8</v>
      </c>
      <c r="Q50" s="3">
        <f t="shared" si="2"/>
        <v>0</v>
      </c>
      <c r="R50" s="3">
        <f t="shared" si="3"/>
        <v>8</v>
      </c>
      <c r="S50" s="3">
        <f t="shared" si="4"/>
        <v>94.69999999999979</v>
      </c>
      <c r="T50" s="24" t="s">
        <v>1334</v>
      </c>
      <c r="U50" s="24" t="s">
        <v>1334</v>
      </c>
      <c r="V50" s="3"/>
      <c r="W50" s="25" t="str">
        <f>IFERROR(VLOOKUP(Caja_Arequipa[[#This Row],[destinatario]],CHOOSE({1,2},Clientes_Proveedores[Razon Social],Clientes_Proveedores[Ruc / Dni]),2,0),"")</f>
        <v/>
      </c>
      <c r="X50" s="3" t="s">
        <v>5338</v>
      </c>
      <c r="Y50" s="3"/>
      <c r="Z50" s="3"/>
      <c r="AA50" s="3"/>
      <c r="AB50" s="3" t="str">
        <f>IF(Caja_Arequipa[[#This Row],[fecha]]&gt;0,TEXT(Caja_Arequipa[[#This Row],[fecha]],"mmmm"),0)</f>
        <v>Enero</v>
      </c>
    </row>
    <row r="51" spans="1:28" x14ac:dyDescent="0.3">
      <c r="A51" s="2">
        <f>IF(Caja_Arequipa[[#This Row],[tipo_r]]="R",COUNTIFS($C$1:$C50,"R")+1,A50)</f>
        <v>48</v>
      </c>
      <c r="B51" s="19" t="str">
        <f t="shared" si="0"/>
        <v>C-Tesoreria</v>
      </c>
      <c r="C51" s="3" t="s">
        <v>1330</v>
      </c>
      <c r="D51" s="14">
        <v>45674</v>
      </c>
      <c r="E51" s="5" t="s">
        <v>1416</v>
      </c>
      <c r="F51" s="5" t="s">
        <v>1336</v>
      </c>
      <c r="G51" s="3" t="s">
        <v>3308</v>
      </c>
      <c r="H51" s="6"/>
      <c r="I51" s="6"/>
      <c r="J51" s="6"/>
      <c r="K51" s="6"/>
      <c r="L51" s="7" t="s">
        <v>5333</v>
      </c>
      <c r="M51" s="8" t="str">
        <f>IF(Caja_Arequipa[[#This Row],[tipo_r]]="R","001-"&amp;12002+A51,M50)</f>
        <v>001-12050</v>
      </c>
      <c r="N51" s="8" t="str">
        <f t="shared" si="5"/>
        <v>PEN</v>
      </c>
      <c r="O51" s="13"/>
      <c r="P51" s="13">
        <v>6.6</v>
      </c>
      <c r="Q51" s="3">
        <f t="shared" si="2"/>
        <v>0</v>
      </c>
      <c r="R51" s="3">
        <f t="shared" si="3"/>
        <v>6.6</v>
      </c>
      <c r="S51" s="3">
        <f t="shared" si="4"/>
        <v>88.099999999999795</v>
      </c>
      <c r="T51" s="24" t="s">
        <v>1334</v>
      </c>
      <c r="U51" s="24" t="s">
        <v>1334</v>
      </c>
      <c r="V51" s="3"/>
      <c r="W51" s="25" t="str">
        <f>IFERROR(VLOOKUP(Caja_Arequipa[[#This Row],[destinatario]],CHOOSE({1,2},Clientes_Proveedores[Razon Social],Clientes_Proveedores[Ruc / Dni]),2,0),"")</f>
        <v/>
      </c>
      <c r="X51" s="3" t="s">
        <v>5339</v>
      </c>
      <c r="Y51" s="3"/>
      <c r="Z51" s="3"/>
      <c r="AA51" s="3"/>
      <c r="AB51" s="3" t="str">
        <f>IF(Caja_Arequipa[[#This Row],[fecha]]&gt;0,TEXT(Caja_Arequipa[[#This Row],[fecha]],"mmmm"),0)</f>
        <v>Enero</v>
      </c>
    </row>
    <row r="52" spans="1:28" x14ac:dyDescent="0.3">
      <c r="A52" s="2">
        <f>IF(Caja_Arequipa[[#This Row],[tipo_r]]="R",COUNTIFS($C$1:$C51,"R")+1,A51)</f>
        <v>49</v>
      </c>
      <c r="B52" s="19" t="str">
        <f t="shared" si="0"/>
        <v>C-Tesoreria</v>
      </c>
      <c r="C52" s="3" t="s">
        <v>1330</v>
      </c>
      <c r="D52" s="14">
        <v>45674</v>
      </c>
      <c r="E52" s="5" t="s">
        <v>1416</v>
      </c>
      <c r="F52" s="5" t="s">
        <v>1303</v>
      </c>
      <c r="G52" s="3" t="s">
        <v>3634</v>
      </c>
      <c r="H52" s="6"/>
      <c r="I52" s="6"/>
      <c r="J52" s="6"/>
      <c r="K52" s="6"/>
      <c r="L52" s="7" t="s">
        <v>5340</v>
      </c>
      <c r="M52" s="8" t="str">
        <f>IF(Caja_Arequipa[[#This Row],[tipo_r]]="R","001-"&amp;12002+A52,M51)</f>
        <v>001-12051</v>
      </c>
      <c r="N52" s="8" t="str">
        <f t="shared" si="5"/>
        <v>PEN</v>
      </c>
      <c r="O52" s="13"/>
      <c r="P52" s="13">
        <v>700</v>
      </c>
      <c r="Q52" s="3">
        <f t="shared" si="2"/>
        <v>700</v>
      </c>
      <c r="R52" s="3">
        <f t="shared" si="3"/>
        <v>0</v>
      </c>
      <c r="S52" s="3">
        <f t="shared" si="4"/>
        <v>788.0999999999998</v>
      </c>
      <c r="T52" s="24"/>
      <c r="U52" s="24" t="s">
        <v>1334</v>
      </c>
      <c r="V52" s="3"/>
      <c r="W52" s="25" t="str">
        <f>IFERROR(VLOOKUP(Caja_Arequipa[[#This Row],[destinatario]],CHOOSE({1,2},Clientes_Proveedores[Razon Social],Clientes_Proveedores[Ruc / Dni]),2,0),"")</f>
        <v/>
      </c>
      <c r="X52" s="3"/>
      <c r="Y52" s="3"/>
      <c r="Z52" s="3"/>
      <c r="AA52" s="3"/>
      <c r="AB52" s="3" t="str">
        <f>IF(Caja_Arequipa[[#This Row],[fecha]]&gt;0,TEXT(Caja_Arequipa[[#This Row],[fecha]],"mmmm"),0)</f>
        <v>Enero</v>
      </c>
    </row>
    <row r="53" spans="1:28" ht="24" x14ac:dyDescent="0.3">
      <c r="A53" s="2">
        <f>IF(Caja_Arequipa[[#This Row],[tipo_r]]="R",COUNTIFS($C$1:$C52,"R")+1,A52)</f>
        <v>50</v>
      </c>
      <c r="B53" s="19" t="str">
        <f t="shared" si="0"/>
        <v>C-Tesoreria</v>
      </c>
      <c r="C53" s="3" t="s">
        <v>1330</v>
      </c>
      <c r="D53" s="14">
        <v>45674</v>
      </c>
      <c r="E53" s="5" t="s">
        <v>1416</v>
      </c>
      <c r="F53" s="5" t="s">
        <v>1336</v>
      </c>
      <c r="G53" s="3" t="s">
        <v>3308</v>
      </c>
      <c r="H53" s="6"/>
      <c r="I53" s="6"/>
      <c r="J53" s="6"/>
      <c r="K53" s="6"/>
      <c r="L53" s="7" t="s">
        <v>5341</v>
      </c>
      <c r="M53" s="8" t="str">
        <f>IF(Caja_Arequipa[[#This Row],[tipo_r]]="R","001-"&amp;12002+A53,M52)</f>
        <v>001-12052</v>
      </c>
      <c r="N53" s="8" t="str">
        <f t="shared" si="5"/>
        <v>PEN</v>
      </c>
      <c r="O53" s="13"/>
      <c r="P53" s="13">
        <v>112.5</v>
      </c>
      <c r="Q53" s="3">
        <f t="shared" si="2"/>
        <v>0</v>
      </c>
      <c r="R53" s="3">
        <f t="shared" si="3"/>
        <v>112.5</v>
      </c>
      <c r="S53" s="3">
        <f t="shared" si="4"/>
        <v>675.5999999999998</v>
      </c>
      <c r="T53" s="24" t="s">
        <v>1334</v>
      </c>
      <c r="U53" s="24" t="s">
        <v>1334</v>
      </c>
      <c r="V53" s="3"/>
      <c r="W53" s="25" t="str">
        <f>IFERROR(VLOOKUP(Caja_Arequipa[[#This Row],[destinatario]],CHOOSE({1,2},Clientes_Proveedores[Razon Social],Clientes_Proveedores[Ruc / Dni]),2,0),"")</f>
        <v/>
      </c>
      <c r="X53" s="3" t="s">
        <v>5342</v>
      </c>
      <c r="Y53" s="3"/>
      <c r="Z53" s="3"/>
      <c r="AA53" s="3"/>
      <c r="AB53" s="3" t="str">
        <f>IF(Caja_Arequipa[[#This Row],[fecha]]&gt;0,TEXT(Caja_Arequipa[[#This Row],[fecha]],"mmmm"),0)</f>
        <v>Enero</v>
      </c>
    </row>
    <row r="54" spans="1:28" ht="24" x14ac:dyDescent="0.3">
      <c r="A54" s="2">
        <f>IF(Caja_Arequipa[[#This Row],[tipo_r]]="R",COUNTIFS($C$1:$C53,"R")+1,A53)</f>
        <v>51</v>
      </c>
      <c r="B54" s="19" t="str">
        <f t="shared" si="0"/>
        <v>C-Tesoreria</v>
      </c>
      <c r="C54" s="3" t="s">
        <v>1330</v>
      </c>
      <c r="D54" s="14">
        <v>45674</v>
      </c>
      <c r="E54" s="5" t="s">
        <v>1416</v>
      </c>
      <c r="F54" s="5" t="s">
        <v>1336</v>
      </c>
      <c r="G54" s="3" t="s">
        <v>3308</v>
      </c>
      <c r="H54" s="6"/>
      <c r="I54" s="6" t="s">
        <v>111</v>
      </c>
      <c r="J54" s="6">
        <v>3</v>
      </c>
      <c r="K54" s="6">
        <v>7</v>
      </c>
      <c r="L54" s="7" t="s">
        <v>5343</v>
      </c>
      <c r="M54" s="8" t="str">
        <f>IF(Caja_Arequipa[[#This Row],[tipo_r]]="R","001-"&amp;12002+A54,M53)</f>
        <v>001-12053</v>
      </c>
      <c r="N54" s="8" t="str">
        <f t="shared" si="5"/>
        <v>PEN</v>
      </c>
      <c r="O54" s="13"/>
      <c r="P54" s="13">
        <v>18.5</v>
      </c>
      <c r="Q54" s="3">
        <f t="shared" si="2"/>
        <v>0</v>
      </c>
      <c r="R54" s="3">
        <f t="shared" si="3"/>
        <v>18.5</v>
      </c>
      <c r="S54" s="3">
        <f t="shared" si="4"/>
        <v>657.0999999999998</v>
      </c>
      <c r="T54" s="24" t="s">
        <v>1334</v>
      </c>
      <c r="U54" s="24" t="s">
        <v>1334</v>
      </c>
      <c r="V54" s="3"/>
      <c r="W54" s="25" t="str">
        <f>IFERROR(VLOOKUP(Caja_Arequipa[[#This Row],[destinatario]],CHOOSE({1,2},Clientes_Proveedores[Razon Social],Clientes_Proveedores[Ruc / Dni]),2,0),"")</f>
        <v/>
      </c>
      <c r="X54" s="3" t="s">
        <v>5344</v>
      </c>
      <c r="Y54" s="3"/>
      <c r="Z54" s="3"/>
      <c r="AA54" s="3"/>
      <c r="AB54" s="3" t="str">
        <f>IF(Caja_Arequipa[[#This Row],[fecha]]&gt;0,TEXT(Caja_Arequipa[[#This Row],[fecha]],"mmmm"),0)</f>
        <v>Enero</v>
      </c>
    </row>
    <row r="55" spans="1:28" ht="24" x14ac:dyDescent="0.3">
      <c r="A55" s="2">
        <f>IF(Caja_Arequipa[[#This Row],[tipo_r]]="R",COUNTIFS($C$1:$C54,"R")+1,A54)</f>
        <v>52</v>
      </c>
      <c r="B55" s="19" t="str">
        <f t="shared" si="0"/>
        <v>C-Tesoreria</v>
      </c>
      <c r="C55" s="3" t="s">
        <v>1330</v>
      </c>
      <c r="D55" s="14">
        <v>45674</v>
      </c>
      <c r="E55" s="5" t="s">
        <v>1416</v>
      </c>
      <c r="F55" s="5" t="s">
        <v>1336</v>
      </c>
      <c r="G55" s="3" t="s">
        <v>5303</v>
      </c>
      <c r="H55" s="6"/>
      <c r="I55" s="6"/>
      <c r="J55" s="6"/>
      <c r="K55" s="6"/>
      <c r="L55" s="7" t="s">
        <v>5345</v>
      </c>
      <c r="M55" s="8" t="str">
        <f>IF(Caja_Arequipa[[#This Row],[tipo_r]]="R","001-"&amp;12002+A55,M54)</f>
        <v>001-12054</v>
      </c>
      <c r="N55" s="8" t="str">
        <f t="shared" si="5"/>
        <v>PEN</v>
      </c>
      <c r="O55" s="13"/>
      <c r="P55" s="13">
        <v>26.4</v>
      </c>
      <c r="Q55" s="3">
        <f t="shared" si="2"/>
        <v>0</v>
      </c>
      <c r="R55" s="3">
        <f t="shared" si="3"/>
        <v>26.4</v>
      </c>
      <c r="S55" s="3">
        <f t="shared" si="4"/>
        <v>630.69999999999982</v>
      </c>
      <c r="T55" s="24" t="s">
        <v>1334</v>
      </c>
      <c r="U55" s="24" t="s">
        <v>1334</v>
      </c>
      <c r="V55" s="3"/>
      <c r="W55" s="25" t="str">
        <f>IFERROR(VLOOKUP(Caja_Arequipa[[#This Row],[destinatario]],CHOOSE({1,2},Clientes_Proveedores[Razon Social],Clientes_Proveedores[Ruc / Dni]),2,0),"")</f>
        <v/>
      </c>
      <c r="X55" s="3" t="s">
        <v>5346</v>
      </c>
      <c r="Y55" s="3"/>
      <c r="Z55" s="3"/>
      <c r="AA55" s="3"/>
      <c r="AB55" s="3" t="str">
        <f>IF(Caja_Arequipa[[#This Row],[fecha]]&gt;0,TEXT(Caja_Arequipa[[#This Row],[fecha]],"mmmm"),0)</f>
        <v>Enero</v>
      </c>
    </row>
    <row r="56" spans="1:28" ht="36" x14ac:dyDescent="0.3">
      <c r="A56" s="2">
        <f>IF(Caja_Arequipa[[#This Row],[tipo_r]]="R",COUNTIFS($C$1:$C55,"R")+1,A55)</f>
        <v>53</v>
      </c>
      <c r="B56" s="19" t="str">
        <f t="shared" si="0"/>
        <v>C-Tesoreria</v>
      </c>
      <c r="C56" s="3" t="s">
        <v>1330</v>
      </c>
      <c r="D56" s="14">
        <v>45678</v>
      </c>
      <c r="E56" s="5" t="s">
        <v>1416</v>
      </c>
      <c r="F56" s="5" t="s">
        <v>1336</v>
      </c>
      <c r="G56" s="3" t="s">
        <v>5299</v>
      </c>
      <c r="H56" s="6"/>
      <c r="I56" s="6" t="s">
        <v>111</v>
      </c>
      <c r="J56" s="6">
        <v>3</v>
      </c>
      <c r="K56" s="6">
        <v>8</v>
      </c>
      <c r="L56" s="7" t="s">
        <v>5347</v>
      </c>
      <c r="M56" s="8" t="str">
        <f>IF(Caja_Arequipa[[#This Row],[tipo_r]]="R","001-"&amp;12002+A56,M55)</f>
        <v>001-12055</v>
      </c>
      <c r="N56" s="8" t="str">
        <f t="shared" si="5"/>
        <v>PEN</v>
      </c>
      <c r="O56" s="13"/>
      <c r="P56" s="13">
        <v>18</v>
      </c>
      <c r="Q56" s="3">
        <f t="shared" si="2"/>
        <v>0</v>
      </c>
      <c r="R56" s="3">
        <f t="shared" si="3"/>
        <v>18</v>
      </c>
      <c r="S56" s="3">
        <f t="shared" si="4"/>
        <v>612.69999999999982</v>
      </c>
      <c r="T56" s="24" t="s">
        <v>1334</v>
      </c>
      <c r="U56" s="24" t="s">
        <v>1334</v>
      </c>
      <c r="V56" s="3"/>
      <c r="W56" s="25" t="str">
        <f>IFERROR(VLOOKUP(Caja_Arequipa[[#This Row],[destinatario]],CHOOSE({1,2},Clientes_Proveedores[Razon Social],Clientes_Proveedores[Ruc / Dni]),2,0),"")</f>
        <v/>
      </c>
      <c r="X56" s="3" t="s">
        <v>5348</v>
      </c>
      <c r="Y56" s="3"/>
      <c r="Z56" s="3"/>
      <c r="AA56" s="3"/>
      <c r="AB56" s="3" t="str">
        <f>IF(Caja_Arequipa[[#This Row],[fecha]]&gt;0,TEXT(Caja_Arequipa[[#This Row],[fecha]],"mmmm"),0)</f>
        <v>Enero</v>
      </c>
    </row>
    <row r="57" spans="1:28" x14ac:dyDescent="0.3">
      <c r="A57" s="2">
        <f>IF(Caja_Arequipa[[#This Row],[tipo_r]]="R",COUNTIFS($C$1:$C56,"R")+1,A56)</f>
        <v>54</v>
      </c>
      <c r="B57" s="19" t="str">
        <f t="shared" si="0"/>
        <v>C-Tesoreria</v>
      </c>
      <c r="C57" s="3" t="s">
        <v>1330</v>
      </c>
      <c r="D57" s="14">
        <v>45678</v>
      </c>
      <c r="E57" s="5" t="s">
        <v>1416</v>
      </c>
      <c r="F57" s="5" t="s">
        <v>1336</v>
      </c>
      <c r="G57" s="3" t="s">
        <v>5259</v>
      </c>
      <c r="H57" s="6"/>
      <c r="I57" s="6" t="s">
        <v>111</v>
      </c>
      <c r="J57" s="6">
        <v>3</v>
      </c>
      <c r="K57" s="6">
        <v>9</v>
      </c>
      <c r="L57" s="7" t="s">
        <v>5349</v>
      </c>
      <c r="M57" s="8" t="str">
        <f>IF(Caja_Arequipa[[#This Row],[tipo_r]]="R","001-"&amp;12002+A57,M56)</f>
        <v>001-12056</v>
      </c>
      <c r="N57" s="8" t="str">
        <f t="shared" si="5"/>
        <v>PEN</v>
      </c>
      <c r="O57" s="13"/>
      <c r="P57" s="13">
        <v>5</v>
      </c>
      <c r="Q57" s="3">
        <f t="shared" si="2"/>
        <v>0</v>
      </c>
      <c r="R57" s="3">
        <f t="shared" si="3"/>
        <v>5</v>
      </c>
      <c r="S57" s="3">
        <f t="shared" si="4"/>
        <v>607.69999999999982</v>
      </c>
      <c r="T57" s="24" t="s">
        <v>1334</v>
      </c>
      <c r="U57" s="24" t="s">
        <v>1334</v>
      </c>
      <c r="V57" s="3"/>
      <c r="W57" s="25" t="str">
        <f>IFERROR(VLOOKUP(Caja_Arequipa[[#This Row],[destinatario]],CHOOSE({1,2},Clientes_Proveedores[Razon Social],Clientes_Proveedores[Ruc / Dni]),2,0),"")</f>
        <v/>
      </c>
      <c r="X57" s="3" t="s">
        <v>5350</v>
      </c>
      <c r="Y57" s="3"/>
      <c r="Z57" s="3"/>
      <c r="AA57" s="3"/>
      <c r="AB57" s="3" t="str">
        <f>IF(Caja_Arequipa[[#This Row],[fecha]]&gt;0,TEXT(Caja_Arequipa[[#This Row],[fecha]],"mmmm"),0)</f>
        <v>Enero</v>
      </c>
    </row>
    <row r="58" spans="1:28" x14ac:dyDescent="0.3">
      <c r="A58" s="2">
        <f>IF(Caja_Arequipa[[#This Row],[tipo_r]]="R",COUNTIFS($C$1:$C57,"R")+1,A57)</f>
        <v>55</v>
      </c>
      <c r="B58" s="19" t="str">
        <f t="shared" si="0"/>
        <v>C-Tesoreria</v>
      </c>
      <c r="C58" s="3" t="s">
        <v>1330</v>
      </c>
      <c r="D58" s="14">
        <v>45678</v>
      </c>
      <c r="E58" s="5" t="s">
        <v>1416</v>
      </c>
      <c r="F58" s="5" t="s">
        <v>1336</v>
      </c>
      <c r="G58" s="3" t="s">
        <v>5259</v>
      </c>
      <c r="H58" s="6"/>
      <c r="I58" s="6" t="s">
        <v>111</v>
      </c>
      <c r="J58" s="6">
        <v>3</v>
      </c>
      <c r="K58" s="6">
        <v>10</v>
      </c>
      <c r="L58" s="7" t="s">
        <v>5351</v>
      </c>
      <c r="M58" s="8" t="str">
        <f>IF(Caja_Arequipa[[#This Row],[tipo_r]]="R","001-"&amp;12002+A58,M57)</f>
        <v>001-12057</v>
      </c>
      <c r="N58" s="8" t="str">
        <f t="shared" si="5"/>
        <v>PEN</v>
      </c>
      <c r="O58" s="13"/>
      <c r="P58" s="13">
        <v>22</v>
      </c>
      <c r="Q58" s="3">
        <f t="shared" si="2"/>
        <v>0</v>
      </c>
      <c r="R58" s="3">
        <f t="shared" si="3"/>
        <v>22</v>
      </c>
      <c r="S58" s="3">
        <f t="shared" si="4"/>
        <v>585.69999999999982</v>
      </c>
      <c r="T58" s="24" t="s">
        <v>1334</v>
      </c>
      <c r="U58" s="24" t="s">
        <v>1334</v>
      </c>
      <c r="V58" s="3"/>
      <c r="W58" s="25" t="str">
        <f>IFERROR(VLOOKUP(Caja_Arequipa[[#This Row],[destinatario]],CHOOSE({1,2},Clientes_Proveedores[Razon Social],Clientes_Proveedores[Ruc / Dni]),2,0),"")</f>
        <v/>
      </c>
      <c r="X58" s="3" t="s">
        <v>5352</v>
      </c>
      <c r="Y58" s="3"/>
      <c r="Z58" s="3"/>
      <c r="AA58" s="3"/>
      <c r="AB58" s="3" t="str">
        <f>IF(Caja_Arequipa[[#This Row],[fecha]]&gt;0,TEXT(Caja_Arequipa[[#This Row],[fecha]],"mmmm"),0)</f>
        <v>Enero</v>
      </c>
    </row>
    <row r="59" spans="1:28" x14ac:dyDescent="0.3">
      <c r="A59" s="2">
        <f>IF(Caja_Arequipa[[#This Row],[tipo_r]]="R",COUNTIFS($C$1:$C58,"R")+1,A58)</f>
        <v>56</v>
      </c>
      <c r="B59" s="19" t="str">
        <f t="shared" si="0"/>
        <v>C-Tesoreria</v>
      </c>
      <c r="C59" s="3" t="s">
        <v>1330</v>
      </c>
      <c r="D59" s="14">
        <v>45678</v>
      </c>
      <c r="E59" s="5" t="s">
        <v>1416</v>
      </c>
      <c r="F59" s="5" t="s">
        <v>1336</v>
      </c>
      <c r="G59" s="3" t="s">
        <v>5259</v>
      </c>
      <c r="H59" s="6"/>
      <c r="I59" s="6" t="s">
        <v>111</v>
      </c>
      <c r="J59" s="6">
        <v>3</v>
      </c>
      <c r="K59" s="6">
        <v>11</v>
      </c>
      <c r="L59" s="7" t="s">
        <v>5353</v>
      </c>
      <c r="M59" s="8" t="str">
        <f>IF(Caja_Arequipa[[#This Row],[tipo_r]]="R","001-"&amp;12002+A59,M58)</f>
        <v>001-12058</v>
      </c>
      <c r="N59" s="8" t="str">
        <f t="shared" si="5"/>
        <v>PEN</v>
      </c>
      <c r="O59" s="13"/>
      <c r="P59" s="13">
        <v>68</v>
      </c>
      <c r="Q59" s="3">
        <f t="shared" si="2"/>
        <v>0</v>
      </c>
      <c r="R59" s="3">
        <f t="shared" si="3"/>
        <v>68</v>
      </c>
      <c r="S59" s="3">
        <f t="shared" si="4"/>
        <v>517.69999999999982</v>
      </c>
      <c r="T59" s="24" t="s">
        <v>1334</v>
      </c>
      <c r="U59" s="24" t="s">
        <v>1334</v>
      </c>
      <c r="V59" s="3"/>
      <c r="W59" s="25" t="str">
        <f>IFERROR(VLOOKUP(Caja_Arequipa[[#This Row],[destinatario]],CHOOSE({1,2},Clientes_Proveedores[Razon Social],Clientes_Proveedores[Ruc / Dni]),2,0),"")</f>
        <v/>
      </c>
      <c r="X59" s="3" t="s">
        <v>5354</v>
      </c>
      <c r="Y59" s="3"/>
      <c r="Z59" s="3"/>
      <c r="AA59" s="3"/>
      <c r="AB59" s="3" t="str">
        <f>IF(Caja_Arequipa[[#This Row],[fecha]]&gt;0,TEXT(Caja_Arequipa[[#This Row],[fecha]],"mmmm"),0)</f>
        <v>Enero</v>
      </c>
    </row>
    <row r="60" spans="1:28" x14ac:dyDescent="0.3">
      <c r="A60" s="2">
        <f>IF(Caja_Arequipa[[#This Row],[tipo_r]]="R",COUNTIFS($C$1:$C59,"R")+1,A59)</f>
        <v>57</v>
      </c>
      <c r="B60" s="19" t="str">
        <f t="shared" si="0"/>
        <v>C-Tesoreria</v>
      </c>
      <c r="C60" s="3" t="s">
        <v>1330</v>
      </c>
      <c r="D60" s="14">
        <v>45678</v>
      </c>
      <c r="E60" s="5" t="s">
        <v>1416</v>
      </c>
      <c r="F60" s="5" t="s">
        <v>1336</v>
      </c>
      <c r="G60" s="3" t="s">
        <v>5259</v>
      </c>
      <c r="H60" s="6"/>
      <c r="I60" s="6" t="s">
        <v>111</v>
      </c>
      <c r="J60" s="6">
        <v>3</v>
      </c>
      <c r="K60" s="6">
        <v>12</v>
      </c>
      <c r="L60" s="7" t="s">
        <v>5355</v>
      </c>
      <c r="M60" s="8" t="str">
        <f>IF(Caja_Arequipa[[#This Row],[tipo_r]]="R","001-"&amp;12002+A60,M59)</f>
        <v>001-12059</v>
      </c>
      <c r="N60" s="8" t="str">
        <f t="shared" si="5"/>
        <v>PEN</v>
      </c>
      <c r="O60" s="13"/>
      <c r="P60" s="13">
        <v>34</v>
      </c>
      <c r="Q60" s="3">
        <f t="shared" si="2"/>
        <v>0</v>
      </c>
      <c r="R60" s="3">
        <f t="shared" si="3"/>
        <v>34</v>
      </c>
      <c r="S60" s="3">
        <f t="shared" si="4"/>
        <v>483.69999999999982</v>
      </c>
      <c r="T60" s="24" t="s">
        <v>1334</v>
      </c>
      <c r="U60" s="24" t="s">
        <v>1334</v>
      </c>
      <c r="V60" s="3"/>
      <c r="W60" s="25" t="str">
        <f>IFERROR(VLOOKUP(Caja_Arequipa[[#This Row],[destinatario]],CHOOSE({1,2},Clientes_Proveedores[Razon Social],Clientes_Proveedores[Ruc / Dni]),2,0),"")</f>
        <v/>
      </c>
      <c r="X60" s="3" t="s">
        <v>5356</v>
      </c>
      <c r="Y60" s="3"/>
      <c r="Z60" s="3"/>
      <c r="AA60" s="3"/>
      <c r="AB60" s="3" t="str">
        <f>IF(Caja_Arequipa[[#This Row],[fecha]]&gt;0,TEXT(Caja_Arequipa[[#This Row],[fecha]],"mmmm"),0)</f>
        <v>Enero</v>
      </c>
    </row>
    <row r="61" spans="1:28" x14ac:dyDescent="0.3">
      <c r="A61" s="2">
        <f>IF(Caja_Arequipa[[#This Row],[tipo_r]]="R",COUNTIFS($C$1:$C60,"R")+1,A60)</f>
        <v>58</v>
      </c>
      <c r="B61" s="19" t="str">
        <f t="shared" si="0"/>
        <v>C-Tesoreria</v>
      </c>
      <c r="C61" s="3" t="s">
        <v>1330</v>
      </c>
      <c r="D61" s="14">
        <v>45678</v>
      </c>
      <c r="E61" s="5" t="s">
        <v>1416</v>
      </c>
      <c r="F61" s="5" t="s">
        <v>1336</v>
      </c>
      <c r="G61" s="3" t="s">
        <v>5259</v>
      </c>
      <c r="H61" s="6"/>
      <c r="I61" s="6" t="s">
        <v>111</v>
      </c>
      <c r="J61" s="6">
        <v>3</v>
      </c>
      <c r="K61" s="6">
        <v>13</v>
      </c>
      <c r="L61" s="7" t="s">
        <v>5357</v>
      </c>
      <c r="M61" s="8" t="str">
        <f>IF(Caja_Arequipa[[#This Row],[tipo_r]]="R","001-"&amp;12002+A61,M60)</f>
        <v>001-12060</v>
      </c>
      <c r="N61" s="8" t="str">
        <f t="shared" si="5"/>
        <v>PEN</v>
      </c>
      <c r="O61" s="13"/>
      <c r="P61" s="13">
        <v>88</v>
      </c>
      <c r="Q61" s="3">
        <f t="shared" si="2"/>
        <v>0</v>
      </c>
      <c r="R61" s="3">
        <f t="shared" si="3"/>
        <v>88</v>
      </c>
      <c r="S61" s="3">
        <f t="shared" si="4"/>
        <v>395.69999999999982</v>
      </c>
      <c r="T61" s="24" t="s">
        <v>1334</v>
      </c>
      <c r="U61" s="24" t="s">
        <v>1334</v>
      </c>
      <c r="V61" s="3"/>
      <c r="W61" s="25" t="str">
        <f>IFERROR(VLOOKUP(Caja_Arequipa[[#This Row],[destinatario]],CHOOSE({1,2},Clientes_Proveedores[Razon Social],Clientes_Proveedores[Ruc / Dni]),2,0),"")</f>
        <v/>
      </c>
      <c r="X61" s="3" t="s">
        <v>5358</v>
      </c>
      <c r="Y61" s="3"/>
      <c r="Z61" s="3"/>
      <c r="AA61" s="3"/>
      <c r="AB61" s="3" t="str">
        <f>IF(Caja_Arequipa[[#This Row],[fecha]]&gt;0,TEXT(Caja_Arequipa[[#This Row],[fecha]],"mmmm"),0)</f>
        <v>Enero</v>
      </c>
    </row>
    <row r="62" spans="1:28" x14ac:dyDescent="0.3">
      <c r="A62" s="2">
        <f>IF(Caja_Arequipa[[#This Row],[tipo_r]]="R",COUNTIFS($C$1:$C61,"R")+1,A61)</f>
        <v>59</v>
      </c>
      <c r="B62" s="19" t="str">
        <f t="shared" si="0"/>
        <v>C-Tesoreria</v>
      </c>
      <c r="C62" s="3" t="s">
        <v>1330</v>
      </c>
      <c r="D62" s="14">
        <v>45678</v>
      </c>
      <c r="E62" s="5" t="s">
        <v>1416</v>
      </c>
      <c r="F62" s="5" t="s">
        <v>1336</v>
      </c>
      <c r="G62" s="3" t="s">
        <v>5259</v>
      </c>
      <c r="H62" s="6"/>
      <c r="I62" s="6" t="s">
        <v>111</v>
      </c>
      <c r="J62" s="6">
        <v>3</v>
      </c>
      <c r="K62" s="6">
        <v>14</v>
      </c>
      <c r="L62" s="7" t="s">
        <v>5359</v>
      </c>
      <c r="M62" s="8" t="str">
        <f>IF(Caja_Arequipa[[#This Row],[tipo_r]]="R","001-"&amp;12002+A62,M61)</f>
        <v>001-12061</v>
      </c>
      <c r="N62" s="8" t="str">
        <f t="shared" si="5"/>
        <v>PEN</v>
      </c>
      <c r="O62" s="13"/>
      <c r="P62" s="13">
        <v>87</v>
      </c>
      <c r="Q62" s="3">
        <f t="shared" si="2"/>
        <v>0</v>
      </c>
      <c r="R62" s="3">
        <f t="shared" si="3"/>
        <v>87</v>
      </c>
      <c r="S62" s="3">
        <f t="shared" si="4"/>
        <v>308.69999999999982</v>
      </c>
      <c r="T62" s="24" t="s">
        <v>1334</v>
      </c>
      <c r="U62" s="24" t="s">
        <v>1334</v>
      </c>
      <c r="V62" s="3"/>
      <c r="W62" s="25" t="str">
        <f>IFERROR(VLOOKUP(Caja_Arequipa[[#This Row],[destinatario]],CHOOSE({1,2},Clientes_Proveedores[Razon Social],Clientes_Proveedores[Ruc / Dni]),2,0),"")</f>
        <v/>
      </c>
      <c r="X62" s="3" t="s">
        <v>5360</v>
      </c>
      <c r="Y62" s="3"/>
      <c r="Z62" s="3"/>
      <c r="AA62" s="3"/>
      <c r="AB62" s="3" t="str">
        <f>IF(Caja_Arequipa[[#This Row],[fecha]]&gt;0,TEXT(Caja_Arequipa[[#This Row],[fecha]],"mmmm"),0)</f>
        <v>Enero</v>
      </c>
    </row>
    <row r="63" spans="1:28" ht="24" x14ac:dyDescent="0.3">
      <c r="A63" s="2">
        <f>IF(Caja_Arequipa[[#This Row],[tipo_r]]="R",COUNTIFS($C$1:$C62,"R")+1,A62)</f>
        <v>60</v>
      </c>
      <c r="B63" s="19" t="str">
        <f t="shared" si="0"/>
        <v>C-Tesoreria</v>
      </c>
      <c r="C63" s="3" t="s">
        <v>1330</v>
      </c>
      <c r="D63" s="14">
        <v>45678</v>
      </c>
      <c r="E63" s="5" t="s">
        <v>1416</v>
      </c>
      <c r="F63" s="5" t="s">
        <v>1336</v>
      </c>
      <c r="G63" s="3" t="s">
        <v>5250</v>
      </c>
      <c r="H63" s="6"/>
      <c r="I63" s="6"/>
      <c r="J63" s="6"/>
      <c r="K63" s="6"/>
      <c r="L63" s="7" t="s">
        <v>5361</v>
      </c>
      <c r="M63" s="8" t="str">
        <f>IF(Caja_Arequipa[[#This Row],[tipo_r]]="R","001-"&amp;12002+A63,M62)</f>
        <v>001-12062</v>
      </c>
      <c r="N63" s="8" t="str">
        <f t="shared" si="5"/>
        <v>PEN</v>
      </c>
      <c r="O63" s="13"/>
      <c r="P63" s="13">
        <v>16.600000000000001</v>
      </c>
      <c r="Q63" s="3">
        <f t="shared" si="2"/>
        <v>0</v>
      </c>
      <c r="R63" s="3">
        <f t="shared" si="3"/>
        <v>16.600000000000001</v>
      </c>
      <c r="S63" s="3">
        <f t="shared" si="4"/>
        <v>292.0999999999998</v>
      </c>
      <c r="T63" s="24" t="s">
        <v>1334</v>
      </c>
      <c r="U63" s="24" t="s">
        <v>1334</v>
      </c>
      <c r="V63" s="3"/>
      <c r="W63" s="25" t="str">
        <f>IFERROR(VLOOKUP(Caja_Arequipa[[#This Row],[destinatario]],CHOOSE({1,2},Clientes_Proveedores[Razon Social],Clientes_Proveedores[Ruc / Dni]),2,0),"")</f>
        <v/>
      </c>
      <c r="X63" s="3" t="s">
        <v>5362</v>
      </c>
      <c r="Y63" s="3"/>
      <c r="Z63" s="3"/>
      <c r="AA63" s="3"/>
      <c r="AB63" s="3" t="str">
        <f>IF(Caja_Arequipa[[#This Row],[fecha]]&gt;0,TEXT(Caja_Arequipa[[#This Row],[fecha]],"mmmm"),0)</f>
        <v>Enero</v>
      </c>
    </row>
    <row r="64" spans="1:28" ht="36" x14ac:dyDescent="0.3">
      <c r="A64" s="2">
        <f>IF(Caja_Arequipa[[#This Row],[tipo_r]]="R",COUNTIFS($C$1:$C63,"R")+1,A63)</f>
        <v>61</v>
      </c>
      <c r="B64" s="19" t="str">
        <f t="shared" si="0"/>
        <v>C-Tesoreria</v>
      </c>
      <c r="C64" s="3" t="s">
        <v>1330</v>
      </c>
      <c r="D64" s="14">
        <v>45678</v>
      </c>
      <c r="E64" s="5" t="s">
        <v>1416</v>
      </c>
      <c r="F64" s="5" t="s">
        <v>1336</v>
      </c>
      <c r="G64" s="3" t="s">
        <v>5248</v>
      </c>
      <c r="H64" s="6"/>
      <c r="I64" s="6"/>
      <c r="J64" s="6"/>
      <c r="K64" s="6"/>
      <c r="L64" s="7" t="s">
        <v>5363</v>
      </c>
      <c r="M64" s="8" t="str">
        <f>IF(Caja_Arequipa[[#This Row],[tipo_r]]="R","001-"&amp;12002+A64,M63)</f>
        <v>001-12063</v>
      </c>
      <c r="N64" s="8" t="str">
        <f t="shared" si="5"/>
        <v>PEN</v>
      </c>
      <c r="O64" s="13"/>
      <c r="P64" s="13">
        <v>210</v>
      </c>
      <c r="Q64" s="3">
        <f t="shared" si="2"/>
        <v>0</v>
      </c>
      <c r="R64" s="3">
        <f t="shared" si="3"/>
        <v>210</v>
      </c>
      <c r="S64" s="3">
        <f t="shared" si="4"/>
        <v>82.099999999999795</v>
      </c>
      <c r="T64" s="24" t="s">
        <v>1334</v>
      </c>
      <c r="U64" s="24" t="s">
        <v>1334</v>
      </c>
      <c r="V64" s="3"/>
      <c r="W64" s="25" t="str">
        <f>IFERROR(VLOOKUP(Caja_Arequipa[[#This Row],[destinatario]],CHOOSE({1,2},Clientes_Proveedores[Razon Social],Clientes_Proveedores[Ruc / Dni]),2,0),"")</f>
        <v/>
      </c>
      <c r="X64" s="3" t="s">
        <v>5364</v>
      </c>
      <c r="Y64" s="3"/>
      <c r="Z64" s="3"/>
      <c r="AA64" s="3"/>
      <c r="AB64" s="3" t="str">
        <f>IF(Caja_Arequipa[[#This Row],[fecha]]&gt;0,TEXT(Caja_Arequipa[[#This Row],[fecha]],"mmmm"),0)</f>
        <v>Enero</v>
      </c>
    </row>
    <row r="65" spans="1:28" x14ac:dyDescent="0.3">
      <c r="A65" s="2">
        <f>IF(Caja_Arequipa[[#This Row],[tipo_r]]="R",COUNTIFS($C$1:$C64,"R")+1,A64)</f>
        <v>61</v>
      </c>
      <c r="B65" s="19" t="str">
        <f>"C-Tesoreria"</f>
        <v>C-Tesoreria</v>
      </c>
      <c r="C65" s="3" t="s">
        <v>1352</v>
      </c>
      <c r="D65" s="14">
        <v>45678</v>
      </c>
      <c r="E65" s="5" t="s">
        <v>1416</v>
      </c>
      <c r="F65" s="5" t="s">
        <v>1336</v>
      </c>
      <c r="G65" s="3" t="s">
        <v>5248</v>
      </c>
      <c r="H65" s="6"/>
      <c r="I65" s="6" t="s">
        <v>75</v>
      </c>
      <c r="J65" s="6">
        <v>1</v>
      </c>
      <c r="K65" s="6">
        <v>771</v>
      </c>
      <c r="L65" s="7" t="s">
        <v>5363</v>
      </c>
      <c r="M65" s="8" t="str">
        <f>IF(Caja_Arequipa[[#This Row],[tipo_r]]="R","001-"&amp;12002+A65,M64)</f>
        <v>001-12063</v>
      </c>
      <c r="N65" s="8" t="str">
        <f>"PEN"</f>
        <v>PEN</v>
      </c>
      <c r="O65" s="13">
        <v>49</v>
      </c>
      <c r="P65" s="13"/>
      <c r="Q65" s="3">
        <f>+IF(OR($F65="SALDO",$F65="INGRESO"),$P65,0)</f>
        <v>0</v>
      </c>
      <c r="R65" s="3">
        <f>+IF($F65="EGRESO",$P65,0)</f>
        <v>0</v>
      </c>
      <c r="S65" s="3">
        <f t="shared" si="4"/>
        <v>82.099999999999795</v>
      </c>
      <c r="T65" s="24"/>
      <c r="U65" s="24"/>
      <c r="V65" s="3"/>
      <c r="W65" s="25" t="str">
        <f>IFERROR(VLOOKUP(Caja_Arequipa[[#This Row],[destinatario]],CHOOSE({1,2},Clientes_Proveedores[Razon Social],Clientes_Proveedores[Ruc / Dni]),2,0),"")</f>
        <v/>
      </c>
      <c r="X65" s="3"/>
      <c r="Y65" s="3"/>
      <c r="Z65" s="3"/>
      <c r="AA65" s="3"/>
      <c r="AB65" s="3" t="str">
        <f>IF(Caja_Arequipa[[#This Row],[fecha]]&gt;0,TEXT(Caja_Arequipa[[#This Row],[fecha]],"mmmm"),0)</f>
        <v>Enero</v>
      </c>
    </row>
    <row r="66" spans="1:28" x14ac:dyDescent="0.3">
      <c r="A66" s="2">
        <f>IF(Caja_Arequipa[[#This Row],[tipo_r]]="R",COUNTIFS($C$1:$C65,"R")+1,A65)</f>
        <v>61</v>
      </c>
      <c r="B66" s="19" t="str">
        <f>"C-Tesoreria"</f>
        <v>C-Tesoreria</v>
      </c>
      <c r="C66" s="3" t="s">
        <v>1352</v>
      </c>
      <c r="D66" s="14">
        <v>45678</v>
      </c>
      <c r="E66" s="5" t="s">
        <v>1416</v>
      </c>
      <c r="F66" s="5" t="s">
        <v>1336</v>
      </c>
      <c r="G66" s="3" t="s">
        <v>5248</v>
      </c>
      <c r="H66" s="6"/>
      <c r="I66" s="6" t="s">
        <v>75</v>
      </c>
      <c r="J66" s="6">
        <v>1</v>
      </c>
      <c r="K66" s="6">
        <v>772</v>
      </c>
      <c r="L66" s="7" t="s">
        <v>5363</v>
      </c>
      <c r="M66" s="8" t="str">
        <f>IF(Caja_Arequipa[[#This Row],[tipo_r]]="R","001-"&amp;12002+A66,M65)</f>
        <v>001-12063</v>
      </c>
      <c r="N66" s="8" t="str">
        <f>"PEN"</f>
        <v>PEN</v>
      </c>
      <c r="O66" s="13">
        <v>59</v>
      </c>
      <c r="P66" s="13"/>
      <c r="Q66" s="3">
        <f>+IF(OR($F66="SALDO",$F66="INGRESO"),$P66,0)</f>
        <v>0</v>
      </c>
      <c r="R66" s="3">
        <f>+IF($F66="EGRESO",$P66,0)</f>
        <v>0</v>
      </c>
      <c r="S66" s="3">
        <f t="shared" ref="S66:S129" si="6">IFERROR(IF(F66="SALDO",Q66,S65+Q66-R66),0)</f>
        <v>82.099999999999795</v>
      </c>
      <c r="T66" s="24"/>
      <c r="U66" s="24"/>
      <c r="V66" s="3"/>
      <c r="W66" s="25" t="str">
        <f>IFERROR(VLOOKUP(Caja_Arequipa[[#This Row],[destinatario]],CHOOSE({1,2},Clientes_Proveedores[Razon Social],Clientes_Proveedores[Ruc / Dni]),2,0),"")</f>
        <v/>
      </c>
      <c r="X66" s="3"/>
      <c r="Y66" s="3"/>
      <c r="Z66" s="3"/>
      <c r="AA66" s="3"/>
      <c r="AB66" s="3" t="str">
        <f>IF(Caja_Arequipa[[#This Row],[fecha]]&gt;0,TEXT(Caja_Arequipa[[#This Row],[fecha]],"mmmm"),0)</f>
        <v>Enero</v>
      </c>
    </row>
    <row r="67" spans="1:28" x14ac:dyDescent="0.3">
      <c r="A67" s="2">
        <f>IF(Caja_Arequipa[[#This Row],[tipo_r]]="R",COUNTIFS($C$1:$C66,"R")+1,A66)</f>
        <v>61</v>
      </c>
      <c r="B67" s="19" t="str">
        <f>"C-Tesoreria"</f>
        <v>C-Tesoreria</v>
      </c>
      <c r="C67" s="3" t="s">
        <v>1352</v>
      </c>
      <c r="D67" s="14">
        <v>45678</v>
      </c>
      <c r="E67" s="5" t="s">
        <v>1416</v>
      </c>
      <c r="F67" s="5" t="s">
        <v>1336</v>
      </c>
      <c r="G67" s="3" t="s">
        <v>5248</v>
      </c>
      <c r="H67" s="6"/>
      <c r="I67" s="6" t="s">
        <v>111</v>
      </c>
      <c r="J67" s="6">
        <v>3</v>
      </c>
      <c r="K67" s="6">
        <v>17</v>
      </c>
      <c r="L67" s="7" t="s">
        <v>5363</v>
      </c>
      <c r="M67" s="8" t="str">
        <f>IF(Caja_Arequipa[[#This Row],[tipo_r]]="R","001-"&amp;12002+A67,M66)</f>
        <v>001-12063</v>
      </c>
      <c r="N67" s="8" t="str">
        <f>"PEN"</f>
        <v>PEN</v>
      </c>
      <c r="O67" s="13">
        <v>13</v>
      </c>
      <c r="P67" s="13"/>
      <c r="Q67" s="3">
        <f>+IF(OR($F67="SALDO",$F67="INGRESO"),$P67,0)</f>
        <v>0</v>
      </c>
      <c r="R67" s="3">
        <f>+IF($F67="EGRESO",$P67,0)</f>
        <v>0</v>
      </c>
      <c r="S67" s="3">
        <f t="shared" si="6"/>
        <v>82.099999999999795</v>
      </c>
      <c r="T67" s="24"/>
      <c r="U67" s="24"/>
      <c r="V67" s="3"/>
      <c r="W67" s="25" t="str">
        <f>IFERROR(VLOOKUP(Caja_Arequipa[[#This Row],[destinatario]],CHOOSE({1,2},Clientes_Proveedores[Razon Social],Clientes_Proveedores[Ruc / Dni]),2,0),"")</f>
        <v/>
      </c>
      <c r="X67" s="3"/>
      <c r="Y67" s="3"/>
      <c r="Z67" s="3"/>
      <c r="AA67" s="3"/>
      <c r="AB67" s="3" t="str">
        <f>IF(Caja_Arequipa[[#This Row],[fecha]]&gt;0,TEXT(Caja_Arequipa[[#This Row],[fecha]],"mmmm"),0)</f>
        <v>Enero</v>
      </c>
    </row>
    <row r="68" spans="1:28" x14ac:dyDescent="0.3">
      <c r="A68" s="2">
        <f>IF(Caja_Arequipa[[#This Row],[tipo_r]]="R",COUNTIFS($C$1:$C67,"R")+1,A67)</f>
        <v>61</v>
      </c>
      <c r="B68" s="19" t="str">
        <f>"C-Tesoreria"</f>
        <v>C-Tesoreria</v>
      </c>
      <c r="C68" s="3" t="s">
        <v>1352</v>
      </c>
      <c r="D68" s="14">
        <v>45678</v>
      </c>
      <c r="E68" s="5" t="s">
        <v>1416</v>
      </c>
      <c r="F68" s="5" t="s">
        <v>1336</v>
      </c>
      <c r="G68" s="3" t="s">
        <v>5248</v>
      </c>
      <c r="H68" s="6"/>
      <c r="I68" s="6"/>
      <c r="J68" s="6"/>
      <c r="K68" s="6"/>
      <c r="L68" s="7" t="s">
        <v>5365</v>
      </c>
      <c r="M68" s="8" t="str">
        <f>IF(Caja_Arequipa[[#This Row],[tipo_r]]="R","001-"&amp;12002+A68,M67)</f>
        <v>001-12063</v>
      </c>
      <c r="N68" s="8" t="str">
        <f>"PEN"</f>
        <v>PEN</v>
      </c>
      <c r="O68" s="13">
        <v>89</v>
      </c>
      <c r="P68" s="13"/>
      <c r="Q68" s="3">
        <f>+IF(OR($F68="SALDO",$F68="INGRESO"),$P68,0)</f>
        <v>0</v>
      </c>
      <c r="R68" s="3">
        <f>+IF($F68="EGRESO",$P68,0)</f>
        <v>0</v>
      </c>
      <c r="S68" s="3">
        <f t="shared" si="6"/>
        <v>82.099999999999795</v>
      </c>
      <c r="T68" s="24"/>
      <c r="U68" s="24"/>
      <c r="V68" s="3"/>
      <c r="W68" s="25" t="str">
        <f>IFERROR(VLOOKUP(Caja_Arequipa[[#This Row],[destinatario]],CHOOSE({1,2},Clientes_Proveedores[Razon Social],Clientes_Proveedores[Ruc / Dni]),2,0),"")</f>
        <v/>
      </c>
      <c r="X68" s="3"/>
      <c r="Y68" s="3"/>
      <c r="Z68" s="3"/>
      <c r="AA68" s="3"/>
      <c r="AB68" s="3" t="str">
        <f>IF(Caja_Arequipa[[#This Row],[fecha]]&gt;0,TEXT(Caja_Arequipa[[#This Row],[fecha]],"mmmm"),0)</f>
        <v>Enero</v>
      </c>
    </row>
    <row r="69" spans="1:28" ht="24" x14ac:dyDescent="0.3">
      <c r="A69" s="2">
        <f>IF(Caja_Arequipa[[#This Row],[tipo_r]]="R",COUNTIFS($C$1:$C68,"R")+1,A68)</f>
        <v>62</v>
      </c>
      <c r="B69" s="19" t="str">
        <f t="shared" si="0"/>
        <v>C-Tesoreria</v>
      </c>
      <c r="C69" s="3" t="s">
        <v>1330</v>
      </c>
      <c r="D69" s="14">
        <v>45678</v>
      </c>
      <c r="E69" s="5" t="s">
        <v>1416</v>
      </c>
      <c r="F69" s="5" t="s">
        <v>1336</v>
      </c>
      <c r="G69" s="3" t="s">
        <v>3308</v>
      </c>
      <c r="H69" s="6"/>
      <c r="I69" s="6" t="s">
        <v>111</v>
      </c>
      <c r="J69" s="6">
        <v>3</v>
      </c>
      <c r="K69" s="6">
        <v>15</v>
      </c>
      <c r="L69" s="7" t="s">
        <v>5366</v>
      </c>
      <c r="M69" s="8" t="str">
        <f>IF(Caja_Arequipa[[#This Row],[tipo_r]]="R","001-"&amp;12002+A69,M68)</f>
        <v>001-12064</v>
      </c>
      <c r="N69" s="8" t="str">
        <f t="shared" si="5"/>
        <v>PEN</v>
      </c>
      <c r="O69" s="13"/>
      <c r="P69" s="13">
        <v>11</v>
      </c>
      <c r="Q69" s="3">
        <f t="shared" si="2"/>
        <v>0</v>
      </c>
      <c r="R69" s="3">
        <f t="shared" si="3"/>
        <v>11</v>
      </c>
      <c r="S69" s="3">
        <f t="shared" si="6"/>
        <v>71.099999999999795</v>
      </c>
      <c r="T69" s="24" t="s">
        <v>1334</v>
      </c>
      <c r="U69" s="24" t="s">
        <v>1334</v>
      </c>
      <c r="V69" s="3"/>
      <c r="W69" s="25" t="str">
        <f>IFERROR(VLOOKUP(Caja_Arequipa[[#This Row],[destinatario]],CHOOSE({1,2},Clientes_Proveedores[Razon Social],Clientes_Proveedores[Ruc / Dni]),2,0),"")</f>
        <v/>
      </c>
      <c r="X69" s="3" t="s">
        <v>5367</v>
      </c>
      <c r="Y69" s="3"/>
      <c r="Z69" s="3"/>
      <c r="AA69" s="3"/>
      <c r="AB69" s="3" t="str">
        <f>IF(Caja_Arequipa[[#This Row],[fecha]]&gt;0,TEXT(Caja_Arequipa[[#This Row],[fecha]],"mmmm"),0)</f>
        <v>Enero</v>
      </c>
    </row>
    <row r="70" spans="1:28" ht="24" x14ac:dyDescent="0.3">
      <c r="A70" s="2">
        <f>IF(Caja_Arequipa[[#This Row],[tipo_r]]="R",COUNTIFS($C$1:$C69,"R")+1,A69)</f>
        <v>63</v>
      </c>
      <c r="B70" s="19" t="str">
        <f t="shared" si="0"/>
        <v>C-Tesoreria</v>
      </c>
      <c r="C70" s="3" t="s">
        <v>1330</v>
      </c>
      <c r="D70" s="14">
        <v>45684</v>
      </c>
      <c r="E70" s="5" t="s">
        <v>1416</v>
      </c>
      <c r="F70" s="5" t="s">
        <v>1336</v>
      </c>
      <c r="G70" s="3" t="s">
        <v>3308</v>
      </c>
      <c r="H70" s="6"/>
      <c r="I70" s="6"/>
      <c r="J70" s="6"/>
      <c r="K70" s="6"/>
      <c r="L70" s="7" t="s">
        <v>5368</v>
      </c>
      <c r="M70" s="8" t="str">
        <f>IF(Caja_Arequipa[[#This Row],[tipo_r]]="R","001-"&amp;12002+A70,M69)</f>
        <v>001-12065</v>
      </c>
      <c r="N70" s="8" t="str">
        <f t="shared" si="5"/>
        <v>PEN</v>
      </c>
      <c r="O70" s="13"/>
      <c r="P70" s="13">
        <v>31.5</v>
      </c>
      <c r="Q70" s="3">
        <f t="shared" si="2"/>
        <v>0</v>
      </c>
      <c r="R70" s="3">
        <f t="shared" si="3"/>
        <v>31.5</v>
      </c>
      <c r="S70" s="3">
        <f t="shared" si="6"/>
        <v>39.599999999999795</v>
      </c>
      <c r="T70" s="24" t="s">
        <v>1334</v>
      </c>
      <c r="U70" s="24" t="s">
        <v>1334</v>
      </c>
      <c r="V70" s="3"/>
      <c r="W70" s="25" t="str">
        <f>IFERROR(VLOOKUP(Caja_Arequipa[[#This Row],[destinatario]],CHOOSE({1,2},Clientes_Proveedores[Razon Social],Clientes_Proveedores[Ruc / Dni]),2,0),"")</f>
        <v/>
      </c>
      <c r="X70" s="3" t="s">
        <v>5369</v>
      </c>
      <c r="Y70" s="3"/>
      <c r="Z70" s="3"/>
      <c r="AA70" s="3"/>
      <c r="AB70" s="3" t="str">
        <f>IF(Caja_Arequipa[[#This Row],[fecha]]&gt;0,TEXT(Caja_Arequipa[[#This Row],[fecha]],"mmmm"),0)</f>
        <v>Enero</v>
      </c>
    </row>
    <row r="71" spans="1:28" ht="24" x14ac:dyDescent="0.3">
      <c r="A71" s="2">
        <f>IF(Caja_Arequipa[[#This Row],[tipo_r]]="R",COUNTIFS($C$1:$C70,"R")+1,A70)</f>
        <v>64</v>
      </c>
      <c r="B71" s="19" t="str">
        <f t="shared" si="0"/>
        <v>C-Tesoreria</v>
      </c>
      <c r="C71" s="3" t="s">
        <v>1330</v>
      </c>
      <c r="D71" s="14">
        <v>45684</v>
      </c>
      <c r="E71" s="5" t="s">
        <v>1416</v>
      </c>
      <c r="F71" s="5" t="s">
        <v>1336</v>
      </c>
      <c r="G71" s="3" t="s">
        <v>3308</v>
      </c>
      <c r="H71" s="6"/>
      <c r="I71" s="6"/>
      <c r="J71" s="6"/>
      <c r="K71" s="6"/>
      <c r="L71" s="7" t="s">
        <v>5370</v>
      </c>
      <c r="M71" s="8" t="str">
        <f>IF(Caja_Arequipa[[#This Row],[tipo_r]]="R","001-"&amp;12002+A71,M70)</f>
        <v>001-12066</v>
      </c>
      <c r="N71" s="8" t="str">
        <f t="shared" si="5"/>
        <v>PEN</v>
      </c>
      <c r="O71" s="13"/>
      <c r="P71" s="13">
        <v>27</v>
      </c>
      <c r="Q71" s="3">
        <f t="shared" si="2"/>
        <v>0</v>
      </c>
      <c r="R71" s="3">
        <f t="shared" si="3"/>
        <v>27</v>
      </c>
      <c r="S71" s="3">
        <f t="shared" si="6"/>
        <v>12.599999999999795</v>
      </c>
      <c r="T71" s="24" t="s">
        <v>1334</v>
      </c>
      <c r="U71" s="24" t="s">
        <v>1334</v>
      </c>
      <c r="V71" s="3"/>
      <c r="W71" s="25" t="str">
        <f>IFERROR(VLOOKUP(Caja_Arequipa[[#This Row],[destinatario]],CHOOSE({1,2},Clientes_Proveedores[Razon Social],Clientes_Proveedores[Ruc / Dni]),2,0),"")</f>
        <v/>
      </c>
      <c r="X71" s="3" t="s">
        <v>5371</v>
      </c>
      <c r="Y71" s="3"/>
      <c r="Z71" s="3"/>
      <c r="AA71" s="3"/>
      <c r="AB71" s="3" t="str">
        <f>IF(Caja_Arequipa[[#This Row],[fecha]]&gt;0,TEXT(Caja_Arequipa[[#This Row],[fecha]],"mmmm"),0)</f>
        <v>Enero</v>
      </c>
    </row>
    <row r="72" spans="1:28" x14ac:dyDescent="0.3">
      <c r="A72" s="2">
        <f>IF(Caja_Arequipa[[#This Row],[tipo_r]]="R",COUNTIFS($C$1:$C71,"R")+1,A71)</f>
        <v>65</v>
      </c>
      <c r="B72" s="19" t="str">
        <f t="shared" ref="B72:B137" si="7">"C-Tesoreria"</f>
        <v>C-Tesoreria</v>
      </c>
      <c r="C72" s="3" t="s">
        <v>1330</v>
      </c>
      <c r="D72" s="14">
        <v>45684</v>
      </c>
      <c r="E72" s="5" t="s">
        <v>1416</v>
      </c>
      <c r="F72" s="5" t="s">
        <v>1303</v>
      </c>
      <c r="G72" s="3" t="s">
        <v>3634</v>
      </c>
      <c r="H72" s="6"/>
      <c r="I72" s="6"/>
      <c r="J72" s="6"/>
      <c r="K72" s="6"/>
      <c r="L72" s="7" t="s">
        <v>5340</v>
      </c>
      <c r="M72" s="8" t="str">
        <f>IF(Caja_Arequipa[[#This Row],[tipo_r]]="R","001-"&amp;12002+A72,M71)</f>
        <v>001-12067</v>
      </c>
      <c r="N72" s="8" t="str">
        <f t="shared" si="5"/>
        <v>PEN</v>
      </c>
      <c r="O72" s="13"/>
      <c r="P72" s="13">
        <v>200</v>
      </c>
      <c r="Q72" s="3">
        <f t="shared" ref="Q72:Q137" si="8">+IF(OR($F72="SALDO",$F72="INGRESO"),$P72,0)</f>
        <v>200</v>
      </c>
      <c r="R72" s="3">
        <f t="shared" ref="R72:R137" si="9">+IF($F72="EGRESO",$P72,0)</f>
        <v>0</v>
      </c>
      <c r="S72" s="3">
        <f t="shared" si="6"/>
        <v>212.5999999999998</v>
      </c>
      <c r="T72" s="24"/>
      <c r="U72" s="24" t="s">
        <v>1334</v>
      </c>
      <c r="V72" s="3"/>
      <c r="W72" s="25" t="str">
        <f>IFERROR(VLOOKUP(Caja_Arequipa[[#This Row],[destinatario]],CHOOSE({1,2},Clientes_Proveedores[Razon Social],Clientes_Proveedores[Ruc / Dni]),2,0),"")</f>
        <v/>
      </c>
      <c r="X72" s="3"/>
      <c r="Y72" s="3"/>
      <c r="Z72" s="3"/>
      <c r="AA72" s="3"/>
      <c r="AB72" s="3" t="str">
        <f>IF(Caja_Arequipa[[#This Row],[fecha]]&gt;0,TEXT(Caja_Arequipa[[#This Row],[fecha]],"mmmm"),0)</f>
        <v>Enero</v>
      </c>
    </row>
    <row r="73" spans="1:28" x14ac:dyDescent="0.3">
      <c r="A73" s="2">
        <f>IF(Caja_Arequipa[[#This Row],[tipo_r]]="R",COUNTIFS($C$1:$C72,"R")+1,A72)</f>
        <v>66</v>
      </c>
      <c r="B73" s="19" t="str">
        <f t="shared" si="7"/>
        <v>C-Tesoreria</v>
      </c>
      <c r="C73" s="3" t="s">
        <v>1330</v>
      </c>
      <c r="D73" s="14">
        <v>45684</v>
      </c>
      <c r="E73" s="5" t="s">
        <v>1416</v>
      </c>
      <c r="F73" s="5" t="s">
        <v>1336</v>
      </c>
      <c r="G73" s="3" t="s">
        <v>5274</v>
      </c>
      <c r="H73" s="6"/>
      <c r="I73" s="6" t="s">
        <v>111</v>
      </c>
      <c r="J73" s="6">
        <v>3</v>
      </c>
      <c r="K73" s="6">
        <v>16</v>
      </c>
      <c r="L73" s="7" t="s">
        <v>5372</v>
      </c>
      <c r="M73" s="8" t="str">
        <f>IF(Caja_Arequipa[[#This Row],[tipo_r]]="R","001-"&amp;12002+A73,M72)</f>
        <v>001-12068</v>
      </c>
      <c r="N73" s="8" t="str">
        <f t="shared" ref="N73:N138" si="10">"PEN"</f>
        <v>PEN</v>
      </c>
      <c r="O73" s="13"/>
      <c r="P73" s="13">
        <v>42</v>
      </c>
      <c r="Q73" s="3">
        <f t="shared" si="8"/>
        <v>0</v>
      </c>
      <c r="R73" s="3">
        <f t="shared" si="9"/>
        <v>42</v>
      </c>
      <c r="S73" s="3">
        <f t="shared" si="6"/>
        <v>170.5999999999998</v>
      </c>
      <c r="T73" s="24" t="s">
        <v>1334</v>
      </c>
      <c r="U73" s="24" t="s">
        <v>1334</v>
      </c>
      <c r="V73" s="3"/>
      <c r="W73" s="25" t="str">
        <f>IFERROR(VLOOKUP(Caja_Arequipa[[#This Row],[destinatario]],CHOOSE({1,2},Clientes_Proveedores[Razon Social],Clientes_Proveedores[Ruc / Dni]),2,0),"")</f>
        <v/>
      </c>
      <c r="X73" s="3" t="s">
        <v>5373</v>
      </c>
      <c r="Y73" s="3"/>
      <c r="Z73" s="3"/>
      <c r="AA73" s="3"/>
      <c r="AB73" s="3" t="str">
        <f>IF(Caja_Arequipa[[#This Row],[fecha]]&gt;0,TEXT(Caja_Arequipa[[#This Row],[fecha]],"mmmm"),0)</f>
        <v>Enero</v>
      </c>
    </row>
    <row r="74" spans="1:28" x14ac:dyDescent="0.3">
      <c r="A74" s="2">
        <f>IF(Caja_Arequipa[[#This Row],[tipo_r]]="R",COUNTIFS($C$1:$C73,"R")+1,A73)</f>
        <v>67</v>
      </c>
      <c r="B74" s="19" t="str">
        <f t="shared" si="7"/>
        <v>C-Tesoreria</v>
      </c>
      <c r="C74" s="3" t="s">
        <v>1330</v>
      </c>
      <c r="D74" s="14">
        <v>45684</v>
      </c>
      <c r="E74" s="5" t="s">
        <v>1416</v>
      </c>
      <c r="F74" s="5" t="s">
        <v>1336</v>
      </c>
      <c r="G74" s="3" t="s">
        <v>5274</v>
      </c>
      <c r="H74" s="6"/>
      <c r="I74" s="6"/>
      <c r="J74" s="6"/>
      <c r="K74" s="6"/>
      <c r="L74" s="7" t="s">
        <v>5374</v>
      </c>
      <c r="M74" s="8" t="str">
        <f>IF(Caja_Arequipa[[#This Row],[tipo_r]]="R","001-"&amp;12002+A74,M73)</f>
        <v>001-12069</v>
      </c>
      <c r="N74" s="8" t="str">
        <f t="shared" si="10"/>
        <v>PEN</v>
      </c>
      <c r="O74" s="13"/>
      <c r="P74" s="13">
        <v>2.4</v>
      </c>
      <c r="Q74" s="3">
        <f t="shared" si="8"/>
        <v>0</v>
      </c>
      <c r="R74" s="3">
        <f t="shared" si="9"/>
        <v>2.4</v>
      </c>
      <c r="S74" s="3">
        <f t="shared" si="6"/>
        <v>168.19999999999979</v>
      </c>
      <c r="T74" s="24" t="s">
        <v>1334</v>
      </c>
      <c r="U74" s="24" t="s">
        <v>1334</v>
      </c>
      <c r="V74" s="3"/>
      <c r="W74" s="25" t="str">
        <f>IFERROR(VLOOKUP(Caja_Arequipa[[#This Row],[destinatario]],CHOOSE({1,2},Clientes_Proveedores[Razon Social],Clientes_Proveedores[Ruc / Dni]),2,0),"")</f>
        <v/>
      </c>
      <c r="X74" s="3" t="s">
        <v>5375</v>
      </c>
      <c r="Y74" s="3"/>
      <c r="Z74" s="3"/>
      <c r="AA74" s="3"/>
      <c r="AB74" s="3" t="str">
        <f>IF(Caja_Arequipa[[#This Row],[fecha]]&gt;0,TEXT(Caja_Arequipa[[#This Row],[fecha]],"mmmm"),0)</f>
        <v>Enero</v>
      </c>
    </row>
    <row r="75" spans="1:28" ht="24" x14ac:dyDescent="0.3">
      <c r="A75" s="2">
        <f>IF(Caja_Arequipa[[#This Row],[tipo_r]]="R",COUNTIFS($C$1:$C74,"R")+1,A74)</f>
        <v>68</v>
      </c>
      <c r="B75" s="19" t="str">
        <f t="shared" si="7"/>
        <v>C-Tesoreria</v>
      </c>
      <c r="C75" s="3" t="s">
        <v>1330</v>
      </c>
      <c r="D75" s="14">
        <v>45684</v>
      </c>
      <c r="E75" s="5" t="s">
        <v>1416</v>
      </c>
      <c r="F75" s="5" t="s">
        <v>1336</v>
      </c>
      <c r="G75" s="3" t="s">
        <v>5274</v>
      </c>
      <c r="H75" s="6"/>
      <c r="I75" s="6"/>
      <c r="J75" s="6"/>
      <c r="K75" s="6"/>
      <c r="L75" s="7" t="s">
        <v>5376</v>
      </c>
      <c r="M75" s="8" t="str">
        <f>IF(Caja_Arequipa[[#This Row],[tipo_r]]="R","001-"&amp;12002+A75,M74)</f>
        <v>001-12070</v>
      </c>
      <c r="N75" s="8" t="str">
        <f t="shared" si="10"/>
        <v>PEN</v>
      </c>
      <c r="O75" s="13"/>
      <c r="P75" s="13">
        <v>16</v>
      </c>
      <c r="Q75" s="3">
        <f t="shared" si="8"/>
        <v>0</v>
      </c>
      <c r="R75" s="3">
        <f t="shared" si="9"/>
        <v>16</v>
      </c>
      <c r="S75" s="3">
        <f t="shared" si="6"/>
        <v>152.19999999999979</v>
      </c>
      <c r="T75" s="24" t="s">
        <v>1334</v>
      </c>
      <c r="U75" s="24" t="s">
        <v>1334</v>
      </c>
      <c r="V75" s="3"/>
      <c r="W75" s="25" t="str">
        <f>IFERROR(VLOOKUP(Caja_Arequipa[[#This Row],[destinatario]],CHOOSE({1,2},Clientes_Proveedores[Razon Social],Clientes_Proveedores[Ruc / Dni]),2,0),"")</f>
        <v/>
      </c>
      <c r="X75" s="3" t="s">
        <v>5377</v>
      </c>
      <c r="Y75" s="3"/>
      <c r="Z75" s="3"/>
      <c r="AA75" s="3"/>
      <c r="AB75" s="3" t="str">
        <f>IF(Caja_Arequipa[[#This Row],[fecha]]&gt;0,TEXT(Caja_Arequipa[[#This Row],[fecha]],"mmmm"),0)</f>
        <v>Enero</v>
      </c>
    </row>
    <row r="76" spans="1:28" x14ac:dyDescent="0.3">
      <c r="A76" s="2">
        <f>IF(Caja_Arequipa[[#This Row],[tipo_r]]="R",COUNTIFS($C$1:$C75,"R")+1,A75)</f>
        <v>69</v>
      </c>
      <c r="B76" s="19" t="str">
        <f t="shared" si="7"/>
        <v>C-Tesoreria</v>
      </c>
      <c r="C76" s="3" t="s">
        <v>1330</v>
      </c>
      <c r="D76" s="14">
        <v>45685</v>
      </c>
      <c r="E76" s="5" t="s">
        <v>1416</v>
      </c>
      <c r="F76" s="5" t="s">
        <v>1336</v>
      </c>
      <c r="G76" s="3" t="s">
        <v>5248</v>
      </c>
      <c r="H76" s="6"/>
      <c r="I76" s="6"/>
      <c r="J76" s="6"/>
      <c r="K76" s="6"/>
      <c r="L76" s="7" t="s">
        <v>5378</v>
      </c>
      <c r="M76" s="8" t="str">
        <f>IF(Caja_Arequipa[[#This Row],[tipo_r]]="R","001-"&amp;12002+A76,M75)</f>
        <v>001-12071</v>
      </c>
      <c r="N76" s="8" t="str">
        <f t="shared" si="10"/>
        <v>PEN</v>
      </c>
      <c r="O76" s="13"/>
      <c r="P76" s="13">
        <v>12.5</v>
      </c>
      <c r="Q76" s="3">
        <f t="shared" si="8"/>
        <v>0</v>
      </c>
      <c r="R76" s="3">
        <f t="shared" si="9"/>
        <v>12.5</v>
      </c>
      <c r="S76" s="3">
        <f t="shared" si="6"/>
        <v>139.69999999999979</v>
      </c>
      <c r="T76" s="24" t="s">
        <v>1334</v>
      </c>
      <c r="U76" s="24" t="s">
        <v>1334</v>
      </c>
      <c r="V76" s="3"/>
      <c r="W76" s="25" t="str">
        <f>IFERROR(VLOOKUP(Caja_Arequipa[[#This Row],[destinatario]],CHOOSE({1,2},Clientes_Proveedores[Razon Social],Clientes_Proveedores[Ruc / Dni]),2,0),"")</f>
        <v/>
      </c>
      <c r="X76" s="3" t="s">
        <v>5379</v>
      </c>
      <c r="Y76" s="3"/>
      <c r="Z76" s="3"/>
      <c r="AA76" s="3"/>
      <c r="AB76" s="3" t="str">
        <f>IF(Caja_Arequipa[[#This Row],[fecha]]&gt;0,TEXT(Caja_Arequipa[[#This Row],[fecha]],"mmmm"),0)</f>
        <v>Enero</v>
      </c>
    </row>
    <row r="77" spans="1:28" x14ac:dyDescent="0.3">
      <c r="A77" s="2">
        <f>IF(Caja_Arequipa[[#This Row],[tipo_r]]="R",COUNTIFS($C$1:$C76,"R")+1,A76)</f>
        <v>70</v>
      </c>
      <c r="B77" s="19" t="str">
        <f t="shared" si="7"/>
        <v>C-Tesoreria</v>
      </c>
      <c r="C77" s="3" t="s">
        <v>1330</v>
      </c>
      <c r="D77" s="14">
        <v>45685</v>
      </c>
      <c r="E77" s="5" t="s">
        <v>1416</v>
      </c>
      <c r="F77" s="5" t="s">
        <v>1336</v>
      </c>
      <c r="G77" s="3" t="s">
        <v>5380</v>
      </c>
      <c r="H77" s="6"/>
      <c r="I77" s="6"/>
      <c r="J77" s="6"/>
      <c r="K77" s="6"/>
      <c r="L77" s="7" t="s">
        <v>5381</v>
      </c>
      <c r="M77" s="8" t="str">
        <f>IF(Caja_Arequipa[[#This Row],[tipo_r]]="R","001-"&amp;12002+A77,M76)</f>
        <v>001-12072</v>
      </c>
      <c r="N77" s="8" t="str">
        <f t="shared" si="10"/>
        <v>PEN</v>
      </c>
      <c r="O77" s="13"/>
      <c r="P77" s="13">
        <v>27</v>
      </c>
      <c r="Q77" s="3">
        <f t="shared" si="8"/>
        <v>0</v>
      </c>
      <c r="R77" s="3">
        <f t="shared" si="9"/>
        <v>27</v>
      </c>
      <c r="S77" s="3">
        <f t="shared" si="6"/>
        <v>112.69999999999979</v>
      </c>
      <c r="T77" s="24" t="s">
        <v>1334</v>
      </c>
      <c r="U77" s="24" t="s">
        <v>1334</v>
      </c>
      <c r="V77" s="3"/>
      <c r="W77" s="25" t="str">
        <f>IFERROR(VLOOKUP(Caja_Arequipa[[#This Row],[destinatario]],CHOOSE({1,2},Clientes_Proveedores[Razon Social],Clientes_Proveedores[Ruc / Dni]),2,0),"")</f>
        <v/>
      </c>
      <c r="X77" s="3" t="s">
        <v>5382</v>
      </c>
      <c r="Y77" s="3"/>
      <c r="Z77" s="3"/>
      <c r="AA77" s="3"/>
      <c r="AB77" s="3" t="str">
        <f>IF(Caja_Arequipa[[#This Row],[fecha]]&gt;0,TEXT(Caja_Arequipa[[#This Row],[fecha]],"mmmm"),0)</f>
        <v>Enero</v>
      </c>
    </row>
    <row r="78" spans="1:28" x14ac:dyDescent="0.3">
      <c r="A78" s="2">
        <f>IF(Caja_Arequipa[[#This Row],[tipo_r]]="R",COUNTIFS($C$1:$C77,"R")+1,A77)</f>
        <v>71</v>
      </c>
      <c r="B78" s="19" t="str">
        <f t="shared" si="7"/>
        <v>C-Tesoreria</v>
      </c>
      <c r="C78" s="3" t="s">
        <v>1330</v>
      </c>
      <c r="D78" s="14">
        <v>45685</v>
      </c>
      <c r="E78" s="5" t="s">
        <v>1416</v>
      </c>
      <c r="F78" s="5" t="s">
        <v>1336</v>
      </c>
      <c r="G78" s="3" t="s">
        <v>5380</v>
      </c>
      <c r="H78" s="6"/>
      <c r="I78" s="6"/>
      <c r="J78" s="6"/>
      <c r="K78" s="6"/>
      <c r="L78" s="7" t="s">
        <v>5383</v>
      </c>
      <c r="M78" s="8" t="str">
        <f>IF(Caja_Arequipa[[#This Row],[tipo_r]]="R","001-"&amp;12002+A78,M77)</f>
        <v>001-12073</v>
      </c>
      <c r="N78" s="8" t="str">
        <f t="shared" si="10"/>
        <v>PEN</v>
      </c>
      <c r="O78" s="13"/>
      <c r="P78" s="13">
        <v>5</v>
      </c>
      <c r="Q78" s="3">
        <f t="shared" si="8"/>
        <v>0</v>
      </c>
      <c r="R78" s="3">
        <f t="shared" si="9"/>
        <v>5</v>
      </c>
      <c r="S78" s="3">
        <f t="shared" si="6"/>
        <v>107.69999999999979</v>
      </c>
      <c r="T78" s="24" t="s">
        <v>1334</v>
      </c>
      <c r="U78" s="24" t="s">
        <v>1334</v>
      </c>
      <c r="V78" s="3"/>
      <c r="W78" s="25" t="str">
        <f>IFERROR(VLOOKUP(Caja_Arequipa[[#This Row],[destinatario]],CHOOSE({1,2},Clientes_Proveedores[Razon Social],Clientes_Proveedores[Ruc / Dni]),2,0),"")</f>
        <v/>
      </c>
      <c r="X78" s="3" t="s">
        <v>5384</v>
      </c>
      <c r="Y78" s="3"/>
      <c r="Z78" s="3"/>
      <c r="AA78" s="3"/>
      <c r="AB78" s="3" t="str">
        <f>IF(Caja_Arequipa[[#This Row],[fecha]]&gt;0,TEXT(Caja_Arequipa[[#This Row],[fecha]],"mmmm"),0)</f>
        <v>Enero</v>
      </c>
    </row>
    <row r="79" spans="1:28" x14ac:dyDescent="0.3">
      <c r="A79" s="2">
        <f>IF(Caja_Arequipa[[#This Row],[tipo_r]]="R",COUNTIFS($C$1:$C78,"R")+1,A78)</f>
        <v>72</v>
      </c>
      <c r="B79" s="19" t="str">
        <f t="shared" si="7"/>
        <v>C-Tesoreria</v>
      </c>
      <c r="C79" s="3" t="s">
        <v>1330</v>
      </c>
      <c r="D79" s="14">
        <v>45685</v>
      </c>
      <c r="E79" s="5" t="s">
        <v>1416</v>
      </c>
      <c r="F79" s="5" t="s">
        <v>1336</v>
      </c>
      <c r="G79" s="3" t="s">
        <v>5380</v>
      </c>
      <c r="H79" s="6"/>
      <c r="I79" s="6"/>
      <c r="J79" s="6"/>
      <c r="K79" s="6"/>
      <c r="L79" s="7" t="s">
        <v>5383</v>
      </c>
      <c r="M79" s="8" t="str">
        <f>IF(Caja_Arequipa[[#This Row],[tipo_r]]="R","001-"&amp;12002+A79,M78)</f>
        <v>001-12074</v>
      </c>
      <c r="N79" s="8" t="str">
        <f t="shared" si="10"/>
        <v>PEN</v>
      </c>
      <c r="O79" s="13"/>
      <c r="P79" s="13">
        <v>5</v>
      </c>
      <c r="Q79" s="3">
        <f t="shared" si="8"/>
        <v>0</v>
      </c>
      <c r="R79" s="3">
        <f t="shared" si="9"/>
        <v>5</v>
      </c>
      <c r="S79" s="3">
        <f t="shared" si="6"/>
        <v>102.69999999999979</v>
      </c>
      <c r="T79" s="24" t="s">
        <v>1334</v>
      </c>
      <c r="U79" s="24" t="s">
        <v>1334</v>
      </c>
      <c r="V79" s="3"/>
      <c r="W79" s="25" t="str">
        <f>IFERROR(VLOOKUP(Caja_Arequipa[[#This Row],[destinatario]],CHOOSE({1,2},Clientes_Proveedores[Razon Social],Clientes_Proveedores[Ruc / Dni]),2,0),"")</f>
        <v/>
      </c>
      <c r="X79" s="3" t="s">
        <v>5385</v>
      </c>
      <c r="Y79" s="3"/>
      <c r="Z79" s="3"/>
      <c r="AA79" s="3"/>
      <c r="AB79" s="3" t="str">
        <f>IF(Caja_Arequipa[[#This Row],[fecha]]&gt;0,TEXT(Caja_Arequipa[[#This Row],[fecha]],"mmmm"),0)</f>
        <v>Enero</v>
      </c>
    </row>
    <row r="80" spans="1:28" x14ac:dyDescent="0.3">
      <c r="A80" s="2">
        <f>IF(Caja_Arequipa[[#This Row],[tipo_r]]="R",COUNTIFS($C$1:$C79,"R")+1,A79)</f>
        <v>73</v>
      </c>
      <c r="B80" s="19" t="str">
        <f t="shared" si="7"/>
        <v>C-Tesoreria</v>
      </c>
      <c r="C80" s="3" t="s">
        <v>1330</v>
      </c>
      <c r="D80" s="14">
        <v>45685</v>
      </c>
      <c r="E80" s="5" t="s">
        <v>1416</v>
      </c>
      <c r="F80" s="5" t="s">
        <v>1336</v>
      </c>
      <c r="G80" s="3" t="s">
        <v>5380</v>
      </c>
      <c r="H80" s="6"/>
      <c r="I80" s="6"/>
      <c r="J80" s="6"/>
      <c r="K80" s="6"/>
      <c r="L80" s="7" t="s">
        <v>5386</v>
      </c>
      <c r="M80" s="8" t="str">
        <f>IF(Caja_Arequipa[[#This Row],[tipo_r]]="R","001-"&amp;12002+A80,M79)</f>
        <v>001-12075</v>
      </c>
      <c r="N80" s="8" t="str">
        <f t="shared" si="10"/>
        <v>PEN</v>
      </c>
      <c r="O80" s="13"/>
      <c r="P80" s="13">
        <v>35</v>
      </c>
      <c r="Q80" s="3">
        <f t="shared" si="8"/>
        <v>0</v>
      </c>
      <c r="R80" s="3">
        <f t="shared" si="9"/>
        <v>35</v>
      </c>
      <c r="S80" s="3">
        <f t="shared" si="6"/>
        <v>67.69999999999979</v>
      </c>
      <c r="T80" s="24" t="s">
        <v>1334</v>
      </c>
      <c r="U80" s="24" t="s">
        <v>1334</v>
      </c>
      <c r="V80" s="3"/>
      <c r="W80" s="25" t="str">
        <f>IFERROR(VLOOKUP(Caja_Arequipa[[#This Row],[destinatario]],CHOOSE({1,2},Clientes_Proveedores[Razon Social],Clientes_Proveedores[Ruc / Dni]),2,0),"")</f>
        <v/>
      </c>
      <c r="X80" s="3" t="s">
        <v>5387</v>
      </c>
      <c r="Y80" s="3"/>
      <c r="Z80" s="3"/>
      <c r="AA80" s="3"/>
      <c r="AB80" s="3" t="str">
        <f>IF(Caja_Arequipa[[#This Row],[fecha]]&gt;0,TEXT(Caja_Arequipa[[#This Row],[fecha]],"mmmm"),0)</f>
        <v>Enero</v>
      </c>
    </row>
    <row r="81" spans="1:28" x14ac:dyDescent="0.3">
      <c r="A81" s="2">
        <f>IF(Caja_Arequipa[[#This Row],[tipo_r]]="R",COUNTIFS($C$1:$C80,"R")+1,A80)</f>
        <v>74</v>
      </c>
      <c r="B81" s="19" t="str">
        <f t="shared" si="7"/>
        <v>C-Tesoreria</v>
      </c>
      <c r="C81" s="3" t="s">
        <v>1330</v>
      </c>
      <c r="D81" s="14">
        <v>45685</v>
      </c>
      <c r="E81" s="5" t="s">
        <v>1416</v>
      </c>
      <c r="F81" s="5" t="s">
        <v>1336</v>
      </c>
      <c r="G81" s="3" t="s">
        <v>5380</v>
      </c>
      <c r="H81" s="6"/>
      <c r="I81" s="6"/>
      <c r="J81" s="6"/>
      <c r="K81" s="6"/>
      <c r="L81" s="7" t="s">
        <v>5388</v>
      </c>
      <c r="M81" s="8" t="str">
        <f>IF(Caja_Arequipa[[#This Row],[tipo_r]]="R","001-"&amp;12002+A81,M80)</f>
        <v>001-12076</v>
      </c>
      <c r="N81" s="8" t="str">
        <f t="shared" si="10"/>
        <v>PEN</v>
      </c>
      <c r="O81" s="13"/>
      <c r="P81" s="13">
        <v>30</v>
      </c>
      <c r="Q81" s="3">
        <f t="shared" si="8"/>
        <v>0</v>
      </c>
      <c r="R81" s="3">
        <f t="shared" si="9"/>
        <v>30</v>
      </c>
      <c r="S81" s="3">
        <f t="shared" si="6"/>
        <v>37.69999999999979</v>
      </c>
      <c r="T81" s="24" t="s">
        <v>1334</v>
      </c>
      <c r="U81" s="24" t="s">
        <v>1334</v>
      </c>
      <c r="V81" s="3"/>
      <c r="W81" s="25" t="str">
        <f>IFERROR(VLOOKUP(Caja_Arequipa[[#This Row],[destinatario]],CHOOSE({1,2},Clientes_Proveedores[Razon Social],Clientes_Proveedores[Ruc / Dni]),2,0),"")</f>
        <v/>
      </c>
      <c r="X81" s="3" t="s">
        <v>5389</v>
      </c>
      <c r="Y81" s="3"/>
      <c r="Z81" s="3"/>
      <c r="AA81" s="3"/>
      <c r="AB81" s="3" t="str">
        <f>IF(Caja_Arequipa[[#This Row],[fecha]]&gt;0,TEXT(Caja_Arequipa[[#This Row],[fecha]],"mmmm"),0)</f>
        <v>Enero</v>
      </c>
    </row>
    <row r="82" spans="1:28" ht="24" x14ac:dyDescent="0.3">
      <c r="A82" s="2">
        <f>IF(Caja_Arequipa[[#This Row],[tipo_r]]="R",COUNTIFS($C$1:$C81,"R")+1,A81)</f>
        <v>75</v>
      </c>
      <c r="B82" s="19" t="str">
        <f t="shared" si="7"/>
        <v>C-Tesoreria</v>
      </c>
      <c r="C82" s="3" t="s">
        <v>1330</v>
      </c>
      <c r="D82" s="14">
        <v>45685</v>
      </c>
      <c r="E82" s="5" t="s">
        <v>1416</v>
      </c>
      <c r="F82" s="5" t="s">
        <v>1303</v>
      </c>
      <c r="G82" s="3" t="s">
        <v>5248</v>
      </c>
      <c r="H82" s="6"/>
      <c r="I82" s="6"/>
      <c r="J82" s="6"/>
      <c r="K82" s="6"/>
      <c r="L82" s="7" t="s">
        <v>5390</v>
      </c>
      <c r="M82" s="8" t="str">
        <f>IF(Caja_Arequipa[[#This Row],[tipo_r]]="R","001-"&amp;12002+A82,M81)</f>
        <v>001-12077</v>
      </c>
      <c r="N82" s="8" t="str">
        <f t="shared" si="10"/>
        <v>PEN</v>
      </c>
      <c r="O82" s="13"/>
      <c r="P82" s="13">
        <v>89</v>
      </c>
      <c r="Q82" s="3">
        <f t="shared" si="8"/>
        <v>89</v>
      </c>
      <c r="R82" s="3">
        <f t="shared" si="9"/>
        <v>0</v>
      </c>
      <c r="S82" s="3">
        <f t="shared" si="6"/>
        <v>126.69999999999979</v>
      </c>
      <c r="T82" s="24"/>
      <c r="U82" s="24"/>
      <c r="V82" s="3"/>
      <c r="W82" s="25" t="str">
        <f>IFERROR(VLOOKUP(Caja_Arequipa[[#This Row],[destinatario]],CHOOSE({1,2},Clientes_Proveedores[Razon Social],Clientes_Proveedores[Ruc / Dni]),2,0),"")</f>
        <v/>
      </c>
      <c r="X82" s="3"/>
      <c r="Y82" s="3"/>
      <c r="Z82" s="3"/>
      <c r="AA82" s="3"/>
      <c r="AB82" s="3" t="str">
        <f>IF(Caja_Arequipa[[#This Row],[fecha]]&gt;0,TEXT(Caja_Arequipa[[#This Row],[fecha]],"mmmm"),0)</f>
        <v>Enero</v>
      </c>
    </row>
    <row r="83" spans="1:28" x14ac:dyDescent="0.3">
      <c r="A83" s="2">
        <f>IF(Caja_Arequipa[[#This Row],[tipo_r]]="R",COUNTIFS($C$1:$C82,"R")+1,A82)</f>
        <v>76</v>
      </c>
      <c r="B83" s="19" t="str">
        <f t="shared" si="7"/>
        <v>C-Tesoreria</v>
      </c>
      <c r="C83" s="3" t="s">
        <v>1330</v>
      </c>
      <c r="D83" s="14">
        <v>45686</v>
      </c>
      <c r="E83" s="5" t="s">
        <v>1416</v>
      </c>
      <c r="F83" s="5" t="s">
        <v>1336</v>
      </c>
      <c r="G83" s="3" t="s">
        <v>5259</v>
      </c>
      <c r="H83" s="6"/>
      <c r="I83" s="6" t="s">
        <v>111</v>
      </c>
      <c r="J83" s="6">
        <v>3</v>
      </c>
      <c r="K83" s="6">
        <v>18</v>
      </c>
      <c r="L83" s="7" t="s">
        <v>5391</v>
      </c>
      <c r="M83" s="8" t="str">
        <f>IF(Caja_Arequipa[[#This Row],[tipo_r]]="R","001-"&amp;12002+A83,M82)</f>
        <v>001-12078</v>
      </c>
      <c r="N83" s="8" t="str">
        <f t="shared" si="10"/>
        <v>PEN</v>
      </c>
      <c r="O83" s="13"/>
      <c r="P83" s="13">
        <v>35</v>
      </c>
      <c r="Q83" s="3">
        <f t="shared" si="8"/>
        <v>0</v>
      </c>
      <c r="R83" s="3">
        <f t="shared" si="9"/>
        <v>35</v>
      </c>
      <c r="S83" s="3">
        <f t="shared" si="6"/>
        <v>91.69999999999979</v>
      </c>
      <c r="T83" s="24" t="s">
        <v>1334</v>
      </c>
      <c r="U83" s="24" t="s">
        <v>1334</v>
      </c>
      <c r="V83" s="3"/>
      <c r="W83" s="25" t="str">
        <f>IFERROR(VLOOKUP(Caja_Arequipa[[#This Row],[destinatario]],CHOOSE({1,2},Clientes_Proveedores[Razon Social],Clientes_Proveedores[Ruc / Dni]),2,0),"")</f>
        <v/>
      </c>
      <c r="X83" s="3" t="s">
        <v>5392</v>
      </c>
      <c r="Y83" s="3"/>
      <c r="Z83" s="3"/>
      <c r="AA83" s="3"/>
      <c r="AB83" s="3" t="str">
        <f>IF(Caja_Arequipa[[#This Row],[fecha]]&gt;0,TEXT(Caja_Arequipa[[#This Row],[fecha]],"mmmm"),0)</f>
        <v>Enero</v>
      </c>
    </row>
    <row r="84" spans="1:28" x14ac:dyDescent="0.3">
      <c r="A84" s="2">
        <f>IF(Caja_Arequipa[[#This Row],[tipo_r]]="R",COUNTIFS($C$1:$C83,"R")+1,A83)</f>
        <v>77</v>
      </c>
      <c r="B84" s="19" t="str">
        <f t="shared" si="7"/>
        <v>C-Tesoreria</v>
      </c>
      <c r="C84" s="3" t="s">
        <v>1330</v>
      </c>
      <c r="D84" s="14">
        <v>45686</v>
      </c>
      <c r="E84" s="5" t="s">
        <v>1416</v>
      </c>
      <c r="F84" s="5" t="s">
        <v>1336</v>
      </c>
      <c r="G84" s="3" t="s">
        <v>5259</v>
      </c>
      <c r="H84" s="6"/>
      <c r="I84" s="6" t="s">
        <v>111</v>
      </c>
      <c r="J84" s="6">
        <v>3</v>
      </c>
      <c r="K84" s="6">
        <v>19</v>
      </c>
      <c r="L84" s="7" t="s">
        <v>5393</v>
      </c>
      <c r="M84" s="8" t="str">
        <f>IF(Caja_Arequipa[[#This Row],[tipo_r]]="R","001-"&amp;12002+A84,M83)</f>
        <v>001-12079</v>
      </c>
      <c r="N84" s="8" t="str">
        <f t="shared" si="10"/>
        <v>PEN</v>
      </c>
      <c r="O84" s="13"/>
      <c r="P84" s="13">
        <v>5</v>
      </c>
      <c r="Q84" s="3">
        <f t="shared" si="8"/>
        <v>0</v>
      </c>
      <c r="R84" s="3">
        <f t="shared" si="9"/>
        <v>5</v>
      </c>
      <c r="S84" s="3">
        <f t="shared" si="6"/>
        <v>86.69999999999979</v>
      </c>
      <c r="T84" s="24" t="s">
        <v>1334</v>
      </c>
      <c r="U84" s="24" t="s">
        <v>1334</v>
      </c>
      <c r="V84" s="3"/>
      <c r="W84" s="25" t="str">
        <f>IFERROR(VLOOKUP(Caja_Arequipa[[#This Row],[destinatario]],CHOOSE({1,2},Clientes_Proveedores[Razon Social],Clientes_Proveedores[Ruc / Dni]),2,0),"")</f>
        <v/>
      </c>
      <c r="X84" s="3" t="s">
        <v>5394</v>
      </c>
      <c r="Y84" s="3"/>
      <c r="Z84" s="3"/>
      <c r="AA84" s="3"/>
      <c r="AB84" s="3" t="str">
        <f>IF(Caja_Arequipa[[#This Row],[fecha]]&gt;0,TEXT(Caja_Arequipa[[#This Row],[fecha]],"mmmm"),0)</f>
        <v>Enero</v>
      </c>
    </row>
    <row r="85" spans="1:28" x14ac:dyDescent="0.3">
      <c r="A85" s="2">
        <f>IF(Caja_Arequipa[[#This Row],[tipo_r]]="R",COUNTIFS($C$1:$C84,"R")+1,A84)</f>
        <v>78</v>
      </c>
      <c r="B85" s="19" t="str">
        <f t="shared" si="7"/>
        <v>C-Tesoreria</v>
      </c>
      <c r="C85" s="3" t="s">
        <v>1330</v>
      </c>
      <c r="D85" s="14">
        <v>45686</v>
      </c>
      <c r="E85" s="5" t="s">
        <v>1416</v>
      </c>
      <c r="F85" s="5" t="s">
        <v>1336</v>
      </c>
      <c r="G85" s="3" t="s">
        <v>5259</v>
      </c>
      <c r="H85" s="6"/>
      <c r="I85" s="6" t="s">
        <v>111</v>
      </c>
      <c r="J85" s="6">
        <v>3</v>
      </c>
      <c r="K85" s="6">
        <v>20</v>
      </c>
      <c r="L85" s="7" t="s">
        <v>5395</v>
      </c>
      <c r="M85" s="8" t="str">
        <f>IF(Caja_Arequipa[[#This Row],[tipo_r]]="R","001-"&amp;12002+A85,M84)</f>
        <v>001-12080</v>
      </c>
      <c r="N85" s="8" t="str">
        <f t="shared" si="10"/>
        <v>PEN</v>
      </c>
      <c r="O85" s="13"/>
      <c r="P85" s="13">
        <v>17</v>
      </c>
      <c r="Q85" s="3">
        <f t="shared" si="8"/>
        <v>0</v>
      </c>
      <c r="R85" s="3">
        <f t="shared" si="9"/>
        <v>17</v>
      </c>
      <c r="S85" s="3">
        <f t="shared" si="6"/>
        <v>69.69999999999979</v>
      </c>
      <c r="T85" s="24" t="s">
        <v>1334</v>
      </c>
      <c r="U85" s="24" t="s">
        <v>1334</v>
      </c>
      <c r="V85" s="3"/>
      <c r="W85" s="25" t="str">
        <f>IFERROR(VLOOKUP(Caja_Arequipa[[#This Row],[destinatario]],CHOOSE({1,2},Clientes_Proveedores[Razon Social],Clientes_Proveedores[Ruc / Dni]),2,0),"")</f>
        <v/>
      </c>
      <c r="X85" s="3" t="s">
        <v>5396</v>
      </c>
      <c r="Y85" s="3"/>
      <c r="Z85" s="3"/>
      <c r="AA85" s="3"/>
      <c r="AB85" s="3" t="str">
        <f>IF(Caja_Arequipa[[#This Row],[fecha]]&gt;0,TEXT(Caja_Arequipa[[#This Row],[fecha]],"mmmm"),0)</f>
        <v>Enero</v>
      </c>
    </row>
    <row r="86" spans="1:28" x14ac:dyDescent="0.3">
      <c r="A86" s="2">
        <f>IF(Caja_Arequipa[[#This Row],[tipo_r]]="R",COUNTIFS($C$1:$C85,"R")+1,A85)</f>
        <v>79</v>
      </c>
      <c r="B86" s="19" t="str">
        <f t="shared" si="7"/>
        <v>C-Tesoreria</v>
      </c>
      <c r="C86" s="3" t="s">
        <v>1330</v>
      </c>
      <c r="D86" s="14">
        <v>45686</v>
      </c>
      <c r="E86" s="5" t="s">
        <v>1416</v>
      </c>
      <c r="F86" s="5" t="s">
        <v>1336</v>
      </c>
      <c r="G86" s="3" t="s">
        <v>5259</v>
      </c>
      <c r="H86" s="6"/>
      <c r="I86" s="6" t="s">
        <v>111</v>
      </c>
      <c r="J86" s="6">
        <v>3</v>
      </c>
      <c r="K86" s="6">
        <v>21</v>
      </c>
      <c r="L86" s="7" t="s">
        <v>5397</v>
      </c>
      <c r="M86" s="8" t="str">
        <f>IF(Caja_Arequipa[[#This Row],[tipo_r]]="R","001-"&amp;12002+A86,M85)</f>
        <v>001-12081</v>
      </c>
      <c r="N86" s="8" t="str">
        <f t="shared" si="10"/>
        <v>PEN</v>
      </c>
      <c r="O86" s="13"/>
      <c r="P86" s="13">
        <v>27</v>
      </c>
      <c r="Q86" s="3">
        <f t="shared" si="8"/>
        <v>0</v>
      </c>
      <c r="R86" s="3">
        <f t="shared" si="9"/>
        <v>27</v>
      </c>
      <c r="S86" s="3">
        <f t="shared" si="6"/>
        <v>42.69999999999979</v>
      </c>
      <c r="T86" s="24" t="s">
        <v>1334</v>
      </c>
      <c r="U86" s="24" t="s">
        <v>1334</v>
      </c>
      <c r="V86" s="3"/>
      <c r="W86" s="25" t="str">
        <f>IFERROR(VLOOKUP(Caja_Arequipa[[#This Row],[destinatario]],CHOOSE({1,2},Clientes_Proveedores[Razon Social],Clientes_Proveedores[Ruc / Dni]),2,0),"")</f>
        <v/>
      </c>
      <c r="X86" s="3" t="s">
        <v>5398</v>
      </c>
      <c r="Y86" s="3"/>
      <c r="Z86" s="3"/>
      <c r="AA86" s="3"/>
      <c r="AB86" s="3" t="str">
        <f>IF(Caja_Arequipa[[#This Row],[fecha]]&gt;0,TEXT(Caja_Arequipa[[#This Row],[fecha]],"mmmm"),0)</f>
        <v>Enero</v>
      </c>
    </row>
    <row r="87" spans="1:28" x14ac:dyDescent="0.3">
      <c r="A87" s="2">
        <f>IF(Caja_Arequipa[[#This Row],[tipo_r]]="R",COUNTIFS($C$1:$C86,"R")+1,A86)</f>
        <v>80</v>
      </c>
      <c r="B87" s="19" t="str">
        <f t="shared" si="7"/>
        <v>C-Tesoreria</v>
      </c>
      <c r="C87" s="3" t="s">
        <v>1330</v>
      </c>
      <c r="D87" s="14">
        <v>45686</v>
      </c>
      <c r="E87" s="5" t="s">
        <v>1416</v>
      </c>
      <c r="F87" s="5" t="s">
        <v>1336</v>
      </c>
      <c r="G87" s="3" t="s">
        <v>5259</v>
      </c>
      <c r="H87" s="6"/>
      <c r="I87" s="6" t="s">
        <v>111</v>
      </c>
      <c r="J87" s="6">
        <v>3</v>
      </c>
      <c r="K87" s="6">
        <v>22</v>
      </c>
      <c r="L87" s="7" t="s">
        <v>5399</v>
      </c>
      <c r="M87" s="8" t="str">
        <f>IF(Caja_Arequipa[[#This Row],[tipo_r]]="R","001-"&amp;12002+A87,M86)</f>
        <v>001-12082</v>
      </c>
      <c r="N87" s="8" t="str">
        <f t="shared" si="10"/>
        <v>PEN</v>
      </c>
      <c r="O87" s="13"/>
      <c r="P87" s="13">
        <v>10</v>
      </c>
      <c r="Q87" s="3">
        <f t="shared" si="8"/>
        <v>0</v>
      </c>
      <c r="R87" s="3">
        <f t="shared" si="9"/>
        <v>10</v>
      </c>
      <c r="S87" s="3">
        <f t="shared" si="6"/>
        <v>32.69999999999979</v>
      </c>
      <c r="T87" s="24" t="s">
        <v>1334</v>
      </c>
      <c r="U87" s="24" t="s">
        <v>1334</v>
      </c>
      <c r="V87" s="3"/>
      <c r="W87" s="25" t="str">
        <f>IFERROR(VLOOKUP(Caja_Arequipa[[#This Row],[destinatario]],CHOOSE({1,2},Clientes_Proveedores[Razon Social],Clientes_Proveedores[Ruc / Dni]),2,0),"")</f>
        <v/>
      </c>
      <c r="X87" s="3" t="s">
        <v>5400</v>
      </c>
      <c r="Y87" s="3"/>
      <c r="Z87" s="3"/>
      <c r="AA87" s="3"/>
      <c r="AB87" s="3" t="str">
        <f>IF(Caja_Arequipa[[#This Row],[fecha]]&gt;0,TEXT(Caja_Arequipa[[#This Row],[fecha]],"mmmm"),0)</f>
        <v>Enero</v>
      </c>
    </row>
    <row r="88" spans="1:28" x14ac:dyDescent="0.3">
      <c r="A88" s="2">
        <f>IF(Caja_Arequipa[[#This Row],[tipo_r]]="R",COUNTIFS($C$1:$C87,"R")+1,A87)</f>
        <v>81</v>
      </c>
      <c r="B88" s="19" t="str">
        <f t="shared" si="7"/>
        <v>C-Tesoreria</v>
      </c>
      <c r="C88" s="3" t="s">
        <v>1330</v>
      </c>
      <c r="D88" s="14">
        <v>45686</v>
      </c>
      <c r="E88" s="5" t="s">
        <v>1416</v>
      </c>
      <c r="F88" s="5" t="s">
        <v>1336</v>
      </c>
      <c r="G88" s="3" t="s">
        <v>5248</v>
      </c>
      <c r="H88" s="6"/>
      <c r="I88" s="6" t="s">
        <v>111</v>
      </c>
      <c r="J88" s="6">
        <v>3</v>
      </c>
      <c r="K88" s="6">
        <v>23</v>
      </c>
      <c r="L88" s="7" t="s">
        <v>5401</v>
      </c>
      <c r="M88" s="8" t="str">
        <f>IF(Caja_Arequipa[[#This Row],[tipo_r]]="R","001-"&amp;12002+A88,M87)</f>
        <v>001-12083</v>
      </c>
      <c r="N88" s="8" t="str">
        <f t="shared" si="10"/>
        <v>PEN</v>
      </c>
      <c r="O88" s="13"/>
      <c r="P88" s="13">
        <v>20</v>
      </c>
      <c r="Q88" s="3">
        <f t="shared" si="8"/>
        <v>0</v>
      </c>
      <c r="R88" s="3">
        <f t="shared" si="9"/>
        <v>20</v>
      </c>
      <c r="S88" s="3">
        <f t="shared" si="6"/>
        <v>12.69999999999979</v>
      </c>
      <c r="T88" s="24" t="s">
        <v>1334</v>
      </c>
      <c r="U88" s="24" t="s">
        <v>1334</v>
      </c>
      <c r="V88" s="3"/>
      <c r="W88" s="25" t="str">
        <f>IFERROR(VLOOKUP(Caja_Arequipa[[#This Row],[destinatario]],CHOOSE({1,2},Clientes_Proveedores[Razon Social],Clientes_Proveedores[Ruc / Dni]),2,0),"")</f>
        <v/>
      </c>
      <c r="X88" s="3" t="s">
        <v>5402</v>
      </c>
      <c r="Y88" s="3"/>
      <c r="Z88" s="3"/>
      <c r="AA88" s="3"/>
      <c r="AB88" s="3" t="str">
        <f>IF(Caja_Arequipa[[#This Row],[fecha]]&gt;0,TEXT(Caja_Arequipa[[#This Row],[fecha]],"mmmm"),0)</f>
        <v>Enero</v>
      </c>
    </row>
    <row r="89" spans="1:28" x14ac:dyDescent="0.3">
      <c r="A89" s="2">
        <f>IF(Caja_Arequipa[[#This Row],[tipo_r]]="R",COUNTIFS($C$1:$C88,"R")+1,A88)</f>
        <v>82</v>
      </c>
      <c r="B89" s="19" t="str">
        <f t="shared" si="7"/>
        <v>C-Tesoreria</v>
      </c>
      <c r="C89" s="3" t="s">
        <v>1330</v>
      </c>
      <c r="D89" s="14">
        <v>45688</v>
      </c>
      <c r="E89" s="5" t="s">
        <v>1416</v>
      </c>
      <c r="F89" s="5" t="s">
        <v>1303</v>
      </c>
      <c r="G89" s="3" t="s">
        <v>3634</v>
      </c>
      <c r="H89" s="6"/>
      <c r="I89" s="6"/>
      <c r="J89" s="6"/>
      <c r="K89" s="6"/>
      <c r="L89" s="7" t="s">
        <v>5340</v>
      </c>
      <c r="M89" s="8" t="str">
        <f>IF(Caja_Arequipa[[#This Row],[tipo_r]]="R","001-"&amp;12002+A89,M88)</f>
        <v>001-12084</v>
      </c>
      <c r="N89" s="8" t="str">
        <f t="shared" si="10"/>
        <v>PEN</v>
      </c>
      <c r="O89" s="13"/>
      <c r="P89" s="13">
        <v>200</v>
      </c>
      <c r="Q89" s="3">
        <f t="shared" si="8"/>
        <v>200</v>
      </c>
      <c r="R89" s="3">
        <f t="shared" si="9"/>
        <v>0</v>
      </c>
      <c r="S89" s="3">
        <f t="shared" si="6"/>
        <v>212.69999999999979</v>
      </c>
      <c r="T89" s="24"/>
      <c r="U89" s="24"/>
      <c r="V89" s="3"/>
      <c r="W89" s="25" t="str">
        <f>IFERROR(VLOOKUP(Caja_Arequipa[[#This Row],[destinatario]],CHOOSE({1,2},Clientes_Proveedores[Razon Social],Clientes_Proveedores[Ruc / Dni]),2,0),"")</f>
        <v/>
      </c>
      <c r="X89" s="3"/>
      <c r="Y89" s="3"/>
      <c r="Z89" s="3"/>
      <c r="AA89" s="3"/>
      <c r="AB89" s="3" t="str">
        <f>IF(Caja_Arequipa[[#This Row],[fecha]]&gt;0,TEXT(Caja_Arequipa[[#This Row],[fecha]],"mmmm"),0)</f>
        <v>Enero</v>
      </c>
    </row>
    <row r="90" spans="1:28" x14ac:dyDescent="0.3">
      <c r="A90" s="2">
        <f>IF(Caja_Arequipa[[#This Row],[tipo_r]]="R",COUNTIFS($C$1:$C89,"R")+1,A89)</f>
        <v>83</v>
      </c>
      <c r="B90" s="19" t="str">
        <f t="shared" si="7"/>
        <v>C-Tesoreria</v>
      </c>
      <c r="C90" s="3" t="s">
        <v>1330</v>
      </c>
      <c r="D90" s="14">
        <v>45688</v>
      </c>
      <c r="E90" s="5" t="s">
        <v>1416</v>
      </c>
      <c r="F90" s="5" t="s">
        <v>1336</v>
      </c>
      <c r="G90" s="3" t="s">
        <v>5274</v>
      </c>
      <c r="H90" s="6"/>
      <c r="I90" s="6" t="s">
        <v>111</v>
      </c>
      <c r="J90" s="6">
        <v>3</v>
      </c>
      <c r="K90" s="6">
        <v>24</v>
      </c>
      <c r="L90" s="7" t="s">
        <v>5403</v>
      </c>
      <c r="M90" s="8" t="str">
        <f>IF(Caja_Arequipa[[#This Row],[tipo_r]]="R","001-"&amp;12002+A90,M89)</f>
        <v>001-12085</v>
      </c>
      <c r="N90" s="8" t="str">
        <f t="shared" si="10"/>
        <v>PEN</v>
      </c>
      <c r="O90" s="13"/>
      <c r="P90" s="13">
        <v>15</v>
      </c>
      <c r="Q90" s="3">
        <f t="shared" si="8"/>
        <v>0</v>
      </c>
      <c r="R90" s="3">
        <f t="shared" si="9"/>
        <v>15</v>
      </c>
      <c r="S90" s="3">
        <f t="shared" si="6"/>
        <v>197.69999999999979</v>
      </c>
      <c r="T90" s="24" t="s">
        <v>1334</v>
      </c>
      <c r="U90" s="24" t="s">
        <v>1334</v>
      </c>
      <c r="V90" s="3"/>
      <c r="W90" s="25" t="str">
        <f>IFERROR(VLOOKUP(Caja_Arequipa[[#This Row],[destinatario]],CHOOSE({1,2},Clientes_Proveedores[Razon Social],Clientes_Proveedores[Ruc / Dni]),2,0),"")</f>
        <v/>
      </c>
      <c r="X90" s="3" t="s">
        <v>5404</v>
      </c>
      <c r="Y90" s="3"/>
      <c r="Z90" s="3"/>
      <c r="AA90" s="3"/>
      <c r="AB90" s="3" t="str">
        <f>IF(Caja_Arequipa[[#This Row],[fecha]]&gt;0,TEXT(Caja_Arequipa[[#This Row],[fecha]],"mmmm"),0)</f>
        <v>Enero</v>
      </c>
    </row>
    <row r="91" spans="1:28" x14ac:dyDescent="0.3">
      <c r="A91" s="2">
        <f>IF(Caja_Arequipa[[#This Row],[tipo_r]]="R",COUNTIFS($C$1:$C90,"R")+1,A90)</f>
        <v>84</v>
      </c>
      <c r="B91" s="19" t="str">
        <f t="shared" si="7"/>
        <v>C-Tesoreria</v>
      </c>
      <c r="C91" s="3" t="s">
        <v>1330</v>
      </c>
      <c r="D91" s="14">
        <v>45688</v>
      </c>
      <c r="E91" s="5" t="s">
        <v>1416</v>
      </c>
      <c r="F91" s="5" t="s">
        <v>1336</v>
      </c>
      <c r="G91" s="3" t="s">
        <v>5280</v>
      </c>
      <c r="H91" s="6"/>
      <c r="I91" s="6" t="s">
        <v>111</v>
      </c>
      <c r="J91" s="6">
        <v>3</v>
      </c>
      <c r="K91" s="6">
        <v>25</v>
      </c>
      <c r="L91" s="7" t="s">
        <v>5403</v>
      </c>
      <c r="M91" s="8" t="str">
        <f>IF(Caja_Arequipa[[#This Row],[tipo_r]]="R","001-"&amp;12002+A91,M90)</f>
        <v>001-12086</v>
      </c>
      <c r="N91" s="8" t="str">
        <f t="shared" si="10"/>
        <v>PEN</v>
      </c>
      <c r="O91" s="13"/>
      <c r="P91" s="13">
        <v>50</v>
      </c>
      <c r="Q91" s="3">
        <f t="shared" si="8"/>
        <v>0</v>
      </c>
      <c r="R91" s="3">
        <f t="shared" si="9"/>
        <v>50</v>
      </c>
      <c r="S91" s="3">
        <f t="shared" si="6"/>
        <v>147.69999999999979</v>
      </c>
      <c r="T91" s="24" t="s">
        <v>1334</v>
      </c>
      <c r="U91" s="24" t="s">
        <v>1334</v>
      </c>
      <c r="V91" s="3"/>
      <c r="W91" s="25" t="str">
        <f>IFERROR(VLOOKUP(Caja_Arequipa[[#This Row],[destinatario]],CHOOSE({1,2},Clientes_Proveedores[Razon Social],Clientes_Proveedores[Ruc / Dni]),2,0),"")</f>
        <v/>
      </c>
      <c r="X91" s="3" t="s">
        <v>5405</v>
      </c>
      <c r="Y91" s="3"/>
      <c r="Z91" s="3"/>
      <c r="AA91" s="3"/>
      <c r="AB91" s="3" t="str">
        <f>IF(Caja_Arequipa[[#This Row],[fecha]]&gt;0,TEXT(Caja_Arequipa[[#This Row],[fecha]],"mmmm"),0)</f>
        <v>Enero</v>
      </c>
    </row>
    <row r="92" spans="1:28" x14ac:dyDescent="0.3">
      <c r="A92" s="2">
        <f>IF(Caja_Arequipa[[#This Row],[tipo_r]]="R",COUNTIFS($C$1:$C91,"R")+1,A91)</f>
        <v>85</v>
      </c>
      <c r="B92" s="19" t="str">
        <f t="shared" si="7"/>
        <v>C-Tesoreria</v>
      </c>
      <c r="C92" s="3" t="s">
        <v>1330</v>
      </c>
      <c r="D92" s="14">
        <v>45688</v>
      </c>
      <c r="E92" s="5" t="s">
        <v>1416</v>
      </c>
      <c r="F92" s="5" t="s">
        <v>1336</v>
      </c>
      <c r="G92" s="3" t="s">
        <v>5250</v>
      </c>
      <c r="H92" s="6"/>
      <c r="I92" s="6" t="s">
        <v>111</v>
      </c>
      <c r="J92" s="6">
        <v>3</v>
      </c>
      <c r="K92" s="6">
        <v>86</v>
      </c>
      <c r="L92" s="7" t="s">
        <v>5406</v>
      </c>
      <c r="M92" s="8" t="str">
        <f>IF(Caja_Arequipa[[#This Row],[tipo_r]]="R","001-"&amp;12002+A92,M91)</f>
        <v>001-12087</v>
      </c>
      <c r="N92" s="8" t="str">
        <f t="shared" si="10"/>
        <v>PEN</v>
      </c>
      <c r="O92" s="13"/>
      <c r="P92" s="13">
        <v>15</v>
      </c>
      <c r="Q92" s="3">
        <f t="shared" si="8"/>
        <v>0</v>
      </c>
      <c r="R92" s="3">
        <f t="shared" si="9"/>
        <v>15</v>
      </c>
      <c r="S92" s="3">
        <f t="shared" si="6"/>
        <v>132.69999999999979</v>
      </c>
      <c r="T92" s="24"/>
      <c r="U92" s="24" t="s">
        <v>1334</v>
      </c>
      <c r="V92" s="3"/>
      <c r="W92" s="25" t="str">
        <f>IFERROR(VLOOKUP(Caja_Arequipa[[#This Row],[destinatario]],CHOOSE({1,2},Clientes_Proveedores[Razon Social],Clientes_Proveedores[Ruc / Dni]),2,0),"")</f>
        <v/>
      </c>
      <c r="X92" s="3" t="s">
        <v>5407</v>
      </c>
      <c r="Y92" s="3"/>
      <c r="Z92" s="3"/>
      <c r="AA92" s="3"/>
      <c r="AB92" s="3" t="str">
        <f>IF(Caja_Arequipa[[#This Row],[fecha]]&gt;0,TEXT(Caja_Arequipa[[#This Row],[fecha]],"mmmm"),0)</f>
        <v>Enero</v>
      </c>
    </row>
    <row r="93" spans="1:28" ht="24" x14ac:dyDescent="0.3">
      <c r="A93" s="2">
        <f>IF(Caja_Arequipa[[#This Row],[tipo_r]]="R",COUNTIFS($C$1:$C92,"R")+1,A92)</f>
        <v>86</v>
      </c>
      <c r="B93" s="19" t="str">
        <f t="shared" si="7"/>
        <v>C-Tesoreria</v>
      </c>
      <c r="C93" s="3" t="s">
        <v>1330</v>
      </c>
      <c r="D93" s="14">
        <v>45688</v>
      </c>
      <c r="E93" s="5" t="s">
        <v>1416</v>
      </c>
      <c r="F93" s="5" t="s">
        <v>1336</v>
      </c>
      <c r="G93" s="3" t="s">
        <v>5303</v>
      </c>
      <c r="H93" s="6"/>
      <c r="I93" s="6"/>
      <c r="J93" s="6"/>
      <c r="K93" s="6"/>
      <c r="L93" s="7" t="s">
        <v>5345</v>
      </c>
      <c r="M93" s="8" t="str">
        <f>IF(Caja_Arequipa[[#This Row],[tipo_r]]="R","001-"&amp;12002+A93,M92)</f>
        <v>001-12088</v>
      </c>
      <c r="N93" s="8" t="str">
        <f t="shared" si="10"/>
        <v>PEN</v>
      </c>
      <c r="O93" s="13"/>
      <c r="P93" s="13">
        <v>44.9</v>
      </c>
      <c r="Q93" s="3">
        <f t="shared" si="8"/>
        <v>0</v>
      </c>
      <c r="R93" s="3">
        <f t="shared" si="9"/>
        <v>44.9</v>
      </c>
      <c r="S93" s="3">
        <f t="shared" si="6"/>
        <v>87.799999999999784</v>
      </c>
      <c r="T93" s="24" t="s">
        <v>1334</v>
      </c>
      <c r="U93" s="24" t="s">
        <v>1334</v>
      </c>
      <c r="V93" s="3"/>
      <c r="W93" s="25" t="str">
        <f>IFERROR(VLOOKUP(Caja_Arequipa[[#This Row],[destinatario]],CHOOSE({1,2},Clientes_Proveedores[Razon Social],Clientes_Proveedores[Ruc / Dni]),2,0),"")</f>
        <v/>
      </c>
      <c r="X93" s="3" t="s">
        <v>5408</v>
      </c>
      <c r="Y93" s="3"/>
      <c r="Z93" s="3"/>
      <c r="AA93" s="3"/>
      <c r="AB93" s="3" t="str">
        <f>IF(Caja_Arequipa[[#This Row],[fecha]]&gt;0,TEXT(Caja_Arequipa[[#This Row],[fecha]],"mmmm"),0)</f>
        <v>Enero</v>
      </c>
    </row>
    <row r="94" spans="1:28" ht="24" x14ac:dyDescent="0.3">
      <c r="A94" s="2">
        <f>IF(Caja_Arequipa[[#This Row],[tipo_r]]="R",COUNTIFS($C$1:$C93,"R")+1,A93)</f>
        <v>87</v>
      </c>
      <c r="B94" s="19" t="str">
        <f t="shared" si="7"/>
        <v>C-Tesoreria</v>
      </c>
      <c r="C94" s="3" t="s">
        <v>1330</v>
      </c>
      <c r="D94" s="14">
        <v>45691</v>
      </c>
      <c r="E94" s="5" t="s">
        <v>1416</v>
      </c>
      <c r="F94" s="5" t="s">
        <v>1336</v>
      </c>
      <c r="G94" s="3" t="s">
        <v>5250</v>
      </c>
      <c r="H94" s="6"/>
      <c r="I94" s="6" t="s">
        <v>111</v>
      </c>
      <c r="J94" s="6">
        <v>3</v>
      </c>
      <c r="K94" s="6">
        <v>88</v>
      </c>
      <c r="L94" s="7" t="s">
        <v>5409</v>
      </c>
      <c r="M94" s="8" t="str">
        <f>IF(Caja_Arequipa[[#This Row],[tipo_r]]="R","001-"&amp;12002+A94,M93)</f>
        <v>001-12089</v>
      </c>
      <c r="N94" s="8" t="str">
        <f t="shared" si="10"/>
        <v>PEN</v>
      </c>
      <c r="O94" s="13"/>
      <c r="P94" s="13">
        <v>20</v>
      </c>
      <c r="Q94" s="3">
        <f t="shared" si="8"/>
        <v>0</v>
      </c>
      <c r="R94" s="3">
        <f t="shared" si="9"/>
        <v>20</v>
      </c>
      <c r="S94" s="3">
        <f t="shared" si="6"/>
        <v>67.799999999999784</v>
      </c>
      <c r="T94" s="24"/>
      <c r="U94" s="24" t="s">
        <v>1334</v>
      </c>
      <c r="V94" s="3"/>
      <c r="W94" s="25" t="str">
        <f>IFERROR(VLOOKUP(Caja_Arequipa[[#This Row],[destinatario]],CHOOSE({1,2},Clientes_Proveedores[Razon Social],Clientes_Proveedores[Ruc / Dni]),2,0),"")</f>
        <v/>
      </c>
      <c r="X94" s="3" t="s">
        <v>5410</v>
      </c>
      <c r="Y94" s="3"/>
      <c r="Z94" s="3"/>
      <c r="AA94" s="3"/>
      <c r="AB94" s="3" t="str">
        <f>IF(Caja_Arequipa[[#This Row],[fecha]]&gt;0,TEXT(Caja_Arequipa[[#This Row],[fecha]],"mmmm"),0)</f>
        <v>Febrero</v>
      </c>
    </row>
    <row r="95" spans="1:28" x14ac:dyDescent="0.3">
      <c r="A95" s="2">
        <f>IF(Caja_Arequipa[[#This Row],[tipo_r]]="R",COUNTIFS($C$1:$C94,"R")+1,A94)</f>
        <v>88</v>
      </c>
      <c r="B95" s="19" t="str">
        <f t="shared" si="7"/>
        <v>C-Tesoreria</v>
      </c>
      <c r="C95" s="3" t="s">
        <v>1330</v>
      </c>
      <c r="D95" s="14">
        <v>45692</v>
      </c>
      <c r="E95" s="5" t="s">
        <v>1416</v>
      </c>
      <c r="F95" s="5" t="s">
        <v>1303</v>
      </c>
      <c r="G95" s="3" t="s">
        <v>3634</v>
      </c>
      <c r="H95" s="6"/>
      <c r="I95" s="6"/>
      <c r="J95" s="6"/>
      <c r="K95" s="6"/>
      <c r="L95" s="7" t="s">
        <v>5340</v>
      </c>
      <c r="M95" s="8" t="str">
        <f>IF(Caja_Arequipa[[#This Row],[tipo_r]]="R","001-"&amp;12002+A95,M94)</f>
        <v>001-12090</v>
      </c>
      <c r="N95" s="8" t="str">
        <f t="shared" si="10"/>
        <v>PEN</v>
      </c>
      <c r="O95" s="13"/>
      <c r="P95" s="13">
        <v>800</v>
      </c>
      <c r="Q95" s="3">
        <f t="shared" si="8"/>
        <v>800</v>
      </c>
      <c r="R95" s="3">
        <f t="shared" si="9"/>
        <v>0</v>
      </c>
      <c r="S95" s="3">
        <f t="shared" si="6"/>
        <v>867.79999999999973</v>
      </c>
      <c r="T95" s="24"/>
      <c r="U95" s="24"/>
      <c r="V95" s="3"/>
      <c r="W95" s="25" t="str">
        <f>IFERROR(VLOOKUP(Caja_Arequipa[[#This Row],[destinatario]],CHOOSE({1,2},Clientes_Proveedores[Razon Social],Clientes_Proveedores[Ruc / Dni]),2,0),"")</f>
        <v/>
      </c>
      <c r="X95" s="3"/>
      <c r="Y95" s="3"/>
      <c r="Z95" s="3"/>
      <c r="AA95" s="3"/>
      <c r="AB95" s="3" t="str">
        <f>IF(Caja_Arequipa[[#This Row],[fecha]]&gt;0,TEXT(Caja_Arequipa[[#This Row],[fecha]],"mmmm"),0)</f>
        <v>Febrero</v>
      </c>
    </row>
    <row r="96" spans="1:28" ht="36" x14ac:dyDescent="0.3">
      <c r="A96" s="2">
        <f>IF(Caja_Arequipa[[#This Row],[tipo_r]]="R",COUNTIFS($C$1:$C95,"R")+1,A95)</f>
        <v>89</v>
      </c>
      <c r="B96" s="19" t="str">
        <f t="shared" si="7"/>
        <v>C-Tesoreria</v>
      </c>
      <c r="C96" s="3" t="s">
        <v>1330</v>
      </c>
      <c r="D96" s="14">
        <v>45692</v>
      </c>
      <c r="E96" s="5" t="s">
        <v>1416</v>
      </c>
      <c r="F96" s="5" t="s">
        <v>1336</v>
      </c>
      <c r="G96" s="3" t="s">
        <v>5380</v>
      </c>
      <c r="H96" s="6"/>
      <c r="I96" s="6"/>
      <c r="J96" s="6"/>
      <c r="K96" s="6"/>
      <c r="L96" s="7" t="s">
        <v>5411</v>
      </c>
      <c r="M96" s="8" t="str">
        <f>IF(Caja_Arequipa[[#This Row],[tipo_r]]="R","001-"&amp;12002+A96,M95)</f>
        <v>001-12091</v>
      </c>
      <c r="N96" s="8" t="str">
        <f t="shared" si="10"/>
        <v>PEN</v>
      </c>
      <c r="O96" s="13"/>
      <c r="P96" s="13">
        <v>132</v>
      </c>
      <c r="Q96" s="3">
        <f t="shared" si="8"/>
        <v>0</v>
      </c>
      <c r="R96" s="3">
        <f t="shared" si="9"/>
        <v>132</v>
      </c>
      <c r="S96" s="3">
        <f t="shared" si="6"/>
        <v>735.79999999999973</v>
      </c>
      <c r="T96" s="24" t="s">
        <v>1334</v>
      </c>
      <c r="U96" s="24" t="s">
        <v>1334</v>
      </c>
      <c r="V96" s="3"/>
      <c r="W96" s="25" t="str">
        <f>IFERROR(VLOOKUP(Caja_Arequipa[[#This Row],[destinatario]],CHOOSE({1,2},Clientes_Proveedores[Razon Social],Clientes_Proveedores[Ruc / Dni]),2,0),"")</f>
        <v/>
      </c>
      <c r="X96" s="3" t="s">
        <v>5412</v>
      </c>
      <c r="Y96" s="3"/>
      <c r="Z96" s="3"/>
      <c r="AA96" s="3"/>
      <c r="AB96" s="3" t="str">
        <f>IF(Caja_Arequipa[[#This Row],[fecha]]&gt;0,TEXT(Caja_Arequipa[[#This Row],[fecha]],"mmmm"),0)</f>
        <v>Febrero</v>
      </c>
    </row>
    <row r="97" spans="1:28" ht="24" x14ac:dyDescent="0.3">
      <c r="A97" s="2">
        <f>IF(Caja_Arequipa[[#This Row],[tipo_r]]="R",COUNTIFS($C$1:$C96,"R")+1,A96)</f>
        <v>90</v>
      </c>
      <c r="B97" s="19" t="str">
        <f t="shared" si="7"/>
        <v>C-Tesoreria</v>
      </c>
      <c r="C97" s="3" t="s">
        <v>1330</v>
      </c>
      <c r="D97" s="14">
        <v>45692</v>
      </c>
      <c r="E97" s="5" t="s">
        <v>1416</v>
      </c>
      <c r="F97" s="5" t="s">
        <v>1336</v>
      </c>
      <c r="G97" s="3" t="s">
        <v>5380</v>
      </c>
      <c r="H97" s="6"/>
      <c r="I97" s="6"/>
      <c r="J97" s="6"/>
      <c r="K97" s="6"/>
      <c r="L97" s="7" t="s">
        <v>5413</v>
      </c>
      <c r="M97" s="8" t="str">
        <f>IF(Caja_Arequipa[[#This Row],[tipo_r]]="R","001-"&amp;12002+A97,M96)</f>
        <v>001-12092</v>
      </c>
      <c r="N97" s="8" t="str">
        <f t="shared" si="10"/>
        <v>PEN</v>
      </c>
      <c r="O97" s="13"/>
      <c r="P97" s="13">
        <v>26</v>
      </c>
      <c r="Q97" s="3">
        <f t="shared" si="8"/>
        <v>0</v>
      </c>
      <c r="R97" s="3">
        <f t="shared" si="9"/>
        <v>26</v>
      </c>
      <c r="S97" s="3">
        <f t="shared" si="6"/>
        <v>709.79999999999973</v>
      </c>
      <c r="T97" s="24" t="s">
        <v>1334</v>
      </c>
      <c r="U97" s="24" t="s">
        <v>1334</v>
      </c>
      <c r="V97" s="3"/>
      <c r="W97" s="25" t="str">
        <f>IFERROR(VLOOKUP(Caja_Arequipa[[#This Row],[destinatario]],CHOOSE({1,2},Clientes_Proveedores[Razon Social],Clientes_Proveedores[Ruc / Dni]),2,0),"")</f>
        <v/>
      </c>
      <c r="X97" s="3" t="s">
        <v>5414</v>
      </c>
      <c r="Y97" s="3"/>
      <c r="Z97" s="3"/>
      <c r="AA97" s="3"/>
      <c r="AB97" s="3" t="str">
        <f>IF(Caja_Arequipa[[#This Row],[fecha]]&gt;0,TEXT(Caja_Arequipa[[#This Row],[fecha]],"mmmm"),0)</f>
        <v>Febrero</v>
      </c>
    </row>
    <row r="98" spans="1:28" x14ac:dyDescent="0.3">
      <c r="A98" s="2">
        <f>IF(Caja_Arequipa[[#This Row],[tipo_r]]="R",COUNTIFS($C$1:$C97,"R")+1,A97)</f>
        <v>91</v>
      </c>
      <c r="B98" s="19" t="str">
        <f t="shared" si="7"/>
        <v>C-Tesoreria</v>
      </c>
      <c r="C98" s="3" t="s">
        <v>1330</v>
      </c>
      <c r="D98" s="14">
        <v>45692</v>
      </c>
      <c r="E98" s="5" t="s">
        <v>1416</v>
      </c>
      <c r="F98" s="5" t="s">
        <v>1336</v>
      </c>
      <c r="G98" s="3" t="s">
        <v>5248</v>
      </c>
      <c r="H98" s="6"/>
      <c r="I98" s="6"/>
      <c r="J98" s="6"/>
      <c r="K98" s="6"/>
      <c r="L98" s="7" t="s">
        <v>5415</v>
      </c>
      <c r="M98" s="8" t="str">
        <f>IF(Caja_Arequipa[[#This Row],[tipo_r]]="R","001-"&amp;12002+A98,M97)</f>
        <v>001-12093</v>
      </c>
      <c r="N98" s="8" t="str">
        <f t="shared" si="10"/>
        <v>PEN</v>
      </c>
      <c r="O98" s="13"/>
      <c r="P98" s="13">
        <v>9.5</v>
      </c>
      <c r="Q98" s="3">
        <f t="shared" si="8"/>
        <v>0</v>
      </c>
      <c r="R98" s="3">
        <f t="shared" si="9"/>
        <v>9.5</v>
      </c>
      <c r="S98" s="3">
        <f t="shared" si="6"/>
        <v>700.29999999999973</v>
      </c>
      <c r="T98" s="24" t="s">
        <v>1334</v>
      </c>
      <c r="U98" s="24"/>
      <c r="V98" s="3"/>
      <c r="W98" s="25" t="str">
        <f>IFERROR(VLOOKUP(Caja_Arequipa[[#This Row],[destinatario]],CHOOSE({1,2},Clientes_Proveedores[Razon Social],Clientes_Proveedores[Ruc / Dni]),2,0),"")</f>
        <v/>
      </c>
      <c r="X98" s="3" t="s">
        <v>5416</v>
      </c>
      <c r="Y98" s="3"/>
      <c r="Z98" s="3"/>
      <c r="AA98" s="3"/>
      <c r="AB98" s="3" t="str">
        <f>IF(Caja_Arequipa[[#This Row],[fecha]]&gt;0,TEXT(Caja_Arequipa[[#This Row],[fecha]],"mmmm"),0)</f>
        <v>Febrero</v>
      </c>
    </row>
    <row r="99" spans="1:28" x14ac:dyDescent="0.3">
      <c r="A99" s="2">
        <f>IF(Caja_Arequipa[[#This Row],[tipo_r]]="R",COUNTIFS($C$1:$C98,"R")+1,A98)</f>
        <v>92</v>
      </c>
      <c r="B99" s="19" t="str">
        <f t="shared" si="7"/>
        <v>C-Tesoreria</v>
      </c>
      <c r="C99" s="3" t="s">
        <v>1330</v>
      </c>
      <c r="D99" s="14">
        <v>45694</v>
      </c>
      <c r="E99" s="5" t="s">
        <v>1416</v>
      </c>
      <c r="F99" s="5" t="s">
        <v>1336</v>
      </c>
      <c r="G99" s="3" t="s">
        <v>5287</v>
      </c>
      <c r="H99" s="6"/>
      <c r="I99" s="6"/>
      <c r="J99" s="6"/>
      <c r="K99" s="6"/>
      <c r="L99" s="7" t="s">
        <v>5417</v>
      </c>
      <c r="M99" s="8" t="str">
        <f>IF(Caja_Arequipa[[#This Row],[tipo_r]]="R","001-"&amp;12002+A99,M98)</f>
        <v>001-12094</v>
      </c>
      <c r="N99" s="8" t="str">
        <f t="shared" si="10"/>
        <v>PEN</v>
      </c>
      <c r="O99" s="13"/>
      <c r="P99" s="13">
        <v>66</v>
      </c>
      <c r="Q99" s="3">
        <f t="shared" si="8"/>
        <v>0</v>
      </c>
      <c r="R99" s="3">
        <f t="shared" si="9"/>
        <v>66</v>
      </c>
      <c r="S99" s="3">
        <f t="shared" si="6"/>
        <v>634.29999999999973</v>
      </c>
      <c r="T99" s="24" t="s">
        <v>1334</v>
      </c>
      <c r="U99" s="24" t="s">
        <v>1334</v>
      </c>
      <c r="V99" s="3"/>
      <c r="W99" s="25" t="str">
        <f>IFERROR(VLOOKUP(Caja_Arequipa[[#This Row],[destinatario]],CHOOSE({1,2},Clientes_Proveedores[Razon Social],Clientes_Proveedores[Ruc / Dni]),2,0),"")</f>
        <v/>
      </c>
      <c r="X99" s="3" t="s">
        <v>5418</v>
      </c>
      <c r="Y99" s="3"/>
      <c r="Z99" s="3"/>
      <c r="AA99" s="3"/>
      <c r="AB99" s="3" t="str">
        <f>IF(Caja_Arequipa[[#This Row],[fecha]]&gt;0,TEXT(Caja_Arequipa[[#This Row],[fecha]],"mmmm"),0)</f>
        <v>Febrero</v>
      </c>
    </row>
    <row r="100" spans="1:28" x14ac:dyDescent="0.3">
      <c r="A100" s="2">
        <f>IF(Caja_Arequipa[[#This Row],[tipo_r]]="R",COUNTIFS($C$1:$C99,"R")+1,A99)</f>
        <v>93</v>
      </c>
      <c r="B100" s="19" t="str">
        <f t="shared" si="7"/>
        <v>C-Tesoreria</v>
      </c>
      <c r="C100" s="3" t="s">
        <v>1330</v>
      </c>
      <c r="D100" s="14">
        <v>45694</v>
      </c>
      <c r="E100" s="5" t="s">
        <v>1416</v>
      </c>
      <c r="F100" s="5" t="s">
        <v>1336</v>
      </c>
      <c r="G100" s="3" t="s">
        <v>3308</v>
      </c>
      <c r="H100" s="6"/>
      <c r="I100" s="6" t="s">
        <v>111</v>
      </c>
      <c r="J100" s="6">
        <v>3</v>
      </c>
      <c r="K100" s="6">
        <v>26</v>
      </c>
      <c r="L100" s="7" t="s">
        <v>5419</v>
      </c>
      <c r="M100" s="8" t="str">
        <f>IF(Caja_Arequipa[[#This Row],[tipo_r]]="R","001-"&amp;12002+A100,M99)</f>
        <v>001-12095</v>
      </c>
      <c r="N100" s="8" t="str">
        <f t="shared" si="10"/>
        <v>PEN</v>
      </c>
      <c r="O100" s="13"/>
      <c r="P100" s="13">
        <v>53</v>
      </c>
      <c r="Q100" s="3">
        <f t="shared" si="8"/>
        <v>0</v>
      </c>
      <c r="R100" s="3">
        <f t="shared" si="9"/>
        <v>53</v>
      </c>
      <c r="S100" s="3">
        <f t="shared" si="6"/>
        <v>581.29999999999973</v>
      </c>
      <c r="T100" s="24" t="s">
        <v>1334</v>
      </c>
      <c r="U100" s="24" t="s">
        <v>1334</v>
      </c>
      <c r="V100" s="3"/>
      <c r="W100" s="25" t="str">
        <f>IFERROR(VLOOKUP(Caja_Arequipa[[#This Row],[destinatario]],CHOOSE({1,2},Clientes_Proveedores[Razon Social],Clientes_Proveedores[Ruc / Dni]),2,0),"")</f>
        <v/>
      </c>
      <c r="X100" s="3" t="s">
        <v>5420</v>
      </c>
      <c r="Y100" s="3"/>
      <c r="Z100" s="3"/>
      <c r="AA100" s="3"/>
      <c r="AB100" s="3" t="str">
        <f>IF(Caja_Arequipa[[#This Row],[fecha]]&gt;0,TEXT(Caja_Arequipa[[#This Row],[fecha]],"mmmm"),0)</f>
        <v>Febrero</v>
      </c>
    </row>
    <row r="101" spans="1:28" ht="24" x14ac:dyDescent="0.3">
      <c r="A101" s="2">
        <f>IF(Caja_Arequipa[[#This Row],[tipo_r]]="R",COUNTIFS($C$1:$C100,"R")+1,A100)</f>
        <v>94</v>
      </c>
      <c r="B101" s="19" t="str">
        <f t="shared" si="7"/>
        <v>C-Tesoreria</v>
      </c>
      <c r="C101" s="3" t="s">
        <v>1330</v>
      </c>
      <c r="D101" s="14">
        <v>45695</v>
      </c>
      <c r="E101" s="5" t="s">
        <v>1416</v>
      </c>
      <c r="F101" s="5" t="s">
        <v>1336</v>
      </c>
      <c r="G101" s="3" t="s">
        <v>5299</v>
      </c>
      <c r="H101" s="6"/>
      <c r="I101" s="6"/>
      <c r="J101" s="6"/>
      <c r="K101" s="6"/>
      <c r="L101" s="7" t="s">
        <v>5421</v>
      </c>
      <c r="M101" s="8" t="str">
        <f>IF(Caja_Arequipa[[#This Row],[tipo_r]]="R","001-"&amp;12002+A101,M100)</f>
        <v>001-12096</v>
      </c>
      <c r="N101" s="8" t="str">
        <f t="shared" si="10"/>
        <v>PEN</v>
      </c>
      <c r="O101" s="13"/>
      <c r="P101" s="13">
        <v>10</v>
      </c>
      <c r="Q101" s="3">
        <f t="shared" si="8"/>
        <v>0</v>
      </c>
      <c r="R101" s="3">
        <f t="shared" si="9"/>
        <v>10</v>
      </c>
      <c r="S101" s="3">
        <f t="shared" si="6"/>
        <v>571.29999999999973</v>
      </c>
      <c r="T101" s="24" t="s">
        <v>1334</v>
      </c>
      <c r="U101" s="24" t="s">
        <v>1334</v>
      </c>
      <c r="V101" s="3"/>
      <c r="W101" s="25" t="str">
        <f>IFERROR(VLOOKUP(Caja_Arequipa[[#This Row],[destinatario]],CHOOSE({1,2},Clientes_Proveedores[Razon Social],Clientes_Proveedores[Ruc / Dni]),2,0),"")</f>
        <v/>
      </c>
      <c r="X101" s="3" t="s">
        <v>5422</v>
      </c>
      <c r="Y101" s="3"/>
      <c r="Z101" s="3"/>
      <c r="AA101" s="3"/>
      <c r="AB101" s="3" t="str">
        <f>IF(Caja_Arequipa[[#This Row],[fecha]]&gt;0,TEXT(Caja_Arequipa[[#This Row],[fecha]],"mmmm"),0)</f>
        <v>Febrero</v>
      </c>
    </row>
    <row r="102" spans="1:28" x14ac:dyDescent="0.3">
      <c r="A102" s="2">
        <f>IF(Caja_Arequipa[[#This Row],[tipo_r]]="R",COUNTIFS($C$1:$C101,"R")+1,A101)</f>
        <v>95</v>
      </c>
      <c r="B102" s="19" t="str">
        <f t="shared" si="7"/>
        <v>C-Tesoreria</v>
      </c>
      <c r="C102" s="3" t="s">
        <v>1330</v>
      </c>
      <c r="D102" s="14">
        <v>45695</v>
      </c>
      <c r="E102" s="5" t="s">
        <v>1416</v>
      </c>
      <c r="F102" s="5" t="s">
        <v>1336</v>
      </c>
      <c r="G102" s="3" t="s">
        <v>5259</v>
      </c>
      <c r="H102" s="6"/>
      <c r="I102" s="6" t="s">
        <v>111</v>
      </c>
      <c r="J102" s="6">
        <v>3</v>
      </c>
      <c r="K102" s="6">
        <v>27</v>
      </c>
      <c r="L102" s="7" t="s">
        <v>5372</v>
      </c>
      <c r="M102" s="8" t="str">
        <f>IF(Caja_Arequipa[[#This Row],[tipo_r]]="R","001-"&amp;12002+A102,M101)</f>
        <v>001-12097</v>
      </c>
      <c r="N102" s="8" t="str">
        <f t="shared" si="10"/>
        <v>PEN</v>
      </c>
      <c r="O102" s="13"/>
      <c r="P102" s="13">
        <v>5</v>
      </c>
      <c r="Q102" s="3">
        <f t="shared" si="8"/>
        <v>0</v>
      </c>
      <c r="R102" s="3">
        <f t="shared" si="9"/>
        <v>5</v>
      </c>
      <c r="S102" s="3">
        <f t="shared" si="6"/>
        <v>566.29999999999973</v>
      </c>
      <c r="T102" s="24" t="s">
        <v>1334</v>
      </c>
      <c r="U102" s="24" t="s">
        <v>1334</v>
      </c>
      <c r="V102" s="3"/>
      <c r="W102" s="25" t="str">
        <f>IFERROR(VLOOKUP(Caja_Arequipa[[#This Row],[destinatario]],CHOOSE({1,2},Clientes_Proveedores[Razon Social],Clientes_Proveedores[Ruc / Dni]),2,0),"")</f>
        <v/>
      </c>
      <c r="X102" s="3" t="s">
        <v>5423</v>
      </c>
      <c r="Y102" s="3"/>
      <c r="Z102" s="3"/>
      <c r="AA102" s="3"/>
      <c r="AB102" s="3" t="str">
        <f>IF(Caja_Arequipa[[#This Row],[fecha]]&gt;0,TEXT(Caja_Arequipa[[#This Row],[fecha]],"mmmm"),0)</f>
        <v>Febrero</v>
      </c>
    </row>
    <row r="103" spans="1:28" x14ac:dyDescent="0.3">
      <c r="A103" s="2">
        <f>IF(Caja_Arequipa[[#This Row],[tipo_r]]="R",COUNTIFS($C$1:$C102,"R")+1,A102)</f>
        <v>96</v>
      </c>
      <c r="B103" s="19" t="str">
        <f t="shared" si="7"/>
        <v>C-Tesoreria</v>
      </c>
      <c r="C103" s="3" t="s">
        <v>1330</v>
      </c>
      <c r="D103" s="14">
        <v>45695</v>
      </c>
      <c r="E103" s="5" t="s">
        <v>1416</v>
      </c>
      <c r="F103" s="5" t="s">
        <v>1336</v>
      </c>
      <c r="G103" s="3" t="s">
        <v>5259</v>
      </c>
      <c r="H103" s="6"/>
      <c r="I103" s="6" t="s">
        <v>111</v>
      </c>
      <c r="J103" s="6">
        <v>3</v>
      </c>
      <c r="K103" s="6">
        <v>28</v>
      </c>
      <c r="L103" s="7" t="s">
        <v>5424</v>
      </c>
      <c r="M103" s="8" t="str">
        <f>IF(Caja_Arequipa[[#This Row],[tipo_r]]="R","001-"&amp;12002+A103,M102)</f>
        <v>001-12098</v>
      </c>
      <c r="N103" s="8" t="str">
        <f t="shared" si="10"/>
        <v>PEN</v>
      </c>
      <c r="O103" s="13"/>
      <c r="P103" s="13">
        <v>13</v>
      </c>
      <c r="Q103" s="3">
        <f t="shared" si="8"/>
        <v>0</v>
      </c>
      <c r="R103" s="3">
        <f t="shared" si="9"/>
        <v>13</v>
      </c>
      <c r="S103" s="3">
        <f t="shared" si="6"/>
        <v>553.29999999999973</v>
      </c>
      <c r="T103" s="24" t="s">
        <v>1334</v>
      </c>
      <c r="U103" s="24" t="s">
        <v>1334</v>
      </c>
      <c r="V103" s="3"/>
      <c r="W103" s="25" t="str">
        <f>IFERROR(VLOOKUP(Caja_Arequipa[[#This Row],[destinatario]],CHOOSE({1,2},Clientes_Proveedores[Razon Social],Clientes_Proveedores[Ruc / Dni]),2,0),"")</f>
        <v/>
      </c>
      <c r="X103" s="3" t="s">
        <v>5425</v>
      </c>
      <c r="Y103" s="3"/>
      <c r="Z103" s="3"/>
      <c r="AA103" s="3"/>
      <c r="AB103" s="3" t="str">
        <f>IF(Caja_Arequipa[[#This Row],[fecha]]&gt;0,TEXT(Caja_Arequipa[[#This Row],[fecha]],"mmmm"),0)</f>
        <v>Febrero</v>
      </c>
    </row>
    <row r="104" spans="1:28" x14ac:dyDescent="0.3">
      <c r="A104" s="2">
        <f>IF(Caja_Arequipa[[#This Row],[tipo_r]]="R",COUNTIFS($C$1:$C103,"R")+1,A103)</f>
        <v>97</v>
      </c>
      <c r="B104" s="19" t="str">
        <f t="shared" si="7"/>
        <v>C-Tesoreria</v>
      </c>
      <c r="C104" s="3" t="s">
        <v>1330</v>
      </c>
      <c r="D104" s="14">
        <v>45695</v>
      </c>
      <c r="E104" s="5" t="s">
        <v>1416</v>
      </c>
      <c r="F104" s="5" t="s">
        <v>1336</v>
      </c>
      <c r="G104" s="3" t="s">
        <v>5259</v>
      </c>
      <c r="H104" s="6"/>
      <c r="I104" s="6" t="s">
        <v>111</v>
      </c>
      <c r="J104" s="6">
        <v>3</v>
      </c>
      <c r="K104" s="6">
        <v>29</v>
      </c>
      <c r="L104" s="7" t="s">
        <v>5401</v>
      </c>
      <c r="M104" s="8" t="str">
        <f>IF(Caja_Arequipa[[#This Row],[tipo_r]]="R","001-"&amp;12002+A104,M103)</f>
        <v>001-12099</v>
      </c>
      <c r="N104" s="8" t="str">
        <f t="shared" si="10"/>
        <v>PEN</v>
      </c>
      <c r="O104" s="13"/>
      <c r="P104" s="13">
        <v>32</v>
      </c>
      <c r="Q104" s="3">
        <f t="shared" si="8"/>
        <v>0</v>
      </c>
      <c r="R104" s="3">
        <f t="shared" si="9"/>
        <v>32</v>
      </c>
      <c r="S104" s="3">
        <f t="shared" si="6"/>
        <v>521.29999999999973</v>
      </c>
      <c r="T104" s="24" t="s">
        <v>1334</v>
      </c>
      <c r="U104" s="24" t="s">
        <v>1334</v>
      </c>
      <c r="V104" s="3"/>
      <c r="W104" s="25" t="str">
        <f>IFERROR(VLOOKUP(Caja_Arequipa[[#This Row],[destinatario]],CHOOSE({1,2},Clientes_Proveedores[Razon Social],Clientes_Proveedores[Ruc / Dni]),2,0),"")</f>
        <v/>
      </c>
      <c r="X104" s="3" t="s">
        <v>5426</v>
      </c>
      <c r="Y104" s="3"/>
      <c r="Z104" s="3"/>
      <c r="AA104" s="3"/>
      <c r="AB104" s="3" t="str">
        <f>IF(Caja_Arequipa[[#This Row],[fecha]]&gt;0,TEXT(Caja_Arequipa[[#This Row],[fecha]],"mmmm"),0)</f>
        <v>Febrero</v>
      </c>
    </row>
    <row r="105" spans="1:28" x14ac:dyDescent="0.3">
      <c r="A105" s="2">
        <f>IF(Caja_Arequipa[[#This Row],[tipo_r]]="R",COUNTIFS($C$1:$C104,"R")+1,A104)</f>
        <v>98</v>
      </c>
      <c r="B105" s="19" t="str">
        <f t="shared" si="7"/>
        <v>C-Tesoreria</v>
      </c>
      <c r="C105" s="3" t="s">
        <v>1330</v>
      </c>
      <c r="D105" s="14">
        <v>45695</v>
      </c>
      <c r="E105" s="5" t="s">
        <v>1416</v>
      </c>
      <c r="F105" s="5" t="s">
        <v>1336</v>
      </c>
      <c r="G105" s="3" t="s">
        <v>5259</v>
      </c>
      <c r="H105" s="6"/>
      <c r="I105" s="6" t="s">
        <v>111</v>
      </c>
      <c r="J105" s="6">
        <v>3</v>
      </c>
      <c r="K105" s="6">
        <v>30</v>
      </c>
      <c r="L105" s="7" t="s">
        <v>5427</v>
      </c>
      <c r="M105" s="8" t="str">
        <f>IF(Caja_Arequipa[[#This Row],[tipo_r]]="R","001-"&amp;12002+A105,M104)</f>
        <v>001-12100</v>
      </c>
      <c r="N105" s="8" t="str">
        <f t="shared" si="10"/>
        <v>PEN</v>
      </c>
      <c r="O105" s="13"/>
      <c r="P105" s="13">
        <v>53</v>
      </c>
      <c r="Q105" s="3">
        <f t="shared" si="8"/>
        <v>0</v>
      </c>
      <c r="R105" s="3">
        <f t="shared" si="9"/>
        <v>53</v>
      </c>
      <c r="S105" s="3">
        <f t="shared" si="6"/>
        <v>468.29999999999973</v>
      </c>
      <c r="T105" s="24" t="s">
        <v>1334</v>
      </c>
      <c r="U105" s="24" t="s">
        <v>1334</v>
      </c>
      <c r="V105" s="3"/>
      <c r="W105" s="25" t="str">
        <f>IFERROR(VLOOKUP(Caja_Arequipa[[#This Row],[destinatario]],CHOOSE({1,2},Clientes_Proveedores[Razon Social],Clientes_Proveedores[Ruc / Dni]),2,0),"")</f>
        <v/>
      </c>
      <c r="X105" s="3" t="s">
        <v>5428</v>
      </c>
      <c r="Y105" s="3"/>
      <c r="Z105" s="3"/>
      <c r="AA105" s="3"/>
      <c r="AB105" s="3" t="str">
        <f>IF(Caja_Arequipa[[#This Row],[fecha]]&gt;0,TEXT(Caja_Arequipa[[#This Row],[fecha]],"mmmm"),0)</f>
        <v>Febrero</v>
      </c>
    </row>
    <row r="106" spans="1:28" x14ac:dyDescent="0.3">
      <c r="A106" s="2">
        <f>IF(Caja_Arequipa[[#This Row],[tipo_r]]="R",COUNTIFS($C$1:$C105,"R")+1,A105)</f>
        <v>99</v>
      </c>
      <c r="B106" s="19" t="str">
        <f t="shared" si="7"/>
        <v>C-Tesoreria</v>
      </c>
      <c r="C106" s="3" t="s">
        <v>1330</v>
      </c>
      <c r="D106" s="14">
        <v>45695</v>
      </c>
      <c r="E106" s="5" t="s">
        <v>1416</v>
      </c>
      <c r="F106" s="5" t="s">
        <v>1336</v>
      </c>
      <c r="G106" s="3" t="s">
        <v>5259</v>
      </c>
      <c r="H106" s="6"/>
      <c r="I106" s="6" t="s">
        <v>111</v>
      </c>
      <c r="J106" s="6">
        <v>3</v>
      </c>
      <c r="K106" s="6">
        <v>31</v>
      </c>
      <c r="L106" s="7" t="s">
        <v>5429</v>
      </c>
      <c r="M106" s="8" t="str">
        <f>IF(Caja_Arequipa[[#This Row],[tipo_r]]="R","001-"&amp;12002+A106,M105)</f>
        <v>001-12101</v>
      </c>
      <c r="N106" s="8" t="str">
        <f t="shared" si="10"/>
        <v>PEN</v>
      </c>
      <c r="O106" s="13"/>
      <c r="P106" s="13">
        <v>43</v>
      </c>
      <c r="Q106" s="3">
        <f t="shared" si="8"/>
        <v>0</v>
      </c>
      <c r="R106" s="3">
        <f t="shared" si="9"/>
        <v>43</v>
      </c>
      <c r="S106" s="3">
        <f t="shared" si="6"/>
        <v>425.29999999999973</v>
      </c>
      <c r="T106" s="24" t="s">
        <v>1334</v>
      </c>
      <c r="U106" s="24" t="s">
        <v>1334</v>
      </c>
      <c r="V106" s="3"/>
      <c r="W106" s="25" t="str">
        <f>IFERROR(VLOOKUP(Caja_Arequipa[[#This Row],[destinatario]],CHOOSE({1,2},Clientes_Proveedores[Razon Social],Clientes_Proveedores[Ruc / Dni]),2,0),"")</f>
        <v/>
      </c>
      <c r="X106" s="3" t="s">
        <v>5430</v>
      </c>
      <c r="Y106" s="3"/>
      <c r="Z106" s="3"/>
      <c r="AA106" s="3"/>
      <c r="AB106" s="3" t="str">
        <f>IF(Caja_Arequipa[[#This Row],[fecha]]&gt;0,TEXT(Caja_Arequipa[[#This Row],[fecha]],"mmmm"),0)</f>
        <v>Febrero</v>
      </c>
    </row>
    <row r="107" spans="1:28" x14ac:dyDescent="0.3">
      <c r="A107" s="2">
        <f>IF(Caja_Arequipa[[#This Row],[tipo_r]]="R",COUNTIFS($C$1:$C106,"R")+1,A106)</f>
        <v>100</v>
      </c>
      <c r="B107" s="19" t="str">
        <f t="shared" si="7"/>
        <v>C-Tesoreria</v>
      </c>
      <c r="C107" s="3" t="s">
        <v>1330</v>
      </c>
      <c r="D107" s="14">
        <v>45695</v>
      </c>
      <c r="E107" s="5" t="s">
        <v>1416</v>
      </c>
      <c r="F107" s="5" t="s">
        <v>1336</v>
      </c>
      <c r="G107" s="3" t="s">
        <v>5259</v>
      </c>
      <c r="H107" s="6"/>
      <c r="I107" s="6" t="s">
        <v>111</v>
      </c>
      <c r="J107" s="6">
        <v>3</v>
      </c>
      <c r="K107" s="6">
        <v>32</v>
      </c>
      <c r="L107" s="7" t="s">
        <v>5419</v>
      </c>
      <c r="M107" s="8" t="str">
        <f>IF(Caja_Arequipa[[#This Row],[tipo_r]]="R","001-"&amp;12002+A107,M106)</f>
        <v>001-12102</v>
      </c>
      <c r="N107" s="8" t="str">
        <f t="shared" si="10"/>
        <v>PEN</v>
      </c>
      <c r="O107" s="13"/>
      <c r="P107" s="13">
        <v>91</v>
      </c>
      <c r="Q107" s="3">
        <f t="shared" si="8"/>
        <v>0</v>
      </c>
      <c r="R107" s="3">
        <f t="shared" si="9"/>
        <v>91</v>
      </c>
      <c r="S107" s="3">
        <f t="shared" si="6"/>
        <v>334.29999999999973</v>
      </c>
      <c r="T107" s="24" t="s">
        <v>1334</v>
      </c>
      <c r="U107" s="24" t="s">
        <v>1334</v>
      </c>
      <c r="V107" s="3"/>
      <c r="W107" s="25" t="str">
        <f>IFERROR(VLOOKUP(Caja_Arequipa[[#This Row],[destinatario]],CHOOSE({1,2},Clientes_Proveedores[Razon Social],Clientes_Proveedores[Ruc / Dni]),2,0),"")</f>
        <v/>
      </c>
      <c r="X107" s="3" t="s">
        <v>5431</v>
      </c>
      <c r="Y107" s="3"/>
      <c r="Z107" s="3"/>
      <c r="AA107" s="3"/>
      <c r="AB107" s="3" t="str">
        <f>IF(Caja_Arequipa[[#This Row],[fecha]]&gt;0,TEXT(Caja_Arequipa[[#This Row],[fecha]],"mmmm"),0)</f>
        <v>Febrero</v>
      </c>
    </row>
    <row r="108" spans="1:28" x14ac:dyDescent="0.3">
      <c r="A108" s="2">
        <f>IF(Caja_Arequipa[[#This Row],[tipo_r]]="R",COUNTIFS($C$1:$C107,"R")+1,A107)</f>
        <v>101</v>
      </c>
      <c r="B108" s="19" t="str">
        <f t="shared" si="7"/>
        <v>C-Tesoreria</v>
      </c>
      <c r="C108" s="3" t="s">
        <v>1330</v>
      </c>
      <c r="D108" s="14">
        <v>45698</v>
      </c>
      <c r="E108" s="5" t="s">
        <v>1416</v>
      </c>
      <c r="F108" s="5" t="s">
        <v>1303</v>
      </c>
      <c r="G108" s="3" t="s">
        <v>5432</v>
      </c>
      <c r="H108" s="6"/>
      <c r="I108" s="6"/>
      <c r="J108" s="6"/>
      <c r="K108" s="6"/>
      <c r="L108" s="7" t="s">
        <v>5433</v>
      </c>
      <c r="M108" s="8" t="str">
        <f>IF(Caja_Arequipa[[#This Row],[tipo_r]]="R","001-"&amp;12002+A108,M107)</f>
        <v>001-12103</v>
      </c>
      <c r="N108" s="8" t="str">
        <f t="shared" si="10"/>
        <v>PEN</v>
      </c>
      <c r="O108" s="13"/>
      <c r="P108" s="13">
        <v>1987.3</v>
      </c>
      <c r="Q108" s="3">
        <f t="shared" si="8"/>
        <v>1987.3</v>
      </c>
      <c r="R108" s="3">
        <f t="shared" si="9"/>
        <v>0</v>
      </c>
      <c r="S108" s="3">
        <f t="shared" si="6"/>
        <v>2321.5999999999995</v>
      </c>
      <c r="T108" s="24" t="s">
        <v>1334</v>
      </c>
      <c r="U108" s="24" t="s">
        <v>1334</v>
      </c>
      <c r="V108" s="3"/>
      <c r="W108" s="25" t="str">
        <f>IFERROR(VLOOKUP(Caja_Arequipa[[#This Row],[destinatario]],CHOOSE({1,2},Clientes_Proveedores[Razon Social],Clientes_Proveedores[Ruc / Dni]),2,0),"")</f>
        <v/>
      </c>
      <c r="X108" s="3"/>
      <c r="Y108" s="3"/>
      <c r="Z108" s="3"/>
      <c r="AA108" s="3"/>
      <c r="AB108" s="3" t="str">
        <f>IF(Caja_Arequipa[[#This Row],[fecha]]&gt;0,TEXT(Caja_Arequipa[[#This Row],[fecha]],"mmmm"),0)</f>
        <v>Febrero</v>
      </c>
    </row>
    <row r="109" spans="1:28" x14ac:dyDescent="0.3">
      <c r="A109" s="2">
        <f>IF(Caja_Arequipa[[#This Row],[tipo_r]]="R",COUNTIFS($C$1:$C108,"R")+1,A108)</f>
        <v>102</v>
      </c>
      <c r="B109" s="19" t="str">
        <f t="shared" si="7"/>
        <v>C-Tesoreria</v>
      </c>
      <c r="C109" s="3" t="s">
        <v>1330</v>
      </c>
      <c r="D109" s="14">
        <v>45698</v>
      </c>
      <c r="E109" s="5" t="s">
        <v>1416</v>
      </c>
      <c r="F109" s="5" t="s">
        <v>1336</v>
      </c>
      <c r="G109" s="3" t="s">
        <v>3634</v>
      </c>
      <c r="H109" s="6"/>
      <c r="I109" s="6"/>
      <c r="J109" s="6"/>
      <c r="K109" s="6"/>
      <c r="L109" s="7" t="s">
        <v>5434</v>
      </c>
      <c r="M109" s="8" t="str">
        <f>IF(Caja_Arequipa[[#This Row],[tipo_r]]="R","001-"&amp;12002+A109,M108)</f>
        <v>001-12104</v>
      </c>
      <c r="N109" s="8" t="str">
        <f t="shared" si="10"/>
        <v>PEN</v>
      </c>
      <c r="O109" s="13"/>
      <c r="P109" s="13">
        <v>1100</v>
      </c>
      <c r="Q109" s="3">
        <f t="shared" si="8"/>
        <v>0</v>
      </c>
      <c r="R109" s="3">
        <f t="shared" si="9"/>
        <v>1100</v>
      </c>
      <c r="S109" s="3">
        <f t="shared" si="6"/>
        <v>1221.5999999999995</v>
      </c>
      <c r="T109" s="24"/>
      <c r="U109" s="24"/>
      <c r="V109" s="3"/>
      <c r="W109" s="25" t="str">
        <f>IFERROR(VLOOKUP(Caja_Arequipa[[#This Row],[destinatario]],CHOOSE({1,2},Clientes_Proveedores[Razon Social],Clientes_Proveedores[Ruc / Dni]),2,0),"")</f>
        <v/>
      </c>
      <c r="X109" s="3"/>
      <c r="Y109" s="3"/>
      <c r="Z109" s="3"/>
      <c r="AA109" s="3"/>
      <c r="AB109" s="3" t="str">
        <f>IF(Caja_Arequipa[[#This Row],[fecha]]&gt;0,TEXT(Caja_Arequipa[[#This Row],[fecha]],"mmmm"),0)</f>
        <v>Febrero</v>
      </c>
    </row>
    <row r="110" spans="1:28" x14ac:dyDescent="0.3">
      <c r="A110" s="2">
        <f>IF(Caja_Arequipa[[#This Row],[tipo_r]]="R",COUNTIFS($C$1:$C109,"R")+1,A109)</f>
        <v>103</v>
      </c>
      <c r="B110" s="19" t="str">
        <f t="shared" si="7"/>
        <v>C-Tesoreria</v>
      </c>
      <c r="C110" s="3" t="s">
        <v>1330</v>
      </c>
      <c r="D110" s="14">
        <v>45698</v>
      </c>
      <c r="E110" s="5" t="s">
        <v>1416</v>
      </c>
      <c r="F110" s="5" t="s">
        <v>1336</v>
      </c>
      <c r="G110" s="3" t="s">
        <v>5380</v>
      </c>
      <c r="H110" s="6"/>
      <c r="I110" s="6"/>
      <c r="J110" s="6"/>
      <c r="K110" s="6"/>
      <c r="L110" s="7" t="s">
        <v>5435</v>
      </c>
      <c r="M110" s="8" t="str">
        <f>IF(Caja_Arequipa[[#This Row],[tipo_r]]="R","001-"&amp;12002+A110,M109)</f>
        <v>001-12105</v>
      </c>
      <c r="N110" s="8" t="str">
        <f t="shared" si="10"/>
        <v>PEN</v>
      </c>
      <c r="O110" s="13"/>
      <c r="P110" s="13">
        <v>129</v>
      </c>
      <c r="Q110" s="3">
        <f t="shared" si="8"/>
        <v>0</v>
      </c>
      <c r="R110" s="3">
        <f t="shared" si="9"/>
        <v>129</v>
      </c>
      <c r="S110" s="3">
        <f t="shared" si="6"/>
        <v>1092.5999999999995</v>
      </c>
      <c r="T110" s="24" t="s">
        <v>1334</v>
      </c>
      <c r="U110" s="24"/>
      <c r="V110" s="3"/>
      <c r="W110" s="25" t="str">
        <f>IFERROR(VLOOKUP(Caja_Arequipa[[#This Row],[destinatario]],CHOOSE({1,2},Clientes_Proveedores[Razon Social],Clientes_Proveedores[Ruc / Dni]),2,0),"")</f>
        <v/>
      </c>
      <c r="X110" s="3" t="s">
        <v>2685</v>
      </c>
      <c r="Y110" s="3"/>
      <c r="Z110" s="3"/>
      <c r="AA110" s="3"/>
      <c r="AB110" s="3" t="str">
        <f>IF(Caja_Arequipa[[#This Row],[fecha]]&gt;0,TEXT(Caja_Arequipa[[#This Row],[fecha]],"mmmm"),0)</f>
        <v>Febrero</v>
      </c>
    </row>
    <row r="111" spans="1:28" x14ac:dyDescent="0.3">
      <c r="A111" s="2">
        <f>IF(Caja_Arequipa[[#This Row],[tipo_r]]="R",COUNTIFS($C$1:$C110,"R")+1,A110)</f>
        <v>104</v>
      </c>
      <c r="B111" s="19" t="str">
        <f t="shared" si="7"/>
        <v>C-Tesoreria</v>
      </c>
      <c r="C111" s="3" t="s">
        <v>1330</v>
      </c>
      <c r="D111" s="14">
        <v>45698</v>
      </c>
      <c r="E111" s="5" t="s">
        <v>1416</v>
      </c>
      <c r="F111" s="5" t="s">
        <v>1336</v>
      </c>
      <c r="G111" s="3" t="s">
        <v>5380</v>
      </c>
      <c r="H111" s="6"/>
      <c r="I111" s="6"/>
      <c r="J111" s="6"/>
      <c r="K111" s="6"/>
      <c r="L111" s="7" t="s">
        <v>5436</v>
      </c>
      <c r="M111" s="8" t="str">
        <f>IF(Caja_Arequipa[[#This Row],[tipo_r]]="R","001-"&amp;12002+A111,M110)</f>
        <v>001-12106</v>
      </c>
      <c r="N111" s="8" t="str">
        <f t="shared" si="10"/>
        <v>PEN</v>
      </c>
      <c r="O111" s="13"/>
      <c r="P111" s="13">
        <v>35</v>
      </c>
      <c r="Q111" s="3">
        <f t="shared" si="8"/>
        <v>0</v>
      </c>
      <c r="R111" s="3">
        <f t="shared" si="9"/>
        <v>35</v>
      </c>
      <c r="S111" s="3">
        <f t="shared" si="6"/>
        <v>1057.5999999999995</v>
      </c>
      <c r="T111" s="24" t="s">
        <v>1334</v>
      </c>
      <c r="U111" s="24" t="s">
        <v>1334</v>
      </c>
      <c r="V111" s="3"/>
      <c r="W111" s="25" t="str">
        <f>IFERROR(VLOOKUP(Caja_Arequipa[[#This Row],[destinatario]],CHOOSE({1,2},Clientes_Proveedores[Razon Social],Clientes_Proveedores[Ruc / Dni]),2,0),"")</f>
        <v/>
      </c>
      <c r="X111" s="3" t="s">
        <v>5437</v>
      </c>
      <c r="Y111" s="3"/>
      <c r="Z111" s="3"/>
      <c r="AA111" s="3"/>
      <c r="AB111" s="3" t="str">
        <f>IF(Caja_Arequipa[[#This Row],[fecha]]&gt;0,TEXT(Caja_Arequipa[[#This Row],[fecha]],"mmmm"),0)</f>
        <v>Febrero</v>
      </c>
    </row>
    <row r="112" spans="1:28" x14ac:dyDescent="0.3">
      <c r="A112" s="2">
        <f>IF(Caja_Arequipa[[#This Row],[tipo_r]]="R",COUNTIFS($C$1:$C111,"R")+1,A111)</f>
        <v>105</v>
      </c>
      <c r="B112" s="19" t="str">
        <f t="shared" si="7"/>
        <v>C-Tesoreria</v>
      </c>
      <c r="C112" s="3" t="s">
        <v>1330</v>
      </c>
      <c r="D112" s="14">
        <v>45698</v>
      </c>
      <c r="E112" s="5" t="s">
        <v>1416</v>
      </c>
      <c r="F112" s="5" t="s">
        <v>1336</v>
      </c>
      <c r="G112" s="3" t="s">
        <v>5380</v>
      </c>
      <c r="H112" s="6"/>
      <c r="I112" s="6" t="s">
        <v>111</v>
      </c>
      <c r="J112" s="6">
        <v>3</v>
      </c>
      <c r="K112" s="6">
        <v>33</v>
      </c>
      <c r="L112" s="7" t="s">
        <v>5427</v>
      </c>
      <c r="M112" s="8" t="str">
        <f>IF(Caja_Arequipa[[#This Row],[tipo_r]]="R","001-"&amp;12002+A112,M111)</f>
        <v>001-12107</v>
      </c>
      <c r="N112" s="8" t="str">
        <f t="shared" si="10"/>
        <v>PEN</v>
      </c>
      <c r="O112" s="13"/>
      <c r="P112" s="13">
        <v>14</v>
      </c>
      <c r="Q112" s="3">
        <f t="shared" si="8"/>
        <v>0</v>
      </c>
      <c r="R112" s="3">
        <f t="shared" si="9"/>
        <v>14</v>
      </c>
      <c r="S112" s="3">
        <f t="shared" si="6"/>
        <v>1043.5999999999995</v>
      </c>
      <c r="T112" s="24" t="s">
        <v>1334</v>
      </c>
      <c r="U112" s="24" t="s">
        <v>1334</v>
      </c>
      <c r="V112" s="3"/>
      <c r="W112" s="25" t="str">
        <f>IFERROR(VLOOKUP(Caja_Arequipa[[#This Row],[destinatario]],CHOOSE({1,2},Clientes_Proveedores[Razon Social],Clientes_Proveedores[Ruc / Dni]),2,0),"")</f>
        <v/>
      </c>
      <c r="X112" s="3" t="s">
        <v>5438</v>
      </c>
      <c r="Y112" s="3"/>
      <c r="Z112" s="3"/>
      <c r="AA112" s="3"/>
      <c r="AB112" s="3" t="str">
        <f>IF(Caja_Arequipa[[#This Row],[fecha]]&gt;0,TEXT(Caja_Arequipa[[#This Row],[fecha]],"mmmm"),0)</f>
        <v>Febrero</v>
      </c>
    </row>
    <row r="113" spans="1:28" x14ac:dyDescent="0.3">
      <c r="A113" s="2">
        <f>IF(Caja_Arequipa[[#This Row],[tipo_r]]="R",COUNTIFS($C$1:$C112,"R")+1,A112)</f>
        <v>106</v>
      </c>
      <c r="B113" s="19" t="str">
        <f t="shared" si="7"/>
        <v>C-Tesoreria</v>
      </c>
      <c r="C113" s="3" t="s">
        <v>1330</v>
      </c>
      <c r="D113" s="14">
        <v>45698</v>
      </c>
      <c r="E113" s="5" t="s">
        <v>1416</v>
      </c>
      <c r="F113" s="5" t="s">
        <v>1336</v>
      </c>
      <c r="G113" s="3" t="s">
        <v>5380</v>
      </c>
      <c r="H113" s="6"/>
      <c r="I113" s="6" t="s">
        <v>111</v>
      </c>
      <c r="J113" s="6">
        <v>3</v>
      </c>
      <c r="K113" s="6">
        <v>34</v>
      </c>
      <c r="L113" s="7" t="s">
        <v>5439</v>
      </c>
      <c r="M113" s="8" t="str">
        <f>IF(Caja_Arequipa[[#This Row],[tipo_r]]="R","001-"&amp;12002+A113,M112)</f>
        <v>001-12108</v>
      </c>
      <c r="N113" s="8" t="str">
        <f t="shared" si="10"/>
        <v>PEN</v>
      </c>
      <c r="O113" s="13"/>
      <c r="P113" s="13">
        <v>30</v>
      </c>
      <c r="Q113" s="3">
        <f t="shared" si="8"/>
        <v>0</v>
      </c>
      <c r="R113" s="3">
        <f t="shared" si="9"/>
        <v>30</v>
      </c>
      <c r="S113" s="3">
        <f t="shared" si="6"/>
        <v>1013.5999999999995</v>
      </c>
      <c r="T113" s="24" t="s">
        <v>1334</v>
      </c>
      <c r="U113" s="24" t="s">
        <v>1334</v>
      </c>
      <c r="V113" s="3"/>
      <c r="W113" s="25" t="str">
        <f>IFERROR(VLOOKUP(Caja_Arequipa[[#This Row],[destinatario]],CHOOSE({1,2},Clientes_Proveedores[Razon Social],Clientes_Proveedores[Ruc / Dni]),2,0),"")</f>
        <v/>
      </c>
      <c r="X113" s="3" t="s">
        <v>5440</v>
      </c>
      <c r="Y113" s="3"/>
      <c r="Z113" s="3"/>
      <c r="AA113" s="3"/>
      <c r="AB113" s="3" t="str">
        <f>IF(Caja_Arequipa[[#This Row],[fecha]]&gt;0,TEXT(Caja_Arequipa[[#This Row],[fecha]],"mmmm"),0)</f>
        <v>Febrero</v>
      </c>
    </row>
    <row r="114" spans="1:28" x14ac:dyDescent="0.3">
      <c r="A114" s="2">
        <f>IF(Caja_Arequipa[[#This Row],[tipo_r]]="R",COUNTIFS($C$1:$C113,"R")+1,A113)</f>
        <v>107</v>
      </c>
      <c r="B114" s="19" t="str">
        <f t="shared" si="7"/>
        <v>C-Tesoreria</v>
      </c>
      <c r="C114" s="3" t="s">
        <v>1330</v>
      </c>
      <c r="D114" s="14">
        <v>45699</v>
      </c>
      <c r="E114" s="5" t="s">
        <v>1416</v>
      </c>
      <c r="F114" s="5" t="s">
        <v>1336</v>
      </c>
      <c r="G114" s="3" t="s">
        <v>5299</v>
      </c>
      <c r="H114" s="6"/>
      <c r="I114" s="6" t="s">
        <v>111</v>
      </c>
      <c r="J114" s="6">
        <v>3</v>
      </c>
      <c r="K114" s="6">
        <v>35</v>
      </c>
      <c r="L114" s="7" t="s">
        <v>5441</v>
      </c>
      <c r="M114" s="8" t="str">
        <f>IF(Caja_Arequipa[[#This Row],[tipo_r]]="R","001-"&amp;12002+A114,M113)</f>
        <v>001-12109</v>
      </c>
      <c r="N114" s="8" t="str">
        <f t="shared" si="10"/>
        <v>PEN</v>
      </c>
      <c r="O114" s="13"/>
      <c r="P114" s="13">
        <v>9</v>
      </c>
      <c r="Q114" s="3">
        <f t="shared" si="8"/>
        <v>0</v>
      </c>
      <c r="R114" s="3">
        <f t="shared" si="9"/>
        <v>9</v>
      </c>
      <c r="S114" s="3">
        <f t="shared" si="6"/>
        <v>1004.5999999999995</v>
      </c>
      <c r="T114" s="24" t="s">
        <v>1334</v>
      </c>
      <c r="U114" s="24" t="s">
        <v>1334</v>
      </c>
      <c r="V114" s="3"/>
      <c r="W114" s="25" t="str">
        <f>IFERROR(VLOOKUP(Caja_Arequipa[[#This Row],[destinatario]],CHOOSE({1,2},Clientes_Proveedores[Razon Social],Clientes_Proveedores[Ruc / Dni]),2,0),"")</f>
        <v/>
      </c>
      <c r="X114" s="3" t="s">
        <v>5442</v>
      </c>
      <c r="Y114" s="3"/>
      <c r="Z114" s="3"/>
      <c r="AA114" s="3"/>
      <c r="AB114" s="3" t="str">
        <f>IF(Caja_Arequipa[[#This Row],[fecha]]&gt;0,TEXT(Caja_Arequipa[[#This Row],[fecha]],"mmmm"),0)</f>
        <v>Febrero</v>
      </c>
    </row>
    <row r="115" spans="1:28" ht="24" x14ac:dyDescent="0.3">
      <c r="A115" s="2">
        <f>IF(Caja_Arequipa[[#This Row],[tipo_r]]="R",COUNTIFS($C$1:$C114,"R")+1,A114)</f>
        <v>108</v>
      </c>
      <c r="B115" s="19" t="str">
        <f t="shared" si="7"/>
        <v>C-Tesoreria</v>
      </c>
      <c r="C115" s="3" t="s">
        <v>1330</v>
      </c>
      <c r="D115" s="14">
        <v>45699</v>
      </c>
      <c r="E115" s="5" t="s">
        <v>1416</v>
      </c>
      <c r="F115" s="5" t="s">
        <v>1336</v>
      </c>
      <c r="G115" s="3" t="s">
        <v>5248</v>
      </c>
      <c r="H115" s="6"/>
      <c r="I115" s="6"/>
      <c r="J115" s="6"/>
      <c r="K115" s="6"/>
      <c r="L115" s="7" t="s">
        <v>5443</v>
      </c>
      <c r="M115" s="8" t="str">
        <f>IF(Caja_Arequipa[[#This Row],[tipo_r]]="R","001-"&amp;12002+A115,M114)</f>
        <v>001-12110</v>
      </c>
      <c r="N115" s="8" t="str">
        <f t="shared" si="10"/>
        <v>PEN</v>
      </c>
      <c r="O115" s="13"/>
      <c r="P115" s="13">
        <v>143</v>
      </c>
      <c r="Q115" s="3">
        <f t="shared" si="8"/>
        <v>0</v>
      </c>
      <c r="R115" s="3">
        <f t="shared" si="9"/>
        <v>143</v>
      </c>
      <c r="S115" s="3">
        <f t="shared" si="6"/>
        <v>861.59999999999945</v>
      </c>
      <c r="T115" s="24" t="s">
        <v>1334</v>
      </c>
      <c r="U115" s="24"/>
      <c r="V115" s="3"/>
      <c r="W115" s="25" t="str">
        <f>IFERROR(VLOOKUP(Caja_Arequipa[[#This Row],[destinatario]],CHOOSE({1,2},Clientes_Proveedores[Razon Social],Clientes_Proveedores[Ruc / Dni]),2,0),"")</f>
        <v/>
      </c>
      <c r="X115" s="3" t="s">
        <v>5444</v>
      </c>
      <c r="Y115" s="3" t="s">
        <v>5445</v>
      </c>
      <c r="Z115" s="3"/>
      <c r="AA115" s="3"/>
      <c r="AB115" s="3" t="str">
        <f>IF(Caja_Arequipa[[#This Row],[fecha]]&gt;0,TEXT(Caja_Arequipa[[#This Row],[fecha]],"mmmm"),0)</f>
        <v>Febrero</v>
      </c>
    </row>
    <row r="116" spans="1:28" x14ac:dyDescent="0.3">
      <c r="A116" s="2">
        <f>IF(Caja_Arequipa[[#This Row],[tipo_r]]="R",COUNTIFS($C$1:$C115,"R")+1,A115)</f>
        <v>109</v>
      </c>
      <c r="B116" s="19" t="str">
        <f t="shared" si="7"/>
        <v>C-Tesoreria</v>
      </c>
      <c r="C116" s="3" t="s">
        <v>1330</v>
      </c>
      <c r="D116" s="14">
        <v>45700</v>
      </c>
      <c r="E116" s="5" t="s">
        <v>1416</v>
      </c>
      <c r="F116" s="5" t="s">
        <v>1336</v>
      </c>
      <c r="G116" s="3" t="s">
        <v>5317</v>
      </c>
      <c r="H116" s="6"/>
      <c r="I116" s="6"/>
      <c r="J116" s="6"/>
      <c r="K116" s="6"/>
      <c r="L116" s="7" t="s">
        <v>5446</v>
      </c>
      <c r="M116" s="8" t="str">
        <f>IF(Caja_Arequipa[[#This Row],[tipo_r]]="R","001-"&amp;12002+A116,M115)</f>
        <v>001-12111</v>
      </c>
      <c r="N116" s="8" t="str">
        <f t="shared" si="10"/>
        <v>PEN</v>
      </c>
      <c r="O116" s="13"/>
      <c r="P116" s="13">
        <v>150</v>
      </c>
      <c r="Q116" s="3">
        <f t="shared" si="8"/>
        <v>0</v>
      </c>
      <c r="R116" s="3">
        <f t="shared" si="9"/>
        <v>150</v>
      </c>
      <c r="S116" s="3">
        <f t="shared" si="6"/>
        <v>711.59999999999945</v>
      </c>
      <c r="T116" s="24" t="s">
        <v>1334</v>
      </c>
      <c r="U116" s="24" t="s">
        <v>1334</v>
      </c>
      <c r="V116" s="3"/>
      <c r="W116" s="25" t="str">
        <f>IFERROR(VLOOKUP(Caja_Arequipa[[#This Row],[destinatario]],CHOOSE({1,2},Clientes_Proveedores[Razon Social],Clientes_Proveedores[Ruc / Dni]),2,0),"")</f>
        <v/>
      </c>
      <c r="X116" s="3" t="s">
        <v>5447</v>
      </c>
      <c r="Y116" s="3"/>
      <c r="Z116" s="3"/>
      <c r="AA116" s="3"/>
      <c r="AB116" s="3" t="str">
        <f>IF(Caja_Arequipa[[#This Row],[fecha]]&gt;0,TEXT(Caja_Arequipa[[#This Row],[fecha]],"mmmm"),0)</f>
        <v>Febrero</v>
      </c>
    </row>
    <row r="117" spans="1:28" x14ac:dyDescent="0.3">
      <c r="A117" s="2">
        <f>IF(Caja_Arequipa[[#This Row],[tipo_r]]="R",COUNTIFS($C$1:$C116,"R")+1,A116)</f>
        <v>110</v>
      </c>
      <c r="B117" s="19" t="str">
        <f t="shared" si="7"/>
        <v>C-Tesoreria</v>
      </c>
      <c r="C117" s="3" t="s">
        <v>1330</v>
      </c>
      <c r="D117" s="14">
        <v>45700</v>
      </c>
      <c r="E117" s="5" t="s">
        <v>1416</v>
      </c>
      <c r="F117" s="5" t="s">
        <v>1336</v>
      </c>
      <c r="G117" s="3" t="s">
        <v>5287</v>
      </c>
      <c r="H117" s="6"/>
      <c r="I117" s="6" t="s">
        <v>111</v>
      </c>
      <c r="J117" s="6">
        <v>3</v>
      </c>
      <c r="K117" s="6">
        <v>43</v>
      </c>
      <c r="L117" s="7" t="s">
        <v>5448</v>
      </c>
      <c r="M117" s="8" t="str">
        <f>IF(Caja_Arequipa[[#This Row],[tipo_r]]="R","001-"&amp;12002+A117,M116)</f>
        <v>001-12112</v>
      </c>
      <c r="N117" s="8" t="str">
        <f t="shared" si="10"/>
        <v>PEN</v>
      </c>
      <c r="O117" s="13"/>
      <c r="P117" s="13">
        <v>30</v>
      </c>
      <c r="Q117" s="3">
        <f t="shared" si="8"/>
        <v>0</v>
      </c>
      <c r="R117" s="3">
        <f t="shared" si="9"/>
        <v>30</v>
      </c>
      <c r="S117" s="3">
        <f t="shared" si="6"/>
        <v>681.59999999999945</v>
      </c>
      <c r="T117" s="24" t="s">
        <v>1334</v>
      </c>
      <c r="U117" s="24" t="s">
        <v>1334</v>
      </c>
      <c r="V117" s="3"/>
      <c r="W117" s="25" t="str">
        <f>IFERROR(VLOOKUP(Caja_Arequipa[[#This Row],[destinatario]],CHOOSE({1,2},Clientes_Proveedores[Razon Social],Clientes_Proveedores[Ruc / Dni]),2,0),"")</f>
        <v/>
      </c>
      <c r="X117" s="3" t="s">
        <v>5449</v>
      </c>
      <c r="Y117" s="3"/>
      <c r="Z117" s="3"/>
      <c r="AA117" s="3"/>
      <c r="AB117" s="3" t="str">
        <f>IF(Caja_Arequipa[[#This Row],[fecha]]&gt;0,TEXT(Caja_Arequipa[[#This Row],[fecha]],"mmmm"),0)</f>
        <v>Febrero</v>
      </c>
    </row>
    <row r="118" spans="1:28" ht="24" x14ac:dyDescent="0.3">
      <c r="A118" s="2">
        <f>IF(Caja_Arequipa[[#This Row],[tipo_r]]="R",COUNTIFS($C$1:$C117,"R")+1,A117)</f>
        <v>111</v>
      </c>
      <c r="B118" s="19" t="str">
        <f t="shared" si="7"/>
        <v>C-Tesoreria</v>
      </c>
      <c r="C118" s="3" t="s">
        <v>1330</v>
      </c>
      <c r="D118" s="14">
        <v>45700</v>
      </c>
      <c r="E118" s="5" t="s">
        <v>1416</v>
      </c>
      <c r="F118" s="5" t="s">
        <v>1336</v>
      </c>
      <c r="G118" s="3" t="s">
        <v>5450</v>
      </c>
      <c r="H118" s="6"/>
      <c r="I118" s="6"/>
      <c r="J118" s="6"/>
      <c r="K118" s="6"/>
      <c r="L118" s="7" t="s">
        <v>5451</v>
      </c>
      <c r="M118" s="8" t="str">
        <f>IF(Caja_Arequipa[[#This Row],[tipo_r]]="R","001-"&amp;12002+A118,M117)</f>
        <v>001-12113</v>
      </c>
      <c r="N118" s="8" t="str">
        <f t="shared" si="10"/>
        <v>PEN</v>
      </c>
      <c r="O118" s="13"/>
      <c r="P118" s="13">
        <v>69</v>
      </c>
      <c r="Q118" s="3">
        <f t="shared" si="8"/>
        <v>0</v>
      </c>
      <c r="R118" s="3">
        <f t="shared" si="9"/>
        <v>69</v>
      </c>
      <c r="S118" s="3">
        <f t="shared" si="6"/>
        <v>612.59999999999945</v>
      </c>
      <c r="T118" s="24" t="s">
        <v>1334</v>
      </c>
      <c r="U118" s="24" t="s">
        <v>1334</v>
      </c>
      <c r="V118" s="3"/>
      <c r="W118" s="25" t="str">
        <f>IFERROR(VLOOKUP(Caja_Arequipa[[#This Row],[destinatario]],CHOOSE({1,2},Clientes_Proveedores[Razon Social],Clientes_Proveedores[Ruc / Dni]),2,0),"")</f>
        <v/>
      </c>
      <c r="X118" s="3" t="s">
        <v>5452</v>
      </c>
      <c r="Y118" s="3"/>
      <c r="Z118" s="3"/>
      <c r="AA118" s="3"/>
      <c r="AB118" s="3" t="str">
        <f>IF(Caja_Arequipa[[#This Row],[fecha]]&gt;0,TEXT(Caja_Arequipa[[#This Row],[fecha]],"mmmm"),0)</f>
        <v>Febrero</v>
      </c>
    </row>
    <row r="119" spans="1:28" x14ac:dyDescent="0.3">
      <c r="A119" s="2">
        <f>IF(Caja_Arequipa[[#This Row],[tipo_r]]="R",COUNTIFS($C$1:$C118,"R")+1,A118)</f>
        <v>112</v>
      </c>
      <c r="B119" s="19" t="str">
        <f t="shared" si="7"/>
        <v>C-Tesoreria</v>
      </c>
      <c r="C119" s="3" t="s">
        <v>1330</v>
      </c>
      <c r="D119" s="14">
        <v>45700</v>
      </c>
      <c r="E119" s="5" t="s">
        <v>1416</v>
      </c>
      <c r="F119" s="5" t="s">
        <v>1336</v>
      </c>
      <c r="G119" s="3" t="s">
        <v>5299</v>
      </c>
      <c r="H119" s="6"/>
      <c r="I119" s="6"/>
      <c r="J119" s="6"/>
      <c r="K119" s="6"/>
      <c r="L119" s="7" t="s">
        <v>5453</v>
      </c>
      <c r="M119" s="8" t="str">
        <f>IF(Caja_Arequipa[[#This Row],[tipo_r]]="R","001-"&amp;12002+A119,M118)</f>
        <v>001-12114</v>
      </c>
      <c r="N119" s="8" t="str">
        <f t="shared" si="10"/>
        <v>PEN</v>
      </c>
      <c r="O119" s="13"/>
      <c r="P119" s="13">
        <v>81</v>
      </c>
      <c r="Q119" s="3">
        <f t="shared" si="8"/>
        <v>0</v>
      </c>
      <c r="R119" s="3">
        <f t="shared" si="9"/>
        <v>81</v>
      </c>
      <c r="S119" s="3">
        <f t="shared" si="6"/>
        <v>531.59999999999945</v>
      </c>
      <c r="T119" s="24" t="s">
        <v>1334</v>
      </c>
      <c r="U119" s="24" t="s">
        <v>1334</v>
      </c>
      <c r="V119" s="3"/>
      <c r="W119" s="25" t="str">
        <f>IFERROR(VLOOKUP(Caja_Arequipa[[#This Row],[destinatario]],CHOOSE({1,2},Clientes_Proveedores[Razon Social],Clientes_Proveedores[Ruc / Dni]),2,0),"")</f>
        <v/>
      </c>
      <c r="X119" s="3" t="s">
        <v>5454</v>
      </c>
      <c r="Y119" s="3"/>
      <c r="Z119" s="3"/>
      <c r="AA119" s="3"/>
      <c r="AB119" s="3" t="str">
        <f>IF(Caja_Arequipa[[#This Row],[fecha]]&gt;0,TEXT(Caja_Arequipa[[#This Row],[fecha]],"mmmm"),0)</f>
        <v>Febrero</v>
      </c>
    </row>
    <row r="120" spans="1:28" ht="24" x14ac:dyDescent="0.3">
      <c r="A120" s="2">
        <f>IF(Caja_Arequipa[[#This Row],[tipo_r]]="R",COUNTIFS($C$1:$C119,"R")+1,A119)</f>
        <v>113</v>
      </c>
      <c r="B120" s="19" t="str">
        <f t="shared" si="7"/>
        <v>C-Tesoreria</v>
      </c>
      <c r="C120" s="3" t="s">
        <v>1330</v>
      </c>
      <c r="D120" s="14">
        <v>45701</v>
      </c>
      <c r="E120" s="5" t="s">
        <v>1416</v>
      </c>
      <c r="F120" s="5" t="s">
        <v>1336</v>
      </c>
      <c r="G120" s="3" t="s">
        <v>5455</v>
      </c>
      <c r="H120" s="6"/>
      <c r="I120" s="6"/>
      <c r="J120" s="6"/>
      <c r="K120" s="6"/>
      <c r="L120" s="7" t="s">
        <v>5456</v>
      </c>
      <c r="M120" s="8" t="str">
        <f>IF(Caja_Arequipa[[#This Row],[tipo_r]]="R","001-"&amp;12002+A120,M119)</f>
        <v>001-12115</v>
      </c>
      <c r="N120" s="8" t="str">
        <f t="shared" si="10"/>
        <v>PEN</v>
      </c>
      <c r="O120" s="13"/>
      <c r="P120" s="13">
        <v>15</v>
      </c>
      <c r="Q120" s="3">
        <f t="shared" si="8"/>
        <v>0</v>
      </c>
      <c r="R120" s="3">
        <f t="shared" si="9"/>
        <v>15</v>
      </c>
      <c r="S120" s="3">
        <f t="shared" si="6"/>
        <v>516.59999999999945</v>
      </c>
      <c r="T120" s="24" t="s">
        <v>1334</v>
      </c>
      <c r="U120" s="24" t="s">
        <v>1334</v>
      </c>
      <c r="V120" s="3"/>
      <c r="W120" s="25" t="str">
        <f>IFERROR(VLOOKUP(Caja_Arequipa[[#This Row],[destinatario]],CHOOSE({1,2},Clientes_Proveedores[Razon Social],Clientes_Proveedores[Ruc / Dni]),2,0),"")</f>
        <v/>
      </c>
      <c r="X120" s="3" t="s">
        <v>5457</v>
      </c>
      <c r="Y120" s="3"/>
      <c r="Z120" s="3"/>
      <c r="AA120" s="3"/>
      <c r="AB120" s="3" t="str">
        <f>IF(Caja_Arequipa[[#This Row],[fecha]]&gt;0,TEXT(Caja_Arequipa[[#This Row],[fecha]],"mmmm"),0)</f>
        <v>Febrero</v>
      </c>
    </row>
    <row r="121" spans="1:28" x14ac:dyDescent="0.3">
      <c r="A121" s="2">
        <f>IF(Caja_Arequipa[[#This Row],[tipo_r]]="R",COUNTIFS($C$1:$C120,"R")+1,A120)</f>
        <v>114</v>
      </c>
      <c r="B121" s="19" t="str">
        <f t="shared" si="7"/>
        <v>C-Tesoreria</v>
      </c>
      <c r="C121" s="3" t="s">
        <v>1330</v>
      </c>
      <c r="D121" s="14">
        <v>45705</v>
      </c>
      <c r="E121" s="5" t="s">
        <v>1416</v>
      </c>
      <c r="F121" s="5" t="s">
        <v>1336</v>
      </c>
      <c r="G121" s="3" t="s">
        <v>5299</v>
      </c>
      <c r="H121" s="6"/>
      <c r="I121" s="6"/>
      <c r="J121" s="6"/>
      <c r="K121" s="6"/>
      <c r="L121" s="7" t="s">
        <v>5458</v>
      </c>
      <c r="M121" s="8" t="str">
        <f>IF(Caja_Arequipa[[#This Row],[tipo_r]]="R","001-"&amp;12002+A121,M120)</f>
        <v>001-12116</v>
      </c>
      <c r="N121" s="8" t="str">
        <f t="shared" si="10"/>
        <v>PEN</v>
      </c>
      <c r="O121" s="13"/>
      <c r="P121" s="13">
        <v>65</v>
      </c>
      <c r="Q121" s="3">
        <f t="shared" si="8"/>
        <v>0</v>
      </c>
      <c r="R121" s="3">
        <f t="shared" si="9"/>
        <v>65</v>
      </c>
      <c r="S121" s="3">
        <f t="shared" si="6"/>
        <v>451.59999999999945</v>
      </c>
      <c r="T121" s="24" t="s">
        <v>1334</v>
      </c>
      <c r="U121" s="24" t="s">
        <v>1334</v>
      </c>
      <c r="V121" s="3"/>
      <c r="W121" s="25" t="str">
        <f>IFERROR(VLOOKUP(Caja_Arequipa[[#This Row],[destinatario]],CHOOSE({1,2},Clientes_Proveedores[Razon Social],Clientes_Proveedores[Ruc / Dni]),2,0),"")</f>
        <v/>
      </c>
      <c r="X121" s="3" t="s">
        <v>5459</v>
      </c>
      <c r="Y121" s="3"/>
      <c r="Z121" s="3"/>
      <c r="AA121" s="3"/>
      <c r="AB121" s="3" t="str">
        <f>IF(Caja_Arequipa[[#This Row],[fecha]]&gt;0,TEXT(Caja_Arequipa[[#This Row],[fecha]],"mmmm"),0)</f>
        <v>Febrero</v>
      </c>
    </row>
    <row r="122" spans="1:28" x14ac:dyDescent="0.3">
      <c r="A122" s="2">
        <f>IF(Caja_Arequipa[[#This Row],[tipo_r]]="R",COUNTIFS($C$1:$C121,"R")+1,A121)</f>
        <v>115</v>
      </c>
      <c r="B122" s="19" t="str">
        <f t="shared" si="7"/>
        <v>C-Tesoreria</v>
      </c>
      <c r="C122" s="3" t="s">
        <v>1330</v>
      </c>
      <c r="D122" s="14">
        <v>45705</v>
      </c>
      <c r="E122" s="5" t="s">
        <v>1416</v>
      </c>
      <c r="F122" s="5" t="s">
        <v>1336</v>
      </c>
      <c r="G122" s="3" t="s">
        <v>5299</v>
      </c>
      <c r="H122" s="6"/>
      <c r="I122" s="6"/>
      <c r="J122" s="6"/>
      <c r="K122" s="6"/>
      <c r="L122" s="7" t="s">
        <v>5460</v>
      </c>
      <c r="M122" s="8" t="str">
        <f>IF(Caja_Arequipa[[#This Row],[tipo_r]]="R","001-"&amp;12002+A122,M121)</f>
        <v>001-12117</v>
      </c>
      <c r="N122" s="8" t="str">
        <f t="shared" si="10"/>
        <v>PEN</v>
      </c>
      <c r="O122" s="13"/>
      <c r="P122" s="13">
        <v>22</v>
      </c>
      <c r="Q122" s="3">
        <f t="shared" si="8"/>
        <v>0</v>
      </c>
      <c r="R122" s="3">
        <f t="shared" si="9"/>
        <v>22</v>
      </c>
      <c r="S122" s="3">
        <f t="shared" si="6"/>
        <v>429.59999999999945</v>
      </c>
      <c r="T122" s="24" t="s">
        <v>1334</v>
      </c>
      <c r="U122" s="24" t="s">
        <v>1334</v>
      </c>
      <c r="V122" s="3"/>
      <c r="W122" s="25" t="str">
        <f>IFERROR(VLOOKUP(Caja_Arequipa[[#This Row],[destinatario]],CHOOSE({1,2},Clientes_Proveedores[Razon Social],Clientes_Proveedores[Ruc / Dni]),2,0),"")</f>
        <v/>
      </c>
      <c r="X122" s="3" t="s">
        <v>5461</v>
      </c>
      <c r="Y122" s="3"/>
      <c r="Z122" s="3"/>
      <c r="AA122" s="3"/>
      <c r="AB122" s="3" t="str">
        <f>IF(Caja_Arequipa[[#This Row],[fecha]]&gt;0,TEXT(Caja_Arequipa[[#This Row],[fecha]],"mmmm"),0)</f>
        <v>Febrero</v>
      </c>
    </row>
    <row r="123" spans="1:28" ht="24" x14ac:dyDescent="0.3">
      <c r="A123" s="2">
        <f>IF(Caja_Arequipa[[#This Row],[tipo_r]]="R",COUNTIFS($C$1:$C122,"R")+1,A122)</f>
        <v>116</v>
      </c>
      <c r="B123" s="19" t="str">
        <f t="shared" si="7"/>
        <v>C-Tesoreria</v>
      </c>
      <c r="C123" s="3" t="s">
        <v>1330</v>
      </c>
      <c r="D123" s="14">
        <v>45705</v>
      </c>
      <c r="E123" s="5" t="s">
        <v>1416</v>
      </c>
      <c r="F123" s="5" t="s">
        <v>1336</v>
      </c>
      <c r="G123" s="3" t="s">
        <v>5299</v>
      </c>
      <c r="H123" s="6"/>
      <c r="I123" s="6" t="s">
        <v>111</v>
      </c>
      <c r="J123" s="6">
        <v>3</v>
      </c>
      <c r="K123" s="6">
        <v>36</v>
      </c>
      <c r="L123" s="7" t="s">
        <v>5462</v>
      </c>
      <c r="M123" s="8" t="str">
        <f>IF(Caja_Arequipa[[#This Row],[tipo_r]]="R","001-"&amp;12002+A123,M122)</f>
        <v>001-12118</v>
      </c>
      <c r="N123" s="8" t="str">
        <f t="shared" si="10"/>
        <v>PEN</v>
      </c>
      <c r="O123" s="13"/>
      <c r="P123" s="13">
        <v>2</v>
      </c>
      <c r="Q123" s="3">
        <f t="shared" si="8"/>
        <v>0</v>
      </c>
      <c r="R123" s="3">
        <f t="shared" si="9"/>
        <v>2</v>
      </c>
      <c r="S123" s="3">
        <f t="shared" si="6"/>
        <v>427.59999999999945</v>
      </c>
      <c r="T123" s="24" t="s">
        <v>1334</v>
      </c>
      <c r="U123" s="24" t="s">
        <v>1334</v>
      </c>
      <c r="V123" s="3"/>
      <c r="W123" s="25" t="str">
        <f>IFERROR(VLOOKUP(Caja_Arequipa[[#This Row],[destinatario]],CHOOSE({1,2},Clientes_Proveedores[Razon Social],Clientes_Proveedores[Ruc / Dni]),2,0),"")</f>
        <v/>
      </c>
      <c r="X123" s="3" t="s">
        <v>5463</v>
      </c>
      <c r="Y123" s="3"/>
      <c r="Z123" s="3"/>
      <c r="AA123" s="3"/>
      <c r="AB123" s="3" t="str">
        <f>IF(Caja_Arequipa[[#This Row],[fecha]]&gt;0,TEXT(Caja_Arequipa[[#This Row],[fecha]],"mmmm"),0)</f>
        <v>Febrero</v>
      </c>
    </row>
    <row r="124" spans="1:28" x14ac:dyDescent="0.3">
      <c r="A124" s="2">
        <f>IF(Caja_Arequipa[[#This Row],[tipo_r]]="R",COUNTIFS($C$1:$C123,"R")+1,A123)</f>
        <v>117</v>
      </c>
      <c r="B124" s="19" t="str">
        <f t="shared" si="7"/>
        <v>C-Tesoreria</v>
      </c>
      <c r="C124" s="3" t="s">
        <v>1330</v>
      </c>
      <c r="D124" s="14">
        <v>45706</v>
      </c>
      <c r="E124" s="5" t="s">
        <v>1416</v>
      </c>
      <c r="F124" s="5" t="s">
        <v>1336</v>
      </c>
      <c r="G124" s="3" t="s">
        <v>5380</v>
      </c>
      <c r="H124" s="6"/>
      <c r="I124" s="6"/>
      <c r="J124" s="6"/>
      <c r="K124" s="6"/>
      <c r="L124" s="7" t="s">
        <v>5464</v>
      </c>
      <c r="M124" s="8" t="str">
        <f>IF(Caja_Arequipa[[#This Row],[tipo_r]]="R","001-"&amp;12002+A124,M123)</f>
        <v>001-12119</v>
      </c>
      <c r="N124" s="8" t="str">
        <f t="shared" si="10"/>
        <v>PEN</v>
      </c>
      <c r="O124" s="13"/>
      <c r="P124" s="13">
        <v>92.7</v>
      </c>
      <c r="Q124" s="3">
        <f t="shared" si="8"/>
        <v>0</v>
      </c>
      <c r="R124" s="3">
        <f t="shared" si="9"/>
        <v>92.7</v>
      </c>
      <c r="S124" s="3">
        <f t="shared" si="6"/>
        <v>334.89999999999947</v>
      </c>
      <c r="T124" s="24" t="s">
        <v>1334</v>
      </c>
      <c r="U124" s="24" t="s">
        <v>1334</v>
      </c>
      <c r="V124" s="3"/>
      <c r="W124" s="25" t="str">
        <f>IFERROR(VLOOKUP(Caja_Arequipa[[#This Row],[destinatario]],CHOOSE({1,2},Clientes_Proveedores[Razon Social],Clientes_Proveedores[Ruc / Dni]),2,0),"")</f>
        <v/>
      </c>
      <c r="X124" s="3" t="s">
        <v>5465</v>
      </c>
      <c r="Y124" s="3"/>
      <c r="Z124" s="3"/>
      <c r="AA124" s="3"/>
      <c r="AB124" s="3" t="str">
        <f>IF(Caja_Arequipa[[#This Row],[fecha]]&gt;0,TEXT(Caja_Arequipa[[#This Row],[fecha]],"mmmm"),0)</f>
        <v>Febrero</v>
      </c>
    </row>
    <row r="125" spans="1:28" ht="36" x14ac:dyDescent="0.3">
      <c r="A125" s="2">
        <f>IF(Caja_Arequipa[[#This Row],[tipo_r]]="R",COUNTIFS($C$1:$C124,"R")+1,A124)</f>
        <v>118</v>
      </c>
      <c r="B125" s="19" t="str">
        <f t="shared" si="7"/>
        <v>C-Tesoreria</v>
      </c>
      <c r="C125" s="3" t="s">
        <v>1330</v>
      </c>
      <c r="D125" s="14">
        <v>45706</v>
      </c>
      <c r="E125" s="5" t="s">
        <v>1416</v>
      </c>
      <c r="F125" s="5" t="s">
        <v>1336</v>
      </c>
      <c r="G125" s="3" t="s">
        <v>5274</v>
      </c>
      <c r="H125" s="6"/>
      <c r="I125" s="6"/>
      <c r="J125" s="6"/>
      <c r="K125" s="6"/>
      <c r="L125" s="7" t="s">
        <v>5466</v>
      </c>
      <c r="M125" s="8" t="str">
        <f>IF(Caja_Arequipa[[#This Row],[tipo_r]]="R","001-"&amp;12002+A125,M124)</f>
        <v>001-12120</v>
      </c>
      <c r="N125" s="8" t="str">
        <f t="shared" si="10"/>
        <v>PEN</v>
      </c>
      <c r="O125" s="13"/>
      <c r="P125" s="13">
        <v>15.6</v>
      </c>
      <c r="Q125" s="3">
        <f t="shared" si="8"/>
        <v>0</v>
      </c>
      <c r="R125" s="3">
        <f t="shared" si="9"/>
        <v>15.6</v>
      </c>
      <c r="S125" s="3">
        <f t="shared" si="6"/>
        <v>319.29999999999944</v>
      </c>
      <c r="T125" s="24" t="s">
        <v>1334</v>
      </c>
      <c r="U125" s="24" t="s">
        <v>1334</v>
      </c>
      <c r="V125" s="3"/>
      <c r="W125" s="25" t="str">
        <f>IFERROR(VLOOKUP(Caja_Arequipa[[#This Row],[destinatario]],CHOOSE({1,2},Clientes_Proveedores[Razon Social],Clientes_Proveedores[Ruc / Dni]),2,0),"")</f>
        <v/>
      </c>
      <c r="X125" s="3" t="s">
        <v>5467</v>
      </c>
      <c r="Y125" s="3"/>
      <c r="Z125" s="3"/>
      <c r="AA125" s="3"/>
      <c r="AB125" s="3" t="str">
        <f>IF(Caja_Arequipa[[#This Row],[fecha]]&gt;0,TEXT(Caja_Arequipa[[#This Row],[fecha]],"mmmm"),0)</f>
        <v>Febrero</v>
      </c>
    </row>
    <row r="126" spans="1:28" ht="24" x14ac:dyDescent="0.3">
      <c r="A126" s="2">
        <f>IF(Caja_Arequipa[[#This Row],[tipo_r]]="R",COUNTIFS($C$1:$C125,"R")+1,A125)</f>
        <v>119</v>
      </c>
      <c r="B126" s="19" t="str">
        <f t="shared" si="7"/>
        <v>C-Tesoreria</v>
      </c>
      <c r="C126" s="3" t="s">
        <v>1330</v>
      </c>
      <c r="D126" s="14">
        <v>45706</v>
      </c>
      <c r="E126" s="5" t="s">
        <v>1416</v>
      </c>
      <c r="F126" s="5" t="s">
        <v>1336</v>
      </c>
      <c r="G126" s="3" t="s">
        <v>5299</v>
      </c>
      <c r="H126" s="6"/>
      <c r="I126" s="6"/>
      <c r="J126" s="6"/>
      <c r="K126" s="6"/>
      <c r="L126" s="7" t="s">
        <v>5468</v>
      </c>
      <c r="M126" s="8" t="str">
        <f>IF(Caja_Arequipa[[#This Row],[tipo_r]]="R","001-"&amp;12002+A126,M125)</f>
        <v>001-12121</v>
      </c>
      <c r="N126" s="8" t="str">
        <f t="shared" si="10"/>
        <v>PEN</v>
      </c>
      <c r="O126" s="13"/>
      <c r="P126" s="13">
        <v>52.6</v>
      </c>
      <c r="Q126" s="3">
        <f t="shared" si="8"/>
        <v>0</v>
      </c>
      <c r="R126" s="3">
        <f t="shared" si="9"/>
        <v>52.6</v>
      </c>
      <c r="S126" s="3">
        <f t="shared" si="6"/>
        <v>266.69999999999942</v>
      </c>
      <c r="T126" s="24" t="s">
        <v>1334</v>
      </c>
      <c r="U126" s="24" t="s">
        <v>1334</v>
      </c>
      <c r="V126" s="3"/>
      <c r="W126" s="25" t="str">
        <f>IFERROR(VLOOKUP(Caja_Arequipa[[#This Row],[destinatario]],CHOOSE({1,2},Clientes_Proveedores[Razon Social],Clientes_Proveedores[Ruc / Dni]),2,0),"")</f>
        <v/>
      </c>
      <c r="X126" s="3" t="s">
        <v>5469</v>
      </c>
      <c r="Y126" s="3"/>
      <c r="Z126" s="3"/>
      <c r="AA126" s="3"/>
      <c r="AB126" s="3" t="str">
        <f>IF(Caja_Arequipa[[#This Row],[fecha]]&gt;0,TEXT(Caja_Arequipa[[#This Row],[fecha]],"mmmm"),0)</f>
        <v>Febrero</v>
      </c>
    </row>
    <row r="127" spans="1:28" ht="24" x14ac:dyDescent="0.3">
      <c r="A127" s="2">
        <f>IF(Caja_Arequipa[[#This Row],[tipo_r]]="R",COUNTIFS($C$1:$C126,"R")+1,A126)</f>
        <v>119</v>
      </c>
      <c r="B127" s="19" t="str">
        <f>"C-Tesoreria"</f>
        <v>C-Tesoreria</v>
      </c>
      <c r="C127" s="3" t="s">
        <v>1352</v>
      </c>
      <c r="D127" s="14">
        <v>45706</v>
      </c>
      <c r="E127" s="5" t="s">
        <v>1416</v>
      </c>
      <c r="F127" s="5" t="s">
        <v>1336</v>
      </c>
      <c r="G127" s="3"/>
      <c r="H127" s="6" t="s">
        <v>884</v>
      </c>
      <c r="I127" s="6" t="s">
        <v>111</v>
      </c>
      <c r="J127" s="6">
        <v>3</v>
      </c>
      <c r="K127" s="6">
        <v>85</v>
      </c>
      <c r="L127" s="7" t="s">
        <v>5468</v>
      </c>
      <c r="M127" s="8" t="str">
        <f>IF(Caja_Arequipa[[#This Row],[tipo_r]]="R","001-"&amp;12002+A127,M126)</f>
        <v>001-12121</v>
      </c>
      <c r="N127" s="8" t="str">
        <f>"PEN"</f>
        <v>PEN</v>
      </c>
      <c r="O127" s="13">
        <v>36</v>
      </c>
      <c r="P127" s="13"/>
      <c r="Q127" s="3">
        <f>+IF(OR($F127="SALDO",$F127="INGRESO"),$P127,0)</f>
        <v>0</v>
      </c>
      <c r="R127" s="3">
        <f>+IF($F127="EGRESO",$P127,0)</f>
        <v>0</v>
      </c>
      <c r="S127" s="3">
        <f t="shared" si="6"/>
        <v>266.69999999999942</v>
      </c>
      <c r="T127" s="24" t="s">
        <v>1334</v>
      </c>
      <c r="U127" s="24" t="s">
        <v>1334</v>
      </c>
      <c r="V127" s="3"/>
      <c r="W127" s="25">
        <f>IFERROR(VLOOKUP(Caja_Arequipa[[#This Row],[destinatario]],CHOOSE({1,2},Clientes_Proveedores[Razon Social],Clientes_Proveedores[Ruc / Dni]),2,0),"")</f>
        <v>71979355</v>
      </c>
      <c r="X127" s="3"/>
      <c r="Y127" s="3"/>
      <c r="Z127" s="3"/>
      <c r="AA127" s="3"/>
      <c r="AB127" s="3" t="str">
        <f>IF(Caja_Arequipa[[#This Row],[fecha]]&gt;0,TEXT(Caja_Arequipa[[#This Row],[fecha]],"mmmm"),0)</f>
        <v>Febrero</v>
      </c>
    </row>
    <row r="128" spans="1:28" ht="24" x14ac:dyDescent="0.3">
      <c r="A128" s="2">
        <f>IF(Caja_Arequipa[[#This Row],[tipo_r]]="R",COUNTIFS($C$1:$C127,"R")+1,A127)</f>
        <v>119</v>
      </c>
      <c r="B128" s="19" t="str">
        <f>"C-Tesoreria"</f>
        <v>C-Tesoreria</v>
      </c>
      <c r="C128" s="3" t="s">
        <v>1352</v>
      </c>
      <c r="D128" s="14">
        <v>45706</v>
      </c>
      <c r="E128" s="5" t="s">
        <v>1416</v>
      </c>
      <c r="F128" s="5" t="s">
        <v>1336</v>
      </c>
      <c r="G128" s="3"/>
      <c r="H128" s="6" t="s">
        <v>681</v>
      </c>
      <c r="I128" s="6" t="s">
        <v>68</v>
      </c>
      <c r="J128" s="6" t="s">
        <v>5470</v>
      </c>
      <c r="K128" s="6">
        <v>76174</v>
      </c>
      <c r="L128" s="7" t="s">
        <v>5468</v>
      </c>
      <c r="M128" s="8" t="str">
        <f>IF(Caja_Arequipa[[#This Row],[tipo_r]]="R","001-"&amp;12002+A128,M127)</f>
        <v>001-12121</v>
      </c>
      <c r="N128" s="8" t="str">
        <f>"PEN"</f>
        <v>PEN</v>
      </c>
      <c r="O128" s="13">
        <v>16.600000000000001</v>
      </c>
      <c r="P128" s="13"/>
      <c r="Q128" s="3">
        <f>+IF(OR($F128="SALDO",$F128="INGRESO"),$P128,0)</f>
        <v>0</v>
      </c>
      <c r="R128" s="3">
        <f>+IF($F128="EGRESO",$P128,0)</f>
        <v>0</v>
      </c>
      <c r="S128" s="3">
        <f t="shared" si="6"/>
        <v>266.69999999999942</v>
      </c>
      <c r="T128" s="24" t="s">
        <v>1334</v>
      </c>
      <c r="U128" s="24" t="s">
        <v>1334</v>
      </c>
      <c r="V128" s="3"/>
      <c r="W128" s="25">
        <f>IFERROR(VLOOKUP(Caja_Arequipa[[#This Row],[destinatario]],CHOOSE({1,2},Clientes_Proveedores[Razon Social],Clientes_Proveedores[Ruc / Dni]),2,0),"")</f>
        <v>20100686814</v>
      </c>
      <c r="X128" s="3"/>
      <c r="Y128" s="3"/>
      <c r="Z128" s="3"/>
      <c r="AA128" s="3"/>
      <c r="AB128" s="3" t="str">
        <f>IF(Caja_Arequipa[[#This Row],[fecha]]&gt;0,TEXT(Caja_Arequipa[[#This Row],[fecha]],"mmmm"),0)</f>
        <v>Febrero</v>
      </c>
    </row>
    <row r="129" spans="1:28" x14ac:dyDescent="0.3">
      <c r="A129" s="2">
        <f>IF(Caja_Arequipa[[#This Row],[tipo_r]]="R",COUNTIFS($C$1:$C128,"R")+1,A128)</f>
        <v>120</v>
      </c>
      <c r="B129" s="19" t="str">
        <f t="shared" si="7"/>
        <v>C-Tesoreria</v>
      </c>
      <c r="C129" s="3" t="s">
        <v>1330</v>
      </c>
      <c r="D129" s="14">
        <v>45709</v>
      </c>
      <c r="E129" s="5" t="s">
        <v>1416</v>
      </c>
      <c r="F129" s="5" t="s">
        <v>1336</v>
      </c>
      <c r="G129" s="3" t="s">
        <v>5248</v>
      </c>
      <c r="H129" s="6"/>
      <c r="I129" s="6" t="s">
        <v>111</v>
      </c>
      <c r="J129" s="6">
        <v>3</v>
      </c>
      <c r="K129" s="6">
        <v>37</v>
      </c>
      <c r="L129" s="7" t="s">
        <v>5471</v>
      </c>
      <c r="M129" s="8" t="str">
        <f>IF(Caja_Arequipa[[#This Row],[tipo_r]]="R","001-"&amp;12002+A129,M128)</f>
        <v>001-12122</v>
      </c>
      <c r="N129" s="8" t="str">
        <f t="shared" si="10"/>
        <v>PEN</v>
      </c>
      <c r="O129" s="13"/>
      <c r="P129" s="13">
        <v>2</v>
      </c>
      <c r="Q129" s="3">
        <f t="shared" si="8"/>
        <v>0</v>
      </c>
      <c r="R129" s="3">
        <f t="shared" si="9"/>
        <v>2</v>
      </c>
      <c r="S129" s="3">
        <f t="shared" si="6"/>
        <v>264.69999999999942</v>
      </c>
      <c r="T129" s="24" t="s">
        <v>1334</v>
      </c>
      <c r="U129" s="24" t="s">
        <v>1334</v>
      </c>
      <c r="V129" s="3"/>
      <c r="W129" s="25" t="str">
        <f>IFERROR(VLOOKUP(Caja_Arequipa[[#This Row],[destinatario]],CHOOSE({1,2},Clientes_Proveedores[Razon Social],Clientes_Proveedores[Ruc / Dni]),2,0),"")</f>
        <v/>
      </c>
      <c r="X129" s="3" t="s">
        <v>5472</v>
      </c>
      <c r="Y129" s="3"/>
      <c r="Z129" s="3"/>
      <c r="AA129" s="3"/>
      <c r="AB129" s="3" t="str">
        <f>IF(Caja_Arequipa[[#This Row],[fecha]]&gt;0,TEXT(Caja_Arequipa[[#This Row],[fecha]],"mmmm"),0)</f>
        <v>Febrero</v>
      </c>
    </row>
    <row r="130" spans="1:28" ht="24" x14ac:dyDescent="0.3">
      <c r="A130" s="2">
        <f>IF(Caja_Arequipa[[#This Row],[tipo_r]]="R",COUNTIFS($C$1:$C129,"R")+1,A129)</f>
        <v>121</v>
      </c>
      <c r="B130" s="19" t="str">
        <f t="shared" si="7"/>
        <v>C-Tesoreria</v>
      </c>
      <c r="C130" s="3" t="s">
        <v>1330</v>
      </c>
      <c r="D130" s="14">
        <v>45709</v>
      </c>
      <c r="E130" s="5" t="s">
        <v>1416</v>
      </c>
      <c r="F130" s="5" t="s">
        <v>1336</v>
      </c>
      <c r="G130" s="3" t="s">
        <v>5380</v>
      </c>
      <c r="H130" s="6"/>
      <c r="I130" s="6"/>
      <c r="J130" s="6"/>
      <c r="K130" s="6"/>
      <c r="L130" s="7" t="s">
        <v>5473</v>
      </c>
      <c r="M130" s="8" t="str">
        <f>IF(Caja_Arequipa[[#This Row],[tipo_r]]="R","001-"&amp;12002+A130,M129)</f>
        <v>001-12123</v>
      </c>
      <c r="N130" s="8" t="str">
        <f t="shared" si="10"/>
        <v>PEN</v>
      </c>
      <c r="O130" s="13"/>
      <c r="P130" s="13">
        <v>150</v>
      </c>
      <c r="Q130" s="3">
        <f t="shared" si="8"/>
        <v>0</v>
      </c>
      <c r="R130" s="3">
        <f t="shared" si="9"/>
        <v>150</v>
      </c>
      <c r="S130" s="3">
        <f t="shared" ref="S130:S193" si="11">IFERROR(IF(F130="SALDO",Q130,S129+Q130-R130),0)</f>
        <v>114.69999999999942</v>
      </c>
      <c r="T130" s="24" t="s">
        <v>1334</v>
      </c>
      <c r="U130" s="24" t="s">
        <v>1334</v>
      </c>
      <c r="V130" s="3"/>
      <c r="W130" s="25" t="str">
        <f>IFERROR(VLOOKUP(Caja_Arequipa[[#This Row],[destinatario]],CHOOSE({1,2},Clientes_Proveedores[Razon Social],Clientes_Proveedores[Ruc / Dni]),2,0),"")</f>
        <v/>
      </c>
      <c r="X130" s="3" t="s">
        <v>5474</v>
      </c>
      <c r="Y130" s="3"/>
      <c r="Z130" s="3"/>
      <c r="AA130" s="3"/>
      <c r="AB130" s="3" t="str">
        <f>IF(Caja_Arequipa[[#This Row],[fecha]]&gt;0,TEXT(Caja_Arequipa[[#This Row],[fecha]],"mmmm"),0)</f>
        <v>Febrero</v>
      </c>
    </row>
    <row r="131" spans="1:28" ht="24" x14ac:dyDescent="0.3">
      <c r="A131" s="2">
        <f>IF(Caja_Arequipa[[#This Row],[tipo_r]]="R",COUNTIFS($C$1:$C130,"R")+1,A130)</f>
        <v>122</v>
      </c>
      <c r="B131" s="19" t="str">
        <f t="shared" si="7"/>
        <v>C-Tesoreria</v>
      </c>
      <c r="C131" s="3" t="s">
        <v>1330</v>
      </c>
      <c r="D131" s="14">
        <v>45709</v>
      </c>
      <c r="E131" s="5" t="s">
        <v>1416</v>
      </c>
      <c r="F131" s="5" t="s">
        <v>1336</v>
      </c>
      <c r="G131" s="3" t="s">
        <v>5380</v>
      </c>
      <c r="H131" s="6"/>
      <c r="I131" s="6"/>
      <c r="J131" s="6"/>
      <c r="K131" s="6"/>
      <c r="L131" s="7" t="s">
        <v>5475</v>
      </c>
      <c r="M131" s="8" t="str">
        <f>IF(Caja_Arequipa[[#This Row],[tipo_r]]="R","001-"&amp;12002+A131,M130)</f>
        <v>001-12124</v>
      </c>
      <c r="N131" s="8" t="str">
        <f t="shared" si="10"/>
        <v>PEN</v>
      </c>
      <c r="O131" s="13"/>
      <c r="P131" s="13">
        <v>24</v>
      </c>
      <c r="Q131" s="3">
        <f t="shared" si="8"/>
        <v>0</v>
      </c>
      <c r="R131" s="3">
        <f t="shared" si="9"/>
        <v>24</v>
      </c>
      <c r="S131" s="3">
        <f t="shared" si="11"/>
        <v>90.69999999999942</v>
      </c>
      <c r="T131" s="24" t="s">
        <v>1334</v>
      </c>
      <c r="U131" s="24" t="s">
        <v>1334</v>
      </c>
      <c r="V131" s="3"/>
      <c r="W131" s="25" t="str">
        <f>IFERROR(VLOOKUP(Caja_Arequipa[[#This Row],[destinatario]],CHOOSE({1,2},Clientes_Proveedores[Razon Social],Clientes_Proveedores[Ruc / Dni]),2,0),"")</f>
        <v/>
      </c>
      <c r="X131" s="3" t="s">
        <v>5476</v>
      </c>
      <c r="Y131" s="3"/>
      <c r="Z131" s="3"/>
      <c r="AA131" s="3"/>
      <c r="AB131" s="3" t="str">
        <f>IF(Caja_Arequipa[[#This Row],[fecha]]&gt;0,TEXT(Caja_Arequipa[[#This Row],[fecha]],"mmmm"),0)</f>
        <v>Febrero</v>
      </c>
    </row>
    <row r="132" spans="1:28" ht="24" x14ac:dyDescent="0.3">
      <c r="A132" s="2">
        <f>IF(Caja_Arequipa[[#This Row],[tipo_r]]="R",COUNTIFS($C$1:$C131,"R")+1,A131)</f>
        <v>123</v>
      </c>
      <c r="B132" s="19" t="str">
        <f t="shared" si="7"/>
        <v>C-Tesoreria</v>
      </c>
      <c r="C132" s="3" t="s">
        <v>1330</v>
      </c>
      <c r="D132" s="14">
        <v>45709</v>
      </c>
      <c r="E132" s="5" t="s">
        <v>1416</v>
      </c>
      <c r="F132" s="5" t="s">
        <v>1336</v>
      </c>
      <c r="G132" s="3" t="s">
        <v>5380</v>
      </c>
      <c r="H132" s="6"/>
      <c r="I132" s="6"/>
      <c r="J132" s="6"/>
      <c r="K132" s="6"/>
      <c r="L132" s="7" t="s">
        <v>5477</v>
      </c>
      <c r="M132" s="8" t="str">
        <f>IF(Caja_Arequipa[[#This Row],[tipo_r]]="R","001-"&amp;12002+A132,M131)</f>
        <v>001-12125</v>
      </c>
      <c r="N132" s="8" t="str">
        <f t="shared" si="10"/>
        <v>PEN</v>
      </c>
      <c r="O132" s="13"/>
      <c r="P132" s="13">
        <v>24</v>
      </c>
      <c r="Q132" s="3">
        <f t="shared" si="8"/>
        <v>0</v>
      </c>
      <c r="R132" s="3">
        <f t="shared" si="9"/>
        <v>24</v>
      </c>
      <c r="S132" s="3">
        <f t="shared" si="11"/>
        <v>66.69999999999942</v>
      </c>
      <c r="T132" s="24" t="s">
        <v>1334</v>
      </c>
      <c r="U132" s="24" t="s">
        <v>1334</v>
      </c>
      <c r="V132" s="3"/>
      <c r="W132" s="25" t="str">
        <f>IFERROR(VLOOKUP(Caja_Arequipa[[#This Row],[destinatario]],CHOOSE({1,2},Clientes_Proveedores[Razon Social],Clientes_Proveedores[Ruc / Dni]),2,0),"")</f>
        <v/>
      </c>
      <c r="X132" s="3" t="s">
        <v>5478</v>
      </c>
      <c r="Y132" s="3"/>
      <c r="Z132" s="3"/>
      <c r="AA132" s="3"/>
      <c r="AB132" s="3" t="str">
        <f>IF(Caja_Arequipa[[#This Row],[fecha]]&gt;0,TEXT(Caja_Arequipa[[#This Row],[fecha]],"mmmm"),0)</f>
        <v>Febrero</v>
      </c>
    </row>
    <row r="133" spans="1:28" x14ac:dyDescent="0.3">
      <c r="A133" s="2">
        <f>IF(Caja_Arequipa[[#This Row],[tipo_r]]="R",COUNTIFS($C$1:$C132,"R")+1,A132)</f>
        <v>124</v>
      </c>
      <c r="B133" s="19" t="str">
        <f t="shared" si="7"/>
        <v>C-Tesoreria</v>
      </c>
      <c r="C133" s="3" t="s">
        <v>1330</v>
      </c>
      <c r="D133" s="14">
        <v>45709</v>
      </c>
      <c r="E133" s="5" t="s">
        <v>1416</v>
      </c>
      <c r="F133" s="5" t="s">
        <v>1336</v>
      </c>
      <c r="G133" s="3" t="s">
        <v>5380</v>
      </c>
      <c r="H133" s="6"/>
      <c r="I133" s="6"/>
      <c r="J133" s="6"/>
      <c r="K133" s="6"/>
      <c r="L133" s="7" t="s">
        <v>5479</v>
      </c>
      <c r="M133" s="8" t="str">
        <f>IF(Caja_Arequipa[[#This Row],[tipo_r]]="R","001-"&amp;12002+A133,M132)</f>
        <v>001-12126</v>
      </c>
      <c r="N133" s="8" t="str">
        <f t="shared" si="10"/>
        <v>PEN</v>
      </c>
      <c r="O133" s="13"/>
      <c r="P133" s="13">
        <v>12</v>
      </c>
      <c r="Q133" s="3">
        <f t="shared" si="8"/>
        <v>0</v>
      </c>
      <c r="R133" s="3">
        <f t="shared" si="9"/>
        <v>12</v>
      </c>
      <c r="S133" s="3">
        <f t="shared" si="11"/>
        <v>54.69999999999942</v>
      </c>
      <c r="T133" s="24" t="s">
        <v>1334</v>
      </c>
      <c r="U133" s="24" t="s">
        <v>1334</v>
      </c>
      <c r="V133" s="3"/>
      <c r="W133" s="25" t="str">
        <f>IFERROR(VLOOKUP(Caja_Arequipa[[#This Row],[destinatario]],CHOOSE({1,2},Clientes_Proveedores[Razon Social],Clientes_Proveedores[Ruc / Dni]),2,0),"")</f>
        <v/>
      </c>
      <c r="X133" s="3" t="s">
        <v>5480</v>
      </c>
      <c r="Y133" s="3"/>
      <c r="Z133" s="3"/>
      <c r="AA133" s="3"/>
      <c r="AB133" s="3" t="str">
        <f>IF(Caja_Arequipa[[#This Row],[fecha]]&gt;0,TEXT(Caja_Arequipa[[#This Row],[fecha]],"mmmm"),0)</f>
        <v>Febrero</v>
      </c>
    </row>
    <row r="134" spans="1:28" ht="24" x14ac:dyDescent="0.3">
      <c r="A134" s="2">
        <f>IF(Caja_Arequipa[[#This Row],[tipo_r]]="R",COUNTIFS($C$1:$C133,"R")+1,A133)</f>
        <v>125</v>
      </c>
      <c r="B134" s="19" t="str">
        <f t="shared" si="7"/>
        <v>C-Tesoreria</v>
      </c>
      <c r="C134" s="3" t="s">
        <v>1330</v>
      </c>
      <c r="D134" s="14">
        <v>45709</v>
      </c>
      <c r="E134" s="5" t="s">
        <v>1416</v>
      </c>
      <c r="F134" s="5" t="s">
        <v>1336</v>
      </c>
      <c r="G134" s="3" t="s">
        <v>5248</v>
      </c>
      <c r="H134" s="6"/>
      <c r="I134" s="6"/>
      <c r="J134" s="6"/>
      <c r="K134" s="6"/>
      <c r="L134" s="7" t="s">
        <v>5481</v>
      </c>
      <c r="M134" s="8" t="str">
        <f>IF(Caja_Arequipa[[#This Row],[tipo_r]]="R","001-"&amp;12002+A134,M133)</f>
        <v>001-12127</v>
      </c>
      <c r="N134" s="8" t="str">
        <f t="shared" si="10"/>
        <v>PEN</v>
      </c>
      <c r="O134" s="13"/>
      <c r="P134" s="13">
        <v>37</v>
      </c>
      <c r="Q134" s="3">
        <f t="shared" si="8"/>
        <v>0</v>
      </c>
      <c r="R134" s="3">
        <f t="shared" si="9"/>
        <v>37</v>
      </c>
      <c r="S134" s="3">
        <f t="shared" si="11"/>
        <v>17.69999999999942</v>
      </c>
      <c r="T134" s="24" t="s">
        <v>1334</v>
      </c>
      <c r="U134" s="24" t="s">
        <v>1334</v>
      </c>
      <c r="V134" s="3"/>
      <c r="W134" s="25" t="str">
        <f>IFERROR(VLOOKUP(Caja_Arequipa[[#This Row],[destinatario]],CHOOSE({1,2},Clientes_Proveedores[Razon Social],Clientes_Proveedores[Ruc / Dni]),2,0),"")</f>
        <v/>
      </c>
      <c r="X134" s="3" t="s">
        <v>5482</v>
      </c>
      <c r="Y134" s="3"/>
      <c r="Z134" s="3"/>
      <c r="AA134" s="3"/>
      <c r="AB134" s="3" t="str">
        <f>IF(Caja_Arequipa[[#This Row],[fecha]]&gt;0,TEXT(Caja_Arequipa[[#This Row],[fecha]],"mmmm"),0)</f>
        <v>Febrero</v>
      </c>
    </row>
    <row r="135" spans="1:28" ht="24" x14ac:dyDescent="0.3">
      <c r="A135" s="2">
        <f>IF(Caja_Arequipa[[#This Row],[tipo_r]]="R",COUNTIFS($C$1:$C134,"R")+1,A134)</f>
        <v>126</v>
      </c>
      <c r="B135" s="19" t="str">
        <f t="shared" si="7"/>
        <v>C-Tesoreria</v>
      </c>
      <c r="C135" s="3" t="s">
        <v>1330</v>
      </c>
      <c r="D135" s="14">
        <v>45712</v>
      </c>
      <c r="E135" s="5" t="s">
        <v>1416</v>
      </c>
      <c r="F135" s="5" t="s">
        <v>1336</v>
      </c>
      <c r="G135" s="3" t="s">
        <v>5303</v>
      </c>
      <c r="H135" s="6"/>
      <c r="I135" s="6" t="s">
        <v>111</v>
      </c>
      <c r="J135" s="6">
        <v>3</v>
      </c>
      <c r="K135" s="6">
        <v>39</v>
      </c>
      <c r="L135" s="7" t="s">
        <v>5483</v>
      </c>
      <c r="M135" s="8" t="str">
        <f>IF(Caja_Arequipa[[#This Row],[tipo_r]]="R","001-"&amp;12002+A135,M134)</f>
        <v>001-12128</v>
      </c>
      <c r="N135" s="8" t="str">
        <f t="shared" si="10"/>
        <v>PEN</v>
      </c>
      <c r="O135" s="13"/>
      <c r="P135" s="13">
        <v>15</v>
      </c>
      <c r="Q135" s="3">
        <f t="shared" si="8"/>
        <v>0</v>
      </c>
      <c r="R135" s="3">
        <f t="shared" si="9"/>
        <v>15</v>
      </c>
      <c r="S135" s="3">
        <f t="shared" si="11"/>
        <v>2.6999999999994202</v>
      </c>
      <c r="T135" s="24" t="s">
        <v>1334</v>
      </c>
      <c r="U135" s="24" t="s">
        <v>1334</v>
      </c>
      <c r="V135" s="3"/>
      <c r="W135" s="25" t="str">
        <f>IFERROR(VLOOKUP(Caja_Arequipa[[#This Row],[destinatario]],CHOOSE({1,2},Clientes_Proveedores[Razon Social],Clientes_Proveedores[Ruc / Dni]),2,0),"")</f>
        <v/>
      </c>
      <c r="X135" s="3" t="s">
        <v>5484</v>
      </c>
      <c r="Y135" s="3"/>
      <c r="Z135" s="3"/>
      <c r="AA135" s="3"/>
      <c r="AB135" s="3" t="str">
        <f>IF(Caja_Arequipa[[#This Row],[fecha]]&gt;0,TEXT(Caja_Arequipa[[#This Row],[fecha]],"mmmm"),0)</f>
        <v>Febrero</v>
      </c>
    </row>
    <row r="136" spans="1:28" x14ac:dyDescent="0.3">
      <c r="A136" s="2">
        <f>IF(Caja_Arequipa[[#This Row],[tipo_r]]="R",COUNTIFS($C$1:$C135,"R")+1,A135)</f>
        <v>127</v>
      </c>
      <c r="B136" s="19" t="str">
        <f t="shared" si="7"/>
        <v>C-Tesoreria</v>
      </c>
      <c r="C136" s="3" t="s">
        <v>1330</v>
      </c>
      <c r="D136" s="14">
        <v>45713</v>
      </c>
      <c r="E136" s="5" t="s">
        <v>1416</v>
      </c>
      <c r="F136" s="5" t="s">
        <v>1303</v>
      </c>
      <c r="G136" s="3" t="s">
        <v>3634</v>
      </c>
      <c r="H136" s="6"/>
      <c r="I136" s="6"/>
      <c r="J136" s="6"/>
      <c r="K136" s="6"/>
      <c r="L136" s="7" t="s">
        <v>5340</v>
      </c>
      <c r="M136" s="8" t="str">
        <f>IF(Caja_Arequipa[[#This Row],[tipo_r]]="R","001-"&amp;12002+A136,M135)</f>
        <v>001-12129</v>
      </c>
      <c r="N136" s="8" t="str">
        <f t="shared" si="10"/>
        <v>PEN</v>
      </c>
      <c r="O136" s="13"/>
      <c r="P136" s="13">
        <v>760</v>
      </c>
      <c r="Q136" s="3">
        <f t="shared" si="8"/>
        <v>760</v>
      </c>
      <c r="R136" s="3">
        <f t="shared" si="9"/>
        <v>0</v>
      </c>
      <c r="S136" s="3">
        <f t="shared" si="11"/>
        <v>762.69999999999936</v>
      </c>
      <c r="T136" s="24"/>
      <c r="U136" s="24"/>
      <c r="V136" s="3"/>
      <c r="W136" s="25" t="str">
        <f>IFERROR(VLOOKUP(Caja_Arequipa[[#This Row],[destinatario]],CHOOSE({1,2},Clientes_Proveedores[Razon Social],Clientes_Proveedores[Ruc / Dni]),2,0),"")</f>
        <v/>
      </c>
      <c r="X136" s="3"/>
      <c r="Y136" s="3"/>
      <c r="Z136" s="3"/>
      <c r="AA136" s="3"/>
      <c r="AB136" s="3" t="str">
        <f>IF(Caja_Arequipa[[#This Row],[fecha]]&gt;0,TEXT(Caja_Arequipa[[#This Row],[fecha]],"mmmm"),0)</f>
        <v>Febrero</v>
      </c>
    </row>
    <row r="137" spans="1:28" ht="24" x14ac:dyDescent="0.3">
      <c r="A137" s="2">
        <f>IF(Caja_Arequipa[[#This Row],[tipo_r]]="R",COUNTIFS($C$1:$C136,"R")+1,A136)</f>
        <v>128</v>
      </c>
      <c r="B137" s="19" t="str">
        <f t="shared" si="7"/>
        <v>C-Tesoreria</v>
      </c>
      <c r="C137" s="3" t="s">
        <v>1330</v>
      </c>
      <c r="D137" s="14">
        <v>45713</v>
      </c>
      <c r="E137" s="5" t="s">
        <v>1416</v>
      </c>
      <c r="F137" s="5" t="s">
        <v>1336</v>
      </c>
      <c r="G137" s="3" t="s">
        <v>5317</v>
      </c>
      <c r="H137" s="6"/>
      <c r="I137" s="6"/>
      <c r="J137" s="6"/>
      <c r="K137" s="6"/>
      <c r="L137" s="7" t="s">
        <v>5485</v>
      </c>
      <c r="M137" s="8" t="str">
        <f>IF(Caja_Arequipa[[#This Row],[tipo_r]]="R","001-"&amp;12002+A137,M136)</f>
        <v>001-12130</v>
      </c>
      <c r="N137" s="8" t="str">
        <f t="shared" si="10"/>
        <v>PEN</v>
      </c>
      <c r="O137" s="13"/>
      <c r="P137" s="13">
        <v>55.7</v>
      </c>
      <c r="Q137" s="3">
        <f t="shared" si="8"/>
        <v>0</v>
      </c>
      <c r="R137" s="3">
        <f t="shared" si="9"/>
        <v>55.7</v>
      </c>
      <c r="S137" s="3">
        <f t="shared" si="11"/>
        <v>706.99999999999932</v>
      </c>
      <c r="T137" s="24" t="s">
        <v>1334</v>
      </c>
      <c r="U137" s="24" t="s">
        <v>1334</v>
      </c>
      <c r="V137" s="3"/>
      <c r="W137" s="25" t="str">
        <f>IFERROR(VLOOKUP(Caja_Arequipa[[#This Row],[destinatario]],CHOOSE({1,2},Clientes_Proveedores[Razon Social],Clientes_Proveedores[Ruc / Dni]),2,0),"")</f>
        <v/>
      </c>
      <c r="X137" s="3" t="s">
        <v>5486</v>
      </c>
      <c r="Y137" s="3"/>
      <c r="Z137" s="3"/>
      <c r="AA137" s="3"/>
      <c r="AB137" s="3" t="str">
        <f>IF(Caja_Arequipa[[#This Row],[fecha]]&gt;0,TEXT(Caja_Arequipa[[#This Row],[fecha]],"mmmm"),0)</f>
        <v>Febrero</v>
      </c>
    </row>
    <row r="138" spans="1:28" ht="24" x14ac:dyDescent="0.3">
      <c r="A138" s="2">
        <f>IF(Caja_Arequipa[[#This Row],[tipo_r]]="R",COUNTIFS($C$1:$C137,"R")+1,A137)</f>
        <v>129</v>
      </c>
      <c r="B138" s="19" t="str">
        <f t="shared" ref="B138:B201" si="12">"C-Tesoreria"</f>
        <v>C-Tesoreria</v>
      </c>
      <c r="C138" s="3" t="s">
        <v>1330</v>
      </c>
      <c r="D138" s="14">
        <v>45714</v>
      </c>
      <c r="E138" s="5" t="s">
        <v>1338</v>
      </c>
      <c r="F138" s="5" t="s">
        <v>1336</v>
      </c>
      <c r="G138" s="3" t="s">
        <v>5317</v>
      </c>
      <c r="H138" s="6"/>
      <c r="I138" s="6"/>
      <c r="J138" s="6"/>
      <c r="K138" s="6"/>
      <c r="L138" s="7" t="s">
        <v>5487</v>
      </c>
      <c r="M138" s="8" t="str">
        <f>IF(Caja_Arequipa[[#This Row],[tipo_r]]="R","001-"&amp;12002+A138,M137)</f>
        <v>001-12131</v>
      </c>
      <c r="N138" s="8" t="str">
        <f t="shared" si="10"/>
        <v>PEN</v>
      </c>
      <c r="O138" s="13"/>
      <c r="P138" s="13">
        <v>180</v>
      </c>
      <c r="Q138" s="3">
        <f t="shared" ref="Q138:Q201" si="13">+IF(OR($F138="SALDO",$F138="INGRESO"),$P138,0)</f>
        <v>0</v>
      </c>
      <c r="R138" s="3">
        <f t="shared" ref="R138:R201" si="14">+IF($F138="EGRESO",$P138,0)</f>
        <v>180</v>
      </c>
      <c r="S138" s="3">
        <f t="shared" si="11"/>
        <v>526.99999999999932</v>
      </c>
      <c r="T138" s="24"/>
      <c r="U138" s="24" t="s">
        <v>1334</v>
      </c>
      <c r="V138" s="3"/>
      <c r="W138" s="25" t="str">
        <f>IFERROR(VLOOKUP(Caja_Arequipa[[#This Row],[destinatario]],CHOOSE({1,2},Clientes_Proveedores[Razon Social],Clientes_Proveedores[Ruc / Dni]),2,0),"")</f>
        <v/>
      </c>
      <c r="X138" s="3" t="s">
        <v>5488</v>
      </c>
      <c r="Y138" s="3"/>
      <c r="Z138" s="3"/>
      <c r="AA138" s="3"/>
      <c r="AB138" s="3" t="str">
        <f>IF(Caja_Arequipa[[#This Row],[fecha]]&gt;0,TEXT(Caja_Arequipa[[#This Row],[fecha]],"mmmm"),0)</f>
        <v>Febrero</v>
      </c>
    </row>
    <row r="139" spans="1:28" x14ac:dyDescent="0.3">
      <c r="A139" s="2">
        <f>IF(Caja_Arequipa[[#This Row],[tipo_r]]="R",COUNTIFS($C$1:$C138,"R")+1,A138)</f>
        <v>130</v>
      </c>
      <c r="B139" s="19" t="str">
        <f t="shared" si="12"/>
        <v>C-Tesoreria</v>
      </c>
      <c r="C139" s="3" t="s">
        <v>1330</v>
      </c>
      <c r="D139" s="14">
        <v>45715</v>
      </c>
      <c r="E139" s="5" t="s">
        <v>1338</v>
      </c>
      <c r="F139" s="5" t="s">
        <v>1336</v>
      </c>
      <c r="G139" s="3" t="s">
        <v>5280</v>
      </c>
      <c r="H139" s="6"/>
      <c r="I139" s="6" t="s">
        <v>111</v>
      </c>
      <c r="J139" s="6">
        <v>3</v>
      </c>
      <c r="K139" s="6">
        <v>41</v>
      </c>
      <c r="L139" s="7" t="s">
        <v>5489</v>
      </c>
      <c r="M139" s="8" t="str">
        <f>IF(Caja_Arequipa[[#This Row],[tipo_r]]="R","001-"&amp;12002+A139,M138)</f>
        <v>001-12132</v>
      </c>
      <c r="N139" s="8" t="str">
        <f t="shared" ref="N139:N202" si="15">"PEN"</f>
        <v>PEN</v>
      </c>
      <c r="O139" s="13"/>
      <c r="P139" s="13">
        <v>55</v>
      </c>
      <c r="Q139" s="3">
        <f t="shared" si="13"/>
        <v>0</v>
      </c>
      <c r="R139" s="3">
        <f t="shared" si="14"/>
        <v>55</v>
      </c>
      <c r="S139" s="3">
        <f t="shared" si="11"/>
        <v>471.99999999999932</v>
      </c>
      <c r="T139" s="24" t="s">
        <v>1334</v>
      </c>
      <c r="U139" s="24" t="s">
        <v>1334</v>
      </c>
      <c r="V139" s="3"/>
      <c r="W139" s="25" t="str">
        <f>IFERROR(VLOOKUP(Caja_Arequipa[[#This Row],[destinatario]],CHOOSE({1,2},Clientes_Proveedores[Razon Social],Clientes_Proveedores[Ruc / Dni]),2,0),"")</f>
        <v/>
      </c>
      <c r="X139" s="3" t="s">
        <v>5490</v>
      </c>
      <c r="Y139" s="3"/>
      <c r="Z139" s="3"/>
      <c r="AA139" s="3"/>
      <c r="AB139" s="3" t="str">
        <f>IF(Caja_Arequipa[[#This Row],[fecha]]&gt;0,TEXT(Caja_Arequipa[[#This Row],[fecha]],"mmmm"),0)</f>
        <v>Febrero</v>
      </c>
    </row>
    <row r="140" spans="1:28" ht="24" x14ac:dyDescent="0.3">
      <c r="A140" s="2">
        <f>IF(Caja_Arequipa[[#This Row],[tipo_r]]="R",COUNTIFS($C$1:$C139,"R")+1,A139)</f>
        <v>131</v>
      </c>
      <c r="B140" s="19" t="str">
        <f t="shared" si="12"/>
        <v>C-Tesoreria</v>
      </c>
      <c r="C140" s="3" t="s">
        <v>1330</v>
      </c>
      <c r="D140" s="14">
        <v>45715</v>
      </c>
      <c r="E140" s="5" t="s">
        <v>1338</v>
      </c>
      <c r="F140" s="5" t="s">
        <v>1336</v>
      </c>
      <c r="G140" s="3" t="s">
        <v>5280</v>
      </c>
      <c r="H140" s="6"/>
      <c r="I140" s="6"/>
      <c r="J140" s="6"/>
      <c r="K140" s="6"/>
      <c r="L140" s="7" t="s">
        <v>5491</v>
      </c>
      <c r="M140" s="8" t="str">
        <f>IF(Caja_Arequipa[[#This Row],[tipo_r]]="R","001-"&amp;12002+A140,M139)</f>
        <v>001-12133</v>
      </c>
      <c r="N140" s="8" t="str">
        <f t="shared" si="15"/>
        <v>PEN</v>
      </c>
      <c r="O140" s="13"/>
      <c r="P140" s="13">
        <v>42</v>
      </c>
      <c r="Q140" s="3">
        <f t="shared" si="13"/>
        <v>0</v>
      </c>
      <c r="R140" s="3">
        <f t="shared" si="14"/>
        <v>42</v>
      </c>
      <c r="S140" s="3">
        <f t="shared" si="11"/>
        <v>429.99999999999932</v>
      </c>
      <c r="T140" s="24" t="s">
        <v>1334</v>
      </c>
      <c r="U140" s="24" t="s">
        <v>1334</v>
      </c>
      <c r="V140" s="3"/>
      <c r="W140" s="25" t="str">
        <f>IFERROR(VLOOKUP(Caja_Arequipa[[#This Row],[destinatario]],CHOOSE({1,2},Clientes_Proveedores[Razon Social],Clientes_Proveedores[Ruc / Dni]),2,0),"")</f>
        <v/>
      </c>
      <c r="X140" s="3" t="s">
        <v>5492</v>
      </c>
      <c r="Y140" s="3"/>
      <c r="Z140" s="3"/>
      <c r="AA140" s="3"/>
      <c r="AB140" s="3" t="str">
        <f>IF(Caja_Arequipa[[#This Row],[fecha]]&gt;0,TEXT(Caja_Arequipa[[#This Row],[fecha]],"mmmm"),0)</f>
        <v>Febrero</v>
      </c>
    </row>
    <row r="141" spans="1:28" ht="24" x14ac:dyDescent="0.3">
      <c r="A141" s="2">
        <f>IF(Caja_Arequipa[[#This Row],[tipo_r]]="R",COUNTIFS($C$1:$C140,"R")+1,A140)</f>
        <v>132</v>
      </c>
      <c r="B141" s="19" t="str">
        <f t="shared" si="12"/>
        <v>C-Tesoreria</v>
      </c>
      <c r="C141" s="3" t="s">
        <v>1330</v>
      </c>
      <c r="D141" s="14">
        <v>45716</v>
      </c>
      <c r="E141" s="5" t="s">
        <v>1338</v>
      </c>
      <c r="F141" s="5" t="s">
        <v>1336</v>
      </c>
      <c r="G141" s="3" t="s">
        <v>5250</v>
      </c>
      <c r="H141" s="6"/>
      <c r="I141" s="6"/>
      <c r="J141" s="6"/>
      <c r="K141" s="6"/>
      <c r="L141" s="7" t="s">
        <v>5493</v>
      </c>
      <c r="M141" s="8" t="str">
        <f>IF(Caja_Arequipa[[#This Row],[tipo_r]]="R","001-"&amp;12002+A141,M140)</f>
        <v>001-12134</v>
      </c>
      <c r="N141" s="8" t="str">
        <f t="shared" si="15"/>
        <v>PEN</v>
      </c>
      <c r="O141" s="13"/>
      <c r="P141" s="13">
        <v>20</v>
      </c>
      <c r="Q141" s="3">
        <f t="shared" si="13"/>
        <v>0</v>
      </c>
      <c r="R141" s="3">
        <f t="shared" si="14"/>
        <v>20</v>
      </c>
      <c r="S141" s="3">
        <f t="shared" si="11"/>
        <v>409.99999999999932</v>
      </c>
      <c r="T141" s="24" t="s">
        <v>1334</v>
      </c>
      <c r="U141" s="24" t="s">
        <v>1334</v>
      </c>
      <c r="V141" s="3"/>
      <c r="W141" s="25" t="str">
        <f>IFERROR(VLOOKUP(Caja_Arequipa[[#This Row],[destinatario]],CHOOSE({1,2},Clientes_Proveedores[Razon Social],Clientes_Proveedores[Ruc / Dni]),2,0),"")</f>
        <v/>
      </c>
      <c r="X141" s="3" t="s">
        <v>5494</v>
      </c>
      <c r="Y141" s="3"/>
      <c r="Z141" s="3"/>
      <c r="AA141" s="3"/>
      <c r="AB141" s="3" t="str">
        <f>IF(Caja_Arequipa[[#This Row],[fecha]]&gt;0,TEXT(Caja_Arequipa[[#This Row],[fecha]],"mmmm"),0)</f>
        <v>Febrero</v>
      </c>
    </row>
    <row r="142" spans="1:28" x14ac:dyDescent="0.3">
      <c r="A142" s="2">
        <f>IF(Caja_Arequipa[[#This Row],[tipo_r]]="R",COUNTIFS($C$1:$C141,"R")+1,A141)</f>
        <v>133</v>
      </c>
      <c r="B142" s="19" t="str">
        <f t="shared" si="12"/>
        <v>C-Tesoreria</v>
      </c>
      <c r="C142" s="3" t="s">
        <v>1330</v>
      </c>
      <c r="D142" s="14">
        <v>45716</v>
      </c>
      <c r="E142" s="5" t="s">
        <v>1338</v>
      </c>
      <c r="F142" s="5" t="s">
        <v>1336</v>
      </c>
      <c r="G142" s="3" t="s">
        <v>3308</v>
      </c>
      <c r="H142" s="6"/>
      <c r="I142" s="6" t="s">
        <v>111</v>
      </c>
      <c r="J142" s="6">
        <v>3</v>
      </c>
      <c r="K142" s="6">
        <v>42</v>
      </c>
      <c r="L142" s="7" t="s">
        <v>5495</v>
      </c>
      <c r="M142" s="8" t="str">
        <f>IF(Caja_Arequipa[[#This Row],[tipo_r]]="R","001-"&amp;12002+A142,M141)</f>
        <v>001-12135</v>
      </c>
      <c r="N142" s="8" t="str">
        <f t="shared" si="15"/>
        <v>PEN</v>
      </c>
      <c r="O142" s="13"/>
      <c r="P142" s="13">
        <v>11</v>
      </c>
      <c r="Q142" s="3">
        <f t="shared" si="13"/>
        <v>0</v>
      </c>
      <c r="R142" s="3">
        <f t="shared" si="14"/>
        <v>11</v>
      </c>
      <c r="S142" s="3">
        <f t="shared" si="11"/>
        <v>398.99999999999932</v>
      </c>
      <c r="T142" s="24" t="s">
        <v>1334</v>
      </c>
      <c r="U142" s="24" t="s">
        <v>1334</v>
      </c>
      <c r="V142" s="3"/>
      <c r="W142" s="25" t="str">
        <f>IFERROR(VLOOKUP(Caja_Arequipa[[#This Row],[destinatario]],CHOOSE({1,2},Clientes_Proveedores[Razon Social],Clientes_Proveedores[Ruc / Dni]),2,0),"")</f>
        <v/>
      </c>
      <c r="X142" s="3" t="s">
        <v>5496</v>
      </c>
      <c r="Y142" s="3"/>
      <c r="Z142" s="3"/>
      <c r="AA142" s="3"/>
      <c r="AB142" s="3" t="str">
        <f>IF(Caja_Arequipa[[#This Row],[fecha]]&gt;0,TEXT(Caja_Arequipa[[#This Row],[fecha]],"mmmm"),0)</f>
        <v>Febrero</v>
      </c>
    </row>
    <row r="143" spans="1:28" x14ac:dyDescent="0.3">
      <c r="A143" s="2">
        <f>IF(Caja_Arequipa[[#This Row],[tipo_r]]="R",COUNTIFS($C$1:$C142,"R")+1,A142)</f>
        <v>134</v>
      </c>
      <c r="B143" s="19" t="str">
        <f t="shared" si="12"/>
        <v>C-Tesoreria</v>
      </c>
      <c r="C143" s="3" t="s">
        <v>1330</v>
      </c>
      <c r="D143" s="14">
        <v>45716</v>
      </c>
      <c r="E143" s="5" t="s">
        <v>1416</v>
      </c>
      <c r="F143" s="5" t="s">
        <v>1336</v>
      </c>
      <c r="G143" s="3" t="s">
        <v>5299</v>
      </c>
      <c r="H143" s="6"/>
      <c r="I143" s="6"/>
      <c r="J143" s="6"/>
      <c r="K143" s="6"/>
      <c r="L143" s="7" t="s">
        <v>5497</v>
      </c>
      <c r="M143" s="8" t="str">
        <f>IF(Caja_Arequipa[[#This Row],[tipo_r]]="R","001-"&amp;12002+A143,M142)</f>
        <v>001-12136</v>
      </c>
      <c r="N143" s="8" t="str">
        <f t="shared" si="15"/>
        <v>PEN</v>
      </c>
      <c r="O143" s="13"/>
      <c r="P143" s="13">
        <v>199.2</v>
      </c>
      <c r="Q143" s="3">
        <f t="shared" si="13"/>
        <v>0</v>
      </c>
      <c r="R143" s="3">
        <f t="shared" si="14"/>
        <v>199.2</v>
      </c>
      <c r="S143" s="3">
        <f t="shared" si="11"/>
        <v>199.79999999999933</v>
      </c>
      <c r="T143" s="24" t="s">
        <v>1334</v>
      </c>
      <c r="U143" s="24" t="s">
        <v>1334</v>
      </c>
      <c r="V143" s="3"/>
      <c r="W143" s="25" t="str">
        <f>IFERROR(VLOOKUP(Caja_Arequipa[[#This Row],[destinatario]],CHOOSE({1,2},Clientes_Proveedores[Razon Social],Clientes_Proveedores[Ruc / Dni]),2,0),"")</f>
        <v/>
      </c>
      <c r="X143" s="3" t="s">
        <v>5498</v>
      </c>
      <c r="Y143" s="3"/>
      <c r="Z143" s="3"/>
      <c r="AA143" s="3"/>
      <c r="AB143" s="3" t="str">
        <f>IF(Caja_Arequipa[[#This Row],[fecha]]&gt;0,TEXT(Caja_Arequipa[[#This Row],[fecha]],"mmmm"),0)</f>
        <v>Febrero</v>
      </c>
    </row>
    <row r="144" spans="1:28" x14ac:dyDescent="0.3">
      <c r="A144" s="2">
        <f>IF(Caja_Arequipa[[#This Row],[tipo_r]]="R",COUNTIFS($C$1:$C143,"R")+1,A143)</f>
        <v>135</v>
      </c>
      <c r="B144" s="19" t="str">
        <f t="shared" si="12"/>
        <v>C-Tesoreria</v>
      </c>
      <c r="C144" s="3" t="s">
        <v>1330</v>
      </c>
      <c r="D144" s="14">
        <v>45716</v>
      </c>
      <c r="E144" s="5" t="s">
        <v>1416</v>
      </c>
      <c r="F144" s="5" t="s">
        <v>1336</v>
      </c>
      <c r="G144" s="3" t="s">
        <v>5287</v>
      </c>
      <c r="H144" s="6"/>
      <c r="I144" s="6" t="s">
        <v>111</v>
      </c>
      <c r="J144" s="6">
        <v>3</v>
      </c>
      <c r="K144" s="6">
        <v>44</v>
      </c>
      <c r="L144" s="7" t="s">
        <v>5499</v>
      </c>
      <c r="M144" s="8" t="str">
        <f>IF(Caja_Arequipa[[#This Row],[tipo_r]]="R","001-"&amp;12002+A144,M143)</f>
        <v>001-12137</v>
      </c>
      <c r="N144" s="8" t="str">
        <f t="shared" si="15"/>
        <v>PEN</v>
      </c>
      <c r="O144" s="13"/>
      <c r="P144" s="13">
        <v>18</v>
      </c>
      <c r="Q144" s="3">
        <f t="shared" si="13"/>
        <v>0</v>
      </c>
      <c r="R144" s="3">
        <f t="shared" si="14"/>
        <v>18</v>
      </c>
      <c r="S144" s="3">
        <f t="shared" si="11"/>
        <v>181.79999999999933</v>
      </c>
      <c r="T144" s="24" t="s">
        <v>1334</v>
      </c>
      <c r="U144" s="24" t="s">
        <v>1334</v>
      </c>
      <c r="V144" s="3"/>
      <c r="W144" s="25" t="str">
        <f>IFERROR(VLOOKUP(Caja_Arequipa[[#This Row],[destinatario]],CHOOSE({1,2},Clientes_Proveedores[Razon Social],Clientes_Proveedores[Ruc / Dni]),2,0),"")</f>
        <v/>
      </c>
      <c r="X144" s="3" t="s">
        <v>5500</v>
      </c>
      <c r="Y144" s="3"/>
      <c r="Z144" s="3"/>
      <c r="AA144" s="3"/>
      <c r="AB144" s="3" t="str">
        <f>IF(Caja_Arequipa[[#This Row],[fecha]]&gt;0,TEXT(Caja_Arequipa[[#This Row],[fecha]],"mmmm"),0)</f>
        <v>Febrero</v>
      </c>
    </row>
    <row r="145" spans="1:28" x14ac:dyDescent="0.3">
      <c r="A145" s="2">
        <f>IF(Caja_Arequipa[[#This Row],[tipo_r]]="R",COUNTIFS($C$1:$C144,"R")+1,A144)</f>
        <v>136</v>
      </c>
      <c r="B145" s="19" t="str">
        <f t="shared" si="12"/>
        <v>C-Tesoreria</v>
      </c>
      <c r="C145" s="3" t="s">
        <v>1330</v>
      </c>
      <c r="D145" s="14">
        <v>45716</v>
      </c>
      <c r="E145" s="5" t="s">
        <v>1416</v>
      </c>
      <c r="F145" s="5" t="s">
        <v>1336</v>
      </c>
      <c r="G145" s="3" t="s">
        <v>5274</v>
      </c>
      <c r="H145" s="6"/>
      <c r="I145" s="6" t="s">
        <v>111</v>
      </c>
      <c r="J145" s="6">
        <v>3</v>
      </c>
      <c r="K145" s="6">
        <v>45</v>
      </c>
      <c r="L145" s="7" t="s">
        <v>5501</v>
      </c>
      <c r="M145" s="8" t="str">
        <f>IF(Caja_Arequipa[[#This Row],[tipo_r]]="R","001-"&amp;12002+A145,M144)</f>
        <v>001-12138</v>
      </c>
      <c r="N145" s="8" t="str">
        <f t="shared" si="15"/>
        <v>PEN</v>
      </c>
      <c r="O145" s="13"/>
      <c r="P145" s="13">
        <v>15</v>
      </c>
      <c r="Q145" s="3">
        <f t="shared" si="13"/>
        <v>0</v>
      </c>
      <c r="R145" s="3">
        <f t="shared" si="14"/>
        <v>15</v>
      </c>
      <c r="S145" s="3">
        <f t="shared" si="11"/>
        <v>166.79999999999933</v>
      </c>
      <c r="T145" s="24" t="s">
        <v>1334</v>
      </c>
      <c r="U145" s="24" t="s">
        <v>1334</v>
      </c>
      <c r="V145" s="3"/>
      <c r="W145" s="25" t="str">
        <f>IFERROR(VLOOKUP(Caja_Arequipa[[#This Row],[destinatario]],CHOOSE({1,2},Clientes_Proveedores[Razon Social],Clientes_Proveedores[Ruc / Dni]),2,0),"")</f>
        <v/>
      </c>
      <c r="X145" s="3" t="s">
        <v>5502</v>
      </c>
      <c r="Y145" s="3"/>
      <c r="Z145" s="3"/>
      <c r="AA145" s="3"/>
      <c r="AB145" s="3" t="str">
        <f>IF(Caja_Arequipa[[#This Row],[fecha]]&gt;0,TEXT(Caja_Arequipa[[#This Row],[fecha]],"mmmm"),0)</f>
        <v>Febrero</v>
      </c>
    </row>
    <row r="146" spans="1:28" x14ac:dyDescent="0.3">
      <c r="A146" s="2">
        <f>IF(Caja_Arequipa[[#This Row],[tipo_r]]="R",COUNTIFS($C$1:$C145,"R")+1,A145)</f>
        <v>137</v>
      </c>
      <c r="B146" s="19" t="str">
        <f t="shared" si="12"/>
        <v>C-Tesoreria</v>
      </c>
      <c r="C146" s="3" t="s">
        <v>1330</v>
      </c>
      <c r="D146" s="14">
        <v>45719</v>
      </c>
      <c r="E146" s="5" t="s">
        <v>1416</v>
      </c>
      <c r="F146" s="5" t="s">
        <v>1336</v>
      </c>
      <c r="G146" s="3" t="s">
        <v>5299</v>
      </c>
      <c r="H146" s="6"/>
      <c r="I146" s="6"/>
      <c r="J146" s="6"/>
      <c r="K146" s="6"/>
      <c r="L146" s="7" t="s">
        <v>5503</v>
      </c>
      <c r="M146" s="8" t="str">
        <f>IF(Caja_Arequipa[[#This Row],[tipo_r]]="R","001-"&amp;12002+A146,M145)</f>
        <v>001-12139</v>
      </c>
      <c r="N146" s="8" t="str">
        <f t="shared" si="15"/>
        <v>PEN</v>
      </c>
      <c r="O146" s="13"/>
      <c r="P146" s="13">
        <v>120</v>
      </c>
      <c r="Q146" s="3">
        <f t="shared" si="13"/>
        <v>0</v>
      </c>
      <c r="R146" s="3">
        <f t="shared" si="14"/>
        <v>120</v>
      </c>
      <c r="S146" s="3">
        <f t="shared" si="11"/>
        <v>46.799999999999329</v>
      </c>
      <c r="T146" s="24" t="s">
        <v>5504</v>
      </c>
      <c r="U146" s="24"/>
      <c r="V146" s="3"/>
      <c r="W146" s="25" t="str">
        <f>IFERROR(VLOOKUP(Caja_Arequipa[[#This Row],[destinatario]],CHOOSE({1,2},Clientes_Proveedores[Razon Social],Clientes_Proveedores[Ruc / Dni]),2,0),"")</f>
        <v/>
      </c>
      <c r="X146" s="3" t="s">
        <v>5505</v>
      </c>
      <c r="Y146" s="3"/>
      <c r="Z146" s="3"/>
      <c r="AA146" s="3"/>
      <c r="AB146" s="3" t="str">
        <f>IF(Caja_Arequipa[[#This Row],[fecha]]&gt;0,TEXT(Caja_Arequipa[[#This Row],[fecha]],"mmmm"),0)</f>
        <v>Marzo</v>
      </c>
    </row>
    <row r="147" spans="1:28" ht="24" x14ac:dyDescent="0.3">
      <c r="A147" s="2">
        <f>IF(Caja_Arequipa[[#This Row],[tipo_r]]="R",COUNTIFS($C$1:$C146,"R")+1,A146)</f>
        <v>138</v>
      </c>
      <c r="B147" s="19" t="str">
        <f t="shared" si="12"/>
        <v>C-Tesoreria</v>
      </c>
      <c r="C147" s="3" t="s">
        <v>1330</v>
      </c>
      <c r="D147" s="14">
        <v>45719</v>
      </c>
      <c r="E147" s="5" t="s">
        <v>1416</v>
      </c>
      <c r="F147" s="5" t="s">
        <v>1336</v>
      </c>
      <c r="G147" s="3" t="s">
        <v>5299</v>
      </c>
      <c r="H147" s="6"/>
      <c r="I147" s="6" t="s">
        <v>111</v>
      </c>
      <c r="J147" s="6">
        <v>3</v>
      </c>
      <c r="K147" s="6">
        <v>67</v>
      </c>
      <c r="L147" s="7" t="s">
        <v>5506</v>
      </c>
      <c r="M147" s="8" t="str">
        <f>IF(Caja_Arequipa[[#This Row],[tipo_r]]="R","001-"&amp;12002+A147,M146)</f>
        <v>001-12140</v>
      </c>
      <c r="N147" s="8" t="str">
        <f t="shared" si="15"/>
        <v>PEN</v>
      </c>
      <c r="O147" s="13"/>
      <c r="P147" s="13">
        <v>20</v>
      </c>
      <c r="Q147" s="3">
        <f t="shared" si="13"/>
        <v>0</v>
      </c>
      <c r="R147" s="3">
        <f t="shared" si="14"/>
        <v>20</v>
      </c>
      <c r="S147" s="3">
        <f t="shared" si="11"/>
        <v>26.799999999999329</v>
      </c>
      <c r="T147" s="24"/>
      <c r="U147" s="24" t="s">
        <v>1334</v>
      </c>
      <c r="V147" s="3"/>
      <c r="W147" s="25" t="str">
        <f>IFERROR(VLOOKUP(Caja_Arequipa[[#This Row],[destinatario]],CHOOSE({1,2},Clientes_Proveedores[Razon Social],Clientes_Proveedores[Ruc / Dni]),2,0),"")</f>
        <v/>
      </c>
      <c r="X147" s="3" t="s">
        <v>5507</v>
      </c>
      <c r="Y147" s="3"/>
      <c r="Z147" s="3"/>
      <c r="AA147" s="3"/>
      <c r="AB147" s="3" t="str">
        <f>IF(Caja_Arequipa[[#This Row],[fecha]]&gt;0,TEXT(Caja_Arequipa[[#This Row],[fecha]],"mmmm"),0)</f>
        <v>Marzo</v>
      </c>
    </row>
    <row r="148" spans="1:28" x14ac:dyDescent="0.3">
      <c r="A148" s="2">
        <f>IF(Caja_Arequipa[[#This Row],[tipo_r]]="R",COUNTIFS($C$1:$C147,"R")+1,A147)</f>
        <v>139</v>
      </c>
      <c r="B148" s="19" t="str">
        <f t="shared" si="12"/>
        <v>C-Tesoreria</v>
      </c>
      <c r="C148" s="3" t="s">
        <v>1330</v>
      </c>
      <c r="D148" s="14">
        <v>45719</v>
      </c>
      <c r="E148" s="5" t="s">
        <v>1416</v>
      </c>
      <c r="F148" s="5" t="s">
        <v>1303</v>
      </c>
      <c r="G148" s="3" t="s">
        <v>3634</v>
      </c>
      <c r="H148" s="6"/>
      <c r="I148" s="6"/>
      <c r="J148" s="6"/>
      <c r="K148" s="6"/>
      <c r="L148" s="7" t="s">
        <v>5340</v>
      </c>
      <c r="M148" s="8" t="str">
        <f>IF(Caja_Arequipa[[#This Row],[tipo_r]]="R","001-"&amp;12002+A148,M147)</f>
        <v>001-12141</v>
      </c>
      <c r="N148" s="8" t="str">
        <f t="shared" si="15"/>
        <v>PEN</v>
      </c>
      <c r="O148" s="13"/>
      <c r="P148" s="13">
        <v>900</v>
      </c>
      <c r="Q148" s="3">
        <f t="shared" si="13"/>
        <v>900</v>
      </c>
      <c r="R148" s="3">
        <f t="shared" si="14"/>
        <v>0</v>
      </c>
      <c r="S148" s="3">
        <f t="shared" si="11"/>
        <v>926.79999999999927</v>
      </c>
      <c r="T148" s="24"/>
      <c r="U148" s="24"/>
      <c r="V148" s="3"/>
      <c r="W148" s="25" t="str">
        <f>IFERROR(VLOOKUP(Caja_Arequipa[[#This Row],[destinatario]],CHOOSE({1,2},Clientes_Proveedores[Razon Social],Clientes_Proveedores[Ruc / Dni]),2,0),"")</f>
        <v/>
      </c>
      <c r="X148" s="3"/>
      <c r="Y148" s="3"/>
      <c r="Z148" s="3"/>
      <c r="AA148" s="3"/>
      <c r="AB148" s="3" t="str">
        <f>IF(Caja_Arequipa[[#This Row],[fecha]]&gt;0,TEXT(Caja_Arequipa[[#This Row],[fecha]],"mmmm"),0)</f>
        <v>Marzo</v>
      </c>
    </row>
    <row r="149" spans="1:28" ht="60" x14ac:dyDescent="0.3">
      <c r="A149" s="2">
        <f>IF(Caja_Arequipa[[#This Row],[tipo_r]]="R",COUNTIFS($C$1:$C148,"R")+1,A148)</f>
        <v>140</v>
      </c>
      <c r="B149" s="19" t="str">
        <f t="shared" si="12"/>
        <v>C-Tesoreria</v>
      </c>
      <c r="C149" s="3" t="s">
        <v>1330</v>
      </c>
      <c r="D149" s="14">
        <v>45719</v>
      </c>
      <c r="E149" s="5" t="s">
        <v>1416</v>
      </c>
      <c r="F149" s="5" t="s">
        <v>1336</v>
      </c>
      <c r="G149" s="3" t="s">
        <v>5380</v>
      </c>
      <c r="H149" s="6"/>
      <c r="I149" s="6"/>
      <c r="J149" s="6"/>
      <c r="K149" s="6"/>
      <c r="L149" s="7" t="s">
        <v>5508</v>
      </c>
      <c r="M149" s="8" t="str">
        <f>IF(Caja_Arequipa[[#This Row],[tipo_r]]="R","001-"&amp;12002+A149,M148)</f>
        <v>001-12142</v>
      </c>
      <c r="N149" s="8" t="str">
        <f t="shared" si="15"/>
        <v>PEN</v>
      </c>
      <c r="O149" s="13"/>
      <c r="P149" s="13">
        <v>329</v>
      </c>
      <c r="Q149" s="3">
        <f t="shared" si="13"/>
        <v>0</v>
      </c>
      <c r="R149" s="3">
        <f t="shared" si="14"/>
        <v>329</v>
      </c>
      <c r="S149" s="3">
        <f t="shared" si="11"/>
        <v>597.79999999999927</v>
      </c>
      <c r="T149" s="24" t="s">
        <v>1334</v>
      </c>
      <c r="U149" s="24" t="s">
        <v>1334</v>
      </c>
      <c r="V149" s="3"/>
      <c r="W149" s="25" t="str">
        <f>IFERROR(VLOOKUP(Caja_Arequipa[[#This Row],[destinatario]],CHOOSE({1,2},Clientes_Proveedores[Razon Social],Clientes_Proveedores[Ruc / Dni]),2,0),"")</f>
        <v/>
      </c>
      <c r="X149" s="3" t="s">
        <v>5509</v>
      </c>
      <c r="Y149" s="3"/>
      <c r="Z149" s="3"/>
      <c r="AA149" s="3"/>
      <c r="AB149" s="3" t="str">
        <f>IF(Caja_Arequipa[[#This Row],[fecha]]&gt;0,TEXT(Caja_Arequipa[[#This Row],[fecha]],"mmmm"),0)</f>
        <v>Marzo</v>
      </c>
    </row>
    <row r="150" spans="1:28" x14ac:dyDescent="0.3">
      <c r="A150" s="2">
        <f>IF(Caja_Arequipa[[#This Row],[tipo_r]]="R",COUNTIFS($C$1:$C149,"R")+1,A149)</f>
        <v>141</v>
      </c>
      <c r="B150" s="19" t="str">
        <f t="shared" si="12"/>
        <v>C-Tesoreria</v>
      </c>
      <c r="C150" s="3" t="s">
        <v>1330</v>
      </c>
      <c r="D150" s="14">
        <v>45719</v>
      </c>
      <c r="E150" s="5" t="s">
        <v>1416</v>
      </c>
      <c r="F150" s="5" t="s">
        <v>1303</v>
      </c>
      <c r="G150" s="3" t="s">
        <v>3634</v>
      </c>
      <c r="H150" s="6"/>
      <c r="I150" s="6"/>
      <c r="J150" s="6"/>
      <c r="K150" s="6"/>
      <c r="L150" s="7" t="s">
        <v>5510</v>
      </c>
      <c r="M150" s="8" t="str">
        <f>IF(Caja_Arequipa[[#This Row],[tipo_r]]="R","001-"&amp;12002+A150,M149)</f>
        <v>001-12143</v>
      </c>
      <c r="N150" s="8" t="str">
        <f t="shared" si="15"/>
        <v>PEN</v>
      </c>
      <c r="O150" s="13"/>
      <c r="P150" s="13">
        <v>3993.6</v>
      </c>
      <c r="Q150" s="3">
        <f t="shared" si="13"/>
        <v>3993.6</v>
      </c>
      <c r="R150" s="3">
        <f t="shared" si="14"/>
        <v>0</v>
      </c>
      <c r="S150" s="3">
        <f t="shared" si="11"/>
        <v>4591.3999999999996</v>
      </c>
      <c r="T150" s="24"/>
      <c r="U150" s="24"/>
      <c r="V150" s="3"/>
      <c r="W150" s="25" t="str">
        <f>IFERROR(VLOOKUP(Caja_Arequipa[[#This Row],[destinatario]],CHOOSE({1,2},Clientes_Proveedores[Razon Social],Clientes_Proveedores[Ruc / Dni]),2,0),"")</f>
        <v/>
      </c>
      <c r="X150" s="3"/>
      <c r="Y150" s="3"/>
      <c r="Z150" s="3"/>
      <c r="AA150" s="3"/>
      <c r="AB150" s="3" t="str">
        <f>IF(Caja_Arequipa[[#This Row],[fecha]]&gt;0,TEXT(Caja_Arequipa[[#This Row],[fecha]],"mmmm"),0)</f>
        <v>Marzo</v>
      </c>
    </row>
    <row r="151" spans="1:28" ht="24" x14ac:dyDescent="0.3">
      <c r="A151" s="2">
        <f>IF(Caja_Arequipa[[#This Row],[tipo_r]]="R",COUNTIFS($C$1:$C150,"R")+1,A150)</f>
        <v>142</v>
      </c>
      <c r="B151" s="19" t="str">
        <f t="shared" si="12"/>
        <v>C-Tesoreria</v>
      </c>
      <c r="C151" s="3" t="s">
        <v>1330</v>
      </c>
      <c r="D151" s="14">
        <v>45720</v>
      </c>
      <c r="E151" s="5" t="s">
        <v>1416</v>
      </c>
      <c r="F151" s="5" t="s">
        <v>1336</v>
      </c>
      <c r="G151" s="3" t="s">
        <v>3308</v>
      </c>
      <c r="H151" s="6"/>
      <c r="I151" s="6" t="s">
        <v>111</v>
      </c>
      <c r="J151" s="6">
        <v>3</v>
      </c>
      <c r="K151" s="6">
        <v>48</v>
      </c>
      <c r="L151" s="7" t="s">
        <v>5511</v>
      </c>
      <c r="M151" s="8" t="str">
        <f>IF(Caja_Arequipa[[#This Row],[tipo_r]]="R","001-"&amp;12002+A151,M150)</f>
        <v>001-12144</v>
      </c>
      <c r="N151" s="8" t="str">
        <f t="shared" si="15"/>
        <v>PEN</v>
      </c>
      <c r="O151" s="13"/>
      <c r="P151" s="13">
        <v>12</v>
      </c>
      <c r="Q151" s="3">
        <f t="shared" si="13"/>
        <v>0</v>
      </c>
      <c r="R151" s="3">
        <f t="shared" si="14"/>
        <v>12</v>
      </c>
      <c r="S151" s="3">
        <f t="shared" si="11"/>
        <v>4579.3999999999996</v>
      </c>
      <c r="T151" s="24" t="s">
        <v>1334</v>
      </c>
      <c r="U151" s="24" t="s">
        <v>1334</v>
      </c>
      <c r="V151" s="3"/>
      <c r="W151" s="25" t="str">
        <f>IFERROR(VLOOKUP(Caja_Arequipa[[#This Row],[destinatario]],CHOOSE({1,2},Clientes_Proveedores[Razon Social],Clientes_Proveedores[Ruc / Dni]),2,0),"")</f>
        <v/>
      </c>
      <c r="X151" s="3" t="s">
        <v>5512</v>
      </c>
      <c r="Y151" s="3"/>
      <c r="Z151" s="3"/>
      <c r="AA151" s="3"/>
      <c r="AB151" s="3" t="str">
        <f>IF(Caja_Arequipa[[#This Row],[fecha]]&gt;0,TEXT(Caja_Arequipa[[#This Row],[fecha]],"mmmm"),0)</f>
        <v>Marzo</v>
      </c>
    </row>
    <row r="152" spans="1:28" ht="24" x14ac:dyDescent="0.3">
      <c r="A152" s="2">
        <f>IF(Caja_Arequipa[[#This Row],[tipo_r]]="R",COUNTIFS($C$1:$C151,"R")+1,A151)</f>
        <v>143</v>
      </c>
      <c r="B152" s="19" t="str">
        <f t="shared" si="12"/>
        <v>C-Tesoreria</v>
      </c>
      <c r="C152" s="3" t="s">
        <v>1330</v>
      </c>
      <c r="D152" s="14">
        <v>45720</v>
      </c>
      <c r="E152" s="5" t="s">
        <v>1416</v>
      </c>
      <c r="F152" s="5" t="s">
        <v>1336</v>
      </c>
      <c r="G152" s="3" t="s">
        <v>5299</v>
      </c>
      <c r="H152" s="6"/>
      <c r="I152" s="6"/>
      <c r="J152" s="6"/>
      <c r="K152" s="6"/>
      <c r="L152" s="7" t="s">
        <v>5513</v>
      </c>
      <c r="M152" s="8" t="str">
        <f>IF(Caja_Arequipa[[#This Row],[tipo_r]]="R","001-"&amp;12002+A152,M151)</f>
        <v>001-12145</v>
      </c>
      <c r="N152" s="8" t="str">
        <f t="shared" si="15"/>
        <v>PEN</v>
      </c>
      <c r="O152" s="13"/>
      <c r="P152" s="13">
        <v>2</v>
      </c>
      <c r="Q152" s="3">
        <f t="shared" si="13"/>
        <v>0</v>
      </c>
      <c r="R152" s="3">
        <f t="shared" si="14"/>
        <v>2</v>
      </c>
      <c r="S152" s="3">
        <f t="shared" si="11"/>
        <v>4577.3999999999996</v>
      </c>
      <c r="T152" s="24" t="s">
        <v>1334</v>
      </c>
      <c r="U152" s="24" t="s">
        <v>1334</v>
      </c>
      <c r="V152" s="3"/>
      <c r="W152" s="25" t="str">
        <f>IFERROR(VLOOKUP(Caja_Arequipa[[#This Row],[destinatario]],CHOOSE({1,2},Clientes_Proveedores[Razon Social],Clientes_Proveedores[Ruc / Dni]),2,0),"")</f>
        <v/>
      </c>
      <c r="X152" s="3" t="s">
        <v>5514</v>
      </c>
      <c r="Y152" s="3"/>
      <c r="Z152" s="3"/>
      <c r="AA152" s="3"/>
      <c r="AB152" s="3" t="str">
        <f>IF(Caja_Arequipa[[#This Row],[fecha]]&gt;0,TEXT(Caja_Arequipa[[#This Row],[fecha]],"mmmm"),0)</f>
        <v>Marzo</v>
      </c>
    </row>
    <row r="153" spans="1:28" ht="24" x14ac:dyDescent="0.3">
      <c r="A153" s="2">
        <f>IF(Caja_Arequipa[[#This Row],[tipo_r]]="R",COUNTIFS($C$1:$C152,"R")+1,A152)</f>
        <v>144</v>
      </c>
      <c r="B153" s="19" t="str">
        <f t="shared" si="12"/>
        <v>C-Tesoreria</v>
      </c>
      <c r="C153" s="3" t="s">
        <v>1330</v>
      </c>
      <c r="D153" s="14">
        <v>45721</v>
      </c>
      <c r="E153" s="5" t="s">
        <v>1416</v>
      </c>
      <c r="F153" s="5" t="s">
        <v>1336</v>
      </c>
      <c r="G153" s="3" t="s">
        <v>5299</v>
      </c>
      <c r="H153" s="6"/>
      <c r="I153" s="6"/>
      <c r="J153" s="6"/>
      <c r="K153" s="6"/>
      <c r="L153" s="7" t="s">
        <v>5515</v>
      </c>
      <c r="M153" s="8" t="str">
        <f>IF(Caja_Arequipa[[#This Row],[tipo_r]]="R","001-"&amp;12002+A153,M152)</f>
        <v>001-12146</v>
      </c>
      <c r="N153" s="8" t="str">
        <f t="shared" si="15"/>
        <v>PEN</v>
      </c>
      <c r="O153" s="13"/>
      <c r="P153" s="13">
        <v>249</v>
      </c>
      <c r="Q153" s="3">
        <f t="shared" si="13"/>
        <v>0</v>
      </c>
      <c r="R153" s="3">
        <f t="shared" si="14"/>
        <v>249</v>
      </c>
      <c r="S153" s="3">
        <f t="shared" si="11"/>
        <v>4328.3999999999996</v>
      </c>
      <c r="T153" s="24" t="s">
        <v>1334</v>
      </c>
      <c r="U153" s="24" t="s">
        <v>1334</v>
      </c>
      <c r="V153" s="3"/>
      <c r="W153" s="25" t="str">
        <f>IFERROR(VLOOKUP(Caja_Arequipa[[#This Row],[destinatario]],CHOOSE({1,2},Clientes_Proveedores[Razon Social],Clientes_Proveedores[Ruc / Dni]),2,0),"")</f>
        <v/>
      </c>
      <c r="X153" s="3" t="s">
        <v>5516</v>
      </c>
      <c r="Y153" s="3"/>
      <c r="Z153" s="3"/>
      <c r="AA153" s="3"/>
      <c r="AB153" s="3" t="str">
        <f>IF(Caja_Arequipa[[#This Row],[fecha]]&gt;0,TEXT(Caja_Arequipa[[#This Row],[fecha]],"mmmm"),0)</f>
        <v>Marzo</v>
      </c>
    </row>
    <row r="154" spans="1:28" x14ac:dyDescent="0.3">
      <c r="A154" s="2">
        <f>IF(Caja_Arequipa[[#This Row],[tipo_r]]="R",COUNTIFS($C$1:$C153,"R")+1,A153)</f>
        <v>145</v>
      </c>
      <c r="B154" s="19" t="str">
        <f t="shared" si="12"/>
        <v>C-Tesoreria</v>
      </c>
      <c r="C154" s="3" t="s">
        <v>1330</v>
      </c>
      <c r="D154" s="14">
        <v>45721</v>
      </c>
      <c r="E154" s="5" t="s">
        <v>1338</v>
      </c>
      <c r="F154" s="5" t="s">
        <v>1336</v>
      </c>
      <c r="G154" s="3" t="s">
        <v>5450</v>
      </c>
      <c r="H154" s="6"/>
      <c r="I154" s="6" t="s">
        <v>111</v>
      </c>
      <c r="J154" s="6">
        <v>3</v>
      </c>
      <c r="K154" s="6">
        <v>46</v>
      </c>
      <c r="L154" s="7" t="s">
        <v>5517</v>
      </c>
      <c r="M154" s="8" t="str">
        <f>IF(Caja_Arequipa[[#This Row],[tipo_r]]="R","001-"&amp;12002+A154,M153)</f>
        <v>001-12147</v>
      </c>
      <c r="N154" s="8" t="str">
        <f t="shared" si="15"/>
        <v>PEN</v>
      </c>
      <c r="O154" s="13"/>
      <c r="P154" s="13">
        <v>35</v>
      </c>
      <c r="Q154" s="3">
        <f t="shared" si="13"/>
        <v>0</v>
      </c>
      <c r="R154" s="3">
        <f t="shared" si="14"/>
        <v>35</v>
      </c>
      <c r="S154" s="3">
        <f t="shared" si="11"/>
        <v>4293.3999999999996</v>
      </c>
      <c r="T154" s="24" t="s">
        <v>1334</v>
      </c>
      <c r="U154" s="24" t="s">
        <v>1334</v>
      </c>
      <c r="V154" s="3"/>
      <c r="W154" s="25" t="str">
        <f>IFERROR(VLOOKUP(Caja_Arequipa[[#This Row],[destinatario]],CHOOSE({1,2},Clientes_Proveedores[Razon Social],Clientes_Proveedores[Ruc / Dni]),2,0),"")</f>
        <v/>
      </c>
      <c r="X154" s="3" t="s">
        <v>5518</v>
      </c>
      <c r="Y154" s="3"/>
      <c r="Z154" s="3"/>
      <c r="AA154" s="3"/>
      <c r="AB154" s="3" t="str">
        <f>IF(Caja_Arequipa[[#This Row],[fecha]]&gt;0,TEXT(Caja_Arequipa[[#This Row],[fecha]],"mmmm"),0)</f>
        <v>Marzo</v>
      </c>
    </row>
    <row r="155" spans="1:28" ht="24" x14ac:dyDescent="0.3">
      <c r="A155" s="2">
        <f>IF(Caja_Arequipa[[#This Row],[tipo_r]]="R",COUNTIFS($C$1:$C154,"R")+1,A154)</f>
        <v>146</v>
      </c>
      <c r="B155" s="19" t="str">
        <f t="shared" si="12"/>
        <v>C-Tesoreria</v>
      </c>
      <c r="C155" s="3" t="s">
        <v>1330</v>
      </c>
      <c r="D155" s="14">
        <v>45721</v>
      </c>
      <c r="E155" s="5" t="s">
        <v>1416</v>
      </c>
      <c r="F155" s="5" t="s">
        <v>1336</v>
      </c>
      <c r="G155" s="3" t="s">
        <v>5274</v>
      </c>
      <c r="H155" s="6"/>
      <c r="I155" s="6"/>
      <c r="J155" s="6"/>
      <c r="K155" s="6"/>
      <c r="L155" s="7" t="s">
        <v>5519</v>
      </c>
      <c r="M155" s="8" t="str">
        <f>IF(Caja_Arequipa[[#This Row],[tipo_r]]="R","001-"&amp;12002+A155,M154)</f>
        <v>001-12148</v>
      </c>
      <c r="N155" s="8" t="str">
        <f t="shared" si="15"/>
        <v>PEN</v>
      </c>
      <c r="O155" s="13"/>
      <c r="P155" s="13">
        <v>10</v>
      </c>
      <c r="Q155" s="3">
        <f t="shared" si="13"/>
        <v>0</v>
      </c>
      <c r="R155" s="3">
        <f t="shared" si="14"/>
        <v>10</v>
      </c>
      <c r="S155" s="3">
        <f t="shared" si="11"/>
        <v>4283.3999999999996</v>
      </c>
      <c r="T155" s="24" t="s">
        <v>1334</v>
      </c>
      <c r="U155" s="24" t="s">
        <v>1334</v>
      </c>
      <c r="V155" s="3"/>
      <c r="W155" s="25" t="str">
        <f>IFERROR(VLOOKUP(Caja_Arequipa[[#This Row],[destinatario]],CHOOSE({1,2},Clientes_Proveedores[Razon Social],Clientes_Proveedores[Ruc / Dni]),2,0),"")</f>
        <v/>
      </c>
      <c r="X155" s="3" t="s">
        <v>5520</v>
      </c>
      <c r="Y155" s="3"/>
      <c r="Z155" s="3"/>
      <c r="AA155" s="3"/>
      <c r="AB155" s="3" t="str">
        <f>IF(Caja_Arequipa[[#This Row],[fecha]]&gt;0,TEXT(Caja_Arequipa[[#This Row],[fecha]],"mmmm"),0)</f>
        <v>Marzo</v>
      </c>
    </row>
    <row r="156" spans="1:28" ht="36" x14ac:dyDescent="0.3">
      <c r="A156" s="2">
        <f>IF(Caja_Arequipa[[#This Row],[tipo_r]]="R",COUNTIFS($C$1:$C155,"R")+1,A155)</f>
        <v>147</v>
      </c>
      <c r="B156" s="19" t="str">
        <f t="shared" si="12"/>
        <v>C-Tesoreria</v>
      </c>
      <c r="C156" s="3" t="s">
        <v>1330</v>
      </c>
      <c r="D156" s="14">
        <v>45721</v>
      </c>
      <c r="E156" s="5" t="s">
        <v>1416</v>
      </c>
      <c r="F156" s="5" t="s">
        <v>1336</v>
      </c>
      <c r="G156" s="3" t="s">
        <v>5274</v>
      </c>
      <c r="H156" s="6"/>
      <c r="I156" s="6"/>
      <c r="J156" s="6"/>
      <c r="K156" s="6"/>
      <c r="L156" s="7" t="s">
        <v>5521</v>
      </c>
      <c r="M156" s="8" t="str">
        <f>IF(Caja_Arequipa[[#This Row],[tipo_r]]="R","001-"&amp;12002+A156,M155)</f>
        <v>001-12149</v>
      </c>
      <c r="N156" s="8" t="str">
        <f t="shared" si="15"/>
        <v>PEN</v>
      </c>
      <c r="O156" s="13"/>
      <c r="P156" s="13">
        <v>83.5</v>
      </c>
      <c r="Q156" s="3">
        <f t="shared" si="13"/>
        <v>0</v>
      </c>
      <c r="R156" s="3">
        <f t="shared" si="14"/>
        <v>83.5</v>
      </c>
      <c r="S156" s="3">
        <f t="shared" si="11"/>
        <v>4199.8999999999996</v>
      </c>
      <c r="T156" s="24" t="s">
        <v>1334</v>
      </c>
      <c r="U156" s="24" t="s">
        <v>1334</v>
      </c>
      <c r="V156" s="3"/>
      <c r="W156" s="25" t="str">
        <f>IFERROR(VLOOKUP(Caja_Arequipa[[#This Row],[destinatario]],CHOOSE({1,2},Clientes_Proveedores[Razon Social],Clientes_Proveedores[Ruc / Dni]),2,0),"")</f>
        <v/>
      </c>
      <c r="X156" s="3" t="s">
        <v>5522</v>
      </c>
      <c r="Y156" s="3"/>
      <c r="Z156" s="3"/>
      <c r="AA156" s="3"/>
      <c r="AB156" s="3" t="str">
        <f>IF(Caja_Arequipa[[#This Row],[fecha]]&gt;0,TEXT(Caja_Arequipa[[#This Row],[fecha]],"mmmm"),0)</f>
        <v>Marzo</v>
      </c>
    </row>
    <row r="157" spans="1:28" ht="24" x14ac:dyDescent="0.3">
      <c r="A157" s="2">
        <f>IF(Caja_Arequipa[[#This Row],[tipo_r]]="R",COUNTIFS($C$1:$C156,"R")+1,A156)</f>
        <v>148</v>
      </c>
      <c r="B157" s="19" t="str">
        <f t="shared" si="12"/>
        <v>C-Tesoreria</v>
      </c>
      <c r="C157" s="3" t="s">
        <v>1330</v>
      </c>
      <c r="D157" s="14">
        <v>45721</v>
      </c>
      <c r="E157" s="5" t="s">
        <v>1416</v>
      </c>
      <c r="F157" s="5" t="s">
        <v>1336</v>
      </c>
      <c r="G157" s="3" t="s">
        <v>5274</v>
      </c>
      <c r="H157" s="6"/>
      <c r="I157" s="6"/>
      <c r="J157" s="6"/>
      <c r="K157" s="6"/>
      <c r="L157" s="7" t="s">
        <v>5523</v>
      </c>
      <c r="M157" s="8" t="str">
        <f>IF(Caja_Arequipa[[#This Row],[tipo_r]]="R","001-"&amp;12002+A157,M156)</f>
        <v>001-12150</v>
      </c>
      <c r="N157" s="8" t="str">
        <f t="shared" si="15"/>
        <v>PEN</v>
      </c>
      <c r="O157" s="13"/>
      <c r="P157" s="13">
        <v>10</v>
      </c>
      <c r="Q157" s="3">
        <f t="shared" si="13"/>
        <v>0</v>
      </c>
      <c r="R157" s="3">
        <f t="shared" si="14"/>
        <v>10</v>
      </c>
      <c r="S157" s="3">
        <f t="shared" si="11"/>
        <v>4189.8999999999996</v>
      </c>
      <c r="T157" s="24" t="s">
        <v>1334</v>
      </c>
      <c r="U157" s="24" t="s">
        <v>1334</v>
      </c>
      <c r="V157" s="3"/>
      <c r="W157" s="25" t="str">
        <f>IFERROR(VLOOKUP(Caja_Arequipa[[#This Row],[destinatario]],CHOOSE({1,2},Clientes_Proveedores[Razon Social],Clientes_Proveedores[Ruc / Dni]),2,0),"")</f>
        <v/>
      </c>
      <c r="X157" s="3" t="s">
        <v>5524</v>
      </c>
      <c r="Y157" s="3"/>
      <c r="Z157" s="3"/>
      <c r="AA157" s="3"/>
      <c r="AB157" s="3" t="str">
        <f>IF(Caja_Arequipa[[#This Row],[fecha]]&gt;0,TEXT(Caja_Arequipa[[#This Row],[fecha]],"mmmm"),0)</f>
        <v>Marzo</v>
      </c>
    </row>
    <row r="158" spans="1:28" x14ac:dyDescent="0.3">
      <c r="A158" s="2">
        <f>IF(Caja_Arequipa[[#This Row],[tipo_r]]="R",COUNTIFS($C$1:$C157,"R")+1,A157)</f>
        <v>149</v>
      </c>
      <c r="B158" s="19" t="str">
        <f t="shared" si="12"/>
        <v>C-Tesoreria</v>
      </c>
      <c r="C158" s="3" t="s">
        <v>1330</v>
      </c>
      <c r="D158" s="14">
        <v>45721</v>
      </c>
      <c r="E158" s="5" t="s">
        <v>1416</v>
      </c>
      <c r="F158" s="5" t="s">
        <v>1336</v>
      </c>
      <c r="G158" s="3" t="s">
        <v>5274</v>
      </c>
      <c r="H158" s="6"/>
      <c r="I158" s="6" t="s">
        <v>111</v>
      </c>
      <c r="J158" s="6">
        <v>3</v>
      </c>
      <c r="K158" s="6">
        <v>47</v>
      </c>
      <c r="L158" s="7" t="s">
        <v>5495</v>
      </c>
      <c r="M158" s="8" t="str">
        <f>IF(Caja_Arequipa[[#This Row],[tipo_r]]="R","001-"&amp;12002+A158,M157)</f>
        <v>001-12151</v>
      </c>
      <c r="N158" s="8" t="str">
        <f t="shared" si="15"/>
        <v>PEN</v>
      </c>
      <c r="O158" s="13"/>
      <c r="P158" s="13">
        <v>13</v>
      </c>
      <c r="Q158" s="3">
        <f t="shared" si="13"/>
        <v>0</v>
      </c>
      <c r="R158" s="3">
        <f t="shared" si="14"/>
        <v>13</v>
      </c>
      <c r="S158" s="3">
        <f t="shared" si="11"/>
        <v>4176.8999999999996</v>
      </c>
      <c r="T158" s="24" t="s">
        <v>1334</v>
      </c>
      <c r="U158" s="24" t="s">
        <v>1334</v>
      </c>
      <c r="V158" s="3"/>
      <c r="W158" s="25" t="str">
        <f>IFERROR(VLOOKUP(Caja_Arequipa[[#This Row],[destinatario]],CHOOSE({1,2},Clientes_Proveedores[Razon Social],Clientes_Proveedores[Ruc / Dni]),2,0),"")</f>
        <v/>
      </c>
      <c r="X158" s="3" t="s">
        <v>5525</v>
      </c>
      <c r="Y158" s="3"/>
      <c r="Z158" s="3"/>
      <c r="AA158" s="3"/>
      <c r="AB158" s="3" t="str">
        <f>IF(Caja_Arequipa[[#This Row],[fecha]]&gt;0,TEXT(Caja_Arequipa[[#This Row],[fecha]],"mmmm"),0)</f>
        <v>Marzo</v>
      </c>
    </row>
    <row r="159" spans="1:28" ht="36" x14ac:dyDescent="0.3">
      <c r="A159" s="2">
        <f>IF(Caja_Arequipa[[#This Row],[tipo_r]]="R",COUNTIFS($C$1:$C158,"R")+1,A158)</f>
        <v>150</v>
      </c>
      <c r="B159" s="19" t="str">
        <f t="shared" si="12"/>
        <v>C-Tesoreria</v>
      </c>
      <c r="C159" s="3" t="s">
        <v>1330</v>
      </c>
      <c r="D159" s="14">
        <v>45721</v>
      </c>
      <c r="E159" s="5" t="s">
        <v>1416</v>
      </c>
      <c r="F159" s="5" t="s">
        <v>1336</v>
      </c>
      <c r="G159" s="3" t="s">
        <v>3308</v>
      </c>
      <c r="H159" s="6"/>
      <c r="I159" s="6"/>
      <c r="J159" s="6"/>
      <c r="K159" s="6"/>
      <c r="L159" s="7" t="s">
        <v>5526</v>
      </c>
      <c r="M159" s="8" t="str">
        <f>IF(Caja_Arequipa[[#This Row],[tipo_r]]="R","001-"&amp;12002+A159,M158)</f>
        <v>001-12152</v>
      </c>
      <c r="N159" s="8" t="str">
        <f t="shared" si="15"/>
        <v>PEN</v>
      </c>
      <c r="O159" s="13"/>
      <c r="P159" s="13">
        <v>65.900000000000006</v>
      </c>
      <c r="Q159" s="3">
        <f t="shared" si="13"/>
        <v>0</v>
      </c>
      <c r="R159" s="3">
        <f t="shared" si="14"/>
        <v>65.900000000000006</v>
      </c>
      <c r="S159" s="3">
        <f t="shared" si="11"/>
        <v>4111</v>
      </c>
      <c r="T159" s="24" t="s">
        <v>1334</v>
      </c>
      <c r="U159" s="24" t="s">
        <v>1334</v>
      </c>
      <c r="V159" s="3"/>
      <c r="W159" s="25" t="str">
        <f>IFERROR(VLOOKUP(Caja_Arequipa[[#This Row],[destinatario]],CHOOSE({1,2},Clientes_Proveedores[Razon Social],Clientes_Proveedores[Ruc / Dni]),2,0),"")</f>
        <v/>
      </c>
      <c r="X159" s="3" t="s">
        <v>5527</v>
      </c>
      <c r="Y159" s="3"/>
      <c r="Z159" s="3"/>
      <c r="AA159" s="3"/>
      <c r="AB159" s="3" t="str">
        <f>IF(Caja_Arequipa[[#This Row],[fecha]]&gt;0,TEXT(Caja_Arequipa[[#This Row],[fecha]],"mmmm"),0)</f>
        <v>Marzo</v>
      </c>
    </row>
    <row r="160" spans="1:28" x14ac:dyDescent="0.3">
      <c r="A160" s="2">
        <f>IF(Caja_Arequipa[[#This Row],[tipo_r]]="R",COUNTIFS($C$1:$C159,"R")+1,A159)</f>
        <v>151</v>
      </c>
      <c r="B160" s="19" t="str">
        <f t="shared" si="12"/>
        <v>C-Tesoreria</v>
      </c>
      <c r="C160" s="3" t="s">
        <v>1330</v>
      </c>
      <c r="D160" s="14">
        <v>45721</v>
      </c>
      <c r="E160" s="5" t="s">
        <v>1416</v>
      </c>
      <c r="F160" s="5" t="s">
        <v>1336</v>
      </c>
      <c r="G160" s="3" t="s">
        <v>3308</v>
      </c>
      <c r="H160" s="6"/>
      <c r="I160" s="6"/>
      <c r="J160" s="6"/>
      <c r="K160" s="6"/>
      <c r="L160" s="7" t="s">
        <v>5528</v>
      </c>
      <c r="M160" s="8" t="str">
        <f>IF(Caja_Arequipa[[#This Row],[tipo_r]]="R","001-"&amp;12002+A160,M159)</f>
        <v>001-12153</v>
      </c>
      <c r="N160" s="8" t="str">
        <f t="shared" si="15"/>
        <v>PEN</v>
      </c>
      <c r="O160" s="13"/>
      <c r="P160" s="13">
        <v>38</v>
      </c>
      <c r="Q160" s="3">
        <f t="shared" si="13"/>
        <v>0</v>
      </c>
      <c r="R160" s="3">
        <f t="shared" si="14"/>
        <v>38</v>
      </c>
      <c r="S160" s="3">
        <f t="shared" si="11"/>
        <v>4073</v>
      </c>
      <c r="T160" s="24" t="s">
        <v>1334</v>
      </c>
      <c r="U160" s="24" t="s">
        <v>1334</v>
      </c>
      <c r="V160" s="3"/>
      <c r="W160" s="25" t="str">
        <f>IFERROR(VLOOKUP(Caja_Arequipa[[#This Row],[destinatario]],CHOOSE({1,2},Clientes_Proveedores[Razon Social],Clientes_Proveedores[Ruc / Dni]),2,0),"")</f>
        <v/>
      </c>
      <c r="X160" s="3" t="s">
        <v>5529</v>
      </c>
      <c r="Y160" s="3"/>
      <c r="Z160" s="3"/>
      <c r="AA160" s="3"/>
      <c r="AB160" s="3" t="str">
        <f>IF(Caja_Arequipa[[#This Row],[fecha]]&gt;0,TEXT(Caja_Arequipa[[#This Row],[fecha]],"mmmm"),0)</f>
        <v>Marzo</v>
      </c>
    </row>
    <row r="161" spans="1:28" x14ac:dyDescent="0.3">
      <c r="A161" s="2">
        <f>IF(Caja_Arequipa[[#This Row],[tipo_r]]="R",COUNTIFS($C$1:$C160,"R")+1,A160)</f>
        <v>152</v>
      </c>
      <c r="B161" s="19" t="str">
        <f t="shared" si="12"/>
        <v>C-Tesoreria</v>
      </c>
      <c r="C161" s="3" t="s">
        <v>1330</v>
      </c>
      <c r="D161" s="14">
        <v>45721</v>
      </c>
      <c r="E161" s="5" t="s">
        <v>1416</v>
      </c>
      <c r="F161" s="5" t="s">
        <v>1336</v>
      </c>
      <c r="G161" s="3" t="s">
        <v>3308</v>
      </c>
      <c r="H161" s="6"/>
      <c r="I161" s="6" t="s">
        <v>111</v>
      </c>
      <c r="J161" s="6">
        <v>3</v>
      </c>
      <c r="K161" s="6">
        <v>49</v>
      </c>
      <c r="L161" s="7" t="s">
        <v>5530</v>
      </c>
      <c r="M161" s="8" t="str">
        <f>IF(Caja_Arequipa[[#This Row],[tipo_r]]="R","001-"&amp;12002+A161,M160)</f>
        <v>001-12154</v>
      </c>
      <c r="N161" s="8" t="str">
        <f t="shared" si="15"/>
        <v>PEN</v>
      </c>
      <c r="O161" s="13"/>
      <c r="P161" s="13">
        <v>8</v>
      </c>
      <c r="Q161" s="3">
        <f t="shared" si="13"/>
        <v>0</v>
      </c>
      <c r="R161" s="3">
        <f t="shared" si="14"/>
        <v>8</v>
      </c>
      <c r="S161" s="3">
        <f t="shared" si="11"/>
        <v>4065</v>
      </c>
      <c r="T161" s="24" t="s">
        <v>1334</v>
      </c>
      <c r="U161" s="24" t="s">
        <v>1334</v>
      </c>
      <c r="V161" s="3"/>
      <c r="W161" s="25" t="str">
        <f>IFERROR(VLOOKUP(Caja_Arequipa[[#This Row],[destinatario]],CHOOSE({1,2},Clientes_Proveedores[Razon Social],Clientes_Proveedores[Ruc / Dni]),2,0),"")</f>
        <v/>
      </c>
      <c r="X161" s="3" t="s">
        <v>5531</v>
      </c>
      <c r="Y161" s="3"/>
      <c r="Z161" s="3"/>
      <c r="AA161" s="3"/>
      <c r="AB161" s="3" t="str">
        <f>IF(Caja_Arequipa[[#This Row],[fecha]]&gt;0,TEXT(Caja_Arequipa[[#This Row],[fecha]],"mmmm"),0)</f>
        <v>Marzo</v>
      </c>
    </row>
    <row r="162" spans="1:28" ht="24" x14ac:dyDescent="0.3">
      <c r="A162" s="2">
        <f>IF(Caja_Arequipa[[#This Row],[tipo_r]]="R",COUNTIFS($C$1:$C161,"R")+1,A161)</f>
        <v>153</v>
      </c>
      <c r="B162" s="19" t="str">
        <f t="shared" si="12"/>
        <v>C-Tesoreria</v>
      </c>
      <c r="C162" s="3" t="s">
        <v>1330</v>
      </c>
      <c r="D162" s="14">
        <v>45721</v>
      </c>
      <c r="E162" s="5" t="s">
        <v>1416</v>
      </c>
      <c r="F162" s="5" t="s">
        <v>1336</v>
      </c>
      <c r="G162" s="3" t="s">
        <v>5303</v>
      </c>
      <c r="H162" s="6"/>
      <c r="I162" s="6"/>
      <c r="J162" s="6"/>
      <c r="K162" s="6"/>
      <c r="L162" s="7" t="s">
        <v>5532</v>
      </c>
      <c r="M162" s="8" t="str">
        <f>IF(Caja_Arequipa[[#This Row],[tipo_r]]="R","001-"&amp;12002+A162,M161)</f>
        <v>001-12155</v>
      </c>
      <c r="N162" s="8" t="str">
        <f t="shared" si="15"/>
        <v>PEN</v>
      </c>
      <c r="O162" s="13"/>
      <c r="P162" s="13">
        <v>12</v>
      </c>
      <c r="Q162" s="3">
        <f t="shared" si="13"/>
        <v>0</v>
      </c>
      <c r="R162" s="3">
        <f t="shared" si="14"/>
        <v>12</v>
      </c>
      <c r="S162" s="3">
        <f t="shared" si="11"/>
        <v>4053</v>
      </c>
      <c r="T162" s="24" t="s">
        <v>1334</v>
      </c>
      <c r="U162" s="24" t="s">
        <v>1334</v>
      </c>
      <c r="V162" s="3"/>
      <c r="W162" s="25" t="str">
        <f>IFERROR(VLOOKUP(Caja_Arequipa[[#This Row],[destinatario]],CHOOSE({1,2},Clientes_Proveedores[Razon Social],Clientes_Proveedores[Ruc / Dni]),2,0),"")</f>
        <v/>
      </c>
      <c r="X162" s="3" t="s">
        <v>5533</v>
      </c>
      <c r="Y162" s="3"/>
      <c r="Z162" s="3"/>
      <c r="AA162" s="3"/>
      <c r="AB162" s="3" t="str">
        <f>IF(Caja_Arequipa[[#This Row],[fecha]]&gt;0,TEXT(Caja_Arequipa[[#This Row],[fecha]],"mmmm"),0)</f>
        <v>Marzo</v>
      </c>
    </row>
    <row r="163" spans="1:28" x14ac:dyDescent="0.3">
      <c r="A163" s="2">
        <f>IF(Caja_Arequipa[[#This Row],[tipo_r]]="R",COUNTIFS($C$1:$C162,"R")+1,A162)</f>
        <v>154</v>
      </c>
      <c r="B163" s="19" t="str">
        <f t="shared" si="12"/>
        <v>C-Tesoreria</v>
      </c>
      <c r="C163" s="3" t="s">
        <v>1330</v>
      </c>
      <c r="D163" s="14">
        <v>45721</v>
      </c>
      <c r="E163" s="5" t="s">
        <v>1416</v>
      </c>
      <c r="F163" s="5" t="s">
        <v>1336</v>
      </c>
      <c r="G163" s="3" t="s">
        <v>5303</v>
      </c>
      <c r="H163" s="6"/>
      <c r="I163" s="6"/>
      <c r="J163" s="6"/>
      <c r="K163" s="6"/>
      <c r="L163" s="7" t="s">
        <v>5534</v>
      </c>
      <c r="M163" s="8" t="str">
        <f>IF(Caja_Arequipa[[#This Row],[tipo_r]]="R","001-"&amp;12002+A163,M162)</f>
        <v>001-12156</v>
      </c>
      <c r="N163" s="8" t="str">
        <f t="shared" si="15"/>
        <v>PEN</v>
      </c>
      <c r="O163" s="13"/>
      <c r="P163" s="13">
        <v>14.9</v>
      </c>
      <c r="Q163" s="3">
        <f t="shared" si="13"/>
        <v>0</v>
      </c>
      <c r="R163" s="3">
        <f t="shared" si="14"/>
        <v>14.9</v>
      </c>
      <c r="S163" s="3">
        <f t="shared" si="11"/>
        <v>4038.1</v>
      </c>
      <c r="T163" s="24" t="s">
        <v>1334</v>
      </c>
      <c r="U163" s="24" t="s">
        <v>1334</v>
      </c>
      <c r="V163" s="3"/>
      <c r="W163" s="25" t="str">
        <f>IFERROR(VLOOKUP(Caja_Arequipa[[#This Row],[destinatario]],CHOOSE({1,2},Clientes_Proveedores[Razon Social],Clientes_Proveedores[Ruc / Dni]),2,0),"")</f>
        <v/>
      </c>
      <c r="X163" s="3" t="s">
        <v>5535</v>
      </c>
      <c r="Y163" s="3"/>
      <c r="Z163" s="3"/>
      <c r="AA163" s="3"/>
      <c r="AB163" s="3" t="str">
        <f>IF(Caja_Arequipa[[#This Row],[fecha]]&gt;0,TEXT(Caja_Arequipa[[#This Row],[fecha]],"mmmm"),0)</f>
        <v>Marzo</v>
      </c>
    </row>
    <row r="164" spans="1:28" x14ac:dyDescent="0.3">
      <c r="A164" s="2">
        <f>IF(Caja_Arequipa[[#This Row],[tipo_r]]="R",COUNTIFS($C$1:$C163,"R")+1,A163)</f>
        <v>155</v>
      </c>
      <c r="B164" s="19" t="str">
        <f t="shared" si="12"/>
        <v>C-Tesoreria</v>
      </c>
      <c r="C164" s="3" t="s">
        <v>1330</v>
      </c>
      <c r="D164" s="14">
        <v>45721</v>
      </c>
      <c r="E164" s="5" t="s">
        <v>1416</v>
      </c>
      <c r="F164" s="5" t="s">
        <v>1336</v>
      </c>
      <c r="G164" s="3" t="s">
        <v>5299</v>
      </c>
      <c r="H164" s="6"/>
      <c r="I164" s="6"/>
      <c r="J164" s="6"/>
      <c r="K164" s="6"/>
      <c r="L164" s="7" t="s">
        <v>5536</v>
      </c>
      <c r="M164" s="8" t="str">
        <f>IF(Caja_Arequipa[[#This Row],[tipo_r]]="R","001-"&amp;12002+A164,M163)</f>
        <v>001-12157</v>
      </c>
      <c r="N164" s="8" t="str">
        <f t="shared" si="15"/>
        <v>PEN</v>
      </c>
      <c r="O164" s="13"/>
      <c r="P164" s="13">
        <v>134</v>
      </c>
      <c r="Q164" s="3">
        <f t="shared" si="13"/>
        <v>0</v>
      </c>
      <c r="R164" s="3">
        <f t="shared" si="14"/>
        <v>134</v>
      </c>
      <c r="S164" s="3">
        <f t="shared" si="11"/>
        <v>3904.1</v>
      </c>
      <c r="T164" s="24" t="s">
        <v>1334</v>
      </c>
      <c r="U164" s="24" t="s">
        <v>1334</v>
      </c>
      <c r="V164" s="3"/>
      <c r="W164" s="25" t="str">
        <f>IFERROR(VLOOKUP(Caja_Arequipa[[#This Row],[destinatario]],CHOOSE({1,2},Clientes_Proveedores[Razon Social],Clientes_Proveedores[Ruc / Dni]),2,0),"")</f>
        <v/>
      </c>
      <c r="X164" s="3" t="s">
        <v>5537</v>
      </c>
      <c r="Y164" s="3"/>
      <c r="Z164" s="3"/>
      <c r="AA164" s="3"/>
      <c r="AB164" s="3" t="str">
        <f>IF(Caja_Arequipa[[#This Row],[fecha]]&gt;0,TEXT(Caja_Arequipa[[#This Row],[fecha]],"mmmm"),0)</f>
        <v>Marzo</v>
      </c>
    </row>
    <row r="165" spans="1:28" x14ac:dyDescent="0.3">
      <c r="A165" s="2">
        <f>IF(Caja_Arequipa[[#This Row],[tipo_r]]="R",COUNTIFS($C$1:$C164,"R")+1,A164)</f>
        <v>156</v>
      </c>
      <c r="B165" s="19" t="str">
        <f t="shared" si="12"/>
        <v>C-Tesoreria</v>
      </c>
      <c r="C165" s="3" t="s">
        <v>1330</v>
      </c>
      <c r="D165" s="14">
        <v>45722</v>
      </c>
      <c r="E165" s="5" t="s">
        <v>1416</v>
      </c>
      <c r="F165" s="5" t="s">
        <v>1336</v>
      </c>
      <c r="G165" s="3" t="s">
        <v>5455</v>
      </c>
      <c r="H165" s="6"/>
      <c r="I165" s="6"/>
      <c r="J165" s="6"/>
      <c r="K165" s="6"/>
      <c r="L165" s="7" t="s">
        <v>5538</v>
      </c>
      <c r="M165" s="8" t="str">
        <f>IF(Caja_Arequipa[[#This Row],[tipo_r]]="R","001-"&amp;12002+A165,M164)</f>
        <v>001-12158</v>
      </c>
      <c r="N165" s="8" t="str">
        <f t="shared" si="15"/>
        <v>PEN</v>
      </c>
      <c r="O165" s="13"/>
      <c r="P165" s="13">
        <v>5</v>
      </c>
      <c r="Q165" s="3">
        <f t="shared" si="13"/>
        <v>0</v>
      </c>
      <c r="R165" s="3">
        <f t="shared" si="14"/>
        <v>5</v>
      </c>
      <c r="S165" s="3">
        <f t="shared" si="11"/>
        <v>3899.1</v>
      </c>
      <c r="T165" s="24" t="s">
        <v>1334</v>
      </c>
      <c r="U165" s="24" t="s">
        <v>1334</v>
      </c>
      <c r="V165" s="3"/>
      <c r="W165" s="25" t="str">
        <f>IFERROR(VLOOKUP(Caja_Arequipa[[#This Row],[destinatario]],CHOOSE({1,2},Clientes_Proveedores[Razon Social],Clientes_Proveedores[Ruc / Dni]),2,0),"")</f>
        <v/>
      </c>
      <c r="X165" s="3" t="s">
        <v>5539</v>
      </c>
      <c r="Y165" s="3"/>
      <c r="Z165" s="3"/>
      <c r="AA165" s="3"/>
      <c r="AB165" s="3" t="str">
        <f>IF(Caja_Arequipa[[#This Row],[fecha]]&gt;0,TEXT(Caja_Arequipa[[#This Row],[fecha]],"mmmm"),0)</f>
        <v>Marzo</v>
      </c>
    </row>
    <row r="166" spans="1:28" x14ac:dyDescent="0.3">
      <c r="A166" s="2">
        <f>IF(Caja_Arequipa[[#This Row],[tipo_r]]="R",COUNTIFS($C$1:$C165,"R")+1,A165)</f>
        <v>157</v>
      </c>
      <c r="B166" s="19" t="str">
        <f t="shared" si="12"/>
        <v>C-Tesoreria</v>
      </c>
      <c r="C166" s="3" t="s">
        <v>1330</v>
      </c>
      <c r="D166" s="14">
        <v>45722</v>
      </c>
      <c r="E166" s="5" t="s">
        <v>1416</v>
      </c>
      <c r="F166" s="5" t="s">
        <v>1336</v>
      </c>
      <c r="G166" s="3" t="s">
        <v>5455</v>
      </c>
      <c r="H166" s="6"/>
      <c r="I166" s="6"/>
      <c r="J166" s="6"/>
      <c r="K166" s="6"/>
      <c r="L166" s="7" t="s">
        <v>5540</v>
      </c>
      <c r="M166" s="8" t="str">
        <f>IF(Caja_Arequipa[[#This Row],[tipo_r]]="R","001-"&amp;12002+A166,M165)</f>
        <v>001-12159</v>
      </c>
      <c r="N166" s="8" t="str">
        <f t="shared" si="15"/>
        <v>PEN</v>
      </c>
      <c r="O166" s="13"/>
      <c r="P166" s="13">
        <v>44</v>
      </c>
      <c r="Q166" s="3">
        <f t="shared" si="13"/>
        <v>0</v>
      </c>
      <c r="R166" s="3">
        <f t="shared" si="14"/>
        <v>44</v>
      </c>
      <c r="S166" s="3">
        <f t="shared" si="11"/>
        <v>3855.1</v>
      </c>
      <c r="T166" s="24" t="s">
        <v>1334</v>
      </c>
      <c r="U166" s="24" t="s">
        <v>1334</v>
      </c>
      <c r="V166" s="3"/>
      <c r="W166" s="25" t="str">
        <f>IFERROR(VLOOKUP(Caja_Arequipa[[#This Row],[destinatario]],CHOOSE({1,2},Clientes_Proveedores[Razon Social],Clientes_Proveedores[Ruc / Dni]),2,0),"")</f>
        <v/>
      </c>
      <c r="X166" s="3" t="s">
        <v>5541</v>
      </c>
      <c r="Y166" s="3"/>
      <c r="Z166" s="3"/>
      <c r="AA166" s="3"/>
      <c r="AB166" s="3" t="str">
        <f>IF(Caja_Arequipa[[#This Row],[fecha]]&gt;0,TEXT(Caja_Arequipa[[#This Row],[fecha]],"mmmm"),0)</f>
        <v>Marzo</v>
      </c>
    </row>
    <row r="167" spans="1:28" x14ac:dyDescent="0.3">
      <c r="A167" s="2">
        <f>IF(Caja_Arequipa[[#This Row],[tipo_r]]="R",COUNTIFS($C$1:$C166,"R")+1,A166)</f>
        <v>158</v>
      </c>
      <c r="B167" s="19" t="str">
        <f t="shared" si="12"/>
        <v>C-Tesoreria</v>
      </c>
      <c r="C167" s="3" t="s">
        <v>1330</v>
      </c>
      <c r="D167" s="14">
        <v>45722</v>
      </c>
      <c r="E167" s="5" t="s">
        <v>1416</v>
      </c>
      <c r="F167" s="5" t="s">
        <v>1336</v>
      </c>
      <c r="G167" s="3" t="s">
        <v>5455</v>
      </c>
      <c r="H167" s="6"/>
      <c r="I167" s="6"/>
      <c r="J167" s="6"/>
      <c r="K167" s="6"/>
      <c r="L167" s="7" t="s">
        <v>5542</v>
      </c>
      <c r="M167" s="8" t="str">
        <f>IF(Caja_Arequipa[[#This Row],[tipo_r]]="R","001-"&amp;12002+A167,M166)</f>
        <v>001-12160</v>
      </c>
      <c r="N167" s="8" t="str">
        <f t="shared" si="15"/>
        <v>PEN</v>
      </c>
      <c r="O167" s="13"/>
      <c r="P167" s="13">
        <v>44</v>
      </c>
      <c r="Q167" s="3">
        <f t="shared" si="13"/>
        <v>0</v>
      </c>
      <c r="R167" s="3">
        <f t="shared" si="14"/>
        <v>44</v>
      </c>
      <c r="S167" s="3">
        <f t="shared" si="11"/>
        <v>3811.1</v>
      </c>
      <c r="T167" s="24" t="s">
        <v>1334</v>
      </c>
      <c r="U167" s="24"/>
      <c r="V167" s="3"/>
      <c r="W167" s="25" t="str">
        <f>IFERROR(VLOOKUP(Caja_Arequipa[[#This Row],[destinatario]],CHOOSE({1,2},Clientes_Proveedores[Razon Social],Clientes_Proveedores[Ruc / Dni]),2,0),"")</f>
        <v/>
      </c>
      <c r="X167" s="163" t="s">
        <v>5543</v>
      </c>
      <c r="Y167" s="3"/>
      <c r="Z167" s="3"/>
      <c r="AA167" s="3"/>
      <c r="AB167" s="3" t="str">
        <f>IF(Caja_Arequipa[[#This Row],[fecha]]&gt;0,TEXT(Caja_Arequipa[[#This Row],[fecha]],"mmmm"),0)</f>
        <v>Marzo</v>
      </c>
    </row>
    <row r="168" spans="1:28" x14ac:dyDescent="0.3">
      <c r="A168" s="2">
        <f>IF(Caja_Arequipa[[#This Row],[tipo_r]]="R",COUNTIFS($C$1:$C167,"R")+1,A167)</f>
        <v>159</v>
      </c>
      <c r="B168" s="19" t="str">
        <f t="shared" si="12"/>
        <v>C-Tesoreria</v>
      </c>
      <c r="C168" s="3" t="s">
        <v>1330</v>
      </c>
      <c r="D168" s="14">
        <v>45722</v>
      </c>
      <c r="E168" s="5" t="s">
        <v>1416</v>
      </c>
      <c r="F168" s="5" t="s">
        <v>1336</v>
      </c>
      <c r="G168" s="3" t="s">
        <v>5455</v>
      </c>
      <c r="H168" s="6"/>
      <c r="I168" s="6"/>
      <c r="J168" s="6"/>
      <c r="K168" s="6"/>
      <c r="L168" s="7" t="s">
        <v>5544</v>
      </c>
      <c r="M168" s="8" t="str">
        <f>IF(Caja_Arequipa[[#This Row],[tipo_r]]="R","001-"&amp;12002+A168,M167)</f>
        <v>001-12161</v>
      </c>
      <c r="N168" s="8" t="str">
        <f t="shared" si="15"/>
        <v>PEN</v>
      </c>
      <c r="O168" s="13"/>
      <c r="P168" s="13">
        <v>3</v>
      </c>
      <c r="Q168" s="3">
        <f t="shared" si="13"/>
        <v>0</v>
      </c>
      <c r="R168" s="3">
        <f t="shared" si="14"/>
        <v>3</v>
      </c>
      <c r="S168" s="3">
        <f t="shared" si="11"/>
        <v>3808.1</v>
      </c>
      <c r="T168" s="24" t="s">
        <v>1334</v>
      </c>
      <c r="U168" s="24" t="s">
        <v>1334</v>
      </c>
      <c r="V168" s="3"/>
      <c r="W168" s="25" t="str">
        <f>IFERROR(VLOOKUP(Caja_Arequipa[[#This Row],[destinatario]],CHOOSE({1,2},Clientes_Proveedores[Razon Social],Clientes_Proveedores[Ruc / Dni]),2,0),"")</f>
        <v/>
      </c>
      <c r="X168" s="3" t="s">
        <v>5545</v>
      </c>
      <c r="Y168" s="3"/>
      <c r="Z168" s="3"/>
      <c r="AA168" s="3"/>
      <c r="AB168" s="3" t="str">
        <f>IF(Caja_Arequipa[[#This Row],[fecha]]&gt;0,TEXT(Caja_Arequipa[[#This Row],[fecha]],"mmmm"),0)</f>
        <v>Marzo</v>
      </c>
    </row>
    <row r="169" spans="1:28" x14ac:dyDescent="0.3">
      <c r="A169" s="2">
        <f>IF(Caja_Arequipa[[#This Row],[tipo_r]]="R",COUNTIFS($C$1:$C168,"R")+1,A168)</f>
        <v>160</v>
      </c>
      <c r="B169" s="19" t="str">
        <f t="shared" si="12"/>
        <v>C-Tesoreria</v>
      </c>
      <c r="C169" s="3" t="s">
        <v>1330</v>
      </c>
      <c r="D169" s="14">
        <v>45722</v>
      </c>
      <c r="E169" s="5" t="s">
        <v>1416</v>
      </c>
      <c r="F169" s="5" t="s">
        <v>1336</v>
      </c>
      <c r="G169" s="3" t="s">
        <v>5455</v>
      </c>
      <c r="H169" s="6"/>
      <c r="I169" s="6"/>
      <c r="J169" s="6"/>
      <c r="K169" s="6"/>
      <c r="L169" s="7" t="s">
        <v>5546</v>
      </c>
      <c r="M169" s="8" t="str">
        <f>IF(Caja_Arequipa[[#This Row],[tipo_r]]="R","001-"&amp;12002+A169,M168)</f>
        <v>001-12162</v>
      </c>
      <c r="N169" s="8" t="str">
        <f t="shared" si="15"/>
        <v>PEN</v>
      </c>
      <c r="O169" s="13"/>
      <c r="P169" s="13">
        <v>107.7</v>
      </c>
      <c r="Q169" s="3">
        <f t="shared" si="13"/>
        <v>0</v>
      </c>
      <c r="R169" s="3">
        <f t="shared" si="14"/>
        <v>107.7</v>
      </c>
      <c r="S169" s="3">
        <f t="shared" si="11"/>
        <v>3700.4</v>
      </c>
      <c r="T169" s="24" t="s">
        <v>1334</v>
      </c>
      <c r="U169" s="24" t="s">
        <v>1334</v>
      </c>
      <c r="V169" s="3"/>
      <c r="W169" s="25" t="str">
        <f>IFERROR(VLOOKUP(Caja_Arequipa[[#This Row],[destinatario]],CHOOSE({1,2},Clientes_Proveedores[Razon Social],Clientes_Proveedores[Ruc / Dni]),2,0),"")</f>
        <v/>
      </c>
      <c r="X169" s="3" t="s">
        <v>5547</v>
      </c>
      <c r="Y169" s="3"/>
      <c r="Z169" s="3"/>
      <c r="AA169" s="3"/>
      <c r="AB169" s="3" t="str">
        <f>IF(Caja_Arequipa[[#This Row],[fecha]]&gt;0,TEXT(Caja_Arequipa[[#This Row],[fecha]],"mmmm"),0)</f>
        <v>Marzo</v>
      </c>
    </row>
    <row r="170" spans="1:28" x14ac:dyDescent="0.3">
      <c r="A170" s="2">
        <f>IF(Caja_Arequipa[[#This Row],[tipo_r]]="R",COUNTIFS($C$1:$C169,"R")+1,A169)</f>
        <v>161</v>
      </c>
      <c r="B170" s="19" t="str">
        <f t="shared" si="12"/>
        <v>C-Tesoreria</v>
      </c>
      <c r="C170" s="3" t="s">
        <v>1330</v>
      </c>
      <c r="D170" s="14">
        <v>45722</v>
      </c>
      <c r="E170" s="5" t="s">
        <v>1416</v>
      </c>
      <c r="F170" s="5" t="s">
        <v>1336</v>
      </c>
      <c r="G170" s="3" t="s">
        <v>5455</v>
      </c>
      <c r="H170" s="6"/>
      <c r="I170" s="6"/>
      <c r="J170" s="6"/>
      <c r="K170" s="6"/>
      <c r="L170" s="7" t="s">
        <v>5548</v>
      </c>
      <c r="M170" s="8" t="str">
        <f>IF(Caja_Arequipa[[#This Row],[tipo_r]]="R","001-"&amp;12002+A170,M169)</f>
        <v>001-12163</v>
      </c>
      <c r="N170" s="8" t="str">
        <f t="shared" si="15"/>
        <v>PEN</v>
      </c>
      <c r="O170" s="13"/>
      <c r="P170" s="13">
        <v>145.9</v>
      </c>
      <c r="Q170" s="3">
        <f t="shared" si="13"/>
        <v>0</v>
      </c>
      <c r="R170" s="3">
        <f t="shared" si="14"/>
        <v>145.9</v>
      </c>
      <c r="S170" s="3">
        <f t="shared" si="11"/>
        <v>3554.5</v>
      </c>
      <c r="T170" s="24" t="s">
        <v>1334</v>
      </c>
      <c r="U170" s="24" t="s">
        <v>1334</v>
      </c>
      <c r="V170" s="3"/>
      <c r="W170" s="25" t="str">
        <f>IFERROR(VLOOKUP(Caja_Arequipa[[#This Row],[destinatario]],CHOOSE({1,2},Clientes_Proveedores[Razon Social],Clientes_Proveedores[Ruc / Dni]),2,0),"")</f>
        <v/>
      </c>
      <c r="X170" s="3" t="s">
        <v>5549</v>
      </c>
      <c r="Y170" s="3"/>
      <c r="Z170" s="3"/>
      <c r="AA170" s="3"/>
      <c r="AB170" s="3" t="str">
        <f>IF(Caja_Arequipa[[#This Row],[fecha]]&gt;0,TEXT(Caja_Arequipa[[#This Row],[fecha]],"mmmm"),0)</f>
        <v>Marzo</v>
      </c>
    </row>
    <row r="171" spans="1:28" x14ac:dyDescent="0.3">
      <c r="A171" s="2">
        <f>IF(Caja_Arequipa[[#This Row],[tipo_r]]="R",COUNTIFS($C$1:$C170,"R")+1,A170)</f>
        <v>162</v>
      </c>
      <c r="B171" s="19" t="str">
        <f t="shared" si="12"/>
        <v>C-Tesoreria</v>
      </c>
      <c r="C171" s="3" t="s">
        <v>1330</v>
      </c>
      <c r="D171" s="14">
        <v>45722</v>
      </c>
      <c r="E171" s="5" t="s">
        <v>1416</v>
      </c>
      <c r="F171" s="5" t="s">
        <v>1336</v>
      </c>
      <c r="G171" s="3" t="s">
        <v>5455</v>
      </c>
      <c r="H171" s="6"/>
      <c r="I171" s="6"/>
      <c r="J171" s="6"/>
      <c r="K171" s="6"/>
      <c r="L171" s="7" t="s">
        <v>5550</v>
      </c>
      <c r="M171" s="8" t="str">
        <f>IF(Caja_Arequipa[[#This Row],[tipo_r]]="R","001-"&amp;12002+A171,M170)</f>
        <v>001-12164</v>
      </c>
      <c r="N171" s="8" t="str">
        <f t="shared" si="15"/>
        <v>PEN</v>
      </c>
      <c r="O171" s="13"/>
      <c r="P171" s="13">
        <v>16</v>
      </c>
      <c r="Q171" s="3">
        <f t="shared" si="13"/>
        <v>0</v>
      </c>
      <c r="R171" s="3">
        <f t="shared" si="14"/>
        <v>16</v>
      </c>
      <c r="S171" s="3">
        <f t="shared" si="11"/>
        <v>3538.5</v>
      </c>
      <c r="T171" s="24" t="s">
        <v>1334</v>
      </c>
      <c r="U171" s="24" t="s">
        <v>1334</v>
      </c>
      <c r="V171" s="3"/>
      <c r="W171" s="25" t="str">
        <f>IFERROR(VLOOKUP(Caja_Arequipa[[#This Row],[destinatario]],CHOOSE({1,2},Clientes_Proveedores[Razon Social],Clientes_Proveedores[Ruc / Dni]),2,0),"")</f>
        <v/>
      </c>
      <c r="X171" s="3" t="s">
        <v>5551</v>
      </c>
      <c r="Y171" s="3"/>
      <c r="Z171" s="3"/>
      <c r="AA171" s="3"/>
      <c r="AB171" s="3" t="str">
        <f>IF(Caja_Arequipa[[#This Row],[fecha]]&gt;0,TEXT(Caja_Arequipa[[#This Row],[fecha]],"mmmm"),0)</f>
        <v>Marzo</v>
      </c>
    </row>
    <row r="172" spans="1:28" x14ac:dyDescent="0.3">
      <c r="A172" s="2">
        <f>IF(Caja_Arequipa[[#This Row],[tipo_r]]="R",COUNTIFS($C$1:$C171,"R")+1,A171)</f>
        <v>163</v>
      </c>
      <c r="B172" s="19" t="str">
        <f t="shared" si="12"/>
        <v>C-Tesoreria</v>
      </c>
      <c r="C172" s="3" t="s">
        <v>1330</v>
      </c>
      <c r="D172" s="14">
        <v>45722</v>
      </c>
      <c r="E172" s="5" t="s">
        <v>1416</v>
      </c>
      <c r="F172" s="5" t="s">
        <v>1336</v>
      </c>
      <c r="G172" s="3" t="s">
        <v>5455</v>
      </c>
      <c r="H172" s="6"/>
      <c r="I172" s="6"/>
      <c r="J172" s="6"/>
      <c r="K172" s="6"/>
      <c r="L172" s="7" t="s">
        <v>5552</v>
      </c>
      <c r="M172" s="8" t="str">
        <f>IF(Caja_Arequipa[[#This Row],[tipo_r]]="R","001-"&amp;12002+A172,M171)</f>
        <v>001-12165</v>
      </c>
      <c r="N172" s="8" t="str">
        <f t="shared" si="15"/>
        <v>PEN</v>
      </c>
      <c r="O172" s="13"/>
      <c r="P172" s="13">
        <v>30</v>
      </c>
      <c r="Q172" s="3">
        <f t="shared" si="13"/>
        <v>0</v>
      </c>
      <c r="R172" s="3">
        <f t="shared" si="14"/>
        <v>30</v>
      </c>
      <c r="S172" s="3">
        <f t="shared" si="11"/>
        <v>3508.5</v>
      </c>
      <c r="T172" s="24" t="s">
        <v>1334</v>
      </c>
      <c r="U172" s="24" t="s">
        <v>1334</v>
      </c>
      <c r="V172" s="3"/>
      <c r="W172" s="25" t="str">
        <f>IFERROR(VLOOKUP(Caja_Arequipa[[#This Row],[destinatario]],CHOOSE({1,2},Clientes_Proveedores[Razon Social],Clientes_Proveedores[Ruc / Dni]),2,0),"")</f>
        <v/>
      </c>
      <c r="X172" s="3" t="s">
        <v>5553</v>
      </c>
      <c r="Y172" s="3"/>
      <c r="Z172" s="3"/>
      <c r="AA172" s="3"/>
      <c r="AB172" s="3" t="str">
        <f>IF(Caja_Arequipa[[#This Row],[fecha]]&gt;0,TEXT(Caja_Arequipa[[#This Row],[fecha]],"mmmm"),0)</f>
        <v>Marzo</v>
      </c>
    </row>
    <row r="173" spans="1:28" x14ac:dyDescent="0.3">
      <c r="A173" s="2">
        <f>IF(Caja_Arequipa[[#This Row],[tipo_r]]="R",COUNTIFS($C$1:$C172,"R")+1,A172)</f>
        <v>164</v>
      </c>
      <c r="B173" s="19" t="str">
        <f t="shared" si="12"/>
        <v>C-Tesoreria</v>
      </c>
      <c r="C173" s="3" t="s">
        <v>1330</v>
      </c>
      <c r="D173" s="14">
        <v>45722</v>
      </c>
      <c r="E173" s="5" t="s">
        <v>1416</v>
      </c>
      <c r="F173" s="5" t="s">
        <v>1336</v>
      </c>
      <c r="G173" s="3" t="s">
        <v>5299</v>
      </c>
      <c r="H173" s="6"/>
      <c r="I173" s="6" t="s">
        <v>111</v>
      </c>
      <c r="J173" s="6">
        <v>3</v>
      </c>
      <c r="K173" s="6">
        <v>50</v>
      </c>
      <c r="L173" s="7" t="s">
        <v>5554</v>
      </c>
      <c r="M173" s="8" t="str">
        <f>IF(Caja_Arequipa[[#This Row],[tipo_r]]="R","001-"&amp;12002+A173,M172)</f>
        <v>001-12166</v>
      </c>
      <c r="N173" s="8" t="str">
        <f t="shared" si="15"/>
        <v>PEN</v>
      </c>
      <c r="O173" s="13"/>
      <c r="P173" s="13">
        <v>10</v>
      </c>
      <c r="Q173" s="3">
        <f t="shared" si="13"/>
        <v>0</v>
      </c>
      <c r="R173" s="3">
        <f t="shared" si="14"/>
        <v>10</v>
      </c>
      <c r="S173" s="3">
        <f t="shared" si="11"/>
        <v>3498.5</v>
      </c>
      <c r="T173" s="24" t="s">
        <v>1334</v>
      </c>
      <c r="U173" s="24" t="s">
        <v>1334</v>
      </c>
      <c r="V173" s="3"/>
      <c r="W173" s="25" t="str">
        <f>IFERROR(VLOOKUP(Caja_Arequipa[[#This Row],[destinatario]],CHOOSE({1,2},Clientes_Proveedores[Razon Social],Clientes_Proveedores[Ruc / Dni]),2,0),"")</f>
        <v/>
      </c>
      <c r="X173" s="3" t="s">
        <v>5555</v>
      </c>
      <c r="Y173" s="3"/>
      <c r="Z173" s="3"/>
      <c r="AA173" s="3"/>
      <c r="AB173" s="3" t="str">
        <f>IF(Caja_Arequipa[[#This Row],[fecha]]&gt;0,TEXT(Caja_Arequipa[[#This Row],[fecha]],"mmmm"),0)</f>
        <v>Marzo</v>
      </c>
    </row>
    <row r="174" spans="1:28" x14ac:dyDescent="0.3">
      <c r="A174" s="2">
        <f>IF(Caja_Arequipa[[#This Row],[tipo_r]]="R",COUNTIFS($C$1:$C173,"R")+1,A173)</f>
        <v>165</v>
      </c>
      <c r="B174" s="19" t="str">
        <f t="shared" si="12"/>
        <v>C-Tesoreria</v>
      </c>
      <c r="C174" s="3" t="s">
        <v>1330</v>
      </c>
      <c r="D174" s="14">
        <v>45722</v>
      </c>
      <c r="E174" s="5" t="s">
        <v>1416</v>
      </c>
      <c r="F174" s="5" t="s">
        <v>1336</v>
      </c>
      <c r="G174" s="3" t="s">
        <v>5259</v>
      </c>
      <c r="H174" s="6"/>
      <c r="I174" s="6" t="s">
        <v>111</v>
      </c>
      <c r="J174" s="6">
        <v>3</v>
      </c>
      <c r="K174" s="6">
        <v>51</v>
      </c>
      <c r="L174" s="7" t="s">
        <v>5556</v>
      </c>
      <c r="M174" s="8" t="str">
        <f>IF(Caja_Arequipa[[#This Row],[tipo_r]]="R","001-"&amp;12002+A174,M173)</f>
        <v>001-12167</v>
      </c>
      <c r="N174" s="8" t="str">
        <f t="shared" si="15"/>
        <v>PEN</v>
      </c>
      <c r="O174" s="13"/>
      <c r="P174" s="13">
        <v>5</v>
      </c>
      <c r="Q174" s="3">
        <f t="shared" si="13"/>
        <v>0</v>
      </c>
      <c r="R174" s="3">
        <f t="shared" si="14"/>
        <v>5</v>
      </c>
      <c r="S174" s="3">
        <f t="shared" si="11"/>
        <v>3493.5</v>
      </c>
      <c r="T174" s="24" t="s">
        <v>1334</v>
      </c>
      <c r="U174" s="24" t="s">
        <v>1334</v>
      </c>
      <c r="V174" s="3"/>
      <c r="W174" s="25" t="str">
        <f>IFERROR(VLOOKUP(Caja_Arequipa[[#This Row],[destinatario]],CHOOSE({1,2},Clientes_Proveedores[Razon Social],Clientes_Proveedores[Ruc / Dni]),2,0),"")</f>
        <v/>
      </c>
      <c r="X174" s="3" t="s">
        <v>5557</v>
      </c>
      <c r="Y174" s="3"/>
      <c r="Z174" s="3"/>
      <c r="AA174" s="3"/>
      <c r="AB174" s="3" t="str">
        <f>IF(Caja_Arequipa[[#This Row],[fecha]]&gt;0,TEXT(Caja_Arequipa[[#This Row],[fecha]],"mmmm"),0)</f>
        <v>Marzo</v>
      </c>
    </row>
    <row r="175" spans="1:28" x14ac:dyDescent="0.3">
      <c r="A175" s="2">
        <f>IF(Caja_Arequipa[[#This Row],[tipo_r]]="R",COUNTIFS($C$1:$C174,"R")+1,A174)</f>
        <v>166</v>
      </c>
      <c r="B175" s="19" t="str">
        <f t="shared" si="12"/>
        <v>C-Tesoreria</v>
      </c>
      <c r="C175" s="3" t="s">
        <v>1330</v>
      </c>
      <c r="D175" s="14">
        <v>45722</v>
      </c>
      <c r="E175" s="5" t="s">
        <v>1416</v>
      </c>
      <c r="F175" s="5" t="s">
        <v>1336</v>
      </c>
      <c r="G175" s="3" t="s">
        <v>5259</v>
      </c>
      <c r="H175" s="6"/>
      <c r="I175" s="6" t="s">
        <v>111</v>
      </c>
      <c r="J175" s="6">
        <v>3</v>
      </c>
      <c r="K175" s="6">
        <v>52</v>
      </c>
      <c r="L175" s="7" t="s">
        <v>5558</v>
      </c>
      <c r="M175" s="8" t="str">
        <f>IF(Caja_Arequipa[[#This Row],[tipo_r]]="R","001-"&amp;12002+A175,M174)</f>
        <v>001-12168</v>
      </c>
      <c r="N175" s="8" t="str">
        <f t="shared" si="15"/>
        <v>PEN</v>
      </c>
      <c r="O175" s="13"/>
      <c r="P175" s="13">
        <v>5</v>
      </c>
      <c r="Q175" s="3">
        <f t="shared" si="13"/>
        <v>0</v>
      </c>
      <c r="R175" s="3">
        <f t="shared" si="14"/>
        <v>5</v>
      </c>
      <c r="S175" s="3">
        <f t="shared" si="11"/>
        <v>3488.5</v>
      </c>
      <c r="T175" s="24" t="s">
        <v>1334</v>
      </c>
      <c r="U175" s="24" t="s">
        <v>1334</v>
      </c>
      <c r="V175" s="3"/>
      <c r="W175" s="25" t="str">
        <f>IFERROR(VLOOKUP(Caja_Arequipa[[#This Row],[destinatario]],CHOOSE({1,2},Clientes_Proveedores[Razon Social],Clientes_Proveedores[Ruc / Dni]),2,0),"")</f>
        <v/>
      </c>
      <c r="X175" s="3" t="s">
        <v>5559</v>
      </c>
      <c r="Y175" s="3"/>
      <c r="Z175" s="3"/>
      <c r="AA175" s="3"/>
      <c r="AB175" s="3" t="str">
        <f>IF(Caja_Arequipa[[#This Row],[fecha]]&gt;0,TEXT(Caja_Arequipa[[#This Row],[fecha]],"mmmm"),0)</f>
        <v>Marzo</v>
      </c>
    </row>
    <row r="176" spans="1:28" x14ac:dyDescent="0.3">
      <c r="A176" s="2">
        <f>IF(Caja_Arequipa[[#This Row],[tipo_r]]="R",COUNTIFS($C$1:$C175,"R")+1,A175)</f>
        <v>167</v>
      </c>
      <c r="B176" s="19" t="str">
        <f t="shared" si="12"/>
        <v>C-Tesoreria</v>
      </c>
      <c r="C176" s="3" t="s">
        <v>1330</v>
      </c>
      <c r="D176" s="14">
        <v>45722</v>
      </c>
      <c r="E176" s="5" t="s">
        <v>1416</v>
      </c>
      <c r="F176" s="5" t="s">
        <v>1336</v>
      </c>
      <c r="G176" s="3" t="s">
        <v>5259</v>
      </c>
      <c r="H176" s="6"/>
      <c r="I176" s="6" t="s">
        <v>111</v>
      </c>
      <c r="J176" s="6">
        <v>3</v>
      </c>
      <c r="K176" s="6">
        <v>53</v>
      </c>
      <c r="L176" s="7" t="s">
        <v>5560</v>
      </c>
      <c r="M176" s="8" t="str">
        <f>IF(Caja_Arequipa[[#This Row],[tipo_r]]="R","001-"&amp;12002+A176,M175)</f>
        <v>001-12169</v>
      </c>
      <c r="N176" s="8" t="str">
        <f t="shared" si="15"/>
        <v>PEN</v>
      </c>
      <c r="O176" s="13"/>
      <c r="P176" s="13">
        <v>61</v>
      </c>
      <c r="Q176" s="3">
        <f t="shared" si="13"/>
        <v>0</v>
      </c>
      <c r="R176" s="3">
        <f t="shared" si="14"/>
        <v>61</v>
      </c>
      <c r="S176" s="3">
        <f t="shared" si="11"/>
        <v>3427.5</v>
      </c>
      <c r="T176" s="24" t="s">
        <v>1334</v>
      </c>
      <c r="U176" s="24" t="s">
        <v>1334</v>
      </c>
      <c r="V176" s="3"/>
      <c r="W176" s="25" t="str">
        <f>IFERROR(VLOOKUP(Caja_Arequipa[[#This Row],[destinatario]],CHOOSE({1,2},Clientes_Proveedores[Razon Social],Clientes_Proveedores[Ruc / Dni]),2,0),"")</f>
        <v/>
      </c>
      <c r="X176" s="3" t="s">
        <v>5561</v>
      </c>
      <c r="Y176" s="3"/>
      <c r="Z176" s="3"/>
      <c r="AA176" s="3"/>
      <c r="AB176" s="3" t="str">
        <f>IF(Caja_Arequipa[[#This Row],[fecha]]&gt;0,TEXT(Caja_Arequipa[[#This Row],[fecha]],"mmmm"),0)</f>
        <v>Marzo</v>
      </c>
    </row>
    <row r="177" spans="1:28" x14ac:dyDescent="0.3">
      <c r="A177" s="2">
        <f>IF(Caja_Arequipa[[#This Row],[tipo_r]]="R",COUNTIFS($C$1:$C176,"R")+1,A176)</f>
        <v>168</v>
      </c>
      <c r="B177" s="19" t="str">
        <f t="shared" si="12"/>
        <v>C-Tesoreria</v>
      </c>
      <c r="C177" s="3" t="s">
        <v>1330</v>
      </c>
      <c r="D177" s="14">
        <v>45722</v>
      </c>
      <c r="E177" s="5" t="s">
        <v>1416</v>
      </c>
      <c r="F177" s="5" t="s">
        <v>1336</v>
      </c>
      <c r="G177" s="3" t="s">
        <v>5259</v>
      </c>
      <c r="H177" s="6"/>
      <c r="I177" s="6" t="s">
        <v>111</v>
      </c>
      <c r="J177" s="6">
        <v>3</v>
      </c>
      <c r="K177" s="6">
        <v>54</v>
      </c>
      <c r="L177" s="7" t="s">
        <v>5562</v>
      </c>
      <c r="M177" s="8" t="str">
        <f>IF(Caja_Arequipa[[#This Row],[tipo_r]]="R","001-"&amp;12002+A177,M176)</f>
        <v>001-12170</v>
      </c>
      <c r="N177" s="8" t="str">
        <f t="shared" si="15"/>
        <v>PEN</v>
      </c>
      <c r="O177" s="13"/>
      <c r="P177" s="13">
        <v>10</v>
      </c>
      <c r="Q177" s="3">
        <f t="shared" si="13"/>
        <v>0</v>
      </c>
      <c r="R177" s="3">
        <f t="shared" si="14"/>
        <v>10</v>
      </c>
      <c r="S177" s="3">
        <f t="shared" si="11"/>
        <v>3417.5</v>
      </c>
      <c r="T177" s="24" t="s">
        <v>1334</v>
      </c>
      <c r="U177" s="24" t="s">
        <v>1334</v>
      </c>
      <c r="V177" s="3"/>
      <c r="W177" s="25" t="str">
        <f>IFERROR(VLOOKUP(Caja_Arequipa[[#This Row],[destinatario]],CHOOSE({1,2},Clientes_Proveedores[Razon Social],Clientes_Proveedores[Ruc / Dni]),2,0),"")</f>
        <v/>
      </c>
      <c r="X177" s="3" t="s">
        <v>5563</v>
      </c>
      <c r="Y177" s="3"/>
      <c r="Z177" s="3"/>
      <c r="AA177" s="3"/>
      <c r="AB177" s="3" t="str">
        <f>IF(Caja_Arequipa[[#This Row],[fecha]]&gt;0,TEXT(Caja_Arequipa[[#This Row],[fecha]],"mmmm"),0)</f>
        <v>Marzo</v>
      </c>
    </row>
    <row r="178" spans="1:28" x14ac:dyDescent="0.3">
      <c r="A178" s="2">
        <f>IF(Caja_Arequipa[[#This Row],[tipo_r]]="R",COUNTIFS($C$1:$C177,"R")+1,A177)</f>
        <v>169</v>
      </c>
      <c r="B178" s="19" t="str">
        <f t="shared" si="12"/>
        <v>C-Tesoreria</v>
      </c>
      <c r="C178" s="3" t="s">
        <v>1330</v>
      </c>
      <c r="D178" s="14">
        <v>45722</v>
      </c>
      <c r="E178" s="5" t="s">
        <v>1416</v>
      </c>
      <c r="F178" s="5" t="s">
        <v>1336</v>
      </c>
      <c r="G178" s="3" t="s">
        <v>5259</v>
      </c>
      <c r="H178" s="6"/>
      <c r="I178" s="6" t="s">
        <v>111</v>
      </c>
      <c r="J178" s="6">
        <v>3</v>
      </c>
      <c r="K178" s="6">
        <v>55</v>
      </c>
      <c r="L178" s="7" t="s">
        <v>5564</v>
      </c>
      <c r="M178" s="8" t="str">
        <f>IF(Caja_Arequipa[[#This Row],[tipo_r]]="R","001-"&amp;12002+A178,M177)</f>
        <v>001-12171</v>
      </c>
      <c r="N178" s="8" t="str">
        <f t="shared" si="15"/>
        <v>PEN</v>
      </c>
      <c r="O178" s="13"/>
      <c r="P178" s="13">
        <v>15</v>
      </c>
      <c r="Q178" s="3">
        <f t="shared" si="13"/>
        <v>0</v>
      </c>
      <c r="R178" s="3">
        <f t="shared" si="14"/>
        <v>15</v>
      </c>
      <c r="S178" s="3">
        <f t="shared" si="11"/>
        <v>3402.5</v>
      </c>
      <c r="T178" s="24" t="s">
        <v>1334</v>
      </c>
      <c r="U178" s="24" t="s">
        <v>1334</v>
      </c>
      <c r="V178" s="3"/>
      <c r="W178" s="25" t="str">
        <f>IFERROR(VLOOKUP(Caja_Arequipa[[#This Row],[destinatario]],CHOOSE({1,2},Clientes_Proveedores[Razon Social],Clientes_Proveedores[Ruc / Dni]),2,0),"")</f>
        <v/>
      </c>
      <c r="X178" s="3" t="s">
        <v>5565</v>
      </c>
      <c r="Y178" s="3"/>
      <c r="Z178" s="3"/>
      <c r="AA178" s="3"/>
      <c r="AB178" s="3" t="str">
        <f>IF(Caja_Arequipa[[#This Row],[fecha]]&gt;0,TEXT(Caja_Arequipa[[#This Row],[fecha]],"mmmm"),0)</f>
        <v>Marzo</v>
      </c>
    </row>
    <row r="179" spans="1:28" x14ac:dyDescent="0.3">
      <c r="A179" s="2">
        <f>IF(Caja_Arequipa[[#This Row],[tipo_r]]="R",COUNTIFS($C$1:$C178,"R")+1,A178)</f>
        <v>170</v>
      </c>
      <c r="B179" s="19" t="str">
        <f t="shared" si="12"/>
        <v>C-Tesoreria</v>
      </c>
      <c r="C179" s="3" t="s">
        <v>1330</v>
      </c>
      <c r="D179" s="14">
        <v>45722</v>
      </c>
      <c r="E179" s="5" t="s">
        <v>1416</v>
      </c>
      <c r="F179" s="5" t="s">
        <v>1336</v>
      </c>
      <c r="G179" s="3" t="s">
        <v>5259</v>
      </c>
      <c r="H179" s="6"/>
      <c r="I179" s="6" t="s">
        <v>111</v>
      </c>
      <c r="J179" s="6">
        <v>3</v>
      </c>
      <c r="K179" s="6">
        <v>56</v>
      </c>
      <c r="L179" s="7" t="s">
        <v>5530</v>
      </c>
      <c r="M179" s="8" t="str">
        <f>IF(Caja_Arequipa[[#This Row],[tipo_r]]="R","001-"&amp;12002+A179,M178)</f>
        <v>001-12172</v>
      </c>
      <c r="N179" s="8" t="str">
        <f t="shared" si="15"/>
        <v>PEN</v>
      </c>
      <c r="O179" s="13"/>
      <c r="P179" s="13">
        <v>5</v>
      </c>
      <c r="Q179" s="3">
        <f t="shared" si="13"/>
        <v>0</v>
      </c>
      <c r="R179" s="3">
        <f t="shared" si="14"/>
        <v>5</v>
      </c>
      <c r="S179" s="3">
        <f t="shared" si="11"/>
        <v>3397.5</v>
      </c>
      <c r="T179" s="24" t="s">
        <v>1334</v>
      </c>
      <c r="U179" s="24" t="s">
        <v>1334</v>
      </c>
      <c r="V179" s="3"/>
      <c r="W179" s="25" t="str">
        <f>IFERROR(VLOOKUP(Caja_Arequipa[[#This Row],[destinatario]],CHOOSE({1,2},Clientes_Proveedores[Razon Social],Clientes_Proveedores[Ruc / Dni]),2,0),"")</f>
        <v/>
      </c>
      <c r="X179" s="3" t="s">
        <v>5566</v>
      </c>
      <c r="Y179" s="3"/>
      <c r="Z179" s="3"/>
      <c r="AA179" s="3"/>
      <c r="AB179" s="3" t="str">
        <f>IF(Caja_Arequipa[[#This Row],[fecha]]&gt;0,TEXT(Caja_Arequipa[[#This Row],[fecha]],"mmmm"),0)</f>
        <v>Marzo</v>
      </c>
    </row>
    <row r="180" spans="1:28" x14ac:dyDescent="0.3">
      <c r="A180" s="2">
        <f>IF(Caja_Arequipa[[#This Row],[tipo_r]]="R",COUNTIFS($C$1:$C179,"R")+1,A179)</f>
        <v>171</v>
      </c>
      <c r="B180" s="19" t="str">
        <f t="shared" si="12"/>
        <v>C-Tesoreria</v>
      </c>
      <c r="C180" s="3" t="s">
        <v>1330</v>
      </c>
      <c r="D180" s="14">
        <v>45722</v>
      </c>
      <c r="E180" s="5" t="s">
        <v>1416</v>
      </c>
      <c r="F180" s="5" t="s">
        <v>1336</v>
      </c>
      <c r="G180" s="3" t="s">
        <v>5259</v>
      </c>
      <c r="H180" s="6"/>
      <c r="I180" s="6" t="s">
        <v>111</v>
      </c>
      <c r="J180" s="6">
        <v>3</v>
      </c>
      <c r="K180" s="6">
        <v>57</v>
      </c>
      <c r="L180" s="7" t="s">
        <v>5499</v>
      </c>
      <c r="M180" s="8" t="str">
        <f>IF(Caja_Arequipa[[#This Row],[tipo_r]]="R","001-"&amp;12002+A180,M179)</f>
        <v>001-12173</v>
      </c>
      <c r="N180" s="8" t="str">
        <f t="shared" si="15"/>
        <v>PEN</v>
      </c>
      <c r="O180" s="13"/>
      <c r="P180" s="13">
        <v>17</v>
      </c>
      <c r="Q180" s="3">
        <f t="shared" si="13"/>
        <v>0</v>
      </c>
      <c r="R180" s="3">
        <f t="shared" si="14"/>
        <v>17</v>
      </c>
      <c r="S180" s="3">
        <f t="shared" si="11"/>
        <v>3380.5</v>
      </c>
      <c r="T180" s="24" t="s">
        <v>1334</v>
      </c>
      <c r="U180" s="24" t="s">
        <v>1334</v>
      </c>
      <c r="V180" s="3"/>
      <c r="W180" s="25" t="str">
        <f>IFERROR(VLOOKUP(Caja_Arequipa[[#This Row],[destinatario]],CHOOSE({1,2},Clientes_Proveedores[Razon Social],Clientes_Proveedores[Ruc / Dni]),2,0),"")</f>
        <v/>
      </c>
      <c r="X180" s="3" t="s">
        <v>5567</v>
      </c>
      <c r="Y180" s="3"/>
      <c r="Z180" s="3"/>
      <c r="AA180" s="3"/>
      <c r="AB180" s="3" t="str">
        <f>IF(Caja_Arequipa[[#This Row],[fecha]]&gt;0,TEXT(Caja_Arequipa[[#This Row],[fecha]],"mmmm"),0)</f>
        <v>Marzo</v>
      </c>
    </row>
    <row r="181" spans="1:28" x14ac:dyDescent="0.3">
      <c r="A181" s="2">
        <f>IF(Caja_Arequipa[[#This Row],[tipo_r]]="R",COUNTIFS($C$1:$C180,"R")+1,A180)</f>
        <v>172</v>
      </c>
      <c r="B181" s="19" t="str">
        <f t="shared" si="12"/>
        <v>C-Tesoreria</v>
      </c>
      <c r="C181" s="3" t="s">
        <v>1330</v>
      </c>
      <c r="D181" s="14">
        <v>45722</v>
      </c>
      <c r="E181" s="5" t="s">
        <v>1416</v>
      </c>
      <c r="F181" s="5" t="s">
        <v>1336</v>
      </c>
      <c r="G181" s="3" t="s">
        <v>5259</v>
      </c>
      <c r="H181" s="6"/>
      <c r="I181" s="6" t="s">
        <v>111</v>
      </c>
      <c r="J181" s="6">
        <v>3</v>
      </c>
      <c r="K181" s="6">
        <v>58</v>
      </c>
      <c r="L181" s="7" t="s">
        <v>5568</v>
      </c>
      <c r="M181" s="8" t="str">
        <f>IF(Caja_Arequipa[[#This Row],[tipo_r]]="R","001-"&amp;12002+A181,M180)</f>
        <v>001-12174</v>
      </c>
      <c r="N181" s="8" t="str">
        <f t="shared" si="15"/>
        <v>PEN</v>
      </c>
      <c r="O181" s="13"/>
      <c r="P181" s="13">
        <v>25</v>
      </c>
      <c r="Q181" s="3">
        <f t="shared" si="13"/>
        <v>0</v>
      </c>
      <c r="R181" s="3">
        <f t="shared" si="14"/>
        <v>25</v>
      </c>
      <c r="S181" s="3">
        <f t="shared" si="11"/>
        <v>3355.5</v>
      </c>
      <c r="T181" s="24" t="s">
        <v>1334</v>
      </c>
      <c r="U181" s="24" t="s">
        <v>1334</v>
      </c>
      <c r="V181" s="3"/>
      <c r="W181" s="25" t="str">
        <f>IFERROR(VLOOKUP(Caja_Arequipa[[#This Row],[destinatario]],CHOOSE({1,2},Clientes_Proveedores[Razon Social],Clientes_Proveedores[Ruc / Dni]),2,0),"")</f>
        <v/>
      </c>
      <c r="X181" s="3" t="s">
        <v>5569</v>
      </c>
      <c r="Y181" s="3"/>
      <c r="Z181" s="3"/>
      <c r="AA181" s="3"/>
      <c r="AB181" s="3" t="str">
        <f>IF(Caja_Arequipa[[#This Row],[fecha]]&gt;0,TEXT(Caja_Arequipa[[#This Row],[fecha]],"mmmm"),0)</f>
        <v>Marzo</v>
      </c>
    </row>
    <row r="182" spans="1:28" x14ac:dyDescent="0.3">
      <c r="A182" s="2">
        <f>IF(Caja_Arequipa[[#This Row],[tipo_r]]="R",COUNTIFS($C$1:$C181,"R")+1,A181)</f>
        <v>173</v>
      </c>
      <c r="B182" s="19" t="str">
        <f t="shared" si="12"/>
        <v>C-Tesoreria</v>
      </c>
      <c r="C182" s="3" t="s">
        <v>1330</v>
      </c>
      <c r="D182" s="14">
        <v>45722</v>
      </c>
      <c r="E182" s="5" t="s">
        <v>1416</v>
      </c>
      <c r="F182" s="5" t="s">
        <v>1336</v>
      </c>
      <c r="G182" s="3" t="s">
        <v>5259</v>
      </c>
      <c r="H182" s="6"/>
      <c r="I182" s="6" t="s">
        <v>111</v>
      </c>
      <c r="J182" s="6">
        <v>3</v>
      </c>
      <c r="K182" s="6">
        <v>59</v>
      </c>
      <c r="L182" s="7" t="s">
        <v>5570</v>
      </c>
      <c r="M182" s="8" t="str">
        <f>IF(Caja_Arequipa[[#This Row],[tipo_r]]="R","001-"&amp;12002+A182,M181)</f>
        <v>001-12175</v>
      </c>
      <c r="N182" s="8" t="str">
        <f t="shared" si="15"/>
        <v>PEN</v>
      </c>
      <c r="O182" s="13"/>
      <c r="P182" s="13">
        <v>10</v>
      </c>
      <c r="Q182" s="3">
        <f t="shared" si="13"/>
        <v>0</v>
      </c>
      <c r="R182" s="3">
        <f t="shared" si="14"/>
        <v>10</v>
      </c>
      <c r="S182" s="3">
        <f t="shared" si="11"/>
        <v>3345.5</v>
      </c>
      <c r="T182" s="24" t="s">
        <v>1334</v>
      </c>
      <c r="U182" s="24" t="s">
        <v>1334</v>
      </c>
      <c r="V182" s="3"/>
      <c r="W182" s="25" t="str">
        <f>IFERROR(VLOOKUP(Caja_Arequipa[[#This Row],[destinatario]],CHOOSE({1,2},Clientes_Proveedores[Razon Social],Clientes_Proveedores[Ruc / Dni]),2,0),"")</f>
        <v/>
      </c>
      <c r="X182" s="3" t="s">
        <v>5571</v>
      </c>
      <c r="Y182" s="3"/>
      <c r="Z182" s="3"/>
      <c r="AA182" s="3"/>
      <c r="AB182" s="3" t="str">
        <f>IF(Caja_Arequipa[[#This Row],[fecha]]&gt;0,TEXT(Caja_Arequipa[[#This Row],[fecha]],"mmmm"),0)</f>
        <v>Marzo</v>
      </c>
    </row>
    <row r="183" spans="1:28" x14ac:dyDescent="0.3">
      <c r="A183" s="2">
        <f>IF(Caja_Arequipa[[#This Row],[tipo_r]]="R",COUNTIFS($C$1:$C182,"R")+1,A182)</f>
        <v>174</v>
      </c>
      <c r="B183" s="19" t="str">
        <f t="shared" si="12"/>
        <v>C-Tesoreria</v>
      </c>
      <c r="C183" s="3" t="s">
        <v>1330</v>
      </c>
      <c r="D183" s="14">
        <v>45722</v>
      </c>
      <c r="E183" s="5" t="s">
        <v>1416</v>
      </c>
      <c r="F183" s="5" t="s">
        <v>1336</v>
      </c>
      <c r="G183" s="3" t="s">
        <v>5259</v>
      </c>
      <c r="H183" s="6"/>
      <c r="I183" s="6" t="s">
        <v>111</v>
      </c>
      <c r="J183" s="6">
        <v>3</v>
      </c>
      <c r="K183" s="6">
        <v>60</v>
      </c>
      <c r="L183" s="7" t="s">
        <v>5572</v>
      </c>
      <c r="M183" s="8" t="str">
        <f>IF(Caja_Arequipa[[#This Row],[tipo_r]]="R","001-"&amp;12002+A183,M182)</f>
        <v>001-12176</v>
      </c>
      <c r="N183" s="8" t="str">
        <f t="shared" si="15"/>
        <v>PEN</v>
      </c>
      <c r="O183" s="13"/>
      <c r="P183" s="13">
        <v>5</v>
      </c>
      <c r="Q183" s="3">
        <f t="shared" si="13"/>
        <v>0</v>
      </c>
      <c r="R183" s="3">
        <f t="shared" si="14"/>
        <v>5</v>
      </c>
      <c r="S183" s="3">
        <f t="shared" si="11"/>
        <v>3340.5</v>
      </c>
      <c r="T183" s="24" t="s">
        <v>1334</v>
      </c>
      <c r="U183" s="24" t="s">
        <v>1334</v>
      </c>
      <c r="V183" s="3"/>
      <c r="W183" s="25" t="str">
        <f>IFERROR(VLOOKUP(Caja_Arequipa[[#This Row],[destinatario]],CHOOSE({1,2},Clientes_Proveedores[Razon Social],Clientes_Proveedores[Ruc / Dni]),2,0),"")</f>
        <v/>
      </c>
      <c r="X183" s="3" t="s">
        <v>5573</v>
      </c>
      <c r="Y183" s="3"/>
      <c r="Z183" s="3"/>
      <c r="AA183" s="3"/>
      <c r="AB183" s="3" t="str">
        <f>IF(Caja_Arequipa[[#This Row],[fecha]]&gt;0,TEXT(Caja_Arequipa[[#This Row],[fecha]],"mmmm"),0)</f>
        <v>Marzo</v>
      </c>
    </row>
    <row r="184" spans="1:28" x14ac:dyDescent="0.3">
      <c r="A184" s="2">
        <f>IF(Caja_Arequipa[[#This Row],[tipo_r]]="R",COUNTIFS($C$1:$C183,"R")+1,A183)</f>
        <v>175</v>
      </c>
      <c r="B184" s="19" t="str">
        <f t="shared" si="12"/>
        <v>C-Tesoreria</v>
      </c>
      <c r="C184" s="3" t="s">
        <v>1330</v>
      </c>
      <c r="D184" s="14">
        <v>45722</v>
      </c>
      <c r="E184" s="5" t="s">
        <v>1416</v>
      </c>
      <c r="F184" s="5" t="s">
        <v>1336</v>
      </c>
      <c r="G184" s="3" t="s">
        <v>5259</v>
      </c>
      <c r="H184" s="6"/>
      <c r="I184" s="6" t="s">
        <v>111</v>
      </c>
      <c r="J184" s="6">
        <v>3</v>
      </c>
      <c r="K184" s="6">
        <v>61</v>
      </c>
      <c r="L184" s="7" t="s">
        <v>5574</v>
      </c>
      <c r="M184" s="8" t="str">
        <f>IF(Caja_Arequipa[[#This Row],[tipo_r]]="R","001-"&amp;12002+A184,M183)</f>
        <v>001-12177</v>
      </c>
      <c r="N184" s="8" t="str">
        <f t="shared" si="15"/>
        <v>PEN</v>
      </c>
      <c r="O184" s="13"/>
      <c r="P184" s="13">
        <v>22</v>
      </c>
      <c r="Q184" s="3">
        <f t="shared" si="13"/>
        <v>0</v>
      </c>
      <c r="R184" s="3">
        <f t="shared" si="14"/>
        <v>22</v>
      </c>
      <c r="S184" s="3">
        <f t="shared" si="11"/>
        <v>3318.5</v>
      </c>
      <c r="T184" s="24" t="s">
        <v>1334</v>
      </c>
      <c r="U184" s="24" t="s">
        <v>1334</v>
      </c>
      <c r="V184" s="3"/>
      <c r="W184" s="25" t="str">
        <f>IFERROR(VLOOKUP(Caja_Arequipa[[#This Row],[destinatario]],CHOOSE({1,2},Clientes_Proveedores[Razon Social],Clientes_Proveedores[Ruc / Dni]),2,0),"")</f>
        <v/>
      </c>
      <c r="X184" s="3" t="s">
        <v>5575</v>
      </c>
      <c r="Y184" s="3"/>
      <c r="Z184" s="3"/>
      <c r="AA184" s="3"/>
      <c r="AB184" s="3" t="str">
        <f>IF(Caja_Arequipa[[#This Row],[fecha]]&gt;0,TEXT(Caja_Arequipa[[#This Row],[fecha]],"mmmm"),0)</f>
        <v>Marzo</v>
      </c>
    </row>
    <row r="185" spans="1:28" x14ac:dyDescent="0.3">
      <c r="A185" s="2">
        <f>IF(Caja_Arequipa[[#This Row],[tipo_r]]="R",COUNTIFS($C$1:$C184,"R")+1,A184)</f>
        <v>176</v>
      </c>
      <c r="B185" s="19" t="str">
        <f t="shared" si="12"/>
        <v>C-Tesoreria</v>
      </c>
      <c r="C185" s="3" t="s">
        <v>1330</v>
      </c>
      <c r="D185" s="14">
        <v>45722</v>
      </c>
      <c r="E185" s="5" t="s">
        <v>1416</v>
      </c>
      <c r="F185" s="5" t="s">
        <v>1336</v>
      </c>
      <c r="G185" s="3" t="s">
        <v>5259</v>
      </c>
      <c r="H185" s="6"/>
      <c r="I185" s="6" t="s">
        <v>111</v>
      </c>
      <c r="J185" s="6">
        <v>3</v>
      </c>
      <c r="K185" s="6">
        <v>62</v>
      </c>
      <c r="L185" s="7" t="s">
        <v>5576</v>
      </c>
      <c r="M185" s="8" t="str">
        <f>IF(Caja_Arequipa[[#This Row],[tipo_r]]="R","001-"&amp;12002+A185,M184)</f>
        <v>001-12178</v>
      </c>
      <c r="N185" s="8" t="str">
        <f t="shared" si="15"/>
        <v>PEN</v>
      </c>
      <c r="O185" s="13"/>
      <c r="P185" s="13">
        <v>29</v>
      </c>
      <c r="Q185" s="3">
        <f t="shared" si="13"/>
        <v>0</v>
      </c>
      <c r="R185" s="3">
        <f t="shared" si="14"/>
        <v>29</v>
      </c>
      <c r="S185" s="3">
        <f t="shared" si="11"/>
        <v>3289.5</v>
      </c>
      <c r="T185" s="24" t="s">
        <v>1334</v>
      </c>
      <c r="U185" s="24" t="s">
        <v>1334</v>
      </c>
      <c r="V185" s="3"/>
      <c r="W185" s="25" t="str">
        <f>IFERROR(VLOOKUP(Caja_Arequipa[[#This Row],[destinatario]],CHOOSE({1,2},Clientes_Proveedores[Razon Social],Clientes_Proveedores[Ruc / Dni]),2,0),"")</f>
        <v/>
      </c>
      <c r="X185" s="3" t="s">
        <v>5577</v>
      </c>
      <c r="Y185" s="3"/>
      <c r="Z185" s="3"/>
      <c r="AA185" s="3"/>
      <c r="AB185" s="3" t="str">
        <f>IF(Caja_Arequipa[[#This Row],[fecha]]&gt;0,TEXT(Caja_Arequipa[[#This Row],[fecha]],"mmmm"),0)</f>
        <v>Marzo</v>
      </c>
    </row>
    <row r="186" spans="1:28" x14ac:dyDescent="0.3">
      <c r="A186" s="2">
        <f>IF(Caja_Arequipa[[#This Row],[tipo_r]]="R",COUNTIFS($C$1:$C185,"R")+1,A185)</f>
        <v>177</v>
      </c>
      <c r="B186" s="19" t="str">
        <f t="shared" si="12"/>
        <v>C-Tesoreria</v>
      </c>
      <c r="C186" s="3" t="s">
        <v>1330</v>
      </c>
      <c r="D186" s="14">
        <v>45722</v>
      </c>
      <c r="E186" s="5" t="s">
        <v>1416</v>
      </c>
      <c r="F186" s="5" t="s">
        <v>1336</v>
      </c>
      <c r="G186" s="3" t="s">
        <v>5259</v>
      </c>
      <c r="H186" s="6"/>
      <c r="I186" s="6" t="s">
        <v>111</v>
      </c>
      <c r="J186" s="6">
        <v>3</v>
      </c>
      <c r="K186" s="6">
        <v>63</v>
      </c>
      <c r="L186" s="7" t="s">
        <v>5578</v>
      </c>
      <c r="M186" s="8" t="str">
        <f>IF(Caja_Arequipa[[#This Row],[tipo_r]]="R","001-"&amp;12002+A186,M185)</f>
        <v>001-12179</v>
      </c>
      <c r="N186" s="8" t="str">
        <f t="shared" si="15"/>
        <v>PEN</v>
      </c>
      <c r="O186" s="13"/>
      <c r="P186" s="13">
        <v>5</v>
      </c>
      <c r="Q186" s="3">
        <f t="shared" si="13"/>
        <v>0</v>
      </c>
      <c r="R186" s="3">
        <f t="shared" si="14"/>
        <v>5</v>
      </c>
      <c r="S186" s="3">
        <f t="shared" si="11"/>
        <v>3284.5</v>
      </c>
      <c r="T186" s="24" t="s">
        <v>1334</v>
      </c>
      <c r="U186" s="24" t="s">
        <v>1334</v>
      </c>
      <c r="V186" s="3"/>
      <c r="W186" s="25" t="str">
        <f>IFERROR(VLOOKUP(Caja_Arequipa[[#This Row],[destinatario]],CHOOSE({1,2},Clientes_Proveedores[Razon Social],Clientes_Proveedores[Ruc / Dni]),2,0),"")</f>
        <v/>
      </c>
      <c r="X186" s="3" t="s">
        <v>5579</v>
      </c>
      <c r="Y186" s="3"/>
      <c r="Z186" s="3"/>
      <c r="AA186" s="3"/>
      <c r="AB186" s="3" t="str">
        <f>IF(Caja_Arequipa[[#This Row],[fecha]]&gt;0,TEXT(Caja_Arequipa[[#This Row],[fecha]],"mmmm"),0)</f>
        <v>Marzo</v>
      </c>
    </row>
    <row r="187" spans="1:28" ht="24" x14ac:dyDescent="0.3">
      <c r="A187" s="2">
        <f>IF(Caja_Arequipa[[#This Row],[tipo_r]]="R",COUNTIFS($C$1:$C186,"R")+1,A186)</f>
        <v>178</v>
      </c>
      <c r="B187" s="19" t="str">
        <f t="shared" si="12"/>
        <v>C-Tesoreria</v>
      </c>
      <c r="C187" s="3" t="s">
        <v>1330</v>
      </c>
      <c r="D187" s="14">
        <v>45722</v>
      </c>
      <c r="E187" s="5" t="s">
        <v>1416</v>
      </c>
      <c r="F187" s="5" t="s">
        <v>1336</v>
      </c>
      <c r="G187" s="3" t="s">
        <v>5299</v>
      </c>
      <c r="H187" s="6"/>
      <c r="I187" s="6"/>
      <c r="J187" s="6"/>
      <c r="K187" s="6"/>
      <c r="L187" s="7" t="s">
        <v>5580</v>
      </c>
      <c r="M187" s="8" t="str">
        <f>IF(Caja_Arequipa[[#This Row],[tipo_r]]="R","001-"&amp;12002+A187,M186)</f>
        <v>001-12180</v>
      </c>
      <c r="N187" s="8" t="str">
        <f t="shared" si="15"/>
        <v>PEN</v>
      </c>
      <c r="O187" s="13"/>
      <c r="P187" s="13">
        <v>75</v>
      </c>
      <c r="Q187" s="3">
        <f t="shared" si="13"/>
        <v>0</v>
      </c>
      <c r="R187" s="3">
        <f t="shared" si="14"/>
        <v>75</v>
      </c>
      <c r="S187" s="3">
        <f t="shared" si="11"/>
        <v>3209.5</v>
      </c>
      <c r="T187" s="24" t="s">
        <v>1334</v>
      </c>
      <c r="U187" s="24" t="s">
        <v>1334</v>
      </c>
      <c r="V187" s="3"/>
      <c r="W187" s="25" t="str">
        <f>IFERROR(VLOOKUP(Caja_Arequipa[[#This Row],[destinatario]],CHOOSE({1,2},Clientes_Proveedores[Razon Social],Clientes_Proveedores[Ruc / Dni]),2,0),"")</f>
        <v/>
      </c>
      <c r="X187" s="3" t="s">
        <v>5581</v>
      </c>
      <c r="Y187" s="3"/>
      <c r="Z187" s="3"/>
      <c r="AA187" s="3"/>
      <c r="AB187" s="3" t="str">
        <f>IF(Caja_Arequipa[[#This Row],[fecha]]&gt;0,TEXT(Caja_Arequipa[[#This Row],[fecha]],"mmmm"),0)</f>
        <v>Marzo</v>
      </c>
    </row>
    <row r="188" spans="1:28" x14ac:dyDescent="0.3">
      <c r="A188" s="2">
        <f>IF(Caja_Arequipa[[#This Row],[tipo_r]]="R",COUNTIFS($C$1:$C187,"R")+1,A187)</f>
        <v>179</v>
      </c>
      <c r="B188" s="19" t="str">
        <f t="shared" si="12"/>
        <v>C-Tesoreria</v>
      </c>
      <c r="C188" s="3" t="s">
        <v>1330</v>
      </c>
      <c r="D188" s="14">
        <v>45722</v>
      </c>
      <c r="E188" s="5" t="s">
        <v>1416</v>
      </c>
      <c r="F188" s="5" t="s">
        <v>1336</v>
      </c>
      <c r="G188" s="3" t="s">
        <v>5317</v>
      </c>
      <c r="H188" s="6"/>
      <c r="I188" s="6" t="s">
        <v>111</v>
      </c>
      <c r="J188" s="6">
        <v>3</v>
      </c>
      <c r="K188" s="6">
        <v>64</v>
      </c>
      <c r="L188" s="7" t="s">
        <v>5582</v>
      </c>
      <c r="M188" s="8" t="str">
        <f>IF(Caja_Arequipa[[#This Row],[tipo_r]]="R","001-"&amp;12002+A188,M187)</f>
        <v>001-12181</v>
      </c>
      <c r="N188" s="8" t="str">
        <f t="shared" si="15"/>
        <v>PEN</v>
      </c>
      <c r="O188" s="13"/>
      <c r="P188" s="13">
        <v>13</v>
      </c>
      <c r="Q188" s="3">
        <f t="shared" si="13"/>
        <v>0</v>
      </c>
      <c r="R188" s="3">
        <f t="shared" si="14"/>
        <v>13</v>
      </c>
      <c r="S188" s="3">
        <f t="shared" si="11"/>
        <v>3196.5</v>
      </c>
      <c r="T188" s="24" t="s">
        <v>1334</v>
      </c>
      <c r="U188" s="24" t="s">
        <v>1334</v>
      </c>
      <c r="V188" s="3"/>
      <c r="W188" s="25" t="str">
        <f>IFERROR(VLOOKUP(Caja_Arequipa[[#This Row],[destinatario]],CHOOSE({1,2},Clientes_Proveedores[Razon Social],Clientes_Proveedores[Ruc / Dni]),2,0),"")</f>
        <v/>
      </c>
      <c r="X188" s="3" t="s">
        <v>5583</v>
      </c>
      <c r="Y188" s="3"/>
      <c r="Z188" s="3"/>
      <c r="AA188" s="3"/>
      <c r="AB188" s="3" t="str">
        <f>IF(Caja_Arequipa[[#This Row],[fecha]]&gt;0,TEXT(Caja_Arequipa[[#This Row],[fecha]],"mmmm"),0)</f>
        <v>Marzo</v>
      </c>
    </row>
    <row r="189" spans="1:28" x14ac:dyDescent="0.3">
      <c r="A189" s="2">
        <f>IF(Caja_Arequipa[[#This Row],[tipo_r]]="R",COUNTIFS($C$1:$C188,"R")+1,A188)</f>
        <v>180</v>
      </c>
      <c r="B189" s="19" t="str">
        <f t="shared" si="12"/>
        <v>C-Tesoreria</v>
      </c>
      <c r="C189" s="3" t="s">
        <v>1330</v>
      </c>
      <c r="D189" s="14">
        <v>45723</v>
      </c>
      <c r="E189" s="5" t="s">
        <v>1416</v>
      </c>
      <c r="F189" s="5" t="s">
        <v>1336</v>
      </c>
      <c r="G189" s="3" t="s">
        <v>5280</v>
      </c>
      <c r="H189" s="6"/>
      <c r="I189" s="6"/>
      <c r="J189" s="6"/>
      <c r="K189" s="6"/>
      <c r="L189" s="7" t="s">
        <v>5584</v>
      </c>
      <c r="M189" s="8" t="str">
        <f>IF(Caja_Arequipa[[#This Row],[tipo_r]]="R","001-"&amp;12002+A189,M188)</f>
        <v>001-12182</v>
      </c>
      <c r="N189" s="8" t="str">
        <f t="shared" si="15"/>
        <v>PEN</v>
      </c>
      <c r="O189" s="13"/>
      <c r="P189" s="13">
        <v>11</v>
      </c>
      <c r="Q189" s="3">
        <f t="shared" si="13"/>
        <v>0</v>
      </c>
      <c r="R189" s="3">
        <f t="shared" si="14"/>
        <v>11</v>
      </c>
      <c r="S189" s="3">
        <f t="shared" si="11"/>
        <v>3185.5</v>
      </c>
      <c r="T189" s="24" t="s">
        <v>1334</v>
      </c>
      <c r="U189" s="24" t="s">
        <v>1334</v>
      </c>
      <c r="V189" s="3"/>
      <c r="W189" s="25" t="str">
        <f>IFERROR(VLOOKUP(Caja_Arequipa[[#This Row],[destinatario]],CHOOSE({1,2},Clientes_Proveedores[Razon Social],Clientes_Proveedores[Ruc / Dni]),2,0),"")</f>
        <v/>
      </c>
      <c r="X189" s="3" t="s">
        <v>5585</v>
      </c>
      <c r="Y189" s="3"/>
      <c r="Z189" s="3"/>
      <c r="AA189" s="3"/>
      <c r="AB189" s="3" t="str">
        <f>IF(Caja_Arequipa[[#This Row],[fecha]]&gt;0,TEXT(Caja_Arequipa[[#This Row],[fecha]],"mmmm"),0)</f>
        <v>Marzo</v>
      </c>
    </row>
    <row r="190" spans="1:28" x14ac:dyDescent="0.3">
      <c r="A190" s="2">
        <f>IF(Caja_Arequipa[[#This Row],[tipo_r]]="R",COUNTIFS($C$1:$C189,"R")+1,A189)</f>
        <v>181</v>
      </c>
      <c r="B190" s="19" t="str">
        <f t="shared" si="12"/>
        <v>C-Tesoreria</v>
      </c>
      <c r="C190" s="3" t="s">
        <v>1330</v>
      </c>
      <c r="D190" s="14">
        <v>45723</v>
      </c>
      <c r="E190" s="5" t="s">
        <v>1416</v>
      </c>
      <c r="F190" s="5" t="s">
        <v>1336</v>
      </c>
      <c r="G190" s="3" t="s">
        <v>3308</v>
      </c>
      <c r="H190" s="6"/>
      <c r="I190" s="6"/>
      <c r="J190" s="6"/>
      <c r="K190" s="6"/>
      <c r="L190" s="7" t="s">
        <v>5586</v>
      </c>
      <c r="M190" s="8" t="str">
        <f>IF(Caja_Arequipa[[#This Row],[tipo_r]]="R","001-"&amp;12002+A190,M189)</f>
        <v>001-12183</v>
      </c>
      <c r="N190" s="8" t="str">
        <f t="shared" si="15"/>
        <v>PEN</v>
      </c>
      <c r="O190" s="13"/>
      <c r="P190" s="13">
        <v>104</v>
      </c>
      <c r="Q190" s="3">
        <f t="shared" si="13"/>
        <v>0</v>
      </c>
      <c r="R190" s="3">
        <f t="shared" si="14"/>
        <v>104</v>
      </c>
      <c r="S190" s="3">
        <f t="shared" si="11"/>
        <v>3081.5</v>
      </c>
      <c r="T190" s="24" t="s">
        <v>1334</v>
      </c>
      <c r="U190" s="24" t="s">
        <v>1334</v>
      </c>
      <c r="V190" s="3"/>
      <c r="W190" s="25" t="str">
        <f>IFERROR(VLOOKUP(Caja_Arequipa[[#This Row],[destinatario]],CHOOSE({1,2},Clientes_Proveedores[Razon Social],Clientes_Proveedores[Ruc / Dni]),2,0),"")</f>
        <v/>
      </c>
      <c r="X190" s="3" t="s">
        <v>5587</v>
      </c>
      <c r="Y190" s="3"/>
      <c r="Z190" s="3"/>
      <c r="AA190" s="3"/>
      <c r="AB190" s="3" t="str">
        <f>IF(Caja_Arequipa[[#This Row],[fecha]]&gt;0,TEXT(Caja_Arequipa[[#This Row],[fecha]],"mmmm"),0)</f>
        <v>Marzo</v>
      </c>
    </row>
    <row r="191" spans="1:28" x14ac:dyDescent="0.3">
      <c r="A191" s="2">
        <f>IF(Caja_Arequipa[[#This Row],[tipo_r]]="R",COUNTIFS($C$1:$C190,"R")+1,A190)</f>
        <v>182</v>
      </c>
      <c r="B191" s="19" t="str">
        <f t="shared" si="12"/>
        <v>C-Tesoreria</v>
      </c>
      <c r="C191" s="3" t="s">
        <v>1330</v>
      </c>
      <c r="D191" s="14">
        <v>45723</v>
      </c>
      <c r="E191" s="5" t="s">
        <v>1416</v>
      </c>
      <c r="F191" s="5" t="s">
        <v>1336</v>
      </c>
      <c r="G191" s="3" t="s">
        <v>5455</v>
      </c>
      <c r="H191" s="6"/>
      <c r="I191" s="6"/>
      <c r="J191" s="6"/>
      <c r="K191" s="6"/>
      <c r="L191" s="7" t="s">
        <v>5552</v>
      </c>
      <c r="M191" s="8" t="str">
        <f>IF(Caja_Arequipa[[#This Row],[tipo_r]]="R","001-"&amp;12002+A191,M190)</f>
        <v>001-12184</v>
      </c>
      <c r="N191" s="8" t="str">
        <f t="shared" si="15"/>
        <v>PEN</v>
      </c>
      <c r="O191" s="13"/>
      <c r="P191" s="13">
        <v>30</v>
      </c>
      <c r="Q191" s="3">
        <f t="shared" si="13"/>
        <v>0</v>
      </c>
      <c r="R191" s="3">
        <f t="shared" si="14"/>
        <v>30</v>
      </c>
      <c r="S191" s="3">
        <f t="shared" si="11"/>
        <v>3051.5</v>
      </c>
      <c r="T191" s="24" t="s">
        <v>1334</v>
      </c>
      <c r="U191" s="24" t="s">
        <v>1334</v>
      </c>
      <c r="V191" s="3"/>
      <c r="W191" s="25" t="str">
        <f>IFERROR(VLOOKUP(Caja_Arequipa[[#This Row],[destinatario]],CHOOSE({1,2},Clientes_Proveedores[Razon Social],Clientes_Proveedores[Ruc / Dni]),2,0),"")</f>
        <v/>
      </c>
      <c r="X191" s="3" t="s">
        <v>5588</v>
      </c>
      <c r="Y191" s="3"/>
      <c r="Z191" s="3"/>
      <c r="AA191" s="3"/>
      <c r="AB191" s="3" t="str">
        <f>IF(Caja_Arequipa[[#This Row],[fecha]]&gt;0,TEXT(Caja_Arequipa[[#This Row],[fecha]],"mmmm"),0)</f>
        <v>Marzo</v>
      </c>
    </row>
    <row r="192" spans="1:28" x14ac:dyDescent="0.3">
      <c r="A192" s="2">
        <f>IF(Caja_Arequipa[[#This Row],[tipo_r]]="R",COUNTIFS($C$1:$C191,"R")+1,A191)</f>
        <v>183</v>
      </c>
      <c r="B192" s="19" t="str">
        <f t="shared" si="12"/>
        <v>C-Tesoreria</v>
      </c>
      <c r="C192" s="3" t="s">
        <v>1330</v>
      </c>
      <c r="D192" s="14">
        <v>45723</v>
      </c>
      <c r="E192" s="5" t="s">
        <v>1416</v>
      </c>
      <c r="F192" s="5" t="s">
        <v>1336</v>
      </c>
      <c r="G192" s="3" t="s">
        <v>5455</v>
      </c>
      <c r="H192" s="6"/>
      <c r="I192" s="6"/>
      <c r="J192" s="6"/>
      <c r="K192" s="6"/>
      <c r="L192" s="7" t="s">
        <v>5589</v>
      </c>
      <c r="M192" s="8" t="str">
        <f>IF(Caja_Arequipa[[#This Row],[tipo_r]]="R","001-"&amp;12002+A192,M191)</f>
        <v>001-12185</v>
      </c>
      <c r="N192" s="8" t="str">
        <f t="shared" si="15"/>
        <v>PEN</v>
      </c>
      <c r="O192" s="13"/>
      <c r="P192" s="13">
        <v>110</v>
      </c>
      <c r="Q192" s="3">
        <f t="shared" si="13"/>
        <v>0</v>
      </c>
      <c r="R192" s="3">
        <f t="shared" si="14"/>
        <v>110</v>
      </c>
      <c r="S192" s="3">
        <f t="shared" si="11"/>
        <v>2941.5</v>
      </c>
      <c r="T192" s="24" t="s">
        <v>1334</v>
      </c>
      <c r="U192" s="24" t="s">
        <v>1334</v>
      </c>
      <c r="V192" s="3"/>
      <c r="W192" s="25" t="str">
        <f>IFERROR(VLOOKUP(Caja_Arequipa[[#This Row],[destinatario]],CHOOSE({1,2},Clientes_Proveedores[Razon Social],Clientes_Proveedores[Ruc / Dni]),2,0),"")</f>
        <v/>
      </c>
      <c r="X192" s="3" t="s">
        <v>5590</v>
      </c>
      <c r="Y192" s="3"/>
      <c r="Z192" s="3"/>
      <c r="AA192" s="3"/>
      <c r="AB192" s="3" t="str">
        <f>IF(Caja_Arequipa[[#This Row],[fecha]]&gt;0,TEXT(Caja_Arequipa[[#This Row],[fecha]],"mmmm"),0)</f>
        <v>Marzo</v>
      </c>
    </row>
    <row r="193" spans="1:28" ht="24" x14ac:dyDescent="0.3">
      <c r="A193" s="2">
        <f>IF(Caja_Arequipa[[#This Row],[tipo_r]]="R",COUNTIFS($C$1:$C192,"R")+1,A192)</f>
        <v>184</v>
      </c>
      <c r="B193" s="19" t="str">
        <f t="shared" si="12"/>
        <v>C-Tesoreria</v>
      </c>
      <c r="C193" s="3" t="s">
        <v>1330</v>
      </c>
      <c r="D193" s="14">
        <v>45723</v>
      </c>
      <c r="E193" s="5" t="s">
        <v>1416</v>
      </c>
      <c r="F193" s="5" t="s">
        <v>1336</v>
      </c>
      <c r="G193" s="3" t="s">
        <v>5455</v>
      </c>
      <c r="H193" s="6"/>
      <c r="I193" s="6"/>
      <c r="J193" s="6"/>
      <c r="K193" s="6"/>
      <c r="L193" s="7" t="s">
        <v>5591</v>
      </c>
      <c r="M193" s="8" t="str">
        <f>IF(Caja_Arequipa[[#This Row],[tipo_r]]="R","001-"&amp;12002+A193,M192)</f>
        <v>001-12186</v>
      </c>
      <c r="N193" s="8" t="str">
        <f t="shared" si="15"/>
        <v>PEN</v>
      </c>
      <c r="O193" s="13"/>
      <c r="P193" s="13">
        <v>91</v>
      </c>
      <c r="Q193" s="3">
        <f t="shared" si="13"/>
        <v>0</v>
      </c>
      <c r="R193" s="3">
        <f t="shared" si="14"/>
        <v>91</v>
      </c>
      <c r="S193" s="3">
        <f t="shared" si="11"/>
        <v>2850.5</v>
      </c>
      <c r="T193" s="24" t="s">
        <v>1334</v>
      </c>
      <c r="U193" s="24" t="s">
        <v>1334</v>
      </c>
      <c r="V193" s="3"/>
      <c r="W193" s="25" t="str">
        <f>IFERROR(VLOOKUP(Caja_Arequipa[[#This Row],[destinatario]],CHOOSE({1,2},Clientes_Proveedores[Razon Social],Clientes_Proveedores[Ruc / Dni]),2,0),"")</f>
        <v/>
      </c>
      <c r="X193" s="3" t="s">
        <v>5592</v>
      </c>
      <c r="Y193" s="3"/>
      <c r="Z193" s="3"/>
      <c r="AA193" s="3"/>
      <c r="AB193" s="3" t="str">
        <f>IF(Caja_Arequipa[[#This Row],[fecha]]&gt;0,TEXT(Caja_Arequipa[[#This Row],[fecha]],"mmmm"),0)</f>
        <v>Marzo</v>
      </c>
    </row>
    <row r="194" spans="1:28" ht="24" x14ac:dyDescent="0.3">
      <c r="A194" s="2">
        <f>IF(Caja_Arequipa[[#This Row],[tipo_r]]="R",COUNTIFS($C$1:$C193,"R")+1,A193)</f>
        <v>185</v>
      </c>
      <c r="B194" s="19" t="str">
        <f t="shared" si="12"/>
        <v>C-Tesoreria</v>
      </c>
      <c r="C194" s="3" t="s">
        <v>1330</v>
      </c>
      <c r="D194" s="14">
        <v>45726</v>
      </c>
      <c r="E194" s="5" t="s">
        <v>1416</v>
      </c>
      <c r="F194" s="5" t="s">
        <v>1336</v>
      </c>
      <c r="G194" s="3" t="s">
        <v>3308</v>
      </c>
      <c r="H194" s="6"/>
      <c r="I194" s="6" t="s">
        <v>111</v>
      </c>
      <c r="J194" s="6">
        <v>3</v>
      </c>
      <c r="K194" s="6">
        <v>65</v>
      </c>
      <c r="L194" s="7" t="s">
        <v>5593</v>
      </c>
      <c r="M194" s="8" t="str">
        <f>IF(Caja_Arequipa[[#This Row],[tipo_r]]="R","001-"&amp;12002+A194,M193)</f>
        <v>001-12187</v>
      </c>
      <c r="N194" s="8" t="str">
        <f t="shared" si="15"/>
        <v>PEN</v>
      </c>
      <c r="O194" s="13"/>
      <c r="P194" s="13">
        <v>11</v>
      </c>
      <c r="Q194" s="3">
        <f t="shared" si="13"/>
        <v>0</v>
      </c>
      <c r="R194" s="3">
        <f t="shared" si="14"/>
        <v>11</v>
      </c>
      <c r="S194" s="3">
        <f t="shared" ref="S194:S257" si="16">IFERROR(IF(F194="SALDO",Q194,S193+Q194-R194),0)</f>
        <v>2839.5</v>
      </c>
      <c r="T194" s="24" t="s">
        <v>1334</v>
      </c>
      <c r="U194" s="24" t="s">
        <v>1334</v>
      </c>
      <c r="V194" s="3"/>
      <c r="W194" s="25" t="str">
        <f>IFERROR(VLOOKUP(Caja_Arequipa[[#This Row],[destinatario]],CHOOSE({1,2},Clientes_Proveedores[Razon Social],Clientes_Proveedores[Ruc / Dni]),2,0),"")</f>
        <v/>
      </c>
      <c r="X194" s="3" t="s">
        <v>5594</v>
      </c>
      <c r="Y194" s="3"/>
      <c r="Z194" s="3"/>
      <c r="AA194" s="3"/>
      <c r="AB194" s="3" t="str">
        <f>IF(Caja_Arequipa[[#This Row],[fecha]]&gt;0,TEXT(Caja_Arequipa[[#This Row],[fecha]],"mmmm"),0)</f>
        <v>Marzo</v>
      </c>
    </row>
    <row r="195" spans="1:28" x14ac:dyDescent="0.3">
      <c r="A195" s="2">
        <f>IF(Caja_Arequipa[[#This Row],[tipo_r]]="R",COUNTIFS($C$1:$C194,"R")+1,A194)</f>
        <v>186</v>
      </c>
      <c r="B195" s="19" t="str">
        <f t="shared" si="12"/>
        <v>C-Tesoreria</v>
      </c>
      <c r="C195" s="3" t="s">
        <v>1330</v>
      </c>
      <c r="D195" s="14">
        <v>45727</v>
      </c>
      <c r="E195" s="5" t="s">
        <v>1416</v>
      </c>
      <c r="F195" s="5" t="s">
        <v>1336</v>
      </c>
      <c r="G195" s="3" t="s">
        <v>5595</v>
      </c>
      <c r="H195" s="6"/>
      <c r="I195" s="6"/>
      <c r="J195" s="6"/>
      <c r="K195" s="6"/>
      <c r="L195" s="7" t="s">
        <v>5596</v>
      </c>
      <c r="M195" s="8" t="str">
        <f>IF(Caja_Arequipa[[#This Row],[tipo_r]]="R","001-"&amp;12002+A195,M194)</f>
        <v>001-12188</v>
      </c>
      <c r="N195" s="8" t="str">
        <f t="shared" si="15"/>
        <v>PEN</v>
      </c>
      <c r="O195" s="13"/>
      <c r="P195" s="13">
        <v>7</v>
      </c>
      <c r="Q195" s="3">
        <f t="shared" si="13"/>
        <v>0</v>
      </c>
      <c r="R195" s="3">
        <f t="shared" si="14"/>
        <v>7</v>
      </c>
      <c r="S195" s="3">
        <f t="shared" si="16"/>
        <v>2832.5</v>
      </c>
      <c r="T195" s="24" t="s">
        <v>1334</v>
      </c>
      <c r="U195" s="24" t="s">
        <v>1334</v>
      </c>
      <c r="V195" s="3"/>
      <c r="W195" s="25" t="str">
        <f>IFERROR(VLOOKUP(Caja_Arequipa[[#This Row],[destinatario]],CHOOSE({1,2},Clientes_Proveedores[Razon Social],Clientes_Proveedores[Ruc / Dni]),2,0),"")</f>
        <v/>
      </c>
      <c r="X195" s="3" t="s">
        <v>5597</v>
      </c>
      <c r="Y195" s="3"/>
      <c r="Z195" s="3"/>
      <c r="AA195" s="3"/>
      <c r="AB195" s="3" t="str">
        <f>IF(Caja_Arequipa[[#This Row],[fecha]]&gt;0,TEXT(Caja_Arequipa[[#This Row],[fecha]],"mmmm"),0)</f>
        <v>Marzo</v>
      </c>
    </row>
    <row r="196" spans="1:28" ht="24" x14ac:dyDescent="0.3">
      <c r="A196" s="2">
        <f>IF(Caja_Arequipa[[#This Row],[tipo_r]]="R",COUNTIFS($C$1:$C195,"R")+1,A195)</f>
        <v>187</v>
      </c>
      <c r="B196" s="19" t="str">
        <f t="shared" si="12"/>
        <v>C-Tesoreria</v>
      </c>
      <c r="C196" s="3" t="s">
        <v>1330</v>
      </c>
      <c r="D196" s="14">
        <v>45727</v>
      </c>
      <c r="E196" s="5" t="s">
        <v>1416</v>
      </c>
      <c r="F196" s="5" t="s">
        <v>1336</v>
      </c>
      <c r="G196" s="3" t="s">
        <v>5248</v>
      </c>
      <c r="H196" s="6"/>
      <c r="I196" s="6"/>
      <c r="J196" s="6"/>
      <c r="K196" s="6"/>
      <c r="L196" s="7" t="s">
        <v>5598</v>
      </c>
      <c r="M196" s="8" t="str">
        <f>IF(Caja_Arequipa[[#This Row],[tipo_r]]="R","001-"&amp;12002+A196,M195)</f>
        <v>001-12189</v>
      </c>
      <c r="N196" s="8" t="str">
        <f t="shared" si="15"/>
        <v>PEN</v>
      </c>
      <c r="O196" s="13"/>
      <c r="P196" s="13">
        <v>42</v>
      </c>
      <c r="Q196" s="3">
        <f t="shared" si="13"/>
        <v>0</v>
      </c>
      <c r="R196" s="3">
        <f t="shared" si="14"/>
        <v>42</v>
      </c>
      <c r="S196" s="3">
        <f t="shared" si="16"/>
        <v>2790.5</v>
      </c>
      <c r="T196" s="24" t="s">
        <v>5504</v>
      </c>
      <c r="U196" s="24"/>
      <c r="V196" s="3"/>
      <c r="W196" s="25" t="str">
        <f>IFERROR(VLOOKUP(Caja_Arequipa[[#This Row],[destinatario]],CHOOSE({1,2},Clientes_Proveedores[Razon Social],Clientes_Proveedores[Ruc / Dni]),2,0),"")</f>
        <v/>
      </c>
      <c r="X196" s="3" t="s">
        <v>5599</v>
      </c>
      <c r="Y196" s="3"/>
      <c r="Z196" s="3"/>
      <c r="AA196" s="3"/>
      <c r="AB196" s="3" t="str">
        <f>IF(Caja_Arequipa[[#This Row],[fecha]]&gt;0,TEXT(Caja_Arequipa[[#This Row],[fecha]],"mmmm"),0)</f>
        <v>Marzo</v>
      </c>
    </row>
    <row r="197" spans="1:28" x14ac:dyDescent="0.3">
      <c r="A197" s="2">
        <f>IF(Caja_Arequipa[[#This Row],[tipo_r]]="R",COUNTIFS($C$1:$C196,"R")+1,A196)</f>
        <v>188</v>
      </c>
      <c r="B197" s="19" t="str">
        <f t="shared" si="12"/>
        <v>C-Tesoreria</v>
      </c>
      <c r="C197" s="3" t="s">
        <v>1330</v>
      </c>
      <c r="D197" s="14">
        <v>45728</v>
      </c>
      <c r="E197" s="5" t="s">
        <v>1416</v>
      </c>
      <c r="F197" s="5" t="s">
        <v>1336</v>
      </c>
      <c r="G197" s="3" t="s">
        <v>5380</v>
      </c>
      <c r="H197" s="6"/>
      <c r="I197" s="6"/>
      <c r="J197" s="6"/>
      <c r="K197" s="6"/>
      <c r="L197" s="7" t="s">
        <v>5600</v>
      </c>
      <c r="M197" s="8" t="str">
        <f>IF(Caja_Arequipa[[#This Row],[tipo_r]]="R","001-"&amp;12002+A197,M196)</f>
        <v>001-12190</v>
      </c>
      <c r="N197" s="8" t="str">
        <f t="shared" si="15"/>
        <v>PEN</v>
      </c>
      <c r="O197" s="13"/>
      <c r="P197" s="13">
        <v>30</v>
      </c>
      <c r="Q197" s="3">
        <f t="shared" si="13"/>
        <v>0</v>
      </c>
      <c r="R197" s="3">
        <f t="shared" si="14"/>
        <v>30</v>
      </c>
      <c r="S197" s="3">
        <f t="shared" si="16"/>
        <v>2760.5</v>
      </c>
      <c r="T197" s="24" t="s">
        <v>1334</v>
      </c>
      <c r="U197" s="24" t="s">
        <v>1334</v>
      </c>
      <c r="V197" s="3"/>
      <c r="W197" s="25" t="str">
        <f>IFERROR(VLOOKUP(Caja_Arequipa[[#This Row],[destinatario]],CHOOSE({1,2},Clientes_Proveedores[Razon Social],Clientes_Proveedores[Ruc / Dni]),2,0),"")</f>
        <v/>
      </c>
      <c r="X197" s="3" t="s">
        <v>5601</v>
      </c>
      <c r="Y197" s="3"/>
      <c r="Z197" s="3"/>
      <c r="AA197" s="3"/>
      <c r="AB197" s="3" t="str">
        <f>IF(Caja_Arequipa[[#This Row],[fecha]]&gt;0,TEXT(Caja_Arequipa[[#This Row],[fecha]],"mmmm"),0)</f>
        <v>Marzo</v>
      </c>
    </row>
    <row r="198" spans="1:28" x14ac:dyDescent="0.3">
      <c r="A198" s="2">
        <f>IF(Caja_Arequipa[[#This Row],[tipo_r]]="R",COUNTIFS($C$1:$C197,"R")+1,A197)</f>
        <v>189</v>
      </c>
      <c r="B198" s="19" t="str">
        <f t="shared" si="12"/>
        <v>C-Tesoreria</v>
      </c>
      <c r="C198" s="3" t="s">
        <v>1330</v>
      </c>
      <c r="D198" s="14">
        <v>45729</v>
      </c>
      <c r="E198" s="5" t="s">
        <v>1338</v>
      </c>
      <c r="F198" s="5" t="s">
        <v>1336</v>
      </c>
      <c r="G198" s="3" t="s">
        <v>5450</v>
      </c>
      <c r="H198" s="6"/>
      <c r="I198" s="6" t="s">
        <v>111</v>
      </c>
      <c r="J198" s="6">
        <v>3</v>
      </c>
      <c r="K198" s="6">
        <v>66</v>
      </c>
      <c r="L198" s="7" t="s">
        <v>5602</v>
      </c>
      <c r="M198" s="8" t="str">
        <f>IF(Caja_Arequipa[[#This Row],[tipo_r]]="R","001-"&amp;12002+A198,M197)</f>
        <v>001-12191</v>
      </c>
      <c r="N198" s="8" t="str">
        <f t="shared" si="15"/>
        <v>PEN</v>
      </c>
      <c r="O198" s="13"/>
      <c r="P198" s="13">
        <v>20</v>
      </c>
      <c r="Q198" s="3">
        <f t="shared" si="13"/>
        <v>0</v>
      </c>
      <c r="R198" s="3">
        <f t="shared" si="14"/>
        <v>20</v>
      </c>
      <c r="S198" s="3">
        <f t="shared" si="16"/>
        <v>2740.5</v>
      </c>
      <c r="T198" s="24" t="s">
        <v>1334</v>
      </c>
      <c r="U198" s="24" t="s">
        <v>1334</v>
      </c>
      <c r="V198" s="3"/>
      <c r="W198" s="25" t="str">
        <f>IFERROR(VLOOKUP(Caja_Arequipa[[#This Row],[destinatario]],CHOOSE({1,2},Clientes_Proveedores[Razon Social],Clientes_Proveedores[Ruc / Dni]),2,0),"")</f>
        <v/>
      </c>
      <c r="X198" s="3" t="s">
        <v>5603</v>
      </c>
      <c r="Y198" s="3"/>
      <c r="Z198" s="3"/>
      <c r="AA198" s="3"/>
      <c r="AB198" s="3" t="str">
        <f>IF(Caja_Arequipa[[#This Row],[fecha]]&gt;0,TEXT(Caja_Arequipa[[#This Row],[fecha]],"mmmm"),0)</f>
        <v>Marzo</v>
      </c>
    </row>
    <row r="199" spans="1:28" x14ac:dyDescent="0.3">
      <c r="A199" s="2">
        <f>IF(Caja_Arequipa[[#This Row],[tipo_r]]="R",COUNTIFS($C$1:$C198,"R")+1,A198)</f>
        <v>190</v>
      </c>
      <c r="B199" s="19" t="str">
        <f t="shared" si="12"/>
        <v>C-Tesoreria</v>
      </c>
      <c r="C199" s="3" t="s">
        <v>1330</v>
      </c>
      <c r="D199" s="14">
        <v>45730</v>
      </c>
      <c r="E199" s="5" t="s">
        <v>1416</v>
      </c>
      <c r="F199" s="5" t="s">
        <v>1336</v>
      </c>
      <c r="G199" s="3" t="s">
        <v>3308</v>
      </c>
      <c r="H199" s="6"/>
      <c r="I199" s="6" t="s">
        <v>111</v>
      </c>
      <c r="J199" s="6">
        <v>3</v>
      </c>
      <c r="K199" s="6">
        <v>69</v>
      </c>
      <c r="L199" s="7" t="s">
        <v>5602</v>
      </c>
      <c r="M199" s="8" t="str">
        <f>IF(Caja_Arequipa[[#This Row],[tipo_r]]="R","001-"&amp;12002+A199,M198)</f>
        <v>001-12192</v>
      </c>
      <c r="N199" s="8" t="str">
        <f t="shared" si="15"/>
        <v>PEN</v>
      </c>
      <c r="O199" s="13"/>
      <c r="P199" s="13">
        <v>2</v>
      </c>
      <c r="Q199" s="3">
        <f t="shared" si="13"/>
        <v>0</v>
      </c>
      <c r="R199" s="3">
        <f t="shared" si="14"/>
        <v>2</v>
      </c>
      <c r="S199" s="3">
        <f t="shared" si="16"/>
        <v>2738.5</v>
      </c>
      <c r="T199" s="24" t="s">
        <v>1334</v>
      </c>
      <c r="U199" s="24" t="s">
        <v>1334</v>
      </c>
      <c r="V199" s="3"/>
      <c r="W199" s="25" t="str">
        <f>IFERROR(VLOOKUP(Caja_Arequipa[[#This Row],[destinatario]],CHOOSE({1,2},Clientes_Proveedores[Razon Social],Clientes_Proveedores[Ruc / Dni]),2,0),"")</f>
        <v/>
      </c>
      <c r="X199" s="3" t="s">
        <v>5604</v>
      </c>
      <c r="Y199" s="3"/>
      <c r="Z199" s="3"/>
      <c r="AA199" s="3"/>
      <c r="AB199" s="3" t="str">
        <f>IF(Caja_Arequipa[[#This Row],[fecha]]&gt;0,TEXT(Caja_Arequipa[[#This Row],[fecha]],"mmmm"),0)</f>
        <v>Marzo</v>
      </c>
    </row>
    <row r="200" spans="1:28" x14ac:dyDescent="0.3">
      <c r="A200" s="2">
        <f>IF(Caja_Arequipa[[#This Row],[tipo_r]]="R",COUNTIFS($C$1:$C199,"R")+1,A199)</f>
        <v>191</v>
      </c>
      <c r="B200" s="19" t="str">
        <f t="shared" si="12"/>
        <v>C-Tesoreria</v>
      </c>
      <c r="C200" s="3" t="s">
        <v>1330</v>
      </c>
      <c r="D200" s="14">
        <v>45730</v>
      </c>
      <c r="E200" s="5" t="s">
        <v>1416</v>
      </c>
      <c r="F200" s="5" t="s">
        <v>1336</v>
      </c>
      <c r="G200" s="3" t="s">
        <v>5380</v>
      </c>
      <c r="H200" s="6"/>
      <c r="I200" s="6"/>
      <c r="J200" s="6"/>
      <c r="K200" s="6"/>
      <c r="L200" s="7" t="s">
        <v>5605</v>
      </c>
      <c r="M200" s="8" t="str">
        <f>IF(Caja_Arequipa[[#This Row],[tipo_r]]="R","001-"&amp;12002+A200,M199)</f>
        <v>001-12193</v>
      </c>
      <c r="N200" s="8" t="str">
        <f t="shared" si="15"/>
        <v>PEN</v>
      </c>
      <c r="O200" s="13"/>
      <c r="P200" s="13">
        <v>70</v>
      </c>
      <c r="Q200" s="3">
        <f t="shared" si="13"/>
        <v>0</v>
      </c>
      <c r="R200" s="3">
        <f t="shared" si="14"/>
        <v>70</v>
      </c>
      <c r="S200" s="3">
        <f t="shared" si="16"/>
        <v>2668.5</v>
      </c>
      <c r="T200" s="24" t="s">
        <v>1334</v>
      </c>
      <c r="U200" s="24" t="s">
        <v>1334</v>
      </c>
      <c r="V200" s="3"/>
      <c r="W200" s="25" t="str">
        <f>IFERROR(VLOOKUP(Caja_Arequipa[[#This Row],[destinatario]],CHOOSE({1,2},Clientes_Proveedores[Razon Social],Clientes_Proveedores[Ruc / Dni]),2,0),"")</f>
        <v/>
      </c>
      <c r="X200" s="3" t="s">
        <v>5606</v>
      </c>
      <c r="Y200" s="3"/>
      <c r="Z200" s="3"/>
      <c r="AA200" s="3"/>
      <c r="AB200" s="3" t="str">
        <f>IF(Caja_Arequipa[[#This Row],[fecha]]&gt;0,TEXT(Caja_Arequipa[[#This Row],[fecha]],"mmmm"),0)</f>
        <v>Marzo</v>
      </c>
    </row>
    <row r="201" spans="1:28" x14ac:dyDescent="0.3">
      <c r="A201" s="2">
        <f>IF(Caja_Arequipa[[#This Row],[tipo_r]]="R",COUNTIFS($C$1:$C200,"R")+1,A200)</f>
        <v>192</v>
      </c>
      <c r="B201" s="19" t="str">
        <f t="shared" si="12"/>
        <v>C-Tesoreria</v>
      </c>
      <c r="C201" s="3" t="s">
        <v>1330</v>
      </c>
      <c r="D201" s="14">
        <v>45730</v>
      </c>
      <c r="E201" s="5" t="s">
        <v>1416</v>
      </c>
      <c r="F201" s="5" t="s">
        <v>1336</v>
      </c>
      <c r="G201" s="3" t="s">
        <v>5299</v>
      </c>
      <c r="H201" s="6"/>
      <c r="I201" s="6" t="s">
        <v>111</v>
      </c>
      <c r="J201" s="6">
        <v>3</v>
      </c>
      <c r="K201" s="6">
        <v>68</v>
      </c>
      <c r="L201" s="7" t="s">
        <v>5607</v>
      </c>
      <c r="M201" s="8" t="str">
        <f>IF(Caja_Arequipa[[#This Row],[tipo_r]]="R","001-"&amp;12002+A201,M200)</f>
        <v>001-12194</v>
      </c>
      <c r="N201" s="8" t="str">
        <f t="shared" si="15"/>
        <v>PEN</v>
      </c>
      <c r="O201" s="13"/>
      <c r="P201" s="13">
        <v>8</v>
      </c>
      <c r="Q201" s="3">
        <f t="shared" si="13"/>
        <v>0</v>
      </c>
      <c r="R201" s="3">
        <f t="shared" si="14"/>
        <v>8</v>
      </c>
      <c r="S201" s="3">
        <f t="shared" si="16"/>
        <v>2660.5</v>
      </c>
      <c r="T201" s="24" t="s">
        <v>1334</v>
      </c>
      <c r="U201" s="24" t="s">
        <v>1334</v>
      </c>
      <c r="V201" s="3"/>
      <c r="W201" s="25" t="str">
        <f>IFERROR(VLOOKUP(Caja_Arequipa[[#This Row],[destinatario]],CHOOSE({1,2},Clientes_Proveedores[Razon Social],Clientes_Proveedores[Ruc / Dni]),2,0),"")</f>
        <v/>
      </c>
      <c r="X201" s="3" t="s">
        <v>5608</v>
      </c>
      <c r="Y201" s="3"/>
      <c r="Z201" s="3"/>
      <c r="AA201" s="3"/>
      <c r="AB201" s="3" t="str">
        <f>IF(Caja_Arequipa[[#This Row],[fecha]]&gt;0,TEXT(Caja_Arequipa[[#This Row],[fecha]],"mmmm"),0)</f>
        <v>Marzo</v>
      </c>
    </row>
    <row r="202" spans="1:28" ht="24" x14ac:dyDescent="0.3">
      <c r="A202" s="2">
        <f>IF(Caja_Arequipa[[#This Row],[tipo_r]]="R",COUNTIFS($C$1:$C201,"R")+1,A201)</f>
        <v>193</v>
      </c>
      <c r="B202" s="19" t="str">
        <f t="shared" ref="B202:B271" si="17">"C-Tesoreria"</f>
        <v>C-Tesoreria</v>
      </c>
      <c r="C202" s="3" t="s">
        <v>1330</v>
      </c>
      <c r="D202" s="14">
        <v>45730</v>
      </c>
      <c r="E202" s="5" t="s">
        <v>1416</v>
      </c>
      <c r="F202" s="5" t="s">
        <v>1336</v>
      </c>
      <c r="G202" s="3" t="s">
        <v>5299</v>
      </c>
      <c r="H202" s="6"/>
      <c r="I202" s="6"/>
      <c r="J202" s="6"/>
      <c r="K202" s="6"/>
      <c r="L202" s="7" t="s">
        <v>5609</v>
      </c>
      <c r="M202" s="8" t="str">
        <f>IF(Caja_Arequipa[[#This Row],[tipo_r]]="R","001-"&amp;12002+A202,M201)</f>
        <v>001-12195</v>
      </c>
      <c r="N202" s="8" t="str">
        <f t="shared" si="15"/>
        <v>PEN</v>
      </c>
      <c r="O202" s="13"/>
      <c r="P202" s="13">
        <v>20</v>
      </c>
      <c r="Q202" s="3">
        <f t="shared" ref="Q202:Q271" si="18">+IF(OR($F202="SALDO",$F202="INGRESO"),$P202,0)</f>
        <v>0</v>
      </c>
      <c r="R202" s="3">
        <f t="shared" ref="R202:R271" si="19">+IF($F202="EGRESO",$P202,0)</f>
        <v>20</v>
      </c>
      <c r="S202" s="3">
        <f t="shared" si="16"/>
        <v>2640.5</v>
      </c>
      <c r="T202" s="24" t="s">
        <v>1334</v>
      </c>
      <c r="U202" s="24" t="s">
        <v>1334</v>
      </c>
      <c r="V202" s="3"/>
      <c r="W202" s="25" t="str">
        <f>IFERROR(VLOOKUP(Caja_Arequipa[[#This Row],[destinatario]],CHOOSE({1,2},Clientes_Proveedores[Razon Social],Clientes_Proveedores[Ruc / Dni]),2,0),"")</f>
        <v/>
      </c>
      <c r="X202" s="3" t="s">
        <v>5610</v>
      </c>
      <c r="Y202" s="3"/>
      <c r="Z202" s="3"/>
      <c r="AA202" s="3"/>
      <c r="AB202" s="3" t="str">
        <f>IF(Caja_Arequipa[[#This Row],[fecha]]&gt;0,TEXT(Caja_Arequipa[[#This Row],[fecha]],"mmmm"),0)</f>
        <v>Marzo</v>
      </c>
    </row>
    <row r="203" spans="1:28" x14ac:dyDescent="0.3">
      <c r="A203" s="2">
        <f>IF(Caja_Arequipa[[#This Row],[tipo_r]]="R",COUNTIFS($C$1:$C202,"R")+1,A202)</f>
        <v>194</v>
      </c>
      <c r="B203" s="19" t="str">
        <f t="shared" si="17"/>
        <v>C-Tesoreria</v>
      </c>
      <c r="C203" s="3" t="s">
        <v>1330</v>
      </c>
      <c r="D203" s="14">
        <v>45730</v>
      </c>
      <c r="E203" s="5" t="s">
        <v>1416</v>
      </c>
      <c r="F203" s="5" t="s">
        <v>1336</v>
      </c>
      <c r="G203" s="3" t="s">
        <v>5299</v>
      </c>
      <c r="H203" s="6"/>
      <c r="I203" s="6"/>
      <c r="J203" s="6"/>
      <c r="K203" s="6"/>
      <c r="L203" s="7" t="s">
        <v>5611</v>
      </c>
      <c r="M203" s="8" t="str">
        <f>IF(Caja_Arequipa[[#This Row],[tipo_r]]="R","001-"&amp;12002+A203,M202)</f>
        <v>001-12196</v>
      </c>
      <c r="N203" s="8" t="str">
        <f t="shared" ref="N203:N272" si="20">"PEN"</f>
        <v>PEN</v>
      </c>
      <c r="O203" s="13"/>
      <c r="P203" s="13">
        <v>20</v>
      </c>
      <c r="Q203" s="3">
        <f t="shared" si="18"/>
        <v>0</v>
      </c>
      <c r="R203" s="3">
        <f t="shared" si="19"/>
        <v>20</v>
      </c>
      <c r="S203" s="3">
        <f t="shared" si="16"/>
        <v>2620.5</v>
      </c>
      <c r="T203" s="24" t="s">
        <v>1334</v>
      </c>
      <c r="U203" s="24" t="s">
        <v>1334</v>
      </c>
      <c r="V203" s="3"/>
      <c r="W203" s="25" t="str">
        <f>IFERROR(VLOOKUP(Caja_Arequipa[[#This Row],[destinatario]],CHOOSE({1,2},Clientes_Proveedores[Razon Social],Clientes_Proveedores[Ruc / Dni]),2,0),"")</f>
        <v/>
      </c>
      <c r="X203" s="3" t="s">
        <v>5612</v>
      </c>
      <c r="Y203" s="3"/>
      <c r="Z203" s="3"/>
      <c r="AA203" s="3"/>
      <c r="AB203" s="3" t="str">
        <f>IF(Caja_Arequipa[[#This Row],[fecha]]&gt;0,TEXT(Caja_Arequipa[[#This Row],[fecha]],"mmmm"),0)</f>
        <v>Marzo</v>
      </c>
    </row>
    <row r="204" spans="1:28" x14ac:dyDescent="0.3">
      <c r="A204" s="2">
        <f>IF(Caja_Arequipa[[#This Row],[tipo_r]]="R",COUNTIFS($C$1:$C203,"R")+1,A203)</f>
        <v>195</v>
      </c>
      <c r="B204" s="19" t="str">
        <f t="shared" si="17"/>
        <v>C-Tesoreria</v>
      </c>
      <c r="C204" s="3" t="s">
        <v>1330</v>
      </c>
      <c r="D204" s="14">
        <v>45730</v>
      </c>
      <c r="E204" s="5" t="s">
        <v>1416</v>
      </c>
      <c r="F204" s="5" t="s">
        <v>1336</v>
      </c>
      <c r="G204" s="3" t="s">
        <v>5299</v>
      </c>
      <c r="H204" s="6"/>
      <c r="I204" s="6"/>
      <c r="J204" s="6"/>
      <c r="K204" s="6"/>
      <c r="L204" s="7" t="s">
        <v>5613</v>
      </c>
      <c r="M204" s="8" t="str">
        <f>IF(Caja_Arequipa[[#This Row],[tipo_r]]="R","001-"&amp;12002+A204,M203)</f>
        <v>001-12197</v>
      </c>
      <c r="N204" s="8" t="str">
        <f t="shared" si="20"/>
        <v>PEN</v>
      </c>
      <c r="O204" s="13"/>
      <c r="P204" s="13">
        <v>3</v>
      </c>
      <c r="Q204" s="3">
        <f t="shared" si="18"/>
        <v>0</v>
      </c>
      <c r="R204" s="3">
        <f t="shared" si="19"/>
        <v>3</v>
      </c>
      <c r="S204" s="3">
        <f t="shared" si="16"/>
        <v>2617.5</v>
      </c>
      <c r="T204" s="24" t="s">
        <v>1334</v>
      </c>
      <c r="U204" s="24" t="s">
        <v>1334</v>
      </c>
      <c r="V204" s="3"/>
      <c r="W204" s="25" t="str">
        <f>IFERROR(VLOOKUP(Caja_Arequipa[[#This Row],[destinatario]],CHOOSE({1,2},Clientes_Proveedores[Razon Social],Clientes_Proveedores[Ruc / Dni]),2,0),"")</f>
        <v/>
      </c>
      <c r="X204" s="3" t="s">
        <v>5614</v>
      </c>
      <c r="Y204" s="3"/>
      <c r="Z204" s="3"/>
      <c r="AA204" s="3"/>
      <c r="AB204" s="3" t="str">
        <f>IF(Caja_Arequipa[[#This Row],[fecha]]&gt;0,TEXT(Caja_Arequipa[[#This Row],[fecha]],"mmmm"),0)</f>
        <v>Marzo</v>
      </c>
    </row>
    <row r="205" spans="1:28" ht="24" x14ac:dyDescent="0.3">
      <c r="A205" s="2">
        <f>IF(Caja_Arequipa[[#This Row],[tipo_r]]="R",COUNTIFS($C$1:$C204,"R")+1,A204)</f>
        <v>196</v>
      </c>
      <c r="B205" s="19" t="str">
        <f t="shared" si="17"/>
        <v>C-Tesoreria</v>
      </c>
      <c r="C205" s="3" t="s">
        <v>1330</v>
      </c>
      <c r="D205" s="14">
        <v>45730</v>
      </c>
      <c r="E205" s="5" t="s">
        <v>1416</v>
      </c>
      <c r="F205" s="5" t="s">
        <v>1336</v>
      </c>
      <c r="G205" s="3" t="s">
        <v>5299</v>
      </c>
      <c r="H205" s="6"/>
      <c r="I205" s="6"/>
      <c r="J205" s="6"/>
      <c r="K205" s="6"/>
      <c r="L205" s="7" t="s">
        <v>5615</v>
      </c>
      <c r="M205" s="8" t="str">
        <f>IF(Caja_Arequipa[[#This Row],[tipo_r]]="R","001-"&amp;12002+A205,M204)</f>
        <v>001-12198</v>
      </c>
      <c r="N205" s="8" t="str">
        <f t="shared" si="20"/>
        <v>PEN</v>
      </c>
      <c r="O205" s="13"/>
      <c r="P205" s="13">
        <v>20</v>
      </c>
      <c r="Q205" s="3">
        <f t="shared" si="18"/>
        <v>0</v>
      </c>
      <c r="R205" s="3">
        <f t="shared" si="19"/>
        <v>20</v>
      </c>
      <c r="S205" s="3">
        <f t="shared" si="16"/>
        <v>2597.5</v>
      </c>
      <c r="T205" s="24" t="s">
        <v>1334</v>
      </c>
      <c r="U205" s="24" t="s">
        <v>1334</v>
      </c>
      <c r="V205" s="3"/>
      <c r="W205" s="25" t="str">
        <f>IFERROR(VLOOKUP(Caja_Arequipa[[#This Row],[destinatario]],CHOOSE({1,2},Clientes_Proveedores[Razon Social],Clientes_Proveedores[Ruc / Dni]),2,0),"")</f>
        <v/>
      </c>
      <c r="X205" s="3" t="s">
        <v>5616</v>
      </c>
      <c r="Y205" s="3"/>
      <c r="Z205" s="3"/>
      <c r="AA205" s="3"/>
      <c r="AB205" s="3" t="str">
        <f>IF(Caja_Arequipa[[#This Row],[fecha]]&gt;0,TEXT(Caja_Arequipa[[#This Row],[fecha]],"mmmm"),0)</f>
        <v>Marzo</v>
      </c>
    </row>
    <row r="206" spans="1:28" ht="24" x14ac:dyDescent="0.3">
      <c r="A206" s="2">
        <f>IF(Caja_Arequipa[[#This Row],[tipo_r]]="R",COUNTIFS($C$1:$C205,"R")+1,A205)</f>
        <v>197</v>
      </c>
      <c r="B206" s="19" t="str">
        <f t="shared" si="17"/>
        <v>C-Tesoreria</v>
      </c>
      <c r="C206" s="3" t="s">
        <v>1330</v>
      </c>
      <c r="D206" s="14">
        <v>45730</v>
      </c>
      <c r="E206" s="5" t="s">
        <v>1416</v>
      </c>
      <c r="F206" s="5" t="s">
        <v>1336</v>
      </c>
      <c r="G206" s="3" t="s">
        <v>5299</v>
      </c>
      <c r="H206" s="6"/>
      <c r="I206" s="6"/>
      <c r="J206" s="6"/>
      <c r="K206" s="6"/>
      <c r="L206" s="7" t="s">
        <v>5615</v>
      </c>
      <c r="M206" s="8" t="str">
        <f>IF(Caja_Arequipa[[#This Row],[tipo_r]]="R","001-"&amp;12002+A206,M205)</f>
        <v>001-12199</v>
      </c>
      <c r="N206" s="8" t="str">
        <f t="shared" si="20"/>
        <v>PEN</v>
      </c>
      <c r="O206" s="13"/>
      <c r="P206" s="13">
        <v>10</v>
      </c>
      <c r="Q206" s="3">
        <f t="shared" si="18"/>
        <v>0</v>
      </c>
      <c r="R206" s="3">
        <f t="shared" si="19"/>
        <v>10</v>
      </c>
      <c r="S206" s="3">
        <f t="shared" si="16"/>
        <v>2587.5</v>
      </c>
      <c r="T206" s="24" t="s">
        <v>1334</v>
      </c>
      <c r="U206" s="24" t="s">
        <v>1334</v>
      </c>
      <c r="V206" s="3"/>
      <c r="W206" s="25" t="str">
        <f>IFERROR(VLOOKUP(Caja_Arequipa[[#This Row],[destinatario]],CHOOSE({1,2},Clientes_Proveedores[Razon Social],Clientes_Proveedores[Ruc / Dni]),2,0),"")</f>
        <v/>
      </c>
      <c r="X206" s="3" t="s">
        <v>5617</v>
      </c>
      <c r="Y206" s="3"/>
      <c r="Z206" s="3"/>
      <c r="AA206" s="3"/>
      <c r="AB206" s="3" t="str">
        <f>IF(Caja_Arequipa[[#This Row],[fecha]]&gt;0,TEXT(Caja_Arequipa[[#This Row],[fecha]],"mmmm"),0)</f>
        <v>Marzo</v>
      </c>
    </row>
    <row r="207" spans="1:28" ht="24" x14ac:dyDescent="0.3">
      <c r="A207" s="2">
        <f>IF(Caja_Arequipa[[#This Row],[tipo_r]]="R",COUNTIFS($C$1:$C206,"R")+1,A206)</f>
        <v>198</v>
      </c>
      <c r="B207" s="19" t="str">
        <f t="shared" si="17"/>
        <v>C-Tesoreria</v>
      </c>
      <c r="C207" s="3" t="s">
        <v>1330</v>
      </c>
      <c r="D207" s="14">
        <v>45730</v>
      </c>
      <c r="E207" s="5" t="s">
        <v>1416</v>
      </c>
      <c r="F207" s="5" t="s">
        <v>1336</v>
      </c>
      <c r="G207" s="3" t="s">
        <v>5299</v>
      </c>
      <c r="H207" s="6"/>
      <c r="I207" s="6"/>
      <c r="J207" s="6"/>
      <c r="K207" s="6"/>
      <c r="L207" s="7" t="s">
        <v>5615</v>
      </c>
      <c r="M207" s="8" t="str">
        <f>IF(Caja_Arequipa[[#This Row],[tipo_r]]="R","001-"&amp;12002+A207,M206)</f>
        <v>001-12200</v>
      </c>
      <c r="N207" s="8" t="str">
        <f t="shared" si="20"/>
        <v>PEN</v>
      </c>
      <c r="O207" s="13"/>
      <c r="P207" s="13">
        <v>10</v>
      </c>
      <c r="Q207" s="3">
        <f t="shared" si="18"/>
        <v>0</v>
      </c>
      <c r="R207" s="3">
        <f t="shared" si="19"/>
        <v>10</v>
      </c>
      <c r="S207" s="3">
        <f t="shared" si="16"/>
        <v>2577.5</v>
      </c>
      <c r="T207" s="24" t="s">
        <v>1334</v>
      </c>
      <c r="U207" s="24" t="s">
        <v>1334</v>
      </c>
      <c r="V207" s="3"/>
      <c r="W207" s="25" t="str">
        <f>IFERROR(VLOOKUP(Caja_Arequipa[[#This Row],[destinatario]],CHOOSE({1,2},Clientes_Proveedores[Razon Social],Clientes_Proveedores[Ruc / Dni]),2,0),"")</f>
        <v/>
      </c>
      <c r="X207" s="3" t="s">
        <v>5618</v>
      </c>
      <c r="Y207" s="3"/>
      <c r="Z207" s="3"/>
      <c r="AA207" s="3"/>
      <c r="AB207" s="3" t="str">
        <f>IF(Caja_Arequipa[[#This Row],[fecha]]&gt;0,TEXT(Caja_Arequipa[[#This Row],[fecha]],"mmmm"),0)</f>
        <v>Marzo</v>
      </c>
    </row>
    <row r="208" spans="1:28" ht="24" x14ac:dyDescent="0.3">
      <c r="A208" s="2">
        <f>IF(Caja_Arequipa[[#This Row],[tipo_r]]="R",COUNTIFS($C$1:$C207,"R")+1,A207)</f>
        <v>199</v>
      </c>
      <c r="B208" s="19" t="str">
        <f t="shared" si="17"/>
        <v>C-Tesoreria</v>
      </c>
      <c r="C208" s="3" t="s">
        <v>1330</v>
      </c>
      <c r="D208" s="14">
        <v>45730</v>
      </c>
      <c r="E208" s="5" t="s">
        <v>1416</v>
      </c>
      <c r="F208" s="5" t="s">
        <v>1303</v>
      </c>
      <c r="G208" s="3" t="s">
        <v>5248</v>
      </c>
      <c r="H208" s="6"/>
      <c r="I208" s="6"/>
      <c r="J208" s="6"/>
      <c r="K208" s="6"/>
      <c r="L208" s="7" t="s">
        <v>5619</v>
      </c>
      <c r="M208" s="8" t="str">
        <f>IF(Caja_Arequipa[[#This Row],[tipo_r]]="R","001-"&amp;12002+A208,M207)</f>
        <v>001-12201</v>
      </c>
      <c r="N208" s="8" t="str">
        <f t="shared" si="20"/>
        <v>PEN</v>
      </c>
      <c r="O208" s="13"/>
      <c r="P208" s="13">
        <v>42</v>
      </c>
      <c r="Q208" s="3">
        <f t="shared" si="18"/>
        <v>42</v>
      </c>
      <c r="R208" s="3">
        <f t="shared" si="19"/>
        <v>0</v>
      </c>
      <c r="S208" s="3">
        <f t="shared" si="16"/>
        <v>2619.5</v>
      </c>
      <c r="T208" s="24" t="s">
        <v>5504</v>
      </c>
      <c r="U208" s="24"/>
      <c r="V208" s="3"/>
      <c r="W208" s="25" t="str">
        <f>IFERROR(VLOOKUP(Caja_Arequipa[[#This Row],[destinatario]],CHOOSE({1,2},Clientes_Proveedores[Razon Social],Clientes_Proveedores[Ruc / Dni]),2,0),"")</f>
        <v/>
      </c>
      <c r="X208" s="3" t="s">
        <v>5599</v>
      </c>
      <c r="Y208" s="3"/>
      <c r="Z208" s="3"/>
      <c r="AA208" s="3"/>
      <c r="AB208" s="3" t="str">
        <f>IF(Caja_Arequipa[[#This Row],[fecha]]&gt;0,TEXT(Caja_Arequipa[[#This Row],[fecha]],"mmmm"),0)</f>
        <v>Marzo</v>
      </c>
    </row>
    <row r="209" spans="1:28" ht="24" x14ac:dyDescent="0.3">
      <c r="A209" s="2">
        <f>IF(Caja_Arequipa[[#This Row],[tipo_r]]="R",COUNTIFS($C$1:$C208,"R")+1,A208)</f>
        <v>200</v>
      </c>
      <c r="B209" s="19" t="str">
        <f t="shared" si="17"/>
        <v>C-Tesoreria</v>
      </c>
      <c r="C209" s="3" t="s">
        <v>1330</v>
      </c>
      <c r="D209" s="14">
        <v>45730</v>
      </c>
      <c r="E209" s="5" t="s">
        <v>1416</v>
      </c>
      <c r="F209" s="5" t="s">
        <v>1303</v>
      </c>
      <c r="G209" s="3" t="s">
        <v>5299</v>
      </c>
      <c r="H209" s="6"/>
      <c r="I209" s="6"/>
      <c r="J209" s="6"/>
      <c r="K209" s="6"/>
      <c r="L209" s="7" t="s">
        <v>5620</v>
      </c>
      <c r="M209" s="8" t="str">
        <f>IF(Caja_Arequipa[[#This Row],[tipo_r]]="R","001-"&amp;12002+A209,M208)</f>
        <v>001-12202</v>
      </c>
      <c r="N209" s="8" t="str">
        <f t="shared" si="20"/>
        <v>PEN</v>
      </c>
      <c r="O209" s="13"/>
      <c r="P209" s="13">
        <v>120</v>
      </c>
      <c r="Q209" s="3">
        <f t="shared" si="18"/>
        <v>120</v>
      </c>
      <c r="R209" s="3">
        <f t="shared" si="19"/>
        <v>0</v>
      </c>
      <c r="S209" s="3">
        <f t="shared" si="16"/>
        <v>2739.5</v>
      </c>
      <c r="T209" s="24" t="s">
        <v>5504</v>
      </c>
      <c r="U209" s="24"/>
      <c r="V209" s="3"/>
      <c r="W209" s="25" t="str">
        <f>IFERROR(VLOOKUP(Caja_Arequipa[[#This Row],[destinatario]],CHOOSE({1,2},Clientes_Proveedores[Razon Social],Clientes_Proveedores[Ruc / Dni]),2,0),"")</f>
        <v/>
      </c>
      <c r="X209" s="3" t="s">
        <v>5505</v>
      </c>
      <c r="Y209" s="3"/>
      <c r="Z209" s="3"/>
      <c r="AA209" s="3"/>
      <c r="AB209" s="3" t="str">
        <f>IF(Caja_Arequipa[[#This Row],[fecha]]&gt;0,TEXT(Caja_Arequipa[[#This Row],[fecha]],"mmmm"),0)</f>
        <v>Marzo</v>
      </c>
    </row>
    <row r="210" spans="1:28" ht="24" x14ac:dyDescent="0.3">
      <c r="A210" s="2">
        <f>IF(Caja_Arequipa[[#This Row],[tipo_r]]="R",COUNTIFS($C$1:$C209,"R")+1,A209)</f>
        <v>201</v>
      </c>
      <c r="B210" s="19" t="str">
        <f t="shared" si="17"/>
        <v>C-Tesoreria</v>
      </c>
      <c r="C210" s="3" t="s">
        <v>1330</v>
      </c>
      <c r="D210" s="14">
        <v>45733</v>
      </c>
      <c r="E210" s="5" t="s">
        <v>1416</v>
      </c>
      <c r="F210" s="5" t="s">
        <v>1336</v>
      </c>
      <c r="G210" s="3" t="s">
        <v>5303</v>
      </c>
      <c r="H210" s="6"/>
      <c r="I210" s="6"/>
      <c r="J210" s="6"/>
      <c r="K210" s="6"/>
      <c r="L210" s="7" t="s">
        <v>5621</v>
      </c>
      <c r="M210" s="8" t="str">
        <f>IF(Caja_Arequipa[[#This Row],[tipo_r]]="R","001-"&amp;12002+A210,M209)</f>
        <v>001-12203</v>
      </c>
      <c r="N210" s="8" t="str">
        <f t="shared" si="20"/>
        <v>PEN</v>
      </c>
      <c r="O210" s="13"/>
      <c r="P210" s="13">
        <v>26.9</v>
      </c>
      <c r="Q210" s="3">
        <f t="shared" si="18"/>
        <v>0</v>
      </c>
      <c r="R210" s="3">
        <f t="shared" si="19"/>
        <v>26.9</v>
      </c>
      <c r="S210" s="3">
        <f t="shared" si="16"/>
        <v>2712.6</v>
      </c>
      <c r="T210" s="24" t="s">
        <v>1334</v>
      </c>
      <c r="U210" s="24" t="s">
        <v>1334</v>
      </c>
      <c r="V210" s="3"/>
      <c r="W210" s="25" t="str">
        <f>IFERROR(VLOOKUP(Caja_Arequipa[[#This Row],[destinatario]],CHOOSE({1,2},Clientes_Proveedores[Razon Social],Clientes_Proveedores[Ruc / Dni]),2,0),"")</f>
        <v/>
      </c>
      <c r="X210" s="3" t="s">
        <v>5622</v>
      </c>
      <c r="Y210" s="3"/>
      <c r="Z210" s="3"/>
      <c r="AA210" s="3"/>
      <c r="AB210" s="3" t="str">
        <f>IF(Caja_Arequipa[[#This Row],[fecha]]&gt;0,TEXT(Caja_Arequipa[[#This Row],[fecha]],"mmmm"),0)</f>
        <v>Marzo</v>
      </c>
    </row>
    <row r="211" spans="1:28" x14ac:dyDescent="0.3">
      <c r="A211" s="2">
        <f>IF(Caja_Arequipa[[#This Row],[tipo_r]]="R",COUNTIFS($C$1:$C210,"R")+1,A210)</f>
        <v>202</v>
      </c>
      <c r="B211" s="19" t="str">
        <f t="shared" si="17"/>
        <v>C-Tesoreria</v>
      </c>
      <c r="C211" s="3" t="s">
        <v>1330</v>
      </c>
      <c r="D211" s="14">
        <v>45733</v>
      </c>
      <c r="E211" s="5" t="s">
        <v>1416</v>
      </c>
      <c r="F211" s="5" t="s">
        <v>1336</v>
      </c>
      <c r="G211" s="3" t="s">
        <v>5303</v>
      </c>
      <c r="H211" s="6"/>
      <c r="I211" s="6"/>
      <c r="J211" s="6"/>
      <c r="K211" s="6"/>
      <c r="L211" s="7" t="s">
        <v>5623</v>
      </c>
      <c r="M211" s="8" t="str">
        <f>IF(Caja_Arequipa[[#This Row],[tipo_r]]="R","001-"&amp;12002+A211,M210)</f>
        <v>001-12204</v>
      </c>
      <c r="N211" s="8" t="str">
        <f t="shared" si="20"/>
        <v>PEN</v>
      </c>
      <c r="O211" s="13"/>
      <c r="P211" s="13">
        <v>24</v>
      </c>
      <c r="Q211" s="3">
        <f t="shared" si="18"/>
        <v>0</v>
      </c>
      <c r="R211" s="3">
        <f t="shared" si="19"/>
        <v>24</v>
      </c>
      <c r="S211" s="3">
        <f t="shared" si="16"/>
        <v>2688.6</v>
      </c>
      <c r="T211" s="24" t="s">
        <v>1334</v>
      </c>
      <c r="U211" s="24" t="s">
        <v>1334</v>
      </c>
      <c r="V211" s="3"/>
      <c r="W211" s="25" t="str">
        <f>IFERROR(VLOOKUP(Caja_Arequipa[[#This Row],[destinatario]],CHOOSE({1,2},Clientes_Proveedores[Razon Social],Clientes_Proveedores[Ruc / Dni]),2,0),"")</f>
        <v/>
      </c>
      <c r="X211" s="3" t="s">
        <v>5624</v>
      </c>
      <c r="Y211" s="3"/>
      <c r="Z211" s="3"/>
      <c r="AA211" s="3"/>
      <c r="AB211" s="3" t="str">
        <f>IF(Caja_Arequipa[[#This Row],[fecha]]&gt;0,TEXT(Caja_Arequipa[[#This Row],[fecha]],"mmmm"),0)</f>
        <v>Marzo</v>
      </c>
    </row>
    <row r="212" spans="1:28" ht="24" x14ac:dyDescent="0.3">
      <c r="A212" s="2">
        <f>IF(Caja_Arequipa[[#This Row],[tipo_r]]="R",COUNTIFS($C$1:$C211,"R")+1,A211)</f>
        <v>203</v>
      </c>
      <c r="B212" s="19" t="str">
        <f t="shared" si="17"/>
        <v>C-Tesoreria</v>
      </c>
      <c r="C212" s="3" t="s">
        <v>1330</v>
      </c>
      <c r="D212" s="14">
        <v>45733</v>
      </c>
      <c r="E212" s="5" t="s">
        <v>1416</v>
      </c>
      <c r="F212" s="5" t="s">
        <v>1336</v>
      </c>
      <c r="G212" s="3" t="s">
        <v>5299</v>
      </c>
      <c r="H212" s="6"/>
      <c r="I212" s="6"/>
      <c r="J212" s="6"/>
      <c r="K212" s="6"/>
      <c r="L212" s="7" t="s">
        <v>5625</v>
      </c>
      <c r="M212" s="8" t="str">
        <f>IF(Caja_Arequipa[[#This Row],[tipo_r]]="R","001-"&amp;12002+A212,M211)</f>
        <v>001-12205</v>
      </c>
      <c r="N212" s="8" t="str">
        <f t="shared" si="20"/>
        <v>PEN</v>
      </c>
      <c r="O212" s="13"/>
      <c r="P212" s="13">
        <v>65</v>
      </c>
      <c r="Q212" s="3">
        <f t="shared" si="18"/>
        <v>0</v>
      </c>
      <c r="R212" s="3">
        <f t="shared" si="19"/>
        <v>65</v>
      </c>
      <c r="S212" s="3">
        <f t="shared" si="16"/>
        <v>2623.6</v>
      </c>
      <c r="T212" s="24"/>
      <c r="U212" s="24" t="s">
        <v>1334</v>
      </c>
      <c r="V212" s="3"/>
      <c r="W212" s="25" t="str">
        <f>IFERROR(VLOOKUP(Caja_Arequipa[[#This Row],[destinatario]],CHOOSE({1,2},Clientes_Proveedores[Razon Social],Clientes_Proveedores[Ruc / Dni]),2,0),"")</f>
        <v/>
      </c>
      <c r="X212" s="3" t="s">
        <v>5626</v>
      </c>
      <c r="Y212" s="3"/>
      <c r="Z212" s="3"/>
      <c r="AA212" s="3"/>
      <c r="AB212" s="3" t="str">
        <f>IF(Caja_Arequipa[[#This Row],[fecha]]&gt;0,TEXT(Caja_Arequipa[[#This Row],[fecha]],"mmmm"),0)</f>
        <v>Marzo</v>
      </c>
    </row>
    <row r="213" spans="1:28" ht="24" x14ac:dyDescent="0.3">
      <c r="A213" s="2">
        <f>IF(Caja_Arequipa[[#This Row],[tipo_r]]="R",COUNTIFS($C$1:$C212,"R")+1,A212)</f>
        <v>203</v>
      </c>
      <c r="B213" s="19" t="str">
        <f>"C-Tesoreria"</f>
        <v>C-Tesoreria</v>
      </c>
      <c r="C213" s="3" t="s">
        <v>1352</v>
      </c>
      <c r="D213" s="14">
        <v>45733</v>
      </c>
      <c r="E213" s="5" t="s">
        <v>1416</v>
      </c>
      <c r="F213" s="5" t="s">
        <v>1336</v>
      </c>
      <c r="G213" s="3"/>
      <c r="H213" s="6"/>
      <c r="I213" s="6" t="s">
        <v>68</v>
      </c>
      <c r="J213" s="6" t="s">
        <v>5627</v>
      </c>
      <c r="K213" s="6">
        <v>273520</v>
      </c>
      <c r="L213" s="7" t="s">
        <v>5625</v>
      </c>
      <c r="M213" s="8" t="str">
        <f>IF(Caja_Arequipa[[#This Row],[tipo_r]]="R","001-"&amp;12002+A213,M212)</f>
        <v>001-12205</v>
      </c>
      <c r="N213" s="8" t="str">
        <f>"PEN"</f>
        <v>PEN</v>
      </c>
      <c r="O213" s="13">
        <v>24</v>
      </c>
      <c r="P213" s="13"/>
      <c r="Q213" s="3">
        <f>+IF(OR($F213="SALDO",$F213="INGRESO"),$P213,0)</f>
        <v>0</v>
      </c>
      <c r="R213" s="3">
        <f>+IF($F213="EGRESO",$P213,0)</f>
        <v>0</v>
      </c>
      <c r="S213" s="3">
        <f t="shared" si="16"/>
        <v>2623.6</v>
      </c>
      <c r="T213" s="24"/>
      <c r="U213" s="24"/>
      <c r="V213" s="3"/>
      <c r="W213" s="25" t="str">
        <f>IFERROR(VLOOKUP(Caja_Arequipa[[#This Row],[destinatario]],CHOOSE({1,2},Clientes_Proveedores[Razon Social],Clientes_Proveedores[Ruc / Dni]),2,0),"")</f>
        <v/>
      </c>
      <c r="X213" s="3"/>
      <c r="Y213" s="3"/>
      <c r="Z213" s="3"/>
      <c r="AA213" s="3"/>
      <c r="AB213" s="3" t="str">
        <f>IF(Caja_Arequipa[[#This Row],[fecha]]&gt;0,TEXT(Caja_Arequipa[[#This Row],[fecha]],"mmmm"),0)</f>
        <v>Marzo</v>
      </c>
    </row>
    <row r="214" spans="1:28" ht="24" x14ac:dyDescent="0.3">
      <c r="A214" s="2">
        <f>IF(Caja_Arequipa[[#This Row],[tipo_r]]="R",COUNTIFS($C$1:$C213,"R")+1,A213)</f>
        <v>203</v>
      </c>
      <c r="B214" s="19" t="str">
        <f>"C-Tesoreria"</f>
        <v>C-Tesoreria</v>
      </c>
      <c r="C214" s="3" t="s">
        <v>1352</v>
      </c>
      <c r="D214" s="14">
        <v>45733</v>
      </c>
      <c r="E214" s="5" t="s">
        <v>1416</v>
      </c>
      <c r="F214" s="5" t="s">
        <v>1336</v>
      </c>
      <c r="G214" s="3"/>
      <c r="H214" s="6"/>
      <c r="I214" s="6" t="s">
        <v>111</v>
      </c>
      <c r="J214" s="6">
        <v>3</v>
      </c>
      <c r="K214" s="6">
        <v>79</v>
      </c>
      <c r="L214" s="7" t="s">
        <v>5625</v>
      </c>
      <c r="M214" s="8" t="str">
        <f>IF(Caja_Arequipa[[#This Row],[tipo_r]]="R","001-"&amp;12002+A214,M213)</f>
        <v>001-12205</v>
      </c>
      <c r="N214" s="8" t="str">
        <f>"PEN"</f>
        <v>PEN</v>
      </c>
      <c r="O214" s="13">
        <v>41</v>
      </c>
      <c r="P214" s="13"/>
      <c r="Q214" s="3">
        <f>+IF(OR($F214="SALDO",$F214="INGRESO"),$P214,0)</f>
        <v>0</v>
      </c>
      <c r="R214" s="3">
        <f>+IF($F214="EGRESO",$P214,0)</f>
        <v>0</v>
      </c>
      <c r="S214" s="3">
        <f t="shared" si="16"/>
        <v>2623.6</v>
      </c>
      <c r="T214" s="24"/>
      <c r="U214" s="24"/>
      <c r="V214" s="3"/>
      <c r="W214" s="25" t="str">
        <f>IFERROR(VLOOKUP(Caja_Arequipa[[#This Row],[destinatario]],CHOOSE({1,2},Clientes_Proveedores[Razon Social],Clientes_Proveedores[Ruc / Dni]),2,0),"")</f>
        <v/>
      </c>
      <c r="X214" s="3"/>
      <c r="Y214" s="3"/>
      <c r="Z214" s="3"/>
      <c r="AA214" s="3"/>
      <c r="AB214" s="3" t="str">
        <f>IF(Caja_Arequipa[[#This Row],[fecha]]&gt;0,TEXT(Caja_Arequipa[[#This Row],[fecha]],"mmmm"),0)</f>
        <v>Marzo</v>
      </c>
    </row>
    <row r="215" spans="1:28" x14ac:dyDescent="0.3">
      <c r="A215" s="2">
        <f>IF(Caja_Arequipa[[#This Row],[tipo_r]]="R",COUNTIFS($C$1:$C214,"R")+1,A214)</f>
        <v>204</v>
      </c>
      <c r="B215" s="19" t="str">
        <f t="shared" si="17"/>
        <v>C-Tesoreria</v>
      </c>
      <c r="C215" s="3" t="s">
        <v>1330</v>
      </c>
      <c r="D215" s="14">
        <v>45733</v>
      </c>
      <c r="E215" s="5" t="s">
        <v>1416</v>
      </c>
      <c r="F215" s="5" t="s">
        <v>1336</v>
      </c>
      <c r="G215" s="3" t="s">
        <v>5259</v>
      </c>
      <c r="H215" s="6"/>
      <c r="I215" s="6" t="s">
        <v>111</v>
      </c>
      <c r="J215" s="6">
        <v>3</v>
      </c>
      <c r="K215" s="6">
        <v>70</v>
      </c>
      <c r="L215" s="7" t="s">
        <v>5495</v>
      </c>
      <c r="M215" s="8" t="str">
        <f>IF(Caja_Arequipa[[#This Row],[tipo_r]]="R","001-"&amp;12002+A215,M214)</f>
        <v>001-12206</v>
      </c>
      <c r="N215" s="8" t="str">
        <f t="shared" si="20"/>
        <v>PEN</v>
      </c>
      <c r="O215" s="13"/>
      <c r="P215" s="13">
        <v>40</v>
      </c>
      <c r="Q215" s="3">
        <f t="shared" si="18"/>
        <v>0</v>
      </c>
      <c r="R215" s="3">
        <f t="shared" si="19"/>
        <v>40</v>
      </c>
      <c r="S215" s="3">
        <f t="shared" si="16"/>
        <v>2583.6</v>
      </c>
      <c r="T215" s="24" t="s">
        <v>1334</v>
      </c>
      <c r="U215" s="24" t="s">
        <v>1334</v>
      </c>
      <c r="V215" s="3"/>
      <c r="W215" s="25" t="str">
        <f>IFERROR(VLOOKUP(Caja_Arequipa[[#This Row],[destinatario]],CHOOSE({1,2},Clientes_Proveedores[Razon Social],Clientes_Proveedores[Ruc / Dni]),2,0),"")</f>
        <v/>
      </c>
      <c r="X215" s="3" t="s">
        <v>5628</v>
      </c>
      <c r="Y215" s="3"/>
      <c r="Z215" s="3"/>
      <c r="AA215" s="3"/>
      <c r="AB215" s="3" t="str">
        <f>IF(Caja_Arequipa[[#This Row],[fecha]]&gt;0,TEXT(Caja_Arequipa[[#This Row],[fecha]],"mmmm"),0)</f>
        <v>Marzo</v>
      </c>
    </row>
    <row r="216" spans="1:28" x14ac:dyDescent="0.3">
      <c r="A216" s="2">
        <f>IF(Caja_Arequipa[[#This Row],[tipo_r]]="R",COUNTIFS($C$1:$C215,"R")+1,A215)</f>
        <v>205</v>
      </c>
      <c r="B216" s="19" t="str">
        <f t="shared" si="17"/>
        <v>C-Tesoreria</v>
      </c>
      <c r="C216" s="3" t="s">
        <v>1330</v>
      </c>
      <c r="D216" s="14">
        <v>45733</v>
      </c>
      <c r="E216" s="5" t="s">
        <v>1416</v>
      </c>
      <c r="F216" s="5" t="s">
        <v>1336</v>
      </c>
      <c r="G216" s="3" t="s">
        <v>5259</v>
      </c>
      <c r="H216" s="6"/>
      <c r="I216" s="6" t="s">
        <v>111</v>
      </c>
      <c r="J216" s="6">
        <v>3</v>
      </c>
      <c r="K216" s="6">
        <v>71</v>
      </c>
      <c r="L216" s="7" t="s">
        <v>5629</v>
      </c>
      <c r="M216" s="8" t="str">
        <f>IF(Caja_Arequipa[[#This Row],[tipo_r]]="R","001-"&amp;12002+A216,M215)</f>
        <v>001-12207</v>
      </c>
      <c r="N216" s="8" t="str">
        <f t="shared" si="20"/>
        <v>PEN</v>
      </c>
      <c r="O216" s="13"/>
      <c r="P216" s="13">
        <v>5</v>
      </c>
      <c r="Q216" s="3">
        <f t="shared" si="18"/>
        <v>0</v>
      </c>
      <c r="R216" s="3">
        <f t="shared" si="19"/>
        <v>5</v>
      </c>
      <c r="S216" s="3">
        <f t="shared" si="16"/>
        <v>2578.6</v>
      </c>
      <c r="T216" s="24" t="s">
        <v>1334</v>
      </c>
      <c r="U216" s="24" t="s">
        <v>1334</v>
      </c>
      <c r="V216" s="3"/>
      <c r="W216" s="25" t="str">
        <f>IFERROR(VLOOKUP(Caja_Arequipa[[#This Row],[destinatario]],CHOOSE({1,2},Clientes_Proveedores[Razon Social],Clientes_Proveedores[Ruc / Dni]),2,0),"")</f>
        <v/>
      </c>
      <c r="X216" s="3" t="s">
        <v>5630</v>
      </c>
      <c r="Y216" s="3"/>
      <c r="Z216" s="3"/>
      <c r="AA216" s="3"/>
      <c r="AB216" s="3" t="str">
        <f>IF(Caja_Arequipa[[#This Row],[fecha]]&gt;0,TEXT(Caja_Arequipa[[#This Row],[fecha]],"mmmm"),0)</f>
        <v>Marzo</v>
      </c>
    </row>
    <row r="217" spans="1:28" x14ac:dyDescent="0.3">
      <c r="A217" s="2">
        <f>IF(Caja_Arequipa[[#This Row],[tipo_r]]="R",COUNTIFS($C$1:$C216,"R")+1,A216)</f>
        <v>206</v>
      </c>
      <c r="B217" s="19" t="str">
        <f t="shared" si="17"/>
        <v>C-Tesoreria</v>
      </c>
      <c r="C217" s="3" t="s">
        <v>1330</v>
      </c>
      <c r="D217" s="14">
        <v>45733</v>
      </c>
      <c r="E217" s="5" t="s">
        <v>1416</v>
      </c>
      <c r="F217" s="5" t="s">
        <v>1336</v>
      </c>
      <c r="G217" s="3" t="s">
        <v>5259</v>
      </c>
      <c r="H217" s="6"/>
      <c r="I217" s="6" t="s">
        <v>111</v>
      </c>
      <c r="J217" s="6">
        <v>3</v>
      </c>
      <c r="K217" s="6">
        <v>72</v>
      </c>
      <c r="L217" s="7" t="s">
        <v>5631</v>
      </c>
      <c r="M217" s="8" t="str">
        <f>IF(Caja_Arequipa[[#This Row],[tipo_r]]="R","001-"&amp;12002+A217,M216)</f>
        <v>001-12208</v>
      </c>
      <c r="N217" s="8" t="str">
        <f t="shared" si="20"/>
        <v>PEN</v>
      </c>
      <c r="O217" s="13"/>
      <c r="P217" s="13">
        <v>126</v>
      </c>
      <c r="Q217" s="3">
        <f t="shared" si="18"/>
        <v>0</v>
      </c>
      <c r="R217" s="3">
        <f t="shared" si="19"/>
        <v>126</v>
      </c>
      <c r="S217" s="3">
        <f t="shared" si="16"/>
        <v>2452.6</v>
      </c>
      <c r="T217" s="24" t="s">
        <v>1334</v>
      </c>
      <c r="U217" s="24" t="s">
        <v>1334</v>
      </c>
      <c r="V217" s="3"/>
      <c r="W217" s="25" t="str">
        <f>IFERROR(VLOOKUP(Caja_Arequipa[[#This Row],[destinatario]],CHOOSE({1,2},Clientes_Proveedores[Razon Social],Clientes_Proveedores[Ruc / Dni]),2,0),"")</f>
        <v/>
      </c>
      <c r="X217" s="3" t="s">
        <v>5632</v>
      </c>
      <c r="Y217" s="3"/>
      <c r="Z217" s="3"/>
      <c r="AA217" s="3"/>
      <c r="AB217" s="3" t="str">
        <f>IF(Caja_Arequipa[[#This Row],[fecha]]&gt;0,TEXT(Caja_Arequipa[[#This Row],[fecha]],"mmmm"),0)</f>
        <v>Marzo</v>
      </c>
    </row>
    <row r="218" spans="1:28" x14ac:dyDescent="0.3">
      <c r="A218" s="2">
        <f>IF(Caja_Arequipa[[#This Row],[tipo_r]]="R",COUNTIFS($C$1:$C217,"R")+1,A217)</f>
        <v>207</v>
      </c>
      <c r="B218" s="19" t="str">
        <f t="shared" si="17"/>
        <v>C-Tesoreria</v>
      </c>
      <c r="C218" s="3" t="s">
        <v>1330</v>
      </c>
      <c r="D218" s="14">
        <v>45733</v>
      </c>
      <c r="E218" s="5" t="s">
        <v>1416</v>
      </c>
      <c r="F218" s="5" t="s">
        <v>1336</v>
      </c>
      <c r="G218" s="3" t="s">
        <v>5259</v>
      </c>
      <c r="H218" s="6"/>
      <c r="I218" s="6" t="s">
        <v>111</v>
      </c>
      <c r="J218" s="6">
        <v>3</v>
      </c>
      <c r="K218" s="6">
        <v>73</v>
      </c>
      <c r="L218" s="7" t="s">
        <v>5517</v>
      </c>
      <c r="M218" s="8" t="str">
        <f>IF(Caja_Arequipa[[#This Row],[tipo_r]]="R","001-"&amp;12002+A218,M217)</f>
        <v>001-12209</v>
      </c>
      <c r="N218" s="8" t="str">
        <f t="shared" si="20"/>
        <v>PEN</v>
      </c>
      <c r="O218" s="13"/>
      <c r="P218" s="13">
        <v>25</v>
      </c>
      <c r="Q218" s="3">
        <f t="shared" si="18"/>
        <v>0</v>
      </c>
      <c r="R218" s="3">
        <f t="shared" si="19"/>
        <v>25</v>
      </c>
      <c r="S218" s="3">
        <f t="shared" si="16"/>
        <v>2427.6</v>
      </c>
      <c r="T218" s="24" t="s">
        <v>1334</v>
      </c>
      <c r="U218" s="24" t="s">
        <v>1334</v>
      </c>
      <c r="V218" s="3"/>
      <c r="W218" s="25" t="str">
        <f>IFERROR(VLOOKUP(Caja_Arequipa[[#This Row],[destinatario]],CHOOSE({1,2},Clientes_Proveedores[Razon Social],Clientes_Proveedores[Ruc / Dni]),2,0),"")</f>
        <v/>
      </c>
      <c r="X218" s="3" t="s">
        <v>5633</v>
      </c>
      <c r="Y218" s="3"/>
      <c r="Z218" s="3"/>
      <c r="AA218" s="3"/>
      <c r="AB218" s="3" t="str">
        <f>IF(Caja_Arequipa[[#This Row],[fecha]]&gt;0,TEXT(Caja_Arequipa[[#This Row],[fecha]],"mmmm"),0)</f>
        <v>Marzo</v>
      </c>
    </row>
    <row r="219" spans="1:28" x14ac:dyDescent="0.3">
      <c r="A219" s="2">
        <f>IF(Caja_Arequipa[[#This Row],[tipo_r]]="R",COUNTIFS($C$1:$C218,"R")+1,A218)</f>
        <v>208</v>
      </c>
      <c r="B219" s="19" t="str">
        <f t="shared" si="17"/>
        <v>C-Tesoreria</v>
      </c>
      <c r="C219" s="3" t="s">
        <v>1330</v>
      </c>
      <c r="D219" s="14">
        <v>45733</v>
      </c>
      <c r="E219" s="5" t="s">
        <v>1416</v>
      </c>
      <c r="F219" s="5" t="s">
        <v>1336</v>
      </c>
      <c r="G219" s="3" t="s">
        <v>5259</v>
      </c>
      <c r="H219" s="6"/>
      <c r="I219" s="6" t="s">
        <v>111</v>
      </c>
      <c r="J219" s="6">
        <v>3</v>
      </c>
      <c r="K219" s="6">
        <v>74</v>
      </c>
      <c r="L219" s="7" t="s">
        <v>5554</v>
      </c>
      <c r="M219" s="8" t="str">
        <f>IF(Caja_Arequipa[[#This Row],[tipo_r]]="R","001-"&amp;12002+A219,M218)</f>
        <v>001-12210</v>
      </c>
      <c r="N219" s="8" t="str">
        <f t="shared" si="20"/>
        <v>PEN</v>
      </c>
      <c r="O219" s="13"/>
      <c r="P219" s="13">
        <v>34</v>
      </c>
      <c r="Q219" s="3">
        <f t="shared" si="18"/>
        <v>0</v>
      </c>
      <c r="R219" s="3">
        <f t="shared" si="19"/>
        <v>34</v>
      </c>
      <c r="S219" s="3">
        <f t="shared" si="16"/>
        <v>2393.6</v>
      </c>
      <c r="T219" s="24" t="s">
        <v>1334</v>
      </c>
      <c r="U219" s="24" t="s">
        <v>1334</v>
      </c>
      <c r="V219" s="3"/>
      <c r="W219" s="25" t="str">
        <f>IFERROR(VLOOKUP(Caja_Arequipa[[#This Row],[destinatario]],CHOOSE({1,2},Clientes_Proveedores[Razon Social],Clientes_Proveedores[Ruc / Dni]),2,0),"")</f>
        <v/>
      </c>
      <c r="X219" s="3" t="s">
        <v>5634</v>
      </c>
      <c r="Y219" s="3"/>
      <c r="Z219" s="3"/>
      <c r="AA219" s="3"/>
      <c r="AB219" s="3" t="str">
        <f>IF(Caja_Arequipa[[#This Row],[fecha]]&gt;0,TEXT(Caja_Arequipa[[#This Row],[fecha]],"mmmm"),0)</f>
        <v>Marzo</v>
      </c>
    </row>
    <row r="220" spans="1:28" x14ac:dyDescent="0.3">
      <c r="A220" s="2">
        <f>IF(Caja_Arequipa[[#This Row],[tipo_r]]="R",COUNTIFS($C$1:$C219,"R")+1,A219)</f>
        <v>209</v>
      </c>
      <c r="B220" s="19" t="str">
        <f t="shared" si="17"/>
        <v>C-Tesoreria</v>
      </c>
      <c r="C220" s="3" t="s">
        <v>1330</v>
      </c>
      <c r="D220" s="14">
        <v>45733</v>
      </c>
      <c r="E220" s="5" t="s">
        <v>1416</v>
      </c>
      <c r="F220" s="5" t="s">
        <v>1336</v>
      </c>
      <c r="G220" s="3" t="s">
        <v>5259</v>
      </c>
      <c r="H220" s="6"/>
      <c r="I220" s="6" t="s">
        <v>111</v>
      </c>
      <c r="J220" s="6">
        <v>3</v>
      </c>
      <c r="K220" s="6">
        <v>75</v>
      </c>
      <c r="L220" s="7" t="s">
        <v>5635</v>
      </c>
      <c r="M220" s="8" t="str">
        <f>IF(Caja_Arequipa[[#This Row],[tipo_r]]="R","001-"&amp;12002+A220,M219)</f>
        <v>001-12211</v>
      </c>
      <c r="N220" s="8" t="str">
        <f t="shared" si="20"/>
        <v>PEN</v>
      </c>
      <c r="O220" s="13"/>
      <c r="P220" s="13">
        <v>5</v>
      </c>
      <c r="Q220" s="3">
        <f t="shared" si="18"/>
        <v>0</v>
      </c>
      <c r="R220" s="3">
        <f t="shared" si="19"/>
        <v>5</v>
      </c>
      <c r="S220" s="3">
        <f t="shared" si="16"/>
        <v>2388.6</v>
      </c>
      <c r="T220" s="24" t="s">
        <v>1334</v>
      </c>
      <c r="U220" s="24" t="s">
        <v>1334</v>
      </c>
      <c r="V220" s="3"/>
      <c r="W220" s="25" t="str">
        <f>IFERROR(VLOOKUP(Caja_Arequipa[[#This Row],[destinatario]],CHOOSE({1,2},Clientes_Proveedores[Razon Social],Clientes_Proveedores[Ruc / Dni]),2,0),"")</f>
        <v/>
      </c>
      <c r="X220" s="3" t="s">
        <v>5636</v>
      </c>
      <c r="Y220" s="3"/>
      <c r="Z220" s="3"/>
      <c r="AA220" s="3"/>
      <c r="AB220" s="3" t="str">
        <f>IF(Caja_Arequipa[[#This Row],[fecha]]&gt;0,TEXT(Caja_Arequipa[[#This Row],[fecha]],"mmmm"),0)</f>
        <v>Marzo</v>
      </c>
    </row>
    <row r="221" spans="1:28" ht="24" x14ac:dyDescent="0.3">
      <c r="A221" s="2">
        <f>IF(Caja_Arequipa[[#This Row],[tipo_r]]="R",COUNTIFS($C$1:$C220,"R")+1,A220)</f>
        <v>210</v>
      </c>
      <c r="B221" s="19" t="str">
        <f t="shared" si="17"/>
        <v>C-Tesoreria</v>
      </c>
      <c r="C221" s="3" t="s">
        <v>1330</v>
      </c>
      <c r="D221" s="14">
        <v>45734</v>
      </c>
      <c r="E221" s="5" t="s">
        <v>1416</v>
      </c>
      <c r="F221" s="5" t="s">
        <v>1336</v>
      </c>
      <c r="G221" s="3" t="s">
        <v>5274</v>
      </c>
      <c r="H221" s="6"/>
      <c r="I221" s="6"/>
      <c r="J221" s="6"/>
      <c r="K221" s="6"/>
      <c r="L221" s="7" t="s">
        <v>5637</v>
      </c>
      <c r="M221" s="8" t="str">
        <f>IF(Caja_Arequipa[[#This Row],[tipo_r]]="R","001-"&amp;12002+A221,M220)</f>
        <v>001-12212</v>
      </c>
      <c r="N221" s="8" t="str">
        <f t="shared" si="20"/>
        <v>PEN</v>
      </c>
      <c r="O221" s="13"/>
      <c r="P221" s="13">
        <v>10</v>
      </c>
      <c r="Q221" s="3">
        <f t="shared" si="18"/>
        <v>0</v>
      </c>
      <c r="R221" s="3">
        <f t="shared" si="19"/>
        <v>10</v>
      </c>
      <c r="S221" s="3">
        <f t="shared" si="16"/>
        <v>2378.6</v>
      </c>
      <c r="T221" s="24" t="s">
        <v>1334</v>
      </c>
      <c r="U221" s="24" t="s">
        <v>1334</v>
      </c>
      <c r="V221" s="3"/>
      <c r="W221" s="25" t="str">
        <f>IFERROR(VLOOKUP(Caja_Arequipa[[#This Row],[destinatario]],CHOOSE({1,2},Clientes_Proveedores[Razon Social],Clientes_Proveedores[Ruc / Dni]),2,0),"")</f>
        <v/>
      </c>
      <c r="X221" s="3" t="s">
        <v>5638</v>
      </c>
      <c r="Y221" s="3"/>
      <c r="Z221" s="3"/>
      <c r="AA221" s="3"/>
      <c r="AB221" s="3" t="str">
        <f>IF(Caja_Arequipa[[#This Row],[fecha]]&gt;0,TEXT(Caja_Arequipa[[#This Row],[fecha]],"mmmm"),0)</f>
        <v>Marzo</v>
      </c>
    </row>
    <row r="222" spans="1:28" ht="24" x14ac:dyDescent="0.3">
      <c r="A222" s="2">
        <f>IF(Caja_Arequipa[[#This Row],[tipo_r]]="R",COUNTIFS($C$1:$C221,"R")+1,A221)</f>
        <v>211</v>
      </c>
      <c r="B222" s="19" t="str">
        <f t="shared" si="17"/>
        <v>C-Tesoreria</v>
      </c>
      <c r="C222" s="3" t="s">
        <v>1330</v>
      </c>
      <c r="D222" s="14">
        <v>45734</v>
      </c>
      <c r="E222" s="5" t="s">
        <v>1416</v>
      </c>
      <c r="F222" s="5" t="s">
        <v>1336</v>
      </c>
      <c r="G222" s="3" t="s">
        <v>5274</v>
      </c>
      <c r="H222" s="6"/>
      <c r="I222" s="6" t="s">
        <v>111</v>
      </c>
      <c r="J222" s="6">
        <v>3</v>
      </c>
      <c r="K222" s="6">
        <v>76</v>
      </c>
      <c r="L222" s="7" t="s">
        <v>5639</v>
      </c>
      <c r="M222" s="8" t="str">
        <f>IF(Caja_Arequipa[[#This Row],[tipo_r]]="R","001-"&amp;12002+A222,M221)</f>
        <v>001-12213</v>
      </c>
      <c r="N222" s="8" t="str">
        <f t="shared" si="20"/>
        <v>PEN</v>
      </c>
      <c r="O222" s="13"/>
      <c r="P222" s="13">
        <v>20</v>
      </c>
      <c r="Q222" s="3">
        <f t="shared" si="18"/>
        <v>0</v>
      </c>
      <c r="R222" s="3">
        <f t="shared" si="19"/>
        <v>20</v>
      </c>
      <c r="S222" s="3">
        <f t="shared" si="16"/>
        <v>2358.6</v>
      </c>
      <c r="T222" s="24" t="s">
        <v>1334</v>
      </c>
      <c r="U222" s="24" t="s">
        <v>1334</v>
      </c>
      <c r="V222" s="3"/>
      <c r="W222" s="25" t="str">
        <f>IFERROR(VLOOKUP(Caja_Arequipa[[#This Row],[destinatario]],CHOOSE({1,2},Clientes_Proveedores[Razon Social],Clientes_Proveedores[Ruc / Dni]),2,0),"")</f>
        <v/>
      </c>
      <c r="X222" s="3" t="s">
        <v>5640</v>
      </c>
      <c r="Y222" s="3"/>
      <c r="Z222" s="3"/>
      <c r="AA222" s="3"/>
      <c r="AB222" s="3" t="str">
        <f>IF(Caja_Arequipa[[#This Row],[fecha]]&gt;0,TEXT(Caja_Arequipa[[#This Row],[fecha]],"mmmm"),0)</f>
        <v>Marzo</v>
      </c>
    </row>
    <row r="223" spans="1:28" x14ac:dyDescent="0.3">
      <c r="A223" s="2">
        <f>IF(Caja_Arequipa[[#This Row],[tipo_r]]="R",COUNTIFS($C$1:$C222,"R")+1,A222)</f>
        <v>212</v>
      </c>
      <c r="B223" s="19" t="str">
        <f t="shared" si="17"/>
        <v>C-Tesoreria</v>
      </c>
      <c r="C223" s="3" t="s">
        <v>1330</v>
      </c>
      <c r="D223" s="14">
        <v>45734</v>
      </c>
      <c r="E223" s="5" t="s">
        <v>1416</v>
      </c>
      <c r="F223" s="5" t="s">
        <v>1336</v>
      </c>
      <c r="G223" s="3" t="s">
        <v>3634</v>
      </c>
      <c r="H223" s="6"/>
      <c r="I223" s="6"/>
      <c r="J223" s="6"/>
      <c r="K223" s="6"/>
      <c r="L223" s="7" t="s">
        <v>5434</v>
      </c>
      <c r="M223" s="8" t="str">
        <f>IF(Caja_Arequipa[[#This Row],[tipo_r]]="R","001-"&amp;12002+A223,M222)</f>
        <v>001-12214</v>
      </c>
      <c r="N223" s="8" t="str">
        <f t="shared" si="20"/>
        <v>PEN</v>
      </c>
      <c r="O223" s="13"/>
      <c r="P223" s="13">
        <v>1500</v>
      </c>
      <c r="Q223" s="3">
        <f t="shared" si="18"/>
        <v>0</v>
      </c>
      <c r="R223" s="3">
        <f t="shared" si="19"/>
        <v>1500</v>
      </c>
      <c r="S223" s="3">
        <f t="shared" si="16"/>
        <v>858.59999999999991</v>
      </c>
      <c r="T223" s="24"/>
      <c r="U223" s="24"/>
      <c r="V223" s="3"/>
      <c r="W223" s="25" t="str">
        <f>IFERROR(VLOOKUP(Caja_Arequipa[[#This Row],[destinatario]],CHOOSE({1,2},Clientes_Proveedores[Razon Social],Clientes_Proveedores[Ruc / Dni]),2,0),"")</f>
        <v/>
      </c>
      <c r="X223" s="3"/>
      <c r="Y223" s="3"/>
      <c r="Z223" s="3"/>
      <c r="AA223" s="3"/>
      <c r="AB223" s="3" t="str">
        <f>IF(Caja_Arequipa[[#This Row],[fecha]]&gt;0,TEXT(Caja_Arequipa[[#This Row],[fecha]],"mmmm"),0)</f>
        <v>Marzo</v>
      </c>
    </row>
    <row r="224" spans="1:28" x14ac:dyDescent="0.3">
      <c r="A224" s="2">
        <f>IF(Caja_Arequipa[[#This Row],[tipo_r]]="R",COUNTIFS($C$1:$C223,"R")+1,A223)</f>
        <v>213</v>
      </c>
      <c r="B224" s="19" t="str">
        <f t="shared" si="17"/>
        <v>C-Tesoreria</v>
      </c>
      <c r="C224" s="3" t="s">
        <v>1330</v>
      </c>
      <c r="D224" s="14">
        <v>45735</v>
      </c>
      <c r="E224" s="5" t="s">
        <v>1338</v>
      </c>
      <c r="F224" s="5" t="s">
        <v>1336</v>
      </c>
      <c r="G224" s="3" t="s">
        <v>5312</v>
      </c>
      <c r="H224" s="6"/>
      <c r="I224" s="6" t="s">
        <v>111</v>
      </c>
      <c r="J224" s="6">
        <v>3</v>
      </c>
      <c r="K224" s="6">
        <v>77</v>
      </c>
      <c r="L224" s="7" t="s">
        <v>5641</v>
      </c>
      <c r="M224" s="8" t="str">
        <f>IF(Caja_Arequipa[[#This Row],[tipo_r]]="R","001-"&amp;12002+A224,M223)</f>
        <v>001-12215</v>
      </c>
      <c r="N224" s="8" t="str">
        <f t="shared" si="20"/>
        <v>PEN</v>
      </c>
      <c r="O224" s="13"/>
      <c r="P224" s="13">
        <v>15</v>
      </c>
      <c r="Q224" s="3">
        <f t="shared" si="18"/>
        <v>0</v>
      </c>
      <c r="R224" s="3">
        <f t="shared" si="19"/>
        <v>15</v>
      </c>
      <c r="S224" s="3">
        <f t="shared" si="16"/>
        <v>843.59999999999991</v>
      </c>
      <c r="T224" s="24" t="s">
        <v>1334</v>
      </c>
      <c r="U224" s="24" t="s">
        <v>1334</v>
      </c>
      <c r="V224" s="3"/>
      <c r="W224" s="25" t="str">
        <f>IFERROR(VLOOKUP(Caja_Arequipa[[#This Row],[destinatario]],CHOOSE({1,2},Clientes_Proveedores[Razon Social],Clientes_Proveedores[Ruc / Dni]),2,0),"")</f>
        <v/>
      </c>
      <c r="X224" s="3" t="s">
        <v>5642</v>
      </c>
      <c r="Y224" s="3"/>
      <c r="Z224" s="3"/>
      <c r="AA224" s="3"/>
      <c r="AB224" s="3" t="str">
        <f>IF(Caja_Arequipa[[#This Row],[fecha]]&gt;0,TEXT(Caja_Arequipa[[#This Row],[fecha]],"mmmm"),0)</f>
        <v>Marzo</v>
      </c>
    </row>
    <row r="225" spans="1:28" x14ac:dyDescent="0.3">
      <c r="A225" s="2">
        <f>IF(Caja_Arequipa[[#This Row],[tipo_r]]="R",COUNTIFS($C$1:$C224,"R")+1,A224)</f>
        <v>214</v>
      </c>
      <c r="B225" s="19" t="str">
        <f t="shared" si="17"/>
        <v>C-Tesoreria</v>
      </c>
      <c r="C225" s="3" t="s">
        <v>1330</v>
      </c>
      <c r="D225" s="14">
        <v>45735</v>
      </c>
      <c r="E225" s="5" t="s">
        <v>1338</v>
      </c>
      <c r="F225" s="5" t="s">
        <v>1336</v>
      </c>
      <c r="G225" s="3" t="s">
        <v>5380</v>
      </c>
      <c r="H225" s="6"/>
      <c r="I225" s="6" t="s">
        <v>111</v>
      </c>
      <c r="J225" s="6">
        <v>3</v>
      </c>
      <c r="K225" s="6">
        <v>78</v>
      </c>
      <c r="L225" s="7" t="s">
        <v>5643</v>
      </c>
      <c r="M225" s="8" t="str">
        <f>IF(Caja_Arequipa[[#This Row],[tipo_r]]="R","001-"&amp;12002+A225,M224)</f>
        <v>001-12216</v>
      </c>
      <c r="N225" s="8" t="str">
        <f t="shared" si="20"/>
        <v>PEN</v>
      </c>
      <c r="O225" s="13"/>
      <c r="P225" s="13">
        <v>20</v>
      </c>
      <c r="Q225" s="3">
        <f t="shared" si="18"/>
        <v>0</v>
      </c>
      <c r="R225" s="3">
        <f t="shared" si="19"/>
        <v>20</v>
      </c>
      <c r="S225" s="3">
        <f t="shared" si="16"/>
        <v>823.59999999999991</v>
      </c>
      <c r="T225" s="24" t="s">
        <v>1334</v>
      </c>
      <c r="U225" s="24" t="s">
        <v>1334</v>
      </c>
      <c r="V225" s="3"/>
      <c r="W225" s="25" t="str">
        <f>IFERROR(VLOOKUP(Caja_Arequipa[[#This Row],[destinatario]],CHOOSE({1,2},Clientes_Proveedores[Razon Social],Clientes_Proveedores[Ruc / Dni]),2,0),"")</f>
        <v/>
      </c>
      <c r="X225" s="3" t="s">
        <v>5644</v>
      </c>
      <c r="Y225" s="3"/>
      <c r="Z225" s="3"/>
      <c r="AA225" s="3"/>
      <c r="AB225" s="3" t="str">
        <f>IF(Caja_Arequipa[[#This Row],[fecha]]&gt;0,TEXT(Caja_Arequipa[[#This Row],[fecha]],"mmmm"),0)</f>
        <v>Marzo</v>
      </c>
    </row>
    <row r="226" spans="1:28" ht="24" x14ac:dyDescent="0.3">
      <c r="A226" s="2">
        <f>IF(Caja_Arequipa[[#This Row],[tipo_r]]="R",COUNTIFS($C$1:$C225,"R")+1,A225)</f>
        <v>215</v>
      </c>
      <c r="B226" s="19" t="str">
        <f t="shared" si="17"/>
        <v>C-Tesoreria</v>
      </c>
      <c r="C226" s="3" t="s">
        <v>1330</v>
      </c>
      <c r="D226" s="14">
        <v>45735</v>
      </c>
      <c r="E226" s="5" t="s">
        <v>1338</v>
      </c>
      <c r="F226" s="5" t="s">
        <v>1336</v>
      </c>
      <c r="G226" s="3" t="s">
        <v>5380</v>
      </c>
      <c r="H226" s="6"/>
      <c r="I226" s="6"/>
      <c r="J226" s="6"/>
      <c r="K226" s="6"/>
      <c r="L226" s="7" t="s">
        <v>5645</v>
      </c>
      <c r="M226" s="8" t="str">
        <f>IF(Caja_Arequipa[[#This Row],[tipo_r]]="R","001-"&amp;12002+A226,M225)</f>
        <v>001-12217</v>
      </c>
      <c r="N226" s="8" t="str">
        <f t="shared" si="20"/>
        <v>PEN</v>
      </c>
      <c r="O226" s="13"/>
      <c r="P226" s="13">
        <v>60</v>
      </c>
      <c r="Q226" s="3">
        <f t="shared" si="18"/>
        <v>0</v>
      </c>
      <c r="R226" s="3">
        <f t="shared" si="19"/>
        <v>60</v>
      </c>
      <c r="S226" s="3">
        <f t="shared" si="16"/>
        <v>763.59999999999991</v>
      </c>
      <c r="T226" s="24" t="s">
        <v>1334</v>
      </c>
      <c r="U226" s="24" t="s">
        <v>1334</v>
      </c>
      <c r="V226" s="3"/>
      <c r="W226" s="25" t="str">
        <f>IFERROR(VLOOKUP(Caja_Arequipa[[#This Row],[destinatario]],CHOOSE({1,2},Clientes_Proveedores[Razon Social],Clientes_Proveedores[Ruc / Dni]),2,0),"")</f>
        <v/>
      </c>
      <c r="X226" s="3" t="s">
        <v>5646</v>
      </c>
      <c r="Y226" s="3"/>
      <c r="Z226" s="3"/>
      <c r="AA226" s="3"/>
      <c r="AB226" s="3" t="str">
        <f>IF(Caja_Arequipa[[#This Row],[fecha]]&gt;0,TEXT(Caja_Arequipa[[#This Row],[fecha]],"mmmm"),0)</f>
        <v>Marzo</v>
      </c>
    </row>
    <row r="227" spans="1:28" x14ac:dyDescent="0.3">
      <c r="A227" s="2">
        <f>IF(Caja_Arequipa[[#This Row],[tipo_r]]="R",COUNTIFS($C$1:$C226,"R")+1,A226)</f>
        <v>216</v>
      </c>
      <c r="B227" s="19" t="str">
        <f t="shared" si="17"/>
        <v>C-Tesoreria</v>
      </c>
      <c r="C227" s="3" t="s">
        <v>1330</v>
      </c>
      <c r="D227" s="14">
        <v>45735</v>
      </c>
      <c r="E227" s="5" t="s">
        <v>1338</v>
      </c>
      <c r="F227" s="5" t="s">
        <v>1336</v>
      </c>
      <c r="G227" s="3" t="s">
        <v>5380</v>
      </c>
      <c r="H227" s="6"/>
      <c r="I227" s="6"/>
      <c r="J227" s="6"/>
      <c r="K227" s="6"/>
      <c r="L227" s="7" t="s">
        <v>5647</v>
      </c>
      <c r="M227" s="8" t="str">
        <f>IF(Caja_Arequipa[[#This Row],[tipo_r]]="R","001-"&amp;12002+A227,M226)</f>
        <v>001-12218</v>
      </c>
      <c r="N227" s="8" t="str">
        <f t="shared" si="20"/>
        <v>PEN</v>
      </c>
      <c r="O227" s="13"/>
      <c r="P227" s="13">
        <v>50</v>
      </c>
      <c r="Q227" s="3">
        <f t="shared" si="18"/>
        <v>0</v>
      </c>
      <c r="R227" s="3">
        <f t="shared" si="19"/>
        <v>50</v>
      </c>
      <c r="S227" s="3">
        <f t="shared" si="16"/>
        <v>713.59999999999991</v>
      </c>
      <c r="T227" s="24" t="s">
        <v>1334</v>
      </c>
      <c r="U227" s="24" t="s">
        <v>1334</v>
      </c>
      <c r="V227" s="3"/>
      <c r="W227" s="25" t="str">
        <f>IFERROR(VLOOKUP(Caja_Arequipa[[#This Row],[destinatario]],CHOOSE({1,2},Clientes_Proveedores[Razon Social],Clientes_Proveedores[Ruc / Dni]),2,0),"")</f>
        <v/>
      </c>
      <c r="X227" s="3" t="s">
        <v>5648</v>
      </c>
      <c r="Y227" s="3"/>
      <c r="Z227" s="3"/>
      <c r="AA227" s="3"/>
      <c r="AB227" s="3" t="str">
        <f>IF(Caja_Arequipa[[#This Row],[fecha]]&gt;0,TEXT(Caja_Arequipa[[#This Row],[fecha]],"mmmm"),0)</f>
        <v>Marzo</v>
      </c>
    </row>
    <row r="228" spans="1:28" s="155" customFormat="1" x14ac:dyDescent="0.3">
      <c r="A228" s="150">
        <f>IF(Caja_Arequipa[[#This Row],[tipo_r]]="R",COUNTIFS($C$1:$C227,"R")+1,A227)</f>
        <v>217</v>
      </c>
      <c r="B228" s="151" t="str">
        <f t="shared" si="17"/>
        <v>C-Tesoreria</v>
      </c>
      <c r="C228" s="96" t="s">
        <v>1330</v>
      </c>
      <c r="D228" s="152">
        <v>45736</v>
      </c>
      <c r="E228" s="153" t="s">
        <v>1338</v>
      </c>
      <c r="F228" s="153" t="s">
        <v>1336</v>
      </c>
      <c r="G228" s="96" t="s">
        <v>5274</v>
      </c>
      <c r="H228" s="149"/>
      <c r="I228" s="149"/>
      <c r="J228" s="149"/>
      <c r="K228" s="149"/>
      <c r="L228" s="154" t="s">
        <v>5649</v>
      </c>
      <c r="M228" s="153" t="str">
        <f>IF(Caja_Arequipa[[#This Row],[tipo_r]]="R","001-"&amp;12002+A228,M227)</f>
        <v>001-12219</v>
      </c>
      <c r="N228" s="153" t="str">
        <f t="shared" si="20"/>
        <v>PEN</v>
      </c>
      <c r="O228" s="96"/>
      <c r="P228" s="96">
        <v>50</v>
      </c>
      <c r="Q228" s="96">
        <f t="shared" si="18"/>
        <v>0</v>
      </c>
      <c r="R228" s="96">
        <f t="shared" si="19"/>
        <v>50</v>
      </c>
      <c r="S228" s="96">
        <f t="shared" si="16"/>
        <v>663.59999999999991</v>
      </c>
      <c r="T228" s="146" t="s">
        <v>1334</v>
      </c>
      <c r="U228" s="146"/>
      <c r="V228" s="96"/>
      <c r="W228" s="214" t="str">
        <f>IFERROR(VLOOKUP(Caja_Arequipa[[#This Row],[destinatario]],CHOOSE({1,2},Clientes_Proveedores[Razon Social],Clientes_Proveedores[Ruc / Dni]),2,0),"")</f>
        <v/>
      </c>
      <c r="X228" s="96" t="s">
        <v>5650</v>
      </c>
      <c r="Y228" s="96"/>
      <c r="Z228" s="96"/>
      <c r="AA228" s="96"/>
      <c r="AB228" s="96" t="str">
        <f>IF(Caja_Arequipa[[#This Row],[fecha]]&gt;0,TEXT(Caja_Arequipa[[#This Row],[fecha]],"mmmm"),0)</f>
        <v>Marzo</v>
      </c>
    </row>
    <row r="229" spans="1:28" ht="24" x14ac:dyDescent="0.3">
      <c r="A229" s="2">
        <f>IF(Caja_Arequipa[[#This Row],[tipo_r]]="R",COUNTIFS($C$1:$C228,"R")+1,A228)</f>
        <v>218</v>
      </c>
      <c r="B229" s="19" t="str">
        <f t="shared" si="17"/>
        <v>C-Tesoreria</v>
      </c>
      <c r="C229" s="3" t="s">
        <v>1330</v>
      </c>
      <c r="D229" s="14">
        <v>45736</v>
      </c>
      <c r="E229" s="5" t="s">
        <v>1338</v>
      </c>
      <c r="F229" s="5" t="s">
        <v>1336</v>
      </c>
      <c r="G229" s="3" t="s">
        <v>5299</v>
      </c>
      <c r="H229" s="6"/>
      <c r="I229" s="6"/>
      <c r="J229" s="6"/>
      <c r="K229" s="6"/>
      <c r="L229" s="7" t="s">
        <v>5651</v>
      </c>
      <c r="M229" s="8" t="str">
        <f>IF(Caja_Arequipa[[#This Row],[tipo_r]]="R","001-"&amp;12002+A229,M228)</f>
        <v>001-12220</v>
      </c>
      <c r="N229" s="8" t="str">
        <f t="shared" si="20"/>
        <v>PEN</v>
      </c>
      <c r="O229" s="13"/>
      <c r="P229" s="13">
        <v>10</v>
      </c>
      <c r="Q229" s="3">
        <f t="shared" si="18"/>
        <v>0</v>
      </c>
      <c r="R229" s="3">
        <f t="shared" si="19"/>
        <v>10</v>
      </c>
      <c r="S229" s="3">
        <f t="shared" si="16"/>
        <v>653.59999999999991</v>
      </c>
      <c r="T229" s="24" t="s">
        <v>1334</v>
      </c>
      <c r="U229" s="24" t="s">
        <v>1334</v>
      </c>
      <c r="V229" s="3"/>
      <c r="W229" s="25" t="str">
        <f>IFERROR(VLOOKUP(Caja_Arequipa[[#This Row],[destinatario]],CHOOSE({1,2},Clientes_Proveedores[Razon Social],Clientes_Proveedores[Ruc / Dni]),2,0),"")</f>
        <v/>
      </c>
      <c r="X229" s="3" t="s">
        <v>5652</v>
      </c>
      <c r="Y229" s="3"/>
      <c r="Z229" s="3"/>
      <c r="AA229" s="3"/>
      <c r="AB229" s="3" t="str">
        <f>IF(Caja_Arequipa[[#This Row],[fecha]]&gt;0,TEXT(Caja_Arequipa[[#This Row],[fecha]],"mmmm"),0)</f>
        <v>Marzo</v>
      </c>
    </row>
    <row r="230" spans="1:28" x14ac:dyDescent="0.3">
      <c r="A230" s="2">
        <f>IF(Caja_Arequipa[[#This Row],[tipo_r]]="R",COUNTIFS($C$1:$C229,"R")+1,A229)</f>
        <v>219</v>
      </c>
      <c r="B230" s="19" t="str">
        <f t="shared" si="17"/>
        <v>C-Tesoreria</v>
      </c>
      <c r="C230" s="3" t="s">
        <v>1330</v>
      </c>
      <c r="D230" s="14">
        <v>45736</v>
      </c>
      <c r="E230" s="5" t="s">
        <v>1338</v>
      </c>
      <c r="F230" s="5" t="s">
        <v>1336</v>
      </c>
      <c r="G230" s="3" t="s">
        <v>5248</v>
      </c>
      <c r="H230" s="6"/>
      <c r="I230" s="6"/>
      <c r="J230" s="6"/>
      <c r="K230" s="6"/>
      <c r="L230" s="7" t="s">
        <v>5653</v>
      </c>
      <c r="M230" s="8" t="str">
        <f>IF(Caja_Arequipa[[#This Row],[tipo_r]]="R","001-"&amp;12002+A230,M229)</f>
        <v>001-12221</v>
      </c>
      <c r="N230" s="8" t="str">
        <f t="shared" si="20"/>
        <v>PEN</v>
      </c>
      <c r="O230" s="13"/>
      <c r="P230" s="13">
        <v>16</v>
      </c>
      <c r="Q230" s="3">
        <f t="shared" si="18"/>
        <v>0</v>
      </c>
      <c r="R230" s="3">
        <f t="shared" si="19"/>
        <v>16</v>
      </c>
      <c r="S230" s="3">
        <f t="shared" si="16"/>
        <v>637.59999999999991</v>
      </c>
      <c r="T230" s="24" t="s">
        <v>1334</v>
      </c>
      <c r="U230" s="24" t="s">
        <v>1334</v>
      </c>
      <c r="V230" s="3"/>
      <c r="W230" s="25" t="str">
        <f>IFERROR(VLOOKUP(Caja_Arequipa[[#This Row],[destinatario]],CHOOSE({1,2},Clientes_Proveedores[Razon Social],Clientes_Proveedores[Ruc / Dni]),2,0),"")</f>
        <v/>
      </c>
      <c r="X230" s="3" t="s">
        <v>5654</v>
      </c>
      <c r="Y230" s="3"/>
      <c r="Z230" s="3"/>
      <c r="AA230" s="3"/>
      <c r="AB230" s="3" t="str">
        <f>IF(Caja_Arequipa[[#This Row],[fecha]]&gt;0,TEXT(Caja_Arequipa[[#This Row],[fecha]],"mmmm"),0)</f>
        <v>Marzo</v>
      </c>
    </row>
    <row r="231" spans="1:28" ht="24" x14ac:dyDescent="0.3">
      <c r="A231" s="2">
        <f>IF(Caja_Arequipa[[#This Row],[tipo_r]]="R",COUNTIFS($C$1:$C230,"R")+1,A230)</f>
        <v>220</v>
      </c>
      <c r="B231" s="19" t="str">
        <f t="shared" si="17"/>
        <v>C-Tesoreria</v>
      </c>
      <c r="C231" s="3" t="s">
        <v>1330</v>
      </c>
      <c r="D231" s="14">
        <v>45736</v>
      </c>
      <c r="E231" s="5" t="s">
        <v>1338</v>
      </c>
      <c r="F231" s="5" t="s">
        <v>1336</v>
      </c>
      <c r="G231" s="3" t="s">
        <v>5248</v>
      </c>
      <c r="H231" s="6"/>
      <c r="I231" s="6"/>
      <c r="J231" s="6"/>
      <c r="K231" s="6"/>
      <c r="L231" s="7" t="s">
        <v>5655</v>
      </c>
      <c r="M231" s="8" t="str">
        <f>IF(Caja_Arequipa[[#This Row],[tipo_r]]="R","001-"&amp;12002+A231,M230)</f>
        <v>001-12222</v>
      </c>
      <c r="N231" s="8" t="str">
        <f t="shared" si="20"/>
        <v>PEN</v>
      </c>
      <c r="O231" s="13"/>
      <c r="P231" s="13">
        <v>159</v>
      </c>
      <c r="Q231" s="3">
        <f t="shared" si="18"/>
        <v>0</v>
      </c>
      <c r="R231" s="3">
        <f t="shared" si="19"/>
        <v>159</v>
      </c>
      <c r="S231" s="3">
        <f t="shared" si="16"/>
        <v>478.59999999999991</v>
      </c>
      <c r="T231" s="24" t="s">
        <v>1334</v>
      </c>
      <c r="U231" s="24" t="s">
        <v>1334</v>
      </c>
      <c r="V231" s="3"/>
      <c r="W231" s="25" t="str">
        <f>IFERROR(VLOOKUP(Caja_Arequipa[[#This Row],[destinatario]],CHOOSE({1,2},Clientes_Proveedores[Razon Social],Clientes_Proveedores[Ruc / Dni]),2,0),"")</f>
        <v/>
      </c>
      <c r="X231" s="3" t="s">
        <v>5656</v>
      </c>
      <c r="Y231" s="3"/>
      <c r="Z231" s="3"/>
      <c r="AA231" s="3"/>
      <c r="AB231" s="3" t="str">
        <f>IF(Caja_Arequipa[[#This Row],[fecha]]&gt;0,TEXT(Caja_Arequipa[[#This Row],[fecha]],"mmmm"),0)</f>
        <v>Marzo</v>
      </c>
    </row>
    <row r="232" spans="1:28" ht="24" x14ac:dyDescent="0.3">
      <c r="A232" s="2">
        <f>IF(Caja_Arequipa[[#This Row],[tipo_r]]="R",COUNTIFS($C$1:$C231,"R")+1,A231)</f>
        <v>221</v>
      </c>
      <c r="B232" s="19" t="str">
        <f t="shared" si="17"/>
        <v>C-Tesoreria</v>
      </c>
      <c r="C232" s="3" t="s">
        <v>1330</v>
      </c>
      <c r="D232" s="14">
        <v>45737</v>
      </c>
      <c r="E232" s="5" t="s">
        <v>1416</v>
      </c>
      <c r="F232" s="5" t="s">
        <v>1336</v>
      </c>
      <c r="G232" s="3" t="s">
        <v>5380</v>
      </c>
      <c r="H232" s="6"/>
      <c r="I232" s="6"/>
      <c r="J232" s="6"/>
      <c r="K232" s="6"/>
      <c r="L232" s="7" t="s">
        <v>5657</v>
      </c>
      <c r="M232" s="8" t="str">
        <f>IF(Caja_Arequipa[[#This Row],[tipo_r]]="R","001-"&amp;12002+A232,M231)</f>
        <v>001-12223</v>
      </c>
      <c r="N232" s="8" t="str">
        <f t="shared" si="20"/>
        <v>PEN</v>
      </c>
      <c r="O232" s="13"/>
      <c r="P232" s="13">
        <v>90</v>
      </c>
      <c r="Q232" s="3">
        <f t="shared" si="18"/>
        <v>0</v>
      </c>
      <c r="R232" s="3">
        <f t="shared" si="19"/>
        <v>90</v>
      </c>
      <c r="S232" s="3">
        <f t="shared" si="16"/>
        <v>388.59999999999991</v>
      </c>
      <c r="T232" s="24" t="s">
        <v>1334</v>
      </c>
      <c r="U232" s="24" t="s">
        <v>1334</v>
      </c>
      <c r="V232" s="3"/>
      <c r="W232" s="25" t="str">
        <f>IFERROR(VLOOKUP(Caja_Arequipa[[#This Row],[destinatario]],CHOOSE({1,2},Clientes_Proveedores[Razon Social],Clientes_Proveedores[Ruc / Dni]),2,0),"")</f>
        <v/>
      </c>
      <c r="X232" s="3" t="s">
        <v>5658</v>
      </c>
      <c r="Y232" s="3"/>
      <c r="Z232" s="3"/>
      <c r="AA232" s="3"/>
      <c r="AB232" s="3" t="str">
        <f>IF(Caja_Arequipa[[#This Row],[fecha]]&gt;0,TEXT(Caja_Arequipa[[#This Row],[fecha]],"mmmm"),0)</f>
        <v>Marzo</v>
      </c>
    </row>
    <row r="233" spans="1:28" ht="24" x14ac:dyDescent="0.3">
      <c r="A233" s="2">
        <f>IF(Caja_Arequipa[[#This Row],[tipo_r]]="R",COUNTIFS($C$1:$C232,"R")+1,A232)</f>
        <v>222</v>
      </c>
      <c r="B233" s="19" t="str">
        <f t="shared" si="17"/>
        <v>C-Tesoreria</v>
      </c>
      <c r="C233" s="3" t="s">
        <v>1330</v>
      </c>
      <c r="D233" s="14">
        <v>45737</v>
      </c>
      <c r="E233" s="5" t="s">
        <v>1416</v>
      </c>
      <c r="F233" s="5" t="s">
        <v>1336</v>
      </c>
      <c r="G233" s="3" t="s">
        <v>5299</v>
      </c>
      <c r="H233" s="6"/>
      <c r="I233" s="6"/>
      <c r="J233" s="6"/>
      <c r="K233" s="6"/>
      <c r="L233" s="7" t="s">
        <v>5659</v>
      </c>
      <c r="M233" s="8" t="str">
        <f>IF(Caja_Arequipa[[#This Row],[tipo_r]]="R","001-"&amp;12002+A233,M232)</f>
        <v>001-12224</v>
      </c>
      <c r="N233" s="8" t="str">
        <f t="shared" si="20"/>
        <v>PEN</v>
      </c>
      <c r="O233" s="13"/>
      <c r="P233" s="13">
        <v>207.2</v>
      </c>
      <c r="Q233" s="3">
        <f t="shared" si="18"/>
        <v>0</v>
      </c>
      <c r="R233" s="3">
        <f t="shared" si="19"/>
        <v>207.2</v>
      </c>
      <c r="S233" s="3">
        <f t="shared" si="16"/>
        <v>181.39999999999992</v>
      </c>
      <c r="T233" s="24" t="s">
        <v>1334</v>
      </c>
      <c r="U233" s="24" t="s">
        <v>1334</v>
      </c>
      <c r="V233" s="3"/>
      <c r="W233" s="25" t="str">
        <f>IFERROR(VLOOKUP(Caja_Arequipa[[#This Row],[destinatario]],CHOOSE({1,2},Clientes_Proveedores[Razon Social],Clientes_Proveedores[Ruc / Dni]),2,0),"")</f>
        <v/>
      </c>
      <c r="X233" s="3" t="s">
        <v>5660</v>
      </c>
      <c r="Y233" s="3"/>
      <c r="Z233" s="3"/>
      <c r="AA233" s="3"/>
      <c r="AB233" s="3" t="str">
        <f>IF(Caja_Arequipa[[#This Row],[fecha]]&gt;0,TEXT(Caja_Arequipa[[#This Row],[fecha]],"mmmm"),0)</f>
        <v>Marzo</v>
      </c>
    </row>
    <row r="234" spans="1:28" x14ac:dyDescent="0.3">
      <c r="A234" s="2">
        <f>IF(Caja_Arequipa[[#This Row],[tipo_r]]="R",COUNTIFS($C$1:$C233,"R")+1,A233)</f>
        <v>223</v>
      </c>
      <c r="B234" s="19" t="str">
        <f t="shared" si="17"/>
        <v>C-Tesoreria</v>
      </c>
      <c r="C234" s="3" t="s">
        <v>1330</v>
      </c>
      <c r="D234" s="14">
        <v>45737</v>
      </c>
      <c r="E234" s="5" t="s">
        <v>1416</v>
      </c>
      <c r="F234" s="5" t="s">
        <v>1336</v>
      </c>
      <c r="G234" s="3" t="s">
        <v>5299</v>
      </c>
      <c r="H234" s="6"/>
      <c r="I234" s="6"/>
      <c r="J234" s="6"/>
      <c r="K234" s="6"/>
      <c r="L234" s="7" t="s">
        <v>5661</v>
      </c>
      <c r="M234" s="8" t="str">
        <f>IF(Caja_Arequipa[[#This Row],[tipo_r]]="R","001-"&amp;12002+A234,M233)</f>
        <v>001-12225</v>
      </c>
      <c r="N234" s="8" t="str">
        <f t="shared" si="20"/>
        <v>PEN</v>
      </c>
      <c r="O234" s="13"/>
      <c r="P234" s="13">
        <v>63</v>
      </c>
      <c r="Q234" s="3">
        <f t="shared" si="18"/>
        <v>0</v>
      </c>
      <c r="R234" s="3">
        <f t="shared" si="19"/>
        <v>63</v>
      </c>
      <c r="S234" s="3">
        <f t="shared" si="16"/>
        <v>118.39999999999992</v>
      </c>
      <c r="T234" s="24" t="s">
        <v>1334</v>
      </c>
      <c r="U234" s="24" t="s">
        <v>1334</v>
      </c>
      <c r="V234" s="3"/>
      <c r="W234" s="25" t="str">
        <f>IFERROR(VLOOKUP(Caja_Arequipa[[#This Row],[destinatario]],CHOOSE({1,2},Clientes_Proveedores[Razon Social],Clientes_Proveedores[Ruc / Dni]),2,0),"")</f>
        <v/>
      </c>
      <c r="X234" s="3" t="s">
        <v>5662</v>
      </c>
      <c r="Y234" s="3"/>
      <c r="Z234" s="3"/>
      <c r="AA234" s="3"/>
      <c r="AB234" s="3" t="str">
        <f>IF(Caja_Arequipa[[#This Row],[fecha]]&gt;0,TEXT(Caja_Arequipa[[#This Row],[fecha]],"mmmm"),0)</f>
        <v>Marzo</v>
      </c>
    </row>
    <row r="235" spans="1:28" x14ac:dyDescent="0.3">
      <c r="A235" s="2">
        <f>IF(Caja_Arequipa[[#This Row],[tipo_r]]="R",COUNTIFS($C$1:$C234,"R")+1,A234)</f>
        <v>224</v>
      </c>
      <c r="B235" s="19" t="str">
        <f t="shared" si="17"/>
        <v>C-Tesoreria</v>
      </c>
      <c r="C235" s="3" t="s">
        <v>1330</v>
      </c>
      <c r="D235" s="14">
        <v>45740</v>
      </c>
      <c r="E235" s="5" t="s">
        <v>1416</v>
      </c>
      <c r="F235" s="5" t="s">
        <v>1303</v>
      </c>
      <c r="G235" s="3" t="s">
        <v>3634</v>
      </c>
      <c r="H235" s="6"/>
      <c r="I235" s="6"/>
      <c r="J235" s="6"/>
      <c r="K235" s="6"/>
      <c r="L235" s="7" t="s">
        <v>5340</v>
      </c>
      <c r="M235" s="8" t="str">
        <f>IF(Caja_Arequipa[[#This Row],[tipo_r]]="R","001-"&amp;12002+A235,M234)</f>
        <v>001-12226</v>
      </c>
      <c r="N235" s="8" t="str">
        <f t="shared" si="20"/>
        <v>PEN</v>
      </c>
      <c r="O235" s="13"/>
      <c r="P235" s="13">
        <v>400</v>
      </c>
      <c r="Q235" s="3">
        <f t="shared" si="18"/>
        <v>400</v>
      </c>
      <c r="R235" s="3">
        <f t="shared" si="19"/>
        <v>0</v>
      </c>
      <c r="S235" s="3">
        <f t="shared" si="16"/>
        <v>518.39999999999986</v>
      </c>
      <c r="T235" s="24"/>
      <c r="U235" s="24"/>
      <c r="V235" s="3"/>
      <c r="W235" s="25" t="str">
        <f>IFERROR(VLOOKUP(Caja_Arequipa[[#This Row],[destinatario]],CHOOSE({1,2},Clientes_Proveedores[Razon Social],Clientes_Proveedores[Ruc / Dni]),2,0),"")</f>
        <v/>
      </c>
      <c r="X235" s="3"/>
      <c r="Y235" s="3"/>
      <c r="Z235" s="3"/>
      <c r="AA235" s="3"/>
      <c r="AB235" s="3" t="str">
        <f>IF(Caja_Arequipa[[#This Row],[fecha]]&gt;0,TEXT(Caja_Arequipa[[#This Row],[fecha]],"mmmm"),0)</f>
        <v>Marzo</v>
      </c>
    </row>
    <row r="236" spans="1:28" ht="108" x14ac:dyDescent="0.3">
      <c r="A236" s="2">
        <f>IF(Caja_Arequipa[[#This Row],[tipo_r]]="R",COUNTIFS($C$1:$C235,"R")+1,A235)</f>
        <v>225</v>
      </c>
      <c r="B236" s="19" t="str">
        <f t="shared" si="17"/>
        <v>C-Tesoreria</v>
      </c>
      <c r="C236" s="3" t="s">
        <v>1330</v>
      </c>
      <c r="D236" s="14">
        <v>45740</v>
      </c>
      <c r="E236" s="5" t="s">
        <v>1416</v>
      </c>
      <c r="F236" s="5" t="s">
        <v>1336</v>
      </c>
      <c r="G236" s="3" t="s">
        <v>5380</v>
      </c>
      <c r="H236" s="6"/>
      <c r="I236" s="6"/>
      <c r="J236" s="6"/>
      <c r="K236" s="6"/>
      <c r="L236" s="7" t="s">
        <v>5508</v>
      </c>
      <c r="M236" s="8" t="str">
        <f>IF(Caja_Arequipa[[#This Row],[tipo_r]]="R","001-"&amp;12002+A236,M235)</f>
        <v>001-12227</v>
      </c>
      <c r="N236" s="8" t="str">
        <f t="shared" si="20"/>
        <v>PEN</v>
      </c>
      <c r="O236" s="13"/>
      <c r="P236" s="13">
        <v>211</v>
      </c>
      <c r="Q236" s="3">
        <f t="shared" si="18"/>
        <v>0</v>
      </c>
      <c r="R236" s="3">
        <f t="shared" si="19"/>
        <v>211</v>
      </c>
      <c r="S236" s="3">
        <f t="shared" si="16"/>
        <v>307.39999999999986</v>
      </c>
      <c r="T236" s="24" t="s">
        <v>1334</v>
      </c>
      <c r="U236" s="24" t="s">
        <v>1334</v>
      </c>
      <c r="V236" s="3"/>
      <c r="W236" s="25" t="str">
        <f>IFERROR(VLOOKUP(Caja_Arequipa[[#This Row],[destinatario]],CHOOSE({1,2},Clientes_Proveedores[Razon Social],Clientes_Proveedores[Ruc / Dni]),2,0),"")</f>
        <v/>
      </c>
      <c r="X236" s="3" t="s">
        <v>5663</v>
      </c>
      <c r="Y236" s="3"/>
      <c r="Z236" s="3"/>
      <c r="AA236" s="3"/>
      <c r="AB236" s="3" t="str">
        <f>IF(Caja_Arequipa[[#This Row],[fecha]]&gt;0,TEXT(Caja_Arequipa[[#This Row],[fecha]],"mmmm"),0)</f>
        <v>Marzo</v>
      </c>
    </row>
    <row r="237" spans="1:28" x14ac:dyDescent="0.3">
      <c r="A237" s="2">
        <f>IF(Caja_Arequipa[[#This Row],[tipo_r]]="R",COUNTIFS($C$1:$C236,"R")+1,A236)</f>
        <v>226</v>
      </c>
      <c r="B237" s="19" t="str">
        <f t="shared" si="17"/>
        <v>C-Tesoreria</v>
      </c>
      <c r="C237" s="3" t="s">
        <v>1330</v>
      </c>
      <c r="D237" s="14">
        <v>45741</v>
      </c>
      <c r="E237" s="5" t="s">
        <v>1416</v>
      </c>
      <c r="F237" s="5" t="s">
        <v>1336</v>
      </c>
      <c r="G237" s="3" t="s">
        <v>5664</v>
      </c>
      <c r="H237" s="6"/>
      <c r="I237" s="6" t="s">
        <v>111</v>
      </c>
      <c r="J237" s="6">
        <v>3</v>
      </c>
      <c r="K237" s="6">
        <v>80</v>
      </c>
      <c r="L237" s="7" t="s">
        <v>5665</v>
      </c>
      <c r="M237" s="8" t="str">
        <f>IF(Caja_Arequipa[[#This Row],[tipo_r]]="R","001-"&amp;12002+A237,M236)</f>
        <v>001-12228</v>
      </c>
      <c r="N237" s="8" t="str">
        <f t="shared" si="20"/>
        <v>PEN</v>
      </c>
      <c r="O237" s="13"/>
      <c r="P237" s="13">
        <v>22</v>
      </c>
      <c r="Q237" s="3">
        <f t="shared" si="18"/>
        <v>0</v>
      </c>
      <c r="R237" s="3">
        <f t="shared" si="19"/>
        <v>22</v>
      </c>
      <c r="S237" s="3">
        <f t="shared" si="16"/>
        <v>285.39999999999986</v>
      </c>
      <c r="T237" s="24" t="s">
        <v>1334</v>
      </c>
      <c r="U237" s="24" t="s">
        <v>1334</v>
      </c>
      <c r="V237" s="3"/>
      <c r="W237" s="25" t="str">
        <f>IFERROR(VLOOKUP(Caja_Arequipa[[#This Row],[destinatario]],CHOOSE({1,2},Clientes_Proveedores[Razon Social],Clientes_Proveedores[Ruc / Dni]),2,0),"")</f>
        <v/>
      </c>
      <c r="X237" s="3" t="s">
        <v>5666</v>
      </c>
      <c r="Y237" s="3"/>
      <c r="Z237" s="3"/>
      <c r="AA237" s="3"/>
      <c r="AB237" s="3" t="str">
        <f>IF(Caja_Arequipa[[#This Row],[fecha]]&gt;0,TEXT(Caja_Arequipa[[#This Row],[fecha]],"mmmm"),0)</f>
        <v>Marzo</v>
      </c>
    </row>
    <row r="238" spans="1:28" x14ac:dyDescent="0.3">
      <c r="A238" s="2">
        <f>IF(Caja_Arequipa[[#This Row],[tipo_r]]="R",COUNTIFS($C$1:$C237,"R")+1,A237)</f>
        <v>227</v>
      </c>
      <c r="B238" s="19" t="str">
        <f t="shared" si="17"/>
        <v>C-Tesoreria</v>
      </c>
      <c r="C238" s="3" t="s">
        <v>1330</v>
      </c>
      <c r="D238" s="14">
        <v>45741</v>
      </c>
      <c r="E238" s="5" t="s">
        <v>1416</v>
      </c>
      <c r="F238" s="5" t="s">
        <v>1336</v>
      </c>
      <c r="G238" s="3" t="s">
        <v>5450</v>
      </c>
      <c r="H238" s="6"/>
      <c r="I238" s="6" t="s">
        <v>111</v>
      </c>
      <c r="J238" s="6">
        <v>3</v>
      </c>
      <c r="K238" s="6">
        <v>81</v>
      </c>
      <c r="L238" s="7" t="s">
        <v>5667</v>
      </c>
      <c r="M238" s="8" t="str">
        <f>IF(Caja_Arequipa[[#This Row],[tipo_r]]="R","001-"&amp;12002+A238,M237)</f>
        <v>001-12229</v>
      </c>
      <c r="N238" s="8" t="str">
        <f t="shared" si="20"/>
        <v>PEN</v>
      </c>
      <c r="O238" s="13"/>
      <c r="P238" s="13">
        <v>20</v>
      </c>
      <c r="Q238" s="3">
        <f t="shared" si="18"/>
        <v>0</v>
      </c>
      <c r="R238" s="3">
        <f t="shared" si="19"/>
        <v>20</v>
      </c>
      <c r="S238" s="3">
        <f t="shared" si="16"/>
        <v>265.39999999999986</v>
      </c>
      <c r="T238" s="24" t="s">
        <v>1334</v>
      </c>
      <c r="U238" s="24" t="s">
        <v>1334</v>
      </c>
      <c r="V238" s="3"/>
      <c r="W238" s="25" t="str">
        <f>IFERROR(VLOOKUP(Caja_Arequipa[[#This Row],[destinatario]],CHOOSE({1,2},Clientes_Proveedores[Razon Social],Clientes_Proveedores[Ruc / Dni]),2,0),"")</f>
        <v/>
      </c>
      <c r="X238" s="3" t="s">
        <v>5668</v>
      </c>
      <c r="Y238" s="3"/>
      <c r="Z238" s="3"/>
      <c r="AA238" s="3"/>
      <c r="AB238" s="3" t="str">
        <f>IF(Caja_Arequipa[[#This Row],[fecha]]&gt;0,TEXT(Caja_Arequipa[[#This Row],[fecha]],"mmmm"),0)</f>
        <v>Marzo</v>
      </c>
    </row>
    <row r="239" spans="1:28" ht="24" x14ac:dyDescent="0.3">
      <c r="A239" s="22">
        <f>IF(Caja_Arequipa[[#This Row],[tipo_r]]="R",COUNTIFS($C$1:$C238,"R")+1,A238)</f>
        <v>228</v>
      </c>
      <c r="B239" s="19" t="str">
        <f t="shared" si="17"/>
        <v>C-Tesoreria</v>
      </c>
      <c r="C239" s="3" t="s">
        <v>1330</v>
      </c>
      <c r="D239" s="14">
        <v>45741</v>
      </c>
      <c r="E239" s="5" t="s">
        <v>1416</v>
      </c>
      <c r="F239" s="5" t="s">
        <v>1336</v>
      </c>
      <c r="G239" s="3" t="s">
        <v>5299</v>
      </c>
      <c r="H239" s="6"/>
      <c r="I239" s="6"/>
      <c r="J239" s="6"/>
      <c r="K239" s="6"/>
      <c r="L239" s="7" t="s">
        <v>5669</v>
      </c>
      <c r="M239" s="8" t="str">
        <f>IF(Caja_Arequipa[[#This Row],[tipo_r]]="R","001-"&amp;12002+A239,M238)</f>
        <v>001-12230</v>
      </c>
      <c r="N239" s="8" t="str">
        <f t="shared" si="20"/>
        <v>PEN</v>
      </c>
      <c r="O239" s="13"/>
      <c r="P239" s="13">
        <v>31</v>
      </c>
      <c r="Q239" s="3">
        <f t="shared" si="18"/>
        <v>0</v>
      </c>
      <c r="R239" s="3">
        <f t="shared" si="19"/>
        <v>31</v>
      </c>
      <c r="S239" s="3">
        <f t="shared" si="16"/>
        <v>234.39999999999986</v>
      </c>
      <c r="T239" s="24" t="s">
        <v>1334</v>
      </c>
      <c r="U239" s="24" t="s">
        <v>1334</v>
      </c>
      <c r="V239" s="3"/>
      <c r="W239" s="25" t="str">
        <f>IFERROR(VLOOKUP(Caja_Arequipa[[#This Row],[destinatario]],CHOOSE({1,2},Clientes_Proveedores[Razon Social],Clientes_Proveedores[Ruc / Dni]),2,0),"")</f>
        <v/>
      </c>
      <c r="X239" s="3" t="s">
        <v>5670</v>
      </c>
      <c r="Y239" s="3"/>
      <c r="Z239" s="3"/>
      <c r="AA239" s="3"/>
      <c r="AB239" s="3" t="str">
        <f>IF(Caja_Arequipa[[#This Row],[fecha]]&gt;0,TEXT(Caja_Arequipa[[#This Row],[fecha]],"mmmm"),0)</f>
        <v>Marzo</v>
      </c>
    </row>
    <row r="240" spans="1:28" ht="36" x14ac:dyDescent="0.3">
      <c r="A240" s="22">
        <f>IF(Caja_Arequipa[[#This Row],[tipo_r]]="R",COUNTIFS($C$1:$C239,"R")+1,A239)</f>
        <v>228</v>
      </c>
      <c r="B240" s="19" t="str">
        <f>"C-Tesoreria"</f>
        <v>C-Tesoreria</v>
      </c>
      <c r="C240" s="3" t="s">
        <v>1352</v>
      </c>
      <c r="D240" s="14">
        <v>45741</v>
      </c>
      <c r="E240" s="5" t="s">
        <v>1416</v>
      </c>
      <c r="F240" s="5" t="s">
        <v>1336</v>
      </c>
      <c r="G240" s="3" t="s">
        <v>5299</v>
      </c>
      <c r="H240" s="6" t="s">
        <v>1030</v>
      </c>
      <c r="I240" s="6" t="s">
        <v>68</v>
      </c>
      <c r="J240" s="6" t="s">
        <v>5671</v>
      </c>
      <c r="K240" s="6">
        <v>176</v>
      </c>
      <c r="L240" s="7" t="s">
        <v>5669</v>
      </c>
      <c r="M240" s="8" t="str">
        <f>IF(Caja_Arequipa[[#This Row],[tipo_r]]="R","001-"&amp;12002+A240,M239)</f>
        <v>001-12230</v>
      </c>
      <c r="N240" s="8" t="str">
        <f>"PEN"</f>
        <v>PEN</v>
      </c>
      <c r="O240" s="13">
        <v>20</v>
      </c>
      <c r="P240" s="13"/>
      <c r="Q240" s="3">
        <f>+IF(OR($F240="SALDO",$F240="INGRESO"),$P240,0)</f>
        <v>0</v>
      </c>
      <c r="R240" s="3">
        <f>+IF($F240="EGRESO",$P240,0)</f>
        <v>0</v>
      </c>
      <c r="S240" s="3">
        <f t="shared" si="16"/>
        <v>234.39999999999986</v>
      </c>
      <c r="T240" s="24"/>
      <c r="U240" s="24"/>
      <c r="V240" s="3"/>
      <c r="W240" s="25">
        <f>IFERROR(VLOOKUP(Caja_Arequipa[[#This Row],[destinatario]],CHOOSE({1,2},Clientes_Proveedores[Razon Social],Clientes_Proveedores[Ruc / Dni]),2,0),"")</f>
        <v>20515659324</v>
      </c>
      <c r="X240" s="3"/>
      <c r="Y240" s="3"/>
      <c r="Z240" s="3"/>
      <c r="AA240" s="3"/>
      <c r="AB240" s="3" t="str">
        <f>IF(Caja_Arequipa[[#This Row],[fecha]]&gt;0,TEXT(Caja_Arequipa[[#This Row],[fecha]],"mmmm"),0)</f>
        <v>Marzo</v>
      </c>
    </row>
    <row r="241" spans="1:28" x14ac:dyDescent="0.3">
      <c r="A241" s="22">
        <f>IF(Caja_Arequipa[[#This Row],[tipo_r]]="R",COUNTIFS($C$1:$C240,"R")+1,A240)</f>
        <v>228</v>
      </c>
      <c r="B241" s="19" t="str">
        <f>"C-Tesoreria"</f>
        <v>C-Tesoreria</v>
      </c>
      <c r="C241" s="3" t="s">
        <v>1352</v>
      </c>
      <c r="D241" s="14">
        <v>45741</v>
      </c>
      <c r="E241" s="5" t="s">
        <v>1416</v>
      </c>
      <c r="F241" s="5" t="s">
        <v>1336</v>
      </c>
      <c r="G241" s="3" t="s">
        <v>5299</v>
      </c>
      <c r="H241" s="6"/>
      <c r="I241" s="6" t="s">
        <v>111</v>
      </c>
      <c r="J241" s="6">
        <v>3</v>
      </c>
      <c r="K241" s="6">
        <v>85</v>
      </c>
      <c r="L241" s="7" t="s">
        <v>5669</v>
      </c>
      <c r="M241" s="8" t="str">
        <f>IF(Caja_Arequipa[[#This Row],[tipo_r]]="R","001-"&amp;12002+A241,M240)</f>
        <v>001-12230</v>
      </c>
      <c r="N241" s="8" t="str">
        <f>"PEN"</f>
        <v>PEN</v>
      </c>
      <c r="O241" s="13">
        <v>11</v>
      </c>
      <c r="P241" s="13"/>
      <c r="Q241" s="3">
        <f>+IF(OR($F241="SALDO",$F241="INGRESO"),$P241,0)</f>
        <v>0</v>
      </c>
      <c r="R241" s="3">
        <f>+IF($F241="EGRESO",$P241,0)</f>
        <v>0</v>
      </c>
      <c r="S241" s="3">
        <f t="shared" si="16"/>
        <v>234.39999999999986</v>
      </c>
      <c r="T241" s="24"/>
      <c r="U241" s="24"/>
      <c r="V241" s="3"/>
      <c r="W241" s="25" t="str">
        <f>IFERROR(VLOOKUP(Caja_Arequipa[[#This Row],[destinatario]],CHOOSE({1,2},Clientes_Proveedores[Razon Social],Clientes_Proveedores[Ruc / Dni]),2,0),"")</f>
        <v/>
      </c>
      <c r="X241" s="3"/>
      <c r="Y241" s="3"/>
      <c r="Z241" s="3"/>
      <c r="AA241" s="3"/>
      <c r="AB241" s="3" t="str">
        <f>IF(Caja_Arequipa[[#This Row],[fecha]]&gt;0,TEXT(Caja_Arequipa[[#This Row],[fecha]],"mmmm"),0)</f>
        <v>Marzo</v>
      </c>
    </row>
    <row r="242" spans="1:28" x14ac:dyDescent="0.3">
      <c r="A242" s="2">
        <f>IF(Caja_Arequipa[[#This Row],[tipo_r]]="R",COUNTIFS($C$1:$C241,"R")+1,A241)</f>
        <v>229</v>
      </c>
      <c r="B242" s="19" t="str">
        <f t="shared" si="17"/>
        <v>C-Tesoreria</v>
      </c>
      <c r="C242" s="3" t="s">
        <v>1330</v>
      </c>
      <c r="D242" s="14">
        <v>45743</v>
      </c>
      <c r="E242" s="5" t="s">
        <v>1416</v>
      </c>
      <c r="F242" s="5" t="s">
        <v>1303</v>
      </c>
      <c r="G242" s="3" t="s">
        <v>5432</v>
      </c>
      <c r="H242" s="6"/>
      <c r="I242" s="6"/>
      <c r="J242" s="6"/>
      <c r="K242" s="6"/>
      <c r="L242" s="7" t="s">
        <v>5672</v>
      </c>
      <c r="M242" s="8" t="str">
        <f>IF(Caja_Arequipa[[#This Row],[tipo_r]]="R","001-"&amp;12002+A242,M241)</f>
        <v>001-12231</v>
      </c>
      <c r="N242" s="8" t="str">
        <f t="shared" si="20"/>
        <v>PEN</v>
      </c>
      <c r="O242" s="13"/>
      <c r="P242" s="13">
        <v>1896.4</v>
      </c>
      <c r="Q242" s="3">
        <f t="shared" si="18"/>
        <v>1896.4</v>
      </c>
      <c r="R242" s="3">
        <f t="shared" si="19"/>
        <v>0</v>
      </c>
      <c r="S242" s="3">
        <f t="shared" si="16"/>
        <v>2130.8000000000002</v>
      </c>
      <c r="T242" s="24"/>
      <c r="U242" s="24"/>
      <c r="V242" s="3"/>
      <c r="W242" s="25" t="str">
        <f>IFERROR(VLOOKUP(Caja_Arequipa[[#This Row],[destinatario]],CHOOSE({1,2},Clientes_Proveedores[Razon Social],Clientes_Proveedores[Ruc / Dni]),2,0),"")</f>
        <v/>
      </c>
      <c r="X242" s="3"/>
      <c r="Y242" s="3"/>
      <c r="Z242" s="3"/>
      <c r="AA242" s="3"/>
      <c r="AB242" s="3" t="str">
        <f>IF(Caja_Arequipa[[#This Row],[fecha]]&gt;0,TEXT(Caja_Arequipa[[#This Row],[fecha]],"mmmm"),0)</f>
        <v>Marzo</v>
      </c>
    </row>
    <row r="243" spans="1:28" x14ac:dyDescent="0.3">
      <c r="A243" s="2">
        <f>IF(Caja_Arequipa[[#This Row],[tipo_r]]="R",COUNTIFS($C$1:$C242,"R")+1,A242)</f>
        <v>230</v>
      </c>
      <c r="B243" s="19" t="str">
        <f t="shared" si="17"/>
        <v>C-Tesoreria</v>
      </c>
      <c r="C243" s="3" t="s">
        <v>1330</v>
      </c>
      <c r="D243" s="14">
        <v>45743</v>
      </c>
      <c r="E243" s="5" t="s">
        <v>1416</v>
      </c>
      <c r="F243" s="5" t="s">
        <v>1336</v>
      </c>
      <c r="G243" s="3" t="s">
        <v>3634</v>
      </c>
      <c r="H243" s="6"/>
      <c r="I243" s="6"/>
      <c r="J243" s="6"/>
      <c r="K243" s="6"/>
      <c r="L243" s="7" t="s">
        <v>5434</v>
      </c>
      <c r="M243" s="8" t="str">
        <f>IF(Caja_Arequipa[[#This Row],[tipo_r]]="R","001-"&amp;12002+A243,M242)</f>
        <v>001-12232</v>
      </c>
      <c r="N243" s="8" t="str">
        <f t="shared" si="20"/>
        <v>PEN</v>
      </c>
      <c r="O243" s="13"/>
      <c r="P243" s="13">
        <v>400</v>
      </c>
      <c r="Q243" s="3">
        <f t="shared" si="18"/>
        <v>0</v>
      </c>
      <c r="R243" s="3">
        <f t="shared" si="19"/>
        <v>400</v>
      </c>
      <c r="S243" s="3">
        <f t="shared" si="16"/>
        <v>1730.8000000000002</v>
      </c>
      <c r="T243" s="24"/>
      <c r="U243" s="24"/>
      <c r="V243" s="3"/>
      <c r="W243" s="25" t="str">
        <f>IFERROR(VLOOKUP(Caja_Arequipa[[#This Row],[destinatario]],CHOOSE({1,2},Clientes_Proveedores[Razon Social],Clientes_Proveedores[Ruc / Dni]),2,0),"")</f>
        <v/>
      </c>
      <c r="X243" s="3"/>
      <c r="Y243" s="3"/>
      <c r="Z243" s="3"/>
      <c r="AA243" s="3"/>
      <c r="AB243" s="3" t="str">
        <f>IF(Caja_Arequipa[[#This Row],[fecha]]&gt;0,TEXT(Caja_Arequipa[[#This Row],[fecha]],"mmmm"),0)</f>
        <v>Marzo</v>
      </c>
    </row>
    <row r="244" spans="1:28" x14ac:dyDescent="0.3">
      <c r="A244" s="2">
        <f>IF(Caja_Arequipa[[#This Row],[tipo_r]]="R",COUNTIFS($C$1:$C243,"R")+1,A243)</f>
        <v>231</v>
      </c>
      <c r="B244" s="19" t="str">
        <f t="shared" si="17"/>
        <v>C-Tesoreria</v>
      </c>
      <c r="C244" s="3" t="s">
        <v>1330</v>
      </c>
      <c r="D244" s="14">
        <v>45743</v>
      </c>
      <c r="E244" s="5" t="s">
        <v>1416</v>
      </c>
      <c r="F244" s="5" t="s">
        <v>1336</v>
      </c>
      <c r="G244" s="3" t="s">
        <v>3308</v>
      </c>
      <c r="H244" s="6"/>
      <c r="I244" s="6" t="s">
        <v>111</v>
      </c>
      <c r="J244" s="6">
        <v>3</v>
      </c>
      <c r="K244" s="6">
        <v>82</v>
      </c>
      <c r="L244" s="7" t="s">
        <v>5673</v>
      </c>
      <c r="M244" s="8" t="str">
        <f>IF(Caja_Arequipa[[#This Row],[tipo_r]]="R","001-"&amp;12002+A244,M243)</f>
        <v>001-12233</v>
      </c>
      <c r="N244" s="8" t="str">
        <f t="shared" si="20"/>
        <v>PEN</v>
      </c>
      <c r="O244" s="13"/>
      <c r="P244" s="13">
        <v>35</v>
      </c>
      <c r="Q244" s="3">
        <f t="shared" si="18"/>
        <v>0</v>
      </c>
      <c r="R244" s="3">
        <f t="shared" si="19"/>
        <v>35</v>
      </c>
      <c r="S244" s="3">
        <f t="shared" si="16"/>
        <v>1695.8000000000002</v>
      </c>
      <c r="T244" s="24" t="s">
        <v>1334</v>
      </c>
      <c r="U244" s="24" t="s">
        <v>1334</v>
      </c>
      <c r="V244" s="3"/>
      <c r="W244" s="25" t="str">
        <f>IFERROR(VLOOKUP(Caja_Arequipa[[#This Row],[destinatario]],CHOOSE({1,2},Clientes_Proveedores[Razon Social],Clientes_Proveedores[Ruc / Dni]),2,0),"")</f>
        <v/>
      </c>
      <c r="X244" s="3" t="s">
        <v>5674</v>
      </c>
      <c r="Y244" s="3"/>
      <c r="Z244" s="3"/>
      <c r="AA244" s="3"/>
      <c r="AB244" s="3" t="str">
        <f>IF(Caja_Arequipa[[#This Row],[fecha]]&gt;0,TEXT(Caja_Arequipa[[#This Row],[fecha]],"mmmm"),0)</f>
        <v>Marzo</v>
      </c>
    </row>
    <row r="245" spans="1:28" x14ac:dyDescent="0.3">
      <c r="A245" s="2">
        <f>IF(Caja_Arequipa[[#This Row],[tipo_r]]="R",COUNTIFS($C$1:$C244,"R")+1,A244)</f>
        <v>232</v>
      </c>
      <c r="B245" s="19" t="str">
        <f t="shared" si="17"/>
        <v>C-Tesoreria</v>
      </c>
      <c r="C245" s="3" t="s">
        <v>1330</v>
      </c>
      <c r="D245" s="14">
        <v>45744</v>
      </c>
      <c r="E245" s="5" t="s">
        <v>1416</v>
      </c>
      <c r="F245" s="5" t="s">
        <v>1336</v>
      </c>
      <c r="G245" s="3" t="s">
        <v>5450</v>
      </c>
      <c r="H245" s="6"/>
      <c r="I245" s="6" t="s">
        <v>111</v>
      </c>
      <c r="J245" s="6">
        <v>3</v>
      </c>
      <c r="K245" s="6">
        <v>83</v>
      </c>
      <c r="L245" s="7" t="s">
        <v>5675</v>
      </c>
      <c r="M245" s="8" t="str">
        <f>IF(Caja_Arequipa[[#This Row],[tipo_r]]="R","001-"&amp;12002+A245,M244)</f>
        <v>001-12234</v>
      </c>
      <c r="N245" s="8" t="str">
        <f t="shared" si="20"/>
        <v>PEN</v>
      </c>
      <c r="O245" s="13"/>
      <c r="P245" s="13">
        <v>15</v>
      </c>
      <c r="Q245" s="3">
        <f t="shared" si="18"/>
        <v>0</v>
      </c>
      <c r="R245" s="3">
        <f t="shared" si="19"/>
        <v>15</v>
      </c>
      <c r="S245" s="3">
        <f t="shared" si="16"/>
        <v>1680.8000000000002</v>
      </c>
      <c r="T245" s="24" t="s">
        <v>1334</v>
      </c>
      <c r="U245" s="24" t="s">
        <v>1334</v>
      </c>
      <c r="V245" s="3"/>
      <c r="W245" s="25" t="str">
        <f>IFERROR(VLOOKUP(Caja_Arequipa[[#This Row],[destinatario]],CHOOSE({1,2},Clientes_Proveedores[Razon Social],Clientes_Proveedores[Ruc / Dni]),2,0),"")</f>
        <v/>
      </c>
      <c r="X245" s="3" t="s">
        <v>5676</v>
      </c>
      <c r="Y245" s="3"/>
      <c r="Z245" s="3"/>
      <c r="AA245" s="3"/>
      <c r="AB245" s="3" t="str">
        <f>IF(Caja_Arequipa[[#This Row],[fecha]]&gt;0,TEXT(Caja_Arequipa[[#This Row],[fecha]],"mmmm"),0)</f>
        <v>Marzo</v>
      </c>
    </row>
    <row r="246" spans="1:28" x14ac:dyDescent="0.3">
      <c r="A246" s="2">
        <f>IF(Caja_Arequipa[[#This Row],[tipo_r]]="R",COUNTIFS($C$1:$C245,"R")+1,A245)</f>
        <v>233</v>
      </c>
      <c r="B246" s="19" t="str">
        <f t="shared" si="17"/>
        <v>C-Tesoreria</v>
      </c>
      <c r="C246" s="3" t="s">
        <v>1330</v>
      </c>
      <c r="D246" s="14">
        <v>45744</v>
      </c>
      <c r="E246" s="5" t="s">
        <v>1416</v>
      </c>
      <c r="F246" s="5" t="s">
        <v>1336</v>
      </c>
      <c r="G246" s="3" t="s">
        <v>5250</v>
      </c>
      <c r="H246" s="6"/>
      <c r="I246" s="6" t="s">
        <v>111</v>
      </c>
      <c r="J246" s="6">
        <v>3</v>
      </c>
      <c r="K246" s="6">
        <v>84</v>
      </c>
      <c r="L246" s="7" t="s">
        <v>5675</v>
      </c>
      <c r="M246" s="8" t="str">
        <f>IF(Caja_Arequipa[[#This Row],[tipo_r]]="R","001-"&amp;12002+A246,M245)</f>
        <v>001-12235</v>
      </c>
      <c r="N246" s="8" t="str">
        <f t="shared" si="20"/>
        <v>PEN</v>
      </c>
      <c r="O246" s="13"/>
      <c r="P246" s="13">
        <v>15</v>
      </c>
      <c r="Q246" s="3">
        <f t="shared" si="18"/>
        <v>0</v>
      </c>
      <c r="R246" s="3">
        <f t="shared" si="19"/>
        <v>15</v>
      </c>
      <c r="S246" s="3">
        <f t="shared" si="16"/>
        <v>1665.8000000000002</v>
      </c>
      <c r="T246" s="24" t="s">
        <v>1334</v>
      </c>
      <c r="U246" s="24" t="s">
        <v>1334</v>
      </c>
      <c r="V246" s="3"/>
      <c r="W246" s="25" t="str">
        <f>IFERROR(VLOOKUP(Caja_Arequipa[[#This Row],[destinatario]],CHOOSE({1,2},Clientes_Proveedores[Razon Social],Clientes_Proveedores[Ruc / Dni]),2,0),"")</f>
        <v/>
      </c>
      <c r="X246" s="3" t="s">
        <v>5677</v>
      </c>
      <c r="Y246" s="3"/>
      <c r="Z246" s="3"/>
      <c r="AA246" s="3"/>
      <c r="AB246" s="3" t="str">
        <f>IF(Caja_Arequipa[[#This Row],[fecha]]&gt;0,TEXT(Caja_Arequipa[[#This Row],[fecha]],"mmmm"),0)</f>
        <v>Marzo</v>
      </c>
    </row>
    <row r="247" spans="1:28" x14ac:dyDescent="0.3">
      <c r="A247" s="2">
        <f>IF(Caja_Arequipa[[#This Row],[tipo_r]]="R",COUNTIFS($C$1:$C246,"R")+1,A246)</f>
        <v>234</v>
      </c>
      <c r="B247" s="19" t="str">
        <f t="shared" si="17"/>
        <v>C-Tesoreria</v>
      </c>
      <c r="C247" s="3" t="s">
        <v>1330</v>
      </c>
      <c r="D247" s="14">
        <v>45744</v>
      </c>
      <c r="E247" s="5" t="s">
        <v>1416</v>
      </c>
      <c r="F247" s="5" t="s">
        <v>1336</v>
      </c>
      <c r="G247" s="3" t="s">
        <v>5299</v>
      </c>
      <c r="H247" s="6"/>
      <c r="I247" s="6"/>
      <c r="J247" s="6"/>
      <c r="K247" s="6"/>
      <c r="L247" s="7" t="s">
        <v>5678</v>
      </c>
      <c r="M247" s="8" t="str">
        <f>IF(Caja_Arequipa[[#This Row],[tipo_r]]="R","001-"&amp;12002+A247,M246)</f>
        <v>001-12236</v>
      </c>
      <c r="N247" s="8" t="str">
        <f t="shared" si="20"/>
        <v>PEN</v>
      </c>
      <c r="O247" s="13"/>
      <c r="P247" s="13">
        <v>95</v>
      </c>
      <c r="Q247" s="3">
        <f t="shared" si="18"/>
        <v>0</v>
      </c>
      <c r="R247" s="3">
        <f t="shared" si="19"/>
        <v>95</v>
      </c>
      <c r="S247" s="3">
        <f t="shared" si="16"/>
        <v>1570.8000000000002</v>
      </c>
      <c r="T247" s="24" t="s">
        <v>1334</v>
      </c>
      <c r="U247" s="24" t="s">
        <v>1334</v>
      </c>
      <c r="V247" s="3"/>
      <c r="W247" s="25" t="str">
        <f>IFERROR(VLOOKUP(Caja_Arequipa[[#This Row],[destinatario]],CHOOSE({1,2},Clientes_Proveedores[Razon Social],Clientes_Proveedores[Ruc / Dni]),2,0),"")</f>
        <v/>
      </c>
      <c r="X247" s="3" t="s">
        <v>5679</v>
      </c>
      <c r="Y247" s="3"/>
      <c r="Z247" s="3"/>
      <c r="AA247" s="3"/>
      <c r="AB247" s="3" t="str">
        <f>IF(Caja_Arequipa[[#This Row],[fecha]]&gt;0,TEXT(Caja_Arequipa[[#This Row],[fecha]],"mmmm"),0)</f>
        <v>Marzo</v>
      </c>
    </row>
    <row r="248" spans="1:28" ht="24" x14ac:dyDescent="0.3">
      <c r="A248" s="2">
        <f>IF(Caja_Arequipa[[#This Row],[tipo_r]]="R",COUNTIFS($C$1:$C247,"R")+1,A247)</f>
        <v>235</v>
      </c>
      <c r="B248" s="19" t="str">
        <f t="shared" si="17"/>
        <v>C-Tesoreria</v>
      </c>
      <c r="C248" s="3" t="s">
        <v>1330</v>
      </c>
      <c r="D248" s="14">
        <v>45744</v>
      </c>
      <c r="E248" s="5" t="s">
        <v>1416</v>
      </c>
      <c r="F248" s="5" t="s">
        <v>1336</v>
      </c>
      <c r="G248" s="3" t="s">
        <v>5274</v>
      </c>
      <c r="H248" s="6"/>
      <c r="I248" s="6" t="s">
        <v>111</v>
      </c>
      <c r="J248" s="6">
        <v>3</v>
      </c>
      <c r="K248" s="6">
        <v>101</v>
      </c>
      <c r="L248" s="7" t="s">
        <v>5680</v>
      </c>
      <c r="M248" s="8" t="str">
        <f>IF(Caja_Arequipa[[#This Row],[tipo_r]]="R","001-"&amp;12002+A248,M247)</f>
        <v>001-12237</v>
      </c>
      <c r="N248" s="8" t="str">
        <f t="shared" si="20"/>
        <v>PEN</v>
      </c>
      <c r="O248" s="13"/>
      <c r="P248" s="13">
        <v>20</v>
      </c>
      <c r="Q248" s="3">
        <f t="shared" si="18"/>
        <v>0</v>
      </c>
      <c r="R248" s="3">
        <f t="shared" si="19"/>
        <v>20</v>
      </c>
      <c r="S248" s="3">
        <f t="shared" si="16"/>
        <v>1550.8000000000002</v>
      </c>
      <c r="T248" s="24" t="s">
        <v>1334</v>
      </c>
      <c r="U248" s="24" t="s">
        <v>1334</v>
      </c>
      <c r="V248" s="3"/>
      <c r="W248" s="25" t="str">
        <f>IFERROR(VLOOKUP(Caja_Arequipa[[#This Row],[destinatario]],CHOOSE({1,2},Clientes_Proveedores[Razon Social],Clientes_Proveedores[Ruc / Dni]),2,0),"")</f>
        <v/>
      </c>
      <c r="X248" s="3" t="s">
        <v>5681</v>
      </c>
      <c r="Y248" s="3"/>
      <c r="Z248" s="3"/>
      <c r="AA248" s="3"/>
      <c r="AB248" s="3" t="str">
        <f>IF(Caja_Arequipa[[#This Row],[fecha]]&gt;0,TEXT(Caja_Arequipa[[#This Row],[fecha]],"mmmm"),0)</f>
        <v>Marzo</v>
      </c>
    </row>
    <row r="249" spans="1:28" ht="24" x14ac:dyDescent="0.3">
      <c r="A249" s="2">
        <f>IF(Caja_Arequipa[[#This Row],[tipo_r]]="R",COUNTIFS($C$1:$C248,"R")+1,A248)</f>
        <v>236</v>
      </c>
      <c r="B249" s="19" t="str">
        <f t="shared" si="17"/>
        <v>C-Tesoreria</v>
      </c>
      <c r="C249" s="3" t="s">
        <v>1330</v>
      </c>
      <c r="D249" s="14">
        <v>45744</v>
      </c>
      <c r="E249" s="5" t="s">
        <v>1416</v>
      </c>
      <c r="F249" s="5" t="s">
        <v>1336</v>
      </c>
      <c r="G249" s="3" t="s">
        <v>5299</v>
      </c>
      <c r="H249" s="6"/>
      <c r="I249" s="6" t="s">
        <v>111</v>
      </c>
      <c r="J249" s="6">
        <v>3</v>
      </c>
      <c r="K249" s="6">
        <v>89</v>
      </c>
      <c r="L249" s="7" t="s">
        <v>5682</v>
      </c>
      <c r="M249" s="8" t="str">
        <f>IF(Caja_Arequipa[[#This Row],[tipo_r]]="R","001-"&amp;12002+A249,M248)</f>
        <v>001-12238</v>
      </c>
      <c r="N249" s="8" t="str">
        <f t="shared" si="20"/>
        <v>PEN</v>
      </c>
      <c r="O249" s="13"/>
      <c r="P249" s="13">
        <v>10</v>
      </c>
      <c r="Q249" s="3">
        <f t="shared" si="18"/>
        <v>0</v>
      </c>
      <c r="R249" s="3">
        <f t="shared" si="19"/>
        <v>10</v>
      </c>
      <c r="S249" s="3">
        <f t="shared" si="16"/>
        <v>1540.8000000000002</v>
      </c>
      <c r="T249" s="24" t="s">
        <v>1334</v>
      </c>
      <c r="U249" s="24" t="s">
        <v>1334</v>
      </c>
      <c r="V249" s="3"/>
      <c r="W249" s="25" t="str">
        <f>IFERROR(VLOOKUP(Caja_Arequipa[[#This Row],[destinatario]],CHOOSE({1,2},Clientes_Proveedores[Razon Social],Clientes_Proveedores[Ruc / Dni]),2,0),"")</f>
        <v/>
      </c>
      <c r="X249" s="3" t="s">
        <v>5683</v>
      </c>
      <c r="Y249" s="3"/>
      <c r="Z249" s="3"/>
      <c r="AA249" s="3"/>
      <c r="AB249" s="3" t="str">
        <f>IF(Caja_Arequipa[[#This Row],[fecha]]&gt;0,TEXT(Caja_Arequipa[[#This Row],[fecha]],"mmmm"),0)</f>
        <v>Marzo</v>
      </c>
    </row>
    <row r="250" spans="1:28" ht="24" x14ac:dyDescent="0.3">
      <c r="A250" s="2">
        <f>IF(Caja_Arequipa[[#This Row],[tipo_r]]="R",COUNTIFS($C$1:$C249,"R")+1,A249)</f>
        <v>237</v>
      </c>
      <c r="B250" s="19" t="str">
        <f t="shared" si="17"/>
        <v>C-Tesoreria</v>
      </c>
      <c r="C250" s="3" t="s">
        <v>1330</v>
      </c>
      <c r="D250" s="14">
        <v>45744</v>
      </c>
      <c r="E250" s="5" t="s">
        <v>1416</v>
      </c>
      <c r="F250" s="5" t="s">
        <v>1336</v>
      </c>
      <c r="G250" s="3" t="s">
        <v>5248</v>
      </c>
      <c r="H250" s="6"/>
      <c r="I250" s="6"/>
      <c r="J250" s="6"/>
      <c r="K250" s="6"/>
      <c r="L250" s="7" t="s">
        <v>5684</v>
      </c>
      <c r="M250" s="8" t="str">
        <f>IF(Caja_Arequipa[[#This Row],[tipo_r]]="R","001-"&amp;12002+A250,M249)</f>
        <v>001-12239</v>
      </c>
      <c r="N250" s="8" t="str">
        <f t="shared" si="20"/>
        <v>PEN</v>
      </c>
      <c r="O250" s="13"/>
      <c r="P250" s="13">
        <v>113</v>
      </c>
      <c r="Q250" s="3">
        <f t="shared" si="18"/>
        <v>0</v>
      </c>
      <c r="R250" s="3">
        <f t="shared" si="19"/>
        <v>113</v>
      </c>
      <c r="S250" s="3">
        <f t="shared" si="16"/>
        <v>1427.8000000000002</v>
      </c>
      <c r="T250" s="24"/>
      <c r="U250" s="24"/>
      <c r="V250" s="3"/>
      <c r="W250" s="25" t="str">
        <f>IFERROR(VLOOKUP(Caja_Arequipa[[#This Row],[destinatario]],CHOOSE({1,2},Clientes_Proveedores[Razon Social],Clientes_Proveedores[Ruc / Dni]),2,0),"")</f>
        <v/>
      </c>
      <c r="X250" s="3" t="s">
        <v>5685</v>
      </c>
      <c r="Y250" s="3"/>
      <c r="Z250" s="3"/>
      <c r="AA250" s="3"/>
      <c r="AB250" s="3" t="str">
        <f>IF(Caja_Arequipa[[#This Row],[fecha]]&gt;0,TEXT(Caja_Arequipa[[#This Row],[fecha]],"mmmm"),0)</f>
        <v>Marzo</v>
      </c>
    </row>
    <row r="251" spans="1:28" ht="24" x14ac:dyDescent="0.3">
      <c r="A251" s="2">
        <f>IF(Caja_Arequipa[[#This Row],[tipo_r]]="R",COUNTIFS($C$1:$C250,"R")+1,A250)</f>
        <v>238</v>
      </c>
      <c r="B251" s="19" t="str">
        <f t="shared" si="17"/>
        <v>C-Tesoreria</v>
      </c>
      <c r="C251" s="3" t="s">
        <v>1330</v>
      </c>
      <c r="D251" s="14">
        <v>45744</v>
      </c>
      <c r="E251" s="5" t="s">
        <v>1416</v>
      </c>
      <c r="F251" s="5" t="s">
        <v>1336</v>
      </c>
      <c r="G251" s="3" t="s">
        <v>5380</v>
      </c>
      <c r="H251" s="6"/>
      <c r="I251" s="6"/>
      <c r="J251" s="6"/>
      <c r="K251" s="6"/>
      <c r="L251" s="7" t="s">
        <v>5686</v>
      </c>
      <c r="M251" s="8" t="str">
        <f>IF(Caja_Arequipa[[#This Row],[tipo_r]]="R","001-"&amp;12002+A251,M250)</f>
        <v>001-12240</v>
      </c>
      <c r="N251" s="8" t="str">
        <f t="shared" si="20"/>
        <v>PEN</v>
      </c>
      <c r="O251" s="13"/>
      <c r="P251" s="13">
        <v>18</v>
      </c>
      <c r="Q251" s="3">
        <f t="shared" si="18"/>
        <v>0</v>
      </c>
      <c r="R251" s="3">
        <f t="shared" si="19"/>
        <v>18</v>
      </c>
      <c r="S251" s="3">
        <f t="shared" si="16"/>
        <v>1409.8000000000002</v>
      </c>
      <c r="T251" s="24" t="s">
        <v>1334</v>
      </c>
      <c r="U251" s="24" t="s">
        <v>1334</v>
      </c>
      <c r="V251" s="3"/>
      <c r="W251" s="25" t="str">
        <f>IFERROR(VLOOKUP(Caja_Arequipa[[#This Row],[destinatario]],CHOOSE({1,2},Clientes_Proveedores[Razon Social],Clientes_Proveedores[Ruc / Dni]),2,0),"")</f>
        <v/>
      </c>
      <c r="X251" s="3" t="s">
        <v>5687</v>
      </c>
      <c r="Y251" s="3"/>
      <c r="Z251" s="3"/>
      <c r="AA251" s="3"/>
      <c r="AB251" s="3" t="str">
        <f>IF(Caja_Arequipa[[#This Row],[fecha]]&gt;0,TEXT(Caja_Arequipa[[#This Row],[fecha]],"mmmm"),0)</f>
        <v>Marzo</v>
      </c>
    </row>
    <row r="252" spans="1:28" ht="24" x14ac:dyDescent="0.3">
      <c r="A252" s="2">
        <f>IF(Caja_Arequipa[[#This Row],[tipo_r]]="R",COUNTIFS($C$1:$C251,"R")+1,A251)</f>
        <v>238</v>
      </c>
      <c r="B252" s="19" t="str">
        <f>"C-Tesoreria"</f>
        <v>C-Tesoreria</v>
      </c>
      <c r="C252" s="3" t="s">
        <v>1352</v>
      </c>
      <c r="D252" s="14">
        <v>45744</v>
      </c>
      <c r="E252" s="5" t="s">
        <v>1416</v>
      </c>
      <c r="F252" s="5" t="s">
        <v>1336</v>
      </c>
      <c r="G252" s="3" t="s">
        <v>5380</v>
      </c>
      <c r="H252" s="6" t="s">
        <v>978</v>
      </c>
      <c r="I252" s="6" t="s">
        <v>68</v>
      </c>
      <c r="J252" s="6" t="s">
        <v>5688</v>
      </c>
      <c r="K252" s="6">
        <v>2277055</v>
      </c>
      <c r="L252" s="7" t="s">
        <v>5686</v>
      </c>
      <c r="M252" s="8" t="str">
        <f>IF(Caja_Arequipa[[#This Row],[tipo_r]]="R","001-"&amp;12002+A252,M251)</f>
        <v>001-12240</v>
      </c>
      <c r="N252" s="8" t="str">
        <f>"PEN"</f>
        <v>PEN</v>
      </c>
      <c r="O252" s="13">
        <v>8</v>
      </c>
      <c r="P252" s="13"/>
      <c r="Q252" s="3">
        <f>+IF(OR($F252="SALDO",$F252="INGRESO"),$P252,0)</f>
        <v>0</v>
      </c>
      <c r="R252" s="3">
        <f>+IF($F252="EGRESO",$P252,0)</f>
        <v>0</v>
      </c>
      <c r="S252" s="3">
        <f t="shared" si="16"/>
        <v>1409.8000000000002</v>
      </c>
      <c r="T252" s="24"/>
      <c r="U252" s="24"/>
      <c r="V252" s="3"/>
      <c r="W252" s="25">
        <f>IFERROR(VLOOKUP(Caja_Arequipa[[#This Row],[destinatario]],CHOOSE({1,2},Clientes_Proveedores[Razon Social],Clientes_Proveedores[Ruc / Dni]),2,0),"")</f>
        <v>20517252558</v>
      </c>
      <c r="X252" s="3"/>
      <c r="Y252" s="3"/>
      <c r="Z252" s="3"/>
      <c r="AA252" s="3"/>
      <c r="AB252" s="3" t="str">
        <f>IF(Caja_Arequipa[[#This Row],[fecha]]&gt;0,TEXT(Caja_Arequipa[[#This Row],[fecha]],"mmmm"),0)</f>
        <v>Marzo</v>
      </c>
    </row>
    <row r="253" spans="1:28" ht="24" x14ac:dyDescent="0.3">
      <c r="A253" s="2">
        <f>IF(Caja_Arequipa[[#This Row],[tipo_r]]="R",COUNTIFS($C$1:$C252,"R")+1,A252)</f>
        <v>238</v>
      </c>
      <c r="B253" s="19" t="str">
        <f>"C-Tesoreria"</f>
        <v>C-Tesoreria</v>
      </c>
      <c r="C253" s="3" t="s">
        <v>1352</v>
      </c>
      <c r="D253" s="14">
        <v>45744</v>
      </c>
      <c r="E253" s="5" t="s">
        <v>1416</v>
      </c>
      <c r="F253" s="5" t="s">
        <v>1336</v>
      </c>
      <c r="G253" s="3" t="s">
        <v>5380</v>
      </c>
      <c r="H253" s="6"/>
      <c r="I253" s="6" t="s">
        <v>111</v>
      </c>
      <c r="J253" s="6">
        <v>3</v>
      </c>
      <c r="K253" s="6">
        <v>129</v>
      </c>
      <c r="L253" s="7" t="s">
        <v>5686</v>
      </c>
      <c r="M253" s="8" t="str">
        <f>IF(Caja_Arequipa[[#This Row],[tipo_r]]="R","001-"&amp;12002+A253,M252)</f>
        <v>001-12240</v>
      </c>
      <c r="N253" s="8" t="str">
        <f>"PEN"</f>
        <v>PEN</v>
      </c>
      <c r="O253" s="13">
        <v>10</v>
      </c>
      <c r="P253" s="13"/>
      <c r="Q253" s="3">
        <f>+IF(OR($F253="SALDO",$F253="INGRESO"),$P253,0)</f>
        <v>0</v>
      </c>
      <c r="R253" s="3">
        <f>+IF($F253="EGRESO",$P253,0)</f>
        <v>0</v>
      </c>
      <c r="S253" s="3">
        <f t="shared" si="16"/>
        <v>1409.8000000000002</v>
      </c>
      <c r="T253" s="24"/>
      <c r="U253" s="24"/>
      <c r="V253" s="3"/>
      <c r="W253" s="25" t="str">
        <f>IFERROR(VLOOKUP(Caja_Arequipa[[#This Row],[destinatario]],CHOOSE({1,2},Clientes_Proveedores[Razon Social],Clientes_Proveedores[Ruc / Dni]),2,0),"")</f>
        <v/>
      </c>
      <c r="X253" s="3"/>
      <c r="Y253" s="3"/>
      <c r="Z253" s="3"/>
      <c r="AA253" s="3"/>
      <c r="AB253" s="3" t="str">
        <f>IF(Caja_Arequipa[[#This Row],[fecha]]&gt;0,TEXT(Caja_Arequipa[[#This Row],[fecha]],"mmmm"),0)</f>
        <v>Marzo</v>
      </c>
    </row>
    <row r="254" spans="1:28" ht="24" x14ac:dyDescent="0.3">
      <c r="A254" s="2">
        <f>IF(Caja_Arequipa[[#This Row],[tipo_r]]="R",COUNTIFS($C$1:$C253,"R")+1,A253)</f>
        <v>239</v>
      </c>
      <c r="B254" s="19" t="str">
        <f t="shared" si="17"/>
        <v>C-Tesoreria</v>
      </c>
      <c r="C254" s="3" t="s">
        <v>1330</v>
      </c>
      <c r="D254" s="14">
        <v>45744</v>
      </c>
      <c r="E254" s="5" t="s">
        <v>1416</v>
      </c>
      <c r="F254" s="5" t="s">
        <v>1336</v>
      </c>
      <c r="G254" s="3" t="s">
        <v>5380</v>
      </c>
      <c r="H254" s="6"/>
      <c r="I254" s="6"/>
      <c r="J254" s="6"/>
      <c r="K254" s="6"/>
      <c r="L254" s="7" t="s">
        <v>5689</v>
      </c>
      <c r="M254" s="8" t="str">
        <f>IF(Caja_Arequipa[[#This Row],[tipo_r]]="R","001-"&amp;12002+A254,M253)</f>
        <v>001-12241</v>
      </c>
      <c r="N254" s="8" t="str">
        <f t="shared" si="20"/>
        <v>PEN</v>
      </c>
      <c r="O254" s="13"/>
      <c r="P254" s="13">
        <v>20</v>
      </c>
      <c r="Q254" s="3">
        <f t="shared" si="18"/>
        <v>0</v>
      </c>
      <c r="R254" s="3">
        <f t="shared" si="19"/>
        <v>20</v>
      </c>
      <c r="S254" s="3">
        <f t="shared" si="16"/>
        <v>1389.8000000000002</v>
      </c>
      <c r="T254" s="24" t="s">
        <v>1334</v>
      </c>
      <c r="U254" s="24" t="s">
        <v>1334</v>
      </c>
      <c r="V254" s="3"/>
      <c r="W254" s="25" t="str">
        <f>IFERROR(VLOOKUP(Caja_Arequipa[[#This Row],[destinatario]],CHOOSE({1,2},Clientes_Proveedores[Razon Social],Clientes_Proveedores[Ruc / Dni]),2,0),"")</f>
        <v/>
      </c>
      <c r="X254" s="3" t="s">
        <v>5690</v>
      </c>
      <c r="Y254" s="3"/>
      <c r="Z254" s="3"/>
      <c r="AA254" s="3"/>
      <c r="AB254" s="3" t="str">
        <f>IF(Caja_Arequipa[[#This Row],[fecha]]&gt;0,TEXT(Caja_Arequipa[[#This Row],[fecha]],"mmmm"),0)</f>
        <v>Marzo</v>
      </c>
    </row>
    <row r="255" spans="1:28" ht="24" x14ac:dyDescent="0.3">
      <c r="A255" s="2">
        <f>IF(Caja_Arequipa[[#This Row],[tipo_r]]="R",COUNTIFS($C$1:$C254,"R")+1,A254)</f>
        <v>240</v>
      </c>
      <c r="B255" s="19" t="str">
        <f t="shared" si="17"/>
        <v>C-Tesoreria</v>
      </c>
      <c r="C255" s="3" t="s">
        <v>1330</v>
      </c>
      <c r="D255" s="14">
        <v>45744</v>
      </c>
      <c r="E255" s="5" t="s">
        <v>1416</v>
      </c>
      <c r="F255" s="5" t="s">
        <v>1336</v>
      </c>
      <c r="G255" s="3" t="s">
        <v>5250</v>
      </c>
      <c r="H255" s="6"/>
      <c r="I255" s="6"/>
      <c r="J255" s="6"/>
      <c r="K255" s="6"/>
      <c r="L255" s="7" t="s">
        <v>5691</v>
      </c>
      <c r="M255" s="8" t="str">
        <f>IF(Caja_Arequipa[[#This Row],[tipo_r]]="R","001-"&amp;12002+A255,M254)</f>
        <v>001-12242</v>
      </c>
      <c r="N255" s="8" t="str">
        <f t="shared" si="20"/>
        <v>PEN</v>
      </c>
      <c r="O255" s="13"/>
      <c r="P255" s="13">
        <v>20</v>
      </c>
      <c r="Q255" s="3">
        <f t="shared" si="18"/>
        <v>0</v>
      </c>
      <c r="R255" s="3">
        <f t="shared" si="19"/>
        <v>20</v>
      </c>
      <c r="S255" s="3">
        <f t="shared" si="16"/>
        <v>1369.8000000000002</v>
      </c>
      <c r="T255" s="24" t="s">
        <v>1334</v>
      </c>
      <c r="U255" s="24" t="s">
        <v>1334</v>
      </c>
      <c r="V255" s="3"/>
      <c r="W255" s="25" t="str">
        <f>IFERROR(VLOOKUP(Caja_Arequipa[[#This Row],[destinatario]],CHOOSE({1,2},Clientes_Proveedores[Razon Social],Clientes_Proveedores[Ruc / Dni]),2,0),"")</f>
        <v/>
      </c>
      <c r="X255" s="3" t="s">
        <v>5692</v>
      </c>
      <c r="Y255" s="3"/>
      <c r="Z255" s="3"/>
      <c r="AA255" s="3"/>
      <c r="AB255" s="3" t="str">
        <f>IF(Caja_Arequipa[[#This Row],[fecha]]&gt;0,TEXT(Caja_Arequipa[[#This Row],[fecha]],"mmmm"),0)</f>
        <v>Marzo</v>
      </c>
    </row>
    <row r="256" spans="1:28" x14ac:dyDescent="0.3">
      <c r="A256" s="2">
        <f>IF(Caja_Arequipa[[#This Row],[tipo_r]]="R",COUNTIFS($C$1:$C255,"R")+1,A255)</f>
        <v>241</v>
      </c>
      <c r="B256" s="19" t="str">
        <f t="shared" si="17"/>
        <v>C-Tesoreria</v>
      </c>
      <c r="C256" s="3" t="s">
        <v>1330</v>
      </c>
      <c r="D256" s="14">
        <v>45747</v>
      </c>
      <c r="E256" s="5" t="s">
        <v>1416</v>
      </c>
      <c r="F256" s="5" t="s">
        <v>1336</v>
      </c>
      <c r="G256" s="3" t="s">
        <v>5259</v>
      </c>
      <c r="H256" s="6"/>
      <c r="I256" s="6" t="s">
        <v>111</v>
      </c>
      <c r="J256" s="6">
        <v>3</v>
      </c>
      <c r="K256" s="6">
        <v>90</v>
      </c>
      <c r="L256" s="7" t="s">
        <v>5693</v>
      </c>
      <c r="M256" s="8" t="str">
        <f>IF(Caja_Arequipa[[#This Row],[tipo_r]]="R","001-"&amp;12002+A256,M255)</f>
        <v>001-12243</v>
      </c>
      <c r="N256" s="8" t="str">
        <f t="shared" si="20"/>
        <v>PEN</v>
      </c>
      <c r="O256" s="13"/>
      <c r="P256" s="13">
        <v>20</v>
      </c>
      <c r="Q256" s="3">
        <f t="shared" si="18"/>
        <v>0</v>
      </c>
      <c r="R256" s="3">
        <f t="shared" si="19"/>
        <v>20</v>
      </c>
      <c r="S256" s="3">
        <f t="shared" si="16"/>
        <v>1349.8000000000002</v>
      </c>
      <c r="T256" s="24" t="s">
        <v>1334</v>
      </c>
      <c r="U256" s="24" t="s">
        <v>1334</v>
      </c>
      <c r="V256" s="3"/>
      <c r="W256" s="25" t="str">
        <f>IFERROR(VLOOKUP(Caja_Arequipa[[#This Row],[destinatario]],CHOOSE({1,2},Clientes_Proveedores[Razon Social],Clientes_Proveedores[Ruc / Dni]),2,0),"")</f>
        <v/>
      </c>
      <c r="X256" s="3" t="s">
        <v>5694</v>
      </c>
      <c r="Y256" s="3"/>
      <c r="Z256" s="3"/>
      <c r="AA256" s="3"/>
      <c r="AB256" s="3" t="str">
        <f>IF(Caja_Arequipa[[#This Row],[fecha]]&gt;0,TEXT(Caja_Arequipa[[#This Row],[fecha]],"mmmm"),0)</f>
        <v>Marzo</v>
      </c>
    </row>
    <row r="257" spans="1:28" x14ac:dyDescent="0.3">
      <c r="A257" s="2">
        <f>IF(Caja_Arequipa[[#This Row],[tipo_r]]="R",COUNTIFS($C$1:$C256,"R")+1,A256)</f>
        <v>242</v>
      </c>
      <c r="B257" s="19" t="str">
        <f t="shared" si="17"/>
        <v>C-Tesoreria</v>
      </c>
      <c r="C257" s="3" t="s">
        <v>1330</v>
      </c>
      <c r="D257" s="14">
        <v>45747</v>
      </c>
      <c r="E257" s="5" t="s">
        <v>1416</v>
      </c>
      <c r="F257" s="5" t="s">
        <v>1336</v>
      </c>
      <c r="G257" s="3" t="s">
        <v>5259</v>
      </c>
      <c r="H257" s="6"/>
      <c r="I257" s="6" t="s">
        <v>111</v>
      </c>
      <c r="J257" s="6">
        <v>3</v>
      </c>
      <c r="K257" s="6">
        <v>91</v>
      </c>
      <c r="L257" s="7" t="s">
        <v>5695</v>
      </c>
      <c r="M257" s="8" t="str">
        <f>IF(Caja_Arequipa[[#This Row],[tipo_r]]="R","001-"&amp;12002+A257,M256)</f>
        <v>001-12244</v>
      </c>
      <c r="N257" s="8" t="str">
        <f t="shared" si="20"/>
        <v>PEN</v>
      </c>
      <c r="O257" s="13"/>
      <c r="P257" s="13">
        <v>48</v>
      </c>
      <c r="Q257" s="3">
        <f t="shared" si="18"/>
        <v>0</v>
      </c>
      <c r="R257" s="3">
        <f t="shared" si="19"/>
        <v>48</v>
      </c>
      <c r="S257" s="3">
        <f t="shared" si="16"/>
        <v>1301.8000000000002</v>
      </c>
      <c r="T257" s="24" t="s">
        <v>1334</v>
      </c>
      <c r="U257" s="24" t="s">
        <v>1334</v>
      </c>
      <c r="V257" s="3"/>
      <c r="W257" s="25" t="str">
        <f>IFERROR(VLOOKUP(Caja_Arequipa[[#This Row],[destinatario]],CHOOSE({1,2},Clientes_Proveedores[Razon Social],Clientes_Proveedores[Ruc / Dni]),2,0),"")</f>
        <v/>
      </c>
      <c r="X257" s="3" t="s">
        <v>5696</v>
      </c>
      <c r="Y257" s="3"/>
      <c r="Z257" s="3"/>
      <c r="AA257" s="3"/>
      <c r="AB257" s="3" t="str">
        <f>IF(Caja_Arequipa[[#This Row],[fecha]]&gt;0,TEXT(Caja_Arequipa[[#This Row],[fecha]],"mmmm"),0)</f>
        <v>Marzo</v>
      </c>
    </row>
    <row r="258" spans="1:28" x14ac:dyDescent="0.3">
      <c r="A258" s="2">
        <f>IF(Caja_Arequipa[[#This Row],[tipo_r]]="R",COUNTIFS($C$1:$C257,"R")+1,A257)</f>
        <v>243</v>
      </c>
      <c r="B258" s="19" t="str">
        <f t="shared" si="17"/>
        <v>C-Tesoreria</v>
      </c>
      <c r="C258" s="3" t="s">
        <v>1330</v>
      </c>
      <c r="D258" s="14">
        <v>45747</v>
      </c>
      <c r="E258" s="5" t="s">
        <v>1416</v>
      </c>
      <c r="F258" s="5" t="s">
        <v>1336</v>
      </c>
      <c r="G258" s="3" t="s">
        <v>5259</v>
      </c>
      <c r="H258" s="6"/>
      <c r="I258" s="6" t="s">
        <v>111</v>
      </c>
      <c r="J258" s="6">
        <v>3</v>
      </c>
      <c r="K258" s="6">
        <v>92</v>
      </c>
      <c r="L258" s="7" t="s">
        <v>5697</v>
      </c>
      <c r="M258" s="8" t="str">
        <f>IF(Caja_Arequipa[[#This Row],[tipo_r]]="R","001-"&amp;12002+A258,M257)</f>
        <v>001-12245</v>
      </c>
      <c r="N258" s="8" t="str">
        <f t="shared" si="20"/>
        <v>PEN</v>
      </c>
      <c r="O258" s="13"/>
      <c r="P258" s="13">
        <v>5</v>
      </c>
      <c r="Q258" s="3">
        <f t="shared" si="18"/>
        <v>0</v>
      </c>
      <c r="R258" s="3">
        <f t="shared" si="19"/>
        <v>5</v>
      </c>
      <c r="S258" s="3">
        <f t="shared" ref="S258:S321" si="21">IFERROR(IF(F258="SALDO",Q258,S257+Q258-R258),0)</f>
        <v>1296.8000000000002</v>
      </c>
      <c r="T258" s="24" t="s">
        <v>1334</v>
      </c>
      <c r="U258" s="24" t="s">
        <v>1334</v>
      </c>
      <c r="V258" s="3"/>
      <c r="W258" s="25" t="str">
        <f>IFERROR(VLOOKUP(Caja_Arequipa[[#This Row],[destinatario]],CHOOSE({1,2},Clientes_Proveedores[Razon Social],Clientes_Proveedores[Ruc / Dni]),2,0),"")</f>
        <v/>
      </c>
      <c r="X258" s="3" t="s">
        <v>5698</v>
      </c>
      <c r="Y258" s="3"/>
      <c r="Z258" s="3"/>
      <c r="AA258" s="3"/>
      <c r="AB258" s="3" t="str">
        <f>IF(Caja_Arequipa[[#This Row],[fecha]]&gt;0,TEXT(Caja_Arequipa[[#This Row],[fecha]],"mmmm"),0)</f>
        <v>Marzo</v>
      </c>
    </row>
    <row r="259" spans="1:28" x14ac:dyDescent="0.3">
      <c r="A259" s="2">
        <f>IF(Caja_Arequipa[[#This Row],[tipo_r]]="R",COUNTIFS($C$1:$C258,"R")+1,A258)</f>
        <v>244</v>
      </c>
      <c r="B259" s="19" t="str">
        <f t="shared" si="17"/>
        <v>C-Tesoreria</v>
      </c>
      <c r="C259" s="3" t="s">
        <v>1330</v>
      </c>
      <c r="D259" s="14">
        <v>45747</v>
      </c>
      <c r="E259" s="5" t="s">
        <v>1416</v>
      </c>
      <c r="F259" s="5" t="s">
        <v>1336</v>
      </c>
      <c r="G259" s="3" t="s">
        <v>5259</v>
      </c>
      <c r="H259" s="6"/>
      <c r="I259" s="6" t="s">
        <v>111</v>
      </c>
      <c r="J259" s="6">
        <v>3</v>
      </c>
      <c r="K259" s="6">
        <v>93</v>
      </c>
      <c r="L259" s="7" t="s">
        <v>5602</v>
      </c>
      <c r="M259" s="8" t="str">
        <f>IF(Caja_Arequipa[[#This Row],[tipo_r]]="R","001-"&amp;12002+A259,M258)</f>
        <v>001-12246</v>
      </c>
      <c r="N259" s="8" t="str">
        <f t="shared" si="20"/>
        <v>PEN</v>
      </c>
      <c r="O259" s="13"/>
      <c r="P259" s="13">
        <v>5</v>
      </c>
      <c r="Q259" s="3">
        <f t="shared" si="18"/>
        <v>0</v>
      </c>
      <c r="R259" s="3">
        <f t="shared" si="19"/>
        <v>5</v>
      </c>
      <c r="S259" s="3">
        <f t="shared" si="21"/>
        <v>1291.8000000000002</v>
      </c>
      <c r="T259" s="24" t="s">
        <v>1334</v>
      </c>
      <c r="U259" s="24" t="s">
        <v>1334</v>
      </c>
      <c r="V259" s="3"/>
      <c r="W259" s="25" t="str">
        <f>IFERROR(VLOOKUP(Caja_Arequipa[[#This Row],[destinatario]],CHOOSE({1,2},Clientes_Proveedores[Razon Social],Clientes_Proveedores[Ruc / Dni]),2,0),"")</f>
        <v/>
      </c>
      <c r="X259" s="3" t="s">
        <v>5699</v>
      </c>
      <c r="Y259" s="3"/>
      <c r="Z259" s="3"/>
      <c r="AA259" s="3"/>
      <c r="AB259" s="3" t="str">
        <f>IF(Caja_Arequipa[[#This Row],[fecha]]&gt;0,TEXT(Caja_Arequipa[[#This Row],[fecha]],"mmmm"),0)</f>
        <v>Marzo</v>
      </c>
    </row>
    <row r="260" spans="1:28" x14ac:dyDescent="0.3">
      <c r="A260" s="2">
        <f>IF(Caja_Arequipa[[#This Row],[tipo_r]]="R",COUNTIFS($C$1:$C259,"R")+1,A259)</f>
        <v>245</v>
      </c>
      <c r="B260" s="19" t="str">
        <f t="shared" si="17"/>
        <v>C-Tesoreria</v>
      </c>
      <c r="C260" s="3" t="s">
        <v>1330</v>
      </c>
      <c r="D260" s="14">
        <v>45747</v>
      </c>
      <c r="E260" s="5" t="s">
        <v>1416</v>
      </c>
      <c r="F260" s="5" t="s">
        <v>1336</v>
      </c>
      <c r="G260" s="3" t="s">
        <v>5259</v>
      </c>
      <c r="H260" s="6"/>
      <c r="I260" s="6" t="s">
        <v>111</v>
      </c>
      <c r="J260" s="6">
        <v>3</v>
      </c>
      <c r="K260" s="6">
        <v>94</v>
      </c>
      <c r="L260" s="7" t="s">
        <v>5700</v>
      </c>
      <c r="M260" s="8" t="str">
        <f>IF(Caja_Arequipa[[#This Row],[tipo_r]]="R","001-"&amp;12002+A260,M259)</f>
        <v>001-12247</v>
      </c>
      <c r="N260" s="8" t="str">
        <f t="shared" si="20"/>
        <v>PEN</v>
      </c>
      <c r="O260" s="13"/>
      <c r="P260" s="13">
        <v>10</v>
      </c>
      <c r="Q260" s="3">
        <f t="shared" si="18"/>
        <v>0</v>
      </c>
      <c r="R260" s="3">
        <f t="shared" si="19"/>
        <v>10</v>
      </c>
      <c r="S260" s="3">
        <f t="shared" si="21"/>
        <v>1281.8000000000002</v>
      </c>
      <c r="T260" s="24" t="s">
        <v>1334</v>
      </c>
      <c r="U260" s="24" t="s">
        <v>1334</v>
      </c>
      <c r="V260" s="3"/>
      <c r="W260" s="25" t="str">
        <f>IFERROR(VLOOKUP(Caja_Arequipa[[#This Row],[destinatario]],CHOOSE({1,2},Clientes_Proveedores[Razon Social],Clientes_Proveedores[Ruc / Dni]),2,0),"")</f>
        <v/>
      </c>
      <c r="X260" s="3" t="s">
        <v>5701</v>
      </c>
      <c r="Y260" s="3"/>
      <c r="Z260" s="3"/>
      <c r="AA260" s="3"/>
      <c r="AB260" s="3" t="str">
        <f>IF(Caja_Arequipa[[#This Row],[fecha]]&gt;0,TEXT(Caja_Arequipa[[#This Row],[fecha]],"mmmm"),0)</f>
        <v>Marzo</v>
      </c>
    </row>
    <row r="261" spans="1:28" x14ac:dyDescent="0.3">
      <c r="A261" s="2">
        <f>IF(Caja_Arequipa[[#This Row],[tipo_r]]="R",COUNTIFS($C$1:$C260,"R")+1,A260)</f>
        <v>246</v>
      </c>
      <c r="B261" s="19" t="str">
        <f t="shared" si="17"/>
        <v>C-Tesoreria</v>
      </c>
      <c r="C261" s="3" t="s">
        <v>1330</v>
      </c>
      <c r="D261" s="14">
        <v>45747</v>
      </c>
      <c r="E261" s="5" t="s">
        <v>1416</v>
      </c>
      <c r="F261" s="5" t="s">
        <v>1336</v>
      </c>
      <c r="G261" s="3" t="s">
        <v>5259</v>
      </c>
      <c r="H261" s="6"/>
      <c r="I261" s="6" t="s">
        <v>111</v>
      </c>
      <c r="J261" s="6">
        <v>3</v>
      </c>
      <c r="K261" s="6">
        <v>95</v>
      </c>
      <c r="L261" s="7" t="s">
        <v>5702</v>
      </c>
      <c r="M261" s="8" t="str">
        <f>IF(Caja_Arequipa[[#This Row],[tipo_r]]="R","001-"&amp;12002+A261,M260)</f>
        <v>001-12248</v>
      </c>
      <c r="N261" s="8" t="str">
        <f t="shared" si="20"/>
        <v>PEN</v>
      </c>
      <c r="O261" s="13"/>
      <c r="P261" s="13">
        <v>15</v>
      </c>
      <c r="Q261" s="3">
        <f t="shared" si="18"/>
        <v>0</v>
      </c>
      <c r="R261" s="3">
        <f t="shared" si="19"/>
        <v>15</v>
      </c>
      <c r="S261" s="3">
        <f t="shared" si="21"/>
        <v>1266.8000000000002</v>
      </c>
      <c r="T261" s="24" t="s">
        <v>1334</v>
      </c>
      <c r="U261" s="24" t="s">
        <v>1334</v>
      </c>
      <c r="V261" s="3"/>
      <c r="W261" s="25" t="str">
        <f>IFERROR(VLOOKUP(Caja_Arequipa[[#This Row],[destinatario]],CHOOSE({1,2},Clientes_Proveedores[Razon Social],Clientes_Proveedores[Ruc / Dni]),2,0),"")</f>
        <v/>
      </c>
      <c r="X261" s="3" t="s">
        <v>5703</v>
      </c>
      <c r="Y261" s="3"/>
      <c r="Z261" s="3"/>
      <c r="AA261" s="3"/>
      <c r="AB261" s="3" t="str">
        <f>IF(Caja_Arequipa[[#This Row],[fecha]]&gt;0,TEXT(Caja_Arequipa[[#This Row],[fecha]],"mmmm"),0)</f>
        <v>Marzo</v>
      </c>
    </row>
    <row r="262" spans="1:28" x14ac:dyDescent="0.3">
      <c r="A262" s="2">
        <f>IF(Caja_Arequipa[[#This Row],[tipo_r]]="R",COUNTIFS($C$1:$C261,"R")+1,A261)</f>
        <v>247</v>
      </c>
      <c r="B262" s="19" t="str">
        <f t="shared" si="17"/>
        <v>C-Tesoreria</v>
      </c>
      <c r="C262" s="3" t="s">
        <v>1330</v>
      </c>
      <c r="D262" s="14">
        <v>45747</v>
      </c>
      <c r="E262" s="5" t="s">
        <v>1416</v>
      </c>
      <c r="F262" s="5" t="s">
        <v>1336</v>
      </c>
      <c r="G262" s="3" t="s">
        <v>5259</v>
      </c>
      <c r="H262" s="6"/>
      <c r="I262" s="6" t="s">
        <v>111</v>
      </c>
      <c r="J262" s="6">
        <v>3</v>
      </c>
      <c r="K262" s="6">
        <v>96</v>
      </c>
      <c r="L262" s="7" t="s">
        <v>5704</v>
      </c>
      <c r="M262" s="8" t="str">
        <f>IF(Caja_Arequipa[[#This Row],[tipo_r]]="R","001-"&amp;12002+A262,M261)</f>
        <v>001-12249</v>
      </c>
      <c r="N262" s="8" t="str">
        <f t="shared" si="20"/>
        <v>PEN</v>
      </c>
      <c r="O262" s="13"/>
      <c r="P262" s="13">
        <v>5</v>
      </c>
      <c r="Q262" s="3">
        <f t="shared" si="18"/>
        <v>0</v>
      </c>
      <c r="R262" s="3">
        <f t="shared" si="19"/>
        <v>5</v>
      </c>
      <c r="S262" s="3">
        <f t="shared" si="21"/>
        <v>1261.8000000000002</v>
      </c>
      <c r="T262" s="24" t="s">
        <v>1334</v>
      </c>
      <c r="U262" s="24" t="s">
        <v>1334</v>
      </c>
      <c r="V262" s="3"/>
      <c r="W262" s="25" t="str">
        <f>IFERROR(VLOOKUP(Caja_Arequipa[[#This Row],[destinatario]],CHOOSE({1,2},Clientes_Proveedores[Razon Social],Clientes_Proveedores[Ruc / Dni]),2,0),"")</f>
        <v/>
      </c>
      <c r="X262" s="3" t="s">
        <v>5705</v>
      </c>
      <c r="Y262" s="3"/>
      <c r="Z262" s="3"/>
      <c r="AA262" s="3"/>
      <c r="AB262" s="3" t="str">
        <f>IF(Caja_Arequipa[[#This Row],[fecha]]&gt;0,TEXT(Caja_Arequipa[[#This Row],[fecha]],"mmmm"),0)</f>
        <v>Marzo</v>
      </c>
    </row>
    <row r="263" spans="1:28" x14ac:dyDescent="0.3">
      <c r="A263" s="2">
        <f>IF(Caja_Arequipa[[#This Row],[tipo_r]]="R",COUNTIFS($C$1:$C262,"R")+1,A262)</f>
        <v>248</v>
      </c>
      <c r="B263" s="19" t="str">
        <f t="shared" si="17"/>
        <v>C-Tesoreria</v>
      </c>
      <c r="C263" s="3" t="s">
        <v>1330</v>
      </c>
      <c r="D263" s="14">
        <v>45747</v>
      </c>
      <c r="E263" s="5" t="s">
        <v>1416</v>
      </c>
      <c r="F263" s="5" t="s">
        <v>1336</v>
      </c>
      <c r="G263" s="3" t="s">
        <v>5259</v>
      </c>
      <c r="H263" s="6"/>
      <c r="I263" s="6" t="s">
        <v>111</v>
      </c>
      <c r="J263" s="6">
        <v>3</v>
      </c>
      <c r="K263" s="6">
        <v>97</v>
      </c>
      <c r="L263" s="7" t="s">
        <v>5641</v>
      </c>
      <c r="M263" s="8" t="str">
        <f>IF(Caja_Arequipa[[#This Row],[tipo_r]]="R","001-"&amp;12002+A263,M262)</f>
        <v>001-12250</v>
      </c>
      <c r="N263" s="8" t="str">
        <f t="shared" si="20"/>
        <v>PEN</v>
      </c>
      <c r="O263" s="13"/>
      <c r="P263" s="13">
        <v>30</v>
      </c>
      <c r="Q263" s="3">
        <f t="shared" si="18"/>
        <v>0</v>
      </c>
      <c r="R263" s="3">
        <f t="shared" si="19"/>
        <v>30</v>
      </c>
      <c r="S263" s="3">
        <f t="shared" si="21"/>
        <v>1231.8000000000002</v>
      </c>
      <c r="T263" s="24" t="s">
        <v>1334</v>
      </c>
      <c r="U263" s="24" t="s">
        <v>1334</v>
      </c>
      <c r="V263" s="3"/>
      <c r="W263" s="25" t="str">
        <f>IFERROR(VLOOKUP(Caja_Arequipa[[#This Row],[destinatario]],CHOOSE({1,2},Clientes_Proveedores[Razon Social],Clientes_Proveedores[Ruc / Dni]),2,0),"")</f>
        <v/>
      </c>
      <c r="X263" s="3" t="s">
        <v>5706</v>
      </c>
      <c r="Y263" s="3"/>
      <c r="Z263" s="3"/>
      <c r="AA263" s="3"/>
      <c r="AB263" s="3" t="str">
        <f>IF(Caja_Arequipa[[#This Row],[fecha]]&gt;0,TEXT(Caja_Arequipa[[#This Row],[fecha]],"mmmm"),0)</f>
        <v>Marzo</v>
      </c>
    </row>
    <row r="264" spans="1:28" x14ac:dyDescent="0.3">
      <c r="A264" s="2">
        <f>IF(Caja_Arequipa[[#This Row],[tipo_r]]="R",COUNTIFS($C$1:$C263,"R")+1,A263)</f>
        <v>249</v>
      </c>
      <c r="B264" s="19" t="str">
        <f t="shared" si="17"/>
        <v>C-Tesoreria</v>
      </c>
      <c r="C264" s="3" t="s">
        <v>1330</v>
      </c>
      <c r="D264" s="14">
        <v>45747</v>
      </c>
      <c r="E264" s="5" t="s">
        <v>1416</v>
      </c>
      <c r="F264" s="5" t="s">
        <v>1336</v>
      </c>
      <c r="G264" s="3" t="s">
        <v>5259</v>
      </c>
      <c r="H264" s="6"/>
      <c r="I264" s="6" t="s">
        <v>111</v>
      </c>
      <c r="J264" s="6">
        <v>3</v>
      </c>
      <c r="K264" s="6">
        <v>98</v>
      </c>
      <c r="L264" s="7" t="s">
        <v>5707</v>
      </c>
      <c r="M264" s="8" t="str">
        <f>IF(Caja_Arequipa[[#This Row],[tipo_r]]="R","001-"&amp;12002+A264,M263)</f>
        <v>001-12251</v>
      </c>
      <c r="N264" s="8" t="str">
        <f t="shared" si="20"/>
        <v>PEN</v>
      </c>
      <c r="O264" s="13"/>
      <c r="P264" s="13">
        <v>5</v>
      </c>
      <c r="Q264" s="3">
        <f t="shared" si="18"/>
        <v>0</v>
      </c>
      <c r="R264" s="3">
        <f t="shared" si="19"/>
        <v>5</v>
      </c>
      <c r="S264" s="3">
        <f t="shared" si="21"/>
        <v>1226.8000000000002</v>
      </c>
      <c r="T264" s="24" t="s">
        <v>1334</v>
      </c>
      <c r="U264" s="24" t="s">
        <v>1334</v>
      </c>
      <c r="V264" s="3"/>
      <c r="W264" s="25" t="str">
        <f>IFERROR(VLOOKUP(Caja_Arequipa[[#This Row],[destinatario]],CHOOSE({1,2},Clientes_Proveedores[Razon Social],Clientes_Proveedores[Ruc / Dni]),2,0),"")</f>
        <v/>
      </c>
      <c r="X264" s="3" t="s">
        <v>5708</v>
      </c>
      <c r="Y264" s="3"/>
      <c r="Z264" s="3"/>
      <c r="AA264" s="3"/>
      <c r="AB264" s="3" t="str">
        <f>IF(Caja_Arequipa[[#This Row],[fecha]]&gt;0,TEXT(Caja_Arequipa[[#This Row],[fecha]],"mmmm"),0)</f>
        <v>Marzo</v>
      </c>
    </row>
    <row r="265" spans="1:28" x14ac:dyDescent="0.3">
      <c r="A265" s="2">
        <f>IF(Caja_Arequipa[[#This Row],[tipo_r]]="R",COUNTIFS($C$1:$C264,"R")+1,A264)</f>
        <v>250</v>
      </c>
      <c r="B265" s="19" t="str">
        <f t="shared" si="17"/>
        <v>C-Tesoreria</v>
      </c>
      <c r="C265" s="3" t="s">
        <v>1330</v>
      </c>
      <c r="D265" s="14">
        <v>45748</v>
      </c>
      <c r="E265" s="5" t="s">
        <v>1416</v>
      </c>
      <c r="F265" s="5" t="s">
        <v>1336</v>
      </c>
      <c r="G265" s="3" t="s">
        <v>5709</v>
      </c>
      <c r="H265" s="6"/>
      <c r="I265" s="6"/>
      <c r="J265" s="6"/>
      <c r="K265" s="6"/>
      <c r="L265" s="7" t="s">
        <v>5710</v>
      </c>
      <c r="M265" s="8" t="str">
        <f>IF(Caja_Arequipa[[#This Row],[tipo_r]]="R","001-"&amp;12002+A265,M264)</f>
        <v>001-12252</v>
      </c>
      <c r="N265" s="8" t="str">
        <f t="shared" si="20"/>
        <v>PEN</v>
      </c>
      <c r="O265" s="13"/>
      <c r="P265" s="13">
        <v>30</v>
      </c>
      <c r="Q265" s="3">
        <f t="shared" si="18"/>
        <v>0</v>
      </c>
      <c r="R265" s="3">
        <f t="shared" si="19"/>
        <v>30</v>
      </c>
      <c r="S265" s="3">
        <f t="shared" si="21"/>
        <v>1196.8000000000002</v>
      </c>
      <c r="T265" s="24" t="s">
        <v>1334</v>
      </c>
      <c r="U265" s="24" t="s">
        <v>1334</v>
      </c>
      <c r="V265" s="3"/>
      <c r="W265" s="25" t="str">
        <f>IFERROR(VLOOKUP(Caja_Arequipa[[#This Row],[destinatario]],CHOOSE({1,2},Clientes_Proveedores[Razon Social],Clientes_Proveedores[Ruc / Dni]),2,0),"")</f>
        <v/>
      </c>
      <c r="X265" s="3" t="s">
        <v>5711</v>
      </c>
      <c r="Y265" s="3"/>
      <c r="Z265" s="3"/>
      <c r="AA265" s="3"/>
      <c r="AB265" s="3" t="str">
        <f>IF(Caja_Arequipa[[#This Row],[fecha]]&gt;0,TEXT(Caja_Arequipa[[#This Row],[fecha]],"mmmm"),0)</f>
        <v>Abril</v>
      </c>
    </row>
    <row r="266" spans="1:28" x14ac:dyDescent="0.3">
      <c r="A266" s="2">
        <f>IF(Caja_Arequipa[[#This Row],[tipo_r]]="R",COUNTIFS($C$1:$C265,"R")+1,A265)</f>
        <v>251</v>
      </c>
      <c r="B266" s="19" t="str">
        <f t="shared" si="17"/>
        <v>C-Tesoreria</v>
      </c>
      <c r="C266" s="3" t="s">
        <v>1330</v>
      </c>
      <c r="D266" s="14">
        <v>45748</v>
      </c>
      <c r="E266" s="5" t="s">
        <v>1416</v>
      </c>
      <c r="F266" s="5" t="s">
        <v>1336</v>
      </c>
      <c r="G266" s="3" t="s">
        <v>3308</v>
      </c>
      <c r="H266" s="6"/>
      <c r="I266" s="6" t="s">
        <v>111</v>
      </c>
      <c r="J266" s="6">
        <v>3</v>
      </c>
      <c r="K266" s="6">
        <v>99</v>
      </c>
      <c r="L266" s="7" t="s">
        <v>5712</v>
      </c>
      <c r="M266" s="8" t="str">
        <f>IF(Caja_Arequipa[[#This Row],[tipo_r]]="R","001-"&amp;12002+A266,M265)</f>
        <v>001-12253</v>
      </c>
      <c r="N266" s="8" t="str">
        <f t="shared" si="20"/>
        <v>PEN</v>
      </c>
      <c r="O266" s="13"/>
      <c r="P266" s="13">
        <v>10</v>
      </c>
      <c r="Q266" s="3">
        <f t="shared" si="18"/>
        <v>0</v>
      </c>
      <c r="R266" s="3">
        <f t="shared" si="19"/>
        <v>10</v>
      </c>
      <c r="S266" s="3">
        <f t="shared" si="21"/>
        <v>1186.8000000000002</v>
      </c>
      <c r="T266" s="24" t="s">
        <v>1334</v>
      </c>
      <c r="U266" s="24" t="s">
        <v>1334</v>
      </c>
      <c r="V266" s="3"/>
      <c r="W266" s="25" t="str">
        <f>IFERROR(VLOOKUP(Caja_Arequipa[[#This Row],[destinatario]],CHOOSE({1,2},Clientes_Proveedores[Razon Social],Clientes_Proveedores[Ruc / Dni]),2,0),"")</f>
        <v/>
      </c>
      <c r="X266" s="3" t="s">
        <v>5713</v>
      </c>
      <c r="Y266" s="3"/>
      <c r="Z266" s="3"/>
      <c r="AA266" s="3"/>
      <c r="AB266" s="3" t="str">
        <f>IF(Caja_Arequipa[[#This Row],[fecha]]&gt;0,TEXT(Caja_Arequipa[[#This Row],[fecha]],"mmmm"),0)</f>
        <v>Abril</v>
      </c>
    </row>
    <row r="267" spans="1:28" x14ac:dyDescent="0.3">
      <c r="A267" s="2">
        <f>IF(Caja_Arequipa[[#This Row],[tipo_r]]="R",COUNTIFS($C$1:$C266,"R")+1,A266)</f>
        <v>252</v>
      </c>
      <c r="B267" s="19" t="str">
        <f t="shared" si="17"/>
        <v>C-Tesoreria</v>
      </c>
      <c r="C267" s="3" t="s">
        <v>1330</v>
      </c>
      <c r="D267" s="14">
        <v>45749</v>
      </c>
      <c r="E267" s="5" t="s">
        <v>1416</v>
      </c>
      <c r="F267" s="5" t="s">
        <v>1336</v>
      </c>
      <c r="G267" s="3" t="s">
        <v>5280</v>
      </c>
      <c r="H267" s="6"/>
      <c r="I267" s="6" t="s">
        <v>111</v>
      </c>
      <c r="J267" s="6">
        <v>3</v>
      </c>
      <c r="K267" s="6">
        <v>100</v>
      </c>
      <c r="L267" s="7" t="s">
        <v>5714</v>
      </c>
      <c r="M267" s="8" t="str">
        <f>IF(Caja_Arequipa[[#This Row],[tipo_r]]="R","001-"&amp;12002+A267,M266)</f>
        <v>001-12254</v>
      </c>
      <c r="N267" s="8" t="str">
        <f t="shared" si="20"/>
        <v>PEN</v>
      </c>
      <c r="O267" s="13"/>
      <c r="P267" s="13">
        <v>20</v>
      </c>
      <c r="Q267" s="3">
        <f t="shared" si="18"/>
        <v>0</v>
      </c>
      <c r="R267" s="3">
        <f t="shared" si="19"/>
        <v>20</v>
      </c>
      <c r="S267" s="3">
        <f t="shared" si="21"/>
        <v>1166.8000000000002</v>
      </c>
      <c r="T267" s="24" t="s">
        <v>1334</v>
      </c>
      <c r="U267" s="24" t="s">
        <v>1334</v>
      </c>
      <c r="V267" s="3"/>
      <c r="W267" s="25" t="str">
        <f>IFERROR(VLOOKUP(Caja_Arequipa[[#This Row],[destinatario]],CHOOSE({1,2},Clientes_Proveedores[Razon Social],Clientes_Proveedores[Ruc / Dni]),2,0),"")</f>
        <v/>
      </c>
      <c r="X267" s="3" t="s">
        <v>5715</v>
      </c>
      <c r="Y267" s="3"/>
      <c r="Z267" s="3"/>
      <c r="AA267" s="3"/>
      <c r="AB267" s="3" t="str">
        <f>IF(Caja_Arequipa[[#This Row],[fecha]]&gt;0,TEXT(Caja_Arequipa[[#This Row],[fecha]],"mmmm"),0)</f>
        <v>Abril</v>
      </c>
    </row>
    <row r="268" spans="1:28" ht="36" x14ac:dyDescent="0.3">
      <c r="A268" s="2">
        <f>IF(Caja_Arequipa[[#This Row],[tipo_r]]="R",COUNTIFS($C$1:$C267,"R")+1,A267)</f>
        <v>253</v>
      </c>
      <c r="B268" s="19" t="str">
        <f t="shared" si="17"/>
        <v>C-Tesoreria</v>
      </c>
      <c r="C268" s="3" t="s">
        <v>1330</v>
      </c>
      <c r="D268" s="14">
        <v>45750</v>
      </c>
      <c r="E268" s="5" t="s">
        <v>1416</v>
      </c>
      <c r="F268" s="5" t="s">
        <v>1336</v>
      </c>
      <c r="G268" s="3" t="s">
        <v>5450</v>
      </c>
      <c r="H268" s="6"/>
      <c r="I268" s="6"/>
      <c r="J268" s="6"/>
      <c r="K268" s="6"/>
      <c r="L268" s="7" t="s">
        <v>5716</v>
      </c>
      <c r="M268" s="8" t="str">
        <f>IF(Caja_Arequipa[[#This Row],[tipo_r]]="R","001-"&amp;12002+A268,M267)</f>
        <v>001-12255</v>
      </c>
      <c r="N268" s="8" t="str">
        <f t="shared" si="20"/>
        <v>PEN</v>
      </c>
      <c r="O268" s="13"/>
      <c r="P268" s="13">
        <v>40</v>
      </c>
      <c r="Q268" s="3">
        <f t="shared" si="18"/>
        <v>0</v>
      </c>
      <c r="R268" s="3">
        <f t="shared" si="19"/>
        <v>40</v>
      </c>
      <c r="S268" s="3">
        <f t="shared" si="21"/>
        <v>1126.8000000000002</v>
      </c>
      <c r="T268" s="24" t="s">
        <v>1334</v>
      </c>
      <c r="U268" s="24" t="s">
        <v>1334</v>
      </c>
      <c r="V268" s="3"/>
      <c r="W268" s="25" t="str">
        <f>IFERROR(VLOOKUP(Caja_Arequipa[[#This Row],[destinatario]],CHOOSE({1,2},Clientes_Proveedores[Razon Social],Clientes_Proveedores[Ruc / Dni]),2,0),"")</f>
        <v/>
      </c>
      <c r="X268" s="3" t="s">
        <v>5717</v>
      </c>
      <c r="Y268" s="3"/>
      <c r="Z268" s="3"/>
      <c r="AA268" s="3"/>
      <c r="AB268" s="3" t="str">
        <f>IF(Caja_Arequipa[[#This Row],[fecha]]&gt;0,TEXT(Caja_Arequipa[[#This Row],[fecha]],"mmmm"),0)</f>
        <v>Abril</v>
      </c>
    </row>
    <row r="269" spans="1:28" x14ac:dyDescent="0.3">
      <c r="A269" s="2">
        <f>IF(Caja_Arequipa[[#This Row],[tipo_r]]="R",COUNTIFS($C$1:$C268,"R")+1,A268)</f>
        <v>254</v>
      </c>
      <c r="B269" s="19" t="str">
        <f t="shared" si="17"/>
        <v>C-Tesoreria</v>
      </c>
      <c r="C269" s="3" t="s">
        <v>1330</v>
      </c>
      <c r="D269" s="14">
        <v>45751</v>
      </c>
      <c r="E269" s="5" t="s">
        <v>1416</v>
      </c>
      <c r="F269" s="5" t="s">
        <v>1336</v>
      </c>
      <c r="G269" s="3" t="s">
        <v>5250</v>
      </c>
      <c r="H269" s="6"/>
      <c r="I269" s="6"/>
      <c r="J269" s="6"/>
      <c r="K269" s="6"/>
      <c r="L269" s="7" t="s">
        <v>5718</v>
      </c>
      <c r="M269" s="8" t="str">
        <f>IF(Caja_Arequipa[[#This Row],[tipo_r]]="R","001-"&amp;12002+A269,M268)</f>
        <v>001-12256</v>
      </c>
      <c r="N269" s="8" t="str">
        <f t="shared" si="20"/>
        <v>PEN</v>
      </c>
      <c r="O269" s="13"/>
      <c r="P269" s="13">
        <v>15</v>
      </c>
      <c r="Q269" s="3">
        <f t="shared" si="18"/>
        <v>0</v>
      </c>
      <c r="R269" s="3">
        <f t="shared" si="19"/>
        <v>15</v>
      </c>
      <c r="S269" s="3">
        <f t="shared" si="21"/>
        <v>1111.8000000000002</v>
      </c>
      <c r="T269" s="24"/>
      <c r="U269" s="24"/>
      <c r="V269" s="3"/>
      <c r="W269" s="25" t="str">
        <f>IFERROR(VLOOKUP(Caja_Arequipa[[#This Row],[destinatario]],CHOOSE({1,2},Clientes_Proveedores[Razon Social],Clientes_Proveedores[Ruc / Dni]),2,0),"")</f>
        <v/>
      </c>
      <c r="X269" s="3" t="s">
        <v>5719</v>
      </c>
      <c r="Y269" s="3"/>
      <c r="Z269" s="3"/>
      <c r="AA269" s="3"/>
      <c r="AB269" s="3" t="str">
        <f>IF(Caja_Arequipa[[#This Row],[fecha]]&gt;0,TEXT(Caja_Arequipa[[#This Row],[fecha]],"mmmm"),0)</f>
        <v>Abril</v>
      </c>
    </row>
    <row r="270" spans="1:28" x14ac:dyDescent="0.3">
      <c r="A270" s="2">
        <f>IF(Caja_Arequipa[[#This Row],[tipo_r]]="R",COUNTIFS($C$1:$C269,"R")+1,A269)</f>
        <v>255</v>
      </c>
      <c r="B270" s="19" t="str">
        <f t="shared" si="17"/>
        <v>C-Tesoreria</v>
      </c>
      <c r="C270" s="3" t="s">
        <v>1330</v>
      </c>
      <c r="D270" s="14">
        <v>45751</v>
      </c>
      <c r="E270" s="5" t="s">
        <v>1416</v>
      </c>
      <c r="F270" s="5" t="s">
        <v>1336</v>
      </c>
      <c r="G270" s="3" t="s">
        <v>5299</v>
      </c>
      <c r="H270" s="6"/>
      <c r="I270" s="6"/>
      <c r="J270" s="6"/>
      <c r="K270" s="6"/>
      <c r="L270" s="7" t="s">
        <v>5720</v>
      </c>
      <c r="M270" s="8" t="str">
        <f>IF(Caja_Arequipa[[#This Row],[tipo_r]]="R","001-"&amp;12002+A270,M269)</f>
        <v>001-12257</v>
      </c>
      <c r="N270" s="8" t="str">
        <f t="shared" si="20"/>
        <v>PEN</v>
      </c>
      <c r="O270" s="13"/>
      <c r="P270" s="13">
        <v>12</v>
      </c>
      <c r="Q270" s="3">
        <f t="shared" si="18"/>
        <v>0</v>
      </c>
      <c r="R270" s="3">
        <f t="shared" si="19"/>
        <v>12</v>
      </c>
      <c r="S270" s="3">
        <f t="shared" si="21"/>
        <v>1099.8000000000002</v>
      </c>
      <c r="T270" s="24" t="s">
        <v>1334</v>
      </c>
      <c r="U270" s="24" t="s">
        <v>1334</v>
      </c>
      <c r="V270" s="3"/>
      <c r="W270" s="25" t="str">
        <f>IFERROR(VLOOKUP(Caja_Arequipa[[#This Row],[destinatario]],CHOOSE({1,2},Clientes_Proveedores[Razon Social],Clientes_Proveedores[Ruc / Dni]),2,0),"")</f>
        <v/>
      </c>
      <c r="X270" s="3" t="s">
        <v>5721</v>
      </c>
      <c r="Y270" s="3"/>
      <c r="Z270" s="3"/>
      <c r="AA270" s="3"/>
      <c r="AB270" s="3" t="str">
        <f>IF(Caja_Arequipa[[#This Row],[fecha]]&gt;0,TEXT(Caja_Arequipa[[#This Row],[fecha]],"mmmm"),0)</f>
        <v>Abril</v>
      </c>
    </row>
    <row r="271" spans="1:28" x14ac:dyDescent="0.3">
      <c r="A271" s="2">
        <f>IF(Caja_Arequipa[[#This Row],[tipo_r]]="R",COUNTIFS($C$1:$C270,"R")+1,A270)</f>
        <v>256</v>
      </c>
      <c r="B271" s="19" t="str">
        <f t="shared" si="17"/>
        <v>C-Tesoreria</v>
      </c>
      <c r="C271" s="3" t="s">
        <v>1330</v>
      </c>
      <c r="D271" s="14">
        <v>45751</v>
      </c>
      <c r="E271" s="5" t="s">
        <v>1416</v>
      </c>
      <c r="F271" s="5" t="s">
        <v>1336</v>
      </c>
      <c r="G271" s="3" t="s">
        <v>5299</v>
      </c>
      <c r="H271" s="6"/>
      <c r="I271" s="6"/>
      <c r="J271" s="6"/>
      <c r="K271" s="6"/>
      <c r="L271" s="7" t="s">
        <v>5722</v>
      </c>
      <c r="M271" s="8" t="str">
        <f>IF(Caja_Arequipa[[#This Row],[tipo_r]]="R","001-"&amp;12002+A271,M270)</f>
        <v>001-12258</v>
      </c>
      <c r="N271" s="8" t="str">
        <f t="shared" si="20"/>
        <v>PEN</v>
      </c>
      <c r="O271" s="13"/>
      <c r="P271" s="13">
        <v>60</v>
      </c>
      <c r="Q271" s="3">
        <f t="shared" si="18"/>
        <v>0</v>
      </c>
      <c r="R271" s="3">
        <f t="shared" si="19"/>
        <v>60</v>
      </c>
      <c r="S271" s="3">
        <f t="shared" si="21"/>
        <v>1039.8000000000002</v>
      </c>
      <c r="T271" s="24" t="s">
        <v>1334</v>
      </c>
      <c r="U271" s="24" t="s">
        <v>1334</v>
      </c>
      <c r="V271" s="3"/>
      <c r="W271" s="25" t="str">
        <f>IFERROR(VLOOKUP(Caja_Arequipa[[#This Row],[destinatario]],CHOOSE({1,2},Clientes_Proveedores[Razon Social],Clientes_Proveedores[Ruc / Dni]),2,0),"")</f>
        <v/>
      </c>
      <c r="X271" s="3" t="s">
        <v>5723</v>
      </c>
      <c r="Y271" s="3"/>
      <c r="Z271" s="3"/>
      <c r="AA271" s="3"/>
      <c r="AB271" s="3" t="str">
        <f>IF(Caja_Arequipa[[#This Row],[fecha]]&gt;0,TEXT(Caja_Arequipa[[#This Row],[fecha]],"mmmm"),0)</f>
        <v>Abril</v>
      </c>
    </row>
    <row r="272" spans="1:28" x14ac:dyDescent="0.3">
      <c r="A272" s="2">
        <f>IF(Caja_Arequipa[[#This Row],[tipo_r]]="R",COUNTIFS($C$1:$C271,"R")+1,A271)</f>
        <v>257</v>
      </c>
      <c r="B272" s="19" t="str">
        <f t="shared" ref="B272:B345" si="22">"C-Tesoreria"</f>
        <v>C-Tesoreria</v>
      </c>
      <c r="C272" s="3" t="s">
        <v>1330</v>
      </c>
      <c r="D272" s="14">
        <v>45751</v>
      </c>
      <c r="E272" s="5" t="s">
        <v>1416</v>
      </c>
      <c r="F272" s="5" t="s">
        <v>1336</v>
      </c>
      <c r="G272" s="3" t="s">
        <v>5299</v>
      </c>
      <c r="H272" s="6"/>
      <c r="I272" s="6"/>
      <c r="J272" s="6"/>
      <c r="K272" s="6"/>
      <c r="L272" s="7" t="s">
        <v>5724</v>
      </c>
      <c r="M272" s="8" t="str">
        <f>IF(Caja_Arequipa[[#This Row],[tipo_r]]="R","001-"&amp;12002+A272,M271)</f>
        <v>001-12259</v>
      </c>
      <c r="N272" s="8" t="str">
        <f t="shared" si="20"/>
        <v>PEN</v>
      </c>
      <c r="O272" s="13"/>
      <c r="P272" s="13">
        <v>15</v>
      </c>
      <c r="Q272" s="3">
        <f t="shared" ref="Q272:Q345" si="23">+IF(OR($F272="SALDO",$F272="INGRESO"),$P272,0)</f>
        <v>0</v>
      </c>
      <c r="R272" s="3">
        <f t="shared" ref="R272:R345" si="24">+IF($F272="EGRESO",$P272,0)</f>
        <v>15</v>
      </c>
      <c r="S272" s="3">
        <f t="shared" si="21"/>
        <v>1024.8000000000002</v>
      </c>
      <c r="T272" s="24" t="s">
        <v>1334</v>
      </c>
      <c r="U272" s="24" t="s">
        <v>1334</v>
      </c>
      <c r="V272" s="3"/>
      <c r="W272" s="25" t="str">
        <f>IFERROR(VLOOKUP(Caja_Arequipa[[#This Row],[destinatario]],CHOOSE({1,2},Clientes_Proveedores[Razon Social],Clientes_Proveedores[Ruc / Dni]),2,0),"")</f>
        <v/>
      </c>
      <c r="X272" s="3" t="s">
        <v>5725</v>
      </c>
      <c r="Y272" s="3"/>
      <c r="Z272" s="3"/>
      <c r="AA272" s="3"/>
      <c r="AB272" s="3" t="str">
        <f>IF(Caja_Arequipa[[#This Row],[fecha]]&gt;0,TEXT(Caja_Arequipa[[#This Row],[fecha]],"mmmm"),0)</f>
        <v>Abril</v>
      </c>
    </row>
    <row r="273" spans="1:28" x14ac:dyDescent="0.3">
      <c r="A273" s="2">
        <f>IF(Caja_Arequipa[[#This Row],[tipo_r]]="R",COUNTIFS($C$1:$C272,"R")+1,A272)</f>
        <v>258</v>
      </c>
      <c r="B273" s="19" t="str">
        <f t="shared" si="22"/>
        <v>C-Tesoreria</v>
      </c>
      <c r="C273" s="3" t="s">
        <v>1330</v>
      </c>
      <c r="D273" s="14">
        <v>45751</v>
      </c>
      <c r="E273" s="5" t="s">
        <v>1416</v>
      </c>
      <c r="F273" s="5" t="s">
        <v>1336</v>
      </c>
      <c r="G273" s="3" t="s">
        <v>5299</v>
      </c>
      <c r="H273" s="6"/>
      <c r="I273" s="6"/>
      <c r="J273" s="6"/>
      <c r="K273" s="6"/>
      <c r="L273" s="7" t="s">
        <v>5724</v>
      </c>
      <c r="M273" s="8" t="str">
        <f>IF(Caja_Arequipa[[#This Row],[tipo_r]]="R","001-"&amp;12002+A273,M272)</f>
        <v>001-12260</v>
      </c>
      <c r="N273" s="8" t="str">
        <f t="shared" ref="N273:N346" si="25">"PEN"</f>
        <v>PEN</v>
      </c>
      <c r="O273" s="13"/>
      <c r="P273" s="13">
        <v>20</v>
      </c>
      <c r="Q273" s="3">
        <f t="shared" si="23"/>
        <v>0</v>
      </c>
      <c r="R273" s="3">
        <f t="shared" si="24"/>
        <v>20</v>
      </c>
      <c r="S273" s="3">
        <f t="shared" si="21"/>
        <v>1004.8000000000002</v>
      </c>
      <c r="T273" s="24" t="s">
        <v>1334</v>
      </c>
      <c r="U273" s="24" t="s">
        <v>1334</v>
      </c>
      <c r="V273" s="3"/>
      <c r="W273" s="25" t="str">
        <f>IFERROR(VLOOKUP(Caja_Arequipa[[#This Row],[destinatario]],CHOOSE({1,2},Clientes_Proveedores[Razon Social],Clientes_Proveedores[Ruc / Dni]),2,0),"")</f>
        <v/>
      </c>
      <c r="X273" s="3" t="s">
        <v>5726</v>
      </c>
      <c r="Y273" s="3"/>
      <c r="Z273" s="3"/>
      <c r="AA273" s="3"/>
      <c r="AB273" s="3" t="str">
        <f>IF(Caja_Arequipa[[#This Row],[fecha]]&gt;0,TEXT(Caja_Arequipa[[#This Row],[fecha]],"mmmm"),0)</f>
        <v>Abril</v>
      </c>
    </row>
    <row r="274" spans="1:28" x14ac:dyDescent="0.3">
      <c r="A274" s="2">
        <f>IF(Caja_Arequipa[[#This Row],[tipo_r]]="R",COUNTIFS($C$1:$C273,"R")+1,A273)</f>
        <v>259</v>
      </c>
      <c r="B274" s="19" t="str">
        <f t="shared" si="22"/>
        <v>C-Tesoreria</v>
      </c>
      <c r="C274" s="3" t="s">
        <v>1330</v>
      </c>
      <c r="D274" s="14">
        <v>45751</v>
      </c>
      <c r="E274" s="5" t="s">
        <v>1416</v>
      </c>
      <c r="F274" s="5" t="s">
        <v>1336</v>
      </c>
      <c r="G274" s="3" t="s">
        <v>5299</v>
      </c>
      <c r="H274" s="6"/>
      <c r="I274" s="6" t="s">
        <v>111</v>
      </c>
      <c r="J274" s="6">
        <v>3</v>
      </c>
      <c r="K274" s="6">
        <v>102</v>
      </c>
      <c r="L274" s="7" t="s">
        <v>5675</v>
      </c>
      <c r="M274" s="8" t="str">
        <f>IF(Caja_Arequipa[[#This Row],[tipo_r]]="R","001-"&amp;12002+A274,M273)</f>
        <v>001-12261</v>
      </c>
      <c r="N274" s="8" t="str">
        <f t="shared" si="25"/>
        <v>PEN</v>
      </c>
      <c r="O274" s="13"/>
      <c r="P274" s="13">
        <v>42</v>
      </c>
      <c r="Q274" s="3">
        <f t="shared" si="23"/>
        <v>0</v>
      </c>
      <c r="R274" s="3">
        <f t="shared" si="24"/>
        <v>42</v>
      </c>
      <c r="S274" s="3">
        <f t="shared" si="21"/>
        <v>962.80000000000018</v>
      </c>
      <c r="T274" s="24" t="s">
        <v>1334</v>
      </c>
      <c r="U274" s="24" t="s">
        <v>1334</v>
      </c>
      <c r="V274" s="3"/>
      <c r="W274" s="25" t="str">
        <f>IFERROR(VLOOKUP(Caja_Arequipa[[#This Row],[destinatario]],CHOOSE({1,2},Clientes_Proveedores[Razon Social],Clientes_Proveedores[Ruc / Dni]),2,0),"")</f>
        <v/>
      </c>
      <c r="X274" s="3" t="s">
        <v>5727</v>
      </c>
      <c r="Y274" s="3"/>
      <c r="Z274" s="3"/>
      <c r="AA274" s="3"/>
      <c r="AB274" s="3" t="str">
        <f>IF(Caja_Arequipa[[#This Row],[fecha]]&gt;0,TEXT(Caja_Arequipa[[#This Row],[fecha]],"mmmm"),0)</f>
        <v>Abril</v>
      </c>
    </row>
    <row r="275" spans="1:28" x14ac:dyDescent="0.3">
      <c r="A275" s="2">
        <f>IF(Caja_Arequipa[[#This Row],[tipo_r]]="R",COUNTIFS($C$1:$C274,"R")+1,A274)</f>
        <v>260</v>
      </c>
      <c r="B275" s="19" t="str">
        <f t="shared" si="22"/>
        <v>C-Tesoreria</v>
      </c>
      <c r="C275" s="3" t="s">
        <v>1330</v>
      </c>
      <c r="D275" s="14">
        <v>45751</v>
      </c>
      <c r="E275" s="5" t="s">
        <v>1416</v>
      </c>
      <c r="F275" s="5" t="s">
        <v>1336</v>
      </c>
      <c r="G275" s="3" t="s">
        <v>5299</v>
      </c>
      <c r="H275" s="6"/>
      <c r="I275" s="6" t="s">
        <v>111</v>
      </c>
      <c r="J275" s="6">
        <v>3</v>
      </c>
      <c r="K275" s="6">
        <v>103</v>
      </c>
      <c r="L275" s="7" t="s">
        <v>5728</v>
      </c>
      <c r="M275" s="8" t="str">
        <f>IF(Caja_Arequipa[[#This Row],[tipo_r]]="R","001-"&amp;12002+A275,M274)</f>
        <v>001-12262</v>
      </c>
      <c r="N275" s="8" t="str">
        <f t="shared" si="25"/>
        <v>PEN</v>
      </c>
      <c r="O275" s="13"/>
      <c r="P275" s="13">
        <v>14</v>
      </c>
      <c r="Q275" s="3">
        <f t="shared" si="23"/>
        <v>0</v>
      </c>
      <c r="R275" s="3">
        <f t="shared" si="24"/>
        <v>14</v>
      </c>
      <c r="S275" s="3">
        <f t="shared" si="21"/>
        <v>948.80000000000018</v>
      </c>
      <c r="T275" s="24" t="s">
        <v>1334</v>
      </c>
      <c r="U275" s="24" t="s">
        <v>1334</v>
      </c>
      <c r="V275" s="3"/>
      <c r="W275" s="25" t="str">
        <f>IFERROR(VLOOKUP(Caja_Arequipa[[#This Row],[destinatario]],CHOOSE({1,2},Clientes_Proveedores[Razon Social],Clientes_Proveedores[Ruc / Dni]),2,0),"")</f>
        <v/>
      </c>
      <c r="X275" s="3" t="s">
        <v>5729</v>
      </c>
      <c r="Y275" s="3"/>
      <c r="Z275" s="3"/>
      <c r="AA275" s="3"/>
      <c r="AB275" s="3" t="str">
        <f>IF(Caja_Arequipa[[#This Row],[fecha]]&gt;0,TEXT(Caja_Arequipa[[#This Row],[fecha]],"mmmm"),0)</f>
        <v>Abril</v>
      </c>
    </row>
    <row r="276" spans="1:28" x14ac:dyDescent="0.3">
      <c r="A276" s="2">
        <f>IF(Caja_Arequipa[[#This Row],[tipo_r]]="R",COUNTIFS($C$1:$C275,"R")+1,A275)</f>
        <v>261</v>
      </c>
      <c r="B276" s="19" t="str">
        <f t="shared" si="22"/>
        <v>C-Tesoreria</v>
      </c>
      <c r="C276" s="3" t="s">
        <v>1330</v>
      </c>
      <c r="D276" s="14">
        <v>45751</v>
      </c>
      <c r="E276" s="5" t="s">
        <v>1416</v>
      </c>
      <c r="F276" s="5" t="s">
        <v>1336</v>
      </c>
      <c r="G276" s="3" t="s">
        <v>5664</v>
      </c>
      <c r="H276" s="6"/>
      <c r="I276" s="6"/>
      <c r="J276" s="6"/>
      <c r="K276" s="6"/>
      <c r="L276" s="7" t="s">
        <v>5730</v>
      </c>
      <c r="M276" s="8" t="str">
        <f>IF(Caja_Arequipa[[#This Row],[tipo_r]]="R","001-"&amp;12002+A276,M275)</f>
        <v>001-12263</v>
      </c>
      <c r="N276" s="8" t="str">
        <f t="shared" si="25"/>
        <v>PEN</v>
      </c>
      <c r="O276" s="13"/>
      <c r="P276" s="13">
        <v>20</v>
      </c>
      <c r="Q276" s="3">
        <f t="shared" si="23"/>
        <v>0</v>
      </c>
      <c r="R276" s="3">
        <f t="shared" si="24"/>
        <v>20</v>
      </c>
      <c r="S276" s="3">
        <f t="shared" si="21"/>
        <v>928.80000000000018</v>
      </c>
      <c r="T276" s="24" t="s">
        <v>1334</v>
      </c>
      <c r="U276" s="24" t="s">
        <v>1334</v>
      </c>
      <c r="V276" s="3"/>
      <c r="W276" s="25" t="str">
        <f>IFERROR(VLOOKUP(Caja_Arequipa[[#This Row],[destinatario]],CHOOSE({1,2},Clientes_Proveedores[Razon Social],Clientes_Proveedores[Ruc / Dni]),2,0),"")</f>
        <v/>
      </c>
      <c r="X276" s="3" t="s">
        <v>5731</v>
      </c>
      <c r="Y276" s="3"/>
      <c r="Z276" s="3"/>
      <c r="AA276" s="3"/>
      <c r="AB276" s="3" t="str">
        <f>IF(Caja_Arequipa[[#This Row],[fecha]]&gt;0,TEXT(Caja_Arequipa[[#This Row],[fecha]],"mmmm"),0)</f>
        <v>Abril</v>
      </c>
    </row>
    <row r="277" spans="1:28" ht="24" x14ac:dyDescent="0.3">
      <c r="A277" s="2">
        <f>IF(Caja_Arequipa[[#This Row],[tipo_r]]="R",COUNTIFS($C$1:$C276,"R")+1,A276)</f>
        <v>262</v>
      </c>
      <c r="B277" s="19" t="str">
        <f t="shared" si="22"/>
        <v>C-Tesoreria</v>
      </c>
      <c r="C277" s="3" t="s">
        <v>1330</v>
      </c>
      <c r="D277" s="14">
        <v>45751</v>
      </c>
      <c r="E277" s="5" t="s">
        <v>1416</v>
      </c>
      <c r="F277" s="5" t="s">
        <v>1336</v>
      </c>
      <c r="G277" s="3" t="s">
        <v>5248</v>
      </c>
      <c r="H277" s="6"/>
      <c r="I277" s="6" t="s">
        <v>111</v>
      </c>
      <c r="J277" s="6">
        <v>3</v>
      </c>
      <c r="K277" s="6">
        <v>105</v>
      </c>
      <c r="L277" s="7" t="s">
        <v>5732</v>
      </c>
      <c r="M277" s="8" t="str">
        <f>IF(Caja_Arequipa[[#This Row],[tipo_r]]="R","001-"&amp;12002+A277,M276)</f>
        <v>001-12264</v>
      </c>
      <c r="N277" s="8" t="str">
        <f t="shared" si="25"/>
        <v>PEN</v>
      </c>
      <c r="O277" s="13"/>
      <c r="P277" s="13">
        <v>14.7</v>
      </c>
      <c r="Q277" s="3">
        <f t="shared" si="23"/>
        <v>0</v>
      </c>
      <c r="R277" s="3">
        <f t="shared" si="24"/>
        <v>14.7</v>
      </c>
      <c r="S277" s="3">
        <f t="shared" si="21"/>
        <v>914.10000000000014</v>
      </c>
      <c r="T277" s="24" t="s">
        <v>1334</v>
      </c>
      <c r="U277" s="24" t="s">
        <v>1334</v>
      </c>
      <c r="V277" s="3"/>
      <c r="W277" s="25" t="str">
        <f>IFERROR(VLOOKUP(Caja_Arequipa[[#This Row],[destinatario]],CHOOSE({1,2},Clientes_Proveedores[Razon Social],Clientes_Proveedores[Ruc / Dni]),2,0),"")</f>
        <v/>
      </c>
      <c r="X277" s="3" t="s">
        <v>5733</v>
      </c>
      <c r="Y277" s="3"/>
      <c r="Z277" s="3"/>
      <c r="AA277" s="3"/>
      <c r="AB277" s="3" t="str">
        <f>IF(Caja_Arequipa[[#This Row],[fecha]]&gt;0,TEXT(Caja_Arequipa[[#This Row],[fecha]],"mmmm"),0)</f>
        <v>Abril</v>
      </c>
    </row>
    <row r="278" spans="1:28" x14ac:dyDescent="0.3">
      <c r="A278" s="2">
        <f>IF(Caja_Arequipa[[#This Row],[tipo_r]]="R",COUNTIFS($C$1:$C277,"R")+1,A277)</f>
        <v>263</v>
      </c>
      <c r="B278" s="19" t="str">
        <f t="shared" si="22"/>
        <v>C-Tesoreria</v>
      </c>
      <c r="C278" s="3" t="s">
        <v>1330</v>
      </c>
      <c r="D278" s="14">
        <v>45754</v>
      </c>
      <c r="E278" s="5" t="s">
        <v>1338</v>
      </c>
      <c r="F278" s="5" t="s">
        <v>1336</v>
      </c>
      <c r="G278" s="3" t="s">
        <v>3308</v>
      </c>
      <c r="H278" s="6"/>
      <c r="I278" s="6" t="s">
        <v>111</v>
      </c>
      <c r="J278" s="6">
        <v>3</v>
      </c>
      <c r="K278" s="6">
        <v>104</v>
      </c>
      <c r="L278" s="7" t="s">
        <v>5734</v>
      </c>
      <c r="M278" s="8" t="str">
        <f>IF(Caja_Arequipa[[#This Row],[tipo_r]]="R","001-"&amp;12002+A278,M277)</f>
        <v>001-12265</v>
      </c>
      <c r="N278" s="8" t="str">
        <f t="shared" si="25"/>
        <v>PEN</v>
      </c>
      <c r="O278" s="13"/>
      <c r="P278" s="13">
        <v>24</v>
      </c>
      <c r="Q278" s="3">
        <f t="shared" si="23"/>
        <v>0</v>
      </c>
      <c r="R278" s="3">
        <f t="shared" si="24"/>
        <v>24</v>
      </c>
      <c r="S278" s="3">
        <f t="shared" si="21"/>
        <v>890.10000000000014</v>
      </c>
      <c r="T278" s="24" t="s">
        <v>1334</v>
      </c>
      <c r="U278" s="24" t="s">
        <v>1334</v>
      </c>
      <c r="V278" s="3"/>
      <c r="W278" s="25" t="str">
        <f>IFERROR(VLOOKUP(Caja_Arequipa[[#This Row],[destinatario]],CHOOSE({1,2},Clientes_Proveedores[Razon Social],Clientes_Proveedores[Ruc / Dni]),2,0),"")</f>
        <v/>
      </c>
      <c r="X278" s="3" t="s">
        <v>5735</v>
      </c>
      <c r="Y278" s="3"/>
      <c r="Z278" s="3"/>
      <c r="AA278" s="3"/>
      <c r="AB278" s="3" t="str">
        <f>IF(Caja_Arequipa[[#This Row],[fecha]]&gt;0,TEXT(Caja_Arequipa[[#This Row],[fecha]],"mmmm"),0)</f>
        <v>Abril</v>
      </c>
    </row>
    <row r="279" spans="1:28" x14ac:dyDescent="0.3">
      <c r="A279" s="2">
        <f>IF(Caja_Arequipa[[#This Row],[tipo_r]]="R",COUNTIFS($C$1:$C278,"R")+1,A278)</f>
        <v>264</v>
      </c>
      <c r="B279" s="19" t="str">
        <f t="shared" si="22"/>
        <v>C-Tesoreria</v>
      </c>
      <c r="C279" s="3" t="s">
        <v>1330</v>
      </c>
      <c r="D279" s="14">
        <v>45754</v>
      </c>
      <c r="E279" s="5" t="s">
        <v>1416</v>
      </c>
      <c r="F279" s="5" t="s">
        <v>1336</v>
      </c>
      <c r="G279" s="3" t="s">
        <v>5664</v>
      </c>
      <c r="H279" s="6"/>
      <c r="I279" s="6" t="s">
        <v>111</v>
      </c>
      <c r="J279" s="6">
        <v>3</v>
      </c>
      <c r="K279" s="6">
        <v>106</v>
      </c>
      <c r="L279" s="7" t="s">
        <v>5736</v>
      </c>
      <c r="M279" s="8" t="str">
        <f>IF(Caja_Arequipa[[#This Row],[tipo_r]]="R","001-"&amp;12002+A279,M278)</f>
        <v>001-12266</v>
      </c>
      <c r="N279" s="8" t="str">
        <f t="shared" si="25"/>
        <v>PEN</v>
      </c>
      <c r="O279" s="13"/>
      <c r="P279" s="13">
        <v>32</v>
      </c>
      <c r="Q279" s="3">
        <f t="shared" si="23"/>
        <v>0</v>
      </c>
      <c r="R279" s="3">
        <f t="shared" si="24"/>
        <v>32</v>
      </c>
      <c r="S279" s="3">
        <f t="shared" si="21"/>
        <v>858.10000000000014</v>
      </c>
      <c r="T279" s="24" t="s">
        <v>1334</v>
      </c>
      <c r="U279" s="24" t="s">
        <v>1334</v>
      </c>
      <c r="V279" s="3"/>
      <c r="W279" s="25" t="str">
        <f>IFERROR(VLOOKUP(Caja_Arequipa[[#This Row],[destinatario]],CHOOSE({1,2},Clientes_Proveedores[Razon Social],Clientes_Proveedores[Ruc / Dni]),2,0),"")</f>
        <v/>
      </c>
      <c r="X279" s="3" t="s">
        <v>5737</v>
      </c>
      <c r="Y279" s="3"/>
      <c r="Z279" s="3"/>
      <c r="AA279" s="3"/>
      <c r="AB279" s="3" t="str">
        <f>IF(Caja_Arequipa[[#This Row],[fecha]]&gt;0,TEXT(Caja_Arequipa[[#This Row],[fecha]],"mmmm"),0)</f>
        <v>Abril</v>
      </c>
    </row>
    <row r="280" spans="1:28" ht="24" x14ac:dyDescent="0.3">
      <c r="A280" s="2">
        <f>IF(Caja_Arequipa[[#This Row],[tipo_r]]="R",COUNTIFS($C$1:$C279,"R")+1,A279)</f>
        <v>265</v>
      </c>
      <c r="B280" s="19" t="str">
        <f t="shared" si="22"/>
        <v>C-Tesoreria</v>
      </c>
      <c r="C280" s="3" t="s">
        <v>1330</v>
      </c>
      <c r="D280" s="14">
        <v>45754</v>
      </c>
      <c r="E280" s="5" t="s">
        <v>1416</v>
      </c>
      <c r="F280" s="5" t="s">
        <v>1336</v>
      </c>
      <c r="G280" s="3" t="s">
        <v>5274</v>
      </c>
      <c r="H280" s="6"/>
      <c r="I280" s="6"/>
      <c r="J280" s="6"/>
      <c r="K280" s="6"/>
      <c r="L280" s="7" t="s">
        <v>5738</v>
      </c>
      <c r="M280" s="8" t="str">
        <f>IF(Caja_Arequipa[[#This Row],[tipo_r]]="R","001-"&amp;12002+A280,M279)</f>
        <v>001-12267</v>
      </c>
      <c r="N280" s="8" t="str">
        <f t="shared" si="25"/>
        <v>PEN</v>
      </c>
      <c r="O280" s="13"/>
      <c r="P280" s="13">
        <v>20</v>
      </c>
      <c r="Q280" s="3">
        <f t="shared" si="23"/>
        <v>0</v>
      </c>
      <c r="R280" s="3">
        <f t="shared" si="24"/>
        <v>20</v>
      </c>
      <c r="S280" s="3">
        <f t="shared" si="21"/>
        <v>838.10000000000014</v>
      </c>
      <c r="T280" s="24" t="s">
        <v>1334</v>
      </c>
      <c r="U280" s="24" t="s">
        <v>1334</v>
      </c>
      <c r="V280" s="3"/>
      <c r="W280" s="25" t="str">
        <f>IFERROR(VLOOKUP(Caja_Arequipa[[#This Row],[destinatario]],CHOOSE({1,2},Clientes_Proveedores[Razon Social],Clientes_Proveedores[Ruc / Dni]),2,0),"")</f>
        <v/>
      </c>
      <c r="X280" s="3" t="s">
        <v>5739</v>
      </c>
      <c r="Y280" s="3"/>
      <c r="Z280" s="3"/>
      <c r="AA280" s="3"/>
      <c r="AB280" s="3" t="str">
        <f>IF(Caja_Arequipa[[#This Row],[fecha]]&gt;0,TEXT(Caja_Arequipa[[#This Row],[fecha]],"mmmm"),0)</f>
        <v>Abril</v>
      </c>
    </row>
    <row r="281" spans="1:28" ht="24" x14ac:dyDescent="0.3">
      <c r="A281" s="2">
        <f>IF(Caja_Arequipa[[#This Row],[tipo_r]]="R",COUNTIFS($C$1:$C280,"R")+1,A280)</f>
        <v>266</v>
      </c>
      <c r="B281" s="19" t="str">
        <f t="shared" si="22"/>
        <v>C-Tesoreria</v>
      </c>
      <c r="C281" s="3" t="s">
        <v>1330</v>
      </c>
      <c r="D281" s="14">
        <v>45755</v>
      </c>
      <c r="E281" s="5" t="s">
        <v>1416</v>
      </c>
      <c r="F281" s="5" t="s">
        <v>1336</v>
      </c>
      <c r="G281" s="3" t="s">
        <v>5299</v>
      </c>
      <c r="H281" s="6"/>
      <c r="I281" s="6"/>
      <c r="J281" s="6"/>
      <c r="K281" s="6"/>
      <c r="L281" s="7" t="s">
        <v>5740</v>
      </c>
      <c r="M281" s="8" t="str">
        <f>IF(Caja_Arequipa[[#This Row],[tipo_r]]="R","001-"&amp;12002+A281,M280)</f>
        <v>001-12268</v>
      </c>
      <c r="N281" s="8" t="str">
        <f t="shared" si="25"/>
        <v>PEN</v>
      </c>
      <c r="O281" s="13"/>
      <c r="P281" s="13">
        <v>159</v>
      </c>
      <c r="Q281" s="3">
        <f t="shared" si="23"/>
        <v>0</v>
      </c>
      <c r="R281" s="3">
        <f t="shared" si="24"/>
        <v>159</v>
      </c>
      <c r="S281" s="3">
        <f t="shared" si="21"/>
        <v>679.10000000000014</v>
      </c>
      <c r="T281" s="24" t="s">
        <v>1334</v>
      </c>
      <c r="U281" s="24" t="s">
        <v>1334</v>
      </c>
      <c r="V281" s="3"/>
      <c r="W281" s="25" t="str">
        <f>IFERROR(VLOOKUP(Caja_Arequipa[[#This Row],[destinatario]],CHOOSE({1,2},Clientes_Proveedores[Razon Social],Clientes_Proveedores[Ruc / Dni]),2,0),"")</f>
        <v/>
      </c>
      <c r="X281" s="3" t="s">
        <v>5741</v>
      </c>
      <c r="Y281" s="3"/>
      <c r="Z281" s="3"/>
      <c r="AA281" s="3"/>
      <c r="AB281" s="3" t="str">
        <f>IF(Caja_Arequipa[[#This Row],[fecha]]&gt;0,TEXT(Caja_Arequipa[[#This Row],[fecha]],"mmmm"),0)</f>
        <v>Abril</v>
      </c>
    </row>
    <row r="282" spans="1:28" ht="36" x14ac:dyDescent="0.3">
      <c r="A282" s="2">
        <f>IF(Caja_Arequipa[[#This Row],[tipo_r]]="R",COUNTIFS($C$1:$C281,"R")+1,A281)</f>
        <v>267</v>
      </c>
      <c r="B282" s="19" t="str">
        <f t="shared" si="22"/>
        <v>C-Tesoreria</v>
      </c>
      <c r="C282" s="3" t="s">
        <v>1330</v>
      </c>
      <c r="D282" s="14">
        <v>45755</v>
      </c>
      <c r="E282" s="5" t="s">
        <v>1416</v>
      </c>
      <c r="F282" s="5" t="s">
        <v>1336</v>
      </c>
      <c r="G282" s="3" t="s">
        <v>5664</v>
      </c>
      <c r="H282" s="6"/>
      <c r="I282" s="6"/>
      <c r="J282" s="6"/>
      <c r="K282" s="6"/>
      <c r="L282" s="7" t="s">
        <v>5742</v>
      </c>
      <c r="M282" s="8" t="str">
        <f>IF(Caja_Arequipa[[#This Row],[tipo_r]]="R","001-"&amp;12002+A282,M281)</f>
        <v>001-12269</v>
      </c>
      <c r="N282" s="8" t="str">
        <f t="shared" si="25"/>
        <v>PEN</v>
      </c>
      <c r="O282" s="13"/>
      <c r="P282" s="13">
        <v>10</v>
      </c>
      <c r="Q282" s="3">
        <f t="shared" si="23"/>
        <v>0</v>
      </c>
      <c r="R282" s="3">
        <f t="shared" si="24"/>
        <v>10</v>
      </c>
      <c r="S282" s="3">
        <f t="shared" si="21"/>
        <v>669.10000000000014</v>
      </c>
      <c r="T282" s="24" t="s">
        <v>1334</v>
      </c>
      <c r="U282" s="24" t="s">
        <v>1334</v>
      </c>
      <c r="V282" s="3"/>
      <c r="W282" s="25" t="str">
        <f>IFERROR(VLOOKUP(Caja_Arequipa[[#This Row],[destinatario]],CHOOSE({1,2},Clientes_Proveedores[Razon Social],Clientes_Proveedores[Ruc / Dni]),2,0),"")</f>
        <v/>
      </c>
      <c r="X282" s="3" t="s">
        <v>5743</v>
      </c>
      <c r="Y282" s="3"/>
      <c r="Z282" s="3"/>
      <c r="AA282" s="3"/>
      <c r="AB282" s="3" t="str">
        <f>IF(Caja_Arequipa[[#This Row],[fecha]]&gt;0,TEXT(Caja_Arequipa[[#This Row],[fecha]],"mmmm"),0)</f>
        <v>Abril</v>
      </c>
    </row>
    <row r="283" spans="1:28" x14ac:dyDescent="0.3">
      <c r="A283" s="2">
        <f>IF(Caja_Arequipa[[#This Row],[tipo_r]]="R",COUNTIFS($C$1:$C282,"R")+1,A282)</f>
        <v>268</v>
      </c>
      <c r="B283" s="19" t="str">
        <f t="shared" si="22"/>
        <v>C-Tesoreria</v>
      </c>
      <c r="C283" s="3" t="s">
        <v>1330</v>
      </c>
      <c r="D283" s="14">
        <v>45756</v>
      </c>
      <c r="E283" s="5" t="s">
        <v>1416</v>
      </c>
      <c r="F283" s="5" t="s">
        <v>1336</v>
      </c>
      <c r="G283" s="3" t="s">
        <v>5259</v>
      </c>
      <c r="H283" s="6"/>
      <c r="I283" s="6" t="s">
        <v>111</v>
      </c>
      <c r="J283" s="6">
        <v>3</v>
      </c>
      <c r="K283" s="6">
        <v>107</v>
      </c>
      <c r="L283" s="7" t="s">
        <v>5744</v>
      </c>
      <c r="M283" s="8" t="str">
        <f>IF(Caja_Arequipa[[#This Row],[tipo_r]]="R","001-"&amp;12002+A283,M282)</f>
        <v>001-12270</v>
      </c>
      <c r="N283" s="8" t="str">
        <f t="shared" si="25"/>
        <v>PEN</v>
      </c>
      <c r="O283" s="13"/>
      <c r="P283" s="13">
        <v>10</v>
      </c>
      <c r="Q283" s="3">
        <f t="shared" si="23"/>
        <v>0</v>
      </c>
      <c r="R283" s="3">
        <f t="shared" si="24"/>
        <v>10</v>
      </c>
      <c r="S283" s="3">
        <f t="shared" si="21"/>
        <v>659.10000000000014</v>
      </c>
      <c r="T283" s="24" t="s">
        <v>1334</v>
      </c>
      <c r="U283" s="24" t="s">
        <v>1334</v>
      </c>
      <c r="V283" s="3"/>
      <c r="W283" s="25" t="str">
        <f>IFERROR(VLOOKUP(Caja_Arequipa[[#This Row],[destinatario]],CHOOSE({1,2},Clientes_Proveedores[Razon Social],Clientes_Proveedores[Ruc / Dni]),2,0),"")</f>
        <v/>
      </c>
      <c r="X283" s="3" t="s">
        <v>5745</v>
      </c>
      <c r="Y283" s="3"/>
      <c r="Z283" s="3"/>
      <c r="AA283" s="3"/>
      <c r="AB283" s="3" t="str">
        <f>IF(Caja_Arequipa[[#This Row],[fecha]]&gt;0,TEXT(Caja_Arequipa[[#This Row],[fecha]],"mmmm"),0)</f>
        <v>Abril</v>
      </c>
    </row>
    <row r="284" spans="1:28" x14ac:dyDescent="0.3">
      <c r="A284" s="2">
        <f>IF(Caja_Arequipa[[#This Row],[tipo_r]]="R",COUNTIFS($C$1:$C283,"R")+1,A283)</f>
        <v>269</v>
      </c>
      <c r="B284" s="19" t="str">
        <f t="shared" si="22"/>
        <v>C-Tesoreria</v>
      </c>
      <c r="C284" s="3" t="s">
        <v>1330</v>
      </c>
      <c r="D284" s="14">
        <v>45756</v>
      </c>
      <c r="E284" s="5" t="s">
        <v>1416</v>
      </c>
      <c r="F284" s="5" t="s">
        <v>1336</v>
      </c>
      <c r="G284" s="3" t="s">
        <v>5259</v>
      </c>
      <c r="H284" s="6"/>
      <c r="I284" s="6" t="s">
        <v>111</v>
      </c>
      <c r="J284" s="6">
        <v>3</v>
      </c>
      <c r="K284" s="6">
        <v>108</v>
      </c>
      <c r="L284" s="7" t="s">
        <v>5673</v>
      </c>
      <c r="M284" s="8" t="str">
        <f>IF(Caja_Arequipa[[#This Row],[tipo_r]]="R","001-"&amp;12002+A284,M283)</f>
        <v>001-12271</v>
      </c>
      <c r="N284" s="8" t="str">
        <f t="shared" si="25"/>
        <v>PEN</v>
      </c>
      <c r="O284" s="13"/>
      <c r="P284" s="13">
        <v>50</v>
      </c>
      <c r="Q284" s="3">
        <f t="shared" si="23"/>
        <v>0</v>
      </c>
      <c r="R284" s="3">
        <f t="shared" si="24"/>
        <v>50</v>
      </c>
      <c r="S284" s="3">
        <f t="shared" si="21"/>
        <v>609.10000000000014</v>
      </c>
      <c r="T284" s="24" t="s">
        <v>1334</v>
      </c>
      <c r="U284" s="24" t="s">
        <v>1334</v>
      </c>
      <c r="V284" s="3"/>
      <c r="W284" s="25" t="str">
        <f>IFERROR(VLOOKUP(Caja_Arequipa[[#This Row],[destinatario]],CHOOSE({1,2},Clientes_Proveedores[Razon Social],Clientes_Proveedores[Ruc / Dni]),2,0),"")</f>
        <v/>
      </c>
      <c r="X284" s="3" t="s">
        <v>5746</v>
      </c>
      <c r="Y284" s="3"/>
      <c r="Z284" s="3"/>
      <c r="AA284" s="3"/>
      <c r="AB284" s="3" t="str">
        <f>IF(Caja_Arequipa[[#This Row],[fecha]]&gt;0,TEXT(Caja_Arequipa[[#This Row],[fecha]],"mmmm"),0)</f>
        <v>Abril</v>
      </c>
    </row>
    <row r="285" spans="1:28" x14ac:dyDescent="0.3">
      <c r="A285" s="2">
        <f>IF(Caja_Arequipa[[#This Row],[tipo_r]]="R",COUNTIFS($C$1:$C284,"R")+1,A284)</f>
        <v>270</v>
      </c>
      <c r="B285" s="19" t="str">
        <f t="shared" si="22"/>
        <v>C-Tesoreria</v>
      </c>
      <c r="C285" s="3" t="s">
        <v>1330</v>
      </c>
      <c r="D285" s="14">
        <v>45756</v>
      </c>
      <c r="E285" s="5" t="s">
        <v>1416</v>
      </c>
      <c r="F285" s="5" t="s">
        <v>1336</v>
      </c>
      <c r="G285" s="3" t="s">
        <v>5259</v>
      </c>
      <c r="H285" s="6"/>
      <c r="I285" s="6" t="s">
        <v>111</v>
      </c>
      <c r="J285" s="6">
        <v>3</v>
      </c>
      <c r="K285" s="6">
        <v>109</v>
      </c>
      <c r="L285" s="7" t="s">
        <v>5747</v>
      </c>
      <c r="M285" s="8" t="str">
        <f>IF(Caja_Arequipa[[#This Row],[tipo_r]]="R","001-"&amp;12002+A285,M284)</f>
        <v>001-12272</v>
      </c>
      <c r="N285" s="8" t="str">
        <f t="shared" si="25"/>
        <v>PEN</v>
      </c>
      <c r="O285" s="13"/>
      <c r="P285" s="13">
        <v>35</v>
      </c>
      <c r="Q285" s="3">
        <f t="shared" si="23"/>
        <v>0</v>
      </c>
      <c r="R285" s="3">
        <f t="shared" si="24"/>
        <v>35</v>
      </c>
      <c r="S285" s="3">
        <f t="shared" si="21"/>
        <v>574.10000000000014</v>
      </c>
      <c r="T285" s="24" t="s">
        <v>1334</v>
      </c>
      <c r="U285" s="24" t="s">
        <v>1334</v>
      </c>
      <c r="V285" s="3"/>
      <c r="W285" s="25" t="str">
        <f>IFERROR(VLOOKUP(Caja_Arequipa[[#This Row],[destinatario]],CHOOSE({1,2},Clientes_Proveedores[Razon Social],Clientes_Proveedores[Ruc / Dni]),2,0),"")</f>
        <v/>
      </c>
      <c r="X285" s="3" t="s">
        <v>5748</v>
      </c>
      <c r="Y285" s="3"/>
      <c r="Z285" s="3"/>
      <c r="AA285" s="3"/>
      <c r="AB285" s="3" t="str">
        <f>IF(Caja_Arequipa[[#This Row],[fecha]]&gt;0,TEXT(Caja_Arequipa[[#This Row],[fecha]],"mmmm"),0)</f>
        <v>Abril</v>
      </c>
    </row>
    <row r="286" spans="1:28" x14ac:dyDescent="0.3">
      <c r="A286" s="2">
        <f>IF(Caja_Arequipa[[#This Row],[tipo_r]]="R",COUNTIFS($C$1:$C285,"R")+1,A285)</f>
        <v>271</v>
      </c>
      <c r="B286" s="19" t="str">
        <f t="shared" si="22"/>
        <v>C-Tesoreria</v>
      </c>
      <c r="C286" s="3" t="s">
        <v>1330</v>
      </c>
      <c r="D286" s="14">
        <v>45756</v>
      </c>
      <c r="E286" s="5" t="s">
        <v>1416</v>
      </c>
      <c r="F286" s="5" t="s">
        <v>1336</v>
      </c>
      <c r="G286" s="3" t="s">
        <v>5259</v>
      </c>
      <c r="H286" s="6"/>
      <c r="I286" s="6" t="s">
        <v>111</v>
      </c>
      <c r="J286" s="6">
        <v>3</v>
      </c>
      <c r="K286" s="6">
        <v>110</v>
      </c>
      <c r="L286" s="7" t="s">
        <v>5675</v>
      </c>
      <c r="M286" s="8" t="str">
        <f>IF(Caja_Arequipa[[#This Row],[tipo_r]]="R","001-"&amp;12002+A286,M285)</f>
        <v>001-12273</v>
      </c>
      <c r="N286" s="8" t="str">
        <f t="shared" si="25"/>
        <v>PEN</v>
      </c>
      <c r="O286" s="13"/>
      <c r="P286" s="13">
        <v>5</v>
      </c>
      <c r="Q286" s="3">
        <f t="shared" si="23"/>
        <v>0</v>
      </c>
      <c r="R286" s="3">
        <f t="shared" si="24"/>
        <v>5</v>
      </c>
      <c r="S286" s="3">
        <f t="shared" si="21"/>
        <v>569.10000000000014</v>
      </c>
      <c r="T286" s="24" t="s">
        <v>1334</v>
      </c>
      <c r="U286" s="24" t="s">
        <v>1334</v>
      </c>
      <c r="V286" s="3"/>
      <c r="W286" s="25" t="str">
        <f>IFERROR(VLOOKUP(Caja_Arequipa[[#This Row],[destinatario]],CHOOSE({1,2},Clientes_Proveedores[Razon Social],Clientes_Proveedores[Ruc / Dni]),2,0),"")</f>
        <v/>
      </c>
      <c r="X286" s="3" t="s">
        <v>5749</v>
      </c>
      <c r="Y286" s="3"/>
      <c r="Z286" s="3"/>
      <c r="AA286" s="3"/>
      <c r="AB286" s="3" t="str">
        <f>IF(Caja_Arequipa[[#This Row],[fecha]]&gt;0,TEXT(Caja_Arequipa[[#This Row],[fecha]],"mmmm"),0)</f>
        <v>Abril</v>
      </c>
    </row>
    <row r="287" spans="1:28" x14ac:dyDescent="0.3">
      <c r="A287" s="2">
        <f>IF(Caja_Arequipa[[#This Row],[tipo_r]]="R",COUNTIFS($C$1:$C286,"R")+1,A286)</f>
        <v>272</v>
      </c>
      <c r="B287" s="19" t="str">
        <f t="shared" si="22"/>
        <v>C-Tesoreria</v>
      </c>
      <c r="C287" s="3" t="s">
        <v>1330</v>
      </c>
      <c r="D287" s="14">
        <v>45756</v>
      </c>
      <c r="E287" s="5" t="s">
        <v>1416</v>
      </c>
      <c r="F287" s="5" t="s">
        <v>1336</v>
      </c>
      <c r="G287" s="3" t="s">
        <v>5259</v>
      </c>
      <c r="H287" s="6"/>
      <c r="I287" s="6" t="s">
        <v>111</v>
      </c>
      <c r="J287" s="6">
        <v>3</v>
      </c>
      <c r="K287" s="6">
        <v>111</v>
      </c>
      <c r="L287" s="7" t="s">
        <v>5750</v>
      </c>
      <c r="M287" s="8" t="str">
        <f>IF(Caja_Arequipa[[#This Row],[tipo_r]]="R","001-"&amp;12002+A287,M286)</f>
        <v>001-12274</v>
      </c>
      <c r="N287" s="8" t="str">
        <f t="shared" si="25"/>
        <v>PEN</v>
      </c>
      <c r="O287" s="13"/>
      <c r="P287" s="13">
        <v>86</v>
      </c>
      <c r="Q287" s="3">
        <f t="shared" si="23"/>
        <v>0</v>
      </c>
      <c r="R287" s="3">
        <f t="shared" si="24"/>
        <v>86</v>
      </c>
      <c r="S287" s="3">
        <f t="shared" si="21"/>
        <v>483.10000000000014</v>
      </c>
      <c r="T287" s="24" t="s">
        <v>1334</v>
      </c>
      <c r="U287" s="24" t="s">
        <v>1334</v>
      </c>
      <c r="V287" s="3"/>
      <c r="W287" s="25" t="str">
        <f>IFERROR(VLOOKUP(Caja_Arequipa[[#This Row],[destinatario]],CHOOSE({1,2},Clientes_Proveedores[Razon Social],Clientes_Proveedores[Ruc / Dni]),2,0),"")</f>
        <v/>
      </c>
      <c r="X287" s="3" t="s">
        <v>5751</v>
      </c>
      <c r="Y287" s="3"/>
      <c r="Z287" s="3"/>
      <c r="AA287" s="3"/>
      <c r="AB287" s="3" t="str">
        <f>IF(Caja_Arequipa[[#This Row],[fecha]]&gt;0,TEXT(Caja_Arequipa[[#This Row],[fecha]],"mmmm"),0)</f>
        <v>Abril</v>
      </c>
    </row>
    <row r="288" spans="1:28" ht="24" x14ac:dyDescent="0.3">
      <c r="A288" s="2">
        <f>IF(Caja_Arequipa[[#This Row],[tipo_r]]="R",COUNTIFS($C$1:$C287,"R")+1,A287)</f>
        <v>273</v>
      </c>
      <c r="B288" s="19" t="str">
        <f t="shared" si="22"/>
        <v>C-Tesoreria</v>
      </c>
      <c r="C288" s="3" t="s">
        <v>1330</v>
      </c>
      <c r="D288" s="14">
        <v>45756</v>
      </c>
      <c r="E288" s="5" t="s">
        <v>1416</v>
      </c>
      <c r="F288" s="5" t="s">
        <v>1336</v>
      </c>
      <c r="G288" s="3" t="s">
        <v>5380</v>
      </c>
      <c r="H288" s="6"/>
      <c r="I288" s="6"/>
      <c r="J288" s="6"/>
      <c r="K288" s="6"/>
      <c r="L288" s="7" t="s">
        <v>5752</v>
      </c>
      <c r="M288" s="8" t="str">
        <f>IF(Caja_Arequipa[[#This Row],[tipo_r]]="R","001-"&amp;12002+A288,M287)</f>
        <v>001-12275</v>
      </c>
      <c r="N288" s="8" t="str">
        <f t="shared" si="25"/>
        <v>PEN</v>
      </c>
      <c r="O288" s="13"/>
      <c r="P288" s="13">
        <v>49</v>
      </c>
      <c r="Q288" s="3">
        <f t="shared" si="23"/>
        <v>0</v>
      </c>
      <c r="R288" s="3">
        <f t="shared" si="24"/>
        <v>49</v>
      </c>
      <c r="S288" s="3">
        <f t="shared" si="21"/>
        <v>434.10000000000014</v>
      </c>
      <c r="T288" s="24" t="s">
        <v>1334</v>
      </c>
      <c r="U288" s="24" t="s">
        <v>1334</v>
      </c>
      <c r="V288" s="3"/>
      <c r="W288" s="25" t="str">
        <f>IFERROR(VLOOKUP(Caja_Arequipa[[#This Row],[destinatario]],CHOOSE({1,2},Clientes_Proveedores[Razon Social],Clientes_Proveedores[Ruc / Dni]),2,0),"")</f>
        <v/>
      </c>
      <c r="X288" s="3" t="s">
        <v>5753</v>
      </c>
      <c r="Y288" s="3"/>
      <c r="Z288" s="3"/>
      <c r="AA288" s="3"/>
      <c r="AB288" s="3" t="str">
        <f>IF(Caja_Arequipa[[#This Row],[fecha]]&gt;0,TEXT(Caja_Arequipa[[#This Row],[fecha]],"mmmm"),0)</f>
        <v>Abril</v>
      </c>
    </row>
    <row r="289" spans="1:28" ht="24" x14ac:dyDescent="0.3">
      <c r="A289" s="2">
        <f>IF(Caja_Arequipa[[#This Row],[tipo_r]]="R",COUNTIFS($C$1:$C288,"R")+1,A288)</f>
        <v>273</v>
      </c>
      <c r="B289" s="19" t="str">
        <f>"C-Tesoreria"</f>
        <v>C-Tesoreria</v>
      </c>
      <c r="C289" s="3" t="s">
        <v>1352</v>
      </c>
      <c r="D289" s="14">
        <v>45756</v>
      </c>
      <c r="E289" s="5" t="s">
        <v>1416</v>
      </c>
      <c r="F289" s="5" t="s">
        <v>1336</v>
      </c>
      <c r="G289" s="3" t="s">
        <v>5380</v>
      </c>
      <c r="H289" s="6" t="s">
        <v>722</v>
      </c>
      <c r="I289" s="6" t="s">
        <v>68</v>
      </c>
      <c r="J289" s="6" t="s">
        <v>1376</v>
      </c>
      <c r="K289" s="6">
        <v>3056</v>
      </c>
      <c r="L289" s="7" t="s">
        <v>5752</v>
      </c>
      <c r="M289" s="8" t="str">
        <f>IF(Caja_Arequipa[[#This Row],[tipo_r]]="R","001-"&amp;12002+A289,M288)</f>
        <v>001-12275</v>
      </c>
      <c r="N289" s="8" t="str">
        <f>"PEN"</f>
        <v>PEN</v>
      </c>
      <c r="O289" s="13">
        <v>39</v>
      </c>
      <c r="P289" s="13"/>
      <c r="Q289" s="3">
        <f>+IF(OR($F289="SALDO",$F289="INGRESO"),$P289,0)</f>
        <v>0</v>
      </c>
      <c r="R289" s="3">
        <f>+IF($F289="EGRESO",$P289,0)</f>
        <v>0</v>
      </c>
      <c r="S289" s="3">
        <f t="shared" si="21"/>
        <v>434.10000000000014</v>
      </c>
      <c r="T289" s="24"/>
      <c r="U289" s="24"/>
      <c r="V289" s="3"/>
      <c r="W289" s="25">
        <f>IFERROR(VLOOKUP(Caja_Arequipa[[#This Row],[destinatario]],CHOOSE({1,2},Clientes_Proveedores[Razon Social],Clientes_Proveedores[Ruc / Dni]),2,0),"")</f>
        <v>10402383548</v>
      </c>
      <c r="X289" s="3"/>
      <c r="Y289" s="3"/>
      <c r="Z289" s="3"/>
      <c r="AA289" s="3"/>
      <c r="AB289" s="3" t="str">
        <f>IF(Caja_Arequipa[[#This Row],[fecha]]&gt;0,TEXT(Caja_Arequipa[[#This Row],[fecha]],"mmmm"),0)</f>
        <v>Abril</v>
      </c>
    </row>
    <row r="290" spans="1:28" ht="24" x14ac:dyDescent="0.3">
      <c r="A290" s="2">
        <f>IF(Caja_Arequipa[[#This Row],[tipo_r]]="R",COUNTIFS($C$1:$C289,"R")+1,A289)</f>
        <v>273</v>
      </c>
      <c r="B290" s="19" t="str">
        <f>"C-Tesoreria"</f>
        <v>C-Tesoreria</v>
      </c>
      <c r="C290" s="3" t="s">
        <v>1352</v>
      </c>
      <c r="D290" s="14">
        <v>45756</v>
      </c>
      <c r="E290" s="5" t="s">
        <v>1416</v>
      </c>
      <c r="F290" s="5" t="s">
        <v>1336</v>
      </c>
      <c r="G290" s="3" t="s">
        <v>5380</v>
      </c>
      <c r="H290" s="6"/>
      <c r="I290" s="6" t="s">
        <v>111</v>
      </c>
      <c r="J290" s="6">
        <v>3</v>
      </c>
      <c r="K290" s="6">
        <v>131</v>
      </c>
      <c r="L290" s="7" t="s">
        <v>5752</v>
      </c>
      <c r="M290" s="8" t="str">
        <f>IF(Caja_Arequipa[[#This Row],[tipo_r]]="R","001-"&amp;12002+A290,M289)</f>
        <v>001-12275</v>
      </c>
      <c r="N290" s="8" t="str">
        <f>"PEN"</f>
        <v>PEN</v>
      </c>
      <c r="O290" s="13">
        <v>10</v>
      </c>
      <c r="P290" s="13"/>
      <c r="Q290" s="3">
        <f>+IF(OR($F290="SALDO",$F290="INGRESO"),$P290,0)</f>
        <v>0</v>
      </c>
      <c r="R290" s="3">
        <f>+IF($F290="EGRESO",$P290,0)</f>
        <v>0</v>
      </c>
      <c r="S290" s="3">
        <f t="shared" si="21"/>
        <v>434.10000000000014</v>
      </c>
      <c r="T290" s="24"/>
      <c r="U290" s="24"/>
      <c r="V290" s="3"/>
      <c r="W290" s="25" t="str">
        <f>IFERROR(VLOOKUP(Caja_Arequipa[[#This Row],[destinatario]],CHOOSE({1,2},Clientes_Proveedores[Razon Social],Clientes_Proveedores[Ruc / Dni]),2,0),"")</f>
        <v/>
      </c>
      <c r="X290" s="3"/>
      <c r="Y290" s="3"/>
      <c r="Z290" s="3"/>
      <c r="AA290" s="3"/>
      <c r="AB290" s="3" t="str">
        <f>IF(Caja_Arequipa[[#This Row],[fecha]]&gt;0,TEXT(Caja_Arequipa[[#This Row],[fecha]],"mmmm"),0)</f>
        <v>Abril</v>
      </c>
    </row>
    <row r="291" spans="1:28" x14ac:dyDescent="0.3">
      <c r="A291" s="2">
        <f>IF(Caja_Arequipa[[#This Row],[tipo_r]]="R",COUNTIFS($C$1:$C290,"R")+1,A290)</f>
        <v>274</v>
      </c>
      <c r="B291" s="19" t="str">
        <f t="shared" si="22"/>
        <v>C-Tesoreria</v>
      </c>
      <c r="C291" s="3" t="s">
        <v>1330</v>
      </c>
      <c r="D291" s="14">
        <v>45756</v>
      </c>
      <c r="E291" s="5" t="s">
        <v>1416</v>
      </c>
      <c r="F291" s="5" t="s">
        <v>1336</v>
      </c>
      <c r="G291" s="3" t="s">
        <v>3308</v>
      </c>
      <c r="H291" s="6"/>
      <c r="I291" s="6"/>
      <c r="J291" s="6"/>
      <c r="K291" s="6"/>
      <c r="L291" s="7" t="s">
        <v>5754</v>
      </c>
      <c r="M291" s="8" t="str">
        <f>IF(Caja_Arequipa[[#This Row],[tipo_r]]="R","001-"&amp;12002+A291,M290)</f>
        <v>001-12276</v>
      </c>
      <c r="N291" s="8" t="str">
        <f t="shared" si="25"/>
        <v>PEN</v>
      </c>
      <c r="O291" s="13"/>
      <c r="P291" s="13">
        <v>69.900000000000006</v>
      </c>
      <c r="Q291" s="3">
        <f t="shared" si="23"/>
        <v>0</v>
      </c>
      <c r="R291" s="3">
        <f t="shared" si="24"/>
        <v>69.900000000000006</v>
      </c>
      <c r="S291" s="3">
        <f t="shared" si="21"/>
        <v>364.20000000000016</v>
      </c>
      <c r="T291" s="24" t="s">
        <v>1334</v>
      </c>
      <c r="U291" s="24" t="s">
        <v>1334</v>
      </c>
      <c r="V291" s="3"/>
      <c r="W291" s="25" t="str">
        <f>IFERROR(VLOOKUP(Caja_Arequipa[[#This Row],[destinatario]],CHOOSE({1,2},Clientes_Proveedores[Razon Social],Clientes_Proveedores[Ruc / Dni]),2,0),"")</f>
        <v/>
      </c>
      <c r="X291" s="3" t="s">
        <v>5755</v>
      </c>
      <c r="Y291" s="3"/>
      <c r="Z291" s="3"/>
      <c r="AA291" s="3"/>
      <c r="AB291" s="3" t="str">
        <f>IF(Caja_Arequipa[[#This Row],[fecha]]&gt;0,TEXT(Caja_Arequipa[[#This Row],[fecha]],"mmmm"),0)</f>
        <v>Abril</v>
      </c>
    </row>
    <row r="292" spans="1:28" ht="24" x14ac:dyDescent="0.3">
      <c r="A292" s="2">
        <f>IF(Caja_Arequipa[[#This Row],[tipo_r]]="R",COUNTIFS($C$1:$C291,"R")+1,A291)</f>
        <v>275</v>
      </c>
      <c r="B292" s="19" t="str">
        <f t="shared" si="22"/>
        <v>C-Tesoreria</v>
      </c>
      <c r="C292" s="3" t="s">
        <v>1330</v>
      </c>
      <c r="D292" s="14">
        <v>45756</v>
      </c>
      <c r="E292" s="5" t="s">
        <v>1416</v>
      </c>
      <c r="F292" s="5" t="s">
        <v>1336</v>
      </c>
      <c r="G292" s="3" t="s">
        <v>5303</v>
      </c>
      <c r="H292" s="6"/>
      <c r="I292" s="6"/>
      <c r="J292" s="6"/>
      <c r="K292" s="6"/>
      <c r="L292" s="7" t="s">
        <v>5756</v>
      </c>
      <c r="M292" s="8" t="str">
        <f>IF(Caja_Arequipa[[#This Row],[tipo_r]]="R","001-"&amp;12002+A292,M291)</f>
        <v>001-12277</v>
      </c>
      <c r="N292" s="8" t="str">
        <f t="shared" si="25"/>
        <v>PEN</v>
      </c>
      <c r="O292" s="13"/>
      <c r="P292" s="13">
        <v>20</v>
      </c>
      <c r="Q292" s="3">
        <f t="shared" si="23"/>
        <v>0</v>
      </c>
      <c r="R292" s="3">
        <f t="shared" si="24"/>
        <v>20</v>
      </c>
      <c r="S292" s="3">
        <f t="shared" si="21"/>
        <v>344.20000000000016</v>
      </c>
      <c r="T292" s="24" t="s">
        <v>1334</v>
      </c>
      <c r="U292" s="24" t="s">
        <v>1334</v>
      </c>
      <c r="V292" s="3"/>
      <c r="W292" s="25" t="str">
        <f>IFERROR(VLOOKUP(Caja_Arequipa[[#This Row],[destinatario]],CHOOSE({1,2},Clientes_Proveedores[Razon Social],Clientes_Proveedores[Ruc / Dni]),2,0),"")</f>
        <v/>
      </c>
      <c r="X292" s="3" t="s">
        <v>5757</v>
      </c>
      <c r="Y292" s="3"/>
      <c r="Z292" s="3"/>
      <c r="AA292" s="3"/>
      <c r="AB292" s="3" t="str">
        <f>IF(Caja_Arequipa[[#This Row],[fecha]]&gt;0,TEXT(Caja_Arequipa[[#This Row],[fecha]],"mmmm"),0)</f>
        <v>Abril</v>
      </c>
    </row>
    <row r="293" spans="1:28" x14ac:dyDescent="0.3">
      <c r="A293" s="2">
        <f>IF(Caja_Arequipa[[#This Row],[tipo_r]]="R",COUNTIFS($C$1:$C292,"R")+1,A292)</f>
        <v>276</v>
      </c>
      <c r="B293" s="19" t="str">
        <f t="shared" si="22"/>
        <v>C-Tesoreria</v>
      </c>
      <c r="C293" s="3" t="s">
        <v>1330</v>
      </c>
      <c r="D293" s="14">
        <v>45757</v>
      </c>
      <c r="E293" s="5" t="s">
        <v>1416</v>
      </c>
      <c r="F293" s="5" t="s">
        <v>1336</v>
      </c>
      <c r="G293" s="3" t="s">
        <v>5274</v>
      </c>
      <c r="H293" s="6"/>
      <c r="I293" s="6" t="s">
        <v>111</v>
      </c>
      <c r="J293" s="6">
        <v>3</v>
      </c>
      <c r="K293" s="6">
        <v>112</v>
      </c>
      <c r="L293" s="7" t="s">
        <v>5758</v>
      </c>
      <c r="M293" s="8" t="str">
        <f>IF(Caja_Arequipa[[#This Row],[tipo_r]]="R","001-"&amp;12002+A293,M292)</f>
        <v>001-12278</v>
      </c>
      <c r="N293" s="8" t="str">
        <f t="shared" si="25"/>
        <v>PEN</v>
      </c>
      <c r="O293" s="13"/>
      <c r="P293" s="13">
        <v>24</v>
      </c>
      <c r="Q293" s="3">
        <f t="shared" si="23"/>
        <v>0</v>
      </c>
      <c r="R293" s="3">
        <f t="shared" si="24"/>
        <v>24</v>
      </c>
      <c r="S293" s="3">
        <f t="shared" si="21"/>
        <v>320.20000000000016</v>
      </c>
      <c r="T293" s="24" t="s">
        <v>1334</v>
      </c>
      <c r="U293" s="24" t="s">
        <v>1334</v>
      </c>
      <c r="V293" s="3"/>
      <c r="W293" s="25" t="str">
        <f>IFERROR(VLOOKUP(Caja_Arequipa[[#This Row],[destinatario]],CHOOSE({1,2},Clientes_Proveedores[Razon Social],Clientes_Proveedores[Ruc / Dni]),2,0),"")</f>
        <v/>
      </c>
      <c r="X293" s="3" t="s">
        <v>5759</v>
      </c>
      <c r="Y293" s="3"/>
      <c r="Z293" s="3"/>
      <c r="AA293" s="3"/>
      <c r="AB293" s="3" t="str">
        <f>IF(Caja_Arequipa[[#This Row],[fecha]]&gt;0,TEXT(Caja_Arequipa[[#This Row],[fecha]],"mmmm"),0)</f>
        <v>Abril</v>
      </c>
    </row>
    <row r="294" spans="1:28" x14ac:dyDescent="0.3">
      <c r="A294" s="2">
        <f>IF(Caja_Arequipa[[#This Row],[tipo_r]]="R",COUNTIFS($C$1:$C293,"R")+1,A293)</f>
        <v>277</v>
      </c>
      <c r="B294" s="19" t="str">
        <f t="shared" si="22"/>
        <v>C-Tesoreria</v>
      </c>
      <c r="C294" s="3" t="s">
        <v>1330</v>
      </c>
      <c r="D294" s="14">
        <v>45757</v>
      </c>
      <c r="E294" s="5" t="s">
        <v>1416</v>
      </c>
      <c r="F294" s="5" t="s">
        <v>1336</v>
      </c>
      <c r="G294" s="3" t="s">
        <v>5274</v>
      </c>
      <c r="H294" s="6"/>
      <c r="I294" s="6" t="s">
        <v>111</v>
      </c>
      <c r="J294" s="6">
        <v>3</v>
      </c>
      <c r="K294" s="6">
        <v>113</v>
      </c>
      <c r="L294" s="7" t="s">
        <v>5760</v>
      </c>
      <c r="M294" s="8" t="str">
        <f>IF(Caja_Arequipa[[#This Row],[tipo_r]]="R","001-"&amp;12002+A294,M293)</f>
        <v>001-12279</v>
      </c>
      <c r="N294" s="8" t="str">
        <f t="shared" si="25"/>
        <v>PEN</v>
      </c>
      <c r="O294" s="13"/>
      <c r="P294" s="13">
        <v>32</v>
      </c>
      <c r="Q294" s="3">
        <f t="shared" si="23"/>
        <v>0</v>
      </c>
      <c r="R294" s="3">
        <f t="shared" si="24"/>
        <v>32</v>
      </c>
      <c r="S294" s="3">
        <f t="shared" si="21"/>
        <v>288.20000000000016</v>
      </c>
      <c r="T294" s="24" t="s">
        <v>1334</v>
      </c>
      <c r="U294" s="24" t="s">
        <v>1334</v>
      </c>
      <c r="V294" s="3"/>
      <c r="W294" s="25" t="str">
        <f>IFERROR(VLOOKUP(Caja_Arequipa[[#This Row],[destinatario]],CHOOSE({1,2},Clientes_Proveedores[Razon Social],Clientes_Proveedores[Ruc / Dni]),2,0),"")</f>
        <v/>
      </c>
      <c r="X294" s="3" t="s">
        <v>5761</v>
      </c>
      <c r="Y294" s="3"/>
      <c r="Z294" s="3"/>
      <c r="AA294" s="3"/>
      <c r="AB294" s="3" t="str">
        <f>IF(Caja_Arequipa[[#This Row],[fecha]]&gt;0,TEXT(Caja_Arequipa[[#This Row],[fecha]],"mmmm"),0)</f>
        <v>Abril</v>
      </c>
    </row>
    <row r="295" spans="1:28" ht="24" x14ac:dyDescent="0.3">
      <c r="A295" s="2">
        <f>IF(Caja_Arequipa[[#This Row],[tipo_r]]="R",COUNTIFS($C$1:$C294,"R")+1,A294)</f>
        <v>278</v>
      </c>
      <c r="B295" s="19" t="str">
        <f t="shared" si="22"/>
        <v>C-Tesoreria</v>
      </c>
      <c r="C295" s="3" t="s">
        <v>1330</v>
      </c>
      <c r="D295" s="14">
        <v>45757</v>
      </c>
      <c r="E295" s="5" t="s">
        <v>1416</v>
      </c>
      <c r="F295" s="5" t="s">
        <v>1336</v>
      </c>
      <c r="G295" s="3" t="s">
        <v>5274</v>
      </c>
      <c r="H295" s="6"/>
      <c r="I295" s="6"/>
      <c r="J295" s="6"/>
      <c r="K295" s="6"/>
      <c r="L295" s="7" t="s">
        <v>5762</v>
      </c>
      <c r="M295" s="8" t="str">
        <f>IF(Caja_Arequipa[[#This Row],[tipo_r]]="R","001-"&amp;12002+A295,M294)</f>
        <v>001-12280</v>
      </c>
      <c r="N295" s="8" t="str">
        <f t="shared" si="25"/>
        <v>PEN</v>
      </c>
      <c r="O295" s="13"/>
      <c r="P295" s="13">
        <v>91</v>
      </c>
      <c r="Q295" s="3">
        <f t="shared" si="23"/>
        <v>0</v>
      </c>
      <c r="R295" s="3">
        <f t="shared" si="24"/>
        <v>91</v>
      </c>
      <c r="S295" s="3">
        <f t="shared" si="21"/>
        <v>197.20000000000016</v>
      </c>
      <c r="T295" s="24" t="s">
        <v>1334</v>
      </c>
      <c r="U295" s="24" t="s">
        <v>1334</v>
      </c>
      <c r="V295" s="3"/>
      <c r="W295" s="25" t="str">
        <f>IFERROR(VLOOKUP(Caja_Arequipa[[#This Row],[destinatario]],CHOOSE({1,2},Clientes_Proveedores[Razon Social],Clientes_Proveedores[Ruc / Dni]),2,0),"")</f>
        <v/>
      </c>
      <c r="X295" s="3" t="s">
        <v>5763</v>
      </c>
      <c r="Y295" s="13"/>
      <c r="Z295" s="13"/>
      <c r="AA295" s="3"/>
      <c r="AB295" s="3" t="str">
        <f>IF(Caja_Arequipa[[#This Row],[fecha]]&gt;0,TEXT(Caja_Arequipa[[#This Row],[fecha]],"mmmm"),0)</f>
        <v>Abril</v>
      </c>
    </row>
    <row r="296" spans="1:28" x14ac:dyDescent="0.3">
      <c r="A296" s="2">
        <f>IF(Caja_Arequipa[[#This Row],[tipo_r]]="R",COUNTIFS($C$1:$C295,"R")+1,A295)</f>
        <v>279</v>
      </c>
      <c r="B296" s="19" t="str">
        <f t="shared" si="22"/>
        <v>C-Tesoreria</v>
      </c>
      <c r="C296" s="3" t="s">
        <v>1330</v>
      </c>
      <c r="D296" s="14">
        <v>45757</v>
      </c>
      <c r="E296" s="5" t="s">
        <v>1416</v>
      </c>
      <c r="F296" s="5" t="s">
        <v>1336</v>
      </c>
      <c r="G296" s="3" t="s">
        <v>5299</v>
      </c>
      <c r="H296" s="6"/>
      <c r="I296" s="6"/>
      <c r="J296" s="6"/>
      <c r="K296" s="6"/>
      <c r="L296" s="7" t="s">
        <v>5764</v>
      </c>
      <c r="M296" s="8" t="str">
        <f>IF(Caja_Arequipa[[#This Row],[tipo_r]]="R","001-"&amp;12002+A296,M295)</f>
        <v>001-12281</v>
      </c>
      <c r="N296" s="8" t="str">
        <f t="shared" si="25"/>
        <v>PEN</v>
      </c>
      <c r="O296" s="13"/>
      <c r="P296" s="13">
        <v>5</v>
      </c>
      <c r="Q296" s="3">
        <f t="shared" si="23"/>
        <v>0</v>
      </c>
      <c r="R296" s="3">
        <f t="shared" si="24"/>
        <v>5</v>
      </c>
      <c r="S296" s="3">
        <f t="shared" si="21"/>
        <v>192.20000000000016</v>
      </c>
      <c r="T296" s="24"/>
      <c r="U296" s="24" t="s">
        <v>1334</v>
      </c>
      <c r="V296" s="3"/>
      <c r="W296" s="25" t="str">
        <f>IFERROR(VLOOKUP(Caja_Arequipa[[#This Row],[destinatario]],CHOOSE({1,2},Clientes_Proveedores[Razon Social],Clientes_Proveedores[Ruc / Dni]),2,0),"")</f>
        <v/>
      </c>
      <c r="X296" s="3" t="s">
        <v>5765</v>
      </c>
      <c r="Y296" s="3"/>
      <c r="Z296" s="3"/>
      <c r="AA296" s="3"/>
      <c r="AB296" s="3" t="str">
        <f>IF(Caja_Arequipa[[#This Row],[fecha]]&gt;0,TEXT(Caja_Arequipa[[#This Row],[fecha]],"mmmm"),0)</f>
        <v>Abril</v>
      </c>
    </row>
    <row r="297" spans="1:28" x14ac:dyDescent="0.3">
      <c r="A297" s="2">
        <f>IF(Caja_Arequipa[[#This Row],[tipo_r]]="R",COUNTIFS($C$1:$C296,"R")+1,A296)</f>
        <v>280</v>
      </c>
      <c r="B297" s="19" t="str">
        <f t="shared" si="22"/>
        <v>C-Tesoreria</v>
      </c>
      <c r="C297" s="3" t="s">
        <v>1330</v>
      </c>
      <c r="D297" s="14">
        <v>45758</v>
      </c>
      <c r="E297" s="5" t="s">
        <v>1416</v>
      </c>
      <c r="F297" s="5" t="s">
        <v>1303</v>
      </c>
      <c r="G297" s="3" t="s">
        <v>3634</v>
      </c>
      <c r="H297" s="6"/>
      <c r="I297" s="6"/>
      <c r="J297" s="6"/>
      <c r="K297" s="6"/>
      <c r="L297" s="7" t="s">
        <v>5340</v>
      </c>
      <c r="M297" s="8" t="str">
        <f>IF(Caja_Arequipa[[#This Row],[tipo_r]]="R","001-"&amp;12002+A297,M296)</f>
        <v>001-12282</v>
      </c>
      <c r="N297" s="8" t="str">
        <f t="shared" si="25"/>
        <v>PEN</v>
      </c>
      <c r="O297" s="13"/>
      <c r="P297" s="13">
        <v>1500</v>
      </c>
      <c r="Q297" s="3">
        <f t="shared" si="23"/>
        <v>1500</v>
      </c>
      <c r="R297" s="3">
        <f t="shared" si="24"/>
        <v>0</v>
      </c>
      <c r="S297" s="3">
        <f t="shared" si="21"/>
        <v>1692.2000000000003</v>
      </c>
      <c r="T297" s="24"/>
      <c r="U297" s="24"/>
      <c r="V297" s="3"/>
      <c r="W297" s="25" t="str">
        <f>IFERROR(VLOOKUP(Caja_Arequipa[[#This Row],[destinatario]],CHOOSE({1,2},Clientes_Proveedores[Razon Social],Clientes_Proveedores[Ruc / Dni]),2,0),"")</f>
        <v/>
      </c>
      <c r="X297" s="3"/>
      <c r="Y297" s="3"/>
      <c r="Z297" s="3"/>
      <c r="AA297" s="3"/>
      <c r="AB297" s="3" t="str">
        <f>IF(Caja_Arequipa[[#This Row],[fecha]]&gt;0,TEXT(Caja_Arequipa[[#This Row],[fecha]],"mmmm"),0)</f>
        <v>Abril</v>
      </c>
    </row>
    <row r="298" spans="1:28" ht="24" x14ac:dyDescent="0.3">
      <c r="A298" s="2">
        <f>IF(Caja_Arequipa[[#This Row],[tipo_r]]="R",COUNTIFS($C$1:$C297,"R")+1,A297)</f>
        <v>281</v>
      </c>
      <c r="B298" s="19" t="str">
        <f t="shared" si="22"/>
        <v>C-Tesoreria</v>
      </c>
      <c r="C298" s="3" t="s">
        <v>1330</v>
      </c>
      <c r="D298" s="14">
        <v>45758</v>
      </c>
      <c r="E298" s="5" t="s">
        <v>1416</v>
      </c>
      <c r="F298" s="5" t="s">
        <v>1336</v>
      </c>
      <c r="G298" s="3" t="s">
        <v>3308</v>
      </c>
      <c r="H298" s="6"/>
      <c r="I298" s="6"/>
      <c r="J298" s="6"/>
      <c r="K298" s="6"/>
      <c r="L298" s="7" t="s">
        <v>5766</v>
      </c>
      <c r="M298" s="8" t="str">
        <f>IF(Caja_Arequipa[[#This Row],[tipo_r]]="R","001-"&amp;12002+A298,M297)</f>
        <v>001-12283</v>
      </c>
      <c r="N298" s="8" t="str">
        <f t="shared" si="25"/>
        <v>PEN</v>
      </c>
      <c r="O298" s="13"/>
      <c r="P298" s="13">
        <v>73</v>
      </c>
      <c r="Q298" s="3">
        <f t="shared" si="23"/>
        <v>0</v>
      </c>
      <c r="R298" s="3">
        <f t="shared" si="24"/>
        <v>73</v>
      </c>
      <c r="S298" s="3">
        <f t="shared" si="21"/>
        <v>1619.2000000000003</v>
      </c>
      <c r="T298" s="24" t="s">
        <v>1334</v>
      </c>
      <c r="U298" s="24"/>
      <c r="V298" s="3"/>
      <c r="W298" s="25" t="str">
        <f>IFERROR(VLOOKUP(Caja_Arequipa[[#This Row],[destinatario]],CHOOSE({1,2},Clientes_Proveedores[Razon Social],Clientes_Proveedores[Ruc / Dni]),2,0),"")</f>
        <v/>
      </c>
      <c r="X298" s="3" t="s">
        <v>5767</v>
      </c>
      <c r="Y298" s="3" t="s">
        <v>5768</v>
      </c>
      <c r="Z298" s="3"/>
      <c r="AA298" s="3"/>
      <c r="AB298" s="3" t="str">
        <f>IF(Caja_Arequipa[[#This Row],[fecha]]&gt;0,TEXT(Caja_Arequipa[[#This Row],[fecha]],"mmmm"),0)</f>
        <v>Abril</v>
      </c>
    </row>
    <row r="299" spans="1:28" ht="24" x14ac:dyDescent="0.3">
      <c r="A299" s="2">
        <f>IF(Caja_Arequipa[[#This Row],[tipo_r]]="R",COUNTIFS($C$1:$C298,"R")+1,A298)</f>
        <v>282</v>
      </c>
      <c r="B299" s="19" t="str">
        <f t="shared" si="22"/>
        <v>C-Tesoreria</v>
      </c>
      <c r="C299" s="3" t="s">
        <v>1330</v>
      </c>
      <c r="D299" s="14">
        <v>45758</v>
      </c>
      <c r="E299" s="5" t="s">
        <v>1416</v>
      </c>
      <c r="F299" s="5" t="s">
        <v>1336</v>
      </c>
      <c r="G299" s="3" t="s">
        <v>5280</v>
      </c>
      <c r="H299" s="6"/>
      <c r="I299" s="6"/>
      <c r="J299" s="6"/>
      <c r="K299" s="6"/>
      <c r="L299" s="7" t="s">
        <v>5769</v>
      </c>
      <c r="M299" s="8" t="str">
        <f>IF(Caja_Arequipa[[#This Row],[tipo_r]]="R","001-"&amp;12002+A299,M298)</f>
        <v>001-12284</v>
      </c>
      <c r="N299" s="8" t="str">
        <f t="shared" si="25"/>
        <v>PEN</v>
      </c>
      <c r="O299" s="13"/>
      <c r="P299" s="13">
        <v>66</v>
      </c>
      <c r="Q299" s="3">
        <f t="shared" si="23"/>
        <v>0</v>
      </c>
      <c r="R299" s="3">
        <f t="shared" si="24"/>
        <v>66</v>
      </c>
      <c r="S299" s="3">
        <f t="shared" si="21"/>
        <v>1553.2000000000003</v>
      </c>
      <c r="T299" s="24" t="s">
        <v>1334</v>
      </c>
      <c r="U299" s="24" t="s">
        <v>1334</v>
      </c>
      <c r="V299" s="3"/>
      <c r="W299" s="25" t="str">
        <f>IFERROR(VLOOKUP(Caja_Arequipa[[#This Row],[destinatario]],CHOOSE({1,2},Clientes_Proveedores[Razon Social],Clientes_Proveedores[Ruc / Dni]),2,0),"")</f>
        <v/>
      </c>
      <c r="X299" s="3" t="s">
        <v>5770</v>
      </c>
      <c r="Y299" s="3"/>
      <c r="Z299" s="3"/>
      <c r="AA299" s="3"/>
      <c r="AB299" s="3" t="str">
        <f>IF(Caja_Arequipa[[#This Row],[fecha]]&gt;0,TEXT(Caja_Arequipa[[#This Row],[fecha]],"mmmm"),0)</f>
        <v>Abril</v>
      </c>
    </row>
    <row r="300" spans="1:28" ht="24" x14ac:dyDescent="0.3">
      <c r="A300" s="2">
        <f>IF(Caja_Arequipa[[#This Row],[tipo_r]]="R",COUNTIFS($C$1:$C299,"R")+1,A299)</f>
        <v>283</v>
      </c>
      <c r="B300" s="19" t="str">
        <f t="shared" si="22"/>
        <v>C-Tesoreria</v>
      </c>
      <c r="C300" s="3" t="s">
        <v>1330</v>
      </c>
      <c r="D300" s="14">
        <v>45758</v>
      </c>
      <c r="E300" s="5" t="s">
        <v>1416</v>
      </c>
      <c r="F300" s="5" t="s">
        <v>1303</v>
      </c>
      <c r="G300" s="3" t="s">
        <v>5212</v>
      </c>
      <c r="H300" s="6"/>
      <c r="I300" s="6"/>
      <c r="J300" s="6"/>
      <c r="K300" s="6"/>
      <c r="L300" s="7" t="s">
        <v>5771</v>
      </c>
      <c r="M300" s="8" t="str">
        <f>IF(Caja_Arequipa[[#This Row],[tipo_r]]="R","001-"&amp;12002+A300,M299)</f>
        <v>001-12285</v>
      </c>
      <c r="N300" s="8" t="str">
        <f t="shared" si="25"/>
        <v>PEN</v>
      </c>
      <c r="O300" s="13"/>
      <c r="P300" s="13">
        <v>1.2</v>
      </c>
      <c r="Q300" s="3">
        <f t="shared" si="23"/>
        <v>1.2</v>
      </c>
      <c r="R300" s="3">
        <f t="shared" si="24"/>
        <v>0</v>
      </c>
      <c r="S300" s="3">
        <f t="shared" si="21"/>
        <v>1554.4000000000003</v>
      </c>
      <c r="T300" s="24"/>
      <c r="U300" s="24"/>
      <c r="V300" s="3"/>
      <c r="W300" s="25" t="str">
        <f>IFERROR(VLOOKUP(Caja_Arequipa[[#This Row],[destinatario]],CHOOSE({1,2},Clientes_Proveedores[Razon Social],Clientes_Proveedores[Ruc / Dni]),2,0),"")</f>
        <v/>
      </c>
      <c r="X300" s="3"/>
      <c r="Y300" s="3"/>
      <c r="Z300" s="3"/>
      <c r="AA300" s="3"/>
      <c r="AB300" s="3" t="str">
        <f>IF(Caja_Arequipa[[#This Row],[fecha]]&gt;0,TEXT(Caja_Arequipa[[#This Row],[fecha]],"mmmm"),0)</f>
        <v>Abril</v>
      </c>
    </row>
    <row r="301" spans="1:28" ht="24" x14ac:dyDescent="0.3">
      <c r="A301" s="2">
        <f>IF(Caja_Arequipa[[#This Row],[tipo_r]]="R",COUNTIFS($C$1:$C300,"R")+1,A300)</f>
        <v>284</v>
      </c>
      <c r="B301" s="19" t="str">
        <f t="shared" si="22"/>
        <v>C-Tesoreria</v>
      </c>
      <c r="C301" s="3" t="s">
        <v>1330</v>
      </c>
      <c r="D301" s="14">
        <v>45758</v>
      </c>
      <c r="E301" s="5" t="s">
        <v>1416</v>
      </c>
      <c r="F301" s="5" t="s">
        <v>1336</v>
      </c>
      <c r="G301" s="3" t="s">
        <v>5664</v>
      </c>
      <c r="H301" s="6"/>
      <c r="I301" s="6"/>
      <c r="J301" s="6"/>
      <c r="K301" s="6"/>
      <c r="L301" s="7" t="s">
        <v>5772</v>
      </c>
      <c r="M301" s="8" t="str">
        <f>IF(Caja_Arequipa[[#This Row],[tipo_r]]="R","001-"&amp;12002+A301,M300)</f>
        <v>001-12286</v>
      </c>
      <c r="N301" s="8" t="str">
        <f t="shared" si="25"/>
        <v>PEN</v>
      </c>
      <c r="O301" s="13"/>
      <c r="P301" s="13">
        <v>20</v>
      </c>
      <c r="Q301" s="3">
        <f t="shared" si="23"/>
        <v>0</v>
      </c>
      <c r="R301" s="3">
        <f t="shared" si="24"/>
        <v>20</v>
      </c>
      <c r="S301" s="3">
        <f t="shared" si="21"/>
        <v>1534.4000000000003</v>
      </c>
      <c r="T301" s="24" t="s">
        <v>1334</v>
      </c>
      <c r="U301" s="24" t="s">
        <v>1334</v>
      </c>
      <c r="V301" s="3"/>
      <c r="W301" s="25" t="str">
        <f>IFERROR(VLOOKUP(Caja_Arequipa[[#This Row],[destinatario]],CHOOSE({1,2},Clientes_Proveedores[Razon Social],Clientes_Proveedores[Ruc / Dni]),2,0),"")</f>
        <v/>
      </c>
      <c r="X301" s="3" t="s">
        <v>5773</v>
      </c>
      <c r="Y301" s="3"/>
      <c r="Z301" s="3"/>
      <c r="AA301" s="3"/>
      <c r="AB301" s="3" t="str">
        <f>IF(Caja_Arequipa[[#This Row],[fecha]]&gt;0,TEXT(Caja_Arequipa[[#This Row],[fecha]],"mmmm"),0)</f>
        <v>Abril</v>
      </c>
    </row>
    <row r="302" spans="1:28" x14ac:dyDescent="0.3">
      <c r="A302" s="2">
        <f>IF(Caja_Arequipa[[#This Row],[tipo_r]]="R",COUNTIFS($C$1:$C301,"R")+1,A301)</f>
        <v>285</v>
      </c>
      <c r="B302" s="19" t="str">
        <f t="shared" si="22"/>
        <v>C-Tesoreria</v>
      </c>
      <c r="C302" s="3" t="s">
        <v>1330</v>
      </c>
      <c r="D302" s="14">
        <v>45758</v>
      </c>
      <c r="E302" s="5" t="s">
        <v>1416</v>
      </c>
      <c r="F302" s="5" t="s">
        <v>1336</v>
      </c>
      <c r="G302" s="3" t="s">
        <v>5280</v>
      </c>
      <c r="H302" s="6"/>
      <c r="I302" s="6" t="s">
        <v>111</v>
      </c>
      <c r="J302" s="6">
        <v>3</v>
      </c>
      <c r="K302" s="6">
        <v>114</v>
      </c>
      <c r="L302" s="7" t="s">
        <v>5774</v>
      </c>
      <c r="M302" s="8" t="str">
        <f>IF(Caja_Arequipa[[#This Row],[tipo_r]]="R","001-"&amp;12002+A302,M301)</f>
        <v>001-12287</v>
      </c>
      <c r="N302" s="8" t="str">
        <f t="shared" si="25"/>
        <v>PEN</v>
      </c>
      <c r="O302" s="13"/>
      <c r="P302" s="13">
        <v>122</v>
      </c>
      <c r="Q302" s="3">
        <f t="shared" si="23"/>
        <v>0</v>
      </c>
      <c r="R302" s="3">
        <f t="shared" si="24"/>
        <v>122</v>
      </c>
      <c r="S302" s="3">
        <f t="shared" si="21"/>
        <v>1412.4000000000003</v>
      </c>
      <c r="T302" s="24" t="s">
        <v>1334</v>
      </c>
      <c r="U302" s="24" t="s">
        <v>1334</v>
      </c>
      <c r="V302" s="3"/>
      <c r="W302" s="25" t="str">
        <f>IFERROR(VLOOKUP(Caja_Arequipa[[#This Row],[destinatario]],CHOOSE({1,2},Clientes_Proveedores[Razon Social],Clientes_Proveedores[Ruc / Dni]),2,0),"")</f>
        <v/>
      </c>
      <c r="X302" s="3" t="s">
        <v>5775</v>
      </c>
      <c r="Y302" s="3"/>
      <c r="Z302" s="3"/>
      <c r="AA302" s="3"/>
      <c r="AB302" s="3" t="str">
        <f>IF(Caja_Arequipa[[#This Row],[fecha]]&gt;0,TEXT(Caja_Arequipa[[#This Row],[fecha]],"mmmm"),0)</f>
        <v>Abril</v>
      </c>
    </row>
    <row r="303" spans="1:28" x14ac:dyDescent="0.3">
      <c r="A303" s="2">
        <f>IF(Caja_Arequipa[[#This Row],[tipo_r]]="R",COUNTIFS($C$1:$C302,"R")+1,A302)</f>
        <v>286</v>
      </c>
      <c r="B303" s="19" t="str">
        <f t="shared" si="22"/>
        <v>C-Tesoreria</v>
      </c>
      <c r="C303" s="3" t="s">
        <v>1330</v>
      </c>
      <c r="D303" s="14">
        <v>45761</v>
      </c>
      <c r="E303" s="5" t="s">
        <v>1416</v>
      </c>
      <c r="F303" s="5" t="s">
        <v>1336</v>
      </c>
      <c r="G303" s="3" t="s">
        <v>5259</v>
      </c>
      <c r="H303" s="6"/>
      <c r="I303" s="6" t="s">
        <v>111</v>
      </c>
      <c r="J303" s="6">
        <v>3</v>
      </c>
      <c r="K303" s="6">
        <v>115</v>
      </c>
      <c r="L303" s="7" t="s">
        <v>5776</v>
      </c>
      <c r="M303" s="8" t="str">
        <f>IF(Caja_Arequipa[[#This Row],[tipo_r]]="R","001-"&amp;12002+A303,M302)</f>
        <v>001-12288</v>
      </c>
      <c r="N303" s="8" t="str">
        <f t="shared" si="25"/>
        <v>PEN</v>
      </c>
      <c r="O303" s="13"/>
      <c r="P303" s="13">
        <v>20</v>
      </c>
      <c r="Q303" s="3">
        <f t="shared" si="23"/>
        <v>0</v>
      </c>
      <c r="R303" s="3">
        <f t="shared" si="24"/>
        <v>20</v>
      </c>
      <c r="S303" s="3">
        <f t="shared" si="21"/>
        <v>1392.4000000000003</v>
      </c>
      <c r="T303" s="24" t="s">
        <v>1334</v>
      </c>
      <c r="U303" s="24" t="s">
        <v>1334</v>
      </c>
      <c r="V303" s="3"/>
      <c r="W303" s="25" t="str">
        <f>IFERROR(VLOOKUP(Caja_Arequipa[[#This Row],[destinatario]],CHOOSE({1,2},Clientes_Proveedores[Razon Social],Clientes_Proveedores[Ruc / Dni]),2,0),"")</f>
        <v/>
      </c>
      <c r="X303" s="3" t="s">
        <v>5777</v>
      </c>
      <c r="Y303" s="3"/>
      <c r="Z303" s="3"/>
      <c r="AA303" s="3"/>
      <c r="AB303" s="3" t="str">
        <f>IF(Caja_Arequipa[[#This Row],[fecha]]&gt;0,TEXT(Caja_Arequipa[[#This Row],[fecha]],"mmmm"),0)</f>
        <v>Abril</v>
      </c>
    </row>
    <row r="304" spans="1:28" x14ac:dyDescent="0.3">
      <c r="A304" s="2">
        <f>IF(Caja_Arequipa[[#This Row],[tipo_r]]="R",COUNTIFS($C$1:$C303,"R")+1,A303)</f>
        <v>287</v>
      </c>
      <c r="B304" s="19" t="str">
        <f t="shared" si="22"/>
        <v>C-Tesoreria</v>
      </c>
      <c r="C304" s="3" t="s">
        <v>1330</v>
      </c>
      <c r="D304" s="14">
        <v>45761</v>
      </c>
      <c r="E304" s="5" t="s">
        <v>1416</v>
      </c>
      <c r="F304" s="5" t="s">
        <v>1336</v>
      </c>
      <c r="G304" s="3" t="s">
        <v>5259</v>
      </c>
      <c r="H304" s="6"/>
      <c r="I304" s="6" t="s">
        <v>111</v>
      </c>
      <c r="J304" s="6">
        <v>3</v>
      </c>
      <c r="K304" s="6">
        <v>116</v>
      </c>
      <c r="L304" s="7" t="s">
        <v>5778</v>
      </c>
      <c r="M304" s="8" t="str">
        <f>IF(Caja_Arequipa[[#This Row],[tipo_r]]="R","001-"&amp;12002+A304,M303)</f>
        <v>001-12289</v>
      </c>
      <c r="N304" s="8" t="str">
        <f t="shared" si="25"/>
        <v>PEN</v>
      </c>
      <c r="O304" s="13"/>
      <c r="P304" s="13">
        <v>15</v>
      </c>
      <c r="Q304" s="3">
        <f t="shared" si="23"/>
        <v>0</v>
      </c>
      <c r="R304" s="3">
        <f t="shared" si="24"/>
        <v>15</v>
      </c>
      <c r="S304" s="3">
        <f t="shared" si="21"/>
        <v>1377.4000000000003</v>
      </c>
      <c r="T304" s="24" t="s">
        <v>1334</v>
      </c>
      <c r="U304" s="24" t="s">
        <v>1334</v>
      </c>
      <c r="V304" s="3"/>
      <c r="W304" s="25" t="str">
        <f>IFERROR(VLOOKUP(Caja_Arequipa[[#This Row],[destinatario]],CHOOSE({1,2},Clientes_Proveedores[Razon Social],Clientes_Proveedores[Ruc / Dni]),2,0),"")</f>
        <v/>
      </c>
      <c r="X304" s="3" t="s">
        <v>5779</v>
      </c>
      <c r="Y304" s="3"/>
      <c r="Z304" s="3"/>
      <c r="AA304" s="3"/>
      <c r="AB304" s="3" t="str">
        <f>IF(Caja_Arequipa[[#This Row],[fecha]]&gt;0,TEXT(Caja_Arequipa[[#This Row],[fecha]],"mmmm"),0)</f>
        <v>Abril</v>
      </c>
    </row>
    <row r="305" spans="1:28" x14ac:dyDescent="0.3">
      <c r="A305" s="2">
        <f>IF(Caja_Arequipa[[#This Row],[tipo_r]]="R",COUNTIFS($C$1:$C304,"R")+1,A304)</f>
        <v>288</v>
      </c>
      <c r="B305" s="19" t="str">
        <f t="shared" si="22"/>
        <v>C-Tesoreria</v>
      </c>
      <c r="C305" s="3" t="s">
        <v>1330</v>
      </c>
      <c r="D305" s="14">
        <v>45761</v>
      </c>
      <c r="E305" s="5" t="s">
        <v>1416</v>
      </c>
      <c r="F305" s="5" t="s">
        <v>1336</v>
      </c>
      <c r="G305" s="3" t="s">
        <v>5259</v>
      </c>
      <c r="H305" s="6"/>
      <c r="I305" s="6" t="s">
        <v>111</v>
      </c>
      <c r="J305" s="6">
        <v>3</v>
      </c>
      <c r="K305" s="6">
        <v>117</v>
      </c>
      <c r="L305" s="7" t="s">
        <v>5760</v>
      </c>
      <c r="M305" s="8" t="str">
        <f>IF(Caja_Arequipa[[#This Row],[tipo_r]]="R","001-"&amp;12002+A305,M304)</f>
        <v>001-12290</v>
      </c>
      <c r="N305" s="8" t="str">
        <f t="shared" si="25"/>
        <v>PEN</v>
      </c>
      <c r="O305" s="13"/>
      <c r="P305" s="13">
        <v>69</v>
      </c>
      <c r="Q305" s="3">
        <f t="shared" si="23"/>
        <v>0</v>
      </c>
      <c r="R305" s="3">
        <f t="shared" si="24"/>
        <v>69</v>
      </c>
      <c r="S305" s="3">
        <f t="shared" si="21"/>
        <v>1308.4000000000003</v>
      </c>
      <c r="T305" s="24" t="s">
        <v>1334</v>
      </c>
      <c r="U305" s="24" t="s">
        <v>1334</v>
      </c>
      <c r="V305" s="3"/>
      <c r="W305" s="25" t="str">
        <f>IFERROR(VLOOKUP(Caja_Arequipa[[#This Row],[destinatario]],CHOOSE({1,2},Clientes_Proveedores[Razon Social],Clientes_Proveedores[Ruc / Dni]),2,0),"")</f>
        <v/>
      </c>
      <c r="X305" s="3" t="s">
        <v>5780</v>
      </c>
      <c r="Y305" s="3"/>
      <c r="Z305" s="3"/>
      <c r="AA305" s="3"/>
      <c r="AB305" s="3" t="str">
        <f>IF(Caja_Arequipa[[#This Row],[fecha]]&gt;0,TEXT(Caja_Arequipa[[#This Row],[fecha]],"mmmm"),0)</f>
        <v>Abril</v>
      </c>
    </row>
    <row r="306" spans="1:28" x14ac:dyDescent="0.3">
      <c r="A306" s="2">
        <f>IF(Caja_Arequipa[[#This Row],[tipo_r]]="R",COUNTIFS($C$1:$C305,"R")+1,A305)</f>
        <v>289</v>
      </c>
      <c r="B306" s="19" t="str">
        <f t="shared" si="22"/>
        <v>C-Tesoreria</v>
      </c>
      <c r="C306" s="3" t="s">
        <v>1330</v>
      </c>
      <c r="D306" s="14">
        <v>45761</v>
      </c>
      <c r="E306" s="5" t="s">
        <v>1416</v>
      </c>
      <c r="F306" s="5" t="s">
        <v>1336</v>
      </c>
      <c r="G306" s="3" t="s">
        <v>5259</v>
      </c>
      <c r="H306" s="6"/>
      <c r="I306" s="6" t="s">
        <v>111</v>
      </c>
      <c r="J306" s="6">
        <v>3</v>
      </c>
      <c r="K306" s="6">
        <v>118</v>
      </c>
      <c r="L306" s="7" t="s">
        <v>5734</v>
      </c>
      <c r="M306" s="8" t="str">
        <f>IF(Caja_Arequipa[[#This Row],[tipo_r]]="R","001-"&amp;12002+A306,M305)</f>
        <v>001-12291</v>
      </c>
      <c r="N306" s="8" t="str">
        <f t="shared" si="25"/>
        <v>PEN</v>
      </c>
      <c r="O306" s="13"/>
      <c r="P306" s="13">
        <v>16</v>
      </c>
      <c r="Q306" s="3">
        <f t="shared" si="23"/>
        <v>0</v>
      </c>
      <c r="R306" s="3">
        <f t="shared" si="24"/>
        <v>16</v>
      </c>
      <c r="S306" s="3">
        <f t="shared" si="21"/>
        <v>1292.4000000000003</v>
      </c>
      <c r="T306" s="24" t="s">
        <v>1334</v>
      </c>
      <c r="U306" s="24" t="s">
        <v>1334</v>
      </c>
      <c r="V306" s="3"/>
      <c r="W306" s="25" t="str">
        <f>IFERROR(VLOOKUP(Caja_Arequipa[[#This Row],[destinatario]],CHOOSE({1,2},Clientes_Proveedores[Razon Social],Clientes_Proveedores[Ruc / Dni]),2,0),"")</f>
        <v/>
      </c>
      <c r="X306" s="3" t="s">
        <v>5781</v>
      </c>
      <c r="Y306" s="3"/>
      <c r="Z306" s="3"/>
      <c r="AA306" s="3"/>
      <c r="AB306" s="3" t="str">
        <f>IF(Caja_Arequipa[[#This Row],[fecha]]&gt;0,TEXT(Caja_Arequipa[[#This Row],[fecha]],"mmmm"),0)</f>
        <v>Abril</v>
      </c>
    </row>
    <row r="307" spans="1:28" x14ac:dyDescent="0.3">
      <c r="A307" s="2">
        <f>IF(Caja_Arequipa[[#This Row],[tipo_r]]="R",COUNTIFS($C$1:$C306,"R")+1,A306)</f>
        <v>290</v>
      </c>
      <c r="B307" s="19" t="str">
        <f t="shared" si="22"/>
        <v>C-Tesoreria</v>
      </c>
      <c r="C307" s="3" t="s">
        <v>1330</v>
      </c>
      <c r="D307" s="14">
        <v>45761</v>
      </c>
      <c r="E307" s="5" t="s">
        <v>1416</v>
      </c>
      <c r="F307" s="5" t="s">
        <v>1336</v>
      </c>
      <c r="G307" s="3" t="s">
        <v>5259</v>
      </c>
      <c r="H307" s="6"/>
      <c r="I307" s="6" t="s">
        <v>111</v>
      </c>
      <c r="J307" s="6">
        <v>3</v>
      </c>
      <c r="K307" s="6">
        <v>119</v>
      </c>
      <c r="L307" s="7" t="s">
        <v>5782</v>
      </c>
      <c r="M307" s="8" t="str">
        <f>IF(Caja_Arequipa[[#This Row],[tipo_r]]="R","001-"&amp;12002+A307,M306)</f>
        <v>001-12292</v>
      </c>
      <c r="N307" s="8" t="str">
        <f t="shared" si="25"/>
        <v>PEN</v>
      </c>
      <c r="O307" s="13"/>
      <c r="P307" s="13">
        <v>150</v>
      </c>
      <c r="Q307" s="3">
        <f t="shared" si="23"/>
        <v>0</v>
      </c>
      <c r="R307" s="3">
        <f t="shared" si="24"/>
        <v>150</v>
      </c>
      <c r="S307" s="3">
        <f t="shared" si="21"/>
        <v>1142.4000000000003</v>
      </c>
      <c r="T307" s="24" t="s">
        <v>1334</v>
      </c>
      <c r="U307" s="24" t="s">
        <v>1334</v>
      </c>
      <c r="V307" s="3"/>
      <c r="W307" s="25" t="str">
        <f>IFERROR(VLOOKUP(Caja_Arequipa[[#This Row],[destinatario]],CHOOSE({1,2},Clientes_Proveedores[Razon Social],Clientes_Proveedores[Ruc / Dni]),2,0),"")</f>
        <v/>
      </c>
      <c r="X307" s="3" t="s">
        <v>5783</v>
      </c>
      <c r="Y307" s="3"/>
      <c r="Z307" s="3"/>
      <c r="AA307" s="3"/>
      <c r="AB307" s="3" t="str">
        <f>IF(Caja_Arequipa[[#This Row],[fecha]]&gt;0,TEXT(Caja_Arequipa[[#This Row],[fecha]],"mmmm"),0)</f>
        <v>Abril</v>
      </c>
    </row>
    <row r="308" spans="1:28" x14ac:dyDescent="0.3">
      <c r="A308" s="2">
        <f>IF(Caja_Arequipa[[#This Row],[tipo_r]]="R",COUNTIFS($C$1:$C307,"R")+1,A307)</f>
        <v>291</v>
      </c>
      <c r="B308" s="19" t="str">
        <f t="shared" si="22"/>
        <v>C-Tesoreria</v>
      </c>
      <c r="C308" s="3" t="s">
        <v>1330</v>
      </c>
      <c r="D308" s="14">
        <v>45761</v>
      </c>
      <c r="E308" s="5" t="s">
        <v>1416</v>
      </c>
      <c r="F308" s="5" t="s">
        <v>1336</v>
      </c>
      <c r="G308" s="3" t="s">
        <v>5259</v>
      </c>
      <c r="H308" s="6"/>
      <c r="I308" s="6" t="s">
        <v>111</v>
      </c>
      <c r="J308" s="6">
        <v>3</v>
      </c>
      <c r="K308" s="6">
        <v>120</v>
      </c>
      <c r="L308" s="7" t="s">
        <v>5784</v>
      </c>
      <c r="M308" s="8" t="str">
        <f>IF(Caja_Arequipa[[#This Row],[tipo_r]]="R","001-"&amp;12002+A308,M307)</f>
        <v>001-12293</v>
      </c>
      <c r="N308" s="8" t="str">
        <f t="shared" si="25"/>
        <v>PEN</v>
      </c>
      <c r="O308" s="13"/>
      <c r="P308" s="13">
        <v>123</v>
      </c>
      <c r="Q308" s="3">
        <f t="shared" si="23"/>
        <v>0</v>
      </c>
      <c r="R308" s="3">
        <f t="shared" si="24"/>
        <v>123</v>
      </c>
      <c r="S308" s="3">
        <f t="shared" si="21"/>
        <v>1019.4000000000003</v>
      </c>
      <c r="T308" s="24" t="s">
        <v>1334</v>
      </c>
      <c r="U308" s="24" t="s">
        <v>1334</v>
      </c>
      <c r="V308" s="3"/>
      <c r="W308" s="25" t="str">
        <f>IFERROR(VLOOKUP(Caja_Arequipa[[#This Row],[destinatario]],CHOOSE({1,2},Clientes_Proveedores[Razon Social],Clientes_Proveedores[Ruc / Dni]),2,0),"")</f>
        <v/>
      </c>
      <c r="X308" s="3" t="s">
        <v>5785</v>
      </c>
      <c r="Y308" s="3"/>
      <c r="Z308" s="3"/>
      <c r="AA308" s="3"/>
      <c r="AB308" s="3" t="str">
        <f>IF(Caja_Arequipa[[#This Row],[fecha]]&gt;0,TEXT(Caja_Arequipa[[#This Row],[fecha]],"mmmm"),0)</f>
        <v>Abril</v>
      </c>
    </row>
    <row r="309" spans="1:28" x14ac:dyDescent="0.3">
      <c r="A309" s="2">
        <f>IF(Caja_Arequipa[[#This Row],[tipo_r]]="R",COUNTIFS($C$1:$C308,"R")+1,A308)</f>
        <v>292</v>
      </c>
      <c r="B309" s="19" t="str">
        <f t="shared" si="22"/>
        <v>C-Tesoreria</v>
      </c>
      <c r="C309" s="3" t="s">
        <v>1330</v>
      </c>
      <c r="D309" s="14">
        <v>45761</v>
      </c>
      <c r="E309" s="5" t="s">
        <v>1416</v>
      </c>
      <c r="F309" s="5" t="s">
        <v>1336</v>
      </c>
      <c r="G309" s="3" t="s">
        <v>5259</v>
      </c>
      <c r="H309" s="6"/>
      <c r="I309" s="6" t="s">
        <v>111</v>
      </c>
      <c r="J309" s="6">
        <v>3</v>
      </c>
      <c r="K309" s="6">
        <v>121</v>
      </c>
      <c r="L309" s="7" t="s">
        <v>5758</v>
      </c>
      <c r="M309" s="8" t="str">
        <f>IF(Caja_Arequipa[[#This Row],[tipo_r]]="R","001-"&amp;12002+A309,M308)</f>
        <v>001-12294</v>
      </c>
      <c r="N309" s="8" t="str">
        <f t="shared" si="25"/>
        <v>PEN</v>
      </c>
      <c r="O309" s="13"/>
      <c r="P309" s="13">
        <v>100</v>
      </c>
      <c r="Q309" s="3">
        <f t="shared" si="23"/>
        <v>0</v>
      </c>
      <c r="R309" s="3">
        <f t="shared" si="24"/>
        <v>100</v>
      </c>
      <c r="S309" s="3">
        <f t="shared" si="21"/>
        <v>919.40000000000032</v>
      </c>
      <c r="T309" s="24" t="s">
        <v>1334</v>
      </c>
      <c r="U309" s="24" t="s">
        <v>1334</v>
      </c>
      <c r="V309" s="3"/>
      <c r="W309" s="25" t="str">
        <f>IFERROR(VLOOKUP(Caja_Arequipa[[#This Row],[destinatario]],CHOOSE({1,2},Clientes_Proveedores[Razon Social],Clientes_Proveedores[Ruc / Dni]),2,0),"")</f>
        <v/>
      </c>
      <c r="X309" s="3" t="s">
        <v>5786</v>
      </c>
      <c r="Y309" s="3"/>
      <c r="Z309" s="3"/>
      <c r="AA309" s="3"/>
      <c r="AB309" s="3" t="str">
        <f>IF(Caja_Arequipa[[#This Row],[fecha]]&gt;0,TEXT(Caja_Arequipa[[#This Row],[fecha]],"mmmm"),0)</f>
        <v>Abril</v>
      </c>
    </row>
    <row r="310" spans="1:28" x14ac:dyDescent="0.3">
      <c r="A310" s="2">
        <f>IF(Caja_Arequipa[[#This Row],[tipo_r]]="R",COUNTIFS($C$1:$C309,"R")+1,A309)</f>
        <v>293</v>
      </c>
      <c r="B310" s="19" t="str">
        <f t="shared" si="22"/>
        <v>C-Tesoreria</v>
      </c>
      <c r="C310" s="3" t="s">
        <v>1330</v>
      </c>
      <c r="D310" s="14">
        <v>45761</v>
      </c>
      <c r="E310" s="5" t="s">
        <v>1416</v>
      </c>
      <c r="F310" s="5" t="s">
        <v>1336</v>
      </c>
      <c r="G310" s="3" t="s">
        <v>5259</v>
      </c>
      <c r="H310" s="6"/>
      <c r="I310" s="6" t="s">
        <v>111</v>
      </c>
      <c r="J310" s="6">
        <v>3</v>
      </c>
      <c r="K310" s="6">
        <v>122</v>
      </c>
      <c r="L310" s="7" t="s">
        <v>5774</v>
      </c>
      <c r="M310" s="8" t="str">
        <f>IF(Caja_Arequipa[[#This Row],[tipo_r]]="R","001-"&amp;12002+A310,M309)</f>
        <v>001-12295</v>
      </c>
      <c r="N310" s="8" t="str">
        <f t="shared" si="25"/>
        <v>PEN</v>
      </c>
      <c r="O310" s="13"/>
      <c r="P310" s="13">
        <v>35</v>
      </c>
      <c r="Q310" s="3">
        <f t="shared" si="23"/>
        <v>0</v>
      </c>
      <c r="R310" s="3">
        <f t="shared" si="24"/>
        <v>35</v>
      </c>
      <c r="S310" s="3">
        <f t="shared" si="21"/>
        <v>884.40000000000032</v>
      </c>
      <c r="T310" s="24" t="s">
        <v>1334</v>
      </c>
      <c r="U310" s="24" t="s">
        <v>1334</v>
      </c>
      <c r="V310" s="3"/>
      <c r="W310" s="25" t="str">
        <f>IFERROR(VLOOKUP(Caja_Arequipa[[#This Row],[destinatario]],CHOOSE({1,2},Clientes_Proveedores[Razon Social],Clientes_Proveedores[Ruc / Dni]),2,0),"")</f>
        <v/>
      </c>
      <c r="X310" s="3" t="s">
        <v>5787</v>
      </c>
      <c r="Y310" s="3"/>
      <c r="Z310" s="3"/>
      <c r="AA310" s="3"/>
      <c r="AB310" s="3" t="str">
        <f>IF(Caja_Arequipa[[#This Row],[fecha]]&gt;0,TEXT(Caja_Arequipa[[#This Row],[fecha]],"mmmm"),0)</f>
        <v>Abril</v>
      </c>
    </row>
    <row r="311" spans="1:28" ht="24" x14ac:dyDescent="0.3">
      <c r="A311" s="2">
        <f>IF(Caja_Arequipa[[#This Row],[tipo_r]]="R",COUNTIFS($C$1:$C310,"R")+1,A310)</f>
        <v>294</v>
      </c>
      <c r="B311" s="19" t="str">
        <f t="shared" si="22"/>
        <v>C-Tesoreria</v>
      </c>
      <c r="C311" s="3" t="s">
        <v>1330</v>
      </c>
      <c r="D311" s="14">
        <v>45761</v>
      </c>
      <c r="E311" s="5" t="s">
        <v>1416</v>
      </c>
      <c r="F311" s="5" t="s">
        <v>1336</v>
      </c>
      <c r="G311" s="3" t="s">
        <v>5274</v>
      </c>
      <c r="H311" s="6"/>
      <c r="I311" s="6"/>
      <c r="J311" s="6"/>
      <c r="K311" s="6"/>
      <c r="L311" s="7" t="s">
        <v>5788</v>
      </c>
      <c r="M311" s="8" t="str">
        <f>IF(Caja_Arequipa[[#This Row],[tipo_r]]="R","001-"&amp;12002+A311,M310)</f>
        <v>001-12296</v>
      </c>
      <c r="N311" s="8" t="str">
        <f t="shared" si="25"/>
        <v>PEN</v>
      </c>
      <c r="O311" s="13"/>
      <c r="P311" s="13">
        <v>10</v>
      </c>
      <c r="Q311" s="3">
        <f t="shared" si="23"/>
        <v>0</v>
      </c>
      <c r="R311" s="3">
        <f t="shared" si="24"/>
        <v>10</v>
      </c>
      <c r="S311" s="3">
        <f t="shared" si="21"/>
        <v>874.40000000000032</v>
      </c>
      <c r="T311" s="24" t="s">
        <v>1334</v>
      </c>
      <c r="U311" s="24" t="s">
        <v>1334</v>
      </c>
      <c r="V311" s="3"/>
      <c r="W311" s="25" t="str">
        <f>IFERROR(VLOOKUP(Caja_Arequipa[[#This Row],[destinatario]],CHOOSE({1,2},Clientes_Proveedores[Razon Social],Clientes_Proveedores[Ruc / Dni]),2,0),"")</f>
        <v/>
      </c>
      <c r="X311" s="3" t="s">
        <v>5789</v>
      </c>
      <c r="Y311" s="3"/>
      <c r="Z311" s="3"/>
      <c r="AA311" s="3"/>
      <c r="AB311" s="3" t="str">
        <f>IF(Caja_Arequipa[[#This Row],[fecha]]&gt;0,TEXT(Caja_Arequipa[[#This Row],[fecha]],"mmmm"),0)</f>
        <v>Abril</v>
      </c>
    </row>
    <row r="312" spans="1:28" ht="24" x14ac:dyDescent="0.3">
      <c r="A312" s="2">
        <f>IF(Caja_Arequipa[[#This Row],[tipo_r]]="R",COUNTIFS($C$1:$C311,"R")+1,A311)</f>
        <v>295</v>
      </c>
      <c r="B312" s="19" t="str">
        <f t="shared" si="22"/>
        <v>C-Tesoreria</v>
      </c>
      <c r="C312" s="3" t="s">
        <v>1330</v>
      </c>
      <c r="D312" s="14">
        <v>45761</v>
      </c>
      <c r="E312" s="5" t="s">
        <v>1416</v>
      </c>
      <c r="F312" s="5" t="s">
        <v>1336</v>
      </c>
      <c r="G312" s="3" t="s">
        <v>5274</v>
      </c>
      <c r="H312" s="6"/>
      <c r="I312" s="6" t="s">
        <v>111</v>
      </c>
      <c r="J312" s="6">
        <v>3</v>
      </c>
      <c r="K312" s="6">
        <v>123</v>
      </c>
      <c r="L312" s="7" t="s">
        <v>5790</v>
      </c>
      <c r="M312" s="8" t="str">
        <f>IF(Caja_Arequipa[[#This Row],[tipo_r]]="R","001-"&amp;12002+A312,M311)</f>
        <v>001-12297</v>
      </c>
      <c r="N312" s="8" t="str">
        <f t="shared" si="25"/>
        <v>PEN</v>
      </c>
      <c r="O312" s="13"/>
      <c r="P312" s="13">
        <v>16</v>
      </c>
      <c r="Q312" s="3">
        <f t="shared" si="23"/>
        <v>0</v>
      </c>
      <c r="R312" s="3">
        <f t="shared" si="24"/>
        <v>16</v>
      </c>
      <c r="S312" s="3">
        <f t="shared" si="21"/>
        <v>858.40000000000032</v>
      </c>
      <c r="T312" s="24" t="s">
        <v>1334</v>
      </c>
      <c r="U312" s="24" t="s">
        <v>1334</v>
      </c>
      <c r="V312" s="3"/>
      <c r="W312" s="25" t="str">
        <f>IFERROR(VLOOKUP(Caja_Arequipa[[#This Row],[destinatario]],CHOOSE({1,2},Clientes_Proveedores[Razon Social],Clientes_Proveedores[Ruc / Dni]),2,0),"")</f>
        <v/>
      </c>
      <c r="X312" s="3" t="s">
        <v>5791</v>
      </c>
      <c r="Y312" s="3"/>
      <c r="Z312" s="3"/>
      <c r="AA312" s="3"/>
      <c r="AB312" s="3" t="str">
        <f>IF(Caja_Arequipa[[#This Row],[fecha]]&gt;0,TEXT(Caja_Arequipa[[#This Row],[fecha]],"mmmm"),0)</f>
        <v>Abril</v>
      </c>
    </row>
    <row r="313" spans="1:28" ht="24" x14ac:dyDescent="0.3">
      <c r="A313" s="2">
        <f>IF(Caja_Arequipa[[#This Row],[tipo_r]]="R",COUNTIFS($C$1:$C312,"R")+1,A312)</f>
        <v>296</v>
      </c>
      <c r="B313" s="19" t="str">
        <f t="shared" si="22"/>
        <v>C-Tesoreria</v>
      </c>
      <c r="C313" s="3" t="s">
        <v>1330</v>
      </c>
      <c r="D313" s="14">
        <v>45761</v>
      </c>
      <c r="E313" s="5" t="s">
        <v>1416</v>
      </c>
      <c r="F313" s="5" t="s">
        <v>1336</v>
      </c>
      <c r="G313" s="3" t="s">
        <v>5274</v>
      </c>
      <c r="H313" s="6"/>
      <c r="I313" s="6" t="s">
        <v>111</v>
      </c>
      <c r="J313" s="6">
        <v>3</v>
      </c>
      <c r="K313" s="6">
        <v>124</v>
      </c>
      <c r="L313" s="7" t="s">
        <v>5792</v>
      </c>
      <c r="M313" s="8" t="str">
        <f>IF(Caja_Arequipa[[#This Row],[tipo_r]]="R","001-"&amp;12002+A313,M312)</f>
        <v>001-12298</v>
      </c>
      <c r="N313" s="8" t="str">
        <f t="shared" si="25"/>
        <v>PEN</v>
      </c>
      <c r="O313" s="13"/>
      <c r="P313" s="13">
        <v>30</v>
      </c>
      <c r="Q313" s="3">
        <f t="shared" si="23"/>
        <v>0</v>
      </c>
      <c r="R313" s="3">
        <f t="shared" si="24"/>
        <v>30</v>
      </c>
      <c r="S313" s="3">
        <f t="shared" si="21"/>
        <v>828.40000000000032</v>
      </c>
      <c r="T313" s="24" t="s">
        <v>1334</v>
      </c>
      <c r="U313" s="24" t="s">
        <v>1334</v>
      </c>
      <c r="V313" s="3"/>
      <c r="W313" s="25" t="str">
        <f>IFERROR(VLOOKUP(Caja_Arequipa[[#This Row],[destinatario]],CHOOSE({1,2},Clientes_Proveedores[Razon Social],Clientes_Proveedores[Ruc / Dni]),2,0),"")</f>
        <v/>
      </c>
      <c r="X313" s="3" t="s">
        <v>5793</v>
      </c>
      <c r="Y313" s="3"/>
      <c r="Z313" s="3"/>
      <c r="AA313" s="3"/>
      <c r="AB313" s="3" t="str">
        <f>IF(Caja_Arequipa[[#This Row],[fecha]]&gt;0,TEXT(Caja_Arequipa[[#This Row],[fecha]],"mmmm"),0)</f>
        <v>Abril</v>
      </c>
    </row>
    <row r="314" spans="1:28" ht="24" x14ac:dyDescent="0.3">
      <c r="A314" s="2">
        <f>IF(Caja_Arequipa[[#This Row],[tipo_r]]="R",COUNTIFS($C$1:$C313,"R")+1,A313)</f>
        <v>297</v>
      </c>
      <c r="B314" s="19" t="str">
        <f t="shared" si="22"/>
        <v>C-Tesoreria</v>
      </c>
      <c r="C314" s="3" t="s">
        <v>1330</v>
      </c>
      <c r="D314" s="14">
        <v>45761</v>
      </c>
      <c r="E314" s="5" t="s">
        <v>1416</v>
      </c>
      <c r="F314" s="5" t="s">
        <v>1336</v>
      </c>
      <c r="G314" s="3" t="s">
        <v>5248</v>
      </c>
      <c r="H314" s="6"/>
      <c r="I314" s="6"/>
      <c r="J314" s="6"/>
      <c r="K314" s="6"/>
      <c r="L314" s="7" t="s">
        <v>5794</v>
      </c>
      <c r="M314" s="8" t="str">
        <f>IF(Caja_Arequipa[[#This Row],[tipo_r]]="R","001-"&amp;12002+A314,M313)</f>
        <v>001-12299</v>
      </c>
      <c r="N314" s="8" t="str">
        <f t="shared" si="25"/>
        <v>PEN</v>
      </c>
      <c r="O314" s="13"/>
      <c r="P314" s="13">
        <v>60</v>
      </c>
      <c r="Q314" s="3">
        <f t="shared" si="23"/>
        <v>0</v>
      </c>
      <c r="R314" s="3">
        <f t="shared" si="24"/>
        <v>60</v>
      </c>
      <c r="S314" s="3">
        <f t="shared" si="21"/>
        <v>768.40000000000032</v>
      </c>
      <c r="T314" s="24" t="s">
        <v>1334</v>
      </c>
      <c r="U314" s="24" t="s">
        <v>1334</v>
      </c>
      <c r="V314" s="3"/>
      <c r="W314" s="25" t="str">
        <f>IFERROR(VLOOKUP(Caja_Arequipa[[#This Row],[destinatario]],CHOOSE({1,2},Clientes_Proveedores[Razon Social],Clientes_Proveedores[Ruc / Dni]),2,0),"")</f>
        <v/>
      </c>
      <c r="X314" s="3" t="s">
        <v>5795</v>
      </c>
      <c r="Y314" s="3"/>
      <c r="Z314" s="3"/>
      <c r="AA314" s="3"/>
      <c r="AB314" s="3" t="str">
        <f>IF(Caja_Arequipa[[#This Row],[fecha]]&gt;0,TEXT(Caja_Arequipa[[#This Row],[fecha]],"mmmm"),0)</f>
        <v>Abril</v>
      </c>
    </row>
    <row r="315" spans="1:28" x14ac:dyDescent="0.3">
      <c r="A315" s="2">
        <f>IF(Caja_Arequipa[[#This Row],[tipo_r]]="R",COUNTIFS($C$1:$C314,"R")+1,A314)</f>
        <v>298</v>
      </c>
      <c r="B315" s="19" t="str">
        <f t="shared" si="22"/>
        <v>C-Tesoreria</v>
      </c>
      <c r="C315" s="3" t="s">
        <v>1330</v>
      </c>
      <c r="D315" s="14">
        <v>45762</v>
      </c>
      <c r="E315" s="5" t="s">
        <v>1416</v>
      </c>
      <c r="F315" s="5" t="s">
        <v>1336</v>
      </c>
      <c r="G315" s="3" t="s">
        <v>5450</v>
      </c>
      <c r="H315" s="6"/>
      <c r="I315" s="6" t="s">
        <v>111</v>
      </c>
      <c r="J315" s="6">
        <v>3</v>
      </c>
      <c r="K315" s="6">
        <v>125</v>
      </c>
      <c r="L315" s="7" t="s">
        <v>5796</v>
      </c>
      <c r="M315" s="8" t="str">
        <f>IF(Caja_Arequipa[[#This Row],[tipo_r]]="R","001-"&amp;12002+A315,M314)</f>
        <v>001-12300</v>
      </c>
      <c r="N315" s="8" t="str">
        <f t="shared" si="25"/>
        <v>PEN</v>
      </c>
      <c r="O315" s="13"/>
      <c r="P315" s="13">
        <v>7</v>
      </c>
      <c r="Q315" s="3">
        <f t="shared" si="23"/>
        <v>0</v>
      </c>
      <c r="R315" s="3">
        <f t="shared" si="24"/>
        <v>7</v>
      </c>
      <c r="S315" s="3">
        <f t="shared" si="21"/>
        <v>761.40000000000032</v>
      </c>
      <c r="T315" s="24" t="s">
        <v>1334</v>
      </c>
      <c r="U315" s="24" t="s">
        <v>1334</v>
      </c>
      <c r="V315" s="3"/>
      <c r="W315" s="25" t="str">
        <f>IFERROR(VLOOKUP(Caja_Arequipa[[#This Row],[destinatario]],CHOOSE({1,2},Clientes_Proveedores[Razon Social],Clientes_Proveedores[Ruc / Dni]),2,0),"")</f>
        <v/>
      </c>
      <c r="X315" s="3" t="s">
        <v>5797</v>
      </c>
      <c r="Y315" s="3"/>
      <c r="Z315" s="3"/>
      <c r="AA315" s="3"/>
      <c r="AB315" s="3" t="str">
        <f>IF(Caja_Arequipa[[#This Row],[fecha]]&gt;0,TEXT(Caja_Arequipa[[#This Row],[fecha]],"mmmm"),0)</f>
        <v>Abril</v>
      </c>
    </row>
    <row r="316" spans="1:28" ht="24" x14ac:dyDescent="0.3">
      <c r="A316" s="2">
        <f>IF(Caja_Arequipa[[#This Row],[tipo_r]]="R",COUNTIFS($C$1:$C315,"R")+1,A315)</f>
        <v>299</v>
      </c>
      <c r="B316" s="19" t="str">
        <f t="shared" si="22"/>
        <v>C-Tesoreria</v>
      </c>
      <c r="C316" s="3" t="s">
        <v>1330</v>
      </c>
      <c r="D316" s="14">
        <v>45762</v>
      </c>
      <c r="E316" s="5" t="s">
        <v>1338</v>
      </c>
      <c r="F316" s="5" t="s">
        <v>1336</v>
      </c>
      <c r="G316" s="3" t="s">
        <v>5450</v>
      </c>
      <c r="H316" s="6"/>
      <c r="I316" s="6"/>
      <c r="J316" s="6"/>
      <c r="K316" s="6"/>
      <c r="L316" s="7" t="s">
        <v>5798</v>
      </c>
      <c r="M316" s="8" t="str">
        <f>IF(Caja_Arequipa[[#This Row],[tipo_r]]="R","001-"&amp;12002+A316,M315)</f>
        <v>001-12301</v>
      </c>
      <c r="N316" s="8" t="str">
        <f t="shared" si="25"/>
        <v>PEN</v>
      </c>
      <c r="O316" s="13"/>
      <c r="P316" s="13">
        <v>7</v>
      </c>
      <c r="Q316" s="3">
        <f t="shared" si="23"/>
        <v>0</v>
      </c>
      <c r="R316" s="3">
        <f t="shared" si="24"/>
        <v>7</v>
      </c>
      <c r="S316" s="3">
        <f t="shared" si="21"/>
        <v>754.40000000000032</v>
      </c>
      <c r="T316" s="24" t="s">
        <v>1334</v>
      </c>
      <c r="U316" s="24" t="s">
        <v>1334</v>
      </c>
      <c r="V316" s="3"/>
      <c r="W316" s="25" t="str">
        <f>IFERROR(VLOOKUP(Caja_Arequipa[[#This Row],[destinatario]],CHOOSE({1,2},Clientes_Proveedores[Razon Social],Clientes_Proveedores[Ruc / Dni]),2,0),"")</f>
        <v/>
      </c>
      <c r="X316" s="3" t="s">
        <v>5799</v>
      </c>
      <c r="Y316" s="3"/>
      <c r="Z316" s="3"/>
      <c r="AA316" s="3"/>
      <c r="AB316" s="3" t="str">
        <f>IF(Caja_Arequipa[[#This Row],[fecha]]&gt;0,TEXT(Caja_Arequipa[[#This Row],[fecha]],"mmmm"),0)</f>
        <v>Abril</v>
      </c>
    </row>
    <row r="317" spans="1:28" x14ac:dyDescent="0.3">
      <c r="A317" s="2">
        <f>IF(Caja_Arequipa[[#This Row],[tipo_r]]="R",COUNTIFS($C$1:$C316,"R")+1,A316)</f>
        <v>300</v>
      </c>
      <c r="B317" s="19" t="str">
        <f t="shared" si="22"/>
        <v>C-Tesoreria</v>
      </c>
      <c r="C317" s="3" t="s">
        <v>1330</v>
      </c>
      <c r="D317" s="14">
        <v>45762</v>
      </c>
      <c r="E317" s="5" t="s">
        <v>1338</v>
      </c>
      <c r="F317" s="5" t="s">
        <v>1336</v>
      </c>
      <c r="G317" s="3" t="s">
        <v>5248</v>
      </c>
      <c r="H317" s="6"/>
      <c r="I317" s="6" t="s">
        <v>111</v>
      </c>
      <c r="J317" s="6">
        <v>3</v>
      </c>
      <c r="K317" s="6">
        <v>126</v>
      </c>
      <c r="L317" s="7" t="s">
        <v>5796</v>
      </c>
      <c r="M317" s="8" t="str">
        <f>IF(Caja_Arequipa[[#This Row],[tipo_r]]="R","001-"&amp;12002+A317,M316)</f>
        <v>001-12302</v>
      </c>
      <c r="N317" s="8" t="str">
        <f t="shared" si="25"/>
        <v>PEN</v>
      </c>
      <c r="O317" s="13"/>
      <c r="P317" s="13">
        <v>9.6</v>
      </c>
      <c r="Q317" s="3">
        <f t="shared" si="23"/>
        <v>0</v>
      </c>
      <c r="R317" s="3">
        <f t="shared" si="24"/>
        <v>9.6</v>
      </c>
      <c r="S317" s="3">
        <f t="shared" si="21"/>
        <v>744.8000000000003</v>
      </c>
      <c r="T317" s="24" t="s">
        <v>1334</v>
      </c>
      <c r="U317" s="24" t="s">
        <v>1334</v>
      </c>
      <c r="V317" s="3"/>
      <c r="W317" s="25" t="str">
        <f>IFERROR(VLOOKUP(Caja_Arequipa[[#This Row],[destinatario]],CHOOSE({1,2},Clientes_Proveedores[Razon Social],Clientes_Proveedores[Ruc / Dni]),2,0),"")</f>
        <v/>
      </c>
      <c r="X317" s="3" t="s">
        <v>5800</v>
      </c>
      <c r="Y317" s="3"/>
      <c r="Z317" s="3"/>
      <c r="AA317" s="3"/>
      <c r="AB317" s="3" t="str">
        <f>IF(Caja_Arequipa[[#This Row],[fecha]]&gt;0,TEXT(Caja_Arequipa[[#This Row],[fecha]],"mmmm"),0)</f>
        <v>Abril</v>
      </c>
    </row>
    <row r="318" spans="1:28" ht="24" x14ac:dyDescent="0.3">
      <c r="A318" s="2">
        <f>IF(Caja_Arequipa[[#This Row],[tipo_r]]="R",COUNTIFS($C$1:$C317,"R")+1,A317)</f>
        <v>301</v>
      </c>
      <c r="B318" s="19" t="str">
        <f t="shared" si="22"/>
        <v>C-Tesoreria</v>
      </c>
      <c r="C318" s="3" t="s">
        <v>1330</v>
      </c>
      <c r="D318" s="14">
        <v>45762</v>
      </c>
      <c r="E318" s="5" t="s">
        <v>1416</v>
      </c>
      <c r="F318" s="5" t="s">
        <v>1336</v>
      </c>
      <c r="G318" s="3" t="s">
        <v>5248</v>
      </c>
      <c r="H318" s="6"/>
      <c r="I318" s="6" t="s">
        <v>130</v>
      </c>
      <c r="J318" s="6">
        <v>1</v>
      </c>
      <c r="K318" s="6">
        <v>122</v>
      </c>
      <c r="L318" s="7" t="s">
        <v>5801</v>
      </c>
      <c r="M318" s="8" t="str">
        <f>IF(Caja_Arequipa[[#This Row],[tipo_r]]="R","001-"&amp;12002+A318,M317)</f>
        <v>001-12303</v>
      </c>
      <c r="N318" s="8" t="str">
        <f t="shared" si="25"/>
        <v>PEN</v>
      </c>
      <c r="O318" s="13"/>
      <c r="P318" s="13">
        <v>7</v>
      </c>
      <c r="Q318" s="3">
        <f t="shared" si="23"/>
        <v>0</v>
      </c>
      <c r="R318" s="3">
        <f t="shared" si="24"/>
        <v>7</v>
      </c>
      <c r="S318" s="3">
        <f t="shared" si="21"/>
        <v>737.8000000000003</v>
      </c>
      <c r="T318" s="24"/>
      <c r="U318" s="24"/>
      <c r="V318" s="3"/>
      <c r="W318" s="25" t="str">
        <f>IFERROR(VLOOKUP(Caja_Arequipa[[#This Row],[destinatario]],CHOOSE({1,2},Clientes_Proveedores[Razon Social],Clientes_Proveedores[Ruc / Dni]),2,0),"")</f>
        <v/>
      </c>
      <c r="X318" s="3" t="s">
        <v>5802</v>
      </c>
      <c r="Y318" s="3"/>
      <c r="Z318" s="3"/>
      <c r="AA318" s="3"/>
      <c r="AB318" s="3" t="str">
        <f>IF(Caja_Arequipa[[#This Row],[fecha]]&gt;0,TEXT(Caja_Arequipa[[#This Row],[fecha]],"mmmm"),0)</f>
        <v>Abril</v>
      </c>
    </row>
    <row r="319" spans="1:28" x14ac:dyDescent="0.3">
      <c r="A319" s="2">
        <f>IF(Caja_Arequipa[[#This Row],[tipo_r]]="R",COUNTIFS($C$1:$C318,"R")+1,A318)</f>
        <v>302</v>
      </c>
      <c r="B319" s="19" t="str">
        <f t="shared" si="22"/>
        <v>C-Tesoreria</v>
      </c>
      <c r="C319" s="3" t="s">
        <v>1330</v>
      </c>
      <c r="D319" s="14">
        <v>45762</v>
      </c>
      <c r="E319" s="5" t="s">
        <v>1416</v>
      </c>
      <c r="F319" s="5" t="s">
        <v>1336</v>
      </c>
      <c r="G319" s="3" t="s">
        <v>5274</v>
      </c>
      <c r="H319" s="6"/>
      <c r="I319" s="6" t="s">
        <v>111</v>
      </c>
      <c r="J319" s="6">
        <v>3</v>
      </c>
      <c r="K319" s="6">
        <v>127</v>
      </c>
      <c r="L319" s="7" t="s">
        <v>5776</v>
      </c>
      <c r="M319" s="8" t="str">
        <f>IF(Caja_Arequipa[[#This Row],[tipo_r]]="R","001-"&amp;12002+A319,M318)</f>
        <v>001-12304</v>
      </c>
      <c r="N319" s="8" t="str">
        <f t="shared" si="25"/>
        <v>PEN</v>
      </c>
      <c r="O319" s="13"/>
      <c r="P319" s="13">
        <v>12</v>
      </c>
      <c r="Q319" s="3">
        <f t="shared" si="23"/>
        <v>0</v>
      </c>
      <c r="R319" s="3">
        <f t="shared" si="24"/>
        <v>12</v>
      </c>
      <c r="S319" s="3">
        <f t="shared" si="21"/>
        <v>725.8000000000003</v>
      </c>
      <c r="T319" s="24" t="s">
        <v>1334</v>
      </c>
      <c r="U319" s="24" t="s">
        <v>1334</v>
      </c>
      <c r="V319" s="3"/>
      <c r="W319" s="25" t="str">
        <f>IFERROR(VLOOKUP(Caja_Arequipa[[#This Row],[destinatario]],CHOOSE({1,2},Clientes_Proveedores[Razon Social],Clientes_Proveedores[Ruc / Dni]),2,0),"")</f>
        <v/>
      </c>
      <c r="X319" s="3" t="s">
        <v>5803</v>
      </c>
      <c r="Y319" s="3"/>
      <c r="Z319" s="3"/>
      <c r="AA319" s="3"/>
      <c r="AB319" s="3" t="str">
        <f>IF(Caja_Arequipa[[#This Row],[fecha]]&gt;0,TEXT(Caja_Arequipa[[#This Row],[fecha]],"mmmm"),0)</f>
        <v>Abril</v>
      </c>
    </row>
    <row r="320" spans="1:28" ht="36" x14ac:dyDescent="0.3">
      <c r="A320" s="2">
        <f>IF(Caja_Arequipa[[#This Row],[tipo_r]]="R",COUNTIFS($C$1:$C319,"R")+1,A319)</f>
        <v>303</v>
      </c>
      <c r="B320" s="19" t="str">
        <f t="shared" si="22"/>
        <v>C-Tesoreria</v>
      </c>
      <c r="C320" s="3" t="s">
        <v>1330</v>
      </c>
      <c r="D320" s="14">
        <v>45762</v>
      </c>
      <c r="E320" s="5" t="s">
        <v>1416</v>
      </c>
      <c r="F320" s="5" t="s">
        <v>1336</v>
      </c>
      <c r="G320" s="3" t="s">
        <v>3308</v>
      </c>
      <c r="H320" s="6"/>
      <c r="I320" s="6"/>
      <c r="J320" s="6"/>
      <c r="K320" s="6"/>
      <c r="L320" s="7" t="s">
        <v>5804</v>
      </c>
      <c r="M320" s="8" t="str">
        <f>IF(Caja_Arequipa[[#This Row],[tipo_r]]="R","001-"&amp;12002+A320,M319)</f>
        <v>001-12305</v>
      </c>
      <c r="N320" s="8" t="str">
        <f t="shared" si="25"/>
        <v>PEN</v>
      </c>
      <c r="O320" s="13"/>
      <c r="P320" s="13">
        <v>109.2</v>
      </c>
      <c r="Q320" s="3">
        <f t="shared" si="23"/>
        <v>0</v>
      </c>
      <c r="R320" s="3">
        <f t="shared" si="24"/>
        <v>109.2</v>
      </c>
      <c r="S320" s="3">
        <f t="shared" si="21"/>
        <v>616.60000000000025</v>
      </c>
      <c r="T320" s="24" t="s">
        <v>1334</v>
      </c>
      <c r="U320" s="24" t="s">
        <v>1334</v>
      </c>
      <c r="V320" s="3"/>
      <c r="W320" s="25" t="str">
        <f>IFERROR(VLOOKUP(Caja_Arequipa[[#This Row],[destinatario]],CHOOSE({1,2},Clientes_Proveedores[Razon Social],Clientes_Proveedores[Ruc / Dni]),2,0),"")</f>
        <v/>
      </c>
      <c r="X320" s="3" t="s">
        <v>5805</v>
      </c>
      <c r="Y320" s="3"/>
      <c r="Z320" s="3"/>
      <c r="AA320" s="3"/>
      <c r="AB320" s="3" t="str">
        <f>IF(Caja_Arequipa[[#This Row],[fecha]]&gt;0,TEXT(Caja_Arequipa[[#This Row],[fecha]],"mmmm"),0)</f>
        <v>Abril</v>
      </c>
    </row>
    <row r="321" spans="1:28" ht="24" x14ac:dyDescent="0.3">
      <c r="A321" s="2">
        <f>IF(Caja_Arequipa[[#This Row],[tipo_r]]="R",COUNTIFS($C$1:$C320,"R")+1,A320)</f>
        <v>303</v>
      </c>
      <c r="B321" s="19" t="str">
        <f>"C-Tesoreria"</f>
        <v>C-Tesoreria</v>
      </c>
      <c r="C321" s="3" t="s">
        <v>1352</v>
      </c>
      <c r="D321" s="14">
        <v>45762</v>
      </c>
      <c r="E321" s="5" t="s">
        <v>1416</v>
      </c>
      <c r="F321" s="5" t="s">
        <v>1336</v>
      </c>
      <c r="G321" s="3" t="s">
        <v>3308</v>
      </c>
      <c r="H321" s="6"/>
      <c r="I321" s="6" t="s">
        <v>68</v>
      </c>
      <c r="J321" s="6" t="s">
        <v>2086</v>
      </c>
      <c r="K321" s="6">
        <v>30325</v>
      </c>
      <c r="L321" s="7" t="s">
        <v>5804</v>
      </c>
      <c r="M321" s="8" t="str">
        <f>IF(Caja_Arequipa[[#This Row],[tipo_r]]="R","001-"&amp;12002+A321,M320)</f>
        <v>001-12305</v>
      </c>
      <c r="N321" s="8" t="str">
        <f>"PEN"</f>
        <v>PEN</v>
      </c>
      <c r="O321" s="13">
        <v>21.2</v>
      </c>
      <c r="P321" s="13"/>
      <c r="Q321" s="3">
        <f>+IF(OR($F321="SALDO",$F321="INGRESO"),$P321,0)</f>
        <v>0</v>
      </c>
      <c r="R321" s="3">
        <f>+IF($F321="EGRESO",$P321,0)</f>
        <v>0</v>
      </c>
      <c r="S321" s="3">
        <f t="shared" si="21"/>
        <v>616.60000000000025</v>
      </c>
      <c r="T321" s="24"/>
      <c r="U321" s="24"/>
      <c r="V321" s="3"/>
      <c r="W321" s="25" t="str">
        <f>IFERROR(VLOOKUP(Caja_Arequipa[[#This Row],[destinatario]],CHOOSE({1,2},Clientes_Proveedores[Razon Social],Clientes_Proveedores[Ruc / Dni]),2,0),"")</f>
        <v/>
      </c>
      <c r="X321" s="3"/>
      <c r="Y321" s="3"/>
      <c r="Z321" s="3"/>
      <c r="AA321" s="3"/>
      <c r="AB321" s="3" t="str">
        <f>IF(Caja_Arequipa[[#This Row],[fecha]]&gt;0,TEXT(Caja_Arequipa[[#This Row],[fecha]],"mmmm"),0)</f>
        <v>Abril</v>
      </c>
    </row>
    <row r="322" spans="1:28" ht="24" x14ac:dyDescent="0.3">
      <c r="A322" s="2">
        <f>IF(Caja_Arequipa[[#This Row],[tipo_r]]="R",COUNTIFS($C$1:$C321,"R")+1,A321)</f>
        <v>303</v>
      </c>
      <c r="B322" s="19" t="str">
        <f>"C-Tesoreria"</f>
        <v>C-Tesoreria</v>
      </c>
      <c r="C322" s="3" t="s">
        <v>1352</v>
      </c>
      <c r="D322" s="14">
        <v>45762</v>
      </c>
      <c r="E322" s="5" t="s">
        <v>1416</v>
      </c>
      <c r="F322" s="5" t="s">
        <v>1336</v>
      </c>
      <c r="G322" s="3" t="s">
        <v>3308</v>
      </c>
      <c r="H322" s="6" t="s">
        <v>977</v>
      </c>
      <c r="I322" s="6" t="s">
        <v>68</v>
      </c>
      <c r="J322" s="6" t="s">
        <v>5806</v>
      </c>
      <c r="K322" s="6">
        <v>15742</v>
      </c>
      <c r="L322" s="7" t="s">
        <v>5804</v>
      </c>
      <c r="M322" s="8" t="str">
        <f>IF(Caja_Arequipa[[#This Row],[tipo_r]]="R","001-"&amp;12002+A322,M321)</f>
        <v>001-12305</v>
      </c>
      <c r="N322" s="8" t="str">
        <f>"PEN"</f>
        <v>PEN</v>
      </c>
      <c r="O322" s="13">
        <v>67</v>
      </c>
      <c r="P322" s="13"/>
      <c r="Q322" s="3">
        <f>+IF(OR($F322="SALDO",$F322="INGRESO"),$P322,0)</f>
        <v>0</v>
      </c>
      <c r="R322" s="3">
        <f>+IF($F322="EGRESO",$P322,0)</f>
        <v>0</v>
      </c>
      <c r="S322" s="3">
        <f t="shared" ref="S322:S385" si="26">IFERROR(IF(F322="SALDO",Q322,S321+Q322-R322),0)</f>
        <v>616.60000000000025</v>
      </c>
      <c r="T322" s="24"/>
      <c r="U322" s="24"/>
      <c r="V322" s="3"/>
      <c r="W322" s="25">
        <f>IFERROR(VLOOKUP(Caja_Arequipa[[#This Row],[destinatario]],CHOOSE({1,2},Clientes_Proveedores[Razon Social],Clientes_Proveedores[Ruc / Dni]),2,0),"")</f>
        <v>20508565934</v>
      </c>
      <c r="X322" s="3"/>
      <c r="Y322" s="3"/>
      <c r="Z322" s="3"/>
      <c r="AA322" s="3"/>
      <c r="AB322" s="3" t="str">
        <f>IF(Caja_Arequipa[[#This Row],[fecha]]&gt;0,TEXT(Caja_Arequipa[[#This Row],[fecha]],"mmmm"),0)</f>
        <v>Abril</v>
      </c>
    </row>
    <row r="323" spans="1:28" ht="24" x14ac:dyDescent="0.3">
      <c r="A323" s="2">
        <f>IF(Caja_Arequipa[[#This Row],[tipo_r]]="R",COUNTIFS($C$1:$C322,"R")+1,A322)</f>
        <v>303</v>
      </c>
      <c r="B323" s="19" t="str">
        <f>"C-Tesoreria"</f>
        <v>C-Tesoreria</v>
      </c>
      <c r="C323" s="3" t="s">
        <v>1352</v>
      </c>
      <c r="D323" s="14">
        <v>45762</v>
      </c>
      <c r="E323" s="5" t="s">
        <v>1416</v>
      </c>
      <c r="F323" s="5" t="s">
        <v>1336</v>
      </c>
      <c r="G323" s="3" t="s">
        <v>3308</v>
      </c>
      <c r="H323" s="6"/>
      <c r="I323" s="6" t="s">
        <v>111</v>
      </c>
      <c r="J323" s="6">
        <v>3</v>
      </c>
      <c r="K323" s="6">
        <v>128</v>
      </c>
      <c r="L323" s="7" t="s">
        <v>5804</v>
      </c>
      <c r="M323" s="8" t="str">
        <f>IF(Caja_Arequipa[[#This Row],[tipo_r]]="R","001-"&amp;12002+A323,M322)</f>
        <v>001-12305</v>
      </c>
      <c r="N323" s="8" t="str">
        <f>"PEN"</f>
        <v>PEN</v>
      </c>
      <c r="O323" s="13">
        <v>21</v>
      </c>
      <c r="P323" s="13"/>
      <c r="Q323" s="3">
        <f>+IF(OR($F323="SALDO",$F323="INGRESO"),$P323,0)</f>
        <v>0</v>
      </c>
      <c r="R323" s="3">
        <f>+IF($F323="EGRESO",$P323,0)</f>
        <v>0</v>
      </c>
      <c r="S323" s="3">
        <f t="shared" si="26"/>
        <v>616.60000000000025</v>
      </c>
      <c r="T323" s="24"/>
      <c r="U323" s="24"/>
      <c r="V323" s="3"/>
      <c r="W323" s="25" t="str">
        <f>IFERROR(VLOOKUP(Caja_Arequipa[[#This Row],[destinatario]],CHOOSE({1,2},Clientes_Proveedores[Razon Social],Clientes_Proveedores[Ruc / Dni]),2,0),"")</f>
        <v/>
      </c>
      <c r="X323" s="3"/>
      <c r="Y323" s="3"/>
      <c r="Z323" s="3"/>
      <c r="AA323" s="3"/>
      <c r="AB323" s="3" t="str">
        <f>IF(Caja_Arequipa[[#This Row],[fecha]]&gt;0,TEXT(Caja_Arequipa[[#This Row],[fecha]],"mmmm"),0)</f>
        <v>Abril</v>
      </c>
    </row>
    <row r="324" spans="1:28" x14ac:dyDescent="0.3">
      <c r="A324" s="2">
        <f>IF(Caja_Arequipa[[#This Row],[tipo_r]]="R",COUNTIFS($C$1:$C323,"R")+1,A323)</f>
        <v>304</v>
      </c>
      <c r="B324" s="19" t="str">
        <f t="shared" si="22"/>
        <v>C-Tesoreria</v>
      </c>
      <c r="C324" s="3" t="s">
        <v>1330</v>
      </c>
      <c r="D324" s="14">
        <v>45762</v>
      </c>
      <c r="E324" s="5" t="s">
        <v>1416</v>
      </c>
      <c r="F324" s="5" t="s">
        <v>1336</v>
      </c>
      <c r="G324" s="3" t="s">
        <v>3634</v>
      </c>
      <c r="H324" s="6"/>
      <c r="I324" s="6"/>
      <c r="J324" s="6"/>
      <c r="K324" s="6"/>
      <c r="L324" s="7" t="s">
        <v>5807</v>
      </c>
      <c r="M324" s="8" t="str">
        <f>IF(Caja_Arequipa[[#This Row],[tipo_r]]="R","001-"&amp;12002+A324,M323)</f>
        <v>001-12306</v>
      </c>
      <c r="N324" s="8" t="str">
        <f t="shared" si="25"/>
        <v>PEN</v>
      </c>
      <c r="O324" s="13"/>
      <c r="P324" s="13">
        <v>179</v>
      </c>
      <c r="Q324" s="3">
        <f t="shared" si="23"/>
        <v>0</v>
      </c>
      <c r="R324" s="3">
        <f t="shared" si="24"/>
        <v>179</v>
      </c>
      <c r="S324" s="3">
        <f t="shared" si="26"/>
        <v>437.60000000000025</v>
      </c>
      <c r="T324" s="24" t="s">
        <v>1334</v>
      </c>
      <c r="U324" s="24" t="s">
        <v>1334</v>
      </c>
      <c r="V324" s="3"/>
      <c r="W324" s="25" t="str">
        <f>IFERROR(VLOOKUP(Caja_Arequipa[[#This Row],[destinatario]],CHOOSE({1,2},Clientes_Proveedores[Razon Social],Clientes_Proveedores[Ruc / Dni]),2,0),"")</f>
        <v/>
      </c>
      <c r="X324" s="3" t="s">
        <v>5808</v>
      </c>
      <c r="Y324" s="3"/>
      <c r="Z324" s="3"/>
      <c r="AA324" s="3"/>
      <c r="AB324" s="3" t="str">
        <f>IF(Caja_Arequipa[[#This Row],[fecha]]&gt;0,TEXT(Caja_Arequipa[[#This Row],[fecha]],"mmmm"),0)</f>
        <v>Abril</v>
      </c>
    </row>
    <row r="325" spans="1:28" x14ac:dyDescent="0.3">
      <c r="A325" s="2">
        <f>IF(Caja_Arequipa[[#This Row],[tipo_r]]="R",COUNTIFS($C$1:$C324,"R")+1,A324)</f>
        <v>305</v>
      </c>
      <c r="B325" s="19" t="str">
        <f t="shared" si="22"/>
        <v>C-Tesoreria</v>
      </c>
      <c r="C325" s="3" t="s">
        <v>1330</v>
      </c>
      <c r="D325" s="14">
        <v>45762</v>
      </c>
      <c r="E325" s="5" t="s">
        <v>1416</v>
      </c>
      <c r="F325" s="5" t="s">
        <v>1336</v>
      </c>
      <c r="G325" s="3" t="s">
        <v>5299</v>
      </c>
      <c r="H325" s="6"/>
      <c r="I325" s="6"/>
      <c r="J325" s="6"/>
      <c r="K325" s="6"/>
      <c r="L325" s="7" t="s">
        <v>5809</v>
      </c>
      <c r="M325" s="8" t="str">
        <f>IF(Caja_Arequipa[[#This Row],[tipo_r]]="R","001-"&amp;12002+A325,M324)</f>
        <v>001-12307</v>
      </c>
      <c r="N325" s="8" t="str">
        <f t="shared" si="25"/>
        <v>PEN</v>
      </c>
      <c r="O325" s="13"/>
      <c r="P325" s="13">
        <v>103.7</v>
      </c>
      <c r="Q325" s="3">
        <f t="shared" si="23"/>
        <v>0</v>
      </c>
      <c r="R325" s="3">
        <f t="shared" si="24"/>
        <v>103.7</v>
      </c>
      <c r="S325" s="3">
        <f t="shared" si="26"/>
        <v>333.90000000000026</v>
      </c>
      <c r="T325" s="24" t="s">
        <v>1334</v>
      </c>
      <c r="U325" s="24" t="s">
        <v>1334</v>
      </c>
      <c r="V325" s="3"/>
      <c r="W325" s="25" t="str">
        <f>IFERROR(VLOOKUP(Caja_Arequipa[[#This Row],[destinatario]],CHOOSE({1,2},Clientes_Proveedores[Razon Social],Clientes_Proveedores[Ruc / Dni]),2,0),"")</f>
        <v/>
      </c>
      <c r="X325" s="3" t="s">
        <v>5810</v>
      </c>
      <c r="Y325" s="3"/>
      <c r="Z325" s="3"/>
      <c r="AA325" s="3"/>
      <c r="AB325" s="3" t="str">
        <f>IF(Caja_Arequipa[[#This Row],[fecha]]&gt;0,TEXT(Caja_Arequipa[[#This Row],[fecha]],"mmmm"),0)</f>
        <v>Abril</v>
      </c>
    </row>
    <row r="326" spans="1:28" x14ac:dyDescent="0.3">
      <c r="A326" s="2">
        <f>IF(Caja_Arequipa[[#This Row],[tipo_r]]="R",COUNTIFS($C$1:$C325,"R")+1,A325)</f>
        <v>306</v>
      </c>
      <c r="B326" s="19" t="str">
        <f t="shared" si="22"/>
        <v>C-Tesoreria</v>
      </c>
      <c r="C326" s="3" t="s">
        <v>1330</v>
      </c>
      <c r="D326" s="14">
        <v>45763</v>
      </c>
      <c r="E326" s="5" t="s">
        <v>1416</v>
      </c>
      <c r="F326" s="5" t="s">
        <v>1336</v>
      </c>
      <c r="G326" s="3" t="s">
        <v>5811</v>
      </c>
      <c r="H326" s="6"/>
      <c r="I326" s="6"/>
      <c r="J326" s="6"/>
      <c r="K326" s="6"/>
      <c r="L326" s="7" t="s">
        <v>5812</v>
      </c>
      <c r="M326" s="8" t="str">
        <f>IF(Caja_Arequipa[[#This Row],[tipo_r]]="R","001-"&amp;12002+A326,M325)</f>
        <v>001-12308</v>
      </c>
      <c r="N326" s="8" t="str">
        <f t="shared" si="25"/>
        <v>PEN</v>
      </c>
      <c r="O326" s="13"/>
      <c r="P326" s="13">
        <v>157.6</v>
      </c>
      <c r="Q326" s="3">
        <f t="shared" si="23"/>
        <v>0</v>
      </c>
      <c r="R326" s="3">
        <f t="shared" si="24"/>
        <v>157.6</v>
      </c>
      <c r="S326" s="3">
        <f t="shared" si="26"/>
        <v>176.30000000000027</v>
      </c>
      <c r="T326" s="24" t="s">
        <v>1334</v>
      </c>
      <c r="U326" s="24" t="s">
        <v>1334</v>
      </c>
      <c r="V326" s="3"/>
      <c r="W326" s="25" t="str">
        <f>IFERROR(VLOOKUP(Caja_Arequipa[[#This Row],[destinatario]],CHOOSE({1,2},Clientes_Proveedores[Razon Social],Clientes_Proveedores[Ruc / Dni]),2,0),"")</f>
        <v/>
      </c>
      <c r="X326" s="3" t="s">
        <v>5813</v>
      </c>
      <c r="Y326" s="3"/>
      <c r="Z326" s="3"/>
      <c r="AA326" s="3"/>
      <c r="AB326" s="3" t="str">
        <f>IF(Caja_Arequipa[[#This Row],[fecha]]&gt;0,TEXT(Caja_Arequipa[[#This Row],[fecha]],"mmmm"),0)</f>
        <v>Abril</v>
      </c>
    </row>
    <row r="327" spans="1:28" x14ac:dyDescent="0.3">
      <c r="A327" s="2">
        <f>IF(Caja_Arequipa[[#This Row],[tipo_r]]="R",COUNTIFS($C$1:$C326,"R")+1,A326)</f>
        <v>307</v>
      </c>
      <c r="B327" s="19" t="str">
        <f t="shared" si="22"/>
        <v>C-Tesoreria</v>
      </c>
      <c r="C327" s="3" t="s">
        <v>1330</v>
      </c>
      <c r="D327" s="14">
        <v>45763</v>
      </c>
      <c r="E327" s="5" t="s">
        <v>1416</v>
      </c>
      <c r="F327" s="5" t="s">
        <v>1303</v>
      </c>
      <c r="G327" s="3" t="s">
        <v>3634</v>
      </c>
      <c r="H327" s="6"/>
      <c r="I327" s="6"/>
      <c r="J327" s="6"/>
      <c r="K327" s="6"/>
      <c r="L327" s="7" t="s">
        <v>5814</v>
      </c>
      <c r="M327" s="8" t="str">
        <f>IF(Caja_Arequipa[[#This Row],[tipo_r]]="R","001-"&amp;12002+A327,M326)</f>
        <v>001-12309</v>
      </c>
      <c r="N327" s="8" t="str">
        <f t="shared" si="25"/>
        <v>PEN</v>
      </c>
      <c r="O327" s="13"/>
      <c r="P327" s="13">
        <v>1967.1</v>
      </c>
      <c r="Q327" s="3">
        <f t="shared" si="23"/>
        <v>1967.1</v>
      </c>
      <c r="R327" s="3">
        <f t="shared" si="24"/>
        <v>0</v>
      </c>
      <c r="S327" s="3">
        <f t="shared" si="26"/>
        <v>2143.4</v>
      </c>
      <c r="T327" s="24"/>
      <c r="U327" s="24" t="s">
        <v>1334</v>
      </c>
      <c r="V327" s="3"/>
      <c r="W327" s="25" t="str">
        <f>IFERROR(VLOOKUP(Caja_Arequipa[[#This Row],[destinatario]],CHOOSE({1,2},Clientes_Proveedores[Razon Social],Clientes_Proveedores[Ruc / Dni]),2,0),"")</f>
        <v/>
      </c>
      <c r="X327" s="3"/>
      <c r="Y327" s="3"/>
      <c r="Z327" s="3"/>
      <c r="AA327" s="3"/>
      <c r="AB327" s="3" t="str">
        <f>IF(Caja_Arequipa[[#This Row],[fecha]]&gt;0,TEXT(Caja_Arequipa[[#This Row],[fecha]],"mmmm"),0)</f>
        <v>Abril</v>
      </c>
    </row>
    <row r="328" spans="1:28" x14ac:dyDescent="0.3">
      <c r="A328" s="2">
        <f>IF(Caja_Arequipa[[#This Row],[tipo_r]]="R",COUNTIFS($C$1:$C327,"R")+1,A327)</f>
        <v>308</v>
      </c>
      <c r="B328" s="19" t="str">
        <f t="shared" si="22"/>
        <v>C-Tesoreria</v>
      </c>
      <c r="C328" s="3" t="s">
        <v>1330</v>
      </c>
      <c r="D328" s="14">
        <v>45763</v>
      </c>
      <c r="E328" s="5" t="s">
        <v>1416</v>
      </c>
      <c r="F328" s="5" t="s">
        <v>1303</v>
      </c>
      <c r="G328" s="3" t="s">
        <v>3634</v>
      </c>
      <c r="H328" s="6"/>
      <c r="I328" s="6"/>
      <c r="J328" s="6"/>
      <c r="K328" s="6"/>
      <c r="L328" s="7" t="s">
        <v>5340</v>
      </c>
      <c r="M328" s="8" t="str">
        <f>IF(Caja_Arequipa[[#This Row],[tipo_r]]="R","001-"&amp;12002+A328,M327)</f>
        <v>001-12310</v>
      </c>
      <c r="N328" s="8" t="str">
        <f t="shared" si="25"/>
        <v>PEN</v>
      </c>
      <c r="O328" s="13"/>
      <c r="P328" s="13">
        <v>2900</v>
      </c>
      <c r="Q328" s="3">
        <f t="shared" si="23"/>
        <v>2900</v>
      </c>
      <c r="R328" s="3">
        <f t="shared" si="24"/>
        <v>0</v>
      </c>
      <c r="S328" s="3">
        <f t="shared" si="26"/>
        <v>5043.3999999999996</v>
      </c>
      <c r="T328" s="24"/>
      <c r="U328" s="24"/>
      <c r="V328" s="3"/>
      <c r="W328" s="25" t="str">
        <f>IFERROR(VLOOKUP(Caja_Arequipa[[#This Row],[destinatario]],CHOOSE({1,2},Clientes_Proveedores[Razon Social],Clientes_Proveedores[Ruc / Dni]),2,0),"")</f>
        <v/>
      </c>
      <c r="X328" s="3"/>
      <c r="Y328" s="3"/>
      <c r="Z328" s="3"/>
      <c r="AA328" s="3"/>
      <c r="AB328" s="3" t="str">
        <f>IF(Caja_Arequipa[[#This Row],[fecha]]&gt;0,TEXT(Caja_Arequipa[[#This Row],[fecha]],"mmmm"),0)</f>
        <v>Abril</v>
      </c>
    </row>
    <row r="329" spans="1:28" ht="24" x14ac:dyDescent="0.3">
      <c r="A329" s="2">
        <f>IF(Caja_Arequipa[[#This Row],[tipo_r]]="R",COUNTIFS($C$1:$C328,"R")+1,A328)</f>
        <v>309</v>
      </c>
      <c r="B329" s="19" t="str">
        <f t="shared" si="22"/>
        <v>C-Tesoreria</v>
      </c>
      <c r="C329" s="3" t="s">
        <v>1330</v>
      </c>
      <c r="D329" s="14">
        <v>45763</v>
      </c>
      <c r="E329" s="5" t="s">
        <v>1416</v>
      </c>
      <c r="F329" s="5" t="s">
        <v>1336</v>
      </c>
      <c r="G329" s="3" t="s">
        <v>5380</v>
      </c>
      <c r="H329" s="6"/>
      <c r="I329" s="6"/>
      <c r="J329" s="6"/>
      <c r="K329" s="6"/>
      <c r="L329" s="7" t="s">
        <v>5815</v>
      </c>
      <c r="M329" s="8" t="str">
        <f>IF(Caja_Arequipa[[#This Row],[tipo_r]]="R","001-"&amp;12002+A329,M328)</f>
        <v>001-12311</v>
      </c>
      <c r="N329" s="8" t="str">
        <f t="shared" si="25"/>
        <v>PEN</v>
      </c>
      <c r="O329" s="13"/>
      <c r="P329" s="13">
        <v>172</v>
      </c>
      <c r="Q329" s="3">
        <f t="shared" si="23"/>
        <v>0</v>
      </c>
      <c r="R329" s="3">
        <f t="shared" si="24"/>
        <v>172</v>
      </c>
      <c r="S329" s="3">
        <f t="shared" si="26"/>
        <v>4871.3999999999996</v>
      </c>
      <c r="T329" s="24" t="s">
        <v>1334</v>
      </c>
      <c r="U329" s="24" t="s">
        <v>1334</v>
      </c>
      <c r="V329" s="3"/>
      <c r="W329" s="25" t="str">
        <f>IFERROR(VLOOKUP(Caja_Arequipa[[#This Row],[destinatario]],CHOOSE({1,2},Clientes_Proveedores[Razon Social],Clientes_Proveedores[Ruc / Dni]),2,0),"")</f>
        <v/>
      </c>
      <c r="X329" s="3" t="s">
        <v>5816</v>
      </c>
      <c r="Y329" s="3"/>
      <c r="Z329" s="3"/>
      <c r="AA329" s="3"/>
      <c r="AB329" s="3" t="str">
        <f>IF(Caja_Arequipa[[#This Row],[fecha]]&gt;0,TEXT(Caja_Arequipa[[#This Row],[fecha]],"mmmm"),0)</f>
        <v>Abril</v>
      </c>
    </row>
    <row r="330" spans="1:28" ht="24" x14ac:dyDescent="0.3">
      <c r="A330" s="2">
        <f>IF(Caja_Arequipa[[#This Row],[tipo_r]]="R",COUNTIFS($C$1:$C329,"R")+1,A329)</f>
        <v>309</v>
      </c>
      <c r="B330" s="19" t="str">
        <f>"C-Tesoreria"</f>
        <v>C-Tesoreria</v>
      </c>
      <c r="C330" s="3" t="s">
        <v>1352</v>
      </c>
      <c r="D330" s="14">
        <v>45763</v>
      </c>
      <c r="E330" s="5" t="s">
        <v>1416</v>
      </c>
      <c r="F330" s="5" t="s">
        <v>1336</v>
      </c>
      <c r="G330" s="3" t="s">
        <v>5380</v>
      </c>
      <c r="H330" s="6" t="s">
        <v>992</v>
      </c>
      <c r="I330" s="6" t="s">
        <v>68</v>
      </c>
      <c r="J330" s="6" t="s">
        <v>1374</v>
      </c>
      <c r="K330" s="6">
        <v>67424</v>
      </c>
      <c r="L330" s="7" t="s">
        <v>5815</v>
      </c>
      <c r="M330" s="8" t="str">
        <f>IF(Caja_Arequipa[[#This Row],[tipo_r]]="R","001-"&amp;12002+A330,M329)</f>
        <v>001-12311</v>
      </c>
      <c r="N330" s="8" t="str">
        <f>"PEN"</f>
        <v>PEN</v>
      </c>
      <c r="O330" s="13">
        <v>101</v>
      </c>
      <c r="P330" s="13"/>
      <c r="Q330" s="3">
        <f>+IF(OR($F330="SALDO",$F330="INGRESO"),$P330,0)</f>
        <v>0</v>
      </c>
      <c r="R330" s="3">
        <f>+IF($F330="EGRESO",$P330,0)</f>
        <v>0</v>
      </c>
      <c r="S330" s="3">
        <f t="shared" si="26"/>
        <v>4871.3999999999996</v>
      </c>
      <c r="T330" s="24"/>
      <c r="U330" s="24"/>
      <c r="V330" s="3"/>
      <c r="W330" s="25">
        <f>IFERROR(VLOOKUP(Caja_Arequipa[[#This Row],[destinatario]],CHOOSE({1,2},Clientes_Proveedores[Razon Social],Clientes_Proveedores[Ruc / Dni]),2,0),"")</f>
        <v>20497914885</v>
      </c>
      <c r="X330" s="3"/>
      <c r="Y330" s="3"/>
      <c r="Z330" s="3"/>
      <c r="AA330" s="3"/>
      <c r="AB330" s="3" t="str">
        <f>IF(Caja_Arequipa[[#This Row],[fecha]]&gt;0,TEXT(Caja_Arequipa[[#This Row],[fecha]],"mmmm"),0)</f>
        <v>Abril</v>
      </c>
    </row>
    <row r="331" spans="1:28" ht="24" x14ac:dyDescent="0.3">
      <c r="A331" s="2">
        <f>IF(Caja_Arequipa[[#This Row],[tipo_r]]="R",COUNTIFS($C$1:$C330,"R")+1,A330)</f>
        <v>309</v>
      </c>
      <c r="B331" s="19" t="str">
        <f>"C-Tesoreria"</f>
        <v>C-Tesoreria</v>
      </c>
      <c r="C331" s="3" t="s">
        <v>1352</v>
      </c>
      <c r="D331" s="14">
        <v>45763</v>
      </c>
      <c r="E331" s="5" t="s">
        <v>1416</v>
      </c>
      <c r="F331" s="5" t="s">
        <v>1336</v>
      </c>
      <c r="G331" s="3" t="s">
        <v>5380</v>
      </c>
      <c r="H331" s="6" t="s">
        <v>991</v>
      </c>
      <c r="I331" s="6" t="s">
        <v>68</v>
      </c>
      <c r="J331" s="6" t="s">
        <v>1376</v>
      </c>
      <c r="K331" s="6">
        <v>833</v>
      </c>
      <c r="L331" s="7" t="s">
        <v>5815</v>
      </c>
      <c r="M331" s="8" t="str">
        <f>IF(Caja_Arequipa[[#This Row],[tipo_r]]="R","001-"&amp;12002+A331,M330)</f>
        <v>001-12311</v>
      </c>
      <c r="N331" s="8" t="str">
        <f>"PEN"</f>
        <v>PEN</v>
      </c>
      <c r="O331" s="13">
        <v>20</v>
      </c>
      <c r="P331" s="13"/>
      <c r="Q331" s="3">
        <f>+IF(OR($F331="SALDO",$F331="INGRESO"),$P331,0)</f>
        <v>0</v>
      </c>
      <c r="R331" s="3">
        <f>+IF($F331="EGRESO",$P331,0)</f>
        <v>0</v>
      </c>
      <c r="S331" s="3">
        <f t="shared" si="26"/>
        <v>4871.3999999999996</v>
      </c>
      <c r="T331" s="24"/>
      <c r="U331" s="24"/>
      <c r="V331" s="3"/>
      <c r="W331" s="25">
        <f>IFERROR(VLOOKUP(Caja_Arequipa[[#This Row],[destinatario]],CHOOSE({1,2},Clientes_Proveedores[Razon Social],Clientes_Proveedores[Ruc / Dni]),2,0),"")</f>
        <v>10305624930</v>
      </c>
      <c r="X331" s="3"/>
      <c r="Y331" s="3"/>
      <c r="Z331" s="3"/>
      <c r="AA331" s="3"/>
      <c r="AB331" s="3" t="str">
        <f>IF(Caja_Arequipa[[#This Row],[fecha]]&gt;0,TEXT(Caja_Arequipa[[#This Row],[fecha]],"mmmm"),0)</f>
        <v>Abril</v>
      </c>
    </row>
    <row r="332" spans="1:28" ht="24" x14ac:dyDescent="0.3">
      <c r="A332" s="2">
        <f>IF(Caja_Arequipa[[#This Row],[tipo_r]]="R",COUNTIFS($C$1:$C331,"R")+1,A331)</f>
        <v>309</v>
      </c>
      <c r="B332" s="19" t="str">
        <f>"C-Tesoreria"</f>
        <v>C-Tesoreria</v>
      </c>
      <c r="C332" s="3" t="s">
        <v>1352</v>
      </c>
      <c r="D332" s="14">
        <v>45763</v>
      </c>
      <c r="E332" s="5" t="s">
        <v>1416</v>
      </c>
      <c r="F332" s="5" t="s">
        <v>1336</v>
      </c>
      <c r="G332" s="3" t="s">
        <v>5380</v>
      </c>
      <c r="H332" s="6"/>
      <c r="I332" s="6" t="s">
        <v>111</v>
      </c>
      <c r="J332" s="6">
        <v>3</v>
      </c>
      <c r="K332" s="6">
        <v>129</v>
      </c>
      <c r="L332" s="7" t="s">
        <v>5815</v>
      </c>
      <c r="M332" s="8" t="str">
        <f>IF(Caja_Arequipa[[#This Row],[tipo_r]]="R","001-"&amp;12002+A332,M331)</f>
        <v>001-12311</v>
      </c>
      <c r="N332" s="8" t="str">
        <f>"PEN"</f>
        <v>PEN</v>
      </c>
      <c r="O332" s="13">
        <v>51</v>
      </c>
      <c r="P332" s="13"/>
      <c r="Q332" s="3">
        <f>+IF(OR($F332="SALDO",$F332="INGRESO"),$P332,0)</f>
        <v>0</v>
      </c>
      <c r="R332" s="3">
        <f>+IF($F332="EGRESO",$P332,0)</f>
        <v>0</v>
      </c>
      <c r="S332" s="3">
        <f t="shared" si="26"/>
        <v>4871.3999999999996</v>
      </c>
      <c r="T332" s="24"/>
      <c r="U332" s="24"/>
      <c r="V332" s="3"/>
      <c r="W332" s="25" t="str">
        <f>IFERROR(VLOOKUP(Caja_Arequipa[[#This Row],[destinatario]],CHOOSE({1,2},Clientes_Proveedores[Razon Social],Clientes_Proveedores[Ruc / Dni]),2,0),"")</f>
        <v/>
      </c>
      <c r="X332" s="3"/>
      <c r="Y332" s="3"/>
      <c r="Z332" s="3"/>
      <c r="AA332" s="3"/>
      <c r="AB332" s="3" t="str">
        <f>IF(Caja_Arequipa[[#This Row],[fecha]]&gt;0,TEXT(Caja_Arequipa[[#This Row],[fecha]],"mmmm"),0)</f>
        <v>Abril</v>
      </c>
    </row>
    <row r="333" spans="1:28" ht="24" x14ac:dyDescent="0.3">
      <c r="A333" s="2">
        <f>IF(Caja_Arequipa[[#This Row],[tipo_r]]="R",COUNTIFS($C$1:$C332,"R")+1,A332)</f>
        <v>310</v>
      </c>
      <c r="B333" s="19" t="str">
        <f t="shared" si="22"/>
        <v>C-Tesoreria</v>
      </c>
      <c r="C333" s="3" t="s">
        <v>1330</v>
      </c>
      <c r="D333" s="14">
        <v>45768</v>
      </c>
      <c r="E333" s="5" t="s">
        <v>1416</v>
      </c>
      <c r="F333" s="5" t="s">
        <v>1336</v>
      </c>
      <c r="G333" s="3" t="s">
        <v>5248</v>
      </c>
      <c r="H333" s="6"/>
      <c r="I333" s="6"/>
      <c r="J333" s="6"/>
      <c r="K333" s="6"/>
      <c r="L333" s="7" t="s">
        <v>5817</v>
      </c>
      <c r="M333" s="8" t="str">
        <f>IF(Caja_Arequipa[[#This Row],[tipo_r]]="R","001-"&amp;12002+A333,M332)</f>
        <v>001-12312</v>
      </c>
      <c r="N333" s="8" t="str">
        <f t="shared" si="25"/>
        <v>PEN</v>
      </c>
      <c r="O333" s="13"/>
      <c r="P333" s="13">
        <v>320</v>
      </c>
      <c r="Q333" s="3">
        <f t="shared" si="23"/>
        <v>0</v>
      </c>
      <c r="R333" s="3">
        <f t="shared" si="24"/>
        <v>320</v>
      </c>
      <c r="S333" s="3">
        <f t="shared" si="26"/>
        <v>4551.3999999999996</v>
      </c>
      <c r="T333" s="24"/>
      <c r="U333" s="24"/>
      <c r="V333" s="3"/>
      <c r="W333" s="25" t="str">
        <f>IFERROR(VLOOKUP(Caja_Arequipa[[#This Row],[destinatario]],CHOOSE({1,2},Clientes_Proveedores[Razon Social],Clientes_Proveedores[Ruc / Dni]),2,0),"")</f>
        <v/>
      </c>
      <c r="X333" s="3" t="s">
        <v>5818</v>
      </c>
      <c r="Y333" s="3" t="s">
        <v>5819</v>
      </c>
      <c r="Z333" s="3"/>
      <c r="AA333" s="3"/>
      <c r="AB333" s="3" t="str">
        <f>IF(Caja_Arequipa[[#This Row],[fecha]]&gt;0,TEXT(Caja_Arequipa[[#This Row],[fecha]],"mmmm"),0)</f>
        <v>Abril</v>
      </c>
    </row>
    <row r="334" spans="1:28" ht="24" x14ac:dyDescent="0.3">
      <c r="A334" s="2">
        <f>IF(Caja_Arequipa[[#This Row],[tipo_r]]="R",COUNTIFS($C$1:$C333,"R")+1,A333)</f>
        <v>311</v>
      </c>
      <c r="B334" s="19" t="str">
        <f t="shared" si="22"/>
        <v>C-Tesoreria</v>
      </c>
      <c r="C334" s="3" t="s">
        <v>1330</v>
      </c>
      <c r="D334" s="14">
        <v>45768</v>
      </c>
      <c r="E334" s="5" t="s">
        <v>1416</v>
      </c>
      <c r="F334" s="5" t="s">
        <v>1336</v>
      </c>
      <c r="G334" s="3" t="s">
        <v>5811</v>
      </c>
      <c r="H334" s="6"/>
      <c r="I334" s="6"/>
      <c r="J334" s="6"/>
      <c r="K334" s="6"/>
      <c r="L334" s="7" t="s">
        <v>5820</v>
      </c>
      <c r="M334" s="8" t="str">
        <f>IF(Caja_Arequipa[[#This Row],[tipo_r]]="R","001-"&amp;12002+A334,M333)</f>
        <v>001-12313</v>
      </c>
      <c r="N334" s="8" t="str">
        <f t="shared" si="25"/>
        <v>PEN</v>
      </c>
      <c r="O334" s="13"/>
      <c r="P334" s="13">
        <v>148</v>
      </c>
      <c r="Q334" s="3">
        <f t="shared" si="23"/>
        <v>0</v>
      </c>
      <c r="R334" s="3">
        <f t="shared" si="24"/>
        <v>148</v>
      </c>
      <c r="S334" s="3">
        <f t="shared" si="26"/>
        <v>4403.3999999999996</v>
      </c>
      <c r="T334" s="24" t="s">
        <v>1334</v>
      </c>
      <c r="U334" s="24" t="s">
        <v>1334</v>
      </c>
      <c r="V334" s="3"/>
      <c r="W334" s="25" t="str">
        <f>IFERROR(VLOOKUP(Caja_Arequipa[[#This Row],[destinatario]],CHOOSE({1,2},Clientes_Proveedores[Razon Social],Clientes_Proveedores[Ruc / Dni]),2,0),"")</f>
        <v/>
      </c>
      <c r="X334" s="3" t="s">
        <v>5821</v>
      </c>
      <c r="Y334" s="3"/>
      <c r="Z334" s="3"/>
      <c r="AA334" s="3"/>
      <c r="AB334" s="3" t="str">
        <f>IF(Caja_Arequipa[[#This Row],[fecha]]&gt;0,TEXT(Caja_Arequipa[[#This Row],[fecha]],"mmmm"),0)</f>
        <v>Abril</v>
      </c>
    </row>
    <row r="335" spans="1:28" x14ac:dyDescent="0.3">
      <c r="A335" s="2">
        <f>IF(Caja_Arequipa[[#This Row],[tipo_r]]="R",COUNTIFS($C$1:$C334,"R")+1,A334)</f>
        <v>312</v>
      </c>
      <c r="B335" s="19" t="str">
        <f t="shared" si="22"/>
        <v>C-Tesoreria</v>
      </c>
      <c r="C335" s="3" t="s">
        <v>1330</v>
      </c>
      <c r="D335" s="14">
        <v>45769</v>
      </c>
      <c r="E335" s="5" t="s">
        <v>1338</v>
      </c>
      <c r="F335" s="5" t="s">
        <v>1336</v>
      </c>
      <c r="G335" s="3" t="s">
        <v>5450</v>
      </c>
      <c r="H335" s="6"/>
      <c r="I335" s="6" t="s">
        <v>111</v>
      </c>
      <c r="J335" s="6">
        <v>3</v>
      </c>
      <c r="K335" s="6">
        <v>130</v>
      </c>
      <c r="L335" s="7" t="s">
        <v>5822</v>
      </c>
      <c r="M335" s="8" t="str">
        <f>IF(Caja_Arequipa[[#This Row],[tipo_r]]="R","001-"&amp;12002+A335,M334)</f>
        <v>001-12314</v>
      </c>
      <c r="N335" s="8" t="str">
        <f t="shared" si="25"/>
        <v>PEN</v>
      </c>
      <c r="O335" s="13"/>
      <c r="P335" s="13">
        <v>19</v>
      </c>
      <c r="Q335" s="3">
        <f t="shared" si="23"/>
        <v>0</v>
      </c>
      <c r="R335" s="3">
        <f t="shared" si="24"/>
        <v>19</v>
      </c>
      <c r="S335" s="3">
        <f t="shared" si="26"/>
        <v>4384.3999999999996</v>
      </c>
      <c r="T335" s="24" t="s">
        <v>1334</v>
      </c>
      <c r="U335" s="24" t="s">
        <v>1334</v>
      </c>
      <c r="V335" s="3"/>
      <c r="W335" s="25" t="str">
        <f>IFERROR(VLOOKUP(Caja_Arequipa[[#This Row],[destinatario]],CHOOSE({1,2},Clientes_Proveedores[Razon Social],Clientes_Proveedores[Ruc / Dni]),2,0),"")</f>
        <v/>
      </c>
      <c r="X335" s="3" t="s">
        <v>5823</v>
      </c>
      <c r="Y335" s="3"/>
      <c r="Z335" s="3"/>
      <c r="AA335" s="3"/>
      <c r="AB335" s="3" t="str">
        <f>IF(Caja_Arequipa[[#This Row],[fecha]]&gt;0,TEXT(Caja_Arequipa[[#This Row],[fecha]],"mmmm"),0)</f>
        <v>Abril</v>
      </c>
    </row>
    <row r="336" spans="1:28" ht="36" x14ac:dyDescent="0.3">
      <c r="A336" s="2">
        <f>IF(Caja_Arequipa[[#This Row],[tipo_r]]="R",COUNTIFS($C$1:$C335,"R")+1,A335)</f>
        <v>313</v>
      </c>
      <c r="B336" s="19" t="str">
        <f t="shared" si="22"/>
        <v>C-Tesoreria</v>
      </c>
      <c r="C336" s="3" t="s">
        <v>1330</v>
      </c>
      <c r="D336" s="14">
        <v>45769</v>
      </c>
      <c r="E336" s="5" t="s">
        <v>1338</v>
      </c>
      <c r="F336" s="5" t="s">
        <v>1336</v>
      </c>
      <c r="G336" s="3" t="s">
        <v>5450</v>
      </c>
      <c r="H336" s="6"/>
      <c r="I336" s="6"/>
      <c r="J336" s="6"/>
      <c r="K336" s="6"/>
      <c r="L336" s="7" t="s">
        <v>5824</v>
      </c>
      <c r="M336" s="8" t="str">
        <f>IF(Caja_Arequipa[[#This Row],[tipo_r]]="R","001-"&amp;12002+A336,M335)</f>
        <v>001-12315</v>
      </c>
      <c r="N336" s="8" t="str">
        <f t="shared" si="25"/>
        <v>PEN</v>
      </c>
      <c r="O336" s="13"/>
      <c r="P336" s="13">
        <v>10</v>
      </c>
      <c r="Q336" s="3">
        <f t="shared" si="23"/>
        <v>0</v>
      </c>
      <c r="R336" s="3">
        <f t="shared" si="24"/>
        <v>10</v>
      </c>
      <c r="S336" s="3">
        <f t="shared" si="26"/>
        <v>4374.3999999999996</v>
      </c>
      <c r="T336" s="24" t="s">
        <v>1334</v>
      </c>
      <c r="U336" s="24" t="s">
        <v>1334</v>
      </c>
      <c r="V336" s="3"/>
      <c r="W336" s="25" t="str">
        <f>IFERROR(VLOOKUP(Caja_Arequipa[[#This Row],[destinatario]],CHOOSE({1,2},Clientes_Proveedores[Razon Social],Clientes_Proveedores[Ruc / Dni]),2,0),"")</f>
        <v/>
      </c>
      <c r="X336" s="3" t="s">
        <v>5825</v>
      </c>
      <c r="Y336" s="3"/>
      <c r="Z336" s="3"/>
      <c r="AA336" s="3"/>
      <c r="AB336" s="3" t="str">
        <f>IF(Caja_Arequipa[[#This Row],[fecha]]&gt;0,TEXT(Caja_Arequipa[[#This Row],[fecha]],"mmmm"),0)</f>
        <v>Abril</v>
      </c>
    </row>
    <row r="337" spans="1:28" x14ac:dyDescent="0.3">
      <c r="A337" s="2">
        <f>IF(Caja_Arequipa[[#This Row],[tipo_r]]="R",COUNTIFS($C$1:$C336,"R")+1,A336)</f>
        <v>314</v>
      </c>
      <c r="B337" s="19" t="str">
        <f t="shared" si="22"/>
        <v>C-Tesoreria</v>
      </c>
      <c r="C337" s="3" t="s">
        <v>1330</v>
      </c>
      <c r="D337" s="14">
        <v>45769</v>
      </c>
      <c r="E337" s="5" t="s">
        <v>1338</v>
      </c>
      <c r="F337" s="5" t="s">
        <v>1336</v>
      </c>
      <c r="G337" s="3" t="s">
        <v>5250</v>
      </c>
      <c r="H337" s="6"/>
      <c r="I337" s="6" t="s">
        <v>111</v>
      </c>
      <c r="J337" s="6">
        <v>3</v>
      </c>
      <c r="K337" s="6">
        <v>134</v>
      </c>
      <c r="L337" s="7" t="s">
        <v>5822</v>
      </c>
      <c r="M337" s="8" t="str">
        <f>IF(Caja_Arequipa[[#This Row],[tipo_r]]="R","001-"&amp;12002+A337,M336)</f>
        <v>001-12316</v>
      </c>
      <c r="N337" s="8" t="str">
        <f t="shared" si="25"/>
        <v>PEN</v>
      </c>
      <c r="O337" s="13"/>
      <c r="P337" s="13">
        <v>22</v>
      </c>
      <c r="Q337" s="3">
        <f t="shared" si="23"/>
        <v>0</v>
      </c>
      <c r="R337" s="3">
        <f t="shared" si="24"/>
        <v>22</v>
      </c>
      <c r="S337" s="3">
        <f t="shared" si="26"/>
        <v>4352.3999999999996</v>
      </c>
      <c r="T337" s="24" t="s">
        <v>1334</v>
      </c>
      <c r="U337" s="24" t="s">
        <v>1334</v>
      </c>
      <c r="V337" s="3"/>
      <c r="W337" s="25" t="str">
        <f>IFERROR(VLOOKUP(Caja_Arequipa[[#This Row],[destinatario]],CHOOSE({1,2},Clientes_Proveedores[Razon Social],Clientes_Proveedores[Ruc / Dni]),2,0),"")</f>
        <v/>
      </c>
      <c r="X337" s="3" t="s">
        <v>5826</v>
      </c>
      <c r="Y337" s="3"/>
      <c r="Z337" s="3"/>
      <c r="AA337" s="3"/>
      <c r="AB337" s="3" t="str">
        <f>IF(Caja_Arequipa[[#This Row],[fecha]]&gt;0,TEXT(Caja_Arequipa[[#This Row],[fecha]],"mmmm"),0)</f>
        <v>Abril</v>
      </c>
    </row>
    <row r="338" spans="1:28" ht="24" x14ac:dyDescent="0.3">
      <c r="A338" s="2">
        <f>IF(Caja_Arequipa[[#This Row],[tipo_r]]="R",COUNTIFS($C$1:$C337,"R")+1,A337)</f>
        <v>315</v>
      </c>
      <c r="B338" s="19" t="str">
        <f t="shared" si="22"/>
        <v>C-Tesoreria</v>
      </c>
      <c r="C338" s="3" t="s">
        <v>1330</v>
      </c>
      <c r="D338" s="14">
        <v>45770</v>
      </c>
      <c r="E338" s="5" t="s">
        <v>1416</v>
      </c>
      <c r="F338" s="5" t="s">
        <v>1336</v>
      </c>
      <c r="G338" s="3" t="s">
        <v>5280</v>
      </c>
      <c r="H338" s="6"/>
      <c r="I338" s="6" t="s">
        <v>130</v>
      </c>
      <c r="J338" s="6">
        <v>1</v>
      </c>
      <c r="K338" s="6"/>
      <c r="L338" s="7" t="s">
        <v>5827</v>
      </c>
      <c r="M338" s="8" t="str">
        <f>IF(Caja_Arequipa[[#This Row],[tipo_r]]="R","001-"&amp;12002+A338,M337)</f>
        <v>001-12317</v>
      </c>
      <c r="N338" s="8" t="str">
        <f t="shared" si="25"/>
        <v>PEN</v>
      </c>
      <c r="O338" s="13"/>
      <c r="P338" s="13">
        <v>50</v>
      </c>
      <c r="Q338" s="3">
        <f t="shared" si="23"/>
        <v>0</v>
      </c>
      <c r="R338" s="3">
        <f t="shared" si="24"/>
        <v>50</v>
      </c>
      <c r="S338" s="3">
        <f t="shared" si="26"/>
        <v>4302.3999999999996</v>
      </c>
      <c r="T338" s="24"/>
      <c r="U338" s="24"/>
      <c r="V338" s="3"/>
      <c r="W338" s="25" t="str">
        <f>IFERROR(VLOOKUP(Caja_Arequipa[[#This Row],[destinatario]],CHOOSE({1,2},Clientes_Proveedores[Razon Social],Clientes_Proveedores[Ruc / Dni]),2,0),"")</f>
        <v/>
      </c>
      <c r="X338" s="3" t="s">
        <v>131</v>
      </c>
      <c r="Y338" s="3"/>
      <c r="Z338" s="3"/>
      <c r="AA338" s="3"/>
      <c r="AB338" s="3" t="str">
        <f>IF(Caja_Arequipa[[#This Row],[fecha]]&gt;0,TEXT(Caja_Arequipa[[#This Row],[fecha]],"mmmm"),0)</f>
        <v>Abril</v>
      </c>
    </row>
    <row r="339" spans="1:28" x14ac:dyDescent="0.3">
      <c r="A339" s="2">
        <f>IF(Caja_Arequipa[[#This Row],[tipo_r]]="R",COUNTIFS($C$1:$C338,"R")+1,A338)</f>
        <v>316</v>
      </c>
      <c r="B339" s="19" t="str">
        <f t="shared" si="22"/>
        <v>C-Tesoreria</v>
      </c>
      <c r="C339" s="3" t="s">
        <v>1330</v>
      </c>
      <c r="D339" s="14">
        <v>45770</v>
      </c>
      <c r="E339" s="5" t="s">
        <v>1338</v>
      </c>
      <c r="F339" s="5" t="s">
        <v>1336</v>
      </c>
      <c r="G339" s="3" t="s">
        <v>5828</v>
      </c>
      <c r="H339" s="6"/>
      <c r="I339" s="6" t="s">
        <v>111</v>
      </c>
      <c r="J339" s="6">
        <v>3</v>
      </c>
      <c r="K339" s="6">
        <v>132</v>
      </c>
      <c r="L339" s="7" t="s">
        <v>5829</v>
      </c>
      <c r="M339" s="8" t="str">
        <f>IF(Caja_Arequipa[[#This Row],[tipo_r]]="R","001-"&amp;12002+A339,M338)</f>
        <v>001-12318</v>
      </c>
      <c r="N339" s="8" t="str">
        <f t="shared" si="25"/>
        <v>PEN</v>
      </c>
      <c r="O339" s="13"/>
      <c r="P339" s="13">
        <v>10</v>
      </c>
      <c r="Q339" s="3">
        <f t="shared" si="23"/>
        <v>0</v>
      </c>
      <c r="R339" s="3">
        <f t="shared" si="24"/>
        <v>10</v>
      </c>
      <c r="S339" s="3">
        <f t="shared" si="26"/>
        <v>4292.3999999999996</v>
      </c>
      <c r="T339" s="24" t="s">
        <v>1334</v>
      </c>
      <c r="U339" s="24" t="s">
        <v>1334</v>
      </c>
      <c r="V339" s="3"/>
      <c r="W339" s="25" t="str">
        <f>IFERROR(VLOOKUP(Caja_Arequipa[[#This Row],[destinatario]],CHOOSE({1,2},Clientes_Proveedores[Razon Social],Clientes_Proveedores[Ruc / Dni]),2,0),"")</f>
        <v/>
      </c>
      <c r="X339" s="3" t="s">
        <v>5830</v>
      </c>
      <c r="Y339" s="3"/>
      <c r="Z339" s="3"/>
      <c r="AA339" s="3"/>
      <c r="AB339" s="3" t="str">
        <f>IF(Caja_Arequipa[[#This Row],[fecha]]&gt;0,TEXT(Caja_Arequipa[[#This Row],[fecha]],"mmmm"),0)</f>
        <v>Abril</v>
      </c>
    </row>
    <row r="340" spans="1:28" x14ac:dyDescent="0.3">
      <c r="A340" s="2">
        <f>IF(Caja_Arequipa[[#This Row],[tipo_r]]="R",COUNTIFS($C$1:$C339,"R")+1,A339)</f>
        <v>317</v>
      </c>
      <c r="B340" s="19" t="str">
        <f t="shared" si="22"/>
        <v>C-Tesoreria</v>
      </c>
      <c r="C340" s="3" t="s">
        <v>1330</v>
      </c>
      <c r="D340" s="14">
        <v>45771</v>
      </c>
      <c r="E340" s="5" t="s">
        <v>1338</v>
      </c>
      <c r="F340" s="5" t="s">
        <v>1336</v>
      </c>
      <c r="G340" s="3" t="s">
        <v>5450</v>
      </c>
      <c r="H340" s="6"/>
      <c r="I340" s="6" t="s">
        <v>111</v>
      </c>
      <c r="J340" s="6">
        <v>3</v>
      </c>
      <c r="K340" s="6">
        <v>145</v>
      </c>
      <c r="L340" s="7" t="s">
        <v>5831</v>
      </c>
      <c r="M340" s="8" t="str">
        <f>IF(Caja_Arequipa[[#This Row],[tipo_r]]="R","001-"&amp;12002+A340,M339)</f>
        <v>001-12319</v>
      </c>
      <c r="N340" s="8" t="str">
        <f t="shared" si="25"/>
        <v>PEN</v>
      </c>
      <c r="O340" s="13"/>
      <c r="P340" s="13">
        <v>20</v>
      </c>
      <c r="Q340" s="3">
        <f t="shared" si="23"/>
        <v>0</v>
      </c>
      <c r="R340" s="3">
        <f t="shared" si="24"/>
        <v>20</v>
      </c>
      <c r="S340" s="3">
        <f t="shared" si="26"/>
        <v>4272.3999999999996</v>
      </c>
      <c r="T340" s="24" t="s">
        <v>1334</v>
      </c>
      <c r="U340" s="24" t="s">
        <v>1334</v>
      </c>
      <c r="V340" s="3"/>
      <c r="W340" s="25" t="str">
        <f>IFERROR(VLOOKUP(Caja_Arequipa[[#This Row],[destinatario]],CHOOSE({1,2},Clientes_Proveedores[Razon Social],Clientes_Proveedores[Ruc / Dni]),2,0),"")</f>
        <v/>
      </c>
      <c r="X340" s="3" t="s">
        <v>5832</v>
      </c>
      <c r="Y340" s="3"/>
      <c r="Z340" s="3"/>
      <c r="AA340" s="3"/>
      <c r="AB340" s="3" t="str">
        <f>IF(Caja_Arequipa[[#This Row],[fecha]]&gt;0,TEXT(Caja_Arequipa[[#This Row],[fecha]],"mmmm"),0)</f>
        <v>Abril</v>
      </c>
    </row>
    <row r="341" spans="1:28" x14ac:dyDescent="0.3">
      <c r="A341" s="2">
        <f>IF(Caja_Arequipa[[#This Row],[tipo_r]]="R",COUNTIFS($C$1:$C340,"R")+1,A340)</f>
        <v>318</v>
      </c>
      <c r="B341" s="19" t="str">
        <f t="shared" si="22"/>
        <v>C-Tesoreria</v>
      </c>
      <c r="C341" s="3" t="s">
        <v>1330</v>
      </c>
      <c r="D341" s="14">
        <v>45771</v>
      </c>
      <c r="E341" s="5" t="s">
        <v>1338</v>
      </c>
      <c r="F341" s="5" t="s">
        <v>1336</v>
      </c>
      <c r="G341" s="3" t="s">
        <v>5450</v>
      </c>
      <c r="H341" s="6"/>
      <c r="I341" s="6" t="s">
        <v>111</v>
      </c>
      <c r="J341" s="6">
        <v>3</v>
      </c>
      <c r="K341" s="6">
        <v>146</v>
      </c>
      <c r="L341" s="7" t="s">
        <v>5831</v>
      </c>
      <c r="M341" s="8" t="str">
        <f>IF(Caja_Arequipa[[#This Row],[tipo_r]]="R","001-"&amp;12002+A341,M340)</f>
        <v>001-12320</v>
      </c>
      <c r="N341" s="8" t="str">
        <f t="shared" si="25"/>
        <v>PEN</v>
      </c>
      <c r="O341" s="13"/>
      <c r="P341" s="13">
        <v>14</v>
      </c>
      <c r="Q341" s="3">
        <f t="shared" si="23"/>
        <v>0</v>
      </c>
      <c r="R341" s="3">
        <f t="shared" si="24"/>
        <v>14</v>
      </c>
      <c r="S341" s="3">
        <f t="shared" si="26"/>
        <v>4258.3999999999996</v>
      </c>
      <c r="T341" s="24" t="s">
        <v>1334</v>
      </c>
      <c r="U341" s="24" t="s">
        <v>1334</v>
      </c>
      <c r="V341" s="3"/>
      <c r="W341" s="25" t="str">
        <f>IFERROR(VLOOKUP(Caja_Arequipa[[#This Row],[destinatario]],CHOOSE({1,2},Clientes_Proveedores[Razon Social],Clientes_Proveedores[Ruc / Dni]),2,0),"")</f>
        <v/>
      </c>
      <c r="X341" s="3" t="s">
        <v>5833</v>
      </c>
      <c r="Y341" s="3"/>
      <c r="Z341" s="3"/>
      <c r="AA341" s="3"/>
      <c r="AB341" s="3" t="str">
        <f>IF(Caja_Arequipa[[#This Row],[fecha]]&gt;0,TEXT(Caja_Arequipa[[#This Row],[fecha]],"mmmm"),0)</f>
        <v>Abril</v>
      </c>
    </row>
    <row r="342" spans="1:28" ht="24" x14ac:dyDescent="0.3">
      <c r="A342" s="2">
        <f>IF(Caja_Arequipa[[#This Row],[tipo_r]]="R",COUNTIFS($C$1:$C341,"R")+1,A341)</f>
        <v>319</v>
      </c>
      <c r="B342" s="19" t="str">
        <f t="shared" si="22"/>
        <v>C-Tesoreria</v>
      </c>
      <c r="C342" s="3" t="s">
        <v>1330</v>
      </c>
      <c r="D342" s="14">
        <v>45771</v>
      </c>
      <c r="E342" s="5" t="s">
        <v>1338</v>
      </c>
      <c r="F342" s="5" t="s">
        <v>1336</v>
      </c>
      <c r="G342" s="3" t="s">
        <v>5664</v>
      </c>
      <c r="H342" s="6"/>
      <c r="I342" s="6"/>
      <c r="J342" s="6"/>
      <c r="K342" s="6"/>
      <c r="L342" s="7" t="s">
        <v>5834</v>
      </c>
      <c r="M342" s="8" t="str">
        <f>IF(Caja_Arequipa[[#This Row],[tipo_r]]="R","001-"&amp;12002+A342,M341)</f>
        <v>001-12321</v>
      </c>
      <c r="N342" s="8" t="str">
        <f t="shared" si="25"/>
        <v>PEN</v>
      </c>
      <c r="O342" s="13"/>
      <c r="P342" s="13">
        <v>320</v>
      </c>
      <c r="Q342" s="3">
        <f t="shared" si="23"/>
        <v>0</v>
      </c>
      <c r="R342" s="3">
        <f t="shared" si="24"/>
        <v>320</v>
      </c>
      <c r="S342" s="3">
        <f t="shared" si="26"/>
        <v>3938.3999999999996</v>
      </c>
      <c r="T342" s="24" t="s">
        <v>1334</v>
      </c>
      <c r="U342" s="24" t="s">
        <v>1334</v>
      </c>
      <c r="V342" s="3"/>
      <c r="W342" s="25" t="str">
        <f>IFERROR(VLOOKUP(Caja_Arequipa[[#This Row],[destinatario]],CHOOSE({1,2},Clientes_Proveedores[Razon Social],Clientes_Proveedores[Ruc / Dni]),2,0),"")</f>
        <v/>
      </c>
      <c r="X342" s="3" t="s">
        <v>5835</v>
      </c>
      <c r="Y342" s="3"/>
      <c r="Z342" s="3"/>
      <c r="AA342" s="3"/>
      <c r="AB342" s="3" t="str">
        <f>IF(Caja_Arequipa[[#This Row],[fecha]]&gt;0,TEXT(Caja_Arequipa[[#This Row],[fecha]],"mmmm"),0)</f>
        <v>Abril</v>
      </c>
    </row>
    <row r="343" spans="1:28" ht="24" x14ac:dyDescent="0.3">
      <c r="A343" s="2">
        <f>IF(Caja_Arequipa[[#This Row],[tipo_r]]="R",COUNTIFS($C$1:$C342,"R")+1,A342)</f>
        <v>319</v>
      </c>
      <c r="B343" s="19" t="str">
        <f>"C-Tesoreria"</f>
        <v>C-Tesoreria</v>
      </c>
      <c r="C343" s="3" t="s">
        <v>1352</v>
      </c>
      <c r="D343" s="14">
        <v>45771</v>
      </c>
      <c r="E343" s="5" t="s">
        <v>1338</v>
      </c>
      <c r="F343" s="5" t="s">
        <v>1336</v>
      </c>
      <c r="G343" s="3" t="s">
        <v>5664</v>
      </c>
      <c r="H343" s="6" t="s">
        <v>737</v>
      </c>
      <c r="I343" s="6" t="s">
        <v>68</v>
      </c>
      <c r="J343" s="6" t="s">
        <v>2331</v>
      </c>
      <c r="K343" s="6">
        <v>2522</v>
      </c>
      <c r="L343" s="7" t="s">
        <v>5834</v>
      </c>
      <c r="M343" s="8" t="str">
        <f>IF(Caja_Arequipa[[#This Row],[tipo_r]]="R","001-"&amp;12002+A343,M342)</f>
        <v>001-12321</v>
      </c>
      <c r="N343" s="8" t="str">
        <f>"PEN"</f>
        <v>PEN</v>
      </c>
      <c r="O343" s="13">
        <v>290</v>
      </c>
      <c r="P343" s="13"/>
      <c r="Q343" s="3">
        <f>+IF(OR($F343="SALDO",$F343="INGRESO"),$P343,0)</f>
        <v>0</v>
      </c>
      <c r="R343" s="3">
        <f>+IF($F343="EGRESO",$P343,0)</f>
        <v>0</v>
      </c>
      <c r="S343" s="3">
        <f t="shared" si="26"/>
        <v>3938.3999999999996</v>
      </c>
      <c r="T343" s="24"/>
      <c r="U343" s="24"/>
      <c r="V343" s="3"/>
      <c r="W343" s="25">
        <f>IFERROR(VLOOKUP(Caja_Arequipa[[#This Row],[destinatario]],CHOOSE({1,2},Clientes_Proveedores[Razon Social],Clientes_Proveedores[Ruc / Dni]),2,0),"")</f>
        <v>20559169774</v>
      </c>
      <c r="X343" s="3"/>
      <c r="Y343" s="3"/>
      <c r="Z343" s="3"/>
      <c r="AA343" s="3"/>
      <c r="AB343" s="3" t="str">
        <f>IF(Caja_Arequipa[[#This Row],[fecha]]&gt;0,TEXT(Caja_Arequipa[[#This Row],[fecha]],"mmmm"),0)</f>
        <v>Abril</v>
      </c>
    </row>
    <row r="344" spans="1:28" ht="24" x14ac:dyDescent="0.3">
      <c r="A344" s="2">
        <f>IF(Caja_Arequipa[[#This Row],[tipo_r]]="R",COUNTIFS($C$1:$C343,"R")+1,A343)</f>
        <v>319</v>
      </c>
      <c r="B344" s="19" t="str">
        <f>"C-Tesoreria"</f>
        <v>C-Tesoreria</v>
      </c>
      <c r="C344" s="3" t="s">
        <v>1352</v>
      </c>
      <c r="D344" s="14">
        <v>45771</v>
      </c>
      <c r="E344" s="5" t="s">
        <v>1338</v>
      </c>
      <c r="F344" s="5" t="s">
        <v>1336</v>
      </c>
      <c r="G344" s="3" t="s">
        <v>5664</v>
      </c>
      <c r="H344" s="6"/>
      <c r="I344" s="6" t="s">
        <v>111</v>
      </c>
      <c r="J344" s="6">
        <v>3</v>
      </c>
      <c r="K344" s="6">
        <v>136</v>
      </c>
      <c r="L344" s="7" t="s">
        <v>5834</v>
      </c>
      <c r="M344" s="8" t="str">
        <f>IF(Caja_Arequipa[[#This Row],[tipo_r]]="R","001-"&amp;12002+A344,M343)</f>
        <v>001-12321</v>
      </c>
      <c r="N344" s="8" t="str">
        <f>"PEN"</f>
        <v>PEN</v>
      </c>
      <c r="O344" s="13">
        <v>30</v>
      </c>
      <c r="P344" s="13"/>
      <c r="Q344" s="3">
        <f>+IF(OR($F344="SALDO",$F344="INGRESO"),$P344,0)</f>
        <v>0</v>
      </c>
      <c r="R344" s="3">
        <f>+IF($F344="EGRESO",$P344,0)</f>
        <v>0</v>
      </c>
      <c r="S344" s="3">
        <f t="shared" si="26"/>
        <v>3938.3999999999996</v>
      </c>
      <c r="T344" s="24"/>
      <c r="U344" s="24"/>
      <c r="V344" s="3"/>
      <c r="W344" s="25" t="str">
        <f>IFERROR(VLOOKUP(Caja_Arequipa[[#This Row],[destinatario]],CHOOSE({1,2},Clientes_Proveedores[Razon Social],Clientes_Proveedores[Ruc / Dni]),2,0),"")</f>
        <v/>
      </c>
      <c r="X344" s="3"/>
      <c r="Y344" s="3"/>
      <c r="Z344" s="3"/>
      <c r="AA344" s="3"/>
      <c r="AB344" s="3" t="str">
        <f>IF(Caja_Arequipa[[#This Row],[fecha]]&gt;0,TEXT(Caja_Arequipa[[#This Row],[fecha]],"mmmm"),0)</f>
        <v>Abril</v>
      </c>
    </row>
    <row r="345" spans="1:28" x14ac:dyDescent="0.3">
      <c r="A345" s="2">
        <f>IF(Caja_Arequipa[[#This Row],[tipo_r]]="R",COUNTIFS($C$1:$C344,"R")+1,A344)</f>
        <v>320</v>
      </c>
      <c r="B345" s="19" t="str">
        <f t="shared" si="22"/>
        <v>C-Tesoreria</v>
      </c>
      <c r="C345" s="3" t="s">
        <v>1330</v>
      </c>
      <c r="D345" s="14">
        <v>45772</v>
      </c>
      <c r="E345" s="5" t="s">
        <v>1416</v>
      </c>
      <c r="F345" s="5" t="s">
        <v>1336</v>
      </c>
      <c r="G345" s="3" t="s">
        <v>5250</v>
      </c>
      <c r="H345" s="6"/>
      <c r="I345" s="6"/>
      <c r="J345" s="6"/>
      <c r="K345" s="6"/>
      <c r="L345" s="7" t="s">
        <v>5836</v>
      </c>
      <c r="M345" s="8" t="str">
        <f>IF(Caja_Arequipa[[#This Row],[tipo_r]]="R","001-"&amp;12002+A345,M344)</f>
        <v>001-12322</v>
      </c>
      <c r="N345" s="8" t="str">
        <f t="shared" si="25"/>
        <v>PEN</v>
      </c>
      <c r="O345" s="13"/>
      <c r="P345" s="13">
        <v>20</v>
      </c>
      <c r="Q345" s="3">
        <f t="shared" si="23"/>
        <v>0</v>
      </c>
      <c r="R345" s="3">
        <f t="shared" si="24"/>
        <v>20</v>
      </c>
      <c r="S345" s="3">
        <f t="shared" si="26"/>
        <v>3918.3999999999996</v>
      </c>
      <c r="T345" s="24" t="s">
        <v>1334</v>
      </c>
      <c r="U345" s="24" t="s">
        <v>1334</v>
      </c>
      <c r="V345" s="3"/>
      <c r="W345" s="25" t="str">
        <f>IFERROR(VLOOKUP(Caja_Arequipa[[#This Row],[destinatario]],CHOOSE({1,2},Clientes_Proveedores[Razon Social],Clientes_Proveedores[Ruc / Dni]),2,0),"")</f>
        <v/>
      </c>
      <c r="X345" s="3" t="s">
        <v>5837</v>
      </c>
      <c r="Y345" s="3"/>
      <c r="Z345" s="3"/>
      <c r="AA345" s="3"/>
      <c r="AB345" s="3" t="str">
        <f>IF(Caja_Arequipa[[#This Row],[fecha]]&gt;0,TEXT(Caja_Arequipa[[#This Row],[fecha]],"mmmm"),0)</f>
        <v>Abril</v>
      </c>
    </row>
    <row r="346" spans="1:28" x14ac:dyDescent="0.3">
      <c r="A346" s="2">
        <f>IF(Caja_Arequipa[[#This Row],[tipo_r]]="R",COUNTIFS($C$1:$C345,"R")+1,A345)</f>
        <v>321</v>
      </c>
      <c r="B346" s="19" t="str">
        <f t="shared" ref="B346:B425" si="27">"C-Tesoreria"</f>
        <v>C-Tesoreria</v>
      </c>
      <c r="C346" s="3" t="s">
        <v>1330</v>
      </c>
      <c r="D346" s="14">
        <v>45772</v>
      </c>
      <c r="E346" s="5" t="s">
        <v>1416</v>
      </c>
      <c r="F346" s="5" t="s">
        <v>1336</v>
      </c>
      <c r="G346" s="3" t="s">
        <v>3308</v>
      </c>
      <c r="H346" s="6"/>
      <c r="I346" s="6" t="s">
        <v>111</v>
      </c>
      <c r="J346" s="6">
        <v>3</v>
      </c>
      <c r="K346" s="6">
        <v>147</v>
      </c>
      <c r="L346" s="7" t="s">
        <v>5838</v>
      </c>
      <c r="M346" s="8" t="str">
        <f>IF(Caja_Arequipa[[#This Row],[tipo_r]]="R","001-"&amp;12002+A346,M345)</f>
        <v>001-12323</v>
      </c>
      <c r="N346" s="8" t="str">
        <f t="shared" si="25"/>
        <v>PEN</v>
      </c>
      <c r="O346" s="13"/>
      <c r="P346" s="13">
        <v>17</v>
      </c>
      <c r="Q346" s="3">
        <f t="shared" ref="Q346:Q425" si="28">+IF(OR($F346="SALDO",$F346="INGRESO"),$P346,0)</f>
        <v>0</v>
      </c>
      <c r="R346" s="3">
        <f t="shared" ref="R346:R425" si="29">+IF($F346="EGRESO",$P346,0)</f>
        <v>17</v>
      </c>
      <c r="S346" s="3">
        <f t="shared" si="26"/>
        <v>3901.3999999999996</v>
      </c>
      <c r="T346" s="24" t="s">
        <v>1334</v>
      </c>
      <c r="U346" s="24" t="s">
        <v>1334</v>
      </c>
      <c r="V346" s="3"/>
      <c r="W346" s="25" t="str">
        <f>IFERROR(VLOOKUP(Caja_Arequipa[[#This Row],[destinatario]],CHOOSE({1,2},Clientes_Proveedores[Razon Social],Clientes_Proveedores[Ruc / Dni]),2,0),"")</f>
        <v/>
      </c>
      <c r="X346" s="3" t="s">
        <v>5839</v>
      </c>
      <c r="Y346" s="3"/>
      <c r="Z346" s="3"/>
      <c r="AA346" s="3"/>
      <c r="AB346" s="3" t="str">
        <f>IF(Caja_Arequipa[[#This Row],[fecha]]&gt;0,TEXT(Caja_Arequipa[[#This Row],[fecha]],"mmmm"),0)</f>
        <v>Abril</v>
      </c>
    </row>
    <row r="347" spans="1:28" x14ac:dyDescent="0.3">
      <c r="A347" s="2">
        <f>IF(Caja_Arequipa[[#This Row],[tipo_r]]="R",COUNTIFS($C$1:$C346,"R")+1,A346)</f>
        <v>322</v>
      </c>
      <c r="B347" s="19" t="str">
        <f t="shared" si="27"/>
        <v>C-Tesoreria</v>
      </c>
      <c r="C347" s="3" t="s">
        <v>1330</v>
      </c>
      <c r="D347" s="14">
        <v>45772</v>
      </c>
      <c r="E347" s="5" t="s">
        <v>1416</v>
      </c>
      <c r="F347" s="5" t="s">
        <v>1336</v>
      </c>
      <c r="G347" s="3" t="s">
        <v>5840</v>
      </c>
      <c r="H347" s="6"/>
      <c r="I347" s="6"/>
      <c r="J347" s="6"/>
      <c r="K347" s="6"/>
      <c r="L347" s="7" t="s">
        <v>5841</v>
      </c>
      <c r="M347" s="8" t="str">
        <f>IF(Caja_Arequipa[[#This Row],[tipo_r]]="R","001-"&amp;12002+A347,M346)</f>
        <v>001-12324</v>
      </c>
      <c r="N347" s="8" t="str">
        <f t="shared" ref="N347:N429" si="30">"PEN"</f>
        <v>PEN</v>
      </c>
      <c r="O347" s="13"/>
      <c r="P347" s="13">
        <v>100</v>
      </c>
      <c r="Q347" s="3">
        <f t="shared" si="28"/>
        <v>0</v>
      </c>
      <c r="R347" s="3">
        <f t="shared" si="29"/>
        <v>100</v>
      </c>
      <c r="S347" s="3">
        <f t="shared" si="26"/>
        <v>3801.3999999999996</v>
      </c>
      <c r="T347" s="24" t="s">
        <v>1334</v>
      </c>
      <c r="U347" s="24" t="s">
        <v>1334</v>
      </c>
      <c r="V347" s="3"/>
      <c r="W347" s="25" t="str">
        <f>IFERROR(VLOOKUP(Caja_Arequipa[[#This Row],[destinatario]],CHOOSE({1,2},Clientes_Proveedores[Razon Social],Clientes_Proveedores[Ruc / Dni]),2,0),"")</f>
        <v/>
      </c>
      <c r="X347" s="3" t="s">
        <v>5842</v>
      </c>
      <c r="Y347" s="3"/>
      <c r="Z347" s="3"/>
      <c r="AA347" s="3"/>
      <c r="AB347" s="3" t="str">
        <f>IF(Caja_Arequipa[[#This Row],[fecha]]&gt;0,TEXT(Caja_Arequipa[[#This Row],[fecha]],"mmmm"),0)</f>
        <v>Abril</v>
      </c>
    </row>
    <row r="348" spans="1:28" ht="36" x14ac:dyDescent="0.3">
      <c r="A348" s="2">
        <f>IF(Caja_Arequipa[[#This Row],[tipo_r]]="R",COUNTIFS($C$1:$C347,"R")+1,A347)</f>
        <v>323</v>
      </c>
      <c r="B348" s="19" t="str">
        <f t="shared" si="27"/>
        <v>C-Tesoreria</v>
      </c>
      <c r="C348" s="3" t="s">
        <v>1330</v>
      </c>
      <c r="D348" s="14">
        <v>45772</v>
      </c>
      <c r="E348" s="5" t="s">
        <v>1416</v>
      </c>
      <c r="F348" s="5" t="s">
        <v>1336</v>
      </c>
      <c r="G348" s="3" t="s">
        <v>5274</v>
      </c>
      <c r="H348" s="6"/>
      <c r="I348" s="6"/>
      <c r="J348" s="6"/>
      <c r="K348" s="6"/>
      <c r="L348" s="7" t="s">
        <v>5843</v>
      </c>
      <c r="M348" s="8" t="str">
        <f>IF(Caja_Arequipa[[#This Row],[tipo_r]]="R","001-"&amp;12002+A348,M347)</f>
        <v>001-12325</v>
      </c>
      <c r="N348" s="8" t="str">
        <f t="shared" si="30"/>
        <v>PEN</v>
      </c>
      <c r="O348" s="13"/>
      <c r="P348" s="13">
        <v>59</v>
      </c>
      <c r="Q348" s="3">
        <f>+IF(OR($F348="SALDO",$F348="INGRESO"),$P348,0)</f>
        <v>0</v>
      </c>
      <c r="R348" s="3">
        <f>+IF($F348="EGRESO",$P348,0)</f>
        <v>59</v>
      </c>
      <c r="S348" s="3">
        <f t="shared" si="26"/>
        <v>3742.3999999999996</v>
      </c>
      <c r="T348" s="24" t="s">
        <v>1334</v>
      </c>
      <c r="U348" s="24" t="s">
        <v>1334</v>
      </c>
      <c r="V348" s="3"/>
      <c r="W348" s="25" t="str">
        <f>IFERROR(VLOOKUP(Caja_Arequipa[[#This Row],[destinatario]],CHOOSE({1,2},Clientes_Proveedores[Razon Social],Clientes_Proveedores[Ruc / Dni]),2,0),"")</f>
        <v/>
      </c>
      <c r="X348" s="3" t="s">
        <v>5844</v>
      </c>
      <c r="Y348" s="3"/>
      <c r="Z348" s="3"/>
      <c r="AA348" s="3"/>
      <c r="AB348" s="3" t="str">
        <f>IF(Caja_Arequipa[[#This Row],[fecha]]&gt;0,TEXT(Caja_Arequipa[[#This Row],[fecha]],"mmmm"),0)</f>
        <v>Abril</v>
      </c>
    </row>
    <row r="349" spans="1:28" x14ac:dyDescent="0.3">
      <c r="A349" s="2">
        <f>IF(Caja_Arequipa[[#This Row],[tipo_r]]="R",COUNTIFS($C$1:$C348,"R")+1,A348)</f>
        <v>323</v>
      </c>
      <c r="B349" s="19" t="str">
        <f>"C-Tesoreria"</f>
        <v>C-Tesoreria</v>
      </c>
      <c r="C349" s="3" t="s">
        <v>1352</v>
      </c>
      <c r="D349" s="14">
        <v>45772</v>
      </c>
      <c r="E349" s="5" t="s">
        <v>1416</v>
      </c>
      <c r="F349" s="5" t="s">
        <v>1336</v>
      </c>
      <c r="G349" s="3" t="s">
        <v>5274</v>
      </c>
      <c r="H349" s="6"/>
      <c r="I349" s="6" t="s">
        <v>111</v>
      </c>
      <c r="J349" s="6">
        <v>3</v>
      </c>
      <c r="K349" s="6">
        <v>133</v>
      </c>
      <c r="L349" s="7" t="s">
        <v>5843</v>
      </c>
      <c r="M349" s="8" t="str">
        <f>IF(Caja_Arequipa[[#This Row],[tipo_r]]="R","001-"&amp;12002+A349,M348)</f>
        <v>001-12325</v>
      </c>
      <c r="N349" s="8" t="str">
        <f>"PEN"</f>
        <v>PEN</v>
      </c>
      <c r="O349" s="13">
        <v>44</v>
      </c>
      <c r="P349" s="13"/>
      <c r="Q349" s="3">
        <f>+IF(OR($F349="SALDO",$F349="INGRESO"),$P349,0)</f>
        <v>0</v>
      </c>
      <c r="R349" s="3">
        <f>+IF($F349="EGRESO",$P349,0)</f>
        <v>0</v>
      </c>
      <c r="S349" s="3">
        <f t="shared" si="26"/>
        <v>3742.3999999999996</v>
      </c>
      <c r="T349" s="24"/>
      <c r="U349" s="24"/>
      <c r="V349" s="3"/>
      <c r="W349" s="25" t="str">
        <f>IFERROR(VLOOKUP(Caja_Arequipa[[#This Row],[destinatario]],CHOOSE({1,2},Clientes_Proveedores[Razon Social],Clientes_Proveedores[Ruc / Dni]),2,0),"")</f>
        <v/>
      </c>
      <c r="X349" s="3"/>
      <c r="Y349" s="3"/>
      <c r="Z349" s="3"/>
      <c r="AA349" s="3"/>
      <c r="AB349" s="3" t="str">
        <f>IF(Caja_Arequipa[[#This Row],[fecha]]&gt;0,TEXT(Caja_Arequipa[[#This Row],[fecha]],"mmmm"),0)</f>
        <v>Abril</v>
      </c>
    </row>
    <row r="350" spans="1:28" x14ac:dyDescent="0.3">
      <c r="A350" s="2">
        <f>IF(Caja_Arequipa[[#This Row],[tipo_r]]="R",COUNTIFS($C$1:$C349,"R")+1,A349)</f>
        <v>323</v>
      </c>
      <c r="B350" s="19" t="str">
        <f>"C-Tesoreria"</f>
        <v>C-Tesoreria</v>
      </c>
      <c r="C350" s="3" t="s">
        <v>1352</v>
      </c>
      <c r="D350" s="14">
        <v>45772</v>
      </c>
      <c r="E350" s="5" t="s">
        <v>1416</v>
      </c>
      <c r="F350" s="5" t="s">
        <v>1336</v>
      </c>
      <c r="G350" s="3" t="s">
        <v>5274</v>
      </c>
      <c r="H350" s="6" t="s">
        <v>978</v>
      </c>
      <c r="I350" s="6" t="s">
        <v>68</v>
      </c>
      <c r="J350" s="6" t="s">
        <v>5845</v>
      </c>
      <c r="K350" s="6">
        <v>1725985</v>
      </c>
      <c r="L350" s="7" t="s">
        <v>5843</v>
      </c>
      <c r="M350" s="8" t="str">
        <f>IF(Caja_Arequipa[[#This Row],[tipo_r]]="R","001-"&amp;12002+A350,M349)</f>
        <v>001-12325</v>
      </c>
      <c r="N350" s="8" t="str">
        <f>"PEN"</f>
        <v>PEN</v>
      </c>
      <c r="O350" s="13">
        <v>5</v>
      </c>
      <c r="P350" s="13"/>
      <c r="Q350" s="3">
        <f>+IF(OR($F350="SALDO",$F350="INGRESO"),$P350,0)</f>
        <v>0</v>
      </c>
      <c r="R350" s="3">
        <f>+IF($F350="EGRESO",$P350,0)</f>
        <v>0</v>
      </c>
      <c r="S350" s="3">
        <f t="shared" si="26"/>
        <v>3742.3999999999996</v>
      </c>
      <c r="T350" s="24"/>
      <c r="U350" s="24"/>
      <c r="V350" s="3"/>
      <c r="W350" s="25">
        <f>IFERROR(VLOOKUP(Caja_Arequipa[[#This Row],[destinatario]],CHOOSE({1,2},Clientes_Proveedores[Razon Social],Clientes_Proveedores[Ruc / Dni]),2,0),"")</f>
        <v>20517252558</v>
      </c>
      <c r="X350" s="3"/>
      <c r="Y350" s="3"/>
      <c r="Z350" s="3"/>
      <c r="AA350" s="3"/>
      <c r="AB350" s="3" t="str">
        <f>IF(Caja_Arequipa[[#This Row],[fecha]]&gt;0,TEXT(Caja_Arequipa[[#This Row],[fecha]],"mmmm"),0)</f>
        <v>Abril</v>
      </c>
    </row>
    <row r="351" spans="1:28" ht="36" x14ac:dyDescent="0.3">
      <c r="A351" s="2">
        <f>IF(Caja_Arequipa[[#This Row],[tipo_r]]="R",COUNTIFS($C$1:$C350,"R")+1,A350)</f>
        <v>323</v>
      </c>
      <c r="B351" s="19" t="str">
        <f>"C-Tesoreria"</f>
        <v>C-Tesoreria</v>
      </c>
      <c r="C351" s="3" t="s">
        <v>1352</v>
      </c>
      <c r="D351" s="14">
        <v>45772</v>
      </c>
      <c r="E351" s="5" t="s">
        <v>1416</v>
      </c>
      <c r="F351" s="5" t="s">
        <v>1336</v>
      </c>
      <c r="G351" s="3" t="s">
        <v>5274</v>
      </c>
      <c r="H351" s="6" t="s">
        <v>227</v>
      </c>
      <c r="I351" s="6" t="s">
        <v>68</v>
      </c>
      <c r="J351" s="6" t="s">
        <v>1390</v>
      </c>
      <c r="K351" s="6">
        <v>130739</v>
      </c>
      <c r="L351" s="7" t="s">
        <v>5843</v>
      </c>
      <c r="M351" s="8" t="str">
        <f>IF(Caja_Arequipa[[#This Row],[tipo_r]]="R","001-"&amp;12002+A351,M350)</f>
        <v>001-12325</v>
      </c>
      <c r="N351" s="8" t="str">
        <f>"PEN"</f>
        <v>PEN</v>
      </c>
      <c r="O351" s="13">
        <v>10</v>
      </c>
      <c r="P351" s="13"/>
      <c r="Q351" s="3">
        <f>+IF(OR($F351="SALDO",$F351="INGRESO"),$P351,0)</f>
        <v>0</v>
      </c>
      <c r="R351" s="3">
        <f>+IF($F351="EGRESO",$P351,0)</f>
        <v>0</v>
      </c>
      <c r="S351" s="3">
        <f t="shared" si="26"/>
        <v>3742.3999999999996</v>
      </c>
      <c r="T351" s="24"/>
      <c r="U351" s="24"/>
      <c r="V351" s="3"/>
      <c r="W351" s="25">
        <f>IFERROR(VLOOKUP(Caja_Arequipa[[#This Row],[destinatario]],CHOOSE({1,2},Clientes_Proveedores[Razon Social],Clientes_Proveedores[Ruc / Dni]),2,0),"")</f>
        <v>20124952850</v>
      </c>
      <c r="X351" s="3"/>
      <c r="Y351" s="3"/>
      <c r="Z351" s="3"/>
      <c r="AA351" s="3"/>
      <c r="AB351" s="3" t="str">
        <f>IF(Caja_Arequipa[[#This Row],[fecha]]&gt;0,TEXT(Caja_Arequipa[[#This Row],[fecha]],"mmmm"),0)</f>
        <v>Abril</v>
      </c>
    </row>
    <row r="352" spans="1:28" ht="24" x14ac:dyDescent="0.3">
      <c r="A352" s="2">
        <f>IF(Caja_Arequipa[[#This Row],[tipo_r]]="R",COUNTIFS($C$1:$C351,"R")+1,A351)</f>
        <v>324</v>
      </c>
      <c r="B352" s="19" t="str">
        <f t="shared" si="27"/>
        <v>C-Tesoreria</v>
      </c>
      <c r="C352" s="3" t="s">
        <v>1330</v>
      </c>
      <c r="D352" s="14">
        <v>45772</v>
      </c>
      <c r="E352" s="5" t="s">
        <v>1416</v>
      </c>
      <c r="F352" s="5" t="s">
        <v>1336</v>
      </c>
      <c r="G352" s="3" t="s">
        <v>5840</v>
      </c>
      <c r="H352" s="6"/>
      <c r="I352" s="6"/>
      <c r="J352" s="6"/>
      <c r="K352" s="6"/>
      <c r="L352" s="7" t="s">
        <v>5846</v>
      </c>
      <c r="M352" s="8" t="str">
        <f>IF(Caja_Arequipa[[#This Row],[tipo_r]]="R","001-"&amp;12002+A352,M351)</f>
        <v>001-12326</v>
      </c>
      <c r="N352" s="8" t="str">
        <f t="shared" si="30"/>
        <v>PEN</v>
      </c>
      <c r="O352" s="13"/>
      <c r="P352" s="13">
        <v>80</v>
      </c>
      <c r="Q352" s="3">
        <f t="shared" si="28"/>
        <v>0</v>
      </c>
      <c r="R352" s="3">
        <f t="shared" si="29"/>
        <v>80</v>
      </c>
      <c r="S352" s="3">
        <f t="shared" si="26"/>
        <v>3662.3999999999996</v>
      </c>
      <c r="T352" s="24" t="s">
        <v>1334</v>
      </c>
      <c r="U352" s="24" t="s">
        <v>1334</v>
      </c>
      <c r="V352" s="3"/>
      <c r="W352" s="25" t="str">
        <f>IFERROR(VLOOKUP(Caja_Arequipa[[#This Row],[destinatario]],CHOOSE({1,2},Clientes_Proveedores[Razon Social],Clientes_Proveedores[Ruc / Dni]),2,0),"")</f>
        <v/>
      </c>
      <c r="X352" s="3" t="s">
        <v>5847</v>
      </c>
      <c r="Y352" s="3"/>
      <c r="Z352" s="3"/>
      <c r="AA352" s="3"/>
      <c r="AB352" s="3" t="str">
        <f>IF(Caja_Arequipa[[#This Row],[fecha]]&gt;0,TEXT(Caja_Arequipa[[#This Row],[fecha]],"mmmm"),0)</f>
        <v>Abril</v>
      </c>
    </row>
    <row r="353" spans="1:28" ht="24" x14ac:dyDescent="0.3">
      <c r="A353" s="2">
        <f>IF(Caja_Arequipa[[#This Row],[tipo_r]]="R",COUNTIFS($C$1:$C352,"R")+1,A352)</f>
        <v>325</v>
      </c>
      <c r="B353" s="19" t="str">
        <f t="shared" si="27"/>
        <v>C-Tesoreria</v>
      </c>
      <c r="C353" s="3" t="s">
        <v>1330</v>
      </c>
      <c r="D353" s="14">
        <v>45772</v>
      </c>
      <c r="E353" s="5" t="s">
        <v>1416</v>
      </c>
      <c r="F353" s="5" t="s">
        <v>1336</v>
      </c>
      <c r="G353" s="3" t="s">
        <v>5840</v>
      </c>
      <c r="H353" s="6"/>
      <c r="I353" s="6"/>
      <c r="J353" s="6"/>
      <c r="K353" s="6"/>
      <c r="L353" s="7" t="s">
        <v>5848</v>
      </c>
      <c r="M353" s="8" t="str">
        <f>IF(Caja_Arequipa[[#This Row],[tipo_r]]="R","001-"&amp;12002+A353,M352)</f>
        <v>001-12327</v>
      </c>
      <c r="N353" s="8" t="str">
        <f t="shared" si="30"/>
        <v>PEN</v>
      </c>
      <c r="O353" s="13"/>
      <c r="P353" s="13">
        <v>12.9</v>
      </c>
      <c r="Q353" s="3">
        <f t="shared" si="28"/>
        <v>0</v>
      </c>
      <c r="R353" s="3">
        <f t="shared" si="29"/>
        <v>12.9</v>
      </c>
      <c r="S353" s="3">
        <f t="shared" si="26"/>
        <v>3649.4999999999995</v>
      </c>
      <c r="T353" s="24" t="s">
        <v>1334</v>
      </c>
      <c r="U353" s="24" t="s">
        <v>1334</v>
      </c>
      <c r="V353" s="3"/>
      <c r="W353" s="25" t="str">
        <f>IFERROR(VLOOKUP(Caja_Arequipa[[#This Row],[destinatario]],CHOOSE({1,2},Clientes_Proveedores[Razon Social],Clientes_Proveedores[Ruc / Dni]),2,0),"")</f>
        <v/>
      </c>
      <c r="X353" s="3" t="s">
        <v>5849</v>
      </c>
      <c r="Y353" s="3"/>
      <c r="Z353" s="3"/>
      <c r="AA353" s="3"/>
      <c r="AB353" s="3" t="str">
        <f>IF(Caja_Arequipa[[#This Row],[fecha]]&gt;0,TEXT(Caja_Arequipa[[#This Row],[fecha]],"mmmm"),0)</f>
        <v>Abril</v>
      </c>
    </row>
    <row r="354" spans="1:28" ht="24" x14ac:dyDescent="0.3">
      <c r="A354" s="2">
        <f>IF(Caja_Arequipa[[#This Row],[tipo_r]]="R",COUNTIFS($C$1:$C353,"R")+1,A353)</f>
        <v>326</v>
      </c>
      <c r="B354" s="19" t="str">
        <f t="shared" si="27"/>
        <v>C-Tesoreria</v>
      </c>
      <c r="C354" s="3" t="s">
        <v>1330</v>
      </c>
      <c r="D354" s="14">
        <v>45772</v>
      </c>
      <c r="E354" s="5" t="s">
        <v>1416</v>
      </c>
      <c r="F354" s="5" t="s">
        <v>1336</v>
      </c>
      <c r="G354" s="3" t="s">
        <v>5303</v>
      </c>
      <c r="H354" s="6"/>
      <c r="I354" s="6"/>
      <c r="J354" s="6"/>
      <c r="K354" s="6"/>
      <c r="L354" s="7" t="s">
        <v>5850</v>
      </c>
      <c r="M354" s="8" t="str">
        <f>IF(Caja_Arequipa[[#This Row],[tipo_r]]="R","001-"&amp;12002+A354,M353)</f>
        <v>001-12328</v>
      </c>
      <c r="N354" s="8" t="str">
        <f t="shared" si="30"/>
        <v>PEN</v>
      </c>
      <c r="O354" s="13"/>
      <c r="P354" s="13">
        <v>39</v>
      </c>
      <c r="Q354" s="3">
        <f t="shared" si="28"/>
        <v>0</v>
      </c>
      <c r="R354" s="3">
        <f t="shared" si="29"/>
        <v>39</v>
      </c>
      <c r="S354" s="3">
        <f t="shared" si="26"/>
        <v>3610.4999999999995</v>
      </c>
      <c r="T354" s="24" t="s">
        <v>1334</v>
      </c>
      <c r="U354" s="24" t="s">
        <v>1334</v>
      </c>
      <c r="V354" s="3"/>
      <c r="W354" s="25" t="str">
        <f>IFERROR(VLOOKUP(Caja_Arequipa[[#This Row],[destinatario]],CHOOSE({1,2},Clientes_Proveedores[Razon Social],Clientes_Proveedores[Ruc / Dni]),2,0),"")</f>
        <v/>
      </c>
      <c r="X354" s="3" t="s">
        <v>5851</v>
      </c>
      <c r="Y354" s="3"/>
      <c r="Z354" s="3"/>
      <c r="AA354" s="3"/>
      <c r="AB354" s="3" t="str">
        <f>IF(Caja_Arequipa[[#This Row],[fecha]]&gt;0,TEXT(Caja_Arequipa[[#This Row],[fecha]],"mmmm"),0)</f>
        <v>Abril</v>
      </c>
    </row>
    <row r="355" spans="1:28" ht="24" x14ac:dyDescent="0.3">
      <c r="A355" s="2">
        <f>IF(Caja_Arequipa[[#This Row],[tipo_r]]="R",COUNTIFS($C$1:$C354,"R")+1,A354)</f>
        <v>327</v>
      </c>
      <c r="B355" s="19" t="str">
        <f t="shared" si="27"/>
        <v>C-Tesoreria</v>
      </c>
      <c r="C355" s="3" t="s">
        <v>1330</v>
      </c>
      <c r="D355" s="14">
        <v>45772</v>
      </c>
      <c r="E355" s="5" t="s">
        <v>1416</v>
      </c>
      <c r="F355" s="5" t="s">
        <v>1336</v>
      </c>
      <c r="G355" s="3" t="s">
        <v>5248</v>
      </c>
      <c r="H355" s="6"/>
      <c r="I355" s="6"/>
      <c r="J355" s="6"/>
      <c r="K355" s="6"/>
      <c r="L355" s="7" t="s">
        <v>5852</v>
      </c>
      <c r="M355" s="8" t="str">
        <f>IF(Caja_Arequipa[[#This Row],[tipo_r]]="R","001-"&amp;12002+A355,M354)</f>
        <v>001-12329</v>
      </c>
      <c r="N355" s="8" t="str">
        <f t="shared" si="30"/>
        <v>PEN</v>
      </c>
      <c r="O355" s="13"/>
      <c r="P355" s="13">
        <v>34</v>
      </c>
      <c r="Q355" s="3">
        <f t="shared" si="28"/>
        <v>0</v>
      </c>
      <c r="R355" s="3">
        <f t="shared" si="29"/>
        <v>34</v>
      </c>
      <c r="S355" s="3">
        <f t="shared" si="26"/>
        <v>3576.4999999999995</v>
      </c>
      <c r="T355" s="24" t="s">
        <v>1334</v>
      </c>
      <c r="U355" s="24" t="s">
        <v>1334</v>
      </c>
      <c r="V355" s="3"/>
      <c r="W355" s="25" t="str">
        <f>IFERROR(VLOOKUP(Caja_Arequipa[[#This Row],[destinatario]],CHOOSE({1,2},Clientes_Proveedores[Razon Social],Clientes_Proveedores[Ruc / Dni]),2,0),"")</f>
        <v/>
      </c>
      <c r="X355" s="3" t="s">
        <v>5853</v>
      </c>
      <c r="Y355" s="3"/>
      <c r="Z355" s="3"/>
      <c r="AA355" s="3"/>
      <c r="AB355" s="3" t="str">
        <f>IF(Caja_Arequipa[[#This Row],[fecha]]&gt;0,TEXT(Caja_Arequipa[[#This Row],[fecha]],"mmmm"),0)</f>
        <v>Abril</v>
      </c>
    </row>
    <row r="356" spans="1:28" x14ac:dyDescent="0.3">
      <c r="A356" s="2">
        <f>IF(Caja_Arequipa[[#This Row],[tipo_r]]="R",COUNTIFS($C$1:$C355,"R")+1,A355)</f>
        <v>328</v>
      </c>
      <c r="B356" s="19" t="str">
        <f t="shared" si="27"/>
        <v>C-Tesoreria</v>
      </c>
      <c r="C356" s="3" t="s">
        <v>1330</v>
      </c>
      <c r="D356" s="14">
        <v>45775</v>
      </c>
      <c r="E356" s="5" t="s">
        <v>1416</v>
      </c>
      <c r="F356" s="5" t="s">
        <v>1336</v>
      </c>
      <c r="G356" s="3" t="s">
        <v>5259</v>
      </c>
      <c r="H356" s="6"/>
      <c r="I356" s="6" t="s">
        <v>111</v>
      </c>
      <c r="J356" s="6">
        <v>3</v>
      </c>
      <c r="K356" s="6">
        <v>139</v>
      </c>
      <c r="L356" s="7" t="s">
        <v>5854</v>
      </c>
      <c r="M356" s="8" t="str">
        <f>IF(Caja_Arequipa[[#This Row],[tipo_r]]="R","001-"&amp;12002+A356,M355)</f>
        <v>001-12330</v>
      </c>
      <c r="N356" s="8" t="str">
        <f t="shared" si="30"/>
        <v>PEN</v>
      </c>
      <c r="O356" s="13"/>
      <c r="P356" s="13">
        <v>36</v>
      </c>
      <c r="Q356" s="3">
        <f t="shared" si="28"/>
        <v>0</v>
      </c>
      <c r="R356" s="3">
        <f t="shared" si="29"/>
        <v>36</v>
      </c>
      <c r="S356" s="3">
        <f t="shared" si="26"/>
        <v>3540.4999999999995</v>
      </c>
      <c r="T356" s="24" t="s">
        <v>1334</v>
      </c>
      <c r="U356" s="24" t="s">
        <v>1334</v>
      </c>
      <c r="V356" s="3"/>
      <c r="W356" s="25" t="str">
        <f>IFERROR(VLOOKUP(Caja_Arequipa[[#This Row],[destinatario]],CHOOSE({1,2},Clientes_Proveedores[Razon Social],Clientes_Proveedores[Ruc / Dni]),2,0),"")</f>
        <v/>
      </c>
      <c r="X356" s="3" t="s">
        <v>5855</v>
      </c>
      <c r="Y356" s="3"/>
      <c r="Z356" s="3"/>
      <c r="AA356" s="3"/>
      <c r="AB356" s="3" t="str">
        <f>IF(Caja_Arequipa[[#This Row],[fecha]]&gt;0,TEXT(Caja_Arequipa[[#This Row],[fecha]],"mmmm"),0)</f>
        <v>Abril</v>
      </c>
    </row>
    <row r="357" spans="1:28" x14ac:dyDescent="0.3">
      <c r="A357" s="2">
        <f>IF(Caja_Arequipa[[#This Row],[tipo_r]]="R",COUNTIFS($C$1:$C356,"R")+1,A356)</f>
        <v>329</v>
      </c>
      <c r="B357" s="19" t="str">
        <f t="shared" si="27"/>
        <v>C-Tesoreria</v>
      </c>
      <c r="C357" s="3" t="s">
        <v>1330</v>
      </c>
      <c r="D357" s="14">
        <v>45775</v>
      </c>
      <c r="E357" s="5" t="s">
        <v>1416</v>
      </c>
      <c r="F357" s="5" t="s">
        <v>1336</v>
      </c>
      <c r="G357" s="3" t="s">
        <v>5259</v>
      </c>
      <c r="H357" s="6"/>
      <c r="I357" s="6" t="s">
        <v>111</v>
      </c>
      <c r="J357" s="6">
        <v>3</v>
      </c>
      <c r="K357" s="6">
        <v>140</v>
      </c>
      <c r="L357" s="7" t="s">
        <v>5796</v>
      </c>
      <c r="M357" s="8" t="str">
        <f>IF(Caja_Arequipa[[#This Row],[tipo_r]]="R","001-"&amp;12002+A357,M356)</f>
        <v>001-12331</v>
      </c>
      <c r="N357" s="8" t="str">
        <f t="shared" si="30"/>
        <v>PEN</v>
      </c>
      <c r="O357" s="13"/>
      <c r="P357" s="13">
        <v>12.5</v>
      </c>
      <c r="Q357" s="3">
        <f t="shared" si="28"/>
        <v>0</v>
      </c>
      <c r="R357" s="3">
        <f t="shared" si="29"/>
        <v>12.5</v>
      </c>
      <c r="S357" s="3">
        <f t="shared" si="26"/>
        <v>3527.9999999999995</v>
      </c>
      <c r="T357" s="24" t="s">
        <v>1334</v>
      </c>
      <c r="U357" s="24" t="s">
        <v>1334</v>
      </c>
      <c r="V357" s="3"/>
      <c r="W357" s="25" t="str">
        <f>IFERROR(VLOOKUP(Caja_Arequipa[[#This Row],[destinatario]],CHOOSE({1,2},Clientes_Proveedores[Razon Social],Clientes_Proveedores[Ruc / Dni]),2,0),"")</f>
        <v/>
      </c>
      <c r="X357" s="3" t="s">
        <v>5856</v>
      </c>
      <c r="Y357" s="3"/>
      <c r="Z357" s="3"/>
      <c r="AA357" s="3"/>
      <c r="AB357" s="3" t="str">
        <f>IF(Caja_Arequipa[[#This Row],[fecha]]&gt;0,TEXT(Caja_Arequipa[[#This Row],[fecha]],"mmmm"),0)</f>
        <v>Abril</v>
      </c>
    </row>
    <row r="358" spans="1:28" x14ac:dyDescent="0.3">
      <c r="A358" s="2">
        <f>IF(Caja_Arequipa[[#This Row],[tipo_r]]="R",COUNTIFS($C$1:$C357,"R")+1,A357)</f>
        <v>330</v>
      </c>
      <c r="B358" s="19" t="str">
        <f t="shared" si="27"/>
        <v>C-Tesoreria</v>
      </c>
      <c r="C358" s="3" t="s">
        <v>1330</v>
      </c>
      <c r="D358" s="14">
        <v>45775</v>
      </c>
      <c r="E358" s="5" t="s">
        <v>1416</v>
      </c>
      <c r="F358" s="5" t="s">
        <v>1336</v>
      </c>
      <c r="G358" s="3" t="s">
        <v>5259</v>
      </c>
      <c r="H358" s="6"/>
      <c r="I358" s="6" t="s">
        <v>111</v>
      </c>
      <c r="J358" s="6">
        <v>3</v>
      </c>
      <c r="K358" s="6">
        <v>141</v>
      </c>
      <c r="L358" s="7" t="s">
        <v>5857</v>
      </c>
      <c r="M358" s="8" t="str">
        <f>IF(Caja_Arequipa[[#This Row],[tipo_r]]="R","001-"&amp;12002+A358,M357)</f>
        <v>001-12332</v>
      </c>
      <c r="N358" s="8" t="str">
        <f t="shared" si="30"/>
        <v>PEN</v>
      </c>
      <c r="O358" s="13"/>
      <c r="P358" s="13">
        <v>12</v>
      </c>
      <c r="Q358" s="3">
        <f t="shared" si="28"/>
        <v>0</v>
      </c>
      <c r="R358" s="3">
        <f t="shared" si="29"/>
        <v>12</v>
      </c>
      <c r="S358" s="3">
        <f t="shared" si="26"/>
        <v>3515.9999999999995</v>
      </c>
      <c r="T358" s="24" t="s">
        <v>1334</v>
      </c>
      <c r="U358" s="24" t="s">
        <v>1334</v>
      </c>
      <c r="V358" s="3"/>
      <c r="W358" s="25" t="str">
        <f>IFERROR(VLOOKUP(Caja_Arequipa[[#This Row],[destinatario]],CHOOSE({1,2},Clientes_Proveedores[Razon Social],Clientes_Proveedores[Ruc / Dni]),2,0),"")</f>
        <v/>
      </c>
      <c r="X358" s="3" t="s">
        <v>5858</v>
      </c>
      <c r="Y358" s="3"/>
      <c r="Z358" s="3"/>
      <c r="AA358" s="3"/>
      <c r="AB358" s="3" t="str">
        <f>IF(Caja_Arequipa[[#This Row],[fecha]]&gt;0,TEXT(Caja_Arequipa[[#This Row],[fecha]],"mmmm"),0)</f>
        <v>Abril</v>
      </c>
    </row>
    <row r="359" spans="1:28" x14ac:dyDescent="0.3">
      <c r="A359" s="2">
        <f>IF(Caja_Arequipa[[#This Row],[tipo_r]]="R",COUNTIFS($C$1:$C358,"R")+1,A358)</f>
        <v>331</v>
      </c>
      <c r="B359" s="19" t="str">
        <f t="shared" si="27"/>
        <v>C-Tesoreria</v>
      </c>
      <c r="C359" s="3" t="s">
        <v>1330</v>
      </c>
      <c r="D359" s="14">
        <v>45775</v>
      </c>
      <c r="E359" s="5" t="s">
        <v>1416</v>
      </c>
      <c r="F359" s="5" t="s">
        <v>1336</v>
      </c>
      <c r="G359" s="3" t="s">
        <v>5259</v>
      </c>
      <c r="H359" s="6"/>
      <c r="I359" s="6" t="s">
        <v>111</v>
      </c>
      <c r="J359" s="6">
        <v>3</v>
      </c>
      <c r="K359" s="6">
        <v>142</v>
      </c>
      <c r="L359" s="7" t="s">
        <v>5859</v>
      </c>
      <c r="M359" s="8" t="str">
        <f>IF(Caja_Arequipa[[#This Row],[tipo_r]]="R","001-"&amp;12002+A359,M358)</f>
        <v>001-12333</v>
      </c>
      <c r="N359" s="8" t="str">
        <f t="shared" si="30"/>
        <v>PEN</v>
      </c>
      <c r="O359" s="13"/>
      <c r="P359" s="13">
        <v>118</v>
      </c>
      <c r="Q359" s="3">
        <f t="shared" si="28"/>
        <v>0</v>
      </c>
      <c r="R359" s="3">
        <f t="shared" si="29"/>
        <v>118</v>
      </c>
      <c r="S359" s="3">
        <f t="shared" si="26"/>
        <v>3397.9999999999995</v>
      </c>
      <c r="T359" s="24" t="s">
        <v>1334</v>
      </c>
      <c r="U359" s="24" t="s">
        <v>1334</v>
      </c>
      <c r="V359" s="3"/>
      <c r="W359" s="25" t="str">
        <f>IFERROR(VLOOKUP(Caja_Arequipa[[#This Row],[destinatario]],CHOOSE({1,2},Clientes_Proveedores[Razon Social],Clientes_Proveedores[Ruc / Dni]),2,0),"")</f>
        <v/>
      </c>
      <c r="X359" s="3" t="s">
        <v>5860</v>
      </c>
      <c r="Y359" s="3"/>
      <c r="Z359" s="3"/>
      <c r="AA359" s="3"/>
      <c r="AB359" s="3" t="str">
        <f>IF(Caja_Arequipa[[#This Row],[fecha]]&gt;0,TEXT(Caja_Arequipa[[#This Row],[fecha]],"mmmm"),0)</f>
        <v>Abril</v>
      </c>
    </row>
    <row r="360" spans="1:28" x14ac:dyDescent="0.3">
      <c r="A360" s="2">
        <f>IF(Caja_Arequipa[[#This Row],[tipo_r]]="R",COUNTIFS($C$1:$C359,"R")+1,A359)</f>
        <v>332</v>
      </c>
      <c r="B360" s="19" t="str">
        <f t="shared" si="27"/>
        <v>C-Tesoreria</v>
      </c>
      <c r="C360" s="3" t="s">
        <v>1330</v>
      </c>
      <c r="D360" s="14">
        <v>45775</v>
      </c>
      <c r="E360" s="5" t="s">
        <v>1416</v>
      </c>
      <c r="F360" s="5" t="s">
        <v>1336</v>
      </c>
      <c r="G360" s="3" t="s">
        <v>5259</v>
      </c>
      <c r="H360" s="6"/>
      <c r="I360" s="6" t="s">
        <v>111</v>
      </c>
      <c r="J360" s="6">
        <v>3</v>
      </c>
      <c r="K360" s="6">
        <v>143</v>
      </c>
      <c r="L360" s="7" t="s">
        <v>5859</v>
      </c>
      <c r="M360" s="8" t="str">
        <f>IF(Caja_Arequipa[[#This Row],[tipo_r]]="R","001-"&amp;12002+A360,M359)</f>
        <v>001-12334</v>
      </c>
      <c r="N360" s="8" t="str">
        <f t="shared" si="30"/>
        <v>PEN</v>
      </c>
      <c r="O360" s="13"/>
      <c r="P360" s="13">
        <v>30</v>
      </c>
      <c r="Q360" s="3">
        <f t="shared" si="28"/>
        <v>0</v>
      </c>
      <c r="R360" s="3">
        <f t="shared" si="29"/>
        <v>30</v>
      </c>
      <c r="S360" s="3">
        <f t="shared" si="26"/>
        <v>3367.9999999999995</v>
      </c>
      <c r="T360" s="24" t="s">
        <v>1334</v>
      </c>
      <c r="U360" s="24" t="s">
        <v>1334</v>
      </c>
      <c r="V360" s="3"/>
      <c r="W360" s="25" t="str">
        <f>IFERROR(VLOOKUP(Caja_Arequipa[[#This Row],[destinatario]],CHOOSE({1,2},Clientes_Proveedores[Razon Social],Clientes_Proveedores[Ruc / Dni]),2,0),"")</f>
        <v/>
      </c>
      <c r="X360" s="3" t="s">
        <v>5861</v>
      </c>
      <c r="Y360" s="3"/>
      <c r="Z360" s="3"/>
      <c r="AA360" s="3"/>
      <c r="AB360" s="3" t="str">
        <f>IF(Caja_Arequipa[[#This Row],[fecha]]&gt;0,TEXT(Caja_Arequipa[[#This Row],[fecha]],"mmmm"),0)</f>
        <v>Abril</v>
      </c>
    </row>
    <row r="361" spans="1:28" x14ac:dyDescent="0.3">
      <c r="A361" s="2">
        <f>IF(Caja_Arequipa[[#This Row],[tipo_r]]="R",COUNTIFS($C$1:$C360,"R")+1,A360)</f>
        <v>333</v>
      </c>
      <c r="B361" s="19" t="str">
        <f t="shared" si="27"/>
        <v>C-Tesoreria</v>
      </c>
      <c r="C361" s="3" t="s">
        <v>1330</v>
      </c>
      <c r="D361" s="14">
        <v>45775</v>
      </c>
      <c r="E361" s="5" t="s">
        <v>1416</v>
      </c>
      <c r="F361" s="5" t="s">
        <v>1336</v>
      </c>
      <c r="G361" s="3" t="s">
        <v>5259</v>
      </c>
      <c r="H361" s="6"/>
      <c r="I361" s="6" t="s">
        <v>111</v>
      </c>
      <c r="J361" s="6">
        <v>3</v>
      </c>
      <c r="K361" s="6">
        <v>144</v>
      </c>
      <c r="L361" s="7" t="s">
        <v>5822</v>
      </c>
      <c r="M361" s="8" t="str">
        <f>IF(Caja_Arequipa[[#This Row],[tipo_r]]="R","001-"&amp;12002+A361,M360)</f>
        <v>001-12335</v>
      </c>
      <c r="N361" s="8" t="str">
        <f t="shared" si="30"/>
        <v>PEN</v>
      </c>
      <c r="O361" s="13"/>
      <c r="P361" s="13">
        <v>66</v>
      </c>
      <c r="Q361" s="3">
        <f t="shared" si="28"/>
        <v>0</v>
      </c>
      <c r="R361" s="3">
        <f t="shared" si="29"/>
        <v>66</v>
      </c>
      <c r="S361" s="3">
        <f t="shared" si="26"/>
        <v>3301.9999999999995</v>
      </c>
      <c r="T361" s="24" t="s">
        <v>1334</v>
      </c>
      <c r="U361" s="24" t="s">
        <v>1334</v>
      </c>
      <c r="V361" s="3"/>
      <c r="W361" s="25" t="str">
        <f>IFERROR(VLOOKUP(Caja_Arequipa[[#This Row],[destinatario]],CHOOSE({1,2},Clientes_Proveedores[Razon Social],Clientes_Proveedores[Ruc / Dni]),2,0),"")</f>
        <v/>
      </c>
      <c r="X361" s="3" t="s">
        <v>5862</v>
      </c>
      <c r="Y361" s="3"/>
      <c r="Z361" s="3"/>
      <c r="AA361" s="3"/>
      <c r="AB361" s="3" t="str">
        <f>IF(Caja_Arequipa[[#This Row],[fecha]]&gt;0,TEXT(Caja_Arequipa[[#This Row],[fecha]],"mmmm"),0)</f>
        <v>Abril</v>
      </c>
    </row>
    <row r="362" spans="1:28" ht="24" x14ac:dyDescent="0.3">
      <c r="A362" s="2">
        <f>IF(Caja_Arequipa[[#This Row],[tipo_r]]="R",COUNTIFS($C$1:$C361,"R")+1,A361)</f>
        <v>334</v>
      </c>
      <c r="B362" s="19" t="str">
        <f t="shared" si="27"/>
        <v>C-Tesoreria</v>
      </c>
      <c r="C362" s="3" t="s">
        <v>1330</v>
      </c>
      <c r="D362" s="14">
        <v>45776</v>
      </c>
      <c r="E362" s="5" t="s">
        <v>1416</v>
      </c>
      <c r="F362" s="5" t="s">
        <v>1336</v>
      </c>
      <c r="G362" s="3" t="s">
        <v>5280</v>
      </c>
      <c r="H362" s="6"/>
      <c r="I362" s="6"/>
      <c r="J362" s="6"/>
      <c r="K362" s="6"/>
      <c r="L362" s="7" t="s">
        <v>5863</v>
      </c>
      <c r="M362" s="8" t="str">
        <f>IF(Caja_Arequipa[[#This Row],[tipo_r]]="R","001-"&amp;12002+A362,M361)</f>
        <v>001-12336</v>
      </c>
      <c r="N362" s="8" t="str">
        <f t="shared" si="30"/>
        <v>PEN</v>
      </c>
      <c r="O362" s="13"/>
      <c r="P362" s="13">
        <v>37</v>
      </c>
      <c r="Q362" s="3">
        <f t="shared" si="28"/>
        <v>0</v>
      </c>
      <c r="R362" s="3">
        <f t="shared" si="29"/>
        <v>37</v>
      </c>
      <c r="S362" s="3">
        <f t="shared" si="26"/>
        <v>3264.9999999999995</v>
      </c>
      <c r="T362" s="24" t="s">
        <v>1334</v>
      </c>
      <c r="U362" s="24" t="s">
        <v>1334</v>
      </c>
      <c r="V362" s="3"/>
      <c r="W362" s="25" t="str">
        <f>IFERROR(VLOOKUP(Caja_Arequipa[[#This Row],[destinatario]],CHOOSE({1,2},Clientes_Proveedores[Razon Social],Clientes_Proveedores[Ruc / Dni]),2,0),"")</f>
        <v/>
      </c>
      <c r="X362" s="3" t="s">
        <v>5864</v>
      </c>
      <c r="Y362" s="3"/>
      <c r="Z362" s="3"/>
      <c r="AA362" s="3"/>
      <c r="AB362" s="3" t="str">
        <f>IF(Caja_Arequipa[[#This Row],[fecha]]&gt;0,TEXT(Caja_Arequipa[[#This Row],[fecha]],"mmmm"),0)</f>
        <v>Abril</v>
      </c>
    </row>
    <row r="363" spans="1:28" ht="24" x14ac:dyDescent="0.3">
      <c r="A363" s="2">
        <f>IF(Caja_Arequipa[[#This Row],[tipo_r]]="R",COUNTIFS($C$1:$C362,"R")+1,A362)</f>
        <v>334</v>
      </c>
      <c r="B363" s="19" t="str">
        <f>"C-Tesoreria"</f>
        <v>C-Tesoreria</v>
      </c>
      <c r="C363" s="3" t="s">
        <v>1352</v>
      </c>
      <c r="D363" s="14">
        <v>45776</v>
      </c>
      <c r="E363" s="5" t="s">
        <v>1416</v>
      </c>
      <c r="F363" s="5" t="s">
        <v>1336</v>
      </c>
      <c r="G363" s="3" t="s">
        <v>5280</v>
      </c>
      <c r="H363" s="6" t="s">
        <v>683</v>
      </c>
      <c r="I363" s="6" t="s">
        <v>68</v>
      </c>
      <c r="J363" s="6" t="s">
        <v>5627</v>
      </c>
      <c r="K363" s="6">
        <v>278981</v>
      </c>
      <c r="L363" s="7" t="s">
        <v>5863</v>
      </c>
      <c r="M363" s="8" t="str">
        <f>IF(Caja_Arequipa[[#This Row],[tipo_r]]="R","001-"&amp;12002+A363,M362)</f>
        <v>001-12336</v>
      </c>
      <c r="N363" s="8" t="str">
        <f>"PEN"</f>
        <v>PEN</v>
      </c>
      <c r="O363" s="13">
        <v>15</v>
      </c>
      <c r="P363" s="13"/>
      <c r="Q363" s="3">
        <f>+IF(OR($F363="SALDO",$F363="INGRESO"),$P363,0)</f>
        <v>0</v>
      </c>
      <c r="R363" s="3">
        <f>+IF($F363="EGRESO",$P363,0)</f>
        <v>0</v>
      </c>
      <c r="S363" s="3">
        <f t="shared" si="26"/>
        <v>3264.9999999999995</v>
      </c>
      <c r="T363" s="24"/>
      <c r="U363" s="24"/>
      <c r="V363" s="3"/>
      <c r="W363" s="25">
        <f>IFERROR(VLOOKUP(Caja_Arequipa[[#This Row],[destinatario]],CHOOSE({1,2},Clientes_Proveedores[Razon Social],Clientes_Proveedores[Ruc / Dni]),2,0),"")</f>
        <v>20512528458</v>
      </c>
      <c r="X363" s="3"/>
      <c r="Y363" s="3"/>
      <c r="Z363" s="3"/>
      <c r="AA363" s="3"/>
      <c r="AB363" s="3" t="str">
        <f>IF(Caja_Arequipa[[#This Row],[fecha]]&gt;0,TEXT(Caja_Arequipa[[#This Row],[fecha]],"mmmm"),0)</f>
        <v>Abril</v>
      </c>
    </row>
    <row r="364" spans="1:28" x14ac:dyDescent="0.3">
      <c r="A364" s="2">
        <f>IF(Caja_Arequipa[[#This Row],[tipo_r]]="R",COUNTIFS($C$1:$C363,"R")+1,A363)</f>
        <v>334</v>
      </c>
      <c r="B364" s="19" t="str">
        <f>"C-Tesoreria"</f>
        <v>C-Tesoreria</v>
      </c>
      <c r="C364" s="3" t="s">
        <v>1352</v>
      </c>
      <c r="D364" s="14">
        <v>45776</v>
      </c>
      <c r="E364" s="5" t="s">
        <v>1416</v>
      </c>
      <c r="F364" s="5" t="s">
        <v>1336</v>
      </c>
      <c r="G364" s="3" t="s">
        <v>5280</v>
      </c>
      <c r="H364" s="6"/>
      <c r="I364" s="6" t="s">
        <v>111</v>
      </c>
      <c r="J364" s="6">
        <v>3</v>
      </c>
      <c r="K364" s="6">
        <v>137</v>
      </c>
      <c r="L364" s="7" t="s">
        <v>5863</v>
      </c>
      <c r="M364" s="8" t="str">
        <f>IF(Caja_Arequipa[[#This Row],[tipo_r]]="R","001-"&amp;12002+A364,M363)</f>
        <v>001-12336</v>
      </c>
      <c r="N364" s="8" t="str">
        <f>"PEN"</f>
        <v>PEN</v>
      </c>
      <c r="O364" s="13">
        <v>22</v>
      </c>
      <c r="P364" s="13"/>
      <c r="Q364" s="3">
        <f>+IF(OR($F364="SALDO",$F364="INGRESO"),$P364,0)</f>
        <v>0</v>
      </c>
      <c r="R364" s="3">
        <f>+IF($F364="EGRESO",$P364,0)</f>
        <v>0</v>
      </c>
      <c r="S364" s="3">
        <f t="shared" si="26"/>
        <v>3264.9999999999995</v>
      </c>
      <c r="T364" s="24"/>
      <c r="U364" s="24"/>
      <c r="V364" s="3"/>
      <c r="W364" s="25" t="str">
        <f>IFERROR(VLOOKUP(Caja_Arequipa[[#This Row],[destinatario]],CHOOSE({1,2},Clientes_Proveedores[Razon Social],Clientes_Proveedores[Ruc / Dni]),2,0),"")</f>
        <v/>
      </c>
      <c r="X364" s="3"/>
      <c r="Y364" s="3"/>
      <c r="Z364" s="3"/>
      <c r="AA364" s="3"/>
      <c r="AB364" s="3" t="str">
        <f>IF(Caja_Arequipa[[#This Row],[fecha]]&gt;0,TEXT(Caja_Arequipa[[#This Row],[fecha]],"mmmm"),0)</f>
        <v>Abril</v>
      </c>
    </row>
    <row r="365" spans="1:28" ht="24" x14ac:dyDescent="0.3">
      <c r="A365" s="2">
        <f>IF(Caja_Arequipa[[#This Row],[tipo_r]]="R",COUNTIFS($C$1:$C364,"R")+1,A364)</f>
        <v>335</v>
      </c>
      <c r="B365" s="19" t="str">
        <f t="shared" si="27"/>
        <v>C-Tesoreria</v>
      </c>
      <c r="C365" s="3" t="s">
        <v>1330</v>
      </c>
      <c r="D365" s="14">
        <v>45776</v>
      </c>
      <c r="E365" s="5" t="s">
        <v>1416</v>
      </c>
      <c r="F365" s="5" t="s">
        <v>1336</v>
      </c>
      <c r="G365" s="3" t="s">
        <v>5248</v>
      </c>
      <c r="H365" s="6"/>
      <c r="I365" s="6" t="s">
        <v>130</v>
      </c>
      <c r="J365" s="6">
        <v>1</v>
      </c>
      <c r="K365" s="6">
        <v>124</v>
      </c>
      <c r="L365" s="7" t="s">
        <v>5865</v>
      </c>
      <c r="M365" s="8" t="str">
        <f>IF(Caja_Arequipa[[#This Row],[tipo_r]]="R","001-"&amp;12002+A365,M364)</f>
        <v>001-12337</v>
      </c>
      <c r="N365" s="8" t="str">
        <f t="shared" si="30"/>
        <v>PEN</v>
      </c>
      <c r="O365" s="13"/>
      <c r="P365" s="13">
        <v>70</v>
      </c>
      <c r="Q365" s="3">
        <f t="shared" si="28"/>
        <v>0</v>
      </c>
      <c r="R365" s="3">
        <f t="shared" si="29"/>
        <v>70</v>
      </c>
      <c r="S365" s="3">
        <f t="shared" si="26"/>
        <v>3194.9999999999995</v>
      </c>
      <c r="T365" s="24"/>
      <c r="U365" s="24"/>
      <c r="V365" s="3"/>
      <c r="W365" s="25" t="str">
        <f>IFERROR(VLOOKUP(Caja_Arequipa[[#This Row],[destinatario]],CHOOSE({1,2},Clientes_Proveedores[Razon Social],Clientes_Proveedores[Ruc / Dni]),2,0),"")</f>
        <v/>
      </c>
      <c r="X365" s="3" t="s">
        <v>5866</v>
      </c>
      <c r="Y365" s="3"/>
      <c r="Z365" s="3"/>
      <c r="AA365" s="3"/>
      <c r="AB365" s="3" t="str">
        <f>IF(Caja_Arequipa[[#This Row],[fecha]]&gt;0,TEXT(Caja_Arequipa[[#This Row],[fecha]],"mmmm"),0)</f>
        <v>Abril</v>
      </c>
    </row>
    <row r="366" spans="1:28" x14ac:dyDescent="0.3">
      <c r="A366" s="2">
        <f>IF(Caja_Arequipa[[#This Row],[tipo_r]]="R",COUNTIFS($C$1:$C365,"R")+1,A365)</f>
        <v>336</v>
      </c>
      <c r="B366" s="19" t="str">
        <f t="shared" si="27"/>
        <v>C-Tesoreria</v>
      </c>
      <c r="C366" s="3" t="s">
        <v>1330</v>
      </c>
      <c r="D366" s="14">
        <v>45776</v>
      </c>
      <c r="E366" s="5" t="s">
        <v>1416</v>
      </c>
      <c r="F366" s="5" t="s">
        <v>1336</v>
      </c>
      <c r="G366" s="3" t="s">
        <v>5811</v>
      </c>
      <c r="H366" s="6"/>
      <c r="I366" s="6" t="s">
        <v>111</v>
      </c>
      <c r="J366" s="6">
        <v>3</v>
      </c>
      <c r="K366" s="6">
        <v>138</v>
      </c>
      <c r="L366" s="7" t="s">
        <v>5867</v>
      </c>
      <c r="M366" s="8" t="str">
        <f>IF(Caja_Arequipa[[#This Row],[tipo_r]]="R","001-"&amp;12002+A366,M365)</f>
        <v>001-12338</v>
      </c>
      <c r="N366" s="8" t="str">
        <f t="shared" si="30"/>
        <v>PEN</v>
      </c>
      <c r="O366" s="13"/>
      <c r="P366" s="13">
        <v>40</v>
      </c>
      <c r="Q366" s="3">
        <f t="shared" si="28"/>
        <v>0</v>
      </c>
      <c r="R366" s="3">
        <f t="shared" si="29"/>
        <v>40</v>
      </c>
      <c r="S366" s="3">
        <f t="shared" si="26"/>
        <v>3154.9999999999995</v>
      </c>
      <c r="T366" s="24" t="s">
        <v>1334</v>
      </c>
      <c r="U366" s="24" t="s">
        <v>1334</v>
      </c>
      <c r="V366" s="3"/>
      <c r="W366" s="25" t="str">
        <f>IFERROR(VLOOKUP(Caja_Arequipa[[#This Row],[destinatario]],CHOOSE({1,2},Clientes_Proveedores[Razon Social],Clientes_Proveedores[Ruc / Dni]),2,0),"")</f>
        <v/>
      </c>
      <c r="X366" s="3" t="s">
        <v>5868</v>
      </c>
      <c r="Y366" s="3"/>
      <c r="Z366" s="3"/>
      <c r="AA366" s="3"/>
      <c r="AB366" s="3" t="str">
        <f>IF(Caja_Arequipa[[#This Row],[fecha]]&gt;0,TEXT(Caja_Arequipa[[#This Row],[fecha]],"mmmm"),0)</f>
        <v>Abril</v>
      </c>
    </row>
    <row r="367" spans="1:28" ht="24" x14ac:dyDescent="0.3">
      <c r="A367" s="2">
        <f>IF(Caja_Arequipa[[#This Row],[tipo_r]]="R",COUNTIFS($C$1:$C366,"R")+1,A366)</f>
        <v>337</v>
      </c>
      <c r="B367" s="19" t="str">
        <f t="shared" si="27"/>
        <v>C-Tesoreria</v>
      </c>
      <c r="C367" s="3" t="s">
        <v>1330</v>
      </c>
      <c r="D367" s="14">
        <v>45776</v>
      </c>
      <c r="E367" s="5" t="s">
        <v>1416</v>
      </c>
      <c r="F367" s="5" t="s">
        <v>1336</v>
      </c>
      <c r="G367" s="3" t="s">
        <v>5450</v>
      </c>
      <c r="H367" s="6"/>
      <c r="I367" s="6"/>
      <c r="J367" s="6"/>
      <c r="K367" s="6"/>
      <c r="L367" s="7" t="s">
        <v>5869</v>
      </c>
      <c r="M367" s="8" t="str">
        <f>IF(Caja_Arequipa[[#This Row],[tipo_r]]="R","001-"&amp;12002+A367,M366)</f>
        <v>001-12339</v>
      </c>
      <c r="N367" s="8" t="str">
        <f t="shared" si="30"/>
        <v>PEN</v>
      </c>
      <c r="O367" s="13"/>
      <c r="P367" s="13">
        <v>20</v>
      </c>
      <c r="Q367" s="3">
        <f t="shared" si="28"/>
        <v>0</v>
      </c>
      <c r="R367" s="3">
        <f t="shared" si="29"/>
        <v>20</v>
      </c>
      <c r="S367" s="3">
        <f t="shared" si="26"/>
        <v>3134.9999999999995</v>
      </c>
      <c r="T367" s="24" t="s">
        <v>1334</v>
      </c>
      <c r="U367" s="24" t="s">
        <v>1334</v>
      </c>
      <c r="V367" s="3"/>
      <c r="W367" s="25" t="str">
        <f>IFERROR(VLOOKUP(Caja_Arequipa[[#This Row],[destinatario]],CHOOSE({1,2},Clientes_Proveedores[Razon Social],Clientes_Proveedores[Ruc / Dni]),2,0),"")</f>
        <v/>
      </c>
      <c r="X367" s="3" t="s">
        <v>5870</v>
      </c>
      <c r="Y367" s="3"/>
      <c r="Z367" s="3"/>
      <c r="AA367" s="3"/>
      <c r="AB367" s="3" t="str">
        <f>IF(Caja_Arequipa[[#This Row],[fecha]]&gt;0,TEXT(Caja_Arequipa[[#This Row],[fecha]],"mmmm"),0)</f>
        <v>Abril</v>
      </c>
    </row>
    <row r="368" spans="1:28" x14ac:dyDescent="0.3">
      <c r="A368" s="2">
        <f>IF(Caja_Arequipa[[#This Row],[tipo_r]]="R",COUNTIFS($C$1:$C367,"R")+1,A367)</f>
        <v>338</v>
      </c>
      <c r="B368" s="19" t="str">
        <f t="shared" si="27"/>
        <v>C-Tesoreria</v>
      </c>
      <c r="C368" s="3" t="s">
        <v>1330</v>
      </c>
      <c r="D368" s="14">
        <v>45776</v>
      </c>
      <c r="E368" s="5" t="s">
        <v>1416</v>
      </c>
      <c r="F368" s="5" t="s">
        <v>1336</v>
      </c>
      <c r="G368" s="3" t="s">
        <v>5811</v>
      </c>
      <c r="H368" s="6"/>
      <c r="I368" s="6"/>
      <c r="J368" s="6"/>
      <c r="K368" s="6"/>
      <c r="L368" s="7" t="s">
        <v>5871</v>
      </c>
      <c r="M368" s="8" t="str">
        <f>IF(Caja_Arequipa[[#This Row],[tipo_r]]="R","001-"&amp;12002+A368,M367)</f>
        <v>001-12340</v>
      </c>
      <c r="N368" s="8" t="str">
        <f t="shared" si="30"/>
        <v>PEN</v>
      </c>
      <c r="O368" s="13"/>
      <c r="P368" s="13">
        <v>7</v>
      </c>
      <c r="Q368" s="3">
        <f t="shared" si="28"/>
        <v>0</v>
      </c>
      <c r="R368" s="3">
        <f t="shared" si="29"/>
        <v>7</v>
      </c>
      <c r="S368" s="3">
        <f t="shared" si="26"/>
        <v>3127.9999999999995</v>
      </c>
      <c r="T368" s="24" t="s">
        <v>1334</v>
      </c>
      <c r="U368" s="24" t="s">
        <v>1334</v>
      </c>
      <c r="V368" s="3"/>
      <c r="W368" s="25" t="str">
        <f>IFERROR(VLOOKUP(Caja_Arequipa[[#This Row],[destinatario]],CHOOSE({1,2},Clientes_Proveedores[Razon Social],Clientes_Proveedores[Ruc / Dni]),2,0),"")</f>
        <v/>
      </c>
      <c r="X368" s="3" t="s">
        <v>5872</v>
      </c>
      <c r="Y368" s="3"/>
      <c r="Z368" s="3"/>
      <c r="AA368" s="3"/>
      <c r="AB368" s="3" t="str">
        <f>IF(Caja_Arequipa[[#This Row],[fecha]]&gt;0,TEXT(Caja_Arequipa[[#This Row],[fecha]],"mmmm"),0)</f>
        <v>Abril</v>
      </c>
    </row>
    <row r="369" spans="1:28" x14ac:dyDescent="0.3">
      <c r="A369" s="2">
        <f>IF(Caja_Arequipa[[#This Row],[tipo_r]]="R",COUNTIFS($C$1:$C368,"R")+1,A368)</f>
        <v>339</v>
      </c>
      <c r="B369" s="19" t="str">
        <f t="shared" si="27"/>
        <v>C-Tesoreria</v>
      </c>
      <c r="C369" s="3" t="s">
        <v>1330</v>
      </c>
      <c r="D369" s="14">
        <v>45777</v>
      </c>
      <c r="E369" s="5" t="s">
        <v>1416</v>
      </c>
      <c r="F369" s="5" t="s">
        <v>1336</v>
      </c>
      <c r="G369" s="3" t="s">
        <v>4788</v>
      </c>
      <c r="H369" s="6"/>
      <c r="I369" s="6"/>
      <c r="J369" s="6"/>
      <c r="K369" s="6"/>
      <c r="L369" s="7" t="s">
        <v>5873</v>
      </c>
      <c r="M369" s="8" t="str">
        <f>IF(Caja_Arequipa[[#This Row],[tipo_r]]="R","001-"&amp;12002+A369,M368)</f>
        <v>001-12341</v>
      </c>
      <c r="N369" s="8" t="str">
        <f t="shared" si="30"/>
        <v>PEN</v>
      </c>
      <c r="O369" s="13"/>
      <c r="P369" s="13">
        <v>26</v>
      </c>
      <c r="Q369" s="3">
        <f t="shared" si="28"/>
        <v>0</v>
      </c>
      <c r="R369" s="3">
        <f t="shared" si="29"/>
        <v>26</v>
      </c>
      <c r="S369" s="3">
        <f t="shared" si="26"/>
        <v>3101.9999999999995</v>
      </c>
      <c r="T369" s="24" t="s">
        <v>1334</v>
      </c>
      <c r="U369" s="24" t="s">
        <v>1334</v>
      </c>
      <c r="V369" s="3"/>
      <c r="W369" s="25" t="str">
        <f>IFERROR(VLOOKUP(Caja_Arequipa[[#This Row],[destinatario]],CHOOSE({1,2},Clientes_Proveedores[Razon Social],Clientes_Proveedores[Ruc / Dni]),2,0),"")</f>
        <v/>
      </c>
      <c r="X369" s="3" t="s">
        <v>5874</v>
      </c>
      <c r="Y369" s="3"/>
      <c r="Z369" s="3"/>
      <c r="AA369" s="3"/>
      <c r="AB369" s="3" t="str">
        <f>IF(Caja_Arequipa[[#This Row],[fecha]]&gt;0,TEXT(Caja_Arequipa[[#This Row],[fecha]],"mmmm"),0)</f>
        <v>Abril</v>
      </c>
    </row>
    <row r="370" spans="1:28" ht="24" x14ac:dyDescent="0.3">
      <c r="A370" s="2">
        <f>IF(Caja_Arequipa[[#This Row],[tipo_r]]="R",COUNTIFS($C$1:$C369,"R")+1,A369)</f>
        <v>340</v>
      </c>
      <c r="B370" s="19" t="str">
        <f t="shared" si="27"/>
        <v>C-Tesoreria</v>
      </c>
      <c r="C370" s="3" t="s">
        <v>1330</v>
      </c>
      <c r="D370" s="14">
        <v>45779</v>
      </c>
      <c r="E370" s="5" t="s">
        <v>1416</v>
      </c>
      <c r="F370" s="5" t="s">
        <v>1336</v>
      </c>
      <c r="G370" s="3" t="s">
        <v>5664</v>
      </c>
      <c r="H370" s="6"/>
      <c r="I370" s="6"/>
      <c r="J370" s="6"/>
      <c r="K370" s="6"/>
      <c r="L370" s="7" t="s">
        <v>5875</v>
      </c>
      <c r="M370" s="8" t="str">
        <f>IF(Caja_Arequipa[[#This Row],[tipo_r]]="R","001-"&amp;12002+A370,M369)</f>
        <v>001-12342</v>
      </c>
      <c r="N370" s="8" t="str">
        <f t="shared" si="30"/>
        <v>PEN</v>
      </c>
      <c r="O370" s="13"/>
      <c r="P370" s="13">
        <v>20</v>
      </c>
      <c r="Q370" s="3">
        <f t="shared" si="28"/>
        <v>0</v>
      </c>
      <c r="R370" s="3">
        <f t="shared" si="29"/>
        <v>20</v>
      </c>
      <c r="S370" s="3">
        <f t="shared" si="26"/>
        <v>3081.9999999999995</v>
      </c>
      <c r="T370" s="24" t="s">
        <v>1334</v>
      </c>
      <c r="U370" s="24" t="s">
        <v>1334</v>
      </c>
      <c r="V370" s="3"/>
      <c r="W370" s="25" t="str">
        <f>IFERROR(VLOOKUP(Caja_Arequipa[[#This Row],[destinatario]],CHOOSE({1,2},Clientes_Proveedores[Razon Social],Clientes_Proveedores[Ruc / Dni]),2,0),"")</f>
        <v/>
      </c>
      <c r="X370" s="3" t="s">
        <v>5876</v>
      </c>
      <c r="Y370" s="3"/>
      <c r="Z370" s="3"/>
      <c r="AA370" s="3"/>
      <c r="AB370" s="3" t="str">
        <f>IF(Caja_Arequipa[[#This Row],[fecha]]&gt;0,TEXT(Caja_Arequipa[[#This Row],[fecha]],"mmmm"),0)</f>
        <v>Mayo</v>
      </c>
    </row>
    <row r="371" spans="1:28" x14ac:dyDescent="0.3">
      <c r="A371" s="2">
        <f>IF(Caja_Arequipa[[#This Row],[tipo_r]]="R",COUNTIFS($C$1:$C370,"R")+1,A370)</f>
        <v>341</v>
      </c>
      <c r="B371" s="19" t="str">
        <f t="shared" si="27"/>
        <v>C-Tesoreria</v>
      </c>
      <c r="C371" s="3" t="s">
        <v>1330</v>
      </c>
      <c r="D371" s="14">
        <v>45779</v>
      </c>
      <c r="E371" s="5" t="s">
        <v>1416</v>
      </c>
      <c r="F371" s="5" t="s">
        <v>1336</v>
      </c>
      <c r="G371" s="3" t="s">
        <v>5664</v>
      </c>
      <c r="H371" s="6"/>
      <c r="I371" s="6" t="s">
        <v>111</v>
      </c>
      <c r="J371" s="6">
        <v>3</v>
      </c>
      <c r="K371" s="6">
        <v>148</v>
      </c>
      <c r="L371" s="7" t="s">
        <v>5877</v>
      </c>
      <c r="M371" s="8" t="str">
        <f>IF(Caja_Arequipa[[#This Row],[tipo_r]]="R","001-"&amp;12002+A371,M370)</f>
        <v>001-12343</v>
      </c>
      <c r="N371" s="8" t="str">
        <f t="shared" si="30"/>
        <v>PEN</v>
      </c>
      <c r="O371" s="13"/>
      <c r="P371" s="13">
        <v>32</v>
      </c>
      <c r="Q371" s="3">
        <f t="shared" si="28"/>
        <v>0</v>
      </c>
      <c r="R371" s="3">
        <f t="shared" si="29"/>
        <v>32</v>
      </c>
      <c r="S371" s="3">
        <f t="shared" si="26"/>
        <v>3049.9999999999995</v>
      </c>
      <c r="T371" s="24" t="s">
        <v>1334</v>
      </c>
      <c r="U371" s="24" t="s">
        <v>1334</v>
      </c>
      <c r="V371" s="3"/>
      <c r="W371" s="25" t="str">
        <f>IFERROR(VLOOKUP(Caja_Arequipa[[#This Row],[destinatario]],CHOOSE({1,2},Clientes_Proveedores[Razon Social],Clientes_Proveedores[Ruc / Dni]),2,0),"")</f>
        <v/>
      </c>
      <c r="X371" s="3" t="s">
        <v>5878</v>
      </c>
      <c r="Y371" s="3"/>
      <c r="Z371" s="3"/>
      <c r="AA371" s="3"/>
      <c r="AB371" s="3" t="str">
        <f>IF(Caja_Arequipa[[#This Row],[fecha]]&gt;0,TEXT(Caja_Arequipa[[#This Row],[fecha]],"mmmm"),0)</f>
        <v>Mayo</v>
      </c>
    </row>
    <row r="372" spans="1:28" ht="36" x14ac:dyDescent="0.3">
      <c r="A372" s="2">
        <f>IF(Caja_Arequipa[[#This Row],[tipo_r]]="R",COUNTIFS($C$1:$C371,"R")+1,A371)</f>
        <v>342</v>
      </c>
      <c r="B372" s="19" t="str">
        <f t="shared" si="27"/>
        <v>C-Tesoreria</v>
      </c>
      <c r="C372" s="3" t="s">
        <v>1330</v>
      </c>
      <c r="D372" s="14">
        <v>45779</v>
      </c>
      <c r="E372" s="5" t="s">
        <v>1416</v>
      </c>
      <c r="F372" s="5" t="s">
        <v>1336</v>
      </c>
      <c r="G372" s="3" t="s">
        <v>5664</v>
      </c>
      <c r="H372" s="6"/>
      <c r="I372" s="6"/>
      <c r="J372" s="6"/>
      <c r="K372" s="6"/>
      <c r="L372" s="7" t="s">
        <v>5879</v>
      </c>
      <c r="M372" s="8" t="str">
        <f>IF(Caja_Arequipa[[#This Row],[tipo_r]]="R","001-"&amp;12002+A372,M371)</f>
        <v>001-12344</v>
      </c>
      <c r="N372" s="8" t="str">
        <f t="shared" si="30"/>
        <v>PEN</v>
      </c>
      <c r="O372" s="13"/>
      <c r="P372" s="13">
        <v>15</v>
      </c>
      <c r="Q372" s="3">
        <f t="shared" si="28"/>
        <v>0</v>
      </c>
      <c r="R372" s="3">
        <f t="shared" si="29"/>
        <v>15</v>
      </c>
      <c r="S372" s="3">
        <f t="shared" si="26"/>
        <v>3034.9999999999995</v>
      </c>
      <c r="T372" s="24" t="s">
        <v>1334</v>
      </c>
      <c r="U372" s="24" t="s">
        <v>1334</v>
      </c>
      <c r="V372" s="3"/>
      <c r="W372" s="25" t="str">
        <f>IFERROR(VLOOKUP(Caja_Arequipa[[#This Row],[destinatario]],CHOOSE({1,2},Clientes_Proveedores[Razon Social],Clientes_Proveedores[Ruc / Dni]),2,0),"")</f>
        <v/>
      </c>
      <c r="X372" s="3" t="s">
        <v>5880</v>
      </c>
      <c r="Y372" s="3"/>
      <c r="Z372" s="3"/>
      <c r="AA372" s="3"/>
      <c r="AB372" s="3" t="str">
        <f>IF(Caja_Arequipa[[#This Row],[fecha]]&gt;0,TEXT(Caja_Arequipa[[#This Row],[fecha]],"mmmm"),0)</f>
        <v>Mayo</v>
      </c>
    </row>
    <row r="373" spans="1:28" ht="24" x14ac:dyDescent="0.3">
      <c r="A373" s="2">
        <f>IF(Caja_Arequipa[[#This Row],[tipo_r]]="R",COUNTIFS($C$1:$C372,"R")+1,A372)</f>
        <v>343</v>
      </c>
      <c r="B373" s="19" t="str">
        <f t="shared" si="27"/>
        <v>C-Tesoreria</v>
      </c>
      <c r="C373" s="3" t="s">
        <v>1330</v>
      </c>
      <c r="D373" s="14">
        <v>45779</v>
      </c>
      <c r="E373" s="5" t="s">
        <v>1416</v>
      </c>
      <c r="F373" s="5" t="s">
        <v>1336</v>
      </c>
      <c r="G373" s="3" t="s">
        <v>5274</v>
      </c>
      <c r="H373" s="6"/>
      <c r="I373" s="6"/>
      <c r="J373" s="6"/>
      <c r="K373" s="6"/>
      <c r="L373" s="7" t="s">
        <v>5881</v>
      </c>
      <c r="M373" s="8" t="str">
        <f>IF(Caja_Arequipa[[#This Row],[tipo_r]]="R","001-"&amp;12002+A373,M372)</f>
        <v>001-12345</v>
      </c>
      <c r="N373" s="8" t="str">
        <f t="shared" si="30"/>
        <v>PEN</v>
      </c>
      <c r="O373" s="13"/>
      <c r="P373" s="13">
        <v>48</v>
      </c>
      <c r="Q373" s="3">
        <f t="shared" si="28"/>
        <v>0</v>
      </c>
      <c r="R373" s="3">
        <f t="shared" si="29"/>
        <v>48</v>
      </c>
      <c r="S373" s="3">
        <f t="shared" si="26"/>
        <v>2986.9999999999995</v>
      </c>
      <c r="T373" s="24" t="s">
        <v>1334</v>
      </c>
      <c r="U373" s="24" t="s">
        <v>1334</v>
      </c>
      <c r="V373" s="3"/>
      <c r="W373" s="25" t="str">
        <f>IFERROR(VLOOKUP(Caja_Arequipa[[#This Row],[destinatario]],CHOOSE({1,2},Clientes_Proveedores[Razon Social],Clientes_Proveedores[Ruc / Dni]),2,0),"")</f>
        <v/>
      </c>
      <c r="X373" s="3" t="s">
        <v>5882</v>
      </c>
      <c r="Y373" s="3"/>
      <c r="Z373" s="3"/>
      <c r="AA373" s="3"/>
      <c r="AB373" s="3" t="str">
        <f>IF(Caja_Arequipa[[#This Row],[fecha]]&gt;0,TEXT(Caja_Arequipa[[#This Row],[fecha]],"mmmm"),0)</f>
        <v>Mayo</v>
      </c>
    </row>
    <row r="374" spans="1:28" x14ac:dyDescent="0.3">
      <c r="A374" s="2">
        <f>IF(Caja_Arequipa[[#This Row],[tipo_r]]="R",COUNTIFS($C$1:$C373,"R")+1,A373)</f>
        <v>343</v>
      </c>
      <c r="B374" s="19" t="str">
        <f>"C-Tesoreria"</f>
        <v>C-Tesoreria</v>
      </c>
      <c r="C374" s="3" t="s">
        <v>1352</v>
      </c>
      <c r="D374" s="14">
        <v>45779</v>
      </c>
      <c r="E374" s="5" t="s">
        <v>1416</v>
      </c>
      <c r="F374" s="5" t="s">
        <v>1336</v>
      </c>
      <c r="G374" s="3" t="s">
        <v>5274</v>
      </c>
      <c r="H374" s="6"/>
      <c r="I374" s="6" t="s">
        <v>111</v>
      </c>
      <c r="J374" s="6">
        <v>3</v>
      </c>
      <c r="K374" s="6">
        <v>135</v>
      </c>
      <c r="L374" s="7" t="s">
        <v>5881</v>
      </c>
      <c r="M374" s="8" t="str">
        <f>IF(Caja_Arequipa[[#This Row],[tipo_r]]="R","001-"&amp;12002+A374,M373)</f>
        <v>001-12345</v>
      </c>
      <c r="N374" s="8" t="str">
        <f>"PEN"</f>
        <v>PEN</v>
      </c>
      <c r="O374" s="13">
        <v>32</v>
      </c>
      <c r="P374" s="13"/>
      <c r="Q374" s="3">
        <f>+IF(OR($F374="SALDO",$F374="INGRESO"),$P374,0)</f>
        <v>0</v>
      </c>
      <c r="R374" s="3">
        <f>+IF($F374="EGRESO",$P374,0)</f>
        <v>0</v>
      </c>
      <c r="S374" s="3">
        <f t="shared" si="26"/>
        <v>2986.9999999999995</v>
      </c>
      <c r="T374" s="24"/>
      <c r="U374" s="24"/>
      <c r="V374" s="3"/>
      <c r="W374" s="25" t="str">
        <f>IFERROR(VLOOKUP(Caja_Arequipa[[#This Row],[destinatario]],CHOOSE({1,2},Clientes_Proveedores[Razon Social],Clientes_Proveedores[Ruc / Dni]),2,0),"")</f>
        <v/>
      </c>
      <c r="X374" s="3"/>
      <c r="Y374" s="3"/>
      <c r="Z374" s="3"/>
      <c r="AA374" s="3"/>
      <c r="AB374" s="3" t="str">
        <f>IF(Caja_Arequipa[[#This Row],[fecha]]&gt;0,TEXT(Caja_Arequipa[[#This Row],[fecha]],"mmmm"),0)</f>
        <v>Mayo</v>
      </c>
    </row>
    <row r="375" spans="1:28" x14ac:dyDescent="0.3">
      <c r="A375" s="2">
        <f>IF(Caja_Arequipa[[#This Row],[tipo_r]]="R",COUNTIFS($C$1:$C374,"R")+1,A374)</f>
        <v>343</v>
      </c>
      <c r="B375" s="19" t="str">
        <f>"C-Tesoreria"</f>
        <v>C-Tesoreria</v>
      </c>
      <c r="C375" s="3" t="s">
        <v>1352</v>
      </c>
      <c r="D375" s="14">
        <v>45779</v>
      </c>
      <c r="E375" s="5" t="s">
        <v>1416</v>
      </c>
      <c r="F375" s="5" t="s">
        <v>1336</v>
      </c>
      <c r="G375" s="3" t="s">
        <v>5274</v>
      </c>
      <c r="H375" s="6"/>
      <c r="I375" s="6" t="s">
        <v>111</v>
      </c>
      <c r="J375" s="6">
        <v>3</v>
      </c>
      <c r="K375" s="6">
        <v>149</v>
      </c>
      <c r="L375" s="7" t="s">
        <v>5881</v>
      </c>
      <c r="M375" s="8" t="str">
        <f>IF(Caja_Arequipa[[#This Row],[tipo_r]]="R","001-"&amp;12002+A375,M374)</f>
        <v>001-12345</v>
      </c>
      <c r="N375" s="8" t="str">
        <f>"PEN"</f>
        <v>PEN</v>
      </c>
      <c r="O375" s="13">
        <v>16</v>
      </c>
      <c r="P375" s="13"/>
      <c r="Q375" s="3">
        <f>+IF(OR($F375="SALDO",$F375="INGRESO"),$P375,0)</f>
        <v>0</v>
      </c>
      <c r="R375" s="3">
        <f>+IF($F375="EGRESO",$P375,0)</f>
        <v>0</v>
      </c>
      <c r="S375" s="3">
        <f t="shared" si="26"/>
        <v>2986.9999999999995</v>
      </c>
      <c r="T375" s="24"/>
      <c r="U375" s="24"/>
      <c r="V375" s="3"/>
      <c r="W375" s="25" t="str">
        <f>IFERROR(VLOOKUP(Caja_Arequipa[[#This Row],[destinatario]],CHOOSE({1,2},Clientes_Proveedores[Razon Social],Clientes_Proveedores[Ruc / Dni]),2,0),"")</f>
        <v/>
      </c>
      <c r="X375" s="3"/>
      <c r="Y375" s="3"/>
      <c r="Z375" s="3"/>
      <c r="AA375" s="3"/>
      <c r="AB375" s="3" t="str">
        <f>IF(Caja_Arequipa[[#This Row],[fecha]]&gt;0,TEXT(Caja_Arequipa[[#This Row],[fecha]],"mmmm"),0)</f>
        <v>Mayo</v>
      </c>
    </row>
    <row r="376" spans="1:28" x14ac:dyDescent="0.3">
      <c r="A376" s="2">
        <f>IF(Caja_Arequipa[[#This Row],[tipo_r]]="R",COUNTIFS($C$1:$C375,"R")+1,A375)</f>
        <v>344</v>
      </c>
      <c r="B376" s="19" t="str">
        <f t="shared" si="27"/>
        <v>C-Tesoreria</v>
      </c>
      <c r="C376" s="3" t="s">
        <v>1330</v>
      </c>
      <c r="D376" s="14">
        <v>45779</v>
      </c>
      <c r="E376" s="5" t="s">
        <v>1416</v>
      </c>
      <c r="F376" s="5" t="s">
        <v>1336</v>
      </c>
      <c r="G376" s="3" t="s">
        <v>5274</v>
      </c>
      <c r="H376" s="6"/>
      <c r="I376" s="6" t="s">
        <v>111</v>
      </c>
      <c r="J376" s="6">
        <v>3</v>
      </c>
      <c r="K376" s="6">
        <v>150</v>
      </c>
      <c r="L376" s="7" t="s">
        <v>5883</v>
      </c>
      <c r="M376" s="8" t="str">
        <f>IF(Caja_Arequipa[[#This Row],[tipo_r]]="R","001-"&amp;12002+A376,M375)</f>
        <v>001-12346</v>
      </c>
      <c r="N376" s="8" t="str">
        <f t="shared" si="30"/>
        <v>PEN</v>
      </c>
      <c r="O376" s="13"/>
      <c r="P376" s="13">
        <v>60</v>
      </c>
      <c r="Q376" s="3">
        <f t="shared" si="28"/>
        <v>0</v>
      </c>
      <c r="R376" s="3">
        <f t="shared" si="29"/>
        <v>60</v>
      </c>
      <c r="S376" s="3">
        <f t="shared" si="26"/>
        <v>2926.9999999999995</v>
      </c>
      <c r="T376" s="24" t="s">
        <v>1334</v>
      </c>
      <c r="U376" s="24" t="s">
        <v>1334</v>
      </c>
      <c r="V376" s="3"/>
      <c r="W376" s="25" t="str">
        <f>IFERROR(VLOOKUP(Caja_Arequipa[[#This Row],[destinatario]],CHOOSE({1,2},Clientes_Proveedores[Razon Social],Clientes_Proveedores[Ruc / Dni]),2,0),"")</f>
        <v/>
      </c>
      <c r="X376" s="3" t="s">
        <v>5884</v>
      </c>
      <c r="Y376" s="3"/>
      <c r="Z376" s="3"/>
      <c r="AA376" s="3"/>
      <c r="AB376" s="3" t="str">
        <f>IF(Caja_Arequipa[[#This Row],[fecha]]&gt;0,TEXT(Caja_Arequipa[[#This Row],[fecha]],"mmmm"),0)</f>
        <v>Mayo</v>
      </c>
    </row>
    <row r="377" spans="1:28" x14ac:dyDescent="0.3">
      <c r="A377" s="2">
        <f>IF(Caja_Arequipa[[#This Row],[tipo_r]]="R",COUNTIFS($C$1:$C376,"R")+1,A376)</f>
        <v>345</v>
      </c>
      <c r="B377" s="19" t="str">
        <f t="shared" si="27"/>
        <v>C-Tesoreria</v>
      </c>
      <c r="C377" s="3" t="s">
        <v>1330</v>
      </c>
      <c r="D377" s="14">
        <v>45779</v>
      </c>
      <c r="E377" s="5" t="s">
        <v>1416</v>
      </c>
      <c r="F377" s="5" t="s">
        <v>1336</v>
      </c>
      <c r="G377" s="3" t="s">
        <v>5274</v>
      </c>
      <c r="H377" s="6"/>
      <c r="I377" s="6" t="s">
        <v>111</v>
      </c>
      <c r="J377" s="6">
        <v>3</v>
      </c>
      <c r="K377" s="6">
        <v>151</v>
      </c>
      <c r="L377" s="7" t="s">
        <v>5877</v>
      </c>
      <c r="M377" s="8" t="str">
        <f>IF(Caja_Arequipa[[#This Row],[tipo_r]]="R","001-"&amp;12002+A377,M376)</f>
        <v>001-12347</v>
      </c>
      <c r="N377" s="8" t="str">
        <f t="shared" si="30"/>
        <v>PEN</v>
      </c>
      <c r="O377" s="13"/>
      <c r="P377" s="13">
        <v>60</v>
      </c>
      <c r="Q377" s="3">
        <f t="shared" si="28"/>
        <v>0</v>
      </c>
      <c r="R377" s="3">
        <f t="shared" si="29"/>
        <v>60</v>
      </c>
      <c r="S377" s="3">
        <f t="shared" si="26"/>
        <v>2866.9999999999995</v>
      </c>
      <c r="T377" s="24" t="s">
        <v>1334</v>
      </c>
      <c r="U377" s="24" t="s">
        <v>1334</v>
      </c>
      <c r="V377" s="3"/>
      <c r="W377" s="25" t="str">
        <f>IFERROR(VLOOKUP(Caja_Arequipa[[#This Row],[destinatario]],CHOOSE({1,2},Clientes_Proveedores[Razon Social],Clientes_Proveedores[Ruc / Dni]),2,0),"")</f>
        <v/>
      </c>
      <c r="X377" s="3" t="s">
        <v>5885</v>
      </c>
      <c r="Y377" s="3"/>
      <c r="Z377" s="3"/>
      <c r="AA377" s="3"/>
      <c r="AB377" s="3" t="str">
        <f>IF(Caja_Arequipa[[#This Row],[fecha]]&gt;0,TEXT(Caja_Arequipa[[#This Row],[fecha]],"mmmm"),0)</f>
        <v>Mayo</v>
      </c>
    </row>
    <row r="378" spans="1:28" x14ac:dyDescent="0.3">
      <c r="A378" s="2">
        <f>IF(Caja_Arequipa[[#This Row],[tipo_r]]="R",COUNTIFS($C$1:$C377,"R")+1,A377)</f>
        <v>346</v>
      </c>
      <c r="B378" s="19" t="str">
        <f t="shared" si="27"/>
        <v>C-Tesoreria</v>
      </c>
      <c r="C378" s="3" t="s">
        <v>1330</v>
      </c>
      <c r="D378" s="14">
        <v>45779</v>
      </c>
      <c r="E378" s="5" t="s">
        <v>1416</v>
      </c>
      <c r="F378" s="5" t="s">
        <v>1336</v>
      </c>
      <c r="G378" s="3" t="s">
        <v>5380</v>
      </c>
      <c r="H378" s="6"/>
      <c r="I378" s="6"/>
      <c r="J378" s="6"/>
      <c r="K378" s="6"/>
      <c r="L378" s="7" t="s">
        <v>5886</v>
      </c>
      <c r="M378" s="8" t="str">
        <f>IF(Caja_Arequipa[[#This Row],[tipo_r]]="R","001-"&amp;12002+A378,M377)</f>
        <v>001-12348</v>
      </c>
      <c r="N378" s="8" t="str">
        <f t="shared" si="30"/>
        <v>PEN</v>
      </c>
      <c r="O378" s="13"/>
      <c r="P378" s="13">
        <v>25.5</v>
      </c>
      <c r="Q378" s="3">
        <f t="shared" si="28"/>
        <v>0</v>
      </c>
      <c r="R378" s="3">
        <f t="shared" si="29"/>
        <v>25.5</v>
      </c>
      <c r="S378" s="3">
        <f t="shared" si="26"/>
        <v>2841.4999999999995</v>
      </c>
      <c r="T378" s="24" t="s">
        <v>5887</v>
      </c>
      <c r="U378" s="24" t="s">
        <v>1334</v>
      </c>
      <c r="V378" s="3"/>
      <c r="W378" s="25" t="str">
        <f>IFERROR(VLOOKUP(Caja_Arequipa[[#This Row],[destinatario]],CHOOSE({1,2},Clientes_Proveedores[Razon Social],Clientes_Proveedores[Ruc / Dni]),2,0),"")</f>
        <v/>
      </c>
      <c r="X378" s="3" t="s">
        <v>5888</v>
      </c>
      <c r="Y378" s="3"/>
      <c r="Z378" s="3"/>
      <c r="AA378" s="3"/>
      <c r="AB378" s="3" t="str">
        <f>IF(Caja_Arequipa[[#This Row],[fecha]]&gt;0,TEXT(Caja_Arequipa[[#This Row],[fecha]],"mmmm"),0)</f>
        <v>Mayo</v>
      </c>
    </row>
    <row r="379" spans="1:28" x14ac:dyDescent="0.3">
      <c r="A379" s="2">
        <f>IF(Caja_Arequipa[[#This Row],[tipo_r]]="R",COUNTIFS($C$1:$C378,"R")+1,A378)</f>
        <v>347</v>
      </c>
      <c r="B379" s="19" t="str">
        <f t="shared" si="27"/>
        <v>C-Tesoreria</v>
      </c>
      <c r="C379" s="3" t="s">
        <v>1330</v>
      </c>
      <c r="D379" s="14">
        <v>45782</v>
      </c>
      <c r="E379" s="5" t="s">
        <v>1416</v>
      </c>
      <c r="F379" s="5" t="s">
        <v>1336</v>
      </c>
      <c r="G379" s="3" t="s">
        <v>5811</v>
      </c>
      <c r="H379" s="6"/>
      <c r="I379" s="6"/>
      <c r="J379" s="6"/>
      <c r="K379" s="6"/>
      <c r="L379" s="7" t="s">
        <v>5889</v>
      </c>
      <c r="M379" s="8" t="str">
        <f>IF(Caja_Arequipa[[#This Row],[tipo_r]]="R","001-"&amp;12002+A379,M378)</f>
        <v>001-12349</v>
      </c>
      <c r="N379" s="8" t="str">
        <f t="shared" si="30"/>
        <v>PEN</v>
      </c>
      <c r="O379" s="13"/>
      <c r="P379" s="13">
        <v>36</v>
      </c>
      <c r="Q379" s="3">
        <f t="shared" si="28"/>
        <v>0</v>
      </c>
      <c r="R379" s="3">
        <f t="shared" si="29"/>
        <v>36</v>
      </c>
      <c r="S379" s="3">
        <f t="shared" si="26"/>
        <v>2805.4999999999995</v>
      </c>
      <c r="T379" s="24" t="s">
        <v>5887</v>
      </c>
      <c r="U379" s="24" t="s">
        <v>1334</v>
      </c>
      <c r="V379" s="3"/>
      <c r="W379" s="25" t="str">
        <f>IFERROR(VLOOKUP(Caja_Arequipa[[#This Row],[destinatario]],CHOOSE({1,2},Clientes_Proveedores[Razon Social],Clientes_Proveedores[Ruc / Dni]),2,0),"")</f>
        <v/>
      </c>
      <c r="X379" s="3" t="s">
        <v>5890</v>
      </c>
      <c r="Y379" s="3"/>
      <c r="Z379" s="3"/>
      <c r="AA379" s="3"/>
      <c r="AB379" s="3" t="str">
        <f>IF(Caja_Arequipa[[#This Row],[fecha]]&gt;0,TEXT(Caja_Arequipa[[#This Row],[fecha]],"mmmm"),0)</f>
        <v>Mayo</v>
      </c>
    </row>
    <row r="380" spans="1:28" ht="24" x14ac:dyDescent="0.3">
      <c r="A380" s="2">
        <f>IF(Caja_Arequipa[[#This Row],[tipo_r]]="R",COUNTIFS($C$1:$C379,"R")+1,A379)</f>
        <v>348</v>
      </c>
      <c r="B380" s="19" t="str">
        <f t="shared" si="27"/>
        <v>C-Tesoreria</v>
      </c>
      <c r="C380" s="3" t="s">
        <v>1330</v>
      </c>
      <c r="D380" s="14">
        <v>45782</v>
      </c>
      <c r="E380" s="5" t="s">
        <v>1416</v>
      </c>
      <c r="F380" s="5" t="s">
        <v>1336</v>
      </c>
      <c r="G380" s="3" t="s">
        <v>5811</v>
      </c>
      <c r="H380" s="6"/>
      <c r="I380" s="6"/>
      <c r="J380" s="6"/>
      <c r="K380" s="6"/>
      <c r="L380" s="7" t="s">
        <v>5891</v>
      </c>
      <c r="M380" s="8" t="str">
        <f>IF(Caja_Arequipa[[#This Row],[tipo_r]]="R","001-"&amp;12002+A380,M379)</f>
        <v>001-12350</v>
      </c>
      <c r="N380" s="8" t="str">
        <f t="shared" si="30"/>
        <v>PEN</v>
      </c>
      <c r="O380" s="13"/>
      <c r="P380" s="13">
        <v>109.3</v>
      </c>
      <c r="Q380" s="3">
        <f t="shared" si="28"/>
        <v>0</v>
      </c>
      <c r="R380" s="3">
        <f t="shared" si="29"/>
        <v>109.3</v>
      </c>
      <c r="S380" s="3">
        <f t="shared" si="26"/>
        <v>2696.1999999999994</v>
      </c>
      <c r="T380" s="24" t="s">
        <v>5887</v>
      </c>
      <c r="U380" s="24" t="s">
        <v>1334</v>
      </c>
      <c r="V380" s="3"/>
      <c r="W380" s="25" t="str">
        <f>IFERROR(VLOOKUP(Caja_Arequipa[[#This Row],[destinatario]],CHOOSE({1,2},Clientes_Proveedores[Razon Social],Clientes_Proveedores[Ruc / Dni]),2,0),"")</f>
        <v/>
      </c>
      <c r="X380" s="3" t="s">
        <v>5892</v>
      </c>
      <c r="Y380" s="3"/>
      <c r="Z380" s="3"/>
      <c r="AA380" s="3"/>
      <c r="AB380" s="3" t="str">
        <f>IF(Caja_Arequipa[[#This Row],[fecha]]&gt;0,TEXT(Caja_Arequipa[[#This Row],[fecha]],"mmmm"),0)</f>
        <v>Mayo</v>
      </c>
    </row>
    <row r="381" spans="1:28" ht="36" x14ac:dyDescent="0.3">
      <c r="A381" s="2">
        <f>IF(Caja_Arequipa[[#This Row],[tipo_r]]="R",COUNTIFS($C$1:$C380,"R")+1,A380)</f>
        <v>349</v>
      </c>
      <c r="B381" s="19" t="str">
        <f t="shared" si="27"/>
        <v>C-Tesoreria</v>
      </c>
      <c r="C381" s="3" t="s">
        <v>1330</v>
      </c>
      <c r="D381" s="14">
        <v>45782</v>
      </c>
      <c r="E381" s="5" t="s">
        <v>1416</v>
      </c>
      <c r="F381" s="5" t="s">
        <v>1336</v>
      </c>
      <c r="G381" s="3" t="s">
        <v>5811</v>
      </c>
      <c r="H381" s="6"/>
      <c r="I381" s="6"/>
      <c r="J381" s="6"/>
      <c r="K381" s="6"/>
      <c r="L381" s="7" t="s">
        <v>5893</v>
      </c>
      <c r="M381" s="8" t="str">
        <f>IF(Caja_Arequipa[[#This Row],[tipo_r]]="R","001-"&amp;12002+A381,M380)</f>
        <v>001-12351</v>
      </c>
      <c r="N381" s="8" t="str">
        <f t="shared" si="30"/>
        <v>PEN</v>
      </c>
      <c r="O381" s="13"/>
      <c r="P381" s="13">
        <v>40</v>
      </c>
      <c r="Q381" s="3">
        <f t="shared" si="28"/>
        <v>0</v>
      </c>
      <c r="R381" s="3">
        <f t="shared" si="29"/>
        <v>40</v>
      </c>
      <c r="S381" s="3">
        <f t="shared" si="26"/>
        <v>2656.1999999999994</v>
      </c>
      <c r="T381" s="24" t="s">
        <v>1334</v>
      </c>
      <c r="U381" s="24" t="s">
        <v>1334</v>
      </c>
      <c r="V381" s="3"/>
      <c r="W381" s="25" t="str">
        <f>IFERROR(VLOOKUP(Caja_Arequipa[[#This Row],[destinatario]],CHOOSE({1,2},Clientes_Proveedores[Razon Social],Clientes_Proveedores[Ruc / Dni]),2,0),"")</f>
        <v/>
      </c>
      <c r="X381" s="3" t="s">
        <v>5894</v>
      </c>
      <c r="Y381" s="3"/>
      <c r="Z381" s="3"/>
      <c r="AA381" s="3"/>
      <c r="AB381" s="3" t="str">
        <f>IF(Caja_Arequipa[[#This Row],[fecha]]&gt;0,TEXT(Caja_Arequipa[[#This Row],[fecha]],"mmmm"),0)</f>
        <v>Mayo</v>
      </c>
    </row>
    <row r="382" spans="1:28" x14ac:dyDescent="0.3">
      <c r="A382" s="2">
        <f>IF(Caja_Arequipa[[#This Row],[tipo_r]]="R",COUNTIFS($C$1:$C381,"R")+1,A381)</f>
        <v>350</v>
      </c>
      <c r="B382" s="19" t="str">
        <f t="shared" si="27"/>
        <v>C-Tesoreria</v>
      </c>
      <c r="C382" s="3" t="s">
        <v>1330</v>
      </c>
      <c r="D382" s="14">
        <v>45783</v>
      </c>
      <c r="E382" s="5" t="s">
        <v>1416</v>
      </c>
      <c r="F382" s="5" t="s">
        <v>1336</v>
      </c>
      <c r="G382" s="3" t="s">
        <v>5259</v>
      </c>
      <c r="H382" s="6"/>
      <c r="I382" s="6" t="s">
        <v>111</v>
      </c>
      <c r="J382" s="6">
        <v>3</v>
      </c>
      <c r="K382" s="6">
        <v>152</v>
      </c>
      <c r="L382" s="7" t="s">
        <v>5829</v>
      </c>
      <c r="M382" s="8" t="str">
        <f>IF(Caja_Arequipa[[#This Row],[tipo_r]]="R","001-"&amp;12002+A382,M381)</f>
        <v>001-12352</v>
      </c>
      <c r="N382" s="8" t="str">
        <f t="shared" si="30"/>
        <v>PEN</v>
      </c>
      <c r="O382" s="13"/>
      <c r="P382" s="13">
        <v>53</v>
      </c>
      <c r="Q382" s="3">
        <f t="shared" si="28"/>
        <v>0</v>
      </c>
      <c r="R382" s="3">
        <f t="shared" si="29"/>
        <v>53</v>
      </c>
      <c r="S382" s="3">
        <f t="shared" si="26"/>
        <v>2603.1999999999994</v>
      </c>
      <c r="T382" s="24" t="s">
        <v>1334</v>
      </c>
      <c r="U382" s="24" t="s">
        <v>1334</v>
      </c>
      <c r="V382" s="3"/>
      <c r="W382" s="25" t="str">
        <f>IFERROR(VLOOKUP(Caja_Arequipa[[#This Row],[destinatario]],CHOOSE({1,2},Clientes_Proveedores[Razon Social],Clientes_Proveedores[Ruc / Dni]),2,0),"")</f>
        <v/>
      </c>
      <c r="X382" s="3" t="s">
        <v>5895</v>
      </c>
      <c r="Y382" s="3"/>
      <c r="Z382" s="3"/>
      <c r="AA382" s="3"/>
      <c r="AB382" s="3" t="str">
        <f>IF(Caja_Arequipa[[#This Row],[fecha]]&gt;0,TEXT(Caja_Arequipa[[#This Row],[fecha]],"mmmm"),0)</f>
        <v>Mayo</v>
      </c>
    </row>
    <row r="383" spans="1:28" x14ac:dyDescent="0.3">
      <c r="A383" s="2">
        <f>IF(Caja_Arequipa[[#This Row],[tipo_r]]="R",COUNTIFS($C$1:$C382,"R")+1,A382)</f>
        <v>351</v>
      </c>
      <c r="B383" s="19" t="str">
        <f t="shared" si="27"/>
        <v>C-Tesoreria</v>
      </c>
      <c r="C383" s="3" t="s">
        <v>1330</v>
      </c>
      <c r="D383" s="14">
        <v>45783</v>
      </c>
      <c r="E383" s="5" t="s">
        <v>1416</v>
      </c>
      <c r="F383" s="5" t="s">
        <v>1336</v>
      </c>
      <c r="G383" s="3" t="s">
        <v>5259</v>
      </c>
      <c r="H383" s="6"/>
      <c r="I383" s="6" t="s">
        <v>111</v>
      </c>
      <c r="J383" s="6">
        <v>3</v>
      </c>
      <c r="K383" s="6">
        <v>153</v>
      </c>
      <c r="L383" s="7" t="s">
        <v>5831</v>
      </c>
      <c r="M383" s="8" t="str">
        <f>IF(Caja_Arequipa[[#This Row],[tipo_r]]="R","001-"&amp;12002+A383,M382)</f>
        <v>001-12353</v>
      </c>
      <c r="N383" s="8" t="str">
        <f t="shared" si="30"/>
        <v>PEN</v>
      </c>
      <c r="O383" s="13"/>
      <c r="P383" s="13">
        <v>10</v>
      </c>
      <c r="Q383" s="3">
        <f t="shared" si="28"/>
        <v>0</v>
      </c>
      <c r="R383" s="3">
        <f t="shared" si="29"/>
        <v>10</v>
      </c>
      <c r="S383" s="3">
        <f t="shared" si="26"/>
        <v>2593.1999999999994</v>
      </c>
      <c r="T383" s="24" t="s">
        <v>1334</v>
      </c>
      <c r="U383" s="24" t="s">
        <v>1334</v>
      </c>
      <c r="V383" s="3"/>
      <c r="W383" s="25" t="str">
        <f>IFERROR(VLOOKUP(Caja_Arequipa[[#This Row],[destinatario]],CHOOSE({1,2},Clientes_Proveedores[Razon Social],Clientes_Proveedores[Ruc / Dni]),2,0),"")</f>
        <v/>
      </c>
      <c r="X383" s="3" t="s">
        <v>5896</v>
      </c>
      <c r="Y383" s="3"/>
      <c r="Z383" s="3"/>
      <c r="AA383" s="3"/>
      <c r="AB383" s="3" t="str">
        <f>IF(Caja_Arequipa[[#This Row],[fecha]]&gt;0,TEXT(Caja_Arequipa[[#This Row],[fecha]],"mmmm"),0)</f>
        <v>Mayo</v>
      </c>
    </row>
    <row r="384" spans="1:28" x14ac:dyDescent="0.3">
      <c r="A384" s="2">
        <f>IF(Caja_Arequipa[[#This Row],[tipo_r]]="R",COUNTIFS($C$1:$C383,"R")+1,A383)</f>
        <v>352</v>
      </c>
      <c r="B384" s="19" t="str">
        <f t="shared" si="27"/>
        <v>C-Tesoreria</v>
      </c>
      <c r="C384" s="3" t="s">
        <v>1330</v>
      </c>
      <c r="D384" s="14">
        <v>45783</v>
      </c>
      <c r="E384" s="5" t="s">
        <v>1416</v>
      </c>
      <c r="F384" s="5" t="s">
        <v>1336</v>
      </c>
      <c r="G384" s="3" t="s">
        <v>5259</v>
      </c>
      <c r="H384" s="6"/>
      <c r="I384" s="6" t="s">
        <v>111</v>
      </c>
      <c r="J384" s="6">
        <v>3</v>
      </c>
      <c r="K384" s="6">
        <v>154</v>
      </c>
      <c r="L384" s="7" t="s">
        <v>5838</v>
      </c>
      <c r="M384" s="8" t="str">
        <f>IF(Caja_Arequipa[[#This Row],[tipo_r]]="R","001-"&amp;12002+A384,M383)</f>
        <v>001-12354</v>
      </c>
      <c r="N384" s="8" t="str">
        <f t="shared" si="30"/>
        <v>PEN</v>
      </c>
      <c r="O384" s="13"/>
      <c r="P384" s="13">
        <v>56</v>
      </c>
      <c r="Q384" s="3">
        <f t="shared" si="28"/>
        <v>0</v>
      </c>
      <c r="R384" s="3">
        <f t="shared" si="29"/>
        <v>56</v>
      </c>
      <c r="S384" s="3">
        <f t="shared" si="26"/>
        <v>2537.1999999999994</v>
      </c>
      <c r="T384" s="24" t="s">
        <v>1334</v>
      </c>
      <c r="U384" s="24" t="s">
        <v>1334</v>
      </c>
      <c r="V384" s="3"/>
      <c r="W384" s="25" t="str">
        <f>IFERROR(VLOOKUP(Caja_Arequipa[[#This Row],[destinatario]],CHOOSE({1,2},Clientes_Proveedores[Razon Social],Clientes_Proveedores[Ruc / Dni]),2,0),"")</f>
        <v/>
      </c>
      <c r="X384" s="3" t="s">
        <v>5897</v>
      </c>
      <c r="Y384" s="3"/>
      <c r="Z384" s="3"/>
      <c r="AA384" s="3"/>
      <c r="AB384" s="3" t="str">
        <f>IF(Caja_Arequipa[[#This Row],[fecha]]&gt;0,TEXT(Caja_Arequipa[[#This Row],[fecha]],"mmmm"),0)</f>
        <v>Mayo</v>
      </c>
    </row>
    <row r="385" spans="1:28" x14ac:dyDescent="0.3">
      <c r="A385" s="2">
        <f>IF(Caja_Arequipa[[#This Row],[tipo_r]]="R",COUNTIFS($C$1:$C384,"R")+1,A384)</f>
        <v>353</v>
      </c>
      <c r="B385" s="19" t="str">
        <f t="shared" si="27"/>
        <v>C-Tesoreria</v>
      </c>
      <c r="C385" s="3" t="s">
        <v>1330</v>
      </c>
      <c r="D385" s="14">
        <v>45783</v>
      </c>
      <c r="E385" s="5" t="s">
        <v>1416</v>
      </c>
      <c r="F385" s="5" t="s">
        <v>1336</v>
      </c>
      <c r="G385" s="3" t="s">
        <v>5259</v>
      </c>
      <c r="H385" s="6"/>
      <c r="I385" s="6" t="s">
        <v>111</v>
      </c>
      <c r="J385" s="6">
        <v>3</v>
      </c>
      <c r="K385" s="6">
        <v>155</v>
      </c>
      <c r="L385" s="7" t="s">
        <v>5877</v>
      </c>
      <c r="M385" s="8" t="str">
        <f>IF(Caja_Arequipa[[#This Row],[tipo_r]]="R","001-"&amp;12002+A385,M384)</f>
        <v>001-12355</v>
      </c>
      <c r="N385" s="8" t="str">
        <f t="shared" si="30"/>
        <v>PEN</v>
      </c>
      <c r="O385" s="13"/>
      <c r="P385" s="13">
        <v>5</v>
      </c>
      <c r="Q385" s="3">
        <f t="shared" si="28"/>
        <v>0</v>
      </c>
      <c r="R385" s="3">
        <f t="shared" si="29"/>
        <v>5</v>
      </c>
      <c r="S385" s="3">
        <f t="shared" si="26"/>
        <v>2532.1999999999994</v>
      </c>
      <c r="T385" s="24" t="s">
        <v>1334</v>
      </c>
      <c r="U385" s="24" t="s">
        <v>1334</v>
      </c>
      <c r="V385" s="3"/>
      <c r="W385" s="25" t="str">
        <f>IFERROR(VLOOKUP(Caja_Arequipa[[#This Row],[destinatario]],CHOOSE({1,2},Clientes_Proveedores[Razon Social],Clientes_Proveedores[Ruc / Dni]),2,0),"")</f>
        <v/>
      </c>
      <c r="X385" s="3" t="s">
        <v>5898</v>
      </c>
      <c r="Y385" s="3"/>
      <c r="Z385" s="3"/>
      <c r="AA385" s="3"/>
      <c r="AB385" s="3" t="str">
        <f>IF(Caja_Arequipa[[#This Row],[fecha]]&gt;0,TEXT(Caja_Arequipa[[#This Row],[fecha]],"mmmm"),0)</f>
        <v>Mayo</v>
      </c>
    </row>
    <row r="386" spans="1:28" x14ac:dyDescent="0.3">
      <c r="A386" s="2">
        <f>IF(Caja_Arequipa[[#This Row],[tipo_r]]="R",COUNTIFS($C$1:$C385,"R")+1,A385)</f>
        <v>354</v>
      </c>
      <c r="B386" s="19" t="str">
        <f t="shared" si="27"/>
        <v>C-Tesoreria</v>
      </c>
      <c r="C386" s="3" t="s">
        <v>1330</v>
      </c>
      <c r="D386" s="14">
        <v>45783</v>
      </c>
      <c r="E386" s="5" t="s">
        <v>1416</v>
      </c>
      <c r="F386" s="5" t="s">
        <v>1336</v>
      </c>
      <c r="G386" s="3" t="s">
        <v>5259</v>
      </c>
      <c r="H386" s="6"/>
      <c r="I386" s="6" t="s">
        <v>111</v>
      </c>
      <c r="J386" s="6">
        <v>3</v>
      </c>
      <c r="K386" s="6">
        <v>156</v>
      </c>
      <c r="L386" s="7" t="s">
        <v>5883</v>
      </c>
      <c r="M386" s="8" t="str">
        <f>IF(Caja_Arequipa[[#This Row],[tipo_r]]="R","001-"&amp;12002+A386,M385)</f>
        <v>001-12356</v>
      </c>
      <c r="N386" s="8" t="str">
        <f t="shared" si="30"/>
        <v>PEN</v>
      </c>
      <c r="O386" s="13"/>
      <c r="P386" s="13">
        <v>18</v>
      </c>
      <c r="Q386" s="3">
        <f t="shared" si="28"/>
        <v>0</v>
      </c>
      <c r="R386" s="3">
        <f t="shared" si="29"/>
        <v>18</v>
      </c>
      <c r="S386" s="3">
        <f t="shared" ref="S386:S449" si="31">IFERROR(IF(F386="SALDO",Q386,S385+Q386-R386),0)</f>
        <v>2514.1999999999994</v>
      </c>
      <c r="T386" s="24" t="s">
        <v>1334</v>
      </c>
      <c r="U386" s="24" t="s">
        <v>1334</v>
      </c>
      <c r="V386" s="3"/>
      <c r="W386" s="25" t="str">
        <f>IFERROR(VLOOKUP(Caja_Arequipa[[#This Row],[destinatario]],CHOOSE({1,2},Clientes_Proveedores[Razon Social],Clientes_Proveedores[Ruc / Dni]),2,0),"")</f>
        <v/>
      </c>
      <c r="X386" s="3" t="s">
        <v>5899</v>
      </c>
      <c r="Y386" s="3"/>
      <c r="Z386" s="3"/>
      <c r="AA386" s="3"/>
      <c r="AB386" s="3" t="str">
        <f>IF(Caja_Arequipa[[#This Row],[fecha]]&gt;0,TEXT(Caja_Arequipa[[#This Row],[fecha]],"mmmm"),0)</f>
        <v>Mayo</v>
      </c>
    </row>
    <row r="387" spans="1:28" ht="24" x14ac:dyDescent="0.3">
      <c r="A387" s="2">
        <f>IF(Caja_Arequipa[[#This Row],[tipo_r]]="R",COUNTIFS($C$1:$C386,"R")+1,A386)</f>
        <v>355</v>
      </c>
      <c r="B387" s="19" t="str">
        <f t="shared" si="27"/>
        <v>C-Tesoreria</v>
      </c>
      <c r="C387" s="3" t="s">
        <v>1330</v>
      </c>
      <c r="D387" s="14">
        <v>45783</v>
      </c>
      <c r="E387" s="5" t="s">
        <v>1416</v>
      </c>
      <c r="F387" s="5" t="s">
        <v>1336</v>
      </c>
      <c r="G387" s="3" t="s">
        <v>5811</v>
      </c>
      <c r="H387" s="6"/>
      <c r="I387" s="6"/>
      <c r="J387" s="6"/>
      <c r="K387" s="6"/>
      <c r="L387" s="7" t="s">
        <v>5900</v>
      </c>
      <c r="M387" s="8" t="str">
        <f>IF(Caja_Arequipa[[#This Row],[tipo_r]]="R","001-"&amp;12002+A387,M386)</f>
        <v>001-12357</v>
      </c>
      <c r="N387" s="8" t="str">
        <f t="shared" si="30"/>
        <v>PEN</v>
      </c>
      <c r="O387" s="13"/>
      <c r="P387" s="13">
        <v>377.4</v>
      </c>
      <c r="Q387" s="3">
        <f t="shared" si="28"/>
        <v>0</v>
      </c>
      <c r="R387" s="3">
        <f t="shared" si="29"/>
        <v>377.4</v>
      </c>
      <c r="S387" s="3">
        <f t="shared" si="31"/>
        <v>2136.7999999999993</v>
      </c>
      <c r="T387" s="24" t="s">
        <v>1334</v>
      </c>
      <c r="U387" s="24" t="s">
        <v>1334</v>
      </c>
      <c r="V387" s="3"/>
      <c r="W387" s="25" t="str">
        <f>IFERROR(VLOOKUP(Caja_Arequipa[[#This Row],[destinatario]],CHOOSE({1,2},Clientes_Proveedores[Razon Social],Clientes_Proveedores[Ruc / Dni]),2,0),"")</f>
        <v/>
      </c>
      <c r="X387" s="3" t="s">
        <v>5901</v>
      </c>
      <c r="Y387" s="3"/>
      <c r="Z387" s="3"/>
      <c r="AA387" s="3"/>
      <c r="AB387" s="3" t="str">
        <f>IF(Caja_Arequipa[[#This Row],[fecha]]&gt;0,TEXT(Caja_Arequipa[[#This Row],[fecha]],"mmmm"),0)</f>
        <v>Mayo</v>
      </c>
    </row>
    <row r="388" spans="1:28" x14ac:dyDescent="0.3">
      <c r="A388" s="2">
        <f>IF(Caja_Arequipa[[#This Row],[tipo_r]]="R",COUNTIFS($C$1:$C387,"R")+1,A387)</f>
        <v>356</v>
      </c>
      <c r="B388" s="19" t="str">
        <f t="shared" si="27"/>
        <v>C-Tesoreria</v>
      </c>
      <c r="C388" s="3" t="s">
        <v>1330</v>
      </c>
      <c r="D388" s="14">
        <v>45785</v>
      </c>
      <c r="E388" s="5" t="s">
        <v>2269</v>
      </c>
      <c r="F388" s="5" t="s">
        <v>1336</v>
      </c>
      <c r="G388" s="3" t="s">
        <v>3308</v>
      </c>
      <c r="H388" s="6"/>
      <c r="I388" s="6" t="s">
        <v>111</v>
      </c>
      <c r="J388" s="6">
        <v>3</v>
      </c>
      <c r="K388" s="6">
        <v>159</v>
      </c>
      <c r="L388" s="7" t="s">
        <v>5902</v>
      </c>
      <c r="M388" s="8" t="str">
        <f>IF(Caja_Arequipa[[#This Row],[tipo_r]]="R","001-"&amp;12002+A388,M387)</f>
        <v>001-12358</v>
      </c>
      <c r="N388" s="8" t="str">
        <f t="shared" si="30"/>
        <v>PEN</v>
      </c>
      <c r="O388" s="13"/>
      <c r="P388" s="13">
        <v>11</v>
      </c>
      <c r="Q388" s="3">
        <f t="shared" si="28"/>
        <v>0</v>
      </c>
      <c r="R388" s="3">
        <f t="shared" si="29"/>
        <v>11</v>
      </c>
      <c r="S388" s="3">
        <f t="shared" si="31"/>
        <v>2125.7999999999993</v>
      </c>
      <c r="T388" s="24" t="s">
        <v>1334</v>
      </c>
      <c r="U388" s="24" t="s">
        <v>1334</v>
      </c>
      <c r="V388" s="3"/>
      <c r="W388" s="25" t="str">
        <f>IFERROR(VLOOKUP(Caja_Arequipa[[#This Row],[destinatario]],CHOOSE({1,2},Clientes_Proveedores[Razon Social],Clientes_Proveedores[Ruc / Dni]),2,0),"")</f>
        <v/>
      </c>
      <c r="X388" s="3" t="s">
        <v>5903</v>
      </c>
      <c r="Y388" s="3"/>
      <c r="Z388" s="3"/>
      <c r="AA388" s="3"/>
      <c r="AB388" s="3" t="str">
        <f>IF(Caja_Arequipa[[#This Row],[fecha]]&gt;0,TEXT(Caja_Arequipa[[#This Row],[fecha]],"mmmm"),0)</f>
        <v>Mayo</v>
      </c>
    </row>
    <row r="389" spans="1:28" x14ac:dyDescent="0.3">
      <c r="A389" s="2">
        <f>IF(Caja_Arequipa[[#This Row],[tipo_r]]="R",COUNTIFS($C$1:$C388,"R")+1,A388)</f>
        <v>357</v>
      </c>
      <c r="B389" s="19" t="str">
        <f t="shared" si="27"/>
        <v>C-Tesoreria</v>
      </c>
      <c r="C389" s="3" t="s">
        <v>1330</v>
      </c>
      <c r="D389" s="14">
        <v>45785</v>
      </c>
      <c r="E389" s="5" t="s">
        <v>2269</v>
      </c>
      <c r="F389" s="5" t="s">
        <v>1336</v>
      </c>
      <c r="G389" s="3" t="s">
        <v>5811</v>
      </c>
      <c r="H389" s="6"/>
      <c r="I389" s="6" t="s">
        <v>111</v>
      </c>
      <c r="J389" s="6">
        <v>3</v>
      </c>
      <c r="K389" s="6">
        <v>219</v>
      </c>
      <c r="L389" s="7" t="s">
        <v>5904</v>
      </c>
      <c r="M389" s="8" t="str">
        <f>IF(Caja_Arequipa[[#This Row],[tipo_r]]="R","001-"&amp;12002+A389,M388)</f>
        <v>001-12359</v>
      </c>
      <c r="N389" s="8" t="str">
        <f t="shared" si="30"/>
        <v>PEN</v>
      </c>
      <c r="O389" s="13"/>
      <c r="P389" s="13">
        <v>24</v>
      </c>
      <c r="Q389" s="3">
        <f t="shared" si="28"/>
        <v>0</v>
      </c>
      <c r="R389" s="3">
        <f t="shared" si="29"/>
        <v>24</v>
      </c>
      <c r="S389" s="3">
        <f t="shared" si="31"/>
        <v>2101.7999999999993</v>
      </c>
      <c r="T389" s="24" t="s">
        <v>1334</v>
      </c>
      <c r="U389" s="24" t="s">
        <v>1334</v>
      </c>
      <c r="V389" s="3"/>
      <c r="W389" s="25" t="str">
        <f>IFERROR(VLOOKUP(Caja_Arequipa[[#This Row],[destinatario]],CHOOSE({1,2},Clientes_Proveedores[Razon Social],Clientes_Proveedores[Ruc / Dni]),2,0),"")</f>
        <v/>
      </c>
      <c r="X389" s="3" t="s">
        <v>5905</v>
      </c>
      <c r="Y389" s="3"/>
      <c r="Z389" s="3"/>
      <c r="AA389" s="3"/>
      <c r="AB389" s="3" t="str">
        <f>IF(Caja_Arequipa[[#This Row],[fecha]]&gt;0,TEXT(Caja_Arequipa[[#This Row],[fecha]],"mmmm"),0)</f>
        <v>Mayo</v>
      </c>
    </row>
    <row r="390" spans="1:28" x14ac:dyDescent="0.3">
      <c r="A390" s="2">
        <f>IF(Caja_Arequipa[[#This Row],[tipo_r]]="R",COUNTIFS($C$1:$C389,"R")+1,A389)</f>
        <v>358</v>
      </c>
      <c r="B390" s="19" t="str">
        <f t="shared" si="27"/>
        <v>C-Tesoreria</v>
      </c>
      <c r="C390" s="3" t="s">
        <v>1330</v>
      </c>
      <c r="D390" s="14">
        <v>45785</v>
      </c>
      <c r="E390" s="5" t="s">
        <v>2269</v>
      </c>
      <c r="F390" s="5" t="s">
        <v>1336</v>
      </c>
      <c r="G390" s="3" t="s">
        <v>5450</v>
      </c>
      <c r="H390" s="6"/>
      <c r="I390" s="6" t="s">
        <v>111</v>
      </c>
      <c r="J390" s="6">
        <v>3</v>
      </c>
      <c r="K390" s="6">
        <v>160</v>
      </c>
      <c r="L390" s="7" t="s">
        <v>5906</v>
      </c>
      <c r="M390" s="8" t="str">
        <f>IF(Caja_Arequipa[[#This Row],[tipo_r]]="R","001-"&amp;12002+A390,M389)</f>
        <v>001-12360</v>
      </c>
      <c r="N390" s="8" t="str">
        <f t="shared" si="30"/>
        <v>PEN</v>
      </c>
      <c r="O390" s="13"/>
      <c r="P390" s="13">
        <v>18</v>
      </c>
      <c r="Q390" s="3">
        <f t="shared" si="28"/>
        <v>0</v>
      </c>
      <c r="R390" s="3">
        <f t="shared" si="29"/>
        <v>18</v>
      </c>
      <c r="S390" s="3">
        <f t="shared" si="31"/>
        <v>2083.7999999999993</v>
      </c>
      <c r="T390" s="24" t="s">
        <v>1334</v>
      </c>
      <c r="U390" s="24" t="s">
        <v>1334</v>
      </c>
      <c r="V390" s="3"/>
      <c r="W390" s="25" t="str">
        <f>IFERROR(VLOOKUP(Caja_Arequipa[[#This Row],[destinatario]],CHOOSE({1,2},Clientes_Proveedores[Razon Social],Clientes_Proveedores[Ruc / Dni]),2,0),"")</f>
        <v/>
      </c>
      <c r="X390" s="3" t="s">
        <v>5907</v>
      </c>
      <c r="Y390" s="3"/>
      <c r="Z390" s="3"/>
      <c r="AA390" s="3"/>
      <c r="AB390" s="3" t="str">
        <f>IF(Caja_Arequipa[[#This Row],[fecha]]&gt;0,TEXT(Caja_Arequipa[[#This Row],[fecha]],"mmmm"),0)</f>
        <v>Mayo</v>
      </c>
    </row>
    <row r="391" spans="1:28" x14ac:dyDescent="0.3">
      <c r="A391" s="2">
        <f>IF(Caja_Arequipa[[#This Row],[tipo_r]]="R",COUNTIFS($C$1:$C390,"R")+1,A390)</f>
        <v>359</v>
      </c>
      <c r="B391" s="19" t="str">
        <f t="shared" si="27"/>
        <v>C-Tesoreria</v>
      </c>
      <c r="C391" s="3" t="s">
        <v>1330</v>
      </c>
      <c r="D391" s="14">
        <v>45786</v>
      </c>
      <c r="E391" s="5" t="s">
        <v>1416</v>
      </c>
      <c r="F391" s="5" t="s">
        <v>1303</v>
      </c>
      <c r="G391" s="3" t="s">
        <v>3634</v>
      </c>
      <c r="H391" s="6"/>
      <c r="I391" s="6"/>
      <c r="J391" s="6"/>
      <c r="K391" s="6"/>
      <c r="L391" s="7" t="s">
        <v>5340</v>
      </c>
      <c r="M391" s="8" t="str">
        <f>IF(Caja_Arequipa[[#This Row],[tipo_r]]="R","001-"&amp;12002+A391,M390)</f>
        <v>001-12361</v>
      </c>
      <c r="N391" s="8" t="str">
        <f t="shared" si="30"/>
        <v>PEN</v>
      </c>
      <c r="O391" s="13"/>
      <c r="P391" s="13">
        <v>350</v>
      </c>
      <c r="Q391" s="3">
        <f t="shared" si="28"/>
        <v>350</v>
      </c>
      <c r="R391" s="3">
        <f t="shared" si="29"/>
        <v>0</v>
      </c>
      <c r="S391" s="3">
        <f t="shared" si="31"/>
        <v>2433.7999999999993</v>
      </c>
      <c r="T391" s="24"/>
      <c r="U391" s="24"/>
      <c r="V391" s="3"/>
      <c r="W391" s="25" t="str">
        <f>IFERROR(VLOOKUP(Caja_Arequipa[[#This Row],[destinatario]],CHOOSE({1,2},Clientes_Proveedores[Razon Social],Clientes_Proveedores[Ruc / Dni]),2,0),"")</f>
        <v/>
      </c>
      <c r="X391" s="3"/>
      <c r="Y391" s="3"/>
      <c r="Z391" s="3"/>
      <c r="AA391" s="3"/>
      <c r="AB391" s="3" t="str">
        <f>IF(Caja_Arequipa[[#This Row],[fecha]]&gt;0,TEXT(Caja_Arequipa[[#This Row],[fecha]],"mmmm"),0)</f>
        <v>Mayo</v>
      </c>
    </row>
    <row r="392" spans="1:28" ht="24" x14ac:dyDescent="0.3">
      <c r="A392" s="2">
        <f>IF(Caja_Arequipa[[#This Row],[tipo_r]]="R",COUNTIFS($C$1:$C391,"R")+1,A391)</f>
        <v>360</v>
      </c>
      <c r="B392" s="19" t="str">
        <f t="shared" si="27"/>
        <v>C-Tesoreria</v>
      </c>
      <c r="C392" s="3" t="s">
        <v>1330</v>
      </c>
      <c r="D392" s="14">
        <v>45786</v>
      </c>
      <c r="E392" s="5" t="s">
        <v>2269</v>
      </c>
      <c r="F392" s="5" t="s">
        <v>1336</v>
      </c>
      <c r="G392" s="3" t="s">
        <v>3308</v>
      </c>
      <c r="H392" s="6"/>
      <c r="I392" s="6" t="s">
        <v>130</v>
      </c>
      <c r="J392" s="6">
        <v>1</v>
      </c>
      <c r="K392" s="6">
        <v>128</v>
      </c>
      <c r="L392" s="7" t="s">
        <v>5908</v>
      </c>
      <c r="M392" s="8" t="str">
        <f>IF(Caja_Arequipa[[#This Row],[tipo_r]]="R","001-"&amp;12002+A392,M391)</f>
        <v>001-12362</v>
      </c>
      <c r="N392" s="8" t="str">
        <f t="shared" si="30"/>
        <v>PEN</v>
      </c>
      <c r="O392" s="13"/>
      <c r="P392" s="13">
        <v>64</v>
      </c>
      <c r="Q392" s="3">
        <f t="shared" si="28"/>
        <v>0</v>
      </c>
      <c r="R392" s="3">
        <f t="shared" si="29"/>
        <v>64</v>
      </c>
      <c r="S392" s="3">
        <f t="shared" si="31"/>
        <v>2369.7999999999993</v>
      </c>
      <c r="T392" s="24"/>
      <c r="U392" s="24"/>
      <c r="V392" s="3"/>
      <c r="W392" s="25" t="str">
        <f>IFERROR(VLOOKUP(Caja_Arequipa[[#This Row],[destinatario]],CHOOSE({1,2},Clientes_Proveedores[Razon Social],Clientes_Proveedores[Ruc / Dni]),2,0),"")</f>
        <v/>
      </c>
      <c r="X392" s="3" t="s">
        <v>5909</v>
      </c>
      <c r="Y392" s="3"/>
      <c r="Z392" s="3"/>
      <c r="AA392" s="3"/>
      <c r="AB392" s="3" t="str">
        <f>IF(Caja_Arequipa[[#This Row],[fecha]]&gt;0,TEXT(Caja_Arequipa[[#This Row],[fecha]],"mmmm"),0)</f>
        <v>Mayo</v>
      </c>
    </row>
    <row r="393" spans="1:28" x14ac:dyDescent="0.3">
      <c r="A393" s="2">
        <f>IF(Caja_Arequipa[[#This Row],[tipo_r]]="R",COUNTIFS($C$1:$C392,"R")+1,A392)</f>
        <v>361</v>
      </c>
      <c r="B393" s="19" t="str">
        <f t="shared" si="27"/>
        <v>C-Tesoreria</v>
      </c>
      <c r="C393" s="3" t="s">
        <v>1330</v>
      </c>
      <c r="D393" s="14">
        <v>45786</v>
      </c>
      <c r="E393" s="5" t="s">
        <v>2269</v>
      </c>
      <c r="F393" s="5" t="s">
        <v>1336</v>
      </c>
      <c r="G393" s="3" t="s">
        <v>5380</v>
      </c>
      <c r="H393" s="6"/>
      <c r="I393" s="6"/>
      <c r="J393" s="6"/>
      <c r="K393" s="6"/>
      <c r="L393" s="7" t="s">
        <v>5910</v>
      </c>
      <c r="M393" s="8" t="str">
        <f>IF(Caja_Arequipa[[#This Row],[tipo_r]]="R","001-"&amp;12002+A393,M392)</f>
        <v>001-12363</v>
      </c>
      <c r="N393" s="8" t="str">
        <f t="shared" si="30"/>
        <v>PEN</v>
      </c>
      <c r="O393" s="13"/>
      <c r="P393" s="13">
        <v>35</v>
      </c>
      <c r="Q393" s="3">
        <f t="shared" si="28"/>
        <v>0</v>
      </c>
      <c r="R393" s="3">
        <f t="shared" si="29"/>
        <v>35</v>
      </c>
      <c r="S393" s="3">
        <f t="shared" si="31"/>
        <v>2334.7999999999993</v>
      </c>
      <c r="T393" s="24" t="s">
        <v>1334</v>
      </c>
      <c r="U393" s="24" t="s">
        <v>1334</v>
      </c>
      <c r="V393" s="3"/>
      <c r="W393" s="25" t="str">
        <f>IFERROR(VLOOKUP(Caja_Arequipa[[#This Row],[destinatario]],CHOOSE({1,2},Clientes_Proveedores[Razon Social],Clientes_Proveedores[Ruc / Dni]),2,0),"")</f>
        <v/>
      </c>
      <c r="X393" s="3" t="s">
        <v>5911</v>
      </c>
      <c r="Y393" s="3"/>
      <c r="Z393" s="3"/>
      <c r="AA393" s="3"/>
      <c r="AB393" s="3" t="str">
        <f>IF(Caja_Arequipa[[#This Row],[fecha]]&gt;0,TEXT(Caja_Arequipa[[#This Row],[fecha]],"mmmm"),0)</f>
        <v>Mayo</v>
      </c>
    </row>
    <row r="394" spans="1:28" x14ac:dyDescent="0.3">
      <c r="A394" s="2">
        <f>IF(Caja_Arequipa[[#This Row],[tipo_r]]="R",COUNTIFS($C$1:$C393,"R")+1,A393)</f>
        <v>362</v>
      </c>
      <c r="B394" s="19" t="str">
        <f t="shared" si="27"/>
        <v>C-Tesoreria</v>
      </c>
      <c r="C394" s="3" t="s">
        <v>1330</v>
      </c>
      <c r="D394" s="14">
        <v>45786</v>
      </c>
      <c r="E394" s="5" t="s">
        <v>2269</v>
      </c>
      <c r="F394" s="5" t="s">
        <v>1336</v>
      </c>
      <c r="G394" s="3" t="s">
        <v>5380</v>
      </c>
      <c r="H394" s="6"/>
      <c r="I394" s="6"/>
      <c r="J394" s="6"/>
      <c r="K394" s="6"/>
      <c r="L394" s="7" t="s">
        <v>5552</v>
      </c>
      <c r="M394" s="8" t="str">
        <f>IF(Caja_Arequipa[[#This Row],[tipo_r]]="R","001-"&amp;12002+A394,M393)</f>
        <v>001-12364</v>
      </c>
      <c r="N394" s="8" t="str">
        <f t="shared" si="30"/>
        <v>PEN</v>
      </c>
      <c r="O394" s="13"/>
      <c r="P394" s="13">
        <v>30</v>
      </c>
      <c r="Q394" s="3">
        <f t="shared" si="28"/>
        <v>0</v>
      </c>
      <c r="R394" s="3">
        <f t="shared" si="29"/>
        <v>30</v>
      </c>
      <c r="S394" s="3">
        <f t="shared" si="31"/>
        <v>2304.7999999999993</v>
      </c>
      <c r="T394" s="24" t="s">
        <v>1334</v>
      </c>
      <c r="U394" s="24" t="s">
        <v>1334</v>
      </c>
      <c r="V394" s="3"/>
      <c r="W394" s="25" t="str">
        <f>IFERROR(VLOOKUP(Caja_Arequipa[[#This Row],[destinatario]],CHOOSE({1,2},Clientes_Proveedores[Razon Social],Clientes_Proveedores[Ruc / Dni]),2,0),"")</f>
        <v/>
      </c>
      <c r="X394" s="3" t="s">
        <v>5912</v>
      </c>
      <c r="Y394" s="3"/>
      <c r="Z394" s="3"/>
      <c r="AA394" s="3"/>
      <c r="AB394" s="3" t="str">
        <f>IF(Caja_Arequipa[[#This Row],[fecha]]&gt;0,TEXT(Caja_Arequipa[[#This Row],[fecha]],"mmmm"),0)</f>
        <v>Mayo</v>
      </c>
    </row>
    <row r="395" spans="1:28" x14ac:dyDescent="0.3">
      <c r="A395" s="2">
        <f>IF(Caja_Arequipa[[#This Row],[tipo_r]]="R",COUNTIFS($C$1:$C394,"R")+1,A394)</f>
        <v>363</v>
      </c>
      <c r="B395" s="19" t="str">
        <f t="shared" si="27"/>
        <v>C-Tesoreria</v>
      </c>
      <c r="C395" s="3" t="s">
        <v>1330</v>
      </c>
      <c r="D395" s="14">
        <v>45786</v>
      </c>
      <c r="E395" s="5" t="s">
        <v>2269</v>
      </c>
      <c r="F395" s="5" t="s">
        <v>1336</v>
      </c>
      <c r="G395" s="3" t="s">
        <v>5380</v>
      </c>
      <c r="H395" s="6"/>
      <c r="I395" s="6" t="s">
        <v>111</v>
      </c>
      <c r="J395" s="6">
        <v>3</v>
      </c>
      <c r="K395" s="6">
        <v>161</v>
      </c>
      <c r="L395" s="7" t="s">
        <v>5913</v>
      </c>
      <c r="M395" s="8" t="str">
        <f>IF(Caja_Arequipa[[#This Row],[tipo_r]]="R","001-"&amp;12002+A395,M394)</f>
        <v>001-12365</v>
      </c>
      <c r="N395" s="8" t="str">
        <f t="shared" si="30"/>
        <v>PEN</v>
      </c>
      <c r="O395" s="13"/>
      <c r="P395" s="13">
        <v>14</v>
      </c>
      <c r="Q395" s="3">
        <f t="shared" si="28"/>
        <v>0</v>
      </c>
      <c r="R395" s="3">
        <f t="shared" si="29"/>
        <v>14</v>
      </c>
      <c r="S395" s="3">
        <f t="shared" si="31"/>
        <v>2290.7999999999993</v>
      </c>
      <c r="T395" s="24" t="s">
        <v>1334</v>
      </c>
      <c r="U395" s="24" t="s">
        <v>1334</v>
      </c>
      <c r="V395" s="3"/>
      <c r="W395" s="25" t="str">
        <f>IFERROR(VLOOKUP(Caja_Arequipa[[#This Row],[destinatario]],CHOOSE({1,2},Clientes_Proveedores[Razon Social],Clientes_Proveedores[Ruc / Dni]),2,0),"")</f>
        <v/>
      </c>
      <c r="X395" s="3" t="s">
        <v>5914</v>
      </c>
      <c r="Y395" s="3"/>
      <c r="Z395" s="3"/>
      <c r="AA395" s="3"/>
      <c r="AB395" s="3" t="str">
        <f>IF(Caja_Arequipa[[#This Row],[fecha]]&gt;0,TEXT(Caja_Arequipa[[#This Row],[fecha]],"mmmm"),0)</f>
        <v>Mayo</v>
      </c>
    </row>
    <row r="396" spans="1:28" ht="60" x14ac:dyDescent="0.3">
      <c r="A396" s="2">
        <f>IF(Caja_Arequipa[[#This Row],[tipo_r]]="R",COUNTIFS($C$1:$C395,"R")+1,A395)</f>
        <v>364</v>
      </c>
      <c r="B396" s="19" t="str">
        <f t="shared" si="27"/>
        <v>C-Tesoreria</v>
      </c>
      <c r="C396" s="3" t="s">
        <v>1330</v>
      </c>
      <c r="D396" s="14">
        <v>45786</v>
      </c>
      <c r="E396" s="5" t="s">
        <v>2269</v>
      </c>
      <c r="F396" s="5" t="s">
        <v>1336</v>
      </c>
      <c r="G396" s="3" t="s">
        <v>5274</v>
      </c>
      <c r="H396" s="6"/>
      <c r="I396" s="6"/>
      <c r="J396" s="6"/>
      <c r="K396" s="6"/>
      <c r="L396" s="7" t="s">
        <v>5915</v>
      </c>
      <c r="M396" s="8" t="str">
        <f>IF(Caja_Arequipa[[#This Row],[tipo_r]]="R","001-"&amp;12002+A396,M395)</f>
        <v>001-12366</v>
      </c>
      <c r="N396" s="8" t="str">
        <f t="shared" si="30"/>
        <v>PEN</v>
      </c>
      <c r="O396" s="13"/>
      <c r="P396" s="13">
        <v>140</v>
      </c>
      <c r="Q396" s="3">
        <f t="shared" si="28"/>
        <v>0</v>
      </c>
      <c r="R396" s="3">
        <f t="shared" si="29"/>
        <v>140</v>
      </c>
      <c r="S396" s="3">
        <f t="shared" si="31"/>
        <v>2150.7999999999993</v>
      </c>
      <c r="T396" s="24" t="s">
        <v>1334</v>
      </c>
      <c r="U396" s="24" t="s">
        <v>1334</v>
      </c>
      <c r="V396" s="3"/>
      <c r="W396" s="25" t="str">
        <f>IFERROR(VLOOKUP(Caja_Arequipa[[#This Row],[destinatario]],CHOOSE({1,2},Clientes_Proveedores[Razon Social],Clientes_Proveedores[Ruc / Dni]),2,0),"")</f>
        <v/>
      </c>
      <c r="X396" s="3" t="s">
        <v>5916</v>
      </c>
      <c r="Y396" s="3"/>
      <c r="Z396" s="3"/>
      <c r="AA396" s="3"/>
      <c r="AB396" s="3" t="str">
        <f>IF(Caja_Arequipa[[#This Row],[fecha]]&gt;0,TEXT(Caja_Arequipa[[#This Row],[fecha]],"mmmm"),0)</f>
        <v>Mayo</v>
      </c>
    </row>
    <row r="397" spans="1:28" ht="36" x14ac:dyDescent="0.3">
      <c r="A397" s="2">
        <f>IF(Caja_Arequipa[[#This Row],[tipo_r]]="R",COUNTIFS($C$1:$C396,"R")+1,A396)</f>
        <v>364</v>
      </c>
      <c r="B397" s="19" t="str">
        <f t="shared" ref="B397:B403" si="32">"C-Tesoreria"</f>
        <v>C-Tesoreria</v>
      </c>
      <c r="C397" s="3" t="s">
        <v>1352</v>
      </c>
      <c r="D397" s="14">
        <v>45786</v>
      </c>
      <c r="E397" s="5" t="s">
        <v>2269</v>
      </c>
      <c r="F397" s="5" t="s">
        <v>1336</v>
      </c>
      <c r="G397" s="3" t="s">
        <v>5274</v>
      </c>
      <c r="H397" s="6" t="s">
        <v>227</v>
      </c>
      <c r="I397" s="6" t="s">
        <v>68</v>
      </c>
      <c r="J397" s="6" t="s">
        <v>1390</v>
      </c>
      <c r="K397" s="6">
        <v>131590</v>
      </c>
      <c r="L397" s="7" t="s">
        <v>5915</v>
      </c>
      <c r="M397" s="8" t="str">
        <f>IF(Caja_Arequipa[[#This Row],[tipo_r]]="R","001-"&amp;12002+A397,M396)</f>
        <v>001-12366</v>
      </c>
      <c r="N397" s="8" t="str">
        <f t="shared" ref="N397:N403" si="33">"PEN"</f>
        <v>PEN</v>
      </c>
      <c r="O397" s="13">
        <v>5</v>
      </c>
      <c r="P397" s="13"/>
      <c r="Q397" s="3">
        <f t="shared" ref="Q397:Q403" si="34">+IF(OR($F397="SALDO",$F397="INGRESO"),$P397,0)</f>
        <v>0</v>
      </c>
      <c r="R397" s="3">
        <f t="shared" ref="R397:R403" si="35">+IF($F397="EGRESO",$P397,0)</f>
        <v>0</v>
      </c>
      <c r="S397" s="3">
        <f t="shared" si="31"/>
        <v>2150.7999999999993</v>
      </c>
      <c r="T397" s="24"/>
      <c r="U397" s="24"/>
      <c r="V397" s="3"/>
      <c r="W397" s="25">
        <f>IFERROR(VLOOKUP(Caja_Arequipa[[#This Row],[destinatario]],CHOOSE({1,2},Clientes_Proveedores[Razon Social],Clientes_Proveedores[Ruc / Dni]),2,0),"")</f>
        <v>20124952850</v>
      </c>
      <c r="X397" s="3"/>
      <c r="Y397" s="3"/>
      <c r="Z397" s="3"/>
      <c r="AA397" s="3"/>
      <c r="AB397" s="3" t="str">
        <f>IF(Caja_Arequipa[[#This Row],[fecha]]&gt;0,TEXT(Caja_Arequipa[[#This Row],[fecha]],"mmmm"),0)</f>
        <v>Mayo</v>
      </c>
    </row>
    <row r="398" spans="1:28" ht="36" x14ac:dyDescent="0.3">
      <c r="A398" s="2">
        <f>IF(Caja_Arequipa[[#This Row],[tipo_r]]="R",COUNTIFS($C$1:$C397,"R")+1,A397)</f>
        <v>364</v>
      </c>
      <c r="B398" s="19" t="str">
        <f t="shared" si="32"/>
        <v>C-Tesoreria</v>
      </c>
      <c r="C398" s="3" t="s">
        <v>1352</v>
      </c>
      <c r="D398" s="14">
        <v>45786</v>
      </c>
      <c r="E398" s="5" t="s">
        <v>2269</v>
      </c>
      <c r="F398" s="5" t="s">
        <v>1336</v>
      </c>
      <c r="G398" s="3" t="s">
        <v>5274</v>
      </c>
      <c r="H398" s="6" t="s">
        <v>227</v>
      </c>
      <c r="I398" s="6" t="s">
        <v>68</v>
      </c>
      <c r="J398" s="6" t="s">
        <v>1390</v>
      </c>
      <c r="K398" s="6">
        <v>131600</v>
      </c>
      <c r="L398" s="7" t="s">
        <v>5915</v>
      </c>
      <c r="M398" s="8" t="str">
        <f>IF(Caja_Arequipa[[#This Row],[tipo_r]]="R","001-"&amp;12002+A398,M397)</f>
        <v>001-12366</v>
      </c>
      <c r="N398" s="8" t="str">
        <f t="shared" si="33"/>
        <v>PEN</v>
      </c>
      <c r="O398" s="13">
        <v>5</v>
      </c>
      <c r="P398" s="13"/>
      <c r="Q398" s="3">
        <f t="shared" si="34"/>
        <v>0</v>
      </c>
      <c r="R398" s="3">
        <f t="shared" si="35"/>
        <v>0</v>
      </c>
      <c r="S398" s="3">
        <f t="shared" si="31"/>
        <v>2150.7999999999993</v>
      </c>
      <c r="T398" s="24"/>
      <c r="U398" s="24"/>
      <c r="V398" s="3"/>
      <c r="W398" s="25">
        <f>IFERROR(VLOOKUP(Caja_Arequipa[[#This Row],[destinatario]],CHOOSE({1,2},Clientes_Proveedores[Razon Social],Clientes_Proveedores[Ruc / Dni]),2,0),"")</f>
        <v>20124952850</v>
      </c>
      <c r="X398" s="3"/>
      <c r="Y398" s="3"/>
      <c r="Z398" s="3"/>
      <c r="AA398" s="3"/>
      <c r="AB398" s="3" t="str">
        <f>IF(Caja_Arequipa[[#This Row],[fecha]]&gt;0,TEXT(Caja_Arequipa[[#This Row],[fecha]],"mmmm"),0)</f>
        <v>Mayo</v>
      </c>
    </row>
    <row r="399" spans="1:28" ht="36" x14ac:dyDescent="0.3">
      <c r="A399" s="2">
        <f>IF(Caja_Arequipa[[#This Row],[tipo_r]]="R",COUNTIFS($C$1:$C398,"R")+1,A398)</f>
        <v>364</v>
      </c>
      <c r="B399" s="19" t="str">
        <f t="shared" si="32"/>
        <v>C-Tesoreria</v>
      </c>
      <c r="C399" s="3" t="s">
        <v>1352</v>
      </c>
      <c r="D399" s="14">
        <v>45786</v>
      </c>
      <c r="E399" s="5" t="s">
        <v>2269</v>
      </c>
      <c r="F399" s="5" t="s">
        <v>1336</v>
      </c>
      <c r="G399" s="3" t="s">
        <v>5274</v>
      </c>
      <c r="H399" s="6" t="s">
        <v>227</v>
      </c>
      <c r="I399" s="6" t="s">
        <v>68</v>
      </c>
      <c r="J399" s="6" t="s">
        <v>1390</v>
      </c>
      <c r="K399" s="6">
        <v>131605</v>
      </c>
      <c r="L399" s="7" t="s">
        <v>5915</v>
      </c>
      <c r="M399" s="8" t="str">
        <f>IF(Caja_Arequipa[[#This Row],[tipo_r]]="R","001-"&amp;12002+A399,M398)</f>
        <v>001-12366</v>
      </c>
      <c r="N399" s="8" t="str">
        <f t="shared" si="33"/>
        <v>PEN</v>
      </c>
      <c r="O399" s="13">
        <v>5</v>
      </c>
      <c r="P399" s="13"/>
      <c r="Q399" s="3">
        <f t="shared" si="34"/>
        <v>0</v>
      </c>
      <c r="R399" s="3">
        <f t="shared" si="35"/>
        <v>0</v>
      </c>
      <c r="S399" s="3">
        <f t="shared" si="31"/>
        <v>2150.7999999999993</v>
      </c>
      <c r="T399" s="24"/>
      <c r="U399" s="24"/>
      <c r="V399" s="3"/>
      <c r="W399" s="25">
        <f>IFERROR(VLOOKUP(Caja_Arequipa[[#This Row],[destinatario]],CHOOSE({1,2},Clientes_Proveedores[Razon Social],Clientes_Proveedores[Ruc / Dni]),2,0),"")</f>
        <v>20124952850</v>
      </c>
      <c r="X399" s="3"/>
      <c r="Y399" s="3"/>
      <c r="Z399" s="3"/>
      <c r="AA399" s="3"/>
      <c r="AB399" s="3" t="str">
        <f>IF(Caja_Arequipa[[#This Row],[fecha]]&gt;0,TEXT(Caja_Arequipa[[#This Row],[fecha]],"mmmm"),0)</f>
        <v>Mayo</v>
      </c>
    </row>
    <row r="400" spans="1:28" ht="36" x14ac:dyDescent="0.3">
      <c r="A400" s="2">
        <f>IF(Caja_Arequipa[[#This Row],[tipo_r]]="R",COUNTIFS($C$1:$C399,"R")+1,A399)</f>
        <v>364</v>
      </c>
      <c r="B400" s="19" t="str">
        <f t="shared" si="32"/>
        <v>C-Tesoreria</v>
      </c>
      <c r="C400" s="3" t="s">
        <v>1352</v>
      </c>
      <c r="D400" s="14">
        <v>45786</v>
      </c>
      <c r="E400" s="5" t="s">
        <v>2269</v>
      </c>
      <c r="F400" s="5" t="s">
        <v>1336</v>
      </c>
      <c r="G400" s="3" t="s">
        <v>5274</v>
      </c>
      <c r="H400" s="6" t="s">
        <v>227</v>
      </c>
      <c r="I400" s="6" t="s">
        <v>68</v>
      </c>
      <c r="J400" s="6" t="s">
        <v>1390</v>
      </c>
      <c r="K400" s="6">
        <v>131583</v>
      </c>
      <c r="L400" s="7" t="s">
        <v>5915</v>
      </c>
      <c r="M400" s="8" t="str">
        <f>IF(Caja_Arequipa[[#This Row],[tipo_r]]="R","001-"&amp;12002+A400,M399)</f>
        <v>001-12366</v>
      </c>
      <c r="N400" s="8" t="str">
        <f t="shared" si="33"/>
        <v>PEN</v>
      </c>
      <c r="O400" s="13">
        <v>10</v>
      </c>
      <c r="P400" s="13"/>
      <c r="Q400" s="3">
        <f t="shared" si="34"/>
        <v>0</v>
      </c>
      <c r="R400" s="3">
        <f t="shared" si="35"/>
        <v>0</v>
      </c>
      <c r="S400" s="3">
        <f t="shared" si="31"/>
        <v>2150.7999999999993</v>
      </c>
      <c r="T400" s="24"/>
      <c r="U400" s="24"/>
      <c r="V400" s="3"/>
      <c r="W400" s="25">
        <f>IFERROR(VLOOKUP(Caja_Arequipa[[#This Row],[destinatario]],CHOOSE({1,2},Clientes_Proveedores[Razon Social],Clientes_Proveedores[Ruc / Dni]),2,0),"")</f>
        <v>20124952850</v>
      </c>
      <c r="X400" s="3"/>
      <c r="Y400" s="3"/>
      <c r="Z400" s="3"/>
      <c r="AA400" s="3"/>
      <c r="AB400" s="3" t="str">
        <f>IF(Caja_Arequipa[[#This Row],[fecha]]&gt;0,TEXT(Caja_Arequipa[[#This Row],[fecha]],"mmmm"),0)</f>
        <v>Mayo</v>
      </c>
    </row>
    <row r="401" spans="1:28" ht="24" x14ac:dyDescent="0.3">
      <c r="A401" s="2">
        <f>IF(Caja_Arequipa[[#This Row],[tipo_r]]="R",COUNTIFS($C$1:$C400,"R")+1,A400)</f>
        <v>364</v>
      </c>
      <c r="B401" s="19" t="str">
        <f t="shared" si="32"/>
        <v>C-Tesoreria</v>
      </c>
      <c r="C401" s="3" t="s">
        <v>1352</v>
      </c>
      <c r="D401" s="14">
        <v>45786</v>
      </c>
      <c r="E401" s="5" t="s">
        <v>2269</v>
      </c>
      <c r="F401" s="5" t="s">
        <v>1336</v>
      </c>
      <c r="G401" s="3" t="s">
        <v>5274</v>
      </c>
      <c r="H401" s="6" t="s">
        <v>974</v>
      </c>
      <c r="I401" s="6" t="s">
        <v>68</v>
      </c>
      <c r="J401" s="6" t="s">
        <v>5917</v>
      </c>
      <c r="K401" s="6">
        <v>4837</v>
      </c>
      <c r="L401" s="7" t="s">
        <v>5915</v>
      </c>
      <c r="M401" s="8" t="str">
        <f>IF(Caja_Arequipa[[#This Row],[tipo_r]]="R","001-"&amp;12002+A401,M400)</f>
        <v>001-12366</v>
      </c>
      <c r="N401" s="8" t="str">
        <f t="shared" si="33"/>
        <v>PEN</v>
      </c>
      <c r="O401" s="13">
        <v>11</v>
      </c>
      <c r="P401" s="13"/>
      <c r="Q401" s="3">
        <f t="shared" si="34"/>
        <v>0</v>
      </c>
      <c r="R401" s="3">
        <f t="shared" si="35"/>
        <v>0</v>
      </c>
      <c r="S401" s="3">
        <f t="shared" si="31"/>
        <v>2150.7999999999993</v>
      </c>
      <c r="T401" s="24"/>
      <c r="U401" s="24"/>
      <c r="V401" s="3"/>
      <c r="W401" s="25">
        <f>IFERROR(VLOOKUP(Caja_Arequipa[[#This Row],[destinatario]],CHOOSE({1,2},Clientes_Proveedores[Razon Social],Clientes_Proveedores[Ruc / Dni]),2,0),"")</f>
        <v>20558053691</v>
      </c>
      <c r="X401" s="3"/>
      <c r="Y401" s="3"/>
      <c r="Z401" s="3"/>
      <c r="AA401" s="3"/>
      <c r="AB401" s="3" t="str">
        <f>IF(Caja_Arequipa[[#This Row],[fecha]]&gt;0,TEXT(Caja_Arequipa[[#This Row],[fecha]],"mmmm"),0)</f>
        <v>Mayo</v>
      </c>
    </row>
    <row r="402" spans="1:28" x14ac:dyDescent="0.3">
      <c r="A402" s="2">
        <f>IF(Caja_Arequipa[[#This Row],[tipo_r]]="R",COUNTIFS($C$1:$C401,"R")+1,A401)</f>
        <v>364</v>
      </c>
      <c r="B402" s="19" t="str">
        <f t="shared" si="32"/>
        <v>C-Tesoreria</v>
      </c>
      <c r="C402" s="3" t="s">
        <v>1352</v>
      </c>
      <c r="D402" s="14">
        <v>45786</v>
      </c>
      <c r="E402" s="5" t="s">
        <v>2269</v>
      </c>
      <c r="F402" s="5" t="s">
        <v>1336</v>
      </c>
      <c r="G402" s="3" t="s">
        <v>5274</v>
      </c>
      <c r="H402" s="6"/>
      <c r="I402" s="6" t="s">
        <v>111</v>
      </c>
      <c r="J402" s="6">
        <v>3</v>
      </c>
      <c r="K402" s="6">
        <v>157</v>
      </c>
      <c r="L402" s="7" t="s">
        <v>5915</v>
      </c>
      <c r="M402" s="8" t="str">
        <f>IF(Caja_Arequipa[[#This Row],[tipo_r]]="R","001-"&amp;12002+A402,M401)</f>
        <v>001-12366</v>
      </c>
      <c r="N402" s="8" t="str">
        <f t="shared" si="33"/>
        <v>PEN</v>
      </c>
      <c r="O402" s="13">
        <v>24</v>
      </c>
      <c r="P402" s="13"/>
      <c r="Q402" s="3">
        <f t="shared" si="34"/>
        <v>0</v>
      </c>
      <c r="R402" s="3">
        <f t="shared" si="35"/>
        <v>0</v>
      </c>
      <c r="S402" s="3">
        <f t="shared" si="31"/>
        <v>2150.7999999999993</v>
      </c>
      <c r="T402" s="24"/>
      <c r="U402" s="24"/>
      <c r="V402" s="3"/>
      <c r="W402" s="25" t="str">
        <f>IFERROR(VLOOKUP(Caja_Arequipa[[#This Row],[destinatario]],CHOOSE({1,2},Clientes_Proveedores[Razon Social],Clientes_Proveedores[Ruc / Dni]),2,0),"")</f>
        <v/>
      </c>
      <c r="X402" s="3"/>
      <c r="Y402" s="3"/>
      <c r="Z402" s="3"/>
      <c r="AA402" s="3"/>
      <c r="AB402" s="3" t="str">
        <f>IF(Caja_Arequipa[[#This Row],[fecha]]&gt;0,TEXT(Caja_Arequipa[[#This Row],[fecha]],"mmmm"),0)</f>
        <v>Mayo</v>
      </c>
    </row>
    <row r="403" spans="1:28" x14ac:dyDescent="0.3">
      <c r="A403" s="2">
        <f>IF(Caja_Arequipa[[#This Row],[tipo_r]]="R",COUNTIFS($C$1:$C402,"R")+1,A402)</f>
        <v>364</v>
      </c>
      <c r="B403" s="19" t="str">
        <f t="shared" si="32"/>
        <v>C-Tesoreria</v>
      </c>
      <c r="C403" s="3" t="s">
        <v>1352</v>
      </c>
      <c r="D403" s="14">
        <v>45786</v>
      </c>
      <c r="E403" s="5" t="s">
        <v>2269</v>
      </c>
      <c r="F403" s="5" t="s">
        <v>1336</v>
      </c>
      <c r="G403" s="3" t="s">
        <v>5274</v>
      </c>
      <c r="H403" s="6"/>
      <c r="I403" s="6" t="s">
        <v>111</v>
      </c>
      <c r="J403" s="6">
        <v>3</v>
      </c>
      <c r="K403" s="6">
        <v>158</v>
      </c>
      <c r="L403" s="7" t="s">
        <v>5915</v>
      </c>
      <c r="M403" s="8" t="str">
        <f>IF(Caja_Arequipa[[#This Row],[tipo_r]]="R","001-"&amp;12002+A403,M402)</f>
        <v>001-12366</v>
      </c>
      <c r="N403" s="8" t="str">
        <f t="shared" si="33"/>
        <v>PEN</v>
      </c>
      <c r="O403" s="13">
        <v>80</v>
      </c>
      <c r="P403" s="13"/>
      <c r="Q403" s="3">
        <f t="shared" si="34"/>
        <v>0</v>
      </c>
      <c r="R403" s="3">
        <f t="shared" si="35"/>
        <v>0</v>
      </c>
      <c r="S403" s="3">
        <f t="shared" si="31"/>
        <v>2150.7999999999993</v>
      </c>
      <c r="T403" s="24"/>
      <c r="U403" s="24"/>
      <c r="V403" s="3"/>
      <c r="W403" s="25" t="str">
        <f>IFERROR(VLOOKUP(Caja_Arequipa[[#This Row],[destinatario]],CHOOSE({1,2},Clientes_Proveedores[Razon Social],Clientes_Proveedores[Ruc / Dni]),2,0),"")</f>
        <v/>
      </c>
      <c r="X403" s="3"/>
      <c r="Y403" s="3"/>
      <c r="Z403" s="3"/>
      <c r="AA403" s="3"/>
      <c r="AB403" s="3" t="str">
        <f>IF(Caja_Arequipa[[#This Row],[fecha]]&gt;0,TEXT(Caja_Arequipa[[#This Row],[fecha]],"mmmm"),0)</f>
        <v>Mayo</v>
      </c>
    </row>
    <row r="404" spans="1:28" ht="24" x14ac:dyDescent="0.3">
      <c r="A404" s="2">
        <f>IF(Caja_Arequipa[[#This Row],[tipo_r]]="R",COUNTIFS($C$1:$C403,"R")+1,A403)</f>
        <v>365</v>
      </c>
      <c r="B404" s="19" t="str">
        <f t="shared" si="27"/>
        <v>C-Tesoreria</v>
      </c>
      <c r="C404" s="3" t="s">
        <v>1330</v>
      </c>
      <c r="D404" s="14">
        <v>45786</v>
      </c>
      <c r="E404" s="5" t="s">
        <v>2269</v>
      </c>
      <c r="F404" s="5" t="s">
        <v>1336</v>
      </c>
      <c r="G404" s="3" t="s">
        <v>5811</v>
      </c>
      <c r="H404" s="6"/>
      <c r="I404" s="6"/>
      <c r="J404" s="6"/>
      <c r="K404" s="6"/>
      <c r="L404" s="7" t="s">
        <v>5918</v>
      </c>
      <c r="M404" s="8" t="str">
        <f>IF(Caja_Arequipa[[#This Row],[tipo_r]]="R","001-"&amp;12002+A404,M403)</f>
        <v>001-12367</v>
      </c>
      <c r="N404" s="8" t="str">
        <f t="shared" si="30"/>
        <v>PEN</v>
      </c>
      <c r="O404" s="13"/>
      <c r="P404" s="13">
        <v>80</v>
      </c>
      <c r="Q404" s="3">
        <f t="shared" si="28"/>
        <v>0</v>
      </c>
      <c r="R404" s="3">
        <f t="shared" si="29"/>
        <v>80</v>
      </c>
      <c r="S404" s="3">
        <f t="shared" si="31"/>
        <v>2070.7999999999993</v>
      </c>
      <c r="T404" s="24" t="s">
        <v>1334</v>
      </c>
      <c r="U404" s="24" t="s">
        <v>1334</v>
      </c>
      <c r="V404" s="3"/>
      <c r="W404" s="25" t="str">
        <f>IFERROR(VLOOKUP(Caja_Arequipa[[#This Row],[destinatario]],CHOOSE({1,2},Clientes_Proveedores[Razon Social],Clientes_Proveedores[Ruc / Dni]),2,0),"")</f>
        <v/>
      </c>
      <c r="X404" s="3" t="s">
        <v>5919</v>
      </c>
      <c r="Y404" s="3"/>
      <c r="Z404" s="3"/>
      <c r="AA404" s="3"/>
      <c r="AB404" s="3" t="str">
        <f>IF(Caja_Arequipa[[#This Row],[fecha]]&gt;0,TEXT(Caja_Arequipa[[#This Row],[fecha]],"mmmm"),0)</f>
        <v>Mayo</v>
      </c>
    </row>
    <row r="405" spans="1:28" x14ac:dyDescent="0.3">
      <c r="A405" s="2">
        <f>IF(Caja_Arequipa[[#This Row],[tipo_r]]="R",COUNTIFS($C$1:$C404,"R")+1,A404)</f>
        <v>366</v>
      </c>
      <c r="B405" s="19" t="str">
        <f t="shared" si="27"/>
        <v>C-Tesoreria</v>
      </c>
      <c r="C405" s="3" t="s">
        <v>1330</v>
      </c>
      <c r="D405" s="14">
        <v>45789</v>
      </c>
      <c r="E405" s="5" t="s">
        <v>1416</v>
      </c>
      <c r="F405" s="5" t="s">
        <v>1303</v>
      </c>
      <c r="G405" s="3" t="s">
        <v>3634</v>
      </c>
      <c r="H405" s="6"/>
      <c r="I405" s="6"/>
      <c r="J405" s="6"/>
      <c r="K405" s="6"/>
      <c r="L405" s="7" t="s">
        <v>5340</v>
      </c>
      <c r="M405" s="8" t="str">
        <f>IF(Caja_Arequipa[[#This Row],[tipo_r]]="R","001-"&amp;12002+A405,M404)</f>
        <v>001-12368</v>
      </c>
      <c r="N405" s="8" t="str">
        <f t="shared" si="30"/>
        <v>PEN</v>
      </c>
      <c r="O405" s="13"/>
      <c r="P405" s="13">
        <v>100</v>
      </c>
      <c r="Q405" s="3">
        <f t="shared" si="28"/>
        <v>100</v>
      </c>
      <c r="R405" s="3">
        <f t="shared" si="29"/>
        <v>0</v>
      </c>
      <c r="S405" s="3">
        <f t="shared" si="31"/>
        <v>2170.7999999999993</v>
      </c>
      <c r="T405" s="24"/>
      <c r="U405" s="24"/>
      <c r="V405" s="3"/>
      <c r="W405" s="25" t="str">
        <f>IFERROR(VLOOKUP(Caja_Arequipa[[#This Row],[destinatario]],CHOOSE({1,2},Clientes_Proveedores[Razon Social],Clientes_Proveedores[Ruc / Dni]),2,0),"")</f>
        <v/>
      </c>
      <c r="X405" s="3"/>
      <c r="Y405" s="3"/>
      <c r="Z405" s="3"/>
      <c r="AA405" s="3"/>
      <c r="AB405" s="3" t="str">
        <f>IF(Caja_Arequipa[[#This Row],[fecha]]&gt;0,TEXT(Caja_Arequipa[[#This Row],[fecha]],"mmmm"),0)</f>
        <v>Mayo</v>
      </c>
    </row>
    <row r="406" spans="1:28" ht="24" x14ac:dyDescent="0.3">
      <c r="A406" s="2">
        <f>IF(Caja_Arequipa[[#This Row],[tipo_r]]="R",COUNTIFS($C$1:$C405,"R")+1,A405)</f>
        <v>367</v>
      </c>
      <c r="B406" s="19" t="str">
        <f t="shared" si="27"/>
        <v>C-Tesoreria</v>
      </c>
      <c r="C406" s="3" t="s">
        <v>1330</v>
      </c>
      <c r="D406" s="14">
        <v>45789</v>
      </c>
      <c r="E406" s="5" t="s">
        <v>1416</v>
      </c>
      <c r="F406" s="5" t="s">
        <v>1336</v>
      </c>
      <c r="G406" s="3" t="s">
        <v>3308</v>
      </c>
      <c r="H406" s="6"/>
      <c r="I406" s="6"/>
      <c r="J406" s="6"/>
      <c r="K406" s="6"/>
      <c r="L406" s="7" t="s">
        <v>5920</v>
      </c>
      <c r="M406" s="8" t="str">
        <f>IF(Caja_Arequipa[[#This Row],[tipo_r]]="R","001-"&amp;12002+A406,M405)</f>
        <v>001-12369</v>
      </c>
      <c r="N406" s="8" t="str">
        <f t="shared" si="30"/>
        <v>PEN</v>
      </c>
      <c r="O406" s="13"/>
      <c r="P406" s="13">
        <v>65</v>
      </c>
      <c r="Q406" s="3">
        <f t="shared" si="28"/>
        <v>0</v>
      </c>
      <c r="R406" s="3">
        <f t="shared" si="29"/>
        <v>65</v>
      </c>
      <c r="S406" s="3">
        <f t="shared" si="31"/>
        <v>2105.7999999999993</v>
      </c>
      <c r="T406" s="24" t="s">
        <v>1334</v>
      </c>
      <c r="U406" s="24" t="s">
        <v>1334</v>
      </c>
      <c r="V406" s="3"/>
      <c r="W406" s="25" t="str">
        <f>IFERROR(VLOOKUP(Caja_Arequipa[[#This Row],[destinatario]],CHOOSE({1,2},Clientes_Proveedores[Razon Social],Clientes_Proveedores[Ruc / Dni]),2,0),"")</f>
        <v/>
      </c>
      <c r="X406" s="3" t="s">
        <v>5921</v>
      </c>
      <c r="Y406" s="3"/>
      <c r="Z406" s="3"/>
      <c r="AA406" s="3"/>
      <c r="AB406" s="3" t="str">
        <f>IF(Caja_Arequipa[[#This Row],[fecha]]&gt;0,TEXT(Caja_Arequipa[[#This Row],[fecha]],"mmmm"),0)</f>
        <v>Mayo</v>
      </c>
    </row>
    <row r="407" spans="1:28" x14ac:dyDescent="0.3">
      <c r="A407" s="2">
        <f>IF(Caja_Arequipa[[#This Row],[tipo_r]]="R",COUNTIFS($C$1:$C406,"R")+1,A406)</f>
        <v>368</v>
      </c>
      <c r="B407" s="19" t="str">
        <f t="shared" si="27"/>
        <v>C-Tesoreria</v>
      </c>
      <c r="C407" s="3" t="s">
        <v>1330</v>
      </c>
      <c r="D407" s="14">
        <v>45791</v>
      </c>
      <c r="E407" s="5" t="s">
        <v>2269</v>
      </c>
      <c r="F407" s="5" t="s">
        <v>1336</v>
      </c>
      <c r="G407" s="3" t="s">
        <v>5248</v>
      </c>
      <c r="H407" s="6"/>
      <c r="I407" s="6"/>
      <c r="J407" s="6"/>
      <c r="K407" s="6"/>
      <c r="L407" s="7" t="s">
        <v>5922</v>
      </c>
      <c r="M407" s="8" t="str">
        <f>IF(Caja_Arequipa[[#This Row],[tipo_r]]="R","001-"&amp;12002+A407,M406)</f>
        <v>001-12370</v>
      </c>
      <c r="N407" s="8" t="str">
        <f t="shared" si="30"/>
        <v>PEN</v>
      </c>
      <c r="O407" s="13"/>
      <c r="P407" s="13">
        <v>16</v>
      </c>
      <c r="Q407" s="3">
        <f t="shared" si="28"/>
        <v>0</v>
      </c>
      <c r="R407" s="3">
        <f t="shared" si="29"/>
        <v>16</v>
      </c>
      <c r="S407" s="3">
        <f t="shared" si="31"/>
        <v>2089.7999999999993</v>
      </c>
      <c r="T407" s="24" t="s">
        <v>1334</v>
      </c>
      <c r="U407" s="24" t="s">
        <v>1334</v>
      </c>
      <c r="V407" s="3"/>
      <c r="W407" s="25" t="str">
        <f>IFERROR(VLOOKUP(Caja_Arequipa[[#This Row],[destinatario]],CHOOSE({1,2},Clientes_Proveedores[Razon Social],Clientes_Proveedores[Ruc / Dni]),2,0),"")</f>
        <v/>
      </c>
      <c r="X407" s="3" t="s">
        <v>5923</v>
      </c>
      <c r="Y407" s="3"/>
      <c r="Z407" s="3"/>
      <c r="AA407" s="3"/>
      <c r="AB407" s="3" t="str">
        <f>IF(Caja_Arequipa[[#This Row],[fecha]]&gt;0,TEXT(Caja_Arequipa[[#This Row],[fecha]],"mmmm"),0)</f>
        <v>Mayo</v>
      </c>
    </row>
    <row r="408" spans="1:28" x14ac:dyDescent="0.3">
      <c r="A408" s="2">
        <f>IF(Caja_Arequipa[[#This Row],[tipo_r]]="R",COUNTIFS($C$1:$C407,"R")+1,A407)</f>
        <v>369</v>
      </c>
      <c r="B408" s="19" t="str">
        <f t="shared" si="27"/>
        <v>C-Tesoreria</v>
      </c>
      <c r="C408" s="3" t="s">
        <v>1330</v>
      </c>
      <c r="D408" s="14">
        <v>45793</v>
      </c>
      <c r="E408" s="5" t="s">
        <v>1416</v>
      </c>
      <c r="F408" s="5" t="s">
        <v>1336</v>
      </c>
      <c r="G408" s="3" t="s">
        <v>4788</v>
      </c>
      <c r="H408" s="6"/>
      <c r="I408" s="6"/>
      <c r="J408" s="6"/>
      <c r="K408" s="6"/>
      <c r="L408" s="7" t="s">
        <v>5924</v>
      </c>
      <c r="M408" s="8" t="str">
        <f>IF(Caja_Arequipa[[#This Row],[tipo_r]]="R","001-"&amp;12002+A408,M407)</f>
        <v>001-12371</v>
      </c>
      <c r="N408" s="8" t="str">
        <f t="shared" si="30"/>
        <v>PEN</v>
      </c>
      <c r="O408" s="13"/>
      <c r="P408" s="13">
        <v>10</v>
      </c>
      <c r="Q408" s="3">
        <f t="shared" si="28"/>
        <v>0</v>
      </c>
      <c r="R408" s="3">
        <f t="shared" si="29"/>
        <v>10</v>
      </c>
      <c r="S408" s="3">
        <f t="shared" si="31"/>
        <v>2079.7999999999993</v>
      </c>
      <c r="T408" s="24" t="s">
        <v>1334</v>
      </c>
      <c r="U408" s="24" t="s">
        <v>1334</v>
      </c>
      <c r="V408" s="3"/>
      <c r="W408" s="25" t="str">
        <f>IFERROR(VLOOKUP(Caja_Arequipa[[#This Row],[destinatario]],CHOOSE({1,2},Clientes_Proveedores[Razon Social],Clientes_Proveedores[Ruc / Dni]),2,0),"")</f>
        <v/>
      </c>
      <c r="X408" s="3" t="s">
        <v>5925</v>
      </c>
      <c r="Y408" s="3"/>
      <c r="Z408" s="3"/>
      <c r="AA408" s="3"/>
      <c r="AB408" s="3" t="str">
        <f>IF(Caja_Arequipa[[#This Row],[fecha]]&gt;0,TEXT(Caja_Arequipa[[#This Row],[fecha]],"mmmm"),0)</f>
        <v>Mayo</v>
      </c>
    </row>
    <row r="409" spans="1:28" x14ac:dyDescent="0.3">
      <c r="A409" s="2">
        <f>IF(Caja_Arequipa[[#This Row],[tipo_r]]="R",COUNTIFS($C$1:$C408,"R")+1,A408)</f>
        <v>370</v>
      </c>
      <c r="B409" s="19" t="str">
        <f t="shared" si="27"/>
        <v>C-Tesoreria</v>
      </c>
      <c r="C409" s="3" t="s">
        <v>1330</v>
      </c>
      <c r="D409" s="14">
        <v>45798</v>
      </c>
      <c r="E409" s="5" t="s">
        <v>1416</v>
      </c>
      <c r="F409" s="5" t="s">
        <v>1303</v>
      </c>
      <c r="G409" s="3" t="s">
        <v>3634</v>
      </c>
      <c r="H409" s="6"/>
      <c r="I409" s="6"/>
      <c r="J409" s="6"/>
      <c r="K409" s="6"/>
      <c r="L409" s="7" t="s">
        <v>5926</v>
      </c>
      <c r="M409" s="8" t="str">
        <f>IF(Caja_Arequipa[[#This Row],[tipo_r]]="R","001-"&amp;12002+A409,M408)</f>
        <v>001-12372</v>
      </c>
      <c r="N409" s="8" t="str">
        <f t="shared" si="30"/>
        <v>PEN</v>
      </c>
      <c r="O409" s="13"/>
      <c r="P409" s="13">
        <v>5200</v>
      </c>
      <c r="Q409" s="3">
        <f t="shared" si="28"/>
        <v>5200</v>
      </c>
      <c r="R409" s="3">
        <f t="shared" si="29"/>
        <v>0</v>
      </c>
      <c r="S409" s="3">
        <f t="shared" si="31"/>
        <v>7279.7999999999993</v>
      </c>
      <c r="T409" s="24"/>
      <c r="U409" s="24"/>
      <c r="V409" s="3"/>
      <c r="W409" s="25" t="str">
        <f>IFERROR(VLOOKUP(Caja_Arequipa[[#This Row],[destinatario]],CHOOSE({1,2},Clientes_Proveedores[Razon Social],Clientes_Proveedores[Ruc / Dni]),2,0),"")</f>
        <v/>
      </c>
      <c r="X409" s="3"/>
      <c r="Y409" s="3"/>
      <c r="Z409" s="3"/>
      <c r="AA409" s="3"/>
      <c r="AB409" s="3" t="str">
        <f>IF(Caja_Arequipa[[#This Row],[fecha]]&gt;0,TEXT(Caja_Arequipa[[#This Row],[fecha]],"mmmm"),0)</f>
        <v>Mayo</v>
      </c>
    </row>
    <row r="410" spans="1:28" ht="36" x14ac:dyDescent="0.3">
      <c r="A410" s="2">
        <f>IF(Caja_Arequipa[[#This Row],[tipo_r]]="R",COUNTIFS($C$1:$C409,"R")+1,A409)</f>
        <v>371</v>
      </c>
      <c r="B410" s="19" t="str">
        <f t="shared" si="27"/>
        <v>C-Tesoreria</v>
      </c>
      <c r="C410" s="3" t="s">
        <v>1330</v>
      </c>
      <c r="D410" s="14">
        <v>45798</v>
      </c>
      <c r="E410" s="5" t="s">
        <v>1416</v>
      </c>
      <c r="F410" s="5" t="s">
        <v>1336</v>
      </c>
      <c r="G410" s="3" t="s">
        <v>3308</v>
      </c>
      <c r="H410" s="6"/>
      <c r="I410" s="6"/>
      <c r="J410" s="6"/>
      <c r="K410" s="6"/>
      <c r="L410" s="7" t="s">
        <v>5927</v>
      </c>
      <c r="M410" s="8" t="str">
        <f>IF(Caja_Arequipa[[#This Row],[tipo_r]]="R","001-"&amp;12002+A410,M409)</f>
        <v>001-12373</v>
      </c>
      <c r="N410" s="8" t="str">
        <f t="shared" si="30"/>
        <v>PEN</v>
      </c>
      <c r="O410" s="13"/>
      <c r="P410" s="13">
        <v>119.6</v>
      </c>
      <c r="Q410" s="3">
        <f t="shared" si="28"/>
        <v>0</v>
      </c>
      <c r="R410" s="3">
        <f t="shared" si="29"/>
        <v>119.6</v>
      </c>
      <c r="S410" s="3">
        <f t="shared" si="31"/>
        <v>7160.1999999999989</v>
      </c>
      <c r="T410" s="24" t="s">
        <v>1334</v>
      </c>
      <c r="U410" s="24" t="s">
        <v>1334</v>
      </c>
      <c r="V410" s="3"/>
      <c r="W410" s="25" t="str">
        <f>IFERROR(VLOOKUP(Caja_Arequipa[[#This Row],[destinatario]],CHOOSE({1,2},Clientes_Proveedores[Razon Social],Clientes_Proveedores[Ruc / Dni]),2,0),"")</f>
        <v/>
      </c>
      <c r="X410" s="3" t="s">
        <v>5928</v>
      </c>
      <c r="Y410" s="3"/>
      <c r="Z410" s="3"/>
      <c r="AA410" s="3"/>
      <c r="AB410" s="3" t="str">
        <f>IF(Caja_Arequipa[[#This Row],[fecha]]&gt;0,TEXT(Caja_Arequipa[[#This Row],[fecha]],"mmmm"),0)</f>
        <v>Mayo</v>
      </c>
    </row>
    <row r="411" spans="1:28" x14ac:dyDescent="0.3">
      <c r="A411" s="2">
        <f>IF(Caja_Arequipa[[#This Row],[tipo_r]]="R",COUNTIFS($C$1:$C410,"R")+1,A410)</f>
        <v>372</v>
      </c>
      <c r="B411" s="19" t="str">
        <f t="shared" si="27"/>
        <v>C-Tesoreria</v>
      </c>
      <c r="C411" s="3" t="s">
        <v>1330</v>
      </c>
      <c r="D411" s="14">
        <v>45798</v>
      </c>
      <c r="E411" s="5" t="s">
        <v>1416</v>
      </c>
      <c r="F411" s="5" t="s">
        <v>1336</v>
      </c>
      <c r="G411" s="3" t="s">
        <v>3308</v>
      </c>
      <c r="H411" s="6"/>
      <c r="I411" s="6" t="s">
        <v>111</v>
      </c>
      <c r="J411" s="6">
        <v>3</v>
      </c>
      <c r="K411" s="6">
        <v>165</v>
      </c>
      <c r="L411" s="7" t="s">
        <v>5929</v>
      </c>
      <c r="M411" s="8" t="str">
        <f>IF(Caja_Arequipa[[#This Row],[tipo_r]]="R","001-"&amp;12002+A411,M410)</f>
        <v>001-12374</v>
      </c>
      <c r="N411" s="8" t="str">
        <f t="shared" si="30"/>
        <v>PEN</v>
      </c>
      <c r="O411" s="13"/>
      <c r="P411" s="13">
        <v>11.2</v>
      </c>
      <c r="Q411" s="3">
        <f t="shared" si="28"/>
        <v>0</v>
      </c>
      <c r="R411" s="3">
        <f t="shared" si="29"/>
        <v>11.2</v>
      </c>
      <c r="S411" s="3">
        <f t="shared" si="31"/>
        <v>7148.9999999999991</v>
      </c>
      <c r="T411" s="24" t="s">
        <v>1334</v>
      </c>
      <c r="U411" s="24" t="s">
        <v>1334</v>
      </c>
      <c r="V411" s="3"/>
      <c r="W411" s="25" t="str">
        <f>IFERROR(VLOOKUP(Caja_Arequipa[[#This Row],[destinatario]],CHOOSE({1,2},Clientes_Proveedores[Razon Social],Clientes_Proveedores[Ruc / Dni]),2,0),"")</f>
        <v/>
      </c>
      <c r="X411" s="3" t="s">
        <v>5930</v>
      </c>
      <c r="Y411" s="3"/>
      <c r="Z411" s="3"/>
      <c r="AA411" s="3"/>
      <c r="AB411" s="3" t="str">
        <f>IF(Caja_Arequipa[[#This Row],[fecha]]&gt;0,TEXT(Caja_Arequipa[[#This Row],[fecha]],"mmmm"),0)</f>
        <v>Mayo</v>
      </c>
    </row>
    <row r="412" spans="1:28" ht="24" x14ac:dyDescent="0.3">
      <c r="A412" s="2">
        <f>IF(Caja_Arequipa[[#This Row],[tipo_r]]="R",COUNTIFS($C$1:$C411,"R")+1,A411)</f>
        <v>373</v>
      </c>
      <c r="B412" s="19" t="str">
        <f t="shared" si="27"/>
        <v>C-Tesoreria</v>
      </c>
      <c r="C412" s="3" t="s">
        <v>1330</v>
      </c>
      <c r="D412" s="14">
        <v>45798</v>
      </c>
      <c r="E412" s="5" t="s">
        <v>1416</v>
      </c>
      <c r="F412" s="5" t="s">
        <v>1336</v>
      </c>
      <c r="G412" s="3" t="s">
        <v>4788</v>
      </c>
      <c r="H412" s="6"/>
      <c r="I412" s="6" t="s">
        <v>111</v>
      </c>
      <c r="J412" s="6">
        <v>3</v>
      </c>
      <c r="K412" s="6">
        <v>241</v>
      </c>
      <c r="L412" s="7" t="s">
        <v>5931</v>
      </c>
      <c r="M412" s="8" t="str">
        <f>IF(Caja_Arequipa[[#This Row],[tipo_r]]="R","001-"&amp;12002+A412,M411)</f>
        <v>001-12375</v>
      </c>
      <c r="N412" s="8" t="str">
        <f t="shared" si="30"/>
        <v>PEN</v>
      </c>
      <c r="O412" s="13"/>
      <c r="P412" s="13">
        <v>20</v>
      </c>
      <c r="Q412" s="3">
        <f t="shared" si="28"/>
        <v>0</v>
      </c>
      <c r="R412" s="3">
        <f t="shared" si="29"/>
        <v>20</v>
      </c>
      <c r="S412" s="3">
        <f t="shared" si="31"/>
        <v>7128.9999999999991</v>
      </c>
      <c r="T412" s="24"/>
      <c r="U412" s="24" t="s">
        <v>1334</v>
      </c>
      <c r="V412" s="3"/>
      <c r="W412" s="25" t="str">
        <f>IFERROR(VLOOKUP(Caja_Arequipa[[#This Row],[destinatario]],CHOOSE({1,2},Clientes_Proveedores[Razon Social],Clientes_Proveedores[Ruc / Dni]),2,0),"")</f>
        <v/>
      </c>
      <c r="X412" s="3" t="s">
        <v>5932</v>
      </c>
      <c r="Y412" s="3"/>
      <c r="Z412" s="3"/>
      <c r="AA412" s="3"/>
      <c r="AB412" s="3" t="str">
        <f>IF(Caja_Arequipa[[#This Row],[fecha]]&gt;0,TEXT(Caja_Arequipa[[#This Row],[fecha]],"mmmm"),0)</f>
        <v>Mayo</v>
      </c>
    </row>
    <row r="413" spans="1:28" x14ac:dyDescent="0.3">
      <c r="A413" s="2">
        <f>IF(Caja_Arequipa[[#This Row],[tipo_r]]="R",COUNTIFS($C$1:$C412,"R")+1,A412)</f>
        <v>374</v>
      </c>
      <c r="B413" s="19" t="str">
        <f t="shared" si="27"/>
        <v>C-Tesoreria</v>
      </c>
      <c r="C413" s="3" t="s">
        <v>1330</v>
      </c>
      <c r="D413" s="14">
        <v>45798</v>
      </c>
      <c r="E413" s="5" t="s">
        <v>1416</v>
      </c>
      <c r="F413" s="5" t="s">
        <v>1336</v>
      </c>
      <c r="G413" s="3" t="s">
        <v>5450</v>
      </c>
      <c r="H413" s="6"/>
      <c r="I413" s="6"/>
      <c r="J413" s="6"/>
      <c r="K413" s="6"/>
      <c r="L413" s="7" t="s">
        <v>5933</v>
      </c>
      <c r="M413" s="8" t="str">
        <f>IF(Caja_Arequipa[[#This Row],[tipo_r]]="R","001-"&amp;12002+A413,M412)</f>
        <v>001-12376</v>
      </c>
      <c r="N413" s="8" t="str">
        <f t="shared" si="30"/>
        <v>PEN</v>
      </c>
      <c r="O413" s="13"/>
      <c r="P413" s="13">
        <v>10</v>
      </c>
      <c r="Q413" s="3">
        <f t="shared" si="28"/>
        <v>0</v>
      </c>
      <c r="R413" s="3">
        <f t="shared" si="29"/>
        <v>10</v>
      </c>
      <c r="S413" s="3">
        <f t="shared" si="31"/>
        <v>7118.9999999999991</v>
      </c>
      <c r="T413" s="24" t="s">
        <v>1334</v>
      </c>
      <c r="U413" s="24" t="s">
        <v>1334</v>
      </c>
      <c r="V413" s="3"/>
      <c r="W413" s="25" t="str">
        <f>IFERROR(VLOOKUP(Caja_Arequipa[[#This Row],[destinatario]],CHOOSE({1,2},Clientes_Proveedores[Razon Social],Clientes_Proveedores[Ruc / Dni]),2,0),"")</f>
        <v/>
      </c>
      <c r="X413" s="3" t="s">
        <v>5934</v>
      </c>
      <c r="Y413" s="3"/>
      <c r="Z413" s="3"/>
      <c r="AA413" s="3"/>
      <c r="AB413" s="3" t="str">
        <f>IF(Caja_Arequipa[[#This Row],[fecha]]&gt;0,TEXT(Caja_Arequipa[[#This Row],[fecha]],"mmmm"),0)</f>
        <v>Mayo</v>
      </c>
    </row>
    <row r="414" spans="1:28" x14ac:dyDescent="0.3">
      <c r="A414" s="2">
        <f>IF(Caja_Arequipa[[#This Row],[tipo_r]]="R",COUNTIFS($C$1:$C413,"R")+1,A413)</f>
        <v>375</v>
      </c>
      <c r="B414" s="19" t="str">
        <f t="shared" si="27"/>
        <v>C-Tesoreria</v>
      </c>
      <c r="C414" s="3" t="s">
        <v>1330</v>
      </c>
      <c r="D414" s="14">
        <v>45798</v>
      </c>
      <c r="E414" s="5" t="s">
        <v>1416</v>
      </c>
      <c r="F414" s="5" t="s">
        <v>1336</v>
      </c>
      <c r="G414" s="3" t="s">
        <v>5450</v>
      </c>
      <c r="H414" s="6"/>
      <c r="I414" s="6"/>
      <c r="J414" s="6"/>
      <c r="K414" s="6"/>
      <c r="L414" s="7" t="s">
        <v>5933</v>
      </c>
      <c r="M414" s="8" t="str">
        <f>IF(Caja_Arequipa[[#This Row],[tipo_r]]="R","001-"&amp;12002+A414,M413)</f>
        <v>001-12377</v>
      </c>
      <c r="N414" s="8" t="str">
        <f t="shared" si="30"/>
        <v>PEN</v>
      </c>
      <c r="O414" s="13"/>
      <c r="P414" s="13">
        <v>20</v>
      </c>
      <c r="Q414" s="3">
        <f t="shared" si="28"/>
        <v>0</v>
      </c>
      <c r="R414" s="3">
        <f t="shared" si="29"/>
        <v>20</v>
      </c>
      <c r="S414" s="3">
        <f t="shared" si="31"/>
        <v>7098.9999999999991</v>
      </c>
      <c r="T414" s="24" t="s">
        <v>1334</v>
      </c>
      <c r="U414" s="24" t="s">
        <v>1334</v>
      </c>
      <c r="V414" s="3"/>
      <c r="W414" s="25" t="str">
        <f>IFERROR(VLOOKUP(Caja_Arequipa[[#This Row],[destinatario]],CHOOSE({1,2},Clientes_Proveedores[Razon Social],Clientes_Proveedores[Ruc / Dni]),2,0),"")</f>
        <v/>
      </c>
      <c r="X414" s="3" t="s">
        <v>5935</v>
      </c>
      <c r="Y414" s="3"/>
      <c r="Z414" s="3"/>
      <c r="AA414" s="3"/>
      <c r="AB414" s="3" t="str">
        <f>IF(Caja_Arequipa[[#This Row],[fecha]]&gt;0,TEXT(Caja_Arequipa[[#This Row],[fecha]],"mmmm"),0)</f>
        <v>Mayo</v>
      </c>
    </row>
    <row r="415" spans="1:28" x14ac:dyDescent="0.3">
      <c r="A415" s="2">
        <f>IF(Caja_Arequipa[[#This Row],[tipo_r]]="R",COUNTIFS($C$1:$C414,"R")+1,A414)</f>
        <v>376</v>
      </c>
      <c r="B415" s="19" t="str">
        <f t="shared" si="27"/>
        <v>C-Tesoreria</v>
      </c>
      <c r="C415" s="3" t="s">
        <v>1330</v>
      </c>
      <c r="D415" s="14">
        <v>45798</v>
      </c>
      <c r="E415" s="5" t="s">
        <v>1416</v>
      </c>
      <c r="F415" s="5" t="s">
        <v>1336</v>
      </c>
      <c r="G415" s="3" t="s">
        <v>3634</v>
      </c>
      <c r="H415" s="6"/>
      <c r="I415" s="6"/>
      <c r="J415" s="6"/>
      <c r="K415" s="6"/>
      <c r="L415" s="7" t="s">
        <v>5434</v>
      </c>
      <c r="M415" s="8" t="str">
        <f>IF(Caja_Arequipa[[#This Row],[tipo_r]]="R","001-"&amp;12002+A415,M414)</f>
        <v>001-12378</v>
      </c>
      <c r="N415" s="8" t="str">
        <f t="shared" si="30"/>
        <v>PEN</v>
      </c>
      <c r="O415" s="13"/>
      <c r="P415" s="13">
        <v>4800</v>
      </c>
      <c r="Q415" s="3">
        <f t="shared" si="28"/>
        <v>0</v>
      </c>
      <c r="R415" s="3">
        <f t="shared" si="29"/>
        <v>4800</v>
      </c>
      <c r="S415" s="3">
        <f t="shared" si="31"/>
        <v>2298.9999999999991</v>
      </c>
      <c r="T415" s="24"/>
      <c r="U415" s="24"/>
      <c r="V415" s="3"/>
      <c r="W415" s="25" t="str">
        <f>IFERROR(VLOOKUP(Caja_Arequipa[[#This Row],[destinatario]],CHOOSE({1,2},Clientes_Proveedores[Razon Social],Clientes_Proveedores[Ruc / Dni]),2,0),"")</f>
        <v/>
      </c>
      <c r="X415" s="3"/>
      <c r="Y415" s="3"/>
      <c r="Z415" s="3"/>
      <c r="AA415" s="3"/>
      <c r="AB415" s="3" t="str">
        <f>IF(Caja_Arequipa[[#This Row],[fecha]]&gt;0,TEXT(Caja_Arequipa[[#This Row],[fecha]],"mmmm"),0)</f>
        <v>Mayo</v>
      </c>
    </row>
    <row r="416" spans="1:28" ht="24" x14ac:dyDescent="0.3">
      <c r="A416" s="2">
        <f>IF(Caja_Arequipa[[#This Row],[tipo_r]]="R",COUNTIFS($C$1:$C415,"R")+1,A415)</f>
        <v>377</v>
      </c>
      <c r="B416" s="19" t="str">
        <f t="shared" si="27"/>
        <v>C-Tesoreria</v>
      </c>
      <c r="C416" s="3" t="s">
        <v>1330</v>
      </c>
      <c r="D416" s="14">
        <v>45798</v>
      </c>
      <c r="E416" s="5" t="s">
        <v>1416</v>
      </c>
      <c r="F416" s="5" t="s">
        <v>1303</v>
      </c>
      <c r="G416" s="3" t="s">
        <v>5248</v>
      </c>
      <c r="H416" s="6"/>
      <c r="I416" s="6" t="s">
        <v>130</v>
      </c>
      <c r="J416" s="6">
        <v>1</v>
      </c>
      <c r="K416" s="6">
        <v>122</v>
      </c>
      <c r="L416" s="7" t="s">
        <v>5936</v>
      </c>
      <c r="M416" s="8" t="str">
        <f>IF(Caja_Arequipa[[#This Row],[tipo_r]]="R","001-"&amp;12002+A416,M415)</f>
        <v>001-12379</v>
      </c>
      <c r="N416" s="8" t="str">
        <f t="shared" si="30"/>
        <v>PEN</v>
      </c>
      <c r="O416" s="13"/>
      <c r="P416" s="13">
        <v>7</v>
      </c>
      <c r="Q416" s="3">
        <f t="shared" si="28"/>
        <v>7</v>
      </c>
      <c r="R416" s="3">
        <f t="shared" si="29"/>
        <v>0</v>
      </c>
      <c r="S416" s="3">
        <f t="shared" si="31"/>
        <v>2305.9999999999991</v>
      </c>
      <c r="T416" s="24"/>
      <c r="U416" s="24"/>
      <c r="V416" s="3"/>
      <c r="W416" s="25" t="str">
        <f>IFERROR(VLOOKUP(Caja_Arequipa[[#This Row],[destinatario]],CHOOSE({1,2},Clientes_Proveedores[Razon Social],Clientes_Proveedores[Ruc / Dni]),2,0),"")</f>
        <v/>
      </c>
      <c r="X416" s="3" t="s">
        <v>5802</v>
      </c>
      <c r="Y416" s="3"/>
      <c r="Z416" s="3"/>
      <c r="AA416" s="3"/>
      <c r="AB416" s="3" t="str">
        <f>IF(Caja_Arequipa[[#This Row],[fecha]]&gt;0,TEXT(Caja_Arequipa[[#This Row],[fecha]],"mmmm"),0)</f>
        <v>Mayo</v>
      </c>
    </row>
    <row r="417" spans="1:28" ht="24" x14ac:dyDescent="0.3">
      <c r="A417" s="2">
        <f>IF(Caja_Arequipa[[#This Row],[tipo_r]]="R",COUNTIFS($C$1:$C416,"R")+1,A416)</f>
        <v>378</v>
      </c>
      <c r="B417" s="19" t="str">
        <f t="shared" si="27"/>
        <v>C-Tesoreria</v>
      </c>
      <c r="C417" s="3" t="s">
        <v>1330</v>
      </c>
      <c r="D417" s="14">
        <v>45798</v>
      </c>
      <c r="E417" s="5" t="s">
        <v>1416</v>
      </c>
      <c r="F417" s="5" t="s">
        <v>1336</v>
      </c>
      <c r="G417" s="3" t="s">
        <v>5248</v>
      </c>
      <c r="H417" s="6"/>
      <c r="I417" s="6"/>
      <c r="J417" s="6"/>
      <c r="K417" s="6"/>
      <c r="L417" s="7" t="s">
        <v>5937</v>
      </c>
      <c r="M417" s="8" t="str">
        <f>IF(Caja_Arequipa[[#This Row],[tipo_r]]="R","001-"&amp;12002+A417,M416)</f>
        <v>001-12380</v>
      </c>
      <c r="N417" s="8" t="str">
        <f t="shared" si="30"/>
        <v>PEN</v>
      </c>
      <c r="O417" s="13"/>
      <c r="P417" s="13">
        <v>153</v>
      </c>
      <c r="Q417" s="3">
        <f t="shared" si="28"/>
        <v>0</v>
      </c>
      <c r="R417" s="3">
        <f t="shared" si="29"/>
        <v>153</v>
      </c>
      <c r="S417" s="3">
        <f t="shared" si="31"/>
        <v>2152.9999999999991</v>
      </c>
      <c r="T417" s="24" t="s">
        <v>1334</v>
      </c>
      <c r="U417" s="24" t="s">
        <v>1334</v>
      </c>
      <c r="V417" s="3"/>
      <c r="W417" s="25" t="str">
        <f>IFERROR(VLOOKUP(Caja_Arequipa[[#This Row],[destinatario]],CHOOSE({1,2},Clientes_Proveedores[Razon Social],Clientes_Proveedores[Ruc / Dni]),2,0),"")</f>
        <v/>
      </c>
      <c r="X417" s="3" t="s">
        <v>5938</v>
      </c>
      <c r="Y417" s="3"/>
      <c r="Z417" s="3"/>
      <c r="AA417" s="3"/>
      <c r="AB417" s="3" t="str">
        <f>IF(Caja_Arequipa[[#This Row],[fecha]]&gt;0,TEXT(Caja_Arequipa[[#This Row],[fecha]],"mmmm"),0)</f>
        <v>Mayo</v>
      </c>
    </row>
    <row r="418" spans="1:28" ht="36" x14ac:dyDescent="0.3">
      <c r="A418" s="2">
        <f>IF(Caja_Arequipa[[#This Row],[tipo_r]]="R",COUNTIFS($C$1:$C417,"R")+1,A417)</f>
        <v>378</v>
      </c>
      <c r="B418" s="19" t="str">
        <f>"C-Tesoreria"</f>
        <v>C-Tesoreria</v>
      </c>
      <c r="C418" s="3" t="s">
        <v>1352</v>
      </c>
      <c r="D418" s="14">
        <v>45798</v>
      </c>
      <c r="E418" s="5" t="s">
        <v>1416</v>
      </c>
      <c r="F418" s="5" t="s">
        <v>1336</v>
      </c>
      <c r="G418" s="3" t="s">
        <v>5248</v>
      </c>
      <c r="H418" s="6" t="s">
        <v>1141</v>
      </c>
      <c r="I418" s="6" t="s">
        <v>68</v>
      </c>
      <c r="J418" s="6" t="s">
        <v>1390</v>
      </c>
      <c r="K418" s="6">
        <v>2668</v>
      </c>
      <c r="L418" s="7" t="s">
        <v>5937</v>
      </c>
      <c r="M418" s="8" t="str">
        <f>IF(Caja_Arequipa[[#This Row],[tipo_r]]="R","001-"&amp;12002+A418,M417)</f>
        <v>001-12380</v>
      </c>
      <c r="N418" s="8" t="str">
        <f>"PEN"</f>
        <v>PEN</v>
      </c>
      <c r="O418" s="13">
        <v>146</v>
      </c>
      <c r="P418" s="13"/>
      <c r="Q418" s="3">
        <f>+IF(OR($F418="SALDO",$F418="INGRESO"),$P418,0)</f>
        <v>0</v>
      </c>
      <c r="R418" s="3">
        <f>+IF($F418="EGRESO",$P418,0)</f>
        <v>0</v>
      </c>
      <c r="S418" s="3">
        <f t="shared" si="31"/>
        <v>2152.9999999999991</v>
      </c>
      <c r="T418" s="24"/>
      <c r="U418" s="24"/>
      <c r="V418" s="3"/>
      <c r="W418" s="25">
        <f>IFERROR(VLOOKUP(Caja_Arequipa[[#This Row],[destinatario]],CHOOSE({1,2},Clientes_Proveedores[Razon Social],Clientes_Proveedores[Ruc / Dni]),2,0),"")</f>
        <v>20455788286</v>
      </c>
      <c r="X418" s="3"/>
      <c r="Y418" s="3"/>
      <c r="Z418" s="3"/>
      <c r="AA418" s="3"/>
      <c r="AB418" s="3" t="str">
        <f>IF(Caja_Arequipa[[#This Row],[fecha]]&gt;0,TEXT(Caja_Arequipa[[#This Row],[fecha]],"mmmm"),0)</f>
        <v>Mayo</v>
      </c>
    </row>
    <row r="419" spans="1:28" ht="24" x14ac:dyDescent="0.3">
      <c r="A419" s="2">
        <f>IF(Caja_Arequipa[[#This Row],[tipo_r]]="R",COUNTIFS($C$1:$C418,"R")+1,A418)</f>
        <v>378</v>
      </c>
      <c r="B419" s="19" t="str">
        <f>"C-Tesoreria"</f>
        <v>C-Tesoreria</v>
      </c>
      <c r="C419" s="3" t="s">
        <v>1352</v>
      </c>
      <c r="D419" s="14">
        <v>45798</v>
      </c>
      <c r="E419" s="5" t="s">
        <v>1416</v>
      </c>
      <c r="F419" s="5" t="s">
        <v>1336</v>
      </c>
      <c r="G419" s="3" t="s">
        <v>5248</v>
      </c>
      <c r="H419" s="6"/>
      <c r="I419" s="6" t="s">
        <v>111</v>
      </c>
      <c r="J419" s="6">
        <v>3</v>
      </c>
      <c r="K419" s="6">
        <v>159</v>
      </c>
      <c r="L419" s="7" t="s">
        <v>5937</v>
      </c>
      <c r="M419" s="8" t="str">
        <f>IF(Caja_Arequipa[[#This Row],[tipo_r]]="R","001-"&amp;12002+A419,M418)</f>
        <v>001-12380</v>
      </c>
      <c r="N419" s="8" t="str">
        <f>"PEN"</f>
        <v>PEN</v>
      </c>
      <c r="O419" s="13">
        <v>7</v>
      </c>
      <c r="P419" s="13"/>
      <c r="Q419" s="3">
        <f>+IF(OR($F419="SALDO",$F419="INGRESO"),$P419,0)</f>
        <v>0</v>
      </c>
      <c r="R419" s="3">
        <f>+IF($F419="EGRESO",$P419,0)</f>
        <v>0</v>
      </c>
      <c r="S419" s="3">
        <f t="shared" si="31"/>
        <v>2152.9999999999991</v>
      </c>
      <c r="T419" s="24"/>
      <c r="U419" s="24"/>
      <c r="V419" s="3"/>
      <c r="W419" s="25" t="str">
        <f>IFERROR(VLOOKUP(Caja_Arequipa[[#This Row],[destinatario]],CHOOSE({1,2},Clientes_Proveedores[Razon Social],Clientes_Proveedores[Ruc / Dni]),2,0),"")</f>
        <v/>
      </c>
      <c r="X419" s="3"/>
      <c r="Y419" s="3"/>
      <c r="Z419" s="3"/>
      <c r="AA419" s="3"/>
      <c r="AB419" s="3" t="str">
        <f>IF(Caja_Arequipa[[#This Row],[fecha]]&gt;0,TEXT(Caja_Arequipa[[#This Row],[fecha]],"mmmm"),0)</f>
        <v>Mayo</v>
      </c>
    </row>
    <row r="420" spans="1:28" ht="36" x14ac:dyDescent="0.3">
      <c r="A420" s="2">
        <f>IF(Caja_Arequipa[[#This Row],[tipo_r]]="R",COUNTIFS($C$1:$C419,"R")+1,A419)</f>
        <v>379</v>
      </c>
      <c r="B420" s="19" t="str">
        <f t="shared" si="27"/>
        <v>C-Tesoreria</v>
      </c>
      <c r="C420" s="3" t="s">
        <v>1330</v>
      </c>
      <c r="D420" s="14">
        <v>45798</v>
      </c>
      <c r="E420" s="5" t="s">
        <v>1416</v>
      </c>
      <c r="F420" s="5" t="s">
        <v>1336</v>
      </c>
      <c r="G420" s="3" t="s">
        <v>5274</v>
      </c>
      <c r="H420" s="6"/>
      <c r="I420" s="6"/>
      <c r="J420" s="6"/>
      <c r="K420" s="6"/>
      <c r="L420" s="7" t="s">
        <v>5893</v>
      </c>
      <c r="M420" s="8" t="str">
        <f>IF(Caja_Arequipa[[#This Row],[tipo_r]]="R","001-"&amp;12002+A420,M419)</f>
        <v>001-12381</v>
      </c>
      <c r="N420" s="8" t="str">
        <f t="shared" si="30"/>
        <v>PEN</v>
      </c>
      <c r="O420" s="13"/>
      <c r="P420" s="13">
        <v>35.5</v>
      </c>
      <c r="Q420" s="3">
        <f t="shared" si="28"/>
        <v>0</v>
      </c>
      <c r="R420" s="3">
        <f t="shared" si="29"/>
        <v>35.5</v>
      </c>
      <c r="S420" s="3">
        <f t="shared" si="31"/>
        <v>2117.4999999999991</v>
      </c>
      <c r="T420" s="24" t="s">
        <v>1334</v>
      </c>
      <c r="U420" s="24" t="s">
        <v>1334</v>
      </c>
      <c r="V420" s="3"/>
      <c r="W420" s="25" t="str">
        <f>IFERROR(VLOOKUP(Caja_Arequipa[[#This Row],[destinatario]],CHOOSE({1,2},Clientes_Proveedores[Razon Social],Clientes_Proveedores[Ruc / Dni]),2,0),"")</f>
        <v/>
      </c>
      <c r="X420" s="3" t="s">
        <v>5939</v>
      </c>
      <c r="Y420" s="3"/>
      <c r="Z420" s="3"/>
      <c r="AA420" s="3"/>
      <c r="AB420" s="3" t="str">
        <f>IF(Caja_Arequipa[[#This Row],[fecha]]&gt;0,TEXT(Caja_Arequipa[[#This Row],[fecha]],"mmmm"),0)</f>
        <v>Mayo</v>
      </c>
    </row>
    <row r="421" spans="1:28" x14ac:dyDescent="0.3">
      <c r="A421" s="2">
        <f>IF(Caja_Arequipa[[#This Row],[tipo_r]]="R",COUNTIFS($C$1:$C420,"R")+1,A420)</f>
        <v>380</v>
      </c>
      <c r="B421" s="19" t="str">
        <f t="shared" si="27"/>
        <v>C-Tesoreria</v>
      </c>
      <c r="C421" s="3" t="s">
        <v>1330</v>
      </c>
      <c r="D421" s="14">
        <v>45799</v>
      </c>
      <c r="E421" s="5" t="s">
        <v>1416</v>
      </c>
      <c r="F421" s="5" t="s">
        <v>1303</v>
      </c>
      <c r="G421" s="3" t="s">
        <v>3634</v>
      </c>
      <c r="H421" s="6"/>
      <c r="I421" s="6"/>
      <c r="J421" s="6"/>
      <c r="K421" s="6"/>
      <c r="L421" s="7" t="s">
        <v>5340</v>
      </c>
      <c r="M421" s="8" t="str">
        <f>IF(Caja_Arequipa[[#This Row],[tipo_r]]="R","001-"&amp;12002+A421,M420)</f>
        <v>001-12382</v>
      </c>
      <c r="N421" s="8" t="str">
        <f t="shared" si="30"/>
        <v>PEN</v>
      </c>
      <c r="O421" s="13"/>
      <c r="P421" s="13">
        <v>200</v>
      </c>
      <c r="Q421" s="3">
        <f t="shared" si="28"/>
        <v>200</v>
      </c>
      <c r="R421" s="3">
        <f t="shared" si="29"/>
        <v>0</v>
      </c>
      <c r="S421" s="3">
        <f t="shared" si="31"/>
        <v>2317.4999999999991</v>
      </c>
      <c r="T421" s="24"/>
      <c r="U421" s="24"/>
      <c r="V421" s="3"/>
      <c r="W421" s="25" t="str">
        <f>IFERROR(VLOOKUP(Caja_Arequipa[[#This Row],[destinatario]],CHOOSE({1,2},Clientes_Proveedores[Razon Social],Clientes_Proveedores[Ruc / Dni]),2,0),"")</f>
        <v/>
      </c>
      <c r="X421" s="3"/>
      <c r="Y421" s="3"/>
      <c r="Z421" s="3"/>
      <c r="AA421" s="3"/>
      <c r="AB421" s="3" t="str">
        <f>IF(Caja_Arequipa[[#This Row],[fecha]]&gt;0,TEXT(Caja_Arequipa[[#This Row],[fecha]],"mmmm"),0)</f>
        <v>Mayo</v>
      </c>
    </row>
    <row r="422" spans="1:28" ht="24" x14ac:dyDescent="0.3">
      <c r="A422" s="2">
        <f>IF(Caja_Arequipa[[#This Row],[tipo_r]]="R",COUNTIFS($C$1:$C421,"R")+1,A421)</f>
        <v>381</v>
      </c>
      <c r="B422" s="19" t="str">
        <f t="shared" si="27"/>
        <v>C-Tesoreria</v>
      </c>
      <c r="C422" s="3" t="s">
        <v>1330</v>
      </c>
      <c r="D422" s="14">
        <v>45799</v>
      </c>
      <c r="E422" s="5" t="s">
        <v>1416</v>
      </c>
      <c r="F422" s="5" t="s">
        <v>1336</v>
      </c>
      <c r="G422" s="3" t="s">
        <v>5280</v>
      </c>
      <c r="H422" s="6"/>
      <c r="I422" s="6" t="s">
        <v>111</v>
      </c>
      <c r="J422" s="6">
        <v>3</v>
      </c>
      <c r="K422" s="6">
        <v>162</v>
      </c>
      <c r="L422" s="7" t="s">
        <v>5940</v>
      </c>
      <c r="M422" s="8" t="str">
        <f>IF(Caja_Arequipa[[#This Row],[tipo_r]]="R","001-"&amp;12002+A422,M421)</f>
        <v>001-12383</v>
      </c>
      <c r="N422" s="8" t="str">
        <f t="shared" si="30"/>
        <v>PEN</v>
      </c>
      <c r="O422" s="13"/>
      <c r="P422" s="13">
        <v>92</v>
      </c>
      <c r="Q422" s="3">
        <f t="shared" si="28"/>
        <v>0</v>
      </c>
      <c r="R422" s="3">
        <f t="shared" si="29"/>
        <v>92</v>
      </c>
      <c r="S422" s="3">
        <f t="shared" si="31"/>
        <v>2225.4999999999991</v>
      </c>
      <c r="T422" s="24" t="s">
        <v>1334</v>
      </c>
      <c r="U422" s="24" t="s">
        <v>1334</v>
      </c>
      <c r="V422" s="3"/>
      <c r="W422" s="25" t="str">
        <f>IFERROR(VLOOKUP(Caja_Arequipa[[#This Row],[destinatario]],CHOOSE({1,2},Clientes_Proveedores[Razon Social],Clientes_Proveedores[Ruc / Dni]),2,0),"")</f>
        <v/>
      </c>
      <c r="X422" s="3" t="s">
        <v>5941</v>
      </c>
      <c r="Y422" s="3"/>
      <c r="Z422" s="3"/>
      <c r="AA422" s="3"/>
      <c r="AB422" s="3" t="str">
        <f>IF(Caja_Arequipa[[#This Row],[fecha]]&gt;0,TEXT(Caja_Arequipa[[#This Row],[fecha]],"mmmm"),0)</f>
        <v>Mayo</v>
      </c>
    </row>
    <row r="423" spans="1:28" x14ac:dyDescent="0.3">
      <c r="A423" s="2">
        <f>IF(Caja_Arequipa[[#This Row],[tipo_r]]="R",COUNTIFS($C$1:$C422,"R")+1,A422)</f>
        <v>382</v>
      </c>
      <c r="B423" s="19" t="str">
        <f t="shared" si="27"/>
        <v>C-Tesoreria</v>
      </c>
      <c r="C423" s="3" t="s">
        <v>1330</v>
      </c>
      <c r="D423" s="14">
        <v>45799</v>
      </c>
      <c r="E423" s="5" t="s">
        <v>1416</v>
      </c>
      <c r="F423" s="5" t="s">
        <v>1336</v>
      </c>
      <c r="G423" s="3" t="s">
        <v>5274</v>
      </c>
      <c r="H423" s="6"/>
      <c r="I423" s="6" t="s">
        <v>111</v>
      </c>
      <c r="J423" s="6">
        <v>3</v>
      </c>
      <c r="K423" s="6">
        <v>163</v>
      </c>
      <c r="L423" s="7" t="s">
        <v>5942</v>
      </c>
      <c r="M423" s="8" t="str">
        <f>IF(Caja_Arequipa[[#This Row],[tipo_r]]="R","001-"&amp;12002+A423,M422)</f>
        <v>001-12384</v>
      </c>
      <c r="N423" s="8" t="str">
        <f t="shared" si="30"/>
        <v>PEN</v>
      </c>
      <c r="O423" s="13"/>
      <c r="P423" s="13">
        <v>45</v>
      </c>
      <c r="Q423" s="3">
        <f t="shared" si="28"/>
        <v>0</v>
      </c>
      <c r="R423" s="3">
        <f t="shared" si="29"/>
        <v>45</v>
      </c>
      <c r="S423" s="3">
        <f t="shared" si="31"/>
        <v>2180.4999999999991</v>
      </c>
      <c r="T423" s="24" t="s">
        <v>1334</v>
      </c>
      <c r="U423" s="24" t="s">
        <v>1334</v>
      </c>
      <c r="V423" s="3"/>
      <c r="W423" s="25" t="str">
        <f>IFERROR(VLOOKUP(Caja_Arequipa[[#This Row],[destinatario]],CHOOSE({1,2},Clientes_Proveedores[Razon Social],Clientes_Proveedores[Ruc / Dni]),2,0),"")</f>
        <v/>
      </c>
      <c r="X423" s="3" t="s">
        <v>5943</v>
      </c>
      <c r="Y423" s="3"/>
      <c r="Z423" s="3"/>
      <c r="AA423" s="3"/>
      <c r="AB423" s="3" t="str">
        <f>IF(Caja_Arequipa[[#This Row],[fecha]]&gt;0,TEXT(Caja_Arequipa[[#This Row],[fecha]],"mmmm"),0)</f>
        <v>Mayo</v>
      </c>
    </row>
    <row r="424" spans="1:28" ht="24" x14ac:dyDescent="0.3">
      <c r="A424" s="2">
        <f>IF(Caja_Arequipa[[#This Row],[tipo_r]]="R",COUNTIFS($C$1:$C423,"R")+1,A423)</f>
        <v>383</v>
      </c>
      <c r="B424" s="19" t="str">
        <f t="shared" si="27"/>
        <v>C-Tesoreria</v>
      </c>
      <c r="C424" s="3" t="s">
        <v>1330</v>
      </c>
      <c r="D424" s="14">
        <v>45800</v>
      </c>
      <c r="E424" s="5" t="s">
        <v>1416</v>
      </c>
      <c r="F424" s="5" t="s">
        <v>1336</v>
      </c>
      <c r="G424" s="3" t="s">
        <v>5380</v>
      </c>
      <c r="H424" s="6"/>
      <c r="I424" s="6"/>
      <c r="J424" s="6"/>
      <c r="K424" s="6"/>
      <c r="L424" s="7" t="s">
        <v>5944</v>
      </c>
      <c r="M424" s="8" t="str">
        <f>IF(Caja_Arequipa[[#This Row],[tipo_r]]="R","001-"&amp;12002+A424,M423)</f>
        <v>001-12385</v>
      </c>
      <c r="N424" s="8" t="str">
        <f t="shared" si="30"/>
        <v>PEN</v>
      </c>
      <c r="O424" s="13"/>
      <c r="P424" s="13">
        <v>100</v>
      </c>
      <c r="Q424" s="3">
        <f t="shared" si="28"/>
        <v>0</v>
      </c>
      <c r="R424" s="3">
        <f t="shared" si="29"/>
        <v>100</v>
      </c>
      <c r="S424" s="3">
        <f t="shared" si="31"/>
        <v>2080.4999999999991</v>
      </c>
      <c r="T424" s="24" t="s">
        <v>1334</v>
      </c>
      <c r="U424" s="24" t="s">
        <v>1334</v>
      </c>
      <c r="V424" s="3"/>
      <c r="W424" s="25" t="str">
        <f>IFERROR(VLOOKUP(Caja_Arequipa[[#This Row],[destinatario]],CHOOSE({1,2},Clientes_Proveedores[Razon Social],Clientes_Proveedores[Ruc / Dni]),2,0),"")</f>
        <v/>
      </c>
      <c r="X424" s="3" t="s">
        <v>5945</v>
      </c>
      <c r="Y424" s="3"/>
      <c r="Z424" s="3"/>
      <c r="AA424" s="3"/>
      <c r="AB424" s="3" t="str">
        <f>IF(Caja_Arequipa[[#This Row],[fecha]]&gt;0,TEXT(Caja_Arequipa[[#This Row],[fecha]],"mmmm"),0)</f>
        <v>Mayo</v>
      </c>
    </row>
    <row r="425" spans="1:28" ht="36" x14ac:dyDescent="0.3">
      <c r="A425" s="2">
        <f>IF(Caja_Arequipa[[#This Row],[tipo_r]]="R",COUNTIFS($C$1:$C424,"R")+1,A424)</f>
        <v>384</v>
      </c>
      <c r="B425" s="19" t="str">
        <f t="shared" si="27"/>
        <v>C-Tesoreria</v>
      </c>
      <c r="C425" s="3" t="s">
        <v>1330</v>
      </c>
      <c r="D425" s="14">
        <v>45800</v>
      </c>
      <c r="E425" s="5" t="s">
        <v>1416</v>
      </c>
      <c r="F425" s="5" t="s">
        <v>1336</v>
      </c>
      <c r="G425" s="3" t="s">
        <v>4788</v>
      </c>
      <c r="H425" s="6"/>
      <c r="I425" s="6"/>
      <c r="J425" s="6"/>
      <c r="K425" s="6"/>
      <c r="L425" s="7" t="s">
        <v>5946</v>
      </c>
      <c r="M425" s="8" t="str">
        <f>IF(Caja_Arequipa[[#This Row],[tipo_r]]="R","001-"&amp;12002+A425,M424)</f>
        <v>001-12386</v>
      </c>
      <c r="N425" s="8" t="str">
        <f t="shared" si="30"/>
        <v>PEN</v>
      </c>
      <c r="O425" s="13"/>
      <c r="P425" s="13">
        <v>330</v>
      </c>
      <c r="Q425" s="3">
        <f t="shared" si="28"/>
        <v>0</v>
      </c>
      <c r="R425" s="3">
        <f t="shared" si="29"/>
        <v>330</v>
      </c>
      <c r="S425" s="3">
        <f t="shared" si="31"/>
        <v>1750.4999999999991</v>
      </c>
      <c r="T425" s="24"/>
      <c r="U425" s="24" t="s">
        <v>1334</v>
      </c>
      <c r="V425" s="3"/>
      <c r="W425" s="25" t="str">
        <f>IFERROR(VLOOKUP(Caja_Arequipa[[#This Row],[destinatario]],CHOOSE({1,2},Clientes_Proveedores[Razon Social],Clientes_Proveedores[Ruc / Dni]),2,0),"")</f>
        <v/>
      </c>
      <c r="X425" s="3" t="s">
        <v>5947</v>
      </c>
      <c r="Y425" s="3"/>
      <c r="Z425" s="3"/>
      <c r="AA425" s="3"/>
      <c r="AB425" s="3" t="str">
        <f>IF(Caja_Arequipa[[#This Row],[fecha]]&gt;0,TEXT(Caja_Arequipa[[#This Row],[fecha]],"mmmm"),0)</f>
        <v>Mayo</v>
      </c>
    </row>
    <row r="426" spans="1:28" ht="24" x14ac:dyDescent="0.3">
      <c r="A426" s="2">
        <f>IF(Caja_Arequipa[[#This Row],[tipo_r]]="R",COUNTIFS($C$1:$C425,"R")+1,A425)</f>
        <v>384</v>
      </c>
      <c r="B426" s="19" t="str">
        <f t="shared" ref="B426:B497" si="36">"C-Tesoreria"</f>
        <v>C-Tesoreria</v>
      </c>
      <c r="C426" s="3" t="s">
        <v>1352</v>
      </c>
      <c r="D426" s="14">
        <v>45800</v>
      </c>
      <c r="E426" s="5" t="s">
        <v>1416</v>
      </c>
      <c r="F426" s="5"/>
      <c r="G426" s="3"/>
      <c r="H426" s="6" t="s">
        <v>972</v>
      </c>
      <c r="I426" s="6" t="s">
        <v>68</v>
      </c>
      <c r="J426" s="6" t="s">
        <v>1374</v>
      </c>
      <c r="K426" s="6">
        <v>217</v>
      </c>
      <c r="L426" s="7" t="s">
        <v>5946</v>
      </c>
      <c r="M426" s="8" t="str">
        <f>IF(Caja_Arequipa[[#This Row],[tipo_r]]="R","001-"&amp;12002+A426,M425)</f>
        <v>001-12386</v>
      </c>
      <c r="N426" s="8" t="str">
        <f>"PEN"</f>
        <v>PEN</v>
      </c>
      <c r="O426" s="13">
        <v>31</v>
      </c>
      <c r="P426" s="13"/>
      <c r="Q426" s="3">
        <f t="shared" ref="Q426:Q497" si="37">+IF(OR($F426="SALDO",$F426="INGRESO"),$P426,0)</f>
        <v>0</v>
      </c>
      <c r="R426" s="3">
        <f t="shared" ref="R426:R497" si="38">+IF($F426="EGRESO",$P426,0)</f>
        <v>0</v>
      </c>
      <c r="S426" s="3">
        <f t="shared" si="31"/>
        <v>1750.4999999999991</v>
      </c>
      <c r="T426" s="24"/>
      <c r="U426" s="24" t="s">
        <v>1334</v>
      </c>
      <c r="V426" s="3"/>
      <c r="W426" s="25">
        <f>IFERROR(VLOOKUP(Caja_Arequipa[[#This Row],[destinatario]],CHOOSE({1,2},Clientes_Proveedores[Razon Social],Clientes_Proveedores[Ruc / Dni]),2,0),"")</f>
        <v>20612783871</v>
      </c>
      <c r="X426" s="3"/>
      <c r="Y426" s="3"/>
      <c r="Z426" s="3"/>
      <c r="AA426" s="3"/>
      <c r="AB426" s="3" t="str">
        <f>IF(Caja_Arequipa[[#This Row],[fecha]]&gt;0,TEXT(Caja_Arequipa[[#This Row],[fecha]],"mmmm"),0)</f>
        <v>Mayo</v>
      </c>
    </row>
    <row r="427" spans="1:28" ht="24" x14ac:dyDescent="0.3">
      <c r="A427" s="2">
        <f>IF(Caja_Arequipa[[#This Row],[tipo_r]]="R",COUNTIFS($C$1:$C426,"R")+1,A426)</f>
        <v>384</v>
      </c>
      <c r="B427" s="19" t="str">
        <f t="shared" si="36"/>
        <v>C-Tesoreria</v>
      </c>
      <c r="C427" s="3" t="s">
        <v>1352</v>
      </c>
      <c r="D427" s="14">
        <v>45800</v>
      </c>
      <c r="E427" s="5" t="s">
        <v>1416</v>
      </c>
      <c r="F427" s="5"/>
      <c r="G427" s="3"/>
      <c r="H427" s="6" t="s">
        <v>973</v>
      </c>
      <c r="I427" s="6" t="s">
        <v>68</v>
      </c>
      <c r="J427" s="6" t="s">
        <v>1376</v>
      </c>
      <c r="K427" s="6">
        <v>450</v>
      </c>
      <c r="L427" s="7" t="s">
        <v>5946</v>
      </c>
      <c r="M427" s="8" t="str">
        <f>IF(Caja_Arequipa[[#This Row],[tipo_r]]="R","001-"&amp;12002+A427,M426)</f>
        <v>001-12386</v>
      </c>
      <c r="N427" s="8" t="str">
        <f>"PEN"</f>
        <v>PEN</v>
      </c>
      <c r="O427" s="13">
        <v>261</v>
      </c>
      <c r="P427" s="13"/>
      <c r="Q427" s="3">
        <f t="shared" si="37"/>
        <v>0</v>
      </c>
      <c r="R427" s="3">
        <f t="shared" si="38"/>
        <v>0</v>
      </c>
      <c r="S427" s="3">
        <f t="shared" si="31"/>
        <v>1750.4999999999991</v>
      </c>
      <c r="T427" s="24"/>
      <c r="U427" s="24" t="s">
        <v>1334</v>
      </c>
      <c r="V427" s="3"/>
      <c r="W427" s="25">
        <f>IFERROR(VLOOKUP(Caja_Arequipa[[#This Row],[destinatario]],CHOOSE({1,2},Clientes_Proveedores[Razon Social],Clientes_Proveedores[Ruc / Dni]),2,0),"")</f>
        <v>20610616675</v>
      </c>
      <c r="X427" s="3"/>
      <c r="Y427" s="3"/>
      <c r="Z427" s="3"/>
      <c r="AA427" s="3"/>
      <c r="AB427" s="3" t="str">
        <f>IF(Caja_Arequipa[[#This Row],[fecha]]&gt;0,TEXT(Caja_Arequipa[[#This Row],[fecha]],"mmmm"),0)</f>
        <v>Mayo</v>
      </c>
    </row>
    <row r="428" spans="1:28" ht="24" x14ac:dyDescent="0.3">
      <c r="A428" s="2">
        <f>IF(Caja_Arequipa[[#This Row],[tipo_r]]="R",COUNTIFS($C$1:$C427,"R")+1,A427)</f>
        <v>384</v>
      </c>
      <c r="B428" s="19" t="str">
        <f t="shared" si="36"/>
        <v>C-Tesoreria</v>
      </c>
      <c r="C428" s="3" t="s">
        <v>1352</v>
      </c>
      <c r="D428" s="14">
        <v>45800</v>
      </c>
      <c r="E428" s="5" t="s">
        <v>1416</v>
      </c>
      <c r="F428" s="5"/>
      <c r="G428" s="3"/>
      <c r="H428" s="6"/>
      <c r="I428" s="6" t="s">
        <v>111</v>
      </c>
      <c r="J428" s="6">
        <v>3</v>
      </c>
      <c r="K428" s="6">
        <v>236</v>
      </c>
      <c r="L428" s="7" t="s">
        <v>5946</v>
      </c>
      <c r="M428" s="8" t="str">
        <f>IF(Caja_Arequipa[[#This Row],[tipo_r]]="R","001-"&amp;12002+A428,M427)</f>
        <v>001-12386</v>
      </c>
      <c r="N428" s="8" t="str">
        <f>"PEN"</f>
        <v>PEN</v>
      </c>
      <c r="O428" s="13">
        <v>38</v>
      </c>
      <c r="P428" s="13"/>
      <c r="Q428" s="3">
        <f t="shared" si="37"/>
        <v>0</v>
      </c>
      <c r="R428" s="3">
        <f t="shared" si="38"/>
        <v>0</v>
      </c>
      <c r="S428" s="3">
        <f t="shared" si="31"/>
        <v>1750.4999999999991</v>
      </c>
      <c r="T428" s="24"/>
      <c r="U428" s="24" t="s">
        <v>1334</v>
      </c>
      <c r="V428" s="3"/>
      <c r="W428" s="25" t="str">
        <f>IFERROR(VLOOKUP(Caja_Arequipa[[#This Row],[destinatario]],CHOOSE({1,2},Clientes_Proveedores[Razon Social],Clientes_Proveedores[Ruc / Dni]),2,0),"")</f>
        <v/>
      </c>
      <c r="X428" s="3"/>
      <c r="Y428" s="3"/>
      <c r="Z428" s="3"/>
      <c r="AA428" s="3"/>
      <c r="AB428" s="3" t="str">
        <f>IF(Caja_Arequipa[[#This Row],[fecha]]&gt;0,TEXT(Caja_Arequipa[[#This Row],[fecha]],"mmmm"),0)</f>
        <v>Mayo</v>
      </c>
    </row>
    <row r="429" spans="1:28" ht="24" x14ac:dyDescent="0.3">
      <c r="A429" s="2">
        <f>IF(Caja_Arequipa[[#This Row],[tipo_r]]="R",COUNTIFS($C$1:$C428,"R")+1,A428)</f>
        <v>385</v>
      </c>
      <c r="B429" s="19" t="str">
        <f t="shared" si="36"/>
        <v>C-Tesoreria</v>
      </c>
      <c r="C429" s="3" t="s">
        <v>1330</v>
      </c>
      <c r="D429" s="14">
        <v>45800</v>
      </c>
      <c r="E429" s="5" t="s">
        <v>1416</v>
      </c>
      <c r="F429" s="5" t="s">
        <v>1336</v>
      </c>
      <c r="G429" s="3" t="s">
        <v>5811</v>
      </c>
      <c r="H429" s="6"/>
      <c r="I429" s="6"/>
      <c r="J429" s="6"/>
      <c r="K429" s="6"/>
      <c r="L429" s="7" t="s">
        <v>5948</v>
      </c>
      <c r="M429" s="8" t="str">
        <f>IF(Caja_Arequipa[[#This Row],[tipo_r]]="R","001-"&amp;12002+A429,M428)</f>
        <v>001-12387</v>
      </c>
      <c r="N429" s="8" t="str">
        <f t="shared" si="30"/>
        <v>PEN</v>
      </c>
      <c r="O429" s="13"/>
      <c r="P429" s="13">
        <v>124</v>
      </c>
      <c r="Q429" s="3">
        <f t="shared" si="37"/>
        <v>0</v>
      </c>
      <c r="R429" s="3">
        <f t="shared" si="38"/>
        <v>124</v>
      </c>
      <c r="S429" s="3">
        <f t="shared" si="31"/>
        <v>1626.4999999999991</v>
      </c>
      <c r="T429" s="24" t="s">
        <v>1334</v>
      </c>
      <c r="U429" s="24" t="s">
        <v>1334</v>
      </c>
      <c r="V429" s="3"/>
      <c r="W429" s="25" t="str">
        <f>IFERROR(VLOOKUP(Caja_Arequipa[[#This Row],[destinatario]],CHOOSE({1,2},Clientes_Proveedores[Razon Social],Clientes_Proveedores[Ruc / Dni]),2,0),"")</f>
        <v/>
      </c>
      <c r="X429" s="3" t="s">
        <v>5949</v>
      </c>
      <c r="Y429" s="3"/>
      <c r="Z429" s="3"/>
      <c r="AA429" s="3"/>
      <c r="AB429" s="3" t="str">
        <f>IF(Caja_Arequipa[[#This Row],[fecha]]&gt;0,TEXT(Caja_Arequipa[[#This Row],[fecha]],"mmmm"),0)</f>
        <v>Mayo</v>
      </c>
    </row>
    <row r="430" spans="1:28" ht="24" x14ac:dyDescent="0.3">
      <c r="A430" s="2">
        <f>IF(Caja_Arequipa[[#This Row],[tipo_r]]="R",COUNTIFS($C$1:$C429,"R")+1,A429)</f>
        <v>385</v>
      </c>
      <c r="B430" s="19" t="str">
        <f>"C-Tesoreria"</f>
        <v>C-Tesoreria</v>
      </c>
      <c r="C430" s="3" t="s">
        <v>1352</v>
      </c>
      <c r="D430" s="14">
        <v>45800</v>
      </c>
      <c r="E430" s="5" t="s">
        <v>1416</v>
      </c>
      <c r="F430" s="5" t="s">
        <v>1336</v>
      </c>
      <c r="G430" s="3" t="s">
        <v>5811</v>
      </c>
      <c r="H430" s="6" t="s">
        <v>1259</v>
      </c>
      <c r="I430" s="6" t="s">
        <v>68</v>
      </c>
      <c r="J430" s="6" t="s">
        <v>5950</v>
      </c>
      <c r="K430" s="6">
        <v>1312836</v>
      </c>
      <c r="L430" s="7" t="s">
        <v>5948</v>
      </c>
      <c r="M430" s="8" t="str">
        <f>IF(Caja_Arequipa[[#This Row],[tipo_r]]="R","001-"&amp;12002+A430,M429)</f>
        <v>001-12387</v>
      </c>
      <c r="N430" s="8" t="str">
        <f>"PEN"</f>
        <v>PEN</v>
      </c>
      <c r="O430" s="13">
        <v>104</v>
      </c>
      <c r="P430" s="13"/>
      <c r="Q430" s="3">
        <f>+IF(OR($F430="SALDO",$F430="INGRESO"),$P430,0)</f>
        <v>0</v>
      </c>
      <c r="R430" s="3">
        <f>+IF($F430="EGRESO",$P430,0)</f>
        <v>0</v>
      </c>
      <c r="S430" s="3">
        <f t="shared" si="31"/>
        <v>1626.4999999999991</v>
      </c>
      <c r="T430" s="24"/>
      <c r="U430" s="24"/>
      <c r="V430" s="3"/>
      <c r="W430" s="25">
        <f>IFERROR(VLOOKUP(Caja_Arequipa[[#This Row],[destinatario]],CHOOSE({1,2},Clientes_Proveedores[Razon Social],Clientes_Proveedores[Ruc / Dni]),2,0),"")</f>
        <v>20536557858</v>
      </c>
      <c r="X430" s="3"/>
      <c r="Y430" s="3"/>
      <c r="Z430" s="3"/>
      <c r="AA430" s="3"/>
      <c r="AB430" s="3" t="str">
        <f>IF(Caja_Arequipa[[#This Row],[fecha]]&gt;0,TEXT(Caja_Arequipa[[#This Row],[fecha]],"mmmm"),0)</f>
        <v>Mayo</v>
      </c>
    </row>
    <row r="431" spans="1:28" ht="24" x14ac:dyDescent="0.3">
      <c r="A431" s="2">
        <f>IF(Caja_Arequipa[[#This Row],[tipo_r]]="R",COUNTIFS($C$1:$C430,"R")+1,A430)</f>
        <v>385</v>
      </c>
      <c r="B431" s="19" t="str">
        <f>"C-Tesoreria"</f>
        <v>C-Tesoreria</v>
      </c>
      <c r="C431" s="3" t="s">
        <v>1352</v>
      </c>
      <c r="D431" s="14">
        <v>45800</v>
      </c>
      <c r="E431" s="5" t="s">
        <v>1416</v>
      </c>
      <c r="F431" s="5" t="s">
        <v>1336</v>
      </c>
      <c r="G431" s="3" t="s">
        <v>5811</v>
      </c>
      <c r="H431" s="6"/>
      <c r="I431" s="6" t="s">
        <v>111</v>
      </c>
      <c r="J431" s="6">
        <v>3</v>
      </c>
      <c r="K431" s="6" t="s">
        <v>5951</v>
      </c>
      <c r="L431" s="7" t="s">
        <v>5948</v>
      </c>
      <c r="M431" s="8" t="str">
        <f>IF(Caja_Arequipa[[#This Row],[tipo_r]]="R","001-"&amp;12002+A431,M430)</f>
        <v>001-12387</v>
      </c>
      <c r="N431" s="8" t="str">
        <f>"PEN"</f>
        <v>PEN</v>
      </c>
      <c r="O431" s="13">
        <v>20</v>
      </c>
      <c r="P431" s="13"/>
      <c r="Q431" s="3">
        <f>+IF(OR($F431="SALDO",$F431="INGRESO"),$P431,0)</f>
        <v>0</v>
      </c>
      <c r="R431" s="3">
        <f>+IF($F431="EGRESO",$P431,0)</f>
        <v>0</v>
      </c>
      <c r="S431" s="3">
        <f t="shared" si="31"/>
        <v>1626.4999999999991</v>
      </c>
      <c r="T431" s="24"/>
      <c r="U431" s="24"/>
      <c r="V431" s="3"/>
      <c r="W431" s="25" t="str">
        <f>IFERROR(VLOOKUP(Caja_Arequipa[[#This Row],[destinatario]],CHOOSE({1,2},Clientes_Proveedores[Razon Social],Clientes_Proveedores[Ruc / Dni]),2,0),"")</f>
        <v/>
      </c>
      <c r="X431" s="3"/>
      <c r="Y431" s="3"/>
      <c r="Z431" s="3"/>
      <c r="AA431" s="3"/>
      <c r="AB431" s="3" t="str">
        <f>IF(Caja_Arequipa[[#This Row],[fecha]]&gt;0,TEXT(Caja_Arequipa[[#This Row],[fecha]],"mmmm"),0)</f>
        <v>Mayo</v>
      </c>
    </row>
    <row r="432" spans="1:28" x14ac:dyDescent="0.3">
      <c r="A432" s="2">
        <f>IF(Caja_Arequipa[[#This Row],[tipo_r]]="R",COUNTIFS($C$1:$C431,"R")+1,A431)</f>
        <v>386</v>
      </c>
      <c r="B432" s="19" t="str">
        <f t="shared" si="36"/>
        <v>C-Tesoreria</v>
      </c>
      <c r="C432" s="3" t="s">
        <v>1330</v>
      </c>
      <c r="D432" s="14">
        <v>45803</v>
      </c>
      <c r="E432" s="5" t="s">
        <v>1416</v>
      </c>
      <c r="F432" s="5" t="s">
        <v>1303</v>
      </c>
      <c r="G432" s="3" t="s">
        <v>3634</v>
      </c>
      <c r="H432" s="6"/>
      <c r="I432" s="6"/>
      <c r="J432" s="6"/>
      <c r="K432" s="6"/>
      <c r="L432" s="7" t="s">
        <v>5926</v>
      </c>
      <c r="M432" s="8" t="str">
        <f>IF(Caja_Arequipa[[#This Row],[tipo_r]]="R","001-"&amp;12002+A432,M431)</f>
        <v>001-12388</v>
      </c>
      <c r="N432" s="8" t="str">
        <f t="shared" ref="N432:N510" si="39">"PEN"</f>
        <v>PEN</v>
      </c>
      <c r="O432" s="13"/>
      <c r="P432" s="13">
        <v>610</v>
      </c>
      <c r="Q432" s="3">
        <f t="shared" si="37"/>
        <v>610</v>
      </c>
      <c r="R432" s="3">
        <f t="shared" si="38"/>
        <v>0</v>
      </c>
      <c r="S432" s="3">
        <f t="shared" si="31"/>
        <v>2236.4999999999991</v>
      </c>
      <c r="T432" s="24"/>
      <c r="U432" s="24"/>
      <c r="V432" s="3"/>
      <c r="W432" s="25" t="str">
        <f>IFERROR(VLOOKUP(Caja_Arequipa[[#This Row],[destinatario]],CHOOSE({1,2},Clientes_Proveedores[Razon Social],Clientes_Proveedores[Ruc / Dni]),2,0),"")</f>
        <v/>
      </c>
      <c r="X432" s="3"/>
      <c r="Y432" s="3"/>
      <c r="Z432" s="3"/>
      <c r="AA432" s="3"/>
      <c r="AB432" s="3" t="str">
        <f>IF(Caja_Arequipa[[#This Row],[fecha]]&gt;0,TEXT(Caja_Arequipa[[#This Row],[fecha]],"mmmm"),0)</f>
        <v>Mayo</v>
      </c>
    </row>
    <row r="433" spans="1:28" x14ac:dyDescent="0.3">
      <c r="A433" s="2">
        <f>IF(Caja_Arequipa[[#This Row],[tipo_r]]="R",COUNTIFS($C$1:$C432,"R")+1,A432)</f>
        <v>387</v>
      </c>
      <c r="B433" s="19" t="str">
        <f t="shared" si="36"/>
        <v>C-Tesoreria</v>
      </c>
      <c r="C433" s="3" t="s">
        <v>1330</v>
      </c>
      <c r="D433" s="14">
        <v>45803</v>
      </c>
      <c r="E433" s="5" t="s">
        <v>1416</v>
      </c>
      <c r="F433" s="5" t="s">
        <v>1336</v>
      </c>
      <c r="G433" s="3" t="s">
        <v>3308</v>
      </c>
      <c r="H433" s="6"/>
      <c r="I433" s="6" t="s">
        <v>111</v>
      </c>
      <c r="J433" s="6">
        <v>3</v>
      </c>
      <c r="K433" s="6">
        <v>164</v>
      </c>
      <c r="L433" s="7" t="s">
        <v>5952</v>
      </c>
      <c r="M433" s="8" t="str">
        <f>IF(Caja_Arequipa[[#This Row],[tipo_r]]="R","001-"&amp;12002+A433,M432)</f>
        <v>001-12389</v>
      </c>
      <c r="N433" s="8" t="str">
        <f t="shared" si="39"/>
        <v>PEN</v>
      </c>
      <c r="O433" s="13"/>
      <c r="P433" s="13">
        <v>8</v>
      </c>
      <c r="Q433" s="3">
        <f t="shared" si="37"/>
        <v>0</v>
      </c>
      <c r="R433" s="3">
        <f t="shared" si="38"/>
        <v>8</v>
      </c>
      <c r="S433" s="3">
        <f t="shared" si="31"/>
        <v>2228.4999999999991</v>
      </c>
      <c r="T433" s="24" t="s">
        <v>1334</v>
      </c>
      <c r="U433" s="24" t="s">
        <v>1334</v>
      </c>
      <c r="V433" s="3"/>
      <c r="W433" s="25" t="str">
        <f>IFERROR(VLOOKUP(Caja_Arequipa[[#This Row],[destinatario]],CHOOSE({1,2},Clientes_Proveedores[Razon Social],Clientes_Proveedores[Ruc / Dni]),2,0),"")</f>
        <v/>
      </c>
      <c r="X433" s="3" t="s">
        <v>5953</v>
      </c>
      <c r="Y433" s="3"/>
      <c r="Z433" s="3"/>
      <c r="AA433" s="3"/>
      <c r="AB433" s="3" t="str">
        <f>IF(Caja_Arequipa[[#This Row],[fecha]]&gt;0,TEXT(Caja_Arequipa[[#This Row],[fecha]],"mmmm"),0)</f>
        <v>Mayo</v>
      </c>
    </row>
    <row r="434" spans="1:28" x14ac:dyDescent="0.3">
      <c r="A434" s="2">
        <f>IF(Caja_Arequipa[[#This Row],[tipo_r]]="R",COUNTIFS($C$1:$C433,"R")+1,A433)</f>
        <v>388</v>
      </c>
      <c r="B434" s="19" t="str">
        <f t="shared" si="36"/>
        <v>C-Tesoreria</v>
      </c>
      <c r="C434" s="3" t="s">
        <v>1330</v>
      </c>
      <c r="D434" s="14">
        <v>45803</v>
      </c>
      <c r="E434" s="5" t="s">
        <v>1416</v>
      </c>
      <c r="F434" s="5" t="s">
        <v>1336</v>
      </c>
      <c r="G434" s="3" t="s">
        <v>3308</v>
      </c>
      <c r="H434" s="6"/>
      <c r="I434" s="6"/>
      <c r="J434" s="6"/>
      <c r="K434" s="6"/>
      <c r="L434" s="7" t="s">
        <v>5954</v>
      </c>
      <c r="M434" s="8" t="str">
        <f>IF(Caja_Arequipa[[#This Row],[tipo_r]]="R","001-"&amp;12002+A434,M433)</f>
        <v>001-12390</v>
      </c>
      <c r="N434" s="8" t="str">
        <f t="shared" si="39"/>
        <v>PEN</v>
      </c>
      <c r="O434" s="13"/>
      <c r="P434" s="13">
        <v>1</v>
      </c>
      <c r="Q434" s="3">
        <f t="shared" si="37"/>
        <v>0</v>
      </c>
      <c r="R434" s="3">
        <f t="shared" si="38"/>
        <v>1</v>
      </c>
      <c r="S434" s="3">
        <f t="shared" si="31"/>
        <v>2227.4999999999991</v>
      </c>
      <c r="T434" s="24" t="s">
        <v>1334</v>
      </c>
      <c r="U434" s="24" t="s">
        <v>1334</v>
      </c>
      <c r="V434" s="3"/>
      <c r="W434" s="25" t="str">
        <f>IFERROR(VLOOKUP(Caja_Arequipa[[#This Row],[destinatario]],CHOOSE({1,2},Clientes_Proveedores[Razon Social],Clientes_Proveedores[Ruc / Dni]),2,0),"")</f>
        <v/>
      </c>
      <c r="X434" s="3" t="s">
        <v>5955</v>
      </c>
      <c r="Y434" s="3"/>
      <c r="Z434" s="3"/>
      <c r="AA434" s="3"/>
      <c r="AB434" s="3" t="str">
        <f>IF(Caja_Arequipa[[#This Row],[fecha]]&gt;0,TEXT(Caja_Arequipa[[#This Row],[fecha]],"mmmm"),0)</f>
        <v>Mayo</v>
      </c>
    </row>
    <row r="435" spans="1:28" x14ac:dyDescent="0.3">
      <c r="A435" s="2">
        <f>IF(Caja_Arequipa[[#This Row],[tipo_r]]="R",COUNTIFS($C$1:$C434,"R")+1,A434)</f>
        <v>389</v>
      </c>
      <c r="B435" s="19" t="str">
        <f t="shared" si="36"/>
        <v>C-Tesoreria</v>
      </c>
      <c r="C435" s="3" t="s">
        <v>1330</v>
      </c>
      <c r="D435" s="14">
        <v>45803</v>
      </c>
      <c r="E435" s="5" t="s">
        <v>1416</v>
      </c>
      <c r="F435" s="5" t="s">
        <v>1336</v>
      </c>
      <c r="G435" s="3" t="s">
        <v>5709</v>
      </c>
      <c r="H435" s="6"/>
      <c r="I435" s="6"/>
      <c r="J435" s="6"/>
      <c r="K435" s="6"/>
      <c r="L435" s="7" t="s">
        <v>5956</v>
      </c>
      <c r="M435" s="8" t="str">
        <f>IF(Caja_Arequipa[[#This Row],[tipo_r]]="R","001-"&amp;12002+A435,M434)</f>
        <v>001-12391</v>
      </c>
      <c r="N435" s="8" t="str">
        <f t="shared" si="39"/>
        <v>PEN</v>
      </c>
      <c r="O435" s="13"/>
      <c r="P435" s="13">
        <v>28.3</v>
      </c>
      <c r="Q435" s="3">
        <f t="shared" si="37"/>
        <v>0</v>
      </c>
      <c r="R435" s="3">
        <f t="shared" si="38"/>
        <v>28.3</v>
      </c>
      <c r="S435" s="3">
        <f t="shared" si="31"/>
        <v>2199.1999999999989</v>
      </c>
      <c r="T435" s="24" t="s">
        <v>1334</v>
      </c>
      <c r="U435" s="24" t="s">
        <v>1334</v>
      </c>
      <c r="V435" s="3"/>
      <c r="W435" s="25" t="str">
        <f>IFERROR(VLOOKUP(Caja_Arequipa[[#This Row],[destinatario]],CHOOSE({1,2},Clientes_Proveedores[Razon Social],Clientes_Proveedores[Ruc / Dni]),2,0),"")</f>
        <v/>
      </c>
      <c r="X435" s="3" t="s">
        <v>5957</v>
      </c>
      <c r="Y435" s="3"/>
      <c r="Z435" s="3"/>
      <c r="AA435" s="3"/>
      <c r="AB435" s="3" t="str">
        <f>IF(Caja_Arequipa[[#This Row],[fecha]]&gt;0,TEXT(Caja_Arequipa[[#This Row],[fecha]],"mmmm"),0)</f>
        <v>Mayo</v>
      </c>
    </row>
    <row r="436" spans="1:28" x14ac:dyDescent="0.3">
      <c r="A436" s="2">
        <f>IF(Caja_Arequipa[[#This Row],[tipo_r]]="R",COUNTIFS($C$1:$C435,"R")+1,A435)</f>
        <v>390</v>
      </c>
      <c r="B436" s="19" t="str">
        <f t="shared" si="36"/>
        <v>C-Tesoreria</v>
      </c>
      <c r="C436" s="3" t="s">
        <v>1330</v>
      </c>
      <c r="D436" s="14">
        <v>45803</v>
      </c>
      <c r="E436" s="5" t="s">
        <v>1416</v>
      </c>
      <c r="F436" s="5" t="s">
        <v>1336</v>
      </c>
      <c r="G436" s="3" t="s">
        <v>3308</v>
      </c>
      <c r="H436" s="6"/>
      <c r="I436" s="6" t="s">
        <v>111</v>
      </c>
      <c r="J436" s="6">
        <v>3</v>
      </c>
      <c r="K436" s="6">
        <v>166</v>
      </c>
      <c r="L436" s="7" t="s">
        <v>5958</v>
      </c>
      <c r="M436" s="8" t="str">
        <f>IF(Caja_Arequipa[[#This Row],[tipo_r]]="R","001-"&amp;12002+A436,M435)</f>
        <v>001-12392</v>
      </c>
      <c r="N436" s="8" t="str">
        <f t="shared" si="39"/>
        <v>PEN</v>
      </c>
      <c r="O436" s="13"/>
      <c r="P436" s="13">
        <v>20</v>
      </c>
      <c r="Q436" s="3">
        <f t="shared" si="37"/>
        <v>0</v>
      </c>
      <c r="R436" s="3">
        <f t="shared" si="38"/>
        <v>20</v>
      </c>
      <c r="S436" s="3">
        <f t="shared" si="31"/>
        <v>2179.1999999999989</v>
      </c>
      <c r="T436" s="24" t="s">
        <v>1334</v>
      </c>
      <c r="U436" s="24" t="s">
        <v>1334</v>
      </c>
      <c r="V436" s="3"/>
      <c r="W436" s="25" t="str">
        <f>IFERROR(VLOOKUP(Caja_Arequipa[[#This Row],[destinatario]],CHOOSE({1,2},Clientes_Proveedores[Razon Social],Clientes_Proveedores[Ruc / Dni]),2,0),"")</f>
        <v/>
      </c>
      <c r="X436" s="3" t="s">
        <v>5959</v>
      </c>
      <c r="Y436" s="3"/>
      <c r="Z436" s="3"/>
      <c r="AA436" s="3"/>
      <c r="AB436" s="3" t="str">
        <f>IF(Caja_Arequipa[[#This Row],[fecha]]&gt;0,TEXT(Caja_Arequipa[[#This Row],[fecha]],"mmmm"),0)</f>
        <v>Mayo</v>
      </c>
    </row>
    <row r="437" spans="1:28" x14ac:dyDescent="0.3">
      <c r="A437" s="2">
        <f>IF(Caja_Arequipa[[#This Row],[tipo_r]]="R",COUNTIFS($C$1:$C436,"R")+1,A436)</f>
        <v>391</v>
      </c>
      <c r="B437" s="19" t="str">
        <f t="shared" si="36"/>
        <v>C-Tesoreria</v>
      </c>
      <c r="C437" s="3" t="s">
        <v>1330</v>
      </c>
      <c r="D437" s="14">
        <v>45803</v>
      </c>
      <c r="E437" s="5" t="s">
        <v>1416</v>
      </c>
      <c r="F437" s="5" t="s">
        <v>1336</v>
      </c>
      <c r="G437" s="3" t="s">
        <v>4788</v>
      </c>
      <c r="H437" s="6"/>
      <c r="I437" s="6" t="s">
        <v>111</v>
      </c>
      <c r="J437" s="6">
        <v>3</v>
      </c>
      <c r="K437" s="6">
        <v>167</v>
      </c>
      <c r="L437" s="7" t="s">
        <v>5958</v>
      </c>
      <c r="M437" s="8" t="str">
        <f>IF(Caja_Arequipa[[#This Row],[tipo_r]]="R","001-"&amp;12002+A437,M436)</f>
        <v>001-12393</v>
      </c>
      <c r="N437" s="8" t="str">
        <f t="shared" si="39"/>
        <v>PEN</v>
      </c>
      <c r="O437" s="13"/>
      <c r="P437" s="13">
        <v>40</v>
      </c>
      <c r="Q437" s="3">
        <f t="shared" si="37"/>
        <v>0</v>
      </c>
      <c r="R437" s="3">
        <f t="shared" si="38"/>
        <v>40</v>
      </c>
      <c r="S437" s="3">
        <f t="shared" si="31"/>
        <v>2139.1999999999989</v>
      </c>
      <c r="T437" s="24" t="s">
        <v>1334</v>
      </c>
      <c r="U437" s="24" t="s">
        <v>1334</v>
      </c>
      <c r="V437" s="3"/>
      <c r="W437" s="25" t="str">
        <f>IFERROR(VLOOKUP(Caja_Arequipa[[#This Row],[destinatario]],CHOOSE({1,2},Clientes_Proveedores[Razon Social],Clientes_Proveedores[Ruc / Dni]),2,0),"")</f>
        <v/>
      </c>
      <c r="X437" s="3" t="s">
        <v>5960</v>
      </c>
      <c r="Y437" s="3"/>
      <c r="Z437" s="3"/>
      <c r="AA437" s="3"/>
      <c r="AB437" s="3" t="str">
        <f>IF(Caja_Arequipa[[#This Row],[fecha]]&gt;0,TEXT(Caja_Arequipa[[#This Row],[fecha]],"mmmm"),0)</f>
        <v>Mayo</v>
      </c>
    </row>
    <row r="438" spans="1:28" ht="24" x14ac:dyDescent="0.3">
      <c r="A438" s="2">
        <f>IF(Caja_Arequipa[[#This Row],[tipo_r]]="R",COUNTIFS($C$1:$C437,"R")+1,A437)</f>
        <v>392</v>
      </c>
      <c r="B438" s="19" t="str">
        <f t="shared" si="36"/>
        <v>C-Tesoreria</v>
      </c>
      <c r="C438" s="3" t="s">
        <v>1330</v>
      </c>
      <c r="D438" s="14">
        <v>45803</v>
      </c>
      <c r="E438" s="5" t="s">
        <v>1416</v>
      </c>
      <c r="F438" s="5" t="s">
        <v>1336</v>
      </c>
      <c r="G438" s="3" t="s">
        <v>4788</v>
      </c>
      <c r="H438" s="6"/>
      <c r="I438" s="6"/>
      <c r="J438" s="6"/>
      <c r="K438" s="6"/>
      <c r="L438" s="7" t="s">
        <v>5961</v>
      </c>
      <c r="M438" s="8" t="str">
        <f>IF(Caja_Arequipa[[#This Row],[tipo_r]]="R","001-"&amp;12002+A438,M437)</f>
        <v>001-12394</v>
      </c>
      <c r="N438" s="8" t="str">
        <f t="shared" si="39"/>
        <v>PEN</v>
      </c>
      <c r="O438" s="13"/>
      <c r="P438" s="13">
        <v>187</v>
      </c>
      <c r="Q438" s="3">
        <f t="shared" si="37"/>
        <v>0</v>
      </c>
      <c r="R438" s="3">
        <f t="shared" si="38"/>
        <v>187</v>
      </c>
      <c r="S438" s="3">
        <f t="shared" si="31"/>
        <v>1952.1999999999989</v>
      </c>
      <c r="T438" s="24" t="s">
        <v>1334</v>
      </c>
      <c r="U438" s="24" t="s">
        <v>1334</v>
      </c>
      <c r="V438" s="3"/>
      <c r="W438" s="25" t="str">
        <f>IFERROR(VLOOKUP(Caja_Arequipa[[#This Row],[destinatario]],CHOOSE({1,2},Clientes_Proveedores[Razon Social],Clientes_Proveedores[Ruc / Dni]),2,0),"")</f>
        <v/>
      </c>
      <c r="X438" s="3" t="s">
        <v>5962</v>
      </c>
      <c r="Y438" s="3"/>
      <c r="Z438" s="3"/>
      <c r="AA438" s="3"/>
      <c r="AB438" s="3" t="str">
        <f>IF(Caja_Arequipa[[#This Row],[fecha]]&gt;0,TEXT(Caja_Arequipa[[#This Row],[fecha]],"mmmm"),0)</f>
        <v>Mayo</v>
      </c>
    </row>
    <row r="439" spans="1:28" ht="36" x14ac:dyDescent="0.3">
      <c r="A439" s="2">
        <f>IF(Caja_Arequipa[[#This Row],[tipo_r]]="R",COUNTIFS($C$1:$C438,"R")+1,A438)</f>
        <v>392</v>
      </c>
      <c r="B439" s="19" t="str">
        <f>"C-Tesoreria"</f>
        <v>C-Tesoreria</v>
      </c>
      <c r="C439" s="3" t="s">
        <v>1352</v>
      </c>
      <c r="D439" s="14">
        <v>45803</v>
      </c>
      <c r="E439" s="5" t="s">
        <v>1416</v>
      </c>
      <c r="F439" s="5" t="s">
        <v>1336</v>
      </c>
      <c r="G439" s="3" t="s">
        <v>4788</v>
      </c>
      <c r="H439" s="6" t="s">
        <v>1224</v>
      </c>
      <c r="I439" s="6" t="s">
        <v>68</v>
      </c>
      <c r="J439" s="6" t="s">
        <v>1376</v>
      </c>
      <c r="K439" s="6">
        <v>139</v>
      </c>
      <c r="L439" s="7" t="s">
        <v>5961</v>
      </c>
      <c r="M439" s="8" t="str">
        <f>IF(Caja_Arequipa[[#This Row],[tipo_r]]="R","001-"&amp;12002+A439,M438)</f>
        <v>001-12394</v>
      </c>
      <c r="N439" s="8" t="str">
        <f>"PEN"</f>
        <v>PEN</v>
      </c>
      <c r="O439" s="13">
        <v>167</v>
      </c>
      <c r="P439" s="13"/>
      <c r="Q439" s="3">
        <f>+IF(OR($F439="SALDO",$F439="INGRESO"),$P439,0)</f>
        <v>0</v>
      </c>
      <c r="R439" s="3">
        <f>+IF($F439="EGRESO",$P439,0)</f>
        <v>0</v>
      </c>
      <c r="S439" s="3">
        <f t="shared" si="31"/>
        <v>1952.1999999999989</v>
      </c>
      <c r="T439" s="24"/>
      <c r="U439" s="24"/>
      <c r="V439" s="3"/>
      <c r="W439" s="25">
        <f>IFERROR(VLOOKUP(Caja_Arequipa[[#This Row],[destinatario]],CHOOSE({1,2},Clientes_Proveedores[Razon Social],Clientes_Proveedores[Ruc / Dni]),2,0),"")</f>
        <v>20612760412</v>
      </c>
      <c r="X439" s="3"/>
      <c r="Y439" s="3"/>
      <c r="Z439" s="3"/>
      <c r="AA439" s="3"/>
      <c r="AB439" s="3" t="str">
        <f>IF(Caja_Arequipa[[#This Row],[fecha]]&gt;0,TEXT(Caja_Arequipa[[#This Row],[fecha]],"mmmm"),0)</f>
        <v>Mayo</v>
      </c>
    </row>
    <row r="440" spans="1:28" x14ac:dyDescent="0.3">
      <c r="A440" s="2">
        <f>IF(Caja_Arequipa[[#This Row],[tipo_r]]="R",COUNTIFS($C$1:$C439,"R")+1,A439)</f>
        <v>392</v>
      </c>
      <c r="B440" s="19" t="str">
        <f>"C-Tesoreria"</f>
        <v>C-Tesoreria</v>
      </c>
      <c r="C440" s="3" t="s">
        <v>1352</v>
      </c>
      <c r="D440" s="14">
        <v>45803</v>
      </c>
      <c r="E440" s="5" t="s">
        <v>1416</v>
      </c>
      <c r="F440" s="5" t="s">
        <v>1336</v>
      </c>
      <c r="G440" s="3" t="s">
        <v>4788</v>
      </c>
      <c r="H440" s="6"/>
      <c r="I440" s="6" t="s">
        <v>111</v>
      </c>
      <c r="J440" s="6">
        <v>3</v>
      </c>
      <c r="K440" s="6">
        <v>168</v>
      </c>
      <c r="L440" s="7" t="s">
        <v>5961</v>
      </c>
      <c r="M440" s="8" t="str">
        <f>IF(Caja_Arequipa[[#This Row],[tipo_r]]="R","001-"&amp;12002+A440,M439)</f>
        <v>001-12394</v>
      </c>
      <c r="N440" s="8" t="str">
        <f>"PEN"</f>
        <v>PEN</v>
      </c>
      <c r="O440" s="13">
        <v>20</v>
      </c>
      <c r="P440" s="13"/>
      <c r="Q440" s="3">
        <f>+IF(OR($F440="SALDO",$F440="INGRESO"),$P440,0)</f>
        <v>0</v>
      </c>
      <c r="R440" s="3">
        <f>+IF($F440="EGRESO",$P440,0)</f>
        <v>0</v>
      </c>
      <c r="S440" s="3">
        <f t="shared" si="31"/>
        <v>1952.1999999999989</v>
      </c>
      <c r="T440" s="24"/>
      <c r="U440" s="24"/>
      <c r="V440" s="3"/>
      <c r="W440" s="25" t="str">
        <f>IFERROR(VLOOKUP(Caja_Arequipa[[#This Row],[destinatario]],CHOOSE({1,2},Clientes_Proveedores[Razon Social],Clientes_Proveedores[Ruc / Dni]),2,0),"")</f>
        <v/>
      </c>
      <c r="X440" s="3"/>
      <c r="Y440" s="3"/>
      <c r="Z440" s="3"/>
      <c r="AA440" s="3"/>
      <c r="AB440" s="3" t="str">
        <f>IF(Caja_Arequipa[[#This Row],[fecha]]&gt;0,TEXT(Caja_Arequipa[[#This Row],[fecha]],"mmmm"),0)</f>
        <v>Mayo</v>
      </c>
    </row>
    <row r="441" spans="1:28" ht="24" x14ac:dyDescent="0.3">
      <c r="A441" s="2">
        <f>IF(Caja_Arequipa[[#This Row],[tipo_r]]="R",COUNTIFS($C$1:$C440,"R")+1,A440)</f>
        <v>393</v>
      </c>
      <c r="B441" s="19" t="str">
        <f t="shared" si="36"/>
        <v>C-Tesoreria</v>
      </c>
      <c r="C441" s="3" t="s">
        <v>1330</v>
      </c>
      <c r="D441" s="14">
        <v>45803</v>
      </c>
      <c r="E441" s="5" t="s">
        <v>1416</v>
      </c>
      <c r="F441" s="5" t="s">
        <v>1336</v>
      </c>
      <c r="G441" s="3" t="s">
        <v>4788</v>
      </c>
      <c r="H441" s="6"/>
      <c r="I441" s="6"/>
      <c r="J441" s="6"/>
      <c r="K441" s="6"/>
      <c r="L441" s="7" t="s">
        <v>5963</v>
      </c>
      <c r="M441" s="8" t="str">
        <f>IF(Caja_Arequipa[[#This Row],[tipo_r]]="R","001-"&amp;12002+A441,M440)</f>
        <v>001-12395</v>
      </c>
      <c r="N441" s="8" t="str">
        <f t="shared" si="39"/>
        <v>PEN</v>
      </c>
      <c r="O441" s="13"/>
      <c r="P441" s="13">
        <v>140</v>
      </c>
      <c r="Q441" s="3">
        <f t="shared" si="37"/>
        <v>0</v>
      </c>
      <c r="R441" s="3">
        <f t="shared" si="38"/>
        <v>140</v>
      </c>
      <c r="S441" s="3">
        <f t="shared" si="31"/>
        <v>1812.1999999999989</v>
      </c>
      <c r="T441" s="24"/>
      <c r="U441" s="24" t="s">
        <v>1334</v>
      </c>
      <c r="V441" s="3"/>
      <c r="W441" s="25" t="str">
        <f>IFERROR(VLOOKUP(Caja_Arequipa[[#This Row],[destinatario]],CHOOSE({1,2},Clientes_Proveedores[Razon Social],Clientes_Proveedores[Ruc / Dni]),2,0),"")</f>
        <v/>
      </c>
      <c r="X441" s="3" t="s">
        <v>5964</v>
      </c>
      <c r="Y441" s="3"/>
      <c r="Z441" s="3"/>
      <c r="AA441" s="3"/>
      <c r="AB441" s="3" t="str">
        <f>IF(Caja_Arequipa[[#This Row],[fecha]]&gt;0,TEXT(Caja_Arequipa[[#This Row],[fecha]],"mmmm"),0)</f>
        <v>Mayo</v>
      </c>
    </row>
    <row r="442" spans="1:28" ht="24" x14ac:dyDescent="0.3">
      <c r="A442" s="2">
        <f>IF(Caja_Arequipa[[#This Row],[tipo_r]]="R",COUNTIFS($C$1:$C441,"R")+1,A441)</f>
        <v>393</v>
      </c>
      <c r="B442" s="19" t="str">
        <f t="shared" si="36"/>
        <v>C-Tesoreria</v>
      </c>
      <c r="C442" s="3" t="s">
        <v>1352</v>
      </c>
      <c r="D442" s="14">
        <v>45803</v>
      </c>
      <c r="E442" s="5" t="s">
        <v>1416</v>
      </c>
      <c r="F442" s="5"/>
      <c r="G442" s="3"/>
      <c r="H442" s="6" t="s">
        <v>969</v>
      </c>
      <c r="I442" s="6" t="s">
        <v>68</v>
      </c>
      <c r="J442" s="6" t="s">
        <v>1374</v>
      </c>
      <c r="K442" s="6">
        <v>1014</v>
      </c>
      <c r="L442" s="7" t="s">
        <v>5963</v>
      </c>
      <c r="M442" s="8" t="str">
        <f>IF(Caja_Arequipa[[#This Row],[tipo_r]]="R","001-"&amp;12002+A442,M441)</f>
        <v>001-12395</v>
      </c>
      <c r="N442" s="8" t="str">
        <f>"PEN"</f>
        <v>PEN</v>
      </c>
      <c r="O442" s="13">
        <v>100</v>
      </c>
      <c r="P442" s="13"/>
      <c r="Q442" s="3">
        <f t="shared" si="37"/>
        <v>0</v>
      </c>
      <c r="R442" s="3">
        <f t="shared" si="38"/>
        <v>0</v>
      </c>
      <c r="S442" s="3">
        <f t="shared" si="31"/>
        <v>1812.1999999999989</v>
      </c>
      <c r="T442" s="24"/>
      <c r="U442" s="24" t="s">
        <v>1334</v>
      </c>
      <c r="V442" s="3"/>
      <c r="W442" s="25">
        <f>IFERROR(VLOOKUP(Caja_Arequipa[[#This Row],[destinatario]],CHOOSE({1,2},Clientes_Proveedores[Razon Social],Clientes_Proveedores[Ruc / Dni]),2,0),"")</f>
        <v>20603679025</v>
      </c>
      <c r="X442" s="3"/>
      <c r="Y442" s="3"/>
      <c r="Z442" s="3"/>
      <c r="AA442" s="3"/>
      <c r="AB442" s="3" t="str">
        <f>IF(Caja_Arequipa[[#This Row],[fecha]]&gt;0,TEXT(Caja_Arequipa[[#This Row],[fecha]],"mmmm"),0)</f>
        <v>Mayo</v>
      </c>
    </row>
    <row r="443" spans="1:28" ht="24" x14ac:dyDescent="0.3">
      <c r="A443" s="2">
        <f>IF(Caja_Arequipa[[#This Row],[tipo_r]]="R",COUNTIFS($C$1:$C442,"R")+1,A442)</f>
        <v>393</v>
      </c>
      <c r="B443" s="19" t="str">
        <f t="shared" si="36"/>
        <v>C-Tesoreria</v>
      </c>
      <c r="C443" s="3" t="s">
        <v>1352</v>
      </c>
      <c r="D443" s="14">
        <v>45803</v>
      </c>
      <c r="E443" s="5" t="s">
        <v>1416</v>
      </c>
      <c r="F443" s="5"/>
      <c r="G443" s="3"/>
      <c r="H443" s="6" t="s">
        <v>967</v>
      </c>
      <c r="I443" s="6" t="s">
        <v>111</v>
      </c>
      <c r="J443" s="6">
        <v>3</v>
      </c>
      <c r="K443" s="6">
        <v>239</v>
      </c>
      <c r="L443" s="7" t="s">
        <v>5963</v>
      </c>
      <c r="M443" s="8" t="str">
        <f>IF(Caja_Arequipa[[#This Row],[tipo_r]]="R","001-"&amp;12002+A443,M442)</f>
        <v>001-12395</v>
      </c>
      <c r="N443" s="8" t="str">
        <f>"PEN"</f>
        <v>PEN</v>
      </c>
      <c r="O443" s="13">
        <v>40</v>
      </c>
      <c r="P443" s="13"/>
      <c r="Q443" s="3">
        <f t="shared" si="37"/>
        <v>0</v>
      </c>
      <c r="R443" s="3">
        <f t="shared" si="38"/>
        <v>0</v>
      </c>
      <c r="S443" s="3">
        <f t="shared" si="31"/>
        <v>1812.1999999999989</v>
      </c>
      <c r="T443" s="24"/>
      <c r="U443" s="24" t="s">
        <v>1334</v>
      </c>
      <c r="V443" s="3"/>
      <c r="W443" s="25">
        <f>IFERROR(VLOOKUP(Caja_Arequipa[[#This Row],[destinatario]],CHOOSE({1,2},Clientes_Proveedores[Razon Social],Clientes_Proveedores[Ruc / Dni]),2,0),"")</f>
        <v>70517150</v>
      </c>
      <c r="X443" s="3"/>
      <c r="Y443" s="3"/>
      <c r="Z443" s="3"/>
      <c r="AA443" s="3"/>
      <c r="AB443" s="3" t="str">
        <f>IF(Caja_Arequipa[[#This Row],[fecha]]&gt;0,TEXT(Caja_Arequipa[[#This Row],[fecha]],"mmmm"),0)</f>
        <v>Mayo</v>
      </c>
    </row>
    <row r="444" spans="1:28" x14ac:dyDescent="0.3">
      <c r="A444" s="2">
        <f>IF(Caja_Arequipa[[#This Row],[tipo_r]]="R",COUNTIFS($C$1:$C443,"R")+1,A443)</f>
        <v>394</v>
      </c>
      <c r="B444" s="19" t="str">
        <f t="shared" si="36"/>
        <v>C-Tesoreria</v>
      </c>
      <c r="C444" s="3" t="s">
        <v>1330</v>
      </c>
      <c r="D444" s="14">
        <v>45804</v>
      </c>
      <c r="E444" s="5" t="s">
        <v>1416</v>
      </c>
      <c r="F444" s="5" t="s">
        <v>1336</v>
      </c>
      <c r="G444" s="3" t="s">
        <v>5259</v>
      </c>
      <c r="H444" s="6"/>
      <c r="I444" s="6" t="s">
        <v>111</v>
      </c>
      <c r="J444" s="6">
        <v>3</v>
      </c>
      <c r="K444" s="6">
        <v>169</v>
      </c>
      <c r="L444" s="7" t="s">
        <v>5965</v>
      </c>
      <c r="M444" s="8" t="str">
        <f>IF(Caja_Arequipa[[#This Row],[tipo_r]]="R","001-"&amp;12002+A444,M443)</f>
        <v>001-12396</v>
      </c>
      <c r="N444" s="8" t="str">
        <f t="shared" si="39"/>
        <v>PEN</v>
      </c>
      <c r="O444" s="13"/>
      <c r="P444" s="13">
        <v>5</v>
      </c>
      <c r="Q444" s="3">
        <f t="shared" si="37"/>
        <v>0</v>
      </c>
      <c r="R444" s="3">
        <f t="shared" si="38"/>
        <v>5</v>
      </c>
      <c r="S444" s="3">
        <f t="shared" si="31"/>
        <v>1807.1999999999989</v>
      </c>
      <c r="T444" s="24" t="s">
        <v>1334</v>
      </c>
      <c r="U444" s="24" t="s">
        <v>1334</v>
      </c>
      <c r="V444" s="3"/>
      <c r="W444" s="25" t="str">
        <f>IFERROR(VLOOKUP(Caja_Arequipa[[#This Row],[destinatario]],CHOOSE({1,2},Clientes_Proveedores[Razon Social],Clientes_Proveedores[Ruc / Dni]),2,0),"")</f>
        <v/>
      </c>
      <c r="X444" s="3" t="s">
        <v>5966</v>
      </c>
      <c r="Y444" s="3"/>
      <c r="Z444" s="3"/>
      <c r="AA444" s="3"/>
      <c r="AB444" s="3" t="str">
        <f>IF(Caja_Arequipa[[#This Row],[fecha]]&gt;0,TEXT(Caja_Arequipa[[#This Row],[fecha]],"mmmm"),0)</f>
        <v>Mayo</v>
      </c>
    </row>
    <row r="445" spans="1:28" x14ac:dyDescent="0.3">
      <c r="A445" s="2">
        <f>IF(Caja_Arequipa[[#This Row],[tipo_r]]="R",COUNTIFS($C$1:$C444,"R")+1,A444)</f>
        <v>395</v>
      </c>
      <c r="B445" s="19" t="str">
        <f t="shared" si="36"/>
        <v>C-Tesoreria</v>
      </c>
      <c r="C445" s="3" t="s">
        <v>1330</v>
      </c>
      <c r="D445" s="14">
        <v>45804</v>
      </c>
      <c r="E445" s="5" t="s">
        <v>1416</v>
      </c>
      <c r="F445" s="5" t="s">
        <v>1336</v>
      </c>
      <c r="G445" s="3" t="s">
        <v>5259</v>
      </c>
      <c r="H445" s="6"/>
      <c r="I445" s="6" t="s">
        <v>111</v>
      </c>
      <c r="J445" s="6">
        <v>3</v>
      </c>
      <c r="K445" s="6">
        <v>170</v>
      </c>
      <c r="L445" s="7" t="s">
        <v>5967</v>
      </c>
      <c r="M445" s="8" t="str">
        <f>IF(Caja_Arequipa[[#This Row],[tipo_r]]="R","001-"&amp;12002+A445,M444)</f>
        <v>001-12397</v>
      </c>
      <c r="N445" s="8" t="str">
        <f t="shared" si="39"/>
        <v>PEN</v>
      </c>
      <c r="O445" s="13"/>
      <c r="P445" s="13">
        <v>13</v>
      </c>
      <c r="Q445" s="3">
        <f t="shared" si="37"/>
        <v>0</v>
      </c>
      <c r="R445" s="3">
        <f t="shared" si="38"/>
        <v>13</v>
      </c>
      <c r="S445" s="3">
        <f t="shared" si="31"/>
        <v>1794.1999999999989</v>
      </c>
      <c r="T445" s="24" t="s">
        <v>1334</v>
      </c>
      <c r="U445" s="24" t="s">
        <v>1334</v>
      </c>
      <c r="V445" s="3"/>
      <c r="W445" s="25" t="str">
        <f>IFERROR(VLOOKUP(Caja_Arequipa[[#This Row],[destinatario]],CHOOSE({1,2},Clientes_Proveedores[Razon Social],Clientes_Proveedores[Ruc / Dni]),2,0),"")</f>
        <v/>
      </c>
      <c r="X445" s="3" t="s">
        <v>5968</v>
      </c>
      <c r="Y445" s="3"/>
      <c r="Z445" s="3"/>
      <c r="AA445" s="3"/>
      <c r="AB445" s="3" t="str">
        <f>IF(Caja_Arequipa[[#This Row],[fecha]]&gt;0,TEXT(Caja_Arequipa[[#This Row],[fecha]],"mmmm"),0)</f>
        <v>Mayo</v>
      </c>
    </row>
    <row r="446" spans="1:28" x14ac:dyDescent="0.3">
      <c r="A446" s="2">
        <f>IF(Caja_Arequipa[[#This Row],[tipo_r]]="R",COUNTIFS($C$1:$C445,"R")+1,A445)</f>
        <v>396</v>
      </c>
      <c r="B446" s="19" t="str">
        <f t="shared" si="36"/>
        <v>C-Tesoreria</v>
      </c>
      <c r="C446" s="3" t="s">
        <v>1330</v>
      </c>
      <c r="D446" s="14">
        <v>45804</v>
      </c>
      <c r="E446" s="5" t="s">
        <v>1416</v>
      </c>
      <c r="F446" s="5" t="s">
        <v>1336</v>
      </c>
      <c r="G446" s="3" t="s">
        <v>5259</v>
      </c>
      <c r="H446" s="6"/>
      <c r="I446" s="6" t="s">
        <v>111</v>
      </c>
      <c r="J446" s="6">
        <v>3</v>
      </c>
      <c r="K446" s="6">
        <v>171</v>
      </c>
      <c r="L446" s="7" t="s">
        <v>5969</v>
      </c>
      <c r="M446" s="8" t="str">
        <f>IF(Caja_Arequipa[[#This Row],[tipo_r]]="R","001-"&amp;12002+A446,M445)</f>
        <v>001-12398</v>
      </c>
      <c r="N446" s="8" t="str">
        <f t="shared" si="39"/>
        <v>PEN</v>
      </c>
      <c r="O446" s="13"/>
      <c r="P446" s="13">
        <v>30</v>
      </c>
      <c r="Q446" s="3">
        <f t="shared" si="37"/>
        <v>0</v>
      </c>
      <c r="R446" s="3">
        <f t="shared" si="38"/>
        <v>30</v>
      </c>
      <c r="S446" s="3">
        <f t="shared" si="31"/>
        <v>1764.1999999999989</v>
      </c>
      <c r="T446" s="24" t="s">
        <v>1334</v>
      </c>
      <c r="U446" s="24" t="s">
        <v>1334</v>
      </c>
      <c r="V446" s="3"/>
      <c r="W446" s="25" t="str">
        <f>IFERROR(VLOOKUP(Caja_Arequipa[[#This Row],[destinatario]],CHOOSE({1,2},Clientes_Proveedores[Razon Social],Clientes_Proveedores[Ruc / Dni]),2,0),"")</f>
        <v/>
      </c>
      <c r="X446" s="3" t="s">
        <v>5970</v>
      </c>
      <c r="Y446" s="3"/>
      <c r="Z446" s="3"/>
      <c r="AA446" s="3"/>
      <c r="AB446" s="3" t="str">
        <f>IF(Caja_Arequipa[[#This Row],[fecha]]&gt;0,TEXT(Caja_Arequipa[[#This Row],[fecha]],"mmmm"),0)</f>
        <v>Mayo</v>
      </c>
    </row>
    <row r="447" spans="1:28" x14ac:dyDescent="0.3">
      <c r="A447" s="2">
        <f>IF(Caja_Arequipa[[#This Row],[tipo_r]]="R",COUNTIFS($C$1:$C446,"R")+1,A446)</f>
        <v>397</v>
      </c>
      <c r="B447" s="19" t="str">
        <f t="shared" si="36"/>
        <v>C-Tesoreria</v>
      </c>
      <c r="C447" s="3" t="s">
        <v>1330</v>
      </c>
      <c r="D447" s="14">
        <v>45804</v>
      </c>
      <c r="E447" s="5" t="s">
        <v>1416</v>
      </c>
      <c r="F447" s="5" t="s">
        <v>1336</v>
      </c>
      <c r="G447" s="3" t="s">
        <v>5259</v>
      </c>
      <c r="H447" s="6"/>
      <c r="I447" s="6" t="s">
        <v>111</v>
      </c>
      <c r="J447" s="6">
        <v>3</v>
      </c>
      <c r="K447" s="6">
        <v>172</v>
      </c>
      <c r="L447" s="7" t="s">
        <v>5971</v>
      </c>
      <c r="M447" s="8" t="str">
        <f>IF(Caja_Arequipa[[#This Row],[tipo_r]]="R","001-"&amp;12002+A447,M446)</f>
        <v>001-12399</v>
      </c>
      <c r="N447" s="8" t="str">
        <f t="shared" si="39"/>
        <v>PEN</v>
      </c>
      <c r="O447" s="13"/>
      <c r="P447" s="13">
        <v>68</v>
      </c>
      <c r="Q447" s="3">
        <f t="shared" si="37"/>
        <v>0</v>
      </c>
      <c r="R447" s="3">
        <f t="shared" si="38"/>
        <v>68</v>
      </c>
      <c r="S447" s="3">
        <f t="shared" si="31"/>
        <v>1696.1999999999989</v>
      </c>
      <c r="T447" s="24" t="s">
        <v>1334</v>
      </c>
      <c r="U447" s="24" t="s">
        <v>1334</v>
      </c>
      <c r="V447" s="3"/>
      <c r="W447" s="25" t="str">
        <f>IFERROR(VLOOKUP(Caja_Arequipa[[#This Row],[destinatario]],CHOOSE({1,2},Clientes_Proveedores[Razon Social],Clientes_Proveedores[Ruc / Dni]),2,0),"")</f>
        <v/>
      </c>
      <c r="X447" s="3" t="s">
        <v>5972</v>
      </c>
      <c r="Y447" s="3"/>
      <c r="Z447" s="3"/>
      <c r="AA447" s="3"/>
      <c r="AB447" s="3" t="str">
        <f>IF(Caja_Arequipa[[#This Row],[fecha]]&gt;0,TEXT(Caja_Arequipa[[#This Row],[fecha]],"mmmm"),0)</f>
        <v>Mayo</v>
      </c>
    </row>
    <row r="448" spans="1:28" x14ac:dyDescent="0.3">
      <c r="A448" s="2">
        <f>IF(Caja_Arequipa[[#This Row],[tipo_r]]="R",COUNTIFS($C$1:$C447,"R")+1,A447)</f>
        <v>398</v>
      </c>
      <c r="B448" s="19" t="str">
        <f t="shared" si="36"/>
        <v>C-Tesoreria</v>
      </c>
      <c r="C448" s="3" t="s">
        <v>1330</v>
      </c>
      <c r="D448" s="14">
        <v>45804</v>
      </c>
      <c r="E448" s="5" t="s">
        <v>1416</v>
      </c>
      <c r="F448" s="5" t="s">
        <v>1336</v>
      </c>
      <c r="G448" s="3" t="s">
        <v>5259</v>
      </c>
      <c r="H448" s="6"/>
      <c r="I448" s="6" t="s">
        <v>111</v>
      </c>
      <c r="J448" s="6">
        <v>3</v>
      </c>
      <c r="K448" s="6">
        <v>173</v>
      </c>
      <c r="L448" s="7" t="s">
        <v>5973</v>
      </c>
      <c r="M448" s="8" t="str">
        <f>IF(Caja_Arequipa[[#This Row],[tipo_r]]="R","001-"&amp;12002+A448,M447)</f>
        <v>001-12400</v>
      </c>
      <c r="N448" s="8" t="str">
        <f t="shared" si="39"/>
        <v>PEN</v>
      </c>
      <c r="O448" s="13"/>
      <c r="P448" s="13">
        <v>5</v>
      </c>
      <c r="Q448" s="3">
        <f t="shared" si="37"/>
        <v>0</v>
      </c>
      <c r="R448" s="3">
        <f t="shared" si="38"/>
        <v>5</v>
      </c>
      <c r="S448" s="3">
        <f t="shared" si="31"/>
        <v>1691.1999999999989</v>
      </c>
      <c r="T448" s="24" t="s">
        <v>1334</v>
      </c>
      <c r="U448" s="24" t="s">
        <v>1334</v>
      </c>
      <c r="V448" s="3"/>
      <c r="W448" s="25" t="str">
        <f>IFERROR(VLOOKUP(Caja_Arequipa[[#This Row],[destinatario]],CHOOSE({1,2},Clientes_Proveedores[Razon Social],Clientes_Proveedores[Ruc / Dni]),2,0),"")</f>
        <v/>
      </c>
      <c r="X448" s="3" t="s">
        <v>5974</v>
      </c>
      <c r="Y448" s="3"/>
      <c r="Z448" s="3"/>
      <c r="AA448" s="3"/>
      <c r="AB448" s="3" t="str">
        <f>IF(Caja_Arequipa[[#This Row],[fecha]]&gt;0,TEXT(Caja_Arequipa[[#This Row],[fecha]],"mmmm"),0)</f>
        <v>Mayo</v>
      </c>
    </row>
    <row r="449" spans="1:28" x14ac:dyDescent="0.3">
      <c r="A449" s="2">
        <f>IF(Caja_Arequipa[[#This Row],[tipo_r]]="R",COUNTIFS($C$1:$C448,"R")+1,A448)</f>
        <v>399</v>
      </c>
      <c r="B449" s="19" t="str">
        <f t="shared" si="36"/>
        <v>C-Tesoreria</v>
      </c>
      <c r="C449" s="3" t="s">
        <v>1330</v>
      </c>
      <c r="D449" s="14">
        <v>45804</v>
      </c>
      <c r="E449" s="5" t="s">
        <v>1416</v>
      </c>
      <c r="F449" s="5" t="s">
        <v>1336</v>
      </c>
      <c r="G449" s="3" t="s">
        <v>5259</v>
      </c>
      <c r="H449" s="6"/>
      <c r="I449" s="6" t="s">
        <v>111</v>
      </c>
      <c r="J449" s="6">
        <v>3</v>
      </c>
      <c r="K449" s="6">
        <v>174</v>
      </c>
      <c r="L449" s="7" t="s">
        <v>5975</v>
      </c>
      <c r="M449" s="8" t="str">
        <f>IF(Caja_Arequipa[[#This Row],[tipo_r]]="R","001-"&amp;12002+A449,M448)</f>
        <v>001-12401</v>
      </c>
      <c r="N449" s="8" t="str">
        <f t="shared" si="39"/>
        <v>PEN</v>
      </c>
      <c r="O449" s="13"/>
      <c r="P449" s="13">
        <v>25</v>
      </c>
      <c r="Q449" s="3">
        <f t="shared" si="37"/>
        <v>0</v>
      </c>
      <c r="R449" s="3">
        <f t="shared" si="38"/>
        <v>25</v>
      </c>
      <c r="S449" s="3">
        <f t="shared" si="31"/>
        <v>1666.1999999999989</v>
      </c>
      <c r="T449" s="24" t="s">
        <v>1334</v>
      </c>
      <c r="U449" s="24" t="s">
        <v>1334</v>
      </c>
      <c r="V449" s="3"/>
      <c r="W449" s="25" t="str">
        <f>IFERROR(VLOOKUP(Caja_Arequipa[[#This Row],[destinatario]],CHOOSE({1,2},Clientes_Proveedores[Razon Social],Clientes_Proveedores[Ruc / Dni]),2,0),"")</f>
        <v/>
      </c>
      <c r="X449" s="3" t="s">
        <v>5976</v>
      </c>
      <c r="Y449" s="3"/>
      <c r="Z449" s="3"/>
      <c r="AA449" s="3"/>
      <c r="AB449" s="3" t="str">
        <f>IF(Caja_Arequipa[[#This Row],[fecha]]&gt;0,TEXT(Caja_Arequipa[[#This Row],[fecha]],"mmmm"),0)</f>
        <v>Mayo</v>
      </c>
    </row>
    <row r="450" spans="1:28" x14ac:dyDescent="0.3">
      <c r="A450" s="2">
        <f>IF(Caja_Arequipa[[#This Row],[tipo_r]]="R",COUNTIFS($C$1:$C449,"R")+1,A449)</f>
        <v>400</v>
      </c>
      <c r="B450" s="19" t="str">
        <f t="shared" si="36"/>
        <v>C-Tesoreria</v>
      </c>
      <c r="C450" s="3" t="s">
        <v>1330</v>
      </c>
      <c r="D450" s="14">
        <v>45804</v>
      </c>
      <c r="E450" s="5" t="s">
        <v>1416</v>
      </c>
      <c r="F450" s="5" t="s">
        <v>1336</v>
      </c>
      <c r="G450" s="3" t="s">
        <v>5259</v>
      </c>
      <c r="H450" s="6"/>
      <c r="I450" s="6" t="s">
        <v>111</v>
      </c>
      <c r="J450" s="6">
        <v>3</v>
      </c>
      <c r="K450" s="6">
        <v>175</v>
      </c>
      <c r="L450" s="7" t="s">
        <v>5977</v>
      </c>
      <c r="M450" s="8" t="str">
        <f>IF(Caja_Arequipa[[#This Row],[tipo_r]]="R","001-"&amp;12002+A450,M449)</f>
        <v>001-12402</v>
      </c>
      <c r="N450" s="8" t="str">
        <f t="shared" si="39"/>
        <v>PEN</v>
      </c>
      <c r="O450" s="13"/>
      <c r="P450" s="13">
        <v>10</v>
      </c>
      <c r="Q450" s="3">
        <f t="shared" si="37"/>
        <v>0</v>
      </c>
      <c r="R450" s="3">
        <f t="shared" si="38"/>
        <v>10</v>
      </c>
      <c r="S450" s="3">
        <f t="shared" ref="S450:S513" si="40">IFERROR(IF(F450="SALDO",Q450,S449+Q450-R450),0)</f>
        <v>1656.1999999999989</v>
      </c>
      <c r="T450" s="24" t="s">
        <v>1334</v>
      </c>
      <c r="U450" s="24" t="s">
        <v>1334</v>
      </c>
      <c r="V450" s="3"/>
      <c r="W450" s="25" t="str">
        <f>IFERROR(VLOOKUP(Caja_Arequipa[[#This Row],[destinatario]],CHOOSE({1,2},Clientes_Proveedores[Razon Social],Clientes_Proveedores[Ruc / Dni]),2,0),"")</f>
        <v/>
      </c>
      <c r="X450" s="3" t="s">
        <v>5978</v>
      </c>
      <c r="Y450" s="3"/>
      <c r="Z450" s="3"/>
      <c r="AA450" s="3"/>
      <c r="AB450" s="3" t="str">
        <f>IF(Caja_Arequipa[[#This Row],[fecha]]&gt;0,TEXT(Caja_Arequipa[[#This Row],[fecha]],"mmmm"),0)</f>
        <v>Mayo</v>
      </c>
    </row>
    <row r="451" spans="1:28" x14ac:dyDescent="0.3">
      <c r="A451" s="2">
        <f>IF(Caja_Arequipa[[#This Row],[tipo_r]]="R",COUNTIFS($C$1:$C450,"R")+1,A450)</f>
        <v>401</v>
      </c>
      <c r="B451" s="19" t="str">
        <f t="shared" si="36"/>
        <v>C-Tesoreria</v>
      </c>
      <c r="C451" s="3" t="s">
        <v>1330</v>
      </c>
      <c r="D451" s="14">
        <v>45804</v>
      </c>
      <c r="E451" s="5" t="s">
        <v>1416</v>
      </c>
      <c r="F451" s="5" t="s">
        <v>1336</v>
      </c>
      <c r="G451" s="3" t="s">
        <v>5259</v>
      </c>
      <c r="H451" s="6"/>
      <c r="I451" s="6" t="s">
        <v>111</v>
      </c>
      <c r="J451" s="6">
        <v>3</v>
      </c>
      <c r="K451" s="6">
        <v>176</v>
      </c>
      <c r="L451" s="7" t="s">
        <v>5979</v>
      </c>
      <c r="M451" s="8" t="str">
        <f>IF(Caja_Arequipa[[#This Row],[tipo_r]]="R","001-"&amp;12002+A451,M450)</f>
        <v>001-12403</v>
      </c>
      <c r="N451" s="8" t="str">
        <f t="shared" si="39"/>
        <v>PEN</v>
      </c>
      <c r="O451" s="13"/>
      <c r="P451" s="13">
        <v>25</v>
      </c>
      <c r="Q451" s="3">
        <f t="shared" si="37"/>
        <v>0</v>
      </c>
      <c r="R451" s="3">
        <f t="shared" si="38"/>
        <v>25</v>
      </c>
      <c r="S451" s="3">
        <f t="shared" si="40"/>
        <v>1631.1999999999989</v>
      </c>
      <c r="T451" s="24" t="s">
        <v>1334</v>
      </c>
      <c r="U451" s="24" t="s">
        <v>1334</v>
      </c>
      <c r="V451" s="3"/>
      <c r="W451" s="25" t="str">
        <f>IFERROR(VLOOKUP(Caja_Arequipa[[#This Row],[destinatario]],CHOOSE({1,2},Clientes_Proveedores[Razon Social],Clientes_Proveedores[Ruc / Dni]),2,0),"")</f>
        <v/>
      </c>
      <c r="X451" s="3" t="s">
        <v>5980</v>
      </c>
      <c r="Y451" s="3"/>
      <c r="Z451" s="3"/>
      <c r="AA451" s="3"/>
      <c r="AB451" s="3" t="str">
        <f>IF(Caja_Arequipa[[#This Row],[fecha]]&gt;0,TEXT(Caja_Arequipa[[#This Row],[fecha]],"mmmm"),0)</f>
        <v>Mayo</v>
      </c>
    </row>
    <row r="452" spans="1:28" x14ac:dyDescent="0.3">
      <c r="A452" s="2">
        <f>IF(Caja_Arequipa[[#This Row],[tipo_r]]="R",COUNTIFS($C$1:$C451,"R")+1,A451)</f>
        <v>402</v>
      </c>
      <c r="B452" s="19" t="str">
        <f t="shared" si="36"/>
        <v>C-Tesoreria</v>
      </c>
      <c r="C452" s="3" t="s">
        <v>1330</v>
      </c>
      <c r="D452" s="14">
        <v>45804</v>
      </c>
      <c r="E452" s="5" t="s">
        <v>1416</v>
      </c>
      <c r="F452" s="5" t="s">
        <v>1336</v>
      </c>
      <c r="G452" s="3" t="s">
        <v>5259</v>
      </c>
      <c r="H452" s="6"/>
      <c r="I452" s="6" t="s">
        <v>111</v>
      </c>
      <c r="J452" s="6">
        <v>3</v>
      </c>
      <c r="K452" s="6">
        <v>177</v>
      </c>
      <c r="L452" s="7" t="s">
        <v>5981</v>
      </c>
      <c r="M452" s="8" t="str">
        <f>IF(Caja_Arequipa[[#This Row],[tipo_r]]="R","001-"&amp;12002+A452,M451)</f>
        <v>001-12404</v>
      </c>
      <c r="N452" s="8" t="str">
        <f t="shared" si="39"/>
        <v>PEN</v>
      </c>
      <c r="O452" s="13"/>
      <c r="P452" s="13">
        <v>20</v>
      </c>
      <c r="Q452" s="3">
        <f t="shared" si="37"/>
        <v>0</v>
      </c>
      <c r="R452" s="3">
        <f t="shared" si="38"/>
        <v>20</v>
      </c>
      <c r="S452" s="3">
        <f t="shared" si="40"/>
        <v>1611.1999999999989</v>
      </c>
      <c r="T452" s="24" t="s">
        <v>1334</v>
      </c>
      <c r="U452" s="24" t="s">
        <v>1334</v>
      </c>
      <c r="V452" s="3"/>
      <c r="W452" s="25" t="str">
        <f>IFERROR(VLOOKUP(Caja_Arequipa[[#This Row],[destinatario]],CHOOSE({1,2},Clientes_Proveedores[Razon Social],Clientes_Proveedores[Ruc / Dni]),2,0),"")</f>
        <v/>
      </c>
      <c r="X452" s="3" t="s">
        <v>5982</v>
      </c>
      <c r="Y452" s="3"/>
      <c r="Z452" s="3"/>
      <c r="AA452" s="3"/>
      <c r="AB452" s="3" t="str">
        <f>IF(Caja_Arequipa[[#This Row],[fecha]]&gt;0,TEXT(Caja_Arequipa[[#This Row],[fecha]],"mmmm"),0)</f>
        <v>Mayo</v>
      </c>
    </row>
    <row r="453" spans="1:28" x14ac:dyDescent="0.3">
      <c r="A453" s="2">
        <f>IF(Caja_Arequipa[[#This Row],[tipo_r]]="R",COUNTIFS($C$1:$C452,"R")+1,A452)</f>
        <v>403</v>
      </c>
      <c r="B453" s="19" t="str">
        <f t="shared" si="36"/>
        <v>C-Tesoreria</v>
      </c>
      <c r="C453" s="3" t="s">
        <v>1330</v>
      </c>
      <c r="D453" s="14">
        <v>45805</v>
      </c>
      <c r="E453" s="5" t="s">
        <v>1416</v>
      </c>
      <c r="F453" s="5" t="s">
        <v>1336</v>
      </c>
      <c r="G453" s="3" t="s">
        <v>5274</v>
      </c>
      <c r="H453" s="6"/>
      <c r="I453" s="6" t="s">
        <v>111</v>
      </c>
      <c r="J453" s="6">
        <v>3</v>
      </c>
      <c r="K453" s="6">
        <v>178</v>
      </c>
      <c r="L453" s="7" t="s">
        <v>5983</v>
      </c>
      <c r="M453" s="8" t="str">
        <f>IF(Caja_Arequipa[[#This Row],[tipo_r]]="R","001-"&amp;12002+A453,M452)</f>
        <v>001-12405</v>
      </c>
      <c r="N453" s="8" t="str">
        <f t="shared" si="39"/>
        <v>PEN</v>
      </c>
      <c r="O453" s="13"/>
      <c r="P453" s="13">
        <v>68</v>
      </c>
      <c r="Q453" s="3">
        <f t="shared" si="37"/>
        <v>0</v>
      </c>
      <c r="R453" s="3">
        <f t="shared" si="38"/>
        <v>68</v>
      </c>
      <c r="S453" s="3">
        <f t="shared" si="40"/>
        <v>1543.1999999999989</v>
      </c>
      <c r="T453" s="24" t="s">
        <v>1334</v>
      </c>
      <c r="U453" s="24" t="s">
        <v>1334</v>
      </c>
      <c r="V453" s="3"/>
      <c r="W453" s="25" t="str">
        <f>IFERROR(VLOOKUP(Caja_Arequipa[[#This Row],[destinatario]],CHOOSE({1,2},Clientes_Proveedores[Razon Social],Clientes_Proveedores[Ruc / Dni]),2,0),"")</f>
        <v/>
      </c>
      <c r="X453" s="3" t="s">
        <v>5984</v>
      </c>
      <c r="Y453" s="3"/>
      <c r="Z453" s="3"/>
      <c r="AA453" s="3"/>
      <c r="AB453" s="3" t="str">
        <f>IF(Caja_Arequipa[[#This Row],[fecha]]&gt;0,TEXT(Caja_Arequipa[[#This Row],[fecha]],"mmmm"),0)</f>
        <v>Mayo</v>
      </c>
    </row>
    <row r="454" spans="1:28" x14ac:dyDescent="0.3">
      <c r="A454" s="2">
        <f>IF(Caja_Arequipa[[#This Row],[tipo_r]]="R",COUNTIFS($C$1:$C453,"R")+1,A453)</f>
        <v>404</v>
      </c>
      <c r="B454" s="19" t="str">
        <f t="shared" si="36"/>
        <v>C-Tesoreria</v>
      </c>
      <c r="C454" s="3" t="s">
        <v>1330</v>
      </c>
      <c r="D454" s="14">
        <v>45805</v>
      </c>
      <c r="E454" s="5" t="s">
        <v>1416</v>
      </c>
      <c r="F454" s="5" t="s">
        <v>1336</v>
      </c>
      <c r="G454" s="3" t="s">
        <v>5811</v>
      </c>
      <c r="H454" s="6"/>
      <c r="I454" s="6" t="s">
        <v>111</v>
      </c>
      <c r="J454" s="6">
        <v>3</v>
      </c>
      <c r="K454" s="6">
        <v>179</v>
      </c>
      <c r="L454" s="7" t="s">
        <v>5985</v>
      </c>
      <c r="M454" s="8" t="str">
        <f>IF(Caja_Arequipa[[#This Row],[tipo_r]]="R","001-"&amp;12002+A454,M453)</f>
        <v>001-12406</v>
      </c>
      <c r="N454" s="8" t="str">
        <f t="shared" si="39"/>
        <v>PEN</v>
      </c>
      <c r="O454" s="13"/>
      <c r="P454" s="13">
        <v>12.5</v>
      </c>
      <c r="Q454" s="3">
        <f t="shared" si="37"/>
        <v>0</v>
      </c>
      <c r="R454" s="3">
        <f t="shared" si="38"/>
        <v>12.5</v>
      </c>
      <c r="S454" s="3">
        <f t="shared" si="40"/>
        <v>1530.6999999999989</v>
      </c>
      <c r="T454" s="24" t="s">
        <v>1334</v>
      </c>
      <c r="U454" s="24" t="s">
        <v>1334</v>
      </c>
      <c r="V454" s="3"/>
      <c r="W454" s="25" t="str">
        <f>IFERROR(VLOOKUP(Caja_Arequipa[[#This Row],[destinatario]],CHOOSE({1,2},Clientes_Proveedores[Razon Social],Clientes_Proveedores[Ruc / Dni]),2,0),"")</f>
        <v/>
      </c>
      <c r="X454" s="3" t="s">
        <v>5986</v>
      </c>
      <c r="Y454" s="3"/>
      <c r="Z454" s="3"/>
      <c r="AA454" s="3"/>
      <c r="AB454" s="3" t="str">
        <f>IF(Caja_Arequipa[[#This Row],[fecha]]&gt;0,TEXT(Caja_Arequipa[[#This Row],[fecha]],"mmmm"),0)</f>
        <v>Mayo</v>
      </c>
    </row>
    <row r="455" spans="1:28" ht="24" x14ac:dyDescent="0.3">
      <c r="A455" s="2">
        <f>IF(Caja_Arequipa[[#This Row],[tipo_r]]="R",COUNTIFS($C$1:$C454,"R")+1,A454)</f>
        <v>405</v>
      </c>
      <c r="B455" s="19" t="str">
        <f t="shared" si="36"/>
        <v>C-Tesoreria</v>
      </c>
      <c r="C455" s="3" t="s">
        <v>1330</v>
      </c>
      <c r="D455" s="14">
        <v>45805</v>
      </c>
      <c r="E455" s="5" t="s">
        <v>1416</v>
      </c>
      <c r="F455" s="5" t="s">
        <v>1336</v>
      </c>
      <c r="G455" s="3" t="s">
        <v>5380</v>
      </c>
      <c r="H455" s="6"/>
      <c r="I455" s="6"/>
      <c r="J455" s="6"/>
      <c r="K455" s="6"/>
      <c r="L455" s="7" t="s">
        <v>5893</v>
      </c>
      <c r="M455" s="8" t="str">
        <f>IF(Caja_Arequipa[[#This Row],[tipo_r]]="R","001-"&amp;12002+A455,M454)</f>
        <v>001-12407</v>
      </c>
      <c r="N455" s="8" t="str">
        <f t="shared" si="39"/>
        <v>PEN</v>
      </c>
      <c r="O455" s="13"/>
      <c r="P455" s="13">
        <v>200</v>
      </c>
      <c r="Q455" s="3">
        <f t="shared" si="37"/>
        <v>0</v>
      </c>
      <c r="R455" s="3">
        <f t="shared" si="38"/>
        <v>200</v>
      </c>
      <c r="S455" s="3">
        <f t="shared" si="40"/>
        <v>1330.6999999999989</v>
      </c>
      <c r="T455" s="24" t="s">
        <v>1334</v>
      </c>
      <c r="U455" s="24" t="s">
        <v>1334</v>
      </c>
      <c r="V455" s="3"/>
      <c r="W455" s="25" t="str">
        <f>IFERROR(VLOOKUP(Caja_Arequipa[[#This Row],[destinatario]],CHOOSE({1,2},Clientes_Proveedores[Razon Social],Clientes_Proveedores[Ruc / Dni]),2,0),"")</f>
        <v/>
      </c>
      <c r="X455" s="3" t="s">
        <v>5987</v>
      </c>
      <c r="Y455" s="3"/>
      <c r="Z455" s="3"/>
      <c r="AA455" s="3"/>
      <c r="AB455" s="3" t="str">
        <f>IF(Caja_Arequipa[[#This Row],[fecha]]&gt;0,TEXT(Caja_Arequipa[[#This Row],[fecha]],"mmmm"),0)</f>
        <v>Mayo</v>
      </c>
    </row>
    <row r="456" spans="1:28" ht="48" x14ac:dyDescent="0.3">
      <c r="A456" s="2">
        <f>IF(Caja_Arequipa[[#This Row],[tipo_r]]="R",COUNTIFS($C$1:$C455,"R")+1,A455)</f>
        <v>406</v>
      </c>
      <c r="B456" s="19" t="str">
        <f t="shared" si="36"/>
        <v>C-Tesoreria</v>
      </c>
      <c r="C456" s="3" t="s">
        <v>1330</v>
      </c>
      <c r="D456" s="14">
        <v>45805</v>
      </c>
      <c r="E456" s="5" t="s">
        <v>1416</v>
      </c>
      <c r="F456" s="5" t="s">
        <v>1336</v>
      </c>
      <c r="G456" s="3" t="s">
        <v>5380</v>
      </c>
      <c r="H456" s="6"/>
      <c r="I456" s="6"/>
      <c r="J456" s="6"/>
      <c r="K456" s="6"/>
      <c r="L456" s="7" t="s">
        <v>5893</v>
      </c>
      <c r="M456" s="8" t="str">
        <f>IF(Caja_Arequipa[[#This Row],[tipo_r]]="R","001-"&amp;12002+A456,M455)</f>
        <v>001-12408</v>
      </c>
      <c r="N456" s="8" t="str">
        <f t="shared" si="39"/>
        <v>PEN</v>
      </c>
      <c r="O456" s="13"/>
      <c r="P456" s="13">
        <v>600</v>
      </c>
      <c r="Q456" s="3">
        <f t="shared" si="37"/>
        <v>0</v>
      </c>
      <c r="R456" s="3">
        <f t="shared" si="38"/>
        <v>600</v>
      </c>
      <c r="S456" s="3">
        <f t="shared" si="40"/>
        <v>730.69999999999891</v>
      </c>
      <c r="T456" s="24" t="s">
        <v>1334</v>
      </c>
      <c r="U456" s="24" t="s">
        <v>1334</v>
      </c>
      <c r="V456" s="3"/>
      <c r="W456" s="25" t="str">
        <f>IFERROR(VLOOKUP(Caja_Arequipa[[#This Row],[destinatario]],CHOOSE({1,2},Clientes_Proveedores[Razon Social],Clientes_Proveedores[Ruc / Dni]),2,0),"")</f>
        <v/>
      </c>
      <c r="X456" s="3" t="s">
        <v>5988</v>
      </c>
      <c r="Y456" s="3"/>
      <c r="Z456" s="3"/>
      <c r="AA456" s="3"/>
      <c r="AB456" s="3" t="str">
        <f>IF(Caja_Arequipa[[#This Row],[fecha]]&gt;0,TEXT(Caja_Arequipa[[#This Row],[fecha]],"mmmm"),0)</f>
        <v>Mayo</v>
      </c>
    </row>
    <row r="457" spans="1:28" x14ac:dyDescent="0.3">
      <c r="A457" s="2">
        <f>IF(Caja_Arequipa[[#This Row],[tipo_r]]="R",COUNTIFS($C$1:$C456,"R")+1,A456)</f>
        <v>407</v>
      </c>
      <c r="B457" s="19" t="str">
        <f t="shared" si="36"/>
        <v>C-Tesoreria</v>
      </c>
      <c r="C457" s="3" t="s">
        <v>1330</v>
      </c>
      <c r="D457" s="14">
        <v>45807</v>
      </c>
      <c r="E457" s="5" t="s">
        <v>1416</v>
      </c>
      <c r="F457" s="5" t="s">
        <v>1336</v>
      </c>
      <c r="G457" s="3" t="s">
        <v>5248</v>
      </c>
      <c r="H457" s="6"/>
      <c r="I457" s="6"/>
      <c r="J457" s="6"/>
      <c r="K457" s="6"/>
      <c r="L457" s="7" t="s">
        <v>5989</v>
      </c>
      <c r="M457" s="8" t="str">
        <f>IF(Caja_Arequipa[[#This Row],[tipo_r]]="R","001-"&amp;12002+A457,M456)</f>
        <v>001-12409</v>
      </c>
      <c r="N457" s="8" t="str">
        <f t="shared" si="39"/>
        <v>PEN</v>
      </c>
      <c r="O457" s="13"/>
      <c r="P457" s="13">
        <v>8.5</v>
      </c>
      <c r="Q457" s="3">
        <f t="shared" si="37"/>
        <v>0</v>
      </c>
      <c r="R457" s="3">
        <f t="shared" si="38"/>
        <v>8.5</v>
      </c>
      <c r="S457" s="3">
        <f t="shared" si="40"/>
        <v>722.19999999999891</v>
      </c>
      <c r="T457" s="24" t="s">
        <v>1334</v>
      </c>
      <c r="U457" s="24" t="s">
        <v>1334</v>
      </c>
      <c r="V457" s="3"/>
      <c r="W457" s="25" t="str">
        <f>IFERROR(VLOOKUP(Caja_Arequipa[[#This Row],[destinatario]],CHOOSE({1,2},Clientes_Proveedores[Razon Social],Clientes_Proveedores[Ruc / Dni]),2,0),"")</f>
        <v/>
      </c>
      <c r="X457" s="3" t="s">
        <v>5990</v>
      </c>
      <c r="Y457" s="3"/>
      <c r="Z457" s="3"/>
      <c r="AA457" s="3"/>
      <c r="AB457" s="3" t="str">
        <f>IF(Caja_Arequipa[[#This Row],[fecha]]&gt;0,TEXT(Caja_Arequipa[[#This Row],[fecha]],"mmmm"),0)</f>
        <v>Mayo</v>
      </c>
    </row>
    <row r="458" spans="1:28" x14ac:dyDescent="0.3">
      <c r="A458" s="2">
        <f>IF(Caja_Arequipa[[#This Row],[tipo_r]]="R",COUNTIFS($C$1:$C457,"R")+1,A457)</f>
        <v>408</v>
      </c>
      <c r="B458" s="19" t="str">
        <f t="shared" si="36"/>
        <v>C-Tesoreria</v>
      </c>
      <c r="C458" s="3" t="s">
        <v>1330</v>
      </c>
      <c r="D458" s="14">
        <v>45807</v>
      </c>
      <c r="E458" s="5" t="s">
        <v>1416</v>
      </c>
      <c r="F458" s="5" t="s">
        <v>1336</v>
      </c>
      <c r="G458" s="3" t="s">
        <v>5432</v>
      </c>
      <c r="H458" s="6"/>
      <c r="I458" s="6"/>
      <c r="J458" s="6"/>
      <c r="K458" s="6"/>
      <c r="L458" s="7" t="s">
        <v>5991</v>
      </c>
      <c r="M458" s="8" t="str">
        <f>IF(Caja_Arequipa[[#This Row],[tipo_r]]="R","001-"&amp;12002+A458,M457)</f>
        <v>001-12410</v>
      </c>
      <c r="N458" s="8" t="str">
        <f t="shared" si="39"/>
        <v>PEN</v>
      </c>
      <c r="O458" s="13"/>
      <c r="P458" s="13">
        <v>164</v>
      </c>
      <c r="Q458" s="3">
        <f t="shared" si="37"/>
        <v>0</v>
      </c>
      <c r="R458" s="3">
        <f t="shared" si="38"/>
        <v>164</v>
      </c>
      <c r="S458" s="3">
        <f t="shared" si="40"/>
        <v>558.19999999999891</v>
      </c>
      <c r="T458" s="24" t="s">
        <v>1334</v>
      </c>
      <c r="U458" s="24" t="s">
        <v>1334</v>
      </c>
      <c r="V458" s="3"/>
      <c r="W458" s="25" t="str">
        <f>IFERROR(VLOOKUP(Caja_Arequipa[[#This Row],[destinatario]],CHOOSE({1,2},Clientes_Proveedores[Razon Social],Clientes_Proveedores[Ruc / Dni]),2,0),"")</f>
        <v/>
      </c>
      <c r="X458" s="3" t="s">
        <v>5992</v>
      </c>
      <c r="Y458" s="3"/>
      <c r="Z458" s="3"/>
      <c r="AA458" s="3"/>
      <c r="AB458" s="3" t="str">
        <f>IF(Caja_Arequipa[[#This Row],[fecha]]&gt;0,TEXT(Caja_Arequipa[[#This Row],[fecha]],"mmmm"),0)</f>
        <v>Mayo</v>
      </c>
    </row>
    <row r="459" spans="1:28" x14ac:dyDescent="0.3">
      <c r="A459" s="2">
        <f>IF(Caja_Arequipa[[#This Row],[tipo_r]]="R",COUNTIFS($C$1:$C458,"R")+1,A458)</f>
        <v>409</v>
      </c>
      <c r="B459" s="19" t="str">
        <f t="shared" si="36"/>
        <v>C-Tesoreria</v>
      </c>
      <c r="C459" s="3" t="s">
        <v>1330</v>
      </c>
      <c r="D459" s="14">
        <v>45807</v>
      </c>
      <c r="E459" s="5" t="s">
        <v>1416</v>
      </c>
      <c r="F459" s="5" t="s">
        <v>1336</v>
      </c>
      <c r="G459" s="3" t="s">
        <v>3634</v>
      </c>
      <c r="H459" s="6"/>
      <c r="I459" s="6" t="s">
        <v>111</v>
      </c>
      <c r="J459" s="6">
        <v>3</v>
      </c>
      <c r="K459" s="6">
        <v>180</v>
      </c>
      <c r="L459" s="7" t="s">
        <v>5993</v>
      </c>
      <c r="M459" s="8" t="str">
        <f>IF(Caja_Arequipa[[#This Row],[tipo_r]]="R","001-"&amp;12002+A459,M458)</f>
        <v>001-12411</v>
      </c>
      <c r="N459" s="8" t="str">
        <f t="shared" si="39"/>
        <v>PEN</v>
      </c>
      <c r="O459" s="13"/>
      <c r="P459" s="13">
        <v>30</v>
      </c>
      <c r="Q459" s="3">
        <f t="shared" si="37"/>
        <v>0</v>
      </c>
      <c r="R459" s="3">
        <f t="shared" si="38"/>
        <v>30</v>
      </c>
      <c r="S459" s="3">
        <f t="shared" si="40"/>
        <v>528.19999999999891</v>
      </c>
      <c r="T459" s="24" t="s">
        <v>1334</v>
      </c>
      <c r="U459" s="24" t="s">
        <v>1334</v>
      </c>
      <c r="V459" s="3"/>
      <c r="W459" s="25" t="str">
        <f>IFERROR(VLOOKUP(Caja_Arequipa[[#This Row],[destinatario]],CHOOSE({1,2},Clientes_Proveedores[Razon Social],Clientes_Proveedores[Ruc / Dni]),2,0),"")</f>
        <v/>
      </c>
      <c r="X459" s="3" t="s">
        <v>5994</v>
      </c>
      <c r="Y459" s="3"/>
      <c r="Z459" s="3"/>
      <c r="AA459" s="3"/>
      <c r="AB459" s="3" t="str">
        <f>IF(Caja_Arequipa[[#This Row],[fecha]]&gt;0,TEXT(Caja_Arequipa[[#This Row],[fecha]],"mmmm"),0)</f>
        <v>Mayo</v>
      </c>
    </row>
    <row r="460" spans="1:28" x14ac:dyDescent="0.3">
      <c r="A460" s="2">
        <f>IF(Caja_Arequipa[[#This Row],[tipo_r]]="R",COUNTIFS($C$1:$C459,"R")+1,A459)</f>
        <v>410</v>
      </c>
      <c r="B460" s="19" t="str">
        <f t="shared" si="36"/>
        <v>C-Tesoreria</v>
      </c>
      <c r="C460" s="3" t="s">
        <v>1330</v>
      </c>
      <c r="D460" s="14">
        <v>45807</v>
      </c>
      <c r="E460" s="5" t="s">
        <v>1416</v>
      </c>
      <c r="F460" s="5" t="s">
        <v>1336</v>
      </c>
      <c r="G460" s="3" t="s">
        <v>3308</v>
      </c>
      <c r="H460" s="6"/>
      <c r="I460" s="6" t="s">
        <v>111</v>
      </c>
      <c r="J460" s="6">
        <v>3</v>
      </c>
      <c r="K460" s="6">
        <v>215</v>
      </c>
      <c r="L460" s="7" t="s">
        <v>5995</v>
      </c>
      <c r="M460" s="8" t="str">
        <f>IF(Caja_Arequipa[[#This Row],[tipo_r]]="R","001-"&amp;12002+A460,M459)</f>
        <v>001-12412</v>
      </c>
      <c r="N460" s="8" t="str">
        <f t="shared" si="39"/>
        <v>PEN</v>
      </c>
      <c r="O460" s="13"/>
      <c r="P460" s="13">
        <v>25</v>
      </c>
      <c r="Q460" s="3">
        <f t="shared" si="37"/>
        <v>0</v>
      </c>
      <c r="R460" s="3">
        <f t="shared" si="38"/>
        <v>25</v>
      </c>
      <c r="S460" s="3">
        <f t="shared" si="40"/>
        <v>503.19999999999891</v>
      </c>
      <c r="T460" s="24" t="s">
        <v>1334</v>
      </c>
      <c r="U460" s="24" t="s">
        <v>1334</v>
      </c>
      <c r="V460" s="3"/>
      <c r="W460" s="25" t="str">
        <f>IFERROR(VLOOKUP(Caja_Arequipa[[#This Row],[destinatario]],CHOOSE({1,2},Clientes_Proveedores[Razon Social],Clientes_Proveedores[Ruc / Dni]),2,0),"")</f>
        <v/>
      </c>
      <c r="X460" s="3" t="s">
        <v>5996</v>
      </c>
      <c r="Y460" s="3"/>
      <c r="Z460" s="3"/>
      <c r="AA460" s="3"/>
      <c r="AB460" s="3" t="str">
        <f>IF(Caja_Arequipa[[#This Row],[fecha]]&gt;0,TEXT(Caja_Arequipa[[#This Row],[fecha]],"mmmm"),0)</f>
        <v>Mayo</v>
      </c>
    </row>
    <row r="461" spans="1:28" ht="24" x14ac:dyDescent="0.3">
      <c r="A461" s="2">
        <f>IF(Caja_Arequipa[[#This Row],[tipo_r]]="R",COUNTIFS($C$1:$C460,"R")+1,A460)</f>
        <v>411</v>
      </c>
      <c r="B461" s="19" t="str">
        <f t="shared" si="36"/>
        <v>C-Tesoreria</v>
      </c>
      <c r="C461" s="3" t="s">
        <v>1330</v>
      </c>
      <c r="D461" s="14">
        <v>45810</v>
      </c>
      <c r="E461" s="5" t="s">
        <v>1338</v>
      </c>
      <c r="F461" s="5" t="s">
        <v>1336</v>
      </c>
      <c r="G461" s="3" t="s">
        <v>5303</v>
      </c>
      <c r="H461" s="6"/>
      <c r="I461" s="6"/>
      <c r="J461" s="6"/>
      <c r="K461" s="6"/>
      <c r="L461" s="7" t="s">
        <v>5997</v>
      </c>
      <c r="M461" s="8" t="str">
        <f>IF(Caja_Arequipa[[#This Row],[tipo_r]]="R","001-"&amp;12002+A461,M460)</f>
        <v>001-12413</v>
      </c>
      <c r="N461" s="8" t="str">
        <f t="shared" si="39"/>
        <v>PEN</v>
      </c>
      <c r="O461" s="13"/>
      <c r="P461" s="13">
        <v>17</v>
      </c>
      <c r="Q461" s="3">
        <f t="shared" si="37"/>
        <v>0</v>
      </c>
      <c r="R461" s="3">
        <f t="shared" si="38"/>
        <v>17</v>
      </c>
      <c r="S461" s="3">
        <f t="shared" si="40"/>
        <v>486.19999999999891</v>
      </c>
      <c r="T461" s="24" t="s">
        <v>1334</v>
      </c>
      <c r="U461" s="24" t="s">
        <v>1334</v>
      </c>
      <c r="V461" s="3"/>
      <c r="W461" s="25" t="str">
        <f>IFERROR(VLOOKUP(Caja_Arequipa[[#This Row],[destinatario]],CHOOSE({1,2},Clientes_Proveedores[Razon Social],Clientes_Proveedores[Ruc / Dni]),2,0),"")</f>
        <v/>
      </c>
      <c r="X461" s="3" t="s">
        <v>5998</v>
      </c>
      <c r="Y461" s="3"/>
      <c r="Z461" s="3"/>
      <c r="AA461" s="3"/>
      <c r="AB461" s="3" t="str">
        <f>IF(Caja_Arequipa[[#This Row],[fecha]]&gt;0,TEXT(Caja_Arequipa[[#This Row],[fecha]],"mmmm"),0)</f>
        <v>Junio</v>
      </c>
    </row>
    <row r="462" spans="1:28" x14ac:dyDescent="0.3">
      <c r="A462" s="2">
        <f>IF(Caja_Arequipa[[#This Row],[tipo_r]]="R",COUNTIFS($C$1:$C461,"R")+1,A461)</f>
        <v>412</v>
      </c>
      <c r="B462" s="19" t="str">
        <f t="shared" si="36"/>
        <v>C-Tesoreria</v>
      </c>
      <c r="C462" s="3" t="s">
        <v>1330</v>
      </c>
      <c r="D462" s="14">
        <v>45810</v>
      </c>
      <c r="E462" s="5" t="s">
        <v>1338</v>
      </c>
      <c r="F462" s="5" t="s">
        <v>1336</v>
      </c>
      <c r="G462" s="3" t="s">
        <v>4788</v>
      </c>
      <c r="H462" s="6"/>
      <c r="I462" s="6"/>
      <c r="J462" s="6"/>
      <c r="K462" s="6"/>
      <c r="L462" s="7" t="s">
        <v>5999</v>
      </c>
      <c r="M462" s="8" t="str">
        <f>IF(Caja_Arequipa[[#This Row],[tipo_r]]="R","001-"&amp;12002+A462,M461)</f>
        <v>001-12414</v>
      </c>
      <c r="N462" s="8" t="str">
        <f t="shared" si="39"/>
        <v>PEN</v>
      </c>
      <c r="O462" s="13"/>
      <c r="P462" s="13">
        <v>44</v>
      </c>
      <c r="Q462" s="3">
        <f t="shared" si="37"/>
        <v>0</v>
      </c>
      <c r="R462" s="3">
        <f t="shared" si="38"/>
        <v>44</v>
      </c>
      <c r="S462" s="3">
        <f t="shared" si="40"/>
        <v>442.19999999999891</v>
      </c>
      <c r="T462" s="24" t="s">
        <v>1334</v>
      </c>
      <c r="U462" s="24" t="s">
        <v>1334</v>
      </c>
      <c r="V462" s="3"/>
      <c r="W462" s="25" t="str">
        <f>IFERROR(VLOOKUP(Caja_Arequipa[[#This Row],[destinatario]],CHOOSE({1,2},Clientes_Proveedores[Razon Social],Clientes_Proveedores[Ruc / Dni]),2,0),"")</f>
        <v/>
      </c>
      <c r="X462" s="3" t="s">
        <v>6000</v>
      </c>
      <c r="Y462" s="3"/>
      <c r="Z462" s="3"/>
      <c r="AA462" s="3"/>
      <c r="AB462" s="3" t="str">
        <f>IF(Caja_Arequipa[[#This Row],[fecha]]&gt;0,TEXT(Caja_Arequipa[[#This Row],[fecha]],"mmmm"),0)</f>
        <v>Junio</v>
      </c>
    </row>
    <row r="463" spans="1:28" x14ac:dyDescent="0.3">
      <c r="A463" s="2">
        <f>IF(Caja_Arequipa[[#This Row],[tipo_r]]="R",COUNTIFS($C$1:$C462,"R")+1,A462)</f>
        <v>413</v>
      </c>
      <c r="B463" s="19" t="str">
        <f t="shared" si="36"/>
        <v>C-Tesoreria</v>
      </c>
      <c r="C463" s="3" t="s">
        <v>1330</v>
      </c>
      <c r="D463" s="14">
        <v>45810</v>
      </c>
      <c r="E463" s="5" t="s">
        <v>1338</v>
      </c>
      <c r="F463" s="5" t="s">
        <v>1336</v>
      </c>
      <c r="G463" s="3" t="s">
        <v>4788</v>
      </c>
      <c r="H463" s="6"/>
      <c r="I463" s="6" t="s">
        <v>111</v>
      </c>
      <c r="J463" s="6">
        <v>3</v>
      </c>
      <c r="K463" s="6">
        <v>188</v>
      </c>
      <c r="L463" s="7" t="s">
        <v>6001</v>
      </c>
      <c r="M463" s="8" t="str">
        <f>IF(Caja_Arequipa[[#This Row],[tipo_r]]="R","001-"&amp;12002+A463,M462)</f>
        <v>001-12415</v>
      </c>
      <c r="N463" s="8" t="str">
        <f t="shared" si="39"/>
        <v>PEN</v>
      </c>
      <c r="O463" s="13"/>
      <c r="P463" s="13">
        <v>19</v>
      </c>
      <c r="Q463" s="3">
        <f t="shared" si="37"/>
        <v>0</v>
      </c>
      <c r="R463" s="3">
        <f t="shared" si="38"/>
        <v>19</v>
      </c>
      <c r="S463" s="3">
        <f t="shared" si="40"/>
        <v>423.19999999999891</v>
      </c>
      <c r="T463" s="24" t="s">
        <v>1334</v>
      </c>
      <c r="U463" s="24" t="s">
        <v>1334</v>
      </c>
      <c r="V463" s="3"/>
      <c r="W463" s="25" t="str">
        <f>IFERROR(VLOOKUP(Caja_Arequipa[[#This Row],[destinatario]],CHOOSE({1,2},Clientes_Proveedores[Razon Social],Clientes_Proveedores[Ruc / Dni]),2,0),"")</f>
        <v/>
      </c>
      <c r="X463" s="3" t="s">
        <v>6002</v>
      </c>
      <c r="Y463" s="3"/>
      <c r="Z463" s="3"/>
      <c r="AA463" s="3"/>
      <c r="AB463" s="3" t="str">
        <f>IF(Caja_Arequipa[[#This Row],[fecha]]&gt;0,TEXT(Caja_Arequipa[[#This Row],[fecha]],"mmmm"),0)</f>
        <v>Junio</v>
      </c>
    </row>
    <row r="464" spans="1:28" x14ac:dyDescent="0.3">
      <c r="A464" s="2">
        <f>IF(Caja_Arequipa[[#This Row],[tipo_r]]="R",COUNTIFS($C$1:$C463,"R")+1,A463)</f>
        <v>414</v>
      </c>
      <c r="B464" s="19" t="str">
        <f t="shared" si="36"/>
        <v>C-Tesoreria</v>
      </c>
      <c r="C464" s="3" t="s">
        <v>1330</v>
      </c>
      <c r="D464" s="14">
        <v>45812</v>
      </c>
      <c r="E464" s="5" t="s">
        <v>1416</v>
      </c>
      <c r="F464" s="5" t="s">
        <v>1336</v>
      </c>
      <c r="G464" s="3" t="s">
        <v>5259</v>
      </c>
      <c r="H464" s="6"/>
      <c r="I464" s="6" t="s">
        <v>111</v>
      </c>
      <c r="J464" s="6">
        <v>3</v>
      </c>
      <c r="K464" s="6">
        <v>181</v>
      </c>
      <c r="L464" s="7" t="s">
        <v>5993</v>
      </c>
      <c r="M464" s="8" t="str">
        <f>IF(Caja_Arequipa[[#This Row],[tipo_r]]="R","001-"&amp;12002+A464,M463)</f>
        <v>001-12416</v>
      </c>
      <c r="N464" s="8" t="str">
        <f t="shared" si="39"/>
        <v>PEN</v>
      </c>
      <c r="O464" s="13"/>
      <c r="P464" s="13">
        <v>59</v>
      </c>
      <c r="Q464" s="3">
        <f t="shared" si="37"/>
        <v>0</v>
      </c>
      <c r="R464" s="3">
        <f t="shared" si="38"/>
        <v>59</v>
      </c>
      <c r="S464" s="3">
        <f t="shared" si="40"/>
        <v>364.19999999999891</v>
      </c>
      <c r="T464" s="24" t="s">
        <v>1334</v>
      </c>
      <c r="U464" s="24" t="s">
        <v>1334</v>
      </c>
      <c r="V464" s="3"/>
      <c r="W464" s="25" t="str">
        <f>IFERROR(VLOOKUP(Caja_Arequipa[[#This Row],[destinatario]],CHOOSE({1,2},Clientes_Proveedores[Razon Social],Clientes_Proveedores[Ruc / Dni]),2,0),"")</f>
        <v/>
      </c>
      <c r="X464" s="3" t="s">
        <v>6003</v>
      </c>
      <c r="Y464" s="3"/>
      <c r="Z464" s="3"/>
      <c r="AA464" s="3"/>
      <c r="AB464" s="3" t="str">
        <f>IF(Caja_Arequipa[[#This Row],[fecha]]&gt;0,TEXT(Caja_Arequipa[[#This Row],[fecha]],"mmmm"),0)</f>
        <v>Junio</v>
      </c>
    </row>
    <row r="465" spans="1:28" x14ac:dyDescent="0.3">
      <c r="A465" s="2">
        <f>IF(Caja_Arequipa[[#This Row],[tipo_r]]="R",COUNTIFS($C$1:$C464,"R")+1,A464)</f>
        <v>415</v>
      </c>
      <c r="B465" s="19" t="str">
        <f t="shared" si="36"/>
        <v>C-Tesoreria</v>
      </c>
      <c r="C465" s="3" t="s">
        <v>1330</v>
      </c>
      <c r="D465" s="14">
        <v>45812</v>
      </c>
      <c r="E465" s="5" t="s">
        <v>1416</v>
      </c>
      <c r="F465" s="5" t="s">
        <v>1336</v>
      </c>
      <c r="G465" s="3" t="s">
        <v>5259</v>
      </c>
      <c r="H465" s="6"/>
      <c r="I465" s="6" t="s">
        <v>111</v>
      </c>
      <c r="J465" s="6">
        <v>3</v>
      </c>
      <c r="K465" s="6">
        <v>182</v>
      </c>
      <c r="L465" s="7" t="s">
        <v>6004</v>
      </c>
      <c r="M465" s="8" t="str">
        <f>IF(Caja_Arequipa[[#This Row],[tipo_r]]="R","001-"&amp;12002+A465,M464)</f>
        <v>001-12417</v>
      </c>
      <c r="N465" s="8" t="str">
        <f t="shared" si="39"/>
        <v>PEN</v>
      </c>
      <c r="O465" s="13"/>
      <c r="P465" s="13">
        <v>15</v>
      </c>
      <c r="Q465" s="3">
        <f t="shared" si="37"/>
        <v>0</v>
      </c>
      <c r="R465" s="3">
        <f t="shared" si="38"/>
        <v>15</v>
      </c>
      <c r="S465" s="3">
        <f t="shared" si="40"/>
        <v>349.19999999999891</v>
      </c>
      <c r="T465" s="24" t="s">
        <v>1334</v>
      </c>
      <c r="U465" s="24" t="s">
        <v>1334</v>
      </c>
      <c r="V465" s="3"/>
      <c r="W465" s="25" t="str">
        <f>IFERROR(VLOOKUP(Caja_Arequipa[[#This Row],[destinatario]],CHOOSE({1,2},Clientes_Proveedores[Razon Social],Clientes_Proveedores[Ruc / Dni]),2,0),"")</f>
        <v/>
      </c>
      <c r="X465" s="3" t="s">
        <v>6005</v>
      </c>
      <c r="Y465" s="3"/>
      <c r="Z465" s="3"/>
      <c r="AA465" s="3"/>
      <c r="AB465" s="3" t="str">
        <f>IF(Caja_Arequipa[[#This Row],[fecha]]&gt;0,TEXT(Caja_Arequipa[[#This Row],[fecha]],"mmmm"),0)</f>
        <v>Junio</v>
      </c>
    </row>
    <row r="466" spans="1:28" x14ac:dyDescent="0.3">
      <c r="A466" s="2">
        <f>IF(Caja_Arequipa[[#This Row],[tipo_r]]="R",COUNTIFS($C$1:$C465,"R")+1,A465)</f>
        <v>416</v>
      </c>
      <c r="B466" s="19" t="str">
        <f t="shared" si="36"/>
        <v>C-Tesoreria</v>
      </c>
      <c r="C466" s="3" t="s">
        <v>1330</v>
      </c>
      <c r="D466" s="14">
        <v>45812</v>
      </c>
      <c r="E466" s="5" t="s">
        <v>1416</v>
      </c>
      <c r="F466" s="5" t="s">
        <v>1336</v>
      </c>
      <c r="G466" s="3" t="s">
        <v>5259</v>
      </c>
      <c r="H466" s="6"/>
      <c r="I466" s="6" t="s">
        <v>111</v>
      </c>
      <c r="J466" s="6">
        <v>3</v>
      </c>
      <c r="K466" s="6">
        <v>183</v>
      </c>
      <c r="L466" s="7" t="s">
        <v>6006</v>
      </c>
      <c r="M466" s="8" t="str">
        <f>IF(Caja_Arequipa[[#This Row],[tipo_r]]="R","001-"&amp;12002+A466,M465)</f>
        <v>001-12418</v>
      </c>
      <c r="N466" s="8" t="str">
        <f t="shared" si="39"/>
        <v>PEN</v>
      </c>
      <c r="O466" s="13"/>
      <c r="P466" s="13">
        <v>43</v>
      </c>
      <c r="Q466" s="3">
        <f t="shared" si="37"/>
        <v>0</v>
      </c>
      <c r="R466" s="3">
        <f t="shared" si="38"/>
        <v>43</v>
      </c>
      <c r="S466" s="3">
        <f t="shared" si="40"/>
        <v>306.19999999999891</v>
      </c>
      <c r="T466" s="24" t="s">
        <v>1334</v>
      </c>
      <c r="U466" s="24" t="s">
        <v>1334</v>
      </c>
      <c r="V466" s="3"/>
      <c r="W466" s="25" t="str">
        <f>IFERROR(VLOOKUP(Caja_Arequipa[[#This Row],[destinatario]],CHOOSE({1,2},Clientes_Proveedores[Razon Social],Clientes_Proveedores[Ruc / Dni]),2,0),"")</f>
        <v/>
      </c>
      <c r="X466" s="3" t="s">
        <v>6007</v>
      </c>
      <c r="Y466" s="3"/>
      <c r="Z466" s="3"/>
      <c r="AA466" s="3"/>
      <c r="AB466" s="3" t="str">
        <f>IF(Caja_Arequipa[[#This Row],[fecha]]&gt;0,TEXT(Caja_Arequipa[[#This Row],[fecha]],"mmmm"),0)</f>
        <v>Junio</v>
      </c>
    </row>
    <row r="467" spans="1:28" x14ac:dyDescent="0.3">
      <c r="A467" s="2">
        <f>IF(Caja_Arequipa[[#This Row],[tipo_r]]="R",COUNTIFS($C$1:$C466,"R")+1,A466)</f>
        <v>417</v>
      </c>
      <c r="B467" s="19" t="str">
        <f t="shared" si="36"/>
        <v>C-Tesoreria</v>
      </c>
      <c r="C467" s="3" t="s">
        <v>1330</v>
      </c>
      <c r="D467" s="14">
        <v>45812</v>
      </c>
      <c r="E467" s="5" t="s">
        <v>1416</v>
      </c>
      <c r="F467" s="5" t="s">
        <v>1336</v>
      </c>
      <c r="G467" s="3" t="s">
        <v>5259</v>
      </c>
      <c r="H467" s="6"/>
      <c r="I467" s="6" t="s">
        <v>111</v>
      </c>
      <c r="J467" s="6">
        <v>3</v>
      </c>
      <c r="K467" s="6">
        <v>184</v>
      </c>
      <c r="L467" s="7" t="s">
        <v>5958</v>
      </c>
      <c r="M467" s="8" t="str">
        <f>IF(Caja_Arequipa[[#This Row],[tipo_r]]="R","001-"&amp;12002+A467,M466)</f>
        <v>001-12419</v>
      </c>
      <c r="N467" s="8" t="str">
        <f t="shared" si="39"/>
        <v>PEN</v>
      </c>
      <c r="O467" s="13"/>
      <c r="P467" s="13">
        <v>53</v>
      </c>
      <c r="Q467" s="3">
        <f t="shared" si="37"/>
        <v>0</v>
      </c>
      <c r="R467" s="3">
        <f t="shared" si="38"/>
        <v>53</v>
      </c>
      <c r="S467" s="3">
        <f t="shared" si="40"/>
        <v>253.19999999999891</v>
      </c>
      <c r="T467" s="24" t="s">
        <v>1334</v>
      </c>
      <c r="U467" s="24" t="s">
        <v>1334</v>
      </c>
      <c r="V467" s="3"/>
      <c r="W467" s="25" t="str">
        <f>IFERROR(VLOOKUP(Caja_Arequipa[[#This Row],[destinatario]],CHOOSE({1,2},Clientes_Proveedores[Razon Social],Clientes_Proveedores[Ruc / Dni]),2,0),"")</f>
        <v/>
      </c>
      <c r="X467" s="3" t="s">
        <v>6008</v>
      </c>
      <c r="Y467" s="3"/>
      <c r="Z467" s="3"/>
      <c r="AA467" s="3"/>
      <c r="AB467" s="3" t="str">
        <f>IF(Caja_Arequipa[[#This Row],[fecha]]&gt;0,TEXT(Caja_Arequipa[[#This Row],[fecha]],"mmmm"),0)</f>
        <v>Junio</v>
      </c>
    </row>
    <row r="468" spans="1:28" x14ac:dyDescent="0.3">
      <c r="A468" s="2">
        <f>IF(Caja_Arequipa[[#This Row],[tipo_r]]="R",COUNTIFS($C$1:$C467,"R")+1,A467)</f>
        <v>418</v>
      </c>
      <c r="B468" s="19" t="str">
        <f t="shared" si="36"/>
        <v>C-Tesoreria</v>
      </c>
      <c r="C468" s="3" t="s">
        <v>1330</v>
      </c>
      <c r="D468" s="14">
        <v>45812</v>
      </c>
      <c r="E468" s="5" t="s">
        <v>1416</v>
      </c>
      <c r="F468" s="5" t="s">
        <v>1336</v>
      </c>
      <c r="G468" s="3" t="s">
        <v>5259</v>
      </c>
      <c r="H468" s="6"/>
      <c r="I468" s="6" t="s">
        <v>111</v>
      </c>
      <c r="J468" s="6">
        <v>3</v>
      </c>
      <c r="K468" s="6">
        <v>185</v>
      </c>
      <c r="L468" s="7" t="s">
        <v>5985</v>
      </c>
      <c r="M468" s="8" t="str">
        <f>IF(Caja_Arequipa[[#This Row],[tipo_r]]="R","001-"&amp;12002+A468,M467)</f>
        <v>001-12420</v>
      </c>
      <c r="N468" s="8" t="str">
        <f t="shared" si="39"/>
        <v>PEN</v>
      </c>
      <c r="O468" s="13"/>
      <c r="P468" s="13">
        <v>5</v>
      </c>
      <c r="Q468" s="3">
        <f t="shared" si="37"/>
        <v>0</v>
      </c>
      <c r="R468" s="3">
        <f t="shared" si="38"/>
        <v>5</v>
      </c>
      <c r="S468" s="3">
        <f t="shared" si="40"/>
        <v>248.19999999999891</v>
      </c>
      <c r="T468" s="24" t="s">
        <v>1334</v>
      </c>
      <c r="U468" s="24" t="s">
        <v>1334</v>
      </c>
      <c r="V468" s="3"/>
      <c r="W468" s="25" t="str">
        <f>IFERROR(VLOOKUP(Caja_Arequipa[[#This Row],[destinatario]],CHOOSE({1,2},Clientes_Proveedores[Razon Social],Clientes_Proveedores[Ruc / Dni]),2,0),"")</f>
        <v/>
      </c>
      <c r="X468" s="3" t="s">
        <v>6009</v>
      </c>
      <c r="Y468" s="3"/>
      <c r="Z468" s="3"/>
      <c r="AA468" s="3"/>
      <c r="AB468" s="3" t="str">
        <f>IF(Caja_Arequipa[[#This Row],[fecha]]&gt;0,TEXT(Caja_Arequipa[[#This Row],[fecha]],"mmmm"),0)</f>
        <v>Junio</v>
      </c>
    </row>
    <row r="469" spans="1:28" x14ac:dyDescent="0.3">
      <c r="A469" s="2">
        <f>IF(Caja_Arequipa[[#This Row],[tipo_r]]="R",COUNTIFS($C$1:$C468,"R")+1,A468)</f>
        <v>419</v>
      </c>
      <c r="B469" s="19" t="str">
        <f t="shared" si="36"/>
        <v>C-Tesoreria</v>
      </c>
      <c r="C469" s="3" t="s">
        <v>1330</v>
      </c>
      <c r="D469" s="14">
        <v>45812</v>
      </c>
      <c r="E469" s="5" t="s">
        <v>1416</v>
      </c>
      <c r="F469" s="5" t="s">
        <v>1336</v>
      </c>
      <c r="G469" s="3" t="s">
        <v>5259</v>
      </c>
      <c r="H469" s="6"/>
      <c r="I469" s="6" t="s">
        <v>111</v>
      </c>
      <c r="J469" s="6">
        <v>3</v>
      </c>
      <c r="K469" s="6">
        <v>186</v>
      </c>
      <c r="L469" s="7" t="s">
        <v>6010</v>
      </c>
      <c r="M469" s="8" t="str">
        <f>IF(Caja_Arequipa[[#This Row],[tipo_r]]="R","001-"&amp;12002+A469,M468)</f>
        <v>001-12421</v>
      </c>
      <c r="N469" s="8" t="str">
        <f t="shared" si="39"/>
        <v>PEN</v>
      </c>
      <c r="O469" s="13"/>
      <c r="P469" s="13">
        <v>74</v>
      </c>
      <c r="Q469" s="3">
        <f t="shared" si="37"/>
        <v>0</v>
      </c>
      <c r="R469" s="3">
        <f t="shared" si="38"/>
        <v>74</v>
      </c>
      <c r="S469" s="3">
        <f t="shared" si="40"/>
        <v>174.19999999999891</v>
      </c>
      <c r="T469" s="24" t="s">
        <v>1334</v>
      </c>
      <c r="U469" s="24" t="s">
        <v>1334</v>
      </c>
      <c r="V469" s="3"/>
      <c r="W469" s="25" t="str">
        <f>IFERROR(VLOOKUP(Caja_Arequipa[[#This Row],[destinatario]],CHOOSE({1,2},Clientes_Proveedores[Razon Social],Clientes_Proveedores[Ruc / Dni]),2,0),"")</f>
        <v/>
      </c>
      <c r="X469" s="3" t="s">
        <v>6011</v>
      </c>
      <c r="Y469" s="3"/>
      <c r="Z469" s="3"/>
      <c r="AA469" s="3"/>
      <c r="AB469" s="3" t="str">
        <f>IF(Caja_Arequipa[[#This Row],[fecha]]&gt;0,TEXT(Caja_Arequipa[[#This Row],[fecha]],"mmmm"),0)</f>
        <v>Junio</v>
      </c>
    </row>
    <row r="470" spans="1:28" x14ac:dyDescent="0.3">
      <c r="A470" s="2">
        <f>IF(Caja_Arequipa[[#This Row],[tipo_r]]="R",COUNTIFS($C$1:$C469,"R")+1,A469)</f>
        <v>420</v>
      </c>
      <c r="B470" s="19" t="str">
        <f t="shared" si="36"/>
        <v>C-Tesoreria</v>
      </c>
      <c r="C470" s="3" t="s">
        <v>1330</v>
      </c>
      <c r="D470" s="14">
        <v>45812</v>
      </c>
      <c r="E470" s="5" t="s">
        <v>1416</v>
      </c>
      <c r="F470" s="5" t="s">
        <v>1336</v>
      </c>
      <c r="G470" s="3" t="s">
        <v>5259</v>
      </c>
      <c r="H470" s="6"/>
      <c r="I470" s="6" t="s">
        <v>111</v>
      </c>
      <c r="J470" s="6">
        <v>3</v>
      </c>
      <c r="K470" s="6">
        <v>187</v>
      </c>
      <c r="L470" s="7" t="s">
        <v>6012</v>
      </c>
      <c r="M470" s="8" t="str">
        <f>IF(Caja_Arequipa[[#This Row],[tipo_r]]="R","001-"&amp;12002+A470,M469)</f>
        <v>001-12422</v>
      </c>
      <c r="N470" s="8" t="str">
        <f t="shared" si="39"/>
        <v>PEN</v>
      </c>
      <c r="O470" s="13"/>
      <c r="P470" s="13">
        <v>34</v>
      </c>
      <c r="Q470" s="3">
        <f t="shared" si="37"/>
        <v>0</v>
      </c>
      <c r="R470" s="3">
        <f t="shared" si="38"/>
        <v>34</v>
      </c>
      <c r="S470" s="3">
        <f t="shared" si="40"/>
        <v>140.19999999999891</v>
      </c>
      <c r="T470" s="24" t="s">
        <v>1334</v>
      </c>
      <c r="U470" s="24" t="s">
        <v>1334</v>
      </c>
      <c r="V470" s="3"/>
      <c r="W470" s="25" t="str">
        <f>IFERROR(VLOOKUP(Caja_Arequipa[[#This Row],[destinatario]],CHOOSE({1,2},Clientes_Proveedores[Razon Social],Clientes_Proveedores[Ruc / Dni]),2,0),"")</f>
        <v/>
      </c>
      <c r="X470" s="3" t="s">
        <v>6013</v>
      </c>
      <c r="Y470" s="3"/>
      <c r="Z470" s="3"/>
      <c r="AA470" s="3"/>
      <c r="AB470" s="3" t="str">
        <f>IF(Caja_Arequipa[[#This Row],[fecha]]&gt;0,TEXT(Caja_Arequipa[[#This Row],[fecha]],"mmmm"),0)</f>
        <v>Junio</v>
      </c>
    </row>
    <row r="471" spans="1:28" x14ac:dyDescent="0.3">
      <c r="A471" s="2">
        <f>IF(Caja_Arequipa[[#This Row],[tipo_r]]="R",COUNTIFS($C$1:$C470,"R")+1,A470)</f>
        <v>421</v>
      </c>
      <c r="B471" s="19" t="str">
        <f t="shared" si="36"/>
        <v>C-Tesoreria</v>
      </c>
      <c r="C471" s="3" t="s">
        <v>1330</v>
      </c>
      <c r="D471" s="14">
        <v>45812</v>
      </c>
      <c r="E471" s="5" t="s">
        <v>2269</v>
      </c>
      <c r="F471" s="5" t="s">
        <v>1336</v>
      </c>
      <c r="G471" s="3" t="s">
        <v>5450</v>
      </c>
      <c r="H471" s="6"/>
      <c r="I471" s="6" t="s">
        <v>111</v>
      </c>
      <c r="J471" s="6">
        <v>3</v>
      </c>
      <c r="K471" s="6">
        <v>189</v>
      </c>
      <c r="L471" s="7" t="s">
        <v>6001</v>
      </c>
      <c r="M471" s="8" t="str">
        <f>IF(Caja_Arequipa[[#This Row],[tipo_r]]="R","001-"&amp;12002+A471,M470)</f>
        <v>001-12423</v>
      </c>
      <c r="N471" s="8" t="str">
        <f t="shared" si="39"/>
        <v>PEN</v>
      </c>
      <c r="O471" s="13"/>
      <c r="P471" s="13">
        <v>20</v>
      </c>
      <c r="Q471" s="3">
        <f t="shared" si="37"/>
        <v>0</v>
      </c>
      <c r="R471" s="3">
        <f t="shared" si="38"/>
        <v>20</v>
      </c>
      <c r="S471" s="3">
        <f t="shared" si="40"/>
        <v>120.19999999999891</v>
      </c>
      <c r="T471" s="24" t="s">
        <v>1334</v>
      </c>
      <c r="U471" s="24" t="s">
        <v>1334</v>
      </c>
      <c r="V471" s="3"/>
      <c r="W471" s="25" t="str">
        <f>IFERROR(VLOOKUP(Caja_Arequipa[[#This Row],[destinatario]],CHOOSE({1,2},Clientes_Proveedores[Razon Social],Clientes_Proveedores[Ruc / Dni]),2,0),"")</f>
        <v/>
      </c>
      <c r="X471" s="3" t="s">
        <v>6014</v>
      </c>
      <c r="Y471" s="3"/>
      <c r="Z471" s="3"/>
      <c r="AA471" s="3"/>
      <c r="AB471" s="3" t="str">
        <f>IF(Caja_Arequipa[[#This Row],[fecha]]&gt;0,TEXT(Caja_Arequipa[[#This Row],[fecha]],"mmmm"),0)</f>
        <v>Junio</v>
      </c>
    </row>
    <row r="472" spans="1:28" x14ac:dyDescent="0.3">
      <c r="A472" s="2">
        <f>IF(Caja_Arequipa[[#This Row],[tipo_r]]="R",COUNTIFS($C$1:$C471,"R")+1,A471)</f>
        <v>422</v>
      </c>
      <c r="B472" s="19" t="str">
        <f t="shared" si="36"/>
        <v>C-Tesoreria</v>
      </c>
      <c r="C472" s="3" t="s">
        <v>1330</v>
      </c>
      <c r="D472" s="14">
        <v>45812</v>
      </c>
      <c r="E472" s="5" t="s">
        <v>1338</v>
      </c>
      <c r="F472" s="5" t="s">
        <v>1336</v>
      </c>
      <c r="G472" s="3" t="s">
        <v>5450</v>
      </c>
      <c r="H472" s="6"/>
      <c r="I472" s="6" t="s">
        <v>111</v>
      </c>
      <c r="J472" s="6">
        <v>3</v>
      </c>
      <c r="K472" s="6">
        <v>190</v>
      </c>
      <c r="L472" s="7" t="s">
        <v>6015</v>
      </c>
      <c r="M472" s="8" t="str">
        <f>IF(Caja_Arequipa[[#This Row],[tipo_r]]="R","001-"&amp;12002+A472,M471)</f>
        <v>001-12424</v>
      </c>
      <c r="N472" s="8" t="str">
        <f t="shared" si="39"/>
        <v>PEN</v>
      </c>
      <c r="O472" s="13"/>
      <c r="P472" s="13">
        <v>20</v>
      </c>
      <c r="Q472" s="3">
        <f t="shared" si="37"/>
        <v>0</v>
      </c>
      <c r="R472" s="3">
        <f t="shared" si="38"/>
        <v>20</v>
      </c>
      <c r="S472" s="3">
        <f t="shared" si="40"/>
        <v>100.19999999999891</v>
      </c>
      <c r="T472" s="24" t="s">
        <v>1334</v>
      </c>
      <c r="U472" s="24" t="s">
        <v>1334</v>
      </c>
      <c r="V472" s="3"/>
      <c r="W472" s="25" t="str">
        <f>IFERROR(VLOOKUP(Caja_Arequipa[[#This Row],[destinatario]],CHOOSE({1,2},Clientes_Proveedores[Razon Social],Clientes_Proveedores[Ruc / Dni]),2,0),"")</f>
        <v/>
      </c>
      <c r="X472" s="3" t="s">
        <v>6016</v>
      </c>
      <c r="Y472" s="3"/>
      <c r="Z472" s="3"/>
      <c r="AA472" s="3"/>
      <c r="AB472" s="3" t="str">
        <f>IF(Caja_Arequipa[[#This Row],[fecha]]&gt;0,TEXT(Caja_Arequipa[[#This Row],[fecha]],"mmmm"),0)</f>
        <v>Junio</v>
      </c>
    </row>
    <row r="473" spans="1:28" x14ac:dyDescent="0.3">
      <c r="A473" s="2">
        <f>IF(Caja_Arequipa[[#This Row],[tipo_r]]="R",COUNTIFS($C$1:$C472,"R")+1,A472)</f>
        <v>423</v>
      </c>
      <c r="B473" s="19" t="str">
        <f t="shared" si="36"/>
        <v>C-Tesoreria</v>
      </c>
      <c r="C473" s="3" t="s">
        <v>1330</v>
      </c>
      <c r="D473" s="14">
        <v>45812</v>
      </c>
      <c r="E473" s="5" t="s">
        <v>1338</v>
      </c>
      <c r="F473" s="5" t="s">
        <v>1336</v>
      </c>
      <c r="G473" s="3" t="s">
        <v>5250</v>
      </c>
      <c r="H473" s="6"/>
      <c r="I473" s="6" t="s">
        <v>111</v>
      </c>
      <c r="J473" s="6">
        <v>3</v>
      </c>
      <c r="K473" s="6">
        <v>191</v>
      </c>
      <c r="L473" s="7" t="s">
        <v>6017</v>
      </c>
      <c r="M473" s="8" t="str">
        <f>IF(Caja_Arequipa[[#This Row],[tipo_r]]="R","001-"&amp;12002+A473,M472)</f>
        <v>001-12425</v>
      </c>
      <c r="N473" s="8" t="str">
        <f t="shared" si="39"/>
        <v>PEN</v>
      </c>
      <c r="O473" s="13"/>
      <c r="P473" s="13">
        <v>20</v>
      </c>
      <c r="Q473" s="3">
        <f t="shared" si="37"/>
        <v>0</v>
      </c>
      <c r="R473" s="3">
        <f t="shared" si="38"/>
        <v>20</v>
      </c>
      <c r="S473" s="3">
        <f t="shared" si="40"/>
        <v>80.199999999998909</v>
      </c>
      <c r="T473" s="24" t="s">
        <v>1334</v>
      </c>
      <c r="U473" s="24" t="s">
        <v>1334</v>
      </c>
      <c r="V473" s="3"/>
      <c r="W473" s="25" t="str">
        <f>IFERROR(VLOOKUP(Caja_Arequipa[[#This Row],[destinatario]],CHOOSE({1,2},Clientes_Proveedores[Razon Social],Clientes_Proveedores[Ruc / Dni]),2,0),"")</f>
        <v/>
      </c>
      <c r="X473" s="3" t="s">
        <v>6018</v>
      </c>
      <c r="Y473" s="3"/>
      <c r="Z473" s="3"/>
      <c r="AA473" s="3"/>
      <c r="AB473" s="3" t="str">
        <f>IF(Caja_Arequipa[[#This Row],[fecha]]&gt;0,TEXT(Caja_Arequipa[[#This Row],[fecha]],"mmmm"),0)</f>
        <v>Junio</v>
      </c>
    </row>
    <row r="474" spans="1:28" x14ac:dyDescent="0.3">
      <c r="A474" s="2">
        <f>IF(Caja_Arequipa[[#This Row],[tipo_r]]="R",COUNTIFS($C$1:$C473,"R")+1,A473)</f>
        <v>424</v>
      </c>
      <c r="B474" s="19" t="str">
        <f t="shared" si="36"/>
        <v>C-Tesoreria</v>
      </c>
      <c r="C474" s="3" t="s">
        <v>1330</v>
      </c>
      <c r="D474" s="14">
        <v>45812</v>
      </c>
      <c r="E474" s="5" t="s">
        <v>1338</v>
      </c>
      <c r="F474" s="5" t="s">
        <v>1336</v>
      </c>
      <c r="G474" s="3" t="s">
        <v>5811</v>
      </c>
      <c r="H474" s="6"/>
      <c r="I474" s="6" t="s">
        <v>111</v>
      </c>
      <c r="J474" s="6">
        <v>3</v>
      </c>
      <c r="K474" s="6">
        <v>204</v>
      </c>
      <c r="L474" s="7" t="s">
        <v>6019</v>
      </c>
      <c r="M474" s="8" t="str">
        <f>IF(Caja_Arequipa[[#This Row],[tipo_r]]="R","001-"&amp;12002+A474,M473)</f>
        <v>001-12426</v>
      </c>
      <c r="N474" s="8" t="str">
        <f t="shared" si="39"/>
        <v>PEN</v>
      </c>
      <c r="O474" s="13"/>
      <c r="P474" s="13">
        <v>13</v>
      </c>
      <c r="Q474" s="3">
        <f t="shared" si="37"/>
        <v>0</v>
      </c>
      <c r="R474" s="3">
        <f t="shared" si="38"/>
        <v>13</v>
      </c>
      <c r="S474" s="3">
        <f t="shared" si="40"/>
        <v>67.199999999998909</v>
      </c>
      <c r="T474" s="24" t="s">
        <v>1334</v>
      </c>
      <c r="U474" s="24" t="s">
        <v>1334</v>
      </c>
      <c r="V474" s="3"/>
      <c r="W474" s="25" t="str">
        <f>IFERROR(VLOOKUP(Caja_Arequipa[[#This Row],[destinatario]],CHOOSE({1,2},Clientes_Proveedores[Razon Social],Clientes_Proveedores[Ruc / Dni]),2,0),"")</f>
        <v/>
      </c>
      <c r="X474" s="3" t="s">
        <v>6020</v>
      </c>
      <c r="Y474" s="3"/>
      <c r="Z474" s="3"/>
      <c r="AA474" s="3"/>
      <c r="AB474" s="3" t="str">
        <f>IF(Caja_Arequipa[[#This Row],[fecha]]&gt;0,TEXT(Caja_Arequipa[[#This Row],[fecha]],"mmmm"),0)</f>
        <v>Junio</v>
      </c>
    </row>
    <row r="475" spans="1:28" x14ac:dyDescent="0.3">
      <c r="A475" s="2">
        <f>IF(Caja_Arequipa[[#This Row],[tipo_r]]="R",COUNTIFS($C$1:$C474,"R")+1,A474)</f>
        <v>425</v>
      </c>
      <c r="B475" s="19" t="str">
        <f t="shared" si="36"/>
        <v>C-Tesoreria</v>
      </c>
      <c r="C475" s="3" t="s">
        <v>1330</v>
      </c>
      <c r="D475" s="14">
        <v>45813</v>
      </c>
      <c r="E475" s="5" t="s">
        <v>1416</v>
      </c>
      <c r="F475" s="5" t="s">
        <v>1303</v>
      </c>
      <c r="G475" s="3" t="s">
        <v>3634</v>
      </c>
      <c r="H475" s="6"/>
      <c r="I475" s="6"/>
      <c r="J475" s="6"/>
      <c r="K475" s="6"/>
      <c r="L475" s="7" t="s">
        <v>5340</v>
      </c>
      <c r="M475" s="8" t="str">
        <f>IF(Caja_Arequipa[[#This Row],[tipo_r]]="R","001-"&amp;12002+A475,M474)</f>
        <v>001-12427</v>
      </c>
      <c r="N475" s="8" t="str">
        <f t="shared" si="39"/>
        <v>PEN</v>
      </c>
      <c r="O475" s="13"/>
      <c r="P475" s="13">
        <v>450</v>
      </c>
      <c r="Q475" s="3">
        <f t="shared" si="37"/>
        <v>450</v>
      </c>
      <c r="R475" s="3">
        <f t="shared" si="38"/>
        <v>0</v>
      </c>
      <c r="S475" s="3">
        <f t="shared" si="40"/>
        <v>517.19999999999891</v>
      </c>
      <c r="T475" s="24"/>
      <c r="U475" s="24"/>
      <c r="V475" s="3"/>
      <c r="W475" s="25" t="str">
        <f>IFERROR(VLOOKUP(Caja_Arequipa[[#This Row],[destinatario]],CHOOSE({1,2},Clientes_Proveedores[Razon Social],Clientes_Proveedores[Ruc / Dni]),2,0),"")</f>
        <v/>
      </c>
      <c r="X475" s="3"/>
      <c r="Y475" s="3"/>
      <c r="Z475" s="3"/>
      <c r="AA475" s="3"/>
      <c r="AB475" s="3" t="str">
        <f>IF(Caja_Arequipa[[#This Row],[fecha]]&gt;0,TEXT(Caja_Arequipa[[#This Row],[fecha]],"mmmm"),0)</f>
        <v>Junio</v>
      </c>
    </row>
    <row r="476" spans="1:28" ht="48" x14ac:dyDescent="0.3">
      <c r="A476" s="2">
        <f>IF(Caja_Arequipa[[#This Row],[tipo_r]]="R",COUNTIFS($C$1:$C475,"R")+1,A475)</f>
        <v>426</v>
      </c>
      <c r="B476" s="19" t="str">
        <f t="shared" si="36"/>
        <v>C-Tesoreria</v>
      </c>
      <c r="C476" s="3" t="s">
        <v>1330</v>
      </c>
      <c r="D476" s="14">
        <v>45813</v>
      </c>
      <c r="E476" s="5" t="s">
        <v>1338</v>
      </c>
      <c r="F476" s="5" t="s">
        <v>1336</v>
      </c>
      <c r="G476" s="3" t="s">
        <v>5248</v>
      </c>
      <c r="H476" s="6"/>
      <c r="I476" s="6"/>
      <c r="J476" s="6"/>
      <c r="K476" s="6"/>
      <c r="L476" s="7" t="s">
        <v>6021</v>
      </c>
      <c r="M476" s="8" t="str">
        <f>IF(Caja_Arequipa[[#This Row],[tipo_r]]="R","001-"&amp;12002+A476,M475)</f>
        <v>001-12428</v>
      </c>
      <c r="N476" s="8" t="str">
        <f t="shared" si="39"/>
        <v>PEN</v>
      </c>
      <c r="O476" s="13"/>
      <c r="P476" s="13">
        <v>91.3</v>
      </c>
      <c r="Q476" s="3">
        <f t="shared" si="37"/>
        <v>0</v>
      </c>
      <c r="R476" s="3">
        <f t="shared" si="38"/>
        <v>91.3</v>
      </c>
      <c r="S476" s="3">
        <f t="shared" si="40"/>
        <v>425.8999999999989</v>
      </c>
      <c r="T476" s="24" t="s">
        <v>1334</v>
      </c>
      <c r="U476" s="24" t="s">
        <v>1334</v>
      </c>
      <c r="V476" s="3"/>
      <c r="W476" s="25" t="str">
        <f>IFERROR(VLOOKUP(Caja_Arequipa[[#This Row],[destinatario]],CHOOSE({1,2},Clientes_Proveedores[Razon Social],Clientes_Proveedores[Ruc / Dni]),2,0),"")</f>
        <v/>
      </c>
      <c r="X476" s="3" t="s">
        <v>6022</v>
      </c>
      <c r="Y476" s="3"/>
      <c r="Z476" s="3"/>
      <c r="AA476" s="3"/>
      <c r="AB476" s="3" t="str">
        <f>IF(Caja_Arequipa[[#This Row],[fecha]]&gt;0,TEXT(Caja_Arequipa[[#This Row],[fecha]],"mmmm"),0)</f>
        <v>Junio</v>
      </c>
    </row>
    <row r="477" spans="1:28" x14ac:dyDescent="0.3">
      <c r="A477" s="2">
        <f>IF(Caja_Arequipa[[#This Row],[tipo_r]]="R",COUNTIFS($C$1:$C476,"R")+1,A476)</f>
        <v>426</v>
      </c>
      <c r="B477" s="19" t="str">
        <f>"C-Tesoreria"</f>
        <v>C-Tesoreria</v>
      </c>
      <c r="C477" s="3" t="s">
        <v>1352</v>
      </c>
      <c r="D477" s="14">
        <v>45813</v>
      </c>
      <c r="E477" s="5" t="s">
        <v>1338</v>
      </c>
      <c r="F477" s="5" t="s">
        <v>1336</v>
      </c>
      <c r="G477" s="3" t="s">
        <v>5248</v>
      </c>
      <c r="H477" s="6"/>
      <c r="I477" s="6" t="s">
        <v>68</v>
      </c>
      <c r="J477" s="6" t="s">
        <v>6023</v>
      </c>
      <c r="K477" s="6">
        <v>2583</v>
      </c>
      <c r="L477" s="7" t="s">
        <v>6021</v>
      </c>
      <c r="M477" s="8" t="str">
        <f>IF(Caja_Arequipa[[#This Row],[tipo_r]]="R","001-"&amp;12002+A477,M476)</f>
        <v>001-12428</v>
      </c>
      <c r="N477" s="8" t="str">
        <f>"PEN"</f>
        <v>PEN</v>
      </c>
      <c r="O477" s="13">
        <v>11.8</v>
      </c>
      <c r="P477" s="13"/>
      <c r="Q477" s="3">
        <f>+IF(OR($F477="SALDO",$F477="INGRESO"),$P477,0)</f>
        <v>0</v>
      </c>
      <c r="R477" s="3">
        <f>+IF($F477="EGRESO",$P477,0)</f>
        <v>0</v>
      </c>
      <c r="S477" s="3">
        <f t="shared" si="40"/>
        <v>425.8999999999989</v>
      </c>
      <c r="T477" s="24"/>
      <c r="U477" s="24"/>
      <c r="V477" s="3"/>
      <c r="W477" s="25" t="str">
        <f>IFERROR(VLOOKUP(Caja_Arequipa[[#This Row],[destinatario]],CHOOSE({1,2},Clientes_Proveedores[Razon Social],Clientes_Proveedores[Ruc / Dni]),2,0),"")</f>
        <v/>
      </c>
      <c r="X477" s="3"/>
      <c r="Y477" s="3"/>
      <c r="Z477" s="3"/>
      <c r="AA477" s="3"/>
      <c r="AB477" s="3" t="str">
        <f>IF(Caja_Arequipa[[#This Row],[fecha]]&gt;0,TEXT(Caja_Arequipa[[#This Row],[fecha]],"mmmm"),0)</f>
        <v>Junio</v>
      </c>
    </row>
    <row r="478" spans="1:28" x14ac:dyDescent="0.3">
      <c r="A478" s="2">
        <f>IF(Caja_Arequipa[[#This Row],[tipo_r]]="R",COUNTIFS($C$1:$C477,"R")+1,A477)</f>
        <v>426</v>
      </c>
      <c r="B478" s="19" t="str">
        <f>"C-Tesoreria"</f>
        <v>C-Tesoreria</v>
      </c>
      <c r="C478" s="3" t="s">
        <v>1352</v>
      </c>
      <c r="D478" s="14">
        <v>45813</v>
      </c>
      <c r="E478" s="5" t="s">
        <v>1338</v>
      </c>
      <c r="F478" s="5" t="s">
        <v>1336</v>
      </c>
      <c r="G478" s="3" t="s">
        <v>5248</v>
      </c>
      <c r="H478" s="6"/>
      <c r="I478" s="6" t="s">
        <v>68</v>
      </c>
      <c r="J478" s="6" t="s">
        <v>6023</v>
      </c>
      <c r="K478" s="6">
        <v>2584</v>
      </c>
      <c r="L478" s="7" t="s">
        <v>6021</v>
      </c>
      <c r="M478" s="8" t="str">
        <f>IF(Caja_Arequipa[[#This Row],[tipo_r]]="R","001-"&amp;12002+A478,M477)</f>
        <v>001-12428</v>
      </c>
      <c r="N478" s="8" t="str">
        <f>"PEN"</f>
        <v>PEN</v>
      </c>
      <c r="O478" s="13">
        <v>12</v>
      </c>
      <c r="P478" s="13"/>
      <c r="Q478" s="3">
        <f>+IF(OR($F478="SALDO",$F478="INGRESO"),$P478,0)</f>
        <v>0</v>
      </c>
      <c r="R478" s="3">
        <f>+IF($F478="EGRESO",$P478,0)</f>
        <v>0</v>
      </c>
      <c r="S478" s="3">
        <f t="shared" si="40"/>
        <v>425.8999999999989</v>
      </c>
      <c r="T478" s="24"/>
      <c r="U478" s="24"/>
      <c r="V478" s="3"/>
      <c r="W478" s="25" t="str">
        <f>IFERROR(VLOOKUP(Caja_Arequipa[[#This Row],[destinatario]],CHOOSE({1,2},Clientes_Proveedores[Razon Social],Clientes_Proveedores[Ruc / Dni]),2,0),"")</f>
        <v/>
      </c>
      <c r="X478" s="3"/>
      <c r="Y478" s="3"/>
      <c r="Z478" s="3"/>
      <c r="AA478" s="3"/>
      <c r="AB478" s="3" t="str">
        <f>IF(Caja_Arequipa[[#This Row],[fecha]]&gt;0,TEXT(Caja_Arequipa[[#This Row],[fecha]],"mmmm"),0)</f>
        <v>Junio</v>
      </c>
    </row>
    <row r="479" spans="1:28" x14ac:dyDescent="0.3">
      <c r="A479" s="2">
        <f>IF(Caja_Arequipa[[#This Row],[tipo_r]]="R",COUNTIFS($C$1:$C478,"R")+1,A478)</f>
        <v>426</v>
      </c>
      <c r="B479" s="19" t="str">
        <f>"C-Tesoreria"</f>
        <v>C-Tesoreria</v>
      </c>
      <c r="C479" s="3" t="s">
        <v>1352</v>
      </c>
      <c r="D479" s="14">
        <v>45813</v>
      </c>
      <c r="E479" s="5" t="s">
        <v>1338</v>
      </c>
      <c r="F479" s="5" t="s">
        <v>1336</v>
      </c>
      <c r="G479" s="3" t="s">
        <v>5248</v>
      </c>
      <c r="H479" s="6"/>
      <c r="I479" s="6" t="s">
        <v>111</v>
      </c>
      <c r="J479" s="6">
        <v>3</v>
      </c>
      <c r="K479" s="6">
        <v>226</v>
      </c>
      <c r="L479" s="7" t="s">
        <v>6021</v>
      </c>
      <c r="M479" s="8" t="str">
        <f>IF(Caja_Arequipa[[#This Row],[tipo_r]]="R","001-"&amp;12002+A479,M478)</f>
        <v>001-12428</v>
      </c>
      <c r="N479" s="8" t="str">
        <f>"PEN"</f>
        <v>PEN</v>
      </c>
      <c r="O479" s="13">
        <v>28</v>
      </c>
      <c r="P479" s="13"/>
      <c r="Q479" s="3">
        <f>+IF(OR($F479="SALDO",$F479="INGRESO"),$P479,0)</f>
        <v>0</v>
      </c>
      <c r="R479" s="3">
        <f>+IF($F479="EGRESO",$P479,0)</f>
        <v>0</v>
      </c>
      <c r="S479" s="3">
        <f t="shared" si="40"/>
        <v>425.8999999999989</v>
      </c>
      <c r="T479" s="24"/>
      <c r="U479" s="24"/>
      <c r="V479" s="3"/>
      <c r="W479" s="25" t="str">
        <f>IFERROR(VLOOKUP(Caja_Arequipa[[#This Row],[destinatario]],CHOOSE({1,2},Clientes_Proveedores[Razon Social],Clientes_Proveedores[Ruc / Dni]),2,0),"")</f>
        <v/>
      </c>
      <c r="X479" s="3"/>
      <c r="Y479" s="3"/>
      <c r="Z479" s="3"/>
      <c r="AA479" s="3"/>
      <c r="AB479" s="3" t="str">
        <f>IF(Caja_Arequipa[[#This Row],[fecha]]&gt;0,TEXT(Caja_Arequipa[[#This Row],[fecha]],"mmmm"),0)</f>
        <v>Junio</v>
      </c>
    </row>
    <row r="480" spans="1:28" x14ac:dyDescent="0.3">
      <c r="A480" s="2">
        <f>IF(Caja_Arequipa[[#This Row],[tipo_r]]="R",COUNTIFS($C$1:$C479,"R")+1,A479)</f>
        <v>426</v>
      </c>
      <c r="B480" s="19" t="str">
        <f>"C-Tesoreria"</f>
        <v>C-Tesoreria</v>
      </c>
      <c r="C480" s="3" t="s">
        <v>1352</v>
      </c>
      <c r="D480" s="14">
        <v>45813</v>
      </c>
      <c r="E480" s="5" t="s">
        <v>1338</v>
      </c>
      <c r="F480" s="5" t="s">
        <v>1336</v>
      </c>
      <c r="G480" s="3" t="s">
        <v>5248</v>
      </c>
      <c r="H480" s="6"/>
      <c r="I480" s="6" t="s">
        <v>111</v>
      </c>
      <c r="J480" s="6">
        <v>3</v>
      </c>
      <c r="K480" s="6">
        <v>227</v>
      </c>
      <c r="L480" s="7" t="s">
        <v>6021</v>
      </c>
      <c r="M480" s="8" t="str">
        <f>IF(Caja_Arequipa[[#This Row],[tipo_r]]="R","001-"&amp;12002+A480,M479)</f>
        <v>001-12428</v>
      </c>
      <c r="N480" s="8" t="str">
        <f>"PEN"</f>
        <v>PEN</v>
      </c>
      <c r="O480" s="13">
        <v>39.5</v>
      </c>
      <c r="P480" s="13"/>
      <c r="Q480" s="3">
        <f>+IF(OR($F480="SALDO",$F480="INGRESO"),$P480,0)</f>
        <v>0</v>
      </c>
      <c r="R480" s="3">
        <f>+IF($F480="EGRESO",$P480,0)</f>
        <v>0</v>
      </c>
      <c r="S480" s="3">
        <f t="shared" si="40"/>
        <v>425.8999999999989</v>
      </c>
      <c r="T480" s="24"/>
      <c r="U480" s="24"/>
      <c r="V480" s="3"/>
      <c r="W480" s="25" t="str">
        <f>IFERROR(VLOOKUP(Caja_Arequipa[[#This Row],[destinatario]],CHOOSE({1,2},Clientes_Proveedores[Razon Social],Clientes_Proveedores[Ruc / Dni]),2,0),"")</f>
        <v/>
      </c>
      <c r="X480" s="3"/>
      <c r="Y480" s="3"/>
      <c r="Z480" s="3"/>
      <c r="AA480" s="3"/>
      <c r="AB480" s="3" t="str">
        <f>IF(Caja_Arequipa[[#This Row],[fecha]]&gt;0,TEXT(Caja_Arequipa[[#This Row],[fecha]],"mmmm"),0)</f>
        <v>Junio</v>
      </c>
    </row>
    <row r="481" spans="1:28" x14ac:dyDescent="0.3">
      <c r="A481" s="2">
        <f>IF(Caja_Arequipa[[#This Row],[tipo_r]]="R",COUNTIFS($C$1:$C480,"R")+1,A480)</f>
        <v>427</v>
      </c>
      <c r="B481" s="19" t="str">
        <f t="shared" si="36"/>
        <v>C-Tesoreria</v>
      </c>
      <c r="C481" s="3" t="s">
        <v>1330</v>
      </c>
      <c r="D481" s="14">
        <v>45813</v>
      </c>
      <c r="E481" s="5" t="s">
        <v>1338</v>
      </c>
      <c r="F481" s="5" t="s">
        <v>1336</v>
      </c>
      <c r="G481" s="3" t="s">
        <v>5811</v>
      </c>
      <c r="H481" s="6"/>
      <c r="I481" s="6" t="s">
        <v>111</v>
      </c>
      <c r="J481" s="6">
        <v>3</v>
      </c>
      <c r="K481" s="6">
        <v>192</v>
      </c>
      <c r="L481" s="7" t="s">
        <v>6024</v>
      </c>
      <c r="M481" s="8" t="str">
        <f>IF(Caja_Arequipa[[#This Row],[tipo_r]]="R","001-"&amp;12002+A481,M480)</f>
        <v>001-12429</v>
      </c>
      <c r="N481" s="8" t="str">
        <f t="shared" si="39"/>
        <v>PEN</v>
      </c>
      <c r="O481" s="13"/>
      <c r="P481" s="13">
        <v>15</v>
      </c>
      <c r="Q481" s="3">
        <f t="shared" si="37"/>
        <v>0</v>
      </c>
      <c r="R481" s="3">
        <f t="shared" si="38"/>
        <v>15</v>
      </c>
      <c r="S481" s="3">
        <f t="shared" si="40"/>
        <v>410.8999999999989</v>
      </c>
      <c r="T481" s="24" t="s">
        <v>1334</v>
      </c>
      <c r="U481" s="24" t="s">
        <v>1334</v>
      </c>
      <c r="V481" s="3"/>
      <c r="W481" s="25" t="str">
        <f>IFERROR(VLOOKUP(Caja_Arequipa[[#This Row],[destinatario]],CHOOSE({1,2},Clientes_Proveedores[Razon Social],Clientes_Proveedores[Ruc / Dni]),2,0),"")</f>
        <v/>
      </c>
      <c r="X481" s="3" t="s">
        <v>6025</v>
      </c>
      <c r="Y481" s="3"/>
      <c r="Z481" s="3"/>
      <c r="AA481" s="3"/>
      <c r="AB481" s="3" t="str">
        <f>IF(Caja_Arequipa[[#This Row],[fecha]]&gt;0,TEXT(Caja_Arequipa[[#This Row],[fecha]],"mmmm"),0)</f>
        <v>Junio</v>
      </c>
    </row>
    <row r="482" spans="1:28" x14ac:dyDescent="0.3">
      <c r="A482" s="2">
        <f>IF(Caja_Arequipa[[#This Row],[tipo_r]]="R",COUNTIFS($C$1:$C481,"R")+1,A481)</f>
        <v>428</v>
      </c>
      <c r="B482" s="19" t="str">
        <f t="shared" si="36"/>
        <v>C-Tesoreria</v>
      </c>
      <c r="C482" s="3" t="s">
        <v>1330</v>
      </c>
      <c r="D482" s="14">
        <v>45814</v>
      </c>
      <c r="E482" s="5" t="s">
        <v>1416</v>
      </c>
      <c r="F482" s="5" t="s">
        <v>1336</v>
      </c>
      <c r="G482" s="3" t="s">
        <v>5811</v>
      </c>
      <c r="H482" s="6"/>
      <c r="I482" s="6"/>
      <c r="J482" s="6"/>
      <c r="K482" s="6"/>
      <c r="L482" s="7" t="s">
        <v>6026</v>
      </c>
      <c r="M482" s="8" t="str">
        <f>IF(Caja_Arequipa[[#This Row],[tipo_r]]="R","001-"&amp;12002+A482,M481)</f>
        <v>001-12430</v>
      </c>
      <c r="N482" s="8" t="str">
        <f t="shared" si="39"/>
        <v>PEN</v>
      </c>
      <c r="O482" s="13"/>
      <c r="P482" s="13">
        <v>6</v>
      </c>
      <c r="Q482" s="3">
        <f t="shared" si="37"/>
        <v>0</v>
      </c>
      <c r="R482" s="3">
        <f t="shared" si="38"/>
        <v>6</v>
      </c>
      <c r="S482" s="3">
        <f t="shared" si="40"/>
        <v>404.8999999999989</v>
      </c>
      <c r="T482" s="24" t="s">
        <v>1334</v>
      </c>
      <c r="U482" s="24" t="s">
        <v>1334</v>
      </c>
      <c r="V482" s="3"/>
      <c r="W482" s="25" t="str">
        <f>IFERROR(VLOOKUP(Caja_Arequipa[[#This Row],[destinatario]],CHOOSE({1,2},Clientes_Proveedores[Razon Social],Clientes_Proveedores[Ruc / Dni]),2,0),"")</f>
        <v/>
      </c>
      <c r="X482" s="3" t="s">
        <v>6027</v>
      </c>
      <c r="Y482" s="3"/>
      <c r="Z482" s="3"/>
      <c r="AA482" s="3"/>
      <c r="AB482" s="3" t="str">
        <f>IF(Caja_Arequipa[[#This Row],[fecha]]&gt;0,TEXT(Caja_Arequipa[[#This Row],[fecha]],"mmmm"),0)</f>
        <v>Junio</v>
      </c>
    </row>
    <row r="483" spans="1:28" ht="24" x14ac:dyDescent="0.3">
      <c r="A483" s="2">
        <f>IF(Caja_Arequipa[[#This Row],[tipo_r]]="R",COUNTIFS($C$1:$C482,"R")+1,A482)</f>
        <v>429</v>
      </c>
      <c r="B483" s="19" t="str">
        <f t="shared" si="36"/>
        <v>C-Tesoreria</v>
      </c>
      <c r="C483" s="3" t="s">
        <v>1330</v>
      </c>
      <c r="D483" s="14">
        <v>45814</v>
      </c>
      <c r="E483" s="5" t="s">
        <v>1338</v>
      </c>
      <c r="F483" s="5" t="s">
        <v>1336</v>
      </c>
      <c r="G483" s="3" t="s">
        <v>5811</v>
      </c>
      <c r="H483" s="6"/>
      <c r="I483" s="6" t="s">
        <v>111</v>
      </c>
      <c r="J483" s="6">
        <v>3</v>
      </c>
      <c r="K483" s="6">
        <v>208</v>
      </c>
      <c r="L483" s="7" t="s">
        <v>6028</v>
      </c>
      <c r="M483" s="8" t="str">
        <f>IF(Caja_Arequipa[[#This Row],[tipo_r]]="R","001-"&amp;12002+A483,M482)</f>
        <v>001-12431</v>
      </c>
      <c r="N483" s="8" t="str">
        <f t="shared" si="39"/>
        <v>PEN</v>
      </c>
      <c r="O483" s="13"/>
      <c r="P483" s="13">
        <v>60</v>
      </c>
      <c r="Q483" s="3">
        <f t="shared" si="37"/>
        <v>0</v>
      </c>
      <c r="R483" s="3">
        <f t="shared" si="38"/>
        <v>60</v>
      </c>
      <c r="S483" s="3">
        <f t="shared" si="40"/>
        <v>344.8999999999989</v>
      </c>
      <c r="T483" s="24"/>
      <c r="U483" s="24" t="s">
        <v>1334</v>
      </c>
      <c r="V483" s="3"/>
      <c r="W483" s="25" t="str">
        <f>IFERROR(VLOOKUP(Caja_Arequipa[[#This Row],[destinatario]],CHOOSE({1,2},Clientes_Proveedores[Razon Social],Clientes_Proveedores[Ruc / Dni]),2,0),"")</f>
        <v/>
      </c>
      <c r="X483" s="3" t="s">
        <v>6029</v>
      </c>
      <c r="Y483" s="3"/>
      <c r="Z483" s="3"/>
      <c r="AA483" s="3"/>
      <c r="AB483" s="3" t="str">
        <f>IF(Caja_Arequipa[[#This Row],[fecha]]&gt;0,TEXT(Caja_Arequipa[[#This Row],[fecha]],"mmmm"),0)</f>
        <v>Junio</v>
      </c>
    </row>
    <row r="484" spans="1:28" x14ac:dyDescent="0.3">
      <c r="A484" s="2">
        <f>IF(Caja_Arequipa[[#This Row],[tipo_r]]="R",COUNTIFS($C$1:$C483,"R")+1,A483)</f>
        <v>430</v>
      </c>
      <c r="B484" s="19" t="str">
        <f t="shared" si="36"/>
        <v>C-Tesoreria</v>
      </c>
      <c r="C484" s="3" t="s">
        <v>1330</v>
      </c>
      <c r="D484" s="14">
        <v>45818</v>
      </c>
      <c r="E484" s="5" t="s">
        <v>1416</v>
      </c>
      <c r="F484" s="5" t="s">
        <v>1303</v>
      </c>
      <c r="G484" s="3" t="s">
        <v>3634</v>
      </c>
      <c r="H484" s="6"/>
      <c r="I484" s="6"/>
      <c r="J484" s="6"/>
      <c r="K484" s="6"/>
      <c r="L484" s="7" t="s">
        <v>5340</v>
      </c>
      <c r="M484" s="8" t="str">
        <f>IF(Caja_Arequipa[[#This Row],[tipo_r]]="R","001-"&amp;12002+A484,M483)</f>
        <v>001-12432</v>
      </c>
      <c r="N484" s="8" t="str">
        <f t="shared" si="39"/>
        <v>PEN</v>
      </c>
      <c r="O484" s="13"/>
      <c r="P484" s="13">
        <v>500</v>
      </c>
      <c r="Q484" s="3">
        <f t="shared" si="37"/>
        <v>500</v>
      </c>
      <c r="R484" s="3">
        <f t="shared" si="38"/>
        <v>0</v>
      </c>
      <c r="S484" s="3">
        <f t="shared" si="40"/>
        <v>844.89999999999895</v>
      </c>
      <c r="T484" s="24"/>
      <c r="U484" s="24"/>
      <c r="V484" s="3"/>
      <c r="W484" s="25" t="str">
        <f>IFERROR(VLOOKUP(Caja_Arequipa[[#This Row],[destinatario]],CHOOSE({1,2},Clientes_Proveedores[Razon Social],Clientes_Proveedores[Ruc / Dni]),2,0),"")</f>
        <v/>
      </c>
      <c r="X484" s="3"/>
      <c r="Y484" s="3"/>
      <c r="Z484" s="3"/>
      <c r="AA484" s="3"/>
      <c r="AB484" s="3" t="str">
        <f>IF(Caja_Arequipa[[#This Row],[fecha]]&gt;0,TEXT(Caja_Arequipa[[#This Row],[fecha]],"mmmm"),0)</f>
        <v>Junio</v>
      </c>
    </row>
    <row r="485" spans="1:28" x14ac:dyDescent="0.3">
      <c r="A485" s="2">
        <f>IF(Caja_Arequipa[[#This Row],[tipo_r]]="R",COUNTIFS($C$1:$C484,"R")+1,A484)</f>
        <v>431</v>
      </c>
      <c r="B485" s="19" t="str">
        <f t="shared" si="36"/>
        <v>C-Tesoreria</v>
      </c>
      <c r="C485" s="3" t="s">
        <v>1330</v>
      </c>
      <c r="D485" s="14">
        <v>45818</v>
      </c>
      <c r="E485" s="5" t="s">
        <v>1338</v>
      </c>
      <c r="F485" s="5" t="s">
        <v>1336</v>
      </c>
      <c r="G485" s="3" t="s">
        <v>4788</v>
      </c>
      <c r="H485" s="6"/>
      <c r="I485" s="6"/>
      <c r="J485" s="6"/>
      <c r="K485" s="6"/>
      <c r="L485" s="7" t="s">
        <v>6030</v>
      </c>
      <c r="M485" s="8" t="str">
        <f>IF(Caja_Arequipa[[#This Row],[tipo_r]]="R","001-"&amp;12002+A485,M484)</f>
        <v>001-12433</v>
      </c>
      <c r="N485" s="8" t="str">
        <f t="shared" si="39"/>
        <v>PEN</v>
      </c>
      <c r="O485" s="13"/>
      <c r="P485" s="13">
        <v>40</v>
      </c>
      <c r="Q485" s="3">
        <f t="shared" si="37"/>
        <v>0</v>
      </c>
      <c r="R485" s="3">
        <f t="shared" si="38"/>
        <v>40</v>
      </c>
      <c r="S485" s="3">
        <f t="shared" si="40"/>
        <v>804.89999999999895</v>
      </c>
      <c r="T485" s="24" t="s">
        <v>1334</v>
      </c>
      <c r="U485" s="24"/>
      <c r="V485" s="3"/>
      <c r="W485" s="25" t="str">
        <f>IFERROR(VLOOKUP(Caja_Arequipa[[#This Row],[destinatario]],CHOOSE({1,2},Clientes_Proveedores[Razon Social],Clientes_Proveedores[Ruc / Dni]),2,0),"")</f>
        <v/>
      </c>
      <c r="X485" s="3" t="s">
        <v>6031</v>
      </c>
      <c r="Y485" s="3"/>
      <c r="Z485" s="3"/>
      <c r="AA485" s="3"/>
      <c r="AB485" s="3" t="str">
        <f>IF(Caja_Arequipa[[#This Row],[fecha]]&gt;0,TEXT(Caja_Arequipa[[#This Row],[fecha]],"mmmm"),0)</f>
        <v>Junio</v>
      </c>
    </row>
    <row r="486" spans="1:28" ht="24" x14ac:dyDescent="0.3">
      <c r="A486" s="2">
        <f>IF(Caja_Arequipa[[#This Row],[tipo_r]]="R",COUNTIFS($C$1:$C485,"R")+1,A485)</f>
        <v>432</v>
      </c>
      <c r="B486" s="19" t="str">
        <f t="shared" si="36"/>
        <v>C-Tesoreria</v>
      </c>
      <c r="C486" s="3" t="s">
        <v>1330</v>
      </c>
      <c r="D486" s="14">
        <v>45818</v>
      </c>
      <c r="E486" s="5" t="s">
        <v>1338</v>
      </c>
      <c r="F486" s="5" t="s">
        <v>1336</v>
      </c>
      <c r="G486" s="3" t="s">
        <v>5248</v>
      </c>
      <c r="H486" s="6"/>
      <c r="I486" s="6"/>
      <c r="J486" s="6"/>
      <c r="K486" s="6"/>
      <c r="L486" s="7" t="s">
        <v>6032</v>
      </c>
      <c r="M486" s="8" t="str">
        <f>IF(Caja_Arequipa[[#This Row],[tipo_r]]="R","001-"&amp;12002+A486,M485)</f>
        <v>001-12434</v>
      </c>
      <c r="N486" s="8" t="str">
        <f t="shared" si="39"/>
        <v>PEN</v>
      </c>
      <c r="O486" s="13"/>
      <c r="P486" s="13">
        <v>92</v>
      </c>
      <c r="Q486" s="3">
        <f t="shared" si="37"/>
        <v>0</v>
      </c>
      <c r="R486" s="3">
        <f t="shared" si="38"/>
        <v>92</v>
      </c>
      <c r="S486" s="3">
        <f t="shared" si="40"/>
        <v>712.89999999999895</v>
      </c>
      <c r="T486" s="24" t="s">
        <v>1334</v>
      </c>
      <c r="U486" s="24" t="s">
        <v>1334</v>
      </c>
      <c r="V486" s="3"/>
      <c r="W486" s="25" t="str">
        <f>IFERROR(VLOOKUP(Caja_Arequipa[[#This Row],[destinatario]],CHOOSE({1,2},Clientes_Proveedores[Razon Social],Clientes_Proveedores[Ruc / Dni]),2,0),"")</f>
        <v/>
      </c>
      <c r="X486" s="3" t="s">
        <v>6033</v>
      </c>
      <c r="Y486" s="3"/>
      <c r="Z486" s="3"/>
      <c r="AA486" s="3"/>
      <c r="AB486" s="3" t="str">
        <f>IF(Caja_Arequipa[[#This Row],[fecha]]&gt;0,TEXT(Caja_Arequipa[[#This Row],[fecha]],"mmmm"),0)</f>
        <v>Junio</v>
      </c>
    </row>
    <row r="487" spans="1:28" ht="24" x14ac:dyDescent="0.3">
      <c r="A487" s="2">
        <f>IF(Caja_Arequipa[[#This Row],[tipo_r]]="R",COUNTIFS($C$1:$C486,"R")+1,A486)</f>
        <v>433</v>
      </c>
      <c r="B487" s="19" t="str">
        <f t="shared" si="36"/>
        <v>C-Tesoreria</v>
      </c>
      <c r="C487" s="3" t="s">
        <v>1330</v>
      </c>
      <c r="D487" s="14">
        <v>45818</v>
      </c>
      <c r="E487" s="5" t="s">
        <v>1338</v>
      </c>
      <c r="F487" s="5" t="s">
        <v>1336</v>
      </c>
      <c r="G487" s="3" t="s">
        <v>4788</v>
      </c>
      <c r="H487" s="6"/>
      <c r="I487" s="6"/>
      <c r="J487" s="6"/>
      <c r="K487" s="6"/>
      <c r="L487" s="7" t="s">
        <v>6034</v>
      </c>
      <c r="M487" s="8" t="str">
        <f>IF(Caja_Arequipa[[#This Row],[tipo_r]]="R","001-"&amp;12002+A487,M486)</f>
        <v>001-12435</v>
      </c>
      <c r="N487" s="8" t="str">
        <f t="shared" si="39"/>
        <v>PEN</v>
      </c>
      <c r="O487" s="13"/>
      <c r="P487" s="13">
        <v>240.5</v>
      </c>
      <c r="Q487" s="3">
        <f t="shared" si="37"/>
        <v>0</v>
      </c>
      <c r="R487" s="3">
        <f t="shared" si="38"/>
        <v>240.5</v>
      </c>
      <c r="S487" s="3">
        <f t="shared" si="40"/>
        <v>472.39999999999895</v>
      </c>
      <c r="T487" s="24" t="s">
        <v>1334</v>
      </c>
      <c r="U487" s="24" t="s">
        <v>1334</v>
      </c>
      <c r="V487" s="3"/>
      <c r="W487" s="25" t="str">
        <f>IFERROR(VLOOKUP(Caja_Arequipa[[#This Row],[destinatario]],CHOOSE({1,2},Clientes_Proveedores[Razon Social],Clientes_Proveedores[Ruc / Dni]),2,0),"")</f>
        <v/>
      </c>
      <c r="X487" s="3" t="s">
        <v>6035</v>
      </c>
      <c r="Y487" s="3"/>
      <c r="Z487" s="3"/>
      <c r="AA487" s="3"/>
      <c r="AB487" s="3" t="str">
        <f>IF(Caja_Arequipa[[#This Row],[fecha]]&gt;0,TEXT(Caja_Arequipa[[#This Row],[fecha]],"mmmm"),0)</f>
        <v>Junio</v>
      </c>
    </row>
    <row r="488" spans="1:28" ht="24" x14ac:dyDescent="0.3">
      <c r="A488" s="2">
        <f>IF(Caja_Arequipa[[#This Row],[tipo_r]]="R",COUNTIFS($C$1:$C487,"R")+1,A487)</f>
        <v>434</v>
      </c>
      <c r="B488" s="19" t="str">
        <f t="shared" si="36"/>
        <v>C-Tesoreria</v>
      </c>
      <c r="C488" s="3" t="s">
        <v>1330</v>
      </c>
      <c r="D488" s="14">
        <v>45818</v>
      </c>
      <c r="E488" s="5" t="s">
        <v>1338</v>
      </c>
      <c r="F488" s="5" t="s">
        <v>1336</v>
      </c>
      <c r="G488" s="3" t="s">
        <v>5664</v>
      </c>
      <c r="H488" s="6"/>
      <c r="I488" s="6" t="s">
        <v>111</v>
      </c>
      <c r="J488" s="6">
        <v>3</v>
      </c>
      <c r="K488" s="6">
        <v>223</v>
      </c>
      <c r="L488" s="7" t="s">
        <v>6036</v>
      </c>
      <c r="M488" s="8" t="str">
        <f>IF(Caja_Arequipa[[#This Row],[tipo_r]]="R","001-"&amp;12002+A488,M487)</f>
        <v>001-12436</v>
      </c>
      <c r="N488" s="8" t="str">
        <f t="shared" si="39"/>
        <v>PEN</v>
      </c>
      <c r="O488" s="13"/>
      <c r="P488" s="13">
        <v>34</v>
      </c>
      <c r="Q488" s="3">
        <f t="shared" si="37"/>
        <v>0</v>
      </c>
      <c r="R488" s="3">
        <f t="shared" si="38"/>
        <v>34</v>
      </c>
      <c r="S488" s="3">
        <f t="shared" si="40"/>
        <v>438.39999999999895</v>
      </c>
      <c r="T488" s="24" t="s">
        <v>1334</v>
      </c>
      <c r="U488" s="24" t="s">
        <v>1334</v>
      </c>
      <c r="V488" s="3"/>
      <c r="W488" s="25" t="str">
        <f>IFERROR(VLOOKUP(Caja_Arequipa[[#This Row],[destinatario]],CHOOSE({1,2},Clientes_Proveedores[Razon Social],Clientes_Proveedores[Ruc / Dni]),2,0),"")</f>
        <v/>
      </c>
      <c r="X488" s="3" t="s">
        <v>6037</v>
      </c>
      <c r="Y488" s="3"/>
      <c r="Z488" s="3"/>
      <c r="AA488" s="3"/>
      <c r="AB488" s="3" t="str">
        <f>IF(Caja_Arequipa[[#This Row],[fecha]]&gt;0,TEXT(Caja_Arequipa[[#This Row],[fecha]],"mmmm"),0)</f>
        <v>Junio</v>
      </c>
    </row>
    <row r="489" spans="1:28" x14ac:dyDescent="0.3">
      <c r="A489" s="2">
        <f>IF(Caja_Arequipa[[#This Row],[tipo_r]]="R",COUNTIFS($C$1:$C488,"R")+1,A488)</f>
        <v>435</v>
      </c>
      <c r="B489" s="19" t="str">
        <f t="shared" si="36"/>
        <v>C-Tesoreria</v>
      </c>
      <c r="C489" s="3" t="s">
        <v>1330</v>
      </c>
      <c r="D489" s="14">
        <v>45818</v>
      </c>
      <c r="E489" s="5" t="s">
        <v>1338</v>
      </c>
      <c r="F489" s="5" t="s">
        <v>1336</v>
      </c>
      <c r="G489" s="3" t="s">
        <v>5811</v>
      </c>
      <c r="H489" s="6"/>
      <c r="I489" s="6"/>
      <c r="J489" s="6"/>
      <c r="K489" s="6"/>
      <c r="L489" s="7" t="s">
        <v>6038</v>
      </c>
      <c r="M489" s="8" t="str">
        <f>IF(Caja_Arequipa[[#This Row],[tipo_r]]="R","001-"&amp;12002+A489,M488)</f>
        <v>001-12437</v>
      </c>
      <c r="N489" s="8" t="str">
        <f t="shared" si="39"/>
        <v>PEN</v>
      </c>
      <c r="O489" s="13"/>
      <c r="P489" s="13">
        <v>12</v>
      </c>
      <c r="Q489" s="3">
        <f t="shared" si="37"/>
        <v>0</v>
      </c>
      <c r="R489" s="3">
        <f t="shared" si="38"/>
        <v>12</v>
      </c>
      <c r="S489" s="3">
        <f t="shared" si="40"/>
        <v>426.39999999999895</v>
      </c>
      <c r="T489" s="24" t="s">
        <v>1334</v>
      </c>
      <c r="U489" s="24" t="s">
        <v>1334</v>
      </c>
      <c r="V489" s="3"/>
      <c r="W489" s="25" t="str">
        <f>IFERROR(VLOOKUP(Caja_Arequipa[[#This Row],[destinatario]],CHOOSE({1,2},Clientes_Proveedores[Razon Social],Clientes_Proveedores[Ruc / Dni]),2,0),"")</f>
        <v/>
      </c>
      <c r="X489" s="3" t="s">
        <v>6039</v>
      </c>
      <c r="Y489" s="3"/>
      <c r="Z489" s="3"/>
      <c r="AA489" s="3"/>
      <c r="AB489" s="3" t="str">
        <f>IF(Caja_Arequipa[[#This Row],[fecha]]&gt;0,TEXT(Caja_Arequipa[[#This Row],[fecha]],"mmmm"),0)</f>
        <v>Junio</v>
      </c>
    </row>
    <row r="490" spans="1:28" x14ac:dyDescent="0.3">
      <c r="A490" s="2">
        <f>IF(Caja_Arequipa[[#This Row],[tipo_r]]="R",COUNTIFS($C$1:$C489,"R")+1,A489)</f>
        <v>436</v>
      </c>
      <c r="B490" s="19" t="str">
        <f t="shared" si="36"/>
        <v>C-Tesoreria</v>
      </c>
      <c r="C490" s="3" t="s">
        <v>1330</v>
      </c>
      <c r="D490" s="14">
        <v>45818</v>
      </c>
      <c r="E490" s="5" t="s">
        <v>1338</v>
      </c>
      <c r="F490" s="5" t="s">
        <v>1336</v>
      </c>
      <c r="G490" s="3" t="s">
        <v>5811</v>
      </c>
      <c r="H490" s="6"/>
      <c r="I490" s="6" t="s">
        <v>111</v>
      </c>
      <c r="J490" s="6">
        <v>3</v>
      </c>
      <c r="K490" s="6">
        <v>194</v>
      </c>
      <c r="L490" s="7" t="s">
        <v>6030</v>
      </c>
      <c r="M490" s="8" t="str">
        <f>IF(Caja_Arequipa[[#This Row],[tipo_r]]="R","001-"&amp;12002+A490,M489)</f>
        <v>001-12438</v>
      </c>
      <c r="N490" s="8" t="str">
        <f t="shared" si="39"/>
        <v>PEN</v>
      </c>
      <c r="O490" s="13"/>
      <c r="P490" s="13">
        <v>15</v>
      </c>
      <c r="Q490" s="3">
        <f t="shared" si="37"/>
        <v>0</v>
      </c>
      <c r="R490" s="3">
        <f t="shared" si="38"/>
        <v>15</v>
      </c>
      <c r="S490" s="3">
        <f t="shared" si="40"/>
        <v>411.39999999999895</v>
      </c>
      <c r="T490" s="24" t="s">
        <v>1334</v>
      </c>
      <c r="U490" s="24" t="s">
        <v>1334</v>
      </c>
      <c r="V490" s="3"/>
      <c r="W490" s="25" t="str">
        <f>IFERROR(VLOOKUP(Caja_Arequipa[[#This Row],[destinatario]],CHOOSE({1,2},Clientes_Proveedores[Razon Social],Clientes_Proveedores[Ruc / Dni]),2,0),"")</f>
        <v/>
      </c>
      <c r="X490" s="3" t="s">
        <v>6040</v>
      </c>
      <c r="Y490" s="3"/>
      <c r="Z490" s="3"/>
      <c r="AA490" s="3"/>
      <c r="AB490" s="3" t="str">
        <f>IF(Caja_Arequipa[[#This Row],[fecha]]&gt;0,TEXT(Caja_Arequipa[[#This Row],[fecha]],"mmmm"),0)</f>
        <v>Junio</v>
      </c>
    </row>
    <row r="491" spans="1:28" x14ac:dyDescent="0.3">
      <c r="A491" s="2">
        <f>IF(Caja_Arequipa[[#This Row],[tipo_r]]="R",COUNTIFS($C$1:$C490,"R")+1,A490)</f>
        <v>437</v>
      </c>
      <c r="B491" s="19" t="str">
        <f t="shared" si="36"/>
        <v>C-Tesoreria</v>
      </c>
      <c r="C491" s="3" t="s">
        <v>1330</v>
      </c>
      <c r="D491" s="14">
        <v>45818</v>
      </c>
      <c r="E491" s="5" t="s">
        <v>1416</v>
      </c>
      <c r="F491" s="5" t="s">
        <v>1303</v>
      </c>
      <c r="G491" s="3" t="s">
        <v>3634</v>
      </c>
      <c r="H491" s="6"/>
      <c r="I491" s="6"/>
      <c r="J491" s="6"/>
      <c r="K491" s="6"/>
      <c r="L491" s="7" t="s">
        <v>5340</v>
      </c>
      <c r="M491" s="8" t="str">
        <f>IF(Caja_Arequipa[[#This Row],[tipo_r]]="R","001-"&amp;12002+A491,M490)</f>
        <v>001-12439</v>
      </c>
      <c r="N491" s="8" t="str">
        <f t="shared" si="39"/>
        <v>PEN</v>
      </c>
      <c r="O491" s="13"/>
      <c r="P491" s="13">
        <v>300</v>
      </c>
      <c r="Q491" s="3">
        <f t="shared" si="37"/>
        <v>300</v>
      </c>
      <c r="R491" s="3">
        <f t="shared" si="38"/>
        <v>0</v>
      </c>
      <c r="S491" s="3">
        <f t="shared" si="40"/>
        <v>711.39999999999895</v>
      </c>
      <c r="T491" s="24"/>
      <c r="U491" s="24"/>
      <c r="V491" s="3"/>
      <c r="W491" s="25" t="str">
        <f>IFERROR(VLOOKUP(Caja_Arequipa[[#This Row],[destinatario]],CHOOSE({1,2},Clientes_Proveedores[Razon Social],Clientes_Proveedores[Ruc / Dni]),2,0),"")</f>
        <v/>
      </c>
      <c r="X491" s="3"/>
      <c r="Y491" s="3"/>
      <c r="Z491" s="3"/>
      <c r="AA491" s="3"/>
      <c r="AB491" s="3" t="str">
        <f>IF(Caja_Arequipa[[#This Row],[fecha]]&gt;0,TEXT(Caja_Arequipa[[#This Row],[fecha]],"mmmm"),0)</f>
        <v>Junio</v>
      </c>
    </row>
    <row r="492" spans="1:28" x14ac:dyDescent="0.3">
      <c r="A492" s="2">
        <f>IF(Caja_Arequipa[[#This Row],[tipo_r]]="R",COUNTIFS($C$1:$C491,"R")+1,A491)</f>
        <v>438</v>
      </c>
      <c r="B492" s="19" t="str">
        <f t="shared" si="36"/>
        <v>C-Tesoreria</v>
      </c>
      <c r="C492" s="3" t="s">
        <v>1330</v>
      </c>
      <c r="D492" s="14">
        <v>45818</v>
      </c>
      <c r="E492" s="5" t="s">
        <v>1338</v>
      </c>
      <c r="F492" s="5" t="s">
        <v>1336</v>
      </c>
      <c r="G492" s="3" t="s">
        <v>5274</v>
      </c>
      <c r="H492" s="6"/>
      <c r="I492" s="6"/>
      <c r="J492" s="6"/>
      <c r="K492" s="6"/>
      <c r="L492" s="7" t="s">
        <v>6041</v>
      </c>
      <c r="M492" s="8" t="str">
        <f>IF(Caja_Arequipa[[#This Row],[tipo_r]]="R","001-"&amp;12002+A492,M491)</f>
        <v>001-12440</v>
      </c>
      <c r="N492" s="8" t="str">
        <f t="shared" si="39"/>
        <v>PEN</v>
      </c>
      <c r="O492" s="13"/>
      <c r="P492" s="13">
        <v>200</v>
      </c>
      <c r="Q492" s="3">
        <f t="shared" si="37"/>
        <v>0</v>
      </c>
      <c r="R492" s="3">
        <f t="shared" si="38"/>
        <v>200</v>
      </c>
      <c r="S492" s="3">
        <f t="shared" si="40"/>
        <v>511.39999999999895</v>
      </c>
      <c r="T492" s="24" t="s">
        <v>1334</v>
      </c>
      <c r="U492" s="24" t="s">
        <v>1334</v>
      </c>
      <c r="V492" s="3"/>
      <c r="W492" s="25" t="str">
        <f>IFERROR(VLOOKUP(Caja_Arequipa[[#This Row],[destinatario]],CHOOSE({1,2},Clientes_Proveedores[Razon Social],Clientes_Proveedores[Ruc / Dni]),2,0),"")</f>
        <v/>
      </c>
      <c r="X492" s="3" t="s">
        <v>6042</v>
      </c>
      <c r="Y492" s="3"/>
      <c r="Z492" s="3"/>
      <c r="AA492" s="3"/>
      <c r="AB492" s="3" t="str">
        <f>IF(Caja_Arequipa[[#This Row],[fecha]]&gt;0,TEXT(Caja_Arequipa[[#This Row],[fecha]],"mmmm"),0)</f>
        <v>Junio</v>
      </c>
    </row>
    <row r="493" spans="1:28" ht="24" x14ac:dyDescent="0.3">
      <c r="A493" s="2">
        <f>IF(Caja_Arequipa[[#This Row],[tipo_r]]="R",COUNTIFS($C$1:$C492,"R")+1,A492)</f>
        <v>439</v>
      </c>
      <c r="B493" s="19" t="str">
        <f t="shared" si="36"/>
        <v>C-Tesoreria</v>
      </c>
      <c r="C493" s="3" t="s">
        <v>1330</v>
      </c>
      <c r="D493" s="14">
        <v>45819</v>
      </c>
      <c r="E493" s="5" t="s">
        <v>1338</v>
      </c>
      <c r="F493" s="5" t="s">
        <v>1336</v>
      </c>
      <c r="G493" s="3" t="s">
        <v>5248</v>
      </c>
      <c r="H493" s="6"/>
      <c r="I493" s="6" t="s">
        <v>130</v>
      </c>
      <c r="J493" s="6">
        <v>1</v>
      </c>
      <c r="K493" s="6">
        <v>145</v>
      </c>
      <c r="L493" s="7" t="s">
        <v>6043</v>
      </c>
      <c r="M493" s="8" t="str">
        <f>IF(Caja_Arequipa[[#This Row],[tipo_r]]="R","001-"&amp;12002+A493,M492)</f>
        <v>001-12441</v>
      </c>
      <c r="N493" s="8" t="str">
        <f t="shared" si="39"/>
        <v>PEN</v>
      </c>
      <c r="O493" s="13"/>
      <c r="P493" s="13">
        <v>100</v>
      </c>
      <c r="Q493" s="3">
        <f t="shared" si="37"/>
        <v>0</v>
      </c>
      <c r="R493" s="3">
        <f t="shared" si="38"/>
        <v>100</v>
      </c>
      <c r="S493" s="3">
        <f t="shared" si="40"/>
        <v>411.39999999999895</v>
      </c>
      <c r="T493" s="24"/>
      <c r="U493" s="24"/>
      <c r="V493" s="3"/>
      <c r="W493" s="25" t="str">
        <f>IFERROR(VLOOKUP(Caja_Arequipa[[#This Row],[destinatario]],CHOOSE({1,2},Clientes_Proveedores[Razon Social],Clientes_Proveedores[Ruc / Dni]),2,0),"")</f>
        <v/>
      </c>
      <c r="X493" s="3" t="s">
        <v>6044</v>
      </c>
      <c r="Y493" s="3"/>
      <c r="Z493" s="3"/>
      <c r="AA493" s="3"/>
      <c r="AB493" s="3" t="str">
        <f>IF(Caja_Arequipa[[#This Row],[fecha]]&gt;0,TEXT(Caja_Arequipa[[#This Row],[fecha]],"mmmm"),0)</f>
        <v>Junio</v>
      </c>
    </row>
    <row r="494" spans="1:28" x14ac:dyDescent="0.3">
      <c r="A494" s="2">
        <f>IF(Caja_Arequipa[[#This Row],[tipo_r]]="R",COUNTIFS($C$1:$C493,"R")+1,A493)</f>
        <v>440</v>
      </c>
      <c r="B494" s="19" t="str">
        <f t="shared" si="36"/>
        <v>C-Tesoreria</v>
      </c>
      <c r="C494" s="3" t="s">
        <v>1330</v>
      </c>
      <c r="D494" s="14">
        <v>45819</v>
      </c>
      <c r="E494" s="5" t="s">
        <v>1338</v>
      </c>
      <c r="F494" s="5" t="s">
        <v>1336</v>
      </c>
      <c r="G494" s="3" t="s">
        <v>5811</v>
      </c>
      <c r="H494" s="6"/>
      <c r="I494" s="6" t="s">
        <v>111</v>
      </c>
      <c r="J494" s="6">
        <v>3</v>
      </c>
      <c r="K494" s="6">
        <v>197</v>
      </c>
      <c r="L494" s="7" t="s">
        <v>6045</v>
      </c>
      <c r="M494" s="8" t="str">
        <f>IF(Caja_Arequipa[[#This Row],[tipo_r]]="R","001-"&amp;12002+A494,M493)</f>
        <v>001-12442</v>
      </c>
      <c r="N494" s="8" t="str">
        <f t="shared" si="39"/>
        <v>PEN</v>
      </c>
      <c r="O494" s="13"/>
      <c r="P494" s="13">
        <v>15</v>
      </c>
      <c r="Q494" s="3">
        <f t="shared" si="37"/>
        <v>0</v>
      </c>
      <c r="R494" s="3">
        <f t="shared" si="38"/>
        <v>15</v>
      </c>
      <c r="S494" s="3">
        <f t="shared" si="40"/>
        <v>396.39999999999895</v>
      </c>
      <c r="T494" s="24" t="s">
        <v>1334</v>
      </c>
      <c r="U494" s="24" t="s">
        <v>1334</v>
      </c>
      <c r="V494" s="3"/>
      <c r="W494" s="25" t="str">
        <f>IFERROR(VLOOKUP(Caja_Arequipa[[#This Row],[destinatario]],CHOOSE({1,2},Clientes_Proveedores[Razon Social],Clientes_Proveedores[Ruc / Dni]),2,0),"")</f>
        <v/>
      </c>
      <c r="X494" s="3" t="s">
        <v>6046</v>
      </c>
      <c r="Y494" s="3"/>
      <c r="Z494" s="3"/>
      <c r="AA494" s="3"/>
      <c r="AB494" s="3" t="str">
        <f>IF(Caja_Arequipa[[#This Row],[fecha]]&gt;0,TEXT(Caja_Arequipa[[#This Row],[fecha]],"mmmm"),0)</f>
        <v>Junio</v>
      </c>
    </row>
    <row r="495" spans="1:28" x14ac:dyDescent="0.3">
      <c r="A495" s="2">
        <f>IF(Caja_Arequipa[[#This Row],[tipo_r]]="R",COUNTIFS($C$1:$C494,"R")+1,A494)</f>
        <v>441</v>
      </c>
      <c r="B495" s="19" t="str">
        <f t="shared" si="36"/>
        <v>C-Tesoreria</v>
      </c>
      <c r="C495" s="3" t="s">
        <v>1330</v>
      </c>
      <c r="D495" s="14">
        <v>45820</v>
      </c>
      <c r="E495" s="5" t="s">
        <v>1416</v>
      </c>
      <c r="F495" s="5" t="s">
        <v>1303</v>
      </c>
      <c r="G495" s="3" t="s">
        <v>3634</v>
      </c>
      <c r="H495" s="6"/>
      <c r="I495" s="6"/>
      <c r="J495" s="6"/>
      <c r="K495" s="6"/>
      <c r="L495" s="7" t="s">
        <v>3391</v>
      </c>
      <c r="M495" s="8" t="str">
        <f>IF(Caja_Arequipa[[#This Row],[tipo_r]]="R","001-"&amp;12002+A495,M494)</f>
        <v>001-12443</v>
      </c>
      <c r="N495" s="8" t="str">
        <f t="shared" si="39"/>
        <v>PEN</v>
      </c>
      <c r="O495" s="13"/>
      <c r="P495" s="13">
        <v>1960.3</v>
      </c>
      <c r="Q495" s="3">
        <f t="shared" si="37"/>
        <v>1960.3</v>
      </c>
      <c r="R495" s="3">
        <f t="shared" si="38"/>
        <v>0</v>
      </c>
      <c r="S495" s="3">
        <f t="shared" si="40"/>
        <v>2356.6999999999989</v>
      </c>
      <c r="T495" s="24"/>
      <c r="U495" s="24"/>
      <c r="V495" s="3"/>
      <c r="W495" s="25" t="str">
        <f>IFERROR(VLOOKUP(Caja_Arequipa[[#This Row],[destinatario]],CHOOSE({1,2},Clientes_Proveedores[Razon Social],Clientes_Proveedores[Ruc / Dni]),2,0),"")</f>
        <v/>
      </c>
      <c r="X495" s="3"/>
      <c r="Y495" s="3"/>
      <c r="Z495" s="3"/>
      <c r="AA495" s="3"/>
      <c r="AB495" s="3" t="str">
        <f>IF(Caja_Arequipa[[#This Row],[fecha]]&gt;0,TEXT(Caja_Arequipa[[#This Row],[fecha]],"mmmm"),0)</f>
        <v>Junio</v>
      </c>
    </row>
    <row r="496" spans="1:28" x14ac:dyDescent="0.3">
      <c r="A496" s="2">
        <f>IF(Caja_Arequipa[[#This Row],[tipo_r]]="R",COUNTIFS($C$1:$C495,"R")+1,A495)</f>
        <v>442</v>
      </c>
      <c r="B496" s="19" t="str">
        <f t="shared" si="36"/>
        <v>C-Tesoreria</v>
      </c>
      <c r="C496" s="3" t="s">
        <v>1330</v>
      </c>
      <c r="D496" s="14">
        <v>45820</v>
      </c>
      <c r="E496" s="5" t="s">
        <v>1338</v>
      </c>
      <c r="F496" s="5" t="s">
        <v>1336</v>
      </c>
      <c r="G496" s="3" t="s">
        <v>5380</v>
      </c>
      <c r="H496" s="6"/>
      <c r="I496" s="6"/>
      <c r="J496" s="6"/>
      <c r="K496" s="6"/>
      <c r="L496" s="7" t="s">
        <v>6047</v>
      </c>
      <c r="M496" s="8" t="str">
        <f>IF(Caja_Arequipa[[#This Row],[tipo_r]]="R","001-"&amp;12002+A496,M495)</f>
        <v>001-12444</v>
      </c>
      <c r="N496" s="8" t="str">
        <f t="shared" si="39"/>
        <v>PEN</v>
      </c>
      <c r="O496" s="13"/>
      <c r="P496" s="13">
        <v>170</v>
      </c>
      <c r="Q496" s="3">
        <f t="shared" si="37"/>
        <v>0</v>
      </c>
      <c r="R496" s="3">
        <f t="shared" si="38"/>
        <v>170</v>
      </c>
      <c r="S496" s="3">
        <f t="shared" si="40"/>
        <v>2186.6999999999989</v>
      </c>
      <c r="T496" s="24" t="s">
        <v>1334</v>
      </c>
      <c r="U496" s="24" t="s">
        <v>1334</v>
      </c>
      <c r="V496" s="3"/>
      <c r="W496" s="25" t="str">
        <f>IFERROR(VLOOKUP(Caja_Arequipa[[#This Row],[destinatario]],CHOOSE({1,2},Clientes_Proveedores[Razon Social],Clientes_Proveedores[Ruc / Dni]),2,0),"")</f>
        <v/>
      </c>
      <c r="X496" s="3" t="s">
        <v>6048</v>
      </c>
      <c r="Y496" s="3"/>
      <c r="Z496" s="3"/>
      <c r="AA496" s="3"/>
      <c r="AB496" s="3" t="str">
        <f>IF(Caja_Arequipa[[#This Row],[fecha]]&gt;0,TEXT(Caja_Arequipa[[#This Row],[fecha]],"mmmm"),0)</f>
        <v>Junio</v>
      </c>
    </row>
    <row r="497" spans="1:28" ht="60" x14ac:dyDescent="0.3">
      <c r="A497" s="2">
        <f>IF(Caja_Arequipa[[#This Row],[tipo_r]]="R",COUNTIFS($C$1:$C496,"R")+1,A496)</f>
        <v>443</v>
      </c>
      <c r="B497" s="19" t="str">
        <f t="shared" si="36"/>
        <v>C-Tesoreria</v>
      </c>
      <c r="C497" s="3" t="s">
        <v>1330</v>
      </c>
      <c r="D497" s="14">
        <v>45820</v>
      </c>
      <c r="E497" s="5" t="s">
        <v>1338</v>
      </c>
      <c r="F497" s="5" t="s">
        <v>1336</v>
      </c>
      <c r="G497" s="3" t="s">
        <v>5274</v>
      </c>
      <c r="H497" s="6"/>
      <c r="I497" s="6"/>
      <c r="J497" s="6"/>
      <c r="K497" s="6"/>
      <c r="L497" s="7" t="s">
        <v>6030</v>
      </c>
      <c r="M497" s="8" t="str">
        <f>IF(Caja_Arequipa[[#This Row],[tipo_r]]="R","001-"&amp;12002+A497,M496)</f>
        <v>001-12445</v>
      </c>
      <c r="N497" s="8" t="str">
        <f t="shared" si="39"/>
        <v>PEN</v>
      </c>
      <c r="O497" s="13"/>
      <c r="P497" s="13">
        <v>190</v>
      </c>
      <c r="Q497" s="3">
        <f t="shared" si="37"/>
        <v>0</v>
      </c>
      <c r="R497" s="3">
        <f t="shared" si="38"/>
        <v>190</v>
      </c>
      <c r="S497" s="3">
        <f t="shared" si="40"/>
        <v>1996.6999999999989</v>
      </c>
      <c r="T497" s="24" t="s">
        <v>1334</v>
      </c>
      <c r="U497" s="24" t="s">
        <v>1334</v>
      </c>
      <c r="V497" s="3"/>
      <c r="W497" s="25" t="str">
        <f>IFERROR(VLOOKUP(Caja_Arequipa[[#This Row],[destinatario]],CHOOSE({1,2},Clientes_Proveedores[Razon Social],Clientes_Proveedores[Ruc / Dni]),2,0),"")</f>
        <v/>
      </c>
      <c r="X497" s="3" t="s">
        <v>6049</v>
      </c>
      <c r="Y497" s="3"/>
      <c r="Z497" s="3"/>
      <c r="AA497" s="3"/>
      <c r="AB497" s="3" t="str">
        <f>IF(Caja_Arequipa[[#This Row],[fecha]]&gt;0,TEXT(Caja_Arequipa[[#This Row],[fecha]],"mmmm"),0)</f>
        <v>Junio</v>
      </c>
    </row>
    <row r="498" spans="1:28" x14ac:dyDescent="0.3">
      <c r="A498" s="2">
        <f>IF(Caja_Arequipa[[#This Row],[tipo_r]]="R",COUNTIFS($C$1:$C497,"R")+1,A497)</f>
        <v>443</v>
      </c>
      <c r="B498" s="19" t="str">
        <f>"C-Tesoreria"</f>
        <v>C-Tesoreria</v>
      </c>
      <c r="C498" s="3" t="s">
        <v>1352</v>
      </c>
      <c r="D498" s="14">
        <v>45820</v>
      </c>
      <c r="E498" s="5" t="s">
        <v>1338</v>
      </c>
      <c r="F498" s="5" t="s">
        <v>1336</v>
      </c>
      <c r="G498" s="3" t="s">
        <v>5274</v>
      </c>
      <c r="H498" s="6"/>
      <c r="I498" s="6" t="s">
        <v>111</v>
      </c>
      <c r="J498" s="6">
        <v>3</v>
      </c>
      <c r="K498" s="6">
        <v>198</v>
      </c>
      <c r="L498" s="7" t="s">
        <v>6030</v>
      </c>
      <c r="M498" s="8" t="str">
        <f>IF(Caja_Arequipa[[#This Row],[tipo_r]]="R","001-"&amp;12002+A498,M497)</f>
        <v>001-12445</v>
      </c>
      <c r="N498" s="8" t="str">
        <f>"PEN"</f>
        <v>PEN</v>
      </c>
      <c r="O498" s="13">
        <v>38</v>
      </c>
      <c r="P498" s="13"/>
      <c r="Q498" s="3">
        <f>+IF(OR($F498="SALDO",$F498="INGRESO"),$P498,0)</f>
        <v>0</v>
      </c>
      <c r="R498" s="3">
        <f>+IF($F498="EGRESO",$P498,0)</f>
        <v>0</v>
      </c>
      <c r="S498" s="3">
        <f t="shared" si="40"/>
        <v>1996.6999999999989</v>
      </c>
      <c r="T498" s="24"/>
      <c r="U498" s="24"/>
      <c r="V498" s="3"/>
      <c r="W498" s="25" t="str">
        <f>IFERROR(VLOOKUP(Caja_Arequipa[[#This Row],[destinatario]],CHOOSE({1,2},Clientes_Proveedores[Razon Social],Clientes_Proveedores[Ruc / Dni]),2,0),"")</f>
        <v/>
      </c>
      <c r="X498" s="3"/>
      <c r="Y498" s="3"/>
      <c r="Z498" s="3"/>
      <c r="AA498" s="3"/>
      <c r="AB498" s="3" t="str">
        <f>IF(Caja_Arequipa[[#This Row],[fecha]]&gt;0,TEXT(Caja_Arequipa[[#This Row],[fecha]],"mmmm"),0)</f>
        <v>Junio</v>
      </c>
    </row>
    <row r="499" spans="1:28" x14ac:dyDescent="0.3">
      <c r="A499" s="2">
        <f>IF(Caja_Arequipa[[#This Row],[tipo_r]]="R",COUNTIFS($C$1:$C498,"R")+1,A498)</f>
        <v>443</v>
      </c>
      <c r="B499" s="19" t="str">
        <f>"C-Tesoreria"</f>
        <v>C-Tesoreria</v>
      </c>
      <c r="C499" s="3" t="s">
        <v>1352</v>
      </c>
      <c r="D499" s="14">
        <v>45820</v>
      </c>
      <c r="E499" s="5" t="s">
        <v>1338</v>
      </c>
      <c r="F499" s="5" t="s">
        <v>1336</v>
      </c>
      <c r="G499" s="3" t="s">
        <v>5274</v>
      </c>
      <c r="H499" s="6"/>
      <c r="I499" s="6" t="s">
        <v>111</v>
      </c>
      <c r="J499" s="6">
        <v>3</v>
      </c>
      <c r="K499" s="6">
        <v>199</v>
      </c>
      <c r="L499" s="7" t="s">
        <v>6030</v>
      </c>
      <c r="M499" s="8" t="str">
        <f>IF(Caja_Arequipa[[#This Row],[tipo_r]]="R","001-"&amp;12002+A499,M498)</f>
        <v>001-12445</v>
      </c>
      <c r="N499" s="8" t="str">
        <f>"PEN"</f>
        <v>PEN</v>
      </c>
      <c r="O499" s="13">
        <v>38</v>
      </c>
      <c r="P499" s="13"/>
      <c r="Q499" s="3">
        <f>+IF(OR($F499="SALDO",$F499="INGRESO"),$P499,0)</f>
        <v>0</v>
      </c>
      <c r="R499" s="3">
        <f>+IF($F499="EGRESO",$P499,0)</f>
        <v>0</v>
      </c>
      <c r="S499" s="3">
        <f t="shared" si="40"/>
        <v>1996.6999999999989</v>
      </c>
      <c r="T499" s="24"/>
      <c r="U499" s="24"/>
      <c r="V499" s="3"/>
      <c r="W499" s="25" t="str">
        <f>IFERROR(VLOOKUP(Caja_Arequipa[[#This Row],[destinatario]],CHOOSE({1,2},Clientes_Proveedores[Razon Social],Clientes_Proveedores[Ruc / Dni]),2,0),"")</f>
        <v/>
      </c>
      <c r="X499" s="3"/>
      <c r="Y499" s="3"/>
      <c r="Z499" s="3"/>
      <c r="AA499" s="3"/>
      <c r="AB499" s="3" t="str">
        <f>IF(Caja_Arequipa[[#This Row],[fecha]]&gt;0,TEXT(Caja_Arequipa[[#This Row],[fecha]],"mmmm"),0)</f>
        <v>Junio</v>
      </c>
    </row>
    <row r="500" spans="1:28" x14ac:dyDescent="0.3">
      <c r="A500" s="2">
        <f>IF(Caja_Arequipa[[#This Row],[tipo_r]]="R",COUNTIFS($C$1:$C499,"R")+1,A499)</f>
        <v>443</v>
      </c>
      <c r="B500" s="19" t="str">
        <f>"C-Tesoreria"</f>
        <v>C-Tesoreria</v>
      </c>
      <c r="C500" s="3" t="s">
        <v>1352</v>
      </c>
      <c r="D500" s="14">
        <v>45820</v>
      </c>
      <c r="E500" s="5" t="s">
        <v>1338</v>
      </c>
      <c r="F500" s="5" t="s">
        <v>1336</v>
      </c>
      <c r="G500" s="3" t="s">
        <v>5274</v>
      </c>
      <c r="H500" s="6"/>
      <c r="I500" s="6" t="s">
        <v>111</v>
      </c>
      <c r="J500" s="6">
        <v>3</v>
      </c>
      <c r="K500" s="6">
        <v>200</v>
      </c>
      <c r="L500" s="7" t="s">
        <v>6030</v>
      </c>
      <c r="M500" s="8" t="str">
        <f>IF(Caja_Arequipa[[#This Row],[tipo_r]]="R","001-"&amp;12002+A500,M499)</f>
        <v>001-12445</v>
      </c>
      <c r="N500" s="8" t="str">
        <f>"PEN"</f>
        <v>PEN</v>
      </c>
      <c r="O500" s="13">
        <v>38</v>
      </c>
      <c r="P500" s="13"/>
      <c r="Q500" s="3">
        <f>+IF(OR($F500="SALDO",$F500="INGRESO"),$P500,0)</f>
        <v>0</v>
      </c>
      <c r="R500" s="3">
        <f>+IF($F500="EGRESO",$P500,0)</f>
        <v>0</v>
      </c>
      <c r="S500" s="3">
        <f t="shared" si="40"/>
        <v>1996.6999999999989</v>
      </c>
      <c r="T500" s="24"/>
      <c r="U500" s="24"/>
      <c r="V500" s="3"/>
      <c r="W500" s="25" t="str">
        <f>IFERROR(VLOOKUP(Caja_Arequipa[[#This Row],[destinatario]],CHOOSE({1,2},Clientes_Proveedores[Razon Social],Clientes_Proveedores[Ruc / Dni]),2,0),"")</f>
        <v/>
      </c>
      <c r="X500" s="3"/>
      <c r="Y500" s="3"/>
      <c r="Z500" s="3"/>
      <c r="AA500" s="3"/>
      <c r="AB500" s="3" t="str">
        <f>IF(Caja_Arequipa[[#This Row],[fecha]]&gt;0,TEXT(Caja_Arequipa[[#This Row],[fecha]],"mmmm"),0)</f>
        <v>Junio</v>
      </c>
    </row>
    <row r="501" spans="1:28" x14ac:dyDescent="0.3">
      <c r="A501" s="2">
        <f>IF(Caja_Arequipa[[#This Row],[tipo_r]]="R",COUNTIFS($C$1:$C500,"R")+1,A500)</f>
        <v>443</v>
      </c>
      <c r="B501" s="19" t="str">
        <f>"C-Tesoreria"</f>
        <v>C-Tesoreria</v>
      </c>
      <c r="C501" s="3" t="s">
        <v>1352</v>
      </c>
      <c r="D501" s="14">
        <v>45820</v>
      </c>
      <c r="E501" s="5" t="s">
        <v>1338</v>
      </c>
      <c r="F501" s="5" t="s">
        <v>1336</v>
      </c>
      <c r="G501" s="3" t="s">
        <v>5274</v>
      </c>
      <c r="H501" s="6"/>
      <c r="I501" s="6" t="s">
        <v>111</v>
      </c>
      <c r="J501" s="6">
        <v>3</v>
      </c>
      <c r="K501" s="6">
        <v>201</v>
      </c>
      <c r="L501" s="7" t="s">
        <v>6030</v>
      </c>
      <c r="M501" s="8" t="str">
        <f>IF(Caja_Arequipa[[#This Row],[tipo_r]]="R","001-"&amp;12002+A501,M500)</f>
        <v>001-12445</v>
      </c>
      <c r="N501" s="8" t="str">
        <f>"PEN"</f>
        <v>PEN</v>
      </c>
      <c r="O501" s="13">
        <v>38</v>
      </c>
      <c r="P501" s="13"/>
      <c r="Q501" s="3">
        <f>+IF(OR($F501="SALDO",$F501="INGRESO"),$P501,0)</f>
        <v>0</v>
      </c>
      <c r="R501" s="3">
        <f>+IF($F501="EGRESO",$P501,0)</f>
        <v>0</v>
      </c>
      <c r="S501" s="3">
        <f t="shared" si="40"/>
        <v>1996.6999999999989</v>
      </c>
      <c r="T501" s="24"/>
      <c r="U501" s="24"/>
      <c r="V501" s="3"/>
      <c r="W501" s="25" t="str">
        <f>IFERROR(VLOOKUP(Caja_Arequipa[[#This Row],[destinatario]],CHOOSE({1,2},Clientes_Proveedores[Razon Social],Clientes_Proveedores[Ruc / Dni]),2,0),"")</f>
        <v/>
      </c>
      <c r="X501" s="3"/>
      <c r="Y501" s="3"/>
      <c r="Z501" s="3"/>
      <c r="AA501" s="3"/>
      <c r="AB501" s="3" t="str">
        <f>IF(Caja_Arequipa[[#This Row],[fecha]]&gt;0,TEXT(Caja_Arequipa[[#This Row],[fecha]],"mmmm"),0)</f>
        <v>Junio</v>
      </c>
    </row>
    <row r="502" spans="1:28" x14ac:dyDescent="0.3">
      <c r="A502" s="2">
        <f>IF(Caja_Arequipa[[#This Row],[tipo_r]]="R",COUNTIFS($C$1:$C501,"R")+1,A501)</f>
        <v>443</v>
      </c>
      <c r="B502" s="19" t="str">
        <f>"C-Tesoreria"</f>
        <v>C-Tesoreria</v>
      </c>
      <c r="C502" s="3" t="s">
        <v>1352</v>
      </c>
      <c r="D502" s="14">
        <v>45820</v>
      </c>
      <c r="E502" s="5" t="s">
        <v>1338</v>
      </c>
      <c r="F502" s="5" t="s">
        <v>1336</v>
      </c>
      <c r="G502" s="3" t="s">
        <v>5274</v>
      </c>
      <c r="H502" s="6"/>
      <c r="I502" s="6" t="s">
        <v>111</v>
      </c>
      <c r="J502" s="6">
        <v>3</v>
      </c>
      <c r="K502" s="6">
        <v>202</v>
      </c>
      <c r="L502" s="7" t="s">
        <v>6030</v>
      </c>
      <c r="M502" s="8" t="str">
        <f>IF(Caja_Arequipa[[#This Row],[tipo_r]]="R","001-"&amp;12002+A502,M501)</f>
        <v>001-12445</v>
      </c>
      <c r="N502" s="8" t="str">
        <f>"PEN"</f>
        <v>PEN</v>
      </c>
      <c r="O502" s="13">
        <v>38</v>
      </c>
      <c r="P502" s="13"/>
      <c r="Q502" s="3">
        <f>+IF(OR($F502="SALDO",$F502="INGRESO"),$P502,0)</f>
        <v>0</v>
      </c>
      <c r="R502" s="3">
        <f>+IF($F502="EGRESO",$P502,0)</f>
        <v>0</v>
      </c>
      <c r="S502" s="3">
        <f t="shared" si="40"/>
        <v>1996.6999999999989</v>
      </c>
      <c r="T502" s="24"/>
      <c r="U502" s="24"/>
      <c r="V502" s="3"/>
      <c r="W502" s="25" t="str">
        <f>IFERROR(VLOOKUP(Caja_Arequipa[[#This Row],[destinatario]],CHOOSE({1,2},Clientes_Proveedores[Razon Social],Clientes_Proveedores[Ruc / Dni]),2,0),"")</f>
        <v/>
      </c>
      <c r="X502" s="3"/>
      <c r="Y502" s="3"/>
      <c r="Z502" s="3"/>
      <c r="AA502" s="3"/>
      <c r="AB502" s="3" t="str">
        <f>IF(Caja_Arequipa[[#This Row],[fecha]]&gt;0,TEXT(Caja_Arequipa[[#This Row],[fecha]],"mmmm"),0)</f>
        <v>Junio</v>
      </c>
    </row>
    <row r="503" spans="1:28" ht="24" x14ac:dyDescent="0.3">
      <c r="A503" s="2">
        <f>IF(Caja_Arequipa[[#This Row],[tipo_r]]="R",COUNTIFS($C$1:$C502,"R")+1,A502)</f>
        <v>444</v>
      </c>
      <c r="B503" s="19" t="str">
        <f t="shared" ref="B503:B570" si="41">"C-Tesoreria"</f>
        <v>C-Tesoreria</v>
      </c>
      <c r="C503" s="3" t="s">
        <v>1330</v>
      </c>
      <c r="D503" s="14">
        <v>45820</v>
      </c>
      <c r="E503" s="5" t="s">
        <v>1338</v>
      </c>
      <c r="F503" s="5" t="s">
        <v>1336</v>
      </c>
      <c r="G503" s="3" t="s">
        <v>5274</v>
      </c>
      <c r="H503" s="6"/>
      <c r="I503" s="6"/>
      <c r="J503" s="6"/>
      <c r="K503" s="6"/>
      <c r="L503" s="7" t="s">
        <v>6045</v>
      </c>
      <c r="M503" s="8" t="str">
        <f>IF(Caja_Arequipa[[#This Row],[tipo_r]]="R","001-"&amp;12002+A503,M502)</f>
        <v>001-12446</v>
      </c>
      <c r="N503" s="8" t="str">
        <f t="shared" si="39"/>
        <v>PEN</v>
      </c>
      <c r="O503" s="13"/>
      <c r="P503" s="13">
        <v>70</v>
      </c>
      <c r="Q503" s="3">
        <f t="shared" ref="Q503:Q570" si="42">+IF(OR($F503="SALDO",$F503="INGRESO"),$P503,0)</f>
        <v>0</v>
      </c>
      <c r="R503" s="3">
        <f t="shared" ref="R503:R570" si="43">+IF($F503="EGRESO",$P503,0)</f>
        <v>70</v>
      </c>
      <c r="S503" s="3">
        <f t="shared" si="40"/>
        <v>1926.6999999999989</v>
      </c>
      <c r="T503" s="24" t="s">
        <v>1334</v>
      </c>
      <c r="U503" s="24" t="s">
        <v>1334</v>
      </c>
      <c r="V503" s="3"/>
      <c r="W503" s="25" t="str">
        <f>IFERROR(VLOOKUP(Caja_Arequipa[[#This Row],[destinatario]],CHOOSE({1,2},Clientes_Proveedores[Razon Social],Clientes_Proveedores[Ruc / Dni]),2,0),"")</f>
        <v/>
      </c>
      <c r="X503" s="3" t="s">
        <v>6050</v>
      </c>
      <c r="Y503" s="3"/>
      <c r="Z503" s="3"/>
      <c r="AA503" s="3"/>
      <c r="AB503" s="3" t="str">
        <f>IF(Caja_Arequipa[[#This Row],[fecha]]&gt;0,TEXT(Caja_Arequipa[[#This Row],[fecha]],"mmmm"),0)</f>
        <v>Junio</v>
      </c>
    </row>
    <row r="504" spans="1:28" x14ac:dyDescent="0.3">
      <c r="A504" s="2">
        <f>IF(Caja_Arequipa[[#This Row],[tipo_r]]="R",COUNTIFS($C$1:$C503,"R")+1,A503)</f>
        <v>444</v>
      </c>
      <c r="B504" s="19" t="str">
        <f>"C-Tesoreria"</f>
        <v>C-Tesoreria</v>
      </c>
      <c r="C504" s="3" t="s">
        <v>1352</v>
      </c>
      <c r="D504" s="14">
        <v>45820</v>
      </c>
      <c r="E504" s="5" t="s">
        <v>1338</v>
      </c>
      <c r="F504" s="5" t="s">
        <v>1336</v>
      </c>
      <c r="G504" s="3" t="s">
        <v>5274</v>
      </c>
      <c r="H504" s="6"/>
      <c r="I504" s="6" t="s">
        <v>111</v>
      </c>
      <c r="J504" s="6">
        <v>3</v>
      </c>
      <c r="K504" s="6">
        <v>195</v>
      </c>
      <c r="L504" s="7" t="s">
        <v>6045</v>
      </c>
      <c r="M504" s="8" t="str">
        <f>IF(Caja_Arequipa[[#This Row],[tipo_r]]="R","001-"&amp;12002+A504,M503)</f>
        <v>001-12446</v>
      </c>
      <c r="N504" s="8" t="str">
        <f>"PEN"</f>
        <v>PEN</v>
      </c>
      <c r="O504" s="13">
        <v>40</v>
      </c>
      <c r="P504" s="13"/>
      <c r="Q504" s="3">
        <f>+IF(OR($F504="SALDO",$F504="INGRESO"),$P504,0)</f>
        <v>0</v>
      </c>
      <c r="R504" s="3">
        <f>+IF($F504="EGRESO",$P504,0)</f>
        <v>0</v>
      </c>
      <c r="S504" s="3">
        <f t="shared" si="40"/>
        <v>1926.6999999999989</v>
      </c>
      <c r="T504" s="24"/>
      <c r="U504" s="24"/>
      <c r="V504" s="3"/>
      <c r="W504" s="25" t="str">
        <f>IFERROR(VLOOKUP(Caja_Arequipa[[#This Row],[destinatario]],CHOOSE({1,2},Clientes_Proveedores[Razon Social],Clientes_Proveedores[Ruc / Dni]),2,0),"")</f>
        <v/>
      </c>
      <c r="X504" s="3"/>
      <c r="Y504" s="3"/>
      <c r="Z504" s="3"/>
      <c r="AA504" s="3"/>
      <c r="AB504" s="3" t="str">
        <f>IF(Caja_Arequipa[[#This Row],[fecha]]&gt;0,TEXT(Caja_Arequipa[[#This Row],[fecha]],"mmmm"),0)</f>
        <v>Junio</v>
      </c>
    </row>
    <row r="505" spans="1:28" x14ac:dyDescent="0.3">
      <c r="A505" s="2">
        <f>IF(Caja_Arequipa[[#This Row],[tipo_r]]="R",COUNTIFS($C$1:$C504,"R")+1,A504)</f>
        <v>444</v>
      </c>
      <c r="B505" s="19" t="str">
        <f>"C-Tesoreria"</f>
        <v>C-Tesoreria</v>
      </c>
      <c r="C505" s="3" t="s">
        <v>1352</v>
      </c>
      <c r="D505" s="14">
        <v>45820</v>
      </c>
      <c r="E505" s="5" t="s">
        <v>1338</v>
      </c>
      <c r="F505" s="5" t="s">
        <v>1336</v>
      </c>
      <c r="G505" s="3" t="s">
        <v>5274</v>
      </c>
      <c r="H505" s="6"/>
      <c r="I505" s="6" t="s">
        <v>111</v>
      </c>
      <c r="J505" s="6">
        <v>3</v>
      </c>
      <c r="K505" s="6">
        <v>196</v>
      </c>
      <c r="L505" s="7" t="s">
        <v>6045</v>
      </c>
      <c r="M505" s="8" t="str">
        <f>IF(Caja_Arequipa[[#This Row],[tipo_r]]="R","001-"&amp;12002+A505,M504)</f>
        <v>001-12446</v>
      </c>
      <c r="N505" s="8" t="str">
        <f>"PEN"</f>
        <v>PEN</v>
      </c>
      <c r="O505" s="13">
        <v>30</v>
      </c>
      <c r="P505" s="13"/>
      <c r="Q505" s="3">
        <f>+IF(OR($F505="SALDO",$F505="INGRESO"),$P505,0)</f>
        <v>0</v>
      </c>
      <c r="R505" s="3">
        <f>+IF($F505="EGRESO",$P505,0)</f>
        <v>0</v>
      </c>
      <c r="S505" s="3">
        <f t="shared" si="40"/>
        <v>1926.6999999999989</v>
      </c>
      <c r="T505" s="24"/>
      <c r="U505" s="24"/>
      <c r="V505" s="3"/>
      <c r="W505" s="25" t="str">
        <f>IFERROR(VLOOKUP(Caja_Arequipa[[#This Row],[destinatario]],CHOOSE({1,2},Clientes_Proveedores[Razon Social],Clientes_Proveedores[Ruc / Dni]),2,0),"")</f>
        <v/>
      </c>
      <c r="X505" s="3"/>
      <c r="Y505" s="3"/>
      <c r="Z505" s="3"/>
      <c r="AA505" s="3"/>
      <c r="AB505" s="3" t="str">
        <f>IF(Caja_Arequipa[[#This Row],[fecha]]&gt;0,TEXT(Caja_Arequipa[[#This Row],[fecha]],"mmmm"),0)</f>
        <v>Junio</v>
      </c>
    </row>
    <row r="506" spans="1:28" x14ac:dyDescent="0.3">
      <c r="A506" s="2">
        <f>IF(Caja_Arequipa[[#This Row],[tipo_r]]="R",COUNTIFS($C$1:$C505,"R")+1,A505)</f>
        <v>445</v>
      </c>
      <c r="B506" s="19" t="str">
        <f t="shared" si="41"/>
        <v>C-Tesoreria</v>
      </c>
      <c r="C506" s="3" t="s">
        <v>1330</v>
      </c>
      <c r="D506" s="14">
        <v>45820</v>
      </c>
      <c r="E506" s="5" t="s">
        <v>1338</v>
      </c>
      <c r="F506" s="5" t="s">
        <v>1336</v>
      </c>
      <c r="G506" s="3" t="s">
        <v>5274</v>
      </c>
      <c r="H506" s="6"/>
      <c r="I506" s="6"/>
      <c r="J506" s="6"/>
      <c r="K506" s="6"/>
      <c r="L506" s="7" t="s">
        <v>6051</v>
      </c>
      <c r="M506" s="8" t="str">
        <f>IF(Caja_Arequipa[[#This Row],[tipo_r]]="R","001-"&amp;12002+A506,M505)</f>
        <v>001-12447</v>
      </c>
      <c r="N506" s="8" t="str">
        <f t="shared" si="39"/>
        <v>PEN</v>
      </c>
      <c r="O506" s="13"/>
      <c r="P506" s="13">
        <v>68</v>
      </c>
      <c r="Q506" s="3">
        <f t="shared" si="42"/>
        <v>0</v>
      </c>
      <c r="R506" s="3">
        <f t="shared" si="43"/>
        <v>68</v>
      </c>
      <c r="S506" s="3">
        <f t="shared" si="40"/>
        <v>1858.6999999999989</v>
      </c>
      <c r="T506" s="24" t="s">
        <v>1334</v>
      </c>
      <c r="U506" s="24" t="s">
        <v>1334</v>
      </c>
      <c r="V506" s="3"/>
      <c r="W506" s="25" t="str">
        <f>IFERROR(VLOOKUP(Caja_Arequipa[[#This Row],[destinatario]],CHOOSE({1,2},Clientes_Proveedores[Razon Social],Clientes_Proveedores[Ruc / Dni]),2,0),"")</f>
        <v/>
      </c>
      <c r="X506" s="3" t="s">
        <v>6052</v>
      </c>
      <c r="Y506" s="3"/>
      <c r="Z506" s="3"/>
      <c r="AA506" s="3"/>
      <c r="AB506" s="3" t="str">
        <f>IF(Caja_Arequipa[[#This Row],[fecha]]&gt;0,TEXT(Caja_Arequipa[[#This Row],[fecha]],"mmmm"),0)</f>
        <v>Junio</v>
      </c>
    </row>
    <row r="507" spans="1:28" x14ac:dyDescent="0.3">
      <c r="A507" s="2">
        <f>IF(Caja_Arequipa[[#This Row],[tipo_r]]="R",COUNTIFS($C$1:$C506,"R")+1,A506)</f>
        <v>446</v>
      </c>
      <c r="B507" s="19" t="str">
        <f t="shared" si="41"/>
        <v>C-Tesoreria</v>
      </c>
      <c r="C507" s="3" t="s">
        <v>1330</v>
      </c>
      <c r="D507" s="14">
        <v>45820</v>
      </c>
      <c r="E507" s="5" t="s">
        <v>1338</v>
      </c>
      <c r="F507" s="5" t="s">
        <v>1336</v>
      </c>
      <c r="G507" s="3" t="s">
        <v>5811</v>
      </c>
      <c r="H507" s="6"/>
      <c r="I507" s="6" t="s">
        <v>111</v>
      </c>
      <c r="J507" s="6">
        <v>3</v>
      </c>
      <c r="K507" s="6">
        <v>203</v>
      </c>
      <c r="L507" s="7" t="s">
        <v>6053</v>
      </c>
      <c r="M507" s="8" t="str">
        <f>IF(Caja_Arequipa[[#This Row],[tipo_r]]="R","001-"&amp;12002+A507,M506)</f>
        <v>001-12448</v>
      </c>
      <c r="N507" s="8" t="str">
        <f t="shared" si="39"/>
        <v>PEN</v>
      </c>
      <c r="O507" s="13"/>
      <c r="P507" s="13">
        <v>36</v>
      </c>
      <c r="Q507" s="3">
        <f t="shared" si="42"/>
        <v>0</v>
      </c>
      <c r="R507" s="3">
        <f t="shared" si="43"/>
        <v>36</v>
      </c>
      <c r="S507" s="3">
        <f t="shared" si="40"/>
        <v>1822.6999999999989</v>
      </c>
      <c r="T507" s="24" t="s">
        <v>1334</v>
      </c>
      <c r="U507" s="24" t="s">
        <v>1334</v>
      </c>
      <c r="V507" s="3"/>
      <c r="W507" s="25" t="str">
        <f>IFERROR(VLOOKUP(Caja_Arequipa[[#This Row],[destinatario]],CHOOSE({1,2},Clientes_Proveedores[Razon Social],Clientes_Proveedores[Ruc / Dni]),2,0),"")</f>
        <v/>
      </c>
      <c r="X507" s="3" t="s">
        <v>6054</v>
      </c>
      <c r="Y507" s="3"/>
      <c r="Z507" s="3"/>
      <c r="AA507" s="3"/>
      <c r="AB507" s="3" t="str">
        <f>IF(Caja_Arequipa[[#This Row],[fecha]]&gt;0,TEXT(Caja_Arequipa[[#This Row],[fecha]],"mmmm"),0)</f>
        <v>Junio</v>
      </c>
    </row>
    <row r="508" spans="1:28" ht="24" x14ac:dyDescent="0.3">
      <c r="A508" s="2">
        <f>IF(Caja_Arequipa[[#This Row],[tipo_r]]="R",COUNTIFS($C$1:$C507,"R")+1,A507)</f>
        <v>447</v>
      </c>
      <c r="B508" s="19" t="str">
        <f t="shared" si="41"/>
        <v>C-Tesoreria</v>
      </c>
      <c r="C508" s="3" t="s">
        <v>1330</v>
      </c>
      <c r="D508" s="14">
        <v>45821</v>
      </c>
      <c r="E508" s="5" t="s">
        <v>1338</v>
      </c>
      <c r="F508" s="5" t="s">
        <v>1336</v>
      </c>
      <c r="G508" s="3" t="s">
        <v>5380</v>
      </c>
      <c r="H508" s="6"/>
      <c r="I508" s="6"/>
      <c r="J508" s="6"/>
      <c r="K508" s="6"/>
      <c r="L508" s="7" t="s">
        <v>6055</v>
      </c>
      <c r="M508" s="8" t="str">
        <f>IF(Caja_Arequipa[[#This Row],[tipo_r]]="R","001-"&amp;12002+A508,M507)</f>
        <v>001-12449</v>
      </c>
      <c r="N508" s="8" t="str">
        <f t="shared" si="39"/>
        <v>PEN</v>
      </c>
      <c r="O508" s="13"/>
      <c r="P508" s="13">
        <v>200</v>
      </c>
      <c r="Q508" s="3">
        <f t="shared" si="42"/>
        <v>0</v>
      </c>
      <c r="R508" s="3">
        <f t="shared" si="43"/>
        <v>200</v>
      </c>
      <c r="S508" s="3">
        <f t="shared" si="40"/>
        <v>1622.6999999999989</v>
      </c>
      <c r="T508" s="24" t="s">
        <v>1334</v>
      </c>
      <c r="U508" s="24" t="s">
        <v>1334</v>
      </c>
      <c r="V508" s="3"/>
      <c r="W508" s="25" t="str">
        <f>IFERROR(VLOOKUP(Caja_Arequipa[[#This Row],[destinatario]],CHOOSE({1,2},Clientes_Proveedores[Razon Social],Clientes_Proveedores[Ruc / Dni]),2,0),"")</f>
        <v/>
      </c>
      <c r="X508" s="3" t="s">
        <v>6056</v>
      </c>
      <c r="Y508" s="3"/>
      <c r="Z508" s="3"/>
      <c r="AA508" s="3"/>
      <c r="AB508" s="3" t="str">
        <f>IF(Caja_Arequipa[[#This Row],[fecha]]&gt;0,TEXT(Caja_Arequipa[[#This Row],[fecha]],"mmmm"),0)</f>
        <v>Junio</v>
      </c>
    </row>
    <row r="509" spans="1:28" x14ac:dyDescent="0.3">
      <c r="A509" s="2">
        <f>IF(Caja_Arequipa[[#This Row],[tipo_r]]="R",COUNTIFS($C$1:$C508,"R")+1,A508)</f>
        <v>448</v>
      </c>
      <c r="B509" s="19" t="str">
        <f t="shared" si="41"/>
        <v>C-Tesoreria</v>
      </c>
      <c r="C509" s="3" t="s">
        <v>1330</v>
      </c>
      <c r="D509" s="14">
        <v>45821</v>
      </c>
      <c r="E509" s="5" t="s">
        <v>1416</v>
      </c>
      <c r="F509" s="5" t="s">
        <v>1336</v>
      </c>
      <c r="G509" s="3" t="s">
        <v>5259</v>
      </c>
      <c r="H509" s="6"/>
      <c r="I509" s="6" t="s">
        <v>111</v>
      </c>
      <c r="J509" s="6">
        <v>3</v>
      </c>
      <c r="K509" s="6">
        <v>204</v>
      </c>
      <c r="L509" s="7" t="s">
        <v>6057</v>
      </c>
      <c r="M509" s="8" t="str">
        <f>IF(Caja_Arequipa[[#This Row],[tipo_r]]="R","001-"&amp;12002+A509,M508)</f>
        <v>001-12450</v>
      </c>
      <c r="N509" s="8" t="str">
        <f t="shared" si="39"/>
        <v>PEN</v>
      </c>
      <c r="O509" s="13"/>
      <c r="P509" s="13">
        <v>111</v>
      </c>
      <c r="Q509" s="3">
        <f t="shared" si="42"/>
        <v>0</v>
      </c>
      <c r="R509" s="3">
        <f t="shared" si="43"/>
        <v>111</v>
      </c>
      <c r="S509" s="3">
        <f t="shared" si="40"/>
        <v>1511.6999999999989</v>
      </c>
      <c r="T509" s="24" t="s">
        <v>1334</v>
      </c>
      <c r="U509" s="24" t="s">
        <v>1334</v>
      </c>
      <c r="V509" s="3"/>
      <c r="W509" s="25" t="str">
        <f>IFERROR(VLOOKUP(Caja_Arequipa[[#This Row],[destinatario]],CHOOSE({1,2},Clientes_Proveedores[Razon Social],Clientes_Proveedores[Ruc / Dni]),2,0),"")</f>
        <v/>
      </c>
      <c r="X509" s="3" t="s">
        <v>6058</v>
      </c>
      <c r="Y509" s="3"/>
      <c r="Z509" s="3"/>
      <c r="AA509" s="3"/>
      <c r="AB509" s="3" t="str">
        <f>IF(Caja_Arequipa[[#This Row],[fecha]]&gt;0,TEXT(Caja_Arequipa[[#This Row],[fecha]],"mmmm"),0)</f>
        <v>Junio</v>
      </c>
    </row>
    <row r="510" spans="1:28" x14ac:dyDescent="0.3">
      <c r="A510" s="2">
        <f>IF(Caja_Arequipa[[#This Row],[tipo_r]]="R",COUNTIFS($C$1:$C509,"R")+1,A509)</f>
        <v>449</v>
      </c>
      <c r="B510" s="19" t="str">
        <f t="shared" si="41"/>
        <v>C-Tesoreria</v>
      </c>
      <c r="C510" s="3" t="s">
        <v>1330</v>
      </c>
      <c r="D510" s="14">
        <v>45821</v>
      </c>
      <c r="E510" s="5" t="s">
        <v>1416</v>
      </c>
      <c r="F510" s="5" t="s">
        <v>1336</v>
      </c>
      <c r="G510" s="3" t="s">
        <v>5259</v>
      </c>
      <c r="H510" s="6"/>
      <c r="I510" s="6" t="s">
        <v>111</v>
      </c>
      <c r="J510" s="6">
        <v>3</v>
      </c>
      <c r="K510" s="6">
        <v>205</v>
      </c>
      <c r="L510" s="7" t="s">
        <v>6059</v>
      </c>
      <c r="M510" s="8" t="str">
        <f>IF(Caja_Arequipa[[#This Row],[tipo_r]]="R","001-"&amp;12002+A510,M509)</f>
        <v>001-12451</v>
      </c>
      <c r="N510" s="8" t="str">
        <f t="shared" si="39"/>
        <v>PEN</v>
      </c>
      <c r="O510" s="13"/>
      <c r="P510" s="13">
        <v>38</v>
      </c>
      <c r="Q510" s="3">
        <f t="shared" si="42"/>
        <v>0</v>
      </c>
      <c r="R510" s="3">
        <f t="shared" si="43"/>
        <v>38</v>
      </c>
      <c r="S510" s="3">
        <f t="shared" si="40"/>
        <v>1473.6999999999989</v>
      </c>
      <c r="T510" s="24" t="s">
        <v>1334</v>
      </c>
      <c r="U510" s="24" t="s">
        <v>1334</v>
      </c>
      <c r="V510" s="3"/>
      <c r="W510" s="25" t="str">
        <f>IFERROR(VLOOKUP(Caja_Arequipa[[#This Row],[destinatario]],CHOOSE({1,2},Clientes_Proveedores[Razon Social],Clientes_Proveedores[Ruc / Dni]),2,0),"")</f>
        <v/>
      </c>
      <c r="X510" s="3" t="s">
        <v>6060</v>
      </c>
      <c r="Y510" s="3"/>
      <c r="Z510" s="3"/>
      <c r="AA510" s="3"/>
      <c r="AB510" s="3" t="str">
        <f>IF(Caja_Arequipa[[#This Row],[fecha]]&gt;0,TEXT(Caja_Arequipa[[#This Row],[fecha]],"mmmm"),0)</f>
        <v>Junio</v>
      </c>
    </row>
    <row r="511" spans="1:28" x14ac:dyDescent="0.3">
      <c r="A511" s="2">
        <f>IF(Caja_Arequipa[[#This Row],[tipo_r]]="R",COUNTIFS($C$1:$C510,"R")+1,A510)</f>
        <v>450</v>
      </c>
      <c r="B511" s="19" t="str">
        <f t="shared" si="41"/>
        <v>C-Tesoreria</v>
      </c>
      <c r="C511" s="3" t="s">
        <v>1330</v>
      </c>
      <c r="D511" s="14">
        <v>45821</v>
      </c>
      <c r="E511" s="5" t="s">
        <v>1416</v>
      </c>
      <c r="F511" s="5" t="s">
        <v>1336</v>
      </c>
      <c r="G511" s="3" t="s">
        <v>5259</v>
      </c>
      <c r="H511" s="6"/>
      <c r="I511" s="6" t="s">
        <v>111</v>
      </c>
      <c r="J511" s="6">
        <v>3</v>
      </c>
      <c r="K511" s="6">
        <v>206</v>
      </c>
      <c r="L511" s="7" t="s">
        <v>6061</v>
      </c>
      <c r="M511" s="8" t="str">
        <f>IF(Caja_Arequipa[[#This Row],[tipo_r]]="R","001-"&amp;12002+A511,M510)</f>
        <v>001-12452</v>
      </c>
      <c r="N511" s="8" t="str">
        <f t="shared" ref="N511:N571" si="44">"PEN"</f>
        <v>PEN</v>
      </c>
      <c r="O511" s="13"/>
      <c r="P511" s="13">
        <v>5</v>
      </c>
      <c r="Q511" s="3">
        <f t="shared" si="42"/>
        <v>0</v>
      </c>
      <c r="R511" s="3">
        <f t="shared" si="43"/>
        <v>5</v>
      </c>
      <c r="S511" s="3">
        <f t="shared" si="40"/>
        <v>1468.6999999999989</v>
      </c>
      <c r="T511" s="24" t="s">
        <v>1334</v>
      </c>
      <c r="U511" s="24" t="s">
        <v>1334</v>
      </c>
      <c r="V511" s="3"/>
      <c r="W511" s="25" t="str">
        <f>IFERROR(VLOOKUP(Caja_Arequipa[[#This Row],[destinatario]],CHOOSE({1,2},Clientes_Proveedores[Razon Social],Clientes_Proveedores[Ruc / Dni]),2,0),"")</f>
        <v/>
      </c>
      <c r="X511" s="3" t="s">
        <v>6062</v>
      </c>
      <c r="Y511" s="3"/>
      <c r="Z511" s="3"/>
      <c r="AA511" s="3"/>
      <c r="AB511" s="3" t="str">
        <f>IF(Caja_Arequipa[[#This Row],[fecha]]&gt;0,TEXT(Caja_Arequipa[[#This Row],[fecha]],"mmmm"),0)</f>
        <v>Junio</v>
      </c>
    </row>
    <row r="512" spans="1:28" x14ac:dyDescent="0.3">
      <c r="A512" s="2">
        <f>IF(Caja_Arequipa[[#This Row],[tipo_r]]="R",COUNTIFS($C$1:$C511,"R")+1,A511)</f>
        <v>451</v>
      </c>
      <c r="B512" s="19" t="str">
        <f t="shared" si="41"/>
        <v>C-Tesoreria</v>
      </c>
      <c r="C512" s="3" t="s">
        <v>1330</v>
      </c>
      <c r="D512" s="14">
        <v>45821</v>
      </c>
      <c r="E512" s="5" t="s">
        <v>1416</v>
      </c>
      <c r="F512" s="5" t="s">
        <v>1336</v>
      </c>
      <c r="G512" s="3" t="s">
        <v>5259</v>
      </c>
      <c r="H512" s="6"/>
      <c r="I512" s="6" t="s">
        <v>111</v>
      </c>
      <c r="J512" s="6">
        <v>3</v>
      </c>
      <c r="K512" s="6">
        <v>207</v>
      </c>
      <c r="L512" s="7" t="s">
        <v>6063</v>
      </c>
      <c r="M512" s="8" t="str">
        <f>IF(Caja_Arequipa[[#This Row],[tipo_r]]="R","001-"&amp;12002+A512,M511)</f>
        <v>001-12453</v>
      </c>
      <c r="N512" s="8" t="str">
        <f t="shared" si="44"/>
        <v>PEN</v>
      </c>
      <c r="O512" s="13"/>
      <c r="P512" s="13">
        <v>43</v>
      </c>
      <c r="Q512" s="3">
        <f t="shared" si="42"/>
        <v>0</v>
      </c>
      <c r="R512" s="3">
        <f t="shared" si="43"/>
        <v>43</v>
      </c>
      <c r="S512" s="3">
        <f t="shared" si="40"/>
        <v>1425.6999999999989</v>
      </c>
      <c r="T512" s="24" t="s">
        <v>1334</v>
      </c>
      <c r="U512" s="24" t="s">
        <v>1334</v>
      </c>
      <c r="V512" s="3"/>
      <c r="W512" s="25" t="str">
        <f>IFERROR(VLOOKUP(Caja_Arequipa[[#This Row],[destinatario]],CHOOSE({1,2},Clientes_Proveedores[Razon Social],Clientes_Proveedores[Ruc / Dni]),2,0),"")</f>
        <v/>
      </c>
      <c r="X512" s="3" t="s">
        <v>6064</v>
      </c>
      <c r="Y512" s="3"/>
      <c r="Z512" s="3"/>
      <c r="AA512" s="3"/>
      <c r="AB512" s="3" t="str">
        <f>IF(Caja_Arequipa[[#This Row],[fecha]]&gt;0,TEXT(Caja_Arequipa[[#This Row],[fecha]],"mmmm"),0)</f>
        <v>Junio</v>
      </c>
    </row>
    <row r="513" spans="1:28" ht="24" x14ac:dyDescent="0.3">
      <c r="A513" s="2">
        <f>IF(Caja_Arequipa[[#This Row],[tipo_r]]="R",COUNTIFS($C$1:$C512,"R")+1,A512)</f>
        <v>452</v>
      </c>
      <c r="B513" s="19" t="str">
        <f t="shared" si="41"/>
        <v>C-Tesoreria</v>
      </c>
      <c r="C513" s="3" t="s">
        <v>1330</v>
      </c>
      <c r="D513" s="14">
        <v>45821</v>
      </c>
      <c r="E513" s="5" t="s">
        <v>1416</v>
      </c>
      <c r="F513" s="5" t="s">
        <v>1303</v>
      </c>
      <c r="G513" s="3" t="s">
        <v>3308</v>
      </c>
      <c r="H513" s="6"/>
      <c r="I513" s="6" t="s">
        <v>130</v>
      </c>
      <c r="J513" s="6">
        <v>1</v>
      </c>
      <c r="K513" s="6">
        <v>128</v>
      </c>
      <c r="L513" s="7" t="s">
        <v>6065</v>
      </c>
      <c r="M513" s="8" t="str">
        <f>IF(Caja_Arequipa[[#This Row],[tipo_r]]="R","001-"&amp;12002+A513,M512)</f>
        <v>001-12454</v>
      </c>
      <c r="N513" s="8" t="str">
        <f t="shared" si="44"/>
        <v>PEN</v>
      </c>
      <c r="O513" s="13"/>
      <c r="P513" s="13">
        <v>64</v>
      </c>
      <c r="Q513" s="3">
        <f t="shared" si="42"/>
        <v>64</v>
      </c>
      <c r="R513" s="3">
        <f t="shared" si="43"/>
        <v>0</v>
      </c>
      <c r="S513" s="3">
        <f t="shared" si="40"/>
        <v>1489.6999999999989</v>
      </c>
      <c r="T513" s="24"/>
      <c r="U513" s="24"/>
      <c r="V513" s="3"/>
      <c r="W513" s="25" t="str">
        <f>IFERROR(VLOOKUP(Caja_Arequipa[[#This Row],[destinatario]],CHOOSE({1,2},Clientes_Proveedores[Razon Social],Clientes_Proveedores[Ruc / Dni]),2,0),"")</f>
        <v/>
      </c>
      <c r="X513" s="3" t="s">
        <v>5909</v>
      </c>
      <c r="Y513" s="3"/>
      <c r="Z513" s="3"/>
      <c r="AA513" s="3"/>
      <c r="AB513" s="3" t="str">
        <f>IF(Caja_Arequipa[[#This Row],[fecha]]&gt;0,TEXT(Caja_Arequipa[[#This Row],[fecha]],"mmmm"),0)</f>
        <v>Junio</v>
      </c>
    </row>
    <row r="514" spans="1:28" ht="24" x14ac:dyDescent="0.3">
      <c r="A514" s="2">
        <f>IF(Caja_Arequipa[[#This Row],[tipo_r]]="R",COUNTIFS($C$1:$C513,"R")+1,A513)</f>
        <v>453</v>
      </c>
      <c r="B514" s="19" t="str">
        <f t="shared" si="41"/>
        <v>C-Tesoreria</v>
      </c>
      <c r="C514" s="3" t="s">
        <v>1330</v>
      </c>
      <c r="D514" s="14">
        <v>45825</v>
      </c>
      <c r="E514" s="5" t="s">
        <v>1416</v>
      </c>
      <c r="F514" s="5" t="s">
        <v>1336</v>
      </c>
      <c r="G514" s="3" t="s">
        <v>4788</v>
      </c>
      <c r="H514" s="6" t="s">
        <v>968</v>
      </c>
      <c r="I514" s="6" t="s">
        <v>75</v>
      </c>
      <c r="J514" s="6">
        <v>1</v>
      </c>
      <c r="K514" s="6">
        <v>21501</v>
      </c>
      <c r="L514" s="7" t="s">
        <v>6066</v>
      </c>
      <c r="M514" s="8" t="str">
        <f>IF(Caja_Arequipa[[#This Row],[tipo_r]]="R","001-"&amp;12002+A514,M513)</f>
        <v>001-12455</v>
      </c>
      <c r="N514" s="8" t="str">
        <f t="shared" si="44"/>
        <v>PEN</v>
      </c>
      <c r="O514" s="13"/>
      <c r="P514" s="13">
        <v>230</v>
      </c>
      <c r="Q514" s="3">
        <f t="shared" si="42"/>
        <v>0</v>
      </c>
      <c r="R514" s="3">
        <f t="shared" si="43"/>
        <v>230</v>
      </c>
      <c r="S514" s="3">
        <f t="shared" ref="S514:S577" si="45">IFERROR(IF(F514="SALDO",Q514,S513+Q514-R514),0)</f>
        <v>1259.6999999999989</v>
      </c>
      <c r="T514" s="24"/>
      <c r="U514" s="24" t="s">
        <v>1334</v>
      </c>
      <c r="V514" s="3"/>
      <c r="W514" s="25">
        <f>IFERROR(VLOOKUP(Caja_Arequipa[[#This Row],[destinatario]],CHOOSE({1,2},Clientes_Proveedores[Razon Social],Clientes_Proveedores[Ruc / Dni]),2,0),"")</f>
        <v>10776582331</v>
      </c>
      <c r="X514" s="3" t="s">
        <v>6067</v>
      </c>
      <c r="Y514" s="3"/>
      <c r="Z514" s="3"/>
      <c r="AA514" s="3"/>
      <c r="AB514" s="3" t="str">
        <f>IF(Caja_Arequipa[[#This Row],[fecha]]&gt;0,TEXT(Caja_Arequipa[[#This Row],[fecha]],"mmmm"),0)</f>
        <v>Junio</v>
      </c>
    </row>
    <row r="515" spans="1:28" x14ac:dyDescent="0.3">
      <c r="A515" s="2">
        <f>IF(Caja_Arequipa[[#This Row],[tipo_r]]="R",COUNTIFS($C$1:$C514,"R")+1,A514)</f>
        <v>454</v>
      </c>
      <c r="B515" s="19" t="str">
        <f t="shared" si="41"/>
        <v>C-Tesoreria</v>
      </c>
      <c r="C515" s="3" t="s">
        <v>1330</v>
      </c>
      <c r="D515" s="14">
        <v>45826</v>
      </c>
      <c r="E515" s="5" t="s">
        <v>1416</v>
      </c>
      <c r="F515" s="5" t="s">
        <v>1336</v>
      </c>
      <c r="G515" s="3" t="s">
        <v>5259</v>
      </c>
      <c r="H515" s="6"/>
      <c r="I515" s="6" t="s">
        <v>111</v>
      </c>
      <c r="J515" s="6">
        <v>3</v>
      </c>
      <c r="K515" s="6">
        <v>209</v>
      </c>
      <c r="L515" s="7" t="s">
        <v>6068</v>
      </c>
      <c r="M515" s="8" t="str">
        <f>IF(Caja_Arequipa[[#This Row],[tipo_r]]="R","001-"&amp;12002+A515,M514)</f>
        <v>001-12456</v>
      </c>
      <c r="N515" s="8" t="str">
        <f t="shared" si="44"/>
        <v>PEN</v>
      </c>
      <c r="O515" s="13"/>
      <c r="P515" s="13">
        <v>136</v>
      </c>
      <c r="Q515" s="3">
        <f t="shared" si="42"/>
        <v>0</v>
      </c>
      <c r="R515" s="3">
        <f t="shared" si="43"/>
        <v>136</v>
      </c>
      <c r="S515" s="3">
        <f t="shared" si="45"/>
        <v>1123.6999999999989</v>
      </c>
      <c r="T515" s="24" t="s">
        <v>1334</v>
      </c>
      <c r="U515" s="24" t="s">
        <v>1334</v>
      </c>
      <c r="V515" s="3"/>
      <c r="W515" s="25" t="str">
        <f>IFERROR(VLOOKUP(Caja_Arequipa[[#This Row],[destinatario]],CHOOSE({1,2},Clientes_Proveedores[Razon Social],Clientes_Proveedores[Ruc / Dni]),2,0),"")</f>
        <v/>
      </c>
      <c r="X515" s="3" t="s">
        <v>6069</v>
      </c>
      <c r="Y515" s="3"/>
      <c r="Z515" s="3"/>
      <c r="AA515" s="3"/>
      <c r="AB515" s="3" t="str">
        <f>IF(Caja_Arequipa[[#This Row],[fecha]]&gt;0,TEXT(Caja_Arequipa[[#This Row],[fecha]],"mmmm"),0)</f>
        <v>Junio</v>
      </c>
    </row>
    <row r="516" spans="1:28" x14ac:dyDescent="0.3">
      <c r="A516" s="2">
        <f>IF(Caja_Arequipa[[#This Row],[tipo_r]]="R",COUNTIFS($C$1:$C515,"R")+1,A515)</f>
        <v>455</v>
      </c>
      <c r="B516" s="19" t="str">
        <f t="shared" si="41"/>
        <v>C-Tesoreria</v>
      </c>
      <c r="C516" s="3" t="s">
        <v>1330</v>
      </c>
      <c r="D516" s="14">
        <v>45826</v>
      </c>
      <c r="E516" s="5" t="s">
        <v>1416</v>
      </c>
      <c r="F516" s="5" t="s">
        <v>1336</v>
      </c>
      <c r="G516" s="3" t="s">
        <v>5259</v>
      </c>
      <c r="H516" s="6"/>
      <c r="I516" s="6" t="s">
        <v>111</v>
      </c>
      <c r="J516" s="6">
        <v>3</v>
      </c>
      <c r="K516" s="6">
        <v>210</v>
      </c>
      <c r="L516" s="7" t="s">
        <v>6070</v>
      </c>
      <c r="M516" s="8" t="str">
        <f>IF(Caja_Arequipa[[#This Row],[tipo_r]]="R","001-"&amp;12002+A516,M515)</f>
        <v>001-12457</v>
      </c>
      <c r="N516" s="8" t="str">
        <f t="shared" si="44"/>
        <v>PEN</v>
      </c>
      <c r="O516" s="13"/>
      <c r="P516" s="13">
        <v>84</v>
      </c>
      <c r="Q516" s="3">
        <f t="shared" si="42"/>
        <v>0</v>
      </c>
      <c r="R516" s="3">
        <f t="shared" si="43"/>
        <v>84</v>
      </c>
      <c r="S516" s="3">
        <f t="shared" si="45"/>
        <v>1039.6999999999989</v>
      </c>
      <c r="T516" s="24" t="s">
        <v>1334</v>
      </c>
      <c r="U516" s="24" t="s">
        <v>1334</v>
      </c>
      <c r="V516" s="3"/>
      <c r="W516" s="25" t="str">
        <f>IFERROR(VLOOKUP(Caja_Arequipa[[#This Row],[destinatario]],CHOOSE({1,2},Clientes_Proveedores[Razon Social],Clientes_Proveedores[Ruc / Dni]),2,0),"")</f>
        <v/>
      </c>
      <c r="X516" s="3" t="s">
        <v>6071</v>
      </c>
      <c r="Y516" s="3"/>
      <c r="Z516" s="3"/>
      <c r="AA516" s="3"/>
      <c r="AB516" s="3" t="str">
        <f>IF(Caja_Arequipa[[#This Row],[fecha]]&gt;0,TEXT(Caja_Arequipa[[#This Row],[fecha]],"mmmm"),0)</f>
        <v>Junio</v>
      </c>
    </row>
    <row r="517" spans="1:28" x14ac:dyDescent="0.3">
      <c r="A517" s="2">
        <f>IF(Caja_Arequipa[[#This Row],[tipo_r]]="R",COUNTIFS($C$1:$C516,"R")+1,A516)</f>
        <v>456</v>
      </c>
      <c r="B517" s="19" t="str">
        <f t="shared" si="41"/>
        <v>C-Tesoreria</v>
      </c>
      <c r="C517" s="3" t="s">
        <v>1330</v>
      </c>
      <c r="D517" s="14">
        <v>45826</v>
      </c>
      <c r="E517" s="5" t="s">
        <v>1416</v>
      </c>
      <c r="F517" s="5" t="s">
        <v>1336</v>
      </c>
      <c r="G517" s="3" t="s">
        <v>5259</v>
      </c>
      <c r="H517" s="6"/>
      <c r="I517" s="6" t="s">
        <v>111</v>
      </c>
      <c r="J517" s="6">
        <v>3</v>
      </c>
      <c r="K517" s="6">
        <v>211</v>
      </c>
      <c r="L517" s="7" t="s">
        <v>6072</v>
      </c>
      <c r="M517" s="8" t="str">
        <f>IF(Caja_Arequipa[[#This Row],[tipo_r]]="R","001-"&amp;12002+A517,M516)</f>
        <v>001-12458</v>
      </c>
      <c r="N517" s="8" t="str">
        <f t="shared" si="44"/>
        <v>PEN</v>
      </c>
      <c r="O517" s="13"/>
      <c r="P517" s="13">
        <v>27</v>
      </c>
      <c r="Q517" s="3">
        <f t="shared" si="42"/>
        <v>0</v>
      </c>
      <c r="R517" s="3">
        <f t="shared" si="43"/>
        <v>27</v>
      </c>
      <c r="S517" s="3">
        <f t="shared" si="45"/>
        <v>1012.6999999999989</v>
      </c>
      <c r="T517" s="24" t="s">
        <v>1334</v>
      </c>
      <c r="U517" s="24" t="s">
        <v>1334</v>
      </c>
      <c r="V517" s="3"/>
      <c r="W517" s="25" t="str">
        <f>IFERROR(VLOOKUP(Caja_Arequipa[[#This Row],[destinatario]],CHOOSE({1,2},Clientes_Proveedores[Razon Social],Clientes_Proveedores[Ruc / Dni]),2,0),"")</f>
        <v/>
      </c>
      <c r="X517" s="3" t="s">
        <v>6073</v>
      </c>
      <c r="Y517" s="3"/>
      <c r="Z517" s="3"/>
      <c r="AA517" s="3"/>
      <c r="AB517" s="3" t="str">
        <f>IF(Caja_Arequipa[[#This Row],[fecha]]&gt;0,TEXT(Caja_Arequipa[[#This Row],[fecha]],"mmmm"),0)</f>
        <v>Junio</v>
      </c>
    </row>
    <row r="518" spans="1:28" x14ac:dyDescent="0.3">
      <c r="A518" s="2">
        <f>IF(Caja_Arequipa[[#This Row],[tipo_r]]="R",COUNTIFS($C$1:$C517,"R")+1,A517)</f>
        <v>457</v>
      </c>
      <c r="B518" s="19" t="str">
        <f t="shared" si="41"/>
        <v>C-Tesoreria</v>
      </c>
      <c r="C518" s="3" t="s">
        <v>1330</v>
      </c>
      <c r="D518" s="14">
        <v>45826</v>
      </c>
      <c r="E518" s="5" t="s">
        <v>1416</v>
      </c>
      <c r="F518" s="5" t="s">
        <v>1336</v>
      </c>
      <c r="G518" s="3" t="s">
        <v>5259</v>
      </c>
      <c r="H518" s="6"/>
      <c r="I518" s="6" t="s">
        <v>111</v>
      </c>
      <c r="J518" s="6">
        <v>3</v>
      </c>
      <c r="K518" s="6">
        <v>212</v>
      </c>
      <c r="L518" s="7" t="s">
        <v>6074</v>
      </c>
      <c r="M518" s="8" t="str">
        <f>IF(Caja_Arequipa[[#This Row],[tipo_r]]="R","001-"&amp;12002+A518,M517)</f>
        <v>001-12459</v>
      </c>
      <c r="N518" s="8" t="str">
        <f t="shared" si="44"/>
        <v>PEN</v>
      </c>
      <c r="O518" s="13"/>
      <c r="P518" s="13">
        <v>64</v>
      </c>
      <c r="Q518" s="3">
        <f t="shared" si="42"/>
        <v>0</v>
      </c>
      <c r="R518" s="3">
        <f t="shared" si="43"/>
        <v>64</v>
      </c>
      <c r="S518" s="3">
        <f t="shared" si="45"/>
        <v>948.69999999999891</v>
      </c>
      <c r="T518" s="24" t="s">
        <v>1334</v>
      </c>
      <c r="U518" s="24" t="s">
        <v>1334</v>
      </c>
      <c r="V518" s="3"/>
      <c r="W518" s="25" t="str">
        <f>IFERROR(VLOOKUP(Caja_Arequipa[[#This Row],[destinatario]],CHOOSE({1,2},Clientes_Proveedores[Razon Social],Clientes_Proveedores[Ruc / Dni]),2,0),"")</f>
        <v/>
      </c>
      <c r="X518" s="3" t="s">
        <v>6075</v>
      </c>
      <c r="Y518" s="3"/>
      <c r="Z518" s="3"/>
      <c r="AA518" s="3"/>
      <c r="AB518" s="3" t="str">
        <f>IF(Caja_Arequipa[[#This Row],[fecha]]&gt;0,TEXT(Caja_Arequipa[[#This Row],[fecha]],"mmmm"),0)</f>
        <v>Junio</v>
      </c>
    </row>
    <row r="519" spans="1:28" x14ac:dyDescent="0.3">
      <c r="A519" s="2">
        <f>IF(Caja_Arequipa[[#This Row],[tipo_r]]="R",COUNTIFS($C$1:$C518,"R")+1,A518)</f>
        <v>458</v>
      </c>
      <c r="B519" s="19" t="str">
        <f t="shared" si="41"/>
        <v>C-Tesoreria</v>
      </c>
      <c r="C519" s="3" t="s">
        <v>1330</v>
      </c>
      <c r="D519" s="14">
        <v>45826</v>
      </c>
      <c r="E519" s="5" t="s">
        <v>1416</v>
      </c>
      <c r="F519" s="5" t="s">
        <v>1336</v>
      </c>
      <c r="G519" s="3" t="s">
        <v>5259</v>
      </c>
      <c r="H519" s="6"/>
      <c r="I519" s="6" t="s">
        <v>111</v>
      </c>
      <c r="J519" s="6">
        <v>3</v>
      </c>
      <c r="K519" s="6">
        <v>213</v>
      </c>
      <c r="L519" s="7" t="s">
        <v>6076</v>
      </c>
      <c r="M519" s="8" t="str">
        <f>IF(Caja_Arequipa[[#This Row],[tipo_r]]="R","001-"&amp;12002+A519,M518)</f>
        <v>001-12460</v>
      </c>
      <c r="N519" s="8" t="str">
        <f t="shared" si="44"/>
        <v>PEN</v>
      </c>
      <c r="O519" s="13"/>
      <c r="P519" s="13">
        <v>69</v>
      </c>
      <c r="Q519" s="3">
        <f t="shared" si="42"/>
        <v>0</v>
      </c>
      <c r="R519" s="3">
        <f t="shared" si="43"/>
        <v>69</v>
      </c>
      <c r="S519" s="3">
        <f t="shared" si="45"/>
        <v>879.69999999999891</v>
      </c>
      <c r="T519" s="24" t="s">
        <v>1334</v>
      </c>
      <c r="U519" s="24" t="s">
        <v>1334</v>
      </c>
      <c r="V519" s="3"/>
      <c r="W519" s="25" t="str">
        <f>IFERROR(VLOOKUP(Caja_Arequipa[[#This Row],[destinatario]],CHOOSE({1,2},Clientes_Proveedores[Razon Social],Clientes_Proveedores[Ruc / Dni]),2,0),"")</f>
        <v/>
      </c>
      <c r="X519" s="3" t="s">
        <v>6077</v>
      </c>
      <c r="Y519" s="3"/>
      <c r="Z519" s="3"/>
      <c r="AA519" s="3"/>
      <c r="AB519" s="3" t="str">
        <f>IF(Caja_Arequipa[[#This Row],[fecha]]&gt;0,TEXT(Caja_Arequipa[[#This Row],[fecha]],"mmmm"),0)</f>
        <v>Junio</v>
      </c>
    </row>
    <row r="520" spans="1:28" x14ac:dyDescent="0.3">
      <c r="A520" s="2">
        <f>IF(Caja_Arequipa[[#This Row],[tipo_r]]="R",COUNTIFS($C$1:$C519,"R")+1,A519)</f>
        <v>459</v>
      </c>
      <c r="B520" s="19" t="str">
        <f t="shared" si="41"/>
        <v>C-Tesoreria</v>
      </c>
      <c r="C520" s="3" t="s">
        <v>1330</v>
      </c>
      <c r="D520" s="14">
        <v>45826</v>
      </c>
      <c r="E520" s="5" t="s">
        <v>2269</v>
      </c>
      <c r="F520" s="5" t="s">
        <v>1336</v>
      </c>
      <c r="G520" s="3" t="s">
        <v>4788</v>
      </c>
      <c r="H520" s="6"/>
      <c r="I520" s="6" t="s">
        <v>111</v>
      </c>
      <c r="J520" s="6">
        <v>3</v>
      </c>
      <c r="K520" s="6">
        <v>214</v>
      </c>
      <c r="L520" s="7" t="s">
        <v>6078</v>
      </c>
      <c r="M520" s="8" t="str">
        <f>IF(Caja_Arequipa[[#This Row],[tipo_r]]="R","001-"&amp;12002+A520,M519)</f>
        <v>001-12461</v>
      </c>
      <c r="N520" s="8" t="str">
        <f t="shared" si="44"/>
        <v>PEN</v>
      </c>
      <c r="O520" s="13"/>
      <c r="P520" s="13">
        <v>20</v>
      </c>
      <c r="Q520" s="3">
        <f t="shared" si="42"/>
        <v>0</v>
      </c>
      <c r="R520" s="3">
        <f t="shared" si="43"/>
        <v>20</v>
      </c>
      <c r="S520" s="3">
        <f t="shared" si="45"/>
        <v>859.69999999999891</v>
      </c>
      <c r="T520" s="24" t="s">
        <v>1334</v>
      </c>
      <c r="U520" s="24" t="s">
        <v>1334</v>
      </c>
      <c r="V520" s="3"/>
      <c r="W520" s="25" t="str">
        <f>IFERROR(VLOOKUP(Caja_Arequipa[[#This Row],[destinatario]],CHOOSE({1,2},Clientes_Proveedores[Razon Social],Clientes_Proveedores[Ruc / Dni]),2,0),"")</f>
        <v/>
      </c>
      <c r="X520" s="3" t="s">
        <v>6079</v>
      </c>
      <c r="Y520" s="3"/>
      <c r="Z520" s="3"/>
      <c r="AA520" s="3"/>
      <c r="AB520" s="3" t="str">
        <f>IF(Caja_Arequipa[[#This Row],[fecha]]&gt;0,TEXT(Caja_Arequipa[[#This Row],[fecha]],"mmmm"),0)</f>
        <v>Junio</v>
      </c>
    </row>
    <row r="521" spans="1:28" ht="24" x14ac:dyDescent="0.3">
      <c r="A521" s="2">
        <f>IF(Caja_Arequipa[[#This Row],[tipo_r]]="R",COUNTIFS($C$1:$C520,"R")+1,A520)</f>
        <v>460</v>
      </c>
      <c r="B521" s="19" t="str">
        <f t="shared" si="41"/>
        <v>C-Tesoreria</v>
      </c>
      <c r="C521" s="3" t="s">
        <v>1330</v>
      </c>
      <c r="D521" s="14">
        <v>45826</v>
      </c>
      <c r="E521" s="5" t="s">
        <v>2269</v>
      </c>
      <c r="F521" s="5" t="s">
        <v>1336</v>
      </c>
      <c r="G521" s="3" t="s">
        <v>5664</v>
      </c>
      <c r="H521" s="6"/>
      <c r="I521" s="6"/>
      <c r="J521" s="6"/>
      <c r="K521" s="6"/>
      <c r="L521" s="7" t="s">
        <v>6055</v>
      </c>
      <c r="M521" s="8" t="str">
        <f>IF(Caja_Arequipa[[#This Row],[tipo_r]]="R","001-"&amp;12002+A521,M520)</f>
        <v>001-12462</v>
      </c>
      <c r="N521" s="8" t="str">
        <f t="shared" si="44"/>
        <v>PEN</v>
      </c>
      <c r="O521" s="13"/>
      <c r="P521" s="13">
        <v>42</v>
      </c>
      <c r="Q521" s="3">
        <f t="shared" si="42"/>
        <v>0</v>
      </c>
      <c r="R521" s="3">
        <f t="shared" si="43"/>
        <v>42</v>
      </c>
      <c r="S521" s="3">
        <f t="shared" si="45"/>
        <v>817.69999999999891</v>
      </c>
      <c r="T521" s="24" t="s">
        <v>1334</v>
      </c>
      <c r="U521" s="24" t="s">
        <v>1334</v>
      </c>
      <c r="V521" s="3"/>
      <c r="W521" s="25" t="str">
        <f>IFERROR(VLOOKUP(Caja_Arequipa[[#This Row],[destinatario]],CHOOSE({1,2},Clientes_Proveedores[Razon Social],Clientes_Proveedores[Ruc / Dni]),2,0),"")</f>
        <v/>
      </c>
      <c r="X521" s="3" t="s">
        <v>6080</v>
      </c>
      <c r="Y521" s="3"/>
      <c r="Z521" s="3"/>
      <c r="AA521" s="3"/>
      <c r="AB521" s="3" t="str">
        <f>IF(Caja_Arequipa[[#This Row],[fecha]]&gt;0,TEXT(Caja_Arequipa[[#This Row],[fecha]],"mmmm"),0)</f>
        <v>Junio</v>
      </c>
    </row>
    <row r="522" spans="1:28" ht="24" x14ac:dyDescent="0.3">
      <c r="A522" s="2">
        <f>IF(Caja_Arequipa[[#This Row],[tipo_r]]="R",COUNTIFS($C$1:$C521,"R")+1,A521)</f>
        <v>461</v>
      </c>
      <c r="B522" s="19" t="str">
        <f t="shared" si="41"/>
        <v>C-Tesoreria</v>
      </c>
      <c r="C522" s="3" t="s">
        <v>1330</v>
      </c>
      <c r="D522" s="14">
        <v>45826</v>
      </c>
      <c r="E522" s="5" t="s">
        <v>1338</v>
      </c>
      <c r="F522" s="5" t="s">
        <v>1336</v>
      </c>
      <c r="G522" s="3" t="s">
        <v>5250</v>
      </c>
      <c r="H522" s="6"/>
      <c r="I522" s="6" t="s">
        <v>130</v>
      </c>
      <c r="J522" s="6">
        <v>1</v>
      </c>
      <c r="K522" s="6">
        <v>147</v>
      </c>
      <c r="L522" s="7" t="s">
        <v>6081</v>
      </c>
      <c r="M522" s="8" t="str">
        <f>IF(Caja_Arequipa[[#This Row],[tipo_r]]="R","001-"&amp;12002+A522,M521)</f>
        <v>001-12463</v>
      </c>
      <c r="N522" s="8" t="str">
        <f t="shared" si="44"/>
        <v>PEN</v>
      </c>
      <c r="O522" s="13"/>
      <c r="P522" s="13">
        <v>30</v>
      </c>
      <c r="Q522" s="3">
        <f t="shared" si="42"/>
        <v>0</v>
      </c>
      <c r="R522" s="3">
        <f t="shared" si="43"/>
        <v>30</v>
      </c>
      <c r="S522" s="3">
        <f t="shared" si="45"/>
        <v>787.69999999999891</v>
      </c>
      <c r="T522" s="24"/>
      <c r="U522" s="24"/>
      <c r="V522" s="3"/>
      <c r="W522" s="25" t="str">
        <f>IFERROR(VLOOKUP(Caja_Arequipa[[#This Row],[destinatario]],CHOOSE({1,2},Clientes_Proveedores[Razon Social],Clientes_Proveedores[Ruc / Dni]),2,0),"")</f>
        <v/>
      </c>
      <c r="X522" s="3" t="s">
        <v>6082</v>
      </c>
      <c r="Y522" s="3"/>
      <c r="Z522" s="3"/>
      <c r="AA522" s="3"/>
      <c r="AB522" s="3" t="str">
        <f>IF(Caja_Arequipa[[#This Row],[fecha]]&gt;0,TEXT(Caja_Arequipa[[#This Row],[fecha]],"mmmm"),0)</f>
        <v>Junio</v>
      </c>
    </row>
    <row r="523" spans="1:28" ht="24" x14ac:dyDescent="0.3">
      <c r="A523" s="2">
        <f>IF(Caja_Arequipa[[#This Row],[tipo_r]]="R",COUNTIFS($C$1:$C522,"R")+1,A522)</f>
        <v>462</v>
      </c>
      <c r="B523" s="19" t="str">
        <f t="shared" si="41"/>
        <v>C-Tesoreria</v>
      </c>
      <c r="C523" s="3" t="s">
        <v>1330</v>
      </c>
      <c r="D523" s="14">
        <v>45826</v>
      </c>
      <c r="E523" s="5" t="s">
        <v>1338</v>
      </c>
      <c r="F523" s="5" t="s">
        <v>1336</v>
      </c>
      <c r="G523" s="3" t="s">
        <v>4788</v>
      </c>
      <c r="H523" s="6"/>
      <c r="I523" s="6" t="s">
        <v>111</v>
      </c>
      <c r="J523" s="6">
        <v>3</v>
      </c>
      <c r="K523" s="6">
        <v>240</v>
      </c>
      <c r="L523" s="7" t="s">
        <v>6083</v>
      </c>
      <c r="M523" s="8" t="str">
        <f>IF(Caja_Arequipa[[#This Row],[tipo_r]]="R","001-"&amp;12002+A523,M522)</f>
        <v>001-12464</v>
      </c>
      <c r="N523" s="8" t="str">
        <f t="shared" si="44"/>
        <v>PEN</v>
      </c>
      <c r="O523" s="13"/>
      <c r="P523" s="13">
        <v>20</v>
      </c>
      <c r="Q523" s="3">
        <f t="shared" si="42"/>
        <v>0</v>
      </c>
      <c r="R523" s="3">
        <f t="shared" si="43"/>
        <v>20</v>
      </c>
      <c r="S523" s="3">
        <f t="shared" si="45"/>
        <v>767.69999999999891</v>
      </c>
      <c r="T523" s="24"/>
      <c r="U523" s="24" t="s">
        <v>1334</v>
      </c>
      <c r="V523" s="3"/>
      <c r="W523" s="25" t="str">
        <f>IFERROR(VLOOKUP(Caja_Arequipa[[#This Row],[destinatario]],CHOOSE({1,2},Clientes_Proveedores[Razon Social],Clientes_Proveedores[Ruc / Dni]),2,0),"")</f>
        <v/>
      </c>
      <c r="X523" s="3" t="s">
        <v>6084</v>
      </c>
      <c r="Y523" s="3"/>
      <c r="Z523" s="3"/>
      <c r="AA523" s="3"/>
      <c r="AB523" s="3" t="str">
        <f>IF(Caja_Arequipa[[#This Row],[fecha]]&gt;0,TEXT(Caja_Arequipa[[#This Row],[fecha]],"mmmm"),0)</f>
        <v>Junio</v>
      </c>
    </row>
    <row r="524" spans="1:28" ht="24" x14ac:dyDescent="0.3">
      <c r="A524" s="2">
        <f>IF(Caja_Arequipa[[#This Row],[tipo_r]]="R",COUNTIFS($C$1:$C523,"R")+1,A523)</f>
        <v>463</v>
      </c>
      <c r="B524" s="19" t="str">
        <f t="shared" si="41"/>
        <v>C-Tesoreria</v>
      </c>
      <c r="C524" s="3" t="s">
        <v>1330</v>
      </c>
      <c r="D524" s="14">
        <v>45826</v>
      </c>
      <c r="E524" s="5" t="s">
        <v>1416</v>
      </c>
      <c r="F524" s="5" t="s">
        <v>1336</v>
      </c>
      <c r="G524" s="3" t="s">
        <v>5450</v>
      </c>
      <c r="H524" s="6"/>
      <c r="I524" s="6"/>
      <c r="J524" s="6"/>
      <c r="K524" s="6"/>
      <c r="L524" s="7" t="s">
        <v>6085</v>
      </c>
      <c r="M524" s="8" t="str">
        <f>IF(Caja_Arequipa[[#This Row],[tipo_r]]="R","001-"&amp;12002+A524,M523)</f>
        <v>001-12465</v>
      </c>
      <c r="N524" s="8" t="str">
        <f t="shared" si="44"/>
        <v>PEN</v>
      </c>
      <c r="O524" s="13"/>
      <c r="P524" s="13">
        <v>40</v>
      </c>
      <c r="Q524" s="3">
        <f t="shared" si="42"/>
        <v>0</v>
      </c>
      <c r="R524" s="3">
        <f t="shared" si="43"/>
        <v>40</v>
      </c>
      <c r="S524" s="3">
        <f t="shared" si="45"/>
        <v>727.69999999999891</v>
      </c>
      <c r="T524" s="24" t="s">
        <v>1334</v>
      </c>
      <c r="U524" s="24" t="s">
        <v>1334</v>
      </c>
      <c r="V524" s="3"/>
      <c r="W524" s="25" t="str">
        <f>IFERROR(VLOOKUP(Caja_Arequipa[[#This Row],[destinatario]],CHOOSE({1,2},Clientes_Proveedores[Razon Social],Clientes_Proveedores[Ruc / Dni]),2,0),"")</f>
        <v/>
      </c>
      <c r="X524" s="3" t="s">
        <v>6086</v>
      </c>
      <c r="Y524" s="3"/>
      <c r="Z524" s="3"/>
      <c r="AA524" s="3"/>
      <c r="AB524" s="3" t="str">
        <f>IF(Caja_Arequipa[[#This Row],[fecha]]&gt;0,TEXT(Caja_Arequipa[[#This Row],[fecha]],"mmmm"),0)</f>
        <v>Junio</v>
      </c>
    </row>
    <row r="525" spans="1:28" x14ac:dyDescent="0.3">
      <c r="A525" s="43">
        <f>IF(Caja_Arequipa[[#This Row],[tipo_r]]="R",COUNTIFS($C$1:$C524,"R")+1,A524)</f>
        <v>464</v>
      </c>
      <c r="B525" s="19" t="str">
        <f t="shared" si="41"/>
        <v>C-Tesoreria</v>
      </c>
      <c r="C525" s="3" t="s">
        <v>1330</v>
      </c>
      <c r="D525" s="14">
        <v>45826</v>
      </c>
      <c r="E525" s="5" t="s">
        <v>1416</v>
      </c>
      <c r="F525" s="5" t="s">
        <v>1303</v>
      </c>
      <c r="G525" s="3" t="s">
        <v>3634</v>
      </c>
      <c r="H525" s="6"/>
      <c r="I525" s="6"/>
      <c r="J525" s="6"/>
      <c r="K525" s="6"/>
      <c r="L525" s="7" t="s">
        <v>5926</v>
      </c>
      <c r="M525" s="8" t="str">
        <f>IF(Caja_Arequipa[[#This Row],[tipo_r]]="R","001-"&amp;12002+A525,M524)</f>
        <v>001-12466</v>
      </c>
      <c r="N525" s="8" t="str">
        <f t="shared" si="44"/>
        <v>PEN</v>
      </c>
      <c r="O525" s="13"/>
      <c r="P525" s="13">
        <v>2460</v>
      </c>
      <c r="Q525" s="3">
        <f t="shared" si="42"/>
        <v>2460</v>
      </c>
      <c r="R525" s="3">
        <f t="shared" si="43"/>
        <v>0</v>
      </c>
      <c r="S525" s="3">
        <f t="shared" si="45"/>
        <v>3187.6999999999989</v>
      </c>
      <c r="T525" s="24"/>
      <c r="U525" s="24"/>
      <c r="V525" s="3"/>
      <c r="W525" s="25" t="str">
        <f>IFERROR(VLOOKUP(Caja_Arequipa[[#This Row],[destinatario]],CHOOSE({1,2},Clientes_Proveedores[Razon Social],Clientes_Proveedores[Ruc / Dni]),2,0),"")</f>
        <v/>
      </c>
      <c r="X525" s="3"/>
      <c r="Y525" s="3"/>
      <c r="Z525" s="3"/>
      <c r="AA525" s="3"/>
      <c r="AB525" s="3" t="str">
        <f>IF(Caja_Arequipa[[#This Row],[fecha]]&gt;0,TEXT(Caja_Arequipa[[#This Row],[fecha]],"mmmm"),0)</f>
        <v>Junio</v>
      </c>
    </row>
    <row r="526" spans="1:28" x14ac:dyDescent="0.3">
      <c r="A526" s="44">
        <f>IF(Caja_Arequipa[[#This Row],[tipo_r]]="R",COUNTIFS($C$1:$C525,"R")+1,A525)</f>
        <v>465</v>
      </c>
      <c r="B526" s="19" t="str">
        <f t="shared" si="41"/>
        <v>C-Tesoreria</v>
      </c>
      <c r="C526" s="3" t="s">
        <v>1330</v>
      </c>
      <c r="D526" s="14">
        <v>45827</v>
      </c>
      <c r="E526" s="5" t="s">
        <v>1416</v>
      </c>
      <c r="F526" s="5" t="s">
        <v>1336</v>
      </c>
      <c r="G526" s="3" t="s">
        <v>3634</v>
      </c>
      <c r="H526" s="6"/>
      <c r="I526" s="48"/>
      <c r="J526" s="6"/>
      <c r="K526" s="6"/>
      <c r="L526" s="7" t="s">
        <v>5434</v>
      </c>
      <c r="M526" s="8" t="str">
        <f>IF(Caja_Arequipa[[#This Row],[tipo_r]]="R","001-"&amp;12002+A526,M525)</f>
        <v>001-12467</v>
      </c>
      <c r="N526" s="8" t="str">
        <f t="shared" si="44"/>
        <v>PEN</v>
      </c>
      <c r="O526" s="13"/>
      <c r="P526" s="13">
        <v>2460</v>
      </c>
      <c r="Q526" s="3">
        <f t="shared" si="42"/>
        <v>0</v>
      </c>
      <c r="R526" s="3">
        <f t="shared" si="43"/>
        <v>2460</v>
      </c>
      <c r="S526" s="3">
        <f t="shared" si="45"/>
        <v>727.69999999999891</v>
      </c>
      <c r="T526" s="24"/>
      <c r="U526" s="24"/>
      <c r="V526" s="3"/>
      <c r="W526" s="25" t="str">
        <f>IFERROR(VLOOKUP(Caja_Arequipa[[#This Row],[destinatario]],CHOOSE({1,2},Clientes_Proveedores[Razon Social],Clientes_Proveedores[Ruc / Dni]),2,0),"")</f>
        <v/>
      </c>
      <c r="X526" s="3"/>
      <c r="Y526" s="3"/>
      <c r="Z526" s="3"/>
      <c r="AA526" s="3"/>
      <c r="AB526" s="3" t="str">
        <f>IF(Caja_Arequipa[[#This Row],[fecha]]&gt;0,TEXT(Caja_Arequipa[[#This Row],[fecha]],"mmmm"),0)</f>
        <v>Junio</v>
      </c>
    </row>
    <row r="527" spans="1:28" ht="24" x14ac:dyDescent="0.3">
      <c r="A527" s="44">
        <f>IF(Caja_Arequipa[[#This Row],[tipo_r]]="R",COUNTIFS($C$1:$C526,"R")+1,A526)</f>
        <v>466</v>
      </c>
      <c r="B527" s="19" t="str">
        <f t="shared" si="41"/>
        <v>C-Tesoreria</v>
      </c>
      <c r="C527" s="3" t="s">
        <v>1330</v>
      </c>
      <c r="D527" s="14">
        <v>45827</v>
      </c>
      <c r="E527" s="5" t="s">
        <v>1338</v>
      </c>
      <c r="F527" s="5" t="s">
        <v>1336</v>
      </c>
      <c r="G527" s="3" t="s">
        <v>5664</v>
      </c>
      <c r="H527" s="6" t="s">
        <v>937</v>
      </c>
      <c r="I527" s="45" t="s">
        <v>111</v>
      </c>
      <c r="J527" s="6">
        <v>3</v>
      </c>
      <c r="K527" s="6">
        <v>216</v>
      </c>
      <c r="L527" s="7" t="s">
        <v>6087</v>
      </c>
      <c r="M527" s="8" t="str">
        <f>IF(Caja_Arequipa[[#This Row],[tipo_r]]="R","001-"&amp;12002+A527,M526)</f>
        <v>001-12468</v>
      </c>
      <c r="N527" s="8" t="str">
        <f t="shared" si="44"/>
        <v>PEN</v>
      </c>
      <c r="O527" s="13"/>
      <c r="P527" s="13">
        <v>8</v>
      </c>
      <c r="Q527" s="3">
        <f t="shared" si="42"/>
        <v>0</v>
      </c>
      <c r="R527" s="3">
        <f t="shared" si="43"/>
        <v>8</v>
      </c>
      <c r="S527" s="3">
        <f t="shared" si="45"/>
        <v>719.69999999999891</v>
      </c>
      <c r="T527" s="24" t="s">
        <v>1334</v>
      </c>
      <c r="U527" s="24" t="s">
        <v>1334</v>
      </c>
      <c r="V527" s="3"/>
      <c r="W527" s="25">
        <f>IFERROR(VLOOKUP(Caja_Arequipa[[#This Row],[destinatario]],CHOOSE({1,2},Clientes_Proveedores[Razon Social],Clientes_Proveedores[Ruc / Dni]),2,0),"")</f>
        <v>72728100</v>
      </c>
      <c r="X527" s="3" t="s">
        <v>6088</v>
      </c>
      <c r="Y527" s="3"/>
      <c r="Z527" s="3"/>
      <c r="AA527" s="3"/>
      <c r="AB527" s="3" t="str">
        <f>IF(Caja_Arequipa[[#This Row],[fecha]]&gt;0,TEXT(Caja_Arequipa[[#This Row],[fecha]],"mmmm"),0)</f>
        <v>Junio</v>
      </c>
    </row>
    <row r="528" spans="1:28" ht="24" x14ac:dyDescent="0.3">
      <c r="A528" s="44">
        <f>IF(Caja_Arequipa[[#This Row],[tipo_r]]="R",COUNTIFS($C$1:$C527,"R")+1,A527)</f>
        <v>467</v>
      </c>
      <c r="B528" s="19" t="str">
        <f t="shared" si="41"/>
        <v>C-Tesoreria</v>
      </c>
      <c r="C528" s="3" t="s">
        <v>1330</v>
      </c>
      <c r="D528" s="14">
        <v>45828</v>
      </c>
      <c r="E528" s="5" t="s">
        <v>1338</v>
      </c>
      <c r="F528" s="5" t="s">
        <v>1336</v>
      </c>
      <c r="G528" s="3" t="s">
        <v>5664</v>
      </c>
      <c r="H528" s="6"/>
      <c r="I528" s="48"/>
      <c r="J528" s="6"/>
      <c r="K528" s="6"/>
      <c r="L528" s="7" t="s">
        <v>6055</v>
      </c>
      <c r="M528" s="8" t="str">
        <f>IF(Caja_Arequipa[[#This Row],[tipo_r]]="R","001-"&amp;12002+A528,M527)</f>
        <v>001-12469</v>
      </c>
      <c r="N528" s="8" t="str">
        <f t="shared" si="44"/>
        <v>PEN</v>
      </c>
      <c r="O528" s="13"/>
      <c r="P528" s="13">
        <v>28</v>
      </c>
      <c r="Q528" s="3">
        <f t="shared" si="42"/>
        <v>0</v>
      </c>
      <c r="R528" s="3">
        <f t="shared" si="43"/>
        <v>28</v>
      </c>
      <c r="S528" s="3">
        <f t="shared" si="45"/>
        <v>691.69999999999891</v>
      </c>
      <c r="T528" s="24" t="s">
        <v>1334</v>
      </c>
      <c r="U528" s="24" t="s">
        <v>1334</v>
      </c>
      <c r="V528" s="3"/>
      <c r="W528" s="25" t="str">
        <f>IFERROR(VLOOKUP(Caja_Arequipa[[#This Row],[destinatario]],CHOOSE({1,2},Clientes_Proveedores[Razon Social],Clientes_Proveedores[Ruc / Dni]),2,0),"")</f>
        <v/>
      </c>
      <c r="X528" s="3" t="s">
        <v>6089</v>
      </c>
      <c r="Y528" s="3"/>
      <c r="Z528" s="3"/>
      <c r="AA528" s="3"/>
      <c r="AB528" s="3" t="str">
        <f>IF(Caja_Arequipa[[#This Row],[fecha]]&gt;0,TEXT(Caja_Arequipa[[#This Row],[fecha]],"mmmm"),0)</f>
        <v>Junio</v>
      </c>
    </row>
    <row r="529" spans="1:28" x14ac:dyDescent="0.3">
      <c r="A529" s="44">
        <f>IF(Caja_Arequipa[[#This Row],[tipo_r]]="R",COUNTIFS($C$1:$C528,"R")+1,A528)</f>
        <v>467</v>
      </c>
      <c r="B529" s="19" t="str">
        <f>"C-Tesoreria"</f>
        <v>C-Tesoreria</v>
      </c>
      <c r="C529" s="3" t="s">
        <v>1352</v>
      </c>
      <c r="D529" s="14">
        <v>45828</v>
      </c>
      <c r="E529" s="5" t="s">
        <v>1338</v>
      </c>
      <c r="F529" s="5" t="s">
        <v>1336</v>
      </c>
      <c r="G529" s="3" t="s">
        <v>5664</v>
      </c>
      <c r="H529" s="6"/>
      <c r="I529" s="48" t="s">
        <v>111</v>
      </c>
      <c r="J529" s="6">
        <v>3</v>
      </c>
      <c r="K529" s="6">
        <v>217</v>
      </c>
      <c r="L529" s="7" t="s">
        <v>6055</v>
      </c>
      <c r="M529" s="8" t="str">
        <f>IF(Caja_Arequipa[[#This Row],[tipo_r]]="R","001-"&amp;12002+A529,M528)</f>
        <v>001-12469</v>
      </c>
      <c r="N529" s="8" t="str">
        <f>"PEN"</f>
        <v>PEN</v>
      </c>
      <c r="O529" s="13">
        <v>18</v>
      </c>
      <c r="P529" s="13"/>
      <c r="Q529" s="3">
        <f>+IF(OR($F529="SALDO",$F529="INGRESO"),$P529,0)</f>
        <v>0</v>
      </c>
      <c r="R529" s="3">
        <f>+IF($F529="EGRESO",$P529,0)</f>
        <v>0</v>
      </c>
      <c r="S529" s="3">
        <f t="shared" si="45"/>
        <v>691.69999999999891</v>
      </c>
      <c r="T529" s="24"/>
      <c r="U529" s="24"/>
      <c r="V529" s="3"/>
      <c r="W529" s="25" t="str">
        <f>IFERROR(VLOOKUP(Caja_Arequipa[[#This Row],[destinatario]],CHOOSE({1,2},Clientes_Proveedores[Razon Social],Clientes_Proveedores[Ruc / Dni]),2,0),"")</f>
        <v/>
      </c>
      <c r="X529" s="3"/>
      <c r="Y529" s="3"/>
      <c r="Z529" s="3"/>
      <c r="AA529" s="3"/>
      <c r="AB529" s="3" t="str">
        <f>IF(Caja_Arequipa[[#This Row],[fecha]]&gt;0,TEXT(Caja_Arequipa[[#This Row],[fecha]],"mmmm"),0)</f>
        <v>Junio</v>
      </c>
    </row>
    <row r="530" spans="1:28" ht="36" x14ac:dyDescent="0.3">
      <c r="A530" s="44">
        <f>IF(Caja_Arequipa[[#This Row],[tipo_r]]="R",COUNTIFS($C$1:$C529,"R")+1,A529)</f>
        <v>467</v>
      </c>
      <c r="B530" s="19" t="str">
        <f>"C-Tesoreria"</f>
        <v>C-Tesoreria</v>
      </c>
      <c r="C530" s="3" t="s">
        <v>1352</v>
      </c>
      <c r="D530" s="14">
        <v>45828</v>
      </c>
      <c r="E530" s="5" t="s">
        <v>1338</v>
      </c>
      <c r="F530" s="5" t="s">
        <v>1336</v>
      </c>
      <c r="G530" s="3" t="s">
        <v>5664</v>
      </c>
      <c r="H530" s="6" t="s">
        <v>227</v>
      </c>
      <c r="I530" s="48" t="s">
        <v>68</v>
      </c>
      <c r="J530" s="6" t="s">
        <v>1390</v>
      </c>
      <c r="K530" s="6">
        <v>133154</v>
      </c>
      <c r="L530" s="7" t="s">
        <v>6055</v>
      </c>
      <c r="M530" s="8" t="str">
        <f>IF(Caja_Arequipa[[#This Row],[tipo_r]]="R","001-"&amp;12002+A530,M529)</f>
        <v>001-12469</v>
      </c>
      <c r="N530" s="8" t="str">
        <f>"PEN"</f>
        <v>PEN</v>
      </c>
      <c r="O530" s="13">
        <v>10</v>
      </c>
      <c r="P530" s="13"/>
      <c r="Q530" s="3">
        <f>+IF(OR($F530="SALDO",$F530="INGRESO"),$P530,0)</f>
        <v>0</v>
      </c>
      <c r="R530" s="3">
        <f>+IF($F530="EGRESO",$P530,0)</f>
        <v>0</v>
      </c>
      <c r="S530" s="3">
        <f t="shared" si="45"/>
        <v>691.69999999999891</v>
      </c>
      <c r="T530" s="24"/>
      <c r="U530" s="24"/>
      <c r="V530" s="3"/>
      <c r="W530" s="25">
        <f>IFERROR(VLOOKUP(Caja_Arequipa[[#This Row],[destinatario]],CHOOSE({1,2},Clientes_Proveedores[Razon Social],Clientes_Proveedores[Ruc / Dni]),2,0),"")</f>
        <v>20124952850</v>
      </c>
      <c r="X530" s="3"/>
      <c r="Y530" s="3"/>
      <c r="Z530" s="3"/>
      <c r="AA530" s="3"/>
      <c r="AB530" s="3" t="str">
        <f>IF(Caja_Arequipa[[#This Row],[fecha]]&gt;0,TEXT(Caja_Arequipa[[#This Row],[fecha]],"mmmm"),0)</f>
        <v>Junio</v>
      </c>
    </row>
    <row r="531" spans="1:28" ht="36" x14ac:dyDescent="0.3">
      <c r="A531" s="44">
        <f>IF(Caja_Arequipa[[#This Row],[tipo_r]]="R",COUNTIFS($C$1:$C530,"R")+1,A530)</f>
        <v>467</v>
      </c>
      <c r="B531" s="19" t="str">
        <f t="shared" si="41"/>
        <v>C-Tesoreria</v>
      </c>
      <c r="C531" s="3" t="s">
        <v>1352</v>
      </c>
      <c r="D531" s="14">
        <v>45828</v>
      </c>
      <c r="E531" s="5" t="s">
        <v>1338</v>
      </c>
      <c r="F531" s="5"/>
      <c r="G531" s="3"/>
      <c r="H531" s="6" t="s">
        <v>937</v>
      </c>
      <c r="I531" s="48" t="s">
        <v>111</v>
      </c>
      <c r="J531" s="6">
        <v>3</v>
      </c>
      <c r="K531" s="6">
        <v>217</v>
      </c>
      <c r="L531" s="7"/>
      <c r="M531" s="8" t="str">
        <f>IF(Caja_Arequipa[[#This Row],[tipo_r]]="R","001-"&amp;12002+A531,M530)</f>
        <v>001-12469</v>
      </c>
      <c r="N531" s="8" t="str">
        <f>"PEN"</f>
        <v>PEN</v>
      </c>
      <c r="O531" s="13">
        <v>18</v>
      </c>
      <c r="P531" s="13"/>
      <c r="Q531" s="3">
        <f t="shared" si="42"/>
        <v>0</v>
      </c>
      <c r="R531" s="3">
        <f t="shared" si="43"/>
        <v>0</v>
      </c>
      <c r="S531" s="3">
        <f t="shared" si="45"/>
        <v>691.69999999999891</v>
      </c>
      <c r="T531" s="24"/>
      <c r="U531" s="24" t="s">
        <v>1334</v>
      </c>
      <c r="V531" s="3"/>
      <c r="W531" s="25">
        <f>IFERROR(VLOOKUP(Caja_Arequipa[[#This Row],[destinatario]],CHOOSE({1,2},Clientes_Proveedores[Razon Social],Clientes_Proveedores[Ruc / Dni]),2,0),"")</f>
        <v>72728100</v>
      </c>
      <c r="X531" s="3"/>
      <c r="Y531" s="3"/>
      <c r="Z531" s="3"/>
      <c r="AA531" s="3"/>
      <c r="AB531" s="3" t="str">
        <f>IF(Caja_Arequipa[[#This Row],[fecha]]&gt;0,TEXT(Caja_Arequipa[[#This Row],[fecha]],"mmmm"),0)</f>
        <v>Junio</v>
      </c>
    </row>
    <row r="532" spans="1:28" ht="36" x14ac:dyDescent="0.3">
      <c r="A532" s="44">
        <f>IF(Caja_Arequipa[[#This Row],[tipo_r]]="R",COUNTIFS($C$1:$C531,"R")+1,A531)</f>
        <v>467</v>
      </c>
      <c r="B532" s="19" t="str">
        <f t="shared" si="41"/>
        <v>C-Tesoreria</v>
      </c>
      <c r="C532" s="3" t="s">
        <v>1352</v>
      </c>
      <c r="D532" s="14">
        <v>45828</v>
      </c>
      <c r="E532" s="5" t="s">
        <v>1338</v>
      </c>
      <c r="F532" s="5"/>
      <c r="G532" s="3"/>
      <c r="H532" s="6" t="s">
        <v>227</v>
      </c>
      <c r="I532" s="48" t="s">
        <v>68</v>
      </c>
      <c r="J532" s="6" t="s">
        <v>1390</v>
      </c>
      <c r="K532" s="6">
        <v>133154</v>
      </c>
      <c r="L532" s="7"/>
      <c r="M532" s="8" t="str">
        <f>IF(Caja_Arequipa[[#This Row],[tipo_r]]="R","001-"&amp;12002+A532,M531)</f>
        <v>001-12469</v>
      </c>
      <c r="N532" s="8" t="str">
        <f>"PEN"</f>
        <v>PEN</v>
      </c>
      <c r="O532" s="13">
        <v>10</v>
      </c>
      <c r="P532" s="13"/>
      <c r="Q532" s="3">
        <f t="shared" si="42"/>
        <v>0</v>
      </c>
      <c r="R532" s="3">
        <f t="shared" si="43"/>
        <v>0</v>
      </c>
      <c r="S532" s="3">
        <f t="shared" si="45"/>
        <v>691.69999999999891</v>
      </c>
      <c r="T532" s="24"/>
      <c r="U532" s="24" t="s">
        <v>1334</v>
      </c>
      <c r="V532" s="3"/>
      <c r="W532" s="25">
        <f>IFERROR(VLOOKUP(Caja_Arequipa[[#This Row],[destinatario]],CHOOSE({1,2},Clientes_Proveedores[Razon Social],Clientes_Proveedores[Ruc / Dni]),2,0),"")</f>
        <v>20124952850</v>
      </c>
      <c r="X532" s="3"/>
      <c r="Y532" s="3"/>
      <c r="Z532" s="3"/>
      <c r="AA532" s="3"/>
      <c r="AB532" s="3" t="str">
        <f>IF(Caja_Arequipa[[#This Row],[fecha]]&gt;0,TEXT(Caja_Arequipa[[#This Row],[fecha]],"mmmm"),0)</f>
        <v>Junio</v>
      </c>
    </row>
    <row r="533" spans="1:28" x14ac:dyDescent="0.3">
      <c r="A533" s="44">
        <f>IF(Caja_Arequipa[[#This Row],[tipo_r]]="R",COUNTIFS($C$1:$C532,"R")+1,A532)</f>
        <v>468</v>
      </c>
      <c r="B533" s="19" t="str">
        <f t="shared" si="41"/>
        <v>C-Tesoreria</v>
      </c>
      <c r="C533" s="3" t="s">
        <v>1330</v>
      </c>
      <c r="D533" s="14">
        <v>45828</v>
      </c>
      <c r="E533" s="5" t="s">
        <v>1338</v>
      </c>
      <c r="F533" s="5" t="s">
        <v>1336</v>
      </c>
      <c r="G533" s="3" t="s">
        <v>5811</v>
      </c>
      <c r="H533" s="6"/>
      <c r="I533" s="45" t="s">
        <v>111</v>
      </c>
      <c r="J533" s="6">
        <v>3</v>
      </c>
      <c r="K533" s="6">
        <v>220</v>
      </c>
      <c r="L533" s="7" t="s">
        <v>6090</v>
      </c>
      <c r="M533" s="8" t="str">
        <f>IF(Caja_Arequipa[[#This Row],[tipo_r]]="R","001-"&amp;12002+A533,M532)</f>
        <v>001-12470</v>
      </c>
      <c r="N533" s="8" t="str">
        <f t="shared" si="44"/>
        <v>PEN</v>
      </c>
      <c r="O533" s="13"/>
      <c r="P533" s="13">
        <v>30</v>
      </c>
      <c r="Q533" s="3">
        <f t="shared" si="42"/>
        <v>0</v>
      </c>
      <c r="R533" s="3">
        <f t="shared" si="43"/>
        <v>30</v>
      </c>
      <c r="S533" s="3">
        <f t="shared" si="45"/>
        <v>661.69999999999891</v>
      </c>
      <c r="T533" s="24" t="s">
        <v>1334</v>
      </c>
      <c r="U533" s="24" t="s">
        <v>1334</v>
      </c>
      <c r="V533" s="3"/>
      <c r="W533" s="25" t="str">
        <f>IFERROR(VLOOKUP(Caja_Arequipa[[#This Row],[destinatario]],CHOOSE({1,2},Clientes_Proveedores[Razon Social],Clientes_Proveedores[Ruc / Dni]),2,0),"")</f>
        <v/>
      </c>
      <c r="X533" s="3" t="s">
        <v>6091</v>
      </c>
      <c r="Y533" s="3"/>
      <c r="Z533" s="3"/>
      <c r="AA533" s="3"/>
      <c r="AB533" s="3" t="str">
        <f>IF(Caja_Arequipa[[#This Row],[fecha]]&gt;0,TEXT(Caja_Arequipa[[#This Row],[fecha]],"mmmm"),0)</f>
        <v>Junio</v>
      </c>
    </row>
    <row r="534" spans="1:28" ht="24" x14ac:dyDescent="0.3">
      <c r="A534" s="44">
        <f>IF(Caja_Arequipa[[#This Row],[tipo_r]]="R",COUNTIFS($C$1:$C533,"R")+1,A533)</f>
        <v>469</v>
      </c>
      <c r="B534" s="19" t="str">
        <f t="shared" si="41"/>
        <v>C-Tesoreria</v>
      </c>
      <c r="C534" s="3" t="s">
        <v>1330</v>
      </c>
      <c r="D534" s="14">
        <v>45828</v>
      </c>
      <c r="E534" s="5" t="s">
        <v>1338</v>
      </c>
      <c r="F534" s="5" t="s">
        <v>1336</v>
      </c>
      <c r="G534" s="3" t="s">
        <v>4788</v>
      </c>
      <c r="H534" s="6"/>
      <c r="I534" s="48"/>
      <c r="J534" s="6"/>
      <c r="K534" s="6"/>
      <c r="L534" s="7" t="s">
        <v>6092</v>
      </c>
      <c r="M534" s="8" t="str">
        <f>IF(Caja_Arequipa[[#This Row],[tipo_r]]="R","001-"&amp;12002+A534,M533)</f>
        <v>001-12471</v>
      </c>
      <c r="N534" s="8" t="str">
        <f t="shared" si="44"/>
        <v>PEN</v>
      </c>
      <c r="O534" s="13"/>
      <c r="P534" s="13">
        <v>37</v>
      </c>
      <c r="Q534" s="3">
        <f t="shared" si="42"/>
        <v>0</v>
      </c>
      <c r="R534" s="3">
        <f t="shared" si="43"/>
        <v>37</v>
      </c>
      <c r="S534" s="3">
        <f t="shared" si="45"/>
        <v>624.69999999999891</v>
      </c>
      <c r="T534" s="24"/>
      <c r="U534" s="24" t="s">
        <v>1334</v>
      </c>
      <c r="V534" s="3"/>
      <c r="W534" s="25" t="str">
        <f>IFERROR(VLOOKUP(Caja_Arequipa[[#This Row],[destinatario]],CHOOSE({1,2},Clientes_Proveedores[Razon Social],Clientes_Proveedores[Ruc / Dni]),2,0),"")</f>
        <v/>
      </c>
      <c r="X534" s="3" t="s">
        <v>6093</v>
      </c>
      <c r="Y534" s="3"/>
      <c r="Z534" s="3"/>
      <c r="AA534" s="3"/>
      <c r="AB534" s="3" t="str">
        <f>IF(Caja_Arequipa[[#This Row],[fecha]]&gt;0,TEXT(Caja_Arequipa[[#This Row],[fecha]],"mmmm"),0)</f>
        <v>Junio</v>
      </c>
    </row>
    <row r="535" spans="1:28" ht="24" x14ac:dyDescent="0.3">
      <c r="A535" s="44">
        <f>IF(Caja_Arequipa[[#This Row],[tipo_r]]="R",COUNTIFS($C$1:$C534,"R")+1,A534)</f>
        <v>469</v>
      </c>
      <c r="B535" s="19" t="str">
        <f t="shared" si="41"/>
        <v>C-Tesoreria</v>
      </c>
      <c r="C535" s="3" t="s">
        <v>1352</v>
      </c>
      <c r="D535" s="14">
        <v>45828</v>
      </c>
      <c r="E535" s="5" t="s">
        <v>1338</v>
      </c>
      <c r="F535" s="5" t="s">
        <v>1336</v>
      </c>
      <c r="G535" s="3" t="s">
        <v>4788</v>
      </c>
      <c r="H535" s="6" t="s">
        <v>683</v>
      </c>
      <c r="I535" s="48" t="s">
        <v>68</v>
      </c>
      <c r="J535" s="6" t="s">
        <v>5627</v>
      </c>
      <c r="K535" s="6">
        <v>285896</v>
      </c>
      <c r="L535" s="7" t="s">
        <v>6092</v>
      </c>
      <c r="M535" s="8" t="str">
        <f>IF(Caja_Arequipa[[#This Row],[tipo_r]]="R","001-"&amp;12002+A535,M534)</f>
        <v>001-12471</v>
      </c>
      <c r="N535" s="8" t="str">
        <f>"PEN"</f>
        <v>PEN</v>
      </c>
      <c r="O535" s="13">
        <v>22</v>
      </c>
      <c r="P535" s="13"/>
      <c r="Q535" s="3">
        <f t="shared" si="42"/>
        <v>0</v>
      </c>
      <c r="R535" s="3">
        <f t="shared" si="43"/>
        <v>0</v>
      </c>
      <c r="S535" s="3">
        <f t="shared" si="45"/>
        <v>624.69999999999891</v>
      </c>
      <c r="T535" s="24"/>
      <c r="U535" s="24" t="s">
        <v>1334</v>
      </c>
      <c r="V535" s="3"/>
      <c r="W535" s="25">
        <f>IFERROR(VLOOKUP(Caja_Arequipa[[#This Row],[destinatario]],CHOOSE({1,2},Clientes_Proveedores[Razon Social],Clientes_Proveedores[Ruc / Dni]),2,0),"")</f>
        <v>20512528458</v>
      </c>
      <c r="X535" s="3"/>
      <c r="Y535" s="3"/>
      <c r="Z535" s="3"/>
      <c r="AA535" s="3"/>
      <c r="AB535" s="3" t="str">
        <f>IF(Caja_Arequipa[[#This Row],[fecha]]&gt;0,TEXT(Caja_Arequipa[[#This Row],[fecha]],"mmmm"),0)</f>
        <v>Junio</v>
      </c>
    </row>
    <row r="536" spans="1:28" ht="24" x14ac:dyDescent="0.3">
      <c r="A536" s="44">
        <f>IF(Caja_Arequipa[[#This Row],[tipo_r]]="R",COUNTIFS($C$1:$C535,"R")+1,A535)</f>
        <v>469</v>
      </c>
      <c r="B536" s="19" t="str">
        <f t="shared" si="41"/>
        <v>C-Tesoreria</v>
      </c>
      <c r="C536" s="3" t="s">
        <v>1352</v>
      </c>
      <c r="D536" s="14">
        <v>45828</v>
      </c>
      <c r="E536" s="5" t="s">
        <v>1338</v>
      </c>
      <c r="F536" s="5" t="s">
        <v>1336</v>
      </c>
      <c r="G536" s="3" t="s">
        <v>4788</v>
      </c>
      <c r="H536" s="6" t="s">
        <v>967</v>
      </c>
      <c r="I536" s="48" t="s">
        <v>111</v>
      </c>
      <c r="J536" s="6">
        <v>3</v>
      </c>
      <c r="K536" s="6">
        <v>237</v>
      </c>
      <c r="L536" s="7" t="s">
        <v>6092</v>
      </c>
      <c r="M536" s="8" t="str">
        <f>IF(Caja_Arequipa[[#This Row],[tipo_r]]="R","001-"&amp;12002+A536,M535)</f>
        <v>001-12471</v>
      </c>
      <c r="N536" s="8" t="str">
        <f>"PEN"</f>
        <v>PEN</v>
      </c>
      <c r="O536" s="13">
        <v>15</v>
      </c>
      <c r="P536" s="13"/>
      <c r="Q536" s="3">
        <f t="shared" si="42"/>
        <v>0</v>
      </c>
      <c r="R536" s="3">
        <f t="shared" si="43"/>
        <v>0</v>
      </c>
      <c r="S536" s="3">
        <f t="shared" si="45"/>
        <v>624.69999999999891</v>
      </c>
      <c r="T536" s="24"/>
      <c r="U536" s="24" t="s">
        <v>1334</v>
      </c>
      <c r="V536" s="3"/>
      <c r="W536" s="25">
        <f>IFERROR(VLOOKUP(Caja_Arequipa[[#This Row],[destinatario]],CHOOSE({1,2},Clientes_Proveedores[Razon Social],Clientes_Proveedores[Ruc / Dni]),2,0),"")</f>
        <v>70517150</v>
      </c>
      <c r="X536" s="3"/>
      <c r="Y536" s="3"/>
      <c r="Z536" s="3"/>
      <c r="AA536" s="3"/>
      <c r="AB536" s="3" t="str">
        <f>IF(Caja_Arequipa[[#This Row],[fecha]]&gt;0,TEXT(Caja_Arequipa[[#This Row],[fecha]],"mmmm"),0)</f>
        <v>Junio</v>
      </c>
    </row>
    <row r="537" spans="1:28" ht="24" x14ac:dyDescent="0.3">
      <c r="A537" s="44">
        <f>IF(Caja_Arequipa[[#This Row],[tipo_r]]="R",COUNTIFS($C$1:$C536,"R")+1,A536)</f>
        <v>470</v>
      </c>
      <c r="B537" s="19" t="str">
        <f t="shared" si="41"/>
        <v>C-Tesoreria</v>
      </c>
      <c r="C537" s="3" t="s">
        <v>1330</v>
      </c>
      <c r="D537" s="14">
        <v>45828</v>
      </c>
      <c r="E537" s="5" t="s">
        <v>1338</v>
      </c>
      <c r="F537" s="5" t="s">
        <v>1303</v>
      </c>
      <c r="G537" s="3" t="s">
        <v>5250</v>
      </c>
      <c r="H537" s="6"/>
      <c r="I537" s="46"/>
      <c r="J537" s="6"/>
      <c r="K537" s="6"/>
      <c r="L537" s="7" t="s">
        <v>6094</v>
      </c>
      <c r="M537" s="8" t="str">
        <f>IF(Caja_Arequipa[[#This Row],[tipo_r]]="R","001-"&amp;12002+A537,M536)</f>
        <v>001-12472</v>
      </c>
      <c r="N537" s="8" t="str">
        <f t="shared" si="44"/>
        <v>PEN</v>
      </c>
      <c r="O537" s="13"/>
      <c r="P537" s="13">
        <v>30</v>
      </c>
      <c r="Q537" s="3">
        <f t="shared" si="42"/>
        <v>30</v>
      </c>
      <c r="R537" s="3">
        <f t="shared" si="43"/>
        <v>0</v>
      </c>
      <c r="S537" s="3">
        <f t="shared" si="45"/>
        <v>654.69999999999891</v>
      </c>
      <c r="T537" s="24"/>
      <c r="U537" s="24"/>
      <c r="V537" s="3"/>
      <c r="W537" s="25" t="str">
        <f>IFERROR(VLOOKUP(Caja_Arequipa[[#This Row],[destinatario]],CHOOSE({1,2},Clientes_Proveedores[Razon Social],Clientes_Proveedores[Ruc / Dni]),2,0),"")</f>
        <v/>
      </c>
      <c r="X537" s="3" t="s">
        <v>6082</v>
      </c>
      <c r="Y537" s="3"/>
      <c r="Z537" s="3"/>
      <c r="AA537" s="3"/>
      <c r="AB537" s="3" t="str">
        <f>IF(Caja_Arequipa[[#This Row],[fecha]]&gt;0,TEXT(Caja_Arequipa[[#This Row],[fecha]],"mmmm"),0)</f>
        <v>Junio</v>
      </c>
    </row>
    <row r="538" spans="1:28" ht="24" x14ac:dyDescent="0.3">
      <c r="A538" s="44">
        <f>IF(Caja_Arequipa[[#This Row],[tipo_r]]="R",COUNTIFS($C$1:$C537,"R")+1,A537)</f>
        <v>471</v>
      </c>
      <c r="B538" s="19" t="str">
        <f t="shared" si="41"/>
        <v>C-Tesoreria</v>
      </c>
      <c r="C538" s="3" t="s">
        <v>1330</v>
      </c>
      <c r="D538" s="14">
        <v>45831</v>
      </c>
      <c r="E538" s="5" t="s">
        <v>1338</v>
      </c>
      <c r="F538" s="5" t="s">
        <v>1336</v>
      </c>
      <c r="G538" s="3" t="s">
        <v>5828</v>
      </c>
      <c r="H538" s="6"/>
      <c r="I538" s="45" t="s">
        <v>111</v>
      </c>
      <c r="J538" s="6">
        <v>3</v>
      </c>
      <c r="K538" s="6">
        <v>222</v>
      </c>
      <c r="L538" s="7" t="s">
        <v>6095</v>
      </c>
      <c r="M538" s="8" t="str">
        <f>IF(Caja_Arequipa[[#This Row],[tipo_r]]="R","001-"&amp;12002+A538,M537)</f>
        <v>001-12473</v>
      </c>
      <c r="N538" s="8" t="str">
        <f t="shared" si="44"/>
        <v>PEN</v>
      </c>
      <c r="O538" s="13"/>
      <c r="P538" s="13">
        <v>16</v>
      </c>
      <c r="Q538" s="3">
        <f t="shared" si="42"/>
        <v>0</v>
      </c>
      <c r="R538" s="3">
        <f t="shared" si="43"/>
        <v>16</v>
      </c>
      <c r="S538" s="3">
        <f t="shared" si="45"/>
        <v>638.69999999999891</v>
      </c>
      <c r="T538" s="24" t="s">
        <v>1334</v>
      </c>
      <c r="U538" s="24" t="s">
        <v>1334</v>
      </c>
      <c r="V538" s="3"/>
      <c r="W538" s="25" t="str">
        <f>IFERROR(VLOOKUP(Caja_Arequipa[[#This Row],[destinatario]],CHOOSE({1,2},Clientes_Proveedores[Razon Social],Clientes_Proveedores[Ruc / Dni]),2,0),"")</f>
        <v/>
      </c>
      <c r="X538" s="3" t="s">
        <v>6096</v>
      </c>
      <c r="Y538" s="3"/>
      <c r="Z538" s="3"/>
      <c r="AA538" s="3"/>
      <c r="AB538" s="3" t="str">
        <f>IF(Caja_Arequipa[[#This Row],[fecha]]&gt;0,TEXT(Caja_Arequipa[[#This Row],[fecha]],"mmmm"),0)</f>
        <v>Junio</v>
      </c>
    </row>
    <row r="539" spans="1:28" x14ac:dyDescent="0.3">
      <c r="A539" s="44">
        <f>IF(Caja_Arequipa[[#This Row],[tipo_r]]="R",COUNTIFS($C$1:$C538,"R")+1,A538)</f>
        <v>472</v>
      </c>
      <c r="B539" s="19" t="str">
        <f t="shared" si="41"/>
        <v>C-Tesoreria</v>
      </c>
      <c r="C539" s="3" t="s">
        <v>1330</v>
      </c>
      <c r="D539" s="14">
        <v>45832</v>
      </c>
      <c r="E539" s="5" t="s">
        <v>1416</v>
      </c>
      <c r="F539" s="5" t="s">
        <v>1303</v>
      </c>
      <c r="G539" s="3" t="s">
        <v>3634</v>
      </c>
      <c r="H539" s="6"/>
      <c r="I539" s="46"/>
      <c r="J539" s="6"/>
      <c r="K539" s="6"/>
      <c r="L539" s="7" t="s">
        <v>3547</v>
      </c>
      <c r="M539" s="8" t="str">
        <f>IF(Caja_Arequipa[[#This Row],[tipo_r]]="R","001-"&amp;12002+A539,M538)</f>
        <v>001-12474</v>
      </c>
      <c r="N539" s="8" t="str">
        <f t="shared" si="44"/>
        <v>PEN</v>
      </c>
      <c r="O539" s="13"/>
      <c r="P539" s="13">
        <v>1816.5</v>
      </c>
      <c r="Q539" s="3">
        <f t="shared" si="42"/>
        <v>1816.5</v>
      </c>
      <c r="R539" s="3">
        <f t="shared" si="43"/>
        <v>0</v>
      </c>
      <c r="S539" s="3">
        <f t="shared" si="45"/>
        <v>2455.1999999999989</v>
      </c>
      <c r="T539" s="24"/>
      <c r="U539" s="24"/>
      <c r="V539" s="3"/>
      <c r="W539" s="25" t="str">
        <f>IFERROR(VLOOKUP(Caja_Arequipa[[#This Row],[destinatario]],CHOOSE({1,2},Clientes_Proveedores[Razon Social],Clientes_Proveedores[Ruc / Dni]),2,0),"")</f>
        <v/>
      </c>
      <c r="X539" s="3"/>
      <c r="Y539" s="3"/>
      <c r="Z539" s="3"/>
      <c r="AA539" s="3"/>
      <c r="AB539" s="3" t="str">
        <f>IF(Caja_Arequipa[[#This Row],[fecha]]&gt;0,TEXT(Caja_Arequipa[[#This Row],[fecha]],"mmmm"),0)</f>
        <v>Junio</v>
      </c>
    </row>
    <row r="540" spans="1:28" x14ac:dyDescent="0.3">
      <c r="A540" s="44">
        <f>IF(Caja_Arequipa[[#This Row],[tipo_r]]="R",COUNTIFS($C$1:$C539,"R")+1,A539)</f>
        <v>473</v>
      </c>
      <c r="B540" s="19" t="str">
        <f t="shared" si="41"/>
        <v>C-Tesoreria</v>
      </c>
      <c r="C540" s="3" t="s">
        <v>1330</v>
      </c>
      <c r="D540" s="14">
        <v>45832</v>
      </c>
      <c r="E540" s="5" t="s">
        <v>1338</v>
      </c>
      <c r="F540" s="5" t="s">
        <v>1336</v>
      </c>
      <c r="G540" s="3" t="s">
        <v>5811</v>
      </c>
      <c r="H540" s="6"/>
      <c r="I540" s="45" t="s">
        <v>111</v>
      </c>
      <c r="J540" s="6">
        <v>3</v>
      </c>
      <c r="K540" s="6">
        <v>221</v>
      </c>
      <c r="L540" s="7" t="s">
        <v>6097</v>
      </c>
      <c r="M540" s="8" t="str">
        <f>IF(Caja_Arequipa[[#This Row],[tipo_r]]="R","001-"&amp;12002+A540,M539)</f>
        <v>001-12475</v>
      </c>
      <c r="N540" s="8" t="str">
        <f t="shared" si="44"/>
        <v>PEN</v>
      </c>
      <c r="O540" s="13"/>
      <c r="P540" s="13">
        <v>35</v>
      </c>
      <c r="Q540" s="3">
        <f t="shared" si="42"/>
        <v>0</v>
      </c>
      <c r="R540" s="3">
        <f t="shared" si="43"/>
        <v>35</v>
      </c>
      <c r="S540" s="3">
        <f t="shared" si="45"/>
        <v>2420.1999999999989</v>
      </c>
      <c r="T540" s="24" t="s">
        <v>1334</v>
      </c>
      <c r="U540" s="24" t="s">
        <v>1334</v>
      </c>
      <c r="V540" s="3"/>
      <c r="W540" s="25" t="str">
        <f>IFERROR(VLOOKUP(Caja_Arequipa[[#This Row],[destinatario]],CHOOSE({1,2},Clientes_Proveedores[Razon Social],Clientes_Proveedores[Ruc / Dni]),2,0),"")</f>
        <v/>
      </c>
      <c r="X540" s="3" t="s">
        <v>6098</v>
      </c>
      <c r="Y540" s="3"/>
      <c r="Z540" s="3"/>
      <c r="AA540" s="3"/>
      <c r="AB540" s="3" t="str">
        <f>IF(Caja_Arequipa[[#This Row],[fecha]]&gt;0,TEXT(Caja_Arequipa[[#This Row],[fecha]],"mmmm"),0)</f>
        <v>Junio</v>
      </c>
    </row>
    <row r="541" spans="1:28" ht="24" x14ac:dyDescent="0.3">
      <c r="A541" s="44">
        <f>IF(Caja_Arequipa[[#This Row],[tipo_r]]="R",COUNTIFS($C$1:$C540,"R")+1,A540)</f>
        <v>474</v>
      </c>
      <c r="B541" s="19" t="str">
        <f t="shared" si="41"/>
        <v>C-Tesoreria</v>
      </c>
      <c r="C541" s="3" t="s">
        <v>1330</v>
      </c>
      <c r="D541" s="14">
        <v>45832</v>
      </c>
      <c r="E541" s="5" t="s">
        <v>1338</v>
      </c>
      <c r="F541" s="5" t="s">
        <v>1336</v>
      </c>
      <c r="G541" s="3" t="s">
        <v>5274</v>
      </c>
      <c r="H541" s="6"/>
      <c r="I541" s="48"/>
      <c r="J541" s="6"/>
      <c r="K541" s="6"/>
      <c r="L541" s="7" t="s">
        <v>6055</v>
      </c>
      <c r="M541" s="8" t="str">
        <f>IF(Caja_Arequipa[[#This Row],[tipo_r]]="R","001-"&amp;12002+A541,M540)</f>
        <v>001-12476</v>
      </c>
      <c r="N541" s="8" t="str">
        <f t="shared" si="44"/>
        <v>PEN</v>
      </c>
      <c r="O541" s="13"/>
      <c r="P541" s="13">
        <v>64</v>
      </c>
      <c r="Q541" s="3">
        <f t="shared" si="42"/>
        <v>0</v>
      </c>
      <c r="R541" s="3">
        <f t="shared" si="43"/>
        <v>64</v>
      </c>
      <c r="S541" s="3">
        <f t="shared" si="45"/>
        <v>2356.1999999999989</v>
      </c>
      <c r="T541" s="24" t="s">
        <v>1334</v>
      </c>
      <c r="U541" s="24" t="s">
        <v>1334</v>
      </c>
      <c r="V541" s="3"/>
      <c r="W541" s="25" t="str">
        <f>IFERROR(VLOOKUP(Caja_Arequipa[[#This Row],[destinatario]],CHOOSE({1,2},Clientes_Proveedores[Razon Social],Clientes_Proveedores[Ruc / Dni]),2,0),"")</f>
        <v/>
      </c>
      <c r="X541" s="3" t="s">
        <v>6099</v>
      </c>
      <c r="Y541" s="3"/>
      <c r="Z541" s="3"/>
      <c r="AA541" s="3"/>
      <c r="AB541" s="3" t="str">
        <f>IF(Caja_Arequipa[[#This Row],[fecha]]&gt;0,TEXT(Caja_Arequipa[[#This Row],[fecha]],"mmmm"),0)</f>
        <v>Junio</v>
      </c>
    </row>
    <row r="542" spans="1:28" ht="24" x14ac:dyDescent="0.3">
      <c r="A542" s="44">
        <f>IF(Caja_Arequipa[[#This Row],[tipo_r]]="R",COUNTIFS($C$1:$C541,"R")+1,A541)</f>
        <v>474</v>
      </c>
      <c r="B542" s="19" t="str">
        <f t="shared" si="41"/>
        <v>C-Tesoreria</v>
      </c>
      <c r="C542" s="3" t="s">
        <v>1352</v>
      </c>
      <c r="D542" s="14">
        <v>45832</v>
      </c>
      <c r="E542" s="5" t="s">
        <v>1338</v>
      </c>
      <c r="F542" s="5" t="s">
        <v>1336</v>
      </c>
      <c r="G542" s="3" t="s">
        <v>5274</v>
      </c>
      <c r="H542" s="6" t="s">
        <v>882</v>
      </c>
      <c r="I542" s="48" t="s">
        <v>111</v>
      </c>
      <c r="J542" s="6">
        <v>3</v>
      </c>
      <c r="K542" s="6">
        <v>218</v>
      </c>
      <c r="L542" s="7" t="s">
        <v>6055</v>
      </c>
      <c r="M542" s="8" t="str">
        <f>IF(Caja_Arequipa[[#This Row],[tipo_r]]="R","001-"&amp;12002+A542,M541)</f>
        <v>001-12476</v>
      </c>
      <c r="N542" s="8" t="str">
        <f>"PEN"</f>
        <v>PEN</v>
      </c>
      <c r="O542" s="13">
        <v>30</v>
      </c>
      <c r="P542" s="13"/>
      <c r="Q542" s="3">
        <f t="shared" si="42"/>
        <v>0</v>
      </c>
      <c r="R542" s="3">
        <f t="shared" si="43"/>
        <v>0</v>
      </c>
      <c r="S542" s="3">
        <f t="shared" si="45"/>
        <v>2356.1999999999989</v>
      </c>
      <c r="T542" s="24"/>
      <c r="U542" s="24" t="s">
        <v>1334</v>
      </c>
      <c r="V542" s="3"/>
      <c r="W542" s="25">
        <f>IFERROR(VLOOKUP(Caja_Arequipa[[#This Row],[destinatario]],CHOOSE({1,2},Clientes_Proveedores[Razon Social],Clientes_Proveedores[Ruc / Dni]),2,0),"")</f>
        <v>72450429</v>
      </c>
      <c r="X542" s="3"/>
      <c r="Y542" s="3"/>
      <c r="Z542" s="3"/>
      <c r="AA542" s="3"/>
      <c r="AB542" s="3" t="str">
        <f>IF(Caja_Arequipa[[#This Row],[fecha]]&gt;0,TEXT(Caja_Arequipa[[#This Row],[fecha]],"mmmm"),0)</f>
        <v>Junio</v>
      </c>
    </row>
    <row r="543" spans="1:28" ht="24" x14ac:dyDescent="0.3">
      <c r="A543" s="44">
        <f>IF(Caja_Arequipa[[#This Row],[tipo_r]]="R",COUNTIFS($C$1:$C542,"R")+1,A542)</f>
        <v>474</v>
      </c>
      <c r="B543" s="19" t="str">
        <f t="shared" si="41"/>
        <v>C-Tesoreria</v>
      </c>
      <c r="C543" s="3" t="s">
        <v>1352</v>
      </c>
      <c r="D543" s="14">
        <v>45832</v>
      </c>
      <c r="E543" s="5" t="s">
        <v>1338</v>
      </c>
      <c r="F543" s="5" t="s">
        <v>1336</v>
      </c>
      <c r="G543" s="3" t="s">
        <v>5274</v>
      </c>
      <c r="H543" s="6" t="s">
        <v>974</v>
      </c>
      <c r="I543" s="48" t="s">
        <v>68</v>
      </c>
      <c r="J543" s="6" t="s">
        <v>5917</v>
      </c>
      <c r="K543" s="6">
        <v>5189</v>
      </c>
      <c r="L543" s="7" t="s">
        <v>6055</v>
      </c>
      <c r="M543" s="8" t="str">
        <f>IF(Caja_Arequipa[[#This Row],[tipo_r]]="R","001-"&amp;12002+A543,M542)</f>
        <v>001-12476</v>
      </c>
      <c r="N543" s="8" t="str">
        <f>"PEN"</f>
        <v>PEN</v>
      </c>
      <c r="O543" s="13">
        <v>34</v>
      </c>
      <c r="P543" s="13"/>
      <c r="Q543" s="3">
        <f t="shared" si="42"/>
        <v>0</v>
      </c>
      <c r="R543" s="3">
        <f t="shared" si="43"/>
        <v>0</v>
      </c>
      <c r="S543" s="3">
        <f t="shared" si="45"/>
        <v>2356.1999999999989</v>
      </c>
      <c r="T543" s="24"/>
      <c r="U543" s="24" t="s">
        <v>1334</v>
      </c>
      <c r="V543" s="3"/>
      <c r="W543" s="25">
        <f>IFERROR(VLOOKUP(Caja_Arequipa[[#This Row],[destinatario]],CHOOSE({1,2},Clientes_Proveedores[Razon Social],Clientes_Proveedores[Ruc / Dni]),2,0),"")</f>
        <v>20558053691</v>
      </c>
      <c r="X543" s="3"/>
      <c r="Y543" s="3"/>
      <c r="Z543" s="3"/>
      <c r="AA543" s="3"/>
      <c r="AB543" s="3" t="str">
        <f>IF(Caja_Arequipa[[#This Row],[fecha]]&gt;0,TEXT(Caja_Arequipa[[#This Row],[fecha]],"mmmm"),0)</f>
        <v>Junio</v>
      </c>
    </row>
    <row r="544" spans="1:28" ht="24" x14ac:dyDescent="0.3">
      <c r="A544" s="44">
        <f>IF(Caja_Arequipa[[#This Row],[tipo_r]]="R",COUNTIFS($C$1:$C543,"R")+1,A543)</f>
        <v>475</v>
      </c>
      <c r="B544" s="19" t="str">
        <f t="shared" si="41"/>
        <v>C-Tesoreria</v>
      </c>
      <c r="C544" s="3" t="s">
        <v>1330</v>
      </c>
      <c r="D544" s="14">
        <v>45833</v>
      </c>
      <c r="E544" s="5" t="s">
        <v>1338</v>
      </c>
      <c r="F544" s="5" t="s">
        <v>1336</v>
      </c>
      <c r="G544" s="3" t="s">
        <v>5380</v>
      </c>
      <c r="H544" s="6"/>
      <c r="I544" s="48"/>
      <c r="J544" s="6"/>
      <c r="K544" s="6"/>
      <c r="L544" s="7" t="s">
        <v>6055</v>
      </c>
      <c r="M544" s="8" t="str">
        <f>IF(Caja_Arequipa[[#This Row],[tipo_r]]="R","001-"&amp;12002+A544,M543)</f>
        <v>001-12477</v>
      </c>
      <c r="N544" s="8" t="str">
        <f t="shared" si="44"/>
        <v>PEN</v>
      </c>
      <c r="O544" s="13"/>
      <c r="P544" s="13">
        <v>273</v>
      </c>
      <c r="Q544" s="3">
        <f t="shared" si="42"/>
        <v>0</v>
      </c>
      <c r="R544" s="3">
        <f t="shared" si="43"/>
        <v>273</v>
      </c>
      <c r="S544" s="3">
        <f t="shared" si="45"/>
        <v>2083.1999999999989</v>
      </c>
      <c r="T544" s="24" t="s">
        <v>1334</v>
      </c>
      <c r="U544" s="24" t="s">
        <v>1334</v>
      </c>
      <c r="V544" s="3"/>
      <c r="W544" s="25" t="str">
        <f>IFERROR(VLOOKUP(Caja_Arequipa[[#This Row],[destinatario]],CHOOSE({1,2},Clientes_Proveedores[Razon Social],Clientes_Proveedores[Ruc / Dni]),2,0),"")</f>
        <v/>
      </c>
      <c r="X544" s="3" t="s">
        <v>6100</v>
      </c>
      <c r="Y544" s="3"/>
      <c r="Z544" s="3"/>
      <c r="AA544" s="3"/>
      <c r="AB544" s="3" t="str">
        <f>IF(Caja_Arequipa[[#This Row],[fecha]]&gt;0,TEXT(Caja_Arequipa[[#This Row],[fecha]],"mmmm"),0)</f>
        <v>Junio</v>
      </c>
    </row>
    <row r="545" spans="1:28" ht="24" x14ac:dyDescent="0.3">
      <c r="A545" s="44">
        <f>IF(Caja_Arequipa[[#This Row],[tipo_r]]="R",COUNTIFS($C$1:$C544,"R")+1,A544)</f>
        <v>475</v>
      </c>
      <c r="B545" s="19" t="str">
        <f t="shared" si="41"/>
        <v>C-Tesoreria</v>
      </c>
      <c r="C545" s="3" t="s">
        <v>1352</v>
      </c>
      <c r="D545" s="14">
        <v>45833</v>
      </c>
      <c r="E545" s="5" t="s">
        <v>1338</v>
      </c>
      <c r="F545" s="5"/>
      <c r="G545" s="3"/>
      <c r="H545" s="6" t="s">
        <v>598</v>
      </c>
      <c r="I545" s="48" t="s">
        <v>68</v>
      </c>
      <c r="J545" s="6" t="s">
        <v>1376</v>
      </c>
      <c r="K545" s="6">
        <v>306</v>
      </c>
      <c r="L545" s="7"/>
      <c r="M545" s="8" t="str">
        <f>IF(Caja_Arequipa[[#This Row],[tipo_r]]="R","001-"&amp;12002+A545,M544)</f>
        <v>001-12477</v>
      </c>
      <c r="N545" s="8" t="str">
        <f>"PEN"</f>
        <v>PEN</v>
      </c>
      <c r="O545" s="13">
        <v>220</v>
      </c>
      <c r="P545" s="13"/>
      <c r="Q545" s="3">
        <f t="shared" si="42"/>
        <v>0</v>
      </c>
      <c r="R545" s="3">
        <f t="shared" si="43"/>
        <v>0</v>
      </c>
      <c r="S545" s="3">
        <f t="shared" si="45"/>
        <v>2083.1999999999989</v>
      </c>
      <c r="T545" s="24"/>
      <c r="U545" s="24" t="s">
        <v>1334</v>
      </c>
      <c r="V545" s="3"/>
      <c r="W545" s="25">
        <f>IFERROR(VLOOKUP(Caja_Arequipa[[#This Row],[destinatario]],CHOOSE({1,2},Clientes_Proveedores[Razon Social],Clientes_Proveedores[Ruc / Dni]),2,0),"")</f>
        <v>20609908492</v>
      </c>
      <c r="X545" s="3"/>
      <c r="Y545" s="3"/>
      <c r="Z545" s="3"/>
      <c r="AA545" s="3"/>
      <c r="AB545" s="3" t="str">
        <f>IF(Caja_Arequipa[[#This Row],[fecha]]&gt;0,TEXT(Caja_Arequipa[[#This Row],[fecha]],"mmmm"),0)</f>
        <v>Junio</v>
      </c>
    </row>
    <row r="546" spans="1:28" ht="24" x14ac:dyDescent="0.3">
      <c r="A546" s="44">
        <f>IF(Caja_Arequipa[[#This Row],[tipo_r]]="R",COUNTIFS($C$1:$C545,"R")+1,A545)</f>
        <v>475</v>
      </c>
      <c r="B546" s="19" t="str">
        <f t="shared" si="41"/>
        <v>C-Tesoreria</v>
      </c>
      <c r="C546" s="3" t="s">
        <v>1352</v>
      </c>
      <c r="D546" s="14">
        <v>45833</v>
      </c>
      <c r="E546" s="5" t="s">
        <v>1338</v>
      </c>
      <c r="F546" s="5"/>
      <c r="G546" s="3"/>
      <c r="H546" s="6" t="s">
        <v>991</v>
      </c>
      <c r="I546" s="48" t="s">
        <v>68</v>
      </c>
      <c r="J546" s="6" t="s">
        <v>1376</v>
      </c>
      <c r="K546" s="6">
        <v>921</v>
      </c>
      <c r="L546" s="7"/>
      <c r="M546" s="8" t="str">
        <f>IF(Caja_Arequipa[[#This Row],[tipo_r]]="R","001-"&amp;12002+A546,M545)</f>
        <v>001-12477</v>
      </c>
      <c r="N546" s="8" t="str">
        <f>"PEN"</f>
        <v>PEN</v>
      </c>
      <c r="O546" s="13">
        <v>35</v>
      </c>
      <c r="P546" s="13"/>
      <c r="Q546" s="3">
        <f t="shared" si="42"/>
        <v>0</v>
      </c>
      <c r="R546" s="3">
        <f t="shared" si="43"/>
        <v>0</v>
      </c>
      <c r="S546" s="3">
        <f t="shared" si="45"/>
        <v>2083.1999999999989</v>
      </c>
      <c r="T546" s="24"/>
      <c r="U546" s="24" t="s">
        <v>1334</v>
      </c>
      <c r="V546" s="49">
        <v>10305624930</v>
      </c>
      <c r="W546" s="25">
        <f>IFERROR(VLOOKUP(Caja_Arequipa[[#This Row],[destinatario]],CHOOSE({1,2},Clientes_Proveedores[Razon Social],Clientes_Proveedores[Ruc / Dni]),2,0),"")</f>
        <v>10305624930</v>
      </c>
      <c r="X546" s="3"/>
      <c r="Y546" s="3"/>
      <c r="Z546" s="3"/>
      <c r="AA546" s="3"/>
      <c r="AB546" s="3" t="str">
        <f>IF(Caja_Arequipa[[#This Row],[fecha]]&gt;0,TEXT(Caja_Arequipa[[#This Row],[fecha]],"mmmm"),0)</f>
        <v>Junio</v>
      </c>
    </row>
    <row r="547" spans="1:28" ht="24" x14ac:dyDescent="0.3">
      <c r="A547" s="44">
        <f>IF(Caja_Arequipa[[#This Row],[tipo_r]]="R",COUNTIFS($C$1:$C546,"R")+1,A546)</f>
        <v>475</v>
      </c>
      <c r="B547" s="19" t="str">
        <f t="shared" si="41"/>
        <v>C-Tesoreria</v>
      </c>
      <c r="C547" s="3" t="s">
        <v>1352</v>
      </c>
      <c r="D547" s="14">
        <v>45833</v>
      </c>
      <c r="E547" s="5" t="s">
        <v>1338</v>
      </c>
      <c r="F547" s="5"/>
      <c r="G547" s="3"/>
      <c r="H547" s="6" t="s">
        <v>992</v>
      </c>
      <c r="I547" s="48" t="s">
        <v>68</v>
      </c>
      <c r="J547" s="6" t="s">
        <v>1374</v>
      </c>
      <c r="K547" s="6">
        <v>70114</v>
      </c>
      <c r="L547" s="7"/>
      <c r="M547" s="8" t="str">
        <f>IF(Caja_Arequipa[[#This Row],[tipo_r]]="R","001-"&amp;12002+A547,M546)</f>
        <v>001-12477</v>
      </c>
      <c r="N547" s="8" t="str">
        <f>"PEN"</f>
        <v>PEN</v>
      </c>
      <c r="O547" s="13">
        <v>18</v>
      </c>
      <c r="P547" s="13"/>
      <c r="Q547" s="3">
        <f t="shared" si="42"/>
        <v>0</v>
      </c>
      <c r="R547" s="3">
        <f t="shared" si="43"/>
        <v>0</v>
      </c>
      <c r="S547" s="3">
        <f t="shared" si="45"/>
        <v>2083.1999999999989</v>
      </c>
      <c r="T547" s="24"/>
      <c r="U547" s="24" t="s">
        <v>1334</v>
      </c>
      <c r="V547" s="49">
        <v>20497914885</v>
      </c>
      <c r="W547" s="25">
        <f>IFERROR(VLOOKUP(Caja_Arequipa[[#This Row],[destinatario]],CHOOSE({1,2},Clientes_Proveedores[Razon Social],Clientes_Proveedores[Ruc / Dni]),2,0),"")</f>
        <v>20497914885</v>
      </c>
      <c r="X547" s="3"/>
      <c r="Y547" s="3"/>
      <c r="Z547" s="3"/>
      <c r="AA547" s="3"/>
      <c r="AB547" s="3" t="str">
        <f>IF(Caja_Arequipa[[#This Row],[fecha]]&gt;0,TEXT(Caja_Arequipa[[#This Row],[fecha]],"mmmm"),0)</f>
        <v>Junio</v>
      </c>
    </row>
    <row r="548" spans="1:28" ht="24" x14ac:dyDescent="0.3">
      <c r="A548" s="44">
        <f>IF(Caja_Arequipa[[#This Row],[tipo_r]]="R",COUNTIFS($C$1:$C547,"R")+1,A547)</f>
        <v>476</v>
      </c>
      <c r="B548" s="19" t="str">
        <f t="shared" si="41"/>
        <v>C-Tesoreria</v>
      </c>
      <c r="C548" s="3" t="s">
        <v>1330</v>
      </c>
      <c r="D548" s="14">
        <v>45833</v>
      </c>
      <c r="E548" s="5" t="s">
        <v>1338</v>
      </c>
      <c r="F548" s="5" t="s">
        <v>1336</v>
      </c>
      <c r="G548" s="3" t="s">
        <v>5380</v>
      </c>
      <c r="H548" s="6" t="s">
        <v>922</v>
      </c>
      <c r="I548" s="45" t="s">
        <v>111</v>
      </c>
      <c r="J548" s="6">
        <v>3</v>
      </c>
      <c r="K548" s="6">
        <v>224</v>
      </c>
      <c r="L548" s="7" t="s">
        <v>6101</v>
      </c>
      <c r="M548" s="8" t="str">
        <f>IF(Caja_Arequipa[[#This Row],[tipo_r]]="R","001-"&amp;12002+A548,M547)</f>
        <v>001-12478</v>
      </c>
      <c r="N548" s="8" t="str">
        <f t="shared" si="44"/>
        <v>PEN</v>
      </c>
      <c r="O548" s="13"/>
      <c r="P548" s="13">
        <v>7</v>
      </c>
      <c r="Q548" s="3">
        <f t="shared" si="42"/>
        <v>0</v>
      </c>
      <c r="R548" s="3">
        <f t="shared" si="43"/>
        <v>7</v>
      </c>
      <c r="S548" s="3">
        <f t="shared" si="45"/>
        <v>2076.1999999999989</v>
      </c>
      <c r="T548" s="24" t="s">
        <v>1334</v>
      </c>
      <c r="U548" s="24" t="s">
        <v>1334</v>
      </c>
      <c r="V548" s="3"/>
      <c r="W548" s="25">
        <f>IFERROR(VLOOKUP(Caja_Arequipa[[#This Row],[destinatario]],CHOOSE({1,2},Clientes_Proveedores[Razon Social],Clientes_Proveedores[Ruc / Dni]),2,0),"")</f>
        <v>72537561</v>
      </c>
      <c r="X548" s="3" t="s">
        <v>6102</v>
      </c>
      <c r="Y548" s="3"/>
      <c r="Z548" s="3"/>
      <c r="AA548" s="3"/>
      <c r="AB548" s="3" t="str">
        <f>IF(Caja_Arequipa[[#This Row],[fecha]]&gt;0,TEXT(Caja_Arequipa[[#This Row],[fecha]],"mmmm"),0)</f>
        <v>Junio</v>
      </c>
    </row>
    <row r="549" spans="1:28" ht="24" x14ac:dyDescent="0.3">
      <c r="A549" s="44">
        <f>IF(Caja_Arequipa[[#This Row],[tipo_r]]="R",COUNTIFS($C$1:$C548,"R")+1,A548)</f>
        <v>477</v>
      </c>
      <c r="B549" s="19" t="str">
        <f t="shared" si="41"/>
        <v>C-Tesoreria</v>
      </c>
      <c r="C549" s="3" t="s">
        <v>1330</v>
      </c>
      <c r="D549" s="14">
        <v>45833</v>
      </c>
      <c r="E549" s="5" t="s">
        <v>1338</v>
      </c>
      <c r="F549" s="5" t="s">
        <v>1336</v>
      </c>
      <c r="G549" s="3" t="s">
        <v>5280</v>
      </c>
      <c r="H549" s="6"/>
      <c r="I549" s="48"/>
      <c r="J549" s="6"/>
      <c r="K549" s="6"/>
      <c r="L549" s="7" t="s">
        <v>6055</v>
      </c>
      <c r="M549" s="8" t="str">
        <f>IF(Caja_Arequipa[[#This Row],[tipo_r]]="R","001-"&amp;12002+A549,M548)</f>
        <v>001-12479</v>
      </c>
      <c r="N549" s="8" t="str">
        <f t="shared" si="44"/>
        <v>PEN</v>
      </c>
      <c r="O549" s="13"/>
      <c r="P549" s="13">
        <v>61</v>
      </c>
      <c r="Q549" s="3">
        <f t="shared" si="42"/>
        <v>0</v>
      </c>
      <c r="R549" s="3">
        <f t="shared" si="43"/>
        <v>61</v>
      </c>
      <c r="S549" s="3">
        <f t="shared" si="45"/>
        <v>2015.1999999999989</v>
      </c>
      <c r="T549" s="24" t="s">
        <v>1334</v>
      </c>
      <c r="U549" s="24" t="s">
        <v>1334</v>
      </c>
      <c r="V549" s="3"/>
      <c r="W549" s="25" t="str">
        <f>IFERROR(VLOOKUP(Caja_Arequipa[[#This Row],[destinatario]],CHOOSE({1,2},Clientes_Proveedores[Razon Social],Clientes_Proveedores[Ruc / Dni]),2,0),"")</f>
        <v/>
      </c>
      <c r="X549" s="3" t="s">
        <v>6103</v>
      </c>
      <c r="Y549" s="3"/>
      <c r="Z549" s="3"/>
      <c r="AA549" s="3"/>
      <c r="AB549" s="3" t="str">
        <f>IF(Caja_Arequipa[[#This Row],[fecha]]&gt;0,TEXT(Caja_Arequipa[[#This Row],[fecha]],"mmmm"),0)</f>
        <v>Junio</v>
      </c>
    </row>
    <row r="550" spans="1:28" ht="24" x14ac:dyDescent="0.3">
      <c r="A550" s="44">
        <f>IF(Caja_Arequipa[[#This Row],[tipo_r]]="R",COUNTIFS($C$1:$C549,"R")+1,A549)</f>
        <v>477</v>
      </c>
      <c r="B550" s="19" t="str">
        <f t="shared" si="41"/>
        <v>C-Tesoreria</v>
      </c>
      <c r="C550" s="3" t="s">
        <v>1352</v>
      </c>
      <c r="D550" s="14">
        <v>45833</v>
      </c>
      <c r="E550" s="5" t="s">
        <v>1338</v>
      </c>
      <c r="F550" s="5"/>
      <c r="G550" s="3"/>
      <c r="H550" s="6" t="s">
        <v>974</v>
      </c>
      <c r="I550" s="48" t="s">
        <v>68</v>
      </c>
      <c r="J550" s="6" t="s">
        <v>6104</v>
      </c>
      <c r="K550" s="6">
        <v>13862</v>
      </c>
      <c r="L550" s="7" t="s">
        <v>6055</v>
      </c>
      <c r="M550" s="8" t="str">
        <f>IF(Caja_Arequipa[[#This Row],[tipo_r]]="R","001-"&amp;12002+A550,M549)</f>
        <v>001-12479</v>
      </c>
      <c r="N550" s="8" t="str">
        <f>"PEN"</f>
        <v>PEN</v>
      </c>
      <c r="O550" s="13">
        <v>22</v>
      </c>
      <c r="P550" s="13"/>
      <c r="Q550" s="3">
        <f t="shared" si="42"/>
        <v>0</v>
      </c>
      <c r="R550" s="3">
        <f t="shared" si="43"/>
        <v>0</v>
      </c>
      <c r="S550" s="3">
        <f t="shared" si="45"/>
        <v>2015.1999999999989</v>
      </c>
      <c r="T550" s="24"/>
      <c r="U550" s="24" t="s">
        <v>1334</v>
      </c>
      <c r="V550" s="3"/>
      <c r="W550" s="25">
        <f>IFERROR(VLOOKUP(Caja_Arequipa[[#This Row],[destinatario]],CHOOSE({1,2},Clientes_Proveedores[Razon Social],Clientes_Proveedores[Ruc / Dni]),2,0),"")</f>
        <v>20558053691</v>
      </c>
      <c r="X550" s="3"/>
      <c r="Y550" s="3"/>
      <c r="Z550" s="3"/>
      <c r="AA550" s="3"/>
      <c r="AB550" s="3" t="str">
        <f>IF(Caja_Arequipa[[#This Row],[fecha]]&gt;0,TEXT(Caja_Arequipa[[#This Row],[fecha]],"mmmm"),0)</f>
        <v>Junio</v>
      </c>
    </row>
    <row r="551" spans="1:28" ht="24" x14ac:dyDescent="0.3">
      <c r="A551" s="44">
        <f>IF(Caja_Arequipa[[#This Row],[tipo_r]]="R",COUNTIFS($C$1:$C550,"R")+1,A550)</f>
        <v>477</v>
      </c>
      <c r="B551" s="19" t="str">
        <f t="shared" si="41"/>
        <v>C-Tesoreria</v>
      </c>
      <c r="C551" s="3" t="s">
        <v>1352</v>
      </c>
      <c r="D551" s="14">
        <v>45833</v>
      </c>
      <c r="E551" s="5" t="s">
        <v>1338</v>
      </c>
      <c r="F551" s="5"/>
      <c r="G551" s="3"/>
      <c r="H551" s="6" t="s">
        <v>933</v>
      </c>
      <c r="I551" s="48" t="s">
        <v>111</v>
      </c>
      <c r="J551" s="6">
        <v>3</v>
      </c>
      <c r="K551" s="6">
        <v>225</v>
      </c>
      <c r="L551" s="7" t="s">
        <v>6055</v>
      </c>
      <c r="M551" s="8" t="str">
        <f>IF(Caja_Arequipa[[#This Row],[tipo_r]]="R","001-"&amp;12002+A551,M550)</f>
        <v>001-12479</v>
      </c>
      <c r="N551" s="8" t="str">
        <f>"PEN"</f>
        <v>PEN</v>
      </c>
      <c r="O551" s="13">
        <v>39</v>
      </c>
      <c r="P551" s="13"/>
      <c r="Q551" s="3">
        <f t="shared" si="42"/>
        <v>0</v>
      </c>
      <c r="R551" s="3">
        <f t="shared" si="43"/>
        <v>0</v>
      </c>
      <c r="S551" s="3">
        <f t="shared" si="45"/>
        <v>2015.1999999999989</v>
      </c>
      <c r="T551" s="24"/>
      <c r="U551" s="24" t="s">
        <v>1334</v>
      </c>
      <c r="V551" s="3"/>
      <c r="W551" s="25">
        <f>IFERROR(VLOOKUP(Caja_Arequipa[[#This Row],[destinatario]],CHOOSE({1,2},Clientes_Proveedores[Razon Social],Clientes_Proveedores[Ruc / Dni]),2,0),"")</f>
        <v>73195103</v>
      </c>
      <c r="X551" s="3"/>
      <c r="Y551" s="3"/>
      <c r="Z551" s="3"/>
      <c r="AA551" s="3"/>
      <c r="AB551" s="3" t="str">
        <f>IF(Caja_Arequipa[[#This Row],[fecha]]&gt;0,TEXT(Caja_Arequipa[[#This Row],[fecha]],"mmmm"),0)</f>
        <v>Junio</v>
      </c>
    </row>
    <row r="552" spans="1:28" ht="24" x14ac:dyDescent="0.3">
      <c r="A552" s="44">
        <f>IF(Caja_Arequipa[[#This Row],[tipo_r]]="R",COUNTIFS($C$1:$C551,"R")+1,A551)</f>
        <v>478</v>
      </c>
      <c r="B552" s="19" t="str">
        <f t="shared" si="41"/>
        <v>C-Tesoreria</v>
      </c>
      <c r="C552" s="3" t="s">
        <v>1330</v>
      </c>
      <c r="D552" s="14">
        <v>45834</v>
      </c>
      <c r="E552" s="5" t="s">
        <v>1416</v>
      </c>
      <c r="F552" s="5" t="s">
        <v>1336</v>
      </c>
      <c r="G552" s="3" t="s">
        <v>5259</v>
      </c>
      <c r="H552" s="6" t="s">
        <v>692</v>
      </c>
      <c r="I552" s="45" t="s">
        <v>111</v>
      </c>
      <c r="J552" s="6">
        <v>3</v>
      </c>
      <c r="K552" s="6">
        <v>226</v>
      </c>
      <c r="L552" s="7" t="s">
        <v>6078</v>
      </c>
      <c r="M552" s="8" t="str">
        <f>IF(Caja_Arequipa[[#This Row],[tipo_r]]="R","001-"&amp;12002+A552,M551)</f>
        <v>001-12480</v>
      </c>
      <c r="N552" s="8" t="str">
        <f t="shared" si="44"/>
        <v>PEN</v>
      </c>
      <c r="O552" s="13"/>
      <c r="P552" s="13">
        <v>15</v>
      </c>
      <c r="Q552" s="3">
        <f t="shared" si="42"/>
        <v>0</v>
      </c>
      <c r="R552" s="3">
        <f t="shared" si="43"/>
        <v>15</v>
      </c>
      <c r="S552" s="3">
        <f t="shared" si="45"/>
        <v>2000.1999999999989</v>
      </c>
      <c r="T552" s="24"/>
      <c r="U552" s="24" t="s">
        <v>1334</v>
      </c>
      <c r="V552" s="3"/>
      <c r="W552" s="25">
        <f>IFERROR(VLOOKUP(Caja_Arequipa[[#This Row],[destinatario]],CHOOSE({1,2},Clientes_Proveedores[Razon Social],Clientes_Proveedores[Ruc / Dni]),2,0),"")</f>
        <v>10736055631</v>
      </c>
      <c r="X552" s="3" t="s">
        <v>6105</v>
      </c>
      <c r="Y552" s="3"/>
      <c r="Z552" s="3"/>
      <c r="AA552" s="3"/>
      <c r="AB552" s="3" t="str">
        <f>IF(Caja_Arequipa[[#This Row],[fecha]]&gt;0,TEXT(Caja_Arequipa[[#This Row],[fecha]],"mmmm"),0)</f>
        <v>Junio</v>
      </c>
    </row>
    <row r="553" spans="1:28" ht="24" x14ac:dyDescent="0.3">
      <c r="A553" s="44">
        <f>IF(Caja_Arequipa[[#This Row],[tipo_r]]="R",COUNTIFS($C$1:$C552,"R")+1,A552)</f>
        <v>479</v>
      </c>
      <c r="B553" s="19" t="str">
        <f t="shared" si="41"/>
        <v>C-Tesoreria</v>
      </c>
      <c r="C553" s="3" t="s">
        <v>1330</v>
      </c>
      <c r="D553" s="14">
        <v>45834</v>
      </c>
      <c r="E553" s="5" t="s">
        <v>1416</v>
      </c>
      <c r="F553" s="5" t="s">
        <v>1336</v>
      </c>
      <c r="G553" s="3" t="s">
        <v>5259</v>
      </c>
      <c r="H553" s="6" t="s">
        <v>692</v>
      </c>
      <c r="I553" s="45" t="s">
        <v>111</v>
      </c>
      <c r="J553" s="6">
        <v>3</v>
      </c>
      <c r="K553" s="6">
        <v>227</v>
      </c>
      <c r="L553" s="7" t="s">
        <v>6106</v>
      </c>
      <c r="M553" s="8" t="str">
        <f>IF(Caja_Arequipa[[#This Row],[tipo_r]]="R","001-"&amp;12002+A553,M552)</f>
        <v>001-12481</v>
      </c>
      <c r="N553" s="8" t="str">
        <f t="shared" si="44"/>
        <v>PEN</v>
      </c>
      <c r="O553" s="13"/>
      <c r="P553" s="13">
        <v>41</v>
      </c>
      <c r="Q553" s="3">
        <f t="shared" si="42"/>
        <v>0</v>
      </c>
      <c r="R553" s="3">
        <f t="shared" si="43"/>
        <v>41</v>
      </c>
      <c r="S553" s="3">
        <f t="shared" si="45"/>
        <v>1959.1999999999989</v>
      </c>
      <c r="T553" s="24"/>
      <c r="U553" s="24" t="s">
        <v>1334</v>
      </c>
      <c r="V553" s="3"/>
      <c r="W553" s="25">
        <f>IFERROR(VLOOKUP(Caja_Arequipa[[#This Row],[destinatario]],CHOOSE({1,2},Clientes_Proveedores[Razon Social],Clientes_Proveedores[Ruc / Dni]),2,0),"")</f>
        <v>10736055631</v>
      </c>
      <c r="X553" s="3" t="s">
        <v>6107</v>
      </c>
      <c r="Y553" s="3"/>
      <c r="Z553" s="3"/>
      <c r="AA553" s="3"/>
      <c r="AB553" s="3" t="str">
        <f>IF(Caja_Arequipa[[#This Row],[fecha]]&gt;0,TEXT(Caja_Arequipa[[#This Row],[fecha]],"mmmm"),0)</f>
        <v>Junio</v>
      </c>
    </row>
    <row r="554" spans="1:28" ht="24" x14ac:dyDescent="0.3">
      <c r="A554" s="44">
        <f>IF(Caja_Arequipa[[#This Row],[tipo_r]]="R",COUNTIFS($C$1:$C553,"R")+1,A553)</f>
        <v>480</v>
      </c>
      <c r="B554" s="19" t="str">
        <f t="shared" si="41"/>
        <v>C-Tesoreria</v>
      </c>
      <c r="C554" s="3" t="s">
        <v>1330</v>
      </c>
      <c r="D554" s="14">
        <v>45834</v>
      </c>
      <c r="E554" s="5" t="s">
        <v>1416</v>
      </c>
      <c r="F554" s="5" t="s">
        <v>1336</v>
      </c>
      <c r="G554" s="3" t="s">
        <v>5259</v>
      </c>
      <c r="H554" s="6" t="s">
        <v>692</v>
      </c>
      <c r="I554" s="45" t="s">
        <v>111</v>
      </c>
      <c r="J554" s="6">
        <v>3</v>
      </c>
      <c r="K554" s="6">
        <v>228</v>
      </c>
      <c r="L554" s="7" t="s">
        <v>6087</v>
      </c>
      <c r="M554" s="8" t="str">
        <f>IF(Caja_Arequipa[[#This Row],[tipo_r]]="R","001-"&amp;12002+A554,M553)</f>
        <v>001-12482</v>
      </c>
      <c r="N554" s="8" t="str">
        <f t="shared" si="44"/>
        <v>PEN</v>
      </c>
      <c r="O554" s="13"/>
      <c r="P554" s="13">
        <v>75</v>
      </c>
      <c r="Q554" s="3">
        <f t="shared" si="42"/>
        <v>0</v>
      </c>
      <c r="R554" s="3">
        <f t="shared" si="43"/>
        <v>75</v>
      </c>
      <c r="S554" s="3">
        <f t="shared" si="45"/>
        <v>1884.1999999999989</v>
      </c>
      <c r="T554" s="24"/>
      <c r="U554" s="24" t="s">
        <v>1334</v>
      </c>
      <c r="V554" s="3"/>
      <c r="W554" s="25">
        <f>IFERROR(VLOOKUP(Caja_Arequipa[[#This Row],[destinatario]],CHOOSE({1,2},Clientes_Proveedores[Razon Social],Clientes_Proveedores[Ruc / Dni]),2,0),"")</f>
        <v>10736055631</v>
      </c>
      <c r="X554" s="3" t="s">
        <v>6108</v>
      </c>
      <c r="Y554" s="3"/>
      <c r="Z554" s="3"/>
      <c r="AA554" s="3"/>
      <c r="AB554" s="3" t="str">
        <f>IF(Caja_Arequipa[[#This Row],[fecha]]&gt;0,TEXT(Caja_Arequipa[[#This Row],[fecha]],"mmmm"),0)</f>
        <v>Junio</v>
      </c>
    </row>
    <row r="555" spans="1:28" ht="24" x14ac:dyDescent="0.3">
      <c r="A555" s="44">
        <f>IF(Caja_Arequipa[[#This Row],[tipo_r]]="R",COUNTIFS($C$1:$C554,"R")+1,A554)</f>
        <v>481</v>
      </c>
      <c r="B555" s="19" t="str">
        <f t="shared" si="41"/>
        <v>C-Tesoreria</v>
      </c>
      <c r="C555" s="3" t="s">
        <v>1330</v>
      </c>
      <c r="D555" s="14">
        <v>45834</v>
      </c>
      <c r="E555" s="5" t="s">
        <v>1416</v>
      </c>
      <c r="F555" s="5" t="s">
        <v>1336</v>
      </c>
      <c r="G555" s="3" t="s">
        <v>5259</v>
      </c>
      <c r="H555" s="6" t="s">
        <v>692</v>
      </c>
      <c r="I555" s="45" t="s">
        <v>111</v>
      </c>
      <c r="J555" s="6">
        <v>3</v>
      </c>
      <c r="K555" s="6">
        <v>229</v>
      </c>
      <c r="L555" s="7" t="s">
        <v>6109</v>
      </c>
      <c r="M555" s="8" t="str">
        <f>IF(Caja_Arequipa[[#This Row],[tipo_r]]="R","001-"&amp;12002+A555,M554)</f>
        <v>001-12483</v>
      </c>
      <c r="N555" s="8" t="str">
        <f t="shared" si="44"/>
        <v>PEN</v>
      </c>
      <c r="O555" s="13"/>
      <c r="P555" s="13">
        <v>32</v>
      </c>
      <c r="Q555" s="3">
        <f t="shared" si="42"/>
        <v>0</v>
      </c>
      <c r="R555" s="3">
        <f t="shared" si="43"/>
        <v>32</v>
      </c>
      <c r="S555" s="3">
        <f t="shared" si="45"/>
        <v>1852.1999999999989</v>
      </c>
      <c r="T555" s="24"/>
      <c r="U555" s="24" t="s">
        <v>1334</v>
      </c>
      <c r="V555" s="3"/>
      <c r="W555" s="25">
        <f>IFERROR(VLOOKUP(Caja_Arequipa[[#This Row],[destinatario]],CHOOSE({1,2},Clientes_Proveedores[Razon Social],Clientes_Proveedores[Ruc / Dni]),2,0),"")</f>
        <v>10736055631</v>
      </c>
      <c r="X555" s="3" t="s">
        <v>6110</v>
      </c>
      <c r="Y555" s="3"/>
      <c r="Z555" s="3"/>
      <c r="AA555" s="3"/>
      <c r="AB555" s="3" t="str">
        <f>IF(Caja_Arequipa[[#This Row],[fecha]]&gt;0,TEXT(Caja_Arequipa[[#This Row],[fecha]],"mmmm"),0)</f>
        <v>Junio</v>
      </c>
    </row>
    <row r="556" spans="1:28" ht="24" x14ac:dyDescent="0.3">
      <c r="A556" s="44">
        <f>IF(Caja_Arequipa[[#This Row],[tipo_r]]="R",COUNTIFS($C$1:$C555,"R")+1,A555)</f>
        <v>482</v>
      </c>
      <c r="B556" s="19" t="str">
        <f t="shared" si="41"/>
        <v>C-Tesoreria</v>
      </c>
      <c r="C556" s="3" t="s">
        <v>1330</v>
      </c>
      <c r="D556" s="14">
        <v>45834</v>
      </c>
      <c r="E556" s="5" t="s">
        <v>1416</v>
      </c>
      <c r="F556" s="5" t="s">
        <v>1336</v>
      </c>
      <c r="G556" s="3" t="s">
        <v>5259</v>
      </c>
      <c r="H556" s="6" t="s">
        <v>692</v>
      </c>
      <c r="I556" s="45" t="s">
        <v>111</v>
      </c>
      <c r="J556" s="6">
        <v>3</v>
      </c>
      <c r="K556" s="6">
        <v>230</v>
      </c>
      <c r="L556" s="7" t="s">
        <v>6111</v>
      </c>
      <c r="M556" s="8" t="str">
        <f>IF(Caja_Arequipa[[#This Row],[tipo_r]]="R","001-"&amp;12002+A556,M555)</f>
        <v>001-12484</v>
      </c>
      <c r="N556" s="8" t="str">
        <f t="shared" si="44"/>
        <v>PEN</v>
      </c>
      <c r="O556" s="13"/>
      <c r="P556" s="13">
        <v>15</v>
      </c>
      <c r="Q556" s="3">
        <f t="shared" si="42"/>
        <v>0</v>
      </c>
      <c r="R556" s="3">
        <f t="shared" si="43"/>
        <v>15</v>
      </c>
      <c r="S556" s="3">
        <f t="shared" si="45"/>
        <v>1837.1999999999989</v>
      </c>
      <c r="T556" s="24"/>
      <c r="U556" s="24" t="s">
        <v>1334</v>
      </c>
      <c r="V556" s="3"/>
      <c r="W556" s="25">
        <f>IFERROR(VLOOKUP(Caja_Arequipa[[#This Row],[destinatario]],CHOOSE({1,2},Clientes_Proveedores[Razon Social],Clientes_Proveedores[Ruc / Dni]),2,0),"")</f>
        <v>10736055631</v>
      </c>
      <c r="X556" s="3" t="s">
        <v>6112</v>
      </c>
      <c r="Y556" s="3"/>
      <c r="Z556" s="3"/>
      <c r="AA556" s="3"/>
      <c r="AB556" s="3" t="str">
        <f>IF(Caja_Arequipa[[#This Row],[fecha]]&gt;0,TEXT(Caja_Arequipa[[#This Row],[fecha]],"mmmm"),0)</f>
        <v>Junio</v>
      </c>
    </row>
    <row r="557" spans="1:28" ht="24" x14ac:dyDescent="0.3">
      <c r="A557" s="44">
        <f>IF(Caja_Arequipa[[#This Row],[tipo_r]]="R",COUNTIFS($C$1:$C556,"R")+1,A556)</f>
        <v>483</v>
      </c>
      <c r="B557" s="19" t="str">
        <f t="shared" si="41"/>
        <v>C-Tesoreria</v>
      </c>
      <c r="C557" s="3" t="s">
        <v>1330</v>
      </c>
      <c r="D557" s="14">
        <v>45835</v>
      </c>
      <c r="E557" s="5" t="s">
        <v>1416</v>
      </c>
      <c r="F557" s="5" t="s">
        <v>1336</v>
      </c>
      <c r="G557" s="3" t="s">
        <v>5303</v>
      </c>
      <c r="H557" s="6" t="s">
        <v>684</v>
      </c>
      <c r="I557" s="48" t="s">
        <v>68</v>
      </c>
      <c r="J557" s="6" t="s">
        <v>1374</v>
      </c>
      <c r="K557" s="6">
        <v>6514</v>
      </c>
      <c r="L557" s="7" t="s">
        <v>6113</v>
      </c>
      <c r="M557" s="8" t="str">
        <f>IF(Caja_Arequipa[[#This Row],[tipo_r]]="R","001-"&amp;12002+A557,M556)</f>
        <v>001-12485</v>
      </c>
      <c r="N557" s="8" t="str">
        <f t="shared" si="44"/>
        <v>PEN</v>
      </c>
      <c r="O557" s="13"/>
      <c r="P557" s="13">
        <v>24.5</v>
      </c>
      <c r="Q557" s="3">
        <f t="shared" si="42"/>
        <v>0</v>
      </c>
      <c r="R557" s="3">
        <f t="shared" si="43"/>
        <v>24.5</v>
      </c>
      <c r="S557" s="3">
        <f t="shared" si="45"/>
        <v>1812.6999999999989</v>
      </c>
      <c r="T557" s="24"/>
      <c r="U557" s="24" t="s">
        <v>1334</v>
      </c>
      <c r="V557" s="3"/>
      <c r="W557" s="25">
        <f>IFERROR(VLOOKUP(Caja_Arequipa[[#This Row],[destinatario]],CHOOSE({1,2},Clientes_Proveedores[Razon Social],Clientes_Proveedores[Ruc / Dni]),2,0),"")</f>
        <v>20604947520</v>
      </c>
      <c r="X557" s="3" t="s">
        <v>6114</v>
      </c>
      <c r="Y557" s="3"/>
      <c r="Z557" s="3"/>
      <c r="AA557" s="3"/>
      <c r="AB557" s="3" t="str">
        <f>IF(Caja_Arequipa[[#This Row],[fecha]]&gt;0,TEXT(Caja_Arequipa[[#This Row],[fecha]],"mmmm"),0)</f>
        <v>Junio</v>
      </c>
    </row>
    <row r="558" spans="1:28" ht="24" x14ac:dyDescent="0.3">
      <c r="A558" s="44">
        <f>IF(Caja_Arequipa[[#This Row],[tipo_r]]="R",COUNTIFS($C$1:$C557,"R")+1,A557)</f>
        <v>484</v>
      </c>
      <c r="B558" s="19" t="str">
        <f t="shared" si="41"/>
        <v>C-Tesoreria</v>
      </c>
      <c r="C558" s="3" t="s">
        <v>1330</v>
      </c>
      <c r="D558" s="14">
        <v>45835</v>
      </c>
      <c r="E558" s="5" t="s">
        <v>1416</v>
      </c>
      <c r="F558" s="5" t="s">
        <v>1336</v>
      </c>
      <c r="G558" s="3" t="s">
        <v>4788</v>
      </c>
      <c r="H558" s="6" t="s">
        <v>163</v>
      </c>
      <c r="I558" s="48" t="s">
        <v>68</v>
      </c>
      <c r="J558" s="6" t="s">
        <v>1376</v>
      </c>
      <c r="K558" s="6">
        <v>289</v>
      </c>
      <c r="L558" s="7" t="s">
        <v>6115</v>
      </c>
      <c r="M558" s="8" t="str">
        <f>IF(Caja_Arequipa[[#This Row],[tipo_r]]="R","001-"&amp;12002+A558,M557)</f>
        <v>001-12486</v>
      </c>
      <c r="N558" s="8" t="str">
        <f t="shared" si="44"/>
        <v>PEN</v>
      </c>
      <c r="O558" s="13"/>
      <c r="P558" s="13">
        <v>82.5</v>
      </c>
      <c r="Q558" s="3">
        <f t="shared" si="42"/>
        <v>0</v>
      </c>
      <c r="R558" s="3">
        <f t="shared" si="43"/>
        <v>82.5</v>
      </c>
      <c r="S558" s="3">
        <f t="shared" si="45"/>
        <v>1730.1999999999989</v>
      </c>
      <c r="T558" s="24"/>
      <c r="U558" s="24" t="s">
        <v>1334</v>
      </c>
      <c r="V558" s="3"/>
      <c r="W558" s="25">
        <f>IFERROR(VLOOKUP(Caja_Arequipa[[#This Row],[destinatario]],CHOOSE({1,2},Clientes_Proveedores[Razon Social],Clientes_Proveedores[Ruc / Dni]),2,0),"")</f>
        <v>10416031679</v>
      </c>
      <c r="X558" s="3" t="s">
        <v>6116</v>
      </c>
      <c r="Y558" s="3"/>
      <c r="Z558" s="3"/>
      <c r="AA558" s="3"/>
      <c r="AB558" s="3" t="str">
        <f>IF(Caja_Arequipa[[#This Row],[fecha]]&gt;0,TEXT(Caja_Arequipa[[#This Row],[fecha]],"mmmm"),0)</f>
        <v>Junio</v>
      </c>
    </row>
    <row r="559" spans="1:28" ht="36" x14ac:dyDescent="0.3">
      <c r="A559" s="44">
        <f>IF(Caja_Arequipa[[#This Row],[tipo_r]]="R",COUNTIFS($C$1:$C558,"R")+1,A558)</f>
        <v>485</v>
      </c>
      <c r="B559" s="19" t="str">
        <f t="shared" si="41"/>
        <v>C-Tesoreria</v>
      </c>
      <c r="C559" s="3" t="s">
        <v>1330</v>
      </c>
      <c r="D559" s="14">
        <v>45835</v>
      </c>
      <c r="E559" s="5" t="s">
        <v>1338</v>
      </c>
      <c r="F559" s="5" t="s">
        <v>1336</v>
      </c>
      <c r="G559" s="3" t="s">
        <v>5274</v>
      </c>
      <c r="H559" s="6"/>
      <c r="I559" s="48"/>
      <c r="J559" s="6"/>
      <c r="K559" s="6"/>
      <c r="L559" s="7" t="s">
        <v>6055</v>
      </c>
      <c r="M559" s="8" t="str">
        <f>IF(Caja_Arequipa[[#This Row],[tipo_r]]="R","001-"&amp;12002+A559,M558)</f>
        <v>001-12487</v>
      </c>
      <c r="N559" s="8" t="str">
        <f t="shared" si="44"/>
        <v>PEN</v>
      </c>
      <c r="O559" s="13"/>
      <c r="P559" s="13">
        <v>64</v>
      </c>
      <c r="Q559" s="3">
        <f t="shared" si="42"/>
        <v>0</v>
      </c>
      <c r="R559" s="3">
        <f t="shared" si="43"/>
        <v>64</v>
      </c>
      <c r="S559" s="3">
        <f t="shared" si="45"/>
        <v>1666.1999999999989</v>
      </c>
      <c r="T559" s="24"/>
      <c r="U559" s="24" t="s">
        <v>1334</v>
      </c>
      <c r="V559" s="3"/>
      <c r="W559" s="25" t="str">
        <f>IFERROR(VLOOKUP(Caja_Arequipa[[#This Row],[destinatario]],CHOOSE({1,2},Clientes_Proveedores[Razon Social],Clientes_Proveedores[Ruc / Dni]),2,0),"")</f>
        <v/>
      </c>
      <c r="X559" s="3" t="s">
        <v>6117</v>
      </c>
      <c r="Y559" s="3"/>
      <c r="Z559" s="3"/>
      <c r="AA559" s="3"/>
      <c r="AB559" s="3" t="str">
        <f>IF(Caja_Arequipa[[#This Row],[fecha]]&gt;0,TEXT(Caja_Arequipa[[#This Row],[fecha]],"mmmm"),0)</f>
        <v>Junio</v>
      </c>
    </row>
    <row r="560" spans="1:28" ht="24" x14ac:dyDescent="0.3">
      <c r="A560" s="44">
        <f>IF(Caja_Arequipa[[#This Row],[tipo_r]]="R",COUNTIFS($C$1:$C559,"R")+1,A559)</f>
        <v>485</v>
      </c>
      <c r="B560" s="19" t="str">
        <f t="shared" si="41"/>
        <v>C-Tesoreria</v>
      </c>
      <c r="C560" s="3" t="s">
        <v>1352</v>
      </c>
      <c r="D560" s="14">
        <v>45835</v>
      </c>
      <c r="E560" s="5" t="s">
        <v>1338</v>
      </c>
      <c r="F560" s="5"/>
      <c r="G560" s="3"/>
      <c r="H560" s="6" t="s">
        <v>974</v>
      </c>
      <c r="I560" s="48" t="s">
        <v>68</v>
      </c>
      <c r="J560" s="6" t="s">
        <v>6104</v>
      </c>
      <c r="K560" s="6">
        <v>13874</v>
      </c>
      <c r="L560" s="7" t="s">
        <v>6055</v>
      </c>
      <c r="M560" s="8" t="str">
        <f>IF(Caja_Arequipa[[#This Row],[tipo_r]]="R","001-"&amp;12002+A560,M559)</f>
        <v>001-12487</v>
      </c>
      <c r="N560" s="8" t="str">
        <f>"PEN"</f>
        <v>PEN</v>
      </c>
      <c r="O560" s="13">
        <v>20</v>
      </c>
      <c r="P560" s="13"/>
      <c r="Q560" s="3">
        <f t="shared" si="42"/>
        <v>0</v>
      </c>
      <c r="R560" s="3">
        <f t="shared" si="43"/>
        <v>0</v>
      </c>
      <c r="S560" s="3">
        <f t="shared" si="45"/>
        <v>1666.1999999999989</v>
      </c>
      <c r="T560" s="24"/>
      <c r="U560" s="24" t="s">
        <v>1334</v>
      </c>
      <c r="V560" s="3"/>
      <c r="W560" s="25">
        <f>IFERROR(VLOOKUP(Caja_Arequipa[[#This Row],[destinatario]],CHOOSE({1,2},Clientes_Proveedores[Razon Social],Clientes_Proveedores[Ruc / Dni]),2,0),"")</f>
        <v>20558053691</v>
      </c>
      <c r="X560" s="3"/>
      <c r="Y560" s="3"/>
      <c r="Z560" s="3"/>
      <c r="AA560" s="3"/>
      <c r="AB560" s="3" t="str">
        <f>IF(Caja_Arequipa[[#This Row],[fecha]]&gt;0,TEXT(Caja_Arequipa[[#This Row],[fecha]],"mmmm"),0)</f>
        <v>Junio</v>
      </c>
    </row>
    <row r="561" spans="1:28" ht="24" x14ac:dyDescent="0.3">
      <c r="A561" s="44">
        <f>IF(Caja_Arequipa[[#This Row],[tipo_r]]="R",COUNTIFS($C$1:$C560,"R")+1,A560)</f>
        <v>485</v>
      </c>
      <c r="B561" s="19" t="str">
        <f t="shared" si="41"/>
        <v>C-Tesoreria</v>
      </c>
      <c r="C561" s="3" t="s">
        <v>1352</v>
      </c>
      <c r="D561" s="14">
        <v>45835</v>
      </c>
      <c r="E561" s="5" t="s">
        <v>1338</v>
      </c>
      <c r="F561" s="5"/>
      <c r="G561" s="3"/>
      <c r="H561" s="6" t="s">
        <v>683</v>
      </c>
      <c r="I561" s="48" t="s">
        <v>68</v>
      </c>
      <c r="J561" s="6" t="s">
        <v>5627</v>
      </c>
      <c r="K561" s="6">
        <v>286505</v>
      </c>
      <c r="L561" s="7" t="s">
        <v>6055</v>
      </c>
      <c r="M561" s="8" t="str">
        <f>IF(Caja_Arequipa[[#This Row],[tipo_r]]="R","001-"&amp;12002+A561,M560)</f>
        <v>001-12487</v>
      </c>
      <c r="N561" s="8" t="str">
        <f>"PEN"</f>
        <v>PEN</v>
      </c>
      <c r="O561" s="13">
        <v>20</v>
      </c>
      <c r="P561" s="13"/>
      <c r="Q561" s="3">
        <f t="shared" si="42"/>
        <v>0</v>
      </c>
      <c r="R561" s="3">
        <f t="shared" si="43"/>
        <v>0</v>
      </c>
      <c r="S561" s="3">
        <f t="shared" si="45"/>
        <v>1666.1999999999989</v>
      </c>
      <c r="T561" s="24"/>
      <c r="U561" s="24" t="s">
        <v>1334</v>
      </c>
      <c r="V561" s="3"/>
      <c r="W561" s="25">
        <f>IFERROR(VLOOKUP(Caja_Arequipa[[#This Row],[destinatario]],CHOOSE({1,2},Clientes_Proveedores[Razon Social],Clientes_Proveedores[Ruc / Dni]),2,0),"")</f>
        <v>20512528458</v>
      </c>
      <c r="X561" s="3"/>
      <c r="Y561" s="3"/>
      <c r="Z561" s="3"/>
      <c r="AA561" s="3"/>
      <c r="AB561" s="3" t="str">
        <f>IF(Caja_Arequipa[[#This Row],[fecha]]&gt;0,TEXT(Caja_Arequipa[[#This Row],[fecha]],"mmmm"),0)</f>
        <v>Junio</v>
      </c>
    </row>
    <row r="562" spans="1:28" ht="24" x14ac:dyDescent="0.3">
      <c r="A562" s="44">
        <f>IF(Caja_Arequipa[[#This Row],[tipo_r]]="R",COUNTIFS($C$1:$C561,"R")+1,A561)</f>
        <v>485</v>
      </c>
      <c r="B562" s="19" t="str">
        <f t="shared" si="41"/>
        <v>C-Tesoreria</v>
      </c>
      <c r="C562" s="3" t="s">
        <v>1352</v>
      </c>
      <c r="D562" s="14">
        <v>45835</v>
      </c>
      <c r="E562" s="5" t="s">
        <v>1338</v>
      </c>
      <c r="F562" s="5"/>
      <c r="G562" s="3"/>
      <c r="H562" s="6" t="s">
        <v>882</v>
      </c>
      <c r="I562" s="48" t="s">
        <v>111</v>
      </c>
      <c r="J562" s="6">
        <v>3</v>
      </c>
      <c r="K562" s="6">
        <v>231</v>
      </c>
      <c r="L562" s="7" t="s">
        <v>6055</v>
      </c>
      <c r="M562" s="8" t="str">
        <f>IF(Caja_Arequipa[[#This Row],[tipo_r]]="R","001-"&amp;12002+A562,M561)</f>
        <v>001-12487</v>
      </c>
      <c r="N562" s="8" t="str">
        <f>"PEN"</f>
        <v>PEN</v>
      </c>
      <c r="O562" s="13">
        <v>24</v>
      </c>
      <c r="P562" s="13"/>
      <c r="Q562" s="3">
        <f t="shared" si="42"/>
        <v>0</v>
      </c>
      <c r="R562" s="3">
        <f t="shared" si="43"/>
        <v>0</v>
      </c>
      <c r="S562" s="3">
        <f t="shared" si="45"/>
        <v>1666.1999999999989</v>
      </c>
      <c r="T562" s="24"/>
      <c r="U562" s="24" t="s">
        <v>1334</v>
      </c>
      <c r="V562" s="3"/>
      <c r="W562" s="25">
        <f>IFERROR(VLOOKUP(Caja_Arequipa[[#This Row],[destinatario]],CHOOSE({1,2},Clientes_Proveedores[Razon Social],Clientes_Proveedores[Ruc / Dni]),2,0),"")</f>
        <v>72450429</v>
      </c>
      <c r="X562" s="3"/>
      <c r="Y562" s="3"/>
      <c r="Z562" s="3"/>
      <c r="AA562" s="3"/>
      <c r="AB562" s="3" t="str">
        <f>IF(Caja_Arequipa[[#This Row],[fecha]]&gt;0,TEXT(Caja_Arequipa[[#This Row],[fecha]],"mmmm"),0)</f>
        <v>Junio</v>
      </c>
    </row>
    <row r="563" spans="1:28" x14ac:dyDescent="0.3">
      <c r="A563" s="44">
        <f>IF(Caja_Arequipa[[#This Row],[tipo_r]]="R",COUNTIFS($C$1:$C562,"R")+1,A562)</f>
        <v>486</v>
      </c>
      <c r="B563" s="19" t="str">
        <f t="shared" si="41"/>
        <v>C-Tesoreria</v>
      </c>
      <c r="C563" s="3" t="s">
        <v>1330</v>
      </c>
      <c r="D563" s="14">
        <v>45838</v>
      </c>
      <c r="E563" s="5" t="s">
        <v>1416</v>
      </c>
      <c r="F563" s="5" t="s">
        <v>1303</v>
      </c>
      <c r="G563" s="3" t="s">
        <v>425</v>
      </c>
      <c r="H563" s="6"/>
      <c r="I563" s="46"/>
      <c r="J563" s="6"/>
      <c r="K563" s="6"/>
      <c r="L563" s="7" t="s">
        <v>6118</v>
      </c>
      <c r="M563" s="8" t="str">
        <f>IF(Caja_Arequipa[[#This Row],[tipo_r]]="R","001-"&amp;12002+A563,M562)</f>
        <v>001-12488</v>
      </c>
      <c r="N563" s="8" t="str">
        <f t="shared" si="44"/>
        <v>PEN</v>
      </c>
      <c r="O563" s="13"/>
      <c r="P563" s="13">
        <v>88.5</v>
      </c>
      <c r="Q563" s="3">
        <f t="shared" si="42"/>
        <v>88.5</v>
      </c>
      <c r="R563" s="3">
        <f t="shared" si="43"/>
        <v>0</v>
      </c>
      <c r="S563" s="3">
        <f t="shared" si="45"/>
        <v>1754.6999999999989</v>
      </c>
      <c r="T563" s="24"/>
      <c r="U563" s="24"/>
      <c r="V563" s="3"/>
      <c r="W563" s="25" t="str">
        <f>IFERROR(VLOOKUP(Caja_Arequipa[[#This Row],[destinatario]],CHOOSE({1,2},Clientes_Proveedores[Razon Social],Clientes_Proveedores[Ruc / Dni]),2,0),"")</f>
        <v/>
      </c>
      <c r="X563" s="3" t="s">
        <v>6119</v>
      </c>
      <c r="Y563" s="3"/>
      <c r="Z563" s="3"/>
      <c r="AA563" s="3"/>
      <c r="AB563" s="3" t="str">
        <f>IF(Caja_Arequipa[[#This Row],[fecha]]&gt;0,TEXT(Caja_Arequipa[[#This Row],[fecha]],"mmmm"),0)</f>
        <v>Junio</v>
      </c>
    </row>
    <row r="564" spans="1:28" ht="24" x14ac:dyDescent="0.3">
      <c r="A564" s="44">
        <f>IF(Caja_Arequipa[[#This Row],[tipo_r]]="R",COUNTIFS($C$1:$C563,"R")+1,A563)</f>
        <v>487</v>
      </c>
      <c r="B564" s="19" t="str">
        <f t="shared" si="41"/>
        <v>C-Tesoreria</v>
      </c>
      <c r="C564" s="3" t="s">
        <v>1330</v>
      </c>
      <c r="D564" s="14">
        <v>45839</v>
      </c>
      <c r="E564" s="5" t="s">
        <v>1338</v>
      </c>
      <c r="F564" s="5" t="s">
        <v>1336</v>
      </c>
      <c r="G564" s="3" t="s">
        <v>5828</v>
      </c>
      <c r="H564" s="6"/>
      <c r="I564" s="45" t="s">
        <v>111</v>
      </c>
      <c r="J564" s="6">
        <v>3</v>
      </c>
      <c r="K564" s="6">
        <v>234</v>
      </c>
      <c r="L564" s="7" t="s">
        <v>6120</v>
      </c>
      <c r="M564" s="8" t="str">
        <f>IF(Caja_Arequipa[[#This Row],[tipo_r]]="R","001-"&amp;12002+A564,M563)</f>
        <v>001-12489</v>
      </c>
      <c r="N564" s="8" t="str">
        <f t="shared" si="44"/>
        <v>PEN</v>
      </c>
      <c r="O564" s="13"/>
      <c r="P564" s="13">
        <v>14</v>
      </c>
      <c r="Q564" s="3">
        <f t="shared" si="42"/>
        <v>0</v>
      </c>
      <c r="R564" s="3">
        <f t="shared" si="43"/>
        <v>14</v>
      </c>
      <c r="S564" s="3">
        <f t="shared" si="45"/>
        <v>1740.6999999999989</v>
      </c>
      <c r="T564" s="24"/>
      <c r="U564" s="24" t="s">
        <v>1334</v>
      </c>
      <c r="V564" s="3"/>
      <c r="W564" s="25" t="str">
        <f>IFERROR(VLOOKUP(Caja_Arequipa[[#This Row],[destinatario]],CHOOSE({1,2},Clientes_Proveedores[Razon Social],Clientes_Proveedores[Ruc / Dni]),2,0),"")</f>
        <v/>
      </c>
      <c r="X564" s="3" t="s">
        <v>6121</v>
      </c>
      <c r="Y564" s="3"/>
      <c r="Z564" s="3"/>
      <c r="AA564" s="3"/>
      <c r="AB564" s="3" t="str">
        <f>IF(Caja_Arequipa[[#This Row],[fecha]]&gt;0,TEXT(Caja_Arequipa[[#This Row],[fecha]],"mmmm"),0)</f>
        <v>Julio</v>
      </c>
    </row>
    <row r="565" spans="1:28" ht="24" x14ac:dyDescent="0.3">
      <c r="A565" s="44">
        <f>IF(Caja_Arequipa[[#This Row],[tipo_r]]="R",COUNTIFS($C$1:$C564,"R")+1,A564)</f>
        <v>488</v>
      </c>
      <c r="B565" s="59" t="str">
        <f t="shared" si="41"/>
        <v>C-Tesoreria</v>
      </c>
      <c r="C565" s="3" t="s">
        <v>1330</v>
      </c>
      <c r="D565" s="14">
        <v>45839</v>
      </c>
      <c r="E565" s="5" t="s">
        <v>1416</v>
      </c>
      <c r="F565" s="5" t="s">
        <v>1336</v>
      </c>
      <c r="G565" s="3" t="s">
        <v>5248</v>
      </c>
      <c r="H565" s="6" t="s">
        <v>1011</v>
      </c>
      <c r="I565" s="48" t="s">
        <v>75</v>
      </c>
      <c r="J565" s="6">
        <v>1</v>
      </c>
      <c r="K565" s="6">
        <v>80</v>
      </c>
      <c r="L565" s="7" t="s">
        <v>6122</v>
      </c>
      <c r="M565" s="8" t="str">
        <f>IF(Caja_Arequipa[[#This Row],[tipo_r]]="R","001-"&amp;12002+A565,M564)</f>
        <v>001-12490</v>
      </c>
      <c r="N565" s="8" t="str">
        <f t="shared" si="44"/>
        <v>PEN</v>
      </c>
      <c r="O565" s="13"/>
      <c r="P565" s="13">
        <v>47</v>
      </c>
      <c r="Q565" s="3">
        <f t="shared" si="42"/>
        <v>0</v>
      </c>
      <c r="R565" s="3">
        <f t="shared" si="43"/>
        <v>47</v>
      </c>
      <c r="S565" s="3">
        <f t="shared" si="45"/>
        <v>1693.6999999999989</v>
      </c>
      <c r="T565" s="24"/>
      <c r="U565" s="24" t="s">
        <v>1334</v>
      </c>
      <c r="V565" s="3"/>
      <c r="W565" s="25">
        <f>IFERROR(VLOOKUP(Caja_Arequipa[[#This Row],[destinatario]],CHOOSE({1,2},Clientes_Proveedores[Razon Social],Clientes_Proveedores[Ruc / Dni]),2,0),"")</f>
        <v>10460064592</v>
      </c>
      <c r="X565" s="3" t="s">
        <v>6123</v>
      </c>
      <c r="Y565" s="3"/>
      <c r="Z565" s="3"/>
      <c r="AA565" s="3"/>
      <c r="AB565" s="3" t="str">
        <f>IF(Caja_Arequipa[[#This Row],[fecha]]&gt;0,TEXT(Caja_Arequipa[[#This Row],[fecha]],"mmmm"),0)</f>
        <v>Julio</v>
      </c>
    </row>
    <row r="566" spans="1:28" x14ac:dyDescent="0.3">
      <c r="A566" s="44">
        <f>IF(Caja_Arequipa[[#This Row],[tipo_r]]="R",COUNTIFS($C$1:$C565,"R")+1,A565)</f>
        <v>489</v>
      </c>
      <c r="B566" s="19" t="str">
        <f t="shared" si="41"/>
        <v>C-Tesoreria</v>
      </c>
      <c r="C566" s="3" t="s">
        <v>1330</v>
      </c>
      <c r="D566" s="14">
        <v>45840</v>
      </c>
      <c r="E566" s="5" t="s">
        <v>1338</v>
      </c>
      <c r="F566" s="5" t="s">
        <v>1336</v>
      </c>
      <c r="G566" s="3" t="s">
        <v>5259</v>
      </c>
      <c r="H566" s="6"/>
      <c r="I566" s="48" t="s">
        <v>68</v>
      </c>
      <c r="J566" s="6" t="s">
        <v>6124</v>
      </c>
      <c r="K566" s="6">
        <v>39254</v>
      </c>
      <c r="L566" s="7" t="s">
        <v>6125</v>
      </c>
      <c r="M566" s="8" t="str">
        <f>IF(Caja_Arequipa[[#This Row],[tipo_r]]="R","001-"&amp;12002+A566,M565)</f>
        <v>001-12491</v>
      </c>
      <c r="N566" s="8" t="str">
        <f t="shared" si="44"/>
        <v>PEN</v>
      </c>
      <c r="O566" s="13"/>
      <c r="P566" s="13">
        <v>30</v>
      </c>
      <c r="Q566" s="3">
        <f t="shared" si="42"/>
        <v>0</v>
      </c>
      <c r="R566" s="3">
        <f t="shared" si="43"/>
        <v>30</v>
      </c>
      <c r="S566" s="3">
        <f t="shared" si="45"/>
        <v>1663.6999999999989</v>
      </c>
      <c r="T566" s="24"/>
      <c r="U566" s="24" t="s">
        <v>1334</v>
      </c>
      <c r="V566" s="3"/>
      <c r="W566" s="25" t="str">
        <f>IFERROR(VLOOKUP(Caja_Arequipa[[#This Row],[destinatario]],CHOOSE({1,2},Clientes_Proveedores[Razon Social],Clientes_Proveedores[Ruc / Dni]),2,0),"")</f>
        <v/>
      </c>
      <c r="X566" s="3" t="s">
        <v>6126</v>
      </c>
      <c r="Y566" s="3"/>
      <c r="Z566" s="3"/>
      <c r="AA566" s="3"/>
      <c r="AB566" s="3" t="str">
        <f>IF(Caja_Arequipa[[#This Row],[fecha]]&gt;0,TEXT(Caja_Arequipa[[#This Row],[fecha]],"mmmm"),0)</f>
        <v>Julio</v>
      </c>
    </row>
    <row r="567" spans="1:28" ht="24" x14ac:dyDescent="0.3">
      <c r="A567" s="44">
        <f>IF(Caja_Arequipa[[#This Row],[tipo_r]]="R",COUNTIFS($C$1:$C566,"R")+1,A566)</f>
        <v>490</v>
      </c>
      <c r="B567" s="19" t="str">
        <f t="shared" si="41"/>
        <v>C-Tesoreria</v>
      </c>
      <c r="C567" s="3" t="s">
        <v>1330</v>
      </c>
      <c r="D567" s="14">
        <v>45840</v>
      </c>
      <c r="E567" s="5" t="s">
        <v>1416</v>
      </c>
      <c r="F567" s="5" t="s">
        <v>1336</v>
      </c>
      <c r="G567" s="3" t="s">
        <v>5259</v>
      </c>
      <c r="H567" s="6" t="s">
        <v>692</v>
      </c>
      <c r="I567" s="45" t="s">
        <v>111</v>
      </c>
      <c r="J567" s="6">
        <v>3</v>
      </c>
      <c r="K567" s="6">
        <v>231</v>
      </c>
      <c r="L567" s="7" t="s">
        <v>6127</v>
      </c>
      <c r="M567" s="8" t="str">
        <f>IF(Caja_Arequipa[[#This Row],[tipo_r]]="R","001-"&amp;12002+A567,M566)</f>
        <v>001-12492</v>
      </c>
      <c r="N567" s="8" t="str">
        <f t="shared" si="44"/>
        <v>PEN</v>
      </c>
      <c r="O567" s="13"/>
      <c r="P567" s="13">
        <v>9</v>
      </c>
      <c r="Q567" s="3">
        <f t="shared" si="42"/>
        <v>0</v>
      </c>
      <c r="R567" s="3">
        <f t="shared" si="43"/>
        <v>9</v>
      </c>
      <c r="S567" s="3">
        <f t="shared" si="45"/>
        <v>1654.6999999999989</v>
      </c>
      <c r="T567" s="24"/>
      <c r="U567" s="24" t="s">
        <v>1334</v>
      </c>
      <c r="V567" s="3"/>
      <c r="W567" s="25">
        <f>IFERROR(VLOOKUP(Caja_Arequipa[[#This Row],[destinatario]],CHOOSE({1,2},Clientes_Proveedores[Razon Social],Clientes_Proveedores[Ruc / Dni]),2,0),"")</f>
        <v>10736055631</v>
      </c>
      <c r="X567" s="3" t="s">
        <v>6128</v>
      </c>
      <c r="Y567" s="3"/>
      <c r="Z567" s="3"/>
      <c r="AA567" s="3"/>
      <c r="AB567" s="3" t="str">
        <f>IF(Caja_Arequipa[[#This Row],[fecha]]&gt;0,TEXT(Caja_Arequipa[[#This Row],[fecha]],"mmmm"),0)</f>
        <v>Julio</v>
      </c>
    </row>
    <row r="568" spans="1:28" ht="24" x14ac:dyDescent="0.3">
      <c r="A568" s="44">
        <f>IF(Caja_Arequipa[[#This Row],[tipo_r]]="R",COUNTIFS($C$1:$C567,"R")+1,A567)</f>
        <v>491</v>
      </c>
      <c r="B568" s="19" t="str">
        <f t="shared" si="41"/>
        <v>C-Tesoreria</v>
      </c>
      <c r="C568" s="3" t="s">
        <v>1330</v>
      </c>
      <c r="D568" s="14">
        <v>45840</v>
      </c>
      <c r="E568" s="5" t="s">
        <v>1416</v>
      </c>
      <c r="F568" s="5" t="s">
        <v>1336</v>
      </c>
      <c r="G568" s="3" t="s">
        <v>5259</v>
      </c>
      <c r="H568" s="6" t="s">
        <v>692</v>
      </c>
      <c r="I568" s="45" t="s">
        <v>111</v>
      </c>
      <c r="J568" s="6">
        <v>3</v>
      </c>
      <c r="K568" s="6">
        <v>232</v>
      </c>
      <c r="L568" s="7" t="s">
        <v>6129</v>
      </c>
      <c r="M568" s="8" t="str">
        <f>IF(Caja_Arequipa[[#This Row],[tipo_r]]="R","001-"&amp;12002+A568,M567)</f>
        <v>001-12493</v>
      </c>
      <c r="N568" s="8" t="str">
        <f t="shared" si="44"/>
        <v>PEN</v>
      </c>
      <c r="O568" s="13"/>
      <c r="P568" s="13">
        <v>58</v>
      </c>
      <c r="Q568" s="3">
        <f t="shared" si="42"/>
        <v>0</v>
      </c>
      <c r="R568" s="3">
        <f t="shared" si="43"/>
        <v>58</v>
      </c>
      <c r="S568" s="3">
        <f t="shared" si="45"/>
        <v>1596.6999999999989</v>
      </c>
      <c r="T568" s="24"/>
      <c r="U568" s="24" t="s">
        <v>1334</v>
      </c>
      <c r="V568" s="3"/>
      <c r="W568" s="25">
        <f>IFERROR(VLOOKUP(Caja_Arequipa[[#This Row],[destinatario]],CHOOSE({1,2},Clientes_Proveedores[Razon Social],Clientes_Proveedores[Ruc / Dni]),2,0),"")</f>
        <v>10736055631</v>
      </c>
      <c r="X568" s="3" t="s">
        <v>6130</v>
      </c>
      <c r="Y568" s="3"/>
      <c r="Z568" s="3"/>
      <c r="AA568" s="3"/>
      <c r="AB568" s="3" t="str">
        <f>IF(Caja_Arequipa[[#This Row],[fecha]]&gt;0,TEXT(Caja_Arequipa[[#This Row],[fecha]],"mmmm"),0)</f>
        <v>Julio</v>
      </c>
    </row>
    <row r="569" spans="1:28" ht="24" x14ac:dyDescent="0.3">
      <c r="A569" s="44">
        <f>IF(Caja_Arequipa[[#This Row],[tipo_r]]="R",COUNTIFS($C$1:$C568,"R")+1,A568)</f>
        <v>492</v>
      </c>
      <c r="B569" s="19" t="str">
        <f t="shared" si="41"/>
        <v>C-Tesoreria</v>
      </c>
      <c r="C569" s="3" t="s">
        <v>1330</v>
      </c>
      <c r="D569" s="14">
        <v>45840</v>
      </c>
      <c r="E569" s="5" t="s">
        <v>1416</v>
      </c>
      <c r="F569" s="5" t="s">
        <v>1336</v>
      </c>
      <c r="G569" s="3" t="s">
        <v>5259</v>
      </c>
      <c r="H569" s="6" t="s">
        <v>692</v>
      </c>
      <c r="I569" s="45" t="s">
        <v>111</v>
      </c>
      <c r="J569" s="6">
        <v>3</v>
      </c>
      <c r="K569" s="6">
        <v>233</v>
      </c>
      <c r="L569" s="7" t="s">
        <v>6131</v>
      </c>
      <c r="M569" s="8" t="str">
        <f>IF(Caja_Arequipa[[#This Row],[tipo_r]]="R","001-"&amp;12002+A569,M568)</f>
        <v>001-12494</v>
      </c>
      <c r="N569" s="8" t="str">
        <f t="shared" si="44"/>
        <v>PEN</v>
      </c>
      <c r="O569" s="13"/>
      <c r="P569" s="13">
        <v>129</v>
      </c>
      <c r="Q569" s="3">
        <f t="shared" si="42"/>
        <v>0</v>
      </c>
      <c r="R569" s="3">
        <f t="shared" si="43"/>
        <v>129</v>
      </c>
      <c r="S569" s="3">
        <f t="shared" si="45"/>
        <v>1467.6999999999989</v>
      </c>
      <c r="T569" s="24"/>
      <c r="U569" s="24" t="s">
        <v>1334</v>
      </c>
      <c r="V569" s="3"/>
      <c r="W569" s="25">
        <f>IFERROR(VLOOKUP(Caja_Arequipa[[#This Row],[destinatario]],CHOOSE({1,2},Clientes_Proveedores[Razon Social],Clientes_Proveedores[Ruc / Dni]),2,0),"")</f>
        <v>10736055631</v>
      </c>
      <c r="X569" s="3" t="s">
        <v>6132</v>
      </c>
      <c r="Y569" s="3"/>
      <c r="Z569" s="3"/>
      <c r="AA569" s="3"/>
      <c r="AB569" s="3" t="str">
        <f>IF(Caja_Arequipa[[#This Row],[fecha]]&gt;0,TEXT(Caja_Arequipa[[#This Row],[fecha]],"mmmm"),0)</f>
        <v>Julio</v>
      </c>
    </row>
    <row r="570" spans="1:28" ht="24" x14ac:dyDescent="0.3">
      <c r="A570" s="44">
        <f>IF(Caja_Arequipa[[#This Row],[tipo_r]]="R",COUNTIFS($C$1:$C569,"R")+1,A569)</f>
        <v>493</v>
      </c>
      <c r="B570" s="19" t="str">
        <f t="shared" si="41"/>
        <v>C-Tesoreria</v>
      </c>
      <c r="C570" s="3" t="s">
        <v>1330</v>
      </c>
      <c r="D570" s="14">
        <v>45840</v>
      </c>
      <c r="E570" s="5" t="s">
        <v>1416</v>
      </c>
      <c r="F570" s="5" t="s">
        <v>1336</v>
      </c>
      <c r="G570" s="3" t="s">
        <v>5259</v>
      </c>
      <c r="H570" s="6" t="s">
        <v>692</v>
      </c>
      <c r="I570" s="45" t="s">
        <v>111</v>
      </c>
      <c r="J570" s="6">
        <v>3</v>
      </c>
      <c r="K570" s="6">
        <v>234</v>
      </c>
      <c r="L570" s="7" t="s">
        <v>6133</v>
      </c>
      <c r="M570" s="8" t="str">
        <f>IF(Caja_Arequipa[[#This Row],[tipo_r]]="R","001-"&amp;12002+A570,M569)</f>
        <v>001-12495</v>
      </c>
      <c r="N570" s="8" t="str">
        <f t="shared" si="44"/>
        <v>PEN</v>
      </c>
      <c r="O570" s="13"/>
      <c r="P570" s="13">
        <v>130</v>
      </c>
      <c r="Q570" s="3">
        <f t="shared" si="42"/>
        <v>0</v>
      </c>
      <c r="R570" s="3">
        <f t="shared" si="43"/>
        <v>130</v>
      </c>
      <c r="S570" s="3">
        <f t="shared" si="45"/>
        <v>1337.6999999999989</v>
      </c>
      <c r="T570" s="24"/>
      <c r="U570" s="24" t="s">
        <v>1334</v>
      </c>
      <c r="V570" s="3"/>
      <c r="W570" s="25">
        <f>IFERROR(VLOOKUP(Caja_Arequipa[[#This Row],[destinatario]],CHOOSE({1,2},Clientes_Proveedores[Razon Social],Clientes_Proveedores[Ruc / Dni]),2,0),"")</f>
        <v>10736055631</v>
      </c>
      <c r="X570" s="3" t="s">
        <v>6121</v>
      </c>
      <c r="Y570" s="3"/>
      <c r="Z570" s="3"/>
      <c r="AA570" s="3"/>
      <c r="AB570" s="3" t="str">
        <f>IF(Caja_Arequipa[[#This Row],[fecha]]&gt;0,TEXT(Caja_Arequipa[[#This Row],[fecha]],"mmmm"),0)</f>
        <v>Julio</v>
      </c>
    </row>
    <row r="571" spans="1:28" ht="24" x14ac:dyDescent="0.3">
      <c r="A571" s="44">
        <f>IF(Caja_Arequipa[[#This Row],[tipo_r]]="R",COUNTIFS($C$1:$C570,"R")+1,A570)</f>
        <v>494</v>
      </c>
      <c r="B571" s="19" t="str">
        <f t="shared" ref="B571:B621" si="46">"C-Tesoreria"</f>
        <v>C-Tesoreria</v>
      </c>
      <c r="C571" s="3" t="s">
        <v>1330</v>
      </c>
      <c r="D571" s="14">
        <v>45840</v>
      </c>
      <c r="E571" s="5" t="s">
        <v>1416</v>
      </c>
      <c r="F571" s="5" t="s">
        <v>1336</v>
      </c>
      <c r="G571" s="3" t="s">
        <v>5259</v>
      </c>
      <c r="H571" s="6" t="s">
        <v>692</v>
      </c>
      <c r="I571" s="45" t="s">
        <v>111</v>
      </c>
      <c r="J571" s="6">
        <v>3</v>
      </c>
      <c r="K571" s="6">
        <v>235</v>
      </c>
      <c r="L571" s="7" t="s">
        <v>6097</v>
      </c>
      <c r="M571" s="8" t="str">
        <f>IF(Caja_Arequipa[[#This Row],[tipo_r]]="R","001-"&amp;12002+A571,M570)</f>
        <v>001-12496</v>
      </c>
      <c r="N571" s="8" t="str">
        <f t="shared" si="44"/>
        <v>PEN</v>
      </c>
      <c r="O571" s="13"/>
      <c r="P571" s="13">
        <v>43</v>
      </c>
      <c r="Q571" s="3">
        <f t="shared" ref="Q571:Q626" si="47">+IF(OR($F571="SALDO",$F571="INGRESO"),$P571,0)</f>
        <v>0</v>
      </c>
      <c r="R571" s="3">
        <f t="shared" ref="R571:R626" si="48">+IF($F571="EGRESO",$P571,0)</f>
        <v>43</v>
      </c>
      <c r="S571" s="3">
        <f t="shared" si="45"/>
        <v>1294.6999999999989</v>
      </c>
      <c r="T571" s="24"/>
      <c r="U571" s="24" t="s">
        <v>1334</v>
      </c>
      <c r="V571" s="3"/>
      <c r="W571" s="25">
        <f>IFERROR(VLOOKUP(Caja_Arequipa[[#This Row],[destinatario]],CHOOSE({1,2},Clientes_Proveedores[Razon Social],Clientes_Proveedores[Ruc / Dni]),2,0),"")</f>
        <v>10736055631</v>
      </c>
      <c r="X571" s="3" t="s">
        <v>6134</v>
      </c>
      <c r="Y571" s="3"/>
      <c r="Z571" s="3"/>
      <c r="AA571" s="3"/>
      <c r="AB571" s="3" t="str">
        <f>IF(Caja_Arequipa[[#This Row],[fecha]]&gt;0,TEXT(Caja_Arequipa[[#This Row],[fecha]],"mmmm"),0)</f>
        <v>Julio</v>
      </c>
    </row>
    <row r="572" spans="1:28" ht="24" x14ac:dyDescent="0.3">
      <c r="A572" s="44">
        <f>IF(Caja_Arequipa[[#This Row],[tipo_r]]="R",COUNTIFS($C$1:$C571,"R")+1,A571)</f>
        <v>495</v>
      </c>
      <c r="B572" s="19" t="str">
        <f t="shared" si="46"/>
        <v>C-Tesoreria</v>
      </c>
      <c r="C572" s="3" t="s">
        <v>1330</v>
      </c>
      <c r="D572" s="14">
        <v>45840</v>
      </c>
      <c r="E572" s="5" t="s">
        <v>1416</v>
      </c>
      <c r="F572" s="5" t="s">
        <v>1336</v>
      </c>
      <c r="G572" s="3" t="s">
        <v>5828</v>
      </c>
      <c r="H572" s="6"/>
      <c r="I572" s="48"/>
      <c r="J572" s="6"/>
      <c r="K572" s="6"/>
      <c r="L572" s="7" t="s">
        <v>6135</v>
      </c>
      <c r="M572" s="8" t="str">
        <f>IF(Caja_Arequipa[[#This Row],[tipo_r]]="R","001-"&amp;12002+A572,M571)</f>
        <v>001-12497</v>
      </c>
      <c r="N572" s="8" t="str">
        <f t="shared" ref="N572:N587" si="49">"PEN"</f>
        <v>PEN</v>
      </c>
      <c r="O572" s="13"/>
      <c r="P572" s="13">
        <v>84.6</v>
      </c>
      <c r="Q572" s="3">
        <f t="shared" si="47"/>
        <v>0</v>
      </c>
      <c r="R572" s="3">
        <f t="shared" si="48"/>
        <v>84.6</v>
      </c>
      <c r="S572" s="3">
        <f t="shared" si="45"/>
        <v>1210.099999999999</v>
      </c>
      <c r="T572" s="24"/>
      <c r="U572" s="24" t="s">
        <v>1334</v>
      </c>
      <c r="V572" s="3"/>
      <c r="W572" s="25" t="str">
        <f>IFERROR(VLOOKUP(Caja_Arequipa[[#This Row],[destinatario]],CHOOSE({1,2},Clientes_Proveedores[Razon Social],Clientes_Proveedores[Ruc / Dni]),2,0),"")</f>
        <v/>
      </c>
      <c r="X572" s="3" t="s">
        <v>6136</v>
      </c>
      <c r="Y572" s="3"/>
      <c r="Z572" s="3"/>
      <c r="AA572" s="3"/>
      <c r="AB572" s="3" t="str">
        <f>IF(Caja_Arequipa[[#This Row],[fecha]]&gt;0,TEXT(Caja_Arequipa[[#This Row],[fecha]],"mmmm"),0)</f>
        <v>Julio</v>
      </c>
    </row>
    <row r="573" spans="1:28" ht="24" x14ac:dyDescent="0.3">
      <c r="A573" s="44">
        <f>IF(Caja_Arequipa[[#This Row],[tipo_r]]="R",COUNTIFS($C$1:$C572,"R")+1,A572)</f>
        <v>495</v>
      </c>
      <c r="B573" s="19" t="str">
        <f t="shared" si="46"/>
        <v>C-Tesoreria</v>
      </c>
      <c r="C573" s="3" t="s">
        <v>1352</v>
      </c>
      <c r="D573" s="14">
        <v>45840</v>
      </c>
      <c r="E573" s="5" t="s">
        <v>1416</v>
      </c>
      <c r="F573" s="5"/>
      <c r="G573" s="3" t="s">
        <v>5828</v>
      </c>
      <c r="H573" s="6" t="s">
        <v>993</v>
      </c>
      <c r="I573" s="48" t="s">
        <v>111</v>
      </c>
      <c r="J573" s="6">
        <v>3</v>
      </c>
      <c r="K573" s="6">
        <v>238</v>
      </c>
      <c r="L573" s="7"/>
      <c r="M573" s="8" t="str">
        <f>IF(Caja_Arequipa[[#This Row],[tipo_r]]="R","001-"&amp;12002+A573,M572)</f>
        <v>001-12497</v>
      </c>
      <c r="N573" s="8" t="str">
        <f>"PEN"</f>
        <v>PEN</v>
      </c>
      <c r="O573" s="13">
        <v>21</v>
      </c>
      <c r="P573" s="13"/>
      <c r="Q573" s="3">
        <f t="shared" si="47"/>
        <v>0</v>
      </c>
      <c r="R573" s="3">
        <f t="shared" si="48"/>
        <v>0</v>
      </c>
      <c r="S573" s="3">
        <f t="shared" si="45"/>
        <v>1210.099999999999</v>
      </c>
      <c r="T573" s="24"/>
      <c r="U573" s="24" t="s">
        <v>1334</v>
      </c>
      <c r="V573" s="3"/>
      <c r="W573" s="25">
        <f>IFERROR(VLOOKUP(Caja_Arequipa[[#This Row],[destinatario]],CHOOSE({1,2},Clientes_Proveedores[Razon Social],Clientes_Proveedores[Ruc / Dni]),2,0),"")</f>
        <v>76390500</v>
      </c>
      <c r="X573" s="3"/>
      <c r="Y573" s="3"/>
      <c r="Z573" s="3"/>
      <c r="AA573" s="3"/>
      <c r="AB573" s="3" t="str">
        <f>IF(Caja_Arequipa[[#This Row],[fecha]]&gt;0,TEXT(Caja_Arequipa[[#This Row],[fecha]],"mmmm"),0)</f>
        <v>Julio</v>
      </c>
    </row>
    <row r="574" spans="1:28" ht="24" x14ac:dyDescent="0.3">
      <c r="A574" s="44">
        <f>IF(Caja_Arequipa[[#This Row],[tipo_r]]="R",COUNTIFS($C$1:$C573,"R")+1,A573)</f>
        <v>495</v>
      </c>
      <c r="B574" s="19" t="str">
        <f t="shared" si="46"/>
        <v>C-Tesoreria</v>
      </c>
      <c r="C574" s="3" t="s">
        <v>1352</v>
      </c>
      <c r="D574" s="14">
        <v>45840</v>
      </c>
      <c r="E574" s="5" t="s">
        <v>1416</v>
      </c>
      <c r="F574" s="5"/>
      <c r="G574" s="3" t="s">
        <v>5828</v>
      </c>
      <c r="H574" s="6" t="s">
        <v>977</v>
      </c>
      <c r="I574" s="48" t="s">
        <v>68</v>
      </c>
      <c r="J574" s="6" t="s">
        <v>6137</v>
      </c>
      <c r="K574" s="6">
        <v>12503</v>
      </c>
      <c r="L574" s="7"/>
      <c r="M574" s="8" t="str">
        <f>IF(Caja_Arequipa[[#This Row],[tipo_r]]="R","001-"&amp;12002+A574,M573)</f>
        <v>001-12497</v>
      </c>
      <c r="N574" s="8" t="str">
        <f>"PEN"</f>
        <v>PEN</v>
      </c>
      <c r="O574" s="13">
        <v>63.6</v>
      </c>
      <c r="P574" s="13"/>
      <c r="Q574" s="3">
        <f t="shared" si="47"/>
        <v>0</v>
      </c>
      <c r="R574" s="3">
        <f t="shared" si="48"/>
        <v>0</v>
      </c>
      <c r="S574" s="3">
        <f t="shared" si="45"/>
        <v>1210.099999999999</v>
      </c>
      <c r="T574" s="24"/>
      <c r="U574" s="24" t="s">
        <v>1334</v>
      </c>
      <c r="V574" s="3"/>
      <c r="W574" s="25">
        <f>IFERROR(VLOOKUP(Caja_Arequipa[[#This Row],[destinatario]],CHOOSE({1,2},Clientes_Proveedores[Razon Social],Clientes_Proveedores[Ruc / Dni]),2,0),"")</f>
        <v>20508565934</v>
      </c>
      <c r="X574" s="3"/>
      <c r="Y574" s="3"/>
      <c r="Z574" s="3"/>
      <c r="AA574" s="3"/>
      <c r="AB574" s="3" t="str">
        <f>IF(Caja_Arequipa[[#This Row],[fecha]]&gt;0,TEXT(Caja_Arequipa[[#This Row],[fecha]],"mmmm"),0)</f>
        <v>Julio</v>
      </c>
    </row>
    <row r="575" spans="1:28" ht="24" x14ac:dyDescent="0.3">
      <c r="A575" s="44">
        <f>IF(Caja_Arequipa[[#This Row],[tipo_r]]="R",COUNTIFS($C$1:$C574,"R")+1,A574)</f>
        <v>496</v>
      </c>
      <c r="B575" s="19" t="str">
        <f t="shared" si="46"/>
        <v>C-Tesoreria</v>
      </c>
      <c r="C575" s="3" t="s">
        <v>1330</v>
      </c>
      <c r="D575" s="14">
        <v>45841</v>
      </c>
      <c r="E575" s="5" t="s">
        <v>1416</v>
      </c>
      <c r="F575" s="5" t="s">
        <v>1303</v>
      </c>
      <c r="G575" s="3" t="s">
        <v>425</v>
      </c>
      <c r="H575" s="6"/>
      <c r="I575" s="46"/>
      <c r="J575" s="6"/>
      <c r="K575" s="6"/>
      <c r="L575" s="7" t="s">
        <v>6138</v>
      </c>
      <c r="M575" s="8" t="str">
        <f>IF(Caja_Arequipa[[#This Row],[tipo_r]]="R","001-"&amp;12002+A575,M574)</f>
        <v>001-12498</v>
      </c>
      <c r="N575" s="8" t="str">
        <f t="shared" si="49"/>
        <v>PEN</v>
      </c>
      <c r="O575" s="13"/>
      <c r="P575" s="13">
        <v>259.8</v>
      </c>
      <c r="Q575" s="3">
        <f t="shared" si="47"/>
        <v>259.8</v>
      </c>
      <c r="R575" s="3">
        <f t="shared" si="48"/>
        <v>0</v>
      </c>
      <c r="S575" s="3">
        <f t="shared" si="45"/>
        <v>1469.899999999999</v>
      </c>
      <c r="T575" s="24"/>
      <c r="U575" s="24"/>
      <c r="V575" s="3"/>
      <c r="W575" s="25" t="str">
        <f>IFERROR(VLOOKUP(Caja_Arequipa[[#This Row],[destinatario]],CHOOSE({1,2},Clientes_Proveedores[Razon Social],Clientes_Proveedores[Ruc / Dni]),2,0),"")</f>
        <v/>
      </c>
      <c r="X575" s="3" t="s">
        <v>2956</v>
      </c>
      <c r="Y575" s="3"/>
      <c r="Z575" s="3"/>
      <c r="AA575" s="3"/>
      <c r="AB575" s="3" t="str">
        <f>IF(Caja_Arequipa[[#This Row],[fecha]]&gt;0,TEXT(Caja_Arequipa[[#This Row],[fecha]],"mmmm"),0)</f>
        <v>Julio</v>
      </c>
    </row>
    <row r="576" spans="1:28" ht="24" x14ac:dyDescent="0.3">
      <c r="A576" s="44">
        <f>IF(Caja_Arequipa[[#This Row],[tipo_r]]="R",COUNTIFS($C$1:$C575,"R")+1,A575)</f>
        <v>497</v>
      </c>
      <c r="B576" s="19" t="str">
        <f t="shared" si="46"/>
        <v>C-Tesoreria</v>
      </c>
      <c r="C576" s="3" t="s">
        <v>1330</v>
      </c>
      <c r="D576" s="14">
        <v>45841</v>
      </c>
      <c r="E576" s="5" t="s">
        <v>1416</v>
      </c>
      <c r="F576" s="5" t="s">
        <v>1336</v>
      </c>
      <c r="G576" s="3" t="s">
        <v>5380</v>
      </c>
      <c r="H576" s="6"/>
      <c r="I576" s="48"/>
      <c r="J576" s="6"/>
      <c r="K576" s="6"/>
      <c r="L576" s="7" t="s">
        <v>5944</v>
      </c>
      <c r="M576" s="8" t="str">
        <f>IF(Caja_Arequipa[[#This Row],[tipo_r]]="R","001-"&amp;12002+A576,M575)</f>
        <v>001-12499</v>
      </c>
      <c r="N576" s="8" t="str">
        <f t="shared" si="49"/>
        <v>PEN</v>
      </c>
      <c r="O576" s="13"/>
      <c r="P576" s="13">
        <v>68</v>
      </c>
      <c r="Q576" s="3">
        <f t="shared" si="47"/>
        <v>0</v>
      </c>
      <c r="R576" s="3">
        <f t="shared" si="48"/>
        <v>68</v>
      </c>
      <c r="S576" s="3">
        <f t="shared" si="45"/>
        <v>1401.899999999999</v>
      </c>
      <c r="T576" s="24"/>
      <c r="U576" s="24" t="s">
        <v>1334</v>
      </c>
      <c r="V576" s="3"/>
      <c r="W576" s="25" t="str">
        <f>IFERROR(VLOOKUP(Caja_Arequipa[[#This Row],[destinatario]],CHOOSE({1,2},Clientes_Proveedores[Razon Social],Clientes_Proveedores[Ruc / Dni]),2,0),"")</f>
        <v/>
      </c>
      <c r="X576" s="3" t="s">
        <v>6139</v>
      </c>
      <c r="Y576" s="3"/>
      <c r="Z576" s="3"/>
      <c r="AA576" s="3"/>
      <c r="AB576" s="3" t="str">
        <f>IF(Caja_Arequipa[[#This Row],[fecha]]&gt;0,TEXT(Caja_Arequipa[[#This Row],[fecha]],"mmmm"),0)</f>
        <v>Julio</v>
      </c>
    </row>
    <row r="577" spans="1:28" ht="24" x14ac:dyDescent="0.3">
      <c r="A577" s="44">
        <f>IF(Caja_Arequipa[[#This Row],[tipo_r]]="R",COUNTIFS($C$1:$C576,"R")+1,A576)</f>
        <v>497</v>
      </c>
      <c r="B577" s="19" t="str">
        <f t="shared" si="46"/>
        <v>C-Tesoreria</v>
      </c>
      <c r="C577" s="3" t="s">
        <v>1352</v>
      </c>
      <c r="D577" s="14">
        <v>45841</v>
      </c>
      <c r="E577" s="5" t="s">
        <v>1416</v>
      </c>
      <c r="F577" s="5"/>
      <c r="G577" s="3"/>
      <c r="H577" s="6" t="s">
        <v>991</v>
      </c>
      <c r="I577" s="48" t="s">
        <v>68</v>
      </c>
      <c r="J577" s="6" t="s">
        <v>1376</v>
      </c>
      <c r="K577" s="6">
        <v>927</v>
      </c>
      <c r="L577" s="7"/>
      <c r="M577" s="8" t="str">
        <f>IF(Caja_Arequipa[[#This Row],[tipo_r]]="R","001-"&amp;12002+A577,M576)</f>
        <v>001-12499</v>
      </c>
      <c r="N577" s="8" t="str">
        <f>"PEN"</f>
        <v>PEN</v>
      </c>
      <c r="O577" s="13">
        <v>35</v>
      </c>
      <c r="P577" s="13"/>
      <c r="Q577" s="3">
        <f t="shared" si="47"/>
        <v>0</v>
      </c>
      <c r="R577" s="3">
        <f t="shared" si="48"/>
        <v>0</v>
      </c>
      <c r="S577" s="3">
        <f t="shared" si="45"/>
        <v>1401.899999999999</v>
      </c>
      <c r="T577" s="24"/>
      <c r="U577" s="24" t="s">
        <v>1334</v>
      </c>
      <c r="V577" s="3"/>
      <c r="W577" s="25">
        <f>IFERROR(VLOOKUP(Caja_Arequipa[[#This Row],[destinatario]],CHOOSE({1,2},Clientes_Proveedores[Razon Social],Clientes_Proveedores[Ruc / Dni]),2,0),"")</f>
        <v>10305624930</v>
      </c>
      <c r="X577" s="3"/>
      <c r="Y577" s="3"/>
      <c r="Z577" s="3"/>
      <c r="AA577" s="3"/>
      <c r="AB577" s="3" t="str">
        <f>IF(Caja_Arequipa[[#This Row],[fecha]]&gt;0,TEXT(Caja_Arequipa[[#This Row],[fecha]],"mmmm"),0)</f>
        <v>Julio</v>
      </c>
    </row>
    <row r="578" spans="1:28" ht="36" x14ac:dyDescent="0.3">
      <c r="A578" s="44">
        <f>IF(Caja_Arequipa[[#This Row],[tipo_r]]="R",COUNTIFS($C$1:$C577,"R")+1,A577)</f>
        <v>497</v>
      </c>
      <c r="B578" s="19" t="str">
        <f t="shared" si="46"/>
        <v>C-Tesoreria</v>
      </c>
      <c r="C578" s="3" t="s">
        <v>1352</v>
      </c>
      <c r="D578" s="14">
        <v>45841</v>
      </c>
      <c r="E578" s="5" t="s">
        <v>1416</v>
      </c>
      <c r="F578" s="5"/>
      <c r="G578" s="3"/>
      <c r="H578" s="6" t="s">
        <v>497</v>
      </c>
      <c r="I578" s="48" t="s">
        <v>68</v>
      </c>
      <c r="J578" s="6" t="s">
        <v>1390</v>
      </c>
      <c r="K578" s="6">
        <v>20048</v>
      </c>
      <c r="L578" s="7"/>
      <c r="M578" s="8" t="str">
        <f>IF(Caja_Arequipa[[#This Row],[tipo_r]]="R","001-"&amp;12002+A578,M577)</f>
        <v>001-12499</v>
      </c>
      <c r="N578" s="8" t="str">
        <f>"PEN"</f>
        <v>PEN</v>
      </c>
      <c r="O578" s="13">
        <v>33</v>
      </c>
      <c r="P578" s="13"/>
      <c r="Q578" s="3">
        <f t="shared" si="47"/>
        <v>0</v>
      </c>
      <c r="R578" s="3">
        <f t="shared" si="48"/>
        <v>0</v>
      </c>
      <c r="S578" s="3">
        <f t="shared" ref="S578:S641" si="50">IFERROR(IF(F578="SALDO",Q578,S577+Q578-R578),0)</f>
        <v>1401.899999999999</v>
      </c>
      <c r="T578" s="24"/>
      <c r="U578" s="24" t="s">
        <v>1334</v>
      </c>
      <c r="V578" s="3"/>
      <c r="W578" s="25">
        <f>IFERROR(VLOOKUP(Caja_Arequipa[[#This Row],[destinatario]],CHOOSE({1,2},Clientes_Proveedores[Razon Social],Clientes_Proveedores[Ruc / Dni]),2,0),"")</f>
        <v>20602810497</v>
      </c>
      <c r="X578" s="3"/>
      <c r="Y578" s="3"/>
      <c r="Z578" s="3"/>
      <c r="AA578" s="3"/>
      <c r="AB578" s="3" t="str">
        <f>IF(Caja_Arequipa[[#This Row],[fecha]]&gt;0,TEXT(Caja_Arequipa[[#This Row],[fecha]],"mmmm"),0)</f>
        <v>Julio</v>
      </c>
    </row>
    <row r="579" spans="1:28" ht="24" x14ac:dyDescent="0.3">
      <c r="A579" s="44">
        <f>IF(Caja_Arequipa[[#This Row],[tipo_r]]="R",COUNTIFS($C$1:$C578,"R")+1,A578)</f>
        <v>498</v>
      </c>
      <c r="B579" s="19" t="str">
        <f t="shared" si="46"/>
        <v>C-Tesoreria</v>
      </c>
      <c r="C579" s="3" t="s">
        <v>1330</v>
      </c>
      <c r="D579" s="14">
        <v>45841</v>
      </c>
      <c r="E579" s="5" t="s">
        <v>1416</v>
      </c>
      <c r="F579" s="5" t="s">
        <v>1336</v>
      </c>
      <c r="G579" s="3" t="s">
        <v>4788</v>
      </c>
      <c r="H579" s="6"/>
      <c r="I579" s="47" t="s">
        <v>130</v>
      </c>
      <c r="J579" s="6">
        <v>1</v>
      </c>
      <c r="K579" s="6">
        <v>153</v>
      </c>
      <c r="L579" s="7" t="s">
        <v>6140</v>
      </c>
      <c r="M579" s="8" t="str">
        <f>IF(Caja_Arequipa[[#This Row],[tipo_r]]="R","001-"&amp;12002+A579,M578)</f>
        <v>001-12500</v>
      </c>
      <c r="N579" s="8" t="str">
        <f t="shared" si="49"/>
        <v>PEN</v>
      </c>
      <c r="O579" s="13"/>
      <c r="P579" s="13">
        <v>11</v>
      </c>
      <c r="Q579" s="3">
        <f t="shared" si="47"/>
        <v>0</v>
      </c>
      <c r="R579" s="3">
        <f t="shared" si="48"/>
        <v>11</v>
      </c>
      <c r="S579" s="3">
        <f t="shared" si="50"/>
        <v>1390.899999999999</v>
      </c>
      <c r="T579" s="24"/>
      <c r="U579" s="24" t="s">
        <v>6141</v>
      </c>
      <c r="V579" s="3"/>
      <c r="W579" s="25" t="str">
        <f>IFERROR(VLOOKUP(Caja_Arequipa[[#This Row],[destinatario]],CHOOSE({1,2},Clientes_Proveedores[Razon Social],Clientes_Proveedores[Ruc / Dni]),2,0),"")</f>
        <v/>
      </c>
      <c r="X579" s="3" t="s">
        <v>6142</v>
      </c>
      <c r="Y579" s="3" t="s">
        <v>6143</v>
      </c>
      <c r="Z579" s="3"/>
      <c r="AA579" s="3"/>
      <c r="AB579" s="3" t="str">
        <f>IF(Caja_Arequipa[[#This Row],[fecha]]&gt;0,TEXT(Caja_Arequipa[[#This Row],[fecha]],"mmmm"),0)</f>
        <v>Julio</v>
      </c>
    </row>
    <row r="580" spans="1:28" ht="24" x14ac:dyDescent="0.3">
      <c r="A580" s="44">
        <f>IF(Caja_Arequipa[[#This Row],[tipo_r]]="R",COUNTIFS($C$1:$C579,"R")+1,A579)</f>
        <v>499</v>
      </c>
      <c r="B580" s="19" t="str">
        <f t="shared" si="46"/>
        <v>C-Tesoreria</v>
      </c>
      <c r="C580" s="3" t="s">
        <v>1330</v>
      </c>
      <c r="D580" s="14">
        <v>45842</v>
      </c>
      <c r="E580" s="5" t="s">
        <v>1338</v>
      </c>
      <c r="F580" s="5" t="s">
        <v>1336</v>
      </c>
      <c r="G580" s="3" t="s">
        <v>5828</v>
      </c>
      <c r="H580" s="6"/>
      <c r="I580" s="45"/>
      <c r="J580" s="6"/>
      <c r="K580" s="6"/>
      <c r="L580" s="7" t="s">
        <v>6144</v>
      </c>
      <c r="M580" s="8" t="str">
        <f>IF(Caja_Arequipa[[#This Row],[tipo_r]]="R","001-"&amp;12002+A580,M579)</f>
        <v>001-12501</v>
      </c>
      <c r="N580" s="8" t="str">
        <f t="shared" si="49"/>
        <v>PEN</v>
      </c>
      <c r="O580" s="13"/>
      <c r="P580" s="13">
        <v>38</v>
      </c>
      <c r="Q580" s="3">
        <f t="shared" si="47"/>
        <v>0</v>
      </c>
      <c r="R580" s="3">
        <f t="shared" si="48"/>
        <v>38</v>
      </c>
      <c r="S580" s="3">
        <f t="shared" si="50"/>
        <v>1352.899999999999</v>
      </c>
      <c r="T580" s="24"/>
      <c r="U580" s="24" t="s">
        <v>1334</v>
      </c>
      <c r="V580" s="3"/>
      <c r="W580" s="25" t="str">
        <f>IFERROR(VLOOKUP(Caja_Arequipa[[#This Row],[destinatario]],CHOOSE({1,2},Clientes_Proveedores[Razon Social],Clientes_Proveedores[Ruc / Dni]),2,0),"")</f>
        <v/>
      </c>
      <c r="X580" s="3" t="s">
        <v>6145</v>
      </c>
      <c r="Y580" s="3"/>
      <c r="Z580" s="3"/>
      <c r="AA580" s="3"/>
      <c r="AB580" s="3" t="str">
        <f>IF(Caja_Arequipa[[#This Row],[fecha]]&gt;0,TEXT(Caja_Arequipa[[#This Row],[fecha]],"mmmm"),0)</f>
        <v>Julio</v>
      </c>
    </row>
    <row r="581" spans="1:28" x14ac:dyDescent="0.3">
      <c r="A581" s="44">
        <f>IF(Caja_Arequipa[[#This Row],[tipo_r]]="R",COUNTIFS($C$1:$C580,"R")+1,A580)</f>
        <v>499</v>
      </c>
      <c r="B581" s="19" t="str">
        <f t="shared" si="46"/>
        <v>C-Tesoreria</v>
      </c>
      <c r="C581" s="3" t="s">
        <v>1352</v>
      </c>
      <c r="D581" s="14">
        <v>45842</v>
      </c>
      <c r="E581" s="5" t="s">
        <v>1338</v>
      </c>
      <c r="F581" s="5" t="s">
        <v>1336</v>
      </c>
      <c r="G581" s="3"/>
      <c r="H581" s="6"/>
      <c r="I581" s="45" t="s">
        <v>111</v>
      </c>
      <c r="J581" s="6">
        <v>3</v>
      </c>
      <c r="K581" s="6">
        <v>245</v>
      </c>
      <c r="L581" s="7" t="s">
        <v>6144</v>
      </c>
      <c r="M581" s="8" t="str">
        <f>IF(Caja_Arequipa[[#This Row],[tipo_r]]="R","001-"&amp;12002+A581,M580)</f>
        <v>001-12501</v>
      </c>
      <c r="N581" s="8" t="str">
        <f>"PEN"</f>
        <v>PEN</v>
      </c>
      <c r="O581" s="13">
        <v>35</v>
      </c>
      <c r="P581" s="13"/>
      <c r="Q581" s="3">
        <f t="shared" si="47"/>
        <v>0</v>
      </c>
      <c r="R581" s="3">
        <f t="shared" si="48"/>
        <v>0</v>
      </c>
      <c r="S581" s="3">
        <f t="shared" si="50"/>
        <v>1352.899999999999</v>
      </c>
      <c r="T581" s="24"/>
      <c r="U581" s="24" t="s">
        <v>1334</v>
      </c>
      <c r="V581" s="3"/>
      <c r="W581" s="25" t="str">
        <f>IFERROR(VLOOKUP(Caja_Arequipa[[#This Row],[destinatario]],CHOOSE({1,2},Clientes_Proveedores[Razon Social],Clientes_Proveedores[Ruc / Dni]),2,0),"")</f>
        <v/>
      </c>
      <c r="X581" s="3"/>
      <c r="Y581" s="3"/>
      <c r="Z581" s="3"/>
      <c r="AA581" s="3"/>
      <c r="AB581" s="3" t="str">
        <f>IF(Caja_Arequipa[[#This Row],[fecha]]&gt;0,TEXT(Caja_Arequipa[[#This Row],[fecha]],"mmmm"),0)</f>
        <v>Julio</v>
      </c>
    </row>
    <row r="582" spans="1:28" x14ac:dyDescent="0.3">
      <c r="A582" s="44">
        <f>IF(Caja_Arequipa[[#This Row],[tipo_r]]="R",COUNTIFS($C$1:$C581,"R")+1,A581)</f>
        <v>499</v>
      </c>
      <c r="B582" s="19" t="str">
        <f t="shared" si="46"/>
        <v>C-Tesoreria</v>
      </c>
      <c r="C582" s="3" t="s">
        <v>1352</v>
      </c>
      <c r="D582" s="14">
        <v>45842</v>
      </c>
      <c r="E582" s="5" t="s">
        <v>1338</v>
      </c>
      <c r="F582" s="5" t="s">
        <v>1336</v>
      </c>
      <c r="G582" s="3"/>
      <c r="H582" s="6"/>
      <c r="I582" s="45" t="s">
        <v>111</v>
      </c>
      <c r="J582" s="6">
        <v>3</v>
      </c>
      <c r="K582" s="6">
        <v>244</v>
      </c>
      <c r="L582" s="7" t="s">
        <v>6144</v>
      </c>
      <c r="M582" s="8" t="str">
        <f>IF(Caja_Arequipa[[#This Row],[tipo_r]]="R","001-"&amp;12002+A582,M581)</f>
        <v>001-12501</v>
      </c>
      <c r="N582" s="8" t="str">
        <f>"PEN"</f>
        <v>PEN</v>
      </c>
      <c r="O582" s="13">
        <v>3</v>
      </c>
      <c r="P582" s="13"/>
      <c r="Q582" s="3">
        <f t="shared" si="47"/>
        <v>0</v>
      </c>
      <c r="R582" s="3">
        <f t="shared" si="48"/>
        <v>0</v>
      </c>
      <c r="S582" s="3">
        <f t="shared" si="50"/>
        <v>1352.899999999999</v>
      </c>
      <c r="T582" s="24"/>
      <c r="U582" s="24" t="s">
        <v>1334</v>
      </c>
      <c r="V582" s="3"/>
      <c r="W582" s="25" t="str">
        <f>IFERROR(VLOOKUP(Caja_Arequipa[[#This Row],[destinatario]],CHOOSE({1,2},Clientes_Proveedores[Razon Social],Clientes_Proveedores[Ruc / Dni]),2,0),"")</f>
        <v/>
      </c>
      <c r="X582" s="3"/>
      <c r="Y582" s="3"/>
      <c r="Z582" s="3"/>
      <c r="AA582" s="3"/>
      <c r="AB582" s="3" t="str">
        <f>IF(Caja_Arequipa[[#This Row],[fecha]]&gt;0,TEXT(Caja_Arequipa[[#This Row],[fecha]],"mmmm"),0)</f>
        <v>Julio</v>
      </c>
    </row>
    <row r="583" spans="1:28" x14ac:dyDescent="0.3">
      <c r="A583" s="44">
        <f>IF(Caja_Arequipa[[#This Row],[tipo_r]]="R",COUNTIFS($C$1:$C582,"R")+1,A582)</f>
        <v>500</v>
      </c>
      <c r="B583" s="19" t="str">
        <f t="shared" si="46"/>
        <v>C-Tesoreria</v>
      </c>
      <c r="C583" s="3" t="s">
        <v>1330</v>
      </c>
      <c r="D583" s="14">
        <v>45842</v>
      </c>
      <c r="E583" s="5" t="s">
        <v>1416</v>
      </c>
      <c r="F583" s="5" t="s">
        <v>1336</v>
      </c>
      <c r="G583" s="3" t="s">
        <v>5250</v>
      </c>
      <c r="H583" s="6"/>
      <c r="I583" s="48"/>
      <c r="J583" s="6"/>
      <c r="K583" s="6"/>
      <c r="L583" s="7" t="s">
        <v>6146</v>
      </c>
      <c r="M583" s="8" t="str">
        <f>IF(Caja_Arequipa[[#This Row],[tipo_r]]="R","001-"&amp;12002+A583,M582)</f>
        <v>001-12502</v>
      </c>
      <c r="N583" s="8" t="str">
        <f t="shared" si="49"/>
        <v>PEN</v>
      </c>
      <c r="O583" s="13"/>
      <c r="P583" s="13">
        <v>40</v>
      </c>
      <c r="Q583" s="3">
        <f t="shared" si="47"/>
        <v>0</v>
      </c>
      <c r="R583" s="3">
        <f t="shared" si="48"/>
        <v>40</v>
      </c>
      <c r="S583" s="3">
        <f t="shared" si="50"/>
        <v>1312.899999999999</v>
      </c>
      <c r="T583" s="24"/>
      <c r="U583" s="24" t="s">
        <v>1334</v>
      </c>
      <c r="V583" s="3"/>
      <c r="W583" s="25" t="str">
        <f>IFERROR(VLOOKUP(Caja_Arequipa[[#This Row],[destinatario]],CHOOSE({1,2},Clientes_Proveedores[Razon Social],Clientes_Proveedores[Ruc / Dni]),2,0),"")</f>
        <v/>
      </c>
      <c r="X583" s="3" t="s">
        <v>6147</v>
      </c>
      <c r="Y583" s="3"/>
      <c r="Z583" s="3"/>
      <c r="AA583" s="3"/>
      <c r="AB583" s="3" t="str">
        <f>IF(Caja_Arequipa[[#This Row],[fecha]]&gt;0,TEXT(Caja_Arequipa[[#This Row],[fecha]],"mmmm"),0)</f>
        <v>Julio</v>
      </c>
    </row>
    <row r="584" spans="1:28" ht="24" x14ac:dyDescent="0.3">
      <c r="A584" s="44">
        <f>IF(Caja_Arequipa[[#This Row],[tipo_r]]="R",COUNTIFS($C$1:$C583,"R")+1,A583)</f>
        <v>500</v>
      </c>
      <c r="B584" s="19" t="str">
        <f t="shared" si="46"/>
        <v>C-Tesoreria</v>
      </c>
      <c r="C584" s="3" t="s">
        <v>1352</v>
      </c>
      <c r="D584" s="14">
        <v>45842</v>
      </c>
      <c r="E584" s="5" t="s">
        <v>1416</v>
      </c>
      <c r="F584" s="5"/>
      <c r="G584" s="3"/>
      <c r="H584" s="6" t="s">
        <v>974</v>
      </c>
      <c r="I584" s="48" t="s">
        <v>68</v>
      </c>
      <c r="J584" s="6" t="s">
        <v>5917</v>
      </c>
      <c r="K584" s="6">
        <v>5276</v>
      </c>
      <c r="L584" s="7" t="s">
        <v>6148</v>
      </c>
      <c r="M584" s="8" t="str">
        <f>IF(Caja_Arequipa[[#This Row],[tipo_r]]="R","001-"&amp;12002+A584,M583)</f>
        <v>001-12502</v>
      </c>
      <c r="N584" s="8" t="str">
        <f>"PEN"</f>
        <v>PEN</v>
      </c>
      <c r="O584" s="13">
        <v>20</v>
      </c>
      <c r="P584" s="13"/>
      <c r="Q584" s="3">
        <f t="shared" si="47"/>
        <v>0</v>
      </c>
      <c r="R584" s="3">
        <f t="shared" si="48"/>
        <v>0</v>
      </c>
      <c r="S584" s="3">
        <f t="shared" si="50"/>
        <v>1312.899999999999</v>
      </c>
      <c r="T584" s="24"/>
      <c r="U584" s="24" t="s">
        <v>1334</v>
      </c>
      <c r="V584" s="3"/>
      <c r="W584" s="25">
        <f>IFERROR(VLOOKUP(Caja_Arequipa[[#This Row],[destinatario]],CHOOSE({1,2},Clientes_Proveedores[Razon Social],Clientes_Proveedores[Ruc / Dni]),2,0),"")</f>
        <v>20558053691</v>
      </c>
      <c r="X584" s="3"/>
      <c r="Y584" s="3"/>
      <c r="Z584" s="3"/>
      <c r="AA584" s="3"/>
      <c r="AB584" s="3" t="str">
        <f>IF(Caja_Arequipa[[#This Row],[fecha]]&gt;0,TEXT(Caja_Arequipa[[#This Row],[fecha]],"mmmm"),0)</f>
        <v>Julio</v>
      </c>
    </row>
    <row r="585" spans="1:28" ht="24" x14ac:dyDescent="0.3">
      <c r="A585" s="44">
        <f>IF(Caja_Arequipa[[#This Row],[tipo_r]]="R",COUNTIFS($C$1:$C584,"R")+1,A584)</f>
        <v>500</v>
      </c>
      <c r="B585" s="19" t="str">
        <f t="shared" si="46"/>
        <v>C-Tesoreria</v>
      </c>
      <c r="C585" s="3" t="s">
        <v>1352</v>
      </c>
      <c r="D585" s="14">
        <v>45842</v>
      </c>
      <c r="E585" s="5" t="s">
        <v>1416</v>
      </c>
      <c r="F585" s="5"/>
      <c r="G585" s="3"/>
      <c r="H585" s="6" t="s">
        <v>953</v>
      </c>
      <c r="I585" s="48" t="s">
        <v>111</v>
      </c>
      <c r="J585" s="6">
        <v>3</v>
      </c>
      <c r="K585" s="6">
        <v>250</v>
      </c>
      <c r="L585" s="7" t="s">
        <v>6148</v>
      </c>
      <c r="M585" s="8" t="str">
        <f>IF(Caja_Arequipa[[#This Row],[tipo_r]]="R","001-"&amp;12002+A585,M584)</f>
        <v>001-12502</v>
      </c>
      <c r="N585" s="8" t="str">
        <f>"PEN"</f>
        <v>PEN</v>
      </c>
      <c r="O585" s="13">
        <v>20</v>
      </c>
      <c r="P585" s="13"/>
      <c r="Q585" s="3">
        <f t="shared" si="47"/>
        <v>0</v>
      </c>
      <c r="R585" s="3">
        <f t="shared" si="48"/>
        <v>0</v>
      </c>
      <c r="S585" s="3">
        <f t="shared" si="50"/>
        <v>1312.899999999999</v>
      </c>
      <c r="T585" s="24"/>
      <c r="U585" s="24" t="s">
        <v>1334</v>
      </c>
      <c r="V585" s="3"/>
      <c r="W585" s="25">
        <f>IFERROR(VLOOKUP(Caja_Arequipa[[#This Row],[destinatario]],CHOOSE({1,2},Clientes_Proveedores[Razon Social],Clientes_Proveedores[Ruc / Dni]),2,0),"")</f>
        <v>72682665</v>
      </c>
      <c r="X585" s="3"/>
      <c r="Y585" s="3"/>
      <c r="Z585" s="3"/>
      <c r="AA585" s="3"/>
      <c r="AB585" s="3" t="str">
        <f>IF(Caja_Arequipa[[#This Row],[fecha]]&gt;0,TEXT(Caja_Arequipa[[#This Row],[fecha]],"mmmm"),0)</f>
        <v>Julio</v>
      </c>
    </row>
    <row r="586" spans="1:28" ht="24" x14ac:dyDescent="0.3">
      <c r="A586" s="44">
        <f>IF(Caja_Arequipa[[#This Row],[tipo_r]]="R",COUNTIFS($C$1:$C585,"R")+1,A585)</f>
        <v>501</v>
      </c>
      <c r="B586" s="19" t="str">
        <f t="shared" si="46"/>
        <v>C-Tesoreria</v>
      </c>
      <c r="C586" s="3" t="s">
        <v>1330</v>
      </c>
      <c r="D586" s="14">
        <v>45842</v>
      </c>
      <c r="E586" s="5" t="s">
        <v>1338</v>
      </c>
      <c r="F586" s="5" t="s">
        <v>1336</v>
      </c>
      <c r="G586" s="3" t="s">
        <v>6149</v>
      </c>
      <c r="H586" s="6" t="s">
        <v>977</v>
      </c>
      <c r="I586" s="48" t="s">
        <v>68</v>
      </c>
      <c r="J586" s="6" t="s">
        <v>6150</v>
      </c>
      <c r="K586" s="6">
        <v>17266</v>
      </c>
      <c r="L586" s="7" t="s">
        <v>6151</v>
      </c>
      <c r="M586" s="8" t="str">
        <f>IF(Caja_Arequipa[[#This Row],[tipo_r]]="R","001-"&amp;12002+A586,M585)</f>
        <v>001-12503</v>
      </c>
      <c r="N586" s="8" t="str">
        <f t="shared" si="49"/>
        <v>PEN</v>
      </c>
      <c r="O586" s="13"/>
      <c r="P586" s="13">
        <v>11.5</v>
      </c>
      <c r="Q586" s="3">
        <f t="shared" si="47"/>
        <v>0</v>
      </c>
      <c r="R586" s="3">
        <f t="shared" si="48"/>
        <v>11.5</v>
      </c>
      <c r="S586" s="3">
        <f t="shared" si="50"/>
        <v>1301.399999999999</v>
      </c>
      <c r="T586" s="24"/>
      <c r="U586" s="24" t="s">
        <v>1334</v>
      </c>
      <c r="V586" s="3"/>
      <c r="W586" s="25">
        <f>IFERROR(VLOOKUP(Caja_Arequipa[[#This Row],[destinatario]],CHOOSE({1,2},Clientes_Proveedores[Razon Social],Clientes_Proveedores[Ruc / Dni]),2,0),"")</f>
        <v>20508565934</v>
      </c>
      <c r="X586" s="3" t="s">
        <v>6152</v>
      </c>
      <c r="Y586" s="3"/>
      <c r="Z586" s="3"/>
      <c r="AA586" s="3"/>
      <c r="AB586" s="3" t="str">
        <f>IF(Caja_Arequipa[[#This Row],[fecha]]&gt;0,TEXT(Caja_Arequipa[[#This Row],[fecha]],"mmmm"),0)</f>
        <v>Julio</v>
      </c>
    </row>
    <row r="587" spans="1:28" ht="24" x14ac:dyDescent="0.3">
      <c r="A587" s="44">
        <f>IF(Caja_Arequipa[[#This Row],[tipo_r]]="R",COUNTIFS($C$1:$C586,"R")+1,A586)</f>
        <v>502</v>
      </c>
      <c r="B587" s="19" t="str">
        <f t="shared" si="46"/>
        <v>C-Tesoreria</v>
      </c>
      <c r="C587" s="3" t="s">
        <v>1330</v>
      </c>
      <c r="D587" s="14">
        <v>45842</v>
      </c>
      <c r="E587" s="5" t="s">
        <v>1416</v>
      </c>
      <c r="F587" s="5" t="s">
        <v>1336</v>
      </c>
      <c r="G587" s="3" t="s">
        <v>5303</v>
      </c>
      <c r="H587" s="6"/>
      <c r="I587" s="48"/>
      <c r="J587" s="6"/>
      <c r="K587" s="6"/>
      <c r="L587" s="7" t="s">
        <v>5944</v>
      </c>
      <c r="M587" s="8" t="str">
        <f>IF(Caja_Arequipa[[#This Row],[tipo_r]]="R","001-"&amp;12002+A587,M586)</f>
        <v>001-12504</v>
      </c>
      <c r="N587" s="8" t="str">
        <f t="shared" si="49"/>
        <v>PEN</v>
      </c>
      <c r="O587" s="13"/>
      <c r="P587" s="13">
        <v>31</v>
      </c>
      <c r="Q587" s="3">
        <f t="shared" si="47"/>
        <v>0</v>
      </c>
      <c r="R587" s="3">
        <f t="shared" si="48"/>
        <v>31</v>
      </c>
      <c r="S587" s="3">
        <f t="shared" si="50"/>
        <v>1270.399999999999</v>
      </c>
      <c r="T587" s="24"/>
      <c r="U587" s="24" t="s">
        <v>1334</v>
      </c>
      <c r="V587" s="3"/>
      <c r="W587" s="25" t="str">
        <f>IFERROR(VLOOKUP(Caja_Arequipa[[#This Row],[destinatario]],CHOOSE({1,2},Clientes_Proveedores[Razon Social],Clientes_Proveedores[Ruc / Dni]),2,0),"")</f>
        <v/>
      </c>
      <c r="X587" s="3" t="s">
        <v>6153</v>
      </c>
      <c r="Y587" s="3"/>
      <c r="Z587" s="3"/>
      <c r="AA587" s="3"/>
      <c r="AB587" s="3" t="str">
        <f>IF(Caja_Arequipa[[#This Row],[fecha]]&gt;0,TEXT(Caja_Arequipa[[#This Row],[fecha]],"mmmm"),0)</f>
        <v>Julio</v>
      </c>
    </row>
    <row r="588" spans="1:28" ht="24" x14ac:dyDescent="0.3">
      <c r="A588" s="44">
        <f>IF(Caja_Arequipa[[#This Row],[tipo_r]]="R",COUNTIFS($C$1:$C587,"R")+1,A587)</f>
        <v>502</v>
      </c>
      <c r="B588" s="19" t="str">
        <f t="shared" si="46"/>
        <v>C-Tesoreria</v>
      </c>
      <c r="C588" s="3" t="s">
        <v>1352</v>
      </c>
      <c r="D588" s="14">
        <v>45842</v>
      </c>
      <c r="E588" s="5" t="s">
        <v>1416</v>
      </c>
      <c r="F588" s="5"/>
      <c r="G588" s="3"/>
      <c r="H588" s="6" t="s">
        <v>684</v>
      </c>
      <c r="I588" s="48" t="s">
        <v>68</v>
      </c>
      <c r="J588" s="6" t="s">
        <v>1374</v>
      </c>
      <c r="K588" s="6">
        <v>6607</v>
      </c>
      <c r="L588" s="7" t="s">
        <v>5944</v>
      </c>
      <c r="M588" s="8" t="str">
        <f>IF(Caja_Arequipa[[#This Row],[tipo_r]]="R","001-"&amp;12002+A588,M587)</f>
        <v>001-12504</v>
      </c>
      <c r="N588" s="8" t="str">
        <f t="shared" ref="N588:N589" si="51">"PEN"</f>
        <v>PEN</v>
      </c>
      <c r="O588" s="13">
        <v>24.5</v>
      </c>
      <c r="P588" s="13"/>
      <c r="Q588" s="3">
        <f t="shared" si="47"/>
        <v>0</v>
      </c>
      <c r="R588" s="3">
        <f t="shared" si="48"/>
        <v>0</v>
      </c>
      <c r="S588" s="3">
        <f t="shared" si="50"/>
        <v>1270.399999999999</v>
      </c>
      <c r="T588" s="24"/>
      <c r="U588" s="24" t="s">
        <v>1334</v>
      </c>
      <c r="V588" s="3"/>
      <c r="W588" s="25">
        <f>IFERROR(VLOOKUP(Caja_Arequipa[[#This Row],[destinatario]],CHOOSE({1,2},Clientes_Proveedores[Razon Social],Clientes_Proveedores[Ruc / Dni]),2,0),"")</f>
        <v>20604947520</v>
      </c>
      <c r="X588" s="3"/>
      <c r="Y588" s="3"/>
      <c r="Z588" s="3"/>
      <c r="AA588" s="3"/>
      <c r="AB588" s="3" t="str">
        <f>IF(Caja_Arequipa[[#This Row],[fecha]]&gt;0,TEXT(Caja_Arequipa[[#This Row],[fecha]],"mmmm"),0)</f>
        <v>Julio</v>
      </c>
    </row>
    <row r="589" spans="1:28" ht="48" x14ac:dyDescent="0.3">
      <c r="A589" s="44">
        <f>IF(Caja_Arequipa[[#This Row],[tipo_r]]="R",COUNTIFS($C$1:$C588,"R")+1,A588)</f>
        <v>502</v>
      </c>
      <c r="B589" s="19" t="str">
        <f t="shared" si="46"/>
        <v>C-Tesoreria</v>
      </c>
      <c r="C589" s="3" t="s">
        <v>1352</v>
      </c>
      <c r="D589" s="14">
        <v>45842</v>
      </c>
      <c r="E589" s="5" t="s">
        <v>1416</v>
      </c>
      <c r="F589" s="5"/>
      <c r="G589" s="3"/>
      <c r="H589" s="6" t="s">
        <v>975</v>
      </c>
      <c r="I589" s="48" t="s">
        <v>68</v>
      </c>
      <c r="J589" s="6" t="s">
        <v>1374</v>
      </c>
      <c r="K589" s="6">
        <v>947</v>
      </c>
      <c r="L589" s="7" t="s">
        <v>5944</v>
      </c>
      <c r="M589" s="8" t="str">
        <f>IF(Caja_Arequipa[[#This Row],[tipo_r]]="R","001-"&amp;12002+A589,M588)</f>
        <v>001-12504</v>
      </c>
      <c r="N589" s="8" t="str">
        <f t="shared" si="51"/>
        <v>PEN</v>
      </c>
      <c r="O589" s="13">
        <v>6.5</v>
      </c>
      <c r="P589" s="13"/>
      <c r="Q589" s="3">
        <f t="shared" si="47"/>
        <v>0</v>
      </c>
      <c r="R589" s="3">
        <f t="shared" si="48"/>
        <v>0</v>
      </c>
      <c r="S589" s="3">
        <f t="shared" si="50"/>
        <v>1270.399999999999</v>
      </c>
      <c r="T589" s="24"/>
      <c r="U589" s="24" t="s">
        <v>1334</v>
      </c>
      <c r="V589" s="3"/>
      <c r="W589" s="25">
        <f>IFERROR(VLOOKUP(Caja_Arequipa[[#This Row],[destinatario]],CHOOSE({1,2},Clientes_Proveedores[Razon Social],Clientes_Proveedores[Ruc / Dni]),2,0),"")</f>
        <v>20455841357</v>
      </c>
      <c r="X589" s="3"/>
      <c r="Y589" s="3"/>
      <c r="Z589" s="3"/>
      <c r="AA589" s="3"/>
      <c r="AB589" s="3" t="str">
        <f>IF(Caja_Arequipa[[#This Row],[fecha]]&gt;0,TEXT(Caja_Arequipa[[#This Row],[fecha]],"mmmm"),0)</f>
        <v>Julio</v>
      </c>
    </row>
    <row r="590" spans="1:28" ht="24" x14ac:dyDescent="0.3">
      <c r="A590" s="44">
        <f>IF(Caja_Arequipa[[#This Row],[tipo_r]]="R",COUNTIFS($C$1:$C589,"R")+1,A589)</f>
        <v>503</v>
      </c>
      <c r="B590" s="19" t="str">
        <f t="shared" si="46"/>
        <v>C-Tesoreria</v>
      </c>
      <c r="C590" s="3" t="s">
        <v>1330</v>
      </c>
      <c r="D590" s="14">
        <v>45846</v>
      </c>
      <c r="E590" s="5" t="s">
        <v>1416</v>
      </c>
      <c r="F590" s="5" t="s">
        <v>1336</v>
      </c>
      <c r="G590" s="3" t="s">
        <v>4788</v>
      </c>
      <c r="H590" s="6" t="s">
        <v>678</v>
      </c>
      <c r="I590" s="48" t="s">
        <v>75</v>
      </c>
      <c r="J590" s="6">
        <v>1</v>
      </c>
      <c r="K590" s="6">
        <v>4379</v>
      </c>
      <c r="L590" s="7" t="s">
        <v>6154</v>
      </c>
      <c r="M590" s="8" t="str">
        <f>IF(Caja_Arequipa[[#This Row],[tipo_r]]="R","001-"&amp;12002+A590,M589)</f>
        <v>001-12505</v>
      </c>
      <c r="N590" s="8" t="str">
        <f t="shared" ref="N590:N598" si="52">"PEN"</f>
        <v>PEN</v>
      </c>
      <c r="O590" s="13"/>
      <c r="P590" s="13">
        <v>10</v>
      </c>
      <c r="Q590" s="3">
        <f t="shared" si="47"/>
        <v>0</v>
      </c>
      <c r="R590" s="3">
        <f t="shared" si="48"/>
        <v>10</v>
      </c>
      <c r="S590" s="3">
        <f t="shared" si="50"/>
        <v>1260.399999999999</v>
      </c>
      <c r="T590" s="24"/>
      <c r="U590" s="24" t="s">
        <v>1334</v>
      </c>
      <c r="V590" s="3"/>
      <c r="W590" s="25">
        <f>IFERROR(VLOOKUP(Caja_Arequipa[[#This Row],[destinatario]],CHOOSE({1,2},Clientes_Proveedores[Razon Social],Clientes_Proveedores[Ruc / Dni]),2,0),"")</f>
        <v>10420945511</v>
      </c>
      <c r="X590" s="3"/>
      <c r="Y590" s="3"/>
      <c r="Z590" s="3"/>
      <c r="AA590" s="3"/>
      <c r="AB590" s="3" t="str">
        <f>IF(Caja_Arequipa[[#This Row],[fecha]]&gt;0,TEXT(Caja_Arequipa[[#This Row],[fecha]],"mmmm"),0)</f>
        <v>Julio</v>
      </c>
    </row>
    <row r="591" spans="1:28" ht="24" x14ac:dyDescent="0.3">
      <c r="A591" s="44">
        <f>IF(Caja_Arequipa[[#This Row],[tipo_r]]="R",COUNTIFS($C$1:$C590,"R")+1,A590)</f>
        <v>504</v>
      </c>
      <c r="B591" s="19" t="str">
        <f t="shared" si="46"/>
        <v>C-Tesoreria</v>
      </c>
      <c r="C591" s="3" t="s">
        <v>1330</v>
      </c>
      <c r="D591" s="14">
        <v>45846</v>
      </c>
      <c r="E591" s="5" t="s">
        <v>1416</v>
      </c>
      <c r="F591" s="5" t="s">
        <v>1336</v>
      </c>
      <c r="G591" s="3" t="s">
        <v>5274</v>
      </c>
      <c r="H591" s="6" t="s">
        <v>882</v>
      </c>
      <c r="I591" s="45" t="s">
        <v>111</v>
      </c>
      <c r="J591" s="6"/>
      <c r="K591" s="6"/>
      <c r="L591" s="7" t="s">
        <v>6155</v>
      </c>
      <c r="M591" s="8" t="str">
        <f>IF(Caja_Arequipa[[#This Row],[tipo_r]]="R","001-"&amp;12002+A591,M590)</f>
        <v>001-12506</v>
      </c>
      <c r="N591" s="8" t="str">
        <f t="shared" si="52"/>
        <v>PEN</v>
      </c>
      <c r="O591" s="13"/>
      <c r="P591" s="13">
        <v>40</v>
      </c>
      <c r="Q591" s="3">
        <f t="shared" si="47"/>
        <v>0</v>
      </c>
      <c r="R591" s="3">
        <f t="shared" si="48"/>
        <v>40</v>
      </c>
      <c r="S591" s="3">
        <f t="shared" si="50"/>
        <v>1220.399999999999</v>
      </c>
      <c r="T591" s="24"/>
      <c r="U591" s="24" t="s">
        <v>1334</v>
      </c>
      <c r="V591" s="3"/>
      <c r="W591" s="25">
        <f>IFERROR(VLOOKUP(Caja_Arequipa[[#This Row],[destinatario]],CHOOSE({1,2},Clientes_Proveedores[Razon Social],Clientes_Proveedores[Ruc / Dni]),2,0),"")</f>
        <v>72450429</v>
      </c>
      <c r="X591" s="3"/>
      <c r="Y591" s="3"/>
      <c r="Z591" s="3"/>
      <c r="AA591" s="3"/>
      <c r="AB591" s="3" t="str">
        <f>IF(Caja_Arequipa[[#This Row],[fecha]]&gt;0,TEXT(Caja_Arequipa[[#This Row],[fecha]],"mmmm"),0)</f>
        <v>Julio</v>
      </c>
    </row>
    <row r="592" spans="1:28" ht="24" x14ac:dyDescent="0.3">
      <c r="A592" s="44">
        <f>IF(Caja_Arequipa[[#This Row],[tipo_r]]="R",COUNTIFS($C$1:$C591,"R")+1,A591)</f>
        <v>504</v>
      </c>
      <c r="B592" s="19" t="str">
        <f>"C-Tesoreria"</f>
        <v>C-Tesoreria</v>
      </c>
      <c r="C592" s="3" t="s">
        <v>1352</v>
      </c>
      <c r="D592" s="14">
        <v>45846</v>
      </c>
      <c r="E592" s="5" t="s">
        <v>1416</v>
      </c>
      <c r="F592" s="5"/>
      <c r="G592" s="3"/>
      <c r="H592" s="6" t="s">
        <v>882</v>
      </c>
      <c r="I592" s="45" t="s">
        <v>111</v>
      </c>
      <c r="J592" s="6">
        <v>3</v>
      </c>
      <c r="K592" s="6">
        <v>251</v>
      </c>
      <c r="L592" s="7" t="s">
        <v>6155</v>
      </c>
      <c r="M592" s="8" t="str">
        <f>IF(Caja_Arequipa[[#This Row],[tipo_r]]="R","001-"&amp;12002+A592,M591)</f>
        <v>001-12506</v>
      </c>
      <c r="N592" s="8" t="str">
        <f>"PEN"</f>
        <v>PEN</v>
      </c>
      <c r="O592" s="13">
        <v>20</v>
      </c>
      <c r="P592" s="13"/>
      <c r="Q592" s="3">
        <f t="shared" si="47"/>
        <v>0</v>
      </c>
      <c r="R592" s="3">
        <f t="shared" si="48"/>
        <v>0</v>
      </c>
      <c r="S592" s="3">
        <f t="shared" si="50"/>
        <v>1220.399999999999</v>
      </c>
      <c r="T592" s="24"/>
      <c r="U592" s="24" t="s">
        <v>1334</v>
      </c>
      <c r="V592" s="3"/>
      <c r="W592" s="25">
        <f>IFERROR(VLOOKUP(Caja_Arequipa[[#This Row],[destinatario]],CHOOSE({1,2},Clientes_Proveedores[Razon Social],Clientes_Proveedores[Ruc / Dni]),2,0),"")</f>
        <v>72450429</v>
      </c>
      <c r="X592" s="3"/>
      <c r="Y592" s="3"/>
      <c r="Z592" s="3"/>
      <c r="AA592" s="3"/>
      <c r="AB592" s="3" t="str">
        <f>IF(Caja_Arequipa[[#This Row],[fecha]]&gt;0,TEXT(Caja_Arequipa[[#This Row],[fecha]],"mmmm"),0)</f>
        <v>Julio</v>
      </c>
    </row>
    <row r="593" spans="1:28" ht="24" x14ac:dyDescent="0.3">
      <c r="A593" s="44">
        <f>IF(Caja_Arequipa[[#This Row],[tipo_r]]="R",COUNTIFS($C$1:$C592,"R")+1,A592)</f>
        <v>504</v>
      </c>
      <c r="B593" s="19" t="str">
        <f>"C-Tesoreria"</f>
        <v>C-Tesoreria</v>
      </c>
      <c r="C593" s="3" t="s">
        <v>1352</v>
      </c>
      <c r="D593" s="14">
        <v>45846</v>
      </c>
      <c r="E593" s="5" t="s">
        <v>1416</v>
      </c>
      <c r="F593" s="5"/>
      <c r="G593" s="3"/>
      <c r="H593" s="6" t="s">
        <v>922</v>
      </c>
      <c r="I593" s="45" t="s">
        <v>111</v>
      </c>
      <c r="J593" s="6">
        <v>3</v>
      </c>
      <c r="K593" s="6">
        <v>246</v>
      </c>
      <c r="L593" s="7" t="s">
        <v>6155</v>
      </c>
      <c r="M593" s="8" t="str">
        <f>IF(Caja_Arequipa[[#This Row],[tipo_r]]="R","001-"&amp;12002+A593,M592)</f>
        <v>001-12506</v>
      </c>
      <c r="N593" s="8" t="str">
        <f>"PEN"</f>
        <v>PEN</v>
      </c>
      <c r="O593" s="13">
        <v>20</v>
      </c>
      <c r="P593" s="13"/>
      <c r="Q593" s="3">
        <f t="shared" si="47"/>
        <v>0</v>
      </c>
      <c r="R593" s="3">
        <f t="shared" si="48"/>
        <v>0</v>
      </c>
      <c r="S593" s="3">
        <f t="shared" si="50"/>
        <v>1220.399999999999</v>
      </c>
      <c r="T593" s="24"/>
      <c r="U593" s="24" t="s">
        <v>1334</v>
      </c>
      <c r="V593" s="3"/>
      <c r="W593" s="25">
        <f>IFERROR(VLOOKUP(Caja_Arequipa[[#This Row],[destinatario]],CHOOSE({1,2},Clientes_Proveedores[Razon Social],Clientes_Proveedores[Ruc / Dni]),2,0),"")</f>
        <v>72537561</v>
      </c>
      <c r="X593" s="3"/>
      <c r="Y593" s="3"/>
      <c r="Z593" s="3"/>
      <c r="AA593" s="3"/>
      <c r="AB593" s="3" t="str">
        <f>IF(Caja_Arequipa[[#This Row],[fecha]]&gt;0,TEXT(Caja_Arequipa[[#This Row],[fecha]],"mmmm"),0)</f>
        <v>Julio</v>
      </c>
    </row>
    <row r="594" spans="1:28" ht="24" x14ac:dyDescent="0.3">
      <c r="A594" s="44">
        <f>IF(Caja_Arequipa[[#This Row],[tipo_r]]="R",COUNTIFS($C$1:$C593,"R")+1,A593)</f>
        <v>505</v>
      </c>
      <c r="B594" s="19" t="str">
        <f t="shared" si="46"/>
        <v>C-Tesoreria</v>
      </c>
      <c r="C594" s="3" t="s">
        <v>1330</v>
      </c>
      <c r="D594" s="14">
        <v>45846</v>
      </c>
      <c r="E594" s="5" t="s">
        <v>1416</v>
      </c>
      <c r="F594" s="5" t="s">
        <v>1336</v>
      </c>
      <c r="G594" s="3" t="s">
        <v>4788</v>
      </c>
      <c r="H594" s="6" t="s">
        <v>967</v>
      </c>
      <c r="I594" s="45" t="s">
        <v>111</v>
      </c>
      <c r="J594" s="6">
        <v>3</v>
      </c>
      <c r="K594" s="6">
        <v>247</v>
      </c>
      <c r="L594" s="7" t="s">
        <v>6155</v>
      </c>
      <c r="M594" s="8" t="str">
        <f>IF(Caja_Arequipa[[#This Row],[tipo_r]]="R","001-"&amp;12002+A594,M593)</f>
        <v>001-12507</v>
      </c>
      <c r="N594" s="8" t="str">
        <f t="shared" si="52"/>
        <v>PEN</v>
      </c>
      <c r="O594" s="13"/>
      <c r="P594" s="13">
        <v>20</v>
      </c>
      <c r="Q594" s="3">
        <f t="shared" si="47"/>
        <v>0</v>
      </c>
      <c r="R594" s="3">
        <f t="shared" si="48"/>
        <v>20</v>
      </c>
      <c r="S594" s="3">
        <f t="shared" si="50"/>
        <v>1200.399999999999</v>
      </c>
      <c r="T594" s="24"/>
      <c r="U594" s="24" t="s">
        <v>1334</v>
      </c>
      <c r="V594" s="3"/>
      <c r="W594" s="25">
        <f>IFERROR(VLOOKUP(Caja_Arequipa[[#This Row],[destinatario]],CHOOSE({1,2},Clientes_Proveedores[Razon Social],Clientes_Proveedores[Ruc / Dni]),2,0),"")</f>
        <v>70517150</v>
      </c>
      <c r="X594" s="3"/>
      <c r="Y594" s="3"/>
      <c r="Z594" s="3"/>
      <c r="AA594" s="3"/>
      <c r="AB594" s="3" t="str">
        <f>IF(Caja_Arequipa[[#This Row],[fecha]]&gt;0,TEXT(Caja_Arequipa[[#This Row],[fecha]],"mmmm"),0)</f>
        <v>Julio</v>
      </c>
    </row>
    <row r="595" spans="1:28" ht="24" x14ac:dyDescent="0.3">
      <c r="A595" s="44">
        <f>IF(Caja_Arequipa[[#This Row],[tipo_r]]="R",COUNTIFS($C$1:$C594,"R")+1,A594)</f>
        <v>506</v>
      </c>
      <c r="B595" s="19" t="str">
        <f t="shared" si="46"/>
        <v>C-Tesoreria</v>
      </c>
      <c r="C595" s="3" t="s">
        <v>1330</v>
      </c>
      <c r="D595" s="14">
        <v>45846</v>
      </c>
      <c r="E595" s="5" t="s">
        <v>1416</v>
      </c>
      <c r="F595" s="5" t="s">
        <v>1336</v>
      </c>
      <c r="G595" s="3" t="s">
        <v>5317</v>
      </c>
      <c r="H595" s="6" t="s">
        <v>790</v>
      </c>
      <c r="I595" s="45" t="s">
        <v>111</v>
      </c>
      <c r="J595" s="6">
        <v>3</v>
      </c>
      <c r="K595" s="6">
        <v>248</v>
      </c>
      <c r="L595" s="7" t="s">
        <v>6156</v>
      </c>
      <c r="M595" s="8" t="str">
        <f>IF(Caja_Arequipa[[#This Row],[tipo_r]]="R","001-"&amp;12002+A595,M594)</f>
        <v>001-12508</v>
      </c>
      <c r="N595" s="8" t="str">
        <f t="shared" si="52"/>
        <v>PEN</v>
      </c>
      <c r="O595" s="13"/>
      <c r="P595" s="13">
        <v>25</v>
      </c>
      <c r="Q595" s="3">
        <f t="shared" si="47"/>
        <v>0</v>
      </c>
      <c r="R595" s="3">
        <f t="shared" si="48"/>
        <v>25</v>
      </c>
      <c r="S595" s="3">
        <f t="shared" si="50"/>
        <v>1175.399999999999</v>
      </c>
      <c r="T595" s="24"/>
      <c r="U595" s="24" t="s">
        <v>1334</v>
      </c>
      <c r="V595" s="3"/>
      <c r="W595" s="25">
        <f>IFERROR(VLOOKUP(Caja_Arequipa[[#This Row],[destinatario]],CHOOSE({1,2},Clientes_Proveedores[Razon Social],Clientes_Proveedores[Ruc / Dni]),2,0),"")</f>
        <v>72169020</v>
      </c>
      <c r="X595" s="3"/>
      <c r="Y595" s="3"/>
      <c r="Z595" s="3"/>
      <c r="AA595" s="3"/>
      <c r="AB595" s="3" t="str">
        <f>IF(Caja_Arequipa[[#This Row],[fecha]]&gt;0,TEXT(Caja_Arequipa[[#This Row],[fecha]],"mmmm"),0)</f>
        <v>Julio</v>
      </c>
    </row>
    <row r="596" spans="1:28" ht="24" x14ac:dyDescent="0.3">
      <c r="A596" s="44">
        <f>IF(Caja_Arequipa[[#This Row],[tipo_r]]="R",COUNTIFS($C$1:$C595,"R")+1,A595)</f>
        <v>507</v>
      </c>
      <c r="B596" s="19" t="str">
        <f t="shared" si="46"/>
        <v>C-Tesoreria</v>
      </c>
      <c r="C596" s="3" t="s">
        <v>1330</v>
      </c>
      <c r="D596" s="14">
        <v>45846</v>
      </c>
      <c r="E596" s="5" t="s">
        <v>1416</v>
      </c>
      <c r="F596" s="5" t="s">
        <v>1336</v>
      </c>
      <c r="G596" s="3" t="s">
        <v>5274</v>
      </c>
      <c r="H596" s="6" t="s">
        <v>882</v>
      </c>
      <c r="I596" s="45" t="s">
        <v>111</v>
      </c>
      <c r="J596" s="6">
        <v>3</v>
      </c>
      <c r="K596" s="6">
        <v>249</v>
      </c>
      <c r="L596" s="7" t="s">
        <v>6157</v>
      </c>
      <c r="M596" s="8" t="str">
        <f>IF(Caja_Arequipa[[#This Row],[tipo_r]]="R","001-"&amp;12002+A596,M595)</f>
        <v>001-12509</v>
      </c>
      <c r="N596" s="8" t="str">
        <f t="shared" si="52"/>
        <v>PEN</v>
      </c>
      <c r="O596" s="13"/>
      <c r="P596" s="13">
        <v>25</v>
      </c>
      <c r="Q596" s="3">
        <f t="shared" si="47"/>
        <v>0</v>
      </c>
      <c r="R596" s="3">
        <f t="shared" si="48"/>
        <v>25</v>
      </c>
      <c r="S596" s="3">
        <f t="shared" si="50"/>
        <v>1150.399999999999</v>
      </c>
      <c r="T596" s="24"/>
      <c r="U596" s="24" t="s">
        <v>1334</v>
      </c>
      <c r="V596" s="3"/>
      <c r="W596" s="25">
        <f>IFERROR(VLOOKUP(Caja_Arequipa[[#This Row],[destinatario]],CHOOSE({1,2},Clientes_Proveedores[Razon Social],Clientes_Proveedores[Ruc / Dni]),2,0),"")</f>
        <v>72450429</v>
      </c>
      <c r="X596" s="3"/>
      <c r="Y596" s="3"/>
      <c r="Z596" s="3"/>
      <c r="AA596" s="3"/>
      <c r="AB596" s="3" t="str">
        <f>IF(Caja_Arequipa[[#This Row],[fecha]]&gt;0,TEXT(Caja_Arequipa[[#This Row],[fecha]],"mmmm"),0)</f>
        <v>Julio</v>
      </c>
    </row>
    <row r="597" spans="1:28" ht="36" x14ac:dyDescent="0.3">
      <c r="A597" s="44">
        <f>IF(Caja_Arequipa[[#This Row],[tipo_r]]="R",COUNTIFS($C$1:$C596,"R")+1,A596)</f>
        <v>508</v>
      </c>
      <c r="B597" s="19" t="str">
        <f t="shared" si="46"/>
        <v>C-Tesoreria</v>
      </c>
      <c r="C597" s="3" t="s">
        <v>1330</v>
      </c>
      <c r="D597" s="14">
        <v>45847</v>
      </c>
      <c r="E597" s="5" t="s">
        <v>1416</v>
      </c>
      <c r="F597" s="5" t="s">
        <v>1336</v>
      </c>
      <c r="G597" s="3" t="s">
        <v>4788</v>
      </c>
      <c r="H597" s="6" t="s">
        <v>980</v>
      </c>
      <c r="I597" s="48" t="s">
        <v>68</v>
      </c>
      <c r="J597" s="6" t="s">
        <v>1376</v>
      </c>
      <c r="K597" s="6">
        <v>8919</v>
      </c>
      <c r="L597" s="7" t="s">
        <v>6158</v>
      </c>
      <c r="M597" s="8" t="str">
        <f>IF(Caja_Arequipa[[#This Row],[tipo_r]]="R","001-"&amp;12002+A597,M596)</f>
        <v>001-12510</v>
      </c>
      <c r="N597" s="8" t="str">
        <f t="shared" si="52"/>
        <v>PEN</v>
      </c>
      <c r="O597" s="13"/>
      <c r="P597" s="13">
        <v>43</v>
      </c>
      <c r="Q597" s="3">
        <f t="shared" si="47"/>
        <v>0</v>
      </c>
      <c r="R597" s="3">
        <f t="shared" si="48"/>
        <v>43</v>
      </c>
      <c r="S597" s="3">
        <f t="shared" si="50"/>
        <v>1107.399999999999</v>
      </c>
      <c r="T597" s="24"/>
      <c r="U597" s="24" t="s">
        <v>1334</v>
      </c>
      <c r="V597" s="3"/>
      <c r="W597" s="25">
        <f>IFERROR(VLOOKUP(Caja_Arequipa[[#This Row],[destinatario]],CHOOSE({1,2},Clientes_Proveedores[Razon Social],Clientes_Proveedores[Ruc / Dni]),2,0),"")</f>
        <v>20611525568</v>
      </c>
      <c r="X597" s="3"/>
      <c r="Y597" s="42" t="s">
        <v>6159</v>
      </c>
      <c r="Z597" s="3"/>
      <c r="AA597" s="3"/>
      <c r="AB597" s="3" t="str">
        <f>IF(Caja_Arequipa[[#This Row],[fecha]]&gt;0,TEXT(Caja_Arequipa[[#This Row],[fecha]],"mmmm"),0)</f>
        <v>Julio</v>
      </c>
    </row>
    <row r="598" spans="1:28" x14ac:dyDescent="0.3">
      <c r="A598" s="44">
        <f>IF(Caja_Arequipa[[#This Row],[tipo_r]]="R",COUNTIFS($C$1:$C597,"R")+1,A597)</f>
        <v>509</v>
      </c>
      <c r="B598" s="19" t="str">
        <f t="shared" si="46"/>
        <v>C-Tesoreria</v>
      </c>
      <c r="C598" s="3" t="s">
        <v>1330</v>
      </c>
      <c r="D598" s="14">
        <v>45847</v>
      </c>
      <c r="E598" s="5" t="s">
        <v>1416</v>
      </c>
      <c r="F598" s="5" t="s">
        <v>1336</v>
      </c>
      <c r="G598" s="3" t="s">
        <v>4788</v>
      </c>
      <c r="H598" s="6" t="s">
        <v>981</v>
      </c>
      <c r="I598" s="48" t="s">
        <v>68</v>
      </c>
      <c r="J598" s="50" t="s">
        <v>6160</v>
      </c>
      <c r="K598" s="50">
        <v>8789</v>
      </c>
      <c r="L598" s="7" t="s">
        <v>6161</v>
      </c>
      <c r="M598" s="8" t="str">
        <f>IF(Caja_Arequipa[[#This Row],[tipo_r]]="R","001-"&amp;12002+A598,M597)</f>
        <v>001-12511</v>
      </c>
      <c r="N598" s="8" t="str">
        <f t="shared" si="52"/>
        <v>PEN</v>
      </c>
      <c r="O598" s="13"/>
      <c r="P598" s="13">
        <v>75.7</v>
      </c>
      <c r="Q598" s="3">
        <f t="shared" si="47"/>
        <v>0</v>
      </c>
      <c r="R598" s="3">
        <f t="shared" si="48"/>
        <v>75.7</v>
      </c>
      <c r="S598" s="3">
        <f t="shared" si="50"/>
        <v>1031.6999999999989</v>
      </c>
      <c r="T598" s="24"/>
      <c r="U598" s="24" t="s">
        <v>1334</v>
      </c>
      <c r="V598" s="3"/>
      <c r="W598" s="25">
        <f>IFERROR(VLOOKUP(Caja_Arequipa[[#This Row],[destinatario]],CHOOSE({1,2},Clientes_Proveedores[Razon Social],Clientes_Proveedores[Ruc / Dni]),2,0),"")</f>
        <v>20454067682</v>
      </c>
      <c r="X598" s="3"/>
      <c r="Y598" s="3"/>
      <c r="Z598" s="3"/>
      <c r="AA598" s="3"/>
      <c r="AB598" s="3" t="str">
        <f>IF(Caja_Arequipa[[#This Row],[fecha]]&gt;0,TEXT(Caja_Arequipa[[#This Row],[fecha]],"mmmm"),0)</f>
        <v>Julio</v>
      </c>
    </row>
    <row r="599" spans="1:28" ht="24" x14ac:dyDescent="0.3">
      <c r="A599" s="44">
        <f>IF(Caja_Arequipa[[#This Row],[tipo_r]]="R",COUNTIFS($C$1:$C598,"R")+1,A598)</f>
        <v>510</v>
      </c>
      <c r="B599" s="19" t="str">
        <f t="shared" si="46"/>
        <v>C-Tesoreria</v>
      </c>
      <c r="C599" s="3" t="s">
        <v>1330</v>
      </c>
      <c r="D599" s="14">
        <v>45845</v>
      </c>
      <c r="E599" s="5" t="s">
        <v>1338</v>
      </c>
      <c r="F599" s="5" t="s">
        <v>1336</v>
      </c>
      <c r="G599" s="3" t="s">
        <v>5380</v>
      </c>
      <c r="H599" s="6" t="s">
        <v>922</v>
      </c>
      <c r="I599" s="45" t="s">
        <v>111</v>
      </c>
      <c r="J599" s="6">
        <v>3</v>
      </c>
      <c r="K599" s="6">
        <v>252</v>
      </c>
      <c r="L599" s="7" t="s">
        <v>6155</v>
      </c>
      <c r="M599" s="8" t="str">
        <f>IF(Caja_Arequipa[[#This Row],[tipo_r]]="R","001-"&amp;12002+A599,M598)</f>
        <v>001-12512</v>
      </c>
      <c r="N599" s="8" t="str">
        <f t="shared" ref="N599:N609" si="53">"PEN"</f>
        <v>PEN</v>
      </c>
      <c r="O599" s="13"/>
      <c r="P599" s="13">
        <v>10</v>
      </c>
      <c r="Q599" s="3">
        <f t="shared" si="47"/>
        <v>0</v>
      </c>
      <c r="R599" s="3">
        <f t="shared" si="48"/>
        <v>10</v>
      </c>
      <c r="S599" s="3">
        <f t="shared" si="50"/>
        <v>1021.6999999999989</v>
      </c>
      <c r="T599" s="24"/>
      <c r="U599" s="24" t="s">
        <v>1334</v>
      </c>
      <c r="V599" s="3"/>
      <c r="W599" s="25">
        <f>IFERROR(VLOOKUP(Caja_Arequipa[[#This Row],[destinatario]],CHOOSE({1,2},Clientes_Proveedores[Razon Social],Clientes_Proveedores[Ruc / Dni]),2,0),"")</f>
        <v>72537561</v>
      </c>
      <c r="X599" s="3"/>
      <c r="Y599" s="3"/>
      <c r="Z599" s="3"/>
      <c r="AA599" s="3"/>
      <c r="AB599" s="3" t="str">
        <f>IF(Caja_Arequipa[[#This Row],[fecha]]&gt;0,TEXT(Caja_Arequipa[[#This Row],[fecha]],"mmmm"),0)</f>
        <v>Julio</v>
      </c>
    </row>
    <row r="600" spans="1:28" ht="24" x14ac:dyDescent="0.3">
      <c r="A600" s="44">
        <f>IF(Caja_Arequipa[[#This Row],[tipo_r]]="R",COUNTIFS($C$1:$C599,"R")+1,A599)</f>
        <v>511</v>
      </c>
      <c r="B600" s="19" t="str">
        <f t="shared" si="46"/>
        <v>C-Tesoreria</v>
      </c>
      <c r="C600" s="3" t="s">
        <v>1330</v>
      </c>
      <c r="D600" s="14">
        <v>45845</v>
      </c>
      <c r="E600" s="5" t="s">
        <v>1338</v>
      </c>
      <c r="F600" s="5" t="s">
        <v>1336</v>
      </c>
      <c r="G600" s="3" t="s">
        <v>5380</v>
      </c>
      <c r="H600" s="6" t="s">
        <v>922</v>
      </c>
      <c r="I600" s="45" t="s">
        <v>111</v>
      </c>
      <c r="J600" s="6">
        <v>3</v>
      </c>
      <c r="K600" s="6">
        <v>253</v>
      </c>
      <c r="L600" s="7" t="s">
        <v>6157</v>
      </c>
      <c r="M600" s="8" t="str">
        <f>IF(Caja_Arequipa[[#This Row],[tipo_r]]="R","001-"&amp;12002+A600,M599)</f>
        <v>001-12513</v>
      </c>
      <c r="N600" s="8" t="str">
        <f t="shared" si="53"/>
        <v>PEN</v>
      </c>
      <c r="O600" s="13"/>
      <c r="P600" s="13">
        <v>20</v>
      </c>
      <c r="Q600" s="3">
        <f t="shared" si="47"/>
        <v>0</v>
      </c>
      <c r="R600" s="3">
        <f t="shared" si="48"/>
        <v>20</v>
      </c>
      <c r="S600" s="3">
        <f t="shared" si="50"/>
        <v>1001.6999999999989</v>
      </c>
      <c r="T600" s="24"/>
      <c r="U600" s="24" t="s">
        <v>1334</v>
      </c>
      <c r="V600" s="3"/>
      <c r="W600" s="25">
        <f>IFERROR(VLOOKUP(Caja_Arequipa[[#This Row],[destinatario]],CHOOSE({1,2},Clientes_Proveedores[Razon Social],Clientes_Proveedores[Ruc / Dni]),2,0),"")</f>
        <v>72537561</v>
      </c>
      <c r="X600" s="3"/>
      <c r="Y600" s="3"/>
      <c r="Z600" s="3"/>
      <c r="AA600" s="3"/>
      <c r="AB600" s="3" t="str">
        <f>IF(Caja_Arequipa[[#This Row],[fecha]]&gt;0,TEXT(Caja_Arequipa[[#This Row],[fecha]],"mmmm"),0)</f>
        <v>Julio</v>
      </c>
    </row>
    <row r="601" spans="1:28" ht="24" x14ac:dyDescent="0.3">
      <c r="A601" s="44">
        <f>IF(Caja_Arequipa[[#This Row],[tipo_r]]="R",COUNTIFS($C$1:$C600,"R")+1,A600)</f>
        <v>512</v>
      </c>
      <c r="B601" s="19" t="str">
        <f t="shared" si="46"/>
        <v>C-Tesoreria</v>
      </c>
      <c r="C601" s="3" t="s">
        <v>1330</v>
      </c>
      <c r="D601" s="14">
        <v>45848</v>
      </c>
      <c r="E601" s="5" t="s">
        <v>1416</v>
      </c>
      <c r="F601" s="5" t="s">
        <v>1336</v>
      </c>
      <c r="G601" s="3" t="s">
        <v>5317</v>
      </c>
      <c r="H601" s="6" t="s">
        <v>790</v>
      </c>
      <c r="I601" s="45" t="s">
        <v>111</v>
      </c>
      <c r="J601" s="6">
        <v>3</v>
      </c>
      <c r="K601" s="6">
        <v>254</v>
      </c>
      <c r="L601" s="7" t="s">
        <v>6162</v>
      </c>
      <c r="M601" s="8" t="str">
        <f>IF(Caja_Arequipa[[#This Row],[tipo_r]]="R","001-"&amp;12002+A601,M600)</f>
        <v>001-12514</v>
      </c>
      <c r="N601" s="8" t="str">
        <f t="shared" si="53"/>
        <v>PEN</v>
      </c>
      <c r="O601" s="13"/>
      <c r="P601" s="13">
        <v>25</v>
      </c>
      <c r="Q601" s="3">
        <f t="shared" si="47"/>
        <v>0</v>
      </c>
      <c r="R601" s="3">
        <f t="shared" si="48"/>
        <v>25</v>
      </c>
      <c r="S601" s="3">
        <f t="shared" si="50"/>
        <v>976.69999999999891</v>
      </c>
      <c r="T601" s="24"/>
      <c r="U601" s="24" t="s">
        <v>1334</v>
      </c>
      <c r="V601" s="3"/>
      <c r="W601" s="25">
        <f>IFERROR(VLOOKUP(Caja_Arequipa[[#This Row],[destinatario]],CHOOSE({1,2},Clientes_Proveedores[Razon Social],Clientes_Proveedores[Ruc / Dni]),2,0),"")</f>
        <v>72169020</v>
      </c>
      <c r="X601" s="3"/>
      <c r="Y601" s="3"/>
      <c r="Z601" s="3"/>
      <c r="AA601" s="3"/>
      <c r="AB601" s="3" t="str">
        <f>IF(Caja_Arequipa[[#This Row],[fecha]]&gt;0,TEXT(Caja_Arequipa[[#This Row],[fecha]],"mmmm"),0)</f>
        <v>Julio</v>
      </c>
    </row>
    <row r="602" spans="1:28" ht="24" x14ac:dyDescent="0.3">
      <c r="A602" s="44">
        <f>IF(Caja_Arequipa[[#This Row],[tipo_r]]="R",COUNTIFS($C$1:$C601,"R")+1,A601)</f>
        <v>513</v>
      </c>
      <c r="B602" s="19" t="str">
        <f t="shared" si="46"/>
        <v>C-Tesoreria</v>
      </c>
      <c r="C602" s="3" t="s">
        <v>1330</v>
      </c>
      <c r="D602" s="14">
        <v>45848</v>
      </c>
      <c r="E602" s="5" t="s">
        <v>1416</v>
      </c>
      <c r="F602" s="5" t="s">
        <v>1336</v>
      </c>
      <c r="G602" s="3" t="s">
        <v>4788</v>
      </c>
      <c r="H602" s="6" t="s">
        <v>967</v>
      </c>
      <c r="I602" s="47" t="s">
        <v>111</v>
      </c>
      <c r="J602" s="6">
        <v>3</v>
      </c>
      <c r="K602" s="6">
        <v>352</v>
      </c>
      <c r="L602" s="7" t="s">
        <v>6163</v>
      </c>
      <c r="M602" s="8" t="str">
        <f>IF(Caja_Arequipa[[#This Row],[tipo_r]]="R","001-"&amp;12002+A602,M601)</f>
        <v>001-12515</v>
      </c>
      <c r="N602" s="8" t="str">
        <f t="shared" si="53"/>
        <v>PEN</v>
      </c>
      <c r="O602" s="13"/>
      <c r="P602" s="13">
        <v>40</v>
      </c>
      <c r="Q602" s="3">
        <f t="shared" si="47"/>
        <v>0</v>
      </c>
      <c r="R602" s="3">
        <f t="shared" si="48"/>
        <v>40</v>
      </c>
      <c r="S602" s="3">
        <f t="shared" si="50"/>
        <v>936.69999999999891</v>
      </c>
      <c r="T602" s="24"/>
      <c r="U602" s="24" t="s">
        <v>1334</v>
      </c>
      <c r="V602" s="3"/>
      <c r="W602" s="25">
        <f>IFERROR(VLOOKUP(Caja_Arequipa[[#This Row],[destinatario]],CHOOSE({1,2},Clientes_Proveedores[Razon Social],Clientes_Proveedores[Ruc / Dni]),2,0),"")</f>
        <v>70517150</v>
      </c>
      <c r="X602" s="3"/>
      <c r="Y602" s="3"/>
      <c r="Z602" s="3"/>
      <c r="AA602" s="3"/>
      <c r="AB602" s="3" t="str">
        <f>IF(Caja_Arequipa[[#This Row],[fecha]]&gt;0,TEXT(Caja_Arequipa[[#This Row],[fecha]],"mmmm"),0)</f>
        <v>Julio</v>
      </c>
    </row>
    <row r="603" spans="1:28" x14ac:dyDescent="0.3">
      <c r="A603" s="44">
        <f>IF(Caja_Arequipa[[#This Row],[tipo_r]]="R",COUNTIFS($C$1:$C602,"R")+1,A602)</f>
        <v>514</v>
      </c>
      <c r="B603" s="19" t="str">
        <f t="shared" si="46"/>
        <v>C-Tesoreria</v>
      </c>
      <c r="C603" s="3" t="s">
        <v>1330</v>
      </c>
      <c r="D603" s="14">
        <v>45849</v>
      </c>
      <c r="E603" s="5" t="s">
        <v>2269</v>
      </c>
      <c r="F603" s="5" t="s">
        <v>1336</v>
      </c>
      <c r="G603" s="3" t="s">
        <v>5380</v>
      </c>
      <c r="H603" s="6"/>
      <c r="I603" s="48"/>
      <c r="J603" s="6"/>
      <c r="K603" s="6"/>
      <c r="L603" s="7" t="s">
        <v>6055</v>
      </c>
      <c r="M603" s="8" t="str">
        <f>IF(Caja_Arequipa[[#This Row],[tipo_r]]="R","001-"&amp;12002+A603,M602)</f>
        <v>001-12516</v>
      </c>
      <c r="N603" s="8" t="str">
        <f t="shared" si="53"/>
        <v>PEN</v>
      </c>
      <c r="O603" s="13"/>
      <c r="P603" s="13">
        <v>511</v>
      </c>
      <c r="Q603" s="3">
        <f t="shared" si="47"/>
        <v>0</v>
      </c>
      <c r="R603" s="3">
        <f t="shared" si="48"/>
        <v>511</v>
      </c>
      <c r="S603" s="3">
        <f t="shared" si="50"/>
        <v>425.69999999999891</v>
      </c>
      <c r="T603" s="24"/>
      <c r="U603" s="24" t="s">
        <v>1334</v>
      </c>
      <c r="V603" s="3"/>
      <c r="W603" s="25" t="str">
        <f>IFERROR(VLOOKUP(Caja_Arequipa[[#This Row],[destinatario]],CHOOSE({1,2},Clientes_Proveedores[Razon Social],Clientes_Proveedores[Ruc / Dni]),2,0),"")</f>
        <v/>
      </c>
      <c r="X603" s="3"/>
      <c r="Y603" s="3"/>
      <c r="Z603" s="3"/>
      <c r="AA603" s="3"/>
      <c r="AB603" s="3" t="str">
        <f>IF(Caja_Arequipa[[#This Row],[fecha]]&gt;0,TEXT(Caja_Arequipa[[#This Row],[fecha]],"mmmm"),0)</f>
        <v>Julio</v>
      </c>
    </row>
    <row r="604" spans="1:28" ht="24" x14ac:dyDescent="0.3">
      <c r="A604" s="44">
        <f>IF(Caja_Arequipa[[#This Row],[tipo_r]]="R",COUNTIFS($C$1:$C603,"R")+1,A603)</f>
        <v>514</v>
      </c>
      <c r="B604" s="19" t="str">
        <f t="shared" si="46"/>
        <v>C-Tesoreria</v>
      </c>
      <c r="C604" s="3" t="s">
        <v>1352</v>
      </c>
      <c r="D604" s="14">
        <v>45849</v>
      </c>
      <c r="E604" s="5" t="s">
        <v>2269</v>
      </c>
      <c r="F604" s="5"/>
      <c r="G604" s="3"/>
      <c r="H604" s="6" t="s">
        <v>990</v>
      </c>
      <c r="I604" s="48" t="s">
        <v>68</v>
      </c>
      <c r="J604" s="6" t="s">
        <v>1376</v>
      </c>
      <c r="K604" s="6">
        <v>12726</v>
      </c>
      <c r="L604" s="7" t="s">
        <v>6055</v>
      </c>
      <c r="M604" s="8" t="str">
        <f>IF(Caja_Arequipa[[#This Row],[tipo_r]]="R","001-"&amp;12002+A604,M603)</f>
        <v>001-12516</v>
      </c>
      <c r="N604" s="8" t="str">
        <f t="shared" si="53"/>
        <v>PEN</v>
      </c>
      <c r="O604" s="13">
        <v>226</v>
      </c>
      <c r="P604" s="13"/>
      <c r="Q604" s="3">
        <f t="shared" si="47"/>
        <v>0</v>
      </c>
      <c r="R604" s="3">
        <f t="shared" si="48"/>
        <v>0</v>
      </c>
      <c r="S604" s="3">
        <f t="shared" si="50"/>
        <v>425.69999999999891</v>
      </c>
      <c r="T604" s="24"/>
      <c r="U604" s="24" t="s">
        <v>1334</v>
      </c>
      <c r="V604" s="3"/>
      <c r="W604" s="25">
        <f>IFERROR(VLOOKUP(Caja_Arequipa[[#This Row],[destinatario]],CHOOSE({1,2},Clientes_Proveedores[Razon Social],Clientes_Proveedores[Ruc / Dni]),2,0),"")</f>
        <v>10294003881</v>
      </c>
      <c r="X604" s="3"/>
      <c r="Y604" s="3"/>
      <c r="Z604" s="3"/>
      <c r="AA604" s="3"/>
      <c r="AB604" s="3" t="str">
        <f>IF(Caja_Arequipa[[#This Row],[fecha]]&gt;0,TEXT(Caja_Arequipa[[#This Row],[fecha]],"mmmm"),0)</f>
        <v>Julio</v>
      </c>
    </row>
    <row r="605" spans="1:28" ht="36" x14ac:dyDescent="0.3">
      <c r="A605" s="44">
        <f>IF(Caja_Arequipa[[#This Row],[tipo_r]]="R",COUNTIFS($C$1:$C604,"R")+1,A604)</f>
        <v>514</v>
      </c>
      <c r="B605" s="19" t="str">
        <f t="shared" si="46"/>
        <v>C-Tesoreria</v>
      </c>
      <c r="C605" s="3" t="s">
        <v>1352</v>
      </c>
      <c r="D605" s="14">
        <v>45849</v>
      </c>
      <c r="E605" s="5" t="s">
        <v>2269</v>
      </c>
      <c r="F605" s="5"/>
      <c r="G605" s="3"/>
      <c r="H605" s="6" t="s">
        <v>989</v>
      </c>
      <c r="I605" s="48" t="s">
        <v>68</v>
      </c>
      <c r="J605" s="6" t="s">
        <v>1343</v>
      </c>
      <c r="K605" s="6">
        <v>11180</v>
      </c>
      <c r="L605" s="7" t="s">
        <v>6055</v>
      </c>
      <c r="M605" s="8" t="str">
        <f>IF(Caja_Arequipa[[#This Row],[tipo_r]]="R","001-"&amp;12002+A605,M604)</f>
        <v>001-12516</v>
      </c>
      <c r="N605" s="8" t="str">
        <f t="shared" si="53"/>
        <v>PEN</v>
      </c>
      <c r="O605" s="13">
        <v>120</v>
      </c>
      <c r="P605" s="13"/>
      <c r="Q605" s="3">
        <f t="shared" si="47"/>
        <v>0</v>
      </c>
      <c r="R605" s="3">
        <f t="shared" si="48"/>
        <v>0</v>
      </c>
      <c r="S605" s="3">
        <f t="shared" si="50"/>
        <v>425.69999999999891</v>
      </c>
      <c r="T605" s="24"/>
      <c r="U605" s="24" t="s">
        <v>1334</v>
      </c>
      <c r="V605" s="3"/>
      <c r="W605" s="25">
        <f>IFERROR(VLOOKUP(Caja_Arequipa[[#This Row],[destinatario]],CHOOSE({1,2},Clientes_Proveedores[Razon Social],Clientes_Proveedores[Ruc / Dni]),2,0),"")</f>
        <v>20498619232</v>
      </c>
      <c r="X605" s="3"/>
      <c r="Y605" s="3"/>
      <c r="Z605" s="3"/>
      <c r="AA605" s="3"/>
      <c r="AB605" s="3" t="str">
        <f>IF(Caja_Arequipa[[#This Row],[fecha]]&gt;0,TEXT(Caja_Arequipa[[#This Row],[fecha]],"mmmm"),0)</f>
        <v>Julio</v>
      </c>
    </row>
    <row r="606" spans="1:28" x14ac:dyDescent="0.3">
      <c r="A606" s="44">
        <f>IF(Caja_Arequipa[[#This Row],[tipo_r]]="R",COUNTIFS($C$1:$C605,"R")+1,A605)</f>
        <v>514</v>
      </c>
      <c r="B606" s="19" t="str">
        <f t="shared" si="46"/>
        <v>C-Tesoreria</v>
      </c>
      <c r="C606" s="3" t="s">
        <v>1352</v>
      </c>
      <c r="D606" s="14">
        <v>45849</v>
      </c>
      <c r="E606" s="5" t="s">
        <v>2269</v>
      </c>
      <c r="F606" s="5"/>
      <c r="G606" s="3"/>
      <c r="H606" s="6" t="s">
        <v>988</v>
      </c>
      <c r="I606" s="48" t="s">
        <v>68</v>
      </c>
      <c r="J606" s="6" t="s">
        <v>1374</v>
      </c>
      <c r="K606" s="6">
        <v>16941</v>
      </c>
      <c r="L606" s="7" t="s">
        <v>6055</v>
      </c>
      <c r="M606" s="8" t="str">
        <f>IF(Caja_Arequipa[[#This Row],[tipo_r]]="R","001-"&amp;12002+A606,M605)</f>
        <v>001-12516</v>
      </c>
      <c r="N606" s="8" t="str">
        <f t="shared" si="53"/>
        <v>PEN</v>
      </c>
      <c r="O606" s="13">
        <v>40</v>
      </c>
      <c r="P606" s="13"/>
      <c r="Q606" s="3">
        <f t="shared" si="47"/>
        <v>0</v>
      </c>
      <c r="R606" s="3">
        <f t="shared" si="48"/>
        <v>0</v>
      </c>
      <c r="S606" s="3">
        <f t="shared" si="50"/>
        <v>425.69999999999891</v>
      </c>
      <c r="T606" s="24"/>
      <c r="U606" s="24" t="s">
        <v>1334</v>
      </c>
      <c r="V606" s="3"/>
      <c r="W606" s="25">
        <f>IFERROR(VLOOKUP(Caja_Arequipa[[#This Row],[destinatario]],CHOOSE({1,2},Clientes_Proveedores[Razon Social],Clientes_Proveedores[Ruc / Dni]),2,0),"")</f>
        <v>20609629739</v>
      </c>
      <c r="X606" s="3"/>
      <c r="Y606" s="3"/>
      <c r="Z606" s="3"/>
      <c r="AA606" s="3"/>
      <c r="AB606" s="3" t="str">
        <f>IF(Caja_Arequipa[[#This Row],[fecha]]&gt;0,TEXT(Caja_Arequipa[[#This Row],[fecha]],"mmmm"),0)</f>
        <v>Julio</v>
      </c>
    </row>
    <row r="607" spans="1:28" ht="24" x14ac:dyDescent="0.3">
      <c r="A607" s="44">
        <f>IF(Caja_Arequipa[[#This Row],[tipo_r]]="R",COUNTIFS($C$1:$C606,"R")+1,A606)</f>
        <v>514</v>
      </c>
      <c r="B607" s="19" t="str">
        <f t="shared" si="46"/>
        <v>C-Tesoreria</v>
      </c>
      <c r="C607" s="3" t="s">
        <v>1352</v>
      </c>
      <c r="D607" s="14">
        <v>45849</v>
      </c>
      <c r="E607" s="5" t="s">
        <v>2269</v>
      </c>
      <c r="F607" s="5"/>
      <c r="G607" s="3"/>
      <c r="H607" s="6" t="s">
        <v>970</v>
      </c>
      <c r="I607" s="48" t="s">
        <v>68</v>
      </c>
      <c r="J607" s="6" t="s">
        <v>1376</v>
      </c>
      <c r="K607" s="6">
        <v>1710</v>
      </c>
      <c r="L607" s="7" t="s">
        <v>6055</v>
      </c>
      <c r="M607" s="8" t="str">
        <f>IF(Caja_Arequipa[[#This Row],[tipo_r]]="R","001-"&amp;12002+A607,M606)</f>
        <v>001-12516</v>
      </c>
      <c r="N607" s="8" t="str">
        <f t="shared" si="53"/>
        <v>PEN</v>
      </c>
      <c r="O607" s="13">
        <v>90</v>
      </c>
      <c r="P607" s="13"/>
      <c r="Q607" s="3">
        <f t="shared" si="47"/>
        <v>0</v>
      </c>
      <c r="R607" s="3">
        <f t="shared" si="48"/>
        <v>0</v>
      </c>
      <c r="S607" s="3">
        <f t="shared" si="50"/>
        <v>425.69999999999891</v>
      </c>
      <c r="T607" s="24"/>
      <c r="U607" s="24" t="s">
        <v>1334</v>
      </c>
      <c r="V607" s="3"/>
      <c r="W607" s="25">
        <f>IFERROR(VLOOKUP(Caja_Arequipa[[#This Row],[destinatario]],CHOOSE({1,2},Clientes_Proveedores[Razon Social],Clientes_Proveedores[Ruc / Dni]),2,0),"")</f>
        <v>10297207330</v>
      </c>
      <c r="X607" s="3"/>
      <c r="Y607" s="3"/>
      <c r="Z607" s="3"/>
      <c r="AA607" s="3"/>
      <c r="AB607" s="3" t="str">
        <f>IF(Caja_Arequipa[[#This Row],[fecha]]&gt;0,TEXT(Caja_Arequipa[[#This Row],[fecha]],"mmmm"),0)</f>
        <v>Julio</v>
      </c>
    </row>
    <row r="608" spans="1:28" ht="36" x14ac:dyDescent="0.3">
      <c r="A608" s="44">
        <f>IF(Caja_Arequipa[[#This Row],[tipo_r]]="R",COUNTIFS($C$1:$C607,"R")+1,A607)</f>
        <v>514</v>
      </c>
      <c r="B608" s="19" t="str">
        <f t="shared" si="46"/>
        <v>C-Tesoreria</v>
      </c>
      <c r="C608" s="3" t="s">
        <v>1352</v>
      </c>
      <c r="D608" s="14">
        <v>45849</v>
      </c>
      <c r="E608" s="5" t="s">
        <v>2269</v>
      </c>
      <c r="F608" s="5"/>
      <c r="G608" s="3"/>
      <c r="H608" s="6" t="s">
        <v>971</v>
      </c>
      <c r="I608" s="48" t="s">
        <v>68</v>
      </c>
      <c r="J608" s="6" t="s">
        <v>1376</v>
      </c>
      <c r="K608" s="6">
        <v>30</v>
      </c>
      <c r="L608" s="7" t="s">
        <v>6055</v>
      </c>
      <c r="M608" s="8" t="str">
        <f>IF(Caja_Arequipa[[#This Row],[tipo_r]]="R","001-"&amp;12002+A608,M607)</f>
        <v>001-12516</v>
      </c>
      <c r="N608" s="8" t="str">
        <f t="shared" si="53"/>
        <v>PEN</v>
      </c>
      <c r="O608" s="13">
        <v>35</v>
      </c>
      <c r="P608" s="13"/>
      <c r="Q608" s="3">
        <f t="shared" si="47"/>
        <v>0</v>
      </c>
      <c r="R608" s="3">
        <f t="shared" si="48"/>
        <v>0</v>
      </c>
      <c r="S608" s="3">
        <f t="shared" si="50"/>
        <v>425.69999999999891</v>
      </c>
      <c r="T608" s="24"/>
      <c r="U608" s="24" t="s">
        <v>1334</v>
      </c>
      <c r="V608" s="3"/>
      <c r="W608" s="25">
        <f>IFERROR(VLOOKUP(Caja_Arequipa[[#This Row],[destinatario]],CHOOSE({1,2},Clientes_Proveedores[Razon Social],Clientes_Proveedores[Ruc / Dni]),2,0),"")</f>
        <v>20614269309</v>
      </c>
      <c r="X608" s="3"/>
      <c r="Y608" s="3"/>
      <c r="Z608" s="3"/>
      <c r="AA608" s="3"/>
      <c r="AB608" s="3" t="str">
        <f>IF(Caja_Arequipa[[#This Row],[fecha]]&gt;0,TEXT(Caja_Arequipa[[#This Row],[fecha]],"mmmm"),0)</f>
        <v>Julio</v>
      </c>
    </row>
    <row r="609" spans="1:28" x14ac:dyDescent="0.3">
      <c r="A609" s="44">
        <f>IF(Caja_Arequipa[[#This Row],[tipo_r]]="R",COUNTIFS($C$1:$C608,"R")+1,A608)</f>
        <v>515</v>
      </c>
      <c r="B609" s="19" t="str">
        <f t="shared" si="46"/>
        <v>C-Tesoreria</v>
      </c>
      <c r="C609" s="3" t="s">
        <v>1330</v>
      </c>
      <c r="D609" s="14">
        <v>45849</v>
      </c>
      <c r="E609" s="5" t="s">
        <v>2269</v>
      </c>
      <c r="F609" s="5" t="s">
        <v>1336</v>
      </c>
      <c r="G609" s="3" t="s">
        <v>5274</v>
      </c>
      <c r="H609" s="6" t="s">
        <v>976</v>
      </c>
      <c r="I609" s="48" t="s">
        <v>68</v>
      </c>
      <c r="J609" s="6" t="s">
        <v>1374</v>
      </c>
      <c r="K609" s="6">
        <v>1791</v>
      </c>
      <c r="L609" s="7" t="s">
        <v>6164</v>
      </c>
      <c r="M609" s="8" t="str">
        <f>IF(Caja_Arequipa[[#This Row],[tipo_r]]="R","001-"&amp;12002+A609,M608)</f>
        <v>001-12517</v>
      </c>
      <c r="N609" s="8" t="str">
        <f t="shared" si="53"/>
        <v>PEN</v>
      </c>
      <c r="O609" s="13"/>
      <c r="P609" s="13">
        <v>340.9</v>
      </c>
      <c r="Q609" s="3">
        <f t="shared" si="47"/>
        <v>0</v>
      </c>
      <c r="R609" s="3">
        <f t="shared" si="48"/>
        <v>340.9</v>
      </c>
      <c r="S609" s="3">
        <f t="shared" si="50"/>
        <v>84.799999999998931</v>
      </c>
      <c r="T609" s="24"/>
      <c r="U609" s="24" t="s">
        <v>1334</v>
      </c>
      <c r="V609" s="3"/>
      <c r="W609" s="25">
        <f>IFERROR(VLOOKUP(Caja_Arequipa[[#This Row],[destinatario]],CHOOSE({1,2},Clientes_Proveedores[Razon Social],Clientes_Proveedores[Ruc / Dni]),2,0),"")</f>
        <v>20454029918</v>
      </c>
      <c r="X609" s="3"/>
      <c r="Y609" s="3"/>
      <c r="Z609" s="3"/>
      <c r="AA609" s="3"/>
      <c r="AB609" s="3" t="str">
        <f>IF(Caja_Arequipa[[#This Row],[fecha]]&gt;0,TEXT(Caja_Arequipa[[#This Row],[fecha]],"mmmm"),0)</f>
        <v>Julio</v>
      </c>
    </row>
    <row r="610" spans="1:28" s="128" customFormat="1" x14ac:dyDescent="0.3">
      <c r="A610" s="119">
        <f>IF(Caja_Arequipa[[#This Row],[tipo_r]]="R",COUNTIFS($C$1:$C609,"R")+1,A609)</f>
        <v>516</v>
      </c>
      <c r="B610" s="120" t="str">
        <f t="shared" si="46"/>
        <v>C-Tesoreria</v>
      </c>
      <c r="C610" s="121" t="s">
        <v>1330</v>
      </c>
      <c r="D610" s="122">
        <v>45849</v>
      </c>
      <c r="E610" s="123" t="s">
        <v>1416</v>
      </c>
      <c r="F610" s="123" t="s">
        <v>1303</v>
      </c>
      <c r="G610" s="121" t="s">
        <v>3634</v>
      </c>
      <c r="H610" s="124"/>
      <c r="I610" s="124"/>
      <c r="J610" s="124"/>
      <c r="K610" s="124"/>
      <c r="L610" s="125" t="s">
        <v>5340</v>
      </c>
      <c r="M610" s="126" t="str">
        <f>IF(Caja_Arequipa[[#This Row],[tipo_r]]="R","001-"&amp;12002+A610,M609)</f>
        <v>001-12518</v>
      </c>
      <c r="N610" s="126" t="str">
        <f t="shared" ref="N610:N618" si="54">"PEN"</f>
        <v>PEN</v>
      </c>
      <c r="O610" s="121"/>
      <c r="P610" s="121">
        <v>500</v>
      </c>
      <c r="Q610" s="121">
        <f t="shared" si="47"/>
        <v>500</v>
      </c>
      <c r="R610" s="121">
        <f t="shared" si="48"/>
        <v>0</v>
      </c>
      <c r="S610" s="121">
        <f t="shared" si="50"/>
        <v>584.79999999999893</v>
      </c>
      <c r="T610" s="127" t="s">
        <v>1334</v>
      </c>
      <c r="U610" s="127"/>
      <c r="V610" s="121"/>
      <c r="W610" s="215" t="str">
        <f>IFERROR(VLOOKUP(Caja_Arequipa[[#This Row],[destinatario]],CHOOSE({1,2},Clientes_Proveedores[Razon Social],Clientes_Proveedores[Ruc / Dni]),2,0),"")</f>
        <v/>
      </c>
      <c r="X610" s="121"/>
      <c r="Y610" s="121"/>
      <c r="Z610" s="121"/>
      <c r="AA610" s="121"/>
      <c r="AB610" s="121" t="str">
        <f>IF(Caja_Arequipa[[#This Row],[fecha]]&gt;0,TEXT(Caja_Arequipa[[#This Row],[fecha]],"mmmm"),0)</f>
        <v>Julio</v>
      </c>
    </row>
    <row r="611" spans="1:28" s="118" customFormat="1" ht="24" x14ac:dyDescent="0.3">
      <c r="A611" s="109">
        <f>IF(Caja_Arequipa[[#This Row],[tipo_r]]="R",COUNTIFS($C$1:$C610,"R")+1,A610)</f>
        <v>517</v>
      </c>
      <c r="B611" s="110" t="str">
        <f>"C-Tesoreria"</f>
        <v>C-Tesoreria</v>
      </c>
      <c r="C611" s="111" t="s">
        <v>1330</v>
      </c>
      <c r="D611" s="112">
        <v>45849</v>
      </c>
      <c r="E611" s="113" t="s">
        <v>1416</v>
      </c>
      <c r="F611" s="113" t="s">
        <v>1336</v>
      </c>
      <c r="G611" s="111" t="s">
        <v>4788</v>
      </c>
      <c r="H611" s="114" t="s">
        <v>974</v>
      </c>
      <c r="I611" s="114"/>
      <c r="J611" s="114"/>
      <c r="K611" s="114"/>
      <c r="L611" s="115" t="s">
        <v>6165</v>
      </c>
      <c r="M611" s="116" t="str">
        <f>IF(Caja_Arequipa[[#This Row],[tipo_r]]="R","001-"&amp;12002+A611,M610)</f>
        <v>001-12519</v>
      </c>
      <c r="N611" s="116" t="str">
        <f t="shared" ref="N611:N616" si="55">"PEN"</f>
        <v>PEN</v>
      </c>
      <c r="O611" s="111"/>
      <c r="P611" s="111">
        <v>40</v>
      </c>
      <c r="Q611" s="111">
        <f t="shared" si="47"/>
        <v>0</v>
      </c>
      <c r="R611" s="111">
        <f t="shared" si="48"/>
        <v>40</v>
      </c>
      <c r="S611" s="111">
        <f t="shared" si="50"/>
        <v>544.79999999999893</v>
      </c>
      <c r="T611" s="117" t="s">
        <v>1334</v>
      </c>
      <c r="U611" s="117" t="s">
        <v>1334</v>
      </c>
      <c r="V611" s="111"/>
      <c r="W611" s="216">
        <f>IFERROR(VLOOKUP(Caja_Arequipa[[#This Row],[destinatario]],CHOOSE({1,2},Clientes_Proveedores[Razon Social],Clientes_Proveedores[Ruc / Dni]),2,0),"")</f>
        <v>20558053691</v>
      </c>
      <c r="X611" s="111"/>
      <c r="Y611" s="111"/>
      <c r="Z611" s="111"/>
      <c r="AA611" s="111"/>
      <c r="AB611" s="111" t="str">
        <f>IF(Caja_Arequipa[[#This Row],[fecha]]&gt;0,TEXT(Caja_Arequipa[[#This Row],[fecha]],"mmmm"),0)</f>
        <v>Julio</v>
      </c>
    </row>
    <row r="612" spans="1:28" s="118" customFormat="1" ht="24" x14ac:dyDescent="0.3">
      <c r="A612" s="109">
        <f>IF(Caja_Arequipa[[#This Row],[tipo_r]]="R",COUNTIFS($C$1:$C611,"R")+1,A611)</f>
        <v>517</v>
      </c>
      <c r="B612" s="110" t="str">
        <f>"C-Tesoreria"</f>
        <v>C-Tesoreria</v>
      </c>
      <c r="C612" s="111" t="s">
        <v>1352</v>
      </c>
      <c r="D612" s="112">
        <v>45849</v>
      </c>
      <c r="E612" s="113" t="s">
        <v>1416</v>
      </c>
      <c r="F612" s="113"/>
      <c r="G612" s="111"/>
      <c r="H612" s="114" t="s">
        <v>967</v>
      </c>
      <c r="I612" s="114" t="s">
        <v>111</v>
      </c>
      <c r="J612" s="114">
        <v>3</v>
      </c>
      <c r="K612" s="114">
        <v>284</v>
      </c>
      <c r="L612" s="115"/>
      <c r="M612" s="116" t="str">
        <f>IF(Caja_Arequipa[[#This Row],[tipo_r]]="R","001-"&amp;12002+A612,M611)</f>
        <v>001-12519</v>
      </c>
      <c r="N612" s="116" t="str">
        <f t="shared" si="55"/>
        <v>PEN</v>
      </c>
      <c r="O612" s="111">
        <v>20</v>
      </c>
      <c r="P612" s="111"/>
      <c r="Q612" s="111">
        <f>+IF(OR($F612="SALDO",$F612="INGRESO"),$P612,0)</f>
        <v>0</v>
      </c>
      <c r="R612" s="111">
        <f>+IF($F612="EGRESO",$P612,0)</f>
        <v>0</v>
      </c>
      <c r="S612" s="111">
        <f t="shared" si="50"/>
        <v>544.79999999999893</v>
      </c>
      <c r="T612" s="117" t="s">
        <v>1334</v>
      </c>
      <c r="U612" s="117" t="s">
        <v>1334</v>
      </c>
      <c r="V612" s="111"/>
      <c r="W612" s="216">
        <f>IFERROR(VLOOKUP(Caja_Arequipa[[#This Row],[destinatario]],CHOOSE({1,2},Clientes_Proveedores[Razon Social],Clientes_Proveedores[Ruc / Dni]),2,0),"")</f>
        <v>70517150</v>
      </c>
      <c r="X612" s="111"/>
      <c r="Y612" s="111"/>
      <c r="Z612" s="111"/>
      <c r="AA612" s="111"/>
      <c r="AB612" s="111" t="str">
        <f>IF(Caja_Arequipa[[#This Row],[fecha]]&gt;0,TEXT(Caja_Arequipa[[#This Row],[fecha]],"mmmm"),0)</f>
        <v>Julio</v>
      </c>
    </row>
    <row r="613" spans="1:28" s="118" customFormat="1" ht="24" x14ac:dyDescent="0.3">
      <c r="A613" s="109">
        <f>IF(Caja_Arequipa[[#This Row],[tipo_r]]="R",COUNTIFS($C$1:$C612,"R")+1,A612)</f>
        <v>517</v>
      </c>
      <c r="B613" s="110" t="str">
        <f>"C-Tesoreria"</f>
        <v>C-Tesoreria</v>
      </c>
      <c r="C613" s="111" t="s">
        <v>1352</v>
      </c>
      <c r="D613" s="112">
        <v>45849</v>
      </c>
      <c r="E613" s="113" t="s">
        <v>1416</v>
      </c>
      <c r="F613" s="113"/>
      <c r="G613" s="111"/>
      <c r="H613" s="114" t="s">
        <v>974</v>
      </c>
      <c r="I613" s="114" t="s">
        <v>68</v>
      </c>
      <c r="J613" s="114" t="s">
        <v>5917</v>
      </c>
      <c r="K613" s="114">
        <v>5312</v>
      </c>
      <c r="L613" s="115"/>
      <c r="M613" s="116" t="str">
        <f>IF(Caja_Arequipa[[#This Row],[tipo_r]]="R","001-"&amp;12002+A613,M612)</f>
        <v>001-12519</v>
      </c>
      <c r="N613" s="116" t="str">
        <f t="shared" si="55"/>
        <v>PEN</v>
      </c>
      <c r="O613" s="111">
        <v>20</v>
      </c>
      <c r="P613" s="111"/>
      <c r="Q613" s="111">
        <f>+IF(OR($F613="SALDO",$F613="INGRESO"),$P613,0)</f>
        <v>0</v>
      </c>
      <c r="R613" s="111">
        <f>+IF($F613="EGRESO",$P613,0)</f>
        <v>0</v>
      </c>
      <c r="S613" s="111">
        <f t="shared" si="50"/>
        <v>544.79999999999893</v>
      </c>
      <c r="T613" s="117" t="s">
        <v>1334</v>
      </c>
      <c r="U613" s="117" t="s">
        <v>1334</v>
      </c>
      <c r="V613" s="111"/>
      <c r="W613" s="216">
        <f>IFERROR(VLOOKUP(Caja_Arequipa[[#This Row],[destinatario]],CHOOSE({1,2},Clientes_Proveedores[Razon Social],Clientes_Proveedores[Ruc / Dni]),2,0),"")</f>
        <v>20558053691</v>
      </c>
      <c r="X613" s="111"/>
      <c r="Y613" s="111"/>
      <c r="Z613" s="111"/>
      <c r="AA613" s="111"/>
      <c r="AB613" s="111" t="str">
        <f>IF(Caja_Arequipa[[#This Row],[fecha]]&gt;0,TEXT(Caja_Arequipa[[#This Row],[fecha]],"mmmm"),0)</f>
        <v>Julio</v>
      </c>
    </row>
    <row r="614" spans="1:28" ht="24" x14ac:dyDescent="0.3">
      <c r="A614" s="2">
        <f>IF(Caja_Arequipa[[#This Row],[tipo_r]]="R",COUNTIFS($C$1:$C613,"R")+1,A613)</f>
        <v>518</v>
      </c>
      <c r="B614" s="19" t="str">
        <f>"C-Tesoreria"</f>
        <v>C-Tesoreria</v>
      </c>
      <c r="C614" s="3" t="s">
        <v>1330</v>
      </c>
      <c r="D614" s="14">
        <v>45849</v>
      </c>
      <c r="E614" s="5" t="s">
        <v>1416</v>
      </c>
      <c r="F614" s="5" t="s">
        <v>1336</v>
      </c>
      <c r="G614" s="3" t="s">
        <v>5250</v>
      </c>
      <c r="H614" s="6"/>
      <c r="I614" s="6"/>
      <c r="J614" s="6"/>
      <c r="K614" s="6"/>
      <c r="L614" s="7" t="s">
        <v>6166</v>
      </c>
      <c r="M614" s="8" t="str">
        <f>IF(Caja_Arequipa[[#This Row],[tipo_r]]="R","001-"&amp;12002+A614,M613)</f>
        <v>001-12520</v>
      </c>
      <c r="N614" s="8" t="str">
        <f t="shared" si="55"/>
        <v>PEN</v>
      </c>
      <c r="O614" s="3"/>
      <c r="P614" s="3">
        <v>45</v>
      </c>
      <c r="Q614" s="3">
        <f>+IF(OR($F614="SALDO",$F614="INGRESO"),$P614,0)</f>
        <v>0</v>
      </c>
      <c r="R614" s="3">
        <f>+IF($F614="EGRESO",$P614,0)</f>
        <v>45</v>
      </c>
      <c r="S614" s="3">
        <f t="shared" si="50"/>
        <v>499.79999999999893</v>
      </c>
      <c r="T614" s="24" t="s">
        <v>1334</v>
      </c>
      <c r="U614" s="24" t="s">
        <v>1334</v>
      </c>
      <c r="V614" s="3"/>
      <c r="W614" s="25" t="str">
        <f>IFERROR(VLOOKUP(Caja_Arequipa[[#This Row],[destinatario]],CHOOSE({1,2},Clientes_Proveedores[Razon Social],Clientes_Proveedores[Ruc / Dni]),2,0),"")</f>
        <v/>
      </c>
      <c r="X614" s="3"/>
      <c r="Y614" s="3"/>
      <c r="Z614" s="3"/>
      <c r="AA614" s="3"/>
      <c r="AB614" s="3" t="str">
        <f>IF(Caja_Arequipa[[#This Row],[fecha]]&gt;0,TEXT(Caja_Arequipa[[#This Row],[fecha]],"mmmm"),0)</f>
        <v>Julio</v>
      </c>
    </row>
    <row r="615" spans="1:28" ht="24" x14ac:dyDescent="0.3">
      <c r="A615" s="2">
        <f>IF(Caja_Arequipa[[#This Row],[tipo_r]]="R",COUNTIFS($C$1:$C614,"R")+1,A614)</f>
        <v>518</v>
      </c>
      <c r="B615" s="19" t="str">
        <f t="shared" si="46"/>
        <v>C-Tesoreria</v>
      </c>
      <c r="C615" s="3" t="s">
        <v>1352</v>
      </c>
      <c r="D615" s="14">
        <v>45849</v>
      </c>
      <c r="E615" s="5" t="s">
        <v>1416</v>
      </c>
      <c r="F615" s="5"/>
      <c r="G615" s="3"/>
      <c r="H615" s="6" t="s">
        <v>974</v>
      </c>
      <c r="I615" s="6" t="s">
        <v>68</v>
      </c>
      <c r="J615" s="6" t="s">
        <v>5917</v>
      </c>
      <c r="K615" s="6">
        <v>5338</v>
      </c>
      <c r="L615" s="7" t="s">
        <v>6167</v>
      </c>
      <c r="M615" s="8" t="str">
        <f>IF(Caja_Arequipa[[#This Row],[tipo_r]]="R","001-"&amp;12002+A615,M614)</f>
        <v>001-12520</v>
      </c>
      <c r="N615" s="8" t="str">
        <f t="shared" si="55"/>
        <v>PEN</v>
      </c>
      <c r="O615" s="3">
        <v>20</v>
      </c>
      <c r="P615" s="3"/>
      <c r="Q615" s="3">
        <f t="shared" si="47"/>
        <v>0</v>
      </c>
      <c r="R615" s="3">
        <f t="shared" si="48"/>
        <v>0</v>
      </c>
      <c r="S615" s="3">
        <f t="shared" si="50"/>
        <v>499.79999999999893</v>
      </c>
      <c r="T615" s="24" t="s">
        <v>1334</v>
      </c>
      <c r="U615" s="24" t="s">
        <v>1334</v>
      </c>
      <c r="V615" s="3"/>
      <c r="W615" s="25">
        <f>IFERROR(VLOOKUP(Caja_Arequipa[[#This Row],[destinatario]],CHOOSE({1,2},Clientes_Proveedores[Razon Social],Clientes_Proveedores[Ruc / Dni]),2,0),"")</f>
        <v>20558053691</v>
      </c>
      <c r="X615" s="3"/>
      <c r="Y615" s="3"/>
      <c r="Z615" s="3"/>
      <c r="AA615" s="3"/>
      <c r="AB615" s="3" t="str">
        <f>IF(Caja_Arequipa[[#This Row],[fecha]]&gt;0,TEXT(Caja_Arequipa[[#This Row],[fecha]],"mmmm"),0)</f>
        <v>Julio</v>
      </c>
    </row>
    <row r="616" spans="1:28" ht="24" x14ac:dyDescent="0.3">
      <c r="A616" s="2">
        <f>IF(Caja_Arequipa[[#This Row],[tipo_r]]="R",COUNTIFS($C$1:$C615,"R")+1,A615)</f>
        <v>518</v>
      </c>
      <c r="B616" s="19" t="str">
        <f t="shared" si="46"/>
        <v>C-Tesoreria</v>
      </c>
      <c r="C616" s="3" t="s">
        <v>1352</v>
      </c>
      <c r="D616" s="14">
        <v>45849</v>
      </c>
      <c r="E616" s="5" t="s">
        <v>1416</v>
      </c>
      <c r="F616" s="5"/>
      <c r="G616" s="3"/>
      <c r="H616" s="6" t="s">
        <v>953</v>
      </c>
      <c r="I616" s="6" t="s">
        <v>111</v>
      </c>
      <c r="J616" s="6">
        <v>3</v>
      </c>
      <c r="K616" s="6">
        <v>255</v>
      </c>
      <c r="L616" s="7" t="s">
        <v>6168</v>
      </c>
      <c r="M616" s="8" t="str">
        <f>IF(Caja_Arequipa[[#This Row],[tipo_r]]="R","001-"&amp;12002+A616,M615)</f>
        <v>001-12520</v>
      </c>
      <c r="N616" s="8" t="str">
        <f t="shared" si="55"/>
        <v>PEN</v>
      </c>
      <c r="O616" s="3">
        <v>25</v>
      </c>
      <c r="P616" s="3"/>
      <c r="Q616" s="3">
        <f t="shared" si="47"/>
        <v>0</v>
      </c>
      <c r="R616" s="3">
        <f t="shared" si="48"/>
        <v>0</v>
      </c>
      <c r="S616" s="3">
        <f t="shared" si="50"/>
        <v>499.79999999999893</v>
      </c>
      <c r="T616" s="24" t="s">
        <v>1334</v>
      </c>
      <c r="U616" s="24" t="s">
        <v>1334</v>
      </c>
      <c r="V616" s="3"/>
      <c r="W616" s="25">
        <f>IFERROR(VLOOKUP(Caja_Arequipa[[#This Row],[destinatario]],CHOOSE({1,2},Clientes_Proveedores[Razon Social],Clientes_Proveedores[Ruc / Dni]),2,0),"")</f>
        <v>72682665</v>
      </c>
      <c r="X616" s="3"/>
      <c r="Y616" s="3"/>
      <c r="Z616" s="3"/>
      <c r="AA616" s="3"/>
      <c r="AB616" s="3" t="str">
        <f>IF(Caja_Arequipa[[#This Row],[fecha]]&gt;0,TEXT(Caja_Arequipa[[#This Row],[fecha]],"mmmm"),0)</f>
        <v>Julio</v>
      </c>
    </row>
    <row r="617" spans="1:28" ht="24" x14ac:dyDescent="0.3">
      <c r="A617" s="2">
        <f>IF(Caja_Arequipa[[#This Row],[tipo_r]]="R",COUNTIFS($C$1:$C616,"R")+1,A616)</f>
        <v>519</v>
      </c>
      <c r="B617" s="19" t="str">
        <f t="shared" si="46"/>
        <v>C-Tesoreria</v>
      </c>
      <c r="C617" s="3" t="s">
        <v>1330</v>
      </c>
      <c r="D617" s="14">
        <v>45849</v>
      </c>
      <c r="E617" s="5" t="s">
        <v>1338</v>
      </c>
      <c r="F617" s="5" t="s">
        <v>1336</v>
      </c>
      <c r="G617" s="3" t="s">
        <v>5380</v>
      </c>
      <c r="H617" s="6" t="s">
        <v>987</v>
      </c>
      <c r="I617" s="6" t="s">
        <v>68</v>
      </c>
      <c r="J617" s="6" t="s">
        <v>1376</v>
      </c>
      <c r="K617" s="6">
        <v>408</v>
      </c>
      <c r="L617" s="7" t="s">
        <v>6169</v>
      </c>
      <c r="M617" s="8" t="str">
        <f>IF(Caja_Arequipa[[#This Row],[tipo_r]]="R","001-"&amp;12002+A617,M616)</f>
        <v>001-12521</v>
      </c>
      <c r="N617" s="8" t="str">
        <f t="shared" si="54"/>
        <v>PEN</v>
      </c>
      <c r="O617" s="3"/>
      <c r="P617" s="3">
        <v>140</v>
      </c>
      <c r="Q617" s="3">
        <f t="shared" si="47"/>
        <v>0</v>
      </c>
      <c r="R617" s="3">
        <f t="shared" si="48"/>
        <v>140</v>
      </c>
      <c r="S617" s="3">
        <f t="shared" si="50"/>
        <v>359.79999999999893</v>
      </c>
      <c r="T617" s="24" t="s">
        <v>1334</v>
      </c>
      <c r="U617" s="24" t="s">
        <v>1334</v>
      </c>
      <c r="V617" s="3"/>
      <c r="W617" s="25">
        <f>IFERROR(VLOOKUP(Caja_Arequipa[[#This Row],[destinatario]],CHOOSE({1,2},Clientes_Proveedores[Razon Social],Clientes_Proveedores[Ruc / Dni]),2,0),"")</f>
        <v>20609286564</v>
      </c>
      <c r="X617" s="3"/>
      <c r="Y617" s="3"/>
      <c r="Z617" s="3"/>
      <c r="AA617" s="3"/>
      <c r="AB617" s="3" t="str">
        <f>IF(Caja_Arequipa[[#This Row],[fecha]]&gt;0,TEXT(Caja_Arequipa[[#This Row],[fecha]],"mmmm"),0)</f>
        <v>Julio</v>
      </c>
    </row>
    <row r="618" spans="1:28" ht="24" x14ac:dyDescent="0.3">
      <c r="A618" s="2">
        <f>IF(Caja_Arequipa[[#This Row],[tipo_r]]="R",COUNTIFS($C$1:$C617,"R")+1,A617)</f>
        <v>520</v>
      </c>
      <c r="B618" s="19" t="str">
        <f t="shared" si="46"/>
        <v>C-Tesoreria</v>
      </c>
      <c r="C618" s="3" t="s">
        <v>1330</v>
      </c>
      <c r="D618" s="14">
        <v>45849</v>
      </c>
      <c r="E618" s="5" t="s">
        <v>1416</v>
      </c>
      <c r="F618" s="5" t="s">
        <v>1336</v>
      </c>
      <c r="G618" s="3" t="s">
        <v>5380</v>
      </c>
      <c r="H618" s="6" t="s">
        <v>922</v>
      </c>
      <c r="I618" s="6" t="s">
        <v>111</v>
      </c>
      <c r="J618" s="6">
        <v>3</v>
      </c>
      <c r="K618" s="6">
        <v>258</v>
      </c>
      <c r="L618" s="7" t="s">
        <v>6170</v>
      </c>
      <c r="M618" s="8" t="str">
        <f>IF(Caja_Arequipa[[#This Row],[tipo_r]]="R","001-"&amp;12002+A618,M617)</f>
        <v>001-12522</v>
      </c>
      <c r="N618" s="8" t="str">
        <f t="shared" si="54"/>
        <v>PEN</v>
      </c>
      <c r="O618" s="3"/>
      <c r="P618" s="3">
        <v>9</v>
      </c>
      <c r="Q618" s="3">
        <f t="shared" si="47"/>
        <v>0</v>
      </c>
      <c r="R618" s="3">
        <f t="shared" si="48"/>
        <v>9</v>
      </c>
      <c r="S618" s="3">
        <f t="shared" si="50"/>
        <v>350.79999999999893</v>
      </c>
      <c r="T618" s="24" t="s">
        <v>1334</v>
      </c>
      <c r="U618" s="24" t="s">
        <v>1334</v>
      </c>
      <c r="V618" s="3"/>
      <c r="W618" s="25">
        <f>IFERROR(VLOOKUP(Caja_Arequipa[[#This Row],[destinatario]],CHOOSE({1,2},Clientes_Proveedores[Razon Social],Clientes_Proveedores[Ruc / Dni]),2,0),"")</f>
        <v>72537561</v>
      </c>
      <c r="X618" s="3"/>
      <c r="Y618" s="3"/>
      <c r="Z618" s="3"/>
      <c r="AA618" s="3"/>
      <c r="AB618" s="3" t="str">
        <f>IF(Caja_Arequipa[[#This Row],[fecha]]&gt;0,TEXT(Caja_Arequipa[[#This Row],[fecha]],"mmmm"),0)</f>
        <v>Julio</v>
      </c>
    </row>
    <row r="619" spans="1:28" ht="24" x14ac:dyDescent="0.3">
      <c r="A619" s="2">
        <f>IF(Caja_Arequipa[[#This Row],[tipo_r]]="R",COUNTIFS($C$1:$C618,"R")+1,A618)</f>
        <v>521</v>
      </c>
      <c r="B619" s="19" t="str">
        <f t="shared" si="46"/>
        <v>C-Tesoreria</v>
      </c>
      <c r="C619" s="3" t="s">
        <v>1330</v>
      </c>
      <c r="D619" s="14">
        <v>45852</v>
      </c>
      <c r="E619" s="5" t="s">
        <v>1416</v>
      </c>
      <c r="F619" s="5" t="s">
        <v>1336</v>
      </c>
      <c r="G619" s="3" t="s">
        <v>4788</v>
      </c>
      <c r="H619" s="6" t="s">
        <v>967</v>
      </c>
      <c r="I619" s="6" t="s">
        <v>111</v>
      </c>
      <c r="J619" s="6">
        <v>3</v>
      </c>
      <c r="K619" s="6">
        <v>261</v>
      </c>
      <c r="L619" s="7" t="s">
        <v>6171</v>
      </c>
      <c r="M619" s="8" t="str">
        <f>IF(Caja_Arequipa[[#This Row],[tipo_r]]="R","001-"&amp;12002+A619,M618)</f>
        <v>001-12523</v>
      </c>
      <c r="N619" s="8" t="str">
        <f t="shared" ref="N619:N626" si="56">"PEN"</f>
        <v>PEN</v>
      </c>
      <c r="O619" s="3"/>
      <c r="P619" s="3">
        <v>26</v>
      </c>
      <c r="Q619" s="3">
        <f>+IF(OR($F619="SALDO",$F619="INGRESO"),$P619,0)</f>
        <v>0</v>
      </c>
      <c r="R619" s="3">
        <f t="shared" si="48"/>
        <v>26</v>
      </c>
      <c r="S619" s="3">
        <f t="shared" si="50"/>
        <v>324.79999999999893</v>
      </c>
      <c r="T619" s="24" t="s">
        <v>1334</v>
      </c>
      <c r="U619" s="24" t="s">
        <v>1334</v>
      </c>
      <c r="V619" s="3"/>
      <c r="W619" s="25">
        <f>IFERROR(VLOOKUP(Caja_Arequipa[[#This Row],[destinatario]],CHOOSE({1,2},Clientes_Proveedores[Razon Social],Clientes_Proveedores[Ruc / Dni]),2,0),"")</f>
        <v>70517150</v>
      </c>
      <c r="X619" s="3"/>
      <c r="Y619" s="3"/>
      <c r="Z619" s="3"/>
      <c r="AA619" s="3"/>
      <c r="AB619" s="3" t="str">
        <f>IF(Caja_Arequipa[[#This Row],[fecha]]&gt;0,TEXT(Caja_Arequipa[[#This Row],[fecha]],"mmmm"),0)</f>
        <v>Julio</v>
      </c>
    </row>
    <row r="620" spans="1:28" ht="24" x14ac:dyDescent="0.3">
      <c r="A620" s="2">
        <f>IF(Caja_Arequipa[[#This Row],[tipo_r]]="R",COUNTIFS($C$1:$C619,"R")+1,A619)</f>
        <v>522</v>
      </c>
      <c r="B620" s="19" t="str">
        <f t="shared" si="46"/>
        <v>C-Tesoreria</v>
      </c>
      <c r="C620" s="3" t="s">
        <v>1330</v>
      </c>
      <c r="D620" s="14">
        <v>45852</v>
      </c>
      <c r="E620" s="5" t="s">
        <v>2269</v>
      </c>
      <c r="F620" s="5" t="s">
        <v>1336</v>
      </c>
      <c r="G620" s="3" t="s">
        <v>5828</v>
      </c>
      <c r="H620" s="6" t="s">
        <v>746</v>
      </c>
      <c r="I620" s="6" t="s">
        <v>72</v>
      </c>
      <c r="J620" s="6" t="s">
        <v>1376</v>
      </c>
      <c r="K620" s="6">
        <v>18</v>
      </c>
      <c r="L620" s="7" t="s">
        <v>6172</v>
      </c>
      <c r="M620" s="8" t="str">
        <f>IF(Caja_Arequipa[[#This Row],[tipo_r]]="R","001-"&amp;12002+A620,M619)</f>
        <v>001-12524</v>
      </c>
      <c r="N620" s="8" t="str">
        <f t="shared" si="56"/>
        <v>PEN</v>
      </c>
      <c r="O620" s="3"/>
      <c r="P620" s="3">
        <v>160</v>
      </c>
      <c r="Q620" s="3">
        <f t="shared" si="47"/>
        <v>0</v>
      </c>
      <c r="R620" s="3">
        <f>+IF($F620="EGRESO",$P620,0)</f>
        <v>160</v>
      </c>
      <c r="S620" s="3">
        <f t="shared" si="50"/>
        <v>164.79999999999893</v>
      </c>
      <c r="T620" s="24" t="s">
        <v>1334</v>
      </c>
      <c r="U620" s="24" t="s">
        <v>1334</v>
      </c>
      <c r="V620" s="3"/>
      <c r="W620" s="25">
        <f>IFERROR(VLOOKUP(Caja_Arequipa[[#This Row],[destinatario]],CHOOSE({1,2},Clientes_Proveedores[Razon Social],Clientes_Proveedores[Ruc / Dni]),2,0),"")</f>
        <v>10764319872</v>
      </c>
      <c r="X620" s="3"/>
      <c r="Y620" s="3"/>
      <c r="Z620" s="3"/>
      <c r="AA620" s="3"/>
      <c r="AB620" s="3" t="str">
        <f>IF(Caja_Arequipa[[#This Row],[fecha]]&gt;0,TEXT(Caja_Arequipa[[#This Row],[fecha]],"mmmm"),0)</f>
        <v>Julio</v>
      </c>
    </row>
    <row r="621" spans="1:28" ht="24" x14ac:dyDescent="0.3">
      <c r="A621" s="2">
        <f>IF(Caja_Arequipa[[#This Row],[tipo_r]]="R",COUNTIFS($C$1:$C620,"R")+1,A620)</f>
        <v>523</v>
      </c>
      <c r="B621" s="19" t="str">
        <f t="shared" si="46"/>
        <v>C-Tesoreria</v>
      </c>
      <c r="C621" s="3" t="s">
        <v>1330</v>
      </c>
      <c r="D621" s="14">
        <v>45852</v>
      </c>
      <c r="E621" s="5" t="s">
        <v>1416</v>
      </c>
      <c r="F621" s="5" t="s">
        <v>1336</v>
      </c>
      <c r="G621" s="3" t="s">
        <v>5664</v>
      </c>
      <c r="H621" s="6" t="s">
        <v>986</v>
      </c>
      <c r="I621" s="6" t="s">
        <v>75</v>
      </c>
      <c r="J621" s="6">
        <v>1</v>
      </c>
      <c r="K621" s="6">
        <v>168</v>
      </c>
      <c r="L621" s="7" t="s">
        <v>6173</v>
      </c>
      <c r="M621" s="8" t="str">
        <f>IF(Caja_Arequipa[[#This Row],[tipo_r]]="R","001-"&amp;12002+A621,M620)</f>
        <v>001-12525</v>
      </c>
      <c r="N621" s="8" t="str">
        <f t="shared" si="56"/>
        <v>PEN</v>
      </c>
      <c r="O621" s="3"/>
      <c r="P621" s="3">
        <v>21.4</v>
      </c>
      <c r="Q621" s="3">
        <f t="shared" si="47"/>
        <v>0</v>
      </c>
      <c r="R621" s="3">
        <f t="shared" si="48"/>
        <v>21.4</v>
      </c>
      <c r="S621" s="3">
        <f t="shared" si="50"/>
        <v>143.39999999999893</v>
      </c>
      <c r="T621" s="24" t="s">
        <v>1334</v>
      </c>
      <c r="U621" s="24" t="s">
        <v>1334</v>
      </c>
      <c r="V621" s="3"/>
      <c r="W621" s="25">
        <f>IFERROR(VLOOKUP(Caja_Arequipa[[#This Row],[destinatario]],CHOOSE({1,2},Clientes_Proveedores[Razon Social],Clientes_Proveedores[Ruc / Dni]),2,0),"")</f>
        <v>10309622885</v>
      </c>
      <c r="X621" s="3"/>
      <c r="Y621" s="3"/>
      <c r="Z621" s="3"/>
      <c r="AA621" s="3"/>
      <c r="AB621" s="3"/>
    </row>
    <row r="622" spans="1:28" ht="24" x14ac:dyDescent="0.3">
      <c r="A622" s="2">
        <f>IF(Caja_Arequipa[[#This Row],[tipo_r]]="R",COUNTIFS($C$1:$C621,"R")+1,A621)</f>
        <v>524</v>
      </c>
      <c r="B622" s="19" t="str">
        <f t="shared" ref="B622:B629" si="57">"C-Tesoreria"</f>
        <v>C-Tesoreria</v>
      </c>
      <c r="C622" s="3" t="s">
        <v>1330</v>
      </c>
      <c r="D622" s="14">
        <v>45853</v>
      </c>
      <c r="E622" s="5" t="s">
        <v>1338</v>
      </c>
      <c r="F622" s="5" t="s">
        <v>1336</v>
      </c>
      <c r="G622" s="3" t="s">
        <v>4788</v>
      </c>
      <c r="H622" s="6"/>
      <c r="I622" s="6"/>
      <c r="J622" s="6"/>
      <c r="K622" s="6"/>
      <c r="L622" s="7" t="s">
        <v>6174</v>
      </c>
      <c r="M622" s="8" t="str">
        <f>IF(Caja_Arequipa[[#This Row],[tipo_r]]="R","001-"&amp;12002+A622,M621)</f>
        <v>001-12526</v>
      </c>
      <c r="N622" s="8" t="str">
        <f t="shared" si="56"/>
        <v>PEN</v>
      </c>
      <c r="O622" s="3"/>
      <c r="P622" s="3">
        <v>74</v>
      </c>
      <c r="Q622" s="3">
        <f t="shared" si="47"/>
        <v>0</v>
      </c>
      <c r="R622" s="3">
        <f t="shared" si="48"/>
        <v>74</v>
      </c>
      <c r="S622" s="3">
        <f t="shared" si="50"/>
        <v>69.399999999998926</v>
      </c>
      <c r="T622" s="24" t="s">
        <v>1334</v>
      </c>
      <c r="U622" s="24" t="s">
        <v>1334</v>
      </c>
      <c r="V622" s="3"/>
      <c r="W622" s="25" t="str">
        <f>IFERROR(VLOOKUP(Caja_Arequipa[[#This Row],[destinatario]],CHOOSE({1,2},Clientes_Proveedores[Razon Social],Clientes_Proveedores[Ruc / Dni]),2,0),"")</f>
        <v/>
      </c>
      <c r="X622" s="3"/>
      <c r="Y622" s="3"/>
      <c r="Z622" s="3"/>
      <c r="AA622" s="3"/>
      <c r="AB622" s="3" t="str">
        <f>IF(Caja_Arequipa[[#This Row],[fecha]]&gt;0,TEXT(Caja_Arequipa[[#This Row],[fecha]],"mmmm"),0)</f>
        <v>Julio</v>
      </c>
    </row>
    <row r="623" spans="1:28" ht="24" x14ac:dyDescent="0.3">
      <c r="A623" s="2">
        <f>IF(Caja_Arequipa[[#This Row],[tipo_r]]="R",COUNTIFS($C$1:$C622,"R")+1,A622)</f>
        <v>524</v>
      </c>
      <c r="B623" s="19" t="str">
        <f>"C-Tesoreria"</f>
        <v>C-Tesoreria</v>
      </c>
      <c r="C623" s="3" t="s">
        <v>1352</v>
      </c>
      <c r="D623" s="14">
        <v>45853</v>
      </c>
      <c r="E623" s="5" t="s">
        <v>1338</v>
      </c>
      <c r="F623" s="5"/>
      <c r="G623" s="3"/>
      <c r="H623" s="6" t="s">
        <v>967</v>
      </c>
      <c r="I623" s="6" t="s">
        <v>111</v>
      </c>
      <c r="J623" s="6">
        <v>3</v>
      </c>
      <c r="K623" s="6">
        <v>262</v>
      </c>
      <c r="L623" s="7" t="s">
        <v>6175</v>
      </c>
      <c r="M623" s="8" t="str">
        <f>IF(Caja_Arequipa[[#This Row],[tipo_r]]="R","001-"&amp;12002+A623,M622)</f>
        <v>001-12526</v>
      </c>
      <c r="N623" s="8" t="str">
        <f>"PEN"</f>
        <v>PEN</v>
      </c>
      <c r="O623" s="3">
        <v>29</v>
      </c>
      <c r="P623" s="3"/>
      <c r="Q623" s="3">
        <f>+IF(OR($F623="SALDO",$F623="INGRESO"),$P623,0)</f>
        <v>0</v>
      </c>
      <c r="R623" s="3">
        <f>+IF($F623="EGRESO",$P623,0)</f>
        <v>0</v>
      </c>
      <c r="S623" s="3">
        <f t="shared" si="50"/>
        <v>69.399999999998926</v>
      </c>
      <c r="T623" s="24" t="s">
        <v>1334</v>
      </c>
      <c r="U623" s="24" t="s">
        <v>1334</v>
      </c>
      <c r="V623" s="3"/>
      <c r="W623" s="25">
        <f>IFERROR(VLOOKUP(Caja_Arequipa[[#This Row],[destinatario]],CHOOSE({1,2},Clientes_Proveedores[Razon Social],Clientes_Proveedores[Ruc / Dni]),2,0),"")</f>
        <v>70517150</v>
      </c>
      <c r="X623" s="3"/>
      <c r="Y623" s="3"/>
      <c r="Z623" s="3"/>
      <c r="AA623" s="3"/>
      <c r="AB623" s="3" t="str">
        <f>IF(Caja_Arequipa[[#This Row],[fecha]]&gt;0,TEXT(Caja_Arequipa[[#This Row],[fecha]],"mmmm"),0)</f>
        <v>Julio</v>
      </c>
    </row>
    <row r="624" spans="1:28" ht="36" x14ac:dyDescent="0.3">
      <c r="A624" s="2">
        <f>IF(Caja_Arequipa[[#This Row],[tipo_r]]="R",COUNTIFS($C$1:$C623,"R")+1,A623)</f>
        <v>524</v>
      </c>
      <c r="B624" s="19" t="str">
        <f>"C-Tesoreria"</f>
        <v>C-Tesoreria</v>
      </c>
      <c r="C624" s="3" t="s">
        <v>1352</v>
      </c>
      <c r="D624" s="14">
        <v>45853</v>
      </c>
      <c r="E624" s="5" t="s">
        <v>1338</v>
      </c>
      <c r="F624" s="5"/>
      <c r="G624" s="3"/>
      <c r="H624" s="6" t="s">
        <v>1030</v>
      </c>
      <c r="I624" s="6" t="s">
        <v>68</v>
      </c>
      <c r="J624" s="6" t="s">
        <v>5671</v>
      </c>
      <c r="K624" s="6">
        <v>415</v>
      </c>
      <c r="L624" s="7" t="s">
        <v>6175</v>
      </c>
      <c r="M624" s="8" t="str">
        <f>IF(Caja_Arequipa[[#This Row],[tipo_r]]="R","001-"&amp;12002+A624,M623)</f>
        <v>001-12526</v>
      </c>
      <c r="N624" s="8" t="str">
        <f>"PEN"</f>
        <v>PEN</v>
      </c>
      <c r="O624" s="3">
        <v>45</v>
      </c>
      <c r="P624" s="3"/>
      <c r="Q624" s="3">
        <f>+IF(OR($F624="SALDO",$F624="INGRESO"),$P624,0)</f>
        <v>0</v>
      </c>
      <c r="R624" s="3">
        <f>+IF($F624="EGRESO",$P624,0)</f>
        <v>0</v>
      </c>
      <c r="S624" s="3">
        <f t="shared" si="50"/>
        <v>69.399999999998926</v>
      </c>
      <c r="T624" s="24" t="s">
        <v>1334</v>
      </c>
      <c r="U624" s="24" t="s">
        <v>1334</v>
      </c>
      <c r="V624" s="3"/>
      <c r="W624" s="25">
        <f>IFERROR(VLOOKUP(Caja_Arequipa[[#This Row],[destinatario]],CHOOSE({1,2},Clientes_Proveedores[Razon Social],Clientes_Proveedores[Ruc / Dni]),2,0),"")</f>
        <v>20515659324</v>
      </c>
      <c r="X624" s="3"/>
      <c r="Y624" s="3"/>
      <c r="Z624" s="3"/>
      <c r="AA624" s="3"/>
      <c r="AB624" s="3" t="str">
        <f>IF(Caja_Arequipa[[#This Row],[fecha]]&gt;0,TEXT(Caja_Arequipa[[#This Row],[fecha]],"mmmm"),0)</f>
        <v>Julio</v>
      </c>
    </row>
    <row r="625" spans="1:28" ht="24" x14ac:dyDescent="0.3">
      <c r="A625" s="2">
        <f>IF(Caja_Arequipa[[#This Row],[tipo_r]]="R",COUNTIFS($C$1:$C624,"R")+1,A624)</f>
        <v>525</v>
      </c>
      <c r="B625" s="19" t="str">
        <f t="shared" si="57"/>
        <v>C-Tesoreria</v>
      </c>
      <c r="C625" s="3" t="s">
        <v>1330</v>
      </c>
      <c r="D625" s="14">
        <v>45853</v>
      </c>
      <c r="E625" s="5" t="s">
        <v>2269</v>
      </c>
      <c r="F625" s="5" t="s">
        <v>1303</v>
      </c>
      <c r="G625" s="3" t="s">
        <v>4788</v>
      </c>
      <c r="H625" s="6"/>
      <c r="I625" s="6" t="s">
        <v>130</v>
      </c>
      <c r="J625" s="6">
        <v>1</v>
      </c>
      <c r="K625" s="6">
        <v>153</v>
      </c>
      <c r="L625" s="7" t="s">
        <v>6140</v>
      </c>
      <c r="M625" s="8" t="str">
        <f>IF(Caja_Arequipa[[#This Row],[tipo_r]]="R","001-"&amp;12002+A625,M624)</f>
        <v>001-12527</v>
      </c>
      <c r="N625" s="8" t="str">
        <f t="shared" si="56"/>
        <v>PEN</v>
      </c>
      <c r="O625" s="3"/>
      <c r="P625" s="3">
        <v>11</v>
      </c>
      <c r="Q625" s="3">
        <f t="shared" si="47"/>
        <v>11</v>
      </c>
      <c r="R625" s="3">
        <f t="shared" si="48"/>
        <v>0</v>
      </c>
      <c r="S625" s="3">
        <f t="shared" si="50"/>
        <v>80.399999999998926</v>
      </c>
      <c r="T625" s="24" t="s">
        <v>1334</v>
      </c>
      <c r="U625" s="24" t="s">
        <v>6141</v>
      </c>
      <c r="V625" s="3"/>
      <c r="W625" s="25" t="str">
        <f>IFERROR(VLOOKUP(Caja_Arequipa[[#This Row],[destinatario]],CHOOSE({1,2},Clientes_Proveedores[Razon Social],Clientes_Proveedores[Ruc / Dni]),2,0),"")</f>
        <v/>
      </c>
      <c r="X625" s="3"/>
      <c r="Y625" s="3"/>
      <c r="Z625" s="3"/>
      <c r="AA625" s="3"/>
      <c r="AB625" s="3" t="str">
        <f>IF(Caja_Arequipa[[#This Row],[fecha]]&gt;0,TEXT(Caja_Arequipa[[#This Row],[fecha]],"mmmm"),0)</f>
        <v>Julio</v>
      </c>
    </row>
    <row r="626" spans="1:28" x14ac:dyDescent="0.3">
      <c r="A626" s="2">
        <f>IF(Caja_Arequipa[[#This Row],[tipo_r]]="R",COUNTIFS($C$1:$C625,"R")+1,A625)</f>
        <v>526</v>
      </c>
      <c r="B626" s="19" t="str">
        <f t="shared" si="57"/>
        <v>C-Tesoreria</v>
      </c>
      <c r="C626" s="3" t="s">
        <v>1330</v>
      </c>
      <c r="D626" s="14">
        <v>45854</v>
      </c>
      <c r="E626" s="5" t="s">
        <v>1416</v>
      </c>
      <c r="F626" s="5" t="s">
        <v>1303</v>
      </c>
      <c r="G626" s="3" t="s">
        <v>3634</v>
      </c>
      <c r="H626" s="6"/>
      <c r="I626" s="6"/>
      <c r="J626" s="6"/>
      <c r="K626" s="6"/>
      <c r="L626" s="7" t="s">
        <v>6176</v>
      </c>
      <c r="M626" s="8" t="str">
        <f>IF(Caja_Arequipa[[#This Row],[tipo_r]]="R","001-"&amp;12002+A626,M625)</f>
        <v>001-12528</v>
      </c>
      <c r="N626" s="8" t="str">
        <f t="shared" si="56"/>
        <v>PEN</v>
      </c>
      <c r="O626" s="3"/>
      <c r="P626" s="3">
        <v>1931.2</v>
      </c>
      <c r="Q626" s="3">
        <f t="shared" si="47"/>
        <v>1931.2</v>
      </c>
      <c r="R626" s="3">
        <f t="shared" si="48"/>
        <v>0</v>
      </c>
      <c r="S626" s="3">
        <f t="shared" si="50"/>
        <v>2011.599999999999</v>
      </c>
      <c r="T626" s="24" t="s">
        <v>1334</v>
      </c>
      <c r="U626" s="24"/>
      <c r="V626" s="3"/>
      <c r="W626" s="25" t="str">
        <f>IFERROR(VLOOKUP(Caja_Arequipa[[#This Row],[destinatario]],CHOOSE({1,2},Clientes_Proveedores[Razon Social],Clientes_Proveedores[Ruc / Dni]),2,0),"")</f>
        <v/>
      </c>
      <c r="X626" s="3"/>
      <c r="Y626" s="3"/>
      <c r="Z626" s="3"/>
      <c r="AA626" s="3"/>
      <c r="AB626" s="3" t="str">
        <f>IF(Caja_Arequipa[[#This Row],[fecha]]&gt;0,TEXT(Caja_Arequipa[[#This Row],[fecha]],"mmmm"),0)</f>
        <v>Julio</v>
      </c>
    </row>
    <row r="627" spans="1:28" ht="24" x14ac:dyDescent="0.3">
      <c r="A627" s="2">
        <f>IF(Caja_Arequipa[[#This Row],[tipo_r]]="R",COUNTIFS($C$1:$C626,"R")+1,A626)</f>
        <v>527</v>
      </c>
      <c r="B627" s="19" t="str">
        <f t="shared" si="57"/>
        <v>C-Tesoreria</v>
      </c>
      <c r="C627" s="3" t="s">
        <v>1330</v>
      </c>
      <c r="D627" s="14">
        <v>45855</v>
      </c>
      <c r="E627" s="5" t="s">
        <v>2269</v>
      </c>
      <c r="F627" s="5" t="s">
        <v>1336</v>
      </c>
      <c r="G627" s="3" t="s">
        <v>5274</v>
      </c>
      <c r="H627" s="6" t="s">
        <v>882</v>
      </c>
      <c r="I627" s="6" t="s">
        <v>111</v>
      </c>
      <c r="J627" s="6">
        <v>3</v>
      </c>
      <c r="K627" s="6">
        <v>256</v>
      </c>
      <c r="L627" s="7" t="s">
        <v>6177</v>
      </c>
      <c r="M627" s="8" t="str">
        <f>IF(Caja_Arequipa[[#This Row],[tipo_r]]="R","001-"&amp;12002+A627,M626)</f>
        <v>001-12529</v>
      </c>
      <c r="N627" s="8" t="str">
        <f t="shared" ref="N627:N633" si="58">"PEN"</f>
        <v>PEN</v>
      </c>
      <c r="O627" s="3"/>
      <c r="P627" s="3">
        <v>12</v>
      </c>
      <c r="Q627" s="3">
        <f t="shared" ref="Q627:Q633" si="59">+IF(OR($F627="SALDO",$F627="INGRESO"),$P627,0)</f>
        <v>0</v>
      </c>
      <c r="R627" s="3">
        <f t="shared" ref="R627:R633" si="60">+IF($F627="EGRESO",$P627,0)</f>
        <v>12</v>
      </c>
      <c r="S627" s="3">
        <f t="shared" si="50"/>
        <v>1999.599999999999</v>
      </c>
      <c r="T627" s="24" t="s">
        <v>1334</v>
      </c>
      <c r="U627" s="24" t="s">
        <v>1334</v>
      </c>
      <c r="V627" s="3"/>
      <c r="W627" s="25">
        <f>IFERROR(VLOOKUP(Caja_Arequipa[[#This Row],[destinatario]],CHOOSE({1,2},Clientes_Proveedores[Razon Social],Clientes_Proveedores[Ruc / Dni]),2,0),"")</f>
        <v>72450429</v>
      </c>
      <c r="X627" s="3"/>
      <c r="Y627" s="3"/>
      <c r="Z627" s="3"/>
      <c r="AA627" s="3"/>
      <c r="AB627" s="3" t="str">
        <f>IF(Caja_Arequipa[[#This Row],[fecha]]&gt;0,TEXT(Caja_Arequipa[[#This Row],[fecha]],"mmmm"),0)</f>
        <v>Julio</v>
      </c>
    </row>
    <row r="628" spans="1:28" ht="24" x14ac:dyDescent="0.3">
      <c r="A628" s="2">
        <f>IF(Caja_Arequipa[[#This Row],[tipo_r]]="R",COUNTIFS($C$1:$C627,"R")+1,A627)</f>
        <v>528</v>
      </c>
      <c r="B628" s="19" t="str">
        <f t="shared" si="57"/>
        <v>C-Tesoreria</v>
      </c>
      <c r="C628" s="3" t="s">
        <v>1330</v>
      </c>
      <c r="D628" s="14">
        <v>45855</v>
      </c>
      <c r="E628" s="5" t="s">
        <v>1338</v>
      </c>
      <c r="F628" s="5" t="s">
        <v>1336</v>
      </c>
      <c r="G628" s="3" t="s">
        <v>5248</v>
      </c>
      <c r="H628" s="6" t="s">
        <v>836</v>
      </c>
      <c r="I628" s="6" t="s">
        <v>111</v>
      </c>
      <c r="J628" s="6">
        <v>3</v>
      </c>
      <c r="K628" s="6">
        <v>257</v>
      </c>
      <c r="L628" s="7" t="s">
        <v>6178</v>
      </c>
      <c r="M628" s="8" t="str">
        <f>IF(Caja_Arequipa[[#This Row],[tipo_r]]="R","001-"&amp;12002+A628,M627)</f>
        <v>001-12530</v>
      </c>
      <c r="N628" s="8" t="str">
        <f t="shared" si="58"/>
        <v>PEN</v>
      </c>
      <c r="O628" s="3"/>
      <c r="P628" s="3">
        <v>4.7</v>
      </c>
      <c r="Q628" s="3">
        <f t="shared" si="59"/>
        <v>0</v>
      </c>
      <c r="R628" s="3">
        <f t="shared" si="60"/>
        <v>4.7</v>
      </c>
      <c r="S628" s="3">
        <f t="shared" si="50"/>
        <v>1994.899999999999</v>
      </c>
      <c r="T628" s="24" t="s">
        <v>1334</v>
      </c>
      <c r="U628" s="24" t="s">
        <v>1334</v>
      </c>
      <c r="V628" s="3"/>
      <c r="W628" s="25">
        <f>IFERROR(VLOOKUP(Caja_Arequipa[[#This Row],[destinatario]],CHOOSE({1,2},Clientes_Proveedores[Razon Social],Clientes_Proveedores[Ruc / Dni]),2,0),"")</f>
        <v>44468346</v>
      </c>
      <c r="X628" s="3"/>
      <c r="Y628" s="3"/>
      <c r="Z628" s="3"/>
      <c r="AA628" s="3"/>
      <c r="AB628" s="3" t="str">
        <f>IF(Caja_Arequipa[[#This Row],[fecha]]&gt;0,TEXT(Caja_Arequipa[[#This Row],[fecha]],"mmmm"),0)</f>
        <v>Julio</v>
      </c>
    </row>
    <row r="629" spans="1:28" ht="24" x14ac:dyDescent="0.3">
      <c r="A629" s="2">
        <f>IF(Caja_Arequipa[[#This Row],[tipo_r]]="R",COUNTIFS($C$1:$C628,"R")+1,A628)</f>
        <v>529</v>
      </c>
      <c r="B629" s="19" t="str">
        <f t="shared" si="57"/>
        <v>C-Tesoreria</v>
      </c>
      <c r="C629" s="3" t="s">
        <v>1330</v>
      </c>
      <c r="D629" s="14">
        <v>45855</v>
      </c>
      <c r="E629" s="5" t="s">
        <v>1338</v>
      </c>
      <c r="F629" s="5" t="s">
        <v>1336</v>
      </c>
      <c r="G629" s="3" t="s">
        <v>5380</v>
      </c>
      <c r="H629" s="6" t="s">
        <v>922</v>
      </c>
      <c r="I629" s="6" t="s">
        <v>111</v>
      </c>
      <c r="J629" s="6">
        <v>3</v>
      </c>
      <c r="K629" s="6">
        <v>259</v>
      </c>
      <c r="L629" s="7" t="s">
        <v>6179</v>
      </c>
      <c r="M629" s="8" t="str">
        <f>IF(Caja_Arequipa[[#This Row],[tipo_r]]="R","001-"&amp;12002+A629,M628)</f>
        <v>001-12531</v>
      </c>
      <c r="N629" s="8" t="str">
        <f t="shared" si="58"/>
        <v>PEN</v>
      </c>
      <c r="O629" s="3"/>
      <c r="P629" s="3">
        <v>8</v>
      </c>
      <c r="Q629" s="3">
        <f t="shared" si="59"/>
        <v>0</v>
      </c>
      <c r="R629" s="3">
        <f t="shared" si="60"/>
        <v>8</v>
      </c>
      <c r="S629" s="3">
        <f t="shared" si="50"/>
        <v>1986.899999999999</v>
      </c>
      <c r="T629" s="24" t="s">
        <v>1334</v>
      </c>
      <c r="U629" s="24" t="s">
        <v>1334</v>
      </c>
      <c r="V629" s="3"/>
      <c r="W629" s="25">
        <f>IFERROR(VLOOKUP(Caja_Arequipa[[#This Row],[destinatario]],CHOOSE({1,2},Clientes_Proveedores[Razon Social],Clientes_Proveedores[Ruc / Dni]),2,0),"")</f>
        <v>72537561</v>
      </c>
      <c r="X629" s="3"/>
      <c r="Y629" s="3"/>
      <c r="Z629" s="3"/>
      <c r="AA629" s="3"/>
      <c r="AB629" s="3" t="str">
        <f>IF(Caja_Arequipa[[#This Row],[fecha]]&gt;0,TEXT(Caja_Arequipa[[#This Row],[fecha]],"mmmm"),0)</f>
        <v>Julio</v>
      </c>
    </row>
    <row r="630" spans="1:28" ht="36" x14ac:dyDescent="0.3">
      <c r="A630" s="2">
        <f>IF(Caja_Arequipa[[#This Row],[tipo_r]]="R",COUNTIFS($C$1:$C629,"R")+1,A629)</f>
        <v>530</v>
      </c>
      <c r="B630" s="19" t="str">
        <f t="shared" ref="B630:B635" si="61">"C-Tesoreria"</f>
        <v>C-Tesoreria</v>
      </c>
      <c r="C630" s="3" t="s">
        <v>1330</v>
      </c>
      <c r="D630" s="14">
        <v>45856</v>
      </c>
      <c r="E630" s="5" t="s">
        <v>2269</v>
      </c>
      <c r="F630" s="5" t="s">
        <v>1336</v>
      </c>
      <c r="G630" s="3" t="s">
        <v>5380</v>
      </c>
      <c r="H630" s="6" t="s">
        <v>971</v>
      </c>
      <c r="I630" s="6" t="s">
        <v>68</v>
      </c>
      <c r="J630" s="6" t="s">
        <v>1376</v>
      </c>
      <c r="K630" s="6">
        <v>41</v>
      </c>
      <c r="L630" s="7" t="s">
        <v>5552</v>
      </c>
      <c r="M630" s="8" t="str">
        <f>IF(Caja_Arequipa[[#This Row],[tipo_r]]="R","001-"&amp;12002+A630,M629)</f>
        <v>001-12532</v>
      </c>
      <c r="N630" s="8" t="str">
        <f t="shared" si="58"/>
        <v>PEN</v>
      </c>
      <c r="O630" s="3"/>
      <c r="P630" s="3">
        <v>35</v>
      </c>
      <c r="Q630" s="3">
        <f t="shared" si="59"/>
        <v>0</v>
      </c>
      <c r="R630" s="3">
        <f t="shared" si="60"/>
        <v>35</v>
      </c>
      <c r="S630" s="3">
        <f t="shared" si="50"/>
        <v>1951.899999999999</v>
      </c>
      <c r="T630" s="24" t="s">
        <v>1334</v>
      </c>
      <c r="U630" s="24" t="s">
        <v>1334</v>
      </c>
      <c r="V630" s="3"/>
      <c r="W630" s="25">
        <f>IFERROR(VLOOKUP(Caja_Arequipa[[#This Row],[destinatario]],CHOOSE({1,2},Clientes_Proveedores[Razon Social],Clientes_Proveedores[Ruc / Dni]),2,0),"")</f>
        <v>20614269309</v>
      </c>
      <c r="X630" s="3"/>
      <c r="Y630" s="3"/>
      <c r="Z630" s="3"/>
      <c r="AA630" s="3"/>
      <c r="AB630" s="3" t="str">
        <f>IF(Caja_Arequipa[[#This Row],[fecha]]&gt;0,TEXT(Caja_Arequipa[[#This Row],[fecha]],"mmmm"),0)</f>
        <v>Julio</v>
      </c>
    </row>
    <row r="631" spans="1:28" x14ac:dyDescent="0.3">
      <c r="A631" s="2">
        <f>IF(Caja_Arequipa[[#This Row],[tipo_r]]="R",COUNTIFS($C$1:$C630,"R")+1,A630)</f>
        <v>531</v>
      </c>
      <c r="B631" s="19" t="str">
        <f t="shared" si="61"/>
        <v>C-Tesoreria</v>
      </c>
      <c r="C631" s="3" t="s">
        <v>1330</v>
      </c>
      <c r="D631" s="14">
        <v>45862</v>
      </c>
      <c r="E631" s="5" t="s">
        <v>2269</v>
      </c>
      <c r="F631" s="5" t="s">
        <v>1336</v>
      </c>
      <c r="G631" s="3" t="s">
        <v>5380</v>
      </c>
      <c r="H631" s="6"/>
      <c r="I631" s="6"/>
      <c r="J631" s="6"/>
      <c r="K631" s="6"/>
      <c r="L631" s="7" t="s">
        <v>6055</v>
      </c>
      <c r="M631" s="8" t="str">
        <f>IF(Caja_Arequipa[[#This Row],[tipo_r]]="R","001-"&amp;12002+A631,M630)</f>
        <v>001-12533</v>
      </c>
      <c r="N631" s="8" t="str">
        <f t="shared" si="58"/>
        <v>PEN</v>
      </c>
      <c r="O631" s="3"/>
      <c r="P631" s="3">
        <v>42</v>
      </c>
      <c r="Q631" s="3">
        <f t="shared" si="59"/>
        <v>0</v>
      </c>
      <c r="R631" s="3">
        <f t="shared" si="60"/>
        <v>42</v>
      </c>
      <c r="S631" s="3">
        <f t="shared" si="50"/>
        <v>1909.899999999999</v>
      </c>
      <c r="T631" s="24" t="s">
        <v>1334</v>
      </c>
      <c r="U631" s="24" t="s">
        <v>1334</v>
      </c>
      <c r="V631" s="3"/>
      <c r="W631" s="25" t="str">
        <f>IFERROR(VLOOKUP(Caja_Arequipa[[#This Row],[destinatario]],CHOOSE({1,2},Clientes_Proveedores[Razon Social],Clientes_Proveedores[Ruc / Dni]),2,0),"")</f>
        <v/>
      </c>
      <c r="X631" s="3"/>
      <c r="Y631" s="3"/>
      <c r="Z631" s="3"/>
      <c r="AA631" s="3"/>
      <c r="AB631" s="3" t="str">
        <f>IF(Caja_Arequipa[[#This Row],[fecha]]&gt;0,TEXT(Caja_Arequipa[[#This Row],[fecha]],"mmmm"),0)</f>
        <v>Julio</v>
      </c>
    </row>
    <row r="632" spans="1:28" ht="24" x14ac:dyDescent="0.3">
      <c r="A632" s="2">
        <f>IF(Caja_Arequipa[[#This Row],[tipo_r]]="R",COUNTIFS($C$1:$C631,"R")+1,A631)</f>
        <v>531</v>
      </c>
      <c r="B632" s="19" t="str">
        <f t="shared" si="61"/>
        <v>C-Tesoreria</v>
      </c>
      <c r="C632" s="3" t="s">
        <v>1352</v>
      </c>
      <c r="D632" s="14">
        <v>45862</v>
      </c>
      <c r="E632" s="5" t="s">
        <v>2269</v>
      </c>
      <c r="F632" s="5"/>
      <c r="G632" s="3"/>
      <c r="H632" s="6" t="s">
        <v>922</v>
      </c>
      <c r="I632" s="6" t="s">
        <v>111</v>
      </c>
      <c r="J632" s="6">
        <v>3</v>
      </c>
      <c r="K632" s="6">
        <v>260</v>
      </c>
      <c r="L632" s="7" t="s">
        <v>6055</v>
      </c>
      <c r="M632" s="8" t="str">
        <f>IF(Caja_Arequipa[[#This Row],[tipo_r]]="R","001-"&amp;12002+A632,M631)</f>
        <v>001-12533</v>
      </c>
      <c r="N632" s="8" t="str">
        <f t="shared" si="58"/>
        <v>PEN</v>
      </c>
      <c r="O632" s="3">
        <v>7</v>
      </c>
      <c r="P632" s="3"/>
      <c r="Q632" s="3">
        <f t="shared" si="59"/>
        <v>0</v>
      </c>
      <c r="R632" s="3">
        <f t="shared" si="60"/>
        <v>0</v>
      </c>
      <c r="S632" s="3">
        <f t="shared" si="50"/>
        <v>1909.899999999999</v>
      </c>
      <c r="T632" s="24" t="s">
        <v>1334</v>
      </c>
      <c r="U632" s="24" t="s">
        <v>1334</v>
      </c>
      <c r="V632" s="3"/>
      <c r="W632" s="25">
        <f>IFERROR(VLOOKUP(Caja_Arequipa[[#This Row],[destinatario]],CHOOSE({1,2},Clientes_Proveedores[Razon Social],Clientes_Proveedores[Ruc / Dni]),2,0),"")</f>
        <v>72537561</v>
      </c>
      <c r="X632" s="3"/>
      <c r="Y632" s="3"/>
      <c r="Z632" s="3"/>
      <c r="AA632" s="3"/>
      <c r="AB632" s="3" t="str">
        <f>IF(Caja_Arequipa[[#This Row],[fecha]]&gt;0,TEXT(Caja_Arequipa[[#This Row],[fecha]],"mmmm"),0)</f>
        <v>Julio</v>
      </c>
    </row>
    <row r="633" spans="1:28" ht="36" x14ac:dyDescent="0.3">
      <c r="A633" s="2">
        <f>IF(Caja_Arequipa[[#This Row],[tipo_r]]="R",COUNTIFS($C$1:$C632,"R")+1,A632)</f>
        <v>531</v>
      </c>
      <c r="B633" s="19" t="str">
        <f t="shared" si="61"/>
        <v>C-Tesoreria</v>
      </c>
      <c r="C633" s="3" t="s">
        <v>1352</v>
      </c>
      <c r="D633" s="14">
        <v>45862</v>
      </c>
      <c r="E633" s="5" t="s">
        <v>2269</v>
      </c>
      <c r="F633" s="5"/>
      <c r="G633" s="3"/>
      <c r="H633" s="6" t="s">
        <v>971</v>
      </c>
      <c r="I633" s="6" t="s">
        <v>68</v>
      </c>
      <c r="J633" s="6" t="s">
        <v>1376</v>
      </c>
      <c r="K633" s="6">
        <v>61</v>
      </c>
      <c r="L633" s="7" t="s">
        <v>6055</v>
      </c>
      <c r="M633" s="8" t="str">
        <f>IF(Caja_Arequipa[[#This Row],[tipo_r]]="R","001-"&amp;12002+A633,M632)</f>
        <v>001-12533</v>
      </c>
      <c r="N633" s="8" t="str">
        <f t="shared" si="58"/>
        <v>PEN</v>
      </c>
      <c r="O633" s="3">
        <v>35</v>
      </c>
      <c r="P633" s="3"/>
      <c r="Q633" s="3">
        <f t="shared" si="59"/>
        <v>0</v>
      </c>
      <c r="R633" s="3">
        <f t="shared" si="60"/>
        <v>0</v>
      </c>
      <c r="S633" s="3">
        <f t="shared" si="50"/>
        <v>1909.899999999999</v>
      </c>
      <c r="T633" s="24" t="s">
        <v>1334</v>
      </c>
      <c r="U633" s="24" t="s">
        <v>1334</v>
      </c>
      <c r="V633" s="3"/>
      <c r="W633" s="25">
        <f>IFERROR(VLOOKUP(Caja_Arequipa[[#This Row],[destinatario]],CHOOSE({1,2},Clientes_Proveedores[Razon Social],Clientes_Proveedores[Ruc / Dni]),2,0),"")</f>
        <v>20614269309</v>
      </c>
      <c r="X633" s="3"/>
      <c r="Y633" s="3"/>
      <c r="Z633" s="3"/>
      <c r="AA633" s="3"/>
      <c r="AB633" s="3" t="str">
        <f>IF(Caja_Arequipa[[#This Row],[fecha]]&gt;0,TEXT(Caja_Arequipa[[#This Row],[fecha]],"mmmm"),0)</f>
        <v>Julio</v>
      </c>
    </row>
    <row r="634" spans="1:28" ht="24" x14ac:dyDescent="0.3">
      <c r="A634" s="2">
        <f>IF(Caja_Arequipa[[#This Row],[tipo_r]]="R",COUNTIFS($C$1:$C633,"R")+1,A633)</f>
        <v>532</v>
      </c>
      <c r="B634" s="19" t="str">
        <f t="shared" si="61"/>
        <v>C-Tesoreria</v>
      </c>
      <c r="C634" s="3" t="s">
        <v>1330</v>
      </c>
      <c r="D634" s="14">
        <v>45862</v>
      </c>
      <c r="E634" s="5" t="s">
        <v>2269</v>
      </c>
      <c r="F634" s="5" t="s">
        <v>1336</v>
      </c>
      <c r="G634" s="3" t="s">
        <v>5317</v>
      </c>
      <c r="H634" s="6" t="s">
        <v>986</v>
      </c>
      <c r="I634" s="6" t="s">
        <v>75</v>
      </c>
      <c r="J634" s="6">
        <v>1</v>
      </c>
      <c r="K634" s="6">
        <v>187</v>
      </c>
      <c r="L634" s="7" t="s">
        <v>6180</v>
      </c>
      <c r="M634" s="8" t="str">
        <f>IF(Caja_Arequipa[[#This Row],[tipo_r]]="R","001-"&amp;12002+A634,M633)</f>
        <v>001-12534</v>
      </c>
      <c r="N634" s="8" t="str">
        <f>"PEN"</f>
        <v>PEN</v>
      </c>
      <c r="O634" s="3"/>
      <c r="P634" s="3">
        <v>55.5</v>
      </c>
      <c r="Q634" s="3">
        <f t="shared" ref="Q634:Q639" si="62">+IF(OR($F634="SALDO",$F634="INGRESO"),$P634,0)</f>
        <v>0</v>
      </c>
      <c r="R634" s="3">
        <f t="shared" ref="R634:R639" si="63">+IF($F634="EGRESO",$P634,0)</f>
        <v>55.5</v>
      </c>
      <c r="S634" s="3">
        <f t="shared" si="50"/>
        <v>1854.399999999999</v>
      </c>
      <c r="T634" s="24" t="s">
        <v>1334</v>
      </c>
      <c r="U634" s="24" t="s">
        <v>1334</v>
      </c>
      <c r="V634" s="3"/>
      <c r="W634" s="25">
        <f>IFERROR(VLOOKUP(Caja_Arequipa[[#This Row],[destinatario]],CHOOSE({1,2},Clientes_Proveedores[Razon Social],Clientes_Proveedores[Ruc / Dni]),2,0),"")</f>
        <v>10309622885</v>
      </c>
      <c r="X634" s="3"/>
      <c r="Y634" s="3"/>
      <c r="Z634" s="3"/>
      <c r="AA634" s="3"/>
      <c r="AB634" s="3" t="str">
        <f>IF(Caja_Arequipa[[#This Row],[fecha]]&gt;0,TEXT(Caja_Arequipa[[#This Row],[fecha]],"mmmm"),0)</f>
        <v>Julio</v>
      </c>
    </row>
    <row r="635" spans="1:28" x14ac:dyDescent="0.3">
      <c r="A635" s="2">
        <f>IF(Caja_Arequipa[[#This Row],[tipo_r]]="R",COUNTIFS($C$1:$C634,"R")+1,A634)</f>
        <v>533</v>
      </c>
      <c r="B635" s="19" t="str">
        <f t="shared" si="61"/>
        <v>C-Tesoreria</v>
      </c>
      <c r="C635" s="3" t="s">
        <v>1330</v>
      </c>
      <c r="D635" s="14">
        <v>45862</v>
      </c>
      <c r="E635" s="5" t="s">
        <v>1331</v>
      </c>
      <c r="F635" s="5" t="s">
        <v>1336</v>
      </c>
      <c r="G635" s="3" t="s">
        <v>3634</v>
      </c>
      <c r="H635" s="6"/>
      <c r="I635" s="6"/>
      <c r="J635" s="6"/>
      <c r="K635" s="6"/>
      <c r="L635" s="7" t="s">
        <v>5434</v>
      </c>
      <c r="M635" s="8" t="str">
        <f>IF(Caja_Arequipa[[#This Row],[tipo_r]]="R","001-"&amp;12002+A635,M634)</f>
        <v>001-12535</v>
      </c>
      <c r="N635" s="8" t="str">
        <f>"PEN"</f>
        <v>PEN</v>
      </c>
      <c r="O635" s="3"/>
      <c r="P635" s="3">
        <v>500</v>
      </c>
      <c r="Q635" s="3">
        <f t="shared" si="62"/>
        <v>0</v>
      </c>
      <c r="R635" s="3">
        <f t="shared" si="63"/>
        <v>500</v>
      </c>
      <c r="S635" s="3">
        <f t="shared" si="50"/>
        <v>1354.399999999999</v>
      </c>
      <c r="T635" s="24"/>
      <c r="U635" s="24"/>
      <c r="V635" s="3"/>
      <c r="W635" s="25" t="str">
        <f>IFERROR(VLOOKUP(Caja_Arequipa[[#This Row],[destinatario]],CHOOSE({1,2},Clientes_Proveedores[Razon Social],Clientes_Proveedores[Ruc / Dni]),2,0),"")</f>
        <v/>
      </c>
      <c r="X635" s="3"/>
      <c r="Y635" s="3"/>
      <c r="Z635" s="3"/>
      <c r="AA635" s="3"/>
      <c r="AB635" s="3" t="str">
        <f>IF(Caja_Arequipa[[#This Row],[fecha]]&gt;0,TEXT(Caja_Arequipa[[#This Row],[fecha]],"mmmm"),0)</f>
        <v>Julio</v>
      </c>
    </row>
    <row r="636" spans="1:28" x14ac:dyDescent="0.3">
      <c r="A636" s="2">
        <f>IF(Caja_Arequipa[[#This Row],[tipo_r]]="R",COUNTIFS($C$1:$C635,"R")+1,A635)</f>
        <v>534</v>
      </c>
      <c r="B636" s="19" t="str">
        <f t="shared" ref="B636:B641" si="64">"C-Tesoreria"</f>
        <v>C-Tesoreria</v>
      </c>
      <c r="C636" s="3" t="s">
        <v>1330</v>
      </c>
      <c r="D636" s="14">
        <v>45863</v>
      </c>
      <c r="E636" s="5" t="s">
        <v>1338</v>
      </c>
      <c r="F636" s="5" t="s">
        <v>1336</v>
      </c>
      <c r="G636" s="3" t="s">
        <v>5380</v>
      </c>
      <c r="H636" s="6"/>
      <c r="I636" s="6"/>
      <c r="J636" s="6"/>
      <c r="K636" s="6"/>
      <c r="L636" s="7" t="s">
        <v>6055</v>
      </c>
      <c r="M636" s="8" t="str">
        <f>IF(Caja_Arequipa[[#This Row],[tipo_r]]="R","001-"&amp;12002+A636,M635)</f>
        <v>001-12536</v>
      </c>
      <c r="N636" s="8" t="str">
        <f>"PEN"</f>
        <v>PEN</v>
      </c>
      <c r="O636" s="3"/>
      <c r="P636" s="3">
        <v>309</v>
      </c>
      <c r="Q636" s="3">
        <f t="shared" si="62"/>
        <v>0</v>
      </c>
      <c r="R636" s="3">
        <f t="shared" si="63"/>
        <v>309</v>
      </c>
      <c r="S636" s="3">
        <f t="shared" si="50"/>
        <v>1045.399999999999</v>
      </c>
      <c r="T636" s="24" t="s">
        <v>1334</v>
      </c>
      <c r="U636" s="24" t="s">
        <v>1334</v>
      </c>
      <c r="V636" s="3"/>
      <c r="W636" s="25" t="str">
        <f>IFERROR(VLOOKUP(Caja_Arequipa[[#This Row],[destinatario]],CHOOSE({1,2},Clientes_Proveedores[Razon Social],Clientes_Proveedores[Ruc / Dni]),2,0),"")</f>
        <v/>
      </c>
      <c r="X636" s="3"/>
      <c r="Y636" s="3"/>
      <c r="Z636" s="3"/>
      <c r="AA636" s="3"/>
      <c r="AB636" s="3" t="str">
        <f>IF(Caja_Arequipa[[#This Row],[fecha]]&gt;0,TEXT(Caja_Arequipa[[#This Row],[fecha]],"mmmm"),0)</f>
        <v>Julio</v>
      </c>
    </row>
    <row r="637" spans="1:28" ht="24" x14ac:dyDescent="0.3">
      <c r="A637" s="2">
        <f>IF(Caja_Arequipa[[#This Row],[tipo_r]]="R",COUNTIFS($C$1:$C636,"R")+1,A636)</f>
        <v>534</v>
      </c>
      <c r="B637" s="19" t="str">
        <f t="shared" si="64"/>
        <v>C-Tesoreria</v>
      </c>
      <c r="C637" s="3" t="s">
        <v>1352</v>
      </c>
      <c r="D637" s="14">
        <v>45863</v>
      </c>
      <c r="E637" s="5" t="s">
        <v>1338</v>
      </c>
      <c r="F637" s="5"/>
      <c r="G637" s="3"/>
      <c r="H637" s="6" t="s">
        <v>886</v>
      </c>
      <c r="I637" s="6" t="s">
        <v>111</v>
      </c>
      <c r="J637" s="6">
        <v>3</v>
      </c>
      <c r="K637" s="6">
        <v>263</v>
      </c>
      <c r="L637" s="7" t="s">
        <v>6055</v>
      </c>
      <c r="M637" s="8" t="str">
        <f>IF(Caja_Arequipa[[#This Row],[tipo_r]]="R","001-"&amp;12002+A637,M636)</f>
        <v>001-12536</v>
      </c>
      <c r="N637" s="8" t="str">
        <f>"PEN"</f>
        <v>PEN</v>
      </c>
      <c r="O637" s="3">
        <v>9</v>
      </c>
      <c r="P637" s="3"/>
      <c r="Q637" s="3">
        <f t="shared" si="62"/>
        <v>0</v>
      </c>
      <c r="R637" s="3">
        <f t="shared" si="63"/>
        <v>0</v>
      </c>
      <c r="S637" s="3">
        <f t="shared" si="50"/>
        <v>1045.399999999999</v>
      </c>
      <c r="T637" s="24" t="s">
        <v>1334</v>
      </c>
      <c r="U637" s="24" t="s">
        <v>1334</v>
      </c>
      <c r="V637" s="3"/>
      <c r="W637" s="25">
        <f>IFERROR(VLOOKUP(Caja_Arequipa[[#This Row],[destinatario]],CHOOSE({1,2},Clientes_Proveedores[Razon Social],Clientes_Proveedores[Ruc / Dni]),2,0),"")</f>
        <v>43691377</v>
      </c>
      <c r="X637" s="3"/>
      <c r="Y637" s="3"/>
      <c r="Z637" s="3"/>
      <c r="AA637" s="3"/>
      <c r="AB637" s="3" t="str">
        <f>IF(Caja_Arequipa[[#This Row],[fecha]]&gt;0,TEXT(Caja_Arequipa[[#This Row],[fecha]],"mmmm"),0)</f>
        <v>Julio</v>
      </c>
    </row>
    <row r="638" spans="1:28" ht="36" x14ac:dyDescent="0.3">
      <c r="A638" s="2">
        <f>IF(Caja_Arequipa[[#This Row],[tipo_r]]="R",COUNTIFS($C$1:$C637,"R")+1,A637)</f>
        <v>534</v>
      </c>
      <c r="B638" s="19" t="str">
        <f t="shared" si="64"/>
        <v>C-Tesoreria</v>
      </c>
      <c r="C638" s="3" t="s">
        <v>1352</v>
      </c>
      <c r="D638" s="14">
        <v>45863</v>
      </c>
      <c r="E638" s="5" t="s">
        <v>1338</v>
      </c>
      <c r="F638" s="5"/>
      <c r="G638" s="3"/>
      <c r="H638" s="6" t="s">
        <v>1027</v>
      </c>
      <c r="I638" s="6" t="s">
        <v>68</v>
      </c>
      <c r="J638" s="6" t="s">
        <v>1390</v>
      </c>
      <c r="K638" s="6">
        <v>4686</v>
      </c>
      <c r="L638" s="7" t="s">
        <v>6055</v>
      </c>
      <c r="M638" s="8" t="str">
        <f>IF(Caja_Arequipa[[#This Row],[tipo_r]]="R","001-"&amp;12002+A638,M637)</f>
        <v>001-12536</v>
      </c>
      <c r="N638" s="8" t="str">
        <f>"PEN"</f>
        <v>PEN</v>
      </c>
      <c r="O638" s="3">
        <v>300</v>
      </c>
      <c r="P638" s="3"/>
      <c r="Q638" s="3">
        <f t="shared" si="62"/>
        <v>0</v>
      </c>
      <c r="R638" s="3">
        <f t="shared" si="63"/>
        <v>0</v>
      </c>
      <c r="S638" s="3">
        <f t="shared" si="50"/>
        <v>1045.399999999999</v>
      </c>
      <c r="T638" s="24" t="s">
        <v>1334</v>
      </c>
      <c r="U638" s="24" t="s">
        <v>1334</v>
      </c>
      <c r="V638" s="3"/>
      <c r="W638" s="25">
        <f>IFERROR(VLOOKUP(Caja_Arequipa[[#This Row],[destinatario]],CHOOSE({1,2},Clientes_Proveedores[Razon Social],Clientes_Proveedores[Ruc / Dni]),2,0),"")</f>
        <v>20434848262</v>
      </c>
      <c r="X638" s="3"/>
      <c r="Y638" s="3"/>
      <c r="Z638" s="3"/>
      <c r="AA638" s="3"/>
      <c r="AB638" s="3" t="str">
        <f>IF(Caja_Arequipa[[#This Row],[fecha]]&gt;0,TEXT(Caja_Arequipa[[#This Row],[fecha]],"mmmm"),0)</f>
        <v>Julio</v>
      </c>
    </row>
    <row r="639" spans="1:28" x14ac:dyDescent="0.3">
      <c r="A639" s="2">
        <f>IF(Caja_Arequipa[[#This Row],[tipo_r]]="R",COUNTIFS($C$1:$C638,"R")+1,A638)</f>
        <v>535</v>
      </c>
      <c r="B639" s="19" t="str">
        <f t="shared" si="64"/>
        <v>C-Tesoreria</v>
      </c>
      <c r="C639" s="3" t="s">
        <v>1330</v>
      </c>
      <c r="D639" s="14">
        <v>45868</v>
      </c>
      <c r="E639" s="5" t="s">
        <v>1338</v>
      </c>
      <c r="F639" s="5" t="s">
        <v>1336</v>
      </c>
      <c r="G639" s="3" t="s">
        <v>5280</v>
      </c>
      <c r="H639" s="6"/>
      <c r="I639" s="6"/>
      <c r="J639" s="6"/>
      <c r="K639" s="6"/>
      <c r="L639" s="7" t="s">
        <v>6055</v>
      </c>
      <c r="M639" s="8" t="str">
        <f>IF(Caja_Arequipa[[#This Row],[tipo_r]]="R","001-"&amp;12002+A639,M638)</f>
        <v>001-12537</v>
      </c>
      <c r="N639" s="8"/>
      <c r="O639" s="3"/>
      <c r="P639" s="3">
        <v>158.9</v>
      </c>
      <c r="Q639" s="3">
        <f t="shared" si="62"/>
        <v>0</v>
      </c>
      <c r="R639" s="3">
        <f t="shared" si="63"/>
        <v>158.9</v>
      </c>
      <c r="S639" s="3">
        <f t="shared" si="50"/>
        <v>886.49999999999898</v>
      </c>
      <c r="T639" s="24" t="s">
        <v>1334</v>
      </c>
      <c r="U639" s="24"/>
      <c r="V639" s="3"/>
      <c r="W639" s="25" t="str">
        <f>IFERROR(VLOOKUP(Caja_Arequipa[[#This Row],[destinatario]],CHOOSE({1,2},Clientes_Proveedores[Razon Social],Clientes_Proveedores[Ruc / Dni]),2,0),"")</f>
        <v/>
      </c>
      <c r="X639" s="3"/>
      <c r="Y639" s="3"/>
      <c r="Z639" s="3"/>
      <c r="AA639" s="3"/>
      <c r="AB639" s="3" t="str">
        <f>IF(Caja_Arequipa[[#This Row],[fecha]]&gt;0,TEXT(Caja_Arequipa[[#This Row],[fecha]],"mmmm"),0)</f>
        <v>Julio</v>
      </c>
    </row>
    <row r="640" spans="1:28" ht="24" x14ac:dyDescent="0.3">
      <c r="A640" s="2">
        <f>IF(Caja_Arequipa[[#This Row],[tipo_r]]="R",COUNTIFS($C$1:$C639,"R")+1,A639)</f>
        <v>535</v>
      </c>
      <c r="B640" s="19" t="str">
        <f t="shared" si="64"/>
        <v>C-Tesoreria</v>
      </c>
      <c r="C640" s="3" t="s">
        <v>1352</v>
      </c>
      <c r="D640" s="14">
        <v>45868</v>
      </c>
      <c r="E640" s="5" t="s">
        <v>1338</v>
      </c>
      <c r="F640" s="5"/>
      <c r="G640" s="3" t="s">
        <v>5280</v>
      </c>
      <c r="H640" s="6" t="s">
        <v>933</v>
      </c>
      <c r="I640" s="6" t="s">
        <v>111</v>
      </c>
      <c r="J640" s="6">
        <v>3</v>
      </c>
      <c r="K640" s="6">
        <v>264</v>
      </c>
      <c r="L640" s="7" t="s">
        <v>6055</v>
      </c>
      <c r="M640" s="8" t="str">
        <f>IF(Caja_Arequipa[[#This Row],[tipo_r]]="R","001-"&amp;12002+A640,M639)</f>
        <v>001-12537</v>
      </c>
      <c r="N640" s="8" t="str">
        <f t="shared" ref="N640:N658" si="65">"PEN"</f>
        <v>PEN</v>
      </c>
      <c r="O640" s="3">
        <v>110</v>
      </c>
      <c r="P640" s="3"/>
      <c r="Q640" s="3">
        <f t="shared" ref="Q640:Q658" si="66">+IF(OR($F640="SALDO",$F640="INGRESO"),$P640,0)</f>
        <v>0</v>
      </c>
      <c r="R640" s="3">
        <f t="shared" ref="R640:R658" si="67">+IF($F640="EGRESO",$P640,0)</f>
        <v>0</v>
      </c>
      <c r="S640" s="3">
        <f t="shared" si="50"/>
        <v>886.49999999999898</v>
      </c>
      <c r="T640" s="24" t="s">
        <v>1334</v>
      </c>
      <c r="U640" s="24"/>
      <c r="V640" s="3"/>
      <c r="W640" s="25">
        <f>IFERROR(VLOOKUP(Caja_Arequipa[[#This Row],[destinatario]],CHOOSE({1,2},Clientes_Proveedores[Razon Social],Clientes_Proveedores[Ruc / Dni]),2,0),"")</f>
        <v>73195103</v>
      </c>
      <c r="X640" s="3"/>
      <c r="Y640" s="3"/>
      <c r="Z640" s="3"/>
      <c r="AA640" s="3"/>
      <c r="AB640" s="3" t="str">
        <f>IF(Caja_Arequipa[[#This Row],[fecha]]&gt;0,TEXT(Caja_Arequipa[[#This Row],[fecha]],"mmmm"),0)</f>
        <v>Julio</v>
      </c>
    </row>
    <row r="641" spans="1:28" ht="24" x14ac:dyDescent="0.3">
      <c r="A641" s="2">
        <f>IF(Caja_Arequipa[[#This Row],[tipo_r]]="R",COUNTIFS($C$1:$C640,"R")+1,A640)</f>
        <v>535</v>
      </c>
      <c r="B641" s="19" t="str">
        <f t="shared" si="64"/>
        <v>C-Tesoreria</v>
      </c>
      <c r="C641" s="3" t="s">
        <v>1352</v>
      </c>
      <c r="D641" s="14">
        <v>45868</v>
      </c>
      <c r="E641" s="5" t="s">
        <v>1338</v>
      </c>
      <c r="F641" s="5"/>
      <c r="G641" s="3" t="s">
        <v>5280</v>
      </c>
      <c r="H641" s="6" t="s">
        <v>974</v>
      </c>
      <c r="I641" s="6" t="s">
        <v>68</v>
      </c>
      <c r="J641" s="6" t="s">
        <v>5917</v>
      </c>
      <c r="K641" s="6">
        <v>5391</v>
      </c>
      <c r="L641" s="7" t="s">
        <v>6055</v>
      </c>
      <c r="M641" s="8" t="str">
        <f>IF(Caja_Arequipa[[#This Row],[tipo_r]]="R","001-"&amp;12002+A641,M640)</f>
        <v>001-12537</v>
      </c>
      <c r="N641" s="8" t="str">
        <f t="shared" si="65"/>
        <v>PEN</v>
      </c>
      <c r="O641" s="3">
        <v>48.9</v>
      </c>
      <c r="P641" s="3"/>
      <c r="Q641" s="3">
        <f t="shared" si="66"/>
        <v>0</v>
      </c>
      <c r="R641" s="3">
        <f t="shared" si="67"/>
        <v>0</v>
      </c>
      <c r="S641" s="3">
        <f t="shared" si="50"/>
        <v>886.49999999999898</v>
      </c>
      <c r="T641" s="24" t="s">
        <v>1334</v>
      </c>
      <c r="U641" s="24"/>
      <c r="V641" s="3"/>
      <c r="W641" s="25">
        <f>IFERROR(VLOOKUP(Caja_Arequipa[[#This Row],[destinatario]],CHOOSE({1,2},Clientes_Proveedores[Razon Social],Clientes_Proveedores[Ruc / Dni]),2,0),"")</f>
        <v>20558053691</v>
      </c>
      <c r="X641" s="3"/>
      <c r="Y641" s="3"/>
      <c r="Z641" s="3"/>
      <c r="AA641" s="3"/>
      <c r="AB641" s="3" t="str">
        <f>IF(Caja_Arequipa[[#This Row],[fecha]]&gt;0,TEXT(Caja_Arequipa[[#This Row],[fecha]],"mmmm"),0)</f>
        <v>Julio</v>
      </c>
    </row>
    <row r="642" spans="1:28" ht="24" x14ac:dyDescent="0.3">
      <c r="A642" s="2">
        <f>IF(Caja_Arequipa[[#This Row],[tipo_r]]="R",COUNTIFS($C$1:$C641,"R")+1,A641)</f>
        <v>536</v>
      </c>
      <c r="B642" s="19" t="str">
        <f>"C-Tesoreria"</f>
        <v>C-Tesoreria</v>
      </c>
      <c r="C642" s="3" t="s">
        <v>1330</v>
      </c>
      <c r="D642" s="14">
        <v>45868</v>
      </c>
      <c r="E642" s="5" t="s">
        <v>1338</v>
      </c>
      <c r="F642" s="5" t="s">
        <v>1336</v>
      </c>
      <c r="G642" s="3" t="s">
        <v>4788</v>
      </c>
      <c r="H642" s="6" t="s">
        <v>967</v>
      </c>
      <c r="I642" s="6" t="s">
        <v>111</v>
      </c>
      <c r="J642" s="6">
        <v>3</v>
      </c>
      <c r="K642" s="6">
        <v>266</v>
      </c>
      <c r="L642" s="7" t="s">
        <v>6181</v>
      </c>
      <c r="M642" s="8" t="str">
        <f>IF(Caja_Arequipa[[#This Row],[tipo_r]]="R","001-"&amp;12002+A642,M641)</f>
        <v>001-12538</v>
      </c>
      <c r="N642" s="8" t="str">
        <f>"PEN"</f>
        <v>PEN</v>
      </c>
      <c r="O642" s="3"/>
      <c r="P642" s="3">
        <v>30</v>
      </c>
      <c r="Q642" s="3">
        <f>+IF(OR($F642="SALDO",$F642="INGRESO"),$P642,0)</f>
        <v>0</v>
      </c>
      <c r="R642" s="3">
        <f>+IF($F642="EGRESO",$P642,0)</f>
        <v>30</v>
      </c>
      <c r="S642" s="3">
        <f t="shared" ref="S642:S705" si="68">IFERROR(IF(F642="SALDO",Q642,S641+Q642-R642),0)</f>
        <v>856.49999999999898</v>
      </c>
      <c r="T642" s="24" t="s">
        <v>1334</v>
      </c>
      <c r="U642" s="24" t="s">
        <v>1334</v>
      </c>
      <c r="V642" s="3"/>
      <c r="W642" s="25">
        <f>IFERROR(VLOOKUP(Caja_Arequipa[[#This Row],[destinatario]],CHOOSE({1,2},Clientes_Proveedores[Razon Social],Clientes_Proveedores[Ruc / Dni]),2,0),"")</f>
        <v>70517150</v>
      </c>
      <c r="X642" s="3"/>
      <c r="Y642" s="3"/>
      <c r="Z642" s="3"/>
      <c r="AA642" s="3"/>
      <c r="AB642" s="3" t="str">
        <f>IF(Caja_Arequipa[[#This Row],[fecha]]&gt;0,TEXT(Caja_Arequipa[[#This Row],[fecha]],"mmmm"),0)</f>
        <v>Julio</v>
      </c>
    </row>
    <row r="643" spans="1:28" ht="24" x14ac:dyDescent="0.3">
      <c r="A643" s="2">
        <f>IF(Caja_Arequipa[[#This Row],[tipo_r]]="R",COUNTIFS($C$1:$C642,"R")+1,A642)</f>
        <v>537</v>
      </c>
      <c r="B643" s="19" t="str">
        <f t="shared" ref="B643:B658" si="69">"C-Tesoreria"</f>
        <v>C-Tesoreria</v>
      </c>
      <c r="C643" s="3" t="s">
        <v>1330</v>
      </c>
      <c r="D643" s="14">
        <v>45869</v>
      </c>
      <c r="E643" s="5" t="s">
        <v>1338</v>
      </c>
      <c r="F643" s="5" t="s">
        <v>1336</v>
      </c>
      <c r="G643" s="3" t="s">
        <v>5259</v>
      </c>
      <c r="H643" s="6" t="s">
        <v>692</v>
      </c>
      <c r="I643" s="6" t="s">
        <v>111</v>
      </c>
      <c r="J643" s="6">
        <v>3</v>
      </c>
      <c r="K643" s="6">
        <v>267</v>
      </c>
      <c r="L643" s="7" t="s">
        <v>6127</v>
      </c>
      <c r="M643" s="8" t="str">
        <f>IF(Caja_Arequipa[[#This Row],[tipo_r]]="R","001-"&amp;12002+A643,M642)</f>
        <v>001-12539</v>
      </c>
      <c r="N643" s="8" t="str">
        <f t="shared" si="65"/>
        <v>PEN</v>
      </c>
      <c r="O643" s="3"/>
      <c r="P643" s="3">
        <v>13</v>
      </c>
      <c r="Q643" s="3">
        <f t="shared" si="66"/>
        <v>0</v>
      </c>
      <c r="R643" s="3">
        <f t="shared" si="67"/>
        <v>13</v>
      </c>
      <c r="S643" s="3">
        <f t="shared" si="68"/>
        <v>843.49999999999898</v>
      </c>
      <c r="T643" s="24" t="s">
        <v>1334</v>
      </c>
      <c r="U643" s="24" t="s">
        <v>1334</v>
      </c>
      <c r="V643" s="3"/>
      <c r="W643" s="25">
        <f>IFERROR(VLOOKUP(Caja_Arequipa[[#This Row],[destinatario]],CHOOSE({1,2},Clientes_Proveedores[Razon Social],Clientes_Proveedores[Ruc / Dni]),2,0),"")</f>
        <v>10736055631</v>
      </c>
      <c r="X643" s="3"/>
      <c r="Y643" s="3"/>
      <c r="Z643" s="3"/>
      <c r="AA643" s="3"/>
      <c r="AB643" s="3" t="str">
        <f>IF(Caja_Arequipa[[#This Row],[fecha]]&gt;0,TEXT(Caja_Arequipa[[#This Row],[fecha]],"mmmm"),0)</f>
        <v>Julio</v>
      </c>
    </row>
    <row r="644" spans="1:28" ht="24" x14ac:dyDescent="0.3">
      <c r="A644" s="2">
        <f>IF(Caja_Arequipa[[#This Row],[tipo_r]]="R",COUNTIFS($C$1:$C643,"R")+1,A643)</f>
        <v>538</v>
      </c>
      <c r="B644" s="19" t="str">
        <f t="shared" si="69"/>
        <v>C-Tesoreria</v>
      </c>
      <c r="C644" s="3" t="s">
        <v>1330</v>
      </c>
      <c r="D644" s="14">
        <v>45869</v>
      </c>
      <c r="E644" s="5" t="s">
        <v>1338</v>
      </c>
      <c r="F644" s="5" t="s">
        <v>1336</v>
      </c>
      <c r="G644" s="3" t="s">
        <v>5259</v>
      </c>
      <c r="H644" s="6" t="s">
        <v>692</v>
      </c>
      <c r="I644" s="6" t="s">
        <v>111</v>
      </c>
      <c r="J644" s="6">
        <v>3</v>
      </c>
      <c r="K644" s="6">
        <v>268</v>
      </c>
      <c r="L644" s="7" t="s">
        <v>6182</v>
      </c>
      <c r="M644" s="8" t="str">
        <f>IF(Caja_Arequipa[[#This Row],[tipo_r]]="R","001-"&amp;12002+A644,M643)</f>
        <v>001-12540</v>
      </c>
      <c r="N644" s="8" t="str">
        <f t="shared" si="65"/>
        <v>PEN</v>
      </c>
      <c r="O644" s="3"/>
      <c r="P644" s="3">
        <v>18</v>
      </c>
      <c r="Q644" s="3">
        <f t="shared" si="66"/>
        <v>0</v>
      </c>
      <c r="R644" s="3">
        <f t="shared" si="67"/>
        <v>18</v>
      </c>
      <c r="S644" s="3">
        <f t="shared" si="68"/>
        <v>825.49999999999898</v>
      </c>
      <c r="T644" s="24" t="s">
        <v>1334</v>
      </c>
      <c r="U644" s="24" t="s">
        <v>1334</v>
      </c>
      <c r="V644" s="3"/>
      <c r="W644" s="25">
        <f>IFERROR(VLOOKUP(Caja_Arequipa[[#This Row],[destinatario]],CHOOSE({1,2},Clientes_Proveedores[Razon Social],Clientes_Proveedores[Ruc / Dni]),2,0),"")</f>
        <v>10736055631</v>
      </c>
      <c r="X644" s="3"/>
      <c r="Y644" s="3"/>
      <c r="Z644" s="3"/>
      <c r="AA644" s="3"/>
      <c r="AB644" s="3" t="str">
        <f>IF(Caja_Arequipa[[#This Row],[fecha]]&gt;0,TEXT(Caja_Arequipa[[#This Row],[fecha]],"mmmm"),0)</f>
        <v>Julio</v>
      </c>
    </row>
    <row r="645" spans="1:28" ht="24" x14ac:dyDescent="0.3">
      <c r="A645" s="2">
        <f>IF(Caja_Arequipa[[#This Row],[tipo_r]]="R",COUNTIFS($C$1:$C644,"R")+1,A644)</f>
        <v>539</v>
      </c>
      <c r="B645" s="19" t="str">
        <f t="shared" si="69"/>
        <v>C-Tesoreria</v>
      </c>
      <c r="C645" s="3" t="s">
        <v>1330</v>
      </c>
      <c r="D645" s="14">
        <v>45869</v>
      </c>
      <c r="E645" s="5" t="s">
        <v>1338</v>
      </c>
      <c r="F645" s="5" t="s">
        <v>1336</v>
      </c>
      <c r="G645" s="3" t="s">
        <v>5259</v>
      </c>
      <c r="H645" s="6" t="s">
        <v>692</v>
      </c>
      <c r="I645" s="6" t="s">
        <v>111</v>
      </c>
      <c r="J645" s="6">
        <v>3</v>
      </c>
      <c r="K645" s="6">
        <v>269</v>
      </c>
      <c r="L645" s="7" t="s">
        <v>6183</v>
      </c>
      <c r="M645" s="8" t="str">
        <f>IF(Caja_Arequipa[[#This Row],[tipo_r]]="R","001-"&amp;12002+A645,M644)</f>
        <v>001-12541</v>
      </c>
      <c r="N645" s="8" t="str">
        <f t="shared" si="65"/>
        <v>PEN</v>
      </c>
      <c r="O645" s="3"/>
      <c r="P645" s="3">
        <v>10</v>
      </c>
      <c r="Q645" s="3">
        <f t="shared" si="66"/>
        <v>0</v>
      </c>
      <c r="R645" s="3">
        <f t="shared" si="67"/>
        <v>10</v>
      </c>
      <c r="S645" s="3">
        <f t="shared" si="68"/>
        <v>815.49999999999898</v>
      </c>
      <c r="T645" s="24" t="s">
        <v>1334</v>
      </c>
      <c r="U645" s="24" t="s">
        <v>1334</v>
      </c>
      <c r="V645" s="3"/>
      <c r="W645" s="25">
        <f>IFERROR(VLOOKUP(Caja_Arequipa[[#This Row],[destinatario]],CHOOSE({1,2},Clientes_Proveedores[Razon Social],Clientes_Proveedores[Ruc / Dni]),2,0),"")</f>
        <v>10736055631</v>
      </c>
      <c r="X645" s="3"/>
      <c r="Y645" s="3"/>
      <c r="Z645" s="3"/>
      <c r="AA645" s="3"/>
      <c r="AB645" s="3" t="str">
        <f>IF(Caja_Arequipa[[#This Row],[fecha]]&gt;0,TEXT(Caja_Arequipa[[#This Row],[fecha]],"mmmm"),0)</f>
        <v>Julio</v>
      </c>
    </row>
    <row r="646" spans="1:28" ht="24" x14ac:dyDescent="0.3">
      <c r="A646" s="2">
        <f>IF(Caja_Arequipa[[#This Row],[tipo_r]]="R",COUNTIFS($C$1:$C645,"R")+1,A645)</f>
        <v>540</v>
      </c>
      <c r="B646" s="19" t="str">
        <f t="shared" si="69"/>
        <v>C-Tesoreria</v>
      </c>
      <c r="C646" s="3" t="s">
        <v>1330</v>
      </c>
      <c r="D646" s="14">
        <v>45869</v>
      </c>
      <c r="E646" s="5" t="s">
        <v>1338</v>
      </c>
      <c r="F646" s="5" t="s">
        <v>1336</v>
      </c>
      <c r="G646" s="3" t="s">
        <v>5259</v>
      </c>
      <c r="H646" s="6" t="s">
        <v>692</v>
      </c>
      <c r="I646" s="6" t="s">
        <v>111</v>
      </c>
      <c r="J646" s="6">
        <v>3</v>
      </c>
      <c r="K646" s="6">
        <v>270</v>
      </c>
      <c r="L646" s="7" t="s">
        <v>6184</v>
      </c>
      <c r="M646" s="8" t="str">
        <f>IF(Caja_Arequipa[[#This Row],[tipo_r]]="R","001-"&amp;12002+A646,M645)</f>
        <v>001-12542</v>
      </c>
      <c r="N646" s="8" t="str">
        <f t="shared" si="65"/>
        <v>PEN</v>
      </c>
      <c r="O646" s="3"/>
      <c r="P646" s="3">
        <v>15</v>
      </c>
      <c r="Q646" s="3">
        <f t="shared" si="66"/>
        <v>0</v>
      </c>
      <c r="R646" s="3">
        <f t="shared" si="67"/>
        <v>15</v>
      </c>
      <c r="S646" s="3">
        <f t="shared" si="68"/>
        <v>800.49999999999898</v>
      </c>
      <c r="T646" s="24" t="s">
        <v>1334</v>
      </c>
      <c r="U646" s="24" t="s">
        <v>1334</v>
      </c>
      <c r="V646" s="3"/>
      <c r="W646" s="25">
        <f>IFERROR(VLOOKUP(Caja_Arequipa[[#This Row],[destinatario]],CHOOSE({1,2},Clientes_Proveedores[Razon Social],Clientes_Proveedores[Ruc / Dni]),2,0),"")</f>
        <v>10736055631</v>
      </c>
      <c r="X646" s="3"/>
      <c r="Y646" s="3"/>
      <c r="Z646" s="3"/>
      <c r="AA646" s="3"/>
      <c r="AB646" s="3" t="str">
        <f>IF(Caja_Arequipa[[#This Row],[fecha]]&gt;0,TEXT(Caja_Arequipa[[#This Row],[fecha]],"mmmm"),0)</f>
        <v>Julio</v>
      </c>
    </row>
    <row r="647" spans="1:28" ht="24" x14ac:dyDescent="0.3">
      <c r="A647" s="2">
        <f>IF(Caja_Arequipa[[#This Row],[tipo_r]]="R",COUNTIFS($C$1:$C646,"R")+1,A646)</f>
        <v>541</v>
      </c>
      <c r="B647" s="19" t="str">
        <f t="shared" si="69"/>
        <v>C-Tesoreria</v>
      </c>
      <c r="C647" s="3" t="s">
        <v>1330</v>
      </c>
      <c r="D647" s="14">
        <v>45869</v>
      </c>
      <c r="E647" s="5" t="s">
        <v>1338</v>
      </c>
      <c r="F647" s="5" t="s">
        <v>1336</v>
      </c>
      <c r="G647" s="3" t="s">
        <v>5259</v>
      </c>
      <c r="H647" s="6" t="s">
        <v>692</v>
      </c>
      <c r="I647" s="6" t="s">
        <v>111</v>
      </c>
      <c r="J647" s="6">
        <v>3</v>
      </c>
      <c r="K647" s="6">
        <v>271</v>
      </c>
      <c r="L647" s="7" t="s">
        <v>6156</v>
      </c>
      <c r="M647" s="8" t="str">
        <f>IF(Caja_Arequipa[[#This Row],[tipo_r]]="R","001-"&amp;12002+A647,M646)</f>
        <v>001-12543</v>
      </c>
      <c r="N647" s="8" t="str">
        <f t="shared" si="65"/>
        <v>PEN</v>
      </c>
      <c r="O647" s="3"/>
      <c r="P647" s="3">
        <v>15</v>
      </c>
      <c r="Q647" s="3">
        <f t="shared" si="66"/>
        <v>0</v>
      </c>
      <c r="R647" s="3">
        <f t="shared" si="67"/>
        <v>15</v>
      </c>
      <c r="S647" s="3">
        <f t="shared" si="68"/>
        <v>785.49999999999898</v>
      </c>
      <c r="T647" s="24" t="s">
        <v>1334</v>
      </c>
      <c r="U647" s="24" t="s">
        <v>1334</v>
      </c>
      <c r="V647" s="3"/>
      <c r="W647" s="25">
        <f>IFERROR(VLOOKUP(Caja_Arequipa[[#This Row],[destinatario]],CHOOSE({1,2},Clientes_Proveedores[Razon Social],Clientes_Proveedores[Ruc / Dni]),2,0),"")</f>
        <v>10736055631</v>
      </c>
      <c r="X647" s="3"/>
      <c r="Y647" s="3"/>
      <c r="Z647" s="3"/>
      <c r="AA647" s="3"/>
      <c r="AB647" s="3" t="str">
        <f>IF(Caja_Arequipa[[#This Row],[fecha]]&gt;0,TEXT(Caja_Arequipa[[#This Row],[fecha]],"mmmm"),0)</f>
        <v>Julio</v>
      </c>
    </row>
    <row r="648" spans="1:28" ht="24" x14ac:dyDescent="0.3">
      <c r="A648" s="2">
        <f>IF(Caja_Arequipa[[#This Row],[tipo_r]]="R",COUNTIFS($C$1:$C647,"R")+1,A647)</f>
        <v>542</v>
      </c>
      <c r="B648" s="19" t="str">
        <f t="shared" si="69"/>
        <v>C-Tesoreria</v>
      </c>
      <c r="C648" s="3" t="s">
        <v>1330</v>
      </c>
      <c r="D648" s="14">
        <v>45869</v>
      </c>
      <c r="E648" s="5" t="s">
        <v>1338</v>
      </c>
      <c r="F648" s="5" t="s">
        <v>1336</v>
      </c>
      <c r="G648" s="3" t="s">
        <v>5259</v>
      </c>
      <c r="H648" s="6" t="s">
        <v>692</v>
      </c>
      <c r="I648" s="6" t="s">
        <v>111</v>
      </c>
      <c r="J648" s="6">
        <v>3</v>
      </c>
      <c r="K648" s="6">
        <v>272</v>
      </c>
      <c r="L648" s="7" t="s">
        <v>6162</v>
      </c>
      <c r="M648" s="8" t="str">
        <f>IF(Caja_Arequipa[[#This Row],[tipo_r]]="R","001-"&amp;12002+A648,M647)</f>
        <v>001-12544</v>
      </c>
      <c r="N648" s="8" t="str">
        <f t="shared" si="65"/>
        <v>PEN</v>
      </c>
      <c r="O648" s="3"/>
      <c r="P648" s="3">
        <v>37</v>
      </c>
      <c r="Q648" s="3">
        <f t="shared" si="66"/>
        <v>0</v>
      </c>
      <c r="R648" s="3">
        <f t="shared" si="67"/>
        <v>37</v>
      </c>
      <c r="S648" s="3">
        <f t="shared" si="68"/>
        <v>748.49999999999898</v>
      </c>
      <c r="T648" s="24" t="s">
        <v>1334</v>
      </c>
      <c r="U648" s="24" t="s">
        <v>1334</v>
      </c>
      <c r="V648" s="3"/>
      <c r="W648" s="25">
        <f>IFERROR(VLOOKUP(Caja_Arequipa[[#This Row],[destinatario]],CHOOSE({1,2},Clientes_Proveedores[Razon Social],Clientes_Proveedores[Ruc / Dni]),2,0),"")</f>
        <v>10736055631</v>
      </c>
      <c r="X648" s="3"/>
      <c r="Y648" s="3"/>
      <c r="Z648" s="3"/>
      <c r="AA648" s="3"/>
      <c r="AB648" s="3" t="str">
        <f>IF(Caja_Arequipa[[#This Row],[fecha]]&gt;0,TEXT(Caja_Arequipa[[#This Row],[fecha]],"mmmm"),0)</f>
        <v>Julio</v>
      </c>
    </row>
    <row r="649" spans="1:28" ht="24" x14ac:dyDescent="0.3">
      <c r="A649" s="2">
        <f>IF(Caja_Arequipa[[#This Row],[tipo_r]]="R",COUNTIFS($C$1:$C648,"R")+1,A648)</f>
        <v>543</v>
      </c>
      <c r="B649" s="19" t="str">
        <f t="shared" si="69"/>
        <v>C-Tesoreria</v>
      </c>
      <c r="C649" s="3" t="s">
        <v>1330</v>
      </c>
      <c r="D649" s="14">
        <v>45869</v>
      </c>
      <c r="E649" s="5" t="s">
        <v>1338</v>
      </c>
      <c r="F649" s="5" t="s">
        <v>1336</v>
      </c>
      <c r="G649" s="3" t="s">
        <v>5259</v>
      </c>
      <c r="H649" s="6" t="s">
        <v>692</v>
      </c>
      <c r="I649" s="6" t="s">
        <v>111</v>
      </c>
      <c r="J649" s="6">
        <v>3</v>
      </c>
      <c r="K649" s="6">
        <v>273</v>
      </c>
      <c r="L649" s="7" t="s">
        <v>6185</v>
      </c>
      <c r="M649" s="8" t="str">
        <f>IF(Caja_Arequipa[[#This Row],[tipo_r]]="R","001-"&amp;12002+A649,M648)</f>
        <v>001-12545</v>
      </c>
      <c r="N649" s="8" t="str">
        <f t="shared" si="65"/>
        <v>PEN</v>
      </c>
      <c r="O649" s="3"/>
      <c r="P649" s="3">
        <v>24</v>
      </c>
      <c r="Q649" s="3">
        <f t="shared" si="66"/>
        <v>0</v>
      </c>
      <c r="R649" s="3">
        <f t="shared" si="67"/>
        <v>24</v>
      </c>
      <c r="S649" s="3">
        <f t="shared" si="68"/>
        <v>724.49999999999898</v>
      </c>
      <c r="T649" s="24" t="s">
        <v>1334</v>
      </c>
      <c r="U649" s="24" t="s">
        <v>1334</v>
      </c>
      <c r="V649" s="3"/>
      <c r="W649" s="25">
        <f>IFERROR(VLOOKUP(Caja_Arequipa[[#This Row],[destinatario]],CHOOSE({1,2},Clientes_Proveedores[Razon Social],Clientes_Proveedores[Ruc / Dni]),2,0),"")</f>
        <v>10736055631</v>
      </c>
      <c r="X649" s="3"/>
      <c r="Y649" s="3"/>
      <c r="Z649" s="3"/>
      <c r="AA649" s="3"/>
      <c r="AB649" s="3" t="str">
        <f>IF(Caja_Arequipa[[#This Row],[fecha]]&gt;0,TEXT(Caja_Arequipa[[#This Row],[fecha]],"mmmm"),0)</f>
        <v>Julio</v>
      </c>
    </row>
    <row r="650" spans="1:28" ht="24" x14ac:dyDescent="0.3">
      <c r="A650" s="2">
        <f>IF(Caja_Arequipa[[#This Row],[tipo_r]]="R",COUNTIFS($C$1:$C649,"R")+1,A649)</f>
        <v>544</v>
      </c>
      <c r="B650" s="19" t="str">
        <f t="shared" si="69"/>
        <v>C-Tesoreria</v>
      </c>
      <c r="C650" s="3" t="s">
        <v>1330</v>
      </c>
      <c r="D650" s="14">
        <v>45869</v>
      </c>
      <c r="E650" s="5" t="s">
        <v>1338</v>
      </c>
      <c r="F650" s="5" t="s">
        <v>1336</v>
      </c>
      <c r="G650" s="3" t="s">
        <v>5259</v>
      </c>
      <c r="H650" s="6" t="s">
        <v>692</v>
      </c>
      <c r="I650" s="6" t="s">
        <v>111</v>
      </c>
      <c r="J650" s="6">
        <v>3</v>
      </c>
      <c r="K650" s="6">
        <v>274</v>
      </c>
      <c r="L650" s="7" t="s">
        <v>6168</v>
      </c>
      <c r="M650" s="8" t="str">
        <f>IF(Caja_Arequipa[[#This Row],[tipo_r]]="R","001-"&amp;12002+A650,M649)</f>
        <v>001-12546</v>
      </c>
      <c r="N650" s="8" t="str">
        <f t="shared" si="65"/>
        <v>PEN</v>
      </c>
      <c r="O650" s="3"/>
      <c r="P650" s="3">
        <v>12</v>
      </c>
      <c r="Q650" s="3">
        <f t="shared" si="66"/>
        <v>0</v>
      </c>
      <c r="R650" s="3">
        <f t="shared" si="67"/>
        <v>12</v>
      </c>
      <c r="S650" s="3">
        <f t="shared" si="68"/>
        <v>712.49999999999898</v>
      </c>
      <c r="T650" s="24" t="s">
        <v>1334</v>
      </c>
      <c r="U650" s="24" t="s">
        <v>1334</v>
      </c>
      <c r="V650" s="3"/>
      <c r="W650" s="25">
        <f>IFERROR(VLOOKUP(Caja_Arequipa[[#This Row],[destinatario]],CHOOSE({1,2},Clientes_Proveedores[Razon Social],Clientes_Proveedores[Ruc / Dni]),2,0),"")</f>
        <v>10736055631</v>
      </c>
      <c r="X650" s="3"/>
      <c r="Y650" s="3"/>
      <c r="Z650" s="3"/>
      <c r="AA650" s="3"/>
      <c r="AB650" s="3" t="str">
        <f>IF(Caja_Arequipa[[#This Row],[fecha]]&gt;0,TEXT(Caja_Arequipa[[#This Row],[fecha]],"mmmm"),0)</f>
        <v>Julio</v>
      </c>
    </row>
    <row r="651" spans="1:28" ht="24" x14ac:dyDescent="0.3">
      <c r="A651" s="2">
        <f>IF(Caja_Arequipa[[#This Row],[tipo_r]]="R",COUNTIFS($C$1:$C650,"R")+1,A650)</f>
        <v>545</v>
      </c>
      <c r="B651" s="19" t="str">
        <f t="shared" si="69"/>
        <v>C-Tesoreria</v>
      </c>
      <c r="C651" s="3" t="s">
        <v>1330</v>
      </c>
      <c r="D651" s="14">
        <v>45869</v>
      </c>
      <c r="E651" s="5" t="s">
        <v>1338</v>
      </c>
      <c r="F651" s="5" t="s">
        <v>1336</v>
      </c>
      <c r="G651" s="3" t="s">
        <v>5259</v>
      </c>
      <c r="H651" s="6" t="s">
        <v>692</v>
      </c>
      <c r="I651" s="6" t="s">
        <v>111</v>
      </c>
      <c r="J651" s="6">
        <v>3</v>
      </c>
      <c r="K651" s="6">
        <v>275</v>
      </c>
      <c r="L651" s="7" t="s">
        <v>6186</v>
      </c>
      <c r="M651" s="8" t="str">
        <f>IF(Caja_Arequipa[[#This Row],[tipo_r]]="R","001-"&amp;12002+A651,M650)</f>
        <v>001-12547</v>
      </c>
      <c r="N651" s="8" t="str">
        <f t="shared" si="65"/>
        <v>PEN</v>
      </c>
      <c r="O651" s="3"/>
      <c r="P651" s="3">
        <v>5</v>
      </c>
      <c r="Q651" s="3">
        <f t="shared" si="66"/>
        <v>0</v>
      </c>
      <c r="R651" s="3">
        <f t="shared" si="67"/>
        <v>5</v>
      </c>
      <c r="S651" s="3">
        <f t="shared" si="68"/>
        <v>707.49999999999898</v>
      </c>
      <c r="T651" s="24" t="s">
        <v>1334</v>
      </c>
      <c r="U651" s="24" t="s">
        <v>1334</v>
      </c>
      <c r="V651" s="3"/>
      <c r="W651" s="25">
        <f>IFERROR(VLOOKUP(Caja_Arequipa[[#This Row],[destinatario]],CHOOSE({1,2},Clientes_Proveedores[Razon Social],Clientes_Proveedores[Ruc / Dni]),2,0),"")</f>
        <v>10736055631</v>
      </c>
      <c r="X651" s="3"/>
      <c r="Y651" s="3"/>
      <c r="Z651" s="3"/>
      <c r="AA651" s="3"/>
      <c r="AB651" s="3" t="str">
        <f>IF(Caja_Arequipa[[#This Row],[fecha]]&gt;0,TEXT(Caja_Arequipa[[#This Row],[fecha]],"mmmm"),0)</f>
        <v>Julio</v>
      </c>
    </row>
    <row r="652" spans="1:28" ht="24" x14ac:dyDescent="0.3">
      <c r="A652" s="2">
        <f>IF(Caja_Arequipa[[#This Row],[tipo_r]]="R",COUNTIFS($C$1:$C651,"R")+1,A651)</f>
        <v>546</v>
      </c>
      <c r="B652" s="19" t="str">
        <f t="shared" si="69"/>
        <v>C-Tesoreria</v>
      </c>
      <c r="C652" s="3" t="s">
        <v>1330</v>
      </c>
      <c r="D652" s="14">
        <v>45869</v>
      </c>
      <c r="E652" s="5" t="s">
        <v>1338</v>
      </c>
      <c r="F652" s="5" t="s">
        <v>1336</v>
      </c>
      <c r="G652" s="3" t="s">
        <v>5259</v>
      </c>
      <c r="H652" s="6" t="s">
        <v>692</v>
      </c>
      <c r="I652" s="6" t="s">
        <v>111</v>
      </c>
      <c r="J652" s="6">
        <v>3</v>
      </c>
      <c r="K652" s="6">
        <v>276</v>
      </c>
      <c r="L652" s="7" t="s">
        <v>6179</v>
      </c>
      <c r="M652" s="8" t="str">
        <f>IF(Caja_Arequipa[[#This Row],[tipo_r]]="R","001-"&amp;12002+A652,M651)</f>
        <v>001-12548</v>
      </c>
      <c r="N652" s="8" t="str">
        <f t="shared" si="65"/>
        <v>PEN</v>
      </c>
      <c r="O652" s="3"/>
      <c r="P652" s="3">
        <v>55</v>
      </c>
      <c r="Q652" s="3">
        <f t="shared" si="66"/>
        <v>0</v>
      </c>
      <c r="R652" s="3">
        <f t="shared" si="67"/>
        <v>55</v>
      </c>
      <c r="S652" s="3">
        <f t="shared" si="68"/>
        <v>652.49999999999898</v>
      </c>
      <c r="T652" s="24" t="s">
        <v>1334</v>
      </c>
      <c r="U652" s="24" t="s">
        <v>1334</v>
      </c>
      <c r="V652" s="3"/>
      <c r="W652" s="25">
        <f>IFERROR(VLOOKUP(Caja_Arequipa[[#This Row],[destinatario]],CHOOSE({1,2},Clientes_Proveedores[Razon Social],Clientes_Proveedores[Ruc / Dni]),2,0),"")</f>
        <v>10736055631</v>
      </c>
      <c r="X652" s="3"/>
      <c r="Y652" s="3"/>
      <c r="Z652" s="3"/>
      <c r="AA652" s="3"/>
      <c r="AB652" s="3" t="str">
        <f>IF(Caja_Arequipa[[#This Row],[fecha]]&gt;0,TEXT(Caja_Arequipa[[#This Row],[fecha]],"mmmm"),0)</f>
        <v>Julio</v>
      </c>
    </row>
    <row r="653" spans="1:28" ht="24" x14ac:dyDescent="0.3">
      <c r="A653" s="2">
        <f>IF(Caja_Arequipa[[#This Row],[tipo_r]]="R",COUNTIFS($C$1:$C652,"R")+1,A652)</f>
        <v>547</v>
      </c>
      <c r="B653" s="19" t="str">
        <f t="shared" si="69"/>
        <v>C-Tesoreria</v>
      </c>
      <c r="C653" s="3" t="s">
        <v>1330</v>
      </c>
      <c r="D653" s="14">
        <v>45869</v>
      </c>
      <c r="E653" s="5" t="s">
        <v>1338</v>
      </c>
      <c r="F653" s="5" t="s">
        <v>1336</v>
      </c>
      <c r="G653" s="3" t="s">
        <v>5259</v>
      </c>
      <c r="H653" s="6" t="s">
        <v>692</v>
      </c>
      <c r="I653" s="6" t="s">
        <v>111</v>
      </c>
      <c r="J653" s="6">
        <v>3</v>
      </c>
      <c r="K653" s="6">
        <v>277</v>
      </c>
      <c r="L653" s="7" t="s">
        <v>6179</v>
      </c>
      <c r="M653" s="8" t="str">
        <f>IF(Caja_Arequipa[[#This Row],[tipo_r]]="R","001-"&amp;12002+A653,M652)</f>
        <v>001-12549</v>
      </c>
      <c r="N653" s="8" t="str">
        <f t="shared" si="65"/>
        <v>PEN</v>
      </c>
      <c r="O653" s="3"/>
      <c r="P653" s="3">
        <v>15</v>
      </c>
      <c r="Q653" s="3">
        <f t="shared" si="66"/>
        <v>0</v>
      </c>
      <c r="R653" s="3">
        <f t="shared" si="67"/>
        <v>15</v>
      </c>
      <c r="S653" s="3">
        <f t="shared" si="68"/>
        <v>637.49999999999898</v>
      </c>
      <c r="T653" s="24" t="s">
        <v>1334</v>
      </c>
      <c r="U653" s="24" t="s">
        <v>1334</v>
      </c>
      <c r="V653" s="3"/>
      <c r="W653" s="25">
        <f>IFERROR(VLOOKUP(Caja_Arequipa[[#This Row],[destinatario]],CHOOSE({1,2},Clientes_Proveedores[Razon Social],Clientes_Proveedores[Ruc / Dni]),2,0),"")</f>
        <v>10736055631</v>
      </c>
      <c r="X653" s="3"/>
      <c r="Y653" s="3"/>
      <c r="Z653" s="3"/>
      <c r="AA653" s="3"/>
      <c r="AB653" s="3" t="str">
        <f>IF(Caja_Arequipa[[#This Row],[fecha]]&gt;0,TEXT(Caja_Arequipa[[#This Row],[fecha]],"mmmm"),0)</f>
        <v>Julio</v>
      </c>
    </row>
    <row r="654" spans="1:28" ht="24" x14ac:dyDescent="0.3">
      <c r="A654" s="2">
        <f>IF(Caja_Arequipa[[#This Row],[tipo_r]]="R",COUNTIFS($C$1:$C653,"R")+1,A653)</f>
        <v>548</v>
      </c>
      <c r="B654" s="19" t="str">
        <f t="shared" si="69"/>
        <v>C-Tesoreria</v>
      </c>
      <c r="C654" s="3" t="s">
        <v>1330</v>
      </c>
      <c r="D654" s="14">
        <v>45869</v>
      </c>
      <c r="E654" s="5" t="s">
        <v>1338</v>
      </c>
      <c r="F654" s="5" t="s">
        <v>1336</v>
      </c>
      <c r="G654" s="3" t="s">
        <v>5259</v>
      </c>
      <c r="H654" s="6" t="s">
        <v>692</v>
      </c>
      <c r="I654" s="6" t="s">
        <v>111</v>
      </c>
      <c r="J654" s="6">
        <v>3</v>
      </c>
      <c r="K654" s="6">
        <v>278</v>
      </c>
      <c r="L654" s="7" t="s">
        <v>6187</v>
      </c>
      <c r="M654" s="8" t="str">
        <f>IF(Caja_Arequipa[[#This Row],[tipo_r]]="R","001-"&amp;12002+A654,M653)</f>
        <v>001-12550</v>
      </c>
      <c r="N654" s="8" t="str">
        <f t="shared" si="65"/>
        <v>PEN</v>
      </c>
      <c r="O654" s="3"/>
      <c r="P654" s="3">
        <v>43</v>
      </c>
      <c r="Q654" s="3">
        <f t="shared" si="66"/>
        <v>0</v>
      </c>
      <c r="R654" s="3">
        <f t="shared" si="67"/>
        <v>43</v>
      </c>
      <c r="S654" s="3">
        <f t="shared" si="68"/>
        <v>594.49999999999898</v>
      </c>
      <c r="T654" s="24" t="s">
        <v>1334</v>
      </c>
      <c r="U654" s="24" t="s">
        <v>1334</v>
      </c>
      <c r="V654" s="3"/>
      <c r="W654" s="25">
        <f>IFERROR(VLOOKUP(Caja_Arequipa[[#This Row],[destinatario]],CHOOSE({1,2},Clientes_Proveedores[Razon Social],Clientes_Proveedores[Ruc / Dni]),2,0),"")</f>
        <v>10736055631</v>
      </c>
      <c r="X654" s="3"/>
      <c r="Y654" s="3"/>
      <c r="Z654" s="3"/>
      <c r="AA654" s="3"/>
      <c r="AB654" s="3" t="str">
        <f>IF(Caja_Arequipa[[#This Row],[fecha]]&gt;0,TEXT(Caja_Arequipa[[#This Row],[fecha]],"mmmm"),0)</f>
        <v>Julio</v>
      </c>
    </row>
    <row r="655" spans="1:28" ht="24" x14ac:dyDescent="0.3">
      <c r="A655" s="2">
        <f>IF(Caja_Arequipa[[#This Row],[tipo_r]]="R",COUNTIFS($C$1:$C654,"R")+1,A654)</f>
        <v>549</v>
      </c>
      <c r="B655" s="19" t="str">
        <f t="shared" si="69"/>
        <v>C-Tesoreria</v>
      </c>
      <c r="C655" s="3" t="s">
        <v>1330</v>
      </c>
      <c r="D655" s="14">
        <v>45869</v>
      </c>
      <c r="E655" s="5" t="s">
        <v>1338</v>
      </c>
      <c r="F655" s="5" t="s">
        <v>1336</v>
      </c>
      <c r="G655" s="3" t="s">
        <v>5259</v>
      </c>
      <c r="H655" s="6" t="s">
        <v>692</v>
      </c>
      <c r="I655" s="6" t="s">
        <v>111</v>
      </c>
      <c r="J655" s="6">
        <v>3</v>
      </c>
      <c r="K655" s="6">
        <v>279</v>
      </c>
      <c r="L655" s="7" t="s">
        <v>6188</v>
      </c>
      <c r="M655" s="8" t="str">
        <f>IF(Caja_Arequipa[[#This Row],[tipo_r]]="R","001-"&amp;12002+A655,M654)</f>
        <v>001-12551</v>
      </c>
      <c r="N655" s="8" t="str">
        <f t="shared" si="65"/>
        <v>PEN</v>
      </c>
      <c r="O655" s="3"/>
      <c r="P655" s="3">
        <v>53</v>
      </c>
      <c r="Q655" s="3">
        <f t="shared" si="66"/>
        <v>0</v>
      </c>
      <c r="R655" s="3">
        <f t="shared" si="67"/>
        <v>53</v>
      </c>
      <c r="S655" s="3">
        <f t="shared" si="68"/>
        <v>541.49999999999898</v>
      </c>
      <c r="T655" s="24" t="s">
        <v>1334</v>
      </c>
      <c r="U655" s="24" t="s">
        <v>1334</v>
      </c>
      <c r="V655" s="3"/>
      <c r="W655" s="25">
        <f>IFERROR(VLOOKUP(Caja_Arequipa[[#This Row],[destinatario]],CHOOSE({1,2},Clientes_Proveedores[Razon Social],Clientes_Proveedores[Ruc / Dni]),2,0),"")</f>
        <v>10736055631</v>
      </c>
      <c r="X655" s="3"/>
      <c r="Y655" s="3"/>
      <c r="Z655" s="3"/>
      <c r="AA655" s="3"/>
      <c r="AB655" s="3" t="str">
        <f>IF(Caja_Arequipa[[#This Row],[fecha]]&gt;0,TEXT(Caja_Arequipa[[#This Row],[fecha]],"mmmm"),0)</f>
        <v>Julio</v>
      </c>
    </row>
    <row r="656" spans="1:28" ht="24" x14ac:dyDescent="0.3">
      <c r="A656" s="2">
        <f>IF(Caja_Arequipa[[#This Row],[tipo_r]]="R",COUNTIFS($C$1:$C655,"R")+1,A655)</f>
        <v>550</v>
      </c>
      <c r="B656" s="19" t="str">
        <f t="shared" si="69"/>
        <v>C-Tesoreria</v>
      </c>
      <c r="C656" s="3" t="s">
        <v>1330</v>
      </c>
      <c r="D656" s="14">
        <v>45869</v>
      </c>
      <c r="E656" s="5" t="s">
        <v>1338</v>
      </c>
      <c r="F656" s="5" t="s">
        <v>1336</v>
      </c>
      <c r="G656" s="3" t="s">
        <v>5259</v>
      </c>
      <c r="H656" s="6" t="s">
        <v>692</v>
      </c>
      <c r="I656" s="6" t="s">
        <v>111</v>
      </c>
      <c r="J656" s="6">
        <v>3</v>
      </c>
      <c r="K656" s="6">
        <v>280</v>
      </c>
      <c r="L656" s="7" t="s">
        <v>6189</v>
      </c>
      <c r="M656" s="8" t="str">
        <f>IF(Caja_Arequipa[[#This Row],[tipo_r]]="R","001-"&amp;12002+A656,M655)</f>
        <v>001-12552</v>
      </c>
      <c r="N656" s="8" t="str">
        <f t="shared" si="65"/>
        <v>PEN</v>
      </c>
      <c r="O656" s="3"/>
      <c r="P656" s="3">
        <v>20</v>
      </c>
      <c r="Q656" s="3">
        <f t="shared" si="66"/>
        <v>0</v>
      </c>
      <c r="R656" s="3">
        <f t="shared" si="67"/>
        <v>20</v>
      </c>
      <c r="S656" s="3">
        <f t="shared" si="68"/>
        <v>521.49999999999898</v>
      </c>
      <c r="T656" s="24" t="s">
        <v>1334</v>
      </c>
      <c r="U656" s="24" t="s">
        <v>1334</v>
      </c>
      <c r="V656" s="3"/>
      <c r="W656" s="25">
        <f>IFERROR(VLOOKUP(Caja_Arequipa[[#This Row],[destinatario]],CHOOSE({1,2},Clientes_Proveedores[Razon Social],Clientes_Proveedores[Ruc / Dni]),2,0),"")</f>
        <v>10736055631</v>
      </c>
      <c r="X656" s="3"/>
      <c r="Y656" s="3"/>
      <c r="Z656" s="3"/>
      <c r="AA656" s="3"/>
      <c r="AB656" s="3" t="str">
        <f>IF(Caja_Arequipa[[#This Row],[fecha]]&gt;0,TEXT(Caja_Arequipa[[#This Row],[fecha]],"mmmm"),0)</f>
        <v>Julio</v>
      </c>
    </row>
    <row r="657" spans="1:28" ht="24" x14ac:dyDescent="0.3">
      <c r="A657" s="2">
        <f>IF(Caja_Arequipa[[#This Row],[tipo_r]]="R",COUNTIFS($C$1:$C656,"R")+1,A656)</f>
        <v>551</v>
      </c>
      <c r="B657" s="19" t="str">
        <f t="shared" si="69"/>
        <v>C-Tesoreria</v>
      </c>
      <c r="C657" s="3" t="s">
        <v>1330</v>
      </c>
      <c r="D657" s="14">
        <v>45869</v>
      </c>
      <c r="E657" s="5" t="s">
        <v>1338</v>
      </c>
      <c r="F657" s="5" t="s">
        <v>1336</v>
      </c>
      <c r="G657" s="3" t="s">
        <v>5259</v>
      </c>
      <c r="H657" s="6" t="s">
        <v>692</v>
      </c>
      <c r="I657" s="6" t="s">
        <v>111</v>
      </c>
      <c r="J657" s="6">
        <v>3</v>
      </c>
      <c r="K657" s="6">
        <v>281</v>
      </c>
      <c r="L657" s="7" t="s">
        <v>6190</v>
      </c>
      <c r="M657" s="8" t="str">
        <f>IF(Caja_Arequipa[[#This Row],[tipo_r]]="R","001-"&amp;12002+A657,M656)</f>
        <v>001-12553</v>
      </c>
      <c r="N657" s="8" t="str">
        <f t="shared" si="65"/>
        <v>PEN</v>
      </c>
      <c r="O657" s="3"/>
      <c r="P657" s="3">
        <v>165</v>
      </c>
      <c r="Q657" s="3">
        <f t="shared" si="66"/>
        <v>0</v>
      </c>
      <c r="R657" s="3">
        <f t="shared" si="67"/>
        <v>165</v>
      </c>
      <c r="S657" s="3">
        <f t="shared" si="68"/>
        <v>356.49999999999898</v>
      </c>
      <c r="T657" s="24" t="s">
        <v>1334</v>
      </c>
      <c r="U657" s="24" t="s">
        <v>1334</v>
      </c>
      <c r="V657" s="3"/>
      <c r="W657" s="25">
        <f>IFERROR(VLOOKUP(Caja_Arequipa[[#This Row],[destinatario]],CHOOSE({1,2},Clientes_Proveedores[Razon Social],Clientes_Proveedores[Ruc / Dni]),2,0),"")</f>
        <v>10736055631</v>
      </c>
      <c r="X657" s="3"/>
      <c r="Y657" s="3"/>
      <c r="Z657" s="3"/>
      <c r="AA657" s="3"/>
      <c r="AB657" s="3" t="str">
        <f>IF(Caja_Arequipa[[#This Row],[fecha]]&gt;0,TEXT(Caja_Arequipa[[#This Row],[fecha]],"mmmm"),0)</f>
        <v>Julio</v>
      </c>
    </row>
    <row r="658" spans="1:28" ht="24" x14ac:dyDescent="0.3">
      <c r="A658" s="2">
        <f>IF(Caja_Arequipa[[#This Row],[tipo_r]]="R",COUNTIFS($C$1:$C657,"R")+1,A657)</f>
        <v>552</v>
      </c>
      <c r="B658" s="19" t="str">
        <f t="shared" si="69"/>
        <v>C-Tesoreria</v>
      </c>
      <c r="C658" s="3" t="s">
        <v>1330</v>
      </c>
      <c r="D658" s="14">
        <v>45869</v>
      </c>
      <c r="E658" s="5" t="s">
        <v>1338</v>
      </c>
      <c r="F658" s="5" t="s">
        <v>1336</v>
      </c>
      <c r="G658" s="3" t="s">
        <v>5450</v>
      </c>
      <c r="H658" s="6" t="s">
        <v>871</v>
      </c>
      <c r="I658" s="6" t="s">
        <v>111</v>
      </c>
      <c r="J658" s="6">
        <v>3</v>
      </c>
      <c r="K658" s="6">
        <v>265</v>
      </c>
      <c r="L658" s="7" t="s">
        <v>6187</v>
      </c>
      <c r="M658" s="8" t="str">
        <f>IF(Caja_Arequipa[[#This Row],[tipo_r]]="R","001-"&amp;12002+A658,M657)</f>
        <v>001-12554</v>
      </c>
      <c r="N658" s="8" t="str">
        <f t="shared" si="65"/>
        <v>PEN</v>
      </c>
      <c r="O658" s="3"/>
      <c r="P658" s="3">
        <v>16</v>
      </c>
      <c r="Q658" s="3">
        <f t="shared" si="66"/>
        <v>0</v>
      </c>
      <c r="R658" s="3">
        <f t="shared" si="67"/>
        <v>16</v>
      </c>
      <c r="S658" s="3">
        <f t="shared" si="68"/>
        <v>340.49999999999898</v>
      </c>
      <c r="T658" s="24" t="s">
        <v>1334</v>
      </c>
      <c r="U658" s="24" t="s">
        <v>1334</v>
      </c>
      <c r="V658" s="3"/>
      <c r="W658" s="25">
        <f>IFERROR(VLOOKUP(Caja_Arequipa[[#This Row],[destinatario]],CHOOSE({1,2},Clientes_Proveedores[Razon Social],Clientes_Proveedores[Ruc / Dni]),2,0),"")</f>
        <v>72302392</v>
      </c>
      <c r="X658" s="3"/>
      <c r="Y658" s="3"/>
      <c r="Z658" s="3"/>
      <c r="AA658" s="3"/>
      <c r="AB658" s="3" t="str">
        <f>IF(Caja_Arequipa[[#This Row],[fecha]]&gt;0,TEXT(Caja_Arequipa[[#This Row],[fecha]],"mmmm"),0)</f>
        <v>Julio</v>
      </c>
    </row>
    <row r="659" spans="1:28" ht="24" x14ac:dyDescent="0.3">
      <c r="A659" s="2">
        <f>IF(Caja_Arequipa[[#This Row],[tipo_r]]="R",COUNTIFS($C$1:$C658,"R")+1,A658)</f>
        <v>553</v>
      </c>
      <c r="B659" s="19" t="str">
        <f t="shared" ref="B659:B669" si="70">"C-Tesoreria"</f>
        <v>C-Tesoreria</v>
      </c>
      <c r="C659" s="3" t="s">
        <v>1330</v>
      </c>
      <c r="D659" s="14">
        <v>45870</v>
      </c>
      <c r="E659" s="5" t="s">
        <v>1338</v>
      </c>
      <c r="F659" s="5" t="s">
        <v>1336</v>
      </c>
      <c r="G659" s="3" t="s">
        <v>5303</v>
      </c>
      <c r="H659" s="6" t="s">
        <v>684</v>
      </c>
      <c r="I659" s="6" t="s">
        <v>68</v>
      </c>
      <c r="J659" s="6" t="s">
        <v>1374</v>
      </c>
      <c r="K659" s="6">
        <v>6823</v>
      </c>
      <c r="L659" s="7" t="s">
        <v>6191</v>
      </c>
      <c r="M659" s="8" t="str">
        <f>IF(Caja_Arequipa[[#This Row],[tipo_r]]="R","001-"&amp;12002+A659,M658)</f>
        <v>001-12555</v>
      </c>
      <c r="N659" s="8" t="str">
        <f t="shared" ref="N659:N669" si="71">"PEN"</f>
        <v>PEN</v>
      </c>
      <c r="O659" s="3"/>
      <c r="P659" s="3">
        <v>24.5</v>
      </c>
      <c r="Q659" s="3">
        <f t="shared" ref="Q659:Q669" si="72">+IF(OR($F659="SALDO",$F659="INGRESO"),$P659,0)</f>
        <v>0</v>
      </c>
      <c r="R659" s="3">
        <f t="shared" ref="R659:R669" si="73">+IF($F659="EGRESO",$P659,0)</f>
        <v>24.5</v>
      </c>
      <c r="S659" s="3">
        <f t="shared" si="68"/>
        <v>315.99999999999898</v>
      </c>
      <c r="T659" s="24" t="s">
        <v>1334</v>
      </c>
      <c r="U659" s="24" t="s">
        <v>1334</v>
      </c>
      <c r="V659" s="3"/>
      <c r="W659" s="25">
        <f>IFERROR(VLOOKUP(Caja_Arequipa[[#This Row],[destinatario]],CHOOSE({1,2},Clientes_Proveedores[Razon Social],Clientes_Proveedores[Ruc / Dni]),2,0),"")</f>
        <v>20604947520</v>
      </c>
      <c r="X659" s="3"/>
      <c r="Y659" s="3"/>
      <c r="Z659" s="3"/>
      <c r="AA659" s="3"/>
      <c r="AB659" s="3" t="str">
        <f>IF(Caja_Arequipa[[#This Row],[fecha]]&gt;0,TEXT(Caja_Arequipa[[#This Row],[fecha]],"mmmm"),0)</f>
        <v>Agosto</v>
      </c>
    </row>
    <row r="660" spans="1:28" ht="24" x14ac:dyDescent="0.3">
      <c r="A660" s="2">
        <f>IF(Caja_Arequipa[[#This Row],[tipo_r]]="R",COUNTIFS($C$1:$C659,"R")+1,A659)</f>
        <v>554</v>
      </c>
      <c r="B660" s="19" t="str">
        <f t="shared" si="70"/>
        <v>C-Tesoreria</v>
      </c>
      <c r="C660" s="3" t="s">
        <v>1330</v>
      </c>
      <c r="D660" s="14">
        <v>45870</v>
      </c>
      <c r="E660" s="5" t="s">
        <v>2269</v>
      </c>
      <c r="F660" s="5" t="s">
        <v>1336</v>
      </c>
      <c r="G660" s="3" t="s">
        <v>5828</v>
      </c>
      <c r="H660" s="6" t="s">
        <v>993</v>
      </c>
      <c r="I660" s="6" t="s">
        <v>111</v>
      </c>
      <c r="J660" s="6">
        <v>3</v>
      </c>
      <c r="K660" s="6">
        <v>283</v>
      </c>
      <c r="L660" s="7" t="s">
        <v>6192</v>
      </c>
      <c r="M660" s="8" t="str">
        <f>IF(Caja_Arequipa[[#This Row],[tipo_r]]="R","001-"&amp;12002+A660,M659)</f>
        <v>001-12556</v>
      </c>
      <c r="N660" s="8" t="str">
        <f t="shared" si="71"/>
        <v>PEN</v>
      </c>
      <c r="O660" s="3"/>
      <c r="P660" s="3">
        <v>19</v>
      </c>
      <c r="Q660" s="3">
        <f t="shared" si="72"/>
        <v>0</v>
      </c>
      <c r="R660" s="3">
        <f t="shared" si="73"/>
        <v>19</v>
      </c>
      <c r="S660" s="3">
        <f t="shared" si="68"/>
        <v>296.99999999999898</v>
      </c>
      <c r="T660" s="24" t="s">
        <v>1334</v>
      </c>
      <c r="U660" s="24" t="s">
        <v>1334</v>
      </c>
      <c r="V660" s="3"/>
      <c r="W660" s="25">
        <f>IFERROR(VLOOKUP(Caja_Arequipa[[#This Row],[destinatario]],CHOOSE({1,2},Clientes_Proveedores[Razon Social],Clientes_Proveedores[Ruc / Dni]),2,0),"")</f>
        <v>76390500</v>
      </c>
      <c r="X660" s="3"/>
      <c r="Y660" s="3"/>
      <c r="Z660" s="3"/>
      <c r="AA660" s="3"/>
      <c r="AB660" s="3" t="str">
        <f>IF(Caja_Arequipa[[#This Row],[fecha]]&gt;0,TEXT(Caja_Arequipa[[#This Row],[fecha]],"mmmm"),0)</f>
        <v>Agosto</v>
      </c>
    </row>
    <row r="661" spans="1:28" ht="24" x14ac:dyDescent="0.3">
      <c r="A661" s="2">
        <f>IF(Caja_Arequipa[[#This Row],[tipo_r]]="R",COUNTIFS($C$1:$C660,"R")+1,A660)</f>
        <v>555</v>
      </c>
      <c r="B661" s="19" t="str">
        <f t="shared" si="70"/>
        <v>C-Tesoreria</v>
      </c>
      <c r="C661" s="3" t="s">
        <v>1330</v>
      </c>
      <c r="D661" s="14">
        <v>45870</v>
      </c>
      <c r="E661" s="5" t="s">
        <v>2269</v>
      </c>
      <c r="F661" s="5" t="s">
        <v>1336</v>
      </c>
      <c r="G661" s="3" t="s">
        <v>6193</v>
      </c>
      <c r="H661" s="6" t="s">
        <v>1038</v>
      </c>
      <c r="I661" s="6" t="s">
        <v>111</v>
      </c>
      <c r="J661" s="6">
        <v>3</v>
      </c>
      <c r="K661" s="6">
        <v>282</v>
      </c>
      <c r="L661" s="7" t="s">
        <v>6194</v>
      </c>
      <c r="M661" s="8" t="str">
        <f>IF(Caja_Arequipa[[#This Row],[tipo_r]]="R","001-"&amp;12002+A661,M660)</f>
        <v>001-12557</v>
      </c>
      <c r="N661" s="8" t="str">
        <f t="shared" si="71"/>
        <v>PEN</v>
      </c>
      <c r="O661" s="3"/>
      <c r="P661" s="3">
        <v>20</v>
      </c>
      <c r="Q661" s="3">
        <f t="shared" si="72"/>
        <v>0</v>
      </c>
      <c r="R661" s="3">
        <f t="shared" si="73"/>
        <v>20</v>
      </c>
      <c r="S661" s="3">
        <f t="shared" si="68"/>
        <v>276.99999999999898</v>
      </c>
      <c r="T661" s="24" t="s">
        <v>1334</v>
      </c>
      <c r="U661" s="24" t="s">
        <v>1334</v>
      </c>
      <c r="V661" s="3"/>
      <c r="W661" s="25">
        <f>IFERROR(VLOOKUP(Caja_Arequipa[[#This Row],[destinatario]],CHOOSE({1,2},Clientes_Proveedores[Razon Social],Clientes_Proveedores[Ruc / Dni]),2,0),"")</f>
        <v>72204134</v>
      </c>
      <c r="X661" s="3"/>
      <c r="Y661" s="3"/>
      <c r="Z661" s="3"/>
      <c r="AA661" s="3"/>
      <c r="AB661" s="3" t="str">
        <f>IF(Caja_Arequipa[[#This Row],[fecha]]&gt;0,TEXT(Caja_Arequipa[[#This Row],[fecha]],"mmmm"),0)</f>
        <v>Agosto</v>
      </c>
    </row>
    <row r="662" spans="1:28" ht="24" x14ac:dyDescent="0.3">
      <c r="A662" s="2">
        <f>IF(Caja_Arequipa[[#This Row],[tipo_r]]="R",COUNTIFS($C$1:$C661,"R")+1,A661)</f>
        <v>556</v>
      </c>
      <c r="B662" s="19" t="str">
        <f t="shared" si="70"/>
        <v>C-Tesoreria</v>
      </c>
      <c r="C662" s="3" t="s">
        <v>1330</v>
      </c>
      <c r="D662" s="14">
        <v>45870</v>
      </c>
      <c r="E662" s="5" t="s">
        <v>1338</v>
      </c>
      <c r="F662" s="5" t="s">
        <v>1336</v>
      </c>
      <c r="G662" s="3" t="s">
        <v>5317</v>
      </c>
      <c r="H662" s="6" t="s">
        <v>790</v>
      </c>
      <c r="I662" s="6" t="s">
        <v>111</v>
      </c>
      <c r="J662" s="6">
        <v>3</v>
      </c>
      <c r="K662" s="6">
        <v>285</v>
      </c>
      <c r="L662" s="7" t="s">
        <v>6195</v>
      </c>
      <c r="M662" s="8" t="str">
        <f>IF(Caja_Arequipa[[#This Row],[tipo_r]]="R","001-"&amp;12002+A662,M661)</f>
        <v>001-12558</v>
      </c>
      <c r="N662" s="8" t="str">
        <f t="shared" si="71"/>
        <v>PEN</v>
      </c>
      <c r="O662" s="3"/>
      <c r="P662" s="3">
        <v>14</v>
      </c>
      <c r="Q662" s="3">
        <f t="shared" si="72"/>
        <v>0</v>
      </c>
      <c r="R662" s="3">
        <f t="shared" si="73"/>
        <v>14</v>
      </c>
      <c r="S662" s="3">
        <f t="shared" si="68"/>
        <v>262.99999999999898</v>
      </c>
      <c r="T662" s="24" t="s">
        <v>1334</v>
      </c>
      <c r="U662" s="24" t="s">
        <v>1334</v>
      </c>
      <c r="V662" s="3"/>
      <c r="W662" s="25">
        <f>IFERROR(VLOOKUP(Caja_Arequipa[[#This Row],[destinatario]],CHOOSE({1,2},Clientes_Proveedores[Razon Social],Clientes_Proveedores[Ruc / Dni]),2,0),"")</f>
        <v>72169020</v>
      </c>
      <c r="X662" s="3"/>
      <c r="Y662" s="3"/>
      <c r="Z662" s="3"/>
      <c r="AA662" s="3"/>
      <c r="AB662" s="3" t="str">
        <f>IF(Caja_Arequipa[[#This Row],[fecha]]&gt;0,TEXT(Caja_Arequipa[[#This Row],[fecha]],"mmmm"),0)</f>
        <v>Agosto</v>
      </c>
    </row>
    <row r="663" spans="1:28" x14ac:dyDescent="0.3">
      <c r="A663" s="2">
        <f>IF(Caja_Arequipa[[#This Row],[tipo_r]]="R",COUNTIFS($C$1:$C662,"R")+1,A662)</f>
        <v>557</v>
      </c>
      <c r="B663" s="19" t="str">
        <f t="shared" si="70"/>
        <v>C-Tesoreria</v>
      </c>
      <c r="C663" s="3" t="s">
        <v>1330</v>
      </c>
      <c r="D663" s="14">
        <v>45873</v>
      </c>
      <c r="E663" s="5" t="s">
        <v>1338</v>
      </c>
      <c r="F663" s="5" t="s">
        <v>1336</v>
      </c>
      <c r="G663" s="3" t="s">
        <v>5274</v>
      </c>
      <c r="H663" s="6"/>
      <c r="I663" s="6"/>
      <c r="J663" s="6"/>
      <c r="K663" s="6"/>
      <c r="L663" s="7" t="s">
        <v>6055</v>
      </c>
      <c r="M663" s="8" t="str">
        <f>IF(Caja_Arequipa[[#This Row],[tipo_r]]="R","001-"&amp;12002+A663,M662)</f>
        <v>001-12559</v>
      </c>
      <c r="N663" s="8" t="str">
        <f t="shared" si="71"/>
        <v>PEN</v>
      </c>
      <c r="O663" s="3"/>
      <c r="P663" s="3">
        <v>54.8</v>
      </c>
      <c r="Q663" s="3">
        <f t="shared" si="72"/>
        <v>0</v>
      </c>
      <c r="R663" s="3">
        <f t="shared" si="73"/>
        <v>54.8</v>
      </c>
      <c r="S663" s="3">
        <f t="shared" si="68"/>
        <v>208.19999999999897</v>
      </c>
      <c r="T663" s="24" t="s">
        <v>1334</v>
      </c>
      <c r="U663" s="24" t="s">
        <v>1334</v>
      </c>
      <c r="V663" s="3"/>
      <c r="W663" s="25" t="str">
        <f>IFERROR(VLOOKUP(Caja_Arequipa[[#This Row],[destinatario]],CHOOSE({1,2},Clientes_Proveedores[Razon Social],Clientes_Proveedores[Ruc / Dni]),2,0),"")</f>
        <v/>
      </c>
      <c r="X663" s="3"/>
      <c r="Y663" s="3"/>
      <c r="Z663" s="3"/>
      <c r="AA663" s="3"/>
      <c r="AB663" s="3" t="str">
        <f>IF(Caja_Arequipa[[#This Row],[fecha]]&gt;0,TEXT(Caja_Arequipa[[#This Row],[fecha]],"mmmm"),0)</f>
        <v>Agosto</v>
      </c>
    </row>
    <row r="664" spans="1:28" ht="24" x14ac:dyDescent="0.3">
      <c r="A664" s="2">
        <f>IF(Caja_Arequipa[[#This Row],[tipo_r]]="R",COUNTIFS($C$1:$C663,"R")+1,A663)</f>
        <v>557</v>
      </c>
      <c r="B664" s="19" t="str">
        <f t="shared" si="70"/>
        <v>C-Tesoreria</v>
      </c>
      <c r="C664" s="3" t="s">
        <v>1352</v>
      </c>
      <c r="D664" s="14">
        <v>45873</v>
      </c>
      <c r="E664" s="5" t="s">
        <v>1338</v>
      </c>
      <c r="F664" s="5"/>
      <c r="G664" s="3"/>
      <c r="H664" s="6" t="s">
        <v>684</v>
      </c>
      <c r="I664" s="6" t="s">
        <v>68</v>
      </c>
      <c r="J664" s="6" t="s">
        <v>1374</v>
      </c>
      <c r="K664" s="6">
        <v>6981</v>
      </c>
      <c r="L664" s="7" t="s">
        <v>6055</v>
      </c>
      <c r="M664" s="8" t="str">
        <f>IF(Caja_Arequipa[[#This Row],[tipo_r]]="R","001-"&amp;12002+A664,M663)</f>
        <v>001-12559</v>
      </c>
      <c r="N664" s="8" t="str">
        <f t="shared" si="71"/>
        <v>PEN</v>
      </c>
      <c r="O664" s="3">
        <v>14.8</v>
      </c>
      <c r="P664" s="3"/>
      <c r="Q664" s="3">
        <f t="shared" si="72"/>
        <v>0</v>
      </c>
      <c r="R664" s="3">
        <f t="shared" si="73"/>
        <v>0</v>
      </c>
      <c r="S664" s="3">
        <f t="shared" si="68"/>
        <v>208.19999999999897</v>
      </c>
      <c r="T664" s="24" t="s">
        <v>1334</v>
      </c>
      <c r="U664" s="24" t="s">
        <v>1334</v>
      </c>
      <c r="V664" s="3"/>
      <c r="W664" s="25">
        <f>IFERROR(VLOOKUP(Caja_Arequipa[[#This Row],[destinatario]],CHOOSE({1,2},Clientes_Proveedores[Razon Social],Clientes_Proveedores[Ruc / Dni]),2,0),"")</f>
        <v>20604947520</v>
      </c>
      <c r="X664" s="3"/>
      <c r="Y664" s="3"/>
      <c r="Z664" s="3"/>
      <c r="AA664" s="3"/>
      <c r="AB664" s="3" t="str">
        <f>IF(Caja_Arequipa[[#This Row],[fecha]]&gt;0,TEXT(Caja_Arequipa[[#This Row],[fecha]],"mmmm"),0)</f>
        <v>Agosto</v>
      </c>
    </row>
    <row r="665" spans="1:28" ht="36" x14ac:dyDescent="0.3">
      <c r="A665" s="2">
        <f>IF(Caja_Arequipa[[#This Row],[tipo_r]]="R",COUNTIFS($C$1:$C664,"R")+1,A664)</f>
        <v>557</v>
      </c>
      <c r="B665" s="19" t="str">
        <f t="shared" si="70"/>
        <v>C-Tesoreria</v>
      </c>
      <c r="C665" s="3" t="s">
        <v>1352</v>
      </c>
      <c r="D665" s="14">
        <v>45873</v>
      </c>
      <c r="E665" s="5" t="s">
        <v>1338</v>
      </c>
      <c r="F665" s="5"/>
      <c r="G665" s="3"/>
      <c r="H665" s="6" t="s">
        <v>682</v>
      </c>
      <c r="I665" s="6" t="s">
        <v>68</v>
      </c>
      <c r="J665" s="6" t="s">
        <v>1353</v>
      </c>
      <c r="K665" s="6">
        <v>17152</v>
      </c>
      <c r="L665" s="7" t="s">
        <v>6055</v>
      </c>
      <c r="M665" s="8" t="str">
        <f>IF(Caja_Arequipa[[#This Row],[tipo_r]]="R","001-"&amp;12002+A665,M664)</f>
        <v>001-12559</v>
      </c>
      <c r="N665" s="8" t="str">
        <f t="shared" si="71"/>
        <v>PEN</v>
      </c>
      <c r="O665" s="3">
        <v>20</v>
      </c>
      <c r="P665" s="3"/>
      <c r="Q665" s="3">
        <f t="shared" si="72"/>
        <v>0</v>
      </c>
      <c r="R665" s="3">
        <f t="shared" si="73"/>
        <v>0</v>
      </c>
      <c r="S665" s="3">
        <f t="shared" si="68"/>
        <v>208.19999999999897</v>
      </c>
      <c r="T665" s="24" t="s">
        <v>1334</v>
      </c>
      <c r="U665" s="24" t="s">
        <v>1334</v>
      </c>
      <c r="V665" s="3"/>
      <c r="W665" s="25">
        <f>IFERROR(VLOOKUP(Caja_Arequipa[[#This Row],[destinatario]],CHOOSE({1,2},Clientes_Proveedores[Razon Social],Clientes_Proveedores[Ruc / Dni]),2,0),"")</f>
        <v>20259858934</v>
      </c>
      <c r="X665" s="3"/>
      <c r="Y665" s="3"/>
      <c r="Z665" s="3"/>
      <c r="AA665" s="3"/>
      <c r="AB665" s="3" t="str">
        <f>IF(Caja_Arequipa[[#This Row],[fecha]]&gt;0,TEXT(Caja_Arequipa[[#This Row],[fecha]],"mmmm"),0)</f>
        <v>Agosto</v>
      </c>
    </row>
    <row r="666" spans="1:28" ht="36" x14ac:dyDescent="0.3">
      <c r="A666" s="2">
        <f>IF(Caja_Arequipa[[#This Row],[tipo_r]]="R",COUNTIFS($C$1:$C665,"R")+1,A665)</f>
        <v>557</v>
      </c>
      <c r="B666" s="19" t="str">
        <f t="shared" si="70"/>
        <v>C-Tesoreria</v>
      </c>
      <c r="C666" s="3" t="s">
        <v>1352</v>
      </c>
      <c r="D666" s="14">
        <v>45873</v>
      </c>
      <c r="E666" s="5" t="s">
        <v>1338</v>
      </c>
      <c r="F666" s="5"/>
      <c r="G666" s="3"/>
      <c r="H666" s="6" t="s">
        <v>682</v>
      </c>
      <c r="I666" s="6" t="s">
        <v>68</v>
      </c>
      <c r="J666" s="6" t="s">
        <v>1353</v>
      </c>
      <c r="K666" s="6">
        <v>17153</v>
      </c>
      <c r="L666" s="7" t="s">
        <v>6055</v>
      </c>
      <c r="M666" s="8" t="str">
        <f>IF(Caja_Arequipa[[#This Row],[tipo_r]]="R","001-"&amp;12002+A666,M665)</f>
        <v>001-12559</v>
      </c>
      <c r="N666" s="8" t="str">
        <f t="shared" si="71"/>
        <v>PEN</v>
      </c>
      <c r="O666" s="3">
        <v>20</v>
      </c>
      <c r="P666" s="3"/>
      <c r="Q666" s="3">
        <f t="shared" si="72"/>
        <v>0</v>
      </c>
      <c r="R666" s="3">
        <f t="shared" si="73"/>
        <v>0</v>
      </c>
      <c r="S666" s="3">
        <f t="shared" si="68"/>
        <v>208.19999999999897</v>
      </c>
      <c r="T666" s="24" t="s">
        <v>1334</v>
      </c>
      <c r="U666" s="24" t="s">
        <v>1334</v>
      </c>
      <c r="V666" s="3"/>
      <c r="W666" s="25">
        <f>IFERROR(VLOOKUP(Caja_Arequipa[[#This Row],[destinatario]],CHOOSE({1,2},Clientes_Proveedores[Razon Social],Clientes_Proveedores[Ruc / Dni]),2,0),"")</f>
        <v>20259858934</v>
      </c>
      <c r="X666" s="3"/>
      <c r="Y666" s="3"/>
      <c r="Z666" s="3"/>
      <c r="AA666" s="3"/>
      <c r="AB666" s="3" t="str">
        <f>IF(Caja_Arequipa[[#This Row],[fecha]]&gt;0,TEXT(Caja_Arequipa[[#This Row],[fecha]],"mmmm"),0)</f>
        <v>Agosto</v>
      </c>
    </row>
    <row r="667" spans="1:28" ht="36" x14ac:dyDescent="0.3">
      <c r="A667" s="2">
        <f>IF(Caja_Arequipa[[#This Row],[tipo_r]]="R",COUNTIFS($C$1:$C666,"R")+1,A666)</f>
        <v>558</v>
      </c>
      <c r="B667" s="19" t="str">
        <f t="shared" si="70"/>
        <v>C-Tesoreria</v>
      </c>
      <c r="C667" s="3" t="s">
        <v>1330</v>
      </c>
      <c r="D667" s="14">
        <v>45873</v>
      </c>
      <c r="E667" s="5" t="s">
        <v>1338</v>
      </c>
      <c r="F667" s="5" t="s">
        <v>1336</v>
      </c>
      <c r="G667" s="3" t="s">
        <v>5828</v>
      </c>
      <c r="H667" s="6" t="s">
        <v>1035</v>
      </c>
      <c r="I667" s="6" t="s">
        <v>68</v>
      </c>
      <c r="J667" s="6" t="s">
        <v>1374</v>
      </c>
      <c r="K667" s="6">
        <v>1534</v>
      </c>
      <c r="L667" s="7" t="s">
        <v>6196</v>
      </c>
      <c r="M667" s="8" t="str">
        <f>IF(Caja_Arequipa[[#This Row],[tipo_r]]="R","001-"&amp;12002+A667,M666)</f>
        <v>001-12560</v>
      </c>
      <c r="N667" s="8" t="str">
        <f t="shared" si="71"/>
        <v>PEN</v>
      </c>
      <c r="O667" s="3"/>
      <c r="P667" s="3">
        <v>50</v>
      </c>
      <c r="Q667" s="3">
        <f t="shared" si="72"/>
        <v>0</v>
      </c>
      <c r="R667" s="3">
        <f t="shared" si="73"/>
        <v>50</v>
      </c>
      <c r="S667" s="3">
        <f t="shared" si="68"/>
        <v>158.19999999999897</v>
      </c>
      <c r="T667" s="24" t="s">
        <v>1334</v>
      </c>
      <c r="U667" s="24" t="s">
        <v>1334</v>
      </c>
      <c r="V667" s="3"/>
      <c r="W667" s="25">
        <f>IFERROR(VLOOKUP(Caja_Arequipa[[#This Row],[destinatario]],CHOOSE({1,2},Clientes_Proveedores[Razon Social],Clientes_Proveedores[Ruc / Dni]),2,0),"")</f>
        <v>20610760008</v>
      </c>
      <c r="X667" s="3"/>
      <c r="Y667" s="3"/>
      <c r="Z667" s="3"/>
      <c r="AA667" s="3"/>
      <c r="AB667" s="3" t="str">
        <f>IF(Caja_Arequipa[[#This Row],[fecha]]&gt;0,TEXT(Caja_Arequipa[[#This Row],[fecha]],"mmmm"),0)</f>
        <v>Agosto</v>
      </c>
    </row>
    <row r="668" spans="1:28" s="128" customFormat="1" x14ac:dyDescent="0.3">
      <c r="A668" s="119">
        <f>IF(Caja_Arequipa[[#This Row],[tipo_r]]="R",COUNTIFS($C$1:$C667,"R")+1,A667)</f>
        <v>559</v>
      </c>
      <c r="B668" s="120" t="str">
        <f>"C-Tesoreria"</f>
        <v>C-Tesoreria</v>
      </c>
      <c r="C668" s="121" t="s">
        <v>1330</v>
      </c>
      <c r="D668" s="122">
        <v>45873</v>
      </c>
      <c r="E668" s="123" t="s">
        <v>1338</v>
      </c>
      <c r="F668" s="123" t="s">
        <v>1303</v>
      </c>
      <c r="G668" s="121" t="s">
        <v>3634</v>
      </c>
      <c r="H668" s="124"/>
      <c r="I668" s="124"/>
      <c r="J668" s="124"/>
      <c r="K668" s="124"/>
      <c r="L668" s="125" t="s">
        <v>5340</v>
      </c>
      <c r="M668" s="126" t="str">
        <f>IF(Caja_Arequipa[[#This Row],[tipo_r]]="R","001-"&amp;12002+A668,M667)</f>
        <v>001-12561</v>
      </c>
      <c r="N668" s="126" t="str">
        <f>"PEN"</f>
        <v>PEN</v>
      </c>
      <c r="O668" s="121"/>
      <c r="P668" s="121">
        <v>300</v>
      </c>
      <c r="Q668" s="121">
        <f>+IF(OR($F668="SALDO",$F668="INGRESO"),$P668,0)</f>
        <v>300</v>
      </c>
      <c r="R668" s="121">
        <f>+IF($F668="EGRESO",$P668,0)</f>
        <v>0</v>
      </c>
      <c r="S668" s="121">
        <f t="shared" si="68"/>
        <v>458.19999999999897</v>
      </c>
      <c r="T668" s="127" t="s">
        <v>1334</v>
      </c>
      <c r="U668" s="127"/>
      <c r="V668" s="121"/>
      <c r="W668" s="215" t="str">
        <f>IFERROR(VLOOKUP(Caja_Arequipa[[#This Row],[destinatario]],CHOOSE({1,2},Clientes_Proveedores[Razon Social],Clientes_Proveedores[Ruc / Dni]),2,0),"")</f>
        <v/>
      </c>
      <c r="X668" s="121"/>
      <c r="Y668" s="121"/>
      <c r="Z668" s="121"/>
      <c r="AA668" s="121"/>
      <c r="AB668" s="121" t="str">
        <f>IF(Caja_Arequipa[[#This Row],[fecha]]&gt;0,TEXT(Caja_Arequipa[[#This Row],[fecha]],"mmmm"),0)</f>
        <v>Agosto</v>
      </c>
    </row>
    <row r="669" spans="1:28" ht="24" x14ac:dyDescent="0.3">
      <c r="A669" s="2">
        <f>IF(Caja_Arequipa[[#This Row],[tipo_r]]="R",COUNTIFS($C$1:$C668,"R")+1,A668)</f>
        <v>560</v>
      </c>
      <c r="B669" s="19" t="str">
        <f t="shared" si="70"/>
        <v>C-Tesoreria</v>
      </c>
      <c r="C669" s="3" t="s">
        <v>1330</v>
      </c>
      <c r="D669" s="14">
        <v>45873</v>
      </c>
      <c r="E669" s="5" t="s">
        <v>1338</v>
      </c>
      <c r="F669" s="5" t="s">
        <v>1336</v>
      </c>
      <c r="G669" s="3" t="s">
        <v>5250</v>
      </c>
      <c r="H669" s="6" t="s">
        <v>974</v>
      </c>
      <c r="I669" s="6" t="s">
        <v>68</v>
      </c>
      <c r="J669" s="6" t="s">
        <v>6104</v>
      </c>
      <c r="K669" s="6">
        <v>14122</v>
      </c>
      <c r="L669" s="7" t="s">
        <v>6197</v>
      </c>
      <c r="M669" s="8" t="str">
        <f>IF(Caja_Arequipa[[#This Row],[tipo_r]]="R","001-"&amp;12002+A669,M668)</f>
        <v>001-12562</v>
      </c>
      <c r="N669" s="8" t="str">
        <f t="shared" si="71"/>
        <v>PEN</v>
      </c>
      <c r="O669" s="3"/>
      <c r="P669" s="3">
        <v>20</v>
      </c>
      <c r="Q669" s="3">
        <f t="shared" si="72"/>
        <v>0</v>
      </c>
      <c r="R669" s="3">
        <f t="shared" si="73"/>
        <v>20</v>
      </c>
      <c r="S669" s="3">
        <f t="shared" si="68"/>
        <v>438.19999999999897</v>
      </c>
      <c r="T669" s="24" t="s">
        <v>1334</v>
      </c>
      <c r="U669" s="24" t="s">
        <v>1334</v>
      </c>
      <c r="V669" s="3"/>
      <c r="W669" s="25">
        <f>IFERROR(VLOOKUP(Caja_Arequipa[[#This Row],[destinatario]],CHOOSE({1,2},Clientes_Proveedores[Razon Social],Clientes_Proveedores[Ruc / Dni]),2,0),"")</f>
        <v>20558053691</v>
      </c>
      <c r="X669" s="3"/>
      <c r="Y669" s="3"/>
      <c r="Z669" s="3"/>
      <c r="AA669" s="3"/>
      <c r="AB669" s="3" t="str">
        <f>IF(Caja_Arequipa[[#This Row],[fecha]]&gt;0,TEXT(Caja_Arequipa[[#This Row],[fecha]],"mmmm"),0)</f>
        <v>Agosto</v>
      </c>
    </row>
    <row r="670" spans="1:28" ht="24" x14ac:dyDescent="0.3">
      <c r="A670" s="2">
        <f>IF(Caja_Arequipa[[#This Row],[tipo_r]]="R",COUNTIFS($C$1:$C669,"R")+1,A669)</f>
        <v>561</v>
      </c>
      <c r="B670" s="19" t="str">
        <f t="shared" ref="B670:B675" si="74">"C-Tesoreria"</f>
        <v>C-Tesoreria</v>
      </c>
      <c r="C670" s="3" t="s">
        <v>1330</v>
      </c>
      <c r="D670" s="14">
        <v>45874</v>
      </c>
      <c r="E670" s="5" t="s">
        <v>1338</v>
      </c>
      <c r="F670" s="5" t="s">
        <v>1336</v>
      </c>
      <c r="G670" s="3" t="s">
        <v>4788</v>
      </c>
      <c r="H670" s="6" t="s">
        <v>967</v>
      </c>
      <c r="I670" s="6" t="s">
        <v>111</v>
      </c>
      <c r="J670" s="6">
        <v>3</v>
      </c>
      <c r="K670" s="6">
        <v>287</v>
      </c>
      <c r="L670" s="7" t="s">
        <v>6198</v>
      </c>
      <c r="M670" s="8" t="str">
        <f>IF(Caja_Arequipa[[#This Row],[tipo_r]]="R","001-"&amp;12002+A670,M669)</f>
        <v>001-12563</v>
      </c>
      <c r="N670" s="8" t="str">
        <f t="shared" ref="N670:N675" si="75">"PEN"</f>
        <v>PEN</v>
      </c>
      <c r="O670" s="3"/>
      <c r="P670" s="3">
        <v>30</v>
      </c>
      <c r="Q670" s="3">
        <f t="shared" ref="Q670:Q675" si="76">+IF(OR($F670="SALDO",$F670="INGRESO"),$P670,0)</f>
        <v>0</v>
      </c>
      <c r="R670" s="3">
        <f t="shared" ref="R670:R675" si="77">+IF($F670="EGRESO",$P670,0)</f>
        <v>30</v>
      </c>
      <c r="S670" s="3">
        <f t="shared" si="68"/>
        <v>408.19999999999897</v>
      </c>
      <c r="T670" s="24" t="s">
        <v>1334</v>
      </c>
      <c r="U670" s="24" t="s">
        <v>1334</v>
      </c>
      <c r="V670" s="3"/>
      <c r="W670" s="25">
        <f>IFERROR(VLOOKUP(Caja_Arequipa[[#This Row],[destinatario]],CHOOSE({1,2},Clientes_Proveedores[Razon Social],Clientes_Proveedores[Ruc / Dni]),2,0),"")</f>
        <v>70517150</v>
      </c>
      <c r="X670" s="3"/>
      <c r="Y670" s="3"/>
      <c r="Z670" s="3"/>
      <c r="AA670" s="3"/>
      <c r="AB670" s="3" t="str">
        <f>IF(Caja_Arequipa[[#This Row],[fecha]]&gt;0,TEXT(Caja_Arequipa[[#This Row],[fecha]],"mmmm"),0)</f>
        <v>Agosto</v>
      </c>
    </row>
    <row r="671" spans="1:28" ht="24" x14ac:dyDescent="0.3">
      <c r="A671" s="2">
        <f>IF(Caja_Arequipa[[#This Row],[tipo_r]]="R",COUNTIFS($C$1:$C670,"R")+1,A670)</f>
        <v>562</v>
      </c>
      <c r="B671" s="19" t="str">
        <f t="shared" si="74"/>
        <v>C-Tesoreria</v>
      </c>
      <c r="C671" s="3" t="s">
        <v>1330</v>
      </c>
      <c r="D671" s="14">
        <v>45874</v>
      </c>
      <c r="E671" s="5" t="s">
        <v>1338</v>
      </c>
      <c r="F671" s="5" t="s">
        <v>1336</v>
      </c>
      <c r="G671" s="3" t="s">
        <v>5248</v>
      </c>
      <c r="H671" s="6" t="s">
        <v>836</v>
      </c>
      <c r="I671" s="6" t="s">
        <v>111</v>
      </c>
      <c r="J671" s="6">
        <v>3</v>
      </c>
      <c r="K671" s="6">
        <v>288</v>
      </c>
      <c r="L671" s="7" t="s">
        <v>6199</v>
      </c>
      <c r="M671" s="8" t="str">
        <f>IF(Caja_Arequipa[[#This Row],[tipo_r]]="R","001-"&amp;12002+A671,M670)</f>
        <v>001-12564</v>
      </c>
      <c r="N671" s="8" t="str">
        <f t="shared" si="75"/>
        <v>PEN</v>
      </c>
      <c r="O671" s="3"/>
      <c r="P671" s="3">
        <v>20</v>
      </c>
      <c r="Q671" s="3">
        <f t="shared" si="76"/>
        <v>0</v>
      </c>
      <c r="R671" s="3">
        <f t="shared" si="77"/>
        <v>20</v>
      </c>
      <c r="S671" s="3">
        <f t="shared" si="68"/>
        <v>388.19999999999897</v>
      </c>
      <c r="T671" s="24" t="s">
        <v>1334</v>
      </c>
      <c r="U671" s="24" t="s">
        <v>1334</v>
      </c>
      <c r="V671" s="3"/>
      <c r="W671" s="25">
        <f>IFERROR(VLOOKUP(Caja_Arequipa[[#This Row],[destinatario]],CHOOSE({1,2},Clientes_Proveedores[Razon Social],Clientes_Proveedores[Ruc / Dni]),2,0),"")</f>
        <v>44468346</v>
      </c>
      <c r="X671" s="3"/>
      <c r="Y671" s="3"/>
      <c r="Z671" s="3"/>
      <c r="AA671" s="3"/>
      <c r="AB671" s="3" t="str">
        <f>IF(Caja_Arequipa[[#This Row],[fecha]]&gt;0,TEXT(Caja_Arequipa[[#This Row],[fecha]],"mmmm"),0)</f>
        <v>Agosto</v>
      </c>
    </row>
    <row r="672" spans="1:28" ht="24" x14ac:dyDescent="0.3">
      <c r="A672" s="2">
        <f>IF(Caja_Arequipa[[#This Row],[tipo_r]]="R",COUNTIFS($C$1:$C671,"R")+1,A671)</f>
        <v>563</v>
      </c>
      <c r="B672" s="19" t="str">
        <f t="shared" si="74"/>
        <v>C-Tesoreria</v>
      </c>
      <c r="C672" s="3" t="s">
        <v>1330</v>
      </c>
      <c r="D672" s="14">
        <v>45876</v>
      </c>
      <c r="E672" s="5" t="s">
        <v>1338</v>
      </c>
      <c r="F672" s="5" t="s">
        <v>1336</v>
      </c>
      <c r="G672" s="3" t="s">
        <v>5828</v>
      </c>
      <c r="H672" s="6" t="s">
        <v>993</v>
      </c>
      <c r="I672" s="6" t="s">
        <v>111</v>
      </c>
      <c r="J672" s="6">
        <v>3</v>
      </c>
      <c r="K672" s="6">
        <v>290</v>
      </c>
      <c r="L672" s="7" t="s">
        <v>6200</v>
      </c>
      <c r="M672" s="8" t="str">
        <f>IF(Caja_Arequipa[[#This Row],[tipo_r]]="R","001-"&amp;12002+A672,M671)</f>
        <v>001-12565</v>
      </c>
      <c r="N672" s="8" t="str">
        <f t="shared" si="75"/>
        <v>PEN</v>
      </c>
      <c r="O672" s="3"/>
      <c r="P672" s="3">
        <v>13</v>
      </c>
      <c r="Q672" s="3">
        <f t="shared" si="76"/>
        <v>0</v>
      </c>
      <c r="R672" s="3">
        <f t="shared" si="77"/>
        <v>13</v>
      </c>
      <c r="S672" s="3">
        <f t="shared" si="68"/>
        <v>375.19999999999897</v>
      </c>
      <c r="T672" s="24" t="s">
        <v>1334</v>
      </c>
      <c r="U672" s="24" t="s">
        <v>1334</v>
      </c>
      <c r="V672" s="3"/>
      <c r="W672" s="25">
        <f>IFERROR(VLOOKUP(Caja_Arequipa[[#This Row],[destinatario]],CHOOSE({1,2},Clientes_Proveedores[Razon Social],Clientes_Proveedores[Ruc / Dni]),2,0),"")</f>
        <v>76390500</v>
      </c>
      <c r="X672" s="3"/>
      <c r="Y672" s="3"/>
      <c r="Z672" s="3"/>
      <c r="AA672" s="3"/>
      <c r="AB672" s="3" t="str">
        <f>IF(Caja_Arequipa[[#This Row],[fecha]]&gt;0,TEXT(Caja_Arequipa[[#This Row],[fecha]],"mmmm"),0)</f>
        <v>Agosto</v>
      </c>
    </row>
    <row r="673" spans="1:28" ht="24" x14ac:dyDescent="0.3">
      <c r="A673" s="2">
        <f>IF(Caja_Arequipa[[#This Row],[tipo_r]]="R",COUNTIFS($C$1:$C672,"R")+1,A672)</f>
        <v>564</v>
      </c>
      <c r="B673" s="19" t="str">
        <f t="shared" si="74"/>
        <v>C-Tesoreria</v>
      </c>
      <c r="C673" s="3" t="s">
        <v>1330</v>
      </c>
      <c r="D673" s="14">
        <v>45877</v>
      </c>
      <c r="E673" s="5" t="s">
        <v>1338</v>
      </c>
      <c r="F673" s="5" t="s">
        <v>1336</v>
      </c>
      <c r="G673" s="3" t="s">
        <v>5248</v>
      </c>
      <c r="H673" s="6" t="s">
        <v>836</v>
      </c>
      <c r="I673" s="6" t="s">
        <v>111</v>
      </c>
      <c r="J673" s="6">
        <v>3</v>
      </c>
      <c r="K673" s="6">
        <v>289</v>
      </c>
      <c r="L673" s="7" t="s">
        <v>6201</v>
      </c>
      <c r="M673" s="8" t="str">
        <f>IF(Caja_Arequipa[[#This Row],[tipo_r]]="R","001-"&amp;12002+A673,M672)</f>
        <v>001-12566</v>
      </c>
      <c r="N673" s="8" t="str">
        <f t="shared" si="75"/>
        <v>PEN</v>
      </c>
      <c r="O673" s="3"/>
      <c r="P673" s="3">
        <v>17</v>
      </c>
      <c r="Q673" s="3">
        <f t="shared" si="76"/>
        <v>0</v>
      </c>
      <c r="R673" s="3">
        <f t="shared" si="77"/>
        <v>17</v>
      </c>
      <c r="S673" s="3">
        <f t="shared" si="68"/>
        <v>358.19999999999897</v>
      </c>
      <c r="T673" s="24" t="s">
        <v>1334</v>
      </c>
      <c r="U673" s="24" t="s">
        <v>1334</v>
      </c>
      <c r="V673" s="3"/>
      <c r="W673" s="25">
        <f>IFERROR(VLOOKUP(Caja_Arequipa[[#This Row],[destinatario]],CHOOSE({1,2},Clientes_Proveedores[Razon Social],Clientes_Proveedores[Ruc / Dni]),2,0),"")</f>
        <v>44468346</v>
      </c>
      <c r="X673" s="3"/>
      <c r="Y673" s="3"/>
      <c r="Z673" s="3"/>
      <c r="AA673" s="3"/>
      <c r="AB673" s="3" t="str">
        <f>IF(Caja_Arequipa[[#This Row],[fecha]]&gt;0,TEXT(Caja_Arequipa[[#This Row],[fecha]],"mmmm"),0)</f>
        <v>Agosto</v>
      </c>
    </row>
    <row r="674" spans="1:28" ht="24" x14ac:dyDescent="0.3">
      <c r="A674" s="2">
        <f>IF(Caja_Arequipa[[#This Row],[tipo_r]]="R",COUNTIFS($C$1:$C673,"R")+1,A673)</f>
        <v>565</v>
      </c>
      <c r="B674" s="19" t="str">
        <f t="shared" si="74"/>
        <v>C-Tesoreria</v>
      </c>
      <c r="C674" s="3" t="s">
        <v>1330</v>
      </c>
      <c r="D674" s="14">
        <v>45880</v>
      </c>
      <c r="E674" s="5" t="s">
        <v>1338</v>
      </c>
      <c r="F674" s="5" t="s">
        <v>1336</v>
      </c>
      <c r="G674" s="3" t="s">
        <v>5303</v>
      </c>
      <c r="H674" s="6" t="s">
        <v>684</v>
      </c>
      <c r="I674" s="6" t="s">
        <v>68</v>
      </c>
      <c r="J674" s="6" t="s">
        <v>1374</v>
      </c>
      <c r="K674" s="6">
        <v>6993</v>
      </c>
      <c r="L674" s="7" t="s">
        <v>6191</v>
      </c>
      <c r="M674" s="8" t="str">
        <f>IF(Caja_Arequipa[[#This Row],[tipo_r]]="R","001-"&amp;12002+A674,M673)</f>
        <v>001-12567</v>
      </c>
      <c r="N674" s="8" t="str">
        <f t="shared" si="75"/>
        <v>PEN</v>
      </c>
      <c r="O674" s="3"/>
      <c r="P674" s="3">
        <v>28</v>
      </c>
      <c r="Q674" s="3">
        <f t="shared" si="76"/>
        <v>0</v>
      </c>
      <c r="R674" s="3">
        <f t="shared" si="77"/>
        <v>28</v>
      </c>
      <c r="S674" s="3">
        <f t="shared" si="68"/>
        <v>330.19999999999897</v>
      </c>
      <c r="T674" s="24" t="s">
        <v>1334</v>
      </c>
      <c r="U674" s="24" t="s">
        <v>1334</v>
      </c>
      <c r="V674" s="3"/>
      <c r="W674" s="25">
        <f>IFERROR(VLOOKUP(Caja_Arequipa[[#This Row],[destinatario]],CHOOSE({1,2},Clientes_Proveedores[Razon Social],Clientes_Proveedores[Ruc / Dni]),2,0),"")</f>
        <v>20604947520</v>
      </c>
      <c r="X674" s="3"/>
      <c r="Y674" s="3"/>
      <c r="Z674" s="3"/>
      <c r="AA674" s="3"/>
      <c r="AB674" s="3" t="str">
        <f>IF(Caja_Arequipa[[#This Row],[fecha]]&gt;0,TEXT(Caja_Arequipa[[#This Row],[fecha]],"mmmm"),0)</f>
        <v>Agosto</v>
      </c>
    </row>
    <row r="675" spans="1:28" ht="24" x14ac:dyDescent="0.3">
      <c r="A675" s="2">
        <f>IF(Caja_Arequipa[[#This Row],[tipo_r]]="R",COUNTIFS($C$1:$C674,"R")+1,A674)</f>
        <v>566</v>
      </c>
      <c r="B675" s="19" t="str">
        <f t="shared" si="74"/>
        <v>C-Tesoreria</v>
      </c>
      <c r="C675" s="3" t="s">
        <v>1330</v>
      </c>
      <c r="D675" s="14">
        <v>45880</v>
      </c>
      <c r="E675" s="5" t="s">
        <v>1338</v>
      </c>
      <c r="F675" s="5" t="s">
        <v>1336</v>
      </c>
      <c r="G675" s="3" t="s">
        <v>4788</v>
      </c>
      <c r="H675" s="6" t="s">
        <v>967</v>
      </c>
      <c r="I675" s="6" t="s">
        <v>111</v>
      </c>
      <c r="J675" s="6">
        <v>3</v>
      </c>
      <c r="K675" s="6">
        <v>298</v>
      </c>
      <c r="L675" s="7" t="s">
        <v>6202</v>
      </c>
      <c r="M675" s="8" t="str">
        <f>IF(Caja_Arequipa[[#This Row],[tipo_r]]="R","001-"&amp;12002+A675,M674)</f>
        <v>001-12568</v>
      </c>
      <c r="N675" s="8" t="str">
        <f t="shared" si="75"/>
        <v>PEN</v>
      </c>
      <c r="O675" s="3"/>
      <c r="P675" s="3">
        <v>20</v>
      </c>
      <c r="Q675" s="3">
        <f t="shared" si="76"/>
        <v>0</v>
      </c>
      <c r="R675" s="3">
        <f t="shared" si="77"/>
        <v>20</v>
      </c>
      <c r="S675" s="3">
        <f t="shared" si="68"/>
        <v>310.19999999999897</v>
      </c>
      <c r="T675" s="24" t="s">
        <v>1334</v>
      </c>
      <c r="U675" s="24" t="s">
        <v>1334</v>
      </c>
      <c r="V675" s="3"/>
      <c r="W675" s="25">
        <f>IFERROR(VLOOKUP(Caja_Arequipa[[#This Row],[destinatario]],CHOOSE({1,2},Clientes_Proveedores[Razon Social],Clientes_Proveedores[Ruc / Dni]),2,0),"")</f>
        <v>70517150</v>
      </c>
      <c r="X675" s="3"/>
      <c r="Y675" s="3"/>
      <c r="Z675" s="3"/>
      <c r="AA675" s="3"/>
      <c r="AB675" s="3" t="str">
        <f>IF(Caja_Arequipa[[#This Row],[fecha]]&gt;0,TEXT(Caja_Arequipa[[#This Row],[fecha]],"mmmm"),0)</f>
        <v>Agosto</v>
      </c>
    </row>
    <row r="676" spans="1:28" s="128" customFormat="1" x14ac:dyDescent="0.3">
      <c r="A676" s="119">
        <f>IF(Caja_Arequipa[[#This Row],[tipo_r]]="R",COUNTIFS($C$1:$C675,"R")+1,A675)</f>
        <v>567</v>
      </c>
      <c r="B676" s="120" t="str">
        <f t="shared" ref="B676:B694" si="78">"C-Tesoreria"</f>
        <v>C-Tesoreria</v>
      </c>
      <c r="C676" s="121" t="s">
        <v>1330</v>
      </c>
      <c r="D676" s="122">
        <v>45881</v>
      </c>
      <c r="E676" s="123" t="s">
        <v>1416</v>
      </c>
      <c r="F676" s="123" t="s">
        <v>1303</v>
      </c>
      <c r="G676" s="121" t="s">
        <v>3634</v>
      </c>
      <c r="H676" s="124"/>
      <c r="I676" s="124"/>
      <c r="J676" s="124"/>
      <c r="K676" s="124"/>
      <c r="L676" s="125" t="s">
        <v>5340</v>
      </c>
      <c r="M676" s="126" t="str">
        <f>IF(Caja_Arequipa[[#This Row],[tipo_r]]="R","001-"&amp;12002+A676,M675)</f>
        <v>001-12569</v>
      </c>
      <c r="N676" s="126" t="str">
        <f t="shared" ref="N676:N694" si="79">"PEN"</f>
        <v>PEN</v>
      </c>
      <c r="O676" s="121"/>
      <c r="P676" s="121">
        <v>1000</v>
      </c>
      <c r="Q676" s="121">
        <f t="shared" ref="Q676:Q694" si="80">+IF(OR($F676="SALDO",$F676="INGRESO"),$P676,0)</f>
        <v>1000</v>
      </c>
      <c r="R676" s="121">
        <f t="shared" ref="R676:R694" si="81">+IF($F676="EGRESO",$P676,0)</f>
        <v>0</v>
      </c>
      <c r="S676" s="121">
        <f t="shared" si="68"/>
        <v>1310.1999999999989</v>
      </c>
      <c r="T676" s="127" t="s">
        <v>1334</v>
      </c>
      <c r="U676" s="127"/>
      <c r="V676" s="121"/>
      <c r="W676" s="215" t="str">
        <f>IFERROR(VLOOKUP(Caja_Arequipa[[#This Row],[destinatario]],CHOOSE({1,2},Clientes_Proveedores[Razon Social],Clientes_Proveedores[Ruc / Dni]),2,0),"")</f>
        <v/>
      </c>
      <c r="X676" s="121"/>
      <c r="Y676" s="121"/>
      <c r="Z676" s="121"/>
      <c r="AA676" s="121"/>
      <c r="AB676" s="121" t="str">
        <f>IF(Caja_Arequipa[[#This Row],[fecha]]&gt;0,TEXT(Caja_Arequipa[[#This Row],[fecha]],"mmmm"),0)</f>
        <v>Agosto</v>
      </c>
    </row>
    <row r="677" spans="1:28" x14ac:dyDescent="0.3">
      <c r="A677" s="2">
        <f>IF(Caja_Arequipa[[#This Row],[tipo_r]]="R",COUNTIFS($C$1:$C676,"R")+1,A676)</f>
        <v>568</v>
      </c>
      <c r="B677" s="19" t="str">
        <f t="shared" si="78"/>
        <v>C-Tesoreria</v>
      </c>
      <c r="C677" s="3" t="s">
        <v>1330</v>
      </c>
      <c r="D677" s="14">
        <v>45881</v>
      </c>
      <c r="E677" s="5" t="s">
        <v>1338</v>
      </c>
      <c r="F677" s="5" t="s">
        <v>1336</v>
      </c>
      <c r="G677" s="3" t="s">
        <v>5380</v>
      </c>
      <c r="H677" s="6"/>
      <c r="I677" s="6"/>
      <c r="J677" s="6"/>
      <c r="K677" s="6"/>
      <c r="L677" s="7" t="s">
        <v>6055</v>
      </c>
      <c r="M677" s="8" t="str">
        <f>IF(Caja_Arequipa[[#This Row],[tipo_r]]="R","001-"&amp;12002+A677,M676)</f>
        <v>001-12570</v>
      </c>
      <c r="N677" s="8" t="str">
        <f t="shared" si="79"/>
        <v>PEN</v>
      </c>
      <c r="O677" s="3"/>
      <c r="P677" s="3">
        <v>76</v>
      </c>
      <c r="Q677" s="3">
        <f t="shared" si="80"/>
        <v>0</v>
      </c>
      <c r="R677" s="3">
        <f t="shared" si="81"/>
        <v>76</v>
      </c>
      <c r="S677" s="3">
        <f t="shared" si="68"/>
        <v>1234.1999999999989</v>
      </c>
      <c r="T677" s="24" t="s">
        <v>1334</v>
      </c>
      <c r="U677" s="24" t="s">
        <v>1334</v>
      </c>
      <c r="V677" s="3"/>
      <c r="W677" s="25" t="str">
        <f>IFERROR(VLOOKUP(Caja_Arequipa[[#This Row],[destinatario]],CHOOSE({1,2},Clientes_Proveedores[Razon Social],Clientes_Proveedores[Ruc / Dni]),2,0),"")</f>
        <v/>
      </c>
      <c r="X677" s="3"/>
      <c r="Y677" s="3"/>
      <c r="Z677" s="3"/>
      <c r="AA677" s="3"/>
      <c r="AB677" s="3" t="str">
        <f>IF(Caja_Arequipa[[#This Row],[fecha]]&gt;0,TEXT(Caja_Arequipa[[#This Row],[fecha]],"mmmm"),0)</f>
        <v>Agosto</v>
      </c>
    </row>
    <row r="678" spans="1:28" x14ac:dyDescent="0.3">
      <c r="A678" s="2">
        <f>IF(Caja_Arequipa[[#This Row],[tipo_r]]="R",COUNTIFS($C$1:$C677,"R")+1,A677)</f>
        <v>568</v>
      </c>
      <c r="B678" s="19" t="str">
        <f t="shared" si="78"/>
        <v>C-Tesoreria</v>
      </c>
      <c r="C678" s="3" t="s">
        <v>1352</v>
      </c>
      <c r="D678" s="14">
        <v>45881</v>
      </c>
      <c r="E678" s="5" t="s">
        <v>1338</v>
      </c>
      <c r="F678" s="5"/>
      <c r="G678" s="3"/>
      <c r="H678" s="6" t="s">
        <v>978</v>
      </c>
      <c r="I678" s="6" t="s">
        <v>68</v>
      </c>
      <c r="J678" s="6" t="s">
        <v>6203</v>
      </c>
      <c r="K678" s="6">
        <v>2130608</v>
      </c>
      <c r="L678" s="7" t="s">
        <v>6055</v>
      </c>
      <c r="M678" s="8" t="str">
        <f>IF(Caja_Arequipa[[#This Row],[tipo_r]]="R","001-"&amp;12002+A678,M677)</f>
        <v>001-12570</v>
      </c>
      <c r="N678" s="8" t="str">
        <f t="shared" si="79"/>
        <v>PEN</v>
      </c>
      <c r="O678" s="3">
        <v>8</v>
      </c>
      <c r="P678" s="3"/>
      <c r="Q678" s="3">
        <f t="shared" si="80"/>
        <v>0</v>
      </c>
      <c r="R678" s="3">
        <f t="shared" si="81"/>
        <v>0</v>
      </c>
      <c r="S678" s="3">
        <f t="shared" si="68"/>
        <v>1234.1999999999989</v>
      </c>
      <c r="T678" s="24" t="s">
        <v>1334</v>
      </c>
      <c r="U678" s="24" t="s">
        <v>1334</v>
      </c>
      <c r="V678" s="3"/>
      <c r="W678" s="25">
        <f>IFERROR(VLOOKUP(Caja_Arequipa[[#This Row],[destinatario]],CHOOSE({1,2},Clientes_Proveedores[Razon Social],Clientes_Proveedores[Ruc / Dni]),2,0),"")</f>
        <v>20517252558</v>
      </c>
      <c r="X678" s="3"/>
      <c r="Y678" s="3"/>
      <c r="Z678" s="3"/>
      <c r="AA678" s="3"/>
      <c r="AB678" s="3" t="str">
        <f>IF(Caja_Arequipa[[#This Row],[fecha]]&gt;0,TEXT(Caja_Arequipa[[#This Row],[fecha]],"mmmm"),0)</f>
        <v>Agosto</v>
      </c>
    </row>
    <row r="679" spans="1:28" x14ac:dyDescent="0.3">
      <c r="A679" s="2">
        <f>IF(Caja_Arequipa[[#This Row],[tipo_r]]="R",COUNTIFS($C$1:$C678,"R")+1,A678)</f>
        <v>568</v>
      </c>
      <c r="B679" s="19" t="str">
        <f t="shared" si="78"/>
        <v>C-Tesoreria</v>
      </c>
      <c r="C679" s="3" t="s">
        <v>1352</v>
      </c>
      <c r="D679" s="14">
        <v>45881</v>
      </c>
      <c r="E679" s="5" t="s">
        <v>1338</v>
      </c>
      <c r="F679" s="5"/>
      <c r="G679" s="3"/>
      <c r="H679" s="6" t="s">
        <v>978</v>
      </c>
      <c r="I679" s="6" t="s">
        <v>68</v>
      </c>
      <c r="J679" s="6" t="s">
        <v>5688</v>
      </c>
      <c r="K679" s="6">
        <v>2418953</v>
      </c>
      <c r="L679" s="7" t="s">
        <v>6055</v>
      </c>
      <c r="M679" s="8" t="str">
        <f>IF(Caja_Arequipa[[#This Row],[tipo_r]]="R","001-"&amp;12002+A679,M678)</f>
        <v>001-12570</v>
      </c>
      <c r="N679" s="8" t="str">
        <f t="shared" si="79"/>
        <v>PEN</v>
      </c>
      <c r="O679" s="3">
        <v>8</v>
      </c>
      <c r="P679" s="3"/>
      <c r="Q679" s="3">
        <f t="shared" si="80"/>
        <v>0</v>
      </c>
      <c r="R679" s="3">
        <f t="shared" si="81"/>
        <v>0</v>
      </c>
      <c r="S679" s="3">
        <f t="shared" si="68"/>
        <v>1234.1999999999989</v>
      </c>
      <c r="T679" s="24" t="s">
        <v>1334</v>
      </c>
      <c r="U679" s="24" t="s">
        <v>1334</v>
      </c>
      <c r="V679" s="3"/>
      <c r="W679" s="25">
        <f>IFERROR(VLOOKUP(Caja_Arequipa[[#This Row],[destinatario]],CHOOSE({1,2},Clientes_Proveedores[Razon Social],Clientes_Proveedores[Ruc / Dni]),2,0),"")</f>
        <v>20517252558</v>
      </c>
      <c r="X679" s="3"/>
      <c r="Y679" s="3"/>
      <c r="Z679" s="3"/>
      <c r="AA679" s="3"/>
      <c r="AB679" s="3" t="str">
        <f>IF(Caja_Arequipa[[#This Row],[fecha]]&gt;0,TEXT(Caja_Arequipa[[#This Row],[fecha]],"mmmm"),0)</f>
        <v>Agosto</v>
      </c>
    </row>
    <row r="680" spans="1:28" ht="36" x14ac:dyDescent="0.3">
      <c r="A680" s="2">
        <f>IF(Caja_Arequipa[[#This Row],[tipo_r]]="R",COUNTIFS($C$1:$C679,"R")+1,A679)</f>
        <v>568</v>
      </c>
      <c r="B680" s="19" t="str">
        <f t="shared" si="78"/>
        <v>C-Tesoreria</v>
      </c>
      <c r="C680" s="3" t="s">
        <v>1352</v>
      </c>
      <c r="D680" s="14">
        <v>45881</v>
      </c>
      <c r="E680" s="5" t="s">
        <v>1338</v>
      </c>
      <c r="F680" s="5"/>
      <c r="G680" s="3"/>
      <c r="H680" s="6" t="s">
        <v>682</v>
      </c>
      <c r="I680" s="6" t="s">
        <v>68</v>
      </c>
      <c r="J680" s="6" t="s">
        <v>1353</v>
      </c>
      <c r="K680" s="6">
        <v>17180</v>
      </c>
      <c r="L680" s="7" t="s">
        <v>6055</v>
      </c>
      <c r="M680" s="8" t="str">
        <f>IF(Caja_Arequipa[[#This Row],[tipo_r]]="R","001-"&amp;12002+A680,M679)</f>
        <v>001-12570</v>
      </c>
      <c r="N680" s="8" t="str">
        <f t="shared" si="79"/>
        <v>PEN</v>
      </c>
      <c r="O680" s="3">
        <v>20</v>
      </c>
      <c r="P680" s="3"/>
      <c r="Q680" s="3">
        <f t="shared" si="80"/>
        <v>0</v>
      </c>
      <c r="R680" s="3">
        <f t="shared" si="81"/>
        <v>0</v>
      </c>
      <c r="S680" s="3">
        <f t="shared" si="68"/>
        <v>1234.1999999999989</v>
      </c>
      <c r="T680" s="24" t="s">
        <v>1334</v>
      </c>
      <c r="U680" s="24" t="s">
        <v>1334</v>
      </c>
      <c r="V680" s="3"/>
      <c r="W680" s="25">
        <f>IFERROR(VLOOKUP(Caja_Arequipa[[#This Row],[destinatario]],CHOOSE({1,2},Clientes_Proveedores[Razon Social],Clientes_Proveedores[Ruc / Dni]),2,0),"")</f>
        <v>20259858934</v>
      </c>
      <c r="X680" s="3"/>
      <c r="Y680" s="3"/>
      <c r="Z680" s="3"/>
      <c r="AA680" s="3"/>
      <c r="AB680" s="3" t="str">
        <f>IF(Caja_Arequipa[[#This Row],[fecha]]&gt;0,TEXT(Caja_Arequipa[[#This Row],[fecha]],"mmmm"),0)</f>
        <v>Agosto</v>
      </c>
    </row>
    <row r="681" spans="1:28" ht="36" x14ac:dyDescent="0.3">
      <c r="A681" s="2">
        <f>IF(Caja_Arequipa[[#This Row],[tipo_r]]="R",COUNTIFS($C$1:$C680,"R")+1,A680)</f>
        <v>568</v>
      </c>
      <c r="B681" s="19" t="str">
        <f t="shared" si="78"/>
        <v>C-Tesoreria</v>
      </c>
      <c r="C681" s="3" t="s">
        <v>1352</v>
      </c>
      <c r="D681" s="14">
        <v>45881</v>
      </c>
      <c r="E681" s="5" t="s">
        <v>1338</v>
      </c>
      <c r="F681" s="5"/>
      <c r="G681" s="3"/>
      <c r="H681" s="6" t="s">
        <v>682</v>
      </c>
      <c r="I681" s="6" t="s">
        <v>68</v>
      </c>
      <c r="J681" s="6" t="s">
        <v>1353</v>
      </c>
      <c r="K681" s="6">
        <v>17067</v>
      </c>
      <c r="L681" s="7" t="s">
        <v>6055</v>
      </c>
      <c r="M681" s="8" t="str">
        <f>IF(Caja_Arequipa[[#This Row],[tipo_r]]="R","001-"&amp;12002+A681,M680)</f>
        <v>001-12570</v>
      </c>
      <c r="N681" s="8" t="str">
        <f t="shared" si="79"/>
        <v>PEN</v>
      </c>
      <c r="O681" s="3">
        <v>20</v>
      </c>
      <c r="P681" s="3"/>
      <c r="Q681" s="3">
        <f t="shared" si="80"/>
        <v>0</v>
      </c>
      <c r="R681" s="3">
        <f t="shared" si="81"/>
        <v>0</v>
      </c>
      <c r="S681" s="3">
        <f t="shared" si="68"/>
        <v>1234.1999999999989</v>
      </c>
      <c r="T681" s="24" t="s">
        <v>1334</v>
      </c>
      <c r="U681" s="24" t="s">
        <v>1334</v>
      </c>
      <c r="V681" s="3"/>
      <c r="W681" s="25">
        <f>IFERROR(VLOOKUP(Caja_Arequipa[[#This Row],[destinatario]],CHOOSE({1,2},Clientes_Proveedores[Razon Social],Clientes_Proveedores[Ruc / Dni]),2,0),"")</f>
        <v>20259858934</v>
      </c>
      <c r="X681" s="3"/>
      <c r="Y681" s="3"/>
      <c r="Z681" s="3"/>
      <c r="AA681" s="3"/>
      <c r="AB681" s="3" t="str">
        <f>IF(Caja_Arequipa[[#This Row],[fecha]]&gt;0,TEXT(Caja_Arequipa[[#This Row],[fecha]],"mmmm"),0)</f>
        <v>Agosto</v>
      </c>
    </row>
    <row r="682" spans="1:28" ht="36" x14ac:dyDescent="0.3">
      <c r="A682" s="2">
        <f>IF(Caja_Arequipa[[#This Row],[tipo_r]]="R",COUNTIFS($C$1:$C681,"R")+1,A681)</f>
        <v>568</v>
      </c>
      <c r="B682" s="19" t="str">
        <f t="shared" si="78"/>
        <v>C-Tesoreria</v>
      </c>
      <c r="C682" s="3" t="s">
        <v>1352</v>
      </c>
      <c r="D682" s="14">
        <v>45881</v>
      </c>
      <c r="E682" s="5" t="s">
        <v>1338</v>
      </c>
      <c r="F682" s="5"/>
      <c r="G682" s="3"/>
      <c r="H682" s="6" t="s">
        <v>682</v>
      </c>
      <c r="I682" s="6" t="s">
        <v>68</v>
      </c>
      <c r="J682" s="6" t="s">
        <v>1353</v>
      </c>
      <c r="K682" s="6">
        <v>17066</v>
      </c>
      <c r="L682" s="7" t="s">
        <v>6055</v>
      </c>
      <c r="M682" s="8" t="str">
        <f>IF(Caja_Arequipa[[#This Row],[tipo_r]]="R","001-"&amp;12002+A682,M681)</f>
        <v>001-12570</v>
      </c>
      <c r="N682" s="8" t="str">
        <f t="shared" si="79"/>
        <v>PEN</v>
      </c>
      <c r="O682" s="3">
        <v>20</v>
      </c>
      <c r="P682" s="3"/>
      <c r="Q682" s="3">
        <f t="shared" si="80"/>
        <v>0</v>
      </c>
      <c r="R682" s="3">
        <f t="shared" si="81"/>
        <v>0</v>
      </c>
      <c r="S682" s="3">
        <f t="shared" si="68"/>
        <v>1234.1999999999989</v>
      </c>
      <c r="T682" s="24" t="s">
        <v>1334</v>
      </c>
      <c r="U682" s="24" t="s">
        <v>1334</v>
      </c>
      <c r="V682" s="3"/>
      <c r="W682" s="25">
        <f>IFERROR(VLOOKUP(Caja_Arequipa[[#This Row],[destinatario]],CHOOSE({1,2},Clientes_Proveedores[Razon Social],Clientes_Proveedores[Ruc / Dni]),2,0),"")</f>
        <v>20259858934</v>
      </c>
      <c r="X682" s="3"/>
      <c r="Y682" s="3"/>
      <c r="Z682" s="3"/>
      <c r="AA682" s="3"/>
      <c r="AB682" s="3" t="str">
        <f>IF(Caja_Arequipa[[#This Row],[fecha]]&gt;0,TEXT(Caja_Arequipa[[#This Row],[fecha]],"mmmm"),0)</f>
        <v>Agosto</v>
      </c>
    </row>
    <row r="683" spans="1:28" x14ac:dyDescent="0.3">
      <c r="A683" s="2">
        <f>IF(Caja_Arequipa[[#This Row],[tipo_r]]="R",COUNTIFS($C$1:$C682,"R")+1,A682)</f>
        <v>569</v>
      </c>
      <c r="B683" s="19" t="str">
        <f t="shared" si="78"/>
        <v>C-Tesoreria</v>
      </c>
      <c r="C683" s="3" t="s">
        <v>1330</v>
      </c>
      <c r="D683" s="14">
        <v>45881</v>
      </c>
      <c r="E683" s="5" t="s">
        <v>1338</v>
      </c>
      <c r="F683" s="5" t="s">
        <v>1336</v>
      </c>
      <c r="G683" s="3" t="s">
        <v>5274</v>
      </c>
      <c r="H683" s="6"/>
      <c r="I683" s="6"/>
      <c r="J683" s="6"/>
      <c r="K683" s="6"/>
      <c r="L683" s="7" t="s">
        <v>6055</v>
      </c>
      <c r="M683" s="8" t="str">
        <f>IF(Caja_Arequipa[[#This Row],[tipo_r]]="R","001-"&amp;12002+A683,M682)</f>
        <v>001-12571</v>
      </c>
      <c r="N683" s="8" t="str">
        <f t="shared" si="79"/>
        <v>PEN</v>
      </c>
      <c r="O683" s="3"/>
      <c r="P683" s="3">
        <v>10</v>
      </c>
      <c r="Q683" s="3">
        <f t="shared" si="80"/>
        <v>0</v>
      </c>
      <c r="R683" s="3">
        <f t="shared" si="81"/>
        <v>10</v>
      </c>
      <c r="S683" s="3">
        <f t="shared" si="68"/>
        <v>1224.1999999999989</v>
      </c>
      <c r="T683" s="24" t="s">
        <v>1334</v>
      </c>
      <c r="U683" s="24" t="s">
        <v>1334</v>
      </c>
      <c r="V683" s="3"/>
      <c r="W683" s="25" t="str">
        <f>IFERROR(VLOOKUP(Caja_Arequipa[[#This Row],[destinatario]],CHOOSE({1,2},Clientes_Proveedores[Razon Social],Clientes_Proveedores[Ruc / Dni]),2,0),"")</f>
        <v/>
      </c>
      <c r="X683" s="3"/>
      <c r="Y683" s="3"/>
      <c r="Z683" s="3"/>
      <c r="AA683" s="3"/>
      <c r="AB683" s="3" t="str">
        <f>IF(Caja_Arequipa[[#This Row],[fecha]]&gt;0,TEXT(Caja_Arequipa[[#This Row],[fecha]],"mmmm"),0)</f>
        <v>Agosto</v>
      </c>
    </row>
    <row r="684" spans="1:28" x14ac:dyDescent="0.3">
      <c r="A684" s="2">
        <f>IF(Caja_Arequipa[[#This Row],[tipo_r]]="R",COUNTIFS($C$1:$C683,"R")+1,A683)</f>
        <v>569</v>
      </c>
      <c r="B684" s="19" t="str">
        <f t="shared" si="78"/>
        <v>C-Tesoreria</v>
      </c>
      <c r="C684" s="3" t="s">
        <v>1352</v>
      </c>
      <c r="D684" s="14">
        <v>45881</v>
      </c>
      <c r="E684" s="5" t="s">
        <v>1338</v>
      </c>
      <c r="F684" s="5"/>
      <c r="G684" s="3"/>
      <c r="H684" s="6" t="s">
        <v>978</v>
      </c>
      <c r="I684" s="6" t="s">
        <v>68</v>
      </c>
      <c r="J684" s="6" t="s">
        <v>6204</v>
      </c>
      <c r="K684" s="6">
        <v>1803301</v>
      </c>
      <c r="L684" s="7" t="s">
        <v>6055</v>
      </c>
      <c r="M684" s="8" t="str">
        <f>IF(Caja_Arequipa[[#This Row],[tipo_r]]="R","001-"&amp;12002+A684,M683)</f>
        <v>001-12571</v>
      </c>
      <c r="N684" s="8" t="str">
        <f t="shared" si="79"/>
        <v>PEN</v>
      </c>
      <c r="O684" s="3">
        <v>5</v>
      </c>
      <c r="P684" s="3"/>
      <c r="Q684" s="3">
        <f t="shared" si="80"/>
        <v>0</v>
      </c>
      <c r="R684" s="3">
        <f t="shared" si="81"/>
        <v>0</v>
      </c>
      <c r="S684" s="3">
        <f t="shared" si="68"/>
        <v>1224.1999999999989</v>
      </c>
      <c r="T684" s="24" t="s">
        <v>1334</v>
      </c>
      <c r="U684" s="24" t="s">
        <v>1334</v>
      </c>
      <c r="V684" s="3"/>
      <c r="W684" s="25">
        <f>IFERROR(VLOOKUP(Caja_Arequipa[[#This Row],[destinatario]],CHOOSE({1,2},Clientes_Proveedores[Razon Social],Clientes_Proveedores[Ruc / Dni]),2,0),"")</f>
        <v>20517252558</v>
      </c>
      <c r="X684" s="3"/>
      <c r="Y684" s="3"/>
      <c r="Z684" s="3"/>
      <c r="AA684" s="3"/>
      <c r="AB684" s="3" t="str">
        <f>IF(Caja_Arequipa[[#This Row],[fecha]]&gt;0,TEXT(Caja_Arequipa[[#This Row],[fecha]],"mmmm"),0)</f>
        <v>Agosto</v>
      </c>
    </row>
    <row r="685" spans="1:28" x14ac:dyDescent="0.3">
      <c r="A685" s="2">
        <f>IF(Caja_Arequipa[[#This Row],[tipo_r]]="R",COUNTIFS($C$1:$C684,"R")+1,A684)</f>
        <v>569</v>
      </c>
      <c r="B685" s="19" t="str">
        <f t="shared" si="78"/>
        <v>C-Tesoreria</v>
      </c>
      <c r="C685" s="3" t="s">
        <v>1352</v>
      </c>
      <c r="D685" s="14">
        <v>45881</v>
      </c>
      <c r="E685" s="5" t="s">
        <v>1338</v>
      </c>
      <c r="F685" s="5"/>
      <c r="G685" s="3"/>
      <c r="H685" s="6" t="s">
        <v>978</v>
      </c>
      <c r="I685" s="6" t="s">
        <v>68</v>
      </c>
      <c r="J685" s="6" t="s">
        <v>5845</v>
      </c>
      <c r="K685" s="6">
        <v>1823766</v>
      </c>
      <c r="L685" s="7" t="s">
        <v>6055</v>
      </c>
      <c r="M685" s="8" t="str">
        <f>IF(Caja_Arequipa[[#This Row],[tipo_r]]="R","001-"&amp;12002+A685,M684)</f>
        <v>001-12571</v>
      </c>
      <c r="N685" s="8" t="str">
        <f t="shared" si="79"/>
        <v>PEN</v>
      </c>
      <c r="O685" s="3">
        <v>5</v>
      </c>
      <c r="P685" s="3"/>
      <c r="Q685" s="3">
        <f t="shared" si="80"/>
        <v>0</v>
      </c>
      <c r="R685" s="3">
        <f t="shared" si="81"/>
        <v>0</v>
      </c>
      <c r="S685" s="3">
        <f t="shared" si="68"/>
        <v>1224.1999999999989</v>
      </c>
      <c r="T685" s="24" t="s">
        <v>1334</v>
      </c>
      <c r="U685" s="24" t="s">
        <v>1334</v>
      </c>
      <c r="V685" s="3"/>
      <c r="W685" s="25">
        <f>IFERROR(VLOOKUP(Caja_Arequipa[[#This Row],[destinatario]],CHOOSE({1,2},Clientes_Proveedores[Razon Social],Clientes_Proveedores[Ruc / Dni]),2,0),"")</f>
        <v>20517252558</v>
      </c>
      <c r="X685" s="3"/>
      <c r="Y685" s="3"/>
      <c r="Z685" s="3"/>
      <c r="AA685" s="3"/>
      <c r="AB685" s="3" t="str">
        <f>IF(Caja_Arequipa[[#This Row],[fecha]]&gt;0,TEXT(Caja_Arequipa[[#This Row],[fecha]],"mmmm"),0)</f>
        <v>Agosto</v>
      </c>
    </row>
    <row r="686" spans="1:28" ht="24" x14ac:dyDescent="0.3">
      <c r="A686" s="2">
        <f>IF(Caja_Arequipa[[#This Row],[tipo_r]]="R",COUNTIFS($C$1:$C685,"R")+1,A685)</f>
        <v>570</v>
      </c>
      <c r="B686" s="19" t="str">
        <f t="shared" si="78"/>
        <v>C-Tesoreria</v>
      </c>
      <c r="C686" s="3" t="s">
        <v>1330</v>
      </c>
      <c r="D686" s="14">
        <v>45881</v>
      </c>
      <c r="E686" s="5" t="s">
        <v>1338</v>
      </c>
      <c r="F686" s="5" t="s">
        <v>1336</v>
      </c>
      <c r="G686" s="3" t="s">
        <v>5248</v>
      </c>
      <c r="H686" s="6" t="s">
        <v>836</v>
      </c>
      <c r="I686" s="6" t="s">
        <v>111</v>
      </c>
      <c r="J686" s="6">
        <v>3</v>
      </c>
      <c r="K686" s="6">
        <v>300</v>
      </c>
      <c r="L686" s="7" t="s">
        <v>6205</v>
      </c>
      <c r="M686" s="8" t="str">
        <f>IF(Caja_Arequipa[[#This Row],[tipo_r]]="R","001-"&amp;12002+A686,M685)</f>
        <v>001-12572</v>
      </c>
      <c r="N686" s="8" t="str">
        <f t="shared" si="79"/>
        <v>PEN</v>
      </c>
      <c r="O686" s="3"/>
      <c r="P686" s="3">
        <v>2</v>
      </c>
      <c r="Q686" s="3">
        <f t="shared" si="80"/>
        <v>0</v>
      </c>
      <c r="R686" s="3">
        <f t="shared" si="81"/>
        <v>2</v>
      </c>
      <c r="S686" s="3">
        <f t="shared" si="68"/>
        <v>1222.1999999999989</v>
      </c>
      <c r="T686" s="24" t="s">
        <v>1334</v>
      </c>
      <c r="U686" s="24" t="s">
        <v>1334</v>
      </c>
      <c r="V686" s="3"/>
      <c r="W686" s="25">
        <f>IFERROR(VLOOKUP(Caja_Arequipa[[#This Row],[destinatario]],CHOOSE({1,2},Clientes_Proveedores[Razon Social],Clientes_Proveedores[Ruc / Dni]),2,0),"")</f>
        <v>44468346</v>
      </c>
      <c r="X686" s="3"/>
      <c r="Y686" s="3"/>
      <c r="Z686" s="3"/>
      <c r="AA686" s="3"/>
      <c r="AB686" s="3" t="str">
        <f>IF(Caja_Arequipa[[#This Row],[fecha]]&gt;0,TEXT(Caja_Arequipa[[#This Row],[fecha]],"mmmm"),0)</f>
        <v>Agosto</v>
      </c>
    </row>
    <row r="687" spans="1:28" x14ac:dyDescent="0.3">
      <c r="A687" s="2">
        <f>IF(Caja_Arequipa[[#This Row],[tipo_r]]="R",COUNTIFS($C$1:$C686,"R")+1,A686)</f>
        <v>571</v>
      </c>
      <c r="B687" s="19" t="str">
        <f t="shared" si="78"/>
        <v>C-Tesoreria</v>
      </c>
      <c r="C687" s="3" t="s">
        <v>1330</v>
      </c>
      <c r="D687" s="14">
        <v>45881</v>
      </c>
      <c r="E687" s="158" t="s">
        <v>1338</v>
      </c>
      <c r="F687" s="5" t="s">
        <v>1336</v>
      </c>
      <c r="G687" s="3" t="s">
        <v>4788</v>
      </c>
      <c r="H687" s="6"/>
      <c r="I687" s="6"/>
      <c r="J687" s="6"/>
      <c r="K687" s="6" t="s">
        <v>6206</v>
      </c>
      <c r="L687" s="7" t="s">
        <v>6055</v>
      </c>
      <c r="M687" s="8" t="str">
        <f>IF(Caja_Arequipa[[#This Row],[tipo_r]]="R","001-"&amp;12002+A687,M686)</f>
        <v>001-12573</v>
      </c>
      <c r="N687" s="8" t="str">
        <f t="shared" si="79"/>
        <v>PEN</v>
      </c>
      <c r="O687" s="3"/>
      <c r="P687" s="3">
        <v>275.39999999999998</v>
      </c>
      <c r="Q687" s="3">
        <f t="shared" si="80"/>
        <v>0</v>
      </c>
      <c r="R687" s="3">
        <f t="shared" si="81"/>
        <v>275.39999999999998</v>
      </c>
      <c r="S687" s="3">
        <f t="shared" si="68"/>
        <v>946.79999999999893</v>
      </c>
      <c r="T687" s="24" t="s">
        <v>1334</v>
      </c>
      <c r="U687" s="24"/>
      <c r="V687" s="3"/>
      <c r="W687" s="25" t="str">
        <f>IFERROR(VLOOKUP(Caja_Arequipa[[#This Row],[destinatario]],CHOOSE({1,2},Clientes_Proveedores[Razon Social],Clientes_Proveedores[Ruc / Dni]),2,0),"")</f>
        <v/>
      </c>
      <c r="X687" s="3"/>
      <c r="Y687" s="3"/>
      <c r="Z687" s="3"/>
      <c r="AA687" s="3"/>
      <c r="AB687" s="3" t="str">
        <f>IF(Caja_Arequipa[[#This Row],[fecha]]&gt;0,TEXT(Caja_Arequipa[[#This Row],[fecha]],"mmmm"),0)</f>
        <v>Agosto</v>
      </c>
    </row>
    <row r="688" spans="1:28" ht="24" x14ac:dyDescent="0.3">
      <c r="A688" s="2">
        <f>IF(Caja_Arequipa[[#This Row],[tipo_r]]="R",COUNTIFS($C$1:$C687,"R")+1,A687)</f>
        <v>571</v>
      </c>
      <c r="B688" s="19" t="str">
        <f t="shared" si="78"/>
        <v>C-Tesoreria</v>
      </c>
      <c r="C688" s="3" t="s">
        <v>1352</v>
      </c>
      <c r="D688" s="14">
        <v>45881</v>
      </c>
      <c r="E688" s="158" t="s">
        <v>1338</v>
      </c>
      <c r="F688" s="5"/>
      <c r="G688" s="3"/>
      <c r="H688" s="6" t="s">
        <v>1051</v>
      </c>
      <c r="I688" s="6" t="s">
        <v>75</v>
      </c>
      <c r="J688" s="6">
        <v>2</v>
      </c>
      <c r="K688" s="6">
        <v>28</v>
      </c>
      <c r="L688" s="7" t="s">
        <v>6207</v>
      </c>
      <c r="M688" s="8" t="str">
        <f>IF(Caja_Arequipa[[#This Row],[tipo_r]]="R","001-"&amp;12002+A688,M687)</f>
        <v>001-12573</v>
      </c>
      <c r="N688" s="8" t="str">
        <f t="shared" si="79"/>
        <v>PEN</v>
      </c>
      <c r="O688" s="3">
        <v>30</v>
      </c>
      <c r="P688" s="3"/>
      <c r="Q688" s="3">
        <f t="shared" si="80"/>
        <v>0</v>
      </c>
      <c r="R688" s="3">
        <f t="shared" si="81"/>
        <v>0</v>
      </c>
      <c r="S688" s="3">
        <f t="shared" si="68"/>
        <v>946.79999999999893</v>
      </c>
      <c r="T688" s="24" t="s">
        <v>1334</v>
      </c>
      <c r="U688" s="24"/>
      <c r="V688" s="3"/>
      <c r="W688" s="25">
        <f>IFERROR(VLOOKUP(Caja_Arequipa[[#This Row],[destinatario]],CHOOSE({1,2},Clientes_Proveedores[Razon Social],Clientes_Proveedores[Ruc / Dni]),2,0),"")</f>
        <v>10296171315</v>
      </c>
      <c r="X688" s="3"/>
      <c r="Y688" s="3"/>
      <c r="Z688" s="3"/>
      <c r="AA688" s="3"/>
      <c r="AB688" s="3" t="str">
        <f>IF(Caja_Arequipa[[#This Row],[fecha]]&gt;0,TEXT(Caja_Arequipa[[#This Row],[fecha]],"mmmm"),0)</f>
        <v>Agosto</v>
      </c>
    </row>
    <row r="689" spans="1:28" ht="24" x14ac:dyDescent="0.3">
      <c r="A689" s="2">
        <f>IF(Caja_Arequipa[[#This Row],[tipo_r]]="R",COUNTIFS($C$1:$C688,"R")+1,A688)</f>
        <v>571</v>
      </c>
      <c r="B689" s="19" t="str">
        <f t="shared" si="78"/>
        <v>C-Tesoreria</v>
      </c>
      <c r="C689" s="3" t="s">
        <v>1352</v>
      </c>
      <c r="D689" s="14">
        <v>45881</v>
      </c>
      <c r="E689" s="158" t="s">
        <v>1338</v>
      </c>
      <c r="F689" s="5"/>
      <c r="G689" s="3"/>
      <c r="H689" s="6" t="s">
        <v>1031</v>
      </c>
      <c r="I689" s="6" t="s">
        <v>68</v>
      </c>
      <c r="J689" s="6" t="s">
        <v>6208</v>
      </c>
      <c r="K689" s="6">
        <v>1683570</v>
      </c>
      <c r="L689" s="7" t="s">
        <v>6209</v>
      </c>
      <c r="M689" s="8" t="str">
        <f>IF(Caja_Arequipa[[#This Row],[tipo_r]]="R","001-"&amp;12002+A689,M688)</f>
        <v>001-12573</v>
      </c>
      <c r="N689" s="8" t="str">
        <f t="shared" si="79"/>
        <v>PEN</v>
      </c>
      <c r="O689" s="3">
        <v>105.9</v>
      </c>
      <c r="P689" s="3"/>
      <c r="Q689" s="3">
        <f t="shared" si="80"/>
        <v>0</v>
      </c>
      <c r="R689" s="3">
        <f t="shared" si="81"/>
        <v>0</v>
      </c>
      <c r="S689" s="3">
        <f t="shared" si="68"/>
        <v>946.79999999999893</v>
      </c>
      <c r="T689" s="24" t="s">
        <v>1334</v>
      </c>
      <c r="U689" s="24"/>
      <c r="V689" s="3"/>
      <c r="W689" s="25">
        <f>IFERROR(VLOOKUP(Caja_Arequipa[[#This Row],[destinatario]],CHOOSE({1,2},Clientes_Proveedores[Razon Social],Clientes_Proveedores[Ruc / Dni]),2,0),"")</f>
        <v>20492092313</v>
      </c>
      <c r="X689" s="3"/>
      <c r="Y689" s="3"/>
      <c r="Z689" s="3"/>
      <c r="AA689" s="3"/>
      <c r="AB689" s="3" t="str">
        <f>IF(Caja_Arequipa[[#This Row],[fecha]]&gt;0,TEXT(Caja_Arequipa[[#This Row],[fecha]],"mmmm"),0)</f>
        <v>Agosto</v>
      </c>
    </row>
    <row r="690" spans="1:28" ht="24" x14ac:dyDescent="0.3">
      <c r="A690" s="2">
        <f>IF(Caja_Arequipa[[#This Row],[tipo_r]]="R",COUNTIFS($C$1:$C689,"R")+1,A689)</f>
        <v>571</v>
      </c>
      <c r="B690" s="19" t="str">
        <f t="shared" si="78"/>
        <v>C-Tesoreria</v>
      </c>
      <c r="C690" s="3" t="s">
        <v>1352</v>
      </c>
      <c r="D690" s="14">
        <v>45881</v>
      </c>
      <c r="E690" s="158" t="s">
        <v>1338</v>
      </c>
      <c r="F690" s="5"/>
      <c r="G690" s="3"/>
      <c r="H690" s="6" t="s">
        <v>1031</v>
      </c>
      <c r="I690" s="6" t="s">
        <v>68</v>
      </c>
      <c r="J690" s="6" t="s">
        <v>6208</v>
      </c>
      <c r="K690" s="6">
        <v>1759794</v>
      </c>
      <c r="L690" s="7" t="s">
        <v>6210</v>
      </c>
      <c r="M690" s="8" t="str">
        <f>IF(Caja_Arequipa[[#This Row],[tipo_r]]="R","001-"&amp;12002+A690,M689)</f>
        <v>001-12573</v>
      </c>
      <c r="N690" s="8" t="str">
        <f t="shared" si="79"/>
        <v>PEN</v>
      </c>
      <c r="O690" s="3">
        <v>85.5</v>
      </c>
      <c r="P690" s="3"/>
      <c r="Q690" s="3">
        <f t="shared" si="80"/>
        <v>0</v>
      </c>
      <c r="R690" s="3">
        <f t="shared" si="81"/>
        <v>0</v>
      </c>
      <c r="S690" s="3">
        <f t="shared" si="68"/>
        <v>946.79999999999893</v>
      </c>
      <c r="T690" s="24" t="s">
        <v>1334</v>
      </c>
      <c r="U690" s="24"/>
      <c r="V690" s="3"/>
      <c r="W690" s="25">
        <f>IFERROR(VLOOKUP(Caja_Arequipa[[#This Row],[destinatario]],CHOOSE({1,2},Clientes_Proveedores[Razon Social],Clientes_Proveedores[Ruc / Dni]),2,0),"")</f>
        <v>20492092313</v>
      </c>
      <c r="X690" s="3"/>
      <c r="Y690" s="3"/>
      <c r="Z690" s="3"/>
      <c r="AA690" s="3"/>
      <c r="AB690" s="3" t="str">
        <f>IF(Caja_Arequipa[[#This Row],[fecha]]&gt;0,TEXT(Caja_Arequipa[[#This Row],[fecha]],"mmmm"),0)</f>
        <v>Agosto</v>
      </c>
    </row>
    <row r="691" spans="1:28" ht="24" x14ac:dyDescent="0.3">
      <c r="A691" s="2">
        <f>IF(Caja_Arequipa[[#This Row],[tipo_r]]="R",COUNTIFS($C$1:$C690,"R")+1,A690)</f>
        <v>571</v>
      </c>
      <c r="B691" s="19" t="str">
        <f t="shared" si="78"/>
        <v>C-Tesoreria</v>
      </c>
      <c r="C691" s="3" t="s">
        <v>1352</v>
      </c>
      <c r="D691" s="14">
        <v>45881</v>
      </c>
      <c r="E691" s="158" t="s">
        <v>1338</v>
      </c>
      <c r="F691" s="5"/>
      <c r="G691" s="3"/>
      <c r="H691" s="6" t="s">
        <v>678</v>
      </c>
      <c r="I691" s="6" t="s">
        <v>75</v>
      </c>
      <c r="J691" s="6">
        <v>1</v>
      </c>
      <c r="K691" s="6">
        <v>4388</v>
      </c>
      <c r="L691" s="7" t="s">
        <v>6211</v>
      </c>
      <c r="M691" s="8" t="str">
        <f>IF(Caja_Arequipa[[#This Row],[tipo_r]]="R","001-"&amp;12002+A691,M690)</f>
        <v>001-12573</v>
      </c>
      <c r="N691" s="8" t="str">
        <f t="shared" si="79"/>
        <v>PEN</v>
      </c>
      <c r="O691" s="3">
        <v>22</v>
      </c>
      <c r="P691" s="3"/>
      <c r="Q691" s="3">
        <f t="shared" si="80"/>
        <v>0</v>
      </c>
      <c r="R691" s="3">
        <f t="shared" si="81"/>
        <v>0</v>
      </c>
      <c r="S691" s="3">
        <f t="shared" si="68"/>
        <v>946.79999999999893</v>
      </c>
      <c r="T691" s="24" t="s">
        <v>1334</v>
      </c>
      <c r="U691" s="24"/>
      <c r="V691" s="3"/>
      <c r="W691" s="25">
        <f>IFERROR(VLOOKUP(Caja_Arequipa[[#This Row],[destinatario]],CHOOSE({1,2},Clientes_Proveedores[Razon Social],Clientes_Proveedores[Ruc / Dni]),2,0),"")</f>
        <v>10420945511</v>
      </c>
      <c r="X691" s="3"/>
      <c r="Y691" s="3"/>
      <c r="Z691" s="3"/>
      <c r="AA691" s="3"/>
      <c r="AB691" s="3" t="str">
        <f>IF(Caja_Arequipa[[#This Row],[fecha]]&gt;0,TEXT(Caja_Arequipa[[#This Row],[fecha]],"mmmm"),0)</f>
        <v>Agosto</v>
      </c>
    </row>
    <row r="692" spans="1:28" ht="24" x14ac:dyDescent="0.3">
      <c r="A692" s="2">
        <f>IF(Caja_Arequipa[[#This Row],[tipo_r]]="R",COUNTIFS($C$1:$C691,"R")+1,A691)</f>
        <v>571</v>
      </c>
      <c r="B692" s="19" t="str">
        <f t="shared" si="78"/>
        <v>C-Tesoreria</v>
      </c>
      <c r="C692" s="3" t="s">
        <v>1352</v>
      </c>
      <c r="D692" s="14">
        <v>45881</v>
      </c>
      <c r="E692" s="158" t="s">
        <v>1338</v>
      </c>
      <c r="F692" s="5"/>
      <c r="G692" s="3"/>
      <c r="H692" s="6" t="s">
        <v>986</v>
      </c>
      <c r="I692" s="6" t="s">
        <v>75</v>
      </c>
      <c r="J692" s="6">
        <v>1</v>
      </c>
      <c r="K692" s="6">
        <v>164</v>
      </c>
      <c r="L692" s="7" t="s">
        <v>6212</v>
      </c>
      <c r="M692" s="8" t="str">
        <f>IF(Caja_Arequipa[[#This Row],[tipo_r]]="R","001-"&amp;12002+A692,M691)</f>
        <v>001-12573</v>
      </c>
      <c r="N692" s="8" t="str">
        <f t="shared" si="79"/>
        <v>PEN</v>
      </c>
      <c r="O692" s="3">
        <v>15</v>
      </c>
      <c r="P692" s="3"/>
      <c r="Q692" s="3">
        <f t="shared" si="80"/>
        <v>0</v>
      </c>
      <c r="R692" s="3">
        <f t="shared" si="81"/>
        <v>0</v>
      </c>
      <c r="S692" s="3">
        <f t="shared" si="68"/>
        <v>946.79999999999893</v>
      </c>
      <c r="T692" s="24" t="s">
        <v>1334</v>
      </c>
      <c r="U692" s="24"/>
      <c r="V692" s="3"/>
      <c r="W692" s="25">
        <f>IFERROR(VLOOKUP(Caja_Arequipa[[#This Row],[destinatario]],CHOOSE({1,2},Clientes_Proveedores[Razon Social],Clientes_Proveedores[Ruc / Dni]),2,0),"")</f>
        <v>10309622885</v>
      </c>
      <c r="X692" s="3"/>
      <c r="Y692" s="3" t="s">
        <v>6213</v>
      </c>
      <c r="Z692" s="3"/>
      <c r="AA692" s="3"/>
      <c r="AB692" s="3" t="str">
        <f>IF(Caja_Arequipa[[#This Row],[fecha]]&gt;0,TEXT(Caja_Arequipa[[#This Row],[fecha]],"mmmm"),0)</f>
        <v>Agosto</v>
      </c>
    </row>
    <row r="693" spans="1:28" ht="24" x14ac:dyDescent="0.3">
      <c r="A693" s="2">
        <f>IF(Caja_Arequipa[[#This Row],[tipo_r]]="R",COUNTIFS($C$1:$C692,"R")+1,A692)</f>
        <v>571</v>
      </c>
      <c r="B693" s="19" t="str">
        <f t="shared" si="78"/>
        <v>C-Tesoreria</v>
      </c>
      <c r="C693" s="3" t="s">
        <v>1352</v>
      </c>
      <c r="D693" s="14">
        <v>45881</v>
      </c>
      <c r="E693" s="158" t="s">
        <v>1338</v>
      </c>
      <c r="F693" s="5"/>
      <c r="G693" s="3"/>
      <c r="H693" s="6" t="s">
        <v>967</v>
      </c>
      <c r="I693" s="6" t="s">
        <v>111</v>
      </c>
      <c r="J693" s="6">
        <v>3</v>
      </c>
      <c r="K693" s="6">
        <v>243</v>
      </c>
      <c r="L693" s="7" t="s">
        <v>6214</v>
      </c>
      <c r="M693" s="8" t="str">
        <f>IF(Caja_Arequipa[[#This Row],[tipo_r]]="R","001-"&amp;12002+A693,M692)</f>
        <v>001-12573</v>
      </c>
      <c r="N693" s="8" t="str">
        <f t="shared" si="79"/>
        <v>PEN</v>
      </c>
      <c r="O693" s="3">
        <v>7</v>
      </c>
      <c r="P693" s="3"/>
      <c r="Q693" s="3">
        <f t="shared" si="80"/>
        <v>0</v>
      </c>
      <c r="R693" s="3">
        <f t="shared" si="81"/>
        <v>0</v>
      </c>
      <c r="S693" s="3">
        <f t="shared" si="68"/>
        <v>946.79999999999893</v>
      </c>
      <c r="T693" s="24" t="s">
        <v>1334</v>
      </c>
      <c r="U693" s="24"/>
      <c r="V693" s="3"/>
      <c r="W693" s="25">
        <f>IFERROR(VLOOKUP(Caja_Arequipa[[#This Row],[destinatario]],CHOOSE({1,2},Clientes_Proveedores[Razon Social],Clientes_Proveedores[Ruc / Dni]),2,0),"")</f>
        <v>70517150</v>
      </c>
      <c r="X693" s="3"/>
      <c r="Y693" s="3"/>
      <c r="Z693" s="3"/>
      <c r="AA693" s="3"/>
      <c r="AB693" s="3" t="str">
        <f>IF(Caja_Arequipa[[#This Row],[fecha]]&gt;0,TEXT(Caja_Arequipa[[#This Row],[fecha]],"mmmm"),0)</f>
        <v>Agosto</v>
      </c>
    </row>
    <row r="694" spans="1:28" ht="24" x14ac:dyDescent="0.3">
      <c r="A694" s="2">
        <f>IF(Caja_Arequipa[[#This Row],[tipo_r]]="R",COUNTIFS($C$1:$C693,"R")+1,A693)</f>
        <v>571</v>
      </c>
      <c r="B694" s="19" t="str">
        <f t="shared" si="78"/>
        <v>C-Tesoreria</v>
      </c>
      <c r="C694" s="3" t="s">
        <v>1352</v>
      </c>
      <c r="D694" s="14">
        <v>45881</v>
      </c>
      <c r="E694" s="158" t="s">
        <v>1338</v>
      </c>
      <c r="F694" s="5"/>
      <c r="G694" s="3"/>
      <c r="H694" s="6" t="s">
        <v>967</v>
      </c>
      <c r="I694" s="6" t="s">
        <v>111</v>
      </c>
      <c r="J694" s="6">
        <v>3</v>
      </c>
      <c r="K694" s="6">
        <v>242</v>
      </c>
      <c r="L694" s="7" t="s">
        <v>6215</v>
      </c>
      <c r="M694" s="8" t="str">
        <f>IF(Caja_Arequipa[[#This Row],[tipo_r]]="R","001-"&amp;12002+A694,M693)</f>
        <v>001-12573</v>
      </c>
      <c r="N694" s="8" t="str">
        <f t="shared" si="79"/>
        <v>PEN</v>
      </c>
      <c r="O694" s="3">
        <v>10</v>
      </c>
      <c r="P694" s="3"/>
      <c r="Q694" s="3">
        <f t="shared" si="80"/>
        <v>0</v>
      </c>
      <c r="R694" s="3">
        <f t="shared" si="81"/>
        <v>0</v>
      </c>
      <c r="S694" s="3">
        <f t="shared" si="68"/>
        <v>946.79999999999893</v>
      </c>
      <c r="T694" s="24" t="s">
        <v>1334</v>
      </c>
      <c r="U694" s="24"/>
      <c r="V694" s="3"/>
      <c r="W694" s="25">
        <f>IFERROR(VLOOKUP(Caja_Arequipa[[#This Row],[destinatario]],CHOOSE({1,2},Clientes_Proveedores[Razon Social],Clientes_Proveedores[Ruc / Dni]),2,0),"")</f>
        <v>70517150</v>
      </c>
      <c r="X694" s="3"/>
      <c r="Y694" s="3"/>
      <c r="Z694" s="3"/>
      <c r="AA694" s="3"/>
      <c r="AB694" s="3" t="str">
        <f>IF(Caja_Arequipa[[#This Row],[fecha]]&gt;0,TEXT(Caja_Arequipa[[#This Row],[fecha]],"mmmm"),0)</f>
        <v>Agosto</v>
      </c>
    </row>
    <row r="695" spans="1:28" ht="24" x14ac:dyDescent="0.3">
      <c r="A695" s="2">
        <f>IF(Caja_Arequipa[[#This Row],[tipo_r]]="R",COUNTIFS($C$1:$C694,"R")+1,A694)</f>
        <v>572</v>
      </c>
      <c r="B695" s="19" t="str">
        <f t="shared" ref="B695:B702" si="82">"C-Tesoreria"</f>
        <v>C-Tesoreria</v>
      </c>
      <c r="C695" s="3" t="s">
        <v>1330</v>
      </c>
      <c r="D695" s="14">
        <v>45882</v>
      </c>
      <c r="E695" s="5" t="s">
        <v>1338</v>
      </c>
      <c r="F695" s="5" t="s">
        <v>1336</v>
      </c>
      <c r="G695" s="3" t="s">
        <v>6216</v>
      </c>
      <c r="H695" s="6" t="s">
        <v>918</v>
      </c>
      <c r="I695" s="6" t="s">
        <v>111</v>
      </c>
      <c r="J695" s="6">
        <v>3</v>
      </c>
      <c r="K695" s="6">
        <v>291</v>
      </c>
      <c r="L695" s="7" t="s">
        <v>6217</v>
      </c>
      <c r="M695" s="8" t="str">
        <f>IF(Caja_Arequipa[[#This Row],[tipo_r]]="R","001-"&amp;12002+A695,M694)</f>
        <v>001-12574</v>
      </c>
      <c r="N695" s="8" t="str">
        <f t="shared" ref="N695:N702" si="83">"PEN"</f>
        <v>PEN</v>
      </c>
      <c r="O695" s="3"/>
      <c r="P695" s="3">
        <v>32</v>
      </c>
      <c r="Q695" s="3">
        <f t="shared" ref="Q695:Q702" si="84">+IF(OR($F695="SALDO",$F695="INGRESO"),$P695,0)</f>
        <v>0</v>
      </c>
      <c r="R695" s="3">
        <f t="shared" ref="R695:R702" si="85">+IF($F695="EGRESO",$P695,0)</f>
        <v>32</v>
      </c>
      <c r="S695" s="3">
        <f t="shared" si="68"/>
        <v>914.79999999999893</v>
      </c>
      <c r="T695" s="24" t="s">
        <v>1334</v>
      </c>
      <c r="U695" s="24" t="s">
        <v>1334</v>
      </c>
      <c r="V695" s="3"/>
      <c r="W695" s="25">
        <f>IFERROR(VLOOKUP(Caja_Arequipa[[#This Row],[destinatario]],CHOOSE({1,2},Clientes_Proveedores[Razon Social],Clientes_Proveedores[Ruc / Dni]),2,0),"")</f>
        <v>48536654</v>
      </c>
      <c r="X695" s="3"/>
      <c r="Y695" s="3"/>
      <c r="Z695" s="3"/>
      <c r="AA695" s="3"/>
      <c r="AB695" s="3" t="str">
        <f>IF(Caja_Arequipa[[#This Row],[fecha]]&gt;0,TEXT(Caja_Arequipa[[#This Row],[fecha]],"mmmm"),0)</f>
        <v>Agosto</v>
      </c>
    </row>
    <row r="696" spans="1:28" ht="24" x14ac:dyDescent="0.3">
      <c r="A696" s="2">
        <f>IF(Caja_Arequipa[[#This Row],[tipo_r]]="R",COUNTIFS($C$1:$C695,"R")+1,A695)</f>
        <v>573</v>
      </c>
      <c r="B696" s="19" t="str">
        <f t="shared" si="82"/>
        <v>C-Tesoreria</v>
      </c>
      <c r="C696" s="3" t="s">
        <v>1330</v>
      </c>
      <c r="D696" s="14">
        <v>45882</v>
      </c>
      <c r="E696" s="5" t="s">
        <v>1338</v>
      </c>
      <c r="F696" s="5" t="s">
        <v>1336</v>
      </c>
      <c r="G696" s="3" t="s">
        <v>6216</v>
      </c>
      <c r="H696" s="6" t="s">
        <v>918</v>
      </c>
      <c r="I696" s="6" t="s">
        <v>111</v>
      </c>
      <c r="J696" s="6">
        <v>3</v>
      </c>
      <c r="K696" s="6">
        <v>292</v>
      </c>
      <c r="L696" s="7" t="s">
        <v>6218</v>
      </c>
      <c r="M696" s="8" t="str">
        <f>IF(Caja_Arequipa[[#This Row],[tipo_r]]="R","001-"&amp;12002+A696,M695)</f>
        <v>001-12575</v>
      </c>
      <c r="N696" s="8" t="str">
        <f t="shared" si="83"/>
        <v>PEN</v>
      </c>
      <c r="O696" s="3"/>
      <c r="P696" s="3">
        <v>10</v>
      </c>
      <c r="Q696" s="3">
        <f t="shared" si="84"/>
        <v>0</v>
      </c>
      <c r="R696" s="3">
        <f t="shared" si="85"/>
        <v>10</v>
      </c>
      <c r="S696" s="3">
        <f t="shared" si="68"/>
        <v>904.79999999999893</v>
      </c>
      <c r="T696" s="24" t="s">
        <v>1334</v>
      </c>
      <c r="U696" s="24" t="s">
        <v>1334</v>
      </c>
      <c r="V696" s="3"/>
      <c r="W696" s="25">
        <f>IFERROR(VLOOKUP(Caja_Arequipa[[#This Row],[destinatario]],CHOOSE({1,2},Clientes_Proveedores[Razon Social],Clientes_Proveedores[Ruc / Dni]),2,0),"")</f>
        <v>48536654</v>
      </c>
      <c r="X696" s="3"/>
      <c r="Y696" s="3"/>
      <c r="Z696" s="3"/>
      <c r="AA696" s="3"/>
      <c r="AB696" s="3" t="str">
        <f>IF(Caja_Arequipa[[#This Row],[fecha]]&gt;0,TEXT(Caja_Arequipa[[#This Row],[fecha]],"mmmm"),0)</f>
        <v>Agosto</v>
      </c>
    </row>
    <row r="697" spans="1:28" ht="24" x14ac:dyDescent="0.3">
      <c r="A697" s="2">
        <f>IF(Caja_Arequipa[[#This Row],[tipo_r]]="R",COUNTIFS($C$1:$C696,"R")+1,A696)</f>
        <v>574</v>
      </c>
      <c r="B697" s="19" t="str">
        <f t="shared" si="82"/>
        <v>C-Tesoreria</v>
      </c>
      <c r="C697" s="3" t="s">
        <v>1330</v>
      </c>
      <c r="D697" s="14">
        <v>45882</v>
      </c>
      <c r="E697" s="5" t="s">
        <v>1338</v>
      </c>
      <c r="F697" s="5" t="s">
        <v>1336</v>
      </c>
      <c r="G697" s="3" t="s">
        <v>6216</v>
      </c>
      <c r="H697" s="6" t="s">
        <v>918</v>
      </c>
      <c r="I697" s="6" t="s">
        <v>111</v>
      </c>
      <c r="J697" s="6">
        <v>3</v>
      </c>
      <c r="K697" s="6">
        <v>293</v>
      </c>
      <c r="L697" s="7" t="s">
        <v>6219</v>
      </c>
      <c r="M697" s="8" t="str">
        <f>IF(Caja_Arequipa[[#This Row],[tipo_r]]="R","001-"&amp;12002+A697,M696)</f>
        <v>001-12576</v>
      </c>
      <c r="N697" s="8" t="str">
        <f t="shared" si="83"/>
        <v>PEN</v>
      </c>
      <c r="O697" s="3"/>
      <c r="P697" s="3">
        <v>22</v>
      </c>
      <c r="Q697" s="3">
        <f t="shared" si="84"/>
        <v>0</v>
      </c>
      <c r="R697" s="3">
        <f t="shared" si="85"/>
        <v>22</v>
      </c>
      <c r="S697" s="3">
        <f t="shared" si="68"/>
        <v>882.79999999999893</v>
      </c>
      <c r="T697" s="24" t="s">
        <v>1334</v>
      </c>
      <c r="U697" s="24" t="s">
        <v>1334</v>
      </c>
      <c r="V697" s="3"/>
      <c r="W697" s="25">
        <f>IFERROR(VLOOKUP(Caja_Arequipa[[#This Row],[destinatario]],CHOOSE({1,2},Clientes_Proveedores[Razon Social],Clientes_Proveedores[Ruc / Dni]),2,0),"")</f>
        <v>48536654</v>
      </c>
      <c r="X697" s="3"/>
      <c r="Y697" s="3"/>
      <c r="Z697" s="3"/>
      <c r="AA697" s="3"/>
      <c r="AB697" s="3" t="str">
        <f>IF(Caja_Arequipa[[#This Row],[fecha]]&gt;0,TEXT(Caja_Arequipa[[#This Row],[fecha]],"mmmm"),0)</f>
        <v>Agosto</v>
      </c>
    </row>
    <row r="698" spans="1:28" ht="24" x14ac:dyDescent="0.3">
      <c r="A698" s="2">
        <f>IF(Caja_Arequipa[[#This Row],[tipo_r]]="R",COUNTIFS($C$1:$C697,"R")+1,A697)</f>
        <v>575</v>
      </c>
      <c r="B698" s="19" t="str">
        <f t="shared" si="82"/>
        <v>C-Tesoreria</v>
      </c>
      <c r="C698" s="3" t="s">
        <v>1330</v>
      </c>
      <c r="D698" s="14">
        <v>45882</v>
      </c>
      <c r="E698" s="5" t="s">
        <v>1338</v>
      </c>
      <c r="F698" s="5" t="s">
        <v>1336</v>
      </c>
      <c r="G698" s="3" t="s">
        <v>6216</v>
      </c>
      <c r="H698" s="6" t="s">
        <v>918</v>
      </c>
      <c r="I698" s="6" t="s">
        <v>111</v>
      </c>
      <c r="J698" s="6">
        <v>3</v>
      </c>
      <c r="K698" s="6">
        <v>294</v>
      </c>
      <c r="L698" s="7" t="s">
        <v>6220</v>
      </c>
      <c r="M698" s="8" t="str">
        <f>IF(Caja_Arequipa[[#This Row],[tipo_r]]="R","001-"&amp;12002+A698,M697)</f>
        <v>001-12577</v>
      </c>
      <c r="N698" s="8" t="str">
        <f t="shared" si="83"/>
        <v>PEN</v>
      </c>
      <c r="O698" s="3"/>
      <c r="P698" s="3">
        <v>11</v>
      </c>
      <c r="Q698" s="3">
        <f t="shared" si="84"/>
        <v>0</v>
      </c>
      <c r="R698" s="3">
        <f t="shared" si="85"/>
        <v>11</v>
      </c>
      <c r="S698" s="3">
        <f t="shared" si="68"/>
        <v>871.79999999999893</v>
      </c>
      <c r="T698" s="24" t="s">
        <v>1334</v>
      </c>
      <c r="U698" s="24" t="s">
        <v>1334</v>
      </c>
      <c r="V698" s="3"/>
      <c r="W698" s="25">
        <f>IFERROR(VLOOKUP(Caja_Arequipa[[#This Row],[destinatario]],CHOOSE({1,2},Clientes_Proveedores[Razon Social],Clientes_Proveedores[Ruc / Dni]),2,0),"")</f>
        <v>48536654</v>
      </c>
      <c r="X698" s="3"/>
      <c r="Y698" s="3"/>
      <c r="Z698" s="3"/>
      <c r="AA698" s="3"/>
      <c r="AB698" s="3" t="str">
        <f>IF(Caja_Arequipa[[#This Row],[fecha]]&gt;0,TEXT(Caja_Arequipa[[#This Row],[fecha]],"mmmm"),0)</f>
        <v>Agosto</v>
      </c>
    </row>
    <row r="699" spans="1:28" ht="24" x14ac:dyDescent="0.3">
      <c r="A699" s="2">
        <f>IF(Caja_Arequipa[[#This Row],[tipo_r]]="R",COUNTIFS($C$1:$C698,"R")+1,A698)</f>
        <v>576</v>
      </c>
      <c r="B699" s="19" t="str">
        <f t="shared" si="82"/>
        <v>C-Tesoreria</v>
      </c>
      <c r="C699" s="3" t="s">
        <v>1330</v>
      </c>
      <c r="D699" s="14">
        <v>45882</v>
      </c>
      <c r="E699" s="5" t="s">
        <v>1338</v>
      </c>
      <c r="F699" s="5" t="s">
        <v>1336</v>
      </c>
      <c r="G699" s="3" t="s">
        <v>6216</v>
      </c>
      <c r="H699" s="6" t="s">
        <v>918</v>
      </c>
      <c r="I699" s="6" t="s">
        <v>111</v>
      </c>
      <c r="J699" s="6">
        <v>3</v>
      </c>
      <c r="K699" s="6">
        <v>295</v>
      </c>
      <c r="L699" s="7" t="s">
        <v>6221</v>
      </c>
      <c r="M699" s="8" t="str">
        <f>IF(Caja_Arequipa[[#This Row],[tipo_r]]="R","001-"&amp;12002+A699,M698)</f>
        <v>001-12578</v>
      </c>
      <c r="N699" s="8" t="str">
        <f t="shared" si="83"/>
        <v>PEN</v>
      </c>
      <c r="O699" s="3"/>
      <c r="P699" s="3">
        <v>92</v>
      </c>
      <c r="Q699" s="3">
        <f t="shared" si="84"/>
        <v>0</v>
      </c>
      <c r="R699" s="3">
        <f t="shared" si="85"/>
        <v>92</v>
      </c>
      <c r="S699" s="3">
        <f t="shared" si="68"/>
        <v>779.79999999999893</v>
      </c>
      <c r="T699" s="24" t="s">
        <v>1334</v>
      </c>
      <c r="U699" s="24" t="s">
        <v>1334</v>
      </c>
      <c r="V699" s="3"/>
      <c r="W699" s="25">
        <f>IFERROR(VLOOKUP(Caja_Arequipa[[#This Row],[destinatario]],CHOOSE({1,2},Clientes_Proveedores[Razon Social],Clientes_Proveedores[Ruc / Dni]),2,0),"")</f>
        <v>48536654</v>
      </c>
      <c r="X699" s="3"/>
      <c r="Y699" s="3"/>
      <c r="Z699" s="3"/>
      <c r="AA699" s="3"/>
      <c r="AB699" s="3" t="str">
        <f>IF(Caja_Arequipa[[#This Row],[fecha]]&gt;0,TEXT(Caja_Arequipa[[#This Row],[fecha]],"mmmm"),0)</f>
        <v>Agosto</v>
      </c>
    </row>
    <row r="700" spans="1:28" ht="24" x14ac:dyDescent="0.3">
      <c r="A700" s="2">
        <f>IF(Caja_Arequipa[[#This Row],[tipo_r]]="R",COUNTIFS($C$1:$C699,"R")+1,A699)</f>
        <v>577</v>
      </c>
      <c r="B700" s="19" t="str">
        <f t="shared" si="82"/>
        <v>C-Tesoreria</v>
      </c>
      <c r="C700" s="3" t="s">
        <v>1330</v>
      </c>
      <c r="D700" s="14">
        <v>45882</v>
      </c>
      <c r="E700" s="5" t="s">
        <v>1338</v>
      </c>
      <c r="F700" s="5" t="s">
        <v>1336</v>
      </c>
      <c r="G700" s="3" t="s">
        <v>6216</v>
      </c>
      <c r="H700" s="6" t="s">
        <v>918</v>
      </c>
      <c r="I700" s="6" t="s">
        <v>111</v>
      </c>
      <c r="J700" s="6">
        <v>3</v>
      </c>
      <c r="K700" s="6">
        <v>296</v>
      </c>
      <c r="L700" s="7" t="s">
        <v>6222</v>
      </c>
      <c r="M700" s="8" t="str">
        <f>IF(Caja_Arequipa[[#This Row],[tipo_r]]="R","001-"&amp;12002+A700,M699)</f>
        <v>001-12579</v>
      </c>
      <c r="N700" s="8" t="str">
        <f t="shared" si="83"/>
        <v>PEN</v>
      </c>
      <c r="O700" s="3"/>
      <c r="P700" s="3">
        <v>49</v>
      </c>
      <c r="Q700" s="3">
        <f t="shared" si="84"/>
        <v>0</v>
      </c>
      <c r="R700" s="3">
        <f t="shared" si="85"/>
        <v>49</v>
      </c>
      <c r="S700" s="3">
        <f t="shared" si="68"/>
        <v>730.79999999999893</v>
      </c>
      <c r="T700" s="24" t="s">
        <v>1334</v>
      </c>
      <c r="U700" s="24" t="s">
        <v>1334</v>
      </c>
      <c r="V700" s="3"/>
      <c r="W700" s="25">
        <f>IFERROR(VLOOKUP(Caja_Arequipa[[#This Row],[destinatario]],CHOOSE({1,2},Clientes_Proveedores[Razon Social],Clientes_Proveedores[Ruc / Dni]),2,0),"")</f>
        <v>48536654</v>
      </c>
      <c r="X700" s="3"/>
      <c r="Y700" s="3"/>
      <c r="Z700" s="3"/>
      <c r="AA700" s="3"/>
      <c r="AB700" s="3" t="str">
        <f>IF(Caja_Arequipa[[#This Row],[fecha]]&gt;0,TEXT(Caja_Arequipa[[#This Row],[fecha]],"mmmm"),0)</f>
        <v>Agosto</v>
      </c>
    </row>
    <row r="701" spans="1:28" ht="24" x14ac:dyDescent="0.3">
      <c r="A701" s="2">
        <f>IF(Caja_Arequipa[[#This Row],[tipo_r]]="R",COUNTIFS($C$1:$C700,"R")+1,A700)</f>
        <v>578</v>
      </c>
      <c r="B701" s="19" t="str">
        <f t="shared" si="82"/>
        <v>C-Tesoreria</v>
      </c>
      <c r="C701" s="3" t="s">
        <v>1330</v>
      </c>
      <c r="D701" s="14">
        <v>45882</v>
      </c>
      <c r="E701" s="5" t="s">
        <v>1338</v>
      </c>
      <c r="F701" s="5" t="s">
        <v>1336</v>
      </c>
      <c r="G701" s="3" t="s">
        <v>6216</v>
      </c>
      <c r="H701" s="6" t="s">
        <v>918</v>
      </c>
      <c r="I701" s="6" t="s">
        <v>111</v>
      </c>
      <c r="J701" s="6">
        <v>3</v>
      </c>
      <c r="K701" s="6">
        <v>297</v>
      </c>
      <c r="L701" s="7" t="s">
        <v>6223</v>
      </c>
      <c r="M701" s="8" t="str">
        <f>IF(Caja_Arequipa[[#This Row],[tipo_r]]="R","001-"&amp;12002+A701,M700)</f>
        <v>001-12580</v>
      </c>
      <c r="N701" s="8" t="str">
        <f t="shared" si="83"/>
        <v>PEN</v>
      </c>
      <c r="O701" s="3"/>
      <c r="P701" s="3">
        <v>22</v>
      </c>
      <c r="Q701" s="3">
        <f t="shared" si="84"/>
        <v>0</v>
      </c>
      <c r="R701" s="3">
        <f t="shared" si="85"/>
        <v>22</v>
      </c>
      <c r="S701" s="3">
        <f t="shared" si="68"/>
        <v>708.79999999999893</v>
      </c>
      <c r="T701" s="24" t="s">
        <v>1334</v>
      </c>
      <c r="U701" s="24" t="s">
        <v>1334</v>
      </c>
      <c r="V701" s="3"/>
      <c r="W701" s="25">
        <f>IFERROR(VLOOKUP(Caja_Arequipa[[#This Row],[destinatario]],CHOOSE({1,2},Clientes_Proveedores[Razon Social],Clientes_Proveedores[Ruc / Dni]),2,0),"")</f>
        <v>48536654</v>
      </c>
      <c r="X701" s="3"/>
      <c r="Y701" s="3"/>
      <c r="Z701" s="3"/>
      <c r="AA701" s="3"/>
      <c r="AB701" s="3" t="str">
        <f>IF(Caja_Arequipa[[#This Row],[fecha]]&gt;0,TEXT(Caja_Arequipa[[#This Row],[fecha]],"mmmm"),0)</f>
        <v>Agosto</v>
      </c>
    </row>
    <row r="702" spans="1:28" ht="24" x14ac:dyDescent="0.3">
      <c r="A702" s="2">
        <f>IF(Caja_Arequipa[[#This Row],[tipo_r]]="R",COUNTIFS($C$1:$C701,"R")+1,A701)</f>
        <v>579</v>
      </c>
      <c r="B702" s="19" t="str">
        <f t="shared" si="82"/>
        <v>C-Tesoreria</v>
      </c>
      <c r="C702" s="3" t="s">
        <v>1330</v>
      </c>
      <c r="D702" s="14">
        <v>45882</v>
      </c>
      <c r="E702" s="5" t="s">
        <v>1338</v>
      </c>
      <c r="F702" s="5" t="s">
        <v>1336</v>
      </c>
      <c r="G702" s="3" t="s">
        <v>5432</v>
      </c>
      <c r="H702" s="6" t="s">
        <v>1053</v>
      </c>
      <c r="I702" s="6" t="s">
        <v>68</v>
      </c>
      <c r="J702" s="6" t="s">
        <v>1376</v>
      </c>
      <c r="K702" s="6">
        <v>2212</v>
      </c>
      <c r="L702" s="7" t="s">
        <v>6224</v>
      </c>
      <c r="M702" s="8" t="str">
        <f>IF(Caja_Arequipa[[#This Row],[tipo_r]]="R","001-"&amp;12002+A702,M701)</f>
        <v>001-12581</v>
      </c>
      <c r="N702" s="8" t="str">
        <f t="shared" si="83"/>
        <v>PEN</v>
      </c>
      <c r="O702" s="3"/>
      <c r="P702" s="3">
        <v>204</v>
      </c>
      <c r="Q702" s="3">
        <f t="shared" si="84"/>
        <v>0</v>
      </c>
      <c r="R702" s="3">
        <f t="shared" si="85"/>
        <v>204</v>
      </c>
      <c r="S702" s="3">
        <f t="shared" si="68"/>
        <v>504.79999999999893</v>
      </c>
      <c r="T702" s="24" t="s">
        <v>1334</v>
      </c>
      <c r="U702" s="24" t="s">
        <v>1334</v>
      </c>
      <c r="V702" s="3"/>
      <c r="W702" s="25">
        <f>IFERROR(VLOOKUP(Caja_Arequipa[[#This Row],[destinatario]],CHOOSE({1,2},Clientes_Proveedores[Razon Social],Clientes_Proveedores[Ruc / Dni]),2,0),"")</f>
        <v>20600967291</v>
      </c>
      <c r="X702" s="3"/>
      <c r="Y702" s="3"/>
      <c r="Z702" s="3"/>
      <c r="AA702" s="3"/>
      <c r="AB702" s="3" t="str">
        <f>IF(Caja_Arequipa[[#This Row],[fecha]]&gt;0,TEXT(Caja_Arequipa[[#This Row],[fecha]],"mmmm"),0)</f>
        <v>Agosto</v>
      </c>
    </row>
    <row r="703" spans="1:28" x14ac:dyDescent="0.3">
      <c r="A703" s="2">
        <f>IF(Caja_Arequipa[[#This Row],[tipo_r]]="R",COUNTIFS($C$1:$C702,"R")+1,A702)</f>
        <v>580</v>
      </c>
      <c r="B703" s="19" t="str">
        <f t="shared" ref="B703:B704" si="86">"C-Tesoreria"</f>
        <v>C-Tesoreria</v>
      </c>
      <c r="C703" s="3" t="s">
        <v>1330</v>
      </c>
      <c r="D703" s="14">
        <v>45882</v>
      </c>
      <c r="E703" s="5" t="s">
        <v>1338</v>
      </c>
      <c r="F703" s="5" t="s">
        <v>1336</v>
      </c>
      <c r="G703" s="3" t="s">
        <v>5248</v>
      </c>
      <c r="H703" s="6"/>
      <c r="I703" s="6"/>
      <c r="J703" s="6"/>
      <c r="K703" s="6"/>
      <c r="L703" s="7" t="s">
        <v>6055</v>
      </c>
      <c r="M703" s="8" t="str">
        <f>IF(Caja_Arequipa[[#This Row],[tipo_r]]="R","001-"&amp;12002+A703,M702)</f>
        <v>001-12582</v>
      </c>
      <c r="N703" s="8" t="str">
        <f t="shared" ref="N703:N704" si="87">"PEN"</f>
        <v>PEN</v>
      </c>
      <c r="O703" s="3"/>
      <c r="P703" s="3">
        <v>83</v>
      </c>
      <c r="Q703" s="3">
        <f t="shared" ref="Q703:Q704" si="88">+IF(OR($F703="SALDO",$F703="INGRESO"),$P703,0)</f>
        <v>0</v>
      </c>
      <c r="R703" s="3">
        <f t="shared" ref="R703:R704" si="89">+IF($F703="EGRESO",$P703,0)</f>
        <v>83</v>
      </c>
      <c r="S703" s="3">
        <f t="shared" si="68"/>
        <v>421.79999999999893</v>
      </c>
      <c r="T703" s="24" t="s">
        <v>1334</v>
      </c>
      <c r="U703" s="24" t="s">
        <v>1334</v>
      </c>
      <c r="V703" s="3"/>
      <c r="W703" s="25" t="str">
        <f>IFERROR(VLOOKUP(Caja_Arequipa[[#This Row],[destinatario]],CHOOSE({1,2},Clientes_Proveedores[Razon Social],Clientes_Proveedores[Ruc / Dni]),2,0),"")</f>
        <v/>
      </c>
      <c r="X703" s="3"/>
      <c r="Y703" s="3"/>
      <c r="Z703" s="3"/>
      <c r="AA703" s="3"/>
      <c r="AB703" s="3" t="str">
        <f>IF(Caja_Arequipa[[#This Row],[fecha]]&gt;0,TEXT(Caja_Arequipa[[#This Row],[fecha]],"mmmm"),0)</f>
        <v>Agosto</v>
      </c>
    </row>
    <row r="704" spans="1:28" x14ac:dyDescent="0.3">
      <c r="A704" s="2">
        <f>IF(Caja_Arequipa[[#This Row],[tipo_r]]="R",COUNTIFS($C$1:$C703,"R")+1,A703)</f>
        <v>580</v>
      </c>
      <c r="B704" s="19" t="str">
        <f t="shared" si="86"/>
        <v>C-Tesoreria</v>
      </c>
      <c r="C704" s="3" t="s">
        <v>1352</v>
      </c>
      <c r="D704" s="14">
        <v>45882</v>
      </c>
      <c r="E704" s="5" t="s">
        <v>1338</v>
      </c>
      <c r="F704" s="5"/>
      <c r="G704" s="3"/>
      <c r="H704" s="6" t="s">
        <v>724</v>
      </c>
      <c r="I704" s="6" t="s">
        <v>68</v>
      </c>
      <c r="J704" s="6" t="s">
        <v>1376</v>
      </c>
      <c r="K704" s="6">
        <v>4320</v>
      </c>
      <c r="L704" s="7" t="s">
        <v>6055</v>
      </c>
      <c r="M704" s="8" t="str">
        <f>IF(Caja_Arequipa[[#This Row],[tipo_r]]="R","001-"&amp;12002+A704,M703)</f>
        <v>001-12582</v>
      </c>
      <c r="N704" s="8" t="str">
        <f t="shared" si="87"/>
        <v>PEN</v>
      </c>
      <c r="O704" s="3">
        <v>48</v>
      </c>
      <c r="P704" s="3"/>
      <c r="Q704" s="3">
        <f t="shared" si="88"/>
        <v>0</v>
      </c>
      <c r="R704" s="3">
        <f t="shared" si="89"/>
        <v>0</v>
      </c>
      <c r="S704" s="3">
        <f t="shared" si="68"/>
        <v>421.79999999999893</v>
      </c>
      <c r="T704" s="24" t="s">
        <v>1334</v>
      </c>
      <c r="U704" s="24" t="s">
        <v>1334</v>
      </c>
      <c r="V704" s="3"/>
      <c r="W704" s="25">
        <f>IFERROR(VLOOKUP(Caja_Arequipa[[#This Row],[destinatario]],CHOOSE({1,2},Clientes_Proveedores[Razon Social],Clientes_Proveedores[Ruc / Dni]),2,0),"")</f>
        <v>20558275082</v>
      </c>
      <c r="X704" s="3"/>
      <c r="Y704" s="3"/>
      <c r="Z704" s="3"/>
      <c r="AA704" s="3"/>
      <c r="AB704" s="3" t="str">
        <f>IF(Caja_Arequipa[[#This Row],[fecha]]&gt;0,TEXT(Caja_Arequipa[[#This Row],[fecha]],"mmmm"),0)</f>
        <v>Agosto</v>
      </c>
    </row>
    <row r="705" spans="1:28" ht="24" x14ac:dyDescent="0.3">
      <c r="A705" s="2">
        <f>IF(Caja_Arequipa[[#This Row],[tipo_r]]="R",COUNTIFS($C$1:$C704,"R")+1,A704)</f>
        <v>580</v>
      </c>
      <c r="B705" s="19" t="str">
        <f t="shared" ref="B705:B711" si="90">"C-Tesoreria"</f>
        <v>C-Tesoreria</v>
      </c>
      <c r="C705" s="3" t="s">
        <v>1352</v>
      </c>
      <c r="D705" s="14">
        <v>45882</v>
      </c>
      <c r="E705" s="5" t="s">
        <v>1338</v>
      </c>
      <c r="F705" s="5"/>
      <c r="G705" s="3"/>
      <c r="H705" s="6" t="s">
        <v>1012</v>
      </c>
      <c r="I705" s="6" t="s">
        <v>75</v>
      </c>
      <c r="J705" s="6">
        <v>3</v>
      </c>
      <c r="K705" s="6">
        <v>7983</v>
      </c>
      <c r="L705" s="7" t="s">
        <v>6055</v>
      </c>
      <c r="M705" s="8" t="str">
        <f>IF(Caja_Arequipa[[#This Row],[tipo_r]]="R","001-"&amp;12002+A705,M704)</f>
        <v>001-12582</v>
      </c>
      <c r="N705" s="8" t="str">
        <f t="shared" ref="N705:N711" si="91">"PEN"</f>
        <v>PEN</v>
      </c>
      <c r="O705" s="3">
        <v>35</v>
      </c>
      <c r="P705" s="3"/>
      <c r="Q705" s="3">
        <f t="shared" ref="Q705:Q711" si="92">+IF(OR($F705="SALDO",$F705="INGRESO"),$P705,0)</f>
        <v>0</v>
      </c>
      <c r="R705" s="3">
        <f t="shared" ref="R705:R711" si="93">+IF($F705="EGRESO",$P705,0)</f>
        <v>0</v>
      </c>
      <c r="S705" s="3">
        <f t="shared" si="68"/>
        <v>421.79999999999893</v>
      </c>
      <c r="T705" s="24" t="s">
        <v>1334</v>
      </c>
      <c r="U705" s="24" t="s">
        <v>1334</v>
      </c>
      <c r="V705" s="3"/>
      <c r="W705" s="25">
        <f>IFERROR(VLOOKUP(Caja_Arequipa[[#This Row],[destinatario]],CHOOSE({1,2},Clientes_Proveedores[Razon Social],Clientes_Proveedores[Ruc / Dni]),2,0),"")</f>
        <v>10409596865</v>
      </c>
      <c r="X705" s="3"/>
      <c r="Y705" s="3"/>
      <c r="Z705" s="3"/>
      <c r="AA705" s="3"/>
      <c r="AB705" s="3" t="str">
        <f>IF(Caja_Arequipa[[#This Row],[fecha]]&gt;0,TEXT(Caja_Arequipa[[#This Row],[fecha]],"mmmm"),0)</f>
        <v>Agosto</v>
      </c>
    </row>
    <row r="706" spans="1:28" ht="24" x14ac:dyDescent="0.3">
      <c r="A706" s="2">
        <f>IF(Caja_Arequipa[[#This Row],[tipo_r]]="R",COUNTIFS($C$1:$C705,"R")+1,A705)</f>
        <v>581</v>
      </c>
      <c r="B706" s="19" t="str">
        <f>"C-Tesoreria"</f>
        <v>C-Tesoreria</v>
      </c>
      <c r="C706" s="3" t="s">
        <v>1330</v>
      </c>
      <c r="D706" s="14">
        <v>45882</v>
      </c>
      <c r="E706" s="5" t="s">
        <v>1338</v>
      </c>
      <c r="F706" s="5" t="s">
        <v>1336</v>
      </c>
      <c r="G706" s="3" t="s">
        <v>5664</v>
      </c>
      <c r="H706" s="6" t="s">
        <v>937</v>
      </c>
      <c r="I706" s="6" t="s">
        <v>111</v>
      </c>
      <c r="J706" s="6">
        <v>3</v>
      </c>
      <c r="K706" s="6">
        <v>286</v>
      </c>
      <c r="L706" s="7" t="s">
        <v>6220</v>
      </c>
      <c r="M706" s="8" t="str">
        <f>IF(Caja_Arequipa[[#This Row],[tipo_r]]="R","001-"&amp;12002+A706,M705)</f>
        <v>001-12583</v>
      </c>
      <c r="N706" s="8" t="str">
        <f>"PEN"</f>
        <v>PEN</v>
      </c>
      <c r="O706" s="3"/>
      <c r="P706" s="3">
        <v>18</v>
      </c>
      <c r="Q706" s="3">
        <f>+IF(OR($F706="SALDO",$F706="INGRESO"),$P706,0)</f>
        <v>0</v>
      </c>
      <c r="R706" s="3">
        <f>+IF($F706="EGRESO",$P706,0)</f>
        <v>18</v>
      </c>
      <c r="S706" s="3">
        <f t="shared" ref="S706:S769" si="94">IFERROR(IF(F706="SALDO",Q706,S705+Q706-R706),0)</f>
        <v>403.79999999999893</v>
      </c>
      <c r="T706" s="24" t="s">
        <v>1334</v>
      </c>
      <c r="U706" s="24" t="s">
        <v>1334</v>
      </c>
      <c r="V706" s="3"/>
      <c r="W706" s="25">
        <f>IFERROR(VLOOKUP(Caja_Arequipa[[#This Row],[destinatario]],CHOOSE({1,2},Clientes_Proveedores[Razon Social],Clientes_Proveedores[Ruc / Dni]),2,0),"")</f>
        <v>72728100</v>
      </c>
      <c r="X706" s="3"/>
      <c r="Y706" s="3"/>
      <c r="Z706" s="3"/>
      <c r="AA706" s="3"/>
      <c r="AB706" s="3" t="str">
        <f>IF(Caja_Arequipa[[#This Row],[fecha]]&gt;0,TEXT(Caja_Arequipa[[#This Row],[fecha]],"mmmm"),0)</f>
        <v>Agosto</v>
      </c>
    </row>
    <row r="707" spans="1:28" ht="24" x14ac:dyDescent="0.3">
      <c r="A707" s="2">
        <f>IF(Caja_Arequipa[[#This Row],[tipo_r]]="R",COUNTIFS($C$1:$C706,"R")+1,A706)</f>
        <v>582</v>
      </c>
      <c r="B707" s="19" t="str">
        <f t="shared" si="90"/>
        <v>C-Tesoreria</v>
      </c>
      <c r="C707" s="3" t="s">
        <v>1330</v>
      </c>
      <c r="D707" s="14">
        <v>45882</v>
      </c>
      <c r="E707" s="5" t="s">
        <v>1338</v>
      </c>
      <c r="F707" s="5" t="s">
        <v>1303</v>
      </c>
      <c r="G707" s="3" t="s">
        <v>5248</v>
      </c>
      <c r="H707" s="6"/>
      <c r="I707" s="6"/>
      <c r="J707" s="6"/>
      <c r="K707" s="6"/>
      <c r="L707" s="7" t="s">
        <v>6225</v>
      </c>
      <c r="M707" s="8" t="str">
        <f>IF(Caja_Arequipa[[#This Row],[tipo_r]]="R","001-"&amp;12002+A707,M706)</f>
        <v>001-12584</v>
      </c>
      <c r="N707" s="8" t="str">
        <f t="shared" si="91"/>
        <v>PEN</v>
      </c>
      <c r="O707" s="3"/>
      <c r="P707" s="3">
        <v>70</v>
      </c>
      <c r="Q707" s="3">
        <f t="shared" si="92"/>
        <v>70</v>
      </c>
      <c r="R707" s="3">
        <f t="shared" si="93"/>
        <v>0</v>
      </c>
      <c r="S707" s="3">
        <f t="shared" si="94"/>
        <v>473.79999999999893</v>
      </c>
      <c r="T707" s="24" t="s">
        <v>1334</v>
      </c>
      <c r="U707" s="24"/>
      <c r="V707" s="3"/>
      <c r="W707" s="25" t="str">
        <f>IFERROR(VLOOKUP(Caja_Arequipa[[#This Row],[destinatario]],CHOOSE({1,2},Clientes_Proveedores[Razon Social],Clientes_Proveedores[Ruc / Dni]),2,0),"")</f>
        <v/>
      </c>
      <c r="X707" s="3"/>
      <c r="Y707" s="3"/>
      <c r="Z707" s="3"/>
      <c r="AA707" s="3"/>
      <c r="AB707" s="3" t="str">
        <f>IF(Caja_Arequipa[[#This Row],[fecha]]&gt;0,TEXT(Caja_Arequipa[[#This Row],[fecha]],"mmmm"),0)</f>
        <v>Agosto</v>
      </c>
    </row>
    <row r="708" spans="1:28" x14ac:dyDescent="0.3">
      <c r="A708" s="2">
        <f>IF(Caja_Arequipa[[#This Row],[tipo_r]]="R",COUNTIFS($C$1:$C707,"R")+1,A707)</f>
        <v>583</v>
      </c>
      <c r="B708" s="19" t="str">
        <f t="shared" si="90"/>
        <v>C-Tesoreria</v>
      </c>
      <c r="C708" s="3" t="s">
        <v>1330</v>
      </c>
      <c r="D708" s="14">
        <v>45882</v>
      </c>
      <c r="E708" s="5" t="s">
        <v>1338</v>
      </c>
      <c r="F708" s="5" t="s">
        <v>1336</v>
      </c>
      <c r="G708" s="3" t="s">
        <v>5274</v>
      </c>
      <c r="H708" s="6"/>
      <c r="I708" s="6"/>
      <c r="J708" s="6"/>
      <c r="K708" s="6"/>
      <c r="L708" s="7" t="s">
        <v>6055</v>
      </c>
      <c r="M708" s="8" t="str">
        <f>IF(Caja_Arequipa[[#This Row],[tipo_r]]="R","001-"&amp;12002+A708,M707)</f>
        <v>001-12585</v>
      </c>
      <c r="N708" s="8" t="str">
        <f t="shared" si="91"/>
        <v>PEN</v>
      </c>
      <c r="O708" s="3"/>
      <c r="P708" s="3">
        <v>30</v>
      </c>
      <c r="Q708" s="3">
        <f t="shared" si="92"/>
        <v>0</v>
      </c>
      <c r="R708" s="3">
        <f t="shared" si="93"/>
        <v>30</v>
      </c>
      <c r="S708" s="3">
        <f t="shared" si="94"/>
        <v>443.79999999999893</v>
      </c>
      <c r="T708" s="24" t="s">
        <v>1334</v>
      </c>
      <c r="U708" s="24" t="s">
        <v>1334</v>
      </c>
      <c r="V708" s="3"/>
      <c r="W708" s="25" t="str">
        <f>IFERROR(VLOOKUP(Caja_Arequipa[[#This Row],[destinatario]],CHOOSE({1,2},Clientes_Proveedores[Razon Social],Clientes_Proveedores[Ruc / Dni]),2,0),"")</f>
        <v/>
      </c>
      <c r="X708" s="3"/>
      <c r="Y708" s="3"/>
      <c r="Z708" s="3"/>
      <c r="AA708" s="3"/>
      <c r="AB708" s="3" t="str">
        <f>IF(Caja_Arequipa[[#This Row],[fecha]]&gt;0,TEXT(Caja_Arequipa[[#This Row],[fecha]],"mmmm"),0)</f>
        <v>Agosto</v>
      </c>
    </row>
    <row r="709" spans="1:28" ht="36" x14ac:dyDescent="0.3">
      <c r="A709" s="2">
        <f>IF(Caja_Arequipa[[#This Row],[tipo_r]]="R",COUNTIFS($C$1:$C708,"R")+1,A708)</f>
        <v>583</v>
      </c>
      <c r="B709" s="19" t="str">
        <f t="shared" si="90"/>
        <v>C-Tesoreria</v>
      </c>
      <c r="C709" s="3" t="s">
        <v>1352</v>
      </c>
      <c r="D709" s="14">
        <v>45882</v>
      </c>
      <c r="E709" s="5" t="s">
        <v>1338</v>
      </c>
      <c r="F709" s="5"/>
      <c r="G709" s="3"/>
      <c r="H709" s="6" t="s">
        <v>682</v>
      </c>
      <c r="I709" s="6" t="s">
        <v>68</v>
      </c>
      <c r="J709" s="6" t="s">
        <v>1353</v>
      </c>
      <c r="K709" s="6">
        <v>17234</v>
      </c>
      <c r="L709" s="7" t="s">
        <v>6055</v>
      </c>
      <c r="M709" s="8" t="str">
        <f>IF(Caja_Arequipa[[#This Row],[tipo_r]]="R","001-"&amp;12002+A709,M708)</f>
        <v>001-12585</v>
      </c>
      <c r="N709" s="8" t="str">
        <f t="shared" si="91"/>
        <v>PEN</v>
      </c>
      <c r="O709" s="3">
        <v>20</v>
      </c>
      <c r="P709" s="3"/>
      <c r="Q709" s="3">
        <f t="shared" si="92"/>
        <v>0</v>
      </c>
      <c r="R709" s="3">
        <f t="shared" si="93"/>
        <v>0</v>
      </c>
      <c r="S709" s="3">
        <f t="shared" si="94"/>
        <v>443.79999999999893</v>
      </c>
      <c r="T709" s="24" t="s">
        <v>1334</v>
      </c>
      <c r="U709" s="24" t="s">
        <v>1334</v>
      </c>
      <c r="V709" s="3"/>
      <c r="W709" s="25">
        <f>IFERROR(VLOOKUP(Caja_Arequipa[[#This Row],[destinatario]],CHOOSE({1,2},Clientes_Proveedores[Razon Social],Clientes_Proveedores[Ruc / Dni]),2,0),"")</f>
        <v>20259858934</v>
      </c>
      <c r="X709" s="3"/>
      <c r="Y709" s="3"/>
      <c r="Z709" s="3"/>
      <c r="AA709" s="3"/>
      <c r="AB709" s="3" t="str">
        <f>IF(Caja_Arequipa[[#This Row],[fecha]]&gt;0,TEXT(Caja_Arequipa[[#This Row],[fecha]],"mmmm"),0)</f>
        <v>Agosto</v>
      </c>
    </row>
    <row r="710" spans="1:28" ht="36" x14ac:dyDescent="0.3">
      <c r="A710" s="2">
        <f>IF(Caja_Arequipa[[#This Row],[tipo_r]]="R",COUNTIFS($C$1:$C709,"R")+1,A709)</f>
        <v>583</v>
      </c>
      <c r="B710" s="19" t="str">
        <f t="shared" si="90"/>
        <v>C-Tesoreria</v>
      </c>
      <c r="C710" s="3" t="s">
        <v>1352</v>
      </c>
      <c r="D710" s="14">
        <v>45882</v>
      </c>
      <c r="E710" s="5" t="s">
        <v>1338</v>
      </c>
      <c r="F710" s="5"/>
      <c r="G710" s="3"/>
      <c r="H710" s="6" t="s">
        <v>682</v>
      </c>
      <c r="I710" s="6" t="s">
        <v>68</v>
      </c>
      <c r="J710" s="6" t="s">
        <v>1343</v>
      </c>
      <c r="K710" s="6">
        <v>35311</v>
      </c>
      <c r="L710" s="7" t="s">
        <v>6055</v>
      </c>
      <c r="M710" s="8" t="str">
        <f>IF(Caja_Arequipa[[#This Row],[tipo_r]]="R","001-"&amp;12002+A710,M709)</f>
        <v>001-12585</v>
      </c>
      <c r="N710" s="8" t="str">
        <f t="shared" si="91"/>
        <v>PEN</v>
      </c>
      <c r="O710" s="3">
        <v>10</v>
      </c>
      <c r="P710" s="3"/>
      <c r="Q710" s="3">
        <f t="shared" si="92"/>
        <v>0</v>
      </c>
      <c r="R710" s="3">
        <f t="shared" si="93"/>
        <v>0</v>
      </c>
      <c r="S710" s="3">
        <f t="shared" si="94"/>
        <v>443.79999999999893</v>
      </c>
      <c r="T710" s="24" t="s">
        <v>1334</v>
      </c>
      <c r="U710" s="24" t="s">
        <v>1334</v>
      </c>
      <c r="V710" s="3"/>
      <c r="W710" s="25">
        <f>IFERROR(VLOOKUP(Caja_Arequipa[[#This Row],[destinatario]],CHOOSE({1,2},Clientes_Proveedores[Razon Social],Clientes_Proveedores[Ruc / Dni]),2,0),"")</f>
        <v>20259858934</v>
      </c>
      <c r="X710" s="3"/>
      <c r="Y710" s="3"/>
      <c r="Z710" s="3"/>
      <c r="AA710" s="3"/>
      <c r="AB710" s="3" t="str">
        <f>IF(Caja_Arequipa[[#This Row],[fecha]]&gt;0,TEXT(Caja_Arequipa[[#This Row],[fecha]],"mmmm"),0)</f>
        <v>Agosto</v>
      </c>
    </row>
    <row r="711" spans="1:28" ht="36" x14ac:dyDescent="0.3">
      <c r="A711" s="2">
        <f>IF(Caja_Arequipa[[#This Row],[tipo_r]]="R",COUNTIFS($C$1:$C710,"R")+1,A710)</f>
        <v>584</v>
      </c>
      <c r="B711" s="19" t="str">
        <f t="shared" si="90"/>
        <v>C-Tesoreria</v>
      </c>
      <c r="C711" s="3" t="s">
        <v>1330</v>
      </c>
      <c r="D711" s="14">
        <v>45882</v>
      </c>
      <c r="E711" s="5" t="s">
        <v>1338</v>
      </c>
      <c r="F711" s="5" t="s">
        <v>1336</v>
      </c>
      <c r="G711" s="3" t="s">
        <v>4788</v>
      </c>
      <c r="H711" s="6" t="s">
        <v>980</v>
      </c>
      <c r="I711" s="6" t="s">
        <v>68</v>
      </c>
      <c r="J711" s="6" t="s">
        <v>1376</v>
      </c>
      <c r="K711" s="6">
        <v>9467</v>
      </c>
      <c r="L711" s="7" t="s">
        <v>6226</v>
      </c>
      <c r="M711" s="8" t="str">
        <f>IF(Caja_Arequipa[[#This Row],[tipo_r]]="R","001-"&amp;12002+A711,M710)</f>
        <v>001-12586</v>
      </c>
      <c r="N711" s="8" t="str">
        <f t="shared" si="91"/>
        <v>PEN</v>
      </c>
      <c r="O711" s="3"/>
      <c r="P711" s="3">
        <v>45.5</v>
      </c>
      <c r="Q711" s="3">
        <f t="shared" si="92"/>
        <v>0</v>
      </c>
      <c r="R711" s="3">
        <f t="shared" si="93"/>
        <v>45.5</v>
      </c>
      <c r="S711" s="3">
        <f t="shared" si="94"/>
        <v>398.29999999999893</v>
      </c>
      <c r="T711" s="24" t="s">
        <v>1334</v>
      </c>
      <c r="U711" s="24" t="s">
        <v>1334</v>
      </c>
      <c r="V711" s="3"/>
      <c r="W711" s="25">
        <f>IFERROR(VLOOKUP(Caja_Arequipa[[#This Row],[destinatario]],CHOOSE({1,2},Clientes_Proveedores[Razon Social],Clientes_Proveedores[Ruc / Dni]),2,0),"")</f>
        <v>20611525568</v>
      </c>
      <c r="X711" s="3"/>
      <c r="Y711" s="3"/>
      <c r="Z711" s="3"/>
      <c r="AA711" s="3"/>
      <c r="AB711" s="3" t="str">
        <f>IF(Caja_Arequipa[[#This Row],[fecha]]&gt;0,TEXT(Caja_Arequipa[[#This Row],[fecha]],"mmmm"),0)</f>
        <v>Agosto</v>
      </c>
    </row>
    <row r="712" spans="1:28" ht="24" x14ac:dyDescent="0.3">
      <c r="A712" s="2">
        <f>IF(Caja_Arequipa[[#This Row],[tipo_r]]="R",COUNTIFS($C$1:$C711,"R")+1,A711)</f>
        <v>585</v>
      </c>
      <c r="B712" s="19" t="str">
        <f t="shared" ref="B712:B720" si="95">"C-Tesoreria"</f>
        <v>C-Tesoreria</v>
      </c>
      <c r="C712" s="3" t="s">
        <v>1330</v>
      </c>
      <c r="D712" s="14">
        <v>45882</v>
      </c>
      <c r="E712" s="5" t="s">
        <v>1338</v>
      </c>
      <c r="F712" s="5" t="s">
        <v>1336</v>
      </c>
      <c r="G712" s="3" t="s">
        <v>6227</v>
      </c>
      <c r="H712" s="6" t="s">
        <v>1057</v>
      </c>
      <c r="I712" s="6" t="s">
        <v>75</v>
      </c>
      <c r="J712" s="6">
        <v>1</v>
      </c>
      <c r="K712" s="6">
        <v>220</v>
      </c>
      <c r="L712" s="7" t="s">
        <v>6228</v>
      </c>
      <c r="M712" s="8" t="str">
        <f>IF(Caja_Arequipa[[#This Row],[tipo_r]]="R","001-"&amp;12002+A712,M711)</f>
        <v>001-12587</v>
      </c>
      <c r="N712" s="8" t="str">
        <f t="shared" ref="N712:N720" si="96">"PEN"</f>
        <v>PEN</v>
      </c>
      <c r="O712" s="3"/>
      <c r="P712" s="3">
        <v>7</v>
      </c>
      <c r="Q712" s="3">
        <f t="shared" ref="Q712:Q720" si="97">+IF(OR($F712="SALDO",$F712="INGRESO"),$P712,0)</f>
        <v>0</v>
      </c>
      <c r="R712" s="3">
        <f t="shared" ref="R712:R720" si="98">+IF($F712="EGRESO",$P712,0)</f>
        <v>7</v>
      </c>
      <c r="S712" s="3">
        <f t="shared" si="94"/>
        <v>391.29999999999893</v>
      </c>
      <c r="T712" s="24" t="s">
        <v>1334</v>
      </c>
      <c r="U712" s="24" t="s">
        <v>1334</v>
      </c>
      <c r="V712" s="3"/>
      <c r="W712" s="25">
        <f>IFERROR(VLOOKUP(Caja_Arequipa[[#This Row],[destinatario]],CHOOSE({1,2},Clientes_Proveedores[Razon Social],Clientes_Proveedores[Ruc / Dni]),2,0),"")</f>
        <v>10709491461</v>
      </c>
      <c r="X712" s="3"/>
      <c r="Y712" s="3"/>
      <c r="Z712" s="3"/>
      <c r="AA712" s="3"/>
      <c r="AB712" s="3" t="str">
        <f>IF(Caja_Arequipa[[#This Row],[fecha]]&gt;0,TEXT(Caja_Arequipa[[#This Row],[fecha]],"mmmm"),0)</f>
        <v>Agosto</v>
      </c>
    </row>
    <row r="713" spans="1:28" ht="24" x14ac:dyDescent="0.3">
      <c r="A713" s="2">
        <f>IF(Caja_Arequipa[[#This Row],[tipo_r]]="R",COUNTIFS($C$1:$C712,"R")+1,A712)</f>
        <v>586</v>
      </c>
      <c r="B713" s="19" t="str">
        <f t="shared" si="95"/>
        <v>C-Tesoreria</v>
      </c>
      <c r="C713" s="3" t="s">
        <v>1330</v>
      </c>
      <c r="D713" s="14">
        <v>45883</v>
      </c>
      <c r="E713" s="5" t="s">
        <v>1338</v>
      </c>
      <c r="F713" s="5" t="s">
        <v>1336</v>
      </c>
      <c r="G713" s="3" t="s">
        <v>5280</v>
      </c>
      <c r="H713" s="6" t="s">
        <v>933</v>
      </c>
      <c r="I713" s="6" t="s">
        <v>111</v>
      </c>
      <c r="J713" s="6">
        <v>3</v>
      </c>
      <c r="K713" s="6">
        <v>299</v>
      </c>
      <c r="L713" s="7" t="s">
        <v>6229</v>
      </c>
      <c r="M713" s="8" t="str">
        <f>IF(Caja_Arequipa[[#This Row],[tipo_r]]="R","001-"&amp;12002+A713,M712)</f>
        <v>001-12588</v>
      </c>
      <c r="N713" s="8" t="str">
        <f t="shared" si="96"/>
        <v>PEN</v>
      </c>
      <c r="O713" s="3"/>
      <c r="P713" s="3">
        <v>124</v>
      </c>
      <c r="Q713" s="3">
        <f t="shared" si="97"/>
        <v>0</v>
      </c>
      <c r="R713" s="3">
        <f t="shared" si="98"/>
        <v>124</v>
      </c>
      <c r="S713" s="3">
        <f t="shared" si="94"/>
        <v>267.29999999999893</v>
      </c>
      <c r="T713" s="24" t="s">
        <v>1334</v>
      </c>
      <c r="U713" s="24" t="s">
        <v>1334</v>
      </c>
      <c r="V713" s="3"/>
      <c r="W713" s="25">
        <f>IFERROR(VLOOKUP(Caja_Arequipa[[#This Row],[destinatario]],CHOOSE({1,2},Clientes_Proveedores[Razon Social],Clientes_Proveedores[Ruc / Dni]),2,0),"")</f>
        <v>73195103</v>
      </c>
      <c r="X713" s="3"/>
      <c r="Y713" s="3"/>
      <c r="Z713" s="3"/>
      <c r="AA713" s="3"/>
      <c r="AB713" s="3" t="str">
        <f>IF(Caja_Arequipa[[#This Row],[fecha]]&gt;0,TEXT(Caja_Arequipa[[#This Row],[fecha]],"mmmm"),0)</f>
        <v>Agosto</v>
      </c>
    </row>
    <row r="714" spans="1:28" ht="24" x14ac:dyDescent="0.3">
      <c r="A714" s="2">
        <f>IF(Caja_Arequipa[[#This Row],[tipo_r]]="R",COUNTIFS($C$1:$C713,"R")+1,A713)</f>
        <v>587</v>
      </c>
      <c r="B714" s="19" t="str">
        <f t="shared" si="95"/>
        <v>C-Tesoreria</v>
      </c>
      <c r="C714" s="3" t="s">
        <v>1330</v>
      </c>
      <c r="D714" s="14">
        <v>45887</v>
      </c>
      <c r="E714" s="5" t="s">
        <v>1338</v>
      </c>
      <c r="F714" s="5" t="s">
        <v>1336</v>
      </c>
      <c r="G714" s="3" t="s">
        <v>5250</v>
      </c>
      <c r="H714" s="6" t="s">
        <v>974</v>
      </c>
      <c r="I714" s="6" t="s">
        <v>68</v>
      </c>
      <c r="J714" s="6" t="s">
        <v>5917</v>
      </c>
      <c r="K714" s="6">
        <v>5507</v>
      </c>
      <c r="L714" s="7" t="s">
        <v>6230</v>
      </c>
      <c r="M714" s="8" t="str">
        <f>IF(Caja_Arequipa[[#This Row],[tipo_r]]="R","001-"&amp;12002+A714,M713)</f>
        <v>001-12589</v>
      </c>
      <c r="N714" s="8" t="str">
        <f t="shared" si="96"/>
        <v>PEN</v>
      </c>
      <c r="O714" s="3"/>
      <c r="P714" s="3">
        <v>20</v>
      </c>
      <c r="Q714" s="3">
        <f t="shared" si="97"/>
        <v>0</v>
      </c>
      <c r="R714" s="3">
        <f t="shared" si="98"/>
        <v>20</v>
      </c>
      <c r="S714" s="3">
        <f t="shared" si="94"/>
        <v>247.29999999999893</v>
      </c>
      <c r="T714" s="24" t="s">
        <v>1334</v>
      </c>
      <c r="U714" s="24" t="s">
        <v>1334</v>
      </c>
      <c r="V714" s="3"/>
      <c r="W714" s="25">
        <f>IFERROR(VLOOKUP(Caja_Arequipa[[#This Row],[destinatario]],CHOOSE({1,2},Clientes_Proveedores[Razon Social],Clientes_Proveedores[Ruc / Dni]),2,0),"")</f>
        <v>20558053691</v>
      </c>
      <c r="X714" s="3"/>
      <c r="Y714" s="3"/>
      <c r="Z714" s="3"/>
      <c r="AA714" s="3"/>
      <c r="AB714" s="3" t="str">
        <f>IF(Caja_Arequipa[[#This Row],[fecha]]&gt;0,TEXT(Caja_Arequipa[[#This Row],[fecha]],"mmmm"),0)</f>
        <v>Agosto</v>
      </c>
    </row>
    <row r="715" spans="1:28" ht="24" x14ac:dyDescent="0.3">
      <c r="A715" s="2">
        <f>IF(Caja_Arequipa[[#This Row],[tipo_r]]="R",COUNTIFS($C$1:$C714,"R")+1,A714)</f>
        <v>588</v>
      </c>
      <c r="B715" s="19" t="str">
        <f t="shared" si="95"/>
        <v>C-Tesoreria</v>
      </c>
      <c r="C715" s="3" t="s">
        <v>1330</v>
      </c>
      <c r="D715" s="14">
        <v>45887</v>
      </c>
      <c r="E715" s="5" t="s">
        <v>1338</v>
      </c>
      <c r="F715" s="5" t="s">
        <v>1336</v>
      </c>
      <c r="G715" s="3" t="s">
        <v>4788</v>
      </c>
      <c r="H715" s="6"/>
      <c r="I715" s="6"/>
      <c r="J715" s="6"/>
      <c r="K715" s="6"/>
      <c r="L715" s="7" t="s">
        <v>6231</v>
      </c>
      <c r="M715" s="8" t="str">
        <f>IF(Caja_Arequipa[[#This Row],[tipo_r]]="R","001-"&amp;12002+A715,M714)</f>
        <v>001-12590</v>
      </c>
      <c r="N715" s="8" t="str">
        <f t="shared" si="96"/>
        <v>PEN</v>
      </c>
      <c r="O715" s="3"/>
      <c r="P715" s="3">
        <v>100</v>
      </c>
      <c r="Q715" s="3">
        <f t="shared" si="97"/>
        <v>0</v>
      </c>
      <c r="R715" s="3">
        <f t="shared" si="98"/>
        <v>100</v>
      </c>
      <c r="S715" s="3">
        <f t="shared" si="94"/>
        <v>147.29999999999893</v>
      </c>
      <c r="T715" s="24" t="s">
        <v>1334</v>
      </c>
      <c r="U715" s="24" t="s">
        <v>1334</v>
      </c>
      <c r="V715" s="3"/>
      <c r="W715" s="25" t="str">
        <f>IFERROR(VLOOKUP(Caja_Arequipa[[#This Row],[destinatario]],CHOOSE({1,2},Clientes_Proveedores[Razon Social],Clientes_Proveedores[Ruc / Dni]),2,0),"")</f>
        <v/>
      </c>
      <c r="X715" s="3"/>
      <c r="Y715" s="3"/>
      <c r="Z715" s="3"/>
      <c r="AA715" s="3"/>
      <c r="AB715" s="3" t="str">
        <f>IF(Caja_Arequipa[[#This Row],[fecha]]&gt;0,TEXT(Caja_Arequipa[[#This Row],[fecha]],"mmmm"),0)</f>
        <v>Agosto</v>
      </c>
    </row>
    <row r="716" spans="1:28" ht="24" x14ac:dyDescent="0.3">
      <c r="A716" s="2">
        <f>IF(Caja_Arequipa[[#This Row],[tipo_r]]="R",COUNTIFS($C$1:$C715,"R")+1,A715)</f>
        <v>588</v>
      </c>
      <c r="B716" s="19" t="str">
        <f>"C-Tesoreria"</f>
        <v>C-Tesoreria</v>
      </c>
      <c r="C716" s="3" t="s">
        <v>1352</v>
      </c>
      <c r="D716" s="14">
        <v>45887</v>
      </c>
      <c r="E716" s="5" t="s">
        <v>1338</v>
      </c>
      <c r="F716" s="5"/>
      <c r="G716" s="3"/>
      <c r="H716" s="6" t="s">
        <v>967</v>
      </c>
      <c r="I716" s="6" t="s">
        <v>111</v>
      </c>
      <c r="J716" s="6">
        <v>3</v>
      </c>
      <c r="K716" s="6">
        <v>305</v>
      </c>
      <c r="L716" s="7" t="s">
        <v>6231</v>
      </c>
      <c r="M716" s="8" t="str">
        <f>IF(Caja_Arequipa[[#This Row],[tipo_r]]="R","001-"&amp;12002+A716,M715)</f>
        <v>001-12590</v>
      </c>
      <c r="N716" s="8" t="str">
        <f>"PEN"</f>
        <v>PEN</v>
      </c>
      <c r="O716" s="3">
        <v>40</v>
      </c>
      <c r="P716" s="3"/>
      <c r="Q716" s="3">
        <f>+IF(OR($F716="SALDO",$F716="INGRESO"),$P716,0)</f>
        <v>0</v>
      </c>
      <c r="R716" s="3">
        <f>+IF($F716="EGRESO",$P716,0)</f>
        <v>0</v>
      </c>
      <c r="S716" s="3">
        <f t="shared" si="94"/>
        <v>147.29999999999893</v>
      </c>
      <c r="T716" s="24" t="s">
        <v>1334</v>
      </c>
      <c r="U716" s="24" t="s">
        <v>1334</v>
      </c>
      <c r="V716" s="3"/>
      <c r="W716" s="25">
        <f>IFERROR(VLOOKUP(Caja_Arequipa[[#This Row],[destinatario]],CHOOSE({1,2},Clientes_Proveedores[Razon Social],Clientes_Proveedores[Ruc / Dni]),2,0),"")</f>
        <v>70517150</v>
      </c>
      <c r="X716" s="3"/>
      <c r="Y716" s="3"/>
      <c r="Z716" s="3"/>
      <c r="AA716" s="3"/>
      <c r="AB716" s="3" t="str">
        <f>IF(Caja_Arequipa[[#This Row],[fecha]]&gt;0,TEXT(Caja_Arequipa[[#This Row],[fecha]],"mmmm"),0)</f>
        <v>Agosto</v>
      </c>
    </row>
    <row r="717" spans="1:28" ht="24" x14ac:dyDescent="0.3">
      <c r="A717" s="2">
        <f>IF(Caja_Arequipa[[#This Row],[tipo_r]]="R",COUNTIFS($C$1:$C716,"R")+1,A716)</f>
        <v>588</v>
      </c>
      <c r="B717" s="19" t="str">
        <f>"C-Tesoreria"</f>
        <v>C-Tesoreria</v>
      </c>
      <c r="C717" s="3" t="s">
        <v>1352</v>
      </c>
      <c r="D717" s="14">
        <v>45887</v>
      </c>
      <c r="E717" s="5" t="s">
        <v>1338</v>
      </c>
      <c r="F717" s="5"/>
      <c r="G717" s="3"/>
      <c r="H717" s="6" t="s">
        <v>967</v>
      </c>
      <c r="I717" s="6" t="s">
        <v>111</v>
      </c>
      <c r="J717" s="6">
        <v>3</v>
      </c>
      <c r="K717" s="6">
        <v>304</v>
      </c>
      <c r="L717" s="7" t="s">
        <v>6231</v>
      </c>
      <c r="M717" s="8" t="str">
        <f>IF(Caja_Arequipa[[#This Row],[tipo_r]]="R","001-"&amp;12002+A717,M716)</f>
        <v>001-12590</v>
      </c>
      <c r="N717" s="8" t="str">
        <f>"PEN"</f>
        <v>PEN</v>
      </c>
      <c r="O717" s="3">
        <v>30</v>
      </c>
      <c r="P717" s="3"/>
      <c r="Q717" s="3">
        <f>+IF(OR($F717="SALDO",$F717="INGRESO"),$P717,0)</f>
        <v>0</v>
      </c>
      <c r="R717" s="3">
        <f>+IF($F717="EGRESO",$P717,0)</f>
        <v>0</v>
      </c>
      <c r="S717" s="3">
        <f t="shared" si="94"/>
        <v>147.29999999999893</v>
      </c>
      <c r="T717" s="24" t="s">
        <v>1334</v>
      </c>
      <c r="U717" s="24" t="s">
        <v>1334</v>
      </c>
      <c r="V717" s="3"/>
      <c r="W717" s="25">
        <f>IFERROR(VLOOKUP(Caja_Arequipa[[#This Row],[destinatario]],CHOOSE({1,2},Clientes_Proveedores[Razon Social],Clientes_Proveedores[Ruc / Dni]),2,0),"")</f>
        <v>70517150</v>
      </c>
      <c r="X717" s="3"/>
      <c r="Y717" s="3"/>
      <c r="Z717" s="3"/>
      <c r="AA717" s="3"/>
      <c r="AB717" s="3" t="str">
        <f>IF(Caja_Arequipa[[#This Row],[fecha]]&gt;0,TEXT(Caja_Arequipa[[#This Row],[fecha]],"mmmm"),0)</f>
        <v>Agosto</v>
      </c>
    </row>
    <row r="718" spans="1:28" ht="24" x14ac:dyDescent="0.3">
      <c r="A718" s="2">
        <f>IF(Caja_Arequipa[[#This Row],[tipo_r]]="R",COUNTIFS($C$1:$C717,"R")+1,A717)</f>
        <v>588</v>
      </c>
      <c r="B718" s="19" t="str">
        <f>"C-Tesoreria"</f>
        <v>C-Tesoreria</v>
      </c>
      <c r="C718" s="3" t="s">
        <v>1352</v>
      </c>
      <c r="D718" s="14">
        <v>45887</v>
      </c>
      <c r="E718" s="5" t="s">
        <v>1338</v>
      </c>
      <c r="F718" s="5"/>
      <c r="G718" s="3"/>
      <c r="H718" s="6" t="s">
        <v>967</v>
      </c>
      <c r="I718" s="6" t="s">
        <v>111</v>
      </c>
      <c r="J718" s="6">
        <v>3</v>
      </c>
      <c r="K718" s="6">
        <v>303</v>
      </c>
      <c r="L718" s="7" t="s">
        <v>6231</v>
      </c>
      <c r="M718" s="8" t="str">
        <f>IF(Caja_Arequipa[[#This Row],[tipo_r]]="R","001-"&amp;12002+A718,M717)</f>
        <v>001-12590</v>
      </c>
      <c r="N718" s="8" t="str">
        <f>"PEN"</f>
        <v>PEN</v>
      </c>
      <c r="O718" s="3">
        <v>30</v>
      </c>
      <c r="P718" s="3"/>
      <c r="Q718" s="3">
        <f>+IF(OR($F718="SALDO",$F718="INGRESO"),$P718,0)</f>
        <v>0</v>
      </c>
      <c r="R718" s="3">
        <f>+IF($F718="EGRESO",$P718,0)</f>
        <v>0</v>
      </c>
      <c r="S718" s="3">
        <f t="shared" si="94"/>
        <v>147.29999999999893</v>
      </c>
      <c r="T718" s="24" t="s">
        <v>1334</v>
      </c>
      <c r="U718" s="24" t="s">
        <v>1334</v>
      </c>
      <c r="V718" s="3"/>
      <c r="W718" s="25">
        <f>IFERROR(VLOOKUP(Caja_Arequipa[[#This Row],[destinatario]],CHOOSE({1,2},Clientes_Proveedores[Razon Social],Clientes_Proveedores[Ruc / Dni]),2,0),"")</f>
        <v>70517150</v>
      </c>
      <c r="X718" s="3"/>
      <c r="Y718" s="3"/>
      <c r="Z718" s="3"/>
      <c r="AA718" s="3"/>
      <c r="AB718" s="3" t="str">
        <f>IF(Caja_Arequipa[[#This Row],[fecha]]&gt;0,TEXT(Caja_Arequipa[[#This Row],[fecha]],"mmmm"),0)</f>
        <v>Agosto</v>
      </c>
    </row>
    <row r="719" spans="1:28" ht="24" x14ac:dyDescent="0.3">
      <c r="A719" s="2">
        <f>IF(Caja_Arequipa[[#This Row],[tipo_r]]="R",COUNTIFS($C$1:$C718,"R")+1,A718)</f>
        <v>589</v>
      </c>
      <c r="B719" s="19" t="str">
        <f t="shared" si="95"/>
        <v>C-Tesoreria</v>
      </c>
      <c r="C719" s="3" t="s">
        <v>1330</v>
      </c>
      <c r="D719" s="14">
        <v>45889</v>
      </c>
      <c r="E719" s="5" t="s">
        <v>1338</v>
      </c>
      <c r="F719" s="5" t="s">
        <v>1336</v>
      </c>
      <c r="G719" s="3" t="s">
        <v>5828</v>
      </c>
      <c r="H719" s="6" t="s">
        <v>993</v>
      </c>
      <c r="I719" s="6" t="s">
        <v>111</v>
      </c>
      <c r="J719" s="6">
        <v>3</v>
      </c>
      <c r="K719" s="6">
        <v>301</v>
      </c>
      <c r="L719" s="7" t="s">
        <v>6232</v>
      </c>
      <c r="M719" s="8" t="str">
        <f>IF(Caja_Arequipa[[#This Row],[tipo_r]]="R","001-"&amp;12002+A719,M718)</f>
        <v>001-12591</v>
      </c>
      <c r="N719" s="8" t="str">
        <f t="shared" si="96"/>
        <v>PEN</v>
      </c>
      <c r="O719" s="3"/>
      <c r="P719" s="3">
        <v>25</v>
      </c>
      <c r="Q719" s="3">
        <f t="shared" si="97"/>
        <v>0</v>
      </c>
      <c r="R719" s="3">
        <f t="shared" si="98"/>
        <v>25</v>
      </c>
      <c r="S719" s="3">
        <f t="shared" si="94"/>
        <v>122.29999999999893</v>
      </c>
      <c r="T719" s="24" t="s">
        <v>1334</v>
      </c>
      <c r="U719" s="24" t="s">
        <v>1334</v>
      </c>
      <c r="V719" s="3"/>
      <c r="W719" s="25">
        <f>IFERROR(VLOOKUP(Caja_Arequipa[[#This Row],[destinatario]],CHOOSE({1,2},Clientes_Proveedores[Razon Social],Clientes_Proveedores[Ruc / Dni]),2,0),"")</f>
        <v>76390500</v>
      </c>
      <c r="X719" s="3"/>
      <c r="Y719" s="3"/>
      <c r="Z719" s="3"/>
      <c r="AA719" s="3"/>
      <c r="AB719" s="3" t="str">
        <f>IF(Caja_Arequipa[[#This Row],[fecha]]&gt;0,TEXT(Caja_Arequipa[[#This Row],[fecha]],"mmmm"),0)</f>
        <v>Agosto</v>
      </c>
    </row>
    <row r="720" spans="1:28" x14ac:dyDescent="0.3">
      <c r="A720" s="2">
        <f>IF(Caja_Arequipa[[#This Row],[tipo_r]]="R",COUNTIFS($C$1:$C719,"R")+1,A719)</f>
        <v>590</v>
      </c>
      <c r="B720" s="19" t="str">
        <f t="shared" si="95"/>
        <v>C-Tesoreria</v>
      </c>
      <c r="C720" s="3" t="s">
        <v>1330</v>
      </c>
      <c r="D720" s="14">
        <v>45890</v>
      </c>
      <c r="E720" s="5" t="s">
        <v>1338</v>
      </c>
      <c r="F720" s="5" t="s">
        <v>1336</v>
      </c>
      <c r="G720" s="3" t="s">
        <v>4788</v>
      </c>
      <c r="H720" s="6"/>
      <c r="I720" s="6"/>
      <c r="J720" s="6"/>
      <c r="K720" s="6"/>
      <c r="L720" s="7" t="s">
        <v>6233</v>
      </c>
      <c r="M720" s="8" t="str">
        <f>IF(Caja_Arequipa[[#This Row],[tipo_r]]="R","001-"&amp;12002+A720,M719)</f>
        <v>001-12592</v>
      </c>
      <c r="N720" s="8" t="str">
        <f t="shared" si="96"/>
        <v>PEN</v>
      </c>
      <c r="O720" s="3"/>
      <c r="P720" s="3">
        <v>44</v>
      </c>
      <c r="Q720" s="3">
        <f t="shared" si="97"/>
        <v>0</v>
      </c>
      <c r="R720" s="3">
        <f t="shared" si="98"/>
        <v>44</v>
      </c>
      <c r="S720" s="3">
        <f t="shared" si="94"/>
        <v>78.299999999998931</v>
      </c>
      <c r="T720" s="24" t="s">
        <v>1334</v>
      </c>
      <c r="U720" s="24" t="s">
        <v>1334</v>
      </c>
      <c r="V720" s="3"/>
      <c r="W720" s="25" t="str">
        <f>IFERROR(VLOOKUP(Caja_Arequipa[[#This Row],[destinatario]],CHOOSE({1,2},Clientes_Proveedores[Razon Social],Clientes_Proveedores[Ruc / Dni]),2,0),"")</f>
        <v/>
      </c>
      <c r="X720" s="3"/>
      <c r="Y720" s="3"/>
      <c r="Z720" s="3"/>
      <c r="AA720" s="3"/>
      <c r="AB720" s="3" t="str">
        <f>IF(Caja_Arequipa[[#This Row],[fecha]]&gt;0,TEXT(Caja_Arequipa[[#This Row],[fecha]],"mmmm"),0)</f>
        <v>Agosto</v>
      </c>
    </row>
    <row r="721" spans="1:28" ht="24" x14ac:dyDescent="0.3">
      <c r="A721" s="2">
        <f>IF(Caja_Arequipa[[#This Row],[tipo_r]]="R",COUNTIFS($C$1:$C720,"R")+1,A720)</f>
        <v>590</v>
      </c>
      <c r="B721" s="19" t="str">
        <f t="shared" ref="B721:B727" si="99">"C-Tesoreria"</f>
        <v>C-Tesoreria</v>
      </c>
      <c r="C721" s="3" t="s">
        <v>1352</v>
      </c>
      <c r="D721" s="14">
        <v>45890</v>
      </c>
      <c r="E721" s="5" t="s">
        <v>1338</v>
      </c>
      <c r="F721" s="5"/>
      <c r="G721" s="3"/>
      <c r="H721" s="6" t="s">
        <v>967</v>
      </c>
      <c r="I721" s="6" t="s">
        <v>111</v>
      </c>
      <c r="J721" s="6">
        <v>3</v>
      </c>
      <c r="K721" s="6">
        <v>302</v>
      </c>
      <c r="L721" s="7" t="s">
        <v>6233</v>
      </c>
      <c r="M721" s="8" t="str">
        <f>IF(Caja_Arequipa[[#This Row],[tipo_r]]="R","001-"&amp;12002+A721,M720)</f>
        <v>001-12592</v>
      </c>
      <c r="N721" s="8" t="str">
        <f t="shared" ref="N721:N727" si="100">"PEN"</f>
        <v>PEN</v>
      </c>
      <c r="O721" s="3">
        <v>34</v>
      </c>
      <c r="P721" s="3"/>
      <c r="Q721" s="3">
        <f t="shared" ref="Q721:Q727" si="101">+IF(OR($F721="SALDO",$F721="INGRESO"),$P721,0)</f>
        <v>0</v>
      </c>
      <c r="R721" s="3">
        <f t="shared" ref="R721:R727" si="102">+IF($F721="EGRESO",$P721,0)</f>
        <v>0</v>
      </c>
      <c r="S721" s="3">
        <f t="shared" si="94"/>
        <v>78.299999999998931</v>
      </c>
      <c r="T721" s="24" t="s">
        <v>1334</v>
      </c>
      <c r="U721" s="24" t="s">
        <v>1334</v>
      </c>
      <c r="V721" s="3"/>
      <c r="W721" s="25">
        <f>IFERROR(VLOOKUP(Caja_Arequipa[[#This Row],[destinatario]],CHOOSE({1,2},Clientes_Proveedores[Razon Social],Clientes_Proveedores[Ruc / Dni]),2,0),"")</f>
        <v>70517150</v>
      </c>
      <c r="X721" s="3"/>
      <c r="Y721" s="3"/>
      <c r="Z721" s="3"/>
      <c r="AA721" s="3"/>
      <c r="AB721" s="3" t="str">
        <f>IF(Caja_Arequipa[[#This Row],[fecha]]&gt;0,TEXT(Caja_Arequipa[[#This Row],[fecha]],"mmmm"),0)</f>
        <v>Agosto</v>
      </c>
    </row>
    <row r="722" spans="1:28" ht="24" x14ac:dyDescent="0.3">
      <c r="A722" s="2">
        <f>IF(Caja_Arequipa[[#This Row],[tipo_r]]="R",COUNTIFS($C$1:$C721,"R")+1,A721)</f>
        <v>590</v>
      </c>
      <c r="B722" s="19" t="str">
        <f t="shared" si="99"/>
        <v>C-Tesoreria</v>
      </c>
      <c r="C722" s="3" t="s">
        <v>1352</v>
      </c>
      <c r="D722" s="14">
        <v>45890</v>
      </c>
      <c r="E722" s="5" t="s">
        <v>1338</v>
      </c>
      <c r="F722" s="5"/>
      <c r="G722" s="3"/>
      <c r="H722" s="6" t="s">
        <v>1084</v>
      </c>
      <c r="I722" s="6" t="s">
        <v>68</v>
      </c>
      <c r="J722" s="6" t="s">
        <v>1784</v>
      </c>
      <c r="K722" s="6">
        <v>4562</v>
      </c>
      <c r="L722" s="7" t="s">
        <v>6233</v>
      </c>
      <c r="M722" s="8" t="str">
        <f>IF(Caja_Arequipa[[#This Row],[tipo_r]]="R","001-"&amp;12002+A722,M721)</f>
        <v>001-12592</v>
      </c>
      <c r="N722" s="8" t="str">
        <f t="shared" si="100"/>
        <v>PEN</v>
      </c>
      <c r="O722" s="3">
        <v>10</v>
      </c>
      <c r="P722" s="3"/>
      <c r="Q722" s="3">
        <f t="shared" si="101"/>
        <v>0</v>
      </c>
      <c r="R722" s="3">
        <f t="shared" si="102"/>
        <v>0</v>
      </c>
      <c r="S722" s="3">
        <f t="shared" si="94"/>
        <v>78.299999999998931</v>
      </c>
      <c r="T722" s="24" t="s">
        <v>1334</v>
      </c>
      <c r="U722" s="24" t="s">
        <v>1334</v>
      </c>
      <c r="V722" s="3"/>
      <c r="W722" s="25">
        <f>IFERROR(VLOOKUP(Caja_Arequipa[[#This Row],[destinatario]],CHOOSE({1,2},Clientes_Proveedores[Razon Social],Clientes_Proveedores[Ruc / Dni]),2,0),"")</f>
        <v>20610217762</v>
      </c>
      <c r="X722" s="3"/>
      <c r="Y722" s="3"/>
      <c r="Z722" s="3"/>
      <c r="AA722" s="3"/>
      <c r="AB722" s="3" t="str">
        <f>IF(Caja_Arequipa[[#This Row],[fecha]]&gt;0,TEXT(Caja_Arequipa[[#This Row],[fecha]],"mmmm"),0)</f>
        <v>Agosto</v>
      </c>
    </row>
    <row r="723" spans="1:28" s="97" customFormat="1" x14ac:dyDescent="0.3">
      <c r="A723" s="22">
        <f>IF(Caja_Arequipa[[#This Row],[tipo_r]]="R",COUNTIFS($C$1:$C722,"R")+1,A722)</f>
        <v>591</v>
      </c>
      <c r="B723" s="67" t="str">
        <f t="shared" si="99"/>
        <v>C-Tesoreria</v>
      </c>
      <c r="C723" s="42" t="s">
        <v>1330</v>
      </c>
      <c r="D723" s="68">
        <v>45891</v>
      </c>
      <c r="E723" s="69" t="s">
        <v>4171</v>
      </c>
      <c r="F723" s="69" t="s">
        <v>1303</v>
      </c>
      <c r="G723" s="42" t="s">
        <v>3634</v>
      </c>
      <c r="H723" s="51"/>
      <c r="I723" s="51"/>
      <c r="J723" s="51"/>
      <c r="K723" s="51"/>
      <c r="L723" s="21" t="s">
        <v>5340</v>
      </c>
      <c r="M723" s="70" t="str">
        <f>IF(Caja_Arequipa[[#This Row],[tipo_r]]="R","001-"&amp;12002+A723,M722)</f>
        <v>001-12593</v>
      </c>
      <c r="N723" s="70" t="str">
        <f t="shared" si="100"/>
        <v>PEN</v>
      </c>
      <c r="O723" s="42"/>
      <c r="P723" s="42">
        <v>2200</v>
      </c>
      <c r="Q723" s="42">
        <f t="shared" si="101"/>
        <v>2200</v>
      </c>
      <c r="R723" s="42">
        <f t="shared" si="102"/>
        <v>0</v>
      </c>
      <c r="S723" s="42">
        <f t="shared" si="94"/>
        <v>2278.2999999999988</v>
      </c>
      <c r="T723" s="71" t="s">
        <v>1334</v>
      </c>
      <c r="U723" s="71"/>
      <c r="V723" s="42"/>
      <c r="W723" s="217" t="str">
        <f>IFERROR(VLOOKUP(Caja_Arequipa[[#This Row],[destinatario]],CHOOSE({1,2},Clientes_Proveedores[Razon Social],Clientes_Proveedores[Ruc / Dni]),2,0),"")</f>
        <v/>
      </c>
      <c r="X723" s="42"/>
      <c r="Y723" s="42"/>
      <c r="Z723" s="42"/>
      <c r="AA723" s="42"/>
      <c r="AB723" s="42" t="str">
        <f>IF(Caja_Arequipa[[#This Row],[fecha]]&gt;0,TEXT(Caja_Arequipa[[#This Row],[fecha]],"mmmm"),0)</f>
        <v>Agosto</v>
      </c>
    </row>
    <row r="724" spans="1:28" ht="24" x14ac:dyDescent="0.3">
      <c r="A724" s="2">
        <f>IF(Caja_Arequipa[[#This Row],[tipo_r]]="R",COUNTIFS($C$1:$C723,"R")+1,A723)</f>
        <v>592</v>
      </c>
      <c r="B724" s="19" t="str">
        <f t="shared" si="99"/>
        <v>C-Tesoreria</v>
      </c>
      <c r="C724" s="3" t="s">
        <v>1330</v>
      </c>
      <c r="D724" s="14">
        <v>45891</v>
      </c>
      <c r="E724" s="5" t="s">
        <v>1338</v>
      </c>
      <c r="F724" s="5" t="s">
        <v>1336</v>
      </c>
      <c r="G724" s="3" t="s">
        <v>5250</v>
      </c>
      <c r="H724" s="6" t="s">
        <v>909</v>
      </c>
      <c r="I724" s="164" t="s">
        <v>111</v>
      </c>
      <c r="J724" s="6">
        <v>3</v>
      </c>
      <c r="K724" s="6">
        <v>316</v>
      </c>
      <c r="L724" s="7" t="s">
        <v>6234</v>
      </c>
      <c r="M724" s="8" t="str">
        <f>IF(Caja_Arequipa[[#This Row],[tipo_r]]="R","001-"&amp;12002+A724,M723)</f>
        <v>001-12594</v>
      </c>
      <c r="N724" s="8" t="str">
        <f t="shared" si="100"/>
        <v>PEN</v>
      </c>
      <c r="O724" s="3"/>
      <c r="P724" s="3">
        <v>25</v>
      </c>
      <c r="Q724" s="3">
        <f t="shared" si="101"/>
        <v>0</v>
      </c>
      <c r="R724" s="3">
        <f t="shared" si="102"/>
        <v>25</v>
      </c>
      <c r="S724" s="3">
        <f t="shared" si="94"/>
        <v>2253.2999999999988</v>
      </c>
      <c r="T724" s="24"/>
      <c r="U724" s="24" t="s">
        <v>1334</v>
      </c>
      <c r="V724" s="3"/>
      <c r="W724" s="25">
        <f>IFERROR(VLOOKUP(Caja_Arequipa[[#This Row],[destinatario]],CHOOSE({1,2},Clientes_Proveedores[Razon Social],Clientes_Proveedores[Ruc / Dni]),2,0),"")</f>
        <v>44314304</v>
      </c>
      <c r="X724" s="3"/>
      <c r="Y724" s="3"/>
      <c r="Z724" s="3"/>
      <c r="AA724" s="3"/>
      <c r="AB724" s="3" t="str">
        <f>IF(Caja_Arequipa[[#This Row],[fecha]]&gt;0,TEXT(Caja_Arequipa[[#This Row],[fecha]],"mmmm"),0)</f>
        <v>Agosto</v>
      </c>
    </row>
    <row r="725" spans="1:28" x14ac:dyDescent="0.3">
      <c r="A725" s="2">
        <f>IF(Caja_Arequipa[[#This Row],[tipo_r]]="R",COUNTIFS($C$1:$C724,"R")+1,A724)</f>
        <v>593</v>
      </c>
      <c r="B725" s="19" t="str">
        <f t="shared" si="99"/>
        <v>C-Tesoreria</v>
      </c>
      <c r="C725" s="3" t="s">
        <v>1330</v>
      </c>
      <c r="D725" s="14">
        <v>45891</v>
      </c>
      <c r="E725" s="5" t="s">
        <v>1331</v>
      </c>
      <c r="F725" s="5" t="s">
        <v>1336</v>
      </c>
      <c r="G725" s="3" t="s">
        <v>5450</v>
      </c>
      <c r="H725" s="6"/>
      <c r="I725" s="165"/>
      <c r="J725" s="6"/>
      <c r="K725" s="6"/>
      <c r="L725" s="7" t="s">
        <v>6235</v>
      </c>
      <c r="M725" s="8" t="str">
        <f>IF(Caja_Arequipa[[#This Row],[tipo_r]]="R","001-"&amp;12002+A725,M724)</f>
        <v>001-12595</v>
      </c>
      <c r="N725" s="8" t="str">
        <f t="shared" si="100"/>
        <v>PEN</v>
      </c>
      <c r="O725" s="3"/>
      <c r="P725" s="3">
        <v>40</v>
      </c>
      <c r="Q725" s="3">
        <f t="shared" si="101"/>
        <v>0</v>
      </c>
      <c r="R725" s="3">
        <f t="shared" si="102"/>
        <v>40</v>
      </c>
      <c r="S725" s="3">
        <f t="shared" si="94"/>
        <v>2213.2999999999988</v>
      </c>
      <c r="T725" s="24"/>
      <c r="U725" s="24" t="s">
        <v>1334</v>
      </c>
      <c r="V725" s="3"/>
      <c r="W725" s="25" t="str">
        <f>IFERROR(VLOOKUP(Caja_Arequipa[[#This Row],[destinatario]],CHOOSE({1,2},Clientes_Proveedores[Razon Social],Clientes_Proveedores[Ruc / Dni]),2,0),"")</f>
        <v/>
      </c>
      <c r="X725" s="3"/>
      <c r="Y725" s="3"/>
      <c r="Z725" s="3"/>
      <c r="AA725" s="3"/>
      <c r="AB725" s="3" t="str">
        <f>IF(Caja_Arequipa[[#This Row],[fecha]]&gt;0,TEXT(Caja_Arequipa[[#This Row],[fecha]],"mmmm"),0)</f>
        <v>Agosto</v>
      </c>
    </row>
    <row r="726" spans="1:28" ht="36" x14ac:dyDescent="0.3">
      <c r="A726" s="2">
        <f>IF(Caja_Arequipa[[#This Row],[tipo_r]]="R",COUNTIFS($C$1:$C725,"R")+1,A725)</f>
        <v>593</v>
      </c>
      <c r="B726" s="19" t="str">
        <f t="shared" si="99"/>
        <v>C-Tesoreria</v>
      </c>
      <c r="C726" s="3" t="s">
        <v>1352</v>
      </c>
      <c r="D726" s="14">
        <v>45891</v>
      </c>
      <c r="E726" s="5" t="s">
        <v>1331</v>
      </c>
      <c r="F726" s="5"/>
      <c r="G726" s="3"/>
      <c r="H726" s="6" t="s">
        <v>682</v>
      </c>
      <c r="I726" s="165" t="s">
        <v>68</v>
      </c>
      <c r="J726" s="6" t="s">
        <v>1353</v>
      </c>
      <c r="K726" s="6">
        <v>16740</v>
      </c>
      <c r="L726" s="7" t="s">
        <v>6236</v>
      </c>
      <c r="M726" s="8" t="str">
        <f>IF(Caja_Arequipa[[#This Row],[tipo_r]]="R","001-"&amp;12002+A726,M725)</f>
        <v>001-12595</v>
      </c>
      <c r="N726" s="8" t="str">
        <f t="shared" si="100"/>
        <v>PEN</v>
      </c>
      <c r="O726" s="3">
        <v>20</v>
      </c>
      <c r="P726" s="3"/>
      <c r="Q726" s="3">
        <f t="shared" si="101"/>
        <v>0</v>
      </c>
      <c r="R726" s="3">
        <f t="shared" si="102"/>
        <v>0</v>
      </c>
      <c r="S726" s="3">
        <f t="shared" si="94"/>
        <v>2213.2999999999988</v>
      </c>
      <c r="T726" s="24"/>
      <c r="U726" s="24" t="s">
        <v>1334</v>
      </c>
      <c r="V726" s="3"/>
      <c r="W726" s="25">
        <f>IFERROR(VLOOKUP(Caja_Arequipa[[#This Row],[destinatario]],CHOOSE({1,2},Clientes_Proveedores[Razon Social],Clientes_Proveedores[Ruc / Dni]),2,0),"")</f>
        <v>20259858934</v>
      </c>
      <c r="X726" s="3"/>
      <c r="Y726" s="3"/>
      <c r="Z726" s="3"/>
      <c r="AA726" s="3"/>
      <c r="AB726" s="3" t="str">
        <f>IF(Caja_Arequipa[[#This Row],[fecha]]&gt;0,TEXT(Caja_Arequipa[[#This Row],[fecha]],"mmmm"),0)</f>
        <v>Agosto</v>
      </c>
    </row>
    <row r="727" spans="1:28" ht="36" x14ac:dyDescent="0.3">
      <c r="A727" s="2">
        <f>IF(Caja_Arequipa[[#This Row],[tipo_r]]="R",COUNTIFS($C$1:$C726,"R")+1,A726)</f>
        <v>593</v>
      </c>
      <c r="B727" s="19" t="str">
        <f t="shared" si="99"/>
        <v>C-Tesoreria</v>
      </c>
      <c r="C727" s="3" t="s">
        <v>1352</v>
      </c>
      <c r="D727" s="14">
        <v>45891</v>
      </c>
      <c r="E727" s="5" t="s">
        <v>1331</v>
      </c>
      <c r="F727" s="5"/>
      <c r="G727" s="3"/>
      <c r="H727" s="6" t="s">
        <v>682</v>
      </c>
      <c r="I727" s="165" t="s">
        <v>68</v>
      </c>
      <c r="J727" s="6" t="s">
        <v>1353</v>
      </c>
      <c r="K727" s="6">
        <v>16705</v>
      </c>
      <c r="L727" s="7" t="s">
        <v>6237</v>
      </c>
      <c r="M727" s="8" t="str">
        <f>IF(Caja_Arequipa[[#This Row],[tipo_r]]="R","001-"&amp;12002+A727,M726)</f>
        <v>001-12595</v>
      </c>
      <c r="N727" s="8" t="str">
        <f t="shared" si="100"/>
        <v>PEN</v>
      </c>
      <c r="O727" s="3">
        <v>20</v>
      </c>
      <c r="P727" s="3"/>
      <c r="Q727" s="3">
        <f t="shared" si="101"/>
        <v>0</v>
      </c>
      <c r="R727" s="3">
        <f t="shared" si="102"/>
        <v>0</v>
      </c>
      <c r="S727" s="3">
        <f t="shared" si="94"/>
        <v>2213.2999999999988</v>
      </c>
      <c r="T727" s="24"/>
      <c r="U727" s="24" t="s">
        <v>1334</v>
      </c>
      <c r="V727" s="3"/>
      <c r="W727" s="25">
        <f>IFERROR(VLOOKUP(Caja_Arequipa[[#This Row],[destinatario]],CHOOSE({1,2},Clientes_Proveedores[Razon Social],Clientes_Proveedores[Ruc / Dni]),2,0),"")</f>
        <v>20259858934</v>
      </c>
      <c r="X727" s="3"/>
      <c r="Y727" s="3"/>
      <c r="Z727" s="3"/>
      <c r="AA727" s="3"/>
      <c r="AB727" s="3" t="str">
        <f>IF(Caja_Arequipa[[#This Row],[fecha]]&gt;0,TEXT(Caja_Arequipa[[#This Row],[fecha]],"mmmm"),0)</f>
        <v>Agosto</v>
      </c>
    </row>
    <row r="728" spans="1:28" x14ac:dyDescent="0.3">
      <c r="A728" s="2">
        <f>IF(Caja_Arequipa[[#This Row],[tipo_r]]="R",COUNTIFS($C$1:$C727,"R")+1,A727)</f>
        <v>594</v>
      </c>
      <c r="B728" s="19" t="str">
        <f t="shared" ref="B728:B730" si="103">"C-Tesoreria"</f>
        <v>C-Tesoreria</v>
      </c>
      <c r="C728" s="3" t="s">
        <v>1330</v>
      </c>
      <c r="D728" s="14">
        <v>45891</v>
      </c>
      <c r="E728" s="5" t="s">
        <v>1331</v>
      </c>
      <c r="F728" s="5" t="s">
        <v>1336</v>
      </c>
      <c r="G728" s="3" t="s">
        <v>5450</v>
      </c>
      <c r="H728" s="6"/>
      <c r="I728" s="165"/>
      <c r="J728" s="6"/>
      <c r="K728" s="6"/>
      <c r="L728" s="7" t="s">
        <v>6238</v>
      </c>
      <c r="M728" s="8" t="str">
        <f>IF(Caja_Arequipa[[#This Row],[tipo_r]]="R","001-"&amp;12002+A728,M727)</f>
        <v>001-12596</v>
      </c>
      <c r="N728" s="8" t="str">
        <f t="shared" ref="N728:N730" si="104">"PEN"</f>
        <v>PEN</v>
      </c>
      <c r="O728" s="3"/>
      <c r="P728" s="3">
        <v>60</v>
      </c>
      <c r="Q728" s="3">
        <f t="shared" ref="Q728:Q730" si="105">+IF(OR($F728="SALDO",$F728="INGRESO"),$P728,0)</f>
        <v>0</v>
      </c>
      <c r="R728" s="3">
        <f t="shared" ref="R728:R730" si="106">+IF($F728="EGRESO",$P728,0)</f>
        <v>60</v>
      </c>
      <c r="S728" s="3">
        <f t="shared" si="94"/>
        <v>2153.2999999999988</v>
      </c>
      <c r="T728" s="24"/>
      <c r="U728" s="24"/>
      <c r="V728" s="3"/>
      <c r="W728" s="25" t="str">
        <f>IFERROR(VLOOKUP(Caja_Arequipa[[#This Row],[destinatario]],CHOOSE({1,2},Clientes_Proveedores[Razon Social],Clientes_Proveedores[Ruc / Dni]),2,0),"")</f>
        <v/>
      </c>
      <c r="X728" s="3"/>
      <c r="Y728" s="3"/>
      <c r="Z728" s="3"/>
      <c r="AA728" s="3"/>
      <c r="AB728" s="3" t="str">
        <f>IF(Caja_Arequipa[[#This Row],[fecha]]&gt;0,TEXT(Caja_Arequipa[[#This Row],[fecha]],"mmmm"),0)</f>
        <v>Agosto</v>
      </c>
    </row>
    <row r="729" spans="1:28" ht="36" x14ac:dyDescent="0.3">
      <c r="A729" s="2">
        <f>IF(Caja_Arequipa[[#This Row],[tipo_r]]="R",COUNTIFS($C$1:$C728,"R")+1,A728)</f>
        <v>594</v>
      </c>
      <c r="B729" s="19" t="str">
        <f t="shared" si="103"/>
        <v>C-Tesoreria</v>
      </c>
      <c r="C729" s="3" t="s">
        <v>1352</v>
      </c>
      <c r="D729" s="14">
        <v>45891</v>
      </c>
      <c r="E729" s="5" t="s">
        <v>1331</v>
      </c>
      <c r="F729" s="5"/>
      <c r="G729" s="3"/>
      <c r="H729" s="6" t="s">
        <v>682</v>
      </c>
      <c r="I729" s="165" t="s">
        <v>68</v>
      </c>
      <c r="J729" s="6" t="s">
        <v>1353</v>
      </c>
      <c r="K729" s="6">
        <v>16965</v>
      </c>
      <c r="L729" s="7" t="s">
        <v>6239</v>
      </c>
      <c r="M729" s="8" t="str">
        <f>IF(Caja_Arequipa[[#This Row],[tipo_r]]="R","001-"&amp;12002+A729,M728)</f>
        <v>001-12596</v>
      </c>
      <c r="N729" s="8" t="str">
        <f t="shared" si="104"/>
        <v>PEN</v>
      </c>
      <c r="O729" s="3">
        <v>20</v>
      </c>
      <c r="P729" s="3"/>
      <c r="Q729" s="3">
        <f t="shared" si="105"/>
        <v>0</v>
      </c>
      <c r="R729" s="3">
        <f t="shared" si="106"/>
        <v>0</v>
      </c>
      <c r="S729" s="3">
        <f t="shared" si="94"/>
        <v>2153.2999999999988</v>
      </c>
      <c r="T729" s="24"/>
      <c r="U729" s="24"/>
      <c r="V729" s="3"/>
      <c r="W729" s="25">
        <f>IFERROR(VLOOKUP(Caja_Arequipa[[#This Row],[destinatario]],CHOOSE({1,2},Clientes_Proveedores[Razon Social],Clientes_Proveedores[Ruc / Dni]),2,0),"")</f>
        <v>20259858934</v>
      </c>
      <c r="X729" s="3"/>
      <c r="Y729" s="3"/>
      <c r="Z729" s="3"/>
      <c r="AA729" s="3"/>
      <c r="AB729" s="3" t="str">
        <f>IF(Caja_Arequipa[[#This Row],[fecha]]&gt;0,TEXT(Caja_Arequipa[[#This Row],[fecha]],"mmmm"),0)</f>
        <v>Agosto</v>
      </c>
    </row>
    <row r="730" spans="1:28" ht="36" x14ac:dyDescent="0.3">
      <c r="A730" s="2">
        <f>IF(Caja_Arequipa[[#This Row],[tipo_r]]="R",COUNTIFS($C$1:$C729,"R")+1,A729)</f>
        <v>594</v>
      </c>
      <c r="B730" s="19" t="str">
        <f t="shared" si="103"/>
        <v>C-Tesoreria</v>
      </c>
      <c r="C730" s="3" t="s">
        <v>1352</v>
      </c>
      <c r="D730" s="14">
        <v>45891</v>
      </c>
      <c r="E730" s="5" t="s">
        <v>1331</v>
      </c>
      <c r="F730" s="5"/>
      <c r="G730" s="3"/>
      <c r="H730" s="6" t="s">
        <v>682</v>
      </c>
      <c r="I730" s="165" t="s">
        <v>68</v>
      </c>
      <c r="J730" s="6" t="s">
        <v>1353</v>
      </c>
      <c r="K730" s="183">
        <v>17087</v>
      </c>
      <c r="L730" s="7" t="s">
        <v>6240</v>
      </c>
      <c r="M730" s="8" t="str">
        <f>IF(Caja_Arequipa[[#This Row],[tipo_r]]="R","001-"&amp;12002+A730,M729)</f>
        <v>001-12596</v>
      </c>
      <c r="N730" s="8" t="str">
        <f t="shared" si="104"/>
        <v>PEN</v>
      </c>
      <c r="O730" s="3">
        <v>20</v>
      </c>
      <c r="P730" s="3"/>
      <c r="Q730" s="3">
        <f t="shared" si="105"/>
        <v>0</v>
      </c>
      <c r="R730" s="3">
        <f t="shared" si="106"/>
        <v>0</v>
      </c>
      <c r="S730" s="3">
        <f t="shared" si="94"/>
        <v>2153.2999999999988</v>
      </c>
      <c r="T730" s="24"/>
      <c r="U730" s="24"/>
      <c r="V730" s="3"/>
      <c r="W730" s="25">
        <f>IFERROR(VLOOKUP(Caja_Arequipa[[#This Row],[destinatario]],CHOOSE({1,2},Clientes_Proveedores[Razon Social],Clientes_Proveedores[Ruc / Dni]),2,0),"")</f>
        <v>20259858934</v>
      </c>
      <c r="X730" s="3" t="s">
        <v>6241</v>
      </c>
      <c r="Y730" s="3"/>
      <c r="Z730" s="3"/>
      <c r="AA730" s="3"/>
      <c r="AB730" s="3" t="str">
        <f>IF(Caja_Arequipa[[#This Row],[fecha]]&gt;0,TEXT(Caja_Arequipa[[#This Row],[fecha]],"mmmm"),0)</f>
        <v>Agosto</v>
      </c>
    </row>
    <row r="731" spans="1:28" ht="36" x14ac:dyDescent="0.3">
      <c r="A731" s="2">
        <f>IF(Caja_Arequipa[[#This Row],[tipo_r]]="R",COUNTIFS($C$1:$C730,"R")+1,A730)</f>
        <v>594</v>
      </c>
      <c r="B731" s="19" t="str">
        <f t="shared" ref="B731:B742" si="107">"C-Tesoreria"</f>
        <v>C-Tesoreria</v>
      </c>
      <c r="C731" s="3" t="s">
        <v>1352</v>
      </c>
      <c r="D731" s="14">
        <v>45891</v>
      </c>
      <c r="E731" s="5" t="s">
        <v>1331</v>
      </c>
      <c r="F731" s="5"/>
      <c r="G731" s="3"/>
      <c r="H731" s="6" t="s">
        <v>682</v>
      </c>
      <c r="I731" s="165" t="s">
        <v>68</v>
      </c>
      <c r="J731" s="6" t="s">
        <v>1353</v>
      </c>
      <c r="K731" s="6">
        <v>17138</v>
      </c>
      <c r="L731" s="7" t="s">
        <v>6242</v>
      </c>
      <c r="M731" s="8" t="str">
        <f>IF(Caja_Arequipa[[#This Row],[tipo_r]]="R","001-"&amp;12002+A731,M730)</f>
        <v>001-12596</v>
      </c>
      <c r="N731" s="8" t="str">
        <f t="shared" ref="N731:N742" si="108">"PEN"</f>
        <v>PEN</v>
      </c>
      <c r="O731" s="3">
        <v>20</v>
      </c>
      <c r="P731" s="3"/>
      <c r="Q731" s="3">
        <f t="shared" ref="Q731:Q742" si="109">+IF(OR($F731="SALDO",$F731="INGRESO"),$P731,0)</f>
        <v>0</v>
      </c>
      <c r="R731" s="3">
        <f t="shared" ref="R731:R742" si="110">+IF($F731="EGRESO",$P731,0)</f>
        <v>0</v>
      </c>
      <c r="S731" s="3">
        <f t="shared" si="94"/>
        <v>2153.2999999999988</v>
      </c>
      <c r="T731" s="24"/>
      <c r="U731" s="24"/>
      <c r="V731" s="3"/>
      <c r="W731" s="25">
        <f>IFERROR(VLOOKUP(Caja_Arequipa[[#This Row],[destinatario]],CHOOSE({1,2},Clientes_Proveedores[Razon Social],Clientes_Proveedores[Ruc / Dni]),2,0),"")</f>
        <v>20259858934</v>
      </c>
      <c r="X731" s="3"/>
      <c r="Y731" s="3"/>
      <c r="Z731" s="3"/>
      <c r="AA731" s="3"/>
      <c r="AB731" s="3" t="str">
        <f>IF(Caja_Arequipa[[#This Row],[fecha]]&gt;0,TEXT(Caja_Arequipa[[#This Row],[fecha]],"mmmm"),0)</f>
        <v>Agosto</v>
      </c>
    </row>
    <row r="732" spans="1:28" ht="24" x14ac:dyDescent="0.3">
      <c r="A732" s="2">
        <f>IF(Caja_Arequipa[[#This Row],[tipo_r]]="R",COUNTIFS($C$1:$C731,"R")+1,A731)</f>
        <v>595</v>
      </c>
      <c r="B732" s="19" t="str">
        <f t="shared" si="107"/>
        <v>C-Tesoreria</v>
      </c>
      <c r="C732" s="3" t="s">
        <v>1330</v>
      </c>
      <c r="D732" s="14">
        <v>45894</v>
      </c>
      <c r="E732" s="5" t="s">
        <v>2269</v>
      </c>
      <c r="F732" s="5" t="s">
        <v>1336</v>
      </c>
      <c r="G732" s="3" t="s">
        <v>4788</v>
      </c>
      <c r="H732" s="6" t="s">
        <v>967</v>
      </c>
      <c r="I732" s="164" t="s">
        <v>111</v>
      </c>
      <c r="J732" s="6">
        <v>3</v>
      </c>
      <c r="K732" s="6">
        <v>317</v>
      </c>
      <c r="L732" s="7" t="s">
        <v>6243</v>
      </c>
      <c r="M732" s="8" t="str">
        <f>IF(Caja_Arequipa[[#This Row],[tipo_r]]="R","001-"&amp;12002+A732,M731)</f>
        <v>001-12597</v>
      </c>
      <c r="N732" s="8" t="str">
        <f t="shared" si="108"/>
        <v>PEN</v>
      </c>
      <c r="O732" s="13"/>
      <c r="P732" s="13">
        <v>22</v>
      </c>
      <c r="Q732" s="3">
        <f t="shared" si="109"/>
        <v>0</v>
      </c>
      <c r="R732" s="3">
        <f t="shared" si="110"/>
        <v>22</v>
      </c>
      <c r="S732" s="3">
        <f t="shared" si="94"/>
        <v>2131.2999999999988</v>
      </c>
      <c r="T732" s="24"/>
      <c r="U732" s="24" t="s">
        <v>1334</v>
      </c>
      <c r="V732" s="3"/>
      <c r="W732" s="25">
        <f>IFERROR(VLOOKUP(Caja_Arequipa[[#This Row],[destinatario]],CHOOSE({1,2},Clientes_Proveedores[Razon Social],Clientes_Proveedores[Ruc / Dni]),2,0),"")</f>
        <v>70517150</v>
      </c>
      <c r="X732" s="3"/>
      <c r="Y732" s="3"/>
      <c r="Z732" s="3"/>
      <c r="AA732" s="3"/>
      <c r="AB732" s="3" t="str">
        <f>IF(Caja_Arequipa[[#This Row],[fecha]]&gt;0,TEXT(Caja_Arequipa[[#This Row],[fecha]],"mmmm"),0)</f>
        <v>Agosto</v>
      </c>
    </row>
    <row r="733" spans="1:28" x14ac:dyDescent="0.3">
      <c r="A733" s="2">
        <f>IF(Caja_Arequipa[[#This Row],[tipo_r]]="R",COUNTIFS($C$1:$C732,"R")+1,A732)</f>
        <v>596</v>
      </c>
      <c r="B733" s="19" t="str">
        <f t="shared" si="107"/>
        <v>C-Tesoreria</v>
      </c>
      <c r="C733" s="3" t="s">
        <v>1330</v>
      </c>
      <c r="D733" s="14">
        <v>45895</v>
      </c>
      <c r="E733" s="5" t="s">
        <v>1338</v>
      </c>
      <c r="F733" s="5" t="s">
        <v>1336</v>
      </c>
      <c r="G733" s="3" t="s">
        <v>5380</v>
      </c>
      <c r="H733" s="6"/>
      <c r="I733" s="165"/>
      <c r="J733" s="6"/>
      <c r="K733" s="6"/>
      <c r="L733" s="7" t="s">
        <v>6055</v>
      </c>
      <c r="M733" s="8" t="str">
        <f>IF(Caja_Arequipa[[#This Row],[tipo_r]]="R","001-"&amp;12002+A733,M732)</f>
        <v>001-12598</v>
      </c>
      <c r="N733" s="8" t="str">
        <f t="shared" si="108"/>
        <v>PEN</v>
      </c>
      <c r="O733" s="13"/>
      <c r="P733" s="13">
        <v>86</v>
      </c>
      <c r="Q733" s="3">
        <f t="shared" si="109"/>
        <v>0</v>
      </c>
      <c r="R733" s="3">
        <f t="shared" si="110"/>
        <v>86</v>
      </c>
      <c r="S733" s="3">
        <f t="shared" si="94"/>
        <v>2045.2999999999988</v>
      </c>
      <c r="T733" s="24"/>
      <c r="U733" s="24" t="s">
        <v>1334</v>
      </c>
      <c r="V733" s="3"/>
      <c r="W733" s="25" t="str">
        <f>IFERROR(VLOOKUP(Caja_Arequipa[[#This Row],[destinatario]],CHOOSE({1,2},Clientes_Proveedores[Razon Social],Clientes_Proveedores[Ruc / Dni]),2,0),"")</f>
        <v/>
      </c>
      <c r="X733" s="3"/>
      <c r="Y733" s="3"/>
      <c r="Z733" s="3"/>
      <c r="AA733" s="3"/>
      <c r="AB733" s="3" t="str">
        <f>IF(Caja_Arequipa[[#This Row],[fecha]]&gt;0,TEXT(Caja_Arequipa[[#This Row],[fecha]],"mmmm"),0)</f>
        <v>Agosto</v>
      </c>
    </row>
    <row r="734" spans="1:28" x14ac:dyDescent="0.3">
      <c r="A734" s="2">
        <f>IF(Caja_Arequipa[[#This Row],[tipo_r]]="R",COUNTIFS($C$1:$C733,"R")+1,A733)</f>
        <v>596</v>
      </c>
      <c r="B734" s="19" t="str">
        <f t="shared" si="107"/>
        <v>C-Tesoreria</v>
      </c>
      <c r="C734" s="3" t="s">
        <v>1352</v>
      </c>
      <c r="D734" s="14">
        <v>45895</v>
      </c>
      <c r="E734" s="5" t="s">
        <v>1338</v>
      </c>
      <c r="F734" s="5"/>
      <c r="G734" s="3"/>
      <c r="H734" s="6" t="s">
        <v>978</v>
      </c>
      <c r="I734" s="165" t="s">
        <v>68</v>
      </c>
      <c r="J734" s="6" t="s">
        <v>6204</v>
      </c>
      <c r="K734" s="6">
        <v>1814973</v>
      </c>
      <c r="L734" s="7" t="s">
        <v>6055</v>
      </c>
      <c r="M734" s="8" t="str">
        <f>IF(Caja_Arequipa[[#This Row],[tipo_r]]="R","001-"&amp;12002+A734,M733)</f>
        <v>001-12598</v>
      </c>
      <c r="N734" s="8" t="str">
        <f t="shared" si="108"/>
        <v>PEN</v>
      </c>
      <c r="O734" s="13">
        <v>8</v>
      </c>
      <c r="P734" s="13"/>
      <c r="Q734" s="3">
        <f t="shared" si="109"/>
        <v>0</v>
      </c>
      <c r="R734" s="3">
        <f t="shared" si="110"/>
        <v>0</v>
      </c>
      <c r="S734" s="3">
        <f t="shared" si="94"/>
        <v>2045.2999999999988</v>
      </c>
      <c r="T734" s="24"/>
      <c r="U734" s="24" t="s">
        <v>1334</v>
      </c>
      <c r="V734" s="3"/>
      <c r="W734" s="25">
        <f>IFERROR(VLOOKUP(Caja_Arequipa[[#This Row],[destinatario]],CHOOSE({1,2},Clientes_Proveedores[Razon Social],Clientes_Proveedores[Ruc / Dni]),2,0),"")</f>
        <v>20517252558</v>
      </c>
      <c r="X734" s="3"/>
      <c r="Y734" s="3"/>
      <c r="Z734" s="3"/>
      <c r="AA734" s="3"/>
      <c r="AB734" s="3" t="str">
        <f>IF(Caja_Arequipa[[#This Row],[fecha]]&gt;0,TEXT(Caja_Arequipa[[#This Row],[fecha]],"mmmm"),0)</f>
        <v>Agosto</v>
      </c>
    </row>
    <row r="735" spans="1:28" x14ac:dyDescent="0.3">
      <c r="A735" s="2">
        <f>IF(Caja_Arequipa[[#This Row],[tipo_r]]="R",COUNTIFS($C$1:$C734,"R")+1,A734)</f>
        <v>596</v>
      </c>
      <c r="B735" s="19" t="str">
        <f t="shared" si="107"/>
        <v>C-Tesoreria</v>
      </c>
      <c r="C735" s="3" t="s">
        <v>1352</v>
      </c>
      <c r="D735" s="14">
        <v>45895</v>
      </c>
      <c r="E735" s="5" t="s">
        <v>1338</v>
      </c>
      <c r="F735" s="5"/>
      <c r="G735" s="3"/>
      <c r="H735" s="6" t="s">
        <v>978</v>
      </c>
      <c r="I735" s="165" t="s">
        <v>68</v>
      </c>
      <c r="J735" s="6" t="s">
        <v>5688</v>
      </c>
      <c r="K735" s="6">
        <v>2441872</v>
      </c>
      <c r="L735" s="7" t="s">
        <v>6055</v>
      </c>
      <c r="M735" s="8" t="str">
        <f>IF(Caja_Arequipa[[#This Row],[tipo_r]]="R","001-"&amp;12002+A735,M734)</f>
        <v>001-12598</v>
      </c>
      <c r="N735" s="8" t="str">
        <f t="shared" si="108"/>
        <v>PEN</v>
      </c>
      <c r="O735" s="13">
        <v>8</v>
      </c>
      <c r="P735" s="13"/>
      <c r="Q735" s="3">
        <f t="shared" si="109"/>
        <v>0</v>
      </c>
      <c r="R735" s="3">
        <f t="shared" si="110"/>
        <v>0</v>
      </c>
      <c r="S735" s="3">
        <f t="shared" si="94"/>
        <v>2045.2999999999988</v>
      </c>
      <c r="T735" s="24"/>
      <c r="U735" s="24" t="s">
        <v>1334</v>
      </c>
      <c r="V735" s="3"/>
      <c r="W735" s="25">
        <f>IFERROR(VLOOKUP(Caja_Arequipa[[#This Row],[destinatario]],CHOOSE({1,2},Clientes_Proveedores[Razon Social],Clientes_Proveedores[Ruc / Dni]),2,0),"")</f>
        <v>20517252558</v>
      </c>
      <c r="X735" s="3"/>
      <c r="Y735" s="3"/>
      <c r="Z735" s="3"/>
      <c r="AA735" s="3"/>
      <c r="AB735" s="3" t="str">
        <f>IF(Caja_Arequipa[[#This Row],[fecha]]&gt;0,TEXT(Caja_Arequipa[[#This Row],[fecha]],"mmmm"),0)</f>
        <v>Agosto</v>
      </c>
    </row>
    <row r="736" spans="1:28" x14ac:dyDescent="0.3">
      <c r="A736" s="2">
        <f>IF(Caja_Arequipa[[#This Row],[tipo_r]]="R",COUNTIFS($C$1:$C735,"R")+1,A735)</f>
        <v>596</v>
      </c>
      <c r="B736" s="19" t="str">
        <f t="shared" si="107"/>
        <v>C-Tesoreria</v>
      </c>
      <c r="C736" s="3" t="s">
        <v>1352</v>
      </c>
      <c r="D736" s="14">
        <v>45895</v>
      </c>
      <c r="E736" s="5" t="s">
        <v>1338</v>
      </c>
      <c r="F736" s="5"/>
      <c r="G736" s="3"/>
      <c r="H736" s="6" t="s">
        <v>978</v>
      </c>
      <c r="I736" s="165" t="s">
        <v>68</v>
      </c>
      <c r="J736" s="6" t="s">
        <v>5688</v>
      </c>
      <c r="K736" s="6">
        <v>2433524</v>
      </c>
      <c r="L736" s="7" t="s">
        <v>6055</v>
      </c>
      <c r="M736" s="8" t="str">
        <f>IF(Caja_Arequipa[[#This Row],[tipo_r]]="R","001-"&amp;12002+A736,M735)</f>
        <v>001-12598</v>
      </c>
      <c r="N736" s="8" t="str">
        <f t="shared" si="108"/>
        <v>PEN</v>
      </c>
      <c r="O736" s="13">
        <v>8</v>
      </c>
      <c r="P736" s="13"/>
      <c r="Q736" s="3">
        <f t="shared" si="109"/>
        <v>0</v>
      </c>
      <c r="R736" s="3">
        <f t="shared" si="110"/>
        <v>0</v>
      </c>
      <c r="S736" s="3">
        <f t="shared" si="94"/>
        <v>2045.2999999999988</v>
      </c>
      <c r="T736" s="24"/>
      <c r="U736" s="24" t="s">
        <v>1334</v>
      </c>
      <c r="V736" s="3"/>
      <c r="W736" s="25">
        <f>IFERROR(VLOOKUP(Caja_Arequipa[[#This Row],[destinatario]],CHOOSE({1,2},Clientes_Proveedores[Razon Social],Clientes_Proveedores[Ruc / Dni]),2,0),"")</f>
        <v>20517252558</v>
      </c>
      <c r="X736" s="3"/>
      <c r="Y736" s="3"/>
      <c r="Z736" s="3"/>
      <c r="AA736" s="3"/>
      <c r="AB736" s="3" t="str">
        <f>IF(Caja_Arequipa[[#This Row],[fecha]]&gt;0,TEXT(Caja_Arequipa[[#This Row],[fecha]],"mmmm"),0)</f>
        <v>Agosto</v>
      </c>
    </row>
    <row r="737" spans="1:28" x14ac:dyDescent="0.3">
      <c r="A737" s="2">
        <f>IF(Caja_Arequipa[[#This Row],[tipo_r]]="R",COUNTIFS($C$1:$C736,"R")+1,A736)</f>
        <v>596</v>
      </c>
      <c r="B737" s="19" t="str">
        <f t="shared" si="107"/>
        <v>C-Tesoreria</v>
      </c>
      <c r="C737" s="3" t="s">
        <v>1352</v>
      </c>
      <c r="D737" s="14">
        <v>45895</v>
      </c>
      <c r="E737" s="5" t="s">
        <v>1338</v>
      </c>
      <c r="F737" s="5"/>
      <c r="G737" s="3"/>
      <c r="H737" s="6" t="s">
        <v>978</v>
      </c>
      <c r="I737" s="165" t="s">
        <v>68</v>
      </c>
      <c r="J737" s="6" t="s">
        <v>6203</v>
      </c>
      <c r="K737" s="6">
        <v>2151336</v>
      </c>
      <c r="L737" s="7" t="s">
        <v>6055</v>
      </c>
      <c r="M737" s="8" t="str">
        <f>IF(Caja_Arequipa[[#This Row],[tipo_r]]="R","001-"&amp;12002+A737,M736)</f>
        <v>001-12598</v>
      </c>
      <c r="N737" s="8" t="str">
        <f t="shared" si="108"/>
        <v>PEN</v>
      </c>
      <c r="O737" s="13">
        <v>8</v>
      </c>
      <c r="P737" s="13"/>
      <c r="Q737" s="3">
        <f t="shared" si="109"/>
        <v>0</v>
      </c>
      <c r="R737" s="3">
        <f t="shared" si="110"/>
        <v>0</v>
      </c>
      <c r="S737" s="3">
        <f t="shared" si="94"/>
        <v>2045.2999999999988</v>
      </c>
      <c r="T737" s="24"/>
      <c r="U737" s="24" t="s">
        <v>1334</v>
      </c>
      <c r="V737" s="3"/>
      <c r="W737" s="25">
        <f>IFERROR(VLOOKUP(Caja_Arequipa[[#This Row],[destinatario]],CHOOSE({1,2},Clientes_Proveedores[Razon Social],Clientes_Proveedores[Ruc / Dni]),2,0),"")</f>
        <v>20517252558</v>
      </c>
      <c r="X737" s="3"/>
      <c r="Y737" s="3"/>
      <c r="Z737" s="3"/>
      <c r="AA737" s="3"/>
      <c r="AB737" s="3" t="str">
        <f>IF(Caja_Arequipa[[#This Row],[fecha]]&gt;0,TEXT(Caja_Arequipa[[#This Row],[fecha]],"mmmm"),0)</f>
        <v>Agosto</v>
      </c>
    </row>
    <row r="738" spans="1:28" x14ac:dyDescent="0.3">
      <c r="A738" s="2">
        <f>IF(Caja_Arequipa[[#This Row],[tipo_r]]="R",COUNTIFS($C$1:$C737,"R")+1,A737)</f>
        <v>596</v>
      </c>
      <c r="B738" s="19" t="str">
        <f t="shared" si="107"/>
        <v>C-Tesoreria</v>
      </c>
      <c r="C738" s="3" t="s">
        <v>1352</v>
      </c>
      <c r="D738" s="14">
        <v>45895</v>
      </c>
      <c r="E738" s="5" t="s">
        <v>1338</v>
      </c>
      <c r="F738" s="5"/>
      <c r="G738" s="3"/>
      <c r="H738" s="6" t="s">
        <v>978</v>
      </c>
      <c r="I738" s="165" t="s">
        <v>68</v>
      </c>
      <c r="J738" s="6" t="s">
        <v>5688</v>
      </c>
      <c r="K738" s="6">
        <v>2440464</v>
      </c>
      <c r="L738" s="7" t="s">
        <v>6055</v>
      </c>
      <c r="M738" s="8" t="str">
        <f>IF(Caja_Arequipa[[#This Row],[tipo_r]]="R","001-"&amp;12002+A738,M737)</f>
        <v>001-12598</v>
      </c>
      <c r="N738" s="8" t="str">
        <f t="shared" si="108"/>
        <v>PEN</v>
      </c>
      <c r="O738" s="13">
        <v>8</v>
      </c>
      <c r="P738" s="13"/>
      <c r="Q738" s="3">
        <f t="shared" si="109"/>
        <v>0</v>
      </c>
      <c r="R738" s="3">
        <f t="shared" si="110"/>
        <v>0</v>
      </c>
      <c r="S738" s="3">
        <f t="shared" si="94"/>
        <v>2045.2999999999988</v>
      </c>
      <c r="T738" s="24"/>
      <c r="U738" s="24" t="s">
        <v>1334</v>
      </c>
      <c r="V738" s="3"/>
      <c r="W738" s="25">
        <f>IFERROR(VLOOKUP(Caja_Arequipa[[#This Row],[destinatario]],CHOOSE({1,2},Clientes_Proveedores[Razon Social],Clientes_Proveedores[Ruc / Dni]),2,0),"")</f>
        <v>20517252558</v>
      </c>
      <c r="X738" s="3"/>
      <c r="Y738" s="3"/>
      <c r="Z738" s="3"/>
      <c r="AA738" s="3"/>
      <c r="AB738" s="3" t="str">
        <f>IF(Caja_Arequipa[[#This Row],[fecha]]&gt;0,TEXT(Caja_Arequipa[[#This Row],[fecha]],"mmmm"),0)</f>
        <v>Agosto</v>
      </c>
    </row>
    <row r="739" spans="1:28" x14ac:dyDescent="0.3">
      <c r="A739" s="2">
        <f>IF(Caja_Arequipa[[#This Row],[tipo_r]]="R",COUNTIFS($C$1:$C738,"R")+1,A738)</f>
        <v>596</v>
      </c>
      <c r="B739" s="19" t="str">
        <f t="shared" si="107"/>
        <v>C-Tesoreria</v>
      </c>
      <c r="C739" s="3" t="s">
        <v>1352</v>
      </c>
      <c r="D739" s="14">
        <v>45895</v>
      </c>
      <c r="E739" s="5" t="s">
        <v>1338</v>
      </c>
      <c r="F739" s="5"/>
      <c r="G739" s="3"/>
      <c r="H739" s="6" t="s">
        <v>978</v>
      </c>
      <c r="I739" s="165" t="s">
        <v>68</v>
      </c>
      <c r="J739" s="6" t="s">
        <v>6244</v>
      </c>
      <c r="K739" s="6">
        <v>1111679</v>
      </c>
      <c r="L739" s="7" t="s">
        <v>6055</v>
      </c>
      <c r="M739" s="8" t="str">
        <f>IF(Caja_Arequipa[[#This Row],[tipo_r]]="R","001-"&amp;12002+A739,M738)</f>
        <v>001-12598</v>
      </c>
      <c r="N739" s="8" t="str">
        <f t="shared" si="108"/>
        <v>PEN</v>
      </c>
      <c r="O739" s="13">
        <v>8</v>
      </c>
      <c r="P739" s="13"/>
      <c r="Q739" s="3">
        <f t="shared" si="109"/>
        <v>0</v>
      </c>
      <c r="R739" s="3">
        <f t="shared" si="110"/>
        <v>0</v>
      </c>
      <c r="S739" s="3">
        <f t="shared" si="94"/>
        <v>2045.2999999999988</v>
      </c>
      <c r="T739" s="24"/>
      <c r="U739" s="24" t="s">
        <v>1334</v>
      </c>
      <c r="V739" s="3"/>
      <c r="W739" s="25">
        <f>IFERROR(VLOOKUP(Caja_Arequipa[[#This Row],[destinatario]],CHOOSE({1,2},Clientes_Proveedores[Razon Social],Clientes_Proveedores[Ruc / Dni]),2,0),"")</f>
        <v>20517252558</v>
      </c>
      <c r="X739" s="3"/>
      <c r="Y739" s="3"/>
      <c r="Z739" s="3"/>
      <c r="AA739" s="3"/>
      <c r="AB739" s="3" t="str">
        <f>IF(Caja_Arequipa[[#This Row],[fecha]]&gt;0,TEXT(Caja_Arequipa[[#This Row],[fecha]],"mmmm"),0)</f>
        <v>Agosto</v>
      </c>
    </row>
    <row r="740" spans="1:28" x14ac:dyDescent="0.3">
      <c r="A740" s="2">
        <f>IF(Caja_Arequipa[[#This Row],[tipo_r]]="R",COUNTIFS($C$1:$C739,"R")+1,A739)</f>
        <v>596</v>
      </c>
      <c r="B740" s="19" t="str">
        <f t="shared" si="107"/>
        <v>C-Tesoreria</v>
      </c>
      <c r="C740" s="3" t="s">
        <v>1352</v>
      </c>
      <c r="D740" s="14">
        <v>45895</v>
      </c>
      <c r="E740" s="5" t="s">
        <v>1338</v>
      </c>
      <c r="F740" s="5"/>
      <c r="G740" s="3"/>
      <c r="H740" s="6" t="s">
        <v>978</v>
      </c>
      <c r="I740" s="165" t="s">
        <v>68</v>
      </c>
      <c r="J740" s="6" t="s">
        <v>6245</v>
      </c>
      <c r="K740" s="6">
        <v>1016199</v>
      </c>
      <c r="L740" s="7" t="s">
        <v>6055</v>
      </c>
      <c r="M740" s="8" t="str">
        <f>IF(Caja_Arequipa[[#This Row],[tipo_r]]="R","001-"&amp;12002+A740,M739)</f>
        <v>001-12598</v>
      </c>
      <c r="N740" s="8" t="str">
        <f t="shared" si="108"/>
        <v>PEN</v>
      </c>
      <c r="O740" s="13">
        <v>8</v>
      </c>
      <c r="P740" s="13"/>
      <c r="Q740" s="3">
        <f t="shared" si="109"/>
        <v>0</v>
      </c>
      <c r="R740" s="3">
        <f t="shared" si="110"/>
        <v>0</v>
      </c>
      <c r="S740" s="3">
        <f t="shared" si="94"/>
        <v>2045.2999999999988</v>
      </c>
      <c r="T740" s="24"/>
      <c r="U740" s="24" t="s">
        <v>1334</v>
      </c>
      <c r="V740" s="3"/>
      <c r="W740" s="25">
        <f>IFERROR(VLOOKUP(Caja_Arequipa[[#This Row],[destinatario]],CHOOSE({1,2},Clientes_Proveedores[Razon Social],Clientes_Proveedores[Ruc / Dni]),2,0),"")</f>
        <v>20517252558</v>
      </c>
      <c r="X740" s="3"/>
      <c r="Y740" s="3"/>
      <c r="Z740" s="3"/>
      <c r="AA740" s="3"/>
      <c r="AB740" s="3" t="str">
        <f>IF(Caja_Arequipa[[#This Row],[fecha]]&gt;0,TEXT(Caja_Arequipa[[#This Row],[fecha]],"mmmm"),0)</f>
        <v>Agosto</v>
      </c>
    </row>
    <row r="741" spans="1:28" x14ac:dyDescent="0.3">
      <c r="A741" s="2">
        <f>IF(Caja_Arequipa[[#This Row],[tipo_r]]="R",COUNTIFS($C$1:$C740,"R")+1,A740)</f>
        <v>596</v>
      </c>
      <c r="B741" s="19" t="str">
        <f t="shared" si="107"/>
        <v>C-Tesoreria</v>
      </c>
      <c r="C741" s="3" t="s">
        <v>1352</v>
      </c>
      <c r="D741" s="14">
        <v>45895</v>
      </c>
      <c r="E741" s="5" t="s">
        <v>1338</v>
      </c>
      <c r="F741" s="5"/>
      <c r="G741" s="3"/>
      <c r="H741" s="6" t="s">
        <v>978</v>
      </c>
      <c r="I741" s="165" t="s">
        <v>68</v>
      </c>
      <c r="J741" s="6" t="s">
        <v>6203</v>
      </c>
      <c r="K741" s="6">
        <v>2150007</v>
      </c>
      <c r="L741" s="7" t="s">
        <v>6055</v>
      </c>
      <c r="M741" s="8" t="str">
        <f>IF(Caja_Arequipa[[#This Row],[tipo_r]]="R","001-"&amp;12002+A741,M740)</f>
        <v>001-12598</v>
      </c>
      <c r="N741" s="8" t="str">
        <f t="shared" si="108"/>
        <v>PEN</v>
      </c>
      <c r="O741" s="13">
        <v>8</v>
      </c>
      <c r="P741" s="13"/>
      <c r="Q741" s="3">
        <f t="shared" si="109"/>
        <v>0</v>
      </c>
      <c r="R741" s="3">
        <f t="shared" si="110"/>
        <v>0</v>
      </c>
      <c r="S741" s="3">
        <f t="shared" si="94"/>
        <v>2045.2999999999988</v>
      </c>
      <c r="T741" s="24"/>
      <c r="U741" s="24" t="s">
        <v>1334</v>
      </c>
      <c r="V741" s="3"/>
      <c r="W741" s="25">
        <f>IFERROR(VLOOKUP(Caja_Arequipa[[#This Row],[destinatario]],CHOOSE({1,2},Clientes_Proveedores[Razon Social],Clientes_Proveedores[Ruc / Dni]),2,0),"")</f>
        <v>20517252558</v>
      </c>
      <c r="X741" s="3"/>
      <c r="Y741" s="3"/>
      <c r="Z741" s="3"/>
      <c r="AA741" s="3"/>
      <c r="AB741" s="3" t="str">
        <f>IF(Caja_Arequipa[[#This Row],[fecha]]&gt;0,TEXT(Caja_Arequipa[[#This Row],[fecha]],"mmmm"),0)</f>
        <v>Agosto</v>
      </c>
    </row>
    <row r="742" spans="1:28" ht="36" x14ac:dyDescent="0.3">
      <c r="A742" s="2">
        <f>IF(Caja_Arequipa[[#This Row],[tipo_r]]="R",COUNTIFS($C$1:$C741,"R")+1,A741)</f>
        <v>596</v>
      </c>
      <c r="B742" s="19" t="str">
        <f t="shared" si="107"/>
        <v>C-Tesoreria</v>
      </c>
      <c r="C742" s="3" t="s">
        <v>1352</v>
      </c>
      <c r="D742" s="14">
        <v>45895</v>
      </c>
      <c r="E742" s="5" t="s">
        <v>1338</v>
      </c>
      <c r="F742" s="5"/>
      <c r="G742" s="3"/>
      <c r="H742" s="6" t="s">
        <v>1029</v>
      </c>
      <c r="I742" s="165" t="s">
        <v>68</v>
      </c>
      <c r="J742" s="6" t="s">
        <v>1374</v>
      </c>
      <c r="K742" s="6">
        <v>18192</v>
      </c>
      <c r="L742" s="7" t="s">
        <v>6055</v>
      </c>
      <c r="M742" s="8" t="str">
        <f>IF(Caja_Arequipa[[#This Row],[tipo_r]]="R","001-"&amp;12002+A742,M741)</f>
        <v>001-12598</v>
      </c>
      <c r="N742" s="8" t="str">
        <f t="shared" si="108"/>
        <v>PEN</v>
      </c>
      <c r="O742" s="13">
        <v>22</v>
      </c>
      <c r="P742" s="13"/>
      <c r="Q742" s="3">
        <f t="shared" si="109"/>
        <v>0</v>
      </c>
      <c r="R742" s="3">
        <f t="shared" si="110"/>
        <v>0</v>
      </c>
      <c r="S742" s="3">
        <f t="shared" si="94"/>
        <v>2045.2999999999988</v>
      </c>
      <c r="T742" s="24"/>
      <c r="U742" s="24" t="s">
        <v>1334</v>
      </c>
      <c r="V742" s="3"/>
      <c r="W742" s="25">
        <f>IFERROR(VLOOKUP(Caja_Arequipa[[#This Row],[destinatario]],CHOOSE({1,2},Clientes_Proveedores[Razon Social],Clientes_Proveedores[Ruc / Dni]),2,0),"")</f>
        <v>20454058187</v>
      </c>
      <c r="X742" s="3"/>
      <c r="Y742" s="3"/>
      <c r="Z742" s="3"/>
      <c r="AA742" s="3"/>
      <c r="AB742" s="3" t="str">
        <f>IF(Caja_Arequipa[[#This Row],[fecha]]&gt;0,TEXT(Caja_Arequipa[[#This Row],[fecha]],"mmmm"),0)</f>
        <v>Agosto</v>
      </c>
    </row>
    <row r="743" spans="1:28" x14ac:dyDescent="0.3">
      <c r="A743" s="2">
        <f>IF(Caja_Arequipa[[#This Row],[tipo_r]]="R",COUNTIFS($C$1:$C742,"R")+1,A742)</f>
        <v>597</v>
      </c>
      <c r="B743" s="19" t="str">
        <f t="shared" ref="B743:B752" si="111">"C-Tesoreria"</f>
        <v>C-Tesoreria</v>
      </c>
      <c r="C743" s="3" t="s">
        <v>1330</v>
      </c>
      <c r="D743" s="14">
        <v>45895</v>
      </c>
      <c r="E743" s="5" t="s">
        <v>2269</v>
      </c>
      <c r="F743" s="5" t="s">
        <v>1336</v>
      </c>
      <c r="G743" s="3" t="s">
        <v>6246</v>
      </c>
      <c r="H743" s="6"/>
      <c r="I743" s="165"/>
      <c r="J743" s="6"/>
      <c r="K743" s="6"/>
      <c r="L743" s="7" t="s">
        <v>6247</v>
      </c>
      <c r="M743" s="8" t="str">
        <f>IF(Caja_Arequipa[[#This Row],[tipo_r]]="R","001-"&amp;12002+A743,M742)</f>
        <v>001-12599</v>
      </c>
      <c r="N743" s="8" t="str">
        <f t="shared" ref="N743:N752" si="112">"PEN"</f>
        <v>PEN</v>
      </c>
      <c r="O743" s="13"/>
      <c r="P743" s="13">
        <v>42</v>
      </c>
      <c r="Q743" s="3">
        <f t="shared" ref="Q743:Q752" si="113">+IF(OR($F743="SALDO",$F743="INGRESO"),$P743,0)</f>
        <v>0</v>
      </c>
      <c r="R743" s="3">
        <f t="shared" ref="R743:R752" si="114">+IF($F743="EGRESO",$P743,0)</f>
        <v>42</v>
      </c>
      <c r="S743" s="3">
        <f t="shared" si="94"/>
        <v>2003.2999999999988</v>
      </c>
      <c r="T743" s="24"/>
      <c r="U743" s="24" t="s">
        <v>1334</v>
      </c>
      <c r="V743" s="3"/>
      <c r="W743" s="25" t="str">
        <f>IFERROR(VLOOKUP(Caja_Arequipa[[#This Row],[destinatario]],CHOOSE({1,2},Clientes_Proveedores[Razon Social],Clientes_Proveedores[Ruc / Dni]),2,0),"")</f>
        <v/>
      </c>
      <c r="X743" s="3"/>
      <c r="Y743" s="3"/>
      <c r="Z743" s="3"/>
      <c r="AA743" s="3"/>
      <c r="AB743" s="3" t="str">
        <f>IF(Caja_Arequipa[[#This Row],[fecha]]&gt;0,TEXT(Caja_Arequipa[[#This Row],[fecha]],"mmmm"),0)</f>
        <v>Agosto</v>
      </c>
    </row>
    <row r="744" spans="1:28" ht="24" x14ac:dyDescent="0.3">
      <c r="A744" s="2">
        <f>IF(Caja_Arequipa[[#This Row],[tipo_r]]="R",COUNTIFS($C$1:$C743,"R")+1,A743)</f>
        <v>597</v>
      </c>
      <c r="B744" s="19" t="str">
        <f>"C-Tesoreria"</f>
        <v>C-Tesoreria</v>
      </c>
      <c r="C744" s="3" t="s">
        <v>1352</v>
      </c>
      <c r="D744" s="14">
        <v>45895</v>
      </c>
      <c r="E744" s="5" t="s">
        <v>2269</v>
      </c>
      <c r="F744" s="5"/>
      <c r="G744" s="3"/>
      <c r="H744" s="6" t="s">
        <v>1093</v>
      </c>
      <c r="I744" s="165" t="s">
        <v>111</v>
      </c>
      <c r="J744" s="6">
        <v>3</v>
      </c>
      <c r="K744" s="6">
        <v>318</v>
      </c>
      <c r="L744" s="7" t="s">
        <v>6247</v>
      </c>
      <c r="M744" s="8" t="str">
        <f>IF(Caja_Arequipa[[#This Row],[tipo_r]]="R","001-"&amp;12002+A744,M743)</f>
        <v>001-12599</v>
      </c>
      <c r="N744" s="8" t="str">
        <f>"PEN"</f>
        <v>PEN</v>
      </c>
      <c r="O744" s="13">
        <v>2</v>
      </c>
      <c r="P744" s="13"/>
      <c r="Q744" s="3">
        <f>+IF(OR($F744="SALDO",$F744="INGRESO"),$P744,0)</f>
        <v>0</v>
      </c>
      <c r="R744" s="3">
        <f>+IF($F744="EGRESO",$P744,0)</f>
        <v>0</v>
      </c>
      <c r="S744" s="3">
        <f t="shared" si="94"/>
        <v>2003.2999999999988</v>
      </c>
      <c r="T744" s="24"/>
      <c r="U744" s="24" t="s">
        <v>1334</v>
      </c>
      <c r="V744" s="3"/>
      <c r="W744" s="25">
        <f>IFERROR(VLOOKUP(Caja_Arequipa[[#This Row],[destinatario]],CHOOSE({1,2},Clientes_Proveedores[Razon Social],Clientes_Proveedores[Ruc / Dni]),2,0),"")</f>
        <v>75846609</v>
      </c>
      <c r="X744" s="3"/>
      <c r="Y744" s="3"/>
      <c r="Z744" s="3"/>
      <c r="AA744" s="3"/>
      <c r="AB744" s="3" t="str">
        <f>IF(Caja_Arequipa[[#This Row],[fecha]]&gt;0,TEXT(Caja_Arequipa[[#This Row],[fecha]],"mmmm"),0)</f>
        <v>Agosto</v>
      </c>
    </row>
    <row r="745" spans="1:28" ht="24" x14ac:dyDescent="0.3">
      <c r="A745" s="2">
        <f>IF(Caja_Arequipa[[#This Row],[tipo_r]]="R",COUNTIFS($C$1:$C744,"R")+1,A744)</f>
        <v>597</v>
      </c>
      <c r="B745" s="19" t="str">
        <f>"C-Tesoreria"</f>
        <v>C-Tesoreria</v>
      </c>
      <c r="C745" s="3" t="s">
        <v>1352</v>
      </c>
      <c r="D745" s="14">
        <v>45895</v>
      </c>
      <c r="E745" s="5" t="s">
        <v>2269</v>
      </c>
      <c r="F745" s="5"/>
      <c r="G745" s="3"/>
      <c r="H745" s="6" t="s">
        <v>1109</v>
      </c>
      <c r="I745" s="165" t="s">
        <v>68</v>
      </c>
      <c r="J745" s="6" t="s">
        <v>1390</v>
      </c>
      <c r="K745" s="6">
        <v>2608</v>
      </c>
      <c r="L745" s="7" t="s">
        <v>6247</v>
      </c>
      <c r="M745" s="8" t="str">
        <f>IF(Caja_Arequipa[[#This Row],[tipo_r]]="R","001-"&amp;12002+A745,M744)</f>
        <v>001-12599</v>
      </c>
      <c r="N745" s="8" t="str">
        <f>"PEN"</f>
        <v>PEN</v>
      </c>
      <c r="O745" s="13">
        <v>40</v>
      </c>
      <c r="P745" s="13"/>
      <c r="Q745" s="3">
        <f>+IF(OR($F745="SALDO",$F745="INGRESO"),$P745,0)</f>
        <v>0</v>
      </c>
      <c r="R745" s="3">
        <f>+IF($F745="EGRESO",$P745,0)</f>
        <v>0</v>
      </c>
      <c r="S745" s="3">
        <f t="shared" si="94"/>
        <v>2003.2999999999988</v>
      </c>
      <c r="T745" s="24"/>
      <c r="U745" s="24" t="s">
        <v>1334</v>
      </c>
      <c r="V745" s="3"/>
      <c r="W745" s="25">
        <f>IFERROR(VLOOKUP(Caja_Arequipa[[#This Row],[destinatario]],CHOOSE({1,2},Clientes_Proveedores[Razon Social],Clientes_Proveedores[Ruc / Dni]),2,0),"")</f>
        <v>20539522320</v>
      </c>
      <c r="X745" s="3"/>
      <c r="Y745" s="3"/>
      <c r="Z745" s="3"/>
      <c r="AA745" s="3"/>
      <c r="AB745" s="3" t="str">
        <f>IF(Caja_Arequipa[[#This Row],[fecha]]&gt;0,TEXT(Caja_Arequipa[[#This Row],[fecha]],"mmmm"),0)</f>
        <v>Agosto</v>
      </c>
    </row>
    <row r="746" spans="1:28" x14ac:dyDescent="0.3">
      <c r="A746" s="2">
        <f>IF(Caja_Arequipa[[#This Row],[tipo_r]]="R",COUNTIFS($C$1:$C745,"R")+1,A745)</f>
        <v>598</v>
      </c>
      <c r="B746" s="19" t="str">
        <f t="shared" si="111"/>
        <v>C-Tesoreria</v>
      </c>
      <c r="C746" s="3" t="s">
        <v>1330</v>
      </c>
      <c r="D746" s="14">
        <v>45895</v>
      </c>
      <c r="E746" s="5" t="s">
        <v>1338</v>
      </c>
      <c r="F746" s="5" t="s">
        <v>1336</v>
      </c>
      <c r="G746" s="3" t="s">
        <v>5380</v>
      </c>
      <c r="H746" s="6"/>
      <c r="I746" s="165"/>
      <c r="J746" s="6"/>
      <c r="K746" s="6"/>
      <c r="L746" s="7" t="s">
        <v>6055</v>
      </c>
      <c r="M746" s="8" t="str">
        <f>IF(Caja_Arequipa[[#This Row],[tipo_r]]="R","001-"&amp;12002+A746,M745)</f>
        <v>001-12600</v>
      </c>
      <c r="N746" s="8" t="str">
        <f t="shared" si="112"/>
        <v>PEN</v>
      </c>
      <c r="O746" s="13"/>
      <c r="P746" s="13">
        <v>356</v>
      </c>
      <c r="Q746" s="3">
        <f t="shared" si="113"/>
        <v>0</v>
      </c>
      <c r="R746" s="3">
        <f t="shared" si="114"/>
        <v>356</v>
      </c>
      <c r="S746" s="3">
        <f t="shared" si="94"/>
        <v>1647.2999999999988</v>
      </c>
      <c r="T746" s="24"/>
      <c r="U746" s="24" t="s">
        <v>1334</v>
      </c>
      <c r="V746" s="3"/>
      <c r="W746" s="25" t="str">
        <f>IFERROR(VLOOKUP(Caja_Arequipa[[#This Row],[destinatario]],CHOOSE({1,2},Clientes_Proveedores[Razon Social],Clientes_Proveedores[Ruc / Dni]),2,0),"")</f>
        <v/>
      </c>
      <c r="X746" s="3"/>
      <c r="Y746" s="3"/>
      <c r="Z746" s="3"/>
      <c r="AA746" s="3"/>
      <c r="AB746" s="3" t="str">
        <f>IF(Caja_Arequipa[[#This Row],[fecha]]&gt;0,TEXT(Caja_Arequipa[[#This Row],[fecha]],"mmmm"),0)</f>
        <v>Agosto</v>
      </c>
    </row>
    <row r="747" spans="1:28" x14ac:dyDescent="0.3">
      <c r="A747" s="2">
        <f>IF(Caja_Arequipa[[#This Row],[tipo_r]]="R",COUNTIFS($C$1:$C746,"R")+1,A746)</f>
        <v>598</v>
      </c>
      <c r="B747" s="19" t="str">
        <f t="shared" si="111"/>
        <v>C-Tesoreria</v>
      </c>
      <c r="C747" s="3" t="s">
        <v>1352</v>
      </c>
      <c r="D747" s="14">
        <v>45895</v>
      </c>
      <c r="E747" s="5" t="s">
        <v>1338</v>
      </c>
      <c r="F747" s="5"/>
      <c r="G747" s="3"/>
      <c r="H747" s="6" t="s">
        <v>978</v>
      </c>
      <c r="I747" s="165" t="s">
        <v>68</v>
      </c>
      <c r="J747" s="6" t="s">
        <v>5688</v>
      </c>
      <c r="K747" s="6">
        <v>2416224</v>
      </c>
      <c r="L747" s="7" t="s">
        <v>6055</v>
      </c>
      <c r="M747" s="8" t="str">
        <f>IF(Caja_Arequipa[[#This Row],[tipo_r]]="R","001-"&amp;12002+A747,M746)</f>
        <v>001-12600</v>
      </c>
      <c r="N747" s="8" t="str">
        <f t="shared" si="112"/>
        <v>PEN</v>
      </c>
      <c r="O747" s="13">
        <v>8</v>
      </c>
      <c r="P747" s="13"/>
      <c r="Q747" s="3">
        <f t="shared" si="113"/>
        <v>0</v>
      </c>
      <c r="R747" s="3">
        <f t="shared" si="114"/>
        <v>0</v>
      </c>
      <c r="S747" s="3">
        <f t="shared" si="94"/>
        <v>1647.2999999999988</v>
      </c>
      <c r="T747" s="24"/>
      <c r="U747" s="24" t="s">
        <v>1334</v>
      </c>
      <c r="V747" s="3"/>
      <c r="W747" s="25">
        <f>IFERROR(VLOOKUP(Caja_Arequipa[[#This Row],[destinatario]],CHOOSE({1,2},Clientes_Proveedores[Razon Social],Clientes_Proveedores[Ruc / Dni]),2,0),"")</f>
        <v>20517252558</v>
      </c>
      <c r="X747" s="3"/>
      <c r="Y747" s="3"/>
      <c r="Z747" s="3"/>
      <c r="AA747" s="3"/>
      <c r="AB747" s="3" t="str">
        <f>IF(Caja_Arequipa[[#This Row],[fecha]]&gt;0,TEXT(Caja_Arequipa[[#This Row],[fecha]],"mmmm"),0)</f>
        <v>Agosto</v>
      </c>
    </row>
    <row r="748" spans="1:28" x14ac:dyDescent="0.3">
      <c r="A748" s="2">
        <f>IF(Caja_Arequipa[[#This Row],[tipo_r]]="R",COUNTIFS($C$1:$C747,"R")+1,A747)</f>
        <v>598</v>
      </c>
      <c r="B748" s="19" t="str">
        <f t="shared" si="111"/>
        <v>C-Tesoreria</v>
      </c>
      <c r="C748" s="3" t="s">
        <v>1352</v>
      </c>
      <c r="D748" s="14">
        <v>45895</v>
      </c>
      <c r="E748" s="5" t="s">
        <v>1338</v>
      </c>
      <c r="F748" s="5"/>
      <c r="G748" s="3"/>
      <c r="H748" s="6" t="s">
        <v>978</v>
      </c>
      <c r="I748" s="165" t="s">
        <v>68</v>
      </c>
      <c r="J748" s="6" t="s">
        <v>5845</v>
      </c>
      <c r="K748" s="6">
        <v>1818286</v>
      </c>
      <c r="L748" s="7" t="s">
        <v>6055</v>
      </c>
      <c r="M748" s="8" t="str">
        <f>IF(Caja_Arequipa[[#This Row],[tipo_r]]="R","001-"&amp;12002+A748,M747)</f>
        <v>001-12600</v>
      </c>
      <c r="N748" s="8" t="str">
        <f t="shared" si="112"/>
        <v>PEN</v>
      </c>
      <c r="O748" s="13">
        <v>8</v>
      </c>
      <c r="P748" s="13"/>
      <c r="Q748" s="3">
        <f t="shared" si="113"/>
        <v>0</v>
      </c>
      <c r="R748" s="3">
        <f t="shared" si="114"/>
        <v>0</v>
      </c>
      <c r="S748" s="3">
        <f t="shared" si="94"/>
        <v>1647.2999999999988</v>
      </c>
      <c r="T748" s="24"/>
      <c r="U748" s="24" t="s">
        <v>1334</v>
      </c>
      <c r="V748" s="3"/>
      <c r="W748" s="25">
        <f>IFERROR(VLOOKUP(Caja_Arequipa[[#This Row],[destinatario]],CHOOSE({1,2},Clientes_Proveedores[Razon Social],Clientes_Proveedores[Ruc / Dni]),2,0),"")</f>
        <v>20517252558</v>
      </c>
      <c r="X748" s="3"/>
      <c r="Y748" s="3"/>
      <c r="Z748" s="3"/>
      <c r="AA748" s="3"/>
      <c r="AB748" s="3" t="str">
        <f>IF(Caja_Arequipa[[#This Row],[fecha]]&gt;0,TEXT(Caja_Arequipa[[#This Row],[fecha]],"mmmm"),0)</f>
        <v>Agosto</v>
      </c>
    </row>
    <row r="749" spans="1:28" ht="24" x14ac:dyDescent="0.3">
      <c r="A749" s="2">
        <f>IF(Caja_Arequipa[[#This Row],[tipo_r]]="R",COUNTIFS($C$1:$C748,"R")+1,A748)</f>
        <v>598</v>
      </c>
      <c r="B749" s="19" t="str">
        <f t="shared" si="111"/>
        <v>C-Tesoreria</v>
      </c>
      <c r="C749" s="3" t="s">
        <v>1352</v>
      </c>
      <c r="D749" s="14">
        <v>45895</v>
      </c>
      <c r="E749" s="5" t="s">
        <v>1338</v>
      </c>
      <c r="F749" s="5"/>
      <c r="G749" s="3"/>
      <c r="H749" s="6" t="s">
        <v>1083</v>
      </c>
      <c r="I749" s="165" t="s">
        <v>68</v>
      </c>
      <c r="J749" s="6" t="s">
        <v>1376</v>
      </c>
      <c r="K749" s="6">
        <v>43</v>
      </c>
      <c r="L749" s="7" t="s">
        <v>6055</v>
      </c>
      <c r="M749" s="8" t="str">
        <f>IF(Caja_Arequipa[[#This Row],[tipo_r]]="R","001-"&amp;12002+A749,M748)</f>
        <v>001-12600</v>
      </c>
      <c r="N749" s="8" t="str">
        <f t="shared" si="112"/>
        <v>PEN</v>
      </c>
      <c r="O749" s="13">
        <v>280</v>
      </c>
      <c r="P749" s="13"/>
      <c r="Q749" s="3">
        <f t="shared" si="113"/>
        <v>0</v>
      </c>
      <c r="R749" s="3">
        <f t="shared" si="114"/>
        <v>0</v>
      </c>
      <c r="S749" s="3">
        <f t="shared" si="94"/>
        <v>1647.2999999999988</v>
      </c>
      <c r="T749" s="24"/>
      <c r="U749" s="24" t="s">
        <v>1334</v>
      </c>
      <c r="V749" s="3"/>
      <c r="W749" s="25">
        <f>IFERROR(VLOOKUP(Caja_Arequipa[[#This Row],[destinatario]],CHOOSE({1,2},Clientes_Proveedores[Razon Social],Clientes_Proveedores[Ruc / Dni]),2,0),"")</f>
        <v>20612785130</v>
      </c>
      <c r="X749" s="3"/>
      <c r="Y749" s="3"/>
      <c r="Z749" s="3"/>
      <c r="AA749" s="3"/>
      <c r="AB749" s="3" t="str">
        <f>IF(Caja_Arequipa[[#This Row],[fecha]]&gt;0,TEXT(Caja_Arequipa[[#This Row],[fecha]],"mmmm"),0)</f>
        <v>Agosto</v>
      </c>
    </row>
    <row r="750" spans="1:28" x14ac:dyDescent="0.3">
      <c r="A750" s="2">
        <f>IF(Caja_Arequipa[[#This Row],[tipo_r]]="R",COUNTIFS($C$1:$C749,"R")+1,A749)</f>
        <v>598</v>
      </c>
      <c r="B750" s="19" t="str">
        <f t="shared" si="111"/>
        <v>C-Tesoreria</v>
      </c>
      <c r="C750" s="3" t="s">
        <v>1352</v>
      </c>
      <c r="D750" s="14">
        <v>45895</v>
      </c>
      <c r="E750" s="5" t="s">
        <v>1338</v>
      </c>
      <c r="F750" s="5"/>
      <c r="G750" s="3"/>
      <c r="H750" s="6" t="s">
        <v>978</v>
      </c>
      <c r="I750" s="165" t="s">
        <v>68</v>
      </c>
      <c r="J750" s="6" t="s">
        <v>6204</v>
      </c>
      <c r="K750" s="6">
        <v>1819141</v>
      </c>
      <c r="L750" s="7" t="s">
        <v>6055</v>
      </c>
      <c r="M750" s="8" t="str">
        <f>IF(Caja_Arequipa[[#This Row],[tipo_r]]="R","001-"&amp;12002+A750,M749)</f>
        <v>001-12600</v>
      </c>
      <c r="N750" s="8" t="str">
        <f t="shared" si="112"/>
        <v>PEN</v>
      </c>
      <c r="O750" s="13">
        <v>8</v>
      </c>
      <c r="P750" s="13"/>
      <c r="Q750" s="3">
        <f t="shared" si="113"/>
        <v>0</v>
      </c>
      <c r="R750" s="3">
        <f t="shared" si="114"/>
        <v>0</v>
      </c>
      <c r="S750" s="3">
        <f t="shared" si="94"/>
        <v>1647.2999999999988</v>
      </c>
      <c r="T750" s="24"/>
      <c r="U750" s="24" t="s">
        <v>1334</v>
      </c>
      <c r="V750" s="3"/>
      <c r="W750" s="25">
        <f>IFERROR(VLOOKUP(Caja_Arequipa[[#This Row],[destinatario]],CHOOSE({1,2},Clientes_Proveedores[Razon Social],Clientes_Proveedores[Ruc / Dni]),2,0),"")</f>
        <v>20517252558</v>
      </c>
      <c r="X750" s="3"/>
      <c r="Y750" s="3"/>
      <c r="Z750" s="3"/>
      <c r="AA750" s="3"/>
      <c r="AB750" s="3" t="str">
        <f>IF(Caja_Arequipa[[#This Row],[fecha]]&gt;0,TEXT(Caja_Arequipa[[#This Row],[fecha]],"mmmm"),0)</f>
        <v>Agosto</v>
      </c>
    </row>
    <row r="751" spans="1:28" ht="24" x14ac:dyDescent="0.3">
      <c r="A751" s="2">
        <f>IF(Caja_Arequipa[[#This Row],[tipo_r]]="R",COUNTIFS($C$1:$C750,"R")+1,A750)</f>
        <v>598</v>
      </c>
      <c r="B751" s="19" t="str">
        <f t="shared" si="111"/>
        <v>C-Tesoreria</v>
      </c>
      <c r="C751" s="3" t="s">
        <v>1352</v>
      </c>
      <c r="D751" s="14">
        <v>45895</v>
      </c>
      <c r="E751" s="5" t="s">
        <v>1338</v>
      </c>
      <c r="F751" s="5"/>
      <c r="G751" s="3"/>
      <c r="H751" s="6" t="s">
        <v>1082</v>
      </c>
      <c r="I751" s="165" t="s">
        <v>68</v>
      </c>
      <c r="J751" s="6" t="s">
        <v>1374</v>
      </c>
      <c r="K751" s="6">
        <v>5140</v>
      </c>
      <c r="L751" s="7" t="s">
        <v>6055</v>
      </c>
      <c r="M751" s="8" t="str">
        <f>IF(Caja_Arequipa[[#This Row],[tipo_r]]="R","001-"&amp;12002+A751,M750)</f>
        <v>001-12600</v>
      </c>
      <c r="N751" s="8" t="str">
        <f t="shared" si="112"/>
        <v>PEN</v>
      </c>
      <c r="O751" s="13">
        <v>34</v>
      </c>
      <c r="P751" s="13"/>
      <c r="Q751" s="3">
        <f t="shared" si="113"/>
        <v>0</v>
      </c>
      <c r="R751" s="3">
        <f t="shared" si="114"/>
        <v>0</v>
      </c>
      <c r="S751" s="3">
        <f t="shared" si="94"/>
        <v>1647.2999999999988</v>
      </c>
      <c r="T751" s="24"/>
      <c r="U751" s="24" t="s">
        <v>1334</v>
      </c>
      <c r="V751" s="3"/>
      <c r="W751" s="25">
        <f>IFERROR(VLOOKUP(Caja_Arequipa[[#This Row],[destinatario]],CHOOSE({1,2},Clientes_Proveedores[Razon Social],Clientes_Proveedores[Ruc / Dni]),2,0),"")</f>
        <v>20610059393</v>
      </c>
      <c r="X751" s="3"/>
      <c r="Y751" s="3"/>
      <c r="Z751" s="3"/>
      <c r="AA751" s="3"/>
      <c r="AB751" s="3" t="str">
        <f>IF(Caja_Arequipa[[#This Row],[fecha]]&gt;0,TEXT(Caja_Arequipa[[#This Row],[fecha]],"mmmm"),0)</f>
        <v>Agosto</v>
      </c>
    </row>
    <row r="752" spans="1:28" ht="24" x14ac:dyDescent="0.3">
      <c r="A752" s="2">
        <f>IF(Caja_Arequipa[[#This Row],[tipo_r]]="R",COUNTIFS($C$1:$C751,"R")+1,A751)</f>
        <v>598</v>
      </c>
      <c r="B752" s="19" t="str">
        <f t="shared" si="111"/>
        <v>C-Tesoreria</v>
      </c>
      <c r="C752" s="3" t="s">
        <v>1352</v>
      </c>
      <c r="D752" s="14">
        <v>45895</v>
      </c>
      <c r="E752" s="5" t="s">
        <v>1338</v>
      </c>
      <c r="F752" s="5"/>
      <c r="G752" s="3"/>
      <c r="H752" s="6" t="s">
        <v>922</v>
      </c>
      <c r="I752" s="165" t="s">
        <v>111</v>
      </c>
      <c r="J752" s="6">
        <v>3</v>
      </c>
      <c r="K752" s="6">
        <v>306</v>
      </c>
      <c r="L752" s="7" t="s">
        <v>6055</v>
      </c>
      <c r="M752" s="8" t="str">
        <f>IF(Caja_Arequipa[[#This Row],[tipo_r]]="R","001-"&amp;12002+A752,M751)</f>
        <v>001-12600</v>
      </c>
      <c r="N752" s="8" t="str">
        <f t="shared" si="112"/>
        <v>PEN</v>
      </c>
      <c r="O752" s="13">
        <v>18</v>
      </c>
      <c r="P752" s="13"/>
      <c r="Q752" s="3">
        <f t="shared" si="113"/>
        <v>0</v>
      </c>
      <c r="R752" s="3">
        <f t="shared" si="114"/>
        <v>0</v>
      </c>
      <c r="S752" s="3">
        <f t="shared" si="94"/>
        <v>1647.2999999999988</v>
      </c>
      <c r="T752" s="24"/>
      <c r="U752" s="24" t="s">
        <v>1334</v>
      </c>
      <c r="V752" s="3"/>
      <c r="W752" s="25">
        <f>IFERROR(VLOOKUP(Caja_Arequipa[[#This Row],[destinatario]],CHOOSE({1,2},Clientes_Proveedores[Razon Social],Clientes_Proveedores[Ruc / Dni]),2,0),"")</f>
        <v>72537561</v>
      </c>
      <c r="X752" s="3"/>
      <c r="Y752" s="3"/>
      <c r="Z752" s="3"/>
      <c r="AA752" s="3"/>
      <c r="AB752" s="3" t="str">
        <f>IF(Caja_Arequipa[[#This Row],[fecha]]&gt;0,TEXT(Caja_Arequipa[[#This Row],[fecha]],"mmmm"),0)</f>
        <v>Agosto</v>
      </c>
    </row>
    <row r="753" spans="1:28" x14ac:dyDescent="0.3">
      <c r="A753" s="2">
        <f>IF(Caja_Arequipa[[#This Row],[tipo_r]]="R",COUNTIFS($C$1:$C752,"R")+1,A752)</f>
        <v>599</v>
      </c>
      <c r="B753" s="19" t="str">
        <f t="shared" ref="B753:B758" si="115">"C-Tesoreria"</f>
        <v>C-Tesoreria</v>
      </c>
      <c r="C753" s="3" t="s">
        <v>1330</v>
      </c>
      <c r="D753" s="14">
        <v>45895</v>
      </c>
      <c r="E753" s="5" t="s">
        <v>1338</v>
      </c>
      <c r="F753" s="5" t="s">
        <v>1336</v>
      </c>
      <c r="G753" s="3" t="s">
        <v>4788</v>
      </c>
      <c r="H753" s="6"/>
      <c r="I753" s="165"/>
      <c r="J753" s="6"/>
      <c r="K753" s="6"/>
      <c r="L753" s="7" t="s">
        <v>6055</v>
      </c>
      <c r="M753" s="8" t="str">
        <f>IF(Caja_Arequipa[[#This Row],[tipo_r]]="R","001-"&amp;12002+A753,M752)</f>
        <v>001-12601</v>
      </c>
      <c r="N753" s="8" t="str">
        <f t="shared" ref="N753:N758" si="116">"PEN"</f>
        <v>PEN</v>
      </c>
      <c r="O753" s="13"/>
      <c r="P753" s="13">
        <v>262.5</v>
      </c>
      <c r="Q753" s="3">
        <f t="shared" ref="Q753:Q758" si="117">+IF(OR($F753="SALDO",$F753="INGRESO"),$P753,0)</f>
        <v>0</v>
      </c>
      <c r="R753" s="3">
        <f t="shared" ref="R753:R758" si="118">+IF($F753="EGRESO",$P753,0)</f>
        <v>262.5</v>
      </c>
      <c r="S753" s="3">
        <f t="shared" si="94"/>
        <v>1384.7999999999988</v>
      </c>
      <c r="T753" s="24"/>
      <c r="U753" s="24" t="s">
        <v>1334</v>
      </c>
      <c r="V753" s="3"/>
      <c r="W753" s="25" t="str">
        <f>IFERROR(VLOOKUP(Caja_Arequipa[[#This Row],[destinatario]],CHOOSE({1,2},Clientes_Proveedores[Razon Social],Clientes_Proveedores[Ruc / Dni]),2,0),"")</f>
        <v/>
      </c>
      <c r="X753" s="3"/>
      <c r="Y753" s="3"/>
      <c r="Z753" s="3"/>
      <c r="AA753" s="3"/>
      <c r="AB753" s="3" t="str">
        <f>IF(Caja_Arequipa[[#This Row],[fecha]]&gt;0,TEXT(Caja_Arequipa[[#This Row],[fecha]],"mmmm"),0)</f>
        <v>Agosto</v>
      </c>
    </row>
    <row r="754" spans="1:28" ht="24" x14ac:dyDescent="0.3">
      <c r="A754" s="2">
        <f>IF(Caja_Arequipa[[#This Row],[tipo_r]]="R",COUNTIFS($C$1:$C753,"R")+1,A753)</f>
        <v>599</v>
      </c>
      <c r="B754" s="19" t="str">
        <f t="shared" si="115"/>
        <v>C-Tesoreria</v>
      </c>
      <c r="C754" s="3" t="s">
        <v>1352</v>
      </c>
      <c r="D754" s="14">
        <v>45895</v>
      </c>
      <c r="E754" s="5" t="s">
        <v>1338</v>
      </c>
      <c r="F754" s="5"/>
      <c r="G754" s="3"/>
      <c r="H754" s="6" t="s">
        <v>1096</v>
      </c>
      <c r="I754" s="165" t="s">
        <v>68</v>
      </c>
      <c r="J754" s="6" t="s">
        <v>1374</v>
      </c>
      <c r="K754" s="6">
        <v>26766</v>
      </c>
      <c r="L754" s="7" t="s">
        <v>6055</v>
      </c>
      <c r="M754" s="8" t="str">
        <f>IF(Caja_Arequipa[[#This Row],[tipo_r]]="R","001-"&amp;12002+A754,M753)</f>
        <v>001-12601</v>
      </c>
      <c r="N754" s="8" t="str">
        <f t="shared" si="116"/>
        <v>PEN</v>
      </c>
      <c r="O754" s="13">
        <v>36</v>
      </c>
      <c r="P754" s="13"/>
      <c r="Q754" s="3">
        <f t="shared" si="117"/>
        <v>0</v>
      </c>
      <c r="R754" s="3">
        <f t="shared" si="118"/>
        <v>0</v>
      </c>
      <c r="S754" s="3">
        <f t="shared" si="94"/>
        <v>1384.7999999999988</v>
      </c>
      <c r="T754" s="24"/>
      <c r="U754" s="24" t="s">
        <v>1334</v>
      </c>
      <c r="V754" s="3"/>
      <c r="W754" s="25">
        <f>IFERROR(VLOOKUP(Caja_Arequipa[[#This Row],[destinatario]],CHOOSE({1,2},Clientes_Proveedores[Razon Social],Clientes_Proveedores[Ruc / Dni]),2,0),"")</f>
        <v>10431742069</v>
      </c>
      <c r="X754" s="3"/>
      <c r="Y754" s="3"/>
      <c r="Z754" s="3"/>
      <c r="AA754" s="3"/>
      <c r="AB754" s="3" t="str">
        <f>IF(Caja_Arequipa[[#This Row],[fecha]]&gt;0,TEXT(Caja_Arequipa[[#This Row],[fecha]],"mmmm"),0)</f>
        <v>Agosto</v>
      </c>
    </row>
    <row r="755" spans="1:28" ht="24" x14ac:dyDescent="0.3">
      <c r="A755" s="2">
        <f>IF(Caja_Arequipa[[#This Row],[tipo_r]]="R",COUNTIFS($C$1:$C754,"R")+1,A754)</f>
        <v>599</v>
      </c>
      <c r="B755" s="19" t="str">
        <f t="shared" si="115"/>
        <v>C-Tesoreria</v>
      </c>
      <c r="C755" s="3" t="s">
        <v>1352</v>
      </c>
      <c r="D755" s="14">
        <v>45895</v>
      </c>
      <c r="E755" s="5" t="s">
        <v>1338</v>
      </c>
      <c r="F755" s="5"/>
      <c r="G755" s="3"/>
      <c r="H755" s="6" t="s">
        <v>1031</v>
      </c>
      <c r="I755" s="165" t="s">
        <v>68</v>
      </c>
      <c r="J755" s="6" t="s">
        <v>6208</v>
      </c>
      <c r="K755" s="6">
        <v>1803516</v>
      </c>
      <c r="L755" s="7" t="s">
        <v>6055</v>
      </c>
      <c r="M755" s="8" t="str">
        <f>IF(Caja_Arequipa[[#This Row],[tipo_r]]="R","001-"&amp;12002+A755,M754)</f>
        <v>001-12601</v>
      </c>
      <c r="N755" s="8" t="str">
        <f t="shared" si="116"/>
        <v>PEN</v>
      </c>
      <c r="O755" s="13">
        <v>139</v>
      </c>
      <c r="P755" s="13"/>
      <c r="Q755" s="3">
        <f t="shared" si="117"/>
        <v>0</v>
      </c>
      <c r="R755" s="3">
        <f t="shared" si="118"/>
        <v>0</v>
      </c>
      <c r="S755" s="3">
        <f t="shared" si="94"/>
        <v>1384.7999999999988</v>
      </c>
      <c r="T755" s="24"/>
      <c r="U755" s="24" t="s">
        <v>1334</v>
      </c>
      <c r="V755" s="3"/>
      <c r="W755" s="25">
        <f>IFERROR(VLOOKUP(Caja_Arequipa[[#This Row],[destinatario]],CHOOSE({1,2},Clientes_Proveedores[Razon Social],Clientes_Proveedores[Ruc / Dni]),2,0),"")</f>
        <v>20492092313</v>
      </c>
      <c r="X755" s="3"/>
      <c r="Y755" s="3"/>
      <c r="Z755" s="3"/>
      <c r="AA755" s="3"/>
      <c r="AB755" s="3" t="str">
        <f>IF(Caja_Arequipa[[#This Row],[fecha]]&gt;0,TEXT(Caja_Arequipa[[#This Row],[fecha]],"mmmm"),0)</f>
        <v>Agosto</v>
      </c>
    </row>
    <row r="756" spans="1:28" x14ac:dyDescent="0.3">
      <c r="A756" s="2">
        <f>IF(Caja_Arequipa[[#This Row],[tipo_r]]="R",COUNTIFS($C$1:$C755,"R")+1,A755)</f>
        <v>599</v>
      </c>
      <c r="B756" s="19" t="str">
        <f t="shared" si="115"/>
        <v>C-Tesoreria</v>
      </c>
      <c r="C756" s="3" t="s">
        <v>1352</v>
      </c>
      <c r="D756" s="14">
        <v>45895</v>
      </c>
      <c r="E756" s="5" t="s">
        <v>1338</v>
      </c>
      <c r="F756" s="5"/>
      <c r="G756" s="3"/>
      <c r="H756" s="6" t="s">
        <v>973</v>
      </c>
      <c r="I756" s="165" t="s">
        <v>68</v>
      </c>
      <c r="J756" s="6" t="s">
        <v>1376</v>
      </c>
      <c r="K756" s="6">
        <v>504</v>
      </c>
      <c r="L756" s="7" t="s">
        <v>6055</v>
      </c>
      <c r="M756" s="8" t="str">
        <f>IF(Caja_Arequipa[[#This Row],[tipo_r]]="R","001-"&amp;12002+A756,M755)</f>
        <v>001-12601</v>
      </c>
      <c r="N756" s="8" t="str">
        <f t="shared" si="116"/>
        <v>PEN</v>
      </c>
      <c r="O756" s="13">
        <v>87.5</v>
      </c>
      <c r="P756" s="13"/>
      <c r="Q756" s="3">
        <f t="shared" si="117"/>
        <v>0</v>
      </c>
      <c r="R756" s="3">
        <f t="shared" si="118"/>
        <v>0</v>
      </c>
      <c r="S756" s="3">
        <f t="shared" si="94"/>
        <v>1384.7999999999988</v>
      </c>
      <c r="T756" s="24"/>
      <c r="U756" s="24" t="s">
        <v>1334</v>
      </c>
      <c r="V756" s="3"/>
      <c r="W756" s="25">
        <f>IFERROR(VLOOKUP(Caja_Arequipa[[#This Row],[destinatario]],CHOOSE({1,2},Clientes_Proveedores[Razon Social],Clientes_Proveedores[Ruc / Dni]),2,0),"")</f>
        <v>20610616675</v>
      </c>
      <c r="X756" s="3"/>
      <c r="Y756" s="3"/>
      <c r="Z756" s="3"/>
      <c r="AA756" s="3"/>
      <c r="AB756" s="3" t="str">
        <f>IF(Caja_Arequipa[[#This Row],[fecha]]&gt;0,TEXT(Caja_Arequipa[[#This Row],[fecha]],"mmmm"),0)</f>
        <v>Agosto</v>
      </c>
    </row>
    <row r="757" spans="1:28" ht="24" x14ac:dyDescent="0.3">
      <c r="A757" s="2">
        <f>IF(Caja_Arequipa[[#This Row],[tipo_r]]="R",COUNTIFS($C$1:$C756,"R")+1,A756)</f>
        <v>600</v>
      </c>
      <c r="B757" s="19" t="str">
        <f t="shared" si="115"/>
        <v>C-Tesoreria</v>
      </c>
      <c r="C757" s="3" t="s">
        <v>1330</v>
      </c>
      <c r="D757" s="14">
        <v>45895</v>
      </c>
      <c r="E757" s="5" t="s">
        <v>2269</v>
      </c>
      <c r="F757" s="5" t="s">
        <v>1336</v>
      </c>
      <c r="G757" s="3" t="s">
        <v>5303</v>
      </c>
      <c r="H757" s="6" t="s">
        <v>1073</v>
      </c>
      <c r="I757" s="165" t="s">
        <v>75</v>
      </c>
      <c r="J757" s="6" t="s">
        <v>6248</v>
      </c>
      <c r="K757" s="6">
        <v>216</v>
      </c>
      <c r="L757" s="7" t="s">
        <v>6249</v>
      </c>
      <c r="M757" s="8" t="str">
        <f>IF(Caja_Arequipa[[#This Row],[tipo_r]]="R","001-"&amp;12002+A757,M756)</f>
        <v>001-12602</v>
      </c>
      <c r="N757" s="8" t="str">
        <f t="shared" si="116"/>
        <v>PEN</v>
      </c>
      <c r="O757" s="13"/>
      <c r="P757" s="13">
        <v>19.2</v>
      </c>
      <c r="Q757" s="3">
        <f t="shared" si="117"/>
        <v>0</v>
      </c>
      <c r="R757" s="3">
        <f t="shared" si="118"/>
        <v>19.2</v>
      </c>
      <c r="S757" s="3">
        <f t="shared" si="94"/>
        <v>1365.5999999999988</v>
      </c>
      <c r="T757" s="24"/>
      <c r="U757" s="24" t="s">
        <v>1334</v>
      </c>
      <c r="V757" s="3"/>
      <c r="W757" s="25">
        <f>IFERROR(VLOOKUP(Caja_Arequipa[[#This Row],[destinatario]],CHOOSE({1,2},Clientes_Proveedores[Razon Social],Clientes_Proveedores[Ruc / Dni]),2,0),"")</f>
        <v>10725531368</v>
      </c>
      <c r="X757" s="3"/>
      <c r="Y757" s="3"/>
      <c r="Z757" s="3"/>
      <c r="AA757" s="3"/>
      <c r="AB757" s="3" t="str">
        <f>IF(Caja_Arequipa[[#This Row],[fecha]]&gt;0,TEXT(Caja_Arequipa[[#This Row],[fecha]],"mmmm"),0)</f>
        <v>Agosto</v>
      </c>
    </row>
    <row r="758" spans="1:28" x14ac:dyDescent="0.3">
      <c r="A758" s="2">
        <f>IF(Caja_Arequipa[[#This Row],[tipo_r]]="R",COUNTIFS($C$1:$C757,"R")+1,A757)</f>
        <v>601</v>
      </c>
      <c r="B758" s="19" t="str">
        <f t="shared" si="115"/>
        <v>C-Tesoreria</v>
      </c>
      <c r="C758" s="3" t="s">
        <v>1330</v>
      </c>
      <c r="D758" s="14">
        <v>45895</v>
      </c>
      <c r="E758" s="5" t="s">
        <v>1338</v>
      </c>
      <c r="F758" s="5" t="s">
        <v>1336</v>
      </c>
      <c r="G758" s="3" t="s">
        <v>4788</v>
      </c>
      <c r="H758" s="6"/>
      <c r="I758" s="165"/>
      <c r="J758" s="6"/>
      <c r="K758" s="6"/>
      <c r="L758" s="7" t="s">
        <v>6250</v>
      </c>
      <c r="M758" s="8" t="str">
        <f>IF(Caja_Arequipa[[#This Row],[tipo_r]]="R","001-"&amp;12002+A758,M757)</f>
        <v>001-12603</v>
      </c>
      <c r="N758" s="8" t="str">
        <f t="shared" si="116"/>
        <v>PEN</v>
      </c>
      <c r="O758" s="13"/>
      <c r="P758" s="13">
        <v>75</v>
      </c>
      <c r="Q758" s="3">
        <f t="shared" si="117"/>
        <v>0</v>
      </c>
      <c r="R758" s="3">
        <f t="shared" si="118"/>
        <v>75</v>
      </c>
      <c r="S758" s="3">
        <f t="shared" si="94"/>
        <v>1290.5999999999988</v>
      </c>
      <c r="T758" s="24"/>
      <c r="U758" s="24" t="s">
        <v>1334</v>
      </c>
      <c r="V758" s="3"/>
      <c r="W758" s="25" t="str">
        <f>IFERROR(VLOOKUP(Caja_Arequipa[[#This Row],[destinatario]],CHOOSE({1,2},Clientes_Proveedores[Razon Social],Clientes_Proveedores[Ruc / Dni]),2,0),"")</f>
        <v/>
      </c>
      <c r="X758" s="3"/>
      <c r="Y758" s="3"/>
      <c r="Z758" s="3"/>
      <c r="AA758" s="3"/>
      <c r="AB758" s="3" t="str">
        <f>IF(Caja_Arequipa[[#This Row],[fecha]]&gt;0,TEXT(Caja_Arequipa[[#This Row],[fecha]],"mmmm"),0)</f>
        <v>Agosto</v>
      </c>
    </row>
    <row r="759" spans="1:28" ht="24" x14ac:dyDescent="0.3">
      <c r="A759" s="2">
        <f>IF(Caja_Arequipa[[#This Row],[tipo_r]]="R",COUNTIFS($C$1:$C758,"R")+1,A758)</f>
        <v>601</v>
      </c>
      <c r="B759" s="19" t="str">
        <f>"C-Tesoreria"</f>
        <v>C-Tesoreria</v>
      </c>
      <c r="C759" s="3" t="s">
        <v>1352</v>
      </c>
      <c r="D759" s="14">
        <v>45895</v>
      </c>
      <c r="E759" s="5" t="s">
        <v>1338</v>
      </c>
      <c r="F759" s="5"/>
      <c r="G759" s="3"/>
      <c r="H759" s="6" t="s">
        <v>967</v>
      </c>
      <c r="I759" s="165" t="s">
        <v>111</v>
      </c>
      <c r="J759" s="6">
        <v>3</v>
      </c>
      <c r="K759" s="6">
        <v>350</v>
      </c>
      <c r="L759" s="7" t="s">
        <v>6250</v>
      </c>
      <c r="M759" s="8" t="str">
        <f>IF(Caja_Arequipa[[#This Row],[tipo_r]]="R","001-"&amp;12002+A759,M758)</f>
        <v>001-12603</v>
      </c>
      <c r="N759" s="8" t="str">
        <f>"PEN"</f>
        <v>PEN</v>
      </c>
      <c r="O759" s="13">
        <v>25</v>
      </c>
      <c r="P759" s="13"/>
      <c r="Q759" s="3">
        <f>+IF(OR($F759="SALDO",$F759="INGRESO"),$P759,0)</f>
        <v>0</v>
      </c>
      <c r="R759" s="3">
        <f>+IF($F759="EGRESO",$P759,0)</f>
        <v>0</v>
      </c>
      <c r="S759" s="3">
        <f t="shared" si="94"/>
        <v>1290.5999999999988</v>
      </c>
      <c r="T759" s="24"/>
      <c r="U759" s="24" t="s">
        <v>1334</v>
      </c>
      <c r="V759" s="3"/>
      <c r="W759" s="25">
        <f>IFERROR(VLOOKUP(Caja_Arequipa[[#This Row],[destinatario]],CHOOSE({1,2},Clientes_Proveedores[Razon Social],Clientes_Proveedores[Ruc / Dni]),2,0),"")</f>
        <v>70517150</v>
      </c>
      <c r="X759" s="3"/>
      <c r="Y759" s="3"/>
      <c r="Z759" s="3"/>
      <c r="AA759" s="3"/>
      <c r="AB759" s="3" t="str">
        <f>IF(Caja_Arequipa[[#This Row],[fecha]]&gt;0,TEXT(Caja_Arequipa[[#This Row],[fecha]],"mmmm"),0)</f>
        <v>Agosto</v>
      </c>
    </row>
    <row r="760" spans="1:28" ht="24" x14ac:dyDescent="0.3">
      <c r="A760" s="2">
        <f>IF(Caja_Arequipa[[#This Row],[tipo_r]]="R",COUNTIFS($C$1:$C759,"R")+1,A759)</f>
        <v>601</v>
      </c>
      <c r="B760" s="19" t="str">
        <f>"C-Tesoreria"</f>
        <v>C-Tesoreria</v>
      </c>
      <c r="C760" s="3" t="s">
        <v>1352</v>
      </c>
      <c r="D760" s="14">
        <v>45895</v>
      </c>
      <c r="E760" s="5" t="s">
        <v>1338</v>
      </c>
      <c r="F760" s="5"/>
      <c r="G760" s="3"/>
      <c r="H760" s="6" t="s">
        <v>1114</v>
      </c>
      <c r="I760" s="165" t="s">
        <v>75</v>
      </c>
      <c r="J760" s="6">
        <v>3</v>
      </c>
      <c r="K760" s="6">
        <v>3787</v>
      </c>
      <c r="L760" s="7" t="s">
        <v>6250</v>
      </c>
      <c r="M760" s="8" t="str">
        <f>IF(Caja_Arequipa[[#This Row],[tipo_r]]="R","001-"&amp;12002+A760,M759)</f>
        <v>001-12603</v>
      </c>
      <c r="N760" s="8" t="str">
        <f>"PEN"</f>
        <v>PEN</v>
      </c>
      <c r="O760" s="13">
        <v>50</v>
      </c>
      <c r="P760" s="13"/>
      <c r="Q760" s="3">
        <f>+IF(OR($F760="SALDO",$F760="INGRESO"),$P760,0)</f>
        <v>0</v>
      </c>
      <c r="R760" s="3">
        <f>+IF($F760="EGRESO",$P760,0)</f>
        <v>0</v>
      </c>
      <c r="S760" s="3">
        <f t="shared" si="94"/>
        <v>1290.5999999999988</v>
      </c>
      <c r="T760" s="24"/>
      <c r="U760" s="24" t="s">
        <v>1334</v>
      </c>
      <c r="V760" s="3"/>
      <c r="W760" s="25">
        <f>IFERROR(VLOOKUP(Caja_Arequipa[[#This Row],[destinatario]],CHOOSE({1,2},Clientes_Proveedores[Razon Social],Clientes_Proveedores[Ruc / Dni]),2,0),"")</f>
        <v>10410928421</v>
      </c>
      <c r="X760" s="3"/>
      <c r="Y760" s="3"/>
      <c r="Z760" s="3"/>
      <c r="AA760" s="3"/>
      <c r="AB760" s="3" t="str">
        <f>IF(Caja_Arequipa[[#This Row],[fecha]]&gt;0,TEXT(Caja_Arequipa[[#This Row],[fecha]],"mmmm"),0)</f>
        <v>Agosto</v>
      </c>
    </row>
    <row r="761" spans="1:28" x14ac:dyDescent="0.3">
      <c r="A761" s="2">
        <f>IF(Caja_Arequipa[[#This Row],[tipo_r]]="R",COUNTIFS($C$1:$C760,"R")+1,A760)</f>
        <v>602</v>
      </c>
      <c r="B761" s="19" t="str">
        <f t="shared" ref="B761:B775" si="119">"C-Tesoreria"</f>
        <v>C-Tesoreria</v>
      </c>
      <c r="C761" s="3" t="s">
        <v>1330</v>
      </c>
      <c r="D761" s="14">
        <v>45896</v>
      </c>
      <c r="E761" s="5" t="s">
        <v>1338</v>
      </c>
      <c r="F761" s="5" t="s">
        <v>1336</v>
      </c>
      <c r="G761" s="3" t="s">
        <v>4788</v>
      </c>
      <c r="H761" s="6"/>
      <c r="I761" s="165"/>
      <c r="J761" s="6"/>
      <c r="K761" s="6"/>
      <c r="L761" s="7" t="s">
        <v>6251</v>
      </c>
      <c r="M761" s="8" t="str">
        <f>IF(Caja_Arequipa[[#This Row],[tipo_r]]="R","001-"&amp;12002+A761,M760)</f>
        <v>001-12604</v>
      </c>
      <c r="N761" s="8" t="str">
        <f t="shared" ref="N761:N775" si="120">"PEN"</f>
        <v>PEN</v>
      </c>
      <c r="O761" s="13"/>
      <c r="P761" s="13">
        <v>251</v>
      </c>
      <c r="Q761" s="3">
        <f t="shared" ref="Q761:Q775" si="121">+IF(OR($F761="SALDO",$F761="INGRESO"),$P761,0)</f>
        <v>0</v>
      </c>
      <c r="R761" s="3">
        <f t="shared" ref="R761:R775" si="122">+IF($F761="EGRESO",$P761,0)</f>
        <v>251</v>
      </c>
      <c r="S761" s="3">
        <f t="shared" si="94"/>
        <v>1039.5999999999988</v>
      </c>
      <c r="T761" s="24"/>
      <c r="U761" s="24" t="s">
        <v>1334</v>
      </c>
      <c r="V761" s="3"/>
      <c r="W761" s="25" t="str">
        <f>IFERROR(VLOOKUP(Caja_Arequipa[[#This Row],[destinatario]],CHOOSE({1,2},Clientes_Proveedores[Razon Social],Clientes_Proveedores[Ruc / Dni]),2,0),"")</f>
        <v/>
      </c>
      <c r="X761" s="3"/>
      <c r="Y761" s="3"/>
      <c r="Z761" s="3"/>
      <c r="AA761" s="3"/>
      <c r="AB761" s="3" t="str">
        <f>IF(Caja_Arequipa[[#This Row],[fecha]]&gt;0,TEXT(Caja_Arequipa[[#This Row],[fecha]],"mmmm"),0)</f>
        <v>Agosto</v>
      </c>
    </row>
    <row r="762" spans="1:28" ht="24" x14ac:dyDescent="0.3">
      <c r="A762" s="2">
        <f>IF(Caja_Arequipa[[#This Row],[tipo_r]]="R",COUNTIFS($C$1:$C761,"R")+1,A761)</f>
        <v>602</v>
      </c>
      <c r="B762" s="19" t="str">
        <f>"C-Tesoreria"</f>
        <v>C-Tesoreria</v>
      </c>
      <c r="C762" s="3" t="s">
        <v>1352</v>
      </c>
      <c r="D762" s="14">
        <v>45896</v>
      </c>
      <c r="E762" s="5" t="s">
        <v>1338</v>
      </c>
      <c r="F762" s="5"/>
      <c r="G762" s="3"/>
      <c r="H762" s="6" t="s">
        <v>967</v>
      </c>
      <c r="I762" s="165" t="s">
        <v>111</v>
      </c>
      <c r="J762" s="6">
        <v>3</v>
      </c>
      <c r="K762" s="6">
        <v>355</v>
      </c>
      <c r="L762" s="7" t="s">
        <v>6251</v>
      </c>
      <c r="M762" s="8" t="str">
        <f>IF(Caja_Arequipa[[#This Row],[tipo_r]]="R","001-"&amp;12002+A762,M761)</f>
        <v>001-12604</v>
      </c>
      <c r="N762" s="8" t="str">
        <f>"PEN"</f>
        <v>PEN</v>
      </c>
      <c r="O762" s="13">
        <v>32</v>
      </c>
      <c r="P762" s="13"/>
      <c r="Q762" s="3">
        <f>+IF(OR($F762="SALDO",$F762="INGRESO"),$P762,0)</f>
        <v>0</v>
      </c>
      <c r="R762" s="3">
        <f>+IF($F762="EGRESO",$P762,0)</f>
        <v>0</v>
      </c>
      <c r="S762" s="3">
        <f t="shared" si="94"/>
        <v>1039.5999999999988</v>
      </c>
      <c r="T762" s="24"/>
      <c r="U762" s="24" t="s">
        <v>1334</v>
      </c>
      <c r="V762" s="3"/>
      <c r="W762" s="25">
        <f>IFERROR(VLOOKUP(Caja_Arequipa[[#This Row],[destinatario]],CHOOSE({1,2},Clientes_Proveedores[Razon Social],Clientes_Proveedores[Ruc / Dni]),2,0),"")</f>
        <v>70517150</v>
      </c>
      <c r="X762" s="3"/>
      <c r="Y762" s="3"/>
      <c r="Z762" s="3"/>
      <c r="AA762" s="3"/>
      <c r="AB762" s="3" t="str">
        <f>IF(Caja_Arequipa[[#This Row],[fecha]]&gt;0,TEXT(Caja_Arequipa[[#This Row],[fecha]],"mmmm"),0)</f>
        <v>Agosto</v>
      </c>
    </row>
    <row r="763" spans="1:28" ht="36" x14ac:dyDescent="0.3">
      <c r="A763" s="2">
        <f>IF(Caja_Arequipa[[#This Row],[tipo_r]]="R",COUNTIFS($C$1:$C762,"R")+1,A762)</f>
        <v>602</v>
      </c>
      <c r="B763" s="19" t="str">
        <f>"C-Tesoreria"</f>
        <v>C-Tesoreria</v>
      </c>
      <c r="C763" s="3" t="s">
        <v>1352</v>
      </c>
      <c r="D763" s="14">
        <v>45896</v>
      </c>
      <c r="E763" s="5" t="s">
        <v>1338</v>
      </c>
      <c r="F763" s="5"/>
      <c r="G763" s="3"/>
      <c r="H763" s="6" t="s">
        <v>1200</v>
      </c>
      <c r="I763" s="165" t="s">
        <v>68</v>
      </c>
      <c r="J763" s="6" t="s">
        <v>1784</v>
      </c>
      <c r="K763" s="6">
        <v>856</v>
      </c>
      <c r="L763" s="7" t="s">
        <v>6251</v>
      </c>
      <c r="M763" s="8" t="str">
        <f>IF(Caja_Arequipa[[#This Row],[tipo_r]]="R","001-"&amp;12002+A763,M762)</f>
        <v>001-12604</v>
      </c>
      <c r="N763" s="8" t="str">
        <f>"PEN"</f>
        <v>PEN</v>
      </c>
      <c r="O763" s="13">
        <v>219</v>
      </c>
      <c r="P763" s="13"/>
      <c r="Q763" s="3">
        <f>+IF(OR($F763="SALDO",$F763="INGRESO"),$P763,0)</f>
        <v>0</v>
      </c>
      <c r="R763" s="3">
        <f>+IF($F763="EGRESO",$P763,0)</f>
        <v>0</v>
      </c>
      <c r="S763" s="3">
        <f t="shared" si="94"/>
        <v>1039.5999999999988</v>
      </c>
      <c r="T763" s="24"/>
      <c r="U763" s="24" t="s">
        <v>1334</v>
      </c>
      <c r="V763" s="3"/>
      <c r="W763" s="25">
        <f>IFERROR(VLOOKUP(Caja_Arequipa[[#This Row],[destinatario]],CHOOSE({1,2},Clientes_Proveedores[Razon Social],Clientes_Proveedores[Ruc / Dni]),2,0),"")</f>
        <v>20603045638</v>
      </c>
      <c r="X763" s="3"/>
      <c r="Y763" s="3"/>
      <c r="Z763" s="3"/>
      <c r="AA763" s="3"/>
      <c r="AB763" s="3" t="str">
        <f>IF(Caja_Arequipa[[#This Row],[fecha]]&gt;0,TEXT(Caja_Arequipa[[#This Row],[fecha]],"mmmm"),0)</f>
        <v>Agosto</v>
      </c>
    </row>
    <row r="764" spans="1:28" ht="24" x14ac:dyDescent="0.3">
      <c r="A764" s="2">
        <f>IF(Caja_Arequipa[[#This Row],[tipo_r]]="R",COUNTIFS($C$1:$C763,"R")+1,A763)</f>
        <v>603</v>
      </c>
      <c r="B764" s="19" t="str">
        <f t="shared" si="119"/>
        <v>C-Tesoreria</v>
      </c>
      <c r="C764" s="3" t="s">
        <v>1330</v>
      </c>
      <c r="D764" s="14">
        <v>45896</v>
      </c>
      <c r="E764" s="5" t="s">
        <v>1338</v>
      </c>
      <c r="F764" s="5" t="s">
        <v>1336</v>
      </c>
      <c r="G764" s="3" t="s">
        <v>6216</v>
      </c>
      <c r="H764" s="6" t="s">
        <v>918</v>
      </c>
      <c r="I764" s="164" t="s">
        <v>111</v>
      </c>
      <c r="J764" s="6">
        <v>3</v>
      </c>
      <c r="K764" s="6">
        <v>307</v>
      </c>
      <c r="L764" s="7" t="s">
        <v>6252</v>
      </c>
      <c r="M764" s="8" t="str">
        <f>IF(Caja_Arequipa[[#This Row],[tipo_r]]="R","001-"&amp;12002+A764,M763)</f>
        <v>001-12605</v>
      </c>
      <c r="N764" s="8" t="str">
        <f t="shared" si="120"/>
        <v>PEN</v>
      </c>
      <c r="O764" s="13"/>
      <c r="P764" s="13">
        <v>30</v>
      </c>
      <c r="Q764" s="3">
        <f t="shared" si="121"/>
        <v>0</v>
      </c>
      <c r="R764" s="3">
        <f t="shared" si="122"/>
        <v>30</v>
      </c>
      <c r="S764" s="3">
        <f t="shared" si="94"/>
        <v>1009.5999999999988</v>
      </c>
      <c r="T764" s="24"/>
      <c r="U764" s="24" t="s">
        <v>1334</v>
      </c>
      <c r="V764" s="3"/>
      <c r="W764" s="25">
        <f>IFERROR(VLOOKUP(Caja_Arequipa[[#This Row],[destinatario]],CHOOSE({1,2},Clientes_Proveedores[Razon Social],Clientes_Proveedores[Ruc / Dni]),2,0),"")</f>
        <v>48536654</v>
      </c>
      <c r="X764" s="3"/>
      <c r="Y764" s="3"/>
      <c r="Z764" s="3"/>
      <c r="AA764" s="3"/>
      <c r="AB764" s="3" t="str">
        <f>IF(Caja_Arequipa[[#This Row],[fecha]]&gt;0,TEXT(Caja_Arequipa[[#This Row],[fecha]],"mmmm"),0)</f>
        <v>Agosto</v>
      </c>
    </row>
    <row r="765" spans="1:28" ht="24" x14ac:dyDescent="0.3">
      <c r="A765" s="2">
        <f>IF(Caja_Arequipa[[#This Row],[tipo_r]]="R",COUNTIFS($C$1:$C764,"R")+1,A764)</f>
        <v>604</v>
      </c>
      <c r="B765" s="19" t="str">
        <f t="shared" si="119"/>
        <v>C-Tesoreria</v>
      </c>
      <c r="C765" s="3" t="s">
        <v>1330</v>
      </c>
      <c r="D765" s="14">
        <v>45896</v>
      </c>
      <c r="E765" s="5" t="s">
        <v>1338</v>
      </c>
      <c r="F765" s="5" t="s">
        <v>1336</v>
      </c>
      <c r="G765" s="3" t="s">
        <v>6216</v>
      </c>
      <c r="H765" s="6" t="s">
        <v>918</v>
      </c>
      <c r="I765" s="164" t="s">
        <v>111</v>
      </c>
      <c r="J765" s="6">
        <v>3</v>
      </c>
      <c r="K765" s="6">
        <v>308</v>
      </c>
      <c r="L765" s="7" t="s">
        <v>6253</v>
      </c>
      <c r="M765" s="8" t="str">
        <f>IF(Caja_Arequipa[[#This Row],[tipo_r]]="R","001-"&amp;12002+A765,M764)</f>
        <v>001-12606</v>
      </c>
      <c r="N765" s="8" t="str">
        <f t="shared" si="120"/>
        <v>PEN</v>
      </c>
      <c r="O765" s="13"/>
      <c r="P765" s="13">
        <v>23</v>
      </c>
      <c r="Q765" s="3">
        <f t="shared" si="121"/>
        <v>0</v>
      </c>
      <c r="R765" s="3">
        <f t="shared" si="122"/>
        <v>23</v>
      </c>
      <c r="S765" s="3">
        <f t="shared" si="94"/>
        <v>986.59999999999877</v>
      </c>
      <c r="T765" s="24"/>
      <c r="U765" s="24" t="s">
        <v>1334</v>
      </c>
      <c r="V765" s="3"/>
      <c r="W765" s="25">
        <f>IFERROR(VLOOKUP(Caja_Arequipa[[#This Row],[destinatario]],CHOOSE({1,2},Clientes_Proveedores[Razon Social],Clientes_Proveedores[Ruc / Dni]),2,0),"")</f>
        <v>48536654</v>
      </c>
      <c r="X765" s="3"/>
      <c r="Y765" s="3"/>
      <c r="Z765" s="3"/>
      <c r="AA765" s="3"/>
      <c r="AB765" s="3" t="str">
        <f>IF(Caja_Arequipa[[#This Row],[fecha]]&gt;0,TEXT(Caja_Arequipa[[#This Row],[fecha]],"mmmm"),0)</f>
        <v>Agosto</v>
      </c>
    </row>
    <row r="766" spans="1:28" ht="24" x14ac:dyDescent="0.3">
      <c r="A766" s="2">
        <f>IF(Caja_Arequipa[[#This Row],[tipo_r]]="R",COUNTIFS($C$1:$C765,"R")+1,A765)</f>
        <v>605</v>
      </c>
      <c r="B766" s="19" t="str">
        <f t="shared" si="119"/>
        <v>C-Tesoreria</v>
      </c>
      <c r="C766" s="3" t="s">
        <v>1330</v>
      </c>
      <c r="D766" s="14">
        <v>45896</v>
      </c>
      <c r="E766" s="5" t="s">
        <v>1338</v>
      </c>
      <c r="F766" s="5" t="s">
        <v>1336</v>
      </c>
      <c r="G766" s="3" t="s">
        <v>6216</v>
      </c>
      <c r="H766" s="6" t="s">
        <v>918</v>
      </c>
      <c r="I766" s="164" t="s">
        <v>111</v>
      </c>
      <c r="J766" s="6">
        <v>3</v>
      </c>
      <c r="K766" s="6">
        <v>309</v>
      </c>
      <c r="L766" s="7" t="s">
        <v>6254</v>
      </c>
      <c r="M766" s="8" t="str">
        <f>IF(Caja_Arequipa[[#This Row],[tipo_r]]="R","001-"&amp;12002+A766,M765)</f>
        <v>001-12607</v>
      </c>
      <c r="N766" s="8" t="str">
        <f t="shared" si="120"/>
        <v>PEN</v>
      </c>
      <c r="O766" s="13"/>
      <c r="P766" s="13">
        <v>10</v>
      </c>
      <c r="Q766" s="3">
        <f t="shared" si="121"/>
        <v>0</v>
      </c>
      <c r="R766" s="3">
        <f t="shared" si="122"/>
        <v>10</v>
      </c>
      <c r="S766" s="3">
        <f t="shared" si="94"/>
        <v>976.59999999999877</v>
      </c>
      <c r="T766" s="24"/>
      <c r="U766" s="24" t="s">
        <v>1334</v>
      </c>
      <c r="V766" s="3"/>
      <c r="W766" s="25">
        <f>IFERROR(VLOOKUP(Caja_Arequipa[[#This Row],[destinatario]],CHOOSE({1,2},Clientes_Proveedores[Razon Social],Clientes_Proveedores[Ruc / Dni]),2,0),"")</f>
        <v>48536654</v>
      </c>
      <c r="X766" s="3"/>
      <c r="Y766" s="3"/>
      <c r="Z766" s="3"/>
      <c r="AA766" s="3"/>
      <c r="AB766" s="3" t="str">
        <f>IF(Caja_Arequipa[[#This Row],[fecha]]&gt;0,TEXT(Caja_Arequipa[[#This Row],[fecha]],"mmmm"),0)</f>
        <v>Agosto</v>
      </c>
    </row>
    <row r="767" spans="1:28" ht="24" x14ac:dyDescent="0.3">
      <c r="A767" s="2">
        <f>IF(Caja_Arequipa[[#This Row],[tipo_r]]="R",COUNTIFS($C$1:$C766,"R")+1,A766)</f>
        <v>606</v>
      </c>
      <c r="B767" s="19" t="str">
        <f t="shared" si="119"/>
        <v>C-Tesoreria</v>
      </c>
      <c r="C767" s="3" t="s">
        <v>1330</v>
      </c>
      <c r="D767" s="14">
        <v>45896</v>
      </c>
      <c r="E767" s="5" t="s">
        <v>1338</v>
      </c>
      <c r="F767" s="5" t="s">
        <v>1336</v>
      </c>
      <c r="G767" s="3" t="s">
        <v>6216</v>
      </c>
      <c r="H767" s="6" t="s">
        <v>918</v>
      </c>
      <c r="I767" s="164" t="s">
        <v>111</v>
      </c>
      <c r="J767" s="6">
        <v>3</v>
      </c>
      <c r="K767" s="6">
        <v>310</v>
      </c>
      <c r="L767" s="7" t="s">
        <v>6255</v>
      </c>
      <c r="M767" s="8" t="str">
        <f>IF(Caja_Arequipa[[#This Row],[tipo_r]]="R","001-"&amp;12002+A767,M766)</f>
        <v>001-12608</v>
      </c>
      <c r="N767" s="8" t="str">
        <f t="shared" si="120"/>
        <v>PEN</v>
      </c>
      <c r="O767" s="13"/>
      <c r="P767" s="13">
        <v>15</v>
      </c>
      <c r="Q767" s="3">
        <f t="shared" si="121"/>
        <v>0</v>
      </c>
      <c r="R767" s="3">
        <f t="shared" si="122"/>
        <v>15</v>
      </c>
      <c r="S767" s="3">
        <f t="shared" si="94"/>
        <v>961.59999999999877</v>
      </c>
      <c r="T767" s="24"/>
      <c r="U767" s="24" t="s">
        <v>1334</v>
      </c>
      <c r="V767" s="3"/>
      <c r="W767" s="25">
        <f>IFERROR(VLOOKUP(Caja_Arequipa[[#This Row],[destinatario]],CHOOSE({1,2},Clientes_Proveedores[Razon Social],Clientes_Proveedores[Ruc / Dni]),2,0),"")</f>
        <v>48536654</v>
      </c>
      <c r="X767" s="3"/>
      <c r="Y767" s="3"/>
      <c r="Z767" s="3"/>
      <c r="AA767" s="3"/>
      <c r="AB767" s="3" t="str">
        <f>IF(Caja_Arequipa[[#This Row],[fecha]]&gt;0,TEXT(Caja_Arequipa[[#This Row],[fecha]],"mmmm"),0)</f>
        <v>Agosto</v>
      </c>
    </row>
    <row r="768" spans="1:28" ht="24" x14ac:dyDescent="0.3">
      <c r="A768" s="2">
        <f>IF(Caja_Arequipa[[#This Row],[tipo_r]]="R",COUNTIFS($C$1:$C767,"R")+1,A767)</f>
        <v>607</v>
      </c>
      <c r="B768" s="19" t="str">
        <f t="shared" si="119"/>
        <v>C-Tesoreria</v>
      </c>
      <c r="C768" s="3" t="s">
        <v>1330</v>
      </c>
      <c r="D768" s="14">
        <v>45896</v>
      </c>
      <c r="E768" s="5" t="s">
        <v>1338</v>
      </c>
      <c r="F768" s="5" t="s">
        <v>1336</v>
      </c>
      <c r="G768" s="3" t="s">
        <v>6216</v>
      </c>
      <c r="H768" s="6" t="s">
        <v>918</v>
      </c>
      <c r="I768" s="164" t="s">
        <v>111</v>
      </c>
      <c r="J768" s="6">
        <v>3</v>
      </c>
      <c r="K768" s="6">
        <v>311</v>
      </c>
      <c r="L768" s="7" t="s">
        <v>6256</v>
      </c>
      <c r="M768" s="8" t="str">
        <f>IF(Caja_Arequipa[[#This Row],[tipo_r]]="R","001-"&amp;12002+A768,M767)</f>
        <v>001-12609</v>
      </c>
      <c r="N768" s="8" t="str">
        <f t="shared" si="120"/>
        <v>PEN</v>
      </c>
      <c r="O768" s="13"/>
      <c r="P768" s="13">
        <v>26</v>
      </c>
      <c r="Q768" s="3">
        <f t="shared" si="121"/>
        <v>0</v>
      </c>
      <c r="R768" s="3">
        <f t="shared" si="122"/>
        <v>26</v>
      </c>
      <c r="S768" s="3">
        <f t="shared" si="94"/>
        <v>935.59999999999877</v>
      </c>
      <c r="T768" s="24"/>
      <c r="U768" s="24" t="s">
        <v>1334</v>
      </c>
      <c r="V768" s="3"/>
      <c r="W768" s="25">
        <f>IFERROR(VLOOKUP(Caja_Arequipa[[#This Row],[destinatario]],CHOOSE({1,2},Clientes_Proveedores[Razon Social],Clientes_Proveedores[Ruc / Dni]),2,0),"")</f>
        <v>48536654</v>
      </c>
      <c r="X768" s="3"/>
      <c r="Y768" s="3"/>
      <c r="Z768" s="3"/>
      <c r="AA768" s="3"/>
      <c r="AB768" s="3" t="str">
        <f>IF(Caja_Arequipa[[#This Row],[fecha]]&gt;0,TEXT(Caja_Arequipa[[#This Row],[fecha]],"mmmm"),0)</f>
        <v>Agosto</v>
      </c>
    </row>
    <row r="769" spans="1:28" ht="24" x14ac:dyDescent="0.3">
      <c r="A769" s="2">
        <f>IF(Caja_Arequipa[[#This Row],[tipo_r]]="R",COUNTIFS($C$1:$C768,"R")+1,A768)</f>
        <v>608</v>
      </c>
      <c r="B769" s="19" t="str">
        <f t="shared" si="119"/>
        <v>C-Tesoreria</v>
      </c>
      <c r="C769" s="3" t="s">
        <v>1330</v>
      </c>
      <c r="D769" s="14">
        <v>45896</v>
      </c>
      <c r="E769" s="5" t="s">
        <v>1338</v>
      </c>
      <c r="F769" s="5" t="s">
        <v>1336</v>
      </c>
      <c r="G769" s="3" t="s">
        <v>6216</v>
      </c>
      <c r="H769" s="6" t="s">
        <v>918</v>
      </c>
      <c r="I769" s="164" t="s">
        <v>111</v>
      </c>
      <c r="J769" s="6">
        <v>3</v>
      </c>
      <c r="K769" s="6">
        <v>312</v>
      </c>
      <c r="L769" s="7" t="s">
        <v>6257</v>
      </c>
      <c r="M769" s="8" t="str">
        <f>IF(Caja_Arequipa[[#This Row],[tipo_r]]="R","001-"&amp;12002+A769,M768)</f>
        <v>001-12610</v>
      </c>
      <c r="N769" s="8" t="str">
        <f t="shared" si="120"/>
        <v>PEN</v>
      </c>
      <c r="O769" s="13"/>
      <c r="P769" s="13">
        <v>120</v>
      </c>
      <c r="Q769" s="3">
        <f t="shared" si="121"/>
        <v>0</v>
      </c>
      <c r="R769" s="3">
        <f t="shared" si="122"/>
        <v>120</v>
      </c>
      <c r="S769" s="3">
        <f t="shared" si="94"/>
        <v>815.59999999999877</v>
      </c>
      <c r="T769" s="24"/>
      <c r="U769" s="24" t="s">
        <v>1334</v>
      </c>
      <c r="V769" s="3"/>
      <c r="W769" s="25">
        <f>IFERROR(VLOOKUP(Caja_Arequipa[[#This Row],[destinatario]],CHOOSE({1,2},Clientes_Proveedores[Razon Social],Clientes_Proveedores[Ruc / Dni]),2,0),"")</f>
        <v>48536654</v>
      </c>
      <c r="X769" s="3"/>
      <c r="Y769" s="3"/>
      <c r="Z769" s="3"/>
      <c r="AA769" s="3"/>
      <c r="AB769" s="3" t="str">
        <f>IF(Caja_Arequipa[[#This Row],[fecha]]&gt;0,TEXT(Caja_Arequipa[[#This Row],[fecha]],"mmmm"),0)</f>
        <v>Agosto</v>
      </c>
    </row>
    <row r="770" spans="1:28" ht="24" x14ac:dyDescent="0.3">
      <c r="A770" s="2">
        <f>IF(Caja_Arequipa[[#This Row],[tipo_r]]="R",COUNTIFS($C$1:$C769,"R")+1,A769)</f>
        <v>609</v>
      </c>
      <c r="B770" s="19" t="str">
        <f t="shared" si="119"/>
        <v>C-Tesoreria</v>
      </c>
      <c r="C770" s="3" t="s">
        <v>1330</v>
      </c>
      <c r="D770" s="14">
        <v>45896</v>
      </c>
      <c r="E770" s="5" t="s">
        <v>1338</v>
      </c>
      <c r="F770" s="5" t="s">
        <v>1336</v>
      </c>
      <c r="G770" s="3" t="s">
        <v>6216</v>
      </c>
      <c r="H770" s="6" t="s">
        <v>918</v>
      </c>
      <c r="I770" s="164" t="s">
        <v>111</v>
      </c>
      <c r="J770" s="6">
        <v>3</v>
      </c>
      <c r="K770" s="6">
        <v>313</v>
      </c>
      <c r="L770" s="7" t="s">
        <v>6258</v>
      </c>
      <c r="M770" s="8" t="str">
        <f>IF(Caja_Arequipa[[#This Row],[tipo_r]]="R","001-"&amp;12002+A770,M769)</f>
        <v>001-12611</v>
      </c>
      <c r="N770" s="8" t="str">
        <f t="shared" si="120"/>
        <v>PEN</v>
      </c>
      <c r="O770" s="13"/>
      <c r="P770" s="13">
        <v>69</v>
      </c>
      <c r="Q770" s="3">
        <f t="shared" si="121"/>
        <v>0</v>
      </c>
      <c r="R770" s="3">
        <f t="shared" si="122"/>
        <v>69</v>
      </c>
      <c r="S770" s="3">
        <f t="shared" ref="S770:S833" si="123">IFERROR(IF(F770="SALDO",Q770,S769+Q770-R770),0)</f>
        <v>746.59999999999877</v>
      </c>
      <c r="T770" s="24"/>
      <c r="U770" s="24" t="s">
        <v>1334</v>
      </c>
      <c r="V770" s="3"/>
      <c r="W770" s="25">
        <f>IFERROR(VLOOKUP(Caja_Arequipa[[#This Row],[destinatario]],CHOOSE({1,2},Clientes_Proveedores[Razon Social],Clientes_Proveedores[Ruc / Dni]),2,0),"")</f>
        <v>48536654</v>
      </c>
      <c r="X770" s="3"/>
      <c r="Y770" s="3"/>
      <c r="Z770" s="3"/>
      <c r="AA770" s="3"/>
      <c r="AB770" s="3" t="str">
        <f>IF(Caja_Arequipa[[#This Row],[fecha]]&gt;0,TEXT(Caja_Arequipa[[#This Row],[fecha]],"mmmm"),0)</f>
        <v>Agosto</v>
      </c>
    </row>
    <row r="771" spans="1:28" ht="24" x14ac:dyDescent="0.3">
      <c r="A771" s="2">
        <f>IF(Caja_Arequipa[[#This Row],[tipo_r]]="R",COUNTIFS($C$1:$C770,"R")+1,A770)</f>
        <v>610</v>
      </c>
      <c r="B771" s="19" t="str">
        <f t="shared" si="119"/>
        <v>C-Tesoreria</v>
      </c>
      <c r="C771" s="3" t="s">
        <v>1330</v>
      </c>
      <c r="D771" s="14">
        <v>45896</v>
      </c>
      <c r="E771" s="5" t="s">
        <v>1338</v>
      </c>
      <c r="F771" s="5" t="s">
        <v>1336</v>
      </c>
      <c r="G771" s="3" t="s">
        <v>6216</v>
      </c>
      <c r="H771" s="6" t="s">
        <v>918</v>
      </c>
      <c r="I771" s="164" t="s">
        <v>111</v>
      </c>
      <c r="J771" s="6">
        <v>3</v>
      </c>
      <c r="K771" s="6">
        <v>314</v>
      </c>
      <c r="L771" s="7" t="s">
        <v>6259</v>
      </c>
      <c r="M771" s="8" t="str">
        <f>IF(Caja_Arequipa[[#This Row],[tipo_r]]="R","001-"&amp;12002+A771,M770)</f>
        <v>001-12612</v>
      </c>
      <c r="N771" s="8" t="str">
        <f t="shared" si="120"/>
        <v>PEN</v>
      </c>
      <c r="O771" s="13"/>
      <c r="P771" s="13">
        <v>92</v>
      </c>
      <c r="Q771" s="3">
        <f t="shared" si="121"/>
        <v>0</v>
      </c>
      <c r="R771" s="3">
        <f t="shared" si="122"/>
        <v>92</v>
      </c>
      <c r="S771" s="3">
        <f t="shared" si="123"/>
        <v>654.59999999999877</v>
      </c>
      <c r="T771" s="24"/>
      <c r="U771" s="24" t="s">
        <v>1334</v>
      </c>
      <c r="V771" s="3"/>
      <c r="W771" s="25">
        <f>IFERROR(VLOOKUP(Caja_Arequipa[[#This Row],[destinatario]],CHOOSE({1,2},Clientes_Proveedores[Razon Social],Clientes_Proveedores[Ruc / Dni]),2,0),"")</f>
        <v>48536654</v>
      </c>
      <c r="X771" s="3"/>
      <c r="Y771" s="3"/>
      <c r="Z771" s="3"/>
      <c r="AA771" s="3"/>
      <c r="AB771" s="3" t="str">
        <f>IF(Caja_Arequipa[[#This Row],[fecha]]&gt;0,TEXT(Caja_Arequipa[[#This Row],[fecha]],"mmmm"),0)</f>
        <v>Agosto</v>
      </c>
    </row>
    <row r="772" spans="1:28" ht="24" x14ac:dyDescent="0.3">
      <c r="A772" s="2">
        <f>IF(Caja_Arequipa[[#This Row],[tipo_r]]="R",COUNTIFS($C$1:$C771,"R")+1,A771)</f>
        <v>611</v>
      </c>
      <c r="B772" s="19" t="str">
        <f t="shared" si="119"/>
        <v>C-Tesoreria</v>
      </c>
      <c r="C772" s="3" t="s">
        <v>1330</v>
      </c>
      <c r="D772" s="14">
        <v>45896</v>
      </c>
      <c r="E772" s="5" t="s">
        <v>1338</v>
      </c>
      <c r="F772" s="5" t="s">
        <v>1336</v>
      </c>
      <c r="G772" s="3" t="s">
        <v>6216</v>
      </c>
      <c r="H772" s="6" t="s">
        <v>918</v>
      </c>
      <c r="I772" s="164" t="s">
        <v>111</v>
      </c>
      <c r="J772" s="6">
        <v>3</v>
      </c>
      <c r="K772" s="6">
        <v>315</v>
      </c>
      <c r="L772" s="7" t="s">
        <v>6260</v>
      </c>
      <c r="M772" s="8" t="str">
        <f>IF(Caja_Arequipa[[#This Row],[tipo_r]]="R","001-"&amp;12002+A772,M771)</f>
        <v>001-12613</v>
      </c>
      <c r="N772" s="8" t="str">
        <f t="shared" si="120"/>
        <v>PEN</v>
      </c>
      <c r="O772" s="13"/>
      <c r="P772" s="13">
        <v>21</v>
      </c>
      <c r="Q772" s="3">
        <f t="shared" si="121"/>
        <v>0</v>
      </c>
      <c r="R772" s="3">
        <f t="shared" si="122"/>
        <v>21</v>
      </c>
      <c r="S772" s="3">
        <f t="shared" si="123"/>
        <v>633.59999999999877</v>
      </c>
      <c r="T772" s="24"/>
      <c r="U772" s="24" t="s">
        <v>1334</v>
      </c>
      <c r="V772" s="3"/>
      <c r="W772" s="25">
        <f>IFERROR(VLOOKUP(Caja_Arequipa[[#This Row],[destinatario]],CHOOSE({1,2},Clientes_Proveedores[Razon Social],Clientes_Proveedores[Ruc / Dni]),2,0),"")</f>
        <v>48536654</v>
      </c>
      <c r="X772" s="3"/>
      <c r="Y772" s="3"/>
      <c r="Z772" s="3"/>
      <c r="AA772" s="3"/>
      <c r="AB772" s="3" t="str">
        <f>IF(Caja_Arequipa[[#This Row],[fecha]]&gt;0,TEXT(Caja_Arequipa[[#This Row],[fecha]],"mmmm"),0)</f>
        <v>Agosto</v>
      </c>
    </row>
    <row r="773" spans="1:28" ht="24" x14ac:dyDescent="0.3">
      <c r="A773" s="2">
        <f>IF(Caja_Arequipa[[#This Row],[tipo_r]]="R",COUNTIFS($C$1:$C772,"R")+1,A772)</f>
        <v>612</v>
      </c>
      <c r="B773" s="19" t="str">
        <f t="shared" si="119"/>
        <v>C-Tesoreria</v>
      </c>
      <c r="C773" s="3" t="s">
        <v>1330</v>
      </c>
      <c r="D773" s="14">
        <v>45896</v>
      </c>
      <c r="E773" s="5" t="s">
        <v>1338</v>
      </c>
      <c r="F773" s="5" t="s">
        <v>1336</v>
      </c>
      <c r="G773" s="3" t="s">
        <v>6216</v>
      </c>
      <c r="H773" s="6" t="s">
        <v>918</v>
      </c>
      <c r="I773" s="164" t="s">
        <v>111</v>
      </c>
      <c r="J773" s="6">
        <v>3</v>
      </c>
      <c r="K773" s="6">
        <v>319</v>
      </c>
      <c r="L773" s="7" t="s">
        <v>6261</v>
      </c>
      <c r="M773" s="8" t="str">
        <f>IF(Caja_Arequipa[[#This Row],[tipo_r]]="R","001-"&amp;12002+A773,M772)</f>
        <v>001-12614</v>
      </c>
      <c r="N773" s="8" t="str">
        <f t="shared" si="120"/>
        <v>PEN</v>
      </c>
      <c r="O773" s="13"/>
      <c r="P773" s="13">
        <v>46</v>
      </c>
      <c r="Q773" s="3">
        <f t="shared" si="121"/>
        <v>0</v>
      </c>
      <c r="R773" s="3">
        <f t="shared" si="122"/>
        <v>46</v>
      </c>
      <c r="S773" s="3">
        <f t="shared" si="123"/>
        <v>587.59999999999877</v>
      </c>
      <c r="T773" s="24"/>
      <c r="U773" s="24" t="s">
        <v>1334</v>
      </c>
      <c r="V773" s="3"/>
      <c r="W773" s="25">
        <f>IFERROR(VLOOKUP(Caja_Arequipa[[#This Row],[destinatario]],CHOOSE({1,2},Clientes_Proveedores[Razon Social],Clientes_Proveedores[Ruc / Dni]),2,0),"")</f>
        <v>48536654</v>
      </c>
      <c r="X773" s="3"/>
      <c r="Y773" s="3"/>
      <c r="Z773" s="3"/>
      <c r="AA773" s="3"/>
      <c r="AB773" s="3" t="str">
        <f>IF(Caja_Arequipa[[#This Row],[fecha]]&gt;0,TEXT(Caja_Arequipa[[#This Row],[fecha]],"mmmm"),0)</f>
        <v>Agosto</v>
      </c>
    </row>
    <row r="774" spans="1:28" ht="24" x14ac:dyDescent="0.3">
      <c r="A774" s="2">
        <f>IF(Caja_Arequipa[[#This Row],[tipo_r]]="R",COUNTIFS($C$1:$C773,"R")+1,A773)</f>
        <v>613</v>
      </c>
      <c r="B774" s="19" t="str">
        <f t="shared" si="119"/>
        <v>C-Tesoreria</v>
      </c>
      <c r="C774" s="3" t="s">
        <v>1330</v>
      </c>
      <c r="D774" s="14">
        <v>45896</v>
      </c>
      <c r="E774" s="5" t="s">
        <v>1338</v>
      </c>
      <c r="F774" s="5" t="s">
        <v>1336</v>
      </c>
      <c r="G774" s="3" t="s">
        <v>6216</v>
      </c>
      <c r="H774" s="6" t="s">
        <v>918</v>
      </c>
      <c r="I774" s="164" t="s">
        <v>111</v>
      </c>
      <c r="J774" s="6">
        <v>3</v>
      </c>
      <c r="K774" s="6">
        <v>320</v>
      </c>
      <c r="L774" s="7" t="s">
        <v>6262</v>
      </c>
      <c r="M774" s="8" t="str">
        <f>IF(Caja_Arequipa[[#This Row],[tipo_r]]="R","001-"&amp;12002+A774,M773)</f>
        <v>001-12615</v>
      </c>
      <c r="N774" s="8" t="str">
        <f t="shared" si="120"/>
        <v>PEN</v>
      </c>
      <c r="O774" s="13"/>
      <c r="P774" s="13">
        <v>110</v>
      </c>
      <c r="Q774" s="3">
        <f t="shared" si="121"/>
        <v>0</v>
      </c>
      <c r="R774" s="3">
        <f t="shared" si="122"/>
        <v>110</v>
      </c>
      <c r="S774" s="3">
        <f t="shared" si="123"/>
        <v>477.59999999999877</v>
      </c>
      <c r="T774" s="24"/>
      <c r="U774" s="24" t="s">
        <v>1334</v>
      </c>
      <c r="V774" s="3"/>
      <c r="W774" s="25">
        <f>IFERROR(VLOOKUP(Caja_Arequipa[[#This Row],[destinatario]],CHOOSE({1,2},Clientes_Proveedores[Razon Social],Clientes_Proveedores[Ruc / Dni]),2,0),"")</f>
        <v>48536654</v>
      </c>
      <c r="X774" s="3"/>
      <c r="Y774" s="3"/>
      <c r="Z774" s="3"/>
      <c r="AA774" s="3"/>
      <c r="AB774" s="3" t="str">
        <f>IF(Caja_Arequipa[[#This Row],[fecha]]&gt;0,TEXT(Caja_Arequipa[[#This Row],[fecha]],"mmmm"),0)</f>
        <v>Agosto</v>
      </c>
    </row>
    <row r="775" spans="1:28" ht="24" x14ac:dyDescent="0.3">
      <c r="A775" s="2">
        <f>IF(Caja_Arequipa[[#This Row],[tipo_r]]="R",COUNTIFS($C$1:$C774,"R")+1,A774)</f>
        <v>614</v>
      </c>
      <c r="B775" s="19" t="str">
        <f t="shared" si="119"/>
        <v>C-Tesoreria</v>
      </c>
      <c r="C775" s="3" t="s">
        <v>1330</v>
      </c>
      <c r="D775" s="14">
        <v>45896</v>
      </c>
      <c r="E775" s="5" t="s">
        <v>1338</v>
      </c>
      <c r="F775" s="5" t="s">
        <v>1336</v>
      </c>
      <c r="G775" s="3" t="s">
        <v>6216</v>
      </c>
      <c r="H775" s="6" t="s">
        <v>918</v>
      </c>
      <c r="I775" s="164" t="s">
        <v>111</v>
      </c>
      <c r="J775" s="6">
        <v>3</v>
      </c>
      <c r="K775" s="6">
        <v>321</v>
      </c>
      <c r="L775" s="7" t="s">
        <v>6262</v>
      </c>
      <c r="M775" s="8" t="str">
        <f>IF(Caja_Arequipa[[#This Row],[tipo_r]]="R","001-"&amp;12002+A775,M774)</f>
        <v>001-12616</v>
      </c>
      <c r="N775" s="8" t="str">
        <f t="shared" si="120"/>
        <v>PEN</v>
      </c>
      <c r="O775" s="13"/>
      <c r="P775" s="13">
        <v>60</v>
      </c>
      <c r="Q775" s="3">
        <f t="shared" si="121"/>
        <v>0</v>
      </c>
      <c r="R775" s="3">
        <f t="shared" si="122"/>
        <v>60</v>
      </c>
      <c r="S775" s="3">
        <f t="shared" si="123"/>
        <v>417.59999999999877</v>
      </c>
      <c r="T775" s="24"/>
      <c r="U775" s="24" t="s">
        <v>1334</v>
      </c>
      <c r="V775" s="3"/>
      <c r="W775" s="25">
        <f>IFERROR(VLOOKUP(Caja_Arequipa[[#This Row],[destinatario]],CHOOSE({1,2},Clientes_Proveedores[Razon Social],Clientes_Proveedores[Ruc / Dni]),2,0),"")</f>
        <v>48536654</v>
      </c>
      <c r="X775" s="3"/>
      <c r="Y775" s="3"/>
      <c r="Z775" s="3"/>
      <c r="AA775" s="3"/>
      <c r="AB775" s="3" t="str">
        <f>IF(Caja_Arequipa[[#This Row],[fecha]]&gt;0,TEXT(Caja_Arequipa[[#This Row],[fecha]],"mmmm"),0)</f>
        <v>Agosto</v>
      </c>
    </row>
    <row r="776" spans="1:28" ht="24" x14ac:dyDescent="0.3">
      <c r="A776" s="2">
        <f>IF(Caja_Arequipa[[#This Row],[tipo_r]]="R",COUNTIFS($C$1:$C775,"R")+1,A775)</f>
        <v>615</v>
      </c>
      <c r="B776" s="19" t="str">
        <f t="shared" ref="B776:B781" si="124">"C-Tesoreria"</f>
        <v>C-Tesoreria</v>
      </c>
      <c r="C776" s="3" t="s">
        <v>1330</v>
      </c>
      <c r="D776" s="14">
        <v>45898</v>
      </c>
      <c r="E776" s="5" t="s">
        <v>1338</v>
      </c>
      <c r="F776" s="5" t="s">
        <v>1336</v>
      </c>
      <c r="G776" s="3" t="s">
        <v>5828</v>
      </c>
      <c r="H776" s="6" t="s">
        <v>746</v>
      </c>
      <c r="I776" s="165" t="s">
        <v>72</v>
      </c>
      <c r="J776" s="6" t="s">
        <v>1376</v>
      </c>
      <c r="K776" s="6">
        <v>19</v>
      </c>
      <c r="L776" s="7" t="s">
        <v>6263</v>
      </c>
      <c r="M776" s="8" t="str">
        <f>IF(Caja_Arequipa[[#This Row],[tipo_r]]="R","001-"&amp;12002+A776,M775)</f>
        <v>001-12617</v>
      </c>
      <c r="N776" s="8" t="str">
        <f t="shared" ref="N776:N781" si="125">"PEN"</f>
        <v>PEN</v>
      </c>
      <c r="O776" s="13"/>
      <c r="P776" s="13">
        <v>150</v>
      </c>
      <c r="Q776" s="3">
        <f t="shared" ref="Q776:Q781" si="126">+IF(OR($F776="SALDO",$F776="INGRESO"),$P776,0)</f>
        <v>0</v>
      </c>
      <c r="R776" s="3">
        <f t="shared" ref="R776:R781" si="127">+IF($F776="EGRESO",$P776,0)</f>
        <v>150</v>
      </c>
      <c r="S776" s="3">
        <f t="shared" si="123"/>
        <v>267.59999999999877</v>
      </c>
      <c r="T776" s="24"/>
      <c r="U776" s="24" t="s">
        <v>1334</v>
      </c>
      <c r="V776" s="3"/>
      <c r="W776" s="25">
        <f>IFERROR(VLOOKUP(Caja_Arequipa[[#This Row],[destinatario]],CHOOSE({1,2},Clientes_Proveedores[Razon Social],Clientes_Proveedores[Ruc / Dni]),2,0),"")</f>
        <v>10764319872</v>
      </c>
      <c r="X776" s="3"/>
      <c r="Y776" s="3"/>
      <c r="Z776" s="3"/>
      <c r="AA776" s="3"/>
      <c r="AB776" s="3" t="str">
        <f>IF(Caja_Arequipa[[#This Row],[fecha]]&gt;0,TEXT(Caja_Arequipa[[#This Row],[fecha]],"mmmm"),0)</f>
        <v>Agosto</v>
      </c>
    </row>
    <row r="777" spans="1:28" x14ac:dyDescent="0.3">
      <c r="A777" s="2">
        <f>IF(Caja_Arequipa[[#This Row],[tipo_r]]="R",COUNTIFS($C$1:$C776,"R")+1,A776)</f>
        <v>616</v>
      </c>
      <c r="B777" s="19" t="str">
        <f t="shared" si="124"/>
        <v>C-Tesoreria</v>
      </c>
      <c r="C777" s="3" t="s">
        <v>1330</v>
      </c>
      <c r="D777" s="14">
        <v>45901</v>
      </c>
      <c r="E777" s="5" t="s">
        <v>1338</v>
      </c>
      <c r="F777" s="5" t="s">
        <v>1336</v>
      </c>
      <c r="G777" s="3" t="s">
        <v>5380</v>
      </c>
      <c r="H777" s="6"/>
      <c r="I777" s="165"/>
      <c r="J777" s="6"/>
      <c r="K777" s="6"/>
      <c r="L777" s="7" t="s">
        <v>6055</v>
      </c>
      <c r="M777" s="8" t="str">
        <f>IF(Caja_Arequipa[[#This Row],[tipo_r]]="R","001-"&amp;12002+A777,M776)</f>
        <v>001-12618</v>
      </c>
      <c r="N777" s="8" t="str">
        <f t="shared" si="125"/>
        <v>PEN</v>
      </c>
      <c r="O777" s="13"/>
      <c r="P777" s="13">
        <v>25</v>
      </c>
      <c r="Q777" s="3">
        <f t="shared" si="126"/>
        <v>0</v>
      </c>
      <c r="R777" s="3">
        <f t="shared" si="127"/>
        <v>25</v>
      </c>
      <c r="S777" s="3">
        <f t="shared" si="123"/>
        <v>242.59999999999877</v>
      </c>
      <c r="T777" s="24"/>
      <c r="U777" s="24" t="s">
        <v>1334</v>
      </c>
      <c r="V777" s="3"/>
      <c r="W777" s="25" t="str">
        <f>IFERROR(VLOOKUP(Caja_Arequipa[[#This Row],[destinatario]],CHOOSE({1,2},Clientes_Proveedores[Razon Social],Clientes_Proveedores[Ruc / Dni]),2,0),"")</f>
        <v/>
      </c>
      <c r="X777" s="3"/>
      <c r="Y777" s="3"/>
      <c r="Z777" s="3"/>
      <c r="AA777" s="3"/>
      <c r="AB777" s="3" t="str">
        <f>IF(Caja_Arequipa[[#This Row],[fecha]]&gt;0,TEXT(Caja_Arequipa[[#This Row],[fecha]],"mmmm"),0)</f>
        <v>Setiembre</v>
      </c>
    </row>
    <row r="778" spans="1:28" ht="36" x14ac:dyDescent="0.3">
      <c r="A778" s="2">
        <f>IF(Caja_Arequipa[[#This Row],[tipo_r]]="R",COUNTIFS($C$1:$C777,"R")+1,A777)</f>
        <v>616</v>
      </c>
      <c r="B778" s="19" t="str">
        <f t="shared" si="124"/>
        <v>C-Tesoreria</v>
      </c>
      <c r="C778" s="3" t="s">
        <v>1352</v>
      </c>
      <c r="D778" s="14">
        <v>45901</v>
      </c>
      <c r="E778" s="5" t="s">
        <v>1338</v>
      </c>
      <c r="F778" s="5"/>
      <c r="G778" s="3"/>
      <c r="H778" s="6" t="s">
        <v>682</v>
      </c>
      <c r="I778" s="165" t="s">
        <v>68</v>
      </c>
      <c r="J778" s="6" t="s">
        <v>1353</v>
      </c>
      <c r="K778" s="6">
        <v>17491</v>
      </c>
      <c r="L778" s="7" t="s">
        <v>6055</v>
      </c>
      <c r="M778" s="8" t="str">
        <f>IF(Caja_Arequipa[[#This Row],[tipo_r]]="R","001-"&amp;12002+A778,M777)</f>
        <v>001-12618</v>
      </c>
      <c r="N778" s="8" t="str">
        <f t="shared" si="125"/>
        <v>PEN</v>
      </c>
      <c r="O778" s="13">
        <v>20</v>
      </c>
      <c r="P778" s="13"/>
      <c r="Q778" s="3">
        <f t="shared" si="126"/>
        <v>0</v>
      </c>
      <c r="R778" s="3">
        <f t="shared" si="127"/>
        <v>0</v>
      </c>
      <c r="S778" s="3">
        <f t="shared" si="123"/>
        <v>242.59999999999877</v>
      </c>
      <c r="T778" s="24"/>
      <c r="U778" s="24" t="s">
        <v>1334</v>
      </c>
      <c r="V778" s="3"/>
      <c r="W778" s="25">
        <f>IFERROR(VLOOKUP(Caja_Arequipa[[#This Row],[destinatario]],CHOOSE({1,2},Clientes_Proveedores[Razon Social],Clientes_Proveedores[Ruc / Dni]),2,0),"")</f>
        <v>20259858934</v>
      </c>
      <c r="X778" s="3"/>
      <c r="Y778" s="3"/>
      <c r="Z778" s="3"/>
      <c r="AA778" s="3"/>
      <c r="AB778" s="3" t="str">
        <f>IF(Caja_Arequipa[[#This Row],[fecha]]&gt;0,TEXT(Caja_Arequipa[[#This Row],[fecha]],"mmmm"),0)</f>
        <v>Setiembre</v>
      </c>
    </row>
    <row r="779" spans="1:28" x14ac:dyDescent="0.3">
      <c r="A779" s="2">
        <f>IF(Caja_Arequipa[[#This Row],[tipo_r]]="R",COUNTIFS($C$1:$C778,"R")+1,A778)</f>
        <v>616</v>
      </c>
      <c r="B779" s="19" t="str">
        <f t="shared" si="124"/>
        <v>C-Tesoreria</v>
      </c>
      <c r="C779" s="3" t="s">
        <v>1352</v>
      </c>
      <c r="D779" s="14">
        <v>45901</v>
      </c>
      <c r="E779" s="5" t="s">
        <v>1338</v>
      </c>
      <c r="F779" s="5"/>
      <c r="G779" s="3"/>
      <c r="H779" s="6" t="s">
        <v>978</v>
      </c>
      <c r="I779" s="165" t="s">
        <v>68</v>
      </c>
      <c r="J779" s="6" t="s">
        <v>6204</v>
      </c>
      <c r="K779" s="6">
        <v>1822835</v>
      </c>
      <c r="L779" s="7" t="s">
        <v>6055</v>
      </c>
      <c r="M779" s="8" t="str">
        <f>IF(Caja_Arequipa[[#This Row],[tipo_r]]="R","001-"&amp;12002+A779,M778)</f>
        <v>001-12618</v>
      </c>
      <c r="N779" s="8" t="str">
        <f t="shared" si="125"/>
        <v>PEN</v>
      </c>
      <c r="O779" s="13">
        <v>5</v>
      </c>
      <c r="P779" s="13"/>
      <c r="Q779" s="3">
        <f t="shared" si="126"/>
        <v>0</v>
      </c>
      <c r="R779" s="3">
        <f t="shared" si="127"/>
        <v>0</v>
      </c>
      <c r="S779" s="3">
        <f t="shared" si="123"/>
        <v>242.59999999999877</v>
      </c>
      <c r="T779" s="24"/>
      <c r="U779" s="24" t="s">
        <v>1334</v>
      </c>
      <c r="V779" s="3"/>
      <c r="W779" s="25">
        <f>IFERROR(VLOOKUP(Caja_Arequipa[[#This Row],[destinatario]],CHOOSE({1,2},Clientes_Proveedores[Razon Social],Clientes_Proveedores[Ruc / Dni]),2,0),"")</f>
        <v>20517252558</v>
      </c>
      <c r="X779" s="3"/>
      <c r="Y779" s="3"/>
      <c r="Z779" s="3"/>
      <c r="AA779" s="3"/>
      <c r="AB779" s="3" t="str">
        <f>IF(Caja_Arequipa[[#This Row],[fecha]]&gt;0,TEXT(Caja_Arequipa[[#This Row],[fecha]],"mmmm"),0)</f>
        <v>Setiembre</v>
      </c>
    </row>
    <row r="780" spans="1:28" ht="24" x14ac:dyDescent="0.3">
      <c r="A780" s="2">
        <f>IF(Caja_Arequipa[[#This Row],[tipo_r]]="R",COUNTIFS($C$1:$C779,"R")+1,A779)</f>
        <v>617</v>
      </c>
      <c r="B780" s="19" t="str">
        <f t="shared" si="124"/>
        <v>C-Tesoreria</v>
      </c>
      <c r="C780" s="3" t="s">
        <v>1330</v>
      </c>
      <c r="D780" s="14">
        <v>45901</v>
      </c>
      <c r="E780" s="5" t="s">
        <v>1338</v>
      </c>
      <c r="F780" s="5" t="s">
        <v>1336</v>
      </c>
      <c r="G780" s="3" t="s">
        <v>4788</v>
      </c>
      <c r="H780" s="6" t="s">
        <v>967</v>
      </c>
      <c r="I780" s="164" t="s">
        <v>111</v>
      </c>
      <c r="J780" s="6">
        <v>3</v>
      </c>
      <c r="K780" s="6">
        <v>325</v>
      </c>
      <c r="L780" s="7" t="s">
        <v>6264</v>
      </c>
      <c r="M780" s="8" t="str">
        <f>IF(Caja_Arequipa[[#This Row],[tipo_r]]="R","001-"&amp;12002+A780,M779)</f>
        <v>001-12619</v>
      </c>
      <c r="N780" s="8" t="str">
        <f t="shared" si="125"/>
        <v>PEN</v>
      </c>
      <c r="O780" s="13"/>
      <c r="P780" s="13">
        <v>25</v>
      </c>
      <c r="Q780" s="3">
        <f t="shared" si="126"/>
        <v>0</v>
      </c>
      <c r="R780" s="3">
        <f t="shared" si="127"/>
        <v>25</v>
      </c>
      <c r="S780" s="3">
        <f t="shared" si="123"/>
        <v>217.59999999999877</v>
      </c>
      <c r="T780" s="24"/>
      <c r="U780" s="24" t="s">
        <v>1334</v>
      </c>
      <c r="V780" s="3"/>
      <c r="W780" s="25">
        <f>IFERROR(VLOOKUP(Caja_Arequipa[[#This Row],[destinatario]],CHOOSE({1,2},Clientes_Proveedores[Razon Social],Clientes_Proveedores[Ruc / Dni]),2,0),"")</f>
        <v>70517150</v>
      </c>
      <c r="X780" s="3"/>
      <c r="Y780" s="3"/>
      <c r="Z780" s="3"/>
      <c r="AA780" s="3"/>
      <c r="AB780" s="3" t="str">
        <f>IF(Caja_Arequipa[[#This Row],[fecha]]&gt;0,TEXT(Caja_Arequipa[[#This Row],[fecha]],"mmmm"),0)</f>
        <v>Setiembre</v>
      </c>
    </row>
    <row r="781" spans="1:28" ht="24" x14ac:dyDescent="0.3">
      <c r="A781" s="2">
        <f>IF(Caja_Arequipa[[#This Row],[tipo_r]]="R",COUNTIFS($C$1:$C780,"R")+1,A780)</f>
        <v>618</v>
      </c>
      <c r="B781" s="19" t="str">
        <f t="shared" si="124"/>
        <v>C-Tesoreria</v>
      </c>
      <c r="C781" s="3" t="s">
        <v>1330</v>
      </c>
      <c r="D781" s="14">
        <v>45901</v>
      </c>
      <c r="E781" s="5" t="s">
        <v>1338</v>
      </c>
      <c r="F781" s="5" t="s">
        <v>1336</v>
      </c>
      <c r="G781" s="3" t="s">
        <v>5250</v>
      </c>
      <c r="H781" s="6" t="s">
        <v>974</v>
      </c>
      <c r="I781" s="165" t="s">
        <v>68</v>
      </c>
      <c r="J781" s="6" t="s">
        <v>6104</v>
      </c>
      <c r="K781" s="6">
        <v>14315</v>
      </c>
      <c r="L781" s="7" t="s">
        <v>6265</v>
      </c>
      <c r="M781" s="8" t="str">
        <f>IF(Caja_Arequipa[[#This Row],[tipo_r]]="R","001-"&amp;12002+A781,M780)</f>
        <v>001-12620</v>
      </c>
      <c r="N781" s="8" t="str">
        <f t="shared" si="125"/>
        <v>PEN</v>
      </c>
      <c r="O781" s="13"/>
      <c r="P781" s="13">
        <v>20</v>
      </c>
      <c r="Q781" s="3">
        <f t="shared" si="126"/>
        <v>0</v>
      </c>
      <c r="R781" s="3">
        <f t="shared" si="127"/>
        <v>20</v>
      </c>
      <c r="S781" s="3">
        <f t="shared" si="123"/>
        <v>197.59999999999877</v>
      </c>
      <c r="T781" s="24"/>
      <c r="U781" s="24" t="s">
        <v>1334</v>
      </c>
      <c r="V781" s="3"/>
      <c r="W781" s="25">
        <f>IFERROR(VLOOKUP(Caja_Arequipa[[#This Row],[destinatario]],CHOOSE({1,2},Clientes_Proveedores[Razon Social],Clientes_Proveedores[Ruc / Dni]),2,0),"")</f>
        <v>20558053691</v>
      </c>
      <c r="X781" s="3"/>
      <c r="Y781" s="3"/>
      <c r="Z781" s="3"/>
      <c r="AA781" s="3"/>
      <c r="AB781" s="3" t="str">
        <f>IF(Caja_Arequipa[[#This Row],[fecha]]&gt;0,TEXT(Caja_Arequipa[[#This Row],[fecha]],"mmmm"),0)</f>
        <v>Setiembre</v>
      </c>
    </row>
    <row r="782" spans="1:28" ht="24" x14ac:dyDescent="0.3">
      <c r="A782" s="2">
        <f>IF(Caja_Arequipa[[#This Row],[tipo_r]]="R",COUNTIFS($C$1:$C781,"R")+1,A781)</f>
        <v>619</v>
      </c>
      <c r="B782" s="19" t="str">
        <f t="shared" ref="B782:B788" si="128">"C-Tesoreria"</f>
        <v>C-Tesoreria</v>
      </c>
      <c r="C782" s="3" t="s">
        <v>1330</v>
      </c>
      <c r="D782" s="14">
        <v>45902</v>
      </c>
      <c r="E782" s="5" t="s">
        <v>1338</v>
      </c>
      <c r="F782" s="5" t="s">
        <v>1336</v>
      </c>
      <c r="G782" s="3" t="s">
        <v>5248</v>
      </c>
      <c r="H782" s="6" t="s">
        <v>986</v>
      </c>
      <c r="I782" s="165" t="s">
        <v>75</v>
      </c>
      <c r="J782" s="6">
        <v>1</v>
      </c>
      <c r="K782" s="6">
        <v>188</v>
      </c>
      <c r="L782" s="7" t="s">
        <v>6266</v>
      </c>
      <c r="M782" s="8" t="str">
        <f>IF(Caja_Arequipa[[#This Row],[tipo_r]]="R","001-"&amp;12002+A782,M781)</f>
        <v>001-12621</v>
      </c>
      <c r="N782" s="8" t="str">
        <f t="shared" ref="N782:N788" si="129">"PEN"</f>
        <v>PEN</v>
      </c>
      <c r="O782" s="13"/>
      <c r="P782" s="13">
        <v>24</v>
      </c>
      <c r="Q782" s="3">
        <f t="shared" ref="Q782:Q788" si="130">+IF(OR($F782="SALDO",$F782="INGRESO"),$P782,0)</f>
        <v>0</v>
      </c>
      <c r="R782" s="3">
        <f t="shared" ref="R782:R788" si="131">+IF($F782="EGRESO",$P782,0)</f>
        <v>24</v>
      </c>
      <c r="S782" s="3">
        <f t="shared" si="123"/>
        <v>173.59999999999877</v>
      </c>
      <c r="T782" s="24"/>
      <c r="U782" s="24" t="s">
        <v>1334</v>
      </c>
      <c r="V782" s="3"/>
      <c r="W782" s="25">
        <f>IFERROR(VLOOKUP(Caja_Arequipa[[#This Row],[destinatario]],CHOOSE({1,2},Clientes_Proveedores[Razon Social],Clientes_Proveedores[Ruc / Dni]),2,0),"")</f>
        <v>10309622885</v>
      </c>
      <c r="X782" s="3"/>
      <c r="Y782" s="3"/>
      <c r="Z782" s="3"/>
      <c r="AA782" s="3"/>
      <c r="AB782" s="3" t="str">
        <f>IF(Caja_Arequipa[[#This Row],[fecha]]&gt;0,TEXT(Caja_Arequipa[[#This Row],[fecha]],"mmmm"),0)</f>
        <v>Setiembre</v>
      </c>
    </row>
    <row r="783" spans="1:28" ht="24" x14ac:dyDescent="0.3">
      <c r="A783" s="2">
        <f>IF(Caja_Arequipa[[#This Row],[tipo_r]]="R",COUNTIFS($C$1:$C782,"R")+1,A782)</f>
        <v>620</v>
      </c>
      <c r="B783" s="19" t="str">
        <f t="shared" si="128"/>
        <v>C-Tesoreria</v>
      </c>
      <c r="C783" s="3" t="s">
        <v>1330</v>
      </c>
      <c r="D783" s="14">
        <v>45902</v>
      </c>
      <c r="E783" s="5" t="s">
        <v>1338</v>
      </c>
      <c r="F783" s="5" t="s">
        <v>1336</v>
      </c>
      <c r="G783" s="3" t="s">
        <v>5248</v>
      </c>
      <c r="H783" s="6" t="s">
        <v>1240</v>
      </c>
      <c r="I783" s="165" t="s">
        <v>75</v>
      </c>
      <c r="J783" s="6">
        <v>1</v>
      </c>
      <c r="K783" s="6">
        <v>14640</v>
      </c>
      <c r="L783" s="7" t="s">
        <v>6267</v>
      </c>
      <c r="M783" s="8" t="str">
        <f>IF(Caja_Arequipa[[#This Row],[tipo_r]]="R","001-"&amp;12002+A783,M782)</f>
        <v>001-12622</v>
      </c>
      <c r="N783" s="8" t="str">
        <f t="shared" si="129"/>
        <v>PEN</v>
      </c>
      <c r="O783" s="13"/>
      <c r="P783" s="13">
        <v>4.5</v>
      </c>
      <c r="Q783" s="3">
        <f t="shared" si="130"/>
        <v>0</v>
      </c>
      <c r="R783" s="3">
        <f t="shared" si="131"/>
        <v>4.5</v>
      </c>
      <c r="S783" s="3">
        <f t="shared" si="123"/>
        <v>169.09999999999877</v>
      </c>
      <c r="T783" s="24"/>
      <c r="U783" s="24" t="s">
        <v>1334</v>
      </c>
      <c r="V783" s="3"/>
      <c r="W783" s="25">
        <f>IFERROR(VLOOKUP(Caja_Arequipa[[#This Row],[destinatario]],CHOOSE({1,2},Clientes_Proveedores[Razon Social],Clientes_Proveedores[Ruc / Dni]),2,0),"")</f>
        <v>10294286000</v>
      </c>
      <c r="X783" s="3"/>
      <c r="Y783" s="3"/>
      <c r="Z783" s="3"/>
      <c r="AA783" s="3"/>
      <c r="AB783" s="3" t="str">
        <f>IF(Caja_Arequipa[[#This Row],[fecha]]&gt;0,TEXT(Caja_Arequipa[[#This Row],[fecha]],"mmmm"),0)</f>
        <v>Setiembre</v>
      </c>
    </row>
    <row r="784" spans="1:28" ht="24" x14ac:dyDescent="0.3">
      <c r="A784" s="2">
        <f>IF(Caja_Arequipa[[#This Row],[tipo_r]]="R",COUNTIFS($C$1:$C783,"R")+1,A783)</f>
        <v>621</v>
      </c>
      <c r="B784" s="19" t="str">
        <f t="shared" si="128"/>
        <v>C-Tesoreria</v>
      </c>
      <c r="C784" s="3" t="s">
        <v>1330</v>
      </c>
      <c r="D784" s="14">
        <v>45902</v>
      </c>
      <c r="E784" s="5" t="s">
        <v>1338</v>
      </c>
      <c r="F784" s="5" t="s">
        <v>1336</v>
      </c>
      <c r="G784" s="3" t="s">
        <v>5828</v>
      </c>
      <c r="H784" s="6" t="s">
        <v>993</v>
      </c>
      <c r="I784" s="164" t="s">
        <v>111</v>
      </c>
      <c r="J784" s="6">
        <v>3</v>
      </c>
      <c r="K784" s="6">
        <v>322</v>
      </c>
      <c r="L784" s="7" t="s">
        <v>6268</v>
      </c>
      <c r="M784" s="8" t="str">
        <f>IF(Caja_Arequipa[[#This Row],[tipo_r]]="R","001-"&amp;12002+A784,M783)</f>
        <v>001-12623</v>
      </c>
      <c r="N784" s="8" t="str">
        <f t="shared" si="129"/>
        <v>PEN</v>
      </c>
      <c r="O784" s="13"/>
      <c r="P784" s="13">
        <v>2</v>
      </c>
      <c r="Q784" s="3">
        <f t="shared" si="130"/>
        <v>0</v>
      </c>
      <c r="R784" s="3">
        <f t="shared" si="131"/>
        <v>2</v>
      </c>
      <c r="S784" s="3">
        <f t="shared" si="123"/>
        <v>167.09999999999877</v>
      </c>
      <c r="T784" s="24"/>
      <c r="U784" s="24" t="s">
        <v>1334</v>
      </c>
      <c r="V784" s="3"/>
      <c r="W784" s="25">
        <f>IFERROR(VLOOKUP(Caja_Arequipa[[#This Row],[destinatario]],CHOOSE({1,2},Clientes_Proveedores[Razon Social],Clientes_Proveedores[Ruc / Dni]),2,0),"")</f>
        <v>76390500</v>
      </c>
      <c r="X784" s="3"/>
      <c r="Y784" s="3"/>
      <c r="Z784" s="3"/>
      <c r="AA784" s="3"/>
      <c r="AB784" s="3" t="str">
        <f>IF(Caja_Arequipa[[#This Row],[fecha]]&gt;0,TEXT(Caja_Arequipa[[#This Row],[fecha]],"mmmm"),0)</f>
        <v>Setiembre</v>
      </c>
    </row>
    <row r="785" spans="1:28" ht="24" x14ac:dyDescent="0.3">
      <c r="A785" s="2">
        <f>IF(Caja_Arequipa[[#This Row],[tipo_r]]="R",COUNTIFS($C$1:$C784,"R")+1,A784)</f>
        <v>622</v>
      </c>
      <c r="B785" s="19" t="str">
        <f t="shared" si="128"/>
        <v>C-Tesoreria</v>
      </c>
      <c r="C785" s="3" t="s">
        <v>1330</v>
      </c>
      <c r="D785" s="14">
        <v>45902</v>
      </c>
      <c r="E785" s="5" t="s">
        <v>1338</v>
      </c>
      <c r="F785" s="5" t="s">
        <v>1336</v>
      </c>
      <c r="G785" s="3" t="s">
        <v>5828</v>
      </c>
      <c r="H785" s="6" t="s">
        <v>993</v>
      </c>
      <c r="I785" s="164" t="s">
        <v>111</v>
      </c>
      <c r="J785" s="6">
        <v>3</v>
      </c>
      <c r="K785" s="6">
        <v>326</v>
      </c>
      <c r="L785" s="7" t="s">
        <v>6269</v>
      </c>
      <c r="M785" s="8" t="str">
        <f>IF(Caja_Arequipa[[#This Row],[tipo_r]]="R","001-"&amp;12002+A785,M784)</f>
        <v>001-12624</v>
      </c>
      <c r="N785" s="8" t="str">
        <f t="shared" si="129"/>
        <v>PEN</v>
      </c>
      <c r="O785" s="13"/>
      <c r="P785" s="13">
        <v>14</v>
      </c>
      <c r="Q785" s="3">
        <f t="shared" si="130"/>
        <v>0</v>
      </c>
      <c r="R785" s="3">
        <f t="shared" si="131"/>
        <v>14</v>
      </c>
      <c r="S785" s="3">
        <f t="shared" si="123"/>
        <v>153.09999999999877</v>
      </c>
      <c r="T785" s="24"/>
      <c r="U785" s="24" t="s">
        <v>1334</v>
      </c>
      <c r="V785" s="3"/>
      <c r="W785" s="25">
        <f>IFERROR(VLOOKUP(Caja_Arequipa[[#This Row],[destinatario]],CHOOSE({1,2},Clientes_Proveedores[Razon Social],Clientes_Proveedores[Ruc / Dni]),2,0),"")</f>
        <v>76390500</v>
      </c>
      <c r="X785" s="3"/>
      <c r="Y785" s="3"/>
      <c r="Z785" s="3"/>
      <c r="AA785" s="3"/>
      <c r="AB785" s="3" t="str">
        <f>IF(Caja_Arequipa[[#This Row],[fecha]]&gt;0,TEXT(Caja_Arequipa[[#This Row],[fecha]],"mmmm"),0)</f>
        <v>Setiembre</v>
      </c>
    </row>
    <row r="786" spans="1:28" ht="24" x14ac:dyDescent="0.3">
      <c r="A786" s="2">
        <f>IF(Caja_Arequipa[[#This Row],[tipo_r]]="R",COUNTIFS($C$1:$C785,"R")+1,A785)</f>
        <v>623</v>
      </c>
      <c r="B786" s="19" t="str">
        <f t="shared" si="128"/>
        <v>C-Tesoreria</v>
      </c>
      <c r="C786" s="3" t="s">
        <v>1330</v>
      </c>
      <c r="D786" s="14">
        <v>45903</v>
      </c>
      <c r="E786" s="5" t="s">
        <v>1338</v>
      </c>
      <c r="F786" s="5" t="s">
        <v>1336</v>
      </c>
      <c r="G786" s="3" t="s">
        <v>5250</v>
      </c>
      <c r="H786" s="6" t="s">
        <v>953</v>
      </c>
      <c r="I786" s="164" t="s">
        <v>111</v>
      </c>
      <c r="J786" s="6">
        <v>3</v>
      </c>
      <c r="K786" s="6">
        <v>323</v>
      </c>
      <c r="L786" s="7" t="s">
        <v>6270</v>
      </c>
      <c r="M786" s="8" t="str">
        <f>IF(Caja_Arequipa[[#This Row],[tipo_r]]="R","001-"&amp;12002+A786,M785)</f>
        <v>001-12625</v>
      </c>
      <c r="N786" s="8" t="str">
        <f t="shared" si="129"/>
        <v>PEN</v>
      </c>
      <c r="O786" s="13"/>
      <c r="P786" s="13">
        <v>8</v>
      </c>
      <c r="Q786" s="3">
        <f t="shared" si="130"/>
        <v>0</v>
      </c>
      <c r="R786" s="3">
        <f t="shared" si="131"/>
        <v>8</v>
      </c>
      <c r="S786" s="3">
        <f t="shared" si="123"/>
        <v>145.09999999999877</v>
      </c>
      <c r="T786" s="24"/>
      <c r="U786" s="24" t="s">
        <v>1334</v>
      </c>
      <c r="V786" s="3"/>
      <c r="W786" s="25">
        <f>IFERROR(VLOOKUP(Caja_Arequipa[[#This Row],[destinatario]],CHOOSE({1,2},Clientes_Proveedores[Razon Social],Clientes_Proveedores[Ruc / Dni]),2,0),"")</f>
        <v>72682665</v>
      </c>
      <c r="X786" s="3"/>
      <c r="Y786" s="3"/>
      <c r="Z786" s="3"/>
      <c r="AA786" s="3"/>
      <c r="AB786" s="3" t="str">
        <f>IF(Caja_Arequipa[[#This Row],[fecha]]&gt;0,TEXT(Caja_Arequipa[[#This Row],[fecha]],"mmmm"),0)</f>
        <v>Setiembre</v>
      </c>
    </row>
    <row r="787" spans="1:28" ht="24" x14ac:dyDescent="0.3">
      <c r="A787" s="2">
        <f>IF(Caja_Arequipa[[#This Row],[tipo_r]]="R",COUNTIFS($C$1:$C786,"R")+1,A786)</f>
        <v>624</v>
      </c>
      <c r="B787" s="19" t="str">
        <f t="shared" si="128"/>
        <v>C-Tesoreria</v>
      </c>
      <c r="C787" s="3" t="s">
        <v>1330</v>
      </c>
      <c r="D787" s="14">
        <v>45903</v>
      </c>
      <c r="E787" s="5" t="s">
        <v>1338</v>
      </c>
      <c r="F787" s="5" t="s">
        <v>1336</v>
      </c>
      <c r="G787" s="3" t="s">
        <v>4788</v>
      </c>
      <c r="H787" s="6" t="s">
        <v>967</v>
      </c>
      <c r="I787" s="164" t="s">
        <v>111</v>
      </c>
      <c r="J787" s="6">
        <v>3</v>
      </c>
      <c r="K787" s="6">
        <v>351</v>
      </c>
      <c r="L787" s="7" t="s">
        <v>6271</v>
      </c>
      <c r="M787" s="8" t="str">
        <f>IF(Caja_Arequipa[[#This Row],[tipo_r]]="R","001-"&amp;12002+A787,M786)</f>
        <v>001-12626</v>
      </c>
      <c r="N787" s="8" t="str">
        <f t="shared" si="129"/>
        <v>PEN</v>
      </c>
      <c r="O787" s="13"/>
      <c r="P787" s="13">
        <v>30</v>
      </c>
      <c r="Q787" s="3">
        <f t="shared" si="130"/>
        <v>0</v>
      </c>
      <c r="R787" s="3">
        <f t="shared" si="131"/>
        <v>30</v>
      </c>
      <c r="S787" s="3">
        <f t="shared" si="123"/>
        <v>115.09999999999877</v>
      </c>
      <c r="T787" s="24"/>
      <c r="U787" s="24" t="s">
        <v>1334</v>
      </c>
      <c r="V787" s="3"/>
      <c r="W787" s="25">
        <f>IFERROR(VLOOKUP(Caja_Arequipa[[#This Row],[destinatario]],CHOOSE({1,2},Clientes_Proveedores[Razon Social],Clientes_Proveedores[Ruc / Dni]),2,0),"")</f>
        <v>70517150</v>
      </c>
      <c r="X787" s="3"/>
      <c r="Y787" s="3"/>
      <c r="Z787" s="3"/>
      <c r="AA787" s="3"/>
      <c r="AB787" s="3" t="str">
        <f>IF(Caja_Arequipa[[#This Row],[fecha]]&gt;0,TEXT(Caja_Arequipa[[#This Row],[fecha]],"mmmm"),0)</f>
        <v>Setiembre</v>
      </c>
    </row>
    <row r="788" spans="1:28" ht="24" x14ac:dyDescent="0.3">
      <c r="A788" s="2">
        <f>IF(Caja_Arequipa[[#This Row],[tipo_r]]="R",COUNTIFS($C$1:$C787,"R")+1,A787)</f>
        <v>625</v>
      </c>
      <c r="B788" s="19" t="str">
        <f t="shared" si="128"/>
        <v>C-Tesoreria</v>
      </c>
      <c r="C788" s="3" t="s">
        <v>1330</v>
      </c>
      <c r="D788" s="14">
        <v>45903</v>
      </c>
      <c r="E788" s="5" t="s">
        <v>1338</v>
      </c>
      <c r="F788" s="5" t="s">
        <v>1336</v>
      </c>
      <c r="G788" s="3" t="s">
        <v>6246</v>
      </c>
      <c r="H788" s="6"/>
      <c r="I788" s="165"/>
      <c r="J788" s="6"/>
      <c r="K788" s="6"/>
      <c r="L788" s="7" t="s">
        <v>6272</v>
      </c>
      <c r="M788" s="8" t="str">
        <f>IF(Caja_Arequipa[[#This Row],[tipo_r]]="R","001-"&amp;12002+A788,M787)</f>
        <v>001-12627</v>
      </c>
      <c r="N788" s="8" t="str">
        <f t="shared" si="129"/>
        <v>PEN</v>
      </c>
      <c r="O788" s="13"/>
      <c r="P788" s="13">
        <v>137</v>
      </c>
      <c r="Q788" s="3">
        <f t="shared" si="130"/>
        <v>0</v>
      </c>
      <c r="R788" s="3">
        <f t="shared" si="131"/>
        <v>137</v>
      </c>
      <c r="S788" s="3">
        <f t="shared" si="123"/>
        <v>-21.900000000001228</v>
      </c>
      <c r="T788" s="24"/>
      <c r="U788" s="24" t="s">
        <v>1334</v>
      </c>
      <c r="V788" s="3"/>
      <c r="W788" s="25" t="str">
        <f>IFERROR(VLOOKUP(Caja_Arequipa[[#This Row],[destinatario]],CHOOSE({1,2},Clientes_Proveedores[Razon Social],Clientes_Proveedores[Ruc / Dni]),2,0),"")</f>
        <v/>
      </c>
      <c r="X788" s="3"/>
      <c r="Y788" s="3"/>
      <c r="Z788" s="3"/>
      <c r="AA788" s="3"/>
      <c r="AB788" s="3" t="str">
        <f>IF(Caja_Arequipa[[#This Row],[fecha]]&gt;0,TEXT(Caja_Arequipa[[#This Row],[fecha]],"mmmm"),0)</f>
        <v>Setiembre</v>
      </c>
    </row>
    <row r="789" spans="1:28" ht="36" x14ac:dyDescent="0.3">
      <c r="A789" s="2">
        <f>IF(Caja_Arequipa[[#This Row],[tipo_r]]="R",COUNTIFS($C$1:$C788,"R")+1,A788)</f>
        <v>625</v>
      </c>
      <c r="B789" s="19" t="str">
        <f t="shared" ref="B789:B799" si="132">"C-Tesoreria"</f>
        <v>C-Tesoreria</v>
      </c>
      <c r="C789" s="3" t="s">
        <v>1352</v>
      </c>
      <c r="D789" s="14">
        <v>45903</v>
      </c>
      <c r="E789" s="5" t="s">
        <v>1338</v>
      </c>
      <c r="F789" s="5"/>
      <c r="G789" s="3"/>
      <c r="H789" s="6" t="s">
        <v>1053</v>
      </c>
      <c r="I789" s="165" t="s">
        <v>68</v>
      </c>
      <c r="J789" s="6" t="s">
        <v>1376</v>
      </c>
      <c r="K789" s="6">
        <v>2231</v>
      </c>
      <c r="L789" s="7" t="s">
        <v>6273</v>
      </c>
      <c r="M789" s="8" t="str">
        <f>IF(Caja_Arequipa[[#This Row],[tipo_r]]="R","001-"&amp;12002+A789,M788)</f>
        <v>001-12627</v>
      </c>
      <c r="N789" s="8" t="str">
        <f t="shared" ref="N789:N799" si="133">"PEN"</f>
        <v>PEN</v>
      </c>
      <c r="O789" s="13">
        <v>119</v>
      </c>
      <c r="P789" s="13"/>
      <c r="Q789" s="3">
        <f t="shared" ref="Q789:Q799" si="134">+IF(OR($F789="SALDO",$F789="INGRESO"),$P789,0)</f>
        <v>0</v>
      </c>
      <c r="R789" s="3">
        <f t="shared" ref="R789:R799" si="135">+IF($F789="EGRESO",$P789,0)</f>
        <v>0</v>
      </c>
      <c r="S789" s="3">
        <f t="shared" si="123"/>
        <v>-21.900000000001228</v>
      </c>
      <c r="T789" s="24"/>
      <c r="U789" s="24" t="s">
        <v>1334</v>
      </c>
      <c r="V789" s="3"/>
      <c r="W789" s="25">
        <f>IFERROR(VLOOKUP(Caja_Arequipa[[#This Row],[destinatario]],CHOOSE({1,2},Clientes_Proveedores[Razon Social],Clientes_Proveedores[Ruc / Dni]),2,0),"")</f>
        <v>20600967291</v>
      </c>
      <c r="X789" s="3"/>
      <c r="Y789" s="3"/>
      <c r="Z789" s="3"/>
      <c r="AA789" s="3"/>
      <c r="AB789" s="3" t="str">
        <f>IF(Caja_Arequipa[[#This Row],[fecha]]&gt;0,TEXT(Caja_Arequipa[[#This Row],[fecha]],"mmmm"),0)</f>
        <v>Setiembre</v>
      </c>
    </row>
    <row r="790" spans="1:28" ht="24" x14ac:dyDescent="0.3">
      <c r="A790" s="2">
        <f>IF(Caja_Arequipa[[#This Row],[tipo_r]]="R",COUNTIFS($C$1:$C789,"R")+1,A789)</f>
        <v>625</v>
      </c>
      <c r="B790" s="19" t="str">
        <f t="shared" si="132"/>
        <v>C-Tesoreria</v>
      </c>
      <c r="C790" s="3" t="s">
        <v>1352</v>
      </c>
      <c r="D790" s="14">
        <v>45903</v>
      </c>
      <c r="E790" s="5" t="s">
        <v>1338</v>
      </c>
      <c r="F790" s="5"/>
      <c r="G790" s="3"/>
      <c r="H790" s="6" t="s">
        <v>1093</v>
      </c>
      <c r="I790" s="165" t="s">
        <v>111</v>
      </c>
      <c r="J790" s="6">
        <v>3</v>
      </c>
      <c r="K790" s="6">
        <v>328</v>
      </c>
      <c r="L790" s="7" t="s">
        <v>6273</v>
      </c>
      <c r="M790" s="8" t="str">
        <f>IF(Caja_Arequipa[[#This Row],[tipo_r]]="R","001-"&amp;12002+A790,M789)</f>
        <v>001-12627</v>
      </c>
      <c r="N790" s="8" t="str">
        <f t="shared" si="133"/>
        <v>PEN</v>
      </c>
      <c r="O790" s="13">
        <v>18</v>
      </c>
      <c r="P790" s="13"/>
      <c r="Q790" s="3">
        <f t="shared" si="134"/>
        <v>0</v>
      </c>
      <c r="R790" s="3">
        <f t="shared" si="135"/>
        <v>0</v>
      </c>
      <c r="S790" s="3">
        <f t="shared" si="123"/>
        <v>-21.900000000001228</v>
      </c>
      <c r="T790" s="24"/>
      <c r="U790" s="24" t="s">
        <v>1334</v>
      </c>
      <c r="V790" s="3"/>
      <c r="W790" s="25">
        <f>IFERROR(VLOOKUP(Caja_Arequipa[[#This Row],[destinatario]],CHOOSE({1,2},Clientes_Proveedores[Razon Social],Clientes_Proveedores[Ruc / Dni]),2,0),"")</f>
        <v>75846609</v>
      </c>
      <c r="X790" s="3"/>
      <c r="Y790" s="3"/>
      <c r="Z790" s="3"/>
      <c r="AA790" s="3"/>
      <c r="AB790" s="3" t="str">
        <f>IF(Caja_Arequipa[[#This Row],[fecha]]&gt;0,TEXT(Caja_Arequipa[[#This Row],[fecha]],"mmmm"),0)</f>
        <v>Setiembre</v>
      </c>
    </row>
    <row r="791" spans="1:28" x14ac:dyDescent="0.3">
      <c r="A791" s="2">
        <f>IF(Caja_Arequipa[[#This Row],[tipo_r]]="R",COUNTIFS($C$1:$C790,"R")+1,A790)</f>
        <v>626</v>
      </c>
      <c r="B791" s="19" t="str">
        <f t="shared" si="132"/>
        <v>C-Tesoreria</v>
      </c>
      <c r="C791" s="3" t="s">
        <v>1330</v>
      </c>
      <c r="D791" s="14">
        <v>45904</v>
      </c>
      <c r="E791" s="5" t="s">
        <v>1331</v>
      </c>
      <c r="F791" s="5" t="s">
        <v>1303</v>
      </c>
      <c r="G791" s="3" t="s">
        <v>3634</v>
      </c>
      <c r="H791" s="6"/>
      <c r="I791" s="166"/>
      <c r="J791" s="6"/>
      <c r="K791" s="6"/>
      <c r="L791" s="7" t="s">
        <v>5340</v>
      </c>
      <c r="M791" s="8" t="str">
        <f>IF(Caja_Arequipa[[#This Row],[tipo_r]]="R","001-"&amp;12002+A791,M790)</f>
        <v>001-12628</v>
      </c>
      <c r="N791" s="8" t="str">
        <f t="shared" si="133"/>
        <v>PEN</v>
      </c>
      <c r="O791" s="13"/>
      <c r="P791" s="13">
        <v>500</v>
      </c>
      <c r="Q791" s="3">
        <f t="shared" si="134"/>
        <v>500</v>
      </c>
      <c r="R791" s="3">
        <f t="shared" si="135"/>
        <v>0</v>
      </c>
      <c r="S791" s="3">
        <f t="shared" si="123"/>
        <v>478.09999999999877</v>
      </c>
      <c r="T791" s="24"/>
      <c r="U791" s="24"/>
      <c r="V791" s="3"/>
      <c r="W791" s="25" t="str">
        <f>IFERROR(VLOOKUP(Caja_Arequipa[[#This Row],[destinatario]],CHOOSE({1,2},Clientes_Proveedores[Razon Social],Clientes_Proveedores[Ruc / Dni]),2,0),"")</f>
        <v/>
      </c>
      <c r="X791" s="3"/>
      <c r="Y791" s="3"/>
      <c r="Z791" s="3"/>
      <c r="AA791" s="3"/>
      <c r="AB791" s="3" t="str">
        <f>IF(Caja_Arequipa[[#This Row],[fecha]]&gt;0,TEXT(Caja_Arequipa[[#This Row],[fecha]],"mmmm"),0)</f>
        <v>Setiembre</v>
      </c>
    </row>
    <row r="792" spans="1:28" x14ac:dyDescent="0.3">
      <c r="A792" s="2">
        <f>IF(Caja_Arequipa[[#This Row],[tipo_r]]="R",COUNTIFS($C$1:$C791,"R")+1,A791)</f>
        <v>627</v>
      </c>
      <c r="B792" s="19" t="str">
        <f t="shared" si="132"/>
        <v>C-Tesoreria</v>
      </c>
      <c r="C792" s="3" t="s">
        <v>1330</v>
      </c>
      <c r="D792" s="14">
        <v>45904</v>
      </c>
      <c r="E792" s="5" t="s">
        <v>1331</v>
      </c>
      <c r="F792" s="5" t="s">
        <v>1336</v>
      </c>
      <c r="G792" s="3" t="s">
        <v>5248</v>
      </c>
      <c r="H792" s="6"/>
      <c r="I792" s="165"/>
      <c r="J792" s="6"/>
      <c r="K792" s="6"/>
      <c r="L792" s="7" t="s">
        <v>6274</v>
      </c>
      <c r="M792" s="8" t="str">
        <f>IF(Caja_Arequipa[[#This Row],[tipo_r]]="R","001-"&amp;12002+A792,M791)</f>
        <v>001-12629</v>
      </c>
      <c r="N792" s="8" t="str">
        <f t="shared" si="133"/>
        <v>PEN</v>
      </c>
      <c r="O792" s="13"/>
      <c r="P792" s="13">
        <v>9</v>
      </c>
      <c r="Q792" s="3">
        <f t="shared" si="134"/>
        <v>0</v>
      </c>
      <c r="R792" s="3">
        <f t="shared" si="135"/>
        <v>9</v>
      </c>
      <c r="S792" s="3">
        <f t="shared" si="123"/>
        <v>469.09999999999877</v>
      </c>
      <c r="T792" s="24"/>
      <c r="U792" s="24" t="s">
        <v>1334</v>
      </c>
      <c r="V792" s="3"/>
      <c r="W792" s="25" t="str">
        <f>IFERROR(VLOOKUP(Caja_Arequipa[[#This Row],[destinatario]],CHOOSE({1,2},Clientes_Proveedores[Razon Social],Clientes_Proveedores[Ruc / Dni]),2,0),"")</f>
        <v/>
      </c>
      <c r="X792" s="3"/>
      <c r="Y792" s="3"/>
      <c r="Z792" s="3"/>
      <c r="AA792" s="3"/>
      <c r="AB792" s="3" t="str">
        <f>IF(Caja_Arequipa[[#This Row],[fecha]]&gt;0,TEXT(Caja_Arequipa[[#This Row],[fecha]],"mmmm"),0)</f>
        <v>Setiembre</v>
      </c>
    </row>
    <row r="793" spans="1:28" ht="24" x14ac:dyDescent="0.3">
      <c r="A793" s="2">
        <f>IF(Caja_Arequipa[[#This Row],[tipo_r]]="R",COUNTIFS($C$1:$C792,"R")+1,A792)</f>
        <v>627</v>
      </c>
      <c r="B793" s="19" t="str">
        <f>"C-Tesoreria"</f>
        <v>C-Tesoreria</v>
      </c>
      <c r="C793" s="3" t="s">
        <v>1352</v>
      </c>
      <c r="D793" s="14">
        <v>45904</v>
      </c>
      <c r="E793" s="5" t="s">
        <v>1331</v>
      </c>
      <c r="F793" s="5"/>
      <c r="G793" s="3"/>
      <c r="H793" s="6" t="s">
        <v>836</v>
      </c>
      <c r="I793" s="165" t="s">
        <v>111</v>
      </c>
      <c r="J793" s="6">
        <v>3</v>
      </c>
      <c r="K793" s="6">
        <v>334</v>
      </c>
      <c r="L793" s="7" t="s">
        <v>6274</v>
      </c>
      <c r="M793" s="8" t="str">
        <f>IF(Caja_Arequipa[[#This Row],[tipo_r]]="R","001-"&amp;12002+A793,M792)</f>
        <v>001-12629</v>
      </c>
      <c r="N793" s="8" t="str">
        <f>"PEN"</f>
        <v>PEN</v>
      </c>
      <c r="O793" s="13">
        <v>2</v>
      </c>
      <c r="P793" s="13"/>
      <c r="Q793" s="3">
        <f>+IF(OR($F793="SALDO",$F793="INGRESO"),$P793,0)</f>
        <v>0</v>
      </c>
      <c r="R793" s="3">
        <f>+IF($F793="EGRESO",$P793,0)</f>
        <v>0</v>
      </c>
      <c r="S793" s="3">
        <f t="shared" si="123"/>
        <v>469.09999999999877</v>
      </c>
      <c r="T793" s="24"/>
      <c r="U793" s="24" t="s">
        <v>1334</v>
      </c>
      <c r="V793" s="3"/>
      <c r="W793" s="25">
        <f>IFERROR(VLOOKUP(Caja_Arequipa[[#This Row],[destinatario]],CHOOSE({1,2},Clientes_Proveedores[Razon Social],Clientes_Proveedores[Ruc / Dni]),2,0),"")</f>
        <v>44468346</v>
      </c>
      <c r="X793" s="3"/>
      <c r="Y793" s="3"/>
      <c r="Z793" s="3"/>
      <c r="AA793" s="3"/>
      <c r="AB793" s="3" t="str">
        <f>IF(Caja_Arequipa[[#This Row],[fecha]]&gt;0,TEXT(Caja_Arequipa[[#This Row],[fecha]],"mmmm"),0)</f>
        <v>Setiembre</v>
      </c>
    </row>
    <row r="794" spans="1:28" ht="24" x14ac:dyDescent="0.3">
      <c r="A794" s="2">
        <f>IF(Caja_Arequipa[[#This Row],[tipo_r]]="R",COUNTIFS($C$1:$C793,"R")+1,A793)</f>
        <v>627</v>
      </c>
      <c r="B794" s="19" t="str">
        <f>"C-Tesoreria"</f>
        <v>C-Tesoreria</v>
      </c>
      <c r="C794" s="3" t="s">
        <v>1352</v>
      </c>
      <c r="D794" s="14">
        <v>45904</v>
      </c>
      <c r="E794" s="5" t="s">
        <v>1331</v>
      </c>
      <c r="F794" s="5"/>
      <c r="G794" s="3"/>
      <c r="H794" s="6" t="s">
        <v>1133</v>
      </c>
      <c r="I794" s="165" t="s">
        <v>75</v>
      </c>
      <c r="J794" s="6">
        <v>1</v>
      </c>
      <c r="K794" s="6">
        <v>932</v>
      </c>
      <c r="L794" s="7" t="s">
        <v>6274</v>
      </c>
      <c r="M794" s="8" t="str">
        <f>IF(Caja_Arequipa[[#This Row],[tipo_r]]="R","001-"&amp;12002+A794,M793)</f>
        <v>001-12629</v>
      </c>
      <c r="N794" s="8" t="str">
        <f>"PEN"</f>
        <v>PEN</v>
      </c>
      <c r="O794" s="13">
        <v>7</v>
      </c>
      <c r="P794" s="13"/>
      <c r="Q794" s="3">
        <f>+IF(OR($F794="SALDO",$F794="INGRESO"),$P794,0)</f>
        <v>0</v>
      </c>
      <c r="R794" s="3">
        <f>+IF($F794="EGRESO",$P794,0)</f>
        <v>0</v>
      </c>
      <c r="S794" s="3">
        <f t="shared" si="123"/>
        <v>469.09999999999877</v>
      </c>
      <c r="T794" s="24"/>
      <c r="U794" s="24" t="s">
        <v>1334</v>
      </c>
      <c r="V794" s="3"/>
      <c r="W794" s="25">
        <f>IFERROR(VLOOKUP(Caja_Arequipa[[#This Row],[destinatario]],CHOOSE({1,2},Clientes_Proveedores[Razon Social],Clientes_Proveedores[Ruc / Dni]),2,0),"")</f>
        <v>10749040918</v>
      </c>
      <c r="X794" s="3"/>
      <c r="Y794" s="3"/>
      <c r="Z794" s="3"/>
      <c r="AA794" s="3"/>
      <c r="AB794" s="3" t="str">
        <f>IF(Caja_Arequipa[[#This Row],[fecha]]&gt;0,TEXT(Caja_Arequipa[[#This Row],[fecha]],"mmmm"),0)</f>
        <v>Setiembre</v>
      </c>
    </row>
    <row r="795" spans="1:28" ht="24" x14ac:dyDescent="0.3">
      <c r="A795" s="2">
        <f>IF(Caja_Arequipa[[#This Row],[tipo_r]]="R",COUNTIFS($C$1:$C794,"R")+1,A794)</f>
        <v>628</v>
      </c>
      <c r="B795" s="19" t="str">
        <f t="shared" si="132"/>
        <v>C-Tesoreria</v>
      </c>
      <c r="C795" s="3" t="s">
        <v>1330</v>
      </c>
      <c r="D795" s="14">
        <v>45908</v>
      </c>
      <c r="E795" s="5" t="s">
        <v>1338</v>
      </c>
      <c r="F795" s="5" t="s">
        <v>1336</v>
      </c>
      <c r="G795" s="3" t="s">
        <v>4788</v>
      </c>
      <c r="H795" s="6" t="s">
        <v>967</v>
      </c>
      <c r="I795" s="164" t="s">
        <v>111</v>
      </c>
      <c r="J795" s="6">
        <v>3</v>
      </c>
      <c r="K795" s="6">
        <v>357</v>
      </c>
      <c r="L795" s="7" t="s">
        <v>6275</v>
      </c>
      <c r="M795" s="8" t="str">
        <f>IF(Caja_Arequipa[[#This Row],[tipo_r]]="R","001-"&amp;12002+A795,M794)</f>
        <v>001-12630</v>
      </c>
      <c r="N795" s="8" t="str">
        <f t="shared" si="133"/>
        <v>PEN</v>
      </c>
      <c r="O795" s="13"/>
      <c r="P795" s="13">
        <v>25</v>
      </c>
      <c r="Q795" s="3">
        <f t="shared" si="134"/>
        <v>0</v>
      </c>
      <c r="R795" s="3">
        <f t="shared" si="135"/>
        <v>25</v>
      </c>
      <c r="S795" s="3">
        <f t="shared" si="123"/>
        <v>444.09999999999877</v>
      </c>
      <c r="T795" s="24"/>
      <c r="U795" s="24" t="s">
        <v>1334</v>
      </c>
      <c r="V795" s="3"/>
      <c r="W795" s="25">
        <f>IFERROR(VLOOKUP(Caja_Arequipa[[#This Row],[destinatario]],CHOOSE({1,2},Clientes_Proveedores[Razon Social],Clientes_Proveedores[Ruc / Dni]),2,0),"")</f>
        <v>70517150</v>
      </c>
      <c r="X795" s="3"/>
      <c r="Y795" s="3"/>
      <c r="Z795" s="3"/>
      <c r="AA795" s="3"/>
      <c r="AB795" s="3" t="str">
        <f>IF(Caja_Arequipa[[#This Row],[fecha]]&gt;0,TEXT(Caja_Arequipa[[#This Row],[fecha]],"mmmm"),0)</f>
        <v>Setiembre</v>
      </c>
    </row>
    <row r="796" spans="1:28" ht="24" x14ac:dyDescent="0.3">
      <c r="A796" s="2">
        <f>IF(Caja_Arequipa[[#This Row],[tipo_r]]="R",COUNTIFS($C$1:$C795,"R")+1,A795)</f>
        <v>629</v>
      </c>
      <c r="B796" s="19" t="str">
        <f t="shared" si="132"/>
        <v>C-Tesoreria</v>
      </c>
      <c r="C796" s="3" t="s">
        <v>1330</v>
      </c>
      <c r="D796" s="14">
        <v>45908</v>
      </c>
      <c r="E796" s="5" t="s">
        <v>1338</v>
      </c>
      <c r="F796" s="5" t="s">
        <v>1336</v>
      </c>
      <c r="G796" s="3" t="s">
        <v>5450</v>
      </c>
      <c r="H796" s="6" t="s">
        <v>871</v>
      </c>
      <c r="I796" s="164" t="s">
        <v>111</v>
      </c>
      <c r="J796" s="6">
        <v>3</v>
      </c>
      <c r="K796" s="6">
        <v>327</v>
      </c>
      <c r="L796" s="7" t="s">
        <v>6276</v>
      </c>
      <c r="M796" s="8" t="str">
        <f>IF(Caja_Arequipa[[#This Row],[tipo_r]]="R","001-"&amp;12002+A796,M795)</f>
        <v>001-12631</v>
      </c>
      <c r="N796" s="8" t="str">
        <f t="shared" si="133"/>
        <v>PEN</v>
      </c>
      <c r="O796" s="13"/>
      <c r="P796" s="13">
        <v>12</v>
      </c>
      <c r="Q796" s="3">
        <f t="shared" si="134"/>
        <v>0</v>
      </c>
      <c r="R796" s="3">
        <f t="shared" si="135"/>
        <v>12</v>
      </c>
      <c r="S796" s="3">
        <f t="shared" si="123"/>
        <v>432.09999999999877</v>
      </c>
      <c r="T796" s="24"/>
      <c r="U796" s="24" t="s">
        <v>1334</v>
      </c>
      <c r="V796" s="3"/>
      <c r="W796" s="25">
        <f>IFERROR(VLOOKUP(Caja_Arequipa[[#This Row],[destinatario]],CHOOSE({1,2},Clientes_Proveedores[Razon Social],Clientes_Proveedores[Ruc / Dni]),2,0),"")</f>
        <v>72302392</v>
      </c>
      <c r="X796" s="3"/>
      <c r="Y796" s="3"/>
      <c r="Z796" s="3"/>
      <c r="AA796" s="3"/>
      <c r="AB796" s="3" t="str">
        <f>IF(Caja_Arequipa[[#This Row],[fecha]]&gt;0,TEXT(Caja_Arequipa[[#This Row],[fecha]],"mmmm"),0)</f>
        <v>Setiembre</v>
      </c>
    </row>
    <row r="797" spans="1:28" x14ac:dyDescent="0.3">
      <c r="A797" s="2">
        <f>IF(Caja_Arequipa[[#This Row],[tipo_r]]="R",COUNTIFS($C$1:$C796,"R")+1,A796)</f>
        <v>630</v>
      </c>
      <c r="B797" s="19" t="str">
        <f t="shared" si="132"/>
        <v>C-Tesoreria</v>
      </c>
      <c r="C797" s="3" t="s">
        <v>1330</v>
      </c>
      <c r="D797" s="14">
        <v>45909</v>
      </c>
      <c r="E797" s="5" t="s">
        <v>1338</v>
      </c>
      <c r="F797" s="5" t="s">
        <v>1336</v>
      </c>
      <c r="G797" s="3" t="s">
        <v>5280</v>
      </c>
      <c r="H797" s="6"/>
      <c r="I797" s="165"/>
      <c r="J797" s="6"/>
      <c r="K797" s="6"/>
      <c r="L797" s="7" t="s">
        <v>6055</v>
      </c>
      <c r="M797" s="8" t="str">
        <f>IF(Caja_Arequipa[[#This Row],[tipo_r]]="R","001-"&amp;12002+A797,M796)</f>
        <v>001-12632</v>
      </c>
      <c r="N797" s="8" t="str">
        <f t="shared" si="133"/>
        <v>PEN</v>
      </c>
      <c r="O797" s="13"/>
      <c r="P797" s="13">
        <v>192</v>
      </c>
      <c r="Q797" s="3">
        <f t="shared" si="134"/>
        <v>0</v>
      </c>
      <c r="R797" s="3">
        <f t="shared" si="135"/>
        <v>192</v>
      </c>
      <c r="S797" s="3">
        <f t="shared" si="123"/>
        <v>240.09999999999877</v>
      </c>
      <c r="T797" s="24"/>
      <c r="U797" s="24" t="s">
        <v>1334</v>
      </c>
      <c r="V797" s="3"/>
      <c r="W797" s="25" t="str">
        <f>IFERROR(VLOOKUP(Caja_Arequipa[[#This Row],[destinatario]],CHOOSE({1,2},Clientes_Proveedores[Razon Social],Clientes_Proveedores[Ruc / Dni]),2,0),"")</f>
        <v/>
      </c>
      <c r="X797" s="3"/>
      <c r="Y797" s="3"/>
      <c r="Z797" s="3"/>
      <c r="AA797" s="3"/>
      <c r="AB797" s="3" t="str">
        <f>IF(Caja_Arequipa[[#This Row],[fecha]]&gt;0,TEXT(Caja_Arequipa[[#This Row],[fecha]],"mmmm"),0)</f>
        <v>Setiembre</v>
      </c>
    </row>
    <row r="798" spans="1:28" ht="24" x14ac:dyDescent="0.3">
      <c r="A798" s="2">
        <f>IF(Caja_Arequipa[[#This Row],[tipo_r]]="R",COUNTIFS($C$1:$C797,"R")+1,A797)</f>
        <v>630</v>
      </c>
      <c r="B798" s="19" t="str">
        <f t="shared" si="132"/>
        <v>C-Tesoreria</v>
      </c>
      <c r="C798" s="3" t="s">
        <v>1352</v>
      </c>
      <c r="D798" s="14">
        <v>45909</v>
      </c>
      <c r="E798" s="5" t="s">
        <v>1338</v>
      </c>
      <c r="F798" s="5"/>
      <c r="G798" s="3"/>
      <c r="H798" s="6" t="s">
        <v>974</v>
      </c>
      <c r="I798" s="165" t="s">
        <v>68</v>
      </c>
      <c r="J798" s="6" t="s">
        <v>6104</v>
      </c>
      <c r="K798" s="6">
        <v>14349</v>
      </c>
      <c r="L798" s="7" t="s">
        <v>6055</v>
      </c>
      <c r="M798" s="8" t="str">
        <f>IF(Caja_Arequipa[[#This Row],[tipo_r]]="R","001-"&amp;12002+A798,M797)</f>
        <v>001-12632</v>
      </c>
      <c r="N798" s="8" t="str">
        <f t="shared" si="133"/>
        <v>PEN</v>
      </c>
      <c r="O798" s="13">
        <v>27</v>
      </c>
      <c r="P798" s="13"/>
      <c r="Q798" s="3">
        <f t="shared" si="134"/>
        <v>0</v>
      </c>
      <c r="R798" s="3">
        <f t="shared" si="135"/>
        <v>0</v>
      </c>
      <c r="S798" s="3">
        <f t="shared" si="123"/>
        <v>240.09999999999877</v>
      </c>
      <c r="T798" s="24"/>
      <c r="U798" s="24" t="s">
        <v>1334</v>
      </c>
      <c r="V798" s="3"/>
      <c r="W798" s="25">
        <f>IFERROR(VLOOKUP(Caja_Arequipa[[#This Row],[destinatario]],CHOOSE({1,2},Clientes_Proveedores[Razon Social],Clientes_Proveedores[Ruc / Dni]),2,0),"")</f>
        <v>20558053691</v>
      </c>
      <c r="X798" s="3"/>
      <c r="Y798" s="3"/>
      <c r="Z798" s="3"/>
      <c r="AA798" s="3"/>
      <c r="AB798" s="3" t="str">
        <f>IF(Caja_Arequipa[[#This Row],[fecha]]&gt;0,TEXT(Caja_Arequipa[[#This Row],[fecha]],"mmmm"),0)</f>
        <v>Setiembre</v>
      </c>
    </row>
    <row r="799" spans="1:28" ht="24" x14ac:dyDescent="0.3">
      <c r="A799" s="2">
        <f>IF(Caja_Arequipa[[#This Row],[tipo_r]]="R",COUNTIFS($C$1:$C798,"R")+1,A798)</f>
        <v>630</v>
      </c>
      <c r="B799" s="19" t="str">
        <f t="shared" si="132"/>
        <v>C-Tesoreria</v>
      </c>
      <c r="C799" s="3" t="s">
        <v>1352</v>
      </c>
      <c r="D799" s="14">
        <v>45909</v>
      </c>
      <c r="E799" s="5" t="s">
        <v>1338</v>
      </c>
      <c r="F799" s="5"/>
      <c r="G799" s="3"/>
      <c r="H799" s="6" t="s">
        <v>933</v>
      </c>
      <c r="I799" s="165" t="s">
        <v>111</v>
      </c>
      <c r="J799" s="6">
        <v>3</v>
      </c>
      <c r="K799" s="6">
        <v>329</v>
      </c>
      <c r="L799" s="7" t="s">
        <v>6055</v>
      </c>
      <c r="M799" s="8" t="str">
        <f>IF(Caja_Arequipa[[#This Row],[tipo_r]]="R","001-"&amp;12002+A799,M798)</f>
        <v>001-12632</v>
      </c>
      <c r="N799" s="8" t="str">
        <f t="shared" si="133"/>
        <v>PEN</v>
      </c>
      <c r="O799" s="13">
        <v>165</v>
      </c>
      <c r="P799" s="13"/>
      <c r="Q799" s="3">
        <f t="shared" si="134"/>
        <v>0</v>
      </c>
      <c r="R799" s="3">
        <f t="shared" si="135"/>
        <v>0</v>
      </c>
      <c r="S799" s="3">
        <f t="shared" si="123"/>
        <v>240.09999999999877</v>
      </c>
      <c r="T799" s="24"/>
      <c r="U799" s="24" t="s">
        <v>1334</v>
      </c>
      <c r="V799" s="3"/>
      <c r="W799" s="25">
        <f>IFERROR(VLOOKUP(Caja_Arequipa[[#This Row],[destinatario]],CHOOSE({1,2},Clientes_Proveedores[Razon Social],Clientes_Proveedores[Ruc / Dni]),2,0),"")</f>
        <v>73195103</v>
      </c>
      <c r="X799" s="3"/>
      <c r="Y799" s="3"/>
      <c r="Z799" s="3"/>
      <c r="AA799" s="3"/>
      <c r="AB799" s="3" t="str">
        <f>IF(Caja_Arequipa[[#This Row],[fecha]]&gt;0,TEXT(Caja_Arequipa[[#This Row],[fecha]],"mmmm"),0)</f>
        <v>Setiembre</v>
      </c>
    </row>
    <row r="800" spans="1:28" ht="24" x14ac:dyDescent="0.3">
      <c r="A800" s="2">
        <f>IF(Caja_Arequipa[[#This Row],[tipo_r]]="R",COUNTIFS($C$1:$C799,"R")+1,A799)</f>
        <v>631</v>
      </c>
      <c r="B800" s="19" t="str">
        <f t="shared" ref="B800:B808" si="136">"C-Tesoreria"</f>
        <v>C-Tesoreria</v>
      </c>
      <c r="C800" s="3" t="s">
        <v>1330</v>
      </c>
      <c r="D800" s="14">
        <v>45909</v>
      </c>
      <c r="E800" s="5" t="s">
        <v>1338</v>
      </c>
      <c r="F800" s="5" t="s">
        <v>1336</v>
      </c>
      <c r="G800" s="3" t="s">
        <v>5317</v>
      </c>
      <c r="H800" s="6" t="s">
        <v>790</v>
      </c>
      <c r="I800" s="164" t="s">
        <v>111</v>
      </c>
      <c r="J800" s="6">
        <v>3</v>
      </c>
      <c r="K800" s="6">
        <v>324</v>
      </c>
      <c r="L800" s="7" t="s">
        <v>6277</v>
      </c>
      <c r="M800" s="8" t="str">
        <f>IF(Caja_Arequipa[[#This Row],[tipo_r]]="R","001-"&amp;12002+A800,M799)</f>
        <v>001-12633</v>
      </c>
      <c r="N800" s="8" t="str">
        <f t="shared" ref="N800:N808" si="137">"PEN"</f>
        <v>PEN</v>
      </c>
      <c r="O800" s="13"/>
      <c r="P800" s="13">
        <v>15</v>
      </c>
      <c r="Q800" s="3">
        <f t="shared" ref="Q800:Q808" si="138">+IF(OR($F800="SALDO",$F800="INGRESO"),$P800,0)</f>
        <v>0</v>
      </c>
      <c r="R800" s="3">
        <f t="shared" ref="R800:R808" si="139">+IF($F800="EGRESO",$P800,0)</f>
        <v>15</v>
      </c>
      <c r="S800" s="3">
        <f t="shared" si="123"/>
        <v>225.09999999999877</v>
      </c>
      <c r="T800" s="24"/>
      <c r="U800" s="24" t="s">
        <v>1334</v>
      </c>
      <c r="V800" s="3"/>
      <c r="W800" s="25">
        <f>IFERROR(VLOOKUP(Caja_Arequipa[[#This Row],[destinatario]],CHOOSE({1,2},Clientes_Proveedores[Razon Social],Clientes_Proveedores[Ruc / Dni]),2,0),"")</f>
        <v>72169020</v>
      </c>
      <c r="X800" s="3"/>
      <c r="Y800" s="3"/>
      <c r="Z800" s="3"/>
      <c r="AA800" s="3"/>
      <c r="AB800" s="3" t="str">
        <f>IF(Caja_Arequipa[[#This Row],[fecha]]&gt;0,TEXT(Caja_Arequipa[[#This Row],[fecha]],"mmmm"),0)</f>
        <v>Setiembre</v>
      </c>
    </row>
    <row r="801" spans="1:28" ht="24" x14ac:dyDescent="0.3">
      <c r="A801" s="2">
        <f>IF(Caja_Arequipa[[#This Row],[tipo_r]]="R",COUNTIFS($C$1:$C800,"R")+1,A800)</f>
        <v>632</v>
      </c>
      <c r="B801" s="19" t="str">
        <f t="shared" si="136"/>
        <v>C-Tesoreria</v>
      </c>
      <c r="C801" s="3" t="s">
        <v>1330</v>
      </c>
      <c r="D801" s="14">
        <v>45909</v>
      </c>
      <c r="E801" s="5" t="s">
        <v>1338</v>
      </c>
      <c r="F801" s="5" t="s">
        <v>1336</v>
      </c>
      <c r="G801" s="3" t="s">
        <v>5317</v>
      </c>
      <c r="H801" s="6" t="s">
        <v>790</v>
      </c>
      <c r="I801" s="164" t="s">
        <v>111</v>
      </c>
      <c r="J801" s="6">
        <v>3</v>
      </c>
      <c r="K801" s="6">
        <v>333</v>
      </c>
      <c r="L801" s="7" t="s">
        <v>6278</v>
      </c>
      <c r="M801" s="8" t="str">
        <f>IF(Caja_Arequipa[[#This Row],[tipo_r]]="R","001-"&amp;12002+A801,M800)</f>
        <v>001-12634</v>
      </c>
      <c r="N801" s="8" t="str">
        <f t="shared" si="137"/>
        <v>PEN</v>
      </c>
      <c r="O801" s="13"/>
      <c r="P801" s="13">
        <v>21</v>
      </c>
      <c r="Q801" s="3">
        <f t="shared" si="138"/>
        <v>0</v>
      </c>
      <c r="R801" s="3">
        <f t="shared" si="139"/>
        <v>21</v>
      </c>
      <c r="S801" s="3">
        <f t="shared" si="123"/>
        <v>204.09999999999877</v>
      </c>
      <c r="T801" s="24"/>
      <c r="U801" s="24" t="s">
        <v>1334</v>
      </c>
      <c r="V801" s="3"/>
      <c r="W801" s="25">
        <f>IFERROR(VLOOKUP(Caja_Arequipa[[#This Row],[destinatario]],CHOOSE({1,2},Clientes_Proveedores[Razon Social],Clientes_Proveedores[Ruc / Dni]),2,0),"")</f>
        <v>72169020</v>
      </c>
      <c r="X801" s="3"/>
      <c r="Y801" s="3"/>
      <c r="Z801" s="3"/>
      <c r="AA801" s="3"/>
      <c r="AB801" s="3" t="str">
        <f>IF(Caja_Arequipa[[#This Row],[fecha]]&gt;0,TEXT(Caja_Arequipa[[#This Row],[fecha]],"mmmm"),0)</f>
        <v>Setiembre</v>
      </c>
    </row>
    <row r="802" spans="1:28" ht="24" x14ac:dyDescent="0.3">
      <c r="A802" s="2">
        <f>IF(Caja_Arequipa[[#This Row],[tipo_r]]="R",COUNTIFS($C$1:$C801,"R")+1,A801)</f>
        <v>633</v>
      </c>
      <c r="B802" s="19" t="str">
        <f t="shared" si="136"/>
        <v>C-Tesoreria</v>
      </c>
      <c r="C802" s="3" t="s">
        <v>1330</v>
      </c>
      <c r="D802" s="14">
        <v>45909</v>
      </c>
      <c r="E802" s="5" t="s">
        <v>1338</v>
      </c>
      <c r="F802" s="5" t="s">
        <v>1336</v>
      </c>
      <c r="G802" s="3" t="s">
        <v>5664</v>
      </c>
      <c r="H802" s="6" t="s">
        <v>986</v>
      </c>
      <c r="I802" s="165" t="s">
        <v>75</v>
      </c>
      <c r="J802" s="6">
        <v>1</v>
      </c>
      <c r="K802" s="6">
        <v>192</v>
      </c>
      <c r="L802" s="7" t="s">
        <v>6279</v>
      </c>
      <c r="M802" s="8" t="str">
        <f>IF(Caja_Arequipa[[#This Row],[tipo_r]]="R","001-"&amp;12002+A802,M801)</f>
        <v>001-12635</v>
      </c>
      <c r="N802" s="8" t="str">
        <f t="shared" si="137"/>
        <v>PEN</v>
      </c>
      <c r="O802" s="13"/>
      <c r="P802" s="13">
        <v>15</v>
      </c>
      <c r="Q802" s="3">
        <f t="shared" si="138"/>
        <v>0</v>
      </c>
      <c r="R802" s="3">
        <f t="shared" si="139"/>
        <v>15</v>
      </c>
      <c r="S802" s="3">
        <f t="shared" si="123"/>
        <v>189.09999999999877</v>
      </c>
      <c r="T802" s="24"/>
      <c r="U802" s="24" t="s">
        <v>1334</v>
      </c>
      <c r="V802" s="3"/>
      <c r="W802" s="25">
        <f>IFERROR(VLOOKUP(Caja_Arequipa[[#This Row],[destinatario]],CHOOSE({1,2},Clientes_Proveedores[Razon Social],Clientes_Proveedores[Ruc / Dni]),2,0),"")</f>
        <v>10309622885</v>
      </c>
      <c r="X802" s="3"/>
      <c r="Y802" s="3"/>
      <c r="Z802" s="3"/>
      <c r="AA802" s="3"/>
      <c r="AB802" s="3" t="str">
        <f>IF(Caja_Arequipa[[#This Row],[fecha]]&gt;0,TEXT(Caja_Arequipa[[#This Row],[fecha]],"mmmm"),0)</f>
        <v>Setiembre</v>
      </c>
    </row>
    <row r="803" spans="1:28" x14ac:dyDescent="0.3">
      <c r="A803" s="2">
        <f>IF(Caja_Arequipa[[#This Row],[tipo_r]]="R",COUNTIFS($C$1:$C802,"R")+1,A802)</f>
        <v>634</v>
      </c>
      <c r="B803" s="19" t="str">
        <f t="shared" si="136"/>
        <v>C-Tesoreria</v>
      </c>
      <c r="C803" s="3" t="s">
        <v>1330</v>
      </c>
      <c r="D803" s="14">
        <v>45909</v>
      </c>
      <c r="E803" s="5" t="s">
        <v>1331</v>
      </c>
      <c r="F803" s="5" t="s">
        <v>1303</v>
      </c>
      <c r="G803" s="3"/>
      <c r="H803" s="6"/>
      <c r="I803" s="166"/>
      <c r="J803" s="6"/>
      <c r="K803" s="6"/>
      <c r="L803" s="7" t="s">
        <v>6280</v>
      </c>
      <c r="M803" s="8" t="str">
        <f>IF(Caja_Arequipa[[#This Row],[tipo_r]]="R","001-"&amp;12002+A803,M802)</f>
        <v>001-12636</v>
      </c>
      <c r="N803" s="8" t="str">
        <f t="shared" si="137"/>
        <v>PEN</v>
      </c>
      <c r="O803" s="13"/>
      <c r="P803" s="13">
        <v>1300</v>
      </c>
      <c r="Q803" s="3">
        <f t="shared" si="138"/>
        <v>1300</v>
      </c>
      <c r="R803" s="3">
        <f t="shared" si="139"/>
        <v>0</v>
      </c>
      <c r="S803" s="3">
        <f t="shared" si="123"/>
        <v>1489.0999999999988</v>
      </c>
      <c r="T803" s="24"/>
      <c r="U803" s="24"/>
      <c r="V803" s="3"/>
      <c r="W803" s="25" t="str">
        <f>IFERROR(VLOOKUP(Caja_Arequipa[[#This Row],[destinatario]],CHOOSE({1,2},Clientes_Proveedores[Razon Social],Clientes_Proveedores[Ruc / Dni]),2,0),"")</f>
        <v/>
      </c>
      <c r="X803" s="3"/>
      <c r="Y803" s="3"/>
      <c r="Z803" s="3"/>
      <c r="AA803" s="3"/>
      <c r="AB803" s="3" t="str">
        <f>IF(Caja_Arequipa[[#This Row],[fecha]]&gt;0,TEXT(Caja_Arequipa[[#This Row],[fecha]],"mmmm"),0)</f>
        <v>Setiembre</v>
      </c>
    </row>
    <row r="804" spans="1:28" x14ac:dyDescent="0.3">
      <c r="A804" s="2">
        <f>IF(Caja_Arequipa[[#This Row],[tipo_r]]="R",COUNTIFS($C$1:$C803,"R")+1,A803)</f>
        <v>635</v>
      </c>
      <c r="B804" s="19" t="str">
        <f t="shared" si="136"/>
        <v>C-Tesoreria</v>
      </c>
      <c r="C804" s="3" t="s">
        <v>1330</v>
      </c>
      <c r="D804" s="14">
        <v>45909</v>
      </c>
      <c r="E804" s="5" t="s">
        <v>1331</v>
      </c>
      <c r="F804" s="5" t="s">
        <v>1336</v>
      </c>
      <c r="G804" s="3"/>
      <c r="H804" s="6"/>
      <c r="I804" s="166"/>
      <c r="J804" s="6"/>
      <c r="K804" s="6"/>
      <c r="L804" s="7" t="s">
        <v>6281</v>
      </c>
      <c r="M804" s="8" t="str">
        <f>IF(Caja_Arequipa[[#This Row],[tipo_r]]="R","001-"&amp;12002+A804,M803)</f>
        <v>001-12637</v>
      </c>
      <c r="N804" s="8" t="str">
        <f t="shared" si="137"/>
        <v>PEN</v>
      </c>
      <c r="O804" s="13"/>
      <c r="P804" s="13">
        <v>1300</v>
      </c>
      <c r="Q804" s="3">
        <f t="shared" si="138"/>
        <v>0</v>
      </c>
      <c r="R804" s="3">
        <f t="shared" si="139"/>
        <v>1300</v>
      </c>
      <c r="S804" s="3">
        <f t="shared" si="123"/>
        <v>189.09999999999877</v>
      </c>
      <c r="T804" s="24"/>
      <c r="U804" s="24"/>
      <c r="V804" s="3"/>
      <c r="W804" s="25" t="str">
        <f>IFERROR(VLOOKUP(Caja_Arequipa[[#This Row],[destinatario]],CHOOSE({1,2},Clientes_Proveedores[Razon Social],Clientes_Proveedores[Ruc / Dni]),2,0),"")</f>
        <v/>
      </c>
      <c r="X804" s="3"/>
      <c r="Y804" s="3"/>
      <c r="Z804" s="3"/>
      <c r="AA804" s="3"/>
      <c r="AB804" s="3" t="str">
        <f>IF(Caja_Arequipa[[#This Row],[fecha]]&gt;0,TEXT(Caja_Arequipa[[#This Row],[fecha]],"mmmm"),0)</f>
        <v>Setiembre</v>
      </c>
    </row>
    <row r="805" spans="1:28" x14ac:dyDescent="0.3">
      <c r="A805" s="2">
        <f>IF(Caja_Arequipa[[#This Row],[tipo_r]]="R",COUNTIFS($C$1:$C804,"R")+1,A804)</f>
        <v>636</v>
      </c>
      <c r="B805" s="19" t="str">
        <f t="shared" si="136"/>
        <v>C-Tesoreria</v>
      </c>
      <c r="C805" s="3" t="s">
        <v>1330</v>
      </c>
      <c r="D805" s="14">
        <v>45909</v>
      </c>
      <c r="E805" s="5" t="s">
        <v>1331</v>
      </c>
      <c r="F805" s="5" t="s">
        <v>1303</v>
      </c>
      <c r="G805" s="3"/>
      <c r="H805" s="6"/>
      <c r="I805" s="166"/>
      <c r="J805" s="6"/>
      <c r="K805" s="6"/>
      <c r="L805" s="7" t="s">
        <v>6280</v>
      </c>
      <c r="M805" s="8" t="str">
        <f>IF(Caja_Arequipa[[#This Row],[tipo_r]]="R","001-"&amp;12002+A805,M804)</f>
        <v>001-12638</v>
      </c>
      <c r="N805" s="8" t="str">
        <f t="shared" si="137"/>
        <v>PEN</v>
      </c>
      <c r="O805" s="13"/>
      <c r="P805" s="13">
        <v>2200</v>
      </c>
      <c r="Q805" s="3">
        <f t="shared" si="138"/>
        <v>2200</v>
      </c>
      <c r="R805" s="3">
        <f t="shared" si="139"/>
        <v>0</v>
      </c>
      <c r="S805" s="3">
        <f t="shared" si="123"/>
        <v>2389.0999999999985</v>
      </c>
      <c r="T805" s="24"/>
      <c r="U805" s="24"/>
      <c r="V805" s="3"/>
      <c r="W805" s="25" t="str">
        <f>IFERROR(VLOOKUP(Caja_Arequipa[[#This Row],[destinatario]],CHOOSE({1,2},Clientes_Proveedores[Razon Social],Clientes_Proveedores[Ruc / Dni]),2,0),"")</f>
        <v/>
      </c>
      <c r="X805" s="3"/>
      <c r="Y805" s="3"/>
      <c r="Z805" s="3"/>
      <c r="AA805" s="3"/>
      <c r="AB805" s="3" t="str">
        <f>IF(Caja_Arequipa[[#This Row],[fecha]]&gt;0,TEXT(Caja_Arequipa[[#This Row],[fecha]],"mmmm"),0)</f>
        <v>Setiembre</v>
      </c>
    </row>
    <row r="806" spans="1:28" x14ac:dyDescent="0.3">
      <c r="A806" s="2">
        <f>IF(Caja_Arequipa[[#This Row],[tipo_r]]="R",COUNTIFS($C$1:$C805,"R")+1,A805)</f>
        <v>637</v>
      </c>
      <c r="B806" s="19" t="str">
        <f t="shared" si="136"/>
        <v>C-Tesoreria</v>
      </c>
      <c r="C806" s="3" t="s">
        <v>1330</v>
      </c>
      <c r="D806" s="14">
        <v>45909</v>
      </c>
      <c r="E806" s="5" t="s">
        <v>1331</v>
      </c>
      <c r="F806" s="5" t="s">
        <v>1336</v>
      </c>
      <c r="G806" s="3"/>
      <c r="H806" s="6"/>
      <c r="I806" s="166"/>
      <c r="J806" s="6"/>
      <c r="K806" s="6"/>
      <c r="L806" s="7" t="s">
        <v>6281</v>
      </c>
      <c r="M806" s="8" t="str">
        <f>IF(Caja_Arequipa[[#This Row],[tipo_r]]="R","001-"&amp;12002+A806,M805)</f>
        <v>001-12639</v>
      </c>
      <c r="N806" s="8" t="str">
        <f t="shared" si="137"/>
        <v>PEN</v>
      </c>
      <c r="O806" s="13"/>
      <c r="P806" s="13">
        <v>2200</v>
      </c>
      <c r="Q806" s="3">
        <f t="shared" si="138"/>
        <v>0</v>
      </c>
      <c r="R806" s="3">
        <f t="shared" si="139"/>
        <v>2200</v>
      </c>
      <c r="S806" s="3">
        <f t="shared" si="123"/>
        <v>189.09999999999854</v>
      </c>
      <c r="T806" s="24"/>
      <c r="U806" s="24"/>
      <c r="V806" s="3"/>
      <c r="W806" s="25" t="str">
        <f>IFERROR(VLOOKUP(Caja_Arequipa[[#This Row],[destinatario]],CHOOSE({1,2},Clientes_Proveedores[Razon Social],Clientes_Proveedores[Ruc / Dni]),2,0),"")</f>
        <v/>
      </c>
      <c r="X806" s="3"/>
      <c r="Y806" s="3"/>
      <c r="Z806" s="3"/>
      <c r="AA806" s="3"/>
      <c r="AB806" s="3" t="str">
        <f>IF(Caja_Arequipa[[#This Row],[fecha]]&gt;0,TEXT(Caja_Arequipa[[#This Row],[fecha]],"mmmm"),0)</f>
        <v>Setiembre</v>
      </c>
    </row>
    <row r="807" spans="1:28" x14ac:dyDescent="0.3">
      <c r="A807" s="2">
        <f>IF(Caja_Arequipa[[#This Row],[tipo_r]]="R",COUNTIFS($C$1:$C806,"R")+1,A806)</f>
        <v>638</v>
      </c>
      <c r="B807" s="19" t="str">
        <f t="shared" si="136"/>
        <v>C-Tesoreria</v>
      </c>
      <c r="C807" s="3" t="s">
        <v>1330</v>
      </c>
      <c r="D807" s="14">
        <v>45909</v>
      </c>
      <c r="E807" s="5" t="s">
        <v>1331</v>
      </c>
      <c r="F807" s="5" t="s">
        <v>1303</v>
      </c>
      <c r="G807" s="3"/>
      <c r="H807" s="6"/>
      <c r="I807" s="166"/>
      <c r="J807" s="6"/>
      <c r="K807" s="6"/>
      <c r="L807" s="7" t="s">
        <v>6280</v>
      </c>
      <c r="M807" s="8" t="str">
        <f>IF(Caja_Arequipa[[#This Row],[tipo_r]]="R","001-"&amp;12002+A807,M806)</f>
        <v>001-12640</v>
      </c>
      <c r="N807" s="8" t="str">
        <f t="shared" si="137"/>
        <v>PEN</v>
      </c>
      <c r="O807" s="13"/>
      <c r="P807" s="13">
        <v>4500</v>
      </c>
      <c r="Q807" s="3">
        <f t="shared" si="138"/>
        <v>4500</v>
      </c>
      <c r="R807" s="3">
        <f t="shared" si="139"/>
        <v>0</v>
      </c>
      <c r="S807" s="3">
        <f t="shared" si="123"/>
        <v>4689.0999999999985</v>
      </c>
      <c r="T807" s="24"/>
      <c r="U807" s="24"/>
      <c r="V807" s="3"/>
      <c r="W807" s="25" t="str">
        <f>IFERROR(VLOOKUP(Caja_Arequipa[[#This Row],[destinatario]],CHOOSE({1,2},Clientes_Proveedores[Razon Social],Clientes_Proveedores[Ruc / Dni]),2,0),"")</f>
        <v/>
      </c>
      <c r="X807" s="3"/>
      <c r="Y807" s="3"/>
      <c r="Z807" s="3"/>
      <c r="AA807" s="3"/>
      <c r="AB807" s="3" t="str">
        <f>IF(Caja_Arequipa[[#This Row],[fecha]]&gt;0,TEXT(Caja_Arequipa[[#This Row],[fecha]],"mmmm"),0)</f>
        <v>Setiembre</v>
      </c>
    </row>
    <row r="808" spans="1:28" x14ac:dyDescent="0.3">
      <c r="A808" s="2">
        <f>IF(Caja_Arequipa[[#This Row],[tipo_r]]="R",COUNTIFS($C$1:$C807,"R")+1,A807)</f>
        <v>639</v>
      </c>
      <c r="B808" s="19" t="str">
        <f t="shared" si="136"/>
        <v>C-Tesoreria</v>
      </c>
      <c r="C808" s="3" t="s">
        <v>1330</v>
      </c>
      <c r="D808" s="14">
        <v>45909</v>
      </c>
      <c r="E808" s="5" t="s">
        <v>1331</v>
      </c>
      <c r="F808" s="5" t="s">
        <v>1336</v>
      </c>
      <c r="G808" s="3"/>
      <c r="H808" s="6"/>
      <c r="I808" s="166"/>
      <c r="J808" s="6"/>
      <c r="K808" s="6"/>
      <c r="L808" s="7" t="s">
        <v>6281</v>
      </c>
      <c r="M808" s="8" t="str">
        <f>IF(Caja_Arequipa[[#This Row],[tipo_r]]="R","001-"&amp;12002+A808,M807)</f>
        <v>001-12641</v>
      </c>
      <c r="N808" s="8" t="str">
        <f t="shared" si="137"/>
        <v>PEN</v>
      </c>
      <c r="O808" s="13"/>
      <c r="P808" s="13">
        <v>500</v>
      </c>
      <c r="Q808" s="3">
        <f t="shared" si="138"/>
        <v>0</v>
      </c>
      <c r="R808" s="3">
        <f t="shared" si="139"/>
        <v>500</v>
      </c>
      <c r="S808" s="3">
        <f t="shared" si="123"/>
        <v>4189.0999999999985</v>
      </c>
      <c r="T808" s="24"/>
      <c r="U808" s="24"/>
      <c r="V808" s="3"/>
      <c r="W808" s="25" t="str">
        <f>IFERROR(VLOOKUP(Caja_Arequipa[[#This Row],[destinatario]],CHOOSE({1,2},Clientes_Proveedores[Razon Social],Clientes_Proveedores[Ruc / Dni]),2,0),"")</f>
        <v/>
      </c>
      <c r="X808" s="3"/>
      <c r="Y808" s="3"/>
      <c r="Z808" s="3"/>
      <c r="AA808" s="3"/>
      <c r="AB808" s="3" t="str">
        <f>IF(Caja_Arequipa[[#This Row],[fecha]]&gt;0,TEXT(Caja_Arequipa[[#This Row],[fecha]],"mmmm"),0)</f>
        <v>Setiembre</v>
      </c>
    </row>
    <row r="809" spans="1:28" ht="24" x14ac:dyDescent="0.3">
      <c r="A809" s="2">
        <f>IF(Caja_Arequipa[[#This Row],[tipo_r]]="R",COUNTIFS($C$1:$C808,"R")+1,A808)</f>
        <v>640</v>
      </c>
      <c r="B809" s="19" t="str">
        <f t="shared" ref="B809:B814" si="140">"C-Tesoreria"</f>
        <v>C-Tesoreria</v>
      </c>
      <c r="C809" s="3" t="s">
        <v>1330</v>
      </c>
      <c r="D809" s="14">
        <v>45911</v>
      </c>
      <c r="E809" s="5" t="s">
        <v>1338</v>
      </c>
      <c r="F809" s="5" t="s">
        <v>1336</v>
      </c>
      <c r="G809" s="3" t="s">
        <v>4788</v>
      </c>
      <c r="H809" s="6" t="s">
        <v>967</v>
      </c>
      <c r="I809" s="164" t="s">
        <v>111</v>
      </c>
      <c r="J809" s="6">
        <v>3</v>
      </c>
      <c r="K809" s="6">
        <v>356</v>
      </c>
      <c r="L809" s="7" t="s">
        <v>6282</v>
      </c>
      <c r="M809" s="8" t="str">
        <f>IF(Caja_Arequipa[[#This Row],[tipo_r]]="R","001-"&amp;12002+A809,M808)</f>
        <v>001-12642</v>
      </c>
      <c r="N809" s="8" t="str">
        <f t="shared" ref="N809:N814" si="141">"PEN"</f>
        <v>PEN</v>
      </c>
      <c r="O809" s="13"/>
      <c r="P809" s="13">
        <v>74</v>
      </c>
      <c r="Q809" s="3">
        <f t="shared" ref="Q809:Q814" si="142">+IF(OR($F809="SALDO",$F809="INGRESO"),$P809,0)</f>
        <v>0</v>
      </c>
      <c r="R809" s="3">
        <f t="shared" ref="R809:R814" si="143">+IF($F809="EGRESO",$P809,0)</f>
        <v>74</v>
      </c>
      <c r="S809" s="3">
        <f t="shared" si="123"/>
        <v>4115.0999999999985</v>
      </c>
      <c r="T809" s="24"/>
      <c r="U809" s="24" t="s">
        <v>1334</v>
      </c>
      <c r="V809" s="3"/>
      <c r="W809" s="25">
        <f>IFERROR(VLOOKUP(Caja_Arequipa[[#This Row],[destinatario]],CHOOSE({1,2},Clientes_Proveedores[Razon Social],Clientes_Proveedores[Ruc / Dni]),2,0),"")</f>
        <v>70517150</v>
      </c>
      <c r="X809" s="3"/>
      <c r="Y809" s="3"/>
      <c r="Z809" s="3"/>
      <c r="AA809" s="3"/>
      <c r="AB809" s="3" t="str">
        <f>IF(Caja_Arequipa[[#This Row],[fecha]]&gt;0,TEXT(Caja_Arequipa[[#This Row],[fecha]],"mmmm"),0)</f>
        <v>Setiembre</v>
      </c>
    </row>
    <row r="810" spans="1:28" x14ac:dyDescent="0.3">
      <c r="A810" s="2">
        <f>IF(Caja_Arequipa[[#This Row],[tipo_r]]="R",COUNTIFS($C$1:$C809,"R")+1,A809)</f>
        <v>641</v>
      </c>
      <c r="B810" s="19" t="str">
        <f t="shared" si="140"/>
        <v>C-Tesoreria</v>
      </c>
      <c r="C810" s="3" t="s">
        <v>1330</v>
      </c>
      <c r="D810" s="14">
        <v>45911</v>
      </c>
      <c r="E810" s="5" t="s">
        <v>1338</v>
      </c>
      <c r="F810" s="5" t="s">
        <v>1336</v>
      </c>
      <c r="G810" s="3" t="s">
        <v>5248</v>
      </c>
      <c r="H810" s="6"/>
      <c r="I810" s="165"/>
      <c r="J810" s="6"/>
      <c r="K810" s="6"/>
      <c r="L810" s="7" t="s">
        <v>6055</v>
      </c>
      <c r="M810" s="8" t="str">
        <f>IF(Caja_Arequipa[[#This Row],[tipo_r]]="R","001-"&amp;12002+A810,M809)</f>
        <v>001-12643</v>
      </c>
      <c r="N810" s="8" t="str">
        <f t="shared" si="141"/>
        <v>PEN</v>
      </c>
      <c r="O810" s="13"/>
      <c r="P810" s="13">
        <v>10</v>
      </c>
      <c r="Q810" s="3">
        <f t="shared" si="142"/>
        <v>0</v>
      </c>
      <c r="R810" s="3">
        <f t="shared" si="143"/>
        <v>10</v>
      </c>
      <c r="S810" s="3">
        <f t="shared" si="123"/>
        <v>4105.0999999999985</v>
      </c>
      <c r="T810" s="24"/>
      <c r="U810" s="24" t="s">
        <v>1334</v>
      </c>
      <c r="V810" s="3"/>
      <c r="W810" s="25" t="str">
        <f>IFERROR(VLOOKUP(Caja_Arequipa[[#This Row],[destinatario]],CHOOSE({1,2},Clientes_Proveedores[Razon Social],Clientes_Proveedores[Ruc / Dni]),2,0),"")</f>
        <v/>
      </c>
      <c r="X810" s="3"/>
      <c r="Y810" s="3"/>
      <c r="Z810" s="3"/>
      <c r="AA810" s="3"/>
      <c r="AB810" s="3" t="str">
        <f>IF(Caja_Arequipa[[#This Row],[fecha]]&gt;0,TEXT(Caja_Arequipa[[#This Row],[fecha]],"mmmm"),0)</f>
        <v>Setiembre</v>
      </c>
    </row>
    <row r="811" spans="1:28" ht="24" x14ac:dyDescent="0.3">
      <c r="A811" s="2">
        <f>IF(Caja_Arequipa[[#This Row],[tipo_r]]="R",COUNTIFS($C$1:$C810,"R")+1,A810)</f>
        <v>641</v>
      </c>
      <c r="B811" s="19" t="str">
        <f t="shared" si="140"/>
        <v>C-Tesoreria</v>
      </c>
      <c r="C811" s="3" t="s">
        <v>1352</v>
      </c>
      <c r="D811" s="14">
        <v>45911</v>
      </c>
      <c r="E811" s="5" t="s">
        <v>1338</v>
      </c>
      <c r="F811" s="5"/>
      <c r="G811" s="3"/>
      <c r="H811" s="6" t="s">
        <v>1133</v>
      </c>
      <c r="I811" s="165" t="s">
        <v>75</v>
      </c>
      <c r="J811" s="6">
        <v>1</v>
      </c>
      <c r="K811" s="6">
        <v>923</v>
      </c>
      <c r="L811" s="7" t="s">
        <v>6055</v>
      </c>
      <c r="M811" s="8" t="str">
        <f>IF(Caja_Arequipa[[#This Row],[tipo_r]]="R","001-"&amp;12002+A811,M810)</f>
        <v>001-12643</v>
      </c>
      <c r="N811" s="8" t="str">
        <f t="shared" si="141"/>
        <v>PEN</v>
      </c>
      <c r="O811" s="13">
        <v>8</v>
      </c>
      <c r="P811" s="13"/>
      <c r="Q811" s="3">
        <f t="shared" si="142"/>
        <v>0</v>
      </c>
      <c r="R811" s="3">
        <f t="shared" si="143"/>
        <v>0</v>
      </c>
      <c r="S811" s="3">
        <f t="shared" si="123"/>
        <v>4105.0999999999985</v>
      </c>
      <c r="T811" s="24"/>
      <c r="U811" s="24" t="s">
        <v>1334</v>
      </c>
      <c r="V811" s="3"/>
      <c r="W811" s="25">
        <f>IFERROR(VLOOKUP(Caja_Arequipa[[#This Row],[destinatario]],CHOOSE({1,2},Clientes_Proveedores[Razon Social],Clientes_Proveedores[Ruc / Dni]),2,0),"")</f>
        <v>10749040918</v>
      </c>
      <c r="X811" s="3"/>
      <c r="Y811" s="3"/>
      <c r="Z811" s="3"/>
      <c r="AA811" s="3"/>
      <c r="AB811" s="3" t="str">
        <f>IF(Caja_Arequipa[[#This Row],[fecha]]&gt;0,TEXT(Caja_Arequipa[[#This Row],[fecha]],"mmmm"),0)</f>
        <v>Setiembre</v>
      </c>
    </row>
    <row r="812" spans="1:28" ht="24" x14ac:dyDescent="0.3">
      <c r="A812" s="2">
        <f>IF(Caja_Arequipa[[#This Row],[tipo_r]]="R",COUNTIFS($C$1:$C811,"R")+1,A811)</f>
        <v>641</v>
      </c>
      <c r="B812" s="19" t="str">
        <f t="shared" si="140"/>
        <v>C-Tesoreria</v>
      </c>
      <c r="C812" s="3" t="s">
        <v>1352</v>
      </c>
      <c r="D812" s="14">
        <v>45911</v>
      </c>
      <c r="E812" s="5" t="s">
        <v>1338</v>
      </c>
      <c r="F812" s="5"/>
      <c r="G812" s="3"/>
      <c r="H812" s="6" t="s">
        <v>836</v>
      </c>
      <c r="I812" s="165" t="s">
        <v>111</v>
      </c>
      <c r="J812" s="6">
        <v>3</v>
      </c>
      <c r="K812" s="6">
        <v>332</v>
      </c>
      <c r="L812" s="7" t="s">
        <v>6055</v>
      </c>
      <c r="M812" s="8" t="str">
        <f>IF(Caja_Arequipa[[#This Row],[tipo_r]]="R","001-"&amp;12002+A812,M811)</f>
        <v>001-12643</v>
      </c>
      <c r="N812" s="8" t="str">
        <f t="shared" si="141"/>
        <v>PEN</v>
      </c>
      <c r="O812" s="13">
        <v>2</v>
      </c>
      <c r="P812" s="13"/>
      <c r="Q812" s="3">
        <f t="shared" si="142"/>
        <v>0</v>
      </c>
      <c r="R812" s="3">
        <f t="shared" si="143"/>
        <v>0</v>
      </c>
      <c r="S812" s="3">
        <f t="shared" si="123"/>
        <v>4105.0999999999985</v>
      </c>
      <c r="T812" s="24"/>
      <c r="U812" s="24" t="s">
        <v>1334</v>
      </c>
      <c r="V812" s="3"/>
      <c r="W812" s="25">
        <f>IFERROR(VLOOKUP(Caja_Arequipa[[#This Row],[destinatario]],CHOOSE({1,2},Clientes_Proveedores[Razon Social],Clientes_Proveedores[Ruc / Dni]),2,0),"")</f>
        <v>44468346</v>
      </c>
      <c r="X812" s="3"/>
      <c r="Y812" s="3"/>
      <c r="Z812" s="3"/>
      <c r="AA812" s="3"/>
      <c r="AB812" s="3" t="str">
        <f>IF(Caja_Arequipa[[#This Row],[fecha]]&gt;0,TEXT(Caja_Arequipa[[#This Row],[fecha]],"mmmm"),0)</f>
        <v>Setiembre</v>
      </c>
    </row>
    <row r="813" spans="1:28" ht="24" x14ac:dyDescent="0.3">
      <c r="A813" s="2">
        <f>IF(Caja_Arequipa[[#This Row],[tipo_r]]="R",COUNTIFS($C$1:$C812,"R")+1,A812)</f>
        <v>642</v>
      </c>
      <c r="B813" s="19" t="str">
        <f t="shared" si="140"/>
        <v>C-Tesoreria</v>
      </c>
      <c r="C813" s="3" t="s">
        <v>1330</v>
      </c>
      <c r="D813" s="14">
        <v>45912</v>
      </c>
      <c r="E813" s="5" t="s">
        <v>1338</v>
      </c>
      <c r="F813" s="5" t="s">
        <v>1336</v>
      </c>
      <c r="G813" s="3" t="s">
        <v>6283</v>
      </c>
      <c r="H813" s="6" t="s">
        <v>850</v>
      </c>
      <c r="I813" s="164" t="s">
        <v>111</v>
      </c>
      <c r="J813" s="6">
        <v>3</v>
      </c>
      <c r="K813" s="6">
        <v>335</v>
      </c>
      <c r="L813" s="7" t="s">
        <v>6284</v>
      </c>
      <c r="M813" s="8" t="str">
        <f>IF(Caja_Arequipa[[#This Row],[tipo_r]]="R","001-"&amp;12002+A813,M812)</f>
        <v>001-12644</v>
      </c>
      <c r="N813" s="8" t="str">
        <f t="shared" si="141"/>
        <v>PEN</v>
      </c>
      <c r="O813" s="13"/>
      <c r="P813" s="13">
        <v>26</v>
      </c>
      <c r="Q813" s="3">
        <f t="shared" si="142"/>
        <v>0</v>
      </c>
      <c r="R813" s="3">
        <f t="shared" si="143"/>
        <v>26</v>
      </c>
      <c r="S813" s="3">
        <f t="shared" si="123"/>
        <v>4079.0999999999985</v>
      </c>
      <c r="T813" s="24"/>
      <c r="U813" s="24" t="s">
        <v>1334</v>
      </c>
      <c r="V813" s="3"/>
      <c r="W813" s="25">
        <f>IFERROR(VLOOKUP(Caja_Arequipa[[#This Row],[destinatario]],CHOOSE({1,2},Clientes_Proveedores[Razon Social],Clientes_Proveedores[Ruc / Dni]),2,0),"")</f>
        <v>73649810</v>
      </c>
      <c r="X813" s="3"/>
      <c r="Y813" s="3"/>
      <c r="Z813" s="3"/>
      <c r="AA813" s="3"/>
      <c r="AB813" s="3" t="str">
        <f>IF(Caja_Arequipa[[#This Row],[fecha]]&gt;0,TEXT(Caja_Arequipa[[#This Row],[fecha]],"mmmm"),0)</f>
        <v>Setiembre</v>
      </c>
    </row>
    <row r="814" spans="1:28" ht="36" x14ac:dyDescent="0.3">
      <c r="A814" s="2">
        <f>IF(Caja_Arequipa[[#This Row],[tipo_r]]="R",COUNTIFS($C$1:$C813,"R")+1,A813)</f>
        <v>643</v>
      </c>
      <c r="B814" s="19" t="str">
        <f t="shared" si="140"/>
        <v>C-Tesoreria</v>
      </c>
      <c r="C814" s="3" t="s">
        <v>1330</v>
      </c>
      <c r="D814" s="14">
        <v>45912</v>
      </c>
      <c r="E814" s="5" t="s">
        <v>1338</v>
      </c>
      <c r="F814" s="5" t="s">
        <v>1336</v>
      </c>
      <c r="G814" s="3" t="s">
        <v>6285</v>
      </c>
      <c r="H814" s="6" t="s">
        <v>971</v>
      </c>
      <c r="I814" s="165" t="s">
        <v>68</v>
      </c>
      <c r="J814" s="6" t="s">
        <v>1376</v>
      </c>
      <c r="K814" s="6">
        <v>191</v>
      </c>
      <c r="L814" s="7" t="s">
        <v>6286</v>
      </c>
      <c r="M814" s="8" t="str">
        <f>IF(Caja_Arequipa[[#This Row],[tipo_r]]="R","001-"&amp;12002+A814,M813)</f>
        <v>001-12645</v>
      </c>
      <c r="N814" s="8" t="str">
        <f t="shared" si="141"/>
        <v>PEN</v>
      </c>
      <c r="O814" s="13"/>
      <c r="P814" s="13">
        <v>35</v>
      </c>
      <c r="Q814" s="3">
        <f t="shared" si="142"/>
        <v>0</v>
      </c>
      <c r="R814" s="3">
        <f t="shared" si="143"/>
        <v>35</v>
      </c>
      <c r="S814" s="3">
        <f t="shared" si="123"/>
        <v>4044.0999999999985</v>
      </c>
      <c r="T814" s="24"/>
      <c r="U814" s="24" t="s">
        <v>1334</v>
      </c>
      <c r="V814" s="3"/>
      <c r="W814" s="25">
        <f>IFERROR(VLOOKUP(Caja_Arequipa[[#This Row],[destinatario]],CHOOSE({1,2},Clientes_Proveedores[Razon Social],Clientes_Proveedores[Ruc / Dni]),2,0),"")</f>
        <v>20614269309</v>
      </c>
      <c r="X814" s="3"/>
      <c r="Y814" s="3"/>
      <c r="Z814" s="3"/>
      <c r="AA814" s="3"/>
      <c r="AB814" s="3" t="str">
        <f>IF(Caja_Arequipa[[#This Row],[fecha]]&gt;0,TEXT(Caja_Arequipa[[#This Row],[fecha]],"mmmm"),0)</f>
        <v>Setiembre</v>
      </c>
    </row>
    <row r="815" spans="1:28" ht="24" x14ac:dyDescent="0.3">
      <c r="A815" s="2">
        <f>IF(Caja_Arequipa[[#This Row],[tipo_r]]="R",COUNTIFS($C$1:$C814,"R")+1,A814)</f>
        <v>644</v>
      </c>
      <c r="B815" s="19" t="str">
        <f t="shared" ref="B815:B823" si="144">"C-Tesoreria"</f>
        <v>C-Tesoreria</v>
      </c>
      <c r="C815" s="3" t="s">
        <v>1330</v>
      </c>
      <c r="D815" s="14">
        <v>45912</v>
      </c>
      <c r="E815" s="5" t="s">
        <v>1338</v>
      </c>
      <c r="F815" s="5" t="s">
        <v>1336</v>
      </c>
      <c r="G815" s="3" t="s">
        <v>5280</v>
      </c>
      <c r="H815" s="6" t="s">
        <v>933</v>
      </c>
      <c r="I815" s="164" t="s">
        <v>111</v>
      </c>
      <c r="J815" s="6">
        <v>3</v>
      </c>
      <c r="K815" s="6">
        <v>337</v>
      </c>
      <c r="L815" s="7" t="s">
        <v>6287</v>
      </c>
      <c r="M815" s="8" t="str">
        <f>IF(Caja_Arequipa[[#This Row],[tipo_r]]="R","001-"&amp;12002+A815,M814)</f>
        <v>001-12646</v>
      </c>
      <c r="N815" s="8" t="str">
        <f t="shared" ref="N815:N823" si="145">"PEN"</f>
        <v>PEN</v>
      </c>
      <c r="O815" s="13"/>
      <c r="P815" s="13">
        <v>25</v>
      </c>
      <c r="Q815" s="3">
        <f t="shared" ref="Q815:Q823" si="146">+IF(OR($F815="SALDO",$F815="INGRESO"),$P815,0)</f>
        <v>0</v>
      </c>
      <c r="R815" s="3">
        <f t="shared" ref="R815:R823" si="147">+IF($F815="EGRESO",$P815,0)</f>
        <v>25</v>
      </c>
      <c r="S815" s="3">
        <f t="shared" si="123"/>
        <v>4019.0999999999985</v>
      </c>
      <c r="T815" s="24"/>
      <c r="U815" s="24" t="s">
        <v>1334</v>
      </c>
      <c r="V815" s="3"/>
      <c r="W815" s="25">
        <f>IFERROR(VLOOKUP(Caja_Arequipa[[#This Row],[destinatario]],CHOOSE({1,2},Clientes_Proveedores[Razon Social],Clientes_Proveedores[Ruc / Dni]),2,0),"")</f>
        <v>73195103</v>
      </c>
      <c r="X815" s="3"/>
      <c r="Y815" s="3"/>
      <c r="Z815" s="3"/>
      <c r="AA815" s="3"/>
      <c r="AB815" s="3" t="str">
        <f>IF(Caja_Arequipa[[#This Row],[fecha]]&gt;0,TEXT(Caja_Arequipa[[#This Row],[fecha]],"mmmm"),0)</f>
        <v>Setiembre</v>
      </c>
    </row>
    <row r="816" spans="1:28" ht="24" x14ac:dyDescent="0.3">
      <c r="A816" s="2">
        <f>IF(Caja_Arequipa[[#This Row],[tipo_r]]="R",COUNTIFS($C$1:$C815,"R")+1,A815)</f>
        <v>645</v>
      </c>
      <c r="B816" s="19" t="str">
        <f t="shared" si="144"/>
        <v>C-Tesoreria</v>
      </c>
      <c r="C816" s="3" t="s">
        <v>1330</v>
      </c>
      <c r="D816" s="14">
        <v>45915</v>
      </c>
      <c r="E816" s="5" t="s">
        <v>1338</v>
      </c>
      <c r="F816" s="5" t="s">
        <v>1336</v>
      </c>
      <c r="G816" s="3" t="s">
        <v>3634</v>
      </c>
      <c r="H816" s="6" t="s">
        <v>895</v>
      </c>
      <c r="I816" s="164" t="s">
        <v>111</v>
      </c>
      <c r="J816" s="6">
        <v>3</v>
      </c>
      <c r="K816" s="6">
        <v>331</v>
      </c>
      <c r="L816" s="7" t="s">
        <v>6288</v>
      </c>
      <c r="M816" s="8" t="str">
        <f>IF(Caja_Arequipa[[#This Row],[tipo_r]]="R","001-"&amp;12002+A816,M815)</f>
        <v>001-12647</v>
      </c>
      <c r="N816" s="8" t="str">
        <f t="shared" si="145"/>
        <v>PEN</v>
      </c>
      <c r="O816" s="13"/>
      <c r="P816" s="13">
        <v>15</v>
      </c>
      <c r="Q816" s="3">
        <f t="shared" si="146"/>
        <v>0</v>
      </c>
      <c r="R816" s="3">
        <f t="shared" si="147"/>
        <v>15</v>
      </c>
      <c r="S816" s="3">
        <f t="shared" si="123"/>
        <v>4004.0999999999985</v>
      </c>
      <c r="T816" s="24"/>
      <c r="U816" s="24" t="s">
        <v>1334</v>
      </c>
      <c r="V816" s="3"/>
      <c r="W816" s="25">
        <f>IFERROR(VLOOKUP(Caja_Arequipa[[#This Row],[destinatario]],CHOOSE({1,2},Clientes_Proveedores[Razon Social],Clientes_Proveedores[Ruc / Dni]),2,0),"")</f>
        <v>72144092</v>
      </c>
      <c r="X816" s="3"/>
      <c r="Y816" s="3"/>
      <c r="Z816" s="3"/>
      <c r="AA816" s="3"/>
      <c r="AB816" s="3" t="str">
        <f>IF(Caja_Arequipa[[#This Row],[fecha]]&gt;0,TEXT(Caja_Arequipa[[#This Row],[fecha]],"mmmm"),0)</f>
        <v>Setiembre</v>
      </c>
    </row>
    <row r="817" spans="1:28" ht="24" x14ac:dyDescent="0.3">
      <c r="A817" s="2">
        <f>IF(Caja_Arequipa[[#This Row],[tipo_r]]="R",COUNTIFS($C$1:$C816,"R")+1,A816)</f>
        <v>646</v>
      </c>
      <c r="B817" s="19" t="str">
        <f t="shared" si="144"/>
        <v>C-Tesoreria</v>
      </c>
      <c r="C817" s="3" t="s">
        <v>1330</v>
      </c>
      <c r="D817" s="14">
        <v>45916</v>
      </c>
      <c r="E817" s="5" t="s">
        <v>1338</v>
      </c>
      <c r="F817" s="5" t="s">
        <v>1336</v>
      </c>
      <c r="G817" s="3" t="s">
        <v>6246</v>
      </c>
      <c r="H817" s="6" t="s">
        <v>1093</v>
      </c>
      <c r="I817" s="165"/>
      <c r="J817" s="6"/>
      <c r="K817" s="6"/>
      <c r="L817" s="7" t="s">
        <v>6055</v>
      </c>
      <c r="M817" s="8" t="str">
        <f>IF(Caja_Arequipa[[#This Row],[tipo_r]]="R","001-"&amp;12002+A817,M816)</f>
        <v>001-12648</v>
      </c>
      <c r="N817" s="8" t="str">
        <f t="shared" si="145"/>
        <v>PEN</v>
      </c>
      <c r="O817" s="13"/>
      <c r="P817" s="13">
        <v>17</v>
      </c>
      <c r="Q817" s="3">
        <f t="shared" si="146"/>
        <v>0</v>
      </c>
      <c r="R817" s="3">
        <f t="shared" si="147"/>
        <v>17</v>
      </c>
      <c r="S817" s="3">
        <f t="shared" si="123"/>
        <v>3987.0999999999985</v>
      </c>
      <c r="T817" s="24"/>
      <c r="U817" s="24" t="s">
        <v>1334</v>
      </c>
      <c r="V817" s="3"/>
      <c r="W817" s="25">
        <f>IFERROR(VLOOKUP(Caja_Arequipa[[#This Row],[destinatario]],CHOOSE({1,2},Clientes_Proveedores[Razon Social],Clientes_Proveedores[Ruc / Dni]),2,0),"")</f>
        <v>75846609</v>
      </c>
      <c r="X817" s="3"/>
      <c r="Y817" s="3"/>
      <c r="Z817" s="3"/>
      <c r="AA817" s="3"/>
      <c r="AB817" s="3" t="str">
        <f>IF(Caja_Arequipa[[#This Row],[fecha]]&gt;0,TEXT(Caja_Arequipa[[#This Row],[fecha]],"mmmm"),0)</f>
        <v>Setiembre</v>
      </c>
    </row>
    <row r="818" spans="1:28" ht="24" x14ac:dyDescent="0.3">
      <c r="A818" s="2">
        <f>IF(Caja_Arequipa[[#This Row],[tipo_r]]="R",COUNTIFS($C$1:$C817,"R")+1,A817)</f>
        <v>646</v>
      </c>
      <c r="B818" s="19" t="str">
        <f t="shared" si="144"/>
        <v>C-Tesoreria</v>
      </c>
      <c r="C818" s="3" t="s">
        <v>1352</v>
      </c>
      <c r="D818" s="14">
        <v>45916</v>
      </c>
      <c r="E818" s="5" t="s">
        <v>1338</v>
      </c>
      <c r="F818" s="5"/>
      <c r="G818" s="3"/>
      <c r="H818" s="6" t="s">
        <v>1093</v>
      </c>
      <c r="I818" s="165" t="s">
        <v>111</v>
      </c>
      <c r="J818" s="6">
        <v>3</v>
      </c>
      <c r="K818" s="6">
        <v>336</v>
      </c>
      <c r="L818" s="7" t="s">
        <v>6055</v>
      </c>
      <c r="M818" s="8" t="str">
        <f>IF(Caja_Arequipa[[#This Row],[tipo_r]]="R","001-"&amp;12002+A818,M817)</f>
        <v>001-12648</v>
      </c>
      <c r="N818" s="8" t="str">
        <f t="shared" si="145"/>
        <v>PEN</v>
      </c>
      <c r="O818" s="13">
        <v>12</v>
      </c>
      <c r="P818" s="13"/>
      <c r="Q818" s="3">
        <f t="shared" si="146"/>
        <v>0</v>
      </c>
      <c r="R818" s="3">
        <f t="shared" si="147"/>
        <v>0</v>
      </c>
      <c r="S818" s="3">
        <f t="shared" si="123"/>
        <v>3987.0999999999985</v>
      </c>
      <c r="T818" s="24"/>
      <c r="U818" s="24" t="s">
        <v>1334</v>
      </c>
      <c r="V818" s="3"/>
      <c r="W818" s="25">
        <f>IFERROR(VLOOKUP(Caja_Arequipa[[#This Row],[destinatario]],CHOOSE({1,2},Clientes_Proveedores[Razon Social],Clientes_Proveedores[Ruc / Dni]),2,0),"")</f>
        <v>75846609</v>
      </c>
      <c r="X818" s="3"/>
      <c r="Y818" s="3"/>
      <c r="Z818" s="3"/>
      <c r="AA818" s="3"/>
      <c r="AB818" s="3" t="str">
        <f>IF(Caja_Arequipa[[#This Row],[fecha]]&gt;0,TEXT(Caja_Arequipa[[#This Row],[fecha]],"mmmm"),0)</f>
        <v>Setiembre</v>
      </c>
    </row>
    <row r="819" spans="1:28" ht="24" x14ac:dyDescent="0.3">
      <c r="A819" s="2">
        <f>IF(Caja_Arequipa[[#This Row],[tipo_r]]="R",COUNTIFS($C$1:$C818,"R")+1,A818)</f>
        <v>646</v>
      </c>
      <c r="B819" s="19" t="str">
        <f t="shared" si="144"/>
        <v>C-Tesoreria</v>
      </c>
      <c r="C819" s="3" t="s">
        <v>1352</v>
      </c>
      <c r="D819" s="14">
        <v>45916</v>
      </c>
      <c r="E819" s="5" t="s">
        <v>1338</v>
      </c>
      <c r="F819" s="5"/>
      <c r="G819" s="3"/>
      <c r="H819" s="6" t="s">
        <v>986</v>
      </c>
      <c r="I819" s="165" t="s">
        <v>75</v>
      </c>
      <c r="J819" s="6">
        <v>1</v>
      </c>
      <c r="K819" s="6">
        <v>194</v>
      </c>
      <c r="L819" s="7" t="s">
        <v>6055</v>
      </c>
      <c r="M819" s="8" t="str">
        <f>IF(Caja_Arequipa[[#This Row],[tipo_r]]="R","001-"&amp;12002+A819,M818)</f>
        <v>001-12648</v>
      </c>
      <c r="N819" s="8" t="str">
        <f t="shared" si="145"/>
        <v>PEN</v>
      </c>
      <c r="O819" s="13">
        <v>5</v>
      </c>
      <c r="P819" s="13"/>
      <c r="Q819" s="3">
        <f t="shared" si="146"/>
        <v>0</v>
      </c>
      <c r="R819" s="3">
        <f t="shared" si="147"/>
        <v>0</v>
      </c>
      <c r="S819" s="3">
        <f t="shared" si="123"/>
        <v>3987.0999999999985</v>
      </c>
      <c r="T819" s="24"/>
      <c r="U819" s="24" t="s">
        <v>1334</v>
      </c>
      <c r="V819" s="3"/>
      <c r="W819" s="25">
        <f>IFERROR(VLOOKUP(Caja_Arequipa[[#This Row],[destinatario]],CHOOSE({1,2},Clientes_Proveedores[Razon Social],Clientes_Proveedores[Ruc / Dni]),2,0),"")</f>
        <v>10309622885</v>
      </c>
      <c r="X819" s="3"/>
      <c r="Y819" s="3"/>
      <c r="Z819" s="3"/>
      <c r="AA819" s="3"/>
      <c r="AB819" s="3" t="str">
        <f>IF(Caja_Arequipa[[#This Row],[fecha]]&gt;0,TEXT(Caja_Arequipa[[#This Row],[fecha]],"mmmm"),0)</f>
        <v>Setiembre</v>
      </c>
    </row>
    <row r="820" spans="1:28" x14ac:dyDescent="0.3">
      <c r="A820" s="2">
        <f>IF(Caja_Arequipa[[#This Row],[tipo_r]]="R",COUNTIFS($C$1:$C819,"R")+1,A819)</f>
        <v>647</v>
      </c>
      <c r="B820" s="19" t="str">
        <f t="shared" si="144"/>
        <v>C-Tesoreria</v>
      </c>
      <c r="C820" s="3" t="s">
        <v>1330</v>
      </c>
      <c r="D820" s="14">
        <v>45916</v>
      </c>
      <c r="E820" s="5" t="s">
        <v>1338</v>
      </c>
      <c r="F820" s="5" t="s">
        <v>1336</v>
      </c>
      <c r="G820" s="3" t="s">
        <v>5303</v>
      </c>
      <c r="H820" s="6"/>
      <c r="I820" s="165"/>
      <c r="J820" s="6"/>
      <c r="K820" s="6"/>
      <c r="L820" s="7" t="s">
        <v>6055</v>
      </c>
      <c r="M820" s="8" t="str">
        <f>IF(Caja_Arequipa[[#This Row],[tipo_r]]="R","001-"&amp;12002+A820,M819)</f>
        <v>001-12649</v>
      </c>
      <c r="N820" s="8" t="str">
        <f t="shared" si="145"/>
        <v>PEN</v>
      </c>
      <c r="O820" s="13"/>
      <c r="P820" s="13">
        <v>25</v>
      </c>
      <c r="Q820" s="3">
        <f t="shared" si="146"/>
        <v>0</v>
      </c>
      <c r="R820" s="3">
        <f t="shared" si="147"/>
        <v>25</v>
      </c>
      <c r="S820" s="3">
        <f t="shared" si="123"/>
        <v>3962.0999999999985</v>
      </c>
      <c r="T820" s="24"/>
      <c r="U820" s="24" t="s">
        <v>1334</v>
      </c>
      <c r="V820" s="3"/>
      <c r="W820" s="25" t="str">
        <f>IFERROR(VLOOKUP(Caja_Arequipa[[#This Row],[destinatario]],CHOOSE({1,2},Clientes_Proveedores[Razon Social],Clientes_Proveedores[Ruc / Dni]),2,0),"")</f>
        <v/>
      </c>
      <c r="X820" s="3"/>
      <c r="Y820" s="3"/>
      <c r="Z820" s="3"/>
      <c r="AA820" s="3"/>
      <c r="AB820" s="3" t="str">
        <f>IF(Caja_Arequipa[[#This Row],[fecha]]&gt;0,TEXT(Caja_Arequipa[[#This Row],[fecha]],"mmmm"),0)</f>
        <v>Setiembre</v>
      </c>
    </row>
    <row r="821" spans="1:28" ht="24" x14ac:dyDescent="0.3">
      <c r="A821" s="2">
        <f>IF(Caja_Arequipa[[#This Row],[tipo_r]]="R",COUNTIFS($C$1:$C820,"R")+1,A820)</f>
        <v>647</v>
      </c>
      <c r="B821" s="19" t="str">
        <f t="shared" si="144"/>
        <v>C-Tesoreria</v>
      </c>
      <c r="C821" s="3" t="s">
        <v>1352</v>
      </c>
      <c r="D821" s="14">
        <v>45916</v>
      </c>
      <c r="E821" s="5" t="s">
        <v>1338</v>
      </c>
      <c r="F821" s="5" t="s">
        <v>1336</v>
      </c>
      <c r="G821" s="3"/>
      <c r="H821" s="6" t="s">
        <v>684</v>
      </c>
      <c r="I821" s="165" t="s">
        <v>68</v>
      </c>
      <c r="J821" s="6" t="s">
        <v>1374</v>
      </c>
      <c r="K821" s="6">
        <v>7217</v>
      </c>
      <c r="L821" s="7" t="s">
        <v>6055</v>
      </c>
      <c r="M821" s="8" t="str">
        <f>IF(Caja_Arequipa[[#This Row],[tipo_r]]="R","001-"&amp;12002+A821,M820)</f>
        <v>001-12649</v>
      </c>
      <c r="N821" s="8" t="str">
        <f t="shared" si="145"/>
        <v>PEN</v>
      </c>
      <c r="O821" s="13">
        <v>20</v>
      </c>
      <c r="P821" s="13"/>
      <c r="Q821" s="3">
        <f t="shared" si="146"/>
        <v>0</v>
      </c>
      <c r="R821" s="3">
        <f t="shared" si="147"/>
        <v>0</v>
      </c>
      <c r="S821" s="3">
        <f t="shared" si="123"/>
        <v>3962.0999999999985</v>
      </c>
      <c r="T821" s="24"/>
      <c r="U821" s="24" t="s">
        <v>1334</v>
      </c>
      <c r="V821" s="3"/>
      <c r="W821" s="25">
        <f>IFERROR(VLOOKUP(Caja_Arequipa[[#This Row],[destinatario]],CHOOSE({1,2},Clientes_Proveedores[Razon Social],Clientes_Proveedores[Ruc / Dni]),2,0),"")</f>
        <v>20604947520</v>
      </c>
      <c r="X821" s="3"/>
      <c r="Y821" s="3"/>
      <c r="Z821" s="3"/>
      <c r="AA821" s="3"/>
      <c r="AB821" s="3" t="str">
        <f>IF(Caja_Arequipa[[#This Row],[fecha]]&gt;0,TEXT(Caja_Arequipa[[#This Row],[fecha]],"mmmm"),0)</f>
        <v>Setiembre</v>
      </c>
    </row>
    <row r="822" spans="1:28" ht="24" x14ac:dyDescent="0.3">
      <c r="A822" s="2">
        <f>IF(Caja_Arequipa[[#This Row],[tipo_r]]="R",COUNTIFS($C$1:$C821,"R")+1,A821)</f>
        <v>647</v>
      </c>
      <c r="B822" s="19" t="str">
        <f t="shared" si="144"/>
        <v>C-Tesoreria</v>
      </c>
      <c r="C822" s="3" t="s">
        <v>1352</v>
      </c>
      <c r="D822" s="14">
        <v>45916</v>
      </c>
      <c r="E822" s="5" t="s">
        <v>1338</v>
      </c>
      <c r="F822" s="5" t="s">
        <v>1336</v>
      </c>
      <c r="G822" s="3"/>
      <c r="H822" s="6" t="s">
        <v>684</v>
      </c>
      <c r="I822" s="165" t="s">
        <v>68</v>
      </c>
      <c r="J822" s="6" t="s">
        <v>1374</v>
      </c>
      <c r="K822" s="6">
        <v>7218</v>
      </c>
      <c r="L822" s="7" t="s">
        <v>6055</v>
      </c>
      <c r="M822" s="8" t="str">
        <f>IF(Caja_Arequipa[[#This Row],[tipo_r]]="R","001-"&amp;12002+A822,M821)</f>
        <v>001-12649</v>
      </c>
      <c r="N822" s="8" t="str">
        <f t="shared" si="145"/>
        <v>PEN</v>
      </c>
      <c r="O822" s="13">
        <v>5</v>
      </c>
      <c r="P822" s="13"/>
      <c r="Q822" s="3">
        <f t="shared" si="146"/>
        <v>0</v>
      </c>
      <c r="R822" s="3">
        <f t="shared" si="147"/>
        <v>0</v>
      </c>
      <c r="S822" s="3">
        <f t="shared" si="123"/>
        <v>3962.0999999999985</v>
      </c>
      <c r="T822" s="24"/>
      <c r="U822" s="24" t="s">
        <v>1334</v>
      </c>
      <c r="V822" s="3"/>
      <c r="W822" s="25">
        <f>IFERROR(VLOOKUP(Caja_Arequipa[[#This Row],[destinatario]],CHOOSE({1,2},Clientes_Proveedores[Razon Social],Clientes_Proveedores[Ruc / Dni]),2,0),"")</f>
        <v>20604947520</v>
      </c>
      <c r="X822" s="3"/>
      <c r="Y822" s="3"/>
      <c r="Z822" s="3"/>
      <c r="AA822" s="3"/>
      <c r="AB822" s="3" t="str">
        <f>IF(Caja_Arequipa[[#This Row],[fecha]]&gt;0,TEXT(Caja_Arequipa[[#This Row],[fecha]],"mmmm"),0)</f>
        <v>Setiembre</v>
      </c>
    </row>
    <row r="823" spans="1:28" ht="24" x14ac:dyDescent="0.3">
      <c r="A823" s="2">
        <f>IF(Caja_Arequipa[[#This Row],[tipo_r]]="R",COUNTIFS($C$1:$C822,"R")+1,A822)</f>
        <v>648</v>
      </c>
      <c r="B823" s="19" t="str">
        <f t="shared" si="144"/>
        <v>C-Tesoreria</v>
      </c>
      <c r="C823" s="3" t="s">
        <v>1330</v>
      </c>
      <c r="D823" s="14">
        <v>45916</v>
      </c>
      <c r="E823" s="5" t="s">
        <v>1338</v>
      </c>
      <c r="F823" s="5" t="s">
        <v>1336</v>
      </c>
      <c r="G823" s="3" t="s">
        <v>6246</v>
      </c>
      <c r="H823" s="6" t="s">
        <v>1093</v>
      </c>
      <c r="I823" s="164" t="s">
        <v>111</v>
      </c>
      <c r="J823" s="6">
        <v>3</v>
      </c>
      <c r="K823" s="6">
        <v>360</v>
      </c>
      <c r="L823" s="7" t="s">
        <v>6289</v>
      </c>
      <c r="M823" s="8" t="str">
        <f>IF(Caja_Arequipa[[#This Row],[tipo_r]]="R","001-"&amp;12002+A823,M822)</f>
        <v>001-12650</v>
      </c>
      <c r="N823" s="8" t="str">
        <f t="shared" si="145"/>
        <v>PEN</v>
      </c>
      <c r="O823" s="13"/>
      <c r="P823" s="13">
        <v>15</v>
      </c>
      <c r="Q823" s="3">
        <f t="shared" si="146"/>
        <v>0</v>
      </c>
      <c r="R823" s="3">
        <f t="shared" si="147"/>
        <v>15</v>
      </c>
      <c r="S823" s="3">
        <f t="shared" si="123"/>
        <v>3947.0999999999985</v>
      </c>
      <c r="T823" s="24"/>
      <c r="U823" s="24" t="s">
        <v>1334</v>
      </c>
      <c r="V823" s="3"/>
      <c r="W823" s="25">
        <f>IFERROR(VLOOKUP(Caja_Arequipa[[#This Row],[destinatario]],CHOOSE({1,2},Clientes_Proveedores[Razon Social],Clientes_Proveedores[Ruc / Dni]),2,0),"")</f>
        <v>75846609</v>
      </c>
      <c r="X823" s="3"/>
      <c r="Y823" s="3"/>
      <c r="Z823" s="3"/>
      <c r="AA823" s="3"/>
      <c r="AB823" s="3" t="str">
        <f>IF(Caja_Arequipa[[#This Row],[fecha]]&gt;0,TEXT(Caja_Arequipa[[#This Row],[fecha]],"mmmm"),0)</f>
        <v>Setiembre</v>
      </c>
    </row>
    <row r="824" spans="1:28" ht="24" x14ac:dyDescent="0.3">
      <c r="A824" s="2">
        <f>IF(Caja_Arequipa[[#This Row],[tipo_r]]="R",COUNTIFS($C$1:$C823,"R")+1,A823)</f>
        <v>649</v>
      </c>
      <c r="B824" s="19" t="str">
        <f>"C-Tesoreria"</f>
        <v>C-Tesoreria</v>
      </c>
      <c r="C824" s="3" t="s">
        <v>1330</v>
      </c>
      <c r="D824" s="14">
        <v>45918</v>
      </c>
      <c r="E824" s="5" t="s">
        <v>1338</v>
      </c>
      <c r="F824" s="5" t="s">
        <v>1336</v>
      </c>
      <c r="G824" s="3" t="s">
        <v>6216</v>
      </c>
      <c r="H824" s="6" t="s">
        <v>918</v>
      </c>
      <c r="I824" s="164" t="s">
        <v>111</v>
      </c>
      <c r="J824" s="6">
        <v>3</v>
      </c>
      <c r="K824" s="6">
        <v>339</v>
      </c>
      <c r="L824" s="7" t="s">
        <v>6259</v>
      </c>
      <c r="M824" s="8" t="str">
        <f>IF(Caja_Arequipa[[#This Row],[tipo_r]]="R","001-"&amp;12002+A824,M823)</f>
        <v>001-12651</v>
      </c>
      <c r="N824" s="8" t="str">
        <f>"PEN"</f>
        <v>PEN</v>
      </c>
      <c r="O824" s="13"/>
      <c r="P824" s="13">
        <v>5</v>
      </c>
      <c r="Q824" s="3">
        <f>+IF(OR($F824="SALDO",$F824="INGRESO"),$P824,0)</f>
        <v>0</v>
      </c>
      <c r="R824" s="3">
        <f>+IF($F824="EGRESO",$P824,0)</f>
        <v>5</v>
      </c>
      <c r="S824" s="3">
        <f t="shared" si="123"/>
        <v>3942.0999999999985</v>
      </c>
      <c r="T824" s="24"/>
      <c r="U824" s="24" t="s">
        <v>1334</v>
      </c>
      <c r="V824" s="3"/>
      <c r="W824" s="25">
        <f>IFERROR(VLOOKUP(Caja_Arequipa[[#This Row],[destinatario]],CHOOSE({1,2},Clientes_Proveedores[Razon Social],Clientes_Proveedores[Ruc / Dni]),2,0),"")</f>
        <v>48536654</v>
      </c>
      <c r="X824" s="3"/>
      <c r="Y824" s="3"/>
      <c r="Z824" s="3"/>
      <c r="AA824" s="3"/>
      <c r="AB824" s="3" t="str">
        <f>IF(Caja_Arequipa[[#This Row],[fecha]]&gt;0,TEXT(Caja_Arequipa[[#This Row],[fecha]],"mmmm"),0)</f>
        <v>Setiembre</v>
      </c>
    </row>
    <row r="825" spans="1:28" ht="24" x14ac:dyDescent="0.3">
      <c r="A825" s="2">
        <f>IF(Caja_Arequipa[[#This Row],[tipo_r]]="R",COUNTIFS($C$1:$C824,"R")+1,A824)</f>
        <v>650</v>
      </c>
      <c r="B825" s="19" t="str">
        <f t="shared" ref="B825:B834" si="148">"C-Tesoreria"</f>
        <v>C-Tesoreria</v>
      </c>
      <c r="C825" s="3" t="s">
        <v>1330</v>
      </c>
      <c r="D825" s="14">
        <v>45918</v>
      </c>
      <c r="E825" s="5" t="s">
        <v>1338</v>
      </c>
      <c r="F825" s="5" t="s">
        <v>1336</v>
      </c>
      <c r="G825" s="3" t="s">
        <v>6216</v>
      </c>
      <c r="H825" s="6" t="s">
        <v>918</v>
      </c>
      <c r="I825" s="164" t="s">
        <v>111</v>
      </c>
      <c r="J825" s="6">
        <v>3</v>
      </c>
      <c r="K825" s="6">
        <v>340</v>
      </c>
      <c r="L825" s="7" t="s">
        <v>6260</v>
      </c>
      <c r="M825" s="8" t="str">
        <f>IF(Caja_Arequipa[[#This Row],[tipo_r]]="R","001-"&amp;12002+A825,M824)</f>
        <v>001-12652</v>
      </c>
      <c r="N825" s="8" t="str">
        <f t="shared" ref="N825:N834" si="149">"PEN"</f>
        <v>PEN</v>
      </c>
      <c r="O825" s="13"/>
      <c r="P825" s="13">
        <v>5</v>
      </c>
      <c r="Q825" s="3">
        <f t="shared" ref="Q825:Q834" si="150">+IF(OR($F825="SALDO",$F825="INGRESO"),$P825,0)</f>
        <v>0</v>
      </c>
      <c r="R825" s="3">
        <f t="shared" ref="R825:R834" si="151">+IF($F825="EGRESO",$P825,0)</f>
        <v>5</v>
      </c>
      <c r="S825" s="3">
        <f t="shared" si="123"/>
        <v>3937.0999999999985</v>
      </c>
      <c r="T825" s="24"/>
      <c r="U825" s="24" t="s">
        <v>1334</v>
      </c>
      <c r="V825" s="3"/>
      <c r="W825" s="25">
        <f>IFERROR(VLOOKUP(Caja_Arequipa[[#This Row],[destinatario]],CHOOSE({1,2},Clientes_Proveedores[Razon Social],Clientes_Proveedores[Ruc / Dni]),2,0),"")</f>
        <v>48536654</v>
      </c>
      <c r="X825" s="3"/>
      <c r="Y825" s="3"/>
      <c r="Z825" s="3"/>
      <c r="AA825" s="3"/>
      <c r="AB825" s="3" t="str">
        <f>IF(Caja_Arequipa[[#This Row],[fecha]]&gt;0,TEXT(Caja_Arequipa[[#This Row],[fecha]],"mmmm"),0)</f>
        <v>Setiembre</v>
      </c>
    </row>
    <row r="826" spans="1:28" ht="24" x14ac:dyDescent="0.3">
      <c r="A826" s="2">
        <f>IF(Caja_Arequipa[[#This Row],[tipo_r]]="R",COUNTIFS($C$1:$C825,"R")+1,A825)</f>
        <v>651</v>
      </c>
      <c r="B826" s="19" t="str">
        <f t="shared" si="148"/>
        <v>C-Tesoreria</v>
      </c>
      <c r="C826" s="3" t="s">
        <v>1330</v>
      </c>
      <c r="D826" s="14">
        <v>45918</v>
      </c>
      <c r="E826" s="5" t="s">
        <v>1338</v>
      </c>
      <c r="F826" s="5" t="s">
        <v>1336</v>
      </c>
      <c r="G826" s="3" t="s">
        <v>6216</v>
      </c>
      <c r="H826" s="6" t="s">
        <v>918</v>
      </c>
      <c r="I826" s="164" t="s">
        <v>111</v>
      </c>
      <c r="J826" s="6">
        <v>3</v>
      </c>
      <c r="K826" s="6">
        <v>341</v>
      </c>
      <c r="L826" s="7" t="s">
        <v>6262</v>
      </c>
      <c r="M826" s="8" t="str">
        <f>IF(Caja_Arequipa[[#This Row],[tipo_r]]="R","001-"&amp;12002+A826,M825)</f>
        <v>001-12653</v>
      </c>
      <c r="N826" s="8" t="str">
        <f t="shared" si="149"/>
        <v>PEN</v>
      </c>
      <c r="O826" s="13"/>
      <c r="P826" s="13">
        <v>19</v>
      </c>
      <c r="Q826" s="3">
        <f t="shared" si="150"/>
        <v>0</v>
      </c>
      <c r="R826" s="3">
        <f t="shared" si="151"/>
        <v>19</v>
      </c>
      <c r="S826" s="3">
        <f t="shared" si="123"/>
        <v>3918.0999999999985</v>
      </c>
      <c r="T826" s="24"/>
      <c r="U826" s="24" t="s">
        <v>1334</v>
      </c>
      <c r="V826" s="3"/>
      <c r="W826" s="25">
        <f>IFERROR(VLOOKUP(Caja_Arequipa[[#This Row],[destinatario]],CHOOSE({1,2},Clientes_Proveedores[Razon Social],Clientes_Proveedores[Ruc / Dni]),2,0),"")</f>
        <v>48536654</v>
      </c>
      <c r="X826" s="3"/>
      <c r="Y826" s="3"/>
      <c r="Z826" s="3"/>
      <c r="AA826" s="3"/>
      <c r="AB826" s="3" t="str">
        <f>IF(Caja_Arequipa[[#This Row],[fecha]]&gt;0,TEXT(Caja_Arequipa[[#This Row],[fecha]],"mmmm"),0)</f>
        <v>Setiembre</v>
      </c>
    </row>
    <row r="827" spans="1:28" ht="24" x14ac:dyDescent="0.3">
      <c r="A827" s="2">
        <f>IF(Caja_Arequipa[[#This Row],[tipo_r]]="R",COUNTIFS($C$1:$C826,"R")+1,A826)</f>
        <v>652</v>
      </c>
      <c r="B827" s="19" t="str">
        <f t="shared" si="148"/>
        <v>C-Tesoreria</v>
      </c>
      <c r="C827" s="3" t="s">
        <v>1330</v>
      </c>
      <c r="D827" s="14">
        <v>45918</v>
      </c>
      <c r="E827" s="5" t="s">
        <v>1338</v>
      </c>
      <c r="F827" s="5" t="s">
        <v>1336</v>
      </c>
      <c r="G827" s="3" t="s">
        <v>6216</v>
      </c>
      <c r="H827" s="6" t="s">
        <v>918</v>
      </c>
      <c r="I827" s="164" t="s">
        <v>111</v>
      </c>
      <c r="J827" s="6">
        <v>3</v>
      </c>
      <c r="K827" s="6">
        <v>342</v>
      </c>
      <c r="L827" s="7" t="s">
        <v>6290</v>
      </c>
      <c r="M827" s="8" t="str">
        <f>IF(Caja_Arequipa[[#This Row],[tipo_r]]="R","001-"&amp;12002+A827,M826)</f>
        <v>001-12654</v>
      </c>
      <c r="N827" s="8" t="str">
        <f t="shared" si="149"/>
        <v>PEN</v>
      </c>
      <c r="O827" s="13"/>
      <c r="P827" s="13">
        <v>15</v>
      </c>
      <c r="Q827" s="3">
        <f t="shared" si="150"/>
        <v>0</v>
      </c>
      <c r="R827" s="3">
        <f t="shared" si="151"/>
        <v>15</v>
      </c>
      <c r="S827" s="3">
        <f t="shared" si="123"/>
        <v>3903.0999999999985</v>
      </c>
      <c r="T827" s="24"/>
      <c r="U827" s="24" t="s">
        <v>1334</v>
      </c>
      <c r="V827" s="3"/>
      <c r="W827" s="25">
        <f>IFERROR(VLOOKUP(Caja_Arequipa[[#This Row],[destinatario]],CHOOSE({1,2},Clientes_Proveedores[Razon Social],Clientes_Proveedores[Ruc / Dni]),2,0),"")</f>
        <v>48536654</v>
      </c>
      <c r="X827" s="3"/>
      <c r="Y827" s="3"/>
      <c r="Z827" s="3"/>
      <c r="AA827" s="3"/>
      <c r="AB827" s="3" t="str">
        <f>IF(Caja_Arequipa[[#This Row],[fecha]]&gt;0,TEXT(Caja_Arequipa[[#This Row],[fecha]],"mmmm"),0)</f>
        <v>Setiembre</v>
      </c>
    </row>
    <row r="828" spans="1:28" ht="24" x14ac:dyDescent="0.3">
      <c r="A828" s="2">
        <f>IF(Caja_Arequipa[[#This Row],[tipo_r]]="R",COUNTIFS($C$1:$C827,"R")+1,A827)</f>
        <v>653</v>
      </c>
      <c r="B828" s="19" t="str">
        <f t="shared" si="148"/>
        <v>C-Tesoreria</v>
      </c>
      <c r="C828" s="3" t="s">
        <v>1330</v>
      </c>
      <c r="D828" s="14">
        <v>45918</v>
      </c>
      <c r="E828" s="5" t="s">
        <v>1338</v>
      </c>
      <c r="F828" s="5" t="s">
        <v>1336</v>
      </c>
      <c r="G828" s="3" t="s">
        <v>6216</v>
      </c>
      <c r="H828" s="6" t="s">
        <v>918</v>
      </c>
      <c r="I828" s="164" t="s">
        <v>111</v>
      </c>
      <c r="J828" s="6">
        <v>3</v>
      </c>
      <c r="K828" s="6">
        <v>343</v>
      </c>
      <c r="L828" s="7" t="s">
        <v>6291</v>
      </c>
      <c r="M828" s="8" t="str">
        <f>IF(Caja_Arequipa[[#This Row],[tipo_r]]="R","001-"&amp;12002+A828,M827)</f>
        <v>001-12655</v>
      </c>
      <c r="N828" s="8" t="str">
        <f t="shared" si="149"/>
        <v>PEN</v>
      </c>
      <c r="O828" s="13"/>
      <c r="P828" s="13">
        <v>26</v>
      </c>
      <c r="Q828" s="3">
        <f t="shared" si="150"/>
        <v>0</v>
      </c>
      <c r="R828" s="3">
        <f t="shared" si="151"/>
        <v>26</v>
      </c>
      <c r="S828" s="3">
        <f t="shared" si="123"/>
        <v>3877.0999999999985</v>
      </c>
      <c r="T828" s="24"/>
      <c r="U828" s="24" t="s">
        <v>1334</v>
      </c>
      <c r="V828" s="3"/>
      <c r="W828" s="25">
        <f>IFERROR(VLOOKUP(Caja_Arequipa[[#This Row],[destinatario]],CHOOSE({1,2},Clientes_Proveedores[Razon Social],Clientes_Proveedores[Ruc / Dni]),2,0),"")</f>
        <v>48536654</v>
      </c>
      <c r="X828" s="3"/>
      <c r="Y828" s="3"/>
      <c r="Z828" s="3"/>
      <c r="AA828" s="3"/>
      <c r="AB828" s="3" t="str">
        <f>IF(Caja_Arequipa[[#This Row],[fecha]]&gt;0,TEXT(Caja_Arequipa[[#This Row],[fecha]],"mmmm"),0)</f>
        <v>Setiembre</v>
      </c>
    </row>
    <row r="829" spans="1:28" ht="24" x14ac:dyDescent="0.3">
      <c r="A829" s="2">
        <f>IF(Caja_Arequipa[[#This Row],[tipo_r]]="R",COUNTIFS($C$1:$C828,"R")+1,A828)</f>
        <v>654</v>
      </c>
      <c r="B829" s="19" t="str">
        <f t="shared" si="148"/>
        <v>C-Tesoreria</v>
      </c>
      <c r="C829" s="3" t="s">
        <v>1330</v>
      </c>
      <c r="D829" s="14">
        <v>45918</v>
      </c>
      <c r="E829" s="5" t="s">
        <v>1338</v>
      </c>
      <c r="F829" s="5" t="s">
        <v>1336</v>
      </c>
      <c r="G829" s="3" t="s">
        <v>6216</v>
      </c>
      <c r="H829" s="6" t="s">
        <v>918</v>
      </c>
      <c r="I829" s="164" t="s">
        <v>111</v>
      </c>
      <c r="J829" s="6">
        <v>3</v>
      </c>
      <c r="K829" s="6">
        <v>344</v>
      </c>
      <c r="L829" s="7" t="s">
        <v>6292</v>
      </c>
      <c r="M829" s="8" t="str">
        <f>IF(Caja_Arequipa[[#This Row],[tipo_r]]="R","001-"&amp;12002+A829,M828)</f>
        <v>001-12656</v>
      </c>
      <c r="N829" s="8" t="str">
        <f t="shared" si="149"/>
        <v>PEN</v>
      </c>
      <c r="O829" s="13"/>
      <c r="P829" s="13">
        <v>59</v>
      </c>
      <c r="Q829" s="3">
        <f t="shared" si="150"/>
        <v>0</v>
      </c>
      <c r="R829" s="3">
        <f t="shared" si="151"/>
        <v>59</v>
      </c>
      <c r="S829" s="3">
        <f t="shared" si="123"/>
        <v>3818.0999999999985</v>
      </c>
      <c r="T829" s="24"/>
      <c r="U829" s="24" t="s">
        <v>1334</v>
      </c>
      <c r="V829" s="3"/>
      <c r="W829" s="25">
        <f>IFERROR(VLOOKUP(Caja_Arequipa[[#This Row],[destinatario]],CHOOSE({1,2},Clientes_Proveedores[Razon Social],Clientes_Proveedores[Ruc / Dni]),2,0),"")</f>
        <v>48536654</v>
      </c>
      <c r="X829" s="3"/>
      <c r="Y829" s="3"/>
      <c r="Z829" s="3"/>
      <c r="AA829" s="3"/>
      <c r="AB829" s="3" t="str">
        <f>IF(Caja_Arequipa[[#This Row],[fecha]]&gt;0,TEXT(Caja_Arequipa[[#This Row],[fecha]],"mmmm"),0)</f>
        <v>Setiembre</v>
      </c>
    </row>
    <row r="830" spans="1:28" ht="24" x14ac:dyDescent="0.3">
      <c r="A830" s="2">
        <f>IF(Caja_Arequipa[[#This Row],[tipo_r]]="R",COUNTIFS($C$1:$C829,"R")+1,A829)</f>
        <v>655</v>
      </c>
      <c r="B830" s="19" t="str">
        <f t="shared" si="148"/>
        <v>C-Tesoreria</v>
      </c>
      <c r="C830" s="3" t="s">
        <v>1330</v>
      </c>
      <c r="D830" s="14">
        <v>45918</v>
      </c>
      <c r="E830" s="5" t="s">
        <v>1338</v>
      </c>
      <c r="F830" s="5" t="s">
        <v>1336</v>
      </c>
      <c r="G830" s="3" t="s">
        <v>6216</v>
      </c>
      <c r="H830" s="6" t="s">
        <v>918</v>
      </c>
      <c r="I830" s="164" t="s">
        <v>111</v>
      </c>
      <c r="J830" s="6">
        <v>3</v>
      </c>
      <c r="K830" s="6">
        <v>345</v>
      </c>
      <c r="L830" s="7" t="s">
        <v>6293</v>
      </c>
      <c r="M830" s="8" t="str">
        <f>IF(Caja_Arequipa[[#This Row],[tipo_r]]="R","001-"&amp;12002+A830,M829)</f>
        <v>001-12657</v>
      </c>
      <c r="N830" s="8" t="str">
        <f t="shared" si="149"/>
        <v>PEN</v>
      </c>
      <c r="O830" s="13"/>
      <c r="P830" s="13">
        <v>12</v>
      </c>
      <c r="Q830" s="3">
        <f t="shared" si="150"/>
        <v>0</v>
      </c>
      <c r="R830" s="3">
        <f t="shared" si="151"/>
        <v>12</v>
      </c>
      <c r="S830" s="3">
        <f t="shared" si="123"/>
        <v>3806.0999999999985</v>
      </c>
      <c r="T830" s="24"/>
      <c r="U830" s="24" t="s">
        <v>1334</v>
      </c>
      <c r="V830" s="3"/>
      <c r="W830" s="25">
        <f>IFERROR(VLOOKUP(Caja_Arequipa[[#This Row],[destinatario]],CHOOSE({1,2},Clientes_Proveedores[Razon Social],Clientes_Proveedores[Ruc / Dni]),2,0),"")</f>
        <v>48536654</v>
      </c>
      <c r="X830" s="3"/>
      <c r="Y830" s="3"/>
      <c r="Z830" s="3"/>
      <c r="AA830" s="3"/>
      <c r="AB830" s="3" t="str">
        <f>IF(Caja_Arequipa[[#This Row],[fecha]]&gt;0,TEXT(Caja_Arequipa[[#This Row],[fecha]],"mmmm"),0)</f>
        <v>Setiembre</v>
      </c>
    </row>
    <row r="831" spans="1:28" ht="24" x14ac:dyDescent="0.3">
      <c r="A831" s="2">
        <f>IF(Caja_Arequipa[[#This Row],[tipo_r]]="R",COUNTIFS($C$1:$C830,"R")+1,A830)</f>
        <v>656</v>
      </c>
      <c r="B831" s="19" t="str">
        <f t="shared" si="148"/>
        <v>C-Tesoreria</v>
      </c>
      <c r="C831" s="3" t="s">
        <v>1330</v>
      </c>
      <c r="D831" s="14">
        <v>45918</v>
      </c>
      <c r="E831" s="5" t="s">
        <v>1338</v>
      </c>
      <c r="F831" s="5" t="s">
        <v>1336</v>
      </c>
      <c r="G831" s="3" t="s">
        <v>6216</v>
      </c>
      <c r="H831" s="6" t="s">
        <v>918</v>
      </c>
      <c r="I831" s="164" t="s">
        <v>111</v>
      </c>
      <c r="J831" s="6">
        <v>3</v>
      </c>
      <c r="K831" s="6">
        <v>346</v>
      </c>
      <c r="L831" s="7" t="s">
        <v>6294</v>
      </c>
      <c r="M831" s="8" t="str">
        <f>IF(Caja_Arequipa[[#This Row],[tipo_r]]="R","001-"&amp;12002+A831,M830)</f>
        <v>001-12658</v>
      </c>
      <c r="N831" s="8" t="str">
        <f t="shared" si="149"/>
        <v>PEN</v>
      </c>
      <c r="O831" s="13"/>
      <c r="P831" s="13">
        <v>30</v>
      </c>
      <c r="Q831" s="3">
        <f t="shared" si="150"/>
        <v>0</v>
      </c>
      <c r="R831" s="3">
        <f t="shared" si="151"/>
        <v>30</v>
      </c>
      <c r="S831" s="3">
        <f t="shared" si="123"/>
        <v>3776.0999999999985</v>
      </c>
      <c r="T831" s="24"/>
      <c r="U831" s="24" t="s">
        <v>1334</v>
      </c>
      <c r="V831" s="3"/>
      <c r="W831" s="25">
        <f>IFERROR(VLOOKUP(Caja_Arequipa[[#This Row],[destinatario]],CHOOSE({1,2},Clientes_Proveedores[Razon Social],Clientes_Proveedores[Ruc / Dni]),2,0),"")</f>
        <v>48536654</v>
      </c>
      <c r="X831" s="3"/>
      <c r="Y831" s="3"/>
      <c r="Z831" s="3"/>
      <c r="AA831" s="3"/>
      <c r="AB831" s="3" t="str">
        <f>IF(Caja_Arequipa[[#This Row],[fecha]]&gt;0,TEXT(Caja_Arequipa[[#This Row],[fecha]],"mmmm"),0)</f>
        <v>Setiembre</v>
      </c>
    </row>
    <row r="832" spans="1:28" ht="24" x14ac:dyDescent="0.3">
      <c r="A832" s="2">
        <f>IF(Caja_Arequipa[[#This Row],[tipo_r]]="R",COUNTIFS($C$1:$C831,"R")+1,A831)</f>
        <v>657</v>
      </c>
      <c r="B832" s="19" t="str">
        <f t="shared" si="148"/>
        <v>C-Tesoreria</v>
      </c>
      <c r="C832" s="3" t="s">
        <v>1330</v>
      </c>
      <c r="D832" s="14">
        <v>45918</v>
      </c>
      <c r="E832" s="5" t="s">
        <v>1338</v>
      </c>
      <c r="F832" s="5" t="s">
        <v>1336</v>
      </c>
      <c r="G832" s="3" t="s">
        <v>6216</v>
      </c>
      <c r="H832" s="6" t="s">
        <v>918</v>
      </c>
      <c r="I832" s="164" t="s">
        <v>111</v>
      </c>
      <c r="J832" s="6">
        <v>3</v>
      </c>
      <c r="K832" s="6">
        <v>347</v>
      </c>
      <c r="L832" s="7" t="s">
        <v>6295</v>
      </c>
      <c r="M832" s="8" t="str">
        <f>IF(Caja_Arequipa[[#This Row],[tipo_r]]="R","001-"&amp;12002+A832,M831)</f>
        <v>001-12659</v>
      </c>
      <c r="N832" s="8" t="str">
        <f t="shared" si="149"/>
        <v>PEN</v>
      </c>
      <c r="O832" s="13"/>
      <c r="P832" s="13">
        <v>69</v>
      </c>
      <c r="Q832" s="3">
        <f t="shared" si="150"/>
        <v>0</v>
      </c>
      <c r="R832" s="3">
        <f t="shared" si="151"/>
        <v>69</v>
      </c>
      <c r="S832" s="3">
        <f t="shared" si="123"/>
        <v>3707.0999999999985</v>
      </c>
      <c r="T832" s="24"/>
      <c r="U832" s="24" t="s">
        <v>1334</v>
      </c>
      <c r="V832" s="3"/>
      <c r="W832" s="25">
        <f>IFERROR(VLOOKUP(Caja_Arequipa[[#This Row],[destinatario]],CHOOSE({1,2},Clientes_Proveedores[Razon Social],Clientes_Proveedores[Ruc / Dni]),2,0),"")</f>
        <v>48536654</v>
      </c>
      <c r="X832" s="3"/>
      <c r="Y832" s="3"/>
      <c r="Z832" s="3"/>
      <c r="AA832" s="3"/>
      <c r="AB832" s="3" t="str">
        <f>IF(Caja_Arequipa[[#This Row],[fecha]]&gt;0,TEXT(Caja_Arequipa[[#This Row],[fecha]],"mmmm"),0)</f>
        <v>Setiembre</v>
      </c>
    </row>
    <row r="833" spans="1:28" ht="24" x14ac:dyDescent="0.3">
      <c r="A833" s="2">
        <f>IF(Caja_Arequipa[[#This Row],[tipo_r]]="R",COUNTIFS($C$1:$C832,"R")+1,A832)</f>
        <v>658</v>
      </c>
      <c r="B833" s="19" t="str">
        <f t="shared" si="148"/>
        <v>C-Tesoreria</v>
      </c>
      <c r="C833" s="3" t="s">
        <v>1330</v>
      </c>
      <c r="D833" s="14">
        <v>45918</v>
      </c>
      <c r="E833" s="5" t="s">
        <v>1338</v>
      </c>
      <c r="F833" s="5" t="s">
        <v>1336</v>
      </c>
      <c r="G833" s="3" t="s">
        <v>6216</v>
      </c>
      <c r="H833" s="6" t="s">
        <v>918</v>
      </c>
      <c r="I833" s="164" t="s">
        <v>111</v>
      </c>
      <c r="J833" s="6">
        <v>3</v>
      </c>
      <c r="K833" s="6">
        <v>348</v>
      </c>
      <c r="L833" s="7" t="s">
        <v>6296</v>
      </c>
      <c r="M833" s="8" t="str">
        <f>IF(Caja_Arequipa[[#This Row],[tipo_r]]="R","001-"&amp;12002+A833,M832)</f>
        <v>001-12660</v>
      </c>
      <c r="N833" s="8" t="str">
        <f t="shared" si="149"/>
        <v>PEN</v>
      </c>
      <c r="O833" s="13"/>
      <c r="P833" s="13">
        <v>22</v>
      </c>
      <c r="Q833" s="3">
        <f t="shared" si="150"/>
        <v>0</v>
      </c>
      <c r="R833" s="3">
        <f t="shared" si="151"/>
        <v>22</v>
      </c>
      <c r="S833" s="3">
        <f t="shared" si="123"/>
        <v>3685.0999999999985</v>
      </c>
      <c r="T833" s="24"/>
      <c r="U833" s="24" t="s">
        <v>1334</v>
      </c>
      <c r="V833" s="3"/>
      <c r="W833" s="25">
        <f>IFERROR(VLOOKUP(Caja_Arequipa[[#This Row],[destinatario]],CHOOSE({1,2},Clientes_Proveedores[Razon Social],Clientes_Proveedores[Ruc / Dni]),2,0),"")</f>
        <v>48536654</v>
      </c>
      <c r="X833" s="3"/>
      <c r="Y833" s="3"/>
      <c r="Z833" s="3"/>
      <c r="AA833" s="3"/>
      <c r="AB833" s="3" t="str">
        <f>IF(Caja_Arequipa[[#This Row],[fecha]]&gt;0,TEXT(Caja_Arequipa[[#This Row],[fecha]],"mmmm"),0)</f>
        <v>Setiembre</v>
      </c>
    </row>
    <row r="834" spans="1:28" ht="24" x14ac:dyDescent="0.3">
      <c r="A834" s="2">
        <f>IF(Caja_Arequipa[[#This Row],[tipo_r]]="R",COUNTIFS($C$1:$C833,"R")+1,A833)</f>
        <v>659</v>
      </c>
      <c r="B834" s="19" t="str">
        <f t="shared" si="148"/>
        <v>C-Tesoreria</v>
      </c>
      <c r="C834" s="3" t="s">
        <v>1330</v>
      </c>
      <c r="D834" s="14">
        <v>45918</v>
      </c>
      <c r="E834" s="5" t="s">
        <v>1338</v>
      </c>
      <c r="F834" s="5" t="s">
        <v>1336</v>
      </c>
      <c r="G834" s="3" t="s">
        <v>6216</v>
      </c>
      <c r="H834" s="6" t="s">
        <v>918</v>
      </c>
      <c r="I834" s="164" t="s">
        <v>111</v>
      </c>
      <c r="J834" s="6">
        <v>3</v>
      </c>
      <c r="K834" s="6">
        <v>349</v>
      </c>
      <c r="L834" s="7" t="s">
        <v>6297</v>
      </c>
      <c r="M834" s="8" t="str">
        <f>IF(Caja_Arequipa[[#This Row],[tipo_r]]="R","001-"&amp;12002+A834,M833)</f>
        <v>001-12661</v>
      </c>
      <c r="N834" s="8" t="str">
        <f t="shared" si="149"/>
        <v>PEN</v>
      </c>
      <c r="O834" s="13"/>
      <c r="P834" s="13">
        <v>16</v>
      </c>
      <c r="Q834" s="3">
        <f t="shared" si="150"/>
        <v>0</v>
      </c>
      <c r="R834" s="3">
        <f t="shared" si="151"/>
        <v>16</v>
      </c>
      <c r="S834" s="3">
        <f t="shared" ref="S834:S897" si="152">IFERROR(IF(F834="SALDO",Q834,S833+Q834-R834),0)</f>
        <v>3669.0999999999985</v>
      </c>
      <c r="T834" s="24"/>
      <c r="U834" s="24" t="s">
        <v>1334</v>
      </c>
      <c r="V834" s="3"/>
      <c r="W834" s="25">
        <f>IFERROR(VLOOKUP(Caja_Arequipa[[#This Row],[destinatario]],CHOOSE({1,2},Clientes_Proveedores[Razon Social],Clientes_Proveedores[Ruc / Dni]),2,0),"")</f>
        <v>48536654</v>
      </c>
      <c r="X834" s="3"/>
      <c r="Y834" s="3"/>
      <c r="Z834" s="3"/>
      <c r="AA834" s="3"/>
      <c r="AB834" s="3" t="str">
        <f>IF(Caja_Arequipa[[#This Row],[fecha]]&gt;0,TEXT(Caja_Arequipa[[#This Row],[fecha]],"mmmm"),0)</f>
        <v>Setiembre</v>
      </c>
    </row>
    <row r="835" spans="1:28" x14ac:dyDescent="0.3">
      <c r="A835" s="2">
        <f>IF(Caja_Arequipa[[#This Row],[tipo_r]]="R",COUNTIFS($C$1:$C834,"R")+1,A834)</f>
        <v>660</v>
      </c>
      <c r="B835" s="19" t="str">
        <f t="shared" ref="B835:B844" si="153">"C-Tesoreria"</f>
        <v>C-Tesoreria</v>
      </c>
      <c r="C835" s="3" t="s">
        <v>1330</v>
      </c>
      <c r="D835" s="14">
        <v>45918</v>
      </c>
      <c r="E835" s="5" t="s">
        <v>1338</v>
      </c>
      <c r="F835" s="5" t="s">
        <v>1336</v>
      </c>
      <c r="G835" s="3" t="s">
        <v>5248</v>
      </c>
      <c r="H835" s="6"/>
      <c r="I835" s="165"/>
      <c r="J835" s="6"/>
      <c r="K835" s="6"/>
      <c r="L835" s="7" t="s">
        <v>6055</v>
      </c>
      <c r="M835" s="8" t="str">
        <f>IF(Caja_Arequipa[[#This Row],[tipo_r]]="R","001-"&amp;12002+A835,M834)</f>
        <v>001-12662</v>
      </c>
      <c r="N835" s="8" t="str">
        <f t="shared" ref="N835:N844" si="154">"PEN"</f>
        <v>PEN</v>
      </c>
      <c r="O835" s="13"/>
      <c r="P835" s="13">
        <v>38.5</v>
      </c>
      <c r="Q835" s="3">
        <f t="shared" ref="Q835:Q844" si="155">+IF(OR($F835="SALDO",$F835="INGRESO"),$P835,0)</f>
        <v>0</v>
      </c>
      <c r="R835" s="3">
        <f t="shared" ref="R835:R844" si="156">+IF($F835="EGRESO",$P835,0)</f>
        <v>38.5</v>
      </c>
      <c r="S835" s="3">
        <f t="shared" si="152"/>
        <v>3630.5999999999985</v>
      </c>
      <c r="T835" s="24"/>
      <c r="U835" s="24" t="s">
        <v>1334</v>
      </c>
      <c r="V835" s="3"/>
      <c r="W835" s="25" t="str">
        <f>IFERROR(VLOOKUP(Caja_Arequipa[[#This Row],[destinatario]],CHOOSE({1,2},Clientes_Proveedores[Razon Social],Clientes_Proveedores[Ruc / Dni]),2,0),"")</f>
        <v/>
      </c>
      <c r="X835" s="3"/>
      <c r="Y835" s="3"/>
      <c r="Z835" s="3"/>
      <c r="AA835" s="3"/>
      <c r="AB835" s="3" t="str">
        <f>IF(Caja_Arequipa[[#This Row],[fecha]]&gt;0,TEXT(Caja_Arequipa[[#This Row],[fecha]],"mmmm"),0)</f>
        <v>Setiembre</v>
      </c>
    </row>
    <row r="836" spans="1:28" ht="24" x14ac:dyDescent="0.3">
      <c r="A836" s="2">
        <f>IF(Caja_Arequipa[[#This Row],[tipo_r]]="R",COUNTIFS($C$1:$C835,"R")+1,A835)</f>
        <v>660</v>
      </c>
      <c r="B836" s="19" t="str">
        <f t="shared" si="153"/>
        <v>C-Tesoreria</v>
      </c>
      <c r="C836" s="3" t="s">
        <v>1352</v>
      </c>
      <c r="D836" s="14">
        <v>45918</v>
      </c>
      <c r="E836" s="5" t="s">
        <v>1338</v>
      </c>
      <c r="F836" s="5" t="s">
        <v>1336</v>
      </c>
      <c r="G836" s="3"/>
      <c r="H836" s="6" t="s">
        <v>836</v>
      </c>
      <c r="I836" s="165" t="s">
        <v>111</v>
      </c>
      <c r="J836" s="6">
        <v>3</v>
      </c>
      <c r="K836" s="6">
        <v>338</v>
      </c>
      <c r="L836" s="7" t="s">
        <v>6055</v>
      </c>
      <c r="M836" s="8" t="str">
        <f>IF(Caja_Arequipa[[#This Row],[tipo_r]]="R","001-"&amp;12002+A836,M835)</f>
        <v>001-12662</v>
      </c>
      <c r="N836" s="8" t="str">
        <f t="shared" si="154"/>
        <v>PEN</v>
      </c>
      <c r="O836" s="13">
        <v>27.5</v>
      </c>
      <c r="P836" s="13"/>
      <c r="Q836" s="3">
        <f t="shared" si="155"/>
        <v>0</v>
      </c>
      <c r="R836" s="3">
        <f t="shared" si="156"/>
        <v>0</v>
      </c>
      <c r="S836" s="3">
        <f t="shared" si="152"/>
        <v>3630.5999999999985</v>
      </c>
      <c r="T836" s="24"/>
      <c r="U836" s="24" t="s">
        <v>1334</v>
      </c>
      <c r="V836" s="3"/>
      <c r="W836" s="25">
        <f>IFERROR(VLOOKUP(Caja_Arequipa[[#This Row],[destinatario]],CHOOSE({1,2},Clientes_Proveedores[Razon Social],Clientes_Proveedores[Ruc / Dni]),2,0),"")</f>
        <v>44468346</v>
      </c>
      <c r="X836" s="3"/>
      <c r="Y836" s="3"/>
      <c r="Z836" s="3"/>
      <c r="AA836" s="3"/>
      <c r="AB836" s="3" t="str">
        <f>IF(Caja_Arequipa[[#This Row],[fecha]]&gt;0,TEXT(Caja_Arequipa[[#This Row],[fecha]],"mmmm"),0)</f>
        <v>Setiembre</v>
      </c>
    </row>
    <row r="837" spans="1:28" ht="24" x14ac:dyDescent="0.3">
      <c r="A837" s="2">
        <f>IF(Caja_Arequipa[[#This Row],[tipo_r]]="R",COUNTIFS($C$1:$C836,"R")+1,A836)</f>
        <v>660</v>
      </c>
      <c r="B837" s="19" t="str">
        <f t="shared" si="153"/>
        <v>C-Tesoreria</v>
      </c>
      <c r="C837" s="3" t="s">
        <v>1352</v>
      </c>
      <c r="D837" s="14">
        <v>45918</v>
      </c>
      <c r="E837" s="5" t="s">
        <v>1338</v>
      </c>
      <c r="F837" s="5" t="s">
        <v>1336</v>
      </c>
      <c r="G837" s="3"/>
      <c r="H837" s="6" t="s">
        <v>986</v>
      </c>
      <c r="I837" s="165" t="s">
        <v>75</v>
      </c>
      <c r="J837" s="6">
        <v>1</v>
      </c>
      <c r="K837" s="6">
        <v>193</v>
      </c>
      <c r="L837" s="7" t="s">
        <v>6055</v>
      </c>
      <c r="M837" s="8" t="str">
        <f>IF(Caja_Arequipa[[#This Row],[tipo_r]]="R","001-"&amp;12002+A837,M836)</f>
        <v>001-12662</v>
      </c>
      <c r="N837" s="8" t="str">
        <f t="shared" si="154"/>
        <v>PEN</v>
      </c>
      <c r="O837" s="13">
        <v>11</v>
      </c>
      <c r="P837" s="13"/>
      <c r="Q837" s="3">
        <f t="shared" si="155"/>
        <v>0</v>
      </c>
      <c r="R837" s="3">
        <f t="shared" si="156"/>
        <v>0</v>
      </c>
      <c r="S837" s="3">
        <f t="shared" si="152"/>
        <v>3630.5999999999985</v>
      </c>
      <c r="T837" s="24"/>
      <c r="U837" s="24" t="s">
        <v>1334</v>
      </c>
      <c r="V837" s="3"/>
      <c r="W837" s="25">
        <f>IFERROR(VLOOKUP(Caja_Arequipa[[#This Row],[destinatario]],CHOOSE({1,2},Clientes_Proveedores[Razon Social],Clientes_Proveedores[Ruc / Dni]),2,0),"")</f>
        <v>10309622885</v>
      </c>
      <c r="X837" s="3"/>
      <c r="Y837" s="3"/>
      <c r="Z837" s="3"/>
      <c r="AA837" s="3"/>
      <c r="AB837" s="3" t="str">
        <f>IF(Caja_Arequipa[[#This Row],[fecha]]&gt;0,TEXT(Caja_Arequipa[[#This Row],[fecha]],"mmmm"),0)</f>
        <v>Setiembre</v>
      </c>
    </row>
    <row r="838" spans="1:28" ht="24" x14ac:dyDescent="0.3">
      <c r="A838" s="2">
        <f>IF(Caja_Arequipa[[#This Row],[tipo_r]]="R",COUNTIFS($C$1:$C837,"R")+1,A837)</f>
        <v>661</v>
      </c>
      <c r="B838" s="19" t="str">
        <f t="shared" si="153"/>
        <v>C-Tesoreria</v>
      </c>
      <c r="C838" s="3" t="s">
        <v>1330</v>
      </c>
      <c r="D838" s="14">
        <v>45918</v>
      </c>
      <c r="E838" s="5" t="s">
        <v>1338</v>
      </c>
      <c r="F838" s="5" t="s">
        <v>1336</v>
      </c>
      <c r="G838" s="3" t="s">
        <v>6283</v>
      </c>
      <c r="H838" s="6" t="s">
        <v>850</v>
      </c>
      <c r="I838" s="164" t="s">
        <v>111</v>
      </c>
      <c r="J838" s="6">
        <v>3</v>
      </c>
      <c r="K838" s="6">
        <v>353</v>
      </c>
      <c r="L838" s="7" t="s">
        <v>6298</v>
      </c>
      <c r="M838" s="8" t="str">
        <f>IF(Caja_Arequipa[[#This Row],[tipo_r]]="R","001-"&amp;12002+A838,M837)</f>
        <v>001-12663</v>
      </c>
      <c r="N838" s="8" t="str">
        <f t="shared" si="154"/>
        <v>PEN</v>
      </c>
      <c r="O838" s="13"/>
      <c r="P838" s="13">
        <v>28</v>
      </c>
      <c r="Q838" s="3">
        <f t="shared" si="155"/>
        <v>0</v>
      </c>
      <c r="R838" s="3">
        <f t="shared" si="156"/>
        <v>28</v>
      </c>
      <c r="S838" s="3">
        <f t="shared" si="152"/>
        <v>3602.5999999999985</v>
      </c>
      <c r="T838" s="24"/>
      <c r="U838" s="24" t="s">
        <v>1334</v>
      </c>
      <c r="V838" s="3"/>
      <c r="W838" s="25">
        <f>IFERROR(VLOOKUP(Caja_Arequipa[[#This Row],[destinatario]],CHOOSE({1,2},Clientes_Proveedores[Razon Social],Clientes_Proveedores[Ruc / Dni]),2,0),"")</f>
        <v>73649810</v>
      </c>
      <c r="X838" s="3"/>
      <c r="Y838" s="3"/>
      <c r="Z838" s="3"/>
      <c r="AA838" s="3"/>
      <c r="AB838" s="3" t="str">
        <f>IF(Caja_Arequipa[[#This Row],[fecha]]&gt;0,TEXT(Caja_Arequipa[[#This Row],[fecha]],"mmmm"),0)</f>
        <v>Setiembre</v>
      </c>
    </row>
    <row r="839" spans="1:28" x14ac:dyDescent="0.3">
      <c r="A839" s="2">
        <f>IF(Caja_Arequipa[[#This Row],[tipo_r]]="R",COUNTIFS($C$1:$C838,"R")+1,A838)</f>
        <v>662</v>
      </c>
      <c r="B839" s="19" t="str">
        <f t="shared" si="153"/>
        <v>C-Tesoreria</v>
      </c>
      <c r="C839" s="3" t="s">
        <v>1330</v>
      </c>
      <c r="D839" s="14">
        <v>45918</v>
      </c>
      <c r="E839" s="5" t="s">
        <v>1338</v>
      </c>
      <c r="F839" s="5" t="s">
        <v>1336</v>
      </c>
      <c r="G839" s="3" t="s">
        <v>5317</v>
      </c>
      <c r="H839" s="6"/>
      <c r="I839" s="165"/>
      <c r="J839" s="6"/>
      <c r="K839" s="6"/>
      <c r="L839" s="7" t="s">
        <v>6055</v>
      </c>
      <c r="M839" s="8" t="str">
        <f>IF(Caja_Arequipa[[#This Row],[tipo_r]]="R","001-"&amp;12002+A839,M838)</f>
        <v>001-12664</v>
      </c>
      <c r="N839" s="8" t="str">
        <f t="shared" si="154"/>
        <v>PEN</v>
      </c>
      <c r="O839" s="13"/>
      <c r="P839" s="13">
        <v>52.5</v>
      </c>
      <c r="Q839" s="3">
        <f t="shared" si="155"/>
        <v>0</v>
      </c>
      <c r="R839" s="3">
        <f t="shared" si="156"/>
        <v>52.5</v>
      </c>
      <c r="S839" s="3">
        <f t="shared" si="152"/>
        <v>3550.0999999999985</v>
      </c>
      <c r="T839" s="24"/>
      <c r="U839" s="24" t="s">
        <v>1334</v>
      </c>
      <c r="V839" s="3"/>
      <c r="W839" s="25" t="str">
        <f>IFERROR(VLOOKUP(Caja_Arequipa[[#This Row],[destinatario]],CHOOSE({1,2},Clientes_Proveedores[Razon Social],Clientes_Proveedores[Ruc / Dni]),2,0),"")</f>
        <v/>
      </c>
      <c r="X839" s="3"/>
      <c r="Y839" s="3"/>
      <c r="Z839" s="3"/>
      <c r="AA839" s="3"/>
      <c r="AB839" s="3" t="str">
        <f>IF(Caja_Arequipa[[#This Row],[fecha]]&gt;0,TEXT(Caja_Arequipa[[#This Row],[fecha]],"mmmm"),0)</f>
        <v>Setiembre</v>
      </c>
    </row>
    <row r="840" spans="1:28" x14ac:dyDescent="0.3">
      <c r="A840" s="2">
        <f>IF(Caja_Arequipa[[#This Row],[tipo_r]]="R",COUNTIFS($C$1:$C839,"R")+1,A839)</f>
        <v>662</v>
      </c>
      <c r="B840" s="19" t="str">
        <f t="shared" si="153"/>
        <v>C-Tesoreria</v>
      </c>
      <c r="C840" s="3" t="s">
        <v>1352</v>
      </c>
      <c r="D840" s="14">
        <v>45918</v>
      </c>
      <c r="E840" s="5" t="s">
        <v>1338</v>
      </c>
      <c r="F840" s="5" t="s">
        <v>1336</v>
      </c>
      <c r="G840" s="3"/>
      <c r="H840" s="6" t="s">
        <v>978</v>
      </c>
      <c r="I840" s="165" t="s">
        <v>68</v>
      </c>
      <c r="J840" s="6" t="s">
        <v>6204</v>
      </c>
      <c r="K840" s="6">
        <v>1839222</v>
      </c>
      <c r="L840" s="7" t="s">
        <v>6055</v>
      </c>
      <c r="M840" s="8" t="str">
        <f>IF(Caja_Arequipa[[#This Row],[tipo_r]]="R","001-"&amp;12002+A840,M839)</f>
        <v>001-12664</v>
      </c>
      <c r="N840" s="8" t="str">
        <f t="shared" si="154"/>
        <v>PEN</v>
      </c>
      <c r="O840" s="13">
        <v>5</v>
      </c>
      <c r="P840" s="13"/>
      <c r="Q840" s="3">
        <f t="shared" si="155"/>
        <v>0</v>
      </c>
      <c r="R840" s="3">
        <f t="shared" si="156"/>
        <v>0</v>
      </c>
      <c r="S840" s="3">
        <f t="shared" si="152"/>
        <v>3550.0999999999985</v>
      </c>
      <c r="T840" s="24"/>
      <c r="U840" s="24" t="s">
        <v>1334</v>
      </c>
      <c r="V840" s="3"/>
      <c r="W840" s="25">
        <f>IFERROR(VLOOKUP(Caja_Arequipa[[#This Row],[destinatario]],CHOOSE({1,2},Clientes_Proveedores[Razon Social],Clientes_Proveedores[Ruc / Dni]),2,0),"")</f>
        <v>20517252558</v>
      </c>
      <c r="X840" s="3"/>
      <c r="Y840" s="3"/>
      <c r="Z840" s="3"/>
      <c r="AA840" s="3"/>
      <c r="AB840" s="3" t="str">
        <f>IF(Caja_Arequipa[[#This Row],[fecha]]&gt;0,TEXT(Caja_Arequipa[[#This Row],[fecha]],"mmmm"),0)</f>
        <v>Setiembre</v>
      </c>
    </row>
    <row r="841" spans="1:28" x14ac:dyDescent="0.3">
      <c r="A841" s="2">
        <f>IF(Caja_Arequipa[[#This Row],[tipo_r]]="R",COUNTIFS($C$1:$C840,"R")+1,A840)</f>
        <v>662</v>
      </c>
      <c r="B841" s="19" t="str">
        <f t="shared" si="153"/>
        <v>C-Tesoreria</v>
      </c>
      <c r="C841" s="3" t="s">
        <v>1352</v>
      </c>
      <c r="D841" s="14">
        <v>45918</v>
      </c>
      <c r="E841" s="5" t="s">
        <v>1338</v>
      </c>
      <c r="F841" s="5" t="s">
        <v>1336</v>
      </c>
      <c r="G841" s="3"/>
      <c r="H841" s="6" t="s">
        <v>978</v>
      </c>
      <c r="I841" s="165" t="s">
        <v>68</v>
      </c>
      <c r="J841" s="6" t="s">
        <v>5845</v>
      </c>
      <c r="K841" s="6">
        <v>1860815</v>
      </c>
      <c r="L841" s="7" t="s">
        <v>6055</v>
      </c>
      <c r="M841" s="8" t="str">
        <f>IF(Caja_Arequipa[[#This Row],[tipo_r]]="R","001-"&amp;12002+A841,M840)</f>
        <v>001-12664</v>
      </c>
      <c r="N841" s="8" t="str">
        <f t="shared" si="154"/>
        <v>PEN</v>
      </c>
      <c r="O841" s="13">
        <v>5</v>
      </c>
      <c r="P841" s="13"/>
      <c r="Q841" s="3">
        <f t="shared" si="155"/>
        <v>0</v>
      </c>
      <c r="R841" s="3">
        <f t="shared" si="156"/>
        <v>0</v>
      </c>
      <c r="S841" s="3">
        <f t="shared" si="152"/>
        <v>3550.0999999999985</v>
      </c>
      <c r="T841" s="24"/>
      <c r="U841" s="24" t="s">
        <v>1334</v>
      </c>
      <c r="V841" s="3"/>
      <c r="W841" s="25">
        <f>IFERROR(VLOOKUP(Caja_Arequipa[[#This Row],[destinatario]],CHOOSE({1,2},Clientes_Proveedores[Razon Social],Clientes_Proveedores[Ruc / Dni]),2,0),"")</f>
        <v>20517252558</v>
      </c>
      <c r="X841" s="3"/>
      <c r="Y841" s="3"/>
      <c r="Z841" s="3"/>
      <c r="AA841" s="3"/>
      <c r="AB841" s="3" t="str">
        <f>IF(Caja_Arequipa[[#This Row],[fecha]]&gt;0,TEXT(Caja_Arequipa[[#This Row],[fecha]],"mmmm"),0)</f>
        <v>Setiembre</v>
      </c>
    </row>
    <row r="842" spans="1:28" ht="24" x14ac:dyDescent="0.3">
      <c r="A842" s="2">
        <f>IF(Caja_Arequipa[[#This Row],[tipo_r]]="R",COUNTIFS($C$1:$C841,"R")+1,A841)</f>
        <v>662</v>
      </c>
      <c r="B842" s="19" t="str">
        <f t="shared" si="153"/>
        <v>C-Tesoreria</v>
      </c>
      <c r="C842" s="3" t="s">
        <v>1352</v>
      </c>
      <c r="D842" s="14">
        <v>45918</v>
      </c>
      <c r="E842" s="5" t="s">
        <v>1338</v>
      </c>
      <c r="F842" s="5" t="s">
        <v>1336</v>
      </c>
      <c r="G842" s="3"/>
      <c r="H842" s="6" t="s">
        <v>684</v>
      </c>
      <c r="I842" s="165" t="s">
        <v>68</v>
      </c>
      <c r="J842" s="6" t="s">
        <v>1374</v>
      </c>
      <c r="K842" s="6">
        <v>7455</v>
      </c>
      <c r="L842" s="7" t="s">
        <v>6055</v>
      </c>
      <c r="M842" s="8" t="str">
        <f>IF(Caja_Arequipa[[#This Row],[tipo_r]]="R","001-"&amp;12002+A842,M841)</f>
        <v>001-12664</v>
      </c>
      <c r="N842" s="8" t="str">
        <f t="shared" si="154"/>
        <v>PEN</v>
      </c>
      <c r="O842" s="13">
        <v>16</v>
      </c>
      <c r="P842" s="13"/>
      <c r="Q842" s="3">
        <f t="shared" si="155"/>
        <v>0</v>
      </c>
      <c r="R842" s="3">
        <f t="shared" si="156"/>
        <v>0</v>
      </c>
      <c r="S842" s="3">
        <f t="shared" si="152"/>
        <v>3550.0999999999985</v>
      </c>
      <c r="T842" s="24"/>
      <c r="U842" s="24" t="s">
        <v>1334</v>
      </c>
      <c r="V842" s="3"/>
      <c r="W842" s="25">
        <f>IFERROR(VLOOKUP(Caja_Arequipa[[#This Row],[destinatario]],CHOOSE({1,2},Clientes_Proveedores[Razon Social],Clientes_Proveedores[Ruc / Dni]),2,0),"")</f>
        <v>20604947520</v>
      </c>
      <c r="X842" s="3"/>
      <c r="Y842" s="3"/>
      <c r="Z842" s="3"/>
      <c r="AA842" s="3"/>
      <c r="AB842" s="3" t="str">
        <f>IF(Caja_Arequipa[[#This Row],[fecha]]&gt;0,TEXT(Caja_Arequipa[[#This Row],[fecha]],"mmmm"),0)</f>
        <v>Setiembre</v>
      </c>
    </row>
    <row r="843" spans="1:28" ht="24" x14ac:dyDescent="0.3">
      <c r="A843" s="2">
        <f>IF(Caja_Arequipa[[#This Row],[tipo_r]]="R",COUNTIFS($C$1:$C842,"R")+1,A842)</f>
        <v>662</v>
      </c>
      <c r="B843" s="19" t="str">
        <f t="shared" si="153"/>
        <v>C-Tesoreria</v>
      </c>
      <c r="C843" s="3" t="s">
        <v>1352</v>
      </c>
      <c r="D843" s="14">
        <v>45918</v>
      </c>
      <c r="E843" s="5" t="s">
        <v>1338</v>
      </c>
      <c r="F843" s="5" t="s">
        <v>1336</v>
      </c>
      <c r="G843" s="3"/>
      <c r="H843" s="6" t="s">
        <v>1189</v>
      </c>
      <c r="I843" s="165" t="s">
        <v>75</v>
      </c>
      <c r="J843" s="6">
        <v>1</v>
      </c>
      <c r="K843" s="6">
        <v>25</v>
      </c>
      <c r="L843" s="7" t="s">
        <v>6055</v>
      </c>
      <c r="M843" s="8" t="str">
        <f>IF(Caja_Arequipa[[#This Row],[tipo_r]]="R","001-"&amp;12002+A843,M842)</f>
        <v>001-12664</v>
      </c>
      <c r="N843" s="8" t="str">
        <f t="shared" si="154"/>
        <v>PEN</v>
      </c>
      <c r="O843" s="13">
        <v>15</v>
      </c>
      <c r="P843" s="13"/>
      <c r="Q843" s="3">
        <f t="shared" si="155"/>
        <v>0</v>
      </c>
      <c r="R843" s="3">
        <f t="shared" si="156"/>
        <v>0</v>
      </c>
      <c r="S843" s="3">
        <f t="shared" si="152"/>
        <v>3550.0999999999985</v>
      </c>
      <c r="T843" s="24"/>
      <c r="U843" s="24" t="s">
        <v>1334</v>
      </c>
      <c r="V843" s="3"/>
      <c r="W843" s="25">
        <f>IFERROR(VLOOKUP(Caja_Arequipa[[#This Row],[destinatario]],CHOOSE({1,2},Clientes_Proveedores[Razon Social],Clientes_Proveedores[Ruc / Dni]),2,0),"")</f>
        <v>10248626688</v>
      </c>
      <c r="X843" s="3"/>
      <c r="Y843" s="3"/>
      <c r="Z843" s="3"/>
      <c r="AA843" s="3"/>
      <c r="AB843" s="3" t="str">
        <f>IF(Caja_Arequipa[[#This Row],[fecha]]&gt;0,TEXT(Caja_Arequipa[[#This Row],[fecha]],"mmmm"),0)</f>
        <v>Setiembre</v>
      </c>
    </row>
    <row r="844" spans="1:28" ht="24" x14ac:dyDescent="0.3">
      <c r="A844" s="2">
        <f>IF(Caja_Arequipa[[#This Row],[tipo_r]]="R",COUNTIFS($C$1:$C843,"R")+1,A843)</f>
        <v>662</v>
      </c>
      <c r="B844" s="19" t="str">
        <f t="shared" si="153"/>
        <v>C-Tesoreria</v>
      </c>
      <c r="C844" s="3" t="s">
        <v>1352</v>
      </c>
      <c r="D844" s="14">
        <v>45918</v>
      </c>
      <c r="E844" s="5" t="s">
        <v>1338</v>
      </c>
      <c r="F844" s="5" t="s">
        <v>1336</v>
      </c>
      <c r="G844" s="3"/>
      <c r="H844" s="6" t="s">
        <v>986</v>
      </c>
      <c r="I844" s="165" t="s">
        <v>75</v>
      </c>
      <c r="J844" s="6">
        <v>1</v>
      </c>
      <c r="K844" s="6">
        <v>195</v>
      </c>
      <c r="L844" s="7" t="s">
        <v>6055</v>
      </c>
      <c r="M844" s="8" t="str">
        <f>IF(Caja_Arequipa[[#This Row],[tipo_r]]="R","001-"&amp;12002+A844,M843)</f>
        <v>001-12664</v>
      </c>
      <c r="N844" s="8" t="str">
        <f t="shared" si="154"/>
        <v>PEN</v>
      </c>
      <c r="O844" s="13">
        <v>11.5</v>
      </c>
      <c r="P844" s="13"/>
      <c r="Q844" s="3">
        <f t="shared" si="155"/>
        <v>0</v>
      </c>
      <c r="R844" s="3">
        <f t="shared" si="156"/>
        <v>0</v>
      </c>
      <c r="S844" s="3">
        <f t="shared" si="152"/>
        <v>3550.0999999999985</v>
      </c>
      <c r="T844" s="24"/>
      <c r="U844" s="24" t="s">
        <v>1334</v>
      </c>
      <c r="V844" s="3"/>
      <c r="W844" s="25">
        <f>IFERROR(VLOOKUP(Caja_Arequipa[[#This Row],[destinatario]],CHOOSE({1,2},Clientes_Proveedores[Razon Social],Clientes_Proveedores[Ruc / Dni]),2,0),"")</f>
        <v>10309622885</v>
      </c>
      <c r="X844" s="3"/>
      <c r="Y844" s="3"/>
      <c r="Z844" s="3"/>
      <c r="AA844" s="3"/>
      <c r="AB844" s="3" t="str">
        <f>IF(Caja_Arequipa[[#This Row],[fecha]]&gt;0,TEXT(Caja_Arequipa[[#This Row],[fecha]],"mmmm"),0)</f>
        <v>Setiembre</v>
      </c>
    </row>
    <row r="845" spans="1:28" x14ac:dyDescent="0.3">
      <c r="A845" s="2">
        <f>IF(Caja_Arequipa[[#This Row],[tipo_r]]="R",COUNTIFS($C$1:$C844,"R")+1,A844)</f>
        <v>663</v>
      </c>
      <c r="B845" s="19" t="str">
        <f t="shared" ref="B845:B858" si="157">"C-Tesoreria"</f>
        <v>C-Tesoreria</v>
      </c>
      <c r="C845" s="3" t="s">
        <v>1330</v>
      </c>
      <c r="D845" s="14">
        <v>45918</v>
      </c>
      <c r="E845" s="5" t="s">
        <v>1338</v>
      </c>
      <c r="F845" s="5" t="s">
        <v>1336</v>
      </c>
      <c r="G845" s="3" t="s">
        <v>5303</v>
      </c>
      <c r="H845" s="6"/>
      <c r="I845" s="165"/>
      <c r="J845" s="6"/>
      <c r="K845" s="6"/>
      <c r="L845" s="7" t="s">
        <v>6055</v>
      </c>
      <c r="M845" s="8" t="str">
        <f>IF(Caja_Arequipa[[#This Row],[tipo_r]]="R","001-"&amp;12002+A845,M844)</f>
        <v>001-12665</v>
      </c>
      <c r="N845" s="8" t="str">
        <f t="shared" ref="N845:N858" si="158">"PEN"</f>
        <v>PEN</v>
      </c>
      <c r="O845" s="13"/>
      <c r="P845" s="13">
        <v>48.5</v>
      </c>
      <c r="Q845" s="3">
        <f t="shared" ref="Q845:Q858" si="159">+IF(OR($F845="SALDO",$F845="INGRESO"),$P845,0)</f>
        <v>0</v>
      </c>
      <c r="R845" s="3">
        <f t="shared" ref="R845:R858" si="160">+IF($F845="EGRESO",$P845,0)</f>
        <v>48.5</v>
      </c>
      <c r="S845" s="3">
        <f t="shared" si="152"/>
        <v>3501.5999999999985</v>
      </c>
      <c r="T845" s="24"/>
      <c r="U845" s="24" t="s">
        <v>1334</v>
      </c>
      <c r="V845" s="3"/>
      <c r="W845" s="25" t="str">
        <f>IFERROR(VLOOKUP(Caja_Arequipa[[#This Row],[destinatario]],CHOOSE({1,2},Clientes_Proveedores[Razon Social],Clientes_Proveedores[Ruc / Dni]),2,0),"")</f>
        <v/>
      </c>
      <c r="X845" s="3"/>
      <c r="Y845" s="3"/>
      <c r="Z845" s="3"/>
      <c r="AA845" s="3"/>
      <c r="AB845" s="3" t="str">
        <f>IF(Caja_Arequipa[[#This Row],[fecha]]&gt;0,TEXT(Caja_Arequipa[[#This Row],[fecha]],"mmmm"),0)</f>
        <v>Setiembre</v>
      </c>
    </row>
    <row r="846" spans="1:28" ht="24" x14ac:dyDescent="0.3">
      <c r="A846" s="2">
        <f>IF(Caja_Arequipa[[#This Row],[tipo_r]]="R",COUNTIFS($C$1:$C845,"R")+1,A845)</f>
        <v>663</v>
      </c>
      <c r="B846" s="19" t="str">
        <f t="shared" si="157"/>
        <v>C-Tesoreria</v>
      </c>
      <c r="C846" s="3" t="s">
        <v>1352</v>
      </c>
      <c r="D846" s="14">
        <v>45918</v>
      </c>
      <c r="E846" s="5" t="s">
        <v>1338</v>
      </c>
      <c r="F846" s="5" t="s">
        <v>1336</v>
      </c>
      <c r="G846" s="3"/>
      <c r="H846" s="6" t="s">
        <v>684</v>
      </c>
      <c r="I846" s="165" t="s">
        <v>68</v>
      </c>
      <c r="J846" s="6" t="s">
        <v>1374</v>
      </c>
      <c r="K846" s="6">
        <v>7479</v>
      </c>
      <c r="L846" s="7" t="s">
        <v>6055</v>
      </c>
      <c r="M846" s="8" t="str">
        <f>IF(Caja_Arequipa[[#This Row],[tipo_r]]="R","001-"&amp;12002+A846,M845)</f>
        <v>001-12665</v>
      </c>
      <c r="N846" s="8" t="str">
        <f t="shared" si="158"/>
        <v>PEN</v>
      </c>
      <c r="O846" s="13">
        <v>23.5</v>
      </c>
      <c r="P846" s="13"/>
      <c r="Q846" s="3">
        <f t="shared" si="159"/>
        <v>0</v>
      </c>
      <c r="R846" s="3">
        <f t="shared" si="160"/>
        <v>0</v>
      </c>
      <c r="S846" s="3">
        <f t="shared" si="152"/>
        <v>3501.5999999999985</v>
      </c>
      <c r="T846" s="24"/>
      <c r="U846" s="24" t="s">
        <v>1334</v>
      </c>
      <c r="V846" s="3"/>
      <c r="W846" s="25">
        <f>IFERROR(VLOOKUP(Caja_Arequipa[[#This Row],[destinatario]],CHOOSE({1,2},Clientes_Proveedores[Razon Social],Clientes_Proveedores[Ruc / Dni]),2,0),"")</f>
        <v>20604947520</v>
      </c>
      <c r="X846" s="3"/>
      <c r="Y846" s="3"/>
      <c r="Z846" s="3"/>
      <c r="AA846" s="3"/>
      <c r="AB846" s="3" t="str">
        <f>IF(Caja_Arequipa[[#This Row],[fecha]]&gt;0,TEXT(Caja_Arequipa[[#This Row],[fecha]],"mmmm"),0)</f>
        <v>Setiembre</v>
      </c>
    </row>
    <row r="847" spans="1:28" ht="24" x14ac:dyDescent="0.3">
      <c r="A847" s="2">
        <f>IF(Caja_Arequipa[[#This Row],[tipo_r]]="R",COUNTIFS($C$1:$C846,"R")+1,A846)</f>
        <v>663</v>
      </c>
      <c r="B847" s="19" t="str">
        <f t="shared" si="157"/>
        <v>C-Tesoreria</v>
      </c>
      <c r="C847" s="3" t="s">
        <v>1352</v>
      </c>
      <c r="D847" s="14">
        <v>45918</v>
      </c>
      <c r="E847" s="5" t="s">
        <v>1338</v>
      </c>
      <c r="F847" s="5" t="s">
        <v>1336</v>
      </c>
      <c r="G847" s="3"/>
      <c r="H847" s="6" t="s">
        <v>684</v>
      </c>
      <c r="I847" s="165" t="s">
        <v>68</v>
      </c>
      <c r="J847" s="6" t="s">
        <v>1374</v>
      </c>
      <c r="K847" s="6">
        <v>7383</v>
      </c>
      <c r="L847" s="7" t="s">
        <v>6055</v>
      </c>
      <c r="M847" s="8" t="str">
        <f>IF(Caja_Arequipa[[#This Row],[tipo_r]]="R","001-"&amp;12002+A847,M846)</f>
        <v>001-12665</v>
      </c>
      <c r="N847" s="8" t="str">
        <f t="shared" si="158"/>
        <v>PEN</v>
      </c>
      <c r="O847" s="13">
        <v>25</v>
      </c>
      <c r="P847" s="13"/>
      <c r="Q847" s="3">
        <f t="shared" si="159"/>
        <v>0</v>
      </c>
      <c r="R847" s="3">
        <f t="shared" si="160"/>
        <v>0</v>
      </c>
      <c r="S847" s="3">
        <f t="shared" si="152"/>
        <v>3501.5999999999985</v>
      </c>
      <c r="T847" s="24"/>
      <c r="U847" s="24" t="s">
        <v>1334</v>
      </c>
      <c r="V847" s="3"/>
      <c r="W847" s="25">
        <f>IFERROR(VLOOKUP(Caja_Arequipa[[#This Row],[destinatario]],CHOOSE({1,2},Clientes_Proveedores[Razon Social],Clientes_Proveedores[Ruc / Dni]),2,0),"")</f>
        <v>20604947520</v>
      </c>
      <c r="X847" s="3"/>
      <c r="Y847" s="3"/>
      <c r="Z847" s="3"/>
      <c r="AA847" s="3"/>
      <c r="AB847" s="3" t="str">
        <f>IF(Caja_Arequipa[[#This Row],[fecha]]&gt;0,TEXT(Caja_Arequipa[[#This Row],[fecha]],"mmmm"),0)</f>
        <v>Setiembre</v>
      </c>
    </row>
    <row r="848" spans="1:28" ht="24" x14ac:dyDescent="0.3">
      <c r="A848" s="2">
        <f>IF(Caja_Arequipa[[#This Row],[tipo_r]]="R",COUNTIFS($C$1:$C847,"R")+1,A847)</f>
        <v>664</v>
      </c>
      <c r="B848" s="19" t="str">
        <f t="shared" si="157"/>
        <v>C-Tesoreria</v>
      </c>
      <c r="C848" s="3" t="s">
        <v>1330</v>
      </c>
      <c r="D848" s="14">
        <v>45918</v>
      </c>
      <c r="E848" s="5" t="s">
        <v>1338</v>
      </c>
      <c r="F848" s="5" t="s">
        <v>1336</v>
      </c>
      <c r="G848" s="3" t="s">
        <v>4788</v>
      </c>
      <c r="H848" s="6" t="s">
        <v>1115</v>
      </c>
      <c r="I848" s="165" t="s">
        <v>68</v>
      </c>
      <c r="J848" s="6" t="s">
        <v>1376</v>
      </c>
      <c r="K848" s="6">
        <v>3983</v>
      </c>
      <c r="L848" s="7" t="s">
        <v>6299</v>
      </c>
      <c r="M848" s="8" t="str">
        <f>IF(Caja_Arequipa[[#This Row],[tipo_r]]="R","001-"&amp;12002+A848,M847)</f>
        <v>001-12666</v>
      </c>
      <c r="N848" s="8" t="str">
        <f t="shared" si="158"/>
        <v>PEN</v>
      </c>
      <c r="O848" s="13"/>
      <c r="P848" s="13">
        <v>65</v>
      </c>
      <c r="Q848" s="3">
        <f t="shared" si="159"/>
        <v>0</v>
      </c>
      <c r="R848" s="3">
        <f t="shared" si="160"/>
        <v>65</v>
      </c>
      <c r="S848" s="3">
        <f t="shared" si="152"/>
        <v>3436.5999999999985</v>
      </c>
      <c r="T848" s="24"/>
      <c r="U848" s="24" t="s">
        <v>1334</v>
      </c>
      <c r="V848" s="3"/>
      <c r="W848" s="25">
        <f>IFERROR(VLOOKUP(Caja_Arequipa[[#This Row],[destinatario]],CHOOSE({1,2},Clientes_Proveedores[Razon Social],Clientes_Proveedores[Ruc / Dni]),2,0),"")</f>
        <v>10449756199</v>
      </c>
      <c r="X848" s="3"/>
      <c r="Y848" s="3"/>
      <c r="Z848" s="3"/>
      <c r="AA848" s="3"/>
      <c r="AB848" s="3" t="str">
        <f>IF(Caja_Arequipa[[#This Row],[fecha]]&gt;0,TEXT(Caja_Arequipa[[#This Row],[fecha]],"mmmm"),0)</f>
        <v>Setiembre</v>
      </c>
    </row>
    <row r="849" spans="1:28" x14ac:dyDescent="0.3">
      <c r="A849" s="2">
        <f>IF(Caja_Arequipa[[#This Row],[tipo_r]]="R",COUNTIFS($C$1:$C848,"R")+1,A848)</f>
        <v>665</v>
      </c>
      <c r="B849" s="19" t="str">
        <f t="shared" si="157"/>
        <v>C-Tesoreria</v>
      </c>
      <c r="C849" s="3" t="s">
        <v>1330</v>
      </c>
      <c r="D849" s="14">
        <v>45922</v>
      </c>
      <c r="E849" s="5" t="s">
        <v>1338</v>
      </c>
      <c r="F849" s="5" t="s">
        <v>1336</v>
      </c>
      <c r="G849" s="3" t="s">
        <v>5380</v>
      </c>
      <c r="H849" s="6"/>
      <c r="I849" s="165"/>
      <c r="J849" s="6"/>
      <c r="K849" s="6"/>
      <c r="L849" s="7" t="s">
        <v>6055</v>
      </c>
      <c r="M849" s="8" t="str">
        <f>IF(Caja_Arequipa[[#This Row],[tipo_r]]="R","001-"&amp;12002+A849,M848)</f>
        <v>001-12667</v>
      </c>
      <c r="N849" s="8" t="str">
        <f t="shared" si="158"/>
        <v>PEN</v>
      </c>
      <c r="O849" s="13"/>
      <c r="P849" s="13">
        <v>154</v>
      </c>
      <c r="Q849" s="3">
        <f t="shared" si="159"/>
        <v>0</v>
      </c>
      <c r="R849" s="3">
        <f t="shared" si="160"/>
        <v>154</v>
      </c>
      <c r="S849" s="3">
        <f t="shared" si="152"/>
        <v>3282.5999999999985</v>
      </c>
      <c r="T849" s="24"/>
      <c r="U849" s="24" t="s">
        <v>1334</v>
      </c>
      <c r="V849" s="3"/>
      <c r="W849" s="25" t="str">
        <f>IFERROR(VLOOKUP(Caja_Arequipa[[#This Row],[destinatario]],CHOOSE({1,2},Clientes_Proveedores[Razon Social],Clientes_Proveedores[Ruc / Dni]),2,0),"")</f>
        <v/>
      </c>
      <c r="X849" s="3"/>
      <c r="Y849" s="3"/>
      <c r="Z849" s="3"/>
      <c r="AA849" s="3"/>
      <c r="AB849" s="3" t="str">
        <f>IF(Caja_Arequipa[[#This Row],[fecha]]&gt;0,TEXT(Caja_Arequipa[[#This Row],[fecha]],"mmmm"),0)</f>
        <v>Setiembre</v>
      </c>
    </row>
    <row r="850" spans="1:28" ht="24" x14ac:dyDescent="0.3">
      <c r="A850" s="2">
        <f>IF(Caja_Arequipa[[#This Row],[tipo_r]]="R",COUNTIFS($C$1:$C849,"R")+1,A849)</f>
        <v>665</v>
      </c>
      <c r="B850" s="19" t="str">
        <f t="shared" si="157"/>
        <v>C-Tesoreria</v>
      </c>
      <c r="C850" s="3" t="s">
        <v>1352</v>
      </c>
      <c r="D850" s="14">
        <v>45922</v>
      </c>
      <c r="E850" s="5" t="s">
        <v>1338</v>
      </c>
      <c r="F850" s="5" t="s">
        <v>1336</v>
      </c>
      <c r="G850" s="3"/>
      <c r="H850" s="6" t="s">
        <v>922</v>
      </c>
      <c r="I850" s="165" t="s">
        <v>111</v>
      </c>
      <c r="J850" s="6">
        <v>3</v>
      </c>
      <c r="K850" s="6">
        <v>330</v>
      </c>
      <c r="L850" s="7" t="s">
        <v>6055</v>
      </c>
      <c r="M850" s="8" t="str">
        <f>IF(Caja_Arequipa[[#This Row],[tipo_r]]="R","001-"&amp;12002+A850,M849)</f>
        <v>001-12667</v>
      </c>
      <c r="N850" s="8" t="str">
        <f t="shared" si="158"/>
        <v>PEN</v>
      </c>
      <c r="O850" s="13">
        <v>44</v>
      </c>
      <c r="P850" s="13"/>
      <c r="Q850" s="3">
        <f t="shared" si="159"/>
        <v>0</v>
      </c>
      <c r="R850" s="3">
        <f t="shared" si="160"/>
        <v>0</v>
      </c>
      <c r="S850" s="3">
        <f t="shared" si="152"/>
        <v>3282.5999999999985</v>
      </c>
      <c r="T850" s="24"/>
      <c r="U850" s="24" t="s">
        <v>1334</v>
      </c>
      <c r="V850" s="3"/>
      <c r="W850" s="25">
        <f>IFERROR(VLOOKUP(Caja_Arequipa[[#This Row],[destinatario]],CHOOSE({1,2},Clientes_Proveedores[Razon Social],Clientes_Proveedores[Ruc / Dni]),2,0),"")</f>
        <v>72537561</v>
      </c>
      <c r="X850" s="3"/>
      <c r="Y850" s="3"/>
      <c r="Z850" s="3"/>
      <c r="AA850" s="3"/>
      <c r="AB850" s="3" t="str">
        <f>IF(Caja_Arequipa[[#This Row],[fecha]]&gt;0,TEXT(Caja_Arequipa[[#This Row],[fecha]],"mmmm"),0)</f>
        <v>Setiembre</v>
      </c>
    </row>
    <row r="851" spans="1:28" ht="36" x14ac:dyDescent="0.3">
      <c r="A851" s="2">
        <f>IF(Caja_Arequipa[[#This Row],[tipo_r]]="R",COUNTIFS($C$1:$C850,"R")+1,A850)</f>
        <v>665</v>
      </c>
      <c r="B851" s="19" t="str">
        <f t="shared" si="157"/>
        <v>C-Tesoreria</v>
      </c>
      <c r="C851" s="3" t="s">
        <v>1352</v>
      </c>
      <c r="D851" s="14">
        <v>45922</v>
      </c>
      <c r="E851" s="5" t="s">
        <v>1338</v>
      </c>
      <c r="F851" s="5" t="s">
        <v>1336</v>
      </c>
      <c r="G851" s="3"/>
      <c r="H851" s="6" t="s">
        <v>971</v>
      </c>
      <c r="I851" s="165" t="s">
        <v>68</v>
      </c>
      <c r="J851" s="6" t="s">
        <v>1376</v>
      </c>
      <c r="K851" s="6">
        <v>146</v>
      </c>
      <c r="L851" s="7" t="s">
        <v>6055</v>
      </c>
      <c r="M851" s="8" t="str">
        <f>IF(Caja_Arequipa[[#This Row],[tipo_r]]="R","001-"&amp;12002+A851,M850)</f>
        <v>001-12667</v>
      </c>
      <c r="N851" s="8" t="str">
        <f t="shared" si="158"/>
        <v>PEN</v>
      </c>
      <c r="O851" s="13">
        <v>35</v>
      </c>
      <c r="P851" s="13"/>
      <c r="Q851" s="3">
        <f t="shared" si="159"/>
        <v>0</v>
      </c>
      <c r="R851" s="3">
        <f t="shared" si="160"/>
        <v>0</v>
      </c>
      <c r="S851" s="3">
        <f t="shared" si="152"/>
        <v>3282.5999999999985</v>
      </c>
      <c r="T851" s="24"/>
      <c r="U851" s="24" t="s">
        <v>1334</v>
      </c>
      <c r="V851" s="3"/>
      <c r="W851" s="25">
        <f>IFERROR(VLOOKUP(Caja_Arequipa[[#This Row],[destinatario]],CHOOSE({1,2},Clientes_Proveedores[Razon Social],Clientes_Proveedores[Ruc / Dni]),2,0),"")</f>
        <v>20614269309</v>
      </c>
      <c r="X851" s="3"/>
      <c r="Y851" s="3"/>
      <c r="Z851" s="3"/>
      <c r="AA851" s="3"/>
      <c r="AB851" s="3" t="str">
        <f>IF(Caja_Arequipa[[#This Row],[fecha]]&gt;0,TEXT(Caja_Arequipa[[#This Row],[fecha]],"mmmm"),0)</f>
        <v>Setiembre</v>
      </c>
    </row>
    <row r="852" spans="1:28" x14ac:dyDescent="0.3">
      <c r="A852" s="2">
        <f>IF(Caja_Arequipa[[#This Row],[tipo_r]]="R",COUNTIFS($C$1:$C851,"R")+1,A851)</f>
        <v>665</v>
      </c>
      <c r="B852" s="19" t="str">
        <f t="shared" si="157"/>
        <v>C-Tesoreria</v>
      </c>
      <c r="C852" s="3" t="s">
        <v>1352</v>
      </c>
      <c r="D852" s="14">
        <v>45922</v>
      </c>
      <c r="E852" s="5" t="s">
        <v>1338</v>
      </c>
      <c r="F852" s="5" t="s">
        <v>1336</v>
      </c>
      <c r="G852" s="3"/>
      <c r="H852" s="6" t="s">
        <v>978</v>
      </c>
      <c r="I852" s="165" t="s">
        <v>68</v>
      </c>
      <c r="J852" s="6" t="s">
        <v>5688</v>
      </c>
      <c r="K852" s="6">
        <v>2452862</v>
      </c>
      <c r="L852" s="7" t="s">
        <v>6055</v>
      </c>
      <c r="M852" s="8" t="str">
        <f>IF(Caja_Arequipa[[#This Row],[tipo_r]]="R","001-"&amp;12002+A852,M851)</f>
        <v>001-12667</v>
      </c>
      <c r="N852" s="8" t="str">
        <f t="shared" si="158"/>
        <v>PEN</v>
      </c>
      <c r="O852" s="13">
        <v>8</v>
      </c>
      <c r="P852" s="13"/>
      <c r="Q852" s="3">
        <f t="shared" si="159"/>
        <v>0</v>
      </c>
      <c r="R852" s="3">
        <f t="shared" si="160"/>
        <v>0</v>
      </c>
      <c r="S852" s="3">
        <f t="shared" si="152"/>
        <v>3282.5999999999985</v>
      </c>
      <c r="T852" s="24"/>
      <c r="U852" s="24" t="s">
        <v>1334</v>
      </c>
      <c r="V852" s="3"/>
      <c r="W852" s="25">
        <f>IFERROR(VLOOKUP(Caja_Arequipa[[#This Row],[destinatario]],CHOOSE({1,2},Clientes_Proveedores[Razon Social],Clientes_Proveedores[Ruc / Dni]),2,0),"")</f>
        <v>20517252558</v>
      </c>
      <c r="X852" s="3"/>
      <c r="Y852" s="3"/>
      <c r="Z852" s="3"/>
      <c r="AA852" s="3"/>
      <c r="AB852" s="3" t="str">
        <f>IF(Caja_Arequipa[[#This Row],[fecha]]&gt;0,TEXT(Caja_Arequipa[[#This Row],[fecha]],"mmmm"),0)</f>
        <v>Setiembre</v>
      </c>
    </row>
    <row r="853" spans="1:28" x14ac:dyDescent="0.3">
      <c r="A853" s="2">
        <f>IF(Caja_Arequipa[[#This Row],[tipo_r]]="R",COUNTIFS($C$1:$C852,"R")+1,A852)</f>
        <v>665</v>
      </c>
      <c r="B853" s="19" t="str">
        <f t="shared" si="157"/>
        <v>C-Tesoreria</v>
      </c>
      <c r="C853" s="3" t="s">
        <v>1352</v>
      </c>
      <c r="D853" s="14">
        <v>45922</v>
      </c>
      <c r="E853" s="5" t="s">
        <v>1338</v>
      </c>
      <c r="F853" s="5" t="s">
        <v>1336</v>
      </c>
      <c r="G853" s="3"/>
      <c r="H853" s="6" t="s">
        <v>978</v>
      </c>
      <c r="I853" s="165" t="s">
        <v>68</v>
      </c>
      <c r="J853" s="6" t="s">
        <v>6244</v>
      </c>
      <c r="K853" s="6">
        <v>1119564</v>
      </c>
      <c r="L853" s="7" t="s">
        <v>6055</v>
      </c>
      <c r="M853" s="8" t="str">
        <f>IF(Caja_Arequipa[[#This Row],[tipo_r]]="R","001-"&amp;12002+A853,M852)</f>
        <v>001-12667</v>
      </c>
      <c r="N853" s="8" t="str">
        <f t="shared" si="158"/>
        <v>PEN</v>
      </c>
      <c r="O853" s="13">
        <v>8</v>
      </c>
      <c r="P853" s="13"/>
      <c r="Q853" s="3">
        <f t="shared" si="159"/>
        <v>0</v>
      </c>
      <c r="R853" s="3">
        <f t="shared" si="160"/>
        <v>0</v>
      </c>
      <c r="S853" s="3">
        <f t="shared" si="152"/>
        <v>3282.5999999999985</v>
      </c>
      <c r="T853" s="24"/>
      <c r="U853" s="24" t="s">
        <v>1334</v>
      </c>
      <c r="V853" s="3"/>
      <c r="W853" s="25">
        <f>IFERROR(VLOOKUP(Caja_Arequipa[[#This Row],[destinatario]],CHOOSE({1,2},Clientes_Proveedores[Razon Social],Clientes_Proveedores[Ruc / Dni]),2,0),"")</f>
        <v>20517252558</v>
      </c>
      <c r="X853" s="3"/>
      <c r="Y853" s="3"/>
      <c r="Z853" s="3"/>
      <c r="AA853" s="3"/>
      <c r="AB853" s="3" t="str">
        <f>IF(Caja_Arequipa[[#This Row],[fecha]]&gt;0,TEXT(Caja_Arequipa[[#This Row],[fecha]],"mmmm"),0)</f>
        <v>Setiembre</v>
      </c>
    </row>
    <row r="854" spans="1:28" x14ac:dyDescent="0.3">
      <c r="A854" s="2">
        <f>IF(Caja_Arequipa[[#This Row],[tipo_r]]="R",COUNTIFS($C$1:$C853,"R")+1,A853)</f>
        <v>665</v>
      </c>
      <c r="B854" s="19" t="str">
        <f t="shared" si="157"/>
        <v>C-Tesoreria</v>
      </c>
      <c r="C854" s="3" t="s">
        <v>1352</v>
      </c>
      <c r="D854" s="14">
        <v>45922</v>
      </c>
      <c r="E854" s="5" t="s">
        <v>1338</v>
      </c>
      <c r="F854" s="5" t="s">
        <v>1336</v>
      </c>
      <c r="G854" s="3"/>
      <c r="H854" s="6" t="s">
        <v>978</v>
      </c>
      <c r="I854" s="165" t="s">
        <v>68</v>
      </c>
      <c r="J854" s="6" t="s">
        <v>6245</v>
      </c>
      <c r="K854" s="6">
        <v>1023236</v>
      </c>
      <c r="L854" s="7" t="s">
        <v>6055</v>
      </c>
      <c r="M854" s="8" t="str">
        <f>IF(Caja_Arequipa[[#This Row],[tipo_r]]="R","001-"&amp;12002+A854,M853)</f>
        <v>001-12667</v>
      </c>
      <c r="N854" s="8" t="str">
        <f t="shared" si="158"/>
        <v>PEN</v>
      </c>
      <c r="O854" s="13">
        <v>8</v>
      </c>
      <c r="P854" s="13"/>
      <c r="Q854" s="3">
        <f t="shared" si="159"/>
        <v>0</v>
      </c>
      <c r="R854" s="3">
        <f t="shared" si="160"/>
        <v>0</v>
      </c>
      <c r="S854" s="3">
        <f t="shared" si="152"/>
        <v>3282.5999999999985</v>
      </c>
      <c r="T854" s="24"/>
      <c r="U854" s="24" t="s">
        <v>1334</v>
      </c>
      <c r="V854" s="3"/>
      <c r="W854" s="25">
        <f>IFERROR(VLOOKUP(Caja_Arequipa[[#This Row],[destinatario]],CHOOSE({1,2},Clientes_Proveedores[Razon Social],Clientes_Proveedores[Ruc / Dni]),2,0),"")</f>
        <v>20517252558</v>
      </c>
      <c r="X854" s="3"/>
      <c r="Y854" s="3"/>
      <c r="Z854" s="3"/>
      <c r="AA854" s="3"/>
      <c r="AB854" s="3" t="str">
        <f>IF(Caja_Arequipa[[#This Row],[fecha]]&gt;0,TEXT(Caja_Arequipa[[#This Row],[fecha]],"mmmm"),0)</f>
        <v>Setiembre</v>
      </c>
    </row>
    <row r="855" spans="1:28" ht="36" x14ac:dyDescent="0.3">
      <c r="A855" s="2">
        <f>IF(Caja_Arequipa[[#This Row],[tipo_r]]="R",COUNTIFS($C$1:$C854,"R")+1,A854)</f>
        <v>665</v>
      </c>
      <c r="B855" s="19" t="str">
        <f t="shared" si="157"/>
        <v>C-Tesoreria</v>
      </c>
      <c r="C855" s="3" t="s">
        <v>1352</v>
      </c>
      <c r="D855" s="14">
        <v>45922</v>
      </c>
      <c r="E855" s="5" t="s">
        <v>1338</v>
      </c>
      <c r="F855" s="5" t="s">
        <v>1336</v>
      </c>
      <c r="G855" s="3"/>
      <c r="H855" s="6" t="s">
        <v>227</v>
      </c>
      <c r="I855" s="165" t="s">
        <v>68</v>
      </c>
      <c r="J855" s="6" t="s">
        <v>1390</v>
      </c>
      <c r="K855" s="6">
        <v>136086</v>
      </c>
      <c r="L855" s="7" t="s">
        <v>6055</v>
      </c>
      <c r="M855" s="8" t="str">
        <f>IF(Caja_Arequipa[[#This Row],[tipo_r]]="R","001-"&amp;12002+A855,M854)</f>
        <v>001-12667</v>
      </c>
      <c r="N855" s="8" t="str">
        <f t="shared" si="158"/>
        <v>PEN</v>
      </c>
      <c r="O855" s="13">
        <v>10</v>
      </c>
      <c r="P855" s="13"/>
      <c r="Q855" s="3">
        <f t="shared" si="159"/>
        <v>0</v>
      </c>
      <c r="R855" s="3">
        <f t="shared" si="160"/>
        <v>0</v>
      </c>
      <c r="S855" s="3">
        <f t="shared" si="152"/>
        <v>3282.5999999999985</v>
      </c>
      <c r="T855" s="24"/>
      <c r="U855" s="24" t="s">
        <v>1334</v>
      </c>
      <c r="V855" s="3"/>
      <c r="W855" s="25">
        <f>IFERROR(VLOOKUP(Caja_Arequipa[[#This Row],[destinatario]],CHOOSE({1,2},Clientes_Proveedores[Razon Social],Clientes_Proveedores[Ruc / Dni]),2,0),"")</f>
        <v>20124952850</v>
      </c>
      <c r="X855" s="3"/>
      <c r="Y855" s="3"/>
      <c r="Z855" s="3"/>
      <c r="AA855" s="3"/>
      <c r="AB855" s="3" t="str">
        <f>IF(Caja_Arequipa[[#This Row],[fecha]]&gt;0,TEXT(Caja_Arequipa[[#This Row],[fecha]],"mmmm"),0)</f>
        <v>Setiembre</v>
      </c>
    </row>
    <row r="856" spans="1:28" ht="36" x14ac:dyDescent="0.3">
      <c r="A856" s="2">
        <f>IF(Caja_Arequipa[[#This Row],[tipo_r]]="R",COUNTIFS($C$1:$C855,"R")+1,A855)</f>
        <v>665</v>
      </c>
      <c r="B856" s="19" t="str">
        <f t="shared" si="157"/>
        <v>C-Tesoreria</v>
      </c>
      <c r="C856" s="3" t="s">
        <v>1352</v>
      </c>
      <c r="D856" s="14">
        <v>45922</v>
      </c>
      <c r="E856" s="5" t="s">
        <v>1338</v>
      </c>
      <c r="F856" s="5" t="s">
        <v>1336</v>
      </c>
      <c r="G856" s="3"/>
      <c r="H856" s="6" t="s">
        <v>227</v>
      </c>
      <c r="I856" s="165" t="s">
        <v>68</v>
      </c>
      <c r="J856" s="6" t="s">
        <v>1390</v>
      </c>
      <c r="K856" s="6">
        <v>136177</v>
      </c>
      <c r="L856" s="7" t="s">
        <v>6055</v>
      </c>
      <c r="M856" s="8" t="str">
        <f>IF(Caja_Arequipa[[#This Row],[tipo_r]]="R","001-"&amp;12002+A856,M855)</f>
        <v>001-12667</v>
      </c>
      <c r="N856" s="8" t="str">
        <f t="shared" si="158"/>
        <v>PEN</v>
      </c>
      <c r="O856" s="13">
        <v>10</v>
      </c>
      <c r="P856" s="13"/>
      <c r="Q856" s="3">
        <f t="shared" si="159"/>
        <v>0</v>
      </c>
      <c r="R856" s="3">
        <f t="shared" si="160"/>
        <v>0</v>
      </c>
      <c r="S856" s="3">
        <f t="shared" si="152"/>
        <v>3282.5999999999985</v>
      </c>
      <c r="T856" s="24"/>
      <c r="U856" s="24" t="s">
        <v>1334</v>
      </c>
      <c r="V856" s="3"/>
      <c r="W856" s="25">
        <f>IFERROR(VLOOKUP(Caja_Arequipa[[#This Row],[destinatario]],CHOOSE({1,2},Clientes_Proveedores[Razon Social],Clientes_Proveedores[Ruc / Dni]),2,0),"")</f>
        <v>20124952850</v>
      </c>
      <c r="X856" s="3"/>
      <c r="Y856" s="3"/>
      <c r="Z856" s="3"/>
      <c r="AA856" s="3"/>
      <c r="AB856" s="3" t="str">
        <f>IF(Caja_Arequipa[[#This Row],[fecha]]&gt;0,TEXT(Caja_Arequipa[[#This Row],[fecha]],"mmmm"),0)</f>
        <v>Setiembre</v>
      </c>
    </row>
    <row r="857" spans="1:28" ht="36" x14ac:dyDescent="0.3">
      <c r="A857" s="2">
        <f>IF(Caja_Arequipa[[#This Row],[tipo_r]]="R",COUNTIFS($C$1:$C856,"R")+1,A856)</f>
        <v>665</v>
      </c>
      <c r="B857" s="19" t="str">
        <f t="shared" si="157"/>
        <v>C-Tesoreria</v>
      </c>
      <c r="C857" s="3" t="s">
        <v>1352</v>
      </c>
      <c r="D857" s="14">
        <v>45922</v>
      </c>
      <c r="E857" s="5" t="s">
        <v>1338</v>
      </c>
      <c r="F857" s="5" t="s">
        <v>1336</v>
      </c>
      <c r="G857" s="3"/>
      <c r="H857" s="6" t="s">
        <v>1029</v>
      </c>
      <c r="I857" s="165" t="s">
        <v>68</v>
      </c>
      <c r="J857" s="6" t="s">
        <v>1374</v>
      </c>
      <c r="K857" s="6">
        <v>18302</v>
      </c>
      <c r="L857" s="7" t="s">
        <v>6055</v>
      </c>
      <c r="M857" s="8" t="str">
        <f>IF(Caja_Arequipa[[#This Row],[tipo_r]]="R","001-"&amp;12002+A857,M856)</f>
        <v>001-12667</v>
      </c>
      <c r="N857" s="8" t="str">
        <f t="shared" si="158"/>
        <v>PEN</v>
      </c>
      <c r="O857" s="13">
        <v>11</v>
      </c>
      <c r="P857" s="13"/>
      <c r="Q857" s="3">
        <f t="shared" si="159"/>
        <v>0</v>
      </c>
      <c r="R857" s="3">
        <f t="shared" si="160"/>
        <v>0</v>
      </c>
      <c r="S857" s="3">
        <f t="shared" si="152"/>
        <v>3282.5999999999985</v>
      </c>
      <c r="T857" s="24"/>
      <c r="U857" s="24" t="s">
        <v>1334</v>
      </c>
      <c r="V857" s="3"/>
      <c r="W857" s="25">
        <f>IFERROR(VLOOKUP(Caja_Arequipa[[#This Row],[destinatario]],CHOOSE({1,2},Clientes_Proveedores[Razon Social],Clientes_Proveedores[Ruc / Dni]),2,0),"")</f>
        <v>20454058187</v>
      </c>
      <c r="X857" s="3"/>
      <c r="Y857" s="3"/>
      <c r="Z857" s="3"/>
      <c r="AA857" s="3"/>
      <c r="AB857" s="3" t="str">
        <f>IF(Caja_Arequipa[[#This Row],[fecha]]&gt;0,TEXT(Caja_Arequipa[[#This Row],[fecha]],"mmmm"),0)</f>
        <v>Setiembre</v>
      </c>
    </row>
    <row r="858" spans="1:28" ht="36.6" thickBot="1" x14ac:dyDescent="0.35">
      <c r="A858" s="170">
        <f>IF(Caja_Arequipa[[#This Row],[tipo_r]]="R",COUNTIFS($C$1:$C857,"R")+1,A857)</f>
        <v>665</v>
      </c>
      <c r="B858" s="171" t="str">
        <f t="shared" si="157"/>
        <v>C-Tesoreria</v>
      </c>
      <c r="C858" s="172" t="s">
        <v>1352</v>
      </c>
      <c r="D858" s="173">
        <v>45922</v>
      </c>
      <c r="E858" s="174" t="s">
        <v>1338</v>
      </c>
      <c r="F858" s="174" t="s">
        <v>1336</v>
      </c>
      <c r="G858" s="172"/>
      <c r="H858" s="175" t="s">
        <v>682</v>
      </c>
      <c r="I858" s="176" t="s">
        <v>68</v>
      </c>
      <c r="J858" s="175" t="s">
        <v>1353</v>
      </c>
      <c r="K858" s="175">
        <v>17575</v>
      </c>
      <c r="L858" s="177" t="s">
        <v>6055</v>
      </c>
      <c r="M858" s="178" t="str">
        <f>IF(Caja_Arequipa[[#This Row],[tipo_r]]="R","001-"&amp;12002+A858,M857)</f>
        <v>001-12667</v>
      </c>
      <c r="N858" s="178" t="str">
        <f t="shared" si="158"/>
        <v>PEN</v>
      </c>
      <c r="O858" s="179">
        <v>20</v>
      </c>
      <c r="P858" s="179"/>
      <c r="Q858" s="172">
        <f t="shared" si="159"/>
        <v>0</v>
      </c>
      <c r="R858" s="172">
        <f t="shared" si="160"/>
        <v>0</v>
      </c>
      <c r="S858" s="172">
        <f t="shared" si="152"/>
        <v>3282.5999999999985</v>
      </c>
      <c r="T858" s="180"/>
      <c r="U858" s="24" t="s">
        <v>1334</v>
      </c>
      <c r="V858" s="172"/>
      <c r="W858" s="218">
        <f>IFERROR(VLOOKUP(Caja_Arequipa[[#This Row],[destinatario]],CHOOSE({1,2},Clientes_Proveedores[Razon Social],Clientes_Proveedores[Ruc / Dni]),2,0),"")</f>
        <v>20259858934</v>
      </c>
      <c r="X858" s="172"/>
      <c r="Y858" s="172"/>
      <c r="Z858" s="172"/>
      <c r="AA858" s="172"/>
      <c r="AB858" s="172" t="str">
        <f>IF(Caja_Arequipa[[#This Row],[fecha]]&gt;0,TEXT(Caja_Arequipa[[#This Row],[fecha]],"mmmm"),0)</f>
        <v>Setiembre</v>
      </c>
    </row>
    <row r="859" spans="1:28" ht="15" thickTop="1" x14ac:dyDescent="0.3">
      <c r="A859" s="2">
        <f>IF(Caja_Arequipa[[#This Row],[tipo_r]]="R",COUNTIFS($C$1:$C858,"R")+1,A858)</f>
        <v>666</v>
      </c>
      <c r="B859" s="19" t="str">
        <f t="shared" ref="B859:B866" si="161">"C-Tesoreria"</f>
        <v>C-Tesoreria</v>
      </c>
      <c r="C859" s="3" t="s">
        <v>1330</v>
      </c>
      <c r="D859" s="14">
        <v>45924</v>
      </c>
      <c r="E859" s="5" t="s">
        <v>2269</v>
      </c>
      <c r="F859" s="5" t="s">
        <v>1336</v>
      </c>
      <c r="G859" s="3" t="s">
        <v>5274</v>
      </c>
      <c r="H859" s="6"/>
      <c r="I859" s="204"/>
      <c r="J859" s="6"/>
      <c r="K859" s="6"/>
      <c r="L859" s="7" t="s">
        <v>6055</v>
      </c>
      <c r="M859" s="8" t="str">
        <f>IF(Caja_Arequipa[[#This Row],[tipo_r]]="R","001-"&amp;12002+A859,M858)</f>
        <v>001-12668</v>
      </c>
      <c r="N859" s="8" t="str">
        <f t="shared" ref="N859:N866" si="162">"PEN"</f>
        <v>PEN</v>
      </c>
      <c r="O859" s="13"/>
      <c r="P859" s="13">
        <v>10</v>
      </c>
      <c r="Q859" s="3">
        <f t="shared" ref="Q859:Q866" si="163">+IF(OR($F859="SALDO",$F859="INGRESO"),$P859,0)</f>
        <v>0</v>
      </c>
      <c r="R859" s="3">
        <f t="shared" ref="R859:R866" si="164">+IF($F859="EGRESO",$P859,0)</f>
        <v>10</v>
      </c>
      <c r="S859" s="3">
        <f t="shared" si="152"/>
        <v>3272.5999999999985</v>
      </c>
      <c r="T859" s="24"/>
      <c r="U859" s="24" t="s">
        <v>1334</v>
      </c>
      <c r="V859" s="3"/>
      <c r="W859" s="25" t="str">
        <f>IFERROR(VLOOKUP(Caja_Arequipa[[#This Row],[destinatario]],CHOOSE({1,2},Clientes_Proveedores[Razon Social],Clientes_Proveedores[Ruc / Dni]),2,0),"")</f>
        <v/>
      </c>
      <c r="X859" s="3"/>
      <c r="Y859" s="3"/>
      <c r="Z859" s="3"/>
      <c r="AA859" s="3"/>
      <c r="AB859" s="3" t="str">
        <f>IF(Caja_Arequipa[[#This Row],[fecha]]&gt;0,TEXT(Caja_Arequipa[[#This Row],[fecha]],"mmmm"),0)</f>
        <v>Setiembre</v>
      </c>
    </row>
    <row r="860" spans="1:28" x14ac:dyDescent="0.3">
      <c r="A860" s="2">
        <f>IF(Caja_Arequipa[[#This Row],[tipo_r]]="R",COUNTIFS($C$1:$C859,"R")+1,A859)</f>
        <v>666</v>
      </c>
      <c r="B860" s="19" t="str">
        <f t="shared" si="161"/>
        <v>C-Tesoreria</v>
      </c>
      <c r="C860" s="3" t="s">
        <v>1352</v>
      </c>
      <c r="D860" s="14">
        <v>45924</v>
      </c>
      <c r="E860" s="5" t="s">
        <v>2269</v>
      </c>
      <c r="F860" s="5" t="s">
        <v>1336</v>
      </c>
      <c r="G860" s="3" t="s">
        <v>5274</v>
      </c>
      <c r="H860" s="6" t="s">
        <v>978</v>
      </c>
      <c r="I860" s="204" t="s">
        <v>68</v>
      </c>
      <c r="J860" s="6" t="s">
        <v>6204</v>
      </c>
      <c r="K860" s="6">
        <v>1830380</v>
      </c>
      <c r="L860" s="7" t="s">
        <v>6055</v>
      </c>
      <c r="M860" s="8" t="str">
        <f>IF(Caja_Arequipa[[#This Row],[tipo_r]]="R","001-"&amp;12002+A860,M859)</f>
        <v>001-12668</v>
      </c>
      <c r="N860" s="8" t="str">
        <f t="shared" si="162"/>
        <v>PEN</v>
      </c>
      <c r="O860" s="13">
        <v>5</v>
      </c>
      <c r="P860" s="13"/>
      <c r="Q860" s="3">
        <f t="shared" si="163"/>
        <v>0</v>
      </c>
      <c r="R860" s="3">
        <f t="shared" si="164"/>
        <v>0</v>
      </c>
      <c r="S860" s="3">
        <f t="shared" si="152"/>
        <v>3272.5999999999985</v>
      </c>
      <c r="T860" s="24"/>
      <c r="U860" s="24" t="s">
        <v>1334</v>
      </c>
      <c r="V860" s="3"/>
      <c r="W860" s="25">
        <f>IFERROR(VLOOKUP(Caja_Arequipa[[#This Row],[destinatario]],CHOOSE({1,2},Clientes_Proveedores[Razon Social],Clientes_Proveedores[Ruc / Dni]),2,0),"")</f>
        <v>20517252558</v>
      </c>
      <c r="X860" s="3"/>
      <c r="Y860" s="3"/>
      <c r="Z860" s="3"/>
      <c r="AA860" s="3"/>
      <c r="AB860" s="3" t="str">
        <f>IF(Caja_Arequipa[[#This Row],[fecha]]&gt;0,TEXT(Caja_Arequipa[[#This Row],[fecha]],"mmmm"),0)</f>
        <v>Setiembre</v>
      </c>
    </row>
    <row r="861" spans="1:28" x14ac:dyDescent="0.3">
      <c r="A861" s="2">
        <f>IF(Caja_Arequipa[[#This Row],[tipo_r]]="R",COUNTIFS($C$1:$C860,"R")+1,A860)</f>
        <v>666</v>
      </c>
      <c r="B861" s="19" t="str">
        <f t="shared" si="161"/>
        <v>C-Tesoreria</v>
      </c>
      <c r="C861" s="3" t="s">
        <v>1352</v>
      </c>
      <c r="D861" s="14">
        <v>45924</v>
      </c>
      <c r="E861" s="5" t="s">
        <v>2269</v>
      </c>
      <c r="F861" s="5" t="s">
        <v>1336</v>
      </c>
      <c r="G861" s="3" t="s">
        <v>5274</v>
      </c>
      <c r="H861" s="6" t="s">
        <v>978</v>
      </c>
      <c r="I861" s="204" t="s">
        <v>68</v>
      </c>
      <c r="J861" s="6" t="s">
        <v>5845</v>
      </c>
      <c r="K861" s="6">
        <v>1851493</v>
      </c>
      <c r="L861" s="7" t="s">
        <v>6055</v>
      </c>
      <c r="M861" s="8" t="str">
        <f>IF(Caja_Arequipa[[#This Row],[tipo_r]]="R","001-"&amp;12002+A861,M860)</f>
        <v>001-12668</v>
      </c>
      <c r="N861" s="8" t="str">
        <f t="shared" si="162"/>
        <v>PEN</v>
      </c>
      <c r="O861" s="13">
        <v>5</v>
      </c>
      <c r="P861" s="13"/>
      <c r="Q861" s="3">
        <f t="shared" si="163"/>
        <v>0</v>
      </c>
      <c r="R861" s="3">
        <f t="shared" si="164"/>
        <v>0</v>
      </c>
      <c r="S861" s="3">
        <f t="shared" si="152"/>
        <v>3272.5999999999985</v>
      </c>
      <c r="T861" s="24"/>
      <c r="U861" s="24" t="s">
        <v>1334</v>
      </c>
      <c r="V861" s="3"/>
      <c r="W861" s="25">
        <f>IFERROR(VLOOKUP(Caja_Arequipa[[#This Row],[destinatario]],CHOOSE({1,2},Clientes_Proveedores[Razon Social],Clientes_Proveedores[Ruc / Dni]),2,0),"")</f>
        <v>20517252558</v>
      </c>
      <c r="X861" s="3"/>
      <c r="Y861" s="3"/>
      <c r="Z861" s="3"/>
      <c r="AA861" s="3"/>
      <c r="AB861" s="3" t="str">
        <f>IF(Caja_Arequipa[[#This Row],[fecha]]&gt;0,TEXT(Caja_Arequipa[[#This Row],[fecha]],"mmmm"),0)</f>
        <v>Setiembre</v>
      </c>
    </row>
    <row r="862" spans="1:28" ht="24" x14ac:dyDescent="0.3">
      <c r="A862" s="2">
        <f>IF(Caja_Arequipa[[#This Row],[tipo_r]]="R",COUNTIFS($C$1:$C861,"R")+1,A861)</f>
        <v>667</v>
      </c>
      <c r="B862" s="19" t="str">
        <f t="shared" si="161"/>
        <v>C-Tesoreria</v>
      </c>
      <c r="C862" s="3" t="s">
        <v>1330</v>
      </c>
      <c r="D862" s="14">
        <v>45924</v>
      </c>
      <c r="E862" s="5" t="s">
        <v>2269</v>
      </c>
      <c r="F862" s="5" t="s">
        <v>1336</v>
      </c>
      <c r="G862" s="3" t="s">
        <v>5317</v>
      </c>
      <c r="H862" s="6" t="s">
        <v>977</v>
      </c>
      <c r="I862" s="204" t="s">
        <v>68</v>
      </c>
      <c r="J862" s="6" t="s">
        <v>6300</v>
      </c>
      <c r="K862" s="6">
        <v>27550</v>
      </c>
      <c r="L862" s="7" t="s">
        <v>6301</v>
      </c>
      <c r="M862" s="8" t="str">
        <f>IF(Caja_Arequipa[[#This Row],[tipo_r]]="R","001-"&amp;12002+A862,M861)</f>
        <v>001-12669</v>
      </c>
      <c r="N862" s="8" t="str">
        <f t="shared" si="162"/>
        <v>PEN</v>
      </c>
      <c r="O862" s="13"/>
      <c r="P862" s="13">
        <v>48.7</v>
      </c>
      <c r="Q862" s="3">
        <f t="shared" si="163"/>
        <v>0</v>
      </c>
      <c r="R862" s="3">
        <f t="shared" si="164"/>
        <v>48.7</v>
      </c>
      <c r="S862" s="3">
        <f t="shared" si="152"/>
        <v>3223.8999999999987</v>
      </c>
      <c r="T862" s="24"/>
      <c r="U862" s="24" t="s">
        <v>1334</v>
      </c>
      <c r="V862" s="3"/>
      <c r="W862" s="25">
        <f>IFERROR(VLOOKUP(Caja_Arequipa[[#This Row],[destinatario]],CHOOSE({1,2},Clientes_Proveedores[Razon Social],Clientes_Proveedores[Ruc / Dni]),2,0),"")</f>
        <v>20508565934</v>
      </c>
      <c r="X862" s="3"/>
      <c r="Y862" s="3"/>
      <c r="Z862" s="3"/>
      <c r="AA862" s="3"/>
      <c r="AB862" s="3" t="str">
        <f>IF(Caja_Arequipa[[#This Row],[fecha]]&gt;0,TEXT(Caja_Arequipa[[#This Row],[fecha]],"mmmm"),0)</f>
        <v>Setiembre</v>
      </c>
    </row>
    <row r="863" spans="1:28" ht="24" x14ac:dyDescent="0.3">
      <c r="A863" s="2">
        <f>IF(Caja_Arequipa[[#This Row],[tipo_r]]="R",COUNTIFS($C$1:$C862,"R")+1,A862)</f>
        <v>668</v>
      </c>
      <c r="B863" s="19" t="str">
        <f t="shared" si="161"/>
        <v>C-Tesoreria</v>
      </c>
      <c r="C863" s="3" t="s">
        <v>1330</v>
      </c>
      <c r="D863" s="14">
        <v>45925</v>
      </c>
      <c r="E863" s="5" t="s">
        <v>2269</v>
      </c>
      <c r="F863" s="5" t="s">
        <v>1336</v>
      </c>
      <c r="G863" s="3" t="s">
        <v>5250</v>
      </c>
      <c r="H863" s="6" t="s">
        <v>953</v>
      </c>
      <c r="I863" s="203" t="s">
        <v>111</v>
      </c>
      <c r="J863" s="6">
        <v>3</v>
      </c>
      <c r="K863" s="6">
        <v>363</v>
      </c>
      <c r="L863" s="7" t="s">
        <v>6302</v>
      </c>
      <c r="M863" s="8" t="str">
        <f>IF(Caja_Arequipa[[#This Row],[tipo_r]]="R","001-"&amp;12002+A863,M862)</f>
        <v>001-12670</v>
      </c>
      <c r="N863" s="8" t="str">
        <f t="shared" si="162"/>
        <v>PEN</v>
      </c>
      <c r="O863" s="13"/>
      <c r="P863" s="13">
        <v>20</v>
      </c>
      <c r="Q863" s="3">
        <f t="shared" si="163"/>
        <v>0</v>
      </c>
      <c r="R863" s="3">
        <f t="shared" si="164"/>
        <v>20</v>
      </c>
      <c r="S863" s="3">
        <f t="shared" si="152"/>
        <v>3203.8999999999987</v>
      </c>
      <c r="T863" s="24"/>
      <c r="U863" s="24" t="s">
        <v>1334</v>
      </c>
      <c r="V863" s="3"/>
      <c r="W863" s="25">
        <f>IFERROR(VLOOKUP(Caja_Arequipa[[#This Row],[destinatario]],CHOOSE({1,2},Clientes_Proveedores[Razon Social],Clientes_Proveedores[Ruc / Dni]),2,0),"")</f>
        <v>72682665</v>
      </c>
      <c r="X863" s="3"/>
      <c r="Y863" s="3"/>
      <c r="Z863" s="3"/>
      <c r="AA863" s="3"/>
      <c r="AB863" s="3" t="str">
        <f>IF(Caja_Arequipa[[#This Row],[fecha]]&gt;0,TEXT(Caja_Arequipa[[#This Row],[fecha]],"mmmm"),0)</f>
        <v>Setiembre</v>
      </c>
    </row>
    <row r="864" spans="1:28" x14ac:dyDescent="0.3">
      <c r="A864" s="2">
        <f>IF(Caja_Arequipa[[#This Row],[tipo_r]]="R",COUNTIFS($C$1:$C863,"R")+1,A863)</f>
        <v>669</v>
      </c>
      <c r="B864" s="19" t="str">
        <f t="shared" si="161"/>
        <v>C-Tesoreria</v>
      </c>
      <c r="C864" s="3" t="s">
        <v>1330</v>
      </c>
      <c r="D864" s="14">
        <v>45926</v>
      </c>
      <c r="E864" s="5" t="s">
        <v>2269</v>
      </c>
      <c r="F864" s="5" t="s">
        <v>1336</v>
      </c>
      <c r="G864" s="3" t="s">
        <v>5248</v>
      </c>
      <c r="H864" s="6"/>
      <c r="I864" s="203"/>
      <c r="J864" s="6"/>
      <c r="K864" s="6"/>
      <c r="L864" s="7" t="s">
        <v>6303</v>
      </c>
      <c r="M864" s="8" t="str">
        <f>IF(Caja_Arequipa[[#This Row],[tipo_r]]="R","001-"&amp;12002+A864,M863)</f>
        <v>001-12671</v>
      </c>
      <c r="N864" s="8" t="str">
        <f t="shared" si="162"/>
        <v>PEN</v>
      </c>
      <c r="O864" s="13"/>
      <c r="P864" s="13">
        <v>54</v>
      </c>
      <c r="Q864" s="3">
        <f t="shared" si="163"/>
        <v>0</v>
      </c>
      <c r="R864" s="3">
        <f t="shared" si="164"/>
        <v>54</v>
      </c>
      <c r="S864" s="3">
        <f t="shared" si="152"/>
        <v>3149.8999999999987</v>
      </c>
      <c r="T864" s="24"/>
      <c r="U864" s="24" t="s">
        <v>1334</v>
      </c>
      <c r="V864" s="3"/>
      <c r="W864" s="25" t="str">
        <f>IFERROR(VLOOKUP(Caja_Arequipa[[#This Row],[destinatario]],CHOOSE({1,2},Clientes_Proveedores[Razon Social],Clientes_Proveedores[Ruc / Dni]),2,0),"")</f>
        <v/>
      </c>
      <c r="X864" s="3"/>
      <c r="Y864" s="3"/>
      <c r="Z864" s="3"/>
      <c r="AA864" s="3"/>
      <c r="AB864" s="3" t="str">
        <f>IF(Caja_Arequipa[[#This Row],[fecha]]&gt;0,TEXT(Caja_Arequipa[[#This Row],[fecha]],"mmmm"),0)</f>
        <v>Setiembre</v>
      </c>
    </row>
    <row r="865" spans="1:28" ht="24" x14ac:dyDescent="0.3">
      <c r="A865" s="2">
        <f>IF(Caja_Arequipa[[#This Row],[tipo_r]]="R",COUNTIFS($C$1:$C864,"R")+1,A864)</f>
        <v>669</v>
      </c>
      <c r="B865" s="19" t="str">
        <f t="shared" si="161"/>
        <v>C-Tesoreria</v>
      </c>
      <c r="C865" s="3" t="s">
        <v>1352</v>
      </c>
      <c r="D865" s="14">
        <v>45926</v>
      </c>
      <c r="E865" s="5" t="s">
        <v>2269</v>
      </c>
      <c r="F865" s="5" t="s">
        <v>1336</v>
      </c>
      <c r="G865" s="3" t="s">
        <v>5248</v>
      </c>
      <c r="H865" s="6" t="s">
        <v>836</v>
      </c>
      <c r="I865" s="203" t="s">
        <v>111</v>
      </c>
      <c r="J865" s="6">
        <v>3</v>
      </c>
      <c r="K865" s="6">
        <v>354</v>
      </c>
      <c r="L865" s="7" t="s">
        <v>6303</v>
      </c>
      <c r="M865" s="8" t="str">
        <f>IF(Caja_Arequipa[[#This Row],[tipo_r]]="R","001-"&amp;12002+A865,M864)</f>
        <v>001-12671</v>
      </c>
      <c r="N865" s="8" t="str">
        <f t="shared" si="162"/>
        <v>PEN</v>
      </c>
      <c r="O865" s="13">
        <v>19</v>
      </c>
      <c r="P865" s="13"/>
      <c r="Q865" s="3">
        <f t="shared" si="163"/>
        <v>0</v>
      </c>
      <c r="R865" s="3">
        <f t="shared" si="164"/>
        <v>0</v>
      </c>
      <c r="S865" s="3">
        <f t="shared" si="152"/>
        <v>3149.8999999999987</v>
      </c>
      <c r="T865" s="24"/>
      <c r="U865" s="24" t="s">
        <v>1334</v>
      </c>
      <c r="V865" s="3"/>
      <c r="W865" s="25">
        <f>IFERROR(VLOOKUP(Caja_Arequipa[[#This Row],[destinatario]],CHOOSE({1,2},Clientes_Proveedores[Razon Social],Clientes_Proveedores[Ruc / Dni]),2,0),"")</f>
        <v>44468346</v>
      </c>
      <c r="X865" s="3"/>
      <c r="Y865" s="3"/>
      <c r="Z865" s="3"/>
      <c r="AA865" s="3"/>
      <c r="AB865" s="3" t="str">
        <f>IF(Caja_Arequipa[[#This Row],[fecha]]&gt;0,TEXT(Caja_Arequipa[[#This Row],[fecha]],"mmmm"),0)</f>
        <v>Setiembre</v>
      </c>
    </row>
    <row r="866" spans="1:28" ht="24" x14ac:dyDescent="0.3">
      <c r="A866" s="2">
        <f>IF(Caja_Arequipa[[#This Row],[tipo_r]]="R",COUNTIFS($C$1:$C865,"R")+1,A865)</f>
        <v>669</v>
      </c>
      <c r="B866" s="19" t="str">
        <f t="shared" si="161"/>
        <v>C-Tesoreria</v>
      </c>
      <c r="C866" s="3" t="s">
        <v>1352</v>
      </c>
      <c r="D866" s="14">
        <v>45926</v>
      </c>
      <c r="E866" s="5" t="s">
        <v>2269</v>
      </c>
      <c r="F866" s="5" t="s">
        <v>1336</v>
      </c>
      <c r="G866" s="3" t="s">
        <v>5248</v>
      </c>
      <c r="H866" s="6" t="s">
        <v>836</v>
      </c>
      <c r="I866" s="203" t="s">
        <v>111</v>
      </c>
      <c r="J866" s="6">
        <v>3</v>
      </c>
      <c r="K866" s="6">
        <v>358</v>
      </c>
      <c r="L866" s="7" t="s">
        <v>6303</v>
      </c>
      <c r="M866" s="8" t="str">
        <f>IF(Caja_Arequipa[[#This Row],[tipo_r]]="R","001-"&amp;12002+A866,M865)</f>
        <v>001-12671</v>
      </c>
      <c r="N866" s="8" t="str">
        <f t="shared" si="162"/>
        <v>PEN</v>
      </c>
      <c r="O866" s="13">
        <v>35</v>
      </c>
      <c r="P866" s="13"/>
      <c r="Q866" s="3">
        <f t="shared" si="163"/>
        <v>0</v>
      </c>
      <c r="R866" s="3">
        <f t="shared" si="164"/>
        <v>0</v>
      </c>
      <c r="S866" s="3">
        <f t="shared" si="152"/>
        <v>3149.8999999999987</v>
      </c>
      <c r="T866" s="24"/>
      <c r="U866" s="24" t="s">
        <v>1334</v>
      </c>
      <c r="V866" s="3"/>
      <c r="W866" s="25">
        <f>IFERROR(VLOOKUP(Caja_Arequipa[[#This Row],[destinatario]],CHOOSE({1,2},Clientes_Proveedores[Razon Social],Clientes_Proveedores[Ruc / Dni]),2,0),"")</f>
        <v>44468346</v>
      </c>
      <c r="X866" s="3"/>
      <c r="Y866" s="3"/>
      <c r="Z866" s="3"/>
      <c r="AA866" s="3"/>
      <c r="AB866" s="3" t="str">
        <f>IF(Caja_Arequipa[[#This Row],[fecha]]&gt;0,TEXT(Caja_Arequipa[[#This Row],[fecha]],"mmmm"),0)</f>
        <v>Setiembre</v>
      </c>
    </row>
    <row r="867" spans="1:28" x14ac:dyDescent="0.3">
      <c r="A867" s="2">
        <f>IF(Caja_Arequipa[[#This Row],[tipo_r]]="R",COUNTIFS($C$1:$C866,"R")+1,A866)</f>
        <v>670</v>
      </c>
      <c r="B867" s="19" t="str">
        <f t="shared" ref="B867:B872" si="165">"C-Tesoreria"</f>
        <v>C-Tesoreria</v>
      </c>
      <c r="C867" s="3" t="s">
        <v>1330</v>
      </c>
      <c r="D867" s="14">
        <v>45926</v>
      </c>
      <c r="E867" s="5" t="s">
        <v>2269</v>
      </c>
      <c r="F867" s="5" t="s">
        <v>1336</v>
      </c>
      <c r="G867" s="3" t="s">
        <v>5303</v>
      </c>
      <c r="H867" s="6"/>
      <c r="I867" s="203"/>
      <c r="J867" s="6"/>
      <c r="K867" s="6"/>
      <c r="L867" s="7" t="s">
        <v>6304</v>
      </c>
      <c r="M867" s="8" t="str">
        <f>IF(Caja_Arequipa[[#This Row],[tipo_r]]="R","001-"&amp;12002+A867,M866)</f>
        <v>001-12672</v>
      </c>
      <c r="N867" s="8" t="str">
        <f t="shared" ref="N867:N872" si="166">"PEN"</f>
        <v>PEN</v>
      </c>
      <c r="O867" s="13"/>
      <c r="P867" s="13">
        <v>65</v>
      </c>
      <c r="Q867" s="3">
        <f t="shared" ref="Q867:Q872" si="167">+IF(OR($F867="SALDO",$F867="INGRESO"),$P867,0)</f>
        <v>0</v>
      </c>
      <c r="R867" s="3">
        <f t="shared" ref="R867:R872" si="168">+IF($F867="EGRESO",$P867,0)</f>
        <v>65</v>
      </c>
      <c r="S867" s="3">
        <f t="shared" si="152"/>
        <v>3084.8999999999987</v>
      </c>
      <c r="T867" s="24"/>
      <c r="U867" s="24" t="s">
        <v>1334</v>
      </c>
      <c r="V867" s="3"/>
      <c r="W867" s="25" t="str">
        <f>IFERROR(VLOOKUP(Caja_Arequipa[[#This Row],[destinatario]],CHOOSE({1,2},Clientes_Proveedores[Razon Social],Clientes_Proveedores[Ruc / Dni]),2,0),"")</f>
        <v/>
      </c>
      <c r="X867" s="3"/>
      <c r="Y867" s="3"/>
      <c r="Z867" s="3"/>
      <c r="AA867" s="3"/>
      <c r="AB867" s="3" t="str">
        <f>IF(Caja_Arequipa[[#This Row],[fecha]]&gt;0,TEXT(Caja_Arequipa[[#This Row],[fecha]],"mmmm"),0)</f>
        <v>Setiembre</v>
      </c>
    </row>
    <row r="868" spans="1:28" ht="24" x14ac:dyDescent="0.3">
      <c r="A868" s="2">
        <f>IF(Caja_Arequipa[[#This Row],[tipo_r]]="R",COUNTIFS($C$1:$C867,"R")+1,A867)</f>
        <v>670</v>
      </c>
      <c r="B868" s="19" t="str">
        <f t="shared" si="165"/>
        <v>C-Tesoreria</v>
      </c>
      <c r="C868" s="3" t="s">
        <v>1352</v>
      </c>
      <c r="D868" s="14">
        <v>45926</v>
      </c>
      <c r="E868" s="5" t="s">
        <v>2269</v>
      </c>
      <c r="F868" s="5" t="s">
        <v>1336</v>
      </c>
      <c r="G868" s="3" t="s">
        <v>5303</v>
      </c>
      <c r="H868" s="6" t="s">
        <v>1068</v>
      </c>
      <c r="I868" s="203" t="s">
        <v>111</v>
      </c>
      <c r="J868" s="6">
        <v>3</v>
      </c>
      <c r="K868" s="6">
        <v>361</v>
      </c>
      <c r="L868" s="7" t="s">
        <v>6304</v>
      </c>
      <c r="M868" s="8" t="str">
        <f>IF(Caja_Arequipa[[#This Row],[tipo_r]]="R","001-"&amp;12002+A868,M867)</f>
        <v>001-12672</v>
      </c>
      <c r="N868" s="8" t="str">
        <f t="shared" si="166"/>
        <v>PEN</v>
      </c>
      <c r="O868" s="13">
        <v>35</v>
      </c>
      <c r="P868" s="13"/>
      <c r="Q868" s="3">
        <f t="shared" si="167"/>
        <v>0</v>
      </c>
      <c r="R868" s="3">
        <f t="shared" si="168"/>
        <v>0</v>
      </c>
      <c r="S868" s="3">
        <f t="shared" si="152"/>
        <v>3084.8999999999987</v>
      </c>
      <c r="T868" s="24" t="s">
        <v>1334</v>
      </c>
      <c r="U868" s="24" t="s">
        <v>1334</v>
      </c>
      <c r="V868" s="3"/>
      <c r="W868" s="25">
        <f>IFERROR(VLOOKUP(Caja_Arequipa[[#This Row],[destinatario]],CHOOSE({1,2},Clientes_Proveedores[Razon Social],Clientes_Proveedores[Ruc / Dni]),2,0),"")</f>
        <v>72725445</v>
      </c>
      <c r="X868" s="3"/>
      <c r="Y868" s="3"/>
      <c r="Z868" s="3"/>
      <c r="AA868" s="3"/>
      <c r="AB868" s="3" t="str">
        <f>IF(Caja_Arequipa[[#This Row],[fecha]]&gt;0,TEXT(Caja_Arequipa[[#This Row],[fecha]],"mmmm"),0)</f>
        <v>Setiembre</v>
      </c>
    </row>
    <row r="869" spans="1:28" ht="24" x14ac:dyDescent="0.3">
      <c r="A869" s="2">
        <f>IF(Caja_Arequipa[[#This Row],[tipo_r]]="R",COUNTIFS($C$1:$C868,"R")+1,A868)</f>
        <v>670</v>
      </c>
      <c r="B869" s="19" t="str">
        <f t="shared" si="165"/>
        <v>C-Tesoreria</v>
      </c>
      <c r="C869" s="3" t="s">
        <v>1352</v>
      </c>
      <c r="D869" s="14">
        <v>45926</v>
      </c>
      <c r="E869" s="5" t="s">
        <v>2269</v>
      </c>
      <c r="F869" s="5" t="s">
        <v>1336</v>
      </c>
      <c r="G869" s="3" t="s">
        <v>5303</v>
      </c>
      <c r="H869" s="6" t="s">
        <v>909</v>
      </c>
      <c r="I869" s="203" t="s">
        <v>111</v>
      </c>
      <c r="J869" s="6">
        <v>3</v>
      </c>
      <c r="K869" s="6">
        <v>362</v>
      </c>
      <c r="L869" s="7" t="s">
        <v>6304</v>
      </c>
      <c r="M869" s="8" t="str">
        <f>IF(Caja_Arequipa[[#This Row],[tipo_r]]="R","001-"&amp;12002+A869,M868)</f>
        <v>001-12672</v>
      </c>
      <c r="N869" s="8" t="str">
        <f t="shared" si="166"/>
        <v>PEN</v>
      </c>
      <c r="O869" s="13">
        <v>30</v>
      </c>
      <c r="P869" s="13"/>
      <c r="Q869" s="3">
        <f t="shared" si="167"/>
        <v>0</v>
      </c>
      <c r="R869" s="3">
        <f t="shared" si="168"/>
        <v>0</v>
      </c>
      <c r="S869" s="3">
        <f t="shared" si="152"/>
        <v>3084.8999999999987</v>
      </c>
      <c r="T869" s="24" t="s">
        <v>1334</v>
      </c>
      <c r="U869" s="24" t="s">
        <v>1334</v>
      </c>
      <c r="V869" s="3"/>
      <c r="W869" s="25">
        <f>IFERROR(VLOOKUP(Caja_Arequipa[[#This Row],[destinatario]],CHOOSE({1,2},Clientes_Proveedores[Razon Social],Clientes_Proveedores[Ruc / Dni]),2,0),"")</f>
        <v>44314304</v>
      </c>
      <c r="X869" s="3"/>
      <c r="Y869" s="3"/>
      <c r="Z869" s="3"/>
      <c r="AA869" s="3"/>
      <c r="AB869" s="3" t="str">
        <f>IF(Caja_Arequipa[[#This Row],[fecha]]&gt;0,TEXT(Caja_Arequipa[[#This Row],[fecha]],"mmmm"),0)</f>
        <v>Setiembre</v>
      </c>
    </row>
    <row r="870" spans="1:28" x14ac:dyDescent="0.3">
      <c r="A870" s="2">
        <f>IF(Caja_Arequipa[[#This Row],[tipo_r]]="R",COUNTIFS($C$1:$C869,"R")+1,A869)</f>
        <v>671</v>
      </c>
      <c r="B870" s="19" t="str">
        <f t="shared" si="165"/>
        <v>C-Tesoreria</v>
      </c>
      <c r="C870" s="3" t="s">
        <v>1330</v>
      </c>
      <c r="D870" s="14">
        <v>45926</v>
      </c>
      <c r="E870" s="5" t="s">
        <v>2269</v>
      </c>
      <c r="F870" s="5" t="s">
        <v>1336</v>
      </c>
      <c r="G870" s="3" t="s">
        <v>5274</v>
      </c>
      <c r="H870" s="6"/>
      <c r="I870" s="204"/>
      <c r="J870" s="6"/>
      <c r="K870" s="6"/>
      <c r="L870" s="7" t="s">
        <v>6055</v>
      </c>
      <c r="M870" s="8" t="str">
        <f>IF(Caja_Arequipa[[#This Row],[tipo_r]]="R","001-"&amp;12002+A870,M869)</f>
        <v>001-12673</v>
      </c>
      <c r="N870" s="8" t="str">
        <f t="shared" si="166"/>
        <v>PEN</v>
      </c>
      <c r="O870" s="13"/>
      <c r="P870" s="13">
        <v>186</v>
      </c>
      <c r="Q870" s="3">
        <f t="shared" si="167"/>
        <v>0</v>
      </c>
      <c r="R870" s="3">
        <f t="shared" si="168"/>
        <v>186</v>
      </c>
      <c r="S870" s="3">
        <f t="shared" si="152"/>
        <v>2898.8999999999987</v>
      </c>
      <c r="T870" s="24"/>
      <c r="U870" s="24" t="s">
        <v>1334</v>
      </c>
      <c r="V870" s="3"/>
      <c r="W870" s="25" t="str">
        <f>IFERROR(VLOOKUP(Caja_Arequipa[[#This Row],[destinatario]],CHOOSE({1,2},Clientes_Proveedores[Razon Social],Clientes_Proveedores[Ruc / Dni]),2,0),"")</f>
        <v/>
      </c>
      <c r="X870" s="3"/>
      <c r="Y870" s="3"/>
      <c r="Z870" s="3"/>
      <c r="AA870" s="3"/>
      <c r="AB870" s="3" t="str">
        <f>IF(Caja_Arequipa[[#This Row],[fecha]]&gt;0,TEXT(Caja_Arequipa[[#This Row],[fecha]],"mmmm"),0)</f>
        <v>Setiembre</v>
      </c>
    </row>
    <row r="871" spans="1:28" x14ac:dyDescent="0.3">
      <c r="A871" s="2">
        <f>IF(Caja_Arequipa[[#This Row],[tipo_r]]="R",COUNTIFS($C$1:$C870,"R")+1,A870)</f>
        <v>671</v>
      </c>
      <c r="B871" s="19" t="str">
        <f t="shared" si="165"/>
        <v>C-Tesoreria</v>
      </c>
      <c r="C871" s="3" t="s">
        <v>1352</v>
      </c>
      <c r="D871" s="14">
        <v>45926</v>
      </c>
      <c r="E871" s="5" t="s">
        <v>2269</v>
      </c>
      <c r="F871" s="5" t="s">
        <v>1336</v>
      </c>
      <c r="G871" s="3" t="s">
        <v>5274</v>
      </c>
      <c r="H871" s="6" t="s">
        <v>1202</v>
      </c>
      <c r="I871" s="204" t="s">
        <v>68</v>
      </c>
      <c r="J871" s="6" t="s">
        <v>2331</v>
      </c>
      <c r="K871" s="6">
        <v>10843</v>
      </c>
      <c r="L871" s="7" t="s">
        <v>6055</v>
      </c>
      <c r="M871" s="8" t="str">
        <f>IF(Caja_Arequipa[[#This Row],[tipo_r]]="R","001-"&amp;12002+A871,M870)</f>
        <v>001-12673</v>
      </c>
      <c r="N871" s="8" t="str">
        <f t="shared" si="166"/>
        <v>PEN</v>
      </c>
      <c r="O871" s="13">
        <v>156</v>
      </c>
      <c r="P871" s="13"/>
      <c r="Q871" s="3">
        <f t="shared" si="167"/>
        <v>0</v>
      </c>
      <c r="R871" s="3">
        <f t="shared" si="168"/>
        <v>0</v>
      </c>
      <c r="S871" s="3">
        <f t="shared" si="152"/>
        <v>2898.8999999999987</v>
      </c>
      <c r="T871" s="24"/>
      <c r="U871" s="24" t="s">
        <v>1334</v>
      </c>
      <c r="V871" s="3"/>
      <c r="W871" s="25">
        <f>IFERROR(VLOOKUP(Caja_Arequipa[[#This Row],[destinatario]],CHOOSE({1,2},Clientes_Proveedores[Razon Social],Clientes_Proveedores[Ruc / Dni]),2,0),"")</f>
        <v>20610537902</v>
      </c>
      <c r="X871" s="3"/>
      <c r="Y871" s="3"/>
      <c r="Z871" s="3"/>
      <c r="AA871" s="3"/>
      <c r="AB871" s="3" t="str">
        <f>IF(Caja_Arequipa[[#This Row],[fecha]]&gt;0,TEXT(Caja_Arequipa[[#This Row],[fecha]],"mmmm"),0)</f>
        <v>Setiembre</v>
      </c>
    </row>
    <row r="872" spans="1:28" ht="24" x14ac:dyDescent="0.3">
      <c r="A872" s="2">
        <f>IF(Caja_Arequipa[[#This Row],[tipo_r]]="R",COUNTIFS($C$1:$C871,"R")+1,A871)</f>
        <v>671</v>
      </c>
      <c r="B872" s="19" t="str">
        <f t="shared" si="165"/>
        <v>C-Tesoreria</v>
      </c>
      <c r="C872" s="3" t="s">
        <v>1352</v>
      </c>
      <c r="D872" s="14">
        <v>45926</v>
      </c>
      <c r="E872" s="5" t="s">
        <v>2269</v>
      </c>
      <c r="F872" s="5" t="s">
        <v>1336</v>
      </c>
      <c r="G872" s="3" t="s">
        <v>5274</v>
      </c>
      <c r="H872" s="6" t="s">
        <v>1201</v>
      </c>
      <c r="I872" s="204" t="s">
        <v>68</v>
      </c>
      <c r="J872" s="6" t="s">
        <v>1376</v>
      </c>
      <c r="K872" s="6">
        <v>264</v>
      </c>
      <c r="L872" s="7" t="s">
        <v>6055</v>
      </c>
      <c r="M872" s="8" t="str">
        <f>IF(Caja_Arequipa[[#This Row],[tipo_r]]="R","001-"&amp;12002+A872,M871)</f>
        <v>001-12673</v>
      </c>
      <c r="N872" s="8" t="str">
        <f t="shared" si="166"/>
        <v>PEN</v>
      </c>
      <c r="O872" s="13">
        <v>30</v>
      </c>
      <c r="P872" s="13"/>
      <c r="Q872" s="3">
        <f t="shared" si="167"/>
        <v>0</v>
      </c>
      <c r="R872" s="3">
        <f t="shared" si="168"/>
        <v>0</v>
      </c>
      <c r="S872" s="3">
        <f t="shared" si="152"/>
        <v>2898.8999999999987</v>
      </c>
      <c r="T872" s="24"/>
      <c r="U872" s="24" t="s">
        <v>1334</v>
      </c>
      <c r="V872" s="3"/>
      <c r="W872" s="25">
        <f>IFERROR(VLOOKUP(Caja_Arequipa[[#This Row],[destinatario]],CHOOSE({1,2},Clientes_Proveedores[Razon Social],Clientes_Proveedores[Ruc / Dni]),2,0),"")</f>
        <v>20610818693</v>
      </c>
      <c r="X872" s="3"/>
      <c r="Y872" s="3"/>
      <c r="Z872" s="3"/>
      <c r="AA872" s="3"/>
      <c r="AB872" s="3" t="str">
        <f>IF(Caja_Arequipa[[#This Row],[fecha]]&gt;0,TEXT(Caja_Arequipa[[#This Row],[fecha]],"mmmm"),0)</f>
        <v>Setiembre</v>
      </c>
    </row>
    <row r="873" spans="1:28" x14ac:dyDescent="0.3">
      <c r="A873" s="2">
        <f>IF(Caja_Arequipa[[#This Row],[tipo_r]]="R",COUNTIFS($C$1:$C872,"R")+1,A872)</f>
        <v>672</v>
      </c>
      <c r="B873" s="19" t="str">
        <f t="shared" ref="B873:B882" si="169">"C-Tesoreria"</f>
        <v>C-Tesoreria</v>
      </c>
      <c r="C873" s="3" t="s">
        <v>1330</v>
      </c>
      <c r="D873" s="14">
        <v>45929</v>
      </c>
      <c r="E873" s="5" t="s">
        <v>2269</v>
      </c>
      <c r="F873" s="5" t="s">
        <v>1336</v>
      </c>
      <c r="G873" s="3" t="s">
        <v>5380</v>
      </c>
      <c r="H873" s="6"/>
      <c r="I873" s="204"/>
      <c r="J873" s="6"/>
      <c r="K873" s="6"/>
      <c r="L873" s="7" t="s">
        <v>6055</v>
      </c>
      <c r="M873" s="8" t="str">
        <f>IF(Caja_Arequipa[[#This Row],[tipo_r]]="R","001-"&amp;12002+A873,M872)</f>
        <v>001-12674</v>
      </c>
      <c r="N873" s="8" t="str">
        <f t="shared" ref="N873:N882" si="170">"PEN"</f>
        <v>PEN</v>
      </c>
      <c r="O873" s="13"/>
      <c r="P873" s="13">
        <v>349</v>
      </c>
      <c r="Q873" s="3">
        <f t="shared" ref="Q873:Q882" si="171">+IF(OR($F873="SALDO",$F873="INGRESO"),$P873,0)</f>
        <v>0</v>
      </c>
      <c r="R873" s="3">
        <f t="shared" ref="R873:R882" si="172">+IF($F873="EGRESO",$P873,0)</f>
        <v>349</v>
      </c>
      <c r="S873" s="3">
        <f t="shared" si="152"/>
        <v>2549.8999999999987</v>
      </c>
      <c r="T873" s="24"/>
      <c r="U873" s="24" t="s">
        <v>1334</v>
      </c>
      <c r="V873" s="3"/>
      <c r="W873" s="25" t="str">
        <f>IFERROR(VLOOKUP(Caja_Arequipa[[#This Row],[destinatario]],CHOOSE({1,2},Clientes_Proveedores[Razon Social],Clientes_Proveedores[Ruc / Dni]),2,0),"")</f>
        <v/>
      </c>
      <c r="X873" s="3"/>
      <c r="Y873" s="3"/>
      <c r="Z873" s="3"/>
      <c r="AA873" s="3"/>
      <c r="AB873" s="3" t="str">
        <f>IF(Caja_Arequipa[[#This Row],[fecha]]&gt;0,TEXT(Caja_Arequipa[[#This Row],[fecha]],"mmmm"),0)</f>
        <v>Setiembre</v>
      </c>
    </row>
    <row r="874" spans="1:28" ht="24" x14ac:dyDescent="0.3">
      <c r="A874" s="2">
        <f>IF(Caja_Arequipa[[#This Row],[tipo_r]]="R",COUNTIFS($C$1:$C873,"R")+1,A873)</f>
        <v>672</v>
      </c>
      <c r="B874" s="19" t="str">
        <f t="shared" si="169"/>
        <v>C-Tesoreria</v>
      </c>
      <c r="C874" s="3" t="s">
        <v>1352</v>
      </c>
      <c r="D874" s="14">
        <v>45929</v>
      </c>
      <c r="E874" s="5" t="s">
        <v>2269</v>
      </c>
      <c r="F874" s="5" t="s">
        <v>1336</v>
      </c>
      <c r="G874" s="3" t="s">
        <v>5380</v>
      </c>
      <c r="H874" s="6" t="s">
        <v>922</v>
      </c>
      <c r="I874" s="204" t="s">
        <v>111</v>
      </c>
      <c r="J874" s="6">
        <v>3</v>
      </c>
      <c r="K874" s="6">
        <v>359</v>
      </c>
      <c r="L874" s="7" t="s">
        <v>6055</v>
      </c>
      <c r="M874" s="8" t="str">
        <f>IF(Caja_Arequipa[[#This Row],[tipo_r]]="R","001-"&amp;12002+A874,M873)</f>
        <v>001-12674</v>
      </c>
      <c r="N874" s="8" t="str">
        <f t="shared" si="170"/>
        <v>PEN</v>
      </c>
      <c r="O874" s="13">
        <v>8</v>
      </c>
      <c r="P874" s="13"/>
      <c r="Q874" s="3">
        <f t="shared" si="171"/>
        <v>0</v>
      </c>
      <c r="R874" s="3">
        <f t="shared" si="172"/>
        <v>0</v>
      </c>
      <c r="S874" s="3">
        <f t="shared" si="152"/>
        <v>2549.8999999999987</v>
      </c>
      <c r="T874" s="24"/>
      <c r="U874" s="24" t="s">
        <v>1334</v>
      </c>
      <c r="V874" s="3"/>
      <c r="W874" s="25">
        <f>IFERROR(VLOOKUP(Caja_Arequipa[[#This Row],[destinatario]],CHOOSE({1,2},Clientes_Proveedores[Razon Social],Clientes_Proveedores[Ruc / Dni]),2,0),"")</f>
        <v>72537561</v>
      </c>
      <c r="X874" s="3"/>
      <c r="Y874" s="3"/>
      <c r="Z874" s="3"/>
      <c r="AA874" s="3"/>
      <c r="AB874" s="3" t="str">
        <f>IF(Caja_Arequipa[[#This Row],[fecha]]&gt;0,TEXT(Caja_Arequipa[[#This Row],[fecha]],"mmmm"),0)</f>
        <v>Setiembre</v>
      </c>
    </row>
    <row r="875" spans="1:28" ht="24" x14ac:dyDescent="0.3">
      <c r="A875" s="2">
        <f>IF(Caja_Arequipa[[#This Row],[tipo_r]]="R",COUNTIFS($C$1:$C874,"R")+1,A874)</f>
        <v>672</v>
      </c>
      <c r="B875" s="19" t="str">
        <f t="shared" si="169"/>
        <v>C-Tesoreria</v>
      </c>
      <c r="C875" s="3" t="s">
        <v>1352</v>
      </c>
      <c r="D875" s="14">
        <v>45929</v>
      </c>
      <c r="E875" s="5" t="s">
        <v>2269</v>
      </c>
      <c r="F875" s="5" t="s">
        <v>1336</v>
      </c>
      <c r="G875" s="3" t="s">
        <v>5380</v>
      </c>
      <c r="H875" s="6" t="s">
        <v>1111</v>
      </c>
      <c r="I875" s="204" t="s">
        <v>68</v>
      </c>
      <c r="J875" s="6" t="s">
        <v>1376</v>
      </c>
      <c r="K875" s="6">
        <v>221</v>
      </c>
      <c r="L875" s="7" t="s">
        <v>6055</v>
      </c>
      <c r="M875" s="8" t="str">
        <f>IF(Caja_Arequipa[[#This Row],[tipo_r]]="R","001-"&amp;12002+A875,M874)</f>
        <v>001-12674</v>
      </c>
      <c r="N875" s="8" t="str">
        <f t="shared" si="170"/>
        <v>PEN</v>
      </c>
      <c r="O875" s="13">
        <v>236</v>
      </c>
      <c r="P875" s="13"/>
      <c r="Q875" s="3">
        <f t="shared" si="171"/>
        <v>0</v>
      </c>
      <c r="R875" s="3">
        <f t="shared" si="172"/>
        <v>0</v>
      </c>
      <c r="S875" s="3">
        <f t="shared" si="152"/>
        <v>2549.8999999999987</v>
      </c>
      <c r="T875" s="24"/>
      <c r="U875" s="24" t="s">
        <v>1334</v>
      </c>
      <c r="V875" s="3"/>
      <c r="W875" s="25">
        <f>IFERROR(VLOOKUP(Caja_Arequipa[[#This Row],[destinatario]],CHOOSE({1,2},Clientes_Proveedores[Razon Social],Clientes_Proveedores[Ruc / Dni]),2,0),"")</f>
        <v>10207191685</v>
      </c>
      <c r="X875" s="3"/>
      <c r="Y875" s="3"/>
      <c r="Z875" s="3"/>
      <c r="AA875" s="3"/>
      <c r="AB875" s="3" t="str">
        <f>IF(Caja_Arequipa[[#This Row],[fecha]]&gt;0,TEXT(Caja_Arequipa[[#This Row],[fecha]],"mmmm"),0)</f>
        <v>Setiembre</v>
      </c>
    </row>
    <row r="876" spans="1:28" ht="36" x14ac:dyDescent="0.3">
      <c r="A876" s="2">
        <f>IF(Caja_Arequipa[[#This Row],[tipo_r]]="R",COUNTIFS($C$1:$C875,"R")+1,A875)</f>
        <v>672</v>
      </c>
      <c r="B876" s="19" t="str">
        <f t="shared" si="169"/>
        <v>C-Tesoreria</v>
      </c>
      <c r="C876" s="3" t="s">
        <v>1352</v>
      </c>
      <c r="D876" s="14">
        <v>45929</v>
      </c>
      <c r="E876" s="5" t="s">
        <v>2269</v>
      </c>
      <c r="F876" s="5" t="s">
        <v>1336</v>
      </c>
      <c r="G876" s="3" t="s">
        <v>5380</v>
      </c>
      <c r="H876" s="6" t="s">
        <v>971</v>
      </c>
      <c r="I876" s="204" t="s">
        <v>68</v>
      </c>
      <c r="J876" s="6" t="s">
        <v>1376</v>
      </c>
      <c r="K876" s="6">
        <v>189</v>
      </c>
      <c r="L876" s="7" t="s">
        <v>6055</v>
      </c>
      <c r="M876" s="8" t="str">
        <f>IF(Caja_Arequipa[[#This Row],[tipo_r]]="R","001-"&amp;12002+A876,M875)</f>
        <v>001-12674</v>
      </c>
      <c r="N876" s="8" t="str">
        <f t="shared" si="170"/>
        <v>PEN</v>
      </c>
      <c r="O876" s="13">
        <v>35</v>
      </c>
      <c r="P876" s="13"/>
      <c r="Q876" s="3">
        <f t="shared" si="171"/>
        <v>0</v>
      </c>
      <c r="R876" s="3">
        <f t="shared" si="172"/>
        <v>0</v>
      </c>
      <c r="S876" s="3">
        <f t="shared" si="152"/>
        <v>2549.8999999999987</v>
      </c>
      <c r="T876" s="24"/>
      <c r="U876" s="24" t="s">
        <v>1334</v>
      </c>
      <c r="V876" s="3"/>
      <c r="W876" s="25">
        <f>IFERROR(VLOOKUP(Caja_Arequipa[[#This Row],[destinatario]],CHOOSE({1,2},Clientes_Proveedores[Razon Social],Clientes_Proveedores[Ruc / Dni]),2,0),"")</f>
        <v>20614269309</v>
      </c>
      <c r="X876" s="3"/>
      <c r="Y876" s="3"/>
      <c r="Z876" s="3"/>
      <c r="AA876" s="3"/>
      <c r="AB876" s="3" t="str">
        <f>IF(Caja_Arequipa[[#This Row],[fecha]]&gt;0,TEXT(Caja_Arequipa[[#This Row],[fecha]],"mmmm"),0)</f>
        <v>Setiembre</v>
      </c>
    </row>
    <row r="877" spans="1:28" ht="48" x14ac:dyDescent="0.3">
      <c r="A877" s="2">
        <f>IF(Caja_Arequipa[[#This Row],[tipo_r]]="R",COUNTIFS($C$1:$C876,"R")+1,A876)</f>
        <v>672</v>
      </c>
      <c r="B877" s="19" t="str">
        <f t="shared" si="169"/>
        <v>C-Tesoreria</v>
      </c>
      <c r="C877" s="3" t="s">
        <v>1352</v>
      </c>
      <c r="D877" s="14">
        <v>45929</v>
      </c>
      <c r="E877" s="5" t="s">
        <v>2269</v>
      </c>
      <c r="F877" s="5" t="s">
        <v>1336</v>
      </c>
      <c r="G877" s="3" t="s">
        <v>5380</v>
      </c>
      <c r="H877" s="6" t="s">
        <v>488</v>
      </c>
      <c r="I877" s="204" t="s">
        <v>68</v>
      </c>
      <c r="J877" s="6" t="s">
        <v>1374</v>
      </c>
      <c r="K877" s="6">
        <v>38128</v>
      </c>
      <c r="L877" s="7" t="s">
        <v>6055</v>
      </c>
      <c r="M877" s="8" t="str">
        <f>IF(Caja_Arequipa[[#This Row],[tipo_r]]="R","001-"&amp;12002+A877,M876)</f>
        <v>001-12674</v>
      </c>
      <c r="N877" s="8" t="str">
        <f t="shared" si="170"/>
        <v>PEN</v>
      </c>
      <c r="O877" s="13">
        <v>70</v>
      </c>
      <c r="P877" s="13"/>
      <c r="Q877" s="3">
        <f t="shared" si="171"/>
        <v>0</v>
      </c>
      <c r="R877" s="3">
        <f t="shared" si="172"/>
        <v>0</v>
      </c>
      <c r="S877" s="3">
        <f t="shared" si="152"/>
        <v>2549.8999999999987</v>
      </c>
      <c r="T877" s="24"/>
      <c r="U877" s="24" t="s">
        <v>1334</v>
      </c>
      <c r="V877" s="3"/>
      <c r="W877" s="25">
        <f>IFERROR(VLOOKUP(Caja_Arequipa[[#This Row],[destinatario]],CHOOSE({1,2},Clientes_Proveedores[Razon Social],Clientes_Proveedores[Ruc / Dni]),2,0),"")</f>
        <v>20602484425</v>
      </c>
      <c r="X877" s="3"/>
      <c r="Y877" s="3"/>
      <c r="Z877" s="3"/>
      <c r="AA877" s="3"/>
      <c r="AB877" s="3" t="str">
        <f>IF(Caja_Arequipa[[#This Row],[fecha]]&gt;0,TEXT(Caja_Arequipa[[#This Row],[fecha]],"mmmm"),0)</f>
        <v>Setiembre</v>
      </c>
    </row>
    <row r="878" spans="1:28" x14ac:dyDescent="0.3">
      <c r="A878" s="2">
        <f>IF(Caja_Arequipa[[#This Row],[tipo_r]]="R",COUNTIFS($C$1:$C877,"R")+1,A877)</f>
        <v>673</v>
      </c>
      <c r="B878" s="19" t="str">
        <f t="shared" si="169"/>
        <v>C-Tesoreria</v>
      </c>
      <c r="C878" s="3" t="s">
        <v>1330</v>
      </c>
      <c r="D878" s="14">
        <v>45930</v>
      </c>
      <c r="E878" s="5" t="s">
        <v>2269</v>
      </c>
      <c r="F878" s="5" t="s">
        <v>1336</v>
      </c>
      <c r="G878" s="3" t="s">
        <v>5248</v>
      </c>
      <c r="H878" s="6"/>
      <c r="I878" s="204"/>
      <c r="J878" s="6"/>
      <c r="K878" s="6"/>
      <c r="L878" s="7" t="s">
        <v>6055</v>
      </c>
      <c r="M878" s="8" t="str">
        <f>IF(Caja_Arequipa[[#This Row],[tipo_r]]="R","001-"&amp;12002+A878,M877)</f>
        <v>001-12675</v>
      </c>
      <c r="N878" s="8" t="str">
        <f t="shared" si="170"/>
        <v>PEN</v>
      </c>
      <c r="O878" s="13"/>
      <c r="P878" s="13">
        <v>28</v>
      </c>
      <c r="Q878" s="3">
        <f t="shared" si="171"/>
        <v>0</v>
      </c>
      <c r="R878" s="3">
        <f t="shared" si="172"/>
        <v>28</v>
      </c>
      <c r="S878" s="3">
        <f t="shared" si="152"/>
        <v>2521.8999999999987</v>
      </c>
      <c r="T878" s="24"/>
      <c r="U878" s="24" t="s">
        <v>1334</v>
      </c>
      <c r="V878" s="3"/>
      <c r="W878" s="25" t="str">
        <f>IFERROR(VLOOKUP(Caja_Arequipa[[#This Row],[destinatario]],CHOOSE({1,2},Clientes_Proveedores[Razon Social],Clientes_Proveedores[Ruc / Dni]),2,0),"")</f>
        <v/>
      </c>
      <c r="X878" s="3"/>
      <c r="Y878" s="3"/>
      <c r="Z878" s="3"/>
      <c r="AA878" s="3"/>
      <c r="AB878" s="3" t="str">
        <f>IF(Caja_Arequipa[[#This Row],[fecha]]&gt;0,TEXT(Caja_Arequipa[[#This Row],[fecha]],"mmmm"),0)</f>
        <v>Setiembre</v>
      </c>
    </row>
    <row r="879" spans="1:28" ht="24" x14ac:dyDescent="0.3">
      <c r="A879" s="2">
        <f>IF(Caja_Arequipa[[#This Row],[tipo_r]]="R",COUNTIFS($C$1:$C878,"R")+1,A878)</f>
        <v>673</v>
      </c>
      <c r="B879" s="19" t="str">
        <f t="shared" si="169"/>
        <v>C-Tesoreria</v>
      </c>
      <c r="C879" s="3" t="s">
        <v>1352</v>
      </c>
      <c r="D879" s="14">
        <v>45930</v>
      </c>
      <c r="E879" s="5" t="s">
        <v>2269</v>
      </c>
      <c r="F879" s="5" t="s">
        <v>1336</v>
      </c>
      <c r="G879" s="3" t="s">
        <v>5248</v>
      </c>
      <c r="H879" s="6" t="s">
        <v>986</v>
      </c>
      <c r="I879" s="204" t="s">
        <v>75</v>
      </c>
      <c r="J879" s="6">
        <v>1</v>
      </c>
      <c r="K879" s="6">
        <v>197</v>
      </c>
      <c r="L879" s="7" t="s">
        <v>6055</v>
      </c>
      <c r="M879" s="8" t="str">
        <f>IF(Caja_Arequipa[[#This Row],[tipo_r]]="R","001-"&amp;12002+A879,M878)</f>
        <v>001-12675</v>
      </c>
      <c r="N879" s="8" t="str">
        <f t="shared" si="170"/>
        <v>PEN</v>
      </c>
      <c r="O879" s="13">
        <v>24</v>
      </c>
      <c r="P879" s="13"/>
      <c r="Q879" s="3">
        <f t="shared" si="171"/>
        <v>0</v>
      </c>
      <c r="R879" s="3">
        <f t="shared" si="172"/>
        <v>0</v>
      </c>
      <c r="S879" s="3">
        <f t="shared" si="152"/>
        <v>2521.8999999999987</v>
      </c>
      <c r="T879" s="24"/>
      <c r="U879" s="24" t="s">
        <v>1334</v>
      </c>
      <c r="V879" s="3"/>
      <c r="W879" s="25">
        <f>IFERROR(VLOOKUP(Caja_Arequipa[[#This Row],[destinatario]],CHOOSE({1,2},Clientes_Proveedores[Razon Social],Clientes_Proveedores[Ruc / Dni]),2,0),"")</f>
        <v>10309622885</v>
      </c>
      <c r="X879" s="3"/>
      <c r="Y879" s="3"/>
      <c r="Z879" s="3"/>
      <c r="AA879" s="3"/>
      <c r="AB879" s="3" t="str">
        <f>IF(Caja_Arequipa[[#This Row],[fecha]]&gt;0,TEXT(Caja_Arequipa[[#This Row],[fecha]],"mmmm"),0)</f>
        <v>Setiembre</v>
      </c>
    </row>
    <row r="880" spans="1:28" ht="24" x14ac:dyDescent="0.3">
      <c r="A880" s="2">
        <f>IF(Caja_Arequipa[[#This Row],[tipo_r]]="R",COUNTIFS($C$1:$C879,"R")+1,A879)</f>
        <v>673</v>
      </c>
      <c r="B880" s="19" t="str">
        <f t="shared" si="169"/>
        <v>C-Tesoreria</v>
      </c>
      <c r="C880" s="3" t="s">
        <v>1352</v>
      </c>
      <c r="D880" s="14">
        <v>45930</v>
      </c>
      <c r="E880" s="5" t="s">
        <v>2269</v>
      </c>
      <c r="F880" s="5" t="s">
        <v>1336</v>
      </c>
      <c r="G880" s="3" t="s">
        <v>5248</v>
      </c>
      <c r="H880" s="6" t="s">
        <v>986</v>
      </c>
      <c r="I880" s="204" t="s">
        <v>75</v>
      </c>
      <c r="J880" s="6">
        <v>1</v>
      </c>
      <c r="K880" s="6">
        <v>198</v>
      </c>
      <c r="L880" s="7" t="s">
        <v>6055</v>
      </c>
      <c r="M880" s="8" t="str">
        <f>IF(Caja_Arequipa[[#This Row],[tipo_r]]="R","001-"&amp;12002+A880,M879)</f>
        <v>001-12675</v>
      </c>
      <c r="N880" s="8" t="str">
        <f t="shared" si="170"/>
        <v>PEN</v>
      </c>
      <c r="O880" s="13">
        <v>4</v>
      </c>
      <c r="P880" s="13"/>
      <c r="Q880" s="3">
        <f t="shared" si="171"/>
        <v>0</v>
      </c>
      <c r="R880" s="3">
        <f t="shared" si="172"/>
        <v>0</v>
      </c>
      <c r="S880" s="3">
        <f t="shared" si="152"/>
        <v>2521.8999999999987</v>
      </c>
      <c r="T880" s="24"/>
      <c r="U880" s="24" t="s">
        <v>1334</v>
      </c>
      <c r="V880" s="3"/>
      <c r="W880" s="25">
        <f>IFERROR(VLOOKUP(Caja_Arequipa[[#This Row],[destinatario]],CHOOSE({1,2},Clientes_Proveedores[Razon Social],Clientes_Proveedores[Ruc / Dni]),2,0),"")</f>
        <v>10309622885</v>
      </c>
      <c r="X880" s="3"/>
      <c r="Y880" s="3"/>
      <c r="Z880" s="3"/>
      <c r="AA880" s="3"/>
      <c r="AB880" s="3" t="str">
        <f>IF(Caja_Arequipa[[#This Row],[fecha]]&gt;0,TEXT(Caja_Arequipa[[#This Row],[fecha]],"mmmm"),0)</f>
        <v>Setiembre</v>
      </c>
    </row>
    <row r="881" spans="1:28" ht="36" x14ac:dyDescent="0.3">
      <c r="A881" s="2">
        <f>IF(Caja_Arequipa[[#This Row],[tipo_r]]="R",COUNTIFS($C$1:$C880,"R")+1,A880)</f>
        <v>674</v>
      </c>
      <c r="B881" s="19" t="str">
        <f t="shared" si="169"/>
        <v>C-Tesoreria</v>
      </c>
      <c r="C881" s="3" t="s">
        <v>1330</v>
      </c>
      <c r="D881" s="14">
        <v>45930</v>
      </c>
      <c r="E881" s="5" t="s">
        <v>2269</v>
      </c>
      <c r="F881" s="5" t="s">
        <v>1336</v>
      </c>
      <c r="G881" s="3" t="s">
        <v>4788</v>
      </c>
      <c r="H881" s="6"/>
      <c r="I881" s="206" t="s">
        <v>130</v>
      </c>
      <c r="J881" s="6">
        <v>1</v>
      </c>
      <c r="K881" s="6">
        <v>213</v>
      </c>
      <c r="L881" s="7" t="s">
        <v>6305</v>
      </c>
      <c r="M881" s="8" t="str">
        <f>IF(Caja_Arequipa[[#This Row],[tipo_r]]="R","001-"&amp;12002+A881,M880)</f>
        <v>001-12676</v>
      </c>
      <c r="N881" s="8" t="str">
        <f t="shared" si="170"/>
        <v>PEN</v>
      </c>
      <c r="O881" s="13"/>
      <c r="P881" s="13">
        <v>285</v>
      </c>
      <c r="Q881" s="3">
        <f t="shared" si="171"/>
        <v>0</v>
      </c>
      <c r="R881" s="3">
        <f t="shared" si="172"/>
        <v>285</v>
      </c>
      <c r="S881" s="3">
        <f t="shared" si="152"/>
        <v>2236.8999999999987</v>
      </c>
      <c r="T881" s="24"/>
      <c r="U881" s="24"/>
      <c r="V881" s="3"/>
      <c r="W881" s="25" t="str">
        <f>IFERROR(VLOOKUP(Caja_Arequipa[[#This Row],[destinatario]],CHOOSE({1,2},Clientes_Proveedores[Razon Social],Clientes_Proveedores[Ruc / Dni]),2,0),"")</f>
        <v/>
      </c>
      <c r="X881" s="3"/>
      <c r="Y881" s="3"/>
      <c r="Z881" s="3"/>
      <c r="AA881" s="3"/>
      <c r="AB881" s="3" t="str">
        <f>IF(Caja_Arequipa[[#This Row],[fecha]]&gt;0,TEXT(Caja_Arequipa[[#This Row],[fecha]],"mmmm"),0)</f>
        <v>Setiembre</v>
      </c>
    </row>
    <row r="882" spans="1:28" ht="36" x14ac:dyDescent="0.3">
      <c r="A882" s="2">
        <f>IF(Caja_Arequipa[[#This Row],[tipo_r]]="R",COUNTIFS($C$1:$C881,"R")+1,A881)</f>
        <v>675</v>
      </c>
      <c r="B882" s="19" t="str">
        <f t="shared" si="169"/>
        <v>C-Tesoreria</v>
      </c>
      <c r="C882" s="3" t="s">
        <v>1330</v>
      </c>
      <c r="D882" s="14">
        <v>45930</v>
      </c>
      <c r="E882" s="5" t="s">
        <v>2269</v>
      </c>
      <c r="F882" s="5" t="s">
        <v>1336</v>
      </c>
      <c r="G882" s="3" t="s">
        <v>5248</v>
      </c>
      <c r="H882" s="6" t="s">
        <v>1242</v>
      </c>
      <c r="I882" s="204" t="s">
        <v>75</v>
      </c>
      <c r="J882" s="6">
        <v>2</v>
      </c>
      <c r="K882" s="6">
        <v>3093</v>
      </c>
      <c r="L882" s="7" t="s">
        <v>6306</v>
      </c>
      <c r="M882" s="8" t="str">
        <f>IF(Caja_Arequipa[[#This Row],[tipo_r]]="R","001-"&amp;12002+A882,M881)</f>
        <v>001-12677</v>
      </c>
      <c r="N882" s="8" t="str">
        <f t="shared" si="170"/>
        <v>PEN</v>
      </c>
      <c r="O882" s="13"/>
      <c r="P882" s="13">
        <v>70</v>
      </c>
      <c r="Q882" s="3">
        <f t="shared" si="171"/>
        <v>0</v>
      </c>
      <c r="R882" s="3">
        <f t="shared" si="172"/>
        <v>70</v>
      </c>
      <c r="S882" s="3">
        <f t="shared" si="152"/>
        <v>2166.8999999999987</v>
      </c>
      <c r="T882" s="24"/>
      <c r="U882" s="24" t="s">
        <v>1334</v>
      </c>
      <c r="V882" s="3"/>
      <c r="W882" s="25">
        <f>IFERROR(VLOOKUP(Caja_Arequipa[[#This Row],[destinatario]],CHOOSE({1,2},Clientes_Proveedores[Razon Social],Clientes_Proveedores[Ruc / Dni]),2,0),"")</f>
        <v>10465142524</v>
      </c>
      <c r="X882" s="3"/>
      <c r="Y882" s="3"/>
      <c r="Z882" s="3"/>
      <c r="AA882" s="3"/>
      <c r="AB882" s="3" t="str">
        <f>IF(Caja_Arequipa[[#This Row],[fecha]]&gt;0,TEXT(Caja_Arequipa[[#This Row],[fecha]],"mmmm"),0)</f>
        <v>Setiembre</v>
      </c>
    </row>
    <row r="883" spans="1:28" ht="36" x14ac:dyDescent="0.3">
      <c r="A883" s="2">
        <f>IF(Caja_Arequipa[[#This Row],[tipo_r]]="R",COUNTIFS($C$1:$C882,"R")+1,A882)</f>
        <v>676</v>
      </c>
      <c r="B883" s="19" t="str">
        <f t="shared" ref="B883:B901" si="173">"C-Tesoreria"</f>
        <v>C-Tesoreria</v>
      </c>
      <c r="C883" s="3" t="s">
        <v>1330</v>
      </c>
      <c r="D883" s="14">
        <v>45931</v>
      </c>
      <c r="E883" s="5" t="s">
        <v>2269</v>
      </c>
      <c r="F883" s="5" t="s">
        <v>1336</v>
      </c>
      <c r="G883" s="3" t="s">
        <v>6193</v>
      </c>
      <c r="H883" s="6" t="s">
        <v>986</v>
      </c>
      <c r="I883" s="204" t="s">
        <v>75</v>
      </c>
      <c r="J883" s="6">
        <v>1</v>
      </c>
      <c r="K883" s="6">
        <v>702</v>
      </c>
      <c r="L883" s="7" t="s">
        <v>6307</v>
      </c>
      <c r="M883" s="8" t="str">
        <f>IF(Caja_Arequipa[[#This Row],[tipo_r]]="R","001-"&amp;12002+A883,M882)</f>
        <v>001-12678</v>
      </c>
      <c r="N883" s="8" t="str">
        <f t="shared" ref="N883:N901" si="174">"PEN"</f>
        <v>PEN</v>
      </c>
      <c r="O883" s="13"/>
      <c r="P883" s="13">
        <v>14.5</v>
      </c>
      <c r="Q883" s="3">
        <f t="shared" ref="Q883:Q889" si="175">+IF(OR($F883="SALDO",$F883="INGRESO"),$P883,0)</f>
        <v>0</v>
      </c>
      <c r="R883" s="3">
        <f t="shared" ref="R883:R889" si="176">+IF($F883="EGRESO",$P883,0)</f>
        <v>14.5</v>
      </c>
      <c r="S883" s="3">
        <f t="shared" si="152"/>
        <v>2152.3999999999987</v>
      </c>
      <c r="T883" s="24"/>
      <c r="U883" s="24" t="s">
        <v>1334</v>
      </c>
      <c r="V883" s="3"/>
      <c r="W883" s="25">
        <f>IFERROR(VLOOKUP(Caja_Arequipa[[#This Row],[destinatario]],CHOOSE({1,2},Clientes_Proveedores[Razon Social],Clientes_Proveedores[Ruc / Dni]),2,0),"")</f>
        <v>10309622885</v>
      </c>
      <c r="X883" s="3"/>
      <c r="Y883" s="3"/>
      <c r="Z883" s="3"/>
      <c r="AA883" s="3"/>
      <c r="AB883" s="3" t="str">
        <f>IF(Caja_Arequipa[[#This Row],[fecha]]&gt;0,TEXT(Caja_Arequipa[[#This Row],[fecha]],"mmmm"),0)</f>
        <v>Octubre</v>
      </c>
    </row>
    <row r="884" spans="1:28" ht="24" x14ac:dyDescent="0.3">
      <c r="A884" s="2">
        <f>IF(Caja_Arequipa[[#This Row],[tipo_r]]="R",COUNTIFS($C$1:$C883,"R")+1,A883)</f>
        <v>677</v>
      </c>
      <c r="B884" s="19" t="str">
        <f t="shared" si="173"/>
        <v>C-Tesoreria</v>
      </c>
      <c r="C884" s="3" t="s">
        <v>1330</v>
      </c>
      <c r="D884" s="14">
        <v>45931</v>
      </c>
      <c r="E884" s="5" t="s">
        <v>2269</v>
      </c>
      <c r="F884" s="5" t="s">
        <v>1336</v>
      </c>
      <c r="G884" s="3" t="s">
        <v>6308</v>
      </c>
      <c r="H884" s="6" t="s">
        <v>986</v>
      </c>
      <c r="I884" s="204" t="s">
        <v>75</v>
      </c>
      <c r="J884" s="6">
        <v>1</v>
      </c>
      <c r="K884" s="6">
        <v>701</v>
      </c>
      <c r="L884" s="7" t="s">
        <v>6309</v>
      </c>
      <c r="M884" s="8" t="str">
        <f>IF(Caja_Arequipa[[#This Row],[tipo_r]]="R","001-"&amp;12002+A884,M883)</f>
        <v>001-12679</v>
      </c>
      <c r="N884" s="8" t="str">
        <f t="shared" si="174"/>
        <v>PEN</v>
      </c>
      <c r="O884" s="13"/>
      <c r="P884" s="13">
        <v>27.4</v>
      </c>
      <c r="Q884" s="3">
        <f t="shared" si="175"/>
        <v>0</v>
      </c>
      <c r="R884" s="3">
        <f t="shared" si="176"/>
        <v>27.4</v>
      </c>
      <c r="S884" s="3">
        <f t="shared" si="152"/>
        <v>2124.9999999999986</v>
      </c>
      <c r="T884" s="24"/>
      <c r="U884" s="24" t="s">
        <v>1334</v>
      </c>
      <c r="V884" s="3"/>
      <c r="W884" s="25">
        <f>IFERROR(VLOOKUP(Caja_Arequipa[[#This Row],[destinatario]],CHOOSE({1,2},Clientes_Proveedores[Razon Social],Clientes_Proveedores[Ruc / Dni]),2,0),"")</f>
        <v>10309622885</v>
      </c>
      <c r="X884" s="3"/>
      <c r="Y884" s="3"/>
      <c r="Z884" s="3"/>
      <c r="AA884" s="3"/>
      <c r="AB884" s="3" t="str">
        <f>IF(Caja_Arequipa[[#This Row],[fecha]]&gt;0,TEXT(Caja_Arequipa[[#This Row],[fecha]],"mmmm"),0)</f>
        <v>Octubre</v>
      </c>
    </row>
    <row r="885" spans="1:28" ht="24" x14ac:dyDescent="0.3">
      <c r="A885" s="2">
        <f>IF(Caja_Arequipa[[#This Row],[tipo_r]]="R",COUNTIFS($C$1:$C884,"R")+1,A884)</f>
        <v>678</v>
      </c>
      <c r="B885" s="19" t="str">
        <f t="shared" si="173"/>
        <v>C-Tesoreria</v>
      </c>
      <c r="C885" s="3" t="s">
        <v>1330</v>
      </c>
      <c r="D885" s="14">
        <v>45933</v>
      </c>
      <c r="E885" s="5" t="s">
        <v>2269</v>
      </c>
      <c r="F885" s="5" t="s">
        <v>1336</v>
      </c>
      <c r="G885" s="3" t="s">
        <v>6310</v>
      </c>
      <c r="H885" s="13" t="s">
        <v>1068</v>
      </c>
      <c r="I885" s="203" t="s">
        <v>111</v>
      </c>
      <c r="J885" s="6">
        <v>3</v>
      </c>
      <c r="K885" s="6">
        <v>365</v>
      </c>
      <c r="L885" s="7" t="s">
        <v>6311</v>
      </c>
      <c r="M885" s="8" t="str">
        <f>IF(Caja_Arequipa[[#This Row],[tipo_r]]="R","001-"&amp;12002+A885,M884)</f>
        <v>001-12680</v>
      </c>
      <c r="N885" s="8" t="str">
        <f t="shared" si="174"/>
        <v>PEN</v>
      </c>
      <c r="O885" s="13"/>
      <c r="P885" s="13">
        <v>20</v>
      </c>
      <c r="Q885" s="3">
        <f t="shared" si="175"/>
        <v>0</v>
      </c>
      <c r="R885" s="3">
        <f t="shared" si="176"/>
        <v>20</v>
      </c>
      <c r="S885" s="3">
        <f t="shared" si="152"/>
        <v>2104.9999999999986</v>
      </c>
      <c r="T885" s="24"/>
      <c r="U885" s="24" t="s">
        <v>1334</v>
      </c>
      <c r="V885" s="3"/>
      <c r="W885" s="25">
        <f>IFERROR(VLOOKUP(Caja_Arequipa[[#This Row],[destinatario]],CHOOSE({1,2},Clientes_Proveedores[Razon Social],Clientes_Proveedores[Ruc / Dni]),2,0),"")</f>
        <v>72725445</v>
      </c>
      <c r="X885" s="3" t="s">
        <v>6312</v>
      </c>
      <c r="Y885" s="3"/>
      <c r="Z885" s="3"/>
      <c r="AA885" s="3"/>
      <c r="AB885" s="3" t="str">
        <f>IF(Caja_Arequipa[[#This Row],[fecha]]&gt;0,TEXT(Caja_Arequipa[[#This Row],[fecha]],"mmmm"),0)</f>
        <v>Octubre</v>
      </c>
    </row>
    <row r="886" spans="1:28" x14ac:dyDescent="0.3">
      <c r="A886" s="2">
        <f>IF(Caja_Arequipa[[#This Row],[tipo_r]]="R",COUNTIFS($C$1:$C885,"R")+1,A885)</f>
        <v>679</v>
      </c>
      <c r="B886" s="19" t="str">
        <f t="shared" si="173"/>
        <v>C-Tesoreria</v>
      </c>
      <c r="C886" s="3" t="s">
        <v>1330</v>
      </c>
      <c r="D886" s="14">
        <v>45933</v>
      </c>
      <c r="E886" s="5" t="s">
        <v>2269</v>
      </c>
      <c r="F886" s="5" t="s">
        <v>1336</v>
      </c>
      <c r="G886" s="3" t="s">
        <v>6246</v>
      </c>
      <c r="H886" s="6"/>
      <c r="I886" s="204"/>
      <c r="J886" s="6"/>
      <c r="K886" s="6"/>
      <c r="L886" s="7" t="s">
        <v>6055</v>
      </c>
      <c r="M886" s="8" t="str">
        <f>IF(Caja_Arequipa[[#This Row],[tipo_r]]="R","001-"&amp;12002+A886,M885)</f>
        <v>001-12681</v>
      </c>
      <c r="N886" s="8" t="str">
        <f t="shared" si="174"/>
        <v>PEN</v>
      </c>
      <c r="O886" s="13"/>
      <c r="P886" s="13">
        <v>96</v>
      </c>
      <c r="Q886" s="3">
        <f t="shared" si="175"/>
        <v>0</v>
      </c>
      <c r="R886" s="3">
        <f t="shared" si="176"/>
        <v>96</v>
      </c>
      <c r="S886" s="3">
        <f t="shared" si="152"/>
        <v>2008.9999999999986</v>
      </c>
      <c r="T886" s="24"/>
      <c r="U886" s="24"/>
      <c r="V886" s="3"/>
      <c r="W886" s="25" t="str">
        <f>IFERROR(VLOOKUP(Caja_Arequipa[[#This Row],[destinatario]],CHOOSE({1,2},Clientes_Proveedores[Razon Social],Clientes_Proveedores[Ruc / Dni]),2,0),"")</f>
        <v/>
      </c>
      <c r="X886" s="3"/>
      <c r="Y886" s="3"/>
      <c r="Z886" s="3"/>
      <c r="AA886" s="3"/>
      <c r="AB886" s="3" t="str">
        <f>IF(Caja_Arequipa[[#This Row],[fecha]]&gt;0,TEXT(Caja_Arequipa[[#This Row],[fecha]],"mmmm"),0)</f>
        <v>Octubre</v>
      </c>
    </row>
    <row r="887" spans="1:28" ht="24" x14ac:dyDescent="0.3">
      <c r="A887" s="2">
        <f>IF(Caja_Arequipa[[#This Row],[tipo_r]]="R",COUNTIFS($C$1:$C886,"R")+1,A886)</f>
        <v>679</v>
      </c>
      <c r="B887" s="19" t="str">
        <f t="shared" si="173"/>
        <v>C-Tesoreria</v>
      </c>
      <c r="C887" s="3" t="s">
        <v>1352</v>
      </c>
      <c r="D887" s="14">
        <v>45933</v>
      </c>
      <c r="E887" s="5" t="s">
        <v>2269</v>
      </c>
      <c r="F887" s="5" t="s">
        <v>1336</v>
      </c>
      <c r="G887" s="3" t="s">
        <v>6246</v>
      </c>
      <c r="H887" s="6" t="s">
        <v>1093</v>
      </c>
      <c r="I887" s="204" t="s">
        <v>111</v>
      </c>
      <c r="J887" s="6">
        <v>3</v>
      </c>
      <c r="K887" s="6">
        <v>364</v>
      </c>
      <c r="L887" s="7" t="s">
        <v>6055</v>
      </c>
      <c r="M887" s="8" t="str">
        <f>IF(Caja_Arequipa[[#This Row],[tipo_r]]="R","001-"&amp;12002+A887,M886)</f>
        <v>001-12681</v>
      </c>
      <c r="N887" s="8" t="str">
        <f t="shared" si="174"/>
        <v>PEN</v>
      </c>
      <c r="O887" s="13">
        <v>16</v>
      </c>
      <c r="P887" s="13"/>
      <c r="Q887" s="3">
        <f t="shared" si="175"/>
        <v>0</v>
      </c>
      <c r="R887" s="3">
        <f t="shared" si="176"/>
        <v>0</v>
      </c>
      <c r="S887" s="3">
        <f t="shared" si="152"/>
        <v>2008.9999999999986</v>
      </c>
      <c r="T887" s="24"/>
      <c r="U887" s="24"/>
      <c r="V887" s="3"/>
      <c r="W887" s="25">
        <f>IFERROR(VLOOKUP(Caja_Arequipa[[#This Row],[destinatario]],CHOOSE({1,2},Clientes_Proveedores[Razon Social],Clientes_Proveedores[Ruc / Dni]),2,0),"")</f>
        <v>75846609</v>
      </c>
      <c r="X887" s="3"/>
      <c r="Y887" s="3"/>
      <c r="Z887" s="3"/>
      <c r="AA887" s="3"/>
      <c r="AB887" s="3" t="str">
        <f>IF(Caja_Arequipa[[#This Row],[fecha]]&gt;0,TEXT(Caja_Arequipa[[#This Row],[fecha]],"mmmm"),0)</f>
        <v>Octubre</v>
      </c>
    </row>
    <row r="888" spans="1:28" ht="24" x14ac:dyDescent="0.3">
      <c r="A888" s="2">
        <f>IF(Caja_Arequipa[[#This Row],[tipo_r]]="R",COUNTIFS($C$1:$C887,"R")+1,A887)</f>
        <v>679</v>
      </c>
      <c r="B888" s="19" t="str">
        <f t="shared" si="173"/>
        <v>C-Tesoreria</v>
      </c>
      <c r="C888" s="3" t="s">
        <v>1352</v>
      </c>
      <c r="D888" s="14">
        <v>45933</v>
      </c>
      <c r="E888" s="5" t="s">
        <v>2269</v>
      </c>
      <c r="F888" s="5" t="s">
        <v>1336</v>
      </c>
      <c r="G888" s="3" t="s">
        <v>6246</v>
      </c>
      <c r="H888" s="149" t="s">
        <v>756</v>
      </c>
      <c r="I888" s="219" t="s">
        <v>72</v>
      </c>
      <c r="J888" s="149" t="s">
        <v>1376</v>
      </c>
      <c r="K888" s="149">
        <v>1326</v>
      </c>
      <c r="L888" s="154" t="s">
        <v>6055</v>
      </c>
      <c r="M888" s="153" t="str">
        <f>IF(Caja_Arequipa[[#This Row],[tipo_r]]="R","001-"&amp;12002+A888,M887)</f>
        <v>001-12681</v>
      </c>
      <c r="N888" s="153" t="str">
        <f t="shared" si="174"/>
        <v>PEN</v>
      </c>
      <c r="O888" s="96">
        <v>50</v>
      </c>
      <c r="P888" s="13"/>
      <c r="Q888" s="3">
        <f t="shared" si="175"/>
        <v>0</v>
      </c>
      <c r="R888" s="3">
        <f t="shared" si="176"/>
        <v>0</v>
      </c>
      <c r="S888" s="3">
        <f t="shared" si="152"/>
        <v>2008.9999999999986</v>
      </c>
      <c r="T888" s="24"/>
      <c r="U888" s="24"/>
      <c r="V888" s="3"/>
      <c r="W888" s="25">
        <f>IFERROR(VLOOKUP(Caja_Arequipa[[#This Row],[destinatario]],CHOOSE({1,2},Clientes_Proveedores[Razon Social],Clientes_Proveedores[Ruc / Dni]),2,0),"")</f>
        <v>10450776578</v>
      </c>
      <c r="X888" s="3" t="s">
        <v>6313</v>
      </c>
      <c r="Y888" s="3"/>
      <c r="Z888" s="3"/>
      <c r="AA888" s="3"/>
      <c r="AB888" s="3" t="str">
        <f>IF(Caja_Arequipa[[#This Row],[fecha]]&gt;0,TEXT(Caja_Arequipa[[#This Row],[fecha]],"mmmm"),0)</f>
        <v>Octubre</v>
      </c>
    </row>
    <row r="889" spans="1:28" ht="24" x14ac:dyDescent="0.3">
      <c r="A889" s="2">
        <f>IF(Caja_Arequipa[[#This Row],[tipo_r]]="R",COUNTIFS($C$1:$C888,"R")+1,A888)</f>
        <v>679</v>
      </c>
      <c r="B889" s="19" t="str">
        <f t="shared" si="173"/>
        <v>C-Tesoreria</v>
      </c>
      <c r="C889" s="3" t="s">
        <v>1352</v>
      </c>
      <c r="D889" s="14">
        <v>45933</v>
      </c>
      <c r="E889" s="5" t="s">
        <v>2269</v>
      </c>
      <c r="F889" s="5" t="s">
        <v>1336</v>
      </c>
      <c r="G889" s="3" t="s">
        <v>6246</v>
      </c>
      <c r="H889" s="6" t="s">
        <v>1214</v>
      </c>
      <c r="I889" s="204" t="s">
        <v>72</v>
      </c>
      <c r="J889" s="6" t="s">
        <v>1376</v>
      </c>
      <c r="K889" s="6">
        <v>32</v>
      </c>
      <c r="L889" s="7" t="s">
        <v>6055</v>
      </c>
      <c r="M889" s="8" t="str">
        <f>IF(Caja_Arequipa[[#This Row],[tipo_r]]="R","001-"&amp;12002+A889,M888)</f>
        <v>001-12681</v>
      </c>
      <c r="N889" s="8" t="str">
        <f t="shared" si="174"/>
        <v>PEN</v>
      </c>
      <c r="O889" s="13">
        <v>30</v>
      </c>
      <c r="P889" s="13"/>
      <c r="Q889" s="3">
        <f t="shared" si="175"/>
        <v>0</v>
      </c>
      <c r="R889" s="3">
        <f t="shared" si="176"/>
        <v>0</v>
      </c>
      <c r="S889" s="3">
        <f t="shared" si="152"/>
        <v>2008.9999999999986</v>
      </c>
      <c r="T889" s="24"/>
      <c r="U889" s="24"/>
      <c r="V889" s="3"/>
      <c r="W889" s="25">
        <f>IFERROR(VLOOKUP(Caja_Arequipa[[#This Row],[destinatario]],CHOOSE({1,2},Clientes_Proveedores[Razon Social],Clientes_Proveedores[Ruc / Dni]),2,0),"")</f>
        <v>10417719241</v>
      </c>
      <c r="X889" s="3"/>
      <c r="Y889" s="3"/>
      <c r="Z889" s="3"/>
      <c r="AA889" s="3"/>
      <c r="AB889" s="3" t="str">
        <f>IF(Caja_Arequipa[[#This Row],[fecha]]&gt;0,TEXT(Caja_Arequipa[[#This Row],[fecha]],"mmmm"),0)</f>
        <v>Octubre</v>
      </c>
    </row>
    <row r="890" spans="1:28" ht="24" x14ac:dyDescent="0.3">
      <c r="A890" s="2">
        <f>IF(Caja_Arequipa[[#This Row],[tipo_r]]="R",COUNTIFS($C$1:$C889,"R")+1,A889)</f>
        <v>680</v>
      </c>
      <c r="B890" s="19" t="str">
        <f t="shared" si="173"/>
        <v>C-Tesoreria</v>
      </c>
      <c r="C890" s="3" t="s">
        <v>1330</v>
      </c>
      <c r="D890" s="14">
        <v>45933</v>
      </c>
      <c r="E890" s="5" t="s">
        <v>2269</v>
      </c>
      <c r="F890" s="5" t="s">
        <v>1336</v>
      </c>
      <c r="G890" s="3" t="s">
        <v>6216</v>
      </c>
      <c r="H890" s="6" t="s">
        <v>918</v>
      </c>
      <c r="I890" s="203" t="s">
        <v>111</v>
      </c>
      <c r="J890" s="6">
        <v>3</v>
      </c>
      <c r="K890" s="6">
        <v>368</v>
      </c>
      <c r="L890" s="7" t="s">
        <v>6297</v>
      </c>
      <c r="M890" s="8" t="str">
        <f>IF(Caja_Arequipa[[#This Row],[tipo_r]]="R","001-"&amp;12002+A890,M889)</f>
        <v>001-12682</v>
      </c>
      <c r="N890" s="8" t="str">
        <f t="shared" si="174"/>
        <v>PEN</v>
      </c>
      <c r="O890" s="13"/>
      <c r="P890" s="13">
        <v>16</v>
      </c>
      <c r="Q890" s="3">
        <f t="shared" ref="Q890:Q901" si="177">+IF(OR($F890="SALDO",$F890="INGRESO"),$P890,0)</f>
        <v>0</v>
      </c>
      <c r="R890" s="3">
        <f t="shared" ref="R890:R901" si="178">+IF($F890="EGRESO",$P890,0)</f>
        <v>16</v>
      </c>
      <c r="S890" s="3">
        <f t="shared" si="152"/>
        <v>1992.9999999999986</v>
      </c>
      <c r="T890" s="24"/>
      <c r="U890" s="24" t="s">
        <v>1334</v>
      </c>
      <c r="V890" s="3"/>
      <c r="W890" s="25">
        <f>IFERROR(VLOOKUP(Caja_Arequipa[[#This Row],[destinatario]],CHOOSE({1,2},Clientes_Proveedores[Razon Social],Clientes_Proveedores[Ruc / Dni]),2,0),"")</f>
        <v>48536654</v>
      </c>
      <c r="X890" s="3"/>
      <c r="Y890" s="3"/>
      <c r="Z890" s="3"/>
      <c r="AA890" s="3"/>
      <c r="AB890" s="3" t="str">
        <f>IF(Caja_Arequipa[[#This Row],[fecha]]&gt;0,TEXT(Caja_Arequipa[[#This Row],[fecha]],"mmmm"),0)</f>
        <v>Octubre</v>
      </c>
    </row>
    <row r="891" spans="1:28" ht="24" x14ac:dyDescent="0.3">
      <c r="A891" s="2">
        <f>IF(Caja_Arequipa[[#This Row],[tipo_r]]="R",COUNTIFS($C$1:$C890,"R")+1,A890)</f>
        <v>681</v>
      </c>
      <c r="B891" s="19" t="str">
        <f t="shared" si="173"/>
        <v>C-Tesoreria</v>
      </c>
      <c r="C891" s="3" t="s">
        <v>1330</v>
      </c>
      <c r="D891" s="14">
        <v>45933</v>
      </c>
      <c r="E891" s="5" t="s">
        <v>2269</v>
      </c>
      <c r="F891" s="5" t="s">
        <v>1336</v>
      </c>
      <c r="G891" s="3" t="s">
        <v>6216</v>
      </c>
      <c r="H891" s="6" t="s">
        <v>918</v>
      </c>
      <c r="I891" s="203" t="s">
        <v>111</v>
      </c>
      <c r="J891" s="6">
        <v>3</v>
      </c>
      <c r="K891" s="6">
        <v>369</v>
      </c>
      <c r="L891" s="7" t="s">
        <v>6314</v>
      </c>
      <c r="M891" s="8" t="str">
        <f>IF(Caja_Arequipa[[#This Row],[tipo_r]]="R","001-"&amp;12002+A891,M890)</f>
        <v>001-12683</v>
      </c>
      <c r="N891" s="8" t="str">
        <f t="shared" si="174"/>
        <v>PEN</v>
      </c>
      <c r="O891" s="13"/>
      <c r="P891" s="13">
        <v>15</v>
      </c>
      <c r="Q891" s="3">
        <f t="shared" si="177"/>
        <v>0</v>
      </c>
      <c r="R891" s="3">
        <f t="shared" si="178"/>
        <v>15</v>
      </c>
      <c r="S891" s="3">
        <f t="shared" si="152"/>
        <v>1977.9999999999986</v>
      </c>
      <c r="T891" s="24"/>
      <c r="U891" s="24" t="s">
        <v>1334</v>
      </c>
      <c r="V891" s="3"/>
      <c r="W891" s="25">
        <f>IFERROR(VLOOKUP(Caja_Arequipa[[#This Row],[destinatario]],CHOOSE({1,2},Clientes_Proveedores[Razon Social],Clientes_Proveedores[Ruc / Dni]),2,0),"")</f>
        <v>48536654</v>
      </c>
      <c r="X891" s="3"/>
      <c r="Y891" s="3"/>
      <c r="Z891" s="3"/>
      <c r="AA891" s="3"/>
      <c r="AB891" s="3" t="str">
        <f>IF(Caja_Arequipa[[#This Row],[fecha]]&gt;0,TEXT(Caja_Arequipa[[#This Row],[fecha]],"mmmm"),0)</f>
        <v>Octubre</v>
      </c>
    </row>
    <row r="892" spans="1:28" ht="24" x14ac:dyDescent="0.3">
      <c r="A892" s="2">
        <f>IF(Caja_Arequipa[[#This Row],[tipo_r]]="R",COUNTIFS($C$1:$C891,"R")+1,A891)</f>
        <v>682</v>
      </c>
      <c r="B892" s="19" t="str">
        <f t="shared" si="173"/>
        <v>C-Tesoreria</v>
      </c>
      <c r="C892" s="3" t="s">
        <v>1330</v>
      </c>
      <c r="D892" s="14">
        <v>45933</v>
      </c>
      <c r="E892" s="5" t="s">
        <v>2269</v>
      </c>
      <c r="F892" s="5" t="s">
        <v>1336</v>
      </c>
      <c r="G892" s="3" t="s">
        <v>6216</v>
      </c>
      <c r="H892" s="6" t="s">
        <v>918</v>
      </c>
      <c r="I892" s="203" t="s">
        <v>111</v>
      </c>
      <c r="J892" s="6">
        <v>3</v>
      </c>
      <c r="K892" s="6">
        <v>370</v>
      </c>
      <c r="L892" s="7" t="s">
        <v>6315</v>
      </c>
      <c r="M892" s="8" t="str">
        <f>IF(Caja_Arequipa[[#This Row],[tipo_r]]="R","001-"&amp;12002+A892,M891)</f>
        <v>001-12684</v>
      </c>
      <c r="N892" s="8" t="str">
        <f t="shared" si="174"/>
        <v>PEN</v>
      </c>
      <c r="O892" s="13"/>
      <c r="P892" s="13">
        <v>26</v>
      </c>
      <c r="Q892" s="3">
        <f t="shared" si="177"/>
        <v>0</v>
      </c>
      <c r="R892" s="3">
        <f t="shared" si="178"/>
        <v>26</v>
      </c>
      <c r="S892" s="3">
        <f t="shared" si="152"/>
        <v>1951.9999999999986</v>
      </c>
      <c r="T892" s="24"/>
      <c r="U892" s="24" t="s">
        <v>1334</v>
      </c>
      <c r="V892" s="3"/>
      <c r="W892" s="25">
        <f>IFERROR(VLOOKUP(Caja_Arequipa[[#This Row],[destinatario]],CHOOSE({1,2},Clientes_Proveedores[Razon Social],Clientes_Proveedores[Ruc / Dni]),2,0),"")</f>
        <v>48536654</v>
      </c>
      <c r="X892" s="3"/>
      <c r="Y892" s="3"/>
      <c r="Z892" s="3"/>
      <c r="AA892" s="3"/>
      <c r="AB892" s="3" t="str">
        <f>IF(Caja_Arequipa[[#This Row],[fecha]]&gt;0,TEXT(Caja_Arequipa[[#This Row],[fecha]],"mmmm"),0)</f>
        <v>Octubre</v>
      </c>
    </row>
    <row r="893" spans="1:28" ht="24" x14ac:dyDescent="0.3">
      <c r="A893" s="2">
        <f>IF(Caja_Arequipa[[#This Row],[tipo_r]]="R",COUNTIFS($C$1:$C892,"R")+1,A892)</f>
        <v>683</v>
      </c>
      <c r="B893" s="19" t="str">
        <f t="shared" si="173"/>
        <v>C-Tesoreria</v>
      </c>
      <c r="C893" s="3" t="s">
        <v>1330</v>
      </c>
      <c r="D893" s="14">
        <v>45933</v>
      </c>
      <c r="E893" s="5" t="s">
        <v>2269</v>
      </c>
      <c r="F893" s="5" t="s">
        <v>1336</v>
      </c>
      <c r="G893" s="3" t="s">
        <v>6216</v>
      </c>
      <c r="H893" s="6" t="s">
        <v>918</v>
      </c>
      <c r="I893" s="203" t="s">
        <v>111</v>
      </c>
      <c r="J893" s="6">
        <v>3</v>
      </c>
      <c r="K893" s="6">
        <v>371</v>
      </c>
      <c r="L893" s="7" t="s">
        <v>6316</v>
      </c>
      <c r="M893" s="8" t="str">
        <f>IF(Caja_Arequipa[[#This Row],[tipo_r]]="R","001-"&amp;12002+A893,M892)</f>
        <v>001-12685</v>
      </c>
      <c r="N893" s="8" t="str">
        <f t="shared" si="174"/>
        <v>PEN</v>
      </c>
      <c r="O893" s="13"/>
      <c r="P893" s="13">
        <v>28</v>
      </c>
      <c r="Q893" s="3">
        <f t="shared" si="177"/>
        <v>0</v>
      </c>
      <c r="R893" s="3">
        <f t="shared" si="178"/>
        <v>28</v>
      </c>
      <c r="S893" s="3">
        <f t="shared" si="152"/>
        <v>1923.9999999999986</v>
      </c>
      <c r="T893" s="24"/>
      <c r="U893" s="24" t="s">
        <v>1334</v>
      </c>
      <c r="V893" s="3"/>
      <c r="W893" s="25">
        <f>IFERROR(VLOOKUP(Caja_Arequipa[[#This Row],[destinatario]],CHOOSE({1,2},Clientes_Proveedores[Razon Social],Clientes_Proveedores[Ruc / Dni]),2,0),"")</f>
        <v>48536654</v>
      </c>
      <c r="X893" s="3"/>
      <c r="Y893" s="3"/>
      <c r="Z893" s="3"/>
      <c r="AA893" s="3"/>
      <c r="AB893" s="3" t="str">
        <f>IF(Caja_Arequipa[[#This Row],[fecha]]&gt;0,TEXT(Caja_Arequipa[[#This Row],[fecha]],"mmmm"),0)</f>
        <v>Octubre</v>
      </c>
    </row>
    <row r="894" spans="1:28" ht="24" x14ac:dyDescent="0.3">
      <c r="A894" s="2">
        <f>IF(Caja_Arequipa[[#This Row],[tipo_r]]="R",COUNTIFS($C$1:$C893,"R")+1,A893)</f>
        <v>684</v>
      </c>
      <c r="B894" s="19" t="str">
        <f t="shared" si="173"/>
        <v>C-Tesoreria</v>
      </c>
      <c r="C894" s="3" t="s">
        <v>1330</v>
      </c>
      <c r="D894" s="14">
        <v>45933</v>
      </c>
      <c r="E894" s="5" t="s">
        <v>2269</v>
      </c>
      <c r="F894" s="5" t="s">
        <v>1336</v>
      </c>
      <c r="G894" s="3" t="s">
        <v>6216</v>
      </c>
      <c r="H894" s="6" t="s">
        <v>918</v>
      </c>
      <c r="I894" s="203" t="s">
        <v>111</v>
      </c>
      <c r="J894" s="6">
        <v>3</v>
      </c>
      <c r="K894" s="6">
        <v>372</v>
      </c>
      <c r="L894" s="7" t="s">
        <v>6298</v>
      </c>
      <c r="M894" s="8" t="str">
        <f>IF(Caja_Arequipa[[#This Row],[tipo_r]]="R","001-"&amp;12002+A894,M893)</f>
        <v>001-12686</v>
      </c>
      <c r="N894" s="8" t="str">
        <f t="shared" si="174"/>
        <v>PEN</v>
      </c>
      <c r="O894" s="13"/>
      <c r="P894" s="13">
        <v>5</v>
      </c>
      <c r="Q894" s="3">
        <f t="shared" si="177"/>
        <v>0</v>
      </c>
      <c r="R894" s="3">
        <f t="shared" si="178"/>
        <v>5</v>
      </c>
      <c r="S894" s="3">
        <f t="shared" si="152"/>
        <v>1918.9999999999986</v>
      </c>
      <c r="T894" s="24"/>
      <c r="U894" s="24" t="s">
        <v>1334</v>
      </c>
      <c r="V894" s="3"/>
      <c r="W894" s="25">
        <f>IFERROR(VLOOKUP(Caja_Arequipa[[#This Row],[destinatario]],CHOOSE({1,2},Clientes_Proveedores[Razon Social],Clientes_Proveedores[Ruc / Dni]),2,0),"")</f>
        <v>48536654</v>
      </c>
      <c r="X894" s="3"/>
      <c r="Y894" s="3"/>
      <c r="Z894" s="3"/>
      <c r="AA894" s="3"/>
      <c r="AB894" s="3" t="str">
        <f>IF(Caja_Arequipa[[#This Row],[fecha]]&gt;0,TEXT(Caja_Arequipa[[#This Row],[fecha]],"mmmm"),0)</f>
        <v>Octubre</v>
      </c>
    </row>
    <row r="895" spans="1:28" ht="24" x14ac:dyDescent="0.3">
      <c r="A895" s="2">
        <f>IF(Caja_Arequipa[[#This Row],[tipo_r]]="R",COUNTIFS($C$1:$C894,"R")+1,A894)</f>
        <v>685</v>
      </c>
      <c r="B895" s="19" t="str">
        <f t="shared" si="173"/>
        <v>C-Tesoreria</v>
      </c>
      <c r="C895" s="3" t="s">
        <v>1330</v>
      </c>
      <c r="D895" s="14">
        <v>45933</v>
      </c>
      <c r="E895" s="5" t="s">
        <v>2269</v>
      </c>
      <c r="F895" s="5" t="s">
        <v>1336</v>
      </c>
      <c r="G895" s="3" t="s">
        <v>6216</v>
      </c>
      <c r="H895" s="6" t="s">
        <v>918</v>
      </c>
      <c r="I895" s="203" t="s">
        <v>111</v>
      </c>
      <c r="J895" s="6">
        <v>3</v>
      </c>
      <c r="K895" s="6">
        <v>373</v>
      </c>
      <c r="L895" s="7" t="s">
        <v>6317</v>
      </c>
      <c r="M895" s="8" t="str">
        <f>IF(Caja_Arequipa[[#This Row],[tipo_r]]="R","001-"&amp;12002+A895,M894)</f>
        <v>001-12687</v>
      </c>
      <c r="N895" s="8" t="str">
        <f t="shared" si="174"/>
        <v>PEN</v>
      </c>
      <c r="O895" s="13"/>
      <c r="P895" s="13">
        <v>10</v>
      </c>
      <c r="Q895" s="3">
        <f t="shared" si="177"/>
        <v>0</v>
      </c>
      <c r="R895" s="3">
        <f t="shared" si="178"/>
        <v>10</v>
      </c>
      <c r="S895" s="3">
        <f t="shared" si="152"/>
        <v>1908.9999999999986</v>
      </c>
      <c r="T895" s="24"/>
      <c r="U895" s="24" t="s">
        <v>1334</v>
      </c>
      <c r="V895" s="3"/>
      <c r="W895" s="25">
        <f>IFERROR(VLOOKUP(Caja_Arequipa[[#This Row],[destinatario]],CHOOSE({1,2},Clientes_Proveedores[Razon Social],Clientes_Proveedores[Ruc / Dni]),2,0),"")</f>
        <v>48536654</v>
      </c>
      <c r="X895" s="3"/>
      <c r="Y895" s="3"/>
      <c r="Z895" s="3"/>
      <c r="AA895" s="3"/>
      <c r="AB895" s="3" t="str">
        <f>IF(Caja_Arequipa[[#This Row],[fecha]]&gt;0,TEXT(Caja_Arequipa[[#This Row],[fecha]],"mmmm"),0)</f>
        <v>Octubre</v>
      </c>
    </row>
    <row r="896" spans="1:28" ht="24" x14ac:dyDescent="0.3">
      <c r="A896" s="2">
        <f>IF(Caja_Arequipa[[#This Row],[tipo_r]]="R",COUNTIFS($C$1:$C895,"R")+1,A895)</f>
        <v>686</v>
      </c>
      <c r="B896" s="19" t="str">
        <f t="shared" si="173"/>
        <v>C-Tesoreria</v>
      </c>
      <c r="C896" s="3" t="s">
        <v>1330</v>
      </c>
      <c r="D896" s="14">
        <v>45933</v>
      </c>
      <c r="E896" s="5" t="s">
        <v>2269</v>
      </c>
      <c r="F896" s="5" t="s">
        <v>1336</v>
      </c>
      <c r="G896" s="3" t="s">
        <v>6216</v>
      </c>
      <c r="H896" s="6" t="s">
        <v>918</v>
      </c>
      <c r="I896" s="203" t="s">
        <v>111</v>
      </c>
      <c r="J896" s="6">
        <v>3</v>
      </c>
      <c r="K896" s="6">
        <v>374</v>
      </c>
      <c r="L896" s="7" t="s">
        <v>6318</v>
      </c>
      <c r="M896" s="8" t="str">
        <f>IF(Caja_Arequipa[[#This Row],[tipo_r]]="R","001-"&amp;12002+A896,M895)</f>
        <v>001-12688</v>
      </c>
      <c r="N896" s="8" t="str">
        <f t="shared" si="174"/>
        <v>PEN</v>
      </c>
      <c r="O896" s="13"/>
      <c r="P896" s="13">
        <v>5</v>
      </c>
      <c r="Q896" s="3">
        <f t="shared" si="177"/>
        <v>0</v>
      </c>
      <c r="R896" s="3">
        <f t="shared" si="178"/>
        <v>5</v>
      </c>
      <c r="S896" s="3">
        <f t="shared" si="152"/>
        <v>1903.9999999999986</v>
      </c>
      <c r="T896" s="24"/>
      <c r="U896" s="24" t="s">
        <v>1334</v>
      </c>
      <c r="V896" s="3"/>
      <c r="W896" s="25">
        <f>IFERROR(VLOOKUP(Caja_Arequipa[[#This Row],[destinatario]],CHOOSE({1,2},Clientes_Proveedores[Razon Social],Clientes_Proveedores[Ruc / Dni]),2,0),"")</f>
        <v>48536654</v>
      </c>
      <c r="X896" s="3"/>
      <c r="Y896" s="3"/>
      <c r="Z896" s="3"/>
      <c r="AA896" s="3"/>
      <c r="AB896" s="3" t="str">
        <f>IF(Caja_Arequipa[[#This Row],[fecha]]&gt;0,TEXT(Caja_Arequipa[[#This Row],[fecha]],"mmmm"),0)</f>
        <v>Octubre</v>
      </c>
    </row>
    <row r="897" spans="1:28" ht="24" x14ac:dyDescent="0.3">
      <c r="A897" s="2">
        <f>IF(Caja_Arequipa[[#This Row],[tipo_r]]="R",COUNTIFS($C$1:$C896,"R")+1,A896)</f>
        <v>687</v>
      </c>
      <c r="B897" s="19" t="str">
        <f t="shared" si="173"/>
        <v>C-Tesoreria</v>
      </c>
      <c r="C897" s="3" t="s">
        <v>1330</v>
      </c>
      <c r="D897" s="14">
        <v>45933</v>
      </c>
      <c r="E897" s="5" t="s">
        <v>2269</v>
      </c>
      <c r="F897" s="5" t="s">
        <v>1336</v>
      </c>
      <c r="G897" s="3" t="s">
        <v>6216</v>
      </c>
      <c r="H897" s="6" t="s">
        <v>918</v>
      </c>
      <c r="I897" s="203" t="s">
        <v>111</v>
      </c>
      <c r="J897" s="6">
        <v>3</v>
      </c>
      <c r="K897" s="6">
        <v>375</v>
      </c>
      <c r="L897" s="7" t="s">
        <v>6319</v>
      </c>
      <c r="M897" s="8" t="str">
        <f>IF(Caja_Arequipa[[#This Row],[tipo_r]]="R","001-"&amp;12002+A897,M896)</f>
        <v>001-12689</v>
      </c>
      <c r="N897" s="8" t="str">
        <f t="shared" si="174"/>
        <v>PEN</v>
      </c>
      <c r="O897" s="13"/>
      <c r="P897" s="13">
        <v>30</v>
      </c>
      <c r="Q897" s="3">
        <f t="shared" si="177"/>
        <v>0</v>
      </c>
      <c r="R897" s="3">
        <f t="shared" si="178"/>
        <v>30</v>
      </c>
      <c r="S897" s="3">
        <f t="shared" si="152"/>
        <v>1873.9999999999986</v>
      </c>
      <c r="T897" s="24"/>
      <c r="U897" s="24" t="s">
        <v>1334</v>
      </c>
      <c r="V897" s="3"/>
      <c r="W897" s="25">
        <f>IFERROR(VLOOKUP(Caja_Arequipa[[#This Row],[destinatario]],CHOOSE({1,2},Clientes_Proveedores[Razon Social],Clientes_Proveedores[Ruc / Dni]),2,0),"")</f>
        <v>48536654</v>
      </c>
      <c r="X897" s="3"/>
      <c r="Y897" s="3"/>
      <c r="Z897" s="3"/>
      <c r="AA897" s="3"/>
      <c r="AB897" s="3" t="str">
        <f>IF(Caja_Arequipa[[#This Row],[fecha]]&gt;0,TEXT(Caja_Arequipa[[#This Row],[fecha]],"mmmm"),0)</f>
        <v>Octubre</v>
      </c>
    </row>
    <row r="898" spans="1:28" ht="24" x14ac:dyDescent="0.3">
      <c r="A898" s="2">
        <f>IF(Caja_Arequipa[[#This Row],[tipo_r]]="R",COUNTIFS($C$1:$C897,"R")+1,A897)</f>
        <v>688</v>
      </c>
      <c r="B898" s="19" t="str">
        <f t="shared" si="173"/>
        <v>C-Tesoreria</v>
      </c>
      <c r="C898" s="3" t="s">
        <v>1330</v>
      </c>
      <c r="D898" s="14">
        <v>45933</v>
      </c>
      <c r="E898" s="5" t="s">
        <v>2269</v>
      </c>
      <c r="F898" s="5" t="s">
        <v>1336</v>
      </c>
      <c r="G898" s="3" t="s">
        <v>6216</v>
      </c>
      <c r="H898" s="6" t="s">
        <v>918</v>
      </c>
      <c r="I898" s="203" t="s">
        <v>111</v>
      </c>
      <c r="J898" s="6">
        <v>3</v>
      </c>
      <c r="K898" s="6">
        <v>376</v>
      </c>
      <c r="L898" s="7" t="s">
        <v>6320</v>
      </c>
      <c r="M898" s="8" t="str">
        <f>IF(Caja_Arequipa[[#This Row],[tipo_r]]="R","001-"&amp;12002+A898,M897)</f>
        <v>001-12690</v>
      </c>
      <c r="N898" s="8" t="str">
        <f t="shared" si="174"/>
        <v>PEN</v>
      </c>
      <c r="O898" s="13"/>
      <c r="P898" s="13">
        <v>41</v>
      </c>
      <c r="Q898" s="3">
        <f t="shared" si="177"/>
        <v>0</v>
      </c>
      <c r="R898" s="3">
        <f t="shared" si="178"/>
        <v>41</v>
      </c>
      <c r="S898" s="3">
        <f t="shared" ref="S898:S961" si="179">IFERROR(IF(F898="SALDO",Q898,S897+Q898-R898),0)</f>
        <v>1832.9999999999986</v>
      </c>
      <c r="T898" s="24"/>
      <c r="U898" s="24" t="s">
        <v>1334</v>
      </c>
      <c r="V898" s="3"/>
      <c r="W898" s="25">
        <f>IFERROR(VLOOKUP(Caja_Arequipa[[#This Row],[destinatario]],CHOOSE({1,2},Clientes_Proveedores[Razon Social],Clientes_Proveedores[Ruc / Dni]),2,0),"")</f>
        <v>48536654</v>
      </c>
      <c r="X898" s="3"/>
      <c r="Y898" s="3"/>
      <c r="Z898" s="3"/>
      <c r="AA898" s="3"/>
      <c r="AB898" s="3" t="str">
        <f>IF(Caja_Arequipa[[#This Row],[fecha]]&gt;0,TEXT(Caja_Arequipa[[#This Row],[fecha]],"mmmm"),0)</f>
        <v>Octubre</v>
      </c>
    </row>
    <row r="899" spans="1:28" ht="24" x14ac:dyDescent="0.3">
      <c r="A899" s="2">
        <f>IF(Caja_Arequipa[[#This Row],[tipo_r]]="R",COUNTIFS($C$1:$C898,"R")+1,A898)</f>
        <v>689</v>
      </c>
      <c r="B899" s="19" t="str">
        <f t="shared" si="173"/>
        <v>C-Tesoreria</v>
      </c>
      <c r="C899" s="3" t="s">
        <v>1330</v>
      </c>
      <c r="D899" s="14">
        <v>45933</v>
      </c>
      <c r="E899" s="5" t="s">
        <v>2269</v>
      </c>
      <c r="F899" s="5" t="s">
        <v>1336</v>
      </c>
      <c r="G899" s="3" t="s">
        <v>6216</v>
      </c>
      <c r="H899" s="6" t="s">
        <v>918</v>
      </c>
      <c r="I899" s="203" t="s">
        <v>111</v>
      </c>
      <c r="J899" s="6">
        <v>3</v>
      </c>
      <c r="K899" s="6">
        <v>377</v>
      </c>
      <c r="L899" s="7" t="s">
        <v>6320</v>
      </c>
      <c r="M899" s="8" t="str">
        <f>IF(Caja_Arequipa[[#This Row],[tipo_r]]="R","001-"&amp;12002+A899,M898)</f>
        <v>001-12691</v>
      </c>
      <c r="N899" s="8" t="str">
        <f t="shared" si="174"/>
        <v>PEN</v>
      </c>
      <c r="O899" s="13"/>
      <c r="P899" s="13">
        <v>52</v>
      </c>
      <c r="Q899" s="3">
        <f t="shared" si="177"/>
        <v>0</v>
      </c>
      <c r="R899" s="3">
        <f t="shared" si="178"/>
        <v>52</v>
      </c>
      <c r="S899" s="3">
        <f t="shared" si="179"/>
        <v>1780.9999999999986</v>
      </c>
      <c r="T899" s="24"/>
      <c r="U899" s="24" t="s">
        <v>1334</v>
      </c>
      <c r="V899" s="3"/>
      <c r="W899" s="25">
        <f>IFERROR(VLOOKUP(Caja_Arequipa[[#This Row],[destinatario]],CHOOSE({1,2},Clientes_Proveedores[Razon Social],Clientes_Proveedores[Ruc / Dni]),2,0),"")</f>
        <v>48536654</v>
      </c>
      <c r="X899" s="3"/>
      <c r="Y899" s="3"/>
      <c r="Z899" s="3"/>
      <c r="AA899" s="3"/>
      <c r="AB899" s="3" t="str">
        <f>IF(Caja_Arequipa[[#This Row],[fecha]]&gt;0,TEXT(Caja_Arequipa[[#This Row],[fecha]],"mmmm"),0)</f>
        <v>Octubre</v>
      </c>
    </row>
    <row r="900" spans="1:28" ht="24" x14ac:dyDescent="0.3">
      <c r="A900" s="2">
        <f>IF(Caja_Arequipa[[#This Row],[tipo_r]]="R",COUNTIFS($C$1:$C899,"R")+1,A899)</f>
        <v>690</v>
      </c>
      <c r="B900" s="19" t="str">
        <f t="shared" si="173"/>
        <v>C-Tesoreria</v>
      </c>
      <c r="C900" s="3" t="s">
        <v>1330</v>
      </c>
      <c r="D900" s="14">
        <v>45933</v>
      </c>
      <c r="E900" s="5" t="s">
        <v>2269</v>
      </c>
      <c r="F900" s="5" t="s">
        <v>1336</v>
      </c>
      <c r="G900" s="3" t="s">
        <v>6216</v>
      </c>
      <c r="H900" s="6" t="s">
        <v>918</v>
      </c>
      <c r="I900" s="203" t="s">
        <v>111</v>
      </c>
      <c r="J900" s="6">
        <v>3</v>
      </c>
      <c r="K900" s="6">
        <v>378</v>
      </c>
      <c r="L900" s="7" t="s">
        <v>6321</v>
      </c>
      <c r="M900" s="8" t="str">
        <f>IF(Caja_Arequipa[[#This Row],[tipo_r]]="R","001-"&amp;12002+A900,M899)</f>
        <v>001-12692</v>
      </c>
      <c r="N900" s="8" t="str">
        <f t="shared" si="174"/>
        <v>PEN</v>
      </c>
      <c r="O900" s="13"/>
      <c r="P900" s="13">
        <v>5</v>
      </c>
      <c r="Q900" s="3">
        <f t="shared" si="177"/>
        <v>0</v>
      </c>
      <c r="R900" s="3">
        <f t="shared" si="178"/>
        <v>5</v>
      </c>
      <c r="S900" s="3">
        <f t="shared" si="179"/>
        <v>1775.9999999999986</v>
      </c>
      <c r="T900" s="24"/>
      <c r="U900" s="24" t="s">
        <v>1334</v>
      </c>
      <c r="V900" s="3"/>
      <c r="W900" s="25">
        <f>IFERROR(VLOOKUP(Caja_Arequipa[[#This Row],[destinatario]],CHOOSE({1,2},Clientes_Proveedores[Razon Social],Clientes_Proveedores[Ruc / Dni]),2,0),"")</f>
        <v>48536654</v>
      </c>
      <c r="X900" s="3"/>
      <c r="Y900" s="3"/>
      <c r="Z900" s="3"/>
      <c r="AA900" s="3"/>
      <c r="AB900" s="3" t="str">
        <f>IF(Caja_Arequipa[[#This Row],[fecha]]&gt;0,TEXT(Caja_Arequipa[[#This Row],[fecha]],"mmmm"),0)</f>
        <v>Octubre</v>
      </c>
    </row>
    <row r="901" spans="1:28" ht="24" x14ac:dyDescent="0.3">
      <c r="A901" s="2">
        <f>IF(Caja_Arequipa[[#This Row],[tipo_r]]="R",COUNTIFS($C$1:$C900,"R")+1,A900)</f>
        <v>691</v>
      </c>
      <c r="B901" s="19" t="str">
        <f t="shared" si="173"/>
        <v>C-Tesoreria</v>
      </c>
      <c r="C901" s="3" t="s">
        <v>1330</v>
      </c>
      <c r="D901" s="14">
        <v>45933</v>
      </c>
      <c r="E901" s="5" t="s">
        <v>2269</v>
      </c>
      <c r="F901" s="5" t="s">
        <v>1336</v>
      </c>
      <c r="G901" s="3" t="s">
        <v>6216</v>
      </c>
      <c r="H901" s="6" t="s">
        <v>918</v>
      </c>
      <c r="I901" s="203" t="s">
        <v>111</v>
      </c>
      <c r="J901" s="6">
        <v>3</v>
      </c>
      <c r="K901" s="6">
        <v>379</v>
      </c>
      <c r="L901" s="7" t="s">
        <v>6322</v>
      </c>
      <c r="M901" s="8" t="str">
        <f>IF(Caja_Arequipa[[#This Row],[tipo_r]]="R","001-"&amp;12002+A901,M900)</f>
        <v>001-12693</v>
      </c>
      <c r="N901" s="8" t="str">
        <f t="shared" si="174"/>
        <v>PEN</v>
      </c>
      <c r="O901" s="13"/>
      <c r="P901" s="13">
        <v>150</v>
      </c>
      <c r="Q901" s="3">
        <f t="shared" si="177"/>
        <v>0</v>
      </c>
      <c r="R901" s="3">
        <f t="shared" si="178"/>
        <v>150</v>
      </c>
      <c r="S901" s="3">
        <f t="shared" si="179"/>
        <v>1625.9999999999986</v>
      </c>
      <c r="T901" s="24"/>
      <c r="U901" s="24" t="s">
        <v>1334</v>
      </c>
      <c r="V901" s="3"/>
      <c r="W901" s="25">
        <f>IFERROR(VLOOKUP(Caja_Arequipa[[#This Row],[destinatario]],CHOOSE({1,2},Clientes_Proveedores[Razon Social],Clientes_Proveedores[Ruc / Dni]),2,0),"")</f>
        <v>48536654</v>
      </c>
      <c r="X901" s="3"/>
      <c r="Y901" s="3"/>
      <c r="Z901" s="3"/>
      <c r="AA901" s="3"/>
      <c r="AB901" s="3" t="str">
        <f>IF(Caja_Arequipa[[#This Row],[fecha]]&gt;0,TEXT(Caja_Arequipa[[#This Row],[fecha]],"mmmm"),0)</f>
        <v>Octubre</v>
      </c>
    </row>
    <row r="902" spans="1:28" x14ac:dyDescent="0.3">
      <c r="A902" s="2">
        <f>IF(Caja_Arequipa[[#This Row],[tipo_r]]="R",COUNTIFS($C$1:$C901,"R")+1,A901)</f>
        <v>692</v>
      </c>
      <c r="B902" s="19" t="str">
        <f t="shared" ref="B902:B927" si="180">"C-Tesoreria"</f>
        <v>C-Tesoreria</v>
      </c>
      <c r="C902" s="3" t="s">
        <v>1330</v>
      </c>
      <c r="D902" s="14">
        <v>45933</v>
      </c>
      <c r="E902" s="5" t="s">
        <v>2269</v>
      </c>
      <c r="F902" s="5" t="s">
        <v>1336</v>
      </c>
      <c r="G902" s="3"/>
      <c r="H902" s="6" t="s">
        <v>425</v>
      </c>
      <c r="I902" s="206"/>
      <c r="J902" s="6"/>
      <c r="K902" s="6"/>
      <c r="L902" s="7" t="s">
        <v>6323</v>
      </c>
      <c r="M902" s="8" t="str">
        <f>IF(Caja_Arequipa[[#This Row],[tipo_r]]="R","001-"&amp;12002+A902,M901)</f>
        <v>001-12694</v>
      </c>
      <c r="N902" s="8" t="str">
        <f t="shared" ref="N902:N927" si="181">"PEN"</f>
        <v>PEN</v>
      </c>
      <c r="O902" s="13"/>
      <c r="P902" s="13">
        <v>1000</v>
      </c>
      <c r="Q902" s="3">
        <f t="shared" ref="Q902:Q927" si="182">+IF(OR($F902="SALDO",$F902="INGRESO"),$P902,0)</f>
        <v>0</v>
      </c>
      <c r="R902" s="3">
        <f t="shared" ref="R902:R927" si="183">+IF($F902="EGRESO",$P902,0)</f>
        <v>1000</v>
      </c>
      <c r="S902" s="3">
        <f t="shared" si="179"/>
        <v>625.99999999999864</v>
      </c>
      <c r="T902" s="24"/>
      <c r="U902" s="24"/>
      <c r="V902" s="3"/>
      <c r="W902" s="25">
        <f>IFERROR(VLOOKUP(Caja_Arequipa[[#This Row],[destinatario]],CHOOSE({1,2},Clientes_Proveedores[Razon Social],Clientes_Proveedores[Ruc / Dni]),2,0),"")</f>
        <v>20558226979</v>
      </c>
      <c r="X902" s="3"/>
      <c r="Y902" s="3"/>
      <c r="Z902" s="3"/>
      <c r="AA902" s="3"/>
      <c r="AB902" s="3" t="str">
        <f>IF(Caja_Arequipa[[#This Row],[fecha]]&gt;0,TEXT(Caja_Arequipa[[#This Row],[fecha]],"mmmm"),0)</f>
        <v>Octubre</v>
      </c>
    </row>
    <row r="903" spans="1:28" ht="24" x14ac:dyDescent="0.3">
      <c r="A903" s="2">
        <f>IF(Caja_Arequipa[[#This Row],[tipo_r]]="R",COUNTIFS($C$1:$C902,"R")+1,A902)</f>
        <v>693</v>
      </c>
      <c r="B903" s="19" t="str">
        <f t="shared" si="180"/>
        <v>C-Tesoreria</v>
      </c>
      <c r="C903" s="3" t="s">
        <v>1330</v>
      </c>
      <c r="D903" s="14">
        <v>45933</v>
      </c>
      <c r="E903" s="5" t="s">
        <v>2269</v>
      </c>
      <c r="F903" s="5" t="s">
        <v>1336</v>
      </c>
      <c r="G903" s="3" t="s">
        <v>5274</v>
      </c>
      <c r="H903" s="6" t="s">
        <v>163</v>
      </c>
      <c r="I903" s="204" t="s">
        <v>68</v>
      </c>
      <c r="J903" s="6" t="s">
        <v>1376</v>
      </c>
      <c r="K903" s="6">
        <v>323</v>
      </c>
      <c r="L903" s="7" t="s">
        <v>6324</v>
      </c>
      <c r="M903" s="8" t="str">
        <f>IF(Caja_Arequipa[[#This Row],[tipo_r]]="R","001-"&amp;12002+A903,M902)</f>
        <v>001-12695</v>
      </c>
      <c r="N903" s="8" t="str">
        <f t="shared" si="181"/>
        <v>PEN</v>
      </c>
      <c r="O903" s="13"/>
      <c r="P903" s="13">
        <v>55</v>
      </c>
      <c r="Q903" s="3">
        <f t="shared" si="182"/>
        <v>0</v>
      </c>
      <c r="R903" s="3">
        <f t="shared" si="183"/>
        <v>55</v>
      </c>
      <c r="S903" s="3">
        <f t="shared" si="179"/>
        <v>570.99999999999864</v>
      </c>
      <c r="T903" s="24"/>
      <c r="U903" s="24" t="s">
        <v>1334</v>
      </c>
      <c r="V903" s="3"/>
      <c r="W903" s="25">
        <f>IFERROR(VLOOKUP(Caja_Arequipa[[#This Row],[destinatario]],CHOOSE({1,2},Clientes_Proveedores[Razon Social],Clientes_Proveedores[Ruc / Dni]),2,0),"")</f>
        <v>10416031679</v>
      </c>
      <c r="X903" s="3"/>
      <c r="Y903" s="3"/>
      <c r="Z903" s="3"/>
      <c r="AA903" s="3"/>
      <c r="AB903" s="3" t="str">
        <f>IF(Caja_Arequipa[[#This Row],[fecha]]&gt;0,TEXT(Caja_Arequipa[[#This Row],[fecha]],"mmmm"),0)</f>
        <v>Octubre</v>
      </c>
    </row>
    <row r="904" spans="1:28" x14ac:dyDescent="0.3">
      <c r="A904" s="2">
        <f>IF(Caja_Arequipa[[#This Row],[tipo_r]]="R",COUNTIFS($C$1:$C903,"R")+1,A903)</f>
        <v>694</v>
      </c>
      <c r="B904" s="19" t="str">
        <f t="shared" si="180"/>
        <v>C-Tesoreria</v>
      </c>
      <c r="C904" s="3" t="s">
        <v>1330</v>
      </c>
      <c r="D904" s="14">
        <v>45936</v>
      </c>
      <c r="E904" s="5" t="s">
        <v>2269</v>
      </c>
      <c r="F904" s="5" t="s">
        <v>1336</v>
      </c>
      <c r="G904" s="3" t="s">
        <v>6246</v>
      </c>
      <c r="H904" s="6"/>
      <c r="I904" s="204"/>
      <c r="J904" s="6"/>
      <c r="K904" s="6"/>
      <c r="L904" s="7" t="s">
        <v>6325</v>
      </c>
      <c r="M904" s="8" t="str">
        <f>IF(Caja_Arequipa[[#This Row],[tipo_r]]="R","001-"&amp;12002+A904,M903)</f>
        <v>001-12696</v>
      </c>
      <c r="N904" s="8" t="str">
        <f t="shared" si="181"/>
        <v>PEN</v>
      </c>
      <c r="O904" s="13"/>
      <c r="P904" s="13">
        <v>142.5</v>
      </c>
      <c r="Q904" s="3">
        <f t="shared" si="182"/>
        <v>0</v>
      </c>
      <c r="R904" s="3">
        <f t="shared" si="183"/>
        <v>142.5</v>
      </c>
      <c r="S904" s="3">
        <f t="shared" si="179"/>
        <v>428.49999999999864</v>
      </c>
      <c r="T904" s="24"/>
      <c r="U904" s="24" t="s">
        <v>1334</v>
      </c>
      <c r="V904" s="3"/>
      <c r="W904" s="25" t="str">
        <f>IFERROR(VLOOKUP(Caja_Arequipa[[#This Row],[destinatario]],CHOOSE({1,2},Clientes_Proveedores[Razon Social],Clientes_Proveedores[Ruc / Dni]),2,0),"")</f>
        <v/>
      </c>
      <c r="X904" s="3"/>
      <c r="Y904" s="3"/>
      <c r="Z904" s="3"/>
      <c r="AA904" s="3"/>
      <c r="AB904" s="3" t="str">
        <f>IF(Caja_Arequipa[[#This Row],[fecha]]&gt;0,TEXT(Caja_Arequipa[[#This Row],[fecha]],"mmmm"),0)</f>
        <v>Octubre</v>
      </c>
    </row>
    <row r="905" spans="1:28" ht="24" x14ac:dyDescent="0.3">
      <c r="A905" s="2">
        <f>IF(Caja_Arequipa[[#This Row],[tipo_r]]="R",COUNTIFS($C$1:$C904,"R")+1,A904)</f>
        <v>694</v>
      </c>
      <c r="B905" s="19" t="str">
        <f>"C-Tesoreria"</f>
        <v>C-Tesoreria</v>
      </c>
      <c r="C905" s="3" t="s">
        <v>1352</v>
      </c>
      <c r="D905" s="14">
        <v>45936</v>
      </c>
      <c r="E905" s="5" t="s">
        <v>2269</v>
      </c>
      <c r="F905" s="5" t="s">
        <v>1336</v>
      </c>
      <c r="G905" s="3" t="s">
        <v>6246</v>
      </c>
      <c r="H905" s="6" t="s">
        <v>1093</v>
      </c>
      <c r="I905" s="204" t="s">
        <v>111</v>
      </c>
      <c r="J905" s="6">
        <v>3</v>
      </c>
      <c r="K905" s="6">
        <v>392</v>
      </c>
      <c r="L905" s="7" t="s">
        <v>6325</v>
      </c>
      <c r="M905" s="8" t="str">
        <f>IF(Caja_Arequipa[[#This Row],[tipo_r]]="R","001-"&amp;12002+A905,M904)</f>
        <v>001-12696</v>
      </c>
      <c r="N905" s="8" t="str">
        <f>"PEN"</f>
        <v>PEN</v>
      </c>
      <c r="O905" s="13">
        <v>35</v>
      </c>
      <c r="P905" s="13"/>
      <c r="Q905" s="3">
        <f>+IF(OR($F905="SALDO",$F905="INGRESO"),$P905,0)</f>
        <v>0</v>
      </c>
      <c r="R905" s="3">
        <f>+IF($F905="EGRESO",$P905,0)</f>
        <v>0</v>
      </c>
      <c r="S905" s="3">
        <f t="shared" si="179"/>
        <v>428.49999999999864</v>
      </c>
      <c r="T905" s="24"/>
      <c r="U905" s="24" t="s">
        <v>1334</v>
      </c>
      <c r="V905" s="3"/>
      <c r="W905" s="25">
        <f>IFERROR(VLOOKUP(Caja_Arequipa[[#This Row],[destinatario]],CHOOSE({1,2},Clientes_Proveedores[Razon Social],Clientes_Proveedores[Ruc / Dni]),2,0),"")</f>
        <v>75846609</v>
      </c>
      <c r="X905" s="3"/>
      <c r="Y905" s="3"/>
      <c r="Z905" s="3"/>
      <c r="AA905" s="3"/>
      <c r="AB905" s="3" t="str">
        <f>IF(Caja_Arequipa[[#This Row],[fecha]]&gt;0,TEXT(Caja_Arequipa[[#This Row],[fecha]],"mmmm"),0)</f>
        <v>Octubre</v>
      </c>
    </row>
    <row r="906" spans="1:28" ht="24" x14ac:dyDescent="0.3">
      <c r="A906" s="2">
        <f>IF(Caja_Arequipa[[#This Row],[tipo_r]]="R",COUNTIFS($C$1:$C905,"R")+1,A905)</f>
        <v>694</v>
      </c>
      <c r="B906" s="19" t="str">
        <f>"C-Tesoreria"</f>
        <v>C-Tesoreria</v>
      </c>
      <c r="C906" s="3" t="s">
        <v>1352</v>
      </c>
      <c r="D906" s="14">
        <v>45936</v>
      </c>
      <c r="E906" s="5" t="s">
        <v>2269</v>
      </c>
      <c r="F906" s="5" t="s">
        <v>1336</v>
      </c>
      <c r="G906" s="3" t="s">
        <v>6246</v>
      </c>
      <c r="H906" s="6" t="s">
        <v>1109</v>
      </c>
      <c r="I906" s="204" t="s">
        <v>68</v>
      </c>
      <c r="J906" s="6" t="s">
        <v>1390</v>
      </c>
      <c r="K906" s="6">
        <v>3097</v>
      </c>
      <c r="L906" s="7" t="s">
        <v>6325</v>
      </c>
      <c r="M906" s="8" t="str">
        <f>IF(Caja_Arequipa[[#This Row],[tipo_r]]="R","001-"&amp;12002+A906,M905)</f>
        <v>001-12696</v>
      </c>
      <c r="N906" s="8" t="str">
        <f>"PEN"</f>
        <v>PEN</v>
      </c>
      <c r="O906" s="13">
        <v>107.5</v>
      </c>
      <c r="P906" s="13"/>
      <c r="Q906" s="3">
        <f>+IF(OR($F906="SALDO",$F906="INGRESO"),$P906,0)</f>
        <v>0</v>
      </c>
      <c r="R906" s="3">
        <f>+IF($F906="EGRESO",$P906,0)</f>
        <v>0</v>
      </c>
      <c r="S906" s="3">
        <f t="shared" si="179"/>
        <v>428.49999999999864</v>
      </c>
      <c r="T906" s="24"/>
      <c r="U906" s="24" t="s">
        <v>1334</v>
      </c>
      <c r="V906" s="3"/>
      <c r="W906" s="25">
        <f>IFERROR(VLOOKUP(Caja_Arequipa[[#This Row],[destinatario]],CHOOSE({1,2},Clientes_Proveedores[Razon Social],Clientes_Proveedores[Ruc / Dni]),2,0),"")</f>
        <v>20539522320</v>
      </c>
      <c r="X906" s="3"/>
      <c r="Y906" s="3"/>
      <c r="Z906" s="3"/>
      <c r="AA906" s="3"/>
      <c r="AB906" s="3" t="str">
        <f>IF(Caja_Arequipa[[#This Row],[fecha]]&gt;0,TEXT(Caja_Arequipa[[#This Row],[fecha]],"mmmm"),0)</f>
        <v>Octubre</v>
      </c>
    </row>
    <row r="907" spans="1:28" ht="24" x14ac:dyDescent="0.3">
      <c r="A907" s="2">
        <f>IF(Caja_Arequipa[[#This Row],[tipo_r]]="R",COUNTIFS($C$1:$C906,"R")+1,A906)</f>
        <v>695</v>
      </c>
      <c r="B907" s="19" t="str">
        <f t="shared" si="180"/>
        <v>C-Tesoreria</v>
      </c>
      <c r="C907" s="3" t="s">
        <v>1330</v>
      </c>
      <c r="D907" s="14">
        <v>45936</v>
      </c>
      <c r="E907" s="5" t="s">
        <v>2269</v>
      </c>
      <c r="F907" s="5" t="s">
        <v>1336</v>
      </c>
      <c r="G907" s="3" t="s">
        <v>5248</v>
      </c>
      <c r="H907" s="6" t="s">
        <v>836</v>
      </c>
      <c r="I907" s="203" t="s">
        <v>111</v>
      </c>
      <c r="J907" s="6">
        <v>3</v>
      </c>
      <c r="K907" s="6">
        <v>388</v>
      </c>
      <c r="L907" s="7" t="s">
        <v>6326</v>
      </c>
      <c r="M907" s="8" t="str">
        <f>IF(Caja_Arequipa[[#This Row],[tipo_r]]="R","001-"&amp;12002+A907,M906)</f>
        <v>001-12697</v>
      </c>
      <c r="N907" s="8" t="str">
        <f t="shared" si="181"/>
        <v>PEN</v>
      </c>
      <c r="O907" s="13"/>
      <c r="P907" s="13">
        <v>22.5</v>
      </c>
      <c r="Q907" s="3">
        <f t="shared" si="182"/>
        <v>0</v>
      </c>
      <c r="R907" s="3">
        <f t="shared" si="183"/>
        <v>22.5</v>
      </c>
      <c r="S907" s="3">
        <f t="shared" si="179"/>
        <v>405.99999999999864</v>
      </c>
      <c r="T907" s="24"/>
      <c r="U907" s="24" t="s">
        <v>1334</v>
      </c>
      <c r="V907" s="3"/>
      <c r="W907" s="25">
        <f>IFERROR(VLOOKUP(Caja_Arequipa[[#This Row],[destinatario]],CHOOSE({1,2},Clientes_Proveedores[Razon Social],Clientes_Proveedores[Ruc / Dni]),2,0),"")</f>
        <v>44468346</v>
      </c>
      <c r="X907" s="3"/>
      <c r="Y907" s="3"/>
      <c r="Z907" s="3"/>
      <c r="AA907" s="3"/>
      <c r="AB907" s="3" t="str">
        <f>IF(Caja_Arequipa[[#This Row],[fecha]]&gt;0,TEXT(Caja_Arequipa[[#This Row],[fecha]],"mmmm"),0)</f>
        <v>Octubre</v>
      </c>
    </row>
    <row r="908" spans="1:28" x14ac:dyDescent="0.3">
      <c r="A908" s="2">
        <f>IF(Caja_Arequipa[[#This Row],[tipo_r]]="R",COUNTIFS($C$1:$C907,"R")+1,A907)</f>
        <v>696</v>
      </c>
      <c r="B908" s="19" t="str">
        <f t="shared" si="180"/>
        <v>C-Tesoreria</v>
      </c>
      <c r="C908" s="3" t="s">
        <v>1330</v>
      </c>
      <c r="D908" s="14">
        <v>45936</v>
      </c>
      <c r="E908" s="5" t="s">
        <v>2269</v>
      </c>
      <c r="F908" s="5" t="s">
        <v>1336</v>
      </c>
      <c r="G908" s="3" t="s">
        <v>5380</v>
      </c>
      <c r="H908" s="6"/>
      <c r="I908" s="204"/>
      <c r="J908" s="6"/>
      <c r="K908" s="6"/>
      <c r="L908" s="7" t="s">
        <v>6055</v>
      </c>
      <c r="M908" s="8" t="str">
        <f>IF(Caja_Arequipa[[#This Row],[tipo_r]]="R","001-"&amp;12002+A908,M907)</f>
        <v>001-12698</v>
      </c>
      <c r="N908" s="8" t="str">
        <f t="shared" si="181"/>
        <v>PEN</v>
      </c>
      <c r="O908" s="13"/>
      <c r="P908" s="13">
        <v>650.20000000000005</v>
      </c>
      <c r="Q908" s="3">
        <f t="shared" si="182"/>
        <v>0</v>
      </c>
      <c r="R908" s="3">
        <f t="shared" si="183"/>
        <v>650.20000000000005</v>
      </c>
      <c r="S908" s="3">
        <f t="shared" si="179"/>
        <v>-244.20000000000141</v>
      </c>
      <c r="T908" s="24"/>
      <c r="U908" s="24" t="s">
        <v>1334</v>
      </c>
      <c r="V908" s="3"/>
      <c r="W908" s="25" t="str">
        <f>IFERROR(VLOOKUP(Caja_Arequipa[[#This Row],[destinatario]],CHOOSE({1,2},Clientes_Proveedores[Razon Social],Clientes_Proveedores[Ruc / Dni]),2,0),"")</f>
        <v/>
      </c>
      <c r="X908" s="3"/>
      <c r="Y908" s="3"/>
      <c r="Z908" s="3"/>
      <c r="AA908" s="3"/>
      <c r="AB908" s="3" t="str">
        <f>IF(Caja_Arequipa[[#This Row],[fecha]]&gt;0,TEXT(Caja_Arequipa[[#This Row],[fecha]],"mmmm"),0)</f>
        <v>Octubre</v>
      </c>
    </row>
    <row r="909" spans="1:28" ht="24" x14ac:dyDescent="0.3">
      <c r="A909" s="2">
        <f>IF(Caja_Arequipa[[#This Row],[tipo_r]]="R",COUNTIFS($C$1:$C908,"R")+1,A908)</f>
        <v>696</v>
      </c>
      <c r="B909" s="19" t="str">
        <f t="shared" si="180"/>
        <v>C-Tesoreria</v>
      </c>
      <c r="C909" s="3" t="s">
        <v>1352</v>
      </c>
      <c r="D909" s="14">
        <v>45936</v>
      </c>
      <c r="E909" s="5" t="s">
        <v>2269</v>
      </c>
      <c r="F909" s="5" t="s">
        <v>1336</v>
      </c>
      <c r="G909" s="3" t="s">
        <v>5380</v>
      </c>
      <c r="H909" s="51" t="s">
        <v>922</v>
      </c>
      <c r="I909" s="204" t="s">
        <v>111</v>
      </c>
      <c r="J909" s="6">
        <v>3</v>
      </c>
      <c r="K909" s="51">
        <v>366</v>
      </c>
      <c r="L909" s="21" t="s">
        <v>6055</v>
      </c>
      <c r="M909" s="70" t="str">
        <f>IF(Caja_Arequipa[[#This Row],[tipo_r]]="R","001-"&amp;12002+A909,M908)</f>
        <v>001-12698</v>
      </c>
      <c r="N909" s="70" t="str">
        <f t="shared" si="181"/>
        <v>PEN</v>
      </c>
      <c r="O909" s="42">
        <v>15</v>
      </c>
      <c r="P909" s="13"/>
      <c r="Q909" s="3">
        <f t="shared" si="182"/>
        <v>0</v>
      </c>
      <c r="R909" s="3">
        <f t="shared" si="183"/>
        <v>0</v>
      </c>
      <c r="S909" s="3">
        <f t="shared" si="179"/>
        <v>-244.20000000000141</v>
      </c>
      <c r="T909" s="24"/>
      <c r="U909" s="24" t="s">
        <v>1334</v>
      </c>
      <c r="V909" s="3"/>
      <c r="W909" s="25">
        <f>IFERROR(VLOOKUP(Caja_Arequipa[[#This Row],[destinatario]],CHOOSE({1,2},Clientes_Proveedores[Razon Social],Clientes_Proveedores[Ruc / Dni]),2,0),"")</f>
        <v>72537561</v>
      </c>
      <c r="X909" s="3"/>
      <c r="Y909" s="3"/>
      <c r="Z909" s="3"/>
      <c r="AA909" s="3"/>
      <c r="AB909" s="3" t="str">
        <f>IF(Caja_Arequipa[[#This Row],[fecha]]&gt;0,TEXT(Caja_Arequipa[[#This Row],[fecha]],"mmmm"),0)</f>
        <v>Octubre</v>
      </c>
    </row>
    <row r="910" spans="1:28" x14ac:dyDescent="0.3">
      <c r="A910" s="2">
        <f>IF(Caja_Arequipa[[#This Row],[tipo_r]]="R",COUNTIFS($C$1:$C909,"R")+1,A909)</f>
        <v>696</v>
      </c>
      <c r="B910" s="19" t="str">
        <f t="shared" si="180"/>
        <v>C-Tesoreria</v>
      </c>
      <c r="C910" s="3" t="s">
        <v>1352</v>
      </c>
      <c r="D910" s="14">
        <v>45936</v>
      </c>
      <c r="E910" s="5" t="s">
        <v>2269</v>
      </c>
      <c r="F910" s="5" t="s">
        <v>1336</v>
      </c>
      <c r="G910" s="3" t="s">
        <v>5380</v>
      </c>
      <c r="H910" s="6" t="s">
        <v>978</v>
      </c>
      <c r="I910" s="204" t="s">
        <v>68</v>
      </c>
      <c r="J910" s="6" t="s">
        <v>5688</v>
      </c>
      <c r="K910" s="6">
        <v>2464811</v>
      </c>
      <c r="L910" s="7" t="s">
        <v>6055</v>
      </c>
      <c r="M910" s="8" t="str">
        <f>IF(Caja_Arequipa[[#This Row],[tipo_r]]="R","001-"&amp;12002+A910,M909)</f>
        <v>001-12698</v>
      </c>
      <c r="N910" s="8" t="str">
        <f t="shared" si="181"/>
        <v>PEN</v>
      </c>
      <c r="O910" s="13">
        <v>8</v>
      </c>
      <c r="P910" s="13"/>
      <c r="Q910" s="3">
        <f t="shared" si="182"/>
        <v>0</v>
      </c>
      <c r="R910" s="3">
        <f t="shared" si="183"/>
        <v>0</v>
      </c>
      <c r="S910" s="3">
        <f t="shared" si="179"/>
        <v>-244.20000000000141</v>
      </c>
      <c r="T910" s="24"/>
      <c r="U910" s="24" t="s">
        <v>1334</v>
      </c>
      <c r="V910" s="3"/>
      <c r="W910" s="25">
        <f>IFERROR(VLOOKUP(Caja_Arequipa[[#This Row],[destinatario]],CHOOSE({1,2},Clientes_Proveedores[Razon Social],Clientes_Proveedores[Ruc / Dni]),2,0),"")</f>
        <v>20517252558</v>
      </c>
      <c r="X910" s="3"/>
      <c r="Y910" s="3"/>
      <c r="Z910" s="3"/>
      <c r="AA910" s="3"/>
      <c r="AB910" s="3" t="str">
        <f>IF(Caja_Arequipa[[#This Row],[fecha]]&gt;0,TEXT(Caja_Arequipa[[#This Row],[fecha]],"mmmm"),0)</f>
        <v>Octubre</v>
      </c>
    </row>
    <row r="911" spans="1:28" x14ac:dyDescent="0.3">
      <c r="A911" s="2">
        <f>IF(Caja_Arequipa[[#This Row],[tipo_r]]="R",COUNTIFS($C$1:$C910,"R")+1,A910)</f>
        <v>696</v>
      </c>
      <c r="B911" s="19" t="str">
        <f t="shared" si="180"/>
        <v>C-Tesoreria</v>
      </c>
      <c r="C911" s="3" t="s">
        <v>1352</v>
      </c>
      <c r="D911" s="14">
        <v>45936</v>
      </c>
      <c r="E911" s="5" t="s">
        <v>2269</v>
      </c>
      <c r="F911" s="5" t="s">
        <v>1336</v>
      </c>
      <c r="G911" s="3" t="s">
        <v>5380</v>
      </c>
      <c r="H911" s="6" t="s">
        <v>978</v>
      </c>
      <c r="I911" s="204" t="s">
        <v>68</v>
      </c>
      <c r="J911" s="6" t="s">
        <v>5845</v>
      </c>
      <c r="K911" s="6">
        <v>1878414</v>
      </c>
      <c r="L911" s="7" t="s">
        <v>6055</v>
      </c>
      <c r="M911" s="8" t="str">
        <f>IF(Caja_Arequipa[[#This Row],[tipo_r]]="R","001-"&amp;12002+A911,M910)</f>
        <v>001-12698</v>
      </c>
      <c r="N911" s="8" t="str">
        <f t="shared" si="181"/>
        <v>PEN</v>
      </c>
      <c r="O911" s="13">
        <v>8</v>
      </c>
      <c r="P911" s="13"/>
      <c r="Q911" s="3">
        <f t="shared" si="182"/>
        <v>0</v>
      </c>
      <c r="R911" s="3">
        <f t="shared" si="183"/>
        <v>0</v>
      </c>
      <c r="S911" s="3">
        <f t="shared" si="179"/>
        <v>-244.20000000000141</v>
      </c>
      <c r="T911" s="24"/>
      <c r="U911" s="24" t="s">
        <v>1334</v>
      </c>
      <c r="V911" s="3"/>
      <c r="W911" s="25">
        <f>IFERROR(VLOOKUP(Caja_Arequipa[[#This Row],[destinatario]],CHOOSE({1,2},Clientes_Proveedores[Razon Social],Clientes_Proveedores[Ruc / Dni]),2,0),"")</f>
        <v>20517252558</v>
      </c>
      <c r="X911" s="3"/>
      <c r="Y911" s="3"/>
      <c r="Z911" s="3"/>
      <c r="AA911" s="3"/>
      <c r="AB911" s="3" t="str">
        <f>IF(Caja_Arequipa[[#This Row],[fecha]]&gt;0,TEXT(Caja_Arequipa[[#This Row],[fecha]],"mmmm"),0)</f>
        <v>Octubre</v>
      </c>
    </row>
    <row r="912" spans="1:28" x14ac:dyDescent="0.3">
      <c r="A912" s="2">
        <f>IF(Caja_Arequipa[[#This Row],[tipo_r]]="R",COUNTIFS($C$1:$C911,"R")+1,A911)</f>
        <v>696</v>
      </c>
      <c r="B912" s="19" t="str">
        <f t="shared" si="180"/>
        <v>C-Tesoreria</v>
      </c>
      <c r="C912" s="3" t="s">
        <v>1352</v>
      </c>
      <c r="D912" s="14">
        <v>45936</v>
      </c>
      <c r="E912" s="5" t="s">
        <v>2269</v>
      </c>
      <c r="F912" s="5" t="s">
        <v>1336</v>
      </c>
      <c r="G912" s="3" t="s">
        <v>5380</v>
      </c>
      <c r="H912" s="6" t="s">
        <v>978</v>
      </c>
      <c r="I912" s="204" t="s">
        <v>68</v>
      </c>
      <c r="J912" s="6" t="s">
        <v>6245</v>
      </c>
      <c r="K912" s="6">
        <v>1026917</v>
      </c>
      <c r="L912" s="7" t="s">
        <v>6055</v>
      </c>
      <c r="M912" s="8" t="str">
        <f>IF(Caja_Arequipa[[#This Row],[tipo_r]]="R","001-"&amp;12002+A912,M911)</f>
        <v>001-12698</v>
      </c>
      <c r="N912" s="8" t="str">
        <f t="shared" si="181"/>
        <v>PEN</v>
      </c>
      <c r="O912" s="13">
        <v>8</v>
      </c>
      <c r="P912" s="13"/>
      <c r="Q912" s="3">
        <f t="shared" si="182"/>
        <v>0</v>
      </c>
      <c r="R912" s="3">
        <f t="shared" si="183"/>
        <v>0</v>
      </c>
      <c r="S912" s="3">
        <f t="shared" si="179"/>
        <v>-244.20000000000141</v>
      </c>
      <c r="T912" s="24"/>
      <c r="U912" s="24" t="s">
        <v>1334</v>
      </c>
      <c r="V912" s="3"/>
      <c r="W912" s="25">
        <f>IFERROR(VLOOKUP(Caja_Arequipa[[#This Row],[destinatario]],CHOOSE({1,2},Clientes_Proveedores[Razon Social],Clientes_Proveedores[Ruc / Dni]),2,0),"")</f>
        <v>20517252558</v>
      </c>
      <c r="X912" s="3"/>
      <c r="Y912" s="3"/>
      <c r="Z912" s="3"/>
      <c r="AA912" s="3"/>
      <c r="AB912" s="3" t="str">
        <f>IF(Caja_Arequipa[[#This Row],[fecha]]&gt;0,TEXT(Caja_Arequipa[[#This Row],[fecha]],"mmmm"),0)</f>
        <v>Octubre</v>
      </c>
    </row>
    <row r="913" spans="1:28" x14ac:dyDescent="0.3">
      <c r="A913" s="2">
        <f>IF(Caja_Arequipa[[#This Row],[tipo_r]]="R",COUNTIFS($C$1:$C912,"R")+1,A912)</f>
        <v>696</v>
      </c>
      <c r="B913" s="19" t="str">
        <f t="shared" si="180"/>
        <v>C-Tesoreria</v>
      </c>
      <c r="C913" s="3" t="s">
        <v>1352</v>
      </c>
      <c r="D913" s="14">
        <v>45936</v>
      </c>
      <c r="E913" s="5" t="s">
        <v>2269</v>
      </c>
      <c r="F913" s="5" t="s">
        <v>1336</v>
      </c>
      <c r="G913" s="3" t="s">
        <v>5380</v>
      </c>
      <c r="H913" s="6" t="s">
        <v>978</v>
      </c>
      <c r="I913" s="204" t="s">
        <v>68</v>
      </c>
      <c r="J913" s="6" t="s">
        <v>6203</v>
      </c>
      <c r="K913" s="6">
        <v>2175626</v>
      </c>
      <c r="L913" s="7" t="s">
        <v>6055</v>
      </c>
      <c r="M913" s="8" t="str">
        <f>IF(Caja_Arequipa[[#This Row],[tipo_r]]="R","001-"&amp;12002+A913,M912)</f>
        <v>001-12698</v>
      </c>
      <c r="N913" s="8" t="str">
        <f t="shared" si="181"/>
        <v>PEN</v>
      </c>
      <c r="O913" s="13">
        <v>8</v>
      </c>
      <c r="P913" s="13"/>
      <c r="Q913" s="3">
        <f t="shared" si="182"/>
        <v>0</v>
      </c>
      <c r="R913" s="3">
        <f t="shared" si="183"/>
        <v>0</v>
      </c>
      <c r="S913" s="3">
        <f t="shared" si="179"/>
        <v>-244.20000000000141</v>
      </c>
      <c r="T913" s="24"/>
      <c r="U913" s="24" t="s">
        <v>1334</v>
      </c>
      <c r="V913" s="3"/>
      <c r="W913" s="25">
        <f>IFERROR(VLOOKUP(Caja_Arequipa[[#This Row],[destinatario]],CHOOSE({1,2},Clientes_Proveedores[Razon Social],Clientes_Proveedores[Ruc / Dni]),2,0),"")</f>
        <v>20517252558</v>
      </c>
      <c r="X913" s="3"/>
      <c r="Y913" s="3"/>
      <c r="Z913" s="3"/>
      <c r="AA913" s="3"/>
      <c r="AB913" s="3" t="str">
        <f>IF(Caja_Arequipa[[#This Row],[fecha]]&gt;0,TEXT(Caja_Arequipa[[#This Row],[fecha]],"mmmm"),0)</f>
        <v>Octubre</v>
      </c>
    </row>
    <row r="914" spans="1:28" x14ac:dyDescent="0.3">
      <c r="A914" s="2">
        <f>IF(Caja_Arequipa[[#This Row],[tipo_r]]="R",COUNTIFS($C$1:$C913,"R")+1,A913)</f>
        <v>696</v>
      </c>
      <c r="B914" s="19" t="str">
        <f t="shared" si="180"/>
        <v>C-Tesoreria</v>
      </c>
      <c r="C914" s="3" t="s">
        <v>1352</v>
      </c>
      <c r="D914" s="14">
        <v>45936</v>
      </c>
      <c r="E914" s="5" t="s">
        <v>2269</v>
      </c>
      <c r="F914" s="5" t="s">
        <v>1336</v>
      </c>
      <c r="G914" s="3" t="s">
        <v>5380</v>
      </c>
      <c r="H914" s="6" t="s">
        <v>978</v>
      </c>
      <c r="I914" s="204" t="s">
        <v>68</v>
      </c>
      <c r="J914" s="6" t="s">
        <v>6244</v>
      </c>
      <c r="K914" s="6">
        <v>1123784</v>
      </c>
      <c r="L914" s="7" t="s">
        <v>6055</v>
      </c>
      <c r="M914" s="8" t="str">
        <f>IF(Caja_Arequipa[[#This Row],[tipo_r]]="R","001-"&amp;12002+A914,M913)</f>
        <v>001-12698</v>
      </c>
      <c r="N914" s="8" t="str">
        <f t="shared" si="181"/>
        <v>PEN</v>
      </c>
      <c r="O914" s="13">
        <v>8</v>
      </c>
      <c r="P914" s="13"/>
      <c r="Q914" s="3">
        <f t="shared" si="182"/>
        <v>0</v>
      </c>
      <c r="R914" s="3">
        <f t="shared" si="183"/>
        <v>0</v>
      </c>
      <c r="S914" s="3">
        <f t="shared" si="179"/>
        <v>-244.20000000000141</v>
      </c>
      <c r="T914" s="24"/>
      <c r="U914" s="24" t="s">
        <v>1334</v>
      </c>
      <c r="V914" s="3"/>
      <c r="W914" s="25">
        <f>IFERROR(VLOOKUP(Caja_Arequipa[[#This Row],[destinatario]],CHOOSE({1,2},Clientes_Proveedores[Razon Social],Clientes_Proveedores[Ruc / Dni]),2,0),"")</f>
        <v>20517252558</v>
      </c>
      <c r="X914" s="3"/>
      <c r="Y914" s="3"/>
      <c r="Z914" s="3"/>
      <c r="AA914" s="3"/>
      <c r="AB914" s="3" t="str">
        <f>IF(Caja_Arequipa[[#This Row],[fecha]]&gt;0,TEXT(Caja_Arequipa[[#This Row],[fecha]],"mmmm"),0)</f>
        <v>Octubre</v>
      </c>
    </row>
    <row r="915" spans="1:28" x14ac:dyDescent="0.3">
      <c r="A915" s="2">
        <f>IF(Caja_Arequipa[[#This Row],[tipo_r]]="R",COUNTIFS($C$1:$C914,"R")+1,A914)</f>
        <v>696</v>
      </c>
      <c r="B915" s="19" t="str">
        <f t="shared" si="180"/>
        <v>C-Tesoreria</v>
      </c>
      <c r="C915" s="3" t="s">
        <v>1352</v>
      </c>
      <c r="D915" s="14">
        <v>45936</v>
      </c>
      <c r="E915" s="5" t="s">
        <v>2269</v>
      </c>
      <c r="F915" s="5" t="s">
        <v>1336</v>
      </c>
      <c r="G915" s="3" t="s">
        <v>5380</v>
      </c>
      <c r="H915" s="6" t="s">
        <v>978</v>
      </c>
      <c r="I915" s="204" t="s">
        <v>68</v>
      </c>
      <c r="J915" s="6" t="s">
        <v>6204</v>
      </c>
      <c r="K915" s="6">
        <v>1841750</v>
      </c>
      <c r="L915" s="7" t="s">
        <v>6055</v>
      </c>
      <c r="M915" s="8" t="str">
        <f>IF(Caja_Arequipa[[#This Row],[tipo_r]]="R","001-"&amp;12002+A915,M914)</f>
        <v>001-12698</v>
      </c>
      <c r="N915" s="8" t="str">
        <f t="shared" si="181"/>
        <v>PEN</v>
      </c>
      <c r="O915" s="13">
        <v>8</v>
      </c>
      <c r="P915" s="13"/>
      <c r="Q915" s="3">
        <f t="shared" si="182"/>
        <v>0</v>
      </c>
      <c r="R915" s="3">
        <f t="shared" si="183"/>
        <v>0</v>
      </c>
      <c r="S915" s="3">
        <f t="shared" si="179"/>
        <v>-244.20000000000141</v>
      </c>
      <c r="T915" s="24"/>
      <c r="U915" s="24" t="s">
        <v>1334</v>
      </c>
      <c r="V915" s="3"/>
      <c r="W915" s="25">
        <f>IFERROR(VLOOKUP(Caja_Arequipa[[#This Row],[destinatario]],CHOOSE({1,2},Clientes_Proveedores[Razon Social],Clientes_Proveedores[Ruc / Dni]),2,0),"")</f>
        <v>20517252558</v>
      </c>
      <c r="X915" s="3"/>
      <c r="Y915" s="3"/>
      <c r="Z915" s="3"/>
      <c r="AA915" s="3"/>
      <c r="AB915" s="3" t="str">
        <f>IF(Caja_Arequipa[[#This Row],[fecha]]&gt;0,TEXT(Caja_Arequipa[[#This Row],[fecha]],"mmmm"),0)</f>
        <v>Octubre</v>
      </c>
    </row>
    <row r="916" spans="1:28" x14ac:dyDescent="0.3">
      <c r="A916" s="2">
        <f>IF(Caja_Arequipa[[#This Row],[tipo_r]]="R",COUNTIFS($C$1:$C915,"R")+1,A915)</f>
        <v>696</v>
      </c>
      <c r="B916" s="19" t="str">
        <f t="shared" si="180"/>
        <v>C-Tesoreria</v>
      </c>
      <c r="C916" s="3" t="s">
        <v>1352</v>
      </c>
      <c r="D916" s="14">
        <v>45936</v>
      </c>
      <c r="E916" s="5" t="s">
        <v>2269</v>
      </c>
      <c r="F916" s="5" t="s">
        <v>1336</v>
      </c>
      <c r="G916" s="3" t="s">
        <v>5380</v>
      </c>
      <c r="H916" s="6" t="s">
        <v>978</v>
      </c>
      <c r="I916" s="204" t="s">
        <v>68</v>
      </c>
      <c r="J916" s="6" t="s">
        <v>6203</v>
      </c>
      <c r="K916" s="6">
        <v>2180014</v>
      </c>
      <c r="L916" s="7" t="s">
        <v>6055</v>
      </c>
      <c r="M916" s="8" t="str">
        <f>IF(Caja_Arequipa[[#This Row],[tipo_r]]="R","001-"&amp;12002+A916,M915)</f>
        <v>001-12698</v>
      </c>
      <c r="N916" s="8" t="str">
        <f t="shared" si="181"/>
        <v>PEN</v>
      </c>
      <c r="O916" s="13">
        <v>8</v>
      </c>
      <c r="P916" s="13"/>
      <c r="Q916" s="3">
        <f t="shared" si="182"/>
        <v>0</v>
      </c>
      <c r="R916" s="3">
        <f t="shared" si="183"/>
        <v>0</v>
      </c>
      <c r="S916" s="3">
        <f t="shared" si="179"/>
        <v>-244.20000000000141</v>
      </c>
      <c r="T916" s="24"/>
      <c r="U916" s="24" t="s">
        <v>1334</v>
      </c>
      <c r="V916" s="3"/>
      <c r="W916" s="25">
        <f>IFERROR(VLOOKUP(Caja_Arequipa[[#This Row],[destinatario]],CHOOSE({1,2},Clientes_Proveedores[Razon Social],Clientes_Proveedores[Ruc / Dni]),2,0),"")</f>
        <v>20517252558</v>
      </c>
      <c r="X916" s="3"/>
      <c r="Y916" s="3"/>
      <c r="Z916" s="3"/>
      <c r="AA916" s="3"/>
      <c r="AB916" s="3" t="str">
        <f>IF(Caja_Arequipa[[#This Row],[fecha]]&gt;0,TEXT(Caja_Arequipa[[#This Row],[fecha]],"mmmm"),0)</f>
        <v>Octubre</v>
      </c>
    </row>
    <row r="917" spans="1:28" x14ac:dyDescent="0.3">
      <c r="A917" s="2">
        <f>IF(Caja_Arequipa[[#This Row],[tipo_r]]="R",COUNTIFS($C$1:$C916,"R")+1,A916)</f>
        <v>696</v>
      </c>
      <c r="B917" s="19" t="str">
        <f t="shared" si="180"/>
        <v>C-Tesoreria</v>
      </c>
      <c r="C917" s="3" t="s">
        <v>1352</v>
      </c>
      <c r="D917" s="14">
        <v>45936</v>
      </c>
      <c r="E917" s="5" t="s">
        <v>2269</v>
      </c>
      <c r="F917" s="5" t="s">
        <v>1336</v>
      </c>
      <c r="G917" s="3" t="s">
        <v>5380</v>
      </c>
      <c r="H917" s="6" t="s">
        <v>978</v>
      </c>
      <c r="I917" s="204" t="s">
        <v>68</v>
      </c>
      <c r="J917" s="6" t="s">
        <v>6204</v>
      </c>
      <c r="K917" s="6">
        <v>1852888</v>
      </c>
      <c r="L917" s="7" t="s">
        <v>6055</v>
      </c>
      <c r="M917" s="8" t="str">
        <f>IF(Caja_Arequipa[[#This Row],[tipo_r]]="R","001-"&amp;12002+A917,M916)</f>
        <v>001-12698</v>
      </c>
      <c r="N917" s="8" t="str">
        <f t="shared" si="181"/>
        <v>PEN</v>
      </c>
      <c r="O917" s="13">
        <v>5</v>
      </c>
      <c r="P917" s="13"/>
      <c r="Q917" s="3">
        <f t="shared" si="182"/>
        <v>0</v>
      </c>
      <c r="R917" s="3">
        <f t="shared" si="183"/>
        <v>0</v>
      </c>
      <c r="S917" s="3">
        <f t="shared" si="179"/>
        <v>-244.20000000000141</v>
      </c>
      <c r="T917" s="24"/>
      <c r="U917" s="24" t="s">
        <v>1334</v>
      </c>
      <c r="V917" s="3"/>
      <c r="W917" s="25">
        <f>IFERROR(VLOOKUP(Caja_Arequipa[[#This Row],[destinatario]],CHOOSE({1,2},Clientes_Proveedores[Razon Social],Clientes_Proveedores[Ruc / Dni]),2,0),"")</f>
        <v>20517252558</v>
      </c>
      <c r="X917" s="3"/>
      <c r="Y917" s="3"/>
      <c r="Z917" s="3"/>
      <c r="AA917" s="3"/>
      <c r="AB917" s="3" t="str">
        <f>IF(Caja_Arequipa[[#This Row],[fecha]]&gt;0,TEXT(Caja_Arequipa[[#This Row],[fecha]],"mmmm"),0)</f>
        <v>Octubre</v>
      </c>
    </row>
    <row r="918" spans="1:28" x14ac:dyDescent="0.3">
      <c r="A918" s="2">
        <f>IF(Caja_Arequipa[[#This Row],[tipo_r]]="R",COUNTIFS($C$1:$C917,"R")+1,A917)</f>
        <v>696</v>
      </c>
      <c r="B918" s="19" t="str">
        <f t="shared" si="180"/>
        <v>C-Tesoreria</v>
      </c>
      <c r="C918" s="3" t="s">
        <v>1352</v>
      </c>
      <c r="D918" s="14">
        <v>45936</v>
      </c>
      <c r="E918" s="5" t="s">
        <v>2269</v>
      </c>
      <c r="F918" s="5" t="s">
        <v>1336</v>
      </c>
      <c r="G918" s="3" t="s">
        <v>5380</v>
      </c>
      <c r="H918" s="6" t="s">
        <v>978</v>
      </c>
      <c r="I918" s="204" t="s">
        <v>68</v>
      </c>
      <c r="J918" s="6" t="s">
        <v>6204</v>
      </c>
      <c r="K918" s="6">
        <v>1855403</v>
      </c>
      <c r="L918" s="7" t="s">
        <v>6055</v>
      </c>
      <c r="M918" s="8" t="str">
        <f>IF(Caja_Arequipa[[#This Row],[tipo_r]]="R","001-"&amp;12002+A918,M917)</f>
        <v>001-12698</v>
      </c>
      <c r="N918" s="8" t="str">
        <f t="shared" si="181"/>
        <v>PEN</v>
      </c>
      <c r="O918" s="13">
        <v>8</v>
      </c>
      <c r="P918" s="13"/>
      <c r="Q918" s="3">
        <f t="shared" si="182"/>
        <v>0</v>
      </c>
      <c r="R918" s="3">
        <f t="shared" si="183"/>
        <v>0</v>
      </c>
      <c r="S918" s="3">
        <f t="shared" si="179"/>
        <v>-244.20000000000141</v>
      </c>
      <c r="T918" s="24"/>
      <c r="U918" s="24" t="s">
        <v>1334</v>
      </c>
      <c r="V918" s="3"/>
      <c r="W918" s="25">
        <f>IFERROR(VLOOKUP(Caja_Arequipa[[#This Row],[destinatario]],CHOOSE({1,2},Clientes_Proveedores[Razon Social],Clientes_Proveedores[Ruc / Dni]),2,0),"")</f>
        <v>20517252558</v>
      </c>
      <c r="X918" s="3"/>
      <c r="Y918" s="3"/>
      <c r="Z918" s="3"/>
      <c r="AA918" s="3"/>
      <c r="AB918" s="3" t="str">
        <f>IF(Caja_Arequipa[[#This Row],[fecha]]&gt;0,TEXT(Caja_Arequipa[[#This Row],[fecha]],"mmmm"),0)</f>
        <v>Octubre</v>
      </c>
    </row>
    <row r="919" spans="1:28" ht="24" x14ac:dyDescent="0.3">
      <c r="A919" s="2">
        <f>IF(Caja_Arequipa[[#This Row],[tipo_r]]="R",COUNTIFS($C$1:$C918,"R")+1,A918)</f>
        <v>696</v>
      </c>
      <c r="B919" s="19" t="str">
        <f t="shared" si="180"/>
        <v>C-Tesoreria</v>
      </c>
      <c r="C919" s="3" t="s">
        <v>1352</v>
      </c>
      <c r="D919" s="14">
        <v>45936</v>
      </c>
      <c r="E919" s="5" t="s">
        <v>2269</v>
      </c>
      <c r="F919" s="5" t="s">
        <v>1336</v>
      </c>
      <c r="G919" s="3" t="s">
        <v>5380</v>
      </c>
      <c r="H919" s="6" t="s">
        <v>999</v>
      </c>
      <c r="I919" s="204" t="s">
        <v>68</v>
      </c>
      <c r="J919" s="6" t="s">
        <v>1374</v>
      </c>
      <c r="K919" s="6">
        <v>20006</v>
      </c>
      <c r="L919" s="7" t="s">
        <v>6055</v>
      </c>
      <c r="M919" s="8" t="str">
        <f>IF(Caja_Arequipa[[#This Row],[tipo_r]]="R","001-"&amp;12002+A919,M918)</f>
        <v>001-12698</v>
      </c>
      <c r="N919" s="8" t="str">
        <f t="shared" si="181"/>
        <v>PEN</v>
      </c>
      <c r="O919" s="13">
        <v>25</v>
      </c>
      <c r="P919" s="13"/>
      <c r="Q919" s="3">
        <f t="shared" si="182"/>
        <v>0</v>
      </c>
      <c r="R919" s="3">
        <f t="shared" si="183"/>
        <v>0</v>
      </c>
      <c r="S919" s="3">
        <f t="shared" si="179"/>
        <v>-244.20000000000141</v>
      </c>
      <c r="T919" s="24"/>
      <c r="U919" s="24" t="s">
        <v>1334</v>
      </c>
      <c r="V919" s="3"/>
      <c r="W919" s="25">
        <f>IFERROR(VLOOKUP(Caja_Arequipa[[#This Row],[destinatario]],CHOOSE({1,2},Clientes_Proveedores[Razon Social],Clientes_Proveedores[Ruc / Dni]),2,0),"")</f>
        <v>10705628331</v>
      </c>
      <c r="X919" s="3"/>
      <c r="Y919" s="3"/>
      <c r="Z919" s="3"/>
      <c r="AA919" s="3"/>
      <c r="AB919" s="3" t="str">
        <f>IF(Caja_Arequipa[[#This Row],[fecha]]&gt;0,TEXT(Caja_Arequipa[[#This Row],[fecha]],"mmmm"),0)</f>
        <v>Octubre</v>
      </c>
    </row>
    <row r="920" spans="1:28" ht="36" x14ac:dyDescent="0.3">
      <c r="A920" s="2">
        <f>IF(Caja_Arequipa[[#This Row],[tipo_r]]="R",COUNTIFS($C$1:$C919,"R")+1,A919)</f>
        <v>696</v>
      </c>
      <c r="B920" s="19" t="str">
        <f t="shared" si="180"/>
        <v>C-Tesoreria</v>
      </c>
      <c r="C920" s="3" t="s">
        <v>1352</v>
      </c>
      <c r="D920" s="14">
        <v>45936</v>
      </c>
      <c r="E920" s="5" t="s">
        <v>2269</v>
      </c>
      <c r="F920" s="5" t="s">
        <v>1336</v>
      </c>
      <c r="G920" s="3" t="s">
        <v>5380</v>
      </c>
      <c r="H920" s="6" t="s">
        <v>682</v>
      </c>
      <c r="I920" s="204" t="s">
        <v>68</v>
      </c>
      <c r="J920" s="6" t="s">
        <v>1353</v>
      </c>
      <c r="K920" s="6">
        <v>17646</v>
      </c>
      <c r="L920" s="7" t="s">
        <v>6055</v>
      </c>
      <c r="M920" s="8" t="str">
        <f>IF(Caja_Arequipa[[#This Row],[tipo_r]]="R","001-"&amp;12002+A920,M919)</f>
        <v>001-12698</v>
      </c>
      <c r="N920" s="8" t="str">
        <f t="shared" si="181"/>
        <v>PEN</v>
      </c>
      <c r="O920" s="13">
        <v>20</v>
      </c>
      <c r="P920" s="13"/>
      <c r="Q920" s="3">
        <f t="shared" si="182"/>
        <v>0</v>
      </c>
      <c r="R920" s="3">
        <f t="shared" si="183"/>
        <v>0</v>
      </c>
      <c r="S920" s="3">
        <f t="shared" si="179"/>
        <v>-244.20000000000141</v>
      </c>
      <c r="T920" s="24"/>
      <c r="U920" s="24" t="s">
        <v>1334</v>
      </c>
      <c r="V920" s="3"/>
      <c r="W920" s="25">
        <f>IFERROR(VLOOKUP(Caja_Arequipa[[#This Row],[destinatario]],CHOOSE({1,2},Clientes_Proveedores[Razon Social],Clientes_Proveedores[Ruc / Dni]),2,0),"")</f>
        <v>20259858934</v>
      </c>
      <c r="X920" s="3"/>
      <c r="Y920" s="3"/>
      <c r="Z920" s="3"/>
      <c r="AA920" s="3"/>
      <c r="AB920" s="3" t="str">
        <f>IF(Caja_Arequipa[[#This Row],[fecha]]&gt;0,TEXT(Caja_Arequipa[[#This Row],[fecha]],"mmmm"),0)</f>
        <v>Octubre</v>
      </c>
    </row>
    <row r="921" spans="1:28" ht="36" x14ac:dyDescent="0.3">
      <c r="A921" s="2">
        <f>IF(Caja_Arequipa[[#This Row],[tipo_r]]="R",COUNTIFS($C$1:$C920,"R")+1,A920)</f>
        <v>696</v>
      </c>
      <c r="B921" s="19" t="str">
        <f t="shared" si="180"/>
        <v>C-Tesoreria</v>
      </c>
      <c r="C921" s="3" t="s">
        <v>1352</v>
      </c>
      <c r="D921" s="14">
        <v>45936</v>
      </c>
      <c r="E921" s="5" t="s">
        <v>2269</v>
      </c>
      <c r="F921" s="5" t="s">
        <v>1336</v>
      </c>
      <c r="G921" s="3" t="s">
        <v>5380</v>
      </c>
      <c r="H921" s="6" t="s">
        <v>682</v>
      </c>
      <c r="I921" s="204" t="s">
        <v>68</v>
      </c>
      <c r="J921" s="6" t="s">
        <v>1353</v>
      </c>
      <c r="K921" s="6">
        <v>17645</v>
      </c>
      <c r="L921" s="7" t="s">
        <v>6055</v>
      </c>
      <c r="M921" s="8" t="str">
        <f>IF(Caja_Arequipa[[#This Row],[tipo_r]]="R","001-"&amp;12002+A921,M920)</f>
        <v>001-12698</v>
      </c>
      <c r="N921" s="8" t="str">
        <f t="shared" si="181"/>
        <v>PEN</v>
      </c>
      <c r="O921" s="13">
        <v>20</v>
      </c>
      <c r="P921" s="13"/>
      <c r="Q921" s="3">
        <f t="shared" si="182"/>
        <v>0</v>
      </c>
      <c r="R921" s="3">
        <f t="shared" si="183"/>
        <v>0</v>
      </c>
      <c r="S921" s="3">
        <f t="shared" si="179"/>
        <v>-244.20000000000141</v>
      </c>
      <c r="T921" s="24"/>
      <c r="U921" s="24" t="s">
        <v>1334</v>
      </c>
      <c r="V921" s="3"/>
      <c r="W921" s="25">
        <f>IFERROR(VLOOKUP(Caja_Arequipa[[#This Row],[destinatario]],CHOOSE({1,2},Clientes_Proveedores[Razon Social],Clientes_Proveedores[Ruc / Dni]),2,0),"")</f>
        <v>20259858934</v>
      </c>
      <c r="X921" s="3"/>
      <c r="Y921" s="3"/>
      <c r="Z921" s="3"/>
      <c r="AA921" s="3"/>
      <c r="AB921" s="3" t="str">
        <f>IF(Caja_Arequipa[[#This Row],[fecha]]&gt;0,TEXT(Caja_Arequipa[[#This Row],[fecha]],"mmmm"),0)</f>
        <v>Octubre</v>
      </c>
    </row>
    <row r="922" spans="1:28" ht="36" x14ac:dyDescent="0.3">
      <c r="A922" s="2">
        <f>IF(Caja_Arequipa[[#This Row],[tipo_r]]="R",COUNTIFS($C$1:$C921,"R")+1,A921)</f>
        <v>696</v>
      </c>
      <c r="B922" s="19" t="str">
        <f t="shared" si="180"/>
        <v>C-Tesoreria</v>
      </c>
      <c r="C922" s="3" t="s">
        <v>1352</v>
      </c>
      <c r="D922" s="14">
        <v>45936</v>
      </c>
      <c r="E922" s="5" t="s">
        <v>2269</v>
      </c>
      <c r="F922" s="5" t="s">
        <v>1336</v>
      </c>
      <c r="G922" s="3" t="s">
        <v>5380</v>
      </c>
      <c r="H922" s="6" t="s">
        <v>1029</v>
      </c>
      <c r="I922" s="204" t="s">
        <v>68</v>
      </c>
      <c r="J922" s="6" t="s">
        <v>1374</v>
      </c>
      <c r="K922" s="6">
        <v>18340</v>
      </c>
      <c r="L922" s="7" t="s">
        <v>6055</v>
      </c>
      <c r="M922" s="8" t="str">
        <f>IF(Caja_Arequipa[[#This Row],[tipo_r]]="R","001-"&amp;12002+A922,M921)</f>
        <v>001-12698</v>
      </c>
      <c r="N922" s="8" t="str">
        <f t="shared" si="181"/>
        <v>PEN</v>
      </c>
      <c r="O922" s="13">
        <v>11</v>
      </c>
      <c r="P922" s="13"/>
      <c r="Q922" s="3">
        <f t="shared" si="182"/>
        <v>0</v>
      </c>
      <c r="R922" s="3">
        <f t="shared" si="183"/>
        <v>0</v>
      </c>
      <c r="S922" s="3">
        <f t="shared" si="179"/>
        <v>-244.20000000000141</v>
      </c>
      <c r="T922" s="24"/>
      <c r="U922" s="24" t="s">
        <v>1334</v>
      </c>
      <c r="V922" s="3"/>
      <c r="W922" s="25">
        <f>IFERROR(VLOOKUP(Caja_Arequipa[[#This Row],[destinatario]],CHOOSE({1,2},Clientes_Proveedores[Razon Social],Clientes_Proveedores[Ruc / Dni]),2,0),"")</f>
        <v>20454058187</v>
      </c>
      <c r="X922" s="3"/>
      <c r="Y922" s="3"/>
      <c r="Z922" s="3"/>
      <c r="AA922" s="3"/>
      <c r="AB922" s="3" t="str">
        <f>IF(Caja_Arequipa[[#This Row],[fecha]]&gt;0,TEXT(Caja_Arequipa[[#This Row],[fecha]],"mmmm"),0)</f>
        <v>Octubre</v>
      </c>
    </row>
    <row r="923" spans="1:28" ht="36" x14ac:dyDescent="0.3">
      <c r="A923" s="2">
        <f>IF(Caja_Arequipa[[#This Row],[tipo_r]]="R",COUNTIFS($C$1:$C922,"R")+1,A922)</f>
        <v>696</v>
      </c>
      <c r="B923" s="19" t="str">
        <f t="shared" si="180"/>
        <v>C-Tesoreria</v>
      </c>
      <c r="C923" s="3" t="s">
        <v>1352</v>
      </c>
      <c r="D923" s="14">
        <v>45936</v>
      </c>
      <c r="E923" s="5" t="s">
        <v>2269</v>
      </c>
      <c r="F923" s="5" t="s">
        <v>1336</v>
      </c>
      <c r="G923" s="3" t="s">
        <v>5380</v>
      </c>
      <c r="H923" s="6" t="s">
        <v>682</v>
      </c>
      <c r="I923" s="204" t="s">
        <v>68</v>
      </c>
      <c r="J923" s="6" t="s">
        <v>1353</v>
      </c>
      <c r="K923" s="6">
        <v>17664</v>
      </c>
      <c r="L923" s="7" t="s">
        <v>6055</v>
      </c>
      <c r="M923" s="8" t="str">
        <f>IF(Caja_Arequipa[[#This Row],[tipo_r]]="R","001-"&amp;12002+A923,M922)</f>
        <v>001-12698</v>
      </c>
      <c r="N923" s="8" t="str">
        <f t="shared" si="181"/>
        <v>PEN</v>
      </c>
      <c r="O923" s="13">
        <v>20</v>
      </c>
      <c r="P923" s="13"/>
      <c r="Q923" s="3">
        <f t="shared" si="182"/>
        <v>0</v>
      </c>
      <c r="R923" s="3">
        <f t="shared" si="183"/>
        <v>0</v>
      </c>
      <c r="S923" s="3">
        <f t="shared" si="179"/>
        <v>-244.20000000000141</v>
      </c>
      <c r="T923" s="24"/>
      <c r="U923" s="24" t="s">
        <v>1334</v>
      </c>
      <c r="V923" s="3"/>
      <c r="W923" s="25">
        <f>IFERROR(VLOOKUP(Caja_Arequipa[[#This Row],[destinatario]],CHOOSE({1,2},Clientes_Proveedores[Razon Social],Clientes_Proveedores[Ruc / Dni]),2,0),"")</f>
        <v>20259858934</v>
      </c>
      <c r="X923" s="3"/>
      <c r="Y923" s="3"/>
      <c r="Z923" s="3"/>
      <c r="AA923" s="3"/>
      <c r="AB923" s="3" t="str">
        <f>IF(Caja_Arequipa[[#This Row],[fecha]]&gt;0,TEXT(Caja_Arequipa[[#This Row],[fecha]],"mmmm"),0)</f>
        <v>Octubre</v>
      </c>
    </row>
    <row r="924" spans="1:28" ht="24" x14ac:dyDescent="0.3">
      <c r="A924" s="2">
        <f>IF(Caja_Arequipa[[#This Row],[tipo_r]]="R",COUNTIFS($C$1:$C923,"R")+1,A923)</f>
        <v>696</v>
      </c>
      <c r="B924" s="19" t="str">
        <f t="shared" si="180"/>
        <v>C-Tesoreria</v>
      </c>
      <c r="C924" s="3" t="s">
        <v>1352</v>
      </c>
      <c r="D924" s="14">
        <v>45936</v>
      </c>
      <c r="E924" s="5" t="s">
        <v>2269</v>
      </c>
      <c r="F924" s="5" t="s">
        <v>1336</v>
      </c>
      <c r="G924" s="3" t="s">
        <v>5380</v>
      </c>
      <c r="H924" s="6" t="s">
        <v>722</v>
      </c>
      <c r="I924" s="204" t="s">
        <v>68</v>
      </c>
      <c r="J924" s="6" t="s">
        <v>1376</v>
      </c>
      <c r="K924" s="6">
        <v>3522</v>
      </c>
      <c r="L924" s="7" t="s">
        <v>6055</v>
      </c>
      <c r="M924" s="8" t="str">
        <f>IF(Caja_Arequipa[[#This Row],[tipo_r]]="R","001-"&amp;12002+A924,M923)</f>
        <v>001-12698</v>
      </c>
      <c r="N924" s="8" t="str">
        <f t="shared" si="181"/>
        <v>PEN</v>
      </c>
      <c r="O924" s="13">
        <v>15</v>
      </c>
      <c r="P924" s="13"/>
      <c r="Q924" s="3">
        <f t="shared" si="182"/>
        <v>0</v>
      </c>
      <c r="R924" s="3">
        <f t="shared" si="183"/>
        <v>0</v>
      </c>
      <c r="S924" s="3">
        <f t="shared" si="179"/>
        <v>-244.20000000000141</v>
      </c>
      <c r="T924" s="24"/>
      <c r="U924" s="24" t="s">
        <v>1334</v>
      </c>
      <c r="V924" s="3"/>
      <c r="W924" s="25">
        <f>IFERROR(VLOOKUP(Caja_Arequipa[[#This Row],[destinatario]],CHOOSE({1,2},Clientes_Proveedores[Razon Social],Clientes_Proveedores[Ruc / Dni]),2,0),"")</f>
        <v>10402383548</v>
      </c>
      <c r="X924" s="3"/>
      <c r="Y924" s="3"/>
      <c r="Z924" s="3"/>
      <c r="AA924" s="3"/>
      <c r="AB924" s="3" t="str">
        <f>IF(Caja_Arequipa[[#This Row],[fecha]]&gt;0,TEXT(Caja_Arequipa[[#This Row],[fecha]],"mmmm"),0)</f>
        <v>Octubre</v>
      </c>
    </row>
    <row r="925" spans="1:28" ht="24" x14ac:dyDescent="0.3">
      <c r="A925" s="2">
        <f>IF(Caja_Arequipa[[#This Row],[tipo_r]]="R",COUNTIFS($C$1:$C924,"R")+1,A924)</f>
        <v>696</v>
      </c>
      <c r="B925" s="19" t="str">
        <f t="shared" si="180"/>
        <v>C-Tesoreria</v>
      </c>
      <c r="C925" s="3" t="s">
        <v>1352</v>
      </c>
      <c r="D925" s="14">
        <v>45936</v>
      </c>
      <c r="E925" s="5" t="s">
        <v>2269</v>
      </c>
      <c r="F925" s="5" t="s">
        <v>1336</v>
      </c>
      <c r="G925" s="3" t="s">
        <v>5380</v>
      </c>
      <c r="H925" s="6" t="s">
        <v>1235</v>
      </c>
      <c r="I925" s="204" t="s">
        <v>68</v>
      </c>
      <c r="J925" s="6" t="s">
        <v>1376</v>
      </c>
      <c r="K925" s="6">
        <v>3735</v>
      </c>
      <c r="L925" s="7" t="s">
        <v>6055</v>
      </c>
      <c r="M925" s="8" t="str">
        <f>IF(Caja_Arequipa[[#This Row],[tipo_r]]="R","001-"&amp;12002+A925,M924)</f>
        <v>001-12698</v>
      </c>
      <c r="N925" s="8" t="str">
        <f t="shared" si="181"/>
        <v>PEN</v>
      </c>
      <c r="O925" s="13">
        <v>250</v>
      </c>
      <c r="P925" s="13"/>
      <c r="Q925" s="3">
        <f t="shared" si="182"/>
        <v>0</v>
      </c>
      <c r="R925" s="3">
        <f t="shared" si="183"/>
        <v>0</v>
      </c>
      <c r="S925" s="3">
        <f t="shared" si="179"/>
        <v>-244.20000000000141</v>
      </c>
      <c r="T925" s="24"/>
      <c r="U925" s="24" t="s">
        <v>1334</v>
      </c>
      <c r="V925" s="3"/>
      <c r="W925" s="25">
        <f>IFERROR(VLOOKUP(Caja_Arequipa[[#This Row],[destinatario]],CHOOSE({1,2},Clientes_Proveedores[Razon Social],Clientes_Proveedores[Ruc / Dni]),2,0),"")</f>
        <v>20535554031</v>
      </c>
      <c r="X925" s="3"/>
      <c r="Y925" s="3"/>
      <c r="Z925" s="3"/>
      <c r="AA925" s="3"/>
      <c r="AB925" s="3" t="str">
        <f>IF(Caja_Arequipa[[#This Row],[fecha]]&gt;0,TEXT(Caja_Arequipa[[#This Row],[fecha]],"mmmm"),0)</f>
        <v>Octubre</v>
      </c>
    </row>
    <row r="926" spans="1:28" ht="72" x14ac:dyDescent="0.3">
      <c r="A926" s="2">
        <f>IF(Caja_Arequipa[[#This Row],[tipo_r]]="R",COUNTIFS($C$1:$C925,"R")+1,A925)</f>
        <v>696</v>
      </c>
      <c r="B926" s="19" t="str">
        <f t="shared" si="180"/>
        <v>C-Tesoreria</v>
      </c>
      <c r="C926" s="3" t="s">
        <v>1352</v>
      </c>
      <c r="D926" s="14">
        <v>45936</v>
      </c>
      <c r="E926" s="5" t="s">
        <v>2269</v>
      </c>
      <c r="F926" s="5" t="s">
        <v>1336</v>
      </c>
      <c r="G926" s="3" t="s">
        <v>5380</v>
      </c>
      <c r="H926" s="6" t="s">
        <v>1236</v>
      </c>
      <c r="I926" s="204" t="s">
        <v>68</v>
      </c>
      <c r="J926" s="6" t="s">
        <v>1376</v>
      </c>
      <c r="K926" s="6">
        <v>2330</v>
      </c>
      <c r="L926" s="7" t="s">
        <v>6055</v>
      </c>
      <c r="M926" s="8" t="str">
        <f>IF(Caja_Arequipa[[#This Row],[tipo_r]]="R","001-"&amp;12002+A926,M925)</f>
        <v>001-12698</v>
      </c>
      <c r="N926" s="8" t="str">
        <f t="shared" si="181"/>
        <v>PEN</v>
      </c>
      <c r="O926" s="13">
        <v>205.2</v>
      </c>
      <c r="P926" s="13"/>
      <c r="Q926" s="3">
        <f t="shared" si="182"/>
        <v>0</v>
      </c>
      <c r="R926" s="3">
        <f t="shared" si="183"/>
        <v>0</v>
      </c>
      <c r="S926" s="3">
        <f t="shared" si="179"/>
        <v>-244.20000000000141</v>
      </c>
      <c r="T926" s="24"/>
      <c r="U926" s="24" t="s">
        <v>1334</v>
      </c>
      <c r="V926" s="3"/>
      <c r="W926" s="25">
        <f>IFERROR(VLOOKUP(Caja_Arequipa[[#This Row],[destinatario]],CHOOSE({1,2},Clientes_Proveedores[Razon Social],Clientes_Proveedores[Ruc / Dni]),2,0),"")</f>
        <v>20225372706</v>
      </c>
      <c r="X926" s="3"/>
      <c r="Y926" s="3"/>
      <c r="Z926" s="3"/>
      <c r="AA926" s="3"/>
      <c r="AB926" s="3" t="str">
        <f>IF(Caja_Arequipa[[#This Row],[fecha]]&gt;0,TEXT(Caja_Arequipa[[#This Row],[fecha]],"mmmm"),0)</f>
        <v>Octubre</v>
      </c>
    </row>
    <row r="927" spans="1:28" ht="24" x14ac:dyDescent="0.3">
      <c r="A927" s="2">
        <f>IF(Caja_Arequipa[[#This Row],[tipo_r]]="R",COUNTIFS($C$1:$C926,"R")+1,A926)</f>
        <v>697</v>
      </c>
      <c r="B927" s="19" t="str">
        <f t="shared" si="180"/>
        <v>C-Tesoreria</v>
      </c>
      <c r="C927" s="3" t="s">
        <v>1330</v>
      </c>
      <c r="D927" s="14">
        <v>45937</v>
      </c>
      <c r="E927" s="5" t="s">
        <v>2269</v>
      </c>
      <c r="F927" s="5" t="s">
        <v>1336</v>
      </c>
      <c r="G927" s="3" t="s">
        <v>5828</v>
      </c>
      <c r="H927" s="6"/>
      <c r="I927" s="206" t="s">
        <v>130</v>
      </c>
      <c r="J927" s="6">
        <v>1</v>
      </c>
      <c r="K927" s="6">
        <v>220</v>
      </c>
      <c r="L927" s="7" t="s">
        <v>6327</v>
      </c>
      <c r="M927" s="8" t="str">
        <f>IF(Caja_Arequipa[[#This Row],[tipo_r]]="R","001-"&amp;12002+A927,M926)</f>
        <v>001-12699</v>
      </c>
      <c r="N927" s="8" t="str">
        <f t="shared" si="181"/>
        <v>PEN</v>
      </c>
      <c r="O927" s="13"/>
      <c r="P927" s="13">
        <v>50</v>
      </c>
      <c r="Q927" s="3">
        <f t="shared" si="182"/>
        <v>0</v>
      </c>
      <c r="R927" s="3">
        <f t="shared" si="183"/>
        <v>50</v>
      </c>
      <c r="S927" s="3">
        <f t="shared" si="179"/>
        <v>-294.20000000000141</v>
      </c>
      <c r="T927" s="24" t="s">
        <v>5504</v>
      </c>
      <c r="U927" s="24"/>
      <c r="V927" s="3"/>
      <c r="W927" s="25" t="str">
        <f>IFERROR(VLOOKUP(Caja_Arequipa[[#This Row],[destinatario]],CHOOSE({1,2},Clientes_Proveedores[Razon Social],Clientes_Proveedores[Ruc / Dni]),2,0),"")</f>
        <v/>
      </c>
      <c r="X927" s="3"/>
      <c r="Y927" s="3"/>
      <c r="Z927" s="3"/>
      <c r="AA927" s="3"/>
      <c r="AB927" s="3" t="str">
        <f>IF(Caja_Arequipa[[#This Row],[fecha]]&gt;0,TEXT(Caja_Arequipa[[#This Row],[fecha]],"mmmm"),0)</f>
        <v>Octubre</v>
      </c>
    </row>
    <row r="928" spans="1:28" x14ac:dyDescent="0.3">
      <c r="A928" s="2">
        <f>IF(Caja_Arequipa[[#This Row],[tipo_r]]="R",COUNTIFS($C$1:$C927,"R")+1,A927)</f>
        <v>698</v>
      </c>
      <c r="B928" s="19" t="str">
        <f t="shared" ref="B928:B929" si="184">"C-Tesoreria"</f>
        <v>C-Tesoreria</v>
      </c>
      <c r="C928" s="3" t="s">
        <v>1330</v>
      </c>
      <c r="D928" s="14">
        <v>45937</v>
      </c>
      <c r="E928" s="5" t="s">
        <v>2269</v>
      </c>
      <c r="F928" s="5" t="s">
        <v>1336</v>
      </c>
      <c r="G928" s="3" t="s">
        <v>5303</v>
      </c>
      <c r="H928" s="6"/>
      <c r="I928" s="204"/>
      <c r="J928" s="6"/>
      <c r="K928" s="6"/>
      <c r="L928" s="7" t="s">
        <v>6055</v>
      </c>
      <c r="M928" s="8" t="str">
        <f>IF(Caja_Arequipa[[#This Row],[tipo_r]]="R","001-"&amp;12002+A928,M927)</f>
        <v>001-12700</v>
      </c>
      <c r="N928" s="8" t="str">
        <f t="shared" ref="N928:N929" si="185">"PEN"</f>
        <v>PEN</v>
      </c>
      <c r="O928" s="13"/>
      <c r="P928" s="13">
        <v>73.900000000000006</v>
      </c>
      <c r="Q928" s="3">
        <f t="shared" ref="Q928:Q929" si="186">+IF(OR($F928="SALDO",$F928="INGRESO"),$P928,0)</f>
        <v>0</v>
      </c>
      <c r="R928" s="3">
        <f t="shared" ref="R928:R929" si="187">+IF($F928="EGRESO",$P928,0)</f>
        <v>73.900000000000006</v>
      </c>
      <c r="S928" s="3">
        <f t="shared" si="179"/>
        <v>-368.10000000000139</v>
      </c>
      <c r="T928" s="24"/>
      <c r="U928" s="24" t="s">
        <v>1334</v>
      </c>
      <c r="V928" s="3"/>
      <c r="W928" s="25" t="str">
        <f>IFERROR(VLOOKUP(Caja_Arequipa[[#This Row],[destinatario]],CHOOSE({1,2},Clientes_Proveedores[Razon Social],Clientes_Proveedores[Ruc / Dni]),2,0),"")</f>
        <v/>
      </c>
      <c r="X928" s="3"/>
      <c r="Y928" s="3"/>
      <c r="Z928" s="3"/>
      <c r="AA928" s="3"/>
      <c r="AB928" s="3" t="str">
        <f>IF(Caja_Arequipa[[#This Row],[fecha]]&gt;0,TEXT(Caja_Arequipa[[#This Row],[fecha]],"mmmm"),0)</f>
        <v>Octubre</v>
      </c>
    </row>
    <row r="929" spans="1:28" ht="24" x14ac:dyDescent="0.3">
      <c r="A929" s="2">
        <f>IF(Caja_Arequipa[[#This Row],[tipo_r]]="R",COUNTIFS($C$1:$C928,"R")+1,A928)</f>
        <v>698</v>
      </c>
      <c r="B929" s="19" t="str">
        <f t="shared" si="184"/>
        <v>C-Tesoreria</v>
      </c>
      <c r="C929" s="3" t="s">
        <v>1352</v>
      </c>
      <c r="D929" s="14">
        <v>45937</v>
      </c>
      <c r="E929" s="5" t="s">
        <v>2269</v>
      </c>
      <c r="F929" s="5" t="s">
        <v>1336</v>
      </c>
      <c r="G929" s="3" t="s">
        <v>5303</v>
      </c>
      <c r="H929" s="6" t="s">
        <v>909</v>
      </c>
      <c r="I929" s="204" t="s">
        <v>111</v>
      </c>
      <c r="J929" s="6">
        <v>3</v>
      </c>
      <c r="K929" s="6">
        <v>386</v>
      </c>
      <c r="L929" s="7" t="s">
        <v>6328</v>
      </c>
      <c r="M929" s="8" t="str">
        <f>IF(Caja_Arequipa[[#This Row],[tipo_r]]="R","001-"&amp;12002+A929,M928)</f>
        <v>001-12700</v>
      </c>
      <c r="N929" s="8" t="str">
        <f t="shared" si="185"/>
        <v>PEN</v>
      </c>
      <c r="O929" s="13">
        <v>50</v>
      </c>
      <c r="P929" s="13"/>
      <c r="Q929" s="3">
        <f t="shared" si="186"/>
        <v>0</v>
      </c>
      <c r="R929" s="3">
        <f t="shared" si="187"/>
        <v>0</v>
      </c>
      <c r="S929" s="3">
        <f t="shared" si="179"/>
        <v>-368.10000000000139</v>
      </c>
      <c r="T929" s="24"/>
      <c r="U929" s="24" t="s">
        <v>1334</v>
      </c>
      <c r="V929" s="3"/>
      <c r="W929" s="25">
        <f>IFERROR(VLOOKUP(Caja_Arequipa[[#This Row],[destinatario]],CHOOSE({1,2},Clientes_Proveedores[Razon Social],Clientes_Proveedores[Ruc / Dni]),2,0),"")</f>
        <v>44314304</v>
      </c>
      <c r="X929" s="3"/>
      <c r="Y929" s="3"/>
      <c r="Z929" s="3"/>
      <c r="AA929" s="3"/>
      <c r="AB929" s="3" t="str">
        <f>IF(Caja_Arequipa[[#This Row],[fecha]]&gt;0,TEXT(Caja_Arequipa[[#This Row],[fecha]],"mmmm"),0)</f>
        <v>Octubre</v>
      </c>
    </row>
    <row r="930" spans="1:28" ht="24" x14ac:dyDescent="0.3">
      <c r="A930" s="2">
        <f>IF(Caja_Arequipa[[#This Row],[tipo_r]]="R",COUNTIFS($C$1:$C929,"R")+1,A929)</f>
        <v>698</v>
      </c>
      <c r="B930" s="19" t="str">
        <f t="shared" ref="B930:B939" si="188">"C-Tesoreria"</f>
        <v>C-Tesoreria</v>
      </c>
      <c r="C930" s="3" t="s">
        <v>1352</v>
      </c>
      <c r="D930" s="14">
        <v>45937</v>
      </c>
      <c r="E930" s="5" t="s">
        <v>2269</v>
      </c>
      <c r="F930" s="5" t="s">
        <v>1336</v>
      </c>
      <c r="G930" s="3" t="s">
        <v>5303</v>
      </c>
      <c r="H930" s="6" t="s">
        <v>684</v>
      </c>
      <c r="I930" s="204" t="s">
        <v>68</v>
      </c>
      <c r="J930" s="6" t="s">
        <v>1374</v>
      </c>
      <c r="K930" s="6">
        <v>7615</v>
      </c>
      <c r="L930" s="7" t="s">
        <v>6055</v>
      </c>
      <c r="M930" s="8" t="str">
        <f>IF(Caja_Arequipa[[#This Row],[tipo_r]]="R","001-"&amp;12002+A930,M929)</f>
        <v>001-12700</v>
      </c>
      <c r="N930" s="8" t="str">
        <f t="shared" ref="N930:N939" si="189">"PEN"</f>
        <v>PEN</v>
      </c>
      <c r="O930" s="13">
        <v>23.9</v>
      </c>
      <c r="P930" s="13"/>
      <c r="Q930" s="3">
        <f t="shared" ref="Q930:Q939" si="190">+IF(OR($F930="SALDO",$F930="INGRESO"),$P930,0)</f>
        <v>0</v>
      </c>
      <c r="R930" s="3">
        <f t="shared" ref="R930:R939" si="191">+IF($F930="EGRESO",$P930,0)</f>
        <v>0</v>
      </c>
      <c r="S930" s="3">
        <f t="shared" si="179"/>
        <v>-368.10000000000139</v>
      </c>
      <c r="T930" s="24"/>
      <c r="U930" s="24" t="s">
        <v>1334</v>
      </c>
      <c r="V930" s="3"/>
      <c r="W930" s="25">
        <f>IFERROR(VLOOKUP(Caja_Arequipa[[#This Row],[destinatario]],CHOOSE({1,2},Clientes_Proveedores[Razon Social],Clientes_Proveedores[Ruc / Dni]),2,0),"")</f>
        <v>20604947520</v>
      </c>
      <c r="X930" s="3"/>
      <c r="Y930" s="3"/>
      <c r="Z930" s="3"/>
      <c r="AA930" s="3"/>
      <c r="AB930" s="3" t="str">
        <f>IF(Caja_Arequipa[[#This Row],[fecha]]&gt;0,TEXT(Caja_Arequipa[[#This Row],[fecha]],"mmmm"),0)</f>
        <v>Octubre</v>
      </c>
    </row>
    <row r="931" spans="1:28" x14ac:dyDescent="0.3">
      <c r="A931" s="2">
        <f>IF(Caja_Arequipa[[#This Row],[tipo_r]]="R",COUNTIFS($C$1:$C930,"R")+1,A930)</f>
        <v>699</v>
      </c>
      <c r="B931" s="19" t="str">
        <f t="shared" si="188"/>
        <v>C-Tesoreria</v>
      </c>
      <c r="C931" s="3" t="s">
        <v>1330</v>
      </c>
      <c r="D931" s="14">
        <v>45937</v>
      </c>
      <c r="E931" s="5" t="s">
        <v>2269</v>
      </c>
      <c r="F931" s="5" t="s">
        <v>1303</v>
      </c>
      <c r="G931" s="3"/>
      <c r="H931" s="6"/>
      <c r="I931" s="208"/>
      <c r="J931" s="6"/>
      <c r="K931" s="6"/>
      <c r="L931" s="7" t="s">
        <v>6329</v>
      </c>
      <c r="M931" s="8" t="str">
        <f>IF(Caja_Arequipa[[#This Row],[tipo_r]]="R","001-"&amp;12002+A931,M930)</f>
        <v>001-12701</v>
      </c>
      <c r="N931" s="8" t="str">
        <f t="shared" si="189"/>
        <v>PEN</v>
      </c>
      <c r="O931" s="13"/>
      <c r="P931" s="13">
        <v>1000</v>
      </c>
      <c r="Q931" s="3">
        <f t="shared" si="190"/>
        <v>1000</v>
      </c>
      <c r="R931" s="3">
        <f t="shared" si="191"/>
        <v>0</v>
      </c>
      <c r="S931" s="3">
        <f t="shared" si="179"/>
        <v>631.89999999999861</v>
      </c>
      <c r="T931" s="24"/>
      <c r="U931" s="24"/>
      <c r="V931" s="3"/>
      <c r="W931" s="25" t="str">
        <f>IFERROR(VLOOKUP(Caja_Arequipa[[#This Row],[destinatario]],CHOOSE({1,2},Clientes_Proveedores[Razon Social],Clientes_Proveedores[Ruc / Dni]),2,0),"")</f>
        <v/>
      </c>
      <c r="X931" s="3"/>
      <c r="Y931" s="3"/>
      <c r="Z931" s="3"/>
      <c r="AA931" s="3"/>
      <c r="AB931" s="3" t="str">
        <f>IF(Caja_Arequipa[[#This Row],[fecha]]&gt;0,TEXT(Caja_Arequipa[[#This Row],[fecha]],"mmmm"),0)</f>
        <v>Octubre</v>
      </c>
    </row>
    <row r="932" spans="1:28" ht="24" x14ac:dyDescent="0.3">
      <c r="A932" s="2">
        <f>IF(Caja_Arequipa[[#This Row],[tipo_r]]="R",COUNTIFS($C$1:$C931,"R")+1,A931)</f>
        <v>700</v>
      </c>
      <c r="B932" s="19" t="str">
        <f t="shared" si="188"/>
        <v>C-Tesoreria</v>
      </c>
      <c r="C932" s="3" t="s">
        <v>1330</v>
      </c>
      <c r="D932" s="14">
        <v>45939</v>
      </c>
      <c r="E932" s="5" t="s">
        <v>1338</v>
      </c>
      <c r="F932" s="5" t="s">
        <v>1336</v>
      </c>
      <c r="G932" s="3" t="s">
        <v>6216</v>
      </c>
      <c r="H932" s="6" t="s">
        <v>918</v>
      </c>
      <c r="I932" s="203" t="s">
        <v>111</v>
      </c>
      <c r="J932" s="6">
        <v>3</v>
      </c>
      <c r="K932" s="6">
        <v>381</v>
      </c>
      <c r="L932" s="7" t="s">
        <v>6321</v>
      </c>
      <c r="M932" s="8" t="str">
        <f>IF(Caja_Arequipa[[#This Row],[tipo_r]]="R","001-"&amp;12002+A932,M931)</f>
        <v>001-12702</v>
      </c>
      <c r="N932" s="8" t="str">
        <f t="shared" si="189"/>
        <v>PEN</v>
      </c>
      <c r="O932" s="13"/>
      <c r="P932" s="13">
        <v>4</v>
      </c>
      <c r="Q932" s="3">
        <f t="shared" si="190"/>
        <v>0</v>
      </c>
      <c r="R932" s="3">
        <f t="shared" si="191"/>
        <v>4</v>
      </c>
      <c r="S932" s="3">
        <f t="shared" si="179"/>
        <v>627.89999999999861</v>
      </c>
      <c r="T932" s="24"/>
      <c r="U932" s="24" t="s">
        <v>1334</v>
      </c>
      <c r="V932" s="3"/>
      <c r="W932" s="25">
        <f>IFERROR(VLOOKUP(Caja_Arequipa[[#This Row],[destinatario]],CHOOSE({1,2},Clientes_Proveedores[Razon Social],Clientes_Proveedores[Ruc / Dni]),2,0),"")</f>
        <v>48536654</v>
      </c>
      <c r="X932" s="3"/>
      <c r="Y932" s="3"/>
      <c r="Z932" s="3"/>
      <c r="AA932" s="3"/>
      <c r="AB932" s="3" t="str">
        <f>IF(Caja_Arequipa[[#This Row],[fecha]]&gt;0,TEXT(Caja_Arequipa[[#This Row],[fecha]],"mmmm"),0)</f>
        <v>Octubre</v>
      </c>
    </row>
    <row r="933" spans="1:28" ht="24" x14ac:dyDescent="0.3">
      <c r="A933" s="2">
        <f>IF(Caja_Arequipa[[#This Row],[tipo_r]]="R",COUNTIFS($C$1:$C932,"R")+1,A932)</f>
        <v>701</v>
      </c>
      <c r="B933" s="19" t="str">
        <f t="shared" si="188"/>
        <v>C-Tesoreria</v>
      </c>
      <c r="C933" s="3" t="s">
        <v>1330</v>
      </c>
      <c r="D933" s="14">
        <v>45939</v>
      </c>
      <c r="E933" s="5" t="s">
        <v>1338</v>
      </c>
      <c r="F933" s="5" t="s">
        <v>1336</v>
      </c>
      <c r="G933" s="3" t="s">
        <v>6216</v>
      </c>
      <c r="H933" s="6" t="s">
        <v>918</v>
      </c>
      <c r="I933" s="203" t="s">
        <v>111</v>
      </c>
      <c r="J933" s="6">
        <v>3</v>
      </c>
      <c r="K933" s="6">
        <v>382</v>
      </c>
      <c r="L933" s="7" t="s">
        <v>6330</v>
      </c>
      <c r="M933" s="8" t="str">
        <f>IF(Caja_Arequipa[[#This Row],[tipo_r]]="R","001-"&amp;12002+A933,M932)</f>
        <v>001-12703</v>
      </c>
      <c r="N933" s="8" t="str">
        <f t="shared" si="189"/>
        <v>PEN</v>
      </c>
      <c r="O933" s="13"/>
      <c r="P933" s="13">
        <v>4</v>
      </c>
      <c r="Q933" s="3">
        <f t="shared" si="190"/>
        <v>0</v>
      </c>
      <c r="R933" s="3">
        <f t="shared" si="191"/>
        <v>4</v>
      </c>
      <c r="S933" s="3">
        <f t="shared" si="179"/>
        <v>623.89999999999861</v>
      </c>
      <c r="T933" s="24"/>
      <c r="U933" s="24" t="s">
        <v>1334</v>
      </c>
      <c r="V933" s="3"/>
      <c r="W933" s="25">
        <f>IFERROR(VLOOKUP(Caja_Arequipa[[#This Row],[destinatario]],CHOOSE({1,2},Clientes_Proveedores[Razon Social],Clientes_Proveedores[Ruc / Dni]),2,0),"")</f>
        <v>48536654</v>
      </c>
      <c r="X933" s="3"/>
      <c r="Y933" s="3"/>
      <c r="Z933" s="3"/>
      <c r="AA933" s="3"/>
      <c r="AB933" s="3" t="str">
        <f>IF(Caja_Arequipa[[#This Row],[fecha]]&gt;0,TEXT(Caja_Arequipa[[#This Row],[fecha]],"mmmm"),0)</f>
        <v>Octubre</v>
      </c>
    </row>
    <row r="934" spans="1:28" ht="24" x14ac:dyDescent="0.3">
      <c r="A934" s="2">
        <f>IF(Caja_Arequipa[[#This Row],[tipo_r]]="R",COUNTIFS($C$1:$C933,"R")+1,A933)</f>
        <v>702</v>
      </c>
      <c r="B934" s="19" t="str">
        <f t="shared" si="188"/>
        <v>C-Tesoreria</v>
      </c>
      <c r="C934" s="3" t="s">
        <v>1330</v>
      </c>
      <c r="D934" s="14">
        <v>45939</v>
      </c>
      <c r="E934" s="5" t="s">
        <v>1338</v>
      </c>
      <c r="F934" s="5" t="s">
        <v>1336</v>
      </c>
      <c r="G934" s="3" t="s">
        <v>6216</v>
      </c>
      <c r="H934" s="6" t="s">
        <v>918</v>
      </c>
      <c r="I934" s="203" t="s">
        <v>111</v>
      </c>
      <c r="J934" s="6">
        <v>3</v>
      </c>
      <c r="K934" s="6">
        <v>383</v>
      </c>
      <c r="L934" s="7" t="s">
        <v>6331</v>
      </c>
      <c r="M934" s="8" t="str">
        <f>IF(Caja_Arequipa[[#This Row],[tipo_r]]="R","001-"&amp;12002+A934,M933)</f>
        <v>001-12704</v>
      </c>
      <c r="N934" s="8" t="str">
        <f t="shared" si="189"/>
        <v>PEN</v>
      </c>
      <c r="O934" s="13"/>
      <c r="P934" s="13">
        <v>10</v>
      </c>
      <c r="Q934" s="3">
        <f t="shared" si="190"/>
        <v>0</v>
      </c>
      <c r="R934" s="3">
        <f t="shared" si="191"/>
        <v>10</v>
      </c>
      <c r="S934" s="3">
        <f t="shared" si="179"/>
        <v>613.89999999999861</v>
      </c>
      <c r="T934" s="24"/>
      <c r="U934" s="24" t="s">
        <v>1334</v>
      </c>
      <c r="V934" s="3"/>
      <c r="W934" s="25">
        <f>IFERROR(VLOOKUP(Caja_Arequipa[[#This Row],[destinatario]],CHOOSE({1,2},Clientes_Proveedores[Razon Social],Clientes_Proveedores[Ruc / Dni]),2,0),"")</f>
        <v>48536654</v>
      </c>
      <c r="X934" s="3"/>
      <c r="Y934" s="3"/>
      <c r="Z934" s="3"/>
      <c r="AA934" s="3"/>
      <c r="AB934" s="3" t="str">
        <f>IF(Caja_Arequipa[[#This Row],[fecha]]&gt;0,TEXT(Caja_Arequipa[[#This Row],[fecha]],"mmmm"),0)</f>
        <v>Octubre</v>
      </c>
    </row>
    <row r="935" spans="1:28" ht="24" x14ac:dyDescent="0.3">
      <c r="A935" s="2">
        <f>IF(Caja_Arequipa[[#This Row],[tipo_r]]="R",COUNTIFS($C$1:$C934,"R")+1,A934)</f>
        <v>703</v>
      </c>
      <c r="B935" s="19" t="str">
        <f t="shared" si="188"/>
        <v>C-Tesoreria</v>
      </c>
      <c r="C935" s="3" t="s">
        <v>1330</v>
      </c>
      <c r="D935" s="14">
        <v>45939</v>
      </c>
      <c r="E935" s="5" t="s">
        <v>1338</v>
      </c>
      <c r="F935" s="5" t="s">
        <v>1336</v>
      </c>
      <c r="G935" s="3" t="s">
        <v>6216</v>
      </c>
      <c r="H935" s="6" t="s">
        <v>918</v>
      </c>
      <c r="I935" s="203" t="s">
        <v>111</v>
      </c>
      <c r="J935" s="6">
        <v>3</v>
      </c>
      <c r="K935" s="6">
        <v>384</v>
      </c>
      <c r="L935" s="7" t="s">
        <v>6332</v>
      </c>
      <c r="M935" s="8" t="str">
        <f>IF(Caja_Arequipa[[#This Row],[tipo_r]]="R","001-"&amp;12002+A935,M934)</f>
        <v>001-12705</v>
      </c>
      <c r="N935" s="8" t="str">
        <f t="shared" si="189"/>
        <v>PEN</v>
      </c>
      <c r="O935" s="13"/>
      <c r="P935" s="13">
        <v>29</v>
      </c>
      <c r="Q935" s="3">
        <f t="shared" si="190"/>
        <v>0</v>
      </c>
      <c r="R935" s="3">
        <f t="shared" si="191"/>
        <v>29</v>
      </c>
      <c r="S935" s="3">
        <f t="shared" si="179"/>
        <v>584.89999999999861</v>
      </c>
      <c r="T935" s="24"/>
      <c r="U935" s="24" t="s">
        <v>1334</v>
      </c>
      <c r="V935" s="3"/>
      <c r="W935" s="25">
        <f>IFERROR(VLOOKUP(Caja_Arequipa[[#This Row],[destinatario]],CHOOSE({1,2},Clientes_Proveedores[Razon Social],Clientes_Proveedores[Ruc / Dni]),2,0),"")</f>
        <v>48536654</v>
      </c>
      <c r="X935" s="3"/>
      <c r="Y935" s="3"/>
      <c r="Z935" s="3"/>
      <c r="AA935" s="3"/>
      <c r="AB935" s="3" t="str">
        <f>IF(Caja_Arequipa[[#This Row],[fecha]]&gt;0,TEXT(Caja_Arequipa[[#This Row],[fecha]],"mmmm"),0)</f>
        <v>Octubre</v>
      </c>
    </row>
    <row r="936" spans="1:28" x14ac:dyDescent="0.3">
      <c r="A936" s="2">
        <f>IF(Caja_Arequipa[[#This Row],[tipo_r]]="R",COUNTIFS($C$1:$C935,"R")+1,A935)</f>
        <v>704</v>
      </c>
      <c r="B936" s="19" t="str">
        <f t="shared" si="188"/>
        <v>C-Tesoreria</v>
      </c>
      <c r="C936" s="3" t="s">
        <v>1330</v>
      </c>
      <c r="D936" s="14">
        <v>45939</v>
      </c>
      <c r="E936" s="5" t="s">
        <v>1338</v>
      </c>
      <c r="F936" s="5" t="s">
        <v>1336</v>
      </c>
      <c r="G936" s="3" t="s">
        <v>5664</v>
      </c>
      <c r="H936" s="6"/>
      <c r="I936" s="204"/>
      <c r="J936" s="6"/>
      <c r="K936" s="6"/>
      <c r="L936" s="7" t="s">
        <v>6055</v>
      </c>
      <c r="M936" s="8" t="str">
        <f>IF(Caja_Arequipa[[#This Row],[tipo_r]]="R","001-"&amp;12002+A936,M935)</f>
        <v>001-12706</v>
      </c>
      <c r="N936" s="8" t="str">
        <f t="shared" si="189"/>
        <v>PEN</v>
      </c>
      <c r="O936" s="13"/>
      <c r="P936" s="13">
        <v>40</v>
      </c>
      <c r="Q936" s="3">
        <f t="shared" si="190"/>
        <v>0</v>
      </c>
      <c r="R936" s="3">
        <f t="shared" si="191"/>
        <v>40</v>
      </c>
      <c r="S936" s="3">
        <f t="shared" si="179"/>
        <v>544.89999999999861</v>
      </c>
      <c r="T936" s="24"/>
      <c r="U936" s="24" t="s">
        <v>1334</v>
      </c>
      <c r="V936" s="3"/>
      <c r="W936" s="25" t="str">
        <f>IFERROR(VLOOKUP(Caja_Arequipa[[#This Row],[destinatario]],CHOOSE({1,2},Clientes_Proveedores[Razon Social],Clientes_Proveedores[Ruc / Dni]),2,0),"")</f>
        <v/>
      </c>
      <c r="X936" s="3"/>
      <c r="Y936" s="3"/>
      <c r="Z936" s="3"/>
      <c r="AA936" s="3"/>
      <c r="AB936" s="3" t="str">
        <f>IF(Caja_Arequipa[[#This Row],[fecha]]&gt;0,TEXT(Caja_Arequipa[[#This Row],[fecha]],"mmmm"),0)</f>
        <v>Octubre</v>
      </c>
    </row>
    <row r="937" spans="1:28" ht="36" x14ac:dyDescent="0.3">
      <c r="A937" s="2">
        <f>IF(Caja_Arequipa[[#This Row],[tipo_r]]="R",COUNTIFS($C$1:$C936,"R")+1,A936)</f>
        <v>704</v>
      </c>
      <c r="B937" s="19" t="str">
        <f t="shared" si="188"/>
        <v>C-Tesoreria</v>
      </c>
      <c r="C937" s="3" t="s">
        <v>1352</v>
      </c>
      <c r="D937" s="14">
        <v>45939</v>
      </c>
      <c r="E937" s="5" t="s">
        <v>1338</v>
      </c>
      <c r="F937" s="5" t="s">
        <v>1336</v>
      </c>
      <c r="G937" s="3" t="s">
        <v>5664</v>
      </c>
      <c r="H937" s="6" t="s">
        <v>937</v>
      </c>
      <c r="I937" s="204" t="s">
        <v>111</v>
      </c>
      <c r="J937" s="6">
        <v>3</v>
      </c>
      <c r="K937" s="6">
        <v>387</v>
      </c>
      <c r="L937" s="7" t="s">
        <v>6055</v>
      </c>
      <c r="M937" s="8" t="str">
        <f>IF(Caja_Arequipa[[#This Row],[tipo_r]]="R","001-"&amp;12002+A937,M936)</f>
        <v>001-12706</v>
      </c>
      <c r="N937" s="8" t="str">
        <f t="shared" si="189"/>
        <v>PEN</v>
      </c>
      <c r="O937" s="13">
        <v>10</v>
      </c>
      <c r="P937" s="13"/>
      <c r="Q937" s="3">
        <f t="shared" si="190"/>
        <v>0</v>
      </c>
      <c r="R937" s="3">
        <f t="shared" si="191"/>
        <v>0</v>
      </c>
      <c r="S937" s="3">
        <f t="shared" si="179"/>
        <v>544.89999999999861</v>
      </c>
      <c r="T937" s="24"/>
      <c r="U937" s="24" t="s">
        <v>1334</v>
      </c>
      <c r="V937" s="3"/>
      <c r="W937" s="25">
        <f>IFERROR(VLOOKUP(Caja_Arequipa[[#This Row],[destinatario]],CHOOSE({1,2},Clientes_Proveedores[Razon Social],Clientes_Proveedores[Ruc / Dni]),2,0),"")</f>
        <v>72728100</v>
      </c>
      <c r="X937" s="3"/>
      <c r="Y937" s="3"/>
      <c r="Z937" s="3"/>
      <c r="AA937" s="3"/>
      <c r="AB937" s="3" t="str">
        <f>IF(Caja_Arequipa[[#This Row],[fecha]]&gt;0,TEXT(Caja_Arequipa[[#This Row],[fecha]],"mmmm"),0)</f>
        <v>Octubre</v>
      </c>
    </row>
    <row r="938" spans="1:28" ht="24" x14ac:dyDescent="0.3">
      <c r="A938" s="2">
        <f>IF(Caja_Arequipa[[#This Row],[tipo_r]]="R",COUNTIFS($C$1:$C937,"R")+1,A937)</f>
        <v>704</v>
      </c>
      <c r="B938" s="19" t="str">
        <f t="shared" si="188"/>
        <v>C-Tesoreria</v>
      </c>
      <c r="C938" s="3" t="s">
        <v>1352</v>
      </c>
      <c r="D938" s="14">
        <v>45939</v>
      </c>
      <c r="E938" s="5" t="s">
        <v>1338</v>
      </c>
      <c r="F938" s="5" t="s">
        <v>1336</v>
      </c>
      <c r="G938" s="3" t="s">
        <v>5664</v>
      </c>
      <c r="H938" s="6" t="s">
        <v>986</v>
      </c>
      <c r="I938" s="204" t="s">
        <v>75</v>
      </c>
      <c r="J938" s="6">
        <v>1</v>
      </c>
      <c r="K938" s="6">
        <v>703</v>
      </c>
      <c r="L938" s="7" t="s">
        <v>6055</v>
      </c>
      <c r="M938" s="8" t="str">
        <f>IF(Caja_Arequipa[[#This Row],[tipo_r]]="R","001-"&amp;12002+A938,M937)</f>
        <v>001-12706</v>
      </c>
      <c r="N938" s="8" t="str">
        <f t="shared" si="189"/>
        <v>PEN</v>
      </c>
      <c r="O938" s="13">
        <v>26.5</v>
      </c>
      <c r="P938" s="13"/>
      <c r="Q938" s="3">
        <f t="shared" si="190"/>
        <v>0</v>
      </c>
      <c r="R938" s="3">
        <f t="shared" si="191"/>
        <v>0</v>
      </c>
      <c r="S938" s="3">
        <f t="shared" si="179"/>
        <v>544.89999999999861</v>
      </c>
      <c r="T938" s="24"/>
      <c r="U938" s="24" t="s">
        <v>1334</v>
      </c>
      <c r="V938" s="3"/>
      <c r="W938" s="25">
        <f>IFERROR(VLOOKUP(Caja_Arequipa[[#This Row],[destinatario]],CHOOSE({1,2},Clientes_Proveedores[Razon Social],Clientes_Proveedores[Ruc / Dni]),2,0),"")</f>
        <v>10309622885</v>
      </c>
      <c r="X938" s="3"/>
      <c r="Y938" s="3"/>
      <c r="Z938" s="3"/>
      <c r="AA938" s="3"/>
      <c r="AB938" s="3" t="str">
        <f>IF(Caja_Arequipa[[#This Row],[fecha]]&gt;0,TEXT(Caja_Arequipa[[#This Row],[fecha]],"mmmm"),0)</f>
        <v>Octubre</v>
      </c>
    </row>
    <row r="939" spans="1:28" ht="24" x14ac:dyDescent="0.3">
      <c r="A939" s="2">
        <f>IF(Caja_Arequipa[[#This Row],[tipo_r]]="R",COUNTIFS($C$1:$C938,"R")+1,A938)</f>
        <v>704</v>
      </c>
      <c r="B939" s="19" t="str">
        <f t="shared" si="188"/>
        <v>C-Tesoreria</v>
      </c>
      <c r="C939" s="3" t="s">
        <v>1352</v>
      </c>
      <c r="D939" s="14">
        <v>45939</v>
      </c>
      <c r="E939" s="5" t="s">
        <v>1338</v>
      </c>
      <c r="F939" s="5" t="s">
        <v>1336</v>
      </c>
      <c r="G939" s="3" t="s">
        <v>5664</v>
      </c>
      <c r="H939" s="6" t="s">
        <v>986</v>
      </c>
      <c r="I939" s="204" t="s">
        <v>75</v>
      </c>
      <c r="J939" s="6">
        <v>1</v>
      </c>
      <c r="K939" s="6">
        <v>704</v>
      </c>
      <c r="L939" s="7" t="s">
        <v>6055</v>
      </c>
      <c r="M939" s="8" t="str">
        <f>IF(Caja_Arequipa[[#This Row],[tipo_r]]="R","001-"&amp;12002+A939,M938)</f>
        <v>001-12706</v>
      </c>
      <c r="N939" s="8" t="str">
        <f t="shared" si="189"/>
        <v>PEN</v>
      </c>
      <c r="O939" s="13">
        <v>3.5</v>
      </c>
      <c r="P939" s="13"/>
      <c r="Q939" s="3">
        <f t="shared" si="190"/>
        <v>0</v>
      </c>
      <c r="R939" s="3">
        <f t="shared" si="191"/>
        <v>0</v>
      </c>
      <c r="S939" s="3">
        <f t="shared" si="179"/>
        <v>544.89999999999861</v>
      </c>
      <c r="T939" s="24"/>
      <c r="U939" s="24" t="s">
        <v>1334</v>
      </c>
      <c r="V939" s="3"/>
      <c r="W939" s="25">
        <f>IFERROR(VLOOKUP(Caja_Arequipa[[#This Row],[destinatario]],CHOOSE({1,2},Clientes_Proveedores[Razon Social],Clientes_Proveedores[Ruc / Dni]),2,0),"")</f>
        <v>10309622885</v>
      </c>
      <c r="X939" s="3"/>
      <c r="Y939" s="3"/>
      <c r="Z939" s="3"/>
      <c r="AA939" s="3"/>
      <c r="AB939" s="3" t="str">
        <f>IF(Caja_Arequipa[[#This Row],[fecha]]&gt;0,TEXT(Caja_Arequipa[[#This Row],[fecha]],"mmmm"),0)</f>
        <v>Octubre</v>
      </c>
    </row>
    <row r="940" spans="1:28" x14ac:dyDescent="0.3">
      <c r="A940" s="2">
        <f>IF(Caja_Arequipa[[#This Row],[tipo_r]]="R",COUNTIFS($C$1:$C939,"R")+1,A939)</f>
        <v>705</v>
      </c>
      <c r="B940" s="19" t="str">
        <f t="shared" ref="B940:B950" si="192">"C-Tesoreria"</f>
        <v>C-Tesoreria</v>
      </c>
      <c r="C940" s="3" t="s">
        <v>1330</v>
      </c>
      <c r="D940" s="14">
        <v>45939</v>
      </c>
      <c r="E940" s="5" t="s">
        <v>1338</v>
      </c>
      <c r="F940" s="5" t="s">
        <v>1336</v>
      </c>
      <c r="G940" s="3" t="s">
        <v>6246</v>
      </c>
      <c r="H940" s="6"/>
      <c r="I940" s="204"/>
      <c r="J940" s="6"/>
      <c r="K940" s="6"/>
      <c r="L940" s="7" t="s">
        <v>6055</v>
      </c>
      <c r="M940" s="8" t="str">
        <f>IF(Caja_Arequipa[[#This Row],[tipo_r]]="R","001-"&amp;12002+A940,M939)</f>
        <v>001-12707</v>
      </c>
      <c r="N940" s="8" t="str">
        <f t="shared" ref="N940:N950" si="193">"PEN"</f>
        <v>PEN</v>
      </c>
      <c r="O940" s="13"/>
      <c r="P940" s="13">
        <v>224</v>
      </c>
      <c r="Q940" s="3">
        <f t="shared" ref="Q940:Q950" si="194">+IF(OR($F940="SALDO",$F940="INGRESO"),$P940,0)</f>
        <v>0</v>
      </c>
      <c r="R940" s="3">
        <f t="shared" ref="R940:R950" si="195">+IF($F940="EGRESO",$P940,0)</f>
        <v>224</v>
      </c>
      <c r="S940" s="3">
        <f t="shared" si="179"/>
        <v>320.89999999999861</v>
      </c>
      <c r="T940" s="24"/>
      <c r="U940" s="24" t="s">
        <v>1334</v>
      </c>
      <c r="V940" s="3"/>
      <c r="W940" s="25" t="str">
        <f>IFERROR(VLOOKUP(Caja_Arequipa[[#This Row],[destinatario]],CHOOSE({1,2},Clientes_Proveedores[Razon Social],Clientes_Proveedores[Ruc / Dni]),2,0),"")</f>
        <v/>
      </c>
      <c r="X940" s="3"/>
      <c r="Y940" s="3"/>
      <c r="Z940" s="3"/>
      <c r="AA940" s="3"/>
      <c r="AB940" s="3" t="str">
        <f>IF(Caja_Arequipa[[#This Row],[fecha]]&gt;0,TEXT(Caja_Arequipa[[#This Row],[fecha]],"mmmm"),0)</f>
        <v>Octubre</v>
      </c>
    </row>
    <row r="941" spans="1:28" ht="24" x14ac:dyDescent="0.3">
      <c r="A941" s="2">
        <f>IF(Caja_Arequipa[[#This Row],[tipo_r]]="R",COUNTIFS($C$1:$C940,"R")+1,A940)</f>
        <v>705</v>
      </c>
      <c r="B941" s="19" t="str">
        <f t="shared" si="192"/>
        <v>C-Tesoreria</v>
      </c>
      <c r="C941" s="3" t="s">
        <v>1352</v>
      </c>
      <c r="D941" s="14">
        <v>45939</v>
      </c>
      <c r="E941" s="5" t="s">
        <v>1338</v>
      </c>
      <c r="F941" s="5" t="s">
        <v>1336</v>
      </c>
      <c r="G941" s="3" t="s">
        <v>6246</v>
      </c>
      <c r="H941" s="6" t="s">
        <v>1093</v>
      </c>
      <c r="I941" s="204" t="s">
        <v>111</v>
      </c>
      <c r="J941" s="6">
        <v>3</v>
      </c>
      <c r="K941" s="6">
        <v>390</v>
      </c>
      <c r="L941" s="7" t="s">
        <v>6055</v>
      </c>
      <c r="M941" s="8" t="str">
        <f>IF(Caja_Arequipa[[#This Row],[tipo_r]]="R","001-"&amp;12002+A941,M940)</f>
        <v>001-12707</v>
      </c>
      <c r="N941" s="8" t="str">
        <f t="shared" si="193"/>
        <v>PEN</v>
      </c>
      <c r="O941" s="13">
        <v>18</v>
      </c>
      <c r="P941" s="13"/>
      <c r="Q941" s="3">
        <f t="shared" si="194"/>
        <v>0</v>
      </c>
      <c r="R941" s="3">
        <f t="shared" si="195"/>
        <v>0</v>
      </c>
      <c r="S941" s="3">
        <f t="shared" si="179"/>
        <v>320.89999999999861</v>
      </c>
      <c r="T941" s="24"/>
      <c r="U941" s="24" t="s">
        <v>1334</v>
      </c>
      <c r="V941" s="3"/>
      <c r="W941" s="25">
        <f>IFERROR(VLOOKUP(Caja_Arequipa[[#This Row],[destinatario]],CHOOSE({1,2},Clientes_Proveedores[Razon Social],Clientes_Proveedores[Ruc / Dni]),2,0),"")</f>
        <v>75846609</v>
      </c>
      <c r="X941" s="3"/>
      <c r="Y941" s="3"/>
      <c r="Z941" s="3"/>
      <c r="AA941" s="3"/>
      <c r="AB941" s="3" t="str">
        <f>IF(Caja_Arequipa[[#This Row],[fecha]]&gt;0,TEXT(Caja_Arequipa[[#This Row],[fecha]],"mmmm"),0)</f>
        <v>Octubre</v>
      </c>
    </row>
    <row r="942" spans="1:28" ht="24" x14ac:dyDescent="0.3">
      <c r="A942" s="2">
        <f>IF(Caja_Arequipa[[#This Row],[tipo_r]]="R",COUNTIFS($C$1:$C941,"R")+1,A941)</f>
        <v>705</v>
      </c>
      <c r="B942" s="19" t="str">
        <f t="shared" si="192"/>
        <v>C-Tesoreria</v>
      </c>
      <c r="C942" s="3" t="s">
        <v>1352</v>
      </c>
      <c r="D942" s="14">
        <v>45939</v>
      </c>
      <c r="E942" s="5" t="s">
        <v>1338</v>
      </c>
      <c r="F942" s="5" t="s">
        <v>1336</v>
      </c>
      <c r="G942" s="3" t="s">
        <v>6246</v>
      </c>
      <c r="H942" s="6" t="s">
        <v>974</v>
      </c>
      <c r="I942" s="204" t="s">
        <v>68</v>
      </c>
      <c r="J942" s="6" t="s">
        <v>6333</v>
      </c>
      <c r="K942" s="6">
        <v>25964</v>
      </c>
      <c r="L942" s="7" t="s">
        <v>6055</v>
      </c>
      <c r="M942" s="8" t="str">
        <f>IF(Caja_Arequipa[[#This Row],[tipo_r]]="R","001-"&amp;12002+A942,M941)</f>
        <v>001-12707</v>
      </c>
      <c r="N942" s="8" t="str">
        <f t="shared" si="193"/>
        <v>PEN</v>
      </c>
      <c r="O942" s="13">
        <v>57</v>
      </c>
      <c r="P942" s="13"/>
      <c r="Q942" s="3">
        <f t="shared" si="194"/>
        <v>0</v>
      </c>
      <c r="R942" s="3">
        <f t="shared" si="195"/>
        <v>0</v>
      </c>
      <c r="S942" s="3">
        <f t="shared" si="179"/>
        <v>320.89999999999861</v>
      </c>
      <c r="T942" s="24"/>
      <c r="U942" s="24" t="s">
        <v>1334</v>
      </c>
      <c r="V942" s="3"/>
      <c r="W942" s="25">
        <f>IFERROR(VLOOKUP(Caja_Arequipa[[#This Row],[destinatario]],CHOOSE({1,2},Clientes_Proveedores[Razon Social],Clientes_Proveedores[Ruc / Dni]),2,0),"")</f>
        <v>20558053691</v>
      </c>
      <c r="X942" s="3"/>
      <c r="Y942" s="3"/>
      <c r="Z942" s="3"/>
      <c r="AA942" s="3"/>
      <c r="AB942" s="3" t="str">
        <f>IF(Caja_Arequipa[[#This Row],[fecha]]&gt;0,TEXT(Caja_Arequipa[[#This Row],[fecha]],"mmmm"),0)</f>
        <v>Octubre</v>
      </c>
    </row>
    <row r="943" spans="1:28" ht="24" x14ac:dyDescent="0.3">
      <c r="A943" s="2">
        <f>IF(Caja_Arequipa[[#This Row],[tipo_r]]="R",COUNTIFS($C$1:$C942,"R")+1,A942)</f>
        <v>705</v>
      </c>
      <c r="B943" s="19" t="str">
        <f t="shared" si="192"/>
        <v>C-Tesoreria</v>
      </c>
      <c r="C943" s="3" t="s">
        <v>1352</v>
      </c>
      <c r="D943" s="14">
        <v>45939</v>
      </c>
      <c r="E943" s="5" t="s">
        <v>1338</v>
      </c>
      <c r="F943" s="5" t="s">
        <v>1336</v>
      </c>
      <c r="G943" s="3" t="s">
        <v>6246</v>
      </c>
      <c r="H943" s="6" t="s">
        <v>1109</v>
      </c>
      <c r="I943" s="204" t="s">
        <v>68</v>
      </c>
      <c r="J943" s="6" t="s">
        <v>1390</v>
      </c>
      <c r="K943" s="6">
        <v>3102</v>
      </c>
      <c r="L943" s="7" t="s">
        <v>6055</v>
      </c>
      <c r="M943" s="8" t="str">
        <f>IF(Caja_Arequipa[[#This Row],[tipo_r]]="R","001-"&amp;12002+A943,M942)</f>
        <v>001-12707</v>
      </c>
      <c r="N943" s="8" t="str">
        <f t="shared" si="193"/>
        <v>PEN</v>
      </c>
      <c r="O943" s="13">
        <v>44</v>
      </c>
      <c r="P943" s="13"/>
      <c r="Q943" s="3">
        <f t="shared" si="194"/>
        <v>0</v>
      </c>
      <c r="R943" s="3">
        <f t="shared" si="195"/>
        <v>0</v>
      </c>
      <c r="S943" s="3">
        <f t="shared" si="179"/>
        <v>320.89999999999861</v>
      </c>
      <c r="T943" s="24"/>
      <c r="U943" s="24" t="s">
        <v>1334</v>
      </c>
      <c r="V943" s="3"/>
      <c r="W943" s="25">
        <f>IFERROR(VLOOKUP(Caja_Arequipa[[#This Row],[destinatario]],CHOOSE({1,2},Clientes_Proveedores[Razon Social],Clientes_Proveedores[Ruc / Dni]),2,0),"")</f>
        <v>20539522320</v>
      </c>
      <c r="X943" s="3"/>
      <c r="Y943" s="3"/>
      <c r="Z943" s="3"/>
      <c r="AA943" s="3"/>
      <c r="AB943" s="3" t="str">
        <f>IF(Caja_Arequipa[[#This Row],[fecha]]&gt;0,TEXT(Caja_Arequipa[[#This Row],[fecha]],"mmmm"),0)</f>
        <v>Octubre</v>
      </c>
    </row>
    <row r="944" spans="1:28" ht="24" x14ac:dyDescent="0.3">
      <c r="A944" s="2">
        <f>IF(Caja_Arequipa[[#This Row],[tipo_r]]="R",COUNTIFS($C$1:$C943,"R")+1,A943)</f>
        <v>705</v>
      </c>
      <c r="B944" s="19" t="str">
        <f t="shared" si="192"/>
        <v>C-Tesoreria</v>
      </c>
      <c r="C944" s="3" t="s">
        <v>1352</v>
      </c>
      <c r="D944" s="14">
        <v>45939</v>
      </c>
      <c r="E944" s="5" t="s">
        <v>1338</v>
      </c>
      <c r="F944" s="5" t="s">
        <v>1336</v>
      </c>
      <c r="G944" s="3" t="s">
        <v>6246</v>
      </c>
      <c r="H944" s="6" t="s">
        <v>1133</v>
      </c>
      <c r="I944" s="204" t="s">
        <v>75</v>
      </c>
      <c r="J944" s="6">
        <v>1</v>
      </c>
      <c r="K944" s="6">
        <v>958</v>
      </c>
      <c r="L944" s="7" t="s">
        <v>6055</v>
      </c>
      <c r="M944" s="8" t="str">
        <f>IF(Caja_Arequipa[[#This Row],[tipo_r]]="R","001-"&amp;12002+A944,M943)</f>
        <v>001-12707</v>
      </c>
      <c r="N944" s="8" t="str">
        <f t="shared" si="193"/>
        <v>PEN</v>
      </c>
      <c r="O944" s="13">
        <v>105</v>
      </c>
      <c r="P944" s="13"/>
      <c r="Q944" s="3">
        <f t="shared" si="194"/>
        <v>0</v>
      </c>
      <c r="R944" s="3">
        <f t="shared" si="195"/>
        <v>0</v>
      </c>
      <c r="S944" s="3">
        <f t="shared" si="179"/>
        <v>320.89999999999861</v>
      </c>
      <c r="T944" s="24"/>
      <c r="U944" s="24" t="s">
        <v>1334</v>
      </c>
      <c r="V944" s="3"/>
      <c r="W944" s="25">
        <f>IFERROR(VLOOKUP(Caja_Arequipa[[#This Row],[destinatario]],CHOOSE({1,2},Clientes_Proveedores[Razon Social],Clientes_Proveedores[Ruc / Dni]),2,0),"")</f>
        <v>10749040918</v>
      </c>
      <c r="X944" s="3"/>
      <c r="Y944" s="3"/>
      <c r="Z944" s="3"/>
      <c r="AA944" s="3"/>
      <c r="AB944" s="3" t="str">
        <f>IF(Caja_Arequipa[[#This Row],[fecha]]&gt;0,TEXT(Caja_Arequipa[[#This Row],[fecha]],"mmmm"),0)</f>
        <v>Octubre</v>
      </c>
    </row>
    <row r="945" spans="1:28" x14ac:dyDescent="0.3">
      <c r="A945" s="2">
        <f>IF(Caja_Arequipa[[#This Row],[tipo_r]]="R",COUNTIFS($C$1:$C944,"R")+1,A944)</f>
        <v>706</v>
      </c>
      <c r="B945" s="19" t="str">
        <f t="shared" si="192"/>
        <v>C-Tesoreria</v>
      </c>
      <c r="C945" s="3" t="s">
        <v>1330</v>
      </c>
      <c r="D945" s="14">
        <v>45940</v>
      </c>
      <c r="E945" s="5" t="s">
        <v>1338</v>
      </c>
      <c r="F945" s="5" t="s">
        <v>1336</v>
      </c>
      <c r="G945" s="3" t="s">
        <v>4788</v>
      </c>
      <c r="H945" s="6"/>
      <c r="I945" s="204"/>
      <c r="J945" s="6"/>
      <c r="K945" s="6"/>
      <c r="L945" s="7" t="s">
        <v>6055</v>
      </c>
      <c r="M945" s="8" t="str">
        <f>IF(Caja_Arequipa[[#This Row],[tipo_r]]="R","001-"&amp;12002+A945,M944)</f>
        <v>001-12708</v>
      </c>
      <c r="N945" s="8" t="str">
        <f t="shared" si="193"/>
        <v>PEN</v>
      </c>
      <c r="O945" s="13"/>
      <c r="P945" s="13">
        <v>630.29999999999995</v>
      </c>
      <c r="Q945" s="3">
        <f t="shared" si="194"/>
        <v>0</v>
      </c>
      <c r="R945" s="3">
        <f t="shared" si="195"/>
        <v>630.29999999999995</v>
      </c>
      <c r="S945" s="3">
        <f t="shared" si="179"/>
        <v>-309.40000000000134</v>
      </c>
      <c r="T945" s="24"/>
      <c r="U945" s="24" t="s">
        <v>1334</v>
      </c>
      <c r="V945" s="3"/>
      <c r="W945" s="25" t="str">
        <f>IFERROR(VLOOKUP(Caja_Arequipa[[#This Row],[destinatario]],CHOOSE({1,2},Clientes_Proveedores[Razon Social],Clientes_Proveedores[Ruc / Dni]),2,0),"")</f>
        <v/>
      </c>
      <c r="X945" s="3"/>
      <c r="Y945" s="3"/>
      <c r="Z945" s="3"/>
      <c r="AA945" s="3"/>
      <c r="AB945" s="3" t="str">
        <f>IF(Caja_Arequipa[[#This Row],[fecha]]&gt;0,TEXT(Caja_Arequipa[[#This Row],[fecha]],"mmmm"),0)</f>
        <v>Octubre</v>
      </c>
    </row>
    <row r="946" spans="1:28" ht="24" x14ac:dyDescent="0.3">
      <c r="A946" s="2">
        <f>IF(Caja_Arequipa[[#This Row],[tipo_r]]="R",COUNTIFS($C$1:$C945,"R")+1,A945)</f>
        <v>706</v>
      </c>
      <c r="B946" s="19" t="str">
        <f t="shared" si="192"/>
        <v>C-Tesoreria</v>
      </c>
      <c r="C946" s="3" t="s">
        <v>1352</v>
      </c>
      <c r="D946" s="14">
        <v>45940</v>
      </c>
      <c r="E946" s="5" t="s">
        <v>1338</v>
      </c>
      <c r="F946" s="5" t="s">
        <v>1336</v>
      </c>
      <c r="G946" s="3"/>
      <c r="H946" s="6" t="s">
        <v>967</v>
      </c>
      <c r="I946" s="204" t="s">
        <v>111</v>
      </c>
      <c r="J946" s="6">
        <v>3</v>
      </c>
      <c r="K946" s="6">
        <v>367</v>
      </c>
      <c r="L946" s="7" t="s">
        <v>6055</v>
      </c>
      <c r="M946" s="8" t="str">
        <f>IF(Caja_Arequipa[[#This Row],[tipo_r]]="R","001-"&amp;12002+A946,M945)</f>
        <v>001-12708</v>
      </c>
      <c r="N946" s="8" t="str">
        <f t="shared" si="193"/>
        <v>PEN</v>
      </c>
      <c r="O946" s="13">
        <v>92.5</v>
      </c>
      <c r="P946" s="13"/>
      <c r="Q946" s="3">
        <f t="shared" si="194"/>
        <v>0</v>
      </c>
      <c r="R946" s="3">
        <f t="shared" si="195"/>
        <v>0</v>
      </c>
      <c r="S946" s="3">
        <f t="shared" si="179"/>
        <v>-309.40000000000134</v>
      </c>
      <c r="T946" s="24"/>
      <c r="U946" s="24" t="s">
        <v>1334</v>
      </c>
      <c r="V946" s="3"/>
      <c r="W946" s="25">
        <f>IFERROR(VLOOKUP(Caja_Arequipa[[#This Row],[destinatario]],CHOOSE({1,2},Clientes_Proveedores[Razon Social],Clientes_Proveedores[Ruc / Dni]),2,0),"")</f>
        <v>70517150</v>
      </c>
      <c r="X946" s="3"/>
      <c r="Y946" s="3"/>
      <c r="Z946" s="3"/>
      <c r="AA946" s="3"/>
      <c r="AB946" s="3" t="str">
        <f>IF(Caja_Arequipa[[#This Row],[fecha]]&gt;0,TEXT(Caja_Arequipa[[#This Row],[fecha]],"mmmm"),0)</f>
        <v>Octubre</v>
      </c>
    </row>
    <row r="947" spans="1:28" ht="24" x14ac:dyDescent="0.3">
      <c r="A947" s="2">
        <f>IF(Caja_Arequipa[[#This Row],[tipo_r]]="R",COUNTIFS($C$1:$C946,"R")+1,A946)</f>
        <v>706</v>
      </c>
      <c r="B947" s="19" t="str">
        <f t="shared" si="192"/>
        <v>C-Tesoreria</v>
      </c>
      <c r="C947" s="3" t="s">
        <v>1352</v>
      </c>
      <c r="D947" s="14">
        <v>45940</v>
      </c>
      <c r="E947" s="5" t="s">
        <v>1338</v>
      </c>
      <c r="F947" s="5" t="s">
        <v>1336</v>
      </c>
      <c r="G947" s="3"/>
      <c r="H947" s="6" t="s">
        <v>1238</v>
      </c>
      <c r="I947" s="204" t="s">
        <v>68</v>
      </c>
      <c r="J947" s="6" t="s">
        <v>1386</v>
      </c>
      <c r="K947" s="6">
        <v>29604</v>
      </c>
      <c r="L947" s="7" t="s">
        <v>6055</v>
      </c>
      <c r="M947" s="8" t="str">
        <f>IF(Caja_Arequipa[[#This Row],[tipo_r]]="R","001-"&amp;12002+A947,M946)</f>
        <v>001-12708</v>
      </c>
      <c r="N947" s="8" t="str">
        <f t="shared" si="193"/>
        <v>PEN</v>
      </c>
      <c r="O947" s="13">
        <v>170.1</v>
      </c>
      <c r="P947" s="13"/>
      <c r="Q947" s="3">
        <f t="shared" si="194"/>
        <v>0</v>
      </c>
      <c r="R947" s="3">
        <f t="shared" si="195"/>
        <v>0</v>
      </c>
      <c r="S947" s="3">
        <f t="shared" si="179"/>
        <v>-309.40000000000134</v>
      </c>
      <c r="T947" s="24"/>
      <c r="U947" s="24" t="s">
        <v>1334</v>
      </c>
      <c r="V947" s="3"/>
      <c r="W947" s="25">
        <f>IFERROR(VLOOKUP(Caja_Arequipa[[#This Row],[destinatario]],CHOOSE({1,2},Clientes_Proveedores[Razon Social],Clientes_Proveedores[Ruc / Dni]),2,0),"")</f>
        <v>20455273791</v>
      </c>
      <c r="X947" s="3"/>
      <c r="Y947" s="3"/>
      <c r="Z947" s="3"/>
      <c r="AA947" s="3"/>
      <c r="AB947" s="3" t="str">
        <f>IF(Caja_Arequipa[[#This Row],[fecha]]&gt;0,TEXT(Caja_Arequipa[[#This Row],[fecha]],"mmmm"),0)</f>
        <v>Octubre</v>
      </c>
    </row>
    <row r="948" spans="1:28" ht="24" x14ac:dyDescent="0.3">
      <c r="A948" s="2">
        <f>IF(Caja_Arequipa[[#This Row],[tipo_r]]="R",COUNTIFS($C$1:$C947,"R")+1,A947)</f>
        <v>706</v>
      </c>
      <c r="B948" s="19" t="str">
        <f t="shared" si="192"/>
        <v>C-Tesoreria</v>
      </c>
      <c r="C948" s="3" t="s">
        <v>1352</v>
      </c>
      <c r="D948" s="14">
        <v>45940</v>
      </c>
      <c r="E948" s="5" t="s">
        <v>1338</v>
      </c>
      <c r="F948" s="5" t="s">
        <v>1336</v>
      </c>
      <c r="G948" s="3"/>
      <c r="H948" s="6" t="s">
        <v>1238</v>
      </c>
      <c r="I948" s="204" t="s">
        <v>68</v>
      </c>
      <c r="J948" s="6" t="s">
        <v>1841</v>
      </c>
      <c r="K948" s="6">
        <v>73346</v>
      </c>
      <c r="L948" s="7" t="s">
        <v>6055</v>
      </c>
      <c r="M948" s="8" t="str">
        <f>IF(Caja_Arequipa[[#This Row],[tipo_r]]="R","001-"&amp;12002+A948,M947)</f>
        <v>001-12708</v>
      </c>
      <c r="N948" s="8" t="str">
        <f t="shared" si="193"/>
        <v>PEN</v>
      </c>
      <c r="O948" s="13">
        <v>79.7</v>
      </c>
      <c r="P948" s="13"/>
      <c r="Q948" s="3">
        <f t="shared" si="194"/>
        <v>0</v>
      </c>
      <c r="R948" s="3">
        <f t="shared" si="195"/>
        <v>0</v>
      </c>
      <c r="S948" s="3">
        <f t="shared" si="179"/>
        <v>-309.40000000000134</v>
      </c>
      <c r="T948" s="24"/>
      <c r="U948" s="24" t="s">
        <v>1334</v>
      </c>
      <c r="V948" s="3"/>
      <c r="W948" s="25">
        <f>IFERROR(VLOOKUP(Caja_Arequipa[[#This Row],[destinatario]],CHOOSE({1,2},Clientes_Proveedores[Razon Social],Clientes_Proveedores[Ruc / Dni]),2,0),"")</f>
        <v>20455273791</v>
      </c>
      <c r="X948" s="3"/>
      <c r="Y948" s="3"/>
      <c r="Z948" s="3"/>
      <c r="AA948" s="3"/>
      <c r="AB948" s="3" t="str">
        <f>IF(Caja_Arequipa[[#This Row],[fecha]]&gt;0,TEXT(Caja_Arequipa[[#This Row],[fecha]],"mmmm"),0)</f>
        <v>Octubre</v>
      </c>
    </row>
    <row r="949" spans="1:28" ht="36" x14ac:dyDescent="0.3">
      <c r="A949" s="2">
        <f>IF(Caja_Arequipa[[#This Row],[tipo_r]]="R",COUNTIFS($C$1:$C948,"R")+1,A948)</f>
        <v>706</v>
      </c>
      <c r="B949" s="19" t="str">
        <f t="shared" si="192"/>
        <v>C-Tesoreria</v>
      </c>
      <c r="C949" s="3" t="s">
        <v>1352</v>
      </c>
      <c r="D949" s="14">
        <v>45940</v>
      </c>
      <c r="E949" s="5" t="s">
        <v>1338</v>
      </c>
      <c r="F949" s="5" t="s">
        <v>1336</v>
      </c>
      <c r="G949" s="3"/>
      <c r="H949" s="6" t="s">
        <v>1224</v>
      </c>
      <c r="I949" s="204" t="s">
        <v>68</v>
      </c>
      <c r="J949" s="6" t="s">
        <v>2331</v>
      </c>
      <c r="K949" s="6">
        <v>44</v>
      </c>
      <c r="L949" s="7" t="s">
        <v>6055</v>
      </c>
      <c r="M949" s="8" t="str">
        <f>IF(Caja_Arequipa[[#This Row],[tipo_r]]="R","001-"&amp;12002+A949,M948)</f>
        <v>001-12708</v>
      </c>
      <c r="N949" s="8" t="str">
        <f t="shared" si="193"/>
        <v>PEN</v>
      </c>
      <c r="O949" s="13">
        <v>100</v>
      </c>
      <c r="P949" s="13"/>
      <c r="Q949" s="3">
        <f t="shared" si="194"/>
        <v>0</v>
      </c>
      <c r="R949" s="3">
        <f t="shared" si="195"/>
        <v>0</v>
      </c>
      <c r="S949" s="3">
        <f t="shared" si="179"/>
        <v>-309.40000000000134</v>
      </c>
      <c r="T949" s="24"/>
      <c r="U949" s="24" t="s">
        <v>1334</v>
      </c>
      <c r="V949" s="3"/>
      <c r="W949" s="25">
        <f>IFERROR(VLOOKUP(Caja_Arequipa[[#This Row],[destinatario]],CHOOSE({1,2},Clientes_Proveedores[Razon Social],Clientes_Proveedores[Ruc / Dni]),2,0),"")</f>
        <v>20612760412</v>
      </c>
      <c r="X949" s="3"/>
      <c r="Y949" s="3"/>
      <c r="Z949" s="3"/>
      <c r="AA949" s="3"/>
      <c r="AB949" s="3" t="str">
        <f>IF(Caja_Arequipa[[#This Row],[fecha]]&gt;0,TEXT(Caja_Arequipa[[#This Row],[fecha]],"mmmm"),0)</f>
        <v>Octubre</v>
      </c>
    </row>
    <row r="950" spans="1:28" ht="24" x14ac:dyDescent="0.3">
      <c r="A950" s="2">
        <f>IF(Caja_Arequipa[[#This Row],[tipo_r]]="R",COUNTIFS($C$1:$C949,"R")+1,A949)</f>
        <v>706</v>
      </c>
      <c r="B950" s="19" t="str">
        <f t="shared" si="192"/>
        <v>C-Tesoreria</v>
      </c>
      <c r="C950" s="3" t="s">
        <v>1352</v>
      </c>
      <c r="D950" s="14">
        <v>45940</v>
      </c>
      <c r="E950" s="5" t="s">
        <v>1338</v>
      </c>
      <c r="F950" s="5" t="s">
        <v>1336</v>
      </c>
      <c r="G950" s="3"/>
      <c r="H950" s="6" t="s">
        <v>686</v>
      </c>
      <c r="I950" s="204" t="s">
        <v>68</v>
      </c>
      <c r="J950" s="6" t="s">
        <v>6334</v>
      </c>
      <c r="K950" s="6">
        <v>2905241</v>
      </c>
      <c r="L950" s="7" t="s">
        <v>6055</v>
      </c>
      <c r="M950" s="8" t="str">
        <f>IF(Caja_Arequipa[[#This Row],[tipo_r]]="R","001-"&amp;12002+A950,M949)</f>
        <v>001-12708</v>
      </c>
      <c r="N950" s="8" t="str">
        <f t="shared" si="193"/>
        <v>PEN</v>
      </c>
      <c r="O950" s="13">
        <v>188</v>
      </c>
      <c r="P950" s="13"/>
      <c r="Q950" s="3">
        <f t="shared" si="194"/>
        <v>0</v>
      </c>
      <c r="R950" s="3">
        <f t="shared" si="195"/>
        <v>0</v>
      </c>
      <c r="S950" s="3">
        <f t="shared" si="179"/>
        <v>-309.40000000000134</v>
      </c>
      <c r="T950" s="24"/>
      <c r="U950" s="24" t="s">
        <v>1334</v>
      </c>
      <c r="V950" s="3"/>
      <c r="W950" s="25">
        <f>IFERROR(VLOOKUP(Caja_Arequipa[[#This Row],[destinatario]],CHOOSE({1,2},Clientes_Proveedores[Razon Social],Clientes_Proveedores[Ruc / Dni]),2,0),"")</f>
        <v>20608300393</v>
      </c>
      <c r="X950" s="3"/>
      <c r="Y950" s="3"/>
      <c r="Z950" s="3"/>
      <c r="AA950" s="3"/>
      <c r="AB950" s="3" t="str">
        <f>IF(Caja_Arequipa[[#This Row],[fecha]]&gt;0,TEXT(Caja_Arequipa[[#This Row],[fecha]],"mmmm"),0)</f>
        <v>Octubre</v>
      </c>
    </row>
    <row r="951" spans="1:28" x14ac:dyDescent="0.3">
      <c r="A951" s="2">
        <f>IF(Caja_Arequipa[[#This Row],[tipo_r]]="R",COUNTIFS($C$1:$C950,"R")+1,A950)</f>
        <v>707</v>
      </c>
      <c r="B951" s="19" t="str">
        <f t="shared" ref="B951:B958" si="196">"C-Tesoreria"</f>
        <v>C-Tesoreria</v>
      </c>
      <c r="C951" s="3" t="s">
        <v>1330</v>
      </c>
      <c r="D951" s="14">
        <v>45940</v>
      </c>
      <c r="E951" s="5" t="s">
        <v>2269</v>
      </c>
      <c r="F951" s="5" t="s">
        <v>1336</v>
      </c>
      <c r="G951" s="3" t="s">
        <v>5248</v>
      </c>
      <c r="H951" s="6"/>
      <c r="I951" s="203"/>
      <c r="J951" s="6"/>
      <c r="K951" s="6"/>
      <c r="L951" s="7" t="s">
        <v>6335</v>
      </c>
      <c r="M951" s="8" t="str">
        <f>IF(Caja_Arequipa[[#This Row],[tipo_r]]="R","001-"&amp;12002+A951,M950)</f>
        <v>001-12709</v>
      </c>
      <c r="N951" s="8" t="str">
        <f t="shared" ref="N951:N958" si="197">"PEN"</f>
        <v>PEN</v>
      </c>
      <c r="O951" s="13"/>
      <c r="P951" s="13">
        <v>52.1</v>
      </c>
      <c r="Q951" s="3">
        <f t="shared" ref="Q951:Q958" si="198">+IF(OR($F951="SALDO",$F951="INGRESO"),$P951,0)</f>
        <v>0</v>
      </c>
      <c r="R951" s="3">
        <f t="shared" ref="R951:R958" si="199">+IF($F951="EGRESO",$P951,0)</f>
        <v>52.1</v>
      </c>
      <c r="S951" s="3">
        <f t="shared" si="179"/>
        <v>-361.50000000000136</v>
      </c>
      <c r="T951" s="24"/>
      <c r="U951" s="24" t="s">
        <v>1334</v>
      </c>
      <c r="V951" s="3"/>
      <c r="W951" s="25" t="str">
        <f>IFERROR(VLOOKUP(Caja_Arequipa[[#This Row],[destinatario]],CHOOSE({1,2},Clientes_Proveedores[Razon Social],Clientes_Proveedores[Ruc / Dni]),2,0),"")</f>
        <v/>
      </c>
      <c r="X951" s="3"/>
      <c r="Y951" s="3"/>
      <c r="Z951" s="3"/>
      <c r="AA951" s="3"/>
      <c r="AB951" s="3" t="str">
        <f>IF(Caja_Arequipa[[#This Row],[fecha]]&gt;0,TEXT(Caja_Arequipa[[#This Row],[fecha]],"mmmm"),0)</f>
        <v>Octubre</v>
      </c>
    </row>
    <row r="952" spans="1:28" ht="24" x14ac:dyDescent="0.3">
      <c r="A952" s="2">
        <f>IF(Caja_Arequipa[[#This Row],[tipo_r]]="R",COUNTIFS($C$1:$C951,"R")+1,A951)</f>
        <v>707</v>
      </c>
      <c r="B952" s="19" t="str">
        <f t="shared" si="196"/>
        <v>C-Tesoreria</v>
      </c>
      <c r="C952" s="3" t="s">
        <v>1352</v>
      </c>
      <c r="D952" s="14">
        <v>45940</v>
      </c>
      <c r="E952" s="5" t="s">
        <v>2269</v>
      </c>
      <c r="F952" s="5" t="s">
        <v>1336</v>
      </c>
      <c r="G952" s="3"/>
      <c r="H952" s="6" t="s">
        <v>836</v>
      </c>
      <c r="I952" s="203" t="s">
        <v>111</v>
      </c>
      <c r="J952" s="6">
        <v>3</v>
      </c>
      <c r="K952" s="6">
        <v>385</v>
      </c>
      <c r="L952" s="7" t="s">
        <v>6336</v>
      </c>
      <c r="M952" s="8" t="str">
        <f>IF(Caja_Arequipa[[#This Row],[tipo_r]]="R","001-"&amp;12002+A952,M951)</f>
        <v>001-12709</v>
      </c>
      <c r="N952" s="8" t="str">
        <f t="shared" si="197"/>
        <v>PEN</v>
      </c>
      <c r="O952" s="13">
        <v>2</v>
      </c>
      <c r="P952" s="13"/>
      <c r="Q952" s="3">
        <f t="shared" si="198"/>
        <v>0</v>
      </c>
      <c r="R952" s="3">
        <f t="shared" si="199"/>
        <v>0</v>
      </c>
      <c r="S952" s="3">
        <f t="shared" si="179"/>
        <v>-361.50000000000136</v>
      </c>
      <c r="T952" s="24"/>
      <c r="U952" s="24" t="s">
        <v>1334</v>
      </c>
      <c r="V952" s="3"/>
      <c r="W952" s="25">
        <f>IFERROR(VLOOKUP(Caja_Arequipa[[#This Row],[destinatario]],CHOOSE({1,2},Clientes_Proveedores[Razon Social],Clientes_Proveedores[Ruc / Dni]),2,0),"")</f>
        <v>44468346</v>
      </c>
      <c r="X952" s="3"/>
      <c r="Y952" s="3"/>
      <c r="Z952" s="3"/>
      <c r="AA952" s="3"/>
      <c r="AB952" s="3" t="str">
        <f>IF(Caja_Arequipa[[#This Row],[fecha]]&gt;0,TEXT(Caja_Arequipa[[#This Row],[fecha]],"mmmm"),0)</f>
        <v>Octubre</v>
      </c>
    </row>
    <row r="953" spans="1:28" ht="24" x14ac:dyDescent="0.3">
      <c r="A953" s="2">
        <f>IF(Caja_Arequipa[[#This Row],[tipo_r]]="R",COUNTIFS($C$1:$C952,"R")+1,A952)</f>
        <v>707</v>
      </c>
      <c r="B953" s="19" t="str">
        <f t="shared" si="196"/>
        <v>C-Tesoreria</v>
      </c>
      <c r="C953" s="3" t="s">
        <v>1352</v>
      </c>
      <c r="D953" s="14">
        <v>45940</v>
      </c>
      <c r="E953" s="5" t="s">
        <v>2269</v>
      </c>
      <c r="F953" s="5" t="s">
        <v>1336</v>
      </c>
      <c r="G953" s="3"/>
      <c r="H953" s="6" t="s">
        <v>836</v>
      </c>
      <c r="I953" s="203" t="s">
        <v>111</v>
      </c>
      <c r="J953" s="6">
        <v>3</v>
      </c>
      <c r="K953" s="6">
        <v>389</v>
      </c>
      <c r="L953" s="7" t="s">
        <v>6337</v>
      </c>
      <c r="M953" s="8" t="str">
        <f>IF(Caja_Arequipa[[#This Row],[tipo_r]]="R","001-"&amp;12002+A953,M952)</f>
        <v>001-12709</v>
      </c>
      <c r="N953" s="8" t="str">
        <f t="shared" si="197"/>
        <v>PEN</v>
      </c>
      <c r="O953" s="13">
        <v>34.1</v>
      </c>
      <c r="P953" s="13"/>
      <c r="Q953" s="3">
        <f t="shared" si="198"/>
        <v>0</v>
      </c>
      <c r="R953" s="3">
        <f t="shared" si="199"/>
        <v>0</v>
      </c>
      <c r="S953" s="3">
        <f t="shared" si="179"/>
        <v>-361.50000000000136</v>
      </c>
      <c r="T953" s="24"/>
      <c r="U953" s="24" t="s">
        <v>1334</v>
      </c>
      <c r="V953" s="3"/>
      <c r="W953" s="25">
        <f>IFERROR(VLOOKUP(Caja_Arequipa[[#This Row],[destinatario]],CHOOSE({1,2},Clientes_Proveedores[Razon Social],Clientes_Proveedores[Ruc / Dni]),2,0),"")</f>
        <v>44468346</v>
      </c>
      <c r="X953" s="3"/>
      <c r="Y953" s="3"/>
      <c r="Z953" s="3"/>
      <c r="AA953" s="3"/>
      <c r="AB953" s="3" t="str">
        <f>IF(Caja_Arequipa[[#This Row],[fecha]]&gt;0,TEXT(Caja_Arequipa[[#This Row],[fecha]],"mmmm"),0)</f>
        <v>Octubre</v>
      </c>
    </row>
    <row r="954" spans="1:28" ht="24" x14ac:dyDescent="0.3">
      <c r="A954" s="2">
        <f>IF(Caja_Arequipa[[#This Row],[tipo_r]]="R",COUNTIFS($C$1:$C953,"R")+1,A953)</f>
        <v>707</v>
      </c>
      <c r="B954" s="19" t="str">
        <f t="shared" si="196"/>
        <v>C-Tesoreria</v>
      </c>
      <c r="C954" s="3" t="s">
        <v>1352</v>
      </c>
      <c r="D954" s="14">
        <v>45940</v>
      </c>
      <c r="E954" s="5" t="s">
        <v>2269</v>
      </c>
      <c r="F954" s="5" t="s">
        <v>1336</v>
      </c>
      <c r="G954" s="3"/>
      <c r="H954" s="6" t="s">
        <v>836</v>
      </c>
      <c r="I954" s="203" t="s">
        <v>111</v>
      </c>
      <c r="J954" s="6">
        <v>3</v>
      </c>
      <c r="K954" s="6">
        <v>393</v>
      </c>
      <c r="L954" s="7" t="s">
        <v>6338</v>
      </c>
      <c r="M954" s="8" t="str">
        <f>IF(Caja_Arequipa[[#This Row],[tipo_r]]="R","001-"&amp;12002+A954,M953)</f>
        <v>001-12709</v>
      </c>
      <c r="N954" s="8" t="str">
        <f t="shared" si="197"/>
        <v>PEN</v>
      </c>
      <c r="O954" s="13">
        <v>16</v>
      </c>
      <c r="P954" s="13"/>
      <c r="Q954" s="3">
        <f t="shared" si="198"/>
        <v>0</v>
      </c>
      <c r="R954" s="3">
        <f t="shared" si="199"/>
        <v>0</v>
      </c>
      <c r="S954" s="3">
        <f t="shared" si="179"/>
        <v>-361.50000000000136</v>
      </c>
      <c r="T954" s="24"/>
      <c r="U954" s="24" t="s">
        <v>1334</v>
      </c>
      <c r="V954" s="3"/>
      <c r="W954" s="25">
        <f>IFERROR(VLOOKUP(Caja_Arequipa[[#This Row],[destinatario]],CHOOSE({1,2},Clientes_Proveedores[Razon Social],Clientes_Proveedores[Ruc / Dni]),2,0),"")</f>
        <v>44468346</v>
      </c>
      <c r="X954" s="3"/>
      <c r="Y954" s="3"/>
      <c r="Z954" s="3"/>
      <c r="AA954" s="3"/>
      <c r="AB954" s="3" t="str">
        <f>IF(Caja_Arequipa[[#This Row],[fecha]]&gt;0,TEXT(Caja_Arequipa[[#This Row],[fecha]],"mmmm"),0)</f>
        <v>Octubre</v>
      </c>
    </row>
    <row r="955" spans="1:28" x14ac:dyDescent="0.3">
      <c r="A955" s="2">
        <f>IF(Caja_Arequipa[[#This Row],[tipo_r]]="R",COUNTIFS($C$1:$C954,"R")+1,A954)</f>
        <v>708</v>
      </c>
      <c r="B955" s="19" t="str">
        <f t="shared" si="196"/>
        <v>C-Tesoreria</v>
      </c>
      <c r="C955" s="3" t="s">
        <v>1330</v>
      </c>
      <c r="D955" s="14">
        <v>45940</v>
      </c>
      <c r="E955" s="5" t="s">
        <v>1338</v>
      </c>
      <c r="F955" s="5" t="s">
        <v>1336</v>
      </c>
      <c r="G955" s="3" t="s">
        <v>5380</v>
      </c>
      <c r="H955" s="6"/>
      <c r="I955" s="204"/>
      <c r="J955" s="6"/>
      <c r="K955" s="6"/>
      <c r="L955" s="7" t="s">
        <v>6055</v>
      </c>
      <c r="M955" s="8" t="str">
        <f>IF(Caja_Arequipa[[#This Row],[tipo_r]]="R","001-"&amp;12002+A955,M954)</f>
        <v>001-12710</v>
      </c>
      <c r="N955" s="8" t="str">
        <f t="shared" si="197"/>
        <v>PEN</v>
      </c>
      <c r="O955" s="13"/>
      <c r="P955" s="13">
        <v>46</v>
      </c>
      <c r="Q955" s="3">
        <f t="shared" si="198"/>
        <v>0</v>
      </c>
      <c r="R955" s="3">
        <f t="shared" si="199"/>
        <v>46</v>
      </c>
      <c r="S955" s="3">
        <f t="shared" si="179"/>
        <v>-407.50000000000136</v>
      </c>
      <c r="T955" s="24"/>
      <c r="U955" s="24" t="s">
        <v>1334</v>
      </c>
      <c r="V955" s="3"/>
      <c r="W955" s="25" t="str">
        <f>IFERROR(VLOOKUP(Caja_Arequipa[[#This Row],[destinatario]],CHOOSE({1,2},Clientes_Proveedores[Razon Social],Clientes_Proveedores[Ruc / Dni]),2,0),"")</f>
        <v/>
      </c>
      <c r="X955" s="3"/>
      <c r="Y955" s="3"/>
      <c r="Z955" s="3"/>
      <c r="AA955" s="3"/>
      <c r="AB955" s="3" t="str">
        <f>IF(Caja_Arequipa[[#This Row],[fecha]]&gt;0,TEXT(Caja_Arequipa[[#This Row],[fecha]],"mmmm"),0)</f>
        <v>Octubre</v>
      </c>
    </row>
    <row r="956" spans="1:28" ht="24" x14ac:dyDescent="0.3">
      <c r="A956" s="2">
        <f>IF(Caja_Arequipa[[#This Row],[tipo_r]]="R",COUNTIFS($C$1:$C955,"R")+1,A955)</f>
        <v>708</v>
      </c>
      <c r="B956" s="19" t="str">
        <f t="shared" si="196"/>
        <v>C-Tesoreria</v>
      </c>
      <c r="C956" s="3" t="s">
        <v>1352</v>
      </c>
      <c r="D956" s="14">
        <v>45940</v>
      </c>
      <c r="E956" s="5" t="s">
        <v>1338</v>
      </c>
      <c r="F956" s="5" t="s">
        <v>1336</v>
      </c>
      <c r="G956" s="3"/>
      <c r="H956" s="6" t="s">
        <v>922</v>
      </c>
      <c r="I956" s="204" t="s">
        <v>111</v>
      </c>
      <c r="J956" s="6">
        <v>3</v>
      </c>
      <c r="K956" s="6">
        <v>380</v>
      </c>
      <c r="L956" s="7" t="s">
        <v>6055</v>
      </c>
      <c r="M956" s="8" t="str">
        <f>IF(Caja_Arequipa[[#This Row],[tipo_r]]="R","001-"&amp;12002+A956,M955)</f>
        <v>001-12710</v>
      </c>
      <c r="N956" s="8" t="str">
        <f t="shared" si="197"/>
        <v>PEN</v>
      </c>
      <c r="O956" s="13">
        <v>30</v>
      </c>
      <c r="P956" s="13"/>
      <c r="Q956" s="3">
        <f t="shared" si="198"/>
        <v>0</v>
      </c>
      <c r="R956" s="3">
        <f t="shared" si="199"/>
        <v>0</v>
      </c>
      <c r="S956" s="3">
        <f t="shared" si="179"/>
        <v>-407.50000000000136</v>
      </c>
      <c r="T956" s="24"/>
      <c r="U956" s="24" t="s">
        <v>1334</v>
      </c>
      <c r="V956" s="3"/>
      <c r="W956" s="25">
        <f>IFERROR(VLOOKUP(Caja_Arequipa[[#This Row],[destinatario]],CHOOSE({1,2},Clientes_Proveedores[Razon Social],Clientes_Proveedores[Ruc / Dni]),2,0),"")</f>
        <v>72537561</v>
      </c>
      <c r="X956" s="3"/>
      <c r="Y956" s="3"/>
      <c r="Z956" s="3"/>
      <c r="AA956" s="3"/>
      <c r="AB956" s="3" t="str">
        <f>IF(Caja_Arequipa[[#This Row],[fecha]]&gt;0,TEXT(Caja_Arequipa[[#This Row],[fecha]],"mmmm"),0)</f>
        <v>Octubre</v>
      </c>
    </row>
    <row r="957" spans="1:28" x14ac:dyDescent="0.3">
      <c r="A957" s="2">
        <f>IF(Caja_Arequipa[[#This Row],[tipo_r]]="R",COUNTIFS($C$1:$C956,"R")+1,A956)</f>
        <v>708</v>
      </c>
      <c r="B957" s="19" t="str">
        <f t="shared" si="196"/>
        <v>C-Tesoreria</v>
      </c>
      <c r="C957" s="3" t="s">
        <v>1352</v>
      </c>
      <c r="D957" s="14">
        <v>45940</v>
      </c>
      <c r="E957" s="5" t="s">
        <v>1338</v>
      </c>
      <c r="F957" s="5" t="s">
        <v>1336</v>
      </c>
      <c r="G957" s="3"/>
      <c r="H957" s="6" t="s">
        <v>978</v>
      </c>
      <c r="I957" s="204" t="s">
        <v>68</v>
      </c>
      <c r="J957" s="6" t="s">
        <v>6203</v>
      </c>
      <c r="K957" s="6">
        <v>2200441</v>
      </c>
      <c r="L957" s="7" t="s">
        <v>6055</v>
      </c>
      <c r="M957" s="8" t="str">
        <f>IF(Caja_Arequipa[[#This Row],[tipo_r]]="R","001-"&amp;12002+A957,M956)</f>
        <v>001-12710</v>
      </c>
      <c r="N957" s="8" t="str">
        <f t="shared" si="197"/>
        <v>PEN</v>
      </c>
      <c r="O957" s="13">
        <v>8</v>
      </c>
      <c r="P957" s="13"/>
      <c r="Q957" s="3">
        <f t="shared" si="198"/>
        <v>0</v>
      </c>
      <c r="R957" s="3">
        <f t="shared" si="199"/>
        <v>0</v>
      </c>
      <c r="S957" s="3">
        <f t="shared" si="179"/>
        <v>-407.50000000000136</v>
      </c>
      <c r="T957" s="24"/>
      <c r="U957" s="24" t="s">
        <v>1334</v>
      </c>
      <c r="V957" s="3"/>
      <c r="W957" s="25">
        <f>IFERROR(VLOOKUP(Caja_Arequipa[[#This Row],[destinatario]],CHOOSE({1,2},Clientes_Proveedores[Razon Social],Clientes_Proveedores[Ruc / Dni]),2,0),"")</f>
        <v>20517252558</v>
      </c>
      <c r="X957" s="3"/>
      <c r="Y957" s="3"/>
      <c r="Z957" s="3"/>
      <c r="AA957" s="3"/>
      <c r="AB957" s="3" t="str">
        <f>IF(Caja_Arequipa[[#This Row],[fecha]]&gt;0,TEXT(Caja_Arequipa[[#This Row],[fecha]],"mmmm"),0)</f>
        <v>Octubre</v>
      </c>
    </row>
    <row r="958" spans="1:28" x14ac:dyDescent="0.3">
      <c r="A958" s="2">
        <f>IF(Caja_Arequipa[[#This Row],[tipo_r]]="R",COUNTIFS($C$1:$C957,"R")+1,A957)</f>
        <v>708</v>
      </c>
      <c r="B958" s="19" t="str">
        <f t="shared" si="196"/>
        <v>C-Tesoreria</v>
      </c>
      <c r="C958" s="3" t="s">
        <v>1352</v>
      </c>
      <c r="D958" s="14">
        <v>45940</v>
      </c>
      <c r="E958" s="5" t="s">
        <v>1338</v>
      </c>
      <c r="F958" s="5" t="s">
        <v>1336</v>
      </c>
      <c r="G958" s="3"/>
      <c r="H958" s="6" t="s">
        <v>978</v>
      </c>
      <c r="I958" s="204" t="s">
        <v>68</v>
      </c>
      <c r="J958" s="6" t="s">
        <v>6204</v>
      </c>
      <c r="K958" s="6">
        <v>1859727</v>
      </c>
      <c r="L958" s="7" t="s">
        <v>6055</v>
      </c>
      <c r="M958" s="8" t="str">
        <f>IF(Caja_Arequipa[[#This Row],[tipo_r]]="R","001-"&amp;12002+A958,M957)</f>
        <v>001-12710</v>
      </c>
      <c r="N958" s="8" t="str">
        <f t="shared" si="197"/>
        <v>PEN</v>
      </c>
      <c r="O958" s="13">
        <v>8</v>
      </c>
      <c r="P958" s="13"/>
      <c r="Q958" s="3">
        <f t="shared" si="198"/>
        <v>0</v>
      </c>
      <c r="R958" s="3">
        <f t="shared" si="199"/>
        <v>0</v>
      </c>
      <c r="S958" s="3">
        <f t="shared" si="179"/>
        <v>-407.50000000000136</v>
      </c>
      <c r="T958" s="24"/>
      <c r="U958" s="24" t="s">
        <v>1334</v>
      </c>
      <c r="V958" s="3"/>
      <c r="W958" s="25">
        <f>IFERROR(VLOOKUP(Caja_Arequipa[[#This Row],[destinatario]],CHOOSE({1,2},Clientes_Proveedores[Razon Social],Clientes_Proveedores[Ruc / Dni]),2,0),"")</f>
        <v>20517252558</v>
      </c>
      <c r="X958" s="3"/>
      <c r="Y958" s="3"/>
      <c r="Z958" s="3"/>
      <c r="AA958" s="3"/>
      <c r="AB958" s="3" t="str">
        <f>IF(Caja_Arequipa[[#This Row],[fecha]]&gt;0,TEXT(Caja_Arequipa[[#This Row],[fecha]],"mmmm"),0)</f>
        <v>Octubre</v>
      </c>
    </row>
    <row r="959" spans="1:28" x14ac:dyDescent="0.3">
      <c r="A959" s="2">
        <f>IF(Caja_Arequipa[[#This Row],[tipo_r]]="R",COUNTIFS($C$1:$C958,"R")+1,A958)</f>
        <v>709</v>
      </c>
      <c r="B959" s="19" t="str">
        <f t="shared" ref="B959:B966" si="200">"C-Tesoreria"</f>
        <v>C-Tesoreria</v>
      </c>
      <c r="C959" s="3" t="s">
        <v>1330</v>
      </c>
      <c r="D959" s="14">
        <v>45943</v>
      </c>
      <c r="E959" s="5" t="s">
        <v>2269</v>
      </c>
      <c r="F959" s="5" t="s">
        <v>1336</v>
      </c>
      <c r="G959" s="3" t="s">
        <v>5250</v>
      </c>
      <c r="H959" s="6"/>
      <c r="I959" s="204"/>
      <c r="J959" s="6"/>
      <c r="K959" s="6"/>
      <c r="L959" s="7" t="s">
        <v>6339</v>
      </c>
      <c r="M959" s="8" t="str">
        <f>IF(Caja_Arequipa[[#This Row],[tipo_r]]="R","001-"&amp;12002+A959,M958)</f>
        <v>001-12711</v>
      </c>
      <c r="N959" s="8" t="str">
        <f t="shared" ref="N959:N966" si="201">"PEN"</f>
        <v>PEN</v>
      </c>
      <c r="O959" s="13"/>
      <c r="P959" s="13">
        <v>40</v>
      </c>
      <c r="Q959" s="3">
        <f t="shared" ref="Q959:Q966" si="202">+IF(OR($F959="SALDO",$F959="INGRESO"),$P959,0)</f>
        <v>0</v>
      </c>
      <c r="R959" s="3">
        <f t="shared" ref="R959:R966" si="203">+IF($F959="EGRESO",$P959,0)</f>
        <v>40</v>
      </c>
      <c r="S959" s="3">
        <f t="shared" si="179"/>
        <v>-447.50000000000136</v>
      </c>
      <c r="T959" s="24"/>
      <c r="U959" s="24" t="s">
        <v>1334</v>
      </c>
      <c r="V959" s="3"/>
      <c r="W959" s="25" t="str">
        <f>IFERROR(VLOOKUP(Caja_Arequipa[[#This Row],[destinatario]],CHOOSE({1,2},Clientes_Proveedores[Razon Social],Clientes_Proveedores[Ruc / Dni]),2,0),"")</f>
        <v/>
      </c>
      <c r="X959" s="3"/>
      <c r="Y959" s="3"/>
      <c r="Z959" s="3"/>
      <c r="AA959" s="3"/>
      <c r="AB959" s="3" t="str">
        <f>IF(Caja_Arequipa[[#This Row],[fecha]]&gt;0,TEXT(Caja_Arequipa[[#This Row],[fecha]],"mmmm"),0)</f>
        <v>Octubre</v>
      </c>
    </row>
    <row r="960" spans="1:28" ht="24" x14ac:dyDescent="0.3">
      <c r="A960" s="2">
        <f>IF(Caja_Arequipa[[#This Row],[tipo_r]]="R",COUNTIFS($C$1:$C959,"R")+1,A959)</f>
        <v>709</v>
      </c>
      <c r="B960" s="19" t="str">
        <f>"C-Tesoreria"</f>
        <v>C-Tesoreria</v>
      </c>
      <c r="C960" s="3" t="s">
        <v>1352</v>
      </c>
      <c r="D960" s="14">
        <v>45943</v>
      </c>
      <c r="E960" s="5" t="s">
        <v>2269</v>
      </c>
      <c r="F960" s="5" t="s">
        <v>1336</v>
      </c>
      <c r="G960" s="3"/>
      <c r="H960" s="6" t="s">
        <v>953</v>
      </c>
      <c r="I960" s="204" t="s">
        <v>111</v>
      </c>
      <c r="J960" s="6">
        <v>3</v>
      </c>
      <c r="K960" s="6">
        <v>396</v>
      </c>
      <c r="L960" s="7" t="s">
        <v>6339</v>
      </c>
      <c r="M960" s="8" t="str">
        <f>IF(Caja_Arequipa[[#This Row],[tipo_r]]="R","001-"&amp;12002+A960,M959)</f>
        <v>001-12711</v>
      </c>
      <c r="N960" s="8" t="str">
        <f>"PEN"</f>
        <v>PEN</v>
      </c>
      <c r="O960" s="13">
        <v>20</v>
      </c>
      <c r="P960" s="13"/>
      <c r="Q960" s="3">
        <f>+IF(OR($F960="SALDO",$F960="INGRESO"),$P960,0)</f>
        <v>0</v>
      </c>
      <c r="R960" s="3">
        <f>+IF($F960="EGRESO",$P960,0)</f>
        <v>0</v>
      </c>
      <c r="S960" s="3">
        <f t="shared" si="179"/>
        <v>-447.50000000000136</v>
      </c>
      <c r="T960" s="24"/>
      <c r="U960" s="24" t="s">
        <v>1334</v>
      </c>
      <c r="V960" s="3"/>
      <c r="W960" s="25">
        <f>IFERROR(VLOOKUP(Caja_Arequipa[[#This Row],[destinatario]],CHOOSE({1,2},Clientes_Proveedores[Razon Social],Clientes_Proveedores[Ruc / Dni]),2,0),"")</f>
        <v>72682665</v>
      </c>
      <c r="X960" s="3"/>
      <c r="Y960" s="3"/>
      <c r="Z960" s="3"/>
      <c r="AA960" s="3"/>
      <c r="AB960" s="3" t="str">
        <f>IF(Caja_Arequipa[[#This Row],[fecha]]&gt;0,TEXT(Caja_Arequipa[[#This Row],[fecha]],"mmmm"),0)</f>
        <v>Octubre</v>
      </c>
    </row>
    <row r="961" spans="1:28" ht="24" x14ac:dyDescent="0.3">
      <c r="A961" s="2">
        <f>IF(Caja_Arequipa[[#This Row],[tipo_r]]="R",COUNTIFS($C$1:$C960,"R")+1,A960)</f>
        <v>709</v>
      </c>
      <c r="B961" s="19" t="str">
        <f>"C-Tesoreria"</f>
        <v>C-Tesoreria</v>
      </c>
      <c r="C961" s="3" t="s">
        <v>1352</v>
      </c>
      <c r="D961" s="14">
        <v>45943</v>
      </c>
      <c r="E961" s="5" t="s">
        <v>2269</v>
      </c>
      <c r="F961" s="5" t="s">
        <v>1336</v>
      </c>
      <c r="G961" s="3"/>
      <c r="H961" s="6" t="s">
        <v>974</v>
      </c>
      <c r="I961" s="204" t="s">
        <v>68</v>
      </c>
      <c r="J961" s="6" t="s">
        <v>6104</v>
      </c>
      <c r="K961" s="6">
        <v>14583</v>
      </c>
      <c r="L961" s="7" t="s">
        <v>6339</v>
      </c>
      <c r="M961" s="8" t="str">
        <f>IF(Caja_Arequipa[[#This Row],[tipo_r]]="R","001-"&amp;12002+A961,M960)</f>
        <v>001-12711</v>
      </c>
      <c r="N961" s="8" t="str">
        <f>"PEN"</f>
        <v>PEN</v>
      </c>
      <c r="O961" s="13">
        <v>20</v>
      </c>
      <c r="P961" s="13"/>
      <c r="Q961" s="3">
        <f>+IF(OR($F961="SALDO",$F961="INGRESO"),$P961,0)</f>
        <v>0</v>
      </c>
      <c r="R961" s="3">
        <f>+IF($F961="EGRESO",$P961,0)</f>
        <v>0</v>
      </c>
      <c r="S961" s="3">
        <f t="shared" si="179"/>
        <v>-447.50000000000136</v>
      </c>
      <c r="T961" s="24"/>
      <c r="U961" s="24" t="s">
        <v>1334</v>
      </c>
      <c r="V961" s="3"/>
      <c r="W961" s="25">
        <f>IFERROR(VLOOKUP(Caja_Arequipa[[#This Row],[destinatario]],CHOOSE({1,2},Clientes_Proveedores[Razon Social],Clientes_Proveedores[Ruc / Dni]),2,0),"")</f>
        <v>20558053691</v>
      </c>
      <c r="X961" s="3"/>
      <c r="Y961" s="3"/>
      <c r="Z961" s="3"/>
      <c r="AA961" s="3"/>
      <c r="AB961" s="3" t="str">
        <f>IF(Caja_Arequipa[[#This Row],[fecha]]&gt;0,TEXT(Caja_Arequipa[[#This Row],[fecha]],"mmmm"),0)</f>
        <v>Octubre</v>
      </c>
    </row>
    <row r="962" spans="1:28" ht="24" x14ac:dyDescent="0.3">
      <c r="A962" s="2">
        <f>IF(Caja_Arequipa[[#This Row],[tipo_r]]="R",COUNTIFS($C$1:$C961,"R")+1,A961)</f>
        <v>710</v>
      </c>
      <c r="B962" s="19" t="str">
        <f t="shared" si="200"/>
        <v>C-Tesoreria</v>
      </c>
      <c r="C962" s="3" t="s">
        <v>1330</v>
      </c>
      <c r="D962" s="14">
        <v>45944</v>
      </c>
      <c r="E962" s="5" t="s">
        <v>2269</v>
      </c>
      <c r="F962" s="5" t="s">
        <v>1336</v>
      </c>
      <c r="G962" s="3" t="s">
        <v>5280</v>
      </c>
      <c r="H962" s="6" t="s">
        <v>933</v>
      </c>
      <c r="I962" s="203" t="s">
        <v>111</v>
      </c>
      <c r="J962" s="6">
        <v>3</v>
      </c>
      <c r="K962" s="6">
        <v>394</v>
      </c>
      <c r="L962" s="7" t="s">
        <v>6340</v>
      </c>
      <c r="M962" s="8" t="str">
        <f>IF(Caja_Arequipa[[#This Row],[tipo_r]]="R","001-"&amp;12002+A962,M961)</f>
        <v>001-12712</v>
      </c>
      <c r="N962" s="8" t="str">
        <f t="shared" si="201"/>
        <v>PEN</v>
      </c>
      <c r="O962" s="13"/>
      <c r="P962" s="13">
        <v>119</v>
      </c>
      <c r="Q962" s="3">
        <f t="shared" si="202"/>
        <v>0</v>
      </c>
      <c r="R962" s="3">
        <f t="shared" si="203"/>
        <v>119</v>
      </c>
      <c r="S962" s="3">
        <f t="shared" ref="S962:S969" si="204">IFERROR(IF(F962="SALDO",Q962,S961+Q962-R962),0)</f>
        <v>-566.50000000000136</v>
      </c>
      <c r="T962" s="24"/>
      <c r="U962" s="24" t="s">
        <v>1334</v>
      </c>
      <c r="V962" s="3"/>
      <c r="W962" s="25">
        <f>IFERROR(VLOOKUP(Caja_Arequipa[[#This Row],[destinatario]],CHOOSE({1,2},Clientes_Proveedores[Razon Social],Clientes_Proveedores[Ruc / Dni]),2,0),"")</f>
        <v>73195103</v>
      </c>
      <c r="X962" s="3"/>
      <c r="Y962" s="3"/>
      <c r="Z962" s="3"/>
      <c r="AA962" s="3"/>
      <c r="AB962" s="3" t="str">
        <f>IF(Caja_Arequipa[[#This Row],[fecha]]&gt;0,TEXT(Caja_Arequipa[[#This Row],[fecha]],"mmmm"),0)</f>
        <v>Octubre</v>
      </c>
    </row>
    <row r="963" spans="1:28" ht="24" x14ac:dyDescent="0.3">
      <c r="A963" s="2">
        <f>IF(Caja_Arequipa[[#This Row],[tipo_r]]="R",COUNTIFS($C$1:$C962,"R")+1,A962)</f>
        <v>711</v>
      </c>
      <c r="B963" s="19" t="str">
        <f t="shared" si="200"/>
        <v>C-Tesoreria</v>
      </c>
      <c r="C963" s="3" t="s">
        <v>1330</v>
      </c>
      <c r="D963" s="14">
        <v>45944</v>
      </c>
      <c r="E963" s="5" t="s">
        <v>2269</v>
      </c>
      <c r="F963" s="5" t="s">
        <v>1336</v>
      </c>
      <c r="G963" s="3" t="s">
        <v>5248</v>
      </c>
      <c r="H963" s="6"/>
      <c r="I963" s="206" t="s">
        <v>130</v>
      </c>
      <c r="J963" s="6">
        <v>1</v>
      </c>
      <c r="K963" s="6">
        <v>221</v>
      </c>
      <c r="L963" s="7" t="s">
        <v>6341</v>
      </c>
      <c r="M963" s="8" t="str">
        <f>IF(Caja_Arequipa[[#This Row],[tipo_r]]="R","001-"&amp;12002+A963,M962)</f>
        <v>001-12713</v>
      </c>
      <c r="N963" s="8" t="str">
        <f t="shared" si="201"/>
        <v>PEN</v>
      </c>
      <c r="O963" s="13"/>
      <c r="P963" s="13">
        <v>200</v>
      </c>
      <c r="Q963" s="3">
        <f t="shared" si="202"/>
        <v>0</v>
      </c>
      <c r="R963" s="3">
        <f t="shared" si="203"/>
        <v>200</v>
      </c>
      <c r="S963" s="3">
        <f t="shared" si="204"/>
        <v>-766.50000000000136</v>
      </c>
      <c r="T963" s="24"/>
      <c r="U963" s="24"/>
      <c r="V963" s="3"/>
      <c r="W963" s="25" t="str">
        <f>IFERROR(VLOOKUP(Caja_Arequipa[[#This Row],[destinatario]],CHOOSE({1,2},Clientes_Proveedores[Razon Social],Clientes_Proveedores[Ruc / Dni]),2,0),"")</f>
        <v/>
      </c>
      <c r="X963" s="3"/>
      <c r="Y963" s="3"/>
      <c r="Z963" s="3"/>
      <c r="AA963" s="3"/>
      <c r="AB963" s="3" t="str">
        <f>IF(Caja_Arequipa[[#This Row],[fecha]]&gt;0,TEXT(Caja_Arequipa[[#This Row],[fecha]],"mmmm"),0)</f>
        <v>Octubre</v>
      </c>
    </row>
    <row r="964" spans="1:28" ht="24" x14ac:dyDescent="0.3">
      <c r="A964" s="2">
        <f>IF(Caja_Arequipa[[#This Row],[tipo_r]]="R",COUNTIFS($C$1:$C963,"R")+1,A963)</f>
        <v>712</v>
      </c>
      <c r="B964" s="19" t="str">
        <f t="shared" si="200"/>
        <v>C-Tesoreria</v>
      </c>
      <c r="C964" s="3" t="s">
        <v>1330</v>
      </c>
      <c r="D964" s="14">
        <v>45945</v>
      </c>
      <c r="E964" s="5" t="s">
        <v>2269</v>
      </c>
      <c r="F964" s="5" t="s">
        <v>1336</v>
      </c>
      <c r="G964" s="3" t="s">
        <v>5303</v>
      </c>
      <c r="H964" s="6" t="s">
        <v>684</v>
      </c>
      <c r="I964" s="204" t="s">
        <v>68</v>
      </c>
      <c r="J964" s="6" t="s">
        <v>1374</v>
      </c>
      <c r="K964" s="6">
        <v>7669</v>
      </c>
      <c r="L964" s="7" t="s">
        <v>6342</v>
      </c>
      <c r="M964" s="8" t="str">
        <f>IF(Caja_Arequipa[[#This Row],[tipo_r]]="R","001-"&amp;12002+A964,M963)</f>
        <v>001-12714</v>
      </c>
      <c r="N964" s="8" t="str">
        <f t="shared" si="201"/>
        <v>PEN</v>
      </c>
      <c r="O964" s="13"/>
      <c r="P964" s="13">
        <v>25</v>
      </c>
      <c r="Q964" s="3">
        <f t="shared" si="202"/>
        <v>0</v>
      </c>
      <c r="R964" s="3">
        <f t="shared" si="203"/>
        <v>25</v>
      </c>
      <c r="S964" s="3">
        <f t="shared" si="204"/>
        <v>-791.50000000000136</v>
      </c>
      <c r="T964" s="24"/>
      <c r="U964" s="24" t="s">
        <v>1334</v>
      </c>
      <c r="V964" s="3"/>
      <c r="W964" s="25">
        <f>IFERROR(VLOOKUP(Caja_Arequipa[[#This Row],[destinatario]],CHOOSE({1,2},Clientes_Proveedores[Razon Social],Clientes_Proveedores[Ruc / Dni]),2,0),"")</f>
        <v>20604947520</v>
      </c>
      <c r="X964" s="3"/>
      <c r="Y964" s="3"/>
      <c r="Z964" s="3"/>
      <c r="AA964" s="3"/>
      <c r="AB964" s="3" t="str">
        <f>IF(Caja_Arequipa[[#This Row],[fecha]]&gt;0,TEXT(Caja_Arequipa[[#This Row],[fecha]],"mmmm"),0)</f>
        <v>Octubre</v>
      </c>
    </row>
    <row r="965" spans="1:28" ht="24" x14ac:dyDescent="0.3">
      <c r="A965" s="2">
        <f>IF(Caja_Arequipa[[#This Row],[tipo_r]]="R",COUNTIFS($C$1:$C964,"R")+1,A964)</f>
        <v>713</v>
      </c>
      <c r="B965" s="19" t="str">
        <f t="shared" si="200"/>
        <v>C-Tesoreria</v>
      </c>
      <c r="C965" s="3" t="s">
        <v>1330</v>
      </c>
      <c r="D965" s="14">
        <v>45945</v>
      </c>
      <c r="E965" s="5" t="s">
        <v>2269</v>
      </c>
      <c r="F965" s="5" t="s">
        <v>1336</v>
      </c>
      <c r="G965" s="3" t="s">
        <v>5828</v>
      </c>
      <c r="H965" s="6" t="s">
        <v>993</v>
      </c>
      <c r="I965" s="203" t="s">
        <v>111</v>
      </c>
      <c r="J965" s="6">
        <v>3</v>
      </c>
      <c r="K965" s="6">
        <v>395</v>
      </c>
      <c r="L965" s="7" t="s">
        <v>6343</v>
      </c>
      <c r="M965" s="8" t="str">
        <f>IF(Caja_Arequipa[[#This Row],[tipo_r]]="R","001-"&amp;12002+A965,M964)</f>
        <v>001-12715</v>
      </c>
      <c r="N965" s="8" t="str">
        <f t="shared" si="201"/>
        <v>PEN</v>
      </c>
      <c r="O965" s="13"/>
      <c r="P965" s="13">
        <v>15</v>
      </c>
      <c r="Q965" s="3">
        <f t="shared" si="202"/>
        <v>0</v>
      </c>
      <c r="R965" s="3">
        <f t="shared" si="203"/>
        <v>15</v>
      </c>
      <c r="S965" s="3">
        <f t="shared" si="204"/>
        <v>-806.50000000000136</v>
      </c>
      <c r="T965" s="24"/>
      <c r="U965" s="24" t="s">
        <v>1334</v>
      </c>
      <c r="V965" s="3"/>
      <c r="W965" s="25">
        <f>IFERROR(VLOOKUP(Caja_Arequipa[[#This Row],[destinatario]],CHOOSE({1,2},Clientes_Proveedores[Razon Social],Clientes_Proveedores[Ruc / Dni]),2,0),"")</f>
        <v>76390500</v>
      </c>
      <c r="X965" s="3"/>
      <c r="Y965" s="3"/>
      <c r="Z965" s="3"/>
      <c r="AA965" s="3"/>
      <c r="AB965" s="3" t="str">
        <f>IF(Caja_Arequipa[[#This Row],[fecha]]&gt;0,TEXT(Caja_Arequipa[[#This Row],[fecha]],"mmmm"),0)</f>
        <v>Octubre</v>
      </c>
    </row>
    <row r="966" spans="1:28" ht="24" x14ac:dyDescent="0.3">
      <c r="A966" s="2">
        <f>IF(Caja_Arequipa[[#This Row],[tipo_r]]="R",COUNTIFS($C$1:$C965,"R")+1,A965)</f>
        <v>714</v>
      </c>
      <c r="B966" s="19" t="str">
        <f t="shared" si="200"/>
        <v>C-Tesoreria</v>
      </c>
      <c r="C966" s="3" t="s">
        <v>1330</v>
      </c>
      <c r="D966" s="14">
        <v>45945</v>
      </c>
      <c r="E966" s="5" t="s">
        <v>6344</v>
      </c>
      <c r="F966" s="5" t="s">
        <v>1303</v>
      </c>
      <c r="G966" s="3"/>
      <c r="H966" s="6"/>
      <c r="I966" s="208" t="s">
        <v>130</v>
      </c>
      <c r="J966" s="6">
        <v>1</v>
      </c>
      <c r="K966" s="6">
        <v>220</v>
      </c>
      <c r="L966" s="7" t="s">
        <v>6345</v>
      </c>
      <c r="M966" s="8" t="str">
        <f>IF(Caja_Arequipa[[#This Row],[tipo_r]]="R","001-"&amp;12002+A966,M965)</f>
        <v>001-12716</v>
      </c>
      <c r="N966" s="8" t="str">
        <f t="shared" si="201"/>
        <v>PEN</v>
      </c>
      <c r="O966" s="13"/>
      <c r="P966" s="13">
        <v>50</v>
      </c>
      <c r="Q966" s="3">
        <f t="shared" si="202"/>
        <v>50</v>
      </c>
      <c r="R966" s="3">
        <f t="shared" si="203"/>
        <v>0</v>
      </c>
      <c r="S966" s="3">
        <f t="shared" si="204"/>
        <v>-756.50000000000136</v>
      </c>
      <c r="T966" s="24"/>
      <c r="U966" s="24"/>
      <c r="V966" s="3"/>
      <c r="W966" s="25" t="str">
        <f>IFERROR(VLOOKUP(Caja_Arequipa[[#This Row],[destinatario]],CHOOSE({1,2},Clientes_Proveedores[Razon Social],Clientes_Proveedores[Ruc / Dni]),2,0),"")</f>
        <v/>
      </c>
      <c r="X966" s="3"/>
      <c r="Y966" s="3"/>
      <c r="Z966" s="3"/>
      <c r="AA966" s="3"/>
      <c r="AB966" s="3" t="str">
        <f>IF(Caja_Arequipa[[#This Row],[fecha]]&gt;0,TEXT(Caja_Arequipa[[#This Row],[fecha]],"mmmm"),0)</f>
        <v>Octubre</v>
      </c>
    </row>
    <row r="967" spans="1:28" ht="24" x14ac:dyDescent="0.3">
      <c r="A967" s="2">
        <f>IF(Caja_Arequipa[[#This Row],[tipo_r]]="R",COUNTIFS($C$1:$C966,"R")+1,A966)</f>
        <v>715</v>
      </c>
      <c r="B967" s="74" t="str">
        <f t="shared" ref="B967:B979" si="205">"C-Tesoreria"</f>
        <v>C-Tesoreria</v>
      </c>
      <c r="C967" s="196" t="s">
        <v>1330</v>
      </c>
      <c r="D967" s="14">
        <v>45946</v>
      </c>
      <c r="E967" s="5" t="s">
        <v>2269</v>
      </c>
      <c r="F967" s="5" t="s">
        <v>1336</v>
      </c>
      <c r="G967" s="73" t="s">
        <v>5248</v>
      </c>
      <c r="H967" s="6" t="s">
        <v>986</v>
      </c>
      <c r="I967" s="204" t="s">
        <v>75</v>
      </c>
      <c r="J967" s="6">
        <v>1</v>
      </c>
      <c r="K967" s="6">
        <v>706</v>
      </c>
      <c r="L967" s="7" t="s">
        <v>6346</v>
      </c>
      <c r="M967" s="8" t="str">
        <f>IF(Caja_Arequipa[[#This Row],[tipo_r]]="R","001-"&amp;12002+A967,M966)</f>
        <v>001-12717</v>
      </c>
      <c r="N967" s="8" t="str">
        <f t="shared" ref="N967:N979" si="206">"PEN"</f>
        <v>PEN</v>
      </c>
      <c r="O967" s="9"/>
      <c r="P967" s="9">
        <v>26</v>
      </c>
      <c r="Q967" s="73">
        <f t="shared" ref="Q967:Q979" si="207">+IF(OR($F967="SALDO",$F967="INGRESO"),$P967,0)</f>
        <v>0</v>
      </c>
      <c r="R967" s="73">
        <f t="shared" ref="R967:R979" si="208">+IF($F967="EGRESO",$P967,0)</f>
        <v>26</v>
      </c>
      <c r="S967" s="73">
        <f t="shared" si="204"/>
        <v>-782.50000000000136</v>
      </c>
      <c r="T967" s="95"/>
      <c r="U967" s="95" t="s">
        <v>1334</v>
      </c>
      <c r="V967" s="73"/>
      <c r="W967" s="72">
        <f>IFERROR(VLOOKUP(Caja_Arequipa[[#This Row],[destinatario]],CHOOSE({1,2},Clientes_Proveedores[Razon Social],Clientes_Proveedores[Ruc / Dni]),2,0),"")</f>
        <v>10309622885</v>
      </c>
      <c r="X967" s="73"/>
      <c r="Y967" s="73"/>
      <c r="Z967" s="73"/>
      <c r="AA967" s="73"/>
      <c r="AB967" s="73" t="str">
        <f>IF(Caja_Arequipa[[#This Row],[fecha]]&gt;0,TEXT(Caja_Arequipa[[#This Row],[fecha]],"mmmm"),0)</f>
        <v>Octubre</v>
      </c>
    </row>
    <row r="968" spans="1:28" x14ac:dyDescent="0.3">
      <c r="A968" s="2">
        <f>IF(Caja_Arequipa[[#This Row],[tipo_r]]="R",COUNTIFS($C$1:$C967,"R")+1,A967)</f>
        <v>716</v>
      </c>
      <c r="B968" s="19" t="str">
        <f t="shared" si="205"/>
        <v>C-Tesoreria</v>
      </c>
      <c r="C968" s="196" t="s">
        <v>1330</v>
      </c>
      <c r="D968" s="14">
        <v>45946</v>
      </c>
      <c r="E968" s="5" t="s">
        <v>2269</v>
      </c>
      <c r="F968" s="5" t="s">
        <v>1336</v>
      </c>
      <c r="G968" s="3" t="s">
        <v>4788</v>
      </c>
      <c r="H968" s="6"/>
      <c r="I968" s="204"/>
      <c r="J968" s="6"/>
      <c r="K968" s="6"/>
      <c r="L968" s="7" t="s">
        <v>6347</v>
      </c>
      <c r="M968" s="8" t="str">
        <f>IF(Caja_Arequipa[[#This Row],[tipo_r]]="R","001-"&amp;12002+A968,M967)</f>
        <v>001-12718</v>
      </c>
      <c r="N968" s="8" t="str">
        <f t="shared" si="206"/>
        <v>PEN</v>
      </c>
      <c r="O968" s="13"/>
      <c r="P968" s="13">
        <v>410.6</v>
      </c>
      <c r="Q968" s="3">
        <f t="shared" si="207"/>
        <v>0</v>
      </c>
      <c r="R968" s="3">
        <f t="shared" si="208"/>
        <v>410.6</v>
      </c>
      <c r="S968" s="3">
        <f t="shared" si="204"/>
        <v>-1193.1000000000013</v>
      </c>
      <c r="T968" s="24"/>
      <c r="U968" s="24" t="s">
        <v>1334</v>
      </c>
      <c r="V968" s="3"/>
      <c r="W968" s="25" t="str">
        <f>IFERROR(VLOOKUP(Caja_Arequipa[[#This Row],[destinatario]],CHOOSE({1,2},Clientes_Proveedores[Razon Social],Clientes_Proveedores[Ruc / Dni]),2,0),"")</f>
        <v/>
      </c>
      <c r="X968" s="3"/>
      <c r="Y968" s="3"/>
      <c r="Z968" s="3"/>
      <c r="AA968" s="3"/>
      <c r="AB968" s="3" t="str">
        <f>IF(Caja_Arequipa[[#This Row],[fecha]]&gt;0,TEXT(Caja_Arequipa[[#This Row],[fecha]],"mmmm"),0)</f>
        <v>Octubre</v>
      </c>
    </row>
    <row r="969" spans="1:28" ht="24" x14ac:dyDescent="0.3">
      <c r="A969" s="2">
        <f>IF(Caja_Arequipa[[#This Row],[tipo_r]]="R",COUNTIFS($C$1:$C968,"R")+1,A968)</f>
        <v>716</v>
      </c>
      <c r="B969" s="19" t="str">
        <f t="shared" ref="B969:B975" si="209">"C-Tesoreria"</f>
        <v>C-Tesoreria</v>
      </c>
      <c r="C969" s="73" t="s">
        <v>1352</v>
      </c>
      <c r="D969" s="14">
        <v>45946</v>
      </c>
      <c r="E969" s="5" t="s">
        <v>2269</v>
      </c>
      <c r="F969" s="5" t="s">
        <v>1336</v>
      </c>
      <c r="G969" s="3" t="s">
        <v>4788</v>
      </c>
      <c r="H969" s="6" t="s">
        <v>967</v>
      </c>
      <c r="I969" s="204" t="s">
        <v>111</v>
      </c>
      <c r="J969" s="6">
        <v>3</v>
      </c>
      <c r="K969" s="6">
        <v>416</v>
      </c>
      <c r="L969" s="7" t="s">
        <v>6348</v>
      </c>
      <c r="M969" s="8" t="str">
        <f>IF(Caja_Arequipa[[#This Row],[tipo_r]]="R","001-"&amp;12002+A969,M968)</f>
        <v>001-12718</v>
      </c>
      <c r="N969" s="8" t="str">
        <f t="shared" ref="N969:N975" si="210">"PEN"</f>
        <v>PEN</v>
      </c>
      <c r="O969" s="13">
        <v>65</v>
      </c>
      <c r="P969" s="13"/>
      <c r="Q969" s="3">
        <f t="shared" ref="Q969:Q975" si="211">+IF(OR($F969="SALDO",$F969="INGRESO"),$P969,0)</f>
        <v>0</v>
      </c>
      <c r="R969" s="3">
        <f t="shared" ref="R969:R975" si="212">+IF($F969="EGRESO",$P969,0)</f>
        <v>0</v>
      </c>
      <c r="S969" s="3">
        <f t="shared" si="204"/>
        <v>-1193.1000000000013</v>
      </c>
      <c r="T969" s="24"/>
      <c r="U969" s="24" t="s">
        <v>1334</v>
      </c>
      <c r="V969" s="3"/>
      <c r="W969" s="25">
        <f>IFERROR(VLOOKUP(Caja_Arequipa[[#This Row],[destinatario]],CHOOSE({1,2},Clientes_Proveedores[Razon Social],Clientes_Proveedores[Ruc / Dni]),2,0),"")</f>
        <v>70517150</v>
      </c>
      <c r="X969" s="3"/>
      <c r="Y969" s="3"/>
      <c r="Z969" s="3"/>
      <c r="AA969" s="3"/>
      <c r="AB969" s="3" t="str">
        <f>IF(Caja_Arequipa[[#This Row],[fecha]]&gt;0,TEXT(Caja_Arequipa[[#This Row],[fecha]],"mmmm"),0)</f>
        <v>Octubre</v>
      </c>
    </row>
    <row r="970" spans="1:28" ht="24" x14ac:dyDescent="0.3">
      <c r="A970" s="2">
        <f>IF(Caja_Arequipa[[#This Row],[tipo_r]]="R",COUNTIFS($C$1:$C969,"R")+1,A969)</f>
        <v>716</v>
      </c>
      <c r="B970" s="19" t="str">
        <f t="shared" si="209"/>
        <v>C-Tesoreria</v>
      </c>
      <c r="C970" s="73" t="s">
        <v>1352</v>
      </c>
      <c r="D970" s="14">
        <v>45946</v>
      </c>
      <c r="E970" s="5" t="s">
        <v>2269</v>
      </c>
      <c r="F970" s="5" t="s">
        <v>1336</v>
      </c>
      <c r="G970" s="3" t="s">
        <v>4788</v>
      </c>
      <c r="H970" s="6" t="s">
        <v>1272</v>
      </c>
      <c r="I970" s="204" t="s">
        <v>68</v>
      </c>
      <c r="J970" s="6" t="s">
        <v>1390</v>
      </c>
      <c r="K970" s="6">
        <v>54</v>
      </c>
      <c r="L970" s="7" t="s">
        <v>6348</v>
      </c>
      <c r="M970" s="8" t="str">
        <f>IF(Caja_Arequipa[[#This Row],[tipo_r]]="R","001-"&amp;12002+A970,M969)</f>
        <v>001-12718</v>
      </c>
      <c r="N970" s="8" t="str">
        <f t="shared" si="210"/>
        <v>PEN</v>
      </c>
      <c r="O970" s="13">
        <v>12</v>
      </c>
      <c r="P970" s="13"/>
      <c r="Q970" s="3">
        <f t="shared" si="211"/>
        <v>0</v>
      </c>
      <c r="R970" s="3">
        <f t="shared" si="212"/>
        <v>0</v>
      </c>
      <c r="S970" s="3">
        <f t="shared" ref="S970:S976" si="213">IFERROR(IF(F970="SALDO",Q970,S969+Q970-R970),0)</f>
        <v>-1193.1000000000013</v>
      </c>
      <c r="T970" s="24"/>
      <c r="U970" s="24" t="s">
        <v>1334</v>
      </c>
      <c r="V970" s="3"/>
      <c r="W970" s="25">
        <f>IFERROR(VLOOKUP(Caja_Arequipa[[#This Row],[destinatario]],CHOOSE({1,2},Clientes_Proveedores[Razon Social],Clientes_Proveedores[Ruc / Dni]),2,0),"")</f>
        <v>20607707074</v>
      </c>
      <c r="X970" s="3"/>
      <c r="Y970" s="3"/>
      <c r="Z970" s="3"/>
      <c r="AA970" s="3"/>
      <c r="AB970" s="3" t="str">
        <f>IF(Caja_Arequipa[[#This Row],[fecha]]&gt;0,TEXT(Caja_Arequipa[[#This Row],[fecha]],"mmmm"),0)</f>
        <v>Octubre</v>
      </c>
    </row>
    <row r="971" spans="1:28" ht="24" x14ac:dyDescent="0.3">
      <c r="A971" s="2">
        <f>IF(Caja_Arequipa[[#This Row],[tipo_r]]="R",COUNTIFS($C$1:$C970,"R")+1,A970)</f>
        <v>716</v>
      </c>
      <c r="B971" s="19" t="str">
        <f t="shared" si="209"/>
        <v>C-Tesoreria</v>
      </c>
      <c r="C971" s="73" t="s">
        <v>1352</v>
      </c>
      <c r="D971" s="14">
        <v>45946</v>
      </c>
      <c r="E971" s="5" t="s">
        <v>2269</v>
      </c>
      <c r="F971" s="5" t="s">
        <v>1336</v>
      </c>
      <c r="G971" s="3" t="s">
        <v>4788</v>
      </c>
      <c r="H971" s="6" t="s">
        <v>1272</v>
      </c>
      <c r="I971" s="204" t="s">
        <v>68</v>
      </c>
      <c r="J971" s="6" t="s">
        <v>1390</v>
      </c>
      <c r="K971" s="6">
        <v>55</v>
      </c>
      <c r="L971" s="7" t="s">
        <v>6348</v>
      </c>
      <c r="M971" s="8" t="str">
        <f>IF(Caja_Arequipa[[#This Row],[tipo_r]]="R","001-"&amp;12002+A971,M970)</f>
        <v>001-12718</v>
      </c>
      <c r="N971" s="8" t="str">
        <f t="shared" si="210"/>
        <v>PEN</v>
      </c>
      <c r="O971" s="13">
        <v>30</v>
      </c>
      <c r="P971" s="13"/>
      <c r="Q971" s="3">
        <f t="shared" si="211"/>
        <v>0</v>
      </c>
      <c r="R971" s="3">
        <f t="shared" si="212"/>
        <v>0</v>
      </c>
      <c r="S971" s="3">
        <f t="shared" si="213"/>
        <v>-1193.1000000000013</v>
      </c>
      <c r="T971" s="24"/>
      <c r="U971" s="24" t="s">
        <v>1334</v>
      </c>
      <c r="V971" s="3"/>
      <c r="W971" s="25">
        <f>IFERROR(VLOOKUP(Caja_Arequipa[[#This Row],[destinatario]],CHOOSE({1,2},Clientes_Proveedores[Razon Social],Clientes_Proveedores[Ruc / Dni]),2,0),"")</f>
        <v>20607707074</v>
      </c>
      <c r="X971" s="3"/>
      <c r="Y971" s="3"/>
      <c r="Z971" s="3"/>
      <c r="AA971" s="3"/>
      <c r="AB971" s="3" t="str">
        <f>IF(Caja_Arequipa[[#This Row],[fecha]]&gt;0,TEXT(Caja_Arequipa[[#This Row],[fecha]],"mmmm"),0)</f>
        <v>Octubre</v>
      </c>
    </row>
    <row r="972" spans="1:28" x14ac:dyDescent="0.3">
      <c r="A972" s="2">
        <f>IF(Caja_Arequipa[[#This Row],[tipo_r]]="R",COUNTIFS($C$1:$C971,"R")+1,A971)</f>
        <v>716</v>
      </c>
      <c r="B972" s="19" t="str">
        <f t="shared" si="209"/>
        <v>C-Tesoreria</v>
      </c>
      <c r="C972" s="73" t="s">
        <v>1352</v>
      </c>
      <c r="D972" s="14">
        <v>45946</v>
      </c>
      <c r="E972" s="5" t="s">
        <v>2269</v>
      </c>
      <c r="F972" s="5" t="s">
        <v>1336</v>
      </c>
      <c r="G972" s="3" t="s">
        <v>4788</v>
      </c>
      <c r="H972" s="6" t="s">
        <v>1273</v>
      </c>
      <c r="I972" s="204" t="s">
        <v>68</v>
      </c>
      <c r="J972" s="6" t="s">
        <v>6349</v>
      </c>
      <c r="K972" s="6">
        <v>4333</v>
      </c>
      <c r="L972" s="7" t="s">
        <v>6348</v>
      </c>
      <c r="M972" s="8" t="str">
        <f>IF(Caja_Arequipa[[#This Row],[tipo_r]]="R","001-"&amp;12002+A972,M971)</f>
        <v>001-12718</v>
      </c>
      <c r="N972" s="8" t="str">
        <f t="shared" si="210"/>
        <v>PEN</v>
      </c>
      <c r="O972" s="13">
        <v>2.8</v>
      </c>
      <c r="P972" s="13"/>
      <c r="Q972" s="3">
        <f t="shared" si="211"/>
        <v>0</v>
      </c>
      <c r="R972" s="3">
        <f t="shared" si="212"/>
        <v>0</v>
      </c>
      <c r="S972" s="3">
        <f t="shared" si="213"/>
        <v>-1193.1000000000013</v>
      </c>
      <c r="T972" s="24"/>
      <c r="U972" s="24" t="s">
        <v>1334</v>
      </c>
      <c r="V972" s="3"/>
      <c r="W972" s="25">
        <f>IFERROR(VLOOKUP(Caja_Arequipa[[#This Row],[destinatario]],CHOOSE({1,2},Clientes_Proveedores[Razon Social],Clientes_Proveedores[Ruc / Dni]),2,0),"")</f>
        <v>20608430301</v>
      </c>
      <c r="X972" s="3"/>
      <c r="Y972" s="3"/>
      <c r="Z972" s="3"/>
      <c r="AA972" s="3"/>
      <c r="AB972" s="3" t="str">
        <f>IF(Caja_Arequipa[[#This Row],[fecha]]&gt;0,TEXT(Caja_Arequipa[[#This Row],[fecha]],"mmmm"),0)</f>
        <v>Octubre</v>
      </c>
    </row>
    <row r="973" spans="1:28" x14ac:dyDescent="0.3">
      <c r="A973" s="2">
        <f>IF(Caja_Arequipa[[#This Row],[tipo_r]]="R",COUNTIFS($C$1:$C972,"R")+1,A972)</f>
        <v>716</v>
      </c>
      <c r="B973" s="19" t="str">
        <f t="shared" si="209"/>
        <v>C-Tesoreria</v>
      </c>
      <c r="C973" s="73" t="s">
        <v>1352</v>
      </c>
      <c r="D973" s="14">
        <v>45946</v>
      </c>
      <c r="E973" s="5" t="s">
        <v>2269</v>
      </c>
      <c r="F973" s="5" t="s">
        <v>1336</v>
      </c>
      <c r="G973" s="3" t="s">
        <v>4788</v>
      </c>
      <c r="H973" s="6" t="s">
        <v>1273</v>
      </c>
      <c r="I973" s="204" t="s">
        <v>68</v>
      </c>
      <c r="J973" s="6" t="s">
        <v>6350</v>
      </c>
      <c r="K973" s="6">
        <v>2211</v>
      </c>
      <c r="L973" s="7" t="s">
        <v>6348</v>
      </c>
      <c r="M973" s="8" t="str">
        <f>IF(Caja_Arequipa[[#This Row],[tipo_r]]="R","001-"&amp;12002+A973,M972)</f>
        <v>001-12718</v>
      </c>
      <c r="N973" s="8" t="str">
        <f t="shared" si="210"/>
        <v>PEN</v>
      </c>
      <c r="O973" s="13">
        <v>147.80000000000001</v>
      </c>
      <c r="P973" s="13"/>
      <c r="Q973" s="3">
        <f t="shared" si="211"/>
        <v>0</v>
      </c>
      <c r="R973" s="3">
        <f t="shared" si="212"/>
        <v>0</v>
      </c>
      <c r="S973" s="3">
        <f t="shared" si="213"/>
        <v>-1193.1000000000013</v>
      </c>
      <c r="T973" s="24"/>
      <c r="U973" s="24" t="s">
        <v>1334</v>
      </c>
      <c r="V973" s="3"/>
      <c r="W973" s="25">
        <f>IFERROR(VLOOKUP(Caja_Arequipa[[#This Row],[destinatario]],CHOOSE({1,2},Clientes_Proveedores[Razon Social],Clientes_Proveedores[Ruc / Dni]),2,0),"")</f>
        <v>20608430301</v>
      </c>
      <c r="X973" s="3"/>
      <c r="Y973" s="3"/>
      <c r="Z973" s="3"/>
      <c r="AA973" s="3"/>
      <c r="AB973" s="3" t="str">
        <f>IF(Caja_Arequipa[[#This Row],[fecha]]&gt;0,TEXT(Caja_Arequipa[[#This Row],[fecha]],"mmmm"),0)</f>
        <v>Octubre</v>
      </c>
    </row>
    <row r="974" spans="1:28" ht="24" x14ac:dyDescent="0.3">
      <c r="A974" s="2">
        <f>IF(Caja_Arequipa[[#This Row],[tipo_r]]="R",COUNTIFS($C$1:$C973,"R")+1,A973)</f>
        <v>716</v>
      </c>
      <c r="B974" s="19" t="str">
        <f t="shared" si="209"/>
        <v>C-Tesoreria</v>
      </c>
      <c r="C974" s="73" t="s">
        <v>1352</v>
      </c>
      <c r="D974" s="14">
        <v>45946</v>
      </c>
      <c r="E974" s="5" t="s">
        <v>2269</v>
      </c>
      <c r="F974" s="5" t="s">
        <v>1336</v>
      </c>
      <c r="G974" s="3" t="s">
        <v>4788</v>
      </c>
      <c r="H974" s="6" t="s">
        <v>1274</v>
      </c>
      <c r="I974" s="204" t="s">
        <v>68</v>
      </c>
      <c r="J974" s="6" t="s">
        <v>1374</v>
      </c>
      <c r="K974" s="6">
        <v>576</v>
      </c>
      <c r="L974" s="7" t="s">
        <v>6348</v>
      </c>
      <c r="M974" s="8" t="str">
        <f>IF(Caja_Arequipa[[#This Row],[tipo_r]]="R","001-"&amp;12002+A974,M973)</f>
        <v>001-12718</v>
      </c>
      <c r="N974" s="8" t="str">
        <f t="shared" si="210"/>
        <v>PEN</v>
      </c>
      <c r="O974" s="13">
        <v>62</v>
      </c>
      <c r="P974" s="13"/>
      <c r="Q974" s="3">
        <f t="shared" si="211"/>
        <v>0</v>
      </c>
      <c r="R974" s="3">
        <f t="shared" si="212"/>
        <v>0</v>
      </c>
      <c r="S974" s="3">
        <f t="shared" si="213"/>
        <v>-1193.1000000000013</v>
      </c>
      <c r="T974" s="24"/>
      <c r="U974" s="24" t="s">
        <v>1334</v>
      </c>
      <c r="V974" s="3"/>
      <c r="W974" s="25">
        <f>IFERROR(VLOOKUP(Caja_Arequipa[[#This Row],[destinatario]],CHOOSE({1,2},Clientes_Proveedores[Razon Social],Clientes_Proveedores[Ruc / Dni]),2,0),"")</f>
        <v>20609873648</v>
      </c>
      <c r="X974" s="3"/>
      <c r="Y974" s="3"/>
      <c r="Z974" s="3"/>
      <c r="AA974" s="3"/>
      <c r="AB974" s="3" t="str">
        <f>IF(Caja_Arequipa[[#This Row],[fecha]]&gt;0,TEXT(Caja_Arequipa[[#This Row],[fecha]],"mmmm"),0)</f>
        <v>Octubre</v>
      </c>
    </row>
    <row r="975" spans="1:28" ht="24" x14ac:dyDescent="0.3">
      <c r="A975" s="2">
        <f>IF(Caja_Arequipa[[#This Row],[tipo_r]]="R",COUNTIFS($C$1:$C974,"R")+1,A974)</f>
        <v>716</v>
      </c>
      <c r="B975" s="19" t="str">
        <f t="shared" si="209"/>
        <v>C-Tesoreria</v>
      </c>
      <c r="C975" s="73" t="s">
        <v>1352</v>
      </c>
      <c r="D975" s="14">
        <v>45946</v>
      </c>
      <c r="E975" s="5" t="s">
        <v>2269</v>
      </c>
      <c r="F975" s="5" t="s">
        <v>1336</v>
      </c>
      <c r="G975" s="3" t="s">
        <v>4788</v>
      </c>
      <c r="H975" s="6" t="s">
        <v>1275</v>
      </c>
      <c r="I975" s="204" t="s">
        <v>68</v>
      </c>
      <c r="J975" s="6" t="s">
        <v>1374</v>
      </c>
      <c r="K975" s="6">
        <v>1778</v>
      </c>
      <c r="L975" s="7" t="s">
        <v>6348</v>
      </c>
      <c r="M975" s="8" t="str">
        <f>IF(Caja_Arequipa[[#This Row],[tipo_r]]="R","001-"&amp;12002+A975,M974)</f>
        <v>001-12718</v>
      </c>
      <c r="N975" s="8" t="str">
        <f t="shared" si="210"/>
        <v>PEN</v>
      </c>
      <c r="O975" s="13">
        <v>91</v>
      </c>
      <c r="P975" s="13"/>
      <c r="Q975" s="3">
        <f t="shared" si="211"/>
        <v>0</v>
      </c>
      <c r="R975" s="3">
        <f t="shared" si="212"/>
        <v>0</v>
      </c>
      <c r="S975" s="3">
        <f t="shared" si="213"/>
        <v>-1193.1000000000013</v>
      </c>
      <c r="T975" s="24"/>
      <c r="U975" s="24" t="s">
        <v>1334</v>
      </c>
      <c r="V975" s="3"/>
      <c r="W975" s="25">
        <f>IFERROR(VLOOKUP(Caja_Arequipa[[#This Row],[destinatario]],CHOOSE({1,2},Clientes_Proveedores[Razon Social],Clientes_Proveedores[Ruc / Dni]),2,0),"")</f>
        <v>10704739279</v>
      </c>
      <c r="X975" s="3"/>
      <c r="Y975" s="3"/>
      <c r="Z975" s="3"/>
      <c r="AA975" s="3"/>
      <c r="AB975" s="3" t="str">
        <f>IF(Caja_Arequipa[[#This Row],[fecha]]&gt;0,TEXT(Caja_Arequipa[[#This Row],[fecha]],"mmmm"),0)</f>
        <v>Octubre</v>
      </c>
    </row>
    <row r="976" spans="1:28" x14ac:dyDescent="0.3">
      <c r="A976" s="2">
        <f>IF(Caja_Arequipa[[#This Row],[tipo_r]]="R",COUNTIFS($C$1:$C975,"R")+1,A975)</f>
        <v>717</v>
      </c>
      <c r="B976" s="19" t="str">
        <f t="shared" si="205"/>
        <v>C-Tesoreria</v>
      </c>
      <c r="C976" s="73" t="s">
        <v>1330</v>
      </c>
      <c r="D976" s="14">
        <v>45947</v>
      </c>
      <c r="E976" s="5" t="s">
        <v>2269</v>
      </c>
      <c r="F976" s="5" t="s">
        <v>1336</v>
      </c>
      <c r="G976" s="3" t="s">
        <v>6310</v>
      </c>
      <c r="H976" s="6"/>
      <c r="I976" s="203"/>
      <c r="J976" s="6"/>
      <c r="K976" s="6"/>
      <c r="L976" s="7" t="s">
        <v>6335</v>
      </c>
      <c r="M976" s="8" t="str">
        <f>IF(Caja_Arequipa[[#This Row],[tipo_r]]="R","001-"&amp;12002+A976,M975)</f>
        <v>001-12719</v>
      </c>
      <c r="N976" s="8" t="str">
        <f t="shared" si="206"/>
        <v>PEN</v>
      </c>
      <c r="O976" s="13"/>
      <c r="P976" s="13">
        <v>92</v>
      </c>
      <c r="Q976" s="3">
        <f t="shared" si="207"/>
        <v>0</v>
      </c>
      <c r="R976" s="3">
        <f t="shared" si="208"/>
        <v>92</v>
      </c>
      <c r="S976" s="3">
        <f t="shared" si="213"/>
        <v>-1285.1000000000013</v>
      </c>
      <c r="T976" s="24"/>
      <c r="U976" s="24" t="s">
        <v>1334</v>
      </c>
      <c r="V976" s="3"/>
      <c r="W976" s="25" t="str">
        <f>IFERROR(VLOOKUP(Caja_Arequipa[[#This Row],[destinatario]],CHOOSE({1,2},Clientes_Proveedores[Razon Social],Clientes_Proveedores[Ruc / Dni]),2,0),"")</f>
        <v/>
      </c>
      <c r="X976" s="3"/>
      <c r="Y976" s="3"/>
      <c r="Z976" s="3"/>
      <c r="AA976" s="3"/>
      <c r="AB976" s="3" t="str">
        <f>IF(Caja_Arequipa[[#This Row],[fecha]]&gt;0,TEXT(Caja_Arequipa[[#This Row],[fecha]],"mmmm"),0)</f>
        <v>Octubre</v>
      </c>
    </row>
    <row r="977" spans="1:28" ht="24" x14ac:dyDescent="0.3">
      <c r="A977" s="2">
        <f>IF(Caja_Arequipa[[#This Row],[tipo_r]]="R",COUNTIFS($C$1:$C976,"R")+1,A976)</f>
        <v>717</v>
      </c>
      <c r="B977" s="19" t="str">
        <f t="shared" si="205"/>
        <v>C-Tesoreria</v>
      </c>
      <c r="C977" s="73" t="s">
        <v>1352</v>
      </c>
      <c r="D977" s="14">
        <v>45947</v>
      </c>
      <c r="E977" s="5" t="s">
        <v>2269</v>
      </c>
      <c r="F977" s="5" t="s">
        <v>1336</v>
      </c>
      <c r="G977" s="3"/>
      <c r="H977" s="6" t="s">
        <v>1068</v>
      </c>
      <c r="I977" s="203" t="s">
        <v>111</v>
      </c>
      <c r="J977" s="6">
        <v>3</v>
      </c>
      <c r="K977" s="6">
        <v>399</v>
      </c>
      <c r="L977" s="7" t="s">
        <v>6351</v>
      </c>
      <c r="M977" s="8" t="str">
        <f>IF(Caja_Arequipa[[#This Row],[tipo_r]]="R","001-"&amp;12002+A977,M976)</f>
        <v>001-12719</v>
      </c>
      <c r="N977" s="8" t="str">
        <f t="shared" si="206"/>
        <v>PEN</v>
      </c>
      <c r="O977" s="13">
        <v>27</v>
      </c>
      <c r="P977" s="13"/>
      <c r="Q977" s="3">
        <f t="shared" si="207"/>
        <v>0</v>
      </c>
      <c r="R977" s="3">
        <f t="shared" si="208"/>
        <v>0</v>
      </c>
      <c r="S977" s="3">
        <f t="shared" ref="S977:S995" si="214">IFERROR(IF(F977="SALDO",Q977,S976+Q977-R977),0)</f>
        <v>-1285.1000000000013</v>
      </c>
      <c r="T977" s="24"/>
      <c r="U977" s="24" t="s">
        <v>1334</v>
      </c>
      <c r="V977" s="3"/>
      <c r="W977" s="25">
        <f>IFERROR(VLOOKUP(Caja_Arequipa[[#This Row],[destinatario]],CHOOSE({1,2},Clientes_Proveedores[Razon Social],Clientes_Proveedores[Ruc / Dni]),2,0),"")</f>
        <v>72725445</v>
      </c>
      <c r="X977" s="3"/>
      <c r="Y977" s="3"/>
      <c r="Z977" s="3"/>
      <c r="AA977" s="3"/>
      <c r="AB977" s="3" t="str">
        <f>IF(Caja_Arequipa[[#This Row],[fecha]]&gt;0,TEXT(Caja_Arequipa[[#This Row],[fecha]],"mmmm"),0)</f>
        <v>Octubre</v>
      </c>
    </row>
    <row r="978" spans="1:28" ht="24" x14ac:dyDescent="0.3">
      <c r="A978" s="2">
        <f>IF(Caja_Arequipa[[#This Row],[tipo_r]]="R",COUNTIFS($C$1:$C977,"R")+1,A977)</f>
        <v>717</v>
      </c>
      <c r="B978" s="19" t="str">
        <f t="shared" si="205"/>
        <v>C-Tesoreria</v>
      </c>
      <c r="C978" s="73" t="s">
        <v>1352</v>
      </c>
      <c r="D978" s="14">
        <v>45947</v>
      </c>
      <c r="E978" s="5" t="s">
        <v>2269</v>
      </c>
      <c r="F978" s="5" t="s">
        <v>1336</v>
      </c>
      <c r="G978" s="3"/>
      <c r="H978" s="6" t="s">
        <v>1068</v>
      </c>
      <c r="I978" s="203" t="s">
        <v>111</v>
      </c>
      <c r="J978" s="6">
        <v>3</v>
      </c>
      <c r="K978" s="6">
        <v>397</v>
      </c>
      <c r="L978" s="7" t="s">
        <v>6352</v>
      </c>
      <c r="M978" s="8" t="str">
        <f>IF(Caja_Arequipa[[#This Row],[tipo_r]]="R","001-"&amp;12002+A978,M977)</f>
        <v>001-12719</v>
      </c>
      <c r="N978" s="8" t="str">
        <f t="shared" si="206"/>
        <v>PEN</v>
      </c>
      <c r="O978" s="13">
        <v>65</v>
      </c>
      <c r="P978" s="13"/>
      <c r="Q978" s="3">
        <f t="shared" si="207"/>
        <v>0</v>
      </c>
      <c r="R978" s="3">
        <f t="shared" si="208"/>
        <v>0</v>
      </c>
      <c r="S978" s="3">
        <f t="shared" si="214"/>
        <v>-1285.1000000000013</v>
      </c>
      <c r="T978" s="24"/>
      <c r="U978" s="24" t="s">
        <v>1334</v>
      </c>
      <c r="V978" s="3"/>
      <c r="W978" s="25">
        <f>IFERROR(VLOOKUP(Caja_Arequipa[[#This Row],[destinatario]],CHOOSE({1,2},Clientes_Proveedores[Razon Social],Clientes_Proveedores[Ruc / Dni]),2,0),"")</f>
        <v>72725445</v>
      </c>
      <c r="X978" s="3"/>
      <c r="Y978" s="3"/>
      <c r="Z978" s="3"/>
      <c r="AA978" s="3"/>
      <c r="AB978" s="3" t="str">
        <f>IF(Caja_Arequipa[[#This Row],[fecha]]&gt;0,TEXT(Caja_Arequipa[[#This Row],[fecha]],"mmmm"),0)</f>
        <v>Octubre</v>
      </c>
    </row>
    <row r="979" spans="1:28" x14ac:dyDescent="0.3">
      <c r="A979" s="2">
        <f>IF(Caja_Arequipa[[#This Row],[tipo_r]]="R",COUNTIFS($C$1:$C978,"R")+1,A978)</f>
        <v>718</v>
      </c>
      <c r="B979" s="19" t="str">
        <f t="shared" si="205"/>
        <v>C-Tesoreria</v>
      </c>
      <c r="C979" s="73" t="s">
        <v>1330</v>
      </c>
      <c r="D979" s="14">
        <v>45947</v>
      </c>
      <c r="E979" s="5" t="s">
        <v>1416</v>
      </c>
      <c r="F979" s="5" t="s">
        <v>1303</v>
      </c>
      <c r="G979" s="3" t="s">
        <v>3634</v>
      </c>
      <c r="H979" s="6"/>
      <c r="I979" s="208"/>
      <c r="J979" s="6"/>
      <c r="K979" s="6"/>
      <c r="L979" s="7" t="s">
        <v>6353</v>
      </c>
      <c r="M979" s="8" t="str">
        <f>IF(Caja_Arequipa[[#This Row],[tipo_r]]="R","001-"&amp;12002+A979,M978)</f>
        <v>001-12720</v>
      </c>
      <c r="N979" s="8" t="str">
        <f t="shared" si="206"/>
        <v>PEN</v>
      </c>
      <c r="O979" s="13"/>
      <c r="P979" s="13">
        <v>2000</v>
      </c>
      <c r="Q979" s="3">
        <f t="shared" si="207"/>
        <v>2000</v>
      </c>
      <c r="R979" s="3">
        <f t="shared" si="208"/>
        <v>0</v>
      </c>
      <c r="S979" s="3">
        <f t="shared" si="214"/>
        <v>714.89999999999873</v>
      </c>
      <c r="T979" s="24"/>
      <c r="U979" s="24"/>
      <c r="V979" s="3"/>
      <c r="W979" s="25" t="str">
        <f>IFERROR(VLOOKUP(Caja_Arequipa[[#This Row],[destinatario]],CHOOSE({1,2},Clientes_Proveedores[Razon Social],Clientes_Proveedores[Ruc / Dni]),2,0),"")</f>
        <v/>
      </c>
      <c r="X979" s="3"/>
      <c r="Y979" s="3"/>
      <c r="Z979" s="3"/>
      <c r="AA979" s="3"/>
      <c r="AB979" s="3" t="str">
        <f>IF(Caja_Arequipa[[#This Row],[fecha]]&gt;0,TEXT(Caja_Arequipa[[#This Row],[fecha]],"mmmm"),0)</f>
        <v>Octubre</v>
      </c>
    </row>
    <row r="980" spans="1:28" ht="24" x14ac:dyDescent="0.3">
      <c r="A980" s="2">
        <f>IF(Caja_Arequipa[[#This Row],[tipo_r]]="R",COUNTIFS($C$1:$C979,"R")+1,A979)</f>
        <v>719</v>
      </c>
      <c r="B980" s="19" t="str">
        <f>"C-Tesoreria"</f>
        <v>C-Tesoreria</v>
      </c>
      <c r="C980" s="3" t="s">
        <v>1330</v>
      </c>
      <c r="D980" s="14">
        <v>45950</v>
      </c>
      <c r="E980" s="5" t="s">
        <v>2269</v>
      </c>
      <c r="F980" s="5" t="s">
        <v>1336</v>
      </c>
      <c r="G980" s="3" t="s">
        <v>6283</v>
      </c>
      <c r="H980" s="6" t="s">
        <v>1244</v>
      </c>
      <c r="I980" s="203" t="s">
        <v>111</v>
      </c>
      <c r="J980" s="6">
        <v>3</v>
      </c>
      <c r="K980" s="6">
        <v>391</v>
      </c>
      <c r="L980" s="7" t="s">
        <v>6354</v>
      </c>
      <c r="M980" s="8" t="str">
        <f>IF(Caja_Arequipa[[#This Row],[tipo_r]]="R","001-"&amp;12002+A980,M979)</f>
        <v>001-12721</v>
      </c>
      <c r="N980" s="8" t="str">
        <f>"PEN"</f>
        <v>PEN</v>
      </c>
      <c r="O980" s="13"/>
      <c r="P980" s="13">
        <v>10</v>
      </c>
      <c r="Q980" s="3">
        <f>+IF(OR($F980="SALDO",$F980="INGRESO"),$P980,0)</f>
        <v>0</v>
      </c>
      <c r="R980" s="3">
        <f>+IF($F980="EGRESO",$P980,0)</f>
        <v>10</v>
      </c>
      <c r="S980" s="3">
        <f t="shared" si="214"/>
        <v>704.89999999999873</v>
      </c>
      <c r="T980" s="24"/>
      <c r="U980" s="24" t="s">
        <v>1334</v>
      </c>
      <c r="V980" s="3"/>
      <c r="W980" s="25">
        <f>IFERROR(VLOOKUP(Caja_Arequipa[[#This Row],[destinatario]],CHOOSE({1,2},Clientes_Proveedores[Razon Social],Clientes_Proveedores[Ruc / Dni]),2,0),"")</f>
        <v>70598983</v>
      </c>
      <c r="X980" s="3"/>
      <c r="Y980" s="3"/>
      <c r="Z980" s="3"/>
      <c r="AA980" s="3"/>
      <c r="AB980" s="3" t="str">
        <f>IF(Caja_Arequipa[[#This Row],[fecha]]&gt;0,TEXT(Caja_Arequipa[[#This Row],[fecha]],"mmmm"),0)</f>
        <v>Octubre</v>
      </c>
    </row>
    <row r="981" spans="1:28" ht="24" x14ac:dyDescent="0.3">
      <c r="A981" s="2">
        <f>IF(Caja_Arequipa[[#This Row],[tipo_r]]="R",COUNTIFS($C$1:$C980,"R")+1,A980)</f>
        <v>720</v>
      </c>
      <c r="B981" s="19" t="str">
        <f>"C-Tesoreria"</f>
        <v>C-Tesoreria</v>
      </c>
      <c r="C981" s="3" t="s">
        <v>1330</v>
      </c>
      <c r="D981" s="14">
        <v>45950</v>
      </c>
      <c r="E981" s="5" t="s">
        <v>2269</v>
      </c>
      <c r="F981" s="5" t="s">
        <v>1336</v>
      </c>
      <c r="G981" s="3" t="s">
        <v>5317</v>
      </c>
      <c r="H981" s="6" t="s">
        <v>790</v>
      </c>
      <c r="I981" s="203" t="s">
        <v>111</v>
      </c>
      <c r="J981" s="6">
        <v>3</v>
      </c>
      <c r="K981" s="6">
        <v>400</v>
      </c>
      <c r="L981" s="7" t="s">
        <v>6355</v>
      </c>
      <c r="M981" s="8" t="str">
        <f>IF(Caja_Arequipa[[#This Row],[tipo_r]]="R","001-"&amp;12002+A981,M980)</f>
        <v>001-12722</v>
      </c>
      <c r="N981" s="8" t="str">
        <f>"PEN"</f>
        <v>PEN</v>
      </c>
      <c r="O981" s="13"/>
      <c r="P981" s="13">
        <v>40</v>
      </c>
      <c r="Q981" s="3">
        <f>+IF(OR($F981="SALDO",$F981="INGRESO"),$P981,0)</f>
        <v>0</v>
      </c>
      <c r="R981" s="3">
        <f>+IF($F981="EGRESO",$P981,0)</f>
        <v>40</v>
      </c>
      <c r="S981" s="3">
        <f t="shared" si="214"/>
        <v>664.89999999999873</v>
      </c>
      <c r="T981" s="24"/>
      <c r="U981" s="24" t="s">
        <v>1334</v>
      </c>
      <c r="V981" s="3"/>
      <c r="W981" s="25">
        <f>IFERROR(VLOOKUP(Caja_Arequipa[[#This Row],[destinatario]],CHOOSE({1,2},Clientes_Proveedores[Razon Social],Clientes_Proveedores[Ruc / Dni]),2,0),"")</f>
        <v>72169020</v>
      </c>
      <c r="X981" s="3"/>
      <c r="Y981" s="3"/>
      <c r="Z981" s="3"/>
      <c r="AA981" s="3"/>
      <c r="AB981" s="3" t="str">
        <f>IF(Caja_Arequipa[[#This Row],[fecha]]&gt;0,TEXT(Caja_Arequipa[[#This Row],[fecha]],"mmmm"),0)</f>
        <v>Octubre</v>
      </c>
    </row>
    <row r="982" spans="1:28" ht="24" x14ac:dyDescent="0.3">
      <c r="A982" s="2">
        <f>IF(Caja_Arequipa[[#This Row],[tipo_r]]="R",COUNTIFS($C$1:$C981,"R")+1,A981)</f>
        <v>721</v>
      </c>
      <c r="B982" s="19" t="str">
        <f>"C-Tesoreria"</f>
        <v>C-Tesoreria</v>
      </c>
      <c r="C982" s="73" t="s">
        <v>1330</v>
      </c>
      <c r="D982" s="14">
        <v>45951</v>
      </c>
      <c r="E982" s="5" t="s">
        <v>2269</v>
      </c>
      <c r="F982" s="5" t="s">
        <v>1336</v>
      </c>
      <c r="G982" s="3" t="s">
        <v>5274</v>
      </c>
      <c r="H982" s="6" t="s">
        <v>882</v>
      </c>
      <c r="I982" s="203" t="s">
        <v>111</v>
      </c>
      <c r="J982" s="6">
        <v>3</v>
      </c>
      <c r="K982" s="6">
        <v>404</v>
      </c>
      <c r="L982" s="7" t="s">
        <v>6356</v>
      </c>
      <c r="M982" s="8" t="str">
        <f>IF(Caja_Arequipa[[#This Row],[tipo_r]]="R","001-"&amp;12002+A982,M981)</f>
        <v>001-12723</v>
      </c>
      <c r="N982" s="8" t="str">
        <f>"PEN"</f>
        <v>PEN</v>
      </c>
      <c r="O982" s="13"/>
      <c r="P982" s="13">
        <v>30</v>
      </c>
      <c r="Q982" s="3">
        <f>+IF(OR($F982="SALDO",$F982="INGRESO"),$P982,0)</f>
        <v>0</v>
      </c>
      <c r="R982" s="3">
        <f>+IF($F982="EGRESO",$P982,0)</f>
        <v>30</v>
      </c>
      <c r="S982" s="3">
        <f t="shared" si="214"/>
        <v>634.89999999999873</v>
      </c>
      <c r="T982" s="24"/>
      <c r="U982" s="24" t="s">
        <v>1334</v>
      </c>
      <c r="V982" s="3"/>
      <c r="W982" s="25">
        <f>IFERROR(VLOOKUP(Caja_Arequipa[[#This Row],[destinatario]],CHOOSE({1,2},Clientes_Proveedores[Razon Social],Clientes_Proveedores[Ruc / Dni]),2,0),"")</f>
        <v>72450429</v>
      </c>
      <c r="X982" s="3"/>
      <c r="Y982" s="3"/>
      <c r="Z982" s="3"/>
      <c r="AA982" s="3"/>
      <c r="AB982" s="3" t="str">
        <f>IF(Caja_Arequipa[[#This Row],[fecha]]&gt;0,TEXT(Caja_Arequipa[[#This Row],[fecha]],"mmmm"),0)</f>
        <v>Octubre</v>
      </c>
    </row>
    <row r="983" spans="1:28" ht="24" x14ac:dyDescent="0.3">
      <c r="A983" s="2">
        <f>IF(Caja_Arequipa[[#This Row],[tipo_r]]="R",COUNTIFS($C$1:$C982,"R")+1,A982)</f>
        <v>722</v>
      </c>
      <c r="B983" s="19" t="str">
        <f>"C-Tesoreria"</f>
        <v>C-Tesoreria</v>
      </c>
      <c r="C983" s="73" t="s">
        <v>1330</v>
      </c>
      <c r="D983" s="14">
        <v>45951</v>
      </c>
      <c r="E983" s="5" t="s">
        <v>2269</v>
      </c>
      <c r="F983" s="5" t="s">
        <v>1336</v>
      </c>
      <c r="G983" s="3" t="s">
        <v>6216</v>
      </c>
      <c r="H983" s="6" t="s">
        <v>918</v>
      </c>
      <c r="I983" s="203" t="s">
        <v>111</v>
      </c>
      <c r="J983" s="6">
        <v>3</v>
      </c>
      <c r="K983" s="6">
        <v>405</v>
      </c>
      <c r="L983" s="7" t="s">
        <v>6357</v>
      </c>
      <c r="M983" s="8" t="str">
        <f>IF(Caja_Arequipa[[#This Row],[tipo_r]]="R","001-"&amp;12002+A983,M982)</f>
        <v>001-12724</v>
      </c>
      <c r="N983" s="8" t="str">
        <f>"PEN"</f>
        <v>PEN</v>
      </c>
      <c r="O983" s="13"/>
      <c r="P983" s="13">
        <v>25</v>
      </c>
      <c r="Q983" s="3">
        <f>+IF(OR($F983="SALDO",$F983="INGRESO"),$P983,0)</f>
        <v>0</v>
      </c>
      <c r="R983" s="3">
        <f>+IF($F983="EGRESO",$P983,0)</f>
        <v>25</v>
      </c>
      <c r="S983" s="3">
        <f t="shared" si="214"/>
        <v>609.89999999999873</v>
      </c>
      <c r="T983" s="24"/>
      <c r="U983" s="24" t="s">
        <v>1334</v>
      </c>
      <c r="V983" s="3"/>
      <c r="W983" s="25">
        <f>IFERROR(VLOOKUP(Caja_Arequipa[[#This Row],[destinatario]],CHOOSE({1,2},Clientes_Proveedores[Razon Social],Clientes_Proveedores[Ruc / Dni]),2,0),"")</f>
        <v>48536654</v>
      </c>
      <c r="X983" s="3"/>
      <c r="Y983" s="3"/>
      <c r="Z983" s="3"/>
      <c r="AA983" s="3"/>
      <c r="AB983" s="3" t="str">
        <f>IF(Caja_Arequipa[[#This Row],[fecha]]&gt;0,TEXT(Caja_Arequipa[[#This Row],[fecha]],"mmmm"),0)</f>
        <v>Octubre</v>
      </c>
    </row>
    <row r="984" spans="1:28" ht="24" x14ac:dyDescent="0.3">
      <c r="A984" s="2">
        <f>IF(Caja_Arequipa[[#This Row],[tipo_r]]="R",COUNTIFS($C$1:$C983,"R")+1,A983)</f>
        <v>723</v>
      </c>
      <c r="B984" s="19" t="str">
        <f t="shared" ref="B984:B993" si="215">"C-Tesoreria"</f>
        <v>C-Tesoreria</v>
      </c>
      <c r="C984" s="73" t="s">
        <v>1330</v>
      </c>
      <c r="D984" s="14">
        <v>45951</v>
      </c>
      <c r="E984" s="5" t="s">
        <v>2269</v>
      </c>
      <c r="F984" s="5" t="s">
        <v>1336</v>
      </c>
      <c r="G984" s="3" t="s">
        <v>6216</v>
      </c>
      <c r="H984" s="6" t="s">
        <v>918</v>
      </c>
      <c r="I984" s="203" t="s">
        <v>111</v>
      </c>
      <c r="J984" s="6">
        <v>3</v>
      </c>
      <c r="K984" s="6">
        <v>406</v>
      </c>
      <c r="L984" s="7" t="s">
        <v>6358</v>
      </c>
      <c r="M984" s="8" t="str">
        <f>IF(Caja_Arequipa[[#This Row],[tipo_r]]="R","001-"&amp;12002+A984,M983)</f>
        <v>001-12725</v>
      </c>
      <c r="N984" s="8" t="str">
        <f t="shared" ref="N984:N993" si="216">"PEN"</f>
        <v>PEN</v>
      </c>
      <c r="O984" s="13"/>
      <c r="P984" s="13">
        <v>10</v>
      </c>
      <c r="Q984" s="3">
        <f t="shared" ref="Q984:Q993" si="217">+IF(OR($F984="SALDO",$F984="INGRESO"),$P984,0)</f>
        <v>0</v>
      </c>
      <c r="R984" s="3">
        <f t="shared" ref="R984:R993" si="218">+IF($F984="EGRESO",$P984,0)</f>
        <v>10</v>
      </c>
      <c r="S984" s="3">
        <f t="shared" si="214"/>
        <v>599.89999999999873</v>
      </c>
      <c r="T984" s="24"/>
      <c r="U984" s="24" t="s">
        <v>1334</v>
      </c>
      <c r="V984" s="3"/>
      <c r="W984" s="25">
        <f>IFERROR(VLOOKUP(Caja_Arequipa[[#This Row],[destinatario]],CHOOSE({1,2},Clientes_Proveedores[Razon Social],Clientes_Proveedores[Ruc / Dni]),2,0),"")</f>
        <v>48536654</v>
      </c>
      <c r="X984" s="3"/>
      <c r="Y984" s="3"/>
      <c r="Z984" s="3"/>
      <c r="AA984" s="3"/>
      <c r="AB984" s="3" t="str">
        <f>IF(Caja_Arequipa[[#This Row],[fecha]]&gt;0,TEXT(Caja_Arequipa[[#This Row],[fecha]],"mmmm"),0)</f>
        <v>Octubre</v>
      </c>
    </row>
    <row r="985" spans="1:28" ht="24" x14ac:dyDescent="0.3">
      <c r="A985" s="2">
        <f>IF(Caja_Arequipa[[#This Row],[tipo_r]]="R",COUNTIFS($C$1:$C984,"R")+1,A984)</f>
        <v>724</v>
      </c>
      <c r="B985" s="19" t="str">
        <f t="shared" si="215"/>
        <v>C-Tesoreria</v>
      </c>
      <c r="C985" s="73" t="s">
        <v>1330</v>
      </c>
      <c r="D985" s="14">
        <v>45951</v>
      </c>
      <c r="E985" s="5" t="s">
        <v>2269</v>
      </c>
      <c r="F985" s="5" t="s">
        <v>1336</v>
      </c>
      <c r="G985" s="3" t="s">
        <v>6216</v>
      </c>
      <c r="H985" s="6" t="s">
        <v>918</v>
      </c>
      <c r="I985" s="203" t="s">
        <v>111</v>
      </c>
      <c r="J985" s="6">
        <v>3</v>
      </c>
      <c r="K985" s="6">
        <v>407</v>
      </c>
      <c r="L985" s="7" t="s">
        <v>6359</v>
      </c>
      <c r="M985" s="8" t="str">
        <f>IF(Caja_Arequipa[[#This Row],[tipo_r]]="R","001-"&amp;12002+A985,M984)</f>
        <v>001-12726</v>
      </c>
      <c r="N985" s="8" t="str">
        <f t="shared" si="216"/>
        <v>PEN</v>
      </c>
      <c r="O985" s="13"/>
      <c r="P985" s="13">
        <v>32</v>
      </c>
      <c r="Q985" s="3">
        <f t="shared" si="217"/>
        <v>0</v>
      </c>
      <c r="R985" s="3">
        <f t="shared" si="218"/>
        <v>32</v>
      </c>
      <c r="S985" s="3">
        <f t="shared" si="214"/>
        <v>567.89999999999873</v>
      </c>
      <c r="T985" s="24"/>
      <c r="U985" s="24" t="s">
        <v>1334</v>
      </c>
      <c r="V985" s="3"/>
      <c r="W985" s="25">
        <f>IFERROR(VLOOKUP(Caja_Arequipa[[#This Row],[destinatario]],CHOOSE({1,2},Clientes_Proveedores[Razon Social],Clientes_Proveedores[Ruc / Dni]),2,0),"")</f>
        <v>48536654</v>
      </c>
      <c r="X985" s="3"/>
      <c r="Y985" s="3"/>
      <c r="Z985" s="3"/>
      <c r="AA985" s="3"/>
      <c r="AB985" s="3" t="str">
        <f>IF(Caja_Arequipa[[#This Row],[fecha]]&gt;0,TEXT(Caja_Arequipa[[#This Row],[fecha]],"mmmm"),0)</f>
        <v>Octubre</v>
      </c>
    </row>
    <row r="986" spans="1:28" ht="24" x14ac:dyDescent="0.3">
      <c r="A986" s="2">
        <f>IF(Caja_Arequipa[[#This Row],[tipo_r]]="R",COUNTIFS($C$1:$C985,"R")+1,A985)</f>
        <v>725</v>
      </c>
      <c r="B986" s="19" t="str">
        <f t="shared" si="215"/>
        <v>C-Tesoreria</v>
      </c>
      <c r="C986" s="73" t="s">
        <v>1330</v>
      </c>
      <c r="D986" s="14">
        <v>45951</v>
      </c>
      <c r="E986" s="5" t="s">
        <v>2269</v>
      </c>
      <c r="F986" s="5" t="s">
        <v>1336</v>
      </c>
      <c r="G986" s="3" t="s">
        <v>6216</v>
      </c>
      <c r="H986" s="6" t="s">
        <v>918</v>
      </c>
      <c r="I986" s="203" t="s">
        <v>111</v>
      </c>
      <c r="J986" s="6">
        <v>3</v>
      </c>
      <c r="K986" s="6">
        <v>408</v>
      </c>
      <c r="L986" s="7" t="s">
        <v>6360</v>
      </c>
      <c r="M986" s="8" t="str">
        <f>IF(Caja_Arequipa[[#This Row],[tipo_r]]="R","001-"&amp;12002+A986,M985)</f>
        <v>001-12727</v>
      </c>
      <c r="N986" s="8" t="str">
        <f t="shared" si="216"/>
        <v>PEN</v>
      </c>
      <c r="O986" s="13"/>
      <c r="P986" s="13">
        <v>26</v>
      </c>
      <c r="Q986" s="3">
        <f t="shared" si="217"/>
        <v>0</v>
      </c>
      <c r="R986" s="3">
        <f t="shared" si="218"/>
        <v>26</v>
      </c>
      <c r="S986" s="3">
        <f t="shared" si="214"/>
        <v>541.89999999999873</v>
      </c>
      <c r="T986" s="24"/>
      <c r="U986" s="24" t="s">
        <v>1334</v>
      </c>
      <c r="V986" s="3"/>
      <c r="W986" s="25">
        <f>IFERROR(VLOOKUP(Caja_Arequipa[[#This Row],[destinatario]],CHOOSE({1,2},Clientes_Proveedores[Razon Social],Clientes_Proveedores[Ruc / Dni]),2,0),"")</f>
        <v>48536654</v>
      </c>
      <c r="X986" s="3"/>
      <c r="Y986" s="3"/>
      <c r="Z986" s="3"/>
      <c r="AA986" s="3"/>
      <c r="AB986" s="3" t="str">
        <f>IF(Caja_Arequipa[[#This Row],[fecha]]&gt;0,TEXT(Caja_Arequipa[[#This Row],[fecha]],"mmmm"),0)</f>
        <v>Octubre</v>
      </c>
    </row>
    <row r="987" spans="1:28" ht="24" x14ac:dyDescent="0.3">
      <c r="A987" s="2">
        <f>IF(Caja_Arequipa[[#This Row],[tipo_r]]="R",COUNTIFS($C$1:$C986,"R")+1,A986)</f>
        <v>726</v>
      </c>
      <c r="B987" s="19" t="str">
        <f t="shared" si="215"/>
        <v>C-Tesoreria</v>
      </c>
      <c r="C987" s="73" t="s">
        <v>1330</v>
      </c>
      <c r="D987" s="14">
        <v>45951</v>
      </c>
      <c r="E987" s="5" t="s">
        <v>2269</v>
      </c>
      <c r="F987" s="5" t="s">
        <v>1336</v>
      </c>
      <c r="G987" s="3" t="s">
        <v>6216</v>
      </c>
      <c r="H987" s="6" t="s">
        <v>918</v>
      </c>
      <c r="I987" s="203" t="s">
        <v>111</v>
      </c>
      <c r="J987" s="6">
        <v>3</v>
      </c>
      <c r="K987" s="6">
        <v>409</v>
      </c>
      <c r="L987" s="7" t="s">
        <v>6361</v>
      </c>
      <c r="M987" s="8" t="str">
        <f>IF(Caja_Arequipa[[#This Row],[tipo_r]]="R","001-"&amp;12002+A987,M986)</f>
        <v>001-12728</v>
      </c>
      <c r="N987" s="8" t="str">
        <f t="shared" si="216"/>
        <v>PEN</v>
      </c>
      <c r="O987" s="13"/>
      <c r="P987" s="13">
        <v>5</v>
      </c>
      <c r="Q987" s="3">
        <f t="shared" si="217"/>
        <v>0</v>
      </c>
      <c r="R987" s="3">
        <f t="shared" si="218"/>
        <v>5</v>
      </c>
      <c r="S987" s="3">
        <f t="shared" si="214"/>
        <v>536.89999999999873</v>
      </c>
      <c r="T987" s="24"/>
      <c r="U987" s="24" t="s">
        <v>1334</v>
      </c>
      <c r="V987" s="3"/>
      <c r="W987" s="25">
        <f>IFERROR(VLOOKUP(Caja_Arequipa[[#This Row],[destinatario]],CHOOSE({1,2},Clientes_Proveedores[Razon Social],Clientes_Proveedores[Ruc / Dni]),2,0),"")</f>
        <v>48536654</v>
      </c>
      <c r="X987" s="3"/>
      <c r="Y987" s="3"/>
      <c r="Z987" s="3"/>
      <c r="AA987" s="3"/>
      <c r="AB987" s="3" t="str">
        <f>IF(Caja_Arequipa[[#This Row],[fecha]]&gt;0,TEXT(Caja_Arequipa[[#This Row],[fecha]],"mmmm"),0)</f>
        <v>Octubre</v>
      </c>
    </row>
    <row r="988" spans="1:28" ht="24" x14ac:dyDescent="0.3">
      <c r="A988" s="2">
        <f>IF(Caja_Arequipa[[#This Row],[tipo_r]]="R",COUNTIFS($C$1:$C987,"R")+1,A987)</f>
        <v>727</v>
      </c>
      <c r="B988" s="19" t="str">
        <f t="shared" si="215"/>
        <v>C-Tesoreria</v>
      </c>
      <c r="C988" s="73" t="s">
        <v>1330</v>
      </c>
      <c r="D988" s="14">
        <v>45951</v>
      </c>
      <c r="E988" s="5" t="s">
        <v>2269</v>
      </c>
      <c r="F988" s="5" t="s">
        <v>1336</v>
      </c>
      <c r="G988" s="3" t="s">
        <v>6216</v>
      </c>
      <c r="H988" s="6" t="s">
        <v>918</v>
      </c>
      <c r="I988" s="203" t="s">
        <v>111</v>
      </c>
      <c r="J988" s="6">
        <v>3</v>
      </c>
      <c r="K988" s="6">
        <v>410</v>
      </c>
      <c r="L988" s="7" t="s">
        <v>6362</v>
      </c>
      <c r="M988" s="8" t="str">
        <f>IF(Caja_Arequipa[[#This Row],[tipo_r]]="R","001-"&amp;12002+A988,M987)</f>
        <v>001-12729</v>
      </c>
      <c r="N988" s="8" t="str">
        <f t="shared" si="216"/>
        <v>PEN</v>
      </c>
      <c r="O988" s="13"/>
      <c r="P988" s="205">
        <v>44</v>
      </c>
      <c r="Q988" s="3">
        <f t="shared" si="217"/>
        <v>0</v>
      </c>
      <c r="R988" s="3">
        <f t="shared" si="218"/>
        <v>44</v>
      </c>
      <c r="S988" s="3">
        <f t="shared" si="214"/>
        <v>492.89999999999873</v>
      </c>
      <c r="T988" s="24"/>
      <c r="U988" s="24"/>
      <c r="V988" s="3"/>
      <c r="W988" s="25">
        <f>IFERROR(VLOOKUP(Caja_Arequipa[[#This Row],[destinatario]],CHOOSE({1,2},Clientes_Proveedores[Razon Social],Clientes_Proveedores[Ruc / Dni]),2,0),"")</f>
        <v>48536654</v>
      </c>
      <c r="X988" s="3"/>
      <c r="Y988" s="3"/>
      <c r="Z988" s="3"/>
      <c r="AA988" s="3"/>
      <c r="AB988" s="3" t="str">
        <f>IF(Caja_Arequipa[[#This Row],[fecha]]&gt;0,TEXT(Caja_Arequipa[[#This Row],[fecha]],"mmmm"),0)</f>
        <v>Octubre</v>
      </c>
    </row>
    <row r="989" spans="1:28" ht="24" x14ac:dyDescent="0.3">
      <c r="A989" s="2">
        <f>IF(Caja_Arequipa[[#This Row],[tipo_r]]="R",COUNTIFS($C$1:$C988,"R")+1,A988)</f>
        <v>728</v>
      </c>
      <c r="B989" s="19" t="str">
        <f t="shared" si="215"/>
        <v>C-Tesoreria</v>
      </c>
      <c r="C989" s="73" t="s">
        <v>1330</v>
      </c>
      <c r="D989" s="14">
        <v>45951</v>
      </c>
      <c r="E989" s="5" t="s">
        <v>2269</v>
      </c>
      <c r="F989" s="5" t="s">
        <v>1336</v>
      </c>
      <c r="G989" s="3" t="s">
        <v>6216</v>
      </c>
      <c r="H989" s="6" t="s">
        <v>918</v>
      </c>
      <c r="I989" s="203" t="s">
        <v>111</v>
      </c>
      <c r="J989" s="6">
        <v>3</v>
      </c>
      <c r="K989" s="6">
        <v>411</v>
      </c>
      <c r="L989" s="7" t="s">
        <v>6363</v>
      </c>
      <c r="M989" s="8" t="str">
        <f>IF(Caja_Arequipa[[#This Row],[tipo_r]]="R","001-"&amp;12002+A989,M988)</f>
        <v>001-12730</v>
      </c>
      <c r="N989" s="8" t="str">
        <f t="shared" si="216"/>
        <v>PEN</v>
      </c>
      <c r="O989" s="13"/>
      <c r="P989" s="13">
        <v>14</v>
      </c>
      <c r="Q989" s="3">
        <f t="shared" si="217"/>
        <v>0</v>
      </c>
      <c r="R989" s="3">
        <f t="shared" si="218"/>
        <v>14</v>
      </c>
      <c r="S989" s="3">
        <f t="shared" si="214"/>
        <v>478.89999999999873</v>
      </c>
      <c r="T989" s="24"/>
      <c r="U989" s="24" t="s">
        <v>1334</v>
      </c>
      <c r="V989" s="3"/>
      <c r="W989" s="25">
        <f>IFERROR(VLOOKUP(Caja_Arequipa[[#This Row],[destinatario]],CHOOSE({1,2},Clientes_Proveedores[Razon Social],Clientes_Proveedores[Ruc / Dni]),2,0),"")</f>
        <v>48536654</v>
      </c>
      <c r="X989" s="3"/>
      <c r="Y989" s="3"/>
      <c r="Z989" s="3"/>
      <c r="AA989" s="3"/>
      <c r="AB989" s="3" t="str">
        <f>IF(Caja_Arequipa[[#This Row],[fecha]]&gt;0,TEXT(Caja_Arequipa[[#This Row],[fecha]],"mmmm"),0)</f>
        <v>Octubre</v>
      </c>
    </row>
    <row r="990" spans="1:28" ht="24" x14ac:dyDescent="0.3">
      <c r="A990" s="2">
        <f>IF(Caja_Arequipa[[#This Row],[tipo_r]]="R",COUNTIFS($C$1:$C989,"R")+1,A989)</f>
        <v>729</v>
      </c>
      <c r="B990" s="19" t="str">
        <f t="shared" si="215"/>
        <v>C-Tesoreria</v>
      </c>
      <c r="C990" s="73" t="s">
        <v>1330</v>
      </c>
      <c r="D990" s="14">
        <v>45951</v>
      </c>
      <c r="E990" s="5" t="s">
        <v>2269</v>
      </c>
      <c r="F990" s="5" t="s">
        <v>1336</v>
      </c>
      <c r="G990" s="3" t="s">
        <v>6216</v>
      </c>
      <c r="H990" s="6" t="s">
        <v>918</v>
      </c>
      <c r="I990" s="203" t="s">
        <v>111</v>
      </c>
      <c r="J990" s="6">
        <v>3</v>
      </c>
      <c r="K990" s="6">
        <v>412</v>
      </c>
      <c r="L990" s="7" t="s">
        <v>6364</v>
      </c>
      <c r="M990" s="8" t="str">
        <f>IF(Caja_Arequipa[[#This Row],[tipo_r]]="R","001-"&amp;12002+A990,M989)</f>
        <v>001-12731</v>
      </c>
      <c r="N990" s="8" t="str">
        <f t="shared" si="216"/>
        <v>PEN</v>
      </c>
      <c r="O990" s="13"/>
      <c r="P990" s="13">
        <v>29</v>
      </c>
      <c r="Q990" s="3">
        <f t="shared" si="217"/>
        <v>0</v>
      </c>
      <c r="R990" s="3">
        <f t="shared" si="218"/>
        <v>29</v>
      </c>
      <c r="S990" s="3">
        <f t="shared" si="214"/>
        <v>449.89999999999873</v>
      </c>
      <c r="T990" s="24"/>
      <c r="U990" s="24" t="s">
        <v>1334</v>
      </c>
      <c r="V990" s="3"/>
      <c r="W990" s="25">
        <f>IFERROR(VLOOKUP(Caja_Arequipa[[#This Row],[destinatario]],CHOOSE({1,2},Clientes_Proveedores[Razon Social],Clientes_Proveedores[Ruc / Dni]),2,0),"")</f>
        <v>48536654</v>
      </c>
      <c r="X990" s="3"/>
      <c r="Y990" s="3"/>
      <c r="Z990" s="3"/>
      <c r="AA990" s="3"/>
      <c r="AB990" s="3" t="str">
        <f>IF(Caja_Arequipa[[#This Row],[fecha]]&gt;0,TEXT(Caja_Arequipa[[#This Row],[fecha]],"mmmm"),0)</f>
        <v>Octubre</v>
      </c>
    </row>
    <row r="991" spans="1:28" ht="24" x14ac:dyDescent="0.3">
      <c r="A991" s="2">
        <f>IF(Caja_Arequipa[[#This Row],[tipo_r]]="R",COUNTIFS($C$1:$C990,"R")+1,A990)</f>
        <v>730</v>
      </c>
      <c r="B991" s="19" t="str">
        <f t="shared" si="215"/>
        <v>C-Tesoreria</v>
      </c>
      <c r="C991" s="73" t="s">
        <v>1330</v>
      </c>
      <c r="D991" s="14">
        <v>45951</v>
      </c>
      <c r="E991" s="5" t="s">
        <v>2269</v>
      </c>
      <c r="F991" s="5" t="s">
        <v>1336</v>
      </c>
      <c r="G991" s="3" t="s">
        <v>6216</v>
      </c>
      <c r="H991" s="6" t="s">
        <v>918</v>
      </c>
      <c r="I991" s="203" t="s">
        <v>111</v>
      </c>
      <c r="J991" s="6">
        <v>3</v>
      </c>
      <c r="K991" s="6">
        <v>413</v>
      </c>
      <c r="L991" s="7" t="s">
        <v>6365</v>
      </c>
      <c r="M991" s="8" t="str">
        <f>IF(Caja_Arequipa[[#This Row],[tipo_r]]="R","001-"&amp;12002+A991,M990)</f>
        <v>001-12732</v>
      </c>
      <c r="N991" s="8" t="str">
        <f t="shared" si="216"/>
        <v>PEN</v>
      </c>
      <c r="O991" s="13"/>
      <c r="P991" s="13">
        <v>60</v>
      </c>
      <c r="Q991" s="3">
        <f t="shared" si="217"/>
        <v>0</v>
      </c>
      <c r="R991" s="3">
        <f t="shared" si="218"/>
        <v>60</v>
      </c>
      <c r="S991" s="3">
        <f t="shared" si="214"/>
        <v>389.89999999999873</v>
      </c>
      <c r="T991" s="24"/>
      <c r="U991" s="24" t="s">
        <v>1334</v>
      </c>
      <c r="V991" s="3"/>
      <c r="W991" s="25">
        <f>IFERROR(VLOOKUP(Caja_Arequipa[[#This Row],[destinatario]],CHOOSE({1,2},Clientes_Proveedores[Razon Social],Clientes_Proveedores[Ruc / Dni]),2,0),"")</f>
        <v>48536654</v>
      </c>
      <c r="X991" s="3"/>
      <c r="Y991" s="3"/>
      <c r="Z991" s="3"/>
      <c r="AA991" s="3"/>
      <c r="AB991" s="3" t="str">
        <f>IF(Caja_Arequipa[[#This Row],[fecha]]&gt;0,TEXT(Caja_Arequipa[[#This Row],[fecha]],"mmmm"),0)</f>
        <v>Octubre</v>
      </c>
    </row>
    <row r="992" spans="1:28" ht="24" x14ac:dyDescent="0.3">
      <c r="A992" s="2">
        <f>IF(Caja_Arequipa[[#This Row],[tipo_r]]="R",COUNTIFS($C$1:$C991,"R")+1,A991)</f>
        <v>731</v>
      </c>
      <c r="B992" s="19" t="str">
        <f t="shared" si="215"/>
        <v>C-Tesoreria</v>
      </c>
      <c r="C992" s="73" t="s">
        <v>1330</v>
      </c>
      <c r="D992" s="14">
        <v>45951</v>
      </c>
      <c r="E992" s="5" t="s">
        <v>2269</v>
      </c>
      <c r="F992" s="5" t="s">
        <v>1336</v>
      </c>
      <c r="G992" s="3" t="s">
        <v>6216</v>
      </c>
      <c r="H992" s="6" t="s">
        <v>918</v>
      </c>
      <c r="I992" s="203" t="s">
        <v>111</v>
      </c>
      <c r="J992" s="6">
        <v>3</v>
      </c>
      <c r="K992" s="6">
        <v>414</v>
      </c>
      <c r="L992" s="7" t="s">
        <v>6366</v>
      </c>
      <c r="M992" s="8" t="str">
        <f>IF(Caja_Arequipa[[#This Row],[tipo_r]]="R","001-"&amp;12002+A992,M991)</f>
        <v>001-12733</v>
      </c>
      <c r="N992" s="8" t="str">
        <f t="shared" si="216"/>
        <v>PEN</v>
      </c>
      <c r="O992" s="13"/>
      <c r="P992" s="13">
        <v>12</v>
      </c>
      <c r="Q992" s="3">
        <f t="shared" si="217"/>
        <v>0</v>
      </c>
      <c r="R992" s="3">
        <f t="shared" si="218"/>
        <v>12</v>
      </c>
      <c r="S992" s="3">
        <f t="shared" si="214"/>
        <v>377.89999999999873</v>
      </c>
      <c r="T992" s="24"/>
      <c r="U992" s="24" t="s">
        <v>1334</v>
      </c>
      <c r="V992" s="3"/>
      <c r="W992" s="25">
        <f>IFERROR(VLOOKUP(Caja_Arequipa[[#This Row],[destinatario]],CHOOSE({1,2},Clientes_Proveedores[Razon Social],Clientes_Proveedores[Ruc / Dni]),2,0),"")</f>
        <v>48536654</v>
      </c>
      <c r="X992" s="3"/>
      <c r="Y992" s="3"/>
      <c r="Z992" s="3"/>
      <c r="AA992" s="3"/>
      <c r="AB992" s="3" t="str">
        <f>IF(Caja_Arequipa[[#This Row],[fecha]]&gt;0,TEXT(Caja_Arequipa[[#This Row],[fecha]],"mmmm"),0)</f>
        <v>Octubre</v>
      </c>
    </row>
    <row r="993" spans="1:28" ht="24" x14ac:dyDescent="0.3">
      <c r="A993" s="2">
        <f>IF(Caja_Arequipa[[#This Row],[tipo_r]]="R",COUNTIFS($C$1:$C992,"R")+1,A992)</f>
        <v>732</v>
      </c>
      <c r="B993" s="19" t="str">
        <f t="shared" si="215"/>
        <v>C-Tesoreria</v>
      </c>
      <c r="C993" s="73" t="s">
        <v>1330</v>
      </c>
      <c r="D993" s="14">
        <v>45951</v>
      </c>
      <c r="E993" s="5" t="s">
        <v>2269</v>
      </c>
      <c r="F993" s="5" t="s">
        <v>1336</v>
      </c>
      <c r="G993" s="3" t="s">
        <v>6216</v>
      </c>
      <c r="H993" s="6" t="s">
        <v>918</v>
      </c>
      <c r="I993" s="203" t="s">
        <v>111</v>
      </c>
      <c r="J993" s="6">
        <v>3</v>
      </c>
      <c r="K993" s="6">
        <v>415</v>
      </c>
      <c r="L993" s="7" t="s">
        <v>6367</v>
      </c>
      <c r="M993" s="8" t="str">
        <f>IF(Caja_Arequipa[[#This Row],[tipo_r]]="R","001-"&amp;12002+A993,M992)</f>
        <v>001-12734</v>
      </c>
      <c r="N993" s="8" t="str">
        <f t="shared" si="216"/>
        <v>PEN</v>
      </c>
      <c r="O993" s="13"/>
      <c r="P993" s="13">
        <v>18</v>
      </c>
      <c r="Q993" s="3">
        <f t="shared" si="217"/>
        <v>0</v>
      </c>
      <c r="R993" s="3">
        <f t="shared" si="218"/>
        <v>18</v>
      </c>
      <c r="S993" s="3">
        <f t="shared" si="214"/>
        <v>359.89999999999873</v>
      </c>
      <c r="T993" s="24"/>
      <c r="U993" s="24" t="s">
        <v>1334</v>
      </c>
      <c r="V993" s="3"/>
      <c r="W993" s="25">
        <f>IFERROR(VLOOKUP(Caja_Arequipa[[#This Row],[destinatario]],CHOOSE({1,2},Clientes_Proveedores[Razon Social],Clientes_Proveedores[Ruc / Dni]),2,0),"")</f>
        <v>48536654</v>
      </c>
      <c r="X993" s="3"/>
      <c r="Y993" s="3"/>
      <c r="Z993" s="3"/>
      <c r="AA993" s="3"/>
      <c r="AB993" s="3" t="str">
        <f>IF(Caja_Arequipa[[#This Row],[fecha]]&gt;0,TEXT(Caja_Arequipa[[#This Row],[fecha]],"mmmm"),0)</f>
        <v>Octubre</v>
      </c>
    </row>
    <row r="994" spans="1:28" ht="24" x14ac:dyDescent="0.3">
      <c r="A994" s="2">
        <f>IF(Caja_Arequipa[[#This Row],[tipo_r]]="R",COUNTIFS($C$1:$C993,"R")+1,A993)</f>
        <v>733</v>
      </c>
      <c r="B994" s="19" t="str">
        <f t="shared" ref="B994:B1011" si="219">"C-Tesoreria"</f>
        <v>C-Tesoreria</v>
      </c>
      <c r="C994" s="73" t="s">
        <v>1330</v>
      </c>
      <c r="D994" s="14">
        <v>45951</v>
      </c>
      <c r="E994" s="5" t="s">
        <v>6368</v>
      </c>
      <c r="F994" s="5" t="s">
        <v>1303</v>
      </c>
      <c r="G994" s="3"/>
      <c r="H994" s="6"/>
      <c r="I994" s="208" t="s">
        <v>130</v>
      </c>
      <c r="J994" s="6">
        <v>1</v>
      </c>
      <c r="K994" s="6">
        <v>221</v>
      </c>
      <c r="L994" s="7" t="s">
        <v>6369</v>
      </c>
      <c r="M994" s="8" t="str">
        <f>IF(Caja_Arequipa[[#This Row],[tipo_r]]="R","001-"&amp;12002+A994,M993)</f>
        <v>001-12735</v>
      </c>
      <c r="N994" s="8" t="str">
        <f t="shared" ref="N994:N1011" si="220">"PEN"</f>
        <v>PEN</v>
      </c>
      <c r="O994" s="13"/>
      <c r="P994" s="13">
        <v>200</v>
      </c>
      <c r="Q994" s="3">
        <f t="shared" ref="Q994:Q1011" si="221">+IF(OR($F994="SALDO",$F994="INGRESO"),$P994,0)</f>
        <v>200</v>
      </c>
      <c r="R994" s="3">
        <f t="shared" ref="R994:R1011" si="222">+IF($F994="EGRESO",$P994,0)</f>
        <v>0</v>
      </c>
      <c r="S994" s="3">
        <f t="shared" si="214"/>
        <v>559.89999999999873</v>
      </c>
      <c r="T994" s="24"/>
      <c r="U994" s="24"/>
      <c r="V994" s="3"/>
      <c r="W994" s="25" t="str">
        <f>IFERROR(VLOOKUP(Caja_Arequipa[[#This Row],[destinatario]],CHOOSE({1,2},Clientes_Proveedores[Razon Social],Clientes_Proveedores[Ruc / Dni]),2,0),"")</f>
        <v/>
      </c>
      <c r="X994" s="3"/>
      <c r="Y994" s="3"/>
      <c r="Z994" s="3"/>
      <c r="AA994" s="3"/>
      <c r="AB994" s="3" t="str">
        <f>IF(Caja_Arequipa[[#This Row],[fecha]]&gt;0,TEXT(Caja_Arequipa[[#This Row],[fecha]],"mmmm"),0)</f>
        <v>Octubre</v>
      </c>
    </row>
    <row r="995" spans="1:28" x14ac:dyDescent="0.3">
      <c r="A995" s="2">
        <f>IF(Caja_Arequipa[[#This Row],[tipo_r]]="R",COUNTIFS($C$1:$C994,"R")+1,A994)</f>
        <v>734</v>
      </c>
      <c r="B995" s="19" t="str">
        <f t="shared" si="219"/>
        <v>C-Tesoreria</v>
      </c>
      <c r="C995" s="73" t="s">
        <v>1330</v>
      </c>
      <c r="D995" s="14">
        <v>45952</v>
      </c>
      <c r="E995" s="5" t="s">
        <v>2269</v>
      </c>
      <c r="F995" s="5" t="s">
        <v>1336</v>
      </c>
      <c r="G995" s="3" t="s">
        <v>6246</v>
      </c>
      <c r="H995" s="6"/>
      <c r="I995" s="204"/>
      <c r="J995" s="6"/>
      <c r="K995" s="6"/>
      <c r="L995" s="7" t="s">
        <v>6370</v>
      </c>
      <c r="M995" s="8" t="str">
        <f>IF(Caja_Arequipa[[#This Row],[tipo_r]]="R","001-"&amp;12002+A995,M994)</f>
        <v>001-12736</v>
      </c>
      <c r="N995" s="8" t="str">
        <f t="shared" si="220"/>
        <v>PEN</v>
      </c>
      <c r="O995" s="13"/>
      <c r="P995" s="13">
        <v>94</v>
      </c>
      <c r="Q995" s="3">
        <f t="shared" si="221"/>
        <v>0</v>
      </c>
      <c r="R995" s="3">
        <f t="shared" si="222"/>
        <v>94</v>
      </c>
      <c r="S995" s="3">
        <f t="shared" si="214"/>
        <v>465.89999999999873</v>
      </c>
      <c r="T995" s="24"/>
      <c r="U995" s="24" t="s">
        <v>1334</v>
      </c>
      <c r="V995" s="3"/>
      <c r="W995" s="25" t="str">
        <f>IFERROR(VLOOKUP(Caja_Arequipa[[#This Row],[destinatario]],CHOOSE({1,2},Clientes_Proveedores[Razon Social],Clientes_Proveedores[Ruc / Dni]),2,0),"")</f>
        <v/>
      </c>
      <c r="X995" s="3"/>
      <c r="Y995" s="3"/>
      <c r="Z995" s="3"/>
      <c r="AA995" s="3"/>
      <c r="AB995" s="3" t="str">
        <f>IF(Caja_Arequipa[[#This Row],[fecha]]&gt;0,TEXT(Caja_Arequipa[[#This Row],[fecha]],"mmmm"),0)</f>
        <v>Octubre</v>
      </c>
    </row>
    <row r="996" spans="1:28" ht="24" x14ac:dyDescent="0.3">
      <c r="A996" s="2">
        <f>IF(Caja_Arequipa[[#This Row],[tipo_r]]="R",COUNTIFS($C$1:$C995,"R")+1,A995)</f>
        <v>734</v>
      </c>
      <c r="B996" s="19" t="str">
        <f t="shared" si="219"/>
        <v>C-Tesoreria</v>
      </c>
      <c r="C996" s="73" t="s">
        <v>1352</v>
      </c>
      <c r="D996" s="14">
        <v>45952</v>
      </c>
      <c r="E996" s="5" t="s">
        <v>2269</v>
      </c>
      <c r="F996" s="5" t="s">
        <v>1336</v>
      </c>
      <c r="G996" s="3"/>
      <c r="H996" s="6" t="s">
        <v>1276</v>
      </c>
      <c r="I996" s="204" t="s">
        <v>68</v>
      </c>
      <c r="J996" s="6" t="s">
        <v>1374</v>
      </c>
      <c r="K996" s="6">
        <v>7896</v>
      </c>
      <c r="L996" s="7" t="s">
        <v>6370</v>
      </c>
      <c r="M996" s="8" t="str">
        <f>IF(Caja_Arequipa[[#This Row],[tipo_r]]="R","001-"&amp;12002+A996,M995)</f>
        <v>001-12736</v>
      </c>
      <c r="N996" s="8" t="str">
        <f t="shared" si="220"/>
        <v>PEN</v>
      </c>
      <c r="O996" s="13">
        <v>10</v>
      </c>
      <c r="P996" s="13"/>
      <c r="Q996" s="3">
        <f t="shared" si="221"/>
        <v>0</v>
      </c>
      <c r="R996" s="3">
        <f t="shared" si="222"/>
        <v>0</v>
      </c>
      <c r="S996" s="3">
        <f t="shared" ref="S996:S1011" si="223">IFERROR(IF(F996="SALDO",Q996,S995+Q996-R996),0)</f>
        <v>465.89999999999873</v>
      </c>
      <c r="T996" s="24"/>
      <c r="U996" s="24" t="s">
        <v>1334</v>
      </c>
      <c r="V996" s="3"/>
      <c r="W996" s="25">
        <f>IFERROR(VLOOKUP(Caja_Arequipa[[#This Row],[destinatario]],CHOOSE({1,2},Clientes_Proveedores[Razon Social],Clientes_Proveedores[Ruc / Dni]),2,0),"")</f>
        <v>10803233549</v>
      </c>
      <c r="X996" s="3"/>
      <c r="Y996" s="3"/>
      <c r="Z996" s="3"/>
      <c r="AA996" s="3"/>
      <c r="AB996" s="3" t="str">
        <f>IF(Caja_Arequipa[[#This Row],[fecha]]&gt;0,TEXT(Caja_Arequipa[[#This Row],[fecha]],"mmmm"),0)</f>
        <v>Octubre</v>
      </c>
    </row>
    <row r="997" spans="1:28" ht="24" x14ac:dyDescent="0.3">
      <c r="A997" s="2">
        <f>IF(Caja_Arequipa[[#This Row],[tipo_r]]="R",COUNTIFS($C$1:$C996,"R")+1,A996)</f>
        <v>734</v>
      </c>
      <c r="B997" s="19" t="str">
        <f t="shared" si="219"/>
        <v>C-Tesoreria</v>
      </c>
      <c r="C997" s="73" t="s">
        <v>1352</v>
      </c>
      <c r="D997" s="14">
        <v>45952</v>
      </c>
      <c r="E997" s="5" t="s">
        <v>2269</v>
      </c>
      <c r="F997" s="5" t="s">
        <v>1336</v>
      </c>
      <c r="G997" s="3"/>
      <c r="H997" s="6" t="s">
        <v>1133</v>
      </c>
      <c r="I997" s="204" t="s">
        <v>75</v>
      </c>
      <c r="J997" s="6">
        <v>1</v>
      </c>
      <c r="K997" s="6">
        <v>972</v>
      </c>
      <c r="L997" s="7" t="s">
        <v>6370</v>
      </c>
      <c r="M997" s="8" t="str">
        <f>IF(Caja_Arequipa[[#This Row],[tipo_r]]="R","001-"&amp;12002+A997,M996)</f>
        <v>001-12736</v>
      </c>
      <c r="N997" s="8" t="str">
        <f t="shared" si="220"/>
        <v>PEN</v>
      </c>
      <c r="O997" s="13">
        <v>66</v>
      </c>
      <c r="P997" s="13"/>
      <c r="Q997" s="3">
        <f t="shared" si="221"/>
        <v>0</v>
      </c>
      <c r="R997" s="3">
        <f t="shared" si="222"/>
        <v>0</v>
      </c>
      <c r="S997" s="3">
        <f t="shared" si="223"/>
        <v>465.89999999999873</v>
      </c>
      <c r="T997" s="24"/>
      <c r="U997" s="24" t="s">
        <v>1334</v>
      </c>
      <c r="V997" s="3"/>
      <c r="W997" s="25">
        <f>IFERROR(VLOOKUP(Caja_Arequipa[[#This Row],[destinatario]],CHOOSE({1,2},Clientes_Proveedores[Razon Social],Clientes_Proveedores[Ruc / Dni]),2,0),"")</f>
        <v>10749040918</v>
      </c>
      <c r="X997" s="3"/>
      <c r="Y997" s="3"/>
      <c r="Z997" s="3"/>
      <c r="AA997" s="3"/>
      <c r="AB997" s="3" t="str">
        <f>IF(Caja_Arequipa[[#This Row],[fecha]]&gt;0,TEXT(Caja_Arequipa[[#This Row],[fecha]],"mmmm"),0)</f>
        <v>Octubre</v>
      </c>
    </row>
    <row r="998" spans="1:28" ht="24" x14ac:dyDescent="0.3">
      <c r="A998" s="2">
        <f>IF(Caja_Arequipa[[#This Row],[tipo_r]]="R",COUNTIFS($C$1:$C997,"R")+1,A997)</f>
        <v>734</v>
      </c>
      <c r="B998" s="19" t="str">
        <f t="shared" si="219"/>
        <v>C-Tesoreria</v>
      </c>
      <c r="C998" s="73" t="s">
        <v>1352</v>
      </c>
      <c r="D998" s="14">
        <v>45952</v>
      </c>
      <c r="E998" s="5" t="s">
        <v>2269</v>
      </c>
      <c r="F998" s="5" t="s">
        <v>1336</v>
      </c>
      <c r="G998" s="3"/>
      <c r="H998" s="6" t="s">
        <v>1093</v>
      </c>
      <c r="I998" s="204" t="s">
        <v>111</v>
      </c>
      <c r="J998" s="6">
        <v>3</v>
      </c>
      <c r="K998" s="6">
        <v>419</v>
      </c>
      <c r="L998" s="7" t="s">
        <v>6370</v>
      </c>
      <c r="M998" s="8" t="str">
        <f>IF(Caja_Arequipa[[#This Row],[tipo_r]]="R","001-"&amp;12002+A998,M997)</f>
        <v>001-12736</v>
      </c>
      <c r="N998" s="8" t="str">
        <f t="shared" si="220"/>
        <v>PEN</v>
      </c>
      <c r="O998" s="13">
        <v>18</v>
      </c>
      <c r="P998" s="13"/>
      <c r="Q998" s="3">
        <f t="shared" si="221"/>
        <v>0</v>
      </c>
      <c r="R998" s="3">
        <f t="shared" si="222"/>
        <v>0</v>
      </c>
      <c r="S998" s="3">
        <f t="shared" si="223"/>
        <v>465.89999999999873</v>
      </c>
      <c r="T998" s="24"/>
      <c r="U998" s="24" t="s">
        <v>1334</v>
      </c>
      <c r="V998" s="3"/>
      <c r="W998" s="25">
        <f>IFERROR(VLOOKUP(Caja_Arequipa[[#This Row],[destinatario]],CHOOSE({1,2},Clientes_Proveedores[Razon Social],Clientes_Proveedores[Ruc / Dni]),2,0),"")</f>
        <v>75846609</v>
      </c>
      <c r="X998" s="3"/>
      <c r="Y998" s="3"/>
      <c r="Z998" s="3"/>
      <c r="AA998" s="3"/>
      <c r="AB998" s="3" t="str">
        <f>IF(Caja_Arequipa[[#This Row],[fecha]]&gt;0,TEXT(Caja_Arequipa[[#This Row],[fecha]],"mmmm"),0)</f>
        <v>Octubre</v>
      </c>
    </row>
    <row r="999" spans="1:28" ht="24" x14ac:dyDescent="0.3">
      <c r="A999" s="2">
        <f>IF(Caja_Arequipa[[#This Row],[tipo_r]]="R",COUNTIFS($C$1:$C998,"R")+1,A998)</f>
        <v>735</v>
      </c>
      <c r="B999" s="19" t="str">
        <f t="shared" si="219"/>
        <v>C-Tesoreria</v>
      </c>
      <c r="C999" s="73" t="s">
        <v>1330</v>
      </c>
      <c r="D999" s="14">
        <v>45952</v>
      </c>
      <c r="E999" s="5" t="s">
        <v>6344</v>
      </c>
      <c r="F999" s="5" t="s">
        <v>1336</v>
      </c>
      <c r="G999" s="3"/>
      <c r="H999" s="6"/>
      <c r="I999" s="206" t="s">
        <v>130</v>
      </c>
      <c r="J999" s="6">
        <v>1</v>
      </c>
      <c r="K999" s="6">
        <v>222</v>
      </c>
      <c r="L999" s="7" t="s">
        <v>6371</v>
      </c>
      <c r="M999" s="8" t="str">
        <f>IF(Caja_Arequipa[[#This Row],[tipo_r]]="R","001-"&amp;12002+A999,M998)</f>
        <v>001-12737</v>
      </c>
      <c r="N999" s="8" t="str">
        <f t="shared" si="220"/>
        <v>PEN</v>
      </c>
      <c r="O999" s="13"/>
      <c r="P999" s="13">
        <v>20</v>
      </c>
      <c r="Q999" s="3">
        <f t="shared" si="221"/>
        <v>0</v>
      </c>
      <c r="R999" s="3">
        <f t="shared" si="222"/>
        <v>20</v>
      </c>
      <c r="S999" s="3">
        <f t="shared" si="223"/>
        <v>445.89999999999873</v>
      </c>
      <c r="T999" s="24"/>
      <c r="U999" s="24"/>
      <c r="V999" s="3"/>
      <c r="W999" s="25" t="str">
        <f>IFERROR(VLOOKUP(Caja_Arequipa[[#This Row],[destinatario]],CHOOSE({1,2},Clientes_Proveedores[Razon Social],Clientes_Proveedores[Ruc / Dni]),2,0),"")</f>
        <v/>
      </c>
      <c r="X999" s="3"/>
      <c r="Y999" s="3"/>
      <c r="Z999" s="3"/>
      <c r="AA999" s="3"/>
      <c r="AB999" s="3" t="str">
        <f>IF(Caja_Arequipa[[#This Row],[fecha]]&gt;0,TEXT(Caja_Arequipa[[#This Row],[fecha]],"mmmm"),0)</f>
        <v>Octubre</v>
      </c>
    </row>
    <row r="1000" spans="1:28" x14ac:dyDescent="0.3">
      <c r="A1000" s="2">
        <f>IF(Caja_Arequipa[[#This Row],[tipo_r]]="R",COUNTIFS($C$1:$C999,"R")+1,A999)</f>
        <v>736</v>
      </c>
      <c r="B1000" s="19" t="str">
        <f t="shared" si="219"/>
        <v>C-Tesoreria</v>
      </c>
      <c r="C1000" s="3" t="s">
        <v>1330</v>
      </c>
      <c r="D1000" s="14">
        <v>45953</v>
      </c>
      <c r="E1000" s="5" t="s">
        <v>1338</v>
      </c>
      <c r="F1000" s="5" t="s">
        <v>1336</v>
      </c>
      <c r="G1000" s="3" t="s">
        <v>6246</v>
      </c>
      <c r="H1000" s="6"/>
      <c r="I1000" s="204"/>
      <c r="J1000" s="6"/>
      <c r="K1000" s="6"/>
      <c r="L1000" s="7" t="s">
        <v>6055</v>
      </c>
      <c r="M1000" s="8" t="str">
        <f>IF(Caja_Arequipa[[#This Row],[tipo_r]]="R","001-"&amp;12002+A1000,M999)</f>
        <v>001-12738</v>
      </c>
      <c r="N1000" s="8" t="str">
        <f t="shared" si="220"/>
        <v>PEN</v>
      </c>
      <c r="O1000" s="13"/>
      <c r="P1000" s="13">
        <v>221</v>
      </c>
      <c r="Q1000" s="3">
        <f t="shared" si="221"/>
        <v>0</v>
      </c>
      <c r="R1000" s="3">
        <f t="shared" si="222"/>
        <v>221</v>
      </c>
      <c r="S1000" s="3">
        <f t="shared" si="223"/>
        <v>224.89999999999873</v>
      </c>
      <c r="T1000" s="24"/>
      <c r="U1000" s="24" t="s">
        <v>1334</v>
      </c>
      <c r="V1000" s="3"/>
      <c r="W1000" s="25" t="str">
        <f>IFERROR(VLOOKUP(Caja_Arequipa[[#This Row],[destinatario]],CHOOSE({1,2},Clientes_Proveedores[Razon Social],Clientes_Proveedores[Ruc / Dni]),2,0),"")</f>
        <v/>
      </c>
      <c r="X1000" s="3"/>
      <c r="Y1000" s="3"/>
      <c r="Z1000" s="3"/>
      <c r="AA1000" s="3"/>
      <c r="AB1000" s="3" t="str">
        <f>IF(Caja_Arequipa[[#This Row],[fecha]]&gt;0,TEXT(Caja_Arequipa[[#This Row],[fecha]],"mmmm"),0)</f>
        <v>Octubre</v>
      </c>
    </row>
    <row r="1001" spans="1:28" ht="24" x14ac:dyDescent="0.3">
      <c r="A1001" s="2">
        <f>IF(Caja_Arequipa[[#This Row],[tipo_r]]="R",COUNTIFS($C$1:$C1000,"R")+1,A1000)</f>
        <v>736</v>
      </c>
      <c r="B1001" s="19" t="str">
        <f t="shared" si="219"/>
        <v>C-Tesoreria</v>
      </c>
      <c r="C1001" s="3" t="s">
        <v>1352</v>
      </c>
      <c r="D1001" s="14">
        <v>45953</v>
      </c>
      <c r="E1001" s="5" t="s">
        <v>1338</v>
      </c>
      <c r="F1001" s="5" t="s">
        <v>1336</v>
      </c>
      <c r="G1001" s="3"/>
      <c r="H1001" s="6" t="s">
        <v>1264</v>
      </c>
      <c r="I1001" s="204" t="s">
        <v>68</v>
      </c>
      <c r="J1001" s="6" t="s">
        <v>1376</v>
      </c>
      <c r="K1001" s="6">
        <v>8539</v>
      </c>
      <c r="L1001" s="7" t="s">
        <v>6055</v>
      </c>
      <c r="M1001" s="8" t="str">
        <f>IF(Caja_Arequipa[[#This Row],[tipo_r]]="R","001-"&amp;12002+A1001,M1000)</f>
        <v>001-12738</v>
      </c>
      <c r="N1001" s="8" t="str">
        <f t="shared" si="220"/>
        <v>PEN</v>
      </c>
      <c r="O1001" s="13">
        <v>70</v>
      </c>
      <c r="P1001" s="13"/>
      <c r="Q1001" s="3">
        <f t="shared" si="221"/>
        <v>0</v>
      </c>
      <c r="R1001" s="3">
        <f t="shared" si="222"/>
        <v>0</v>
      </c>
      <c r="S1001" s="3">
        <f t="shared" si="223"/>
        <v>224.89999999999873</v>
      </c>
      <c r="T1001" s="24"/>
      <c r="U1001" s="24" t="s">
        <v>1334</v>
      </c>
      <c r="V1001" s="3"/>
      <c r="W1001" s="25">
        <f>IFERROR(VLOOKUP(Caja_Arequipa[[#This Row],[destinatario]],CHOOSE({1,2},Clientes_Proveedores[Razon Social],Clientes_Proveedores[Ruc / Dni]),2,0),"")</f>
        <v>10409988135</v>
      </c>
      <c r="X1001" s="3"/>
      <c r="Y1001" s="3"/>
      <c r="Z1001" s="3"/>
      <c r="AA1001" s="3"/>
      <c r="AB1001" s="3" t="str">
        <f>IF(Caja_Arequipa[[#This Row],[fecha]]&gt;0,TEXT(Caja_Arequipa[[#This Row],[fecha]],"mmmm"),0)</f>
        <v>Octubre</v>
      </c>
    </row>
    <row r="1002" spans="1:28" ht="24" x14ac:dyDescent="0.3">
      <c r="A1002" s="2">
        <f>IF(Caja_Arequipa[[#This Row],[tipo_r]]="R",COUNTIFS($C$1:$C1001,"R")+1,A1001)</f>
        <v>736</v>
      </c>
      <c r="B1002" s="19" t="str">
        <f t="shared" si="219"/>
        <v>C-Tesoreria</v>
      </c>
      <c r="C1002" s="3" t="s">
        <v>1352</v>
      </c>
      <c r="D1002" s="14">
        <v>45953</v>
      </c>
      <c r="E1002" s="5" t="s">
        <v>1338</v>
      </c>
      <c r="F1002" s="5" t="s">
        <v>1336</v>
      </c>
      <c r="G1002" s="3"/>
      <c r="H1002" s="6" t="s">
        <v>1133</v>
      </c>
      <c r="I1002" s="204" t="s">
        <v>75</v>
      </c>
      <c r="J1002" s="6">
        <v>1</v>
      </c>
      <c r="K1002" s="6">
        <v>965</v>
      </c>
      <c r="L1002" s="7" t="s">
        <v>6055</v>
      </c>
      <c r="M1002" s="8" t="str">
        <f>IF(Caja_Arequipa[[#This Row],[tipo_r]]="R","001-"&amp;12002+A1002,M1001)</f>
        <v>001-12738</v>
      </c>
      <c r="N1002" s="8" t="str">
        <f t="shared" si="220"/>
        <v>PEN</v>
      </c>
      <c r="O1002" s="13">
        <v>135</v>
      </c>
      <c r="P1002" s="13"/>
      <c r="Q1002" s="3">
        <f t="shared" si="221"/>
        <v>0</v>
      </c>
      <c r="R1002" s="3">
        <f t="shared" si="222"/>
        <v>0</v>
      </c>
      <c r="S1002" s="3">
        <f t="shared" si="223"/>
        <v>224.89999999999873</v>
      </c>
      <c r="T1002" s="24"/>
      <c r="U1002" s="24" t="s">
        <v>1334</v>
      </c>
      <c r="V1002" s="3"/>
      <c r="W1002" s="25">
        <f>IFERROR(VLOOKUP(Caja_Arequipa[[#This Row],[destinatario]],CHOOSE({1,2},Clientes_Proveedores[Razon Social],Clientes_Proveedores[Ruc / Dni]),2,0),"")</f>
        <v>10749040918</v>
      </c>
      <c r="X1002" s="3"/>
      <c r="Y1002" s="3"/>
      <c r="Z1002" s="3"/>
      <c r="AA1002" s="3"/>
      <c r="AB1002" s="3" t="str">
        <f>IF(Caja_Arequipa[[#This Row],[fecha]]&gt;0,TEXT(Caja_Arequipa[[#This Row],[fecha]],"mmmm"),0)</f>
        <v>Octubre</v>
      </c>
    </row>
    <row r="1003" spans="1:28" ht="24" x14ac:dyDescent="0.3">
      <c r="A1003" s="2">
        <f>IF(Caja_Arequipa[[#This Row],[tipo_r]]="R",COUNTIFS($C$1:$C1002,"R")+1,A1002)</f>
        <v>736</v>
      </c>
      <c r="B1003" s="19" t="str">
        <f t="shared" si="219"/>
        <v>C-Tesoreria</v>
      </c>
      <c r="C1003" s="3" t="s">
        <v>1352</v>
      </c>
      <c r="D1003" s="14">
        <v>45953</v>
      </c>
      <c r="E1003" s="5" t="s">
        <v>1338</v>
      </c>
      <c r="F1003" s="5" t="s">
        <v>1336</v>
      </c>
      <c r="G1003" s="3"/>
      <c r="H1003" s="6" t="s">
        <v>1093</v>
      </c>
      <c r="I1003" s="204" t="s">
        <v>111</v>
      </c>
      <c r="J1003" s="6">
        <v>3</v>
      </c>
      <c r="K1003" s="6">
        <v>402</v>
      </c>
      <c r="L1003" s="7" t="s">
        <v>6055</v>
      </c>
      <c r="M1003" s="8" t="str">
        <f>IF(Caja_Arequipa[[#This Row],[tipo_r]]="R","001-"&amp;12002+A1003,M1002)</f>
        <v>001-12738</v>
      </c>
      <c r="N1003" s="8" t="str">
        <f t="shared" si="220"/>
        <v>PEN</v>
      </c>
      <c r="O1003" s="13">
        <v>16</v>
      </c>
      <c r="P1003" s="13"/>
      <c r="Q1003" s="3">
        <f t="shared" si="221"/>
        <v>0</v>
      </c>
      <c r="R1003" s="3">
        <f t="shared" si="222"/>
        <v>0</v>
      </c>
      <c r="S1003" s="3">
        <f t="shared" si="223"/>
        <v>224.89999999999873</v>
      </c>
      <c r="T1003" s="24"/>
      <c r="U1003" s="24" t="s">
        <v>1334</v>
      </c>
      <c r="V1003" s="3"/>
      <c r="W1003" s="25">
        <f>IFERROR(VLOOKUP(Caja_Arequipa[[#This Row],[destinatario]],CHOOSE({1,2},Clientes_Proveedores[Razon Social],Clientes_Proveedores[Ruc / Dni]),2,0),"")</f>
        <v>75846609</v>
      </c>
      <c r="X1003" s="3"/>
      <c r="Y1003" s="3"/>
      <c r="Z1003" s="3"/>
      <c r="AA1003" s="3"/>
      <c r="AB1003" s="3" t="str">
        <f>IF(Caja_Arequipa[[#This Row],[fecha]]&gt;0,TEXT(Caja_Arequipa[[#This Row],[fecha]],"mmmm"),0)</f>
        <v>Octubre</v>
      </c>
    </row>
    <row r="1004" spans="1:28" x14ac:dyDescent="0.3">
      <c r="A1004" s="2">
        <f>IF(Caja_Arequipa[[#This Row],[tipo_r]]="R",COUNTIFS($C$1:$C1003,"R")+1,A1003)</f>
        <v>737</v>
      </c>
      <c r="B1004" s="19" t="str">
        <f t="shared" si="219"/>
        <v>C-Tesoreria</v>
      </c>
      <c r="C1004" s="3" t="s">
        <v>1330</v>
      </c>
      <c r="D1004" s="14">
        <v>45953</v>
      </c>
      <c r="E1004" s="5" t="s">
        <v>1338</v>
      </c>
      <c r="F1004" s="5" t="s">
        <v>1336</v>
      </c>
      <c r="G1004" s="3" t="s">
        <v>5248</v>
      </c>
      <c r="H1004" s="6"/>
      <c r="I1004" s="204"/>
      <c r="J1004" s="6"/>
      <c r="K1004" s="6"/>
      <c r="L1004" s="7" t="s">
        <v>6055</v>
      </c>
      <c r="M1004" s="8" t="str">
        <f>IF(Caja_Arequipa[[#This Row],[tipo_r]]="R","001-"&amp;12002+A1004,M1003)</f>
        <v>001-12739</v>
      </c>
      <c r="N1004" s="8" t="str">
        <f t="shared" si="220"/>
        <v>PEN</v>
      </c>
      <c r="O1004" s="13"/>
      <c r="P1004" s="13">
        <v>52.3</v>
      </c>
      <c r="Q1004" s="3">
        <f t="shared" si="221"/>
        <v>0</v>
      </c>
      <c r="R1004" s="3">
        <f t="shared" si="222"/>
        <v>52.3</v>
      </c>
      <c r="S1004" s="3">
        <f t="shared" si="223"/>
        <v>172.59999999999872</v>
      </c>
      <c r="T1004" s="24"/>
      <c r="U1004" s="24" t="s">
        <v>1334</v>
      </c>
      <c r="V1004" s="3"/>
      <c r="W1004" s="25" t="str">
        <f>IFERROR(VLOOKUP(Caja_Arequipa[[#This Row],[destinatario]],CHOOSE({1,2},Clientes_Proveedores[Razon Social],Clientes_Proveedores[Ruc / Dni]),2,0),"")</f>
        <v/>
      </c>
      <c r="X1004" s="3"/>
      <c r="Y1004" s="3"/>
      <c r="Z1004" s="3"/>
      <c r="AA1004" s="3"/>
      <c r="AB1004" s="3" t="str">
        <f>IF(Caja_Arequipa[[#This Row],[fecha]]&gt;0,TEXT(Caja_Arequipa[[#This Row],[fecha]],"mmmm"),0)</f>
        <v>Octubre</v>
      </c>
    </row>
    <row r="1005" spans="1:28" ht="24" x14ac:dyDescent="0.3">
      <c r="A1005" s="2">
        <f>IF(Caja_Arequipa[[#This Row],[tipo_r]]="R",COUNTIFS($C$1:$C1004,"R")+1,A1004)</f>
        <v>737</v>
      </c>
      <c r="B1005" s="19" t="str">
        <f t="shared" si="219"/>
        <v>C-Tesoreria</v>
      </c>
      <c r="C1005" s="3" t="s">
        <v>1352</v>
      </c>
      <c r="D1005" s="14">
        <v>45953</v>
      </c>
      <c r="E1005" s="5" t="s">
        <v>1338</v>
      </c>
      <c r="F1005" s="5" t="s">
        <v>1336</v>
      </c>
      <c r="G1005" s="3"/>
      <c r="H1005" s="6" t="s">
        <v>1265</v>
      </c>
      <c r="I1005" s="204" t="s">
        <v>75</v>
      </c>
      <c r="J1005" s="6">
        <v>1</v>
      </c>
      <c r="K1005" s="6">
        <v>1022</v>
      </c>
      <c r="L1005" s="7" t="s">
        <v>6055</v>
      </c>
      <c r="M1005" s="8" t="str">
        <f>IF(Caja_Arequipa[[#This Row],[tipo_r]]="R","001-"&amp;12002+A1005,M1004)</f>
        <v>001-12739</v>
      </c>
      <c r="N1005" s="8" t="str">
        <f t="shared" si="220"/>
        <v>PEN</v>
      </c>
      <c r="O1005" s="13">
        <v>21.3</v>
      </c>
      <c r="P1005" s="13"/>
      <c r="Q1005" s="3">
        <f t="shared" si="221"/>
        <v>0</v>
      </c>
      <c r="R1005" s="3">
        <f t="shared" si="222"/>
        <v>0</v>
      </c>
      <c r="S1005" s="3">
        <f t="shared" si="223"/>
        <v>172.59999999999872</v>
      </c>
      <c r="T1005" s="24"/>
      <c r="U1005" s="24" t="s">
        <v>1334</v>
      </c>
      <c r="V1005" s="3"/>
      <c r="W1005" s="25">
        <f>IFERROR(VLOOKUP(Caja_Arequipa[[#This Row],[destinatario]],CHOOSE({1,2},Clientes_Proveedores[Razon Social],Clientes_Proveedores[Ruc / Dni]),2,0),"")</f>
        <v>10292710424</v>
      </c>
      <c r="X1005" s="3"/>
      <c r="Y1005" s="3"/>
      <c r="Z1005" s="3"/>
      <c r="AA1005" s="3"/>
      <c r="AB1005" s="3" t="str">
        <f>IF(Caja_Arequipa[[#This Row],[fecha]]&gt;0,TEXT(Caja_Arequipa[[#This Row],[fecha]],"mmmm"),0)</f>
        <v>Octubre</v>
      </c>
    </row>
    <row r="1006" spans="1:28" ht="24" x14ac:dyDescent="0.3">
      <c r="A1006" s="2">
        <f>IF(Caja_Arequipa[[#This Row],[tipo_r]]="R",COUNTIFS($C$1:$C1005,"R")+1,A1005)</f>
        <v>737</v>
      </c>
      <c r="B1006" s="19" t="str">
        <f t="shared" si="219"/>
        <v>C-Tesoreria</v>
      </c>
      <c r="C1006" s="3" t="s">
        <v>1352</v>
      </c>
      <c r="D1006" s="14">
        <v>45953</v>
      </c>
      <c r="E1006" s="5" t="s">
        <v>1338</v>
      </c>
      <c r="F1006" s="5" t="s">
        <v>1336</v>
      </c>
      <c r="G1006" s="3"/>
      <c r="H1006" s="6" t="s">
        <v>836</v>
      </c>
      <c r="I1006" s="204" t="s">
        <v>111</v>
      </c>
      <c r="J1006" s="6">
        <v>3</v>
      </c>
      <c r="K1006" s="6">
        <v>398</v>
      </c>
      <c r="L1006" s="7" t="s">
        <v>6055</v>
      </c>
      <c r="M1006" s="8" t="str">
        <f>IF(Caja_Arequipa[[#This Row],[tipo_r]]="R","001-"&amp;12002+A1006,M1005)</f>
        <v>001-12739</v>
      </c>
      <c r="N1006" s="8" t="str">
        <f t="shared" si="220"/>
        <v>PEN</v>
      </c>
      <c r="O1006" s="13">
        <v>31</v>
      </c>
      <c r="P1006" s="13"/>
      <c r="Q1006" s="3">
        <f t="shared" si="221"/>
        <v>0</v>
      </c>
      <c r="R1006" s="3">
        <f t="shared" si="222"/>
        <v>0</v>
      </c>
      <c r="S1006" s="3">
        <f t="shared" si="223"/>
        <v>172.59999999999872</v>
      </c>
      <c r="T1006" s="24"/>
      <c r="U1006" s="24" t="s">
        <v>1334</v>
      </c>
      <c r="V1006" s="3"/>
      <c r="W1006" s="25">
        <f>IFERROR(VLOOKUP(Caja_Arequipa[[#This Row],[destinatario]],CHOOSE({1,2},Clientes_Proveedores[Razon Social],Clientes_Proveedores[Ruc / Dni]),2,0),"")</f>
        <v>44468346</v>
      </c>
      <c r="X1006" s="3"/>
      <c r="Y1006" s="3"/>
      <c r="Z1006" s="3"/>
      <c r="AA1006" s="3"/>
      <c r="AB1006" s="3" t="str">
        <f>IF(Caja_Arequipa[[#This Row],[fecha]]&gt;0,TEXT(Caja_Arequipa[[#This Row],[fecha]],"mmmm"),0)</f>
        <v>Octubre</v>
      </c>
    </row>
    <row r="1007" spans="1:28" x14ac:dyDescent="0.3">
      <c r="A1007" s="2">
        <f>IF(Caja_Arequipa[[#This Row],[tipo_r]]="R",COUNTIFS($C$1:$C1006,"R")+1,A1006)</f>
        <v>738</v>
      </c>
      <c r="B1007" s="19" t="str">
        <f t="shared" si="219"/>
        <v>C-Tesoreria</v>
      </c>
      <c r="C1007" s="3" t="s">
        <v>1330</v>
      </c>
      <c r="D1007" s="14">
        <v>45953</v>
      </c>
      <c r="E1007" s="5" t="s">
        <v>1338</v>
      </c>
      <c r="F1007" s="5" t="s">
        <v>1336</v>
      </c>
      <c r="G1007" s="3" t="s">
        <v>6372</v>
      </c>
      <c r="H1007" s="6"/>
      <c r="I1007" s="204"/>
      <c r="J1007" s="6"/>
      <c r="K1007" s="6"/>
      <c r="L1007" s="7" t="s">
        <v>6055</v>
      </c>
      <c r="M1007" s="8" t="str">
        <f>IF(Caja_Arequipa[[#This Row],[tipo_r]]="R","001-"&amp;12002+A1007,M1006)</f>
        <v>001-12740</v>
      </c>
      <c r="N1007" s="8" t="str">
        <f t="shared" si="220"/>
        <v>PEN</v>
      </c>
      <c r="O1007" s="13"/>
      <c r="P1007" s="13">
        <v>175</v>
      </c>
      <c r="Q1007" s="3">
        <f t="shared" si="221"/>
        <v>0</v>
      </c>
      <c r="R1007" s="3">
        <f t="shared" si="222"/>
        <v>175</v>
      </c>
      <c r="S1007" s="3">
        <f t="shared" si="223"/>
        <v>-2.4000000000012847</v>
      </c>
      <c r="T1007" s="24"/>
      <c r="U1007" s="24" t="s">
        <v>1334</v>
      </c>
      <c r="V1007" s="3"/>
      <c r="W1007" s="25" t="str">
        <f>IFERROR(VLOOKUP(Caja_Arequipa[[#This Row],[destinatario]],CHOOSE({1,2},Clientes_Proveedores[Razon Social],Clientes_Proveedores[Ruc / Dni]),2,0),"")</f>
        <v/>
      </c>
      <c r="X1007" s="3"/>
      <c r="Y1007" s="3"/>
      <c r="Z1007" s="3"/>
      <c r="AA1007" s="3"/>
      <c r="AB1007" s="3" t="str">
        <f>IF(Caja_Arequipa[[#This Row],[fecha]]&gt;0,TEXT(Caja_Arequipa[[#This Row],[fecha]],"mmmm"),0)</f>
        <v>Octubre</v>
      </c>
    </row>
    <row r="1008" spans="1:28" ht="24" x14ac:dyDescent="0.3">
      <c r="A1008" s="2">
        <f>IF(Caja_Arequipa[[#This Row],[tipo_r]]="R",COUNTIFS($C$1:$C1007,"R")+1,A1007)</f>
        <v>738</v>
      </c>
      <c r="B1008" s="19" t="str">
        <f t="shared" si="219"/>
        <v>C-Tesoreria</v>
      </c>
      <c r="C1008" s="3" t="s">
        <v>1352</v>
      </c>
      <c r="D1008" s="14">
        <v>45953</v>
      </c>
      <c r="E1008" s="5" t="s">
        <v>1338</v>
      </c>
      <c r="F1008" s="5" t="s">
        <v>1336</v>
      </c>
      <c r="G1008" s="3"/>
      <c r="H1008" s="6" t="s">
        <v>1085</v>
      </c>
      <c r="I1008" s="204" t="s">
        <v>111</v>
      </c>
      <c r="J1008" s="6">
        <v>3</v>
      </c>
      <c r="K1008" s="6">
        <v>403</v>
      </c>
      <c r="L1008" s="7" t="s">
        <v>6055</v>
      </c>
      <c r="M1008" s="8" t="str">
        <f>IF(Caja_Arequipa[[#This Row],[tipo_r]]="R","001-"&amp;12002+A1008,M1007)</f>
        <v>001-12740</v>
      </c>
      <c r="N1008" s="8" t="str">
        <f t="shared" si="220"/>
        <v>PEN</v>
      </c>
      <c r="O1008" s="13">
        <v>17</v>
      </c>
      <c r="P1008" s="13"/>
      <c r="Q1008" s="3">
        <f t="shared" si="221"/>
        <v>0</v>
      </c>
      <c r="R1008" s="3">
        <f t="shared" si="222"/>
        <v>0</v>
      </c>
      <c r="S1008" s="3">
        <f t="shared" si="223"/>
        <v>-2.4000000000012847</v>
      </c>
      <c r="T1008" s="24"/>
      <c r="U1008" s="24" t="s">
        <v>1334</v>
      </c>
      <c r="V1008" s="3"/>
      <c r="W1008" s="25">
        <f>IFERROR(VLOOKUP(Caja_Arequipa[[#This Row],[destinatario]],CHOOSE({1,2},Clientes_Proveedores[Razon Social],Clientes_Proveedores[Ruc / Dni]),2,0),"")</f>
        <v>72566765</v>
      </c>
      <c r="X1008" s="3"/>
      <c r="Y1008" s="3"/>
      <c r="Z1008" s="3"/>
      <c r="AA1008" s="3"/>
      <c r="AB1008" s="3" t="str">
        <f>IF(Caja_Arequipa[[#This Row],[fecha]]&gt;0,TEXT(Caja_Arequipa[[#This Row],[fecha]],"mmmm"),0)</f>
        <v>Octubre</v>
      </c>
    </row>
    <row r="1009" spans="1:28" ht="24" x14ac:dyDescent="0.3">
      <c r="A1009" s="2">
        <f>IF(Caja_Arequipa[[#This Row],[tipo_r]]="R",COUNTIFS($C$1:$C1008,"R")+1,A1008)</f>
        <v>738</v>
      </c>
      <c r="B1009" s="19" t="str">
        <f t="shared" si="219"/>
        <v>C-Tesoreria</v>
      </c>
      <c r="C1009" s="3" t="s">
        <v>1352</v>
      </c>
      <c r="D1009" s="14">
        <v>45953</v>
      </c>
      <c r="E1009" s="5" t="s">
        <v>1338</v>
      </c>
      <c r="F1009" s="5" t="s">
        <v>1336</v>
      </c>
      <c r="G1009" s="3"/>
      <c r="H1009" s="6" t="s">
        <v>311</v>
      </c>
      <c r="I1009" s="204" t="s">
        <v>68</v>
      </c>
      <c r="J1009" s="6" t="s">
        <v>1376</v>
      </c>
      <c r="K1009" s="6">
        <v>22217</v>
      </c>
      <c r="L1009" s="7" t="s">
        <v>6055</v>
      </c>
      <c r="M1009" s="8" t="str">
        <f>IF(Caja_Arequipa[[#This Row],[tipo_r]]="R","001-"&amp;12002+A1009,M1008)</f>
        <v>001-12740</v>
      </c>
      <c r="N1009" s="8" t="str">
        <f t="shared" si="220"/>
        <v>PEN</v>
      </c>
      <c r="O1009" s="13">
        <v>158</v>
      </c>
      <c r="P1009" s="13"/>
      <c r="Q1009" s="3">
        <f t="shared" si="221"/>
        <v>0</v>
      </c>
      <c r="R1009" s="3">
        <f t="shared" si="222"/>
        <v>0</v>
      </c>
      <c r="S1009" s="3">
        <f t="shared" si="223"/>
        <v>-2.4000000000012847</v>
      </c>
      <c r="T1009" s="24"/>
      <c r="U1009" s="24" t="s">
        <v>1334</v>
      </c>
      <c r="V1009" s="3"/>
      <c r="W1009" s="25">
        <f>IFERROR(VLOOKUP(Caja_Arequipa[[#This Row],[destinatario]],CHOOSE({1,2},Clientes_Proveedores[Razon Social],Clientes_Proveedores[Ruc / Dni]),2,0),"")</f>
        <v>20456123253</v>
      </c>
      <c r="X1009" s="3"/>
      <c r="Y1009" s="3"/>
      <c r="Z1009" s="3"/>
      <c r="AA1009" s="3"/>
      <c r="AB1009" s="3" t="str">
        <f>IF(Caja_Arequipa[[#This Row],[fecha]]&gt;0,TEXT(Caja_Arequipa[[#This Row],[fecha]],"mmmm"),0)</f>
        <v>Octubre</v>
      </c>
    </row>
    <row r="1010" spans="1:28" ht="24" x14ac:dyDescent="0.3">
      <c r="A1010" s="2">
        <f>IF(Caja_Arequipa[[#This Row],[tipo_r]]="R",COUNTIFS($C$1:$C1009,"R")+1,A1009)</f>
        <v>739</v>
      </c>
      <c r="B1010" s="19" t="str">
        <f t="shared" si="219"/>
        <v>C-Tesoreria</v>
      </c>
      <c r="C1010" s="3" t="s">
        <v>1330</v>
      </c>
      <c r="D1010" s="14">
        <v>45953</v>
      </c>
      <c r="E1010" s="5" t="s">
        <v>1338</v>
      </c>
      <c r="F1010" s="5" t="s">
        <v>1336</v>
      </c>
      <c r="G1010" s="3" t="s">
        <v>6216</v>
      </c>
      <c r="H1010" s="6" t="s">
        <v>918</v>
      </c>
      <c r="I1010" s="203" t="s">
        <v>111</v>
      </c>
      <c r="J1010" s="6">
        <v>3</v>
      </c>
      <c r="K1010" s="6">
        <v>417</v>
      </c>
      <c r="L1010" s="7" t="s">
        <v>6373</v>
      </c>
      <c r="M1010" s="8" t="str">
        <f>IF(Caja_Arequipa[[#This Row],[tipo_r]]="R","001-"&amp;12002+A1010,M1009)</f>
        <v>001-12741</v>
      </c>
      <c r="N1010" s="8" t="str">
        <f t="shared" si="220"/>
        <v>PEN</v>
      </c>
      <c r="O1010" s="13"/>
      <c r="P1010" s="13">
        <v>120</v>
      </c>
      <c r="Q1010" s="3">
        <f t="shared" si="221"/>
        <v>0</v>
      </c>
      <c r="R1010" s="3">
        <f t="shared" si="222"/>
        <v>120</v>
      </c>
      <c r="S1010" s="3">
        <f t="shared" si="223"/>
        <v>-122.40000000000128</v>
      </c>
      <c r="T1010" s="24"/>
      <c r="U1010" s="24" t="s">
        <v>1334</v>
      </c>
      <c r="V1010" s="3"/>
      <c r="W1010" s="25">
        <f>IFERROR(VLOOKUP(Caja_Arequipa[[#This Row],[destinatario]],CHOOSE({1,2},Clientes_Proveedores[Razon Social],Clientes_Proveedores[Ruc / Dni]),2,0),"")</f>
        <v>48536654</v>
      </c>
      <c r="X1010" s="3"/>
      <c r="Y1010" s="3"/>
      <c r="Z1010" s="3"/>
      <c r="AA1010" s="3"/>
      <c r="AB1010" s="3" t="str">
        <f>IF(Caja_Arequipa[[#This Row],[fecha]]&gt;0,TEXT(Caja_Arequipa[[#This Row],[fecha]],"mmmm"),0)</f>
        <v>Octubre</v>
      </c>
    </row>
    <row r="1011" spans="1:28" ht="48" x14ac:dyDescent="0.3">
      <c r="A1011" s="2">
        <f>IF(Caja_Arequipa[[#This Row],[tipo_r]]="R",COUNTIFS($C$1:$C1010,"R")+1,A1010)</f>
        <v>740</v>
      </c>
      <c r="B1011" s="19" t="str">
        <f t="shared" si="219"/>
        <v>C-Tesoreria</v>
      </c>
      <c r="C1011" s="3" t="s">
        <v>1330</v>
      </c>
      <c r="D1011" s="14">
        <v>45953</v>
      </c>
      <c r="E1011" s="5" t="s">
        <v>1338</v>
      </c>
      <c r="F1011" s="5" t="s">
        <v>1336</v>
      </c>
      <c r="G1011" s="3" t="s">
        <v>6216</v>
      </c>
      <c r="H1011" s="6" t="s">
        <v>1277</v>
      </c>
      <c r="I1011" s="204" t="s">
        <v>68</v>
      </c>
      <c r="J1011" s="6" t="s">
        <v>6374</v>
      </c>
      <c r="K1011" s="6">
        <v>175</v>
      </c>
      <c r="L1011" s="7" t="s">
        <v>6375</v>
      </c>
      <c r="M1011" s="8" t="str">
        <f>IF(Caja_Arequipa[[#This Row],[tipo_r]]="R","001-"&amp;12002+A1011,M1010)</f>
        <v>001-12742</v>
      </c>
      <c r="N1011" s="8" t="str">
        <f t="shared" si="220"/>
        <v>PEN</v>
      </c>
      <c r="O1011" s="13"/>
      <c r="P1011" s="13">
        <v>150</v>
      </c>
      <c r="Q1011" s="3">
        <f t="shared" si="221"/>
        <v>0</v>
      </c>
      <c r="R1011" s="3">
        <f t="shared" si="222"/>
        <v>150</v>
      </c>
      <c r="S1011" s="3">
        <f t="shared" si="223"/>
        <v>-272.40000000000128</v>
      </c>
      <c r="T1011" s="24"/>
      <c r="U1011" s="24" t="s">
        <v>1334</v>
      </c>
      <c r="V1011" s="3"/>
      <c r="W1011" s="25">
        <f>IFERROR(VLOOKUP(Caja_Arequipa[[#This Row],[destinatario]],CHOOSE({1,2},Clientes_Proveedores[Razon Social],Clientes_Proveedores[Ruc / Dni]),2,0),"")</f>
        <v>20606497165</v>
      </c>
      <c r="X1011" s="3"/>
      <c r="Y1011" s="3"/>
      <c r="Z1011" s="3"/>
      <c r="AA1011" s="3"/>
      <c r="AB1011" s="3" t="str">
        <f>IF(Caja_Arequipa[[#This Row],[fecha]]&gt;0,TEXT(Caja_Arequipa[[#This Row],[fecha]],"mmmm"),0)</f>
        <v>Octubre</v>
      </c>
    </row>
    <row r="1012" spans="1:28" ht="24.6" thickBot="1" x14ac:dyDescent="0.35">
      <c r="A1012" s="170">
        <f>IF(Caja_Arequipa[[#This Row],[tipo_r]]="R",COUNTIFS($C$1:$C1011,"R")+1,A1011)</f>
        <v>741</v>
      </c>
      <c r="B1012" s="171" t="str">
        <f t="shared" ref="B1012:B1025" si="224">"C-Tesoreria"</f>
        <v>C-Tesoreria</v>
      </c>
      <c r="C1012" s="172" t="s">
        <v>1330</v>
      </c>
      <c r="D1012" s="173">
        <v>45953</v>
      </c>
      <c r="E1012" s="174" t="s">
        <v>1338</v>
      </c>
      <c r="F1012" s="174" t="s">
        <v>1336</v>
      </c>
      <c r="G1012" s="172" t="s">
        <v>5317</v>
      </c>
      <c r="H1012" s="175" t="s">
        <v>790</v>
      </c>
      <c r="I1012" s="207" t="s">
        <v>111</v>
      </c>
      <c r="J1012" s="175">
        <v>3</v>
      </c>
      <c r="K1012" s="175">
        <v>401</v>
      </c>
      <c r="L1012" s="177" t="s">
        <v>6376</v>
      </c>
      <c r="M1012" s="178" t="str">
        <f>IF(Caja_Arequipa[[#This Row],[tipo_r]]="R","001-"&amp;12002+A1012,M1011)</f>
        <v>001-12743</v>
      </c>
      <c r="N1012" s="178" t="str">
        <f t="shared" ref="N1012:N1025" si="225">"PEN"</f>
        <v>PEN</v>
      </c>
      <c r="O1012" s="179"/>
      <c r="P1012" s="179">
        <v>27</v>
      </c>
      <c r="Q1012" s="172">
        <f t="shared" ref="Q1012:Q1025" si="226">+IF(OR($F1012="SALDO",$F1012="INGRESO"),$P1012,0)</f>
        <v>0</v>
      </c>
      <c r="R1012" s="172">
        <f t="shared" ref="R1012:R1025" si="227">+IF($F1012="EGRESO",$P1012,0)</f>
        <v>27</v>
      </c>
      <c r="S1012" s="172">
        <f>IFERROR(IF(F1012="SALDO",Q1012,S1011+Q1012-R1012),0)</f>
        <v>-299.40000000000128</v>
      </c>
      <c r="T1012" s="180"/>
      <c r="U1012" s="180" t="s">
        <v>1334</v>
      </c>
      <c r="V1012" s="172"/>
      <c r="W1012" s="218">
        <f>IFERROR(VLOOKUP(Caja_Arequipa[[#This Row],[destinatario]],CHOOSE({1,2},Clientes_Proveedores[Razon Social],Clientes_Proveedores[Ruc / Dni]),2,0),"")</f>
        <v>72169020</v>
      </c>
      <c r="X1012" s="172"/>
      <c r="Y1012" s="172"/>
      <c r="Z1012" s="172"/>
      <c r="AA1012" s="172"/>
      <c r="AB1012" s="172" t="str">
        <f>IF(Caja_Arequipa[[#This Row],[fecha]]&gt;0,TEXT(Caja_Arequipa[[#This Row],[fecha]],"mmmm"),0)</f>
        <v>Octubre</v>
      </c>
    </row>
    <row r="1013" spans="1:28" ht="24.6" thickTop="1" x14ac:dyDescent="0.3">
      <c r="A1013" s="2">
        <f>IF(Caja_Arequipa[[#This Row],[tipo_r]]="R",COUNTIFS($C$1:$C1012,"R")+1,A1012)</f>
        <v>742</v>
      </c>
      <c r="B1013" s="19" t="str">
        <f t="shared" si="224"/>
        <v>C-Tesoreria</v>
      </c>
      <c r="C1013" s="73" t="s">
        <v>1330</v>
      </c>
      <c r="D1013" s="14">
        <v>45954</v>
      </c>
      <c r="E1013" s="5" t="s">
        <v>1338</v>
      </c>
      <c r="F1013" s="5" t="s">
        <v>1336</v>
      </c>
      <c r="G1013" s="3" t="s">
        <v>6193</v>
      </c>
      <c r="H1013" s="6" t="s">
        <v>1038</v>
      </c>
      <c r="I1013" s="6" t="s">
        <v>111</v>
      </c>
      <c r="J1013" s="6">
        <v>3</v>
      </c>
      <c r="K1013" s="6">
        <v>421</v>
      </c>
      <c r="L1013" s="7" t="s">
        <v>6377</v>
      </c>
      <c r="M1013" s="8" t="str">
        <f>IF(Caja_Arequipa[[#This Row],[tipo_r]]="R","001-"&amp;12002+A1013,M1012)</f>
        <v>001-12744</v>
      </c>
      <c r="N1013" s="8" t="str">
        <f t="shared" si="225"/>
        <v>PEN</v>
      </c>
      <c r="O1013" s="13"/>
      <c r="P1013" s="13">
        <v>66</v>
      </c>
      <c r="Q1013" s="3">
        <f t="shared" si="226"/>
        <v>0</v>
      </c>
      <c r="R1013" s="3">
        <f t="shared" si="227"/>
        <v>66</v>
      </c>
      <c r="S1013" s="3">
        <f t="shared" ref="S1013:S1025" si="228">IFERROR(IF(F1013="SALDO",Q1013,S1012+Q1013-R1013),0)</f>
        <v>-365.40000000000128</v>
      </c>
      <c r="T1013" s="24"/>
      <c r="U1013" s="24"/>
      <c r="V1013" s="3"/>
      <c r="W1013" s="25">
        <f>IFERROR(VLOOKUP(Caja_Arequipa[[#This Row],[destinatario]],CHOOSE({1,2},Clientes_Proveedores[Razon Social],Clientes_Proveedores[Ruc / Dni]),2,0),"")</f>
        <v>72204134</v>
      </c>
      <c r="X1013" s="3"/>
      <c r="Y1013" s="3"/>
      <c r="Z1013" s="3"/>
      <c r="AA1013" s="3"/>
      <c r="AB1013" s="3" t="str">
        <f>IF(Caja_Arequipa[[#This Row],[fecha]]&gt;0,TEXT(Caja_Arequipa[[#This Row],[fecha]],"mmmm"),0)</f>
        <v>Octubre</v>
      </c>
    </row>
    <row r="1014" spans="1:28" x14ac:dyDescent="0.3">
      <c r="A1014" s="2">
        <f>IF(Caja_Arequipa[[#This Row],[tipo_r]]="R",COUNTIFS($C$1:$C1013,"R")+1,A1013)</f>
        <v>743</v>
      </c>
      <c r="B1014" s="19" t="str">
        <f>"C-Tesoreria"</f>
        <v>C-Tesoreria</v>
      </c>
      <c r="C1014" s="73" t="s">
        <v>1330</v>
      </c>
      <c r="D1014" s="14">
        <v>45954</v>
      </c>
      <c r="E1014" s="5" t="s">
        <v>1331</v>
      </c>
      <c r="F1014" s="5" t="s">
        <v>1303</v>
      </c>
      <c r="G1014" s="3" t="s">
        <v>3634</v>
      </c>
      <c r="H1014" s="6"/>
      <c r="I1014" s="6"/>
      <c r="J1014" s="6"/>
      <c r="K1014" s="6"/>
      <c r="L1014" s="7" t="s">
        <v>6280</v>
      </c>
      <c r="M1014" s="8" t="str">
        <f>IF(Caja_Arequipa[[#This Row],[tipo_r]]="R","001-"&amp;12002+A1014,M1013)</f>
        <v>001-12745</v>
      </c>
      <c r="N1014" s="8" t="str">
        <f>"PEN"</f>
        <v>PEN</v>
      </c>
      <c r="O1014" s="13"/>
      <c r="P1014" s="13">
        <v>2000</v>
      </c>
      <c r="Q1014" s="3">
        <f>+IF(OR($F1014="SALDO",$F1014="INGRESO"),$P1014,0)</f>
        <v>2000</v>
      </c>
      <c r="R1014" s="3">
        <f>+IF($F1014="EGRESO",$P1014,0)</f>
        <v>0</v>
      </c>
      <c r="S1014" s="3">
        <f>IFERROR(IF(F1014="SALDO",Q1014,S1013+Q1014-R1014),0)</f>
        <v>1634.5999999999988</v>
      </c>
      <c r="T1014" s="24"/>
      <c r="U1014" s="24"/>
      <c r="V1014" s="3"/>
      <c r="W1014" s="25" t="str">
        <f>IFERROR(VLOOKUP(Caja_Arequipa[[#This Row],[destinatario]],CHOOSE({1,2},Clientes_Proveedores[Razon Social],Clientes_Proveedores[Ruc / Dni]),2,0),"")</f>
        <v/>
      </c>
      <c r="X1014" s="3"/>
      <c r="Y1014" s="3"/>
      <c r="Z1014" s="3"/>
      <c r="AA1014" s="3"/>
      <c r="AB1014" s="3" t="str">
        <f>IF(Caja_Arequipa[[#This Row],[fecha]]&gt;0,TEXT(Caja_Arequipa[[#This Row],[fecha]],"mmmm"),0)</f>
        <v>Octubre</v>
      </c>
    </row>
    <row r="1015" spans="1:28" x14ac:dyDescent="0.3">
      <c r="A1015" s="2">
        <f>IF(Caja_Arequipa[[#This Row],[tipo_r]]="R",COUNTIFS($C$1:$C1014,"R")+1,A1014)</f>
        <v>744</v>
      </c>
      <c r="B1015" s="19" t="str">
        <f t="shared" si="224"/>
        <v>C-Tesoreria</v>
      </c>
      <c r="C1015" s="73" t="s">
        <v>1330</v>
      </c>
      <c r="D1015" s="14">
        <v>45957</v>
      </c>
      <c r="E1015" s="5" t="s">
        <v>1338</v>
      </c>
      <c r="F1015" s="5" t="s">
        <v>1336</v>
      </c>
      <c r="G1015" s="3" t="s">
        <v>5380</v>
      </c>
      <c r="H1015" s="6"/>
      <c r="I1015" s="6"/>
      <c r="J1015" s="6"/>
      <c r="K1015" s="6"/>
      <c r="L1015" s="7" t="s">
        <v>6055</v>
      </c>
      <c r="M1015" s="8" t="str">
        <f>IF(Caja_Arequipa[[#This Row],[tipo_r]]="R","001-"&amp;12002+A1015,M1014)</f>
        <v>001-12746</v>
      </c>
      <c r="N1015" s="8" t="str">
        <f t="shared" si="225"/>
        <v>PEN</v>
      </c>
      <c r="O1015" s="13"/>
      <c r="P1015" s="13">
        <v>195</v>
      </c>
      <c r="Q1015" s="3">
        <f t="shared" si="226"/>
        <v>0</v>
      </c>
      <c r="R1015" s="3">
        <f t="shared" si="227"/>
        <v>195</v>
      </c>
      <c r="S1015" s="3">
        <f>IFERROR(IF(F1015="SALDO",Q1015,S1014+Q1015-R1015),0)</f>
        <v>1439.5999999999988</v>
      </c>
      <c r="T1015" s="24"/>
      <c r="U1015" s="24"/>
      <c r="V1015" s="3"/>
      <c r="W1015" s="25" t="str">
        <f>IFERROR(VLOOKUP(Caja_Arequipa[[#This Row],[destinatario]],CHOOSE({1,2},Clientes_Proveedores[Razon Social],Clientes_Proveedores[Ruc / Dni]),2,0),"")</f>
        <v/>
      </c>
      <c r="X1015" s="3"/>
      <c r="Y1015" s="3"/>
      <c r="Z1015" s="3"/>
      <c r="AA1015" s="3"/>
      <c r="AB1015" s="3" t="str">
        <f>IF(Caja_Arequipa[[#This Row],[fecha]]&gt;0,TEXT(Caja_Arequipa[[#This Row],[fecha]],"mmmm"),0)</f>
        <v>Octubre</v>
      </c>
    </row>
    <row r="1016" spans="1:28" ht="24" x14ac:dyDescent="0.3">
      <c r="A1016" s="2">
        <f>IF(Caja_Arequipa[[#This Row],[tipo_r]]="R",COUNTIFS($C$1:$C1015,"R")+1,A1015)</f>
        <v>744</v>
      </c>
      <c r="B1016" s="19" t="str">
        <f t="shared" si="224"/>
        <v>C-Tesoreria</v>
      </c>
      <c r="C1016" s="73" t="s">
        <v>1352</v>
      </c>
      <c r="D1016" s="14">
        <v>45957</v>
      </c>
      <c r="E1016" s="5" t="s">
        <v>1338</v>
      </c>
      <c r="F1016" s="5" t="s">
        <v>1336</v>
      </c>
      <c r="G1016" s="3" t="s">
        <v>5380</v>
      </c>
      <c r="H1016" s="6" t="s">
        <v>1269</v>
      </c>
      <c r="I1016" s="6" t="s">
        <v>68</v>
      </c>
      <c r="J1016" s="6" t="s">
        <v>6378</v>
      </c>
      <c r="K1016" s="6">
        <v>76</v>
      </c>
      <c r="L1016" s="7" t="s">
        <v>6055</v>
      </c>
      <c r="M1016" s="8" t="str">
        <f>IF(Caja_Arequipa[[#This Row],[tipo_r]]="R","001-"&amp;12002+A1016,M1015)</f>
        <v>001-12746</v>
      </c>
      <c r="N1016" s="8" t="str">
        <f t="shared" si="225"/>
        <v>PEN</v>
      </c>
      <c r="O1016" s="13">
        <v>10</v>
      </c>
      <c r="P1016" s="13"/>
      <c r="Q1016" s="3">
        <f t="shared" si="226"/>
        <v>0</v>
      </c>
      <c r="R1016" s="3">
        <f t="shared" si="227"/>
        <v>0</v>
      </c>
      <c r="S1016" s="3">
        <f t="shared" si="228"/>
        <v>1439.5999999999988</v>
      </c>
      <c r="T1016" s="24"/>
      <c r="U1016" s="24"/>
      <c r="V1016" s="3"/>
      <c r="W1016" s="25">
        <f>IFERROR(VLOOKUP(Caja_Arequipa[[#This Row],[destinatario]],CHOOSE({1,2},Clientes_Proveedores[Razon Social],Clientes_Proveedores[Ruc / Dni]),2,0),"")</f>
        <v>20614826704</v>
      </c>
      <c r="X1016" s="3"/>
      <c r="Y1016" s="3"/>
      <c r="Z1016" s="3"/>
      <c r="AA1016" s="3"/>
      <c r="AB1016" s="3" t="str">
        <f>IF(Caja_Arequipa[[#This Row],[fecha]]&gt;0,TEXT(Caja_Arequipa[[#This Row],[fecha]],"mmmm"),0)</f>
        <v>Octubre</v>
      </c>
    </row>
    <row r="1017" spans="1:28" x14ac:dyDescent="0.3">
      <c r="A1017" s="2">
        <f>IF(Caja_Arequipa[[#This Row],[tipo_r]]="R",COUNTIFS($C$1:$C1016,"R")+1,A1016)</f>
        <v>744</v>
      </c>
      <c r="B1017" s="19" t="str">
        <f t="shared" si="224"/>
        <v>C-Tesoreria</v>
      </c>
      <c r="C1017" s="73" t="s">
        <v>1352</v>
      </c>
      <c r="D1017" s="14">
        <v>45957</v>
      </c>
      <c r="E1017" s="5" t="s">
        <v>1338</v>
      </c>
      <c r="F1017" s="5" t="s">
        <v>1336</v>
      </c>
      <c r="G1017" s="3" t="s">
        <v>5380</v>
      </c>
      <c r="H1017" s="6" t="s">
        <v>978</v>
      </c>
      <c r="I1017" s="6" t="s">
        <v>68</v>
      </c>
      <c r="J1017" s="6" t="s">
        <v>5845</v>
      </c>
      <c r="K1017" s="6">
        <v>1895463</v>
      </c>
      <c r="L1017" s="7" t="s">
        <v>6055</v>
      </c>
      <c r="M1017" s="8" t="str">
        <f>IF(Caja_Arequipa[[#This Row],[tipo_r]]="R","001-"&amp;12002+A1017,M1016)</f>
        <v>001-12746</v>
      </c>
      <c r="N1017" s="8" t="str">
        <f t="shared" si="225"/>
        <v>PEN</v>
      </c>
      <c r="O1017" s="13">
        <v>8</v>
      </c>
      <c r="P1017" s="13"/>
      <c r="Q1017" s="3">
        <f t="shared" si="226"/>
        <v>0</v>
      </c>
      <c r="R1017" s="3">
        <f t="shared" si="227"/>
        <v>0</v>
      </c>
      <c r="S1017" s="3">
        <f t="shared" si="228"/>
        <v>1439.5999999999988</v>
      </c>
      <c r="T1017" s="24"/>
      <c r="U1017" s="24"/>
      <c r="V1017" s="3"/>
      <c r="W1017" s="25">
        <f>IFERROR(VLOOKUP(Caja_Arequipa[[#This Row],[destinatario]],CHOOSE({1,2},Clientes_Proveedores[Razon Social],Clientes_Proveedores[Ruc / Dni]),2,0),"")</f>
        <v>20517252558</v>
      </c>
      <c r="X1017" s="3"/>
      <c r="Y1017" s="3"/>
      <c r="Z1017" s="3"/>
      <c r="AA1017" s="3"/>
      <c r="AB1017" s="3" t="str">
        <f>IF(Caja_Arequipa[[#This Row],[fecha]]&gt;0,TEXT(Caja_Arequipa[[#This Row],[fecha]],"mmmm"),0)</f>
        <v>Octubre</v>
      </c>
    </row>
    <row r="1018" spans="1:28" x14ac:dyDescent="0.3">
      <c r="A1018" s="2">
        <f>IF(Caja_Arequipa[[#This Row],[tipo_r]]="R",COUNTIFS($C$1:$C1017,"R")+1,A1017)</f>
        <v>744</v>
      </c>
      <c r="B1018" s="19" t="str">
        <f t="shared" si="224"/>
        <v>C-Tesoreria</v>
      </c>
      <c r="C1018" s="73" t="s">
        <v>1352</v>
      </c>
      <c r="D1018" s="14">
        <v>45957</v>
      </c>
      <c r="E1018" s="5" t="s">
        <v>1338</v>
      </c>
      <c r="F1018" s="5" t="s">
        <v>1336</v>
      </c>
      <c r="G1018" s="3" t="s">
        <v>5380</v>
      </c>
      <c r="H1018" s="6" t="s">
        <v>978</v>
      </c>
      <c r="I1018" s="6" t="s">
        <v>68</v>
      </c>
      <c r="J1018" s="6" t="s">
        <v>6379</v>
      </c>
      <c r="K1018" s="6">
        <v>515752</v>
      </c>
      <c r="L1018" s="7" t="s">
        <v>6055</v>
      </c>
      <c r="M1018" s="8" t="str">
        <f>IF(Caja_Arequipa[[#This Row],[tipo_r]]="R","001-"&amp;12002+A1018,M1017)</f>
        <v>001-12746</v>
      </c>
      <c r="N1018" s="8" t="str">
        <f t="shared" si="225"/>
        <v>PEN</v>
      </c>
      <c r="O1018" s="13">
        <v>8</v>
      </c>
      <c r="P1018" s="13"/>
      <c r="Q1018" s="3">
        <f t="shared" si="226"/>
        <v>0</v>
      </c>
      <c r="R1018" s="3">
        <f t="shared" si="227"/>
        <v>0</v>
      </c>
      <c r="S1018" s="3">
        <f t="shared" si="228"/>
        <v>1439.5999999999988</v>
      </c>
      <c r="T1018" s="24"/>
      <c r="U1018" s="24"/>
      <c r="V1018" s="3"/>
      <c r="W1018" s="25">
        <f>IFERROR(VLOOKUP(Caja_Arequipa[[#This Row],[destinatario]],CHOOSE({1,2},Clientes_Proveedores[Razon Social],Clientes_Proveedores[Ruc / Dni]),2,0),"")</f>
        <v>20517252558</v>
      </c>
      <c r="X1018" s="3"/>
      <c r="Y1018" s="3"/>
      <c r="Z1018" s="3"/>
      <c r="AA1018" s="3"/>
      <c r="AB1018" s="3" t="str">
        <f>IF(Caja_Arequipa[[#This Row],[fecha]]&gt;0,TEXT(Caja_Arequipa[[#This Row],[fecha]],"mmmm"),0)</f>
        <v>Octubre</v>
      </c>
    </row>
    <row r="1019" spans="1:28" x14ac:dyDescent="0.3">
      <c r="A1019" s="2">
        <f>IF(Caja_Arequipa[[#This Row],[tipo_r]]="R",COUNTIFS($C$1:$C1018,"R")+1,A1018)</f>
        <v>744</v>
      </c>
      <c r="B1019" s="19" t="str">
        <f t="shared" si="224"/>
        <v>C-Tesoreria</v>
      </c>
      <c r="C1019" s="73" t="s">
        <v>1352</v>
      </c>
      <c r="D1019" s="14">
        <v>45957</v>
      </c>
      <c r="E1019" s="5" t="s">
        <v>1338</v>
      </c>
      <c r="F1019" s="5" t="s">
        <v>1336</v>
      </c>
      <c r="G1019" s="3" t="s">
        <v>5380</v>
      </c>
      <c r="H1019" s="6" t="s">
        <v>978</v>
      </c>
      <c r="I1019" s="6" t="s">
        <v>68</v>
      </c>
      <c r="J1019" s="6" t="s">
        <v>6380</v>
      </c>
      <c r="K1019" s="6">
        <v>413180</v>
      </c>
      <c r="L1019" s="7" t="s">
        <v>6055</v>
      </c>
      <c r="M1019" s="8" t="str">
        <f>IF(Caja_Arequipa[[#This Row],[tipo_r]]="R","001-"&amp;12002+A1019,M1018)</f>
        <v>001-12746</v>
      </c>
      <c r="N1019" s="8" t="str">
        <f t="shared" si="225"/>
        <v>PEN</v>
      </c>
      <c r="O1019" s="13">
        <v>8</v>
      </c>
      <c r="P1019" s="13"/>
      <c r="Q1019" s="3">
        <f t="shared" si="226"/>
        <v>0</v>
      </c>
      <c r="R1019" s="3">
        <f t="shared" si="227"/>
        <v>0</v>
      </c>
      <c r="S1019" s="3">
        <f t="shared" si="228"/>
        <v>1439.5999999999988</v>
      </c>
      <c r="T1019" s="24"/>
      <c r="U1019" s="24"/>
      <c r="V1019" s="3"/>
      <c r="W1019" s="25">
        <f>IFERROR(VLOOKUP(Caja_Arequipa[[#This Row],[destinatario]],CHOOSE({1,2},Clientes_Proveedores[Razon Social],Clientes_Proveedores[Ruc / Dni]),2,0),"")</f>
        <v>20517252558</v>
      </c>
      <c r="X1019" s="3"/>
      <c r="Y1019" s="3"/>
      <c r="Z1019" s="3"/>
      <c r="AA1019" s="3"/>
      <c r="AB1019" s="3" t="str">
        <f>IF(Caja_Arequipa[[#This Row],[fecha]]&gt;0,TEXT(Caja_Arequipa[[#This Row],[fecha]],"mmmm"),0)</f>
        <v>Octubre</v>
      </c>
    </row>
    <row r="1020" spans="1:28" x14ac:dyDescent="0.3">
      <c r="A1020" s="2">
        <f>IF(Caja_Arequipa[[#This Row],[tipo_r]]="R",COUNTIFS($C$1:$C1019,"R")+1,A1019)</f>
        <v>744</v>
      </c>
      <c r="B1020" s="19" t="str">
        <f t="shared" si="224"/>
        <v>C-Tesoreria</v>
      </c>
      <c r="C1020" s="73" t="s">
        <v>1352</v>
      </c>
      <c r="D1020" s="14">
        <v>45957</v>
      </c>
      <c r="E1020" s="5" t="s">
        <v>1338</v>
      </c>
      <c r="F1020" s="5" t="s">
        <v>1336</v>
      </c>
      <c r="G1020" s="3" t="s">
        <v>5380</v>
      </c>
      <c r="H1020" s="6" t="s">
        <v>978</v>
      </c>
      <c r="I1020" s="6" t="s">
        <v>68</v>
      </c>
      <c r="J1020" s="6" t="s">
        <v>6204</v>
      </c>
      <c r="K1020" s="6">
        <v>1875697</v>
      </c>
      <c r="L1020" s="7" t="s">
        <v>6055</v>
      </c>
      <c r="M1020" s="8" t="str">
        <f>IF(Caja_Arequipa[[#This Row],[tipo_r]]="R","001-"&amp;12002+A1020,M1019)</f>
        <v>001-12746</v>
      </c>
      <c r="N1020" s="8" t="str">
        <f t="shared" si="225"/>
        <v>PEN</v>
      </c>
      <c r="O1020" s="13">
        <v>8</v>
      </c>
      <c r="P1020" s="13"/>
      <c r="Q1020" s="3">
        <f t="shared" si="226"/>
        <v>0</v>
      </c>
      <c r="R1020" s="3">
        <f t="shared" si="227"/>
        <v>0</v>
      </c>
      <c r="S1020" s="3">
        <f t="shared" si="228"/>
        <v>1439.5999999999988</v>
      </c>
      <c r="T1020" s="24"/>
      <c r="U1020" s="24"/>
      <c r="V1020" s="3"/>
      <c r="W1020" s="25">
        <f>IFERROR(VLOOKUP(Caja_Arequipa[[#This Row],[destinatario]],CHOOSE({1,2},Clientes_Proveedores[Razon Social],Clientes_Proveedores[Ruc / Dni]),2,0),"")</f>
        <v>20517252558</v>
      </c>
      <c r="X1020" s="3"/>
      <c r="Y1020" s="3"/>
      <c r="Z1020" s="3"/>
      <c r="AA1020" s="3"/>
      <c r="AB1020" s="3" t="str">
        <f>IF(Caja_Arequipa[[#This Row],[fecha]]&gt;0,TEXT(Caja_Arequipa[[#This Row],[fecha]],"mmmm"),0)</f>
        <v>Octubre</v>
      </c>
    </row>
    <row r="1021" spans="1:28" ht="24" x14ac:dyDescent="0.3">
      <c r="A1021" s="2">
        <f>IF(Caja_Arequipa[[#This Row],[tipo_r]]="R",COUNTIFS($C$1:$C1020,"R")+1,A1020)</f>
        <v>744</v>
      </c>
      <c r="B1021" s="19" t="str">
        <f t="shared" si="224"/>
        <v>C-Tesoreria</v>
      </c>
      <c r="C1021" s="73" t="s">
        <v>1352</v>
      </c>
      <c r="D1021" s="14">
        <v>45957</v>
      </c>
      <c r="E1021" s="5" t="s">
        <v>1338</v>
      </c>
      <c r="F1021" s="5" t="s">
        <v>1336</v>
      </c>
      <c r="G1021" s="3" t="s">
        <v>5380</v>
      </c>
      <c r="H1021" s="6" t="s">
        <v>1269</v>
      </c>
      <c r="I1021" s="6" t="s">
        <v>68</v>
      </c>
      <c r="J1021" s="6" t="s">
        <v>6378</v>
      </c>
      <c r="K1021" s="6">
        <v>119</v>
      </c>
      <c r="L1021" s="7" t="s">
        <v>6055</v>
      </c>
      <c r="M1021" s="8" t="str">
        <f>IF(Caja_Arequipa[[#This Row],[tipo_r]]="R","001-"&amp;12002+A1021,M1020)</f>
        <v>001-12746</v>
      </c>
      <c r="N1021" s="8" t="str">
        <f t="shared" si="225"/>
        <v>PEN</v>
      </c>
      <c r="O1021" s="13">
        <v>10</v>
      </c>
      <c r="P1021" s="13"/>
      <c r="Q1021" s="3">
        <f t="shared" si="226"/>
        <v>0</v>
      </c>
      <c r="R1021" s="3">
        <f t="shared" si="227"/>
        <v>0</v>
      </c>
      <c r="S1021" s="3">
        <f t="shared" si="228"/>
        <v>1439.5999999999988</v>
      </c>
      <c r="T1021" s="24"/>
      <c r="U1021" s="24"/>
      <c r="V1021" s="3"/>
      <c r="W1021" s="25">
        <f>IFERROR(VLOOKUP(Caja_Arequipa[[#This Row],[destinatario]],CHOOSE({1,2},Clientes_Proveedores[Razon Social],Clientes_Proveedores[Ruc / Dni]),2,0),"")</f>
        <v>20614826704</v>
      </c>
      <c r="X1021" s="3"/>
      <c r="Y1021" s="3"/>
      <c r="Z1021" s="3"/>
      <c r="AA1021" s="3"/>
      <c r="AB1021" s="3" t="str">
        <f>IF(Caja_Arequipa[[#This Row],[fecha]]&gt;0,TEXT(Caja_Arequipa[[#This Row],[fecha]],"mmmm"),0)</f>
        <v>Octubre</v>
      </c>
    </row>
    <row r="1022" spans="1:28" x14ac:dyDescent="0.3">
      <c r="A1022" s="2">
        <f>IF(Caja_Arequipa[[#This Row],[tipo_r]]="R",COUNTIFS($C$1:$C1021,"R")+1,A1021)</f>
        <v>744</v>
      </c>
      <c r="B1022" s="19" t="str">
        <f t="shared" si="224"/>
        <v>C-Tesoreria</v>
      </c>
      <c r="C1022" s="73" t="s">
        <v>1352</v>
      </c>
      <c r="D1022" s="14">
        <v>45957</v>
      </c>
      <c r="E1022" s="5" t="s">
        <v>1338</v>
      </c>
      <c r="F1022" s="5" t="s">
        <v>1336</v>
      </c>
      <c r="G1022" s="3" t="s">
        <v>5380</v>
      </c>
      <c r="H1022" s="6" t="s">
        <v>978</v>
      </c>
      <c r="I1022" s="6" t="s">
        <v>68</v>
      </c>
      <c r="J1022" s="6" t="s">
        <v>5688</v>
      </c>
      <c r="K1022" s="6">
        <v>2519345</v>
      </c>
      <c r="L1022" s="7" t="s">
        <v>6055</v>
      </c>
      <c r="M1022" s="8" t="str">
        <f>IF(Caja_Arequipa[[#This Row],[tipo_r]]="R","001-"&amp;12002+A1022,M1021)</f>
        <v>001-12746</v>
      </c>
      <c r="N1022" s="8" t="str">
        <f t="shared" si="225"/>
        <v>PEN</v>
      </c>
      <c r="O1022" s="13">
        <v>8</v>
      </c>
      <c r="P1022" s="13"/>
      <c r="Q1022" s="3">
        <f t="shared" si="226"/>
        <v>0</v>
      </c>
      <c r="R1022" s="3">
        <f t="shared" si="227"/>
        <v>0</v>
      </c>
      <c r="S1022" s="3">
        <f t="shared" si="228"/>
        <v>1439.5999999999988</v>
      </c>
      <c r="T1022" s="24"/>
      <c r="U1022" s="24"/>
      <c r="V1022" s="3"/>
      <c r="W1022" s="25">
        <f>IFERROR(VLOOKUP(Caja_Arequipa[[#This Row],[destinatario]],CHOOSE({1,2},Clientes_Proveedores[Razon Social],Clientes_Proveedores[Ruc / Dni]),2,0),"")</f>
        <v>20517252558</v>
      </c>
      <c r="X1022" s="3"/>
      <c r="Y1022" s="3"/>
      <c r="Z1022" s="3"/>
      <c r="AA1022" s="3"/>
      <c r="AB1022" s="3" t="str">
        <f>IF(Caja_Arequipa[[#This Row],[fecha]]&gt;0,TEXT(Caja_Arequipa[[#This Row],[fecha]],"mmmm"),0)</f>
        <v>Octubre</v>
      </c>
    </row>
    <row r="1023" spans="1:28" x14ac:dyDescent="0.3">
      <c r="A1023" s="2">
        <f>IF(Caja_Arequipa[[#This Row],[tipo_r]]="R",COUNTIFS($C$1:$C1022,"R")+1,A1022)</f>
        <v>744</v>
      </c>
      <c r="B1023" s="19" t="str">
        <f t="shared" si="224"/>
        <v>C-Tesoreria</v>
      </c>
      <c r="C1023" s="73" t="s">
        <v>1352</v>
      </c>
      <c r="D1023" s="14">
        <v>45957</v>
      </c>
      <c r="E1023" s="5" t="s">
        <v>1338</v>
      </c>
      <c r="F1023" s="5" t="s">
        <v>1336</v>
      </c>
      <c r="G1023" s="3" t="s">
        <v>5380</v>
      </c>
      <c r="H1023" s="6" t="s">
        <v>695</v>
      </c>
      <c r="I1023" s="6" t="s">
        <v>68</v>
      </c>
      <c r="J1023" s="6" t="s">
        <v>6381</v>
      </c>
      <c r="K1023" s="6">
        <v>56125</v>
      </c>
      <c r="L1023" s="7" t="s">
        <v>6055</v>
      </c>
      <c r="M1023" s="8" t="str">
        <f>IF(Caja_Arequipa[[#This Row],[tipo_r]]="R","001-"&amp;12002+A1023,M1022)</f>
        <v>001-12746</v>
      </c>
      <c r="N1023" s="8" t="str">
        <f t="shared" si="225"/>
        <v>PEN</v>
      </c>
      <c r="O1023" s="13">
        <v>100</v>
      </c>
      <c r="P1023" s="13"/>
      <c r="Q1023" s="3">
        <f t="shared" si="226"/>
        <v>0</v>
      </c>
      <c r="R1023" s="3">
        <f t="shared" si="227"/>
        <v>0</v>
      </c>
      <c r="S1023" s="3">
        <f t="shared" si="228"/>
        <v>1439.5999999999988</v>
      </c>
      <c r="T1023" s="24"/>
      <c r="U1023" s="24"/>
      <c r="V1023" s="3"/>
      <c r="W1023" s="25">
        <f>IFERROR(VLOOKUP(Caja_Arequipa[[#This Row],[destinatario]],CHOOSE({1,2},Clientes_Proveedores[Razon Social],Clientes_Proveedores[Ruc / Dni]),2,0),"")</f>
        <v>20127765279</v>
      </c>
      <c r="X1023" s="3"/>
      <c r="Y1023" s="3"/>
      <c r="Z1023" s="3"/>
      <c r="AA1023" s="3"/>
      <c r="AB1023" s="3" t="str">
        <f>IF(Caja_Arequipa[[#This Row],[fecha]]&gt;0,TEXT(Caja_Arequipa[[#This Row],[fecha]],"mmmm"),0)</f>
        <v>Octubre</v>
      </c>
    </row>
    <row r="1024" spans="1:28" ht="36" x14ac:dyDescent="0.3">
      <c r="A1024" s="2">
        <f>IF(Caja_Arequipa[[#This Row],[tipo_r]]="R",COUNTIFS($C$1:$C1023,"R")+1,A1023)</f>
        <v>744</v>
      </c>
      <c r="B1024" s="19" t="str">
        <f t="shared" si="224"/>
        <v>C-Tesoreria</v>
      </c>
      <c r="C1024" s="73" t="s">
        <v>1352</v>
      </c>
      <c r="D1024" s="14">
        <v>45957</v>
      </c>
      <c r="E1024" s="5" t="s">
        <v>1338</v>
      </c>
      <c r="F1024" s="5" t="s">
        <v>1336</v>
      </c>
      <c r="G1024" s="3" t="s">
        <v>5380</v>
      </c>
      <c r="H1024" s="6" t="s">
        <v>971</v>
      </c>
      <c r="I1024" s="6" t="s">
        <v>68</v>
      </c>
      <c r="J1024" s="6" t="s">
        <v>1376</v>
      </c>
      <c r="K1024" s="6">
        <v>314</v>
      </c>
      <c r="L1024" s="7" t="s">
        <v>6055</v>
      </c>
      <c r="M1024" s="8" t="str">
        <f>IF(Caja_Arequipa[[#This Row],[tipo_r]]="R","001-"&amp;12002+A1024,M1023)</f>
        <v>001-12746</v>
      </c>
      <c r="N1024" s="8" t="str">
        <f t="shared" si="225"/>
        <v>PEN</v>
      </c>
      <c r="O1024" s="13">
        <v>35</v>
      </c>
      <c r="P1024" s="13"/>
      <c r="Q1024" s="3">
        <f t="shared" si="226"/>
        <v>0</v>
      </c>
      <c r="R1024" s="3">
        <f t="shared" si="227"/>
        <v>0</v>
      </c>
      <c r="S1024" s="3">
        <f t="shared" si="228"/>
        <v>1439.5999999999988</v>
      </c>
      <c r="T1024" s="24"/>
      <c r="U1024" s="24"/>
      <c r="V1024" s="3"/>
      <c r="W1024" s="25">
        <f>IFERROR(VLOOKUP(Caja_Arequipa[[#This Row],[destinatario]],CHOOSE({1,2},Clientes_Proveedores[Razon Social],Clientes_Proveedores[Ruc / Dni]),2,0),"")</f>
        <v>20614269309</v>
      </c>
      <c r="X1024" s="3"/>
      <c r="Y1024" s="3"/>
      <c r="Z1024" s="3"/>
      <c r="AA1024" s="3"/>
      <c r="AB1024" s="3" t="str">
        <f>IF(Caja_Arequipa[[#This Row],[fecha]]&gt;0,TEXT(Caja_Arequipa[[#This Row],[fecha]],"mmmm"),0)</f>
        <v>Octubre</v>
      </c>
    </row>
    <row r="1025" spans="1:28" x14ac:dyDescent="0.3">
      <c r="A1025" s="2">
        <f>IF(Caja_Arequipa[[#This Row],[tipo_r]]="R",COUNTIFS($C$1:$C1024,"R")+1,A1024)</f>
        <v>745</v>
      </c>
      <c r="B1025" s="19" t="str">
        <f t="shared" si="224"/>
        <v>C-Tesoreria</v>
      </c>
      <c r="C1025" s="73" t="s">
        <v>1330</v>
      </c>
      <c r="D1025" s="14">
        <v>45957</v>
      </c>
      <c r="E1025" s="5" t="s">
        <v>1338</v>
      </c>
      <c r="F1025" s="5" t="s">
        <v>1336</v>
      </c>
      <c r="G1025" s="3" t="s">
        <v>5303</v>
      </c>
      <c r="H1025" s="6" t="s">
        <v>1281</v>
      </c>
      <c r="I1025" s="6" t="s">
        <v>68</v>
      </c>
      <c r="J1025" s="6" t="s">
        <v>6382</v>
      </c>
      <c r="K1025" s="6">
        <v>4928</v>
      </c>
      <c r="L1025" s="7" t="s">
        <v>6383</v>
      </c>
      <c r="M1025" s="8" t="str">
        <f>IF(Caja_Arequipa[[#This Row],[tipo_r]]="R","001-"&amp;12002+A1025,M1024)</f>
        <v>001-12747</v>
      </c>
      <c r="N1025" s="8" t="str">
        <f t="shared" si="225"/>
        <v>PEN</v>
      </c>
      <c r="O1025" s="13"/>
      <c r="P1025" s="13">
        <v>199.8</v>
      </c>
      <c r="Q1025" s="3">
        <f t="shared" si="226"/>
        <v>0</v>
      </c>
      <c r="R1025" s="3">
        <f t="shared" si="227"/>
        <v>199.8</v>
      </c>
      <c r="S1025" s="3">
        <f t="shared" si="228"/>
        <v>1239.7999999999988</v>
      </c>
      <c r="T1025" s="24"/>
      <c r="U1025" s="24"/>
      <c r="V1025" s="3"/>
      <c r="W1025" s="25">
        <f>IFERROR(VLOOKUP(Caja_Arequipa[[#This Row],[destinatario]],CHOOSE({1,2},Clientes_Proveedores[Razon Social],Clientes_Proveedores[Ruc / Dni]),2,0),"")</f>
        <v>20100128056</v>
      </c>
      <c r="X1025" s="3"/>
      <c r="Y1025" s="3"/>
      <c r="Z1025" s="3"/>
      <c r="AA1025" s="3"/>
      <c r="AB1025" s="3" t="str">
        <f>IF(Caja_Arequipa[[#This Row],[fecha]]&gt;0,TEXT(Caja_Arequipa[[#This Row],[fecha]],"mmmm"),0)</f>
        <v>Octubre</v>
      </c>
    </row>
    <row r="1026" spans="1:28" ht="24" x14ac:dyDescent="0.3">
      <c r="A1026" s="2">
        <f>IF(Caja_Arequipa[[#This Row],[tipo_r]]="R",COUNTIFS($C$1:$C1025,"R")+1,A1025)</f>
        <v>746</v>
      </c>
      <c r="B1026" s="19" t="str">
        <f t="shared" ref="B1026:B1040" si="229">"C-Tesoreria"</f>
        <v>C-Tesoreria</v>
      </c>
      <c r="C1026" s="73" t="s">
        <v>1330</v>
      </c>
      <c r="D1026" s="14">
        <v>45957</v>
      </c>
      <c r="E1026" s="5" t="s">
        <v>6344</v>
      </c>
      <c r="F1026" s="5" t="s">
        <v>1303</v>
      </c>
      <c r="G1026" s="3"/>
      <c r="H1026" s="6"/>
      <c r="I1026" s="6" t="s">
        <v>130</v>
      </c>
      <c r="J1026" s="6">
        <v>1</v>
      </c>
      <c r="K1026" s="6">
        <v>222</v>
      </c>
      <c r="L1026" s="7" t="s">
        <v>6384</v>
      </c>
      <c r="M1026" s="8" t="str">
        <f>IF(Caja_Arequipa[[#This Row],[tipo_r]]="R","001-"&amp;12002+A1026,M1025)</f>
        <v>001-12748</v>
      </c>
      <c r="N1026" s="8" t="str">
        <f t="shared" ref="N1026:N1040" si="230">"PEN"</f>
        <v>PEN</v>
      </c>
      <c r="O1026" s="13"/>
      <c r="P1026" s="13">
        <v>20</v>
      </c>
      <c r="Q1026" s="3">
        <f t="shared" ref="Q1026:Q1040" si="231">+IF(OR($F1026="SALDO",$F1026="INGRESO"),$P1026,0)</f>
        <v>20</v>
      </c>
      <c r="R1026" s="3">
        <f t="shared" ref="R1026:R1040" si="232">+IF($F1026="EGRESO",$P1026,0)</f>
        <v>0</v>
      </c>
      <c r="S1026" s="3">
        <f t="shared" ref="S1026:S1040" si="233">IFERROR(IF(F1026="SALDO",Q1026,S1025+Q1026-R1026),0)</f>
        <v>1259.7999999999988</v>
      </c>
      <c r="T1026" s="24"/>
      <c r="U1026" s="24"/>
      <c r="V1026" s="3"/>
      <c r="W1026" s="25" t="str">
        <f>IFERROR(VLOOKUP(Caja_Arequipa[[#This Row],[destinatario]],CHOOSE({1,2},Clientes_Proveedores[Razon Social],Clientes_Proveedores[Ruc / Dni]),2,0),"")</f>
        <v/>
      </c>
      <c r="X1026" s="3"/>
      <c r="Y1026" s="3"/>
      <c r="Z1026" s="3"/>
      <c r="AA1026" s="3"/>
      <c r="AB1026" s="3" t="str">
        <f>IF(Caja_Arequipa[[#This Row],[fecha]]&gt;0,TEXT(Caja_Arequipa[[#This Row],[fecha]],"mmmm"),0)</f>
        <v>Octubre</v>
      </c>
    </row>
    <row r="1027" spans="1:28" ht="24" x14ac:dyDescent="0.3">
      <c r="A1027" s="2">
        <f>IF(Caja_Arequipa[[#This Row],[tipo_r]]="R",COUNTIFS($C$1:$C1026,"R")+1,A1026)</f>
        <v>747</v>
      </c>
      <c r="B1027" s="19" t="str">
        <f t="shared" si="229"/>
        <v>C-Tesoreria</v>
      </c>
      <c r="C1027" s="3" t="s">
        <v>1330</v>
      </c>
      <c r="D1027" s="14">
        <v>45958</v>
      </c>
      <c r="E1027" s="5" t="s">
        <v>1338</v>
      </c>
      <c r="F1027" s="5" t="s">
        <v>1336</v>
      </c>
      <c r="G1027" s="3" t="s">
        <v>6385</v>
      </c>
      <c r="H1027" s="6"/>
      <c r="I1027" s="6" t="s">
        <v>130</v>
      </c>
      <c r="J1027" s="6">
        <v>1</v>
      </c>
      <c r="K1027" s="6">
        <v>226</v>
      </c>
      <c r="L1027" s="7" t="s">
        <v>6386</v>
      </c>
      <c r="M1027" s="8" t="str">
        <f>IF(Caja_Arequipa[[#This Row],[tipo_r]]="R","001-"&amp;12002+A1027,M1026)</f>
        <v>001-12749</v>
      </c>
      <c r="N1027" s="8" t="str">
        <f t="shared" si="230"/>
        <v>PEN</v>
      </c>
      <c r="O1027" s="13"/>
      <c r="P1027" s="13">
        <v>15</v>
      </c>
      <c r="Q1027" s="3">
        <f t="shared" si="231"/>
        <v>0</v>
      </c>
      <c r="R1027" s="3">
        <f t="shared" si="232"/>
        <v>15</v>
      </c>
      <c r="S1027" s="3">
        <f t="shared" si="233"/>
        <v>1244.7999999999988</v>
      </c>
      <c r="T1027" s="24"/>
      <c r="U1027" s="24"/>
      <c r="V1027" s="3"/>
      <c r="W1027" s="25" t="str">
        <f>IFERROR(VLOOKUP(Caja_Arequipa[[#This Row],[destinatario]],CHOOSE({1,2},Clientes_Proveedores[Razon Social],Clientes_Proveedores[Ruc / Dni]),2,0),"")</f>
        <v/>
      </c>
      <c r="X1027" s="3"/>
      <c r="Y1027" s="3"/>
      <c r="Z1027" s="3"/>
      <c r="AA1027" s="3"/>
      <c r="AB1027" s="3" t="str">
        <f>IF(Caja_Arequipa[[#This Row],[fecha]]&gt;0,TEXT(Caja_Arequipa[[#This Row],[fecha]],"mmmm"),0)</f>
        <v>Octubre</v>
      </c>
    </row>
    <row r="1028" spans="1:28" ht="24" x14ac:dyDescent="0.3">
      <c r="A1028" s="2">
        <f>IF(Caja_Arequipa[[#This Row],[tipo_r]]="R",COUNTIFS($C$1:$C1027,"R")+1,A1027)</f>
        <v>748</v>
      </c>
      <c r="B1028" s="19" t="str">
        <f t="shared" si="229"/>
        <v>C-Tesoreria</v>
      </c>
      <c r="C1028" s="3" t="s">
        <v>1330</v>
      </c>
      <c r="D1028" s="14">
        <v>45958</v>
      </c>
      <c r="E1028" s="5" t="s">
        <v>1338</v>
      </c>
      <c r="F1028" s="5" t="s">
        <v>1336</v>
      </c>
      <c r="G1028" s="3" t="s">
        <v>6193</v>
      </c>
      <c r="H1028" s="6" t="s">
        <v>1038</v>
      </c>
      <c r="I1028" s="6" t="s">
        <v>111</v>
      </c>
      <c r="J1028" s="6">
        <v>3</v>
      </c>
      <c r="K1028" s="6">
        <v>422</v>
      </c>
      <c r="L1028" s="7" t="s">
        <v>6387</v>
      </c>
      <c r="M1028" s="8" t="str">
        <f>IF(Caja_Arequipa[[#This Row],[tipo_r]]="R","001-"&amp;12002+A1028,M1027)</f>
        <v>001-12750</v>
      </c>
      <c r="N1028" s="8" t="str">
        <f t="shared" si="230"/>
        <v>PEN</v>
      </c>
      <c r="O1028" s="13"/>
      <c r="P1028" s="13">
        <v>25.3</v>
      </c>
      <c r="Q1028" s="3">
        <f t="shared" si="231"/>
        <v>0</v>
      </c>
      <c r="R1028" s="3">
        <f t="shared" si="232"/>
        <v>25.3</v>
      </c>
      <c r="S1028" s="3">
        <f t="shared" si="233"/>
        <v>1219.4999999999989</v>
      </c>
      <c r="T1028" s="24"/>
      <c r="U1028" s="24"/>
      <c r="V1028" s="3"/>
      <c r="W1028" s="25">
        <f>IFERROR(VLOOKUP(Caja_Arequipa[[#This Row],[destinatario]],CHOOSE({1,2},Clientes_Proveedores[Razon Social],Clientes_Proveedores[Ruc / Dni]),2,0),"")</f>
        <v>72204134</v>
      </c>
      <c r="X1028" s="3"/>
      <c r="Y1028" s="3"/>
      <c r="Z1028" s="3"/>
      <c r="AA1028" s="3"/>
      <c r="AB1028" s="3" t="str">
        <f>IF(Caja_Arequipa[[#This Row],[fecha]]&gt;0,TEXT(Caja_Arequipa[[#This Row],[fecha]],"mmmm"),0)</f>
        <v>Octubre</v>
      </c>
    </row>
    <row r="1029" spans="1:28" ht="24" x14ac:dyDescent="0.3">
      <c r="A1029" s="2">
        <f>IF(Caja_Arequipa[[#This Row],[tipo_r]]="R",COUNTIFS($C$1:$C1028,"R")+1,A1028)</f>
        <v>749</v>
      </c>
      <c r="B1029" s="19" t="str">
        <f t="shared" si="229"/>
        <v>C-Tesoreria</v>
      </c>
      <c r="C1029" s="3" t="s">
        <v>1330</v>
      </c>
      <c r="D1029" s="14">
        <v>45958</v>
      </c>
      <c r="E1029" s="5" t="s">
        <v>1338</v>
      </c>
      <c r="F1029" s="5" t="s">
        <v>1336</v>
      </c>
      <c r="G1029" s="3" t="s">
        <v>6308</v>
      </c>
      <c r="H1029" s="6"/>
      <c r="I1029" s="6" t="s">
        <v>130</v>
      </c>
      <c r="J1029" s="6">
        <v>1</v>
      </c>
      <c r="K1029" s="6">
        <v>228</v>
      </c>
      <c r="L1029" s="7" t="s">
        <v>6388</v>
      </c>
      <c r="M1029" s="8" t="str">
        <f>IF(Caja_Arequipa[[#This Row],[tipo_r]]="R","001-"&amp;12002+A1029,M1028)</f>
        <v>001-12751</v>
      </c>
      <c r="N1029" s="8" t="str">
        <f t="shared" si="230"/>
        <v>PEN</v>
      </c>
      <c r="O1029" s="13"/>
      <c r="P1029" s="13">
        <v>23</v>
      </c>
      <c r="Q1029" s="3">
        <f t="shared" si="231"/>
        <v>0</v>
      </c>
      <c r="R1029" s="3">
        <f t="shared" si="232"/>
        <v>23</v>
      </c>
      <c r="S1029" s="3">
        <f t="shared" si="233"/>
        <v>1196.4999999999989</v>
      </c>
      <c r="T1029" s="24"/>
      <c r="U1029" s="24"/>
      <c r="V1029" s="3"/>
      <c r="W1029" s="25" t="str">
        <f>IFERROR(VLOOKUP(Caja_Arequipa[[#This Row],[destinatario]],CHOOSE({1,2},Clientes_Proveedores[Razon Social],Clientes_Proveedores[Ruc / Dni]),2,0),"")</f>
        <v/>
      </c>
      <c r="X1029" s="3"/>
      <c r="Y1029" s="3"/>
      <c r="Z1029" s="3"/>
      <c r="AA1029" s="3"/>
      <c r="AB1029" s="3" t="str">
        <f>IF(Caja_Arequipa[[#This Row],[fecha]]&gt;0,TEXT(Caja_Arequipa[[#This Row],[fecha]],"mmmm"),0)</f>
        <v>Octubre</v>
      </c>
    </row>
    <row r="1030" spans="1:28" ht="24" x14ac:dyDescent="0.3">
      <c r="A1030" s="2">
        <f>IF(Caja_Arequipa[[#This Row],[tipo_r]]="R",COUNTIFS($C$1:$C1029,"R")+1,A1029)</f>
        <v>749</v>
      </c>
      <c r="B1030" s="19" t="str">
        <f>"C-Tesoreria"</f>
        <v>C-Tesoreria</v>
      </c>
      <c r="C1030" s="3" t="s">
        <v>1352</v>
      </c>
      <c r="D1030" s="14">
        <v>45958</v>
      </c>
      <c r="E1030" s="5" t="s">
        <v>1338</v>
      </c>
      <c r="F1030" s="5" t="s">
        <v>1336</v>
      </c>
      <c r="G1030" s="3" t="s">
        <v>6308</v>
      </c>
      <c r="H1030" s="6" t="s">
        <v>986</v>
      </c>
      <c r="I1030" s="6" t="s">
        <v>75</v>
      </c>
      <c r="J1030" s="6">
        <v>1</v>
      </c>
      <c r="K1030" s="6">
        <v>708</v>
      </c>
      <c r="L1030" s="7" t="s">
        <v>6388</v>
      </c>
      <c r="M1030" s="8" t="str">
        <f>IF(Caja_Arequipa[[#This Row],[tipo_r]]="R","001-"&amp;12002+A1030,M1029)</f>
        <v>001-12751</v>
      </c>
      <c r="N1030" s="8" t="str">
        <f>"PEN"</f>
        <v>PEN</v>
      </c>
      <c r="O1030" s="13">
        <v>6</v>
      </c>
      <c r="P1030" s="13"/>
      <c r="Q1030" s="3">
        <f>+IF(OR($F1030="SALDO",$F1030="INGRESO"),$P1030,0)</f>
        <v>0</v>
      </c>
      <c r="R1030" s="3">
        <f>+IF($F1030="EGRESO",$P1030,0)</f>
        <v>0</v>
      </c>
      <c r="S1030" s="3">
        <f>IFERROR(IF(F1030="SALDO",Q1030,S1029+Q1030-R1030),0)</f>
        <v>1196.4999999999989</v>
      </c>
      <c r="T1030" s="24"/>
      <c r="U1030" s="24"/>
      <c r="V1030" s="3"/>
      <c r="W1030" s="25">
        <f>IFERROR(VLOOKUP(Caja_Arequipa[[#This Row],[destinatario]],CHOOSE({1,2},Clientes_Proveedores[Razon Social],Clientes_Proveedores[Ruc / Dni]),2,0),"")</f>
        <v>10309622885</v>
      </c>
      <c r="X1030" s="3"/>
      <c r="Y1030" s="3"/>
      <c r="Z1030" s="3"/>
      <c r="AA1030" s="3"/>
      <c r="AB1030" s="3" t="str">
        <f>IF(Caja_Arequipa[[#This Row],[fecha]]&gt;0,TEXT(Caja_Arequipa[[#This Row],[fecha]],"mmmm"),0)</f>
        <v>Octubre</v>
      </c>
    </row>
    <row r="1031" spans="1:28" ht="24" x14ac:dyDescent="0.3">
      <c r="A1031" s="2">
        <f>IF(Caja_Arequipa[[#This Row],[tipo_r]]="R",COUNTIFS($C$1:$C1030,"R")+1,A1030)</f>
        <v>749</v>
      </c>
      <c r="B1031" s="19" t="str">
        <f>"C-Tesoreria"</f>
        <v>C-Tesoreria</v>
      </c>
      <c r="C1031" s="3" t="s">
        <v>1352</v>
      </c>
      <c r="D1031" s="14">
        <v>45958</v>
      </c>
      <c r="E1031" s="5" t="s">
        <v>1338</v>
      </c>
      <c r="F1031" s="5" t="s">
        <v>1336</v>
      </c>
      <c r="G1031" s="3" t="s">
        <v>6308</v>
      </c>
      <c r="H1031" s="6" t="s">
        <v>1285</v>
      </c>
      <c r="I1031" s="6" t="s">
        <v>68</v>
      </c>
      <c r="J1031" s="6" t="s">
        <v>6389</v>
      </c>
      <c r="K1031" s="6">
        <v>8467</v>
      </c>
      <c r="L1031" s="7" t="s">
        <v>6388</v>
      </c>
      <c r="M1031" s="8" t="str">
        <f>IF(Caja_Arequipa[[#This Row],[tipo_r]]="R","001-"&amp;12002+A1031,M1030)</f>
        <v>001-12751</v>
      </c>
      <c r="N1031" s="8" t="str">
        <f>"PEN"</f>
        <v>PEN</v>
      </c>
      <c r="O1031" s="13">
        <v>11</v>
      </c>
      <c r="P1031" s="13"/>
      <c r="Q1031" s="3">
        <f>+IF(OR($F1031="SALDO",$F1031="INGRESO"),$P1031,0)</f>
        <v>0</v>
      </c>
      <c r="R1031" s="3">
        <f>+IF($F1031="EGRESO",$P1031,0)</f>
        <v>0</v>
      </c>
      <c r="S1031" s="3">
        <f t="shared" ref="S1031:S1033" si="234">IFERROR(IF(F1031="SALDO",Q1031,S1030+Q1031-R1031),0)</f>
        <v>1196.4999999999989</v>
      </c>
      <c r="T1031" s="24"/>
      <c r="U1031" s="24"/>
      <c r="V1031" s="3"/>
      <c r="W1031" s="25">
        <f>IFERROR(VLOOKUP(Caja_Arequipa[[#This Row],[destinatario]],CHOOSE({1,2},Clientes_Proveedores[Razon Social],Clientes_Proveedores[Ruc / Dni]),2,0),"")</f>
        <v>20606109343</v>
      </c>
      <c r="X1031" s="3"/>
      <c r="Y1031" s="3"/>
      <c r="Z1031" s="3"/>
      <c r="AA1031" s="3"/>
      <c r="AB1031" s="3" t="str">
        <f>IF(Caja_Arequipa[[#This Row],[fecha]]&gt;0,TEXT(Caja_Arequipa[[#This Row],[fecha]],"mmmm"),0)</f>
        <v>Octubre</v>
      </c>
    </row>
    <row r="1032" spans="1:28" ht="24" x14ac:dyDescent="0.3">
      <c r="A1032" s="2">
        <f>IF(Caja_Arequipa[[#This Row],[tipo_r]]="R",COUNTIFS($C$1:$C1031,"R")+1,A1031)</f>
        <v>749</v>
      </c>
      <c r="B1032" s="19" t="str">
        <f>"C-Tesoreria"</f>
        <v>C-Tesoreria</v>
      </c>
      <c r="C1032" s="3" t="s">
        <v>1352</v>
      </c>
      <c r="D1032" s="14">
        <v>45958</v>
      </c>
      <c r="E1032" s="5" t="s">
        <v>1338</v>
      </c>
      <c r="F1032" s="5" t="s">
        <v>1336</v>
      </c>
      <c r="G1032" s="3" t="s">
        <v>6308</v>
      </c>
      <c r="H1032" s="6" t="s">
        <v>977</v>
      </c>
      <c r="I1032" s="6" t="s">
        <v>68</v>
      </c>
      <c r="J1032" s="6" t="s">
        <v>6137</v>
      </c>
      <c r="K1032" s="6">
        <v>14302</v>
      </c>
      <c r="L1032" s="7" t="s">
        <v>6388</v>
      </c>
      <c r="M1032" s="8" t="str">
        <f>IF(Caja_Arequipa[[#This Row],[tipo_r]]="R","001-"&amp;12002+A1032,M1031)</f>
        <v>001-12751</v>
      </c>
      <c r="N1032" s="8" t="str">
        <f>"PEN"</f>
        <v>PEN</v>
      </c>
      <c r="O1032" s="13">
        <v>6</v>
      </c>
      <c r="P1032" s="13"/>
      <c r="Q1032" s="3">
        <f>+IF(OR($F1032="SALDO",$F1032="INGRESO"),$P1032,0)</f>
        <v>0</v>
      </c>
      <c r="R1032" s="3">
        <f>+IF($F1032="EGRESO",$P1032,0)</f>
        <v>0</v>
      </c>
      <c r="S1032" s="3">
        <f t="shared" si="234"/>
        <v>1196.4999999999989</v>
      </c>
      <c r="T1032" s="24"/>
      <c r="U1032" s="24"/>
      <c r="V1032" s="3"/>
      <c r="W1032" s="25">
        <f>IFERROR(VLOOKUP(Caja_Arequipa[[#This Row],[destinatario]],CHOOSE({1,2},Clientes_Proveedores[Razon Social],Clientes_Proveedores[Ruc / Dni]),2,0),"")</f>
        <v>20508565934</v>
      </c>
      <c r="X1032" s="3"/>
      <c r="Y1032" s="3"/>
      <c r="Z1032" s="3"/>
      <c r="AA1032" s="3"/>
      <c r="AB1032" s="3" t="str">
        <f>IF(Caja_Arequipa[[#This Row],[fecha]]&gt;0,TEXT(Caja_Arequipa[[#This Row],[fecha]],"mmmm"),0)</f>
        <v>Octubre</v>
      </c>
    </row>
    <row r="1033" spans="1:28" x14ac:dyDescent="0.3">
      <c r="A1033" s="2">
        <f>IF(Caja_Arequipa[[#This Row],[tipo_r]]="R",COUNTIFS($C$1:$C1032,"R")+1,A1032)</f>
        <v>750</v>
      </c>
      <c r="B1033" s="19" t="str">
        <f t="shared" si="229"/>
        <v>C-Tesoreria</v>
      </c>
      <c r="C1033" s="3" t="s">
        <v>1330</v>
      </c>
      <c r="D1033" s="14">
        <v>45959</v>
      </c>
      <c r="E1033" s="5" t="s">
        <v>1338</v>
      </c>
      <c r="F1033" s="5" t="s">
        <v>1336</v>
      </c>
      <c r="G1033" s="3" t="s">
        <v>5380</v>
      </c>
      <c r="H1033" s="6"/>
      <c r="I1033" s="6"/>
      <c r="J1033" s="6"/>
      <c r="K1033" s="6"/>
      <c r="L1033" s="7" t="s">
        <v>6055</v>
      </c>
      <c r="M1033" s="8" t="str">
        <f>IF(Caja_Arequipa[[#This Row],[tipo_r]]="R","001-"&amp;12002+A1033,M1032)</f>
        <v>001-12752</v>
      </c>
      <c r="N1033" s="8" t="str">
        <f t="shared" si="230"/>
        <v>PEN</v>
      </c>
      <c r="O1033" s="13"/>
      <c r="P1033" s="13">
        <v>126</v>
      </c>
      <c r="Q1033" s="3">
        <f t="shared" si="231"/>
        <v>0</v>
      </c>
      <c r="R1033" s="3">
        <f t="shared" si="232"/>
        <v>126</v>
      </c>
      <c r="S1033" s="3">
        <f t="shared" si="234"/>
        <v>1070.4999999999989</v>
      </c>
      <c r="T1033" s="24"/>
      <c r="U1033" s="24"/>
      <c r="V1033" s="3"/>
      <c r="W1033" s="25" t="str">
        <f>IFERROR(VLOOKUP(Caja_Arequipa[[#This Row],[destinatario]],CHOOSE({1,2},Clientes_Proveedores[Razon Social],Clientes_Proveedores[Ruc / Dni]),2,0),"")</f>
        <v/>
      </c>
      <c r="X1033" s="3"/>
      <c r="Y1033" s="3"/>
      <c r="Z1033" s="3"/>
      <c r="AA1033" s="3"/>
      <c r="AB1033" s="3" t="str">
        <f>IF(Caja_Arequipa[[#This Row],[fecha]]&gt;0,TEXT(Caja_Arequipa[[#This Row],[fecha]],"mmmm"),0)</f>
        <v>Octubre</v>
      </c>
    </row>
    <row r="1034" spans="1:28" ht="36" x14ac:dyDescent="0.3">
      <c r="A1034" s="2">
        <f>IF(Caja_Arequipa[[#This Row],[tipo_r]]="R",COUNTIFS($C$1:$C1033,"R")+1,A1033)</f>
        <v>750</v>
      </c>
      <c r="B1034" s="19" t="str">
        <f t="shared" si="229"/>
        <v>C-Tesoreria</v>
      </c>
      <c r="C1034" s="3" t="s">
        <v>1352</v>
      </c>
      <c r="D1034" s="14">
        <v>45959</v>
      </c>
      <c r="E1034" s="5" t="s">
        <v>1338</v>
      </c>
      <c r="F1034" s="5" t="s">
        <v>1336</v>
      </c>
      <c r="G1034" s="3" t="s">
        <v>5380</v>
      </c>
      <c r="H1034" s="6" t="s">
        <v>682</v>
      </c>
      <c r="I1034" s="6" t="s">
        <v>68</v>
      </c>
      <c r="J1034" s="6" t="s">
        <v>1353</v>
      </c>
      <c r="K1034" s="6">
        <v>18176</v>
      </c>
      <c r="L1034" s="7" t="s">
        <v>6055</v>
      </c>
      <c r="M1034" s="8" t="str">
        <f>IF(Caja_Arequipa[[#This Row],[tipo_r]]="R","001-"&amp;12002+A1034,M1033)</f>
        <v>001-12752</v>
      </c>
      <c r="N1034" s="8" t="str">
        <f t="shared" si="230"/>
        <v>PEN</v>
      </c>
      <c r="O1034" s="13">
        <v>20</v>
      </c>
      <c r="P1034" s="13"/>
      <c r="Q1034" s="3">
        <f t="shared" si="231"/>
        <v>0</v>
      </c>
      <c r="R1034" s="3">
        <f t="shared" si="232"/>
        <v>0</v>
      </c>
      <c r="S1034" s="3">
        <f t="shared" si="233"/>
        <v>1070.4999999999989</v>
      </c>
      <c r="T1034" s="24"/>
      <c r="U1034" s="24"/>
      <c r="V1034" s="3"/>
      <c r="W1034" s="25">
        <f>IFERROR(VLOOKUP(Caja_Arequipa[[#This Row],[destinatario]],CHOOSE({1,2},Clientes_Proveedores[Razon Social],Clientes_Proveedores[Ruc / Dni]),2,0),"")</f>
        <v>20259858934</v>
      </c>
      <c r="X1034" s="3"/>
      <c r="Y1034" s="3"/>
      <c r="Z1034" s="3"/>
      <c r="AA1034" s="3"/>
      <c r="AB1034" s="3" t="str">
        <f>IF(Caja_Arequipa[[#This Row],[fecha]]&gt;0,TEXT(Caja_Arequipa[[#This Row],[fecha]],"mmmm"),0)</f>
        <v>Octubre</v>
      </c>
    </row>
    <row r="1035" spans="1:28" ht="36" x14ac:dyDescent="0.3">
      <c r="A1035" s="2">
        <f>IF(Caja_Arequipa[[#This Row],[tipo_r]]="R",COUNTIFS($C$1:$C1034,"R")+1,A1034)</f>
        <v>750</v>
      </c>
      <c r="B1035" s="19" t="str">
        <f t="shared" si="229"/>
        <v>C-Tesoreria</v>
      </c>
      <c r="C1035" s="13" t="s">
        <v>1352</v>
      </c>
      <c r="D1035" s="14">
        <v>45959</v>
      </c>
      <c r="E1035" s="5" t="s">
        <v>1338</v>
      </c>
      <c r="F1035" s="5" t="s">
        <v>1336</v>
      </c>
      <c r="G1035" s="3" t="s">
        <v>5380</v>
      </c>
      <c r="H1035" s="6" t="s">
        <v>682</v>
      </c>
      <c r="I1035" s="6" t="s">
        <v>68</v>
      </c>
      <c r="J1035" s="6" t="s">
        <v>1353</v>
      </c>
      <c r="K1035" s="6">
        <v>18178</v>
      </c>
      <c r="L1035" s="7" t="s">
        <v>6055</v>
      </c>
      <c r="M1035" s="8" t="str">
        <f>IF(Caja_Arequipa[[#This Row],[tipo_r]]="R","001-"&amp;12002+A1035,M1034)</f>
        <v>001-12752</v>
      </c>
      <c r="N1035" s="8" t="str">
        <f t="shared" si="230"/>
        <v>PEN</v>
      </c>
      <c r="O1035" s="13">
        <v>20</v>
      </c>
      <c r="P1035" s="13"/>
      <c r="Q1035" s="3">
        <f t="shared" si="231"/>
        <v>0</v>
      </c>
      <c r="R1035" s="3">
        <f t="shared" si="232"/>
        <v>0</v>
      </c>
      <c r="S1035" s="3">
        <f t="shared" si="233"/>
        <v>1070.4999999999989</v>
      </c>
      <c r="T1035" s="24"/>
      <c r="U1035" s="24"/>
      <c r="V1035" s="3"/>
      <c r="W1035" s="25">
        <f>IFERROR(VLOOKUP(Caja_Arequipa[[#This Row],[destinatario]],CHOOSE({1,2},Clientes_Proveedores[Razon Social],Clientes_Proveedores[Ruc / Dni]),2,0),"")</f>
        <v>20259858934</v>
      </c>
      <c r="X1035" s="3"/>
      <c r="Y1035" s="3"/>
      <c r="Z1035" s="3"/>
      <c r="AA1035" s="3"/>
      <c r="AB1035" s="3" t="str">
        <f>IF(Caja_Arequipa[[#This Row],[fecha]]&gt;0,TEXT(Caja_Arequipa[[#This Row],[fecha]],"mmmm"),0)</f>
        <v>Octubre</v>
      </c>
    </row>
    <row r="1036" spans="1:28" x14ac:dyDescent="0.3">
      <c r="A1036" s="2">
        <f>IF(Caja_Arequipa[[#This Row],[tipo_r]]="R",COUNTIFS($C$1:$C1035,"R")+1,A1035)</f>
        <v>750</v>
      </c>
      <c r="B1036" s="19" t="str">
        <f t="shared" si="229"/>
        <v>C-Tesoreria</v>
      </c>
      <c r="C1036" s="13" t="s">
        <v>1352</v>
      </c>
      <c r="D1036" s="14">
        <v>45959</v>
      </c>
      <c r="E1036" s="5" t="s">
        <v>1338</v>
      </c>
      <c r="F1036" s="5" t="s">
        <v>1336</v>
      </c>
      <c r="G1036" s="3" t="s">
        <v>5380</v>
      </c>
      <c r="H1036" s="6" t="s">
        <v>978</v>
      </c>
      <c r="I1036" s="6" t="s">
        <v>68</v>
      </c>
      <c r="J1036" s="6" t="s">
        <v>6204</v>
      </c>
      <c r="K1036" s="6">
        <v>1877807</v>
      </c>
      <c r="L1036" s="7" t="s">
        <v>6055</v>
      </c>
      <c r="M1036" s="8" t="str">
        <f>IF(Caja_Arequipa[[#This Row],[tipo_r]]="R","001-"&amp;12002+A1036,M1035)</f>
        <v>001-12752</v>
      </c>
      <c r="N1036" s="8" t="str">
        <f t="shared" si="230"/>
        <v>PEN</v>
      </c>
      <c r="O1036" s="13">
        <v>8</v>
      </c>
      <c r="P1036" s="13"/>
      <c r="Q1036" s="3">
        <f t="shared" si="231"/>
        <v>0</v>
      </c>
      <c r="R1036" s="3">
        <f t="shared" si="232"/>
        <v>0</v>
      </c>
      <c r="S1036" s="3">
        <f t="shared" si="233"/>
        <v>1070.4999999999989</v>
      </c>
      <c r="T1036" s="24"/>
      <c r="U1036" s="24"/>
      <c r="V1036" s="3"/>
      <c r="W1036" s="25">
        <f>IFERROR(VLOOKUP(Caja_Arequipa[[#This Row],[destinatario]],CHOOSE({1,2},Clientes_Proveedores[Razon Social],Clientes_Proveedores[Ruc / Dni]),2,0),"")</f>
        <v>20517252558</v>
      </c>
      <c r="X1036" s="3"/>
      <c r="Y1036" s="3"/>
      <c r="Z1036" s="3"/>
      <c r="AA1036" s="3"/>
      <c r="AB1036" s="3" t="str">
        <f>IF(Caja_Arequipa[[#This Row],[fecha]]&gt;0,TEXT(Caja_Arequipa[[#This Row],[fecha]],"mmmm"),0)</f>
        <v>Octubre</v>
      </c>
    </row>
    <row r="1037" spans="1:28" ht="24" x14ac:dyDescent="0.3">
      <c r="A1037" s="2">
        <f>IF(Caja_Arequipa[[#This Row],[tipo_r]]="R",COUNTIFS($C$1:$C1036,"R")+1,A1036)</f>
        <v>750</v>
      </c>
      <c r="B1037" s="19" t="str">
        <f t="shared" si="229"/>
        <v>C-Tesoreria</v>
      </c>
      <c r="C1037" s="13" t="s">
        <v>1352</v>
      </c>
      <c r="D1037" s="14">
        <v>45959</v>
      </c>
      <c r="E1037" s="5" t="s">
        <v>1338</v>
      </c>
      <c r="F1037" s="5" t="s">
        <v>1336</v>
      </c>
      <c r="G1037" s="3" t="s">
        <v>5380</v>
      </c>
      <c r="H1037" s="6" t="s">
        <v>999</v>
      </c>
      <c r="I1037" s="6" t="s">
        <v>68</v>
      </c>
      <c r="J1037" s="6" t="s">
        <v>1374</v>
      </c>
      <c r="K1037" s="6">
        <v>20449</v>
      </c>
      <c r="L1037" s="7" t="s">
        <v>6055</v>
      </c>
      <c r="M1037" s="8" t="str">
        <f>IF(Caja_Arequipa[[#This Row],[tipo_r]]="R","001-"&amp;12002+A1037,M1036)</f>
        <v>001-12752</v>
      </c>
      <c r="N1037" s="8" t="str">
        <f t="shared" si="230"/>
        <v>PEN</v>
      </c>
      <c r="O1037" s="13">
        <v>25</v>
      </c>
      <c r="P1037" s="13"/>
      <c r="Q1037" s="3">
        <f t="shared" si="231"/>
        <v>0</v>
      </c>
      <c r="R1037" s="3">
        <f t="shared" si="232"/>
        <v>0</v>
      </c>
      <c r="S1037" s="3">
        <f t="shared" si="233"/>
        <v>1070.4999999999989</v>
      </c>
      <c r="T1037" s="24"/>
      <c r="U1037" s="24"/>
      <c r="V1037" s="3"/>
      <c r="W1037" s="25">
        <f>IFERROR(VLOOKUP(Caja_Arequipa[[#This Row],[destinatario]],CHOOSE({1,2},Clientes_Proveedores[Razon Social],Clientes_Proveedores[Ruc / Dni]),2,0),"")</f>
        <v>10705628331</v>
      </c>
      <c r="X1037" s="3"/>
      <c r="Y1037" s="3"/>
      <c r="Z1037" s="3"/>
      <c r="AA1037" s="3"/>
      <c r="AB1037" s="3" t="str">
        <f>IF(Caja_Arequipa[[#This Row],[fecha]]&gt;0,TEXT(Caja_Arequipa[[#This Row],[fecha]],"mmmm"),0)</f>
        <v>Octubre</v>
      </c>
    </row>
    <row r="1038" spans="1:28" x14ac:dyDescent="0.3">
      <c r="A1038" s="2">
        <f>IF(Caja_Arequipa[[#This Row],[tipo_r]]="R",COUNTIFS($C$1:$C1037,"R")+1,A1037)</f>
        <v>750</v>
      </c>
      <c r="B1038" s="19" t="str">
        <f t="shared" si="229"/>
        <v>C-Tesoreria</v>
      </c>
      <c r="C1038" s="13" t="s">
        <v>1352</v>
      </c>
      <c r="D1038" s="14">
        <v>45959</v>
      </c>
      <c r="E1038" s="5" t="s">
        <v>1338</v>
      </c>
      <c r="F1038" s="5" t="s">
        <v>1336</v>
      </c>
      <c r="G1038" s="3" t="s">
        <v>5380</v>
      </c>
      <c r="H1038" s="6" t="s">
        <v>978</v>
      </c>
      <c r="I1038" s="6" t="s">
        <v>68</v>
      </c>
      <c r="J1038" s="6" t="s">
        <v>5845</v>
      </c>
      <c r="K1038" s="6">
        <v>1900506</v>
      </c>
      <c r="L1038" s="7" t="s">
        <v>6055</v>
      </c>
      <c r="M1038" s="8" t="str">
        <f>IF(Caja_Arequipa[[#This Row],[tipo_r]]="R","001-"&amp;12002+A1038,M1037)</f>
        <v>001-12752</v>
      </c>
      <c r="N1038" s="8" t="str">
        <f t="shared" si="230"/>
        <v>PEN</v>
      </c>
      <c r="O1038" s="13">
        <v>8</v>
      </c>
      <c r="P1038" s="13"/>
      <c r="Q1038" s="3">
        <f t="shared" si="231"/>
        <v>0</v>
      </c>
      <c r="R1038" s="3">
        <f t="shared" si="232"/>
        <v>0</v>
      </c>
      <c r="S1038" s="3">
        <f t="shared" si="233"/>
        <v>1070.4999999999989</v>
      </c>
      <c r="T1038" s="24"/>
      <c r="U1038" s="24"/>
      <c r="V1038" s="3"/>
      <c r="W1038" s="25">
        <f>IFERROR(VLOOKUP(Caja_Arequipa[[#This Row],[destinatario]],CHOOSE({1,2},Clientes_Proveedores[Razon Social],Clientes_Proveedores[Ruc / Dni]),2,0),"")</f>
        <v>20517252558</v>
      </c>
      <c r="X1038" s="3"/>
      <c r="Y1038" s="3"/>
      <c r="Z1038" s="3"/>
      <c r="AA1038" s="3"/>
      <c r="AB1038" s="3" t="str">
        <f>IF(Caja_Arequipa[[#This Row],[fecha]]&gt;0,TEXT(Caja_Arequipa[[#This Row],[fecha]],"mmmm"),0)</f>
        <v>Octubre</v>
      </c>
    </row>
    <row r="1039" spans="1:28" ht="24" x14ac:dyDescent="0.3">
      <c r="A1039" s="2">
        <f>IF(Caja_Arequipa[[#This Row],[tipo_r]]="R",COUNTIFS($C$1:$C1038,"R")+1,A1038)</f>
        <v>750</v>
      </c>
      <c r="B1039" s="19" t="str">
        <f t="shared" si="229"/>
        <v>C-Tesoreria</v>
      </c>
      <c r="C1039" s="13" t="s">
        <v>1352</v>
      </c>
      <c r="D1039" s="14">
        <v>45959</v>
      </c>
      <c r="E1039" s="5" t="s">
        <v>1338</v>
      </c>
      <c r="F1039" s="5" t="s">
        <v>1336</v>
      </c>
      <c r="G1039" s="3" t="s">
        <v>5380</v>
      </c>
      <c r="H1039" s="6" t="s">
        <v>999</v>
      </c>
      <c r="I1039" s="6" t="s">
        <v>68</v>
      </c>
      <c r="J1039" s="6" t="s">
        <v>1374</v>
      </c>
      <c r="K1039" s="6">
        <v>20470</v>
      </c>
      <c r="L1039" s="7" t="s">
        <v>6055</v>
      </c>
      <c r="M1039" s="8" t="str">
        <f>IF(Caja_Arequipa[[#This Row],[tipo_r]]="R","001-"&amp;12002+A1039,M1038)</f>
        <v>001-12752</v>
      </c>
      <c r="N1039" s="8" t="str">
        <f t="shared" si="230"/>
        <v>PEN</v>
      </c>
      <c r="O1039" s="13">
        <v>25</v>
      </c>
      <c r="P1039" s="13"/>
      <c r="Q1039" s="3">
        <f t="shared" si="231"/>
        <v>0</v>
      </c>
      <c r="R1039" s="3">
        <f t="shared" si="232"/>
        <v>0</v>
      </c>
      <c r="S1039" s="3">
        <f t="shared" si="233"/>
        <v>1070.4999999999989</v>
      </c>
      <c r="T1039" s="24"/>
      <c r="U1039" s="24"/>
      <c r="V1039" s="3"/>
      <c r="W1039" s="25">
        <f>IFERROR(VLOOKUP(Caja_Arequipa[[#This Row],[destinatario]],CHOOSE({1,2},Clientes_Proveedores[Razon Social],Clientes_Proveedores[Ruc / Dni]),2,0),"")</f>
        <v>10705628331</v>
      </c>
      <c r="X1039" s="3"/>
      <c r="Y1039" s="3"/>
      <c r="Z1039" s="3"/>
      <c r="AA1039" s="3"/>
      <c r="AB1039" s="3" t="str">
        <f>IF(Caja_Arequipa[[#This Row],[fecha]]&gt;0,TEXT(Caja_Arequipa[[#This Row],[fecha]],"mmmm"),0)</f>
        <v>Octubre</v>
      </c>
    </row>
    <row r="1040" spans="1:28" ht="24" x14ac:dyDescent="0.3">
      <c r="A1040" s="2">
        <f>IF(Caja_Arequipa[[#This Row],[tipo_r]]="R",COUNTIFS($C$1:$C1039,"R")+1,A1039)</f>
        <v>750</v>
      </c>
      <c r="B1040" s="19" t="str">
        <f t="shared" si="229"/>
        <v>C-Tesoreria</v>
      </c>
      <c r="C1040" s="13" t="s">
        <v>1352</v>
      </c>
      <c r="D1040" s="14">
        <v>45959</v>
      </c>
      <c r="E1040" s="5" t="s">
        <v>1338</v>
      </c>
      <c r="F1040" s="5" t="s">
        <v>1336</v>
      </c>
      <c r="G1040" s="3" t="s">
        <v>5380</v>
      </c>
      <c r="H1040" s="6" t="s">
        <v>1283</v>
      </c>
      <c r="I1040" s="6" t="s">
        <v>68</v>
      </c>
      <c r="J1040" s="6" t="s">
        <v>1390</v>
      </c>
      <c r="K1040" s="6">
        <v>58317</v>
      </c>
      <c r="L1040" s="7" t="s">
        <v>6055</v>
      </c>
      <c r="M1040" s="8" t="str">
        <f>IF(Caja_Arequipa[[#This Row],[tipo_r]]="R","001-"&amp;12002+A1040,M1039)</f>
        <v>001-12752</v>
      </c>
      <c r="N1040" s="8" t="str">
        <f t="shared" si="230"/>
        <v>PEN</v>
      </c>
      <c r="O1040" s="13">
        <v>20</v>
      </c>
      <c r="P1040" s="13"/>
      <c r="Q1040" s="3">
        <f t="shared" si="231"/>
        <v>0</v>
      </c>
      <c r="R1040" s="3">
        <f t="shared" si="232"/>
        <v>0</v>
      </c>
      <c r="S1040" s="3">
        <f t="shared" si="233"/>
        <v>1070.4999999999989</v>
      </c>
      <c r="T1040" s="24"/>
      <c r="U1040" s="24"/>
      <c r="V1040" s="3"/>
      <c r="W1040" s="25">
        <f>IFERROR(VLOOKUP(Caja_Arequipa[[#This Row],[destinatario]],CHOOSE({1,2},Clientes_Proveedores[Razon Social],Clientes_Proveedores[Ruc / Dni]),2,0),"")</f>
        <v>20498469591</v>
      </c>
      <c r="X1040" s="3"/>
      <c r="Y1040" s="3"/>
      <c r="Z1040" s="3"/>
      <c r="AA1040" s="3"/>
      <c r="AB1040" s="3" t="str">
        <f>IF(Caja_Arequipa[[#This Row],[fecha]]&gt;0,TEXT(Caja_Arequipa[[#This Row],[fecha]],"mmmm"),0)</f>
        <v>Octubre</v>
      </c>
    </row>
    <row r="1041" spans="1:28" x14ac:dyDescent="0.3">
      <c r="A1041" s="2">
        <f>IF(Caja_Arequipa[[#This Row],[tipo_r]]="R",COUNTIFS($C$1:$C1040,"R")+1,A1040)</f>
        <v>751</v>
      </c>
      <c r="B1041" s="19" t="str">
        <f t="shared" ref="B1041:B1058" si="235">"C-Tesoreria"</f>
        <v>C-Tesoreria</v>
      </c>
      <c r="C1041" s="73" t="s">
        <v>1330</v>
      </c>
      <c r="D1041" s="14">
        <v>45960</v>
      </c>
      <c r="E1041" s="5" t="s">
        <v>1338</v>
      </c>
      <c r="F1041" s="5" t="s">
        <v>1336</v>
      </c>
      <c r="G1041" s="3" t="s">
        <v>5250</v>
      </c>
      <c r="H1041" s="6"/>
      <c r="I1041" s="6"/>
      <c r="J1041" s="6"/>
      <c r="K1041" s="6">
        <v>229</v>
      </c>
      <c r="L1041" s="7" t="s">
        <v>6390</v>
      </c>
      <c r="M1041" s="8" t="str">
        <f>IF(Caja_Arequipa[[#This Row],[tipo_r]]="R","001-"&amp;12002+A1041,M1040)</f>
        <v>001-12753</v>
      </c>
      <c r="N1041" s="8" t="str">
        <f t="shared" ref="N1041:N1058" si="236">"PEN"</f>
        <v>PEN</v>
      </c>
      <c r="O1041" s="13"/>
      <c r="P1041" s="13">
        <v>50</v>
      </c>
      <c r="Q1041" s="3">
        <f t="shared" ref="Q1041:Q1058" si="237">+IF(OR($F1041="SALDO",$F1041="INGRESO"),$P1041,0)</f>
        <v>0</v>
      </c>
      <c r="R1041" s="3">
        <f t="shared" ref="R1041:R1058" si="238">+IF($F1041="EGRESO",$P1041,0)</f>
        <v>50</v>
      </c>
      <c r="S1041" s="3">
        <f t="shared" ref="S1041:S1058" si="239">IFERROR(IF(F1041="SALDO",Q1041,S1040+Q1041-R1041),0)</f>
        <v>1020.4999999999989</v>
      </c>
      <c r="T1041" s="24"/>
      <c r="U1041" s="24"/>
      <c r="V1041" s="3"/>
      <c r="W1041" s="25" t="str">
        <f>IFERROR(VLOOKUP(Caja_Arequipa[[#This Row],[destinatario]],CHOOSE({1,2},Clientes_Proveedores[Razon Social],Clientes_Proveedores[Ruc / Dni]),2,0),"")</f>
        <v/>
      </c>
      <c r="X1041" s="3"/>
      <c r="Y1041" s="3"/>
      <c r="Z1041" s="3"/>
      <c r="AA1041" s="3"/>
      <c r="AB1041" s="3" t="str">
        <f>IF(Caja_Arequipa[[#This Row],[fecha]]&gt;0,TEXT(Caja_Arequipa[[#This Row],[fecha]],"mmmm"),0)</f>
        <v>Octubre</v>
      </c>
    </row>
    <row r="1042" spans="1:28" ht="24" x14ac:dyDescent="0.3">
      <c r="A1042" s="2">
        <f>IF(Caja_Arequipa[[#This Row],[tipo_r]]="R",COUNTIFS($C$1:$C1041,"R")+1,A1041)</f>
        <v>751</v>
      </c>
      <c r="B1042" s="19" t="str">
        <f>"C-Tesoreria"</f>
        <v>C-Tesoreria</v>
      </c>
      <c r="C1042" s="73" t="s">
        <v>1352</v>
      </c>
      <c r="D1042" s="14">
        <v>45960</v>
      </c>
      <c r="E1042" s="5" t="s">
        <v>1338</v>
      </c>
      <c r="F1042" s="5" t="s">
        <v>1336</v>
      </c>
      <c r="G1042" s="3" t="s">
        <v>5250</v>
      </c>
      <c r="H1042" s="6" t="s">
        <v>974</v>
      </c>
      <c r="I1042" s="6" t="s">
        <v>68</v>
      </c>
      <c r="J1042" s="6" t="s">
        <v>5917</v>
      </c>
      <c r="K1042" s="6">
        <v>5906</v>
      </c>
      <c r="L1042" s="7" t="s">
        <v>6390</v>
      </c>
      <c r="M1042" s="8" t="str">
        <f>IF(Caja_Arequipa[[#This Row],[tipo_r]]="R","001-"&amp;12002+A1042,M1041)</f>
        <v>001-12753</v>
      </c>
      <c r="N1042" s="8" t="str">
        <f>"PEN"</f>
        <v>PEN</v>
      </c>
      <c r="O1042" s="13">
        <v>34</v>
      </c>
      <c r="P1042" s="13"/>
      <c r="Q1042" s="3">
        <f>+IF(OR($F1042="SALDO",$F1042="INGRESO"),$P1042,0)</f>
        <v>0</v>
      </c>
      <c r="R1042" s="3">
        <f>+IF($F1042="EGRESO",$P1042,0)</f>
        <v>0</v>
      </c>
      <c r="S1042" s="3">
        <f>IFERROR(IF(F1042="SALDO",Q1042,S1041+Q1042-R1042),0)</f>
        <v>1020.4999999999989</v>
      </c>
      <c r="T1042" s="24"/>
      <c r="U1042" s="24"/>
      <c r="V1042" s="3"/>
      <c r="W1042" s="25">
        <f>IFERROR(VLOOKUP(Caja_Arequipa[[#This Row],[destinatario]],CHOOSE({1,2},Clientes_Proveedores[Razon Social],Clientes_Proveedores[Ruc / Dni]),2,0),"")</f>
        <v>20558053691</v>
      </c>
      <c r="X1042" s="3"/>
      <c r="Y1042" s="3"/>
      <c r="Z1042" s="3"/>
      <c r="AA1042" s="3"/>
      <c r="AB1042" s="3" t="str">
        <f>IF(Caja_Arequipa[[#This Row],[fecha]]&gt;0,TEXT(Caja_Arequipa[[#This Row],[fecha]],"mmmm"),0)</f>
        <v>Octubre</v>
      </c>
    </row>
    <row r="1043" spans="1:28" ht="24" x14ac:dyDescent="0.3">
      <c r="A1043" s="2">
        <f>IF(Caja_Arequipa[[#This Row],[tipo_r]]="R",COUNTIFS($C$1:$C1042,"R")+1,A1042)</f>
        <v>751</v>
      </c>
      <c r="B1043" s="19" t="str">
        <f>"C-Tesoreria"</f>
        <v>C-Tesoreria</v>
      </c>
      <c r="C1043" s="73" t="s">
        <v>1352</v>
      </c>
      <c r="D1043" s="14">
        <v>45960</v>
      </c>
      <c r="E1043" s="5" t="s">
        <v>1338</v>
      </c>
      <c r="F1043" s="5" t="s">
        <v>1336</v>
      </c>
      <c r="G1043" s="3" t="s">
        <v>5250</v>
      </c>
      <c r="H1043" s="6" t="s">
        <v>953</v>
      </c>
      <c r="I1043" s="6" t="s">
        <v>111</v>
      </c>
      <c r="J1043" s="6">
        <v>3</v>
      </c>
      <c r="K1043" s="51">
        <v>424</v>
      </c>
      <c r="L1043" s="7" t="s">
        <v>6390</v>
      </c>
      <c r="M1043" s="8" t="str">
        <f>IF(Caja_Arequipa[[#This Row],[tipo_r]]="R","001-"&amp;12002+A1043,M1042)</f>
        <v>001-12753</v>
      </c>
      <c r="N1043" s="8" t="str">
        <f>"PEN"</f>
        <v>PEN</v>
      </c>
      <c r="O1043" s="13">
        <v>16</v>
      </c>
      <c r="P1043" s="13"/>
      <c r="Q1043" s="3">
        <f>+IF(OR($F1043="SALDO",$F1043="INGRESO"),$P1043,0)</f>
        <v>0</v>
      </c>
      <c r="R1043" s="3">
        <f>+IF($F1043="EGRESO",$P1043,0)</f>
        <v>0</v>
      </c>
      <c r="S1043" s="3">
        <f t="shared" ref="S1043:S1044" si="240">IFERROR(IF(F1043="SALDO",Q1043,S1042+Q1043-R1043),0)</f>
        <v>1020.4999999999989</v>
      </c>
      <c r="T1043" s="24"/>
      <c r="U1043" s="24"/>
      <c r="V1043" s="3"/>
      <c r="W1043" s="25">
        <f>IFERROR(VLOOKUP(Caja_Arequipa[[#This Row],[destinatario]],CHOOSE({1,2},Clientes_Proveedores[Razon Social],Clientes_Proveedores[Ruc / Dni]),2,0),"")</f>
        <v>72682665</v>
      </c>
      <c r="X1043" s="3"/>
      <c r="Y1043" s="3"/>
      <c r="Z1043" s="3"/>
      <c r="AA1043" s="3"/>
      <c r="AB1043" s="3" t="str">
        <f>IF(Caja_Arequipa[[#This Row],[fecha]]&gt;0,TEXT(Caja_Arequipa[[#This Row],[fecha]],"mmmm"),0)</f>
        <v>Octubre</v>
      </c>
    </row>
    <row r="1044" spans="1:28" x14ac:dyDescent="0.3">
      <c r="A1044" s="2">
        <f>IF(Caja_Arequipa[[#This Row],[tipo_r]]="R",COUNTIFS($C$1:$C1043,"R")+1,A1043)</f>
        <v>752</v>
      </c>
      <c r="B1044" s="19" t="str">
        <f t="shared" si="235"/>
        <v>C-Tesoreria</v>
      </c>
      <c r="C1044" s="73" t="s">
        <v>1330</v>
      </c>
      <c r="D1044" s="14">
        <v>45960</v>
      </c>
      <c r="E1044" s="5" t="s">
        <v>1338</v>
      </c>
      <c r="F1044" s="5" t="s">
        <v>1336</v>
      </c>
      <c r="G1044" s="3" t="s">
        <v>6285</v>
      </c>
      <c r="H1044" s="6"/>
      <c r="I1044" s="6"/>
      <c r="J1044" s="6"/>
      <c r="K1044" s="51"/>
      <c r="L1044" s="7" t="s">
        <v>6335</v>
      </c>
      <c r="M1044" s="8" t="str">
        <f>IF(Caja_Arequipa[[#This Row],[tipo_r]]="R","001-"&amp;12002+A1044,M1043)</f>
        <v>001-12754</v>
      </c>
      <c r="N1044" s="8" t="str">
        <f t="shared" si="236"/>
        <v>PEN</v>
      </c>
      <c r="O1044" s="13"/>
      <c r="P1044" s="13">
        <v>207</v>
      </c>
      <c r="Q1044" s="3">
        <f t="shared" si="237"/>
        <v>0</v>
      </c>
      <c r="R1044" s="3">
        <f t="shared" si="238"/>
        <v>207</v>
      </c>
      <c r="S1044" s="3">
        <f t="shared" si="240"/>
        <v>813.49999999999886</v>
      </c>
      <c r="T1044" s="24"/>
      <c r="U1044" s="24"/>
      <c r="V1044" s="3"/>
      <c r="W1044" s="25" t="str">
        <f>IFERROR(VLOOKUP(Caja_Arequipa[[#This Row],[destinatario]],CHOOSE({1,2},Clientes_Proveedores[Razon Social],Clientes_Proveedores[Ruc / Dni]),2,0),"")</f>
        <v/>
      </c>
      <c r="X1044" s="3"/>
      <c r="Y1044" s="3"/>
      <c r="Z1044" s="3"/>
      <c r="AA1044" s="3"/>
      <c r="AB1044" s="3" t="str">
        <f>IF(Caja_Arequipa[[#This Row],[fecha]]&gt;0,TEXT(Caja_Arequipa[[#This Row],[fecha]],"mmmm"),0)</f>
        <v>Octubre</v>
      </c>
    </row>
    <row r="1045" spans="1:28" ht="24" x14ac:dyDescent="0.3">
      <c r="A1045" s="2">
        <f>IF(Caja_Arequipa[[#This Row],[tipo_r]]="R",COUNTIFS($C$1:$C1044,"R")+1,A1044)</f>
        <v>752</v>
      </c>
      <c r="B1045" s="19" t="str">
        <f t="shared" si="235"/>
        <v>C-Tesoreria</v>
      </c>
      <c r="C1045" s="73" t="s">
        <v>1352</v>
      </c>
      <c r="D1045" s="14">
        <v>45960</v>
      </c>
      <c r="E1045" s="5" t="s">
        <v>1338</v>
      </c>
      <c r="F1045" s="5" t="s">
        <v>1336</v>
      </c>
      <c r="G1045" s="3" t="s">
        <v>6285</v>
      </c>
      <c r="H1045" s="6" t="s">
        <v>850</v>
      </c>
      <c r="I1045" s="6" t="s">
        <v>111</v>
      </c>
      <c r="J1045" s="6">
        <v>3</v>
      </c>
      <c r="K1045" s="51">
        <v>424</v>
      </c>
      <c r="L1045" s="7" t="s">
        <v>6335</v>
      </c>
      <c r="M1045" s="8" t="str">
        <f>IF(Caja_Arequipa[[#This Row],[tipo_r]]="R","001-"&amp;12002+A1045,M1044)</f>
        <v>001-12754</v>
      </c>
      <c r="N1045" s="8" t="str">
        <f t="shared" si="236"/>
        <v>PEN</v>
      </c>
      <c r="O1045" s="13">
        <v>60</v>
      </c>
      <c r="P1045" s="13"/>
      <c r="Q1045" s="3">
        <f t="shared" si="237"/>
        <v>0</v>
      </c>
      <c r="R1045" s="3">
        <f t="shared" si="238"/>
        <v>0</v>
      </c>
      <c r="S1045" s="3">
        <f t="shared" si="239"/>
        <v>813.49999999999886</v>
      </c>
      <c r="T1045" s="24"/>
      <c r="U1045" s="24"/>
      <c r="V1045" s="3"/>
      <c r="W1045" s="25">
        <f>IFERROR(VLOOKUP(Caja_Arequipa[[#This Row],[destinatario]],CHOOSE({1,2},Clientes_Proveedores[Razon Social],Clientes_Proveedores[Ruc / Dni]),2,0),"")</f>
        <v>73649810</v>
      </c>
      <c r="X1045" s="3"/>
      <c r="Y1045" s="3"/>
      <c r="Z1045" s="3"/>
      <c r="AA1045" s="3"/>
      <c r="AB1045" s="3" t="str">
        <f>IF(Caja_Arequipa[[#This Row],[fecha]]&gt;0,TEXT(Caja_Arequipa[[#This Row],[fecha]],"mmmm"),0)</f>
        <v>Octubre</v>
      </c>
    </row>
    <row r="1046" spans="1:28" ht="24" x14ac:dyDescent="0.3">
      <c r="A1046" s="2">
        <f>IF(Caja_Arequipa[[#This Row],[tipo_r]]="R",COUNTIFS($C$1:$C1045,"R")+1,A1045)</f>
        <v>752</v>
      </c>
      <c r="B1046" s="19" t="str">
        <f t="shared" si="235"/>
        <v>C-Tesoreria</v>
      </c>
      <c r="C1046" s="73" t="s">
        <v>1352</v>
      </c>
      <c r="D1046" s="14">
        <v>45960</v>
      </c>
      <c r="E1046" s="5" t="s">
        <v>1338</v>
      </c>
      <c r="F1046" s="5" t="s">
        <v>1336</v>
      </c>
      <c r="G1046" s="3" t="s">
        <v>6285</v>
      </c>
      <c r="H1046" s="6" t="s">
        <v>850</v>
      </c>
      <c r="I1046" s="6" t="s">
        <v>111</v>
      </c>
      <c r="J1046" s="6">
        <v>3</v>
      </c>
      <c r="K1046" s="51">
        <v>425</v>
      </c>
      <c r="L1046" s="7" t="s">
        <v>6335</v>
      </c>
      <c r="M1046" s="8" t="str">
        <f>IF(Caja_Arequipa[[#This Row],[tipo_r]]="R","001-"&amp;12002+A1046,M1045)</f>
        <v>001-12754</v>
      </c>
      <c r="N1046" s="8" t="str">
        <f t="shared" si="236"/>
        <v>PEN</v>
      </c>
      <c r="O1046" s="13">
        <v>67</v>
      </c>
      <c r="P1046" s="13"/>
      <c r="Q1046" s="3">
        <f t="shared" si="237"/>
        <v>0</v>
      </c>
      <c r="R1046" s="3">
        <f t="shared" si="238"/>
        <v>0</v>
      </c>
      <c r="S1046" s="3">
        <f t="shared" si="239"/>
        <v>813.49999999999886</v>
      </c>
      <c r="T1046" s="24"/>
      <c r="U1046" s="24"/>
      <c r="V1046" s="3"/>
      <c r="W1046" s="25">
        <f>IFERROR(VLOOKUP(Caja_Arequipa[[#This Row],[destinatario]],CHOOSE({1,2},Clientes_Proveedores[Razon Social],Clientes_Proveedores[Ruc / Dni]),2,0),"")</f>
        <v>73649810</v>
      </c>
      <c r="X1046" s="3"/>
      <c r="Y1046" s="3"/>
      <c r="Z1046" s="3"/>
      <c r="AA1046" s="3"/>
      <c r="AB1046" s="3" t="str">
        <f>IF(Caja_Arequipa[[#This Row],[fecha]]&gt;0,TEXT(Caja_Arequipa[[#This Row],[fecha]],"mmmm"),0)</f>
        <v>Octubre</v>
      </c>
    </row>
    <row r="1047" spans="1:28" ht="24" x14ac:dyDescent="0.3">
      <c r="A1047" s="2">
        <f>IF(Caja_Arequipa[[#This Row],[tipo_r]]="R",COUNTIFS($C$1:$C1046,"R")+1,A1046)</f>
        <v>752</v>
      </c>
      <c r="B1047" s="19" t="str">
        <f t="shared" si="235"/>
        <v>C-Tesoreria</v>
      </c>
      <c r="C1047" s="73" t="s">
        <v>1352</v>
      </c>
      <c r="D1047" s="14">
        <v>45960</v>
      </c>
      <c r="E1047" s="5" t="s">
        <v>1338</v>
      </c>
      <c r="F1047" s="5" t="s">
        <v>1336</v>
      </c>
      <c r="G1047" s="3" t="s">
        <v>6285</v>
      </c>
      <c r="H1047" s="6" t="s">
        <v>850</v>
      </c>
      <c r="I1047" s="6" t="s">
        <v>111</v>
      </c>
      <c r="J1047" s="6">
        <v>3</v>
      </c>
      <c r="K1047" s="51">
        <v>426</v>
      </c>
      <c r="L1047" s="7" t="s">
        <v>6335</v>
      </c>
      <c r="M1047" s="8" t="str">
        <f>IF(Caja_Arequipa[[#This Row],[tipo_r]]="R","001-"&amp;12002+A1047,M1046)</f>
        <v>001-12754</v>
      </c>
      <c r="N1047" s="8" t="str">
        <f t="shared" si="236"/>
        <v>PEN</v>
      </c>
      <c r="O1047" s="13">
        <v>80</v>
      </c>
      <c r="P1047" s="13"/>
      <c r="Q1047" s="3">
        <f t="shared" si="237"/>
        <v>0</v>
      </c>
      <c r="R1047" s="3">
        <f t="shared" si="238"/>
        <v>0</v>
      </c>
      <c r="S1047" s="3">
        <f t="shared" si="239"/>
        <v>813.49999999999886</v>
      </c>
      <c r="T1047" s="24"/>
      <c r="U1047" s="24"/>
      <c r="V1047" s="3"/>
      <c r="W1047" s="25">
        <f>IFERROR(VLOOKUP(Caja_Arequipa[[#This Row],[destinatario]],CHOOSE({1,2},Clientes_Proveedores[Razon Social],Clientes_Proveedores[Ruc / Dni]),2,0),"")</f>
        <v>73649810</v>
      </c>
      <c r="X1047" s="3"/>
      <c r="Y1047" s="3"/>
      <c r="Z1047" s="3"/>
      <c r="AA1047" s="3"/>
      <c r="AB1047" s="3" t="str">
        <f>IF(Caja_Arequipa[[#This Row],[fecha]]&gt;0,TEXT(Caja_Arequipa[[#This Row],[fecha]],"mmmm"),0)</f>
        <v>Octubre</v>
      </c>
    </row>
    <row r="1048" spans="1:28" ht="24" x14ac:dyDescent="0.3">
      <c r="A1048" s="2">
        <f>IF(Caja_Arequipa[[#This Row],[tipo_r]]="R",COUNTIFS($C$1:$C1047,"R")+1,A1047)</f>
        <v>753</v>
      </c>
      <c r="B1048" s="19" t="str">
        <f t="shared" si="235"/>
        <v>C-Tesoreria</v>
      </c>
      <c r="C1048" s="73" t="s">
        <v>1330</v>
      </c>
      <c r="D1048" s="14">
        <v>45961</v>
      </c>
      <c r="E1048" s="5" t="s">
        <v>2269</v>
      </c>
      <c r="F1048" s="5" t="s">
        <v>1336</v>
      </c>
      <c r="G1048" s="3" t="s">
        <v>6216</v>
      </c>
      <c r="H1048" s="6"/>
      <c r="I1048" s="6" t="s">
        <v>130</v>
      </c>
      <c r="J1048" s="6">
        <v>1</v>
      </c>
      <c r="K1048" s="6">
        <v>230</v>
      </c>
      <c r="L1048" s="7" t="s">
        <v>6391</v>
      </c>
      <c r="M1048" s="8" t="str">
        <f>IF(Caja_Arequipa[[#This Row],[tipo_r]]="R","001-"&amp;12002+A1048,M1047)</f>
        <v>001-12755</v>
      </c>
      <c r="N1048" s="8" t="str">
        <f t="shared" si="236"/>
        <v>PEN</v>
      </c>
      <c r="O1048" s="13"/>
      <c r="P1048" s="13">
        <v>40</v>
      </c>
      <c r="Q1048" s="3">
        <f t="shared" si="237"/>
        <v>0</v>
      </c>
      <c r="R1048" s="3">
        <f t="shared" si="238"/>
        <v>40</v>
      </c>
      <c r="S1048" s="3">
        <f t="shared" si="239"/>
        <v>773.49999999999886</v>
      </c>
      <c r="T1048" s="24"/>
      <c r="U1048" s="24"/>
      <c r="V1048" s="3"/>
      <c r="W1048" s="25" t="str">
        <f>IFERROR(VLOOKUP(Caja_Arequipa[[#This Row],[destinatario]],CHOOSE({1,2},Clientes_Proveedores[Razon Social],Clientes_Proveedores[Ruc / Dni]),2,0),"")</f>
        <v/>
      </c>
      <c r="X1048" s="3"/>
      <c r="Y1048" s="3"/>
      <c r="Z1048" s="3"/>
      <c r="AA1048" s="3"/>
      <c r="AB1048" s="3" t="str">
        <f>IF(Caja_Arequipa[[#This Row],[fecha]]&gt;0,TEXT(Caja_Arequipa[[#This Row],[fecha]],"mmmm"),0)</f>
        <v>Octubre</v>
      </c>
    </row>
    <row r="1049" spans="1:28" ht="24" x14ac:dyDescent="0.3">
      <c r="A1049" s="2">
        <f>IF(Caja_Arequipa[[#This Row],[tipo_r]]="R",COUNTIFS($C$1:$C1048,"R")+1,A1048)</f>
        <v>754</v>
      </c>
      <c r="B1049" s="19" t="str">
        <f t="shared" si="235"/>
        <v>C-Tesoreria</v>
      </c>
      <c r="C1049" s="73" t="s">
        <v>1330</v>
      </c>
      <c r="D1049" s="14">
        <v>45961</v>
      </c>
      <c r="E1049" s="5" t="s">
        <v>2269</v>
      </c>
      <c r="F1049" s="5" t="s">
        <v>1336</v>
      </c>
      <c r="G1049" s="3" t="s">
        <v>6193</v>
      </c>
      <c r="H1049" s="6"/>
      <c r="I1049" s="6" t="s">
        <v>130</v>
      </c>
      <c r="J1049" s="6">
        <v>1</v>
      </c>
      <c r="K1049" s="6">
        <v>231</v>
      </c>
      <c r="L1049" s="7" t="s">
        <v>6392</v>
      </c>
      <c r="M1049" s="8" t="str">
        <f>IF(Caja_Arequipa[[#This Row],[tipo_r]]="R","001-"&amp;12002+A1049,M1048)</f>
        <v>001-12756</v>
      </c>
      <c r="N1049" s="8" t="str">
        <f t="shared" si="236"/>
        <v>PEN</v>
      </c>
      <c r="O1049" s="13"/>
      <c r="P1049" s="13">
        <v>30</v>
      </c>
      <c r="Q1049" s="3">
        <f t="shared" si="237"/>
        <v>0</v>
      </c>
      <c r="R1049" s="3">
        <f t="shared" si="238"/>
        <v>30</v>
      </c>
      <c r="S1049" s="3">
        <f t="shared" si="239"/>
        <v>743.49999999999886</v>
      </c>
      <c r="T1049" s="24"/>
      <c r="U1049" s="24"/>
      <c r="V1049" s="3"/>
      <c r="W1049" s="25" t="str">
        <f>IFERROR(VLOOKUP(Caja_Arequipa[[#This Row],[destinatario]],CHOOSE({1,2},Clientes_Proveedores[Razon Social],Clientes_Proveedores[Ruc / Dni]),2,0),"")</f>
        <v/>
      </c>
      <c r="X1049" s="3"/>
      <c r="Y1049" s="3"/>
      <c r="Z1049" s="3"/>
      <c r="AA1049" s="3"/>
      <c r="AB1049" s="3" t="str">
        <f>IF(Caja_Arequipa[[#This Row],[fecha]]&gt;0,TEXT(Caja_Arequipa[[#This Row],[fecha]],"mmmm"),0)</f>
        <v>Octubre</v>
      </c>
    </row>
    <row r="1050" spans="1:28" ht="24" x14ac:dyDescent="0.3">
      <c r="A1050" s="2">
        <f>IF(Caja_Arequipa[[#This Row],[tipo_r]]="R",COUNTIFS($C$1:$C1049,"R")+1,A1049)</f>
        <v>755</v>
      </c>
      <c r="B1050" s="19" t="str">
        <f t="shared" si="235"/>
        <v>C-Tesoreria</v>
      </c>
      <c r="C1050" s="73" t="s">
        <v>1330</v>
      </c>
      <c r="D1050" s="14">
        <v>45961</v>
      </c>
      <c r="E1050" s="5" t="s">
        <v>2269</v>
      </c>
      <c r="F1050" s="5" t="s">
        <v>1336</v>
      </c>
      <c r="G1050" s="3" t="s">
        <v>5828</v>
      </c>
      <c r="H1050" s="6" t="s">
        <v>993</v>
      </c>
      <c r="I1050" s="6" t="s">
        <v>111</v>
      </c>
      <c r="J1050" s="6">
        <v>3</v>
      </c>
      <c r="K1050" s="6">
        <v>428</v>
      </c>
      <c r="L1050" s="7" t="s">
        <v>6393</v>
      </c>
      <c r="M1050" s="8" t="str">
        <f>IF(Caja_Arequipa[[#This Row],[tipo_r]]="R","001-"&amp;12002+A1050,M1049)</f>
        <v>001-12757</v>
      </c>
      <c r="N1050" s="8" t="str">
        <f t="shared" si="236"/>
        <v>PEN</v>
      </c>
      <c r="O1050" s="13"/>
      <c r="P1050" s="13">
        <v>15</v>
      </c>
      <c r="Q1050" s="3">
        <f t="shared" si="237"/>
        <v>0</v>
      </c>
      <c r="R1050" s="3">
        <f t="shared" si="238"/>
        <v>15</v>
      </c>
      <c r="S1050" s="3">
        <f t="shared" si="239"/>
        <v>728.49999999999886</v>
      </c>
      <c r="T1050" s="24"/>
      <c r="U1050" s="24"/>
      <c r="V1050" s="3"/>
      <c r="W1050" s="25">
        <f>IFERROR(VLOOKUP(Caja_Arequipa[[#This Row],[destinatario]],CHOOSE({1,2},Clientes_Proveedores[Razon Social],Clientes_Proveedores[Ruc / Dni]),2,0),"")</f>
        <v>76390500</v>
      </c>
      <c r="X1050" s="3"/>
      <c r="Y1050" s="3"/>
      <c r="Z1050" s="3"/>
      <c r="AA1050" s="3"/>
      <c r="AB1050" s="3" t="str">
        <f>IF(Caja_Arequipa[[#This Row],[fecha]]&gt;0,TEXT(Caja_Arequipa[[#This Row],[fecha]],"mmmm"),0)</f>
        <v>Octubre</v>
      </c>
    </row>
    <row r="1051" spans="1:28" ht="24" x14ac:dyDescent="0.3">
      <c r="A1051" s="2">
        <f>IF(Caja_Arequipa[[#This Row],[tipo_r]]="R",COUNTIFS($C$1:$C1050,"R")+1,A1050)</f>
        <v>756</v>
      </c>
      <c r="B1051" s="19" t="str">
        <f t="shared" si="235"/>
        <v>C-Tesoreria</v>
      </c>
      <c r="C1051" s="73" t="s">
        <v>1330</v>
      </c>
      <c r="D1051" s="14">
        <v>45961</v>
      </c>
      <c r="E1051" s="5" t="s">
        <v>2269</v>
      </c>
      <c r="F1051" s="5" t="s">
        <v>1336</v>
      </c>
      <c r="G1051" s="3" t="s">
        <v>3634</v>
      </c>
      <c r="H1051" s="6" t="s">
        <v>895</v>
      </c>
      <c r="I1051" s="6" t="s">
        <v>111</v>
      </c>
      <c r="J1051" s="6">
        <v>3</v>
      </c>
      <c r="K1051" s="6">
        <v>423</v>
      </c>
      <c r="L1051" s="7" t="s">
        <v>6394</v>
      </c>
      <c r="M1051" s="8" t="str">
        <f>IF(Caja_Arequipa[[#This Row],[tipo_r]]="R","001-"&amp;12002+A1051,M1050)</f>
        <v>001-12758</v>
      </c>
      <c r="N1051" s="8" t="str">
        <f t="shared" si="236"/>
        <v>PEN</v>
      </c>
      <c r="O1051" s="13"/>
      <c r="P1051" s="13">
        <v>99</v>
      </c>
      <c r="Q1051" s="3">
        <f t="shared" si="237"/>
        <v>0</v>
      </c>
      <c r="R1051" s="3">
        <f t="shared" si="238"/>
        <v>99</v>
      </c>
      <c r="S1051" s="3">
        <f t="shared" si="239"/>
        <v>629.49999999999886</v>
      </c>
      <c r="T1051" s="24"/>
      <c r="U1051" s="24"/>
      <c r="V1051" s="3"/>
      <c r="W1051" s="25">
        <f>IFERROR(VLOOKUP(Caja_Arequipa[[#This Row],[destinatario]],CHOOSE({1,2},Clientes_Proveedores[Razon Social],Clientes_Proveedores[Ruc / Dni]),2,0),"")</f>
        <v>72144092</v>
      </c>
      <c r="X1051" s="3"/>
      <c r="Y1051" s="3"/>
      <c r="Z1051" s="3"/>
      <c r="AA1051" s="3"/>
      <c r="AB1051" s="3" t="str">
        <f>IF(Caja_Arequipa[[#This Row],[fecha]]&gt;0,TEXT(Caja_Arequipa[[#This Row],[fecha]],"mmmm"),0)</f>
        <v>Octubre</v>
      </c>
    </row>
    <row r="1052" spans="1:28" ht="24" x14ac:dyDescent="0.3">
      <c r="A1052" s="2">
        <f>IF(Caja_Arequipa[[#This Row],[tipo_r]]="R",COUNTIFS($C$1:$C1051,"R")+1,A1051)</f>
        <v>757</v>
      </c>
      <c r="B1052" s="19" t="str">
        <f t="shared" si="235"/>
        <v>C-Tesoreria</v>
      </c>
      <c r="C1052" s="73" t="s">
        <v>1330</v>
      </c>
      <c r="D1052" s="14">
        <v>45961</v>
      </c>
      <c r="E1052" s="5" t="s">
        <v>2269</v>
      </c>
      <c r="F1052" s="5" t="s">
        <v>1336</v>
      </c>
      <c r="G1052" s="3" t="s">
        <v>6308</v>
      </c>
      <c r="H1052" s="6" t="s">
        <v>684</v>
      </c>
      <c r="I1052" s="6" t="s">
        <v>68</v>
      </c>
      <c r="J1052" s="6" t="s">
        <v>1374</v>
      </c>
      <c r="K1052" s="6">
        <v>8072</v>
      </c>
      <c r="L1052" s="7" t="s">
        <v>6395</v>
      </c>
      <c r="M1052" s="8" t="str">
        <f>IF(Caja_Arequipa[[#This Row],[tipo_r]]="R","001-"&amp;12002+A1052,M1051)</f>
        <v>001-12759</v>
      </c>
      <c r="N1052" s="8" t="str">
        <f t="shared" si="236"/>
        <v>PEN</v>
      </c>
      <c r="O1052" s="13"/>
      <c r="P1052" s="13">
        <v>18</v>
      </c>
      <c r="Q1052" s="3">
        <f t="shared" si="237"/>
        <v>0</v>
      </c>
      <c r="R1052" s="3">
        <f t="shared" si="238"/>
        <v>18</v>
      </c>
      <c r="S1052" s="3">
        <f t="shared" si="239"/>
        <v>611.49999999999886</v>
      </c>
      <c r="T1052" s="24"/>
      <c r="U1052" s="24"/>
      <c r="V1052" s="3"/>
      <c r="W1052" s="25">
        <f>IFERROR(VLOOKUP(Caja_Arequipa[[#This Row],[destinatario]],CHOOSE({1,2},Clientes_Proveedores[Razon Social],Clientes_Proveedores[Ruc / Dni]),2,0),"")</f>
        <v>20604947520</v>
      </c>
      <c r="X1052" s="3"/>
      <c r="Y1052" s="3"/>
      <c r="Z1052" s="3"/>
      <c r="AA1052" s="3"/>
      <c r="AB1052" s="3" t="str">
        <f>IF(Caja_Arequipa[[#This Row],[fecha]]&gt;0,TEXT(Caja_Arequipa[[#This Row],[fecha]],"mmmm"),0)</f>
        <v>Octubre</v>
      </c>
    </row>
    <row r="1053" spans="1:28" ht="24" x14ac:dyDescent="0.3">
      <c r="A1053" s="2">
        <f>IF(Caja_Arequipa[[#This Row],[tipo_r]]="R",COUNTIFS($C$1:$C1052,"R")+1,A1052)</f>
        <v>758</v>
      </c>
      <c r="B1053" s="19" t="str">
        <f t="shared" si="235"/>
        <v>C-Tesoreria</v>
      </c>
      <c r="C1053" s="73" t="s">
        <v>1330</v>
      </c>
      <c r="D1053" s="14">
        <v>45961</v>
      </c>
      <c r="E1053" s="5" t="s">
        <v>2269</v>
      </c>
      <c r="F1053" s="5" t="s">
        <v>1336</v>
      </c>
      <c r="G1053" s="3" t="s">
        <v>5450</v>
      </c>
      <c r="H1053" s="6" t="s">
        <v>871</v>
      </c>
      <c r="I1053" s="6" t="s">
        <v>111</v>
      </c>
      <c r="J1053" s="6">
        <v>3</v>
      </c>
      <c r="K1053" s="6">
        <v>427</v>
      </c>
      <c r="L1053" s="7" t="s">
        <v>6396</v>
      </c>
      <c r="M1053" s="8" t="str">
        <f>IF(Caja_Arequipa[[#This Row],[tipo_r]]="R","001-"&amp;12002+A1053,M1052)</f>
        <v>001-12760</v>
      </c>
      <c r="N1053" s="8" t="str">
        <f t="shared" si="236"/>
        <v>PEN</v>
      </c>
      <c r="O1053" s="13"/>
      <c r="P1053" s="13">
        <v>15</v>
      </c>
      <c r="Q1053" s="3">
        <f t="shared" si="237"/>
        <v>0</v>
      </c>
      <c r="R1053" s="3">
        <f t="shared" si="238"/>
        <v>15</v>
      </c>
      <c r="S1053" s="3">
        <f t="shared" si="239"/>
        <v>596.49999999999886</v>
      </c>
      <c r="T1053" s="24"/>
      <c r="U1053" s="24"/>
      <c r="V1053" s="3"/>
      <c r="W1053" s="25">
        <f>IFERROR(VLOOKUP(Caja_Arequipa[[#This Row],[destinatario]],CHOOSE({1,2},Clientes_Proveedores[Razon Social],Clientes_Proveedores[Ruc / Dni]),2,0),"")</f>
        <v>72302392</v>
      </c>
      <c r="X1053" s="3"/>
      <c r="Y1053" s="3"/>
      <c r="Z1053" s="3"/>
      <c r="AA1053" s="3"/>
      <c r="AB1053" s="3" t="str">
        <f>IF(Caja_Arequipa[[#This Row],[fecha]]&gt;0,TEXT(Caja_Arequipa[[#This Row],[fecha]],"mmmm"),0)</f>
        <v>Octubre</v>
      </c>
    </row>
    <row r="1054" spans="1:28" x14ac:dyDescent="0.3">
      <c r="A1054" s="2">
        <f>IF(Caja_Arequipa[[#This Row],[tipo_r]]="R",COUNTIFS($C$1:$C1053,"R")+1,A1053)</f>
        <v>759</v>
      </c>
      <c r="B1054" s="19" t="str">
        <f t="shared" si="235"/>
        <v>C-Tesoreria</v>
      </c>
      <c r="C1054" s="73" t="s">
        <v>1330</v>
      </c>
      <c r="D1054" s="14">
        <v>45961</v>
      </c>
      <c r="E1054" s="5" t="s">
        <v>2269</v>
      </c>
      <c r="F1054" s="5" t="s">
        <v>1336</v>
      </c>
      <c r="G1054" s="3" t="s">
        <v>6283</v>
      </c>
      <c r="H1054" s="6"/>
      <c r="I1054" s="6"/>
      <c r="J1054" s="6"/>
      <c r="K1054" s="6"/>
      <c r="L1054" s="7" t="s">
        <v>6055</v>
      </c>
      <c r="M1054" s="8" t="str">
        <f>IF(Caja_Arequipa[[#This Row],[tipo_r]]="R","001-"&amp;12002+A1054,M1053)</f>
        <v>001-12761</v>
      </c>
      <c r="N1054" s="8" t="str">
        <f t="shared" si="236"/>
        <v>PEN</v>
      </c>
      <c r="O1054" s="13"/>
      <c r="P1054" s="13">
        <v>38.9</v>
      </c>
      <c r="Q1054" s="3">
        <f t="shared" si="237"/>
        <v>0</v>
      </c>
      <c r="R1054" s="3">
        <f t="shared" si="238"/>
        <v>38.9</v>
      </c>
      <c r="S1054" s="3">
        <f t="shared" si="239"/>
        <v>557.59999999999889</v>
      </c>
      <c r="T1054" s="24"/>
      <c r="U1054" s="24"/>
      <c r="V1054" s="3"/>
      <c r="W1054" s="25" t="str">
        <f>IFERROR(VLOOKUP(Caja_Arequipa[[#This Row],[destinatario]],CHOOSE({1,2},Clientes_Proveedores[Razon Social],Clientes_Proveedores[Ruc / Dni]),2,0),"")</f>
        <v/>
      </c>
      <c r="X1054" s="3"/>
      <c r="Y1054" s="3"/>
      <c r="Z1054" s="3"/>
      <c r="AA1054" s="3"/>
      <c r="AB1054" s="3" t="str">
        <f>IF(Caja_Arequipa[[#This Row],[fecha]]&gt;0,TEXT(Caja_Arequipa[[#This Row],[fecha]],"mmmm"),0)</f>
        <v>Octubre</v>
      </c>
    </row>
    <row r="1055" spans="1:28" ht="24" x14ac:dyDescent="0.3">
      <c r="A1055" s="2">
        <f>IF(Caja_Arequipa[[#This Row],[tipo_r]]="R",COUNTIFS($C$1:$C1054,"R")+1,A1054)</f>
        <v>759</v>
      </c>
      <c r="B1055" s="19" t="str">
        <f t="shared" si="235"/>
        <v>C-Tesoreria</v>
      </c>
      <c r="C1055" s="73" t="s">
        <v>1352</v>
      </c>
      <c r="D1055" s="14">
        <v>45961</v>
      </c>
      <c r="E1055" s="5" t="s">
        <v>2269</v>
      </c>
      <c r="F1055" s="5" t="s">
        <v>1336</v>
      </c>
      <c r="G1055" s="3" t="s">
        <v>6283</v>
      </c>
      <c r="H1055" s="6" t="s">
        <v>1244</v>
      </c>
      <c r="I1055" s="6" t="s">
        <v>111</v>
      </c>
      <c r="J1055" s="6">
        <v>3</v>
      </c>
      <c r="K1055" s="6">
        <v>418</v>
      </c>
      <c r="L1055" s="7" t="s">
        <v>6055</v>
      </c>
      <c r="M1055" s="8" t="str">
        <f>IF(Caja_Arequipa[[#This Row],[tipo_r]]="R","001-"&amp;12002+A1055,M1054)</f>
        <v>001-12761</v>
      </c>
      <c r="N1055" s="8" t="str">
        <f t="shared" si="236"/>
        <v>PEN</v>
      </c>
      <c r="O1055" s="13">
        <v>10</v>
      </c>
      <c r="P1055" s="13"/>
      <c r="Q1055" s="3">
        <f t="shared" si="237"/>
        <v>0</v>
      </c>
      <c r="R1055" s="3">
        <f t="shared" si="238"/>
        <v>0</v>
      </c>
      <c r="S1055" s="3">
        <f t="shared" si="239"/>
        <v>557.59999999999889</v>
      </c>
      <c r="T1055" s="24"/>
      <c r="U1055" s="24"/>
      <c r="V1055" s="3"/>
      <c r="W1055" s="25">
        <f>IFERROR(VLOOKUP(Caja_Arequipa[[#This Row],[destinatario]],CHOOSE({1,2},Clientes_Proveedores[Razon Social],Clientes_Proveedores[Ruc / Dni]),2,0),"")</f>
        <v>70598983</v>
      </c>
      <c r="X1055" s="3"/>
      <c r="Y1055" s="3"/>
      <c r="Z1055" s="3"/>
      <c r="AA1055" s="3"/>
      <c r="AB1055" s="3" t="str">
        <f>IF(Caja_Arequipa[[#This Row],[fecha]]&gt;0,TEXT(Caja_Arequipa[[#This Row],[fecha]],"mmmm"),0)</f>
        <v>Octubre</v>
      </c>
    </row>
    <row r="1056" spans="1:28" ht="24" x14ac:dyDescent="0.3">
      <c r="A1056" s="2">
        <f>IF(Caja_Arequipa[[#This Row],[tipo_r]]="R",COUNTIFS($C$1:$C1055,"R")+1,A1055)</f>
        <v>759</v>
      </c>
      <c r="B1056" s="19" t="str">
        <f t="shared" si="235"/>
        <v>C-Tesoreria</v>
      </c>
      <c r="C1056" s="73" t="s">
        <v>1352</v>
      </c>
      <c r="D1056" s="14">
        <v>45961</v>
      </c>
      <c r="E1056" s="5" t="s">
        <v>2269</v>
      </c>
      <c r="F1056" s="5" t="s">
        <v>1336</v>
      </c>
      <c r="G1056" s="3" t="s">
        <v>6283</v>
      </c>
      <c r="H1056" s="6" t="s">
        <v>977</v>
      </c>
      <c r="I1056" s="6" t="s">
        <v>68</v>
      </c>
      <c r="J1056" s="6" t="s">
        <v>6397</v>
      </c>
      <c r="K1056" s="6">
        <v>15407</v>
      </c>
      <c r="L1056" s="7" t="s">
        <v>6055</v>
      </c>
      <c r="M1056" s="8" t="str">
        <f>IF(Caja_Arequipa[[#This Row],[tipo_r]]="R","001-"&amp;12002+A1056,M1055)</f>
        <v>001-12761</v>
      </c>
      <c r="N1056" s="8" t="str">
        <f t="shared" si="236"/>
        <v>PEN</v>
      </c>
      <c r="O1056" s="13">
        <v>13.9</v>
      </c>
      <c r="P1056" s="13"/>
      <c r="Q1056" s="3">
        <f t="shared" si="237"/>
        <v>0</v>
      </c>
      <c r="R1056" s="3">
        <f t="shared" si="238"/>
        <v>0</v>
      </c>
      <c r="S1056" s="3">
        <f t="shared" si="239"/>
        <v>557.59999999999889</v>
      </c>
      <c r="T1056" s="24"/>
      <c r="U1056" s="24"/>
      <c r="V1056" s="3"/>
      <c r="W1056" s="25">
        <f>IFERROR(VLOOKUP(Caja_Arequipa[[#This Row],[destinatario]],CHOOSE({1,2},Clientes_Proveedores[Razon Social],Clientes_Proveedores[Ruc / Dni]),2,0),"")</f>
        <v>20508565934</v>
      </c>
      <c r="X1056" s="3"/>
      <c r="Y1056" s="3"/>
      <c r="Z1056" s="3"/>
      <c r="AA1056" s="3"/>
      <c r="AB1056" s="3" t="str">
        <f>IF(Caja_Arequipa[[#This Row],[fecha]]&gt;0,TEXT(Caja_Arequipa[[#This Row],[fecha]],"mmmm"),0)</f>
        <v>Octubre</v>
      </c>
    </row>
    <row r="1057" spans="1:28" ht="24" x14ac:dyDescent="0.3">
      <c r="A1057" s="2">
        <f>IF(Caja_Arequipa[[#This Row],[tipo_r]]="R",COUNTIFS($C$1:$C1056,"R")+1,A1056)</f>
        <v>759</v>
      </c>
      <c r="B1057" s="19" t="str">
        <f t="shared" si="235"/>
        <v>C-Tesoreria</v>
      </c>
      <c r="C1057" s="73" t="s">
        <v>1352</v>
      </c>
      <c r="D1057" s="14">
        <v>45961</v>
      </c>
      <c r="E1057" s="5" t="s">
        <v>2269</v>
      </c>
      <c r="F1057" s="5" t="s">
        <v>1336</v>
      </c>
      <c r="G1057" s="3" t="s">
        <v>6283</v>
      </c>
      <c r="H1057" s="6" t="s">
        <v>683</v>
      </c>
      <c r="I1057" s="6" t="s">
        <v>68</v>
      </c>
      <c r="J1057" s="6" t="s">
        <v>5627</v>
      </c>
      <c r="K1057" s="6">
        <v>301466</v>
      </c>
      <c r="L1057" s="7" t="s">
        <v>6055</v>
      </c>
      <c r="M1057" s="8" t="str">
        <f>IF(Caja_Arequipa[[#This Row],[tipo_r]]="R","001-"&amp;12002+A1057,M1056)</f>
        <v>001-12761</v>
      </c>
      <c r="N1057" s="8" t="str">
        <f t="shared" si="236"/>
        <v>PEN</v>
      </c>
      <c r="O1057" s="13">
        <v>15</v>
      </c>
      <c r="P1057" s="13"/>
      <c r="Q1057" s="3">
        <f t="shared" si="237"/>
        <v>0</v>
      </c>
      <c r="R1057" s="3">
        <f t="shared" si="238"/>
        <v>0</v>
      </c>
      <c r="S1057" s="3">
        <f t="shared" si="239"/>
        <v>557.59999999999889</v>
      </c>
      <c r="T1057" s="24"/>
      <c r="U1057" s="24"/>
      <c r="V1057" s="3"/>
      <c r="W1057" s="25">
        <f>IFERROR(VLOOKUP(Caja_Arequipa[[#This Row],[destinatario]],CHOOSE({1,2},Clientes_Proveedores[Razon Social],Clientes_Proveedores[Ruc / Dni]),2,0),"")</f>
        <v>20512528458</v>
      </c>
      <c r="X1057" s="3"/>
      <c r="Y1057" s="3"/>
      <c r="Z1057" s="3"/>
      <c r="AA1057" s="3"/>
      <c r="AB1057" s="3" t="str">
        <f>IF(Caja_Arequipa[[#This Row],[fecha]]&gt;0,TEXT(Caja_Arequipa[[#This Row],[fecha]],"mmmm"),0)</f>
        <v>Octubre</v>
      </c>
    </row>
    <row r="1058" spans="1:28" ht="24" x14ac:dyDescent="0.3">
      <c r="A1058" s="2">
        <f>IF(Caja_Arequipa[[#This Row],[tipo_r]]="R",COUNTIFS($C$1:$C1057,"R")+1,A1057)</f>
        <v>760</v>
      </c>
      <c r="B1058" s="19" t="str">
        <f t="shared" si="235"/>
        <v>C-Tesoreria</v>
      </c>
      <c r="C1058" s="73" t="s">
        <v>1330</v>
      </c>
      <c r="D1058" s="14">
        <v>45961</v>
      </c>
      <c r="E1058" s="5" t="s">
        <v>2269</v>
      </c>
      <c r="F1058" s="5" t="s">
        <v>1336</v>
      </c>
      <c r="G1058" s="3" t="s">
        <v>5303</v>
      </c>
      <c r="H1058" s="6" t="s">
        <v>684</v>
      </c>
      <c r="I1058" s="6" t="s">
        <v>68</v>
      </c>
      <c r="J1058" s="6" t="s">
        <v>1374</v>
      </c>
      <c r="K1058" s="6">
        <v>7861</v>
      </c>
      <c r="L1058" s="7" t="s">
        <v>6342</v>
      </c>
      <c r="M1058" s="8" t="str">
        <f>IF(Caja_Arequipa[[#This Row],[tipo_r]]="R","001-"&amp;12002+A1058,M1057)</f>
        <v>001-12762</v>
      </c>
      <c r="N1058" s="8" t="str">
        <f t="shared" si="236"/>
        <v>PEN</v>
      </c>
      <c r="O1058" s="13"/>
      <c r="P1058" s="13">
        <v>25</v>
      </c>
      <c r="Q1058" s="3">
        <f t="shared" si="237"/>
        <v>0</v>
      </c>
      <c r="R1058" s="3">
        <f t="shared" si="238"/>
        <v>25</v>
      </c>
      <c r="S1058" s="3">
        <f t="shared" si="239"/>
        <v>532.59999999999889</v>
      </c>
      <c r="T1058" s="24"/>
      <c r="U1058" s="24"/>
      <c r="V1058" s="3"/>
      <c r="W1058" s="25">
        <f>IFERROR(VLOOKUP(Caja_Arequipa[[#This Row],[destinatario]],CHOOSE({1,2},Clientes_Proveedores[Razon Social],Clientes_Proveedores[Ruc / Dni]),2,0),"")</f>
        <v>20604947520</v>
      </c>
      <c r="X1058" s="3"/>
      <c r="Y1058" s="3"/>
      <c r="Z1058" s="3"/>
      <c r="AA1058" s="3"/>
      <c r="AB1058" s="3" t="str">
        <f>IF(Caja_Arequipa[[#This Row],[fecha]]&gt;0,TEXT(Caja_Arequipa[[#This Row],[fecha]],"mmmm"),0)</f>
        <v>Octubre</v>
      </c>
    </row>
    <row r="1059" spans="1:28" x14ac:dyDescent="0.3">
      <c r="A1059" s="2">
        <f>IF(Caja_Arequipa[[#This Row],[tipo_r]]="R",COUNTIFS($C$1:$C1058,"R")+1,A1058)</f>
        <v>761</v>
      </c>
      <c r="B1059" s="19" t="str">
        <f t="shared" ref="B1059:B1083" si="241">"C-Tesoreria"</f>
        <v>C-Tesoreria</v>
      </c>
      <c r="C1059" s="73" t="s">
        <v>1330</v>
      </c>
      <c r="D1059" s="14">
        <v>45964</v>
      </c>
      <c r="E1059" s="5" t="s">
        <v>2269</v>
      </c>
      <c r="F1059" s="5" t="s">
        <v>1336</v>
      </c>
      <c r="G1059" s="3" t="s">
        <v>5380</v>
      </c>
      <c r="H1059" s="6"/>
      <c r="I1059" s="6"/>
      <c r="J1059" s="6"/>
      <c r="K1059" s="6"/>
      <c r="L1059" s="7" t="s">
        <v>6055</v>
      </c>
      <c r="M1059" s="8" t="str">
        <f>IF(Caja_Arequipa[[#This Row],[tipo_r]]="R","001-"&amp;12002+A1059,M1058)</f>
        <v>001-12763</v>
      </c>
      <c r="N1059" s="8" t="str">
        <f t="shared" ref="N1059:N1083" si="242">"PEN"</f>
        <v>PEN</v>
      </c>
      <c r="O1059" s="13"/>
      <c r="P1059" s="13">
        <v>194</v>
      </c>
      <c r="Q1059" s="3">
        <f t="shared" ref="Q1059:Q1083" si="243">+IF(OR($F1059="SALDO",$F1059="INGRESO"),$P1059,0)</f>
        <v>0</v>
      </c>
      <c r="R1059" s="3">
        <f t="shared" ref="R1059:R1083" si="244">+IF($F1059="EGRESO",$P1059,0)</f>
        <v>194</v>
      </c>
      <c r="S1059" s="3">
        <f t="shared" ref="S1059:S1083" si="245">IFERROR(IF(F1059="SALDO",Q1059,S1058+Q1059-R1059),0)</f>
        <v>338.59999999999889</v>
      </c>
      <c r="T1059" s="24"/>
      <c r="U1059" s="24"/>
      <c r="V1059" s="3"/>
      <c r="W1059" s="25" t="str">
        <f>IFERROR(VLOOKUP(Caja_Arequipa[[#This Row],[destinatario]],CHOOSE({1,2},Clientes_Proveedores[Razon Social],Clientes_Proveedores[Ruc / Dni]),2,0),"")</f>
        <v/>
      </c>
      <c r="X1059" s="3" t="s">
        <v>6398</v>
      </c>
      <c r="Y1059" s="3"/>
      <c r="Z1059" s="3"/>
      <c r="AA1059" s="3"/>
      <c r="AB1059" s="3" t="str">
        <f>IF(Caja_Arequipa[[#This Row],[fecha]]&gt;0,TEXT(Caja_Arequipa[[#This Row],[fecha]],"mmmm"),0)</f>
        <v>Noviembre</v>
      </c>
    </row>
    <row r="1060" spans="1:28" ht="24" x14ac:dyDescent="0.3">
      <c r="A1060" s="2">
        <f>IF(Caja_Arequipa[[#This Row],[tipo_r]]="R",COUNTIFS($C$1:$C1059,"R")+1,A1059)</f>
        <v>761</v>
      </c>
      <c r="B1060" s="19" t="str">
        <f t="shared" si="241"/>
        <v>C-Tesoreria</v>
      </c>
      <c r="C1060" s="73" t="s">
        <v>1352</v>
      </c>
      <c r="D1060" s="14">
        <v>45964</v>
      </c>
      <c r="E1060" s="5" t="s">
        <v>2269</v>
      </c>
      <c r="F1060" s="5" t="s">
        <v>1336</v>
      </c>
      <c r="G1060" s="3" t="s">
        <v>5380</v>
      </c>
      <c r="H1060" s="6" t="s">
        <v>999</v>
      </c>
      <c r="I1060" s="6" t="s">
        <v>68</v>
      </c>
      <c r="J1060" s="6" t="s">
        <v>1374</v>
      </c>
      <c r="K1060" s="6">
        <v>20598</v>
      </c>
      <c r="L1060" s="7" t="s">
        <v>6055</v>
      </c>
      <c r="M1060" s="8" t="str">
        <f>IF(Caja_Arequipa[[#This Row],[tipo_r]]="R","001-"&amp;12002+A1060,M1059)</f>
        <v>001-12763</v>
      </c>
      <c r="N1060" s="8" t="str">
        <f t="shared" si="242"/>
        <v>PEN</v>
      </c>
      <c r="O1060" s="13">
        <v>25</v>
      </c>
      <c r="P1060" s="13"/>
      <c r="Q1060" s="3">
        <f t="shared" si="243"/>
        <v>0</v>
      </c>
      <c r="R1060" s="3">
        <f t="shared" si="244"/>
        <v>0</v>
      </c>
      <c r="S1060" s="3">
        <f t="shared" si="245"/>
        <v>338.59999999999889</v>
      </c>
      <c r="T1060" s="24"/>
      <c r="U1060" s="24"/>
      <c r="V1060" s="3"/>
      <c r="W1060" s="25">
        <f>IFERROR(VLOOKUP(Caja_Arequipa[[#This Row],[destinatario]],CHOOSE({1,2},Clientes_Proveedores[Razon Social],Clientes_Proveedores[Ruc / Dni]),2,0),"")</f>
        <v>10705628331</v>
      </c>
      <c r="X1060" s="3"/>
      <c r="Y1060" s="3"/>
      <c r="Z1060" s="3"/>
      <c r="AA1060" s="3"/>
      <c r="AB1060" s="3" t="str">
        <f>IF(Caja_Arequipa[[#This Row],[fecha]]&gt;0,TEXT(Caja_Arequipa[[#This Row],[fecha]],"mmmm"),0)</f>
        <v>Noviembre</v>
      </c>
    </row>
    <row r="1061" spans="1:28" ht="36" x14ac:dyDescent="0.3">
      <c r="A1061" s="2">
        <f>IF(Caja_Arequipa[[#This Row],[tipo_r]]="R",COUNTIFS($C$1:$C1060,"R")+1,A1060)</f>
        <v>761</v>
      </c>
      <c r="B1061" s="19" t="str">
        <f t="shared" si="241"/>
        <v>C-Tesoreria</v>
      </c>
      <c r="C1061" s="73" t="s">
        <v>1352</v>
      </c>
      <c r="D1061" s="14">
        <v>45964</v>
      </c>
      <c r="E1061" s="5" t="s">
        <v>2269</v>
      </c>
      <c r="F1061" s="5" t="s">
        <v>1336</v>
      </c>
      <c r="G1061" s="3" t="s">
        <v>5380</v>
      </c>
      <c r="H1061" s="6" t="s">
        <v>227</v>
      </c>
      <c r="I1061" s="6" t="s">
        <v>68</v>
      </c>
      <c r="J1061" s="6" t="s">
        <v>1390</v>
      </c>
      <c r="K1061" s="6">
        <v>139031</v>
      </c>
      <c r="L1061" s="7" t="s">
        <v>6055</v>
      </c>
      <c r="M1061" s="8" t="str">
        <f>IF(Caja_Arequipa[[#This Row],[tipo_r]]="R","001-"&amp;12002+A1061,M1060)</f>
        <v>001-12763</v>
      </c>
      <c r="N1061" s="8" t="str">
        <f t="shared" si="242"/>
        <v>PEN</v>
      </c>
      <c r="O1061" s="13">
        <v>10</v>
      </c>
      <c r="P1061" s="13"/>
      <c r="Q1061" s="3">
        <f t="shared" si="243"/>
        <v>0</v>
      </c>
      <c r="R1061" s="3">
        <f t="shared" si="244"/>
        <v>0</v>
      </c>
      <c r="S1061" s="3">
        <f t="shared" si="245"/>
        <v>338.59999999999889</v>
      </c>
      <c r="T1061" s="24"/>
      <c r="U1061" s="24"/>
      <c r="V1061" s="3"/>
      <c r="W1061" s="25">
        <f>IFERROR(VLOOKUP(Caja_Arequipa[[#This Row],[destinatario]],CHOOSE({1,2},Clientes_Proveedores[Razon Social],Clientes_Proveedores[Ruc / Dni]),2,0),"")</f>
        <v>20124952850</v>
      </c>
      <c r="X1061" s="3"/>
      <c r="Y1061" s="3"/>
      <c r="Z1061" s="3"/>
      <c r="AA1061" s="3"/>
      <c r="AB1061" s="3" t="str">
        <f>IF(Caja_Arequipa[[#This Row],[fecha]]&gt;0,TEXT(Caja_Arequipa[[#This Row],[fecha]],"mmmm"),0)</f>
        <v>Noviembre</v>
      </c>
    </row>
    <row r="1062" spans="1:28" x14ac:dyDescent="0.3">
      <c r="A1062" s="2">
        <f>IF(Caja_Arequipa[[#This Row],[tipo_r]]="R",COUNTIFS($C$1:$C1061,"R")+1,A1061)</f>
        <v>761</v>
      </c>
      <c r="B1062" s="19" t="str">
        <f t="shared" si="241"/>
        <v>C-Tesoreria</v>
      </c>
      <c r="C1062" s="73" t="s">
        <v>1352</v>
      </c>
      <c r="D1062" s="14">
        <v>45964</v>
      </c>
      <c r="E1062" s="5" t="s">
        <v>2269</v>
      </c>
      <c r="F1062" s="5" t="s">
        <v>1336</v>
      </c>
      <c r="G1062" s="3" t="s">
        <v>5380</v>
      </c>
      <c r="H1062" s="6" t="s">
        <v>978</v>
      </c>
      <c r="I1062" s="6" t="s">
        <v>68</v>
      </c>
      <c r="J1062" s="6" t="s">
        <v>6204</v>
      </c>
      <c r="K1062" s="6">
        <v>1887042</v>
      </c>
      <c r="L1062" s="7" t="s">
        <v>6055</v>
      </c>
      <c r="M1062" s="8" t="str">
        <f>IF(Caja_Arequipa[[#This Row],[tipo_r]]="R","001-"&amp;12002+A1062,M1061)</f>
        <v>001-12763</v>
      </c>
      <c r="N1062" s="8" t="str">
        <f t="shared" si="242"/>
        <v>PEN</v>
      </c>
      <c r="O1062" s="13">
        <v>8</v>
      </c>
      <c r="P1062" s="13"/>
      <c r="Q1062" s="3">
        <f t="shared" si="243"/>
        <v>0</v>
      </c>
      <c r="R1062" s="3">
        <f t="shared" si="244"/>
        <v>0</v>
      </c>
      <c r="S1062" s="3">
        <f t="shared" si="245"/>
        <v>338.59999999999889</v>
      </c>
      <c r="T1062" s="24"/>
      <c r="U1062" s="24"/>
      <c r="V1062" s="3"/>
      <c r="W1062" s="25">
        <f>IFERROR(VLOOKUP(Caja_Arequipa[[#This Row],[destinatario]],CHOOSE({1,2},Clientes_Proveedores[Razon Social],Clientes_Proveedores[Ruc / Dni]),2,0),"")</f>
        <v>20517252558</v>
      </c>
      <c r="X1062" s="3"/>
      <c r="Y1062" s="3"/>
      <c r="Z1062" s="3"/>
      <c r="AA1062" s="3"/>
      <c r="AB1062" s="3" t="str">
        <f>IF(Caja_Arequipa[[#This Row],[fecha]]&gt;0,TEXT(Caja_Arequipa[[#This Row],[fecha]],"mmmm"),0)</f>
        <v>Noviembre</v>
      </c>
    </row>
    <row r="1063" spans="1:28" x14ac:dyDescent="0.3">
      <c r="A1063" s="2">
        <f>IF(Caja_Arequipa[[#This Row],[tipo_r]]="R",COUNTIFS($C$1:$C1062,"R")+1,A1062)</f>
        <v>761</v>
      </c>
      <c r="B1063" s="19" t="str">
        <f t="shared" si="241"/>
        <v>C-Tesoreria</v>
      </c>
      <c r="C1063" s="73" t="s">
        <v>1352</v>
      </c>
      <c r="D1063" s="14">
        <v>45964</v>
      </c>
      <c r="E1063" s="5" t="s">
        <v>2269</v>
      </c>
      <c r="F1063" s="5" t="s">
        <v>1336</v>
      </c>
      <c r="G1063" s="3" t="s">
        <v>5380</v>
      </c>
      <c r="H1063" s="6" t="s">
        <v>978</v>
      </c>
      <c r="I1063" s="6" t="s">
        <v>68</v>
      </c>
      <c r="J1063" s="6" t="s">
        <v>6379</v>
      </c>
      <c r="K1063" s="6">
        <v>513345</v>
      </c>
      <c r="L1063" s="7" t="s">
        <v>6055</v>
      </c>
      <c r="M1063" s="8" t="str">
        <f>IF(Caja_Arequipa[[#This Row],[tipo_r]]="R","001-"&amp;12002+A1063,M1062)</f>
        <v>001-12763</v>
      </c>
      <c r="N1063" s="8" t="str">
        <f t="shared" si="242"/>
        <v>PEN</v>
      </c>
      <c r="O1063" s="13">
        <v>8</v>
      </c>
      <c r="P1063" s="13"/>
      <c r="Q1063" s="3">
        <f t="shared" si="243"/>
        <v>0</v>
      </c>
      <c r="R1063" s="3">
        <f t="shared" si="244"/>
        <v>0</v>
      </c>
      <c r="S1063" s="3">
        <f t="shared" si="245"/>
        <v>338.59999999999889</v>
      </c>
      <c r="T1063" s="24"/>
      <c r="U1063" s="24"/>
      <c r="V1063" s="3"/>
      <c r="W1063" s="25">
        <f>IFERROR(VLOOKUP(Caja_Arequipa[[#This Row],[destinatario]],CHOOSE({1,2},Clientes_Proveedores[Razon Social],Clientes_Proveedores[Ruc / Dni]),2,0),"")</f>
        <v>20517252558</v>
      </c>
      <c r="X1063" s="3"/>
      <c r="Y1063" s="3"/>
      <c r="Z1063" s="3"/>
      <c r="AA1063" s="3"/>
      <c r="AB1063" s="3" t="str">
        <f>IF(Caja_Arequipa[[#This Row],[fecha]]&gt;0,TEXT(Caja_Arequipa[[#This Row],[fecha]],"mmmm"),0)</f>
        <v>Noviembre</v>
      </c>
    </row>
    <row r="1064" spans="1:28" x14ac:dyDescent="0.3">
      <c r="A1064" s="2">
        <f>IF(Caja_Arequipa[[#This Row],[tipo_r]]="R",COUNTIFS($C$1:$C1063,"R")+1,A1063)</f>
        <v>761</v>
      </c>
      <c r="B1064" s="19" t="str">
        <f t="shared" si="241"/>
        <v>C-Tesoreria</v>
      </c>
      <c r="C1064" s="73" t="s">
        <v>1352</v>
      </c>
      <c r="D1064" s="14">
        <v>45964</v>
      </c>
      <c r="E1064" s="5" t="s">
        <v>2269</v>
      </c>
      <c r="F1064" s="5" t="s">
        <v>1336</v>
      </c>
      <c r="G1064" s="3" t="s">
        <v>5380</v>
      </c>
      <c r="H1064" s="6" t="s">
        <v>978</v>
      </c>
      <c r="I1064" s="6" t="s">
        <v>68</v>
      </c>
      <c r="J1064" s="6" t="s">
        <v>6203</v>
      </c>
      <c r="K1064" s="6">
        <v>2207611</v>
      </c>
      <c r="L1064" s="7" t="s">
        <v>6055</v>
      </c>
      <c r="M1064" s="8" t="str">
        <f>IF(Caja_Arequipa[[#This Row],[tipo_r]]="R","001-"&amp;12002+A1064,M1063)</f>
        <v>001-12763</v>
      </c>
      <c r="N1064" s="8" t="str">
        <f t="shared" si="242"/>
        <v>PEN</v>
      </c>
      <c r="O1064" s="13">
        <v>8</v>
      </c>
      <c r="P1064" s="13"/>
      <c r="Q1064" s="3">
        <f t="shared" si="243"/>
        <v>0</v>
      </c>
      <c r="R1064" s="3">
        <f t="shared" si="244"/>
        <v>0</v>
      </c>
      <c r="S1064" s="3">
        <f t="shared" si="245"/>
        <v>338.59999999999889</v>
      </c>
      <c r="T1064" s="24"/>
      <c r="U1064" s="24"/>
      <c r="V1064" s="3"/>
      <c r="W1064" s="25">
        <f>IFERROR(VLOOKUP(Caja_Arequipa[[#This Row],[destinatario]],CHOOSE({1,2},Clientes_Proveedores[Razon Social],Clientes_Proveedores[Ruc / Dni]),2,0),"")</f>
        <v>20517252558</v>
      </c>
      <c r="X1064" s="3"/>
      <c r="Y1064" s="3"/>
      <c r="Z1064" s="3"/>
      <c r="AA1064" s="3"/>
      <c r="AB1064" s="3" t="str">
        <f>IF(Caja_Arequipa[[#This Row],[fecha]]&gt;0,TEXT(Caja_Arequipa[[#This Row],[fecha]],"mmmm"),0)</f>
        <v>Noviembre</v>
      </c>
    </row>
    <row r="1065" spans="1:28" x14ac:dyDescent="0.3">
      <c r="A1065" s="2">
        <f>IF(Caja_Arequipa[[#This Row],[tipo_r]]="R",COUNTIFS($C$1:$C1064,"R")+1,A1064)</f>
        <v>761</v>
      </c>
      <c r="B1065" s="19" t="str">
        <f t="shared" si="241"/>
        <v>C-Tesoreria</v>
      </c>
      <c r="C1065" s="73" t="s">
        <v>1352</v>
      </c>
      <c r="D1065" s="14">
        <v>45964</v>
      </c>
      <c r="E1065" s="5" t="s">
        <v>2269</v>
      </c>
      <c r="F1065" s="5" t="s">
        <v>1336</v>
      </c>
      <c r="G1065" s="3" t="s">
        <v>5380</v>
      </c>
      <c r="H1065" s="6" t="s">
        <v>978</v>
      </c>
      <c r="I1065" s="6" t="s">
        <v>68</v>
      </c>
      <c r="J1065" s="6" t="s">
        <v>6380</v>
      </c>
      <c r="K1065" s="6">
        <v>411143</v>
      </c>
      <c r="L1065" s="7" t="s">
        <v>6055</v>
      </c>
      <c r="M1065" s="8" t="str">
        <f>IF(Caja_Arequipa[[#This Row],[tipo_r]]="R","001-"&amp;12002+A1065,M1064)</f>
        <v>001-12763</v>
      </c>
      <c r="N1065" s="8" t="str">
        <f t="shared" si="242"/>
        <v>PEN</v>
      </c>
      <c r="O1065" s="13">
        <v>8</v>
      </c>
      <c r="P1065" s="13"/>
      <c r="Q1065" s="3">
        <f t="shared" si="243"/>
        <v>0</v>
      </c>
      <c r="R1065" s="3">
        <f t="shared" si="244"/>
        <v>0</v>
      </c>
      <c r="S1065" s="3">
        <f t="shared" si="245"/>
        <v>338.59999999999889</v>
      </c>
      <c r="T1065" s="24"/>
      <c r="U1065" s="24"/>
      <c r="V1065" s="3"/>
      <c r="W1065" s="25">
        <f>IFERROR(VLOOKUP(Caja_Arequipa[[#This Row],[destinatario]],CHOOSE({1,2},Clientes_Proveedores[Razon Social],Clientes_Proveedores[Ruc / Dni]),2,0),"")</f>
        <v>20517252558</v>
      </c>
      <c r="X1065" s="3"/>
      <c r="Y1065" s="3"/>
      <c r="Z1065" s="3"/>
      <c r="AA1065" s="3"/>
      <c r="AB1065" s="3" t="str">
        <f>IF(Caja_Arequipa[[#This Row],[fecha]]&gt;0,TEXT(Caja_Arequipa[[#This Row],[fecha]],"mmmm"),0)</f>
        <v>Noviembre</v>
      </c>
    </row>
    <row r="1066" spans="1:28" x14ac:dyDescent="0.3">
      <c r="A1066" s="2">
        <f>IF(Caja_Arequipa[[#This Row],[tipo_r]]="R",COUNTIFS($C$1:$C1065,"R")+1,A1065)</f>
        <v>761</v>
      </c>
      <c r="B1066" s="19" t="str">
        <f t="shared" si="241"/>
        <v>C-Tesoreria</v>
      </c>
      <c r="C1066" s="73" t="s">
        <v>1352</v>
      </c>
      <c r="D1066" s="14">
        <v>45964</v>
      </c>
      <c r="E1066" s="5" t="s">
        <v>2269</v>
      </c>
      <c r="F1066" s="5" t="s">
        <v>1336</v>
      </c>
      <c r="G1066" s="3" t="s">
        <v>5380</v>
      </c>
      <c r="H1066" s="6" t="s">
        <v>978</v>
      </c>
      <c r="I1066" s="6" t="s">
        <v>68</v>
      </c>
      <c r="J1066" s="6" t="s">
        <v>6204</v>
      </c>
      <c r="K1066" s="6">
        <v>1865654</v>
      </c>
      <c r="L1066" s="7" t="s">
        <v>6055</v>
      </c>
      <c r="M1066" s="8" t="str">
        <f>IF(Caja_Arequipa[[#This Row],[tipo_r]]="R","001-"&amp;12002+A1066,M1065)</f>
        <v>001-12763</v>
      </c>
      <c r="N1066" s="8" t="str">
        <f t="shared" si="242"/>
        <v>PEN</v>
      </c>
      <c r="O1066" s="13">
        <v>8</v>
      </c>
      <c r="P1066" s="13"/>
      <c r="Q1066" s="3">
        <f t="shared" si="243"/>
        <v>0</v>
      </c>
      <c r="R1066" s="3">
        <f t="shared" si="244"/>
        <v>0</v>
      </c>
      <c r="S1066" s="3">
        <f t="shared" si="245"/>
        <v>338.59999999999889</v>
      </c>
      <c r="T1066" s="24"/>
      <c r="U1066" s="24"/>
      <c r="V1066" s="3"/>
      <c r="W1066" s="25">
        <f>IFERROR(VLOOKUP(Caja_Arequipa[[#This Row],[destinatario]],CHOOSE({1,2},Clientes_Proveedores[Razon Social],Clientes_Proveedores[Ruc / Dni]),2,0),"")</f>
        <v>20517252558</v>
      </c>
      <c r="X1066" s="3"/>
      <c r="Y1066" s="3"/>
      <c r="Z1066" s="3"/>
      <c r="AA1066" s="3"/>
      <c r="AB1066" s="3" t="str">
        <f>IF(Caja_Arequipa[[#This Row],[fecha]]&gt;0,TEXT(Caja_Arequipa[[#This Row],[fecha]],"mmmm"),0)</f>
        <v>Noviembre</v>
      </c>
    </row>
    <row r="1067" spans="1:28" x14ac:dyDescent="0.3">
      <c r="A1067" s="2">
        <f>IF(Caja_Arequipa[[#This Row],[tipo_r]]="R",COUNTIFS($C$1:$C1066,"R")+1,A1066)</f>
        <v>761</v>
      </c>
      <c r="B1067" s="19" t="str">
        <f t="shared" si="241"/>
        <v>C-Tesoreria</v>
      </c>
      <c r="C1067" s="73" t="s">
        <v>1352</v>
      </c>
      <c r="D1067" s="14">
        <v>45964</v>
      </c>
      <c r="E1067" s="5" t="s">
        <v>2269</v>
      </c>
      <c r="F1067" s="5" t="s">
        <v>1336</v>
      </c>
      <c r="G1067" s="3" t="s">
        <v>5380</v>
      </c>
      <c r="H1067" s="6" t="s">
        <v>978</v>
      </c>
      <c r="I1067" s="6" t="s">
        <v>68</v>
      </c>
      <c r="J1067" s="6" t="s">
        <v>5688</v>
      </c>
      <c r="K1067" s="6">
        <v>2529418</v>
      </c>
      <c r="L1067" s="7" t="s">
        <v>6055</v>
      </c>
      <c r="M1067" s="8" t="str">
        <f>IF(Caja_Arequipa[[#This Row],[tipo_r]]="R","001-"&amp;12002+A1067,M1066)</f>
        <v>001-12763</v>
      </c>
      <c r="N1067" s="8" t="str">
        <f t="shared" si="242"/>
        <v>PEN</v>
      </c>
      <c r="O1067" s="13">
        <v>8</v>
      </c>
      <c r="P1067" s="13"/>
      <c r="Q1067" s="3">
        <f t="shared" si="243"/>
        <v>0</v>
      </c>
      <c r="R1067" s="3">
        <f t="shared" si="244"/>
        <v>0</v>
      </c>
      <c r="S1067" s="3">
        <f t="shared" si="245"/>
        <v>338.59999999999889</v>
      </c>
      <c r="T1067" s="24"/>
      <c r="U1067" s="24"/>
      <c r="V1067" s="3"/>
      <c r="W1067" s="25">
        <f>IFERROR(VLOOKUP(Caja_Arequipa[[#This Row],[destinatario]],CHOOSE({1,2},Clientes_Proveedores[Razon Social],Clientes_Proveedores[Ruc / Dni]),2,0),"")</f>
        <v>20517252558</v>
      </c>
      <c r="X1067" s="3"/>
      <c r="Y1067" s="3"/>
      <c r="Z1067" s="3"/>
      <c r="AA1067" s="3"/>
      <c r="AB1067" s="3" t="str">
        <f>IF(Caja_Arequipa[[#This Row],[fecha]]&gt;0,TEXT(Caja_Arequipa[[#This Row],[fecha]],"mmmm"),0)</f>
        <v>Noviembre</v>
      </c>
    </row>
    <row r="1068" spans="1:28" x14ac:dyDescent="0.3">
      <c r="A1068" s="2">
        <f>IF(Caja_Arequipa[[#This Row],[tipo_r]]="R",COUNTIFS($C$1:$C1067,"R")+1,A1067)</f>
        <v>761</v>
      </c>
      <c r="B1068" s="19" t="str">
        <f t="shared" si="241"/>
        <v>C-Tesoreria</v>
      </c>
      <c r="C1068" s="73" t="s">
        <v>1352</v>
      </c>
      <c r="D1068" s="14">
        <v>45964</v>
      </c>
      <c r="E1068" s="5" t="s">
        <v>2269</v>
      </c>
      <c r="F1068" s="5" t="s">
        <v>1336</v>
      </c>
      <c r="G1068" s="3" t="s">
        <v>5380</v>
      </c>
      <c r="H1068" s="6" t="s">
        <v>978</v>
      </c>
      <c r="I1068" s="6" t="s">
        <v>68</v>
      </c>
      <c r="J1068" s="6" t="s">
        <v>6380</v>
      </c>
      <c r="K1068" s="6">
        <v>414931</v>
      </c>
      <c r="L1068" s="7" t="s">
        <v>6055</v>
      </c>
      <c r="M1068" s="8" t="str">
        <f>IF(Caja_Arequipa[[#This Row],[tipo_r]]="R","001-"&amp;12002+A1068,M1067)</f>
        <v>001-12763</v>
      </c>
      <c r="N1068" s="8" t="str">
        <f t="shared" si="242"/>
        <v>PEN</v>
      </c>
      <c r="O1068" s="13">
        <v>8</v>
      </c>
      <c r="P1068" s="13"/>
      <c r="Q1068" s="3">
        <f t="shared" si="243"/>
        <v>0</v>
      </c>
      <c r="R1068" s="3">
        <f t="shared" si="244"/>
        <v>0</v>
      </c>
      <c r="S1068" s="3">
        <f t="shared" si="245"/>
        <v>338.59999999999889</v>
      </c>
      <c r="T1068" s="24"/>
      <c r="U1068" s="24"/>
      <c r="V1068" s="3"/>
      <c r="W1068" s="25">
        <f>IFERROR(VLOOKUP(Caja_Arequipa[[#This Row],[destinatario]],CHOOSE({1,2},Clientes_Proveedores[Razon Social],Clientes_Proveedores[Ruc / Dni]),2,0),"")</f>
        <v>20517252558</v>
      </c>
      <c r="X1068" s="3"/>
      <c r="Y1068" s="3"/>
      <c r="Z1068" s="3"/>
      <c r="AA1068" s="3"/>
      <c r="AB1068" s="3" t="str">
        <f>IF(Caja_Arequipa[[#This Row],[fecha]]&gt;0,TEXT(Caja_Arequipa[[#This Row],[fecha]],"mmmm"),0)</f>
        <v>Noviembre</v>
      </c>
    </row>
    <row r="1069" spans="1:28" x14ac:dyDescent="0.3">
      <c r="A1069" s="2">
        <f>IF(Caja_Arequipa[[#This Row],[tipo_r]]="R",COUNTIFS($C$1:$C1068,"R")+1,A1068)</f>
        <v>761</v>
      </c>
      <c r="B1069" s="19" t="str">
        <f t="shared" si="241"/>
        <v>C-Tesoreria</v>
      </c>
      <c r="C1069" s="73" t="s">
        <v>1352</v>
      </c>
      <c r="D1069" s="14">
        <v>45964</v>
      </c>
      <c r="E1069" s="5" t="s">
        <v>2269</v>
      </c>
      <c r="F1069" s="5" t="s">
        <v>1336</v>
      </c>
      <c r="G1069" s="3" t="s">
        <v>5380</v>
      </c>
      <c r="H1069" s="6" t="s">
        <v>978</v>
      </c>
      <c r="I1069" s="6" t="s">
        <v>68</v>
      </c>
      <c r="J1069" s="6" t="s">
        <v>6379</v>
      </c>
      <c r="K1069" s="6">
        <v>517717</v>
      </c>
      <c r="L1069" s="7" t="s">
        <v>6055</v>
      </c>
      <c r="M1069" s="8" t="str">
        <f>IF(Caja_Arequipa[[#This Row],[tipo_r]]="R","001-"&amp;12002+A1069,M1068)</f>
        <v>001-12763</v>
      </c>
      <c r="N1069" s="8" t="str">
        <f t="shared" si="242"/>
        <v>PEN</v>
      </c>
      <c r="O1069" s="13">
        <v>8</v>
      </c>
      <c r="P1069" s="13"/>
      <c r="Q1069" s="3">
        <f t="shared" si="243"/>
        <v>0</v>
      </c>
      <c r="R1069" s="3">
        <f t="shared" si="244"/>
        <v>0</v>
      </c>
      <c r="S1069" s="3">
        <f t="shared" si="245"/>
        <v>338.59999999999889</v>
      </c>
      <c r="T1069" s="24"/>
      <c r="U1069" s="24"/>
      <c r="V1069" s="3"/>
      <c r="W1069" s="25">
        <f>IFERROR(VLOOKUP(Caja_Arequipa[[#This Row],[destinatario]],CHOOSE({1,2},Clientes_Proveedores[Razon Social],Clientes_Proveedores[Ruc / Dni]),2,0),"")</f>
        <v>20517252558</v>
      </c>
      <c r="X1069" s="3"/>
      <c r="Y1069" s="3"/>
      <c r="Z1069" s="3"/>
      <c r="AA1069" s="3"/>
      <c r="AB1069" s="3" t="str">
        <f>IF(Caja_Arequipa[[#This Row],[fecha]]&gt;0,TEXT(Caja_Arequipa[[#This Row],[fecha]],"mmmm"),0)</f>
        <v>Noviembre</v>
      </c>
    </row>
    <row r="1070" spans="1:28" x14ac:dyDescent="0.3">
      <c r="A1070" s="2">
        <f>IF(Caja_Arequipa[[#This Row],[tipo_r]]="R",COUNTIFS($C$1:$C1069,"R")+1,A1069)</f>
        <v>761</v>
      </c>
      <c r="B1070" s="19" t="str">
        <f t="shared" si="241"/>
        <v>C-Tesoreria</v>
      </c>
      <c r="C1070" s="73" t="s">
        <v>1352</v>
      </c>
      <c r="D1070" s="14">
        <v>45964</v>
      </c>
      <c r="E1070" s="5" t="s">
        <v>2269</v>
      </c>
      <c r="F1070" s="5" t="s">
        <v>1336</v>
      </c>
      <c r="G1070" s="3" t="s">
        <v>5380</v>
      </c>
      <c r="H1070" s="6" t="s">
        <v>978</v>
      </c>
      <c r="I1070" s="6" t="s">
        <v>68</v>
      </c>
      <c r="J1070" s="6" t="s">
        <v>5688</v>
      </c>
      <c r="K1070" s="6">
        <v>2527940</v>
      </c>
      <c r="L1070" s="7" t="s">
        <v>6055</v>
      </c>
      <c r="M1070" s="8" t="str">
        <f>IF(Caja_Arequipa[[#This Row],[tipo_r]]="R","001-"&amp;12002+A1070,M1069)</f>
        <v>001-12763</v>
      </c>
      <c r="N1070" s="8" t="str">
        <f t="shared" si="242"/>
        <v>PEN</v>
      </c>
      <c r="O1070" s="13">
        <v>8</v>
      </c>
      <c r="P1070" s="13"/>
      <c r="Q1070" s="3">
        <f t="shared" si="243"/>
        <v>0</v>
      </c>
      <c r="R1070" s="3">
        <f t="shared" si="244"/>
        <v>0</v>
      </c>
      <c r="S1070" s="3">
        <f t="shared" si="245"/>
        <v>338.59999999999889</v>
      </c>
      <c r="T1070" s="24"/>
      <c r="U1070" s="24"/>
      <c r="V1070" s="3"/>
      <c r="W1070" s="25">
        <f>IFERROR(VLOOKUP(Caja_Arequipa[[#This Row],[destinatario]],CHOOSE({1,2},Clientes_Proveedores[Razon Social],Clientes_Proveedores[Ruc / Dni]),2,0),"")</f>
        <v>20517252558</v>
      </c>
      <c r="X1070" s="3"/>
      <c r="Y1070" s="3"/>
      <c r="Z1070" s="3"/>
      <c r="AA1070" s="3"/>
      <c r="AB1070" s="3" t="str">
        <f>IF(Caja_Arequipa[[#This Row],[fecha]]&gt;0,TEXT(Caja_Arequipa[[#This Row],[fecha]],"mmmm"),0)</f>
        <v>Noviembre</v>
      </c>
    </row>
    <row r="1071" spans="1:28" x14ac:dyDescent="0.3">
      <c r="A1071" s="2">
        <f>IF(Caja_Arequipa[[#This Row],[tipo_r]]="R",COUNTIFS($C$1:$C1070,"R")+1,A1070)</f>
        <v>761</v>
      </c>
      <c r="B1071" s="19" t="str">
        <f t="shared" si="241"/>
        <v>C-Tesoreria</v>
      </c>
      <c r="C1071" s="73" t="s">
        <v>1352</v>
      </c>
      <c r="D1071" s="14">
        <v>45964</v>
      </c>
      <c r="E1071" s="5" t="s">
        <v>2269</v>
      </c>
      <c r="F1071" s="5" t="s">
        <v>1336</v>
      </c>
      <c r="G1071" s="3" t="s">
        <v>5380</v>
      </c>
      <c r="H1071" s="6" t="s">
        <v>978</v>
      </c>
      <c r="I1071" s="6" t="s">
        <v>68</v>
      </c>
      <c r="J1071" s="6" t="s">
        <v>6379</v>
      </c>
      <c r="K1071" s="6">
        <v>517443</v>
      </c>
      <c r="L1071" s="7" t="s">
        <v>6055</v>
      </c>
      <c r="M1071" s="8" t="str">
        <f>IF(Caja_Arequipa[[#This Row],[tipo_r]]="R","001-"&amp;12002+A1071,M1070)</f>
        <v>001-12763</v>
      </c>
      <c r="N1071" s="8" t="str">
        <f t="shared" si="242"/>
        <v>PEN</v>
      </c>
      <c r="O1071" s="13">
        <v>8</v>
      </c>
      <c r="P1071" s="13"/>
      <c r="Q1071" s="3">
        <f t="shared" si="243"/>
        <v>0</v>
      </c>
      <c r="R1071" s="3">
        <f t="shared" si="244"/>
        <v>0</v>
      </c>
      <c r="S1071" s="3">
        <f t="shared" si="245"/>
        <v>338.59999999999889</v>
      </c>
      <c r="T1071" s="24"/>
      <c r="U1071" s="24"/>
      <c r="V1071" s="3"/>
      <c r="W1071" s="25">
        <f>IFERROR(VLOOKUP(Caja_Arequipa[[#This Row],[destinatario]],CHOOSE({1,2},Clientes_Proveedores[Razon Social],Clientes_Proveedores[Ruc / Dni]),2,0),"")</f>
        <v>20517252558</v>
      </c>
      <c r="X1071" s="3"/>
      <c r="Y1071" s="3"/>
      <c r="Z1071" s="3"/>
      <c r="AA1071" s="3"/>
      <c r="AB1071" s="3" t="str">
        <f>IF(Caja_Arequipa[[#This Row],[fecha]]&gt;0,TEXT(Caja_Arequipa[[#This Row],[fecha]],"mmmm"),0)</f>
        <v>Noviembre</v>
      </c>
    </row>
    <row r="1072" spans="1:28" x14ac:dyDescent="0.3">
      <c r="A1072" s="2">
        <f>IF(Caja_Arequipa[[#This Row],[tipo_r]]="R",COUNTIFS($C$1:$C1071,"R")+1,A1071)</f>
        <v>761</v>
      </c>
      <c r="B1072" s="19" t="str">
        <f t="shared" si="241"/>
        <v>C-Tesoreria</v>
      </c>
      <c r="C1072" s="73" t="s">
        <v>1352</v>
      </c>
      <c r="D1072" s="14">
        <v>45964</v>
      </c>
      <c r="E1072" s="5" t="s">
        <v>2269</v>
      </c>
      <c r="F1072" s="5" t="s">
        <v>1336</v>
      </c>
      <c r="G1072" s="3" t="s">
        <v>5380</v>
      </c>
      <c r="H1072" s="6" t="s">
        <v>978</v>
      </c>
      <c r="I1072" s="6" t="s">
        <v>68</v>
      </c>
      <c r="J1072" s="6" t="s">
        <v>6380</v>
      </c>
      <c r="K1072" s="6">
        <v>414643</v>
      </c>
      <c r="L1072" s="7" t="s">
        <v>6055</v>
      </c>
      <c r="M1072" s="8" t="str">
        <f>IF(Caja_Arequipa[[#This Row],[tipo_r]]="R","001-"&amp;12002+A1072,M1071)</f>
        <v>001-12763</v>
      </c>
      <c r="N1072" s="8" t="str">
        <f t="shared" si="242"/>
        <v>PEN</v>
      </c>
      <c r="O1072" s="13">
        <v>8</v>
      </c>
      <c r="P1072" s="13"/>
      <c r="Q1072" s="3">
        <f t="shared" si="243"/>
        <v>0</v>
      </c>
      <c r="R1072" s="3">
        <f t="shared" si="244"/>
        <v>0</v>
      </c>
      <c r="S1072" s="3">
        <f t="shared" si="245"/>
        <v>338.59999999999889</v>
      </c>
      <c r="T1072" s="24"/>
      <c r="U1072" s="24"/>
      <c r="V1072" s="3"/>
      <c r="W1072" s="25">
        <f>IFERROR(VLOOKUP(Caja_Arequipa[[#This Row],[destinatario]],CHOOSE({1,2},Clientes_Proveedores[Razon Social],Clientes_Proveedores[Ruc / Dni]),2,0),"")</f>
        <v>20517252558</v>
      </c>
      <c r="X1072" s="3"/>
      <c r="Y1072" s="3"/>
      <c r="Z1072" s="3"/>
      <c r="AA1072" s="3"/>
      <c r="AB1072" s="3" t="str">
        <f>IF(Caja_Arequipa[[#This Row],[fecha]]&gt;0,TEXT(Caja_Arequipa[[#This Row],[fecha]],"mmmm"),0)</f>
        <v>Noviembre</v>
      </c>
    </row>
    <row r="1073" spans="1:28" ht="36" x14ac:dyDescent="0.3">
      <c r="A1073" s="2">
        <f>IF(Caja_Arequipa[[#This Row],[tipo_r]]="R",COUNTIFS($C$1:$C1072,"R")+1,A1072)</f>
        <v>761</v>
      </c>
      <c r="B1073" s="19" t="str">
        <f t="shared" si="241"/>
        <v>C-Tesoreria</v>
      </c>
      <c r="C1073" s="73" t="s">
        <v>1352</v>
      </c>
      <c r="D1073" s="14">
        <v>45964</v>
      </c>
      <c r="E1073" s="5" t="s">
        <v>2269</v>
      </c>
      <c r="F1073" s="5" t="s">
        <v>1336</v>
      </c>
      <c r="G1073" s="3" t="s">
        <v>5380</v>
      </c>
      <c r="H1073" s="6" t="s">
        <v>1029</v>
      </c>
      <c r="I1073" s="6" t="s">
        <v>68</v>
      </c>
      <c r="J1073" s="6" t="s">
        <v>1374</v>
      </c>
      <c r="K1073" s="6">
        <v>18587</v>
      </c>
      <c r="L1073" s="7" t="s">
        <v>6055</v>
      </c>
      <c r="M1073" s="8" t="str">
        <f>IF(Caja_Arequipa[[#This Row],[tipo_r]]="R","001-"&amp;12002+A1073,M1072)</f>
        <v>001-12763</v>
      </c>
      <c r="N1073" s="8" t="str">
        <f t="shared" si="242"/>
        <v>PEN</v>
      </c>
      <c r="O1073" s="13">
        <v>11</v>
      </c>
      <c r="P1073" s="13"/>
      <c r="Q1073" s="3">
        <f t="shared" si="243"/>
        <v>0</v>
      </c>
      <c r="R1073" s="3">
        <f t="shared" si="244"/>
        <v>0</v>
      </c>
      <c r="S1073" s="3">
        <f t="shared" si="245"/>
        <v>338.59999999999889</v>
      </c>
      <c r="T1073" s="24"/>
      <c r="U1073" s="24"/>
      <c r="V1073" s="3"/>
      <c r="W1073" s="25">
        <f>IFERROR(VLOOKUP(Caja_Arequipa[[#This Row],[destinatario]],CHOOSE({1,2},Clientes_Proveedores[Razon Social],Clientes_Proveedores[Ruc / Dni]),2,0),"")</f>
        <v>20454058187</v>
      </c>
      <c r="X1073" s="3"/>
      <c r="Y1073" s="3"/>
      <c r="Z1073" s="3"/>
      <c r="AA1073" s="3"/>
      <c r="AB1073" s="3" t="str">
        <f>IF(Caja_Arequipa[[#This Row],[fecha]]&gt;0,TEXT(Caja_Arequipa[[#This Row],[fecha]],"mmmm"),0)</f>
        <v>Noviembre</v>
      </c>
    </row>
    <row r="1074" spans="1:28" ht="36" x14ac:dyDescent="0.3">
      <c r="A1074" s="2">
        <f>IF(Caja_Arequipa[[#This Row],[tipo_r]]="R",COUNTIFS($C$1:$C1073,"R")+1,A1073)</f>
        <v>761</v>
      </c>
      <c r="B1074" s="19" t="str">
        <f t="shared" si="241"/>
        <v>C-Tesoreria</v>
      </c>
      <c r="C1074" s="73" t="s">
        <v>1352</v>
      </c>
      <c r="D1074" s="14">
        <v>45964</v>
      </c>
      <c r="E1074" s="5" t="s">
        <v>2269</v>
      </c>
      <c r="F1074" s="5" t="s">
        <v>1336</v>
      </c>
      <c r="G1074" s="3" t="s">
        <v>5380</v>
      </c>
      <c r="H1074" s="6" t="s">
        <v>682</v>
      </c>
      <c r="I1074" s="6" t="s">
        <v>68</v>
      </c>
      <c r="J1074" s="6" t="s">
        <v>1343</v>
      </c>
      <c r="K1074" s="6">
        <v>35807</v>
      </c>
      <c r="L1074" s="7" t="s">
        <v>6055</v>
      </c>
      <c r="M1074" s="8" t="str">
        <f>IF(Caja_Arequipa[[#This Row],[tipo_r]]="R","001-"&amp;12002+A1074,M1073)</f>
        <v>001-12763</v>
      </c>
      <c r="N1074" s="8" t="str">
        <f t="shared" si="242"/>
        <v>PEN</v>
      </c>
      <c r="O1074" s="13">
        <v>10</v>
      </c>
      <c r="P1074" s="13"/>
      <c r="Q1074" s="3">
        <f t="shared" si="243"/>
        <v>0</v>
      </c>
      <c r="R1074" s="3">
        <f t="shared" si="244"/>
        <v>0</v>
      </c>
      <c r="S1074" s="3">
        <f t="shared" si="245"/>
        <v>338.59999999999889</v>
      </c>
      <c r="T1074" s="24"/>
      <c r="U1074" s="24"/>
      <c r="V1074" s="3"/>
      <c r="W1074" s="25">
        <f>IFERROR(VLOOKUP(Caja_Arequipa[[#This Row],[destinatario]],CHOOSE({1,2},Clientes_Proveedores[Razon Social],Clientes_Proveedores[Ruc / Dni]),2,0),"")</f>
        <v>20259858934</v>
      </c>
      <c r="X1074" s="3"/>
      <c r="Y1074" s="3"/>
      <c r="Z1074" s="3"/>
      <c r="AA1074" s="3"/>
      <c r="AB1074" s="3" t="str">
        <f>IF(Caja_Arequipa[[#This Row],[fecha]]&gt;0,TEXT(Caja_Arequipa[[#This Row],[fecha]],"mmmm"),0)</f>
        <v>Noviembre</v>
      </c>
    </row>
    <row r="1075" spans="1:28" ht="36" x14ac:dyDescent="0.3">
      <c r="A1075" s="2">
        <f>IF(Caja_Arequipa[[#This Row],[tipo_r]]="R",COUNTIFS($C$1:$C1074,"R")+1,A1074)</f>
        <v>761</v>
      </c>
      <c r="B1075" s="19" t="str">
        <f t="shared" si="241"/>
        <v>C-Tesoreria</v>
      </c>
      <c r="C1075" s="73" t="s">
        <v>1352</v>
      </c>
      <c r="D1075" s="14">
        <v>45964</v>
      </c>
      <c r="E1075" s="5" t="s">
        <v>2269</v>
      </c>
      <c r="F1075" s="5" t="s">
        <v>1336</v>
      </c>
      <c r="G1075" s="3" t="s">
        <v>5380</v>
      </c>
      <c r="H1075" s="6" t="s">
        <v>682</v>
      </c>
      <c r="I1075" s="6" t="s">
        <v>68</v>
      </c>
      <c r="J1075" s="6" t="s">
        <v>1353</v>
      </c>
      <c r="K1075" s="6">
        <v>18053</v>
      </c>
      <c r="L1075" s="7" t="s">
        <v>6055</v>
      </c>
      <c r="M1075" s="8" t="str">
        <f>IF(Caja_Arequipa[[#This Row],[tipo_r]]="R","001-"&amp;12002+A1075,M1074)</f>
        <v>001-12763</v>
      </c>
      <c r="N1075" s="8" t="str">
        <f t="shared" si="242"/>
        <v>PEN</v>
      </c>
      <c r="O1075" s="13">
        <v>20</v>
      </c>
      <c r="P1075" s="13"/>
      <c r="Q1075" s="3">
        <f t="shared" si="243"/>
        <v>0</v>
      </c>
      <c r="R1075" s="3">
        <f t="shared" si="244"/>
        <v>0</v>
      </c>
      <c r="S1075" s="3">
        <f t="shared" si="245"/>
        <v>338.59999999999889</v>
      </c>
      <c r="T1075" s="24"/>
      <c r="U1075" s="24"/>
      <c r="V1075" s="3"/>
      <c r="W1075" s="25">
        <f>IFERROR(VLOOKUP(Caja_Arequipa[[#This Row],[destinatario]],CHOOSE({1,2},Clientes_Proveedores[Razon Social],Clientes_Proveedores[Ruc / Dni]),2,0),"")</f>
        <v>20259858934</v>
      </c>
      <c r="X1075" s="3"/>
      <c r="Y1075" s="3"/>
      <c r="Z1075" s="3"/>
      <c r="AA1075" s="3"/>
      <c r="AB1075" s="3" t="str">
        <f>IF(Caja_Arequipa[[#This Row],[fecha]]&gt;0,TEXT(Caja_Arequipa[[#This Row],[fecha]],"mmmm"),0)</f>
        <v>Noviembre</v>
      </c>
    </row>
    <row r="1076" spans="1:28" ht="36" x14ac:dyDescent="0.3">
      <c r="A1076" s="2">
        <f>IF(Caja_Arequipa[[#This Row],[tipo_r]]="R",COUNTIFS($C$1:$C1075,"R")+1,A1075)</f>
        <v>761</v>
      </c>
      <c r="B1076" s="19" t="str">
        <f t="shared" si="241"/>
        <v>C-Tesoreria</v>
      </c>
      <c r="C1076" s="73" t="s">
        <v>1352</v>
      </c>
      <c r="D1076" s="14">
        <v>45964</v>
      </c>
      <c r="E1076" s="5" t="s">
        <v>2269</v>
      </c>
      <c r="F1076" s="5" t="s">
        <v>1336</v>
      </c>
      <c r="G1076" s="3" t="s">
        <v>5380</v>
      </c>
      <c r="H1076" s="6" t="s">
        <v>682</v>
      </c>
      <c r="I1076" s="6" t="s">
        <v>68</v>
      </c>
      <c r="J1076" s="6" t="s">
        <v>1353</v>
      </c>
      <c r="K1076" s="6">
        <v>17994</v>
      </c>
      <c r="L1076" s="7" t="s">
        <v>6055</v>
      </c>
      <c r="M1076" s="8" t="str">
        <f>IF(Caja_Arequipa[[#This Row],[tipo_r]]="R","001-"&amp;12002+A1076,M1075)</f>
        <v>001-12763</v>
      </c>
      <c r="N1076" s="8" t="str">
        <f t="shared" si="242"/>
        <v>PEN</v>
      </c>
      <c r="O1076" s="13">
        <v>20</v>
      </c>
      <c r="P1076" s="13"/>
      <c r="Q1076" s="3">
        <f t="shared" si="243"/>
        <v>0</v>
      </c>
      <c r="R1076" s="3">
        <f t="shared" si="244"/>
        <v>0</v>
      </c>
      <c r="S1076" s="3">
        <f t="shared" si="245"/>
        <v>338.59999999999889</v>
      </c>
      <c r="T1076" s="24"/>
      <c r="U1076" s="24"/>
      <c r="V1076" s="3"/>
      <c r="W1076" s="25">
        <f>IFERROR(VLOOKUP(Caja_Arequipa[[#This Row],[destinatario]],CHOOSE({1,2},Clientes_Proveedores[Razon Social],Clientes_Proveedores[Ruc / Dni]),2,0),"")</f>
        <v>20259858934</v>
      </c>
      <c r="X1076" s="3"/>
      <c r="Y1076" s="3"/>
      <c r="Z1076" s="3"/>
      <c r="AA1076" s="3"/>
      <c r="AB1076" s="3" t="str">
        <f>IF(Caja_Arequipa[[#This Row],[fecha]]&gt;0,TEXT(Caja_Arequipa[[#This Row],[fecha]],"mmmm"),0)</f>
        <v>Noviembre</v>
      </c>
    </row>
    <row r="1077" spans="1:28" ht="36" x14ac:dyDescent="0.3">
      <c r="A1077" s="2">
        <f>IF(Caja_Arequipa[[#This Row],[tipo_r]]="R",COUNTIFS($C$1:$C1076,"R")+1,A1076)</f>
        <v>761</v>
      </c>
      <c r="B1077" s="19" t="str">
        <f t="shared" si="241"/>
        <v>C-Tesoreria</v>
      </c>
      <c r="C1077" s="73" t="s">
        <v>1352</v>
      </c>
      <c r="D1077" s="14">
        <v>45964</v>
      </c>
      <c r="E1077" s="5" t="s">
        <v>2269</v>
      </c>
      <c r="F1077" s="5" t="s">
        <v>1336</v>
      </c>
      <c r="G1077" s="3" t="s">
        <v>5380</v>
      </c>
      <c r="H1077" s="6" t="s">
        <v>682</v>
      </c>
      <c r="I1077" s="6" t="s">
        <v>68</v>
      </c>
      <c r="J1077" s="6" t="s">
        <v>1343</v>
      </c>
      <c r="K1077" s="6">
        <v>35806</v>
      </c>
      <c r="L1077" s="7" t="s">
        <v>6055</v>
      </c>
      <c r="M1077" s="8" t="str">
        <f>IF(Caja_Arequipa[[#This Row],[tipo_r]]="R","001-"&amp;12002+A1077,M1076)</f>
        <v>001-12763</v>
      </c>
      <c r="N1077" s="8" t="str">
        <f t="shared" si="242"/>
        <v>PEN</v>
      </c>
      <c r="O1077" s="13">
        <v>10</v>
      </c>
      <c r="P1077" s="13"/>
      <c r="Q1077" s="3">
        <f t="shared" si="243"/>
        <v>0</v>
      </c>
      <c r="R1077" s="3">
        <f t="shared" si="244"/>
        <v>0</v>
      </c>
      <c r="S1077" s="3">
        <f t="shared" si="245"/>
        <v>338.59999999999889</v>
      </c>
      <c r="T1077" s="24"/>
      <c r="U1077" s="24"/>
      <c r="V1077" s="3"/>
      <c r="W1077" s="25">
        <f>IFERROR(VLOOKUP(Caja_Arequipa[[#This Row],[destinatario]],CHOOSE({1,2},Clientes_Proveedores[Razon Social],Clientes_Proveedores[Ruc / Dni]),2,0),"")</f>
        <v>20259858934</v>
      </c>
      <c r="X1077" s="3"/>
      <c r="Y1077" s="3"/>
      <c r="Z1077" s="3"/>
      <c r="AA1077" s="3"/>
      <c r="AB1077" s="3" t="str">
        <f>IF(Caja_Arequipa[[#This Row],[fecha]]&gt;0,TEXT(Caja_Arequipa[[#This Row],[fecha]],"mmmm"),0)</f>
        <v>Noviembre</v>
      </c>
    </row>
    <row r="1078" spans="1:28" x14ac:dyDescent="0.3">
      <c r="A1078" s="2">
        <f>IF(Caja_Arequipa[[#This Row],[tipo_r]]="R",COUNTIFS($C$1:$C1077,"R")+1,A1077)</f>
        <v>762</v>
      </c>
      <c r="B1078" s="19" t="str">
        <f t="shared" si="241"/>
        <v>C-Tesoreria</v>
      </c>
      <c r="C1078" s="73" t="s">
        <v>1330</v>
      </c>
      <c r="D1078" s="14">
        <v>45964</v>
      </c>
      <c r="E1078" s="5" t="s">
        <v>1338</v>
      </c>
      <c r="F1078" s="5" t="s">
        <v>1336</v>
      </c>
      <c r="G1078" s="3" t="s">
        <v>6246</v>
      </c>
      <c r="H1078" s="6"/>
      <c r="I1078" s="6"/>
      <c r="J1078" s="6"/>
      <c r="K1078" s="6"/>
      <c r="L1078" s="7" t="s">
        <v>6055</v>
      </c>
      <c r="M1078" s="8" t="str">
        <f>IF(Caja_Arequipa[[#This Row],[tipo_r]]="R","001-"&amp;12002+A1078,M1077)</f>
        <v>001-12764</v>
      </c>
      <c r="N1078" s="8" t="str">
        <f t="shared" si="242"/>
        <v>PEN</v>
      </c>
      <c r="O1078" s="13"/>
      <c r="P1078" s="13">
        <v>4</v>
      </c>
      <c r="Q1078" s="3">
        <f t="shared" si="243"/>
        <v>0</v>
      </c>
      <c r="R1078" s="3">
        <f t="shared" si="244"/>
        <v>4</v>
      </c>
      <c r="S1078" s="3">
        <f t="shared" si="245"/>
        <v>334.59999999999889</v>
      </c>
      <c r="T1078" s="24"/>
      <c r="U1078" s="24"/>
      <c r="V1078" s="3"/>
      <c r="W1078" s="25" t="str">
        <f>IFERROR(VLOOKUP(Caja_Arequipa[[#This Row],[destinatario]],CHOOSE({1,2},Clientes_Proveedores[Razon Social],Clientes_Proveedores[Ruc / Dni]),2,0),"")</f>
        <v/>
      </c>
      <c r="X1078" s="3"/>
      <c r="Y1078" s="3"/>
      <c r="Z1078" s="3"/>
      <c r="AA1078" s="3"/>
      <c r="AB1078" s="3" t="str">
        <f>IF(Caja_Arequipa[[#This Row],[fecha]]&gt;0,TEXT(Caja_Arequipa[[#This Row],[fecha]],"mmmm"),0)</f>
        <v>Noviembre</v>
      </c>
    </row>
    <row r="1079" spans="1:28" ht="24" x14ac:dyDescent="0.3">
      <c r="A1079" s="2">
        <f>IF(Caja_Arequipa[[#This Row],[tipo_r]]="R",COUNTIFS($C$1:$C1078,"R")+1,A1078)</f>
        <v>762</v>
      </c>
      <c r="B1079" s="19" t="str">
        <f t="shared" si="241"/>
        <v>C-Tesoreria</v>
      </c>
      <c r="C1079" s="73" t="s">
        <v>1352</v>
      </c>
      <c r="D1079" s="14">
        <v>45964</v>
      </c>
      <c r="E1079" s="5" t="s">
        <v>1338</v>
      </c>
      <c r="F1079" s="5" t="s">
        <v>1336</v>
      </c>
      <c r="G1079" s="3"/>
      <c r="H1079" s="6" t="s">
        <v>708</v>
      </c>
      <c r="I1079" s="6" t="s">
        <v>68</v>
      </c>
      <c r="J1079" s="6" t="s">
        <v>4783</v>
      </c>
      <c r="K1079" s="6">
        <v>31715</v>
      </c>
      <c r="L1079" s="7" t="s">
        <v>6055</v>
      </c>
      <c r="M1079" s="8" t="str">
        <f>IF(Caja_Arequipa[[#This Row],[tipo_r]]="R","001-"&amp;12002+A1079,M1078)</f>
        <v>001-12764</v>
      </c>
      <c r="N1079" s="8" t="str">
        <f t="shared" si="242"/>
        <v>PEN</v>
      </c>
      <c r="O1079" s="13">
        <v>1</v>
      </c>
      <c r="P1079" s="13"/>
      <c r="Q1079" s="3">
        <f t="shared" si="243"/>
        <v>0</v>
      </c>
      <c r="R1079" s="3">
        <f t="shared" si="244"/>
        <v>0</v>
      </c>
      <c r="S1079" s="3">
        <f t="shared" si="245"/>
        <v>334.59999999999889</v>
      </c>
      <c r="T1079" s="24"/>
      <c r="U1079" s="24"/>
      <c r="V1079" s="3"/>
      <c r="W1079" s="25">
        <f>IFERROR(VLOOKUP(Caja_Arequipa[[#This Row],[destinatario]],CHOOSE({1,2},Clientes_Proveedores[Razon Social],Clientes_Proveedores[Ruc / Dni]),2,0),"")</f>
        <v>20467534026</v>
      </c>
      <c r="X1079" s="3"/>
      <c r="Y1079" s="3"/>
      <c r="Z1079" s="3"/>
      <c r="AA1079" s="3"/>
      <c r="AB1079" s="3" t="str">
        <f>IF(Caja_Arequipa[[#This Row],[fecha]]&gt;0,TEXT(Caja_Arequipa[[#This Row],[fecha]],"mmmm"),0)</f>
        <v>Noviembre</v>
      </c>
    </row>
    <row r="1080" spans="1:28" ht="24" x14ac:dyDescent="0.3">
      <c r="A1080" s="2">
        <f>IF(Caja_Arequipa[[#This Row],[tipo_r]]="R",COUNTIFS($C$1:$C1079,"R")+1,A1079)</f>
        <v>762</v>
      </c>
      <c r="B1080" s="19" t="str">
        <f t="shared" si="241"/>
        <v>C-Tesoreria</v>
      </c>
      <c r="C1080" s="73" t="s">
        <v>1352</v>
      </c>
      <c r="D1080" s="14">
        <v>45964</v>
      </c>
      <c r="E1080" s="5" t="s">
        <v>1338</v>
      </c>
      <c r="F1080" s="5" t="s">
        <v>1336</v>
      </c>
      <c r="G1080" s="3"/>
      <c r="H1080" s="6" t="s">
        <v>708</v>
      </c>
      <c r="I1080" s="6" t="s">
        <v>68</v>
      </c>
      <c r="J1080" s="6" t="s">
        <v>4783</v>
      </c>
      <c r="K1080" s="6">
        <v>31714</v>
      </c>
      <c r="L1080" s="7" t="s">
        <v>6055</v>
      </c>
      <c r="M1080" s="8" t="str">
        <f>IF(Caja_Arequipa[[#This Row],[tipo_r]]="R","001-"&amp;12002+A1080,M1079)</f>
        <v>001-12764</v>
      </c>
      <c r="N1080" s="8" t="str">
        <f t="shared" si="242"/>
        <v>PEN</v>
      </c>
      <c r="O1080" s="13">
        <v>1</v>
      </c>
      <c r="P1080" s="13"/>
      <c r="Q1080" s="3">
        <f t="shared" si="243"/>
        <v>0</v>
      </c>
      <c r="R1080" s="3">
        <f t="shared" si="244"/>
        <v>0</v>
      </c>
      <c r="S1080" s="3">
        <f t="shared" si="245"/>
        <v>334.59999999999889</v>
      </c>
      <c r="T1080" s="24"/>
      <c r="U1080" s="24"/>
      <c r="V1080" s="3"/>
      <c r="W1080" s="25">
        <f>IFERROR(VLOOKUP(Caja_Arequipa[[#This Row],[destinatario]],CHOOSE({1,2},Clientes_Proveedores[Razon Social],Clientes_Proveedores[Ruc / Dni]),2,0),"")</f>
        <v>20467534026</v>
      </c>
      <c r="X1080" s="3"/>
      <c r="Y1080" s="3"/>
      <c r="Z1080" s="3"/>
      <c r="AA1080" s="3"/>
      <c r="AB1080" s="3" t="str">
        <f>IF(Caja_Arequipa[[#This Row],[fecha]]&gt;0,TEXT(Caja_Arequipa[[#This Row],[fecha]],"mmmm"),0)</f>
        <v>Noviembre</v>
      </c>
    </row>
    <row r="1081" spans="1:28" ht="24" x14ac:dyDescent="0.3">
      <c r="A1081" s="2">
        <f>IF(Caja_Arequipa[[#This Row],[tipo_r]]="R",COUNTIFS($C$1:$C1080,"R")+1,A1080)</f>
        <v>762</v>
      </c>
      <c r="B1081" s="19" t="str">
        <f t="shared" si="241"/>
        <v>C-Tesoreria</v>
      </c>
      <c r="C1081" s="73" t="s">
        <v>1352</v>
      </c>
      <c r="D1081" s="14">
        <v>45964</v>
      </c>
      <c r="E1081" s="5" t="s">
        <v>1338</v>
      </c>
      <c r="F1081" s="5" t="s">
        <v>1336</v>
      </c>
      <c r="G1081" s="3"/>
      <c r="H1081" s="6" t="s">
        <v>708</v>
      </c>
      <c r="I1081" s="6" t="s">
        <v>68</v>
      </c>
      <c r="J1081" s="6" t="s">
        <v>4783</v>
      </c>
      <c r="K1081" s="6">
        <v>31713</v>
      </c>
      <c r="L1081" s="7" t="s">
        <v>6055</v>
      </c>
      <c r="M1081" s="8" t="str">
        <f>IF(Caja_Arequipa[[#This Row],[tipo_r]]="R","001-"&amp;12002+A1081,M1080)</f>
        <v>001-12764</v>
      </c>
      <c r="N1081" s="8" t="str">
        <f t="shared" si="242"/>
        <v>PEN</v>
      </c>
      <c r="O1081" s="13">
        <v>1</v>
      </c>
      <c r="P1081" s="13"/>
      <c r="Q1081" s="3">
        <f t="shared" si="243"/>
        <v>0</v>
      </c>
      <c r="R1081" s="3">
        <f t="shared" si="244"/>
        <v>0</v>
      </c>
      <c r="S1081" s="3">
        <f t="shared" si="245"/>
        <v>334.59999999999889</v>
      </c>
      <c r="T1081" s="24"/>
      <c r="U1081" s="24"/>
      <c r="V1081" s="3"/>
      <c r="W1081" s="25">
        <f>IFERROR(VLOOKUP(Caja_Arequipa[[#This Row],[destinatario]],CHOOSE({1,2},Clientes_Proveedores[Razon Social],Clientes_Proveedores[Ruc / Dni]),2,0),"")</f>
        <v>20467534026</v>
      </c>
      <c r="X1081" s="3"/>
      <c r="Y1081" s="3"/>
      <c r="Z1081" s="3"/>
      <c r="AA1081" s="3"/>
      <c r="AB1081" s="3" t="str">
        <f>IF(Caja_Arequipa[[#This Row],[fecha]]&gt;0,TEXT(Caja_Arequipa[[#This Row],[fecha]],"mmmm"),0)</f>
        <v>Noviembre</v>
      </c>
    </row>
    <row r="1082" spans="1:28" ht="24" x14ac:dyDescent="0.3">
      <c r="A1082" s="2">
        <f>IF(Caja_Arequipa[[#This Row],[tipo_r]]="R",COUNTIFS($C$1:$C1081,"R")+1,A1081)</f>
        <v>762</v>
      </c>
      <c r="B1082" s="19" t="str">
        <f t="shared" si="241"/>
        <v>C-Tesoreria</v>
      </c>
      <c r="C1082" s="73" t="s">
        <v>1352</v>
      </c>
      <c r="D1082" s="14">
        <v>45964</v>
      </c>
      <c r="E1082" s="5" t="s">
        <v>1338</v>
      </c>
      <c r="F1082" s="5" t="s">
        <v>1336</v>
      </c>
      <c r="G1082" s="3"/>
      <c r="H1082" s="6" t="s">
        <v>708</v>
      </c>
      <c r="I1082" s="6" t="s">
        <v>68</v>
      </c>
      <c r="J1082" s="6" t="s">
        <v>4783</v>
      </c>
      <c r="K1082" s="6">
        <v>31712</v>
      </c>
      <c r="L1082" s="7" t="s">
        <v>6055</v>
      </c>
      <c r="M1082" s="8" t="str">
        <f>IF(Caja_Arequipa[[#This Row],[tipo_r]]="R","001-"&amp;12002+A1082,M1081)</f>
        <v>001-12764</v>
      </c>
      <c r="N1082" s="8" t="str">
        <f t="shared" si="242"/>
        <v>PEN</v>
      </c>
      <c r="O1082" s="13">
        <v>1</v>
      </c>
      <c r="P1082" s="13"/>
      <c r="Q1082" s="3">
        <f t="shared" si="243"/>
        <v>0</v>
      </c>
      <c r="R1082" s="3">
        <f t="shared" si="244"/>
        <v>0</v>
      </c>
      <c r="S1082" s="3">
        <f t="shared" si="245"/>
        <v>334.59999999999889</v>
      </c>
      <c r="T1082" s="24"/>
      <c r="U1082" s="24"/>
      <c r="V1082" s="3"/>
      <c r="W1082" s="25">
        <f>IFERROR(VLOOKUP(Caja_Arequipa[[#This Row],[destinatario]],CHOOSE({1,2},Clientes_Proveedores[Razon Social],Clientes_Proveedores[Ruc / Dni]),2,0),"")</f>
        <v>20467534026</v>
      </c>
      <c r="X1082" s="3"/>
      <c r="Y1082" s="3"/>
      <c r="Z1082" s="3"/>
      <c r="AA1082" s="3"/>
      <c r="AB1082" s="3" t="str">
        <f>IF(Caja_Arequipa[[#This Row],[fecha]]&gt;0,TEXT(Caja_Arequipa[[#This Row],[fecha]],"mmmm"),0)</f>
        <v>Noviembre</v>
      </c>
    </row>
    <row r="1083" spans="1:28" ht="24" x14ac:dyDescent="0.3">
      <c r="A1083" s="2">
        <f>IF(Caja_Arequipa[[#This Row],[tipo_r]]="R",COUNTIFS($C$1:$C1082,"R")+1,A1082)</f>
        <v>763</v>
      </c>
      <c r="B1083" s="19" t="str">
        <f t="shared" si="241"/>
        <v>C-Tesoreria</v>
      </c>
      <c r="C1083" s="73" t="s">
        <v>1330</v>
      </c>
      <c r="D1083" s="14">
        <v>45933</v>
      </c>
      <c r="E1083" s="5" t="s">
        <v>6216</v>
      </c>
      <c r="F1083" s="5" t="s">
        <v>1303</v>
      </c>
      <c r="G1083" s="3"/>
      <c r="H1083" s="6"/>
      <c r="I1083" s="6" t="s">
        <v>130</v>
      </c>
      <c r="J1083" s="6">
        <v>1</v>
      </c>
      <c r="K1083" s="6">
        <v>230</v>
      </c>
      <c r="L1083" s="7" t="s">
        <v>6399</v>
      </c>
      <c r="M1083" s="8" t="str">
        <f>IF(Caja_Arequipa[[#This Row],[tipo_r]]="R","001-"&amp;12002+A1083,M1082)</f>
        <v>001-12765</v>
      </c>
      <c r="N1083" s="8" t="str">
        <f t="shared" si="242"/>
        <v>PEN</v>
      </c>
      <c r="O1083" s="13"/>
      <c r="P1083" s="13">
        <v>40</v>
      </c>
      <c r="Q1083" s="3">
        <f t="shared" si="243"/>
        <v>40</v>
      </c>
      <c r="R1083" s="3">
        <f t="shared" si="244"/>
        <v>0</v>
      </c>
      <c r="S1083" s="3">
        <f t="shared" si="245"/>
        <v>374.59999999999889</v>
      </c>
      <c r="T1083" s="24"/>
      <c r="U1083" s="24"/>
      <c r="V1083" s="3"/>
      <c r="W1083" s="25" t="str">
        <f>IFERROR(VLOOKUP(Caja_Arequipa[[#This Row],[destinatario]],CHOOSE({1,2},Clientes_Proveedores[Razon Social],Clientes_Proveedores[Ruc / Dni]),2,0),"")</f>
        <v/>
      </c>
      <c r="X1083" s="3"/>
      <c r="Y1083" s="3"/>
      <c r="Z1083" s="3"/>
      <c r="AA1083" s="3"/>
      <c r="AB1083" s="3" t="str">
        <f>IF(Caja_Arequipa[[#This Row],[fecha]]&gt;0,TEXT(Caja_Arequipa[[#This Row],[fecha]],"mmmm"),0)</f>
        <v>Octubre</v>
      </c>
    </row>
    <row r="1084" spans="1:28" ht="24" x14ac:dyDescent="0.3">
      <c r="A1084" s="2">
        <f>IF(Caja_Arequipa[[#This Row],[tipo_r]]="R",COUNTIFS($C$1:$C1083,"R")+1,A1083)</f>
        <v>764</v>
      </c>
      <c r="B1084" s="19" t="str">
        <f t="shared" ref="B1084:B1092" si="246">"C-Tesoreria"</f>
        <v>C-Tesoreria</v>
      </c>
      <c r="C1084" s="73" t="s">
        <v>1330</v>
      </c>
      <c r="D1084" s="14">
        <v>45964</v>
      </c>
      <c r="E1084" s="5" t="s">
        <v>1338</v>
      </c>
      <c r="F1084" s="5" t="s">
        <v>1336</v>
      </c>
      <c r="G1084" s="3" t="s">
        <v>5274</v>
      </c>
      <c r="H1084" s="6" t="s">
        <v>882</v>
      </c>
      <c r="I1084" s="6" t="s">
        <v>111</v>
      </c>
      <c r="J1084" s="6">
        <v>3</v>
      </c>
      <c r="K1084" s="6">
        <v>420</v>
      </c>
      <c r="L1084" s="7" t="s">
        <v>6400</v>
      </c>
      <c r="M1084" s="8" t="str">
        <f>IF(Caja_Arequipa[[#This Row],[tipo_r]]="R","001-"&amp;12002+A1084,M1083)</f>
        <v>001-12766</v>
      </c>
      <c r="N1084" s="8" t="str">
        <f t="shared" ref="N1084:N1092" si="247">"PEN"</f>
        <v>PEN</v>
      </c>
      <c r="O1084" s="13"/>
      <c r="P1084" s="13">
        <v>15</v>
      </c>
      <c r="Q1084" s="3">
        <f t="shared" ref="Q1084:Q1092" si="248">+IF(OR($F1084="SALDO",$F1084="INGRESO"),$P1084,0)</f>
        <v>0</v>
      </c>
      <c r="R1084" s="3">
        <f t="shared" ref="R1084:R1092" si="249">+IF($F1084="EGRESO",$P1084,0)</f>
        <v>15</v>
      </c>
      <c r="S1084" s="3">
        <f t="shared" ref="S1084:S1092" si="250">IFERROR(IF(F1084="SALDO",Q1084,S1083+Q1084-R1084),0)</f>
        <v>359.59999999999889</v>
      </c>
      <c r="T1084" s="24"/>
      <c r="U1084" s="24"/>
      <c r="V1084" s="3"/>
      <c r="W1084" s="25">
        <f>IFERROR(VLOOKUP(Caja_Arequipa[[#This Row],[destinatario]],CHOOSE({1,2},Clientes_Proveedores[Razon Social],Clientes_Proveedores[Ruc / Dni]),2,0),"")</f>
        <v>72450429</v>
      </c>
      <c r="X1084" s="3"/>
      <c r="Y1084" s="3"/>
      <c r="Z1084" s="3"/>
      <c r="AA1084" s="3"/>
      <c r="AB1084" s="3" t="str">
        <f>IF(Caja_Arequipa[[#This Row],[fecha]]&gt;0,TEXT(Caja_Arequipa[[#This Row],[fecha]],"mmmm"),0)</f>
        <v>Noviembre</v>
      </c>
    </row>
    <row r="1085" spans="1:28" ht="24" x14ac:dyDescent="0.3">
      <c r="A1085" s="2">
        <f>IF(Caja_Arequipa[[#This Row],[tipo_r]]="R",COUNTIFS($C$1:$C1084,"R")+1,A1084)</f>
        <v>765</v>
      </c>
      <c r="B1085" s="19" t="str">
        <f t="shared" si="246"/>
        <v>C-Tesoreria</v>
      </c>
      <c r="C1085" s="73" t="s">
        <v>1330</v>
      </c>
      <c r="D1085" s="14">
        <v>45933</v>
      </c>
      <c r="E1085" s="5" t="s">
        <v>1338</v>
      </c>
      <c r="F1085" s="5" t="s">
        <v>1336</v>
      </c>
      <c r="G1085" s="3" t="s">
        <v>3634</v>
      </c>
      <c r="H1085" s="6" t="s">
        <v>895</v>
      </c>
      <c r="I1085" s="6" t="s">
        <v>111</v>
      </c>
      <c r="J1085" s="6">
        <v>3</v>
      </c>
      <c r="K1085" s="6">
        <v>425</v>
      </c>
      <c r="L1085" s="7" t="s">
        <v>6401</v>
      </c>
      <c r="M1085" s="8" t="str">
        <f>IF(Caja_Arequipa[[#This Row],[tipo_r]]="R","001-"&amp;12002+A1085,M1084)</f>
        <v>001-12767</v>
      </c>
      <c r="N1085" s="8" t="str">
        <f t="shared" si="247"/>
        <v>PEN</v>
      </c>
      <c r="O1085" s="13"/>
      <c r="P1085" s="13">
        <v>101</v>
      </c>
      <c r="Q1085" s="3">
        <f t="shared" si="248"/>
        <v>0</v>
      </c>
      <c r="R1085" s="3">
        <f t="shared" si="249"/>
        <v>101</v>
      </c>
      <c r="S1085" s="3">
        <f t="shared" si="250"/>
        <v>258.59999999999889</v>
      </c>
      <c r="T1085" s="24"/>
      <c r="U1085" s="24"/>
      <c r="V1085" s="3"/>
      <c r="W1085" s="25">
        <f>IFERROR(VLOOKUP(Caja_Arequipa[[#This Row],[destinatario]],CHOOSE({1,2},Clientes_Proveedores[Razon Social],Clientes_Proveedores[Ruc / Dni]),2,0),"")</f>
        <v>72144092</v>
      </c>
      <c r="X1085" s="3"/>
      <c r="Y1085" s="3"/>
      <c r="Z1085" s="3"/>
      <c r="AA1085" s="3"/>
      <c r="AB1085" s="3" t="str">
        <f>IF(Caja_Arequipa[[#This Row],[fecha]]&gt;0,TEXT(Caja_Arequipa[[#This Row],[fecha]],"mmmm"),0)</f>
        <v>Octubre</v>
      </c>
    </row>
    <row r="1086" spans="1:28" ht="24" x14ac:dyDescent="0.3">
      <c r="A1086" s="2">
        <f>IF(Caja_Arequipa[[#This Row],[tipo_r]]="R",COUNTIFS($C$1:$C1085,"R")+1,A1085)</f>
        <v>766</v>
      </c>
      <c r="B1086" s="19" t="str">
        <f t="shared" si="246"/>
        <v>C-Tesoreria</v>
      </c>
      <c r="C1086" s="73" t="s">
        <v>1330</v>
      </c>
      <c r="D1086" s="14">
        <v>45965</v>
      </c>
      <c r="E1086" s="5" t="s">
        <v>1338</v>
      </c>
      <c r="F1086" s="5" t="s">
        <v>1336</v>
      </c>
      <c r="G1086" s="3" t="s">
        <v>5250</v>
      </c>
      <c r="H1086" s="6" t="s">
        <v>953</v>
      </c>
      <c r="I1086" s="6" t="s">
        <v>111</v>
      </c>
      <c r="J1086" s="6">
        <v>3</v>
      </c>
      <c r="K1086" s="6">
        <v>432</v>
      </c>
      <c r="L1086" s="7" t="s">
        <v>9474</v>
      </c>
      <c r="M1086" s="8" t="str">
        <f>IF(Caja_Arequipa[[#This Row],[tipo_r]]="R","001-"&amp;12002+A1086,M1085)</f>
        <v>001-12768</v>
      </c>
      <c r="N1086" s="8" t="str">
        <f t="shared" si="247"/>
        <v>PEN</v>
      </c>
      <c r="O1086" s="13"/>
      <c r="P1086" s="13">
        <v>35</v>
      </c>
      <c r="Q1086" s="3">
        <f t="shared" si="248"/>
        <v>0</v>
      </c>
      <c r="R1086" s="3">
        <f t="shared" si="249"/>
        <v>35</v>
      </c>
      <c r="S1086" s="3">
        <f t="shared" si="250"/>
        <v>223.59999999999889</v>
      </c>
      <c r="T1086" s="24"/>
      <c r="U1086" s="24"/>
      <c r="V1086" s="3"/>
      <c r="W1086" s="25">
        <f>IFERROR(VLOOKUP(Caja_Arequipa[[#This Row],[destinatario]],CHOOSE({1,2},Clientes_Proveedores[Razon Social],Clientes_Proveedores[Ruc / Dni]),2,0),"")</f>
        <v>72682665</v>
      </c>
      <c r="X1086" s="3"/>
      <c r="Y1086" s="3"/>
      <c r="Z1086" s="3"/>
      <c r="AA1086" s="3"/>
      <c r="AB1086" s="3" t="str">
        <f>IF(Caja_Arequipa[[#This Row],[fecha]]&gt;0,TEXT(Caja_Arequipa[[#This Row],[fecha]],"mmmm"),0)</f>
        <v>Noviembre</v>
      </c>
    </row>
    <row r="1087" spans="1:28" x14ac:dyDescent="0.3">
      <c r="A1087" s="2">
        <f>IF(Caja_Arequipa[[#This Row],[tipo_r]]="R",COUNTIFS($C$1:$C1086,"R")+1,A1086)</f>
        <v>767</v>
      </c>
      <c r="B1087" s="19" t="str">
        <f t="shared" si="246"/>
        <v>C-Tesoreria</v>
      </c>
      <c r="C1087" s="73" t="s">
        <v>1330</v>
      </c>
      <c r="D1087" s="14">
        <v>45967</v>
      </c>
      <c r="E1087" s="5" t="s">
        <v>4171</v>
      </c>
      <c r="F1087" s="5" t="s">
        <v>1303</v>
      </c>
      <c r="G1087" s="3"/>
      <c r="H1087" s="6"/>
      <c r="I1087" s="6"/>
      <c r="J1087" s="6"/>
      <c r="K1087" s="6"/>
      <c r="L1087" s="7" t="s">
        <v>6353</v>
      </c>
      <c r="M1087" s="8" t="str">
        <f>IF(Caja_Arequipa[[#This Row],[tipo_r]]="R","001-"&amp;12002+A1087,M1086)</f>
        <v>001-12769</v>
      </c>
      <c r="N1087" s="8" t="str">
        <f t="shared" si="247"/>
        <v>PEN</v>
      </c>
      <c r="O1087" s="13"/>
      <c r="P1087" s="13">
        <v>2000</v>
      </c>
      <c r="Q1087" s="3">
        <f t="shared" si="248"/>
        <v>2000</v>
      </c>
      <c r="R1087" s="3">
        <f t="shared" si="249"/>
        <v>0</v>
      </c>
      <c r="S1087" s="3">
        <f t="shared" si="250"/>
        <v>2223.599999999999</v>
      </c>
      <c r="T1087" s="24"/>
      <c r="U1087" s="24"/>
      <c r="V1087" s="3"/>
      <c r="W1087" s="25" t="str">
        <f>IFERROR(VLOOKUP(Caja_Arequipa[[#This Row],[destinatario]],CHOOSE({1,2},Clientes_Proveedores[Razon Social],Clientes_Proveedores[Ruc / Dni]),2,0),"")</f>
        <v/>
      </c>
      <c r="X1087" s="3"/>
      <c r="Y1087" s="3"/>
      <c r="Z1087" s="3"/>
      <c r="AA1087" s="3"/>
      <c r="AB1087" s="3" t="str">
        <f>IF(Caja_Arequipa[[#This Row],[fecha]]&gt;0,TEXT(Caja_Arequipa[[#This Row],[fecha]],"mmmm"),0)</f>
        <v>Noviembre</v>
      </c>
    </row>
    <row r="1088" spans="1:28" ht="24" x14ac:dyDescent="0.3">
      <c r="A1088" s="2">
        <f>IF(Caja_Arequipa[[#This Row],[tipo_r]]="R",COUNTIFS($C$1:$C1087,"R")+1,A1087)</f>
        <v>768</v>
      </c>
      <c r="B1088" s="19" t="str">
        <f t="shared" si="246"/>
        <v>C-Tesoreria</v>
      </c>
      <c r="C1088" s="73" t="s">
        <v>1330</v>
      </c>
      <c r="D1088" s="14">
        <v>45967</v>
      </c>
      <c r="E1088" s="5" t="s">
        <v>1338</v>
      </c>
      <c r="F1088" s="5" t="s">
        <v>1336</v>
      </c>
      <c r="G1088" s="3" t="s">
        <v>5664</v>
      </c>
      <c r="H1088" s="6" t="s">
        <v>937</v>
      </c>
      <c r="I1088" s="6" t="s">
        <v>111</v>
      </c>
      <c r="J1088" s="6">
        <v>3</v>
      </c>
      <c r="K1088" s="6">
        <v>430</v>
      </c>
      <c r="L1088" s="7" t="s">
        <v>6402</v>
      </c>
      <c r="M1088" s="8" t="str">
        <f>IF(Caja_Arequipa[[#This Row],[tipo_r]]="R","001-"&amp;12002+A1088,M1087)</f>
        <v>001-12770</v>
      </c>
      <c r="N1088" s="8" t="str">
        <f t="shared" si="247"/>
        <v>PEN</v>
      </c>
      <c r="O1088" s="13"/>
      <c r="P1088" s="13">
        <v>27</v>
      </c>
      <c r="Q1088" s="3">
        <f t="shared" si="248"/>
        <v>0</v>
      </c>
      <c r="R1088" s="3">
        <f t="shared" si="249"/>
        <v>27</v>
      </c>
      <c r="S1088" s="3">
        <f t="shared" si="250"/>
        <v>2196.599999999999</v>
      </c>
      <c r="T1088" s="24"/>
      <c r="U1088" s="24"/>
      <c r="V1088" s="3"/>
      <c r="W1088" s="25">
        <f>IFERROR(VLOOKUP(Caja_Arequipa[[#This Row],[destinatario]],CHOOSE({1,2},Clientes_Proveedores[Razon Social],Clientes_Proveedores[Ruc / Dni]),2,0),"")</f>
        <v>72728100</v>
      </c>
      <c r="X1088" s="3"/>
      <c r="Y1088" s="3"/>
      <c r="Z1088" s="3"/>
      <c r="AA1088" s="3"/>
      <c r="AB1088" s="3" t="str">
        <f>IF(Caja_Arequipa[[#This Row],[fecha]]&gt;0,TEXT(Caja_Arequipa[[#This Row],[fecha]],"mmmm"),0)</f>
        <v>Noviembre</v>
      </c>
    </row>
    <row r="1089" spans="1:28" ht="24" x14ac:dyDescent="0.3">
      <c r="A1089" s="2">
        <f>IF(Caja_Arequipa[[#This Row],[tipo_r]]="R",COUNTIFS($C$1:$C1088,"R")+1,A1088)</f>
        <v>769</v>
      </c>
      <c r="B1089" s="19" t="str">
        <f t="shared" si="246"/>
        <v>C-Tesoreria</v>
      </c>
      <c r="C1089" s="73" t="s">
        <v>1330</v>
      </c>
      <c r="D1089" s="14">
        <v>45967</v>
      </c>
      <c r="E1089" s="5" t="s">
        <v>1338</v>
      </c>
      <c r="F1089" s="5" t="s">
        <v>1336</v>
      </c>
      <c r="G1089" s="3" t="s">
        <v>6310</v>
      </c>
      <c r="H1089" s="6" t="s">
        <v>1068</v>
      </c>
      <c r="I1089" s="6" t="s">
        <v>111</v>
      </c>
      <c r="J1089" s="6">
        <v>3</v>
      </c>
      <c r="K1089" s="6">
        <v>429</v>
      </c>
      <c r="L1089" s="7" t="s">
        <v>6402</v>
      </c>
      <c r="M1089" s="8" t="str">
        <f>IF(Caja_Arequipa[[#This Row],[tipo_r]]="R","001-"&amp;12002+A1089,M1088)</f>
        <v>001-12771</v>
      </c>
      <c r="N1089" s="8" t="str">
        <f t="shared" si="247"/>
        <v>PEN</v>
      </c>
      <c r="O1089" s="13"/>
      <c r="P1089" s="13">
        <v>15.2</v>
      </c>
      <c r="Q1089" s="3">
        <f t="shared" si="248"/>
        <v>0</v>
      </c>
      <c r="R1089" s="3">
        <f t="shared" si="249"/>
        <v>15.2</v>
      </c>
      <c r="S1089" s="3">
        <f t="shared" si="250"/>
        <v>2181.3999999999992</v>
      </c>
      <c r="T1089" s="24"/>
      <c r="U1089" s="24"/>
      <c r="V1089" s="3"/>
      <c r="W1089" s="25">
        <f>IFERROR(VLOOKUP(Caja_Arequipa[[#This Row],[destinatario]],CHOOSE({1,2},Clientes_Proveedores[Razon Social],Clientes_Proveedores[Ruc / Dni]),2,0),"")</f>
        <v>72725445</v>
      </c>
      <c r="X1089" s="3"/>
      <c r="Y1089" s="3"/>
      <c r="Z1089" s="3"/>
      <c r="AA1089" s="3"/>
      <c r="AB1089" s="3" t="str">
        <f>IF(Caja_Arequipa[[#This Row],[fecha]]&gt;0,TEXT(Caja_Arequipa[[#This Row],[fecha]],"mmmm"),0)</f>
        <v>Noviembre</v>
      </c>
    </row>
    <row r="1090" spans="1:28" x14ac:dyDescent="0.3">
      <c r="A1090" s="2">
        <f>IF(Caja_Arequipa[[#This Row],[tipo_r]]="R",COUNTIFS($C$1:$C1089,"R")+1,A1089)</f>
        <v>770</v>
      </c>
      <c r="B1090" s="19" t="str">
        <f t="shared" si="246"/>
        <v>C-Tesoreria</v>
      </c>
      <c r="C1090" s="73" t="s">
        <v>1330</v>
      </c>
      <c r="D1090" s="14">
        <v>45967</v>
      </c>
      <c r="E1090" s="5" t="s">
        <v>1338</v>
      </c>
      <c r="F1090" s="5" t="s">
        <v>1336</v>
      </c>
      <c r="G1090" s="3" t="s">
        <v>6403</v>
      </c>
      <c r="H1090" s="6"/>
      <c r="I1090" s="6"/>
      <c r="J1090" s="6"/>
      <c r="K1090" s="6"/>
      <c r="L1090" s="7" t="s">
        <v>6404</v>
      </c>
      <c r="M1090" s="8" t="str">
        <f>IF(Caja_Arequipa[[#This Row],[tipo_r]]="R","001-"&amp;12002+A1090,M1089)</f>
        <v>001-12772</v>
      </c>
      <c r="N1090" s="8" t="str">
        <f t="shared" si="247"/>
        <v>PEN</v>
      </c>
      <c r="O1090" s="13"/>
      <c r="P1090" s="13">
        <v>17</v>
      </c>
      <c r="Q1090" s="3">
        <f t="shared" si="248"/>
        <v>0</v>
      </c>
      <c r="R1090" s="3">
        <f t="shared" si="249"/>
        <v>17</v>
      </c>
      <c r="S1090" s="3">
        <f t="shared" si="250"/>
        <v>2164.3999999999992</v>
      </c>
      <c r="T1090" s="24"/>
      <c r="U1090" s="24"/>
      <c r="V1090" s="3"/>
      <c r="W1090" s="25" t="str">
        <f>IFERROR(VLOOKUP(Caja_Arequipa[[#This Row],[destinatario]],CHOOSE({1,2},Clientes_Proveedores[Razon Social],Clientes_Proveedores[Ruc / Dni]),2,0),"")</f>
        <v/>
      </c>
      <c r="X1090" s="3"/>
      <c r="Y1090" s="3"/>
      <c r="Z1090" s="3"/>
      <c r="AA1090" s="3"/>
      <c r="AB1090" s="3" t="str">
        <f>IF(Caja_Arequipa[[#This Row],[fecha]]&gt;0,TEXT(Caja_Arequipa[[#This Row],[fecha]],"mmmm"),0)</f>
        <v>Noviembre</v>
      </c>
    </row>
    <row r="1091" spans="1:28" ht="24" x14ac:dyDescent="0.3">
      <c r="A1091" s="2">
        <f>IF(Caja_Arequipa[[#This Row],[tipo_r]]="R",COUNTIFS($C$1:$C1090,"R")+1,A1090)</f>
        <v>770</v>
      </c>
      <c r="B1091" s="19" t="str">
        <f t="shared" si="246"/>
        <v>C-Tesoreria</v>
      </c>
      <c r="C1091" s="73" t="s">
        <v>1352</v>
      </c>
      <c r="D1091" s="14">
        <v>45967</v>
      </c>
      <c r="E1091" s="5" t="s">
        <v>1338</v>
      </c>
      <c r="F1091" s="5" t="s">
        <v>1336</v>
      </c>
      <c r="G1091" s="3"/>
      <c r="H1091" s="6" t="s">
        <v>986</v>
      </c>
      <c r="I1091" s="6" t="s">
        <v>75</v>
      </c>
      <c r="J1091" s="6">
        <v>1</v>
      </c>
      <c r="K1091" s="6">
        <v>707</v>
      </c>
      <c r="L1091" s="7" t="s">
        <v>6404</v>
      </c>
      <c r="M1091" s="8" t="str">
        <f>IF(Caja_Arequipa[[#This Row],[tipo_r]]="R","001-"&amp;12002+A1091,M1090)</f>
        <v>001-12772</v>
      </c>
      <c r="N1091" s="8" t="str">
        <f t="shared" si="247"/>
        <v>PEN</v>
      </c>
      <c r="O1091" s="13">
        <v>5</v>
      </c>
      <c r="P1091" s="13"/>
      <c r="Q1091" s="3">
        <f t="shared" si="248"/>
        <v>0</v>
      </c>
      <c r="R1091" s="3">
        <f t="shared" si="249"/>
        <v>0</v>
      </c>
      <c r="S1091" s="3">
        <f t="shared" si="250"/>
        <v>2164.3999999999992</v>
      </c>
      <c r="T1091" s="24"/>
      <c r="U1091" s="24"/>
      <c r="V1091" s="3"/>
      <c r="W1091" s="25">
        <f>IFERROR(VLOOKUP(Caja_Arequipa[[#This Row],[destinatario]],CHOOSE({1,2},Clientes_Proveedores[Razon Social],Clientes_Proveedores[Ruc / Dni]),2,0),"")</f>
        <v>10309622885</v>
      </c>
      <c r="X1091" s="3"/>
      <c r="Y1091" s="3"/>
      <c r="Z1091" s="3"/>
      <c r="AA1091" s="3"/>
      <c r="AB1091" s="3" t="str">
        <f>IF(Caja_Arequipa[[#This Row],[fecha]]&gt;0,TEXT(Caja_Arequipa[[#This Row],[fecha]],"mmmm"),0)</f>
        <v>Noviembre</v>
      </c>
    </row>
    <row r="1092" spans="1:28" ht="24" x14ac:dyDescent="0.3">
      <c r="A1092" s="2">
        <f>IF(Caja_Arequipa[[#This Row],[tipo_r]]="R",COUNTIFS($C$1:$C1091,"R")+1,A1091)</f>
        <v>770</v>
      </c>
      <c r="B1092" s="19" t="str">
        <f t="shared" si="246"/>
        <v>C-Tesoreria</v>
      </c>
      <c r="C1092" s="73" t="s">
        <v>1352</v>
      </c>
      <c r="D1092" s="14">
        <v>45967</v>
      </c>
      <c r="E1092" s="5" t="s">
        <v>1338</v>
      </c>
      <c r="F1092" s="5" t="s">
        <v>1336</v>
      </c>
      <c r="G1092" s="3"/>
      <c r="H1092" s="6" t="s">
        <v>986</v>
      </c>
      <c r="I1092" s="6" t="s">
        <v>75</v>
      </c>
      <c r="J1092" s="6">
        <v>1</v>
      </c>
      <c r="K1092" s="6">
        <v>709</v>
      </c>
      <c r="L1092" s="7" t="s">
        <v>6404</v>
      </c>
      <c r="M1092" s="8" t="str">
        <f>IF(Caja_Arequipa[[#This Row],[tipo_r]]="R","001-"&amp;12002+A1092,M1091)</f>
        <v>001-12772</v>
      </c>
      <c r="N1092" s="8" t="str">
        <f t="shared" si="247"/>
        <v>PEN</v>
      </c>
      <c r="O1092" s="13">
        <v>7</v>
      </c>
      <c r="P1092" s="13"/>
      <c r="Q1092" s="3">
        <f t="shared" si="248"/>
        <v>0</v>
      </c>
      <c r="R1092" s="3">
        <f t="shared" si="249"/>
        <v>0</v>
      </c>
      <c r="S1092" s="3">
        <f t="shared" si="250"/>
        <v>2164.3999999999992</v>
      </c>
      <c r="T1092" s="24"/>
      <c r="U1092" s="24"/>
      <c r="V1092" s="3"/>
      <c r="W1092" s="25">
        <f>IFERROR(VLOOKUP(Caja_Arequipa[[#This Row],[destinatario]],CHOOSE({1,2},Clientes_Proveedores[Razon Social],Clientes_Proveedores[Ruc / Dni]),2,0),"")</f>
        <v>10309622885</v>
      </c>
      <c r="X1092" s="3"/>
      <c r="Y1092" s="3"/>
      <c r="Z1092" s="3"/>
      <c r="AA1092" s="3"/>
      <c r="AB1092" s="3" t="str">
        <f>IF(Caja_Arequipa[[#This Row],[fecha]]&gt;0,TEXT(Caja_Arequipa[[#This Row],[fecha]],"mmmm"),0)</f>
        <v>Noviembre</v>
      </c>
    </row>
    <row r="1093" spans="1:28" ht="24" x14ac:dyDescent="0.3">
      <c r="A1093" s="2">
        <f>IF(Caja_Arequipa[[#This Row],[tipo_r]]="R",COUNTIFS($C$1:$C1092,"R")+1,A1092)</f>
        <v>771</v>
      </c>
      <c r="B1093" s="19" t="str">
        <f t="shared" ref="B1093:B1098" si="251">"C-Tesoreria"</f>
        <v>C-Tesoreria</v>
      </c>
      <c r="C1093" s="73" t="s">
        <v>1330</v>
      </c>
      <c r="D1093" s="14">
        <v>45968</v>
      </c>
      <c r="E1093" s="5" t="s">
        <v>1338</v>
      </c>
      <c r="F1093" s="5" t="s">
        <v>1336</v>
      </c>
      <c r="G1093" s="3" t="s">
        <v>5303</v>
      </c>
      <c r="H1093" s="6" t="s">
        <v>684</v>
      </c>
      <c r="I1093" s="6" t="s">
        <v>68</v>
      </c>
      <c r="J1093" s="6" t="s">
        <v>1374</v>
      </c>
      <c r="K1093" s="6">
        <v>8059</v>
      </c>
      <c r="L1093" s="7" t="s">
        <v>6342</v>
      </c>
      <c r="M1093" s="8" t="str">
        <f>IF(Caja_Arequipa[[#This Row],[tipo_r]]="R","001-"&amp;12002+A1093,M1092)</f>
        <v>001-12773</v>
      </c>
      <c r="N1093" s="8" t="str">
        <f t="shared" ref="N1093:N1098" si="252">"PEN"</f>
        <v>PEN</v>
      </c>
      <c r="O1093" s="13"/>
      <c r="P1093" s="13">
        <v>25</v>
      </c>
      <c r="Q1093" s="3">
        <f t="shared" ref="Q1093:Q1098" si="253">+IF(OR($F1093="SALDO",$F1093="INGRESO"),$P1093,0)</f>
        <v>0</v>
      </c>
      <c r="R1093" s="3">
        <f t="shared" ref="R1093:R1098" si="254">+IF($F1093="EGRESO",$P1093,0)</f>
        <v>25</v>
      </c>
      <c r="S1093" s="3">
        <f t="shared" ref="S1093:S1098" si="255">IFERROR(IF(F1093="SALDO",Q1093,S1092+Q1093-R1093),0)</f>
        <v>2139.3999999999992</v>
      </c>
      <c r="T1093" s="24"/>
      <c r="U1093" s="24"/>
      <c r="V1093" s="3"/>
      <c r="W1093" s="25">
        <f>IFERROR(VLOOKUP(Caja_Arequipa[[#This Row],[destinatario]],CHOOSE({1,2},Clientes_Proveedores[Razon Social],Clientes_Proveedores[Ruc / Dni]),2,0),"")</f>
        <v>20604947520</v>
      </c>
      <c r="X1093" s="3"/>
      <c r="Y1093" s="3"/>
      <c r="Z1093" s="3"/>
      <c r="AA1093" s="3"/>
      <c r="AB1093" s="3" t="str">
        <f>IF(Caja_Arequipa[[#This Row],[fecha]]&gt;0,TEXT(Caja_Arequipa[[#This Row],[fecha]],"mmmm"),0)</f>
        <v>Noviembre</v>
      </c>
    </row>
    <row r="1094" spans="1:28" ht="24" x14ac:dyDescent="0.3">
      <c r="A1094" s="2">
        <f>IF(Caja_Arequipa[[#This Row],[tipo_r]]="R",COUNTIFS($C$1:$C1093,"R")+1,A1093)</f>
        <v>772</v>
      </c>
      <c r="B1094" s="19" t="str">
        <f t="shared" si="251"/>
        <v>C-Tesoreria</v>
      </c>
      <c r="C1094" s="3" t="s">
        <v>1330</v>
      </c>
      <c r="D1094" s="14">
        <v>45968</v>
      </c>
      <c r="E1094" s="5" t="s">
        <v>1331</v>
      </c>
      <c r="F1094" s="5" t="s">
        <v>1336</v>
      </c>
      <c r="G1094" s="3" t="s">
        <v>6285</v>
      </c>
      <c r="H1094" s="6" t="s">
        <v>850</v>
      </c>
      <c r="I1094" s="6" t="s">
        <v>111</v>
      </c>
      <c r="J1094" s="6">
        <v>3</v>
      </c>
      <c r="K1094" s="6">
        <v>437</v>
      </c>
      <c r="L1094" s="7" t="s">
        <v>111</v>
      </c>
      <c r="M1094" s="8" t="str">
        <f>IF(Caja_Arequipa[[#This Row],[tipo_r]]="R","001-"&amp;12002+A1094,M1093)</f>
        <v>001-12774</v>
      </c>
      <c r="N1094" s="8" t="str">
        <f t="shared" si="252"/>
        <v>PEN</v>
      </c>
      <c r="O1094" s="13"/>
      <c r="P1094" s="13">
        <v>118</v>
      </c>
      <c r="Q1094" s="3">
        <f t="shared" si="253"/>
        <v>0</v>
      </c>
      <c r="R1094" s="3">
        <f t="shared" si="254"/>
        <v>118</v>
      </c>
      <c r="S1094" s="3">
        <f t="shared" si="255"/>
        <v>2021.3999999999992</v>
      </c>
      <c r="T1094" s="24"/>
      <c r="U1094" s="24"/>
      <c r="V1094" s="3"/>
      <c r="W1094" s="25">
        <f>IFERROR(VLOOKUP(Caja_Arequipa[[#This Row],[destinatario]],CHOOSE({1,2},Clientes_Proveedores[Razon Social],Clientes_Proveedores[Ruc / Dni]),2,0),"")</f>
        <v>73649810</v>
      </c>
      <c r="X1094" s="3"/>
      <c r="Y1094" s="3"/>
      <c r="Z1094" s="3"/>
      <c r="AA1094" s="3"/>
      <c r="AB1094" s="3" t="str">
        <f>IF(Caja_Arequipa[[#This Row],[fecha]]&gt;0,TEXT(Caja_Arequipa[[#This Row],[fecha]],"mmmm"),0)</f>
        <v>Noviembre</v>
      </c>
    </row>
    <row r="1095" spans="1:28" ht="24" x14ac:dyDescent="0.3">
      <c r="A1095" s="2">
        <f>IF(Caja_Arequipa[[#This Row],[tipo_r]]="R",COUNTIFS($C$1:$C1094,"R")+1,A1094)</f>
        <v>773</v>
      </c>
      <c r="B1095" s="19" t="str">
        <f t="shared" si="251"/>
        <v>C-Tesoreria</v>
      </c>
      <c r="C1095" s="3" t="s">
        <v>1330</v>
      </c>
      <c r="D1095" s="14">
        <v>45968</v>
      </c>
      <c r="E1095" s="5" t="s">
        <v>1331</v>
      </c>
      <c r="F1095" s="5" t="s">
        <v>1336</v>
      </c>
      <c r="G1095" s="3" t="s">
        <v>6285</v>
      </c>
      <c r="H1095" s="6" t="s">
        <v>850</v>
      </c>
      <c r="I1095" s="6" t="s">
        <v>111</v>
      </c>
      <c r="J1095" s="6">
        <v>3</v>
      </c>
      <c r="K1095" s="6">
        <v>438</v>
      </c>
      <c r="L1095" s="7" t="s">
        <v>111</v>
      </c>
      <c r="M1095" s="8" t="str">
        <f>IF(Caja_Arequipa[[#This Row],[tipo_r]]="R","001-"&amp;12002+A1095,M1094)</f>
        <v>001-12775</v>
      </c>
      <c r="N1095" s="8" t="str">
        <f t="shared" si="252"/>
        <v>PEN</v>
      </c>
      <c r="O1095" s="13"/>
      <c r="P1095" s="13">
        <v>66</v>
      </c>
      <c r="Q1095" s="3">
        <f t="shared" si="253"/>
        <v>0</v>
      </c>
      <c r="R1095" s="3">
        <f t="shared" si="254"/>
        <v>66</v>
      </c>
      <c r="S1095" s="3">
        <f t="shared" si="255"/>
        <v>1955.3999999999992</v>
      </c>
      <c r="T1095" s="24"/>
      <c r="U1095" s="24"/>
      <c r="V1095" s="3"/>
      <c r="W1095" s="25">
        <f>IFERROR(VLOOKUP(Caja_Arequipa[[#This Row],[destinatario]],CHOOSE({1,2},Clientes_Proveedores[Razon Social],Clientes_Proveedores[Ruc / Dni]),2,0),"")</f>
        <v>73649810</v>
      </c>
      <c r="X1095" s="3"/>
      <c r="Y1095" s="3"/>
      <c r="Z1095" s="3"/>
      <c r="AA1095" s="3"/>
      <c r="AB1095" s="3" t="str">
        <f>IF(Caja_Arequipa[[#This Row],[fecha]]&gt;0,TEXT(Caja_Arequipa[[#This Row],[fecha]],"mmmm"),0)</f>
        <v>Noviembre</v>
      </c>
    </row>
    <row r="1096" spans="1:28" ht="24" x14ac:dyDescent="0.3">
      <c r="A1096" s="2">
        <f>IF(Caja_Arequipa[[#This Row],[tipo_r]]="R",COUNTIFS($C$1:$C1095,"R")+1,A1095)</f>
        <v>774</v>
      </c>
      <c r="B1096" s="19" t="str">
        <f t="shared" si="251"/>
        <v>C-Tesoreria</v>
      </c>
      <c r="C1096" s="3" t="s">
        <v>1330</v>
      </c>
      <c r="D1096" s="14">
        <v>45968</v>
      </c>
      <c r="E1096" s="5" t="s">
        <v>1331</v>
      </c>
      <c r="F1096" s="5" t="s">
        <v>1336</v>
      </c>
      <c r="G1096" s="3" t="s">
        <v>6285</v>
      </c>
      <c r="H1096" s="6" t="s">
        <v>850</v>
      </c>
      <c r="I1096" s="6" t="s">
        <v>111</v>
      </c>
      <c r="J1096" s="6">
        <v>3</v>
      </c>
      <c r="K1096" s="6">
        <v>439</v>
      </c>
      <c r="L1096" s="7" t="s">
        <v>111</v>
      </c>
      <c r="M1096" s="8" t="str">
        <f>IF(Caja_Arequipa[[#This Row],[tipo_r]]="R","001-"&amp;12002+A1096,M1095)</f>
        <v>001-12776</v>
      </c>
      <c r="N1096" s="8" t="str">
        <f t="shared" si="252"/>
        <v>PEN</v>
      </c>
      <c r="O1096" s="13"/>
      <c r="P1096" s="13">
        <v>30</v>
      </c>
      <c r="Q1096" s="3">
        <f t="shared" si="253"/>
        <v>0</v>
      </c>
      <c r="R1096" s="3">
        <f t="shared" si="254"/>
        <v>30</v>
      </c>
      <c r="S1096" s="3">
        <f t="shared" si="255"/>
        <v>1925.3999999999992</v>
      </c>
      <c r="T1096" s="24"/>
      <c r="U1096" s="24"/>
      <c r="V1096" s="3"/>
      <c r="W1096" s="25">
        <f>IFERROR(VLOOKUP(Caja_Arequipa[[#This Row],[destinatario]],CHOOSE({1,2},Clientes_Proveedores[Razon Social],Clientes_Proveedores[Ruc / Dni]),2,0),"")</f>
        <v>73649810</v>
      </c>
      <c r="X1096" s="3"/>
      <c r="Y1096" s="3"/>
      <c r="Z1096" s="3"/>
      <c r="AA1096" s="3"/>
      <c r="AB1096" s="3" t="str">
        <f>IF(Caja_Arequipa[[#This Row],[fecha]]&gt;0,TEXT(Caja_Arequipa[[#This Row],[fecha]],"mmmm"),0)</f>
        <v>Noviembre</v>
      </c>
    </row>
    <row r="1097" spans="1:28" ht="24" x14ac:dyDescent="0.3">
      <c r="A1097" s="2">
        <f>IF(Caja_Arequipa[[#This Row],[tipo_r]]="R",COUNTIFS($C$1:$C1096,"R")+1,A1096)</f>
        <v>775</v>
      </c>
      <c r="B1097" s="19" t="str">
        <f t="shared" si="251"/>
        <v>C-Tesoreria</v>
      </c>
      <c r="C1097" s="3" t="s">
        <v>1330</v>
      </c>
      <c r="D1097" s="14">
        <v>45968</v>
      </c>
      <c r="E1097" s="5" t="s">
        <v>1331</v>
      </c>
      <c r="F1097" s="5" t="s">
        <v>1336</v>
      </c>
      <c r="G1097" s="3" t="s">
        <v>6285</v>
      </c>
      <c r="H1097" s="6" t="s">
        <v>850</v>
      </c>
      <c r="I1097" s="6" t="s">
        <v>111</v>
      </c>
      <c r="J1097" s="6">
        <v>3</v>
      </c>
      <c r="K1097" s="6">
        <v>440</v>
      </c>
      <c r="L1097" s="7" t="s">
        <v>111</v>
      </c>
      <c r="M1097" s="8" t="str">
        <f>IF(Caja_Arequipa[[#This Row],[tipo_r]]="R","001-"&amp;12002+A1097,M1096)</f>
        <v>001-12777</v>
      </c>
      <c r="N1097" s="8" t="str">
        <f t="shared" si="252"/>
        <v>PEN</v>
      </c>
      <c r="O1097" s="13"/>
      <c r="P1097" s="13">
        <v>15</v>
      </c>
      <c r="Q1097" s="3">
        <f t="shared" si="253"/>
        <v>0</v>
      </c>
      <c r="R1097" s="3">
        <f t="shared" si="254"/>
        <v>15</v>
      </c>
      <c r="S1097" s="3">
        <f t="shared" si="255"/>
        <v>1910.3999999999992</v>
      </c>
      <c r="T1097" s="24"/>
      <c r="U1097" s="24"/>
      <c r="V1097" s="3"/>
      <c r="W1097" s="25">
        <f>IFERROR(VLOOKUP(Caja_Arequipa[[#This Row],[destinatario]],CHOOSE({1,2},Clientes_Proveedores[Razon Social],Clientes_Proveedores[Ruc / Dni]),2,0),"")</f>
        <v>73649810</v>
      </c>
      <c r="X1097" s="3"/>
      <c r="Y1097" s="3"/>
      <c r="Z1097" s="3"/>
      <c r="AA1097" s="3"/>
      <c r="AB1097" s="3" t="str">
        <f>IF(Caja_Arequipa[[#This Row],[fecha]]&gt;0,TEXT(Caja_Arequipa[[#This Row],[fecha]],"mmmm"),0)</f>
        <v>Noviembre</v>
      </c>
    </row>
    <row r="1098" spans="1:28" ht="24" x14ac:dyDescent="0.3">
      <c r="A1098" s="2">
        <f>IF(Caja_Arequipa[[#This Row],[tipo_r]]="R",COUNTIFS($C$1:$C1097,"R")+1,A1097)</f>
        <v>776</v>
      </c>
      <c r="B1098" s="19" t="str">
        <f t="shared" si="251"/>
        <v>C-Tesoreria</v>
      </c>
      <c r="C1098" s="3" t="s">
        <v>1330</v>
      </c>
      <c r="D1098" s="14">
        <v>45968</v>
      </c>
      <c r="E1098" s="5" t="s">
        <v>1331</v>
      </c>
      <c r="F1098" s="5" t="s">
        <v>1336</v>
      </c>
      <c r="G1098" s="3" t="s">
        <v>6285</v>
      </c>
      <c r="H1098" s="6" t="s">
        <v>850</v>
      </c>
      <c r="I1098" s="6" t="s">
        <v>111</v>
      </c>
      <c r="J1098" s="6">
        <v>3</v>
      </c>
      <c r="K1098" s="6">
        <v>441</v>
      </c>
      <c r="L1098" s="7" t="s">
        <v>111</v>
      </c>
      <c r="M1098" s="8" t="str">
        <f>IF(Caja_Arequipa[[#This Row],[tipo_r]]="R","001-"&amp;12002+A1098,M1097)</f>
        <v>001-12778</v>
      </c>
      <c r="N1098" s="8" t="str">
        <f t="shared" si="252"/>
        <v>PEN</v>
      </c>
      <c r="O1098" s="13"/>
      <c r="P1098" s="13">
        <v>24</v>
      </c>
      <c r="Q1098" s="3">
        <f t="shared" si="253"/>
        <v>0</v>
      </c>
      <c r="R1098" s="3">
        <f t="shared" si="254"/>
        <v>24</v>
      </c>
      <c r="S1098" s="3">
        <f t="shared" si="255"/>
        <v>1886.3999999999992</v>
      </c>
      <c r="T1098" s="24"/>
      <c r="U1098" s="24"/>
      <c r="V1098" s="3"/>
      <c r="W1098" s="25">
        <f>IFERROR(VLOOKUP(Caja_Arequipa[[#This Row],[destinatario]],CHOOSE({1,2},Clientes_Proveedores[Razon Social],Clientes_Proveedores[Ruc / Dni]),2,0),"")</f>
        <v>73649810</v>
      </c>
      <c r="X1098" s="3"/>
      <c r="Y1098" s="3"/>
      <c r="Z1098" s="3"/>
      <c r="AA1098" s="3"/>
      <c r="AB1098" s="3" t="str">
        <f>IF(Caja_Arequipa[[#This Row],[fecha]]&gt;0,TEXT(Caja_Arequipa[[#This Row],[fecha]],"mmmm"),0)</f>
        <v>Noviembre</v>
      </c>
    </row>
    <row r="1099" spans="1:28" ht="24" x14ac:dyDescent="0.3">
      <c r="A1099" s="237">
        <f>IF(Caja_Arequipa[[#This Row],[tipo_r]]="R",COUNTIFS($C$1:$C1098,"R")+1,A1098)</f>
        <v>777</v>
      </c>
      <c r="B1099" s="19" t="str">
        <f t="shared" ref="B1099:B1104" si="256">"C-Tesoreria"</f>
        <v>C-Tesoreria</v>
      </c>
      <c r="C1099" s="73" t="s">
        <v>1330</v>
      </c>
      <c r="D1099" s="238">
        <v>45972</v>
      </c>
      <c r="E1099" s="5" t="s">
        <v>1338</v>
      </c>
      <c r="F1099" s="5" t="s">
        <v>1336</v>
      </c>
      <c r="G1099" s="3" t="s">
        <v>5250</v>
      </c>
      <c r="H1099" s="6" t="s">
        <v>974</v>
      </c>
      <c r="I1099" s="6" t="s">
        <v>68</v>
      </c>
      <c r="J1099" s="6" t="s">
        <v>6104</v>
      </c>
      <c r="K1099" s="6">
        <v>14714</v>
      </c>
      <c r="L1099" s="7" t="s">
        <v>9475</v>
      </c>
      <c r="M1099" s="240" t="str">
        <f>IF(Caja_Arequipa[[#This Row],[tipo_r]]="R","001-"&amp;12002+A1099,M1098)</f>
        <v>001-12779</v>
      </c>
      <c r="N1099" s="240" t="str">
        <f t="shared" ref="N1099:N1104" si="257">"PEN"</f>
        <v>PEN</v>
      </c>
      <c r="O1099" s="13"/>
      <c r="P1099" s="241">
        <v>69</v>
      </c>
      <c r="Q1099" s="242">
        <f t="shared" ref="Q1099:Q1104" si="258">+IF(OR($F1099="SALDO",$F1099="INGRESO"),$P1099,0)</f>
        <v>0</v>
      </c>
      <c r="R1099" s="242">
        <f t="shared" ref="R1099:R1104" si="259">+IF($F1099="EGRESO",$P1099,0)</f>
        <v>69</v>
      </c>
      <c r="S1099" s="242">
        <f t="shared" ref="S1099:S1104" si="260">IFERROR(IF(F1099="SALDO",Q1099,S1098+Q1099-R1099),0)</f>
        <v>1817.3999999999992</v>
      </c>
      <c r="T1099" s="243"/>
      <c r="U1099" s="243"/>
      <c r="V1099" s="242"/>
      <c r="W1099" s="25">
        <f>IFERROR(VLOOKUP(Caja_Arequipa[[#This Row],[destinatario]],CHOOSE({1,2},Clientes_Proveedores[Razon Social],Clientes_Proveedores[Ruc / Dni]),2,0),"")</f>
        <v>20558053691</v>
      </c>
      <c r="X1099" s="3"/>
      <c r="Y1099" s="3"/>
      <c r="Z1099" s="3"/>
      <c r="AA1099" s="3"/>
      <c r="AB1099" s="242" t="str">
        <f>IF(Caja_Arequipa[[#This Row],[fecha]]&gt;0,TEXT(Caja_Arequipa[[#This Row],[fecha]],"mmmm"),0)</f>
        <v>Noviembre</v>
      </c>
    </row>
    <row r="1100" spans="1:28" x14ac:dyDescent="0.3">
      <c r="A1100" s="237">
        <f>IF(Caja_Arequipa[[#This Row],[tipo_r]]="R",COUNTIFS($C$1:$C1099,"R")+1,A1099)</f>
        <v>778</v>
      </c>
      <c r="B1100" s="19" t="str">
        <f t="shared" si="256"/>
        <v>C-Tesoreria</v>
      </c>
      <c r="C1100" s="73" t="s">
        <v>1330</v>
      </c>
      <c r="D1100" s="238">
        <v>45972</v>
      </c>
      <c r="E1100" s="5" t="s">
        <v>1338</v>
      </c>
      <c r="F1100" s="5" t="s">
        <v>1336</v>
      </c>
      <c r="G1100" s="3" t="s">
        <v>3634</v>
      </c>
      <c r="H1100" s="6"/>
      <c r="I1100" s="6"/>
      <c r="J1100" s="6"/>
      <c r="K1100" s="6"/>
      <c r="L1100" s="7" t="s">
        <v>6335</v>
      </c>
      <c r="M1100" s="240" t="str">
        <f>IF(Caja_Arequipa[[#This Row],[tipo_r]]="R","001-"&amp;12002+A1100,M1099)</f>
        <v>001-12780</v>
      </c>
      <c r="N1100" s="240" t="str">
        <f t="shared" si="257"/>
        <v>PEN</v>
      </c>
      <c r="O1100" s="13"/>
      <c r="P1100" s="241">
        <v>31</v>
      </c>
      <c r="Q1100" s="242">
        <f t="shared" si="258"/>
        <v>0</v>
      </c>
      <c r="R1100" s="242">
        <f t="shared" si="259"/>
        <v>31</v>
      </c>
      <c r="S1100" s="242">
        <f t="shared" si="260"/>
        <v>1786.3999999999992</v>
      </c>
      <c r="T1100" s="243"/>
      <c r="U1100" s="243"/>
      <c r="V1100" s="242"/>
      <c r="W1100" s="25" t="str">
        <f>IFERROR(VLOOKUP(Caja_Arequipa[[#This Row],[destinatario]],CHOOSE({1,2},Clientes_Proveedores[Razon Social],Clientes_Proveedores[Ruc / Dni]),2,0),"")</f>
        <v/>
      </c>
      <c r="X1100" s="3"/>
      <c r="Y1100" s="3"/>
      <c r="Z1100" s="3"/>
      <c r="AA1100" s="3"/>
      <c r="AB1100" s="242" t="str">
        <f>IF(Caja_Arequipa[[#This Row],[fecha]]&gt;0,TEXT(Caja_Arequipa[[#This Row],[fecha]],"mmmm"),0)</f>
        <v>Noviembre</v>
      </c>
    </row>
    <row r="1101" spans="1:28" ht="24" x14ac:dyDescent="0.3">
      <c r="A1101" s="237">
        <f>IF(Caja_Arequipa[[#This Row],[tipo_r]]="R",COUNTIFS($C$1:$C1100,"R")+1,A1100)</f>
        <v>778</v>
      </c>
      <c r="B1101" s="19" t="str">
        <f t="shared" si="256"/>
        <v>C-Tesoreria</v>
      </c>
      <c r="C1101" s="73" t="s">
        <v>1352</v>
      </c>
      <c r="D1101" s="238">
        <v>45972</v>
      </c>
      <c r="E1101" s="5" t="s">
        <v>1338</v>
      </c>
      <c r="F1101" s="5" t="s">
        <v>1336</v>
      </c>
      <c r="G1101" s="3" t="s">
        <v>3634</v>
      </c>
      <c r="H1101" s="6" t="s">
        <v>895</v>
      </c>
      <c r="I1101" s="6" t="s">
        <v>111</v>
      </c>
      <c r="J1101" s="6">
        <v>3</v>
      </c>
      <c r="K1101" s="6">
        <v>434</v>
      </c>
      <c r="L1101" s="7" t="s">
        <v>6335</v>
      </c>
      <c r="M1101" s="240" t="str">
        <f>IF(Caja_Arequipa[[#This Row],[tipo_r]]="R","001-"&amp;12002+A1101,M1100)</f>
        <v>001-12780</v>
      </c>
      <c r="N1101" s="240" t="str">
        <f t="shared" si="257"/>
        <v>PEN</v>
      </c>
      <c r="O1101" s="13">
        <v>12</v>
      </c>
      <c r="P1101" s="241"/>
      <c r="Q1101" s="242">
        <f t="shared" si="258"/>
        <v>0</v>
      </c>
      <c r="R1101" s="242">
        <f t="shared" si="259"/>
        <v>0</v>
      </c>
      <c r="S1101" s="242">
        <f t="shared" si="260"/>
        <v>1786.3999999999992</v>
      </c>
      <c r="T1101" s="243"/>
      <c r="U1101" s="243"/>
      <c r="V1101" s="242"/>
      <c r="W1101" s="25">
        <f>IFERROR(VLOOKUP(Caja_Arequipa[[#This Row],[destinatario]],CHOOSE({1,2},Clientes_Proveedores[Razon Social],Clientes_Proveedores[Ruc / Dni]),2,0),"")</f>
        <v>72144092</v>
      </c>
      <c r="X1101" s="3"/>
      <c r="Y1101" s="3"/>
      <c r="Z1101" s="3"/>
      <c r="AA1101" s="3"/>
      <c r="AB1101" s="242" t="str">
        <f>IF(Caja_Arequipa[[#This Row],[fecha]]&gt;0,TEXT(Caja_Arequipa[[#This Row],[fecha]],"mmmm"),0)</f>
        <v>Noviembre</v>
      </c>
    </row>
    <row r="1102" spans="1:28" ht="24" x14ac:dyDescent="0.3">
      <c r="A1102" s="237">
        <f>IF(Caja_Arequipa[[#This Row],[tipo_r]]="R",COUNTIFS($C$1:$C1101,"R")+1,A1101)</f>
        <v>778</v>
      </c>
      <c r="B1102" s="19" t="str">
        <f t="shared" si="256"/>
        <v>C-Tesoreria</v>
      </c>
      <c r="C1102" s="73" t="s">
        <v>1352</v>
      </c>
      <c r="D1102" s="238">
        <v>45972</v>
      </c>
      <c r="E1102" s="5" t="s">
        <v>1338</v>
      </c>
      <c r="F1102" s="5" t="s">
        <v>1336</v>
      </c>
      <c r="G1102" s="3" t="s">
        <v>3634</v>
      </c>
      <c r="H1102" s="6" t="s">
        <v>895</v>
      </c>
      <c r="I1102" s="6" t="s">
        <v>111</v>
      </c>
      <c r="J1102" s="6">
        <v>3</v>
      </c>
      <c r="K1102" s="6">
        <v>435</v>
      </c>
      <c r="L1102" s="7" t="s">
        <v>6335</v>
      </c>
      <c r="M1102" s="240" t="str">
        <f>IF(Caja_Arequipa[[#This Row],[tipo_r]]="R","001-"&amp;12002+A1102,M1101)</f>
        <v>001-12780</v>
      </c>
      <c r="N1102" s="240" t="str">
        <f t="shared" si="257"/>
        <v>PEN</v>
      </c>
      <c r="O1102" s="13">
        <v>19</v>
      </c>
      <c r="P1102" s="241"/>
      <c r="Q1102" s="242">
        <f t="shared" si="258"/>
        <v>0</v>
      </c>
      <c r="R1102" s="242">
        <f t="shared" si="259"/>
        <v>0</v>
      </c>
      <c r="S1102" s="242">
        <f t="shared" si="260"/>
        <v>1786.3999999999992</v>
      </c>
      <c r="T1102" s="243"/>
      <c r="U1102" s="243"/>
      <c r="V1102" s="242"/>
      <c r="W1102" s="25">
        <f>IFERROR(VLOOKUP(Caja_Arequipa[[#This Row],[destinatario]],CHOOSE({1,2},Clientes_Proveedores[Razon Social],Clientes_Proveedores[Ruc / Dni]),2,0),"")</f>
        <v>72144092</v>
      </c>
      <c r="X1102" s="3"/>
      <c r="Y1102" s="3"/>
      <c r="Z1102" s="3"/>
      <c r="AA1102" s="3"/>
      <c r="AB1102" s="242" t="str">
        <f>IF(Caja_Arequipa[[#This Row],[fecha]]&gt;0,TEXT(Caja_Arequipa[[#This Row],[fecha]],"mmmm"),0)</f>
        <v>Noviembre</v>
      </c>
    </row>
    <row r="1103" spans="1:28" ht="36" x14ac:dyDescent="0.3">
      <c r="A1103" s="237">
        <f>IF(Caja_Arequipa[[#This Row],[tipo_r]]="R",COUNTIFS($C$1:$C1102,"R")+1,A1102)</f>
        <v>779</v>
      </c>
      <c r="B1103" s="19" t="str">
        <f t="shared" si="256"/>
        <v>C-Tesoreria</v>
      </c>
      <c r="C1103" s="73" t="s">
        <v>1330</v>
      </c>
      <c r="D1103" s="238">
        <v>45972</v>
      </c>
      <c r="E1103" s="5" t="s">
        <v>1338</v>
      </c>
      <c r="F1103" s="5" t="s">
        <v>1336</v>
      </c>
      <c r="G1103" s="3" t="s">
        <v>6403</v>
      </c>
      <c r="H1103" s="6" t="s">
        <v>948</v>
      </c>
      <c r="I1103" s="6" t="s">
        <v>111</v>
      </c>
      <c r="J1103" s="6">
        <v>3</v>
      </c>
      <c r="K1103" s="6">
        <v>426</v>
      </c>
      <c r="L1103" s="7" t="s">
        <v>9476</v>
      </c>
      <c r="M1103" s="240" t="str">
        <f>IF(Caja_Arequipa[[#This Row],[tipo_r]]="R","001-"&amp;12002+A1103,M1102)</f>
        <v>001-12781</v>
      </c>
      <c r="N1103" s="240" t="str">
        <f t="shared" si="257"/>
        <v>PEN</v>
      </c>
      <c r="O1103" s="13"/>
      <c r="P1103" s="241">
        <v>58</v>
      </c>
      <c r="Q1103" s="242">
        <f t="shared" si="258"/>
        <v>0</v>
      </c>
      <c r="R1103" s="242">
        <f t="shared" si="259"/>
        <v>58</v>
      </c>
      <c r="S1103" s="242">
        <f t="shared" si="260"/>
        <v>1728.3999999999992</v>
      </c>
      <c r="T1103" s="243"/>
      <c r="U1103" s="243"/>
      <c r="V1103" s="242"/>
      <c r="W1103" s="25">
        <f>IFERROR(VLOOKUP(Caja_Arequipa[[#This Row],[destinatario]],CHOOSE({1,2},Clientes_Proveedores[Razon Social],Clientes_Proveedores[Ruc / Dni]),2,0),"")</f>
        <v>71311214</v>
      </c>
      <c r="X1103" s="3"/>
      <c r="Y1103" s="3"/>
      <c r="Z1103" s="3"/>
      <c r="AA1103" s="3"/>
      <c r="AB1103" s="242" t="str">
        <f>IF(Caja_Arequipa[[#This Row],[fecha]]&gt;0,TEXT(Caja_Arequipa[[#This Row],[fecha]],"mmmm"),0)</f>
        <v>Noviembre</v>
      </c>
    </row>
    <row r="1104" spans="1:28" ht="24" x14ac:dyDescent="0.3">
      <c r="A1104" s="237">
        <f>IF(Caja_Arequipa[[#This Row],[tipo_r]]="R",COUNTIFS($C$1:$C1103,"R")+1,A1103)</f>
        <v>780</v>
      </c>
      <c r="B1104" s="19" t="str">
        <f t="shared" si="256"/>
        <v>C-Tesoreria</v>
      </c>
      <c r="C1104" s="73" t="s">
        <v>1330</v>
      </c>
      <c r="D1104" s="238">
        <v>45972</v>
      </c>
      <c r="E1104" s="5" t="s">
        <v>1338</v>
      </c>
      <c r="F1104" s="5" t="s">
        <v>1336</v>
      </c>
      <c r="G1104" s="3" t="s">
        <v>6310</v>
      </c>
      <c r="H1104" s="6" t="s">
        <v>1068</v>
      </c>
      <c r="I1104" s="6" t="s">
        <v>111</v>
      </c>
      <c r="J1104" s="6">
        <v>3</v>
      </c>
      <c r="K1104" s="6">
        <v>436</v>
      </c>
      <c r="L1104" s="7" t="s">
        <v>9477</v>
      </c>
      <c r="M1104" s="240" t="str">
        <f>IF(Caja_Arequipa[[#This Row],[tipo_r]]="R","001-"&amp;12002+A1104,M1103)</f>
        <v>001-12782</v>
      </c>
      <c r="N1104" s="240" t="str">
        <f t="shared" si="257"/>
        <v>PEN</v>
      </c>
      <c r="O1104" s="13"/>
      <c r="P1104" s="241">
        <v>38</v>
      </c>
      <c r="Q1104" s="242">
        <f t="shared" si="258"/>
        <v>0</v>
      </c>
      <c r="R1104" s="242">
        <f t="shared" si="259"/>
        <v>38</v>
      </c>
      <c r="S1104" s="242">
        <f t="shared" si="260"/>
        <v>1690.3999999999992</v>
      </c>
      <c r="T1104" s="243"/>
      <c r="U1104" s="243"/>
      <c r="V1104" s="242"/>
      <c r="W1104" s="25">
        <f>IFERROR(VLOOKUP(Caja_Arequipa[[#This Row],[destinatario]],CHOOSE({1,2},Clientes_Proveedores[Razon Social],Clientes_Proveedores[Ruc / Dni]),2,0),"")</f>
        <v>72725445</v>
      </c>
      <c r="X1104" s="3"/>
      <c r="Y1104" s="3"/>
      <c r="Z1104" s="3"/>
      <c r="AA1104" s="3"/>
      <c r="AB1104" s="242" t="str">
        <f>IF(Caja_Arequipa[[#This Row],[fecha]]&gt;0,TEXT(Caja_Arequipa[[#This Row],[fecha]],"mmmm"),0)</f>
        <v>Noviembre</v>
      </c>
    </row>
    <row r="1105" spans="1:28" x14ac:dyDescent="0.3">
      <c r="A1105" s="237">
        <f>IF(Caja_Arequipa[[#This Row],[tipo_r]]="R",COUNTIFS($C$1:$C1104,"R")+1,A1104)</f>
        <v>781</v>
      </c>
      <c r="B1105" s="19" t="str">
        <f t="shared" ref="B1105:B1110" si="261">"C-Tesoreria"</f>
        <v>C-Tesoreria</v>
      </c>
      <c r="C1105" s="3" t="s">
        <v>1330</v>
      </c>
      <c r="D1105" s="238">
        <v>45973</v>
      </c>
      <c r="E1105" s="239" t="s">
        <v>1338</v>
      </c>
      <c r="F1105" s="239" t="s">
        <v>1336</v>
      </c>
      <c r="G1105" s="3" t="s">
        <v>5380</v>
      </c>
      <c r="H1105" s="6"/>
      <c r="I1105" s="6"/>
      <c r="J1105" s="6"/>
      <c r="K1105" s="6"/>
      <c r="L1105" s="7" t="s">
        <v>6055</v>
      </c>
      <c r="M1105" s="240" t="str">
        <f>IF(Caja_Arequipa[[#This Row],[tipo_r]]="R","001-"&amp;12002+A1105,M1104)</f>
        <v>001-12783</v>
      </c>
      <c r="N1105" s="240" t="str">
        <f t="shared" ref="N1105:N1110" si="262">"PEN"</f>
        <v>PEN</v>
      </c>
      <c r="O1105" s="13"/>
      <c r="P1105" s="241">
        <v>53</v>
      </c>
      <c r="Q1105" s="242">
        <f t="shared" ref="Q1105:Q1110" si="263">+IF(OR($F1105="SALDO",$F1105="INGRESO"),$P1105,0)</f>
        <v>0</v>
      </c>
      <c r="R1105" s="242">
        <f t="shared" ref="R1105:R1110" si="264">+IF($F1105="EGRESO",$P1105,0)</f>
        <v>53</v>
      </c>
      <c r="S1105" s="242">
        <f t="shared" ref="S1105:S1110" si="265">IFERROR(IF(F1105="SALDO",Q1105,S1104+Q1105-R1105),0)</f>
        <v>1637.3999999999992</v>
      </c>
      <c r="T1105" s="243"/>
      <c r="U1105" s="243"/>
      <c r="V1105" s="242"/>
      <c r="W1105" s="25" t="str">
        <f>IFERROR(VLOOKUP(Caja_Arequipa[[#This Row],[destinatario]],CHOOSE({1,2},Clientes_Proveedores[Razon Social],Clientes_Proveedores[Ruc / Dni]),2,0),"")</f>
        <v/>
      </c>
      <c r="X1105" s="3"/>
      <c r="Y1105" s="3"/>
      <c r="Z1105" s="3"/>
      <c r="AA1105" s="3"/>
      <c r="AB1105" s="242" t="str">
        <f>IF(Caja_Arequipa[[#This Row],[fecha]]&gt;0,TEXT(Caja_Arequipa[[#This Row],[fecha]],"mmmm"),0)</f>
        <v>Noviembre</v>
      </c>
    </row>
    <row r="1106" spans="1:28" x14ac:dyDescent="0.3">
      <c r="A1106" s="237">
        <f>IF(Caja_Arequipa[[#This Row],[tipo_r]]="R",COUNTIFS($C$1:$C1105,"R")+1,A1105)</f>
        <v>781</v>
      </c>
      <c r="B1106" s="19" t="str">
        <f t="shared" si="261"/>
        <v>C-Tesoreria</v>
      </c>
      <c r="C1106" s="3" t="s">
        <v>1352</v>
      </c>
      <c r="D1106" s="238">
        <v>45973</v>
      </c>
      <c r="E1106" s="239" t="s">
        <v>1338</v>
      </c>
      <c r="F1106" s="239" t="s">
        <v>1336</v>
      </c>
      <c r="G1106" s="3" t="s">
        <v>5380</v>
      </c>
      <c r="H1106" s="6" t="s">
        <v>978</v>
      </c>
      <c r="I1106" s="6" t="s">
        <v>68</v>
      </c>
      <c r="J1106" s="6" t="s">
        <v>6203</v>
      </c>
      <c r="K1106" s="6">
        <v>2238942</v>
      </c>
      <c r="L1106" s="7" t="s">
        <v>6055</v>
      </c>
      <c r="M1106" s="240" t="str">
        <f>IF(Caja_Arequipa[[#This Row],[tipo_r]]="R","001-"&amp;12002+A1106,M1105)</f>
        <v>001-12783</v>
      </c>
      <c r="N1106" s="240" t="str">
        <f t="shared" si="262"/>
        <v>PEN</v>
      </c>
      <c r="O1106" s="13">
        <v>8</v>
      </c>
      <c r="P1106" s="241"/>
      <c r="Q1106" s="242">
        <f t="shared" si="263"/>
        <v>0</v>
      </c>
      <c r="R1106" s="242">
        <f t="shared" si="264"/>
        <v>0</v>
      </c>
      <c r="S1106" s="242">
        <f t="shared" si="265"/>
        <v>1637.3999999999992</v>
      </c>
      <c r="T1106" s="243"/>
      <c r="U1106" s="243"/>
      <c r="V1106" s="242"/>
      <c r="W1106" s="25">
        <f>IFERROR(VLOOKUP(Caja_Arequipa[[#This Row],[destinatario]],CHOOSE({1,2},Clientes_Proveedores[Razon Social],Clientes_Proveedores[Ruc / Dni]),2,0),"")</f>
        <v>20517252558</v>
      </c>
      <c r="X1106" s="3"/>
      <c r="Y1106" s="3"/>
      <c r="Z1106" s="3"/>
      <c r="AA1106" s="3"/>
      <c r="AB1106" s="242" t="str">
        <f>IF(Caja_Arequipa[[#This Row],[fecha]]&gt;0,TEXT(Caja_Arequipa[[#This Row],[fecha]],"mmmm"),0)</f>
        <v>Noviembre</v>
      </c>
    </row>
    <row r="1107" spans="1:28" x14ac:dyDescent="0.3">
      <c r="A1107" s="237">
        <f>IF(Caja_Arequipa[[#This Row],[tipo_r]]="R",COUNTIFS($C$1:$C1106,"R")+1,A1106)</f>
        <v>781</v>
      </c>
      <c r="B1107" s="19" t="str">
        <f t="shared" si="261"/>
        <v>C-Tesoreria</v>
      </c>
      <c r="C1107" s="3" t="s">
        <v>1352</v>
      </c>
      <c r="D1107" s="238">
        <v>45973</v>
      </c>
      <c r="E1107" s="239" t="s">
        <v>1338</v>
      </c>
      <c r="F1107" s="239" t="s">
        <v>1336</v>
      </c>
      <c r="G1107" s="3" t="s">
        <v>5380</v>
      </c>
      <c r="H1107" s="6" t="s">
        <v>978</v>
      </c>
      <c r="I1107" s="6" t="s">
        <v>68</v>
      </c>
      <c r="J1107" s="6" t="s">
        <v>5688</v>
      </c>
      <c r="K1107" s="6">
        <v>2539594</v>
      </c>
      <c r="L1107" s="7" t="s">
        <v>6055</v>
      </c>
      <c r="M1107" s="240" t="str">
        <f>IF(Caja_Arequipa[[#This Row],[tipo_r]]="R","001-"&amp;12002+A1107,M1106)</f>
        <v>001-12783</v>
      </c>
      <c r="N1107" s="240" t="str">
        <f t="shared" si="262"/>
        <v>PEN</v>
      </c>
      <c r="O1107" s="13">
        <v>8</v>
      </c>
      <c r="P1107" s="241"/>
      <c r="Q1107" s="242">
        <f t="shared" si="263"/>
        <v>0</v>
      </c>
      <c r="R1107" s="242">
        <f t="shared" si="264"/>
        <v>0</v>
      </c>
      <c r="S1107" s="242">
        <f t="shared" si="265"/>
        <v>1637.3999999999992</v>
      </c>
      <c r="T1107" s="243"/>
      <c r="U1107" s="243"/>
      <c r="V1107" s="242"/>
      <c r="W1107" s="25">
        <f>IFERROR(VLOOKUP(Caja_Arequipa[[#This Row],[destinatario]],CHOOSE({1,2},Clientes_Proveedores[Razon Social],Clientes_Proveedores[Ruc / Dni]),2,0),"")</f>
        <v>20517252558</v>
      </c>
      <c r="X1107" s="3"/>
      <c r="Y1107" s="3"/>
      <c r="Z1107" s="3"/>
      <c r="AA1107" s="3"/>
      <c r="AB1107" s="242" t="str">
        <f>IF(Caja_Arequipa[[#This Row],[fecha]]&gt;0,TEXT(Caja_Arequipa[[#This Row],[fecha]],"mmmm"),0)</f>
        <v>Noviembre</v>
      </c>
    </row>
    <row r="1108" spans="1:28" ht="36" x14ac:dyDescent="0.3">
      <c r="A1108" s="244">
        <f>IF(Caja_Arequipa[[#This Row],[tipo_r]]="R",COUNTIFS($C$1:$C1107,"R")+1,A1107)</f>
        <v>781</v>
      </c>
      <c r="B1108" s="19" t="str">
        <f t="shared" si="261"/>
        <v>C-Tesoreria</v>
      </c>
      <c r="C1108" s="3" t="s">
        <v>1352</v>
      </c>
      <c r="D1108" s="238">
        <v>45973</v>
      </c>
      <c r="E1108" s="239" t="s">
        <v>1338</v>
      </c>
      <c r="F1108" s="239" t="s">
        <v>1336</v>
      </c>
      <c r="G1108" s="3" t="s">
        <v>5380</v>
      </c>
      <c r="H1108" s="6" t="s">
        <v>682</v>
      </c>
      <c r="I1108" s="6" t="s">
        <v>68</v>
      </c>
      <c r="J1108" s="6" t="s">
        <v>1353</v>
      </c>
      <c r="K1108" s="6">
        <v>18362</v>
      </c>
      <c r="L1108" s="7" t="s">
        <v>6055</v>
      </c>
      <c r="M1108" s="248" t="str">
        <f>IF(Caja_Arequipa[[#This Row],[tipo_r]]="R","001-"&amp;12002+A1108,M1107)</f>
        <v>001-12783</v>
      </c>
      <c r="N1108" s="248" t="str">
        <f t="shared" si="262"/>
        <v>PEN</v>
      </c>
      <c r="O1108" s="13">
        <v>20</v>
      </c>
      <c r="P1108" s="249"/>
      <c r="Q1108" s="250">
        <f t="shared" si="263"/>
        <v>0</v>
      </c>
      <c r="R1108" s="250">
        <f t="shared" si="264"/>
        <v>0</v>
      </c>
      <c r="S1108" s="250">
        <f t="shared" si="265"/>
        <v>1637.3999999999992</v>
      </c>
      <c r="T1108" s="251"/>
      <c r="U1108" s="251"/>
      <c r="V1108" s="250"/>
      <c r="W1108" s="25">
        <f>IFERROR(VLOOKUP(Caja_Arequipa[[#This Row],[destinatario]],CHOOSE({1,2},Clientes_Proveedores[Razon Social],Clientes_Proveedores[Ruc / Dni]),2,0),"")</f>
        <v>20259858934</v>
      </c>
      <c r="X1108" s="3"/>
      <c r="Y1108" s="3"/>
      <c r="Z1108" s="3"/>
      <c r="AA1108" s="3"/>
      <c r="AB1108" s="250" t="str">
        <f>IF(Caja_Arequipa[[#This Row],[fecha]]&gt;0,TEXT(Caja_Arequipa[[#This Row],[fecha]],"mmmm"),0)</f>
        <v>Noviembre</v>
      </c>
    </row>
    <row r="1109" spans="1:28" ht="36" x14ac:dyDescent="0.3">
      <c r="A1109" s="244">
        <f>IF(Caja_Arequipa[[#This Row],[tipo_r]]="R",COUNTIFS($C$1:$C1108,"R")+1,A1108)</f>
        <v>781</v>
      </c>
      <c r="B1109" s="19" t="str">
        <f t="shared" si="261"/>
        <v>C-Tesoreria</v>
      </c>
      <c r="C1109" s="3" t="s">
        <v>1352</v>
      </c>
      <c r="D1109" s="238">
        <v>45973</v>
      </c>
      <c r="E1109" s="239" t="s">
        <v>1338</v>
      </c>
      <c r="F1109" s="239" t="s">
        <v>1336</v>
      </c>
      <c r="G1109" s="3" t="s">
        <v>5380</v>
      </c>
      <c r="H1109" s="6" t="s">
        <v>227</v>
      </c>
      <c r="I1109" s="6" t="s">
        <v>68</v>
      </c>
      <c r="J1109" s="6" t="s">
        <v>1390</v>
      </c>
      <c r="K1109" s="6">
        <v>139198</v>
      </c>
      <c r="L1109" s="7" t="s">
        <v>6055</v>
      </c>
      <c r="M1109" s="248" t="str">
        <f>IF(Caja_Arequipa[[#This Row],[tipo_r]]="R","001-"&amp;12002+A1109,M1108)</f>
        <v>001-12783</v>
      </c>
      <c r="N1109" s="248" t="str">
        <f t="shared" si="262"/>
        <v>PEN</v>
      </c>
      <c r="O1109" s="13">
        <v>10</v>
      </c>
      <c r="P1109" s="249"/>
      <c r="Q1109" s="250">
        <f t="shared" si="263"/>
        <v>0</v>
      </c>
      <c r="R1109" s="250">
        <f t="shared" si="264"/>
        <v>0</v>
      </c>
      <c r="S1109" s="250">
        <f t="shared" si="265"/>
        <v>1637.3999999999992</v>
      </c>
      <c r="T1109" s="251"/>
      <c r="U1109" s="251"/>
      <c r="V1109" s="250"/>
      <c r="W1109" s="25">
        <f>IFERROR(VLOOKUP(Caja_Arequipa[[#This Row],[destinatario]],CHOOSE({1,2},Clientes_Proveedores[Razon Social],Clientes_Proveedores[Ruc / Dni]),2,0),"")</f>
        <v>20124952850</v>
      </c>
      <c r="X1109" s="3"/>
      <c r="Y1109" s="3"/>
      <c r="Z1109" s="3"/>
      <c r="AA1109" s="3"/>
      <c r="AB1109" s="250" t="str">
        <f>IF(Caja_Arequipa[[#This Row],[fecha]]&gt;0,TEXT(Caja_Arequipa[[#This Row],[fecha]],"mmmm"),0)</f>
        <v>Noviembre</v>
      </c>
    </row>
    <row r="1110" spans="1:28" ht="24" x14ac:dyDescent="0.3">
      <c r="A1110" s="244">
        <f>IF(Caja_Arequipa[[#This Row],[tipo_r]]="R",COUNTIFS($C$1:$C1109,"R")+1,A1109)</f>
        <v>781</v>
      </c>
      <c r="B1110" s="19" t="str">
        <f t="shared" si="261"/>
        <v>C-Tesoreria</v>
      </c>
      <c r="C1110" s="3" t="s">
        <v>1352</v>
      </c>
      <c r="D1110" s="238">
        <v>45973</v>
      </c>
      <c r="E1110" s="239" t="s">
        <v>1338</v>
      </c>
      <c r="F1110" s="239" t="s">
        <v>1336</v>
      </c>
      <c r="G1110" s="3" t="s">
        <v>5380</v>
      </c>
      <c r="H1110" s="6" t="s">
        <v>9386</v>
      </c>
      <c r="I1110" s="6" t="s">
        <v>75</v>
      </c>
      <c r="J1110" s="6">
        <v>3</v>
      </c>
      <c r="K1110" s="6">
        <v>9758</v>
      </c>
      <c r="L1110" s="7" t="s">
        <v>6055</v>
      </c>
      <c r="M1110" s="248" t="str">
        <f>IF(Caja_Arequipa[[#This Row],[tipo_r]]="R","001-"&amp;12002+A1110,M1109)</f>
        <v>001-12783</v>
      </c>
      <c r="N1110" s="248" t="str">
        <f t="shared" si="262"/>
        <v>PEN</v>
      </c>
      <c r="O1110" s="13">
        <v>7</v>
      </c>
      <c r="P1110" s="249"/>
      <c r="Q1110" s="250">
        <f t="shared" si="263"/>
        <v>0</v>
      </c>
      <c r="R1110" s="250">
        <f t="shared" si="264"/>
        <v>0</v>
      </c>
      <c r="S1110" s="250">
        <f t="shared" si="265"/>
        <v>1637.3999999999992</v>
      </c>
      <c r="T1110" s="251"/>
      <c r="U1110" s="251"/>
      <c r="V1110" s="250"/>
      <c r="W1110" s="25">
        <f>IFERROR(VLOOKUP(Caja_Arequipa[[#This Row],[destinatario]],CHOOSE({1,2},Clientes_Proveedores[Razon Social],Clientes_Proveedores[Ruc / Dni]),2,0),"")</f>
        <v>10447350349</v>
      </c>
      <c r="X1110" s="3"/>
      <c r="Y1110" s="3"/>
      <c r="Z1110" s="3"/>
      <c r="AA1110" s="3"/>
      <c r="AB1110" s="250" t="str">
        <f>IF(Caja_Arequipa[[#This Row],[fecha]]&gt;0,TEXT(Caja_Arequipa[[#This Row],[fecha]],"mmmm"),0)</f>
        <v>Noviembre</v>
      </c>
    </row>
    <row r="1111" spans="1:28" ht="24" x14ac:dyDescent="0.3">
      <c r="A1111" s="255">
        <f>IF(Caja_Arequipa[[#This Row],[tipo_r]]="R",COUNTIFS($C$1:$C1110,"R")+1,A1110)</f>
        <v>782</v>
      </c>
      <c r="B1111" s="19" t="str">
        <f>"C-Tesoreria"</f>
        <v>C-Tesoreria</v>
      </c>
      <c r="C1111" s="73" t="s">
        <v>1330</v>
      </c>
      <c r="D1111" s="256">
        <v>45974</v>
      </c>
      <c r="E1111" s="257" t="s">
        <v>1338</v>
      </c>
      <c r="F1111" s="5" t="s">
        <v>1336</v>
      </c>
      <c r="G1111" s="3" t="s">
        <v>6193</v>
      </c>
      <c r="H1111" s="6"/>
      <c r="I1111" s="6" t="s">
        <v>130</v>
      </c>
      <c r="J1111" s="6">
        <v>1</v>
      </c>
      <c r="K1111" s="6">
        <v>234</v>
      </c>
      <c r="L1111" s="7" t="s">
        <v>9535</v>
      </c>
      <c r="M1111" s="259" t="str">
        <f>IF(Caja_Arequipa[[#This Row],[tipo_r]]="R","001-"&amp;12002+A1111,M1110)</f>
        <v>001-12784</v>
      </c>
      <c r="N1111" s="259" t="str">
        <f>"PEN"</f>
        <v>PEN</v>
      </c>
      <c r="O1111" s="13"/>
      <c r="P1111" s="260">
        <v>25</v>
      </c>
      <c r="Q1111" s="261">
        <f>+IF(OR($F1111="SALDO",$F1111="INGRESO"),$P1111,0)</f>
        <v>0</v>
      </c>
      <c r="R1111" s="261">
        <f>+IF($F1111="EGRESO",$P1111,0)</f>
        <v>25</v>
      </c>
      <c r="S1111" s="261">
        <f>IFERROR(IF(F1111="SALDO",Q1111,S1110+Q1111-R1111),0)</f>
        <v>1612.3999999999992</v>
      </c>
      <c r="T1111" s="262"/>
      <c r="U1111" s="262"/>
      <c r="V1111" s="261"/>
      <c r="W1111" s="25" t="str">
        <f>IFERROR(VLOOKUP(Caja_Arequipa[[#This Row],[destinatario]],CHOOSE({1,2},Clientes_Proveedores[Razon Social],Clientes_Proveedores[Ruc / Dni]),2,0),"")</f>
        <v/>
      </c>
      <c r="X1111" s="3"/>
      <c r="Y1111" s="3"/>
      <c r="Z1111" s="3"/>
      <c r="AA1111" s="3"/>
      <c r="AB1111" s="261" t="str">
        <f>IF(Caja_Arequipa[[#This Row],[fecha]]&gt;0,TEXT(Caja_Arequipa[[#This Row],[fecha]],"mmmm"),0)</f>
        <v>Noviembre</v>
      </c>
    </row>
    <row r="1112" spans="1:28" x14ac:dyDescent="0.3">
      <c r="A1112" s="2"/>
      <c r="B1112" s="19"/>
      <c r="C1112" s="73"/>
      <c r="D1112" s="14"/>
      <c r="E1112" s="5"/>
      <c r="F1112" s="5"/>
      <c r="G1112" s="3"/>
      <c r="H1112" s="6"/>
      <c r="I1112" s="6"/>
      <c r="J1112" s="6"/>
      <c r="K1112" s="6"/>
      <c r="L1112" s="7"/>
      <c r="M1112" s="8"/>
      <c r="N1112" s="8"/>
      <c r="O1112" s="13"/>
      <c r="P1112" s="13"/>
      <c r="Q1112" s="3"/>
      <c r="R1112" s="3"/>
      <c r="S1112" s="3"/>
      <c r="T1112" s="24"/>
      <c r="U1112" s="24"/>
      <c r="V1112" s="3"/>
      <c r="W1112" s="3"/>
      <c r="X1112" s="3"/>
      <c r="Y1112" s="3"/>
      <c r="Z1112" s="3"/>
      <c r="AA1112" s="3"/>
      <c r="AB1112" s="3"/>
    </row>
    <row r="1113" spans="1:28" x14ac:dyDescent="0.3">
      <c r="A1113" s="2"/>
      <c r="B1113" s="19"/>
      <c r="C1113" s="73"/>
      <c r="D1113" s="14"/>
      <c r="E1113" s="5"/>
      <c r="F1113" s="5"/>
      <c r="G1113" s="3"/>
      <c r="H1113" s="6"/>
      <c r="I1113" s="6"/>
      <c r="J1113" s="6"/>
      <c r="K1113" s="6"/>
      <c r="L1113" s="7"/>
      <c r="M1113" s="8"/>
      <c r="N1113" s="8"/>
      <c r="O1113" s="13"/>
      <c r="P1113" s="13"/>
      <c r="Q1113" s="3"/>
      <c r="R1113" s="3"/>
      <c r="S1113" s="3"/>
      <c r="T1113" s="24"/>
      <c r="U1113" s="24"/>
      <c r="V1113" s="3"/>
      <c r="W1113" s="3"/>
      <c r="X1113" s="3"/>
      <c r="Y1113" s="3"/>
      <c r="Z1113" s="3"/>
      <c r="AA1113" s="3"/>
      <c r="AB1113" s="3"/>
    </row>
    <row r="1150" spans="18:18" x14ac:dyDescent="0.3">
      <c r="R1150" s="63"/>
    </row>
  </sheetData>
  <conditionalFormatting sqref="A2:AB889 A805:XFD824 A890:I901 L890:AB901 A902:AB934 A935:N936 P935:AB937 L936:L939 U936:U944 H937:N937 A937:G939 H938:AB939 A940:AB1120 G1121:AB1121 A1121:C1126 S1122:AB1122 G1122:I1126 R1123:AB1134 A1127:I1127 A1128:L1134 A1135:U1135 W1135:AB1135 A1136:AB1137 A1138:L1138 R1138:S1138 U1138:AB1138">
    <cfRule type="expression" dxfId="244" priority="9">
      <formula>$U2="OK"</formula>
    </cfRule>
    <cfRule type="expression" dxfId="243" priority="18">
      <formula>$C2="D"</formula>
    </cfRule>
  </conditionalFormatting>
  <conditionalFormatting sqref="J890:K901">
    <cfRule type="expression" dxfId="242" priority="3">
      <formula>$U890="OK"</formula>
    </cfRule>
    <cfRule type="expression" dxfId="241" priority="4">
      <formula>$C890="D"</formula>
    </cfRule>
  </conditionalFormatting>
  <conditionalFormatting sqref="J1122:L1127">
    <cfRule type="expression" dxfId="240" priority="446">
      <formula>$C1121="D"</formula>
    </cfRule>
    <cfRule type="expression" dxfId="239" priority="443">
      <formula>$U1121="OK"</formula>
    </cfRule>
  </conditionalFormatting>
  <conditionalFormatting sqref="O935:O937">
    <cfRule type="expression" dxfId="238" priority="2">
      <formula>$C935="D"</formula>
    </cfRule>
    <cfRule type="expression" dxfId="237" priority="1">
      <formula>$U935="OK"</formula>
    </cfRule>
  </conditionalFormatting>
  <conditionalFormatting sqref="AC825:XFD835 AC870:XFD876">
    <cfRule type="expression" dxfId="236" priority="375">
      <formula>$U835="OK"</formula>
    </cfRule>
    <cfRule type="expression" dxfId="235" priority="379">
      <formula>$C835="D"</formula>
    </cfRule>
  </conditionalFormatting>
  <conditionalFormatting sqref="AC836:XFD847">
    <cfRule type="expression" dxfId="234" priority="395">
      <formula>$U870="OK"</formula>
    </cfRule>
    <cfRule type="expression" dxfId="233" priority="396">
      <formula>$C870="D"</formula>
    </cfRule>
  </conditionalFormatting>
  <conditionalFormatting sqref="AC848:XFD849">
    <cfRule type="expression" dxfId="232" priority="393">
      <formula>$U880="OK"</formula>
    </cfRule>
    <cfRule type="expression" dxfId="231" priority="394">
      <formula>$C880="D"</formula>
    </cfRule>
  </conditionalFormatting>
  <conditionalFormatting sqref="AC850:XFD851">
    <cfRule type="expression" dxfId="230" priority="405">
      <formula>$U880="OK"</formula>
    </cfRule>
    <cfRule type="expression" dxfId="229" priority="406">
      <formula>$C880="D"</formula>
    </cfRule>
  </conditionalFormatting>
  <conditionalFormatting sqref="AC852:XFD852">
    <cfRule type="expression" dxfId="228" priority="403">
      <formula>$U881="OK"</formula>
    </cfRule>
    <cfRule type="expression" dxfId="227" priority="404">
      <formula>$C881="D"</formula>
    </cfRule>
  </conditionalFormatting>
  <conditionalFormatting sqref="AC853:XFD853">
    <cfRule type="expression" dxfId="226" priority="402">
      <formula>$C881="D"</formula>
    </cfRule>
    <cfRule type="expression" dxfId="225" priority="401">
      <formula>$U881="OK"</formula>
    </cfRule>
  </conditionalFormatting>
  <conditionalFormatting sqref="AC854:XFD854">
    <cfRule type="expression" dxfId="224" priority="399">
      <formula>$U881="OK"</formula>
    </cfRule>
    <cfRule type="expression" dxfId="223" priority="400">
      <formula>$C881="D"</formula>
    </cfRule>
  </conditionalFormatting>
  <conditionalFormatting sqref="AC855:XFD855">
    <cfRule type="expression" dxfId="222" priority="397">
      <formula>$U881="OK"</formula>
    </cfRule>
    <cfRule type="expression" dxfId="221" priority="398">
      <formula>$C881="D"</formula>
    </cfRule>
  </conditionalFormatting>
  <conditionalFormatting sqref="AC856:XFD856">
    <cfRule type="expression" dxfId="220" priority="391">
      <formula>$U881="OK"</formula>
    </cfRule>
    <cfRule type="expression" dxfId="219" priority="392">
      <formula>$C881="D"</formula>
    </cfRule>
  </conditionalFormatting>
  <conditionalFormatting sqref="AC857:XFD858">
    <cfRule type="expression" dxfId="218" priority="389">
      <formula>$U880="OK"</formula>
    </cfRule>
    <cfRule type="expression" dxfId="217" priority="390">
      <formula>$C880="D"</formula>
    </cfRule>
  </conditionalFormatting>
  <conditionalFormatting sqref="AC859:XFD861 M1133:Q1133">
    <cfRule type="expression" dxfId="216" priority="421">
      <formula>$U880="OK"</formula>
    </cfRule>
    <cfRule type="expression" dxfId="215" priority="422">
      <formula>$C880="D"</formula>
    </cfRule>
  </conditionalFormatting>
  <conditionalFormatting sqref="AC862:XFD862 M1132:Q1132">
    <cfRule type="expression" dxfId="214" priority="419">
      <formula>$U882="OK"</formula>
    </cfRule>
    <cfRule type="expression" dxfId="213" priority="420">
      <formula>$C882="D"</formula>
    </cfRule>
  </conditionalFormatting>
  <conditionalFormatting sqref="AC863:XFD863 M1130:Q1131">
    <cfRule type="expression" dxfId="212" priority="417">
      <formula>$U882="OK"</formula>
    </cfRule>
    <cfRule type="expression" dxfId="211" priority="418">
      <formula>$C882="D"</formula>
    </cfRule>
  </conditionalFormatting>
  <conditionalFormatting sqref="AC864:XFD865">
    <cfRule type="expression" dxfId="210" priority="5">
      <formula>$U882="OK"</formula>
    </cfRule>
    <cfRule type="expression" dxfId="209" priority="6">
      <formula>$C882="D"</formula>
    </cfRule>
  </conditionalFormatting>
  <conditionalFormatting sqref="AC866:XFD866">
    <cfRule type="expression" dxfId="208" priority="427">
      <formula>$U883="OK"</formula>
    </cfRule>
    <cfRule type="expression" dxfId="207" priority="428">
      <formula>$C883="D"</formula>
    </cfRule>
  </conditionalFormatting>
  <conditionalFormatting sqref="AC867:XFD867 R1122 M1122:Q1129">
    <cfRule type="expression" dxfId="206" priority="425">
      <formula>$U883="OK"</formula>
    </cfRule>
    <cfRule type="expression" dxfId="205" priority="426">
      <formula>$C883="D"</formula>
    </cfRule>
  </conditionalFormatting>
  <conditionalFormatting sqref="AC868:XFD868 M1134:Q1134">
    <cfRule type="expression" dxfId="204" priority="574">
      <formula>$C883="D"</formula>
    </cfRule>
    <cfRule type="expression" dxfId="203" priority="572">
      <formula>$U883="OK"</formula>
    </cfRule>
  </conditionalFormatting>
  <conditionalFormatting sqref="AC869:XFD869">
    <cfRule type="expression" dxfId="202" priority="388">
      <formula>$C883="D"</formula>
    </cfRule>
    <cfRule type="expression" dxfId="201" priority="387">
      <formula>$U883="OK"</formula>
    </cfRule>
  </conditionalFormatting>
  <conditionalFormatting sqref="AC877:XFD877">
    <cfRule type="expression" dxfId="200" priority="441">
      <formula>$C1135="D"</formula>
    </cfRule>
    <cfRule type="expression" dxfId="199" priority="440">
      <formula>$U1135="OK"</formula>
    </cfRule>
  </conditionalFormatting>
  <dataValidations disablePrompts="1" count="4">
    <dataValidation type="list" allowBlank="1" showInputMessage="1" showErrorMessage="1" sqref="F967:F978 F732:F733 F743 F746 F753 F757:F777 F780:F788 F791:F797 F800:F810 F813:F817 F2:F728 F820:F965 F980:F999 F1007:F1026" xr:uid="{89036598-DA91-42F2-86BC-74D7D5FE2D80}">
      <formula1>"SALDO,INGRESO,EGRESO"</formula1>
    </dataValidation>
    <dataValidation type="list" allowBlank="1" showInputMessage="1" showErrorMessage="1" sqref="H2:H1113" xr:uid="{F6ED5D2E-D7C4-448B-8C2D-D2326C7B21BD}">
      <formula1>Proveedores_Clientes</formula1>
    </dataValidation>
    <dataValidation type="list" allowBlank="1" showInputMessage="1" showErrorMessage="1" sqref="I2:I1113" xr:uid="{E15BD8A3-47C5-4D65-B789-051287BDFC97}">
      <formula1>Documentos</formula1>
    </dataValidation>
    <dataValidation type="list" allowBlank="1" showInputMessage="1" showErrorMessage="1" sqref="C2:C1113" xr:uid="{6A6F64FA-29BB-4B69-A759-B750CAF38BA3}">
      <formula1>"R,D"</formula1>
    </dataValidation>
  </dataValidations>
  <printOptions horizontalCentered="1"/>
  <pageMargins left="0.11811023622047245" right="0.11811023622047245" top="0.35433070866141736" bottom="0.35433070866141736" header="0.31496062992125984" footer="0.31496062992125984"/>
  <pageSetup paperSize="9" scale="35" fitToHeight="0" orientation="landscape" r:id="rId1"/>
  <legacyDrawing r:id="rId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C60C5-AC88-459D-B244-9801EFEE11FA}">
  <sheetPr codeName="Hoja8">
    <tabColor theme="0" tint="-0.499984740745262"/>
    <pageSetUpPr fitToPage="1"/>
  </sheetPr>
  <dimension ref="A1:AB990"/>
  <sheetViews>
    <sheetView showGridLines="0" zoomScale="85" zoomScaleNormal="85" zoomScaleSheetLayoutView="100" workbookViewId="0">
      <selection sqref="A1:AB1"/>
    </sheetView>
  </sheetViews>
  <sheetFormatPr defaultColWidth="11.44140625" defaultRowHeight="14.4" outlineLevelCol="1" x14ac:dyDescent="0.3"/>
  <cols>
    <col min="1" max="1" width="9.44140625" bestFit="1" customWidth="1"/>
    <col min="2" max="2" width="15.44140625" bestFit="1" customWidth="1"/>
    <col min="3" max="3" width="13.44140625" bestFit="1" customWidth="1"/>
    <col min="4" max="4" width="10.6640625" bestFit="1" customWidth="1"/>
    <col min="5" max="5" width="14.33203125" customWidth="1"/>
    <col min="6" max="6" width="11.6640625" bestFit="1" customWidth="1"/>
    <col min="7" max="7" width="11.6640625" customWidth="1"/>
    <col min="8" max="8" width="17" bestFit="1" customWidth="1"/>
    <col min="9" max="9" width="16" customWidth="1"/>
    <col min="10" max="10" width="10.109375" bestFit="1" customWidth="1"/>
    <col min="11" max="11" width="12.44140625" bestFit="1" customWidth="1"/>
    <col min="12" max="12" width="40.44140625" bestFit="1" customWidth="1"/>
    <col min="13" max="13" width="15" bestFit="1" customWidth="1"/>
    <col min="14" max="14" width="12.44140625" customWidth="1"/>
    <col min="15" max="15" width="12.109375" customWidth="1"/>
    <col min="16" max="16" width="11.44140625" customWidth="1"/>
    <col min="17" max="18" width="11.33203125" customWidth="1"/>
    <col min="19" max="19" width="10.88671875" bestFit="1" customWidth="1"/>
    <col min="20" max="20" width="12" bestFit="1" customWidth="1"/>
    <col min="21" max="21" width="13" bestFit="1" customWidth="1"/>
    <col min="22" max="22" width="15.88671875" bestFit="1" customWidth="1"/>
    <col min="23" max="27" width="17.109375" customWidth="1" outlineLevel="1"/>
    <col min="28" max="28" width="12.88671875" customWidth="1" outlineLevel="1"/>
  </cols>
  <sheetData>
    <row r="1" spans="1:28" x14ac:dyDescent="0.3">
      <c r="A1" s="263" t="s">
        <v>9536</v>
      </c>
      <c r="B1" s="263" t="s">
        <v>9537</v>
      </c>
      <c r="C1" s="263" t="s">
        <v>9563</v>
      </c>
      <c r="D1" s="263" t="s">
        <v>9539</v>
      </c>
      <c r="E1" s="263" t="s">
        <v>9540</v>
      </c>
      <c r="F1" s="263" t="s">
        <v>9541</v>
      </c>
      <c r="G1" s="263" t="s">
        <v>9564</v>
      </c>
      <c r="H1" s="263" t="s">
        <v>9542</v>
      </c>
      <c r="I1" s="263" t="s">
        <v>9543</v>
      </c>
      <c r="J1" s="263" t="s">
        <v>9544</v>
      </c>
      <c r="K1" s="263" t="s">
        <v>9545</v>
      </c>
      <c r="L1" s="263" t="s">
        <v>9546</v>
      </c>
      <c r="M1" s="263" t="s">
        <v>9565</v>
      </c>
      <c r="N1" s="263" t="s">
        <v>9548</v>
      </c>
      <c r="O1" s="263" t="s">
        <v>9549</v>
      </c>
      <c r="P1" s="263" t="s">
        <v>9550</v>
      </c>
      <c r="Q1" s="263" t="s">
        <v>9551</v>
      </c>
      <c r="R1" s="263" t="s">
        <v>9552</v>
      </c>
      <c r="S1" s="263" t="s">
        <v>9553</v>
      </c>
      <c r="T1" s="263" t="s">
        <v>9554</v>
      </c>
      <c r="U1" s="263" t="s">
        <v>9555</v>
      </c>
      <c r="V1" s="263" t="s">
        <v>9556</v>
      </c>
      <c r="W1" s="263" t="s">
        <v>9557</v>
      </c>
      <c r="X1" s="263" t="s">
        <v>9558</v>
      </c>
      <c r="Y1" s="263" t="s">
        <v>9559</v>
      </c>
      <c r="Z1" s="263" t="s">
        <v>9560</v>
      </c>
      <c r="AA1" s="263" t="s">
        <v>9561</v>
      </c>
      <c r="AB1" s="263" t="s">
        <v>9562</v>
      </c>
    </row>
    <row r="2" spans="1:28" x14ac:dyDescent="0.3">
      <c r="A2" s="2">
        <f>IF(Caja_Finanzas[[#This Row],[tipo_r]]="R",COUNTIFS($C$1:$C1,"R")+1,A1)</f>
        <v>1</v>
      </c>
      <c r="B2" s="19" t="str">
        <f>"C-Finanzas"</f>
        <v>C-Finanzas</v>
      </c>
      <c r="C2" s="3" t="s">
        <v>1330</v>
      </c>
      <c r="D2" s="4">
        <v>45658</v>
      </c>
      <c r="E2" s="5" t="s">
        <v>1331</v>
      </c>
      <c r="F2" s="6" t="s">
        <v>1320</v>
      </c>
      <c r="G2" s="6"/>
      <c r="H2" s="6"/>
      <c r="I2" s="6"/>
      <c r="J2" s="6"/>
      <c r="K2" s="6"/>
      <c r="L2" s="7" t="s">
        <v>1332</v>
      </c>
      <c r="M2" s="8" t="str">
        <f>"CFI"&amp;".D"&amp;TEXT(Caja_Finanzas[[#This Row],[fecha]],"DD-MM")&amp;"-"&amp;TEXT(Caja_Finanzas[[#This Row],[item]],"0000")</f>
        <v>CFI.D01-01-0001</v>
      </c>
      <c r="N2" s="8" t="str">
        <f t="shared" ref="N2" si="0">"PEN"</f>
        <v>PEN</v>
      </c>
      <c r="O2" s="13"/>
      <c r="P2" s="9">
        <v>167.5</v>
      </c>
      <c r="Q2" s="9">
        <f t="shared" ref="Q2:Q65" si="1">+IF(OR($F2="SALDO",$F2="INGRESO"),$P2,0)</f>
        <v>167.5</v>
      </c>
      <c r="R2" s="9">
        <f t="shared" ref="R2:R65" si="2">+IF($F2="EGRESO",$P2,0)</f>
        <v>0</v>
      </c>
      <c r="S2" s="9">
        <f t="shared" ref="S2:S65" si="3">IFERROR(IF(F2="SALDO",Q2,S1+Q2-R2),0)</f>
        <v>167.5</v>
      </c>
      <c r="T2" s="24"/>
      <c r="U2" s="24"/>
      <c r="V2" s="15"/>
      <c r="W2" s="25"/>
      <c r="X2" s="25" t="s">
        <v>6405</v>
      </c>
      <c r="Y2" s="25"/>
      <c r="Z2" s="25"/>
      <c r="AA2" s="25"/>
      <c r="AB2" s="3" t="str">
        <f>IF(Caja_Finanzas[[#This Row],[fecha]]&gt;0,TEXT(Caja_Finanzas[[#This Row],[fecha]],"mmmm"),0)</f>
        <v>Enero</v>
      </c>
    </row>
    <row r="3" spans="1:28" ht="24" x14ac:dyDescent="0.3">
      <c r="A3" s="2">
        <f>IF(Caja_Finanzas[[#This Row],[tipo_r]]="R",COUNTIFS($C$1:$C2,"R")+1,A2)</f>
        <v>2</v>
      </c>
      <c r="B3" s="19" t="str">
        <f t="shared" ref="B3:B66" si="4">"C-Finanzas"</f>
        <v>C-Finanzas</v>
      </c>
      <c r="C3" s="3" t="s">
        <v>1330</v>
      </c>
      <c r="D3" s="14">
        <v>45659</v>
      </c>
      <c r="E3" s="5" t="s">
        <v>6406</v>
      </c>
      <c r="F3" s="5" t="s">
        <v>1303</v>
      </c>
      <c r="G3" s="5"/>
      <c r="H3" s="6" t="s">
        <v>425</v>
      </c>
      <c r="I3" s="6" t="s">
        <v>119</v>
      </c>
      <c r="J3" s="6">
        <v>1</v>
      </c>
      <c r="K3" s="6">
        <v>4053</v>
      </c>
      <c r="L3" s="7" t="s">
        <v>6407</v>
      </c>
      <c r="M3" s="8" t="str">
        <f>"CFI"&amp;".D"&amp;TEXT(Caja_Finanzas[[#This Row],[fecha]],"DD-MM")&amp;"-"&amp;TEXT(Caja_Finanzas[[#This Row],[item]],"0000")</f>
        <v>CFI.D02-01-0002</v>
      </c>
      <c r="N3" s="8" t="str">
        <f t="shared" ref="N3:N66" si="5">"PEN"</f>
        <v>PEN</v>
      </c>
      <c r="O3" s="13"/>
      <c r="P3" s="13">
        <v>140</v>
      </c>
      <c r="Q3" s="3">
        <f t="shared" si="1"/>
        <v>140</v>
      </c>
      <c r="R3" s="3">
        <f t="shared" si="2"/>
        <v>0</v>
      </c>
      <c r="S3" s="3">
        <f t="shared" si="3"/>
        <v>307.5</v>
      </c>
      <c r="T3" s="24"/>
      <c r="U3" s="24"/>
      <c r="V3" s="3"/>
      <c r="W3" s="25"/>
      <c r="X3" s="25" t="s">
        <v>6408</v>
      </c>
      <c r="Y3" s="25"/>
      <c r="Z3" s="25"/>
      <c r="AA3" s="25"/>
      <c r="AB3" s="3" t="str">
        <f>IF(Caja_Finanzas[[#This Row],[fecha]]&gt;0,TEXT(Caja_Finanzas[[#This Row],[fecha]],"mmmm"),0)</f>
        <v>Enero</v>
      </c>
    </row>
    <row r="4" spans="1:28" ht="36" x14ac:dyDescent="0.3">
      <c r="A4" s="2">
        <f>IF(Caja_Finanzas[[#This Row],[tipo_r]]="R",COUNTIFS($C$1:$C3,"R")+1,A3)</f>
        <v>3</v>
      </c>
      <c r="B4" s="19" t="str">
        <f t="shared" si="4"/>
        <v>C-Finanzas</v>
      </c>
      <c r="C4" s="3" t="s">
        <v>1330</v>
      </c>
      <c r="D4" s="14">
        <v>45660</v>
      </c>
      <c r="E4" s="5" t="s">
        <v>6409</v>
      </c>
      <c r="F4" s="5" t="s">
        <v>1336</v>
      </c>
      <c r="G4" s="5"/>
      <c r="H4" s="6"/>
      <c r="I4" s="6"/>
      <c r="J4" s="6"/>
      <c r="K4" s="6"/>
      <c r="L4" s="7" t="s">
        <v>6410</v>
      </c>
      <c r="M4" s="8" t="str">
        <f>"CFI"&amp;".D"&amp;TEXT(Caja_Finanzas[[#This Row],[fecha]],"DD-MM")&amp;"-"&amp;TEXT(Caja_Finanzas[[#This Row],[item]],"0000")</f>
        <v>CFI.D03-01-0003</v>
      </c>
      <c r="N4" s="8" t="str">
        <f t="shared" si="5"/>
        <v>PEN</v>
      </c>
      <c r="O4" s="13"/>
      <c r="P4" s="13">
        <v>50</v>
      </c>
      <c r="Q4" s="3">
        <f t="shared" si="1"/>
        <v>0</v>
      </c>
      <c r="R4" s="3">
        <f t="shared" si="2"/>
        <v>50</v>
      </c>
      <c r="S4" s="3">
        <f t="shared" si="3"/>
        <v>257.5</v>
      </c>
      <c r="T4" s="24"/>
      <c r="U4" s="24"/>
      <c r="V4" s="3"/>
      <c r="W4" s="25" t="s">
        <v>1333</v>
      </c>
      <c r="X4" s="25" t="s">
        <v>6411</v>
      </c>
      <c r="Y4" s="25"/>
      <c r="Z4" s="25"/>
      <c r="AA4" s="25"/>
      <c r="AB4" s="3" t="str">
        <f>IF(Caja_Finanzas[[#This Row],[fecha]]&gt;0,TEXT(Caja_Finanzas[[#This Row],[fecha]],"mmmm"),0)</f>
        <v>Enero</v>
      </c>
    </row>
    <row r="5" spans="1:28" ht="24" x14ac:dyDescent="0.3">
      <c r="A5" s="2">
        <f>IF(Caja_Finanzas[[#This Row],[tipo_r]]="R",COUNTIFS($C$1:$C4,"R")+1,A4)</f>
        <v>4</v>
      </c>
      <c r="B5" s="19" t="str">
        <f t="shared" si="4"/>
        <v>C-Finanzas</v>
      </c>
      <c r="C5" s="3" t="s">
        <v>1330</v>
      </c>
      <c r="D5" s="14">
        <v>45660</v>
      </c>
      <c r="E5" s="5" t="s">
        <v>6409</v>
      </c>
      <c r="F5" s="5" t="s">
        <v>1336</v>
      </c>
      <c r="G5" s="5"/>
      <c r="H5" s="6"/>
      <c r="I5" s="6"/>
      <c r="J5" s="6"/>
      <c r="K5" s="6"/>
      <c r="L5" s="7" t="s">
        <v>6412</v>
      </c>
      <c r="M5" s="8" t="str">
        <f>"CFI"&amp;".D"&amp;TEXT(Caja_Finanzas[[#This Row],[fecha]],"DD-MM")&amp;"-"&amp;TEXT(Caja_Finanzas[[#This Row],[item]],"0000")</f>
        <v>CFI.D03-01-0004</v>
      </c>
      <c r="N5" s="8" t="str">
        <f t="shared" si="5"/>
        <v>PEN</v>
      </c>
      <c r="O5" s="13"/>
      <c r="P5" s="13">
        <v>6</v>
      </c>
      <c r="Q5" s="3">
        <f t="shared" si="1"/>
        <v>0</v>
      </c>
      <c r="R5" s="3">
        <f t="shared" si="2"/>
        <v>6</v>
      </c>
      <c r="S5" s="3">
        <f t="shared" si="3"/>
        <v>251.5</v>
      </c>
      <c r="T5" s="24"/>
      <c r="U5" s="24"/>
      <c r="V5" s="3"/>
      <c r="W5" s="25" t="s">
        <v>1333</v>
      </c>
      <c r="X5" s="25" t="s">
        <v>6405</v>
      </c>
      <c r="Y5" s="25"/>
      <c r="Z5" s="25"/>
      <c r="AA5" s="25"/>
      <c r="AB5" s="3" t="str">
        <f>IF(Caja_Finanzas[[#This Row],[fecha]]&gt;0,TEXT(Caja_Finanzas[[#This Row],[fecha]],"mmmm"),0)</f>
        <v>Enero</v>
      </c>
    </row>
    <row r="6" spans="1:28" ht="24" x14ac:dyDescent="0.3">
      <c r="A6" s="2">
        <f>IF(Caja_Finanzas[[#This Row],[tipo_r]]="R",COUNTIFS($C$1:$C5,"R")+1,A5)</f>
        <v>5</v>
      </c>
      <c r="B6" s="19" t="str">
        <f t="shared" si="4"/>
        <v>C-Finanzas</v>
      </c>
      <c r="C6" s="3" t="s">
        <v>1330</v>
      </c>
      <c r="D6" s="14">
        <v>45660</v>
      </c>
      <c r="E6" s="5" t="s">
        <v>6413</v>
      </c>
      <c r="F6" s="5" t="s">
        <v>1303</v>
      </c>
      <c r="G6" s="5"/>
      <c r="H6" s="6" t="s">
        <v>425</v>
      </c>
      <c r="I6" s="6" t="s">
        <v>119</v>
      </c>
      <c r="J6" s="6">
        <v>1</v>
      </c>
      <c r="K6" s="6">
        <v>4058</v>
      </c>
      <c r="L6" s="7" t="s">
        <v>6407</v>
      </c>
      <c r="M6" s="8" t="str">
        <f>"CFI"&amp;".D"&amp;TEXT(Caja_Finanzas[[#This Row],[fecha]],"DD-MM")&amp;"-"&amp;TEXT(Caja_Finanzas[[#This Row],[item]],"0000")</f>
        <v>CFI.D03-01-0005</v>
      </c>
      <c r="N6" s="8" t="str">
        <f t="shared" si="5"/>
        <v>PEN</v>
      </c>
      <c r="O6" s="13"/>
      <c r="P6" s="13">
        <v>900</v>
      </c>
      <c r="Q6" s="3">
        <f t="shared" si="1"/>
        <v>900</v>
      </c>
      <c r="R6" s="3">
        <f t="shared" si="2"/>
        <v>0</v>
      </c>
      <c r="S6" s="3">
        <f t="shared" si="3"/>
        <v>1151.5</v>
      </c>
      <c r="T6" s="24"/>
      <c r="U6" s="24"/>
      <c r="V6" s="3"/>
      <c r="W6" s="25"/>
      <c r="X6" s="25" t="s">
        <v>6414</v>
      </c>
      <c r="Y6" s="25"/>
      <c r="Z6" s="25"/>
      <c r="AA6" s="25"/>
      <c r="AB6" s="3" t="str">
        <f>IF(Caja_Finanzas[[#This Row],[fecha]]&gt;0,TEXT(Caja_Finanzas[[#This Row],[fecha]],"mmmm"),0)</f>
        <v>Enero</v>
      </c>
    </row>
    <row r="7" spans="1:28" ht="36" x14ac:dyDescent="0.3">
      <c r="A7" s="2">
        <f>IF(Caja_Finanzas[[#This Row],[tipo_r]]="R",COUNTIFS($C$1:$C6,"R")+1,A6)</f>
        <v>6</v>
      </c>
      <c r="B7" s="19" t="str">
        <f t="shared" si="4"/>
        <v>C-Finanzas</v>
      </c>
      <c r="C7" s="3" t="s">
        <v>1330</v>
      </c>
      <c r="D7" s="14">
        <v>45660</v>
      </c>
      <c r="E7" s="5" t="s">
        <v>6415</v>
      </c>
      <c r="F7" s="5" t="s">
        <v>1336</v>
      </c>
      <c r="G7" s="5"/>
      <c r="H7" s="6"/>
      <c r="I7" s="6"/>
      <c r="J7" s="6"/>
      <c r="K7" s="6"/>
      <c r="L7" s="7" t="s">
        <v>6416</v>
      </c>
      <c r="M7" s="8" t="str">
        <f>"CFI"&amp;".D"&amp;TEXT(Caja_Finanzas[[#This Row],[fecha]],"DD-MM")&amp;"-"&amp;TEXT(Caja_Finanzas[[#This Row],[item]],"0000")</f>
        <v>CFI.D03-01-0006</v>
      </c>
      <c r="N7" s="8" t="str">
        <f t="shared" si="5"/>
        <v>PEN</v>
      </c>
      <c r="O7" s="13"/>
      <c r="P7" s="13">
        <v>127</v>
      </c>
      <c r="Q7" s="3">
        <f t="shared" si="1"/>
        <v>0</v>
      </c>
      <c r="R7" s="3">
        <f t="shared" si="2"/>
        <v>127</v>
      </c>
      <c r="S7" s="3">
        <f t="shared" si="3"/>
        <v>1024.5</v>
      </c>
      <c r="T7" s="24"/>
      <c r="U7" s="24"/>
      <c r="V7" s="3"/>
      <c r="W7" s="25" t="s">
        <v>1355</v>
      </c>
      <c r="X7" s="25"/>
      <c r="Y7" s="25"/>
      <c r="Z7" s="25"/>
      <c r="AA7" s="25"/>
      <c r="AB7" s="3" t="str">
        <f>IF(Caja_Finanzas[[#This Row],[fecha]]&gt;0,TEXT(Caja_Finanzas[[#This Row],[fecha]],"mmmm"),0)</f>
        <v>Enero</v>
      </c>
    </row>
    <row r="8" spans="1:28" ht="24" x14ac:dyDescent="0.3">
      <c r="A8" s="2">
        <f>IF(Caja_Finanzas[[#This Row],[tipo_r]]="R",COUNTIFS($C$1:$C7,"R")+1,A7)</f>
        <v>7</v>
      </c>
      <c r="B8" s="19" t="str">
        <f t="shared" si="4"/>
        <v>C-Finanzas</v>
      </c>
      <c r="C8" s="3" t="s">
        <v>1330</v>
      </c>
      <c r="D8" s="14">
        <v>45660</v>
      </c>
      <c r="E8" s="5" t="s">
        <v>4522</v>
      </c>
      <c r="F8" s="5" t="s">
        <v>1303</v>
      </c>
      <c r="G8" s="5"/>
      <c r="H8" s="6" t="s">
        <v>425</v>
      </c>
      <c r="I8" s="6" t="s">
        <v>119</v>
      </c>
      <c r="J8" s="6">
        <v>1</v>
      </c>
      <c r="K8" s="6">
        <v>4059</v>
      </c>
      <c r="L8" s="7" t="s">
        <v>6407</v>
      </c>
      <c r="M8" s="8" t="str">
        <f>"CFI"&amp;".D"&amp;TEXT(Caja_Finanzas[[#This Row],[fecha]],"DD-MM")&amp;"-"&amp;TEXT(Caja_Finanzas[[#This Row],[item]],"0000")</f>
        <v>CFI.D03-01-0007</v>
      </c>
      <c r="N8" s="8" t="str">
        <f t="shared" si="5"/>
        <v>PEN</v>
      </c>
      <c r="O8" s="13"/>
      <c r="P8" s="13">
        <v>5222</v>
      </c>
      <c r="Q8" s="3">
        <f t="shared" si="1"/>
        <v>5222</v>
      </c>
      <c r="R8" s="3">
        <f t="shared" si="2"/>
        <v>0</v>
      </c>
      <c r="S8" s="3">
        <f t="shared" si="3"/>
        <v>6246.5</v>
      </c>
      <c r="T8" s="24"/>
      <c r="U8" s="24"/>
      <c r="V8" s="3"/>
      <c r="W8" s="25"/>
      <c r="X8" s="25" t="s">
        <v>6417</v>
      </c>
      <c r="Y8" s="25"/>
      <c r="Z8" s="25"/>
      <c r="AA8" s="25"/>
      <c r="AB8" s="3" t="str">
        <f>IF(Caja_Finanzas[[#This Row],[fecha]]&gt;0,TEXT(Caja_Finanzas[[#This Row],[fecha]],"mmmm"),0)</f>
        <v>Enero</v>
      </c>
    </row>
    <row r="9" spans="1:28" ht="24" x14ac:dyDescent="0.3">
      <c r="A9" s="2">
        <f>IF(Caja_Finanzas[[#This Row],[tipo_r]]="R",COUNTIFS($C$1:$C8,"R")+1,A8)</f>
        <v>8</v>
      </c>
      <c r="B9" s="19" t="str">
        <f t="shared" si="4"/>
        <v>C-Finanzas</v>
      </c>
      <c r="C9" s="3" t="s">
        <v>1330</v>
      </c>
      <c r="D9" s="14">
        <v>45660</v>
      </c>
      <c r="E9" s="5" t="s">
        <v>6418</v>
      </c>
      <c r="F9" s="5" t="s">
        <v>1336</v>
      </c>
      <c r="G9" s="5"/>
      <c r="H9" s="6" t="s">
        <v>809</v>
      </c>
      <c r="I9" s="6"/>
      <c r="J9" s="6"/>
      <c r="K9" s="6"/>
      <c r="L9" s="7" t="s">
        <v>6419</v>
      </c>
      <c r="M9" s="8" t="str">
        <f>"CFI"&amp;".D"&amp;TEXT(Caja_Finanzas[[#This Row],[fecha]],"DD-MM")&amp;"-"&amp;TEXT(Caja_Finanzas[[#This Row],[item]],"0000")</f>
        <v>CFI.D03-01-0008</v>
      </c>
      <c r="N9" s="8" t="str">
        <f t="shared" si="5"/>
        <v>PEN</v>
      </c>
      <c r="O9" s="13"/>
      <c r="P9" s="13">
        <v>1000</v>
      </c>
      <c r="Q9" s="3">
        <f t="shared" si="1"/>
        <v>0</v>
      </c>
      <c r="R9" s="3">
        <f t="shared" si="2"/>
        <v>1000</v>
      </c>
      <c r="S9" s="3">
        <f t="shared" si="3"/>
        <v>5246.5</v>
      </c>
      <c r="T9" s="24"/>
      <c r="U9" s="24"/>
      <c r="V9" s="3"/>
      <c r="W9" s="25"/>
      <c r="X9" s="25"/>
      <c r="Y9" s="25"/>
      <c r="Z9" s="25"/>
      <c r="AA9" s="25"/>
      <c r="AB9" s="3" t="str">
        <f>IF(Caja_Finanzas[[#This Row],[fecha]]&gt;0,TEXT(Caja_Finanzas[[#This Row],[fecha]],"mmmm"),0)</f>
        <v>Enero</v>
      </c>
    </row>
    <row r="10" spans="1:28" ht="60" x14ac:dyDescent="0.3">
      <c r="A10" s="2">
        <f>IF(Caja_Finanzas[[#This Row],[tipo_r]]="R",COUNTIFS($C$1:$C9,"R")+1,A9)</f>
        <v>9</v>
      </c>
      <c r="B10" s="19" t="str">
        <f t="shared" si="4"/>
        <v>C-Finanzas</v>
      </c>
      <c r="C10" s="3" t="s">
        <v>1330</v>
      </c>
      <c r="D10" s="14">
        <v>45663</v>
      </c>
      <c r="E10" s="5" t="s">
        <v>6420</v>
      </c>
      <c r="F10" s="5" t="s">
        <v>1303</v>
      </c>
      <c r="G10" s="5"/>
      <c r="H10" s="6"/>
      <c r="I10" s="6"/>
      <c r="J10" s="6"/>
      <c r="K10" s="6"/>
      <c r="L10" s="7" t="s">
        <v>6421</v>
      </c>
      <c r="M10" s="8" t="str">
        <f>"CFI"&amp;".D"&amp;TEXT(Caja_Finanzas[[#This Row],[fecha]],"DD-MM")&amp;"-"&amp;TEXT(Caja_Finanzas[[#This Row],[item]],"0000")</f>
        <v>CFI.D06-01-0009</v>
      </c>
      <c r="N10" s="8" t="str">
        <f t="shared" si="5"/>
        <v>PEN</v>
      </c>
      <c r="O10" s="13"/>
      <c r="P10" s="13">
        <v>1250</v>
      </c>
      <c r="Q10" s="3">
        <f t="shared" si="1"/>
        <v>1250</v>
      </c>
      <c r="R10" s="3">
        <f t="shared" si="2"/>
        <v>0</v>
      </c>
      <c r="S10" s="3">
        <f t="shared" si="3"/>
        <v>6496.5</v>
      </c>
      <c r="T10" s="24"/>
      <c r="U10" s="24"/>
      <c r="V10" s="3"/>
      <c r="W10" s="25"/>
      <c r="X10" s="25"/>
      <c r="Y10" s="25"/>
      <c r="Z10" s="25"/>
      <c r="AA10" s="25"/>
      <c r="AB10" s="3" t="str">
        <f>IF(Caja_Finanzas[[#This Row],[fecha]]&gt;0,TEXT(Caja_Finanzas[[#This Row],[fecha]],"mmmm"),0)</f>
        <v>Enero</v>
      </c>
    </row>
    <row r="11" spans="1:28" ht="36" x14ac:dyDescent="0.3">
      <c r="A11" s="2">
        <f>IF(Caja_Finanzas[[#This Row],[tipo_r]]="R",COUNTIFS($C$1:$C10,"R")+1,A10)</f>
        <v>10</v>
      </c>
      <c r="B11" s="19" t="str">
        <f t="shared" si="4"/>
        <v>C-Finanzas</v>
      </c>
      <c r="C11" s="3" t="s">
        <v>1330</v>
      </c>
      <c r="D11" s="14">
        <v>45663</v>
      </c>
      <c r="E11" s="5" t="s">
        <v>6409</v>
      </c>
      <c r="F11" s="5" t="s">
        <v>1336</v>
      </c>
      <c r="G11" s="5"/>
      <c r="H11" s="6"/>
      <c r="I11" s="6"/>
      <c r="J11" s="6"/>
      <c r="K11" s="6"/>
      <c r="L11" s="7" t="s">
        <v>6422</v>
      </c>
      <c r="M11" s="8" t="str">
        <f>"CFI"&amp;".D"&amp;TEXT(Caja_Finanzas[[#This Row],[fecha]],"DD-MM")&amp;"-"&amp;TEXT(Caja_Finanzas[[#This Row],[item]],"0000")</f>
        <v>CFI.D06-01-0010</v>
      </c>
      <c r="N11" s="8" t="str">
        <f t="shared" si="5"/>
        <v>PEN</v>
      </c>
      <c r="O11" s="13"/>
      <c r="P11" s="13">
        <v>20</v>
      </c>
      <c r="Q11" s="3">
        <f t="shared" si="1"/>
        <v>0</v>
      </c>
      <c r="R11" s="3">
        <f t="shared" si="2"/>
        <v>20</v>
      </c>
      <c r="S11" s="3">
        <f t="shared" si="3"/>
        <v>6476.5</v>
      </c>
      <c r="T11" s="24"/>
      <c r="U11" s="24"/>
      <c r="V11" s="3"/>
      <c r="W11" s="25" t="s">
        <v>1333</v>
      </c>
      <c r="X11" s="25" t="s">
        <v>6423</v>
      </c>
      <c r="Y11" s="25"/>
      <c r="Z11" s="25"/>
      <c r="AA11" s="25"/>
      <c r="AB11" s="3" t="str">
        <f>IF(Caja_Finanzas[[#This Row],[fecha]]&gt;0,TEXT(Caja_Finanzas[[#This Row],[fecha]],"mmmm"),0)</f>
        <v>Enero</v>
      </c>
    </row>
    <row r="12" spans="1:28" x14ac:dyDescent="0.3">
      <c r="A12" s="2">
        <f>IF(Caja_Finanzas[[#This Row],[tipo_r]]="R",COUNTIFS($C$1:$C11,"R")+1,A11)</f>
        <v>11</v>
      </c>
      <c r="B12" s="19" t="str">
        <f t="shared" si="4"/>
        <v>C-Finanzas</v>
      </c>
      <c r="C12" s="3" t="s">
        <v>1330</v>
      </c>
      <c r="D12" s="14">
        <v>45663</v>
      </c>
      <c r="E12" s="5" t="s">
        <v>6424</v>
      </c>
      <c r="F12" s="5" t="s">
        <v>1303</v>
      </c>
      <c r="G12" s="5"/>
      <c r="H12" s="6" t="s">
        <v>425</v>
      </c>
      <c r="I12" s="6" t="s">
        <v>119</v>
      </c>
      <c r="J12" s="6">
        <v>1</v>
      </c>
      <c r="K12" s="6">
        <v>4061</v>
      </c>
      <c r="L12" s="7" t="s">
        <v>6407</v>
      </c>
      <c r="M12" s="8" t="str">
        <f>"CFI"&amp;".D"&amp;TEXT(Caja_Finanzas[[#This Row],[fecha]],"DD-MM")&amp;"-"&amp;TEXT(Caja_Finanzas[[#This Row],[item]],"0000")</f>
        <v>CFI.D06-01-0011</v>
      </c>
      <c r="N12" s="8" t="str">
        <f t="shared" si="5"/>
        <v>PEN</v>
      </c>
      <c r="O12" s="13"/>
      <c r="P12" s="13">
        <v>60</v>
      </c>
      <c r="Q12" s="3">
        <f t="shared" si="1"/>
        <v>60</v>
      </c>
      <c r="R12" s="3">
        <f t="shared" si="2"/>
        <v>0</v>
      </c>
      <c r="S12" s="3">
        <f t="shared" si="3"/>
        <v>6536.5</v>
      </c>
      <c r="T12" s="24"/>
      <c r="U12" s="24"/>
      <c r="V12" s="3"/>
      <c r="W12" s="25"/>
      <c r="X12" s="25" t="s">
        <v>6425</v>
      </c>
      <c r="Y12" s="25"/>
      <c r="Z12" s="25"/>
      <c r="AA12" s="25"/>
      <c r="AB12" s="3" t="str">
        <f>IF(Caja_Finanzas[[#This Row],[fecha]]&gt;0,TEXT(Caja_Finanzas[[#This Row],[fecha]],"mmmm"),0)</f>
        <v>Enero</v>
      </c>
    </row>
    <row r="13" spans="1:28" ht="36" x14ac:dyDescent="0.3">
      <c r="A13" s="2">
        <f>IF(Caja_Finanzas[[#This Row],[tipo_r]]="R",COUNTIFS($C$1:$C12,"R")+1,A12)</f>
        <v>12</v>
      </c>
      <c r="B13" s="19" t="str">
        <f t="shared" si="4"/>
        <v>C-Finanzas</v>
      </c>
      <c r="C13" s="3" t="s">
        <v>1330</v>
      </c>
      <c r="D13" s="14">
        <v>45663</v>
      </c>
      <c r="E13" s="5" t="s">
        <v>6420</v>
      </c>
      <c r="F13" s="5" t="s">
        <v>1336</v>
      </c>
      <c r="G13" s="5"/>
      <c r="H13" s="6"/>
      <c r="I13" s="6"/>
      <c r="J13" s="6"/>
      <c r="K13" s="6"/>
      <c r="L13" s="7" t="s">
        <v>6426</v>
      </c>
      <c r="M13" s="8" t="str">
        <f>"CFI"&amp;".D"&amp;TEXT(Caja_Finanzas[[#This Row],[fecha]],"DD-MM")&amp;"-"&amp;TEXT(Caja_Finanzas[[#This Row],[item]],"0000")</f>
        <v>CFI.D06-01-0012</v>
      </c>
      <c r="N13" s="8" t="str">
        <f t="shared" si="5"/>
        <v>PEN</v>
      </c>
      <c r="O13" s="13"/>
      <c r="P13" s="13">
        <v>1300</v>
      </c>
      <c r="Q13" s="3">
        <f t="shared" si="1"/>
        <v>0</v>
      </c>
      <c r="R13" s="3">
        <f t="shared" si="2"/>
        <v>1300</v>
      </c>
      <c r="S13" s="3">
        <f t="shared" si="3"/>
        <v>5236.5</v>
      </c>
      <c r="T13" s="24"/>
      <c r="U13" s="24"/>
      <c r="V13" s="3"/>
      <c r="W13" s="25" t="s">
        <v>6427</v>
      </c>
      <c r="X13" s="25" t="s">
        <v>6428</v>
      </c>
      <c r="Y13" s="25"/>
      <c r="Z13" s="25"/>
      <c r="AA13" s="25"/>
      <c r="AB13" s="3" t="str">
        <f>IF(Caja_Finanzas[[#This Row],[fecha]]&gt;0,TEXT(Caja_Finanzas[[#This Row],[fecha]],"mmmm"),0)</f>
        <v>Enero</v>
      </c>
    </row>
    <row r="14" spans="1:28" ht="48" x14ac:dyDescent="0.3">
      <c r="A14" s="2">
        <f>IF(Caja_Finanzas[[#This Row],[tipo_r]]="R",COUNTIFS($C$1:$C13,"R")+1,A13)</f>
        <v>13</v>
      </c>
      <c r="B14" s="19" t="str">
        <f t="shared" si="4"/>
        <v>C-Finanzas</v>
      </c>
      <c r="C14" s="3" t="s">
        <v>1330</v>
      </c>
      <c r="D14" s="14">
        <v>45663</v>
      </c>
      <c r="E14" s="5" t="s">
        <v>6420</v>
      </c>
      <c r="F14" s="5" t="s">
        <v>1336</v>
      </c>
      <c r="G14" s="5"/>
      <c r="H14" s="6"/>
      <c r="I14" s="6"/>
      <c r="J14" s="6"/>
      <c r="K14" s="6"/>
      <c r="L14" s="7" t="s">
        <v>6429</v>
      </c>
      <c r="M14" s="8" t="str">
        <f>"CFI"&amp;".D"&amp;TEXT(Caja_Finanzas[[#This Row],[fecha]],"DD-MM")&amp;"-"&amp;TEXT(Caja_Finanzas[[#This Row],[item]],"0000")</f>
        <v>CFI.D06-01-0013</v>
      </c>
      <c r="N14" s="8" t="str">
        <f t="shared" si="5"/>
        <v>PEN</v>
      </c>
      <c r="O14" s="13"/>
      <c r="P14" s="13">
        <v>900</v>
      </c>
      <c r="Q14" s="3">
        <f t="shared" si="1"/>
        <v>0</v>
      </c>
      <c r="R14" s="3">
        <f t="shared" si="2"/>
        <v>900</v>
      </c>
      <c r="S14" s="3">
        <f t="shared" si="3"/>
        <v>4336.5</v>
      </c>
      <c r="T14" s="24"/>
      <c r="U14" s="24"/>
      <c r="V14" s="3"/>
      <c r="W14" s="25" t="s">
        <v>6430</v>
      </c>
      <c r="X14" s="25" t="s">
        <v>6431</v>
      </c>
      <c r="Y14" s="25"/>
      <c r="Z14" s="25"/>
      <c r="AA14" s="25"/>
      <c r="AB14" s="3" t="str">
        <f>IF(Caja_Finanzas[[#This Row],[fecha]]&gt;0,TEXT(Caja_Finanzas[[#This Row],[fecha]],"mmmm"),0)</f>
        <v>Enero</v>
      </c>
    </row>
    <row r="15" spans="1:28" ht="24" x14ac:dyDescent="0.3">
      <c r="A15" s="2">
        <f>IF(Caja_Finanzas[[#This Row],[tipo_r]]="R",COUNTIFS($C$1:$C14,"R")+1,A14)</f>
        <v>14</v>
      </c>
      <c r="B15" s="19" t="str">
        <f t="shared" si="4"/>
        <v>C-Finanzas</v>
      </c>
      <c r="C15" s="3" t="s">
        <v>1330</v>
      </c>
      <c r="D15" s="14">
        <v>45663</v>
      </c>
      <c r="E15" s="5" t="s">
        <v>6432</v>
      </c>
      <c r="F15" s="5" t="s">
        <v>1303</v>
      </c>
      <c r="G15" s="5"/>
      <c r="H15" s="6" t="s">
        <v>425</v>
      </c>
      <c r="I15" s="6" t="s">
        <v>119</v>
      </c>
      <c r="J15" s="6">
        <v>1</v>
      </c>
      <c r="K15" s="6">
        <v>4063</v>
      </c>
      <c r="L15" s="7" t="s">
        <v>6407</v>
      </c>
      <c r="M15" s="8" t="str">
        <f>"CFI"&amp;".D"&amp;TEXT(Caja_Finanzas[[#This Row],[fecha]],"DD-MM")&amp;"-"&amp;TEXT(Caja_Finanzas[[#This Row],[item]],"0000")</f>
        <v>CFI.D06-01-0014</v>
      </c>
      <c r="N15" s="8" t="str">
        <f t="shared" si="5"/>
        <v>PEN</v>
      </c>
      <c r="O15" s="13"/>
      <c r="P15" s="13">
        <v>135</v>
      </c>
      <c r="Q15" s="3">
        <f t="shared" si="1"/>
        <v>135</v>
      </c>
      <c r="R15" s="3">
        <f t="shared" si="2"/>
        <v>0</v>
      </c>
      <c r="S15" s="3">
        <f t="shared" si="3"/>
        <v>4471.5</v>
      </c>
      <c r="T15" s="24"/>
      <c r="U15" s="24"/>
      <c r="V15" s="3"/>
      <c r="W15" s="25"/>
      <c r="X15" s="25" t="s">
        <v>6433</v>
      </c>
      <c r="Y15" s="25"/>
      <c r="Z15" s="25"/>
      <c r="AA15" s="25"/>
      <c r="AB15" s="3" t="str">
        <f>IF(Caja_Finanzas[[#This Row],[fecha]]&gt;0,TEXT(Caja_Finanzas[[#This Row],[fecha]],"mmmm"),0)</f>
        <v>Enero</v>
      </c>
    </row>
    <row r="16" spans="1:28" ht="24" x14ac:dyDescent="0.3">
      <c r="A16" s="2">
        <f>IF(Caja_Finanzas[[#This Row],[tipo_r]]="R",COUNTIFS($C$1:$C15,"R")+1,A15)</f>
        <v>15</v>
      </c>
      <c r="B16" s="19" t="str">
        <f t="shared" si="4"/>
        <v>C-Finanzas</v>
      </c>
      <c r="C16" s="3" t="s">
        <v>1330</v>
      </c>
      <c r="D16" s="14">
        <v>45664</v>
      </c>
      <c r="E16" s="5"/>
      <c r="F16" s="5" t="s">
        <v>1336</v>
      </c>
      <c r="G16" s="5"/>
      <c r="H16" s="6"/>
      <c r="I16" s="6"/>
      <c r="J16" s="6"/>
      <c r="K16" s="6"/>
      <c r="L16" s="7" t="s">
        <v>6434</v>
      </c>
      <c r="M16" s="8" t="str">
        <f>"CFI"&amp;".D"&amp;TEXT(Caja_Finanzas[[#This Row],[fecha]],"DD-MM")&amp;"-"&amp;TEXT(Caja_Finanzas[[#This Row],[item]],"0000")</f>
        <v>CFI.D07-01-0015</v>
      </c>
      <c r="N16" s="8" t="str">
        <f t="shared" si="5"/>
        <v>PEN</v>
      </c>
      <c r="O16" s="13"/>
      <c r="P16" s="13">
        <v>120</v>
      </c>
      <c r="Q16" s="3">
        <f t="shared" si="1"/>
        <v>0</v>
      </c>
      <c r="R16" s="3">
        <f t="shared" si="2"/>
        <v>120</v>
      </c>
      <c r="S16" s="3">
        <f t="shared" si="3"/>
        <v>4351.5</v>
      </c>
      <c r="T16" s="24"/>
      <c r="U16" s="24"/>
      <c r="V16" s="3"/>
      <c r="W16" s="25"/>
      <c r="X16" s="25" t="s">
        <v>6435</v>
      </c>
      <c r="Y16" s="25"/>
      <c r="Z16" s="25"/>
      <c r="AA16" s="25"/>
      <c r="AB16" s="3" t="str">
        <f>IF(Caja_Finanzas[[#This Row],[fecha]]&gt;0,TEXT(Caja_Finanzas[[#This Row],[fecha]],"mmmm"),0)</f>
        <v>Enero</v>
      </c>
    </row>
    <row r="17" spans="1:28" ht="24" x14ac:dyDescent="0.3">
      <c r="A17" s="2">
        <f>IF(Caja_Finanzas[[#This Row],[tipo_r]]="R",COUNTIFS($C$1:$C16,"R")+1,A16)</f>
        <v>16</v>
      </c>
      <c r="B17" s="19" t="str">
        <f t="shared" si="4"/>
        <v>C-Finanzas</v>
      </c>
      <c r="C17" s="3" t="s">
        <v>1330</v>
      </c>
      <c r="D17" s="14">
        <v>45664</v>
      </c>
      <c r="E17" s="5"/>
      <c r="F17" s="5" t="s">
        <v>1336</v>
      </c>
      <c r="G17" s="5"/>
      <c r="H17" s="6"/>
      <c r="I17" s="6"/>
      <c r="J17" s="6"/>
      <c r="K17" s="6"/>
      <c r="L17" s="7" t="s">
        <v>6434</v>
      </c>
      <c r="M17" s="8" t="str">
        <f>"CFI"&amp;".D"&amp;TEXT(Caja_Finanzas[[#This Row],[fecha]],"DD-MM")&amp;"-"&amp;TEXT(Caja_Finanzas[[#This Row],[item]],"0000")</f>
        <v>CFI.D07-01-0016</v>
      </c>
      <c r="N17" s="8" t="str">
        <f t="shared" si="5"/>
        <v>PEN</v>
      </c>
      <c r="O17" s="13"/>
      <c r="P17" s="13">
        <v>180</v>
      </c>
      <c r="Q17" s="3">
        <f t="shared" si="1"/>
        <v>0</v>
      </c>
      <c r="R17" s="3">
        <f t="shared" si="2"/>
        <v>180</v>
      </c>
      <c r="S17" s="3">
        <f t="shared" si="3"/>
        <v>4171.5</v>
      </c>
      <c r="T17" s="24"/>
      <c r="U17" s="24"/>
      <c r="V17" s="3"/>
      <c r="W17" s="25"/>
      <c r="X17" s="25" t="s">
        <v>6435</v>
      </c>
      <c r="Y17" s="25"/>
      <c r="Z17" s="25"/>
      <c r="AA17" s="25"/>
      <c r="AB17" s="3" t="str">
        <f>IF(Caja_Finanzas[[#This Row],[fecha]]&gt;0,TEXT(Caja_Finanzas[[#This Row],[fecha]],"mmmm"),0)</f>
        <v>Enero</v>
      </c>
    </row>
    <row r="18" spans="1:28" ht="36" x14ac:dyDescent="0.3">
      <c r="A18" s="2">
        <f>IF(Caja_Finanzas[[#This Row],[tipo_r]]="R",COUNTIFS($C$1:$C17,"R")+1,A17)</f>
        <v>17</v>
      </c>
      <c r="B18" s="19" t="str">
        <f t="shared" si="4"/>
        <v>C-Finanzas</v>
      </c>
      <c r="C18" s="3" t="s">
        <v>1330</v>
      </c>
      <c r="D18" s="14">
        <v>45665</v>
      </c>
      <c r="E18" s="5" t="s">
        <v>6409</v>
      </c>
      <c r="F18" s="5" t="s">
        <v>1336</v>
      </c>
      <c r="G18" s="5"/>
      <c r="H18" s="6"/>
      <c r="I18" s="6"/>
      <c r="J18" s="6"/>
      <c r="K18" s="6"/>
      <c r="L18" s="7" t="s">
        <v>6436</v>
      </c>
      <c r="M18" s="8" t="str">
        <f>"CFI"&amp;".D"&amp;TEXT(Caja_Finanzas[[#This Row],[fecha]],"DD-MM")&amp;"-"&amp;TEXT(Caja_Finanzas[[#This Row],[item]],"0000")</f>
        <v>CFI.D08-01-0017</v>
      </c>
      <c r="N18" s="8" t="str">
        <f t="shared" si="5"/>
        <v>PEN</v>
      </c>
      <c r="O18" s="13"/>
      <c r="P18" s="13">
        <v>1000</v>
      </c>
      <c r="Q18" s="3">
        <f t="shared" si="1"/>
        <v>0</v>
      </c>
      <c r="R18" s="3">
        <f t="shared" si="2"/>
        <v>1000</v>
      </c>
      <c r="S18" s="3">
        <f t="shared" si="3"/>
        <v>3171.5</v>
      </c>
      <c r="T18" s="24"/>
      <c r="U18" s="24"/>
      <c r="V18" s="3"/>
      <c r="W18" s="25" t="s">
        <v>6437</v>
      </c>
      <c r="X18" s="25"/>
      <c r="Y18" s="25"/>
      <c r="Z18" s="25"/>
      <c r="AA18" s="25"/>
      <c r="AB18" s="3" t="str">
        <f>IF(Caja_Finanzas[[#This Row],[fecha]]&gt;0,TEXT(Caja_Finanzas[[#This Row],[fecha]],"mmmm"),0)</f>
        <v>Enero</v>
      </c>
    </row>
    <row r="19" spans="1:28" ht="24" x14ac:dyDescent="0.3">
      <c r="A19" s="2">
        <f>IF(Caja_Finanzas[[#This Row],[tipo_r]]="R",COUNTIFS($C$1:$C18,"R")+1,A18)</f>
        <v>18</v>
      </c>
      <c r="B19" s="19" t="str">
        <f t="shared" si="4"/>
        <v>C-Finanzas</v>
      </c>
      <c r="C19" s="3" t="s">
        <v>1330</v>
      </c>
      <c r="D19" s="14">
        <v>45665</v>
      </c>
      <c r="E19" s="5" t="s">
        <v>6418</v>
      </c>
      <c r="F19" s="5" t="s">
        <v>1336</v>
      </c>
      <c r="G19" s="5"/>
      <c r="H19" s="6"/>
      <c r="I19" s="6"/>
      <c r="J19" s="6"/>
      <c r="K19" s="6"/>
      <c r="L19" s="7" t="s">
        <v>6438</v>
      </c>
      <c r="M19" s="8" t="str">
        <f>"CFI"&amp;".D"&amp;TEXT(Caja_Finanzas[[#This Row],[fecha]],"DD-MM")&amp;"-"&amp;TEXT(Caja_Finanzas[[#This Row],[item]],"0000")</f>
        <v>CFI.D08-01-0018</v>
      </c>
      <c r="N19" s="8" t="str">
        <f t="shared" si="5"/>
        <v>PEN</v>
      </c>
      <c r="O19" s="13"/>
      <c r="P19" s="13">
        <v>1000</v>
      </c>
      <c r="Q19" s="3">
        <f t="shared" si="1"/>
        <v>0</v>
      </c>
      <c r="R19" s="3">
        <f t="shared" si="2"/>
        <v>1000</v>
      </c>
      <c r="S19" s="3">
        <f t="shared" si="3"/>
        <v>2171.5</v>
      </c>
      <c r="T19" s="24"/>
      <c r="U19" s="24"/>
      <c r="V19" s="3"/>
      <c r="W19" s="25" t="s">
        <v>806</v>
      </c>
      <c r="X19" s="25"/>
      <c r="Y19" s="25"/>
      <c r="Z19" s="25"/>
      <c r="AA19" s="25"/>
      <c r="AB19" s="3" t="str">
        <f>IF(Caja_Finanzas[[#This Row],[fecha]]&gt;0,TEXT(Caja_Finanzas[[#This Row],[fecha]],"mmmm"),0)</f>
        <v>Enero</v>
      </c>
    </row>
    <row r="20" spans="1:28" ht="24" x14ac:dyDescent="0.3">
      <c r="A20" s="2">
        <f>IF(Caja_Finanzas[[#This Row],[tipo_r]]="R",COUNTIFS($C$1:$C19,"R")+1,A19)</f>
        <v>19</v>
      </c>
      <c r="B20" s="19" t="str">
        <f t="shared" si="4"/>
        <v>C-Finanzas</v>
      </c>
      <c r="C20" s="3" t="s">
        <v>1330</v>
      </c>
      <c r="D20" s="14">
        <v>45665</v>
      </c>
      <c r="E20" s="5" t="s">
        <v>6418</v>
      </c>
      <c r="F20" s="5" t="s">
        <v>1336</v>
      </c>
      <c r="G20" s="5"/>
      <c r="H20" s="6"/>
      <c r="I20" s="6"/>
      <c r="J20" s="6"/>
      <c r="K20" s="6"/>
      <c r="L20" s="7" t="s">
        <v>6439</v>
      </c>
      <c r="M20" s="8" t="str">
        <f>"CFI"&amp;".D"&amp;TEXT(Caja_Finanzas[[#This Row],[fecha]],"DD-MM")&amp;"-"&amp;TEXT(Caja_Finanzas[[#This Row],[item]],"0000")</f>
        <v>CFI.D08-01-0019</v>
      </c>
      <c r="N20" s="8" t="str">
        <f t="shared" si="5"/>
        <v>PEN</v>
      </c>
      <c r="O20" s="13"/>
      <c r="P20" s="13">
        <v>1000</v>
      </c>
      <c r="Q20" s="3">
        <f t="shared" si="1"/>
        <v>0</v>
      </c>
      <c r="R20" s="3">
        <f t="shared" si="2"/>
        <v>1000</v>
      </c>
      <c r="S20" s="3">
        <f t="shared" si="3"/>
        <v>1171.5</v>
      </c>
      <c r="T20" s="24"/>
      <c r="U20" s="24"/>
      <c r="V20" s="3"/>
      <c r="W20" s="25" t="s">
        <v>806</v>
      </c>
      <c r="X20" s="25"/>
      <c r="Y20" s="25"/>
      <c r="Z20" s="25"/>
      <c r="AA20" s="25"/>
      <c r="AB20" s="3" t="str">
        <f>IF(Caja_Finanzas[[#This Row],[fecha]]&gt;0,TEXT(Caja_Finanzas[[#This Row],[fecha]],"mmmm"),0)</f>
        <v>Enero</v>
      </c>
    </row>
    <row r="21" spans="1:28" ht="24" x14ac:dyDescent="0.3">
      <c r="A21" s="2">
        <f>IF(Caja_Finanzas[[#This Row],[tipo_r]]="R",COUNTIFS($C$1:$C20,"R")+1,A20)</f>
        <v>20</v>
      </c>
      <c r="B21" s="19" t="str">
        <f t="shared" si="4"/>
        <v>C-Finanzas</v>
      </c>
      <c r="C21" s="3" t="s">
        <v>1330</v>
      </c>
      <c r="D21" s="14">
        <v>45665</v>
      </c>
      <c r="E21" s="5" t="s">
        <v>6418</v>
      </c>
      <c r="F21" s="5" t="s">
        <v>1336</v>
      </c>
      <c r="G21" s="5"/>
      <c r="H21" s="6"/>
      <c r="I21" s="6"/>
      <c r="J21" s="6"/>
      <c r="K21" s="6"/>
      <c r="L21" s="7" t="s">
        <v>6440</v>
      </c>
      <c r="M21" s="8" t="str">
        <f>"CFI"&amp;".D"&amp;TEXT(Caja_Finanzas[[#This Row],[fecha]],"DD-MM")&amp;"-"&amp;TEXT(Caja_Finanzas[[#This Row],[item]],"0000")</f>
        <v>CFI.D08-01-0020</v>
      </c>
      <c r="N21" s="8" t="str">
        <f t="shared" si="5"/>
        <v>PEN</v>
      </c>
      <c r="O21" s="13"/>
      <c r="P21" s="13">
        <v>1500</v>
      </c>
      <c r="Q21" s="3">
        <f t="shared" si="1"/>
        <v>0</v>
      </c>
      <c r="R21" s="3">
        <f t="shared" si="2"/>
        <v>1500</v>
      </c>
      <c r="S21" s="3">
        <f t="shared" si="3"/>
        <v>-328.5</v>
      </c>
      <c r="T21" s="24"/>
      <c r="U21" s="24"/>
      <c r="V21" s="3"/>
      <c r="W21" s="25" t="s">
        <v>809</v>
      </c>
      <c r="X21" s="25"/>
      <c r="Y21" s="25"/>
      <c r="Z21" s="25"/>
      <c r="AA21" s="25"/>
      <c r="AB21" s="3" t="str">
        <f>IF(Caja_Finanzas[[#This Row],[fecha]]&gt;0,TEXT(Caja_Finanzas[[#This Row],[fecha]],"mmmm"),0)</f>
        <v>Enero</v>
      </c>
    </row>
    <row r="22" spans="1:28" ht="24" x14ac:dyDescent="0.3">
      <c r="A22" s="2">
        <f>IF(Caja_Finanzas[[#This Row],[tipo_r]]="R",COUNTIFS($C$1:$C21,"R")+1,A21)</f>
        <v>21</v>
      </c>
      <c r="B22" s="19" t="str">
        <f t="shared" si="4"/>
        <v>C-Finanzas</v>
      </c>
      <c r="C22" s="3" t="s">
        <v>1330</v>
      </c>
      <c r="D22" s="14">
        <v>45665</v>
      </c>
      <c r="E22" s="5" t="s">
        <v>1368</v>
      </c>
      <c r="F22" s="5" t="s">
        <v>1303</v>
      </c>
      <c r="G22" s="5"/>
      <c r="H22" s="6" t="s">
        <v>425</v>
      </c>
      <c r="I22" s="6" t="s">
        <v>119</v>
      </c>
      <c r="J22" s="6">
        <v>3</v>
      </c>
      <c r="K22" s="6">
        <v>515</v>
      </c>
      <c r="L22" s="7" t="s">
        <v>6407</v>
      </c>
      <c r="M22" s="8" t="str">
        <f>"CFI"&amp;".D"&amp;TEXT(Caja_Finanzas[[#This Row],[fecha]],"DD-MM")&amp;"-"&amp;TEXT(Caja_Finanzas[[#This Row],[item]],"0000")</f>
        <v>CFI.D08-01-0021</v>
      </c>
      <c r="N22" s="8" t="str">
        <f t="shared" si="5"/>
        <v>PEN</v>
      </c>
      <c r="O22" s="13"/>
      <c r="P22" s="13">
        <v>2.9</v>
      </c>
      <c r="Q22" s="3">
        <f t="shared" si="1"/>
        <v>2.9</v>
      </c>
      <c r="R22" s="3">
        <f t="shared" si="2"/>
        <v>0</v>
      </c>
      <c r="S22" s="3">
        <f t="shared" si="3"/>
        <v>-325.60000000000002</v>
      </c>
      <c r="T22" s="24"/>
      <c r="U22" s="24"/>
      <c r="V22" s="3"/>
      <c r="W22" s="25"/>
      <c r="X22" s="25" t="s">
        <v>1369</v>
      </c>
      <c r="Y22" s="25"/>
      <c r="Z22" s="25"/>
      <c r="AA22" s="25"/>
      <c r="AB22" s="3" t="str">
        <f>IF(Caja_Finanzas[[#This Row],[fecha]]&gt;0,TEXT(Caja_Finanzas[[#This Row],[fecha]],"mmmm"),0)</f>
        <v>Enero</v>
      </c>
    </row>
    <row r="23" spans="1:28" x14ac:dyDescent="0.3">
      <c r="A23" s="2">
        <f>IF(Caja_Finanzas[[#This Row],[tipo_r]]="R",COUNTIFS($C$1:$C22,"R")+1,A22)</f>
        <v>22</v>
      </c>
      <c r="B23" s="19" t="str">
        <f t="shared" si="4"/>
        <v>C-Finanzas</v>
      </c>
      <c r="C23" s="3" t="s">
        <v>1330</v>
      </c>
      <c r="D23" s="14">
        <v>45665</v>
      </c>
      <c r="E23" s="5" t="s">
        <v>6441</v>
      </c>
      <c r="F23" s="5" t="s">
        <v>1303</v>
      </c>
      <c r="G23" s="5"/>
      <c r="H23" s="6" t="s">
        <v>425</v>
      </c>
      <c r="I23" s="6" t="s">
        <v>119</v>
      </c>
      <c r="J23" s="6">
        <v>3</v>
      </c>
      <c r="K23" s="6">
        <v>518</v>
      </c>
      <c r="L23" s="7" t="s">
        <v>6407</v>
      </c>
      <c r="M23" s="8" t="str">
        <f>"CFI"&amp;".D"&amp;TEXT(Caja_Finanzas[[#This Row],[fecha]],"DD-MM")&amp;"-"&amp;TEXT(Caja_Finanzas[[#This Row],[item]],"0000")</f>
        <v>CFI.D08-01-0022</v>
      </c>
      <c r="N23" s="8" t="str">
        <f t="shared" si="5"/>
        <v>PEN</v>
      </c>
      <c r="O23" s="13"/>
      <c r="P23" s="13">
        <v>8</v>
      </c>
      <c r="Q23" s="3">
        <f t="shared" si="1"/>
        <v>8</v>
      </c>
      <c r="R23" s="3">
        <f t="shared" si="2"/>
        <v>0</v>
      </c>
      <c r="S23" s="3">
        <f t="shared" si="3"/>
        <v>-317.60000000000002</v>
      </c>
      <c r="T23" s="24"/>
      <c r="U23" s="24"/>
      <c r="V23" s="3"/>
      <c r="W23" s="25"/>
      <c r="X23" s="25" t="s">
        <v>6442</v>
      </c>
      <c r="Y23" s="25"/>
      <c r="Z23" s="25"/>
      <c r="AA23" s="25"/>
      <c r="AB23" s="3" t="str">
        <f>IF(Caja_Finanzas[[#This Row],[fecha]]&gt;0,TEXT(Caja_Finanzas[[#This Row],[fecha]],"mmmm"),0)</f>
        <v>Enero</v>
      </c>
    </row>
    <row r="24" spans="1:28" x14ac:dyDescent="0.3">
      <c r="A24" s="2">
        <f>IF(Caja_Finanzas[[#This Row],[tipo_r]]="R",COUNTIFS($C$1:$C23,"R")+1,A23)</f>
        <v>23</v>
      </c>
      <c r="B24" s="19" t="str">
        <f t="shared" si="4"/>
        <v>C-Finanzas</v>
      </c>
      <c r="C24" s="3" t="s">
        <v>1330</v>
      </c>
      <c r="D24" s="14">
        <v>45665</v>
      </c>
      <c r="E24" s="5" t="s">
        <v>6443</v>
      </c>
      <c r="F24" s="5" t="s">
        <v>1303</v>
      </c>
      <c r="G24" s="5"/>
      <c r="H24" s="6" t="s">
        <v>425</v>
      </c>
      <c r="I24" s="6" t="s">
        <v>119</v>
      </c>
      <c r="J24" s="6">
        <v>3</v>
      </c>
      <c r="K24" s="6">
        <v>520</v>
      </c>
      <c r="L24" s="7" t="s">
        <v>6407</v>
      </c>
      <c r="M24" s="8" t="str">
        <f>"CFI"&amp;".D"&amp;TEXT(Caja_Finanzas[[#This Row],[fecha]],"DD-MM")&amp;"-"&amp;TEXT(Caja_Finanzas[[#This Row],[item]],"0000")</f>
        <v>CFI.D08-01-0023</v>
      </c>
      <c r="N24" s="8" t="str">
        <f t="shared" si="5"/>
        <v>PEN</v>
      </c>
      <c r="O24" s="13"/>
      <c r="P24" s="13">
        <v>12.3</v>
      </c>
      <c r="Q24" s="3">
        <f t="shared" si="1"/>
        <v>12.3</v>
      </c>
      <c r="R24" s="3">
        <f t="shared" si="2"/>
        <v>0</v>
      </c>
      <c r="S24" s="3">
        <f t="shared" si="3"/>
        <v>-305.3</v>
      </c>
      <c r="T24" s="24"/>
      <c r="U24" s="24"/>
      <c r="V24" s="3"/>
      <c r="W24" s="25"/>
      <c r="X24" s="25" t="s">
        <v>6444</v>
      </c>
      <c r="Y24" s="25"/>
      <c r="Z24" s="25"/>
      <c r="AA24" s="25"/>
      <c r="AB24" s="3" t="str">
        <f>IF(Caja_Finanzas[[#This Row],[fecha]]&gt;0,TEXT(Caja_Finanzas[[#This Row],[fecha]],"mmmm"),0)</f>
        <v>Enero</v>
      </c>
    </row>
    <row r="25" spans="1:28" x14ac:dyDescent="0.3">
      <c r="A25" s="2">
        <f>IF(Caja_Finanzas[[#This Row],[tipo_r]]="R",COUNTIFS($C$1:$C24,"R")+1,A24)</f>
        <v>24</v>
      </c>
      <c r="B25" s="19" t="str">
        <f t="shared" si="4"/>
        <v>C-Finanzas</v>
      </c>
      <c r="C25" s="3" t="s">
        <v>1330</v>
      </c>
      <c r="D25" s="14">
        <v>45665</v>
      </c>
      <c r="E25" s="5" t="s">
        <v>6445</v>
      </c>
      <c r="F25" s="5" t="s">
        <v>1303</v>
      </c>
      <c r="G25" s="5"/>
      <c r="H25" s="6" t="s">
        <v>425</v>
      </c>
      <c r="I25" s="6" t="s">
        <v>119</v>
      </c>
      <c r="J25" s="6">
        <v>3</v>
      </c>
      <c r="K25" s="6">
        <v>516</v>
      </c>
      <c r="L25" s="7" t="s">
        <v>6407</v>
      </c>
      <c r="M25" s="8" t="str">
        <f>"CFI"&amp;".D"&amp;TEXT(Caja_Finanzas[[#This Row],[fecha]],"DD-MM")&amp;"-"&amp;TEXT(Caja_Finanzas[[#This Row],[item]],"0000")</f>
        <v>CFI.D08-01-0024</v>
      </c>
      <c r="N25" s="8" t="str">
        <f t="shared" si="5"/>
        <v>PEN</v>
      </c>
      <c r="O25" s="13"/>
      <c r="P25" s="13">
        <v>130</v>
      </c>
      <c r="Q25" s="3">
        <f t="shared" si="1"/>
        <v>130</v>
      </c>
      <c r="R25" s="3">
        <f t="shared" si="2"/>
        <v>0</v>
      </c>
      <c r="S25" s="3">
        <f t="shared" si="3"/>
        <v>-175.3</v>
      </c>
      <c r="T25" s="24"/>
      <c r="U25" s="24"/>
      <c r="V25" s="3"/>
      <c r="W25" s="25"/>
      <c r="X25" s="25" t="s">
        <v>6446</v>
      </c>
      <c r="Y25" s="25"/>
      <c r="Z25" s="25"/>
      <c r="AA25" s="25"/>
      <c r="AB25" s="3" t="str">
        <f>IF(Caja_Finanzas[[#This Row],[fecha]]&gt;0,TEXT(Caja_Finanzas[[#This Row],[fecha]],"mmmm"),0)</f>
        <v>Enero</v>
      </c>
    </row>
    <row r="26" spans="1:28" x14ac:dyDescent="0.3">
      <c r="A26" s="2">
        <f>IF(Caja_Finanzas[[#This Row],[tipo_r]]="R",COUNTIFS($C$1:$C25,"R")+1,A25)</f>
        <v>25</v>
      </c>
      <c r="B26" s="19" t="str">
        <f t="shared" si="4"/>
        <v>C-Finanzas</v>
      </c>
      <c r="C26" s="3" t="s">
        <v>1330</v>
      </c>
      <c r="D26" s="14">
        <v>45665</v>
      </c>
      <c r="E26" s="5" t="s">
        <v>1362</v>
      </c>
      <c r="F26" s="5" t="s">
        <v>1303</v>
      </c>
      <c r="G26" s="5"/>
      <c r="H26" s="6" t="s">
        <v>425</v>
      </c>
      <c r="I26" s="6" t="s">
        <v>119</v>
      </c>
      <c r="J26" s="6">
        <v>3</v>
      </c>
      <c r="K26" s="6">
        <v>517</v>
      </c>
      <c r="L26" s="7" t="s">
        <v>6407</v>
      </c>
      <c r="M26" s="8" t="str">
        <f>"CFI"&amp;".D"&amp;TEXT(Caja_Finanzas[[#This Row],[fecha]],"DD-MM")&amp;"-"&amp;TEXT(Caja_Finanzas[[#This Row],[item]],"0000")</f>
        <v>CFI.D08-01-0025</v>
      </c>
      <c r="N26" s="8" t="str">
        <f t="shared" si="5"/>
        <v>PEN</v>
      </c>
      <c r="O26" s="13"/>
      <c r="P26" s="13">
        <v>99.8</v>
      </c>
      <c r="Q26" s="3">
        <f t="shared" si="1"/>
        <v>99.8</v>
      </c>
      <c r="R26" s="3">
        <f t="shared" si="2"/>
        <v>0</v>
      </c>
      <c r="S26" s="3">
        <f t="shared" si="3"/>
        <v>-75.500000000000014</v>
      </c>
      <c r="T26" s="24"/>
      <c r="U26" s="24"/>
      <c r="V26" s="3"/>
      <c r="W26" s="25"/>
      <c r="X26" s="25" t="s">
        <v>6447</v>
      </c>
      <c r="Y26" s="25"/>
      <c r="Z26" s="25"/>
      <c r="AA26" s="25"/>
      <c r="AB26" s="3" t="str">
        <f>IF(Caja_Finanzas[[#This Row],[fecha]]&gt;0,TEXT(Caja_Finanzas[[#This Row],[fecha]],"mmmm"),0)</f>
        <v>Enero</v>
      </c>
    </row>
    <row r="27" spans="1:28" ht="36" x14ac:dyDescent="0.3">
      <c r="A27" s="2">
        <f>IF(Caja_Finanzas[[#This Row],[tipo_r]]="R",COUNTIFS($C$1:$C26,"R")+1,A26)</f>
        <v>26</v>
      </c>
      <c r="B27" s="19" t="str">
        <f t="shared" si="4"/>
        <v>C-Finanzas</v>
      </c>
      <c r="C27" s="3" t="s">
        <v>1330</v>
      </c>
      <c r="D27" s="14">
        <v>45665</v>
      </c>
      <c r="E27" s="5" t="s">
        <v>6448</v>
      </c>
      <c r="F27" s="5" t="s">
        <v>1336</v>
      </c>
      <c r="G27" s="5"/>
      <c r="H27" s="6"/>
      <c r="I27" s="6"/>
      <c r="J27" s="6"/>
      <c r="K27" s="6"/>
      <c r="L27" s="7" t="s">
        <v>6449</v>
      </c>
      <c r="M27" s="8" t="str">
        <f>"CFI"&amp;".D"&amp;TEXT(Caja_Finanzas[[#This Row],[fecha]],"DD-MM")&amp;"-"&amp;TEXT(Caja_Finanzas[[#This Row],[item]],"0000")</f>
        <v>CFI.D08-01-0026</v>
      </c>
      <c r="N27" s="8" t="str">
        <f t="shared" si="5"/>
        <v>PEN</v>
      </c>
      <c r="O27" s="13"/>
      <c r="P27" s="13">
        <v>253</v>
      </c>
      <c r="Q27" s="3">
        <f t="shared" si="1"/>
        <v>0</v>
      </c>
      <c r="R27" s="3">
        <f t="shared" si="2"/>
        <v>253</v>
      </c>
      <c r="S27" s="3">
        <f t="shared" si="3"/>
        <v>-328.5</v>
      </c>
      <c r="T27" s="24"/>
      <c r="U27" s="24"/>
      <c r="V27" s="3"/>
      <c r="W27" s="25"/>
      <c r="X27" s="25"/>
      <c r="Y27" s="25"/>
      <c r="Z27" s="25"/>
      <c r="AA27" s="25"/>
      <c r="AB27" s="3" t="str">
        <f>IF(Caja_Finanzas[[#This Row],[fecha]]&gt;0,TEXT(Caja_Finanzas[[#This Row],[fecha]],"mmmm"),0)</f>
        <v>Enero</v>
      </c>
    </row>
    <row r="28" spans="1:28" ht="24" x14ac:dyDescent="0.3">
      <c r="A28" s="2">
        <f>IF(Caja_Finanzas[[#This Row],[tipo_r]]="R",COUNTIFS($C$1:$C27,"R")+1,A27)</f>
        <v>27</v>
      </c>
      <c r="B28" s="19" t="str">
        <f t="shared" si="4"/>
        <v>C-Finanzas</v>
      </c>
      <c r="C28" s="3" t="s">
        <v>1330</v>
      </c>
      <c r="D28" s="14">
        <v>45666</v>
      </c>
      <c r="E28" s="5" t="s">
        <v>3530</v>
      </c>
      <c r="F28" s="5" t="s">
        <v>1303</v>
      </c>
      <c r="G28" s="5"/>
      <c r="H28" s="6" t="s">
        <v>425</v>
      </c>
      <c r="I28" s="6" t="s">
        <v>119</v>
      </c>
      <c r="J28" s="6">
        <v>1</v>
      </c>
      <c r="K28" s="6">
        <v>4071</v>
      </c>
      <c r="L28" s="7" t="s">
        <v>6407</v>
      </c>
      <c r="M28" s="8" t="str">
        <f>"CFI"&amp;".D"&amp;TEXT(Caja_Finanzas[[#This Row],[fecha]],"DD-MM")&amp;"-"&amp;TEXT(Caja_Finanzas[[#This Row],[item]],"0000")</f>
        <v>CFI.D09-01-0027</v>
      </c>
      <c r="N28" s="8" t="str">
        <f t="shared" si="5"/>
        <v>PEN</v>
      </c>
      <c r="O28" s="13"/>
      <c r="P28" s="13">
        <v>800</v>
      </c>
      <c r="Q28" s="3">
        <f t="shared" si="1"/>
        <v>800</v>
      </c>
      <c r="R28" s="3">
        <f t="shared" si="2"/>
        <v>0</v>
      </c>
      <c r="S28" s="3">
        <f t="shared" si="3"/>
        <v>471.5</v>
      </c>
      <c r="T28" s="24"/>
      <c r="U28" s="24"/>
      <c r="V28" s="3"/>
      <c r="W28" s="25"/>
      <c r="X28" s="25" t="s">
        <v>6450</v>
      </c>
      <c r="Y28" s="25"/>
      <c r="Z28" s="25"/>
      <c r="AA28" s="25"/>
      <c r="AB28" s="3" t="str">
        <f>IF(Caja_Finanzas[[#This Row],[fecha]]&gt;0,TEXT(Caja_Finanzas[[#This Row],[fecha]],"mmmm"),0)</f>
        <v>Enero</v>
      </c>
    </row>
    <row r="29" spans="1:28" ht="60" x14ac:dyDescent="0.3">
      <c r="A29" s="2">
        <f>IF(Caja_Finanzas[[#This Row],[tipo_r]]="R",COUNTIFS($C$1:$C28,"R")+1,A28)</f>
        <v>28</v>
      </c>
      <c r="B29" s="19" t="str">
        <f t="shared" si="4"/>
        <v>C-Finanzas</v>
      </c>
      <c r="C29" s="3" t="s">
        <v>1330</v>
      </c>
      <c r="D29" s="14">
        <v>45666</v>
      </c>
      <c r="E29" s="5" t="s">
        <v>6451</v>
      </c>
      <c r="F29" s="5" t="s">
        <v>1336</v>
      </c>
      <c r="G29" s="5"/>
      <c r="H29" s="6"/>
      <c r="I29" s="6"/>
      <c r="J29" s="6"/>
      <c r="K29" s="6"/>
      <c r="L29" s="7" t="s">
        <v>6452</v>
      </c>
      <c r="M29" s="8" t="str">
        <f>"CFI"&amp;".D"&amp;TEXT(Caja_Finanzas[[#This Row],[fecha]],"DD-MM")&amp;"-"&amp;TEXT(Caja_Finanzas[[#This Row],[item]],"0000")</f>
        <v>CFI.D09-01-0028</v>
      </c>
      <c r="N29" s="8" t="str">
        <f t="shared" si="5"/>
        <v>PEN</v>
      </c>
      <c r="O29" s="13"/>
      <c r="P29" s="13">
        <v>61</v>
      </c>
      <c r="Q29" s="3">
        <f t="shared" si="1"/>
        <v>0</v>
      </c>
      <c r="R29" s="3">
        <f t="shared" si="2"/>
        <v>61</v>
      </c>
      <c r="S29" s="3">
        <f t="shared" si="3"/>
        <v>410.5</v>
      </c>
      <c r="T29" s="24"/>
      <c r="U29" s="24"/>
      <c r="V29" s="3"/>
      <c r="W29" s="25"/>
      <c r="X29" s="25" t="s">
        <v>6453</v>
      </c>
      <c r="Y29" s="25"/>
      <c r="Z29" s="25"/>
      <c r="AA29" s="25"/>
      <c r="AB29" s="3" t="str">
        <f>IF(Caja_Finanzas[[#This Row],[fecha]]&gt;0,TEXT(Caja_Finanzas[[#This Row],[fecha]],"mmmm"),0)</f>
        <v>Enero</v>
      </c>
    </row>
    <row r="30" spans="1:28" ht="24" x14ac:dyDescent="0.3">
      <c r="A30" s="2">
        <f>IF(Caja_Finanzas[[#This Row],[tipo_r]]="R",COUNTIFS($C$1:$C29,"R")+1,A29)</f>
        <v>29</v>
      </c>
      <c r="B30" s="19" t="str">
        <f t="shared" si="4"/>
        <v>C-Finanzas</v>
      </c>
      <c r="C30" s="3" t="s">
        <v>1330</v>
      </c>
      <c r="D30" s="14">
        <v>45667</v>
      </c>
      <c r="E30" s="5" t="s">
        <v>6409</v>
      </c>
      <c r="F30" s="5" t="s">
        <v>1336</v>
      </c>
      <c r="G30" s="5"/>
      <c r="H30" s="6"/>
      <c r="I30" s="6"/>
      <c r="J30" s="6"/>
      <c r="K30" s="6"/>
      <c r="L30" s="7" t="s">
        <v>6454</v>
      </c>
      <c r="M30" s="8" t="str">
        <f>"CFI"&amp;".D"&amp;TEXT(Caja_Finanzas[[#This Row],[fecha]],"DD-MM")&amp;"-"&amp;TEXT(Caja_Finanzas[[#This Row],[item]],"0000")</f>
        <v>CFI.D10-01-0029</v>
      </c>
      <c r="N30" s="8" t="str">
        <f t="shared" si="5"/>
        <v>PEN</v>
      </c>
      <c r="O30" s="13"/>
      <c r="P30" s="13">
        <v>30</v>
      </c>
      <c r="Q30" s="3">
        <f t="shared" si="1"/>
        <v>0</v>
      </c>
      <c r="R30" s="3">
        <f t="shared" si="2"/>
        <v>30</v>
      </c>
      <c r="S30" s="3">
        <f t="shared" si="3"/>
        <v>380.5</v>
      </c>
      <c r="T30" s="24"/>
      <c r="U30" s="24"/>
      <c r="V30" s="3"/>
      <c r="W30" s="25"/>
      <c r="X30" s="25" t="s">
        <v>6455</v>
      </c>
      <c r="Y30" s="25"/>
      <c r="Z30" s="25"/>
      <c r="AA30" s="25"/>
      <c r="AB30" s="3" t="str">
        <f>IF(Caja_Finanzas[[#This Row],[fecha]]&gt;0,TEXT(Caja_Finanzas[[#This Row],[fecha]],"mmmm"),0)</f>
        <v>Enero</v>
      </c>
    </row>
    <row r="31" spans="1:28" ht="24" x14ac:dyDescent="0.3">
      <c r="A31" s="2">
        <f>IF(Caja_Finanzas[[#This Row],[tipo_r]]="R",COUNTIFS($C$1:$C30,"R")+1,A30)</f>
        <v>30</v>
      </c>
      <c r="B31" s="19" t="str">
        <f t="shared" si="4"/>
        <v>C-Finanzas</v>
      </c>
      <c r="C31" s="3" t="s">
        <v>1330</v>
      </c>
      <c r="D31" s="14">
        <v>45667</v>
      </c>
      <c r="E31" s="5" t="s">
        <v>6456</v>
      </c>
      <c r="F31" s="5" t="s">
        <v>1336</v>
      </c>
      <c r="G31" s="5"/>
      <c r="H31" s="6"/>
      <c r="I31" s="6"/>
      <c r="J31" s="6"/>
      <c r="K31" s="6"/>
      <c r="L31" s="7" t="s">
        <v>6457</v>
      </c>
      <c r="M31" s="8" t="str">
        <f>"CFI"&amp;".D"&amp;TEXT(Caja_Finanzas[[#This Row],[fecha]],"DD-MM")&amp;"-"&amp;TEXT(Caja_Finanzas[[#This Row],[item]],"0000")</f>
        <v>CFI.D10-01-0030</v>
      </c>
      <c r="N31" s="8" t="str">
        <f t="shared" si="5"/>
        <v>PEN</v>
      </c>
      <c r="O31" s="13"/>
      <c r="P31" s="13">
        <v>23.5</v>
      </c>
      <c r="Q31" s="3">
        <f t="shared" si="1"/>
        <v>0</v>
      </c>
      <c r="R31" s="3">
        <f t="shared" si="2"/>
        <v>23.5</v>
      </c>
      <c r="S31" s="3">
        <f t="shared" si="3"/>
        <v>357</v>
      </c>
      <c r="T31" s="24"/>
      <c r="U31" s="24"/>
      <c r="V31" s="3"/>
      <c r="W31" s="25" t="s">
        <v>6458</v>
      </c>
      <c r="X31" s="25"/>
      <c r="Y31" s="25"/>
      <c r="Z31" s="25"/>
      <c r="AA31" s="25"/>
      <c r="AB31" s="3" t="str">
        <f>IF(Caja_Finanzas[[#This Row],[fecha]]&gt;0,TEXT(Caja_Finanzas[[#This Row],[fecha]],"mmmm"),0)</f>
        <v>Enero</v>
      </c>
    </row>
    <row r="32" spans="1:28" ht="24" x14ac:dyDescent="0.3">
      <c r="A32" s="2">
        <f>IF(Caja_Finanzas[[#This Row],[tipo_r]]="R",COUNTIFS($C$1:$C31,"R")+1,A31)</f>
        <v>31</v>
      </c>
      <c r="B32" s="19" t="str">
        <f t="shared" si="4"/>
        <v>C-Finanzas</v>
      </c>
      <c r="C32" s="3" t="s">
        <v>1330</v>
      </c>
      <c r="D32" s="14">
        <v>45667</v>
      </c>
      <c r="E32" s="5" t="s">
        <v>6456</v>
      </c>
      <c r="F32" s="5" t="s">
        <v>1303</v>
      </c>
      <c r="G32" s="5"/>
      <c r="H32" s="6"/>
      <c r="I32" s="6"/>
      <c r="J32" s="6"/>
      <c r="K32" s="6"/>
      <c r="L32" s="7"/>
      <c r="M32" s="8" t="str">
        <f>"CFI"&amp;".D"&amp;TEXT(Caja_Finanzas[[#This Row],[fecha]],"DD-MM")&amp;"-"&amp;TEXT(Caja_Finanzas[[#This Row],[item]],"0000")</f>
        <v>CFI.D10-01-0031</v>
      </c>
      <c r="N32" s="8" t="str">
        <f t="shared" si="5"/>
        <v>PEN</v>
      </c>
      <c r="O32" s="13"/>
      <c r="P32" s="13">
        <v>135</v>
      </c>
      <c r="Q32" s="3">
        <f t="shared" si="1"/>
        <v>135</v>
      </c>
      <c r="R32" s="3">
        <f t="shared" si="2"/>
        <v>0</v>
      </c>
      <c r="S32" s="3">
        <f t="shared" si="3"/>
        <v>492</v>
      </c>
      <c r="T32" s="24"/>
      <c r="U32" s="24"/>
      <c r="V32" s="3"/>
      <c r="W32" s="25" t="s">
        <v>425</v>
      </c>
      <c r="X32" s="25"/>
      <c r="Y32" s="25"/>
      <c r="Z32" s="25"/>
      <c r="AA32" s="25"/>
      <c r="AB32" s="3" t="str">
        <f>IF(Caja_Finanzas[[#This Row],[fecha]]&gt;0,TEXT(Caja_Finanzas[[#This Row],[fecha]],"mmmm"),0)</f>
        <v>Enero</v>
      </c>
    </row>
    <row r="33" spans="1:28" ht="24" x14ac:dyDescent="0.3">
      <c r="A33" s="2">
        <f>IF(Caja_Finanzas[[#This Row],[tipo_r]]="R",COUNTIFS($C$1:$C32,"R")+1,A32)</f>
        <v>32</v>
      </c>
      <c r="B33" s="19" t="str">
        <f t="shared" si="4"/>
        <v>C-Finanzas</v>
      </c>
      <c r="C33" s="3" t="s">
        <v>1330</v>
      </c>
      <c r="D33" s="14">
        <v>45667</v>
      </c>
      <c r="E33" s="5" t="s">
        <v>6456</v>
      </c>
      <c r="F33" s="5" t="s">
        <v>1303</v>
      </c>
      <c r="G33" s="5"/>
      <c r="H33" s="6"/>
      <c r="I33" s="6"/>
      <c r="J33" s="6"/>
      <c r="K33" s="6"/>
      <c r="L33" s="7" t="s">
        <v>6459</v>
      </c>
      <c r="M33" s="8" t="str">
        <f>"CFI"&amp;".D"&amp;TEXT(Caja_Finanzas[[#This Row],[fecha]],"DD-MM")&amp;"-"&amp;TEXT(Caja_Finanzas[[#This Row],[item]],"0000")</f>
        <v>CFI.D10-01-0032</v>
      </c>
      <c r="N33" s="8" t="str">
        <f t="shared" si="5"/>
        <v>PEN</v>
      </c>
      <c r="O33" s="13"/>
      <c r="P33" s="13">
        <v>25</v>
      </c>
      <c r="Q33" s="3">
        <f t="shared" si="1"/>
        <v>25</v>
      </c>
      <c r="R33" s="3">
        <f t="shared" si="2"/>
        <v>0</v>
      </c>
      <c r="S33" s="3">
        <f t="shared" si="3"/>
        <v>517</v>
      </c>
      <c r="T33" s="24"/>
      <c r="U33" s="24"/>
      <c r="V33" s="3"/>
      <c r="W33" s="25" t="s">
        <v>425</v>
      </c>
      <c r="X33" s="25"/>
      <c r="Y33" s="25"/>
      <c r="Z33" s="25"/>
      <c r="AA33" s="25"/>
      <c r="AB33" s="3" t="str">
        <f>IF(Caja_Finanzas[[#This Row],[fecha]]&gt;0,TEXT(Caja_Finanzas[[#This Row],[fecha]],"mmmm"),0)</f>
        <v>Enero</v>
      </c>
    </row>
    <row r="34" spans="1:28" ht="24" x14ac:dyDescent="0.3">
      <c r="A34" s="2">
        <f>IF(Caja_Finanzas[[#This Row],[tipo_r]]="R",COUNTIFS($C$1:$C33,"R")+1,A33)</f>
        <v>33</v>
      </c>
      <c r="B34" s="19" t="str">
        <f t="shared" si="4"/>
        <v>C-Finanzas</v>
      </c>
      <c r="C34" s="3" t="s">
        <v>1330</v>
      </c>
      <c r="D34" s="14">
        <v>45670</v>
      </c>
      <c r="E34" s="5" t="s">
        <v>3530</v>
      </c>
      <c r="F34" s="5" t="s">
        <v>1303</v>
      </c>
      <c r="G34" s="5"/>
      <c r="H34" s="6" t="s">
        <v>425</v>
      </c>
      <c r="I34" s="6" t="s">
        <v>119</v>
      </c>
      <c r="J34" s="6">
        <v>1</v>
      </c>
      <c r="K34" s="6">
        <v>4071</v>
      </c>
      <c r="L34" s="7" t="s">
        <v>6118</v>
      </c>
      <c r="M34" s="8" t="str">
        <f>"CFI"&amp;".D"&amp;TEXT(Caja_Finanzas[[#This Row],[fecha]],"DD-MM")&amp;"-"&amp;TEXT(Caja_Finanzas[[#This Row],[item]],"0000")</f>
        <v>CFI.D13-01-0033</v>
      </c>
      <c r="N34" s="8" t="str">
        <f t="shared" si="5"/>
        <v>PEN</v>
      </c>
      <c r="O34" s="13"/>
      <c r="P34" s="13">
        <v>2260</v>
      </c>
      <c r="Q34" s="3">
        <f t="shared" si="1"/>
        <v>2260</v>
      </c>
      <c r="R34" s="3">
        <f t="shared" si="2"/>
        <v>0</v>
      </c>
      <c r="S34" s="3">
        <f t="shared" si="3"/>
        <v>2777</v>
      </c>
      <c r="T34" s="24"/>
      <c r="U34" s="24"/>
      <c r="V34" s="3"/>
      <c r="W34" s="25"/>
      <c r="X34" s="25" t="s">
        <v>6450</v>
      </c>
      <c r="Y34" s="25"/>
      <c r="Z34" s="25"/>
      <c r="AA34" s="25"/>
      <c r="AB34" s="3" t="str">
        <f>IF(Caja_Finanzas[[#This Row],[fecha]]&gt;0,TEXT(Caja_Finanzas[[#This Row],[fecha]],"mmmm"),0)</f>
        <v>Enero</v>
      </c>
    </row>
    <row r="35" spans="1:28" ht="24" x14ac:dyDescent="0.3">
      <c r="A35" s="2">
        <f>IF(Caja_Finanzas[[#This Row],[tipo_r]]="R",COUNTIFS($C$1:$C34,"R")+1,A34)</f>
        <v>34</v>
      </c>
      <c r="B35" s="19" t="str">
        <f t="shared" si="4"/>
        <v>C-Finanzas</v>
      </c>
      <c r="C35" s="3" t="s">
        <v>1330</v>
      </c>
      <c r="D35" s="14">
        <v>45670</v>
      </c>
      <c r="E35" s="5" t="s">
        <v>6460</v>
      </c>
      <c r="F35" s="5" t="s">
        <v>1336</v>
      </c>
      <c r="G35" s="5"/>
      <c r="H35" s="6"/>
      <c r="I35" s="6"/>
      <c r="J35" s="6"/>
      <c r="K35" s="6"/>
      <c r="L35" s="7" t="s">
        <v>6461</v>
      </c>
      <c r="M35" s="8" t="str">
        <f>"CFI"&amp;".D"&amp;TEXT(Caja_Finanzas[[#This Row],[fecha]],"DD-MM")&amp;"-"&amp;TEXT(Caja_Finanzas[[#This Row],[item]],"0000")</f>
        <v>CFI.D13-01-0034</v>
      </c>
      <c r="N35" s="8" t="str">
        <f t="shared" si="5"/>
        <v>PEN</v>
      </c>
      <c r="O35" s="13"/>
      <c r="P35" s="13">
        <v>22.8</v>
      </c>
      <c r="Q35" s="3">
        <f t="shared" si="1"/>
        <v>0</v>
      </c>
      <c r="R35" s="3">
        <f t="shared" si="2"/>
        <v>22.8</v>
      </c>
      <c r="S35" s="3">
        <f t="shared" si="3"/>
        <v>2754.2</v>
      </c>
      <c r="T35" s="24"/>
      <c r="U35" s="24"/>
      <c r="V35" s="3"/>
      <c r="W35" s="25" t="s">
        <v>6462</v>
      </c>
      <c r="X35" s="25" t="s">
        <v>6463</v>
      </c>
      <c r="Y35" s="25"/>
      <c r="Z35" s="25"/>
      <c r="AA35" s="25"/>
      <c r="AB35" s="3" t="str">
        <f>IF(Caja_Finanzas[[#This Row],[fecha]]&gt;0,TEXT(Caja_Finanzas[[#This Row],[fecha]],"mmmm"),0)</f>
        <v>Enero</v>
      </c>
    </row>
    <row r="36" spans="1:28" ht="24" x14ac:dyDescent="0.3">
      <c r="A36" s="2">
        <f>IF(Caja_Finanzas[[#This Row],[tipo_r]]="R",COUNTIFS($C$1:$C35,"R")+1,A35)</f>
        <v>35</v>
      </c>
      <c r="B36" s="19" t="str">
        <f t="shared" si="4"/>
        <v>C-Finanzas</v>
      </c>
      <c r="C36" s="3" t="s">
        <v>1330</v>
      </c>
      <c r="D36" s="14">
        <v>45670</v>
      </c>
      <c r="E36" s="5" t="s">
        <v>2374</v>
      </c>
      <c r="F36" s="5" t="s">
        <v>1303</v>
      </c>
      <c r="G36" s="5"/>
      <c r="H36" s="6" t="s">
        <v>425</v>
      </c>
      <c r="I36" s="6" t="s">
        <v>119</v>
      </c>
      <c r="J36" s="6">
        <v>1</v>
      </c>
      <c r="K36" s="6">
        <v>2847</v>
      </c>
      <c r="L36" s="7" t="s">
        <v>6118</v>
      </c>
      <c r="M36" s="8" t="str">
        <f>"CFI"&amp;".D"&amp;TEXT(Caja_Finanzas[[#This Row],[fecha]],"DD-MM")&amp;"-"&amp;TEXT(Caja_Finanzas[[#This Row],[item]],"0000")</f>
        <v>CFI.D13-01-0035</v>
      </c>
      <c r="N36" s="8" t="str">
        <f t="shared" si="5"/>
        <v>PEN</v>
      </c>
      <c r="O36" s="13"/>
      <c r="P36" s="13">
        <v>300</v>
      </c>
      <c r="Q36" s="3">
        <f t="shared" si="1"/>
        <v>300</v>
      </c>
      <c r="R36" s="3">
        <f t="shared" si="2"/>
        <v>0</v>
      </c>
      <c r="S36" s="3">
        <f t="shared" si="3"/>
        <v>3054.2</v>
      </c>
      <c r="T36" s="24"/>
      <c r="U36" s="24"/>
      <c r="V36" s="3"/>
      <c r="W36" s="25"/>
      <c r="X36" s="25" t="s">
        <v>6464</v>
      </c>
      <c r="Y36" s="25"/>
      <c r="Z36" s="25"/>
      <c r="AA36" s="25"/>
      <c r="AB36" s="3" t="str">
        <f>IF(Caja_Finanzas[[#This Row],[fecha]]&gt;0,TEXT(Caja_Finanzas[[#This Row],[fecha]],"mmmm"),0)</f>
        <v>Enero</v>
      </c>
    </row>
    <row r="37" spans="1:28" ht="24" x14ac:dyDescent="0.3">
      <c r="A37" s="2">
        <f>IF(Caja_Finanzas[[#This Row],[tipo_r]]="R",COUNTIFS($C$1:$C36,"R")+1,A36)</f>
        <v>36</v>
      </c>
      <c r="B37" s="19" t="str">
        <f t="shared" si="4"/>
        <v>C-Finanzas</v>
      </c>
      <c r="C37" s="3" t="s">
        <v>1330</v>
      </c>
      <c r="D37" s="14">
        <v>45670</v>
      </c>
      <c r="E37" s="5" t="s">
        <v>6465</v>
      </c>
      <c r="F37" s="5" t="s">
        <v>1336</v>
      </c>
      <c r="G37" s="5"/>
      <c r="H37" s="6"/>
      <c r="I37" s="6"/>
      <c r="J37" s="6"/>
      <c r="K37" s="6"/>
      <c r="L37" s="7" t="s">
        <v>6466</v>
      </c>
      <c r="M37" s="8" t="str">
        <f>"CFI"&amp;".D"&amp;TEXT(Caja_Finanzas[[#This Row],[fecha]],"DD-MM")&amp;"-"&amp;TEXT(Caja_Finanzas[[#This Row],[item]],"0000")</f>
        <v>CFI.D13-01-0036</v>
      </c>
      <c r="N37" s="8" t="str">
        <f t="shared" si="5"/>
        <v>PEN</v>
      </c>
      <c r="O37" s="13"/>
      <c r="P37" s="13">
        <v>284.5</v>
      </c>
      <c r="Q37" s="3">
        <f t="shared" si="1"/>
        <v>0</v>
      </c>
      <c r="R37" s="3">
        <f t="shared" si="2"/>
        <v>284.5</v>
      </c>
      <c r="S37" s="3">
        <f t="shared" si="3"/>
        <v>2769.7</v>
      </c>
      <c r="T37" s="24"/>
      <c r="U37" s="24"/>
      <c r="V37" s="3"/>
      <c r="W37" s="25" t="s">
        <v>6467</v>
      </c>
      <c r="X37" s="25" t="s">
        <v>6468</v>
      </c>
      <c r="Y37" s="25"/>
      <c r="Z37" s="25"/>
      <c r="AA37" s="25"/>
      <c r="AB37" s="3" t="str">
        <f>IF(Caja_Finanzas[[#This Row],[fecha]]&gt;0,TEXT(Caja_Finanzas[[#This Row],[fecha]],"mmmm"),0)</f>
        <v>Enero</v>
      </c>
    </row>
    <row r="38" spans="1:28" ht="24" x14ac:dyDescent="0.3">
      <c r="A38" s="2">
        <f>IF(Caja_Finanzas[[#This Row],[tipo_r]]="R",COUNTIFS($C$1:$C37,"R")+1,A37)</f>
        <v>37</v>
      </c>
      <c r="B38" s="19" t="str">
        <f t="shared" si="4"/>
        <v>C-Finanzas</v>
      </c>
      <c r="C38" s="3" t="s">
        <v>1330</v>
      </c>
      <c r="D38" s="14">
        <v>45670</v>
      </c>
      <c r="E38" s="5" t="s">
        <v>6418</v>
      </c>
      <c r="F38" s="5" t="s">
        <v>1336</v>
      </c>
      <c r="G38" s="5"/>
      <c r="H38" s="6" t="s">
        <v>809</v>
      </c>
      <c r="I38" s="6"/>
      <c r="J38" s="6"/>
      <c r="K38" s="6"/>
      <c r="L38" s="7" t="s">
        <v>6469</v>
      </c>
      <c r="M38" s="8" t="str">
        <f>"CFI"&amp;".D"&amp;TEXT(Caja_Finanzas[[#This Row],[fecha]],"DD-MM")&amp;"-"&amp;TEXT(Caja_Finanzas[[#This Row],[item]],"0000")</f>
        <v>CFI.D13-01-0037</v>
      </c>
      <c r="N38" s="8" t="str">
        <f t="shared" si="5"/>
        <v>PEN</v>
      </c>
      <c r="O38" s="13"/>
      <c r="P38" s="13">
        <v>1000</v>
      </c>
      <c r="Q38" s="3">
        <f t="shared" si="1"/>
        <v>0</v>
      </c>
      <c r="R38" s="3">
        <f t="shared" si="2"/>
        <v>1000</v>
      </c>
      <c r="S38" s="3">
        <f t="shared" si="3"/>
        <v>1769.6999999999998</v>
      </c>
      <c r="T38" s="24"/>
      <c r="U38" s="24"/>
      <c r="V38" s="3"/>
      <c r="W38" s="25"/>
      <c r="X38" s="25"/>
      <c r="Y38" s="25"/>
      <c r="Z38" s="25"/>
      <c r="AA38" s="25"/>
      <c r="AB38" s="3" t="str">
        <f>IF(Caja_Finanzas[[#This Row],[fecha]]&gt;0,TEXT(Caja_Finanzas[[#This Row],[fecha]],"mmmm"),0)</f>
        <v>Enero</v>
      </c>
    </row>
    <row r="39" spans="1:28" ht="36" x14ac:dyDescent="0.3">
      <c r="A39" s="2">
        <f>IF(Caja_Finanzas[[#This Row],[tipo_r]]="R",COUNTIFS($C$1:$C38,"R")+1,A38)</f>
        <v>38</v>
      </c>
      <c r="B39" s="19" t="str">
        <f t="shared" si="4"/>
        <v>C-Finanzas</v>
      </c>
      <c r="C39" s="3" t="s">
        <v>1330</v>
      </c>
      <c r="D39" s="14">
        <v>45672</v>
      </c>
      <c r="E39" s="5" t="s">
        <v>6420</v>
      </c>
      <c r="F39" s="5" t="s">
        <v>1336</v>
      </c>
      <c r="G39" s="5"/>
      <c r="H39" s="6"/>
      <c r="I39" s="6"/>
      <c r="J39" s="6"/>
      <c r="K39" s="6"/>
      <c r="L39" s="7" t="s">
        <v>6470</v>
      </c>
      <c r="M39" s="8" t="str">
        <f>"CFI"&amp;".D"&amp;TEXT(Caja_Finanzas[[#This Row],[fecha]],"DD-MM")&amp;"-"&amp;TEXT(Caja_Finanzas[[#This Row],[item]],"0000")</f>
        <v>CFI.D15-01-0038</v>
      </c>
      <c r="N39" s="8" t="str">
        <f t="shared" si="5"/>
        <v>PEN</v>
      </c>
      <c r="O39" s="13"/>
      <c r="P39" s="13">
        <v>50</v>
      </c>
      <c r="Q39" s="3">
        <f t="shared" si="1"/>
        <v>0</v>
      </c>
      <c r="R39" s="3">
        <f t="shared" si="2"/>
        <v>50</v>
      </c>
      <c r="S39" s="3">
        <f t="shared" si="3"/>
        <v>1719.6999999999998</v>
      </c>
      <c r="T39" s="24"/>
      <c r="U39" s="24"/>
      <c r="V39" s="3"/>
      <c r="W39" s="25" t="s">
        <v>6471</v>
      </c>
      <c r="X39" s="25" t="s">
        <v>6472</v>
      </c>
      <c r="Y39" s="25"/>
      <c r="Z39" s="25"/>
      <c r="AA39" s="25"/>
      <c r="AB39" s="3" t="str">
        <f>IF(Caja_Finanzas[[#This Row],[fecha]]&gt;0,TEXT(Caja_Finanzas[[#This Row],[fecha]],"mmmm"),0)</f>
        <v>Enero</v>
      </c>
    </row>
    <row r="40" spans="1:28" ht="48" x14ac:dyDescent="0.3">
      <c r="A40" s="2">
        <f>IF(Caja_Finanzas[[#This Row],[tipo_r]]="R",COUNTIFS($C$1:$C39,"R")+1,A39)</f>
        <v>39</v>
      </c>
      <c r="B40" s="19" t="str">
        <f t="shared" si="4"/>
        <v>C-Finanzas</v>
      </c>
      <c r="C40" s="3" t="s">
        <v>1330</v>
      </c>
      <c r="D40" s="14">
        <v>45672</v>
      </c>
      <c r="E40" s="5" t="s">
        <v>6420</v>
      </c>
      <c r="F40" s="5" t="s">
        <v>1336</v>
      </c>
      <c r="G40" s="5"/>
      <c r="H40" s="6"/>
      <c r="I40" s="6"/>
      <c r="J40" s="6"/>
      <c r="K40" s="6"/>
      <c r="L40" s="7" t="s">
        <v>6473</v>
      </c>
      <c r="M40" s="8" t="str">
        <f>"CFI"&amp;".D"&amp;TEXT(Caja_Finanzas[[#This Row],[fecha]],"DD-MM")&amp;"-"&amp;TEXT(Caja_Finanzas[[#This Row],[item]],"0000")</f>
        <v>CFI.D15-01-0039</v>
      </c>
      <c r="N40" s="8" t="str">
        <f t="shared" si="5"/>
        <v>PEN</v>
      </c>
      <c r="O40" s="13"/>
      <c r="P40" s="13">
        <v>250</v>
      </c>
      <c r="Q40" s="3">
        <f t="shared" si="1"/>
        <v>0</v>
      </c>
      <c r="R40" s="3">
        <f t="shared" si="2"/>
        <v>250</v>
      </c>
      <c r="S40" s="3">
        <f t="shared" si="3"/>
        <v>1469.6999999999998</v>
      </c>
      <c r="T40" s="24"/>
      <c r="U40" s="24"/>
      <c r="V40" s="3"/>
      <c r="W40" s="25" t="s">
        <v>6474</v>
      </c>
      <c r="X40" s="25" t="s">
        <v>6475</v>
      </c>
      <c r="Y40" s="25"/>
      <c r="Z40" s="25"/>
      <c r="AA40" s="25"/>
      <c r="AB40" s="3" t="str">
        <f>IF(Caja_Finanzas[[#This Row],[fecha]]&gt;0,TEXT(Caja_Finanzas[[#This Row],[fecha]],"mmmm"),0)</f>
        <v>Enero</v>
      </c>
    </row>
    <row r="41" spans="1:28" ht="48" x14ac:dyDescent="0.3">
      <c r="A41" s="2">
        <f>IF(Caja_Finanzas[[#This Row],[tipo_r]]="R",COUNTIFS($C$1:$C40,"R")+1,A40)</f>
        <v>40</v>
      </c>
      <c r="B41" s="19" t="str">
        <f t="shared" si="4"/>
        <v>C-Finanzas</v>
      </c>
      <c r="C41" s="3" t="s">
        <v>1330</v>
      </c>
      <c r="D41" s="14">
        <v>45672</v>
      </c>
      <c r="E41" s="5" t="s">
        <v>6420</v>
      </c>
      <c r="F41" s="5" t="s">
        <v>1336</v>
      </c>
      <c r="G41" s="5"/>
      <c r="H41" s="6"/>
      <c r="I41" s="6"/>
      <c r="J41" s="6"/>
      <c r="K41" s="6"/>
      <c r="L41" s="7" t="s">
        <v>6476</v>
      </c>
      <c r="M41" s="8" t="str">
        <f>"CFI"&amp;".D"&amp;TEXT(Caja_Finanzas[[#This Row],[fecha]],"DD-MM")&amp;"-"&amp;TEXT(Caja_Finanzas[[#This Row],[item]],"0000")</f>
        <v>CFI.D15-01-0040</v>
      </c>
      <c r="N41" s="8" t="str">
        <f t="shared" si="5"/>
        <v>PEN</v>
      </c>
      <c r="O41" s="13"/>
      <c r="P41" s="13">
        <v>300</v>
      </c>
      <c r="Q41" s="3">
        <f t="shared" si="1"/>
        <v>0</v>
      </c>
      <c r="R41" s="3">
        <f t="shared" si="2"/>
        <v>300</v>
      </c>
      <c r="S41" s="3">
        <f t="shared" si="3"/>
        <v>1169.6999999999998</v>
      </c>
      <c r="T41" s="24"/>
      <c r="U41" s="24"/>
      <c r="V41" s="3"/>
      <c r="W41" s="25" t="s">
        <v>6474</v>
      </c>
      <c r="X41" s="25" t="s">
        <v>6477</v>
      </c>
      <c r="Y41" s="25"/>
      <c r="Z41" s="25"/>
      <c r="AA41" s="25"/>
      <c r="AB41" s="3" t="str">
        <f>IF(Caja_Finanzas[[#This Row],[fecha]]&gt;0,TEXT(Caja_Finanzas[[#This Row],[fecha]],"mmmm"),0)</f>
        <v>Enero</v>
      </c>
    </row>
    <row r="42" spans="1:28" ht="48" x14ac:dyDescent="0.3">
      <c r="A42" s="2">
        <f>IF(Caja_Finanzas[[#This Row],[tipo_r]]="R",COUNTIFS($C$1:$C41,"R")+1,A41)</f>
        <v>41</v>
      </c>
      <c r="B42" s="19" t="str">
        <f t="shared" si="4"/>
        <v>C-Finanzas</v>
      </c>
      <c r="C42" s="3" t="s">
        <v>1330</v>
      </c>
      <c r="D42" s="14">
        <v>45672</v>
      </c>
      <c r="E42" s="5" t="s">
        <v>6420</v>
      </c>
      <c r="F42" s="5" t="s">
        <v>1336</v>
      </c>
      <c r="G42" s="5"/>
      <c r="H42" s="6"/>
      <c r="I42" s="6"/>
      <c r="J42" s="6"/>
      <c r="K42" s="6"/>
      <c r="L42" s="7" t="s">
        <v>6478</v>
      </c>
      <c r="M42" s="8" t="str">
        <f>"CFI"&amp;".D"&amp;TEXT(Caja_Finanzas[[#This Row],[fecha]],"DD-MM")&amp;"-"&amp;TEXT(Caja_Finanzas[[#This Row],[item]],"0000")</f>
        <v>CFI.D15-01-0041</v>
      </c>
      <c r="N42" s="8" t="str">
        <f t="shared" si="5"/>
        <v>PEN</v>
      </c>
      <c r="O42" s="13"/>
      <c r="P42" s="13">
        <v>250</v>
      </c>
      <c r="Q42" s="3">
        <f t="shared" si="1"/>
        <v>0</v>
      </c>
      <c r="R42" s="3">
        <f t="shared" si="2"/>
        <v>250</v>
      </c>
      <c r="S42" s="3">
        <f t="shared" si="3"/>
        <v>919.69999999999982</v>
      </c>
      <c r="T42" s="24"/>
      <c r="U42" s="24"/>
      <c r="V42" s="3"/>
      <c r="W42" s="25" t="s">
        <v>6474</v>
      </c>
      <c r="X42" s="25" t="s">
        <v>6479</v>
      </c>
      <c r="Y42" s="25"/>
      <c r="Z42" s="25"/>
      <c r="AA42" s="25"/>
      <c r="AB42" s="3" t="str">
        <f>IF(Caja_Finanzas[[#This Row],[fecha]]&gt;0,TEXT(Caja_Finanzas[[#This Row],[fecha]],"mmmm"),0)</f>
        <v>Enero</v>
      </c>
    </row>
    <row r="43" spans="1:28" x14ac:dyDescent="0.3">
      <c r="A43" s="2">
        <f>IF(Caja_Finanzas[[#This Row],[tipo_r]]="R",COUNTIFS($C$1:$C42,"R")+1,A42)</f>
        <v>42</v>
      </c>
      <c r="B43" s="19" t="str">
        <f t="shared" si="4"/>
        <v>C-Finanzas</v>
      </c>
      <c r="C43" s="3" t="s">
        <v>1330</v>
      </c>
      <c r="D43" s="14">
        <v>45672</v>
      </c>
      <c r="E43" s="5" t="s">
        <v>2800</v>
      </c>
      <c r="F43" s="5" t="s">
        <v>1303</v>
      </c>
      <c r="G43" s="5"/>
      <c r="H43" s="6" t="s">
        <v>425</v>
      </c>
      <c r="I43" s="6" t="s">
        <v>119</v>
      </c>
      <c r="J43" s="6">
        <v>1</v>
      </c>
      <c r="K43" s="6">
        <v>3892</v>
      </c>
      <c r="L43" s="7" t="s">
        <v>6118</v>
      </c>
      <c r="M43" s="8" t="str">
        <f>"CFI"&amp;".D"&amp;TEXT(Caja_Finanzas[[#This Row],[fecha]],"DD-MM")&amp;"-"&amp;TEXT(Caja_Finanzas[[#This Row],[item]],"0000")</f>
        <v>CFI.D15-01-0042</v>
      </c>
      <c r="N43" s="8" t="str">
        <f t="shared" si="5"/>
        <v>PEN</v>
      </c>
      <c r="O43" s="13"/>
      <c r="P43" s="13">
        <v>258</v>
      </c>
      <c r="Q43" s="3">
        <f t="shared" si="1"/>
        <v>258</v>
      </c>
      <c r="R43" s="3">
        <f t="shared" si="2"/>
        <v>0</v>
      </c>
      <c r="S43" s="3">
        <f t="shared" si="3"/>
        <v>1177.6999999999998</v>
      </c>
      <c r="T43" s="24"/>
      <c r="U43" s="24"/>
      <c r="V43" s="3"/>
      <c r="W43" s="25"/>
      <c r="X43" s="25" t="s">
        <v>6480</v>
      </c>
      <c r="Y43" s="25"/>
      <c r="Z43" s="25"/>
      <c r="AA43" s="25"/>
      <c r="AB43" s="3" t="str">
        <f>IF(Caja_Finanzas[[#This Row],[fecha]]&gt;0,TEXT(Caja_Finanzas[[#This Row],[fecha]],"mmmm"),0)</f>
        <v>Enero</v>
      </c>
    </row>
    <row r="44" spans="1:28" x14ac:dyDescent="0.3">
      <c r="A44" s="2">
        <f>IF(Caja_Finanzas[[#This Row],[tipo_r]]="R",COUNTIFS($C$1:$C43,"R")+1,A43)</f>
        <v>43</v>
      </c>
      <c r="B44" s="19" t="str">
        <f t="shared" si="4"/>
        <v>C-Finanzas</v>
      </c>
      <c r="C44" s="3" t="s">
        <v>1330</v>
      </c>
      <c r="D44" s="14">
        <v>45672</v>
      </c>
      <c r="E44" s="5" t="s">
        <v>2800</v>
      </c>
      <c r="F44" s="5" t="s">
        <v>1303</v>
      </c>
      <c r="G44" s="5"/>
      <c r="H44" s="6" t="s">
        <v>425</v>
      </c>
      <c r="I44" s="6" t="s">
        <v>119</v>
      </c>
      <c r="J44" s="6">
        <v>1</v>
      </c>
      <c r="K44" s="6">
        <v>4028</v>
      </c>
      <c r="L44" s="7" t="s">
        <v>6118</v>
      </c>
      <c r="M44" s="8" t="str">
        <f>"CFI"&amp;".D"&amp;TEXT(Caja_Finanzas[[#This Row],[fecha]],"DD-MM")&amp;"-"&amp;TEXT(Caja_Finanzas[[#This Row],[item]],"0000")</f>
        <v>CFI.D15-01-0043</v>
      </c>
      <c r="N44" s="8" t="str">
        <f t="shared" si="5"/>
        <v>PEN</v>
      </c>
      <c r="O44" s="13"/>
      <c r="P44" s="13">
        <v>63</v>
      </c>
      <c r="Q44" s="3">
        <f t="shared" si="1"/>
        <v>63</v>
      </c>
      <c r="R44" s="3">
        <f t="shared" si="2"/>
        <v>0</v>
      </c>
      <c r="S44" s="3">
        <f t="shared" si="3"/>
        <v>1240.6999999999998</v>
      </c>
      <c r="T44" s="24"/>
      <c r="U44" s="24"/>
      <c r="V44" s="3"/>
      <c r="W44" s="25"/>
      <c r="X44" s="25" t="s">
        <v>6481</v>
      </c>
      <c r="Y44" s="25"/>
      <c r="Z44" s="25"/>
      <c r="AA44" s="25"/>
      <c r="AB44" s="3" t="str">
        <f>IF(Caja_Finanzas[[#This Row],[fecha]]&gt;0,TEXT(Caja_Finanzas[[#This Row],[fecha]],"mmmm"),0)</f>
        <v>Enero</v>
      </c>
    </row>
    <row r="45" spans="1:28" ht="24" x14ac:dyDescent="0.3">
      <c r="A45" s="2">
        <f>IF(Caja_Finanzas[[#This Row],[tipo_r]]="R",COUNTIFS($C$1:$C44,"R")+1,A44)</f>
        <v>44</v>
      </c>
      <c r="B45" s="19" t="str">
        <f t="shared" si="4"/>
        <v>C-Finanzas</v>
      </c>
      <c r="C45" s="3" t="s">
        <v>1330</v>
      </c>
      <c r="D45" s="14">
        <v>45672</v>
      </c>
      <c r="E45" s="5" t="s">
        <v>1669</v>
      </c>
      <c r="F45" s="5" t="s">
        <v>1303</v>
      </c>
      <c r="G45" s="5"/>
      <c r="H45" s="6" t="s">
        <v>425</v>
      </c>
      <c r="I45" s="6" t="s">
        <v>119</v>
      </c>
      <c r="J45" s="6">
        <v>1</v>
      </c>
      <c r="K45" s="6">
        <v>4177</v>
      </c>
      <c r="L45" s="7" t="s">
        <v>6482</v>
      </c>
      <c r="M45" s="8" t="str">
        <f>"CFI"&amp;".D"&amp;TEXT(Caja_Finanzas[[#This Row],[fecha]],"DD-MM")&amp;"-"&amp;TEXT(Caja_Finanzas[[#This Row],[item]],"0000")</f>
        <v>CFI.D15-01-0044</v>
      </c>
      <c r="N45" s="8" t="str">
        <f t="shared" si="5"/>
        <v>PEN</v>
      </c>
      <c r="O45" s="13"/>
      <c r="P45" s="13">
        <v>2333</v>
      </c>
      <c r="Q45" s="3">
        <f t="shared" si="1"/>
        <v>2333</v>
      </c>
      <c r="R45" s="3">
        <f t="shared" si="2"/>
        <v>0</v>
      </c>
      <c r="S45" s="3">
        <f t="shared" si="3"/>
        <v>3573.7</v>
      </c>
      <c r="T45" s="24"/>
      <c r="U45" s="24"/>
      <c r="V45" s="3"/>
      <c r="W45" s="25"/>
      <c r="X45" s="25" t="s">
        <v>6483</v>
      </c>
      <c r="Y45" s="25"/>
      <c r="Z45" s="25"/>
      <c r="AA45" s="25"/>
      <c r="AB45" s="3" t="str">
        <f>IF(Caja_Finanzas[[#This Row],[fecha]]&gt;0,TEXT(Caja_Finanzas[[#This Row],[fecha]],"mmmm"),0)</f>
        <v>Enero</v>
      </c>
    </row>
    <row r="46" spans="1:28" x14ac:dyDescent="0.3">
      <c r="A46" s="2">
        <f>IF(Caja_Finanzas[[#This Row],[tipo_r]]="R",COUNTIFS($C$1:$C45,"R")+1,A45)</f>
        <v>45</v>
      </c>
      <c r="B46" s="19" t="str">
        <f t="shared" si="4"/>
        <v>C-Finanzas</v>
      </c>
      <c r="C46" s="3" t="s">
        <v>1330</v>
      </c>
      <c r="D46" s="14">
        <v>45672</v>
      </c>
      <c r="E46" s="5" t="s">
        <v>2800</v>
      </c>
      <c r="F46" s="5" t="s">
        <v>1303</v>
      </c>
      <c r="G46" s="5"/>
      <c r="H46" s="6" t="s">
        <v>425</v>
      </c>
      <c r="I46" s="6" t="s">
        <v>119</v>
      </c>
      <c r="J46" s="6">
        <v>1</v>
      </c>
      <c r="K46" s="6">
        <v>4088</v>
      </c>
      <c r="L46" s="7" t="s">
        <v>6118</v>
      </c>
      <c r="M46" s="8" t="str">
        <f>"CFI"&amp;".D"&amp;TEXT(Caja_Finanzas[[#This Row],[fecha]],"DD-MM")&amp;"-"&amp;TEXT(Caja_Finanzas[[#This Row],[item]],"0000")</f>
        <v>CFI.D15-01-0045</v>
      </c>
      <c r="N46" s="8" t="str">
        <f t="shared" si="5"/>
        <v>PEN</v>
      </c>
      <c r="O46" s="13"/>
      <c r="P46" s="13">
        <v>868</v>
      </c>
      <c r="Q46" s="3">
        <f t="shared" si="1"/>
        <v>868</v>
      </c>
      <c r="R46" s="3">
        <f t="shared" si="2"/>
        <v>0</v>
      </c>
      <c r="S46" s="3">
        <f t="shared" si="3"/>
        <v>4441.7</v>
      </c>
      <c r="T46" s="24"/>
      <c r="U46" s="24"/>
      <c r="V46" s="3"/>
      <c r="W46" s="25"/>
      <c r="X46" s="25" t="s">
        <v>6484</v>
      </c>
      <c r="Y46" s="25"/>
      <c r="Z46" s="25"/>
      <c r="AA46" s="25"/>
      <c r="AB46" s="3" t="str">
        <f>IF(Caja_Finanzas[[#This Row],[fecha]]&gt;0,TEXT(Caja_Finanzas[[#This Row],[fecha]],"mmmm"),0)</f>
        <v>Enero</v>
      </c>
    </row>
    <row r="47" spans="1:28" ht="24" x14ac:dyDescent="0.3">
      <c r="A47" s="2">
        <f>IF(Caja_Finanzas[[#This Row],[tipo_r]]="R",COUNTIFS($C$1:$C46,"R")+1,A46)</f>
        <v>46</v>
      </c>
      <c r="B47" s="19" t="str">
        <f t="shared" si="4"/>
        <v>C-Finanzas</v>
      </c>
      <c r="C47" s="3" t="s">
        <v>1330</v>
      </c>
      <c r="D47" s="14">
        <v>45672</v>
      </c>
      <c r="E47" s="5" t="s">
        <v>6485</v>
      </c>
      <c r="F47" s="5" t="s">
        <v>1303</v>
      </c>
      <c r="G47" s="5"/>
      <c r="H47" s="6" t="s">
        <v>425</v>
      </c>
      <c r="I47" s="6" t="s">
        <v>119</v>
      </c>
      <c r="J47" s="6">
        <v>1</v>
      </c>
      <c r="K47" s="6">
        <v>4089</v>
      </c>
      <c r="L47" s="7" t="s">
        <v>6118</v>
      </c>
      <c r="M47" s="8" t="str">
        <f>"CFI"&amp;".D"&amp;TEXT(Caja_Finanzas[[#This Row],[fecha]],"DD-MM")&amp;"-"&amp;TEXT(Caja_Finanzas[[#This Row],[item]],"0000")</f>
        <v>CFI.D15-01-0046</v>
      </c>
      <c r="N47" s="8" t="str">
        <f t="shared" si="5"/>
        <v>PEN</v>
      </c>
      <c r="O47" s="13"/>
      <c r="P47" s="13">
        <v>350</v>
      </c>
      <c r="Q47" s="3">
        <f t="shared" si="1"/>
        <v>350</v>
      </c>
      <c r="R47" s="3">
        <f t="shared" si="2"/>
        <v>0</v>
      </c>
      <c r="S47" s="3">
        <f t="shared" si="3"/>
        <v>4791.7</v>
      </c>
      <c r="T47" s="24"/>
      <c r="U47" s="24"/>
      <c r="V47" s="3"/>
      <c r="W47" s="25"/>
      <c r="X47" s="25" t="s">
        <v>6486</v>
      </c>
      <c r="Y47" s="25"/>
      <c r="Z47" s="25"/>
      <c r="AA47" s="25"/>
      <c r="AB47" s="3" t="str">
        <f>IF(Caja_Finanzas[[#This Row],[fecha]]&gt;0,TEXT(Caja_Finanzas[[#This Row],[fecha]],"mmmm"),0)</f>
        <v>Enero</v>
      </c>
    </row>
    <row r="48" spans="1:28" ht="24" x14ac:dyDescent="0.3">
      <c r="A48" s="2">
        <f>IF(Caja_Finanzas[[#This Row],[tipo_r]]="R",COUNTIFS($C$1:$C47,"R")+1,A47)</f>
        <v>47</v>
      </c>
      <c r="B48" s="19" t="str">
        <f t="shared" si="4"/>
        <v>C-Finanzas</v>
      </c>
      <c r="C48" s="3" t="s">
        <v>1330</v>
      </c>
      <c r="D48" s="14">
        <v>45672</v>
      </c>
      <c r="E48" s="5" t="s">
        <v>6487</v>
      </c>
      <c r="F48" s="5" t="s">
        <v>1303</v>
      </c>
      <c r="G48" s="5"/>
      <c r="H48" s="6" t="s">
        <v>425</v>
      </c>
      <c r="I48" s="6" t="s">
        <v>119</v>
      </c>
      <c r="J48" s="6">
        <v>1</v>
      </c>
      <c r="K48" s="6">
        <v>4075</v>
      </c>
      <c r="L48" s="7" t="s">
        <v>6118</v>
      </c>
      <c r="M48" s="8" t="str">
        <f>"CFI"&amp;".D"&amp;TEXT(Caja_Finanzas[[#This Row],[fecha]],"DD-MM")&amp;"-"&amp;TEXT(Caja_Finanzas[[#This Row],[item]],"0000")</f>
        <v>CFI.D15-01-0047</v>
      </c>
      <c r="N48" s="8" t="str">
        <f t="shared" si="5"/>
        <v>PEN</v>
      </c>
      <c r="O48" s="13"/>
      <c r="P48" s="13">
        <v>5</v>
      </c>
      <c r="Q48" s="3">
        <f t="shared" si="1"/>
        <v>5</v>
      </c>
      <c r="R48" s="3">
        <f t="shared" si="2"/>
        <v>0</v>
      </c>
      <c r="S48" s="3">
        <f t="shared" si="3"/>
        <v>4796.7</v>
      </c>
      <c r="T48" s="24"/>
      <c r="U48" s="24"/>
      <c r="V48" s="3"/>
      <c r="W48" s="25"/>
      <c r="X48" s="25" t="s">
        <v>1494</v>
      </c>
      <c r="Y48" s="25"/>
      <c r="Z48" s="25"/>
      <c r="AA48" s="25"/>
      <c r="AB48" s="3" t="str">
        <f>IF(Caja_Finanzas[[#This Row],[fecha]]&gt;0,TEXT(Caja_Finanzas[[#This Row],[fecha]],"mmmm"),0)</f>
        <v>Enero</v>
      </c>
    </row>
    <row r="49" spans="1:28" ht="24" x14ac:dyDescent="0.3">
      <c r="A49" s="2">
        <f>IF(Caja_Finanzas[[#This Row],[tipo_r]]="R",COUNTIFS($C$1:$C48,"R")+1,A48)</f>
        <v>48</v>
      </c>
      <c r="B49" s="19" t="str">
        <f t="shared" si="4"/>
        <v>C-Finanzas</v>
      </c>
      <c r="C49" s="3" t="s">
        <v>1330</v>
      </c>
      <c r="D49" s="14">
        <v>45672</v>
      </c>
      <c r="E49" s="5" t="s">
        <v>6460</v>
      </c>
      <c r="F49" s="5" t="s">
        <v>1336</v>
      </c>
      <c r="G49" s="5"/>
      <c r="H49" s="6"/>
      <c r="I49" s="6"/>
      <c r="J49" s="6"/>
      <c r="K49" s="6"/>
      <c r="L49" s="7" t="s">
        <v>6488</v>
      </c>
      <c r="M49" s="8" t="str">
        <f>"CFI"&amp;".D"&amp;TEXT(Caja_Finanzas[[#This Row],[fecha]],"DD-MM")&amp;"-"&amp;TEXT(Caja_Finanzas[[#This Row],[item]],"0000")</f>
        <v>CFI.D15-01-0048</v>
      </c>
      <c r="N49" s="8" t="str">
        <f t="shared" si="5"/>
        <v>PEN</v>
      </c>
      <c r="O49" s="13"/>
      <c r="P49" s="13">
        <v>5</v>
      </c>
      <c r="Q49" s="3">
        <f t="shared" si="1"/>
        <v>0</v>
      </c>
      <c r="R49" s="3">
        <f t="shared" si="2"/>
        <v>5</v>
      </c>
      <c r="S49" s="3">
        <f t="shared" si="3"/>
        <v>4791.7</v>
      </c>
      <c r="T49" s="24"/>
      <c r="U49" s="24"/>
      <c r="V49" s="3"/>
      <c r="W49" s="25" t="s">
        <v>779</v>
      </c>
      <c r="X49" s="25"/>
      <c r="Y49" s="25"/>
      <c r="Z49" s="25"/>
      <c r="AA49" s="25"/>
      <c r="AB49" s="3" t="str">
        <f>IF(Caja_Finanzas[[#This Row],[fecha]]&gt;0,TEXT(Caja_Finanzas[[#This Row],[fecha]],"mmmm"),0)</f>
        <v>Enero</v>
      </c>
    </row>
    <row r="50" spans="1:28" ht="24" x14ac:dyDescent="0.3">
      <c r="A50" s="2">
        <f>IF(Caja_Finanzas[[#This Row],[tipo_r]]="R",COUNTIFS($C$1:$C49,"R")+1,A49)</f>
        <v>49</v>
      </c>
      <c r="B50" s="19" t="str">
        <f t="shared" si="4"/>
        <v>C-Finanzas</v>
      </c>
      <c r="C50" s="3" t="s">
        <v>1330</v>
      </c>
      <c r="D50" s="14">
        <v>45672</v>
      </c>
      <c r="E50" s="5" t="s">
        <v>6460</v>
      </c>
      <c r="F50" s="5" t="s">
        <v>1336</v>
      </c>
      <c r="G50" s="5"/>
      <c r="H50" s="6"/>
      <c r="I50" s="6"/>
      <c r="J50" s="6"/>
      <c r="K50" s="6"/>
      <c r="L50" s="7" t="s">
        <v>6489</v>
      </c>
      <c r="M50" s="8" t="str">
        <f>"CFI"&amp;".D"&amp;TEXT(Caja_Finanzas[[#This Row],[fecha]],"DD-MM")&amp;"-"&amp;TEXT(Caja_Finanzas[[#This Row],[item]],"0000")</f>
        <v>CFI.D15-01-0049</v>
      </c>
      <c r="N50" s="8" t="str">
        <f t="shared" si="5"/>
        <v>PEN</v>
      </c>
      <c r="O50" s="13"/>
      <c r="P50" s="13">
        <v>10</v>
      </c>
      <c r="Q50" s="3">
        <f t="shared" si="1"/>
        <v>0</v>
      </c>
      <c r="R50" s="3">
        <f t="shared" si="2"/>
        <v>10</v>
      </c>
      <c r="S50" s="3">
        <f t="shared" si="3"/>
        <v>4781.7</v>
      </c>
      <c r="T50" s="24"/>
      <c r="U50" s="24"/>
      <c r="V50" s="3"/>
      <c r="W50" s="25" t="s">
        <v>779</v>
      </c>
      <c r="X50" s="25"/>
      <c r="Y50" s="25"/>
      <c r="Z50" s="25"/>
      <c r="AA50" s="25"/>
      <c r="AB50" s="3" t="str">
        <f>IF(Caja_Finanzas[[#This Row],[fecha]]&gt;0,TEXT(Caja_Finanzas[[#This Row],[fecha]],"mmmm"),0)</f>
        <v>Enero</v>
      </c>
    </row>
    <row r="51" spans="1:28" ht="24" x14ac:dyDescent="0.3">
      <c r="A51" s="2">
        <f>IF(Caja_Finanzas[[#This Row],[tipo_r]]="R",COUNTIFS($C$1:$C50,"R")+1,A50)</f>
        <v>50</v>
      </c>
      <c r="B51" s="19" t="str">
        <f t="shared" si="4"/>
        <v>C-Finanzas</v>
      </c>
      <c r="C51" s="3" t="s">
        <v>1330</v>
      </c>
      <c r="D51" s="14">
        <v>45672</v>
      </c>
      <c r="E51" s="5" t="s">
        <v>6460</v>
      </c>
      <c r="F51" s="5" t="s">
        <v>1336</v>
      </c>
      <c r="G51" s="5"/>
      <c r="H51" s="6"/>
      <c r="I51" s="6"/>
      <c r="J51" s="6"/>
      <c r="K51" s="6"/>
      <c r="L51" s="7" t="s">
        <v>6490</v>
      </c>
      <c r="M51" s="8" t="str">
        <f>"CFI"&amp;".D"&amp;TEXT(Caja_Finanzas[[#This Row],[fecha]],"DD-MM")&amp;"-"&amp;TEXT(Caja_Finanzas[[#This Row],[item]],"0000")</f>
        <v>CFI.D15-01-0050</v>
      </c>
      <c r="N51" s="8" t="str">
        <f t="shared" si="5"/>
        <v>PEN</v>
      </c>
      <c r="O51" s="13"/>
      <c r="P51" s="13">
        <v>5</v>
      </c>
      <c r="Q51" s="3">
        <f t="shared" si="1"/>
        <v>0</v>
      </c>
      <c r="R51" s="3">
        <f t="shared" si="2"/>
        <v>5</v>
      </c>
      <c r="S51" s="3">
        <f t="shared" si="3"/>
        <v>4776.7</v>
      </c>
      <c r="T51" s="24"/>
      <c r="U51" s="24"/>
      <c r="V51" s="3"/>
      <c r="W51" s="25" t="s">
        <v>779</v>
      </c>
      <c r="X51" s="25"/>
      <c r="Y51" s="25"/>
      <c r="Z51" s="25"/>
      <c r="AA51" s="25"/>
      <c r="AB51" s="3" t="str">
        <f>IF(Caja_Finanzas[[#This Row],[fecha]]&gt;0,TEXT(Caja_Finanzas[[#This Row],[fecha]],"mmmm"),0)</f>
        <v>Enero</v>
      </c>
    </row>
    <row r="52" spans="1:28" ht="24" x14ac:dyDescent="0.3">
      <c r="A52" s="2">
        <f>IF(Caja_Finanzas[[#This Row],[tipo_r]]="R",COUNTIFS($C$1:$C51,"R")+1,A51)</f>
        <v>51</v>
      </c>
      <c r="B52" s="19" t="str">
        <f t="shared" si="4"/>
        <v>C-Finanzas</v>
      </c>
      <c r="C52" s="3" t="s">
        <v>1330</v>
      </c>
      <c r="D52" s="14">
        <v>45672</v>
      </c>
      <c r="E52" s="5" t="s">
        <v>6460</v>
      </c>
      <c r="F52" s="5" t="s">
        <v>1336</v>
      </c>
      <c r="G52" s="5"/>
      <c r="H52" s="6"/>
      <c r="I52" s="6"/>
      <c r="J52" s="6"/>
      <c r="K52" s="6"/>
      <c r="L52" s="7" t="s">
        <v>6491</v>
      </c>
      <c r="M52" s="8" t="str">
        <f>"CFI"&amp;".D"&amp;TEXT(Caja_Finanzas[[#This Row],[fecha]],"DD-MM")&amp;"-"&amp;TEXT(Caja_Finanzas[[#This Row],[item]],"0000")</f>
        <v>CFI.D15-01-0051</v>
      </c>
      <c r="N52" s="8" t="str">
        <f t="shared" si="5"/>
        <v>PEN</v>
      </c>
      <c r="O52" s="13"/>
      <c r="P52" s="13">
        <v>10</v>
      </c>
      <c r="Q52" s="3">
        <f t="shared" si="1"/>
        <v>0</v>
      </c>
      <c r="R52" s="3">
        <f t="shared" si="2"/>
        <v>10</v>
      </c>
      <c r="S52" s="3">
        <f t="shared" si="3"/>
        <v>4766.7</v>
      </c>
      <c r="T52" s="24"/>
      <c r="U52" s="24"/>
      <c r="V52" s="3"/>
      <c r="W52" s="25" t="s">
        <v>779</v>
      </c>
      <c r="X52" s="25"/>
      <c r="Y52" s="25"/>
      <c r="Z52" s="25"/>
      <c r="AA52" s="25"/>
      <c r="AB52" s="3" t="str">
        <f>IF(Caja_Finanzas[[#This Row],[fecha]]&gt;0,TEXT(Caja_Finanzas[[#This Row],[fecha]],"mmmm"),0)</f>
        <v>Enero</v>
      </c>
    </row>
    <row r="53" spans="1:28" ht="24" x14ac:dyDescent="0.3">
      <c r="A53" s="2">
        <f>IF(Caja_Finanzas[[#This Row],[tipo_r]]="R",COUNTIFS($C$1:$C52,"R")+1,A52)</f>
        <v>52</v>
      </c>
      <c r="B53" s="19" t="str">
        <f t="shared" si="4"/>
        <v>C-Finanzas</v>
      </c>
      <c r="C53" s="3" t="s">
        <v>1330</v>
      </c>
      <c r="D53" s="14">
        <v>45672</v>
      </c>
      <c r="E53" s="5" t="s">
        <v>6460</v>
      </c>
      <c r="F53" s="5" t="s">
        <v>1336</v>
      </c>
      <c r="G53" s="5"/>
      <c r="H53" s="6"/>
      <c r="I53" s="6"/>
      <c r="J53" s="6"/>
      <c r="K53" s="6"/>
      <c r="L53" s="7" t="s">
        <v>6492</v>
      </c>
      <c r="M53" s="8" t="str">
        <f>"CFI"&amp;".D"&amp;TEXT(Caja_Finanzas[[#This Row],[fecha]],"DD-MM")&amp;"-"&amp;TEXT(Caja_Finanzas[[#This Row],[item]],"0000")</f>
        <v>CFI.D15-01-0052</v>
      </c>
      <c r="N53" s="8" t="str">
        <f t="shared" si="5"/>
        <v>PEN</v>
      </c>
      <c r="O53" s="13"/>
      <c r="P53" s="13">
        <v>10</v>
      </c>
      <c r="Q53" s="3">
        <f t="shared" si="1"/>
        <v>0</v>
      </c>
      <c r="R53" s="3">
        <f t="shared" si="2"/>
        <v>10</v>
      </c>
      <c r="S53" s="3">
        <f t="shared" si="3"/>
        <v>4756.7</v>
      </c>
      <c r="T53" s="24"/>
      <c r="U53" s="24"/>
      <c r="V53" s="3"/>
      <c r="W53" s="25" t="s">
        <v>779</v>
      </c>
      <c r="X53" s="25"/>
      <c r="Y53" s="25"/>
      <c r="Z53" s="25"/>
      <c r="AA53" s="25"/>
      <c r="AB53" s="3" t="str">
        <f>IF(Caja_Finanzas[[#This Row],[fecha]]&gt;0,TEXT(Caja_Finanzas[[#This Row],[fecha]],"mmmm"),0)</f>
        <v>Enero</v>
      </c>
    </row>
    <row r="54" spans="1:28" ht="24" x14ac:dyDescent="0.3">
      <c r="A54" s="2">
        <f>IF(Caja_Finanzas[[#This Row],[tipo_r]]="R",COUNTIFS($C$1:$C53,"R")+1,A53)</f>
        <v>53</v>
      </c>
      <c r="B54" s="19" t="str">
        <f t="shared" si="4"/>
        <v>C-Finanzas</v>
      </c>
      <c r="C54" s="3" t="s">
        <v>1330</v>
      </c>
      <c r="D54" s="14">
        <v>45672</v>
      </c>
      <c r="E54" s="5" t="s">
        <v>6460</v>
      </c>
      <c r="F54" s="5" t="s">
        <v>1336</v>
      </c>
      <c r="G54" s="5"/>
      <c r="H54" s="6"/>
      <c r="I54" s="6"/>
      <c r="J54" s="6"/>
      <c r="K54" s="6"/>
      <c r="L54" s="7" t="s">
        <v>6493</v>
      </c>
      <c r="M54" s="8" t="str">
        <f>"CFI"&amp;".D"&amp;TEXT(Caja_Finanzas[[#This Row],[fecha]],"DD-MM")&amp;"-"&amp;TEXT(Caja_Finanzas[[#This Row],[item]],"0000")</f>
        <v>CFI.D15-01-0053</v>
      </c>
      <c r="N54" s="8" t="str">
        <f t="shared" si="5"/>
        <v>PEN</v>
      </c>
      <c r="O54" s="13"/>
      <c r="P54" s="13">
        <v>5</v>
      </c>
      <c r="Q54" s="3">
        <f t="shared" si="1"/>
        <v>0</v>
      </c>
      <c r="R54" s="3">
        <f t="shared" si="2"/>
        <v>5</v>
      </c>
      <c r="S54" s="3">
        <f t="shared" si="3"/>
        <v>4751.7</v>
      </c>
      <c r="T54" s="24"/>
      <c r="U54" s="24"/>
      <c r="V54" s="3"/>
      <c r="W54" s="25" t="s">
        <v>779</v>
      </c>
      <c r="X54" s="25"/>
      <c r="Y54" s="25"/>
      <c r="Z54" s="25"/>
      <c r="AA54" s="25"/>
      <c r="AB54" s="3" t="str">
        <f>IF(Caja_Finanzas[[#This Row],[fecha]]&gt;0,TEXT(Caja_Finanzas[[#This Row],[fecha]],"mmmm"),0)</f>
        <v>Enero</v>
      </c>
    </row>
    <row r="55" spans="1:28" ht="24" x14ac:dyDescent="0.3">
      <c r="A55" s="2">
        <f>IF(Caja_Finanzas[[#This Row],[tipo_r]]="R",COUNTIFS($C$1:$C54,"R")+1,A54)</f>
        <v>54</v>
      </c>
      <c r="B55" s="19" t="str">
        <f t="shared" si="4"/>
        <v>C-Finanzas</v>
      </c>
      <c r="C55" s="3" t="s">
        <v>1330</v>
      </c>
      <c r="D55" s="14">
        <v>45672</v>
      </c>
      <c r="E55" s="5" t="s">
        <v>6460</v>
      </c>
      <c r="F55" s="5" t="s">
        <v>1336</v>
      </c>
      <c r="G55" s="5"/>
      <c r="H55" s="6"/>
      <c r="I55" s="6"/>
      <c r="J55" s="6"/>
      <c r="K55" s="6"/>
      <c r="L55" s="7" t="s">
        <v>6494</v>
      </c>
      <c r="M55" s="8" t="str">
        <f>"CFI"&amp;".D"&amp;TEXT(Caja_Finanzas[[#This Row],[fecha]],"DD-MM")&amp;"-"&amp;TEXT(Caja_Finanzas[[#This Row],[item]],"0000")</f>
        <v>CFI.D15-01-0054</v>
      </c>
      <c r="N55" s="8" t="str">
        <f t="shared" si="5"/>
        <v>PEN</v>
      </c>
      <c r="O55" s="13"/>
      <c r="P55" s="13">
        <v>5</v>
      </c>
      <c r="Q55" s="3">
        <f t="shared" si="1"/>
        <v>0</v>
      </c>
      <c r="R55" s="3">
        <f t="shared" si="2"/>
        <v>5</v>
      </c>
      <c r="S55" s="3">
        <f t="shared" si="3"/>
        <v>4746.7</v>
      </c>
      <c r="T55" s="24"/>
      <c r="U55" s="24"/>
      <c r="V55" s="3"/>
      <c r="W55" s="25" t="s">
        <v>779</v>
      </c>
      <c r="X55" s="25"/>
      <c r="Y55" s="25"/>
      <c r="Z55" s="25"/>
      <c r="AA55" s="25"/>
      <c r="AB55" s="3" t="str">
        <f>IF(Caja_Finanzas[[#This Row],[fecha]]&gt;0,TEXT(Caja_Finanzas[[#This Row],[fecha]],"mmmm"),0)</f>
        <v>Enero</v>
      </c>
    </row>
    <row r="56" spans="1:28" ht="24" x14ac:dyDescent="0.3">
      <c r="A56" s="2">
        <f>IF(Caja_Finanzas[[#This Row],[tipo_r]]="R",COUNTIFS($C$1:$C55,"R")+1,A55)</f>
        <v>55</v>
      </c>
      <c r="B56" s="19" t="str">
        <f t="shared" si="4"/>
        <v>C-Finanzas</v>
      </c>
      <c r="C56" s="3" t="s">
        <v>1330</v>
      </c>
      <c r="D56" s="14">
        <v>45672</v>
      </c>
      <c r="E56" s="5" t="s">
        <v>6460</v>
      </c>
      <c r="F56" s="5" t="s">
        <v>1336</v>
      </c>
      <c r="G56" s="5"/>
      <c r="H56" s="6"/>
      <c r="I56" s="6"/>
      <c r="J56" s="6"/>
      <c r="K56" s="6"/>
      <c r="L56" s="7" t="s">
        <v>6495</v>
      </c>
      <c r="M56" s="8" t="str">
        <f>"CFI"&amp;".D"&amp;TEXT(Caja_Finanzas[[#This Row],[fecha]],"DD-MM")&amp;"-"&amp;TEXT(Caja_Finanzas[[#This Row],[item]],"0000")</f>
        <v>CFI.D15-01-0055</v>
      </c>
      <c r="N56" s="8" t="str">
        <f t="shared" si="5"/>
        <v>PEN</v>
      </c>
      <c r="O56" s="13"/>
      <c r="P56" s="13">
        <v>10</v>
      </c>
      <c r="Q56" s="3">
        <f t="shared" si="1"/>
        <v>0</v>
      </c>
      <c r="R56" s="3">
        <f t="shared" si="2"/>
        <v>10</v>
      </c>
      <c r="S56" s="3">
        <f t="shared" si="3"/>
        <v>4736.7</v>
      </c>
      <c r="T56" s="24"/>
      <c r="U56" s="24"/>
      <c r="V56" s="3"/>
      <c r="W56" s="25" t="s">
        <v>779</v>
      </c>
      <c r="X56" s="25"/>
      <c r="Y56" s="25"/>
      <c r="Z56" s="25"/>
      <c r="AA56" s="25"/>
      <c r="AB56" s="3" t="str">
        <f>IF(Caja_Finanzas[[#This Row],[fecha]]&gt;0,TEXT(Caja_Finanzas[[#This Row],[fecha]],"mmmm"),0)</f>
        <v>Enero</v>
      </c>
    </row>
    <row r="57" spans="1:28" ht="36" x14ac:dyDescent="0.3">
      <c r="A57" s="2">
        <f>IF(Caja_Finanzas[[#This Row],[tipo_r]]="R",COUNTIFS($C$1:$C56,"R")+1,A56)</f>
        <v>56</v>
      </c>
      <c r="B57" s="19" t="str">
        <f t="shared" si="4"/>
        <v>C-Finanzas</v>
      </c>
      <c r="C57" s="3" t="s">
        <v>1330</v>
      </c>
      <c r="D57" s="14">
        <v>45673</v>
      </c>
      <c r="E57" s="5" t="s">
        <v>6420</v>
      </c>
      <c r="F57" s="5" t="s">
        <v>1336</v>
      </c>
      <c r="G57" s="5"/>
      <c r="H57" s="6"/>
      <c r="I57" s="6"/>
      <c r="J57" s="6"/>
      <c r="K57" s="6"/>
      <c r="L57" s="7" t="s">
        <v>6496</v>
      </c>
      <c r="M57" s="8" t="str">
        <f>"CFI"&amp;".D"&amp;TEXT(Caja_Finanzas[[#This Row],[fecha]],"DD-MM")&amp;"-"&amp;TEXT(Caja_Finanzas[[#This Row],[item]],"0000")</f>
        <v>CFI.D16-01-0056</v>
      </c>
      <c r="N57" s="8" t="str">
        <f t="shared" si="5"/>
        <v>PEN</v>
      </c>
      <c r="O57" s="13"/>
      <c r="P57" s="13">
        <v>135.80000000000001</v>
      </c>
      <c r="Q57" s="3">
        <f t="shared" si="1"/>
        <v>0</v>
      </c>
      <c r="R57" s="3">
        <f t="shared" si="2"/>
        <v>135.80000000000001</v>
      </c>
      <c r="S57" s="3">
        <f t="shared" si="3"/>
        <v>4600.8999999999996</v>
      </c>
      <c r="T57" s="24"/>
      <c r="U57" s="24"/>
      <c r="V57" s="3"/>
      <c r="W57" s="25" t="s">
        <v>6497</v>
      </c>
      <c r="X57" s="25" t="s">
        <v>6498</v>
      </c>
      <c r="Y57" s="25"/>
      <c r="Z57" s="25"/>
      <c r="AA57" s="25"/>
      <c r="AB57" s="3" t="str">
        <f>IF(Caja_Finanzas[[#This Row],[fecha]]&gt;0,TEXT(Caja_Finanzas[[#This Row],[fecha]],"mmmm"),0)</f>
        <v>Enero</v>
      </c>
    </row>
    <row r="58" spans="1:28" ht="36" x14ac:dyDescent="0.3">
      <c r="A58" s="2">
        <f>IF(Caja_Finanzas[[#This Row],[tipo_r]]="R",COUNTIFS($C$1:$C57,"R")+1,A57)</f>
        <v>57</v>
      </c>
      <c r="B58" s="19" t="str">
        <f t="shared" si="4"/>
        <v>C-Finanzas</v>
      </c>
      <c r="C58" s="3" t="s">
        <v>1330</v>
      </c>
      <c r="D58" s="14">
        <v>45673</v>
      </c>
      <c r="E58" s="5" t="s">
        <v>6420</v>
      </c>
      <c r="F58" s="5" t="s">
        <v>1336</v>
      </c>
      <c r="G58" s="5"/>
      <c r="H58" s="6"/>
      <c r="I58" s="6"/>
      <c r="J58" s="6"/>
      <c r="K58" s="6"/>
      <c r="L58" s="7" t="s">
        <v>6499</v>
      </c>
      <c r="M58" s="8" t="str">
        <f>"CFI"&amp;".D"&amp;TEXT(Caja_Finanzas[[#This Row],[fecha]],"DD-MM")&amp;"-"&amp;TEXT(Caja_Finanzas[[#This Row],[item]],"0000")</f>
        <v>CFI.D16-01-0057</v>
      </c>
      <c r="N58" s="8" t="str">
        <f t="shared" si="5"/>
        <v>PEN</v>
      </c>
      <c r="O58" s="13"/>
      <c r="P58" s="13">
        <v>25</v>
      </c>
      <c r="Q58" s="3">
        <f t="shared" si="1"/>
        <v>0</v>
      </c>
      <c r="R58" s="3">
        <f t="shared" si="2"/>
        <v>25</v>
      </c>
      <c r="S58" s="3">
        <f t="shared" si="3"/>
        <v>4575.8999999999996</v>
      </c>
      <c r="T58" s="24"/>
      <c r="U58" s="24"/>
      <c r="V58" s="3"/>
      <c r="W58" s="25" t="s">
        <v>6500</v>
      </c>
      <c r="X58" s="25" t="s">
        <v>6501</v>
      </c>
      <c r="Y58" s="25"/>
      <c r="Z58" s="25"/>
      <c r="AA58" s="25"/>
      <c r="AB58" s="3" t="str">
        <f>IF(Caja_Finanzas[[#This Row],[fecha]]&gt;0,TEXT(Caja_Finanzas[[#This Row],[fecha]],"mmmm"),0)</f>
        <v>Enero</v>
      </c>
    </row>
    <row r="59" spans="1:28" ht="36" x14ac:dyDescent="0.3">
      <c r="A59" s="2">
        <f>IF(Caja_Finanzas[[#This Row],[tipo_r]]="R",COUNTIFS($C$1:$C58,"R")+1,A58)</f>
        <v>58</v>
      </c>
      <c r="B59" s="19" t="str">
        <f t="shared" si="4"/>
        <v>C-Finanzas</v>
      </c>
      <c r="C59" s="3" t="s">
        <v>1330</v>
      </c>
      <c r="D59" s="14">
        <v>45673</v>
      </c>
      <c r="E59" s="5" t="s">
        <v>6415</v>
      </c>
      <c r="F59" s="5" t="s">
        <v>1336</v>
      </c>
      <c r="G59" s="5"/>
      <c r="H59" s="6"/>
      <c r="I59" s="6"/>
      <c r="J59" s="6"/>
      <c r="K59" s="6"/>
      <c r="L59" s="7" t="s">
        <v>6502</v>
      </c>
      <c r="M59" s="8" t="str">
        <f>"CFI"&amp;".D"&amp;TEXT(Caja_Finanzas[[#This Row],[fecha]],"DD-MM")&amp;"-"&amp;TEXT(Caja_Finanzas[[#This Row],[item]],"0000")</f>
        <v>CFI.D16-01-0058</v>
      </c>
      <c r="N59" s="8" t="str">
        <f t="shared" si="5"/>
        <v>PEN</v>
      </c>
      <c r="O59" s="13"/>
      <c r="P59" s="13">
        <v>48.5</v>
      </c>
      <c r="Q59" s="3">
        <f t="shared" si="1"/>
        <v>0</v>
      </c>
      <c r="R59" s="3">
        <f t="shared" si="2"/>
        <v>48.5</v>
      </c>
      <c r="S59" s="3">
        <f t="shared" si="3"/>
        <v>4527.3999999999996</v>
      </c>
      <c r="T59" s="24"/>
      <c r="U59" s="24"/>
      <c r="V59" s="3"/>
      <c r="W59" s="25" t="s">
        <v>4923</v>
      </c>
      <c r="X59" s="25" t="s">
        <v>6503</v>
      </c>
      <c r="Y59" s="25"/>
      <c r="Z59" s="25"/>
      <c r="AA59" s="25"/>
      <c r="AB59" s="3" t="str">
        <f>IF(Caja_Finanzas[[#This Row],[fecha]]&gt;0,TEXT(Caja_Finanzas[[#This Row],[fecha]],"mmmm"),0)</f>
        <v>Enero</v>
      </c>
    </row>
    <row r="60" spans="1:28" ht="60" x14ac:dyDescent="0.3">
      <c r="A60" s="2">
        <f>IF(Caja_Finanzas[[#This Row],[tipo_r]]="R",COUNTIFS($C$1:$C59,"R")+1,A59)</f>
        <v>59</v>
      </c>
      <c r="B60" s="19" t="str">
        <f t="shared" si="4"/>
        <v>C-Finanzas</v>
      </c>
      <c r="C60" s="3" t="s">
        <v>1330</v>
      </c>
      <c r="D60" s="14">
        <v>45673</v>
      </c>
      <c r="E60" s="5" t="s">
        <v>6415</v>
      </c>
      <c r="F60" s="5" t="s">
        <v>1336</v>
      </c>
      <c r="G60" s="5"/>
      <c r="H60" s="6"/>
      <c r="I60" s="6"/>
      <c r="J60" s="6"/>
      <c r="K60" s="6"/>
      <c r="L60" s="7" t="s">
        <v>6504</v>
      </c>
      <c r="M60" s="8" t="str">
        <f>"CFI"&amp;".D"&amp;TEXT(Caja_Finanzas[[#This Row],[fecha]],"DD-MM")&amp;"-"&amp;TEXT(Caja_Finanzas[[#This Row],[item]],"0000")</f>
        <v>CFI.D16-01-0059</v>
      </c>
      <c r="N60" s="8" t="str">
        <f t="shared" si="5"/>
        <v>PEN</v>
      </c>
      <c r="O60" s="13"/>
      <c r="P60" s="13">
        <v>175</v>
      </c>
      <c r="Q60" s="3">
        <f t="shared" si="1"/>
        <v>0</v>
      </c>
      <c r="R60" s="3">
        <f t="shared" si="2"/>
        <v>175</v>
      </c>
      <c r="S60" s="3">
        <f t="shared" si="3"/>
        <v>4352.3999999999996</v>
      </c>
      <c r="T60" s="24"/>
      <c r="U60" s="24"/>
      <c r="V60" s="3"/>
      <c r="W60" s="25" t="s">
        <v>4923</v>
      </c>
      <c r="X60" s="25" t="s">
        <v>6505</v>
      </c>
      <c r="Y60" s="25"/>
      <c r="Z60" s="25"/>
      <c r="AA60" s="25"/>
      <c r="AB60" s="3" t="str">
        <f>IF(Caja_Finanzas[[#This Row],[fecha]]&gt;0,TEXT(Caja_Finanzas[[#This Row],[fecha]],"mmmm"),0)</f>
        <v>Enero</v>
      </c>
    </row>
    <row r="61" spans="1:28" ht="24" x14ac:dyDescent="0.3">
      <c r="A61" s="2">
        <f>IF(Caja_Finanzas[[#This Row],[tipo_r]]="R",COUNTIFS($C$1:$C60,"R")+1,A60)</f>
        <v>60</v>
      </c>
      <c r="B61" s="19" t="str">
        <f t="shared" si="4"/>
        <v>C-Finanzas</v>
      </c>
      <c r="C61" s="3" t="s">
        <v>1330</v>
      </c>
      <c r="D61" s="14">
        <v>45673</v>
      </c>
      <c r="E61" s="5" t="s">
        <v>6418</v>
      </c>
      <c r="F61" s="5" t="s">
        <v>1336</v>
      </c>
      <c r="G61" s="5"/>
      <c r="H61" s="6" t="s">
        <v>809</v>
      </c>
      <c r="I61" s="6"/>
      <c r="J61" s="6"/>
      <c r="K61" s="6"/>
      <c r="L61" s="7" t="s">
        <v>6419</v>
      </c>
      <c r="M61" s="8" t="str">
        <f>"CFI"&amp;".D"&amp;TEXT(Caja_Finanzas[[#This Row],[fecha]],"DD-MM")&amp;"-"&amp;TEXT(Caja_Finanzas[[#This Row],[item]],"0000")</f>
        <v>CFI.D16-01-0060</v>
      </c>
      <c r="N61" s="8" t="str">
        <f t="shared" si="5"/>
        <v>PEN</v>
      </c>
      <c r="O61" s="13"/>
      <c r="P61" s="13">
        <v>1500</v>
      </c>
      <c r="Q61" s="3">
        <f t="shared" si="1"/>
        <v>0</v>
      </c>
      <c r="R61" s="3">
        <f t="shared" si="2"/>
        <v>1500</v>
      </c>
      <c r="S61" s="3">
        <f t="shared" si="3"/>
        <v>2852.3999999999996</v>
      </c>
      <c r="T61" s="24"/>
      <c r="U61" s="24"/>
      <c r="V61" s="3"/>
      <c r="W61" s="25"/>
      <c r="X61" s="25"/>
      <c r="Y61" s="25"/>
      <c r="Z61" s="25"/>
      <c r="AA61" s="25"/>
      <c r="AB61" s="3" t="str">
        <f>IF(Caja_Finanzas[[#This Row],[fecha]]&gt;0,TEXT(Caja_Finanzas[[#This Row],[fecha]],"mmmm"),0)</f>
        <v>Enero</v>
      </c>
    </row>
    <row r="62" spans="1:28" ht="36" x14ac:dyDescent="0.3">
      <c r="A62" s="2">
        <f>IF(Caja_Finanzas[[#This Row],[tipo_r]]="R",COUNTIFS($C$1:$C61,"R")+1,A61)</f>
        <v>61</v>
      </c>
      <c r="B62" s="19" t="str">
        <f t="shared" si="4"/>
        <v>C-Finanzas</v>
      </c>
      <c r="C62" s="3" t="s">
        <v>1330</v>
      </c>
      <c r="D62" s="14">
        <v>45674</v>
      </c>
      <c r="E62" s="5" t="s">
        <v>6420</v>
      </c>
      <c r="F62" s="5" t="s">
        <v>1336</v>
      </c>
      <c r="G62" s="5"/>
      <c r="H62" s="6"/>
      <c r="I62" s="6"/>
      <c r="J62" s="6"/>
      <c r="K62" s="6"/>
      <c r="L62" s="7" t="s">
        <v>6506</v>
      </c>
      <c r="M62" s="8" t="str">
        <f>"CFI"&amp;".D"&amp;TEXT(Caja_Finanzas[[#This Row],[fecha]],"DD-MM")&amp;"-"&amp;TEXT(Caja_Finanzas[[#This Row],[item]],"0000")</f>
        <v>CFI.D17-01-0061</v>
      </c>
      <c r="N62" s="8" t="str">
        <f t="shared" si="5"/>
        <v>PEN</v>
      </c>
      <c r="O62" s="13"/>
      <c r="P62" s="13">
        <v>30</v>
      </c>
      <c r="Q62" s="3">
        <f t="shared" si="1"/>
        <v>0</v>
      </c>
      <c r="R62" s="3">
        <f t="shared" si="2"/>
        <v>30</v>
      </c>
      <c r="S62" s="3">
        <f t="shared" si="3"/>
        <v>2822.3999999999996</v>
      </c>
      <c r="T62" s="24"/>
      <c r="U62" s="24"/>
      <c r="V62" s="3"/>
      <c r="W62" s="25" t="s">
        <v>6507</v>
      </c>
      <c r="X62" s="25" t="s">
        <v>6508</v>
      </c>
      <c r="Y62" s="25"/>
      <c r="Z62" s="25"/>
      <c r="AA62" s="25"/>
      <c r="AB62" s="3" t="str">
        <f>IF(Caja_Finanzas[[#This Row],[fecha]]&gt;0,TEXT(Caja_Finanzas[[#This Row],[fecha]],"mmmm"),0)</f>
        <v>Enero</v>
      </c>
    </row>
    <row r="63" spans="1:28" ht="24" x14ac:dyDescent="0.3">
      <c r="A63" s="2">
        <f>IF(Caja_Finanzas[[#This Row],[tipo_r]]="R",COUNTIFS($C$1:$C62,"R")+1,A62)</f>
        <v>62</v>
      </c>
      <c r="B63" s="19" t="str">
        <f t="shared" si="4"/>
        <v>C-Finanzas</v>
      </c>
      <c r="C63" s="3" t="s">
        <v>1330</v>
      </c>
      <c r="D63" s="14">
        <v>45674</v>
      </c>
      <c r="E63" s="5" t="s">
        <v>1669</v>
      </c>
      <c r="F63" s="5" t="s">
        <v>1303</v>
      </c>
      <c r="G63" s="5"/>
      <c r="H63" s="6" t="s">
        <v>425</v>
      </c>
      <c r="I63" s="6" t="s">
        <v>119</v>
      </c>
      <c r="J63" s="6">
        <v>1</v>
      </c>
      <c r="K63" s="6">
        <v>4074</v>
      </c>
      <c r="L63" s="7" t="s">
        <v>6118</v>
      </c>
      <c r="M63" s="8" t="str">
        <f>"CFI"&amp;".D"&amp;TEXT(Caja_Finanzas[[#This Row],[fecha]],"DD-MM")&amp;"-"&amp;TEXT(Caja_Finanzas[[#This Row],[item]],"0000")</f>
        <v>CFI.D17-01-0062</v>
      </c>
      <c r="N63" s="8" t="str">
        <f t="shared" si="5"/>
        <v>PEN</v>
      </c>
      <c r="O63" s="13"/>
      <c r="P63" s="13">
        <v>631</v>
      </c>
      <c r="Q63" s="3">
        <f t="shared" si="1"/>
        <v>631</v>
      </c>
      <c r="R63" s="3">
        <f t="shared" si="2"/>
        <v>0</v>
      </c>
      <c r="S63" s="3">
        <f t="shared" si="3"/>
        <v>3453.3999999999996</v>
      </c>
      <c r="T63" s="24"/>
      <c r="U63" s="24"/>
      <c r="V63" s="3"/>
      <c r="W63" s="25"/>
      <c r="X63" s="25" t="s">
        <v>6509</v>
      </c>
      <c r="Y63" s="25"/>
      <c r="Z63" s="25"/>
      <c r="AA63" s="25"/>
      <c r="AB63" s="3" t="str">
        <f>IF(Caja_Finanzas[[#This Row],[fecha]]&gt;0,TEXT(Caja_Finanzas[[#This Row],[fecha]],"mmmm"),0)</f>
        <v>Enero</v>
      </c>
    </row>
    <row r="64" spans="1:28" x14ac:dyDescent="0.3">
      <c r="A64" s="2">
        <f>IF(Caja_Finanzas[[#This Row],[tipo_r]]="R",COUNTIFS($C$1:$C63,"R")+1,A63)</f>
        <v>63</v>
      </c>
      <c r="B64" s="19" t="str">
        <f t="shared" si="4"/>
        <v>C-Finanzas</v>
      </c>
      <c r="C64" s="3" t="s">
        <v>1330</v>
      </c>
      <c r="D64" s="14">
        <v>45674</v>
      </c>
      <c r="E64" s="5" t="s">
        <v>3634</v>
      </c>
      <c r="F64" s="5" t="s">
        <v>1336</v>
      </c>
      <c r="G64" s="5"/>
      <c r="H64" s="6"/>
      <c r="I64" s="6"/>
      <c r="J64" s="6"/>
      <c r="K64" s="6"/>
      <c r="L64" s="7" t="s">
        <v>6510</v>
      </c>
      <c r="M64" s="8" t="str">
        <f>"CFI"&amp;".D"&amp;TEXT(Caja_Finanzas[[#This Row],[fecha]],"DD-MM")&amp;"-"&amp;TEXT(Caja_Finanzas[[#This Row],[item]],"0000")</f>
        <v>CFI.D17-01-0063</v>
      </c>
      <c r="N64" s="8" t="str">
        <f t="shared" si="5"/>
        <v>PEN</v>
      </c>
      <c r="O64" s="13"/>
      <c r="P64" s="13">
        <v>700</v>
      </c>
      <c r="Q64" s="3">
        <f t="shared" si="1"/>
        <v>0</v>
      </c>
      <c r="R64" s="3">
        <f t="shared" si="2"/>
        <v>700</v>
      </c>
      <c r="S64" s="3">
        <f t="shared" si="3"/>
        <v>2753.3999999999996</v>
      </c>
      <c r="T64" s="24"/>
      <c r="U64" s="24"/>
      <c r="V64" s="3"/>
      <c r="W64" s="25"/>
      <c r="X64" s="25"/>
      <c r="Y64" s="25"/>
      <c r="Z64" s="25"/>
      <c r="AA64" s="25"/>
      <c r="AB64" s="3" t="str">
        <f>IF(Caja_Finanzas[[#This Row],[fecha]]&gt;0,TEXT(Caja_Finanzas[[#This Row],[fecha]],"mmmm"),0)</f>
        <v>Enero</v>
      </c>
    </row>
    <row r="65" spans="1:28" ht="24" x14ac:dyDescent="0.3">
      <c r="A65" s="2">
        <f>IF(Caja_Finanzas[[#This Row],[tipo_r]]="R",COUNTIFS($C$1:$C64,"R")+1,A64)</f>
        <v>64</v>
      </c>
      <c r="B65" s="19" t="str">
        <f t="shared" si="4"/>
        <v>C-Finanzas</v>
      </c>
      <c r="C65" s="3" t="s">
        <v>1330</v>
      </c>
      <c r="D65" s="14">
        <v>45677</v>
      </c>
      <c r="E65" s="5" t="s">
        <v>4104</v>
      </c>
      <c r="F65" s="5" t="s">
        <v>1303</v>
      </c>
      <c r="G65" s="5"/>
      <c r="H65" s="6" t="s">
        <v>425</v>
      </c>
      <c r="I65" s="6" t="s">
        <v>119</v>
      </c>
      <c r="J65" s="6">
        <v>1</v>
      </c>
      <c r="K65" s="6">
        <v>3853</v>
      </c>
      <c r="L65" s="7" t="s">
        <v>6118</v>
      </c>
      <c r="M65" s="8" t="str">
        <f>"CFI"&amp;".D"&amp;TEXT(Caja_Finanzas[[#This Row],[fecha]],"DD-MM")&amp;"-"&amp;TEXT(Caja_Finanzas[[#This Row],[item]],"0000")</f>
        <v>CFI.D20-01-0064</v>
      </c>
      <c r="N65" s="8" t="str">
        <f t="shared" si="5"/>
        <v>PEN</v>
      </c>
      <c r="O65" s="13"/>
      <c r="P65" s="13">
        <v>1663.5</v>
      </c>
      <c r="Q65" s="3">
        <f t="shared" si="1"/>
        <v>1663.5</v>
      </c>
      <c r="R65" s="3">
        <f t="shared" si="2"/>
        <v>0</v>
      </c>
      <c r="S65" s="3">
        <f t="shared" si="3"/>
        <v>4416.8999999999996</v>
      </c>
      <c r="T65" s="24"/>
      <c r="U65" s="24"/>
      <c r="V65" s="3"/>
      <c r="W65" s="25"/>
      <c r="X65" s="25" t="s">
        <v>6511</v>
      </c>
      <c r="Y65" s="25"/>
      <c r="Z65" s="25"/>
      <c r="AA65" s="25"/>
      <c r="AB65" s="3" t="str">
        <f>IF(Caja_Finanzas[[#This Row],[fecha]]&gt;0,TEXT(Caja_Finanzas[[#This Row],[fecha]],"mmmm"),0)</f>
        <v>Enero</v>
      </c>
    </row>
    <row r="66" spans="1:28" ht="24" x14ac:dyDescent="0.3">
      <c r="A66" s="2">
        <f>IF(Caja_Finanzas[[#This Row],[tipo_r]]="R",COUNTIFS($C$1:$C65,"R")+1,A65)</f>
        <v>65</v>
      </c>
      <c r="B66" s="19" t="str">
        <f t="shared" si="4"/>
        <v>C-Finanzas</v>
      </c>
      <c r="C66" s="3" t="s">
        <v>1330</v>
      </c>
      <c r="D66" s="14">
        <v>45677</v>
      </c>
      <c r="E66" s="5" t="s">
        <v>4104</v>
      </c>
      <c r="F66" s="5" t="s">
        <v>1303</v>
      </c>
      <c r="G66" s="5"/>
      <c r="H66" s="6" t="s">
        <v>425</v>
      </c>
      <c r="I66" s="6" t="s">
        <v>119</v>
      </c>
      <c r="J66" s="6">
        <v>1</v>
      </c>
      <c r="K66" s="6">
        <v>3982</v>
      </c>
      <c r="L66" s="7" t="s">
        <v>6118</v>
      </c>
      <c r="M66" s="8" t="str">
        <f>"CFI"&amp;".D"&amp;TEXT(Caja_Finanzas[[#This Row],[fecha]],"DD-MM")&amp;"-"&amp;TEXT(Caja_Finanzas[[#This Row],[item]],"0000")</f>
        <v>CFI.D20-01-0065</v>
      </c>
      <c r="N66" s="8" t="str">
        <f t="shared" si="5"/>
        <v>PEN</v>
      </c>
      <c r="O66" s="13"/>
      <c r="P66" s="13">
        <v>136.5</v>
      </c>
      <c r="Q66" s="3">
        <f t="shared" ref="Q66:Q129" si="6">+IF(OR($F66="SALDO",$F66="INGRESO"),$P66,0)</f>
        <v>136.5</v>
      </c>
      <c r="R66" s="3">
        <f t="shared" ref="R66:R129" si="7">+IF($F66="EGRESO",$P66,0)</f>
        <v>0</v>
      </c>
      <c r="S66" s="3">
        <f t="shared" ref="S66:S129" si="8">IFERROR(IF(F66="SALDO",Q66,S65+Q66-R66),0)</f>
        <v>4553.3999999999996</v>
      </c>
      <c r="T66" s="24"/>
      <c r="U66" s="24"/>
      <c r="V66" s="3"/>
      <c r="W66" s="25"/>
      <c r="X66" s="25" t="s">
        <v>6512</v>
      </c>
      <c r="Y66" s="25"/>
      <c r="Z66" s="25"/>
      <c r="AA66" s="25"/>
      <c r="AB66" s="3" t="str">
        <f>IF(Caja_Finanzas[[#This Row],[fecha]]&gt;0,TEXT(Caja_Finanzas[[#This Row],[fecha]],"mmmm"),0)</f>
        <v>Enero</v>
      </c>
    </row>
    <row r="67" spans="1:28" ht="24" x14ac:dyDescent="0.3">
      <c r="A67" s="2">
        <f>IF(Caja_Finanzas[[#This Row],[tipo_r]]="R",COUNTIFS($C$1:$C66,"R")+1,A66)</f>
        <v>66</v>
      </c>
      <c r="B67" s="19" t="str">
        <f t="shared" ref="B67:B130" si="9">"C-Finanzas"</f>
        <v>C-Finanzas</v>
      </c>
      <c r="C67" s="3" t="s">
        <v>1330</v>
      </c>
      <c r="D67" s="14">
        <v>45677</v>
      </c>
      <c r="E67" s="5" t="s">
        <v>6513</v>
      </c>
      <c r="F67" s="5" t="s">
        <v>1336</v>
      </c>
      <c r="G67" s="5"/>
      <c r="H67" s="6"/>
      <c r="I67" s="6"/>
      <c r="J67" s="6"/>
      <c r="K67" s="6"/>
      <c r="L67" s="7" t="s">
        <v>6514</v>
      </c>
      <c r="M67" s="8" t="str">
        <f>"CFI"&amp;".D"&amp;TEXT(Caja_Finanzas[[#This Row],[fecha]],"DD-MM")&amp;"-"&amp;TEXT(Caja_Finanzas[[#This Row],[item]],"0000")</f>
        <v>CFI.D20-01-0066</v>
      </c>
      <c r="N67" s="8" t="str">
        <f t="shared" ref="N67:N130" si="10">"PEN"</f>
        <v>PEN</v>
      </c>
      <c r="O67" s="13"/>
      <c r="P67" s="13">
        <v>2.5</v>
      </c>
      <c r="Q67" s="3">
        <f t="shared" si="6"/>
        <v>0</v>
      </c>
      <c r="R67" s="3">
        <f t="shared" si="7"/>
        <v>2.5</v>
      </c>
      <c r="S67" s="3">
        <f t="shared" si="8"/>
        <v>4550.8999999999996</v>
      </c>
      <c r="T67" s="24"/>
      <c r="U67" s="24"/>
      <c r="V67" s="3"/>
      <c r="W67" s="25"/>
      <c r="X67" s="25"/>
      <c r="Y67" s="25"/>
      <c r="Z67" s="25"/>
      <c r="AA67" s="25"/>
      <c r="AB67" s="3" t="str">
        <f>IF(Caja_Finanzas[[#This Row],[fecha]]&gt;0,TEXT(Caja_Finanzas[[#This Row],[fecha]],"mmmm"),0)</f>
        <v>Enero</v>
      </c>
    </row>
    <row r="68" spans="1:28" x14ac:dyDescent="0.3">
      <c r="A68" s="2">
        <f>IF(Caja_Finanzas[[#This Row],[tipo_r]]="R",COUNTIFS($C$1:$C67,"R")+1,A67)</f>
        <v>67</v>
      </c>
      <c r="B68" s="19" t="str">
        <f t="shared" si="9"/>
        <v>C-Finanzas</v>
      </c>
      <c r="C68" s="3" t="s">
        <v>1330</v>
      </c>
      <c r="D68" s="14">
        <v>45691</v>
      </c>
      <c r="E68" s="5"/>
      <c r="F68" s="5" t="s">
        <v>1303</v>
      </c>
      <c r="G68" s="5"/>
      <c r="H68" s="6"/>
      <c r="I68" s="6"/>
      <c r="J68" s="6"/>
      <c r="K68" s="6"/>
      <c r="L68" s="7" t="s">
        <v>6118</v>
      </c>
      <c r="M68" s="8" t="str">
        <f>"CFI"&amp;".D"&amp;TEXT(Caja_Finanzas[[#This Row],[fecha]],"DD-MM")&amp;"-"&amp;TEXT(Caja_Finanzas[[#This Row],[item]],"0000")</f>
        <v>CFI.D03-02-0067</v>
      </c>
      <c r="N68" s="8" t="str">
        <f t="shared" si="10"/>
        <v>PEN</v>
      </c>
      <c r="O68" s="13"/>
      <c r="P68" s="13">
        <v>1332</v>
      </c>
      <c r="Q68" s="3">
        <f t="shared" si="6"/>
        <v>1332</v>
      </c>
      <c r="R68" s="3">
        <f t="shared" si="7"/>
        <v>0</v>
      </c>
      <c r="S68" s="3">
        <f t="shared" si="8"/>
        <v>5882.9</v>
      </c>
      <c r="T68" s="24"/>
      <c r="U68" s="24"/>
      <c r="V68" s="3"/>
      <c r="W68" s="25"/>
      <c r="X68" s="25"/>
      <c r="Y68" s="25"/>
      <c r="Z68" s="25"/>
      <c r="AA68" s="25"/>
      <c r="AB68" s="3" t="str">
        <f>IF(Caja_Finanzas[[#This Row],[fecha]]&gt;0,TEXT(Caja_Finanzas[[#This Row],[fecha]],"mmmm"),0)</f>
        <v>Febrero</v>
      </c>
    </row>
    <row r="69" spans="1:28" ht="24" x14ac:dyDescent="0.3">
      <c r="A69" s="2">
        <f>IF(Caja_Finanzas[[#This Row],[tipo_r]]="R",COUNTIFS($C$1:$C68,"R")+1,A68)</f>
        <v>67</v>
      </c>
      <c r="B69" s="19" t="str">
        <f t="shared" si="9"/>
        <v>C-Finanzas</v>
      </c>
      <c r="C69" s="3" t="s">
        <v>1352</v>
      </c>
      <c r="D69" s="14">
        <v>45691</v>
      </c>
      <c r="E69" s="5" t="s">
        <v>6515</v>
      </c>
      <c r="F69" s="5"/>
      <c r="G69" s="5"/>
      <c r="H69" s="6"/>
      <c r="I69" s="6"/>
      <c r="J69" s="6"/>
      <c r="K69" s="6"/>
      <c r="L69" s="7" t="s">
        <v>6118</v>
      </c>
      <c r="M69" s="8" t="str">
        <f>"CFI"&amp;".D"&amp;TEXT(Caja_Finanzas[[#This Row],[fecha]],"DD-MM")&amp;"-"&amp;TEXT(Caja_Finanzas[[#This Row],[item]],"0000")</f>
        <v>CFI.D03-02-0067</v>
      </c>
      <c r="N69" s="8" t="str">
        <f t="shared" si="10"/>
        <v>PEN</v>
      </c>
      <c r="O69" s="13">
        <v>19</v>
      </c>
      <c r="P69" s="13"/>
      <c r="Q69" s="3">
        <f t="shared" si="6"/>
        <v>0</v>
      </c>
      <c r="R69" s="3">
        <f t="shared" si="7"/>
        <v>0</v>
      </c>
      <c r="S69" s="3">
        <f t="shared" si="8"/>
        <v>5882.9</v>
      </c>
      <c r="T69" s="24"/>
      <c r="U69" s="24"/>
      <c r="V69" s="3"/>
      <c r="W69" s="25"/>
      <c r="X69" s="25" t="s">
        <v>6516</v>
      </c>
      <c r="Y69" s="25"/>
      <c r="Z69" s="25"/>
      <c r="AA69" s="25"/>
      <c r="AB69" s="3" t="str">
        <f>IF(Caja_Finanzas[[#This Row],[fecha]]&gt;0,TEXT(Caja_Finanzas[[#This Row],[fecha]],"mmmm"),0)</f>
        <v>Febrero</v>
      </c>
    </row>
    <row r="70" spans="1:28" x14ac:dyDescent="0.3">
      <c r="A70" s="2">
        <f>IF(Caja_Finanzas[[#This Row],[tipo_r]]="R",COUNTIFS($C$1:$C69,"R")+1,A69)</f>
        <v>67</v>
      </c>
      <c r="B70" s="19" t="str">
        <f t="shared" si="9"/>
        <v>C-Finanzas</v>
      </c>
      <c r="C70" s="3" t="s">
        <v>1352</v>
      </c>
      <c r="D70" s="14">
        <v>45691</v>
      </c>
      <c r="E70" s="5" t="s">
        <v>6517</v>
      </c>
      <c r="F70" s="5"/>
      <c r="G70" s="5"/>
      <c r="H70" s="6"/>
      <c r="I70" s="6"/>
      <c r="J70" s="6"/>
      <c r="K70" s="6"/>
      <c r="L70" s="7" t="s">
        <v>6118</v>
      </c>
      <c r="M70" s="8" t="str">
        <f>"CFI"&amp;".D"&amp;TEXT(Caja_Finanzas[[#This Row],[fecha]],"DD-MM")&amp;"-"&amp;TEXT(Caja_Finanzas[[#This Row],[item]],"0000")</f>
        <v>CFI.D03-02-0067</v>
      </c>
      <c r="N70" s="8" t="str">
        <f t="shared" si="10"/>
        <v>PEN</v>
      </c>
      <c r="O70" s="13">
        <v>136</v>
      </c>
      <c r="P70" s="13"/>
      <c r="Q70" s="3">
        <f t="shared" si="6"/>
        <v>0</v>
      </c>
      <c r="R70" s="3">
        <f t="shared" si="7"/>
        <v>0</v>
      </c>
      <c r="S70" s="3">
        <f t="shared" si="8"/>
        <v>5882.9</v>
      </c>
      <c r="T70" s="24"/>
      <c r="U70" s="24"/>
      <c r="V70" s="3"/>
      <c r="W70" s="25"/>
      <c r="X70" s="25" t="s">
        <v>6518</v>
      </c>
      <c r="Y70" s="25"/>
      <c r="Z70" s="25"/>
      <c r="AA70" s="25"/>
      <c r="AB70" s="3" t="str">
        <f>IF(Caja_Finanzas[[#This Row],[fecha]]&gt;0,TEXT(Caja_Finanzas[[#This Row],[fecha]],"mmmm"),0)</f>
        <v>Febrero</v>
      </c>
    </row>
    <row r="71" spans="1:28" x14ac:dyDescent="0.3">
      <c r="A71" s="2">
        <f>IF(Caja_Finanzas[[#This Row],[tipo_r]]="R",COUNTIFS($C$1:$C70,"R")+1,A70)</f>
        <v>67</v>
      </c>
      <c r="B71" s="19" t="str">
        <f t="shared" si="9"/>
        <v>C-Finanzas</v>
      </c>
      <c r="C71" s="3" t="s">
        <v>1352</v>
      </c>
      <c r="D71" s="14">
        <v>45691</v>
      </c>
      <c r="E71" s="5" t="s">
        <v>6443</v>
      </c>
      <c r="F71" s="5"/>
      <c r="G71" s="5"/>
      <c r="H71" s="6"/>
      <c r="I71" s="6"/>
      <c r="J71" s="6"/>
      <c r="K71" s="6"/>
      <c r="L71" s="7" t="s">
        <v>6118</v>
      </c>
      <c r="M71" s="8" t="str">
        <f>"CFI"&amp;".D"&amp;TEXT(Caja_Finanzas[[#This Row],[fecha]],"DD-MM")&amp;"-"&amp;TEXT(Caja_Finanzas[[#This Row],[item]],"0000")</f>
        <v>CFI.D03-02-0067</v>
      </c>
      <c r="N71" s="8" t="str">
        <f t="shared" si="10"/>
        <v>PEN</v>
      </c>
      <c r="O71" s="13">
        <v>13.6</v>
      </c>
      <c r="P71" s="13"/>
      <c r="Q71" s="3">
        <f t="shared" si="6"/>
        <v>0</v>
      </c>
      <c r="R71" s="3">
        <f t="shared" si="7"/>
        <v>0</v>
      </c>
      <c r="S71" s="3">
        <f t="shared" si="8"/>
        <v>5882.9</v>
      </c>
      <c r="T71" s="24"/>
      <c r="U71" s="24"/>
      <c r="V71" s="3"/>
      <c r="W71" s="25"/>
      <c r="X71" s="25" t="s">
        <v>6519</v>
      </c>
      <c r="Y71" s="25"/>
      <c r="Z71" s="25"/>
      <c r="AA71" s="25"/>
      <c r="AB71" s="3" t="str">
        <f>IF(Caja_Finanzas[[#This Row],[fecha]]&gt;0,TEXT(Caja_Finanzas[[#This Row],[fecha]],"mmmm"),0)</f>
        <v>Febrero</v>
      </c>
    </row>
    <row r="72" spans="1:28" ht="24" x14ac:dyDescent="0.3">
      <c r="A72" s="2">
        <f>IF(Caja_Finanzas[[#This Row],[tipo_r]]="R",COUNTIFS($C$1:$C71,"R")+1,A71)</f>
        <v>67</v>
      </c>
      <c r="B72" s="19" t="str">
        <f t="shared" si="9"/>
        <v>C-Finanzas</v>
      </c>
      <c r="C72" s="3" t="s">
        <v>1352</v>
      </c>
      <c r="D72" s="14">
        <v>45691</v>
      </c>
      <c r="E72" s="5" t="s">
        <v>6520</v>
      </c>
      <c r="F72" s="5"/>
      <c r="G72" s="5"/>
      <c r="H72" s="6"/>
      <c r="I72" s="6"/>
      <c r="J72" s="6"/>
      <c r="K72" s="6"/>
      <c r="L72" s="7" t="s">
        <v>6118</v>
      </c>
      <c r="M72" s="8" t="str">
        <f>"CFI"&amp;".D"&amp;TEXT(Caja_Finanzas[[#This Row],[fecha]],"DD-MM")&amp;"-"&amp;TEXT(Caja_Finanzas[[#This Row],[item]],"0000")</f>
        <v>CFI.D03-02-0067</v>
      </c>
      <c r="N72" s="8" t="str">
        <f t="shared" si="10"/>
        <v>PEN</v>
      </c>
      <c r="O72" s="13">
        <v>12</v>
      </c>
      <c r="P72" s="13"/>
      <c r="Q72" s="3">
        <f t="shared" si="6"/>
        <v>0</v>
      </c>
      <c r="R72" s="3">
        <f t="shared" si="7"/>
        <v>0</v>
      </c>
      <c r="S72" s="3">
        <f t="shared" si="8"/>
        <v>5882.9</v>
      </c>
      <c r="T72" s="24"/>
      <c r="U72" s="24"/>
      <c r="V72" s="3"/>
      <c r="W72" s="25"/>
      <c r="X72" s="25" t="s">
        <v>6521</v>
      </c>
      <c r="Y72" s="25"/>
      <c r="Z72" s="25"/>
      <c r="AA72" s="25"/>
      <c r="AB72" s="3" t="str">
        <f>IF(Caja_Finanzas[[#This Row],[fecha]]&gt;0,TEXT(Caja_Finanzas[[#This Row],[fecha]],"mmmm"),0)</f>
        <v>Febrero</v>
      </c>
    </row>
    <row r="73" spans="1:28" x14ac:dyDescent="0.3">
      <c r="A73" s="2">
        <f>IF(Caja_Finanzas[[#This Row],[tipo_r]]="R",COUNTIFS($C$1:$C72,"R")+1,A72)</f>
        <v>67</v>
      </c>
      <c r="B73" s="19" t="str">
        <f t="shared" si="9"/>
        <v>C-Finanzas</v>
      </c>
      <c r="C73" s="3" t="s">
        <v>1352</v>
      </c>
      <c r="D73" s="14">
        <v>45691</v>
      </c>
      <c r="E73" s="5" t="s">
        <v>6522</v>
      </c>
      <c r="F73" s="5"/>
      <c r="G73" s="5"/>
      <c r="H73" s="6"/>
      <c r="I73" s="6"/>
      <c r="J73" s="6"/>
      <c r="K73" s="6"/>
      <c r="L73" s="7" t="s">
        <v>6118</v>
      </c>
      <c r="M73" s="8" t="str">
        <f>"CFI"&amp;".D"&amp;TEXT(Caja_Finanzas[[#This Row],[fecha]],"DD-MM")&amp;"-"&amp;TEXT(Caja_Finanzas[[#This Row],[item]],"0000")</f>
        <v>CFI.D03-02-0067</v>
      </c>
      <c r="N73" s="8" t="str">
        <f t="shared" si="10"/>
        <v>PEN</v>
      </c>
      <c r="O73" s="13">
        <v>6</v>
      </c>
      <c r="P73" s="13"/>
      <c r="Q73" s="3">
        <f t="shared" si="6"/>
        <v>0</v>
      </c>
      <c r="R73" s="3">
        <f t="shared" si="7"/>
        <v>0</v>
      </c>
      <c r="S73" s="3">
        <f t="shared" si="8"/>
        <v>5882.9</v>
      </c>
      <c r="T73" s="24"/>
      <c r="U73" s="24"/>
      <c r="V73" s="3"/>
      <c r="W73" s="25"/>
      <c r="X73" s="25" t="s">
        <v>6523</v>
      </c>
      <c r="Y73" s="25"/>
      <c r="Z73" s="25"/>
      <c r="AA73" s="25"/>
      <c r="AB73" s="3" t="str">
        <f>IF(Caja_Finanzas[[#This Row],[fecha]]&gt;0,TEXT(Caja_Finanzas[[#This Row],[fecha]],"mmmm"),0)</f>
        <v>Febrero</v>
      </c>
    </row>
    <row r="74" spans="1:28" ht="24" x14ac:dyDescent="0.3">
      <c r="A74" s="2">
        <f>IF(Caja_Finanzas[[#This Row],[tipo_r]]="R",COUNTIFS($C$1:$C73,"R")+1,A73)</f>
        <v>67</v>
      </c>
      <c r="B74" s="19" t="str">
        <f t="shared" si="9"/>
        <v>C-Finanzas</v>
      </c>
      <c r="C74" s="3" t="s">
        <v>1352</v>
      </c>
      <c r="D74" s="14">
        <v>45691</v>
      </c>
      <c r="E74" s="5" t="s">
        <v>3679</v>
      </c>
      <c r="F74" s="5"/>
      <c r="G74" s="5"/>
      <c r="H74" s="6"/>
      <c r="I74" s="6"/>
      <c r="J74" s="6"/>
      <c r="K74" s="6"/>
      <c r="L74" s="7" t="s">
        <v>6118</v>
      </c>
      <c r="M74" s="8" t="str">
        <f>"CFI"&amp;".D"&amp;TEXT(Caja_Finanzas[[#This Row],[fecha]],"DD-MM")&amp;"-"&amp;TEXT(Caja_Finanzas[[#This Row],[item]],"0000")</f>
        <v>CFI.D03-02-0067</v>
      </c>
      <c r="N74" s="8" t="str">
        <f t="shared" si="10"/>
        <v>PEN</v>
      </c>
      <c r="O74" s="13">
        <v>47.5</v>
      </c>
      <c r="P74" s="13"/>
      <c r="Q74" s="3">
        <f t="shared" si="6"/>
        <v>0</v>
      </c>
      <c r="R74" s="3">
        <f t="shared" si="7"/>
        <v>0</v>
      </c>
      <c r="S74" s="3">
        <f t="shared" si="8"/>
        <v>5882.9</v>
      </c>
      <c r="T74" s="24"/>
      <c r="U74" s="24"/>
      <c r="V74" s="3"/>
      <c r="W74" s="25"/>
      <c r="X74" s="25" t="s">
        <v>6524</v>
      </c>
      <c r="Y74" s="25"/>
      <c r="Z74" s="25"/>
      <c r="AA74" s="25"/>
      <c r="AB74" s="3" t="str">
        <f>IF(Caja_Finanzas[[#This Row],[fecha]]&gt;0,TEXT(Caja_Finanzas[[#This Row],[fecha]],"mmmm"),0)</f>
        <v>Febrero</v>
      </c>
    </row>
    <row r="75" spans="1:28" x14ac:dyDescent="0.3">
      <c r="A75" s="2">
        <f>IF(Caja_Finanzas[[#This Row],[tipo_r]]="R",COUNTIFS($C$1:$C74,"R")+1,A74)</f>
        <v>67</v>
      </c>
      <c r="B75" s="19" t="str">
        <f t="shared" si="9"/>
        <v>C-Finanzas</v>
      </c>
      <c r="C75" s="3" t="s">
        <v>1352</v>
      </c>
      <c r="D75" s="14">
        <v>45691</v>
      </c>
      <c r="E75" s="5" t="s">
        <v>6517</v>
      </c>
      <c r="F75" s="5"/>
      <c r="G75" s="5"/>
      <c r="H75" s="6"/>
      <c r="I75" s="6"/>
      <c r="J75" s="6"/>
      <c r="K75" s="6"/>
      <c r="L75" s="7" t="s">
        <v>6118</v>
      </c>
      <c r="M75" s="8" t="str">
        <f>"CFI"&amp;".D"&amp;TEXT(Caja_Finanzas[[#This Row],[fecha]],"DD-MM")&amp;"-"&amp;TEXT(Caja_Finanzas[[#This Row],[item]],"0000")</f>
        <v>CFI.D03-02-0067</v>
      </c>
      <c r="N75" s="8" t="str">
        <f t="shared" si="10"/>
        <v>PEN</v>
      </c>
      <c r="O75" s="13">
        <v>20.8</v>
      </c>
      <c r="P75" s="13"/>
      <c r="Q75" s="3">
        <f t="shared" si="6"/>
        <v>0</v>
      </c>
      <c r="R75" s="3">
        <f t="shared" si="7"/>
        <v>0</v>
      </c>
      <c r="S75" s="3">
        <f t="shared" si="8"/>
        <v>5882.9</v>
      </c>
      <c r="T75" s="24"/>
      <c r="U75" s="24"/>
      <c r="V75" s="3"/>
      <c r="W75" s="25"/>
      <c r="X75" s="25" t="s">
        <v>6525</v>
      </c>
      <c r="Y75" s="25"/>
      <c r="Z75" s="25"/>
      <c r="AA75" s="25"/>
      <c r="AB75" s="3" t="str">
        <f>IF(Caja_Finanzas[[#This Row],[fecha]]&gt;0,TEXT(Caja_Finanzas[[#This Row],[fecha]],"mmmm"),0)</f>
        <v>Febrero</v>
      </c>
    </row>
    <row r="76" spans="1:28" ht="24" x14ac:dyDescent="0.3">
      <c r="A76" s="2">
        <f>IF(Caja_Finanzas[[#This Row],[tipo_r]]="R",COUNTIFS($C$1:$C75,"R")+1,A75)</f>
        <v>67</v>
      </c>
      <c r="B76" s="19" t="str">
        <f t="shared" si="9"/>
        <v>C-Finanzas</v>
      </c>
      <c r="C76" s="3" t="s">
        <v>1352</v>
      </c>
      <c r="D76" s="14">
        <v>45691</v>
      </c>
      <c r="E76" s="5" t="s">
        <v>6526</v>
      </c>
      <c r="F76" s="5"/>
      <c r="G76" s="5"/>
      <c r="H76" s="6"/>
      <c r="I76" s="6"/>
      <c r="J76" s="6"/>
      <c r="K76" s="6"/>
      <c r="L76" s="7" t="s">
        <v>6118</v>
      </c>
      <c r="M76" s="8" t="str">
        <f>"CFI"&amp;".D"&amp;TEXT(Caja_Finanzas[[#This Row],[fecha]],"DD-MM")&amp;"-"&amp;TEXT(Caja_Finanzas[[#This Row],[item]],"0000")</f>
        <v>CFI.D03-02-0067</v>
      </c>
      <c r="N76" s="8" t="str">
        <f t="shared" si="10"/>
        <v>PEN</v>
      </c>
      <c r="O76" s="13">
        <v>682</v>
      </c>
      <c r="P76" s="13"/>
      <c r="Q76" s="3">
        <f t="shared" si="6"/>
        <v>0</v>
      </c>
      <c r="R76" s="3">
        <f t="shared" si="7"/>
        <v>0</v>
      </c>
      <c r="S76" s="3">
        <f t="shared" si="8"/>
        <v>5882.9</v>
      </c>
      <c r="T76" s="24"/>
      <c r="U76" s="24"/>
      <c r="V76" s="3"/>
      <c r="W76" s="25"/>
      <c r="X76" s="25" t="s">
        <v>6527</v>
      </c>
      <c r="Y76" s="25"/>
      <c r="Z76" s="25"/>
      <c r="AA76" s="25"/>
      <c r="AB76" s="3" t="str">
        <f>IF(Caja_Finanzas[[#This Row],[fecha]]&gt;0,TEXT(Caja_Finanzas[[#This Row],[fecha]],"mmmm"),0)</f>
        <v>Febrero</v>
      </c>
    </row>
    <row r="77" spans="1:28" ht="24" x14ac:dyDescent="0.3">
      <c r="A77" s="2">
        <f>IF(Caja_Finanzas[[#This Row],[tipo_r]]="R",COUNTIFS($C$1:$C76,"R")+1,A76)</f>
        <v>67</v>
      </c>
      <c r="B77" s="19" t="str">
        <f t="shared" si="9"/>
        <v>C-Finanzas</v>
      </c>
      <c r="C77" s="3" t="s">
        <v>1352</v>
      </c>
      <c r="D77" s="14">
        <v>45691</v>
      </c>
      <c r="E77" s="5" t="s">
        <v>6526</v>
      </c>
      <c r="F77" s="5"/>
      <c r="G77" s="5"/>
      <c r="H77" s="6"/>
      <c r="I77" s="6"/>
      <c r="J77" s="6"/>
      <c r="K77" s="6"/>
      <c r="L77" s="7" t="s">
        <v>6118</v>
      </c>
      <c r="M77" s="8" t="str">
        <f>"CFI"&amp;".D"&amp;TEXT(Caja_Finanzas[[#This Row],[fecha]],"DD-MM")&amp;"-"&amp;TEXT(Caja_Finanzas[[#This Row],[item]],"0000")</f>
        <v>CFI.D03-02-0067</v>
      </c>
      <c r="N77" s="8" t="str">
        <f t="shared" si="10"/>
        <v>PEN</v>
      </c>
      <c r="O77" s="13">
        <v>395.1</v>
      </c>
      <c r="P77" s="13"/>
      <c r="Q77" s="3">
        <f t="shared" si="6"/>
        <v>0</v>
      </c>
      <c r="R77" s="3">
        <f t="shared" si="7"/>
        <v>0</v>
      </c>
      <c r="S77" s="3">
        <f t="shared" si="8"/>
        <v>5882.9</v>
      </c>
      <c r="T77" s="24"/>
      <c r="U77" s="24"/>
      <c r="V77" s="3"/>
      <c r="W77" s="25"/>
      <c r="X77" s="25" t="s">
        <v>6528</v>
      </c>
      <c r="Y77" s="25"/>
      <c r="Z77" s="25"/>
      <c r="AA77" s="25"/>
      <c r="AB77" s="3" t="str">
        <f>IF(Caja_Finanzas[[#This Row],[fecha]]&gt;0,TEXT(Caja_Finanzas[[#This Row],[fecha]],"mmmm"),0)</f>
        <v>Febrero</v>
      </c>
    </row>
    <row r="78" spans="1:28" ht="24" x14ac:dyDescent="0.3">
      <c r="A78" s="2">
        <f>IF(Caja_Finanzas[[#This Row],[tipo_r]]="R",COUNTIFS($C$1:$C77,"R")+1,A77)</f>
        <v>68</v>
      </c>
      <c r="B78" s="19" t="str">
        <f t="shared" si="9"/>
        <v>C-Finanzas</v>
      </c>
      <c r="C78" s="3" t="s">
        <v>1330</v>
      </c>
      <c r="D78" s="14">
        <v>45678</v>
      </c>
      <c r="E78" s="5" t="s">
        <v>6529</v>
      </c>
      <c r="F78" s="5" t="s">
        <v>1303</v>
      </c>
      <c r="G78" s="5"/>
      <c r="H78" s="6"/>
      <c r="I78" s="6"/>
      <c r="J78" s="6"/>
      <c r="K78" s="6"/>
      <c r="L78" s="7" t="s">
        <v>6530</v>
      </c>
      <c r="M78" s="8" t="str">
        <f>"CFI"&amp;".D"&amp;TEXT(Caja_Finanzas[[#This Row],[fecha]],"DD-MM")&amp;"-"&amp;TEXT(Caja_Finanzas[[#This Row],[item]],"0000")</f>
        <v>CFI.D21-01-0068</v>
      </c>
      <c r="N78" s="8" t="str">
        <f t="shared" si="10"/>
        <v>PEN</v>
      </c>
      <c r="O78" s="13"/>
      <c r="P78" s="13">
        <v>50</v>
      </c>
      <c r="Q78" s="3">
        <f t="shared" si="6"/>
        <v>50</v>
      </c>
      <c r="R78" s="3">
        <f t="shared" si="7"/>
        <v>0</v>
      </c>
      <c r="S78" s="3">
        <f t="shared" si="8"/>
        <v>5932.9</v>
      </c>
      <c r="T78" s="24"/>
      <c r="U78" s="24"/>
      <c r="V78" s="3"/>
      <c r="W78" s="25" t="s">
        <v>425</v>
      </c>
      <c r="X78" s="25"/>
      <c r="Y78" s="25"/>
      <c r="Z78" s="25"/>
      <c r="AA78" s="25"/>
      <c r="AB78" s="3" t="str">
        <f>IF(Caja_Finanzas[[#This Row],[fecha]]&gt;0,TEXT(Caja_Finanzas[[#This Row],[fecha]],"mmmm"),0)</f>
        <v>Enero</v>
      </c>
    </row>
    <row r="79" spans="1:28" ht="24" x14ac:dyDescent="0.3">
      <c r="A79" s="2">
        <f>IF(Caja_Finanzas[[#This Row],[tipo_r]]="R",COUNTIFS($C$1:$C78,"R")+1,A78)</f>
        <v>69</v>
      </c>
      <c r="B79" s="19" t="str">
        <f t="shared" si="9"/>
        <v>C-Finanzas</v>
      </c>
      <c r="C79" s="3" t="s">
        <v>1330</v>
      </c>
      <c r="D79" s="14">
        <v>45678</v>
      </c>
      <c r="E79" s="5" t="s">
        <v>6418</v>
      </c>
      <c r="F79" s="5" t="s">
        <v>1336</v>
      </c>
      <c r="G79" s="5"/>
      <c r="H79" s="6"/>
      <c r="I79" s="6"/>
      <c r="J79" s="6"/>
      <c r="K79" s="6"/>
      <c r="L79" s="7" t="s">
        <v>6531</v>
      </c>
      <c r="M79" s="8" t="str">
        <f>"CFI"&amp;".D"&amp;TEXT(Caja_Finanzas[[#This Row],[fecha]],"DD-MM")&amp;"-"&amp;TEXT(Caja_Finanzas[[#This Row],[item]],"0000")</f>
        <v>CFI.D21-01-0069</v>
      </c>
      <c r="N79" s="8" t="str">
        <f t="shared" si="10"/>
        <v>PEN</v>
      </c>
      <c r="O79" s="13"/>
      <c r="P79" s="13">
        <v>2000</v>
      </c>
      <c r="Q79" s="3">
        <f t="shared" si="6"/>
        <v>0</v>
      </c>
      <c r="R79" s="3">
        <f t="shared" si="7"/>
        <v>2000</v>
      </c>
      <c r="S79" s="3">
        <f t="shared" si="8"/>
        <v>3932.8999999999996</v>
      </c>
      <c r="T79" s="24"/>
      <c r="U79" s="24"/>
      <c r="V79" s="3"/>
      <c r="W79" s="25" t="s">
        <v>6532</v>
      </c>
      <c r="X79" s="25"/>
      <c r="Y79" s="25"/>
      <c r="Z79" s="25"/>
      <c r="AA79" s="25"/>
      <c r="AB79" s="3" t="str">
        <f>IF(Caja_Finanzas[[#This Row],[fecha]]&gt;0,TEXT(Caja_Finanzas[[#This Row],[fecha]],"mmmm"),0)</f>
        <v>Enero</v>
      </c>
    </row>
    <row r="80" spans="1:28" ht="24" x14ac:dyDescent="0.3">
      <c r="A80" s="2">
        <f>IF(Caja_Finanzas[[#This Row],[tipo_r]]="R",COUNTIFS($C$1:$C79,"R")+1,A79)</f>
        <v>70</v>
      </c>
      <c r="B80" s="19" t="str">
        <f t="shared" si="9"/>
        <v>C-Finanzas</v>
      </c>
      <c r="C80" s="3" t="s">
        <v>1330</v>
      </c>
      <c r="D80" s="14">
        <v>45680</v>
      </c>
      <c r="E80" s="5" t="s">
        <v>1669</v>
      </c>
      <c r="F80" s="5" t="s">
        <v>1303</v>
      </c>
      <c r="G80" s="5"/>
      <c r="H80" s="6" t="s">
        <v>425</v>
      </c>
      <c r="I80" s="6" t="s">
        <v>119</v>
      </c>
      <c r="J80" s="6">
        <v>1</v>
      </c>
      <c r="K80" s="6">
        <v>4103</v>
      </c>
      <c r="L80" s="7" t="s">
        <v>6118</v>
      </c>
      <c r="M80" s="8" t="str">
        <f>"CFI"&amp;".D"&amp;TEXT(Caja_Finanzas[[#This Row],[fecha]],"DD-MM")&amp;"-"&amp;TEXT(Caja_Finanzas[[#This Row],[item]],"0000")</f>
        <v>CFI.D23-01-0070</v>
      </c>
      <c r="N80" s="8" t="str">
        <f t="shared" si="10"/>
        <v>PEN</v>
      </c>
      <c r="O80" s="13"/>
      <c r="P80" s="13">
        <v>2129</v>
      </c>
      <c r="Q80" s="3">
        <f t="shared" si="6"/>
        <v>2129</v>
      </c>
      <c r="R80" s="3">
        <f t="shared" si="7"/>
        <v>0</v>
      </c>
      <c r="S80" s="3">
        <f t="shared" si="8"/>
        <v>6061.9</v>
      </c>
      <c r="T80" s="24"/>
      <c r="U80" s="24"/>
      <c r="V80" s="3"/>
      <c r="W80" s="25"/>
      <c r="X80" s="25" t="s">
        <v>1670</v>
      </c>
      <c r="Y80" s="25"/>
      <c r="Z80" s="25"/>
      <c r="AA80" s="25"/>
      <c r="AB80" s="3" t="str">
        <f>IF(Caja_Finanzas[[#This Row],[fecha]]&gt;0,TEXT(Caja_Finanzas[[#This Row],[fecha]],"mmmm"),0)</f>
        <v>Enero</v>
      </c>
    </row>
    <row r="81" spans="1:28" ht="24" x14ac:dyDescent="0.3">
      <c r="A81" s="2">
        <f>IF(Caja_Finanzas[[#This Row],[tipo_r]]="R",COUNTIFS($C$1:$C80,"R")+1,A80)</f>
        <v>71</v>
      </c>
      <c r="B81" s="19" t="str">
        <f t="shared" si="9"/>
        <v>C-Finanzas</v>
      </c>
      <c r="C81" s="3" t="s">
        <v>1330</v>
      </c>
      <c r="D81" s="14">
        <v>45681</v>
      </c>
      <c r="E81" s="5" t="s">
        <v>6420</v>
      </c>
      <c r="F81" s="5" t="s">
        <v>1336</v>
      </c>
      <c r="G81" s="5"/>
      <c r="H81" s="6"/>
      <c r="I81" s="6"/>
      <c r="J81" s="6"/>
      <c r="K81" s="6"/>
      <c r="L81" s="7" t="s">
        <v>6533</v>
      </c>
      <c r="M81" s="8" t="str">
        <f>"CFI"&amp;".D"&amp;TEXT(Caja_Finanzas[[#This Row],[fecha]],"DD-MM")&amp;"-"&amp;TEXT(Caja_Finanzas[[#This Row],[item]],"0000")</f>
        <v>CFI.D24-01-0071</v>
      </c>
      <c r="N81" s="8" t="str">
        <f t="shared" si="10"/>
        <v>PEN</v>
      </c>
      <c r="O81" s="13"/>
      <c r="P81" s="13">
        <v>70</v>
      </c>
      <c r="Q81" s="3">
        <f t="shared" si="6"/>
        <v>0</v>
      </c>
      <c r="R81" s="3">
        <f t="shared" si="7"/>
        <v>70</v>
      </c>
      <c r="S81" s="3">
        <f t="shared" si="8"/>
        <v>5991.9</v>
      </c>
      <c r="T81" s="24"/>
      <c r="U81" s="24"/>
      <c r="V81" s="3"/>
      <c r="W81" s="25" t="s">
        <v>6507</v>
      </c>
      <c r="X81" s="25" t="s">
        <v>6534</v>
      </c>
      <c r="Y81" s="25"/>
      <c r="Z81" s="25"/>
      <c r="AA81" s="25"/>
      <c r="AB81" s="3" t="str">
        <f>IF(Caja_Finanzas[[#This Row],[fecha]]&gt;0,TEXT(Caja_Finanzas[[#This Row],[fecha]],"mmmm"),0)</f>
        <v>Enero</v>
      </c>
    </row>
    <row r="82" spans="1:28" ht="36" x14ac:dyDescent="0.3">
      <c r="A82" s="2">
        <f>IF(Caja_Finanzas[[#This Row],[tipo_r]]="R",COUNTIFS($C$1:$C81,"R")+1,A81)</f>
        <v>72</v>
      </c>
      <c r="B82" s="19" t="str">
        <f t="shared" si="9"/>
        <v>C-Finanzas</v>
      </c>
      <c r="C82" s="3" t="s">
        <v>1330</v>
      </c>
      <c r="D82" s="14">
        <v>45681</v>
      </c>
      <c r="E82" s="5" t="s">
        <v>6420</v>
      </c>
      <c r="F82" s="5" t="s">
        <v>1336</v>
      </c>
      <c r="G82" s="5"/>
      <c r="H82" s="6"/>
      <c r="I82" s="6"/>
      <c r="J82" s="6"/>
      <c r="K82" s="6"/>
      <c r="L82" s="7" t="s">
        <v>6535</v>
      </c>
      <c r="M82" s="8" t="str">
        <f>"CFI"&amp;".D"&amp;TEXT(Caja_Finanzas[[#This Row],[fecha]],"DD-MM")&amp;"-"&amp;TEXT(Caja_Finanzas[[#This Row],[item]],"0000")</f>
        <v>CFI.D24-01-0072</v>
      </c>
      <c r="N82" s="8" t="str">
        <f t="shared" si="10"/>
        <v>PEN</v>
      </c>
      <c r="O82" s="13"/>
      <c r="P82" s="13">
        <v>9.5</v>
      </c>
      <c r="Q82" s="3">
        <f t="shared" si="6"/>
        <v>0</v>
      </c>
      <c r="R82" s="3">
        <f t="shared" si="7"/>
        <v>9.5</v>
      </c>
      <c r="S82" s="3">
        <f t="shared" si="8"/>
        <v>5982.4</v>
      </c>
      <c r="T82" s="24"/>
      <c r="U82" s="24"/>
      <c r="V82" s="3"/>
      <c r="W82" s="25" t="s">
        <v>6507</v>
      </c>
      <c r="X82" s="25" t="s">
        <v>6536</v>
      </c>
      <c r="Y82" s="25"/>
      <c r="Z82" s="25"/>
      <c r="AA82" s="25"/>
      <c r="AB82" s="3" t="str">
        <f>IF(Caja_Finanzas[[#This Row],[fecha]]&gt;0,TEXT(Caja_Finanzas[[#This Row],[fecha]],"mmmm"),0)</f>
        <v>Enero</v>
      </c>
    </row>
    <row r="83" spans="1:28" ht="36" x14ac:dyDescent="0.3">
      <c r="A83" s="2">
        <f>IF(Caja_Finanzas[[#This Row],[tipo_r]]="R",COUNTIFS($C$1:$C82,"R")+1,A82)</f>
        <v>73</v>
      </c>
      <c r="B83" s="19" t="str">
        <f t="shared" si="9"/>
        <v>C-Finanzas</v>
      </c>
      <c r="C83" s="3" t="s">
        <v>1330</v>
      </c>
      <c r="D83" s="14">
        <v>45681</v>
      </c>
      <c r="E83" s="5" t="s">
        <v>6420</v>
      </c>
      <c r="F83" s="5" t="s">
        <v>1336</v>
      </c>
      <c r="G83" s="5"/>
      <c r="H83" s="6"/>
      <c r="I83" s="6"/>
      <c r="J83" s="6"/>
      <c r="K83" s="6"/>
      <c r="L83" s="7" t="s">
        <v>6537</v>
      </c>
      <c r="M83" s="8" t="str">
        <f>"CFI"&amp;".D"&amp;TEXT(Caja_Finanzas[[#This Row],[fecha]],"DD-MM")&amp;"-"&amp;TEXT(Caja_Finanzas[[#This Row],[item]],"0000")</f>
        <v>CFI.D24-01-0073</v>
      </c>
      <c r="N83" s="8" t="str">
        <f t="shared" si="10"/>
        <v>PEN</v>
      </c>
      <c r="O83" s="13"/>
      <c r="P83" s="13">
        <v>1300</v>
      </c>
      <c r="Q83" s="3">
        <f t="shared" si="6"/>
        <v>0</v>
      </c>
      <c r="R83" s="3">
        <f t="shared" si="7"/>
        <v>1300</v>
      </c>
      <c r="S83" s="3">
        <f t="shared" si="8"/>
        <v>4682.3999999999996</v>
      </c>
      <c r="T83" s="24"/>
      <c r="U83" s="24"/>
      <c r="V83" s="3"/>
      <c r="W83" s="25" t="s">
        <v>6538</v>
      </c>
      <c r="X83" s="25" t="s">
        <v>6539</v>
      </c>
      <c r="Y83" s="25"/>
      <c r="Z83" s="25"/>
      <c r="AA83" s="25"/>
      <c r="AB83" s="3" t="str">
        <f>IF(Caja_Finanzas[[#This Row],[fecha]]&gt;0,TEXT(Caja_Finanzas[[#This Row],[fecha]],"mmmm"),0)</f>
        <v>Enero</v>
      </c>
    </row>
    <row r="84" spans="1:28" x14ac:dyDescent="0.3">
      <c r="A84" s="2">
        <f>IF(Caja_Finanzas[[#This Row],[tipo_r]]="R",COUNTIFS($C$1:$C83,"R")+1,A83)</f>
        <v>74</v>
      </c>
      <c r="B84" s="19" t="str">
        <f t="shared" si="9"/>
        <v>C-Finanzas</v>
      </c>
      <c r="C84" s="3" t="s">
        <v>1330</v>
      </c>
      <c r="D84" s="14">
        <v>45681</v>
      </c>
      <c r="E84" s="5" t="s">
        <v>1739</v>
      </c>
      <c r="F84" s="5" t="s">
        <v>1303</v>
      </c>
      <c r="G84" s="5"/>
      <c r="H84" s="6" t="s">
        <v>425</v>
      </c>
      <c r="I84" s="6" t="s">
        <v>119</v>
      </c>
      <c r="J84" s="6">
        <v>1</v>
      </c>
      <c r="K84" s="6">
        <v>4106</v>
      </c>
      <c r="L84" s="7" t="s">
        <v>6118</v>
      </c>
      <c r="M84" s="8" t="str">
        <f>"CFI"&amp;".D"&amp;TEXT(Caja_Finanzas[[#This Row],[fecha]],"DD-MM")&amp;"-"&amp;TEXT(Caja_Finanzas[[#This Row],[item]],"0000")</f>
        <v>CFI.D24-01-0074</v>
      </c>
      <c r="N84" s="8" t="str">
        <f t="shared" si="10"/>
        <v>PEN</v>
      </c>
      <c r="O84" s="13"/>
      <c r="P84" s="13">
        <v>150</v>
      </c>
      <c r="Q84" s="3">
        <f t="shared" si="6"/>
        <v>150</v>
      </c>
      <c r="R84" s="3">
        <f t="shared" si="7"/>
        <v>0</v>
      </c>
      <c r="S84" s="3">
        <f t="shared" si="8"/>
        <v>4832.3999999999996</v>
      </c>
      <c r="T84" s="24"/>
      <c r="U84" s="24"/>
      <c r="V84" s="3"/>
      <c r="W84" s="25" t="s">
        <v>425</v>
      </c>
      <c r="X84" s="25" t="s">
        <v>6540</v>
      </c>
      <c r="Y84" s="25"/>
      <c r="Z84" s="25"/>
      <c r="AA84" s="25"/>
      <c r="AB84" s="3" t="str">
        <f>IF(Caja_Finanzas[[#This Row],[fecha]]&gt;0,TEXT(Caja_Finanzas[[#This Row],[fecha]],"mmmm"),0)</f>
        <v>Enero</v>
      </c>
    </row>
    <row r="85" spans="1:28" ht="24" x14ac:dyDescent="0.3">
      <c r="A85" s="2">
        <f>IF(Caja_Finanzas[[#This Row],[tipo_r]]="R",COUNTIFS($C$1:$C84,"R")+1,A84)</f>
        <v>75</v>
      </c>
      <c r="B85" s="19" t="str">
        <f t="shared" si="9"/>
        <v>C-Finanzas</v>
      </c>
      <c r="C85" s="3" t="s">
        <v>1330</v>
      </c>
      <c r="D85" s="14">
        <v>45681</v>
      </c>
      <c r="E85" s="5" t="s">
        <v>1696</v>
      </c>
      <c r="F85" s="5" t="s">
        <v>1303</v>
      </c>
      <c r="G85" s="5"/>
      <c r="H85" s="6" t="s">
        <v>425</v>
      </c>
      <c r="I85" s="6" t="s">
        <v>119</v>
      </c>
      <c r="J85" s="6">
        <v>1</v>
      </c>
      <c r="K85" s="6">
        <v>3595</v>
      </c>
      <c r="L85" s="7" t="s">
        <v>6118</v>
      </c>
      <c r="M85" s="8" t="str">
        <f>"CFI"&amp;".D"&amp;TEXT(Caja_Finanzas[[#This Row],[fecha]],"DD-MM")&amp;"-"&amp;TEXT(Caja_Finanzas[[#This Row],[item]],"0000")</f>
        <v>CFI.D24-01-0075</v>
      </c>
      <c r="N85" s="8" t="str">
        <f t="shared" si="10"/>
        <v>PEN</v>
      </c>
      <c r="O85" s="13"/>
      <c r="P85" s="13">
        <v>12</v>
      </c>
      <c r="Q85" s="3">
        <f t="shared" si="6"/>
        <v>12</v>
      </c>
      <c r="R85" s="3">
        <f t="shared" si="7"/>
        <v>0</v>
      </c>
      <c r="S85" s="3">
        <f t="shared" si="8"/>
        <v>4844.3999999999996</v>
      </c>
      <c r="T85" s="24"/>
      <c r="U85" s="24"/>
      <c r="V85" s="3"/>
      <c r="W85" s="25" t="s">
        <v>425</v>
      </c>
      <c r="X85" s="25" t="s">
        <v>6541</v>
      </c>
      <c r="Y85" s="25"/>
      <c r="Z85" s="25"/>
      <c r="AA85" s="25"/>
      <c r="AB85" s="3" t="str">
        <f>IF(Caja_Finanzas[[#This Row],[fecha]]&gt;0,TEXT(Caja_Finanzas[[#This Row],[fecha]],"mmmm"),0)</f>
        <v>Enero</v>
      </c>
    </row>
    <row r="86" spans="1:28" ht="24" x14ac:dyDescent="0.3">
      <c r="A86" s="2">
        <f>IF(Caja_Finanzas[[#This Row],[tipo_r]]="R",COUNTIFS($C$1:$C85,"R")+1,A85)</f>
        <v>76</v>
      </c>
      <c r="B86" s="19" t="str">
        <f t="shared" si="9"/>
        <v>C-Finanzas</v>
      </c>
      <c r="C86" s="3" t="s">
        <v>1330</v>
      </c>
      <c r="D86" s="14">
        <v>45681</v>
      </c>
      <c r="E86" s="5" t="s">
        <v>1696</v>
      </c>
      <c r="F86" s="5" t="s">
        <v>1303</v>
      </c>
      <c r="G86" s="5"/>
      <c r="H86" s="6" t="s">
        <v>425</v>
      </c>
      <c r="I86" s="6" t="s">
        <v>119</v>
      </c>
      <c r="J86" s="6">
        <v>1</v>
      </c>
      <c r="K86" s="6">
        <v>4010</v>
      </c>
      <c r="L86" s="7" t="s">
        <v>6118</v>
      </c>
      <c r="M86" s="8" t="str">
        <f>"CFI"&amp;".D"&amp;TEXT(Caja_Finanzas[[#This Row],[fecha]],"DD-MM")&amp;"-"&amp;TEXT(Caja_Finanzas[[#This Row],[item]],"0000")</f>
        <v>CFI.D24-01-0076</v>
      </c>
      <c r="N86" s="8" t="str">
        <f t="shared" si="10"/>
        <v>PEN</v>
      </c>
      <c r="O86" s="13"/>
      <c r="P86" s="13">
        <v>22</v>
      </c>
      <c r="Q86" s="3">
        <f t="shared" si="6"/>
        <v>22</v>
      </c>
      <c r="R86" s="3">
        <f t="shared" si="7"/>
        <v>0</v>
      </c>
      <c r="S86" s="3">
        <f t="shared" si="8"/>
        <v>4866.3999999999996</v>
      </c>
      <c r="T86" s="24"/>
      <c r="U86" s="24"/>
      <c r="V86" s="3"/>
      <c r="W86" s="25" t="s">
        <v>425</v>
      </c>
      <c r="X86" s="25" t="s">
        <v>6542</v>
      </c>
      <c r="Y86" s="25"/>
      <c r="Z86" s="25"/>
      <c r="AA86" s="25"/>
      <c r="AB86" s="3" t="str">
        <f>IF(Caja_Finanzas[[#This Row],[fecha]]&gt;0,TEXT(Caja_Finanzas[[#This Row],[fecha]],"mmmm"),0)</f>
        <v>Enero</v>
      </c>
    </row>
    <row r="87" spans="1:28" ht="24" x14ac:dyDescent="0.3">
      <c r="A87" s="2">
        <f>IF(Caja_Finanzas[[#This Row],[tipo_r]]="R",COUNTIFS($C$1:$C86,"R")+1,A86)</f>
        <v>77</v>
      </c>
      <c r="B87" s="19" t="str">
        <f t="shared" si="9"/>
        <v>C-Finanzas</v>
      </c>
      <c r="C87" s="3" t="s">
        <v>1330</v>
      </c>
      <c r="D87" s="14">
        <v>45681</v>
      </c>
      <c r="E87" s="5" t="s">
        <v>1696</v>
      </c>
      <c r="F87" s="5" t="s">
        <v>1303</v>
      </c>
      <c r="G87" s="5"/>
      <c r="H87" s="6" t="s">
        <v>425</v>
      </c>
      <c r="I87" s="6" t="s">
        <v>119</v>
      </c>
      <c r="J87" s="6">
        <v>1</v>
      </c>
      <c r="K87" s="6">
        <v>4094</v>
      </c>
      <c r="L87" s="7" t="s">
        <v>6118</v>
      </c>
      <c r="M87" s="8" t="str">
        <f>"CFI"&amp;".D"&amp;TEXT(Caja_Finanzas[[#This Row],[fecha]],"DD-MM")&amp;"-"&amp;TEXT(Caja_Finanzas[[#This Row],[item]],"0000")</f>
        <v>CFI.D24-01-0077</v>
      </c>
      <c r="N87" s="8" t="str">
        <f t="shared" si="10"/>
        <v>PEN</v>
      </c>
      <c r="O87" s="13"/>
      <c r="P87" s="13">
        <v>1620</v>
      </c>
      <c r="Q87" s="3">
        <f t="shared" si="6"/>
        <v>1620</v>
      </c>
      <c r="R87" s="3">
        <f t="shared" si="7"/>
        <v>0</v>
      </c>
      <c r="S87" s="3">
        <f t="shared" si="8"/>
        <v>6486.4</v>
      </c>
      <c r="T87" s="24"/>
      <c r="U87" s="24"/>
      <c r="V87" s="3"/>
      <c r="W87" s="25" t="s">
        <v>425</v>
      </c>
      <c r="X87" s="25" t="s">
        <v>6543</v>
      </c>
      <c r="Y87" s="25"/>
      <c r="Z87" s="25"/>
      <c r="AA87" s="25"/>
      <c r="AB87" s="3" t="str">
        <f>IF(Caja_Finanzas[[#This Row],[fecha]]&gt;0,TEXT(Caja_Finanzas[[#This Row],[fecha]],"mmmm"),0)</f>
        <v>Enero</v>
      </c>
    </row>
    <row r="88" spans="1:28" ht="24" x14ac:dyDescent="0.3">
      <c r="A88" s="2">
        <f>IF(Caja_Finanzas[[#This Row],[tipo_r]]="R",COUNTIFS($C$1:$C87,"R")+1,A87)</f>
        <v>78</v>
      </c>
      <c r="B88" s="19" t="str">
        <f t="shared" si="9"/>
        <v>C-Finanzas</v>
      </c>
      <c r="C88" s="3" t="s">
        <v>1330</v>
      </c>
      <c r="D88" s="14">
        <v>45681</v>
      </c>
      <c r="E88" s="5" t="s">
        <v>1696</v>
      </c>
      <c r="F88" s="5" t="s">
        <v>1303</v>
      </c>
      <c r="G88" s="5"/>
      <c r="H88" s="6" t="s">
        <v>425</v>
      </c>
      <c r="I88" s="6" t="s">
        <v>119</v>
      </c>
      <c r="J88" s="6">
        <v>1</v>
      </c>
      <c r="K88" s="6">
        <v>4102</v>
      </c>
      <c r="L88" s="7" t="s">
        <v>6118</v>
      </c>
      <c r="M88" s="8" t="str">
        <f>"CFI"&amp;".D"&amp;TEXT(Caja_Finanzas[[#This Row],[fecha]],"DD-MM")&amp;"-"&amp;TEXT(Caja_Finanzas[[#This Row],[item]],"0000")</f>
        <v>CFI.D24-01-0078</v>
      </c>
      <c r="N88" s="8" t="str">
        <f t="shared" si="10"/>
        <v>PEN</v>
      </c>
      <c r="O88" s="13"/>
      <c r="P88" s="13">
        <v>1346</v>
      </c>
      <c r="Q88" s="3">
        <f t="shared" si="6"/>
        <v>1346</v>
      </c>
      <c r="R88" s="3">
        <f t="shared" si="7"/>
        <v>0</v>
      </c>
      <c r="S88" s="3">
        <f t="shared" si="8"/>
        <v>7832.4</v>
      </c>
      <c r="T88" s="24"/>
      <c r="U88" s="24"/>
      <c r="V88" s="3"/>
      <c r="W88" s="25" t="s">
        <v>425</v>
      </c>
      <c r="X88" s="25" t="s">
        <v>1697</v>
      </c>
      <c r="Y88" s="25"/>
      <c r="Z88" s="25"/>
      <c r="AA88" s="25"/>
      <c r="AB88" s="3" t="str">
        <f>IF(Caja_Finanzas[[#This Row],[fecha]]&gt;0,TEXT(Caja_Finanzas[[#This Row],[fecha]],"mmmm"),0)</f>
        <v>Enero</v>
      </c>
    </row>
    <row r="89" spans="1:28" ht="36" x14ac:dyDescent="0.3">
      <c r="A89" s="2">
        <f>IF(Caja_Finanzas[[#This Row],[tipo_r]]="R",COUNTIFS($C$1:$C88,"R")+1,A88)</f>
        <v>79</v>
      </c>
      <c r="B89" s="19" t="str">
        <f t="shared" si="9"/>
        <v>C-Finanzas</v>
      </c>
      <c r="C89" s="3" t="s">
        <v>1330</v>
      </c>
      <c r="D89" s="14">
        <v>45684</v>
      </c>
      <c r="E89" s="5" t="s">
        <v>6415</v>
      </c>
      <c r="F89" s="5" t="s">
        <v>1336</v>
      </c>
      <c r="G89" s="5"/>
      <c r="H89" s="6"/>
      <c r="I89" s="6"/>
      <c r="J89" s="6"/>
      <c r="K89" s="6"/>
      <c r="L89" s="7" t="s">
        <v>6544</v>
      </c>
      <c r="M89" s="8" t="str">
        <f>"CFI"&amp;".D"&amp;TEXT(Caja_Finanzas[[#This Row],[fecha]],"DD-MM")&amp;"-"&amp;TEXT(Caja_Finanzas[[#This Row],[item]],"0000")</f>
        <v>CFI.D27-01-0079</v>
      </c>
      <c r="N89" s="8" t="str">
        <f t="shared" si="10"/>
        <v>PEN</v>
      </c>
      <c r="O89" s="13"/>
      <c r="P89" s="13">
        <v>50</v>
      </c>
      <c r="Q89" s="3">
        <f t="shared" si="6"/>
        <v>0</v>
      </c>
      <c r="R89" s="3">
        <f t="shared" si="7"/>
        <v>50</v>
      </c>
      <c r="S89" s="3">
        <f t="shared" si="8"/>
        <v>7782.4</v>
      </c>
      <c r="T89" s="24"/>
      <c r="U89" s="24"/>
      <c r="V89" s="3"/>
      <c r="W89" s="25" t="s">
        <v>6545</v>
      </c>
      <c r="X89" s="25"/>
      <c r="Y89" s="25"/>
      <c r="Z89" s="25"/>
      <c r="AA89" s="25"/>
      <c r="AB89" s="3" t="str">
        <f>IF(Caja_Finanzas[[#This Row],[fecha]]&gt;0,TEXT(Caja_Finanzas[[#This Row],[fecha]],"mmmm"),0)</f>
        <v>Enero</v>
      </c>
    </row>
    <row r="90" spans="1:28" ht="72" x14ac:dyDescent="0.3">
      <c r="A90" s="2">
        <f>IF(Caja_Finanzas[[#This Row],[tipo_r]]="R",COUNTIFS($C$1:$C89,"R")+1,A89)</f>
        <v>80</v>
      </c>
      <c r="B90" s="19" t="str">
        <f t="shared" si="9"/>
        <v>C-Finanzas</v>
      </c>
      <c r="C90" s="3" t="s">
        <v>1330</v>
      </c>
      <c r="D90" s="14">
        <v>45684</v>
      </c>
      <c r="E90" s="5" t="s">
        <v>6546</v>
      </c>
      <c r="F90" s="5" t="s">
        <v>1303</v>
      </c>
      <c r="G90" s="5"/>
      <c r="H90" s="6" t="s">
        <v>425</v>
      </c>
      <c r="I90" s="6" t="s">
        <v>119</v>
      </c>
      <c r="J90" s="6">
        <v>1</v>
      </c>
      <c r="K90" s="6">
        <v>4115</v>
      </c>
      <c r="L90" s="7" t="s">
        <v>6118</v>
      </c>
      <c r="M90" s="8" t="str">
        <f>"CFI"&amp;".D"&amp;TEXT(Caja_Finanzas[[#This Row],[fecha]],"DD-MM")&amp;"-"&amp;TEXT(Caja_Finanzas[[#This Row],[item]],"0000")</f>
        <v>CFI.D27-01-0080</v>
      </c>
      <c r="N90" s="8" t="str">
        <f t="shared" si="10"/>
        <v>PEN</v>
      </c>
      <c r="O90" s="13"/>
      <c r="P90" s="13">
        <v>12.9</v>
      </c>
      <c r="Q90" s="3">
        <f t="shared" si="6"/>
        <v>12.9</v>
      </c>
      <c r="R90" s="3">
        <f t="shared" si="7"/>
        <v>0</v>
      </c>
      <c r="S90" s="3">
        <f t="shared" si="8"/>
        <v>7795.2999999999993</v>
      </c>
      <c r="T90" s="24"/>
      <c r="U90" s="24"/>
      <c r="V90" s="3"/>
      <c r="W90" s="25" t="s">
        <v>425</v>
      </c>
      <c r="X90" s="25" t="s">
        <v>6547</v>
      </c>
      <c r="Y90" s="25"/>
      <c r="Z90" s="25"/>
      <c r="AA90" s="25"/>
      <c r="AB90" s="3" t="str">
        <f>IF(Caja_Finanzas[[#This Row],[fecha]]&gt;0,TEXT(Caja_Finanzas[[#This Row],[fecha]],"mmmm"),0)</f>
        <v>Enero</v>
      </c>
    </row>
    <row r="91" spans="1:28" x14ac:dyDescent="0.3">
      <c r="A91" s="2">
        <f>IF(Caja_Finanzas[[#This Row],[tipo_r]]="R",COUNTIFS($C$1:$C90,"R")+1,A90)</f>
        <v>81</v>
      </c>
      <c r="B91" s="19" t="str">
        <f t="shared" si="9"/>
        <v>C-Finanzas</v>
      </c>
      <c r="C91" s="3" t="s">
        <v>1330</v>
      </c>
      <c r="D91" s="14">
        <v>45684</v>
      </c>
      <c r="E91" s="5" t="s">
        <v>2800</v>
      </c>
      <c r="F91" s="5" t="s">
        <v>1303</v>
      </c>
      <c r="G91" s="5"/>
      <c r="H91" s="6" t="s">
        <v>425</v>
      </c>
      <c r="I91" s="6" t="s">
        <v>119</v>
      </c>
      <c r="J91" s="6">
        <v>1</v>
      </c>
      <c r="K91" s="6">
        <v>4112</v>
      </c>
      <c r="L91" s="7" t="s">
        <v>6118</v>
      </c>
      <c r="M91" s="8" t="str">
        <f>"CFI"&amp;".D"&amp;TEXT(Caja_Finanzas[[#This Row],[fecha]],"DD-MM")&amp;"-"&amp;TEXT(Caja_Finanzas[[#This Row],[item]],"0000")</f>
        <v>CFI.D27-01-0081</v>
      </c>
      <c r="N91" s="8" t="str">
        <f t="shared" si="10"/>
        <v>PEN</v>
      </c>
      <c r="O91" s="13"/>
      <c r="P91" s="13">
        <v>975</v>
      </c>
      <c r="Q91" s="3">
        <f t="shared" si="6"/>
        <v>975</v>
      </c>
      <c r="R91" s="3">
        <f t="shared" si="7"/>
        <v>0</v>
      </c>
      <c r="S91" s="3">
        <f t="shared" si="8"/>
        <v>8770.2999999999993</v>
      </c>
      <c r="T91" s="24"/>
      <c r="U91" s="24"/>
      <c r="V91" s="3"/>
      <c r="W91" s="25" t="s">
        <v>425</v>
      </c>
      <c r="X91" s="25" t="s">
        <v>6548</v>
      </c>
      <c r="Y91" s="25"/>
      <c r="Z91" s="25"/>
      <c r="AA91" s="25"/>
      <c r="AB91" s="3" t="str">
        <f>IF(Caja_Finanzas[[#This Row],[fecha]]&gt;0,TEXT(Caja_Finanzas[[#This Row],[fecha]],"mmmm"),0)</f>
        <v>Enero</v>
      </c>
    </row>
    <row r="92" spans="1:28" x14ac:dyDescent="0.3">
      <c r="A92" s="2">
        <f>IF(Caja_Finanzas[[#This Row],[tipo_r]]="R",COUNTIFS($C$1:$C91,"R")+1,A91)</f>
        <v>82</v>
      </c>
      <c r="B92" s="19" t="str">
        <f t="shared" si="9"/>
        <v>C-Finanzas</v>
      </c>
      <c r="C92" s="3" t="s">
        <v>1330</v>
      </c>
      <c r="D92" s="14">
        <v>45684</v>
      </c>
      <c r="E92" s="5" t="s">
        <v>2800</v>
      </c>
      <c r="F92" s="5" t="s">
        <v>1303</v>
      </c>
      <c r="G92" s="5"/>
      <c r="H92" s="6" t="s">
        <v>425</v>
      </c>
      <c r="I92" s="6" t="s">
        <v>119</v>
      </c>
      <c r="J92" s="6">
        <v>1</v>
      </c>
      <c r="K92" s="6">
        <v>4105</v>
      </c>
      <c r="L92" s="7" t="s">
        <v>6118</v>
      </c>
      <c r="M92" s="8" t="str">
        <f>"CFI"&amp;".D"&amp;TEXT(Caja_Finanzas[[#This Row],[fecha]],"DD-MM")&amp;"-"&amp;TEXT(Caja_Finanzas[[#This Row],[item]],"0000")</f>
        <v>CFI.D27-01-0082</v>
      </c>
      <c r="N92" s="8" t="str">
        <f t="shared" si="10"/>
        <v>PEN</v>
      </c>
      <c r="O92" s="13"/>
      <c r="P92" s="13">
        <v>360</v>
      </c>
      <c r="Q92" s="3">
        <f t="shared" si="6"/>
        <v>360</v>
      </c>
      <c r="R92" s="3">
        <f t="shared" si="7"/>
        <v>0</v>
      </c>
      <c r="S92" s="3">
        <f t="shared" si="8"/>
        <v>9130.2999999999993</v>
      </c>
      <c r="T92" s="24"/>
      <c r="U92" s="24"/>
      <c r="V92" s="3"/>
      <c r="W92" s="25" t="s">
        <v>425</v>
      </c>
      <c r="X92" s="25" t="s">
        <v>6549</v>
      </c>
      <c r="Y92" s="25"/>
      <c r="Z92" s="25"/>
      <c r="AA92" s="25"/>
      <c r="AB92" s="3" t="str">
        <f>IF(Caja_Finanzas[[#This Row],[fecha]]&gt;0,TEXT(Caja_Finanzas[[#This Row],[fecha]],"mmmm"),0)</f>
        <v>Enero</v>
      </c>
    </row>
    <row r="93" spans="1:28" ht="36" x14ac:dyDescent="0.3">
      <c r="A93" s="2">
        <f>IF(Caja_Finanzas[[#This Row],[tipo_r]]="R",COUNTIFS($C$1:$C92,"R")+1,A92)</f>
        <v>83</v>
      </c>
      <c r="B93" s="19" t="str">
        <f t="shared" si="9"/>
        <v>C-Finanzas</v>
      </c>
      <c r="C93" s="3" t="s">
        <v>1330</v>
      </c>
      <c r="D93" s="14">
        <v>45684</v>
      </c>
      <c r="E93" s="5" t="s">
        <v>6550</v>
      </c>
      <c r="F93" s="5" t="s">
        <v>1336</v>
      </c>
      <c r="G93" s="5"/>
      <c r="H93" s="6"/>
      <c r="I93" s="6"/>
      <c r="J93" s="6"/>
      <c r="K93" s="6"/>
      <c r="L93" s="7" t="s">
        <v>6551</v>
      </c>
      <c r="M93" s="8" t="str">
        <f>"CFI"&amp;".D"&amp;TEXT(Caja_Finanzas[[#This Row],[fecha]],"DD-MM")&amp;"-"&amp;TEXT(Caja_Finanzas[[#This Row],[item]],"0000")</f>
        <v>CFI.D27-01-0083</v>
      </c>
      <c r="N93" s="8" t="str">
        <f t="shared" si="10"/>
        <v>PEN</v>
      </c>
      <c r="O93" s="13"/>
      <c r="P93" s="13">
        <v>350</v>
      </c>
      <c r="Q93" s="3">
        <f t="shared" si="6"/>
        <v>0</v>
      </c>
      <c r="R93" s="3">
        <f t="shared" si="7"/>
        <v>350</v>
      </c>
      <c r="S93" s="3">
        <f t="shared" si="8"/>
        <v>8780.2999999999993</v>
      </c>
      <c r="T93" s="24"/>
      <c r="U93" s="24"/>
      <c r="V93" s="3"/>
      <c r="W93" s="25" t="s">
        <v>6552</v>
      </c>
      <c r="X93" s="25" t="s">
        <v>6553</v>
      </c>
      <c r="Y93" s="25"/>
      <c r="Z93" s="25"/>
      <c r="AA93" s="25"/>
      <c r="AB93" s="3" t="str">
        <f>IF(Caja_Finanzas[[#This Row],[fecha]]&gt;0,TEXT(Caja_Finanzas[[#This Row],[fecha]],"mmmm"),0)</f>
        <v>Enero</v>
      </c>
    </row>
    <row r="94" spans="1:28" x14ac:dyDescent="0.3">
      <c r="A94" s="2">
        <f>IF(Caja_Finanzas[[#This Row],[tipo_r]]="R",COUNTIFS($C$1:$C93,"R")+1,A93)</f>
        <v>84</v>
      </c>
      <c r="B94" s="19" t="str">
        <f t="shared" si="9"/>
        <v>C-Finanzas</v>
      </c>
      <c r="C94" s="3" t="s">
        <v>1330</v>
      </c>
      <c r="D94" s="14">
        <v>45684</v>
      </c>
      <c r="E94" s="5" t="s">
        <v>3634</v>
      </c>
      <c r="F94" s="5" t="s">
        <v>1336</v>
      </c>
      <c r="G94" s="5"/>
      <c r="H94" s="6"/>
      <c r="I94" s="6"/>
      <c r="J94" s="6"/>
      <c r="K94" s="6"/>
      <c r="L94" s="7" t="s">
        <v>6510</v>
      </c>
      <c r="M94" s="8" t="str">
        <f>"CFI"&amp;".D"&amp;TEXT(Caja_Finanzas[[#This Row],[fecha]],"DD-MM")&amp;"-"&amp;TEXT(Caja_Finanzas[[#This Row],[item]],"0000")</f>
        <v>CFI.D27-01-0084</v>
      </c>
      <c r="N94" s="8" t="str">
        <f t="shared" si="10"/>
        <v>PEN</v>
      </c>
      <c r="O94" s="13"/>
      <c r="P94" s="13">
        <v>200</v>
      </c>
      <c r="Q94" s="3">
        <f t="shared" si="6"/>
        <v>0</v>
      </c>
      <c r="R94" s="3">
        <f t="shared" si="7"/>
        <v>200</v>
      </c>
      <c r="S94" s="3">
        <f t="shared" si="8"/>
        <v>8580.2999999999993</v>
      </c>
      <c r="T94" s="24"/>
      <c r="U94" s="24"/>
      <c r="V94" s="3"/>
      <c r="W94" s="25"/>
      <c r="X94" s="25"/>
      <c r="Y94" s="25"/>
      <c r="Z94" s="25"/>
      <c r="AA94" s="25"/>
      <c r="AB94" s="3" t="str">
        <f>IF(Caja_Finanzas[[#This Row],[fecha]]&gt;0,TEXT(Caja_Finanzas[[#This Row],[fecha]],"mmmm"),0)</f>
        <v>Enero</v>
      </c>
    </row>
    <row r="95" spans="1:28" ht="24" x14ac:dyDescent="0.3">
      <c r="A95" s="2">
        <f>IF(Caja_Finanzas[[#This Row],[tipo_r]]="R",COUNTIFS($C$1:$C94,"R")+1,A94)</f>
        <v>85</v>
      </c>
      <c r="B95" s="19" t="str">
        <f t="shared" si="9"/>
        <v>C-Finanzas</v>
      </c>
      <c r="C95" s="3" t="s">
        <v>1330</v>
      </c>
      <c r="D95" s="14">
        <v>45685</v>
      </c>
      <c r="E95" s="5" t="s">
        <v>6554</v>
      </c>
      <c r="F95" s="5" t="s">
        <v>1303</v>
      </c>
      <c r="G95" s="5"/>
      <c r="H95" s="6" t="s">
        <v>425</v>
      </c>
      <c r="I95" s="6" t="s">
        <v>119</v>
      </c>
      <c r="J95" s="6">
        <v>1</v>
      </c>
      <c r="K95" s="6">
        <v>3957</v>
      </c>
      <c r="L95" s="7" t="s">
        <v>6118</v>
      </c>
      <c r="M95" s="8" t="str">
        <f>"CFI"&amp;".D"&amp;TEXT(Caja_Finanzas[[#This Row],[fecha]],"DD-MM")&amp;"-"&amp;TEXT(Caja_Finanzas[[#This Row],[item]],"0000")</f>
        <v>CFI.D28-01-0085</v>
      </c>
      <c r="N95" s="8" t="str">
        <f t="shared" si="10"/>
        <v>PEN</v>
      </c>
      <c r="O95" s="13"/>
      <c r="P95" s="13">
        <v>150</v>
      </c>
      <c r="Q95" s="3">
        <f t="shared" si="6"/>
        <v>150</v>
      </c>
      <c r="R95" s="3">
        <f t="shared" si="7"/>
        <v>0</v>
      </c>
      <c r="S95" s="3">
        <f t="shared" si="8"/>
        <v>8730.2999999999993</v>
      </c>
      <c r="T95" s="24"/>
      <c r="U95" s="24"/>
      <c r="V95" s="3"/>
      <c r="W95" s="25" t="s">
        <v>425</v>
      </c>
      <c r="X95" s="25" t="s">
        <v>6555</v>
      </c>
      <c r="Y95" s="25"/>
      <c r="Z95" s="25"/>
      <c r="AA95" s="25"/>
      <c r="AB95" s="3" t="str">
        <f>IF(Caja_Finanzas[[#This Row],[fecha]]&gt;0,TEXT(Caja_Finanzas[[#This Row],[fecha]],"mmmm"),0)</f>
        <v>Enero</v>
      </c>
    </row>
    <row r="96" spans="1:28" ht="24" x14ac:dyDescent="0.3">
      <c r="A96" s="2">
        <f>IF(Caja_Finanzas[[#This Row],[tipo_r]]="R",COUNTIFS($C$1:$C95,"R")+1,A95)</f>
        <v>86</v>
      </c>
      <c r="B96" s="19" t="str">
        <f t="shared" si="9"/>
        <v>C-Finanzas</v>
      </c>
      <c r="C96" s="3" t="s">
        <v>1330</v>
      </c>
      <c r="D96" s="14">
        <v>45685</v>
      </c>
      <c r="E96" s="5" t="s">
        <v>6556</v>
      </c>
      <c r="F96" s="5" t="s">
        <v>1303</v>
      </c>
      <c r="G96" s="5"/>
      <c r="H96" s="6" t="s">
        <v>425</v>
      </c>
      <c r="I96" s="6" t="s">
        <v>119</v>
      </c>
      <c r="J96" s="6">
        <v>1</v>
      </c>
      <c r="K96" s="6">
        <v>3871</v>
      </c>
      <c r="L96" s="7" t="s">
        <v>6118</v>
      </c>
      <c r="M96" s="8" t="str">
        <f>"CFI"&amp;".D"&amp;TEXT(Caja_Finanzas[[#This Row],[fecha]],"DD-MM")&amp;"-"&amp;TEXT(Caja_Finanzas[[#This Row],[item]],"0000")</f>
        <v>CFI.D28-01-0086</v>
      </c>
      <c r="N96" s="8" t="str">
        <f t="shared" si="10"/>
        <v>PEN</v>
      </c>
      <c r="O96" s="13"/>
      <c r="P96" s="13">
        <v>150</v>
      </c>
      <c r="Q96" s="3">
        <f t="shared" si="6"/>
        <v>150</v>
      </c>
      <c r="R96" s="3">
        <f t="shared" si="7"/>
        <v>0</v>
      </c>
      <c r="S96" s="3">
        <f t="shared" si="8"/>
        <v>8880.2999999999993</v>
      </c>
      <c r="T96" s="24"/>
      <c r="U96" s="24"/>
      <c r="V96" s="3"/>
      <c r="W96" s="25" t="s">
        <v>425</v>
      </c>
      <c r="X96" s="25" t="s">
        <v>6557</v>
      </c>
      <c r="Y96" s="25"/>
      <c r="Z96" s="25"/>
      <c r="AA96" s="25"/>
      <c r="AB96" s="3" t="str">
        <f>IF(Caja_Finanzas[[#This Row],[fecha]]&gt;0,TEXT(Caja_Finanzas[[#This Row],[fecha]],"mmmm"),0)</f>
        <v>Enero</v>
      </c>
    </row>
    <row r="97" spans="1:28" ht="24" x14ac:dyDescent="0.3">
      <c r="A97" s="2">
        <f>IF(Caja_Finanzas[[#This Row],[tipo_r]]="R",COUNTIFS($C$1:$C96,"R")+1,A96)</f>
        <v>87</v>
      </c>
      <c r="B97" s="19" t="str">
        <f t="shared" si="9"/>
        <v>C-Finanzas</v>
      </c>
      <c r="C97" s="3" t="s">
        <v>1330</v>
      </c>
      <c r="D97" s="14">
        <v>45685</v>
      </c>
      <c r="E97" s="5" t="s">
        <v>6432</v>
      </c>
      <c r="F97" s="5" t="s">
        <v>1303</v>
      </c>
      <c r="G97" s="5"/>
      <c r="H97" s="6" t="s">
        <v>425</v>
      </c>
      <c r="I97" s="6" t="s">
        <v>119</v>
      </c>
      <c r="J97" s="6">
        <v>1</v>
      </c>
      <c r="K97" s="6">
        <v>4117</v>
      </c>
      <c r="L97" s="7" t="s">
        <v>6118</v>
      </c>
      <c r="M97" s="8" t="str">
        <f>"CFI"&amp;".D"&amp;TEXT(Caja_Finanzas[[#This Row],[fecha]],"DD-MM")&amp;"-"&amp;TEXT(Caja_Finanzas[[#This Row],[item]],"0000")</f>
        <v>CFI.D28-01-0087</v>
      </c>
      <c r="N97" s="8" t="str">
        <f t="shared" si="10"/>
        <v>PEN</v>
      </c>
      <c r="O97" s="13"/>
      <c r="P97" s="13">
        <v>135</v>
      </c>
      <c r="Q97" s="3">
        <f t="shared" si="6"/>
        <v>135</v>
      </c>
      <c r="R97" s="3">
        <f t="shared" si="7"/>
        <v>0</v>
      </c>
      <c r="S97" s="3">
        <f t="shared" si="8"/>
        <v>9015.2999999999993</v>
      </c>
      <c r="T97" s="24"/>
      <c r="U97" s="24"/>
      <c r="V97" s="3"/>
      <c r="W97" s="25" t="s">
        <v>425</v>
      </c>
      <c r="X97" s="25" t="s">
        <v>6558</v>
      </c>
      <c r="Y97" s="25"/>
      <c r="Z97" s="25"/>
      <c r="AA97" s="25"/>
      <c r="AB97" s="3" t="str">
        <f>IF(Caja_Finanzas[[#This Row],[fecha]]&gt;0,TEXT(Caja_Finanzas[[#This Row],[fecha]],"mmmm"),0)</f>
        <v>Enero</v>
      </c>
    </row>
    <row r="98" spans="1:28" ht="24" x14ac:dyDescent="0.3">
      <c r="A98" s="2">
        <f>IF(Caja_Finanzas[[#This Row],[tipo_r]]="R",COUNTIFS($C$1:$C97,"R")+1,A97)</f>
        <v>88</v>
      </c>
      <c r="B98" s="19" t="str">
        <f t="shared" si="9"/>
        <v>C-Finanzas</v>
      </c>
      <c r="C98" s="3" t="s">
        <v>1330</v>
      </c>
      <c r="D98" s="14">
        <v>45687</v>
      </c>
      <c r="E98" s="5" t="s">
        <v>6418</v>
      </c>
      <c r="F98" s="5" t="s">
        <v>1336</v>
      </c>
      <c r="G98" s="5"/>
      <c r="H98" s="6"/>
      <c r="I98" s="6"/>
      <c r="J98" s="6"/>
      <c r="K98" s="6"/>
      <c r="L98" s="7" t="s">
        <v>6559</v>
      </c>
      <c r="M98" s="8" t="str">
        <f>"CFI"&amp;".D"&amp;TEXT(Caja_Finanzas[[#This Row],[fecha]],"DD-MM")&amp;"-"&amp;TEXT(Caja_Finanzas[[#This Row],[item]],"0000")</f>
        <v>CFI.D30-01-0088</v>
      </c>
      <c r="N98" s="8" t="str">
        <f t="shared" si="10"/>
        <v>PEN</v>
      </c>
      <c r="O98" s="13"/>
      <c r="P98" s="13">
        <v>1000</v>
      </c>
      <c r="Q98" s="3">
        <f t="shared" si="6"/>
        <v>0</v>
      </c>
      <c r="R98" s="3">
        <f t="shared" si="7"/>
        <v>1000</v>
      </c>
      <c r="S98" s="3">
        <f t="shared" si="8"/>
        <v>8015.2999999999993</v>
      </c>
      <c r="T98" s="24"/>
      <c r="U98" s="24"/>
      <c r="V98" s="3"/>
      <c r="W98" s="25" t="s">
        <v>806</v>
      </c>
      <c r="X98" s="25"/>
      <c r="Y98" s="25"/>
      <c r="Z98" s="25"/>
      <c r="AA98" s="25"/>
      <c r="AB98" s="3" t="str">
        <f>IF(Caja_Finanzas[[#This Row],[fecha]]&gt;0,TEXT(Caja_Finanzas[[#This Row],[fecha]],"mmmm"),0)</f>
        <v>Enero</v>
      </c>
    </row>
    <row r="99" spans="1:28" ht="24" x14ac:dyDescent="0.3">
      <c r="A99" s="2">
        <f>IF(Caja_Finanzas[[#This Row],[tipo_r]]="R",COUNTIFS($C$1:$C98,"R")+1,A98)</f>
        <v>89</v>
      </c>
      <c r="B99" s="19" t="str">
        <f t="shared" si="9"/>
        <v>C-Finanzas</v>
      </c>
      <c r="C99" s="3" t="s">
        <v>1330</v>
      </c>
      <c r="D99" s="14">
        <v>45687</v>
      </c>
      <c r="E99" s="5" t="s">
        <v>6418</v>
      </c>
      <c r="F99" s="5" t="s">
        <v>1336</v>
      </c>
      <c r="G99" s="5"/>
      <c r="H99" s="6"/>
      <c r="I99" s="6"/>
      <c r="J99" s="6"/>
      <c r="K99" s="6"/>
      <c r="L99" s="7" t="s">
        <v>6560</v>
      </c>
      <c r="M99" s="8" t="str">
        <f>"CFI"&amp;".D"&amp;TEXT(Caja_Finanzas[[#This Row],[fecha]],"DD-MM")&amp;"-"&amp;TEXT(Caja_Finanzas[[#This Row],[item]],"0000")</f>
        <v>CFI.D30-01-0089</v>
      </c>
      <c r="N99" s="8" t="str">
        <f t="shared" si="10"/>
        <v>PEN</v>
      </c>
      <c r="O99" s="13"/>
      <c r="P99" s="13">
        <v>1000</v>
      </c>
      <c r="Q99" s="3">
        <f t="shared" si="6"/>
        <v>0</v>
      </c>
      <c r="R99" s="3">
        <f t="shared" si="7"/>
        <v>1000</v>
      </c>
      <c r="S99" s="3">
        <f t="shared" si="8"/>
        <v>7015.2999999999993</v>
      </c>
      <c r="T99" s="24"/>
      <c r="U99" s="24"/>
      <c r="V99" s="3"/>
      <c r="W99" s="25" t="s">
        <v>806</v>
      </c>
      <c r="X99" s="25"/>
      <c r="Y99" s="25"/>
      <c r="Z99" s="25"/>
      <c r="AA99" s="25"/>
      <c r="AB99" s="3" t="str">
        <f>IF(Caja_Finanzas[[#This Row],[fecha]]&gt;0,TEXT(Caja_Finanzas[[#This Row],[fecha]],"mmmm"),0)</f>
        <v>Enero</v>
      </c>
    </row>
    <row r="100" spans="1:28" ht="24" x14ac:dyDescent="0.3">
      <c r="A100" s="2">
        <f>IF(Caja_Finanzas[[#This Row],[tipo_r]]="R",COUNTIFS($C$1:$C99,"R")+1,A99)</f>
        <v>90</v>
      </c>
      <c r="B100" s="19" t="str">
        <f t="shared" si="9"/>
        <v>C-Finanzas</v>
      </c>
      <c r="C100" s="3" t="s">
        <v>1330</v>
      </c>
      <c r="D100" s="14">
        <v>45687</v>
      </c>
      <c r="E100" s="5" t="s">
        <v>6418</v>
      </c>
      <c r="F100" s="5" t="s">
        <v>1336</v>
      </c>
      <c r="G100" s="5"/>
      <c r="H100" s="6"/>
      <c r="I100" s="6"/>
      <c r="J100" s="6"/>
      <c r="K100" s="6"/>
      <c r="L100" s="7" t="s">
        <v>6561</v>
      </c>
      <c r="M100" s="8" t="str">
        <f>"CFI"&amp;".D"&amp;TEXT(Caja_Finanzas[[#This Row],[fecha]],"DD-MM")&amp;"-"&amp;TEXT(Caja_Finanzas[[#This Row],[item]],"0000")</f>
        <v>CFI.D30-01-0090</v>
      </c>
      <c r="N100" s="8" t="str">
        <f t="shared" si="10"/>
        <v>PEN</v>
      </c>
      <c r="O100" s="13"/>
      <c r="P100" s="13">
        <v>1000</v>
      </c>
      <c r="Q100" s="3">
        <f t="shared" si="6"/>
        <v>0</v>
      </c>
      <c r="R100" s="3">
        <f t="shared" si="7"/>
        <v>1000</v>
      </c>
      <c r="S100" s="3">
        <f t="shared" si="8"/>
        <v>6015.2999999999993</v>
      </c>
      <c r="T100" s="24"/>
      <c r="U100" s="24"/>
      <c r="V100" s="3"/>
      <c r="W100" s="25" t="s">
        <v>806</v>
      </c>
      <c r="X100" s="25"/>
      <c r="Y100" s="25"/>
      <c r="Z100" s="25"/>
      <c r="AA100" s="25"/>
      <c r="AB100" s="3" t="str">
        <f>IF(Caja_Finanzas[[#This Row],[fecha]]&gt;0,TEXT(Caja_Finanzas[[#This Row],[fecha]],"mmmm"),0)</f>
        <v>Enero</v>
      </c>
    </row>
    <row r="101" spans="1:28" x14ac:dyDescent="0.3">
      <c r="A101" s="2">
        <f>IF(Caja_Finanzas[[#This Row],[tipo_r]]="R",COUNTIFS($C$1:$C100,"R")+1,A100)</f>
        <v>91</v>
      </c>
      <c r="B101" s="19" t="str">
        <f t="shared" si="9"/>
        <v>C-Finanzas</v>
      </c>
      <c r="C101" s="3" t="s">
        <v>1330</v>
      </c>
      <c r="D101" s="14">
        <v>45688</v>
      </c>
      <c r="E101" s="5" t="s">
        <v>6562</v>
      </c>
      <c r="F101" s="5" t="s">
        <v>1303</v>
      </c>
      <c r="G101" s="5"/>
      <c r="H101" s="6" t="s">
        <v>425</v>
      </c>
      <c r="I101" s="6" t="s">
        <v>119</v>
      </c>
      <c r="J101" s="6">
        <v>1</v>
      </c>
      <c r="K101" s="6">
        <v>4125</v>
      </c>
      <c r="L101" s="7" t="s">
        <v>6118</v>
      </c>
      <c r="M101" s="8" t="str">
        <f>"CFI"&amp;".D"&amp;TEXT(Caja_Finanzas[[#This Row],[fecha]],"DD-MM")&amp;"-"&amp;TEXT(Caja_Finanzas[[#This Row],[item]],"0000")</f>
        <v>CFI.D31-01-0091</v>
      </c>
      <c r="N101" s="8" t="str">
        <f t="shared" si="10"/>
        <v>PEN</v>
      </c>
      <c r="O101" s="13"/>
      <c r="P101" s="13">
        <v>1450</v>
      </c>
      <c r="Q101" s="3">
        <f t="shared" si="6"/>
        <v>1450</v>
      </c>
      <c r="R101" s="3">
        <f t="shared" si="7"/>
        <v>0</v>
      </c>
      <c r="S101" s="3">
        <f t="shared" si="8"/>
        <v>7465.2999999999993</v>
      </c>
      <c r="T101" s="24"/>
      <c r="U101" s="24"/>
      <c r="V101" s="3"/>
      <c r="W101" s="25" t="s">
        <v>425</v>
      </c>
      <c r="X101" s="25" t="s">
        <v>6563</v>
      </c>
      <c r="Y101" s="25"/>
      <c r="Z101" s="25"/>
      <c r="AA101" s="25"/>
      <c r="AB101" s="3" t="str">
        <f>IF(Caja_Finanzas[[#This Row],[fecha]]&gt;0,TEXT(Caja_Finanzas[[#This Row],[fecha]],"mmmm"),0)</f>
        <v>Enero</v>
      </c>
    </row>
    <row r="102" spans="1:28" ht="24" x14ac:dyDescent="0.3">
      <c r="A102" s="2">
        <f>IF(Caja_Finanzas[[#This Row],[tipo_r]]="R",COUNTIFS($C$1:$C101,"R")+1,A101)</f>
        <v>92</v>
      </c>
      <c r="B102" s="19" t="str">
        <f t="shared" si="9"/>
        <v>C-Finanzas</v>
      </c>
      <c r="C102" s="3" t="s">
        <v>1330</v>
      </c>
      <c r="D102" s="14">
        <v>45688</v>
      </c>
      <c r="E102" s="5" t="s">
        <v>1669</v>
      </c>
      <c r="F102" s="5" t="s">
        <v>1303</v>
      </c>
      <c r="G102" s="5"/>
      <c r="H102" s="6" t="s">
        <v>425</v>
      </c>
      <c r="I102" s="6" t="s">
        <v>119</v>
      </c>
      <c r="J102" s="6">
        <v>1</v>
      </c>
      <c r="K102" s="6">
        <v>4126</v>
      </c>
      <c r="L102" s="7" t="s">
        <v>6118</v>
      </c>
      <c r="M102" s="8" t="str">
        <f>"CFI"&amp;".D"&amp;TEXT(Caja_Finanzas[[#This Row],[fecha]],"DD-MM")&amp;"-"&amp;TEXT(Caja_Finanzas[[#This Row],[item]],"0000")</f>
        <v>CFI.D31-01-0092</v>
      </c>
      <c r="N102" s="8" t="str">
        <f t="shared" si="10"/>
        <v>PEN</v>
      </c>
      <c r="O102" s="13"/>
      <c r="P102" s="13">
        <v>3400</v>
      </c>
      <c r="Q102" s="3">
        <f t="shared" si="6"/>
        <v>3400</v>
      </c>
      <c r="R102" s="3">
        <f t="shared" si="7"/>
        <v>0</v>
      </c>
      <c r="S102" s="3">
        <f t="shared" si="8"/>
        <v>10865.3</v>
      </c>
      <c r="T102" s="24"/>
      <c r="U102" s="24"/>
      <c r="V102" s="3"/>
      <c r="W102" s="25" t="s">
        <v>425</v>
      </c>
      <c r="X102" s="25" t="s">
        <v>1749</v>
      </c>
      <c r="Y102" s="25"/>
      <c r="Z102" s="25"/>
      <c r="AA102" s="25"/>
      <c r="AB102" s="3" t="str">
        <f>IF(Caja_Finanzas[[#This Row],[fecha]]&gt;0,TEXT(Caja_Finanzas[[#This Row],[fecha]],"mmmm"),0)</f>
        <v>Enero</v>
      </c>
    </row>
    <row r="103" spans="1:28" ht="36" x14ac:dyDescent="0.3">
      <c r="A103" s="2">
        <f>IF(Caja_Finanzas[[#This Row],[tipo_r]]="R",COUNTIFS($C$1:$C102,"R")+1,A102)</f>
        <v>93</v>
      </c>
      <c r="B103" s="19" t="str">
        <f t="shared" si="9"/>
        <v>C-Finanzas</v>
      </c>
      <c r="C103" s="3" t="s">
        <v>1330</v>
      </c>
      <c r="D103" s="14">
        <v>45688</v>
      </c>
      <c r="E103" s="5" t="s">
        <v>6420</v>
      </c>
      <c r="F103" s="5" t="s">
        <v>1336</v>
      </c>
      <c r="G103" s="5"/>
      <c r="H103" s="6"/>
      <c r="I103" s="6"/>
      <c r="J103" s="6"/>
      <c r="K103" s="6"/>
      <c r="L103" s="7" t="s">
        <v>6564</v>
      </c>
      <c r="M103" s="8" t="str">
        <f>"CFI"&amp;".D"&amp;TEXT(Caja_Finanzas[[#This Row],[fecha]],"DD-MM")&amp;"-"&amp;TEXT(Caja_Finanzas[[#This Row],[item]],"0000")</f>
        <v>CFI.D31-01-0093</v>
      </c>
      <c r="N103" s="8" t="str">
        <f t="shared" si="10"/>
        <v>PEN</v>
      </c>
      <c r="O103" s="13"/>
      <c r="P103" s="13">
        <v>200</v>
      </c>
      <c r="Q103" s="3">
        <f t="shared" si="6"/>
        <v>0</v>
      </c>
      <c r="R103" s="3">
        <f t="shared" si="7"/>
        <v>200</v>
      </c>
      <c r="S103" s="3">
        <f t="shared" si="8"/>
        <v>10665.3</v>
      </c>
      <c r="T103" s="24"/>
      <c r="U103" s="24"/>
      <c r="V103" s="3"/>
      <c r="W103" s="25" t="s">
        <v>6565</v>
      </c>
      <c r="X103" s="25" t="s">
        <v>6566</v>
      </c>
      <c r="Y103" s="25"/>
      <c r="Z103" s="25"/>
      <c r="AA103" s="25"/>
      <c r="AB103" s="3" t="str">
        <f>IF(Caja_Finanzas[[#This Row],[fecha]]&gt;0,TEXT(Caja_Finanzas[[#This Row],[fecha]],"mmmm"),0)</f>
        <v>Enero</v>
      </c>
    </row>
    <row r="104" spans="1:28" ht="48" x14ac:dyDescent="0.3">
      <c r="A104" s="2">
        <f>IF(Caja_Finanzas[[#This Row],[tipo_r]]="R",COUNTIFS($C$1:$C103,"R")+1,A103)</f>
        <v>94</v>
      </c>
      <c r="B104" s="19" t="str">
        <f t="shared" si="9"/>
        <v>C-Finanzas</v>
      </c>
      <c r="C104" s="3" t="s">
        <v>1330</v>
      </c>
      <c r="D104" s="14">
        <v>45688</v>
      </c>
      <c r="E104" s="5" t="s">
        <v>6420</v>
      </c>
      <c r="F104" s="5" t="s">
        <v>1336</v>
      </c>
      <c r="G104" s="5"/>
      <c r="H104" s="6"/>
      <c r="I104" s="6"/>
      <c r="J104" s="6"/>
      <c r="K104" s="6"/>
      <c r="L104" s="7" t="s">
        <v>6567</v>
      </c>
      <c r="M104" s="8" t="str">
        <f>"CFI"&amp;".D"&amp;TEXT(Caja_Finanzas[[#This Row],[fecha]],"DD-MM")&amp;"-"&amp;TEXT(Caja_Finanzas[[#This Row],[item]],"0000")</f>
        <v>CFI.D31-01-0094</v>
      </c>
      <c r="N104" s="8" t="str">
        <f t="shared" si="10"/>
        <v>PEN</v>
      </c>
      <c r="O104" s="13"/>
      <c r="P104" s="13">
        <v>180</v>
      </c>
      <c r="Q104" s="3">
        <f t="shared" si="6"/>
        <v>0</v>
      </c>
      <c r="R104" s="3">
        <f t="shared" si="7"/>
        <v>180</v>
      </c>
      <c r="S104" s="3">
        <f t="shared" si="8"/>
        <v>10485.299999999999</v>
      </c>
      <c r="T104" s="24"/>
      <c r="U104" s="24"/>
      <c r="V104" s="3"/>
      <c r="W104" s="25" t="s">
        <v>6568</v>
      </c>
      <c r="X104" s="25" t="s">
        <v>6569</v>
      </c>
      <c r="Y104" s="25"/>
      <c r="Z104" s="25"/>
      <c r="AA104" s="25"/>
      <c r="AB104" s="3" t="str">
        <f>IF(Caja_Finanzas[[#This Row],[fecha]]&gt;0,TEXT(Caja_Finanzas[[#This Row],[fecha]],"mmmm"),0)</f>
        <v>Enero</v>
      </c>
    </row>
    <row r="105" spans="1:28" ht="24" x14ac:dyDescent="0.3">
      <c r="A105" s="2">
        <f>IF(Caja_Finanzas[[#This Row],[tipo_r]]="R",COUNTIFS($C$1:$C104,"R")+1,A104)</f>
        <v>95</v>
      </c>
      <c r="B105" s="19" t="str">
        <f t="shared" si="9"/>
        <v>C-Finanzas</v>
      </c>
      <c r="C105" s="3" t="s">
        <v>1330</v>
      </c>
      <c r="D105" s="14">
        <v>45688</v>
      </c>
      <c r="E105" s="5" t="s">
        <v>6570</v>
      </c>
      <c r="F105" s="5" t="s">
        <v>1336</v>
      </c>
      <c r="G105" s="5"/>
      <c r="H105" s="6"/>
      <c r="I105" s="6"/>
      <c r="J105" s="6"/>
      <c r="K105" s="6"/>
      <c r="L105" s="7" t="s">
        <v>6571</v>
      </c>
      <c r="M105" s="8" t="str">
        <f>"CFI"&amp;".D"&amp;TEXT(Caja_Finanzas[[#This Row],[fecha]],"DD-MM")&amp;"-"&amp;TEXT(Caja_Finanzas[[#This Row],[item]],"0000")</f>
        <v>CFI.D31-01-0095</v>
      </c>
      <c r="N105" s="8" t="str">
        <f t="shared" si="10"/>
        <v>PEN</v>
      </c>
      <c r="O105" s="13"/>
      <c r="P105" s="13">
        <v>10</v>
      </c>
      <c r="Q105" s="3">
        <f t="shared" si="6"/>
        <v>0</v>
      </c>
      <c r="R105" s="3">
        <f t="shared" si="7"/>
        <v>10</v>
      </c>
      <c r="S105" s="3">
        <f t="shared" si="8"/>
        <v>10475.299999999999</v>
      </c>
      <c r="T105" s="24"/>
      <c r="U105" s="24"/>
      <c r="V105" s="3"/>
      <c r="W105" s="25" t="s">
        <v>1333</v>
      </c>
      <c r="X105" s="25"/>
      <c r="Y105" s="25"/>
      <c r="Z105" s="25"/>
      <c r="AA105" s="25"/>
      <c r="AB105" s="3" t="str">
        <f>IF(Caja_Finanzas[[#This Row],[fecha]]&gt;0,TEXT(Caja_Finanzas[[#This Row],[fecha]],"mmmm"),0)</f>
        <v>Enero</v>
      </c>
    </row>
    <row r="106" spans="1:28" ht="96" x14ac:dyDescent="0.3">
      <c r="A106" s="2">
        <f>IF(Caja_Finanzas[[#This Row],[tipo_r]]="R",COUNTIFS($C$1:$C105,"R")+1,A105)</f>
        <v>96</v>
      </c>
      <c r="B106" s="19" t="str">
        <f t="shared" si="9"/>
        <v>C-Finanzas</v>
      </c>
      <c r="C106" s="3" t="s">
        <v>1330</v>
      </c>
      <c r="D106" s="14">
        <v>45688</v>
      </c>
      <c r="E106" s="5" t="s">
        <v>6415</v>
      </c>
      <c r="F106" s="5" t="s">
        <v>1336</v>
      </c>
      <c r="G106" s="5"/>
      <c r="H106" s="6"/>
      <c r="I106" s="6"/>
      <c r="J106" s="6"/>
      <c r="K106" s="6"/>
      <c r="L106" s="7" t="s">
        <v>6572</v>
      </c>
      <c r="M106" s="8" t="str">
        <f>"CFI"&amp;".D"&amp;TEXT(Caja_Finanzas[[#This Row],[fecha]],"DD-MM")&amp;"-"&amp;TEXT(Caja_Finanzas[[#This Row],[item]],"0000")</f>
        <v>CFI.D31-01-0096</v>
      </c>
      <c r="N106" s="8" t="str">
        <f t="shared" si="10"/>
        <v>PEN</v>
      </c>
      <c r="O106" s="13"/>
      <c r="P106" s="13">
        <v>10706</v>
      </c>
      <c r="Q106" s="3">
        <f t="shared" si="6"/>
        <v>0</v>
      </c>
      <c r="R106" s="3">
        <f t="shared" si="7"/>
        <v>10706</v>
      </c>
      <c r="S106" s="3">
        <f t="shared" si="8"/>
        <v>-230.70000000000073</v>
      </c>
      <c r="T106" s="24"/>
      <c r="U106" s="24"/>
      <c r="V106" s="3"/>
      <c r="W106" s="25" t="s">
        <v>4923</v>
      </c>
      <c r="X106" s="25"/>
      <c r="Y106" s="25"/>
      <c r="Z106" s="25"/>
      <c r="AA106" s="25"/>
      <c r="AB106" s="3" t="str">
        <f>IF(Caja_Finanzas[[#This Row],[fecha]]&gt;0,TEXT(Caja_Finanzas[[#This Row],[fecha]],"mmmm"),0)</f>
        <v>Enero</v>
      </c>
    </row>
    <row r="107" spans="1:28" x14ac:dyDescent="0.3">
      <c r="A107" s="2">
        <f>IF(Caja_Finanzas[[#This Row],[tipo_r]]="R",COUNTIFS($C$1:$C106,"R")+1,A106)</f>
        <v>97</v>
      </c>
      <c r="B107" s="19" t="str">
        <f t="shared" si="9"/>
        <v>C-Finanzas</v>
      </c>
      <c r="C107" s="3" t="s">
        <v>1330</v>
      </c>
      <c r="D107" s="14">
        <v>45688</v>
      </c>
      <c r="E107" s="5" t="s">
        <v>3634</v>
      </c>
      <c r="F107" s="5" t="s">
        <v>1336</v>
      </c>
      <c r="G107" s="5"/>
      <c r="H107" s="6"/>
      <c r="I107" s="6"/>
      <c r="J107" s="6"/>
      <c r="K107" s="6"/>
      <c r="L107" s="7" t="s">
        <v>6510</v>
      </c>
      <c r="M107" s="8" t="str">
        <f>"CFI"&amp;".D"&amp;TEXT(Caja_Finanzas[[#This Row],[fecha]],"DD-MM")&amp;"-"&amp;TEXT(Caja_Finanzas[[#This Row],[item]],"0000")</f>
        <v>CFI.D31-01-0097</v>
      </c>
      <c r="N107" s="8" t="str">
        <f t="shared" si="10"/>
        <v>PEN</v>
      </c>
      <c r="O107" s="13"/>
      <c r="P107" s="13">
        <v>200</v>
      </c>
      <c r="Q107" s="3">
        <f t="shared" si="6"/>
        <v>0</v>
      </c>
      <c r="R107" s="3">
        <f t="shared" si="7"/>
        <v>200</v>
      </c>
      <c r="S107" s="3">
        <f t="shared" si="8"/>
        <v>-430.70000000000073</v>
      </c>
      <c r="T107" s="24"/>
      <c r="U107" s="24"/>
      <c r="V107" s="3"/>
      <c r="W107" s="25"/>
      <c r="X107" s="25"/>
      <c r="Y107" s="25"/>
      <c r="Z107" s="25"/>
      <c r="AA107" s="25"/>
      <c r="AB107" s="3" t="str">
        <f>IF(Caja_Finanzas[[#This Row],[fecha]]&gt;0,TEXT(Caja_Finanzas[[#This Row],[fecha]],"mmmm"),0)</f>
        <v>Enero</v>
      </c>
    </row>
    <row r="108" spans="1:28" ht="24" x14ac:dyDescent="0.3">
      <c r="A108" s="2">
        <f>IF(Caja_Finanzas[[#This Row],[tipo_r]]="R",COUNTIFS($C$1:$C107,"R")+1,A107)</f>
        <v>98</v>
      </c>
      <c r="B108" s="19" t="str">
        <f t="shared" si="9"/>
        <v>C-Finanzas</v>
      </c>
      <c r="C108" s="3" t="s">
        <v>1330</v>
      </c>
      <c r="D108" s="14">
        <v>45691</v>
      </c>
      <c r="E108" s="5" t="s">
        <v>6526</v>
      </c>
      <c r="F108" s="5" t="s">
        <v>1303</v>
      </c>
      <c r="G108" s="5"/>
      <c r="H108" s="6" t="s">
        <v>425</v>
      </c>
      <c r="I108" s="6" t="s">
        <v>119</v>
      </c>
      <c r="J108" s="6">
        <v>3</v>
      </c>
      <c r="K108" s="6">
        <v>529</v>
      </c>
      <c r="L108" s="7" t="s">
        <v>6118</v>
      </c>
      <c r="M108" s="8" t="str">
        <f>"CFI"&amp;".D"&amp;TEXT(Caja_Finanzas[[#This Row],[fecha]],"DD-MM")&amp;"-"&amp;TEXT(Caja_Finanzas[[#This Row],[item]],"0000")</f>
        <v>CFI.D03-02-0098</v>
      </c>
      <c r="N108" s="8" t="str">
        <f t="shared" si="10"/>
        <v>PEN</v>
      </c>
      <c r="O108" s="13"/>
      <c r="P108" s="13">
        <v>254.9</v>
      </c>
      <c r="Q108" s="3">
        <f t="shared" si="6"/>
        <v>254.9</v>
      </c>
      <c r="R108" s="3">
        <f t="shared" si="7"/>
        <v>0</v>
      </c>
      <c r="S108" s="3">
        <f t="shared" si="8"/>
        <v>-175.80000000000072</v>
      </c>
      <c r="T108" s="24"/>
      <c r="U108" s="24"/>
      <c r="V108" s="3"/>
      <c r="W108" s="25"/>
      <c r="X108" s="25" t="s">
        <v>6528</v>
      </c>
      <c r="Y108" s="25"/>
      <c r="Z108" s="25"/>
      <c r="AA108" s="25"/>
      <c r="AB108" s="3" t="str">
        <f>IF(Caja_Finanzas[[#This Row],[fecha]]&gt;0,TEXT(Caja_Finanzas[[#This Row],[fecha]],"mmmm"),0)</f>
        <v>Febrero</v>
      </c>
    </row>
    <row r="109" spans="1:28" ht="24" x14ac:dyDescent="0.3">
      <c r="A109" s="2">
        <f>IF(Caja_Finanzas[[#This Row],[tipo_r]]="R",COUNTIFS($C$1:$C108,"R")+1,A108)</f>
        <v>99</v>
      </c>
      <c r="B109" s="19" t="str">
        <f t="shared" si="9"/>
        <v>C-Finanzas</v>
      </c>
      <c r="C109" s="3" t="s">
        <v>1330</v>
      </c>
      <c r="D109" s="14">
        <v>45691</v>
      </c>
      <c r="E109" s="5" t="s">
        <v>6573</v>
      </c>
      <c r="F109" s="5" t="s">
        <v>1303</v>
      </c>
      <c r="G109" s="5"/>
      <c r="H109" s="6" t="s">
        <v>425</v>
      </c>
      <c r="I109" s="6" t="s">
        <v>119</v>
      </c>
      <c r="J109" s="6">
        <v>3</v>
      </c>
      <c r="K109" s="6">
        <v>530</v>
      </c>
      <c r="L109" s="7" t="s">
        <v>6118</v>
      </c>
      <c r="M109" s="8" t="str">
        <f>"CFI"&amp;".D"&amp;TEXT(Caja_Finanzas[[#This Row],[fecha]],"DD-MM")&amp;"-"&amp;TEXT(Caja_Finanzas[[#This Row],[item]],"0000")</f>
        <v>CFI.D03-02-0099</v>
      </c>
      <c r="N109" s="8" t="str">
        <f t="shared" si="10"/>
        <v>PEN</v>
      </c>
      <c r="O109" s="13"/>
      <c r="P109" s="13">
        <v>150.80000000000001</v>
      </c>
      <c r="Q109" s="3">
        <f t="shared" si="6"/>
        <v>150.80000000000001</v>
      </c>
      <c r="R109" s="3">
        <f t="shared" si="7"/>
        <v>0</v>
      </c>
      <c r="S109" s="3">
        <f t="shared" si="8"/>
        <v>-25.000000000000711</v>
      </c>
      <c r="T109" s="24"/>
      <c r="U109" s="24"/>
      <c r="V109" s="3"/>
      <c r="W109" s="25"/>
      <c r="X109" s="25" t="s">
        <v>6574</v>
      </c>
      <c r="Y109" s="25"/>
      <c r="Z109" s="25"/>
      <c r="AA109" s="25"/>
      <c r="AB109" s="3" t="str">
        <f>IF(Caja_Finanzas[[#This Row],[fecha]]&gt;0,TEXT(Caja_Finanzas[[#This Row],[fecha]],"mmmm"),0)</f>
        <v>Febrero</v>
      </c>
    </row>
    <row r="110" spans="1:28" ht="24" x14ac:dyDescent="0.3">
      <c r="A110" s="2">
        <f>IF(Caja_Finanzas[[#This Row],[tipo_r]]="R",COUNTIFS($C$1:$C109,"R")+1,A109)</f>
        <v>100</v>
      </c>
      <c r="B110" s="19" t="str">
        <f t="shared" si="9"/>
        <v>C-Finanzas</v>
      </c>
      <c r="C110" s="3" t="s">
        <v>1330</v>
      </c>
      <c r="D110" s="14">
        <v>45691</v>
      </c>
      <c r="E110" s="5" t="s">
        <v>6575</v>
      </c>
      <c r="F110" s="5" t="s">
        <v>1303</v>
      </c>
      <c r="G110" s="5"/>
      <c r="H110" s="6" t="s">
        <v>425</v>
      </c>
      <c r="I110" s="6" t="s">
        <v>119</v>
      </c>
      <c r="J110" s="6">
        <v>3</v>
      </c>
      <c r="K110" s="6">
        <v>531</v>
      </c>
      <c r="L110" s="7" t="s">
        <v>6118</v>
      </c>
      <c r="M110" s="8" t="str">
        <f>"CFI"&amp;".D"&amp;TEXT(Caja_Finanzas[[#This Row],[fecha]],"DD-MM")&amp;"-"&amp;TEXT(Caja_Finanzas[[#This Row],[item]],"0000")</f>
        <v>CFI.D03-02-0100</v>
      </c>
      <c r="N110" s="8" t="str">
        <f t="shared" si="10"/>
        <v>PEN</v>
      </c>
      <c r="O110" s="13"/>
      <c r="P110" s="13">
        <v>150</v>
      </c>
      <c r="Q110" s="3">
        <f t="shared" si="6"/>
        <v>150</v>
      </c>
      <c r="R110" s="3">
        <f t="shared" si="7"/>
        <v>0</v>
      </c>
      <c r="S110" s="3">
        <f t="shared" si="8"/>
        <v>124.99999999999929</v>
      </c>
      <c r="T110" s="24"/>
      <c r="U110" s="24"/>
      <c r="V110" s="3"/>
      <c r="W110" s="25"/>
      <c r="X110" s="25" t="s">
        <v>6576</v>
      </c>
      <c r="Y110" s="25"/>
      <c r="Z110" s="25"/>
      <c r="AA110" s="25"/>
      <c r="AB110" s="3" t="str">
        <f>IF(Caja_Finanzas[[#This Row],[fecha]]&gt;0,TEXT(Caja_Finanzas[[#This Row],[fecha]],"mmmm"),0)</f>
        <v>Febrero</v>
      </c>
    </row>
    <row r="111" spans="1:28" ht="24" x14ac:dyDescent="0.3">
      <c r="A111" s="2">
        <f>IF(Caja_Finanzas[[#This Row],[tipo_r]]="R",COUNTIFS($C$1:$C110,"R")+1,A110)</f>
        <v>101</v>
      </c>
      <c r="B111" s="19" t="str">
        <f t="shared" si="9"/>
        <v>C-Finanzas</v>
      </c>
      <c r="C111" s="3" t="s">
        <v>1330</v>
      </c>
      <c r="D111" s="14">
        <v>45691</v>
      </c>
      <c r="E111" s="5" t="s">
        <v>3677</v>
      </c>
      <c r="F111" s="5" t="s">
        <v>1303</v>
      </c>
      <c r="G111" s="5"/>
      <c r="H111" s="6" t="s">
        <v>425</v>
      </c>
      <c r="I111" s="6" t="s">
        <v>119</v>
      </c>
      <c r="J111" s="6">
        <v>3</v>
      </c>
      <c r="K111" s="6">
        <v>532</v>
      </c>
      <c r="L111" s="7" t="s">
        <v>6118</v>
      </c>
      <c r="M111" s="8" t="str">
        <f>"CFI"&amp;".D"&amp;TEXT(Caja_Finanzas[[#This Row],[fecha]],"DD-MM")&amp;"-"&amp;TEXT(Caja_Finanzas[[#This Row],[item]],"0000")</f>
        <v>CFI.D03-02-0101</v>
      </c>
      <c r="N111" s="8" t="str">
        <f t="shared" si="10"/>
        <v>PEN</v>
      </c>
      <c r="O111" s="13"/>
      <c r="P111" s="13">
        <v>319.60000000000002</v>
      </c>
      <c r="Q111" s="3">
        <f t="shared" si="6"/>
        <v>319.60000000000002</v>
      </c>
      <c r="R111" s="3">
        <f t="shared" si="7"/>
        <v>0</v>
      </c>
      <c r="S111" s="3">
        <f t="shared" si="8"/>
        <v>444.59999999999934</v>
      </c>
      <c r="T111" s="24"/>
      <c r="U111" s="24"/>
      <c r="V111" s="3"/>
      <c r="W111" s="25"/>
      <c r="X111" s="25" t="s">
        <v>6577</v>
      </c>
      <c r="Y111" s="25"/>
      <c r="Z111" s="25"/>
      <c r="AA111" s="25"/>
      <c r="AB111" s="3" t="str">
        <f>IF(Caja_Finanzas[[#This Row],[fecha]]&gt;0,TEXT(Caja_Finanzas[[#This Row],[fecha]],"mmmm"),0)</f>
        <v>Febrero</v>
      </c>
    </row>
    <row r="112" spans="1:28" ht="24" x14ac:dyDescent="0.3">
      <c r="A112" s="2">
        <f>IF(Caja_Finanzas[[#This Row],[tipo_r]]="R",COUNTIFS($C$1:$C111,"R")+1,A111)</f>
        <v>102</v>
      </c>
      <c r="B112" s="19" t="str">
        <f t="shared" si="9"/>
        <v>C-Finanzas</v>
      </c>
      <c r="C112" s="3" t="s">
        <v>1330</v>
      </c>
      <c r="D112" s="14">
        <v>45691</v>
      </c>
      <c r="E112" s="5" t="s">
        <v>6526</v>
      </c>
      <c r="F112" s="5" t="s">
        <v>1303</v>
      </c>
      <c r="G112" s="5"/>
      <c r="H112" s="6" t="s">
        <v>425</v>
      </c>
      <c r="I112" s="6" t="s">
        <v>119</v>
      </c>
      <c r="J112" s="6">
        <v>3</v>
      </c>
      <c r="K112" s="6">
        <v>533</v>
      </c>
      <c r="L112" s="7" t="s">
        <v>6118</v>
      </c>
      <c r="M112" s="8" t="str">
        <f>"CFI"&amp;".D"&amp;TEXT(Caja_Finanzas[[#This Row],[fecha]],"DD-MM")&amp;"-"&amp;TEXT(Caja_Finanzas[[#This Row],[item]],"0000")</f>
        <v>CFI.D03-02-0102</v>
      </c>
      <c r="N112" s="8" t="str">
        <f t="shared" si="10"/>
        <v>PEN</v>
      </c>
      <c r="O112" s="13"/>
      <c r="P112" s="13">
        <v>172.5</v>
      </c>
      <c r="Q112" s="3">
        <f t="shared" si="6"/>
        <v>172.5</v>
      </c>
      <c r="R112" s="3">
        <f t="shared" si="7"/>
        <v>0</v>
      </c>
      <c r="S112" s="3">
        <f t="shared" si="8"/>
        <v>617.09999999999934</v>
      </c>
      <c r="T112" s="24"/>
      <c r="U112" s="24"/>
      <c r="V112" s="3"/>
      <c r="W112" s="25"/>
      <c r="X112" s="25" t="s">
        <v>6578</v>
      </c>
      <c r="Y112" s="25"/>
      <c r="Z112" s="25"/>
      <c r="AA112" s="25"/>
      <c r="AB112" s="3" t="str">
        <f>IF(Caja_Finanzas[[#This Row],[fecha]]&gt;0,TEXT(Caja_Finanzas[[#This Row],[fecha]],"mmmm"),0)</f>
        <v>Febrero</v>
      </c>
    </row>
    <row r="113" spans="1:28" ht="24" x14ac:dyDescent="0.3">
      <c r="A113" s="2">
        <f>IF(Caja_Finanzas[[#This Row],[tipo_r]]="R",COUNTIFS($C$1:$C112,"R")+1,A112)</f>
        <v>103</v>
      </c>
      <c r="B113" s="19" t="str">
        <f t="shared" si="9"/>
        <v>C-Finanzas</v>
      </c>
      <c r="C113" s="3" t="s">
        <v>1330</v>
      </c>
      <c r="D113" s="14">
        <v>45691</v>
      </c>
      <c r="E113" s="5" t="s">
        <v>6526</v>
      </c>
      <c r="F113" s="5" t="s">
        <v>1303</v>
      </c>
      <c r="G113" s="5"/>
      <c r="H113" s="6" t="s">
        <v>425</v>
      </c>
      <c r="I113" s="6" t="s">
        <v>119</v>
      </c>
      <c r="J113" s="6">
        <v>3</v>
      </c>
      <c r="K113" s="6">
        <v>534</v>
      </c>
      <c r="L113" s="7" t="s">
        <v>6118</v>
      </c>
      <c r="M113" s="8" t="str">
        <f>"CFI"&amp;".D"&amp;TEXT(Caja_Finanzas[[#This Row],[fecha]],"DD-MM")&amp;"-"&amp;TEXT(Caja_Finanzas[[#This Row],[item]],"0000")</f>
        <v>CFI.D03-02-0103</v>
      </c>
      <c r="N113" s="8" t="str">
        <f t="shared" si="10"/>
        <v>PEN</v>
      </c>
      <c r="O113" s="13"/>
      <c r="P113" s="13">
        <v>26.5</v>
      </c>
      <c r="Q113" s="3">
        <f t="shared" si="6"/>
        <v>26.5</v>
      </c>
      <c r="R113" s="3">
        <f t="shared" si="7"/>
        <v>0</v>
      </c>
      <c r="S113" s="3">
        <f t="shared" si="8"/>
        <v>643.59999999999934</v>
      </c>
      <c r="T113" s="24"/>
      <c r="U113" s="24"/>
      <c r="V113" s="3"/>
      <c r="W113" s="25"/>
      <c r="X113" s="25" t="s">
        <v>6579</v>
      </c>
      <c r="Y113" s="25"/>
      <c r="Z113" s="25"/>
      <c r="AA113" s="25"/>
      <c r="AB113" s="3" t="str">
        <f>IF(Caja_Finanzas[[#This Row],[fecha]]&gt;0,TEXT(Caja_Finanzas[[#This Row],[fecha]],"mmmm"),0)</f>
        <v>Febrero</v>
      </c>
    </row>
    <row r="114" spans="1:28" ht="24" x14ac:dyDescent="0.3">
      <c r="A114" s="2">
        <f>IF(Caja_Finanzas[[#This Row],[tipo_r]]="R",COUNTIFS($C$1:$C113,"R")+1,A113)</f>
        <v>104</v>
      </c>
      <c r="B114" s="19" t="str">
        <f t="shared" si="9"/>
        <v>C-Finanzas</v>
      </c>
      <c r="C114" s="3" t="s">
        <v>1330</v>
      </c>
      <c r="D114" s="14">
        <v>45691</v>
      </c>
      <c r="E114" s="5" t="s">
        <v>6526</v>
      </c>
      <c r="F114" s="5" t="s">
        <v>1303</v>
      </c>
      <c r="G114" s="5"/>
      <c r="H114" s="6" t="s">
        <v>425</v>
      </c>
      <c r="I114" s="6" t="s">
        <v>119</v>
      </c>
      <c r="J114" s="6">
        <v>3</v>
      </c>
      <c r="K114" s="6">
        <v>535</v>
      </c>
      <c r="L114" s="7" t="s">
        <v>6118</v>
      </c>
      <c r="M114" s="8" t="str">
        <f>"CFI"&amp;".D"&amp;TEXT(Caja_Finanzas[[#This Row],[fecha]],"DD-MM")&amp;"-"&amp;TEXT(Caja_Finanzas[[#This Row],[item]],"0000")</f>
        <v>CFI.D03-02-0104</v>
      </c>
      <c r="N114" s="8" t="str">
        <f t="shared" si="10"/>
        <v>PEN</v>
      </c>
      <c r="O114" s="13"/>
      <c r="P114" s="13">
        <v>85</v>
      </c>
      <c r="Q114" s="3">
        <f t="shared" si="6"/>
        <v>85</v>
      </c>
      <c r="R114" s="3">
        <f t="shared" si="7"/>
        <v>0</v>
      </c>
      <c r="S114" s="3">
        <f t="shared" si="8"/>
        <v>728.59999999999934</v>
      </c>
      <c r="T114" s="24"/>
      <c r="U114" s="24"/>
      <c r="V114" s="3"/>
      <c r="W114" s="25"/>
      <c r="X114" s="25" t="s">
        <v>6580</v>
      </c>
      <c r="Y114" s="25"/>
      <c r="Z114" s="25"/>
      <c r="AA114" s="25"/>
      <c r="AB114" s="3" t="str">
        <f>IF(Caja_Finanzas[[#This Row],[fecha]]&gt;0,TEXT(Caja_Finanzas[[#This Row],[fecha]],"mmmm"),0)</f>
        <v>Febrero</v>
      </c>
    </row>
    <row r="115" spans="1:28" ht="24" x14ac:dyDescent="0.3">
      <c r="A115" s="2">
        <f>IF(Caja_Finanzas[[#This Row],[tipo_r]]="R",COUNTIFS($C$1:$C114,"R")+1,A114)</f>
        <v>105</v>
      </c>
      <c r="B115" s="19" t="str">
        <f t="shared" si="9"/>
        <v>C-Finanzas</v>
      </c>
      <c r="C115" s="3" t="s">
        <v>1330</v>
      </c>
      <c r="D115" s="14">
        <v>45691</v>
      </c>
      <c r="E115" s="5" t="s">
        <v>3677</v>
      </c>
      <c r="F115" s="5" t="s">
        <v>1303</v>
      </c>
      <c r="G115" s="5"/>
      <c r="H115" s="6" t="s">
        <v>425</v>
      </c>
      <c r="I115" s="6" t="s">
        <v>119</v>
      </c>
      <c r="J115" s="6">
        <v>3</v>
      </c>
      <c r="K115" s="6">
        <v>536</v>
      </c>
      <c r="L115" s="7" t="s">
        <v>6118</v>
      </c>
      <c r="M115" s="8" t="str">
        <f>"CFI"&amp;".D"&amp;TEXT(Caja_Finanzas[[#This Row],[fecha]],"DD-MM")&amp;"-"&amp;TEXT(Caja_Finanzas[[#This Row],[item]],"0000")</f>
        <v>CFI.D03-02-0105</v>
      </c>
      <c r="N115" s="8" t="str">
        <f t="shared" si="10"/>
        <v>PEN</v>
      </c>
      <c r="O115" s="13"/>
      <c r="P115" s="13">
        <v>500</v>
      </c>
      <c r="Q115" s="3">
        <f t="shared" si="6"/>
        <v>500</v>
      </c>
      <c r="R115" s="3">
        <f t="shared" si="7"/>
        <v>0</v>
      </c>
      <c r="S115" s="3">
        <f t="shared" si="8"/>
        <v>1228.5999999999995</v>
      </c>
      <c r="T115" s="24"/>
      <c r="U115" s="24"/>
      <c r="V115" s="3"/>
      <c r="W115" s="25"/>
      <c r="X115" s="25" t="s">
        <v>6581</v>
      </c>
      <c r="Y115" s="25"/>
      <c r="Z115" s="25"/>
      <c r="AA115" s="25"/>
      <c r="AB115" s="3" t="str">
        <f>IF(Caja_Finanzas[[#This Row],[fecha]]&gt;0,TEXT(Caja_Finanzas[[#This Row],[fecha]],"mmmm"),0)</f>
        <v>Febrero</v>
      </c>
    </row>
    <row r="116" spans="1:28" ht="24" x14ac:dyDescent="0.3">
      <c r="A116" s="2">
        <f>IF(Caja_Finanzas[[#This Row],[tipo_r]]="R",COUNTIFS($C$1:$C115,"R")+1,A115)</f>
        <v>106</v>
      </c>
      <c r="B116" s="19" t="str">
        <f t="shared" si="9"/>
        <v>C-Finanzas</v>
      </c>
      <c r="C116" s="3" t="s">
        <v>1330</v>
      </c>
      <c r="D116" s="14">
        <v>45691</v>
      </c>
      <c r="E116" s="5" t="s">
        <v>3680</v>
      </c>
      <c r="F116" s="5" t="s">
        <v>1303</v>
      </c>
      <c r="G116" s="5"/>
      <c r="H116" s="6" t="s">
        <v>425</v>
      </c>
      <c r="I116" s="6" t="s">
        <v>119</v>
      </c>
      <c r="J116" s="6">
        <v>3</v>
      </c>
      <c r="K116" s="6">
        <v>537</v>
      </c>
      <c r="L116" s="7" t="s">
        <v>6118</v>
      </c>
      <c r="M116" s="8" t="str">
        <f>"CFI"&amp;".D"&amp;TEXT(Caja_Finanzas[[#This Row],[fecha]],"DD-MM")&amp;"-"&amp;TEXT(Caja_Finanzas[[#This Row],[item]],"0000")</f>
        <v>CFI.D03-02-0106</v>
      </c>
      <c r="N116" s="8" t="str">
        <f t="shared" si="10"/>
        <v>PEN</v>
      </c>
      <c r="O116" s="13"/>
      <c r="P116" s="13">
        <v>20</v>
      </c>
      <c r="Q116" s="3">
        <f t="shared" si="6"/>
        <v>20</v>
      </c>
      <c r="R116" s="3">
        <f t="shared" si="7"/>
        <v>0</v>
      </c>
      <c r="S116" s="3">
        <f t="shared" si="8"/>
        <v>1248.5999999999995</v>
      </c>
      <c r="T116" s="24"/>
      <c r="U116" s="24"/>
      <c r="V116" s="3"/>
      <c r="W116" s="25"/>
      <c r="X116" s="25" t="s">
        <v>6582</v>
      </c>
      <c r="Y116" s="25"/>
      <c r="Z116" s="25"/>
      <c r="AA116" s="25"/>
      <c r="AB116" s="3" t="str">
        <f>IF(Caja_Finanzas[[#This Row],[fecha]]&gt;0,TEXT(Caja_Finanzas[[#This Row],[fecha]],"mmmm"),0)</f>
        <v>Febrero</v>
      </c>
    </row>
    <row r="117" spans="1:28" ht="24" x14ac:dyDescent="0.3">
      <c r="A117" s="2">
        <f>IF(Caja_Finanzas[[#This Row],[tipo_r]]="R",COUNTIFS($C$1:$C116,"R")+1,A116)</f>
        <v>107</v>
      </c>
      <c r="B117" s="19" t="str">
        <f t="shared" si="9"/>
        <v>C-Finanzas</v>
      </c>
      <c r="C117" s="3" t="s">
        <v>1330</v>
      </c>
      <c r="D117" s="14">
        <v>45691</v>
      </c>
      <c r="E117" s="5" t="s">
        <v>6583</v>
      </c>
      <c r="F117" s="5" t="s">
        <v>1303</v>
      </c>
      <c r="G117" s="5"/>
      <c r="H117" s="6" t="s">
        <v>425</v>
      </c>
      <c r="I117" s="6" t="s">
        <v>119</v>
      </c>
      <c r="J117" s="6">
        <v>3</v>
      </c>
      <c r="K117" s="6">
        <v>538</v>
      </c>
      <c r="L117" s="7" t="s">
        <v>6118</v>
      </c>
      <c r="M117" s="8" t="str">
        <f>"CFI"&amp;".D"&amp;TEXT(Caja_Finanzas[[#This Row],[fecha]],"DD-MM")&amp;"-"&amp;TEXT(Caja_Finanzas[[#This Row],[item]],"0000")</f>
        <v>CFI.D03-02-0107</v>
      </c>
      <c r="N117" s="8" t="str">
        <f t="shared" si="10"/>
        <v>PEN</v>
      </c>
      <c r="O117" s="13"/>
      <c r="P117" s="13">
        <v>300</v>
      </c>
      <c r="Q117" s="3">
        <f t="shared" si="6"/>
        <v>300</v>
      </c>
      <c r="R117" s="3">
        <f t="shared" si="7"/>
        <v>0</v>
      </c>
      <c r="S117" s="3">
        <f t="shared" si="8"/>
        <v>1548.5999999999995</v>
      </c>
      <c r="T117" s="24"/>
      <c r="U117" s="24"/>
      <c r="V117" s="3"/>
      <c r="W117" s="25"/>
      <c r="X117" s="25" t="s">
        <v>6584</v>
      </c>
      <c r="Y117" s="25"/>
      <c r="Z117" s="25"/>
      <c r="AA117" s="25"/>
      <c r="AB117" s="3" t="str">
        <f>IF(Caja_Finanzas[[#This Row],[fecha]]&gt;0,TEXT(Caja_Finanzas[[#This Row],[fecha]],"mmmm"),0)</f>
        <v>Febrero</v>
      </c>
    </row>
    <row r="118" spans="1:28" ht="24" x14ac:dyDescent="0.3">
      <c r="A118" s="2">
        <f>IF(Caja_Finanzas[[#This Row],[tipo_r]]="R",COUNTIFS($C$1:$C117,"R")+1,A117)</f>
        <v>108</v>
      </c>
      <c r="B118" s="19" t="str">
        <f t="shared" si="9"/>
        <v>C-Finanzas</v>
      </c>
      <c r="C118" s="3" t="s">
        <v>1330</v>
      </c>
      <c r="D118" s="14">
        <v>45691</v>
      </c>
      <c r="E118" s="5" t="s">
        <v>3680</v>
      </c>
      <c r="F118" s="5" t="s">
        <v>1303</v>
      </c>
      <c r="G118" s="5"/>
      <c r="H118" s="6" t="s">
        <v>425</v>
      </c>
      <c r="I118" s="6" t="s">
        <v>119</v>
      </c>
      <c r="J118" s="6">
        <v>3</v>
      </c>
      <c r="K118" s="6">
        <v>539</v>
      </c>
      <c r="L118" s="7" t="s">
        <v>6118</v>
      </c>
      <c r="M118" s="8" t="str">
        <f>"CFI"&amp;".D"&amp;TEXT(Caja_Finanzas[[#This Row],[fecha]],"DD-MM")&amp;"-"&amp;TEXT(Caja_Finanzas[[#This Row],[item]],"0000")</f>
        <v>CFI.D03-02-0108</v>
      </c>
      <c r="N118" s="8" t="str">
        <f t="shared" si="10"/>
        <v>PEN</v>
      </c>
      <c r="O118" s="13"/>
      <c r="P118" s="13">
        <v>19.5</v>
      </c>
      <c r="Q118" s="3">
        <f t="shared" si="6"/>
        <v>19.5</v>
      </c>
      <c r="R118" s="3">
        <f t="shared" si="7"/>
        <v>0</v>
      </c>
      <c r="S118" s="3">
        <f t="shared" si="8"/>
        <v>1568.0999999999995</v>
      </c>
      <c r="T118" s="24"/>
      <c r="U118" s="24"/>
      <c r="V118" s="3"/>
      <c r="W118" s="25"/>
      <c r="X118" s="25" t="s">
        <v>6585</v>
      </c>
      <c r="Y118" s="25"/>
      <c r="Z118" s="25"/>
      <c r="AA118" s="25"/>
      <c r="AB118" s="3" t="str">
        <f>IF(Caja_Finanzas[[#This Row],[fecha]]&gt;0,TEXT(Caja_Finanzas[[#This Row],[fecha]],"mmmm"),0)</f>
        <v>Febrero</v>
      </c>
    </row>
    <row r="119" spans="1:28" ht="24" x14ac:dyDescent="0.3">
      <c r="A119" s="2">
        <f>IF(Caja_Finanzas[[#This Row],[tipo_r]]="R",COUNTIFS($C$1:$C118,"R")+1,A118)</f>
        <v>109</v>
      </c>
      <c r="B119" s="19" t="str">
        <f t="shared" si="9"/>
        <v>C-Finanzas</v>
      </c>
      <c r="C119" s="3" t="s">
        <v>1330</v>
      </c>
      <c r="D119" s="14">
        <v>45691</v>
      </c>
      <c r="E119" s="5" t="s">
        <v>6586</v>
      </c>
      <c r="F119" s="5" t="s">
        <v>1303</v>
      </c>
      <c r="G119" s="5"/>
      <c r="H119" s="6" t="s">
        <v>425</v>
      </c>
      <c r="I119" s="6" t="s">
        <v>119</v>
      </c>
      <c r="J119" s="6">
        <v>3</v>
      </c>
      <c r="K119" s="6">
        <v>540</v>
      </c>
      <c r="L119" s="7" t="s">
        <v>6118</v>
      </c>
      <c r="M119" s="8" t="str">
        <f>"CFI"&amp;".D"&amp;TEXT(Caja_Finanzas[[#This Row],[fecha]],"DD-MM")&amp;"-"&amp;TEXT(Caja_Finanzas[[#This Row],[item]],"0000")</f>
        <v>CFI.D03-02-0109</v>
      </c>
      <c r="N119" s="8" t="str">
        <f t="shared" si="10"/>
        <v>PEN</v>
      </c>
      <c r="O119" s="13"/>
      <c r="P119" s="13">
        <v>35</v>
      </c>
      <c r="Q119" s="3">
        <f t="shared" si="6"/>
        <v>35</v>
      </c>
      <c r="R119" s="3">
        <f t="shared" si="7"/>
        <v>0</v>
      </c>
      <c r="S119" s="3">
        <f t="shared" si="8"/>
        <v>1603.0999999999995</v>
      </c>
      <c r="T119" s="24"/>
      <c r="U119" s="24"/>
      <c r="V119" s="3"/>
      <c r="W119" s="25"/>
      <c r="X119" s="25" t="s">
        <v>6587</v>
      </c>
      <c r="Y119" s="25"/>
      <c r="Z119" s="25"/>
      <c r="AA119" s="25"/>
      <c r="AB119" s="3" t="str">
        <f>IF(Caja_Finanzas[[#This Row],[fecha]]&gt;0,TEXT(Caja_Finanzas[[#This Row],[fecha]],"mmmm"),0)</f>
        <v>Febrero</v>
      </c>
    </row>
    <row r="120" spans="1:28" ht="36" x14ac:dyDescent="0.3">
      <c r="A120" s="2">
        <f>IF(Caja_Finanzas[[#This Row],[tipo_r]]="R",COUNTIFS($C$1:$C119,"R")+1,A119)</f>
        <v>110</v>
      </c>
      <c r="B120" s="19" t="str">
        <f t="shared" si="9"/>
        <v>C-Finanzas</v>
      </c>
      <c r="C120" s="3" t="s">
        <v>1330</v>
      </c>
      <c r="D120" s="14">
        <v>45691</v>
      </c>
      <c r="E120" s="5" t="s">
        <v>6588</v>
      </c>
      <c r="F120" s="5" t="s">
        <v>1303</v>
      </c>
      <c r="G120" s="5"/>
      <c r="H120" s="6" t="s">
        <v>425</v>
      </c>
      <c r="I120" s="6" t="s">
        <v>119</v>
      </c>
      <c r="J120" s="6">
        <v>3</v>
      </c>
      <c r="K120" s="6">
        <v>541</v>
      </c>
      <c r="L120" s="7" t="s">
        <v>6118</v>
      </c>
      <c r="M120" s="8" t="str">
        <f>"CFI"&amp;".D"&amp;TEXT(Caja_Finanzas[[#This Row],[fecha]],"DD-MM")&amp;"-"&amp;TEXT(Caja_Finanzas[[#This Row],[item]],"0000")</f>
        <v>CFI.D03-02-0110</v>
      </c>
      <c r="N120" s="8" t="str">
        <f t="shared" si="10"/>
        <v>PEN</v>
      </c>
      <c r="O120" s="13"/>
      <c r="P120" s="13">
        <v>225</v>
      </c>
      <c r="Q120" s="3">
        <f t="shared" si="6"/>
        <v>225</v>
      </c>
      <c r="R120" s="3">
        <f t="shared" si="7"/>
        <v>0</v>
      </c>
      <c r="S120" s="3">
        <f t="shared" si="8"/>
        <v>1828.0999999999995</v>
      </c>
      <c r="T120" s="24"/>
      <c r="U120" s="24"/>
      <c r="V120" s="3"/>
      <c r="W120" s="25"/>
      <c r="X120" s="25" t="s">
        <v>6589</v>
      </c>
      <c r="Y120" s="25"/>
      <c r="Z120" s="25"/>
      <c r="AA120" s="25"/>
      <c r="AB120" s="3" t="str">
        <f>IF(Caja_Finanzas[[#This Row],[fecha]]&gt;0,TEXT(Caja_Finanzas[[#This Row],[fecha]],"mmmm"),0)</f>
        <v>Febrero</v>
      </c>
    </row>
    <row r="121" spans="1:28" ht="24" x14ac:dyDescent="0.3">
      <c r="A121" s="2">
        <f>IF(Caja_Finanzas[[#This Row],[tipo_r]]="R",COUNTIFS($C$1:$C120,"R")+1,A120)</f>
        <v>111</v>
      </c>
      <c r="B121" s="19" t="str">
        <f t="shared" si="9"/>
        <v>C-Finanzas</v>
      </c>
      <c r="C121" s="3" t="s">
        <v>1330</v>
      </c>
      <c r="D121" s="14">
        <v>45691</v>
      </c>
      <c r="E121" s="5" t="s">
        <v>6575</v>
      </c>
      <c r="F121" s="5" t="s">
        <v>1303</v>
      </c>
      <c r="G121" s="5"/>
      <c r="H121" s="6" t="s">
        <v>425</v>
      </c>
      <c r="I121" s="6" t="s">
        <v>119</v>
      </c>
      <c r="J121" s="6">
        <v>3</v>
      </c>
      <c r="K121" s="6">
        <v>542</v>
      </c>
      <c r="L121" s="7" t="s">
        <v>6118</v>
      </c>
      <c r="M121" s="8" t="str">
        <f>"CFI"&amp;".D"&amp;TEXT(Caja_Finanzas[[#This Row],[fecha]],"DD-MM")&amp;"-"&amp;TEXT(Caja_Finanzas[[#This Row],[item]],"0000")</f>
        <v>CFI.D03-02-0111</v>
      </c>
      <c r="N121" s="8" t="str">
        <f t="shared" si="10"/>
        <v>PEN</v>
      </c>
      <c r="O121" s="13"/>
      <c r="P121" s="13">
        <v>75</v>
      </c>
      <c r="Q121" s="3">
        <f t="shared" si="6"/>
        <v>75</v>
      </c>
      <c r="R121" s="3">
        <f t="shared" si="7"/>
        <v>0</v>
      </c>
      <c r="S121" s="3">
        <f t="shared" si="8"/>
        <v>1903.0999999999995</v>
      </c>
      <c r="T121" s="24"/>
      <c r="U121" s="24"/>
      <c r="V121" s="3"/>
      <c r="W121" s="25"/>
      <c r="X121" s="25" t="s">
        <v>6590</v>
      </c>
      <c r="Y121" s="25"/>
      <c r="Z121" s="25"/>
      <c r="AA121" s="25"/>
      <c r="AB121" s="3" t="str">
        <f>IF(Caja_Finanzas[[#This Row],[fecha]]&gt;0,TEXT(Caja_Finanzas[[#This Row],[fecha]],"mmmm"),0)</f>
        <v>Febrero</v>
      </c>
    </row>
    <row r="122" spans="1:28" x14ac:dyDescent="0.3">
      <c r="A122" s="2">
        <f>IF(Caja_Finanzas[[#This Row],[tipo_r]]="R",COUNTIFS($C$1:$C121,"R")+1,A121)</f>
        <v>112</v>
      </c>
      <c r="B122" s="19" t="str">
        <f t="shared" si="9"/>
        <v>C-Finanzas</v>
      </c>
      <c r="C122" s="3" t="s">
        <v>1330</v>
      </c>
      <c r="D122" s="14">
        <v>45691</v>
      </c>
      <c r="E122" s="5"/>
      <c r="F122" s="5" t="s">
        <v>1336</v>
      </c>
      <c r="G122" s="5"/>
      <c r="H122" s="6"/>
      <c r="I122" s="6"/>
      <c r="J122" s="6"/>
      <c r="K122" s="6"/>
      <c r="L122" s="7" t="s">
        <v>6591</v>
      </c>
      <c r="M122" s="8" t="str">
        <f>"CFI"&amp;".D"&amp;TEXT(Caja_Finanzas[[#This Row],[fecha]],"DD-MM")&amp;"-"&amp;TEXT(Caja_Finanzas[[#This Row],[item]],"0000")</f>
        <v>CFI.D03-02-0112</v>
      </c>
      <c r="N122" s="8" t="str">
        <f t="shared" si="10"/>
        <v>PEN</v>
      </c>
      <c r="O122" s="13"/>
      <c r="P122" s="13">
        <v>306.2</v>
      </c>
      <c r="Q122" s="3">
        <f t="shared" si="6"/>
        <v>0</v>
      </c>
      <c r="R122" s="3">
        <f t="shared" si="7"/>
        <v>306.2</v>
      </c>
      <c r="S122" s="3">
        <f t="shared" si="8"/>
        <v>1596.8999999999994</v>
      </c>
      <c r="T122" s="24"/>
      <c r="U122" s="24"/>
      <c r="V122" s="3"/>
      <c r="W122" s="25"/>
      <c r="X122" s="25"/>
      <c r="Y122" s="25"/>
      <c r="Z122" s="25"/>
      <c r="AA122" s="25"/>
      <c r="AB122" s="3" t="str">
        <f>IF(Caja_Finanzas[[#This Row],[fecha]]&gt;0,TEXT(Caja_Finanzas[[#This Row],[fecha]],"mmmm"),0)</f>
        <v>Febrero</v>
      </c>
    </row>
    <row r="123" spans="1:28" ht="36" x14ac:dyDescent="0.3">
      <c r="A123" s="2">
        <f>IF(Caja_Finanzas[[#This Row],[tipo_r]]="R",COUNTIFS($C$1:$C122,"R")+1,A122)</f>
        <v>113</v>
      </c>
      <c r="B123" s="19" t="str">
        <f t="shared" si="9"/>
        <v>C-Finanzas</v>
      </c>
      <c r="C123" s="3" t="s">
        <v>1330</v>
      </c>
      <c r="D123" s="14">
        <v>45691</v>
      </c>
      <c r="E123" s="5" t="s">
        <v>6415</v>
      </c>
      <c r="F123" s="5" t="s">
        <v>1336</v>
      </c>
      <c r="G123" s="5"/>
      <c r="H123" s="6"/>
      <c r="I123" s="6"/>
      <c r="J123" s="6"/>
      <c r="K123" s="6"/>
      <c r="L123" s="7" t="s">
        <v>6592</v>
      </c>
      <c r="M123" s="8" t="str">
        <f>"CFI"&amp;".D"&amp;TEXT(Caja_Finanzas[[#This Row],[fecha]],"DD-MM")&amp;"-"&amp;TEXT(Caja_Finanzas[[#This Row],[item]],"0000")</f>
        <v>CFI.D03-02-0113</v>
      </c>
      <c r="N123" s="8" t="str">
        <f t="shared" si="10"/>
        <v>PEN</v>
      </c>
      <c r="O123" s="13"/>
      <c r="P123" s="13">
        <v>160</v>
      </c>
      <c r="Q123" s="3">
        <f t="shared" si="6"/>
        <v>0</v>
      </c>
      <c r="R123" s="3">
        <f t="shared" si="7"/>
        <v>160</v>
      </c>
      <c r="S123" s="3">
        <f t="shared" si="8"/>
        <v>1436.8999999999994</v>
      </c>
      <c r="T123" s="24"/>
      <c r="U123" s="24"/>
      <c r="V123" s="3"/>
      <c r="W123" s="25" t="s">
        <v>6593</v>
      </c>
      <c r="X123" s="25"/>
      <c r="Y123" s="25"/>
      <c r="Z123" s="25"/>
      <c r="AA123" s="25"/>
      <c r="AB123" s="3" t="str">
        <f>IF(Caja_Finanzas[[#This Row],[fecha]]&gt;0,TEXT(Caja_Finanzas[[#This Row],[fecha]],"mmmm"),0)</f>
        <v>Febrero</v>
      </c>
    </row>
    <row r="124" spans="1:28" ht="48" x14ac:dyDescent="0.3">
      <c r="A124" s="2">
        <f>IF(Caja_Finanzas[[#This Row],[tipo_r]]="R",COUNTIFS($C$1:$C123,"R")+1,A123)</f>
        <v>114</v>
      </c>
      <c r="B124" s="19" t="str">
        <f t="shared" si="9"/>
        <v>C-Finanzas</v>
      </c>
      <c r="C124" s="3" t="s">
        <v>1330</v>
      </c>
      <c r="D124" s="14">
        <v>45691</v>
      </c>
      <c r="E124" s="5" t="s">
        <v>6420</v>
      </c>
      <c r="F124" s="5" t="s">
        <v>1336</v>
      </c>
      <c r="G124" s="5"/>
      <c r="H124" s="6"/>
      <c r="I124" s="6"/>
      <c r="J124" s="6"/>
      <c r="K124" s="6"/>
      <c r="L124" s="7" t="s">
        <v>6594</v>
      </c>
      <c r="M124" s="8" t="str">
        <f>"CFI"&amp;".D"&amp;TEXT(Caja_Finanzas[[#This Row],[fecha]],"DD-MM")&amp;"-"&amp;TEXT(Caja_Finanzas[[#This Row],[item]],"0000")</f>
        <v>CFI.D03-02-0114</v>
      </c>
      <c r="N124" s="8" t="str">
        <f t="shared" si="10"/>
        <v>PEN</v>
      </c>
      <c r="O124" s="13"/>
      <c r="P124" s="13">
        <v>1100</v>
      </c>
      <c r="Q124" s="3">
        <f t="shared" si="6"/>
        <v>0</v>
      </c>
      <c r="R124" s="3">
        <f t="shared" si="7"/>
        <v>1100</v>
      </c>
      <c r="S124" s="3">
        <f t="shared" si="8"/>
        <v>336.89999999999941</v>
      </c>
      <c r="T124" s="24"/>
      <c r="U124" s="24"/>
      <c r="V124" s="3"/>
      <c r="W124" s="25" t="s">
        <v>185</v>
      </c>
      <c r="X124" s="25" t="s">
        <v>6595</v>
      </c>
      <c r="Y124" s="25"/>
      <c r="Z124" s="25"/>
      <c r="AA124" s="25"/>
      <c r="AB124" s="3" t="str">
        <f>IF(Caja_Finanzas[[#This Row],[fecha]]&gt;0,TEXT(Caja_Finanzas[[#This Row],[fecha]],"mmmm"),0)</f>
        <v>Febrero</v>
      </c>
    </row>
    <row r="125" spans="1:28" ht="24" x14ac:dyDescent="0.3">
      <c r="A125" s="2">
        <f>IF(Caja_Finanzas[[#This Row],[tipo_r]]="R",COUNTIFS($C$1:$C124,"R")+1,A124)</f>
        <v>115</v>
      </c>
      <c r="B125" s="19" t="str">
        <f t="shared" si="9"/>
        <v>C-Finanzas</v>
      </c>
      <c r="C125" s="3" t="s">
        <v>1330</v>
      </c>
      <c r="D125" s="14">
        <v>45691</v>
      </c>
      <c r="E125" s="5" t="s">
        <v>6420</v>
      </c>
      <c r="F125" s="5" t="s">
        <v>1336</v>
      </c>
      <c r="G125" s="5"/>
      <c r="H125" s="6"/>
      <c r="I125" s="6"/>
      <c r="J125" s="6"/>
      <c r="K125" s="6"/>
      <c r="L125" s="7" t="s">
        <v>6596</v>
      </c>
      <c r="M125" s="8" t="str">
        <f>"CFI"&amp;".D"&amp;TEXT(Caja_Finanzas[[#This Row],[fecha]],"DD-MM")&amp;"-"&amp;TEXT(Caja_Finanzas[[#This Row],[item]],"0000")</f>
        <v>CFI.D03-02-0115</v>
      </c>
      <c r="N125" s="8" t="str">
        <f t="shared" si="10"/>
        <v>PEN</v>
      </c>
      <c r="O125" s="13"/>
      <c r="P125" s="13">
        <v>40</v>
      </c>
      <c r="Q125" s="3">
        <f t="shared" si="6"/>
        <v>0</v>
      </c>
      <c r="R125" s="3">
        <f t="shared" si="7"/>
        <v>40</v>
      </c>
      <c r="S125" s="3">
        <f t="shared" si="8"/>
        <v>296.89999999999941</v>
      </c>
      <c r="T125" s="24"/>
      <c r="U125" s="24"/>
      <c r="V125" s="3"/>
      <c r="W125" s="25" t="s">
        <v>6597</v>
      </c>
      <c r="X125" s="25" t="s">
        <v>6598</v>
      </c>
      <c r="Y125" s="25"/>
      <c r="Z125" s="25"/>
      <c r="AA125" s="25"/>
      <c r="AB125" s="3" t="str">
        <f>IF(Caja_Finanzas[[#This Row],[fecha]]&gt;0,TEXT(Caja_Finanzas[[#This Row],[fecha]],"mmmm"),0)</f>
        <v>Febrero</v>
      </c>
    </row>
    <row r="126" spans="1:28" ht="24" x14ac:dyDescent="0.3">
      <c r="A126" s="2">
        <f>IF(Caja_Finanzas[[#This Row],[tipo_r]]="R",COUNTIFS($C$1:$C125,"R")+1,A125)</f>
        <v>116</v>
      </c>
      <c r="B126" s="19" t="str">
        <f t="shared" si="9"/>
        <v>C-Finanzas</v>
      </c>
      <c r="C126" s="3" t="s">
        <v>1330</v>
      </c>
      <c r="D126" s="14">
        <v>45692</v>
      </c>
      <c r="E126" s="5" t="s">
        <v>6570</v>
      </c>
      <c r="F126" s="5" t="s">
        <v>1336</v>
      </c>
      <c r="G126" s="5"/>
      <c r="H126" s="6"/>
      <c r="I126" s="6"/>
      <c r="J126" s="6"/>
      <c r="K126" s="6"/>
      <c r="L126" s="7" t="s">
        <v>6599</v>
      </c>
      <c r="M126" s="8" t="str">
        <f>"CFI"&amp;".D"&amp;TEXT(Caja_Finanzas[[#This Row],[fecha]],"DD-MM")&amp;"-"&amp;TEXT(Caja_Finanzas[[#This Row],[item]],"0000")</f>
        <v>CFI.D04-02-0116</v>
      </c>
      <c r="N126" s="8" t="str">
        <f t="shared" si="10"/>
        <v>PEN</v>
      </c>
      <c r="O126" s="13"/>
      <c r="P126" s="13">
        <v>1200</v>
      </c>
      <c r="Q126" s="3">
        <f t="shared" si="6"/>
        <v>0</v>
      </c>
      <c r="R126" s="3">
        <f t="shared" si="7"/>
        <v>1200</v>
      </c>
      <c r="S126" s="3">
        <f t="shared" si="8"/>
        <v>-903.10000000000059</v>
      </c>
      <c r="T126" s="24"/>
      <c r="U126" s="24"/>
      <c r="V126" s="3"/>
      <c r="W126" s="25"/>
      <c r="X126" s="25" t="s">
        <v>6600</v>
      </c>
      <c r="Y126" s="25"/>
      <c r="Z126" s="25"/>
      <c r="AA126" s="25"/>
      <c r="AB126" s="3" t="str">
        <f>IF(Caja_Finanzas[[#This Row],[fecha]]&gt;0,TEXT(Caja_Finanzas[[#This Row],[fecha]],"mmmm"),0)</f>
        <v>Febrero</v>
      </c>
    </row>
    <row r="127" spans="1:28" x14ac:dyDescent="0.3">
      <c r="A127" s="2">
        <f>IF(Caja_Finanzas[[#This Row],[tipo_r]]="R",COUNTIFS($C$1:$C126,"R")+1,A126)</f>
        <v>117</v>
      </c>
      <c r="B127" s="19" t="str">
        <f t="shared" si="9"/>
        <v>C-Finanzas</v>
      </c>
      <c r="C127" s="3" t="s">
        <v>1330</v>
      </c>
      <c r="D127" s="14">
        <v>45692</v>
      </c>
      <c r="E127" s="5" t="s">
        <v>2800</v>
      </c>
      <c r="F127" s="5" t="s">
        <v>1303</v>
      </c>
      <c r="G127" s="5"/>
      <c r="H127" s="6" t="s">
        <v>425</v>
      </c>
      <c r="I127" s="6" t="s">
        <v>119</v>
      </c>
      <c r="J127" s="6">
        <v>1</v>
      </c>
      <c r="K127" s="6">
        <v>4132</v>
      </c>
      <c r="L127" s="7" t="s">
        <v>6118</v>
      </c>
      <c r="M127" s="8" t="str">
        <f>"CFI"&amp;".D"&amp;TEXT(Caja_Finanzas[[#This Row],[fecha]],"DD-MM")&amp;"-"&amp;TEXT(Caja_Finanzas[[#This Row],[item]],"0000")</f>
        <v>CFI.D04-02-0117</v>
      </c>
      <c r="N127" s="8" t="str">
        <f t="shared" si="10"/>
        <v>PEN</v>
      </c>
      <c r="O127" s="13"/>
      <c r="P127" s="13">
        <v>587</v>
      </c>
      <c r="Q127" s="3">
        <f t="shared" si="6"/>
        <v>587</v>
      </c>
      <c r="R127" s="3">
        <f t="shared" si="7"/>
        <v>0</v>
      </c>
      <c r="S127" s="3">
        <f t="shared" si="8"/>
        <v>-316.10000000000059</v>
      </c>
      <c r="T127" s="24"/>
      <c r="U127" s="24"/>
      <c r="V127" s="3"/>
      <c r="W127" s="25"/>
      <c r="X127" s="25" t="s">
        <v>6601</v>
      </c>
      <c r="Y127" s="25"/>
      <c r="Z127" s="25"/>
      <c r="AA127" s="25"/>
      <c r="AB127" s="3" t="str">
        <f>IF(Caja_Finanzas[[#This Row],[fecha]]&gt;0,TEXT(Caja_Finanzas[[#This Row],[fecha]],"mmmm"),0)</f>
        <v>Febrero</v>
      </c>
    </row>
    <row r="128" spans="1:28" ht="24" x14ac:dyDescent="0.3">
      <c r="A128" s="2">
        <f>IF(Caja_Finanzas[[#This Row],[tipo_r]]="R",COUNTIFS($C$1:$C127,"R")+1,A127)</f>
        <v>118</v>
      </c>
      <c r="B128" s="19" t="str">
        <f t="shared" si="9"/>
        <v>C-Finanzas</v>
      </c>
      <c r="C128" s="3" t="s">
        <v>1330</v>
      </c>
      <c r="D128" s="14">
        <v>45692</v>
      </c>
      <c r="E128" s="5" t="s">
        <v>6602</v>
      </c>
      <c r="F128" s="5" t="s">
        <v>1303</v>
      </c>
      <c r="G128" s="5"/>
      <c r="H128" s="6" t="s">
        <v>425</v>
      </c>
      <c r="I128" s="6" t="s">
        <v>119</v>
      </c>
      <c r="J128" s="6">
        <v>1</v>
      </c>
      <c r="K128" s="6">
        <v>4134</v>
      </c>
      <c r="L128" s="7" t="s">
        <v>6118</v>
      </c>
      <c r="M128" s="8" t="str">
        <f>"CFI"&amp;".D"&amp;TEXT(Caja_Finanzas[[#This Row],[fecha]],"DD-MM")&amp;"-"&amp;TEXT(Caja_Finanzas[[#This Row],[item]],"0000")</f>
        <v>CFI.D04-02-0118</v>
      </c>
      <c r="N128" s="8" t="str">
        <f t="shared" si="10"/>
        <v>PEN</v>
      </c>
      <c r="O128" s="13"/>
      <c r="P128" s="13">
        <v>580</v>
      </c>
      <c r="Q128" s="3">
        <f t="shared" si="6"/>
        <v>580</v>
      </c>
      <c r="R128" s="3">
        <f t="shared" si="7"/>
        <v>0</v>
      </c>
      <c r="S128" s="3">
        <f t="shared" si="8"/>
        <v>263.89999999999941</v>
      </c>
      <c r="T128" s="24"/>
      <c r="U128" s="24"/>
      <c r="V128" s="3"/>
      <c r="W128" s="25"/>
      <c r="X128" s="25" t="s">
        <v>6603</v>
      </c>
      <c r="Y128" s="25"/>
      <c r="Z128" s="25"/>
      <c r="AA128" s="25"/>
      <c r="AB128" s="3" t="str">
        <f>IF(Caja_Finanzas[[#This Row],[fecha]]&gt;0,TEXT(Caja_Finanzas[[#This Row],[fecha]],"mmmm"),0)</f>
        <v>Febrero</v>
      </c>
    </row>
    <row r="129" spans="1:28" x14ac:dyDescent="0.3">
      <c r="A129" s="2">
        <f>IF(Caja_Finanzas[[#This Row],[tipo_r]]="R",COUNTIFS($C$1:$C128,"R")+1,A128)</f>
        <v>119</v>
      </c>
      <c r="B129" s="19" t="str">
        <f t="shared" si="9"/>
        <v>C-Finanzas</v>
      </c>
      <c r="C129" s="3" t="s">
        <v>1330</v>
      </c>
      <c r="D129" s="14">
        <v>45692</v>
      </c>
      <c r="E129" s="5" t="s">
        <v>3634</v>
      </c>
      <c r="F129" s="5" t="s">
        <v>1336</v>
      </c>
      <c r="G129" s="5"/>
      <c r="H129" s="6"/>
      <c r="I129" s="6"/>
      <c r="J129" s="6"/>
      <c r="K129" s="6"/>
      <c r="L129" s="7" t="s">
        <v>6510</v>
      </c>
      <c r="M129" s="8" t="str">
        <f>"CFI"&amp;".D"&amp;TEXT(Caja_Finanzas[[#This Row],[fecha]],"DD-MM")&amp;"-"&amp;TEXT(Caja_Finanzas[[#This Row],[item]],"0000")</f>
        <v>CFI.D04-02-0119</v>
      </c>
      <c r="N129" s="8" t="str">
        <f t="shared" si="10"/>
        <v>PEN</v>
      </c>
      <c r="O129" s="13"/>
      <c r="P129" s="13">
        <v>800</v>
      </c>
      <c r="Q129" s="3">
        <f t="shared" si="6"/>
        <v>0</v>
      </c>
      <c r="R129" s="3">
        <f t="shared" si="7"/>
        <v>800</v>
      </c>
      <c r="S129" s="3">
        <f t="shared" si="8"/>
        <v>-536.10000000000059</v>
      </c>
      <c r="T129" s="24"/>
      <c r="U129" s="24"/>
      <c r="V129" s="3"/>
      <c r="W129" s="25"/>
      <c r="X129" s="25"/>
      <c r="Y129" s="25"/>
      <c r="Z129" s="25"/>
      <c r="AA129" s="25"/>
      <c r="AB129" s="3" t="str">
        <f>IF(Caja_Finanzas[[#This Row],[fecha]]&gt;0,TEXT(Caja_Finanzas[[#This Row],[fecha]],"mmmm"),0)</f>
        <v>Febrero</v>
      </c>
    </row>
    <row r="130" spans="1:28" ht="24" x14ac:dyDescent="0.3">
      <c r="A130" s="2">
        <f>IF(Caja_Finanzas[[#This Row],[tipo_r]]="R",COUNTIFS($C$1:$C129,"R")+1,A129)</f>
        <v>120</v>
      </c>
      <c r="B130" s="19" t="str">
        <f t="shared" si="9"/>
        <v>C-Finanzas</v>
      </c>
      <c r="C130" s="3" t="s">
        <v>1330</v>
      </c>
      <c r="D130" s="14">
        <v>45693</v>
      </c>
      <c r="E130" s="5" t="s">
        <v>6460</v>
      </c>
      <c r="F130" s="5" t="s">
        <v>1336</v>
      </c>
      <c r="G130" s="5"/>
      <c r="H130" s="6"/>
      <c r="I130" s="6"/>
      <c r="J130" s="6"/>
      <c r="K130" s="6"/>
      <c r="L130" s="7" t="s">
        <v>6604</v>
      </c>
      <c r="M130" s="8" t="str">
        <f>"CFI"&amp;".D"&amp;TEXT(Caja_Finanzas[[#This Row],[fecha]],"DD-MM")&amp;"-"&amp;TEXT(Caja_Finanzas[[#This Row],[item]],"0000")</f>
        <v>CFI.D05-02-0120</v>
      </c>
      <c r="N130" s="8" t="str">
        <f t="shared" si="10"/>
        <v>PEN</v>
      </c>
      <c r="O130" s="13"/>
      <c r="P130" s="13">
        <v>100</v>
      </c>
      <c r="Q130" s="3">
        <f t="shared" ref="Q130:Q193" si="11">+IF(OR($F130="SALDO",$F130="INGRESO"),$P130,0)</f>
        <v>0</v>
      </c>
      <c r="R130" s="3">
        <f t="shared" ref="R130:R193" si="12">+IF($F130="EGRESO",$P130,0)</f>
        <v>100</v>
      </c>
      <c r="S130" s="3">
        <f t="shared" ref="S130:S193" si="13">IFERROR(IF(F130="SALDO",Q130,S129+Q130-R130),0)</f>
        <v>-636.10000000000059</v>
      </c>
      <c r="T130" s="24"/>
      <c r="U130" s="24"/>
      <c r="V130" s="3"/>
      <c r="W130" s="25" t="s">
        <v>6605</v>
      </c>
      <c r="X130" s="25" t="s">
        <v>6606</v>
      </c>
      <c r="Y130" s="25"/>
      <c r="Z130" s="25"/>
      <c r="AA130" s="25"/>
      <c r="AB130" s="3" t="str">
        <f>IF(Caja_Finanzas[[#This Row],[fecha]]&gt;0,TEXT(Caja_Finanzas[[#This Row],[fecha]],"mmmm"),0)</f>
        <v>Febrero</v>
      </c>
    </row>
    <row r="131" spans="1:28" ht="24" x14ac:dyDescent="0.3">
      <c r="A131" s="2">
        <f>IF(Caja_Finanzas[[#This Row],[tipo_r]]="R",COUNTIFS($C$1:$C130,"R")+1,A130)</f>
        <v>121</v>
      </c>
      <c r="B131" s="19" t="str">
        <f t="shared" ref="B131:B194" si="14">"C-Finanzas"</f>
        <v>C-Finanzas</v>
      </c>
      <c r="C131" s="3" t="s">
        <v>1330</v>
      </c>
      <c r="D131" s="14">
        <v>45693</v>
      </c>
      <c r="E131" s="5" t="s">
        <v>1799</v>
      </c>
      <c r="F131" s="5" t="s">
        <v>1303</v>
      </c>
      <c r="G131" s="5"/>
      <c r="H131" s="6" t="s">
        <v>425</v>
      </c>
      <c r="I131" s="6" t="s">
        <v>119</v>
      </c>
      <c r="J131" s="6">
        <v>1</v>
      </c>
      <c r="K131" s="6">
        <v>4110</v>
      </c>
      <c r="L131" s="7" t="s">
        <v>6118</v>
      </c>
      <c r="M131" s="8" t="str">
        <f>"CFI"&amp;".D"&amp;TEXT(Caja_Finanzas[[#This Row],[fecha]],"DD-MM")&amp;"-"&amp;TEXT(Caja_Finanzas[[#This Row],[item]],"0000")</f>
        <v>CFI.D05-02-0121</v>
      </c>
      <c r="N131" s="8" t="str">
        <f t="shared" ref="N131:N194" si="15">"PEN"</f>
        <v>PEN</v>
      </c>
      <c r="O131" s="13"/>
      <c r="P131" s="13">
        <v>100</v>
      </c>
      <c r="Q131" s="3">
        <f t="shared" si="11"/>
        <v>100</v>
      </c>
      <c r="R131" s="3">
        <f t="shared" si="12"/>
        <v>0</v>
      </c>
      <c r="S131" s="3">
        <f t="shared" si="13"/>
        <v>-536.10000000000059</v>
      </c>
      <c r="T131" s="24"/>
      <c r="U131" s="24"/>
      <c r="V131" s="3"/>
      <c r="W131" s="25"/>
      <c r="X131" s="25" t="s">
        <v>1800</v>
      </c>
      <c r="Y131" s="25"/>
      <c r="Z131" s="25"/>
      <c r="AA131" s="25"/>
      <c r="AB131" s="3" t="str">
        <f>IF(Caja_Finanzas[[#This Row],[fecha]]&gt;0,TEXT(Caja_Finanzas[[#This Row],[fecha]],"mmmm"),0)</f>
        <v>Febrero</v>
      </c>
    </row>
    <row r="132" spans="1:28" ht="24" x14ac:dyDescent="0.3">
      <c r="A132" s="2">
        <f>IF(Caja_Finanzas[[#This Row],[tipo_r]]="R",COUNTIFS($C$1:$C131,"R")+1,A131)</f>
        <v>122</v>
      </c>
      <c r="B132" s="19" t="str">
        <f t="shared" si="14"/>
        <v>C-Finanzas</v>
      </c>
      <c r="C132" s="3" t="s">
        <v>1330</v>
      </c>
      <c r="D132" s="14">
        <v>45693</v>
      </c>
      <c r="E132" s="5" t="s">
        <v>6607</v>
      </c>
      <c r="F132" s="5" t="s">
        <v>1303</v>
      </c>
      <c r="G132" s="5"/>
      <c r="H132" s="6" t="s">
        <v>425</v>
      </c>
      <c r="I132" s="6" t="s">
        <v>119</v>
      </c>
      <c r="J132" s="6">
        <v>1</v>
      </c>
      <c r="K132" s="6">
        <v>4140</v>
      </c>
      <c r="L132" s="7" t="s">
        <v>6118</v>
      </c>
      <c r="M132" s="8" t="str">
        <f>"CFI"&amp;".D"&amp;TEXT(Caja_Finanzas[[#This Row],[fecha]],"DD-MM")&amp;"-"&amp;TEXT(Caja_Finanzas[[#This Row],[item]],"0000")</f>
        <v>CFI.D05-02-0122</v>
      </c>
      <c r="N132" s="8" t="str">
        <f t="shared" si="15"/>
        <v>PEN</v>
      </c>
      <c r="O132" s="13"/>
      <c r="P132" s="13">
        <v>300</v>
      </c>
      <c r="Q132" s="3">
        <f t="shared" si="11"/>
        <v>300</v>
      </c>
      <c r="R132" s="3">
        <f t="shared" si="12"/>
        <v>0</v>
      </c>
      <c r="S132" s="3">
        <f t="shared" si="13"/>
        <v>-236.10000000000059</v>
      </c>
      <c r="T132" s="24"/>
      <c r="U132" s="24"/>
      <c r="V132" s="3"/>
      <c r="W132" s="25"/>
      <c r="X132" s="25" t="s">
        <v>6608</v>
      </c>
      <c r="Y132" s="25"/>
      <c r="Z132" s="25"/>
      <c r="AA132" s="25"/>
      <c r="AB132" s="3" t="str">
        <f>IF(Caja_Finanzas[[#This Row],[fecha]]&gt;0,TEXT(Caja_Finanzas[[#This Row],[fecha]],"mmmm"),0)</f>
        <v>Febrero</v>
      </c>
    </row>
    <row r="133" spans="1:28" ht="24" x14ac:dyDescent="0.3">
      <c r="A133" s="2">
        <f>IF(Caja_Finanzas[[#This Row],[tipo_r]]="R",COUNTIFS($C$1:$C132,"R")+1,A132)</f>
        <v>123</v>
      </c>
      <c r="B133" s="19" t="str">
        <f t="shared" si="14"/>
        <v>C-Finanzas</v>
      </c>
      <c r="C133" s="3" t="s">
        <v>1330</v>
      </c>
      <c r="D133" s="14">
        <v>45693</v>
      </c>
      <c r="E133" s="5" t="s">
        <v>6460</v>
      </c>
      <c r="F133" s="5" t="s">
        <v>1336</v>
      </c>
      <c r="G133" s="5"/>
      <c r="H133" s="6"/>
      <c r="I133" s="6"/>
      <c r="J133" s="6"/>
      <c r="K133" s="6"/>
      <c r="L133" s="7" t="s">
        <v>6609</v>
      </c>
      <c r="M133" s="8" t="str">
        <f>"CFI"&amp;".D"&amp;TEXT(Caja_Finanzas[[#This Row],[fecha]],"DD-MM")&amp;"-"&amp;TEXT(Caja_Finanzas[[#This Row],[item]],"0000")</f>
        <v>CFI.D05-02-0123</v>
      </c>
      <c r="N133" s="8" t="str">
        <f t="shared" si="15"/>
        <v>PEN</v>
      </c>
      <c r="O133" s="13"/>
      <c r="P133" s="13">
        <v>10</v>
      </c>
      <c r="Q133" s="3">
        <f t="shared" si="11"/>
        <v>0</v>
      </c>
      <c r="R133" s="3">
        <f t="shared" si="12"/>
        <v>10</v>
      </c>
      <c r="S133" s="3">
        <f t="shared" si="13"/>
        <v>-246.10000000000059</v>
      </c>
      <c r="T133" s="24"/>
      <c r="U133" s="24"/>
      <c r="V133" s="3"/>
      <c r="W133" s="25" t="s">
        <v>779</v>
      </c>
      <c r="X133" s="25" t="s">
        <v>1750</v>
      </c>
      <c r="Y133" s="25"/>
      <c r="Z133" s="25"/>
      <c r="AA133" s="25"/>
      <c r="AB133" s="3" t="str">
        <f>IF(Caja_Finanzas[[#This Row],[fecha]]&gt;0,TEXT(Caja_Finanzas[[#This Row],[fecha]],"mmmm"),0)</f>
        <v>Febrero</v>
      </c>
    </row>
    <row r="134" spans="1:28" ht="24" x14ac:dyDescent="0.3">
      <c r="A134" s="2">
        <f>IF(Caja_Finanzas[[#This Row],[tipo_r]]="R",COUNTIFS($C$1:$C133,"R")+1,A133)</f>
        <v>124</v>
      </c>
      <c r="B134" s="19" t="str">
        <f t="shared" si="14"/>
        <v>C-Finanzas</v>
      </c>
      <c r="C134" s="3" t="s">
        <v>1330</v>
      </c>
      <c r="D134" s="14">
        <v>45694</v>
      </c>
      <c r="E134" s="5" t="s">
        <v>291</v>
      </c>
      <c r="F134" s="5" t="s">
        <v>1303</v>
      </c>
      <c r="G134" s="5"/>
      <c r="H134" s="6" t="s">
        <v>425</v>
      </c>
      <c r="I134" s="6" t="s">
        <v>119</v>
      </c>
      <c r="J134" s="6">
        <v>1</v>
      </c>
      <c r="K134" s="6">
        <v>4141</v>
      </c>
      <c r="L134" s="7" t="s">
        <v>6118</v>
      </c>
      <c r="M134" s="8" t="str">
        <f>"CFI"&amp;".D"&amp;TEXT(Caja_Finanzas[[#This Row],[fecha]],"DD-MM")&amp;"-"&amp;TEXT(Caja_Finanzas[[#This Row],[item]],"0000")</f>
        <v>CFI.D06-02-0124</v>
      </c>
      <c r="N134" s="8" t="str">
        <f t="shared" si="15"/>
        <v>PEN</v>
      </c>
      <c r="O134" s="13"/>
      <c r="P134" s="13">
        <v>64</v>
      </c>
      <c r="Q134" s="3">
        <f t="shared" si="11"/>
        <v>64</v>
      </c>
      <c r="R134" s="3">
        <f t="shared" si="12"/>
        <v>0</v>
      </c>
      <c r="S134" s="3">
        <f t="shared" si="13"/>
        <v>-182.10000000000059</v>
      </c>
      <c r="T134" s="24"/>
      <c r="U134" s="24"/>
      <c r="V134" s="3"/>
      <c r="W134" s="25"/>
      <c r="X134" s="25" t="s">
        <v>6610</v>
      </c>
      <c r="Y134" s="25"/>
      <c r="Z134" s="25"/>
      <c r="AA134" s="25"/>
      <c r="AB134" s="3" t="str">
        <f>IF(Caja_Finanzas[[#This Row],[fecha]]&gt;0,TEXT(Caja_Finanzas[[#This Row],[fecha]],"mmmm"),0)</f>
        <v>Febrero</v>
      </c>
    </row>
    <row r="135" spans="1:28" ht="24" x14ac:dyDescent="0.3">
      <c r="A135" s="2">
        <f>IF(Caja_Finanzas[[#This Row],[tipo_r]]="R",COUNTIFS($C$1:$C134,"R")+1,A134)</f>
        <v>125</v>
      </c>
      <c r="B135" s="19" t="str">
        <f t="shared" si="14"/>
        <v>C-Finanzas</v>
      </c>
      <c r="C135" s="3" t="s">
        <v>1330</v>
      </c>
      <c r="D135" s="14">
        <v>45695</v>
      </c>
      <c r="E135" s="5" t="s">
        <v>4104</v>
      </c>
      <c r="F135" s="5" t="s">
        <v>1303</v>
      </c>
      <c r="G135" s="5"/>
      <c r="H135" s="6" t="s">
        <v>425</v>
      </c>
      <c r="I135" s="6" t="s">
        <v>119</v>
      </c>
      <c r="J135" s="6">
        <v>1</v>
      </c>
      <c r="K135" s="6">
        <v>3982</v>
      </c>
      <c r="L135" s="7" t="s">
        <v>6118</v>
      </c>
      <c r="M135" s="8" t="str">
        <f>"CFI"&amp;".D"&amp;TEXT(Caja_Finanzas[[#This Row],[fecha]],"DD-MM")&amp;"-"&amp;TEXT(Caja_Finanzas[[#This Row],[item]],"0000")</f>
        <v>CFI.D07-02-0125</v>
      </c>
      <c r="N135" s="8" t="str">
        <f t="shared" si="15"/>
        <v>PEN</v>
      </c>
      <c r="O135" s="13"/>
      <c r="P135" s="13">
        <v>1000</v>
      </c>
      <c r="Q135" s="3">
        <f t="shared" si="11"/>
        <v>1000</v>
      </c>
      <c r="R135" s="3">
        <f t="shared" si="12"/>
        <v>0</v>
      </c>
      <c r="S135" s="3">
        <f t="shared" si="13"/>
        <v>817.89999999999941</v>
      </c>
      <c r="T135" s="24"/>
      <c r="U135" s="24"/>
      <c r="V135" s="3"/>
      <c r="W135" s="25"/>
      <c r="X135" s="25" t="s">
        <v>6512</v>
      </c>
      <c r="Y135" s="25"/>
      <c r="Z135" s="25"/>
      <c r="AA135" s="25"/>
      <c r="AB135" s="3" t="str">
        <f>IF(Caja_Finanzas[[#This Row],[fecha]]&gt;0,TEXT(Caja_Finanzas[[#This Row],[fecha]],"mmmm"),0)</f>
        <v>Febrero</v>
      </c>
    </row>
    <row r="136" spans="1:28" ht="36" x14ac:dyDescent="0.3">
      <c r="A136" s="2">
        <f>IF(Caja_Finanzas[[#This Row],[tipo_r]]="R",COUNTIFS($C$1:$C135,"R")+1,A135)</f>
        <v>126</v>
      </c>
      <c r="B136" s="19" t="str">
        <f t="shared" si="14"/>
        <v>C-Finanzas</v>
      </c>
      <c r="C136" s="3" t="s">
        <v>1330</v>
      </c>
      <c r="D136" s="14">
        <v>45695</v>
      </c>
      <c r="E136" s="5" t="s">
        <v>6415</v>
      </c>
      <c r="F136" s="5" t="s">
        <v>1336</v>
      </c>
      <c r="G136" s="5"/>
      <c r="H136" s="6"/>
      <c r="I136" s="6"/>
      <c r="J136" s="6"/>
      <c r="K136" s="6"/>
      <c r="L136" s="7" t="s">
        <v>6611</v>
      </c>
      <c r="M136" s="8" t="str">
        <f>"CFI"&amp;".D"&amp;TEXT(Caja_Finanzas[[#This Row],[fecha]],"DD-MM")&amp;"-"&amp;TEXT(Caja_Finanzas[[#This Row],[item]],"0000")</f>
        <v>CFI.D07-02-0126</v>
      </c>
      <c r="N136" s="8" t="str">
        <f t="shared" si="15"/>
        <v>PEN</v>
      </c>
      <c r="O136" s="13"/>
      <c r="P136" s="13">
        <v>610</v>
      </c>
      <c r="Q136" s="3">
        <f t="shared" si="11"/>
        <v>0</v>
      </c>
      <c r="R136" s="3">
        <f t="shared" si="12"/>
        <v>610</v>
      </c>
      <c r="S136" s="3">
        <f t="shared" si="13"/>
        <v>207.89999999999941</v>
      </c>
      <c r="T136" s="24"/>
      <c r="U136" s="24"/>
      <c r="V136" s="3"/>
      <c r="W136" s="25"/>
      <c r="X136" s="25" t="s">
        <v>6612</v>
      </c>
      <c r="Y136" s="25"/>
      <c r="Z136" s="25"/>
      <c r="AA136" s="25"/>
      <c r="AB136" s="3" t="str">
        <f>IF(Caja_Finanzas[[#This Row],[fecha]]&gt;0,TEXT(Caja_Finanzas[[#This Row],[fecha]],"mmmm"),0)</f>
        <v>Febrero</v>
      </c>
    </row>
    <row r="137" spans="1:28" ht="48" x14ac:dyDescent="0.3">
      <c r="A137" s="2">
        <f>IF(Caja_Finanzas[[#This Row],[tipo_r]]="R",COUNTIFS($C$1:$C136,"R")+1,A136)</f>
        <v>127</v>
      </c>
      <c r="B137" s="19" t="str">
        <f t="shared" si="14"/>
        <v>C-Finanzas</v>
      </c>
      <c r="C137" s="3" t="s">
        <v>1330</v>
      </c>
      <c r="D137" s="14">
        <v>45695</v>
      </c>
      <c r="E137" s="5" t="s">
        <v>6420</v>
      </c>
      <c r="F137" s="5" t="s">
        <v>1336</v>
      </c>
      <c r="G137" s="5"/>
      <c r="H137" s="6"/>
      <c r="I137" s="6"/>
      <c r="J137" s="6"/>
      <c r="K137" s="6"/>
      <c r="L137" s="7" t="s">
        <v>6613</v>
      </c>
      <c r="M137" s="8" t="str">
        <f>"CFI"&amp;".D"&amp;TEXT(Caja_Finanzas[[#This Row],[fecha]],"DD-MM")&amp;"-"&amp;TEXT(Caja_Finanzas[[#This Row],[item]],"0000")</f>
        <v>CFI.D07-02-0127</v>
      </c>
      <c r="N137" s="8" t="str">
        <f t="shared" si="15"/>
        <v>PEN</v>
      </c>
      <c r="O137" s="13"/>
      <c r="P137" s="13">
        <v>100</v>
      </c>
      <c r="Q137" s="3">
        <f t="shared" si="11"/>
        <v>0</v>
      </c>
      <c r="R137" s="3">
        <f t="shared" si="12"/>
        <v>100</v>
      </c>
      <c r="S137" s="3">
        <f t="shared" si="13"/>
        <v>107.89999999999941</v>
      </c>
      <c r="T137" s="24"/>
      <c r="U137" s="24"/>
      <c r="V137" s="3"/>
      <c r="W137" s="25"/>
      <c r="X137" s="25" t="s">
        <v>6614</v>
      </c>
      <c r="Y137" s="25"/>
      <c r="Z137" s="25"/>
      <c r="AA137" s="25"/>
      <c r="AB137" s="3" t="str">
        <f>IF(Caja_Finanzas[[#This Row],[fecha]]&gt;0,TEXT(Caja_Finanzas[[#This Row],[fecha]],"mmmm"),0)</f>
        <v>Febrero</v>
      </c>
    </row>
    <row r="138" spans="1:28" ht="48" x14ac:dyDescent="0.3">
      <c r="A138" s="2">
        <f>IF(Caja_Finanzas[[#This Row],[tipo_r]]="R",COUNTIFS($C$1:$C137,"R")+1,A137)</f>
        <v>128</v>
      </c>
      <c r="B138" s="19" t="str">
        <f t="shared" si="14"/>
        <v>C-Finanzas</v>
      </c>
      <c r="C138" s="3" t="s">
        <v>1330</v>
      </c>
      <c r="D138" s="14">
        <v>45695</v>
      </c>
      <c r="E138" s="5" t="s">
        <v>6420</v>
      </c>
      <c r="F138" s="5" t="s">
        <v>1336</v>
      </c>
      <c r="G138" s="5"/>
      <c r="H138" s="6"/>
      <c r="I138" s="6"/>
      <c r="J138" s="6"/>
      <c r="K138" s="6"/>
      <c r="L138" s="7" t="s">
        <v>6615</v>
      </c>
      <c r="M138" s="8" t="str">
        <f>"CFI"&amp;".D"&amp;TEXT(Caja_Finanzas[[#This Row],[fecha]],"DD-MM")&amp;"-"&amp;TEXT(Caja_Finanzas[[#This Row],[item]],"0000")</f>
        <v>CFI.D07-02-0128</v>
      </c>
      <c r="N138" s="8" t="str">
        <f t="shared" si="15"/>
        <v>PEN</v>
      </c>
      <c r="O138" s="13"/>
      <c r="P138" s="13">
        <v>750</v>
      </c>
      <c r="Q138" s="3">
        <f t="shared" si="11"/>
        <v>0</v>
      </c>
      <c r="R138" s="3">
        <f t="shared" si="12"/>
        <v>750</v>
      </c>
      <c r="S138" s="3">
        <f t="shared" si="13"/>
        <v>-642.10000000000059</v>
      </c>
      <c r="T138" s="24"/>
      <c r="U138" s="24"/>
      <c r="V138" s="3"/>
      <c r="W138" s="25"/>
      <c r="X138" s="25" t="s">
        <v>6616</v>
      </c>
      <c r="Y138" s="25"/>
      <c r="Z138" s="25"/>
      <c r="AA138" s="25"/>
      <c r="AB138" s="3" t="str">
        <f>IF(Caja_Finanzas[[#This Row],[fecha]]&gt;0,TEXT(Caja_Finanzas[[#This Row],[fecha]],"mmmm"),0)</f>
        <v>Febrero</v>
      </c>
    </row>
    <row r="139" spans="1:28" ht="48" x14ac:dyDescent="0.3">
      <c r="A139" s="2">
        <f>IF(Caja_Finanzas[[#This Row],[tipo_r]]="R",COUNTIFS($C$1:$C138,"R")+1,A138)</f>
        <v>129</v>
      </c>
      <c r="B139" s="19" t="str">
        <f t="shared" si="14"/>
        <v>C-Finanzas</v>
      </c>
      <c r="C139" s="3" t="s">
        <v>1330</v>
      </c>
      <c r="D139" s="14">
        <v>45695</v>
      </c>
      <c r="E139" s="5" t="s">
        <v>6420</v>
      </c>
      <c r="F139" s="5" t="s">
        <v>1336</v>
      </c>
      <c r="G139" s="5"/>
      <c r="H139" s="6"/>
      <c r="I139" s="6"/>
      <c r="J139" s="6"/>
      <c r="K139" s="6"/>
      <c r="L139" s="7" t="s">
        <v>6617</v>
      </c>
      <c r="M139" s="8" t="str">
        <f>"CFI"&amp;".D"&amp;TEXT(Caja_Finanzas[[#This Row],[fecha]],"DD-MM")&amp;"-"&amp;TEXT(Caja_Finanzas[[#This Row],[item]],"0000")</f>
        <v>CFI.D07-02-0129</v>
      </c>
      <c r="N139" s="8" t="str">
        <f t="shared" si="15"/>
        <v>PEN</v>
      </c>
      <c r="O139" s="13"/>
      <c r="P139" s="13">
        <v>550</v>
      </c>
      <c r="Q139" s="3">
        <f t="shared" si="11"/>
        <v>0</v>
      </c>
      <c r="R139" s="3">
        <f t="shared" si="12"/>
        <v>550</v>
      </c>
      <c r="S139" s="3">
        <f t="shared" si="13"/>
        <v>-1192.1000000000006</v>
      </c>
      <c r="T139" s="24"/>
      <c r="U139" s="24"/>
      <c r="V139" s="3"/>
      <c r="W139" s="25"/>
      <c r="X139" s="25" t="s">
        <v>6616</v>
      </c>
      <c r="Y139" s="25"/>
      <c r="Z139" s="25"/>
      <c r="AA139" s="25"/>
      <c r="AB139" s="3" t="str">
        <f>IF(Caja_Finanzas[[#This Row],[fecha]]&gt;0,TEXT(Caja_Finanzas[[#This Row],[fecha]],"mmmm"),0)</f>
        <v>Febrero</v>
      </c>
    </row>
    <row r="140" spans="1:28" ht="48" x14ac:dyDescent="0.3">
      <c r="A140" s="2">
        <f>IF(Caja_Finanzas[[#This Row],[tipo_r]]="R",COUNTIFS($C$1:$C139,"R")+1,A139)</f>
        <v>130</v>
      </c>
      <c r="B140" s="19" t="str">
        <f t="shared" si="14"/>
        <v>C-Finanzas</v>
      </c>
      <c r="C140" s="3" t="s">
        <v>1330</v>
      </c>
      <c r="D140" s="14">
        <v>45695</v>
      </c>
      <c r="E140" s="5" t="s">
        <v>6415</v>
      </c>
      <c r="F140" s="5" t="s">
        <v>1336</v>
      </c>
      <c r="G140" s="5"/>
      <c r="H140" s="6"/>
      <c r="I140" s="6"/>
      <c r="J140" s="6"/>
      <c r="K140" s="6"/>
      <c r="L140" s="7" t="s">
        <v>6618</v>
      </c>
      <c r="M140" s="8" t="str">
        <f>"CFI"&amp;".D"&amp;TEXT(Caja_Finanzas[[#This Row],[fecha]],"DD-MM")&amp;"-"&amp;TEXT(Caja_Finanzas[[#This Row],[item]],"0000")</f>
        <v>CFI.D07-02-0130</v>
      </c>
      <c r="N140" s="8" t="str">
        <f t="shared" si="15"/>
        <v>PEN</v>
      </c>
      <c r="O140" s="13"/>
      <c r="P140" s="13">
        <v>39.6</v>
      </c>
      <c r="Q140" s="3">
        <f t="shared" si="11"/>
        <v>0</v>
      </c>
      <c r="R140" s="3">
        <f t="shared" si="12"/>
        <v>39.6</v>
      </c>
      <c r="S140" s="3">
        <f t="shared" si="13"/>
        <v>-1231.7000000000005</v>
      </c>
      <c r="T140" s="24"/>
      <c r="U140" s="24"/>
      <c r="V140" s="3"/>
      <c r="W140" s="25"/>
      <c r="X140" s="25" t="s">
        <v>6619</v>
      </c>
      <c r="Y140" s="25"/>
      <c r="Z140" s="25"/>
      <c r="AA140" s="25"/>
      <c r="AB140" s="3" t="str">
        <f>IF(Caja_Finanzas[[#This Row],[fecha]]&gt;0,TEXT(Caja_Finanzas[[#This Row],[fecha]],"mmmm"),0)</f>
        <v>Febrero</v>
      </c>
    </row>
    <row r="141" spans="1:28" x14ac:dyDescent="0.3">
      <c r="A141" s="2">
        <f>IF(Caja_Finanzas[[#This Row],[tipo_r]]="R",COUNTIFS($C$1:$C140,"R")+1,A140)</f>
        <v>131</v>
      </c>
      <c r="B141" s="19" t="str">
        <f t="shared" si="14"/>
        <v>C-Finanzas</v>
      </c>
      <c r="C141" s="3" t="s">
        <v>1330</v>
      </c>
      <c r="D141" s="14">
        <v>45698</v>
      </c>
      <c r="E141" s="5" t="s">
        <v>3634</v>
      </c>
      <c r="F141" s="5" t="s">
        <v>1303</v>
      </c>
      <c r="G141" s="5"/>
      <c r="H141" s="6"/>
      <c r="I141" s="6"/>
      <c r="J141" s="6"/>
      <c r="K141" s="6"/>
      <c r="L141" s="7" t="s">
        <v>6620</v>
      </c>
      <c r="M141" s="8" t="str">
        <f>"CFI"&amp;".D"&amp;TEXT(Caja_Finanzas[[#This Row],[fecha]],"DD-MM")&amp;"-"&amp;TEXT(Caja_Finanzas[[#This Row],[item]],"0000")</f>
        <v>CFI.D10-02-0131</v>
      </c>
      <c r="N141" s="8" t="str">
        <f t="shared" si="15"/>
        <v>PEN</v>
      </c>
      <c r="O141" s="13"/>
      <c r="P141" s="13">
        <v>1100</v>
      </c>
      <c r="Q141" s="3">
        <f t="shared" si="11"/>
        <v>1100</v>
      </c>
      <c r="R141" s="3">
        <f t="shared" si="12"/>
        <v>0</v>
      </c>
      <c r="S141" s="3">
        <f t="shared" si="13"/>
        <v>-131.7000000000005</v>
      </c>
      <c r="T141" s="24"/>
      <c r="U141" s="24"/>
      <c r="V141" s="3"/>
      <c r="W141" s="25"/>
      <c r="X141" s="25"/>
      <c r="Y141" s="25"/>
      <c r="Z141" s="25"/>
      <c r="AA141" s="25"/>
      <c r="AB141" s="3" t="str">
        <f>IF(Caja_Finanzas[[#This Row],[fecha]]&gt;0,TEXT(Caja_Finanzas[[#This Row],[fecha]],"mmmm"),0)</f>
        <v>Febrero</v>
      </c>
    </row>
    <row r="142" spans="1:28" ht="24" x14ac:dyDescent="0.3">
      <c r="A142" s="2">
        <f>IF(Caja_Finanzas[[#This Row],[tipo_r]]="R",COUNTIFS($C$1:$C141,"R")+1,A141)</f>
        <v>132</v>
      </c>
      <c r="B142" s="19" t="str">
        <f t="shared" si="14"/>
        <v>C-Finanzas</v>
      </c>
      <c r="C142" s="3" t="s">
        <v>1330</v>
      </c>
      <c r="D142" s="14">
        <v>45699</v>
      </c>
      <c r="E142" s="5" t="s">
        <v>6465</v>
      </c>
      <c r="F142" s="5" t="s">
        <v>1336</v>
      </c>
      <c r="G142" s="5"/>
      <c r="H142" s="6"/>
      <c r="I142" s="6"/>
      <c r="J142" s="6"/>
      <c r="K142" s="6"/>
      <c r="L142" s="7" t="s">
        <v>6621</v>
      </c>
      <c r="M142" s="8" t="str">
        <f>"CFI"&amp;".D"&amp;TEXT(Caja_Finanzas[[#This Row],[fecha]],"DD-MM")&amp;"-"&amp;TEXT(Caja_Finanzas[[#This Row],[item]],"0000")</f>
        <v>CFI.D11-02-0132</v>
      </c>
      <c r="N142" s="8" t="str">
        <f t="shared" si="15"/>
        <v>PEN</v>
      </c>
      <c r="O142" s="13"/>
      <c r="P142" s="13">
        <v>204.9</v>
      </c>
      <c r="Q142" s="3">
        <f t="shared" si="11"/>
        <v>0</v>
      </c>
      <c r="R142" s="3">
        <f t="shared" si="12"/>
        <v>204.9</v>
      </c>
      <c r="S142" s="3">
        <f t="shared" si="13"/>
        <v>-336.60000000000048</v>
      </c>
      <c r="T142" s="24"/>
      <c r="U142" s="24"/>
      <c r="V142" s="3"/>
      <c r="W142" s="25"/>
      <c r="X142" s="25" t="s">
        <v>6622</v>
      </c>
      <c r="Y142" s="25"/>
      <c r="Z142" s="25"/>
      <c r="AA142" s="25"/>
      <c r="AB142" s="3" t="str">
        <f>IF(Caja_Finanzas[[#This Row],[fecha]]&gt;0,TEXT(Caja_Finanzas[[#This Row],[fecha]],"mmmm"),0)</f>
        <v>Febrero</v>
      </c>
    </row>
    <row r="143" spans="1:28" x14ac:dyDescent="0.3">
      <c r="A143" s="2">
        <f>IF(Caja_Finanzas[[#This Row],[tipo_r]]="R",COUNTIFS($C$1:$C142,"R")+1,A142)</f>
        <v>133</v>
      </c>
      <c r="B143" s="19" t="str">
        <f t="shared" si="14"/>
        <v>C-Finanzas</v>
      </c>
      <c r="C143" s="3" t="s">
        <v>1330</v>
      </c>
      <c r="D143" s="14">
        <v>45699</v>
      </c>
      <c r="E143" s="5" t="s">
        <v>1498</v>
      </c>
      <c r="F143" s="5" t="s">
        <v>1303</v>
      </c>
      <c r="G143" s="5"/>
      <c r="H143" s="6" t="s">
        <v>425</v>
      </c>
      <c r="I143" s="6" t="s">
        <v>119</v>
      </c>
      <c r="J143" s="6">
        <v>1</v>
      </c>
      <c r="K143" s="6">
        <v>4151</v>
      </c>
      <c r="L143" s="7" t="s">
        <v>6118</v>
      </c>
      <c r="M143" s="8" t="str">
        <f>"CFI"&amp;".D"&amp;TEXT(Caja_Finanzas[[#This Row],[fecha]],"DD-MM")&amp;"-"&amp;TEXT(Caja_Finanzas[[#This Row],[item]],"0000")</f>
        <v>CFI.D11-02-0133</v>
      </c>
      <c r="N143" s="8" t="str">
        <f t="shared" si="15"/>
        <v>PEN</v>
      </c>
      <c r="O143" s="13"/>
      <c r="P143" s="13">
        <v>120</v>
      </c>
      <c r="Q143" s="3">
        <f t="shared" si="11"/>
        <v>120</v>
      </c>
      <c r="R143" s="3">
        <f t="shared" si="12"/>
        <v>0</v>
      </c>
      <c r="S143" s="3">
        <f t="shared" si="13"/>
        <v>-216.60000000000048</v>
      </c>
      <c r="T143" s="24"/>
      <c r="U143" s="24"/>
      <c r="V143" s="3"/>
      <c r="W143" s="25"/>
      <c r="X143" s="25" t="s">
        <v>6623</v>
      </c>
      <c r="Y143" s="25"/>
      <c r="Z143" s="25"/>
      <c r="AA143" s="25"/>
      <c r="AB143" s="3" t="str">
        <f>IF(Caja_Finanzas[[#This Row],[fecha]]&gt;0,TEXT(Caja_Finanzas[[#This Row],[fecha]],"mmmm"),0)</f>
        <v>Febrero</v>
      </c>
    </row>
    <row r="144" spans="1:28" ht="48" x14ac:dyDescent="0.3">
      <c r="A144" s="2">
        <f>IF(Caja_Finanzas[[#This Row],[tipo_r]]="R",COUNTIFS($C$1:$C143,"R")+1,A143)</f>
        <v>134</v>
      </c>
      <c r="B144" s="19" t="str">
        <f t="shared" si="14"/>
        <v>C-Finanzas</v>
      </c>
      <c r="C144" s="3" t="s">
        <v>1330</v>
      </c>
      <c r="D144" s="14">
        <v>45699</v>
      </c>
      <c r="E144" s="5" t="s">
        <v>6420</v>
      </c>
      <c r="F144" s="5" t="s">
        <v>1336</v>
      </c>
      <c r="G144" s="5"/>
      <c r="H144" s="6"/>
      <c r="I144" s="6"/>
      <c r="J144" s="6"/>
      <c r="K144" s="6"/>
      <c r="L144" s="7" t="s">
        <v>6624</v>
      </c>
      <c r="M144" s="8" t="str">
        <f>"CFI"&amp;".D"&amp;TEXT(Caja_Finanzas[[#This Row],[fecha]],"DD-MM")&amp;"-"&amp;TEXT(Caja_Finanzas[[#This Row],[item]],"0000")</f>
        <v>CFI.D11-02-0134</v>
      </c>
      <c r="N144" s="8" t="str">
        <f t="shared" si="15"/>
        <v>PEN</v>
      </c>
      <c r="O144" s="13"/>
      <c r="P144" s="13">
        <v>1050</v>
      </c>
      <c r="Q144" s="3">
        <f t="shared" si="11"/>
        <v>0</v>
      </c>
      <c r="R144" s="3">
        <f t="shared" si="12"/>
        <v>1050</v>
      </c>
      <c r="S144" s="3">
        <f t="shared" si="13"/>
        <v>-1266.6000000000004</v>
      </c>
      <c r="T144" s="24"/>
      <c r="U144" s="24"/>
      <c r="V144" s="3"/>
      <c r="W144" s="25" t="s">
        <v>6625</v>
      </c>
      <c r="X144" s="25" t="s">
        <v>6626</v>
      </c>
      <c r="Y144" s="25"/>
      <c r="Z144" s="25"/>
      <c r="AA144" s="25"/>
      <c r="AB144" s="3" t="str">
        <f>IF(Caja_Finanzas[[#This Row],[fecha]]&gt;0,TEXT(Caja_Finanzas[[#This Row],[fecha]],"mmmm"),0)</f>
        <v>Febrero</v>
      </c>
    </row>
    <row r="145" spans="1:28" ht="24" x14ac:dyDescent="0.3">
      <c r="A145" s="2">
        <f>IF(Caja_Finanzas[[#This Row],[tipo_r]]="R",COUNTIFS($C$1:$C144,"R")+1,A144)</f>
        <v>135</v>
      </c>
      <c r="B145" s="19" t="str">
        <f t="shared" si="14"/>
        <v>C-Finanzas</v>
      </c>
      <c r="C145" s="3" t="s">
        <v>1330</v>
      </c>
      <c r="D145" s="14">
        <v>45700</v>
      </c>
      <c r="E145" s="5" t="s">
        <v>6570</v>
      </c>
      <c r="F145" s="5" t="s">
        <v>1336</v>
      </c>
      <c r="G145" s="5"/>
      <c r="H145" s="6"/>
      <c r="I145" s="6"/>
      <c r="J145" s="6"/>
      <c r="K145" s="6"/>
      <c r="L145" s="7" t="s">
        <v>6627</v>
      </c>
      <c r="M145" s="8" t="str">
        <f>"CFI"&amp;".D"&amp;TEXT(Caja_Finanzas[[#This Row],[fecha]],"DD-MM")&amp;"-"&amp;TEXT(Caja_Finanzas[[#This Row],[item]],"0000")</f>
        <v>CFI.D12-02-0135</v>
      </c>
      <c r="N145" s="8" t="str">
        <f t="shared" si="15"/>
        <v>PEN</v>
      </c>
      <c r="O145" s="13"/>
      <c r="P145" s="13">
        <v>13</v>
      </c>
      <c r="Q145" s="3">
        <f t="shared" si="11"/>
        <v>0</v>
      </c>
      <c r="R145" s="3">
        <f t="shared" si="12"/>
        <v>13</v>
      </c>
      <c r="S145" s="3">
        <f t="shared" si="13"/>
        <v>-1279.6000000000004</v>
      </c>
      <c r="T145" s="24"/>
      <c r="U145" s="24"/>
      <c r="V145" s="3"/>
      <c r="W145" s="25"/>
      <c r="X145" s="25" t="s">
        <v>6628</v>
      </c>
      <c r="Y145" s="25"/>
      <c r="Z145" s="25"/>
      <c r="AA145" s="25"/>
      <c r="AB145" s="3" t="str">
        <f>IF(Caja_Finanzas[[#This Row],[fecha]]&gt;0,TEXT(Caja_Finanzas[[#This Row],[fecha]],"mmmm"),0)</f>
        <v>Febrero</v>
      </c>
    </row>
    <row r="146" spans="1:28" ht="24" x14ac:dyDescent="0.3">
      <c r="A146" s="2">
        <f>IF(Caja_Finanzas[[#This Row],[tipo_r]]="R",COUNTIFS($C$1:$C145,"R")+1,A145)</f>
        <v>136</v>
      </c>
      <c r="B146" s="19" t="str">
        <f t="shared" si="14"/>
        <v>C-Finanzas</v>
      </c>
      <c r="C146" s="3" t="s">
        <v>1330</v>
      </c>
      <c r="D146" s="14">
        <v>45700</v>
      </c>
      <c r="E146" s="5" t="s">
        <v>6460</v>
      </c>
      <c r="F146" s="5" t="s">
        <v>1336</v>
      </c>
      <c r="G146" s="5"/>
      <c r="H146" s="6"/>
      <c r="I146" s="6"/>
      <c r="J146" s="6"/>
      <c r="K146" s="6"/>
      <c r="L146" s="7" t="s">
        <v>6629</v>
      </c>
      <c r="M146" s="8" t="str">
        <f>"CFI"&amp;".D"&amp;TEXT(Caja_Finanzas[[#This Row],[fecha]],"DD-MM")&amp;"-"&amp;TEXT(Caja_Finanzas[[#This Row],[item]],"0000")</f>
        <v>CFI.D12-02-0136</v>
      </c>
      <c r="N146" s="8" t="str">
        <f t="shared" si="15"/>
        <v>PEN</v>
      </c>
      <c r="O146" s="13"/>
      <c r="P146" s="13">
        <v>20</v>
      </c>
      <c r="Q146" s="3">
        <f t="shared" si="11"/>
        <v>0</v>
      </c>
      <c r="R146" s="3">
        <f t="shared" si="12"/>
        <v>20</v>
      </c>
      <c r="S146" s="3">
        <f t="shared" si="13"/>
        <v>-1299.6000000000004</v>
      </c>
      <c r="T146" s="24"/>
      <c r="U146" s="24"/>
      <c r="V146" s="3"/>
      <c r="W146" s="25" t="s">
        <v>779</v>
      </c>
      <c r="X146" s="25" t="s">
        <v>6630</v>
      </c>
      <c r="Y146" s="25"/>
      <c r="Z146" s="25"/>
      <c r="AA146" s="25"/>
      <c r="AB146" s="3" t="str">
        <f>IF(Caja_Finanzas[[#This Row],[fecha]]&gt;0,TEXT(Caja_Finanzas[[#This Row],[fecha]],"mmmm"),0)</f>
        <v>Febrero</v>
      </c>
    </row>
    <row r="147" spans="1:28" ht="48" x14ac:dyDescent="0.3">
      <c r="A147" s="2">
        <f>IF(Caja_Finanzas[[#This Row],[tipo_r]]="R",COUNTIFS($C$1:$C146,"R")+1,A146)</f>
        <v>137</v>
      </c>
      <c r="B147" s="19" t="str">
        <f t="shared" si="14"/>
        <v>C-Finanzas</v>
      </c>
      <c r="C147" s="3" t="s">
        <v>1330</v>
      </c>
      <c r="D147" s="14">
        <v>45701</v>
      </c>
      <c r="E147" s="5" t="s">
        <v>6420</v>
      </c>
      <c r="F147" s="5" t="s">
        <v>1336</v>
      </c>
      <c r="G147" s="5"/>
      <c r="H147" s="6"/>
      <c r="I147" s="6"/>
      <c r="J147" s="6"/>
      <c r="K147" s="6"/>
      <c r="L147" s="7" t="s">
        <v>6631</v>
      </c>
      <c r="M147" s="8" t="str">
        <f>"CFI"&amp;".D"&amp;TEXT(Caja_Finanzas[[#This Row],[fecha]],"DD-MM")&amp;"-"&amp;TEXT(Caja_Finanzas[[#This Row],[item]],"0000")</f>
        <v>CFI.D13-02-0137</v>
      </c>
      <c r="N147" s="8" t="str">
        <f t="shared" si="15"/>
        <v>PEN</v>
      </c>
      <c r="O147" s="13"/>
      <c r="P147" s="13">
        <v>320</v>
      </c>
      <c r="Q147" s="3">
        <f t="shared" si="11"/>
        <v>0</v>
      </c>
      <c r="R147" s="3">
        <f t="shared" si="12"/>
        <v>320</v>
      </c>
      <c r="S147" s="3">
        <f t="shared" si="13"/>
        <v>-1619.6000000000004</v>
      </c>
      <c r="T147" s="24"/>
      <c r="U147" s="24"/>
      <c r="V147" s="3"/>
      <c r="W147" s="25" t="s">
        <v>6632</v>
      </c>
      <c r="X147" s="25" t="s">
        <v>6633</v>
      </c>
      <c r="Y147" s="25"/>
      <c r="Z147" s="25"/>
      <c r="AA147" s="25"/>
      <c r="AB147" s="3" t="str">
        <f>IF(Caja_Finanzas[[#This Row],[fecha]]&gt;0,TEXT(Caja_Finanzas[[#This Row],[fecha]],"mmmm"),0)</f>
        <v>Febrero</v>
      </c>
    </row>
    <row r="148" spans="1:28" ht="24" x14ac:dyDescent="0.3">
      <c r="A148" s="2">
        <f>IF(Caja_Finanzas[[#This Row],[tipo_r]]="R",COUNTIFS($C$1:$C147,"R")+1,A147)</f>
        <v>138</v>
      </c>
      <c r="B148" s="19" t="str">
        <f t="shared" si="14"/>
        <v>C-Finanzas</v>
      </c>
      <c r="C148" s="3" t="s">
        <v>1330</v>
      </c>
      <c r="D148" s="14">
        <v>45701</v>
      </c>
      <c r="E148" s="5" t="s">
        <v>1914</v>
      </c>
      <c r="F148" s="5" t="s">
        <v>1303</v>
      </c>
      <c r="G148" s="5"/>
      <c r="H148" s="6" t="s">
        <v>425</v>
      </c>
      <c r="I148" s="6" t="s">
        <v>119</v>
      </c>
      <c r="J148" s="6">
        <v>1</v>
      </c>
      <c r="K148" s="6">
        <v>4161</v>
      </c>
      <c r="L148" s="7" t="s">
        <v>6118</v>
      </c>
      <c r="M148" s="8" t="str">
        <f>"CFI"&amp;".D"&amp;TEXT(Caja_Finanzas[[#This Row],[fecha]],"DD-MM")&amp;"-"&amp;TEXT(Caja_Finanzas[[#This Row],[item]],"0000")</f>
        <v>CFI.D13-02-0138</v>
      </c>
      <c r="N148" s="8" t="str">
        <f t="shared" si="15"/>
        <v>PEN</v>
      </c>
      <c r="O148" s="13"/>
      <c r="P148" s="13">
        <v>1400</v>
      </c>
      <c r="Q148" s="3">
        <f t="shared" si="11"/>
        <v>1400</v>
      </c>
      <c r="R148" s="3">
        <f t="shared" si="12"/>
        <v>0</v>
      </c>
      <c r="S148" s="3">
        <f t="shared" si="13"/>
        <v>-219.60000000000036</v>
      </c>
      <c r="T148" s="24"/>
      <c r="U148" s="24"/>
      <c r="V148" s="3"/>
      <c r="W148" s="25"/>
      <c r="X148" s="25" t="s">
        <v>1915</v>
      </c>
      <c r="Y148" s="25"/>
      <c r="Z148" s="25"/>
      <c r="AA148" s="25"/>
      <c r="AB148" s="3" t="str">
        <f>IF(Caja_Finanzas[[#This Row],[fecha]]&gt;0,TEXT(Caja_Finanzas[[#This Row],[fecha]],"mmmm"),0)</f>
        <v>Febrero</v>
      </c>
    </row>
    <row r="149" spans="1:28" ht="24" x14ac:dyDescent="0.3">
      <c r="A149" s="2">
        <f>IF(Caja_Finanzas[[#This Row],[tipo_r]]="R",COUNTIFS($C$1:$C148,"R")+1,A148)</f>
        <v>139</v>
      </c>
      <c r="B149" s="19" t="str">
        <f t="shared" si="14"/>
        <v>C-Finanzas</v>
      </c>
      <c r="C149" s="3" t="s">
        <v>1330</v>
      </c>
      <c r="D149" s="14">
        <v>45701</v>
      </c>
      <c r="E149" s="5" t="s">
        <v>1875</v>
      </c>
      <c r="F149" s="5" t="s">
        <v>1303</v>
      </c>
      <c r="G149" s="5"/>
      <c r="H149" s="6" t="s">
        <v>425</v>
      </c>
      <c r="I149" s="6" t="s">
        <v>119</v>
      </c>
      <c r="J149" s="6">
        <v>1</v>
      </c>
      <c r="K149" s="6">
        <v>4155</v>
      </c>
      <c r="L149" s="7" t="s">
        <v>6118</v>
      </c>
      <c r="M149" s="8" t="str">
        <f>"CFI"&amp;".D"&amp;TEXT(Caja_Finanzas[[#This Row],[fecha]],"DD-MM")&amp;"-"&amp;TEXT(Caja_Finanzas[[#This Row],[item]],"0000")</f>
        <v>CFI.D13-02-0139</v>
      </c>
      <c r="N149" s="8" t="str">
        <f t="shared" si="15"/>
        <v>PEN</v>
      </c>
      <c r="O149" s="13"/>
      <c r="P149" s="13">
        <v>1039.4000000000001</v>
      </c>
      <c r="Q149" s="3">
        <f t="shared" si="11"/>
        <v>1039.4000000000001</v>
      </c>
      <c r="R149" s="3">
        <f t="shared" si="12"/>
        <v>0</v>
      </c>
      <c r="S149" s="3">
        <f t="shared" si="13"/>
        <v>819.79999999999973</v>
      </c>
      <c r="T149" s="24"/>
      <c r="U149" s="24"/>
      <c r="V149" s="3"/>
      <c r="W149" s="25"/>
      <c r="X149" s="25" t="s">
        <v>6634</v>
      </c>
      <c r="Y149" s="25"/>
      <c r="Z149" s="25"/>
      <c r="AA149" s="25"/>
      <c r="AB149" s="3" t="str">
        <f>IF(Caja_Finanzas[[#This Row],[fecha]]&gt;0,TEXT(Caja_Finanzas[[#This Row],[fecha]],"mmmm"),0)</f>
        <v>Febrero</v>
      </c>
    </row>
    <row r="150" spans="1:28" ht="48" x14ac:dyDescent="0.3">
      <c r="A150" s="2">
        <f>IF(Caja_Finanzas[[#This Row],[tipo_r]]="R",COUNTIFS($C$1:$C149,"R")+1,A149)</f>
        <v>140</v>
      </c>
      <c r="B150" s="19" t="str">
        <f t="shared" si="14"/>
        <v>C-Finanzas</v>
      </c>
      <c r="C150" s="3" t="s">
        <v>1330</v>
      </c>
      <c r="D150" s="14">
        <v>45701</v>
      </c>
      <c r="E150" s="5" t="s">
        <v>6415</v>
      </c>
      <c r="F150" s="5" t="s">
        <v>1336</v>
      </c>
      <c r="G150" s="5"/>
      <c r="H150" s="6"/>
      <c r="I150" s="6"/>
      <c r="J150" s="6"/>
      <c r="K150" s="6"/>
      <c r="L150" s="7" t="s">
        <v>6635</v>
      </c>
      <c r="M150" s="8" t="str">
        <f>"CFI"&amp;".D"&amp;TEXT(Caja_Finanzas[[#This Row],[fecha]],"DD-MM")&amp;"-"&amp;TEXT(Caja_Finanzas[[#This Row],[item]],"0000")</f>
        <v>CFI.D13-02-0140</v>
      </c>
      <c r="N150" s="8" t="str">
        <f t="shared" si="15"/>
        <v>PEN</v>
      </c>
      <c r="O150" s="13"/>
      <c r="P150" s="13">
        <v>2275</v>
      </c>
      <c r="Q150" s="3">
        <f t="shared" si="11"/>
        <v>0</v>
      </c>
      <c r="R150" s="3">
        <f t="shared" si="12"/>
        <v>2275</v>
      </c>
      <c r="S150" s="3">
        <f t="shared" si="13"/>
        <v>-1455.2000000000003</v>
      </c>
      <c r="T150" s="24"/>
      <c r="U150" s="24"/>
      <c r="V150" s="3"/>
      <c r="W150" s="25"/>
      <c r="X150" s="25" t="s">
        <v>6636</v>
      </c>
      <c r="Y150" s="25"/>
      <c r="Z150" s="25"/>
      <c r="AA150" s="25"/>
      <c r="AB150" s="3" t="str">
        <f>IF(Caja_Finanzas[[#This Row],[fecha]]&gt;0,TEXT(Caja_Finanzas[[#This Row],[fecha]],"mmmm"),0)</f>
        <v>Febrero</v>
      </c>
    </row>
    <row r="151" spans="1:28" ht="24" x14ac:dyDescent="0.3">
      <c r="A151" s="2">
        <f>IF(Caja_Finanzas[[#This Row],[tipo_r]]="R",COUNTIFS($C$1:$C150,"R")+1,A150)</f>
        <v>141</v>
      </c>
      <c r="B151" s="19" t="str">
        <f t="shared" si="14"/>
        <v>C-Finanzas</v>
      </c>
      <c r="C151" s="3" t="s">
        <v>1330</v>
      </c>
      <c r="D151" s="14">
        <v>45705</v>
      </c>
      <c r="E151" s="5" t="s">
        <v>6637</v>
      </c>
      <c r="F151" s="5" t="s">
        <v>1303</v>
      </c>
      <c r="G151" s="5"/>
      <c r="H151" s="6" t="s">
        <v>425</v>
      </c>
      <c r="I151" s="6" t="s">
        <v>119</v>
      </c>
      <c r="J151" s="6">
        <v>1</v>
      </c>
      <c r="K151" s="6">
        <v>4159</v>
      </c>
      <c r="L151" s="7" t="s">
        <v>6118</v>
      </c>
      <c r="M151" s="8" t="str">
        <f>"CFI"&amp;".D"&amp;TEXT(Caja_Finanzas[[#This Row],[fecha]],"DD-MM")&amp;"-"&amp;TEXT(Caja_Finanzas[[#This Row],[item]],"0000")</f>
        <v>CFI.D17-02-0141</v>
      </c>
      <c r="N151" s="8" t="str">
        <f t="shared" si="15"/>
        <v>PEN</v>
      </c>
      <c r="O151" s="13"/>
      <c r="P151" s="13">
        <v>450</v>
      </c>
      <c r="Q151" s="3">
        <f t="shared" si="11"/>
        <v>450</v>
      </c>
      <c r="R151" s="3">
        <f t="shared" si="12"/>
        <v>0</v>
      </c>
      <c r="S151" s="3">
        <f t="shared" si="13"/>
        <v>-1005.2000000000003</v>
      </c>
      <c r="T151" s="24"/>
      <c r="U151" s="24"/>
      <c r="V151" s="3"/>
      <c r="W151" s="25"/>
      <c r="X151" s="25" t="s">
        <v>6638</v>
      </c>
      <c r="Y151" s="25"/>
      <c r="Z151" s="25"/>
      <c r="AA151" s="25"/>
      <c r="AB151" s="3" t="str">
        <f>IF(Caja_Finanzas[[#This Row],[fecha]]&gt;0,TEXT(Caja_Finanzas[[#This Row],[fecha]],"mmmm"),0)</f>
        <v>Febrero</v>
      </c>
    </row>
    <row r="152" spans="1:28" x14ac:dyDescent="0.3">
      <c r="A152" s="2">
        <f>IF(Caja_Finanzas[[#This Row],[tipo_r]]="R",COUNTIFS($C$1:$C151,"R")+1,A151)</f>
        <v>142</v>
      </c>
      <c r="B152" s="19" t="str">
        <f t="shared" si="14"/>
        <v>C-Finanzas</v>
      </c>
      <c r="C152" s="3" t="s">
        <v>1330</v>
      </c>
      <c r="D152" s="14">
        <v>45705</v>
      </c>
      <c r="E152" s="5"/>
      <c r="F152" s="5" t="s">
        <v>1303</v>
      </c>
      <c r="G152" s="5"/>
      <c r="H152" s="6"/>
      <c r="I152" s="6"/>
      <c r="J152" s="6"/>
      <c r="K152" s="6"/>
      <c r="L152" s="7" t="s">
        <v>6639</v>
      </c>
      <c r="M152" s="8" t="str">
        <f>"CFI"&amp;".D"&amp;TEXT(Caja_Finanzas[[#This Row],[fecha]],"DD-MM")&amp;"-"&amp;TEXT(Caja_Finanzas[[#This Row],[item]],"0000")</f>
        <v>CFI.D17-02-0142</v>
      </c>
      <c r="N152" s="8" t="str">
        <f t="shared" si="15"/>
        <v>PEN</v>
      </c>
      <c r="O152" s="13"/>
      <c r="P152" s="13"/>
      <c r="Q152" s="3">
        <f t="shared" si="11"/>
        <v>0</v>
      </c>
      <c r="R152" s="3">
        <f t="shared" si="12"/>
        <v>0</v>
      </c>
      <c r="S152" s="3">
        <f t="shared" si="13"/>
        <v>-1005.2000000000003</v>
      </c>
      <c r="T152" s="24"/>
      <c r="U152" s="24"/>
      <c r="V152" s="3"/>
      <c r="W152" s="25"/>
      <c r="X152" s="25"/>
      <c r="Y152" s="25"/>
      <c r="Z152" s="25"/>
      <c r="AA152" s="25"/>
      <c r="AB152" s="3" t="str">
        <f>IF(Caja_Finanzas[[#This Row],[fecha]]&gt;0,TEXT(Caja_Finanzas[[#This Row],[fecha]],"mmmm"),0)</f>
        <v>Febrero</v>
      </c>
    </row>
    <row r="153" spans="1:28" ht="48" x14ac:dyDescent="0.3">
      <c r="A153" s="2">
        <f>IF(Caja_Finanzas[[#This Row],[tipo_r]]="R",COUNTIFS($C$1:$C152,"R")+1,A152)</f>
        <v>143</v>
      </c>
      <c r="B153" s="19" t="str">
        <f t="shared" si="14"/>
        <v>C-Finanzas</v>
      </c>
      <c r="C153" s="3" t="s">
        <v>1330</v>
      </c>
      <c r="D153" s="14">
        <v>45705</v>
      </c>
      <c r="E153" s="5" t="s">
        <v>6465</v>
      </c>
      <c r="F153" s="5" t="s">
        <v>1336</v>
      </c>
      <c r="G153" s="5"/>
      <c r="H153" s="6"/>
      <c r="I153" s="6"/>
      <c r="J153" s="6"/>
      <c r="K153" s="6"/>
      <c r="L153" s="7" t="s">
        <v>6640</v>
      </c>
      <c r="M153" s="8" t="str">
        <f>"CFI"&amp;".D"&amp;TEXT(Caja_Finanzas[[#This Row],[fecha]],"DD-MM")&amp;"-"&amp;TEXT(Caja_Finanzas[[#This Row],[item]],"0000")</f>
        <v>CFI.D17-02-0143</v>
      </c>
      <c r="N153" s="8" t="str">
        <f t="shared" si="15"/>
        <v>PEN</v>
      </c>
      <c r="O153" s="13"/>
      <c r="P153" s="13">
        <v>1500</v>
      </c>
      <c r="Q153" s="3">
        <f t="shared" si="11"/>
        <v>0</v>
      </c>
      <c r="R153" s="3">
        <f t="shared" si="12"/>
        <v>1500</v>
      </c>
      <c r="S153" s="3">
        <f t="shared" si="13"/>
        <v>-2505.2000000000003</v>
      </c>
      <c r="T153" s="24"/>
      <c r="U153" s="24"/>
      <c r="V153" s="3"/>
      <c r="W153" s="25" t="s">
        <v>6641</v>
      </c>
      <c r="X153" s="25" t="s">
        <v>6642</v>
      </c>
      <c r="Y153" s="25"/>
      <c r="Z153" s="25"/>
      <c r="AA153" s="25"/>
      <c r="AB153" s="3" t="str">
        <f>IF(Caja_Finanzas[[#This Row],[fecha]]&gt;0,TEXT(Caja_Finanzas[[#This Row],[fecha]],"mmmm"),0)</f>
        <v>Febrero</v>
      </c>
    </row>
    <row r="154" spans="1:28" x14ac:dyDescent="0.3">
      <c r="A154" s="2">
        <f>IF(Caja_Finanzas[[#This Row],[tipo_r]]="R",COUNTIFS($C$1:$C153,"R")+1,A153)</f>
        <v>144</v>
      </c>
      <c r="B154" s="19" t="str">
        <f t="shared" si="14"/>
        <v>C-Finanzas</v>
      </c>
      <c r="C154" s="3" t="s">
        <v>1330</v>
      </c>
      <c r="D154" s="14">
        <v>45705</v>
      </c>
      <c r="E154" s="5" t="s">
        <v>1444</v>
      </c>
      <c r="F154" s="5" t="s">
        <v>1303</v>
      </c>
      <c r="G154" s="5"/>
      <c r="H154" s="6" t="s">
        <v>425</v>
      </c>
      <c r="I154" s="6" t="s">
        <v>119</v>
      </c>
      <c r="J154" s="6">
        <v>1</v>
      </c>
      <c r="K154" s="6">
        <v>4166</v>
      </c>
      <c r="L154" s="7" t="s">
        <v>6118</v>
      </c>
      <c r="M154" s="8" t="str">
        <f>"CFI"&amp;".D"&amp;TEXT(Caja_Finanzas[[#This Row],[fecha]],"DD-MM")&amp;"-"&amp;TEXT(Caja_Finanzas[[#This Row],[item]],"0000")</f>
        <v>CFI.D17-02-0144</v>
      </c>
      <c r="N154" s="8" t="str">
        <f t="shared" si="15"/>
        <v>PEN</v>
      </c>
      <c r="O154" s="13"/>
      <c r="P154" s="13">
        <v>724</v>
      </c>
      <c r="Q154" s="3">
        <f t="shared" si="11"/>
        <v>724</v>
      </c>
      <c r="R154" s="3">
        <f t="shared" si="12"/>
        <v>0</v>
      </c>
      <c r="S154" s="3">
        <f t="shared" si="13"/>
        <v>-1781.2000000000003</v>
      </c>
      <c r="T154" s="24"/>
      <c r="U154" s="24"/>
      <c r="V154" s="3"/>
      <c r="W154" s="25"/>
      <c r="X154" s="25" t="s">
        <v>6643</v>
      </c>
      <c r="Y154" s="25"/>
      <c r="Z154" s="25"/>
      <c r="AA154" s="25"/>
      <c r="AB154" s="3" t="str">
        <f>IF(Caja_Finanzas[[#This Row],[fecha]]&gt;0,TEXT(Caja_Finanzas[[#This Row],[fecha]],"mmmm"),0)</f>
        <v>Febrero</v>
      </c>
    </row>
    <row r="155" spans="1:28" ht="36" x14ac:dyDescent="0.3">
      <c r="A155" s="2">
        <f>IF(Caja_Finanzas[[#This Row],[tipo_r]]="R",COUNTIFS($C$1:$C154,"R")+1,A154)</f>
        <v>145</v>
      </c>
      <c r="B155" s="19" t="str">
        <f t="shared" si="14"/>
        <v>C-Finanzas</v>
      </c>
      <c r="C155" s="3" t="s">
        <v>1330</v>
      </c>
      <c r="D155" s="14">
        <v>45705</v>
      </c>
      <c r="E155" s="5" t="s">
        <v>6415</v>
      </c>
      <c r="F155" s="5" t="s">
        <v>1336</v>
      </c>
      <c r="G155" s="5"/>
      <c r="H155" s="6"/>
      <c r="I155" s="6"/>
      <c r="J155" s="6"/>
      <c r="K155" s="6"/>
      <c r="L155" s="7" t="s">
        <v>6644</v>
      </c>
      <c r="M155" s="8" t="str">
        <f>"CFI"&amp;".D"&amp;TEXT(Caja_Finanzas[[#This Row],[fecha]],"DD-MM")&amp;"-"&amp;TEXT(Caja_Finanzas[[#This Row],[item]],"0000")</f>
        <v>CFI.D17-02-0145</v>
      </c>
      <c r="N155" s="8" t="str">
        <f t="shared" si="15"/>
        <v>PEN</v>
      </c>
      <c r="O155" s="13"/>
      <c r="P155" s="13">
        <v>320</v>
      </c>
      <c r="Q155" s="3">
        <f t="shared" si="11"/>
        <v>0</v>
      </c>
      <c r="R155" s="3">
        <f t="shared" si="12"/>
        <v>320</v>
      </c>
      <c r="S155" s="3">
        <f t="shared" si="13"/>
        <v>-2101.2000000000003</v>
      </c>
      <c r="T155" s="24"/>
      <c r="U155" s="24"/>
      <c r="V155" s="3"/>
      <c r="W155" s="25"/>
      <c r="X155" s="25" t="s">
        <v>6645</v>
      </c>
      <c r="Y155" s="25"/>
      <c r="Z155" s="25"/>
      <c r="AA155" s="25"/>
      <c r="AB155" s="3" t="str">
        <f>IF(Caja_Finanzas[[#This Row],[fecha]]&gt;0,TEXT(Caja_Finanzas[[#This Row],[fecha]],"mmmm"),0)</f>
        <v>Febrero</v>
      </c>
    </row>
    <row r="156" spans="1:28" ht="24" x14ac:dyDescent="0.3">
      <c r="A156" s="2">
        <f>IF(Caja_Finanzas[[#This Row],[tipo_r]]="R",COUNTIFS($C$1:$C155,"R")+1,A155)</f>
        <v>146</v>
      </c>
      <c r="B156" s="19" t="str">
        <f t="shared" si="14"/>
        <v>C-Finanzas</v>
      </c>
      <c r="C156" s="3" t="s">
        <v>1330</v>
      </c>
      <c r="D156" s="14">
        <v>45705</v>
      </c>
      <c r="E156" s="5" t="s">
        <v>6556</v>
      </c>
      <c r="F156" s="5" t="s">
        <v>1336</v>
      </c>
      <c r="G156" s="5"/>
      <c r="H156" s="6"/>
      <c r="I156" s="6"/>
      <c r="J156" s="6"/>
      <c r="K156" s="6"/>
      <c r="L156" s="7" t="s">
        <v>6646</v>
      </c>
      <c r="M156" s="8" t="str">
        <f>"CFI"&amp;".D"&amp;TEXT(Caja_Finanzas[[#This Row],[fecha]],"DD-MM")&amp;"-"&amp;TEXT(Caja_Finanzas[[#This Row],[item]],"0000")</f>
        <v>CFI.D17-02-0146</v>
      </c>
      <c r="N156" s="8" t="str">
        <f t="shared" si="15"/>
        <v>PEN</v>
      </c>
      <c r="O156" s="13"/>
      <c r="P156" s="13">
        <v>48</v>
      </c>
      <c r="Q156" s="3">
        <f t="shared" si="11"/>
        <v>0</v>
      </c>
      <c r="R156" s="3">
        <f t="shared" si="12"/>
        <v>48</v>
      </c>
      <c r="S156" s="3">
        <f t="shared" si="13"/>
        <v>-2149.2000000000003</v>
      </c>
      <c r="T156" s="24"/>
      <c r="U156" s="24"/>
      <c r="V156" s="3"/>
      <c r="W156" s="25"/>
      <c r="X156" s="25" t="s">
        <v>6647</v>
      </c>
      <c r="Y156" s="25"/>
      <c r="Z156" s="25"/>
      <c r="AA156" s="25"/>
      <c r="AB156" s="3" t="str">
        <f>IF(Caja_Finanzas[[#This Row],[fecha]]&gt;0,TEXT(Caja_Finanzas[[#This Row],[fecha]],"mmmm"),0)</f>
        <v>Febrero</v>
      </c>
    </row>
    <row r="157" spans="1:28" ht="24" x14ac:dyDescent="0.3">
      <c r="A157" s="2">
        <f>IF(Caja_Finanzas[[#This Row],[tipo_r]]="R",COUNTIFS($C$1:$C156,"R")+1,A156)</f>
        <v>147</v>
      </c>
      <c r="B157" s="19" t="str">
        <f t="shared" si="14"/>
        <v>C-Finanzas</v>
      </c>
      <c r="C157" s="3" t="s">
        <v>1330</v>
      </c>
      <c r="D157" s="14">
        <v>45705</v>
      </c>
      <c r="E157" s="5" t="s">
        <v>2043</v>
      </c>
      <c r="F157" s="5" t="s">
        <v>1303</v>
      </c>
      <c r="G157" s="5"/>
      <c r="H157" s="6" t="s">
        <v>425</v>
      </c>
      <c r="I157" s="6" t="s">
        <v>119</v>
      </c>
      <c r="J157" s="6">
        <v>1</v>
      </c>
      <c r="K157" s="6">
        <v>4157</v>
      </c>
      <c r="L157" s="7" t="s">
        <v>6118</v>
      </c>
      <c r="M157" s="8" t="str">
        <f>"CFI"&amp;".D"&amp;TEXT(Caja_Finanzas[[#This Row],[fecha]],"DD-MM")&amp;"-"&amp;TEXT(Caja_Finanzas[[#This Row],[item]],"0000")</f>
        <v>CFI.D17-02-0147</v>
      </c>
      <c r="N157" s="8" t="str">
        <f t="shared" si="15"/>
        <v>PEN</v>
      </c>
      <c r="O157" s="13"/>
      <c r="P157" s="13">
        <v>1400</v>
      </c>
      <c r="Q157" s="3">
        <f t="shared" si="11"/>
        <v>1400</v>
      </c>
      <c r="R157" s="3">
        <f t="shared" si="12"/>
        <v>0</v>
      </c>
      <c r="S157" s="3">
        <f t="shared" si="13"/>
        <v>-749.20000000000027</v>
      </c>
      <c r="T157" s="24"/>
      <c r="U157" s="24"/>
      <c r="V157" s="3"/>
      <c r="W157" s="25"/>
      <c r="X157" s="25" t="s">
        <v>6648</v>
      </c>
      <c r="Y157" s="25"/>
      <c r="Z157" s="25"/>
      <c r="AA157" s="25"/>
      <c r="AB157" s="3" t="str">
        <f>IF(Caja_Finanzas[[#This Row],[fecha]]&gt;0,TEXT(Caja_Finanzas[[#This Row],[fecha]],"mmmm"),0)</f>
        <v>Febrero</v>
      </c>
    </row>
    <row r="158" spans="1:28" ht="72" x14ac:dyDescent="0.3">
      <c r="A158" s="2">
        <f>IF(Caja_Finanzas[[#This Row],[tipo_r]]="R",COUNTIFS($C$1:$C157,"R")+1,A157)</f>
        <v>148</v>
      </c>
      <c r="B158" s="19" t="str">
        <f t="shared" si="14"/>
        <v>C-Finanzas</v>
      </c>
      <c r="C158" s="3" t="s">
        <v>1330</v>
      </c>
      <c r="D158" s="14">
        <v>45705</v>
      </c>
      <c r="E158" s="5" t="s">
        <v>6420</v>
      </c>
      <c r="F158" s="5" t="s">
        <v>1336</v>
      </c>
      <c r="G158" s="5"/>
      <c r="H158" s="6"/>
      <c r="I158" s="6"/>
      <c r="J158" s="6"/>
      <c r="K158" s="6"/>
      <c r="L158" s="7" t="s">
        <v>6649</v>
      </c>
      <c r="M158" s="8" t="str">
        <f>"CFI"&amp;".D"&amp;TEXT(Caja_Finanzas[[#This Row],[fecha]],"DD-MM")&amp;"-"&amp;TEXT(Caja_Finanzas[[#This Row],[item]],"0000")</f>
        <v>CFI.D17-02-0148</v>
      </c>
      <c r="N158" s="8" t="str">
        <f t="shared" si="15"/>
        <v>PEN</v>
      </c>
      <c r="O158" s="13"/>
      <c r="P158" s="13">
        <v>500</v>
      </c>
      <c r="Q158" s="3">
        <f t="shared" si="11"/>
        <v>0</v>
      </c>
      <c r="R158" s="3">
        <f t="shared" si="12"/>
        <v>500</v>
      </c>
      <c r="S158" s="3">
        <f t="shared" si="13"/>
        <v>-1249.2000000000003</v>
      </c>
      <c r="T158" s="24"/>
      <c r="U158" s="24"/>
      <c r="V158" s="3"/>
      <c r="W158" s="25" t="s">
        <v>6650</v>
      </c>
      <c r="X158" s="25" t="s">
        <v>6651</v>
      </c>
      <c r="Y158" s="25"/>
      <c r="Z158" s="25"/>
      <c r="AA158" s="25"/>
      <c r="AB158" s="3" t="str">
        <f>IF(Caja_Finanzas[[#This Row],[fecha]]&gt;0,TEXT(Caja_Finanzas[[#This Row],[fecha]],"mmmm"),0)</f>
        <v>Febrero</v>
      </c>
    </row>
    <row r="159" spans="1:28" ht="24" x14ac:dyDescent="0.3">
      <c r="A159" s="2">
        <f>IF(Caja_Finanzas[[#This Row],[tipo_r]]="R",COUNTIFS($C$1:$C158,"R")+1,A158)</f>
        <v>149</v>
      </c>
      <c r="B159" s="19" t="str">
        <f t="shared" si="14"/>
        <v>C-Finanzas</v>
      </c>
      <c r="C159" s="3" t="s">
        <v>1330</v>
      </c>
      <c r="D159" s="14">
        <v>45705</v>
      </c>
      <c r="E159" s="5" t="s">
        <v>6418</v>
      </c>
      <c r="F159" s="5" t="s">
        <v>1336</v>
      </c>
      <c r="G159" s="5"/>
      <c r="H159" s="6" t="s">
        <v>809</v>
      </c>
      <c r="I159" s="6"/>
      <c r="J159" s="6"/>
      <c r="K159" s="6"/>
      <c r="L159" s="7" t="s">
        <v>6652</v>
      </c>
      <c r="M159" s="8" t="str">
        <f>"CFI"&amp;".D"&amp;TEXT(Caja_Finanzas[[#This Row],[fecha]],"DD-MM")&amp;"-"&amp;TEXT(Caja_Finanzas[[#This Row],[item]],"0000")</f>
        <v>CFI.D17-02-0149</v>
      </c>
      <c r="N159" s="8" t="str">
        <f t="shared" si="15"/>
        <v>PEN</v>
      </c>
      <c r="O159" s="13"/>
      <c r="P159" s="13">
        <v>500</v>
      </c>
      <c r="Q159" s="3">
        <f t="shared" si="11"/>
        <v>0</v>
      </c>
      <c r="R159" s="3">
        <f t="shared" si="12"/>
        <v>500</v>
      </c>
      <c r="S159" s="3">
        <f t="shared" si="13"/>
        <v>-1749.2000000000003</v>
      </c>
      <c r="T159" s="24"/>
      <c r="U159" s="24"/>
      <c r="V159" s="3"/>
      <c r="W159" s="25"/>
      <c r="X159" s="25"/>
      <c r="Y159" s="25"/>
      <c r="Z159" s="25"/>
      <c r="AA159" s="25"/>
      <c r="AB159" s="3" t="str">
        <f>IF(Caja_Finanzas[[#This Row],[fecha]]&gt;0,TEXT(Caja_Finanzas[[#This Row],[fecha]],"mmmm"),0)</f>
        <v>Febrero</v>
      </c>
    </row>
    <row r="160" spans="1:28" ht="48" x14ac:dyDescent="0.3">
      <c r="A160" s="2">
        <f>IF(Caja_Finanzas[[#This Row],[tipo_r]]="R",COUNTIFS($C$1:$C159,"R")+1,A159)</f>
        <v>150</v>
      </c>
      <c r="B160" s="19" t="str">
        <f t="shared" si="14"/>
        <v>C-Finanzas</v>
      </c>
      <c r="C160" s="3" t="s">
        <v>1330</v>
      </c>
      <c r="D160" s="14">
        <v>45706</v>
      </c>
      <c r="E160" s="5" t="s">
        <v>6415</v>
      </c>
      <c r="F160" s="5" t="s">
        <v>1336</v>
      </c>
      <c r="G160" s="5"/>
      <c r="H160" s="6"/>
      <c r="I160" s="6"/>
      <c r="J160" s="6"/>
      <c r="K160" s="6"/>
      <c r="L160" s="7" t="s">
        <v>6653</v>
      </c>
      <c r="M160" s="8" t="str">
        <f>"CFI"&amp;".D"&amp;TEXT(Caja_Finanzas[[#This Row],[fecha]],"DD-MM")&amp;"-"&amp;TEXT(Caja_Finanzas[[#This Row],[item]],"0000")</f>
        <v>CFI.D18-02-0150</v>
      </c>
      <c r="N160" s="8" t="str">
        <f t="shared" si="15"/>
        <v>PEN</v>
      </c>
      <c r="O160" s="13"/>
      <c r="P160" s="13">
        <v>50</v>
      </c>
      <c r="Q160" s="3">
        <f t="shared" si="11"/>
        <v>0</v>
      </c>
      <c r="R160" s="3">
        <f t="shared" si="12"/>
        <v>50</v>
      </c>
      <c r="S160" s="3">
        <f t="shared" si="13"/>
        <v>-1799.2000000000003</v>
      </c>
      <c r="T160" s="24"/>
      <c r="U160" s="24"/>
      <c r="V160" s="3"/>
      <c r="W160" s="25" t="s">
        <v>6654</v>
      </c>
      <c r="X160" s="25" t="s">
        <v>6636</v>
      </c>
      <c r="Y160" s="25"/>
      <c r="Z160" s="25"/>
      <c r="AA160" s="25"/>
      <c r="AB160" s="3" t="str">
        <f>IF(Caja_Finanzas[[#This Row],[fecha]]&gt;0,TEXT(Caja_Finanzas[[#This Row],[fecha]],"mmmm"),0)</f>
        <v>Febrero</v>
      </c>
    </row>
    <row r="161" spans="1:28" ht="24" x14ac:dyDescent="0.3">
      <c r="A161" s="2">
        <f>IF(Caja_Finanzas[[#This Row],[tipo_r]]="R",COUNTIFS($C$1:$C160,"R")+1,A160)</f>
        <v>151</v>
      </c>
      <c r="B161" s="19" t="str">
        <f t="shared" si="14"/>
        <v>C-Finanzas</v>
      </c>
      <c r="C161" s="3" t="s">
        <v>1330</v>
      </c>
      <c r="D161" s="14">
        <v>45706</v>
      </c>
      <c r="E161" s="5" t="s">
        <v>6655</v>
      </c>
      <c r="F161" s="5" t="s">
        <v>1303</v>
      </c>
      <c r="G161" s="5"/>
      <c r="H161" s="6" t="s">
        <v>425</v>
      </c>
      <c r="I161" s="6" t="s">
        <v>119</v>
      </c>
      <c r="J161" s="6">
        <v>1</v>
      </c>
      <c r="K161" s="6">
        <v>4170</v>
      </c>
      <c r="L161" s="7" t="s">
        <v>6118</v>
      </c>
      <c r="M161" s="8" t="str">
        <f>"CFI"&amp;".D"&amp;TEXT(Caja_Finanzas[[#This Row],[fecha]],"DD-MM")&amp;"-"&amp;TEXT(Caja_Finanzas[[#This Row],[item]],"0000")</f>
        <v>CFI.D18-02-0151</v>
      </c>
      <c r="N161" s="8" t="str">
        <f t="shared" si="15"/>
        <v>PEN</v>
      </c>
      <c r="O161" s="13"/>
      <c r="P161" s="13">
        <v>612</v>
      </c>
      <c r="Q161" s="3">
        <f t="shared" si="11"/>
        <v>612</v>
      </c>
      <c r="R161" s="3">
        <f t="shared" si="12"/>
        <v>0</v>
      </c>
      <c r="S161" s="3">
        <f t="shared" si="13"/>
        <v>-1187.2000000000003</v>
      </c>
      <c r="T161" s="24"/>
      <c r="U161" s="24"/>
      <c r="V161" s="3"/>
      <c r="W161" s="25"/>
      <c r="X161" s="25" t="s">
        <v>6656</v>
      </c>
      <c r="Y161" s="25"/>
      <c r="Z161" s="25"/>
      <c r="AA161" s="25"/>
      <c r="AB161" s="3" t="str">
        <f>IF(Caja_Finanzas[[#This Row],[fecha]]&gt;0,TEXT(Caja_Finanzas[[#This Row],[fecha]],"mmmm"),0)</f>
        <v>Febrero</v>
      </c>
    </row>
    <row r="162" spans="1:28" ht="24" x14ac:dyDescent="0.3">
      <c r="A162" s="2">
        <f>IF(Caja_Finanzas[[#This Row],[tipo_r]]="R",COUNTIFS($C$1:$C161,"R")+1,A161)</f>
        <v>152</v>
      </c>
      <c r="B162" s="19" t="str">
        <f t="shared" si="14"/>
        <v>C-Finanzas</v>
      </c>
      <c r="C162" s="3" t="s">
        <v>1330</v>
      </c>
      <c r="D162" s="14">
        <v>45706</v>
      </c>
      <c r="E162" s="5" t="s">
        <v>6451</v>
      </c>
      <c r="F162" s="5" t="s">
        <v>1336</v>
      </c>
      <c r="G162" s="5"/>
      <c r="H162" s="6"/>
      <c r="I162" s="6"/>
      <c r="J162" s="6"/>
      <c r="K162" s="6"/>
      <c r="L162" s="7" t="s">
        <v>6657</v>
      </c>
      <c r="M162" s="8" t="str">
        <f>"CFI"&amp;".D"&amp;TEXT(Caja_Finanzas[[#This Row],[fecha]],"DD-MM")&amp;"-"&amp;TEXT(Caja_Finanzas[[#This Row],[item]],"0000")</f>
        <v>CFI.D18-02-0152</v>
      </c>
      <c r="N162" s="8" t="str">
        <f t="shared" si="15"/>
        <v>PEN</v>
      </c>
      <c r="O162" s="13"/>
      <c r="P162" s="13">
        <v>100</v>
      </c>
      <c r="Q162" s="3">
        <f t="shared" si="11"/>
        <v>0</v>
      </c>
      <c r="R162" s="3">
        <f t="shared" si="12"/>
        <v>100</v>
      </c>
      <c r="S162" s="3">
        <f t="shared" si="13"/>
        <v>-1287.2000000000003</v>
      </c>
      <c r="T162" s="24"/>
      <c r="U162" s="24"/>
      <c r="V162" s="3"/>
      <c r="W162" s="25"/>
      <c r="X162" s="25" t="s">
        <v>6658</v>
      </c>
      <c r="Y162" s="25"/>
      <c r="Z162" s="25"/>
      <c r="AA162" s="25"/>
      <c r="AB162" s="3" t="str">
        <f>IF(Caja_Finanzas[[#This Row],[fecha]]&gt;0,TEXT(Caja_Finanzas[[#This Row],[fecha]],"mmmm"),0)</f>
        <v>Febrero</v>
      </c>
    </row>
    <row r="163" spans="1:28" ht="24" x14ac:dyDescent="0.3">
      <c r="A163" s="2">
        <f>IF(Caja_Finanzas[[#This Row],[tipo_r]]="R",COUNTIFS($C$1:$C162,"R")+1,A162)</f>
        <v>153</v>
      </c>
      <c r="B163" s="19" t="str">
        <f t="shared" si="14"/>
        <v>C-Finanzas</v>
      </c>
      <c r="C163" s="3" t="s">
        <v>1330</v>
      </c>
      <c r="D163" s="14">
        <v>45707</v>
      </c>
      <c r="E163" s="5" t="s">
        <v>2043</v>
      </c>
      <c r="F163" s="5" t="s">
        <v>1303</v>
      </c>
      <c r="G163" s="5"/>
      <c r="H163" s="6" t="s">
        <v>425</v>
      </c>
      <c r="I163" s="6" t="s">
        <v>119</v>
      </c>
      <c r="J163" s="6">
        <v>1</v>
      </c>
      <c r="K163" s="6">
        <v>4157</v>
      </c>
      <c r="L163" s="7" t="s">
        <v>6118</v>
      </c>
      <c r="M163" s="8" t="str">
        <f>"CFI"&amp;".D"&amp;TEXT(Caja_Finanzas[[#This Row],[fecha]],"DD-MM")&amp;"-"&amp;TEXT(Caja_Finanzas[[#This Row],[item]],"0000")</f>
        <v>CFI.D19-02-0153</v>
      </c>
      <c r="N163" s="8" t="str">
        <f t="shared" si="15"/>
        <v>PEN</v>
      </c>
      <c r="O163" s="13"/>
      <c r="P163" s="13">
        <v>1400</v>
      </c>
      <c r="Q163" s="3">
        <f t="shared" si="11"/>
        <v>1400</v>
      </c>
      <c r="R163" s="3">
        <f t="shared" si="12"/>
        <v>0</v>
      </c>
      <c r="S163" s="3">
        <f t="shared" si="13"/>
        <v>112.79999999999973</v>
      </c>
      <c r="T163" s="24"/>
      <c r="U163" s="24"/>
      <c r="V163" s="3"/>
      <c r="W163" s="25"/>
      <c r="X163" s="25" t="s">
        <v>6648</v>
      </c>
      <c r="Y163" s="25"/>
      <c r="Z163" s="25"/>
      <c r="AA163" s="25"/>
      <c r="AB163" s="3" t="str">
        <f>IF(Caja_Finanzas[[#This Row],[fecha]]&gt;0,TEXT(Caja_Finanzas[[#This Row],[fecha]],"mmmm"),0)</f>
        <v>Febrero</v>
      </c>
    </row>
    <row r="164" spans="1:28" ht="24" x14ac:dyDescent="0.3">
      <c r="A164" s="2">
        <f>IF(Caja_Finanzas[[#This Row],[tipo_r]]="R",COUNTIFS($C$1:$C163,"R")+1,A163)</f>
        <v>154</v>
      </c>
      <c r="B164" s="19" t="str">
        <f t="shared" si="14"/>
        <v>C-Finanzas</v>
      </c>
      <c r="C164" s="3" t="s">
        <v>1330</v>
      </c>
      <c r="D164" s="14">
        <v>45707</v>
      </c>
      <c r="E164" s="5" t="s">
        <v>2043</v>
      </c>
      <c r="F164" s="5" t="s">
        <v>1303</v>
      </c>
      <c r="G164" s="5"/>
      <c r="H164" s="6" t="s">
        <v>425</v>
      </c>
      <c r="I164" s="6" t="s">
        <v>119</v>
      </c>
      <c r="J164" s="6">
        <v>1</v>
      </c>
      <c r="K164" s="6">
        <v>4158</v>
      </c>
      <c r="L164" s="7" t="s">
        <v>6118</v>
      </c>
      <c r="M164" s="8" t="str">
        <f>"CFI"&amp;".D"&amp;TEXT(Caja_Finanzas[[#This Row],[fecha]],"DD-MM")&amp;"-"&amp;TEXT(Caja_Finanzas[[#This Row],[item]],"0000")</f>
        <v>CFI.D19-02-0154</v>
      </c>
      <c r="N164" s="8" t="str">
        <f t="shared" si="15"/>
        <v>PEN</v>
      </c>
      <c r="O164" s="13"/>
      <c r="P164" s="13">
        <v>200</v>
      </c>
      <c r="Q164" s="3">
        <f t="shared" si="11"/>
        <v>200</v>
      </c>
      <c r="R164" s="3">
        <f t="shared" si="12"/>
        <v>0</v>
      </c>
      <c r="S164" s="3">
        <f t="shared" si="13"/>
        <v>312.79999999999973</v>
      </c>
      <c r="T164" s="24"/>
      <c r="U164" s="24"/>
      <c r="V164" s="3"/>
      <c r="W164" s="25"/>
      <c r="X164" s="25" t="s">
        <v>2044</v>
      </c>
      <c r="Y164" s="25"/>
      <c r="Z164" s="25"/>
      <c r="AA164" s="25"/>
      <c r="AB164" s="3" t="str">
        <f>IF(Caja_Finanzas[[#This Row],[fecha]]&gt;0,TEXT(Caja_Finanzas[[#This Row],[fecha]],"mmmm"),0)</f>
        <v>Febrero</v>
      </c>
    </row>
    <row r="165" spans="1:28" x14ac:dyDescent="0.3">
      <c r="A165" s="2">
        <f>IF(Caja_Finanzas[[#This Row],[tipo_r]]="R",COUNTIFS($C$1:$C164,"R")+1,A164)</f>
        <v>155</v>
      </c>
      <c r="B165" s="19" t="str">
        <f t="shared" si="14"/>
        <v>C-Finanzas</v>
      </c>
      <c r="C165" s="3" t="s">
        <v>1330</v>
      </c>
      <c r="D165" s="14">
        <v>45707</v>
      </c>
      <c r="E165" s="5" t="s">
        <v>1444</v>
      </c>
      <c r="F165" s="5" t="s">
        <v>1303</v>
      </c>
      <c r="G165" s="5"/>
      <c r="H165" s="6" t="s">
        <v>425</v>
      </c>
      <c r="I165" s="6" t="s">
        <v>119</v>
      </c>
      <c r="J165" s="6">
        <v>1</v>
      </c>
      <c r="K165" s="6">
        <v>4166</v>
      </c>
      <c r="L165" s="7" t="s">
        <v>6118</v>
      </c>
      <c r="M165" s="8" t="str">
        <f>"CFI"&amp;".D"&amp;TEXT(Caja_Finanzas[[#This Row],[fecha]],"DD-MM")&amp;"-"&amp;TEXT(Caja_Finanzas[[#This Row],[item]],"0000")</f>
        <v>CFI.D19-02-0155</v>
      </c>
      <c r="N165" s="8" t="str">
        <f t="shared" si="15"/>
        <v>PEN</v>
      </c>
      <c r="O165" s="13"/>
      <c r="P165" s="13">
        <v>200</v>
      </c>
      <c r="Q165" s="3">
        <f t="shared" si="11"/>
        <v>200</v>
      </c>
      <c r="R165" s="3">
        <f t="shared" si="12"/>
        <v>0</v>
      </c>
      <c r="S165" s="3">
        <f t="shared" si="13"/>
        <v>512.79999999999973</v>
      </c>
      <c r="T165" s="24"/>
      <c r="U165" s="24"/>
      <c r="V165" s="3"/>
      <c r="W165" s="25"/>
      <c r="X165" s="25" t="s">
        <v>6643</v>
      </c>
      <c r="Y165" s="25"/>
      <c r="Z165" s="25"/>
      <c r="AA165" s="25"/>
      <c r="AB165" s="3" t="str">
        <f>IF(Caja_Finanzas[[#This Row],[fecha]]&gt;0,TEXT(Caja_Finanzas[[#This Row],[fecha]],"mmmm"),0)</f>
        <v>Febrero</v>
      </c>
    </row>
    <row r="166" spans="1:28" ht="48" x14ac:dyDescent="0.3">
      <c r="A166" s="2">
        <f>IF(Caja_Finanzas[[#This Row],[tipo_r]]="R",COUNTIFS($C$1:$C165,"R")+1,A165)</f>
        <v>156</v>
      </c>
      <c r="B166" s="19" t="str">
        <f t="shared" si="14"/>
        <v>C-Finanzas</v>
      </c>
      <c r="C166" s="3" t="s">
        <v>1330</v>
      </c>
      <c r="D166" s="14">
        <v>45707</v>
      </c>
      <c r="E166" s="5" t="s">
        <v>6420</v>
      </c>
      <c r="F166" s="5" t="s">
        <v>1336</v>
      </c>
      <c r="G166" s="5"/>
      <c r="H166" s="6"/>
      <c r="I166" s="6"/>
      <c r="J166" s="6"/>
      <c r="K166" s="6"/>
      <c r="L166" s="7" t="s">
        <v>6659</v>
      </c>
      <c r="M166" s="8" t="str">
        <f>"CFI"&amp;".D"&amp;TEXT(Caja_Finanzas[[#This Row],[fecha]],"DD-MM")&amp;"-"&amp;TEXT(Caja_Finanzas[[#This Row],[item]],"0000")</f>
        <v>CFI.D19-02-0156</v>
      </c>
      <c r="N166" s="8" t="str">
        <f t="shared" si="15"/>
        <v>PEN</v>
      </c>
      <c r="O166" s="13"/>
      <c r="P166" s="13">
        <v>90</v>
      </c>
      <c r="Q166" s="3">
        <f t="shared" si="11"/>
        <v>0</v>
      </c>
      <c r="R166" s="3">
        <f t="shared" si="12"/>
        <v>90</v>
      </c>
      <c r="S166" s="3">
        <f t="shared" si="13"/>
        <v>422.79999999999973</v>
      </c>
      <c r="T166" s="24"/>
      <c r="U166" s="24"/>
      <c r="V166" s="3"/>
      <c r="W166" s="25" t="s">
        <v>6632</v>
      </c>
      <c r="X166" s="25" t="s">
        <v>6660</v>
      </c>
      <c r="Y166" s="25"/>
      <c r="Z166" s="25"/>
      <c r="AA166" s="25"/>
      <c r="AB166" s="3" t="str">
        <f>IF(Caja_Finanzas[[#This Row],[fecha]]&gt;0,TEXT(Caja_Finanzas[[#This Row],[fecha]],"mmmm"),0)</f>
        <v>Febrero</v>
      </c>
    </row>
    <row r="167" spans="1:28" ht="36" x14ac:dyDescent="0.3">
      <c r="A167" s="2">
        <f>IF(Caja_Finanzas[[#This Row],[tipo_r]]="R",COUNTIFS($C$1:$C166,"R")+1,A166)</f>
        <v>157</v>
      </c>
      <c r="B167" s="19" t="str">
        <f t="shared" si="14"/>
        <v>C-Finanzas</v>
      </c>
      <c r="C167" s="3" t="s">
        <v>1330</v>
      </c>
      <c r="D167" s="14">
        <v>45707</v>
      </c>
      <c r="E167" s="5" t="s">
        <v>6420</v>
      </c>
      <c r="F167" s="5" t="s">
        <v>1336</v>
      </c>
      <c r="G167" s="5"/>
      <c r="H167" s="6"/>
      <c r="I167" s="6"/>
      <c r="J167" s="6"/>
      <c r="K167" s="6"/>
      <c r="L167" s="7" t="s">
        <v>6661</v>
      </c>
      <c r="M167" s="8" t="str">
        <f>"CFI"&amp;".D"&amp;TEXT(Caja_Finanzas[[#This Row],[fecha]],"DD-MM")&amp;"-"&amp;TEXT(Caja_Finanzas[[#This Row],[item]],"0000")</f>
        <v>CFI.D19-02-0157</v>
      </c>
      <c r="N167" s="8" t="str">
        <f t="shared" si="15"/>
        <v>PEN</v>
      </c>
      <c r="O167" s="13"/>
      <c r="P167" s="13">
        <v>180</v>
      </c>
      <c r="Q167" s="3">
        <f t="shared" si="11"/>
        <v>0</v>
      </c>
      <c r="R167" s="3">
        <f t="shared" si="12"/>
        <v>180</v>
      </c>
      <c r="S167" s="3">
        <f t="shared" si="13"/>
        <v>242.79999999999973</v>
      </c>
      <c r="T167" s="24"/>
      <c r="U167" s="24"/>
      <c r="V167" s="3"/>
      <c r="W167" s="25" t="s">
        <v>640</v>
      </c>
      <c r="X167" s="25" t="s">
        <v>6662</v>
      </c>
      <c r="Y167" s="25"/>
      <c r="Z167" s="25"/>
      <c r="AA167" s="25"/>
      <c r="AB167" s="3" t="str">
        <f>IF(Caja_Finanzas[[#This Row],[fecha]]&gt;0,TEXT(Caja_Finanzas[[#This Row],[fecha]],"mmmm"),0)</f>
        <v>Febrero</v>
      </c>
    </row>
    <row r="168" spans="1:28" ht="36" x14ac:dyDescent="0.3">
      <c r="A168" s="2">
        <f>IF(Caja_Finanzas[[#This Row],[tipo_r]]="R",COUNTIFS($C$1:$C167,"R")+1,A167)</f>
        <v>158</v>
      </c>
      <c r="B168" s="19" t="str">
        <f t="shared" si="14"/>
        <v>C-Finanzas</v>
      </c>
      <c r="C168" s="3" t="s">
        <v>1330</v>
      </c>
      <c r="D168" s="14">
        <v>45707</v>
      </c>
      <c r="E168" s="5" t="s">
        <v>6420</v>
      </c>
      <c r="F168" s="5" t="s">
        <v>1336</v>
      </c>
      <c r="G168" s="5"/>
      <c r="H168" s="6"/>
      <c r="I168" s="6"/>
      <c r="J168" s="6"/>
      <c r="K168" s="6"/>
      <c r="L168" s="7" t="s">
        <v>6663</v>
      </c>
      <c r="M168" s="8" t="str">
        <f>"CFI"&amp;".D"&amp;TEXT(Caja_Finanzas[[#This Row],[fecha]],"DD-MM")&amp;"-"&amp;TEXT(Caja_Finanzas[[#This Row],[item]],"0000")</f>
        <v>CFI.D19-02-0158</v>
      </c>
      <c r="N168" s="8" t="str">
        <f t="shared" si="15"/>
        <v>PEN</v>
      </c>
      <c r="O168" s="13"/>
      <c r="P168" s="13">
        <v>450</v>
      </c>
      <c r="Q168" s="3">
        <f t="shared" si="11"/>
        <v>0</v>
      </c>
      <c r="R168" s="3">
        <f t="shared" si="12"/>
        <v>450</v>
      </c>
      <c r="S168" s="3">
        <f t="shared" si="13"/>
        <v>-207.20000000000027</v>
      </c>
      <c r="T168" s="24"/>
      <c r="U168" s="24"/>
      <c r="V168" s="3"/>
      <c r="W168" s="25" t="s">
        <v>6664</v>
      </c>
      <c r="X168" s="25" t="s">
        <v>6665</v>
      </c>
      <c r="Y168" s="25"/>
      <c r="Z168" s="25"/>
      <c r="AA168" s="25"/>
      <c r="AB168" s="3" t="str">
        <f>IF(Caja_Finanzas[[#This Row],[fecha]]&gt;0,TEXT(Caja_Finanzas[[#This Row],[fecha]],"mmmm"),0)</f>
        <v>Febrero</v>
      </c>
    </row>
    <row r="169" spans="1:28" ht="48" x14ac:dyDescent="0.3">
      <c r="A169" s="2">
        <f>IF(Caja_Finanzas[[#This Row],[tipo_r]]="R",COUNTIFS($C$1:$C168,"R")+1,A168)</f>
        <v>159</v>
      </c>
      <c r="B169" s="19" t="str">
        <f t="shared" si="14"/>
        <v>C-Finanzas</v>
      </c>
      <c r="C169" s="3" t="s">
        <v>1330</v>
      </c>
      <c r="D169" s="14">
        <v>45707</v>
      </c>
      <c r="E169" s="5" t="s">
        <v>6420</v>
      </c>
      <c r="F169" s="5" t="s">
        <v>1336</v>
      </c>
      <c r="G169" s="5"/>
      <c r="H169" s="6"/>
      <c r="I169" s="6"/>
      <c r="J169" s="6"/>
      <c r="K169" s="6"/>
      <c r="L169" s="7" t="s">
        <v>6666</v>
      </c>
      <c r="M169" s="8" t="str">
        <f>"CFI"&amp;".D"&amp;TEXT(Caja_Finanzas[[#This Row],[fecha]],"DD-MM")&amp;"-"&amp;TEXT(Caja_Finanzas[[#This Row],[item]],"0000")</f>
        <v>CFI.D19-02-0159</v>
      </c>
      <c r="N169" s="8" t="str">
        <f t="shared" si="15"/>
        <v>PEN</v>
      </c>
      <c r="O169" s="13"/>
      <c r="P169" s="13">
        <v>600</v>
      </c>
      <c r="Q169" s="3">
        <f t="shared" si="11"/>
        <v>0</v>
      </c>
      <c r="R169" s="3">
        <f t="shared" si="12"/>
        <v>600</v>
      </c>
      <c r="S169" s="3">
        <f t="shared" si="13"/>
        <v>-807.20000000000027</v>
      </c>
      <c r="T169" s="24"/>
      <c r="U169" s="24"/>
      <c r="V169" s="3"/>
      <c r="W169" s="25" t="s">
        <v>6667</v>
      </c>
      <c r="X169" s="25" t="s">
        <v>6668</v>
      </c>
      <c r="Y169" s="25"/>
      <c r="Z169" s="25"/>
      <c r="AA169" s="25"/>
      <c r="AB169" s="3" t="str">
        <f>IF(Caja_Finanzas[[#This Row],[fecha]]&gt;0,TEXT(Caja_Finanzas[[#This Row],[fecha]],"mmmm"),0)</f>
        <v>Febrero</v>
      </c>
    </row>
    <row r="170" spans="1:28" ht="24" x14ac:dyDescent="0.3">
      <c r="A170" s="2">
        <f>IF(Caja_Finanzas[[#This Row],[tipo_r]]="R",COUNTIFS($C$1:$C169,"R")+1,A169)</f>
        <v>160</v>
      </c>
      <c r="B170" s="19" t="str">
        <f t="shared" si="14"/>
        <v>C-Finanzas</v>
      </c>
      <c r="C170" s="3" t="s">
        <v>1330</v>
      </c>
      <c r="D170" s="14">
        <v>45707</v>
      </c>
      <c r="E170" s="5" t="s">
        <v>6460</v>
      </c>
      <c r="F170" s="5" t="s">
        <v>1336</v>
      </c>
      <c r="G170" s="5"/>
      <c r="H170" s="6"/>
      <c r="I170" s="6"/>
      <c r="J170" s="6"/>
      <c r="K170" s="6"/>
      <c r="L170" s="7" t="s">
        <v>6669</v>
      </c>
      <c r="M170" s="8" t="str">
        <f>"CFI"&amp;".D"&amp;TEXT(Caja_Finanzas[[#This Row],[fecha]],"DD-MM")&amp;"-"&amp;TEXT(Caja_Finanzas[[#This Row],[item]],"0000")</f>
        <v>CFI.D19-02-0160</v>
      </c>
      <c r="N170" s="8" t="str">
        <f t="shared" si="15"/>
        <v>PEN</v>
      </c>
      <c r="O170" s="13"/>
      <c r="P170" s="13">
        <v>3.9</v>
      </c>
      <c r="Q170" s="3">
        <f t="shared" si="11"/>
        <v>0</v>
      </c>
      <c r="R170" s="3">
        <f t="shared" si="12"/>
        <v>3.9</v>
      </c>
      <c r="S170" s="3">
        <f t="shared" si="13"/>
        <v>-811.10000000000025</v>
      </c>
      <c r="T170" s="24"/>
      <c r="U170" s="24"/>
      <c r="V170" s="3"/>
      <c r="W170" s="25" t="s">
        <v>6670</v>
      </c>
      <c r="X170" s="25" t="s">
        <v>6671</v>
      </c>
      <c r="Y170" s="25"/>
      <c r="Z170" s="25"/>
      <c r="AA170" s="25"/>
      <c r="AB170" s="3" t="str">
        <f>IF(Caja_Finanzas[[#This Row],[fecha]]&gt;0,TEXT(Caja_Finanzas[[#This Row],[fecha]],"mmmm"),0)</f>
        <v>Febrero</v>
      </c>
    </row>
    <row r="171" spans="1:28" ht="24" x14ac:dyDescent="0.3">
      <c r="A171" s="2">
        <f>IF(Caja_Finanzas[[#This Row],[tipo_r]]="R",COUNTIFS($C$1:$C170,"R")+1,A170)</f>
        <v>161</v>
      </c>
      <c r="B171" s="19" t="str">
        <f t="shared" si="14"/>
        <v>C-Finanzas</v>
      </c>
      <c r="C171" s="3" t="s">
        <v>1330</v>
      </c>
      <c r="D171" s="14">
        <v>45707</v>
      </c>
      <c r="E171" s="5" t="s">
        <v>6460</v>
      </c>
      <c r="F171" s="5" t="s">
        <v>1336</v>
      </c>
      <c r="G171" s="5"/>
      <c r="H171" s="6"/>
      <c r="I171" s="6"/>
      <c r="J171" s="6"/>
      <c r="K171" s="6"/>
      <c r="L171" s="7" t="s">
        <v>6672</v>
      </c>
      <c r="M171" s="8" t="str">
        <f>"CFI"&amp;".D"&amp;TEXT(Caja_Finanzas[[#This Row],[fecha]],"DD-MM")&amp;"-"&amp;TEXT(Caja_Finanzas[[#This Row],[item]],"0000")</f>
        <v>CFI.D19-02-0161</v>
      </c>
      <c r="N171" s="8" t="str">
        <f t="shared" si="15"/>
        <v>PEN</v>
      </c>
      <c r="O171" s="13"/>
      <c r="P171" s="13">
        <v>8.4</v>
      </c>
      <c r="Q171" s="3">
        <f t="shared" si="11"/>
        <v>0</v>
      </c>
      <c r="R171" s="3">
        <f t="shared" si="12"/>
        <v>8.4</v>
      </c>
      <c r="S171" s="3">
        <f t="shared" si="13"/>
        <v>-819.50000000000023</v>
      </c>
      <c r="T171" s="24"/>
      <c r="U171" s="24"/>
      <c r="V171" s="3"/>
      <c r="W171" s="25" t="s">
        <v>809</v>
      </c>
      <c r="X171" s="25" t="s">
        <v>6673</v>
      </c>
      <c r="Y171" s="25"/>
      <c r="Z171" s="25"/>
      <c r="AA171" s="25"/>
      <c r="AB171" s="3" t="str">
        <f>IF(Caja_Finanzas[[#This Row],[fecha]]&gt;0,TEXT(Caja_Finanzas[[#This Row],[fecha]],"mmmm"),0)</f>
        <v>Febrero</v>
      </c>
    </row>
    <row r="172" spans="1:28" ht="24" x14ac:dyDescent="0.3">
      <c r="A172" s="2">
        <f>IF(Caja_Finanzas[[#This Row],[tipo_r]]="R",COUNTIFS($C$1:$C171,"R")+1,A171)</f>
        <v>162</v>
      </c>
      <c r="B172" s="19" t="str">
        <f t="shared" si="14"/>
        <v>C-Finanzas</v>
      </c>
      <c r="C172" s="3" t="s">
        <v>1330</v>
      </c>
      <c r="D172" s="14">
        <v>45707</v>
      </c>
      <c r="E172" s="5" t="s">
        <v>6460</v>
      </c>
      <c r="F172" s="5" t="s">
        <v>1336</v>
      </c>
      <c r="G172" s="5"/>
      <c r="H172" s="6"/>
      <c r="I172" s="6"/>
      <c r="J172" s="6"/>
      <c r="K172" s="6"/>
      <c r="L172" s="7" t="s">
        <v>6674</v>
      </c>
      <c r="M172" s="8" t="str">
        <f>"CFI"&amp;".D"&amp;TEXT(Caja_Finanzas[[#This Row],[fecha]],"DD-MM")&amp;"-"&amp;TEXT(Caja_Finanzas[[#This Row],[item]],"0000")</f>
        <v>CFI.D19-02-0162</v>
      </c>
      <c r="N172" s="8" t="str">
        <f t="shared" si="15"/>
        <v>PEN</v>
      </c>
      <c r="O172" s="13"/>
      <c r="P172" s="13">
        <v>7.6</v>
      </c>
      <c r="Q172" s="3">
        <f t="shared" si="11"/>
        <v>0</v>
      </c>
      <c r="R172" s="3">
        <f t="shared" si="12"/>
        <v>7.6</v>
      </c>
      <c r="S172" s="3">
        <f t="shared" si="13"/>
        <v>-827.10000000000025</v>
      </c>
      <c r="T172" s="24"/>
      <c r="U172" s="24"/>
      <c r="V172" s="3"/>
      <c r="W172" s="25" t="s">
        <v>809</v>
      </c>
      <c r="X172" s="25" t="s">
        <v>6675</v>
      </c>
      <c r="Y172" s="25"/>
      <c r="Z172" s="25"/>
      <c r="AA172" s="25"/>
      <c r="AB172" s="3" t="str">
        <f>IF(Caja_Finanzas[[#This Row],[fecha]]&gt;0,TEXT(Caja_Finanzas[[#This Row],[fecha]],"mmmm"),0)</f>
        <v>Febrero</v>
      </c>
    </row>
    <row r="173" spans="1:28" ht="24" x14ac:dyDescent="0.3">
      <c r="A173" s="2">
        <f>IF(Caja_Finanzas[[#This Row],[tipo_r]]="R",COUNTIFS($C$1:$C172,"R")+1,A172)</f>
        <v>163</v>
      </c>
      <c r="B173" s="19" t="str">
        <f t="shared" si="14"/>
        <v>C-Finanzas</v>
      </c>
      <c r="C173" s="3" t="s">
        <v>1330</v>
      </c>
      <c r="D173" s="14">
        <v>45708</v>
      </c>
      <c r="E173" s="5" t="s">
        <v>3707</v>
      </c>
      <c r="F173" s="5" t="s">
        <v>1303</v>
      </c>
      <c r="G173" s="5"/>
      <c r="H173" s="6" t="s">
        <v>425</v>
      </c>
      <c r="I173" s="6" t="s">
        <v>119</v>
      </c>
      <c r="J173" s="6">
        <v>1</v>
      </c>
      <c r="K173" s="6">
        <v>4168</v>
      </c>
      <c r="L173" s="7" t="s">
        <v>6118</v>
      </c>
      <c r="M173" s="8" t="str">
        <f>"CFI"&amp;".D"&amp;TEXT(Caja_Finanzas[[#This Row],[fecha]],"DD-MM")&amp;"-"&amp;TEXT(Caja_Finanzas[[#This Row],[item]],"0000")</f>
        <v>CFI.D20-02-0163</v>
      </c>
      <c r="N173" s="8" t="str">
        <f t="shared" si="15"/>
        <v>PEN</v>
      </c>
      <c r="O173" s="13"/>
      <c r="P173" s="13">
        <v>126</v>
      </c>
      <c r="Q173" s="3">
        <f t="shared" si="11"/>
        <v>126</v>
      </c>
      <c r="R173" s="3">
        <f t="shared" si="12"/>
        <v>0</v>
      </c>
      <c r="S173" s="3">
        <f t="shared" si="13"/>
        <v>-701.10000000000025</v>
      </c>
      <c r="T173" s="24"/>
      <c r="U173" s="24"/>
      <c r="V173" s="3"/>
      <c r="W173" s="25"/>
      <c r="X173" s="25" t="s">
        <v>6676</v>
      </c>
      <c r="Y173" s="25"/>
      <c r="Z173" s="25"/>
      <c r="AA173" s="25"/>
      <c r="AB173" s="3" t="str">
        <f>IF(Caja_Finanzas[[#This Row],[fecha]]&gt;0,TEXT(Caja_Finanzas[[#This Row],[fecha]],"mmmm"),0)</f>
        <v>Febrero</v>
      </c>
    </row>
    <row r="174" spans="1:28" x14ac:dyDescent="0.3">
      <c r="A174" s="2">
        <f>IF(Caja_Finanzas[[#This Row],[tipo_r]]="R",COUNTIFS($C$1:$C173,"R")+1,A173)</f>
        <v>164</v>
      </c>
      <c r="B174" s="19" t="str">
        <f t="shared" si="14"/>
        <v>C-Finanzas</v>
      </c>
      <c r="C174" s="3" t="s">
        <v>1330</v>
      </c>
      <c r="D174" s="14">
        <v>45708</v>
      </c>
      <c r="E174" s="5" t="s">
        <v>1444</v>
      </c>
      <c r="F174" s="5" t="s">
        <v>1303</v>
      </c>
      <c r="G174" s="5"/>
      <c r="H174" s="6" t="s">
        <v>425</v>
      </c>
      <c r="I174" s="6" t="s">
        <v>119</v>
      </c>
      <c r="J174" s="6">
        <v>1</v>
      </c>
      <c r="K174" s="6">
        <v>4166</v>
      </c>
      <c r="L174" s="7" t="s">
        <v>6118</v>
      </c>
      <c r="M174" s="8" t="str">
        <f>"CFI"&amp;".D"&amp;TEXT(Caja_Finanzas[[#This Row],[fecha]],"DD-MM")&amp;"-"&amp;TEXT(Caja_Finanzas[[#This Row],[item]],"0000")</f>
        <v>CFI.D20-02-0164</v>
      </c>
      <c r="N174" s="8" t="str">
        <f t="shared" si="15"/>
        <v>PEN</v>
      </c>
      <c r="O174" s="13"/>
      <c r="P174" s="13">
        <v>174</v>
      </c>
      <c r="Q174" s="3">
        <f t="shared" si="11"/>
        <v>174</v>
      </c>
      <c r="R174" s="3">
        <f t="shared" si="12"/>
        <v>0</v>
      </c>
      <c r="S174" s="3">
        <f t="shared" si="13"/>
        <v>-527.10000000000025</v>
      </c>
      <c r="T174" s="24"/>
      <c r="U174" s="24"/>
      <c r="V174" s="3"/>
      <c r="W174" s="25"/>
      <c r="X174" s="25" t="s">
        <v>6643</v>
      </c>
      <c r="Y174" s="25"/>
      <c r="Z174" s="25"/>
      <c r="AA174" s="25"/>
      <c r="AB174" s="3" t="str">
        <f>IF(Caja_Finanzas[[#This Row],[fecha]]&gt;0,TEXT(Caja_Finanzas[[#This Row],[fecha]],"mmmm"),0)</f>
        <v>Febrero</v>
      </c>
    </row>
    <row r="175" spans="1:28" ht="24" x14ac:dyDescent="0.3">
      <c r="A175" s="2">
        <f>IF(Caja_Finanzas[[#This Row],[tipo_r]]="R",COUNTIFS($C$1:$C174,"R")+1,A174)</f>
        <v>165</v>
      </c>
      <c r="B175" s="19" t="str">
        <f t="shared" si="14"/>
        <v>C-Finanzas</v>
      </c>
      <c r="C175" s="3" t="s">
        <v>1330</v>
      </c>
      <c r="D175" s="14">
        <v>45708</v>
      </c>
      <c r="E175" s="5" t="s">
        <v>6460</v>
      </c>
      <c r="F175" s="5" t="s">
        <v>1336</v>
      </c>
      <c r="G175" s="5"/>
      <c r="H175" s="6"/>
      <c r="I175" s="6"/>
      <c r="J175" s="6"/>
      <c r="K175" s="6"/>
      <c r="L175" s="7" t="s">
        <v>6677</v>
      </c>
      <c r="M175" s="8" t="str">
        <f>"CFI"&amp;".D"&amp;TEXT(Caja_Finanzas[[#This Row],[fecha]],"DD-MM")&amp;"-"&amp;TEXT(Caja_Finanzas[[#This Row],[item]],"0000")</f>
        <v>CFI.D20-02-0165</v>
      </c>
      <c r="N175" s="8" t="str">
        <f t="shared" si="15"/>
        <v>PEN</v>
      </c>
      <c r="O175" s="13"/>
      <c r="P175" s="13">
        <v>627</v>
      </c>
      <c r="Q175" s="3">
        <f t="shared" si="11"/>
        <v>0</v>
      </c>
      <c r="R175" s="3">
        <f t="shared" si="12"/>
        <v>627</v>
      </c>
      <c r="S175" s="3">
        <f t="shared" si="13"/>
        <v>-1154.1000000000004</v>
      </c>
      <c r="T175" s="24"/>
      <c r="U175" s="24"/>
      <c r="V175" s="3"/>
      <c r="W175" s="25"/>
      <c r="X175" s="25" t="s">
        <v>6678</v>
      </c>
      <c r="Y175" s="25"/>
      <c r="Z175" s="25"/>
      <c r="AA175" s="25"/>
      <c r="AB175" s="3" t="str">
        <f>IF(Caja_Finanzas[[#This Row],[fecha]]&gt;0,TEXT(Caja_Finanzas[[#This Row],[fecha]],"mmmm"),0)</f>
        <v>Febrero</v>
      </c>
    </row>
    <row r="176" spans="1:28" ht="24" x14ac:dyDescent="0.3">
      <c r="A176" s="2">
        <f>IF(Caja_Finanzas[[#This Row],[tipo_r]]="R",COUNTIFS($C$1:$C175,"R")+1,A175)</f>
        <v>166</v>
      </c>
      <c r="B176" s="19" t="str">
        <f t="shared" si="14"/>
        <v>C-Finanzas</v>
      </c>
      <c r="C176" s="3" t="s">
        <v>1330</v>
      </c>
      <c r="D176" s="14">
        <v>45708</v>
      </c>
      <c r="E176" s="5" t="s">
        <v>1669</v>
      </c>
      <c r="F176" s="5" t="s">
        <v>1303</v>
      </c>
      <c r="G176" s="5"/>
      <c r="H176" s="6" t="s">
        <v>425</v>
      </c>
      <c r="I176" s="6" t="s">
        <v>119</v>
      </c>
      <c r="J176" s="6">
        <v>1</v>
      </c>
      <c r="K176" s="6">
        <v>4146</v>
      </c>
      <c r="L176" s="7" t="s">
        <v>6118</v>
      </c>
      <c r="M176" s="8" t="str">
        <f>"CFI"&amp;".D"&amp;TEXT(Caja_Finanzas[[#This Row],[fecha]],"DD-MM")&amp;"-"&amp;TEXT(Caja_Finanzas[[#This Row],[item]],"0000")</f>
        <v>CFI.D20-02-0166</v>
      </c>
      <c r="N176" s="8" t="str">
        <f t="shared" si="15"/>
        <v>PEN</v>
      </c>
      <c r="O176" s="13"/>
      <c r="P176" s="13">
        <v>460</v>
      </c>
      <c r="Q176" s="3">
        <f t="shared" si="11"/>
        <v>460</v>
      </c>
      <c r="R176" s="3">
        <f t="shared" si="12"/>
        <v>0</v>
      </c>
      <c r="S176" s="3">
        <f t="shared" si="13"/>
        <v>-694.10000000000036</v>
      </c>
      <c r="T176" s="24"/>
      <c r="U176" s="24"/>
      <c r="V176" s="3"/>
      <c r="W176" s="25"/>
      <c r="X176" s="25" t="s">
        <v>1846</v>
      </c>
      <c r="Y176" s="25"/>
      <c r="Z176" s="25"/>
      <c r="AA176" s="25"/>
      <c r="AB176" s="3" t="str">
        <f>IF(Caja_Finanzas[[#This Row],[fecha]]&gt;0,TEXT(Caja_Finanzas[[#This Row],[fecha]],"mmmm"),0)</f>
        <v>Febrero</v>
      </c>
    </row>
    <row r="177" spans="1:28" x14ac:dyDescent="0.3">
      <c r="A177" s="2">
        <f>IF(Caja_Finanzas[[#This Row],[tipo_r]]="R",COUNTIFS($C$1:$C176,"R")+1,A176)</f>
        <v>167</v>
      </c>
      <c r="B177" s="19" t="str">
        <f t="shared" si="14"/>
        <v>C-Finanzas</v>
      </c>
      <c r="C177" s="3" t="s">
        <v>1330</v>
      </c>
      <c r="D177" s="14">
        <v>45708</v>
      </c>
      <c r="E177" s="5" t="s">
        <v>6679</v>
      </c>
      <c r="F177" s="5" t="s">
        <v>1303</v>
      </c>
      <c r="G177" s="5"/>
      <c r="H177" s="6" t="s">
        <v>425</v>
      </c>
      <c r="I177" s="6" t="s">
        <v>119</v>
      </c>
      <c r="J177" s="6">
        <v>1</v>
      </c>
      <c r="K177" s="6">
        <v>4176</v>
      </c>
      <c r="L177" s="7" t="s">
        <v>6118</v>
      </c>
      <c r="M177" s="8" t="str">
        <f>"CFI"&amp;".D"&amp;TEXT(Caja_Finanzas[[#This Row],[fecha]],"DD-MM")&amp;"-"&amp;TEXT(Caja_Finanzas[[#This Row],[item]],"0000")</f>
        <v>CFI.D20-02-0167</v>
      </c>
      <c r="N177" s="8" t="str">
        <f t="shared" si="15"/>
        <v>PEN</v>
      </c>
      <c r="O177" s="13"/>
      <c r="P177" s="13">
        <v>480</v>
      </c>
      <c r="Q177" s="3">
        <f t="shared" si="11"/>
        <v>480</v>
      </c>
      <c r="R177" s="3">
        <f t="shared" si="12"/>
        <v>0</v>
      </c>
      <c r="S177" s="3">
        <f t="shared" si="13"/>
        <v>-214.10000000000036</v>
      </c>
      <c r="T177" s="24"/>
      <c r="U177" s="24"/>
      <c r="V177" s="3"/>
      <c r="W177" s="25"/>
      <c r="X177" s="25" t="s">
        <v>6680</v>
      </c>
      <c r="Y177" s="25"/>
      <c r="Z177" s="25"/>
      <c r="AA177" s="25"/>
      <c r="AB177" s="3" t="str">
        <f>IF(Caja_Finanzas[[#This Row],[fecha]]&gt;0,TEXT(Caja_Finanzas[[#This Row],[fecha]],"mmmm"),0)</f>
        <v>Febrero</v>
      </c>
    </row>
    <row r="178" spans="1:28" ht="24" x14ac:dyDescent="0.3">
      <c r="A178" s="2">
        <f>IF(Caja_Finanzas[[#This Row],[tipo_r]]="R",COUNTIFS($C$1:$C177,"R")+1,A177)</f>
        <v>168</v>
      </c>
      <c r="B178" s="19" t="str">
        <f t="shared" si="14"/>
        <v>C-Finanzas</v>
      </c>
      <c r="C178" s="3" t="s">
        <v>1330</v>
      </c>
      <c r="D178" s="14">
        <v>45709</v>
      </c>
      <c r="E178" s="5" t="s">
        <v>1875</v>
      </c>
      <c r="F178" s="5" t="s">
        <v>1303</v>
      </c>
      <c r="G178" s="5"/>
      <c r="H178" s="6" t="s">
        <v>425</v>
      </c>
      <c r="I178" s="6" t="s">
        <v>119</v>
      </c>
      <c r="J178" s="6">
        <v>1</v>
      </c>
      <c r="K178" s="6">
        <v>4183</v>
      </c>
      <c r="L178" s="7" t="s">
        <v>6118</v>
      </c>
      <c r="M178" s="8" t="str">
        <f>"CFI"&amp;".D"&amp;TEXT(Caja_Finanzas[[#This Row],[fecha]],"DD-MM")&amp;"-"&amp;TEXT(Caja_Finanzas[[#This Row],[item]],"0000")</f>
        <v>CFI.D21-02-0168</v>
      </c>
      <c r="N178" s="8" t="str">
        <f t="shared" si="15"/>
        <v>PEN</v>
      </c>
      <c r="O178" s="13"/>
      <c r="P178" s="13">
        <v>11975</v>
      </c>
      <c r="Q178" s="3">
        <f t="shared" si="11"/>
        <v>11975</v>
      </c>
      <c r="R178" s="3">
        <f t="shared" si="12"/>
        <v>0</v>
      </c>
      <c r="S178" s="3">
        <f t="shared" si="13"/>
        <v>11760.9</v>
      </c>
      <c r="T178" s="24"/>
      <c r="U178" s="24"/>
      <c r="V178" s="3"/>
      <c r="W178" s="25"/>
      <c r="X178" s="25" t="s">
        <v>6681</v>
      </c>
      <c r="Y178" s="25"/>
      <c r="Z178" s="25"/>
      <c r="AA178" s="25"/>
      <c r="AB178" s="3" t="str">
        <f>IF(Caja_Finanzas[[#This Row],[fecha]]&gt;0,TEXT(Caja_Finanzas[[#This Row],[fecha]],"mmmm"),0)</f>
        <v>Febrero</v>
      </c>
    </row>
    <row r="179" spans="1:28" ht="24" x14ac:dyDescent="0.3">
      <c r="A179" s="2">
        <f>IF(Caja_Finanzas[[#This Row],[tipo_r]]="R",COUNTIFS($C$1:$C178,"R")+1,A178)</f>
        <v>169</v>
      </c>
      <c r="B179" s="19" t="str">
        <f t="shared" si="14"/>
        <v>C-Finanzas</v>
      </c>
      <c r="C179" s="3" t="s">
        <v>1330</v>
      </c>
      <c r="D179" s="14">
        <v>45709</v>
      </c>
      <c r="E179" s="5" t="s">
        <v>6460</v>
      </c>
      <c r="F179" s="5" t="s">
        <v>1336</v>
      </c>
      <c r="G179" s="5"/>
      <c r="H179" s="6"/>
      <c r="I179" s="6"/>
      <c r="J179" s="6"/>
      <c r="K179" s="6"/>
      <c r="L179" s="7" t="s">
        <v>6682</v>
      </c>
      <c r="M179" s="8" t="str">
        <f>"CFI"&amp;".D"&amp;TEXT(Caja_Finanzas[[#This Row],[fecha]],"DD-MM")&amp;"-"&amp;TEXT(Caja_Finanzas[[#This Row],[item]],"0000")</f>
        <v>CFI.D21-02-0169</v>
      </c>
      <c r="N179" s="8" t="str">
        <f t="shared" si="15"/>
        <v>PEN</v>
      </c>
      <c r="O179" s="13"/>
      <c r="P179" s="13">
        <v>5</v>
      </c>
      <c r="Q179" s="3">
        <f t="shared" si="11"/>
        <v>0</v>
      </c>
      <c r="R179" s="3">
        <f t="shared" si="12"/>
        <v>5</v>
      </c>
      <c r="S179" s="3">
        <f t="shared" si="13"/>
        <v>11755.9</v>
      </c>
      <c r="T179" s="24"/>
      <c r="U179" s="24"/>
      <c r="V179" s="3"/>
      <c r="W179" s="25" t="s">
        <v>779</v>
      </c>
      <c r="X179" s="25"/>
      <c r="Y179" s="25"/>
      <c r="Z179" s="25"/>
      <c r="AA179" s="25"/>
      <c r="AB179" s="3" t="str">
        <f>IF(Caja_Finanzas[[#This Row],[fecha]]&gt;0,TEXT(Caja_Finanzas[[#This Row],[fecha]],"mmmm"),0)</f>
        <v>Febrero</v>
      </c>
    </row>
    <row r="180" spans="1:28" ht="24" x14ac:dyDescent="0.3">
      <c r="A180" s="2">
        <f>IF(Caja_Finanzas[[#This Row],[tipo_r]]="R",COUNTIFS($C$1:$C179,"R")+1,A179)</f>
        <v>170</v>
      </c>
      <c r="B180" s="19" t="str">
        <f t="shared" si="14"/>
        <v>C-Finanzas</v>
      </c>
      <c r="C180" s="3" t="s">
        <v>1330</v>
      </c>
      <c r="D180" s="14">
        <v>45709</v>
      </c>
      <c r="E180" s="5" t="s">
        <v>6683</v>
      </c>
      <c r="F180" s="5" t="s">
        <v>1303</v>
      </c>
      <c r="G180" s="5"/>
      <c r="H180" s="6" t="s">
        <v>425</v>
      </c>
      <c r="I180" s="6" t="s">
        <v>119</v>
      </c>
      <c r="J180" s="6">
        <v>1</v>
      </c>
      <c r="K180" s="6">
        <v>4184</v>
      </c>
      <c r="L180" s="7" t="s">
        <v>6118</v>
      </c>
      <c r="M180" s="8" t="str">
        <f>"CFI"&amp;".D"&amp;TEXT(Caja_Finanzas[[#This Row],[fecha]],"DD-MM")&amp;"-"&amp;TEXT(Caja_Finanzas[[#This Row],[item]],"0000")</f>
        <v>CFI.D21-02-0170</v>
      </c>
      <c r="N180" s="8" t="str">
        <f t="shared" si="15"/>
        <v>PEN</v>
      </c>
      <c r="O180" s="13"/>
      <c r="P180" s="13">
        <v>75</v>
      </c>
      <c r="Q180" s="3">
        <f t="shared" si="11"/>
        <v>75</v>
      </c>
      <c r="R180" s="3">
        <f t="shared" si="12"/>
        <v>0</v>
      </c>
      <c r="S180" s="3">
        <f t="shared" si="13"/>
        <v>11830.9</v>
      </c>
      <c r="T180" s="24"/>
      <c r="U180" s="24"/>
      <c r="V180" s="3"/>
      <c r="W180" s="25"/>
      <c r="X180" s="25" t="s">
        <v>6684</v>
      </c>
      <c r="Y180" s="25"/>
      <c r="Z180" s="25"/>
      <c r="AA180" s="25"/>
      <c r="AB180" s="3" t="str">
        <f>IF(Caja_Finanzas[[#This Row],[fecha]]&gt;0,TEXT(Caja_Finanzas[[#This Row],[fecha]],"mmmm"),0)</f>
        <v>Febrero</v>
      </c>
    </row>
    <row r="181" spans="1:28" ht="24" x14ac:dyDescent="0.3">
      <c r="A181" s="2">
        <f>IF(Caja_Finanzas[[#This Row],[tipo_r]]="R",COUNTIFS($C$1:$C180,"R")+1,A180)</f>
        <v>171</v>
      </c>
      <c r="B181" s="19" t="str">
        <f t="shared" si="14"/>
        <v>C-Finanzas</v>
      </c>
      <c r="C181" s="3" t="s">
        <v>1330</v>
      </c>
      <c r="D181" s="14">
        <v>45709</v>
      </c>
      <c r="E181" s="5" t="s">
        <v>6460</v>
      </c>
      <c r="F181" s="5" t="s">
        <v>1336</v>
      </c>
      <c r="G181" s="5"/>
      <c r="H181" s="6"/>
      <c r="I181" s="6"/>
      <c r="J181" s="6"/>
      <c r="K181" s="6"/>
      <c r="L181" s="7" t="s">
        <v>6685</v>
      </c>
      <c r="M181" s="8" t="str">
        <f>"CFI"&amp;".D"&amp;TEXT(Caja_Finanzas[[#This Row],[fecha]],"DD-MM")&amp;"-"&amp;TEXT(Caja_Finanzas[[#This Row],[item]],"0000")</f>
        <v>CFI.D21-02-0171</v>
      </c>
      <c r="N181" s="8" t="str">
        <f t="shared" si="15"/>
        <v>PEN</v>
      </c>
      <c r="O181" s="13"/>
      <c r="P181" s="13">
        <v>5</v>
      </c>
      <c r="Q181" s="3">
        <f t="shared" si="11"/>
        <v>0</v>
      </c>
      <c r="R181" s="3">
        <f t="shared" si="12"/>
        <v>5</v>
      </c>
      <c r="S181" s="3">
        <f t="shared" si="13"/>
        <v>11825.9</v>
      </c>
      <c r="T181" s="24"/>
      <c r="U181" s="24"/>
      <c r="V181" s="3"/>
      <c r="W181" s="25" t="s">
        <v>779</v>
      </c>
      <c r="X181" s="25"/>
      <c r="Y181" s="25"/>
      <c r="Z181" s="25"/>
      <c r="AA181" s="25"/>
      <c r="AB181" s="3" t="str">
        <f>IF(Caja_Finanzas[[#This Row],[fecha]]&gt;0,TEXT(Caja_Finanzas[[#This Row],[fecha]],"mmmm"),0)</f>
        <v>Febrero</v>
      </c>
    </row>
    <row r="182" spans="1:28" ht="24" x14ac:dyDescent="0.3">
      <c r="A182" s="2">
        <f>IF(Caja_Finanzas[[#This Row],[tipo_r]]="R",COUNTIFS($C$1:$C181,"R")+1,A181)</f>
        <v>172</v>
      </c>
      <c r="B182" s="19" t="str">
        <f t="shared" si="14"/>
        <v>C-Finanzas</v>
      </c>
      <c r="C182" s="3" t="s">
        <v>1330</v>
      </c>
      <c r="D182" s="14">
        <v>45709</v>
      </c>
      <c r="E182" s="5" t="s">
        <v>6460</v>
      </c>
      <c r="F182" s="5" t="s">
        <v>1336</v>
      </c>
      <c r="G182" s="5"/>
      <c r="H182" s="6"/>
      <c r="I182" s="6"/>
      <c r="J182" s="6"/>
      <c r="K182" s="6"/>
      <c r="L182" s="7" t="s">
        <v>6686</v>
      </c>
      <c r="M182" s="8" t="str">
        <f>"CFI"&amp;".D"&amp;TEXT(Caja_Finanzas[[#This Row],[fecha]],"DD-MM")&amp;"-"&amp;TEXT(Caja_Finanzas[[#This Row],[item]],"0000")</f>
        <v>CFI.D21-02-0172</v>
      </c>
      <c r="N182" s="8" t="str">
        <f t="shared" si="15"/>
        <v>PEN</v>
      </c>
      <c r="O182" s="13"/>
      <c r="P182" s="13">
        <v>5</v>
      </c>
      <c r="Q182" s="3">
        <f t="shared" si="11"/>
        <v>0</v>
      </c>
      <c r="R182" s="3">
        <f t="shared" si="12"/>
        <v>5</v>
      </c>
      <c r="S182" s="3">
        <f t="shared" si="13"/>
        <v>11820.9</v>
      </c>
      <c r="T182" s="24"/>
      <c r="U182" s="24"/>
      <c r="V182" s="3"/>
      <c r="W182" s="25" t="s">
        <v>779</v>
      </c>
      <c r="X182" s="25"/>
      <c r="Y182" s="25"/>
      <c r="Z182" s="25"/>
      <c r="AA182" s="25"/>
      <c r="AB182" s="3" t="str">
        <f>IF(Caja_Finanzas[[#This Row],[fecha]]&gt;0,TEXT(Caja_Finanzas[[#This Row],[fecha]],"mmmm"),0)</f>
        <v>Febrero</v>
      </c>
    </row>
    <row r="183" spans="1:28" ht="24" x14ac:dyDescent="0.3">
      <c r="A183" s="2">
        <f>IF(Caja_Finanzas[[#This Row],[tipo_r]]="R",COUNTIFS($C$1:$C182,"R")+1,A182)</f>
        <v>173</v>
      </c>
      <c r="B183" s="19" t="str">
        <f t="shared" si="14"/>
        <v>C-Finanzas</v>
      </c>
      <c r="C183" s="3" t="s">
        <v>1330</v>
      </c>
      <c r="D183" s="14">
        <v>45709</v>
      </c>
      <c r="E183" s="5" t="s">
        <v>6460</v>
      </c>
      <c r="F183" s="5" t="s">
        <v>1336</v>
      </c>
      <c r="G183" s="5"/>
      <c r="H183" s="6"/>
      <c r="I183" s="6"/>
      <c r="J183" s="6"/>
      <c r="K183" s="6"/>
      <c r="L183" s="7" t="s">
        <v>6687</v>
      </c>
      <c r="M183" s="8" t="str">
        <f>"CFI"&amp;".D"&amp;TEXT(Caja_Finanzas[[#This Row],[fecha]],"DD-MM")&amp;"-"&amp;TEXT(Caja_Finanzas[[#This Row],[item]],"0000")</f>
        <v>CFI.D21-02-0173</v>
      </c>
      <c r="N183" s="8" t="str">
        <f t="shared" si="15"/>
        <v>PEN</v>
      </c>
      <c r="O183" s="13"/>
      <c r="P183" s="13">
        <v>10</v>
      </c>
      <c r="Q183" s="3">
        <f t="shared" si="11"/>
        <v>0</v>
      </c>
      <c r="R183" s="3">
        <f t="shared" si="12"/>
        <v>10</v>
      </c>
      <c r="S183" s="3">
        <f t="shared" si="13"/>
        <v>11810.9</v>
      </c>
      <c r="T183" s="24"/>
      <c r="U183" s="24"/>
      <c r="V183" s="3"/>
      <c r="W183" s="25" t="s">
        <v>779</v>
      </c>
      <c r="X183" s="25"/>
      <c r="Y183" s="25"/>
      <c r="Z183" s="25"/>
      <c r="AA183" s="25"/>
      <c r="AB183" s="3" t="str">
        <f>IF(Caja_Finanzas[[#This Row],[fecha]]&gt;0,TEXT(Caja_Finanzas[[#This Row],[fecha]],"mmmm"),0)</f>
        <v>Febrero</v>
      </c>
    </row>
    <row r="184" spans="1:28" ht="24" x14ac:dyDescent="0.3">
      <c r="A184" s="2">
        <f>IF(Caja_Finanzas[[#This Row],[tipo_r]]="R",COUNTIFS($C$1:$C183,"R")+1,A183)</f>
        <v>174</v>
      </c>
      <c r="B184" s="19" t="str">
        <f t="shared" si="14"/>
        <v>C-Finanzas</v>
      </c>
      <c r="C184" s="3" t="s">
        <v>1330</v>
      </c>
      <c r="D184" s="14">
        <v>45709</v>
      </c>
      <c r="E184" s="5" t="s">
        <v>6460</v>
      </c>
      <c r="F184" s="5" t="s">
        <v>1336</v>
      </c>
      <c r="G184" s="5"/>
      <c r="H184" s="6"/>
      <c r="I184" s="6"/>
      <c r="J184" s="6"/>
      <c r="K184" s="6"/>
      <c r="L184" s="7" t="s">
        <v>6688</v>
      </c>
      <c r="M184" s="8" t="str">
        <f>"CFI"&amp;".D"&amp;TEXT(Caja_Finanzas[[#This Row],[fecha]],"DD-MM")&amp;"-"&amp;TEXT(Caja_Finanzas[[#This Row],[item]],"0000")</f>
        <v>CFI.D21-02-0174</v>
      </c>
      <c r="N184" s="8" t="str">
        <f t="shared" si="15"/>
        <v>PEN</v>
      </c>
      <c r="O184" s="13"/>
      <c r="P184" s="13">
        <v>5</v>
      </c>
      <c r="Q184" s="3">
        <f t="shared" si="11"/>
        <v>0</v>
      </c>
      <c r="R184" s="3">
        <f t="shared" si="12"/>
        <v>5</v>
      </c>
      <c r="S184" s="3">
        <f t="shared" si="13"/>
        <v>11805.9</v>
      </c>
      <c r="T184" s="24"/>
      <c r="U184" s="24"/>
      <c r="V184" s="3"/>
      <c r="W184" s="25" t="s">
        <v>779</v>
      </c>
      <c r="X184" s="25"/>
      <c r="Y184" s="25"/>
      <c r="Z184" s="25"/>
      <c r="AA184" s="25"/>
      <c r="AB184" s="3" t="str">
        <f>IF(Caja_Finanzas[[#This Row],[fecha]]&gt;0,TEXT(Caja_Finanzas[[#This Row],[fecha]],"mmmm"),0)</f>
        <v>Febrero</v>
      </c>
    </row>
    <row r="185" spans="1:28" ht="24" x14ac:dyDescent="0.3">
      <c r="A185" s="2">
        <f>IF(Caja_Finanzas[[#This Row],[tipo_r]]="R",COUNTIFS($C$1:$C184,"R")+1,A184)</f>
        <v>175</v>
      </c>
      <c r="B185" s="19" t="str">
        <f t="shared" si="14"/>
        <v>C-Finanzas</v>
      </c>
      <c r="C185" s="3" t="s">
        <v>1330</v>
      </c>
      <c r="D185" s="14">
        <v>45709</v>
      </c>
      <c r="E185" s="5" t="s">
        <v>6655</v>
      </c>
      <c r="F185" s="5" t="s">
        <v>1336</v>
      </c>
      <c r="G185" s="5"/>
      <c r="H185" s="6"/>
      <c r="I185" s="6"/>
      <c r="J185" s="6"/>
      <c r="K185" s="6"/>
      <c r="L185" s="7" t="s">
        <v>6689</v>
      </c>
      <c r="M185" s="8" t="str">
        <f>"CFI"&amp;".D"&amp;TEXT(Caja_Finanzas[[#This Row],[fecha]],"DD-MM")&amp;"-"&amp;TEXT(Caja_Finanzas[[#This Row],[item]],"0000")</f>
        <v>CFI.D21-02-0175</v>
      </c>
      <c r="N185" s="8" t="str">
        <f t="shared" si="15"/>
        <v>PEN</v>
      </c>
      <c r="O185" s="13"/>
      <c r="P185" s="13">
        <v>10</v>
      </c>
      <c r="Q185" s="3">
        <f t="shared" si="11"/>
        <v>0</v>
      </c>
      <c r="R185" s="3">
        <f t="shared" si="12"/>
        <v>10</v>
      </c>
      <c r="S185" s="3">
        <f t="shared" si="13"/>
        <v>11795.9</v>
      </c>
      <c r="T185" s="24"/>
      <c r="U185" s="24"/>
      <c r="V185" s="3"/>
      <c r="W185" s="25" t="s">
        <v>779</v>
      </c>
      <c r="X185" s="25"/>
      <c r="Y185" s="25"/>
      <c r="Z185" s="25"/>
      <c r="AA185" s="25"/>
      <c r="AB185" s="3" t="str">
        <f>IF(Caja_Finanzas[[#This Row],[fecha]]&gt;0,TEXT(Caja_Finanzas[[#This Row],[fecha]],"mmmm"),0)</f>
        <v>Febrero</v>
      </c>
    </row>
    <row r="186" spans="1:28" ht="24" x14ac:dyDescent="0.3">
      <c r="A186" s="2">
        <f>IF(Caja_Finanzas[[#This Row],[tipo_r]]="R",COUNTIFS($C$1:$C185,"R")+1,A185)</f>
        <v>176</v>
      </c>
      <c r="B186" s="19" t="str">
        <f t="shared" si="14"/>
        <v>C-Finanzas</v>
      </c>
      <c r="C186" s="3" t="s">
        <v>1330</v>
      </c>
      <c r="D186" s="14">
        <v>45709</v>
      </c>
      <c r="E186" s="5" t="s">
        <v>2103</v>
      </c>
      <c r="F186" s="5" t="s">
        <v>1303</v>
      </c>
      <c r="G186" s="5"/>
      <c r="H186" s="6" t="s">
        <v>425</v>
      </c>
      <c r="I186" s="6" t="s">
        <v>119</v>
      </c>
      <c r="J186" s="6">
        <v>1</v>
      </c>
      <c r="K186" s="6">
        <v>4181</v>
      </c>
      <c r="L186" s="7" t="s">
        <v>6118</v>
      </c>
      <c r="M186" s="8" t="str">
        <f>"CFI"&amp;".D"&amp;TEXT(Caja_Finanzas[[#This Row],[fecha]],"DD-MM")&amp;"-"&amp;TEXT(Caja_Finanzas[[#This Row],[item]],"0000")</f>
        <v>CFI.D21-02-0176</v>
      </c>
      <c r="N186" s="8" t="str">
        <f t="shared" si="15"/>
        <v>PEN</v>
      </c>
      <c r="O186" s="13"/>
      <c r="P186" s="13">
        <v>7760</v>
      </c>
      <c r="Q186" s="3">
        <f t="shared" si="11"/>
        <v>7760</v>
      </c>
      <c r="R186" s="3">
        <f t="shared" si="12"/>
        <v>0</v>
      </c>
      <c r="S186" s="3">
        <f t="shared" si="13"/>
        <v>19555.900000000001</v>
      </c>
      <c r="T186" s="24"/>
      <c r="U186" s="24"/>
      <c r="V186" s="3"/>
      <c r="W186" s="25"/>
      <c r="X186" s="25" t="s">
        <v>6690</v>
      </c>
      <c r="Y186" s="25"/>
      <c r="Z186" s="25"/>
      <c r="AA186" s="25"/>
      <c r="AB186" s="3" t="str">
        <f>IF(Caja_Finanzas[[#This Row],[fecha]]&gt;0,TEXT(Caja_Finanzas[[#This Row],[fecha]],"mmmm"),0)</f>
        <v>Febrero</v>
      </c>
    </row>
    <row r="187" spans="1:28" ht="24" x14ac:dyDescent="0.3">
      <c r="A187" s="2">
        <f>IF(Caja_Finanzas[[#This Row],[tipo_r]]="R",COUNTIFS($C$1:$C186,"R")+1,A186)</f>
        <v>177</v>
      </c>
      <c r="B187" s="19" t="str">
        <f t="shared" si="14"/>
        <v>C-Finanzas</v>
      </c>
      <c r="C187" s="3" t="s">
        <v>1330</v>
      </c>
      <c r="D187" s="14">
        <v>45709</v>
      </c>
      <c r="E187" s="5" t="s">
        <v>2009</v>
      </c>
      <c r="F187" s="5" t="s">
        <v>1303</v>
      </c>
      <c r="G187" s="5"/>
      <c r="H187" s="6" t="s">
        <v>425</v>
      </c>
      <c r="I187" s="6" t="s">
        <v>119</v>
      </c>
      <c r="J187" s="6">
        <v>1</v>
      </c>
      <c r="K187" s="6">
        <v>4185</v>
      </c>
      <c r="L187" s="7" t="s">
        <v>6118</v>
      </c>
      <c r="M187" s="8" t="str">
        <f>"CFI"&amp;".D"&amp;TEXT(Caja_Finanzas[[#This Row],[fecha]],"DD-MM")&amp;"-"&amp;TEXT(Caja_Finanzas[[#This Row],[item]],"0000")</f>
        <v>CFI.D21-02-0177</v>
      </c>
      <c r="N187" s="8" t="str">
        <f t="shared" si="15"/>
        <v>PEN</v>
      </c>
      <c r="O187" s="13"/>
      <c r="P187" s="13">
        <v>1140</v>
      </c>
      <c r="Q187" s="3">
        <f t="shared" si="11"/>
        <v>1140</v>
      </c>
      <c r="R187" s="3">
        <f t="shared" si="12"/>
        <v>0</v>
      </c>
      <c r="S187" s="3">
        <f t="shared" si="13"/>
        <v>20695.900000000001</v>
      </c>
      <c r="T187" s="24"/>
      <c r="U187" s="24"/>
      <c r="V187" s="3"/>
      <c r="W187" s="25"/>
      <c r="X187" s="25" t="s">
        <v>2010</v>
      </c>
      <c r="Y187" s="25"/>
      <c r="Z187" s="25"/>
      <c r="AA187" s="25"/>
      <c r="AB187" s="3" t="str">
        <f>IF(Caja_Finanzas[[#This Row],[fecha]]&gt;0,TEXT(Caja_Finanzas[[#This Row],[fecha]],"mmmm"),0)</f>
        <v>Febrero</v>
      </c>
    </row>
    <row r="188" spans="1:28" ht="24" x14ac:dyDescent="0.3">
      <c r="A188" s="2">
        <f>IF(Caja_Finanzas[[#This Row],[tipo_r]]="R",COUNTIFS($C$1:$C187,"R")+1,A187)</f>
        <v>178</v>
      </c>
      <c r="B188" s="19" t="str">
        <f t="shared" si="14"/>
        <v>C-Finanzas</v>
      </c>
      <c r="C188" s="3" t="s">
        <v>1330</v>
      </c>
      <c r="D188" s="14">
        <v>45709</v>
      </c>
      <c r="E188" s="5" t="s">
        <v>6418</v>
      </c>
      <c r="F188" s="5" t="s">
        <v>1336</v>
      </c>
      <c r="G188" s="5"/>
      <c r="H188" s="6" t="s">
        <v>809</v>
      </c>
      <c r="I188" s="6"/>
      <c r="J188" s="6"/>
      <c r="K188" s="6"/>
      <c r="L188" s="7" t="s">
        <v>6691</v>
      </c>
      <c r="M188" s="8" t="str">
        <f>"CFI"&amp;".D"&amp;TEXT(Caja_Finanzas[[#This Row],[fecha]],"DD-MM")&amp;"-"&amp;TEXT(Caja_Finanzas[[#This Row],[item]],"0000")</f>
        <v>CFI.D21-02-0178</v>
      </c>
      <c r="N188" s="8" t="str">
        <f t="shared" si="15"/>
        <v>PEN</v>
      </c>
      <c r="O188" s="13"/>
      <c r="P188" s="13">
        <v>18000</v>
      </c>
      <c r="Q188" s="3">
        <f t="shared" si="11"/>
        <v>0</v>
      </c>
      <c r="R188" s="3">
        <f t="shared" si="12"/>
        <v>18000</v>
      </c>
      <c r="S188" s="3">
        <f t="shared" si="13"/>
        <v>2695.9000000000015</v>
      </c>
      <c r="T188" s="24"/>
      <c r="U188" s="24"/>
      <c r="V188" s="3"/>
      <c r="W188" s="25"/>
      <c r="X188" s="25"/>
      <c r="Y188" s="25"/>
      <c r="Z188" s="25"/>
      <c r="AA188" s="25"/>
      <c r="AB188" s="3" t="str">
        <f>IF(Caja_Finanzas[[#This Row],[fecha]]&gt;0,TEXT(Caja_Finanzas[[#This Row],[fecha]],"mmmm"),0)</f>
        <v>Febrero</v>
      </c>
    </row>
    <row r="189" spans="1:28" ht="24" x14ac:dyDescent="0.3">
      <c r="A189" s="2">
        <f>IF(Caja_Finanzas[[#This Row],[tipo_r]]="R",COUNTIFS($C$1:$C188,"R")+1,A188)</f>
        <v>179</v>
      </c>
      <c r="B189" s="19" t="str">
        <f t="shared" si="14"/>
        <v>C-Finanzas</v>
      </c>
      <c r="C189" s="3" t="s">
        <v>1330</v>
      </c>
      <c r="D189" s="14">
        <v>45712</v>
      </c>
      <c r="E189" s="5" t="s">
        <v>3198</v>
      </c>
      <c r="F189" s="5" t="s">
        <v>1303</v>
      </c>
      <c r="G189" s="5"/>
      <c r="H189" s="6" t="s">
        <v>425</v>
      </c>
      <c r="I189" s="6" t="s">
        <v>119</v>
      </c>
      <c r="J189" s="6">
        <v>1</v>
      </c>
      <c r="K189" s="6">
        <v>3748</v>
      </c>
      <c r="L189" s="7" t="s">
        <v>6118</v>
      </c>
      <c r="M189" s="8" t="str">
        <f>"CFI"&amp;".D"&amp;TEXT(Caja_Finanzas[[#This Row],[fecha]],"DD-MM")&amp;"-"&amp;TEXT(Caja_Finanzas[[#This Row],[item]],"0000")</f>
        <v>CFI.D24-02-0179</v>
      </c>
      <c r="N189" s="8" t="str">
        <f t="shared" si="15"/>
        <v>PEN</v>
      </c>
      <c r="O189" s="13"/>
      <c r="P189" s="13">
        <v>799</v>
      </c>
      <c r="Q189" s="3">
        <f t="shared" si="11"/>
        <v>799</v>
      </c>
      <c r="R189" s="3">
        <f t="shared" si="12"/>
        <v>0</v>
      </c>
      <c r="S189" s="3">
        <f t="shared" si="13"/>
        <v>3494.9000000000015</v>
      </c>
      <c r="T189" s="24"/>
      <c r="U189" s="24"/>
      <c r="V189" s="3"/>
      <c r="W189" s="25"/>
      <c r="X189" s="25" t="s">
        <v>6692</v>
      </c>
      <c r="Y189" s="25"/>
      <c r="Z189" s="25"/>
      <c r="AA189" s="25"/>
      <c r="AB189" s="3" t="str">
        <f>IF(Caja_Finanzas[[#This Row],[fecha]]&gt;0,TEXT(Caja_Finanzas[[#This Row],[fecha]],"mmmm"),0)</f>
        <v>Febrero</v>
      </c>
    </row>
    <row r="190" spans="1:28" ht="24" x14ac:dyDescent="0.3">
      <c r="A190" s="2">
        <f>IF(Caja_Finanzas[[#This Row],[tipo_r]]="R",COUNTIFS($C$1:$C189,"R")+1,A189)</f>
        <v>180</v>
      </c>
      <c r="B190" s="19" t="str">
        <f t="shared" si="14"/>
        <v>C-Finanzas</v>
      </c>
      <c r="C190" s="3" t="s">
        <v>1330</v>
      </c>
      <c r="D190" s="14">
        <v>45712</v>
      </c>
      <c r="E190" s="5" t="s">
        <v>3198</v>
      </c>
      <c r="F190" s="5" t="s">
        <v>1303</v>
      </c>
      <c r="G190" s="5"/>
      <c r="H190" s="6" t="s">
        <v>425</v>
      </c>
      <c r="I190" s="6" t="s">
        <v>119</v>
      </c>
      <c r="J190" s="6">
        <v>1</v>
      </c>
      <c r="K190" s="6">
        <v>3783</v>
      </c>
      <c r="L190" s="7" t="s">
        <v>6118</v>
      </c>
      <c r="M190" s="8" t="str">
        <f>"CFI"&amp;".D"&amp;TEXT(Caja_Finanzas[[#This Row],[fecha]],"DD-MM")&amp;"-"&amp;TEXT(Caja_Finanzas[[#This Row],[item]],"0000")</f>
        <v>CFI.D24-02-0180</v>
      </c>
      <c r="N190" s="8" t="str">
        <f t="shared" si="15"/>
        <v>PEN</v>
      </c>
      <c r="O190" s="13"/>
      <c r="P190" s="13">
        <v>1226</v>
      </c>
      <c r="Q190" s="3">
        <f t="shared" si="11"/>
        <v>1226</v>
      </c>
      <c r="R190" s="3">
        <f t="shared" si="12"/>
        <v>0</v>
      </c>
      <c r="S190" s="3">
        <f t="shared" si="13"/>
        <v>4720.9000000000015</v>
      </c>
      <c r="T190" s="24"/>
      <c r="U190" s="24"/>
      <c r="V190" s="3"/>
      <c r="W190" s="25"/>
      <c r="X190" s="25" t="s">
        <v>6693</v>
      </c>
      <c r="Y190" s="25"/>
      <c r="Z190" s="25"/>
      <c r="AA190" s="25"/>
      <c r="AB190" s="3" t="str">
        <f>IF(Caja_Finanzas[[#This Row],[fecha]]&gt;0,TEXT(Caja_Finanzas[[#This Row],[fecha]],"mmmm"),0)</f>
        <v>Febrero</v>
      </c>
    </row>
    <row r="191" spans="1:28" ht="24" x14ac:dyDescent="0.3">
      <c r="A191" s="2">
        <f>IF(Caja_Finanzas[[#This Row],[tipo_r]]="R",COUNTIFS($C$1:$C190,"R")+1,A190)</f>
        <v>181</v>
      </c>
      <c r="B191" s="19" t="str">
        <f t="shared" si="14"/>
        <v>C-Finanzas</v>
      </c>
      <c r="C191" s="3" t="s">
        <v>1330</v>
      </c>
      <c r="D191" s="14">
        <v>45712</v>
      </c>
      <c r="E191" s="5" t="s">
        <v>6570</v>
      </c>
      <c r="F191" s="5" t="s">
        <v>1336</v>
      </c>
      <c r="G191" s="5"/>
      <c r="H191" s="6"/>
      <c r="I191" s="6"/>
      <c r="J191" s="6"/>
      <c r="K191" s="6"/>
      <c r="L191" s="7" t="s">
        <v>6694</v>
      </c>
      <c r="M191" s="8" t="str">
        <f>"CFI"&amp;".D"&amp;TEXT(Caja_Finanzas[[#This Row],[fecha]],"DD-MM")&amp;"-"&amp;TEXT(Caja_Finanzas[[#This Row],[item]],"0000")</f>
        <v>CFI.D24-02-0181</v>
      </c>
      <c r="N191" s="8" t="str">
        <f t="shared" si="15"/>
        <v>PEN</v>
      </c>
      <c r="O191" s="13"/>
      <c r="P191" s="13">
        <v>40</v>
      </c>
      <c r="Q191" s="3">
        <f t="shared" si="11"/>
        <v>0</v>
      </c>
      <c r="R191" s="3">
        <f t="shared" si="12"/>
        <v>40</v>
      </c>
      <c r="S191" s="3">
        <f t="shared" si="13"/>
        <v>4680.9000000000015</v>
      </c>
      <c r="T191" s="24"/>
      <c r="U191" s="24"/>
      <c r="V191" s="3"/>
      <c r="W191" s="25"/>
      <c r="X191" s="25" t="s">
        <v>6695</v>
      </c>
      <c r="Y191" s="25"/>
      <c r="Z191" s="25"/>
      <c r="AA191" s="25"/>
      <c r="AB191" s="3" t="str">
        <f>IF(Caja_Finanzas[[#This Row],[fecha]]&gt;0,TEXT(Caja_Finanzas[[#This Row],[fecha]],"mmmm"),0)</f>
        <v>Febrero</v>
      </c>
    </row>
    <row r="192" spans="1:28" ht="60" x14ac:dyDescent="0.3">
      <c r="A192" s="2">
        <f>IF(Caja_Finanzas[[#This Row],[tipo_r]]="R",COUNTIFS($C$1:$C191,"R")+1,A191)</f>
        <v>182</v>
      </c>
      <c r="B192" s="19" t="str">
        <f t="shared" si="14"/>
        <v>C-Finanzas</v>
      </c>
      <c r="C192" s="3" t="s">
        <v>1330</v>
      </c>
      <c r="D192" s="14">
        <v>45712</v>
      </c>
      <c r="E192" s="5" t="s">
        <v>6556</v>
      </c>
      <c r="F192" s="5" t="s">
        <v>1336</v>
      </c>
      <c r="G192" s="5"/>
      <c r="H192" s="6"/>
      <c r="I192" s="6"/>
      <c r="J192" s="6"/>
      <c r="K192" s="6"/>
      <c r="L192" s="7" t="s">
        <v>6696</v>
      </c>
      <c r="M192" s="8" t="str">
        <f>"CFI"&amp;".D"&amp;TEXT(Caja_Finanzas[[#This Row],[fecha]],"DD-MM")&amp;"-"&amp;TEXT(Caja_Finanzas[[#This Row],[item]],"0000")</f>
        <v>CFI.D24-02-0182</v>
      </c>
      <c r="N192" s="8" t="str">
        <f t="shared" si="15"/>
        <v>PEN</v>
      </c>
      <c r="O192" s="13"/>
      <c r="P192" s="13">
        <v>782.6</v>
      </c>
      <c r="Q192" s="3">
        <f t="shared" si="11"/>
        <v>0</v>
      </c>
      <c r="R192" s="3">
        <f t="shared" si="12"/>
        <v>782.6</v>
      </c>
      <c r="S192" s="3">
        <f t="shared" si="13"/>
        <v>3898.3000000000015</v>
      </c>
      <c r="T192" s="24"/>
      <c r="U192" s="24"/>
      <c r="V192" s="3"/>
      <c r="W192" s="25" t="s">
        <v>6697</v>
      </c>
      <c r="X192" s="25" t="s">
        <v>6698</v>
      </c>
      <c r="Y192" s="25"/>
      <c r="Z192" s="25"/>
      <c r="AA192" s="25"/>
      <c r="AB192" s="3" t="str">
        <f>IF(Caja_Finanzas[[#This Row],[fecha]]&gt;0,TEXT(Caja_Finanzas[[#This Row],[fecha]],"mmmm"),0)</f>
        <v>Febrero</v>
      </c>
    </row>
    <row r="193" spans="1:28" ht="48" x14ac:dyDescent="0.3">
      <c r="A193" s="2">
        <f>IF(Caja_Finanzas[[#This Row],[tipo_r]]="R",COUNTIFS($C$1:$C192,"R")+1,A192)</f>
        <v>183</v>
      </c>
      <c r="B193" s="19" t="str">
        <f t="shared" si="14"/>
        <v>C-Finanzas</v>
      </c>
      <c r="C193" s="3" t="s">
        <v>1330</v>
      </c>
      <c r="D193" s="14">
        <v>45712</v>
      </c>
      <c r="E193" s="5" t="s">
        <v>6460</v>
      </c>
      <c r="F193" s="5" t="s">
        <v>1336</v>
      </c>
      <c r="G193" s="5"/>
      <c r="H193" s="6"/>
      <c r="I193" s="6"/>
      <c r="J193" s="6"/>
      <c r="K193" s="6"/>
      <c r="L193" s="7" t="s">
        <v>6699</v>
      </c>
      <c r="M193" s="8" t="str">
        <f>"CFI"&amp;".D"&amp;TEXT(Caja_Finanzas[[#This Row],[fecha]],"DD-MM")&amp;"-"&amp;TEXT(Caja_Finanzas[[#This Row],[item]],"0000")</f>
        <v>CFI.D24-02-0183</v>
      </c>
      <c r="N193" s="8" t="str">
        <f t="shared" si="15"/>
        <v>PEN</v>
      </c>
      <c r="O193" s="13"/>
      <c r="P193" s="13">
        <v>50</v>
      </c>
      <c r="Q193" s="3">
        <f t="shared" si="11"/>
        <v>0</v>
      </c>
      <c r="R193" s="3">
        <f t="shared" si="12"/>
        <v>50</v>
      </c>
      <c r="S193" s="3">
        <f t="shared" si="13"/>
        <v>3848.3000000000015</v>
      </c>
      <c r="T193" s="24"/>
      <c r="U193" s="24"/>
      <c r="V193" s="3"/>
      <c r="W193" s="25" t="s">
        <v>6700</v>
      </c>
      <c r="X193" s="25" t="s">
        <v>6701</v>
      </c>
      <c r="Y193" s="25"/>
      <c r="Z193" s="25"/>
      <c r="AA193" s="25"/>
      <c r="AB193" s="3" t="str">
        <f>IF(Caja_Finanzas[[#This Row],[fecha]]&gt;0,TEXT(Caja_Finanzas[[#This Row],[fecha]],"mmmm"),0)</f>
        <v>Febrero</v>
      </c>
    </row>
    <row r="194" spans="1:28" ht="60" x14ac:dyDescent="0.3">
      <c r="A194" s="2">
        <f>IF(Caja_Finanzas[[#This Row],[tipo_r]]="R",COUNTIFS($C$1:$C193,"R")+1,A193)</f>
        <v>184</v>
      </c>
      <c r="B194" s="19" t="str">
        <f t="shared" si="14"/>
        <v>C-Finanzas</v>
      </c>
      <c r="C194" s="3" t="s">
        <v>1330</v>
      </c>
      <c r="D194" s="14">
        <v>45713</v>
      </c>
      <c r="E194" s="5" t="s">
        <v>6702</v>
      </c>
      <c r="F194" s="5" t="s">
        <v>1336</v>
      </c>
      <c r="G194" s="5"/>
      <c r="H194" s="6"/>
      <c r="I194" s="6"/>
      <c r="J194" s="6"/>
      <c r="K194" s="6"/>
      <c r="L194" s="7" t="s">
        <v>6703</v>
      </c>
      <c r="M194" s="8" t="str">
        <f>"CFI"&amp;".D"&amp;TEXT(Caja_Finanzas[[#This Row],[fecha]],"DD-MM")&amp;"-"&amp;TEXT(Caja_Finanzas[[#This Row],[item]],"0000")</f>
        <v>CFI.D25-02-0184</v>
      </c>
      <c r="N194" s="8" t="str">
        <f t="shared" si="15"/>
        <v>PEN</v>
      </c>
      <c r="O194" s="13"/>
      <c r="P194" s="13">
        <v>1144</v>
      </c>
      <c r="Q194" s="3">
        <f t="shared" ref="Q194:Q257" si="16">+IF(OR($F194="SALDO",$F194="INGRESO"),$P194,0)</f>
        <v>0</v>
      </c>
      <c r="R194" s="3">
        <f t="shared" ref="R194:R257" si="17">+IF($F194="EGRESO",$P194,0)</f>
        <v>1144</v>
      </c>
      <c r="S194" s="3">
        <f t="shared" ref="S194:S257" si="18">IFERROR(IF(F194="SALDO",Q194,S193+Q194-R194),0)</f>
        <v>2704.3000000000015</v>
      </c>
      <c r="T194" s="24"/>
      <c r="U194" s="24"/>
      <c r="V194" s="3"/>
      <c r="W194" s="25" t="s">
        <v>6704</v>
      </c>
      <c r="X194" s="25" t="s">
        <v>6705</v>
      </c>
      <c r="Y194" s="25"/>
      <c r="Z194" s="25"/>
      <c r="AA194" s="25"/>
      <c r="AB194" s="3" t="str">
        <f>IF(Caja_Finanzas[[#This Row],[fecha]]&gt;0,TEXT(Caja_Finanzas[[#This Row],[fecha]],"mmmm"),0)</f>
        <v>Febrero</v>
      </c>
    </row>
    <row r="195" spans="1:28" ht="36" x14ac:dyDescent="0.3">
      <c r="A195" s="2">
        <f>IF(Caja_Finanzas[[#This Row],[tipo_r]]="R",COUNTIFS($C$1:$C194,"R")+1,A194)</f>
        <v>185</v>
      </c>
      <c r="B195" s="19" t="str">
        <f t="shared" ref="B195:B258" si="19">"C-Finanzas"</f>
        <v>C-Finanzas</v>
      </c>
      <c r="C195" s="3" t="s">
        <v>1330</v>
      </c>
      <c r="D195" s="14">
        <v>45713</v>
      </c>
      <c r="E195" s="5" t="s">
        <v>6702</v>
      </c>
      <c r="F195" s="5" t="s">
        <v>1336</v>
      </c>
      <c r="G195" s="5"/>
      <c r="H195" s="6"/>
      <c r="I195" s="6"/>
      <c r="J195" s="6"/>
      <c r="K195" s="6"/>
      <c r="L195" s="7" t="s">
        <v>6706</v>
      </c>
      <c r="M195" s="8" t="str">
        <f>"CFI"&amp;".D"&amp;TEXT(Caja_Finanzas[[#This Row],[fecha]],"DD-MM")&amp;"-"&amp;TEXT(Caja_Finanzas[[#This Row],[item]],"0000")</f>
        <v>CFI.D25-02-0185</v>
      </c>
      <c r="N195" s="8" t="str">
        <f t="shared" ref="N195:N258" si="20">"PEN"</f>
        <v>PEN</v>
      </c>
      <c r="O195" s="13"/>
      <c r="P195" s="13">
        <v>152</v>
      </c>
      <c r="Q195" s="3">
        <f t="shared" si="16"/>
        <v>0</v>
      </c>
      <c r="R195" s="3">
        <f t="shared" si="17"/>
        <v>152</v>
      </c>
      <c r="S195" s="3">
        <f t="shared" si="18"/>
        <v>2552.3000000000015</v>
      </c>
      <c r="T195" s="24"/>
      <c r="U195" s="24"/>
      <c r="V195" s="3"/>
      <c r="W195" s="25" t="s">
        <v>6507</v>
      </c>
      <c r="X195" s="25" t="s">
        <v>6707</v>
      </c>
      <c r="Y195" s="25"/>
      <c r="Z195" s="25"/>
      <c r="AA195" s="25"/>
      <c r="AB195" s="3" t="str">
        <f>IF(Caja_Finanzas[[#This Row],[fecha]]&gt;0,TEXT(Caja_Finanzas[[#This Row],[fecha]],"mmmm"),0)</f>
        <v>Febrero</v>
      </c>
    </row>
    <row r="196" spans="1:28" ht="48" x14ac:dyDescent="0.3">
      <c r="A196" s="2">
        <f>IF(Caja_Finanzas[[#This Row],[tipo_r]]="R",COUNTIFS($C$1:$C195,"R")+1,A195)</f>
        <v>186</v>
      </c>
      <c r="B196" s="19" t="str">
        <f t="shared" si="19"/>
        <v>C-Finanzas</v>
      </c>
      <c r="C196" s="3" t="s">
        <v>1330</v>
      </c>
      <c r="D196" s="14">
        <v>45713</v>
      </c>
      <c r="E196" s="5" t="s">
        <v>6451</v>
      </c>
      <c r="F196" s="5" t="s">
        <v>1336</v>
      </c>
      <c r="G196" s="5"/>
      <c r="H196" s="6"/>
      <c r="I196" s="6"/>
      <c r="J196" s="6"/>
      <c r="K196" s="6"/>
      <c r="L196" s="7" t="s">
        <v>6708</v>
      </c>
      <c r="M196" s="8" t="str">
        <f>"CFI"&amp;".D"&amp;TEXT(Caja_Finanzas[[#This Row],[fecha]],"DD-MM")&amp;"-"&amp;TEXT(Caja_Finanzas[[#This Row],[item]],"0000")</f>
        <v>CFI.D25-02-0186</v>
      </c>
      <c r="N196" s="8" t="str">
        <f t="shared" si="20"/>
        <v>PEN</v>
      </c>
      <c r="O196" s="13"/>
      <c r="P196" s="13">
        <v>240</v>
      </c>
      <c r="Q196" s="3">
        <f t="shared" si="16"/>
        <v>0</v>
      </c>
      <c r="R196" s="3">
        <f t="shared" si="17"/>
        <v>240</v>
      </c>
      <c r="S196" s="3">
        <f t="shared" si="18"/>
        <v>2312.3000000000015</v>
      </c>
      <c r="T196" s="24"/>
      <c r="U196" s="24"/>
      <c r="V196" s="3"/>
      <c r="W196" s="25" t="s">
        <v>6709</v>
      </c>
      <c r="X196" s="25" t="s">
        <v>6710</v>
      </c>
      <c r="Y196" s="25"/>
      <c r="Z196" s="25"/>
      <c r="AA196" s="25"/>
      <c r="AB196" s="3" t="str">
        <f>IF(Caja_Finanzas[[#This Row],[fecha]]&gt;0,TEXT(Caja_Finanzas[[#This Row],[fecha]],"mmmm"),0)</f>
        <v>Febrero</v>
      </c>
    </row>
    <row r="197" spans="1:28" ht="48" x14ac:dyDescent="0.3">
      <c r="A197" s="2">
        <f>IF(Caja_Finanzas[[#This Row],[tipo_r]]="R",COUNTIFS($C$1:$C196,"R")+1,A196)</f>
        <v>187</v>
      </c>
      <c r="B197" s="19" t="str">
        <f t="shared" si="19"/>
        <v>C-Finanzas</v>
      </c>
      <c r="C197" s="3" t="s">
        <v>1330</v>
      </c>
      <c r="D197" s="14">
        <v>45713</v>
      </c>
      <c r="E197" s="5" t="s">
        <v>6451</v>
      </c>
      <c r="F197" s="5" t="s">
        <v>1336</v>
      </c>
      <c r="G197" s="5"/>
      <c r="H197" s="6"/>
      <c r="I197" s="6"/>
      <c r="J197" s="6"/>
      <c r="K197" s="6"/>
      <c r="L197" s="7" t="s">
        <v>6711</v>
      </c>
      <c r="M197" s="8" t="str">
        <f>"CFI"&amp;".D"&amp;TEXT(Caja_Finanzas[[#This Row],[fecha]],"DD-MM")&amp;"-"&amp;TEXT(Caja_Finanzas[[#This Row],[item]],"0000")</f>
        <v>CFI.D25-02-0187</v>
      </c>
      <c r="N197" s="8" t="str">
        <f t="shared" si="20"/>
        <v>PEN</v>
      </c>
      <c r="O197" s="13"/>
      <c r="P197" s="13">
        <v>24</v>
      </c>
      <c r="Q197" s="3">
        <f t="shared" si="16"/>
        <v>0</v>
      </c>
      <c r="R197" s="3">
        <f t="shared" si="17"/>
        <v>24</v>
      </c>
      <c r="S197" s="3">
        <f t="shared" si="18"/>
        <v>2288.3000000000015</v>
      </c>
      <c r="T197" s="24"/>
      <c r="U197" s="24"/>
      <c r="V197" s="3"/>
      <c r="W197" s="25" t="s">
        <v>6709</v>
      </c>
      <c r="X197" s="25" t="s">
        <v>6712</v>
      </c>
      <c r="Y197" s="25"/>
      <c r="Z197" s="25"/>
      <c r="AA197" s="25"/>
      <c r="AB197" s="3" t="str">
        <f>IF(Caja_Finanzas[[#This Row],[fecha]]&gt;0,TEXT(Caja_Finanzas[[#This Row],[fecha]],"mmmm"),0)</f>
        <v>Febrero</v>
      </c>
    </row>
    <row r="198" spans="1:28" x14ac:dyDescent="0.3">
      <c r="A198" s="2">
        <f>IF(Caja_Finanzas[[#This Row],[tipo_r]]="R",COUNTIFS($C$1:$C197,"R")+1,A197)</f>
        <v>188</v>
      </c>
      <c r="B198" s="19" t="str">
        <f t="shared" si="19"/>
        <v>C-Finanzas</v>
      </c>
      <c r="C198" s="3" t="s">
        <v>1330</v>
      </c>
      <c r="D198" s="14">
        <v>45713</v>
      </c>
      <c r="E198" s="5" t="s">
        <v>3634</v>
      </c>
      <c r="F198" s="5" t="s">
        <v>1336</v>
      </c>
      <c r="G198" s="5"/>
      <c r="H198" s="6"/>
      <c r="I198" s="6"/>
      <c r="J198" s="6"/>
      <c r="K198" s="6"/>
      <c r="L198" s="7" t="s">
        <v>6510</v>
      </c>
      <c r="M198" s="8" t="str">
        <f>"CFI"&amp;".D"&amp;TEXT(Caja_Finanzas[[#This Row],[fecha]],"DD-MM")&amp;"-"&amp;TEXT(Caja_Finanzas[[#This Row],[item]],"0000")</f>
        <v>CFI.D25-02-0188</v>
      </c>
      <c r="N198" s="8" t="str">
        <f t="shared" si="20"/>
        <v>PEN</v>
      </c>
      <c r="O198" s="13"/>
      <c r="P198" s="13">
        <v>760</v>
      </c>
      <c r="Q198" s="3">
        <f t="shared" si="16"/>
        <v>0</v>
      </c>
      <c r="R198" s="3">
        <f t="shared" si="17"/>
        <v>760</v>
      </c>
      <c r="S198" s="3">
        <f t="shared" si="18"/>
        <v>1528.3000000000015</v>
      </c>
      <c r="T198" s="24"/>
      <c r="U198" s="24"/>
      <c r="V198" s="3"/>
      <c r="W198" s="25"/>
      <c r="X198" s="25"/>
      <c r="Y198" s="25"/>
      <c r="Z198" s="25"/>
      <c r="AA198" s="25"/>
      <c r="AB198" s="3" t="str">
        <f>IF(Caja_Finanzas[[#This Row],[fecha]]&gt;0,TEXT(Caja_Finanzas[[#This Row],[fecha]],"mmmm"),0)</f>
        <v>Febrero</v>
      </c>
    </row>
    <row r="199" spans="1:28" ht="24" x14ac:dyDescent="0.3">
      <c r="A199" s="2">
        <f>IF(Caja_Finanzas[[#This Row],[tipo_r]]="R",COUNTIFS($C$1:$C198,"R")+1,A198)</f>
        <v>189</v>
      </c>
      <c r="B199" s="19" t="str">
        <f t="shared" si="19"/>
        <v>C-Finanzas</v>
      </c>
      <c r="C199" s="3" t="s">
        <v>1330</v>
      </c>
      <c r="D199" s="14">
        <v>45714</v>
      </c>
      <c r="E199" s="5" t="s">
        <v>1825</v>
      </c>
      <c r="F199" s="5" t="s">
        <v>1303</v>
      </c>
      <c r="G199" s="5"/>
      <c r="H199" s="6" t="s">
        <v>425</v>
      </c>
      <c r="I199" s="6" t="s">
        <v>119</v>
      </c>
      <c r="J199" s="6">
        <v>1</v>
      </c>
      <c r="K199" s="6">
        <v>4195</v>
      </c>
      <c r="L199" s="7" t="s">
        <v>6118</v>
      </c>
      <c r="M199" s="8" t="str">
        <f>"CFI"&amp;".D"&amp;TEXT(Caja_Finanzas[[#This Row],[fecha]],"DD-MM")&amp;"-"&amp;TEXT(Caja_Finanzas[[#This Row],[item]],"0000")</f>
        <v>CFI.D26-02-0189</v>
      </c>
      <c r="N199" s="8" t="str">
        <f t="shared" si="20"/>
        <v>PEN</v>
      </c>
      <c r="O199" s="13"/>
      <c r="P199" s="13">
        <v>1539.5</v>
      </c>
      <c r="Q199" s="3">
        <f t="shared" si="16"/>
        <v>1539.5</v>
      </c>
      <c r="R199" s="3">
        <f t="shared" si="17"/>
        <v>0</v>
      </c>
      <c r="S199" s="3">
        <f t="shared" si="18"/>
        <v>3067.8000000000015</v>
      </c>
      <c r="T199" s="24"/>
      <c r="U199" s="24"/>
      <c r="V199" s="3"/>
      <c r="W199" s="25"/>
      <c r="X199" s="25" t="s">
        <v>6713</v>
      </c>
      <c r="Y199" s="25"/>
      <c r="Z199" s="25"/>
      <c r="AA199" s="25"/>
      <c r="AB199" s="3" t="str">
        <f>IF(Caja_Finanzas[[#This Row],[fecha]]&gt;0,TEXT(Caja_Finanzas[[#This Row],[fecha]],"mmmm"),0)</f>
        <v>Febrero</v>
      </c>
    </row>
    <row r="200" spans="1:28" x14ac:dyDescent="0.3">
      <c r="A200" s="2">
        <f>IF(Caja_Finanzas[[#This Row],[tipo_r]]="R",COUNTIFS($C$1:$C199,"R")+1,A199)</f>
        <v>190</v>
      </c>
      <c r="B200" s="19" t="str">
        <f t="shared" si="19"/>
        <v>C-Finanzas</v>
      </c>
      <c r="C200" s="3" t="s">
        <v>1330</v>
      </c>
      <c r="D200" s="14">
        <v>45714</v>
      </c>
      <c r="E200" s="5" t="s">
        <v>6714</v>
      </c>
      <c r="F200" s="5" t="s">
        <v>1303</v>
      </c>
      <c r="G200" s="5"/>
      <c r="H200" s="6" t="s">
        <v>425</v>
      </c>
      <c r="I200" s="6" t="s">
        <v>119</v>
      </c>
      <c r="J200" s="6">
        <v>1</v>
      </c>
      <c r="K200" s="6">
        <v>4196</v>
      </c>
      <c r="L200" s="7" t="s">
        <v>6118</v>
      </c>
      <c r="M200" s="8" t="str">
        <f>"CFI"&amp;".D"&amp;TEXT(Caja_Finanzas[[#This Row],[fecha]],"DD-MM")&amp;"-"&amp;TEXT(Caja_Finanzas[[#This Row],[item]],"0000")</f>
        <v>CFI.D26-02-0190</v>
      </c>
      <c r="N200" s="8" t="str">
        <f t="shared" si="20"/>
        <v>PEN</v>
      </c>
      <c r="O200" s="13"/>
      <c r="P200" s="13">
        <v>1005.8</v>
      </c>
      <c r="Q200" s="3">
        <f t="shared" si="16"/>
        <v>1005.8</v>
      </c>
      <c r="R200" s="3">
        <f t="shared" si="17"/>
        <v>0</v>
      </c>
      <c r="S200" s="3">
        <f t="shared" si="18"/>
        <v>4073.6000000000013</v>
      </c>
      <c r="T200" s="24"/>
      <c r="U200" s="24"/>
      <c r="V200" s="3"/>
      <c r="W200" s="25"/>
      <c r="X200" s="25" t="s">
        <v>6715</v>
      </c>
      <c r="Y200" s="25"/>
      <c r="Z200" s="25"/>
      <c r="AA200" s="25"/>
      <c r="AB200" s="3" t="str">
        <f>IF(Caja_Finanzas[[#This Row],[fecha]]&gt;0,TEXT(Caja_Finanzas[[#This Row],[fecha]],"mmmm"),0)</f>
        <v>Febrero</v>
      </c>
    </row>
    <row r="201" spans="1:28" ht="24" x14ac:dyDescent="0.3">
      <c r="A201" s="2">
        <f>IF(Caja_Finanzas[[#This Row],[tipo_r]]="R",COUNTIFS($C$1:$C200,"R")+1,A200)</f>
        <v>191</v>
      </c>
      <c r="B201" s="19" t="str">
        <f t="shared" si="19"/>
        <v>C-Finanzas</v>
      </c>
      <c r="C201" s="3" t="s">
        <v>1330</v>
      </c>
      <c r="D201" s="14">
        <v>45714</v>
      </c>
      <c r="E201" s="5" t="s">
        <v>2009</v>
      </c>
      <c r="F201" s="5" t="s">
        <v>1303</v>
      </c>
      <c r="G201" s="5"/>
      <c r="H201" s="6" t="s">
        <v>425</v>
      </c>
      <c r="I201" s="6" t="s">
        <v>119</v>
      </c>
      <c r="J201" s="6">
        <v>1</v>
      </c>
      <c r="K201" s="6">
        <v>4197</v>
      </c>
      <c r="L201" s="7" t="s">
        <v>6118</v>
      </c>
      <c r="M201" s="8" t="str">
        <f>"CFI"&amp;".D"&amp;TEXT(Caja_Finanzas[[#This Row],[fecha]],"DD-MM")&amp;"-"&amp;TEXT(Caja_Finanzas[[#This Row],[item]],"0000")</f>
        <v>CFI.D26-02-0191</v>
      </c>
      <c r="N201" s="8" t="str">
        <f t="shared" si="20"/>
        <v>PEN</v>
      </c>
      <c r="O201" s="13"/>
      <c r="P201" s="13">
        <v>700</v>
      </c>
      <c r="Q201" s="3">
        <f t="shared" si="16"/>
        <v>700</v>
      </c>
      <c r="R201" s="3">
        <f t="shared" si="17"/>
        <v>0</v>
      </c>
      <c r="S201" s="3">
        <f t="shared" si="18"/>
        <v>4773.6000000000013</v>
      </c>
      <c r="T201" s="24"/>
      <c r="U201" s="24"/>
      <c r="V201" s="3"/>
      <c r="W201" s="25"/>
      <c r="X201" s="25" t="s">
        <v>2041</v>
      </c>
      <c r="Y201" s="25"/>
      <c r="Z201" s="25"/>
      <c r="AA201" s="25"/>
      <c r="AB201" s="3" t="str">
        <f>IF(Caja_Finanzas[[#This Row],[fecha]]&gt;0,TEXT(Caja_Finanzas[[#This Row],[fecha]],"mmmm"),0)</f>
        <v>Febrero</v>
      </c>
    </row>
    <row r="202" spans="1:28" ht="24" x14ac:dyDescent="0.3">
      <c r="A202" s="2">
        <f>IF(Caja_Finanzas[[#This Row],[tipo_r]]="R",COUNTIFS($C$1:$C201,"R")+1,A201)</f>
        <v>192</v>
      </c>
      <c r="B202" s="19" t="str">
        <f t="shared" si="19"/>
        <v>C-Finanzas</v>
      </c>
      <c r="C202" s="3" t="s">
        <v>1330</v>
      </c>
      <c r="D202" s="14">
        <v>45714</v>
      </c>
      <c r="E202" s="5" t="s">
        <v>2009</v>
      </c>
      <c r="F202" s="5" t="s">
        <v>1303</v>
      </c>
      <c r="G202" s="5"/>
      <c r="H202" s="6" t="s">
        <v>425</v>
      </c>
      <c r="I202" s="6" t="s">
        <v>119</v>
      </c>
      <c r="J202" s="6">
        <v>1</v>
      </c>
      <c r="K202" s="6">
        <v>4198</v>
      </c>
      <c r="L202" s="7" t="s">
        <v>6118</v>
      </c>
      <c r="M202" s="8" t="str">
        <f>"CFI"&amp;".D"&amp;TEXT(Caja_Finanzas[[#This Row],[fecha]],"DD-MM")&amp;"-"&amp;TEXT(Caja_Finanzas[[#This Row],[item]],"0000")</f>
        <v>CFI.D26-02-0192</v>
      </c>
      <c r="N202" s="8" t="str">
        <f t="shared" si="20"/>
        <v>PEN</v>
      </c>
      <c r="O202" s="13"/>
      <c r="P202" s="13">
        <v>2160</v>
      </c>
      <c r="Q202" s="3">
        <f t="shared" si="16"/>
        <v>2160</v>
      </c>
      <c r="R202" s="3">
        <f t="shared" si="17"/>
        <v>0</v>
      </c>
      <c r="S202" s="3">
        <f t="shared" si="18"/>
        <v>6933.6000000000013</v>
      </c>
      <c r="T202" s="24"/>
      <c r="U202" s="24"/>
      <c r="V202" s="3"/>
      <c r="W202" s="25"/>
      <c r="X202" s="25" t="s">
        <v>6716</v>
      </c>
      <c r="Y202" s="25"/>
      <c r="Z202" s="25"/>
      <c r="AA202" s="25"/>
      <c r="AB202" s="3" t="str">
        <f>IF(Caja_Finanzas[[#This Row],[fecha]]&gt;0,TEXT(Caja_Finanzas[[#This Row],[fecha]],"mmmm"),0)</f>
        <v>Febrero</v>
      </c>
    </row>
    <row r="203" spans="1:28" ht="48" x14ac:dyDescent="0.3">
      <c r="A203" s="2">
        <f>IF(Caja_Finanzas[[#This Row],[tipo_r]]="R",COUNTIFS($C$1:$C202,"R")+1,A202)</f>
        <v>193</v>
      </c>
      <c r="B203" s="19" t="str">
        <f t="shared" si="19"/>
        <v>C-Finanzas</v>
      </c>
      <c r="C203" s="3" t="s">
        <v>1330</v>
      </c>
      <c r="D203" s="14">
        <v>45715</v>
      </c>
      <c r="E203" s="5" t="s">
        <v>6702</v>
      </c>
      <c r="F203" s="5" t="s">
        <v>1336</v>
      </c>
      <c r="G203" s="5"/>
      <c r="H203" s="6"/>
      <c r="I203" s="6"/>
      <c r="J203" s="6"/>
      <c r="K203" s="6"/>
      <c r="L203" s="7" t="s">
        <v>6717</v>
      </c>
      <c r="M203" s="8" t="str">
        <f>"CFI"&amp;".D"&amp;TEXT(Caja_Finanzas[[#This Row],[fecha]],"DD-MM")&amp;"-"&amp;TEXT(Caja_Finanzas[[#This Row],[item]],"0000")</f>
        <v>CFI.D27-02-0193</v>
      </c>
      <c r="N203" s="8" t="str">
        <f t="shared" si="20"/>
        <v>PEN</v>
      </c>
      <c r="O203" s="13"/>
      <c r="P203" s="13">
        <v>350</v>
      </c>
      <c r="Q203" s="3">
        <f t="shared" si="16"/>
        <v>0</v>
      </c>
      <c r="R203" s="3">
        <f t="shared" si="17"/>
        <v>350</v>
      </c>
      <c r="S203" s="3">
        <f t="shared" si="18"/>
        <v>6583.6000000000013</v>
      </c>
      <c r="T203" s="24"/>
      <c r="U203" s="24"/>
      <c r="V203" s="3"/>
      <c r="W203" s="25" t="s">
        <v>6507</v>
      </c>
      <c r="X203" s="25" t="s">
        <v>6718</v>
      </c>
      <c r="Y203" s="25"/>
      <c r="Z203" s="25"/>
      <c r="AA203" s="25"/>
      <c r="AB203" s="3" t="str">
        <f>IF(Caja_Finanzas[[#This Row],[fecha]]&gt;0,TEXT(Caja_Finanzas[[#This Row],[fecha]],"mmmm"),0)</f>
        <v>Febrero</v>
      </c>
    </row>
    <row r="204" spans="1:28" x14ac:dyDescent="0.3">
      <c r="A204" s="2">
        <f>IF(Caja_Finanzas[[#This Row],[tipo_r]]="R",COUNTIFS($C$1:$C203,"R")+1,A203)</f>
        <v>194</v>
      </c>
      <c r="B204" s="19" t="str">
        <f t="shared" si="19"/>
        <v>C-Finanzas</v>
      </c>
      <c r="C204" s="3" t="s">
        <v>1330</v>
      </c>
      <c r="D204" s="14">
        <v>45715</v>
      </c>
      <c r="E204" s="5" t="s">
        <v>1739</v>
      </c>
      <c r="F204" s="5" t="s">
        <v>1303</v>
      </c>
      <c r="G204" s="5"/>
      <c r="H204" s="6" t="s">
        <v>425</v>
      </c>
      <c r="I204" s="6" t="s">
        <v>119</v>
      </c>
      <c r="J204" s="6">
        <v>1</v>
      </c>
      <c r="K204" s="6">
        <v>4031</v>
      </c>
      <c r="L204" s="7" t="s">
        <v>6118</v>
      </c>
      <c r="M204" s="8" t="str">
        <f>"CFI"&amp;".D"&amp;TEXT(Caja_Finanzas[[#This Row],[fecha]],"DD-MM")&amp;"-"&amp;TEXT(Caja_Finanzas[[#This Row],[item]],"0000")</f>
        <v>CFI.D27-02-0194</v>
      </c>
      <c r="N204" s="8" t="str">
        <f t="shared" si="20"/>
        <v>PEN</v>
      </c>
      <c r="O204" s="13"/>
      <c r="P204" s="13">
        <v>70.900000000000006</v>
      </c>
      <c r="Q204" s="3">
        <f t="shared" si="16"/>
        <v>70.900000000000006</v>
      </c>
      <c r="R204" s="3">
        <f t="shared" si="17"/>
        <v>0</v>
      </c>
      <c r="S204" s="3">
        <f t="shared" si="18"/>
        <v>6654.5000000000009</v>
      </c>
      <c r="T204" s="24"/>
      <c r="U204" s="24"/>
      <c r="V204" s="3"/>
      <c r="W204" s="25"/>
      <c r="X204" s="25" t="s">
        <v>1741</v>
      </c>
      <c r="Y204" s="25"/>
      <c r="Z204" s="25"/>
      <c r="AA204" s="25"/>
      <c r="AB204" s="3" t="str">
        <f>IF(Caja_Finanzas[[#This Row],[fecha]]&gt;0,TEXT(Caja_Finanzas[[#This Row],[fecha]],"mmmm"),0)</f>
        <v>Febrero</v>
      </c>
    </row>
    <row r="205" spans="1:28" x14ac:dyDescent="0.3">
      <c r="A205" s="2">
        <f>IF(Caja_Finanzas[[#This Row],[tipo_r]]="R",COUNTIFS($C$1:$C204,"R")+1,A204)</f>
        <v>195</v>
      </c>
      <c r="B205" s="19" t="str">
        <f t="shared" si="19"/>
        <v>C-Finanzas</v>
      </c>
      <c r="C205" s="3" t="s">
        <v>1330</v>
      </c>
      <c r="D205" s="14">
        <v>45715</v>
      </c>
      <c r="E205" s="5" t="s">
        <v>1739</v>
      </c>
      <c r="F205" s="5" t="s">
        <v>1303</v>
      </c>
      <c r="G205" s="5"/>
      <c r="H205" s="6" t="s">
        <v>425</v>
      </c>
      <c r="I205" s="6" t="s">
        <v>119</v>
      </c>
      <c r="J205" s="6">
        <v>1</v>
      </c>
      <c r="K205" s="6">
        <v>4032</v>
      </c>
      <c r="L205" s="7" t="s">
        <v>6118</v>
      </c>
      <c r="M205" s="8" t="str">
        <f>"CFI"&amp;".D"&amp;TEXT(Caja_Finanzas[[#This Row],[fecha]],"DD-MM")&amp;"-"&amp;TEXT(Caja_Finanzas[[#This Row],[item]],"0000")</f>
        <v>CFI.D27-02-0195</v>
      </c>
      <c r="N205" s="8" t="str">
        <f t="shared" si="20"/>
        <v>PEN</v>
      </c>
      <c r="O205" s="13"/>
      <c r="P205" s="13">
        <v>80</v>
      </c>
      <c r="Q205" s="3">
        <f t="shared" si="16"/>
        <v>80</v>
      </c>
      <c r="R205" s="3">
        <f t="shared" si="17"/>
        <v>0</v>
      </c>
      <c r="S205" s="3">
        <f t="shared" si="18"/>
        <v>6734.5000000000009</v>
      </c>
      <c r="T205" s="24"/>
      <c r="U205" s="24"/>
      <c r="V205" s="3"/>
      <c r="W205" s="25"/>
      <c r="X205" s="25" t="s">
        <v>6719</v>
      </c>
      <c r="Y205" s="25"/>
      <c r="Z205" s="25"/>
      <c r="AA205" s="25"/>
      <c r="AB205" s="3" t="str">
        <f>IF(Caja_Finanzas[[#This Row],[fecha]]&gt;0,TEXT(Caja_Finanzas[[#This Row],[fecha]],"mmmm"),0)</f>
        <v>Febrero</v>
      </c>
    </row>
    <row r="206" spans="1:28" ht="24" x14ac:dyDescent="0.3">
      <c r="A206" s="2">
        <f>IF(Caja_Finanzas[[#This Row],[tipo_r]]="R",COUNTIFS($C$1:$C205,"R")+1,A205)</f>
        <v>196</v>
      </c>
      <c r="B206" s="19" t="str">
        <f t="shared" si="19"/>
        <v>C-Finanzas</v>
      </c>
      <c r="C206" s="3" t="s">
        <v>1330</v>
      </c>
      <c r="D206" s="14">
        <v>45716</v>
      </c>
      <c r="E206" s="5" t="s">
        <v>2009</v>
      </c>
      <c r="F206" s="5" t="s">
        <v>1303</v>
      </c>
      <c r="G206" s="5"/>
      <c r="H206" s="6" t="s">
        <v>425</v>
      </c>
      <c r="I206" s="6" t="s">
        <v>119</v>
      </c>
      <c r="J206" s="6">
        <v>1</v>
      </c>
      <c r="K206" s="6">
        <v>4202</v>
      </c>
      <c r="L206" s="7" t="s">
        <v>6118</v>
      </c>
      <c r="M206" s="8" t="str">
        <f>"CFI"&amp;".D"&amp;TEXT(Caja_Finanzas[[#This Row],[fecha]],"DD-MM")&amp;"-"&amp;TEXT(Caja_Finanzas[[#This Row],[item]],"0000")</f>
        <v>CFI.D28-02-0196</v>
      </c>
      <c r="N206" s="8" t="str">
        <f t="shared" si="20"/>
        <v>PEN</v>
      </c>
      <c r="O206" s="13"/>
      <c r="P206" s="13">
        <v>1700</v>
      </c>
      <c r="Q206" s="3">
        <f t="shared" si="16"/>
        <v>1700</v>
      </c>
      <c r="R206" s="3">
        <f t="shared" si="17"/>
        <v>0</v>
      </c>
      <c r="S206" s="3">
        <f t="shared" si="18"/>
        <v>8434.5</v>
      </c>
      <c r="T206" s="24"/>
      <c r="U206" s="24"/>
      <c r="V206" s="3"/>
      <c r="W206" s="25"/>
      <c r="X206" s="25" t="s">
        <v>2078</v>
      </c>
      <c r="Y206" s="25"/>
      <c r="Z206" s="25"/>
      <c r="AA206" s="25"/>
      <c r="AB206" s="3" t="str">
        <f>IF(Caja_Finanzas[[#This Row],[fecha]]&gt;0,TEXT(Caja_Finanzas[[#This Row],[fecha]],"mmmm"),0)</f>
        <v>Febrero</v>
      </c>
    </row>
    <row r="207" spans="1:28" x14ac:dyDescent="0.3">
      <c r="A207" s="2">
        <f>IF(Caja_Finanzas[[#This Row],[tipo_r]]="R",COUNTIFS($C$1:$C206,"R")+1,A206)</f>
        <v>197</v>
      </c>
      <c r="B207" s="19" t="str">
        <f t="shared" si="19"/>
        <v>C-Finanzas</v>
      </c>
      <c r="C207" s="3" t="s">
        <v>1330</v>
      </c>
      <c r="D207" s="14">
        <v>45716</v>
      </c>
      <c r="E207" s="5" t="s">
        <v>439</v>
      </c>
      <c r="F207" s="5" t="s">
        <v>1303</v>
      </c>
      <c r="G207" s="5"/>
      <c r="H207" s="6" t="s">
        <v>425</v>
      </c>
      <c r="I207" s="6" t="s">
        <v>119</v>
      </c>
      <c r="J207" s="6">
        <v>1</v>
      </c>
      <c r="K207" s="6">
        <v>4203</v>
      </c>
      <c r="L207" s="7" t="s">
        <v>6118</v>
      </c>
      <c r="M207" s="8" t="str">
        <f>"CFI"&amp;".D"&amp;TEXT(Caja_Finanzas[[#This Row],[fecha]],"DD-MM")&amp;"-"&amp;TEXT(Caja_Finanzas[[#This Row],[item]],"0000")</f>
        <v>CFI.D28-02-0197</v>
      </c>
      <c r="N207" s="8" t="str">
        <f t="shared" si="20"/>
        <v>PEN</v>
      </c>
      <c r="O207" s="13"/>
      <c r="P207" s="13">
        <v>480</v>
      </c>
      <c r="Q207" s="3">
        <f t="shared" si="16"/>
        <v>480</v>
      </c>
      <c r="R207" s="3">
        <f t="shared" si="17"/>
        <v>0</v>
      </c>
      <c r="S207" s="3">
        <f t="shared" si="18"/>
        <v>8914.5</v>
      </c>
      <c r="T207" s="24"/>
      <c r="U207" s="24"/>
      <c r="V207" s="3"/>
      <c r="W207" s="25"/>
      <c r="X207" s="25" t="s">
        <v>6720</v>
      </c>
      <c r="Y207" s="25"/>
      <c r="Z207" s="25"/>
      <c r="AA207" s="25"/>
      <c r="AB207" s="3" t="str">
        <f>IF(Caja_Finanzas[[#This Row],[fecha]]&gt;0,TEXT(Caja_Finanzas[[#This Row],[fecha]],"mmmm"),0)</f>
        <v>Febrero</v>
      </c>
    </row>
    <row r="208" spans="1:28" ht="24" x14ac:dyDescent="0.3">
      <c r="A208" s="2">
        <f>IF(Caja_Finanzas[[#This Row],[tipo_r]]="R",COUNTIFS($C$1:$C207,"R")+1,A207)</f>
        <v>198</v>
      </c>
      <c r="B208" s="19" t="str">
        <f t="shared" si="19"/>
        <v>C-Finanzas</v>
      </c>
      <c r="C208" s="3" t="s">
        <v>1330</v>
      </c>
      <c r="D208" s="14">
        <v>45716</v>
      </c>
      <c r="E208" s="5" t="s">
        <v>4104</v>
      </c>
      <c r="F208" s="5" t="s">
        <v>1303</v>
      </c>
      <c r="G208" s="5"/>
      <c r="H208" s="6" t="s">
        <v>425</v>
      </c>
      <c r="I208" s="6" t="s">
        <v>119</v>
      </c>
      <c r="J208" s="6">
        <v>1</v>
      </c>
      <c r="K208" s="6">
        <v>3982</v>
      </c>
      <c r="L208" s="7" t="s">
        <v>6118</v>
      </c>
      <c r="M208" s="8" t="str">
        <f>"CFI"&amp;".D"&amp;TEXT(Caja_Finanzas[[#This Row],[fecha]],"DD-MM")&amp;"-"&amp;TEXT(Caja_Finanzas[[#This Row],[item]],"0000")</f>
        <v>CFI.D28-02-0198</v>
      </c>
      <c r="N208" s="8" t="str">
        <f t="shared" si="20"/>
        <v>PEN</v>
      </c>
      <c r="O208" s="13"/>
      <c r="P208" s="13">
        <v>500</v>
      </c>
      <c r="Q208" s="3">
        <f t="shared" si="16"/>
        <v>500</v>
      </c>
      <c r="R208" s="3">
        <f t="shared" si="17"/>
        <v>0</v>
      </c>
      <c r="S208" s="3">
        <f t="shared" si="18"/>
        <v>9414.5</v>
      </c>
      <c r="T208" s="24"/>
      <c r="U208" s="24"/>
      <c r="V208" s="3"/>
      <c r="W208" s="25"/>
      <c r="X208" s="25" t="s">
        <v>6512</v>
      </c>
      <c r="Y208" s="25"/>
      <c r="Z208" s="25"/>
      <c r="AA208" s="25"/>
      <c r="AB208" s="3" t="str">
        <f>IF(Caja_Finanzas[[#This Row],[fecha]]&gt;0,TEXT(Caja_Finanzas[[#This Row],[fecha]],"mmmm"),0)</f>
        <v>Febrero</v>
      </c>
    </row>
    <row r="209" spans="1:28" ht="36" x14ac:dyDescent="0.3">
      <c r="A209" s="2">
        <f>IF(Caja_Finanzas[[#This Row],[tipo_r]]="R",COUNTIFS($C$1:$C208,"R")+1,A208)</f>
        <v>199</v>
      </c>
      <c r="B209" s="19" t="str">
        <f t="shared" si="19"/>
        <v>C-Finanzas</v>
      </c>
      <c r="C209" s="3" t="s">
        <v>1330</v>
      </c>
      <c r="D209" s="14">
        <v>45716</v>
      </c>
      <c r="E209" s="5" t="s">
        <v>6415</v>
      </c>
      <c r="F209" s="5" t="s">
        <v>1336</v>
      </c>
      <c r="G209" s="5"/>
      <c r="H209" s="6"/>
      <c r="I209" s="6"/>
      <c r="J209" s="6"/>
      <c r="K209" s="6"/>
      <c r="L209" s="7" t="s">
        <v>6721</v>
      </c>
      <c r="M209" s="8" t="str">
        <f>"CFI"&amp;".D"&amp;TEXT(Caja_Finanzas[[#This Row],[fecha]],"DD-MM")&amp;"-"&amp;TEXT(Caja_Finanzas[[#This Row],[item]],"0000")</f>
        <v>CFI.D28-02-0199</v>
      </c>
      <c r="N209" s="8" t="str">
        <f t="shared" si="20"/>
        <v>PEN</v>
      </c>
      <c r="O209" s="13"/>
      <c r="P209" s="13">
        <v>9526</v>
      </c>
      <c r="Q209" s="3">
        <f t="shared" si="16"/>
        <v>0</v>
      </c>
      <c r="R209" s="3">
        <f t="shared" si="17"/>
        <v>9526</v>
      </c>
      <c r="S209" s="3">
        <f t="shared" si="18"/>
        <v>-111.5</v>
      </c>
      <c r="T209" s="24"/>
      <c r="U209" s="24"/>
      <c r="V209" s="3"/>
      <c r="W209" s="25" t="s">
        <v>779</v>
      </c>
      <c r="X209" s="25"/>
      <c r="Y209" s="25"/>
      <c r="Z209" s="25"/>
      <c r="AA209" s="25"/>
      <c r="AB209" s="3" t="str">
        <f>IF(Caja_Finanzas[[#This Row],[fecha]]&gt;0,TEXT(Caja_Finanzas[[#This Row],[fecha]],"mmmm"),0)</f>
        <v>Febrero</v>
      </c>
    </row>
    <row r="210" spans="1:28" x14ac:dyDescent="0.3">
      <c r="A210" s="2">
        <f>IF(Caja_Finanzas[[#This Row],[tipo_r]]="R",COUNTIFS($C$1:$C209,"R")+1,A209)</f>
        <v>200</v>
      </c>
      <c r="B210" s="19" t="str">
        <f t="shared" si="19"/>
        <v>C-Finanzas</v>
      </c>
      <c r="C210" s="3" t="s">
        <v>1330</v>
      </c>
      <c r="D210" s="14">
        <v>45716</v>
      </c>
      <c r="E210" s="5"/>
      <c r="F210" s="5" t="s">
        <v>1303</v>
      </c>
      <c r="G210" s="5"/>
      <c r="H210" s="6"/>
      <c r="I210" s="6"/>
      <c r="J210" s="6"/>
      <c r="K210" s="6"/>
      <c r="L210" s="7" t="s">
        <v>6722</v>
      </c>
      <c r="M210" s="8" t="str">
        <f>"CFI"&amp;".D"&amp;TEXT(Caja_Finanzas[[#This Row],[fecha]],"DD-MM")&amp;"-"&amp;TEXT(Caja_Finanzas[[#This Row],[item]],"0000")</f>
        <v>CFI.D28-02-0200</v>
      </c>
      <c r="N210" s="8" t="str">
        <f t="shared" si="20"/>
        <v>PEN</v>
      </c>
      <c r="O210" s="13"/>
      <c r="P210" s="13"/>
      <c r="Q210" s="3">
        <f t="shared" si="16"/>
        <v>0</v>
      </c>
      <c r="R210" s="3">
        <f t="shared" si="17"/>
        <v>0</v>
      </c>
      <c r="S210" s="3">
        <f t="shared" si="18"/>
        <v>-111.5</v>
      </c>
      <c r="T210" s="24"/>
      <c r="U210" s="24"/>
      <c r="V210" s="3"/>
      <c r="W210" s="25"/>
      <c r="X210" s="25"/>
      <c r="Y210" s="25"/>
      <c r="Z210" s="25"/>
      <c r="AA210" s="25"/>
      <c r="AB210" s="3" t="str">
        <f>IF(Caja_Finanzas[[#This Row],[fecha]]&gt;0,TEXT(Caja_Finanzas[[#This Row],[fecha]],"mmmm"),0)</f>
        <v>Febrero</v>
      </c>
    </row>
    <row r="211" spans="1:28" ht="24" x14ac:dyDescent="0.3">
      <c r="A211" s="2">
        <f>IF(Caja_Finanzas[[#This Row],[tipo_r]]="R",COUNTIFS($C$1:$C210,"R")+1,A210)</f>
        <v>201</v>
      </c>
      <c r="B211" s="19" t="str">
        <f t="shared" si="19"/>
        <v>C-Finanzas</v>
      </c>
      <c r="C211" s="3" t="s">
        <v>1330</v>
      </c>
      <c r="D211" s="14">
        <v>45716</v>
      </c>
      <c r="E211" s="5" t="s">
        <v>1825</v>
      </c>
      <c r="F211" s="5" t="s">
        <v>1303</v>
      </c>
      <c r="G211" s="5"/>
      <c r="H211" s="6" t="s">
        <v>425</v>
      </c>
      <c r="I211" s="6" t="s">
        <v>119</v>
      </c>
      <c r="J211" s="6">
        <v>1</v>
      </c>
      <c r="K211" s="6">
        <v>4206</v>
      </c>
      <c r="L211" s="7" t="s">
        <v>6118</v>
      </c>
      <c r="M211" s="8" t="str">
        <f>"CFI"&amp;".D"&amp;TEXT(Caja_Finanzas[[#This Row],[fecha]],"DD-MM")&amp;"-"&amp;TEXT(Caja_Finanzas[[#This Row],[item]],"0000")</f>
        <v>CFI.D28-02-0201</v>
      </c>
      <c r="N211" s="8" t="str">
        <f t="shared" si="20"/>
        <v>PEN</v>
      </c>
      <c r="O211" s="13"/>
      <c r="P211" s="13">
        <v>615.29999999999995</v>
      </c>
      <c r="Q211" s="3">
        <f t="shared" si="16"/>
        <v>615.29999999999995</v>
      </c>
      <c r="R211" s="3">
        <f t="shared" si="17"/>
        <v>0</v>
      </c>
      <c r="S211" s="3">
        <f t="shared" si="18"/>
        <v>503.79999999999995</v>
      </c>
      <c r="T211" s="24"/>
      <c r="U211" s="24"/>
      <c r="V211" s="3"/>
      <c r="W211" s="25"/>
      <c r="X211" s="25" t="s">
        <v>2071</v>
      </c>
      <c r="Y211" s="25"/>
      <c r="Z211" s="25"/>
      <c r="AA211" s="25"/>
      <c r="AB211" s="3" t="str">
        <f>IF(Caja_Finanzas[[#This Row],[fecha]]&gt;0,TEXT(Caja_Finanzas[[#This Row],[fecha]],"mmmm"),0)</f>
        <v>Febrero</v>
      </c>
    </row>
    <row r="212" spans="1:28" ht="24" x14ac:dyDescent="0.3">
      <c r="A212" s="2">
        <f>IF(Caja_Finanzas[[#This Row],[tipo_r]]="R",COUNTIFS($C$1:$C211,"R")+1,A211)</f>
        <v>202</v>
      </c>
      <c r="B212" s="19" t="str">
        <f t="shared" si="19"/>
        <v>C-Finanzas</v>
      </c>
      <c r="C212" s="3" t="s">
        <v>1330</v>
      </c>
      <c r="D212" s="14">
        <v>45716</v>
      </c>
      <c r="E212" s="5" t="s">
        <v>2079</v>
      </c>
      <c r="F212" s="5" t="s">
        <v>1303</v>
      </c>
      <c r="G212" s="5"/>
      <c r="H212" s="6" t="s">
        <v>425</v>
      </c>
      <c r="I212" s="6" t="s">
        <v>119</v>
      </c>
      <c r="J212" s="6">
        <v>1</v>
      </c>
      <c r="K212" s="6">
        <v>4207</v>
      </c>
      <c r="L212" s="7" t="s">
        <v>6118</v>
      </c>
      <c r="M212" s="8" t="str">
        <f>"CFI"&amp;".D"&amp;TEXT(Caja_Finanzas[[#This Row],[fecha]],"DD-MM")&amp;"-"&amp;TEXT(Caja_Finanzas[[#This Row],[item]],"0000")</f>
        <v>CFI.D28-02-0202</v>
      </c>
      <c r="N212" s="8" t="str">
        <f t="shared" si="20"/>
        <v>PEN</v>
      </c>
      <c r="O212" s="13"/>
      <c r="P212" s="13">
        <v>370</v>
      </c>
      <c r="Q212" s="3">
        <f t="shared" si="16"/>
        <v>370</v>
      </c>
      <c r="R212" s="3">
        <f t="shared" si="17"/>
        <v>0</v>
      </c>
      <c r="S212" s="3">
        <f t="shared" si="18"/>
        <v>873.8</v>
      </c>
      <c r="T212" s="24"/>
      <c r="U212" s="24"/>
      <c r="V212" s="3"/>
      <c r="W212" s="25"/>
      <c r="X212" s="25" t="s">
        <v>2080</v>
      </c>
      <c r="Y212" s="25"/>
      <c r="Z212" s="25"/>
      <c r="AA212" s="25"/>
      <c r="AB212" s="3" t="str">
        <f>IF(Caja_Finanzas[[#This Row],[fecha]]&gt;0,TEXT(Caja_Finanzas[[#This Row],[fecha]],"mmmm"),0)</f>
        <v>Febrero</v>
      </c>
    </row>
    <row r="213" spans="1:28" x14ac:dyDescent="0.3">
      <c r="A213" s="2">
        <f>IF(Caja_Finanzas[[#This Row],[tipo_r]]="R",COUNTIFS($C$1:$C212,"R")+1,A212)</f>
        <v>203</v>
      </c>
      <c r="B213" s="19" t="str">
        <f t="shared" si="19"/>
        <v>C-Finanzas</v>
      </c>
      <c r="C213" s="3" t="s">
        <v>1330</v>
      </c>
      <c r="D213" s="14">
        <v>45716</v>
      </c>
      <c r="E213" s="5" t="s">
        <v>2800</v>
      </c>
      <c r="F213" s="5" t="s">
        <v>1303</v>
      </c>
      <c r="G213" s="5"/>
      <c r="H213" s="6" t="s">
        <v>425</v>
      </c>
      <c r="I213" s="6" t="s">
        <v>119</v>
      </c>
      <c r="J213" s="6">
        <v>1</v>
      </c>
      <c r="K213" s="6">
        <v>4188</v>
      </c>
      <c r="L213" s="7" t="s">
        <v>6118</v>
      </c>
      <c r="M213" s="8" t="str">
        <f>"CFI"&amp;".D"&amp;TEXT(Caja_Finanzas[[#This Row],[fecha]],"DD-MM")&amp;"-"&amp;TEXT(Caja_Finanzas[[#This Row],[item]],"0000")</f>
        <v>CFI.D28-02-0203</v>
      </c>
      <c r="N213" s="8" t="str">
        <f t="shared" si="20"/>
        <v>PEN</v>
      </c>
      <c r="O213" s="13"/>
      <c r="P213" s="13">
        <v>810</v>
      </c>
      <c r="Q213" s="3">
        <f t="shared" si="16"/>
        <v>810</v>
      </c>
      <c r="R213" s="3">
        <f t="shared" si="17"/>
        <v>0</v>
      </c>
      <c r="S213" s="3">
        <f t="shared" si="18"/>
        <v>1683.8</v>
      </c>
      <c r="T213" s="24"/>
      <c r="U213" s="24"/>
      <c r="V213" s="3"/>
      <c r="W213" s="25"/>
      <c r="X213" s="25" t="s">
        <v>6723</v>
      </c>
      <c r="Y213" s="25"/>
      <c r="Z213" s="25"/>
      <c r="AA213" s="25"/>
      <c r="AB213" s="3" t="str">
        <f>IF(Caja_Finanzas[[#This Row],[fecha]]&gt;0,TEXT(Caja_Finanzas[[#This Row],[fecha]],"mmmm"),0)</f>
        <v>Febrero</v>
      </c>
    </row>
    <row r="214" spans="1:28" ht="24" x14ac:dyDescent="0.3">
      <c r="A214" s="2">
        <f>IF(Caja_Finanzas[[#This Row],[tipo_r]]="R",COUNTIFS($C$1:$C213,"R")+1,A213)</f>
        <v>204</v>
      </c>
      <c r="B214" s="19" t="str">
        <f t="shared" si="19"/>
        <v>C-Finanzas</v>
      </c>
      <c r="C214" s="3" t="s">
        <v>1330</v>
      </c>
      <c r="D214" s="14">
        <v>45716</v>
      </c>
      <c r="E214" s="5" t="s">
        <v>3707</v>
      </c>
      <c r="F214" s="5" t="s">
        <v>1303</v>
      </c>
      <c r="G214" s="5"/>
      <c r="H214" s="6" t="s">
        <v>425</v>
      </c>
      <c r="I214" s="6" t="s">
        <v>119</v>
      </c>
      <c r="J214" s="6">
        <v>1</v>
      </c>
      <c r="K214" s="6">
        <v>4168</v>
      </c>
      <c r="L214" s="7" t="s">
        <v>6118</v>
      </c>
      <c r="M214" s="8" t="str">
        <f>"CFI"&amp;".D"&amp;TEXT(Caja_Finanzas[[#This Row],[fecha]],"DD-MM")&amp;"-"&amp;TEXT(Caja_Finanzas[[#This Row],[item]],"0000")</f>
        <v>CFI.D28-02-0204</v>
      </c>
      <c r="N214" s="8" t="str">
        <f t="shared" si="20"/>
        <v>PEN</v>
      </c>
      <c r="O214" s="13"/>
      <c r="P214" s="13">
        <v>6</v>
      </c>
      <c r="Q214" s="3">
        <f t="shared" si="16"/>
        <v>6</v>
      </c>
      <c r="R214" s="3">
        <f t="shared" si="17"/>
        <v>0</v>
      </c>
      <c r="S214" s="3">
        <f t="shared" si="18"/>
        <v>1689.8</v>
      </c>
      <c r="T214" s="24"/>
      <c r="U214" s="24"/>
      <c r="V214" s="3"/>
      <c r="W214" s="25"/>
      <c r="X214" s="25" t="s">
        <v>6676</v>
      </c>
      <c r="Y214" s="25"/>
      <c r="Z214" s="25"/>
      <c r="AA214" s="25"/>
      <c r="AB214" s="3" t="str">
        <f>IF(Caja_Finanzas[[#This Row],[fecha]]&gt;0,TEXT(Caja_Finanzas[[#This Row],[fecha]],"mmmm"),0)</f>
        <v>Febrero</v>
      </c>
    </row>
    <row r="215" spans="1:28" ht="24" x14ac:dyDescent="0.3">
      <c r="A215" s="2">
        <f>IF(Caja_Finanzas[[#This Row],[tipo_r]]="R",COUNTIFS($C$1:$C214,"R")+1,A214)</f>
        <v>205</v>
      </c>
      <c r="B215" s="19" t="str">
        <f t="shared" si="19"/>
        <v>C-Finanzas</v>
      </c>
      <c r="C215" s="3" t="s">
        <v>1330</v>
      </c>
      <c r="D215" s="14">
        <v>45719</v>
      </c>
      <c r="E215" s="5" t="s">
        <v>1696</v>
      </c>
      <c r="F215" s="5" t="s">
        <v>1303</v>
      </c>
      <c r="G215" s="5"/>
      <c r="H215" s="6" t="s">
        <v>425</v>
      </c>
      <c r="I215" s="6" t="s">
        <v>119</v>
      </c>
      <c r="J215" s="6">
        <v>1</v>
      </c>
      <c r="K215" s="6">
        <v>4209</v>
      </c>
      <c r="L215" s="7" t="s">
        <v>6118</v>
      </c>
      <c r="M215" s="8" t="str">
        <f>"CFI"&amp;".D"&amp;TEXT(Caja_Finanzas[[#This Row],[fecha]],"DD-MM")&amp;"-"&amp;TEXT(Caja_Finanzas[[#This Row],[item]],"0000")</f>
        <v>CFI.D03-03-0205</v>
      </c>
      <c r="N215" s="8" t="str">
        <f t="shared" si="20"/>
        <v>PEN</v>
      </c>
      <c r="O215" s="13"/>
      <c r="P215" s="13">
        <v>1205</v>
      </c>
      <c r="Q215" s="3">
        <f t="shared" si="16"/>
        <v>1205</v>
      </c>
      <c r="R215" s="3">
        <f t="shared" si="17"/>
        <v>0</v>
      </c>
      <c r="S215" s="3">
        <f t="shared" si="18"/>
        <v>2894.8</v>
      </c>
      <c r="T215" s="24"/>
      <c r="U215" s="24"/>
      <c r="V215" s="3"/>
      <c r="W215" s="25"/>
      <c r="X215" s="25" t="s">
        <v>6724</v>
      </c>
      <c r="Y215" s="25"/>
      <c r="Z215" s="25"/>
      <c r="AA215" s="25"/>
      <c r="AB215" s="3" t="str">
        <f>IF(Caja_Finanzas[[#This Row],[fecha]]&gt;0,TEXT(Caja_Finanzas[[#This Row],[fecha]],"mmmm"),0)</f>
        <v>Marzo</v>
      </c>
    </row>
    <row r="216" spans="1:28" ht="24" x14ac:dyDescent="0.3">
      <c r="A216" s="2">
        <f>IF(Caja_Finanzas[[#This Row],[tipo_r]]="R",COUNTIFS($C$1:$C215,"R")+1,A215)</f>
        <v>206</v>
      </c>
      <c r="B216" s="19" t="str">
        <f t="shared" si="19"/>
        <v>C-Finanzas</v>
      </c>
      <c r="C216" s="3" t="s">
        <v>1330</v>
      </c>
      <c r="D216" s="14">
        <v>45719</v>
      </c>
      <c r="E216" s="5" t="s">
        <v>1825</v>
      </c>
      <c r="F216" s="5" t="s">
        <v>1303</v>
      </c>
      <c r="G216" s="5"/>
      <c r="H216" s="6" t="s">
        <v>425</v>
      </c>
      <c r="I216" s="6" t="s">
        <v>119</v>
      </c>
      <c r="J216" s="6">
        <v>1</v>
      </c>
      <c r="K216" s="6">
        <v>4210</v>
      </c>
      <c r="L216" s="7" t="s">
        <v>6118</v>
      </c>
      <c r="M216" s="8" t="str">
        <f>"CFI"&amp;".D"&amp;TEXT(Caja_Finanzas[[#This Row],[fecha]],"DD-MM")&amp;"-"&amp;TEXT(Caja_Finanzas[[#This Row],[item]],"0000")</f>
        <v>CFI.D03-03-0206</v>
      </c>
      <c r="N216" s="8" t="str">
        <f t="shared" si="20"/>
        <v>PEN</v>
      </c>
      <c r="O216" s="13"/>
      <c r="P216" s="13">
        <v>9532.7000000000007</v>
      </c>
      <c r="Q216" s="3">
        <f t="shared" si="16"/>
        <v>9532.7000000000007</v>
      </c>
      <c r="R216" s="3">
        <f t="shared" si="17"/>
        <v>0</v>
      </c>
      <c r="S216" s="3">
        <f t="shared" si="18"/>
        <v>12427.5</v>
      </c>
      <c r="T216" s="24"/>
      <c r="U216" s="24"/>
      <c r="V216" s="3"/>
      <c r="W216" s="25"/>
      <c r="X216" s="25" t="s">
        <v>6725</v>
      </c>
      <c r="Y216" s="25"/>
      <c r="Z216" s="25"/>
      <c r="AA216" s="25"/>
      <c r="AB216" s="3" t="str">
        <f>IF(Caja_Finanzas[[#This Row],[fecha]]&gt;0,TEXT(Caja_Finanzas[[#This Row],[fecha]],"mmmm"),0)</f>
        <v>Marzo</v>
      </c>
    </row>
    <row r="217" spans="1:28" ht="24" x14ac:dyDescent="0.3">
      <c r="A217" s="2">
        <f>IF(Caja_Finanzas[[#This Row],[tipo_r]]="R",COUNTIFS($C$1:$C216,"R")+1,A216)</f>
        <v>207</v>
      </c>
      <c r="B217" s="19" t="str">
        <f t="shared" si="19"/>
        <v>C-Finanzas</v>
      </c>
      <c r="C217" s="3" t="s">
        <v>1330</v>
      </c>
      <c r="D217" s="14">
        <v>45719</v>
      </c>
      <c r="E217" s="5" t="s">
        <v>6465</v>
      </c>
      <c r="F217" s="5" t="s">
        <v>1336</v>
      </c>
      <c r="G217" s="5"/>
      <c r="H217" s="6"/>
      <c r="I217" s="6"/>
      <c r="J217" s="6"/>
      <c r="K217" s="6"/>
      <c r="L217" s="7" t="s">
        <v>6726</v>
      </c>
      <c r="M217" s="8" t="str">
        <f>"CFI"&amp;".D"&amp;TEXT(Caja_Finanzas[[#This Row],[fecha]],"DD-MM")&amp;"-"&amp;TEXT(Caja_Finanzas[[#This Row],[item]],"0000")</f>
        <v>CFI.D03-03-0207</v>
      </c>
      <c r="N217" s="8" t="str">
        <f t="shared" si="20"/>
        <v>PEN</v>
      </c>
      <c r="O217" s="13"/>
      <c r="P217" s="13">
        <v>9</v>
      </c>
      <c r="Q217" s="3">
        <f t="shared" si="16"/>
        <v>0</v>
      </c>
      <c r="R217" s="3">
        <f t="shared" si="17"/>
        <v>9</v>
      </c>
      <c r="S217" s="3">
        <f t="shared" si="18"/>
        <v>12418.5</v>
      </c>
      <c r="T217" s="24"/>
      <c r="U217" s="24"/>
      <c r="V217" s="3"/>
      <c r="W217" s="25" t="s">
        <v>6727</v>
      </c>
      <c r="X217" s="25" t="s">
        <v>6728</v>
      </c>
      <c r="Y217" s="25"/>
      <c r="Z217" s="25"/>
      <c r="AA217" s="25"/>
      <c r="AB217" s="3" t="str">
        <f>IF(Caja_Finanzas[[#This Row],[fecha]]&gt;0,TEXT(Caja_Finanzas[[#This Row],[fecha]],"mmmm"),0)</f>
        <v>Marzo</v>
      </c>
    </row>
    <row r="218" spans="1:28" ht="48" x14ac:dyDescent="0.3">
      <c r="A218" s="2">
        <f>IF(Caja_Finanzas[[#This Row],[tipo_r]]="R",COUNTIFS($C$1:$C217,"R")+1,A217)</f>
        <v>208</v>
      </c>
      <c r="B218" s="19" t="str">
        <f t="shared" si="19"/>
        <v>C-Finanzas</v>
      </c>
      <c r="C218" s="3" t="s">
        <v>1330</v>
      </c>
      <c r="D218" s="14">
        <v>45719</v>
      </c>
      <c r="E218" s="5" t="s">
        <v>6702</v>
      </c>
      <c r="F218" s="5" t="s">
        <v>1336</v>
      </c>
      <c r="G218" s="5"/>
      <c r="H218" s="6"/>
      <c r="I218" s="6"/>
      <c r="J218" s="6"/>
      <c r="K218" s="6"/>
      <c r="L218" s="7" t="s">
        <v>6729</v>
      </c>
      <c r="M218" s="8" t="str">
        <f>"CFI"&amp;".D"&amp;TEXT(Caja_Finanzas[[#This Row],[fecha]],"DD-MM")&amp;"-"&amp;TEXT(Caja_Finanzas[[#This Row],[item]],"0000")</f>
        <v>CFI.D03-03-0208</v>
      </c>
      <c r="N218" s="8" t="str">
        <f t="shared" si="20"/>
        <v>PEN</v>
      </c>
      <c r="O218" s="13"/>
      <c r="P218" s="13">
        <v>400</v>
      </c>
      <c r="Q218" s="3">
        <f t="shared" si="16"/>
        <v>0</v>
      </c>
      <c r="R218" s="3">
        <f t="shared" si="17"/>
        <v>400</v>
      </c>
      <c r="S218" s="3">
        <f t="shared" si="18"/>
        <v>12018.5</v>
      </c>
      <c r="T218" s="24"/>
      <c r="U218" s="24"/>
      <c r="V218" s="3"/>
      <c r="W218" s="25" t="s">
        <v>474</v>
      </c>
      <c r="X218" s="25" t="s">
        <v>6730</v>
      </c>
      <c r="Y218" s="25"/>
      <c r="Z218" s="25"/>
      <c r="AA218" s="25"/>
      <c r="AB218" s="3" t="str">
        <f>IF(Caja_Finanzas[[#This Row],[fecha]]&gt;0,TEXT(Caja_Finanzas[[#This Row],[fecha]],"mmmm"),0)</f>
        <v>Marzo</v>
      </c>
    </row>
    <row r="219" spans="1:28" ht="24" x14ac:dyDescent="0.3">
      <c r="A219" s="2">
        <f>IF(Caja_Finanzas[[#This Row],[tipo_r]]="R",COUNTIFS($C$1:$C218,"R")+1,A218)</f>
        <v>209</v>
      </c>
      <c r="B219" s="19" t="str">
        <f t="shared" si="19"/>
        <v>C-Finanzas</v>
      </c>
      <c r="C219" s="3" t="s">
        <v>1330</v>
      </c>
      <c r="D219" s="14">
        <v>45719</v>
      </c>
      <c r="E219" s="5" t="s">
        <v>6731</v>
      </c>
      <c r="F219" s="5" t="s">
        <v>1336</v>
      </c>
      <c r="G219" s="5"/>
      <c r="H219" s="6"/>
      <c r="I219" s="6"/>
      <c r="J219" s="6"/>
      <c r="K219" s="6"/>
      <c r="L219" s="7" t="s">
        <v>6732</v>
      </c>
      <c r="M219" s="8" t="str">
        <f>"CFI"&amp;".D"&amp;TEXT(Caja_Finanzas[[#This Row],[fecha]],"DD-MM")&amp;"-"&amp;TEXT(Caja_Finanzas[[#This Row],[item]],"0000")</f>
        <v>CFI.D03-03-0209</v>
      </c>
      <c r="N219" s="8" t="str">
        <f t="shared" si="20"/>
        <v>PEN</v>
      </c>
      <c r="O219" s="13"/>
      <c r="P219" s="13">
        <v>10</v>
      </c>
      <c r="Q219" s="3">
        <f t="shared" si="16"/>
        <v>0</v>
      </c>
      <c r="R219" s="3">
        <f t="shared" si="17"/>
        <v>10</v>
      </c>
      <c r="S219" s="3">
        <f t="shared" si="18"/>
        <v>12008.5</v>
      </c>
      <c r="T219" s="24"/>
      <c r="U219" s="24"/>
      <c r="V219" s="3"/>
      <c r="W219" s="25" t="s">
        <v>6709</v>
      </c>
      <c r="X219" s="25" t="s">
        <v>6733</v>
      </c>
      <c r="Y219" s="25"/>
      <c r="Z219" s="25"/>
      <c r="AA219" s="25"/>
      <c r="AB219" s="3" t="str">
        <f>IF(Caja_Finanzas[[#This Row],[fecha]]&gt;0,TEXT(Caja_Finanzas[[#This Row],[fecha]],"mmmm"),0)</f>
        <v>Marzo</v>
      </c>
    </row>
    <row r="220" spans="1:28" x14ac:dyDescent="0.3">
      <c r="A220" s="2">
        <f>IF(Caja_Finanzas[[#This Row],[tipo_r]]="R",COUNTIFS($C$1:$C219,"R")+1,A219)</f>
        <v>210</v>
      </c>
      <c r="B220" s="19" t="str">
        <f t="shared" si="19"/>
        <v>C-Finanzas</v>
      </c>
      <c r="C220" s="3" t="s">
        <v>1330</v>
      </c>
      <c r="D220" s="14">
        <v>45719</v>
      </c>
      <c r="E220" s="5" t="s">
        <v>3634</v>
      </c>
      <c r="F220" s="5" t="s">
        <v>1336</v>
      </c>
      <c r="G220" s="5"/>
      <c r="H220" s="6"/>
      <c r="I220" s="6"/>
      <c r="J220" s="6"/>
      <c r="K220" s="6"/>
      <c r="L220" s="7" t="s">
        <v>6510</v>
      </c>
      <c r="M220" s="8" t="str">
        <f>"CFI"&amp;".D"&amp;TEXT(Caja_Finanzas[[#This Row],[fecha]],"DD-MM")&amp;"-"&amp;TEXT(Caja_Finanzas[[#This Row],[item]],"0000")</f>
        <v>CFI.D03-03-0210</v>
      </c>
      <c r="N220" s="8" t="str">
        <f t="shared" si="20"/>
        <v>PEN</v>
      </c>
      <c r="O220" s="13"/>
      <c r="P220" s="13">
        <v>900</v>
      </c>
      <c r="Q220" s="3">
        <f t="shared" si="16"/>
        <v>0</v>
      </c>
      <c r="R220" s="3">
        <f t="shared" si="17"/>
        <v>900</v>
      </c>
      <c r="S220" s="3">
        <f t="shared" si="18"/>
        <v>11108.5</v>
      </c>
      <c r="T220" s="24"/>
      <c r="U220" s="24"/>
      <c r="V220" s="3"/>
      <c r="W220" s="25"/>
      <c r="X220" s="25"/>
      <c r="Y220" s="25"/>
      <c r="Z220" s="25"/>
      <c r="AA220" s="25"/>
      <c r="AB220" s="3" t="str">
        <f>IF(Caja_Finanzas[[#This Row],[fecha]]&gt;0,TEXT(Caja_Finanzas[[#This Row],[fecha]],"mmmm"),0)</f>
        <v>Marzo</v>
      </c>
    </row>
    <row r="221" spans="1:28" ht="24" x14ac:dyDescent="0.3">
      <c r="A221" s="2">
        <f>IF(Caja_Finanzas[[#This Row],[tipo_r]]="R",COUNTIFS($C$1:$C220,"R")+1,A220)</f>
        <v>211</v>
      </c>
      <c r="B221" s="19" t="str">
        <f t="shared" si="19"/>
        <v>C-Finanzas</v>
      </c>
      <c r="C221" s="3" t="s">
        <v>1330</v>
      </c>
      <c r="D221" s="14">
        <v>45720</v>
      </c>
      <c r="E221" s="5" t="s">
        <v>6465</v>
      </c>
      <c r="F221" s="5" t="s">
        <v>1336</v>
      </c>
      <c r="G221" s="5"/>
      <c r="H221" s="6"/>
      <c r="I221" s="6"/>
      <c r="J221" s="6"/>
      <c r="K221" s="6"/>
      <c r="L221" s="7" t="s">
        <v>6734</v>
      </c>
      <c r="M221" s="8" t="str">
        <f>"CFI"&amp;".D"&amp;TEXT(Caja_Finanzas[[#This Row],[fecha]],"DD-MM")&amp;"-"&amp;TEXT(Caja_Finanzas[[#This Row],[item]],"0000")</f>
        <v>CFI.D04-03-0211</v>
      </c>
      <c r="N221" s="8" t="str">
        <f t="shared" si="20"/>
        <v>PEN</v>
      </c>
      <c r="O221" s="13"/>
      <c r="P221" s="13">
        <v>227.5</v>
      </c>
      <c r="Q221" s="3">
        <f t="shared" si="16"/>
        <v>0</v>
      </c>
      <c r="R221" s="3">
        <f t="shared" si="17"/>
        <v>227.5</v>
      </c>
      <c r="S221" s="3">
        <f t="shared" si="18"/>
        <v>10881</v>
      </c>
      <c r="T221" s="24"/>
      <c r="U221" s="24"/>
      <c r="V221" s="3"/>
      <c r="W221" s="25" t="s">
        <v>6467</v>
      </c>
      <c r="X221" s="25" t="s">
        <v>6735</v>
      </c>
      <c r="Y221" s="25"/>
      <c r="Z221" s="25"/>
      <c r="AA221" s="25"/>
      <c r="AB221" s="3" t="str">
        <f>IF(Caja_Finanzas[[#This Row],[fecha]]&gt;0,TEXT(Caja_Finanzas[[#This Row],[fecha]],"mmmm"),0)</f>
        <v>Marzo</v>
      </c>
    </row>
    <row r="222" spans="1:28" ht="36" x14ac:dyDescent="0.3">
      <c r="A222" s="2">
        <f>IF(Caja_Finanzas[[#This Row],[tipo_r]]="R",COUNTIFS($C$1:$C221,"R")+1,A221)</f>
        <v>212</v>
      </c>
      <c r="B222" s="19" t="str">
        <f t="shared" si="19"/>
        <v>C-Finanzas</v>
      </c>
      <c r="C222" s="3" t="s">
        <v>1330</v>
      </c>
      <c r="D222" s="14">
        <v>45720</v>
      </c>
      <c r="E222" s="5" t="s">
        <v>6702</v>
      </c>
      <c r="F222" s="5" t="s">
        <v>1336</v>
      </c>
      <c r="G222" s="5"/>
      <c r="H222" s="6"/>
      <c r="I222" s="6"/>
      <c r="J222" s="6"/>
      <c r="K222" s="6"/>
      <c r="L222" s="7" t="s">
        <v>6736</v>
      </c>
      <c r="M222" s="8" t="str">
        <f>"CFI"&amp;".D"&amp;TEXT(Caja_Finanzas[[#This Row],[fecha]],"DD-MM")&amp;"-"&amp;TEXT(Caja_Finanzas[[#This Row],[item]],"0000")</f>
        <v>CFI.D04-03-0212</v>
      </c>
      <c r="N222" s="8" t="str">
        <f t="shared" si="20"/>
        <v>PEN</v>
      </c>
      <c r="O222" s="13"/>
      <c r="P222" s="13">
        <v>200</v>
      </c>
      <c r="Q222" s="3">
        <f t="shared" si="16"/>
        <v>0</v>
      </c>
      <c r="R222" s="3">
        <f t="shared" si="17"/>
        <v>200</v>
      </c>
      <c r="S222" s="3">
        <f t="shared" si="18"/>
        <v>10681</v>
      </c>
      <c r="T222" s="24"/>
      <c r="U222" s="24"/>
      <c r="V222" s="3"/>
      <c r="W222" s="25" t="s">
        <v>6737</v>
      </c>
      <c r="X222" s="25" t="s">
        <v>6738</v>
      </c>
      <c r="Y222" s="25"/>
      <c r="Z222" s="25"/>
      <c r="AA222" s="25"/>
      <c r="AB222" s="3" t="str">
        <f>IF(Caja_Finanzas[[#This Row],[fecha]]&gt;0,TEXT(Caja_Finanzas[[#This Row],[fecha]],"mmmm"),0)</f>
        <v>Marzo</v>
      </c>
    </row>
    <row r="223" spans="1:28" ht="48" x14ac:dyDescent="0.3">
      <c r="A223" s="2">
        <f>IF(Caja_Finanzas[[#This Row],[tipo_r]]="R",COUNTIFS($C$1:$C222,"R")+1,A222)</f>
        <v>213</v>
      </c>
      <c r="B223" s="19" t="str">
        <f t="shared" si="19"/>
        <v>C-Finanzas</v>
      </c>
      <c r="C223" s="3" t="s">
        <v>1330</v>
      </c>
      <c r="D223" s="14">
        <v>45720</v>
      </c>
      <c r="E223" s="5" t="s">
        <v>6460</v>
      </c>
      <c r="F223" s="5" t="s">
        <v>1336</v>
      </c>
      <c r="G223" s="5"/>
      <c r="H223" s="6"/>
      <c r="I223" s="6"/>
      <c r="J223" s="6"/>
      <c r="K223" s="6"/>
      <c r="L223" s="7" t="s">
        <v>6739</v>
      </c>
      <c r="M223" s="8" t="str">
        <f>"CFI"&amp;".D"&amp;TEXT(Caja_Finanzas[[#This Row],[fecha]],"DD-MM")&amp;"-"&amp;TEXT(Caja_Finanzas[[#This Row],[item]],"0000")</f>
        <v>CFI.D04-03-0213</v>
      </c>
      <c r="N223" s="8" t="str">
        <f t="shared" si="20"/>
        <v>PEN</v>
      </c>
      <c r="O223" s="13"/>
      <c r="P223" s="13">
        <v>510</v>
      </c>
      <c r="Q223" s="3">
        <f t="shared" si="16"/>
        <v>0</v>
      </c>
      <c r="R223" s="3">
        <f t="shared" si="17"/>
        <v>510</v>
      </c>
      <c r="S223" s="3">
        <f t="shared" si="18"/>
        <v>10171</v>
      </c>
      <c r="T223" s="24"/>
      <c r="U223" s="24"/>
      <c r="V223" s="3"/>
      <c r="W223" s="25" t="s">
        <v>6709</v>
      </c>
      <c r="X223" s="25" t="s">
        <v>6740</v>
      </c>
      <c r="Y223" s="25"/>
      <c r="Z223" s="25"/>
      <c r="AA223" s="25"/>
      <c r="AB223" s="3" t="str">
        <f>IF(Caja_Finanzas[[#This Row],[fecha]]&gt;0,TEXT(Caja_Finanzas[[#This Row],[fecha]],"mmmm"),0)</f>
        <v>Marzo</v>
      </c>
    </row>
    <row r="224" spans="1:28" ht="36" x14ac:dyDescent="0.3">
      <c r="A224" s="2">
        <f>IF(Caja_Finanzas[[#This Row],[tipo_r]]="R",COUNTIFS($C$1:$C223,"R")+1,A223)</f>
        <v>214</v>
      </c>
      <c r="B224" s="19" t="str">
        <f t="shared" si="19"/>
        <v>C-Finanzas</v>
      </c>
      <c r="C224" s="3" t="s">
        <v>1330</v>
      </c>
      <c r="D224" s="14">
        <v>45721</v>
      </c>
      <c r="E224" s="5" t="s">
        <v>6415</v>
      </c>
      <c r="F224" s="5" t="s">
        <v>1336</v>
      </c>
      <c r="G224" s="5"/>
      <c r="H224" s="6"/>
      <c r="I224" s="6"/>
      <c r="J224" s="6"/>
      <c r="K224" s="6"/>
      <c r="L224" s="7" t="s">
        <v>6741</v>
      </c>
      <c r="M224" s="8" t="str">
        <f>"CFI"&amp;".D"&amp;TEXT(Caja_Finanzas[[#This Row],[fecha]],"DD-MM")&amp;"-"&amp;TEXT(Caja_Finanzas[[#This Row],[item]],"0000")</f>
        <v>CFI.D05-03-0214</v>
      </c>
      <c r="N224" s="8" t="str">
        <f t="shared" si="20"/>
        <v>PEN</v>
      </c>
      <c r="O224" s="13"/>
      <c r="P224" s="13">
        <v>340</v>
      </c>
      <c r="Q224" s="3">
        <f t="shared" si="16"/>
        <v>0</v>
      </c>
      <c r="R224" s="3">
        <f t="shared" si="17"/>
        <v>340</v>
      </c>
      <c r="S224" s="3">
        <f t="shared" si="18"/>
        <v>9831</v>
      </c>
      <c r="T224" s="24"/>
      <c r="U224" s="24"/>
      <c r="V224" s="3"/>
      <c r="W224" s="25" t="s">
        <v>6742</v>
      </c>
      <c r="X224" s="25" t="s">
        <v>6743</v>
      </c>
      <c r="Y224" s="25"/>
      <c r="Z224" s="25"/>
      <c r="AA224" s="25"/>
      <c r="AB224" s="3" t="str">
        <f>IF(Caja_Finanzas[[#This Row],[fecha]]&gt;0,TEXT(Caja_Finanzas[[#This Row],[fecha]],"mmmm"),0)</f>
        <v>Marzo</v>
      </c>
    </row>
    <row r="225" spans="1:28" ht="24" x14ac:dyDescent="0.3">
      <c r="A225" s="2">
        <f>IF(Caja_Finanzas[[#This Row],[tipo_r]]="R",COUNTIFS($C$1:$C224,"R")+1,A224)</f>
        <v>215</v>
      </c>
      <c r="B225" s="19" t="str">
        <f t="shared" si="19"/>
        <v>C-Finanzas</v>
      </c>
      <c r="C225" s="3" t="s">
        <v>1330</v>
      </c>
      <c r="D225" s="14">
        <v>45721</v>
      </c>
      <c r="E225" s="5" t="s">
        <v>6418</v>
      </c>
      <c r="F225" s="5" t="s">
        <v>1336</v>
      </c>
      <c r="G225" s="5"/>
      <c r="H225" s="6" t="s">
        <v>809</v>
      </c>
      <c r="I225" s="6"/>
      <c r="J225" s="6"/>
      <c r="K225" s="6"/>
      <c r="L225" s="7" t="s">
        <v>6652</v>
      </c>
      <c r="M225" s="8" t="str">
        <f>"CFI"&amp;".D"&amp;TEXT(Caja_Finanzas[[#This Row],[fecha]],"DD-MM")&amp;"-"&amp;TEXT(Caja_Finanzas[[#This Row],[item]],"0000")</f>
        <v>CFI.D05-03-0215</v>
      </c>
      <c r="N225" s="8" t="str">
        <f t="shared" si="20"/>
        <v>PEN</v>
      </c>
      <c r="O225" s="13"/>
      <c r="P225" s="13">
        <v>1000</v>
      </c>
      <c r="Q225" s="3">
        <f t="shared" si="16"/>
        <v>0</v>
      </c>
      <c r="R225" s="3">
        <f t="shared" si="17"/>
        <v>1000</v>
      </c>
      <c r="S225" s="3">
        <f t="shared" si="18"/>
        <v>8831</v>
      </c>
      <c r="T225" s="24"/>
      <c r="U225" s="24"/>
      <c r="V225" s="3"/>
      <c r="W225" s="25"/>
      <c r="X225" s="25"/>
      <c r="Y225" s="25"/>
      <c r="Z225" s="25"/>
      <c r="AA225" s="25"/>
      <c r="AB225" s="3" t="str">
        <f>IF(Caja_Finanzas[[#This Row],[fecha]]&gt;0,TEXT(Caja_Finanzas[[#This Row],[fecha]],"mmmm"),0)</f>
        <v>Marzo</v>
      </c>
    </row>
    <row r="226" spans="1:28" ht="24" x14ac:dyDescent="0.3">
      <c r="A226" s="2">
        <f>IF(Caja_Finanzas[[#This Row],[tipo_r]]="R",COUNTIFS($C$1:$C225,"R")+1,A225)</f>
        <v>216</v>
      </c>
      <c r="B226" s="19" t="str">
        <f t="shared" si="19"/>
        <v>C-Finanzas</v>
      </c>
      <c r="C226" s="3" t="s">
        <v>1330</v>
      </c>
      <c r="D226" s="14">
        <v>45721</v>
      </c>
      <c r="E226" s="5" t="s">
        <v>6744</v>
      </c>
      <c r="F226" s="5" t="s">
        <v>1303</v>
      </c>
      <c r="G226" s="5"/>
      <c r="H226" s="6" t="s">
        <v>425</v>
      </c>
      <c r="I226" s="6" t="s">
        <v>119</v>
      </c>
      <c r="J226" s="6">
        <v>3</v>
      </c>
      <c r="K226" s="6">
        <v>543</v>
      </c>
      <c r="L226" s="7" t="s">
        <v>6118</v>
      </c>
      <c r="M226" s="8" t="str">
        <f>"CFI"&amp;".D"&amp;TEXT(Caja_Finanzas[[#This Row],[fecha]],"DD-MM")&amp;"-"&amp;TEXT(Caja_Finanzas[[#This Row],[item]],"0000")</f>
        <v>CFI.D05-03-0216</v>
      </c>
      <c r="N226" s="8" t="str">
        <f t="shared" si="20"/>
        <v>PEN</v>
      </c>
      <c r="O226" s="13"/>
      <c r="P226" s="13">
        <v>10</v>
      </c>
      <c r="Q226" s="3">
        <f t="shared" si="16"/>
        <v>10</v>
      </c>
      <c r="R226" s="3">
        <f t="shared" si="17"/>
        <v>0</v>
      </c>
      <c r="S226" s="3">
        <f t="shared" si="18"/>
        <v>8841</v>
      </c>
      <c r="T226" s="24"/>
      <c r="U226" s="24"/>
      <c r="V226" s="3"/>
      <c r="W226" s="25"/>
      <c r="X226" s="25" t="s">
        <v>6745</v>
      </c>
      <c r="Y226" s="25"/>
      <c r="Z226" s="25"/>
      <c r="AA226" s="25"/>
      <c r="AB226" s="3" t="str">
        <f>IF(Caja_Finanzas[[#This Row],[fecha]]&gt;0,TEXT(Caja_Finanzas[[#This Row],[fecha]],"mmmm"),0)</f>
        <v>Marzo</v>
      </c>
    </row>
    <row r="227" spans="1:28" x14ac:dyDescent="0.3">
      <c r="A227" s="2">
        <f>IF(Caja_Finanzas[[#This Row],[tipo_r]]="R",COUNTIFS($C$1:$C226,"R")+1,A226)</f>
        <v>217</v>
      </c>
      <c r="B227" s="19" t="str">
        <f t="shared" si="19"/>
        <v>C-Finanzas</v>
      </c>
      <c r="C227" s="3" t="s">
        <v>1330</v>
      </c>
      <c r="D227" s="14">
        <v>45721</v>
      </c>
      <c r="E227" s="5" t="s">
        <v>6517</v>
      </c>
      <c r="F227" s="5" t="s">
        <v>1303</v>
      </c>
      <c r="G227" s="5"/>
      <c r="H227" s="6" t="s">
        <v>425</v>
      </c>
      <c r="I227" s="6" t="s">
        <v>119</v>
      </c>
      <c r="J227" s="6">
        <v>3</v>
      </c>
      <c r="K227" s="6">
        <v>544</v>
      </c>
      <c r="L227" s="7" t="s">
        <v>6118</v>
      </c>
      <c r="M227" s="8" t="str">
        <f>"CFI"&amp;".D"&amp;TEXT(Caja_Finanzas[[#This Row],[fecha]],"DD-MM")&amp;"-"&amp;TEXT(Caja_Finanzas[[#This Row],[item]],"0000")</f>
        <v>CFI.D05-03-0217</v>
      </c>
      <c r="N227" s="8" t="str">
        <f t="shared" si="20"/>
        <v>PEN</v>
      </c>
      <c r="O227" s="13"/>
      <c r="P227" s="13">
        <v>36</v>
      </c>
      <c r="Q227" s="3">
        <f t="shared" si="16"/>
        <v>36</v>
      </c>
      <c r="R227" s="3">
        <f t="shared" si="17"/>
        <v>0</v>
      </c>
      <c r="S227" s="3">
        <f t="shared" si="18"/>
        <v>8877</v>
      </c>
      <c r="T227" s="24"/>
      <c r="U227" s="24"/>
      <c r="V227" s="3"/>
      <c r="W227" s="25"/>
      <c r="X227" s="25" t="s">
        <v>6746</v>
      </c>
      <c r="Y227" s="25"/>
      <c r="Z227" s="25"/>
      <c r="AA227" s="25"/>
      <c r="AB227" s="3" t="str">
        <f>IF(Caja_Finanzas[[#This Row],[fecha]]&gt;0,TEXT(Caja_Finanzas[[#This Row],[fecha]],"mmmm"),0)</f>
        <v>Marzo</v>
      </c>
    </row>
    <row r="228" spans="1:28" x14ac:dyDescent="0.3">
      <c r="A228" s="2">
        <f>IF(Caja_Finanzas[[#This Row],[tipo_r]]="R",COUNTIFS($C$1:$C227,"R")+1,A227)</f>
        <v>218</v>
      </c>
      <c r="B228" s="19" t="str">
        <f t="shared" si="19"/>
        <v>C-Finanzas</v>
      </c>
      <c r="C228" s="3" t="s">
        <v>1330</v>
      </c>
      <c r="D228" s="14">
        <v>45721</v>
      </c>
      <c r="E228" s="5" t="s">
        <v>6517</v>
      </c>
      <c r="F228" s="5" t="s">
        <v>1303</v>
      </c>
      <c r="G228" s="5"/>
      <c r="H228" s="6" t="s">
        <v>425</v>
      </c>
      <c r="I228" s="6" t="s">
        <v>119</v>
      </c>
      <c r="J228" s="6">
        <v>3</v>
      </c>
      <c r="K228" s="6">
        <v>545</v>
      </c>
      <c r="L228" s="7" t="s">
        <v>6118</v>
      </c>
      <c r="M228" s="8" t="str">
        <f>"CFI"&amp;".D"&amp;TEXT(Caja_Finanzas[[#This Row],[fecha]],"DD-MM")&amp;"-"&amp;TEXT(Caja_Finanzas[[#This Row],[item]],"0000")</f>
        <v>CFI.D05-03-0218</v>
      </c>
      <c r="N228" s="8" t="str">
        <f t="shared" si="20"/>
        <v>PEN</v>
      </c>
      <c r="O228" s="13"/>
      <c r="P228" s="13">
        <v>30</v>
      </c>
      <c r="Q228" s="3">
        <f t="shared" si="16"/>
        <v>30</v>
      </c>
      <c r="R228" s="3">
        <f t="shared" si="17"/>
        <v>0</v>
      </c>
      <c r="S228" s="3">
        <f t="shared" si="18"/>
        <v>8907</v>
      </c>
      <c r="T228" s="24"/>
      <c r="U228" s="24"/>
      <c r="V228" s="3"/>
      <c r="W228" s="25"/>
      <c r="X228" s="25" t="s">
        <v>6747</v>
      </c>
      <c r="Y228" s="25"/>
      <c r="Z228" s="25"/>
      <c r="AA228" s="25"/>
      <c r="AB228" s="3" t="str">
        <f>IF(Caja_Finanzas[[#This Row],[fecha]]&gt;0,TEXT(Caja_Finanzas[[#This Row],[fecha]],"mmmm"),0)</f>
        <v>Marzo</v>
      </c>
    </row>
    <row r="229" spans="1:28" ht="24" x14ac:dyDescent="0.3">
      <c r="A229" s="2">
        <f>IF(Caja_Finanzas[[#This Row],[tipo_r]]="R",COUNTIFS($C$1:$C228,"R")+1,A228)</f>
        <v>219</v>
      </c>
      <c r="B229" s="19" t="str">
        <f t="shared" si="19"/>
        <v>C-Finanzas</v>
      </c>
      <c r="C229" s="3" t="s">
        <v>1330</v>
      </c>
      <c r="D229" s="14">
        <v>45721</v>
      </c>
      <c r="E229" s="5" t="s">
        <v>6748</v>
      </c>
      <c r="F229" s="5" t="s">
        <v>1303</v>
      </c>
      <c r="G229" s="5"/>
      <c r="H229" s="6" t="s">
        <v>425</v>
      </c>
      <c r="I229" s="6" t="s">
        <v>119</v>
      </c>
      <c r="J229" s="6">
        <v>3</v>
      </c>
      <c r="K229" s="6">
        <v>546</v>
      </c>
      <c r="L229" s="7" t="s">
        <v>6118</v>
      </c>
      <c r="M229" s="8" t="str">
        <f>"CFI"&amp;".D"&amp;TEXT(Caja_Finanzas[[#This Row],[fecha]],"DD-MM")&amp;"-"&amp;TEXT(Caja_Finanzas[[#This Row],[item]],"0000")</f>
        <v>CFI.D05-03-0219</v>
      </c>
      <c r="N229" s="8" t="str">
        <f t="shared" si="20"/>
        <v>PEN</v>
      </c>
      <c r="O229" s="13"/>
      <c r="P229" s="13">
        <v>138.5</v>
      </c>
      <c r="Q229" s="3">
        <f t="shared" si="16"/>
        <v>138.5</v>
      </c>
      <c r="R229" s="3">
        <f t="shared" si="17"/>
        <v>0</v>
      </c>
      <c r="S229" s="3">
        <f t="shared" si="18"/>
        <v>9045.5</v>
      </c>
      <c r="T229" s="24"/>
      <c r="U229" s="24"/>
      <c r="V229" s="3"/>
      <c r="W229" s="25"/>
      <c r="X229" s="25" t="s">
        <v>6749</v>
      </c>
      <c r="Y229" s="25"/>
      <c r="Z229" s="25"/>
      <c r="AA229" s="25"/>
      <c r="AB229" s="3" t="str">
        <f>IF(Caja_Finanzas[[#This Row],[fecha]]&gt;0,TEXT(Caja_Finanzas[[#This Row],[fecha]],"mmmm"),0)</f>
        <v>Marzo</v>
      </c>
    </row>
    <row r="230" spans="1:28" x14ac:dyDescent="0.3">
      <c r="A230" s="2">
        <f>IF(Caja_Finanzas[[#This Row],[tipo_r]]="R",COUNTIFS($C$1:$C229,"R")+1,A229)</f>
        <v>220</v>
      </c>
      <c r="B230" s="19" t="str">
        <f t="shared" si="19"/>
        <v>C-Finanzas</v>
      </c>
      <c r="C230" s="3" t="s">
        <v>1330</v>
      </c>
      <c r="D230" s="14">
        <v>45721</v>
      </c>
      <c r="E230" s="5" t="s">
        <v>6750</v>
      </c>
      <c r="F230" s="5" t="s">
        <v>1303</v>
      </c>
      <c r="G230" s="5"/>
      <c r="H230" s="6" t="s">
        <v>425</v>
      </c>
      <c r="I230" s="6" t="s">
        <v>119</v>
      </c>
      <c r="J230" s="6">
        <v>3</v>
      </c>
      <c r="K230" s="6">
        <v>547</v>
      </c>
      <c r="L230" s="7" t="s">
        <v>6118</v>
      </c>
      <c r="M230" s="8" t="str">
        <f>"CFI"&amp;".D"&amp;TEXT(Caja_Finanzas[[#This Row],[fecha]],"DD-MM")&amp;"-"&amp;TEXT(Caja_Finanzas[[#This Row],[item]],"0000")</f>
        <v>CFI.D05-03-0220</v>
      </c>
      <c r="N230" s="8" t="str">
        <f t="shared" si="20"/>
        <v>PEN</v>
      </c>
      <c r="O230" s="13"/>
      <c r="P230" s="13">
        <v>14.5</v>
      </c>
      <c r="Q230" s="3">
        <f t="shared" si="16"/>
        <v>14.5</v>
      </c>
      <c r="R230" s="3">
        <f t="shared" si="17"/>
        <v>0</v>
      </c>
      <c r="S230" s="3">
        <f t="shared" si="18"/>
        <v>9060</v>
      </c>
      <c r="T230" s="24"/>
      <c r="U230" s="24"/>
      <c r="V230" s="3"/>
      <c r="W230" s="25"/>
      <c r="X230" s="25" t="s">
        <v>6751</v>
      </c>
      <c r="Y230" s="25"/>
      <c r="Z230" s="25"/>
      <c r="AA230" s="25"/>
      <c r="AB230" s="3" t="str">
        <f>IF(Caja_Finanzas[[#This Row],[fecha]]&gt;0,TEXT(Caja_Finanzas[[#This Row],[fecha]],"mmmm"),0)</f>
        <v>Marzo</v>
      </c>
    </row>
    <row r="231" spans="1:28" ht="24" x14ac:dyDescent="0.3">
      <c r="A231" s="2">
        <f>IF(Caja_Finanzas[[#This Row],[tipo_r]]="R",COUNTIFS($C$1:$C230,"R")+1,A230)</f>
        <v>221</v>
      </c>
      <c r="B231" s="19" t="str">
        <f t="shared" si="19"/>
        <v>C-Finanzas</v>
      </c>
      <c r="C231" s="3" t="s">
        <v>1330</v>
      </c>
      <c r="D231" s="14">
        <v>45721</v>
      </c>
      <c r="E231" s="5" t="s">
        <v>6586</v>
      </c>
      <c r="F231" s="5" t="s">
        <v>1303</v>
      </c>
      <c r="G231" s="5"/>
      <c r="H231" s="6" t="s">
        <v>425</v>
      </c>
      <c r="I231" s="6" t="s">
        <v>119</v>
      </c>
      <c r="J231" s="6">
        <v>3</v>
      </c>
      <c r="K231" s="6">
        <v>548</v>
      </c>
      <c r="L231" s="7" t="s">
        <v>6118</v>
      </c>
      <c r="M231" s="8" t="str">
        <f>"CFI"&amp;".D"&amp;TEXT(Caja_Finanzas[[#This Row],[fecha]],"DD-MM")&amp;"-"&amp;TEXT(Caja_Finanzas[[#This Row],[item]],"0000")</f>
        <v>CFI.D05-03-0221</v>
      </c>
      <c r="N231" s="8" t="str">
        <f t="shared" si="20"/>
        <v>PEN</v>
      </c>
      <c r="O231" s="13"/>
      <c r="P231" s="13">
        <v>13.5</v>
      </c>
      <c r="Q231" s="3">
        <f t="shared" si="16"/>
        <v>13.5</v>
      </c>
      <c r="R231" s="3">
        <f t="shared" si="17"/>
        <v>0</v>
      </c>
      <c r="S231" s="3">
        <f t="shared" si="18"/>
        <v>9073.5</v>
      </c>
      <c r="T231" s="24"/>
      <c r="U231" s="24"/>
      <c r="V231" s="3"/>
      <c r="W231" s="25"/>
      <c r="X231" s="25" t="s">
        <v>6752</v>
      </c>
      <c r="Y231" s="25"/>
      <c r="Z231" s="25"/>
      <c r="AA231" s="25"/>
      <c r="AB231" s="3" t="str">
        <f>IF(Caja_Finanzas[[#This Row],[fecha]]&gt;0,TEXT(Caja_Finanzas[[#This Row],[fecha]],"mmmm"),0)</f>
        <v>Marzo</v>
      </c>
    </row>
    <row r="232" spans="1:28" ht="24" x14ac:dyDescent="0.3">
      <c r="A232" s="2">
        <f>IF(Caja_Finanzas[[#This Row],[tipo_r]]="R",COUNTIFS($C$1:$C231,"R")+1,A231)</f>
        <v>222</v>
      </c>
      <c r="B232" s="19" t="str">
        <f t="shared" si="19"/>
        <v>C-Finanzas</v>
      </c>
      <c r="C232" s="3" t="s">
        <v>1330</v>
      </c>
      <c r="D232" s="14">
        <v>45721</v>
      </c>
      <c r="E232" s="5" t="s">
        <v>6753</v>
      </c>
      <c r="F232" s="5" t="s">
        <v>1303</v>
      </c>
      <c r="G232" s="5"/>
      <c r="H232" s="6" t="s">
        <v>425</v>
      </c>
      <c r="I232" s="6" t="s">
        <v>119</v>
      </c>
      <c r="J232" s="6">
        <v>3</v>
      </c>
      <c r="K232" s="6">
        <v>549</v>
      </c>
      <c r="L232" s="7" t="s">
        <v>6118</v>
      </c>
      <c r="M232" s="8" t="str">
        <f>"CFI"&amp;".D"&amp;TEXT(Caja_Finanzas[[#This Row],[fecha]],"DD-MM")&amp;"-"&amp;TEXT(Caja_Finanzas[[#This Row],[item]],"0000")</f>
        <v>CFI.D05-03-0222</v>
      </c>
      <c r="N232" s="8" t="str">
        <f t="shared" si="20"/>
        <v>PEN</v>
      </c>
      <c r="O232" s="13"/>
      <c r="P232" s="13">
        <v>74.400000000000006</v>
      </c>
      <c r="Q232" s="3">
        <f t="shared" si="16"/>
        <v>74.400000000000006</v>
      </c>
      <c r="R232" s="3">
        <f t="shared" si="17"/>
        <v>0</v>
      </c>
      <c r="S232" s="3">
        <f t="shared" si="18"/>
        <v>9147.9</v>
      </c>
      <c r="T232" s="24"/>
      <c r="U232" s="24"/>
      <c r="V232" s="3"/>
      <c r="W232" s="25"/>
      <c r="X232" s="25" t="s">
        <v>6754</v>
      </c>
      <c r="Y232" s="25"/>
      <c r="Z232" s="25"/>
      <c r="AA232" s="25"/>
      <c r="AB232" s="3" t="str">
        <f>IF(Caja_Finanzas[[#This Row],[fecha]]&gt;0,TEXT(Caja_Finanzas[[#This Row],[fecha]],"mmmm"),0)</f>
        <v>Marzo</v>
      </c>
    </row>
    <row r="233" spans="1:28" x14ac:dyDescent="0.3">
      <c r="A233" s="2">
        <f>IF(Caja_Finanzas[[#This Row],[tipo_r]]="R",COUNTIFS($C$1:$C232,"R")+1,A232)</f>
        <v>223</v>
      </c>
      <c r="B233" s="19" t="str">
        <f t="shared" si="19"/>
        <v>C-Finanzas</v>
      </c>
      <c r="C233" s="3" t="s">
        <v>1330</v>
      </c>
      <c r="D233" s="14">
        <v>45721</v>
      </c>
      <c r="E233" s="5" t="s">
        <v>6755</v>
      </c>
      <c r="F233" s="5" t="s">
        <v>1303</v>
      </c>
      <c r="G233" s="5"/>
      <c r="H233" s="6" t="s">
        <v>425</v>
      </c>
      <c r="I233" s="6" t="s">
        <v>119</v>
      </c>
      <c r="J233" s="6">
        <v>3</v>
      </c>
      <c r="K233" s="6">
        <v>550</v>
      </c>
      <c r="L233" s="7" t="s">
        <v>6118</v>
      </c>
      <c r="M233" s="8" t="str">
        <f>"CFI"&amp;".D"&amp;TEXT(Caja_Finanzas[[#This Row],[fecha]],"DD-MM")&amp;"-"&amp;TEXT(Caja_Finanzas[[#This Row],[item]],"0000")</f>
        <v>CFI.D05-03-0223</v>
      </c>
      <c r="N233" s="8" t="str">
        <f t="shared" si="20"/>
        <v>PEN</v>
      </c>
      <c r="O233" s="13"/>
      <c r="P233" s="13">
        <v>9</v>
      </c>
      <c r="Q233" s="3">
        <f t="shared" si="16"/>
        <v>9</v>
      </c>
      <c r="R233" s="3">
        <f t="shared" si="17"/>
        <v>0</v>
      </c>
      <c r="S233" s="3">
        <f t="shared" si="18"/>
        <v>9156.9</v>
      </c>
      <c r="T233" s="24"/>
      <c r="U233" s="24"/>
      <c r="V233" s="3"/>
      <c r="W233" s="25"/>
      <c r="X233" s="25" t="s">
        <v>6756</v>
      </c>
      <c r="Y233" s="25"/>
      <c r="Z233" s="25"/>
      <c r="AA233" s="25"/>
      <c r="AB233" s="3" t="str">
        <f>IF(Caja_Finanzas[[#This Row],[fecha]]&gt;0,TEXT(Caja_Finanzas[[#This Row],[fecha]],"mmmm"),0)</f>
        <v>Marzo</v>
      </c>
    </row>
    <row r="234" spans="1:28" ht="24" x14ac:dyDescent="0.3">
      <c r="A234" s="2">
        <f>IF(Caja_Finanzas[[#This Row],[tipo_r]]="R",COUNTIFS($C$1:$C233,"R")+1,A233)</f>
        <v>224</v>
      </c>
      <c r="B234" s="19" t="str">
        <f t="shared" si="19"/>
        <v>C-Finanzas</v>
      </c>
      <c r="C234" s="3" t="s">
        <v>1330</v>
      </c>
      <c r="D234" s="14">
        <v>45721</v>
      </c>
      <c r="E234" s="5" t="s">
        <v>6757</v>
      </c>
      <c r="F234" s="5" t="s">
        <v>1303</v>
      </c>
      <c r="G234" s="5"/>
      <c r="H234" s="6" t="s">
        <v>425</v>
      </c>
      <c r="I234" s="6" t="s">
        <v>119</v>
      </c>
      <c r="J234" s="6">
        <v>3</v>
      </c>
      <c r="K234" s="6">
        <v>551</v>
      </c>
      <c r="L234" s="7" t="s">
        <v>6118</v>
      </c>
      <c r="M234" s="8" t="str">
        <f>"CFI"&amp;".D"&amp;TEXT(Caja_Finanzas[[#This Row],[fecha]],"DD-MM")&amp;"-"&amp;TEXT(Caja_Finanzas[[#This Row],[item]],"0000")</f>
        <v>CFI.D05-03-0224</v>
      </c>
      <c r="N234" s="8" t="str">
        <f t="shared" si="20"/>
        <v>PEN</v>
      </c>
      <c r="O234" s="13"/>
      <c r="P234" s="13">
        <v>71.2</v>
      </c>
      <c r="Q234" s="3">
        <f t="shared" si="16"/>
        <v>71.2</v>
      </c>
      <c r="R234" s="3">
        <f t="shared" si="17"/>
        <v>0</v>
      </c>
      <c r="S234" s="3">
        <f t="shared" si="18"/>
        <v>9228.1</v>
      </c>
      <c r="T234" s="24"/>
      <c r="U234" s="24"/>
      <c r="V234" s="3"/>
      <c r="W234" s="25"/>
      <c r="X234" s="25" t="s">
        <v>6758</v>
      </c>
      <c r="Y234" s="25"/>
      <c r="Z234" s="25"/>
      <c r="AA234" s="25"/>
      <c r="AB234" s="3" t="str">
        <f>IF(Caja_Finanzas[[#This Row],[fecha]]&gt;0,TEXT(Caja_Finanzas[[#This Row],[fecha]],"mmmm"),0)</f>
        <v>Marzo</v>
      </c>
    </row>
    <row r="235" spans="1:28" ht="24" x14ac:dyDescent="0.3">
      <c r="A235" s="2">
        <f>IF(Caja_Finanzas[[#This Row],[tipo_r]]="R",COUNTIFS($C$1:$C234,"R")+1,A234)</f>
        <v>225</v>
      </c>
      <c r="B235" s="19" t="str">
        <f t="shared" si="19"/>
        <v>C-Finanzas</v>
      </c>
      <c r="C235" s="3" t="s">
        <v>1330</v>
      </c>
      <c r="D235" s="14">
        <v>45721</v>
      </c>
      <c r="E235" s="5" t="s">
        <v>6759</v>
      </c>
      <c r="F235" s="5" t="s">
        <v>1303</v>
      </c>
      <c r="G235" s="5"/>
      <c r="H235" s="6" t="s">
        <v>425</v>
      </c>
      <c r="I235" s="6" t="s">
        <v>119</v>
      </c>
      <c r="J235" s="6">
        <v>3</v>
      </c>
      <c r="K235" s="6">
        <v>552</v>
      </c>
      <c r="L235" s="7" t="s">
        <v>6118</v>
      </c>
      <c r="M235" s="8" t="str">
        <f>"CFI"&amp;".D"&amp;TEXT(Caja_Finanzas[[#This Row],[fecha]],"DD-MM")&amp;"-"&amp;TEXT(Caja_Finanzas[[#This Row],[item]],"0000")</f>
        <v>CFI.D05-03-0225</v>
      </c>
      <c r="N235" s="8" t="str">
        <f t="shared" si="20"/>
        <v>PEN</v>
      </c>
      <c r="O235" s="13"/>
      <c r="P235" s="13">
        <v>65</v>
      </c>
      <c r="Q235" s="3">
        <f t="shared" si="16"/>
        <v>65</v>
      </c>
      <c r="R235" s="3">
        <f t="shared" si="17"/>
        <v>0</v>
      </c>
      <c r="S235" s="3">
        <f t="shared" si="18"/>
        <v>9293.1</v>
      </c>
      <c r="T235" s="24"/>
      <c r="U235" s="24"/>
      <c r="V235" s="3"/>
      <c r="W235" s="25"/>
      <c r="X235" s="25" t="s">
        <v>6760</v>
      </c>
      <c r="Y235" s="25"/>
      <c r="Z235" s="25"/>
      <c r="AA235" s="25"/>
      <c r="AB235" s="3" t="str">
        <f>IF(Caja_Finanzas[[#This Row],[fecha]]&gt;0,TEXT(Caja_Finanzas[[#This Row],[fecha]],"mmmm"),0)</f>
        <v>Marzo</v>
      </c>
    </row>
    <row r="236" spans="1:28" ht="24" x14ac:dyDescent="0.3">
      <c r="A236" s="2">
        <f>IF(Caja_Finanzas[[#This Row],[tipo_r]]="R",COUNTIFS($C$1:$C235,"R")+1,A235)</f>
        <v>226</v>
      </c>
      <c r="B236" s="19" t="str">
        <f t="shared" si="19"/>
        <v>C-Finanzas</v>
      </c>
      <c r="C236" s="3" t="s">
        <v>1330</v>
      </c>
      <c r="D236" s="14">
        <v>45721</v>
      </c>
      <c r="E236" s="5" t="s">
        <v>6761</v>
      </c>
      <c r="F236" s="5" t="s">
        <v>1303</v>
      </c>
      <c r="G236" s="5"/>
      <c r="H236" s="6" t="s">
        <v>425</v>
      </c>
      <c r="I236" s="6" t="s">
        <v>119</v>
      </c>
      <c r="J236" s="6">
        <v>3</v>
      </c>
      <c r="K236" s="6">
        <v>553</v>
      </c>
      <c r="L236" s="7" t="s">
        <v>6118</v>
      </c>
      <c r="M236" s="8" t="str">
        <f>"CFI"&amp;".D"&amp;TEXT(Caja_Finanzas[[#This Row],[fecha]],"DD-MM")&amp;"-"&amp;TEXT(Caja_Finanzas[[#This Row],[item]],"0000")</f>
        <v>CFI.D05-03-0226</v>
      </c>
      <c r="N236" s="8" t="str">
        <f t="shared" si="20"/>
        <v>PEN</v>
      </c>
      <c r="O236" s="13"/>
      <c r="P236" s="13">
        <v>300</v>
      </c>
      <c r="Q236" s="3">
        <f t="shared" si="16"/>
        <v>300</v>
      </c>
      <c r="R236" s="3">
        <f t="shared" si="17"/>
        <v>0</v>
      </c>
      <c r="S236" s="3">
        <f t="shared" si="18"/>
        <v>9593.1</v>
      </c>
      <c r="T236" s="24"/>
      <c r="U236" s="24"/>
      <c r="V236" s="3"/>
      <c r="W236" s="25"/>
      <c r="X236" s="25" t="s">
        <v>6762</v>
      </c>
      <c r="Y236" s="25"/>
      <c r="Z236" s="25"/>
      <c r="AA236" s="25"/>
      <c r="AB236" s="3" t="str">
        <f>IF(Caja_Finanzas[[#This Row],[fecha]]&gt;0,TEXT(Caja_Finanzas[[#This Row],[fecha]],"mmmm"),0)</f>
        <v>Marzo</v>
      </c>
    </row>
    <row r="237" spans="1:28" ht="24" x14ac:dyDescent="0.3">
      <c r="A237" s="2">
        <f>IF(Caja_Finanzas[[#This Row],[tipo_r]]="R",COUNTIFS($C$1:$C236,"R")+1,A236)</f>
        <v>227</v>
      </c>
      <c r="B237" s="19" t="str">
        <f t="shared" si="19"/>
        <v>C-Finanzas</v>
      </c>
      <c r="C237" s="3" t="s">
        <v>1330</v>
      </c>
      <c r="D237" s="14">
        <v>45721</v>
      </c>
      <c r="E237" s="5" t="s">
        <v>6761</v>
      </c>
      <c r="F237" s="5" t="s">
        <v>1303</v>
      </c>
      <c r="G237" s="5"/>
      <c r="H237" s="6" t="s">
        <v>425</v>
      </c>
      <c r="I237" s="6" t="s">
        <v>119</v>
      </c>
      <c r="J237" s="6">
        <v>3</v>
      </c>
      <c r="K237" s="6">
        <v>554</v>
      </c>
      <c r="L237" s="7" t="s">
        <v>6118</v>
      </c>
      <c r="M237" s="8" t="str">
        <f>"CFI"&amp;".D"&amp;TEXT(Caja_Finanzas[[#This Row],[fecha]],"DD-MM")&amp;"-"&amp;TEXT(Caja_Finanzas[[#This Row],[item]],"0000")</f>
        <v>CFI.D05-03-0227</v>
      </c>
      <c r="N237" s="8" t="str">
        <f t="shared" si="20"/>
        <v>PEN</v>
      </c>
      <c r="O237" s="13"/>
      <c r="P237" s="13">
        <v>24</v>
      </c>
      <c r="Q237" s="3">
        <f t="shared" si="16"/>
        <v>24</v>
      </c>
      <c r="R237" s="3">
        <f t="shared" si="17"/>
        <v>0</v>
      </c>
      <c r="S237" s="3">
        <f t="shared" si="18"/>
        <v>9617.1</v>
      </c>
      <c r="T237" s="24"/>
      <c r="U237" s="24"/>
      <c r="V237" s="3"/>
      <c r="W237" s="25"/>
      <c r="X237" s="25" t="s">
        <v>6763</v>
      </c>
      <c r="Y237" s="25"/>
      <c r="Z237" s="25"/>
      <c r="AA237" s="25"/>
      <c r="AB237" s="3" t="str">
        <f>IF(Caja_Finanzas[[#This Row],[fecha]]&gt;0,TEXT(Caja_Finanzas[[#This Row],[fecha]],"mmmm"),0)</f>
        <v>Marzo</v>
      </c>
    </row>
    <row r="238" spans="1:28" x14ac:dyDescent="0.3">
      <c r="A238" s="2">
        <f>IF(Caja_Finanzas[[#This Row],[tipo_r]]="R",COUNTIFS($C$1:$C237,"R")+1,A237)</f>
        <v>228</v>
      </c>
      <c r="B238" s="19" t="str">
        <f t="shared" si="19"/>
        <v>C-Finanzas</v>
      </c>
      <c r="C238" s="3" t="s">
        <v>1330</v>
      </c>
      <c r="D238" s="14">
        <v>45721</v>
      </c>
      <c r="E238" s="5" t="s">
        <v>6755</v>
      </c>
      <c r="F238" s="5" t="s">
        <v>1303</v>
      </c>
      <c r="G238" s="5"/>
      <c r="H238" s="6" t="s">
        <v>425</v>
      </c>
      <c r="I238" s="6" t="s">
        <v>119</v>
      </c>
      <c r="J238" s="6">
        <v>3</v>
      </c>
      <c r="K238" s="6">
        <v>555</v>
      </c>
      <c r="L238" s="7" t="s">
        <v>6118</v>
      </c>
      <c r="M238" s="8" t="str">
        <f>"CFI"&amp;".D"&amp;TEXT(Caja_Finanzas[[#This Row],[fecha]],"DD-MM")&amp;"-"&amp;TEXT(Caja_Finanzas[[#This Row],[item]],"0000")</f>
        <v>CFI.D05-03-0228</v>
      </c>
      <c r="N238" s="8" t="str">
        <f t="shared" si="20"/>
        <v>PEN</v>
      </c>
      <c r="O238" s="13"/>
      <c r="P238" s="13">
        <v>15</v>
      </c>
      <c r="Q238" s="3">
        <f t="shared" si="16"/>
        <v>15</v>
      </c>
      <c r="R238" s="3">
        <f t="shared" si="17"/>
        <v>0</v>
      </c>
      <c r="S238" s="3">
        <f t="shared" si="18"/>
        <v>9632.1</v>
      </c>
      <c r="T238" s="24"/>
      <c r="U238" s="24"/>
      <c r="V238" s="3"/>
      <c r="W238" s="25"/>
      <c r="X238" s="25" t="s">
        <v>6764</v>
      </c>
      <c r="Y238" s="25"/>
      <c r="Z238" s="25"/>
      <c r="AA238" s="25"/>
      <c r="AB238" s="3" t="str">
        <f>IF(Caja_Finanzas[[#This Row],[fecha]]&gt;0,TEXT(Caja_Finanzas[[#This Row],[fecha]],"mmmm"),0)</f>
        <v>Marzo</v>
      </c>
    </row>
    <row r="239" spans="1:28" ht="24" x14ac:dyDescent="0.3">
      <c r="A239" s="2">
        <f>IF(Caja_Finanzas[[#This Row],[tipo_r]]="R",COUNTIFS($C$1:$C238,"R")+1,A238)</f>
        <v>229</v>
      </c>
      <c r="B239" s="19" t="str">
        <f t="shared" si="19"/>
        <v>C-Finanzas</v>
      </c>
      <c r="C239" s="3" t="s">
        <v>1330</v>
      </c>
      <c r="D239" s="14">
        <v>45721</v>
      </c>
      <c r="E239" s="5" t="s">
        <v>6765</v>
      </c>
      <c r="F239" s="5" t="s">
        <v>1303</v>
      </c>
      <c r="G239" s="5"/>
      <c r="H239" s="6" t="s">
        <v>425</v>
      </c>
      <c r="I239" s="6" t="s">
        <v>119</v>
      </c>
      <c r="J239" s="6">
        <v>3</v>
      </c>
      <c r="K239" s="6">
        <v>556</v>
      </c>
      <c r="L239" s="7" t="s">
        <v>6118</v>
      </c>
      <c r="M239" s="8" t="str">
        <f>"CFI"&amp;".D"&amp;TEXT(Caja_Finanzas[[#This Row],[fecha]],"DD-MM")&amp;"-"&amp;TEXT(Caja_Finanzas[[#This Row],[item]],"0000")</f>
        <v>CFI.D05-03-0229</v>
      </c>
      <c r="N239" s="8" t="str">
        <f t="shared" si="20"/>
        <v>PEN</v>
      </c>
      <c r="O239" s="13"/>
      <c r="P239" s="13">
        <v>15</v>
      </c>
      <c r="Q239" s="3">
        <f t="shared" si="16"/>
        <v>15</v>
      </c>
      <c r="R239" s="3">
        <f t="shared" si="17"/>
        <v>0</v>
      </c>
      <c r="S239" s="3">
        <f t="shared" si="18"/>
        <v>9647.1</v>
      </c>
      <c r="T239" s="24"/>
      <c r="U239" s="24"/>
      <c r="V239" s="3"/>
      <c r="W239" s="25"/>
      <c r="X239" s="25" t="s">
        <v>6766</v>
      </c>
      <c r="Y239" s="25"/>
      <c r="Z239" s="25"/>
      <c r="AA239" s="25"/>
      <c r="AB239" s="3" t="str">
        <f>IF(Caja_Finanzas[[#This Row],[fecha]]&gt;0,TEXT(Caja_Finanzas[[#This Row],[fecha]],"mmmm"),0)</f>
        <v>Marzo</v>
      </c>
    </row>
    <row r="240" spans="1:28" x14ac:dyDescent="0.3">
      <c r="A240" s="2">
        <f>IF(Caja_Finanzas[[#This Row],[tipo_r]]="R",COUNTIFS($C$1:$C239,"R")+1,A239)</f>
        <v>230</v>
      </c>
      <c r="B240" s="19" t="str">
        <f t="shared" si="19"/>
        <v>C-Finanzas</v>
      </c>
      <c r="C240" s="3" t="s">
        <v>1330</v>
      </c>
      <c r="D240" s="14">
        <v>45721</v>
      </c>
      <c r="E240" s="5" t="s">
        <v>6517</v>
      </c>
      <c r="F240" s="5" t="s">
        <v>1303</v>
      </c>
      <c r="G240" s="5"/>
      <c r="H240" s="6" t="s">
        <v>425</v>
      </c>
      <c r="I240" s="6" t="s">
        <v>119</v>
      </c>
      <c r="J240" s="6">
        <v>3</v>
      </c>
      <c r="K240" s="6">
        <v>557</v>
      </c>
      <c r="L240" s="7" t="s">
        <v>6118</v>
      </c>
      <c r="M240" s="8" t="str">
        <f>"CFI"&amp;".D"&amp;TEXT(Caja_Finanzas[[#This Row],[fecha]],"DD-MM")&amp;"-"&amp;TEXT(Caja_Finanzas[[#This Row],[item]],"0000")</f>
        <v>CFI.D05-03-0230</v>
      </c>
      <c r="N240" s="8" t="str">
        <f t="shared" si="20"/>
        <v>PEN</v>
      </c>
      <c r="O240" s="13"/>
      <c r="P240" s="13">
        <v>5</v>
      </c>
      <c r="Q240" s="3">
        <f t="shared" si="16"/>
        <v>5</v>
      </c>
      <c r="R240" s="3">
        <f t="shared" si="17"/>
        <v>0</v>
      </c>
      <c r="S240" s="3">
        <f t="shared" si="18"/>
        <v>9652.1</v>
      </c>
      <c r="T240" s="24"/>
      <c r="U240" s="24"/>
      <c r="V240" s="3"/>
      <c r="W240" s="25"/>
      <c r="X240" s="25" t="s">
        <v>6767</v>
      </c>
      <c r="Y240" s="25"/>
      <c r="Z240" s="25"/>
      <c r="AA240" s="25"/>
      <c r="AB240" s="3" t="str">
        <f>IF(Caja_Finanzas[[#This Row],[fecha]]&gt;0,TEXT(Caja_Finanzas[[#This Row],[fecha]],"mmmm"),0)</f>
        <v>Marzo</v>
      </c>
    </row>
    <row r="241" spans="1:28" x14ac:dyDescent="0.3">
      <c r="A241" s="2">
        <f>IF(Caja_Finanzas[[#This Row],[tipo_r]]="R",COUNTIFS($C$1:$C240,"R")+1,A240)</f>
        <v>231</v>
      </c>
      <c r="B241" s="19" t="str">
        <f t="shared" si="19"/>
        <v>C-Finanzas</v>
      </c>
      <c r="C241" s="3" t="s">
        <v>1330</v>
      </c>
      <c r="D241" s="14">
        <v>45721</v>
      </c>
      <c r="E241" s="5"/>
      <c r="F241" s="5" t="s">
        <v>1336</v>
      </c>
      <c r="G241" s="5"/>
      <c r="H241" s="6"/>
      <c r="I241" s="6"/>
      <c r="J241" s="6"/>
      <c r="K241" s="6"/>
      <c r="L241" s="7" t="s">
        <v>6768</v>
      </c>
      <c r="M241" s="8" t="str">
        <f>"CFI"&amp;".D"&amp;TEXT(Caja_Finanzas[[#This Row],[fecha]],"DD-MM")&amp;"-"&amp;TEXT(Caja_Finanzas[[#This Row],[item]],"0000")</f>
        <v>CFI.D05-03-0231</v>
      </c>
      <c r="N241" s="8" t="str">
        <f t="shared" si="20"/>
        <v>PEN</v>
      </c>
      <c r="O241" s="13"/>
      <c r="P241" s="13">
        <v>100</v>
      </c>
      <c r="Q241" s="3">
        <f t="shared" si="16"/>
        <v>0</v>
      </c>
      <c r="R241" s="3">
        <f t="shared" si="17"/>
        <v>100</v>
      </c>
      <c r="S241" s="3">
        <f t="shared" si="18"/>
        <v>9552.1</v>
      </c>
      <c r="T241" s="24"/>
      <c r="U241" s="24"/>
      <c r="V241" s="3"/>
      <c r="W241" s="25"/>
      <c r="X241" s="25"/>
      <c r="Y241" s="25"/>
      <c r="Z241" s="25"/>
      <c r="AA241" s="25"/>
      <c r="AB241" s="3" t="str">
        <f>IF(Caja_Finanzas[[#This Row],[fecha]]&gt;0,TEXT(Caja_Finanzas[[#This Row],[fecha]],"mmmm"),0)</f>
        <v>Marzo</v>
      </c>
    </row>
    <row r="242" spans="1:28" ht="24" x14ac:dyDescent="0.3">
      <c r="A242" s="2">
        <f>IF(Caja_Finanzas[[#This Row],[tipo_r]]="R",COUNTIFS($C$1:$C241,"R")+1,A241)</f>
        <v>232</v>
      </c>
      <c r="B242" s="19" t="str">
        <f t="shared" si="19"/>
        <v>C-Finanzas</v>
      </c>
      <c r="C242" s="3" t="s">
        <v>1330</v>
      </c>
      <c r="D242" s="14">
        <v>45721</v>
      </c>
      <c r="E242" s="5" t="s">
        <v>6769</v>
      </c>
      <c r="F242" s="5" t="s">
        <v>1303</v>
      </c>
      <c r="G242" s="5"/>
      <c r="H242" s="6" t="s">
        <v>425</v>
      </c>
      <c r="I242" s="6" t="s">
        <v>119</v>
      </c>
      <c r="J242" s="6">
        <v>1</v>
      </c>
      <c r="K242" s="6">
        <v>4218</v>
      </c>
      <c r="L242" s="7" t="s">
        <v>6118</v>
      </c>
      <c r="M242" s="8" t="str">
        <f>"CFI"&amp;".D"&amp;TEXT(Caja_Finanzas[[#This Row],[fecha]],"DD-MM")&amp;"-"&amp;TEXT(Caja_Finanzas[[#This Row],[item]],"0000")</f>
        <v>CFI.D05-03-0232</v>
      </c>
      <c r="N242" s="8" t="str">
        <f t="shared" si="20"/>
        <v>PEN</v>
      </c>
      <c r="O242" s="13"/>
      <c r="P242" s="13">
        <v>11020</v>
      </c>
      <c r="Q242" s="3">
        <f t="shared" si="16"/>
        <v>11020</v>
      </c>
      <c r="R242" s="3">
        <f t="shared" si="17"/>
        <v>0</v>
      </c>
      <c r="S242" s="3">
        <f t="shared" si="18"/>
        <v>20572.099999999999</v>
      </c>
      <c r="T242" s="24"/>
      <c r="U242" s="24"/>
      <c r="V242" s="3"/>
      <c r="W242" s="25"/>
      <c r="X242" s="25" t="s">
        <v>6770</v>
      </c>
      <c r="Y242" s="25"/>
      <c r="Z242" s="25"/>
      <c r="AA242" s="25"/>
      <c r="AB242" s="3" t="str">
        <f>IF(Caja_Finanzas[[#This Row],[fecha]]&gt;0,TEXT(Caja_Finanzas[[#This Row],[fecha]],"mmmm"),0)</f>
        <v>Marzo</v>
      </c>
    </row>
    <row r="243" spans="1:28" ht="24" x14ac:dyDescent="0.3">
      <c r="A243" s="2">
        <f>IF(Caja_Finanzas[[#This Row],[tipo_r]]="R",COUNTIFS($C$1:$C242,"R")+1,A242)</f>
        <v>233</v>
      </c>
      <c r="B243" s="19" t="str">
        <f t="shared" si="19"/>
        <v>C-Finanzas</v>
      </c>
      <c r="C243" s="3" t="s">
        <v>1330</v>
      </c>
      <c r="D243" s="14">
        <v>45721</v>
      </c>
      <c r="E243" s="5" t="s">
        <v>6556</v>
      </c>
      <c r="F243" s="5" t="s">
        <v>1336</v>
      </c>
      <c r="G243" s="5"/>
      <c r="H243" s="6"/>
      <c r="I243" s="6"/>
      <c r="J243" s="6"/>
      <c r="K243" s="6"/>
      <c r="L243" s="7" t="s">
        <v>6771</v>
      </c>
      <c r="M243" s="8" t="str">
        <f>"CFI"&amp;".D"&amp;TEXT(Caja_Finanzas[[#This Row],[fecha]],"DD-MM")&amp;"-"&amp;TEXT(Caja_Finanzas[[#This Row],[item]],"0000")</f>
        <v>CFI.D05-03-0233</v>
      </c>
      <c r="N243" s="8" t="str">
        <f t="shared" si="20"/>
        <v>PEN</v>
      </c>
      <c r="O243" s="13"/>
      <c r="P243" s="13">
        <v>42.5</v>
      </c>
      <c r="Q243" s="3">
        <f t="shared" si="16"/>
        <v>0</v>
      </c>
      <c r="R243" s="3">
        <f t="shared" si="17"/>
        <v>42.5</v>
      </c>
      <c r="S243" s="3">
        <f t="shared" si="18"/>
        <v>20529.599999999999</v>
      </c>
      <c r="T243" s="24"/>
      <c r="U243" s="24"/>
      <c r="V243" s="3"/>
      <c r="W243" s="25" t="s">
        <v>6709</v>
      </c>
      <c r="X243" s="25" t="s">
        <v>6772</v>
      </c>
      <c r="Y243" s="25"/>
      <c r="Z243" s="25"/>
      <c r="AA243" s="25"/>
      <c r="AB243" s="3" t="str">
        <f>IF(Caja_Finanzas[[#This Row],[fecha]]&gt;0,TEXT(Caja_Finanzas[[#This Row],[fecha]],"mmmm"),0)</f>
        <v>Marzo</v>
      </c>
    </row>
    <row r="244" spans="1:28" ht="24" x14ac:dyDescent="0.3">
      <c r="A244" s="2">
        <f>IF(Caja_Finanzas[[#This Row],[tipo_r]]="R",COUNTIFS($C$1:$C243,"R")+1,A243)</f>
        <v>234</v>
      </c>
      <c r="B244" s="19" t="str">
        <f t="shared" si="19"/>
        <v>C-Finanzas</v>
      </c>
      <c r="C244" s="3" t="s">
        <v>1330</v>
      </c>
      <c r="D244" s="14">
        <v>45721</v>
      </c>
      <c r="E244" s="5" t="s">
        <v>536</v>
      </c>
      <c r="F244" s="5" t="s">
        <v>1303</v>
      </c>
      <c r="G244" s="5"/>
      <c r="H244" s="6" t="s">
        <v>425</v>
      </c>
      <c r="I244" s="6" t="s">
        <v>119</v>
      </c>
      <c r="J244" s="6">
        <v>1</v>
      </c>
      <c r="K244" s="6">
        <v>4205</v>
      </c>
      <c r="L244" s="7" t="s">
        <v>6118</v>
      </c>
      <c r="M244" s="8" t="str">
        <f>"CFI"&amp;".D"&amp;TEXT(Caja_Finanzas[[#This Row],[fecha]],"DD-MM")&amp;"-"&amp;TEXT(Caja_Finanzas[[#This Row],[item]],"0000")</f>
        <v>CFI.D05-03-0234</v>
      </c>
      <c r="N244" s="8" t="str">
        <f t="shared" si="20"/>
        <v>PEN</v>
      </c>
      <c r="O244" s="13"/>
      <c r="P244" s="13">
        <v>141</v>
      </c>
      <c r="Q244" s="3">
        <f t="shared" si="16"/>
        <v>141</v>
      </c>
      <c r="R244" s="3">
        <f t="shared" si="17"/>
        <v>0</v>
      </c>
      <c r="S244" s="3">
        <f t="shared" si="18"/>
        <v>20670.599999999999</v>
      </c>
      <c r="T244" s="24"/>
      <c r="U244" s="24"/>
      <c r="V244" s="3"/>
      <c r="W244" s="25"/>
      <c r="X244" s="25" t="s">
        <v>2125</v>
      </c>
      <c r="Y244" s="25"/>
      <c r="Z244" s="25"/>
      <c r="AA244" s="25"/>
      <c r="AB244" s="3" t="str">
        <f>IF(Caja_Finanzas[[#This Row],[fecha]]&gt;0,TEXT(Caja_Finanzas[[#This Row],[fecha]],"mmmm"),0)</f>
        <v>Marzo</v>
      </c>
    </row>
    <row r="245" spans="1:28" x14ac:dyDescent="0.3">
      <c r="A245" s="2">
        <f>IF(Caja_Finanzas[[#This Row],[tipo_r]]="R",COUNTIFS($C$1:$C244,"R")+1,A244)</f>
        <v>235</v>
      </c>
      <c r="B245" s="19" t="str">
        <f t="shared" si="19"/>
        <v>C-Finanzas</v>
      </c>
      <c r="C245" s="3" t="s">
        <v>1330</v>
      </c>
      <c r="D245" s="14">
        <v>45721</v>
      </c>
      <c r="E245" s="5" t="s">
        <v>2802</v>
      </c>
      <c r="F245" s="5" t="s">
        <v>1303</v>
      </c>
      <c r="G245" s="5"/>
      <c r="H245" s="6" t="s">
        <v>425</v>
      </c>
      <c r="I245" s="6" t="s">
        <v>119</v>
      </c>
      <c r="J245" s="6">
        <v>1</v>
      </c>
      <c r="K245" s="6">
        <v>4217</v>
      </c>
      <c r="L245" s="7" t="s">
        <v>6118</v>
      </c>
      <c r="M245" s="8" t="str">
        <f>"CFI"&amp;".D"&amp;TEXT(Caja_Finanzas[[#This Row],[fecha]],"DD-MM")&amp;"-"&amp;TEXT(Caja_Finanzas[[#This Row],[item]],"0000")</f>
        <v>CFI.D05-03-0235</v>
      </c>
      <c r="N245" s="8" t="str">
        <f t="shared" si="20"/>
        <v>PEN</v>
      </c>
      <c r="O245" s="13"/>
      <c r="P245" s="13">
        <v>30</v>
      </c>
      <c r="Q245" s="3">
        <f t="shared" si="16"/>
        <v>30</v>
      </c>
      <c r="R245" s="3">
        <f t="shared" si="17"/>
        <v>0</v>
      </c>
      <c r="S245" s="3">
        <f t="shared" si="18"/>
        <v>20700.599999999999</v>
      </c>
      <c r="T245" s="24"/>
      <c r="U245" s="24"/>
      <c r="V245" s="3"/>
      <c r="W245" s="25"/>
      <c r="X245" s="25" t="s">
        <v>6773</v>
      </c>
      <c r="Y245" s="25"/>
      <c r="Z245" s="25"/>
      <c r="AA245" s="25"/>
      <c r="AB245" s="3" t="str">
        <f>IF(Caja_Finanzas[[#This Row],[fecha]]&gt;0,TEXT(Caja_Finanzas[[#This Row],[fecha]],"mmmm"),0)</f>
        <v>Marzo</v>
      </c>
    </row>
    <row r="246" spans="1:28" ht="24" x14ac:dyDescent="0.3">
      <c r="A246" s="2">
        <f>IF(Caja_Finanzas[[#This Row],[tipo_r]]="R",COUNTIFS($C$1:$C245,"R")+1,A245)</f>
        <v>236</v>
      </c>
      <c r="B246" s="19" t="str">
        <f t="shared" si="19"/>
        <v>C-Finanzas</v>
      </c>
      <c r="C246" s="3" t="s">
        <v>1330</v>
      </c>
      <c r="D246" s="14">
        <v>45721</v>
      </c>
      <c r="E246" s="5" t="s">
        <v>6774</v>
      </c>
      <c r="F246" s="5" t="s">
        <v>1303</v>
      </c>
      <c r="G246" s="5"/>
      <c r="H246" s="6" t="s">
        <v>425</v>
      </c>
      <c r="I246" s="6" t="s">
        <v>119</v>
      </c>
      <c r="J246" s="6">
        <v>1</v>
      </c>
      <c r="K246" s="6">
        <v>4221</v>
      </c>
      <c r="L246" s="7" t="s">
        <v>6118</v>
      </c>
      <c r="M246" s="8" t="str">
        <f>"CFI"&amp;".D"&amp;TEXT(Caja_Finanzas[[#This Row],[fecha]],"DD-MM")&amp;"-"&amp;TEXT(Caja_Finanzas[[#This Row],[item]],"0000")</f>
        <v>CFI.D05-03-0236</v>
      </c>
      <c r="N246" s="8" t="str">
        <f t="shared" si="20"/>
        <v>PEN</v>
      </c>
      <c r="O246" s="13"/>
      <c r="P246" s="13">
        <v>1170</v>
      </c>
      <c r="Q246" s="3">
        <f t="shared" si="16"/>
        <v>1170</v>
      </c>
      <c r="R246" s="3">
        <f t="shared" si="17"/>
        <v>0</v>
      </c>
      <c r="S246" s="3">
        <f t="shared" si="18"/>
        <v>21870.6</v>
      </c>
      <c r="T246" s="24"/>
      <c r="U246" s="24"/>
      <c r="V246" s="3"/>
      <c r="W246" s="25"/>
      <c r="X246" s="25" t="s">
        <v>6775</v>
      </c>
      <c r="Y246" s="25"/>
      <c r="Z246" s="25"/>
      <c r="AA246" s="25"/>
      <c r="AB246" s="3" t="str">
        <f>IF(Caja_Finanzas[[#This Row],[fecha]]&gt;0,TEXT(Caja_Finanzas[[#This Row],[fecha]],"mmmm"),0)</f>
        <v>Marzo</v>
      </c>
    </row>
    <row r="247" spans="1:28" ht="24" x14ac:dyDescent="0.3">
      <c r="A247" s="2">
        <f>IF(Caja_Finanzas[[#This Row],[tipo_r]]="R",COUNTIFS($C$1:$C246,"R")+1,A246)</f>
        <v>237</v>
      </c>
      <c r="B247" s="19" t="str">
        <f t="shared" si="19"/>
        <v>C-Finanzas</v>
      </c>
      <c r="C247" s="3" t="s">
        <v>1330</v>
      </c>
      <c r="D247" s="14">
        <v>45721</v>
      </c>
      <c r="E247" s="5" t="s">
        <v>6570</v>
      </c>
      <c r="F247" s="5" t="s">
        <v>1336</v>
      </c>
      <c r="G247" s="5"/>
      <c r="H247" s="6"/>
      <c r="I247" s="6"/>
      <c r="J247" s="6"/>
      <c r="K247" s="6"/>
      <c r="L247" s="7" t="s">
        <v>6776</v>
      </c>
      <c r="M247" s="8" t="str">
        <f>"CFI"&amp;".D"&amp;TEXT(Caja_Finanzas[[#This Row],[fecha]],"DD-MM")&amp;"-"&amp;TEXT(Caja_Finanzas[[#This Row],[item]],"0000")</f>
        <v>CFI.D05-03-0237</v>
      </c>
      <c r="N247" s="8" t="str">
        <f t="shared" si="20"/>
        <v>PEN</v>
      </c>
      <c r="O247" s="13"/>
      <c r="P247" s="13">
        <v>15</v>
      </c>
      <c r="Q247" s="3">
        <f t="shared" si="16"/>
        <v>0</v>
      </c>
      <c r="R247" s="3">
        <f t="shared" si="17"/>
        <v>15</v>
      </c>
      <c r="S247" s="3">
        <f t="shared" si="18"/>
        <v>21855.599999999999</v>
      </c>
      <c r="T247" s="24"/>
      <c r="U247" s="24"/>
      <c r="V247" s="3"/>
      <c r="W247" s="25" t="s">
        <v>6709</v>
      </c>
      <c r="X247" s="25" t="s">
        <v>6777</v>
      </c>
      <c r="Y247" s="25"/>
      <c r="Z247" s="25"/>
      <c r="AA247" s="25"/>
      <c r="AB247" s="3" t="str">
        <f>IF(Caja_Finanzas[[#This Row],[fecha]]&gt;0,TEXT(Caja_Finanzas[[#This Row],[fecha]],"mmmm"),0)</f>
        <v>Marzo</v>
      </c>
    </row>
    <row r="248" spans="1:28" ht="24" x14ac:dyDescent="0.3">
      <c r="A248" s="2">
        <f>IF(Caja_Finanzas[[#This Row],[tipo_r]]="R",COUNTIFS($C$1:$C247,"R")+1,A247)</f>
        <v>238</v>
      </c>
      <c r="B248" s="19" t="str">
        <f t="shared" si="19"/>
        <v>C-Finanzas</v>
      </c>
      <c r="C248" s="3" t="s">
        <v>1330</v>
      </c>
      <c r="D248" s="14">
        <v>45722</v>
      </c>
      <c r="E248" s="5" t="s">
        <v>6418</v>
      </c>
      <c r="F248" s="5" t="s">
        <v>1336</v>
      </c>
      <c r="G248" s="5"/>
      <c r="H248" s="6" t="s">
        <v>809</v>
      </c>
      <c r="I248" s="6"/>
      <c r="J248" s="6"/>
      <c r="K248" s="6"/>
      <c r="L248" s="7" t="s">
        <v>6652</v>
      </c>
      <c r="M248" s="8" t="str">
        <f>"CFI"&amp;".D"&amp;TEXT(Caja_Finanzas[[#This Row],[fecha]],"DD-MM")&amp;"-"&amp;TEXT(Caja_Finanzas[[#This Row],[item]],"0000")</f>
        <v>CFI.D06-03-0238</v>
      </c>
      <c r="N248" s="8" t="str">
        <f t="shared" si="20"/>
        <v>PEN</v>
      </c>
      <c r="O248" s="13"/>
      <c r="P248" s="13">
        <v>1000</v>
      </c>
      <c r="Q248" s="3">
        <f t="shared" si="16"/>
        <v>0</v>
      </c>
      <c r="R248" s="3">
        <f t="shared" si="17"/>
        <v>1000</v>
      </c>
      <c r="S248" s="3">
        <f t="shared" si="18"/>
        <v>20855.599999999999</v>
      </c>
      <c r="T248" s="24"/>
      <c r="U248" s="24"/>
      <c r="V248" s="3"/>
      <c r="W248" s="25"/>
      <c r="X248" s="25"/>
      <c r="Y248" s="25"/>
      <c r="Z248" s="25"/>
      <c r="AA248" s="25"/>
      <c r="AB248" s="3" t="str">
        <f>IF(Caja_Finanzas[[#This Row],[fecha]]&gt;0,TEXT(Caja_Finanzas[[#This Row],[fecha]],"mmmm"),0)</f>
        <v>Marzo</v>
      </c>
    </row>
    <row r="249" spans="1:28" ht="24" x14ac:dyDescent="0.3">
      <c r="A249" s="2">
        <f>IF(Caja_Finanzas[[#This Row],[tipo_r]]="R",COUNTIFS($C$1:$C248,"R")+1,A248)</f>
        <v>239</v>
      </c>
      <c r="B249" s="19" t="str">
        <f t="shared" si="19"/>
        <v>C-Finanzas</v>
      </c>
      <c r="C249" s="3" t="s">
        <v>1330</v>
      </c>
      <c r="D249" s="14">
        <v>45722</v>
      </c>
      <c r="E249" s="5" t="s">
        <v>6702</v>
      </c>
      <c r="F249" s="5" t="s">
        <v>1336</v>
      </c>
      <c r="G249" s="5"/>
      <c r="H249" s="6"/>
      <c r="I249" s="6"/>
      <c r="J249" s="6"/>
      <c r="K249" s="6"/>
      <c r="L249" s="7" t="s">
        <v>6778</v>
      </c>
      <c r="M249" s="8" t="str">
        <f>"CFI"&amp;".D"&amp;TEXT(Caja_Finanzas[[#This Row],[fecha]],"DD-MM")&amp;"-"&amp;TEXT(Caja_Finanzas[[#This Row],[item]],"0000")</f>
        <v>CFI.D06-03-0239</v>
      </c>
      <c r="N249" s="8" t="str">
        <f t="shared" si="20"/>
        <v>PEN</v>
      </c>
      <c r="O249" s="13"/>
      <c r="P249" s="13">
        <v>2500</v>
      </c>
      <c r="Q249" s="3">
        <f t="shared" si="16"/>
        <v>0</v>
      </c>
      <c r="R249" s="3">
        <f t="shared" si="17"/>
        <v>2500</v>
      </c>
      <c r="S249" s="3">
        <f t="shared" si="18"/>
        <v>18355.599999999999</v>
      </c>
      <c r="T249" s="24"/>
      <c r="U249" s="24"/>
      <c r="V249" s="3"/>
      <c r="W249" s="25" t="s">
        <v>6779</v>
      </c>
      <c r="X249" s="25" t="s">
        <v>6780</v>
      </c>
      <c r="Y249" s="25"/>
      <c r="Z249" s="25"/>
      <c r="AA249" s="25"/>
      <c r="AB249" s="3" t="str">
        <f>IF(Caja_Finanzas[[#This Row],[fecha]]&gt;0,TEXT(Caja_Finanzas[[#This Row],[fecha]],"mmmm"),0)</f>
        <v>Marzo</v>
      </c>
    </row>
    <row r="250" spans="1:28" ht="36" x14ac:dyDescent="0.3">
      <c r="A250" s="2">
        <f>IF(Caja_Finanzas[[#This Row],[tipo_r]]="R",COUNTIFS($C$1:$C249,"R")+1,A249)</f>
        <v>240</v>
      </c>
      <c r="B250" s="19" t="str">
        <f t="shared" si="19"/>
        <v>C-Finanzas</v>
      </c>
      <c r="C250" s="3" t="s">
        <v>1330</v>
      </c>
      <c r="D250" s="14">
        <v>45722</v>
      </c>
      <c r="E250" s="5" t="s">
        <v>6702</v>
      </c>
      <c r="F250" s="5" t="s">
        <v>1336</v>
      </c>
      <c r="G250" s="5"/>
      <c r="H250" s="6"/>
      <c r="I250" s="6"/>
      <c r="J250" s="6"/>
      <c r="K250" s="6"/>
      <c r="L250" s="7" t="s">
        <v>6781</v>
      </c>
      <c r="M250" s="8" t="str">
        <f>"CFI"&amp;".D"&amp;TEXT(Caja_Finanzas[[#This Row],[fecha]],"DD-MM")&amp;"-"&amp;TEXT(Caja_Finanzas[[#This Row],[item]],"0000")</f>
        <v>CFI.D06-03-0240</v>
      </c>
      <c r="N250" s="8" t="str">
        <f t="shared" si="20"/>
        <v>PEN</v>
      </c>
      <c r="O250" s="13"/>
      <c r="P250" s="13">
        <v>30</v>
      </c>
      <c r="Q250" s="3">
        <f t="shared" si="16"/>
        <v>0</v>
      </c>
      <c r="R250" s="3">
        <f t="shared" si="17"/>
        <v>30</v>
      </c>
      <c r="S250" s="3">
        <f t="shared" si="18"/>
        <v>18325.599999999999</v>
      </c>
      <c r="T250" s="24"/>
      <c r="U250" s="24"/>
      <c r="V250" s="3"/>
      <c r="W250" s="25" t="s">
        <v>6782</v>
      </c>
      <c r="X250" s="25" t="s">
        <v>6783</v>
      </c>
      <c r="Y250" s="25"/>
      <c r="Z250" s="25"/>
      <c r="AA250" s="25"/>
      <c r="AB250" s="3" t="str">
        <f>IF(Caja_Finanzas[[#This Row],[fecha]]&gt;0,TEXT(Caja_Finanzas[[#This Row],[fecha]],"mmmm"),0)</f>
        <v>Marzo</v>
      </c>
    </row>
    <row r="251" spans="1:28" ht="24" x14ac:dyDescent="0.3">
      <c r="A251" s="2">
        <f>IF(Caja_Finanzas[[#This Row],[tipo_r]]="R",COUNTIFS($C$1:$C250,"R")+1,A250)</f>
        <v>241</v>
      </c>
      <c r="B251" s="19" t="str">
        <f t="shared" si="19"/>
        <v>C-Finanzas</v>
      </c>
      <c r="C251" s="3" t="s">
        <v>1330</v>
      </c>
      <c r="D251" s="14">
        <v>45723</v>
      </c>
      <c r="E251" s="5" t="s">
        <v>2502</v>
      </c>
      <c r="F251" s="5" t="s">
        <v>1303</v>
      </c>
      <c r="G251" s="5"/>
      <c r="H251" s="6" t="s">
        <v>425</v>
      </c>
      <c r="I251" s="6" t="s">
        <v>119</v>
      </c>
      <c r="J251" s="6">
        <v>1</v>
      </c>
      <c r="K251" s="6">
        <v>4223</v>
      </c>
      <c r="L251" s="7" t="s">
        <v>6118</v>
      </c>
      <c r="M251" s="8" t="str">
        <f>"CFI"&amp;".D"&amp;TEXT(Caja_Finanzas[[#This Row],[fecha]],"DD-MM")&amp;"-"&amp;TEXT(Caja_Finanzas[[#This Row],[item]],"0000")</f>
        <v>CFI.D07-03-0241</v>
      </c>
      <c r="N251" s="8" t="str">
        <f t="shared" si="20"/>
        <v>PEN</v>
      </c>
      <c r="O251" s="13"/>
      <c r="P251" s="13">
        <v>2400</v>
      </c>
      <c r="Q251" s="3">
        <f t="shared" si="16"/>
        <v>2400</v>
      </c>
      <c r="R251" s="3">
        <f t="shared" si="17"/>
        <v>0</v>
      </c>
      <c r="S251" s="3">
        <f t="shared" si="18"/>
        <v>20725.599999999999</v>
      </c>
      <c r="T251" s="24"/>
      <c r="U251" s="24"/>
      <c r="V251" s="3"/>
      <c r="W251" s="25"/>
      <c r="X251" s="25" t="s">
        <v>6784</v>
      </c>
      <c r="Y251" s="25"/>
      <c r="Z251" s="25"/>
      <c r="AA251" s="25"/>
      <c r="AB251" s="3" t="str">
        <f>IF(Caja_Finanzas[[#This Row],[fecha]]&gt;0,TEXT(Caja_Finanzas[[#This Row],[fecha]],"mmmm"),0)</f>
        <v>Marzo</v>
      </c>
    </row>
    <row r="252" spans="1:28" ht="24" x14ac:dyDescent="0.3">
      <c r="A252" s="2">
        <f>IF(Caja_Finanzas[[#This Row],[tipo_r]]="R",COUNTIFS($C$1:$C251,"R")+1,A251)</f>
        <v>242</v>
      </c>
      <c r="B252" s="19" t="str">
        <f t="shared" si="19"/>
        <v>C-Finanzas</v>
      </c>
      <c r="C252" s="3" t="s">
        <v>1330</v>
      </c>
      <c r="D252" s="14">
        <v>45723</v>
      </c>
      <c r="E252" s="5" t="s">
        <v>6529</v>
      </c>
      <c r="F252" s="5" t="s">
        <v>1303</v>
      </c>
      <c r="G252" s="5"/>
      <c r="H252" s="6"/>
      <c r="I252" s="6"/>
      <c r="J252" s="6"/>
      <c r="K252" s="6"/>
      <c r="L252" s="7" t="s">
        <v>6785</v>
      </c>
      <c r="M252" s="8" t="str">
        <f>"CFI"&amp;".D"&amp;TEXT(Caja_Finanzas[[#This Row],[fecha]],"DD-MM")&amp;"-"&amp;TEXT(Caja_Finanzas[[#This Row],[item]],"0000")</f>
        <v>CFI.D07-03-0242</v>
      </c>
      <c r="N252" s="8" t="str">
        <f t="shared" si="20"/>
        <v>PEN</v>
      </c>
      <c r="O252" s="13"/>
      <c r="P252" s="13">
        <v>50</v>
      </c>
      <c r="Q252" s="3">
        <f t="shared" si="16"/>
        <v>50</v>
      </c>
      <c r="R252" s="3">
        <f t="shared" si="17"/>
        <v>0</v>
      </c>
      <c r="S252" s="3">
        <f t="shared" si="18"/>
        <v>20775.599999999999</v>
      </c>
      <c r="T252" s="24"/>
      <c r="U252" s="24"/>
      <c r="V252" s="3"/>
      <c r="W252" s="25" t="s">
        <v>425</v>
      </c>
      <c r="X252" s="25"/>
      <c r="Y252" s="25"/>
      <c r="Z252" s="25"/>
      <c r="AA252" s="25"/>
      <c r="AB252" s="3" t="str">
        <f>IF(Caja_Finanzas[[#This Row],[fecha]]&gt;0,TEXT(Caja_Finanzas[[#This Row],[fecha]],"mmmm"),0)</f>
        <v>Marzo</v>
      </c>
    </row>
    <row r="253" spans="1:28" ht="36" x14ac:dyDescent="0.3">
      <c r="A253" s="2">
        <f>IF(Caja_Finanzas[[#This Row],[tipo_r]]="R",COUNTIFS($C$1:$C252,"R")+1,A252)</f>
        <v>243</v>
      </c>
      <c r="B253" s="19" t="str">
        <f t="shared" si="19"/>
        <v>C-Finanzas</v>
      </c>
      <c r="C253" s="3" t="s">
        <v>1330</v>
      </c>
      <c r="D253" s="14">
        <v>45727</v>
      </c>
      <c r="E253" s="5" t="s">
        <v>6451</v>
      </c>
      <c r="F253" s="5" t="s">
        <v>1336</v>
      </c>
      <c r="G253" s="5"/>
      <c r="H253" s="6"/>
      <c r="I253" s="6"/>
      <c r="J253" s="6"/>
      <c r="K253" s="6"/>
      <c r="L253" s="7" t="s">
        <v>6786</v>
      </c>
      <c r="M253" s="8" t="str">
        <f>"CFI"&amp;".D"&amp;TEXT(Caja_Finanzas[[#This Row],[fecha]],"DD-MM")&amp;"-"&amp;TEXT(Caja_Finanzas[[#This Row],[item]],"0000")</f>
        <v>CFI.D11-03-0243</v>
      </c>
      <c r="N253" s="8" t="str">
        <f t="shared" si="20"/>
        <v>PEN</v>
      </c>
      <c r="O253" s="13"/>
      <c r="P253" s="13">
        <v>250</v>
      </c>
      <c r="Q253" s="3">
        <f t="shared" si="16"/>
        <v>0</v>
      </c>
      <c r="R253" s="3">
        <f t="shared" si="17"/>
        <v>250</v>
      </c>
      <c r="S253" s="3">
        <f t="shared" si="18"/>
        <v>20525.599999999999</v>
      </c>
      <c r="T253" s="24"/>
      <c r="U253" s="24"/>
      <c r="V253" s="3"/>
      <c r="W253" s="25" t="s">
        <v>6709</v>
      </c>
      <c r="X253" s="25" t="s">
        <v>6787</v>
      </c>
      <c r="Y253" s="25"/>
      <c r="Z253" s="25"/>
      <c r="AA253" s="25"/>
      <c r="AB253" s="3" t="str">
        <f>IF(Caja_Finanzas[[#This Row],[fecha]]&gt;0,TEXT(Caja_Finanzas[[#This Row],[fecha]],"mmmm"),0)</f>
        <v>Marzo</v>
      </c>
    </row>
    <row r="254" spans="1:28" ht="36" x14ac:dyDescent="0.3">
      <c r="A254" s="2">
        <f>IF(Caja_Finanzas[[#This Row],[tipo_r]]="R",COUNTIFS($C$1:$C253,"R")+1,A253)</f>
        <v>244</v>
      </c>
      <c r="B254" s="19" t="str">
        <f t="shared" si="19"/>
        <v>C-Finanzas</v>
      </c>
      <c r="C254" s="3" t="s">
        <v>1330</v>
      </c>
      <c r="D254" s="14">
        <v>45727</v>
      </c>
      <c r="E254" s="5" t="s">
        <v>6415</v>
      </c>
      <c r="F254" s="5" t="s">
        <v>1336</v>
      </c>
      <c r="G254" s="5"/>
      <c r="H254" s="6"/>
      <c r="I254" s="6"/>
      <c r="J254" s="6"/>
      <c r="K254" s="6"/>
      <c r="L254" s="7" t="s">
        <v>6788</v>
      </c>
      <c r="M254" s="8" t="str">
        <f>"CFI"&amp;".D"&amp;TEXT(Caja_Finanzas[[#This Row],[fecha]],"DD-MM")&amp;"-"&amp;TEXT(Caja_Finanzas[[#This Row],[item]],"0000")</f>
        <v>CFI.D11-03-0244</v>
      </c>
      <c r="N254" s="8" t="str">
        <f t="shared" si="20"/>
        <v>PEN</v>
      </c>
      <c r="O254" s="13"/>
      <c r="P254" s="13">
        <v>84.5</v>
      </c>
      <c r="Q254" s="3">
        <f t="shared" si="16"/>
        <v>0</v>
      </c>
      <c r="R254" s="3">
        <f t="shared" si="17"/>
        <v>84.5</v>
      </c>
      <c r="S254" s="3">
        <f t="shared" si="18"/>
        <v>20441.099999999999</v>
      </c>
      <c r="T254" s="24"/>
      <c r="U254" s="24"/>
      <c r="V254" s="3"/>
      <c r="W254" s="25" t="s">
        <v>6709</v>
      </c>
      <c r="X254" s="25" t="s">
        <v>6789</v>
      </c>
      <c r="Y254" s="25"/>
      <c r="Z254" s="25"/>
      <c r="AA254" s="25"/>
      <c r="AB254" s="3" t="str">
        <f>IF(Caja_Finanzas[[#This Row],[fecha]]&gt;0,TEXT(Caja_Finanzas[[#This Row],[fecha]],"mmmm"),0)</f>
        <v>Marzo</v>
      </c>
    </row>
    <row r="255" spans="1:28" ht="36" x14ac:dyDescent="0.3">
      <c r="A255" s="2">
        <f>IF(Caja_Finanzas[[#This Row],[tipo_r]]="R",COUNTIFS($C$1:$C254,"R")+1,A254)</f>
        <v>245</v>
      </c>
      <c r="B255" s="19" t="str">
        <f t="shared" si="19"/>
        <v>C-Finanzas</v>
      </c>
      <c r="C255" s="3" t="s">
        <v>1330</v>
      </c>
      <c r="D255" s="14">
        <v>45727</v>
      </c>
      <c r="E255" s="5" t="s">
        <v>6415</v>
      </c>
      <c r="F255" s="5" t="s">
        <v>1336</v>
      </c>
      <c r="G255" s="5"/>
      <c r="H255" s="6"/>
      <c r="I255" s="6"/>
      <c r="J255" s="6"/>
      <c r="K255" s="6"/>
      <c r="L255" s="7" t="s">
        <v>6790</v>
      </c>
      <c r="M255" s="8" t="str">
        <f>"CFI"&amp;".D"&amp;TEXT(Caja_Finanzas[[#This Row],[fecha]],"DD-MM")&amp;"-"&amp;TEXT(Caja_Finanzas[[#This Row],[item]],"0000")</f>
        <v>CFI.D11-03-0245</v>
      </c>
      <c r="N255" s="8" t="str">
        <f t="shared" si="20"/>
        <v>PEN</v>
      </c>
      <c r="O255" s="13"/>
      <c r="P255" s="13">
        <v>9</v>
      </c>
      <c r="Q255" s="3">
        <f t="shared" si="16"/>
        <v>0</v>
      </c>
      <c r="R255" s="3">
        <f t="shared" si="17"/>
        <v>9</v>
      </c>
      <c r="S255" s="3">
        <f t="shared" si="18"/>
        <v>20432.099999999999</v>
      </c>
      <c r="T255" s="24"/>
      <c r="U255" s="24"/>
      <c r="V255" s="3"/>
      <c r="W255" s="25" t="s">
        <v>6709</v>
      </c>
      <c r="X255" s="25" t="s">
        <v>6791</v>
      </c>
      <c r="Y255" s="25"/>
      <c r="Z255" s="25"/>
      <c r="AA255" s="25"/>
      <c r="AB255" s="3" t="str">
        <f>IF(Caja_Finanzas[[#This Row],[fecha]]&gt;0,TEXT(Caja_Finanzas[[#This Row],[fecha]],"mmmm"),0)</f>
        <v>Marzo</v>
      </c>
    </row>
    <row r="256" spans="1:28" ht="36" x14ac:dyDescent="0.3">
      <c r="A256" s="2">
        <f>IF(Caja_Finanzas[[#This Row],[tipo_r]]="R",COUNTIFS($C$1:$C255,"R")+1,A255)</f>
        <v>246</v>
      </c>
      <c r="B256" s="19" t="str">
        <f t="shared" si="19"/>
        <v>C-Finanzas</v>
      </c>
      <c r="C256" s="3" t="s">
        <v>1330</v>
      </c>
      <c r="D256" s="14">
        <v>45727</v>
      </c>
      <c r="E256" s="5" t="s">
        <v>6415</v>
      </c>
      <c r="F256" s="5" t="s">
        <v>1336</v>
      </c>
      <c r="G256" s="5"/>
      <c r="H256" s="6"/>
      <c r="I256" s="6"/>
      <c r="J256" s="6"/>
      <c r="K256" s="6"/>
      <c r="L256" s="7" t="s">
        <v>6792</v>
      </c>
      <c r="M256" s="8" t="str">
        <f>"CFI"&amp;".D"&amp;TEXT(Caja_Finanzas[[#This Row],[fecha]],"DD-MM")&amp;"-"&amp;TEXT(Caja_Finanzas[[#This Row],[item]],"0000")</f>
        <v>CFI.D11-03-0246</v>
      </c>
      <c r="N256" s="8" t="str">
        <f t="shared" si="20"/>
        <v>PEN</v>
      </c>
      <c r="O256" s="13"/>
      <c r="P256" s="13">
        <v>260</v>
      </c>
      <c r="Q256" s="3">
        <f t="shared" si="16"/>
        <v>0</v>
      </c>
      <c r="R256" s="3">
        <f t="shared" si="17"/>
        <v>260</v>
      </c>
      <c r="S256" s="3">
        <f t="shared" si="18"/>
        <v>20172.099999999999</v>
      </c>
      <c r="T256" s="24"/>
      <c r="U256" s="24"/>
      <c r="V256" s="3"/>
      <c r="W256" s="25" t="s">
        <v>6793</v>
      </c>
      <c r="X256" s="25" t="s">
        <v>6794</v>
      </c>
      <c r="Y256" s="25"/>
      <c r="Z256" s="25"/>
      <c r="AA256" s="25"/>
      <c r="AB256" s="3" t="str">
        <f>IF(Caja_Finanzas[[#This Row],[fecha]]&gt;0,TEXT(Caja_Finanzas[[#This Row],[fecha]],"mmmm"),0)</f>
        <v>Marzo</v>
      </c>
    </row>
    <row r="257" spans="1:28" ht="36" x14ac:dyDescent="0.3">
      <c r="A257" s="2">
        <f>IF(Caja_Finanzas[[#This Row],[tipo_r]]="R",COUNTIFS($C$1:$C256,"R")+1,A256)</f>
        <v>247</v>
      </c>
      <c r="B257" s="19" t="str">
        <f t="shared" si="19"/>
        <v>C-Finanzas</v>
      </c>
      <c r="C257" s="3" t="s">
        <v>1330</v>
      </c>
      <c r="D257" s="14">
        <v>45727</v>
      </c>
      <c r="E257" s="5" t="s">
        <v>6415</v>
      </c>
      <c r="F257" s="5" t="s">
        <v>1336</v>
      </c>
      <c r="G257" s="5"/>
      <c r="H257" s="6"/>
      <c r="I257" s="6"/>
      <c r="J257" s="6"/>
      <c r="K257" s="6"/>
      <c r="L257" s="7" t="s">
        <v>6795</v>
      </c>
      <c r="M257" s="8" t="str">
        <f>"CFI"&amp;".D"&amp;TEXT(Caja_Finanzas[[#This Row],[fecha]],"DD-MM")&amp;"-"&amp;TEXT(Caja_Finanzas[[#This Row],[item]],"0000")</f>
        <v>CFI.D11-03-0247</v>
      </c>
      <c r="N257" s="8" t="str">
        <f t="shared" si="20"/>
        <v>PEN</v>
      </c>
      <c r="O257" s="13"/>
      <c r="P257" s="13">
        <v>160</v>
      </c>
      <c r="Q257" s="3">
        <f t="shared" si="16"/>
        <v>0</v>
      </c>
      <c r="R257" s="3">
        <f t="shared" si="17"/>
        <v>160</v>
      </c>
      <c r="S257" s="3">
        <f t="shared" si="18"/>
        <v>20012.099999999999</v>
      </c>
      <c r="T257" s="24"/>
      <c r="U257" s="24"/>
      <c r="V257" s="3"/>
      <c r="W257" s="25" t="s">
        <v>6796</v>
      </c>
      <c r="X257" s="25" t="s">
        <v>6797</v>
      </c>
      <c r="Y257" s="25"/>
      <c r="Z257" s="25"/>
      <c r="AA257" s="25"/>
      <c r="AB257" s="3" t="str">
        <f>IF(Caja_Finanzas[[#This Row],[fecha]]&gt;0,TEXT(Caja_Finanzas[[#This Row],[fecha]],"mmmm"),0)</f>
        <v>Marzo</v>
      </c>
    </row>
    <row r="258" spans="1:28" ht="24" x14ac:dyDescent="0.3">
      <c r="A258" s="2">
        <f>IF(Caja_Finanzas[[#This Row],[tipo_r]]="R",COUNTIFS($C$1:$C257,"R")+1,A257)</f>
        <v>248</v>
      </c>
      <c r="B258" s="19" t="str">
        <f t="shared" si="19"/>
        <v>C-Finanzas</v>
      </c>
      <c r="C258" s="3" t="s">
        <v>1330</v>
      </c>
      <c r="D258" s="14">
        <v>45727</v>
      </c>
      <c r="E258" s="5" t="s">
        <v>6798</v>
      </c>
      <c r="F258" s="5" t="s">
        <v>1336</v>
      </c>
      <c r="G258" s="5"/>
      <c r="H258" s="6"/>
      <c r="I258" s="6"/>
      <c r="J258" s="6"/>
      <c r="K258" s="6"/>
      <c r="L258" s="7" t="s">
        <v>6799</v>
      </c>
      <c r="M258" s="8" t="str">
        <f>"CFI"&amp;".D"&amp;TEXT(Caja_Finanzas[[#This Row],[fecha]],"DD-MM")&amp;"-"&amp;TEXT(Caja_Finanzas[[#This Row],[item]],"0000")</f>
        <v>CFI.D11-03-0248</v>
      </c>
      <c r="N258" s="8" t="str">
        <f t="shared" si="20"/>
        <v>PEN</v>
      </c>
      <c r="O258" s="13"/>
      <c r="P258" s="13">
        <v>2</v>
      </c>
      <c r="Q258" s="3">
        <f t="shared" ref="Q258:Q321" si="21">+IF(OR($F258="SALDO",$F258="INGRESO"),$P258,0)</f>
        <v>0</v>
      </c>
      <c r="R258" s="3">
        <f t="shared" ref="R258:R321" si="22">+IF($F258="EGRESO",$P258,0)</f>
        <v>2</v>
      </c>
      <c r="S258" s="3">
        <f t="shared" ref="S258:S321" si="23">IFERROR(IF(F258="SALDO",Q258,S257+Q258-R258),0)</f>
        <v>20010.099999999999</v>
      </c>
      <c r="T258" s="24"/>
      <c r="U258" s="24"/>
      <c r="V258" s="3"/>
      <c r="W258" s="25" t="s">
        <v>6800</v>
      </c>
      <c r="X258" s="25"/>
      <c r="Y258" s="25"/>
      <c r="Z258" s="25"/>
      <c r="AA258" s="25"/>
      <c r="AB258" s="3" t="str">
        <f>IF(Caja_Finanzas[[#This Row],[fecha]]&gt;0,TEXT(Caja_Finanzas[[#This Row],[fecha]],"mmmm"),0)</f>
        <v>Marzo</v>
      </c>
    </row>
    <row r="259" spans="1:28" ht="24" x14ac:dyDescent="0.3">
      <c r="A259" s="2">
        <f>IF(Caja_Finanzas[[#This Row],[tipo_r]]="R",COUNTIFS($C$1:$C258,"R")+1,A258)</f>
        <v>249</v>
      </c>
      <c r="B259" s="19" t="str">
        <f t="shared" ref="B259:B322" si="24">"C-Finanzas"</f>
        <v>C-Finanzas</v>
      </c>
      <c r="C259" s="3" t="s">
        <v>1330</v>
      </c>
      <c r="D259" s="14">
        <v>45727</v>
      </c>
      <c r="E259" s="5" t="s">
        <v>6550</v>
      </c>
      <c r="F259" s="5" t="s">
        <v>1336</v>
      </c>
      <c r="G259" s="5"/>
      <c r="H259" s="6"/>
      <c r="I259" s="6"/>
      <c r="J259" s="6"/>
      <c r="K259" s="6"/>
      <c r="L259" s="7" t="s">
        <v>6801</v>
      </c>
      <c r="M259" s="8" t="str">
        <f>"CFI"&amp;".D"&amp;TEXT(Caja_Finanzas[[#This Row],[fecha]],"DD-MM")&amp;"-"&amp;TEXT(Caja_Finanzas[[#This Row],[item]],"0000")</f>
        <v>CFI.D11-03-0249</v>
      </c>
      <c r="N259" s="8" t="str">
        <f t="shared" ref="N259:N322" si="25">"PEN"</f>
        <v>PEN</v>
      </c>
      <c r="O259" s="13"/>
      <c r="P259" s="13">
        <v>48</v>
      </c>
      <c r="Q259" s="3">
        <f t="shared" si="21"/>
        <v>0</v>
      </c>
      <c r="R259" s="3">
        <f t="shared" si="22"/>
        <v>48</v>
      </c>
      <c r="S259" s="3">
        <f t="shared" si="23"/>
        <v>19962.099999999999</v>
      </c>
      <c r="T259" s="24"/>
      <c r="U259" s="24"/>
      <c r="V259" s="3"/>
      <c r="W259" s="25" t="s">
        <v>6709</v>
      </c>
      <c r="X259" s="25" t="s">
        <v>6802</v>
      </c>
      <c r="Y259" s="25"/>
      <c r="Z259" s="25"/>
      <c r="AA259" s="25"/>
      <c r="AB259" s="3" t="str">
        <f>IF(Caja_Finanzas[[#This Row],[fecha]]&gt;0,TEXT(Caja_Finanzas[[#This Row],[fecha]],"mmmm"),0)</f>
        <v>Marzo</v>
      </c>
    </row>
    <row r="260" spans="1:28" ht="24" x14ac:dyDescent="0.3">
      <c r="A260" s="2">
        <f>IF(Caja_Finanzas[[#This Row],[tipo_r]]="R",COUNTIFS($C$1:$C259,"R")+1,A259)</f>
        <v>250</v>
      </c>
      <c r="B260" s="19" t="str">
        <f t="shared" si="24"/>
        <v>C-Finanzas</v>
      </c>
      <c r="C260" s="3" t="s">
        <v>1330</v>
      </c>
      <c r="D260" s="14">
        <v>45727</v>
      </c>
      <c r="E260" s="5" t="s">
        <v>6418</v>
      </c>
      <c r="F260" s="5" t="s">
        <v>1336</v>
      </c>
      <c r="G260" s="5"/>
      <c r="H260" s="6"/>
      <c r="I260" s="6"/>
      <c r="J260" s="6"/>
      <c r="K260" s="6"/>
      <c r="L260" s="7" t="s">
        <v>6803</v>
      </c>
      <c r="M260" s="8" t="str">
        <f>"CFI"&amp;".D"&amp;TEXT(Caja_Finanzas[[#This Row],[fecha]],"DD-MM")&amp;"-"&amp;TEXT(Caja_Finanzas[[#This Row],[item]],"0000")</f>
        <v>CFI.D11-03-0250</v>
      </c>
      <c r="N260" s="8" t="str">
        <f t="shared" si="25"/>
        <v>PEN</v>
      </c>
      <c r="O260" s="13"/>
      <c r="P260" s="13">
        <v>2000</v>
      </c>
      <c r="Q260" s="3">
        <f t="shared" si="21"/>
        <v>0</v>
      </c>
      <c r="R260" s="3">
        <f t="shared" si="22"/>
        <v>2000</v>
      </c>
      <c r="S260" s="3">
        <f t="shared" si="23"/>
        <v>17962.099999999999</v>
      </c>
      <c r="T260" s="24"/>
      <c r="U260" s="24"/>
      <c r="V260" s="3"/>
      <c r="W260" s="25" t="s">
        <v>806</v>
      </c>
      <c r="X260" s="25"/>
      <c r="Y260" s="25"/>
      <c r="Z260" s="25"/>
      <c r="AA260" s="25"/>
      <c r="AB260" s="3" t="str">
        <f>IF(Caja_Finanzas[[#This Row],[fecha]]&gt;0,TEXT(Caja_Finanzas[[#This Row],[fecha]],"mmmm"),0)</f>
        <v>Marzo</v>
      </c>
    </row>
    <row r="261" spans="1:28" ht="72" x14ac:dyDescent="0.3">
      <c r="A261" s="2">
        <f>IF(Caja_Finanzas[[#This Row],[tipo_r]]="R",COUNTIFS($C$1:$C260,"R")+1,A260)</f>
        <v>251</v>
      </c>
      <c r="B261" s="19" t="str">
        <f t="shared" si="24"/>
        <v>C-Finanzas</v>
      </c>
      <c r="C261" s="3" t="s">
        <v>1330</v>
      </c>
      <c r="D261" s="14">
        <v>45727</v>
      </c>
      <c r="E261" s="5" t="s">
        <v>6420</v>
      </c>
      <c r="F261" s="5" t="s">
        <v>1336</v>
      </c>
      <c r="G261" s="5"/>
      <c r="H261" s="6"/>
      <c r="I261" s="6"/>
      <c r="J261" s="6"/>
      <c r="K261" s="6"/>
      <c r="L261" s="7" t="s">
        <v>6804</v>
      </c>
      <c r="M261" s="8" t="str">
        <f>"CFI"&amp;".D"&amp;TEXT(Caja_Finanzas[[#This Row],[fecha]],"DD-MM")&amp;"-"&amp;TEXT(Caja_Finanzas[[#This Row],[item]],"0000")</f>
        <v>CFI.D11-03-0251</v>
      </c>
      <c r="N261" s="8" t="str">
        <f t="shared" si="25"/>
        <v>PEN</v>
      </c>
      <c r="O261" s="13"/>
      <c r="P261" s="13">
        <v>600</v>
      </c>
      <c r="Q261" s="3">
        <f t="shared" si="21"/>
        <v>0</v>
      </c>
      <c r="R261" s="3">
        <f t="shared" si="22"/>
        <v>600</v>
      </c>
      <c r="S261" s="3">
        <f t="shared" si="23"/>
        <v>17362.099999999999</v>
      </c>
      <c r="T261" s="24"/>
      <c r="U261" s="24"/>
      <c r="V261" s="3"/>
      <c r="W261" s="25" t="s">
        <v>6805</v>
      </c>
      <c r="X261" s="25" t="s">
        <v>6806</v>
      </c>
      <c r="Y261" s="25"/>
      <c r="Z261" s="25"/>
      <c r="AA261" s="25"/>
      <c r="AB261" s="3" t="str">
        <f>IF(Caja_Finanzas[[#This Row],[fecha]]&gt;0,TEXT(Caja_Finanzas[[#This Row],[fecha]],"mmmm"),0)</f>
        <v>Marzo</v>
      </c>
    </row>
    <row r="262" spans="1:28" ht="24" x14ac:dyDescent="0.3">
      <c r="A262" s="2">
        <f>IF(Caja_Finanzas[[#This Row],[tipo_r]]="R",COUNTIFS($C$1:$C261,"R")+1,A261)</f>
        <v>252</v>
      </c>
      <c r="B262" s="19" t="str">
        <f t="shared" si="24"/>
        <v>C-Finanzas</v>
      </c>
      <c r="C262" s="3" t="s">
        <v>1330</v>
      </c>
      <c r="D262" s="14">
        <v>45728</v>
      </c>
      <c r="E262" s="5" t="s">
        <v>6460</v>
      </c>
      <c r="F262" s="5" t="s">
        <v>1336</v>
      </c>
      <c r="G262" s="5"/>
      <c r="H262" s="6"/>
      <c r="I262" s="6"/>
      <c r="J262" s="6"/>
      <c r="K262" s="6"/>
      <c r="L262" s="7" t="s">
        <v>6807</v>
      </c>
      <c r="M262" s="8" t="str">
        <f>"CFI"&amp;".D"&amp;TEXT(Caja_Finanzas[[#This Row],[fecha]],"DD-MM")&amp;"-"&amp;TEXT(Caja_Finanzas[[#This Row],[item]],"0000")</f>
        <v>CFI.D12-03-0252</v>
      </c>
      <c r="N262" s="8" t="str">
        <f t="shared" si="25"/>
        <v>PEN</v>
      </c>
      <c r="O262" s="13"/>
      <c r="P262" s="13">
        <v>10</v>
      </c>
      <c r="Q262" s="3">
        <f t="shared" si="21"/>
        <v>0</v>
      </c>
      <c r="R262" s="3">
        <f t="shared" si="22"/>
        <v>10</v>
      </c>
      <c r="S262" s="3">
        <f t="shared" si="23"/>
        <v>17352.099999999999</v>
      </c>
      <c r="T262" s="24"/>
      <c r="U262" s="24"/>
      <c r="V262" s="3"/>
      <c r="W262" s="25" t="s">
        <v>779</v>
      </c>
      <c r="X262" s="25"/>
      <c r="Y262" s="25"/>
      <c r="Z262" s="25"/>
      <c r="AA262" s="25"/>
      <c r="AB262" s="3" t="str">
        <f>IF(Caja_Finanzas[[#This Row],[fecha]]&gt;0,TEXT(Caja_Finanzas[[#This Row],[fecha]],"mmmm"),0)</f>
        <v>Marzo</v>
      </c>
    </row>
    <row r="263" spans="1:28" ht="24" x14ac:dyDescent="0.3">
      <c r="A263" s="2">
        <f>IF(Caja_Finanzas[[#This Row],[tipo_r]]="R",COUNTIFS($C$1:$C262,"R")+1,A262)</f>
        <v>253</v>
      </c>
      <c r="B263" s="19" t="str">
        <f t="shared" si="24"/>
        <v>C-Finanzas</v>
      </c>
      <c r="C263" s="3" t="s">
        <v>1330</v>
      </c>
      <c r="D263" s="14">
        <v>45728</v>
      </c>
      <c r="E263" s="5" t="s">
        <v>6460</v>
      </c>
      <c r="F263" s="5" t="s">
        <v>1336</v>
      </c>
      <c r="G263" s="5"/>
      <c r="H263" s="6"/>
      <c r="I263" s="6"/>
      <c r="J263" s="6"/>
      <c r="K263" s="6"/>
      <c r="L263" s="7" t="s">
        <v>6808</v>
      </c>
      <c r="M263" s="8" t="str">
        <f>"CFI"&amp;".D"&amp;TEXT(Caja_Finanzas[[#This Row],[fecha]],"DD-MM")&amp;"-"&amp;TEXT(Caja_Finanzas[[#This Row],[item]],"0000")</f>
        <v>CFI.D12-03-0253</v>
      </c>
      <c r="N263" s="8" t="str">
        <f t="shared" si="25"/>
        <v>PEN</v>
      </c>
      <c r="O263" s="13"/>
      <c r="P263" s="13">
        <v>10</v>
      </c>
      <c r="Q263" s="3">
        <f t="shared" si="21"/>
        <v>0</v>
      </c>
      <c r="R263" s="3">
        <f t="shared" si="22"/>
        <v>10</v>
      </c>
      <c r="S263" s="3">
        <f t="shared" si="23"/>
        <v>17342.099999999999</v>
      </c>
      <c r="T263" s="24"/>
      <c r="U263" s="24"/>
      <c r="V263" s="3"/>
      <c r="W263" s="25" t="s">
        <v>779</v>
      </c>
      <c r="X263" s="25"/>
      <c r="Y263" s="25"/>
      <c r="Z263" s="25"/>
      <c r="AA263" s="25"/>
      <c r="AB263" s="3" t="str">
        <f>IF(Caja_Finanzas[[#This Row],[fecha]]&gt;0,TEXT(Caja_Finanzas[[#This Row],[fecha]],"mmmm"),0)</f>
        <v>Marzo</v>
      </c>
    </row>
    <row r="264" spans="1:28" ht="24" x14ac:dyDescent="0.3">
      <c r="A264" s="2">
        <f>IF(Caja_Finanzas[[#This Row],[tipo_r]]="R",COUNTIFS($C$1:$C263,"R")+1,A263)</f>
        <v>254</v>
      </c>
      <c r="B264" s="19" t="str">
        <f t="shared" si="24"/>
        <v>C-Finanzas</v>
      </c>
      <c r="C264" s="3" t="s">
        <v>1330</v>
      </c>
      <c r="D264" s="14">
        <v>45728</v>
      </c>
      <c r="E264" s="5" t="s">
        <v>6460</v>
      </c>
      <c r="F264" s="5" t="s">
        <v>1336</v>
      </c>
      <c r="G264" s="5"/>
      <c r="H264" s="6"/>
      <c r="I264" s="6"/>
      <c r="J264" s="6"/>
      <c r="K264" s="6"/>
      <c r="L264" s="7" t="s">
        <v>6809</v>
      </c>
      <c r="M264" s="8" t="str">
        <f>"CFI"&amp;".D"&amp;TEXT(Caja_Finanzas[[#This Row],[fecha]],"DD-MM")&amp;"-"&amp;TEXT(Caja_Finanzas[[#This Row],[item]],"0000")</f>
        <v>CFI.D12-03-0254</v>
      </c>
      <c r="N264" s="8" t="str">
        <f t="shared" si="25"/>
        <v>PEN</v>
      </c>
      <c r="O264" s="13"/>
      <c r="P264" s="13">
        <v>19.8</v>
      </c>
      <c r="Q264" s="3">
        <f t="shared" si="21"/>
        <v>0</v>
      </c>
      <c r="R264" s="3">
        <f t="shared" si="22"/>
        <v>19.8</v>
      </c>
      <c r="S264" s="3">
        <f t="shared" si="23"/>
        <v>17322.3</v>
      </c>
      <c r="T264" s="24"/>
      <c r="U264" s="24"/>
      <c r="V264" s="3"/>
      <c r="W264" s="25" t="s">
        <v>809</v>
      </c>
      <c r="X264" s="25" t="s">
        <v>6810</v>
      </c>
      <c r="Y264" s="25"/>
      <c r="Z264" s="25"/>
      <c r="AA264" s="25"/>
      <c r="AB264" s="3" t="str">
        <f>IF(Caja_Finanzas[[#This Row],[fecha]]&gt;0,TEXT(Caja_Finanzas[[#This Row],[fecha]],"mmmm"),0)</f>
        <v>Marzo</v>
      </c>
    </row>
    <row r="265" spans="1:28" ht="36" x14ac:dyDescent="0.3">
      <c r="A265" s="2">
        <f>IF(Caja_Finanzas[[#This Row],[tipo_r]]="R",COUNTIFS($C$1:$C264,"R")+1,A264)</f>
        <v>255</v>
      </c>
      <c r="B265" s="19" t="str">
        <f t="shared" si="24"/>
        <v>C-Finanzas</v>
      </c>
      <c r="C265" s="3" t="s">
        <v>1330</v>
      </c>
      <c r="D265" s="14">
        <v>45728</v>
      </c>
      <c r="E265" s="5" t="s">
        <v>6460</v>
      </c>
      <c r="F265" s="5" t="s">
        <v>1336</v>
      </c>
      <c r="G265" s="5"/>
      <c r="H265" s="6"/>
      <c r="I265" s="6"/>
      <c r="J265" s="6"/>
      <c r="K265" s="6"/>
      <c r="L265" s="7" t="s">
        <v>6811</v>
      </c>
      <c r="M265" s="8" t="str">
        <f>"CFI"&amp;".D"&amp;TEXT(Caja_Finanzas[[#This Row],[fecha]],"DD-MM")&amp;"-"&amp;TEXT(Caja_Finanzas[[#This Row],[item]],"0000")</f>
        <v>CFI.D12-03-0255</v>
      </c>
      <c r="N265" s="8" t="str">
        <f t="shared" si="25"/>
        <v>PEN</v>
      </c>
      <c r="O265" s="13"/>
      <c r="P265" s="13">
        <v>130</v>
      </c>
      <c r="Q265" s="3">
        <f t="shared" si="21"/>
        <v>0</v>
      </c>
      <c r="R265" s="3">
        <f t="shared" si="22"/>
        <v>130</v>
      </c>
      <c r="S265" s="3">
        <f t="shared" si="23"/>
        <v>17192.3</v>
      </c>
      <c r="T265" s="24"/>
      <c r="U265" s="24"/>
      <c r="V265" s="3"/>
      <c r="W265" s="25" t="s">
        <v>6709</v>
      </c>
      <c r="X265" s="25" t="s">
        <v>6812</v>
      </c>
      <c r="Y265" s="25"/>
      <c r="Z265" s="25"/>
      <c r="AA265" s="25"/>
      <c r="AB265" s="3" t="str">
        <f>IF(Caja_Finanzas[[#This Row],[fecha]]&gt;0,TEXT(Caja_Finanzas[[#This Row],[fecha]],"mmmm"),0)</f>
        <v>Marzo</v>
      </c>
    </row>
    <row r="266" spans="1:28" ht="36" x14ac:dyDescent="0.3">
      <c r="A266" s="2">
        <f>IF(Caja_Finanzas[[#This Row],[tipo_r]]="R",COUNTIFS($C$1:$C265,"R")+1,A265)</f>
        <v>256</v>
      </c>
      <c r="B266" s="19" t="str">
        <f t="shared" si="24"/>
        <v>C-Finanzas</v>
      </c>
      <c r="C266" s="3" t="s">
        <v>1330</v>
      </c>
      <c r="D266" s="14">
        <v>45728</v>
      </c>
      <c r="E266" s="5" t="s">
        <v>6460</v>
      </c>
      <c r="F266" s="5" t="s">
        <v>1336</v>
      </c>
      <c r="G266" s="5"/>
      <c r="H266" s="6"/>
      <c r="I266" s="6"/>
      <c r="J266" s="6"/>
      <c r="K266" s="6"/>
      <c r="L266" s="7" t="s">
        <v>6813</v>
      </c>
      <c r="M266" s="8" t="str">
        <f>"CFI"&amp;".D"&amp;TEXT(Caja_Finanzas[[#This Row],[fecha]],"DD-MM")&amp;"-"&amp;TEXT(Caja_Finanzas[[#This Row],[item]],"0000")</f>
        <v>CFI.D12-03-0256</v>
      </c>
      <c r="N266" s="8" t="str">
        <f t="shared" si="25"/>
        <v>PEN</v>
      </c>
      <c r="O266" s="13"/>
      <c r="P266" s="13">
        <v>350</v>
      </c>
      <c r="Q266" s="3">
        <f t="shared" si="21"/>
        <v>0</v>
      </c>
      <c r="R266" s="3">
        <f t="shared" si="22"/>
        <v>350</v>
      </c>
      <c r="S266" s="3">
        <f t="shared" si="23"/>
        <v>16842.3</v>
      </c>
      <c r="T266" s="24"/>
      <c r="U266" s="24"/>
      <c r="V266" s="3"/>
      <c r="W266" s="25" t="s">
        <v>6709</v>
      </c>
      <c r="X266" s="25" t="s">
        <v>6814</v>
      </c>
      <c r="Y266" s="25"/>
      <c r="Z266" s="25"/>
      <c r="AA266" s="25"/>
      <c r="AB266" s="3" t="str">
        <f>IF(Caja_Finanzas[[#This Row],[fecha]]&gt;0,TEXT(Caja_Finanzas[[#This Row],[fecha]],"mmmm"),0)</f>
        <v>Marzo</v>
      </c>
    </row>
    <row r="267" spans="1:28" ht="48" x14ac:dyDescent="0.3">
      <c r="A267" s="2">
        <f>IF(Caja_Finanzas[[#This Row],[tipo_r]]="R",COUNTIFS($C$1:$C266,"R")+1,A266)</f>
        <v>257</v>
      </c>
      <c r="B267" s="19" t="str">
        <f t="shared" si="24"/>
        <v>C-Finanzas</v>
      </c>
      <c r="C267" s="3" t="s">
        <v>1330</v>
      </c>
      <c r="D267" s="14">
        <v>45728</v>
      </c>
      <c r="E267" s="5" t="s">
        <v>6420</v>
      </c>
      <c r="F267" s="5" t="s">
        <v>1336</v>
      </c>
      <c r="G267" s="5"/>
      <c r="H267" s="6"/>
      <c r="I267" s="6"/>
      <c r="J267" s="6"/>
      <c r="K267" s="6"/>
      <c r="L267" s="7" t="s">
        <v>6815</v>
      </c>
      <c r="M267" s="8" t="str">
        <f>"CFI"&amp;".D"&amp;TEXT(Caja_Finanzas[[#This Row],[fecha]],"DD-MM")&amp;"-"&amp;TEXT(Caja_Finanzas[[#This Row],[item]],"0000")</f>
        <v>CFI.D12-03-0257</v>
      </c>
      <c r="N267" s="8" t="str">
        <f t="shared" si="25"/>
        <v>PEN</v>
      </c>
      <c r="O267" s="13"/>
      <c r="P267" s="13">
        <v>1100</v>
      </c>
      <c r="Q267" s="3">
        <f t="shared" si="21"/>
        <v>0</v>
      </c>
      <c r="R267" s="3">
        <f t="shared" si="22"/>
        <v>1100</v>
      </c>
      <c r="S267" s="3">
        <f t="shared" si="23"/>
        <v>15742.3</v>
      </c>
      <c r="T267" s="24"/>
      <c r="U267" s="24"/>
      <c r="V267" s="3"/>
      <c r="W267" s="25" t="s">
        <v>6816</v>
      </c>
      <c r="X267" s="25" t="s">
        <v>6817</v>
      </c>
      <c r="Y267" s="25"/>
      <c r="Z267" s="25"/>
      <c r="AA267" s="25"/>
      <c r="AB267" s="3" t="str">
        <f>IF(Caja_Finanzas[[#This Row],[fecha]]&gt;0,TEXT(Caja_Finanzas[[#This Row],[fecha]],"mmmm"),0)</f>
        <v>Marzo</v>
      </c>
    </row>
    <row r="268" spans="1:28" ht="24" x14ac:dyDescent="0.3">
      <c r="A268" s="2">
        <f>IF(Caja_Finanzas[[#This Row],[tipo_r]]="R",COUNTIFS($C$1:$C267,"R")+1,A267)</f>
        <v>258</v>
      </c>
      <c r="B268" s="19" t="str">
        <f t="shared" si="24"/>
        <v>C-Finanzas</v>
      </c>
      <c r="C268" s="3" t="s">
        <v>1330</v>
      </c>
      <c r="D268" s="14">
        <v>45729</v>
      </c>
      <c r="E268" s="5" t="s">
        <v>6465</v>
      </c>
      <c r="F268" s="5" t="s">
        <v>1336</v>
      </c>
      <c r="G268" s="5"/>
      <c r="H268" s="6"/>
      <c r="I268" s="6"/>
      <c r="J268" s="6"/>
      <c r="K268" s="6"/>
      <c r="L268" s="7" t="s">
        <v>6818</v>
      </c>
      <c r="M268" s="8" t="str">
        <f>"CFI"&amp;".D"&amp;TEXT(Caja_Finanzas[[#This Row],[fecha]],"DD-MM")&amp;"-"&amp;TEXT(Caja_Finanzas[[#This Row],[item]],"0000")</f>
        <v>CFI.D13-03-0258</v>
      </c>
      <c r="N268" s="8" t="str">
        <f t="shared" si="25"/>
        <v>PEN</v>
      </c>
      <c r="O268" s="13"/>
      <c r="P268" s="13">
        <v>31.2</v>
      </c>
      <c r="Q268" s="3">
        <f t="shared" si="21"/>
        <v>0</v>
      </c>
      <c r="R268" s="3">
        <f t="shared" si="22"/>
        <v>31.2</v>
      </c>
      <c r="S268" s="3">
        <f t="shared" si="23"/>
        <v>15711.099999999999</v>
      </c>
      <c r="T268" s="24"/>
      <c r="U268" s="24"/>
      <c r="V268" s="3"/>
      <c r="W268" s="25" t="s">
        <v>6462</v>
      </c>
      <c r="X268" s="25" t="s">
        <v>6819</v>
      </c>
      <c r="Y268" s="25"/>
      <c r="Z268" s="25"/>
      <c r="AA268" s="25"/>
      <c r="AB268" s="3" t="str">
        <f>IF(Caja_Finanzas[[#This Row],[fecha]]&gt;0,TEXT(Caja_Finanzas[[#This Row],[fecha]],"mmmm"),0)</f>
        <v>Marzo</v>
      </c>
    </row>
    <row r="269" spans="1:28" ht="24" x14ac:dyDescent="0.3">
      <c r="A269" s="2">
        <f>IF(Caja_Finanzas[[#This Row],[tipo_r]]="R",COUNTIFS($C$1:$C268,"R")+1,A268)</f>
        <v>259</v>
      </c>
      <c r="B269" s="19" t="str">
        <f t="shared" si="24"/>
        <v>C-Finanzas</v>
      </c>
      <c r="C269" s="3" t="s">
        <v>1330</v>
      </c>
      <c r="D269" s="14">
        <v>45729</v>
      </c>
      <c r="E269" s="5" t="s">
        <v>2502</v>
      </c>
      <c r="F269" s="5" t="s">
        <v>1303</v>
      </c>
      <c r="G269" s="5"/>
      <c r="H269" s="6" t="s">
        <v>425</v>
      </c>
      <c r="I269" s="6" t="s">
        <v>119</v>
      </c>
      <c r="J269" s="6">
        <v>1</v>
      </c>
      <c r="K269" s="6">
        <v>4233</v>
      </c>
      <c r="L269" s="7" t="s">
        <v>6118</v>
      </c>
      <c r="M269" s="8" t="str">
        <f>"CFI"&amp;".D"&amp;TEXT(Caja_Finanzas[[#This Row],[fecha]],"DD-MM")&amp;"-"&amp;TEXT(Caja_Finanzas[[#This Row],[item]],"0000")</f>
        <v>CFI.D13-03-0259</v>
      </c>
      <c r="N269" s="8" t="str">
        <f t="shared" si="25"/>
        <v>PEN</v>
      </c>
      <c r="O269" s="13"/>
      <c r="P269" s="13">
        <v>3488</v>
      </c>
      <c r="Q269" s="3">
        <f t="shared" si="21"/>
        <v>3488</v>
      </c>
      <c r="R269" s="3">
        <f t="shared" si="22"/>
        <v>0</v>
      </c>
      <c r="S269" s="3">
        <f t="shared" si="23"/>
        <v>19199.099999999999</v>
      </c>
      <c r="T269" s="24"/>
      <c r="U269" s="24"/>
      <c r="V269" s="3"/>
      <c r="W269" s="25"/>
      <c r="X269" s="25" t="s">
        <v>6820</v>
      </c>
      <c r="Y269" s="25"/>
      <c r="Z269" s="25"/>
      <c r="AA269" s="25"/>
      <c r="AB269" s="3" t="str">
        <f>IF(Caja_Finanzas[[#This Row],[fecha]]&gt;0,TEXT(Caja_Finanzas[[#This Row],[fecha]],"mmmm"),0)</f>
        <v>Marzo</v>
      </c>
    </row>
    <row r="270" spans="1:28" ht="24" x14ac:dyDescent="0.3">
      <c r="A270" s="2">
        <f>IF(Caja_Finanzas[[#This Row],[tipo_r]]="R",COUNTIFS($C$1:$C269,"R")+1,A269)</f>
        <v>260</v>
      </c>
      <c r="B270" s="19" t="str">
        <f t="shared" si="24"/>
        <v>C-Finanzas</v>
      </c>
      <c r="C270" s="3" t="s">
        <v>1330</v>
      </c>
      <c r="D270" s="14">
        <v>45729</v>
      </c>
      <c r="E270" s="5" t="s">
        <v>2502</v>
      </c>
      <c r="F270" s="5" t="s">
        <v>1303</v>
      </c>
      <c r="G270" s="5"/>
      <c r="H270" s="6" t="s">
        <v>425</v>
      </c>
      <c r="I270" s="6" t="s">
        <v>119</v>
      </c>
      <c r="J270" s="6">
        <v>1</v>
      </c>
      <c r="K270" s="6">
        <v>4241</v>
      </c>
      <c r="L270" s="7" t="s">
        <v>6118</v>
      </c>
      <c r="M270" s="8" t="str">
        <f>"CFI"&amp;".D"&amp;TEXT(Caja_Finanzas[[#This Row],[fecha]],"DD-MM")&amp;"-"&amp;TEXT(Caja_Finanzas[[#This Row],[item]],"0000")</f>
        <v>CFI.D13-03-0260</v>
      </c>
      <c r="N270" s="8" t="str">
        <f t="shared" si="25"/>
        <v>PEN</v>
      </c>
      <c r="O270" s="13"/>
      <c r="P270" s="13">
        <v>1584</v>
      </c>
      <c r="Q270" s="3">
        <f t="shared" si="21"/>
        <v>1584</v>
      </c>
      <c r="R270" s="3">
        <f t="shared" si="22"/>
        <v>0</v>
      </c>
      <c r="S270" s="3">
        <f t="shared" si="23"/>
        <v>20783.099999999999</v>
      </c>
      <c r="T270" s="24"/>
      <c r="U270" s="24"/>
      <c r="V270" s="3"/>
      <c r="W270" s="25"/>
      <c r="X270" s="25" t="s">
        <v>6821</v>
      </c>
      <c r="Y270" s="25"/>
      <c r="Z270" s="25"/>
      <c r="AA270" s="25"/>
      <c r="AB270" s="3" t="str">
        <f>IF(Caja_Finanzas[[#This Row],[fecha]]&gt;0,TEXT(Caja_Finanzas[[#This Row],[fecha]],"mmmm"),0)</f>
        <v>Marzo</v>
      </c>
    </row>
    <row r="271" spans="1:28" ht="24" x14ac:dyDescent="0.3">
      <c r="A271" s="2">
        <f>IF(Caja_Finanzas[[#This Row],[tipo_r]]="R",COUNTIFS($C$1:$C270,"R")+1,A270)</f>
        <v>261</v>
      </c>
      <c r="B271" s="19" t="str">
        <f t="shared" si="24"/>
        <v>C-Finanzas</v>
      </c>
      <c r="C271" s="3" t="s">
        <v>1330</v>
      </c>
      <c r="D271" s="14">
        <v>45729</v>
      </c>
      <c r="E271" s="5" t="s">
        <v>6822</v>
      </c>
      <c r="F271" s="5" t="s">
        <v>1303</v>
      </c>
      <c r="G271" s="5"/>
      <c r="H271" s="6" t="s">
        <v>425</v>
      </c>
      <c r="I271" s="6" t="s">
        <v>119</v>
      </c>
      <c r="J271" s="6">
        <v>1</v>
      </c>
      <c r="K271" s="6">
        <v>4235</v>
      </c>
      <c r="L271" s="7" t="s">
        <v>6118</v>
      </c>
      <c r="M271" s="8" t="str">
        <f>"CFI"&amp;".D"&amp;TEXT(Caja_Finanzas[[#This Row],[fecha]],"DD-MM")&amp;"-"&amp;TEXT(Caja_Finanzas[[#This Row],[item]],"0000")</f>
        <v>CFI.D13-03-0261</v>
      </c>
      <c r="N271" s="8" t="str">
        <f t="shared" si="25"/>
        <v>PEN</v>
      </c>
      <c r="O271" s="13"/>
      <c r="P271" s="13">
        <v>1040</v>
      </c>
      <c r="Q271" s="3">
        <f t="shared" si="21"/>
        <v>1040</v>
      </c>
      <c r="R271" s="3">
        <f t="shared" si="22"/>
        <v>0</v>
      </c>
      <c r="S271" s="3">
        <f t="shared" si="23"/>
        <v>21823.1</v>
      </c>
      <c r="T271" s="24"/>
      <c r="U271" s="24"/>
      <c r="V271" s="3"/>
      <c r="W271" s="25"/>
      <c r="X271" s="25" t="s">
        <v>6823</v>
      </c>
      <c r="Y271" s="25"/>
      <c r="Z271" s="25"/>
      <c r="AA271" s="25"/>
      <c r="AB271" s="3" t="str">
        <f>IF(Caja_Finanzas[[#This Row],[fecha]]&gt;0,TEXT(Caja_Finanzas[[#This Row],[fecha]],"mmmm"),0)</f>
        <v>Marzo</v>
      </c>
    </row>
    <row r="272" spans="1:28" ht="24" x14ac:dyDescent="0.3">
      <c r="A272" s="2">
        <f>IF(Caja_Finanzas[[#This Row],[tipo_r]]="R",COUNTIFS($C$1:$C271,"R")+1,A271)</f>
        <v>262</v>
      </c>
      <c r="B272" s="19" t="str">
        <f t="shared" si="24"/>
        <v>C-Finanzas</v>
      </c>
      <c r="C272" s="3" t="s">
        <v>1330</v>
      </c>
      <c r="D272" s="14">
        <v>45729</v>
      </c>
      <c r="E272" s="5" t="s">
        <v>2009</v>
      </c>
      <c r="F272" s="5" t="s">
        <v>1303</v>
      </c>
      <c r="G272" s="5"/>
      <c r="H272" s="6" t="s">
        <v>425</v>
      </c>
      <c r="I272" s="6" t="s">
        <v>119</v>
      </c>
      <c r="J272" s="6">
        <v>1</v>
      </c>
      <c r="K272" s="6">
        <v>4242</v>
      </c>
      <c r="L272" s="7" t="s">
        <v>6118</v>
      </c>
      <c r="M272" s="8" t="str">
        <f>"CFI"&amp;".D"&amp;TEXT(Caja_Finanzas[[#This Row],[fecha]],"DD-MM")&amp;"-"&amp;TEXT(Caja_Finanzas[[#This Row],[item]],"0000")</f>
        <v>CFI.D13-03-0262</v>
      </c>
      <c r="N272" s="8" t="str">
        <f t="shared" si="25"/>
        <v>PEN</v>
      </c>
      <c r="O272" s="13"/>
      <c r="P272" s="13">
        <v>600</v>
      </c>
      <c r="Q272" s="3">
        <f t="shared" si="21"/>
        <v>600</v>
      </c>
      <c r="R272" s="3">
        <f t="shared" si="22"/>
        <v>0</v>
      </c>
      <c r="S272" s="3">
        <f t="shared" si="23"/>
        <v>22423.1</v>
      </c>
      <c r="T272" s="24"/>
      <c r="U272" s="24"/>
      <c r="V272" s="3"/>
      <c r="W272" s="25"/>
      <c r="X272" s="25" t="s">
        <v>6824</v>
      </c>
      <c r="Y272" s="25"/>
      <c r="Z272" s="25"/>
      <c r="AA272" s="25"/>
      <c r="AB272" s="3" t="str">
        <f>IF(Caja_Finanzas[[#This Row],[fecha]]&gt;0,TEXT(Caja_Finanzas[[#This Row],[fecha]],"mmmm"),0)</f>
        <v>Marzo</v>
      </c>
    </row>
    <row r="273" spans="1:28" ht="24" x14ac:dyDescent="0.3">
      <c r="A273" s="2">
        <f>IF(Caja_Finanzas[[#This Row],[tipo_r]]="R",COUNTIFS($C$1:$C272,"R")+1,A272)</f>
        <v>263</v>
      </c>
      <c r="B273" s="19" t="str">
        <f t="shared" si="24"/>
        <v>C-Finanzas</v>
      </c>
      <c r="C273" s="3" t="s">
        <v>1330</v>
      </c>
      <c r="D273" s="14">
        <v>45729</v>
      </c>
      <c r="E273" s="5" t="s">
        <v>6825</v>
      </c>
      <c r="F273" s="5" t="s">
        <v>1303</v>
      </c>
      <c r="G273" s="5"/>
      <c r="H273" s="6" t="s">
        <v>425</v>
      </c>
      <c r="I273" s="6" t="s">
        <v>119</v>
      </c>
      <c r="J273" s="6">
        <v>1</v>
      </c>
      <c r="K273" s="6">
        <v>4243</v>
      </c>
      <c r="L273" s="7" t="s">
        <v>6118</v>
      </c>
      <c r="M273" s="8" t="str">
        <f>"CFI"&amp;".D"&amp;TEXT(Caja_Finanzas[[#This Row],[fecha]],"DD-MM")&amp;"-"&amp;TEXT(Caja_Finanzas[[#This Row],[item]],"0000")</f>
        <v>CFI.D13-03-0263</v>
      </c>
      <c r="N273" s="8" t="str">
        <f t="shared" si="25"/>
        <v>PEN</v>
      </c>
      <c r="O273" s="13"/>
      <c r="P273" s="13">
        <v>1935</v>
      </c>
      <c r="Q273" s="3">
        <f t="shared" si="21"/>
        <v>1935</v>
      </c>
      <c r="R273" s="3">
        <f t="shared" si="22"/>
        <v>0</v>
      </c>
      <c r="S273" s="3">
        <f t="shared" si="23"/>
        <v>24358.1</v>
      </c>
      <c r="T273" s="24"/>
      <c r="U273" s="24"/>
      <c r="V273" s="3"/>
      <c r="W273" s="25"/>
      <c r="X273" s="25" t="s">
        <v>6826</v>
      </c>
      <c r="Y273" s="25"/>
      <c r="Z273" s="25"/>
      <c r="AA273" s="25"/>
      <c r="AB273" s="3" t="str">
        <f>IF(Caja_Finanzas[[#This Row],[fecha]]&gt;0,TEXT(Caja_Finanzas[[#This Row],[fecha]],"mmmm"),0)</f>
        <v>Marzo</v>
      </c>
    </row>
    <row r="274" spans="1:28" x14ac:dyDescent="0.3">
      <c r="A274" s="2">
        <f>IF(Caja_Finanzas[[#This Row],[tipo_r]]="R",COUNTIFS($C$1:$C273,"R")+1,A273)</f>
        <v>264</v>
      </c>
      <c r="B274" s="19" t="str">
        <f t="shared" si="24"/>
        <v>C-Finanzas</v>
      </c>
      <c r="C274" s="3" t="s">
        <v>1330</v>
      </c>
      <c r="D274" s="14">
        <v>45729</v>
      </c>
      <c r="E274" s="5" t="s">
        <v>1498</v>
      </c>
      <c r="F274" s="5" t="s">
        <v>1303</v>
      </c>
      <c r="G274" s="5"/>
      <c r="H274" s="6" t="s">
        <v>425</v>
      </c>
      <c r="I274" s="6" t="s">
        <v>119</v>
      </c>
      <c r="J274" s="6">
        <v>1</v>
      </c>
      <c r="K274" s="6">
        <v>4244</v>
      </c>
      <c r="L274" s="7" t="s">
        <v>6118</v>
      </c>
      <c r="M274" s="8" t="str">
        <f>"CFI"&amp;".D"&amp;TEXT(Caja_Finanzas[[#This Row],[fecha]],"DD-MM")&amp;"-"&amp;TEXT(Caja_Finanzas[[#This Row],[item]],"0000")</f>
        <v>CFI.D13-03-0264</v>
      </c>
      <c r="N274" s="8" t="str">
        <f t="shared" si="25"/>
        <v>PEN</v>
      </c>
      <c r="O274" s="13"/>
      <c r="P274" s="13">
        <v>200</v>
      </c>
      <c r="Q274" s="3">
        <f t="shared" si="21"/>
        <v>200</v>
      </c>
      <c r="R274" s="3">
        <f t="shared" si="22"/>
        <v>0</v>
      </c>
      <c r="S274" s="3">
        <f t="shared" si="23"/>
        <v>24558.1</v>
      </c>
      <c r="T274" s="24"/>
      <c r="U274" s="24"/>
      <c r="V274" s="3"/>
      <c r="W274" s="25"/>
      <c r="X274" s="25" t="s">
        <v>6827</v>
      </c>
      <c r="Y274" s="25"/>
      <c r="Z274" s="25"/>
      <c r="AA274" s="25"/>
      <c r="AB274" s="3" t="str">
        <f>IF(Caja_Finanzas[[#This Row],[fecha]]&gt;0,TEXT(Caja_Finanzas[[#This Row],[fecha]],"mmmm"),0)</f>
        <v>Marzo</v>
      </c>
    </row>
    <row r="275" spans="1:28" ht="36" x14ac:dyDescent="0.3">
      <c r="A275" s="2">
        <f>IF(Caja_Finanzas[[#This Row],[tipo_r]]="R",COUNTIFS($C$1:$C274,"R")+1,A274)</f>
        <v>265</v>
      </c>
      <c r="B275" s="19" t="str">
        <f t="shared" si="24"/>
        <v>C-Finanzas</v>
      </c>
      <c r="C275" s="3" t="s">
        <v>1330</v>
      </c>
      <c r="D275" s="14">
        <v>45730</v>
      </c>
      <c r="E275" s="5" t="s">
        <v>6460</v>
      </c>
      <c r="F275" s="5" t="s">
        <v>1336</v>
      </c>
      <c r="G275" s="5"/>
      <c r="H275" s="6"/>
      <c r="I275" s="6"/>
      <c r="J275" s="6"/>
      <c r="K275" s="6"/>
      <c r="L275" s="7" t="s">
        <v>6828</v>
      </c>
      <c r="M275" s="8" t="str">
        <f>"CFI"&amp;".D"&amp;TEXT(Caja_Finanzas[[#This Row],[fecha]],"DD-MM")&amp;"-"&amp;TEXT(Caja_Finanzas[[#This Row],[item]],"0000")</f>
        <v>CFI.D14-03-0265</v>
      </c>
      <c r="N275" s="8" t="str">
        <f t="shared" si="25"/>
        <v>PEN</v>
      </c>
      <c r="O275" s="13"/>
      <c r="P275" s="13">
        <v>160</v>
      </c>
      <c r="Q275" s="3">
        <f t="shared" si="21"/>
        <v>0</v>
      </c>
      <c r="R275" s="3">
        <f t="shared" si="22"/>
        <v>160</v>
      </c>
      <c r="S275" s="3">
        <f t="shared" si="23"/>
        <v>24398.1</v>
      </c>
      <c r="T275" s="24"/>
      <c r="U275" s="24"/>
      <c r="V275" s="3"/>
      <c r="W275" s="25" t="s">
        <v>6709</v>
      </c>
      <c r="X275" s="25" t="s">
        <v>6829</v>
      </c>
      <c r="Y275" s="25"/>
      <c r="Z275" s="25"/>
      <c r="AA275" s="25"/>
      <c r="AB275" s="3" t="str">
        <f>IF(Caja_Finanzas[[#This Row],[fecha]]&gt;0,TEXT(Caja_Finanzas[[#This Row],[fecha]],"mmmm"),0)</f>
        <v>Marzo</v>
      </c>
    </row>
    <row r="276" spans="1:28" ht="36" x14ac:dyDescent="0.3">
      <c r="A276" s="2">
        <f>IF(Caja_Finanzas[[#This Row],[tipo_r]]="R",COUNTIFS($C$1:$C275,"R")+1,A275)</f>
        <v>266</v>
      </c>
      <c r="B276" s="19" t="str">
        <f t="shared" si="24"/>
        <v>C-Finanzas</v>
      </c>
      <c r="C276" s="3" t="s">
        <v>1330</v>
      </c>
      <c r="D276" s="14">
        <v>45733</v>
      </c>
      <c r="E276" s="5" t="s">
        <v>6456</v>
      </c>
      <c r="F276" s="5" t="s">
        <v>1336</v>
      </c>
      <c r="G276" s="5"/>
      <c r="H276" s="6"/>
      <c r="I276" s="6"/>
      <c r="J276" s="6"/>
      <c r="K276" s="6"/>
      <c r="L276" s="7" t="s">
        <v>6830</v>
      </c>
      <c r="M276" s="8" t="str">
        <f>"CFI"&amp;".D"&amp;TEXT(Caja_Finanzas[[#This Row],[fecha]],"DD-MM")&amp;"-"&amp;TEXT(Caja_Finanzas[[#This Row],[item]],"0000")</f>
        <v>CFI.D17-03-0266</v>
      </c>
      <c r="N276" s="8" t="str">
        <f t="shared" si="25"/>
        <v>PEN</v>
      </c>
      <c r="O276" s="13"/>
      <c r="P276" s="13">
        <v>32</v>
      </c>
      <c r="Q276" s="3">
        <f t="shared" si="21"/>
        <v>0</v>
      </c>
      <c r="R276" s="3">
        <f t="shared" si="22"/>
        <v>32</v>
      </c>
      <c r="S276" s="3">
        <f t="shared" si="23"/>
        <v>24366.1</v>
      </c>
      <c r="T276" s="24"/>
      <c r="U276" s="24"/>
      <c r="V276" s="3"/>
      <c r="W276" s="25" t="s">
        <v>6831</v>
      </c>
      <c r="X276" s="25" t="s">
        <v>6832</v>
      </c>
      <c r="Y276" s="25"/>
      <c r="Z276" s="25"/>
      <c r="AA276" s="25"/>
      <c r="AB276" s="3" t="str">
        <f>IF(Caja_Finanzas[[#This Row],[fecha]]&gt;0,TEXT(Caja_Finanzas[[#This Row],[fecha]],"mmmm"),0)</f>
        <v>Marzo</v>
      </c>
    </row>
    <row r="277" spans="1:28" ht="24" x14ac:dyDescent="0.3">
      <c r="A277" s="2">
        <f>IF(Caja_Finanzas[[#This Row],[tipo_r]]="R",COUNTIFS($C$1:$C276,"R")+1,A276)</f>
        <v>267</v>
      </c>
      <c r="B277" s="19" t="str">
        <f t="shared" si="24"/>
        <v>C-Finanzas</v>
      </c>
      <c r="C277" s="3" t="s">
        <v>1330</v>
      </c>
      <c r="D277" s="14">
        <v>45733</v>
      </c>
      <c r="E277" s="5" t="s">
        <v>6456</v>
      </c>
      <c r="F277" s="5" t="s">
        <v>1336</v>
      </c>
      <c r="G277" s="5"/>
      <c r="H277" s="6"/>
      <c r="I277" s="6"/>
      <c r="J277" s="6"/>
      <c r="K277" s="6"/>
      <c r="L277" s="7" t="s">
        <v>6833</v>
      </c>
      <c r="M277" s="8" t="str">
        <f>"CFI"&amp;".D"&amp;TEXT(Caja_Finanzas[[#This Row],[fecha]],"DD-MM")&amp;"-"&amp;TEXT(Caja_Finanzas[[#This Row],[item]],"0000")</f>
        <v>CFI.D17-03-0267</v>
      </c>
      <c r="N277" s="8" t="str">
        <f t="shared" si="25"/>
        <v>PEN</v>
      </c>
      <c r="O277" s="13"/>
      <c r="P277" s="13">
        <v>20</v>
      </c>
      <c r="Q277" s="3">
        <f t="shared" si="21"/>
        <v>0</v>
      </c>
      <c r="R277" s="3">
        <f t="shared" si="22"/>
        <v>20</v>
      </c>
      <c r="S277" s="3">
        <f t="shared" si="23"/>
        <v>24346.1</v>
      </c>
      <c r="T277" s="24"/>
      <c r="U277" s="24"/>
      <c r="V277" s="3"/>
      <c r="W277" s="25" t="s">
        <v>6834</v>
      </c>
      <c r="X277" s="25" t="s">
        <v>6832</v>
      </c>
      <c r="Y277" s="25"/>
      <c r="Z277" s="25"/>
      <c r="AA277" s="25"/>
      <c r="AB277" s="3" t="str">
        <f>IF(Caja_Finanzas[[#This Row],[fecha]]&gt;0,TEXT(Caja_Finanzas[[#This Row],[fecha]],"mmmm"),0)</f>
        <v>Marzo</v>
      </c>
    </row>
    <row r="278" spans="1:28" x14ac:dyDescent="0.3">
      <c r="A278" s="2">
        <f>IF(Caja_Finanzas[[#This Row],[tipo_r]]="R",COUNTIFS($C$1:$C277,"R")+1,A277)</f>
        <v>268</v>
      </c>
      <c r="B278" s="19" t="str">
        <f t="shared" si="24"/>
        <v>C-Finanzas</v>
      </c>
      <c r="C278" s="3" t="s">
        <v>1330</v>
      </c>
      <c r="D278" s="14">
        <v>45733</v>
      </c>
      <c r="E278" s="5" t="s">
        <v>1442</v>
      </c>
      <c r="F278" s="5" t="s">
        <v>1303</v>
      </c>
      <c r="G278" s="5"/>
      <c r="H278" s="6" t="s">
        <v>425</v>
      </c>
      <c r="I278" s="6" t="s">
        <v>119</v>
      </c>
      <c r="J278" s="6">
        <v>1</v>
      </c>
      <c r="K278" s="6">
        <v>4238</v>
      </c>
      <c r="L278" s="7" t="s">
        <v>6118</v>
      </c>
      <c r="M278" s="8" t="str">
        <f>"CFI"&amp;".D"&amp;TEXT(Caja_Finanzas[[#This Row],[fecha]],"DD-MM")&amp;"-"&amp;TEXT(Caja_Finanzas[[#This Row],[item]],"0000")</f>
        <v>CFI.D17-03-0268</v>
      </c>
      <c r="N278" s="8" t="str">
        <f t="shared" si="25"/>
        <v>PEN</v>
      </c>
      <c r="O278" s="13"/>
      <c r="P278" s="13">
        <v>4939</v>
      </c>
      <c r="Q278" s="3">
        <f t="shared" si="21"/>
        <v>4939</v>
      </c>
      <c r="R278" s="3">
        <f t="shared" si="22"/>
        <v>0</v>
      </c>
      <c r="S278" s="3">
        <f t="shared" si="23"/>
        <v>29285.1</v>
      </c>
      <c r="T278" s="24"/>
      <c r="U278" s="24"/>
      <c r="V278" s="3"/>
      <c r="W278" s="25"/>
      <c r="X278" s="25" t="s">
        <v>6835</v>
      </c>
      <c r="Y278" s="25"/>
      <c r="Z278" s="25"/>
      <c r="AA278" s="25"/>
      <c r="AB278" s="3" t="str">
        <f>IF(Caja_Finanzas[[#This Row],[fecha]]&gt;0,TEXT(Caja_Finanzas[[#This Row],[fecha]],"mmmm"),0)</f>
        <v>Marzo</v>
      </c>
    </row>
    <row r="279" spans="1:28" ht="24" x14ac:dyDescent="0.3">
      <c r="A279" s="2">
        <f>IF(Caja_Finanzas[[#This Row],[tipo_r]]="R",COUNTIFS($C$1:$C278,"R")+1,A278)</f>
        <v>269</v>
      </c>
      <c r="B279" s="19" t="str">
        <f t="shared" si="24"/>
        <v>C-Finanzas</v>
      </c>
      <c r="C279" s="3" t="s">
        <v>1330</v>
      </c>
      <c r="D279" s="14">
        <v>45733</v>
      </c>
      <c r="E279" s="5" t="s">
        <v>4104</v>
      </c>
      <c r="F279" s="5" t="s">
        <v>1303</v>
      </c>
      <c r="G279" s="5"/>
      <c r="H279" s="6" t="s">
        <v>425</v>
      </c>
      <c r="I279" s="6" t="s">
        <v>119</v>
      </c>
      <c r="J279" s="6">
        <v>1</v>
      </c>
      <c r="K279" s="6">
        <v>3982</v>
      </c>
      <c r="L279" s="7" t="s">
        <v>6118</v>
      </c>
      <c r="M279" s="8" t="str">
        <f>"CFI"&amp;".D"&amp;TEXT(Caja_Finanzas[[#This Row],[fecha]],"DD-MM")&amp;"-"&amp;TEXT(Caja_Finanzas[[#This Row],[item]],"0000")</f>
        <v>CFI.D17-03-0269</v>
      </c>
      <c r="N279" s="8" t="str">
        <f t="shared" si="25"/>
        <v>PEN</v>
      </c>
      <c r="O279" s="13"/>
      <c r="P279" s="13">
        <v>474</v>
      </c>
      <c r="Q279" s="3">
        <f t="shared" si="21"/>
        <v>474</v>
      </c>
      <c r="R279" s="3">
        <f t="shared" si="22"/>
        <v>0</v>
      </c>
      <c r="S279" s="3">
        <f t="shared" si="23"/>
        <v>29759.1</v>
      </c>
      <c r="T279" s="24"/>
      <c r="U279" s="24"/>
      <c r="V279" s="3"/>
      <c r="W279" s="25"/>
      <c r="X279" s="25" t="s">
        <v>6512</v>
      </c>
      <c r="Y279" s="25"/>
      <c r="Z279" s="25"/>
      <c r="AA279" s="25"/>
      <c r="AB279" s="3" t="str">
        <f>IF(Caja_Finanzas[[#This Row],[fecha]]&gt;0,TEXT(Caja_Finanzas[[#This Row],[fecha]],"mmmm"),0)</f>
        <v>Marzo</v>
      </c>
    </row>
    <row r="280" spans="1:28" ht="24" x14ac:dyDescent="0.3">
      <c r="A280" s="2">
        <f>IF(Caja_Finanzas[[#This Row],[tipo_r]]="R",COUNTIFS($C$1:$C279,"R")+1,A279)</f>
        <v>270</v>
      </c>
      <c r="B280" s="19" t="str">
        <f t="shared" si="24"/>
        <v>C-Finanzas</v>
      </c>
      <c r="C280" s="3" t="s">
        <v>1330</v>
      </c>
      <c r="D280" s="14">
        <v>45733</v>
      </c>
      <c r="E280" s="5" t="s">
        <v>4104</v>
      </c>
      <c r="F280" s="5" t="s">
        <v>1303</v>
      </c>
      <c r="G280" s="5"/>
      <c r="H280" s="6" t="s">
        <v>425</v>
      </c>
      <c r="I280" s="6" t="s">
        <v>119</v>
      </c>
      <c r="J280" s="6">
        <v>1</v>
      </c>
      <c r="K280" s="6">
        <v>4239</v>
      </c>
      <c r="L280" s="7" t="s">
        <v>6118</v>
      </c>
      <c r="M280" s="8" t="str">
        <f>"CFI"&amp;".D"&amp;TEXT(Caja_Finanzas[[#This Row],[fecha]],"DD-MM")&amp;"-"&amp;TEXT(Caja_Finanzas[[#This Row],[item]],"0000")</f>
        <v>CFI.D17-03-0270</v>
      </c>
      <c r="N280" s="8" t="str">
        <f t="shared" si="25"/>
        <v>PEN</v>
      </c>
      <c r="O280" s="13"/>
      <c r="P280" s="13">
        <v>26</v>
      </c>
      <c r="Q280" s="3">
        <f t="shared" si="21"/>
        <v>26</v>
      </c>
      <c r="R280" s="3">
        <f t="shared" si="22"/>
        <v>0</v>
      </c>
      <c r="S280" s="3">
        <f t="shared" si="23"/>
        <v>29785.1</v>
      </c>
      <c r="T280" s="24"/>
      <c r="U280" s="24"/>
      <c r="V280" s="3"/>
      <c r="W280" s="25"/>
      <c r="X280" s="25" t="s">
        <v>6836</v>
      </c>
      <c r="Y280" s="25"/>
      <c r="Z280" s="25"/>
      <c r="AA280" s="25"/>
      <c r="AB280" s="3" t="str">
        <f>IF(Caja_Finanzas[[#This Row],[fecha]]&gt;0,TEXT(Caja_Finanzas[[#This Row],[fecha]],"mmmm"),0)</f>
        <v>Marzo</v>
      </c>
    </row>
    <row r="281" spans="1:28" ht="24" x14ac:dyDescent="0.3">
      <c r="A281" s="2">
        <f>IF(Caja_Finanzas[[#This Row],[tipo_r]]="R",COUNTIFS($C$1:$C280,"R")+1,A280)</f>
        <v>271</v>
      </c>
      <c r="B281" s="19" t="str">
        <f t="shared" si="24"/>
        <v>C-Finanzas</v>
      </c>
      <c r="C281" s="3" t="s">
        <v>1330</v>
      </c>
      <c r="D281" s="14">
        <v>45734</v>
      </c>
      <c r="E281" s="5" t="s">
        <v>2502</v>
      </c>
      <c r="F281" s="5" t="s">
        <v>1303</v>
      </c>
      <c r="G281" s="5"/>
      <c r="H281" s="6" t="s">
        <v>425</v>
      </c>
      <c r="I281" s="6" t="s">
        <v>119</v>
      </c>
      <c r="J281" s="6">
        <v>1</v>
      </c>
      <c r="K281" s="6">
        <v>4248</v>
      </c>
      <c r="L281" s="7" t="s">
        <v>6118</v>
      </c>
      <c r="M281" s="8" t="str">
        <f>"CFI"&amp;".D"&amp;TEXT(Caja_Finanzas[[#This Row],[fecha]],"DD-MM")&amp;"-"&amp;TEXT(Caja_Finanzas[[#This Row],[item]],"0000")</f>
        <v>CFI.D18-03-0271</v>
      </c>
      <c r="N281" s="8" t="str">
        <f t="shared" si="25"/>
        <v>PEN</v>
      </c>
      <c r="O281" s="13"/>
      <c r="P281" s="13">
        <v>1548</v>
      </c>
      <c r="Q281" s="3">
        <f t="shared" si="21"/>
        <v>1548</v>
      </c>
      <c r="R281" s="3">
        <f t="shared" si="22"/>
        <v>0</v>
      </c>
      <c r="S281" s="3">
        <f t="shared" si="23"/>
        <v>31333.1</v>
      </c>
      <c r="T281" s="24"/>
      <c r="U281" s="24"/>
      <c r="V281" s="3"/>
      <c r="W281" s="25"/>
      <c r="X281" s="25" t="s">
        <v>6837</v>
      </c>
      <c r="Y281" s="25"/>
      <c r="Z281" s="25"/>
      <c r="AA281" s="25"/>
      <c r="AB281" s="3" t="str">
        <f>IF(Caja_Finanzas[[#This Row],[fecha]]&gt;0,TEXT(Caja_Finanzas[[#This Row],[fecha]],"mmmm"),0)</f>
        <v>Marzo</v>
      </c>
    </row>
    <row r="282" spans="1:28" ht="24" x14ac:dyDescent="0.3">
      <c r="A282" s="2">
        <f>IF(Caja_Finanzas[[#This Row],[tipo_r]]="R",COUNTIFS($C$1:$C281,"R")+1,A281)</f>
        <v>272</v>
      </c>
      <c r="B282" s="19" t="str">
        <f t="shared" si="24"/>
        <v>C-Finanzas</v>
      </c>
      <c r="C282" s="3" t="s">
        <v>1330</v>
      </c>
      <c r="D282" s="14">
        <v>45734</v>
      </c>
      <c r="E282" s="5" t="s">
        <v>2938</v>
      </c>
      <c r="F282" s="5" t="s">
        <v>1303</v>
      </c>
      <c r="G282" s="5"/>
      <c r="H282" s="6" t="s">
        <v>425</v>
      </c>
      <c r="I282" s="6" t="s">
        <v>119</v>
      </c>
      <c r="J282" s="6">
        <v>1</v>
      </c>
      <c r="K282" s="6">
        <v>4249</v>
      </c>
      <c r="L282" s="7" t="s">
        <v>6118</v>
      </c>
      <c r="M282" s="8" t="str">
        <f>"CFI"&amp;".D"&amp;TEXT(Caja_Finanzas[[#This Row],[fecha]],"DD-MM")&amp;"-"&amp;TEXT(Caja_Finanzas[[#This Row],[item]],"0000")</f>
        <v>CFI.D18-03-0272</v>
      </c>
      <c r="N282" s="8" t="str">
        <f t="shared" si="25"/>
        <v>PEN</v>
      </c>
      <c r="O282" s="13"/>
      <c r="P282" s="13">
        <v>4156</v>
      </c>
      <c r="Q282" s="3">
        <f t="shared" si="21"/>
        <v>4156</v>
      </c>
      <c r="R282" s="3">
        <f t="shared" si="22"/>
        <v>0</v>
      </c>
      <c r="S282" s="3">
        <f t="shared" si="23"/>
        <v>35489.1</v>
      </c>
      <c r="T282" s="24"/>
      <c r="U282" s="24"/>
      <c r="V282" s="3"/>
      <c r="W282" s="25"/>
      <c r="X282" s="25" t="s">
        <v>6838</v>
      </c>
      <c r="Y282" s="25"/>
      <c r="Z282" s="25"/>
      <c r="AA282" s="25"/>
      <c r="AB282" s="3" t="str">
        <f>IF(Caja_Finanzas[[#This Row],[fecha]]&gt;0,TEXT(Caja_Finanzas[[#This Row],[fecha]],"mmmm"),0)</f>
        <v>Marzo</v>
      </c>
    </row>
    <row r="283" spans="1:28" ht="36" x14ac:dyDescent="0.3">
      <c r="A283" s="2">
        <f>IF(Caja_Finanzas[[#This Row],[tipo_r]]="R",COUNTIFS($C$1:$C282,"R")+1,A282)</f>
        <v>273</v>
      </c>
      <c r="B283" s="19" t="str">
        <f t="shared" si="24"/>
        <v>C-Finanzas</v>
      </c>
      <c r="C283" s="3" t="s">
        <v>1330</v>
      </c>
      <c r="D283" s="14">
        <v>45734</v>
      </c>
      <c r="E283" s="5" t="s">
        <v>6460</v>
      </c>
      <c r="F283" s="5" t="s">
        <v>1336</v>
      </c>
      <c r="G283" s="5"/>
      <c r="H283" s="6"/>
      <c r="I283" s="6"/>
      <c r="J283" s="6"/>
      <c r="K283" s="6"/>
      <c r="L283" s="7" t="s">
        <v>6839</v>
      </c>
      <c r="M283" s="8" t="str">
        <f>"CFI"&amp;".D"&amp;TEXT(Caja_Finanzas[[#This Row],[fecha]],"DD-MM")&amp;"-"&amp;TEXT(Caja_Finanzas[[#This Row],[item]],"0000")</f>
        <v>CFI.D18-03-0273</v>
      </c>
      <c r="N283" s="8" t="str">
        <f t="shared" si="25"/>
        <v>PEN</v>
      </c>
      <c r="O283" s="13"/>
      <c r="P283" s="13">
        <v>20</v>
      </c>
      <c r="Q283" s="3">
        <f t="shared" si="21"/>
        <v>0</v>
      </c>
      <c r="R283" s="3">
        <f t="shared" si="22"/>
        <v>20</v>
      </c>
      <c r="S283" s="3">
        <f t="shared" si="23"/>
        <v>35469.1</v>
      </c>
      <c r="T283" s="24"/>
      <c r="U283" s="24"/>
      <c r="V283" s="3"/>
      <c r="W283" s="25" t="s">
        <v>6709</v>
      </c>
      <c r="X283" s="25" t="s">
        <v>6840</v>
      </c>
      <c r="Y283" s="25"/>
      <c r="Z283" s="25"/>
      <c r="AA283" s="25"/>
      <c r="AB283" s="3" t="str">
        <f>IF(Caja_Finanzas[[#This Row],[fecha]]&gt;0,TEXT(Caja_Finanzas[[#This Row],[fecha]],"mmmm"),0)</f>
        <v>Marzo</v>
      </c>
    </row>
    <row r="284" spans="1:28" ht="36" x14ac:dyDescent="0.3">
      <c r="A284" s="2">
        <f>IF(Caja_Finanzas[[#This Row],[tipo_r]]="R",COUNTIFS($C$1:$C283,"R")+1,A283)</f>
        <v>274</v>
      </c>
      <c r="B284" s="19" t="str">
        <f t="shared" si="24"/>
        <v>C-Finanzas</v>
      </c>
      <c r="C284" s="3" t="s">
        <v>1330</v>
      </c>
      <c r="D284" s="14">
        <v>45734</v>
      </c>
      <c r="E284" s="5" t="s">
        <v>6420</v>
      </c>
      <c r="F284" s="5" t="s">
        <v>1336</v>
      </c>
      <c r="G284" s="5"/>
      <c r="H284" s="6"/>
      <c r="I284" s="6"/>
      <c r="J284" s="6"/>
      <c r="K284" s="6"/>
      <c r="L284" s="7" t="s">
        <v>6841</v>
      </c>
      <c r="M284" s="8" t="str">
        <f>"CFI"&amp;".D"&amp;TEXT(Caja_Finanzas[[#This Row],[fecha]],"DD-MM")&amp;"-"&amp;TEXT(Caja_Finanzas[[#This Row],[item]],"0000")</f>
        <v>CFI.D18-03-0274</v>
      </c>
      <c r="N284" s="8" t="str">
        <f t="shared" si="25"/>
        <v>PEN</v>
      </c>
      <c r="O284" s="13"/>
      <c r="P284" s="13">
        <v>650</v>
      </c>
      <c r="Q284" s="3">
        <f t="shared" si="21"/>
        <v>0</v>
      </c>
      <c r="R284" s="3">
        <f t="shared" si="22"/>
        <v>650</v>
      </c>
      <c r="S284" s="3">
        <f t="shared" si="23"/>
        <v>34819.1</v>
      </c>
      <c r="T284" s="24"/>
      <c r="U284" s="24"/>
      <c r="V284" s="3"/>
      <c r="W284" s="25" t="s">
        <v>6842</v>
      </c>
      <c r="X284" s="25" t="s">
        <v>6843</v>
      </c>
      <c r="Y284" s="25"/>
      <c r="Z284" s="25"/>
      <c r="AA284" s="25"/>
      <c r="AB284" s="3" t="str">
        <f>IF(Caja_Finanzas[[#This Row],[fecha]]&gt;0,TEXT(Caja_Finanzas[[#This Row],[fecha]],"mmmm"),0)</f>
        <v>Marzo</v>
      </c>
    </row>
    <row r="285" spans="1:28" x14ac:dyDescent="0.3">
      <c r="A285" s="2">
        <f>IF(Caja_Finanzas[[#This Row],[tipo_r]]="R",COUNTIFS($C$1:$C284,"R")+1,A284)</f>
        <v>275</v>
      </c>
      <c r="B285" s="19" t="str">
        <f t="shared" si="24"/>
        <v>C-Finanzas</v>
      </c>
      <c r="C285" s="3" t="s">
        <v>1330</v>
      </c>
      <c r="D285" s="14">
        <v>45734</v>
      </c>
      <c r="E285" s="5" t="s">
        <v>3634</v>
      </c>
      <c r="F285" s="5" t="s">
        <v>1303</v>
      </c>
      <c r="G285" s="5"/>
      <c r="H285" s="6"/>
      <c r="I285" s="6"/>
      <c r="J285" s="6"/>
      <c r="K285" s="6"/>
      <c r="L285" s="7" t="s">
        <v>6620</v>
      </c>
      <c r="M285" s="8" t="str">
        <f>"CFI"&amp;".D"&amp;TEXT(Caja_Finanzas[[#This Row],[fecha]],"DD-MM")&amp;"-"&amp;TEXT(Caja_Finanzas[[#This Row],[item]],"0000")</f>
        <v>CFI.D18-03-0275</v>
      </c>
      <c r="N285" s="8" t="str">
        <f t="shared" si="25"/>
        <v>PEN</v>
      </c>
      <c r="O285" s="13"/>
      <c r="P285" s="13">
        <v>1500</v>
      </c>
      <c r="Q285" s="3">
        <f t="shared" si="21"/>
        <v>1500</v>
      </c>
      <c r="R285" s="3">
        <f t="shared" si="22"/>
        <v>0</v>
      </c>
      <c r="S285" s="3">
        <f t="shared" si="23"/>
        <v>36319.1</v>
      </c>
      <c r="T285" s="24"/>
      <c r="U285" s="24"/>
      <c r="V285" s="3"/>
      <c r="W285" s="25"/>
      <c r="X285" s="25"/>
      <c r="Y285" s="25"/>
      <c r="Z285" s="25"/>
      <c r="AA285" s="25"/>
      <c r="AB285" s="3" t="str">
        <f>IF(Caja_Finanzas[[#This Row],[fecha]]&gt;0,TEXT(Caja_Finanzas[[#This Row],[fecha]],"mmmm"),0)</f>
        <v>Marzo</v>
      </c>
    </row>
    <row r="286" spans="1:28" ht="24" x14ac:dyDescent="0.3">
      <c r="A286" s="2">
        <f>IF(Caja_Finanzas[[#This Row],[tipo_r]]="R",COUNTIFS($C$1:$C285,"R")+1,A285)</f>
        <v>276</v>
      </c>
      <c r="B286" s="19" t="str">
        <f t="shared" si="24"/>
        <v>C-Finanzas</v>
      </c>
      <c r="C286" s="3" t="s">
        <v>1330</v>
      </c>
      <c r="D286" s="14">
        <v>45735</v>
      </c>
      <c r="E286" s="5" t="s">
        <v>6844</v>
      </c>
      <c r="F286" s="5" t="s">
        <v>1303</v>
      </c>
      <c r="G286" s="5"/>
      <c r="H286" s="6" t="s">
        <v>425</v>
      </c>
      <c r="I286" s="6" t="s">
        <v>119</v>
      </c>
      <c r="J286" s="6">
        <v>1</v>
      </c>
      <c r="K286" s="6">
        <v>4253</v>
      </c>
      <c r="L286" s="7" t="s">
        <v>6118</v>
      </c>
      <c r="M286" s="8" t="str">
        <f>"CFI"&amp;".D"&amp;TEXT(Caja_Finanzas[[#This Row],[fecha]],"DD-MM")&amp;"-"&amp;TEXT(Caja_Finanzas[[#This Row],[item]],"0000")</f>
        <v>CFI.D19-03-0276</v>
      </c>
      <c r="N286" s="8" t="str">
        <f t="shared" si="25"/>
        <v>PEN</v>
      </c>
      <c r="O286" s="13"/>
      <c r="P286" s="13">
        <v>2179.1999999999998</v>
      </c>
      <c r="Q286" s="3">
        <f t="shared" si="21"/>
        <v>2179.1999999999998</v>
      </c>
      <c r="R286" s="3">
        <f t="shared" si="22"/>
        <v>0</v>
      </c>
      <c r="S286" s="3">
        <f t="shared" si="23"/>
        <v>38498.299999999996</v>
      </c>
      <c r="T286" s="24"/>
      <c r="U286" s="24"/>
      <c r="V286" s="3"/>
      <c r="W286" s="25"/>
      <c r="X286" s="25" t="s">
        <v>6845</v>
      </c>
      <c r="Y286" s="25"/>
      <c r="Z286" s="25"/>
      <c r="AA286" s="25"/>
      <c r="AB286" s="3" t="str">
        <f>IF(Caja_Finanzas[[#This Row],[fecha]]&gt;0,TEXT(Caja_Finanzas[[#This Row],[fecha]],"mmmm"),0)</f>
        <v>Marzo</v>
      </c>
    </row>
    <row r="287" spans="1:28" ht="36" x14ac:dyDescent="0.3">
      <c r="A287" s="2">
        <f>IF(Caja_Finanzas[[#This Row],[tipo_r]]="R",COUNTIFS($C$1:$C286,"R")+1,A286)</f>
        <v>277</v>
      </c>
      <c r="B287" s="19" t="str">
        <f t="shared" si="24"/>
        <v>C-Finanzas</v>
      </c>
      <c r="C287" s="3" t="s">
        <v>1330</v>
      </c>
      <c r="D287" s="14">
        <v>45735</v>
      </c>
      <c r="E287" s="5" t="s">
        <v>6550</v>
      </c>
      <c r="F287" s="5" t="s">
        <v>1336</v>
      </c>
      <c r="G287" s="5"/>
      <c r="H287" s="6"/>
      <c r="I287" s="6"/>
      <c r="J287" s="6"/>
      <c r="K287" s="6"/>
      <c r="L287" s="7" t="s">
        <v>6846</v>
      </c>
      <c r="M287" s="8" t="str">
        <f>"CFI"&amp;".D"&amp;TEXT(Caja_Finanzas[[#This Row],[fecha]],"DD-MM")&amp;"-"&amp;TEXT(Caja_Finanzas[[#This Row],[item]],"0000")</f>
        <v>CFI.D19-03-0277</v>
      </c>
      <c r="N287" s="8" t="str">
        <f t="shared" si="25"/>
        <v>PEN</v>
      </c>
      <c r="O287" s="13"/>
      <c r="P287" s="13">
        <v>200</v>
      </c>
      <c r="Q287" s="3">
        <f t="shared" si="21"/>
        <v>0</v>
      </c>
      <c r="R287" s="3">
        <f t="shared" si="22"/>
        <v>200</v>
      </c>
      <c r="S287" s="3">
        <f t="shared" si="23"/>
        <v>38298.299999999996</v>
      </c>
      <c r="T287" s="24"/>
      <c r="U287" s="24"/>
      <c r="V287" s="3"/>
      <c r="W287" s="25" t="s">
        <v>6709</v>
      </c>
      <c r="X287" s="25" t="s">
        <v>6847</v>
      </c>
      <c r="Y287" s="25"/>
      <c r="Z287" s="25"/>
      <c r="AA287" s="25"/>
      <c r="AB287" s="3" t="str">
        <f>IF(Caja_Finanzas[[#This Row],[fecha]]&gt;0,TEXT(Caja_Finanzas[[#This Row],[fecha]],"mmmm"),0)</f>
        <v>Marzo</v>
      </c>
    </row>
    <row r="288" spans="1:28" ht="24" x14ac:dyDescent="0.3">
      <c r="A288" s="2">
        <f>IF(Caja_Finanzas[[#This Row],[tipo_r]]="R",COUNTIFS($C$1:$C287,"R")+1,A287)</f>
        <v>278</v>
      </c>
      <c r="B288" s="19" t="str">
        <f t="shared" si="24"/>
        <v>C-Finanzas</v>
      </c>
      <c r="C288" s="3" t="s">
        <v>1330</v>
      </c>
      <c r="D288" s="14">
        <v>45735</v>
      </c>
      <c r="E288" s="5" t="s">
        <v>6825</v>
      </c>
      <c r="F288" s="5" t="s">
        <v>1303</v>
      </c>
      <c r="G288" s="5"/>
      <c r="H288" s="6" t="s">
        <v>425</v>
      </c>
      <c r="I288" s="6" t="s">
        <v>119</v>
      </c>
      <c r="J288" s="6">
        <v>1</v>
      </c>
      <c r="K288" s="6">
        <v>4256</v>
      </c>
      <c r="L288" s="7" t="s">
        <v>6118</v>
      </c>
      <c r="M288" s="8" t="str">
        <f>"CFI"&amp;".D"&amp;TEXT(Caja_Finanzas[[#This Row],[fecha]],"DD-MM")&amp;"-"&amp;TEXT(Caja_Finanzas[[#This Row],[item]],"0000")</f>
        <v>CFI.D19-03-0278</v>
      </c>
      <c r="N288" s="8" t="str">
        <f t="shared" si="25"/>
        <v>PEN</v>
      </c>
      <c r="O288" s="13"/>
      <c r="P288" s="13">
        <v>547.5</v>
      </c>
      <c r="Q288" s="3">
        <f t="shared" si="21"/>
        <v>547.5</v>
      </c>
      <c r="R288" s="3">
        <f t="shared" si="22"/>
        <v>0</v>
      </c>
      <c r="S288" s="3">
        <f t="shared" si="23"/>
        <v>38845.799999999996</v>
      </c>
      <c r="T288" s="24"/>
      <c r="U288" s="24"/>
      <c r="V288" s="3"/>
      <c r="W288" s="25"/>
      <c r="X288" s="25" t="s">
        <v>6848</v>
      </c>
      <c r="Y288" s="25"/>
      <c r="Z288" s="25"/>
      <c r="AA288" s="25"/>
      <c r="AB288" s="3" t="str">
        <f>IF(Caja_Finanzas[[#This Row],[fecha]]&gt;0,TEXT(Caja_Finanzas[[#This Row],[fecha]],"mmmm"),0)</f>
        <v>Marzo</v>
      </c>
    </row>
    <row r="289" spans="1:28" ht="24" x14ac:dyDescent="0.3">
      <c r="A289" s="2">
        <f>IF(Caja_Finanzas[[#This Row],[tipo_r]]="R",COUNTIFS($C$1:$C288,"R")+1,A288)</f>
        <v>279</v>
      </c>
      <c r="B289" s="19" t="str">
        <f t="shared" si="24"/>
        <v>C-Finanzas</v>
      </c>
      <c r="C289" s="3" t="s">
        <v>1330</v>
      </c>
      <c r="D289" s="14">
        <v>45735</v>
      </c>
      <c r="E289" s="5" t="s">
        <v>2938</v>
      </c>
      <c r="F289" s="5" t="s">
        <v>1303</v>
      </c>
      <c r="G289" s="5"/>
      <c r="H289" s="6" t="s">
        <v>425</v>
      </c>
      <c r="I289" s="6" t="s">
        <v>119</v>
      </c>
      <c r="J289" s="6">
        <v>1</v>
      </c>
      <c r="K289" s="6">
        <v>4257</v>
      </c>
      <c r="L289" s="7" t="s">
        <v>6118</v>
      </c>
      <c r="M289" s="8" t="str">
        <f>"CFI"&amp;".D"&amp;TEXT(Caja_Finanzas[[#This Row],[fecha]],"DD-MM")&amp;"-"&amp;TEXT(Caja_Finanzas[[#This Row],[item]],"0000")</f>
        <v>CFI.D19-03-0279</v>
      </c>
      <c r="N289" s="8" t="str">
        <f t="shared" si="25"/>
        <v>PEN</v>
      </c>
      <c r="O289" s="13"/>
      <c r="P289" s="13">
        <v>4941</v>
      </c>
      <c r="Q289" s="3">
        <f t="shared" si="21"/>
        <v>4941</v>
      </c>
      <c r="R289" s="3">
        <f t="shared" si="22"/>
        <v>0</v>
      </c>
      <c r="S289" s="3">
        <f t="shared" si="23"/>
        <v>43786.799999999996</v>
      </c>
      <c r="T289" s="24"/>
      <c r="U289" s="24"/>
      <c r="V289" s="3"/>
      <c r="W289" s="25"/>
      <c r="X289" s="25" t="s">
        <v>6849</v>
      </c>
      <c r="Y289" s="25"/>
      <c r="Z289" s="25"/>
      <c r="AA289" s="25"/>
      <c r="AB289" s="3" t="str">
        <f>IF(Caja_Finanzas[[#This Row],[fecha]]&gt;0,TEXT(Caja_Finanzas[[#This Row],[fecha]],"mmmm"),0)</f>
        <v>Marzo</v>
      </c>
    </row>
    <row r="290" spans="1:28" ht="24" x14ac:dyDescent="0.3">
      <c r="A290" s="2">
        <f>IF(Caja_Finanzas[[#This Row],[tipo_r]]="R",COUNTIFS($C$1:$C289,"R")+1,A289)</f>
        <v>280</v>
      </c>
      <c r="B290" s="19" t="str">
        <f t="shared" si="24"/>
        <v>C-Finanzas</v>
      </c>
      <c r="C290" s="3" t="s">
        <v>1330</v>
      </c>
      <c r="D290" s="14">
        <v>45735</v>
      </c>
      <c r="E290" s="5" t="s">
        <v>1825</v>
      </c>
      <c r="F290" s="5" t="s">
        <v>1303</v>
      </c>
      <c r="G290" s="5"/>
      <c r="H290" s="6" t="s">
        <v>425</v>
      </c>
      <c r="I290" s="6" t="s">
        <v>119</v>
      </c>
      <c r="J290" s="6">
        <v>1</v>
      </c>
      <c r="K290" s="6">
        <v>4258</v>
      </c>
      <c r="L290" s="7" t="s">
        <v>6118</v>
      </c>
      <c r="M290" s="8" t="str">
        <f>"CFI"&amp;".D"&amp;TEXT(Caja_Finanzas[[#This Row],[fecha]],"DD-MM")&amp;"-"&amp;TEXT(Caja_Finanzas[[#This Row],[item]],"0000")</f>
        <v>CFI.D19-03-0280</v>
      </c>
      <c r="N290" s="8" t="str">
        <f t="shared" si="25"/>
        <v>PEN</v>
      </c>
      <c r="O290" s="13"/>
      <c r="P290" s="13">
        <v>2760.2</v>
      </c>
      <c r="Q290" s="3">
        <f t="shared" si="21"/>
        <v>2760.2</v>
      </c>
      <c r="R290" s="3">
        <f t="shared" si="22"/>
        <v>0</v>
      </c>
      <c r="S290" s="3">
        <f t="shared" si="23"/>
        <v>46546.999999999993</v>
      </c>
      <c r="T290" s="24"/>
      <c r="U290" s="24"/>
      <c r="V290" s="3"/>
      <c r="W290" s="25"/>
      <c r="X290" s="25" t="s">
        <v>6850</v>
      </c>
      <c r="Y290" s="25"/>
      <c r="Z290" s="25"/>
      <c r="AA290" s="25"/>
      <c r="AB290" s="3" t="str">
        <f>IF(Caja_Finanzas[[#This Row],[fecha]]&gt;0,TEXT(Caja_Finanzas[[#This Row],[fecha]],"mmmm"),0)</f>
        <v>Marzo</v>
      </c>
    </row>
    <row r="291" spans="1:28" ht="24" x14ac:dyDescent="0.3">
      <c r="A291" s="2">
        <f>IF(Caja_Finanzas[[#This Row],[tipo_r]]="R",COUNTIFS($C$1:$C290,"R")+1,A290)</f>
        <v>281</v>
      </c>
      <c r="B291" s="19" t="str">
        <f t="shared" si="24"/>
        <v>C-Finanzas</v>
      </c>
      <c r="C291" s="3" t="s">
        <v>1330</v>
      </c>
      <c r="D291" s="14">
        <v>45735</v>
      </c>
      <c r="E291" s="5" t="s">
        <v>6418</v>
      </c>
      <c r="F291" s="5" t="s">
        <v>1336</v>
      </c>
      <c r="G291" s="5"/>
      <c r="H291" s="6" t="s">
        <v>809</v>
      </c>
      <c r="I291" s="6"/>
      <c r="J291" s="6"/>
      <c r="K291" s="6"/>
      <c r="L291" s="7" t="s">
        <v>6652</v>
      </c>
      <c r="M291" s="8" t="str">
        <f>"CFI"&amp;".D"&amp;TEXT(Caja_Finanzas[[#This Row],[fecha]],"DD-MM")&amp;"-"&amp;TEXT(Caja_Finanzas[[#This Row],[item]],"0000")</f>
        <v>CFI.D19-03-0281</v>
      </c>
      <c r="N291" s="8" t="str">
        <f t="shared" si="25"/>
        <v>PEN</v>
      </c>
      <c r="O291" s="13"/>
      <c r="P291" s="13">
        <v>39000</v>
      </c>
      <c r="Q291" s="3">
        <f t="shared" si="21"/>
        <v>0</v>
      </c>
      <c r="R291" s="3">
        <f t="shared" si="22"/>
        <v>39000</v>
      </c>
      <c r="S291" s="3">
        <f t="shared" si="23"/>
        <v>7546.9999999999927</v>
      </c>
      <c r="T291" s="24"/>
      <c r="U291" s="24"/>
      <c r="V291" s="3"/>
      <c r="W291" s="25"/>
      <c r="X291" s="25"/>
      <c r="Y291" s="25"/>
      <c r="Z291" s="25"/>
      <c r="AA291" s="25"/>
      <c r="AB291" s="3" t="str">
        <f>IF(Caja_Finanzas[[#This Row],[fecha]]&gt;0,TEXT(Caja_Finanzas[[#This Row],[fecha]],"mmmm"),0)</f>
        <v>Marzo</v>
      </c>
    </row>
    <row r="292" spans="1:28" ht="36" x14ac:dyDescent="0.3">
      <c r="A292" s="2">
        <f>IF(Caja_Finanzas[[#This Row],[tipo_r]]="R",COUNTIFS($C$1:$C291,"R")+1,A291)</f>
        <v>282</v>
      </c>
      <c r="B292" s="19" t="str">
        <f t="shared" si="24"/>
        <v>C-Finanzas</v>
      </c>
      <c r="C292" s="3" t="s">
        <v>1330</v>
      </c>
      <c r="D292" s="14">
        <v>45736</v>
      </c>
      <c r="E292" s="5" t="s">
        <v>6420</v>
      </c>
      <c r="F292" s="5" t="s">
        <v>1336</v>
      </c>
      <c r="G292" s="5"/>
      <c r="H292" s="6"/>
      <c r="I292" s="6"/>
      <c r="J292" s="6"/>
      <c r="K292" s="6"/>
      <c r="L292" s="7" t="s">
        <v>6851</v>
      </c>
      <c r="M292" s="8" t="str">
        <f>"CFI"&amp;".D"&amp;TEXT(Caja_Finanzas[[#This Row],[fecha]],"DD-MM")&amp;"-"&amp;TEXT(Caja_Finanzas[[#This Row],[item]],"0000")</f>
        <v>CFI.D20-03-0282</v>
      </c>
      <c r="N292" s="8" t="str">
        <f t="shared" si="25"/>
        <v>PEN</v>
      </c>
      <c r="O292" s="13"/>
      <c r="P292" s="13">
        <v>200</v>
      </c>
      <c r="Q292" s="3">
        <f t="shared" si="21"/>
        <v>0</v>
      </c>
      <c r="R292" s="3">
        <f t="shared" si="22"/>
        <v>200</v>
      </c>
      <c r="S292" s="3">
        <f t="shared" si="23"/>
        <v>7346.9999999999927</v>
      </c>
      <c r="T292" s="24"/>
      <c r="U292" s="24"/>
      <c r="V292" s="3"/>
      <c r="W292" s="25" t="s">
        <v>6500</v>
      </c>
      <c r="X292" s="25" t="s">
        <v>6852</v>
      </c>
      <c r="Y292" s="25"/>
      <c r="Z292" s="25"/>
      <c r="AA292" s="25"/>
      <c r="AB292" s="3" t="str">
        <f>IF(Caja_Finanzas[[#This Row],[fecha]]&gt;0,TEXT(Caja_Finanzas[[#This Row],[fecha]],"mmmm"),0)</f>
        <v>Marzo</v>
      </c>
    </row>
    <row r="293" spans="1:28" ht="24" x14ac:dyDescent="0.3">
      <c r="A293" s="2">
        <f>IF(Caja_Finanzas[[#This Row],[tipo_r]]="R",COUNTIFS($C$1:$C292,"R")+1,A292)</f>
        <v>283</v>
      </c>
      <c r="B293" s="19" t="str">
        <f t="shared" si="24"/>
        <v>C-Finanzas</v>
      </c>
      <c r="C293" s="3" t="s">
        <v>1330</v>
      </c>
      <c r="D293" s="14">
        <v>45736</v>
      </c>
      <c r="E293" s="5" t="s">
        <v>6420</v>
      </c>
      <c r="F293" s="5" t="s">
        <v>1336</v>
      </c>
      <c r="G293" s="5"/>
      <c r="H293" s="6"/>
      <c r="I293" s="6"/>
      <c r="J293" s="6"/>
      <c r="K293" s="6"/>
      <c r="L293" s="7" t="s">
        <v>6853</v>
      </c>
      <c r="M293" s="8" t="str">
        <f>"CFI"&amp;".D"&amp;TEXT(Caja_Finanzas[[#This Row],[fecha]],"DD-MM")&amp;"-"&amp;TEXT(Caja_Finanzas[[#This Row],[item]],"0000")</f>
        <v>CFI.D20-03-0283</v>
      </c>
      <c r="N293" s="8" t="str">
        <f t="shared" si="25"/>
        <v>PEN</v>
      </c>
      <c r="O293" s="13"/>
      <c r="P293" s="13">
        <v>100</v>
      </c>
      <c r="Q293" s="3">
        <f t="shared" si="21"/>
        <v>0</v>
      </c>
      <c r="R293" s="3">
        <f t="shared" si="22"/>
        <v>100</v>
      </c>
      <c r="S293" s="3">
        <f t="shared" si="23"/>
        <v>7246.9999999999927</v>
      </c>
      <c r="T293" s="24"/>
      <c r="U293" s="24"/>
      <c r="V293" s="3"/>
      <c r="W293" s="25" t="s">
        <v>6854</v>
      </c>
      <c r="X293" s="25" t="s">
        <v>6855</v>
      </c>
      <c r="Y293" s="25"/>
      <c r="Z293" s="25"/>
      <c r="AA293" s="25"/>
      <c r="AB293" s="3" t="str">
        <f>IF(Caja_Finanzas[[#This Row],[fecha]]&gt;0,TEXT(Caja_Finanzas[[#This Row],[fecha]],"mmmm"),0)</f>
        <v>Marzo</v>
      </c>
    </row>
    <row r="294" spans="1:28" ht="36" x14ac:dyDescent="0.3">
      <c r="A294" s="2">
        <f>IF(Caja_Finanzas[[#This Row],[tipo_r]]="R",COUNTIFS($C$1:$C293,"R")+1,A293)</f>
        <v>284</v>
      </c>
      <c r="B294" s="19" t="str">
        <f t="shared" si="24"/>
        <v>C-Finanzas</v>
      </c>
      <c r="C294" s="3" t="s">
        <v>1330</v>
      </c>
      <c r="D294" s="14">
        <v>45736</v>
      </c>
      <c r="E294" s="5" t="s">
        <v>6420</v>
      </c>
      <c r="F294" s="5" t="s">
        <v>1336</v>
      </c>
      <c r="G294" s="5"/>
      <c r="H294" s="6"/>
      <c r="I294" s="6"/>
      <c r="J294" s="6"/>
      <c r="K294" s="6"/>
      <c r="L294" s="7" t="s">
        <v>6856</v>
      </c>
      <c r="M294" s="8" t="str">
        <f>"CFI"&amp;".D"&amp;TEXT(Caja_Finanzas[[#This Row],[fecha]],"DD-MM")&amp;"-"&amp;TEXT(Caja_Finanzas[[#This Row],[item]],"0000")</f>
        <v>CFI.D20-03-0284</v>
      </c>
      <c r="N294" s="8" t="str">
        <f t="shared" si="25"/>
        <v>PEN</v>
      </c>
      <c r="O294" s="13"/>
      <c r="P294" s="13">
        <v>30</v>
      </c>
      <c r="Q294" s="3">
        <f t="shared" si="21"/>
        <v>0</v>
      </c>
      <c r="R294" s="3">
        <f t="shared" si="22"/>
        <v>30</v>
      </c>
      <c r="S294" s="3">
        <f t="shared" si="23"/>
        <v>7216.9999999999927</v>
      </c>
      <c r="T294" s="24"/>
      <c r="U294" s="24"/>
      <c r="V294" s="3"/>
      <c r="W294" s="25" t="s">
        <v>6854</v>
      </c>
      <c r="X294" s="25" t="s">
        <v>6857</v>
      </c>
      <c r="Y294" s="25"/>
      <c r="Z294" s="25"/>
      <c r="AA294" s="25"/>
      <c r="AB294" s="3" t="str">
        <f>IF(Caja_Finanzas[[#This Row],[fecha]]&gt;0,TEXT(Caja_Finanzas[[#This Row],[fecha]],"mmmm"),0)</f>
        <v>Marzo</v>
      </c>
    </row>
    <row r="295" spans="1:28" ht="24" x14ac:dyDescent="0.3">
      <c r="A295" s="2">
        <f>IF(Caja_Finanzas[[#This Row],[tipo_r]]="R",COUNTIFS($C$1:$C294,"R")+1,A294)</f>
        <v>285</v>
      </c>
      <c r="B295" s="19" t="str">
        <f t="shared" si="24"/>
        <v>C-Finanzas</v>
      </c>
      <c r="C295" s="3" t="s">
        <v>1330</v>
      </c>
      <c r="D295" s="14">
        <v>45736</v>
      </c>
      <c r="E295" s="5" t="s">
        <v>6420</v>
      </c>
      <c r="F295" s="5" t="s">
        <v>1336</v>
      </c>
      <c r="G295" s="5"/>
      <c r="H295" s="6"/>
      <c r="I295" s="6"/>
      <c r="J295" s="6"/>
      <c r="K295" s="6"/>
      <c r="L295" s="7" t="s">
        <v>6858</v>
      </c>
      <c r="M295" s="8" t="str">
        <f>"CFI"&amp;".D"&amp;TEXT(Caja_Finanzas[[#This Row],[fecha]],"DD-MM")&amp;"-"&amp;TEXT(Caja_Finanzas[[#This Row],[item]],"0000")</f>
        <v>CFI.D20-03-0285</v>
      </c>
      <c r="N295" s="8" t="str">
        <f t="shared" si="25"/>
        <v>PEN</v>
      </c>
      <c r="O295" s="13"/>
      <c r="P295" s="13">
        <v>20</v>
      </c>
      <c r="Q295" s="3">
        <f t="shared" si="21"/>
        <v>0</v>
      </c>
      <c r="R295" s="3">
        <f t="shared" si="22"/>
        <v>20</v>
      </c>
      <c r="S295" s="3">
        <f t="shared" si="23"/>
        <v>7196.9999999999927</v>
      </c>
      <c r="T295" s="24"/>
      <c r="U295" s="24"/>
      <c r="V295" s="3"/>
      <c r="W295" s="25" t="s">
        <v>6709</v>
      </c>
      <c r="X295" s="25" t="s">
        <v>6859</v>
      </c>
      <c r="Y295" s="25"/>
      <c r="Z295" s="25"/>
      <c r="AA295" s="25"/>
      <c r="AB295" s="3" t="str">
        <f>IF(Caja_Finanzas[[#This Row],[fecha]]&gt;0,TEXT(Caja_Finanzas[[#This Row],[fecha]],"mmmm"),0)</f>
        <v>Marzo</v>
      </c>
    </row>
    <row r="296" spans="1:28" ht="36" x14ac:dyDescent="0.3">
      <c r="A296" s="2">
        <f>IF(Caja_Finanzas[[#This Row],[tipo_r]]="R",COUNTIFS($C$1:$C295,"R")+1,A295)</f>
        <v>286</v>
      </c>
      <c r="B296" s="19" t="str">
        <f t="shared" si="24"/>
        <v>C-Finanzas</v>
      </c>
      <c r="C296" s="3" t="s">
        <v>1330</v>
      </c>
      <c r="D296" s="14">
        <v>45736</v>
      </c>
      <c r="E296" s="5" t="s">
        <v>6415</v>
      </c>
      <c r="F296" s="5" t="s">
        <v>1336</v>
      </c>
      <c r="G296" s="5"/>
      <c r="H296" s="6"/>
      <c r="I296" s="6"/>
      <c r="J296" s="6"/>
      <c r="K296" s="6"/>
      <c r="L296" s="7" t="s">
        <v>6860</v>
      </c>
      <c r="M296" s="8" t="str">
        <f>"CFI"&amp;".D"&amp;TEXT(Caja_Finanzas[[#This Row],[fecha]],"DD-MM")&amp;"-"&amp;TEXT(Caja_Finanzas[[#This Row],[item]],"0000")</f>
        <v>CFI.D20-03-0286</v>
      </c>
      <c r="N296" s="8" t="str">
        <f t="shared" si="25"/>
        <v>PEN</v>
      </c>
      <c r="O296" s="13"/>
      <c r="P296" s="13">
        <v>390</v>
      </c>
      <c r="Q296" s="3">
        <f t="shared" si="21"/>
        <v>0</v>
      </c>
      <c r="R296" s="3">
        <f t="shared" si="22"/>
        <v>390</v>
      </c>
      <c r="S296" s="3">
        <f t="shared" si="23"/>
        <v>6806.9999999999927</v>
      </c>
      <c r="T296" s="24"/>
      <c r="U296" s="24"/>
      <c r="V296" s="3"/>
      <c r="W296" s="25" t="s">
        <v>6861</v>
      </c>
      <c r="X296" s="25" t="s">
        <v>6862</v>
      </c>
      <c r="Y296" s="25"/>
      <c r="Z296" s="25"/>
      <c r="AA296" s="25"/>
      <c r="AB296" s="3" t="str">
        <f>IF(Caja_Finanzas[[#This Row],[fecha]]&gt;0,TEXT(Caja_Finanzas[[#This Row],[fecha]],"mmmm"),0)</f>
        <v>Marzo</v>
      </c>
    </row>
    <row r="297" spans="1:28" ht="24" x14ac:dyDescent="0.3">
      <c r="A297" s="2">
        <f>IF(Caja_Finanzas[[#This Row],[tipo_r]]="R",COUNTIFS($C$1:$C296,"R")+1,A296)</f>
        <v>287</v>
      </c>
      <c r="B297" s="19" t="str">
        <f t="shared" si="24"/>
        <v>C-Finanzas</v>
      </c>
      <c r="C297" s="3" t="s">
        <v>1330</v>
      </c>
      <c r="D297" s="14">
        <v>45736</v>
      </c>
      <c r="E297" s="5" t="s">
        <v>6550</v>
      </c>
      <c r="F297" s="5" t="s">
        <v>1336</v>
      </c>
      <c r="G297" s="5"/>
      <c r="H297" s="6"/>
      <c r="I297" s="6"/>
      <c r="J297" s="6"/>
      <c r="K297" s="6"/>
      <c r="L297" s="7" t="s">
        <v>6863</v>
      </c>
      <c r="M297" s="8" t="str">
        <f>"CFI"&amp;".D"&amp;TEXT(Caja_Finanzas[[#This Row],[fecha]],"DD-MM")&amp;"-"&amp;TEXT(Caja_Finanzas[[#This Row],[item]],"0000")</f>
        <v>CFI.D20-03-0287</v>
      </c>
      <c r="N297" s="8" t="str">
        <f t="shared" si="25"/>
        <v>PEN</v>
      </c>
      <c r="O297" s="13"/>
      <c r="P297" s="13">
        <v>100</v>
      </c>
      <c r="Q297" s="3">
        <f t="shared" si="21"/>
        <v>0</v>
      </c>
      <c r="R297" s="3">
        <f t="shared" si="22"/>
        <v>100</v>
      </c>
      <c r="S297" s="3">
        <f t="shared" si="23"/>
        <v>6706.9999999999927</v>
      </c>
      <c r="T297" s="24"/>
      <c r="U297" s="24"/>
      <c r="V297" s="3"/>
      <c r="W297" s="25" t="s">
        <v>6864</v>
      </c>
      <c r="X297" s="25" t="s">
        <v>6865</v>
      </c>
      <c r="Y297" s="25"/>
      <c r="Z297" s="25"/>
      <c r="AA297" s="25"/>
      <c r="AB297" s="3" t="str">
        <f>IF(Caja_Finanzas[[#This Row],[fecha]]&gt;0,TEXT(Caja_Finanzas[[#This Row],[fecha]],"mmmm"),0)</f>
        <v>Marzo</v>
      </c>
    </row>
    <row r="298" spans="1:28" ht="36" x14ac:dyDescent="0.3">
      <c r="A298" s="2">
        <f>IF(Caja_Finanzas[[#This Row],[tipo_r]]="R",COUNTIFS($C$1:$C297,"R")+1,A297)</f>
        <v>288</v>
      </c>
      <c r="B298" s="19" t="str">
        <f t="shared" si="24"/>
        <v>C-Finanzas</v>
      </c>
      <c r="C298" s="3" t="s">
        <v>1330</v>
      </c>
      <c r="D298" s="14">
        <v>45737</v>
      </c>
      <c r="E298" s="5" t="s">
        <v>6550</v>
      </c>
      <c r="F298" s="5" t="s">
        <v>1336</v>
      </c>
      <c r="G298" s="5"/>
      <c r="H298" s="6"/>
      <c r="I298" s="6"/>
      <c r="J298" s="6"/>
      <c r="K298" s="6"/>
      <c r="L298" s="7" t="s">
        <v>6866</v>
      </c>
      <c r="M298" s="8" t="str">
        <f>"CFI"&amp;".D"&amp;TEXT(Caja_Finanzas[[#This Row],[fecha]],"DD-MM")&amp;"-"&amp;TEXT(Caja_Finanzas[[#This Row],[item]],"0000")</f>
        <v>CFI.D21-03-0288</v>
      </c>
      <c r="N298" s="8" t="str">
        <f t="shared" si="25"/>
        <v>PEN</v>
      </c>
      <c r="O298" s="13"/>
      <c r="P298" s="13">
        <v>45</v>
      </c>
      <c r="Q298" s="3">
        <f t="shared" si="21"/>
        <v>0</v>
      </c>
      <c r="R298" s="3">
        <f t="shared" si="22"/>
        <v>45</v>
      </c>
      <c r="S298" s="3">
        <f t="shared" si="23"/>
        <v>6661.9999999999927</v>
      </c>
      <c r="T298" s="24"/>
      <c r="U298" s="24"/>
      <c r="V298" s="3"/>
      <c r="W298" s="25" t="s">
        <v>6709</v>
      </c>
      <c r="X298" s="25" t="s">
        <v>6867</v>
      </c>
      <c r="Y298" s="25"/>
      <c r="Z298" s="25"/>
      <c r="AA298" s="25"/>
      <c r="AB298" s="3" t="str">
        <f>IF(Caja_Finanzas[[#This Row],[fecha]]&gt;0,TEXT(Caja_Finanzas[[#This Row],[fecha]],"mmmm"),0)</f>
        <v>Marzo</v>
      </c>
    </row>
    <row r="299" spans="1:28" ht="36" x14ac:dyDescent="0.3">
      <c r="A299" s="2">
        <f>IF(Caja_Finanzas[[#This Row],[tipo_r]]="R",COUNTIFS($C$1:$C298,"R")+1,A298)</f>
        <v>289</v>
      </c>
      <c r="B299" s="19" t="str">
        <f t="shared" si="24"/>
        <v>C-Finanzas</v>
      </c>
      <c r="C299" s="3" t="s">
        <v>1330</v>
      </c>
      <c r="D299" s="14">
        <v>45737</v>
      </c>
      <c r="E299" s="5" t="s">
        <v>6550</v>
      </c>
      <c r="F299" s="5" t="s">
        <v>1336</v>
      </c>
      <c r="G299" s="5"/>
      <c r="H299" s="6"/>
      <c r="I299" s="6"/>
      <c r="J299" s="6"/>
      <c r="K299" s="6"/>
      <c r="L299" s="7" t="s">
        <v>6868</v>
      </c>
      <c r="M299" s="8" t="str">
        <f>"CFI"&amp;".D"&amp;TEXT(Caja_Finanzas[[#This Row],[fecha]],"DD-MM")&amp;"-"&amp;TEXT(Caja_Finanzas[[#This Row],[item]],"0000")</f>
        <v>CFI.D21-03-0289</v>
      </c>
      <c r="N299" s="8" t="str">
        <f t="shared" si="25"/>
        <v>PEN</v>
      </c>
      <c r="O299" s="13"/>
      <c r="P299" s="13">
        <v>10</v>
      </c>
      <c r="Q299" s="3">
        <f t="shared" si="21"/>
        <v>0</v>
      </c>
      <c r="R299" s="3">
        <f t="shared" si="22"/>
        <v>10</v>
      </c>
      <c r="S299" s="3">
        <f t="shared" si="23"/>
        <v>6651.9999999999927</v>
      </c>
      <c r="T299" s="24"/>
      <c r="U299" s="24"/>
      <c r="V299" s="3"/>
      <c r="W299" s="25" t="s">
        <v>6709</v>
      </c>
      <c r="X299" s="25" t="s">
        <v>6869</v>
      </c>
      <c r="Y299" s="25"/>
      <c r="Z299" s="25"/>
      <c r="AA299" s="25"/>
      <c r="AB299" s="3" t="str">
        <f>IF(Caja_Finanzas[[#This Row],[fecha]]&gt;0,TEXT(Caja_Finanzas[[#This Row],[fecha]],"mmmm"),0)</f>
        <v>Marzo</v>
      </c>
    </row>
    <row r="300" spans="1:28" ht="36" x14ac:dyDescent="0.3">
      <c r="A300" s="2">
        <f>IF(Caja_Finanzas[[#This Row],[tipo_r]]="R",COUNTIFS($C$1:$C299,"R")+1,A299)</f>
        <v>290</v>
      </c>
      <c r="B300" s="19" t="str">
        <f t="shared" si="24"/>
        <v>C-Finanzas</v>
      </c>
      <c r="C300" s="3" t="s">
        <v>1330</v>
      </c>
      <c r="D300" s="14">
        <v>45737</v>
      </c>
      <c r="E300" s="5" t="s">
        <v>6420</v>
      </c>
      <c r="F300" s="5" t="s">
        <v>1336</v>
      </c>
      <c r="G300" s="5"/>
      <c r="H300" s="6"/>
      <c r="I300" s="6"/>
      <c r="J300" s="6"/>
      <c r="K300" s="6"/>
      <c r="L300" s="7" t="s">
        <v>6870</v>
      </c>
      <c r="M300" s="8" t="str">
        <f>"CFI"&amp;".D"&amp;TEXT(Caja_Finanzas[[#This Row],[fecha]],"DD-MM")&amp;"-"&amp;TEXT(Caja_Finanzas[[#This Row],[item]],"0000")</f>
        <v>CFI.D21-03-0290</v>
      </c>
      <c r="N300" s="8" t="str">
        <f t="shared" si="25"/>
        <v>PEN</v>
      </c>
      <c r="O300" s="13"/>
      <c r="P300" s="13">
        <v>33</v>
      </c>
      <c r="Q300" s="3">
        <f t="shared" si="21"/>
        <v>0</v>
      </c>
      <c r="R300" s="3">
        <f t="shared" si="22"/>
        <v>33</v>
      </c>
      <c r="S300" s="3">
        <f t="shared" si="23"/>
        <v>6618.9999999999927</v>
      </c>
      <c r="T300" s="24"/>
      <c r="U300" s="24"/>
      <c r="V300" s="3"/>
      <c r="W300" s="25" t="s">
        <v>6507</v>
      </c>
      <c r="X300" s="25" t="s">
        <v>6871</v>
      </c>
      <c r="Y300" s="25"/>
      <c r="Z300" s="25"/>
      <c r="AA300" s="25"/>
      <c r="AB300" s="3" t="str">
        <f>IF(Caja_Finanzas[[#This Row],[fecha]]&gt;0,TEXT(Caja_Finanzas[[#This Row],[fecha]],"mmmm"),0)</f>
        <v>Marzo</v>
      </c>
    </row>
    <row r="301" spans="1:28" ht="24" x14ac:dyDescent="0.3">
      <c r="A301" s="2">
        <f>IF(Caja_Finanzas[[#This Row],[tipo_r]]="R",COUNTIFS($C$1:$C300,"R")+1,A300)</f>
        <v>291</v>
      </c>
      <c r="B301" s="19" t="str">
        <f t="shared" si="24"/>
        <v>C-Finanzas</v>
      </c>
      <c r="C301" s="3" t="s">
        <v>1330</v>
      </c>
      <c r="D301" s="14">
        <v>45737</v>
      </c>
      <c r="E301" s="5" t="s">
        <v>2502</v>
      </c>
      <c r="F301" s="5" t="s">
        <v>1303</v>
      </c>
      <c r="G301" s="5"/>
      <c r="H301" s="6" t="s">
        <v>425</v>
      </c>
      <c r="I301" s="6" t="s">
        <v>119</v>
      </c>
      <c r="J301" s="6">
        <v>1</v>
      </c>
      <c r="K301" s="6">
        <v>4248</v>
      </c>
      <c r="L301" s="7" t="s">
        <v>6118</v>
      </c>
      <c r="M301" s="8" t="str">
        <f>"CFI"&amp;".D"&amp;TEXT(Caja_Finanzas[[#This Row],[fecha]],"DD-MM")&amp;"-"&amp;TEXT(Caja_Finanzas[[#This Row],[item]],"0000")</f>
        <v>CFI.D21-03-0291</v>
      </c>
      <c r="N301" s="8" t="str">
        <f t="shared" si="25"/>
        <v>PEN</v>
      </c>
      <c r="O301" s="13"/>
      <c r="P301" s="13">
        <v>100</v>
      </c>
      <c r="Q301" s="3">
        <f t="shared" si="21"/>
        <v>100</v>
      </c>
      <c r="R301" s="3">
        <f t="shared" si="22"/>
        <v>0</v>
      </c>
      <c r="S301" s="3">
        <f t="shared" si="23"/>
        <v>6718.9999999999927</v>
      </c>
      <c r="T301" s="24"/>
      <c r="U301" s="24"/>
      <c r="V301" s="3"/>
      <c r="W301" s="25"/>
      <c r="X301" s="25" t="s">
        <v>6837</v>
      </c>
      <c r="Y301" s="25"/>
      <c r="Z301" s="25"/>
      <c r="AA301" s="25"/>
      <c r="AB301" s="3" t="str">
        <f>IF(Caja_Finanzas[[#This Row],[fecha]]&gt;0,TEXT(Caja_Finanzas[[#This Row],[fecha]],"mmmm"),0)</f>
        <v>Marzo</v>
      </c>
    </row>
    <row r="302" spans="1:28" ht="24" x14ac:dyDescent="0.3">
      <c r="A302" s="2">
        <f>IF(Caja_Finanzas[[#This Row],[tipo_r]]="R",COUNTIFS($C$1:$C301,"R")+1,A301)</f>
        <v>292</v>
      </c>
      <c r="B302" s="19" t="str">
        <f t="shared" si="24"/>
        <v>C-Finanzas</v>
      </c>
      <c r="C302" s="3" t="s">
        <v>1330</v>
      </c>
      <c r="D302" s="14">
        <v>45737</v>
      </c>
      <c r="E302" s="5" t="s">
        <v>2502</v>
      </c>
      <c r="F302" s="5" t="s">
        <v>1303</v>
      </c>
      <c r="G302" s="5"/>
      <c r="H302" s="6" t="s">
        <v>425</v>
      </c>
      <c r="I302" s="6" t="s">
        <v>119</v>
      </c>
      <c r="J302" s="6">
        <v>1</v>
      </c>
      <c r="K302" s="6">
        <v>4251</v>
      </c>
      <c r="L302" s="7" t="s">
        <v>6118</v>
      </c>
      <c r="M302" s="8" t="str">
        <f>"CFI"&amp;".D"&amp;TEXT(Caja_Finanzas[[#This Row],[fecha]],"DD-MM")&amp;"-"&amp;TEXT(Caja_Finanzas[[#This Row],[item]],"0000")</f>
        <v>CFI.D21-03-0292</v>
      </c>
      <c r="N302" s="8" t="str">
        <f t="shared" si="25"/>
        <v>PEN</v>
      </c>
      <c r="O302" s="13"/>
      <c r="P302" s="13">
        <v>375</v>
      </c>
      <c r="Q302" s="3">
        <f t="shared" si="21"/>
        <v>375</v>
      </c>
      <c r="R302" s="3">
        <f t="shared" si="22"/>
        <v>0</v>
      </c>
      <c r="S302" s="3">
        <f t="shared" si="23"/>
        <v>7093.9999999999927</v>
      </c>
      <c r="T302" s="24"/>
      <c r="U302" s="24"/>
      <c r="V302" s="3"/>
      <c r="W302" s="25"/>
      <c r="X302" s="25" t="s">
        <v>6872</v>
      </c>
      <c r="Y302" s="25"/>
      <c r="Z302" s="25"/>
      <c r="AA302" s="25"/>
      <c r="AB302" s="3" t="str">
        <f>IF(Caja_Finanzas[[#This Row],[fecha]]&gt;0,TEXT(Caja_Finanzas[[#This Row],[fecha]],"mmmm"),0)</f>
        <v>Marzo</v>
      </c>
    </row>
    <row r="303" spans="1:28" ht="24" x14ac:dyDescent="0.3">
      <c r="A303" s="2">
        <f>IF(Caja_Finanzas[[#This Row],[tipo_r]]="R",COUNTIFS($C$1:$C302,"R")+1,A302)</f>
        <v>293</v>
      </c>
      <c r="B303" s="19" t="str">
        <f t="shared" si="24"/>
        <v>C-Finanzas</v>
      </c>
      <c r="C303" s="3" t="s">
        <v>1330</v>
      </c>
      <c r="D303" s="14">
        <v>45740</v>
      </c>
      <c r="E303" s="5" t="s">
        <v>2938</v>
      </c>
      <c r="F303" s="5" t="s">
        <v>1303</v>
      </c>
      <c r="G303" s="5"/>
      <c r="H303" s="6" t="s">
        <v>425</v>
      </c>
      <c r="I303" s="6" t="s">
        <v>119</v>
      </c>
      <c r="J303" s="6">
        <v>1</v>
      </c>
      <c r="K303" s="6">
        <v>4268</v>
      </c>
      <c r="L303" s="7" t="s">
        <v>6118</v>
      </c>
      <c r="M303" s="8" t="str">
        <f>"CFI"&amp;".D"&amp;TEXT(Caja_Finanzas[[#This Row],[fecha]],"DD-MM")&amp;"-"&amp;TEXT(Caja_Finanzas[[#This Row],[item]],"0000")</f>
        <v>CFI.D24-03-0293</v>
      </c>
      <c r="N303" s="8" t="str">
        <f t="shared" si="25"/>
        <v>PEN</v>
      </c>
      <c r="O303" s="13"/>
      <c r="P303" s="13">
        <v>1314</v>
      </c>
      <c r="Q303" s="3">
        <f t="shared" si="21"/>
        <v>1314</v>
      </c>
      <c r="R303" s="3">
        <f t="shared" si="22"/>
        <v>0</v>
      </c>
      <c r="S303" s="3">
        <f t="shared" si="23"/>
        <v>8407.9999999999927</v>
      </c>
      <c r="T303" s="24"/>
      <c r="U303" s="24"/>
      <c r="V303" s="3"/>
      <c r="W303" s="25"/>
      <c r="X303" s="25" t="s">
        <v>6873</v>
      </c>
      <c r="Y303" s="25"/>
      <c r="Z303" s="25"/>
      <c r="AA303" s="25"/>
      <c r="AB303" s="3" t="str">
        <f>IF(Caja_Finanzas[[#This Row],[fecha]]&gt;0,TEXT(Caja_Finanzas[[#This Row],[fecha]],"mmmm"),0)</f>
        <v>Marzo</v>
      </c>
    </row>
    <row r="304" spans="1:28" ht="48" x14ac:dyDescent="0.3">
      <c r="A304" s="2">
        <f>IF(Caja_Finanzas[[#This Row],[tipo_r]]="R",COUNTIFS($C$1:$C303,"R")+1,A303)</f>
        <v>294</v>
      </c>
      <c r="B304" s="19" t="str">
        <f t="shared" si="24"/>
        <v>C-Finanzas</v>
      </c>
      <c r="C304" s="3" t="s">
        <v>1330</v>
      </c>
      <c r="D304" s="14">
        <v>45740</v>
      </c>
      <c r="E304" s="5" t="s">
        <v>6513</v>
      </c>
      <c r="F304" s="5" t="s">
        <v>1336</v>
      </c>
      <c r="G304" s="5"/>
      <c r="H304" s="6"/>
      <c r="I304" s="6"/>
      <c r="J304" s="6"/>
      <c r="K304" s="6"/>
      <c r="L304" s="7" t="s">
        <v>6874</v>
      </c>
      <c r="M304" s="8" t="str">
        <f>"CFI"&amp;".D"&amp;TEXT(Caja_Finanzas[[#This Row],[fecha]],"DD-MM")&amp;"-"&amp;TEXT(Caja_Finanzas[[#This Row],[item]],"0000")</f>
        <v>CFI.D24-03-0294</v>
      </c>
      <c r="N304" s="8" t="str">
        <f t="shared" si="25"/>
        <v>PEN</v>
      </c>
      <c r="O304" s="13"/>
      <c r="P304" s="13">
        <v>400</v>
      </c>
      <c r="Q304" s="3">
        <f t="shared" si="21"/>
        <v>0</v>
      </c>
      <c r="R304" s="3">
        <f t="shared" si="22"/>
        <v>400</v>
      </c>
      <c r="S304" s="3">
        <f t="shared" si="23"/>
        <v>8007.9999999999927</v>
      </c>
      <c r="T304" s="24"/>
      <c r="U304" s="24"/>
      <c r="V304" s="3"/>
      <c r="W304" s="25" t="s">
        <v>6875</v>
      </c>
      <c r="X304" s="25" t="s">
        <v>6876</v>
      </c>
      <c r="Y304" s="25"/>
      <c r="Z304" s="25"/>
      <c r="AA304" s="25"/>
      <c r="AB304" s="3" t="str">
        <f>IF(Caja_Finanzas[[#This Row],[fecha]]&gt;0,TEXT(Caja_Finanzas[[#This Row],[fecha]],"mmmm"),0)</f>
        <v>Marzo</v>
      </c>
    </row>
    <row r="305" spans="1:28" ht="24" x14ac:dyDescent="0.3">
      <c r="A305" s="2">
        <f>IF(Caja_Finanzas[[#This Row],[tipo_r]]="R",COUNTIFS($C$1:$C304,"R")+1,A304)</f>
        <v>295</v>
      </c>
      <c r="B305" s="19" t="str">
        <f t="shared" si="24"/>
        <v>C-Finanzas</v>
      </c>
      <c r="C305" s="3" t="s">
        <v>1330</v>
      </c>
      <c r="D305" s="14">
        <v>45740</v>
      </c>
      <c r="E305" s="5" t="s">
        <v>6731</v>
      </c>
      <c r="F305" s="5" t="s">
        <v>1336</v>
      </c>
      <c r="G305" s="5"/>
      <c r="H305" s="6"/>
      <c r="I305" s="6"/>
      <c r="J305" s="6"/>
      <c r="K305" s="6"/>
      <c r="L305" s="7" t="s">
        <v>6877</v>
      </c>
      <c r="M305" s="8" t="str">
        <f>"CFI"&amp;".D"&amp;TEXT(Caja_Finanzas[[#This Row],[fecha]],"DD-MM")&amp;"-"&amp;TEXT(Caja_Finanzas[[#This Row],[item]],"0000")</f>
        <v>CFI.D24-03-0295</v>
      </c>
      <c r="N305" s="8" t="str">
        <f t="shared" si="25"/>
        <v>PEN</v>
      </c>
      <c r="O305" s="13"/>
      <c r="P305" s="13">
        <v>74.5</v>
      </c>
      <c r="Q305" s="3">
        <f t="shared" si="21"/>
        <v>0</v>
      </c>
      <c r="R305" s="3">
        <f t="shared" si="22"/>
        <v>74.5</v>
      </c>
      <c r="S305" s="3">
        <f t="shared" si="23"/>
        <v>7933.4999999999927</v>
      </c>
      <c r="T305" s="24"/>
      <c r="U305" s="24"/>
      <c r="V305" s="3"/>
      <c r="W305" s="25" t="s">
        <v>6709</v>
      </c>
      <c r="X305" s="25" t="s">
        <v>6878</v>
      </c>
      <c r="Y305" s="25"/>
      <c r="Z305" s="25"/>
      <c r="AA305" s="25"/>
      <c r="AB305" s="3" t="str">
        <f>IF(Caja_Finanzas[[#This Row],[fecha]]&gt;0,TEXT(Caja_Finanzas[[#This Row],[fecha]],"mmmm"),0)</f>
        <v>Marzo</v>
      </c>
    </row>
    <row r="306" spans="1:28" ht="24" x14ac:dyDescent="0.3">
      <c r="A306" s="2">
        <f>IF(Caja_Finanzas[[#This Row],[tipo_r]]="R",COUNTIFS($C$1:$C305,"R")+1,A305)</f>
        <v>296</v>
      </c>
      <c r="B306" s="19" t="str">
        <f t="shared" si="24"/>
        <v>C-Finanzas</v>
      </c>
      <c r="C306" s="3" t="s">
        <v>1330</v>
      </c>
      <c r="D306" s="14">
        <v>45740</v>
      </c>
      <c r="E306" s="5" t="s">
        <v>6731</v>
      </c>
      <c r="F306" s="5" t="s">
        <v>1336</v>
      </c>
      <c r="G306" s="5"/>
      <c r="H306" s="6"/>
      <c r="I306" s="6"/>
      <c r="J306" s="6"/>
      <c r="K306" s="6"/>
      <c r="L306" s="7" t="s">
        <v>6879</v>
      </c>
      <c r="M306" s="8" t="str">
        <f>"CFI"&amp;".D"&amp;TEXT(Caja_Finanzas[[#This Row],[fecha]],"DD-MM")&amp;"-"&amp;TEXT(Caja_Finanzas[[#This Row],[item]],"0000")</f>
        <v>CFI.D24-03-0296</v>
      </c>
      <c r="N306" s="8" t="str">
        <f t="shared" si="25"/>
        <v>PEN</v>
      </c>
      <c r="O306" s="13"/>
      <c r="P306" s="13">
        <v>100</v>
      </c>
      <c r="Q306" s="3">
        <f t="shared" si="21"/>
        <v>0</v>
      </c>
      <c r="R306" s="3">
        <f t="shared" si="22"/>
        <v>100</v>
      </c>
      <c r="S306" s="3">
        <f t="shared" si="23"/>
        <v>7833.4999999999927</v>
      </c>
      <c r="T306" s="24"/>
      <c r="U306" s="24"/>
      <c r="V306" s="3"/>
      <c r="W306" s="25" t="s">
        <v>6880</v>
      </c>
      <c r="X306" s="25" t="s">
        <v>6881</v>
      </c>
      <c r="Y306" s="25"/>
      <c r="Z306" s="25"/>
      <c r="AA306" s="25"/>
      <c r="AB306" s="3" t="str">
        <f>IF(Caja_Finanzas[[#This Row],[fecha]]&gt;0,TEXT(Caja_Finanzas[[#This Row],[fecha]],"mmmm"),0)</f>
        <v>Marzo</v>
      </c>
    </row>
    <row r="307" spans="1:28" ht="36" x14ac:dyDescent="0.3">
      <c r="A307" s="2">
        <f>IF(Caja_Finanzas[[#This Row],[tipo_r]]="R",COUNTIFS($C$1:$C306,"R")+1,A306)</f>
        <v>297</v>
      </c>
      <c r="B307" s="19" t="str">
        <f t="shared" si="24"/>
        <v>C-Finanzas</v>
      </c>
      <c r="C307" s="3" t="s">
        <v>1330</v>
      </c>
      <c r="D307" s="14">
        <v>45740</v>
      </c>
      <c r="E307" s="5" t="s">
        <v>6456</v>
      </c>
      <c r="F307" s="5" t="s">
        <v>1336</v>
      </c>
      <c r="G307" s="5"/>
      <c r="H307" s="6"/>
      <c r="I307" s="6"/>
      <c r="J307" s="6"/>
      <c r="K307" s="6"/>
      <c r="L307" s="7" t="s">
        <v>6882</v>
      </c>
      <c r="M307" s="8" t="str">
        <f>"CFI"&amp;".D"&amp;TEXT(Caja_Finanzas[[#This Row],[fecha]],"DD-MM")&amp;"-"&amp;TEXT(Caja_Finanzas[[#This Row],[item]],"0000")</f>
        <v>CFI.D24-03-0297</v>
      </c>
      <c r="N307" s="8" t="str">
        <f t="shared" si="25"/>
        <v>PEN</v>
      </c>
      <c r="O307" s="13"/>
      <c r="P307" s="13">
        <v>150</v>
      </c>
      <c r="Q307" s="3">
        <f t="shared" si="21"/>
        <v>0</v>
      </c>
      <c r="R307" s="3">
        <f t="shared" si="22"/>
        <v>150</v>
      </c>
      <c r="S307" s="3">
        <f t="shared" si="23"/>
        <v>7683.4999999999927</v>
      </c>
      <c r="T307" s="24"/>
      <c r="U307" s="24"/>
      <c r="V307" s="3"/>
      <c r="W307" s="25"/>
      <c r="X307" s="25"/>
      <c r="Y307" s="25"/>
      <c r="Z307" s="25"/>
      <c r="AA307" s="25"/>
      <c r="AB307" s="3" t="str">
        <f>IF(Caja_Finanzas[[#This Row],[fecha]]&gt;0,TEXT(Caja_Finanzas[[#This Row],[fecha]],"mmmm"),0)</f>
        <v>Marzo</v>
      </c>
    </row>
    <row r="308" spans="1:28" ht="24" x14ac:dyDescent="0.3">
      <c r="A308" s="2">
        <f>IF(Caja_Finanzas[[#This Row],[tipo_r]]="R",COUNTIFS($C$1:$C307,"R")+1,A307)</f>
        <v>298</v>
      </c>
      <c r="B308" s="19" t="str">
        <f t="shared" si="24"/>
        <v>C-Finanzas</v>
      </c>
      <c r="C308" s="3" t="s">
        <v>1330</v>
      </c>
      <c r="D308" s="14">
        <v>45743</v>
      </c>
      <c r="E308" s="5" t="s">
        <v>2502</v>
      </c>
      <c r="F308" s="5" t="s">
        <v>1303</v>
      </c>
      <c r="G308" s="5"/>
      <c r="H308" s="6" t="s">
        <v>425</v>
      </c>
      <c r="I308" s="6" t="s">
        <v>119</v>
      </c>
      <c r="J308" s="6">
        <v>1</v>
      </c>
      <c r="K308" s="6">
        <v>4273</v>
      </c>
      <c r="L308" s="7" t="s">
        <v>6118</v>
      </c>
      <c r="M308" s="8" t="str">
        <f>"CFI"&amp;".D"&amp;TEXT(Caja_Finanzas[[#This Row],[fecha]],"DD-MM")&amp;"-"&amp;TEXT(Caja_Finanzas[[#This Row],[item]],"0000")</f>
        <v>CFI.D27-03-0298</v>
      </c>
      <c r="N308" s="8" t="str">
        <f t="shared" si="25"/>
        <v>PEN</v>
      </c>
      <c r="O308" s="13"/>
      <c r="P308" s="13">
        <v>2112</v>
      </c>
      <c r="Q308" s="3">
        <f t="shared" si="21"/>
        <v>2112</v>
      </c>
      <c r="R308" s="3">
        <f t="shared" si="22"/>
        <v>0</v>
      </c>
      <c r="S308" s="3">
        <f t="shared" si="23"/>
        <v>9795.4999999999927</v>
      </c>
      <c r="T308" s="24"/>
      <c r="U308" s="24"/>
      <c r="V308" s="3"/>
      <c r="W308" s="25"/>
      <c r="X308" s="25" t="s">
        <v>6883</v>
      </c>
      <c r="Y308" s="25"/>
      <c r="Z308" s="25"/>
      <c r="AA308" s="25"/>
      <c r="AB308" s="3" t="str">
        <f>IF(Caja_Finanzas[[#This Row],[fecha]]&gt;0,TEXT(Caja_Finanzas[[#This Row],[fecha]],"mmmm"),0)</f>
        <v>Marzo</v>
      </c>
    </row>
    <row r="309" spans="1:28" ht="36" x14ac:dyDescent="0.3">
      <c r="A309" s="2">
        <f>IF(Caja_Finanzas[[#This Row],[tipo_r]]="R",COUNTIFS($C$1:$C308,"R")+1,A308)</f>
        <v>299</v>
      </c>
      <c r="B309" s="19" t="str">
        <f t="shared" si="24"/>
        <v>C-Finanzas</v>
      </c>
      <c r="C309" s="3" t="s">
        <v>1330</v>
      </c>
      <c r="D309" s="14">
        <v>45743</v>
      </c>
      <c r="E309" s="5" t="s">
        <v>6420</v>
      </c>
      <c r="F309" s="5" t="s">
        <v>1336</v>
      </c>
      <c r="G309" s="5"/>
      <c r="H309" s="6"/>
      <c r="I309" s="6"/>
      <c r="J309" s="6"/>
      <c r="K309" s="6"/>
      <c r="L309" s="7" t="s">
        <v>6884</v>
      </c>
      <c r="M309" s="8" t="str">
        <f>"CFI"&amp;".D"&amp;TEXT(Caja_Finanzas[[#This Row],[fecha]],"DD-MM")&amp;"-"&amp;TEXT(Caja_Finanzas[[#This Row],[item]],"0000")</f>
        <v>CFI.D27-03-0299</v>
      </c>
      <c r="N309" s="8" t="str">
        <f t="shared" si="25"/>
        <v>PEN</v>
      </c>
      <c r="O309" s="13"/>
      <c r="P309" s="13">
        <v>800</v>
      </c>
      <c r="Q309" s="3">
        <f t="shared" si="21"/>
        <v>0</v>
      </c>
      <c r="R309" s="3">
        <f t="shared" si="22"/>
        <v>800</v>
      </c>
      <c r="S309" s="3">
        <f t="shared" si="23"/>
        <v>8995.4999999999927</v>
      </c>
      <c r="T309" s="24"/>
      <c r="U309" s="24"/>
      <c r="V309" s="3"/>
      <c r="W309" s="25" t="s">
        <v>6885</v>
      </c>
      <c r="X309" s="25" t="s">
        <v>6886</v>
      </c>
      <c r="Y309" s="25"/>
      <c r="Z309" s="25"/>
      <c r="AA309" s="25"/>
      <c r="AB309" s="3" t="str">
        <f>IF(Caja_Finanzas[[#This Row],[fecha]]&gt;0,TEXT(Caja_Finanzas[[#This Row],[fecha]],"mmmm"),0)</f>
        <v>Marzo</v>
      </c>
    </row>
    <row r="310" spans="1:28" ht="24" x14ac:dyDescent="0.3">
      <c r="A310" s="2">
        <f>IF(Caja_Finanzas[[#This Row],[tipo_r]]="R",COUNTIFS($C$1:$C309,"R")+1,A309)</f>
        <v>300</v>
      </c>
      <c r="B310" s="19" t="str">
        <f t="shared" si="24"/>
        <v>C-Finanzas</v>
      </c>
      <c r="C310" s="3" t="s">
        <v>1330</v>
      </c>
      <c r="D310" s="14">
        <v>45743</v>
      </c>
      <c r="E310" s="5" t="s">
        <v>1945</v>
      </c>
      <c r="F310" s="5" t="s">
        <v>1303</v>
      </c>
      <c r="G310" s="5"/>
      <c r="H310" s="6" t="s">
        <v>425</v>
      </c>
      <c r="I310" s="6" t="s">
        <v>119</v>
      </c>
      <c r="J310" s="6">
        <v>2</v>
      </c>
      <c r="K310" s="6">
        <v>719</v>
      </c>
      <c r="L310" s="7" t="s">
        <v>6118</v>
      </c>
      <c r="M310" s="8" t="str">
        <f>"CFI"&amp;".D"&amp;TEXT(Caja_Finanzas[[#This Row],[fecha]],"DD-MM")&amp;"-"&amp;TEXT(Caja_Finanzas[[#This Row],[item]],"0000")</f>
        <v>CFI.D27-03-0300</v>
      </c>
      <c r="N310" s="8" t="str">
        <f t="shared" si="25"/>
        <v>PEN</v>
      </c>
      <c r="O310" s="13"/>
      <c r="P310" s="13">
        <v>810</v>
      </c>
      <c r="Q310" s="3">
        <f t="shared" si="21"/>
        <v>810</v>
      </c>
      <c r="R310" s="3">
        <f t="shared" si="22"/>
        <v>0</v>
      </c>
      <c r="S310" s="3">
        <f t="shared" si="23"/>
        <v>9805.4999999999927</v>
      </c>
      <c r="T310" s="24"/>
      <c r="U310" s="24"/>
      <c r="V310" s="3"/>
      <c r="W310" s="25"/>
      <c r="X310" s="25" t="s">
        <v>1946</v>
      </c>
      <c r="Y310" s="25"/>
      <c r="Z310" s="25"/>
      <c r="AA310" s="25"/>
      <c r="AB310" s="3" t="str">
        <f>IF(Caja_Finanzas[[#This Row],[fecha]]&gt;0,TEXT(Caja_Finanzas[[#This Row],[fecha]],"mmmm"),0)</f>
        <v>Marzo</v>
      </c>
    </row>
    <row r="311" spans="1:28" ht="24" x14ac:dyDescent="0.3">
      <c r="A311" s="2">
        <f>IF(Caja_Finanzas[[#This Row],[tipo_r]]="R",COUNTIFS($C$1:$C310,"R")+1,A310)</f>
        <v>301</v>
      </c>
      <c r="B311" s="19" t="str">
        <f t="shared" si="24"/>
        <v>C-Finanzas</v>
      </c>
      <c r="C311" s="3" t="s">
        <v>1330</v>
      </c>
      <c r="D311" s="14">
        <v>45743</v>
      </c>
      <c r="E311" s="5" t="s">
        <v>6465</v>
      </c>
      <c r="F311" s="5" t="s">
        <v>1336</v>
      </c>
      <c r="G311" s="5"/>
      <c r="H311" s="6"/>
      <c r="I311" s="6"/>
      <c r="J311" s="6"/>
      <c r="K311" s="6"/>
      <c r="L311" s="7" t="s">
        <v>6887</v>
      </c>
      <c r="M311" s="8" t="str">
        <f>"CFI"&amp;".D"&amp;TEXT(Caja_Finanzas[[#This Row],[fecha]],"DD-MM")&amp;"-"&amp;TEXT(Caja_Finanzas[[#This Row],[item]],"0000")</f>
        <v>CFI.D27-03-0301</v>
      </c>
      <c r="N311" s="8" t="str">
        <f t="shared" si="25"/>
        <v>PEN</v>
      </c>
      <c r="O311" s="13"/>
      <c r="P311" s="13">
        <v>810</v>
      </c>
      <c r="Q311" s="3">
        <f t="shared" si="21"/>
        <v>0</v>
      </c>
      <c r="R311" s="3">
        <f t="shared" si="22"/>
        <v>810</v>
      </c>
      <c r="S311" s="3">
        <f t="shared" si="23"/>
        <v>8995.4999999999927</v>
      </c>
      <c r="T311" s="24"/>
      <c r="U311" s="24"/>
      <c r="V311" s="3"/>
      <c r="W311" s="25"/>
      <c r="X311" s="25"/>
      <c r="Y311" s="25"/>
      <c r="Z311" s="25"/>
      <c r="AA311" s="25"/>
      <c r="AB311" s="3" t="str">
        <f>IF(Caja_Finanzas[[#This Row],[fecha]]&gt;0,TEXT(Caja_Finanzas[[#This Row],[fecha]],"mmmm"),0)</f>
        <v>Marzo</v>
      </c>
    </row>
    <row r="312" spans="1:28" ht="24" x14ac:dyDescent="0.3">
      <c r="A312" s="2">
        <f>IF(Caja_Finanzas[[#This Row],[tipo_r]]="R",COUNTIFS($C$1:$C311,"R")+1,A311)</f>
        <v>302</v>
      </c>
      <c r="B312" s="19" t="str">
        <f t="shared" si="24"/>
        <v>C-Finanzas</v>
      </c>
      <c r="C312" s="3" t="s">
        <v>1330</v>
      </c>
      <c r="D312" s="14">
        <v>45743</v>
      </c>
      <c r="E312" s="5" t="s">
        <v>1875</v>
      </c>
      <c r="F312" s="5" t="s">
        <v>1303</v>
      </c>
      <c r="G312" s="5"/>
      <c r="H312" s="6" t="s">
        <v>425</v>
      </c>
      <c r="I312" s="6" t="s">
        <v>119</v>
      </c>
      <c r="J312" s="6">
        <v>1</v>
      </c>
      <c r="K312" s="6">
        <v>4278</v>
      </c>
      <c r="L312" s="7" t="s">
        <v>6118</v>
      </c>
      <c r="M312" s="8" t="str">
        <f>"CFI"&amp;".D"&amp;TEXT(Caja_Finanzas[[#This Row],[fecha]],"DD-MM")&amp;"-"&amp;TEXT(Caja_Finanzas[[#This Row],[item]],"0000")</f>
        <v>CFI.D27-03-0302</v>
      </c>
      <c r="N312" s="8" t="str">
        <f t="shared" si="25"/>
        <v>PEN</v>
      </c>
      <c r="O312" s="13"/>
      <c r="P312" s="13">
        <v>478</v>
      </c>
      <c r="Q312" s="3">
        <f t="shared" si="21"/>
        <v>478</v>
      </c>
      <c r="R312" s="3">
        <f t="shared" si="22"/>
        <v>0</v>
      </c>
      <c r="S312" s="3">
        <f t="shared" si="23"/>
        <v>9473.4999999999927</v>
      </c>
      <c r="T312" s="24"/>
      <c r="U312" s="24"/>
      <c r="V312" s="3"/>
      <c r="W312" s="25"/>
      <c r="X312" s="25" t="s">
        <v>6888</v>
      </c>
      <c r="Y312" s="25"/>
      <c r="Z312" s="25"/>
      <c r="AA312" s="25"/>
      <c r="AB312" s="3" t="str">
        <f>IF(Caja_Finanzas[[#This Row],[fecha]]&gt;0,TEXT(Caja_Finanzas[[#This Row],[fecha]],"mmmm"),0)</f>
        <v>Marzo</v>
      </c>
    </row>
    <row r="313" spans="1:28" x14ac:dyDescent="0.3">
      <c r="A313" s="2">
        <f>IF(Caja_Finanzas[[#This Row],[tipo_r]]="R",COUNTIFS($C$1:$C312,"R")+1,A312)</f>
        <v>303</v>
      </c>
      <c r="B313" s="19" t="str">
        <f t="shared" si="24"/>
        <v>C-Finanzas</v>
      </c>
      <c r="C313" s="3" t="s">
        <v>1330</v>
      </c>
      <c r="D313" s="14">
        <v>45744</v>
      </c>
      <c r="E313" s="5" t="s">
        <v>439</v>
      </c>
      <c r="F313" s="5" t="s">
        <v>1303</v>
      </c>
      <c r="G313" s="5"/>
      <c r="H313" s="6" t="s">
        <v>425</v>
      </c>
      <c r="I313" s="6" t="s">
        <v>119</v>
      </c>
      <c r="J313" s="6">
        <v>1</v>
      </c>
      <c r="K313" s="6">
        <v>4272</v>
      </c>
      <c r="L313" s="7" t="s">
        <v>6118</v>
      </c>
      <c r="M313" s="8" t="str">
        <f>"CFI"&amp;".D"&amp;TEXT(Caja_Finanzas[[#This Row],[fecha]],"DD-MM")&amp;"-"&amp;TEXT(Caja_Finanzas[[#This Row],[item]],"0000")</f>
        <v>CFI.D28-03-0303</v>
      </c>
      <c r="N313" s="8" t="str">
        <f t="shared" si="25"/>
        <v>PEN</v>
      </c>
      <c r="O313" s="13"/>
      <c r="P313" s="13">
        <v>1469.4</v>
      </c>
      <c r="Q313" s="3">
        <f t="shared" si="21"/>
        <v>1469.4</v>
      </c>
      <c r="R313" s="3">
        <f t="shared" si="22"/>
        <v>0</v>
      </c>
      <c r="S313" s="3">
        <f t="shared" si="23"/>
        <v>10942.899999999992</v>
      </c>
      <c r="T313" s="24"/>
      <c r="U313" s="24"/>
      <c r="V313" s="3"/>
      <c r="W313" s="25"/>
      <c r="X313" s="25" t="s">
        <v>6889</v>
      </c>
      <c r="Y313" s="25"/>
      <c r="Z313" s="25"/>
      <c r="AA313" s="25"/>
      <c r="AB313" s="3" t="str">
        <f>IF(Caja_Finanzas[[#This Row],[fecha]]&gt;0,TEXT(Caja_Finanzas[[#This Row],[fecha]],"mmmm"),0)</f>
        <v>Marzo</v>
      </c>
    </row>
    <row r="314" spans="1:28" ht="24" x14ac:dyDescent="0.3">
      <c r="A314" s="2">
        <f>IF(Caja_Finanzas[[#This Row],[tipo_r]]="R",COUNTIFS($C$1:$C313,"R")+1,A313)</f>
        <v>304</v>
      </c>
      <c r="B314" s="19" t="str">
        <f t="shared" si="24"/>
        <v>C-Finanzas</v>
      </c>
      <c r="C314" s="3" t="s">
        <v>1330</v>
      </c>
      <c r="D314" s="14">
        <v>45744</v>
      </c>
      <c r="E314" s="5" t="s">
        <v>6420</v>
      </c>
      <c r="F314" s="5" t="s">
        <v>1336</v>
      </c>
      <c r="G314" s="5"/>
      <c r="H314" s="6"/>
      <c r="I314" s="6"/>
      <c r="J314" s="6"/>
      <c r="K314" s="6"/>
      <c r="L314" s="7" t="s">
        <v>6890</v>
      </c>
      <c r="M314" s="8" t="str">
        <f>"CFI"&amp;".D"&amp;TEXT(Caja_Finanzas[[#This Row],[fecha]],"DD-MM")&amp;"-"&amp;TEXT(Caja_Finanzas[[#This Row],[item]],"0000")</f>
        <v>CFI.D28-03-0304</v>
      </c>
      <c r="N314" s="8" t="str">
        <f t="shared" si="25"/>
        <v>PEN</v>
      </c>
      <c r="O314" s="13"/>
      <c r="P314" s="13">
        <v>50</v>
      </c>
      <c r="Q314" s="3">
        <f t="shared" si="21"/>
        <v>0</v>
      </c>
      <c r="R314" s="3">
        <f t="shared" si="22"/>
        <v>50</v>
      </c>
      <c r="S314" s="3">
        <f t="shared" si="23"/>
        <v>10892.899999999992</v>
      </c>
      <c r="T314" s="24"/>
      <c r="U314" s="24"/>
      <c r="V314" s="3"/>
      <c r="W314" s="25" t="s">
        <v>6507</v>
      </c>
      <c r="X314" s="25" t="s">
        <v>6891</v>
      </c>
      <c r="Y314" s="25"/>
      <c r="Z314" s="25"/>
      <c r="AA314" s="25"/>
      <c r="AB314" s="3" t="str">
        <f>IF(Caja_Finanzas[[#This Row],[fecha]]&gt;0,TEXT(Caja_Finanzas[[#This Row],[fecha]],"mmmm"),0)</f>
        <v>Marzo</v>
      </c>
    </row>
    <row r="315" spans="1:28" ht="24" x14ac:dyDescent="0.3">
      <c r="A315" s="2">
        <f>IF(Caja_Finanzas[[#This Row],[tipo_r]]="R",COUNTIFS($C$1:$C314,"R")+1,A314)</f>
        <v>305</v>
      </c>
      <c r="B315" s="19" t="str">
        <f t="shared" si="24"/>
        <v>C-Finanzas</v>
      </c>
      <c r="C315" s="3" t="s">
        <v>1330</v>
      </c>
      <c r="D315" s="14">
        <v>45744</v>
      </c>
      <c r="E315" s="5" t="s">
        <v>6460</v>
      </c>
      <c r="F315" s="5" t="s">
        <v>1336</v>
      </c>
      <c r="G315" s="5"/>
      <c r="H315" s="6"/>
      <c r="I315" s="6"/>
      <c r="J315" s="6"/>
      <c r="K315" s="6"/>
      <c r="L315" s="7" t="s">
        <v>6892</v>
      </c>
      <c r="M315" s="8" t="str">
        <f>"CFI"&amp;".D"&amp;TEXT(Caja_Finanzas[[#This Row],[fecha]],"DD-MM")&amp;"-"&amp;TEXT(Caja_Finanzas[[#This Row],[item]],"0000")</f>
        <v>CFI.D28-03-0305</v>
      </c>
      <c r="N315" s="8" t="str">
        <f t="shared" si="25"/>
        <v>PEN</v>
      </c>
      <c r="O315" s="13"/>
      <c r="P315" s="13">
        <v>10.7</v>
      </c>
      <c r="Q315" s="3">
        <f t="shared" si="21"/>
        <v>0</v>
      </c>
      <c r="R315" s="3">
        <f t="shared" si="22"/>
        <v>10.7</v>
      </c>
      <c r="S315" s="3">
        <f t="shared" si="23"/>
        <v>10882.199999999992</v>
      </c>
      <c r="T315" s="24"/>
      <c r="U315" s="24"/>
      <c r="V315" s="3"/>
      <c r="W315" s="25" t="s">
        <v>6893</v>
      </c>
      <c r="X315" s="25" t="s">
        <v>6894</v>
      </c>
      <c r="Y315" s="25"/>
      <c r="Z315" s="25"/>
      <c r="AA315" s="25"/>
      <c r="AB315" s="3" t="str">
        <f>IF(Caja_Finanzas[[#This Row],[fecha]]&gt;0,TEXT(Caja_Finanzas[[#This Row],[fecha]],"mmmm"),0)</f>
        <v>Marzo</v>
      </c>
    </row>
    <row r="316" spans="1:28" ht="24" x14ac:dyDescent="0.3">
      <c r="A316" s="2">
        <f>IF(Caja_Finanzas[[#This Row],[tipo_r]]="R",COUNTIFS($C$1:$C315,"R")+1,A315)</f>
        <v>306</v>
      </c>
      <c r="B316" s="19" t="str">
        <f t="shared" si="24"/>
        <v>C-Finanzas</v>
      </c>
      <c r="C316" s="3" t="s">
        <v>1330</v>
      </c>
      <c r="D316" s="14">
        <v>45744</v>
      </c>
      <c r="E316" s="5" t="s">
        <v>6460</v>
      </c>
      <c r="F316" s="5" t="s">
        <v>1336</v>
      </c>
      <c r="G316" s="5"/>
      <c r="H316" s="6"/>
      <c r="I316" s="6"/>
      <c r="J316" s="6"/>
      <c r="K316" s="6"/>
      <c r="L316" s="7" t="s">
        <v>6895</v>
      </c>
      <c r="M316" s="8" t="str">
        <f>"CFI"&amp;".D"&amp;TEXT(Caja_Finanzas[[#This Row],[fecha]],"DD-MM")&amp;"-"&amp;TEXT(Caja_Finanzas[[#This Row],[item]],"0000")</f>
        <v>CFI.D28-03-0306</v>
      </c>
      <c r="N316" s="8" t="str">
        <f t="shared" si="25"/>
        <v>PEN</v>
      </c>
      <c r="O316" s="13"/>
      <c r="P316" s="13">
        <v>12</v>
      </c>
      <c r="Q316" s="3">
        <f t="shared" si="21"/>
        <v>0</v>
      </c>
      <c r="R316" s="3">
        <f t="shared" si="22"/>
        <v>12</v>
      </c>
      <c r="S316" s="3">
        <f t="shared" si="23"/>
        <v>10870.199999999992</v>
      </c>
      <c r="T316" s="24"/>
      <c r="U316" s="24"/>
      <c r="V316" s="3"/>
      <c r="W316" s="25" t="s">
        <v>6893</v>
      </c>
      <c r="X316" s="25" t="s">
        <v>6896</v>
      </c>
      <c r="Y316" s="25"/>
      <c r="Z316" s="25"/>
      <c r="AA316" s="25"/>
      <c r="AB316" s="3" t="str">
        <f>IF(Caja_Finanzas[[#This Row],[fecha]]&gt;0,TEXT(Caja_Finanzas[[#This Row],[fecha]],"mmmm"),0)</f>
        <v>Marzo</v>
      </c>
    </row>
    <row r="317" spans="1:28" ht="24" x14ac:dyDescent="0.3">
      <c r="A317" s="2">
        <f>IF(Caja_Finanzas[[#This Row],[tipo_r]]="R",COUNTIFS($C$1:$C316,"R")+1,A316)</f>
        <v>307</v>
      </c>
      <c r="B317" s="19" t="str">
        <f t="shared" si="24"/>
        <v>C-Finanzas</v>
      </c>
      <c r="C317" s="3" t="s">
        <v>1330</v>
      </c>
      <c r="D317" s="14">
        <v>45744</v>
      </c>
      <c r="E317" s="5" t="s">
        <v>6731</v>
      </c>
      <c r="F317" s="5" t="s">
        <v>1336</v>
      </c>
      <c r="G317" s="5"/>
      <c r="H317" s="6"/>
      <c r="I317" s="6"/>
      <c r="J317" s="6"/>
      <c r="K317" s="6"/>
      <c r="L317" s="7" t="s">
        <v>6897</v>
      </c>
      <c r="M317" s="8" t="str">
        <f>"CFI"&amp;".D"&amp;TEXT(Caja_Finanzas[[#This Row],[fecha]],"DD-MM")&amp;"-"&amp;TEXT(Caja_Finanzas[[#This Row],[item]],"0000")</f>
        <v>CFI.D28-03-0307</v>
      </c>
      <c r="N317" s="8" t="str">
        <f t="shared" si="25"/>
        <v>PEN</v>
      </c>
      <c r="O317" s="13"/>
      <c r="P317" s="13">
        <v>100</v>
      </c>
      <c r="Q317" s="3">
        <f t="shared" si="21"/>
        <v>0</v>
      </c>
      <c r="R317" s="3">
        <f t="shared" si="22"/>
        <v>100</v>
      </c>
      <c r="S317" s="3">
        <f t="shared" si="23"/>
        <v>10770.199999999992</v>
      </c>
      <c r="T317" s="24"/>
      <c r="U317" s="24"/>
      <c r="V317" s="3"/>
      <c r="W317" s="25" t="s">
        <v>6880</v>
      </c>
      <c r="X317" s="25" t="s">
        <v>6881</v>
      </c>
      <c r="Y317" s="25"/>
      <c r="Z317" s="25"/>
      <c r="AA317" s="25"/>
      <c r="AB317" s="3" t="str">
        <f>IF(Caja_Finanzas[[#This Row],[fecha]]&gt;0,TEXT(Caja_Finanzas[[#This Row],[fecha]],"mmmm"),0)</f>
        <v>Marzo</v>
      </c>
    </row>
    <row r="318" spans="1:28" ht="24" x14ac:dyDescent="0.3">
      <c r="A318" s="2">
        <f>IF(Caja_Finanzas[[#This Row],[tipo_r]]="R",COUNTIFS($C$1:$C317,"R")+1,A317)</f>
        <v>308</v>
      </c>
      <c r="B318" s="19" t="str">
        <f t="shared" si="24"/>
        <v>C-Finanzas</v>
      </c>
      <c r="C318" s="3" t="s">
        <v>1330</v>
      </c>
      <c r="D318" s="14">
        <v>45744</v>
      </c>
      <c r="E318" s="5" t="s">
        <v>6731</v>
      </c>
      <c r="F318" s="5" t="s">
        <v>1336</v>
      </c>
      <c r="G318" s="5"/>
      <c r="H318" s="6"/>
      <c r="I318" s="6"/>
      <c r="J318" s="6"/>
      <c r="K318" s="6"/>
      <c r="L318" s="7" t="s">
        <v>6898</v>
      </c>
      <c r="M318" s="8" t="str">
        <f>"CFI"&amp;".D"&amp;TEXT(Caja_Finanzas[[#This Row],[fecha]],"DD-MM")&amp;"-"&amp;TEXT(Caja_Finanzas[[#This Row],[item]],"0000")</f>
        <v>CFI.D28-03-0308</v>
      </c>
      <c r="N318" s="8" t="str">
        <f t="shared" si="25"/>
        <v>PEN</v>
      </c>
      <c r="O318" s="13"/>
      <c r="P318" s="13">
        <v>73</v>
      </c>
      <c r="Q318" s="3">
        <f t="shared" si="21"/>
        <v>0</v>
      </c>
      <c r="R318" s="3">
        <f t="shared" si="22"/>
        <v>73</v>
      </c>
      <c r="S318" s="3">
        <f t="shared" si="23"/>
        <v>10697.199999999992</v>
      </c>
      <c r="T318" s="24"/>
      <c r="U318" s="24"/>
      <c r="V318" s="3"/>
      <c r="W318" s="25" t="s">
        <v>6899</v>
      </c>
      <c r="X318" s="25" t="s">
        <v>6900</v>
      </c>
      <c r="Y318" s="25"/>
      <c r="Z318" s="25"/>
      <c r="AA318" s="25"/>
      <c r="AB318" s="3" t="str">
        <f>IF(Caja_Finanzas[[#This Row],[fecha]]&gt;0,TEXT(Caja_Finanzas[[#This Row],[fecha]],"mmmm"),0)</f>
        <v>Marzo</v>
      </c>
    </row>
    <row r="319" spans="1:28" ht="24" x14ac:dyDescent="0.3">
      <c r="A319" s="2">
        <f>IF(Caja_Finanzas[[#This Row],[tipo_r]]="R",COUNTIFS($C$1:$C318,"R")+1,A318)</f>
        <v>309</v>
      </c>
      <c r="B319" s="19" t="str">
        <f t="shared" si="24"/>
        <v>C-Finanzas</v>
      </c>
      <c r="C319" s="3" t="s">
        <v>1330</v>
      </c>
      <c r="D319" s="14">
        <v>45744</v>
      </c>
      <c r="E319" s="5" t="s">
        <v>6822</v>
      </c>
      <c r="F319" s="5" t="s">
        <v>1303</v>
      </c>
      <c r="G319" s="5"/>
      <c r="H319" s="6" t="s">
        <v>425</v>
      </c>
      <c r="I319" s="6" t="s">
        <v>119</v>
      </c>
      <c r="J319" s="6">
        <v>1</v>
      </c>
      <c r="K319" s="6">
        <v>4280</v>
      </c>
      <c r="L319" s="7" t="s">
        <v>6118</v>
      </c>
      <c r="M319" s="8" t="str">
        <f>"CFI"&amp;".D"&amp;TEXT(Caja_Finanzas[[#This Row],[fecha]],"DD-MM")&amp;"-"&amp;TEXT(Caja_Finanzas[[#This Row],[item]],"0000")</f>
        <v>CFI.D28-03-0309</v>
      </c>
      <c r="N319" s="8" t="str">
        <f t="shared" si="25"/>
        <v>PEN</v>
      </c>
      <c r="O319" s="13"/>
      <c r="P319" s="13">
        <v>1681</v>
      </c>
      <c r="Q319" s="3">
        <f t="shared" si="21"/>
        <v>1681</v>
      </c>
      <c r="R319" s="3">
        <f t="shared" si="22"/>
        <v>0</v>
      </c>
      <c r="S319" s="3">
        <f t="shared" si="23"/>
        <v>12378.199999999992</v>
      </c>
      <c r="T319" s="24"/>
      <c r="U319" s="24"/>
      <c r="V319" s="3"/>
      <c r="W319" s="25"/>
      <c r="X319" s="25" t="s">
        <v>6901</v>
      </c>
      <c r="Y319" s="25"/>
      <c r="Z319" s="25"/>
      <c r="AA319" s="25"/>
      <c r="AB319" s="3" t="str">
        <f>IF(Caja_Finanzas[[#This Row],[fecha]]&gt;0,TEXT(Caja_Finanzas[[#This Row],[fecha]],"mmmm"),0)</f>
        <v>Marzo</v>
      </c>
    </row>
    <row r="320" spans="1:28" ht="24" x14ac:dyDescent="0.3">
      <c r="A320" s="2">
        <f>IF(Caja_Finanzas[[#This Row],[tipo_r]]="R",COUNTIFS($C$1:$C319,"R")+1,A319)</f>
        <v>310</v>
      </c>
      <c r="B320" s="19" t="str">
        <f t="shared" si="24"/>
        <v>C-Finanzas</v>
      </c>
      <c r="C320" s="3" t="s">
        <v>1330</v>
      </c>
      <c r="D320" s="14">
        <v>45744</v>
      </c>
      <c r="E320" s="5" t="s">
        <v>6420</v>
      </c>
      <c r="F320" s="5" t="s">
        <v>1336</v>
      </c>
      <c r="G320" s="5"/>
      <c r="H320" s="6"/>
      <c r="I320" s="6"/>
      <c r="J320" s="6"/>
      <c r="K320" s="6"/>
      <c r="L320" s="7" t="s">
        <v>6902</v>
      </c>
      <c r="M320" s="8" t="str">
        <f>"CFI"&amp;".D"&amp;TEXT(Caja_Finanzas[[#This Row],[fecha]],"DD-MM")&amp;"-"&amp;TEXT(Caja_Finanzas[[#This Row],[item]],"0000")</f>
        <v>CFI.D28-03-0310</v>
      </c>
      <c r="N320" s="8" t="str">
        <f t="shared" si="25"/>
        <v>PEN</v>
      </c>
      <c r="O320" s="13"/>
      <c r="P320" s="13">
        <v>763</v>
      </c>
      <c r="Q320" s="3">
        <f t="shared" si="21"/>
        <v>0</v>
      </c>
      <c r="R320" s="3">
        <f t="shared" si="22"/>
        <v>763</v>
      </c>
      <c r="S320" s="3">
        <f t="shared" si="23"/>
        <v>11615.199999999992</v>
      </c>
      <c r="T320" s="24"/>
      <c r="U320" s="24"/>
      <c r="V320" s="3"/>
      <c r="W320" s="25"/>
      <c r="X320" s="25" t="s">
        <v>6903</v>
      </c>
      <c r="Y320" s="25"/>
      <c r="Z320" s="25"/>
      <c r="AA320" s="25"/>
      <c r="AB320" s="3" t="str">
        <f>IF(Caja_Finanzas[[#This Row],[fecha]]&gt;0,TEXT(Caja_Finanzas[[#This Row],[fecha]],"mmmm"),0)</f>
        <v>Marzo</v>
      </c>
    </row>
    <row r="321" spans="1:28" ht="48" x14ac:dyDescent="0.3">
      <c r="A321" s="2">
        <f>IF(Caja_Finanzas[[#This Row],[tipo_r]]="R",COUNTIFS($C$1:$C320,"R")+1,A320)</f>
        <v>311</v>
      </c>
      <c r="B321" s="19" t="str">
        <f t="shared" si="24"/>
        <v>C-Finanzas</v>
      </c>
      <c r="C321" s="3" t="s">
        <v>1330</v>
      </c>
      <c r="D321" s="14">
        <v>45744</v>
      </c>
      <c r="E321" s="5" t="s">
        <v>6570</v>
      </c>
      <c r="F321" s="5" t="s">
        <v>1336</v>
      </c>
      <c r="G321" s="5"/>
      <c r="H321" s="6"/>
      <c r="I321" s="6"/>
      <c r="J321" s="6"/>
      <c r="K321" s="6"/>
      <c r="L321" s="7" t="s">
        <v>6904</v>
      </c>
      <c r="M321" s="8" t="str">
        <f>"CFI"&amp;".D"&amp;TEXT(Caja_Finanzas[[#This Row],[fecha]],"DD-MM")&amp;"-"&amp;TEXT(Caja_Finanzas[[#This Row],[item]],"0000")</f>
        <v>CFI.D28-03-0311</v>
      </c>
      <c r="N321" s="8" t="str">
        <f t="shared" si="25"/>
        <v>PEN</v>
      </c>
      <c r="O321" s="13"/>
      <c r="P321" s="13">
        <v>40</v>
      </c>
      <c r="Q321" s="3">
        <f t="shared" si="21"/>
        <v>0</v>
      </c>
      <c r="R321" s="3">
        <f t="shared" si="22"/>
        <v>40</v>
      </c>
      <c r="S321" s="3">
        <f t="shared" si="23"/>
        <v>11575.199999999992</v>
      </c>
      <c r="T321" s="24"/>
      <c r="U321" s="24"/>
      <c r="V321" s="3"/>
      <c r="W321" s="25" t="s">
        <v>6709</v>
      </c>
      <c r="X321" s="25" t="s">
        <v>6905</v>
      </c>
      <c r="Y321" s="25"/>
      <c r="Z321" s="25"/>
      <c r="AA321" s="25"/>
      <c r="AB321" s="3" t="str">
        <f>IF(Caja_Finanzas[[#This Row],[fecha]]&gt;0,TEXT(Caja_Finanzas[[#This Row],[fecha]],"mmmm"),0)</f>
        <v>Marzo</v>
      </c>
    </row>
    <row r="322" spans="1:28" ht="24" x14ac:dyDescent="0.3">
      <c r="A322" s="2">
        <f>IF(Caja_Finanzas[[#This Row],[tipo_r]]="R",COUNTIFS($C$1:$C321,"R")+1,A321)</f>
        <v>312</v>
      </c>
      <c r="B322" s="19" t="str">
        <f t="shared" si="24"/>
        <v>C-Finanzas</v>
      </c>
      <c r="C322" s="3" t="s">
        <v>1330</v>
      </c>
      <c r="D322" s="14">
        <v>45747</v>
      </c>
      <c r="E322" s="5" t="s">
        <v>6637</v>
      </c>
      <c r="F322" s="5" t="s">
        <v>1303</v>
      </c>
      <c r="G322" s="5"/>
      <c r="H322" s="6" t="s">
        <v>425</v>
      </c>
      <c r="I322" s="6" t="s">
        <v>119</v>
      </c>
      <c r="J322" s="6">
        <v>1</v>
      </c>
      <c r="K322" s="6">
        <v>4285</v>
      </c>
      <c r="L322" s="7" t="s">
        <v>6118</v>
      </c>
      <c r="M322" s="8" t="str">
        <f>"CFI"&amp;".D"&amp;TEXT(Caja_Finanzas[[#This Row],[fecha]],"DD-MM")&amp;"-"&amp;TEXT(Caja_Finanzas[[#This Row],[item]],"0000")</f>
        <v>CFI.D31-03-0312</v>
      </c>
      <c r="N322" s="8" t="str">
        <f t="shared" si="25"/>
        <v>PEN</v>
      </c>
      <c r="O322" s="13"/>
      <c r="P322" s="13">
        <v>893</v>
      </c>
      <c r="Q322" s="3">
        <f t="shared" ref="Q322:Q385" si="26">+IF(OR($F322="SALDO",$F322="INGRESO"),$P322,0)</f>
        <v>893</v>
      </c>
      <c r="R322" s="3">
        <f t="shared" ref="R322:R385" si="27">+IF($F322="EGRESO",$P322,0)</f>
        <v>0</v>
      </c>
      <c r="S322" s="3">
        <f t="shared" ref="S322:S385" si="28">IFERROR(IF(F322="SALDO",Q322,S321+Q322-R322),0)</f>
        <v>12468.199999999992</v>
      </c>
      <c r="T322" s="24"/>
      <c r="U322" s="24"/>
      <c r="V322" s="3"/>
      <c r="W322" s="25"/>
      <c r="X322" s="25" t="s">
        <v>6906</v>
      </c>
      <c r="Y322" s="25"/>
      <c r="Z322" s="25"/>
      <c r="AA322" s="25"/>
      <c r="AB322" s="3" t="str">
        <f>IF(Caja_Finanzas[[#This Row],[fecha]]&gt;0,TEXT(Caja_Finanzas[[#This Row],[fecha]],"mmmm"),0)</f>
        <v>Marzo</v>
      </c>
    </row>
    <row r="323" spans="1:28" x14ac:dyDescent="0.3">
      <c r="A323" s="2">
        <f>IF(Caja_Finanzas[[#This Row],[tipo_r]]="R",COUNTIFS($C$1:$C322,"R")+1,A322)</f>
        <v>313</v>
      </c>
      <c r="B323" s="19" t="str">
        <f t="shared" ref="B323:B386" si="29">"C-Finanzas"</f>
        <v>C-Finanzas</v>
      </c>
      <c r="C323" s="3" t="s">
        <v>1330</v>
      </c>
      <c r="D323" s="14">
        <v>45747</v>
      </c>
      <c r="E323" s="5" t="s">
        <v>6679</v>
      </c>
      <c r="F323" s="5" t="s">
        <v>1303</v>
      </c>
      <c r="G323" s="5"/>
      <c r="H323" s="6" t="s">
        <v>425</v>
      </c>
      <c r="I323" s="6" t="s">
        <v>119</v>
      </c>
      <c r="J323" s="6">
        <v>1</v>
      </c>
      <c r="K323" s="6">
        <v>4286</v>
      </c>
      <c r="L323" s="7" t="s">
        <v>6118</v>
      </c>
      <c r="M323" s="8" t="str">
        <f>"CFI"&amp;".D"&amp;TEXT(Caja_Finanzas[[#This Row],[fecha]],"DD-MM")&amp;"-"&amp;TEXT(Caja_Finanzas[[#This Row],[item]],"0000")</f>
        <v>CFI.D31-03-0313</v>
      </c>
      <c r="N323" s="8" t="str">
        <f t="shared" ref="N323:N386" si="30">"PEN"</f>
        <v>PEN</v>
      </c>
      <c r="O323" s="13"/>
      <c r="P323" s="13">
        <v>1680</v>
      </c>
      <c r="Q323" s="3">
        <f t="shared" si="26"/>
        <v>1680</v>
      </c>
      <c r="R323" s="3">
        <f t="shared" si="27"/>
        <v>0</v>
      </c>
      <c r="S323" s="3">
        <f t="shared" si="28"/>
        <v>14148.199999999992</v>
      </c>
      <c r="T323" s="24"/>
      <c r="U323" s="24"/>
      <c r="V323" s="3"/>
      <c r="W323" s="25"/>
      <c r="X323" s="25" t="s">
        <v>6907</v>
      </c>
      <c r="Y323" s="25"/>
      <c r="Z323" s="25"/>
      <c r="AA323" s="25"/>
      <c r="AB323" s="3" t="str">
        <f>IF(Caja_Finanzas[[#This Row],[fecha]]&gt;0,TEXT(Caja_Finanzas[[#This Row],[fecha]],"mmmm"),0)</f>
        <v>Marzo</v>
      </c>
    </row>
    <row r="324" spans="1:28" ht="24" x14ac:dyDescent="0.3">
      <c r="A324" s="2">
        <f>IF(Caja_Finanzas[[#This Row],[tipo_r]]="R",COUNTIFS($C$1:$C323,"R")+1,A323)</f>
        <v>314</v>
      </c>
      <c r="B324" s="19" t="str">
        <f t="shared" si="29"/>
        <v>C-Finanzas</v>
      </c>
      <c r="C324" s="3" t="s">
        <v>1330</v>
      </c>
      <c r="D324" s="14">
        <v>45747</v>
      </c>
      <c r="E324" s="5" t="s">
        <v>6418</v>
      </c>
      <c r="F324" s="5" t="s">
        <v>1336</v>
      </c>
      <c r="G324" s="5"/>
      <c r="H324" s="6" t="s">
        <v>809</v>
      </c>
      <c r="I324" s="6"/>
      <c r="J324" s="6"/>
      <c r="K324" s="6"/>
      <c r="L324" s="7" t="s">
        <v>6908</v>
      </c>
      <c r="M324" s="8" t="str">
        <f>"CFI"&amp;".D"&amp;TEXT(Caja_Finanzas[[#This Row],[fecha]],"DD-MM")&amp;"-"&amp;TEXT(Caja_Finanzas[[#This Row],[item]],"0000")</f>
        <v>CFI.D31-03-0314</v>
      </c>
      <c r="N324" s="8" t="str">
        <f t="shared" si="30"/>
        <v>PEN</v>
      </c>
      <c r="O324" s="13"/>
      <c r="P324" s="13">
        <v>1000</v>
      </c>
      <c r="Q324" s="3">
        <f t="shared" si="26"/>
        <v>0</v>
      </c>
      <c r="R324" s="3">
        <f t="shared" si="27"/>
        <v>1000</v>
      </c>
      <c r="S324" s="3">
        <f t="shared" si="28"/>
        <v>13148.199999999992</v>
      </c>
      <c r="T324" s="24"/>
      <c r="U324" s="24"/>
      <c r="V324" s="3"/>
      <c r="W324" s="25"/>
      <c r="X324" s="25"/>
      <c r="Y324" s="25"/>
      <c r="Z324" s="25"/>
      <c r="AA324" s="25"/>
      <c r="AB324" s="3" t="str">
        <f>IF(Caja_Finanzas[[#This Row],[fecha]]&gt;0,TEXT(Caja_Finanzas[[#This Row],[fecha]],"mmmm"),0)</f>
        <v>Marzo</v>
      </c>
    </row>
    <row r="325" spans="1:28" ht="24" x14ac:dyDescent="0.3">
      <c r="A325" s="2">
        <f>IF(Caja_Finanzas[[#This Row],[tipo_r]]="R",COUNTIFS($C$1:$C324,"R")+1,A324)</f>
        <v>315</v>
      </c>
      <c r="B325" s="19" t="str">
        <f t="shared" si="29"/>
        <v>C-Finanzas</v>
      </c>
      <c r="C325" s="3" t="s">
        <v>1330</v>
      </c>
      <c r="D325" s="14">
        <v>45748</v>
      </c>
      <c r="E325" s="5" t="s">
        <v>6418</v>
      </c>
      <c r="F325" s="5" t="s">
        <v>1336</v>
      </c>
      <c r="G325" s="5"/>
      <c r="H325" s="6" t="s">
        <v>809</v>
      </c>
      <c r="I325" s="6"/>
      <c r="J325" s="6"/>
      <c r="K325" s="6"/>
      <c r="L325" s="7" t="s">
        <v>6419</v>
      </c>
      <c r="M325" s="8" t="str">
        <f>"CFI"&amp;".D"&amp;TEXT(Caja_Finanzas[[#This Row],[fecha]],"DD-MM")&amp;"-"&amp;TEXT(Caja_Finanzas[[#This Row],[item]],"0000")</f>
        <v>CFI.D01-04-0315</v>
      </c>
      <c r="N325" s="8" t="str">
        <f t="shared" si="30"/>
        <v>PEN</v>
      </c>
      <c r="O325" s="13"/>
      <c r="P325" s="13">
        <v>2000</v>
      </c>
      <c r="Q325" s="3">
        <f t="shared" si="26"/>
        <v>0</v>
      </c>
      <c r="R325" s="3">
        <f t="shared" si="27"/>
        <v>2000</v>
      </c>
      <c r="S325" s="3">
        <f t="shared" si="28"/>
        <v>11148.199999999992</v>
      </c>
      <c r="T325" s="24"/>
      <c r="U325" s="24"/>
      <c r="V325" s="3"/>
      <c r="W325" s="25"/>
      <c r="X325" s="25"/>
      <c r="Y325" s="25"/>
      <c r="Z325" s="25"/>
      <c r="AA325" s="25"/>
      <c r="AB325" s="3" t="str">
        <f>IF(Caja_Finanzas[[#This Row],[fecha]]&gt;0,TEXT(Caja_Finanzas[[#This Row],[fecha]],"mmmm"),0)</f>
        <v>Abril</v>
      </c>
    </row>
    <row r="326" spans="1:28" ht="36" x14ac:dyDescent="0.3">
      <c r="A326" s="2">
        <f>IF(Caja_Finanzas[[#This Row],[tipo_r]]="R",COUNTIFS($C$1:$C325,"R")+1,A325)</f>
        <v>316</v>
      </c>
      <c r="B326" s="19" t="str">
        <f t="shared" si="29"/>
        <v>C-Finanzas</v>
      </c>
      <c r="C326" s="3" t="s">
        <v>1330</v>
      </c>
      <c r="D326" s="14">
        <v>45748</v>
      </c>
      <c r="E326" s="5" t="s">
        <v>6415</v>
      </c>
      <c r="F326" s="5" t="s">
        <v>1336</v>
      </c>
      <c r="G326" s="5"/>
      <c r="H326" s="6"/>
      <c r="I326" s="6"/>
      <c r="J326" s="6"/>
      <c r="K326" s="6"/>
      <c r="L326" s="7" t="s">
        <v>6909</v>
      </c>
      <c r="M326" s="8" t="str">
        <f>"CFI"&amp;".D"&amp;TEXT(Caja_Finanzas[[#This Row],[fecha]],"DD-MM")&amp;"-"&amp;TEXT(Caja_Finanzas[[#This Row],[item]],"0000")</f>
        <v>CFI.D01-04-0316</v>
      </c>
      <c r="N326" s="8" t="str">
        <f t="shared" si="30"/>
        <v>PEN</v>
      </c>
      <c r="O326" s="13"/>
      <c r="P326" s="13">
        <v>6819</v>
      </c>
      <c r="Q326" s="3">
        <f t="shared" si="26"/>
        <v>0</v>
      </c>
      <c r="R326" s="3">
        <f t="shared" si="27"/>
        <v>6819</v>
      </c>
      <c r="S326" s="3">
        <f t="shared" si="28"/>
        <v>4329.1999999999916</v>
      </c>
      <c r="T326" s="24"/>
      <c r="U326" s="24"/>
      <c r="V326" s="3"/>
      <c r="W326" s="25"/>
      <c r="X326" s="25"/>
      <c r="Y326" s="25"/>
      <c r="Z326" s="25"/>
      <c r="AA326" s="25"/>
      <c r="AB326" s="3" t="str">
        <f>IF(Caja_Finanzas[[#This Row],[fecha]]&gt;0,TEXT(Caja_Finanzas[[#This Row],[fecha]],"mmmm"),0)</f>
        <v>Abril</v>
      </c>
    </row>
    <row r="327" spans="1:28" x14ac:dyDescent="0.3">
      <c r="A327" s="2">
        <f>IF(Caja_Finanzas[[#This Row],[tipo_r]]="R",COUNTIFS($C$1:$C326,"R")+1,A326)</f>
        <v>317</v>
      </c>
      <c r="B327" s="19" t="str">
        <f t="shared" si="29"/>
        <v>C-Finanzas</v>
      </c>
      <c r="C327" s="3" t="s">
        <v>1330</v>
      </c>
      <c r="D327" s="14">
        <v>45748</v>
      </c>
      <c r="E327" s="5" t="s">
        <v>6679</v>
      </c>
      <c r="F327" s="5" t="s">
        <v>1303</v>
      </c>
      <c r="G327" s="5"/>
      <c r="H327" s="6" t="s">
        <v>425</v>
      </c>
      <c r="I327" s="6" t="s">
        <v>119</v>
      </c>
      <c r="J327" s="6">
        <v>1</v>
      </c>
      <c r="K327" s="6">
        <v>4286</v>
      </c>
      <c r="L327" s="7" t="s">
        <v>6118</v>
      </c>
      <c r="M327" s="8" t="str">
        <f>"CFI"&amp;".D"&amp;TEXT(Caja_Finanzas[[#This Row],[fecha]],"DD-MM")&amp;"-"&amp;TEXT(Caja_Finanzas[[#This Row],[item]],"0000")</f>
        <v>CFI.D01-04-0317</v>
      </c>
      <c r="N327" s="8" t="str">
        <f t="shared" si="30"/>
        <v>PEN</v>
      </c>
      <c r="O327" s="13"/>
      <c r="P327" s="13">
        <v>60</v>
      </c>
      <c r="Q327" s="3">
        <f t="shared" si="26"/>
        <v>60</v>
      </c>
      <c r="R327" s="3">
        <f t="shared" si="27"/>
        <v>0</v>
      </c>
      <c r="S327" s="3">
        <f t="shared" si="28"/>
        <v>4389.1999999999916</v>
      </c>
      <c r="T327" s="24"/>
      <c r="U327" s="24"/>
      <c r="V327" s="3"/>
      <c r="W327" s="25"/>
      <c r="X327" s="25" t="s">
        <v>6907</v>
      </c>
      <c r="Y327" s="25"/>
      <c r="Z327" s="25"/>
      <c r="AA327" s="25"/>
      <c r="AB327" s="3" t="str">
        <f>IF(Caja_Finanzas[[#This Row],[fecha]]&gt;0,TEXT(Caja_Finanzas[[#This Row],[fecha]],"mmmm"),0)</f>
        <v>Abril</v>
      </c>
    </row>
    <row r="328" spans="1:28" ht="24" x14ac:dyDescent="0.3">
      <c r="A328" s="2">
        <f>IF(Caja_Finanzas[[#This Row],[tipo_r]]="R",COUNTIFS($C$1:$C327,"R")+1,A327)</f>
        <v>318</v>
      </c>
      <c r="B328" s="19" t="str">
        <f t="shared" si="29"/>
        <v>C-Finanzas</v>
      </c>
      <c r="C328" s="3" t="s">
        <v>1330</v>
      </c>
      <c r="D328" s="14">
        <v>45748</v>
      </c>
      <c r="E328" s="5" t="s">
        <v>6910</v>
      </c>
      <c r="F328" s="5" t="s">
        <v>1303</v>
      </c>
      <c r="G328" s="5"/>
      <c r="H328" s="6" t="s">
        <v>425</v>
      </c>
      <c r="I328" s="6" t="s">
        <v>119</v>
      </c>
      <c r="J328" s="6">
        <v>1</v>
      </c>
      <c r="K328" s="6">
        <v>4284</v>
      </c>
      <c r="L328" s="7" t="s">
        <v>6118</v>
      </c>
      <c r="M328" s="8" t="str">
        <f>"CFI"&amp;".D"&amp;TEXT(Caja_Finanzas[[#This Row],[fecha]],"DD-MM")&amp;"-"&amp;TEXT(Caja_Finanzas[[#This Row],[item]],"0000")</f>
        <v>CFI.D01-04-0318</v>
      </c>
      <c r="N328" s="8" t="str">
        <f t="shared" si="30"/>
        <v>PEN</v>
      </c>
      <c r="O328" s="13"/>
      <c r="P328" s="13">
        <v>1.2</v>
      </c>
      <c r="Q328" s="3">
        <f t="shared" si="26"/>
        <v>1.2</v>
      </c>
      <c r="R328" s="3">
        <f t="shared" si="27"/>
        <v>0</v>
      </c>
      <c r="S328" s="3">
        <f t="shared" si="28"/>
        <v>4390.3999999999915</v>
      </c>
      <c r="T328" s="24"/>
      <c r="U328" s="24"/>
      <c r="V328" s="3"/>
      <c r="W328" s="25"/>
      <c r="X328" s="25" t="s">
        <v>6911</v>
      </c>
      <c r="Y328" s="25"/>
      <c r="Z328" s="25"/>
      <c r="AA328" s="25"/>
      <c r="AB328" s="3" t="str">
        <f>IF(Caja_Finanzas[[#This Row],[fecha]]&gt;0,TEXT(Caja_Finanzas[[#This Row],[fecha]],"mmmm"),0)</f>
        <v>Abril</v>
      </c>
    </row>
    <row r="329" spans="1:28" x14ac:dyDescent="0.3">
      <c r="A329" s="2">
        <f>IF(Caja_Finanzas[[#This Row],[tipo_r]]="R",COUNTIFS($C$1:$C328,"R")+1,A328)</f>
        <v>319</v>
      </c>
      <c r="B329" s="19" t="str">
        <f t="shared" si="29"/>
        <v>C-Finanzas</v>
      </c>
      <c r="C329" s="3" t="s">
        <v>1330</v>
      </c>
      <c r="D329" s="14">
        <v>45748</v>
      </c>
      <c r="E329" s="5" t="s">
        <v>439</v>
      </c>
      <c r="F329" s="5" t="s">
        <v>1303</v>
      </c>
      <c r="G329" s="5"/>
      <c r="H329" s="6" t="s">
        <v>425</v>
      </c>
      <c r="I329" s="6" t="s">
        <v>119</v>
      </c>
      <c r="J329" s="6">
        <v>1</v>
      </c>
      <c r="K329" s="6">
        <v>4283</v>
      </c>
      <c r="L329" s="7" t="s">
        <v>6118</v>
      </c>
      <c r="M329" s="8" t="str">
        <f>"CFI"&amp;".D"&amp;TEXT(Caja_Finanzas[[#This Row],[fecha]],"DD-MM")&amp;"-"&amp;TEXT(Caja_Finanzas[[#This Row],[item]],"0000")</f>
        <v>CFI.D01-04-0319</v>
      </c>
      <c r="N329" s="8" t="str">
        <f t="shared" si="30"/>
        <v>PEN</v>
      </c>
      <c r="O329" s="13"/>
      <c r="P329" s="13">
        <v>1220</v>
      </c>
      <c r="Q329" s="3">
        <f t="shared" si="26"/>
        <v>1220</v>
      </c>
      <c r="R329" s="3">
        <f t="shared" si="27"/>
        <v>0</v>
      </c>
      <c r="S329" s="3">
        <f t="shared" si="28"/>
        <v>5610.3999999999915</v>
      </c>
      <c r="T329" s="24"/>
      <c r="U329" s="24"/>
      <c r="V329" s="3"/>
      <c r="W329" s="25"/>
      <c r="X329" s="25" t="s">
        <v>6912</v>
      </c>
      <c r="Y329" s="25"/>
      <c r="Z329" s="25"/>
      <c r="AA329" s="25"/>
      <c r="AB329" s="3" t="str">
        <f>IF(Caja_Finanzas[[#This Row],[fecha]]&gt;0,TEXT(Caja_Finanzas[[#This Row],[fecha]],"mmmm"),0)</f>
        <v>Abril</v>
      </c>
    </row>
    <row r="330" spans="1:28" ht="24" x14ac:dyDescent="0.3">
      <c r="A330" s="2">
        <f>IF(Caja_Finanzas[[#This Row],[tipo_r]]="R",COUNTIFS($C$1:$C329,"R")+1,A329)</f>
        <v>320</v>
      </c>
      <c r="B330" s="19" t="str">
        <f t="shared" si="29"/>
        <v>C-Finanzas</v>
      </c>
      <c r="C330" s="3" t="s">
        <v>1330</v>
      </c>
      <c r="D330" s="14">
        <v>45748</v>
      </c>
      <c r="E330" s="5" t="s">
        <v>2502</v>
      </c>
      <c r="F330" s="5" t="s">
        <v>1303</v>
      </c>
      <c r="G330" s="5"/>
      <c r="H330" s="6" t="s">
        <v>425</v>
      </c>
      <c r="I330" s="6" t="s">
        <v>119</v>
      </c>
      <c r="J330" s="6">
        <v>1</v>
      </c>
      <c r="K330" s="6">
        <v>4289</v>
      </c>
      <c r="L330" s="7" t="s">
        <v>6118</v>
      </c>
      <c r="M330" s="8" t="str">
        <f>"CFI"&amp;".D"&amp;TEXT(Caja_Finanzas[[#This Row],[fecha]],"DD-MM")&amp;"-"&amp;TEXT(Caja_Finanzas[[#This Row],[item]],"0000")</f>
        <v>CFI.D01-04-0320</v>
      </c>
      <c r="N330" s="8" t="str">
        <f t="shared" si="30"/>
        <v>PEN</v>
      </c>
      <c r="O330" s="13"/>
      <c r="P330" s="13">
        <v>752</v>
      </c>
      <c r="Q330" s="3">
        <f t="shared" si="26"/>
        <v>752</v>
      </c>
      <c r="R330" s="3">
        <f t="shared" si="27"/>
        <v>0</v>
      </c>
      <c r="S330" s="3">
        <f t="shared" si="28"/>
        <v>6362.3999999999915</v>
      </c>
      <c r="T330" s="24"/>
      <c r="U330" s="24"/>
      <c r="V330" s="3"/>
      <c r="W330" s="25"/>
      <c r="X330" s="25" t="s">
        <v>2503</v>
      </c>
      <c r="Y330" s="25"/>
      <c r="Z330" s="25"/>
      <c r="AA330" s="25"/>
      <c r="AB330" s="3" t="str">
        <f>IF(Caja_Finanzas[[#This Row],[fecha]]&gt;0,TEXT(Caja_Finanzas[[#This Row],[fecha]],"mmmm"),0)</f>
        <v>Abril</v>
      </c>
    </row>
    <row r="331" spans="1:28" ht="24" x14ac:dyDescent="0.3">
      <c r="A331" s="2">
        <f>IF(Caja_Finanzas[[#This Row],[tipo_r]]="R",COUNTIFS($C$1:$C330,"R")+1,A330)</f>
        <v>321</v>
      </c>
      <c r="B331" s="19" t="str">
        <f t="shared" si="29"/>
        <v>C-Finanzas</v>
      </c>
      <c r="C331" s="3" t="s">
        <v>1330</v>
      </c>
      <c r="D331" s="14">
        <v>45749</v>
      </c>
      <c r="E331" s="5" t="s">
        <v>1875</v>
      </c>
      <c r="F331" s="5" t="s">
        <v>1303</v>
      </c>
      <c r="G331" s="5"/>
      <c r="H331" s="6" t="s">
        <v>425</v>
      </c>
      <c r="I331" s="6" t="s">
        <v>119</v>
      </c>
      <c r="J331" s="6">
        <v>1</v>
      </c>
      <c r="K331" s="6">
        <v>4291</v>
      </c>
      <c r="L331" s="7" t="s">
        <v>6118</v>
      </c>
      <c r="M331" s="8" t="str">
        <f>"CFI"&amp;".D"&amp;TEXT(Caja_Finanzas[[#This Row],[fecha]],"DD-MM")&amp;"-"&amp;TEXT(Caja_Finanzas[[#This Row],[item]],"0000")</f>
        <v>CFI.D02-04-0321</v>
      </c>
      <c r="N331" s="8" t="str">
        <f t="shared" si="30"/>
        <v>PEN</v>
      </c>
      <c r="O331" s="13"/>
      <c r="P331" s="13">
        <v>720</v>
      </c>
      <c r="Q331" s="3">
        <f t="shared" si="26"/>
        <v>720</v>
      </c>
      <c r="R331" s="3">
        <f t="shared" si="27"/>
        <v>0</v>
      </c>
      <c r="S331" s="3">
        <f t="shared" si="28"/>
        <v>7082.3999999999915</v>
      </c>
      <c r="T331" s="24"/>
      <c r="U331" s="24"/>
      <c r="V331" s="3"/>
      <c r="W331" s="25"/>
      <c r="X331" s="25" t="s">
        <v>6913</v>
      </c>
      <c r="Y331" s="25"/>
      <c r="Z331" s="25"/>
      <c r="AA331" s="25"/>
      <c r="AB331" s="3" t="str">
        <f>IF(Caja_Finanzas[[#This Row],[fecha]]&gt;0,TEXT(Caja_Finanzas[[#This Row],[fecha]],"mmmm"),0)</f>
        <v>Abril</v>
      </c>
    </row>
    <row r="332" spans="1:28" ht="24" x14ac:dyDescent="0.3">
      <c r="A332" s="2">
        <f>IF(Caja_Finanzas[[#This Row],[tipo_r]]="R",COUNTIFS($C$1:$C331,"R")+1,A331)</f>
        <v>322</v>
      </c>
      <c r="B332" s="19" t="str">
        <f t="shared" si="29"/>
        <v>C-Finanzas</v>
      </c>
      <c r="C332" s="3" t="s">
        <v>1330</v>
      </c>
      <c r="D332" s="14">
        <v>45749</v>
      </c>
      <c r="E332" s="5" t="s">
        <v>6759</v>
      </c>
      <c r="F332" s="5" t="s">
        <v>1303</v>
      </c>
      <c r="G332" s="5"/>
      <c r="H332" s="6" t="s">
        <v>425</v>
      </c>
      <c r="I332" s="6" t="s">
        <v>119</v>
      </c>
      <c r="J332" s="6">
        <v>3</v>
      </c>
      <c r="K332" s="6">
        <v>558</v>
      </c>
      <c r="L332" s="7" t="s">
        <v>6118</v>
      </c>
      <c r="M332" s="8" t="str">
        <f>"CFI"&amp;".D"&amp;TEXT(Caja_Finanzas[[#This Row],[fecha]],"DD-MM")&amp;"-"&amp;TEXT(Caja_Finanzas[[#This Row],[item]],"0000")</f>
        <v>CFI.D02-04-0322</v>
      </c>
      <c r="N332" s="8" t="str">
        <f t="shared" si="30"/>
        <v>PEN</v>
      </c>
      <c r="O332" s="13"/>
      <c r="P332" s="13">
        <v>150</v>
      </c>
      <c r="Q332" s="3">
        <f t="shared" si="26"/>
        <v>150</v>
      </c>
      <c r="R332" s="3">
        <f t="shared" si="27"/>
        <v>0</v>
      </c>
      <c r="S332" s="3">
        <f t="shared" si="28"/>
        <v>7232.3999999999915</v>
      </c>
      <c r="T332" s="24"/>
      <c r="U332" s="24"/>
      <c r="V332" s="3"/>
      <c r="W332" s="25"/>
      <c r="X332" s="25" t="s">
        <v>6914</v>
      </c>
      <c r="Y332" s="25"/>
      <c r="Z332" s="25"/>
      <c r="AA332" s="25"/>
      <c r="AB332" s="3" t="str">
        <f>IF(Caja_Finanzas[[#This Row],[fecha]]&gt;0,TEXT(Caja_Finanzas[[#This Row],[fecha]],"mmmm"),0)</f>
        <v>Abril</v>
      </c>
    </row>
    <row r="333" spans="1:28" ht="24" x14ac:dyDescent="0.3">
      <c r="A333" s="2">
        <f>IF(Caja_Finanzas[[#This Row],[tipo_r]]="R",COUNTIFS($C$1:$C332,"R")+1,A332)</f>
        <v>323</v>
      </c>
      <c r="B333" s="19" t="str">
        <f t="shared" si="29"/>
        <v>C-Finanzas</v>
      </c>
      <c r="C333" s="3" t="s">
        <v>1330</v>
      </c>
      <c r="D333" s="14">
        <v>45749</v>
      </c>
      <c r="E333" s="5" t="s">
        <v>6757</v>
      </c>
      <c r="F333" s="5" t="s">
        <v>1303</v>
      </c>
      <c r="G333" s="5"/>
      <c r="H333" s="6" t="s">
        <v>425</v>
      </c>
      <c r="I333" s="6" t="s">
        <v>119</v>
      </c>
      <c r="J333" s="6">
        <v>3</v>
      </c>
      <c r="K333" s="6">
        <v>559</v>
      </c>
      <c r="L333" s="7" t="s">
        <v>6118</v>
      </c>
      <c r="M333" s="8" t="str">
        <f>"CFI"&amp;".D"&amp;TEXT(Caja_Finanzas[[#This Row],[fecha]],"DD-MM")&amp;"-"&amp;TEXT(Caja_Finanzas[[#This Row],[item]],"0000")</f>
        <v>CFI.D02-04-0323</v>
      </c>
      <c r="N333" s="8" t="str">
        <f t="shared" si="30"/>
        <v>PEN</v>
      </c>
      <c r="O333" s="13"/>
      <c r="P333" s="13">
        <v>34.5</v>
      </c>
      <c r="Q333" s="3">
        <f t="shared" si="26"/>
        <v>34.5</v>
      </c>
      <c r="R333" s="3">
        <f t="shared" si="27"/>
        <v>0</v>
      </c>
      <c r="S333" s="3">
        <f t="shared" si="28"/>
        <v>7266.8999999999915</v>
      </c>
      <c r="T333" s="24"/>
      <c r="U333" s="24"/>
      <c r="V333" s="3"/>
      <c r="W333" s="25"/>
      <c r="X333" s="25" t="s">
        <v>6915</v>
      </c>
      <c r="Y333" s="25"/>
      <c r="Z333" s="25"/>
      <c r="AA333" s="25"/>
      <c r="AB333" s="3" t="str">
        <f>IF(Caja_Finanzas[[#This Row],[fecha]]&gt;0,TEXT(Caja_Finanzas[[#This Row],[fecha]],"mmmm"),0)</f>
        <v>Abril</v>
      </c>
    </row>
    <row r="334" spans="1:28" ht="24" x14ac:dyDescent="0.3">
      <c r="A334" s="2">
        <f>IF(Caja_Finanzas[[#This Row],[tipo_r]]="R",COUNTIFS($C$1:$C333,"R")+1,A333)</f>
        <v>324</v>
      </c>
      <c r="B334" s="19" t="str">
        <f t="shared" si="29"/>
        <v>C-Finanzas</v>
      </c>
      <c r="C334" s="3" t="s">
        <v>1330</v>
      </c>
      <c r="D334" s="14">
        <v>45749</v>
      </c>
      <c r="E334" s="5" t="s">
        <v>6515</v>
      </c>
      <c r="F334" s="5" t="s">
        <v>1303</v>
      </c>
      <c r="G334" s="5"/>
      <c r="H334" s="6" t="s">
        <v>425</v>
      </c>
      <c r="I334" s="6" t="s">
        <v>119</v>
      </c>
      <c r="J334" s="6">
        <v>3</v>
      </c>
      <c r="K334" s="6">
        <v>560</v>
      </c>
      <c r="L334" s="7" t="s">
        <v>6118</v>
      </c>
      <c r="M334" s="8" t="str">
        <f>"CFI"&amp;".D"&amp;TEXT(Caja_Finanzas[[#This Row],[fecha]],"DD-MM")&amp;"-"&amp;TEXT(Caja_Finanzas[[#This Row],[item]],"0000")</f>
        <v>CFI.D02-04-0324</v>
      </c>
      <c r="N334" s="8" t="str">
        <f t="shared" si="30"/>
        <v>PEN</v>
      </c>
      <c r="O334" s="13"/>
      <c r="P334" s="13">
        <v>26</v>
      </c>
      <c r="Q334" s="3">
        <f t="shared" si="26"/>
        <v>26</v>
      </c>
      <c r="R334" s="3">
        <f t="shared" si="27"/>
        <v>0</v>
      </c>
      <c r="S334" s="3">
        <f t="shared" si="28"/>
        <v>7292.8999999999915</v>
      </c>
      <c r="T334" s="24"/>
      <c r="U334" s="24"/>
      <c r="V334" s="3"/>
      <c r="W334" s="25"/>
      <c r="X334" s="25" t="s">
        <v>6916</v>
      </c>
      <c r="Y334" s="25"/>
      <c r="Z334" s="25"/>
      <c r="AA334" s="25"/>
      <c r="AB334" s="3" t="str">
        <f>IF(Caja_Finanzas[[#This Row],[fecha]]&gt;0,TEXT(Caja_Finanzas[[#This Row],[fecha]],"mmmm"),0)</f>
        <v>Abril</v>
      </c>
    </row>
    <row r="335" spans="1:28" x14ac:dyDescent="0.3">
      <c r="A335" s="2">
        <f>IF(Caja_Finanzas[[#This Row],[tipo_r]]="R",COUNTIFS($C$1:$C334,"R")+1,A334)</f>
        <v>325</v>
      </c>
      <c r="B335" s="19" t="str">
        <f t="shared" si="29"/>
        <v>C-Finanzas</v>
      </c>
      <c r="C335" s="3" t="s">
        <v>1330</v>
      </c>
      <c r="D335" s="14">
        <v>45749</v>
      </c>
      <c r="E335" s="5" t="s">
        <v>6917</v>
      </c>
      <c r="F335" s="5" t="s">
        <v>1303</v>
      </c>
      <c r="G335" s="5"/>
      <c r="H335" s="6" t="s">
        <v>425</v>
      </c>
      <c r="I335" s="6" t="s">
        <v>119</v>
      </c>
      <c r="J335" s="6">
        <v>3</v>
      </c>
      <c r="K335" s="6">
        <v>561</v>
      </c>
      <c r="L335" s="7" t="s">
        <v>6118</v>
      </c>
      <c r="M335" s="8" t="str">
        <f>"CFI"&amp;".D"&amp;TEXT(Caja_Finanzas[[#This Row],[fecha]],"DD-MM")&amp;"-"&amp;TEXT(Caja_Finanzas[[#This Row],[item]],"0000")</f>
        <v>CFI.D02-04-0325</v>
      </c>
      <c r="N335" s="8" t="str">
        <f t="shared" si="30"/>
        <v>PEN</v>
      </c>
      <c r="O335" s="13"/>
      <c r="P335" s="13">
        <v>37.4</v>
      </c>
      <c r="Q335" s="3">
        <f t="shared" si="26"/>
        <v>37.4</v>
      </c>
      <c r="R335" s="3">
        <f t="shared" si="27"/>
        <v>0</v>
      </c>
      <c r="S335" s="3">
        <f t="shared" si="28"/>
        <v>7330.2999999999911</v>
      </c>
      <c r="T335" s="24"/>
      <c r="U335" s="24"/>
      <c r="V335" s="3"/>
      <c r="W335" s="25"/>
      <c r="X335" s="25" t="s">
        <v>6918</v>
      </c>
      <c r="Y335" s="25"/>
      <c r="Z335" s="25"/>
      <c r="AA335" s="25"/>
      <c r="AB335" s="3" t="str">
        <f>IF(Caja_Finanzas[[#This Row],[fecha]]&gt;0,TEXT(Caja_Finanzas[[#This Row],[fecha]],"mmmm"),0)</f>
        <v>Abril</v>
      </c>
    </row>
    <row r="336" spans="1:28" ht="24" x14ac:dyDescent="0.3">
      <c r="A336" s="2">
        <f>IF(Caja_Finanzas[[#This Row],[tipo_r]]="R",COUNTIFS($C$1:$C335,"R")+1,A335)</f>
        <v>326</v>
      </c>
      <c r="B336" s="19" t="str">
        <f t="shared" si="29"/>
        <v>C-Finanzas</v>
      </c>
      <c r="C336" s="3" t="s">
        <v>1330</v>
      </c>
      <c r="D336" s="14">
        <v>45749</v>
      </c>
      <c r="E336" s="5" t="s">
        <v>6575</v>
      </c>
      <c r="F336" s="5" t="s">
        <v>1303</v>
      </c>
      <c r="G336" s="5"/>
      <c r="H336" s="6" t="s">
        <v>425</v>
      </c>
      <c r="I336" s="6" t="s">
        <v>119</v>
      </c>
      <c r="J336" s="6">
        <v>3</v>
      </c>
      <c r="K336" s="6">
        <v>562</v>
      </c>
      <c r="L336" s="7" t="s">
        <v>6118</v>
      </c>
      <c r="M336" s="8" t="str">
        <f>"CFI"&amp;".D"&amp;TEXT(Caja_Finanzas[[#This Row],[fecha]],"DD-MM")&amp;"-"&amp;TEXT(Caja_Finanzas[[#This Row],[item]],"0000")</f>
        <v>CFI.D02-04-0326</v>
      </c>
      <c r="N336" s="8" t="str">
        <f t="shared" si="30"/>
        <v>PEN</v>
      </c>
      <c r="O336" s="13"/>
      <c r="P336" s="13">
        <v>11.6</v>
      </c>
      <c r="Q336" s="3">
        <f t="shared" si="26"/>
        <v>11.6</v>
      </c>
      <c r="R336" s="3">
        <f t="shared" si="27"/>
        <v>0</v>
      </c>
      <c r="S336" s="3">
        <f t="shared" si="28"/>
        <v>7341.8999999999915</v>
      </c>
      <c r="T336" s="24"/>
      <c r="U336" s="24"/>
      <c r="V336" s="3"/>
      <c r="W336" s="25"/>
      <c r="X336" s="25" t="s">
        <v>6919</v>
      </c>
      <c r="Y336" s="25"/>
      <c r="Z336" s="25"/>
      <c r="AA336" s="25"/>
      <c r="AB336" s="3" t="str">
        <f>IF(Caja_Finanzas[[#This Row],[fecha]]&gt;0,TEXT(Caja_Finanzas[[#This Row],[fecha]],"mmmm"),0)</f>
        <v>Abril</v>
      </c>
    </row>
    <row r="337" spans="1:28" x14ac:dyDescent="0.3">
      <c r="A337" s="2">
        <f>IF(Caja_Finanzas[[#This Row],[tipo_r]]="R",COUNTIFS($C$1:$C336,"R")+1,A336)</f>
        <v>327</v>
      </c>
      <c r="B337" s="19" t="str">
        <f t="shared" si="29"/>
        <v>C-Finanzas</v>
      </c>
      <c r="C337" s="3" t="s">
        <v>1330</v>
      </c>
      <c r="D337" s="14">
        <v>45749</v>
      </c>
      <c r="E337" s="5" t="s">
        <v>6920</v>
      </c>
      <c r="F337" s="5" t="s">
        <v>1303</v>
      </c>
      <c r="G337" s="5"/>
      <c r="H337" s="6" t="s">
        <v>425</v>
      </c>
      <c r="I337" s="6" t="s">
        <v>119</v>
      </c>
      <c r="J337" s="6">
        <v>3</v>
      </c>
      <c r="K337" s="6">
        <v>563</v>
      </c>
      <c r="L337" s="7" t="s">
        <v>6118</v>
      </c>
      <c r="M337" s="8" t="str">
        <f>"CFI"&amp;".D"&amp;TEXT(Caja_Finanzas[[#This Row],[fecha]],"DD-MM")&amp;"-"&amp;TEXT(Caja_Finanzas[[#This Row],[item]],"0000")</f>
        <v>CFI.D02-04-0327</v>
      </c>
      <c r="N337" s="8" t="str">
        <f t="shared" si="30"/>
        <v>PEN</v>
      </c>
      <c r="O337" s="13"/>
      <c r="P337" s="13">
        <v>1.7</v>
      </c>
      <c r="Q337" s="3">
        <f t="shared" si="26"/>
        <v>1.7</v>
      </c>
      <c r="R337" s="3">
        <f t="shared" si="27"/>
        <v>0</v>
      </c>
      <c r="S337" s="3">
        <f t="shared" si="28"/>
        <v>7343.5999999999913</v>
      </c>
      <c r="T337" s="24"/>
      <c r="U337" s="24"/>
      <c r="V337" s="3"/>
      <c r="W337" s="25"/>
      <c r="X337" s="25" t="s">
        <v>6921</v>
      </c>
      <c r="Y337" s="25"/>
      <c r="Z337" s="25"/>
      <c r="AA337" s="25"/>
      <c r="AB337" s="3" t="str">
        <f>IF(Caja_Finanzas[[#This Row],[fecha]]&gt;0,TEXT(Caja_Finanzas[[#This Row],[fecha]],"mmmm"),0)</f>
        <v>Abril</v>
      </c>
    </row>
    <row r="338" spans="1:28" ht="24" x14ac:dyDescent="0.3">
      <c r="A338" s="2">
        <f>IF(Caja_Finanzas[[#This Row],[tipo_r]]="R",COUNTIFS($C$1:$C337,"R")+1,A337)</f>
        <v>328</v>
      </c>
      <c r="B338" s="19" t="str">
        <f t="shared" si="29"/>
        <v>C-Finanzas</v>
      </c>
      <c r="C338" s="3" t="s">
        <v>1330</v>
      </c>
      <c r="D338" s="14">
        <v>45749</v>
      </c>
      <c r="E338" s="5" t="s">
        <v>3680</v>
      </c>
      <c r="F338" s="5" t="s">
        <v>1303</v>
      </c>
      <c r="G338" s="5"/>
      <c r="H338" s="6" t="s">
        <v>425</v>
      </c>
      <c r="I338" s="6" t="s">
        <v>119</v>
      </c>
      <c r="J338" s="6">
        <v>3</v>
      </c>
      <c r="K338" s="6">
        <v>564</v>
      </c>
      <c r="L338" s="7" t="s">
        <v>6118</v>
      </c>
      <c r="M338" s="8" t="str">
        <f>"CFI"&amp;".D"&amp;TEXT(Caja_Finanzas[[#This Row],[fecha]],"DD-MM")&amp;"-"&amp;TEXT(Caja_Finanzas[[#This Row],[item]],"0000")</f>
        <v>CFI.D02-04-0328</v>
      </c>
      <c r="N338" s="8" t="str">
        <f t="shared" si="30"/>
        <v>PEN</v>
      </c>
      <c r="O338" s="13"/>
      <c r="P338" s="13">
        <v>8</v>
      </c>
      <c r="Q338" s="3">
        <f t="shared" si="26"/>
        <v>8</v>
      </c>
      <c r="R338" s="3">
        <f t="shared" si="27"/>
        <v>0</v>
      </c>
      <c r="S338" s="3">
        <f t="shared" si="28"/>
        <v>7351.5999999999913</v>
      </c>
      <c r="T338" s="24"/>
      <c r="U338" s="24"/>
      <c r="V338" s="3"/>
      <c r="W338" s="25"/>
      <c r="X338" s="25" t="s">
        <v>6922</v>
      </c>
      <c r="Y338" s="25"/>
      <c r="Z338" s="25"/>
      <c r="AA338" s="25"/>
      <c r="AB338" s="3" t="str">
        <f>IF(Caja_Finanzas[[#This Row],[fecha]]&gt;0,TEXT(Caja_Finanzas[[#This Row],[fecha]],"mmmm"),0)</f>
        <v>Abril</v>
      </c>
    </row>
    <row r="339" spans="1:28" ht="24" x14ac:dyDescent="0.3">
      <c r="A339" s="2">
        <f>IF(Caja_Finanzas[[#This Row],[tipo_r]]="R",COUNTIFS($C$1:$C338,"R")+1,A338)</f>
        <v>329</v>
      </c>
      <c r="B339" s="19" t="str">
        <f t="shared" si="29"/>
        <v>C-Finanzas</v>
      </c>
      <c r="C339" s="3" t="s">
        <v>1330</v>
      </c>
      <c r="D339" s="14">
        <v>45749</v>
      </c>
      <c r="E339" s="5" t="s">
        <v>3680</v>
      </c>
      <c r="F339" s="5" t="s">
        <v>1303</v>
      </c>
      <c r="G339" s="5"/>
      <c r="H339" s="6" t="s">
        <v>425</v>
      </c>
      <c r="I339" s="6" t="s">
        <v>119</v>
      </c>
      <c r="J339" s="6">
        <v>3</v>
      </c>
      <c r="K339" s="6">
        <v>565</v>
      </c>
      <c r="L339" s="7" t="s">
        <v>6118</v>
      </c>
      <c r="M339" s="8" t="str">
        <f>"CFI"&amp;".D"&amp;TEXT(Caja_Finanzas[[#This Row],[fecha]],"DD-MM")&amp;"-"&amp;TEXT(Caja_Finanzas[[#This Row],[item]],"0000")</f>
        <v>CFI.D02-04-0329</v>
      </c>
      <c r="N339" s="8" t="str">
        <f t="shared" si="30"/>
        <v>PEN</v>
      </c>
      <c r="O339" s="13"/>
      <c r="P339" s="13">
        <v>51.8</v>
      </c>
      <c r="Q339" s="3">
        <f t="shared" si="26"/>
        <v>51.8</v>
      </c>
      <c r="R339" s="3">
        <f t="shared" si="27"/>
        <v>0</v>
      </c>
      <c r="S339" s="3">
        <f t="shared" si="28"/>
        <v>7403.3999999999915</v>
      </c>
      <c r="T339" s="24"/>
      <c r="U339" s="24"/>
      <c r="V339" s="3"/>
      <c r="W339" s="25"/>
      <c r="X339" s="25" t="s">
        <v>6923</v>
      </c>
      <c r="Y339" s="25"/>
      <c r="Z339" s="25"/>
      <c r="AA339" s="25"/>
      <c r="AB339" s="3" t="str">
        <f>IF(Caja_Finanzas[[#This Row],[fecha]]&gt;0,TEXT(Caja_Finanzas[[#This Row],[fecha]],"mmmm"),0)</f>
        <v>Abril</v>
      </c>
    </row>
    <row r="340" spans="1:28" ht="24" x14ac:dyDescent="0.3">
      <c r="A340" s="2">
        <f>IF(Caja_Finanzas[[#This Row],[tipo_r]]="R",COUNTIFS($C$1:$C339,"R")+1,A339)</f>
        <v>330</v>
      </c>
      <c r="B340" s="19" t="str">
        <f t="shared" si="29"/>
        <v>C-Finanzas</v>
      </c>
      <c r="C340" s="3" t="s">
        <v>1330</v>
      </c>
      <c r="D340" s="14">
        <v>45749</v>
      </c>
      <c r="E340" s="5" t="s">
        <v>3680</v>
      </c>
      <c r="F340" s="5" t="s">
        <v>1303</v>
      </c>
      <c r="G340" s="5"/>
      <c r="H340" s="6" t="s">
        <v>425</v>
      </c>
      <c r="I340" s="6" t="s">
        <v>119</v>
      </c>
      <c r="J340" s="6">
        <v>3</v>
      </c>
      <c r="K340" s="6">
        <v>566</v>
      </c>
      <c r="L340" s="7" t="s">
        <v>6118</v>
      </c>
      <c r="M340" s="8" t="str">
        <f>"CFI"&amp;".D"&amp;TEXT(Caja_Finanzas[[#This Row],[fecha]],"DD-MM")&amp;"-"&amp;TEXT(Caja_Finanzas[[#This Row],[item]],"0000")</f>
        <v>CFI.D02-04-0330</v>
      </c>
      <c r="N340" s="8" t="str">
        <f t="shared" si="30"/>
        <v>PEN</v>
      </c>
      <c r="O340" s="13"/>
      <c r="P340" s="13">
        <v>6.5</v>
      </c>
      <c r="Q340" s="3">
        <f t="shared" si="26"/>
        <v>6.5</v>
      </c>
      <c r="R340" s="3">
        <f t="shared" si="27"/>
        <v>0</v>
      </c>
      <c r="S340" s="3">
        <f t="shared" si="28"/>
        <v>7409.8999999999915</v>
      </c>
      <c r="T340" s="24"/>
      <c r="U340" s="24"/>
      <c r="V340" s="3"/>
      <c r="W340" s="25"/>
      <c r="X340" s="25" t="s">
        <v>6924</v>
      </c>
      <c r="Y340" s="25"/>
      <c r="Z340" s="25"/>
      <c r="AA340" s="25"/>
      <c r="AB340" s="3" t="str">
        <f>IF(Caja_Finanzas[[#This Row],[fecha]]&gt;0,TEXT(Caja_Finanzas[[#This Row],[fecha]],"mmmm"),0)</f>
        <v>Abril</v>
      </c>
    </row>
    <row r="341" spans="1:28" ht="24" x14ac:dyDescent="0.3">
      <c r="A341" s="2">
        <f>IF(Caja_Finanzas[[#This Row],[tipo_r]]="R",COUNTIFS($C$1:$C340,"R")+1,A340)</f>
        <v>331</v>
      </c>
      <c r="B341" s="19" t="str">
        <f t="shared" si="29"/>
        <v>C-Finanzas</v>
      </c>
      <c r="C341" s="3" t="s">
        <v>1330</v>
      </c>
      <c r="D341" s="14">
        <v>45749</v>
      </c>
      <c r="E341" s="5" t="s">
        <v>6925</v>
      </c>
      <c r="F341" s="5" t="s">
        <v>1303</v>
      </c>
      <c r="G341" s="5"/>
      <c r="H341" s="6" t="s">
        <v>425</v>
      </c>
      <c r="I341" s="6" t="s">
        <v>119</v>
      </c>
      <c r="J341" s="6">
        <v>3</v>
      </c>
      <c r="K341" s="6">
        <v>567</v>
      </c>
      <c r="L341" s="7" t="s">
        <v>6118</v>
      </c>
      <c r="M341" s="8" t="str">
        <f>"CFI"&amp;".D"&amp;TEXT(Caja_Finanzas[[#This Row],[fecha]],"DD-MM")&amp;"-"&amp;TEXT(Caja_Finanzas[[#This Row],[item]],"0000")</f>
        <v>CFI.D02-04-0331</v>
      </c>
      <c r="N341" s="8" t="str">
        <f t="shared" si="30"/>
        <v>PEN</v>
      </c>
      <c r="O341" s="13"/>
      <c r="P341" s="13">
        <v>1436</v>
      </c>
      <c r="Q341" s="3">
        <f t="shared" si="26"/>
        <v>1436</v>
      </c>
      <c r="R341" s="3">
        <f t="shared" si="27"/>
        <v>0</v>
      </c>
      <c r="S341" s="3">
        <f t="shared" si="28"/>
        <v>8845.8999999999905</v>
      </c>
      <c r="T341" s="24"/>
      <c r="U341" s="24"/>
      <c r="V341" s="3"/>
      <c r="W341" s="25"/>
      <c r="X341" s="25" t="s">
        <v>6926</v>
      </c>
      <c r="Y341" s="25"/>
      <c r="Z341" s="25"/>
      <c r="AA341" s="25"/>
      <c r="AB341" s="3" t="str">
        <f>IF(Caja_Finanzas[[#This Row],[fecha]]&gt;0,TEXT(Caja_Finanzas[[#This Row],[fecha]],"mmmm"),0)</f>
        <v>Abril</v>
      </c>
    </row>
    <row r="342" spans="1:28" ht="24" x14ac:dyDescent="0.3">
      <c r="A342" s="2">
        <f>IF(Caja_Finanzas[[#This Row],[tipo_r]]="R",COUNTIFS($C$1:$C341,"R")+1,A341)</f>
        <v>332</v>
      </c>
      <c r="B342" s="19" t="str">
        <f t="shared" si="29"/>
        <v>C-Finanzas</v>
      </c>
      <c r="C342" s="3" t="s">
        <v>1330</v>
      </c>
      <c r="D342" s="14">
        <v>45749</v>
      </c>
      <c r="E342" s="5" t="s">
        <v>6925</v>
      </c>
      <c r="F342" s="5" t="s">
        <v>1303</v>
      </c>
      <c r="G342" s="5"/>
      <c r="H342" s="6" t="s">
        <v>425</v>
      </c>
      <c r="I342" s="6" t="s">
        <v>119</v>
      </c>
      <c r="J342" s="6">
        <v>3</v>
      </c>
      <c r="K342" s="6">
        <v>568</v>
      </c>
      <c r="L342" s="7" t="s">
        <v>6118</v>
      </c>
      <c r="M342" s="8" t="str">
        <f>"CFI"&amp;".D"&amp;TEXT(Caja_Finanzas[[#This Row],[fecha]],"DD-MM")&amp;"-"&amp;TEXT(Caja_Finanzas[[#This Row],[item]],"0000")</f>
        <v>CFI.D02-04-0332</v>
      </c>
      <c r="N342" s="8" t="str">
        <f t="shared" si="30"/>
        <v>PEN</v>
      </c>
      <c r="O342" s="13"/>
      <c r="P342" s="13">
        <v>1011</v>
      </c>
      <c r="Q342" s="3">
        <f t="shared" si="26"/>
        <v>1011</v>
      </c>
      <c r="R342" s="3">
        <f t="shared" si="27"/>
        <v>0</v>
      </c>
      <c r="S342" s="3">
        <f t="shared" si="28"/>
        <v>9856.8999999999905</v>
      </c>
      <c r="T342" s="24"/>
      <c r="U342" s="24"/>
      <c r="V342" s="3"/>
      <c r="W342" s="25"/>
      <c r="X342" s="25" t="s">
        <v>6927</v>
      </c>
      <c r="Y342" s="25"/>
      <c r="Z342" s="25"/>
      <c r="AA342" s="25"/>
      <c r="AB342" s="3" t="str">
        <f>IF(Caja_Finanzas[[#This Row],[fecha]]&gt;0,TEXT(Caja_Finanzas[[#This Row],[fecha]],"mmmm"),0)</f>
        <v>Abril</v>
      </c>
    </row>
    <row r="343" spans="1:28" ht="24" x14ac:dyDescent="0.3">
      <c r="A343" s="2">
        <f>IF(Caja_Finanzas[[#This Row],[tipo_r]]="R",COUNTIFS($C$1:$C342,"R")+1,A342)</f>
        <v>333</v>
      </c>
      <c r="B343" s="19" t="str">
        <f t="shared" si="29"/>
        <v>C-Finanzas</v>
      </c>
      <c r="C343" s="3" t="s">
        <v>1330</v>
      </c>
      <c r="D343" s="14">
        <v>45749</v>
      </c>
      <c r="E343" s="5" t="s">
        <v>6460</v>
      </c>
      <c r="F343" s="5" t="s">
        <v>1336</v>
      </c>
      <c r="G343" s="5"/>
      <c r="H343" s="6"/>
      <c r="I343" s="6"/>
      <c r="J343" s="6"/>
      <c r="K343" s="6"/>
      <c r="L343" s="7" t="s">
        <v>6928</v>
      </c>
      <c r="M343" s="8" t="str">
        <f>"CFI"&amp;".D"&amp;TEXT(Caja_Finanzas[[#This Row],[fecha]],"DD-MM")&amp;"-"&amp;TEXT(Caja_Finanzas[[#This Row],[item]],"0000")</f>
        <v>CFI.D02-04-0333</v>
      </c>
      <c r="N343" s="8" t="str">
        <f t="shared" si="30"/>
        <v>PEN</v>
      </c>
      <c r="O343" s="13"/>
      <c r="P343" s="13">
        <v>200</v>
      </c>
      <c r="Q343" s="3">
        <f t="shared" si="26"/>
        <v>0</v>
      </c>
      <c r="R343" s="3">
        <f t="shared" si="27"/>
        <v>200</v>
      </c>
      <c r="S343" s="3">
        <f t="shared" si="28"/>
        <v>9656.8999999999905</v>
      </c>
      <c r="T343" s="24"/>
      <c r="U343" s="24"/>
      <c r="V343" s="3"/>
      <c r="W343" s="25"/>
      <c r="X343" s="25"/>
      <c r="Y343" s="25"/>
      <c r="Z343" s="25"/>
      <c r="AA343" s="25"/>
      <c r="AB343" s="3" t="str">
        <f>IF(Caja_Finanzas[[#This Row],[fecha]]&gt;0,TEXT(Caja_Finanzas[[#This Row],[fecha]],"mmmm"),0)</f>
        <v>Abril</v>
      </c>
    </row>
    <row r="344" spans="1:28" ht="24" x14ac:dyDescent="0.3">
      <c r="A344" s="2">
        <f>IF(Caja_Finanzas[[#This Row],[tipo_r]]="R",COUNTIFS($C$1:$C343,"R")+1,A343)</f>
        <v>334</v>
      </c>
      <c r="B344" s="19" t="str">
        <f t="shared" si="29"/>
        <v>C-Finanzas</v>
      </c>
      <c r="C344" s="3" t="s">
        <v>1330</v>
      </c>
      <c r="D344" s="14">
        <v>45749</v>
      </c>
      <c r="E344" s="5" t="s">
        <v>6460</v>
      </c>
      <c r="F344" s="5" t="s">
        <v>1336</v>
      </c>
      <c r="G344" s="5"/>
      <c r="H344" s="6"/>
      <c r="I344" s="6"/>
      <c r="J344" s="6"/>
      <c r="K344" s="6"/>
      <c r="L344" s="7" t="s">
        <v>6929</v>
      </c>
      <c r="M344" s="8" t="str">
        <f>"CFI"&amp;".D"&amp;TEXT(Caja_Finanzas[[#This Row],[fecha]],"DD-MM")&amp;"-"&amp;TEXT(Caja_Finanzas[[#This Row],[item]],"0000")</f>
        <v>CFI.D02-04-0334</v>
      </c>
      <c r="N344" s="8" t="str">
        <f t="shared" si="30"/>
        <v>PEN</v>
      </c>
      <c r="O344" s="13"/>
      <c r="P344" s="13">
        <v>40</v>
      </c>
      <c r="Q344" s="3">
        <f t="shared" si="26"/>
        <v>0</v>
      </c>
      <c r="R344" s="3">
        <f t="shared" si="27"/>
        <v>40</v>
      </c>
      <c r="S344" s="3">
        <f t="shared" si="28"/>
        <v>9616.8999999999905</v>
      </c>
      <c r="T344" s="24"/>
      <c r="U344" s="24"/>
      <c r="V344" s="3"/>
      <c r="W344" s="25"/>
      <c r="X344" s="25"/>
      <c r="Y344" s="25"/>
      <c r="Z344" s="25"/>
      <c r="AA344" s="25"/>
      <c r="AB344" s="3" t="str">
        <f>IF(Caja_Finanzas[[#This Row],[fecha]]&gt;0,TEXT(Caja_Finanzas[[#This Row],[fecha]],"mmmm"),0)</f>
        <v>Abril</v>
      </c>
    </row>
    <row r="345" spans="1:28" ht="60" x14ac:dyDescent="0.3">
      <c r="A345" s="2">
        <f>IF(Caja_Finanzas[[#This Row],[tipo_r]]="R",COUNTIFS($C$1:$C344,"R")+1,A344)</f>
        <v>335</v>
      </c>
      <c r="B345" s="19" t="str">
        <f t="shared" si="29"/>
        <v>C-Finanzas</v>
      </c>
      <c r="C345" s="3" t="s">
        <v>1330</v>
      </c>
      <c r="D345" s="14">
        <v>45750</v>
      </c>
      <c r="E345" s="5" t="s">
        <v>6420</v>
      </c>
      <c r="F345" s="5" t="s">
        <v>1336</v>
      </c>
      <c r="G345" s="5"/>
      <c r="H345" s="6"/>
      <c r="I345" s="6"/>
      <c r="J345" s="6"/>
      <c r="K345" s="6"/>
      <c r="L345" s="7" t="s">
        <v>6930</v>
      </c>
      <c r="M345" s="8" t="str">
        <f>"CFI"&amp;".D"&amp;TEXT(Caja_Finanzas[[#This Row],[fecha]],"DD-MM")&amp;"-"&amp;TEXT(Caja_Finanzas[[#This Row],[item]],"0000")</f>
        <v>CFI.D03-04-0335</v>
      </c>
      <c r="N345" s="8" t="str">
        <f t="shared" si="30"/>
        <v>PEN</v>
      </c>
      <c r="O345" s="13"/>
      <c r="P345" s="13">
        <v>600</v>
      </c>
      <c r="Q345" s="3">
        <f t="shared" si="26"/>
        <v>0</v>
      </c>
      <c r="R345" s="3">
        <f t="shared" si="27"/>
        <v>600</v>
      </c>
      <c r="S345" s="3">
        <f t="shared" si="28"/>
        <v>9016.8999999999905</v>
      </c>
      <c r="T345" s="24"/>
      <c r="U345" s="24"/>
      <c r="V345" s="3"/>
      <c r="W345" s="25" t="s">
        <v>6538</v>
      </c>
      <c r="X345" s="25" t="s">
        <v>6931</v>
      </c>
      <c r="Y345" s="25"/>
      <c r="Z345" s="25"/>
      <c r="AA345" s="25"/>
      <c r="AB345" s="3" t="str">
        <f>IF(Caja_Finanzas[[#This Row],[fecha]]&gt;0,TEXT(Caja_Finanzas[[#This Row],[fecha]],"mmmm"),0)</f>
        <v>Abril</v>
      </c>
    </row>
    <row r="346" spans="1:28" ht="36" x14ac:dyDescent="0.3">
      <c r="A346" s="2">
        <f>IF(Caja_Finanzas[[#This Row],[tipo_r]]="R",COUNTIFS($C$1:$C345,"R")+1,A345)</f>
        <v>336</v>
      </c>
      <c r="B346" s="19" t="str">
        <f t="shared" si="29"/>
        <v>C-Finanzas</v>
      </c>
      <c r="C346" s="3" t="s">
        <v>1330</v>
      </c>
      <c r="D346" s="14">
        <v>45751</v>
      </c>
      <c r="E346" s="5" t="s">
        <v>6415</v>
      </c>
      <c r="F346" s="5" t="s">
        <v>1336</v>
      </c>
      <c r="G346" s="5"/>
      <c r="H346" s="6"/>
      <c r="I346" s="6"/>
      <c r="J346" s="6"/>
      <c r="K346" s="6"/>
      <c r="L346" s="7" t="s">
        <v>6932</v>
      </c>
      <c r="M346" s="8" t="str">
        <f>"CFI"&amp;".D"&amp;TEXT(Caja_Finanzas[[#This Row],[fecha]],"DD-MM")&amp;"-"&amp;TEXT(Caja_Finanzas[[#This Row],[item]],"0000")</f>
        <v>CFI.D04-04-0336</v>
      </c>
      <c r="N346" s="8" t="str">
        <f t="shared" si="30"/>
        <v>PEN</v>
      </c>
      <c r="O346" s="13"/>
      <c r="P346" s="13">
        <v>60</v>
      </c>
      <c r="Q346" s="3">
        <f t="shared" si="26"/>
        <v>0</v>
      </c>
      <c r="R346" s="3">
        <f t="shared" si="27"/>
        <v>60</v>
      </c>
      <c r="S346" s="3">
        <f t="shared" si="28"/>
        <v>8956.8999999999905</v>
      </c>
      <c r="T346" s="24"/>
      <c r="U346" s="24"/>
      <c r="V346" s="3"/>
      <c r="W346" s="25" t="s">
        <v>6709</v>
      </c>
      <c r="X346" s="25" t="s">
        <v>6933</v>
      </c>
      <c r="Y346" s="25"/>
      <c r="Z346" s="25"/>
      <c r="AA346" s="25"/>
      <c r="AB346" s="3" t="str">
        <f>IF(Caja_Finanzas[[#This Row],[fecha]]&gt;0,TEXT(Caja_Finanzas[[#This Row],[fecha]],"mmmm"),0)</f>
        <v>Abril</v>
      </c>
    </row>
    <row r="347" spans="1:28" x14ac:dyDescent="0.3">
      <c r="A347" s="2">
        <f>IF(Caja_Finanzas[[#This Row],[tipo_r]]="R",COUNTIFS($C$1:$C346,"R")+1,A346)</f>
        <v>337</v>
      </c>
      <c r="B347" s="19" t="str">
        <f t="shared" si="29"/>
        <v>C-Finanzas</v>
      </c>
      <c r="C347" s="3" t="s">
        <v>1330</v>
      </c>
      <c r="D347" s="14">
        <v>45751</v>
      </c>
      <c r="E347" s="5" t="s">
        <v>1739</v>
      </c>
      <c r="F347" s="5" t="s">
        <v>1303</v>
      </c>
      <c r="G347" s="5"/>
      <c r="H347" s="6" t="s">
        <v>425</v>
      </c>
      <c r="I347" s="6" t="s">
        <v>119</v>
      </c>
      <c r="J347" s="6">
        <v>1</v>
      </c>
      <c r="K347" s="6">
        <v>4106</v>
      </c>
      <c r="L347" s="7" t="s">
        <v>6118</v>
      </c>
      <c r="M347" s="8" t="str">
        <f>"CFI"&amp;".D"&amp;TEXT(Caja_Finanzas[[#This Row],[fecha]],"DD-MM")&amp;"-"&amp;TEXT(Caja_Finanzas[[#This Row],[item]],"0000")</f>
        <v>CFI.D04-04-0337</v>
      </c>
      <c r="N347" s="8" t="str">
        <f t="shared" si="30"/>
        <v>PEN</v>
      </c>
      <c r="O347" s="13"/>
      <c r="P347" s="13">
        <v>150</v>
      </c>
      <c r="Q347" s="3">
        <f t="shared" si="26"/>
        <v>150</v>
      </c>
      <c r="R347" s="3">
        <f t="shared" si="27"/>
        <v>0</v>
      </c>
      <c r="S347" s="3">
        <f t="shared" si="28"/>
        <v>9106.8999999999905</v>
      </c>
      <c r="T347" s="24"/>
      <c r="U347" s="24"/>
      <c r="V347" s="3"/>
      <c r="W347" s="25"/>
      <c r="X347" s="25" t="s">
        <v>6540</v>
      </c>
      <c r="Y347" s="25"/>
      <c r="Z347" s="25"/>
      <c r="AA347" s="25"/>
      <c r="AB347" s="3" t="str">
        <f>IF(Caja_Finanzas[[#This Row],[fecha]]&gt;0,TEXT(Caja_Finanzas[[#This Row],[fecha]],"mmmm"),0)</f>
        <v>Abril</v>
      </c>
    </row>
    <row r="348" spans="1:28" x14ac:dyDescent="0.3">
      <c r="A348" s="2">
        <f>IF(Caja_Finanzas[[#This Row],[tipo_r]]="R",COUNTIFS($C$1:$C347,"R")+1,A347)</f>
        <v>338</v>
      </c>
      <c r="B348" s="19" t="str">
        <f t="shared" si="29"/>
        <v>C-Finanzas</v>
      </c>
      <c r="C348" s="3" t="s">
        <v>1330</v>
      </c>
      <c r="D348" s="14">
        <v>45754</v>
      </c>
      <c r="E348" s="5" t="s">
        <v>439</v>
      </c>
      <c r="F348" s="5" t="s">
        <v>1303</v>
      </c>
      <c r="G348" s="5"/>
      <c r="H348" s="6" t="s">
        <v>425</v>
      </c>
      <c r="I348" s="6" t="s">
        <v>119</v>
      </c>
      <c r="J348" s="6">
        <v>1</v>
      </c>
      <c r="K348" s="6">
        <v>4290</v>
      </c>
      <c r="L348" s="7" t="s">
        <v>6118</v>
      </c>
      <c r="M348" s="8" t="str">
        <f>"CFI"&amp;".D"&amp;TEXT(Caja_Finanzas[[#This Row],[fecha]],"DD-MM")&amp;"-"&amp;TEXT(Caja_Finanzas[[#This Row],[item]],"0000")</f>
        <v>CFI.D07-04-0338</v>
      </c>
      <c r="N348" s="8" t="str">
        <f t="shared" si="30"/>
        <v>PEN</v>
      </c>
      <c r="O348" s="13"/>
      <c r="P348" s="13">
        <v>1080.3</v>
      </c>
      <c r="Q348" s="3">
        <f t="shared" si="26"/>
        <v>1080.3</v>
      </c>
      <c r="R348" s="3">
        <f t="shared" si="27"/>
        <v>0</v>
      </c>
      <c r="S348" s="3">
        <f t="shared" si="28"/>
        <v>10187.19999999999</v>
      </c>
      <c r="T348" s="24"/>
      <c r="U348" s="24"/>
      <c r="V348" s="3"/>
      <c r="W348" s="25"/>
      <c r="X348" s="25" t="s">
        <v>6934</v>
      </c>
      <c r="Y348" s="25"/>
      <c r="Z348" s="25"/>
      <c r="AA348" s="25"/>
      <c r="AB348" s="3" t="str">
        <f>IF(Caja_Finanzas[[#This Row],[fecha]]&gt;0,TEXT(Caja_Finanzas[[#This Row],[fecha]],"mmmm"),0)</f>
        <v>Abril</v>
      </c>
    </row>
    <row r="349" spans="1:28" ht="24" x14ac:dyDescent="0.3">
      <c r="A349" s="2">
        <f>IF(Caja_Finanzas[[#This Row],[tipo_r]]="R",COUNTIFS($C$1:$C348,"R")+1,A348)</f>
        <v>339</v>
      </c>
      <c r="B349" s="19" t="str">
        <f t="shared" si="29"/>
        <v>C-Finanzas</v>
      </c>
      <c r="C349" s="3" t="s">
        <v>1330</v>
      </c>
      <c r="D349" s="14">
        <v>45754</v>
      </c>
      <c r="E349" s="5" t="s">
        <v>6550</v>
      </c>
      <c r="F349" s="5" t="s">
        <v>1336</v>
      </c>
      <c r="G349" s="5"/>
      <c r="H349" s="6"/>
      <c r="I349" s="6"/>
      <c r="J349" s="6"/>
      <c r="K349" s="6"/>
      <c r="L349" s="7" t="s">
        <v>6935</v>
      </c>
      <c r="M349" s="8" t="str">
        <f>"CFI"&amp;".D"&amp;TEXT(Caja_Finanzas[[#This Row],[fecha]],"DD-MM")&amp;"-"&amp;TEXT(Caja_Finanzas[[#This Row],[item]],"0000")</f>
        <v>CFI.D07-04-0339</v>
      </c>
      <c r="N349" s="8" t="str">
        <f t="shared" si="30"/>
        <v>PEN</v>
      </c>
      <c r="O349" s="13"/>
      <c r="P349" s="13">
        <v>72.8</v>
      </c>
      <c r="Q349" s="3">
        <f t="shared" si="26"/>
        <v>0</v>
      </c>
      <c r="R349" s="3">
        <f t="shared" si="27"/>
        <v>72.8</v>
      </c>
      <c r="S349" s="3">
        <f t="shared" si="28"/>
        <v>10114.399999999991</v>
      </c>
      <c r="T349" s="24"/>
      <c r="U349" s="24"/>
      <c r="V349" s="3"/>
      <c r="W349" s="25"/>
      <c r="X349" s="25" t="s">
        <v>6936</v>
      </c>
      <c r="Y349" s="25"/>
      <c r="Z349" s="25"/>
      <c r="AA349" s="25"/>
      <c r="AB349" s="3" t="str">
        <f>IF(Caja_Finanzas[[#This Row],[fecha]]&gt;0,TEXT(Caja_Finanzas[[#This Row],[fecha]],"mmmm"),0)</f>
        <v>Abril</v>
      </c>
    </row>
    <row r="350" spans="1:28" ht="24" x14ac:dyDescent="0.3">
      <c r="A350" s="2">
        <f>IF(Caja_Finanzas[[#This Row],[tipo_r]]="R",COUNTIFS($C$1:$C349,"R")+1,A349)</f>
        <v>340</v>
      </c>
      <c r="B350" s="19" t="str">
        <f t="shared" si="29"/>
        <v>C-Finanzas</v>
      </c>
      <c r="C350" s="3" t="s">
        <v>1330</v>
      </c>
      <c r="D350" s="14">
        <v>45754</v>
      </c>
      <c r="E350" s="5" t="s">
        <v>6550</v>
      </c>
      <c r="F350" s="5" t="s">
        <v>1336</v>
      </c>
      <c r="G350" s="5"/>
      <c r="H350" s="6"/>
      <c r="I350" s="6"/>
      <c r="J350" s="6"/>
      <c r="K350" s="6"/>
      <c r="L350" s="7" t="s">
        <v>6937</v>
      </c>
      <c r="M350" s="8" t="str">
        <f>"CFI"&amp;".D"&amp;TEXT(Caja_Finanzas[[#This Row],[fecha]],"DD-MM")&amp;"-"&amp;TEXT(Caja_Finanzas[[#This Row],[item]],"0000")</f>
        <v>CFI.D07-04-0340</v>
      </c>
      <c r="N350" s="8" t="str">
        <f t="shared" si="30"/>
        <v>PEN</v>
      </c>
      <c r="O350" s="13"/>
      <c r="P350" s="13">
        <v>1378</v>
      </c>
      <c r="Q350" s="3">
        <f t="shared" si="26"/>
        <v>0</v>
      </c>
      <c r="R350" s="3">
        <f t="shared" si="27"/>
        <v>1378</v>
      </c>
      <c r="S350" s="3">
        <f t="shared" si="28"/>
        <v>8736.3999999999905</v>
      </c>
      <c r="T350" s="24"/>
      <c r="U350" s="24"/>
      <c r="V350" s="3"/>
      <c r="W350" s="25"/>
      <c r="X350" s="25"/>
      <c r="Y350" s="25"/>
      <c r="Z350" s="25"/>
      <c r="AA350" s="25"/>
      <c r="AB350" s="3" t="str">
        <f>IF(Caja_Finanzas[[#This Row],[fecha]]&gt;0,TEXT(Caja_Finanzas[[#This Row],[fecha]],"mmmm"),0)</f>
        <v>Abril</v>
      </c>
    </row>
    <row r="351" spans="1:28" ht="24" x14ac:dyDescent="0.3">
      <c r="A351" s="2">
        <f>IF(Caja_Finanzas[[#This Row],[tipo_r]]="R",COUNTIFS($C$1:$C350,"R")+1,A350)</f>
        <v>341</v>
      </c>
      <c r="B351" s="19" t="str">
        <f t="shared" si="29"/>
        <v>C-Finanzas</v>
      </c>
      <c r="C351" s="3" t="s">
        <v>1330</v>
      </c>
      <c r="D351" s="14">
        <v>45755</v>
      </c>
      <c r="E351" s="5" t="s">
        <v>6550</v>
      </c>
      <c r="F351" s="5" t="s">
        <v>1336</v>
      </c>
      <c r="G351" s="5"/>
      <c r="H351" s="6"/>
      <c r="I351" s="6"/>
      <c r="J351" s="6"/>
      <c r="K351" s="6"/>
      <c r="L351" s="7" t="s">
        <v>6938</v>
      </c>
      <c r="M351" s="8" t="str">
        <f>"CFI"&amp;".D"&amp;TEXT(Caja_Finanzas[[#This Row],[fecha]],"DD-MM")&amp;"-"&amp;TEXT(Caja_Finanzas[[#This Row],[item]],"0000")</f>
        <v>CFI.D08-04-0341</v>
      </c>
      <c r="N351" s="8" t="str">
        <f t="shared" si="30"/>
        <v>PEN</v>
      </c>
      <c r="O351" s="13"/>
      <c r="P351" s="13">
        <v>400</v>
      </c>
      <c r="Q351" s="3">
        <f t="shared" si="26"/>
        <v>0</v>
      </c>
      <c r="R351" s="3">
        <f t="shared" si="27"/>
        <v>400</v>
      </c>
      <c r="S351" s="3">
        <f t="shared" si="28"/>
        <v>8336.3999999999905</v>
      </c>
      <c r="T351" s="24"/>
      <c r="U351" s="24"/>
      <c r="V351" s="3"/>
      <c r="W351" s="25"/>
      <c r="X351" s="25" t="s">
        <v>6939</v>
      </c>
      <c r="Y351" s="25"/>
      <c r="Z351" s="25"/>
      <c r="AA351" s="25"/>
      <c r="AB351" s="3" t="str">
        <f>IF(Caja_Finanzas[[#This Row],[fecha]]&gt;0,TEXT(Caja_Finanzas[[#This Row],[fecha]],"mmmm"),0)</f>
        <v>Abril</v>
      </c>
    </row>
    <row r="352" spans="1:28" ht="48" x14ac:dyDescent="0.3">
      <c r="A352" s="2">
        <f>IF(Caja_Finanzas[[#This Row],[tipo_r]]="R",COUNTIFS($C$1:$C351,"R")+1,A351)</f>
        <v>342</v>
      </c>
      <c r="B352" s="19" t="str">
        <f t="shared" si="29"/>
        <v>C-Finanzas</v>
      </c>
      <c r="C352" s="3" t="s">
        <v>1330</v>
      </c>
      <c r="D352" s="14">
        <v>45755</v>
      </c>
      <c r="E352" s="5" t="s">
        <v>6940</v>
      </c>
      <c r="F352" s="5" t="s">
        <v>1336</v>
      </c>
      <c r="G352" s="5"/>
      <c r="H352" s="6"/>
      <c r="I352" s="6"/>
      <c r="J352" s="6"/>
      <c r="K352" s="6"/>
      <c r="L352" s="7" t="s">
        <v>6941</v>
      </c>
      <c r="M352" s="8" t="str">
        <f>"CFI"&amp;".D"&amp;TEXT(Caja_Finanzas[[#This Row],[fecha]],"DD-MM")&amp;"-"&amp;TEXT(Caja_Finanzas[[#This Row],[item]],"0000")</f>
        <v>CFI.D08-04-0342</v>
      </c>
      <c r="N352" s="8" t="str">
        <f t="shared" si="30"/>
        <v>PEN</v>
      </c>
      <c r="O352" s="13"/>
      <c r="P352" s="13">
        <v>600</v>
      </c>
      <c r="Q352" s="3">
        <f t="shared" si="26"/>
        <v>0</v>
      </c>
      <c r="R352" s="3">
        <f t="shared" si="27"/>
        <v>600</v>
      </c>
      <c r="S352" s="3">
        <f t="shared" si="28"/>
        <v>7736.3999999999905</v>
      </c>
      <c r="T352" s="24"/>
      <c r="U352" s="24"/>
      <c r="V352" s="3"/>
      <c r="W352" s="25" t="s">
        <v>6942</v>
      </c>
      <c r="X352" s="25" t="s">
        <v>6943</v>
      </c>
      <c r="Y352" s="25"/>
      <c r="Z352" s="25"/>
      <c r="AA352" s="25"/>
      <c r="AB352" s="3" t="str">
        <f>IF(Caja_Finanzas[[#This Row],[fecha]]&gt;0,TEXT(Caja_Finanzas[[#This Row],[fecha]],"mmmm"),0)</f>
        <v>Abril</v>
      </c>
    </row>
    <row r="353" spans="1:28" ht="36" x14ac:dyDescent="0.3">
      <c r="A353" s="2">
        <f>IF(Caja_Finanzas[[#This Row],[tipo_r]]="R",COUNTIFS($C$1:$C352,"R")+1,A352)</f>
        <v>343</v>
      </c>
      <c r="B353" s="19" t="str">
        <f t="shared" si="29"/>
        <v>C-Finanzas</v>
      </c>
      <c r="C353" s="3" t="s">
        <v>1330</v>
      </c>
      <c r="D353" s="14">
        <v>45755</v>
      </c>
      <c r="E353" s="5" t="s">
        <v>6940</v>
      </c>
      <c r="F353" s="5" t="s">
        <v>1336</v>
      </c>
      <c r="G353" s="5"/>
      <c r="H353" s="6"/>
      <c r="I353" s="6"/>
      <c r="J353" s="6"/>
      <c r="K353" s="6"/>
      <c r="L353" s="7" t="s">
        <v>6944</v>
      </c>
      <c r="M353" s="8" t="str">
        <f>"CFI"&amp;".D"&amp;TEXT(Caja_Finanzas[[#This Row],[fecha]],"DD-MM")&amp;"-"&amp;TEXT(Caja_Finanzas[[#This Row],[item]],"0000")</f>
        <v>CFI.D08-04-0343</v>
      </c>
      <c r="N353" s="8" t="str">
        <f t="shared" si="30"/>
        <v>PEN</v>
      </c>
      <c r="O353" s="13"/>
      <c r="P353" s="13">
        <v>22.3</v>
      </c>
      <c r="Q353" s="3">
        <f t="shared" si="26"/>
        <v>0</v>
      </c>
      <c r="R353" s="3">
        <f t="shared" si="27"/>
        <v>22.3</v>
      </c>
      <c r="S353" s="3">
        <f t="shared" si="28"/>
        <v>7714.0999999999904</v>
      </c>
      <c r="T353" s="24"/>
      <c r="U353" s="24"/>
      <c r="V353" s="3"/>
      <c r="W353" s="25" t="s">
        <v>6945</v>
      </c>
      <c r="X353" s="25" t="s">
        <v>6946</v>
      </c>
      <c r="Y353" s="25"/>
      <c r="Z353" s="25"/>
      <c r="AA353" s="25"/>
      <c r="AB353" s="3" t="str">
        <f>IF(Caja_Finanzas[[#This Row],[fecha]]&gt;0,TEXT(Caja_Finanzas[[#This Row],[fecha]],"mmmm"),0)</f>
        <v>Abril</v>
      </c>
    </row>
    <row r="354" spans="1:28" ht="24" x14ac:dyDescent="0.3">
      <c r="A354" s="2">
        <f>IF(Caja_Finanzas[[#This Row],[tipo_r]]="R",COUNTIFS($C$1:$C353,"R")+1,A353)</f>
        <v>344</v>
      </c>
      <c r="B354" s="19" t="str">
        <f t="shared" si="29"/>
        <v>C-Finanzas</v>
      </c>
      <c r="C354" s="3" t="s">
        <v>1330</v>
      </c>
      <c r="D354" s="14">
        <v>45755</v>
      </c>
      <c r="E354" s="5" t="s">
        <v>2938</v>
      </c>
      <c r="F354" s="5" t="s">
        <v>1303</v>
      </c>
      <c r="G354" s="5"/>
      <c r="H354" s="6" t="s">
        <v>425</v>
      </c>
      <c r="I354" s="6" t="s">
        <v>119</v>
      </c>
      <c r="J354" s="6">
        <v>1</v>
      </c>
      <c r="K354" s="6">
        <v>4313</v>
      </c>
      <c r="L354" s="7" t="s">
        <v>6118</v>
      </c>
      <c r="M354" s="8" t="str">
        <f>"CFI"&amp;".D"&amp;TEXT(Caja_Finanzas[[#This Row],[fecha]],"DD-MM")&amp;"-"&amp;TEXT(Caja_Finanzas[[#This Row],[item]],"0000")</f>
        <v>CFI.D08-04-0344</v>
      </c>
      <c r="N354" s="8" t="str">
        <f t="shared" si="30"/>
        <v>PEN</v>
      </c>
      <c r="O354" s="13"/>
      <c r="P354" s="13">
        <v>1022</v>
      </c>
      <c r="Q354" s="3">
        <f t="shared" si="26"/>
        <v>1022</v>
      </c>
      <c r="R354" s="3">
        <f t="shared" si="27"/>
        <v>0</v>
      </c>
      <c r="S354" s="3">
        <f t="shared" si="28"/>
        <v>8736.0999999999913</v>
      </c>
      <c r="T354" s="24"/>
      <c r="U354" s="24"/>
      <c r="V354" s="3"/>
      <c r="W354" s="25"/>
      <c r="X354" s="25" t="s">
        <v>6947</v>
      </c>
      <c r="Y354" s="25"/>
      <c r="Z354" s="25"/>
      <c r="AA354" s="25"/>
      <c r="AB354" s="3" t="str">
        <f>IF(Caja_Finanzas[[#This Row],[fecha]]&gt;0,TEXT(Caja_Finanzas[[#This Row],[fecha]],"mmmm"),0)</f>
        <v>Abril</v>
      </c>
    </row>
    <row r="355" spans="1:28" ht="24" x14ac:dyDescent="0.3">
      <c r="A355" s="2">
        <f>IF(Caja_Finanzas[[#This Row],[tipo_r]]="R",COUNTIFS($C$1:$C354,"R")+1,A354)</f>
        <v>345</v>
      </c>
      <c r="B355" s="19" t="str">
        <f t="shared" si="29"/>
        <v>C-Finanzas</v>
      </c>
      <c r="C355" s="3" t="s">
        <v>1330</v>
      </c>
      <c r="D355" s="14">
        <v>45756</v>
      </c>
      <c r="E355" s="5" t="s">
        <v>6731</v>
      </c>
      <c r="F355" s="5" t="s">
        <v>1336</v>
      </c>
      <c r="G355" s="5"/>
      <c r="H355" s="6"/>
      <c r="I355" s="6"/>
      <c r="J355" s="6"/>
      <c r="K355" s="6"/>
      <c r="L355" s="7" t="s">
        <v>6948</v>
      </c>
      <c r="M355" s="8" t="str">
        <f>"CFI"&amp;".D"&amp;TEXT(Caja_Finanzas[[#This Row],[fecha]],"DD-MM")&amp;"-"&amp;TEXT(Caja_Finanzas[[#This Row],[item]],"0000")</f>
        <v>CFI.D09-04-0345</v>
      </c>
      <c r="N355" s="8" t="str">
        <f t="shared" si="30"/>
        <v>PEN</v>
      </c>
      <c r="O355" s="13"/>
      <c r="P355" s="13">
        <v>20</v>
      </c>
      <c r="Q355" s="3">
        <f t="shared" si="26"/>
        <v>0</v>
      </c>
      <c r="R355" s="3">
        <f t="shared" si="27"/>
        <v>20</v>
      </c>
      <c r="S355" s="3">
        <f t="shared" si="28"/>
        <v>8716.0999999999913</v>
      </c>
      <c r="T355" s="24"/>
      <c r="U355" s="24"/>
      <c r="V355" s="3"/>
      <c r="W355" s="25" t="s">
        <v>6709</v>
      </c>
      <c r="X355" s="25" t="s">
        <v>6949</v>
      </c>
      <c r="Y355" s="25"/>
      <c r="Z355" s="25"/>
      <c r="AA355" s="25"/>
      <c r="AB355" s="3" t="str">
        <f>IF(Caja_Finanzas[[#This Row],[fecha]]&gt;0,TEXT(Caja_Finanzas[[#This Row],[fecha]],"mmmm"),0)</f>
        <v>Abril</v>
      </c>
    </row>
    <row r="356" spans="1:28" ht="36" x14ac:dyDescent="0.3">
      <c r="A356" s="2">
        <f>IF(Caja_Finanzas[[#This Row],[tipo_r]]="R",COUNTIFS($C$1:$C355,"R")+1,A355)</f>
        <v>346</v>
      </c>
      <c r="B356" s="19" t="str">
        <f t="shared" si="29"/>
        <v>C-Finanzas</v>
      </c>
      <c r="C356" s="3" t="s">
        <v>1330</v>
      </c>
      <c r="D356" s="14">
        <v>45756</v>
      </c>
      <c r="E356" s="5" t="s">
        <v>6415</v>
      </c>
      <c r="F356" s="5" t="s">
        <v>1336</v>
      </c>
      <c r="G356" s="5"/>
      <c r="H356" s="6"/>
      <c r="I356" s="6"/>
      <c r="J356" s="6"/>
      <c r="K356" s="6"/>
      <c r="L356" s="7" t="s">
        <v>6950</v>
      </c>
      <c r="M356" s="8" t="str">
        <f>"CFI"&amp;".D"&amp;TEXT(Caja_Finanzas[[#This Row],[fecha]],"DD-MM")&amp;"-"&amp;TEXT(Caja_Finanzas[[#This Row],[item]],"0000")</f>
        <v>CFI.D09-04-0346</v>
      </c>
      <c r="N356" s="8" t="str">
        <f t="shared" si="30"/>
        <v>PEN</v>
      </c>
      <c r="O356" s="13"/>
      <c r="P356" s="13">
        <v>70</v>
      </c>
      <c r="Q356" s="3">
        <f t="shared" si="26"/>
        <v>0</v>
      </c>
      <c r="R356" s="3">
        <f t="shared" si="27"/>
        <v>70</v>
      </c>
      <c r="S356" s="3">
        <f t="shared" si="28"/>
        <v>8646.0999999999913</v>
      </c>
      <c r="T356" s="24"/>
      <c r="U356" s="24"/>
      <c r="V356" s="3"/>
      <c r="W356" s="25" t="s">
        <v>6951</v>
      </c>
      <c r="X356" s="25" t="s">
        <v>6952</v>
      </c>
      <c r="Y356" s="25"/>
      <c r="Z356" s="25"/>
      <c r="AA356" s="25"/>
      <c r="AB356" s="3" t="str">
        <f>IF(Caja_Finanzas[[#This Row],[fecha]]&gt;0,TEXT(Caja_Finanzas[[#This Row],[fecha]],"mmmm"),0)</f>
        <v>Abril</v>
      </c>
    </row>
    <row r="357" spans="1:28" x14ac:dyDescent="0.3">
      <c r="A357" s="2">
        <f>IF(Caja_Finanzas[[#This Row],[tipo_r]]="R",COUNTIFS($C$1:$C356,"R")+1,A356)</f>
        <v>347</v>
      </c>
      <c r="B357" s="19" t="str">
        <f t="shared" si="29"/>
        <v>C-Finanzas</v>
      </c>
      <c r="C357" s="3" t="s">
        <v>1330</v>
      </c>
      <c r="D357" s="14">
        <v>45757</v>
      </c>
      <c r="E357" s="5"/>
      <c r="F357" s="5" t="s">
        <v>1303</v>
      </c>
      <c r="G357" s="5"/>
      <c r="H357" s="6"/>
      <c r="I357" s="6"/>
      <c r="J357" s="6"/>
      <c r="K357" s="6"/>
      <c r="L357" s="7" t="s">
        <v>6118</v>
      </c>
      <c r="M357" s="8" t="str">
        <f>"CFI"&amp;".D"&amp;TEXT(Caja_Finanzas[[#This Row],[fecha]],"DD-MM")&amp;"-"&amp;TEXT(Caja_Finanzas[[#This Row],[item]],"0000")</f>
        <v>CFI.D10-04-0347</v>
      </c>
      <c r="N357" s="8" t="str">
        <f t="shared" si="30"/>
        <v>PEN</v>
      </c>
      <c r="O357" s="13"/>
      <c r="P357" s="13">
        <v>2300</v>
      </c>
      <c r="Q357" s="3">
        <f t="shared" si="26"/>
        <v>2300</v>
      </c>
      <c r="R357" s="3">
        <f t="shared" si="27"/>
        <v>0</v>
      </c>
      <c r="S357" s="3">
        <f t="shared" si="28"/>
        <v>10946.099999999991</v>
      </c>
      <c r="T357" s="24"/>
      <c r="U357" s="24"/>
      <c r="V357" s="3"/>
      <c r="W357" s="25"/>
      <c r="X357" s="25"/>
      <c r="Y357" s="25"/>
      <c r="Z357" s="25"/>
      <c r="AA357" s="25"/>
      <c r="AB357" s="3" t="str">
        <f>IF(Caja_Finanzas[[#This Row],[fecha]]&gt;0,TEXT(Caja_Finanzas[[#This Row],[fecha]],"mmmm"),0)</f>
        <v>Abril</v>
      </c>
    </row>
    <row r="358" spans="1:28" ht="24" x14ac:dyDescent="0.3">
      <c r="A358" s="2">
        <f>IF(Caja_Finanzas[[#This Row],[tipo_r]]="R",COUNTIFS($C$1:$C357,"R")+1,A357)</f>
        <v>347</v>
      </c>
      <c r="B358" s="19" t="str">
        <f t="shared" si="29"/>
        <v>C-Finanzas</v>
      </c>
      <c r="C358" s="3" t="s">
        <v>1352</v>
      </c>
      <c r="D358" s="14">
        <v>45757</v>
      </c>
      <c r="E358" s="5" t="s">
        <v>3198</v>
      </c>
      <c r="F358" s="5"/>
      <c r="G358" s="5"/>
      <c r="H358" s="6" t="s">
        <v>425</v>
      </c>
      <c r="I358" s="6" t="s">
        <v>119</v>
      </c>
      <c r="J358" s="6">
        <v>1</v>
      </c>
      <c r="K358" s="6">
        <v>4189</v>
      </c>
      <c r="L358" s="7" t="s">
        <v>6118</v>
      </c>
      <c r="M358" s="8" t="str">
        <f>"CFI"&amp;".D"&amp;TEXT(Caja_Finanzas[[#This Row],[fecha]],"DD-MM")&amp;"-"&amp;TEXT(Caja_Finanzas[[#This Row],[item]],"0000")</f>
        <v>CFI.D10-04-0347</v>
      </c>
      <c r="N358" s="8" t="str">
        <f t="shared" si="30"/>
        <v>PEN</v>
      </c>
      <c r="O358" s="13">
        <v>329</v>
      </c>
      <c r="P358" s="13"/>
      <c r="Q358" s="3">
        <f t="shared" si="26"/>
        <v>0</v>
      </c>
      <c r="R358" s="3">
        <f t="shared" si="27"/>
        <v>0</v>
      </c>
      <c r="S358" s="3">
        <f t="shared" si="28"/>
        <v>10946.099999999991</v>
      </c>
      <c r="T358" s="24"/>
      <c r="U358" s="24"/>
      <c r="V358" s="3"/>
      <c r="W358" s="25"/>
      <c r="X358" s="25" t="s">
        <v>2413</v>
      </c>
      <c r="Y358" s="25"/>
      <c r="Z358" s="25"/>
      <c r="AA358" s="25"/>
      <c r="AB358" s="3" t="str">
        <f>IF(Caja_Finanzas[[#This Row],[fecha]]&gt;0,TEXT(Caja_Finanzas[[#This Row],[fecha]],"mmmm"),0)</f>
        <v>Abril</v>
      </c>
    </row>
    <row r="359" spans="1:28" ht="24" x14ac:dyDescent="0.3">
      <c r="A359" s="2">
        <f>IF(Caja_Finanzas[[#This Row],[tipo_r]]="R",COUNTIFS($C$1:$C358,"R")+1,A358)</f>
        <v>347</v>
      </c>
      <c r="B359" s="19" t="str">
        <f t="shared" si="29"/>
        <v>C-Finanzas</v>
      </c>
      <c r="C359" s="3" t="s">
        <v>1352</v>
      </c>
      <c r="D359" s="14">
        <v>45757</v>
      </c>
      <c r="E359" s="5" t="s">
        <v>3198</v>
      </c>
      <c r="F359" s="5"/>
      <c r="G359" s="5"/>
      <c r="H359" s="6" t="s">
        <v>425</v>
      </c>
      <c r="I359" s="6" t="s">
        <v>119</v>
      </c>
      <c r="J359" s="6">
        <v>1</v>
      </c>
      <c r="K359" s="6">
        <v>4194</v>
      </c>
      <c r="L359" s="7" t="s">
        <v>6118</v>
      </c>
      <c r="M359" s="8" t="str">
        <f>"CFI"&amp;".D"&amp;TEXT(Caja_Finanzas[[#This Row],[fecha]],"DD-MM")&amp;"-"&amp;TEXT(Caja_Finanzas[[#This Row],[item]],"0000")</f>
        <v>CFI.D10-04-0347</v>
      </c>
      <c r="N359" s="8" t="str">
        <f t="shared" si="30"/>
        <v>PEN</v>
      </c>
      <c r="O359" s="13">
        <v>1224</v>
      </c>
      <c r="P359" s="13"/>
      <c r="Q359" s="3">
        <f t="shared" si="26"/>
        <v>0</v>
      </c>
      <c r="R359" s="3">
        <f t="shared" si="27"/>
        <v>0</v>
      </c>
      <c r="S359" s="3">
        <f t="shared" si="28"/>
        <v>10946.099999999991</v>
      </c>
      <c r="T359" s="24"/>
      <c r="U359" s="24"/>
      <c r="V359" s="3"/>
      <c r="W359" s="25"/>
      <c r="X359" s="25" t="s">
        <v>6953</v>
      </c>
      <c r="Y359" s="25"/>
      <c r="Z359" s="25"/>
      <c r="AA359" s="25"/>
      <c r="AB359" s="3" t="str">
        <f>IF(Caja_Finanzas[[#This Row],[fecha]]&gt;0,TEXT(Caja_Finanzas[[#This Row],[fecha]],"mmmm"),0)</f>
        <v>Abril</v>
      </c>
    </row>
    <row r="360" spans="1:28" ht="24" x14ac:dyDescent="0.3">
      <c r="A360" s="2">
        <f>IF(Caja_Finanzas[[#This Row],[tipo_r]]="R",COUNTIFS($C$1:$C359,"R")+1,A359)</f>
        <v>347</v>
      </c>
      <c r="B360" s="19" t="str">
        <f t="shared" si="29"/>
        <v>C-Finanzas</v>
      </c>
      <c r="C360" s="3" t="s">
        <v>1352</v>
      </c>
      <c r="D360" s="14">
        <v>45757</v>
      </c>
      <c r="E360" s="5" t="s">
        <v>3198</v>
      </c>
      <c r="F360" s="5"/>
      <c r="G360" s="5"/>
      <c r="H360" s="6" t="s">
        <v>425</v>
      </c>
      <c r="I360" s="6" t="s">
        <v>119</v>
      </c>
      <c r="J360" s="6">
        <v>1</v>
      </c>
      <c r="K360" s="6">
        <v>4212</v>
      </c>
      <c r="L360" s="7" t="s">
        <v>6118</v>
      </c>
      <c r="M360" s="8" t="str">
        <f>"CFI"&amp;".D"&amp;TEXT(Caja_Finanzas[[#This Row],[fecha]],"DD-MM")&amp;"-"&amp;TEXT(Caja_Finanzas[[#This Row],[item]],"0000")</f>
        <v>CFI.D10-04-0347</v>
      </c>
      <c r="N360" s="8" t="str">
        <f t="shared" si="30"/>
        <v>PEN</v>
      </c>
      <c r="O360" s="13">
        <v>747</v>
      </c>
      <c r="P360" s="13"/>
      <c r="Q360" s="3">
        <f t="shared" si="26"/>
        <v>0</v>
      </c>
      <c r="R360" s="3">
        <f t="shared" si="27"/>
        <v>0</v>
      </c>
      <c r="S360" s="3">
        <f t="shared" si="28"/>
        <v>10946.099999999991</v>
      </c>
      <c r="T360" s="24"/>
      <c r="U360" s="24"/>
      <c r="V360" s="3"/>
      <c r="W360" s="25"/>
      <c r="X360" s="25" t="s">
        <v>6954</v>
      </c>
      <c r="Y360" s="25"/>
      <c r="Z360" s="25"/>
      <c r="AA360" s="25"/>
      <c r="AB360" s="3" t="str">
        <f>IF(Caja_Finanzas[[#This Row],[fecha]]&gt;0,TEXT(Caja_Finanzas[[#This Row],[fecha]],"mmmm"),0)</f>
        <v>Abril</v>
      </c>
    </row>
    <row r="361" spans="1:28" ht="24" x14ac:dyDescent="0.3">
      <c r="A361" s="2">
        <f>IF(Caja_Finanzas[[#This Row],[tipo_r]]="R",COUNTIFS($C$1:$C360,"R")+1,A360)</f>
        <v>348</v>
      </c>
      <c r="B361" s="19" t="str">
        <f t="shared" si="29"/>
        <v>C-Finanzas</v>
      </c>
      <c r="C361" s="3" t="s">
        <v>1330</v>
      </c>
      <c r="D361" s="14">
        <v>45757</v>
      </c>
      <c r="E361" s="5" t="s">
        <v>3293</v>
      </c>
      <c r="F361" s="5" t="s">
        <v>1303</v>
      </c>
      <c r="G361" s="5"/>
      <c r="H361" s="6" t="s">
        <v>425</v>
      </c>
      <c r="I361" s="6" t="s">
        <v>119</v>
      </c>
      <c r="J361" s="6">
        <v>1</v>
      </c>
      <c r="K361" s="6">
        <v>4320</v>
      </c>
      <c r="L361" s="7" t="s">
        <v>6118</v>
      </c>
      <c r="M361" s="8" t="str">
        <f>"CFI"&amp;".D"&amp;TEXT(Caja_Finanzas[[#This Row],[fecha]],"DD-MM")&amp;"-"&amp;TEXT(Caja_Finanzas[[#This Row],[item]],"0000")</f>
        <v>CFI.D10-04-0348</v>
      </c>
      <c r="N361" s="8" t="str">
        <f t="shared" si="30"/>
        <v>PEN</v>
      </c>
      <c r="O361" s="13"/>
      <c r="P361" s="13">
        <v>224</v>
      </c>
      <c r="Q361" s="3">
        <f t="shared" si="26"/>
        <v>224</v>
      </c>
      <c r="R361" s="3">
        <f t="shared" si="27"/>
        <v>0</v>
      </c>
      <c r="S361" s="3">
        <f t="shared" si="28"/>
        <v>11170.099999999991</v>
      </c>
      <c r="T361" s="24"/>
      <c r="U361" s="24"/>
      <c r="V361" s="3"/>
      <c r="W361" s="25"/>
      <c r="X361" s="25" t="s">
        <v>6955</v>
      </c>
      <c r="Y361" s="25"/>
      <c r="Z361" s="25"/>
      <c r="AA361" s="25"/>
      <c r="AB361" s="3" t="str">
        <f>IF(Caja_Finanzas[[#This Row],[fecha]]&gt;0,TEXT(Caja_Finanzas[[#This Row],[fecha]],"mmmm"),0)</f>
        <v>Abril</v>
      </c>
    </row>
    <row r="362" spans="1:28" ht="24" x14ac:dyDescent="0.3">
      <c r="A362" s="2">
        <f>IF(Caja_Finanzas[[#This Row],[tipo_r]]="R",COUNTIFS($C$1:$C361,"R")+1,A361)</f>
        <v>349</v>
      </c>
      <c r="B362" s="19" t="str">
        <f t="shared" si="29"/>
        <v>C-Finanzas</v>
      </c>
      <c r="C362" s="3" t="s">
        <v>1330</v>
      </c>
      <c r="D362" s="14">
        <v>45757</v>
      </c>
      <c r="E362" s="5" t="s">
        <v>1825</v>
      </c>
      <c r="F362" s="5" t="s">
        <v>1303</v>
      </c>
      <c r="G362" s="5"/>
      <c r="H362" s="6" t="s">
        <v>425</v>
      </c>
      <c r="I362" s="6" t="s">
        <v>119</v>
      </c>
      <c r="J362" s="6">
        <v>1</v>
      </c>
      <c r="K362" s="6">
        <v>4319</v>
      </c>
      <c r="L362" s="7" t="s">
        <v>6118</v>
      </c>
      <c r="M362" s="8" t="str">
        <f>"CFI"&amp;".D"&amp;TEXT(Caja_Finanzas[[#This Row],[fecha]],"DD-MM")&amp;"-"&amp;TEXT(Caja_Finanzas[[#This Row],[item]],"0000")</f>
        <v>CFI.D10-04-0349</v>
      </c>
      <c r="N362" s="8" t="str">
        <f t="shared" si="30"/>
        <v>PEN</v>
      </c>
      <c r="O362" s="13"/>
      <c r="P362" s="13">
        <v>264.5</v>
      </c>
      <c r="Q362" s="3">
        <f t="shared" si="26"/>
        <v>264.5</v>
      </c>
      <c r="R362" s="3">
        <f t="shared" si="27"/>
        <v>0</v>
      </c>
      <c r="S362" s="3">
        <f t="shared" si="28"/>
        <v>11434.599999999991</v>
      </c>
      <c r="T362" s="24"/>
      <c r="U362" s="24"/>
      <c r="V362" s="3"/>
      <c r="W362" s="25"/>
      <c r="X362" s="25" t="s">
        <v>6956</v>
      </c>
      <c r="Y362" s="25"/>
      <c r="Z362" s="25"/>
      <c r="AA362" s="25"/>
      <c r="AB362" s="3" t="str">
        <f>IF(Caja_Finanzas[[#This Row],[fecha]]&gt;0,TEXT(Caja_Finanzas[[#This Row],[fecha]],"mmmm"),0)</f>
        <v>Abril</v>
      </c>
    </row>
    <row r="363" spans="1:28" ht="24" x14ac:dyDescent="0.3">
      <c r="A363" s="2">
        <f>IF(Caja_Finanzas[[#This Row],[tipo_r]]="R",COUNTIFS($C$1:$C362,"R")+1,A362)</f>
        <v>350</v>
      </c>
      <c r="B363" s="19" t="str">
        <f t="shared" si="29"/>
        <v>C-Finanzas</v>
      </c>
      <c r="C363" s="3" t="s">
        <v>1330</v>
      </c>
      <c r="D363" s="14">
        <v>45757</v>
      </c>
      <c r="E363" s="5" t="s">
        <v>6460</v>
      </c>
      <c r="F363" s="5" t="s">
        <v>1336</v>
      </c>
      <c r="G363" s="5"/>
      <c r="H363" s="6"/>
      <c r="I363" s="6"/>
      <c r="J363" s="6"/>
      <c r="K363" s="6"/>
      <c r="L363" s="7" t="s">
        <v>6957</v>
      </c>
      <c r="M363" s="8" t="str">
        <f>"CFI"&amp;".D"&amp;TEXT(Caja_Finanzas[[#This Row],[fecha]],"DD-MM")&amp;"-"&amp;TEXT(Caja_Finanzas[[#This Row],[item]],"0000")</f>
        <v>CFI.D10-04-0350</v>
      </c>
      <c r="N363" s="8" t="str">
        <f t="shared" si="30"/>
        <v>PEN</v>
      </c>
      <c r="O363" s="13"/>
      <c r="P363" s="13">
        <v>124.6</v>
      </c>
      <c r="Q363" s="3">
        <f t="shared" si="26"/>
        <v>0</v>
      </c>
      <c r="R363" s="3">
        <f t="shared" si="27"/>
        <v>124.6</v>
      </c>
      <c r="S363" s="3">
        <f t="shared" si="28"/>
        <v>11309.999999999991</v>
      </c>
      <c r="T363" s="24"/>
      <c r="U363" s="24"/>
      <c r="V363" s="3"/>
      <c r="W363" s="25" t="s">
        <v>6958</v>
      </c>
      <c r="X363" s="25" t="s">
        <v>6959</v>
      </c>
      <c r="Y363" s="25"/>
      <c r="Z363" s="25"/>
      <c r="AA363" s="25"/>
      <c r="AB363" s="3" t="str">
        <f>IF(Caja_Finanzas[[#This Row],[fecha]]&gt;0,TEXT(Caja_Finanzas[[#This Row],[fecha]],"mmmm"),0)</f>
        <v>Abril</v>
      </c>
    </row>
    <row r="364" spans="1:28" ht="24" x14ac:dyDescent="0.3">
      <c r="A364" s="2">
        <f>IF(Caja_Finanzas[[#This Row],[tipo_r]]="R",COUNTIFS($C$1:$C363,"R")+1,A363)</f>
        <v>351</v>
      </c>
      <c r="B364" s="19" t="str">
        <f t="shared" si="29"/>
        <v>C-Finanzas</v>
      </c>
      <c r="C364" s="3" t="s">
        <v>1330</v>
      </c>
      <c r="D364" s="14">
        <v>45757</v>
      </c>
      <c r="E364" s="5" t="s">
        <v>6420</v>
      </c>
      <c r="F364" s="5" t="s">
        <v>1336</v>
      </c>
      <c r="G364" s="5"/>
      <c r="H364" s="6"/>
      <c r="I364" s="6"/>
      <c r="J364" s="6"/>
      <c r="K364" s="6"/>
      <c r="L364" s="7"/>
      <c r="M364" s="8" t="str">
        <f>"CFI"&amp;".D"&amp;TEXT(Caja_Finanzas[[#This Row],[fecha]],"DD-MM")&amp;"-"&amp;TEXT(Caja_Finanzas[[#This Row],[item]],"0000")</f>
        <v>CFI.D10-04-0351</v>
      </c>
      <c r="N364" s="8" t="str">
        <f t="shared" si="30"/>
        <v>PEN</v>
      </c>
      <c r="O364" s="13"/>
      <c r="P364" s="13">
        <v>1200</v>
      </c>
      <c r="Q364" s="3">
        <f t="shared" si="26"/>
        <v>0</v>
      </c>
      <c r="R364" s="3">
        <f t="shared" si="27"/>
        <v>1200</v>
      </c>
      <c r="S364" s="3">
        <f t="shared" si="28"/>
        <v>10109.999999999991</v>
      </c>
      <c r="T364" s="24"/>
      <c r="U364" s="24"/>
      <c r="V364" s="3"/>
      <c r="W364" s="25" t="s">
        <v>6960</v>
      </c>
      <c r="X364" s="25" t="s">
        <v>6961</v>
      </c>
      <c r="Y364" s="25"/>
      <c r="Z364" s="25"/>
      <c r="AA364" s="25"/>
      <c r="AB364" s="3" t="str">
        <f>IF(Caja_Finanzas[[#This Row],[fecha]]&gt;0,TEXT(Caja_Finanzas[[#This Row],[fecha]],"mmmm"),0)</f>
        <v>Abril</v>
      </c>
    </row>
    <row r="365" spans="1:28" ht="24" x14ac:dyDescent="0.3">
      <c r="A365" s="2">
        <f>IF(Caja_Finanzas[[#This Row],[tipo_r]]="R",COUNTIFS($C$1:$C364,"R")+1,A364)</f>
        <v>352</v>
      </c>
      <c r="B365" s="19" t="str">
        <f t="shared" si="29"/>
        <v>C-Finanzas</v>
      </c>
      <c r="C365" s="3" t="s">
        <v>1330</v>
      </c>
      <c r="D365" s="14">
        <v>45758</v>
      </c>
      <c r="E365" s="5" t="s">
        <v>6962</v>
      </c>
      <c r="F365" s="5" t="s">
        <v>1336</v>
      </c>
      <c r="G365" s="5"/>
      <c r="H365" s="6"/>
      <c r="I365" s="6"/>
      <c r="J365" s="6"/>
      <c r="K365" s="6"/>
      <c r="L365" s="7" t="s">
        <v>6963</v>
      </c>
      <c r="M365" s="8" t="str">
        <f>"CFI"&amp;".D"&amp;TEXT(Caja_Finanzas[[#This Row],[fecha]],"DD-MM")&amp;"-"&amp;TEXT(Caja_Finanzas[[#This Row],[item]],"0000")</f>
        <v>CFI.D11-04-0352</v>
      </c>
      <c r="N365" s="8" t="str">
        <f t="shared" si="30"/>
        <v>PEN</v>
      </c>
      <c r="O365" s="13"/>
      <c r="P365" s="13">
        <v>1850</v>
      </c>
      <c r="Q365" s="3">
        <f t="shared" si="26"/>
        <v>0</v>
      </c>
      <c r="R365" s="3">
        <f t="shared" si="27"/>
        <v>1850</v>
      </c>
      <c r="S365" s="3">
        <f t="shared" si="28"/>
        <v>8259.9999999999909</v>
      </c>
      <c r="T365" s="24"/>
      <c r="U365" s="24"/>
      <c r="V365" s="3"/>
      <c r="W365" s="25" t="s">
        <v>6964</v>
      </c>
      <c r="X365" s="25" t="s">
        <v>6965</v>
      </c>
      <c r="Y365" s="25"/>
      <c r="Z365" s="25"/>
      <c r="AA365" s="25"/>
      <c r="AB365" s="3" t="str">
        <f>IF(Caja_Finanzas[[#This Row],[fecha]]&gt;0,TEXT(Caja_Finanzas[[#This Row],[fecha]],"mmmm"),0)</f>
        <v>Abril</v>
      </c>
    </row>
    <row r="366" spans="1:28" ht="24" x14ac:dyDescent="0.3">
      <c r="A366" s="2">
        <f>IF(Caja_Finanzas[[#This Row],[tipo_r]]="R",COUNTIFS($C$1:$C365,"R")+1,A365)</f>
        <v>353</v>
      </c>
      <c r="B366" s="19" t="str">
        <f t="shared" si="29"/>
        <v>C-Finanzas</v>
      </c>
      <c r="C366" s="3" t="s">
        <v>1330</v>
      </c>
      <c r="D366" s="14">
        <v>45758</v>
      </c>
      <c r="E366" s="5" t="s">
        <v>2938</v>
      </c>
      <c r="F366" s="5" t="s">
        <v>1303</v>
      </c>
      <c r="G366" s="5"/>
      <c r="H366" s="6" t="s">
        <v>425</v>
      </c>
      <c r="I366" s="6" t="s">
        <v>119</v>
      </c>
      <c r="J366" s="6">
        <v>1</v>
      </c>
      <c r="K366" s="6">
        <v>4323</v>
      </c>
      <c r="L366" s="7" t="s">
        <v>6118</v>
      </c>
      <c r="M366" s="8" t="str">
        <f>"CFI"&amp;".D"&amp;TEXT(Caja_Finanzas[[#This Row],[fecha]],"DD-MM")&amp;"-"&amp;TEXT(Caja_Finanzas[[#This Row],[item]],"0000")</f>
        <v>CFI.D11-04-0353</v>
      </c>
      <c r="N366" s="8" t="str">
        <f t="shared" si="30"/>
        <v>PEN</v>
      </c>
      <c r="O366" s="13"/>
      <c r="P366" s="13">
        <v>2353</v>
      </c>
      <c r="Q366" s="3">
        <f t="shared" si="26"/>
        <v>2353</v>
      </c>
      <c r="R366" s="3">
        <f t="shared" si="27"/>
        <v>0</v>
      </c>
      <c r="S366" s="3">
        <f t="shared" si="28"/>
        <v>10612.999999999991</v>
      </c>
      <c r="T366" s="24"/>
      <c r="U366" s="24"/>
      <c r="V366" s="3"/>
      <c r="W366" s="25"/>
      <c r="X366" s="25" t="s">
        <v>6966</v>
      </c>
      <c r="Y366" s="25"/>
      <c r="Z366" s="25"/>
      <c r="AA366" s="25"/>
      <c r="AB366" s="3" t="str">
        <f>IF(Caja_Finanzas[[#This Row],[fecha]]&gt;0,TEXT(Caja_Finanzas[[#This Row],[fecha]],"mmmm"),0)</f>
        <v>Abril</v>
      </c>
    </row>
    <row r="367" spans="1:28" ht="24" x14ac:dyDescent="0.3">
      <c r="A367" s="2">
        <f>IF(Caja_Finanzas[[#This Row],[tipo_r]]="R",COUNTIFS($C$1:$C366,"R")+1,A366)</f>
        <v>354</v>
      </c>
      <c r="B367" s="19" t="str">
        <f t="shared" si="29"/>
        <v>C-Finanzas</v>
      </c>
      <c r="C367" s="3" t="s">
        <v>1330</v>
      </c>
      <c r="D367" s="14">
        <v>45758</v>
      </c>
      <c r="E367" s="5" t="s">
        <v>6550</v>
      </c>
      <c r="F367" s="5" t="s">
        <v>1336</v>
      </c>
      <c r="G367" s="5"/>
      <c r="H367" s="6"/>
      <c r="I367" s="6"/>
      <c r="J367" s="6"/>
      <c r="K367" s="6"/>
      <c r="L367" s="7" t="s">
        <v>6967</v>
      </c>
      <c r="M367" s="8" t="str">
        <f>"CFI"&amp;".D"&amp;TEXT(Caja_Finanzas[[#This Row],[fecha]],"DD-MM")&amp;"-"&amp;TEXT(Caja_Finanzas[[#This Row],[item]],"0000")</f>
        <v>CFI.D11-04-0354</v>
      </c>
      <c r="N367" s="8" t="str">
        <f t="shared" si="30"/>
        <v>PEN</v>
      </c>
      <c r="O367" s="13"/>
      <c r="P367" s="13">
        <v>450</v>
      </c>
      <c r="Q367" s="3">
        <f t="shared" si="26"/>
        <v>0</v>
      </c>
      <c r="R367" s="3">
        <f t="shared" si="27"/>
        <v>450</v>
      </c>
      <c r="S367" s="3">
        <f t="shared" si="28"/>
        <v>10162.999999999991</v>
      </c>
      <c r="T367" s="24"/>
      <c r="U367" s="24"/>
      <c r="V367" s="3"/>
      <c r="W367" s="25" t="s">
        <v>6709</v>
      </c>
      <c r="X367" s="25" t="s">
        <v>6968</v>
      </c>
      <c r="Y367" s="25"/>
      <c r="Z367" s="25"/>
      <c r="AA367" s="25"/>
      <c r="AB367" s="3" t="str">
        <f>IF(Caja_Finanzas[[#This Row],[fecha]]&gt;0,TEXT(Caja_Finanzas[[#This Row],[fecha]],"mmmm"),0)</f>
        <v>Abril</v>
      </c>
    </row>
    <row r="368" spans="1:28" ht="24" x14ac:dyDescent="0.3">
      <c r="A368" s="2">
        <f>IF(Caja_Finanzas[[#This Row],[tipo_r]]="R",COUNTIFS($C$1:$C367,"R")+1,A367)</f>
        <v>355</v>
      </c>
      <c r="B368" s="19" t="str">
        <f t="shared" si="29"/>
        <v>C-Finanzas</v>
      </c>
      <c r="C368" s="3" t="s">
        <v>1330</v>
      </c>
      <c r="D368" s="14">
        <v>45758</v>
      </c>
      <c r="E368" s="5" t="s">
        <v>6451</v>
      </c>
      <c r="F368" s="5" t="s">
        <v>1336</v>
      </c>
      <c r="G368" s="5"/>
      <c r="H368" s="6"/>
      <c r="I368" s="6"/>
      <c r="J368" s="6"/>
      <c r="K368" s="6"/>
      <c r="L368" s="7" t="s">
        <v>6969</v>
      </c>
      <c r="M368" s="8" t="str">
        <f>"CFI"&amp;".D"&amp;TEXT(Caja_Finanzas[[#This Row],[fecha]],"DD-MM")&amp;"-"&amp;TEXT(Caja_Finanzas[[#This Row],[item]],"0000")</f>
        <v>CFI.D11-04-0355</v>
      </c>
      <c r="N368" s="8" t="str">
        <f t="shared" si="30"/>
        <v>PEN</v>
      </c>
      <c r="O368" s="13"/>
      <c r="P368" s="13">
        <v>20</v>
      </c>
      <c r="Q368" s="3">
        <f t="shared" si="26"/>
        <v>0</v>
      </c>
      <c r="R368" s="3">
        <f t="shared" si="27"/>
        <v>20</v>
      </c>
      <c r="S368" s="3">
        <f t="shared" si="28"/>
        <v>10142.999999999991</v>
      </c>
      <c r="T368" s="24"/>
      <c r="U368" s="24"/>
      <c r="V368" s="3"/>
      <c r="W368" s="25" t="s">
        <v>6709</v>
      </c>
      <c r="X368" s="25" t="s">
        <v>6970</v>
      </c>
      <c r="Y368" s="25"/>
      <c r="Z368" s="25"/>
      <c r="AA368" s="25"/>
      <c r="AB368" s="3" t="str">
        <f>IF(Caja_Finanzas[[#This Row],[fecha]]&gt;0,TEXT(Caja_Finanzas[[#This Row],[fecha]],"mmmm"),0)</f>
        <v>Abril</v>
      </c>
    </row>
    <row r="369" spans="1:28" ht="24" x14ac:dyDescent="0.3">
      <c r="A369" s="2">
        <f>IF(Caja_Finanzas[[#This Row],[tipo_r]]="R",COUNTIFS($C$1:$C368,"R")+1,A368)</f>
        <v>356</v>
      </c>
      <c r="B369" s="19" t="str">
        <f t="shared" si="29"/>
        <v>C-Finanzas</v>
      </c>
      <c r="C369" s="3" t="s">
        <v>1330</v>
      </c>
      <c r="D369" s="14">
        <v>45758</v>
      </c>
      <c r="E369" s="5" t="s">
        <v>6971</v>
      </c>
      <c r="F369" s="5" t="s">
        <v>1336</v>
      </c>
      <c r="G369" s="5"/>
      <c r="H369" s="6"/>
      <c r="I369" s="6"/>
      <c r="J369" s="6"/>
      <c r="K369" s="6"/>
      <c r="L369" s="7" t="s">
        <v>6972</v>
      </c>
      <c r="M369" s="8" t="str">
        <f>"CFI"&amp;".D"&amp;TEXT(Caja_Finanzas[[#This Row],[fecha]],"DD-MM")&amp;"-"&amp;TEXT(Caja_Finanzas[[#This Row],[item]],"0000")</f>
        <v>CFI.D11-04-0356</v>
      </c>
      <c r="N369" s="8" t="str">
        <f t="shared" si="30"/>
        <v>PEN</v>
      </c>
      <c r="O369" s="13"/>
      <c r="P369" s="13">
        <v>7</v>
      </c>
      <c r="Q369" s="3">
        <f t="shared" si="26"/>
        <v>0</v>
      </c>
      <c r="R369" s="3">
        <f t="shared" si="27"/>
        <v>7</v>
      </c>
      <c r="S369" s="3">
        <f t="shared" si="28"/>
        <v>10135.999999999991</v>
      </c>
      <c r="T369" s="24"/>
      <c r="U369" s="24"/>
      <c r="V369" s="3"/>
      <c r="W369" s="25" t="s">
        <v>6973</v>
      </c>
      <c r="X369" s="25" t="s">
        <v>6974</v>
      </c>
      <c r="Y369" s="25"/>
      <c r="Z369" s="25"/>
      <c r="AA369" s="25"/>
      <c r="AB369" s="3" t="str">
        <f>IF(Caja_Finanzas[[#This Row],[fecha]]&gt;0,TEXT(Caja_Finanzas[[#This Row],[fecha]],"mmmm"),0)</f>
        <v>Abril</v>
      </c>
    </row>
    <row r="370" spans="1:28" ht="24" x14ac:dyDescent="0.3">
      <c r="A370" s="2">
        <f>IF(Caja_Finanzas[[#This Row],[tipo_r]]="R",COUNTIFS($C$1:$C369,"R")+1,A369)</f>
        <v>357</v>
      </c>
      <c r="B370" s="19" t="str">
        <f t="shared" si="29"/>
        <v>C-Finanzas</v>
      </c>
      <c r="C370" s="3" t="s">
        <v>1330</v>
      </c>
      <c r="D370" s="14">
        <v>45758</v>
      </c>
      <c r="E370" s="5" t="s">
        <v>6418</v>
      </c>
      <c r="F370" s="5" t="s">
        <v>1336</v>
      </c>
      <c r="G370" s="5"/>
      <c r="H370" s="6" t="s">
        <v>809</v>
      </c>
      <c r="I370" s="6"/>
      <c r="J370" s="6"/>
      <c r="K370" s="6"/>
      <c r="L370" s="7" t="s">
        <v>6652</v>
      </c>
      <c r="M370" s="8" t="str">
        <f>"CFI"&amp;".D"&amp;TEXT(Caja_Finanzas[[#This Row],[fecha]],"DD-MM")&amp;"-"&amp;TEXT(Caja_Finanzas[[#This Row],[item]],"0000")</f>
        <v>CFI.D11-04-0357</v>
      </c>
      <c r="N370" s="8" t="str">
        <f t="shared" si="30"/>
        <v>PEN</v>
      </c>
      <c r="O370" s="13"/>
      <c r="P370" s="13">
        <v>1000</v>
      </c>
      <c r="Q370" s="3">
        <f t="shared" si="26"/>
        <v>0</v>
      </c>
      <c r="R370" s="3">
        <f t="shared" si="27"/>
        <v>1000</v>
      </c>
      <c r="S370" s="3">
        <f t="shared" si="28"/>
        <v>9135.9999999999909</v>
      </c>
      <c r="T370" s="24"/>
      <c r="U370" s="24"/>
      <c r="V370" s="3"/>
      <c r="W370" s="25"/>
      <c r="X370" s="25"/>
      <c r="Y370" s="25"/>
      <c r="Z370" s="25"/>
      <c r="AA370" s="25"/>
      <c r="AB370" s="3" t="str">
        <f>IF(Caja_Finanzas[[#This Row],[fecha]]&gt;0,TEXT(Caja_Finanzas[[#This Row],[fecha]],"mmmm"),0)</f>
        <v>Abril</v>
      </c>
    </row>
    <row r="371" spans="1:28" x14ac:dyDescent="0.3">
      <c r="A371" s="2">
        <f>IF(Caja_Finanzas[[#This Row],[tipo_r]]="R",COUNTIFS($C$1:$C370,"R")+1,A370)</f>
        <v>358</v>
      </c>
      <c r="B371" s="19" t="str">
        <f t="shared" si="29"/>
        <v>C-Finanzas</v>
      </c>
      <c r="C371" s="3" t="s">
        <v>1330</v>
      </c>
      <c r="D371" s="14">
        <v>45758</v>
      </c>
      <c r="E371" s="5" t="s">
        <v>3634</v>
      </c>
      <c r="F371" s="5" t="s">
        <v>1336</v>
      </c>
      <c r="G371" s="5"/>
      <c r="H371" s="6"/>
      <c r="I371" s="6"/>
      <c r="J371" s="6"/>
      <c r="K371" s="6"/>
      <c r="L371" s="7" t="s">
        <v>6510</v>
      </c>
      <c r="M371" s="8" t="str">
        <f>"CFI"&amp;".D"&amp;TEXT(Caja_Finanzas[[#This Row],[fecha]],"DD-MM")&amp;"-"&amp;TEXT(Caja_Finanzas[[#This Row],[item]],"0000")</f>
        <v>CFI.D11-04-0358</v>
      </c>
      <c r="N371" s="8" t="str">
        <f t="shared" si="30"/>
        <v>PEN</v>
      </c>
      <c r="O371" s="13"/>
      <c r="P371" s="13">
        <v>1500</v>
      </c>
      <c r="Q371" s="3">
        <f t="shared" si="26"/>
        <v>0</v>
      </c>
      <c r="R371" s="3">
        <f t="shared" si="27"/>
        <v>1500</v>
      </c>
      <c r="S371" s="3">
        <f t="shared" si="28"/>
        <v>7635.9999999999909</v>
      </c>
      <c r="T371" s="24"/>
      <c r="U371" s="24"/>
      <c r="V371" s="3"/>
      <c r="W371" s="25"/>
      <c r="X371" s="25"/>
      <c r="Y371" s="25"/>
      <c r="Z371" s="25"/>
      <c r="AA371" s="25"/>
      <c r="AB371" s="3" t="str">
        <f>IF(Caja_Finanzas[[#This Row],[fecha]]&gt;0,TEXT(Caja_Finanzas[[#This Row],[fecha]],"mmmm"),0)</f>
        <v>Abril</v>
      </c>
    </row>
    <row r="372" spans="1:28" ht="36" x14ac:dyDescent="0.3">
      <c r="A372" s="2">
        <f>IF(Caja_Finanzas[[#This Row],[tipo_r]]="R",COUNTIFS($C$1:$C371,"R")+1,A371)</f>
        <v>359</v>
      </c>
      <c r="B372" s="19" t="str">
        <f t="shared" si="29"/>
        <v>C-Finanzas</v>
      </c>
      <c r="C372" s="3" t="s">
        <v>1330</v>
      </c>
      <c r="D372" s="14">
        <v>45761</v>
      </c>
      <c r="E372" s="5" t="s">
        <v>6962</v>
      </c>
      <c r="F372" s="5" t="s">
        <v>1336</v>
      </c>
      <c r="G372" s="5"/>
      <c r="H372" s="6"/>
      <c r="I372" s="6"/>
      <c r="J372" s="6"/>
      <c r="K372" s="6"/>
      <c r="L372" s="7" t="s">
        <v>6975</v>
      </c>
      <c r="M372" s="8" t="str">
        <f>"CFI"&amp;".D"&amp;TEXT(Caja_Finanzas[[#This Row],[fecha]],"DD-MM")&amp;"-"&amp;TEXT(Caja_Finanzas[[#This Row],[item]],"0000")</f>
        <v>CFI.D14-04-0359</v>
      </c>
      <c r="N372" s="8" t="str">
        <f t="shared" si="30"/>
        <v>PEN</v>
      </c>
      <c r="O372" s="13"/>
      <c r="P372" s="13">
        <v>70</v>
      </c>
      <c r="Q372" s="3">
        <f t="shared" si="26"/>
        <v>0</v>
      </c>
      <c r="R372" s="3">
        <f t="shared" si="27"/>
        <v>70</v>
      </c>
      <c r="S372" s="3">
        <f t="shared" si="28"/>
        <v>7565.9999999999909</v>
      </c>
      <c r="T372" s="24"/>
      <c r="U372" s="24"/>
      <c r="V372" s="3"/>
      <c r="W372" s="25" t="s">
        <v>6709</v>
      </c>
      <c r="X372" s="25" t="s">
        <v>6976</v>
      </c>
      <c r="Y372" s="25"/>
      <c r="Z372" s="25"/>
      <c r="AA372" s="25"/>
      <c r="AB372" s="3" t="str">
        <f>IF(Caja_Finanzas[[#This Row],[fecha]]&gt;0,TEXT(Caja_Finanzas[[#This Row],[fecha]],"mmmm"),0)</f>
        <v>Abril</v>
      </c>
    </row>
    <row r="373" spans="1:28" ht="36" x14ac:dyDescent="0.3">
      <c r="A373" s="2">
        <f>IF(Caja_Finanzas[[#This Row],[tipo_r]]="R",COUNTIFS($C$1:$C372,"R")+1,A372)</f>
        <v>360</v>
      </c>
      <c r="B373" s="19" t="str">
        <f t="shared" si="29"/>
        <v>C-Finanzas</v>
      </c>
      <c r="C373" s="3" t="s">
        <v>1330</v>
      </c>
      <c r="D373" s="14">
        <v>45761</v>
      </c>
      <c r="E373" s="5" t="s">
        <v>6460</v>
      </c>
      <c r="F373" s="5" t="s">
        <v>1336</v>
      </c>
      <c r="G373" s="5"/>
      <c r="H373" s="6"/>
      <c r="I373" s="6"/>
      <c r="J373" s="6"/>
      <c r="K373" s="6"/>
      <c r="L373" s="7" t="s">
        <v>6977</v>
      </c>
      <c r="M373" s="8" t="str">
        <f>"CFI"&amp;".D"&amp;TEXT(Caja_Finanzas[[#This Row],[fecha]],"DD-MM")&amp;"-"&amp;TEXT(Caja_Finanzas[[#This Row],[item]],"0000")</f>
        <v>CFI.D14-04-0360</v>
      </c>
      <c r="N373" s="8" t="str">
        <f t="shared" si="30"/>
        <v>PEN</v>
      </c>
      <c r="O373" s="13"/>
      <c r="P373" s="13">
        <v>281</v>
      </c>
      <c r="Q373" s="3">
        <f t="shared" si="26"/>
        <v>0</v>
      </c>
      <c r="R373" s="3">
        <f t="shared" si="27"/>
        <v>281</v>
      </c>
      <c r="S373" s="3">
        <f t="shared" si="28"/>
        <v>7284.9999999999909</v>
      </c>
      <c r="T373" s="24"/>
      <c r="U373" s="24"/>
      <c r="V373" s="3"/>
      <c r="W373" s="25" t="s">
        <v>6978</v>
      </c>
      <c r="X373" s="25" t="s">
        <v>6979</v>
      </c>
      <c r="Y373" s="25"/>
      <c r="Z373" s="25"/>
      <c r="AA373" s="25"/>
      <c r="AB373" s="3" t="str">
        <f>IF(Caja_Finanzas[[#This Row],[fecha]]&gt;0,TEXT(Caja_Finanzas[[#This Row],[fecha]],"mmmm"),0)</f>
        <v>Abril</v>
      </c>
    </row>
    <row r="374" spans="1:28" ht="24" x14ac:dyDescent="0.3">
      <c r="A374" s="2">
        <f>IF(Caja_Finanzas[[#This Row],[tipo_r]]="R",COUNTIFS($C$1:$C373,"R")+1,A373)</f>
        <v>361</v>
      </c>
      <c r="B374" s="19" t="str">
        <f t="shared" si="29"/>
        <v>C-Finanzas</v>
      </c>
      <c r="C374" s="3" t="s">
        <v>1330</v>
      </c>
      <c r="D374" s="14">
        <v>45761</v>
      </c>
      <c r="E374" s="5" t="s">
        <v>2374</v>
      </c>
      <c r="F374" s="5" t="s">
        <v>1303</v>
      </c>
      <c r="G374" s="5"/>
      <c r="H374" s="6" t="s">
        <v>425</v>
      </c>
      <c r="I374" s="6" t="s">
        <v>119</v>
      </c>
      <c r="J374" s="6">
        <v>1</v>
      </c>
      <c r="K374" s="6">
        <v>4266</v>
      </c>
      <c r="L374" s="7" t="s">
        <v>6118</v>
      </c>
      <c r="M374" s="8" t="str">
        <f>"CFI"&amp;".D"&amp;TEXT(Caja_Finanzas[[#This Row],[fecha]],"DD-MM")&amp;"-"&amp;TEXT(Caja_Finanzas[[#This Row],[item]],"0000")</f>
        <v>CFI.D14-04-0361</v>
      </c>
      <c r="N374" s="8" t="str">
        <f t="shared" si="30"/>
        <v>PEN</v>
      </c>
      <c r="O374" s="13"/>
      <c r="P374" s="13">
        <v>134</v>
      </c>
      <c r="Q374" s="3">
        <f t="shared" si="26"/>
        <v>134</v>
      </c>
      <c r="R374" s="3">
        <f t="shared" si="27"/>
        <v>0</v>
      </c>
      <c r="S374" s="3">
        <f t="shared" si="28"/>
        <v>7418.9999999999909</v>
      </c>
      <c r="T374" s="24"/>
      <c r="U374" s="24"/>
      <c r="V374" s="3"/>
      <c r="W374" s="25"/>
      <c r="X374" s="25" t="s">
        <v>2375</v>
      </c>
      <c r="Y374" s="25"/>
      <c r="Z374" s="25"/>
      <c r="AA374" s="25"/>
      <c r="AB374" s="3" t="str">
        <f>IF(Caja_Finanzas[[#This Row],[fecha]]&gt;0,TEXT(Caja_Finanzas[[#This Row],[fecha]],"mmmm"),0)</f>
        <v>Abril</v>
      </c>
    </row>
    <row r="375" spans="1:28" x14ac:dyDescent="0.3">
      <c r="A375" s="2">
        <f>IF(Caja_Finanzas[[#This Row],[tipo_r]]="R",COUNTIFS($C$1:$C374,"R")+1,A374)</f>
        <v>362</v>
      </c>
      <c r="B375" s="19" t="str">
        <f t="shared" si="29"/>
        <v>C-Finanzas</v>
      </c>
      <c r="C375" s="3" t="s">
        <v>1330</v>
      </c>
      <c r="D375" s="14">
        <v>45761</v>
      </c>
      <c r="E375" s="5" t="s">
        <v>1498</v>
      </c>
      <c r="F375" s="5" t="s">
        <v>1303</v>
      </c>
      <c r="G375" s="5"/>
      <c r="H375" s="6" t="s">
        <v>425</v>
      </c>
      <c r="I375" s="6" t="s">
        <v>119</v>
      </c>
      <c r="J375" s="6">
        <v>1</v>
      </c>
      <c r="K375" s="6">
        <v>4328</v>
      </c>
      <c r="L375" s="7" t="s">
        <v>6118</v>
      </c>
      <c r="M375" s="8" t="str">
        <f>"CFI"&amp;".D"&amp;TEXT(Caja_Finanzas[[#This Row],[fecha]],"DD-MM")&amp;"-"&amp;TEXT(Caja_Finanzas[[#This Row],[item]],"0000")</f>
        <v>CFI.D14-04-0362</v>
      </c>
      <c r="N375" s="8" t="str">
        <f t="shared" si="30"/>
        <v>PEN</v>
      </c>
      <c r="O375" s="13"/>
      <c r="P375" s="13">
        <v>15</v>
      </c>
      <c r="Q375" s="3">
        <f t="shared" si="26"/>
        <v>15</v>
      </c>
      <c r="R375" s="3">
        <f t="shared" si="27"/>
        <v>0</v>
      </c>
      <c r="S375" s="3">
        <f t="shared" si="28"/>
        <v>7433.9999999999909</v>
      </c>
      <c r="T375" s="24"/>
      <c r="U375" s="24"/>
      <c r="V375" s="3"/>
      <c r="W375" s="25"/>
      <c r="X375" s="25" t="s">
        <v>6980</v>
      </c>
      <c r="Y375" s="25"/>
      <c r="Z375" s="25"/>
      <c r="AA375" s="25"/>
      <c r="AB375" s="3" t="str">
        <f>IF(Caja_Finanzas[[#This Row],[fecha]]&gt;0,TEXT(Caja_Finanzas[[#This Row],[fecha]],"mmmm"),0)</f>
        <v>Abril</v>
      </c>
    </row>
    <row r="376" spans="1:28" x14ac:dyDescent="0.3">
      <c r="A376" s="2">
        <f>IF(Caja_Finanzas[[#This Row],[tipo_r]]="R",COUNTIFS($C$1:$C375,"R")+1,A375)</f>
        <v>363</v>
      </c>
      <c r="B376" s="19" t="str">
        <f t="shared" si="29"/>
        <v>C-Finanzas</v>
      </c>
      <c r="C376" s="3" t="s">
        <v>1330</v>
      </c>
      <c r="D376" s="14">
        <v>45763</v>
      </c>
      <c r="E376" s="5" t="s">
        <v>1498</v>
      </c>
      <c r="F376" s="5" t="s">
        <v>1303</v>
      </c>
      <c r="G376" s="5"/>
      <c r="H376" s="6" t="s">
        <v>425</v>
      </c>
      <c r="I376" s="6" t="s">
        <v>119</v>
      </c>
      <c r="J376" s="6">
        <v>1</v>
      </c>
      <c r="K376" s="6">
        <v>4333</v>
      </c>
      <c r="L376" s="7" t="s">
        <v>6118</v>
      </c>
      <c r="M376" s="8" t="str">
        <f>"CFI"&amp;".D"&amp;TEXT(Caja_Finanzas[[#This Row],[fecha]],"DD-MM")&amp;"-"&amp;TEXT(Caja_Finanzas[[#This Row],[item]],"0000")</f>
        <v>CFI.D16-04-0363</v>
      </c>
      <c r="N376" s="8" t="str">
        <f t="shared" si="30"/>
        <v>PEN</v>
      </c>
      <c r="O376" s="13"/>
      <c r="P376" s="13">
        <v>128</v>
      </c>
      <c r="Q376" s="3">
        <f t="shared" si="26"/>
        <v>128</v>
      </c>
      <c r="R376" s="3">
        <f t="shared" si="27"/>
        <v>0</v>
      </c>
      <c r="S376" s="3">
        <f t="shared" si="28"/>
        <v>7561.9999999999909</v>
      </c>
      <c r="T376" s="24"/>
      <c r="U376" s="24"/>
      <c r="V376" s="3"/>
      <c r="W376" s="25"/>
      <c r="X376" s="25" t="s">
        <v>6981</v>
      </c>
      <c r="Y376" s="25"/>
      <c r="Z376" s="25"/>
      <c r="AA376" s="25"/>
      <c r="AB376" s="3" t="str">
        <f>IF(Caja_Finanzas[[#This Row],[fecha]]&gt;0,TEXT(Caja_Finanzas[[#This Row],[fecha]],"mmmm"),0)</f>
        <v>Abril</v>
      </c>
    </row>
    <row r="377" spans="1:28" ht="24" x14ac:dyDescent="0.3">
      <c r="A377" s="2">
        <f>IF(Caja_Finanzas[[#This Row],[tipo_r]]="R",COUNTIFS($C$1:$C376,"R")+1,A376)</f>
        <v>364</v>
      </c>
      <c r="B377" s="19" t="str">
        <f t="shared" si="29"/>
        <v>C-Finanzas</v>
      </c>
      <c r="C377" s="3" t="s">
        <v>1330</v>
      </c>
      <c r="D377" s="14">
        <v>45763</v>
      </c>
      <c r="E377" s="5" t="s">
        <v>2502</v>
      </c>
      <c r="F377" s="5" t="s">
        <v>1303</v>
      </c>
      <c r="G377" s="5"/>
      <c r="H377" s="6" t="s">
        <v>425</v>
      </c>
      <c r="I377" s="6" t="s">
        <v>119</v>
      </c>
      <c r="J377" s="6">
        <v>1</v>
      </c>
      <c r="K377" s="6">
        <v>4334</v>
      </c>
      <c r="L377" s="7" t="s">
        <v>6118</v>
      </c>
      <c r="M377" s="8" t="str">
        <f>"CFI"&amp;".D"&amp;TEXT(Caja_Finanzas[[#This Row],[fecha]],"DD-MM")&amp;"-"&amp;TEXT(Caja_Finanzas[[#This Row],[item]],"0000")</f>
        <v>CFI.D16-04-0364</v>
      </c>
      <c r="N377" s="8" t="str">
        <f t="shared" si="30"/>
        <v>PEN</v>
      </c>
      <c r="O377" s="13"/>
      <c r="P377" s="13">
        <v>600</v>
      </c>
      <c r="Q377" s="3">
        <f t="shared" si="26"/>
        <v>600</v>
      </c>
      <c r="R377" s="3">
        <f t="shared" si="27"/>
        <v>0</v>
      </c>
      <c r="S377" s="3">
        <f t="shared" si="28"/>
        <v>8161.9999999999909</v>
      </c>
      <c r="T377" s="24"/>
      <c r="U377" s="24"/>
      <c r="V377" s="3"/>
      <c r="W377" s="25"/>
      <c r="X377" s="25" t="s">
        <v>6982</v>
      </c>
      <c r="Y377" s="25"/>
      <c r="Z377" s="25"/>
      <c r="AA377" s="25"/>
      <c r="AB377" s="3" t="str">
        <f>IF(Caja_Finanzas[[#This Row],[fecha]]&gt;0,TEXT(Caja_Finanzas[[#This Row],[fecha]],"mmmm"),0)</f>
        <v>Abril</v>
      </c>
    </row>
    <row r="378" spans="1:28" ht="24" x14ac:dyDescent="0.3">
      <c r="A378" s="2">
        <f>IF(Caja_Finanzas[[#This Row],[tipo_r]]="R",COUNTIFS($C$1:$C377,"R")+1,A377)</f>
        <v>365</v>
      </c>
      <c r="B378" s="19" t="str">
        <f t="shared" si="29"/>
        <v>C-Finanzas</v>
      </c>
      <c r="C378" s="3" t="s">
        <v>1330</v>
      </c>
      <c r="D378" s="14">
        <v>45763</v>
      </c>
      <c r="E378" s="5" t="s">
        <v>6456</v>
      </c>
      <c r="F378" s="5" t="s">
        <v>1336</v>
      </c>
      <c r="G378" s="5"/>
      <c r="H378" s="6"/>
      <c r="I378" s="6"/>
      <c r="J378" s="6"/>
      <c r="K378" s="6"/>
      <c r="L378" s="7" t="s">
        <v>6983</v>
      </c>
      <c r="M378" s="8" t="str">
        <f>"CFI"&amp;".D"&amp;TEXT(Caja_Finanzas[[#This Row],[fecha]],"DD-MM")&amp;"-"&amp;TEXT(Caja_Finanzas[[#This Row],[item]],"0000")</f>
        <v>CFI.D16-04-0365</v>
      </c>
      <c r="N378" s="8" t="str">
        <f t="shared" si="30"/>
        <v>PEN</v>
      </c>
      <c r="O378" s="13"/>
      <c r="P378" s="13">
        <v>80</v>
      </c>
      <c r="Q378" s="3">
        <f t="shared" si="26"/>
        <v>0</v>
      </c>
      <c r="R378" s="3">
        <f t="shared" si="27"/>
        <v>80</v>
      </c>
      <c r="S378" s="3">
        <f t="shared" si="28"/>
        <v>8081.9999999999909</v>
      </c>
      <c r="T378" s="24"/>
      <c r="U378" s="24"/>
      <c r="V378" s="3"/>
      <c r="W378" s="25" t="s">
        <v>6834</v>
      </c>
      <c r="X378" s="25" t="s">
        <v>6984</v>
      </c>
      <c r="Y378" s="25"/>
      <c r="Z378" s="25"/>
      <c r="AA378" s="25"/>
      <c r="AB378" s="3" t="str">
        <f>IF(Caja_Finanzas[[#This Row],[fecha]]&gt;0,TEXT(Caja_Finanzas[[#This Row],[fecha]],"mmmm"),0)</f>
        <v>Abril</v>
      </c>
    </row>
    <row r="379" spans="1:28" x14ac:dyDescent="0.3">
      <c r="A379" s="2">
        <f>IF(Caja_Finanzas[[#This Row],[tipo_r]]="R",COUNTIFS($C$1:$C378,"R")+1,A378)</f>
        <v>366</v>
      </c>
      <c r="B379" s="19" t="str">
        <f t="shared" si="29"/>
        <v>C-Finanzas</v>
      </c>
      <c r="C379" s="3" t="s">
        <v>1330</v>
      </c>
      <c r="D379" s="14">
        <v>45763</v>
      </c>
      <c r="E379" s="5" t="s">
        <v>3634</v>
      </c>
      <c r="F379" s="5" t="s">
        <v>1336</v>
      </c>
      <c r="G379" s="5"/>
      <c r="H379" s="6"/>
      <c r="I379" s="6"/>
      <c r="J379" s="6"/>
      <c r="K379" s="6"/>
      <c r="L379" s="7" t="s">
        <v>6510</v>
      </c>
      <c r="M379" s="8" t="str">
        <f>"CFI"&amp;".D"&amp;TEXT(Caja_Finanzas[[#This Row],[fecha]],"DD-MM")&amp;"-"&amp;TEXT(Caja_Finanzas[[#This Row],[item]],"0000")</f>
        <v>CFI.D16-04-0366</v>
      </c>
      <c r="N379" s="8" t="str">
        <f t="shared" si="30"/>
        <v>PEN</v>
      </c>
      <c r="O379" s="13"/>
      <c r="P379" s="13">
        <v>2900</v>
      </c>
      <c r="Q379" s="3">
        <f t="shared" si="26"/>
        <v>0</v>
      </c>
      <c r="R379" s="3">
        <f t="shared" si="27"/>
        <v>2900</v>
      </c>
      <c r="S379" s="3">
        <f t="shared" si="28"/>
        <v>5181.9999999999909</v>
      </c>
      <c r="T379" s="24"/>
      <c r="U379" s="24"/>
      <c r="V379" s="3"/>
      <c r="W379" s="25"/>
      <c r="X379" s="25"/>
      <c r="Y379" s="25"/>
      <c r="Z379" s="25"/>
      <c r="AA379" s="25"/>
      <c r="AB379" s="3" t="str">
        <f>IF(Caja_Finanzas[[#This Row],[fecha]]&gt;0,TEXT(Caja_Finanzas[[#This Row],[fecha]],"mmmm"),0)</f>
        <v>Abril</v>
      </c>
    </row>
    <row r="380" spans="1:28" ht="24" x14ac:dyDescent="0.3">
      <c r="A380" s="2">
        <f>IF(Caja_Finanzas[[#This Row],[tipo_r]]="R",COUNTIFS($C$1:$C379,"R")+1,A379)</f>
        <v>367</v>
      </c>
      <c r="B380" s="19" t="str">
        <f t="shared" si="29"/>
        <v>C-Finanzas</v>
      </c>
      <c r="C380" s="3" t="s">
        <v>1330</v>
      </c>
      <c r="D380" s="14">
        <v>45768</v>
      </c>
      <c r="E380" s="5" t="s">
        <v>4104</v>
      </c>
      <c r="F380" s="5" t="s">
        <v>1303</v>
      </c>
      <c r="G380" s="5"/>
      <c r="H380" s="6" t="s">
        <v>425</v>
      </c>
      <c r="I380" s="6" t="s">
        <v>119</v>
      </c>
      <c r="J380" s="6">
        <v>1</v>
      </c>
      <c r="K380" s="6">
        <v>4239</v>
      </c>
      <c r="L380" s="7" t="s">
        <v>6118</v>
      </c>
      <c r="M380" s="8" t="str">
        <f>"CFI"&amp;".D"&amp;TEXT(Caja_Finanzas[[#This Row],[fecha]],"DD-MM")&amp;"-"&amp;TEXT(Caja_Finanzas[[#This Row],[item]],"0000")</f>
        <v>CFI.D21-04-0367</v>
      </c>
      <c r="N380" s="8" t="str">
        <f t="shared" si="30"/>
        <v>PEN</v>
      </c>
      <c r="O380" s="13"/>
      <c r="P380" s="13">
        <v>1000</v>
      </c>
      <c r="Q380" s="3">
        <f t="shared" si="26"/>
        <v>1000</v>
      </c>
      <c r="R380" s="3">
        <f t="shared" si="27"/>
        <v>0</v>
      </c>
      <c r="S380" s="3">
        <f t="shared" si="28"/>
        <v>6181.9999999999909</v>
      </c>
      <c r="T380" s="24"/>
      <c r="U380" s="24"/>
      <c r="V380" s="3"/>
      <c r="W380" s="25"/>
      <c r="X380" s="25" t="s">
        <v>6836</v>
      </c>
      <c r="Y380" s="25"/>
      <c r="Z380" s="25"/>
      <c r="AA380" s="25"/>
      <c r="AB380" s="3" t="str">
        <f>IF(Caja_Finanzas[[#This Row],[fecha]]&gt;0,TEXT(Caja_Finanzas[[#This Row],[fecha]],"mmmm"),0)</f>
        <v>Abril</v>
      </c>
    </row>
    <row r="381" spans="1:28" ht="24" x14ac:dyDescent="0.3">
      <c r="A381" s="2">
        <f>IF(Caja_Finanzas[[#This Row],[tipo_r]]="R",COUNTIFS($C$1:$C380,"R")+1,A380)</f>
        <v>368</v>
      </c>
      <c r="B381" s="19" t="str">
        <f t="shared" si="29"/>
        <v>C-Finanzas</v>
      </c>
      <c r="C381" s="3" t="s">
        <v>1330</v>
      </c>
      <c r="D381" s="14">
        <v>45768</v>
      </c>
      <c r="E381" s="5" t="s">
        <v>3634</v>
      </c>
      <c r="F381" s="5" t="s">
        <v>1303</v>
      </c>
      <c r="G381" s="5"/>
      <c r="H381" s="6"/>
      <c r="I381" s="6"/>
      <c r="J381" s="6"/>
      <c r="K381" s="6"/>
      <c r="L381" s="7" t="s">
        <v>5817</v>
      </c>
      <c r="M381" s="8" t="str">
        <f>"CFI"&amp;".D"&amp;TEXT(Caja_Finanzas[[#This Row],[fecha]],"DD-MM")&amp;"-"&amp;TEXT(Caja_Finanzas[[#This Row],[item]],"0000")</f>
        <v>CFI.D21-04-0368</v>
      </c>
      <c r="N381" s="8" t="str">
        <f t="shared" si="30"/>
        <v>PEN</v>
      </c>
      <c r="O381" s="13"/>
      <c r="P381" s="13">
        <v>320</v>
      </c>
      <c r="Q381" s="3">
        <f t="shared" si="26"/>
        <v>320</v>
      </c>
      <c r="R381" s="3">
        <f t="shared" si="27"/>
        <v>0</v>
      </c>
      <c r="S381" s="3">
        <f t="shared" si="28"/>
        <v>6501.9999999999909</v>
      </c>
      <c r="T381" s="24"/>
      <c r="U381" s="24"/>
      <c r="V381" s="3"/>
      <c r="W381" s="25"/>
      <c r="X381" s="25"/>
      <c r="Y381" s="25"/>
      <c r="Z381" s="25"/>
      <c r="AA381" s="25"/>
      <c r="AB381" s="3" t="str">
        <f>IF(Caja_Finanzas[[#This Row],[fecha]]&gt;0,TEXT(Caja_Finanzas[[#This Row],[fecha]],"mmmm"),0)</f>
        <v>Abril</v>
      </c>
    </row>
    <row r="382" spans="1:28" ht="36" x14ac:dyDescent="0.3">
      <c r="A382" s="2">
        <f>IF(Caja_Finanzas[[#This Row],[tipo_r]]="R",COUNTIFS($C$1:$C381,"R")+1,A381)</f>
        <v>369</v>
      </c>
      <c r="B382" s="19" t="str">
        <f t="shared" si="29"/>
        <v>C-Finanzas</v>
      </c>
      <c r="C382" s="3" t="s">
        <v>1330</v>
      </c>
      <c r="D382" s="14">
        <v>45768</v>
      </c>
      <c r="E382" s="5" t="s">
        <v>6415</v>
      </c>
      <c r="F382" s="5" t="s">
        <v>1336</v>
      </c>
      <c r="G382" s="5"/>
      <c r="H382" s="6"/>
      <c r="I382" s="6"/>
      <c r="J382" s="6"/>
      <c r="K382" s="6"/>
      <c r="L382" s="7" t="s">
        <v>6985</v>
      </c>
      <c r="M382" s="8" t="str">
        <f>"CFI"&amp;".D"&amp;TEXT(Caja_Finanzas[[#This Row],[fecha]],"DD-MM")&amp;"-"&amp;TEXT(Caja_Finanzas[[#This Row],[item]],"0000")</f>
        <v>CFI.D21-04-0369</v>
      </c>
      <c r="N382" s="8" t="str">
        <f t="shared" si="30"/>
        <v>PEN</v>
      </c>
      <c r="O382" s="13"/>
      <c r="P382" s="13">
        <v>50</v>
      </c>
      <c r="Q382" s="3">
        <f t="shared" si="26"/>
        <v>0</v>
      </c>
      <c r="R382" s="3">
        <f t="shared" si="27"/>
        <v>50</v>
      </c>
      <c r="S382" s="3">
        <f t="shared" si="28"/>
        <v>6451.9999999999909</v>
      </c>
      <c r="T382" s="24"/>
      <c r="U382" s="24"/>
      <c r="V382" s="3"/>
      <c r="W382" s="25" t="s">
        <v>6951</v>
      </c>
      <c r="X382" s="25" t="s">
        <v>6986</v>
      </c>
      <c r="Y382" s="25"/>
      <c r="Z382" s="25"/>
      <c r="AA382" s="25"/>
      <c r="AB382" s="3" t="str">
        <f>IF(Caja_Finanzas[[#This Row],[fecha]]&gt;0,TEXT(Caja_Finanzas[[#This Row],[fecha]],"mmmm"),0)</f>
        <v>Abril</v>
      </c>
    </row>
    <row r="383" spans="1:28" ht="36" x14ac:dyDescent="0.3">
      <c r="A383" s="2">
        <f>IF(Caja_Finanzas[[#This Row],[tipo_r]]="R",COUNTIFS($C$1:$C382,"R")+1,A382)</f>
        <v>370</v>
      </c>
      <c r="B383" s="19" t="str">
        <f t="shared" si="29"/>
        <v>C-Finanzas</v>
      </c>
      <c r="C383" s="3" t="s">
        <v>1330</v>
      </c>
      <c r="D383" s="14">
        <v>45768</v>
      </c>
      <c r="E383" s="5" t="s">
        <v>6415</v>
      </c>
      <c r="F383" s="5" t="s">
        <v>1336</v>
      </c>
      <c r="G383" s="5"/>
      <c r="H383" s="6"/>
      <c r="I383" s="6"/>
      <c r="J383" s="6"/>
      <c r="K383" s="6"/>
      <c r="L383" s="7" t="s">
        <v>6987</v>
      </c>
      <c r="M383" s="8" t="str">
        <f>"CFI"&amp;".D"&amp;TEXT(Caja_Finanzas[[#This Row],[fecha]],"DD-MM")&amp;"-"&amp;TEXT(Caja_Finanzas[[#This Row],[item]],"0000")</f>
        <v>CFI.D21-04-0370</v>
      </c>
      <c r="N383" s="8" t="str">
        <f t="shared" si="30"/>
        <v>PEN</v>
      </c>
      <c r="O383" s="13"/>
      <c r="P383" s="13">
        <v>80</v>
      </c>
      <c r="Q383" s="3">
        <f t="shared" si="26"/>
        <v>0</v>
      </c>
      <c r="R383" s="3">
        <f t="shared" si="27"/>
        <v>80</v>
      </c>
      <c r="S383" s="3">
        <f t="shared" si="28"/>
        <v>6371.9999999999909</v>
      </c>
      <c r="T383" s="24"/>
      <c r="U383" s="24"/>
      <c r="V383" s="3"/>
      <c r="W383" s="25" t="s">
        <v>6951</v>
      </c>
      <c r="X383" s="25" t="s">
        <v>6988</v>
      </c>
      <c r="Y383" s="25"/>
      <c r="Z383" s="25"/>
      <c r="AA383" s="25"/>
      <c r="AB383" s="3" t="str">
        <f>IF(Caja_Finanzas[[#This Row],[fecha]]&gt;0,TEXT(Caja_Finanzas[[#This Row],[fecha]],"mmmm"),0)</f>
        <v>Abril</v>
      </c>
    </row>
    <row r="384" spans="1:28" ht="24" x14ac:dyDescent="0.3">
      <c r="A384" s="2">
        <f>IF(Caja_Finanzas[[#This Row],[tipo_r]]="R",COUNTIFS($C$1:$C383,"R")+1,A383)</f>
        <v>371</v>
      </c>
      <c r="B384" s="19" t="str">
        <f t="shared" si="29"/>
        <v>C-Finanzas</v>
      </c>
      <c r="C384" s="3" t="s">
        <v>1330</v>
      </c>
      <c r="D384" s="14">
        <v>45769</v>
      </c>
      <c r="E384" s="5" t="s">
        <v>1875</v>
      </c>
      <c r="F384" s="5" t="s">
        <v>1303</v>
      </c>
      <c r="G384" s="5"/>
      <c r="H384" s="6" t="s">
        <v>425</v>
      </c>
      <c r="I384" s="6" t="s">
        <v>119</v>
      </c>
      <c r="J384" s="6">
        <v>1</v>
      </c>
      <c r="K384" s="6">
        <v>4340</v>
      </c>
      <c r="L384" s="7" t="s">
        <v>6118</v>
      </c>
      <c r="M384" s="8" t="str">
        <f>"CFI"&amp;".D"&amp;TEXT(Caja_Finanzas[[#This Row],[fecha]],"DD-MM")&amp;"-"&amp;TEXT(Caja_Finanzas[[#This Row],[item]],"0000")</f>
        <v>CFI.D22-04-0371</v>
      </c>
      <c r="N384" s="8" t="str">
        <f t="shared" si="30"/>
        <v>PEN</v>
      </c>
      <c r="O384" s="13"/>
      <c r="P384" s="13">
        <v>390</v>
      </c>
      <c r="Q384" s="3">
        <f t="shared" si="26"/>
        <v>390</v>
      </c>
      <c r="R384" s="3">
        <f t="shared" si="27"/>
        <v>0</v>
      </c>
      <c r="S384" s="3">
        <f t="shared" si="28"/>
        <v>6761.9999999999909</v>
      </c>
      <c r="T384" s="24"/>
      <c r="U384" s="24"/>
      <c r="V384" s="3"/>
      <c r="W384" s="25"/>
      <c r="X384" s="25" t="s">
        <v>6989</v>
      </c>
      <c r="Y384" s="25"/>
      <c r="Z384" s="25"/>
      <c r="AA384" s="25"/>
      <c r="AB384" s="3" t="str">
        <f>IF(Caja_Finanzas[[#This Row],[fecha]]&gt;0,TEXT(Caja_Finanzas[[#This Row],[fecha]],"mmmm"),0)</f>
        <v>Abril</v>
      </c>
    </row>
    <row r="385" spans="1:28" x14ac:dyDescent="0.3">
      <c r="A385" s="2">
        <f>IF(Caja_Finanzas[[#This Row],[tipo_r]]="R",COUNTIFS($C$1:$C384,"R")+1,A384)</f>
        <v>372</v>
      </c>
      <c r="B385" s="19" t="str">
        <f t="shared" si="29"/>
        <v>C-Finanzas</v>
      </c>
      <c r="C385" s="3" t="s">
        <v>1330</v>
      </c>
      <c r="D385" s="14">
        <v>45770</v>
      </c>
      <c r="E385" s="5"/>
      <c r="F385" s="5" t="s">
        <v>1336</v>
      </c>
      <c r="G385" s="5"/>
      <c r="H385" s="6"/>
      <c r="I385" s="6"/>
      <c r="J385" s="6"/>
      <c r="K385" s="6"/>
      <c r="L385" s="7" t="s">
        <v>6990</v>
      </c>
      <c r="M385" s="8" t="str">
        <f>"CFI"&amp;".D"&amp;TEXT(Caja_Finanzas[[#This Row],[fecha]],"DD-MM")&amp;"-"&amp;TEXT(Caja_Finanzas[[#This Row],[item]],"0000")</f>
        <v>CFI.D23-04-0372</v>
      </c>
      <c r="N385" s="8" t="str">
        <f t="shared" si="30"/>
        <v>PEN</v>
      </c>
      <c r="O385" s="13"/>
      <c r="P385" s="13"/>
      <c r="Q385" s="3">
        <f t="shared" si="26"/>
        <v>0</v>
      </c>
      <c r="R385" s="3">
        <f t="shared" si="27"/>
        <v>0</v>
      </c>
      <c r="S385" s="3">
        <f t="shared" si="28"/>
        <v>6761.9999999999909</v>
      </c>
      <c r="T385" s="24"/>
      <c r="U385" s="24"/>
      <c r="V385" s="3"/>
      <c r="W385" s="25"/>
      <c r="X385" s="25"/>
      <c r="Y385" s="25"/>
      <c r="Z385" s="25"/>
      <c r="AA385" s="25"/>
      <c r="AB385" s="3" t="str">
        <f>IF(Caja_Finanzas[[#This Row],[fecha]]&gt;0,TEXT(Caja_Finanzas[[#This Row],[fecha]],"mmmm"),0)</f>
        <v>Abril</v>
      </c>
    </row>
    <row r="386" spans="1:28" ht="24" x14ac:dyDescent="0.3">
      <c r="A386" s="2">
        <f>IF(Caja_Finanzas[[#This Row],[tipo_r]]="R",COUNTIFS($C$1:$C385,"R")+1,A385)</f>
        <v>373</v>
      </c>
      <c r="B386" s="19" t="str">
        <f t="shared" si="29"/>
        <v>C-Finanzas</v>
      </c>
      <c r="C386" s="3" t="s">
        <v>1330</v>
      </c>
      <c r="D386" s="14">
        <v>45770</v>
      </c>
      <c r="E386" s="5" t="s">
        <v>6409</v>
      </c>
      <c r="F386" s="5" t="s">
        <v>1336</v>
      </c>
      <c r="G386" s="5"/>
      <c r="H386" s="6"/>
      <c r="I386" s="6"/>
      <c r="J386" s="6"/>
      <c r="K386" s="6"/>
      <c r="L386" s="7" t="s">
        <v>6991</v>
      </c>
      <c r="M386" s="8" t="str">
        <f>"CFI"&amp;".D"&amp;TEXT(Caja_Finanzas[[#This Row],[fecha]],"DD-MM")&amp;"-"&amp;TEXT(Caja_Finanzas[[#This Row],[item]],"0000")</f>
        <v>CFI.D23-04-0373</v>
      </c>
      <c r="N386" s="8" t="str">
        <f t="shared" si="30"/>
        <v>PEN</v>
      </c>
      <c r="O386" s="13"/>
      <c r="P386" s="13">
        <v>200</v>
      </c>
      <c r="Q386" s="3">
        <f t="shared" ref="Q386:Q449" si="31">+IF(OR($F386="SALDO",$F386="INGRESO"),$P386,0)</f>
        <v>0</v>
      </c>
      <c r="R386" s="3">
        <f t="shared" ref="R386:R449" si="32">+IF($F386="EGRESO",$P386,0)</f>
        <v>200</v>
      </c>
      <c r="S386" s="3">
        <f t="shared" ref="S386:S449" si="33">IFERROR(IF(F386="SALDO",Q386,S385+Q386-R386),0)</f>
        <v>6561.9999999999909</v>
      </c>
      <c r="T386" s="24"/>
      <c r="U386" s="24"/>
      <c r="V386" s="3"/>
      <c r="W386" s="25" t="s">
        <v>6709</v>
      </c>
      <c r="X386" s="25" t="s">
        <v>6992</v>
      </c>
      <c r="Y386" s="25"/>
      <c r="Z386" s="25"/>
      <c r="AA386" s="25"/>
      <c r="AB386" s="3" t="str">
        <f>IF(Caja_Finanzas[[#This Row],[fecha]]&gt;0,TEXT(Caja_Finanzas[[#This Row],[fecha]],"mmmm"),0)</f>
        <v>Abril</v>
      </c>
    </row>
    <row r="387" spans="1:28" ht="24" x14ac:dyDescent="0.3">
      <c r="A387" s="2">
        <f>IF(Caja_Finanzas[[#This Row],[tipo_r]]="R",COUNTIFS($C$1:$C386,"R")+1,A386)</f>
        <v>374</v>
      </c>
      <c r="B387" s="19" t="str">
        <f t="shared" ref="B387:B450" si="34">"C-Finanzas"</f>
        <v>C-Finanzas</v>
      </c>
      <c r="C387" s="3" t="s">
        <v>1330</v>
      </c>
      <c r="D387" s="14">
        <v>45770</v>
      </c>
      <c r="E387" s="5" t="s">
        <v>6409</v>
      </c>
      <c r="F387" s="5" t="s">
        <v>1336</v>
      </c>
      <c r="G387" s="5"/>
      <c r="H387" s="6"/>
      <c r="I387" s="6"/>
      <c r="J387" s="6"/>
      <c r="K387" s="6"/>
      <c r="L387" s="7" t="s">
        <v>6993</v>
      </c>
      <c r="M387" s="8" t="str">
        <f>"CFI"&amp;".D"&amp;TEXT(Caja_Finanzas[[#This Row],[fecha]],"DD-MM")&amp;"-"&amp;TEXT(Caja_Finanzas[[#This Row],[item]],"0000")</f>
        <v>CFI.D23-04-0374</v>
      </c>
      <c r="N387" s="8" t="str">
        <f t="shared" ref="N387:N450" si="35">"PEN"</f>
        <v>PEN</v>
      </c>
      <c r="O387" s="13"/>
      <c r="P387" s="13">
        <v>5</v>
      </c>
      <c r="Q387" s="3">
        <f t="shared" si="31"/>
        <v>0</v>
      </c>
      <c r="R387" s="3">
        <f t="shared" si="32"/>
        <v>5</v>
      </c>
      <c r="S387" s="3">
        <f t="shared" si="33"/>
        <v>6556.9999999999909</v>
      </c>
      <c r="T387" s="24"/>
      <c r="U387" s="24"/>
      <c r="V387" s="3"/>
      <c r="W387" s="25" t="s">
        <v>6994</v>
      </c>
      <c r="X387" s="25"/>
      <c r="Y387" s="25"/>
      <c r="Z387" s="25"/>
      <c r="AA387" s="25"/>
      <c r="AB387" s="3" t="str">
        <f>IF(Caja_Finanzas[[#This Row],[fecha]]&gt;0,TEXT(Caja_Finanzas[[#This Row],[fecha]],"mmmm"),0)</f>
        <v>Abril</v>
      </c>
    </row>
    <row r="388" spans="1:28" x14ac:dyDescent="0.3">
      <c r="A388" s="2">
        <f>IF(Caja_Finanzas[[#This Row],[tipo_r]]="R",COUNTIFS($C$1:$C387,"R")+1,A387)</f>
        <v>375</v>
      </c>
      <c r="B388" s="19" t="str">
        <f t="shared" si="34"/>
        <v>C-Finanzas</v>
      </c>
      <c r="C388" s="3" t="s">
        <v>1330</v>
      </c>
      <c r="D388" s="14">
        <v>45770</v>
      </c>
      <c r="E388" s="5" t="s">
        <v>5811</v>
      </c>
      <c r="F388" s="5" t="s">
        <v>1336</v>
      </c>
      <c r="G388" s="5"/>
      <c r="H388" s="6"/>
      <c r="I388" s="6"/>
      <c r="J388" s="6"/>
      <c r="K388" s="6"/>
      <c r="L388" s="7" t="s">
        <v>6995</v>
      </c>
      <c r="M388" s="8" t="str">
        <f>"CFI"&amp;".D"&amp;TEXT(Caja_Finanzas[[#This Row],[fecha]],"DD-MM")&amp;"-"&amp;TEXT(Caja_Finanzas[[#This Row],[item]],"0000")</f>
        <v>CFI.D23-04-0375</v>
      </c>
      <c r="N388" s="8" t="str">
        <f t="shared" si="35"/>
        <v>PEN</v>
      </c>
      <c r="O388" s="13"/>
      <c r="P388" s="13">
        <v>50</v>
      </c>
      <c r="Q388" s="3">
        <f t="shared" si="31"/>
        <v>0</v>
      </c>
      <c r="R388" s="3">
        <f t="shared" si="32"/>
        <v>50</v>
      </c>
      <c r="S388" s="3">
        <f t="shared" si="33"/>
        <v>6506.9999999999909</v>
      </c>
      <c r="T388" s="24"/>
      <c r="U388" s="24"/>
      <c r="V388" s="3"/>
      <c r="W388" s="25"/>
      <c r="X388" s="25"/>
      <c r="Y388" s="25"/>
      <c r="Z388" s="25"/>
      <c r="AA388" s="25"/>
      <c r="AB388" s="3" t="str">
        <f>IF(Caja_Finanzas[[#This Row],[fecha]]&gt;0,TEXT(Caja_Finanzas[[#This Row],[fecha]],"mmmm"),0)</f>
        <v>Abril</v>
      </c>
    </row>
    <row r="389" spans="1:28" ht="48" x14ac:dyDescent="0.3">
      <c r="A389" s="2">
        <f>IF(Caja_Finanzas[[#This Row],[tipo_r]]="R",COUNTIFS($C$1:$C388,"R")+1,A388)</f>
        <v>376</v>
      </c>
      <c r="B389" s="19" t="str">
        <f t="shared" si="34"/>
        <v>C-Finanzas</v>
      </c>
      <c r="C389" s="3" t="s">
        <v>1330</v>
      </c>
      <c r="D389" s="14">
        <v>45770</v>
      </c>
      <c r="E389" s="5" t="s">
        <v>6460</v>
      </c>
      <c r="F389" s="5" t="s">
        <v>1336</v>
      </c>
      <c r="G389" s="5"/>
      <c r="H389" s="6"/>
      <c r="I389" s="6"/>
      <c r="J389" s="6"/>
      <c r="K389" s="6"/>
      <c r="L389" s="7" t="s">
        <v>6996</v>
      </c>
      <c r="M389" s="8" t="str">
        <f>"CFI"&amp;".D"&amp;TEXT(Caja_Finanzas[[#This Row],[fecha]],"DD-MM")&amp;"-"&amp;TEXT(Caja_Finanzas[[#This Row],[item]],"0000")</f>
        <v>CFI.D23-04-0376</v>
      </c>
      <c r="N389" s="8" t="str">
        <f t="shared" si="35"/>
        <v>PEN</v>
      </c>
      <c r="O389" s="13"/>
      <c r="P389" s="13">
        <v>260</v>
      </c>
      <c r="Q389" s="3">
        <f t="shared" si="31"/>
        <v>0</v>
      </c>
      <c r="R389" s="3">
        <f t="shared" si="32"/>
        <v>260</v>
      </c>
      <c r="S389" s="3">
        <f t="shared" si="33"/>
        <v>6246.9999999999909</v>
      </c>
      <c r="T389" s="24"/>
      <c r="U389" s="24"/>
      <c r="V389" s="3"/>
      <c r="W389" s="25" t="s">
        <v>6709</v>
      </c>
      <c r="X389" s="25" t="s">
        <v>6997</v>
      </c>
      <c r="Y389" s="25"/>
      <c r="Z389" s="25"/>
      <c r="AA389" s="25"/>
      <c r="AB389" s="3" t="str">
        <f>IF(Caja_Finanzas[[#This Row],[fecha]]&gt;0,TEXT(Caja_Finanzas[[#This Row],[fecha]],"mmmm"),0)</f>
        <v>Abril</v>
      </c>
    </row>
    <row r="390" spans="1:28" ht="24" x14ac:dyDescent="0.3">
      <c r="A390" s="2">
        <f>IF(Caja_Finanzas[[#This Row],[tipo_r]]="R",COUNTIFS($C$1:$C389,"R")+1,A389)</f>
        <v>377</v>
      </c>
      <c r="B390" s="19" t="str">
        <f t="shared" si="34"/>
        <v>C-Finanzas</v>
      </c>
      <c r="C390" s="3" t="s">
        <v>1330</v>
      </c>
      <c r="D390" s="14">
        <v>45770</v>
      </c>
      <c r="E390" s="5" t="s">
        <v>5828</v>
      </c>
      <c r="F390" s="5" t="s">
        <v>1336</v>
      </c>
      <c r="G390" s="5"/>
      <c r="H390" s="6"/>
      <c r="I390" s="6"/>
      <c r="J390" s="6"/>
      <c r="K390" s="6"/>
      <c r="L390" s="7" t="s">
        <v>6998</v>
      </c>
      <c r="M390" s="8" t="str">
        <f>"CFI"&amp;".D"&amp;TEXT(Caja_Finanzas[[#This Row],[fecha]],"DD-MM")&amp;"-"&amp;TEXT(Caja_Finanzas[[#This Row],[item]],"0000")</f>
        <v>CFI.D23-04-0377</v>
      </c>
      <c r="N390" s="8" t="str">
        <f t="shared" si="35"/>
        <v>PEN</v>
      </c>
      <c r="O390" s="13"/>
      <c r="P390" s="13">
        <v>405</v>
      </c>
      <c r="Q390" s="3">
        <f t="shared" si="31"/>
        <v>0</v>
      </c>
      <c r="R390" s="3">
        <f t="shared" si="32"/>
        <v>405</v>
      </c>
      <c r="S390" s="3">
        <f t="shared" si="33"/>
        <v>5841.9999999999909</v>
      </c>
      <c r="T390" s="24"/>
      <c r="U390" s="24"/>
      <c r="V390" s="3"/>
      <c r="W390" s="25" t="s">
        <v>6709</v>
      </c>
      <c r="X390" s="25" t="s">
        <v>6999</v>
      </c>
      <c r="Y390" s="25"/>
      <c r="Z390" s="25"/>
      <c r="AA390" s="25"/>
      <c r="AB390" s="3" t="str">
        <f>IF(Caja_Finanzas[[#This Row],[fecha]]&gt;0,TEXT(Caja_Finanzas[[#This Row],[fecha]],"mmmm"),0)</f>
        <v>Abril</v>
      </c>
    </row>
    <row r="391" spans="1:28" ht="24" x14ac:dyDescent="0.3">
      <c r="A391" s="2">
        <f>IF(Caja_Finanzas[[#This Row],[tipo_r]]="R",COUNTIFS($C$1:$C390,"R")+1,A390)</f>
        <v>378</v>
      </c>
      <c r="B391" s="19" t="str">
        <f t="shared" si="34"/>
        <v>C-Finanzas</v>
      </c>
      <c r="C391" s="3" t="s">
        <v>1330</v>
      </c>
      <c r="D391" s="14">
        <v>45770</v>
      </c>
      <c r="E391" s="5" t="s">
        <v>5828</v>
      </c>
      <c r="F391" s="5" t="s">
        <v>1336</v>
      </c>
      <c r="G391" s="5"/>
      <c r="H391" s="6"/>
      <c r="I391" s="6"/>
      <c r="J391" s="6"/>
      <c r="K391" s="6"/>
      <c r="L391" s="7" t="s">
        <v>7000</v>
      </c>
      <c r="M391" s="8" t="str">
        <f>"CFI"&amp;".D"&amp;TEXT(Caja_Finanzas[[#This Row],[fecha]],"DD-MM")&amp;"-"&amp;TEXT(Caja_Finanzas[[#This Row],[item]],"0000")</f>
        <v>CFI.D23-04-0378</v>
      </c>
      <c r="N391" s="8" t="str">
        <f t="shared" si="35"/>
        <v>PEN</v>
      </c>
      <c r="O391" s="13"/>
      <c r="P391" s="13">
        <v>360</v>
      </c>
      <c r="Q391" s="3">
        <f t="shared" si="31"/>
        <v>0</v>
      </c>
      <c r="R391" s="3">
        <f t="shared" si="32"/>
        <v>360</v>
      </c>
      <c r="S391" s="3">
        <f t="shared" si="33"/>
        <v>5481.9999999999909</v>
      </c>
      <c r="T391" s="24"/>
      <c r="U391" s="24"/>
      <c r="V391" s="3"/>
      <c r="W391" s="25" t="s">
        <v>6709</v>
      </c>
      <c r="X391" s="25" t="s">
        <v>7001</v>
      </c>
      <c r="Y391" s="25"/>
      <c r="Z391" s="25"/>
      <c r="AA391" s="25"/>
      <c r="AB391" s="3" t="str">
        <f>IF(Caja_Finanzas[[#This Row],[fecha]]&gt;0,TEXT(Caja_Finanzas[[#This Row],[fecha]],"mmmm"),0)</f>
        <v>Abril</v>
      </c>
    </row>
    <row r="392" spans="1:28" ht="24" x14ac:dyDescent="0.3">
      <c r="A392" s="2">
        <f>IF(Caja_Finanzas[[#This Row],[tipo_r]]="R",COUNTIFS($C$1:$C391,"R")+1,A391)</f>
        <v>379</v>
      </c>
      <c r="B392" s="19" t="str">
        <f t="shared" si="34"/>
        <v>C-Finanzas</v>
      </c>
      <c r="C392" s="3" t="s">
        <v>1330</v>
      </c>
      <c r="D392" s="14">
        <v>45770</v>
      </c>
      <c r="E392" s="5" t="s">
        <v>6418</v>
      </c>
      <c r="F392" s="5" t="s">
        <v>1336</v>
      </c>
      <c r="G392" s="5"/>
      <c r="H392" s="6" t="s">
        <v>809</v>
      </c>
      <c r="I392" s="6"/>
      <c r="J392" s="6"/>
      <c r="K392" s="6"/>
      <c r="L392" s="7" t="s">
        <v>7002</v>
      </c>
      <c r="M392" s="8" t="str">
        <f>"CFI"&amp;".D"&amp;TEXT(Caja_Finanzas[[#This Row],[fecha]],"DD-MM")&amp;"-"&amp;TEXT(Caja_Finanzas[[#This Row],[item]],"0000")</f>
        <v>CFI.D23-04-0379</v>
      </c>
      <c r="N392" s="8" t="str">
        <f t="shared" si="35"/>
        <v>PEN</v>
      </c>
      <c r="O392" s="13"/>
      <c r="P392" s="13">
        <v>3000</v>
      </c>
      <c r="Q392" s="3">
        <f t="shared" si="31"/>
        <v>0</v>
      </c>
      <c r="R392" s="3">
        <f t="shared" si="32"/>
        <v>3000</v>
      </c>
      <c r="S392" s="3">
        <f t="shared" si="33"/>
        <v>2481.9999999999909</v>
      </c>
      <c r="T392" s="24"/>
      <c r="U392" s="24"/>
      <c r="V392" s="3"/>
      <c r="W392" s="25"/>
      <c r="X392" s="25"/>
      <c r="Y392" s="25"/>
      <c r="Z392" s="25"/>
      <c r="AA392" s="25"/>
      <c r="AB392" s="3" t="str">
        <f>IF(Caja_Finanzas[[#This Row],[fecha]]&gt;0,TEXT(Caja_Finanzas[[#This Row],[fecha]],"mmmm"),0)</f>
        <v>Abril</v>
      </c>
    </row>
    <row r="393" spans="1:28" ht="36" x14ac:dyDescent="0.3">
      <c r="A393" s="2">
        <f>IF(Caja_Finanzas[[#This Row],[tipo_r]]="R",COUNTIFS($C$1:$C392,"R")+1,A392)</f>
        <v>380</v>
      </c>
      <c r="B393" s="19" t="str">
        <f t="shared" si="34"/>
        <v>C-Finanzas</v>
      </c>
      <c r="C393" s="3" t="s">
        <v>1330</v>
      </c>
      <c r="D393" s="14">
        <v>45771</v>
      </c>
      <c r="E393" s="5" t="s">
        <v>6451</v>
      </c>
      <c r="F393" s="5" t="s">
        <v>1336</v>
      </c>
      <c r="G393" s="5"/>
      <c r="H393" s="6"/>
      <c r="I393" s="6"/>
      <c r="J393" s="6"/>
      <c r="K393" s="6"/>
      <c r="L393" s="7" t="s">
        <v>7003</v>
      </c>
      <c r="M393" s="8" t="str">
        <f>"CFI"&amp;".D"&amp;TEXT(Caja_Finanzas[[#This Row],[fecha]],"DD-MM")&amp;"-"&amp;TEXT(Caja_Finanzas[[#This Row],[item]],"0000")</f>
        <v>CFI.D24-04-0380</v>
      </c>
      <c r="N393" s="8" t="str">
        <f t="shared" si="35"/>
        <v>PEN</v>
      </c>
      <c r="O393" s="13"/>
      <c r="P393" s="13">
        <v>375</v>
      </c>
      <c r="Q393" s="3">
        <f t="shared" si="31"/>
        <v>0</v>
      </c>
      <c r="R393" s="3">
        <f t="shared" si="32"/>
        <v>375</v>
      </c>
      <c r="S393" s="3">
        <f t="shared" si="33"/>
        <v>2106.9999999999909</v>
      </c>
      <c r="T393" s="24"/>
      <c r="U393" s="24"/>
      <c r="V393" s="3"/>
      <c r="W393" s="25" t="s">
        <v>6709</v>
      </c>
      <c r="X393" s="25" t="s">
        <v>7004</v>
      </c>
      <c r="Y393" s="25"/>
      <c r="Z393" s="25"/>
      <c r="AA393" s="25"/>
      <c r="AB393" s="3" t="str">
        <f>IF(Caja_Finanzas[[#This Row],[fecha]]&gt;0,TEXT(Caja_Finanzas[[#This Row],[fecha]],"mmmm"),0)</f>
        <v>Abril</v>
      </c>
    </row>
    <row r="394" spans="1:28" ht="24" x14ac:dyDescent="0.3">
      <c r="A394" s="2">
        <f>IF(Caja_Finanzas[[#This Row],[tipo_r]]="R",COUNTIFS($C$1:$C393,"R")+1,A393)</f>
        <v>381</v>
      </c>
      <c r="B394" s="19" t="str">
        <f t="shared" si="34"/>
        <v>C-Finanzas</v>
      </c>
      <c r="C394" s="3" t="s">
        <v>1330</v>
      </c>
      <c r="D394" s="14">
        <v>45771</v>
      </c>
      <c r="E394" s="5" t="s">
        <v>2938</v>
      </c>
      <c r="F394" s="5" t="s">
        <v>1303</v>
      </c>
      <c r="G394" s="5"/>
      <c r="H394" s="6" t="s">
        <v>425</v>
      </c>
      <c r="I394" s="6" t="s">
        <v>119</v>
      </c>
      <c r="J394" s="6">
        <v>1</v>
      </c>
      <c r="K394" s="6">
        <v>4350</v>
      </c>
      <c r="L394" s="7" t="s">
        <v>6118</v>
      </c>
      <c r="M394" s="8" t="str">
        <f>"CFI"&amp;".D"&amp;TEXT(Caja_Finanzas[[#This Row],[fecha]],"DD-MM")&amp;"-"&amp;TEXT(Caja_Finanzas[[#This Row],[item]],"0000")</f>
        <v>CFI.D24-04-0381</v>
      </c>
      <c r="N394" s="8" t="str">
        <f t="shared" si="35"/>
        <v>PEN</v>
      </c>
      <c r="O394" s="13"/>
      <c r="P394" s="13">
        <v>7020</v>
      </c>
      <c r="Q394" s="3">
        <f t="shared" si="31"/>
        <v>7020</v>
      </c>
      <c r="R394" s="3">
        <f t="shared" si="32"/>
        <v>0</v>
      </c>
      <c r="S394" s="3">
        <f t="shared" si="33"/>
        <v>9126.9999999999909</v>
      </c>
      <c r="T394" s="24"/>
      <c r="U394" s="24"/>
      <c r="V394" s="3"/>
      <c r="W394" s="25"/>
      <c r="X394" s="25" t="s">
        <v>7005</v>
      </c>
      <c r="Y394" s="25"/>
      <c r="Z394" s="25"/>
      <c r="AA394" s="25"/>
      <c r="AB394" s="3" t="str">
        <f>IF(Caja_Finanzas[[#This Row],[fecha]]&gt;0,TEXT(Caja_Finanzas[[#This Row],[fecha]],"mmmm"),0)</f>
        <v>Abril</v>
      </c>
    </row>
    <row r="395" spans="1:28" ht="24" x14ac:dyDescent="0.3">
      <c r="A395" s="2">
        <f>IF(Caja_Finanzas[[#This Row],[tipo_r]]="R",COUNTIFS($C$1:$C394,"R")+1,A394)</f>
        <v>382</v>
      </c>
      <c r="B395" s="19" t="str">
        <f t="shared" si="34"/>
        <v>C-Finanzas</v>
      </c>
      <c r="C395" s="3" t="s">
        <v>1330</v>
      </c>
      <c r="D395" s="14">
        <v>45771</v>
      </c>
      <c r="E395" s="5" t="s">
        <v>2938</v>
      </c>
      <c r="F395" s="5" t="s">
        <v>1303</v>
      </c>
      <c r="G395" s="5"/>
      <c r="H395" s="6" t="s">
        <v>425</v>
      </c>
      <c r="I395" s="6" t="s">
        <v>119</v>
      </c>
      <c r="J395" s="6">
        <v>1</v>
      </c>
      <c r="K395" s="6">
        <v>4353</v>
      </c>
      <c r="L395" s="7" t="s">
        <v>6118</v>
      </c>
      <c r="M395" s="8" t="str">
        <f>"CFI"&amp;".D"&amp;TEXT(Caja_Finanzas[[#This Row],[fecha]],"DD-MM")&amp;"-"&amp;TEXT(Caja_Finanzas[[#This Row],[item]],"0000")</f>
        <v>CFI.D24-04-0382</v>
      </c>
      <c r="N395" s="8" t="str">
        <f t="shared" si="35"/>
        <v>PEN</v>
      </c>
      <c r="O395" s="13"/>
      <c r="P395" s="13">
        <v>7592</v>
      </c>
      <c r="Q395" s="3">
        <f t="shared" si="31"/>
        <v>7592</v>
      </c>
      <c r="R395" s="3">
        <f t="shared" si="32"/>
        <v>0</v>
      </c>
      <c r="S395" s="3">
        <f t="shared" si="33"/>
        <v>16718.999999999993</v>
      </c>
      <c r="T395" s="24"/>
      <c r="U395" s="24"/>
      <c r="V395" s="3"/>
      <c r="W395" s="25"/>
      <c r="X395" s="25" t="s">
        <v>7006</v>
      </c>
      <c r="Y395" s="25"/>
      <c r="Z395" s="25"/>
      <c r="AA395" s="25"/>
      <c r="AB395" s="3" t="str">
        <f>IF(Caja_Finanzas[[#This Row],[fecha]]&gt;0,TEXT(Caja_Finanzas[[#This Row],[fecha]],"mmmm"),0)</f>
        <v>Abril</v>
      </c>
    </row>
    <row r="396" spans="1:28" ht="24" x14ac:dyDescent="0.3">
      <c r="A396" s="2">
        <f>IF(Caja_Finanzas[[#This Row],[tipo_r]]="R",COUNTIFS($C$1:$C395,"R")+1,A395)</f>
        <v>383</v>
      </c>
      <c r="B396" s="19" t="str">
        <f t="shared" si="34"/>
        <v>C-Finanzas</v>
      </c>
      <c r="C396" s="3" t="s">
        <v>1330</v>
      </c>
      <c r="D396" s="14">
        <v>45772</v>
      </c>
      <c r="E396" s="5" t="s">
        <v>5811</v>
      </c>
      <c r="F396" s="5" t="s">
        <v>1336</v>
      </c>
      <c r="G396" s="5"/>
      <c r="H396" s="6"/>
      <c r="I396" s="6"/>
      <c r="J396" s="6"/>
      <c r="K396" s="6"/>
      <c r="L396" s="7" t="s">
        <v>7007</v>
      </c>
      <c r="M396" s="8" t="str">
        <f>"CFI"&amp;".D"&amp;TEXT(Caja_Finanzas[[#This Row],[fecha]],"DD-MM")&amp;"-"&amp;TEXT(Caja_Finanzas[[#This Row],[item]],"0000")</f>
        <v>CFI.D25-04-0383</v>
      </c>
      <c r="N396" s="8" t="str">
        <f t="shared" si="35"/>
        <v>PEN</v>
      </c>
      <c r="O396" s="13"/>
      <c r="P396" s="13">
        <v>598</v>
      </c>
      <c r="Q396" s="3">
        <f t="shared" si="31"/>
        <v>0</v>
      </c>
      <c r="R396" s="3">
        <f t="shared" si="32"/>
        <v>598</v>
      </c>
      <c r="S396" s="3">
        <f t="shared" si="33"/>
        <v>16120.999999999993</v>
      </c>
      <c r="T396" s="24"/>
      <c r="U396" s="24"/>
      <c r="V396" s="3"/>
      <c r="W396" s="25" t="s">
        <v>6709</v>
      </c>
      <c r="X396" s="25" t="s">
        <v>7008</v>
      </c>
      <c r="Y396" s="25"/>
      <c r="Z396" s="25"/>
      <c r="AA396" s="25"/>
      <c r="AB396" s="3" t="str">
        <f>IF(Caja_Finanzas[[#This Row],[fecha]]&gt;0,TEXT(Caja_Finanzas[[#This Row],[fecha]],"mmmm"),0)</f>
        <v>Abril</v>
      </c>
    </row>
    <row r="397" spans="1:28" ht="24" x14ac:dyDescent="0.3">
      <c r="A397" s="2">
        <f>IF(Caja_Finanzas[[#This Row],[tipo_r]]="R",COUNTIFS($C$1:$C396,"R")+1,A396)</f>
        <v>384</v>
      </c>
      <c r="B397" s="19" t="str">
        <f t="shared" si="34"/>
        <v>C-Finanzas</v>
      </c>
      <c r="C397" s="3" t="s">
        <v>1330</v>
      </c>
      <c r="D397" s="14">
        <v>45772</v>
      </c>
      <c r="E397" s="5" t="s">
        <v>3293</v>
      </c>
      <c r="F397" s="5" t="s">
        <v>1303</v>
      </c>
      <c r="G397" s="5"/>
      <c r="H397" s="6" t="s">
        <v>425</v>
      </c>
      <c r="I397" s="6" t="s">
        <v>119</v>
      </c>
      <c r="J397" s="6">
        <v>1</v>
      </c>
      <c r="K397" s="6">
        <v>4346</v>
      </c>
      <c r="L397" s="7" t="s">
        <v>6118</v>
      </c>
      <c r="M397" s="8" t="str">
        <f>"CFI"&amp;".D"&amp;TEXT(Caja_Finanzas[[#This Row],[fecha]],"DD-MM")&amp;"-"&amp;TEXT(Caja_Finanzas[[#This Row],[item]],"0000")</f>
        <v>CFI.D25-04-0384</v>
      </c>
      <c r="N397" s="8" t="str">
        <f t="shared" si="35"/>
        <v>PEN</v>
      </c>
      <c r="O397" s="13"/>
      <c r="P397" s="13">
        <v>281.3</v>
      </c>
      <c r="Q397" s="3">
        <f t="shared" si="31"/>
        <v>281.3</v>
      </c>
      <c r="R397" s="3">
        <f t="shared" si="32"/>
        <v>0</v>
      </c>
      <c r="S397" s="3">
        <f t="shared" si="33"/>
        <v>16402.299999999992</v>
      </c>
      <c r="T397" s="24"/>
      <c r="U397" s="24"/>
      <c r="V397" s="3"/>
      <c r="W397" s="25"/>
      <c r="X397" s="25" t="s">
        <v>7009</v>
      </c>
      <c r="Y397" s="25"/>
      <c r="Z397" s="25"/>
      <c r="AA397" s="25"/>
      <c r="AB397" s="3" t="str">
        <f>IF(Caja_Finanzas[[#This Row],[fecha]]&gt;0,TEXT(Caja_Finanzas[[#This Row],[fecha]],"mmmm"),0)</f>
        <v>Abril</v>
      </c>
    </row>
    <row r="398" spans="1:28" ht="36" x14ac:dyDescent="0.3">
      <c r="A398" s="2">
        <f>IF(Caja_Finanzas[[#This Row],[tipo_r]]="R",COUNTIFS($C$1:$C397,"R")+1,A397)</f>
        <v>385</v>
      </c>
      <c r="B398" s="19" t="str">
        <f t="shared" si="34"/>
        <v>C-Finanzas</v>
      </c>
      <c r="C398" s="3" t="s">
        <v>1330</v>
      </c>
      <c r="D398" s="14">
        <v>45772</v>
      </c>
      <c r="E398" s="5" t="s">
        <v>6409</v>
      </c>
      <c r="F398" s="5" t="s">
        <v>1336</v>
      </c>
      <c r="G398" s="5"/>
      <c r="H398" s="6"/>
      <c r="I398" s="6"/>
      <c r="J398" s="6"/>
      <c r="K398" s="6"/>
      <c r="L398" s="7" t="s">
        <v>7010</v>
      </c>
      <c r="M398" s="8" t="str">
        <f>"CFI"&amp;".D"&amp;TEXT(Caja_Finanzas[[#This Row],[fecha]],"DD-MM")&amp;"-"&amp;TEXT(Caja_Finanzas[[#This Row],[item]],"0000")</f>
        <v>CFI.D25-04-0385</v>
      </c>
      <c r="N398" s="8" t="str">
        <f t="shared" si="35"/>
        <v>PEN</v>
      </c>
      <c r="O398" s="13"/>
      <c r="P398" s="13">
        <v>32</v>
      </c>
      <c r="Q398" s="3">
        <f t="shared" si="31"/>
        <v>0</v>
      </c>
      <c r="R398" s="3">
        <f t="shared" si="32"/>
        <v>32</v>
      </c>
      <c r="S398" s="3">
        <f t="shared" si="33"/>
        <v>16370.299999999992</v>
      </c>
      <c r="T398" s="24"/>
      <c r="U398" s="24"/>
      <c r="V398" s="3"/>
      <c r="W398" s="25" t="s">
        <v>6709</v>
      </c>
      <c r="X398" s="25" t="s">
        <v>7011</v>
      </c>
      <c r="Y398" s="25"/>
      <c r="Z398" s="25"/>
      <c r="AA398" s="25"/>
      <c r="AB398" s="3" t="str">
        <f>IF(Caja_Finanzas[[#This Row],[fecha]]&gt;0,TEXT(Caja_Finanzas[[#This Row],[fecha]],"mmmm"),0)</f>
        <v>Abril</v>
      </c>
    </row>
    <row r="399" spans="1:28" ht="24" x14ac:dyDescent="0.3">
      <c r="A399" s="2">
        <f>IF(Caja_Finanzas[[#This Row],[tipo_r]]="R",COUNTIFS($C$1:$C398,"R")+1,A398)</f>
        <v>386</v>
      </c>
      <c r="B399" s="19" t="str">
        <f t="shared" si="34"/>
        <v>C-Finanzas</v>
      </c>
      <c r="C399" s="3" t="s">
        <v>1330</v>
      </c>
      <c r="D399" s="14">
        <v>45772</v>
      </c>
      <c r="E399" s="5" t="s">
        <v>2009</v>
      </c>
      <c r="F399" s="5" t="s">
        <v>1303</v>
      </c>
      <c r="G399" s="5"/>
      <c r="H399" s="6" t="s">
        <v>425</v>
      </c>
      <c r="I399" s="6" t="s">
        <v>119</v>
      </c>
      <c r="J399" s="6">
        <v>1</v>
      </c>
      <c r="K399" s="6">
        <v>4357</v>
      </c>
      <c r="L399" s="7" t="s">
        <v>6118</v>
      </c>
      <c r="M399" s="8" t="str">
        <f>"CFI"&amp;".D"&amp;TEXT(Caja_Finanzas[[#This Row],[fecha]],"DD-MM")&amp;"-"&amp;TEXT(Caja_Finanzas[[#This Row],[item]],"0000")</f>
        <v>CFI.D25-04-0386</v>
      </c>
      <c r="N399" s="8" t="str">
        <f t="shared" si="35"/>
        <v>PEN</v>
      </c>
      <c r="O399" s="13"/>
      <c r="P399" s="13">
        <v>5332</v>
      </c>
      <c r="Q399" s="3">
        <f t="shared" si="31"/>
        <v>5332</v>
      </c>
      <c r="R399" s="3">
        <f t="shared" si="32"/>
        <v>0</v>
      </c>
      <c r="S399" s="3">
        <f t="shared" si="33"/>
        <v>21702.299999999992</v>
      </c>
      <c r="T399" s="24"/>
      <c r="U399" s="24"/>
      <c r="V399" s="3"/>
      <c r="W399" s="25"/>
      <c r="X399" s="25" t="s">
        <v>2797</v>
      </c>
      <c r="Y399" s="25"/>
      <c r="Z399" s="25"/>
      <c r="AA399" s="25"/>
      <c r="AB399" s="3" t="str">
        <f>IF(Caja_Finanzas[[#This Row],[fecha]]&gt;0,TEXT(Caja_Finanzas[[#This Row],[fecha]],"mmmm"),0)</f>
        <v>Abril</v>
      </c>
    </row>
    <row r="400" spans="1:28" ht="36" x14ac:dyDescent="0.3">
      <c r="A400" s="2">
        <f>IF(Caja_Finanzas[[#This Row],[tipo_r]]="R",COUNTIFS($C$1:$C399,"R")+1,A399)</f>
        <v>387</v>
      </c>
      <c r="B400" s="19" t="str">
        <f t="shared" si="34"/>
        <v>C-Finanzas</v>
      </c>
      <c r="C400" s="3" t="s">
        <v>1330</v>
      </c>
      <c r="D400" s="14">
        <v>45772</v>
      </c>
      <c r="E400" s="5" t="s">
        <v>5811</v>
      </c>
      <c r="F400" s="5" t="s">
        <v>1336</v>
      </c>
      <c r="G400" s="5"/>
      <c r="H400" s="6"/>
      <c r="I400" s="6"/>
      <c r="J400" s="6"/>
      <c r="K400" s="6"/>
      <c r="L400" s="7" t="s">
        <v>7012</v>
      </c>
      <c r="M400" s="8" t="str">
        <f>"CFI"&amp;".D"&amp;TEXT(Caja_Finanzas[[#This Row],[fecha]],"DD-MM")&amp;"-"&amp;TEXT(Caja_Finanzas[[#This Row],[item]],"0000")</f>
        <v>CFI.D25-04-0387</v>
      </c>
      <c r="N400" s="8" t="str">
        <f t="shared" si="35"/>
        <v>PEN</v>
      </c>
      <c r="O400" s="13"/>
      <c r="P400" s="13">
        <v>1300</v>
      </c>
      <c r="Q400" s="3">
        <f t="shared" si="31"/>
        <v>0</v>
      </c>
      <c r="R400" s="3">
        <f t="shared" si="32"/>
        <v>1300</v>
      </c>
      <c r="S400" s="3">
        <f t="shared" si="33"/>
        <v>20402.299999999992</v>
      </c>
      <c r="T400" s="24"/>
      <c r="U400" s="24"/>
      <c r="V400" s="3"/>
      <c r="W400" s="25" t="s">
        <v>6816</v>
      </c>
      <c r="X400" s="25" t="s">
        <v>7013</v>
      </c>
      <c r="Y400" s="25"/>
      <c r="Z400" s="25"/>
      <c r="AA400" s="25"/>
      <c r="AB400" s="3" t="str">
        <f>IF(Caja_Finanzas[[#This Row],[fecha]]&gt;0,TEXT(Caja_Finanzas[[#This Row],[fecha]],"mmmm"),0)</f>
        <v>Abril</v>
      </c>
    </row>
    <row r="401" spans="1:28" x14ac:dyDescent="0.3">
      <c r="A401" s="2">
        <f>IF(Caja_Finanzas[[#This Row],[tipo_r]]="R",COUNTIFS($C$1:$C400,"R")+1,A400)</f>
        <v>388</v>
      </c>
      <c r="B401" s="19" t="str">
        <f t="shared" si="34"/>
        <v>C-Finanzas</v>
      </c>
      <c r="C401" s="3" t="s">
        <v>1330</v>
      </c>
      <c r="D401" s="14">
        <v>45772</v>
      </c>
      <c r="E401" s="5" t="s">
        <v>1498</v>
      </c>
      <c r="F401" s="5" t="s">
        <v>1303</v>
      </c>
      <c r="G401" s="5"/>
      <c r="H401" s="6" t="s">
        <v>425</v>
      </c>
      <c r="I401" s="6" t="s">
        <v>119</v>
      </c>
      <c r="J401" s="6">
        <v>1</v>
      </c>
      <c r="K401" s="6">
        <v>4360</v>
      </c>
      <c r="L401" s="7" t="s">
        <v>6118</v>
      </c>
      <c r="M401" s="8" t="str">
        <f>"CFI"&amp;".D"&amp;TEXT(Caja_Finanzas[[#This Row],[fecha]],"DD-MM")&amp;"-"&amp;TEXT(Caja_Finanzas[[#This Row],[item]],"0000")</f>
        <v>CFI.D25-04-0388</v>
      </c>
      <c r="N401" s="8" t="str">
        <f t="shared" si="35"/>
        <v>PEN</v>
      </c>
      <c r="O401" s="13"/>
      <c r="P401" s="13">
        <v>650</v>
      </c>
      <c r="Q401" s="3">
        <f t="shared" si="31"/>
        <v>650</v>
      </c>
      <c r="R401" s="3">
        <f t="shared" si="32"/>
        <v>0</v>
      </c>
      <c r="S401" s="3">
        <f t="shared" si="33"/>
        <v>21052.299999999992</v>
      </c>
      <c r="T401" s="24"/>
      <c r="U401" s="24"/>
      <c r="V401" s="3"/>
      <c r="W401" s="25"/>
      <c r="X401" s="25" t="s">
        <v>7014</v>
      </c>
      <c r="Y401" s="25"/>
      <c r="Z401" s="25"/>
      <c r="AA401" s="25"/>
      <c r="AB401" s="3" t="str">
        <f>IF(Caja_Finanzas[[#This Row],[fecha]]&gt;0,TEXT(Caja_Finanzas[[#This Row],[fecha]],"mmmm"),0)</f>
        <v>Abril</v>
      </c>
    </row>
    <row r="402" spans="1:28" x14ac:dyDescent="0.3">
      <c r="A402" s="2">
        <f>IF(Caja_Finanzas[[#This Row],[tipo_r]]="R",COUNTIFS($C$1:$C401,"R")+1,A401)</f>
        <v>389</v>
      </c>
      <c r="B402" s="19" t="str">
        <f t="shared" si="34"/>
        <v>C-Finanzas</v>
      </c>
      <c r="C402" s="3" t="s">
        <v>1330</v>
      </c>
      <c r="D402" s="14">
        <v>45775</v>
      </c>
      <c r="E402" s="5" t="s">
        <v>1498</v>
      </c>
      <c r="F402" s="5" t="s">
        <v>1303</v>
      </c>
      <c r="G402" s="5"/>
      <c r="H402" s="6" t="s">
        <v>425</v>
      </c>
      <c r="I402" s="6" t="s">
        <v>119</v>
      </c>
      <c r="J402" s="6">
        <v>1</v>
      </c>
      <c r="K402" s="6">
        <v>4362</v>
      </c>
      <c r="L402" s="7" t="s">
        <v>6118</v>
      </c>
      <c r="M402" s="8" t="str">
        <f>"CFI"&amp;".D"&amp;TEXT(Caja_Finanzas[[#This Row],[fecha]],"DD-MM")&amp;"-"&amp;TEXT(Caja_Finanzas[[#This Row],[item]],"0000")</f>
        <v>CFI.D28-04-0389</v>
      </c>
      <c r="N402" s="8" t="str">
        <f t="shared" si="35"/>
        <v>PEN</v>
      </c>
      <c r="O402" s="13"/>
      <c r="P402" s="13">
        <v>850</v>
      </c>
      <c r="Q402" s="3">
        <f t="shared" si="31"/>
        <v>850</v>
      </c>
      <c r="R402" s="3">
        <f t="shared" si="32"/>
        <v>0</v>
      </c>
      <c r="S402" s="3">
        <f t="shared" si="33"/>
        <v>21902.299999999992</v>
      </c>
      <c r="T402" s="24"/>
      <c r="U402" s="24"/>
      <c r="V402" s="3"/>
      <c r="W402" s="25"/>
      <c r="X402" s="25" t="s">
        <v>7015</v>
      </c>
      <c r="Y402" s="25"/>
      <c r="Z402" s="25"/>
      <c r="AA402" s="25"/>
      <c r="AB402" s="3" t="str">
        <f>IF(Caja_Finanzas[[#This Row],[fecha]]&gt;0,TEXT(Caja_Finanzas[[#This Row],[fecha]],"mmmm"),0)</f>
        <v>Abril</v>
      </c>
    </row>
    <row r="403" spans="1:28" ht="36" x14ac:dyDescent="0.3">
      <c r="A403" s="2">
        <f>IF(Caja_Finanzas[[#This Row],[tipo_r]]="R",COUNTIFS($C$1:$C402,"R")+1,A402)</f>
        <v>390</v>
      </c>
      <c r="B403" s="19" t="str">
        <f t="shared" si="34"/>
        <v>C-Finanzas</v>
      </c>
      <c r="C403" s="3" t="s">
        <v>1330</v>
      </c>
      <c r="D403" s="14">
        <v>45775</v>
      </c>
      <c r="E403" s="5" t="s">
        <v>6940</v>
      </c>
      <c r="F403" s="5" t="s">
        <v>1336</v>
      </c>
      <c r="G403" s="5"/>
      <c r="H403" s="6"/>
      <c r="I403" s="6"/>
      <c r="J403" s="6"/>
      <c r="K403" s="6"/>
      <c r="L403" s="7" t="s">
        <v>7016</v>
      </c>
      <c r="M403" s="8" t="str">
        <f>"CFI"&amp;".D"&amp;TEXT(Caja_Finanzas[[#This Row],[fecha]],"DD-MM")&amp;"-"&amp;TEXT(Caja_Finanzas[[#This Row],[item]],"0000")</f>
        <v>CFI.D28-04-0390</v>
      </c>
      <c r="N403" s="8" t="str">
        <f t="shared" si="35"/>
        <v>PEN</v>
      </c>
      <c r="O403" s="13"/>
      <c r="P403" s="13">
        <v>6</v>
      </c>
      <c r="Q403" s="3">
        <f t="shared" si="31"/>
        <v>0</v>
      </c>
      <c r="R403" s="3">
        <f t="shared" si="32"/>
        <v>6</v>
      </c>
      <c r="S403" s="3">
        <f t="shared" si="33"/>
        <v>21896.299999999992</v>
      </c>
      <c r="T403" s="24"/>
      <c r="U403" s="24"/>
      <c r="V403" s="3"/>
      <c r="W403" s="25" t="s">
        <v>6709</v>
      </c>
      <c r="X403" s="25" t="s">
        <v>7017</v>
      </c>
      <c r="Y403" s="25"/>
      <c r="Z403" s="25"/>
      <c r="AA403" s="25"/>
      <c r="AB403" s="3" t="str">
        <f>IF(Caja_Finanzas[[#This Row],[fecha]]&gt;0,TEXT(Caja_Finanzas[[#This Row],[fecha]],"mmmm"),0)</f>
        <v>Abril</v>
      </c>
    </row>
    <row r="404" spans="1:28" ht="36" x14ac:dyDescent="0.3">
      <c r="A404" s="2">
        <f>IF(Caja_Finanzas[[#This Row],[tipo_r]]="R",COUNTIFS($C$1:$C403,"R")+1,A403)</f>
        <v>391</v>
      </c>
      <c r="B404" s="19" t="str">
        <f t="shared" si="34"/>
        <v>C-Finanzas</v>
      </c>
      <c r="C404" s="3" t="s">
        <v>1330</v>
      </c>
      <c r="D404" s="14">
        <v>45775</v>
      </c>
      <c r="E404" s="5" t="s">
        <v>6940</v>
      </c>
      <c r="F404" s="5" t="s">
        <v>1336</v>
      </c>
      <c r="G404" s="5"/>
      <c r="H404" s="6"/>
      <c r="I404" s="6"/>
      <c r="J404" s="6"/>
      <c r="K404" s="6"/>
      <c r="L404" s="7" t="s">
        <v>7018</v>
      </c>
      <c r="M404" s="8" t="str">
        <f>"CFI"&amp;".D"&amp;TEXT(Caja_Finanzas[[#This Row],[fecha]],"DD-MM")&amp;"-"&amp;TEXT(Caja_Finanzas[[#This Row],[item]],"0000")</f>
        <v>CFI.D28-04-0391</v>
      </c>
      <c r="N404" s="8" t="str">
        <f t="shared" si="35"/>
        <v>PEN</v>
      </c>
      <c r="O404" s="13"/>
      <c r="P404" s="13">
        <v>450</v>
      </c>
      <c r="Q404" s="3">
        <f t="shared" si="31"/>
        <v>0</v>
      </c>
      <c r="R404" s="3">
        <f t="shared" si="32"/>
        <v>450</v>
      </c>
      <c r="S404" s="3">
        <f t="shared" si="33"/>
        <v>21446.299999999992</v>
      </c>
      <c r="T404" s="24"/>
      <c r="U404" s="24"/>
      <c r="V404" s="3"/>
      <c r="W404" s="25" t="s">
        <v>474</v>
      </c>
      <c r="X404" s="25" t="s">
        <v>7019</v>
      </c>
      <c r="Y404" s="25"/>
      <c r="Z404" s="25"/>
      <c r="AA404" s="25"/>
      <c r="AB404" s="3" t="str">
        <f>IF(Caja_Finanzas[[#This Row],[fecha]]&gt;0,TEXT(Caja_Finanzas[[#This Row],[fecha]],"mmmm"),0)</f>
        <v>Abril</v>
      </c>
    </row>
    <row r="405" spans="1:28" ht="48" x14ac:dyDescent="0.3">
      <c r="A405" s="2">
        <f>IF(Caja_Finanzas[[#This Row],[tipo_r]]="R",COUNTIFS($C$1:$C404,"R")+1,A404)</f>
        <v>392</v>
      </c>
      <c r="B405" s="19" t="str">
        <f t="shared" si="34"/>
        <v>C-Finanzas</v>
      </c>
      <c r="C405" s="3" t="s">
        <v>1330</v>
      </c>
      <c r="D405" s="14">
        <v>45775</v>
      </c>
      <c r="E405" s="5" t="s">
        <v>6940</v>
      </c>
      <c r="F405" s="5" t="s">
        <v>1336</v>
      </c>
      <c r="G405" s="5"/>
      <c r="H405" s="6"/>
      <c r="I405" s="6"/>
      <c r="J405" s="6"/>
      <c r="K405" s="6"/>
      <c r="L405" s="7" t="s">
        <v>7020</v>
      </c>
      <c r="M405" s="8" t="str">
        <f>"CFI"&amp;".D"&amp;TEXT(Caja_Finanzas[[#This Row],[fecha]],"DD-MM")&amp;"-"&amp;TEXT(Caja_Finanzas[[#This Row],[item]],"0000")</f>
        <v>CFI.D28-04-0392</v>
      </c>
      <c r="N405" s="8" t="str">
        <f t="shared" si="35"/>
        <v>PEN</v>
      </c>
      <c r="O405" s="13"/>
      <c r="P405" s="13">
        <v>450</v>
      </c>
      <c r="Q405" s="3">
        <f t="shared" si="31"/>
        <v>0</v>
      </c>
      <c r="R405" s="3">
        <f t="shared" si="32"/>
        <v>450</v>
      </c>
      <c r="S405" s="3">
        <f t="shared" si="33"/>
        <v>20996.299999999992</v>
      </c>
      <c r="T405" s="24"/>
      <c r="U405" s="24"/>
      <c r="V405" s="3"/>
      <c r="W405" s="25" t="s">
        <v>474</v>
      </c>
      <c r="X405" s="25" t="s">
        <v>7021</v>
      </c>
      <c r="Y405" s="25"/>
      <c r="Z405" s="25"/>
      <c r="AA405" s="25"/>
      <c r="AB405" s="3" t="str">
        <f>IF(Caja_Finanzas[[#This Row],[fecha]]&gt;0,TEXT(Caja_Finanzas[[#This Row],[fecha]],"mmmm"),0)</f>
        <v>Abril</v>
      </c>
    </row>
    <row r="406" spans="1:28" ht="24" x14ac:dyDescent="0.3">
      <c r="A406" s="2">
        <f>IF(Caja_Finanzas[[#This Row],[tipo_r]]="R",COUNTIFS($C$1:$C405,"R")+1,A405)</f>
        <v>393</v>
      </c>
      <c r="B406" s="19" t="str">
        <f t="shared" si="34"/>
        <v>C-Finanzas</v>
      </c>
      <c r="C406" s="3" t="s">
        <v>1330</v>
      </c>
      <c r="D406" s="14">
        <v>45775</v>
      </c>
      <c r="E406" s="5" t="s">
        <v>2938</v>
      </c>
      <c r="F406" s="5" t="s">
        <v>1303</v>
      </c>
      <c r="G406" s="5"/>
      <c r="H406" s="6" t="s">
        <v>425</v>
      </c>
      <c r="I406" s="6" t="s">
        <v>119</v>
      </c>
      <c r="J406" s="6">
        <v>1</v>
      </c>
      <c r="K406" s="6">
        <v>4316</v>
      </c>
      <c r="L406" s="7" t="s">
        <v>6118</v>
      </c>
      <c r="M406" s="8" t="str">
        <f>"CFI"&amp;".D"&amp;TEXT(Caja_Finanzas[[#This Row],[fecha]],"DD-MM")&amp;"-"&amp;TEXT(Caja_Finanzas[[#This Row],[item]],"0000")</f>
        <v>CFI.D28-04-0393</v>
      </c>
      <c r="N406" s="8" t="str">
        <f t="shared" si="35"/>
        <v>PEN</v>
      </c>
      <c r="O406" s="13"/>
      <c r="P406" s="13">
        <v>1900</v>
      </c>
      <c r="Q406" s="3">
        <f t="shared" si="31"/>
        <v>1900</v>
      </c>
      <c r="R406" s="3">
        <f t="shared" si="32"/>
        <v>0</v>
      </c>
      <c r="S406" s="3">
        <f t="shared" si="33"/>
        <v>22896.299999999992</v>
      </c>
      <c r="T406" s="24"/>
      <c r="U406" s="24"/>
      <c r="V406" s="3"/>
      <c r="W406" s="25"/>
      <c r="X406" s="25" t="s">
        <v>7022</v>
      </c>
      <c r="Y406" s="25"/>
      <c r="Z406" s="25"/>
      <c r="AA406" s="25"/>
      <c r="AB406" s="3" t="str">
        <f>IF(Caja_Finanzas[[#This Row],[fecha]]&gt;0,TEXT(Caja_Finanzas[[#This Row],[fecha]],"mmmm"),0)</f>
        <v>Abril</v>
      </c>
    </row>
    <row r="407" spans="1:28" x14ac:dyDescent="0.3">
      <c r="A407" s="2">
        <f>IF(Caja_Finanzas[[#This Row],[tipo_r]]="R",COUNTIFS($C$1:$C406,"R")+1,A406)</f>
        <v>394</v>
      </c>
      <c r="B407" s="19" t="str">
        <f t="shared" si="34"/>
        <v>C-Finanzas</v>
      </c>
      <c r="C407" s="3" t="s">
        <v>1330</v>
      </c>
      <c r="D407" s="14">
        <v>45775</v>
      </c>
      <c r="E407" s="5" t="s">
        <v>2800</v>
      </c>
      <c r="F407" s="5" t="s">
        <v>1303</v>
      </c>
      <c r="G407" s="5"/>
      <c r="H407" s="6" t="s">
        <v>425</v>
      </c>
      <c r="I407" s="6" t="s">
        <v>119</v>
      </c>
      <c r="J407" s="6">
        <v>1</v>
      </c>
      <c r="K407" s="6">
        <v>4317</v>
      </c>
      <c r="L407" s="7" t="s">
        <v>6118</v>
      </c>
      <c r="M407" s="8" t="str">
        <f>"CFI"&amp;".D"&amp;TEXT(Caja_Finanzas[[#This Row],[fecha]],"DD-MM")&amp;"-"&amp;TEXT(Caja_Finanzas[[#This Row],[item]],"0000")</f>
        <v>CFI.D28-04-0394</v>
      </c>
      <c r="N407" s="8" t="str">
        <f t="shared" si="35"/>
        <v>PEN</v>
      </c>
      <c r="O407" s="13"/>
      <c r="P407" s="13">
        <v>2050</v>
      </c>
      <c r="Q407" s="3">
        <f t="shared" si="31"/>
        <v>2050</v>
      </c>
      <c r="R407" s="3">
        <f t="shared" si="32"/>
        <v>0</v>
      </c>
      <c r="S407" s="3">
        <f t="shared" si="33"/>
        <v>24946.299999999992</v>
      </c>
      <c r="T407" s="24"/>
      <c r="U407" s="24"/>
      <c r="V407" s="3"/>
      <c r="W407" s="25"/>
      <c r="X407" s="25" t="s">
        <v>7023</v>
      </c>
      <c r="Y407" s="25"/>
      <c r="Z407" s="25"/>
      <c r="AA407" s="25"/>
      <c r="AB407" s="3" t="str">
        <f>IF(Caja_Finanzas[[#This Row],[fecha]]&gt;0,TEXT(Caja_Finanzas[[#This Row],[fecha]],"mmmm"),0)</f>
        <v>Abril</v>
      </c>
    </row>
    <row r="408" spans="1:28" ht="36" x14ac:dyDescent="0.3">
      <c r="A408" s="2">
        <f>IF(Caja_Finanzas[[#This Row],[tipo_r]]="R",COUNTIFS($C$1:$C407,"R")+1,A407)</f>
        <v>395</v>
      </c>
      <c r="B408" s="19" t="str">
        <f t="shared" si="34"/>
        <v>C-Finanzas</v>
      </c>
      <c r="C408" s="3" t="s">
        <v>1330</v>
      </c>
      <c r="D408" s="14">
        <v>45776</v>
      </c>
      <c r="E408" s="5" t="s">
        <v>5811</v>
      </c>
      <c r="F408" s="5" t="s">
        <v>1336</v>
      </c>
      <c r="G408" s="5"/>
      <c r="H408" s="6"/>
      <c r="I408" s="6"/>
      <c r="J408" s="6"/>
      <c r="K408" s="6"/>
      <c r="L408" s="7" t="s">
        <v>7024</v>
      </c>
      <c r="M408" s="8" t="str">
        <f>"CFI"&amp;".D"&amp;TEXT(Caja_Finanzas[[#This Row],[fecha]],"DD-MM")&amp;"-"&amp;TEXT(Caja_Finanzas[[#This Row],[item]],"0000")</f>
        <v>CFI.D29-04-0395</v>
      </c>
      <c r="N408" s="8" t="str">
        <f t="shared" si="35"/>
        <v>PEN</v>
      </c>
      <c r="O408" s="13"/>
      <c r="P408" s="13">
        <v>750</v>
      </c>
      <c r="Q408" s="3">
        <f t="shared" si="31"/>
        <v>0</v>
      </c>
      <c r="R408" s="3">
        <f t="shared" si="32"/>
        <v>750</v>
      </c>
      <c r="S408" s="3">
        <f t="shared" si="33"/>
        <v>24196.299999999992</v>
      </c>
      <c r="T408" s="24"/>
      <c r="U408" s="24"/>
      <c r="V408" s="3"/>
      <c r="W408" s="25" t="s">
        <v>7025</v>
      </c>
      <c r="X408" s="25" t="s">
        <v>7026</v>
      </c>
      <c r="Y408" s="25"/>
      <c r="Z408" s="25"/>
      <c r="AA408" s="25"/>
      <c r="AB408" s="3" t="str">
        <f>IF(Caja_Finanzas[[#This Row],[fecha]]&gt;0,TEXT(Caja_Finanzas[[#This Row],[fecha]],"mmmm"),0)</f>
        <v>Abril</v>
      </c>
    </row>
    <row r="409" spans="1:28" ht="48" x14ac:dyDescent="0.3">
      <c r="A409" s="2">
        <f>IF(Caja_Finanzas[[#This Row],[tipo_r]]="R",COUNTIFS($C$1:$C408,"R")+1,A408)</f>
        <v>396</v>
      </c>
      <c r="B409" s="19" t="str">
        <f t="shared" si="34"/>
        <v>C-Finanzas</v>
      </c>
      <c r="C409" s="3" t="s">
        <v>1330</v>
      </c>
      <c r="D409" s="14">
        <v>45776</v>
      </c>
      <c r="E409" s="5" t="s">
        <v>6570</v>
      </c>
      <c r="F409" s="5" t="s">
        <v>1336</v>
      </c>
      <c r="G409" s="5"/>
      <c r="H409" s="6"/>
      <c r="I409" s="6"/>
      <c r="J409" s="6"/>
      <c r="K409" s="6"/>
      <c r="L409" s="7" t="s">
        <v>7027</v>
      </c>
      <c r="M409" s="8" t="str">
        <f>"CFI"&amp;".D"&amp;TEXT(Caja_Finanzas[[#This Row],[fecha]],"DD-MM")&amp;"-"&amp;TEXT(Caja_Finanzas[[#This Row],[item]],"0000")</f>
        <v>CFI.D29-04-0396</v>
      </c>
      <c r="N409" s="8" t="str">
        <f t="shared" si="35"/>
        <v>PEN</v>
      </c>
      <c r="O409" s="13"/>
      <c r="P409" s="13">
        <v>15</v>
      </c>
      <c r="Q409" s="3">
        <f t="shared" si="31"/>
        <v>0</v>
      </c>
      <c r="R409" s="3">
        <f t="shared" si="32"/>
        <v>15</v>
      </c>
      <c r="S409" s="3">
        <f t="shared" si="33"/>
        <v>24181.299999999992</v>
      </c>
      <c r="T409" s="24"/>
      <c r="U409" s="24"/>
      <c r="V409" s="3"/>
      <c r="W409" s="25" t="s">
        <v>6709</v>
      </c>
      <c r="X409" s="25" t="s">
        <v>7028</v>
      </c>
      <c r="Y409" s="25"/>
      <c r="Z409" s="25"/>
      <c r="AA409" s="25"/>
      <c r="AB409" s="3" t="str">
        <f>IF(Caja_Finanzas[[#This Row],[fecha]]&gt;0,TEXT(Caja_Finanzas[[#This Row],[fecha]],"mmmm"),0)</f>
        <v>Abril</v>
      </c>
    </row>
    <row r="410" spans="1:28" ht="24" x14ac:dyDescent="0.3">
      <c r="A410" s="2">
        <f>IF(Caja_Finanzas[[#This Row],[tipo_r]]="R",COUNTIFS($C$1:$C409,"R")+1,A409)</f>
        <v>397</v>
      </c>
      <c r="B410" s="19" t="str">
        <f t="shared" si="34"/>
        <v>C-Finanzas</v>
      </c>
      <c r="C410" s="3" t="s">
        <v>1330</v>
      </c>
      <c r="D410" s="14">
        <v>45776</v>
      </c>
      <c r="E410" s="5" t="s">
        <v>6556</v>
      </c>
      <c r="F410" s="5" t="s">
        <v>1336</v>
      </c>
      <c r="G410" s="5"/>
      <c r="H410" s="6"/>
      <c r="I410" s="6"/>
      <c r="J410" s="6"/>
      <c r="K410" s="6"/>
      <c r="L410" s="7" t="s">
        <v>7029</v>
      </c>
      <c r="M410" s="8" t="str">
        <f>"CFI"&amp;".D"&amp;TEXT(Caja_Finanzas[[#This Row],[fecha]],"DD-MM")&amp;"-"&amp;TEXT(Caja_Finanzas[[#This Row],[item]],"0000")</f>
        <v>CFI.D29-04-0397</v>
      </c>
      <c r="N410" s="8" t="str">
        <f t="shared" si="35"/>
        <v>PEN</v>
      </c>
      <c r="O410" s="13"/>
      <c r="P410" s="13">
        <v>680</v>
      </c>
      <c r="Q410" s="3">
        <f t="shared" si="31"/>
        <v>0</v>
      </c>
      <c r="R410" s="3">
        <f t="shared" si="32"/>
        <v>680</v>
      </c>
      <c r="S410" s="3">
        <f t="shared" si="33"/>
        <v>23501.299999999992</v>
      </c>
      <c r="T410" s="24"/>
      <c r="U410" s="24"/>
      <c r="V410" s="3"/>
      <c r="W410" s="25" t="s">
        <v>6709</v>
      </c>
      <c r="X410" s="25" t="s">
        <v>7030</v>
      </c>
      <c r="Y410" s="25"/>
      <c r="Z410" s="25"/>
      <c r="AA410" s="25"/>
      <c r="AB410" s="3" t="str">
        <f>IF(Caja_Finanzas[[#This Row],[fecha]]&gt;0,TEXT(Caja_Finanzas[[#This Row],[fecha]],"mmmm"),0)</f>
        <v>Abril</v>
      </c>
    </row>
    <row r="411" spans="1:28" ht="36" x14ac:dyDescent="0.3">
      <c r="A411" s="2">
        <f>IF(Caja_Finanzas[[#This Row],[tipo_r]]="R",COUNTIFS($C$1:$C410,"R")+1,A410)</f>
        <v>398</v>
      </c>
      <c r="B411" s="19" t="str">
        <f t="shared" si="34"/>
        <v>C-Finanzas</v>
      </c>
      <c r="C411" s="3" t="s">
        <v>1330</v>
      </c>
      <c r="D411" s="14">
        <v>45777</v>
      </c>
      <c r="E411" s="5" t="s">
        <v>6420</v>
      </c>
      <c r="F411" s="5" t="s">
        <v>1336</v>
      </c>
      <c r="G411" s="5"/>
      <c r="H411" s="6"/>
      <c r="I411" s="6"/>
      <c r="J411" s="6"/>
      <c r="K411" s="6"/>
      <c r="L411" s="7" t="s">
        <v>7031</v>
      </c>
      <c r="M411" s="8" t="str">
        <f>"CFI"&amp;".D"&amp;TEXT(Caja_Finanzas[[#This Row],[fecha]],"DD-MM")&amp;"-"&amp;TEXT(Caja_Finanzas[[#This Row],[item]],"0000")</f>
        <v>CFI.D30-04-0398</v>
      </c>
      <c r="N411" s="8" t="str">
        <f t="shared" si="35"/>
        <v>PEN</v>
      </c>
      <c r="O411" s="13"/>
      <c r="P411" s="13">
        <v>500</v>
      </c>
      <c r="Q411" s="3">
        <f t="shared" si="31"/>
        <v>0</v>
      </c>
      <c r="R411" s="3">
        <f t="shared" si="32"/>
        <v>500</v>
      </c>
      <c r="S411" s="3">
        <f t="shared" si="33"/>
        <v>23001.299999999992</v>
      </c>
      <c r="T411" s="24"/>
      <c r="U411" s="24"/>
      <c r="V411" s="3"/>
      <c r="W411" s="25" t="s">
        <v>7032</v>
      </c>
      <c r="X411" s="25" t="s">
        <v>7033</v>
      </c>
      <c r="Y411" s="25"/>
      <c r="Z411" s="25"/>
      <c r="AA411" s="25"/>
      <c r="AB411" s="3" t="str">
        <f>IF(Caja_Finanzas[[#This Row],[fecha]]&gt;0,TEXT(Caja_Finanzas[[#This Row],[fecha]],"mmmm"),0)</f>
        <v>Abril</v>
      </c>
    </row>
    <row r="412" spans="1:28" ht="24" x14ac:dyDescent="0.3">
      <c r="A412" s="2">
        <f>IF(Caja_Finanzas[[#This Row],[tipo_r]]="R",COUNTIFS($C$1:$C411,"R")+1,A411)</f>
        <v>399</v>
      </c>
      <c r="B412" s="19" t="str">
        <f t="shared" si="34"/>
        <v>C-Finanzas</v>
      </c>
      <c r="C412" s="3" t="s">
        <v>1330</v>
      </c>
      <c r="D412" s="14">
        <v>45779</v>
      </c>
      <c r="E412" s="5" t="s">
        <v>6451</v>
      </c>
      <c r="F412" s="5" t="s">
        <v>1336</v>
      </c>
      <c r="G412" s="5"/>
      <c r="H412" s="6"/>
      <c r="I412" s="6"/>
      <c r="J412" s="6"/>
      <c r="K412" s="6"/>
      <c r="L412" s="7" t="s">
        <v>7034</v>
      </c>
      <c r="M412" s="8" t="str">
        <f>"CFI"&amp;".D"&amp;TEXT(Caja_Finanzas[[#This Row],[fecha]],"DD-MM")&amp;"-"&amp;TEXT(Caja_Finanzas[[#This Row],[item]],"0000")</f>
        <v>CFI.D02-05-0399</v>
      </c>
      <c r="N412" s="8" t="str">
        <f t="shared" si="35"/>
        <v>PEN</v>
      </c>
      <c r="O412" s="13"/>
      <c r="P412" s="13">
        <v>20</v>
      </c>
      <c r="Q412" s="3">
        <f t="shared" si="31"/>
        <v>0</v>
      </c>
      <c r="R412" s="3">
        <f t="shared" si="32"/>
        <v>20</v>
      </c>
      <c r="S412" s="3">
        <f t="shared" si="33"/>
        <v>22981.299999999992</v>
      </c>
      <c r="T412" s="24"/>
      <c r="U412" s="24"/>
      <c r="V412" s="3"/>
      <c r="W412" s="25" t="s">
        <v>6709</v>
      </c>
      <c r="X412" s="25" t="s">
        <v>7035</v>
      </c>
      <c r="Y412" s="25"/>
      <c r="Z412" s="25"/>
      <c r="AA412" s="25"/>
      <c r="AB412" s="3" t="str">
        <f>IF(Caja_Finanzas[[#This Row],[fecha]]&gt;0,TEXT(Caja_Finanzas[[#This Row],[fecha]],"mmmm"),0)</f>
        <v>Mayo</v>
      </c>
    </row>
    <row r="413" spans="1:28" ht="24" x14ac:dyDescent="0.3">
      <c r="A413" s="2">
        <f>IF(Caja_Finanzas[[#This Row],[tipo_r]]="R",COUNTIFS($C$1:$C412,"R")+1,A412)</f>
        <v>400</v>
      </c>
      <c r="B413" s="19" t="str">
        <f t="shared" si="34"/>
        <v>C-Finanzas</v>
      </c>
      <c r="C413" s="3" t="s">
        <v>1330</v>
      </c>
      <c r="D413" s="14">
        <v>45779</v>
      </c>
      <c r="E413" s="5" t="s">
        <v>6409</v>
      </c>
      <c r="F413" s="5" t="s">
        <v>1336</v>
      </c>
      <c r="G413" s="5"/>
      <c r="H413" s="6"/>
      <c r="I413" s="6"/>
      <c r="J413" s="6"/>
      <c r="K413" s="6"/>
      <c r="L413" s="7" t="s">
        <v>7036</v>
      </c>
      <c r="M413" s="8" t="str">
        <f>"CFI"&amp;".D"&amp;TEXT(Caja_Finanzas[[#This Row],[fecha]],"DD-MM")&amp;"-"&amp;TEXT(Caja_Finanzas[[#This Row],[item]],"0000")</f>
        <v>CFI.D02-05-0400</v>
      </c>
      <c r="N413" s="8" t="str">
        <f t="shared" si="35"/>
        <v>PEN</v>
      </c>
      <c r="O413" s="13"/>
      <c r="P413" s="13">
        <v>30</v>
      </c>
      <c r="Q413" s="3">
        <f t="shared" si="31"/>
        <v>0</v>
      </c>
      <c r="R413" s="3">
        <f t="shared" si="32"/>
        <v>30</v>
      </c>
      <c r="S413" s="3">
        <f t="shared" si="33"/>
        <v>22951.299999999992</v>
      </c>
      <c r="T413" s="24"/>
      <c r="U413" s="24"/>
      <c r="V413" s="3"/>
      <c r="W413" s="25" t="s">
        <v>6709</v>
      </c>
      <c r="X413" s="25" t="s">
        <v>7037</v>
      </c>
      <c r="Y413" s="25"/>
      <c r="Z413" s="25"/>
      <c r="AA413" s="25"/>
      <c r="AB413" s="3" t="str">
        <f>IF(Caja_Finanzas[[#This Row],[fecha]]&gt;0,TEXT(Caja_Finanzas[[#This Row],[fecha]],"mmmm"),0)</f>
        <v>Mayo</v>
      </c>
    </row>
    <row r="414" spans="1:28" ht="36" x14ac:dyDescent="0.3">
      <c r="A414" s="2">
        <f>IF(Caja_Finanzas[[#This Row],[tipo_r]]="R",COUNTIFS($C$1:$C413,"R")+1,A413)</f>
        <v>401</v>
      </c>
      <c r="B414" s="19" t="str">
        <f t="shared" si="34"/>
        <v>C-Finanzas</v>
      </c>
      <c r="C414" s="3" t="s">
        <v>1330</v>
      </c>
      <c r="D414" s="14">
        <v>45779</v>
      </c>
      <c r="E414" s="5" t="s">
        <v>6409</v>
      </c>
      <c r="F414" s="5" t="s">
        <v>1336</v>
      </c>
      <c r="G414" s="5"/>
      <c r="H414" s="6"/>
      <c r="I414" s="6"/>
      <c r="J414" s="6"/>
      <c r="K414" s="6"/>
      <c r="L414" s="7" t="s">
        <v>7038</v>
      </c>
      <c r="M414" s="8" t="str">
        <f>"CFI"&amp;".D"&amp;TEXT(Caja_Finanzas[[#This Row],[fecha]],"DD-MM")&amp;"-"&amp;TEXT(Caja_Finanzas[[#This Row],[item]],"0000")</f>
        <v>CFI.D02-05-0401</v>
      </c>
      <c r="N414" s="8" t="str">
        <f t="shared" si="35"/>
        <v>PEN</v>
      </c>
      <c r="O414" s="13"/>
      <c r="P414" s="13">
        <v>100</v>
      </c>
      <c r="Q414" s="3">
        <f t="shared" si="31"/>
        <v>0</v>
      </c>
      <c r="R414" s="3">
        <f t="shared" si="32"/>
        <v>100</v>
      </c>
      <c r="S414" s="3">
        <f t="shared" si="33"/>
        <v>22851.299999999992</v>
      </c>
      <c r="T414" s="24"/>
      <c r="U414" s="24"/>
      <c r="V414" s="3"/>
      <c r="W414" s="25" t="s">
        <v>6737</v>
      </c>
      <c r="X414" s="25" t="s">
        <v>7039</v>
      </c>
      <c r="Y414" s="25"/>
      <c r="Z414" s="25"/>
      <c r="AA414" s="25"/>
      <c r="AB414" s="3" t="str">
        <f>IF(Caja_Finanzas[[#This Row],[fecha]]&gt;0,TEXT(Caja_Finanzas[[#This Row],[fecha]],"mmmm"),0)</f>
        <v>Mayo</v>
      </c>
    </row>
    <row r="415" spans="1:28" ht="24" x14ac:dyDescent="0.3">
      <c r="A415" s="2">
        <f>IF(Caja_Finanzas[[#This Row],[tipo_r]]="R",COUNTIFS($C$1:$C414,"R")+1,A414)</f>
        <v>402</v>
      </c>
      <c r="B415" s="19" t="str">
        <f t="shared" si="34"/>
        <v>C-Finanzas</v>
      </c>
      <c r="C415" s="3" t="s">
        <v>1330</v>
      </c>
      <c r="D415" s="14">
        <v>45779</v>
      </c>
      <c r="E415" s="5" t="s">
        <v>6409</v>
      </c>
      <c r="F415" s="5" t="s">
        <v>1336</v>
      </c>
      <c r="G415" s="5"/>
      <c r="H415" s="6"/>
      <c r="I415" s="6"/>
      <c r="J415" s="6"/>
      <c r="K415" s="6"/>
      <c r="L415" s="7" t="s">
        <v>7040</v>
      </c>
      <c r="M415" s="8" t="str">
        <f>"CFI"&amp;".D"&amp;TEXT(Caja_Finanzas[[#This Row],[fecha]],"DD-MM")&amp;"-"&amp;TEXT(Caja_Finanzas[[#This Row],[item]],"0000")</f>
        <v>CFI.D02-05-0402</v>
      </c>
      <c r="N415" s="8" t="str">
        <f t="shared" si="35"/>
        <v>PEN</v>
      </c>
      <c r="O415" s="13"/>
      <c r="P415" s="13">
        <v>10</v>
      </c>
      <c r="Q415" s="3">
        <f t="shared" si="31"/>
        <v>0</v>
      </c>
      <c r="R415" s="3">
        <f t="shared" si="32"/>
        <v>10</v>
      </c>
      <c r="S415" s="3">
        <f t="shared" si="33"/>
        <v>22841.299999999992</v>
      </c>
      <c r="T415" s="24"/>
      <c r="U415" s="24"/>
      <c r="V415" s="3"/>
      <c r="W415" s="25" t="s">
        <v>6709</v>
      </c>
      <c r="X415" s="25" t="s">
        <v>7041</v>
      </c>
      <c r="Y415" s="25"/>
      <c r="Z415" s="25"/>
      <c r="AA415" s="25"/>
      <c r="AB415" s="3" t="str">
        <f>IF(Caja_Finanzas[[#This Row],[fecha]]&gt;0,TEXT(Caja_Finanzas[[#This Row],[fecha]],"mmmm"),0)</f>
        <v>Mayo</v>
      </c>
    </row>
    <row r="416" spans="1:28" ht="24" x14ac:dyDescent="0.3">
      <c r="A416" s="2">
        <f>IF(Caja_Finanzas[[#This Row],[tipo_r]]="R",COUNTIFS($C$1:$C415,"R")+1,A415)</f>
        <v>403</v>
      </c>
      <c r="B416" s="19" t="str">
        <f t="shared" si="34"/>
        <v>C-Finanzas</v>
      </c>
      <c r="C416" s="3" t="s">
        <v>1330</v>
      </c>
      <c r="D416" s="14">
        <v>45779</v>
      </c>
      <c r="E416" s="5" t="s">
        <v>6409</v>
      </c>
      <c r="F416" s="5" t="s">
        <v>1336</v>
      </c>
      <c r="G416" s="5"/>
      <c r="H416" s="6"/>
      <c r="I416" s="6"/>
      <c r="J416" s="6"/>
      <c r="K416" s="6"/>
      <c r="L416" s="7" t="s">
        <v>7042</v>
      </c>
      <c r="M416" s="8" t="str">
        <f>"CFI"&amp;".D"&amp;TEXT(Caja_Finanzas[[#This Row],[fecha]],"DD-MM")&amp;"-"&amp;TEXT(Caja_Finanzas[[#This Row],[item]],"0000")</f>
        <v>CFI.D02-05-0403</v>
      </c>
      <c r="N416" s="8" t="str">
        <f t="shared" si="35"/>
        <v>PEN</v>
      </c>
      <c r="O416" s="13"/>
      <c r="P416" s="13">
        <v>15</v>
      </c>
      <c r="Q416" s="3">
        <f t="shared" si="31"/>
        <v>0</v>
      </c>
      <c r="R416" s="3">
        <f t="shared" si="32"/>
        <v>15</v>
      </c>
      <c r="S416" s="3">
        <f t="shared" si="33"/>
        <v>22826.299999999992</v>
      </c>
      <c r="T416" s="24"/>
      <c r="U416" s="24"/>
      <c r="V416" s="3"/>
      <c r="W416" s="25" t="s">
        <v>6709</v>
      </c>
      <c r="X416" s="25" t="s">
        <v>7043</v>
      </c>
      <c r="Y416" s="25"/>
      <c r="Z416" s="25"/>
      <c r="AA416" s="25"/>
      <c r="AB416" s="3" t="str">
        <f>IF(Caja_Finanzas[[#This Row],[fecha]]&gt;0,TEXT(Caja_Finanzas[[#This Row],[fecha]],"mmmm"),0)</f>
        <v>Mayo</v>
      </c>
    </row>
    <row r="417" spans="1:28" ht="24" x14ac:dyDescent="0.3">
      <c r="A417" s="2">
        <f>IF(Caja_Finanzas[[#This Row],[tipo_r]]="R",COUNTIFS($C$1:$C416,"R")+1,A416)</f>
        <v>404</v>
      </c>
      <c r="B417" s="19" t="str">
        <f t="shared" si="34"/>
        <v>C-Finanzas</v>
      </c>
      <c r="C417" s="3" t="s">
        <v>1330</v>
      </c>
      <c r="D417" s="14">
        <v>45779</v>
      </c>
      <c r="E417" s="5" t="s">
        <v>6731</v>
      </c>
      <c r="F417" s="5" t="s">
        <v>1336</v>
      </c>
      <c r="G417" s="5"/>
      <c r="H417" s="6"/>
      <c r="I417" s="6"/>
      <c r="J417" s="6"/>
      <c r="K417" s="6"/>
      <c r="L417" s="7" t="s">
        <v>7044</v>
      </c>
      <c r="M417" s="8" t="str">
        <f>"CFI"&amp;".D"&amp;TEXT(Caja_Finanzas[[#This Row],[fecha]],"DD-MM")&amp;"-"&amp;TEXT(Caja_Finanzas[[#This Row],[item]],"0000")</f>
        <v>CFI.D02-05-0404</v>
      </c>
      <c r="N417" s="8" t="str">
        <f t="shared" si="35"/>
        <v>PEN</v>
      </c>
      <c r="O417" s="13"/>
      <c r="P417" s="13">
        <v>21</v>
      </c>
      <c r="Q417" s="3">
        <f t="shared" si="31"/>
        <v>0</v>
      </c>
      <c r="R417" s="3">
        <f t="shared" si="32"/>
        <v>21</v>
      </c>
      <c r="S417" s="3">
        <f t="shared" si="33"/>
        <v>22805.299999999992</v>
      </c>
      <c r="T417" s="24"/>
      <c r="U417" s="24"/>
      <c r="V417" s="3"/>
      <c r="W417" s="25" t="s">
        <v>6709</v>
      </c>
      <c r="X417" s="25" t="s">
        <v>7045</v>
      </c>
      <c r="Y417" s="25"/>
      <c r="Z417" s="25"/>
      <c r="AA417" s="25"/>
      <c r="AB417" s="3" t="str">
        <f>IF(Caja_Finanzas[[#This Row],[fecha]]&gt;0,TEXT(Caja_Finanzas[[#This Row],[fecha]],"mmmm"),0)</f>
        <v>Mayo</v>
      </c>
    </row>
    <row r="418" spans="1:28" ht="36" x14ac:dyDescent="0.3">
      <c r="A418" s="2">
        <f>IF(Caja_Finanzas[[#This Row],[tipo_r]]="R",COUNTIFS($C$1:$C417,"R")+1,A417)</f>
        <v>405</v>
      </c>
      <c r="B418" s="19" t="str">
        <f t="shared" si="34"/>
        <v>C-Finanzas</v>
      </c>
      <c r="C418" s="3" t="s">
        <v>1330</v>
      </c>
      <c r="D418" s="14">
        <v>45779</v>
      </c>
      <c r="E418" s="5" t="s">
        <v>6415</v>
      </c>
      <c r="F418" s="5" t="s">
        <v>1336</v>
      </c>
      <c r="G418" s="5"/>
      <c r="H418" s="6"/>
      <c r="I418" s="6"/>
      <c r="J418" s="6"/>
      <c r="K418" s="6"/>
      <c r="L418" s="7" t="s">
        <v>7046</v>
      </c>
      <c r="M418" s="8" t="str">
        <f>"CFI"&amp;".D"&amp;TEXT(Caja_Finanzas[[#This Row],[fecha]],"DD-MM")&amp;"-"&amp;TEXT(Caja_Finanzas[[#This Row],[item]],"0000")</f>
        <v>CFI.D02-05-0405</v>
      </c>
      <c r="N418" s="8" t="str">
        <f t="shared" si="35"/>
        <v>PEN</v>
      </c>
      <c r="O418" s="13"/>
      <c r="P418" s="13">
        <v>7336</v>
      </c>
      <c r="Q418" s="3">
        <f t="shared" si="31"/>
        <v>0</v>
      </c>
      <c r="R418" s="3">
        <f t="shared" si="32"/>
        <v>7336</v>
      </c>
      <c r="S418" s="3">
        <f t="shared" si="33"/>
        <v>15469.299999999992</v>
      </c>
      <c r="T418" s="24"/>
      <c r="U418" s="24"/>
      <c r="V418" s="3"/>
      <c r="W418" s="25"/>
      <c r="X418" s="25"/>
      <c r="Y418" s="25"/>
      <c r="Z418" s="25"/>
      <c r="AA418" s="25"/>
      <c r="AB418" s="3" t="str">
        <f>IF(Caja_Finanzas[[#This Row],[fecha]]&gt;0,TEXT(Caja_Finanzas[[#This Row],[fecha]],"mmmm"),0)</f>
        <v>Mayo</v>
      </c>
    </row>
    <row r="419" spans="1:28" ht="24" x14ac:dyDescent="0.3">
      <c r="A419" s="2">
        <f>IF(Caja_Finanzas[[#This Row],[tipo_r]]="R",COUNTIFS($C$1:$C418,"R")+1,A418)</f>
        <v>406</v>
      </c>
      <c r="B419" s="19" t="str">
        <f t="shared" si="34"/>
        <v>C-Finanzas</v>
      </c>
      <c r="C419" s="3" t="s">
        <v>1330</v>
      </c>
      <c r="D419" s="14">
        <v>45779</v>
      </c>
      <c r="E419" s="5" t="s">
        <v>1751</v>
      </c>
      <c r="F419" s="5" t="s">
        <v>1303</v>
      </c>
      <c r="G419" s="5"/>
      <c r="H419" s="6" t="s">
        <v>425</v>
      </c>
      <c r="I419" s="6" t="s">
        <v>119</v>
      </c>
      <c r="J419" s="6">
        <v>1</v>
      </c>
      <c r="K419" s="6">
        <v>4384</v>
      </c>
      <c r="L419" s="7" t="s">
        <v>6118</v>
      </c>
      <c r="M419" s="8" t="str">
        <f>"CFI"&amp;".D"&amp;TEXT(Caja_Finanzas[[#This Row],[fecha]],"DD-MM")&amp;"-"&amp;TEXT(Caja_Finanzas[[#This Row],[item]],"0000")</f>
        <v>CFI.D02-05-0406</v>
      </c>
      <c r="N419" s="8" t="str">
        <f t="shared" si="35"/>
        <v>PEN</v>
      </c>
      <c r="O419" s="13"/>
      <c r="P419" s="13">
        <v>1647</v>
      </c>
      <c r="Q419" s="3">
        <f t="shared" si="31"/>
        <v>1647</v>
      </c>
      <c r="R419" s="3">
        <f t="shared" si="32"/>
        <v>0</v>
      </c>
      <c r="S419" s="3">
        <f t="shared" si="33"/>
        <v>17116.299999999992</v>
      </c>
      <c r="T419" s="24"/>
      <c r="U419" s="24"/>
      <c r="V419" s="3"/>
      <c r="W419" s="25"/>
      <c r="X419" s="25" t="s">
        <v>7047</v>
      </c>
      <c r="Y419" s="25"/>
      <c r="Z419" s="25"/>
      <c r="AA419" s="25"/>
      <c r="AB419" s="3" t="str">
        <f>IF(Caja_Finanzas[[#This Row],[fecha]]&gt;0,TEXT(Caja_Finanzas[[#This Row],[fecha]],"mmmm"),0)</f>
        <v>Mayo</v>
      </c>
    </row>
    <row r="420" spans="1:28" ht="24" x14ac:dyDescent="0.3">
      <c r="A420" s="2">
        <f>IF(Caja_Finanzas[[#This Row],[tipo_r]]="R",COUNTIFS($C$1:$C419,"R")+1,A419)</f>
        <v>407</v>
      </c>
      <c r="B420" s="19" t="str">
        <f t="shared" si="34"/>
        <v>C-Finanzas</v>
      </c>
      <c r="C420" s="3" t="s">
        <v>1330</v>
      </c>
      <c r="D420" s="14">
        <v>45782</v>
      </c>
      <c r="E420" s="5" t="s">
        <v>5811</v>
      </c>
      <c r="F420" s="5" t="s">
        <v>1336</v>
      </c>
      <c r="G420" s="5"/>
      <c r="H420" s="6"/>
      <c r="I420" s="6"/>
      <c r="J420" s="6"/>
      <c r="K420" s="6"/>
      <c r="L420" s="7" t="s">
        <v>7048</v>
      </c>
      <c r="M420" s="8" t="str">
        <f>"CFI"&amp;".D"&amp;TEXT(Caja_Finanzas[[#This Row],[fecha]],"DD-MM")&amp;"-"&amp;TEXT(Caja_Finanzas[[#This Row],[item]],"0000")</f>
        <v>CFI.D05-05-0407</v>
      </c>
      <c r="N420" s="8" t="str">
        <f t="shared" si="35"/>
        <v>PEN</v>
      </c>
      <c r="O420" s="13"/>
      <c r="P420" s="13">
        <v>41.5</v>
      </c>
      <c r="Q420" s="3">
        <f t="shared" si="31"/>
        <v>0</v>
      </c>
      <c r="R420" s="3">
        <f t="shared" si="32"/>
        <v>41.5</v>
      </c>
      <c r="S420" s="3">
        <f t="shared" si="33"/>
        <v>17074.799999999992</v>
      </c>
      <c r="T420" s="24"/>
      <c r="U420" s="24"/>
      <c r="V420" s="3"/>
      <c r="W420" s="25" t="s">
        <v>6709</v>
      </c>
      <c r="X420" s="25" t="s">
        <v>7049</v>
      </c>
      <c r="Y420" s="25"/>
      <c r="Z420" s="25"/>
      <c r="AA420" s="25"/>
      <c r="AB420" s="3" t="str">
        <f>IF(Caja_Finanzas[[#This Row],[fecha]]&gt;0,TEXT(Caja_Finanzas[[#This Row],[fecha]],"mmmm"),0)</f>
        <v>Mayo</v>
      </c>
    </row>
    <row r="421" spans="1:28" ht="36" x14ac:dyDescent="0.3">
      <c r="A421" s="2">
        <f>IF(Caja_Finanzas[[#This Row],[tipo_r]]="R",COUNTIFS($C$1:$C420,"R")+1,A420)</f>
        <v>408</v>
      </c>
      <c r="B421" s="19" t="str">
        <f t="shared" si="34"/>
        <v>C-Finanzas</v>
      </c>
      <c r="C421" s="3" t="s">
        <v>1330</v>
      </c>
      <c r="D421" s="14">
        <v>45783</v>
      </c>
      <c r="E421" s="5" t="s">
        <v>5811</v>
      </c>
      <c r="F421" s="5" t="s">
        <v>1336</v>
      </c>
      <c r="G421" s="5"/>
      <c r="H421" s="6"/>
      <c r="I421" s="6"/>
      <c r="J421" s="6"/>
      <c r="K421" s="6"/>
      <c r="L421" s="7" t="s">
        <v>7050</v>
      </c>
      <c r="M421" s="8" t="str">
        <f>"CFI"&amp;".D"&amp;TEXT(Caja_Finanzas[[#This Row],[fecha]],"DD-MM")&amp;"-"&amp;TEXT(Caja_Finanzas[[#This Row],[item]],"0000")</f>
        <v>CFI.D06-05-0408</v>
      </c>
      <c r="N421" s="8" t="str">
        <f t="shared" si="35"/>
        <v>PEN</v>
      </c>
      <c r="O421" s="13"/>
      <c r="P421" s="13">
        <v>1600</v>
      </c>
      <c r="Q421" s="3">
        <f t="shared" si="31"/>
        <v>0</v>
      </c>
      <c r="R421" s="3">
        <f t="shared" si="32"/>
        <v>1600</v>
      </c>
      <c r="S421" s="3">
        <f t="shared" si="33"/>
        <v>15474.799999999992</v>
      </c>
      <c r="T421" s="24"/>
      <c r="U421" s="24"/>
      <c r="V421" s="3"/>
      <c r="W421" s="25" t="s">
        <v>464</v>
      </c>
      <c r="X421" s="25" t="s">
        <v>7051</v>
      </c>
      <c r="Y421" s="25"/>
      <c r="Z421" s="25"/>
      <c r="AA421" s="25"/>
      <c r="AB421" s="3" t="str">
        <f>IF(Caja_Finanzas[[#This Row],[fecha]]&gt;0,TEXT(Caja_Finanzas[[#This Row],[fecha]],"mmmm"),0)</f>
        <v>Mayo</v>
      </c>
    </row>
    <row r="422" spans="1:28" ht="24" x14ac:dyDescent="0.3">
      <c r="A422" s="2">
        <f>IF(Caja_Finanzas[[#This Row],[tipo_r]]="R",COUNTIFS($C$1:$C421,"R")+1,A421)</f>
        <v>409</v>
      </c>
      <c r="B422" s="19" t="str">
        <f t="shared" si="34"/>
        <v>C-Finanzas</v>
      </c>
      <c r="C422" s="3" t="s">
        <v>1330</v>
      </c>
      <c r="D422" s="14">
        <v>45783</v>
      </c>
      <c r="E422" s="5" t="s">
        <v>6940</v>
      </c>
      <c r="F422" s="5" t="s">
        <v>1336</v>
      </c>
      <c r="G422" s="5"/>
      <c r="H422" s="6"/>
      <c r="I422" s="6"/>
      <c r="J422" s="6"/>
      <c r="K422" s="6"/>
      <c r="L422" s="7" t="s">
        <v>7052</v>
      </c>
      <c r="M422" s="8" t="str">
        <f>"CFI"&amp;".D"&amp;TEXT(Caja_Finanzas[[#This Row],[fecha]],"DD-MM")&amp;"-"&amp;TEXT(Caja_Finanzas[[#This Row],[item]],"0000")</f>
        <v>CFI.D06-05-0409</v>
      </c>
      <c r="N422" s="8" t="str">
        <f t="shared" si="35"/>
        <v>PEN</v>
      </c>
      <c r="O422" s="13"/>
      <c r="P422" s="13">
        <v>15</v>
      </c>
      <c r="Q422" s="3">
        <f t="shared" si="31"/>
        <v>0</v>
      </c>
      <c r="R422" s="3">
        <f t="shared" si="32"/>
        <v>15</v>
      </c>
      <c r="S422" s="3">
        <f t="shared" si="33"/>
        <v>15459.799999999992</v>
      </c>
      <c r="T422" s="24"/>
      <c r="U422" s="24"/>
      <c r="V422" s="3"/>
      <c r="W422" s="25" t="s">
        <v>6709</v>
      </c>
      <c r="X422" s="25" t="s">
        <v>7053</v>
      </c>
      <c r="Y422" s="25"/>
      <c r="Z422" s="25"/>
      <c r="AA422" s="25"/>
      <c r="AB422" s="3" t="str">
        <f>IF(Caja_Finanzas[[#This Row],[fecha]]&gt;0,TEXT(Caja_Finanzas[[#This Row],[fecha]],"mmmm"),0)</f>
        <v>Mayo</v>
      </c>
    </row>
    <row r="423" spans="1:28" ht="24" x14ac:dyDescent="0.3">
      <c r="A423" s="2">
        <f>IF(Caja_Finanzas[[#This Row],[tipo_r]]="R",COUNTIFS($C$1:$C422,"R")+1,A422)</f>
        <v>410</v>
      </c>
      <c r="B423" s="19" t="str">
        <f t="shared" si="34"/>
        <v>C-Finanzas</v>
      </c>
      <c r="C423" s="3" t="s">
        <v>1330</v>
      </c>
      <c r="D423" s="14">
        <v>45784</v>
      </c>
      <c r="E423" s="5" t="s">
        <v>2938</v>
      </c>
      <c r="F423" s="5" t="s">
        <v>1303</v>
      </c>
      <c r="G423" s="5"/>
      <c r="H423" s="6" t="s">
        <v>425</v>
      </c>
      <c r="I423" s="6" t="s">
        <v>119</v>
      </c>
      <c r="J423" s="6">
        <v>1</v>
      </c>
      <c r="K423" s="6">
        <v>4393</v>
      </c>
      <c r="L423" s="7" t="s">
        <v>6118</v>
      </c>
      <c r="M423" s="8" t="str">
        <f>"CFI"&amp;".D"&amp;TEXT(Caja_Finanzas[[#This Row],[fecha]],"DD-MM")&amp;"-"&amp;TEXT(Caja_Finanzas[[#This Row],[item]],"0000")</f>
        <v>CFI.D07-05-0410</v>
      </c>
      <c r="N423" s="8" t="str">
        <f t="shared" si="35"/>
        <v>PEN</v>
      </c>
      <c r="O423" s="13"/>
      <c r="P423" s="13">
        <v>6520</v>
      </c>
      <c r="Q423" s="3">
        <f t="shared" si="31"/>
        <v>6520</v>
      </c>
      <c r="R423" s="3">
        <f t="shared" si="32"/>
        <v>0</v>
      </c>
      <c r="S423" s="3">
        <f t="shared" si="33"/>
        <v>21979.799999999992</v>
      </c>
      <c r="T423" s="24"/>
      <c r="U423" s="24"/>
      <c r="V423" s="3"/>
      <c r="W423" s="25"/>
      <c r="X423" s="25" t="s">
        <v>2939</v>
      </c>
      <c r="Y423" s="25"/>
      <c r="Z423" s="25"/>
      <c r="AA423" s="25"/>
      <c r="AB423" s="3" t="str">
        <f>IF(Caja_Finanzas[[#This Row],[fecha]]&gt;0,TEXT(Caja_Finanzas[[#This Row],[fecha]],"mmmm"),0)</f>
        <v>Mayo</v>
      </c>
    </row>
    <row r="424" spans="1:28" ht="24" x14ac:dyDescent="0.3">
      <c r="A424" s="2">
        <f>IF(Caja_Finanzas[[#This Row],[tipo_r]]="R",COUNTIFS($C$1:$C423,"R")+1,A423)</f>
        <v>411</v>
      </c>
      <c r="B424" s="19" t="str">
        <f t="shared" si="34"/>
        <v>C-Finanzas</v>
      </c>
      <c r="C424" s="3" t="s">
        <v>1330</v>
      </c>
      <c r="D424" s="14">
        <v>45784</v>
      </c>
      <c r="E424" s="5"/>
      <c r="F424" s="5" t="s">
        <v>1303</v>
      </c>
      <c r="G424" s="5"/>
      <c r="H424" s="6"/>
      <c r="I424" s="6"/>
      <c r="J424" s="6"/>
      <c r="K424" s="6"/>
      <c r="L424" s="7" t="s">
        <v>7054</v>
      </c>
      <c r="M424" s="8" t="str">
        <f>"CFI"&amp;".D"&amp;TEXT(Caja_Finanzas[[#This Row],[fecha]],"DD-MM")&amp;"-"&amp;TEXT(Caja_Finanzas[[#This Row],[item]],"0000")</f>
        <v>CFI.D07-05-0411</v>
      </c>
      <c r="N424" s="8" t="str">
        <f t="shared" si="35"/>
        <v>PEN</v>
      </c>
      <c r="O424" s="13"/>
      <c r="P424" s="13">
        <v>1036.9000000000001</v>
      </c>
      <c r="Q424" s="3">
        <f t="shared" si="31"/>
        <v>1036.9000000000001</v>
      </c>
      <c r="R424" s="3">
        <f t="shared" si="32"/>
        <v>0</v>
      </c>
      <c r="S424" s="3">
        <f t="shared" si="33"/>
        <v>23016.699999999993</v>
      </c>
      <c r="T424" s="24"/>
      <c r="U424" s="24"/>
      <c r="V424" s="3"/>
      <c r="W424" s="25"/>
      <c r="X424" s="25"/>
      <c r="Y424" s="25"/>
      <c r="Z424" s="25"/>
      <c r="AA424" s="25"/>
      <c r="AB424" s="3" t="str">
        <f>IF(Caja_Finanzas[[#This Row],[fecha]]&gt;0,TEXT(Caja_Finanzas[[#This Row],[fecha]],"mmmm"),0)</f>
        <v>Mayo</v>
      </c>
    </row>
    <row r="425" spans="1:28" ht="24" x14ac:dyDescent="0.3">
      <c r="A425" s="2">
        <f>IF(Caja_Finanzas[[#This Row],[tipo_r]]="R",COUNTIFS($C$1:$C424,"R")+1,A424)</f>
        <v>411</v>
      </c>
      <c r="B425" s="19" t="str">
        <f t="shared" si="34"/>
        <v>C-Finanzas</v>
      </c>
      <c r="C425" s="3" t="s">
        <v>1352</v>
      </c>
      <c r="D425" s="14">
        <v>45784</v>
      </c>
      <c r="E425" s="5" t="s">
        <v>3677</v>
      </c>
      <c r="F425" s="5"/>
      <c r="G425" s="5"/>
      <c r="H425" s="6" t="s">
        <v>425</v>
      </c>
      <c r="I425" s="6" t="s">
        <v>119</v>
      </c>
      <c r="J425" s="6">
        <v>3</v>
      </c>
      <c r="K425" s="6">
        <v>569</v>
      </c>
      <c r="L425" s="7" t="s">
        <v>7054</v>
      </c>
      <c r="M425" s="8" t="str">
        <f>"CFI"&amp;".D"&amp;TEXT(Caja_Finanzas[[#This Row],[fecha]],"DD-MM")&amp;"-"&amp;TEXT(Caja_Finanzas[[#This Row],[item]],"0000")</f>
        <v>CFI.D07-05-0411</v>
      </c>
      <c r="N425" s="8" t="str">
        <f t="shared" si="35"/>
        <v>PEN</v>
      </c>
      <c r="O425" s="13">
        <v>172.8</v>
      </c>
      <c r="P425" s="13"/>
      <c r="Q425" s="3">
        <f t="shared" si="31"/>
        <v>0</v>
      </c>
      <c r="R425" s="3">
        <f t="shared" si="32"/>
        <v>0</v>
      </c>
      <c r="S425" s="3">
        <f t="shared" si="33"/>
        <v>23016.699999999993</v>
      </c>
      <c r="T425" s="24"/>
      <c r="U425" s="24"/>
      <c r="V425" s="3"/>
      <c r="W425" s="25"/>
      <c r="X425" s="25" t="s">
        <v>7055</v>
      </c>
      <c r="Y425" s="25"/>
      <c r="Z425" s="25"/>
      <c r="AA425" s="25"/>
      <c r="AB425" s="3" t="str">
        <f>IF(Caja_Finanzas[[#This Row],[fecha]]&gt;0,TEXT(Caja_Finanzas[[#This Row],[fecha]],"mmmm"),0)</f>
        <v>Mayo</v>
      </c>
    </row>
    <row r="426" spans="1:28" ht="24" x14ac:dyDescent="0.3">
      <c r="A426" s="2">
        <f>IF(Caja_Finanzas[[#This Row],[tipo_r]]="R",COUNTIFS($C$1:$C425,"R")+1,A425)</f>
        <v>411</v>
      </c>
      <c r="B426" s="19" t="str">
        <f t="shared" si="34"/>
        <v>C-Finanzas</v>
      </c>
      <c r="C426" s="3" t="s">
        <v>1352</v>
      </c>
      <c r="D426" s="14">
        <v>45784</v>
      </c>
      <c r="E426" s="5" t="s">
        <v>7056</v>
      </c>
      <c r="F426" s="5"/>
      <c r="G426" s="5"/>
      <c r="H426" s="6" t="s">
        <v>425</v>
      </c>
      <c r="I426" s="6" t="s">
        <v>119</v>
      </c>
      <c r="J426" s="6">
        <v>3</v>
      </c>
      <c r="K426" s="6">
        <v>570</v>
      </c>
      <c r="L426" s="7" t="s">
        <v>7054</v>
      </c>
      <c r="M426" s="8" t="str">
        <f>"CFI"&amp;".D"&amp;TEXT(Caja_Finanzas[[#This Row],[fecha]],"DD-MM")&amp;"-"&amp;TEXT(Caja_Finanzas[[#This Row],[item]],"0000")</f>
        <v>CFI.D07-05-0411</v>
      </c>
      <c r="N426" s="8" t="str">
        <f t="shared" si="35"/>
        <v>PEN</v>
      </c>
      <c r="O426" s="13">
        <v>12</v>
      </c>
      <c r="P426" s="13"/>
      <c r="Q426" s="3">
        <f t="shared" si="31"/>
        <v>0</v>
      </c>
      <c r="R426" s="3">
        <f t="shared" si="32"/>
        <v>0</v>
      </c>
      <c r="S426" s="3">
        <f t="shared" si="33"/>
        <v>23016.699999999993</v>
      </c>
      <c r="T426" s="24"/>
      <c r="U426" s="24"/>
      <c r="V426" s="3"/>
      <c r="W426" s="25"/>
      <c r="X426" s="25" t="s">
        <v>7057</v>
      </c>
      <c r="Y426" s="25"/>
      <c r="Z426" s="25"/>
      <c r="AA426" s="25"/>
      <c r="AB426" s="3" t="str">
        <f>IF(Caja_Finanzas[[#This Row],[fecha]]&gt;0,TEXT(Caja_Finanzas[[#This Row],[fecha]],"mmmm"),0)</f>
        <v>Mayo</v>
      </c>
    </row>
    <row r="427" spans="1:28" ht="24" x14ac:dyDescent="0.3">
      <c r="A427" s="2">
        <f>IF(Caja_Finanzas[[#This Row],[tipo_r]]="R",COUNTIFS($C$1:$C426,"R")+1,A426)</f>
        <v>411</v>
      </c>
      <c r="B427" s="19" t="str">
        <f t="shared" si="34"/>
        <v>C-Finanzas</v>
      </c>
      <c r="C427" s="3" t="s">
        <v>1352</v>
      </c>
      <c r="D427" s="14">
        <v>45784</v>
      </c>
      <c r="E427" s="5" t="s">
        <v>3677</v>
      </c>
      <c r="F427" s="5"/>
      <c r="G427" s="5"/>
      <c r="H427" s="6" t="s">
        <v>425</v>
      </c>
      <c r="I427" s="6" t="s">
        <v>119</v>
      </c>
      <c r="J427" s="6">
        <v>3</v>
      </c>
      <c r="K427" s="6">
        <v>571</v>
      </c>
      <c r="L427" s="7" t="s">
        <v>7054</v>
      </c>
      <c r="M427" s="8" t="str">
        <f>"CFI"&amp;".D"&amp;TEXT(Caja_Finanzas[[#This Row],[fecha]],"DD-MM")&amp;"-"&amp;TEXT(Caja_Finanzas[[#This Row],[item]],"0000")</f>
        <v>CFI.D07-05-0411</v>
      </c>
      <c r="N427" s="8" t="str">
        <f t="shared" si="35"/>
        <v>PEN</v>
      </c>
      <c r="O427" s="13">
        <v>186.6</v>
      </c>
      <c r="P427" s="13"/>
      <c r="Q427" s="3">
        <f t="shared" si="31"/>
        <v>0</v>
      </c>
      <c r="R427" s="3">
        <f t="shared" si="32"/>
        <v>0</v>
      </c>
      <c r="S427" s="3">
        <f t="shared" si="33"/>
        <v>23016.699999999993</v>
      </c>
      <c r="T427" s="24"/>
      <c r="U427" s="24"/>
      <c r="V427" s="3"/>
      <c r="W427" s="25"/>
      <c r="X427" s="25" t="s">
        <v>7058</v>
      </c>
      <c r="Y427" s="25"/>
      <c r="Z427" s="25"/>
      <c r="AA427" s="25"/>
      <c r="AB427" s="3" t="str">
        <f>IF(Caja_Finanzas[[#This Row],[fecha]]&gt;0,TEXT(Caja_Finanzas[[#This Row],[fecha]],"mmmm"),0)</f>
        <v>Mayo</v>
      </c>
    </row>
    <row r="428" spans="1:28" ht="24" x14ac:dyDescent="0.3">
      <c r="A428" s="2">
        <f>IF(Caja_Finanzas[[#This Row],[tipo_r]]="R",COUNTIFS($C$1:$C427,"R")+1,A427)</f>
        <v>411</v>
      </c>
      <c r="B428" s="19" t="str">
        <f t="shared" si="34"/>
        <v>C-Finanzas</v>
      </c>
      <c r="C428" s="3" t="s">
        <v>1352</v>
      </c>
      <c r="D428" s="14">
        <v>45784</v>
      </c>
      <c r="E428" s="5" t="s">
        <v>7059</v>
      </c>
      <c r="F428" s="5"/>
      <c r="G428" s="5"/>
      <c r="H428" s="6" t="s">
        <v>425</v>
      </c>
      <c r="I428" s="6" t="s">
        <v>119</v>
      </c>
      <c r="J428" s="6">
        <v>3</v>
      </c>
      <c r="K428" s="6">
        <v>572</v>
      </c>
      <c r="L428" s="7" t="s">
        <v>7054</v>
      </c>
      <c r="M428" s="8" t="str">
        <f>"CFI"&amp;".D"&amp;TEXT(Caja_Finanzas[[#This Row],[fecha]],"DD-MM")&amp;"-"&amp;TEXT(Caja_Finanzas[[#This Row],[item]],"0000")</f>
        <v>CFI.D07-05-0411</v>
      </c>
      <c r="N428" s="8" t="str">
        <f t="shared" si="35"/>
        <v>PEN</v>
      </c>
      <c r="O428" s="13">
        <v>114</v>
      </c>
      <c r="P428" s="13"/>
      <c r="Q428" s="3">
        <f t="shared" si="31"/>
        <v>0</v>
      </c>
      <c r="R428" s="3">
        <f t="shared" si="32"/>
        <v>0</v>
      </c>
      <c r="S428" s="3">
        <f t="shared" si="33"/>
        <v>23016.699999999993</v>
      </c>
      <c r="T428" s="24"/>
      <c r="U428" s="24"/>
      <c r="V428" s="3"/>
      <c r="W428" s="25"/>
      <c r="X428" s="25" t="s">
        <v>7060</v>
      </c>
      <c r="Y428" s="25"/>
      <c r="Z428" s="25"/>
      <c r="AA428" s="25"/>
      <c r="AB428" s="3" t="str">
        <f>IF(Caja_Finanzas[[#This Row],[fecha]]&gt;0,TEXT(Caja_Finanzas[[#This Row],[fecha]],"mmmm"),0)</f>
        <v>Mayo</v>
      </c>
    </row>
    <row r="429" spans="1:28" ht="24" x14ac:dyDescent="0.3">
      <c r="A429" s="2">
        <f>IF(Caja_Finanzas[[#This Row],[tipo_r]]="R",COUNTIFS($C$1:$C428,"R")+1,A428)</f>
        <v>411</v>
      </c>
      <c r="B429" s="19" t="str">
        <f t="shared" si="34"/>
        <v>C-Finanzas</v>
      </c>
      <c r="C429" s="3" t="s">
        <v>1352</v>
      </c>
      <c r="D429" s="14">
        <v>45784</v>
      </c>
      <c r="E429" s="5" t="s">
        <v>7061</v>
      </c>
      <c r="F429" s="5"/>
      <c r="G429" s="5"/>
      <c r="H429" s="6" t="s">
        <v>425</v>
      </c>
      <c r="I429" s="6" t="s">
        <v>119</v>
      </c>
      <c r="J429" s="6">
        <v>3</v>
      </c>
      <c r="K429" s="6">
        <v>573</v>
      </c>
      <c r="L429" s="7" t="s">
        <v>7054</v>
      </c>
      <c r="M429" s="8" t="str">
        <f>"CFI"&amp;".D"&amp;TEXT(Caja_Finanzas[[#This Row],[fecha]],"DD-MM")&amp;"-"&amp;TEXT(Caja_Finanzas[[#This Row],[item]],"0000")</f>
        <v>CFI.D07-05-0411</v>
      </c>
      <c r="N429" s="8" t="str">
        <f t="shared" si="35"/>
        <v>PEN</v>
      </c>
      <c r="O429" s="13">
        <v>25</v>
      </c>
      <c r="P429" s="13"/>
      <c r="Q429" s="3">
        <f t="shared" si="31"/>
        <v>0</v>
      </c>
      <c r="R429" s="3">
        <f t="shared" si="32"/>
        <v>0</v>
      </c>
      <c r="S429" s="3">
        <f t="shared" si="33"/>
        <v>23016.699999999993</v>
      </c>
      <c r="T429" s="24"/>
      <c r="U429" s="24"/>
      <c r="V429" s="3"/>
      <c r="W429" s="25"/>
      <c r="X429" s="25" t="s">
        <v>7062</v>
      </c>
      <c r="Y429" s="25"/>
      <c r="Z429" s="25"/>
      <c r="AA429" s="25"/>
      <c r="AB429" s="3" t="str">
        <f>IF(Caja_Finanzas[[#This Row],[fecha]]&gt;0,TEXT(Caja_Finanzas[[#This Row],[fecha]],"mmmm"),0)</f>
        <v>Mayo</v>
      </c>
    </row>
    <row r="430" spans="1:28" ht="24" x14ac:dyDescent="0.3">
      <c r="A430" s="2">
        <f>IF(Caja_Finanzas[[#This Row],[tipo_r]]="R",COUNTIFS($C$1:$C429,"R")+1,A429)</f>
        <v>411</v>
      </c>
      <c r="B430" s="19" t="str">
        <f t="shared" si="34"/>
        <v>C-Finanzas</v>
      </c>
      <c r="C430" s="3" t="s">
        <v>1352</v>
      </c>
      <c r="D430" s="14">
        <v>45784</v>
      </c>
      <c r="E430" s="5" t="s">
        <v>7063</v>
      </c>
      <c r="F430" s="5"/>
      <c r="G430" s="5"/>
      <c r="H430" s="6" t="s">
        <v>425</v>
      </c>
      <c r="I430" s="6" t="s">
        <v>119</v>
      </c>
      <c r="J430" s="6">
        <v>3</v>
      </c>
      <c r="K430" s="6">
        <v>574</v>
      </c>
      <c r="L430" s="7" t="s">
        <v>7054</v>
      </c>
      <c r="M430" s="8" t="str">
        <f>"CFI"&amp;".D"&amp;TEXT(Caja_Finanzas[[#This Row],[fecha]],"DD-MM")&amp;"-"&amp;TEXT(Caja_Finanzas[[#This Row],[item]],"0000")</f>
        <v>CFI.D07-05-0411</v>
      </c>
      <c r="N430" s="8" t="str">
        <f t="shared" si="35"/>
        <v>PEN</v>
      </c>
      <c r="O430" s="13">
        <v>8</v>
      </c>
      <c r="P430" s="13"/>
      <c r="Q430" s="3">
        <f t="shared" si="31"/>
        <v>0</v>
      </c>
      <c r="R430" s="3">
        <f t="shared" si="32"/>
        <v>0</v>
      </c>
      <c r="S430" s="3">
        <f t="shared" si="33"/>
        <v>23016.699999999993</v>
      </c>
      <c r="T430" s="24"/>
      <c r="U430" s="24"/>
      <c r="V430" s="3"/>
      <c r="W430" s="25"/>
      <c r="X430" s="25" t="s">
        <v>7064</v>
      </c>
      <c r="Y430" s="25"/>
      <c r="Z430" s="25"/>
      <c r="AA430" s="25"/>
      <c r="AB430" s="3" t="str">
        <f>IF(Caja_Finanzas[[#This Row],[fecha]]&gt;0,TEXT(Caja_Finanzas[[#This Row],[fecha]],"mmmm"),0)</f>
        <v>Mayo</v>
      </c>
    </row>
    <row r="431" spans="1:28" ht="24" x14ac:dyDescent="0.3">
      <c r="A431" s="2">
        <f>IF(Caja_Finanzas[[#This Row],[tipo_r]]="R",COUNTIFS($C$1:$C430,"R")+1,A430)</f>
        <v>411</v>
      </c>
      <c r="B431" s="19" t="str">
        <f t="shared" si="34"/>
        <v>C-Finanzas</v>
      </c>
      <c r="C431" s="3" t="s">
        <v>1352</v>
      </c>
      <c r="D431" s="14">
        <v>45784</v>
      </c>
      <c r="E431" s="5" t="s">
        <v>7065</v>
      </c>
      <c r="F431" s="5"/>
      <c r="G431" s="5"/>
      <c r="H431" s="6" t="s">
        <v>425</v>
      </c>
      <c r="I431" s="6" t="s">
        <v>119</v>
      </c>
      <c r="J431" s="6">
        <v>3</v>
      </c>
      <c r="K431" s="6">
        <v>575</v>
      </c>
      <c r="L431" s="7" t="s">
        <v>7054</v>
      </c>
      <c r="M431" s="8" t="str">
        <f>"CFI"&amp;".D"&amp;TEXT(Caja_Finanzas[[#This Row],[fecha]],"DD-MM")&amp;"-"&amp;TEXT(Caja_Finanzas[[#This Row],[item]],"0000")</f>
        <v>CFI.D07-05-0411</v>
      </c>
      <c r="N431" s="8" t="str">
        <f t="shared" si="35"/>
        <v>PEN</v>
      </c>
      <c r="O431" s="13">
        <v>34.5</v>
      </c>
      <c r="P431" s="13"/>
      <c r="Q431" s="3">
        <f t="shared" si="31"/>
        <v>0</v>
      </c>
      <c r="R431" s="3">
        <f t="shared" si="32"/>
        <v>0</v>
      </c>
      <c r="S431" s="3">
        <f t="shared" si="33"/>
        <v>23016.699999999993</v>
      </c>
      <c r="T431" s="24"/>
      <c r="U431" s="24"/>
      <c r="V431" s="3"/>
      <c r="W431" s="25"/>
      <c r="X431" s="25" t="s">
        <v>7066</v>
      </c>
      <c r="Y431" s="25"/>
      <c r="Z431" s="25"/>
      <c r="AA431" s="25"/>
      <c r="AB431" s="3" t="str">
        <f>IF(Caja_Finanzas[[#This Row],[fecha]]&gt;0,TEXT(Caja_Finanzas[[#This Row],[fecha]],"mmmm"),0)</f>
        <v>Mayo</v>
      </c>
    </row>
    <row r="432" spans="1:28" ht="24" x14ac:dyDescent="0.3">
      <c r="A432" s="2">
        <f>IF(Caja_Finanzas[[#This Row],[tipo_r]]="R",COUNTIFS($C$1:$C431,"R")+1,A431)</f>
        <v>411</v>
      </c>
      <c r="B432" s="19" t="str">
        <f t="shared" si="34"/>
        <v>C-Finanzas</v>
      </c>
      <c r="C432" s="3" t="s">
        <v>1352</v>
      </c>
      <c r="D432" s="14">
        <v>45784</v>
      </c>
      <c r="E432" s="5" t="s">
        <v>7067</v>
      </c>
      <c r="F432" s="5"/>
      <c r="G432" s="5"/>
      <c r="H432" s="6" t="s">
        <v>425</v>
      </c>
      <c r="I432" s="6" t="s">
        <v>119</v>
      </c>
      <c r="J432" s="6">
        <v>3</v>
      </c>
      <c r="K432" s="6">
        <v>576</v>
      </c>
      <c r="L432" s="7" t="s">
        <v>7054</v>
      </c>
      <c r="M432" s="8" t="str">
        <f>"CFI"&amp;".D"&amp;TEXT(Caja_Finanzas[[#This Row],[fecha]],"DD-MM")&amp;"-"&amp;TEXT(Caja_Finanzas[[#This Row],[item]],"0000")</f>
        <v>CFI.D07-05-0411</v>
      </c>
      <c r="N432" s="8" t="str">
        <f t="shared" si="35"/>
        <v>PEN</v>
      </c>
      <c r="O432" s="13">
        <v>98.8</v>
      </c>
      <c r="P432" s="13"/>
      <c r="Q432" s="3">
        <f t="shared" si="31"/>
        <v>0</v>
      </c>
      <c r="R432" s="3">
        <f t="shared" si="32"/>
        <v>0</v>
      </c>
      <c r="S432" s="3">
        <f t="shared" si="33"/>
        <v>23016.699999999993</v>
      </c>
      <c r="T432" s="24"/>
      <c r="U432" s="24"/>
      <c r="V432" s="3"/>
      <c r="W432" s="25"/>
      <c r="X432" s="25" t="s">
        <v>7068</v>
      </c>
      <c r="Y432" s="25"/>
      <c r="Z432" s="25"/>
      <c r="AA432" s="25"/>
      <c r="AB432" s="3" t="str">
        <f>IF(Caja_Finanzas[[#This Row],[fecha]]&gt;0,TEXT(Caja_Finanzas[[#This Row],[fecha]],"mmmm"),0)</f>
        <v>Mayo</v>
      </c>
    </row>
    <row r="433" spans="1:28" ht="24" x14ac:dyDescent="0.3">
      <c r="A433" s="2">
        <f>IF(Caja_Finanzas[[#This Row],[tipo_r]]="R",COUNTIFS($C$1:$C432,"R")+1,A432)</f>
        <v>411</v>
      </c>
      <c r="B433" s="19" t="str">
        <f t="shared" si="34"/>
        <v>C-Finanzas</v>
      </c>
      <c r="C433" s="3" t="s">
        <v>1352</v>
      </c>
      <c r="D433" s="14">
        <v>45784</v>
      </c>
      <c r="E433" s="5" t="s">
        <v>7061</v>
      </c>
      <c r="F433" s="5"/>
      <c r="G433" s="5"/>
      <c r="H433" s="6" t="s">
        <v>425</v>
      </c>
      <c r="I433" s="6" t="s">
        <v>119</v>
      </c>
      <c r="J433" s="6">
        <v>3</v>
      </c>
      <c r="K433" s="6">
        <v>577</v>
      </c>
      <c r="L433" s="7" t="s">
        <v>7054</v>
      </c>
      <c r="M433" s="8" t="str">
        <f>"CFI"&amp;".D"&amp;TEXT(Caja_Finanzas[[#This Row],[fecha]],"DD-MM")&amp;"-"&amp;TEXT(Caja_Finanzas[[#This Row],[item]],"0000")</f>
        <v>CFI.D07-05-0411</v>
      </c>
      <c r="N433" s="8" t="str">
        <f t="shared" si="35"/>
        <v>PEN</v>
      </c>
      <c r="O433" s="13">
        <v>69</v>
      </c>
      <c r="P433" s="13"/>
      <c r="Q433" s="3">
        <f t="shared" si="31"/>
        <v>0</v>
      </c>
      <c r="R433" s="3">
        <f t="shared" si="32"/>
        <v>0</v>
      </c>
      <c r="S433" s="3">
        <f t="shared" si="33"/>
        <v>23016.699999999993</v>
      </c>
      <c r="T433" s="24"/>
      <c r="U433" s="24"/>
      <c r="V433" s="3"/>
      <c r="W433" s="25"/>
      <c r="X433" s="25" t="s">
        <v>7069</v>
      </c>
      <c r="Y433" s="25"/>
      <c r="Z433" s="25"/>
      <c r="AA433" s="25"/>
      <c r="AB433" s="3" t="str">
        <f>IF(Caja_Finanzas[[#This Row],[fecha]]&gt;0,TEXT(Caja_Finanzas[[#This Row],[fecha]],"mmmm"),0)</f>
        <v>Mayo</v>
      </c>
    </row>
    <row r="434" spans="1:28" ht="24" x14ac:dyDescent="0.3">
      <c r="A434" s="2">
        <f>IF(Caja_Finanzas[[#This Row],[tipo_r]]="R",COUNTIFS($C$1:$C433,"R")+1,A433)</f>
        <v>411</v>
      </c>
      <c r="B434" s="19" t="str">
        <f t="shared" si="34"/>
        <v>C-Finanzas</v>
      </c>
      <c r="C434" s="3" t="s">
        <v>1352</v>
      </c>
      <c r="D434" s="14">
        <v>45784</v>
      </c>
      <c r="E434" s="5" t="s">
        <v>6755</v>
      </c>
      <c r="F434" s="5"/>
      <c r="G434" s="5"/>
      <c r="H434" s="6" t="s">
        <v>425</v>
      </c>
      <c r="I434" s="6" t="s">
        <v>119</v>
      </c>
      <c r="J434" s="6">
        <v>3</v>
      </c>
      <c r="K434" s="6">
        <v>578</v>
      </c>
      <c r="L434" s="7" t="s">
        <v>7054</v>
      </c>
      <c r="M434" s="8" t="str">
        <f>"CFI"&amp;".D"&amp;TEXT(Caja_Finanzas[[#This Row],[fecha]],"DD-MM")&amp;"-"&amp;TEXT(Caja_Finanzas[[#This Row],[item]],"0000")</f>
        <v>CFI.D07-05-0411</v>
      </c>
      <c r="N434" s="8" t="str">
        <f t="shared" si="35"/>
        <v>PEN</v>
      </c>
      <c r="O434" s="13">
        <v>10.5</v>
      </c>
      <c r="P434" s="13"/>
      <c r="Q434" s="3">
        <f t="shared" si="31"/>
        <v>0</v>
      </c>
      <c r="R434" s="3">
        <f t="shared" si="32"/>
        <v>0</v>
      </c>
      <c r="S434" s="3">
        <f t="shared" si="33"/>
        <v>23016.699999999993</v>
      </c>
      <c r="T434" s="24"/>
      <c r="U434" s="24"/>
      <c r="V434" s="3"/>
      <c r="W434" s="25"/>
      <c r="X434" s="25" t="s">
        <v>7070</v>
      </c>
      <c r="Y434" s="25"/>
      <c r="Z434" s="25"/>
      <c r="AA434" s="25"/>
      <c r="AB434" s="3" t="str">
        <f>IF(Caja_Finanzas[[#This Row],[fecha]]&gt;0,TEXT(Caja_Finanzas[[#This Row],[fecha]],"mmmm"),0)</f>
        <v>Mayo</v>
      </c>
    </row>
    <row r="435" spans="1:28" ht="24" x14ac:dyDescent="0.3">
      <c r="A435" s="2">
        <f>IF(Caja_Finanzas[[#This Row],[tipo_r]]="R",COUNTIFS($C$1:$C434,"R")+1,A434)</f>
        <v>411</v>
      </c>
      <c r="B435" s="19" t="str">
        <f t="shared" si="34"/>
        <v>C-Finanzas</v>
      </c>
      <c r="C435" s="3" t="s">
        <v>1352</v>
      </c>
      <c r="D435" s="14">
        <v>45784</v>
      </c>
      <c r="E435" s="5" t="s">
        <v>6520</v>
      </c>
      <c r="F435" s="5"/>
      <c r="G435" s="5"/>
      <c r="H435" s="6" t="s">
        <v>425</v>
      </c>
      <c r="I435" s="6" t="s">
        <v>119</v>
      </c>
      <c r="J435" s="6">
        <v>3</v>
      </c>
      <c r="K435" s="6">
        <v>579</v>
      </c>
      <c r="L435" s="7" t="s">
        <v>7054</v>
      </c>
      <c r="M435" s="8" t="str">
        <f>"CFI"&amp;".D"&amp;TEXT(Caja_Finanzas[[#This Row],[fecha]],"DD-MM")&amp;"-"&amp;TEXT(Caja_Finanzas[[#This Row],[item]],"0000")</f>
        <v>CFI.D07-05-0411</v>
      </c>
      <c r="N435" s="8" t="str">
        <f t="shared" si="35"/>
        <v>PEN</v>
      </c>
      <c r="O435" s="13">
        <v>99.8</v>
      </c>
      <c r="P435" s="13"/>
      <c r="Q435" s="3">
        <f t="shared" si="31"/>
        <v>0</v>
      </c>
      <c r="R435" s="3">
        <f t="shared" si="32"/>
        <v>0</v>
      </c>
      <c r="S435" s="3">
        <f t="shared" si="33"/>
        <v>23016.699999999993</v>
      </c>
      <c r="T435" s="24"/>
      <c r="U435" s="24"/>
      <c r="V435" s="3"/>
      <c r="W435" s="25"/>
      <c r="X435" s="25" t="s">
        <v>7071</v>
      </c>
      <c r="Y435" s="25"/>
      <c r="Z435" s="25"/>
      <c r="AA435" s="25"/>
      <c r="AB435" s="3" t="str">
        <f>IF(Caja_Finanzas[[#This Row],[fecha]]&gt;0,TEXT(Caja_Finanzas[[#This Row],[fecha]],"mmmm"),0)</f>
        <v>Mayo</v>
      </c>
    </row>
    <row r="436" spans="1:28" ht="24" x14ac:dyDescent="0.3">
      <c r="A436" s="2">
        <f>IF(Caja_Finanzas[[#This Row],[tipo_r]]="R",COUNTIFS($C$1:$C435,"R")+1,A435)</f>
        <v>411</v>
      </c>
      <c r="B436" s="19" t="str">
        <f t="shared" si="34"/>
        <v>C-Finanzas</v>
      </c>
      <c r="C436" s="3" t="s">
        <v>1352</v>
      </c>
      <c r="D436" s="14">
        <v>45784</v>
      </c>
      <c r="E436" s="5" t="s">
        <v>7072</v>
      </c>
      <c r="F436" s="5"/>
      <c r="G436" s="5"/>
      <c r="H436" s="6" t="s">
        <v>425</v>
      </c>
      <c r="I436" s="6" t="s">
        <v>119</v>
      </c>
      <c r="J436" s="6">
        <v>3</v>
      </c>
      <c r="K436" s="6">
        <v>580</v>
      </c>
      <c r="L436" s="7" t="s">
        <v>7054</v>
      </c>
      <c r="M436" s="8" t="str">
        <f>"CFI"&amp;".D"&amp;TEXT(Caja_Finanzas[[#This Row],[fecha]],"DD-MM")&amp;"-"&amp;TEXT(Caja_Finanzas[[#This Row],[item]],"0000")</f>
        <v>CFI.D07-05-0411</v>
      </c>
      <c r="N436" s="8" t="str">
        <f t="shared" si="35"/>
        <v>PEN</v>
      </c>
      <c r="O436" s="13">
        <v>7.3</v>
      </c>
      <c r="P436" s="13"/>
      <c r="Q436" s="3">
        <f t="shared" si="31"/>
        <v>0</v>
      </c>
      <c r="R436" s="3">
        <f t="shared" si="32"/>
        <v>0</v>
      </c>
      <c r="S436" s="3">
        <f t="shared" si="33"/>
        <v>23016.699999999993</v>
      </c>
      <c r="T436" s="24"/>
      <c r="U436" s="24"/>
      <c r="V436" s="3"/>
      <c r="W436" s="25"/>
      <c r="X436" s="25" t="s">
        <v>7073</v>
      </c>
      <c r="Y436" s="25"/>
      <c r="Z436" s="25"/>
      <c r="AA436" s="25"/>
      <c r="AB436" s="3" t="str">
        <f>IF(Caja_Finanzas[[#This Row],[fecha]]&gt;0,TEXT(Caja_Finanzas[[#This Row],[fecha]],"mmmm"),0)</f>
        <v>Mayo</v>
      </c>
    </row>
    <row r="437" spans="1:28" ht="24" x14ac:dyDescent="0.3">
      <c r="A437" s="2">
        <f>IF(Caja_Finanzas[[#This Row],[tipo_r]]="R",COUNTIFS($C$1:$C436,"R")+1,A436)</f>
        <v>411</v>
      </c>
      <c r="B437" s="19" t="str">
        <f t="shared" si="34"/>
        <v>C-Finanzas</v>
      </c>
      <c r="C437" s="3" t="s">
        <v>1352</v>
      </c>
      <c r="D437" s="14">
        <v>45784</v>
      </c>
      <c r="E437" s="5" t="s">
        <v>6586</v>
      </c>
      <c r="F437" s="5"/>
      <c r="G437" s="5"/>
      <c r="H437" s="6" t="s">
        <v>425</v>
      </c>
      <c r="I437" s="6" t="s">
        <v>119</v>
      </c>
      <c r="J437" s="6">
        <v>3</v>
      </c>
      <c r="K437" s="6">
        <v>581</v>
      </c>
      <c r="L437" s="7" t="s">
        <v>7054</v>
      </c>
      <c r="M437" s="8" t="str">
        <f>"CFI"&amp;".D"&amp;TEXT(Caja_Finanzas[[#This Row],[fecha]],"DD-MM")&amp;"-"&amp;TEXT(Caja_Finanzas[[#This Row],[item]],"0000")</f>
        <v>CFI.D07-05-0411</v>
      </c>
      <c r="N437" s="8" t="str">
        <f t="shared" si="35"/>
        <v>PEN</v>
      </c>
      <c r="O437" s="13">
        <v>20</v>
      </c>
      <c r="P437" s="13"/>
      <c r="Q437" s="3">
        <f t="shared" si="31"/>
        <v>0</v>
      </c>
      <c r="R437" s="3">
        <f t="shared" si="32"/>
        <v>0</v>
      </c>
      <c r="S437" s="3">
        <f t="shared" si="33"/>
        <v>23016.699999999993</v>
      </c>
      <c r="T437" s="24"/>
      <c r="U437" s="24"/>
      <c r="V437" s="3"/>
      <c r="W437" s="25"/>
      <c r="X437" s="25" t="s">
        <v>7074</v>
      </c>
      <c r="Y437" s="25"/>
      <c r="Z437" s="25"/>
      <c r="AA437" s="25"/>
      <c r="AB437" s="3" t="str">
        <f>IF(Caja_Finanzas[[#This Row],[fecha]]&gt;0,TEXT(Caja_Finanzas[[#This Row],[fecha]],"mmmm"),0)</f>
        <v>Mayo</v>
      </c>
    </row>
    <row r="438" spans="1:28" ht="24" x14ac:dyDescent="0.3">
      <c r="A438" s="2">
        <f>IF(Caja_Finanzas[[#This Row],[tipo_r]]="R",COUNTIFS($C$1:$C437,"R")+1,A437)</f>
        <v>411</v>
      </c>
      <c r="B438" s="19" t="str">
        <f t="shared" si="34"/>
        <v>C-Finanzas</v>
      </c>
      <c r="C438" s="3" t="s">
        <v>1352</v>
      </c>
      <c r="D438" s="14">
        <v>45784</v>
      </c>
      <c r="E438" s="5" t="s">
        <v>7075</v>
      </c>
      <c r="F438" s="5"/>
      <c r="G438" s="5"/>
      <c r="H438" s="6" t="s">
        <v>425</v>
      </c>
      <c r="I438" s="6" t="s">
        <v>119</v>
      </c>
      <c r="J438" s="6">
        <v>3</v>
      </c>
      <c r="K438" s="6">
        <v>582</v>
      </c>
      <c r="L438" s="7" t="s">
        <v>7054</v>
      </c>
      <c r="M438" s="8" t="str">
        <f>"CFI"&amp;".D"&amp;TEXT(Caja_Finanzas[[#This Row],[fecha]],"DD-MM")&amp;"-"&amp;TEXT(Caja_Finanzas[[#This Row],[item]],"0000")</f>
        <v>CFI.D07-05-0411</v>
      </c>
      <c r="N438" s="8" t="str">
        <f t="shared" si="35"/>
        <v>PEN</v>
      </c>
      <c r="O438" s="13">
        <v>15</v>
      </c>
      <c r="P438" s="13"/>
      <c r="Q438" s="3">
        <f t="shared" si="31"/>
        <v>0</v>
      </c>
      <c r="R438" s="3">
        <f t="shared" si="32"/>
        <v>0</v>
      </c>
      <c r="S438" s="3">
        <f t="shared" si="33"/>
        <v>23016.699999999993</v>
      </c>
      <c r="T438" s="24"/>
      <c r="U438" s="24"/>
      <c r="V438" s="3"/>
      <c r="W438" s="25"/>
      <c r="X438" s="25" t="s">
        <v>7076</v>
      </c>
      <c r="Y438" s="25"/>
      <c r="Z438" s="25"/>
      <c r="AA438" s="25"/>
      <c r="AB438" s="3" t="str">
        <f>IF(Caja_Finanzas[[#This Row],[fecha]]&gt;0,TEXT(Caja_Finanzas[[#This Row],[fecha]],"mmmm"),0)</f>
        <v>Mayo</v>
      </c>
    </row>
    <row r="439" spans="1:28" ht="24" x14ac:dyDescent="0.3">
      <c r="A439" s="2">
        <f>IF(Caja_Finanzas[[#This Row],[tipo_r]]="R",COUNTIFS($C$1:$C438,"R")+1,A438)</f>
        <v>411</v>
      </c>
      <c r="B439" s="19" t="str">
        <f t="shared" si="34"/>
        <v>C-Finanzas</v>
      </c>
      <c r="C439" s="3" t="s">
        <v>1352</v>
      </c>
      <c r="D439" s="14">
        <v>45784</v>
      </c>
      <c r="E439" s="5" t="s">
        <v>7067</v>
      </c>
      <c r="F439" s="5"/>
      <c r="G439" s="5"/>
      <c r="H439" s="6" t="s">
        <v>425</v>
      </c>
      <c r="I439" s="6" t="s">
        <v>119</v>
      </c>
      <c r="J439" s="6">
        <v>3</v>
      </c>
      <c r="K439" s="6">
        <v>583</v>
      </c>
      <c r="L439" s="7" t="s">
        <v>7054</v>
      </c>
      <c r="M439" s="8" t="str">
        <f>"CFI"&amp;".D"&amp;TEXT(Caja_Finanzas[[#This Row],[fecha]],"DD-MM")&amp;"-"&amp;TEXT(Caja_Finanzas[[#This Row],[item]],"0000")</f>
        <v>CFI.D07-05-0411</v>
      </c>
      <c r="N439" s="8" t="str">
        <f t="shared" si="35"/>
        <v>PEN</v>
      </c>
      <c r="O439" s="13">
        <v>237.6</v>
      </c>
      <c r="P439" s="13"/>
      <c r="Q439" s="3">
        <f t="shared" si="31"/>
        <v>0</v>
      </c>
      <c r="R439" s="3">
        <f t="shared" si="32"/>
        <v>0</v>
      </c>
      <c r="S439" s="3">
        <f t="shared" si="33"/>
        <v>23016.699999999993</v>
      </c>
      <c r="T439" s="24"/>
      <c r="U439" s="24"/>
      <c r="V439" s="3"/>
      <c r="W439" s="25"/>
      <c r="X439" s="25" t="s">
        <v>7077</v>
      </c>
      <c r="Y439" s="25"/>
      <c r="Z439" s="25"/>
      <c r="AA439" s="25"/>
      <c r="AB439" s="3" t="str">
        <f>IF(Caja_Finanzas[[#This Row],[fecha]]&gt;0,TEXT(Caja_Finanzas[[#This Row],[fecha]],"mmmm"),0)</f>
        <v>Mayo</v>
      </c>
    </row>
    <row r="440" spans="1:28" ht="24" x14ac:dyDescent="0.3">
      <c r="A440" s="2">
        <f>IF(Caja_Finanzas[[#This Row],[tipo_r]]="R",COUNTIFS($C$1:$C439,"R")+1,A439)</f>
        <v>411</v>
      </c>
      <c r="B440" s="19" t="str">
        <f t="shared" si="34"/>
        <v>C-Finanzas</v>
      </c>
      <c r="C440" s="3" t="s">
        <v>1352</v>
      </c>
      <c r="D440" s="14">
        <v>45784</v>
      </c>
      <c r="E440" s="5" t="s">
        <v>3677</v>
      </c>
      <c r="F440" s="5"/>
      <c r="G440" s="5"/>
      <c r="H440" s="6" t="s">
        <v>425</v>
      </c>
      <c r="I440" s="6" t="s">
        <v>119</v>
      </c>
      <c r="J440" s="6">
        <v>3</v>
      </c>
      <c r="K440" s="6">
        <v>584</v>
      </c>
      <c r="L440" s="7" t="s">
        <v>7054</v>
      </c>
      <c r="M440" s="8" t="str">
        <f>"CFI"&amp;".D"&amp;TEXT(Caja_Finanzas[[#This Row],[fecha]],"DD-MM")&amp;"-"&amp;TEXT(Caja_Finanzas[[#This Row],[item]],"0000")</f>
        <v>CFI.D07-05-0411</v>
      </c>
      <c r="N440" s="8" t="str">
        <f t="shared" si="35"/>
        <v>PEN</v>
      </c>
      <c r="O440" s="13">
        <v>131.69999999999999</v>
      </c>
      <c r="P440" s="13"/>
      <c r="Q440" s="3">
        <f t="shared" si="31"/>
        <v>0</v>
      </c>
      <c r="R440" s="3">
        <f t="shared" si="32"/>
        <v>0</v>
      </c>
      <c r="S440" s="3">
        <f t="shared" si="33"/>
        <v>23016.699999999993</v>
      </c>
      <c r="T440" s="24"/>
      <c r="U440" s="24"/>
      <c r="V440" s="3"/>
      <c r="W440" s="25"/>
      <c r="X440" s="25" t="s">
        <v>7078</v>
      </c>
      <c r="Y440" s="25"/>
      <c r="Z440" s="25"/>
      <c r="AA440" s="25"/>
      <c r="AB440" s="3" t="str">
        <f>IF(Caja_Finanzas[[#This Row],[fecha]]&gt;0,TEXT(Caja_Finanzas[[#This Row],[fecha]],"mmmm"),0)</f>
        <v>Mayo</v>
      </c>
    </row>
    <row r="441" spans="1:28" ht="24" x14ac:dyDescent="0.3">
      <c r="A441" s="2">
        <f>IF(Caja_Finanzas[[#This Row],[tipo_r]]="R",COUNTIFS($C$1:$C440,"R")+1,A440)</f>
        <v>411</v>
      </c>
      <c r="B441" s="19" t="str">
        <f t="shared" si="34"/>
        <v>C-Finanzas</v>
      </c>
      <c r="C441" s="3" t="s">
        <v>1352</v>
      </c>
      <c r="D441" s="14">
        <v>45784</v>
      </c>
      <c r="E441" s="5" t="s">
        <v>7075</v>
      </c>
      <c r="F441" s="5"/>
      <c r="G441" s="5"/>
      <c r="H441" s="6" t="s">
        <v>425</v>
      </c>
      <c r="I441" s="6" t="s">
        <v>119</v>
      </c>
      <c r="J441" s="6">
        <v>3</v>
      </c>
      <c r="K441" s="6">
        <v>585</v>
      </c>
      <c r="L441" s="7" t="s">
        <v>7054</v>
      </c>
      <c r="M441" s="8" t="str">
        <f>"CFI"&amp;".D"&amp;TEXT(Caja_Finanzas[[#This Row],[fecha]],"DD-MM")&amp;"-"&amp;TEXT(Caja_Finanzas[[#This Row],[item]],"0000")</f>
        <v>CFI.D07-05-0411</v>
      </c>
      <c r="N441" s="8" t="str">
        <f t="shared" si="35"/>
        <v>PEN</v>
      </c>
      <c r="O441" s="13">
        <v>20.8</v>
      </c>
      <c r="P441" s="13"/>
      <c r="Q441" s="3">
        <f t="shared" si="31"/>
        <v>0</v>
      </c>
      <c r="R441" s="3">
        <f t="shared" si="32"/>
        <v>0</v>
      </c>
      <c r="S441" s="3">
        <f t="shared" si="33"/>
        <v>23016.699999999993</v>
      </c>
      <c r="T441" s="24"/>
      <c r="U441" s="24"/>
      <c r="V441" s="3"/>
      <c r="W441" s="25"/>
      <c r="X441" s="25" t="s">
        <v>7079</v>
      </c>
      <c r="Y441" s="25"/>
      <c r="Z441" s="25"/>
      <c r="AA441" s="25"/>
      <c r="AB441" s="3" t="str">
        <f>IF(Caja_Finanzas[[#This Row],[fecha]]&gt;0,TEXT(Caja_Finanzas[[#This Row],[fecha]],"mmmm"),0)</f>
        <v>Mayo</v>
      </c>
    </row>
    <row r="442" spans="1:28" ht="24" x14ac:dyDescent="0.3">
      <c r="A442" s="2">
        <f>IF(Caja_Finanzas[[#This Row],[tipo_r]]="R",COUNTIFS($C$1:$C441,"R")+1,A441)</f>
        <v>411</v>
      </c>
      <c r="B442" s="19" t="str">
        <f t="shared" si="34"/>
        <v>C-Finanzas</v>
      </c>
      <c r="C442" s="3" t="s">
        <v>1352</v>
      </c>
      <c r="D442" s="14">
        <v>45784</v>
      </c>
      <c r="E442" s="5" t="s">
        <v>7075</v>
      </c>
      <c r="F442" s="5"/>
      <c r="G442" s="5"/>
      <c r="H442" s="6" t="s">
        <v>425</v>
      </c>
      <c r="I442" s="6" t="s">
        <v>119</v>
      </c>
      <c r="J442" s="6">
        <v>3</v>
      </c>
      <c r="K442" s="6">
        <v>586</v>
      </c>
      <c r="L442" s="7" t="s">
        <v>7054</v>
      </c>
      <c r="M442" s="8" t="str">
        <f>"CFI"&amp;".D"&amp;TEXT(Caja_Finanzas[[#This Row],[fecha]],"DD-MM")&amp;"-"&amp;TEXT(Caja_Finanzas[[#This Row],[item]],"0000")</f>
        <v>CFI.D07-05-0411</v>
      </c>
      <c r="N442" s="8" t="str">
        <f t="shared" si="35"/>
        <v>PEN</v>
      </c>
      <c r="O442" s="13">
        <v>38.5</v>
      </c>
      <c r="P442" s="13"/>
      <c r="Q442" s="3">
        <f t="shared" si="31"/>
        <v>0</v>
      </c>
      <c r="R442" s="3">
        <f t="shared" si="32"/>
        <v>0</v>
      </c>
      <c r="S442" s="3">
        <f t="shared" si="33"/>
        <v>23016.699999999993</v>
      </c>
      <c r="T442" s="24"/>
      <c r="U442" s="24"/>
      <c r="V442" s="3"/>
      <c r="W442" s="25"/>
      <c r="X442" s="25" t="s">
        <v>7080</v>
      </c>
      <c r="Y442" s="25"/>
      <c r="Z442" s="25"/>
      <c r="AA442" s="25"/>
      <c r="AB442" s="3" t="str">
        <f>IF(Caja_Finanzas[[#This Row],[fecha]]&gt;0,TEXT(Caja_Finanzas[[#This Row],[fecha]],"mmmm"),0)</f>
        <v>Mayo</v>
      </c>
    </row>
    <row r="443" spans="1:28" x14ac:dyDescent="0.3">
      <c r="A443" s="2">
        <f>IF(Caja_Finanzas[[#This Row],[tipo_r]]="R",COUNTIFS($C$1:$C442,"R")+1,A442)</f>
        <v>411</v>
      </c>
      <c r="B443" s="19" t="str">
        <f t="shared" si="34"/>
        <v>C-Finanzas</v>
      </c>
      <c r="C443" s="3" t="s">
        <v>1352</v>
      </c>
      <c r="D443" s="14">
        <v>45784</v>
      </c>
      <c r="E443" s="5"/>
      <c r="F443" s="5"/>
      <c r="G443" s="5"/>
      <c r="H443" s="6"/>
      <c r="I443" s="6"/>
      <c r="J443" s="6"/>
      <c r="K443" s="6"/>
      <c r="L443" s="7" t="s">
        <v>7081</v>
      </c>
      <c r="M443" s="8" t="str">
        <f>"CFI"&amp;".D"&amp;TEXT(Caja_Finanzas[[#This Row],[fecha]],"DD-MM")&amp;"-"&amp;TEXT(Caja_Finanzas[[#This Row],[item]],"0000")</f>
        <v>CFI.D07-05-0411</v>
      </c>
      <c r="N443" s="8" t="str">
        <f t="shared" si="35"/>
        <v>PEN</v>
      </c>
      <c r="O443" s="13">
        <v>250</v>
      </c>
      <c r="P443" s="13"/>
      <c r="Q443" s="3">
        <f t="shared" si="31"/>
        <v>0</v>
      </c>
      <c r="R443" s="3">
        <f t="shared" si="32"/>
        <v>0</v>
      </c>
      <c r="S443" s="3">
        <f t="shared" si="33"/>
        <v>23016.699999999993</v>
      </c>
      <c r="T443" s="24"/>
      <c r="U443" s="24"/>
      <c r="V443" s="3"/>
      <c r="W443" s="25"/>
      <c r="X443" s="25"/>
      <c r="Y443" s="25"/>
      <c r="Z443" s="25"/>
      <c r="AA443" s="25"/>
      <c r="AB443" s="3" t="str">
        <f>IF(Caja_Finanzas[[#This Row],[fecha]]&gt;0,TEXT(Caja_Finanzas[[#This Row],[fecha]],"mmmm"),0)</f>
        <v>Mayo</v>
      </c>
    </row>
    <row r="444" spans="1:28" x14ac:dyDescent="0.3">
      <c r="A444" s="2">
        <f>IF(Caja_Finanzas[[#This Row],[tipo_r]]="R",COUNTIFS($C$1:$C443,"R")+1,A443)</f>
        <v>411</v>
      </c>
      <c r="B444" s="19" t="str">
        <f t="shared" si="34"/>
        <v>C-Finanzas</v>
      </c>
      <c r="C444" s="3" t="s">
        <v>1352</v>
      </c>
      <c r="D444" s="14">
        <v>45784</v>
      </c>
      <c r="E444" s="5"/>
      <c r="F444" s="5"/>
      <c r="G444" s="5"/>
      <c r="H444" s="6"/>
      <c r="I444" s="6"/>
      <c r="J444" s="6"/>
      <c r="K444" s="6"/>
      <c r="L444" s="7" t="s">
        <v>7082</v>
      </c>
      <c r="M444" s="8" t="str">
        <f>"CFI"&amp;".D"&amp;TEXT(Caja_Finanzas[[#This Row],[fecha]],"DD-MM")&amp;"-"&amp;TEXT(Caja_Finanzas[[#This Row],[item]],"0000")</f>
        <v>CFI.D07-05-0411</v>
      </c>
      <c r="N444" s="8" t="str">
        <f t="shared" si="35"/>
        <v>PEN</v>
      </c>
      <c r="O444" s="13">
        <v>15</v>
      </c>
      <c r="P444" s="13"/>
      <c r="Q444" s="3">
        <f t="shared" si="31"/>
        <v>0</v>
      </c>
      <c r="R444" s="3">
        <f t="shared" si="32"/>
        <v>0</v>
      </c>
      <c r="S444" s="3">
        <f t="shared" si="33"/>
        <v>23016.699999999993</v>
      </c>
      <c r="T444" s="24"/>
      <c r="U444" s="24"/>
      <c r="V444" s="3"/>
      <c r="W444" s="25"/>
      <c r="X444" s="25"/>
      <c r="Y444" s="25"/>
      <c r="Z444" s="25"/>
      <c r="AA444" s="25"/>
      <c r="AB444" s="3" t="str">
        <f>IF(Caja_Finanzas[[#This Row],[fecha]]&gt;0,TEXT(Caja_Finanzas[[#This Row],[fecha]],"mmmm"),0)</f>
        <v>Mayo</v>
      </c>
    </row>
    <row r="445" spans="1:28" ht="24" x14ac:dyDescent="0.3">
      <c r="A445" s="2">
        <f>IF(Caja_Finanzas[[#This Row],[tipo_r]]="R",COUNTIFS($C$1:$C444,"R")+1,A444)</f>
        <v>412</v>
      </c>
      <c r="B445" s="19" t="str">
        <f t="shared" si="34"/>
        <v>C-Finanzas</v>
      </c>
      <c r="C445" s="3" t="s">
        <v>1330</v>
      </c>
      <c r="D445" s="14">
        <v>45784</v>
      </c>
      <c r="E445" s="5" t="s">
        <v>3198</v>
      </c>
      <c r="F445" s="5" t="s">
        <v>1303</v>
      </c>
      <c r="G445" s="5"/>
      <c r="H445" s="6" t="s">
        <v>425</v>
      </c>
      <c r="I445" s="6" t="s">
        <v>119</v>
      </c>
      <c r="J445" s="6">
        <v>1</v>
      </c>
      <c r="K445" s="6">
        <v>4322</v>
      </c>
      <c r="L445" s="7" t="s">
        <v>6118</v>
      </c>
      <c r="M445" s="8" t="str">
        <f>"CFI"&amp;".D"&amp;TEXT(Caja_Finanzas[[#This Row],[fecha]],"DD-MM")&amp;"-"&amp;TEXT(Caja_Finanzas[[#This Row],[item]],"0000")</f>
        <v>CFI.D07-05-0412</v>
      </c>
      <c r="N445" s="8" t="str">
        <f t="shared" si="35"/>
        <v>PEN</v>
      </c>
      <c r="O445" s="13"/>
      <c r="P445" s="13">
        <v>1841.2</v>
      </c>
      <c r="Q445" s="3">
        <f t="shared" si="31"/>
        <v>1841.2</v>
      </c>
      <c r="R445" s="3">
        <f t="shared" si="32"/>
        <v>0</v>
      </c>
      <c r="S445" s="3">
        <f t="shared" si="33"/>
        <v>24857.899999999994</v>
      </c>
      <c r="T445" s="24"/>
      <c r="U445" s="24"/>
      <c r="V445" s="3"/>
      <c r="W445" s="25"/>
      <c r="X445" s="25" t="s">
        <v>7083</v>
      </c>
      <c r="Y445" s="25"/>
      <c r="Z445" s="25"/>
      <c r="AA445" s="25"/>
      <c r="AB445" s="3" t="str">
        <f>IF(Caja_Finanzas[[#This Row],[fecha]]&gt;0,TEXT(Caja_Finanzas[[#This Row],[fecha]],"mmmm"),0)</f>
        <v>Mayo</v>
      </c>
    </row>
    <row r="446" spans="1:28" ht="24" x14ac:dyDescent="0.3">
      <c r="A446" s="2">
        <f>IF(Caja_Finanzas[[#This Row],[tipo_r]]="R",COUNTIFS($C$1:$C445,"R")+1,A445)</f>
        <v>413</v>
      </c>
      <c r="B446" s="19" t="str">
        <f t="shared" si="34"/>
        <v>C-Finanzas</v>
      </c>
      <c r="C446" s="3" t="s">
        <v>1330</v>
      </c>
      <c r="D446" s="14">
        <v>45784</v>
      </c>
      <c r="E446" s="5" t="s">
        <v>3198</v>
      </c>
      <c r="F446" s="5" t="s">
        <v>1303</v>
      </c>
      <c r="G446" s="5"/>
      <c r="H446" s="6" t="s">
        <v>425</v>
      </c>
      <c r="I446" s="6" t="s">
        <v>119</v>
      </c>
      <c r="J446" s="6">
        <v>1</v>
      </c>
      <c r="K446" s="6">
        <v>4324</v>
      </c>
      <c r="L446" s="7" t="s">
        <v>6118</v>
      </c>
      <c r="M446" s="8" t="str">
        <f>"CFI"&amp;".D"&amp;TEXT(Caja_Finanzas[[#This Row],[fecha]],"DD-MM")&amp;"-"&amp;TEXT(Caja_Finanzas[[#This Row],[item]],"0000")</f>
        <v>CFI.D07-05-0413</v>
      </c>
      <c r="N446" s="8" t="str">
        <f t="shared" si="35"/>
        <v>PEN</v>
      </c>
      <c r="O446" s="13"/>
      <c r="P446" s="13">
        <v>187</v>
      </c>
      <c r="Q446" s="3">
        <f t="shared" si="31"/>
        <v>187</v>
      </c>
      <c r="R446" s="3">
        <f t="shared" si="32"/>
        <v>0</v>
      </c>
      <c r="S446" s="3">
        <f t="shared" si="33"/>
        <v>25044.899999999994</v>
      </c>
      <c r="T446" s="24"/>
      <c r="U446" s="24"/>
      <c r="V446" s="3"/>
      <c r="W446" s="25"/>
      <c r="X446" s="25" t="s">
        <v>7084</v>
      </c>
      <c r="Y446" s="25"/>
      <c r="Z446" s="25"/>
      <c r="AA446" s="25"/>
      <c r="AB446" s="3" t="str">
        <f>IF(Caja_Finanzas[[#This Row],[fecha]]&gt;0,TEXT(Caja_Finanzas[[#This Row],[fecha]],"mmmm"),0)</f>
        <v>Mayo</v>
      </c>
    </row>
    <row r="447" spans="1:28" ht="24" x14ac:dyDescent="0.3">
      <c r="A447" s="2">
        <f>IF(Caja_Finanzas[[#This Row],[tipo_r]]="R",COUNTIFS($C$1:$C446,"R")+1,A446)</f>
        <v>414</v>
      </c>
      <c r="B447" s="19" t="str">
        <f t="shared" si="34"/>
        <v>C-Finanzas</v>
      </c>
      <c r="C447" s="3" t="s">
        <v>1330</v>
      </c>
      <c r="D447" s="14">
        <v>45784</v>
      </c>
      <c r="E447" s="5" t="s">
        <v>7085</v>
      </c>
      <c r="F447" s="5" t="s">
        <v>1303</v>
      </c>
      <c r="G447" s="5"/>
      <c r="H447" s="6" t="s">
        <v>425</v>
      </c>
      <c r="I447" s="6" t="s">
        <v>119</v>
      </c>
      <c r="J447" s="6">
        <v>1</v>
      </c>
      <c r="K447" s="6">
        <v>4394</v>
      </c>
      <c r="L447" s="7" t="s">
        <v>6118</v>
      </c>
      <c r="M447" s="8" t="str">
        <f>"CFI"&amp;".D"&amp;TEXT(Caja_Finanzas[[#This Row],[fecha]],"DD-MM")&amp;"-"&amp;TEXT(Caja_Finanzas[[#This Row],[item]],"0000")</f>
        <v>CFI.D07-05-0414</v>
      </c>
      <c r="N447" s="8" t="str">
        <f t="shared" si="35"/>
        <v>PEN</v>
      </c>
      <c r="O447" s="13"/>
      <c r="P447" s="13">
        <v>3206</v>
      </c>
      <c r="Q447" s="3">
        <f t="shared" si="31"/>
        <v>3206</v>
      </c>
      <c r="R447" s="3">
        <f t="shared" si="32"/>
        <v>0</v>
      </c>
      <c r="S447" s="3">
        <f t="shared" si="33"/>
        <v>28250.899999999994</v>
      </c>
      <c r="T447" s="24"/>
      <c r="U447" s="24"/>
      <c r="V447" s="3"/>
      <c r="W447" s="25"/>
      <c r="X447" s="25" t="s">
        <v>7086</v>
      </c>
      <c r="Y447" s="25"/>
      <c r="Z447" s="25"/>
      <c r="AA447" s="25"/>
      <c r="AB447" s="3" t="str">
        <f>IF(Caja_Finanzas[[#This Row],[fecha]]&gt;0,TEXT(Caja_Finanzas[[#This Row],[fecha]],"mmmm"),0)</f>
        <v>Mayo</v>
      </c>
    </row>
    <row r="448" spans="1:28" ht="36" x14ac:dyDescent="0.3">
      <c r="A448" s="2">
        <f>IF(Caja_Finanzas[[#This Row],[tipo_r]]="R",COUNTIFS($C$1:$C447,"R")+1,A447)</f>
        <v>415</v>
      </c>
      <c r="B448" s="19" t="str">
        <f t="shared" si="34"/>
        <v>C-Finanzas</v>
      </c>
      <c r="C448" s="3" t="s">
        <v>1330</v>
      </c>
      <c r="D448" s="14">
        <v>45785</v>
      </c>
      <c r="E448" s="5" t="s">
        <v>6940</v>
      </c>
      <c r="F448" s="5" t="s">
        <v>1336</v>
      </c>
      <c r="G448" s="5"/>
      <c r="H448" s="6"/>
      <c r="I448" s="6"/>
      <c r="J448" s="6"/>
      <c r="K448" s="6"/>
      <c r="L448" s="7" t="s">
        <v>7087</v>
      </c>
      <c r="M448" s="8" t="str">
        <f>"CFI"&amp;".D"&amp;TEXT(Caja_Finanzas[[#This Row],[fecha]],"DD-MM")&amp;"-"&amp;TEXT(Caja_Finanzas[[#This Row],[item]],"0000")</f>
        <v>CFI.D08-05-0415</v>
      </c>
      <c r="N448" s="8" t="str">
        <f t="shared" si="35"/>
        <v>PEN</v>
      </c>
      <c r="O448" s="13"/>
      <c r="P448" s="13">
        <v>180</v>
      </c>
      <c r="Q448" s="3">
        <f t="shared" si="31"/>
        <v>0</v>
      </c>
      <c r="R448" s="3">
        <f t="shared" si="32"/>
        <v>180</v>
      </c>
      <c r="S448" s="3">
        <f t="shared" si="33"/>
        <v>28070.899999999994</v>
      </c>
      <c r="T448" s="24"/>
      <c r="U448" s="24"/>
      <c r="V448" s="3"/>
      <c r="W448" s="25" t="s">
        <v>6709</v>
      </c>
      <c r="X448" s="25" t="s">
        <v>7088</v>
      </c>
      <c r="Y448" s="25"/>
      <c r="Z448" s="25"/>
      <c r="AA448" s="25"/>
      <c r="AB448" s="3" t="str">
        <f>IF(Caja_Finanzas[[#This Row],[fecha]]&gt;0,TEXT(Caja_Finanzas[[#This Row],[fecha]],"mmmm"),0)</f>
        <v>Mayo</v>
      </c>
    </row>
    <row r="449" spans="1:28" ht="24" x14ac:dyDescent="0.3">
      <c r="A449" s="2">
        <f>IF(Caja_Finanzas[[#This Row],[tipo_r]]="R",COUNTIFS($C$1:$C448,"R")+1,A448)</f>
        <v>416</v>
      </c>
      <c r="B449" s="19" t="str">
        <f t="shared" si="34"/>
        <v>C-Finanzas</v>
      </c>
      <c r="C449" s="3" t="s">
        <v>1330</v>
      </c>
      <c r="D449" s="14">
        <v>45785</v>
      </c>
      <c r="E449" s="5" t="s">
        <v>6556</v>
      </c>
      <c r="F449" s="5" t="s">
        <v>1336</v>
      </c>
      <c r="G449" s="5"/>
      <c r="H449" s="6"/>
      <c r="I449" s="6"/>
      <c r="J449" s="6"/>
      <c r="K449" s="6"/>
      <c r="L449" s="7" t="s">
        <v>7089</v>
      </c>
      <c r="M449" s="8" t="str">
        <f>"CFI"&amp;".D"&amp;TEXT(Caja_Finanzas[[#This Row],[fecha]],"DD-MM")&amp;"-"&amp;TEXT(Caja_Finanzas[[#This Row],[item]],"0000")</f>
        <v>CFI.D08-05-0416</v>
      </c>
      <c r="N449" s="8" t="str">
        <f t="shared" si="35"/>
        <v>PEN</v>
      </c>
      <c r="O449" s="13"/>
      <c r="P449" s="13">
        <v>144.6</v>
      </c>
      <c r="Q449" s="3">
        <f t="shared" si="31"/>
        <v>0</v>
      </c>
      <c r="R449" s="3">
        <f t="shared" si="32"/>
        <v>144.6</v>
      </c>
      <c r="S449" s="3">
        <f t="shared" si="33"/>
        <v>27926.299999999996</v>
      </c>
      <c r="T449" s="24"/>
      <c r="U449" s="24"/>
      <c r="V449" s="3"/>
      <c r="W449" s="25" t="s">
        <v>6467</v>
      </c>
      <c r="X449" s="25" t="s">
        <v>7090</v>
      </c>
      <c r="Y449" s="25"/>
      <c r="Z449" s="25"/>
      <c r="AA449" s="25"/>
      <c r="AB449" s="3" t="str">
        <f>IF(Caja_Finanzas[[#This Row],[fecha]]&gt;0,TEXT(Caja_Finanzas[[#This Row],[fecha]],"mmmm"),0)</f>
        <v>Mayo</v>
      </c>
    </row>
    <row r="450" spans="1:28" ht="24" x14ac:dyDescent="0.3">
      <c r="A450" s="2">
        <f>IF(Caja_Finanzas[[#This Row],[tipo_r]]="R",COUNTIFS($C$1:$C449,"R")+1,A449)</f>
        <v>417</v>
      </c>
      <c r="B450" s="19" t="str">
        <f t="shared" si="34"/>
        <v>C-Finanzas</v>
      </c>
      <c r="C450" s="3" t="s">
        <v>1330</v>
      </c>
      <c r="D450" s="14">
        <v>45785</v>
      </c>
      <c r="E450" s="5" t="s">
        <v>2009</v>
      </c>
      <c r="F450" s="5" t="s">
        <v>1303</v>
      </c>
      <c r="G450" s="5"/>
      <c r="H450" s="6" t="s">
        <v>425</v>
      </c>
      <c r="I450" s="6" t="s">
        <v>119</v>
      </c>
      <c r="J450" s="6">
        <v>1</v>
      </c>
      <c r="K450" s="6">
        <v>4402</v>
      </c>
      <c r="L450" s="7" t="s">
        <v>6118</v>
      </c>
      <c r="M450" s="8" t="str">
        <f>"CFI"&amp;".D"&amp;TEXT(Caja_Finanzas[[#This Row],[fecha]],"DD-MM")&amp;"-"&amp;TEXT(Caja_Finanzas[[#This Row],[item]],"0000")</f>
        <v>CFI.D08-05-0417</v>
      </c>
      <c r="N450" s="8" t="str">
        <f t="shared" si="35"/>
        <v>PEN</v>
      </c>
      <c r="O450" s="13"/>
      <c r="P450" s="13">
        <v>6132</v>
      </c>
      <c r="Q450" s="3">
        <f t="shared" ref="Q450:Q513" si="36">+IF(OR($F450="SALDO",$F450="INGRESO"),$P450,0)</f>
        <v>6132</v>
      </c>
      <c r="R450" s="3">
        <f t="shared" ref="R450:R513" si="37">+IF($F450="EGRESO",$P450,0)</f>
        <v>0</v>
      </c>
      <c r="S450" s="3">
        <f t="shared" ref="S450:S513" si="38">IFERROR(IF(F450="SALDO",Q450,S449+Q450-R450),0)</f>
        <v>34058.299999999996</v>
      </c>
      <c r="T450" s="24"/>
      <c r="U450" s="24"/>
      <c r="V450" s="3"/>
      <c r="W450" s="25"/>
      <c r="X450" s="25" t="s">
        <v>7091</v>
      </c>
      <c r="Y450" s="25"/>
      <c r="Z450" s="25"/>
      <c r="AA450" s="25"/>
      <c r="AB450" s="3" t="str">
        <f>IF(Caja_Finanzas[[#This Row],[fecha]]&gt;0,TEXT(Caja_Finanzas[[#This Row],[fecha]],"mmmm"),0)</f>
        <v>Mayo</v>
      </c>
    </row>
    <row r="451" spans="1:28" x14ac:dyDescent="0.3">
      <c r="A451" s="2">
        <f>IF(Caja_Finanzas[[#This Row],[tipo_r]]="R",COUNTIFS($C$1:$C450,"R")+1,A450)</f>
        <v>418</v>
      </c>
      <c r="B451" s="19" t="str">
        <f t="shared" ref="B451:B514" si="39">"C-Finanzas"</f>
        <v>C-Finanzas</v>
      </c>
      <c r="C451" s="3" t="s">
        <v>1330</v>
      </c>
      <c r="D451" s="14">
        <v>45785</v>
      </c>
      <c r="E451" s="5" t="s">
        <v>2800</v>
      </c>
      <c r="F451" s="5" t="s">
        <v>1303</v>
      </c>
      <c r="G451" s="5"/>
      <c r="H451" s="6" t="s">
        <v>425</v>
      </c>
      <c r="I451" s="6" t="s">
        <v>119</v>
      </c>
      <c r="J451" s="6">
        <v>1</v>
      </c>
      <c r="K451" s="6">
        <v>4400</v>
      </c>
      <c r="L451" s="7" t="s">
        <v>6118</v>
      </c>
      <c r="M451" s="8" t="str">
        <f>"CFI"&amp;".D"&amp;TEXT(Caja_Finanzas[[#This Row],[fecha]],"DD-MM")&amp;"-"&amp;TEXT(Caja_Finanzas[[#This Row],[item]],"0000")</f>
        <v>CFI.D08-05-0418</v>
      </c>
      <c r="N451" s="8" t="str">
        <f t="shared" ref="N451:N514" si="40">"PEN"</f>
        <v>PEN</v>
      </c>
      <c r="O451" s="13"/>
      <c r="P451" s="13">
        <v>60</v>
      </c>
      <c r="Q451" s="3">
        <f t="shared" si="36"/>
        <v>60</v>
      </c>
      <c r="R451" s="3">
        <f t="shared" si="37"/>
        <v>0</v>
      </c>
      <c r="S451" s="3">
        <f t="shared" si="38"/>
        <v>34118.299999999996</v>
      </c>
      <c r="T451" s="24"/>
      <c r="U451" s="24"/>
      <c r="V451" s="3"/>
      <c r="W451" s="25"/>
      <c r="X451" s="25" t="s">
        <v>7092</v>
      </c>
      <c r="Y451" s="25"/>
      <c r="Z451" s="25"/>
      <c r="AA451" s="25"/>
      <c r="AB451" s="3" t="str">
        <f>IF(Caja_Finanzas[[#This Row],[fecha]]&gt;0,TEXT(Caja_Finanzas[[#This Row],[fecha]],"mmmm"),0)</f>
        <v>Mayo</v>
      </c>
    </row>
    <row r="452" spans="1:28" ht="24" x14ac:dyDescent="0.3">
      <c r="A452" s="2">
        <f>IF(Caja_Finanzas[[#This Row],[tipo_r]]="R",COUNTIFS($C$1:$C451,"R")+1,A451)</f>
        <v>419</v>
      </c>
      <c r="B452" s="19" t="str">
        <f t="shared" si="39"/>
        <v>C-Finanzas</v>
      </c>
      <c r="C452" s="3" t="s">
        <v>1330</v>
      </c>
      <c r="D452" s="14">
        <v>45785</v>
      </c>
      <c r="E452" s="5" t="s">
        <v>2502</v>
      </c>
      <c r="F452" s="5" t="s">
        <v>1303</v>
      </c>
      <c r="G452" s="5"/>
      <c r="H452" s="6" t="s">
        <v>425</v>
      </c>
      <c r="I452" s="6" t="s">
        <v>119</v>
      </c>
      <c r="J452" s="6">
        <v>1</v>
      </c>
      <c r="K452" s="6">
        <v>4398</v>
      </c>
      <c r="L452" s="7" t="s">
        <v>6118</v>
      </c>
      <c r="M452" s="8" t="str">
        <f>"CFI"&amp;".D"&amp;TEXT(Caja_Finanzas[[#This Row],[fecha]],"DD-MM")&amp;"-"&amp;TEXT(Caja_Finanzas[[#This Row],[item]],"0000")</f>
        <v>CFI.D08-05-0419</v>
      </c>
      <c r="N452" s="8" t="str">
        <f t="shared" si="40"/>
        <v>PEN</v>
      </c>
      <c r="O452" s="13"/>
      <c r="P452" s="13">
        <v>360</v>
      </c>
      <c r="Q452" s="3">
        <f t="shared" si="36"/>
        <v>360</v>
      </c>
      <c r="R452" s="3">
        <f t="shared" si="37"/>
        <v>0</v>
      </c>
      <c r="S452" s="3">
        <f t="shared" si="38"/>
        <v>34478.299999999996</v>
      </c>
      <c r="T452" s="24"/>
      <c r="U452" s="24"/>
      <c r="V452" s="3"/>
      <c r="W452" s="25"/>
      <c r="X452" s="25" t="s">
        <v>7093</v>
      </c>
      <c r="Y452" s="25"/>
      <c r="Z452" s="25"/>
      <c r="AA452" s="25"/>
      <c r="AB452" s="3" t="str">
        <f>IF(Caja_Finanzas[[#This Row],[fecha]]&gt;0,TEXT(Caja_Finanzas[[#This Row],[fecha]],"mmmm"),0)</f>
        <v>Mayo</v>
      </c>
    </row>
    <row r="453" spans="1:28" ht="36" x14ac:dyDescent="0.3">
      <c r="A453" s="2">
        <f>IF(Caja_Finanzas[[#This Row],[tipo_r]]="R",COUNTIFS($C$1:$C452,"R")+1,A452)</f>
        <v>420</v>
      </c>
      <c r="B453" s="19" t="str">
        <f t="shared" si="39"/>
        <v>C-Finanzas</v>
      </c>
      <c r="C453" s="3" t="s">
        <v>1330</v>
      </c>
      <c r="D453" s="14">
        <v>45786</v>
      </c>
      <c r="E453" s="5" t="s">
        <v>6420</v>
      </c>
      <c r="F453" s="5" t="s">
        <v>1336</v>
      </c>
      <c r="G453" s="5"/>
      <c r="H453" s="6"/>
      <c r="I453" s="6"/>
      <c r="J453" s="6"/>
      <c r="K453" s="6"/>
      <c r="L453" s="7" t="s">
        <v>7094</v>
      </c>
      <c r="M453" s="8" t="str">
        <f>"CFI"&amp;".D"&amp;TEXT(Caja_Finanzas[[#This Row],[fecha]],"DD-MM")&amp;"-"&amp;TEXT(Caja_Finanzas[[#This Row],[item]],"0000")</f>
        <v>CFI.D09-05-0420</v>
      </c>
      <c r="N453" s="8" t="str">
        <f t="shared" si="40"/>
        <v>PEN</v>
      </c>
      <c r="O453" s="13"/>
      <c r="P453" s="13">
        <v>520</v>
      </c>
      <c r="Q453" s="3">
        <f t="shared" si="36"/>
        <v>0</v>
      </c>
      <c r="R453" s="3">
        <f t="shared" si="37"/>
        <v>520</v>
      </c>
      <c r="S453" s="3">
        <f t="shared" si="38"/>
        <v>33958.299999999996</v>
      </c>
      <c r="T453" s="24"/>
      <c r="U453" s="24"/>
      <c r="V453" s="3"/>
      <c r="W453" s="25" t="s">
        <v>6854</v>
      </c>
      <c r="X453" s="25" t="s">
        <v>7095</v>
      </c>
      <c r="Y453" s="25"/>
      <c r="Z453" s="25"/>
      <c r="AA453" s="25"/>
      <c r="AB453" s="3" t="str">
        <f>IF(Caja_Finanzas[[#This Row],[fecha]]&gt;0,TEXT(Caja_Finanzas[[#This Row],[fecha]],"mmmm"),0)</f>
        <v>Mayo</v>
      </c>
    </row>
    <row r="454" spans="1:28" ht="36" x14ac:dyDescent="0.3">
      <c r="A454" s="2">
        <f>IF(Caja_Finanzas[[#This Row],[tipo_r]]="R",COUNTIFS($C$1:$C453,"R")+1,A453)</f>
        <v>421</v>
      </c>
      <c r="B454" s="19" t="str">
        <f t="shared" si="39"/>
        <v>C-Finanzas</v>
      </c>
      <c r="C454" s="3" t="s">
        <v>1330</v>
      </c>
      <c r="D454" s="14">
        <v>45786</v>
      </c>
      <c r="E454" s="5" t="s">
        <v>5811</v>
      </c>
      <c r="F454" s="5" t="s">
        <v>1336</v>
      </c>
      <c r="G454" s="5"/>
      <c r="H454" s="6"/>
      <c r="I454" s="6"/>
      <c r="J454" s="6"/>
      <c r="K454" s="6"/>
      <c r="L454" s="7" t="s">
        <v>7096</v>
      </c>
      <c r="M454" s="8" t="str">
        <f>"CFI"&amp;".D"&amp;TEXT(Caja_Finanzas[[#This Row],[fecha]],"DD-MM")&amp;"-"&amp;TEXT(Caja_Finanzas[[#This Row],[item]],"0000")</f>
        <v>CFI.D09-05-0421</v>
      </c>
      <c r="N454" s="8" t="str">
        <f t="shared" si="40"/>
        <v>PEN</v>
      </c>
      <c r="O454" s="13"/>
      <c r="P454" s="13">
        <v>1500</v>
      </c>
      <c r="Q454" s="3">
        <f t="shared" si="36"/>
        <v>0</v>
      </c>
      <c r="R454" s="3">
        <f t="shared" si="37"/>
        <v>1500</v>
      </c>
      <c r="S454" s="3">
        <f t="shared" si="38"/>
        <v>32458.299999999996</v>
      </c>
      <c r="T454" s="24"/>
      <c r="U454" s="24"/>
      <c r="V454" s="3"/>
      <c r="W454" s="25" t="s">
        <v>6960</v>
      </c>
      <c r="X454" s="25" t="s">
        <v>7097</v>
      </c>
      <c r="Y454" s="25"/>
      <c r="Z454" s="25"/>
      <c r="AA454" s="25"/>
      <c r="AB454" s="3" t="str">
        <f>IF(Caja_Finanzas[[#This Row],[fecha]]&gt;0,TEXT(Caja_Finanzas[[#This Row],[fecha]],"mmmm"),0)</f>
        <v>Mayo</v>
      </c>
    </row>
    <row r="455" spans="1:28" ht="24" x14ac:dyDescent="0.3">
      <c r="A455" s="2">
        <f>IF(Caja_Finanzas[[#This Row],[tipo_r]]="R",COUNTIFS($C$1:$C454,"R")+1,A454)</f>
        <v>422</v>
      </c>
      <c r="B455" s="19" t="str">
        <f t="shared" si="39"/>
        <v>C-Finanzas</v>
      </c>
      <c r="C455" s="3" t="s">
        <v>1330</v>
      </c>
      <c r="D455" s="14">
        <v>45789</v>
      </c>
      <c r="E455" s="5" t="s">
        <v>6731</v>
      </c>
      <c r="F455" s="5" t="s">
        <v>1336</v>
      </c>
      <c r="G455" s="5"/>
      <c r="H455" s="6"/>
      <c r="I455" s="6"/>
      <c r="J455" s="6"/>
      <c r="K455" s="6"/>
      <c r="L455" s="7" t="s">
        <v>7098</v>
      </c>
      <c r="M455" s="8" t="str">
        <f>"CFI"&amp;".D"&amp;TEXT(Caja_Finanzas[[#This Row],[fecha]],"DD-MM")&amp;"-"&amp;TEXT(Caja_Finanzas[[#This Row],[item]],"0000")</f>
        <v>CFI.D12-05-0422</v>
      </c>
      <c r="N455" s="8" t="str">
        <f t="shared" si="40"/>
        <v>PEN</v>
      </c>
      <c r="O455" s="13"/>
      <c r="P455" s="13">
        <v>10</v>
      </c>
      <c r="Q455" s="3">
        <f t="shared" si="36"/>
        <v>0</v>
      </c>
      <c r="R455" s="3">
        <f t="shared" si="37"/>
        <v>10</v>
      </c>
      <c r="S455" s="3">
        <f t="shared" si="38"/>
        <v>32448.299999999996</v>
      </c>
      <c r="T455" s="24"/>
      <c r="U455" s="24"/>
      <c r="V455" s="3"/>
      <c r="W455" s="25" t="s">
        <v>6709</v>
      </c>
      <c r="X455" s="25" t="s">
        <v>7099</v>
      </c>
      <c r="Y455" s="25"/>
      <c r="Z455" s="25"/>
      <c r="AA455" s="25"/>
      <c r="AB455" s="3" t="str">
        <f>IF(Caja_Finanzas[[#This Row],[fecha]]&gt;0,TEXT(Caja_Finanzas[[#This Row],[fecha]],"mmmm"),0)</f>
        <v>Mayo</v>
      </c>
    </row>
    <row r="456" spans="1:28" ht="24" x14ac:dyDescent="0.3">
      <c r="A456" s="2">
        <f>IF(Caja_Finanzas[[#This Row],[tipo_r]]="R",COUNTIFS($C$1:$C455,"R")+1,A455)</f>
        <v>423</v>
      </c>
      <c r="B456" s="19" t="str">
        <f t="shared" si="39"/>
        <v>C-Finanzas</v>
      </c>
      <c r="C456" s="3" t="s">
        <v>1330</v>
      </c>
      <c r="D456" s="14">
        <v>45793</v>
      </c>
      <c r="E456" s="5" t="s">
        <v>6418</v>
      </c>
      <c r="F456" s="5" t="s">
        <v>1336</v>
      </c>
      <c r="G456" s="5"/>
      <c r="H456" s="6"/>
      <c r="I456" s="6"/>
      <c r="J456" s="6"/>
      <c r="K456" s="6"/>
      <c r="L456" s="7" t="s">
        <v>7100</v>
      </c>
      <c r="M456" s="8" t="str">
        <f>"CFI"&amp;".D"&amp;TEXT(Caja_Finanzas[[#This Row],[fecha]],"DD-MM")&amp;"-"&amp;TEXT(Caja_Finanzas[[#This Row],[item]],"0000")</f>
        <v>CFI.D16-05-0423</v>
      </c>
      <c r="N456" s="8" t="str">
        <f t="shared" si="40"/>
        <v>PEN</v>
      </c>
      <c r="O456" s="13"/>
      <c r="P456" s="13">
        <v>24662</v>
      </c>
      <c r="Q456" s="3">
        <f t="shared" si="36"/>
        <v>0</v>
      </c>
      <c r="R456" s="3">
        <f t="shared" si="37"/>
        <v>24662</v>
      </c>
      <c r="S456" s="3">
        <f t="shared" si="38"/>
        <v>7786.2999999999956</v>
      </c>
      <c r="T456" s="24"/>
      <c r="U456" s="24"/>
      <c r="V456" s="3"/>
      <c r="W456" s="25"/>
      <c r="X456" s="25"/>
      <c r="Y456" s="25"/>
      <c r="Z456" s="25"/>
      <c r="AA456" s="25"/>
      <c r="AB456" s="3" t="str">
        <f>IF(Caja_Finanzas[[#This Row],[fecha]]&gt;0,TEXT(Caja_Finanzas[[#This Row],[fecha]],"mmmm"),0)</f>
        <v>Mayo</v>
      </c>
    </row>
    <row r="457" spans="1:28" ht="24" x14ac:dyDescent="0.3">
      <c r="A457" s="2">
        <f>IF(Caja_Finanzas[[#This Row],[tipo_r]]="R",COUNTIFS($C$1:$C456,"R")+1,A456)</f>
        <v>424</v>
      </c>
      <c r="B457" s="19" t="str">
        <f t="shared" si="39"/>
        <v>C-Finanzas</v>
      </c>
      <c r="C457" s="3" t="s">
        <v>1330</v>
      </c>
      <c r="D457" s="14">
        <v>45793</v>
      </c>
      <c r="E457" s="5" t="s">
        <v>2938</v>
      </c>
      <c r="F457" s="5" t="s">
        <v>1303</v>
      </c>
      <c r="G457" s="5"/>
      <c r="H457" s="6" t="s">
        <v>425</v>
      </c>
      <c r="I457" s="6" t="s">
        <v>119</v>
      </c>
      <c r="J457" s="6">
        <v>1</v>
      </c>
      <c r="K457" s="6">
        <v>4416</v>
      </c>
      <c r="L457" s="7" t="s">
        <v>6118</v>
      </c>
      <c r="M457" s="8" t="str">
        <f>"CFI"&amp;".D"&amp;TEXT(Caja_Finanzas[[#This Row],[fecha]],"DD-MM")&amp;"-"&amp;TEXT(Caja_Finanzas[[#This Row],[item]],"0000")</f>
        <v>CFI.D16-05-0424</v>
      </c>
      <c r="N457" s="8" t="str">
        <f t="shared" si="40"/>
        <v>PEN</v>
      </c>
      <c r="O457" s="13"/>
      <c r="P457" s="13">
        <v>2100</v>
      </c>
      <c r="Q457" s="3">
        <f t="shared" si="36"/>
        <v>2100</v>
      </c>
      <c r="R457" s="3">
        <f t="shared" si="37"/>
        <v>0</v>
      </c>
      <c r="S457" s="3">
        <f t="shared" si="38"/>
        <v>9886.2999999999956</v>
      </c>
      <c r="T457" s="24"/>
      <c r="U457" s="24"/>
      <c r="V457" s="3"/>
      <c r="W457" s="25"/>
      <c r="X457" s="25" t="s">
        <v>7101</v>
      </c>
      <c r="Y457" s="25"/>
      <c r="Z457" s="25"/>
      <c r="AA457" s="25"/>
      <c r="AB457" s="3" t="str">
        <f>IF(Caja_Finanzas[[#This Row],[fecha]]&gt;0,TEXT(Caja_Finanzas[[#This Row],[fecha]],"mmmm"),0)</f>
        <v>Mayo</v>
      </c>
    </row>
    <row r="458" spans="1:28" ht="24" x14ac:dyDescent="0.3">
      <c r="A458" s="2">
        <f>IF(Caja_Finanzas[[#This Row],[tipo_r]]="R",COUNTIFS($C$1:$C457,"R")+1,A457)</f>
        <v>425</v>
      </c>
      <c r="B458" s="19" t="str">
        <f t="shared" si="39"/>
        <v>C-Finanzas</v>
      </c>
      <c r="C458" s="3" t="s">
        <v>1330</v>
      </c>
      <c r="D458" s="14">
        <v>45793</v>
      </c>
      <c r="E458" s="5" t="s">
        <v>1825</v>
      </c>
      <c r="F458" s="5" t="s">
        <v>1303</v>
      </c>
      <c r="G458" s="5"/>
      <c r="H458" s="6" t="s">
        <v>425</v>
      </c>
      <c r="I458" s="6" t="s">
        <v>119</v>
      </c>
      <c r="J458" s="6">
        <v>1</v>
      </c>
      <c r="K458" s="6">
        <v>4417</v>
      </c>
      <c r="L458" s="7" t="s">
        <v>6118</v>
      </c>
      <c r="M458" s="8" t="str">
        <f>"CFI"&amp;".D"&amp;TEXT(Caja_Finanzas[[#This Row],[fecha]],"DD-MM")&amp;"-"&amp;TEXT(Caja_Finanzas[[#This Row],[item]],"0000")</f>
        <v>CFI.D16-05-0425</v>
      </c>
      <c r="N458" s="8" t="str">
        <f t="shared" si="40"/>
        <v>PEN</v>
      </c>
      <c r="O458" s="13"/>
      <c r="P458" s="13">
        <v>888.1</v>
      </c>
      <c r="Q458" s="3">
        <f t="shared" si="36"/>
        <v>888.1</v>
      </c>
      <c r="R458" s="3">
        <f t="shared" si="37"/>
        <v>0</v>
      </c>
      <c r="S458" s="3">
        <f t="shared" si="38"/>
        <v>10774.399999999996</v>
      </c>
      <c r="T458" s="24"/>
      <c r="U458" s="24"/>
      <c r="V458" s="3"/>
      <c r="W458" s="25"/>
      <c r="X458" s="25" t="s">
        <v>7102</v>
      </c>
      <c r="Y458" s="25"/>
      <c r="Z458" s="25"/>
      <c r="AA458" s="25"/>
      <c r="AB458" s="3" t="str">
        <f>IF(Caja_Finanzas[[#This Row],[fecha]]&gt;0,TEXT(Caja_Finanzas[[#This Row],[fecha]],"mmmm"),0)</f>
        <v>Mayo</v>
      </c>
    </row>
    <row r="459" spans="1:28" ht="24" x14ac:dyDescent="0.3">
      <c r="A459" s="2">
        <f>IF(Caja_Finanzas[[#This Row],[tipo_r]]="R",COUNTIFS($C$1:$C458,"R")+1,A458)</f>
        <v>426</v>
      </c>
      <c r="B459" s="19" t="str">
        <f t="shared" si="39"/>
        <v>C-Finanzas</v>
      </c>
      <c r="C459" s="3" t="s">
        <v>1330</v>
      </c>
      <c r="D459" s="14">
        <v>45793</v>
      </c>
      <c r="E459" s="5" t="s">
        <v>6418</v>
      </c>
      <c r="F459" s="5" t="s">
        <v>1336</v>
      </c>
      <c r="G459" s="5"/>
      <c r="H459" s="6" t="s">
        <v>809</v>
      </c>
      <c r="I459" s="6"/>
      <c r="J459" s="6"/>
      <c r="K459" s="6"/>
      <c r="L459" s="7" t="s">
        <v>7103</v>
      </c>
      <c r="M459" s="8" t="str">
        <f>"CFI"&amp;".D"&amp;TEXT(Caja_Finanzas[[#This Row],[fecha]],"DD-MM")&amp;"-"&amp;TEXT(Caja_Finanzas[[#This Row],[item]],"0000")</f>
        <v>CFI.D16-05-0426</v>
      </c>
      <c r="N459" s="8" t="str">
        <f t="shared" si="40"/>
        <v>PEN</v>
      </c>
      <c r="O459" s="13"/>
      <c r="P459" s="13">
        <v>5598</v>
      </c>
      <c r="Q459" s="3">
        <f t="shared" si="36"/>
        <v>0</v>
      </c>
      <c r="R459" s="3">
        <f t="shared" si="37"/>
        <v>5598</v>
      </c>
      <c r="S459" s="3">
        <f t="shared" si="38"/>
        <v>5176.399999999996</v>
      </c>
      <c r="T459" s="24"/>
      <c r="U459" s="24"/>
      <c r="V459" s="3"/>
      <c r="W459" s="25"/>
      <c r="X459" s="25"/>
      <c r="Y459" s="25"/>
      <c r="Z459" s="25"/>
      <c r="AA459" s="25"/>
      <c r="AB459" s="3" t="str">
        <f>IF(Caja_Finanzas[[#This Row],[fecha]]&gt;0,TEXT(Caja_Finanzas[[#This Row],[fecha]],"mmmm"),0)</f>
        <v>Mayo</v>
      </c>
    </row>
    <row r="460" spans="1:28" x14ac:dyDescent="0.3">
      <c r="A460" s="2">
        <f>IF(Caja_Finanzas[[#This Row],[tipo_r]]="R",COUNTIFS($C$1:$C459,"R")+1,A459)</f>
        <v>427</v>
      </c>
      <c r="B460" s="19" t="str">
        <f t="shared" si="39"/>
        <v>C-Finanzas</v>
      </c>
      <c r="C460" s="3" t="s">
        <v>1330</v>
      </c>
      <c r="D460" s="14">
        <v>45796</v>
      </c>
      <c r="E460" s="5"/>
      <c r="F460" s="5" t="s">
        <v>1303</v>
      </c>
      <c r="G460" s="5"/>
      <c r="H460" s="6"/>
      <c r="I460" s="6"/>
      <c r="J460" s="6"/>
      <c r="K460" s="6"/>
      <c r="L460" s="7" t="s">
        <v>6118</v>
      </c>
      <c r="M460" s="8" t="str">
        <f>"CFI"&amp;".D"&amp;TEXT(Caja_Finanzas[[#This Row],[fecha]],"DD-MM")&amp;"-"&amp;TEXT(Caja_Finanzas[[#This Row],[item]],"0000")</f>
        <v>CFI.D19-05-0427</v>
      </c>
      <c r="N460" s="8" t="str">
        <f t="shared" si="40"/>
        <v>PEN</v>
      </c>
      <c r="O460" s="13"/>
      <c r="P460" s="13">
        <v>1500</v>
      </c>
      <c r="Q460" s="3">
        <f t="shared" si="36"/>
        <v>1500</v>
      </c>
      <c r="R460" s="3">
        <f t="shared" si="37"/>
        <v>0</v>
      </c>
      <c r="S460" s="3">
        <f t="shared" si="38"/>
        <v>6676.399999999996</v>
      </c>
      <c r="T460" s="24"/>
      <c r="U460" s="24"/>
      <c r="V460" s="3"/>
      <c r="W460" s="25"/>
      <c r="X460" s="25"/>
      <c r="Y460" s="25"/>
      <c r="Z460" s="25"/>
      <c r="AA460" s="25"/>
      <c r="AB460" s="3" t="str">
        <f>IF(Caja_Finanzas[[#This Row],[fecha]]&gt;0,TEXT(Caja_Finanzas[[#This Row],[fecha]],"mmmm"),0)</f>
        <v>Mayo</v>
      </c>
    </row>
    <row r="461" spans="1:28" ht="24" x14ac:dyDescent="0.3">
      <c r="A461" s="2">
        <f>IF(Caja_Finanzas[[#This Row],[tipo_r]]="R",COUNTIFS($C$1:$C460,"R")+1,A460)</f>
        <v>427</v>
      </c>
      <c r="B461" s="19" t="str">
        <f t="shared" si="39"/>
        <v>C-Finanzas</v>
      </c>
      <c r="C461" s="3" t="s">
        <v>1352</v>
      </c>
      <c r="D461" s="14">
        <v>45796</v>
      </c>
      <c r="E461" s="5" t="s">
        <v>4104</v>
      </c>
      <c r="F461" s="5"/>
      <c r="G461" s="5"/>
      <c r="H461" s="6" t="s">
        <v>425</v>
      </c>
      <c r="I461" s="6" t="s">
        <v>119</v>
      </c>
      <c r="J461" s="6">
        <v>1</v>
      </c>
      <c r="K461" s="6">
        <v>4239</v>
      </c>
      <c r="L461" s="7" t="s">
        <v>6118</v>
      </c>
      <c r="M461" s="8" t="str">
        <f>"CFI"&amp;".D"&amp;TEXT(Caja_Finanzas[[#This Row],[fecha]],"DD-MM")&amp;"-"&amp;TEXT(Caja_Finanzas[[#This Row],[item]],"0000")</f>
        <v>CFI.D19-05-0427</v>
      </c>
      <c r="N461" s="8" t="str">
        <f t="shared" si="40"/>
        <v>PEN</v>
      </c>
      <c r="O461" s="13">
        <v>649.20000000000005</v>
      </c>
      <c r="P461" s="13"/>
      <c r="Q461" s="3">
        <f t="shared" si="36"/>
        <v>0</v>
      </c>
      <c r="R461" s="3">
        <f t="shared" si="37"/>
        <v>0</v>
      </c>
      <c r="S461" s="3">
        <f t="shared" si="38"/>
        <v>6676.399999999996</v>
      </c>
      <c r="T461" s="24"/>
      <c r="U461" s="24"/>
      <c r="V461" s="3"/>
      <c r="W461" s="25"/>
      <c r="X461" s="25" t="s">
        <v>6836</v>
      </c>
      <c r="Y461" s="25"/>
      <c r="Z461" s="25"/>
      <c r="AA461" s="25"/>
      <c r="AB461" s="3" t="str">
        <f>IF(Caja_Finanzas[[#This Row],[fecha]]&gt;0,TEXT(Caja_Finanzas[[#This Row],[fecha]],"mmmm"),0)</f>
        <v>Mayo</v>
      </c>
    </row>
    <row r="462" spans="1:28" ht="24" x14ac:dyDescent="0.3">
      <c r="A462" s="2">
        <f>IF(Caja_Finanzas[[#This Row],[tipo_r]]="R",COUNTIFS($C$1:$C461,"R")+1,A461)</f>
        <v>427</v>
      </c>
      <c r="B462" s="19" t="str">
        <f t="shared" si="39"/>
        <v>C-Finanzas</v>
      </c>
      <c r="C462" s="3" t="s">
        <v>1352</v>
      </c>
      <c r="D462" s="14">
        <v>45796</v>
      </c>
      <c r="E462" s="5" t="s">
        <v>4104</v>
      </c>
      <c r="F462" s="5"/>
      <c r="G462" s="5"/>
      <c r="H462" s="6" t="s">
        <v>425</v>
      </c>
      <c r="I462" s="6" t="s">
        <v>119</v>
      </c>
      <c r="J462" s="6">
        <v>1</v>
      </c>
      <c r="K462" s="6">
        <v>4349</v>
      </c>
      <c r="L462" s="7" t="s">
        <v>6118</v>
      </c>
      <c r="M462" s="8" t="str">
        <f>"CFI"&amp;".D"&amp;TEXT(Caja_Finanzas[[#This Row],[fecha]],"DD-MM")&amp;"-"&amp;TEXT(Caja_Finanzas[[#This Row],[item]],"0000")</f>
        <v>CFI.D19-05-0427</v>
      </c>
      <c r="N462" s="8" t="str">
        <f t="shared" si="40"/>
        <v>PEN</v>
      </c>
      <c r="O462" s="13">
        <v>850.8</v>
      </c>
      <c r="P462" s="13"/>
      <c r="Q462" s="3">
        <f t="shared" si="36"/>
        <v>0</v>
      </c>
      <c r="R462" s="3">
        <f t="shared" si="37"/>
        <v>0</v>
      </c>
      <c r="S462" s="3">
        <f t="shared" si="38"/>
        <v>6676.399999999996</v>
      </c>
      <c r="T462" s="24"/>
      <c r="U462" s="24"/>
      <c r="V462" s="3"/>
      <c r="W462" s="25"/>
      <c r="X462" s="25" t="s">
        <v>7104</v>
      </c>
      <c r="Y462" s="25"/>
      <c r="Z462" s="25"/>
      <c r="AA462" s="25"/>
      <c r="AB462" s="3" t="str">
        <f>IF(Caja_Finanzas[[#This Row],[fecha]]&gt;0,TEXT(Caja_Finanzas[[#This Row],[fecha]],"mmmm"),0)</f>
        <v>Mayo</v>
      </c>
    </row>
    <row r="463" spans="1:28" ht="48" x14ac:dyDescent="0.3">
      <c r="A463" s="2">
        <f>IF(Caja_Finanzas[[#This Row],[tipo_r]]="R",COUNTIFS($C$1:$C462,"R")+1,A462)</f>
        <v>428</v>
      </c>
      <c r="B463" s="19" t="str">
        <f t="shared" si="39"/>
        <v>C-Finanzas</v>
      </c>
      <c r="C463" s="3" t="s">
        <v>1330</v>
      </c>
      <c r="D463" s="14">
        <v>45797</v>
      </c>
      <c r="E463" s="5" t="s">
        <v>6529</v>
      </c>
      <c r="F463" s="5" t="s">
        <v>1303</v>
      </c>
      <c r="G463" s="5"/>
      <c r="H463" s="6"/>
      <c r="I463" s="6"/>
      <c r="J463" s="6"/>
      <c r="K463" s="6"/>
      <c r="L463" s="7" t="s">
        <v>7105</v>
      </c>
      <c r="M463" s="8" t="str">
        <f>"CFI"&amp;".D"&amp;TEXT(Caja_Finanzas[[#This Row],[fecha]],"DD-MM")&amp;"-"&amp;TEXT(Caja_Finanzas[[#This Row],[item]],"0000")</f>
        <v>CFI.D20-05-0428</v>
      </c>
      <c r="N463" s="8" t="str">
        <f t="shared" si="40"/>
        <v>PEN</v>
      </c>
      <c r="O463" s="13"/>
      <c r="P463" s="13">
        <v>100</v>
      </c>
      <c r="Q463" s="3">
        <f t="shared" si="36"/>
        <v>100</v>
      </c>
      <c r="R463" s="3">
        <f t="shared" si="37"/>
        <v>0</v>
      </c>
      <c r="S463" s="3">
        <f t="shared" si="38"/>
        <v>6776.399999999996</v>
      </c>
      <c r="T463" s="24"/>
      <c r="U463" s="24"/>
      <c r="V463" s="3"/>
      <c r="W463" s="25" t="s">
        <v>425</v>
      </c>
      <c r="X463" s="25"/>
      <c r="Y463" s="25"/>
      <c r="Z463" s="25"/>
      <c r="AA463" s="25"/>
      <c r="AB463" s="3" t="str">
        <f>IF(Caja_Finanzas[[#This Row],[fecha]]&gt;0,TEXT(Caja_Finanzas[[#This Row],[fecha]],"mmmm"),0)</f>
        <v>Mayo</v>
      </c>
    </row>
    <row r="464" spans="1:28" ht="24" x14ac:dyDescent="0.3">
      <c r="A464" s="2">
        <f>IF(Caja_Finanzas[[#This Row],[tipo_r]]="R",COUNTIFS($C$1:$C463,"R")+1,A463)</f>
        <v>429</v>
      </c>
      <c r="B464" s="19" t="str">
        <f t="shared" si="39"/>
        <v>C-Finanzas</v>
      </c>
      <c r="C464" s="3" t="s">
        <v>1330</v>
      </c>
      <c r="D464" s="14">
        <v>45797</v>
      </c>
      <c r="E464" s="5" t="s">
        <v>6418</v>
      </c>
      <c r="F464" s="5" t="s">
        <v>1303</v>
      </c>
      <c r="G464" s="5"/>
      <c r="H464" s="6"/>
      <c r="I464" s="6"/>
      <c r="J464" s="6"/>
      <c r="K464" s="6"/>
      <c r="L464" s="7" t="s">
        <v>7106</v>
      </c>
      <c r="M464" s="8" t="str">
        <f>"CFI"&amp;".D"&amp;TEXT(Caja_Finanzas[[#This Row],[fecha]],"DD-MM")&amp;"-"&amp;TEXT(Caja_Finanzas[[#This Row],[item]],"0000")</f>
        <v>CFI.D20-05-0429</v>
      </c>
      <c r="N464" s="8" t="str">
        <f t="shared" si="40"/>
        <v>PEN</v>
      </c>
      <c r="O464" s="13"/>
      <c r="P464" s="13">
        <v>36511</v>
      </c>
      <c r="Q464" s="3">
        <f t="shared" si="36"/>
        <v>36511</v>
      </c>
      <c r="R464" s="3">
        <f t="shared" si="37"/>
        <v>0</v>
      </c>
      <c r="S464" s="3">
        <f t="shared" si="38"/>
        <v>43287.399999999994</v>
      </c>
      <c r="T464" s="24"/>
      <c r="U464" s="24"/>
      <c r="V464" s="3"/>
      <c r="W464" s="25"/>
      <c r="X464" s="25"/>
      <c r="Y464" s="25"/>
      <c r="Z464" s="25"/>
      <c r="AA464" s="25"/>
      <c r="AB464" s="3" t="str">
        <f>IF(Caja_Finanzas[[#This Row],[fecha]]&gt;0,TEXT(Caja_Finanzas[[#This Row],[fecha]],"mmmm"),0)</f>
        <v>Mayo</v>
      </c>
    </row>
    <row r="465" spans="1:28" ht="24" x14ac:dyDescent="0.3">
      <c r="A465" s="2">
        <f>IF(Caja_Finanzas[[#This Row],[tipo_r]]="R",COUNTIFS($C$1:$C464,"R")+1,A464)</f>
        <v>430</v>
      </c>
      <c r="B465" s="19" t="str">
        <f t="shared" si="39"/>
        <v>C-Finanzas</v>
      </c>
      <c r="C465" s="3" t="s">
        <v>1330</v>
      </c>
      <c r="D465" s="14">
        <v>45797</v>
      </c>
      <c r="E465" s="5" t="s">
        <v>6418</v>
      </c>
      <c r="F465" s="5" t="s">
        <v>1336</v>
      </c>
      <c r="G465" s="5"/>
      <c r="H465" s="6" t="s">
        <v>809</v>
      </c>
      <c r="I465" s="6"/>
      <c r="J465" s="6"/>
      <c r="K465" s="6"/>
      <c r="L465" s="7" t="s">
        <v>6419</v>
      </c>
      <c r="M465" s="8" t="str">
        <f>"CFI"&amp;".D"&amp;TEXT(Caja_Finanzas[[#This Row],[fecha]],"DD-MM")&amp;"-"&amp;TEXT(Caja_Finanzas[[#This Row],[item]],"0000")</f>
        <v>CFI.D20-05-0430</v>
      </c>
      <c r="N465" s="8" t="str">
        <f t="shared" si="40"/>
        <v>PEN</v>
      </c>
      <c r="O465" s="13"/>
      <c r="P465" s="13">
        <v>36511</v>
      </c>
      <c r="Q465" s="3">
        <f t="shared" si="36"/>
        <v>0</v>
      </c>
      <c r="R465" s="3">
        <f t="shared" si="37"/>
        <v>36511</v>
      </c>
      <c r="S465" s="3">
        <f t="shared" si="38"/>
        <v>6776.3999999999942</v>
      </c>
      <c r="T465" s="24"/>
      <c r="U465" s="24"/>
      <c r="V465" s="3"/>
      <c r="W465" s="25"/>
      <c r="X465" s="25"/>
      <c r="Y465" s="25"/>
      <c r="Z465" s="25"/>
      <c r="AA465" s="25"/>
      <c r="AB465" s="3" t="str">
        <f>IF(Caja_Finanzas[[#This Row],[fecha]]&gt;0,TEXT(Caja_Finanzas[[#This Row],[fecha]],"mmmm"),0)</f>
        <v>Mayo</v>
      </c>
    </row>
    <row r="466" spans="1:28" ht="36" x14ac:dyDescent="0.3">
      <c r="A466" s="2">
        <f>IF(Caja_Finanzas[[#This Row],[tipo_r]]="R",COUNTIFS($C$1:$C465,"R")+1,A465)</f>
        <v>431</v>
      </c>
      <c r="B466" s="19" t="str">
        <f t="shared" si="39"/>
        <v>C-Finanzas</v>
      </c>
      <c r="C466" s="3" t="s">
        <v>1330</v>
      </c>
      <c r="D466" s="14">
        <v>45798</v>
      </c>
      <c r="E466" s="5" t="s">
        <v>6460</v>
      </c>
      <c r="F466" s="5" t="s">
        <v>1336</v>
      </c>
      <c r="G466" s="5"/>
      <c r="H466" s="6"/>
      <c r="I466" s="6"/>
      <c r="J466" s="6"/>
      <c r="K466" s="6"/>
      <c r="L466" s="7" t="s">
        <v>7107</v>
      </c>
      <c r="M466" s="8" t="str">
        <f>"CFI"&amp;".D"&amp;TEXT(Caja_Finanzas[[#This Row],[fecha]],"DD-MM")&amp;"-"&amp;TEXT(Caja_Finanzas[[#This Row],[item]],"0000")</f>
        <v>CFI.D21-05-0431</v>
      </c>
      <c r="N466" s="8" t="str">
        <f t="shared" si="40"/>
        <v>PEN</v>
      </c>
      <c r="O466" s="13"/>
      <c r="P466" s="13">
        <v>185</v>
      </c>
      <c r="Q466" s="3">
        <f t="shared" si="36"/>
        <v>0</v>
      </c>
      <c r="R466" s="3">
        <f t="shared" si="37"/>
        <v>185</v>
      </c>
      <c r="S466" s="3">
        <f t="shared" si="38"/>
        <v>6591.3999999999942</v>
      </c>
      <c r="T466" s="24"/>
      <c r="U466" s="24"/>
      <c r="V466" s="3"/>
      <c r="W466" s="25" t="s">
        <v>6709</v>
      </c>
      <c r="X466" s="25" t="s">
        <v>7108</v>
      </c>
      <c r="Y466" s="25"/>
      <c r="Z466" s="25"/>
      <c r="AA466" s="25"/>
      <c r="AB466" s="3" t="str">
        <f>IF(Caja_Finanzas[[#This Row],[fecha]]&gt;0,TEXT(Caja_Finanzas[[#This Row],[fecha]],"mmmm"),0)</f>
        <v>Mayo</v>
      </c>
    </row>
    <row r="467" spans="1:28" ht="24" x14ac:dyDescent="0.3">
      <c r="A467" s="2">
        <f>IF(Caja_Finanzas[[#This Row],[tipo_r]]="R",COUNTIFS($C$1:$C466,"R")+1,A466)</f>
        <v>432</v>
      </c>
      <c r="B467" s="19" t="str">
        <f t="shared" si="39"/>
        <v>C-Finanzas</v>
      </c>
      <c r="C467" s="3" t="s">
        <v>1330</v>
      </c>
      <c r="D467" s="14">
        <v>45798</v>
      </c>
      <c r="E467" s="5" t="s">
        <v>6460</v>
      </c>
      <c r="F467" s="5" t="s">
        <v>1336</v>
      </c>
      <c r="G467" s="5"/>
      <c r="H467" s="6"/>
      <c r="I467" s="6"/>
      <c r="J467" s="6"/>
      <c r="K467" s="6"/>
      <c r="L467" s="7" t="s">
        <v>7109</v>
      </c>
      <c r="M467" s="8" t="str">
        <f>"CFI"&amp;".D"&amp;TEXT(Caja_Finanzas[[#This Row],[fecha]],"DD-MM")&amp;"-"&amp;TEXT(Caja_Finanzas[[#This Row],[item]],"0000")</f>
        <v>CFI.D21-05-0432</v>
      </c>
      <c r="N467" s="8" t="str">
        <f t="shared" si="40"/>
        <v>PEN</v>
      </c>
      <c r="O467" s="13"/>
      <c r="P467" s="13">
        <v>40</v>
      </c>
      <c r="Q467" s="3">
        <f t="shared" si="36"/>
        <v>0</v>
      </c>
      <c r="R467" s="3">
        <f t="shared" si="37"/>
        <v>40</v>
      </c>
      <c r="S467" s="3">
        <f t="shared" si="38"/>
        <v>6551.3999999999942</v>
      </c>
      <c r="T467" s="24"/>
      <c r="U467" s="24"/>
      <c r="V467" s="3"/>
      <c r="W467" s="25" t="s">
        <v>6709</v>
      </c>
      <c r="X467" s="25" t="s">
        <v>7110</v>
      </c>
      <c r="Y467" s="25"/>
      <c r="Z467" s="25"/>
      <c r="AA467" s="25"/>
      <c r="AB467" s="3" t="str">
        <f>IF(Caja_Finanzas[[#This Row],[fecha]]&gt;0,TEXT(Caja_Finanzas[[#This Row],[fecha]],"mmmm"),0)</f>
        <v>Mayo</v>
      </c>
    </row>
    <row r="468" spans="1:28" ht="24" x14ac:dyDescent="0.3">
      <c r="A468" s="2">
        <f>IF(Caja_Finanzas[[#This Row],[tipo_r]]="R",COUNTIFS($C$1:$C467,"R")+1,A467)</f>
        <v>433</v>
      </c>
      <c r="B468" s="19" t="str">
        <f t="shared" si="39"/>
        <v>C-Finanzas</v>
      </c>
      <c r="C468" s="3" t="s">
        <v>1330</v>
      </c>
      <c r="D468" s="14">
        <v>45798</v>
      </c>
      <c r="E468" s="5" t="s">
        <v>2502</v>
      </c>
      <c r="F468" s="5" t="s">
        <v>1303</v>
      </c>
      <c r="G468" s="5"/>
      <c r="H468" s="6" t="s">
        <v>425</v>
      </c>
      <c r="I468" s="6" t="s">
        <v>119</v>
      </c>
      <c r="J468" s="6">
        <v>1</v>
      </c>
      <c r="K468" s="6">
        <v>4421</v>
      </c>
      <c r="L468" s="7" t="s">
        <v>6118</v>
      </c>
      <c r="M468" s="8" t="str">
        <f>"CFI"&amp;".D"&amp;TEXT(Caja_Finanzas[[#This Row],[fecha]],"DD-MM")&amp;"-"&amp;TEXT(Caja_Finanzas[[#This Row],[item]],"0000")</f>
        <v>CFI.D21-05-0433</v>
      </c>
      <c r="N468" s="8" t="str">
        <f t="shared" si="40"/>
        <v>PEN</v>
      </c>
      <c r="O468" s="13"/>
      <c r="P468" s="13">
        <v>900</v>
      </c>
      <c r="Q468" s="3">
        <f t="shared" si="36"/>
        <v>900</v>
      </c>
      <c r="R468" s="3">
        <f t="shared" si="37"/>
        <v>0</v>
      </c>
      <c r="S468" s="3">
        <f t="shared" si="38"/>
        <v>7451.3999999999942</v>
      </c>
      <c r="T468" s="24"/>
      <c r="U468" s="24"/>
      <c r="V468" s="3"/>
      <c r="W468" s="25"/>
      <c r="X468" s="25" t="s">
        <v>3093</v>
      </c>
      <c r="Y468" s="25"/>
      <c r="Z468" s="25"/>
      <c r="AA468" s="25"/>
      <c r="AB468" s="3" t="str">
        <f>IF(Caja_Finanzas[[#This Row],[fecha]]&gt;0,TEXT(Caja_Finanzas[[#This Row],[fecha]],"mmmm"),0)</f>
        <v>Mayo</v>
      </c>
    </row>
    <row r="469" spans="1:28" ht="24" x14ac:dyDescent="0.3">
      <c r="A469" s="2">
        <f>IF(Caja_Finanzas[[#This Row],[tipo_r]]="R",COUNTIFS($C$1:$C468,"R")+1,A468)</f>
        <v>434</v>
      </c>
      <c r="B469" s="19" t="str">
        <f t="shared" si="39"/>
        <v>C-Finanzas</v>
      </c>
      <c r="C469" s="3" t="s">
        <v>1330</v>
      </c>
      <c r="D469" s="14">
        <v>45798</v>
      </c>
      <c r="E469" s="5" t="s">
        <v>6602</v>
      </c>
      <c r="F469" s="5" t="s">
        <v>1303</v>
      </c>
      <c r="G469" s="5"/>
      <c r="H469" s="6" t="s">
        <v>425</v>
      </c>
      <c r="I469" s="6" t="s">
        <v>119</v>
      </c>
      <c r="J469" s="6">
        <v>1</v>
      </c>
      <c r="K469" s="6">
        <v>4423</v>
      </c>
      <c r="L469" s="7" t="s">
        <v>6118</v>
      </c>
      <c r="M469" s="8" t="str">
        <f>"CFI"&amp;".D"&amp;TEXT(Caja_Finanzas[[#This Row],[fecha]],"DD-MM")&amp;"-"&amp;TEXT(Caja_Finanzas[[#This Row],[item]],"0000")</f>
        <v>CFI.D21-05-0434</v>
      </c>
      <c r="N469" s="8" t="str">
        <f t="shared" si="40"/>
        <v>PEN</v>
      </c>
      <c r="O469" s="13"/>
      <c r="P469" s="13">
        <v>2100</v>
      </c>
      <c r="Q469" s="3">
        <f t="shared" si="36"/>
        <v>2100</v>
      </c>
      <c r="R469" s="3">
        <f t="shared" si="37"/>
        <v>0</v>
      </c>
      <c r="S469" s="3">
        <f t="shared" si="38"/>
        <v>9551.3999999999942</v>
      </c>
      <c r="T469" s="24"/>
      <c r="U469" s="24"/>
      <c r="V469" s="3"/>
      <c r="W469" s="25"/>
      <c r="X469" s="25" t="s">
        <v>7111</v>
      </c>
      <c r="Y469" s="25"/>
      <c r="Z469" s="25"/>
      <c r="AA469" s="25"/>
      <c r="AB469" s="3" t="str">
        <f>IF(Caja_Finanzas[[#This Row],[fecha]]&gt;0,TEXT(Caja_Finanzas[[#This Row],[fecha]],"mmmm"),0)</f>
        <v>Mayo</v>
      </c>
    </row>
    <row r="470" spans="1:28" ht="24" x14ac:dyDescent="0.3">
      <c r="A470" s="2">
        <f>IF(Caja_Finanzas[[#This Row],[tipo_r]]="R",COUNTIFS($C$1:$C469,"R")+1,A469)</f>
        <v>435</v>
      </c>
      <c r="B470" s="19" t="str">
        <f t="shared" si="39"/>
        <v>C-Finanzas</v>
      </c>
      <c r="C470" s="3" t="s">
        <v>1330</v>
      </c>
      <c r="D470" s="14">
        <v>45798</v>
      </c>
      <c r="E470" s="5" t="s">
        <v>7112</v>
      </c>
      <c r="F470" s="5" t="s">
        <v>1303</v>
      </c>
      <c r="G470" s="5"/>
      <c r="H470" s="6" t="s">
        <v>425</v>
      </c>
      <c r="I470" s="6" t="s">
        <v>119</v>
      </c>
      <c r="J470" s="6">
        <v>1</v>
      </c>
      <c r="K470" s="6">
        <v>4426</v>
      </c>
      <c r="L470" s="7" t="s">
        <v>6118</v>
      </c>
      <c r="M470" s="8" t="str">
        <f>"CFI"&amp;".D"&amp;TEXT(Caja_Finanzas[[#This Row],[fecha]],"DD-MM")&amp;"-"&amp;TEXT(Caja_Finanzas[[#This Row],[item]],"0000")</f>
        <v>CFI.D21-05-0435</v>
      </c>
      <c r="N470" s="8" t="str">
        <f t="shared" si="40"/>
        <v>PEN</v>
      </c>
      <c r="O470" s="13"/>
      <c r="P470" s="13">
        <v>36</v>
      </c>
      <c r="Q470" s="3">
        <f t="shared" si="36"/>
        <v>36</v>
      </c>
      <c r="R470" s="3">
        <f t="shared" si="37"/>
        <v>0</v>
      </c>
      <c r="S470" s="3">
        <f t="shared" si="38"/>
        <v>9587.3999999999942</v>
      </c>
      <c r="T470" s="24"/>
      <c r="U470" s="24"/>
      <c r="V470" s="3"/>
      <c r="W470" s="25"/>
      <c r="X470" s="25" t="s">
        <v>7113</v>
      </c>
      <c r="Y470" s="25"/>
      <c r="Z470" s="25"/>
      <c r="AA470" s="25"/>
      <c r="AB470" s="3" t="str">
        <f>IF(Caja_Finanzas[[#This Row],[fecha]]&gt;0,TEXT(Caja_Finanzas[[#This Row],[fecha]],"mmmm"),0)</f>
        <v>Mayo</v>
      </c>
    </row>
    <row r="471" spans="1:28" x14ac:dyDescent="0.3">
      <c r="A471" s="2">
        <f>IF(Caja_Finanzas[[#This Row],[tipo_r]]="R",COUNTIFS($C$1:$C470,"R")+1,A470)</f>
        <v>436</v>
      </c>
      <c r="B471" s="19" t="str">
        <f t="shared" si="39"/>
        <v>C-Finanzas</v>
      </c>
      <c r="C471" s="3" t="s">
        <v>1330</v>
      </c>
      <c r="D471" s="14">
        <v>45798</v>
      </c>
      <c r="E471" s="5" t="s">
        <v>2802</v>
      </c>
      <c r="F471" s="5" t="s">
        <v>1303</v>
      </c>
      <c r="G471" s="5"/>
      <c r="H471" s="6" t="s">
        <v>425</v>
      </c>
      <c r="I471" s="6" t="s">
        <v>119</v>
      </c>
      <c r="J471" s="6">
        <v>1</v>
      </c>
      <c r="K471" s="6">
        <v>4425</v>
      </c>
      <c r="L471" s="7" t="s">
        <v>6118</v>
      </c>
      <c r="M471" s="8" t="str">
        <f>"CFI"&amp;".D"&amp;TEXT(Caja_Finanzas[[#This Row],[fecha]],"DD-MM")&amp;"-"&amp;TEXT(Caja_Finanzas[[#This Row],[item]],"0000")</f>
        <v>CFI.D21-05-0436</v>
      </c>
      <c r="N471" s="8" t="str">
        <f t="shared" si="40"/>
        <v>PEN</v>
      </c>
      <c r="O471" s="13"/>
      <c r="P471" s="13">
        <v>13.7</v>
      </c>
      <c r="Q471" s="3">
        <f t="shared" si="36"/>
        <v>13.7</v>
      </c>
      <c r="R471" s="3">
        <f t="shared" si="37"/>
        <v>0</v>
      </c>
      <c r="S471" s="3">
        <f t="shared" si="38"/>
        <v>9601.0999999999949</v>
      </c>
      <c r="T471" s="24"/>
      <c r="U471" s="24"/>
      <c r="V471" s="3"/>
      <c r="W471" s="25"/>
      <c r="X471" s="25" t="s">
        <v>7114</v>
      </c>
      <c r="Y471" s="25"/>
      <c r="Z471" s="25"/>
      <c r="AA471" s="25"/>
      <c r="AB471" s="3" t="str">
        <f>IF(Caja_Finanzas[[#This Row],[fecha]]&gt;0,TEXT(Caja_Finanzas[[#This Row],[fecha]],"mmmm"),0)</f>
        <v>Mayo</v>
      </c>
    </row>
    <row r="472" spans="1:28" ht="24" x14ac:dyDescent="0.3">
      <c r="A472" s="2">
        <f>IF(Caja_Finanzas[[#This Row],[tipo_r]]="R",COUNTIFS($C$1:$C471,"R")+1,A471)</f>
        <v>437</v>
      </c>
      <c r="B472" s="19" t="str">
        <f t="shared" si="39"/>
        <v>C-Finanzas</v>
      </c>
      <c r="C472" s="3" t="s">
        <v>1330</v>
      </c>
      <c r="D472" s="14">
        <v>45798</v>
      </c>
      <c r="E472" s="5" t="s">
        <v>2374</v>
      </c>
      <c r="F472" s="5" t="s">
        <v>1303</v>
      </c>
      <c r="G472" s="5"/>
      <c r="H472" s="6" t="s">
        <v>425</v>
      </c>
      <c r="I472" s="6" t="s">
        <v>119</v>
      </c>
      <c r="J472" s="6">
        <v>1</v>
      </c>
      <c r="K472" s="6">
        <v>4427</v>
      </c>
      <c r="L472" s="7" t="s">
        <v>6118</v>
      </c>
      <c r="M472" s="8" t="str">
        <f>"CFI"&amp;".D"&amp;TEXT(Caja_Finanzas[[#This Row],[fecha]],"DD-MM")&amp;"-"&amp;TEXT(Caja_Finanzas[[#This Row],[item]],"0000")</f>
        <v>CFI.D21-05-0437</v>
      </c>
      <c r="N472" s="8" t="str">
        <f t="shared" si="40"/>
        <v>PEN</v>
      </c>
      <c r="O472" s="13"/>
      <c r="P472" s="13">
        <v>868</v>
      </c>
      <c r="Q472" s="3">
        <f t="shared" si="36"/>
        <v>868</v>
      </c>
      <c r="R472" s="3">
        <f t="shared" si="37"/>
        <v>0</v>
      </c>
      <c r="S472" s="3">
        <f t="shared" si="38"/>
        <v>10469.099999999995</v>
      </c>
      <c r="T472" s="24"/>
      <c r="U472" s="24"/>
      <c r="V472" s="3"/>
      <c r="W472" s="25"/>
      <c r="X472" s="25" t="s">
        <v>7115</v>
      </c>
      <c r="Y472" s="25"/>
      <c r="Z472" s="25"/>
      <c r="AA472" s="25"/>
      <c r="AB472" s="3" t="str">
        <f>IF(Caja_Finanzas[[#This Row],[fecha]]&gt;0,TEXT(Caja_Finanzas[[#This Row],[fecha]],"mmmm"),0)</f>
        <v>Mayo</v>
      </c>
    </row>
    <row r="473" spans="1:28" x14ac:dyDescent="0.3">
      <c r="A473" s="2">
        <f>IF(Caja_Finanzas[[#This Row],[tipo_r]]="R",COUNTIFS($C$1:$C472,"R")+1,A472)</f>
        <v>438</v>
      </c>
      <c r="B473" s="19" t="str">
        <f t="shared" si="39"/>
        <v>C-Finanzas</v>
      </c>
      <c r="C473" s="3" t="s">
        <v>1330</v>
      </c>
      <c r="D473" s="14">
        <v>45798</v>
      </c>
      <c r="E473" s="5"/>
      <c r="F473" s="5" t="s">
        <v>1303</v>
      </c>
      <c r="G473" s="5"/>
      <c r="H473" s="6"/>
      <c r="I473" s="6"/>
      <c r="J473" s="6"/>
      <c r="K473" s="6"/>
      <c r="L473" s="7" t="s">
        <v>7116</v>
      </c>
      <c r="M473" s="8" t="str">
        <f>"CFI"&amp;".D"&amp;TEXT(Caja_Finanzas[[#This Row],[fecha]],"DD-MM")&amp;"-"&amp;TEXT(Caja_Finanzas[[#This Row],[item]],"0000")</f>
        <v>CFI.D21-05-0438</v>
      </c>
      <c r="N473" s="8" t="str">
        <f t="shared" si="40"/>
        <v>PEN</v>
      </c>
      <c r="O473" s="13"/>
      <c r="P473" s="13">
        <v>60</v>
      </c>
      <c r="Q473" s="3">
        <f t="shared" si="36"/>
        <v>60</v>
      </c>
      <c r="R473" s="3">
        <f t="shared" si="37"/>
        <v>0</v>
      </c>
      <c r="S473" s="3">
        <f t="shared" si="38"/>
        <v>10529.099999999995</v>
      </c>
      <c r="T473" s="24"/>
      <c r="U473" s="24"/>
      <c r="V473" s="3"/>
      <c r="W473" s="25"/>
      <c r="X473" s="25"/>
      <c r="Y473" s="25"/>
      <c r="Z473" s="25"/>
      <c r="AA473" s="25"/>
      <c r="AB473" s="3" t="str">
        <f>IF(Caja_Finanzas[[#This Row],[fecha]]&gt;0,TEXT(Caja_Finanzas[[#This Row],[fecha]],"mmmm"),0)</f>
        <v>Mayo</v>
      </c>
    </row>
    <row r="474" spans="1:28" ht="24" x14ac:dyDescent="0.3">
      <c r="A474" s="2">
        <f>IF(Caja_Finanzas[[#This Row],[tipo_r]]="R",COUNTIFS($C$1:$C473,"R")+1,A473)</f>
        <v>438</v>
      </c>
      <c r="B474" s="19" t="str">
        <f t="shared" si="39"/>
        <v>C-Finanzas</v>
      </c>
      <c r="C474" s="3" t="s">
        <v>1352</v>
      </c>
      <c r="D474" s="14">
        <v>45784</v>
      </c>
      <c r="E474" s="5" t="s">
        <v>7075</v>
      </c>
      <c r="F474" s="5"/>
      <c r="G474" s="5"/>
      <c r="H474" s="6" t="s">
        <v>425</v>
      </c>
      <c r="I474" s="6" t="s">
        <v>119</v>
      </c>
      <c r="J474" s="6">
        <v>3</v>
      </c>
      <c r="K474" s="6">
        <v>586</v>
      </c>
      <c r="L474" s="7" t="s">
        <v>7054</v>
      </c>
      <c r="M474" s="8" t="str">
        <f>"CFI"&amp;".D"&amp;TEXT(Caja_Finanzas[[#This Row],[fecha]],"DD-MM")&amp;"-"&amp;TEXT(Caja_Finanzas[[#This Row],[item]],"0000")</f>
        <v>CFI.D07-05-0438</v>
      </c>
      <c r="N474" s="8" t="str">
        <f t="shared" si="40"/>
        <v>PEN</v>
      </c>
      <c r="O474" s="13">
        <v>5.5</v>
      </c>
      <c r="P474" s="13"/>
      <c r="Q474" s="3">
        <f t="shared" si="36"/>
        <v>0</v>
      </c>
      <c r="R474" s="3">
        <f t="shared" si="37"/>
        <v>0</v>
      </c>
      <c r="S474" s="3">
        <f t="shared" si="38"/>
        <v>10529.099999999995</v>
      </c>
      <c r="T474" s="24"/>
      <c r="U474" s="24"/>
      <c r="V474" s="3"/>
      <c r="W474" s="25"/>
      <c r="X474" s="25" t="s">
        <v>7080</v>
      </c>
      <c r="Y474" s="25"/>
      <c r="Z474" s="25"/>
      <c r="AA474" s="25"/>
      <c r="AB474" s="3" t="str">
        <f>IF(Caja_Finanzas[[#This Row],[fecha]]&gt;0,TEXT(Caja_Finanzas[[#This Row],[fecha]],"mmmm"),0)</f>
        <v>Mayo</v>
      </c>
    </row>
    <row r="475" spans="1:28" ht="24" x14ac:dyDescent="0.3">
      <c r="A475" s="2">
        <f>IF(Caja_Finanzas[[#This Row],[tipo_r]]="R",COUNTIFS($C$1:$C474,"R")+1,A474)</f>
        <v>438</v>
      </c>
      <c r="B475" s="19" t="str">
        <f t="shared" si="39"/>
        <v>C-Finanzas</v>
      </c>
      <c r="C475" s="3" t="s">
        <v>1352</v>
      </c>
      <c r="D475" s="14">
        <v>45784</v>
      </c>
      <c r="E475" s="5" t="s">
        <v>6443</v>
      </c>
      <c r="F475" s="5"/>
      <c r="G475" s="5"/>
      <c r="H475" s="6" t="s">
        <v>425</v>
      </c>
      <c r="I475" s="6" t="s">
        <v>119</v>
      </c>
      <c r="J475" s="6">
        <v>3</v>
      </c>
      <c r="K475" s="6">
        <v>587</v>
      </c>
      <c r="L475" s="7" t="s">
        <v>7054</v>
      </c>
      <c r="M475" s="8" t="str">
        <f>"CFI"&amp;".D"&amp;TEXT(Caja_Finanzas[[#This Row],[fecha]],"DD-MM")&amp;"-"&amp;TEXT(Caja_Finanzas[[#This Row],[item]],"0000")</f>
        <v>CFI.D07-05-0438</v>
      </c>
      <c r="N475" s="8" t="str">
        <f t="shared" si="40"/>
        <v>PEN</v>
      </c>
      <c r="O475" s="13">
        <v>9.5</v>
      </c>
      <c r="P475" s="13"/>
      <c r="Q475" s="3">
        <f t="shared" si="36"/>
        <v>0</v>
      </c>
      <c r="R475" s="3">
        <f t="shared" si="37"/>
        <v>0</v>
      </c>
      <c r="S475" s="3">
        <f t="shared" si="38"/>
        <v>10529.099999999995</v>
      </c>
      <c r="T475" s="24"/>
      <c r="U475" s="24"/>
      <c r="V475" s="3"/>
      <c r="W475" s="25"/>
      <c r="X475" s="25" t="s">
        <v>7117</v>
      </c>
      <c r="Y475" s="25"/>
      <c r="Z475" s="25"/>
      <c r="AA475" s="25"/>
      <c r="AB475" s="3" t="str">
        <f>IF(Caja_Finanzas[[#This Row],[fecha]]&gt;0,TEXT(Caja_Finanzas[[#This Row],[fecha]],"mmmm"),0)</f>
        <v>Mayo</v>
      </c>
    </row>
    <row r="476" spans="1:28" ht="24" x14ac:dyDescent="0.3">
      <c r="A476" s="2">
        <f>IF(Caja_Finanzas[[#This Row],[tipo_r]]="R",COUNTIFS($C$1:$C475,"R")+1,A475)</f>
        <v>438</v>
      </c>
      <c r="B476" s="19" t="str">
        <f t="shared" si="39"/>
        <v>C-Finanzas</v>
      </c>
      <c r="C476" s="3" t="s">
        <v>1352</v>
      </c>
      <c r="D476" s="14">
        <v>45784</v>
      </c>
      <c r="E476" s="5" t="s">
        <v>6520</v>
      </c>
      <c r="F476" s="5"/>
      <c r="G476" s="5"/>
      <c r="H476" s="6" t="s">
        <v>425</v>
      </c>
      <c r="I476" s="6" t="s">
        <v>119</v>
      </c>
      <c r="J476" s="6">
        <v>3</v>
      </c>
      <c r="K476" s="6">
        <v>588</v>
      </c>
      <c r="L476" s="7" t="s">
        <v>7054</v>
      </c>
      <c r="M476" s="8" t="str">
        <f>"CFI"&amp;".D"&amp;TEXT(Caja_Finanzas[[#This Row],[fecha]],"DD-MM")&amp;"-"&amp;TEXT(Caja_Finanzas[[#This Row],[item]],"0000")</f>
        <v>CFI.D07-05-0438</v>
      </c>
      <c r="N476" s="8" t="str">
        <f t="shared" si="40"/>
        <v>PEN</v>
      </c>
      <c r="O476" s="13">
        <v>30</v>
      </c>
      <c r="P476" s="13"/>
      <c r="Q476" s="3">
        <f t="shared" si="36"/>
        <v>0</v>
      </c>
      <c r="R476" s="3">
        <f t="shared" si="37"/>
        <v>0</v>
      </c>
      <c r="S476" s="3">
        <f t="shared" si="38"/>
        <v>10529.099999999995</v>
      </c>
      <c r="T476" s="24"/>
      <c r="U476" s="24"/>
      <c r="V476" s="3"/>
      <c r="W476" s="25"/>
      <c r="X476" s="25" t="s">
        <v>7118</v>
      </c>
      <c r="Y476" s="25"/>
      <c r="Z476" s="25"/>
      <c r="AA476" s="25"/>
      <c r="AB476" s="3" t="str">
        <f>IF(Caja_Finanzas[[#This Row],[fecha]]&gt;0,TEXT(Caja_Finanzas[[#This Row],[fecha]],"mmmm"),0)</f>
        <v>Mayo</v>
      </c>
    </row>
    <row r="477" spans="1:28" ht="24" x14ac:dyDescent="0.3">
      <c r="A477" s="2">
        <f>IF(Caja_Finanzas[[#This Row],[tipo_r]]="R",COUNTIFS($C$1:$C476,"R")+1,A476)</f>
        <v>438</v>
      </c>
      <c r="B477" s="19" t="str">
        <f t="shared" si="39"/>
        <v>C-Finanzas</v>
      </c>
      <c r="C477" s="3" t="s">
        <v>1352</v>
      </c>
      <c r="D477" s="14">
        <v>45784</v>
      </c>
      <c r="E477" s="5" t="s">
        <v>7061</v>
      </c>
      <c r="F477" s="5"/>
      <c r="G477" s="5"/>
      <c r="H477" s="6" t="s">
        <v>425</v>
      </c>
      <c r="I477" s="6" t="s">
        <v>119</v>
      </c>
      <c r="J477" s="6">
        <v>3</v>
      </c>
      <c r="K477" s="6">
        <v>589</v>
      </c>
      <c r="L477" s="7" t="s">
        <v>7054</v>
      </c>
      <c r="M477" s="8" t="str">
        <f>"CFI"&amp;".D"&amp;TEXT(Caja_Finanzas[[#This Row],[fecha]],"DD-MM")&amp;"-"&amp;TEXT(Caja_Finanzas[[#This Row],[item]],"0000")</f>
        <v>CFI.D07-05-0438</v>
      </c>
      <c r="N477" s="8" t="str">
        <f t="shared" si="40"/>
        <v>PEN</v>
      </c>
      <c r="O477" s="13">
        <v>15</v>
      </c>
      <c r="P477" s="13"/>
      <c r="Q477" s="3">
        <f t="shared" si="36"/>
        <v>0</v>
      </c>
      <c r="R477" s="3">
        <f t="shared" si="37"/>
        <v>0</v>
      </c>
      <c r="S477" s="3">
        <f t="shared" si="38"/>
        <v>10529.099999999995</v>
      </c>
      <c r="T477" s="24"/>
      <c r="U477" s="24"/>
      <c r="V477" s="3"/>
      <c r="W477" s="25"/>
      <c r="X477" s="25" t="s">
        <v>7119</v>
      </c>
      <c r="Y477" s="25"/>
      <c r="Z477" s="25"/>
      <c r="AA477" s="25"/>
      <c r="AB477" s="3" t="str">
        <f>IF(Caja_Finanzas[[#This Row],[fecha]]&gt;0,TEXT(Caja_Finanzas[[#This Row],[fecha]],"mmmm"),0)</f>
        <v>Mayo</v>
      </c>
    </row>
    <row r="478" spans="1:28" ht="24" x14ac:dyDescent="0.3">
      <c r="A478" s="2">
        <f>IF(Caja_Finanzas[[#This Row],[tipo_r]]="R",COUNTIFS($C$1:$C477,"R")+1,A477)</f>
        <v>439</v>
      </c>
      <c r="B478" s="19" t="str">
        <f t="shared" si="39"/>
        <v>C-Finanzas</v>
      </c>
      <c r="C478" s="3" t="s">
        <v>1330</v>
      </c>
      <c r="D478" s="14">
        <v>45799</v>
      </c>
      <c r="E478" s="5" t="s">
        <v>6460</v>
      </c>
      <c r="F478" s="5" t="s">
        <v>1336</v>
      </c>
      <c r="G478" s="5"/>
      <c r="H478" s="6"/>
      <c r="I478" s="6"/>
      <c r="J478" s="6"/>
      <c r="K478" s="6"/>
      <c r="L478" s="7" t="s">
        <v>7120</v>
      </c>
      <c r="M478" s="8" t="str">
        <f>"CFI"&amp;".D"&amp;TEXT(Caja_Finanzas[[#This Row],[fecha]],"DD-MM")&amp;"-"&amp;TEXT(Caja_Finanzas[[#This Row],[item]],"0000")</f>
        <v>CFI.D22-05-0439</v>
      </c>
      <c r="N478" s="8" t="str">
        <f t="shared" si="40"/>
        <v>PEN</v>
      </c>
      <c r="O478" s="13"/>
      <c r="P478" s="13">
        <v>203.4</v>
      </c>
      <c r="Q478" s="3">
        <f t="shared" si="36"/>
        <v>0</v>
      </c>
      <c r="R478" s="3">
        <f t="shared" si="37"/>
        <v>203.4</v>
      </c>
      <c r="S478" s="3">
        <f t="shared" si="38"/>
        <v>10325.699999999995</v>
      </c>
      <c r="T478" s="24"/>
      <c r="U478" s="24"/>
      <c r="V478" s="3"/>
      <c r="W478" s="25" t="s">
        <v>7121</v>
      </c>
      <c r="X478" s="25" t="s">
        <v>7122</v>
      </c>
      <c r="Y478" s="25"/>
      <c r="Z478" s="25"/>
      <c r="AA478" s="25"/>
      <c r="AB478" s="3" t="str">
        <f>IF(Caja_Finanzas[[#This Row],[fecha]]&gt;0,TEXT(Caja_Finanzas[[#This Row],[fecha]],"mmmm"),0)</f>
        <v>Mayo</v>
      </c>
    </row>
    <row r="479" spans="1:28" ht="24" x14ac:dyDescent="0.3">
      <c r="A479" s="2">
        <f>IF(Caja_Finanzas[[#This Row],[tipo_r]]="R",COUNTIFS($C$1:$C478,"R")+1,A478)</f>
        <v>440</v>
      </c>
      <c r="B479" s="19" t="str">
        <f t="shared" si="39"/>
        <v>C-Finanzas</v>
      </c>
      <c r="C479" s="3" t="s">
        <v>1330</v>
      </c>
      <c r="D479" s="14">
        <v>45800</v>
      </c>
      <c r="E479" s="5" t="s">
        <v>6409</v>
      </c>
      <c r="F479" s="5" t="s">
        <v>1336</v>
      </c>
      <c r="G479" s="5"/>
      <c r="H479" s="6"/>
      <c r="I479" s="6"/>
      <c r="J479" s="6"/>
      <c r="K479" s="6"/>
      <c r="L479" s="7" t="s">
        <v>7123</v>
      </c>
      <c r="M479" s="8" t="str">
        <f>"CFI"&amp;".D"&amp;TEXT(Caja_Finanzas[[#This Row],[fecha]],"DD-MM")&amp;"-"&amp;TEXT(Caja_Finanzas[[#This Row],[item]],"0000")</f>
        <v>CFI.D23-05-0440</v>
      </c>
      <c r="N479" s="8" t="str">
        <f t="shared" si="40"/>
        <v>PEN</v>
      </c>
      <c r="O479" s="13"/>
      <c r="P479" s="13">
        <v>1200</v>
      </c>
      <c r="Q479" s="3">
        <f t="shared" si="36"/>
        <v>0</v>
      </c>
      <c r="R479" s="3">
        <f t="shared" si="37"/>
        <v>1200</v>
      </c>
      <c r="S479" s="3">
        <f t="shared" si="38"/>
        <v>9125.6999999999953</v>
      </c>
      <c r="T479" s="24"/>
      <c r="U479" s="24"/>
      <c r="V479" s="3"/>
      <c r="W479" s="25" t="s">
        <v>6709</v>
      </c>
      <c r="X479" s="25" t="s">
        <v>7124</v>
      </c>
      <c r="Y479" s="25"/>
      <c r="Z479" s="25"/>
      <c r="AA479" s="25"/>
      <c r="AB479" s="3" t="str">
        <f>IF(Caja_Finanzas[[#This Row],[fecha]]&gt;0,TEXT(Caja_Finanzas[[#This Row],[fecha]],"mmmm"),0)</f>
        <v>Mayo</v>
      </c>
    </row>
    <row r="480" spans="1:28" ht="24" x14ac:dyDescent="0.3">
      <c r="A480" s="2">
        <f>IF(Caja_Finanzas[[#This Row],[tipo_r]]="R",COUNTIFS($C$1:$C479,"R")+1,A479)</f>
        <v>441</v>
      </c>
      <c r="B480" s="19" t="str">
        <f t="shared" si="39"/>
        <v>C-Finanzas</v>
      </c>
      <c r="C480" s="3" t="s">
        <v>1330</v>
      </c>
      <c r="D480" s="14">
        <v>45800</v>
      </c>
      <c r="E480" s="5" t="s">
        <v>6460</v>
      </c>
      <c r="F480" s="5" t="s">
        <v>1336</v>
      </c>
      <c r="G480" s="5"/>
      <c r="H480" s="6"/>
      <c r="I480" s="6"/>
      <c r="J480" s="6"/>
      <c r="K480" s="6"/>
      <c r="L480" s="7" t="s">
        <v>7125</v>
      </c>
      <c r="M480" s="8" t="str">
        <f>"CFI"&amp;".D"&amp;TEXT(Caja_Finanzas[[#This Row],[fecha]],"DD-MM")&amp;"-"&amp;TEXT(Caja_Finanzas[[#This Row],[item]],"0000")</f>
        <v>CFI.D23-05-0441</v>
      </c>
      <c r="N480" s="8" t="str">
        <f t="shared" si="40"/>
        <v>PEN</v>
      </c>
      <c r="O480" s="13"/>
      <c r="P480" s="13">
        <v>3.9</v>
      </c>
      <c r="Q480" s="3">
        <f t="shared" si="36"/>
        <v>0</v>
      </c>
      <c r="R480" s="3">
        <f t="shared" si="37"/>
        <v>3.9</v>
      </c>
      <c r="S480" s="3">
        <f t="shared" si="38"/>
        <v>9121.7999999999956</v>
      </c>
      <c r="T480" s="24"/>
      <c r="U480" s="24"/>
      <c r="V480" s="3"/>
      <c r="W480" s="25" t="s">
        <v>7126</v>
      </c>
      <c r="X480" s="25" t="s">
        <v>7127</v>
      </c>
      <c r="Y480" s="25"/>
      <c r="Z480" s="25"/>
      <c r="AA480" s="25"/>
      <c r="AB480" s="3" t="str">
        <f>IF(Caja_Finanzas[[#This Row],[fecha]]&gt;0,TEXT(Caja_Finanzas[[#This Row],[fecha]],"mmmm"),0)</f>
        <v>Mayo</v>
      </c>
    </row>
    <row r="481" spans="1:28" ht="24" x14ac:dyDescent="0.3">
      <c r="A481" s="2">
        <f>IF(Caja_Finanzas[[#This Row],[tipo_r]]="R",COUNTIFS($C$1:$C480,"R")+1,A480)</f>
        <v>442</v>
      </c>
      <c r="B481" s="19" t="str">
        <f t="shared" si="39"/>
        <v>C-Finanzas</v>
      </c>
      <c r="C481" s="3" t="s">
        <v>1330</v>
      </c>
      <c r="D481" s="14">
        <v>45800</v>
      </c>
      <c r="E481" s="5" t="s">
        <v>6451</v>
      </c>
      <c r="F481" s="5" t="s">
        <v>1336</v>
      </c>
      <c r="G481" s="5"/>
      <c r="H481" s="6"/>
      <c r="I481" s="6"/>
      <c r="J481" s="6"/>
      <c r="K481" s="6"/>
      <c r="L481" s="7" t="s">
        <v>7128</v>
      </c>
      <c r="M481" s="8" t="str">
        <f>"CFI"&amp;".D"&amp;TEXT(Caja_Finanzas[[#This Row],[fecha]],"DD-MM")&amp;"-"&amp;TEXT(Caja_Finanzas[[#This Row],[item]],"0000")</f>
        <v>CFI.D23-05-0442</v>
      </c>
      <c r="N481" s="8" t="str">
        <f t="shared" si="40"/>
        <v>PEN</v>
      </c>
      <c r="O481" s="13"/>
      <c r="P481" s="13">
        <v>20</v>
      </c>
      <c r="Q481" s="3">
        <f t="shared" si="36"/>
        <v>0</v>
      </c>
      <c r="R481" s="3">
        <f t="shared" si="37"/>
        <v>20</v>
      </c>
      <c r="S481" s="3">
        <f t="shared" si="38"/>
        <v>9101.7999999999956</v>
      </c>
      <c r="T481" s="24"/>
      <c r="U481" s="24"/>
      <c r="V481" s="3"/>
      <c r="W481" s="25" t="s">
        <v>6709</v>
      </c>
      <c r="X481" s="25" t="s">
        <v>7129</v>
      </c>
      <c r="Y481" s="25"/>
      <c r="Z481" s="25"/>
      <c r="AA481" s="25"/>
      <c r="AB481" s="3" t="str">
        <f>IF(Caja_Finanzas[[#This Row],[fecha]]&gt;0,TEXT(Caja_Finanzas[[#This Row],[fecha]],"mmmm"),0)</f>
        <v>Mayo</v>
      </c>
    </row>
    <row r="482" spans="1:28" ht="24" x14ac:dyDescent="0.3">
      <c r="A482" s="2">
        <f>IF(Caja_Finanzas[[#This Row],[tipo_r]]="R",COUNTIFS($C$1:$C481,"R")+1,A481)</f>
        <v>443</v>
      </c>
      <c r="B482" s="19" t="str">
        <f t="shared" si="39"/>
        <v>C-Finanzas</v>
      </c>
      <c r="C482" s="3" t="s">
        <v>1330</v>
      </c>
      <c r="D482" s="14">
        <v>45800</v>
      </c>
      <c r="E482" s="5" t="s">
        <v>6731</v>
      </c>
      <c r="F482" s="5" t="s">
        <v>1336</v>
      </c>
      <c r="G482" s="5"/>
      <c r="H482" s="6"/>
      <c r="I482" s="6"/>
      <c r="J482" s="6"/>
      <c r="K482" s="6"/>
      <c r="L482" s="7" t="s">
        <v>7130</v>
      </c>
      <c r="M482" s="8" t="str">
        <f>"CFI"&amp;".D"&amp;TEXT(Caja_Finanzas[[#This Row],[fecha]],"DD-MM")&amp;"-"&amp;TEXT(Caja_Finanzas[[#This Row],[item]],"0000")</f>
        <v>CFI.D23-05-0443</v>
      </c>
      <c r="N482" s="8" t="str">
        <f t="shared" si="40"/>
        <v>PEN</v>
      </c>
      <c r="O482" s="13"/>
      <c r="P482" s="13">
        <v>70</v>
      </c>
      <c r="Q482" s="3">
        <f t="shared" si="36"/>
        <v>0</v>
      </c>
      <c r="R482" s="3">
        <f t="shared" si="37"/>
        <v>70</v>
      </c>
      <c r="S482" s="3">
        <f t="shared" si="38"/>
        <v>9031.7999999999956</v>
      </c>
      <c r="T482" s="24"/>
      <c r="U482" s="24"/>
      <c r="V482" s="3"/>
      <c r="W482" s="25" t="s">
        <v>6709</v>
      </c>
      <c r="X482" s="25" t="s">
        <v>7131</v>
      </c>
      <c r="Y482" s="25"/>
      <c r="Z482" s="25"/>
      <c r="AA482" s="25"/>
      <c r="AB482" s="3" t="str">
        <f>IF(Caja_Finanzas[[#This Row],[fecha]]&gt;0,TEXT(Caja_Finanzas[[#This Row],[fecha]],"mmmm"),0)</f>
        <v>Mayo</v>
      </c>
    </row>
    <row r="483" spans="1:28" ht="36" x14ac:dyDescent="0.3">
      <c r="A483" s="2">
        <f>IF(Caja_Finanzas[[#This Row],[tipo_r]]="R",COUNTIFS($C$1:$C482,"R")+1,A482)</f>
        <v>444</v>
      </c>
      <c r="B483" s="19" t="str">
        <f t="shared" si="39"/>
        <v>C-Finanzas</v>
      </c>
      <c r="C483" s="3" t="s">
        <v>1330</v>
      </c>
      <c r="D483" s="14">
        <v>45800</v>
      </c>
      <c r="E483" s="5" t="s">
        <v>6409</v>
      </c>
      <c r="F483" s="5" t="s">
        <v>1336</v>
      </c>
      <c r="G483" s="5"/>
      <c r="H483" s="6"/>
      <c r="I483" s="6"/>
      <c r="J483" s="6"/>
      <c r="K483" s="6"/>
      <c r="L483" s="7" t="s">
        <v>7132</v>
      </c>
      <c r="M483" s="8" t="str">
        <f>"CFI"&amp;".D"&amp;TEXT(Caja_Finanzas[[#This Row],[fecha]],"DD-MM")&amp;"-"&amp;TEXT(Caja_Finanzas[[#This Row],[item]],"0000")</f>
        <v>CFI.D23-05-0444</v>
      </c>
      <c r="N483" s="8" t="str">
        <f t="shared" si="40"/>
        <v>PEN</v>
      </c>
      <c r="O483" s="13"/>
      <c r="P483" s="13">
        <v>120</v>
      </c>
      <c r="Q483" s="3">
        <f t="shared" si="36"/>
        <v>0</v>
      </c>
      <c r="R483" s="3">
        <f t="shared" si="37"/>
        <v>120</v>
      </c>
      <c r="S483" s="3">
        <f t="shared" si="38"/>
        <v>8911.7999999999956</v>
      </c>
      <c r="T483" s="24"/>
      <c r="U483" s="24"/>
      <c r="V483" s="3"/>
      <c r="W483" s="25" t="s">
        <v>6709</v>
      </c>
      <c r="X483" s="25" t="s">
        <v>7124</v>
      </c>
      <c r="Y483" s="25"/>
      <c r="Z483" s="25"/>
      <c r="AA483" s="25"/>
      <c r="AB483" s="3" t="str">
        <f>IF(Caja_Finanzas[[#This Row],[fecha]]&gt;0,TEXT(Caja_Finanzas[[#This Row],[fecha]],"mmmm"),0)</f>
        <v>Mayo</v>
      </c>
    </row>
    <row r="484" spans="1:28" ht="36" x14ac:dyDescent="0.3">
      <c r="A484" s="2">
        <f>IF(Caja_Finanzas[[#This Row],[tipo_r]]="R",COUNTIFS($C$1:$C483,"R")+1,A483)</f>
        <v>445</v>
      </c>
      <c r="B484" s="19" t="str">
        <f t="shared" si="39"/>
        <v>C-Finanzas</v>
      </c>
      <c r="C484" s="3" t="s">
        <v>1330</v>
      </c>
      <c r="D484" s="14">
        <v>45803</v>
      </c>
      <c r="E484" s="5" t="s">
        <v>6415</v>
      </c>
      <c r="F484" s="5" t="s">
        <v>1336</v>
      </c>
      <c r="G484" s="5"/>
      <c r="H484" s="6"/>
      <c r="I484" s="6"/>
      <c r="J484" s="6"/>
      <c r="K484" s="6"/>
      <c r="L484" s="7" t="s">
        <v>7133</v>
      </c>
      <c r="M484" s="8" t="str">
        <f>"CFI"&amp;".D"&amp;TEXT(Caja_Finanzas[[#This Row],[fecha]],"DD-MM")&amp;"-"&amp;TEXT(Caja_Finanzas[[#This Row],[item]],"0000")</f>
        <v>CFI.D26-05-0445</v>
      </c>
      <c r="N484" s="8" t="str">
        <f t="shared" si="40"/>
        <v>PEN</v>
      </c>
      <c r="O484" s="13"/>
      <c r="P484" s="13">
        <v>48</v>
      </c>
      <c r="Q484" s="3">
        <f t="shared" si="36"/>
        <v>0</v>
      </c>
      <c r="R484" s="3">
        <f t="shared" si="37"/>
        <v>48</v>
      </c>
      <c r="S484" s="3">
        <f t="shared" si="38"/>
        <v>8863.7999999999956</v>
      </c>
      <c r="T484" s="24"/>
      <c r="U484" s="24"/>
      <c r="V484" s="3"/>
      <c r="W484" s="25" t="s">
        <v>6709</v>
      </c>
      <c r="X484" s="25" t="s">
        <v>7134</v>
      </c>
      <c r="Y484" s="25"/>
      <c r="Z484" s="25"/>
      <c r="AA484" s="25"/>
      <c r="AB484" s="3" t="str">
        <f>IF(Caja_Finanzas[[#This Row],[fecha]]&gt;0,TEXT(Caja_Finanzas[[#This Row],[fecha]],"mmmm"),0)</f>
        <v>Mayo</v>
      </c>
    </row>
    <row r="485" spans="1:28" ht="24" x14ac:dyDescent="0.3">
      <c r="A485" s="2">
        <f>IF(Caja_Finanzas[[#This Row],[tipo_r]]="R",COUNTIFS($C$1:$C484,"R")+1,A484)</f>
        <v>446</v>
      </c>
      <c r="B485" s="19" t="str">
        <f t="shared" si="39"/>
        <v>C-Finanzas</v>
      </c>
      <c r="C485" s="3" t="s">
        <v>1330</v>
      </c>
      <c r="D485" s="14">
        <v>45803</v>
      </c>
      <c r="E485" s="5" t="s">
        <v>6940</v>
      </c>
      <c r="F485" s="5" t="s">
        <v>1336</v>
      </c>
      <c r="G485" s="5"/>
      <c r="H485" s="6"/>
      <c r="I485" s="6"/>
      <c r="J485" s="6"/>
      <c r="K485" s="6"/>
      <c r="L485" s="7" t="s">
        <v>7135</v>
      </c>
      <c r="M485" s="8" t="str">
        <f>"CFI"&amp;".D"&amp;TEXT(Caja_Finanzas[[#This Row],[fecha]],"DD-MM")&amp;"-"&amp;TEXT(Caja_Finanzas[[#This Row],[item]],"0000")</f>
        <v>CFI.D26-05-0446</v>
      </c>
      <c r="N485" s="8" t="str">
        <f t="shared" si="40"/>
        <v>PEN</v>
      </c>
      <c r="O485" s="13"/>
      <c r="P485" s="13">
        <v>222</v>
      </c>
      <c r="Q485" s="3">
        <f t="shared" si="36"/>
        <v>0</v>
      </c>
      <c r="R485" s="3">
        <f t="shared" si="37"/>
        <v>222</v>
      </c>
      <c r="S485" s="3">
        <f t="shared" si="38"/>
        <v>8641.7999999999956</v>
      </c>
      <c r="T485" s="24"/>
      <c r="U485" s="24"/>
      <c r="V485" s="3"/>
      <c r="W485" s="25" t="s">
        <v>6709</v>
      </c>
      <c r="X485" s="25" t="s">
        <v>7136</v>
      </c>
      <c r="Y485" s="25"/>
      <c r="Z485" s="25"/>
      <c r="AA485" s="25"/>
      <c r="AB485" s="3" t="str">
        <f>IF(Caja_Finanzas[[#This Row],[fecha]]&gt;0,TEXT(Caja_Finanzas[[#This Row],[fecha]],"mmmm"),0)</f>
        <v>Mayo</v>
      </c>
    </row>
    <row r="486" spans="1:28" x14ac:dyDescent="0.3">
      <c r="A486" s="2">
        <f>IF(Caja_Finanzas[[#This Row],[tipo_r]]="R",COUNTIFS($C$1:$C485,"R")+1,A485)</f>
        <v>447</v>
      </c>
      <c r="B486" s="19" t="str">
        <f t="shared" si="39"/>
        <v>C-Finanzas</v>
      </c>
      <c r="C486" s="3" t="s">
        <v>1330</v>
      </c>
      <c r="D486" s="14">
        <v>45804</v>
      </c>
      <c r="E486" s="5" t="s">
        <v>1498</v>
      </c>
      <c r="F486" s="5" t="s">
        <v>1303</v>
      </c>
      <c r="G486" s="5"/>
      <c r="H486" s="6" t="s">
        <v>425</v>
      </c>
      <c r="I486" s="6" t="s">
        <v>119</v>
      </c>
      <c r="J486" s="6">
        <v>1</v>
      </c>
      <c r="K486" s="6">
        <v>4439</v>
      </c>
      <c r="L486" s="7" t="s">
        <v>6118</v>
      </c>
      <c r="M486" s="8" t="str">
        <f>"CFI"&amp;".D"&amp;TEXT(Caja_Finanzas[[#This Row],[fecha]],"DD-MM")&amp;"-"&amp;TEXT(Caja_Finanzas[[#This Row],[item]],"0000")</f>
        <v>CFI.D27-05-0447</v>
      </c>
      <c r="N486" s="8" t="str">
        <f t="shared" si="40"/>
        <v>PEN</v>
      </c>
      <c r="O486" s="13"/>
      <c r="P486" s="13">
        <v>400</v>
      </c>
      <c r="Q486" s="3">
        <f t="shared" si="36"/>
        <v>400</v>
      </c>
      <c r="R486" s="3">
        <f t="shared" si="37"/>
        <v>0</v>
      </c>
      <c r="S486" s="3">
        <f t="shared" si="38"/>
        <v>9041.7999999999956</v>
      </c>
      <c r="T486" s="24"/>
      <c r="U486" s="24"/>
      <c r="V486" s="3"/>
      <c r="W486" s="25"/>
      <c r="X486" s="25" t="s">
        <v>7137</v>
      </c>
      <c r="Y486" s="25"/>
      <c r="Z486" s="25"/>
      <c r="AA486" s="25"/>
      <c r="AB486" s="3" t="str">
        <f>IF(Caja_Finanzas[[#This Row],[fecha]]&gt;0,TEXT(Caja_Finanzas[[#This Row],[fecha]],"mmmm"),0)</f>
        <v>Mayo</v>
      </c>
    </row>
    <row r="487" spans="1:28" ht="24" x14ac:dyDescent="0.3">
      <c r="A487" s="2">
        <f>IF(Caja_Finanzas[[#This Row],[tipo_r]]="R",COUNTIFS($C$1:$C486,"R")+1,A486)</f>
        <v>448</v>
      </c>
      <c r="B487" s="19" t="str">
        <f t="shared" si="39"/>
        <v>C-Finanzas</v>
      </c>
      <c r="C487" s="3" t="s">
        <v>1330</v>
      </c>
      <c r="D487" s="14">
        <v>45804</v>
      </c>
      <c r="E487" s="5" t="s">
        <v>1696</v>
      </c>
      <c r="F487" s="5" t="s">
        <v>1303</v>
      </c>
      <c r="G487" s="5"/>
      <c r="H487" s="6" t="s">
        <v>425</v>
      </c>
      <c r="I487" s="6" t="s">
        <v>119</v>
      </c>
      <c r="J487" s="6">
        <v>1</v>
      </c>
      <c r="K487" s="6">
        <v>4430</v>
      </c>
      <c r="L487" s="7" t="s">
        <v>6118</v>
      </c>
      <c r="M487" s="8" t="str">
        <f>"CFI"&amp;".D"&amp;TEXT(Caja_Finanzas[[#This Row],[fecha]],"DD-MM")&amp;"-"&amp;TEXT(Caja_Finanzas[[#This Row],[item]],"0000")</f>
        <v>CFI.D27-05-0448</v>
      </c>
      <c r="N487" s="8" t="str">
        <f t="shared" si="40"/>
        <v>PEN</v>
      </c>
      <c r="O487" s="13"/>
      <c r="P487" s="13">
        <v>140</v>
      </c>
      <c r="Q487" s="3">
        <f t="shared" si="36"/>
        <v>140</v>
      </c>
      <c r="R487" s="3">
        <f t="shared" si="37"/>
        <v>0</v>
      </c>
      <c r="S487" s="3">
        <f t="shared" si="38"/>
        <v>9181.7999999999956</v>
      </c>
      <c r="T487" s="24"/>
      <c r="U487" s="24"/>
      <c r="V487" s="3"/>
      <c r="W487" s="25"/>
      <c r="X487" s="25" t="s">
        <v>7138</v>
      </c>
      <c r="Y487" s="25"/>
      <c r="Z487" s="25"/>
      <c r="AA487" s="25"/>
      <c r="AB487" s="3" t="str">
        <f>IF(Caja_Finanzas[[#This Row],[fecha]]&gt;0,TEXT(Caja_Finanzas[[#This Row],[fecha]],"mmmm"),0)</f>
        <v>Mayo</v>
      </c>
    </row>
    <row r="488" spans="1:28" ht="24" x14ac:dyDescent="0.3">
      <c r="A488" s="2">
        <f>IF(Caja_Finanzas[[#This Row],[tipo_r]]="R",COUNTIFS($C$1:$C487,"R")+1,A487)</f>
        <v>449</v>
      </c>
      <c r="B488" s="19" t="str">
        <f t="shared" si="39"/>
        <v>C-Finanzas</v>
      </c>
      <c r="C488" s="3" t="s">
        <v>1330</v>
      </c>
      <c r="D488" s="14">
        <v>45804</v>
      </c>
      <c r="E488" s="5" t="s">
        <v>1696</v>
      </c>
      <c r="F488" s="5" t="s">
        <v>1303</v>
      </c>
      <c r="G488" s="5"/>
      <c r="H488" s="6" t="s">
        <v>425</v>
      </c>
      <c r="I488" s="6" t="s">
        <v>119</v>
      </c>
      <c r="J488" s="6">
        <v>1</v>
      </c>
      <c r="K488" s="6">
        <v>4428</v>
      </c>
      <c r="L488" s="7" t="s">
        <v>6118</v>
      </c>
      <c r="M488" s="8" t="str">
        <f>"CFI"&amp;".D"&amp;TEXT(Caja_Finanzas[[#This Row],[fecha]],"DD-MM")&amp;"-"&amp;TEXT(Caja_Finanzas[[#This Row],[item]],"0000")</f>
        <v>CFI.D27-05-0449</v>
      </c>
      <c r="N488" s="8" t="str">
        <f t="shared" si="40"/>
        <v>PEN</v>
      </c>
      <c r="O488" s="13"/>
      <c r="P488" s="13">
        <v>438</v>
      </c>
      <c r="Q488" s="3">
        <f t="shared" si="36"/>
        <v>438</v>
      </c>
      <c r="R488" s="3">
        <f t="shared" si="37"/>
        <v>0</v>
      </c>
      <c r="S488" s="3">
        <f t="shared" si="38"/>
        <v>9619.7999999999956</v>
      </c>
      <c r="T488" s="24"/>
      <c r="U488" s="24"/>
      <c r="V488" s="3"/>
      <c r="W488" s="25"/>
      <c r="X488" s="25" t="s">
        <v>7139</v>
      </c>
      <c r="Y488" s="25"/>
      <c r="Z488" s="25"/>
      <c r="AA488" s="25"/>
      <c r="AB488" s="3" t="str">
        <f>IF(Caja_Finanzas[[#This Row],[fecha]]&gt;0,TEXT(Caja_Finanzas[[#This Row],[fecha]],"mmmm"),0)</f>
        <v>Mayo</v>
      </c>
    </row>
    <row r="489" spans="1:28" ht="36" x14ac:dyDescent="0.3">
      <c r="A489" s="2">
        <f>IF(Caja_Finanzas[[#This Row],[tipo_r]]="R",COUNTIFS($C$1:$C488,"R")+1,A488)</f>
        <v>450</v>
      </c>
      <c r="B489" s="19" t="str">
        <f t="shared" si="39"/>
        <v>C-Finanzas</v>
      </c>
      <c r="C489" s="3" t="s">
        <v>1330</v>
      </c>
      <c r="D489" s="14">
        <v>45804</v>
      </c>
      <c r="E489" s="5" t="s">
        <v>5811</v>
      </c>
      <c r="F489" s="5" t="s">
        <v>1336</v>
      </c>
      <c r="G489" s="5"/>
      <c r="H489" s="6"/>
      <c r="I489" s="6"/>
      <c r="J489" s="6"/>
      <c r="K489" s="6"/>
      <c r="L489" s="7" t="s">
        <v>7140</v>
      </c>
      <c r="M489" s="8" t="str">
        <f>"CFI"&amp;".D"&amp;TEXT(Caja_Finanzas[[#This Row],[fecha]],"DD-MM")&amp;"-"&amp;TEXT(Caja_Finanzas[[#This Row],[item]],"0000")</f>
        <v>CFI.D27-05-0450</v>
      </c>
      <c r="N489" s="8" t="str">
        <f t="shared" si="40"/>
        <v>PEN</v>
      </c>
      <c r="O489" s="13"/>
      <c r="P489" s="13">
        <v>700</v>
      </c>
      <c r="Q489" s="3">
        <f t="shared" si="36"/>
        <v>0</v>
      </c>
      <c r="R489" s="3">
        <f t="shared" si="37"/>
        <v>700</v>
      </c>
      <c r="S489" s="3">
        <f t="shared" si="38"/>
        <v>8919.7999999999956</v>
      </c>
      <c r="T489" s="24"/>
      <c r="U489" s="24"/>
      <c r="V489" s="3"/>
      <c r="W489" s="25" t="s">
        <v>553</v>
      </c>
      <c r="X489" s="25" t="s">
        <v>7141</v>
      </c>
      <c r="Y489" s="25"/>
      <c r="Z489" s="25"/>
      <c r="AA489" s="25"/>
      <c r="AB489" s="3" t="str">
        <f>IF(Caja_Finanzas[[#This Row],[fecha]]&gt;0,TEXT(Caja_Finanzas[[#This Row],[fecha]],"mmmm"),0)</f>
        <v>Mayo</v>
      </c>
    </row>
    <row r="490" spans="1:28" ht="48" x14ac:dyDescent="0.3">
      <c r="A490" s="2">
        <f>IF(Caja_Finanzas[[#This Row],[tipo_r]]="R",COUNTIFS($C$1:$C489,"R")+1,A489)</f>
        <v>451</v>
      </c>
      <c r="B490" s="19" t="str">
        <f t="shared" si="39"/>
        <v>C-Finanzas</v>
      </c>
      <c r="C490" s="3" t="s">
        <v>1330</v>
      </c>
      <c r="D490" s="14">
        <v>45804</v>
      </c>
      <c r="E490" s="5" t="s">
        <v>5811</v>
      </c>
      <c r="F490" s="5" t="s">
        <v>1336</v>
      </c>
      <c r="G490" s="5"/>
      <c r="H490" s="6"/>
      <c r="I490" s="6"/>
      <c r="J490" s="6"/>
      <c r="K490" s="6"/>
      <c r="L490" s="7" t="s">
        <v>7142</v>
      </c>
      <c r="M490" s="8" t="str">
        <f>"CFI"&amp;".D"&amp;TEXT(Caja_Finanzas[[#This Row],[fecha]],"DD-MM")&amp;"-"&amp;TEXT(Caja_Finanzas[[#This Row],[item]],"0000")</f>
        <v>CFI.D27-05-0451</v>
      </c>
      <c r="N490" s="8" t="str">
        <f t="shared" si="40"/>
        <v>PEN</v>
      </c>
      <c r="O490" s="13"/>
      <c r="P490" s="13">
        <v>800</v>
      </c>
      <c r="Q490" s="3">
        <f t="shared" si="36"/>
        <v>0</v>
      </c>
      <c r="R490" s="3">
        <f t="shared" si="37"/>
        <v>800</v>
      </c>
      <c r="S490" s="3">
        <f t="shared" si="38"/>
        <v>8119.7999999999956</v>
      </c>
      <c r="T490" s="24"/>
      <c r="U490" s="24"/>
      <c r="V490" s="3"/>
      <c r="W490" s="25" t="s">
        <v>689</v>
      </c>
      <c r="X490" s="25" t="s">
        <v>7143</v>
      </c>
      <c r="Y490" s="25"/>
      <c r="Z490" s="25"/>
      <c r="AA490" s="25"/>
      <c r="AB490" s="3" t="str">
        <f>IF(Caja_Finanzas[[#This Row],[fecha]]&gt;0,TEXT(Caja_Finanzas[[#This Row],[fecha]],"mmmm"),0)</f>
        <v>Mayo</v>
      </c>
    </row>
    <row r="491" spans="1:28" ht="24" x14ac:dyDescent="0.3">
      <c r="A491" s="2">
        <f>IF(Caja_Finanzas[[#This Row],[tipo_r]]="R",COUNTIFS($C$1:$C490,"R")+1,A490)</f>
        <v>452</v>
      </c>
      <c r="B491" s="19" t="str">
        <f t="shared" si="39"/>
        <v>C-Finanzas</v>
      </c>
      <c r="C491" s="3" t="s">
        <v>1330</v>
      </c>
      <c r="D491" s="14">
        <v>45805</v>
      </c>
      <c r="E491" s="5" t="s">
        <v>6409</v>
      </c>
      <c r="F491" s="5" t="s">
        <v>1336</v>
      </c>
      <c r="G491" s="5"/>
      <c r="H491" s="6"/>
      <c r="I491" s="6"/>
      <c r="J491" s="6"/>
      <c r="K491" s="6"/>
      <c r="L491" s="7" t="s">
        <v>7144</v>
      </c>
      <c r="M491" s="8" t="str">
        <f>"CFI"&amp;".D"&amp;TEXT(Caja_Finanzas[[#This Row],[fecha]],"DD-MM")&amp;"-"&amp;TEXT(Caja_Finanzas[[#This Row],[item]],"0000")</f>
        <v>CFI.D28-05-0452</v>
      </c>
      <c r="N491" s="8" t="str">
        <f t="shared" si="40"/>
        <v>PEN</v>
      </c>
      <c r="O491" s="13"/>
      <c r="P491" s="13">
        <v>25</v>
      </c>
      <c r="Q491" s="3">
        <f t="shared" si="36"/>
        <v>0</v>
      </c>
      <c r="R491" s="3">
        <f t="shared" si="37"/>
        <v>25</v>
      </c>
      <c r="S491" s="3">
        <f t="shared" si="38"/>
        <v>8094.7999999999956</v>
      </c>
      <c r="T491" s="24"/>
      <c r="U491" s="24"/>
      <c r="V491" s="3"/>
      <c r="W491" s="25" t="s">
        <v>6709</v>
      </c>
      <c r="X491" s="25" t="s">
        <v>7145</v>
      </c>
      <c r="Y491" s="25"/>
      <c r="Z491" s="25"/>
      <c r="AA491" s="25"/>
      <c r="AB491" s="3" t="str">
        <f>IF(Caja_Finanzas[[#This Row],[fecha]]&gt;0,TEXT(Caja_Finanzas[[#This Row],[fecha]],"mmmm"),0)</f>
        <v>Mayo</v>
      </c>
    </row>
    <row r="492" spans="1:28" ht="24" x14ac:dyDescent="0.3">
      <c r="A492" s="2">
        <f>IF(Caja_Finanzas[[#This Row],[tipo_r]]="R",COUNTIFS($C$1:$C491,"R")+1,A491)</f>
        <v>453</v>
      </c>
      <c r="B492" s="19" t="str">
        <f t="shared" si="39"/>
        <v>C-Finanzas</v>
      </c>
      <c r="C492" s="3" t="s">
        <v>1330</v>
      </c>
      <c r="D492" s="14">
        <v>45805</v>
      </c>
      <c r="E492" s="5" t="s">
        <v>6409</v>
      </c>
      <c r="F492" s="5" t="s">
        <v>1336</v>
      </c>
      <c r="G492" s="5"/>
      <c r="H492" s="6"/>
      <c r="I492" s="6"/>
      <c r="J492" s="6"/>
      <c r="K492" s="6"/>
      <c r="L492" s="7" t="s">
        <v>7146</v>
      </c>
      <c r="M492" s="8" t="str">
        <f>"CFI"&amp;".D"&amp;TEXT(Caja_Finanzas[[#This Row],[fecha]],"DD-MM")&amp;"-"&amp;TEXT(Caja_Finanzas[[#This Row],[item]],"0000")</f>
        <v>CFI.D28-05-0453</v>
      </c>
      <c r="N492" s="8" t="str">
        <f t="shared" si="40"/>
        <v>PEN</v>
      </c>
      <c r="O492" s="13"/>
      <c r="P492" s="13">
        <v>66</v>
      </c>
      <c r="Q492" s="3">
        <f t="shared" si="36"/>
        <v>0</v>
      </c>
      <c r="R492" s="3">
        <f t="shared" si="37"/>
        <v>66</v>
      </c>
      <c r="S492" s="3">
        <f t="shared" si="38"/>
        <v>8028.7999999999956</v>
      </c>
      <c r="T492" s="24"/>
      <c r="U492" s="24"/>
      <c r="V492" s="3"/>
      <c r="W492" s="25" t="s">
        <v>6709</v>
      </c>
      <c r="X492" s="25" t="s">
        <v>7147</v>
      </c>
      <c r="Y492" s="25"/>
      <c r="Z492" s="25"/>
      <c r="AA492" s="25"/>
      <c r="AB492" s="3" t="str">
        <f>IF(Caja_Finanzas[[#This Row],[fecha]]&gt;0,TEXT(Caja_Finanzas[[#This Row],[fecha]],"mmmm"),0)</f>
        <v>Mayo</v>
      </c>
    </row>
    <row r="493" spans="1:28" ht="24" x14ac:dyDescent="0.3">
      <c r="A493" s="2">
        <f>IF(Caja_Finanzas[[#This Row],[tipo_r]]="R",COUNTIFS($C$1:$C492,"R")+1,A492)</f>
        <v>454</v>
      </c>
      <c r="B493" s="19" t="str">
        <f t="shared" si="39"/>
        <v>C-Finanzas</v>
      </c>
      <c r="C493" s="3" t="s">
        <v>1330</v>
      </c>
      <c r="D493" s="14">
        <v>45805</v>
      </c>
      <c r="E493" s="5" t="s">
        <v>6409</v>
      </c>
      <c r="F493" s="5" t="s">
        <v>1336</v>
      </c>
      <c r="G493" s="5"/>
      <c r="H493" s="6"/>
      <c r="I493" s="6"/>
      <c r="J493" s="6"/>
      <c r="K493" s="6"/>
      <c r="L493" s="7" t="s">
        <v>7148</v>
      </c>
      <c r="M493" s="8" t="str">
        <f>"CFI"&amp;".D"&amp;TEXT(Caja_Finanzas[[#This Row],[fecha]],"DD-MM")&amp;"-"&amp;TEXT(Caja_Finanzas[[#This Row],[item]],"0000")</f>
        <v>CFI.D28-05-0454</v>
      </c>
      <c r="N493" s="8" t="str">
        <f t="shared" si="40"/>
        <v>PEN</v>
      </c>
      <c r="O493" s="13"/>
      <c r="P493" s="13">
        <v>20</v>
      </c>
      <c r="Q493" s="3">
        <f t="shared" si="36"/>
        <v>0</v>
      </c>
      <c r="R493" s="3">
        <f t="shared" si="37"/>
        <v>20</v>
      </c>
      <c r="S493" s="3">
        <f t="shared" si="38"/>
        <v>8008.7999999999956</v>
      </c>
      <c r="T493" s="24"/>
      <c r="U493" s="24"/>
      <c r="V493" s="3"/>
      <c r="W493" s="25" t="s">
        <v>6709</v>
      </c>
      <c r="X493" s="25" t="s">
        <v>7149</v>
      </c>
      <c r="Y493" s="25"/>
      <c r="Z493" s="25"/>
      <c r="AA493" s="25"/>
      <c r="AB493" s="3" t="str">
        <f>IF(Caja_Finanzas[[#This Row],[fecha]]&gt;0,TEXT(Caja_Finanzas[[#This Row],[fecha]],"mmmm"),0)</f>
        <v>Mayo</v>
      </c>
    </row>
    <row r="494" spans="1:28" ht="48" x14ac:dyDescent="0.3">
      <c r="A494" s="2">
        <f>IF(Caja_Finanzas[[#This Row],[tipo_r]]="R",COUNTIFS($C$1:$C493,"R")+1,A493)</f>
        <v>455</v>
      </c>
      <c r="B494" s="19" t="str">
        <f t="shared" si="39"/>
        <v>C-Finanzas</v>
      </c>
      <c r="C494" s="3" t="s">
        <v>1330</v>
      </c>
      <c r="D494" s="14">
        <v>45805</v>
      </c>
      <c r="E494" s="5" t="s">
        <v>6556</v>
      </c>
      <c r="F494" s="5" t="s">
        <v>1336</v>
      </c>
      <c r="G494" s="5"/>
      <c r="H494" s="6"/>
      <c r="I494" s="6"/>
      <c r="J494" s="6"/>
      <c r="K494" s="6"/>
      <c r="L494" s="7" t="s">
        <v>7150</v>
      </c>
      <c r="M494" s="8" t="str">
        <f>"CFI"&amp;".D"&amp;TEXT(Caja_Finanzas[[#This Row],[fecha]],"DD-MM")&amp;"-"&amp;TEXT(Caja_Finanzas[[#This Row],[item]],"0000")</f>
        <v>CFI.D28-05-0455</v>
      </c>
      <c r="N494" s="8" t="str">
        <f t="shared" si="40"/>
        <v>PEN</v>
      </c>
      <c r="O494" s="13"/>
      <c r="P494" s="13">
        <v>244</v>
      </c>
      <c r="Q494" s="3">
        <f t="shared" si="36"/>
        <v>0</v>
      </c>
      <c r="R494" s="3">
        <f t="shared" si="37"/>
        <v>244</v>
      </c>
      <c r="S494" s="3">
        <f t="shared" si="38"/>
        <v>7764.7999999999956</v>
      </c>
      <c r="T494" s="24"/>
      <c r="U494" s="24"/>
      <c r="V494" s="3"/>
      <c r="W494" s="25" t="s">
        <v>6709</v>
      </c>
      <c r="X494" s="25" t="s">
        <v>7151</v>
      </c>
      <c r="Y494" s="25"/>
      <c r="Z494" s="25"/>
      <c r="AA494" s="25"/>
      <c r="AB494" s="3" t="str">
        <f>IF(Caja_Finanzas[[#This Row],[fecha]]&gt;0,TEXT(Caja_Finanzas[[#This Row],[fecha]],"mmmm"),0)</f>
        <v>Mayo</v>
      </c>
    </row>
    <row r="495" spans="1:28" x14ac:dyDescent="0.3">
      <c r="A495" s="2">
        <f>IF(Caja_Finanzas[[#This Row],[tipo_r]]="R",COUNTIFS($C$1:$C494,"R")+1,A494)</f>
        <v>456</v>
      </c>
      <c r="B495" s="19" t="str">
        <f t="shared" si="39"/>
        <v>C-Finanzas</v>
      </c>
      <c r="C495" s="3" t="s">
        <v>1330</v>
      </c>
      <c r="D495" s="14">
        <v>45806</v>
      </c>
      <c r="E495" s="5" t="s">
        <v>2800</v>
      </c>
      <c r="F495" s="5" t="s">
        <v>1303</v>
      </c>
      <c r="G495" s="5"/>
      <c r="H495" s="6" t="s">
        <v>425</v>
      </c>
      <c r="I495" s="6" t="s">
        <v>119</v>
      </c>
      <c r="J495" s="6">
        <v>1</v>
      </c>
      <c r="K495" s="6">
        <v>4441</v>
      </c>
      <c r="L495" s="7" t="s">
        <v>6118</v>
      </c>
      <c r="M495" s="8" t="str">
        <f>"CFI"&amp;".D"&amp;TEXT(Caja_Finanzas[[#This Row],[fecha]],"DD-MM")&amp;"-"&amp;TEXT(Caja_Finanzas[[#This Row],[item]],"0000")</f>
        <v>CFI.D29-05-0456</v>
      </c>
      <c r="N495" s="8" t="str">
        <f t="shared" si="40"/>
        <v>PEN</v>
      </c>
      <c r="O495" s="13"/>
      <c r="P495" s="13">
        <v>240</v>
      </c>
      <c r="Q495" s="3">
        <f t="shared" si="36"/>
        <v>240</v>
      </c>
      <c r="R495" s="3">
        <f t="shared" si="37"/>
        <v>0</v>
      </c>
      <c r="S495" s="3">
        <f t="shared" si="38"/>
        <v>8004.7999999999956</v>
      </c>
      <c r="T495" s="24"/>
      <c r="U495" s="24"/>
      <c r="V495" s="3"/>
      <c r="W495" s="25" t="s">
        <v>425</v>
      </c>
      <c r="X495" s="25" t="s">
        <v>7152</v>
      </c>
      <c r="Y495" s="25"/>
      <c r="Z495" s="25"/>
      <c r="AA495" s="25"/>
      <c r="AB495" s="3" t="str">
        <f>IF(Caja_Finanzas[[#This Row],[fecha]]&gt;0,TEXT(Caja_Finanzas[[#This Row],[fecha]],"mmmm"),0)</f>
        <v>Mayo</v>
      </c>
    </row>
    <row r="496" spans="1:28" x14ac:dyDescent="0.3">
      <c r="A496" s="2">
        <f>IF(Caja_Finanzas[[#This Row],[tipo_r]]="R",COUNTIFS($C$1:$C495,"R")+1,A495)</f>
        <v>457</v>
      </c>
      <c r="B496" s="19" t="str">
        <f t="shared" si="39"/>
        <v>C-Finanzas</v>
      </c>
      <c r="C496" s="3" t="s">
        <v>1330</v>
      </c>
      <c r="D496" s="14">
        <v>45806</v>
      </c>
      <c r="E496" s="5" t="s">
        <v>6562</v>
      </c>
      <c r="F496" s="5" t="s">
        <v>1303</v>
      </c>
      <c r="G496" s="5"/>
      <c r="H496" s="6" t="s">
        <v>425</v>
      </c>
      <c r="I496" s="6" t="s">
        <v>119</v>
      </c>
      <c r="J496" s="6">
        <v>1</v>
      </c>
      <c r="K496" s="6">
        <v>4450</v>
      </c>
      <c r="L496" s="7" t="s">
        <v>6118</v>
      </c>
      <c r="M496" s="8" t="str">
        <f>"CFI"&amp;".D"&amp;TEXT(Caja_Finanzas[[#This Row],[fecha]],"DD-MM")&amp;"-"&amp;TEXT(Caja_Finanzas[[#This Row],[item]],"0000")</f>
        <v>CFI.D29-05-0457</v>
      </c>
      <c r="N496" s="8" t="str">
        <f t="shared" si="40"/>
        <v>PEN</v>
      </c>
      <c r="O496" s="13"/>
      <c r="P496" s="13">
        <v>3650</v>
      </c>
      <c r="Q496" s="3">
        <f t="shared" si="36"/>
        <v>3650</v>
      </c>
      <c r="R496" s="3">
        <f t="shared" si="37"/>
        <v>0</v>
      </c>
      <c r="S496" s="3">
        <f t="shared" si="38"/>
        <v>11654.799999999996</v>
      </c>
      <c r="T496" s="24"/>
      <c r="U496" s="24"/>
      <c r="V496" s="3"/>
      <c r="W496" s="25" t="s">
        <v>425</v>
      </c>
      <c r="X496" s="25" t="s">
        <v>7153</v>
      </c>
      <c r="Y496" s="25"/>
      <c r="Z496" s="25"/>
      <c r="AA496" s="25"/>
      <c r="AB496" s="3" t="str">
        <f>IF(Caja_Finanzas[[#This Row],[fecha]]&gt;0,TEXT(Caja_Finanzas[[#This Row],[fecha]],"mmmm"),0)</f>
        <v>Mayo</v>
      </c>
    </row>
    <row r="497" spans="1:28" ht="24" x14ac:dyDescent="0.3">
      <c r="A497" s="2">
        <f>IF(Caja_Finanzas[[#This Row],[tipo_r]]="R",COUNTIFS($C$1:$C496,"R")+1,A496)</f>
        <v>458</v>
      </c>
      <c r="B497" s="19" t="str">
        <f t="shared" si="39"/>
        <v>C-Finanzas</v>
      </c>
      <c r="C497" s="3" t="s">
        <v>1330</v>
      </c>
      <c r="D497" s="14">
        <v>45807</v>
      </c>
      <c r="E497" s="5" t="s">
        <v>3198</v>
      </c>
      <c r="F497" s="5" t="s">
        <v>1303</v>
      </c>
      <c r="G497" s="5"/>
      <c r="H497" s="6" t="s">
        <v>425</v>
      </c>
      <c r="I497" s="6" t="s">
        <v>119</v>
      </c>
      <c r="J497" s="6">
        <v>1</v>
      </c>
      <c r="K497" s="6">
        <v>4403</v>
      </c>
      <c r="L497" s="7" t="s">
        <v>6118</v>
      </c>
      <c r="M497" s="8" t="str">
        <f>"CFI"&amp;".D"&amp;TEXT(Caja_Finanzas[[#This Row],[fecha]],"DD-MM")&amp;"-"&amp;TEXT(Caja_Finanzas[[#This Row],[item]],"0000")</f>
        <v>CFI.D30-05-0458</v>
      </c>
      <c r="N497" s="8" t="str">
        <f t="shared" si="40"/>
        <v>PEN</v>
      </c>
      <c r="O497" s="13"/>
      <c r="P497" s="13">
        <v>654</v>
      </c>
      <c r="Q497" s="3">
        <f t="shared" si="36"/>
        <v>654</v>
      </c>
      <c r="R497" s="3">
        <f t="shared" si="37"/>
        <v>0</v>
      </c>
      <c r="S497" s="3">
        <f t="shared" si="38"/>
        <v>12308.799999999996</v>
      </c>
      <c r="T497" s="24"/>
      <c r="U497" s="24"/>
      <c r="V497" s="3"/>
      <c r="W497" s="25" t="s">
        <v>425</v>
      </c>
      <c r="X497" s="25" t="s">
        <v>3200</v>
      </c>
      <c r="Y497" s="25"/>
      <c r="Z497" s="25"/>
      <c r="AA497" s="25"/>
      <c r="AB497" s="3" t="str">
        <f>IF(Caja_Finanzas[[#This Row],[fecha]]&gt;0,TEXT(Caja_Finanzas[[#This Row],[fecha]],"mmmm"),0)</f>
        <v>Mayo</v>
      </c>
    </row>
    <row r="498" spans="1:28" ht="36" x14ac:dyDescent="0.3">
      <c r="A498" s="2">
        <f>IF(Caja_Finanzas[[#This Row],[tipo_r]]="R",COUNTIFS($C$1:$C497,"R")+1,A497)</f>
        <v>459</v>
      </c>
      <c r="B498" s="19" t="str">
        <f t="shared" si="39"/>
        <v>C-Finanzas</v>
      </c>
      <c r="C498" s="3" t="s">
        <v>1330</v>
      </c>
      <c r="D498" s="14">
        <v>45807</v>
      </c>
      <c r="E498" s="5" t="s">
        <v>6415</v>
      </c>
      <c r="F498" s="5" t="s">
        <v>1336</v>
      </c>
      <c r="G498" s="5"/>
      <c r="H498" s="6"/>
      <c r="I498" s="6"/>
      <c r="J498" s="6"/>
      <c r="K498" s="6"/>
      <c r="L498" s="7" t="s">
        <v>7154</v>
      </c>
      <c r="M498" s="8" t="str">
        <f>"CFI"&amp;".D"&amp;TEXT(Caja_Finanzas[[#This Row],[fecha]],"DD-MM")&amp;"-"&amp;TEXT(Caja_Finanzas[[#This Row],[item]],"0000")</f>
        <v>CFI.D30-05-0459</v>
      </c>
      <c r="N498" s="8" t="str">
        <f t="shared" si="40"/>
        <v>PEN</v>
      </c>
      <c r="O498" s="13"/>
      <c r="P498" s="13">
        <v>6169</v>
      </c>
      <c r="Q498" s="3">
        <f t="shared" si="36"/>
        <v>0</v>
      </c>
      <c r="R498" s="3">
        <f t="shared" si="37"/>
        <v>6169</v>
      </c>
      <c r="S498" s="3">
        <f t="shared" si="38"/>
        <v>6139.7999999999956</v>
      </c>
      <c r="T498" s="24"/>
      <c r="U498" s="24"/>
      <c r="V498" s="3"/>
      <c r="W498" s="25" t="s">
        <v>4923</v>
      </c>
      <c r="X498" s="25"/>
      <c r="Y498" s="25"/>
      <c r="Z498" s="25"/>
      <c r="AA498" s="25"/>
      <c r="AB498" s="3" t="str">
        <f>IF(Caja_Finanzas[[#This Row],[fecha]]&gt;0,TEXT(Caja_Finanzas[[#This Row],[fecha]],"mmmm"),0)</f>
        <v>Mayo</v>
      </c>
    </row>
    <row r="499" spans="1:28" ht="24" x14ac:dyDescent="0.3">
      <c r="A499" s="2">
        <f>IF(Caja_Finanzas[[#This Row],[tipo_r]]="R",COUNTIFS($C$1:$C498,"R")+1,A498)</f>
        <v>460</v>
      </c>
      <c r="B499" s="19" t="str">
        <f t="shared" si="39"/>
        <v>C-Finanzas</v>
      </c>
      <c r="C499" s="3" t="s">
        <v>1330</v>
      </c>
      <c r="D499" s="14">
        <v>45811</v>
      </c>
      <c r="E499" s="5" t="s">
        <v>6940</v>
      </c>
      <c r="F499" s="5" t="s">
        <v>1336</v>
      </c>
      <c r="G499" s="5"/>
      <c r="H499" s="6"/>
      <c r="I499" s="6"/>
      <c r="J499" s="6"/>
      <c r="K499" s="6"/>
      <c r="L499" s="7" t="s">
        <v>7155</v>
      </c>
      <c r="M499" s="8" t="str">
        <f>"CFI"&amp;".D"&amp;TEXT(Caja_Finanzas[[#This Row],[fecha]],"DD-MM")&amp;"-"&amp;TEXT(Caja_Finanzas[[#This Row],[item]],"0000")</f>
        <v>CFI.D03-06-0460</v>
      </c>
      <c r="N499" s="8" t="str">
        <f t="shared" si="40"/>
        <v>PEN</v>
      </c>
      <c r="O499" s="13"/>
      <c r="P499" s="13">
        <v>360</v>
      </c>
      <c r="Q499" s="3">
        <f t="shared" si="36"/>
        <v>0</v>
      </c>
      <c r="R499" s="3">
        <f t="shared" si="37"/>
        <v>360</v>
      </c>
      <c r="S499" s="3">
        <f t="shared" si="38"/>
        <v>5779.7999999999956</v>
      </c>
      <c r="T499" s="24"/>
      <c r="U499" s="24"/>
      <c r="V499" s="3"/>
      <c r="W499" s="25" t="s">
        <v>7156</v>
      </c>
      <c r="X499" s="25" t="s">
        <v>7157</v>
      </c>
      <c r="Y499" s="25"/>
      <c r="Z499" s="25"/>
      <c r="AA499" s="25"/>
      <c r="AB499" s="3" t="str">
        <f>IF(Caja_Finanzas[[#This Row],[fecha]]&gt;0,TEXT(Caja_Finanzas[[#This Row],[fecha]],"mmmm"),0)</f>
        <v>Junio</v>
      </c>
    </row>
    <row r="500" spans="1:28" ht="24" x14ac:dyDescent="0.3">
      <c r="A500" s="2">
        <f>IF(Caja_Finanzas[[#This Row],[tipo_r]]="R",COUNTIFS($C$1:$C499,"R")+1,A499)</f>
        <v>461</v>
      </c>
      <c r="B500" s="19" t="str">
        <f t="shared" si="39"/>
        <v>C-Finanzas</v>
      </c>
      <c r="C500" s="3" t="s">
        <v>1330</v>
      </c>
      <c r="D500" s="14">
        <v>45811</v>
      </c>
      <c r="E500" s="5" t="s">
        <v>3198</v>
      </c>
      <c r="F500" s="5" t="s">
        <v>1303</v>
      </c>
      <c r="G500" s="5"/>
      <c r="H500" s="6" t="s">
        <v>425</v>
      </c>
      <c r="I500" s="6" t="s">
        <v>119</v>
      </c>
      <c r="J500" s="6">
        <v>1</v>
      </c>
      <c r="K500" s="6">
        <v>4403</v>
      </c>
      <c r="L500" s="7" t="s">
        <v>6118</v>
      </c>
      <c r="M500" s="8" t="str">
        <f>"CFI"&amp;".D"&amp;TEXT(Caja_Finanzas[[#This Row],[fecha]],"DD-MM")&amp;"-"&amp;TEXT(Caja_Finanzas[[#This Row],[item]],"0000")</f>
        <v>CFI.D03-06-0461</v>
      </c>
      <c r="N500" s="8" t="str">
        <f t="shared" si="40"/>
        <v>PEN</v>
      </c>
      <c r="O500" s="13"/>
      <c r="P500" s="13">
        <v>654</v>
      </c>
      <c r="Q500" s="3">
        <f t="shared" si="36"/>
        <v>654</v>
      </c>
      <c r="R500" s="3">
        <f t="shared" si="37"/>
        <v>0</v>
      </c>
      <c r="S500" s="3">
        <f t="shared" si="38"/>
        <v>6433.7999999999956</v>
      </c>
      <c r="T500" s="24"/>
      <c r="U500" s="24"/>
      <c r="V500" s="3"/>
      <c r="W500" s="25" t="s">
        <v>425</v>
      </c>
      <c r="X500" s="25" t="s">
        <v>3200</v>
      </c>
      <c r="Y500" s="25"/>
      <c r="Z500" s="25"/>
      <c r="AA500" s="25"/>
      <c r="AB500" s="3" t="str">
        <f>IF(Caja_Finanzas[[#This Row],[fecha]]&gt;0,TEXT(Caja_Finanzas[[#This Row],[fecha]],"mmmm"),0)</f>
        <v>Junio</v>
      </c>
    </row>
    <row r="501" spans="1:28" ht="24" x14ac:dyDescent="0.3">
      <c r="A501" s="2">
        <f>IF(Caja_Finanzas[[#This Row],[tipo_r]]="R",COUNTIFS($C$1:$C500,"R")+1,A500)</f>
        <v>462</v>
      </c>
      <c r="B501" s="19" t="str">
        <f t="shared" si="39"/>
        <v>C-Finanzas</v>
      </c>
      <c r="C501" s="3" t="s">
        <v>1330</v>
      </c>
      <c r="D501" s="14">
        <v>45811</v>
      </c>
      <c r="E501" s="5" t="s">
        <v>4104</v>
      </c>
      <c r="F501" s="5" t="s">
        <v>1303</v>
      </c>
      <c r="G501" s="5"/>
      <c r="H501" s="6" t="s">
        <v>425</v>
      </c>
      <c r="I501" s="6" t="s">
        <v>119</v>
      </c>
      <c r="J501" s="6">
        <v>1</v>
      </c>
      <c r="K501" s="6">
        <v>4349</v>
      </c>
      <c r="L501" s="7" t="s">
        <v>6118</v>
      </c>
      <c r="M501" s="8" t="str">
        <f>"CFI"&amp;".D"&amp;TEXT(Caja_Finanzas[[#This Row],[fecha]],"DD-MM")&amp;"-"&amp;TEXT(Caja_Finanzas[[#This Row],[item]],"0000")</f>
        <v>CFI.D03-06-0462</v>
      </c>
      <c r="N501" s="8" t="str">
        <f t="shared" si="40"/>
        <v>PEN</v>
      </c>
      <c r="O501" s="13"/>
      <c r="P501" s="13">
        <v>428.4</v>
      </c>
      <c r="Q501" s="3">
        <f t="shared" si="36"/>
        <v>428.4</v>
      </c>
      <c r="R501" s="3">
        <f t="shared" si="37"/>
        <v>0</v>
      </c>
      <c r="S501" s="3">
        <f t="shared" si="38"/>
        <v>6862.1999999999953</v>
      </c>
      <c r="T501" s="24"/>
      <c r="U501" s="24"/>
      <c r="V501" s="3"/>
      <c r="W501" s="25" t="s">
        <v>425</v>
      </c>
      <c r="X501" s="25" t="s">
        <v>7104</v>
      </c>
      <c r="Y501" s="25"/>
      <c r="Z501" s="25"/>
      <c r="AA501" s="25"/>
      <c r="AB501" s="3" t="str">
        <f>IF(Caja_Finanzas[[#This Row],[fecha]]&gt;0,TEXT(Caja_Finanzas[[#This Row],[fecha]],"mmmm"),0)</f>
        <v>Junio</v>
      </c>
    </row>
    <row r="502" spans="1:28" ht="24" x14ac:dyDescent="0.3">
      <c r="A502" s="2">
        <f>IF(Caja_Finanzas[[#This Row],[tipo_r]]="R",COUNTIFS($C$1:$C501,"R")+1,A501)</f>
        <v>463</v>
      </c>
      <c r="B502" s="19" t="str">
        <f t="shared" si="39"/>
        <v>C-Finanzas</v>
      </c>
      <c r="C502" s="3" t="s">
        <v>1330</v>
      </c>
      <c r="D502" s="14">
        <v>45811</v>
      </c>
      <c r="E502" s="5" t="s">
        <v>4358</v>
      </c>
      <c r="F502" s="5" t="s">
        <v>1303</v>
      </c>
      <c r="G502" s="5"/>
      <c r="H502" s="6" t="s">
        <v>425</v>
      </c>
      <c r="I502" s="6" t="s">
        <v>119</v>
      </c>
      <c r="J502" s="6">
        <v>1</v>
      </c>
      <c r="K502" s="6">
        <v>3978</v>
      </c>
      <c r="L502" s="7" t="s">
        <v>6118</v>
      </c>
      <c r="M502" s="8" t="str">
        <f>"CFI"&amp;".D"&amp;TEXT(Caja_Finanzas[[#This Row],[fecha]],"DD-MM")&amp;"-"&amp;TEXT(Caja_Finanzas[[#This Row],[item]],"0000")</f>
        <v>CFI.D03-06-0463</v>
      </c>
      <c r="N502" s="8" t="str">
        <f t="shared" si="40"/>
        <v>PEN</v>
      </c>
      <c r="O502" s="13"/>
      <c r="P502" s="13">
        <v>360</v>
      </c>
      <c r="Q502" s="3">
        <f t="shared" si="36"/>
        <v>360</v>
      </c>
      <c r="R502" s="3">
        <f t="shared" si="37"/>
        <v>0</v>
      </c>
      <c r="S502" s="3">
        <f t="shared" si="38"/>
        <v>7222.1999999999953</v>
      </c>
      <c r="T502" s="24"/>
      <c r="U502" s="24"/>
      <c r="V502" s="3"/>
      <c r="W502" s="25" t="s">
        <v>425</v>
      </c>
      <c r="X502" s="25" t="s">
        <v>7158</v>
      </c>
      <c r="Y502" s="25"/>
      <c r="Z502" s="25"/>
      <c r="AA502" s="25"/>
      <c r="AB502" s="3" t="str">
        <f>IF(Caja_Finanzas[[#This Row],[fecha]]&gt;0,TEXT(Caja_Finanzas[[#This Row],[fecha]],"mmmm"),0)</f>
        <v>Junio</v>
      </c>
    </row>
    <row r="503" spans="1:28" x14ac:dyDescent="0.3">
      <c r="A503" s="2">
        <f>IF(Caja_Finanzas[[#This Row],[tipo_r]]="R",COUNTIFS($C$1:$C502,"R")+1,A502)</f>
        <v>464</v>
      </c>
      <c r="B503" s="19" t="str">
        <f t="shared" si="39"/>
        <v>C-Finanzas</v>
      </c>
      <c r="C503" s="3" t="s">
        <v>1330</v>
      </c>
      <c r="D503" s="14">
        <v>45811</v>
      </c>
      <c r="E503" s="5" t="s">
        <v>6562</v>
      </c>
      <c r="F503" s="5" t="s">
        <v>1303</v>
      </c>
      <c r="G503" s="5"/>
      <c r="H503" s="6" t="s">
        <v>425</v>
      </c>
      <c r="I503" s="6" t="s">
        <v>119</v>
      </c>
      <c r="J503" s="6">
        <v>1</v>
      </c>
      <c r="K503" s="6">
        <v>4463</v>
      </c>
      <c r="L503" s="7" t="s">
        <v>6118</v>
      </c>
      <c r="M503" s="8" t="str">
        <f>"CFI"&amp;".D"&amp;TEXT(Caja_Finanzas[[#This Row],[fecha]],"DD-MM")&amp;"-"&amp;TEXT(Caja_Finanzas[[#This Row],[item]],"0000")</f>
        <v>CFI.D03-06-0464</v>
      </c>
      <c r="N503" s="8" t="str">
        <f t="shared" si="40"/>
        <v>PEN</v>
      </c>
      <c r="O503" s="13"/>
      <c r="P503" s="13">
        <v>3650</v>
      </c>
      <c r="Q503" s="3">
        <f t="shared" si="36"/>
        <v>3650</v>
      </c>
      <c r="R503" s="3">
        <f t="shared" si="37"/>
        <v>0</v>
      </c>
      <c r="S503" s="3">
        <f t="shared" si="38"/>
        <v>10872.199999999995</v>
      </c>
      <c r="T503" s="24"/>
      <c r="U503" s="24"/>
      <c r="V503" s="3"/>
      <c r="W503" s="25" t="s">
        <v>425</v>
      </c>
      <c r="X503" s="25" t="s">
        <v>7159</v>
      </c>
      <c r="Y503" s="25"/>
      <c r="Z503" s="25"/>
      <c r="AA503" s="25"/>
      <c r="AB503" s="3" t="str">
        <f>IF(Caja_Finanzas[[#This Row],[fecha]]&gt;0,TEXT(Caja_Finanzas[[#This Row],[fecha]],"mmmm"),0)</f>
        <v>Junio</v>
      </c>
    </row>
    <row r="504" spans="1:28" ht="24" x14ac:dyDescent="0.3">
      <c r="A504" s="2">
        <f>IF(Caja_Finanzas[[#This Row],[tipo_r]]="R",COUNTIFS($C$1:$C503,"R")+1,A503)</f>
        <v>465</v>
      </c>
      <c r="B504" s="19" t="str">
        <f t="shared" si="39"/>
        <v>C-Finanzas</v>
      </c>
      <c r="C504" s="3" t="s">
        <v>1330</v>
      </c>
      <c r="D504" s="14">
        <v>45812</v>
      </c>
      <c r="E504" s="5" t="s">
        <v>6940</v>
      </c>
      <c r="F504" s="5" t="s">
        <v>1336</v>
      </c>
      <c r="G504" s="5"/>
      <c r="H504" s="6"/>
      <c r="I504" s="6"/>
      <c r="J504" s="6"/>
      <c r="K504" s="6"/>
      <c r="L504" s="7" t="s">
        <v>7160</v>
      </c>
      <c r="M504" s="8" t="str">
        <f>"CFI"&amp;".D"&amp;TEXT(Caja_Finanzas[[#This Row],[fecha]],"DD-MM")&amp;"-"&amp;TEXT(Caja_Finanzas[[#This Row],[item]],"0000")</f>
        <v>CFI.D04-06-0465</v>
      </c>
      <c r="N504" s="8" t="str">
        <f t="shared" si="40"/>
        <v>PEN</v>
      </c>
      <c r="O504" s="13"/>
      <c r="P504" s="13">
        <v>400</v>
      </c>
      <c r="Q504" s="3">
        <f t="shared" si="36"/>
        <v>0</v>
      </c>
      <c r="R504" s="3">
        <f t="shared" si="37"/>
        <v>400</v>
      </c>
      <c r="S504" s="3">
        <f t="shared" si="38"/>
        <v>10472.199999999995</v>
      </c>
      <c r="T504" s="24"/>
      <c r="U504" s="24"/>
      <c r="V504" s="3"/>
      <c r="W504" s="25" t="s">
        <v>6709</v>
      </c>
      <c r="X504" s="25" t="s">
        <v>7161</v>
      </c>
      <c r="Y504" s="25"/>
      <c r="Z504" s="25"/>
      <c r="AA504" s="25"/>
      <c r="AB504" s="3" t="str">
        <f>IF(Caja_Finanzas[[#This Row],[fecha]]&gt;0,TEXT(Caja_Finanzas[[#This Row],[fecha]],"mmmm"),0)</f>
        <v>Junio</v>
      </c>
    </row>
    <row r="505" spans="1:28" ht="36" x14ac:dyDescent="0.3">
      <c r="A505" s="2">
        <f>IF(Caja_Finanzas[[#This Row],[tipo_r]]="R",COUNTIFS($C$1:$C504,"R")+1,A504)</f>
        <v>466</v>
      </c>
      <c r="B505" s="19" t="str">
        <f t="shared" si="39"/>
        <v>C-Finanzas</v>
      </c>
      <c r="C505" s="3" t="s">
        <v>1330</v>
      </c>
      <c r="D505" s="14">
        <v>45812</v>
      </c>
      <c r="E505" s="5" t="s">
        <v>6940</v>
      </c>
      <c r="F505" s="5" t="s">
        <v>1336</v>
      </c>
      <c r="G505" s="5"/>
      <c r="H505" s="6"/>
      <c r="I505" s="6"/>
      <c r="J505" s="6"/>
      <c r="K505" s="6"/>
      <c r="L505" s="7" t="s">
        <v>7162</v>
      </c>
      <c r="M505" s="8" t="str">
        <f>"CFI"&amp;".D"&amp;TEXT(Caja_Finanzas[[#This Row],[fecha]],"DD-MM")&amp;"-"&amp;TEXT(Caja_Finanzas[[#This Row],[item]],"0000")</f>
        <v>CFI.D04-06-0466</v>
      </c>
      <c r="N505" s="8" t="str">
        <f t="shared" si="40"/>
        <v>PEN</v>
      </c>
      <c r="O505" s="13"/>
      <c r="P505" s="13">
        <v>450</v>
      </c>
      <c r="Q505" s="3">
        <f t="shared" si="36"/>
        <v>0</v>
      </c>
      <c r="R505" s="3">
        <f t="shared" si="37"/>
        <v>450</v>
      </c>
      <c r="S505" s="3">
        <f t="shared" si="38"/>
        <v>10022.199999999995</v>
      </c>
      <c r="T505" s="24"/>
      <c r="U505" s="24"/>
      <c r="V505" s="3"/>
      <c r="W505" s="25" t="s">
        <v>6709</v>
      </c>
      <c r="X505" s="25" t="s">
        <v>7163</v>
      </c>
      <c r="Y505" s="25"/>
      <c r="Z505" s="25"/>
      <c r="AA505" s="25"/>
      <c r="AB505" s="3" t="str">
        <f>IF(Caja_Finanzas[[#This Row],[fecha]]&gt;0,TEXT(Caja_Finanzas[[#This Row],[fecha]],"mmmm"),0)</f>
        <v>Junio</v>
      </c>
    </row>
    <row r="506" spans="1:28" ht="24" x14ac:dyDescent="0.3">
      <c r="A506" s="2">
        <f>IF(Caja_Finanzas[[#This Row],[tipo_r]]="R",COUNTIFS($C$1:$C505,"R")+1,A505)</f>
        <v>467</v>
      </c>
      <c r="B506" s="19" t="str">
        <f t="shared" si="39"/>
        <v>C-Finanzas</v>
      </c>
      <c r="C506" s="3" t="s">
        <v>1330</v>
      </c>
      <c r="D506" s="14">
        <v>45812</v>
      </c>
      <c r="E506" s="5" t="s">
        <v>6602</v>
      </c>
      <c r="F506" s="5" t="s">
        <v>1303</v>
      </c>
      <c r="G506" s="5"/>
      <c r="H506" s="6" t="s">
        <v>425</v>
      </c>
      <c r="I506" s="6" t="s">
        <v>119</v>
      </c>
      <c r="J506" s="6">
        <v>1</v>
      </c>
      <c r="K506" s="6">
        <v>4468</v>
      </c>
      <c r="L506" s="7" t="s">
        <v>6118</v>
      </c>
      <c r="M506" s="8" t="str">
        <f>"CFI"&amp;".D"&amp;TEXT(Caja_Finanzas[[#This Row],[fecha]],"DD-MM")&amp;"-"&amp;TEXT(Caja_Finanzas[[#This Row],[item]],"0000")</f>
        <v>CFI.D04-06-0467</v>
      </c>
      <c r="N506" s="8" t="str">
        <f t="shared" si="40"/>
        <v>PEN</v>
      </c>
      <c r="O506" s="13"/>
      <c r="P506" s="13">
        <v>2100</v>
      </c>
      <c r="Q506" s="3">
        <f t="shared" si="36"/>
        <v>2100</v>
      </c>
      <c r="R506" s="3">
        <f t="shared" si="37"/>
        <v>0</v>
      </c>
      <c r="S506" s="3">
        <f t="shared" si="38"/>
        <v>12122.199999999995</v>
      </c>
      <c r="T506" s="24"/>
      <c r="U506" s="24"/>
      <c r="V506" s="3"/>
      <c r="W506" s="25" t="s">
        <v>425</v>
      </c>
      <c r="X506" s="25" t="s">
        <v>7164</v>
      </c>
      <c r="Y506" s="25"/>
      <c r="Z506" s="25"/>
      <c r="AA506" s="25"/>
      <c r="AB506" s="3" t="str">
        <f>IF(Caja_Finanzas[[#This Row],[fecha]]&gt;0,TEXT(Caja_Finanzas[[#This Row],[fecha]],"mmmm"),0)</f>
        <v>Junio</v>
      </c>
    </row>
    <row r="507" spans="1:28" ht="24" x14ac:dyDescent="0.3">
      <c r="A507" s="2">
        <f>IF(Caja_Finanzas[[#This Row],[tipo_r]]="R",COUNTIFS($C$1:$C506,"R")+1,A506)</f>
        <v>468</v>
      </c>
      <c r="B507" s="19" t="str">
        <f t="shared" si="39"/>
        <v>C-Finanzas</v>
      </c>
      <c r="C507" s="3" t="s">
        <v>1330</v>
      </c>
      <c r="D507" s="14">
        <v>45812</v>
      </c>
      <c r="E507" s="5" t="s">
        <v>3293</v>
      </c>
      <c r="F507" s="5" t="s">
        <v>1303</v>
      </c>
      <c r="G507" s="5"/>
      <c r="H507" s="6" t="s">
        <v>425</v>
      </c>
      <c r="I507" s="6" t="s">
        <v>119</v>
      </c>
      <c r="J507" s="6">
        <v>1</v>
      </c>
      <c r="K507" s="6">
        <v>4466</v>
      </c>
      <c r="L507" s="7" t="s">
        <v>6118</v>
      </c>
      <c r="M507" s="8" t="str">
        <f>"CFI"&amp;".D"&amp;TEXT(Caja_Finanzas[[#This Row],[fecha]],"DD-MM")&amp;"-"&amp;TEXT(Caja_Finanzas[[#This Row],[item]],"0000")</f>
        <v>CFI.D04-06-0468</v>
      </c>
      <c r="N507" s="8" t="str">
        <f t="shared" si="40"/>
        <v>PEN</v>
      </c>
      <c r="O507" s="13"/>
      <c r="P507" s="13">
        <v>315.8</v>
      </c>
      <c r="Q507" s="3">
        <f t="shared" si="36"/>
        <v>315.8</v>
      </c>
      <c r="R507" s="3">
        <f t="shared" si="37"/>
        <v>0</v>
      </c>
      <c r="S507" s="3">
        <f t="shared" si="38"/>
        <v>12437.999999999995</v>
      </c>
      <c r="T507" s="24"/>
      <c r="U507" s="24"/>
      <c r="V507" s="3"/>
      <c r="W507" s="25" t="s">
        <v>425</v>
      </c>
      <c r="X507" s="25" t="s">
        <v>7165</v>
      </c>
      <c r="Y507" s="25"/>
      <c r="Z507" s="25"/>
      <c r="AA507" s="25"/>
      <c r="AB507" s="3" t="str">
        <f>IF(Caja_Finanzas[[#This Row],[fecha]]&gt;0,TEXT(Caja_Finanzas[[#This Row],[fecha]],"mmmm"),0)</f>
        <v>Junio</v>
      </c>
    </row>
    <row r="508" spans="1:28" ht="24" x14ac:dyDescent="0.3">
      <c r="A508" s="2">
        <f>IF(Caja_Finanzas[[#This Row],[tipo_r]]="R",COUNTIFS($C$1:$C507,"R")+1,A507)</f>
        <v>469</v>
      </c>
      <c r="B508" s="19" t="str">
        <f t="shared" si="39"/>
        <v>C-Finanzas</v>
      </c>
      <c r="C508" s="3" t="s">
        <v>1330</v>
      </c>
      <c r="D508" s="14">
        <v>45813</v>
      </c>
      <c r="E508" s="5" t="s">
        <v>5811</v>
      </c>
      <c r="F508" s="5" t="s">
        <v>1336</v>
      </c>
      <c r="G508" s="5"/>
      <c r="H508" s="6"/>
      <c r="I508" s="6"/>
      <c r="J508" s="6"/>
      <c r="K508" s="6"/>
      <c r="L508" s="7" t="s">
        <v>7166</v>
      </c>
      <c r="M508" s="8" t="str">
        <f>"CFI"&amp;".D"&amp;TEXT(Caja_Finanzas[[#This Row],[fecha]],"DD-MM")&amp;"-"&amp;TEXT(Caja_Finanzas[[#This Row],[item]],"0000")</f>
        <v>CFI.D05-06-0469</v>
      </c>
      <c r="N508" s="8" t="str">
        <f t="shared" si="40"/>
        <v>PEN</v>
      </c>
      <c r="O508" s="13"/>
      <c r="P508" s="13">
        <v>150</v>
      </c>
      <c r="Q508" s="3">
        <f t="shared" si="36"/>
        <v>0</v>
      </c>
      <c r="R508" s="3">
        <f t="shared" si="37"/>
        <v>150</v>
      </c>
      <c r="S508" s="3">
        <f t="shared" si="38"/>
        <v>12287.999999999995</v>
      </c>
      <c r="T508" s="24"/>
      <c r="U508" s="24"/>
      <c r="V508" s="3"/>
      <c r="W508" s="25" t="s">
        <v>7167</v>
      </c>
      <c r="X508" s="25" t="s">
        <v>7168</v>
      </c>
      <c r="Y508" s="25"/>
      <c r="Z508" s="25"/>
      <c r="AA508" s="25"/>
      <c r="AB508" s="3" t="str">
        <f>IF(Caja_Finanzas[[#This Row],[fecha]]&gt;0,TEXT(Caja_Finanzas[[#This Row],[fecha]],"mmmm"),0)</f>
        <v>Junio</v>
      </c>
    </row>
    <row r="509" spans="1:28" ht="24" x14ac:dyDescent="0.3">
      <c r="A509" s="2">
        <f>IF(Caja_Finanzas[[#This Row],[tipo_r]]="R",COUNTIFS($C$1:$C508,"R")+1,A508)</f>
        <v>470</v>
      </c>
      <c r="B509" s="19" t="str">
        <f t="shared" si="39"/>
        <v>C-Finanzas</v>
      </c>
      <c r="C509" s="3" t="s">
        <v>1330</v>
      </c>
      <c r="D509" s="14">
        <v>45813</v>
      </c>
      <c r="E509" s="5"/>
      <c r="F509" s="5" t="s">
        <v>1303</v>
      </c>
      <c r="G509" s="5"/>
      <c r="H509" s="6"/>
      <c r="I509" s="6"/>
      <c r="J509" s="6"/>
      <c r="K509" s="6"/>
      <c r="L509" s="7" t="s">
        <v>7054</v>
      </c>
      <c r="M509" s="8" t="str">
        <f>"CFI"&amp;".D"&amp;TEXT(Caja_Finanzas[[#This Row],[fecha]],"DD-MM")&amp;"-"&amp;TEXT(Caja_Finanzas[[#This Row],[item]],"0000")</f>
        <v>CFI.D05-06-0470</v>
      </c>
      <c r="N509" s="8" t="str">
        <f t="shared" si="40"/>
        <v>PEN</v>
      </c>
      <c r="O509" s="13"/>
      <c r="P509" s="13">
        <v>459.9</v>
      </c>
      <c r="Q509" s="3">
        <f t="shared" si="36"/>
        <v>459.9</v>
      </c>
      <c r="R509" s="3">
        <f t="shared" si="37"/>
        <v>0</v>
      </c>
      <c r="S509" s="3">
        <f t="shared" si="38"/>
        <v>12747.899999999994</v>
      </c>
      <c r="T509" s="24"/>
      <c r="U509" s="24"/>
      <c r="V509" s="3"/>
      <c r="W509" s="25" t="s">
        <v>425</v>
      </c>
      <c r="X509" s="25"/>
      <c r="Y509" s="25"/>
      <c r="Z509" s="25"/>
      <c r="AA509" s="25"/>
      <c r="AB509" s="3" t="str">
        <f>IF(Caja_Finanzas[[#This Row],[fecha]]&gt;0,TEXT(Caja_Finanzas[[#This Row],[fecha]],"mmmm"),0)</f>
        <v>Junio</v>
      </c>
    </row>
    <row r="510" spans="1:28" ht="24" x14ac:dyDescent="0.3">
      <c r="A510" s="2">
        <f>IF(Caja_Finanzas[[#This Row],[tipo_r]]="R",COUNTIFS($C$1:$C509,"R")+1,A509)</f>
        <v>470</v>
      </c>
      <c r="B510" s="19" t="str">
        <f t="shared" si="39"/>
        <v>C-Finanzas</v>
      </c>
      <c r="C510" s="3" t="s">
        <v>1352</v>
      </c>
      <c r="D510" s="14">
        <v>45813</v>
      </c>
      <c r="E510" s="5" t="s">
        <v>3679</v>
      </c>
      <c r="F510" s="5"/>
      <c r="G510" s="5"/>
      <c r="H510" s="6" t="s">
        <v>425</v>
      </c>
      <c r="I510" s="6" t="s">
        <v>119</v>
      </c>
      <c r="J510" s="6">
        <v>3</v>
      </c>
      <c r="K510" s="6">
        <v>590</v>
      </c>
      <c r="L510" s="7" t="s">
        <v>7054</v>
      </c>
      <c r="M510" s="8" t="str">
        <f>"CFI"&amp;".D"&amp;TEXT(Caja_Finanzas[[#This Row],[fecha]],"DD-MM")&amp;"-"&amp;TEXT(Caja_Finanzas[[#This Row],[item]],"0000")</f>
        <v>CFI.D05-06-0470</v>
      </c>
      <c r="N510" s="8" t="str">
        <f t="shared" si="40"/>
        <v>PEN</v>
      </c>
      <c r="O510" s="13">
        <v>18</v>
      </c>
      <c r="P510" s="13"/>
      <c r="Q510" s="3">
        <f t="shared" si="36"/>
        <v>0</v>
      </c>
      <c r="R510" s="3">
        <f t="shared" si="37"/>
        <v>0</v>
      </c>
      <c r="S510" s="3">
        <f t="shared" si="38"/>
        <v>12747.899999999994</v>
      </c>
      <c r="T510" s="24"/>
      <c r="U510" s="24"/>
      <c r="V510" s="3"/>
      <c r="W510" s="25" t="s">
        <v>425</v>
      </c>
      <c r="X510" s="25" t="s">
        <v>7169</v>
      </c>
      <c r="Y510" s="25"/>
      <c r="Z510" s="25"/>
      <c r="AA510" s="25"/>
      <c r="AB510" s="3" t="str">
        <f>IF(Caja_Finanzas[[#This Row],[fecha]]&gt;0,TEXT(Caja_Finanzas[[#This Row],[fecha]],"mmmm"),0)</f>
        <v>Junio</v>
      </c>
    </row>
    <row r="511" spans="1:28" ht="24" x14ac:dyDescent="0.3">
      <c r="A511" s="2">
        <f>IF(Caja_Finanzas[[#This Row],[tipo_r]]="R",COUNTIFS($C$1:$C510,"R")+1,A510)</f>
        <v>470</v>
      </c>
      <c r="B511" s="19" t="str">
        <f t="shared" si="39"/>
        <v>C-Finanzas</v>
      </c>
      <c r="C511" s="3" t="s">
        <v>1352</v>
      </c>
      <c r="D511" s="14">
        <v>45813</v>
      </c>
      <c r="E511" s="5" t="s">
        <v>7170</v>
      </c>
      <c r="F511" s="5"/>
      <c r="G511" s="5"/>
      <c r="H511" s="6" t="s">
        <v>425</v>
      </c>
      <c r="I511" s="6" t="s">
        <v>119</v>
      </c>
      <c r="J511" s="6">
        <v>3</v>
      </c>
      <c r="K511" s="6">
        <v>591</v>
      </c>
      <c r="L511" s="7" t="s">
        <v>7054</v>
      </c>
      <c r="M511" s="8" t="str">
        <f>"CFI"&amp;".D"&amp;TEXT(Caja_Finanzas[[#This Row],[fecha]],"DD-MM")&amp;"-"&amp;TEXT(Caja_Finanzas[[#This Row],[item]],"0000")</f>
        <v>CFI.D05-06-0470</v>
      </c>
      <c r="N511" s="8" t="str">
        <f t="shared" si="40"/>
        <v>PEN</v>
      </c>
      <c r="O511" s="13">
        <v>29</v>
      </c>
      <c r="P511" s="13"/>
      <c r="Q511" s="3">
        <f t="shared" si="36"/>
        <v>0</v>
      </c>
      <c r="R511" s="3">
        <f t="shared" si="37"/>
        <v>0</v>
      </c>
      <c r="S511" s="3">
        <f t="shared" si="38"/>
        <v>12747.899999999994</v>
      </c>
      <c r="T511" s="24"/>
      <c r="U511" s="24"/>
      <c r="V511" s="3"/>
      <c r="W511" s="25" t="s">
        <v>425</v>
      </c>
      <c r="X511" s="25" t="s">
        <v>7171</v>
      </c>
      <c r="Y511" s="25"/>
      <c r="Z511" s="25"/>
      <c r="AA511" s="25"/>
      <c r="AB511" s="3" t="str">
        <f>IF(Caja_Finanzas[[#This Row],[fecha]]&gt;0,TEXT(Caja_Finanzas[[#This Row],[fecha]],"mmmm"),0)</f>
        <v>Junio</v>
      </c>
    </row>
    <row r="512" spans="1:28" ht="24" x14ac:dyDescent="0.3">
      <c r="A512" s="2">
        <f>IF(Caja_Finanzas[[#This Row],[tipo_r]]="R",COUNTIFS($C$1:$C511,"R")+1,A511)</f>
        <v>470</v>
      </c>
      <c r="B512" s="19" t="str">
        <f t="shared" si="39"/>
        <v>C-Finanzas</v>
      </c>
      <c r="C512" s="3" t="s">
        <v>1352</v>
      </c>
      <c r="D512" s="14">
        <v>45813</v>
      </c>
      <c r="E512" s="5" t="s">
        <v>7172</v>
      </c>
      <c r="F512" s="5"/>
      <c r="G512" s="5"/>
      <c r="H512" s="6" t="s">
        <v>425</v>
      </c>
      <c r="I512" s="6" t="s">
        <v>119</v>
      </c>
      <c r="J512" s="6">
        <v>3</v>
      </c>
      <c r="K512" s="6">
        <v>592</v>
      </c>
      <c r="L512" s="7" t="s">
        <v>7054</v>
      </c>
      <c r="M512" s="8" t="str">
        <f>"CFI"&amp;".D"&amp;TEXT(Caja_Finanzas[[#This Row],[fecha]],"DD-MM")&amp;"-"&amp;TEXT(Caja_Finanzas[[#This Row],[item]],"0000")</f>
        <v>CFI.D05-06-0470</v>
      </c>
      <c r="N512" s="8" t="str">
        <f t="shared" si="40"/>
        <v>PEN</v>
      </c>
      <c r="O512" s="13">
        <v>54.8</v>
      </c>
      <c r="P512" s="13"/>
      <c r="Q512" s="3">
        <f t="shared" si="36"/>
        <v>0</v>
      </c>
      <c r="R512" s="3">
        <f t="shared" si="37"/>
        <v>0</v>
      </c>
      <c r="S512" s="3">
        <f t="shared" si="38"/>
        <v>12747.899999999994</v>
      </c>
      <c r="T512" s="24"/>
      <c r="U512" s="24"/>
      <c r="V512" s="3"/>
      <c r="W512" s="25" t="s">
        <v>425</v>
      </c>
      <c r="X512" s="25" t="s">
        <v>7173</v>
      </c>
      <c r="Y512" s="25"/>
      <c r="Z512" s="25"/>
      <c r="AA512" s="25"/>
      <c r="AB512" s="3" t="str">
        <f>IF(Caja_Finanzas[[#This Row],[fecha]]&gt;0,TEXT(Caja_Finanzas[[#This Row],[fecha]],"mmmm"),0)</f>
        <v>Junio</v>
      </c>
    </row>
    <row r="513" spans="1:28" ht="24" x14ac:dyDescent="0.3">
      <c r="A513" s="2">
        <f>IF(Caja_Finanzas[[#This Row],[tipo_r]]="R",COUNTIFS($C$1:$C512,"R")+1,A512)</f>
        <v>470</v>
      </c>
      <c r="B513" s="19" t="str">
        <f t="shared" si="39"/>
        <v>C-Finanzas</v>
      </c>
      <c r="C513" s="3" t="s">
        <v>1352</v>
      </c>
      <c r="D513" s="14">
        <v>45813</v>
      </c>
      <c r="E513" s="5" t="s">
        <v>3679</v>
      </c>
      <c r="F513" s="5"/>
      <c r="G513" s="5"/>
      <c r="H513" s="6" t="s">
        <v>425</v>
      </c>
      <c r="I513" s="6" t="s">
        <v>119</v>
      </c>
      <c r="J513" s="6">
        <v>3</v>
      </c>
      <c r="K513" s="6">
        <v>593</v>
      </c>
      <c r="L513" s="7" t="s">
        <v>7054</v>
      </c>
      <c r="M513" s="8" t="str">
        <f>"CFI"&amp;".D"&amp;TEXT(Caja_Finanzas[[#This Row],[fecha]],"DD-MM")&amp;"-"&amp;TEXT(Caja_Finanzas[[#This Row],[item]],"0000")</f>
        <v>CFI.D05-06-0470</v>
      </c>
      <c r="N513" s="8" t="str">
        <f t="shared" si="40"/>
        <v>PEN</v>
      </c>
      <c r="O513" s="13">
        <v>46.5</v>
      </c>
      <c r="P513" s="13"/>
      <c r="Q513" s="3">
        <f t="shared" si="36"/>
        <v>0</v>
      </c>
      <c r="R513" s="3">
        <f t="shared" si="37"/>
        <v>0</v>
      </c>
      <c r="S513" s="3">
        <f t="shared" si="38"/>
        <v>12747.899999999994</v>
      </c>
      <c r="T513" s="24"/>
      <c r="U513" s="24"/>
      <c r="V513" s="3"/>
      <c r="W513" s="25" t="s">
        <v>425</v>
      </c>
      <c r="X513" s="25" t="s">
        <v>7174</v>
      </c>
      <c r="Y513" s="25"/>
      <c r="Z513" s="25"/>
      <c r="AA513" s="25"/>
      <c r="AB513" s="3" t="str">
        <f>IF(Caja_Finanzas[[#This Row],[fecha]]&gt;0,TEXT(Caja_Finanzas[[#This Row],[fecha]],"mmmm"),0)</f>
        <v>Junio</v>
      </c>
    </row>
    <row r="514" spans="1:28" ht="24" x14ac:dyDescent="0.3">
      <c r="A514" s="2">
        <f>IF(Caja_Finanzas[[#This Row],[tipo_r]]="R",COUNTIFS($C$1:$C513,"R")+1,A513)</f>
        <v>470</v>
      </c>
      <c r="B514" s="19" t="str">
        <f t="shared" si="39"/>
        <v>C-Finanzas</v>
      </c>
      <c r="C514" s="3" t="s">
        <v>1352</v>
      </c>
      <c r="D514" s="14">
        <v>45813</v>
      </c>
      <c r="E514" s="5" t="s">
        <v>1498</v>
      </c>
      <c r="F514" s="5"/>
      <c r="G514" s="5"/>
      <c r="H514" s="6" t="s">
        <v>425</v>
      </c>
      <c r="I514" s="6" t="s">
        <v>119</v>
      </c>
      <c r="J514" s="6">
        <v>3</v>
      </c>
      <c r="K514" s="6">
        <v>594</v>
      </c>
      <c r="L514" s="7" t="s">
        <v>7054</v>
      </c>
      <c r="M514" s="8" t="str">
        <f>"CFI"&amp;".D"&amp;TEXT(Caja_Finanzas[[#This Row],[fecha]],"DD-MM")&amp;"-"&amp;TEXT(Caja_Finanzas[[#This Row],[item]],"0000")</f>
        <v>CFI.D05-06-0470</v>
      </c>
      <c r="N514" s="8" t="str">
        <f t="shared" si="40"/>
        <v>PEN</v>
      </c>
      <c r="O514" s="13">
        <v>3</v>
      </c>
      <c r="P514" s="13"/>
      <c r="Q514" s="3">
        <f t="shared" ref="Q514:Q577" si="41">+IF(OR($F514="SALDO",$F514="INGRESO"),$P514,0)</f>
        <v>0</v>
      </c>
      <c r="R514" s="3">
        <f t="shared" ref="R514:R577" si="42">+IF($F514="EGRESO",$P514,0)</f>
        <v>0</v>
      </c>
      <c r="S514" s="3">
        <f t="shared" ref="S514:S577" si="43">IFERROR(IF(F514="SALDO",Q514,S513+Q514-R514),0)</f>
        <v>12747.899999999994</v>
      </c>
      <c r="T514" s="24"/>
      <c r="U514" s="24"/>
      <c r="V514" s="3"/>
      <c r="W514" s="25" t="s">
        <v>425</v>
      </c>
      <c r="X514" s="25" t="s">
        <v>7175</v>
      </c>
      <c r="Y514" s="25"/>
      <c r="Z514" s="25"/>
      <c r="AA514" s="25"/>
      <c r="AB514" s="3" t="str">
        <f>IF(Caja_Finanzas[[#This Row],[fecha]]&gt;0,TEXT(Caja_Finanzas[[#This Row],[fecha]],"mmmm"),0)</f>
        <v>Junio</v>
      </c>
    </row>
    <row r="515" spans="1:28" ht="24" x14ac:dyDescent="0.3">
      <c r="A515" s="2">
        <f>IF(Caja_Finanzas[[#This Row],[tipo_r]]="R",COUNTIFS($C$1:$C514,"R")+1,A514)</f>
        <v>470</v>
      </c>
      <c r="B515" s="19" t="str">
        <f t="shared" ref="B515:B578" si="44">"C-Finanzas"</f>
        <v>C-Finanzas</v>
      </c>
      <c r="C515" s="3" t="s">
        <v>1352</v>
      </c>
      <c r="D515" s="14">
        <v>45813</v>
      </c>
      <c r="E515" s="5" t="s">
        <v>1498</v>
      </c>
      <c r="F515" s="5"/>
      <c r="G515" s="5"/>
      <c r="H515" s="6" t="s">
        <v>425</v>
      </c>
      <c r="I515" s="6" t="s">
        <v>119</v>
      </c>
      <c r="J515" s="6">
        <v>3</v>
      </c>
      <c r="K515" s="6">
        <v>595</v>
      </c>
      <c r="L515" s="7" t="s">
        <v>7054</v>
      </c>
      <c r="M515" s="8" t="str">
        <f>"CFI"&amp;".D"&amp;TEXT(Caja_Finanzas[[#This Row],[fecha]],"DD-MM")&amp;"-"&amp;TEXT(Caja_Finanzas[[#This Row],[item]],"0000")</f>
        <v>CFI.D05-06-0470</v>
      </c>
      <c r="N515" s="8" t="str">
        <f t="shared" ref="N515:N578" si="45">"PEN"</f>
        <v>PEN</v>
      </c>
      <c r="O515" s="13">
        <v>14.5</v>
      </c>
      <c r="P515" s="13"/>
      <c r="Q515" s="3">
        <f t="shared" si="41"/>
        <v>0</v>
      </c>
      <c r="R515" s="3">
        <f t="shared" si="42"/>
        <v>0</v>
      </c>
      <c r="S515" s="3">
        <f t="shared" si="43"/>
        <v>12747.899999999994</v>
      </c>
      <c r="T515" s="24"/>
      <c r="U515" s="24"/>
      <c r="V515" s="3"/>
      <c r="W515" s="25" t="s">
        <v>425</v>
      </c>
      <c r="X515" s="25" t="s">
        <v>7176</v>
      </c>
      <c r="Y515" s="25"/>
      <c r="Z515" s="25"/>
      <c r="AA515" s="25"/>
      <c r="AB515" s="3" t="str">
        <f>IF(Caja_Finanzas[[#This Row],[fecha]]&gt;0,TEXT(Caja_Finanzas[[#This Row],[fecha]],"mmmm"),0)</f>
        <v>Junio</v>
      </c>
    </row>
    <row r="516" spans="1:28" ht="24" x14ac:dyDescent="0.3">
      <c r="A516" s="2">
        <f>IF(Caja_Finanzas[[#This Row],[tipo_r]]="R",COUNTIFS($C$1:$C515,"R")+1,A515)</f>
        <v>470</v>
      </c>
      <c r="B516" s="19" t="str">
        <f t="shared" si="44"/>
        <v>C-Finanzas</v>
      </c>
      <c r="C516" s="3" t="s">
        <v>1352</v>
      </c>
      <c r="D516" s="14">
        <v>45813</v>
      </c>
      <c r="E516" s="5" t="s">
        <v>7177</v>
      </c>
      <c r="F516" s="5"/>
      <c r="G516" s="5"/>
      <c r="H516" s="6" t="s">
        <v>425</v>
      </c>
      <c r="I516" s="6" t="s">
        <v>119</v>
      </c>
      <c r="J516" s="6">
        <v>3</v>
      </c>
      <c r="K516" s="6">
        <v>596</v>
      </c>
      <c r="L516" s="7" t="s">
        <v>7054</v>
      </c>
      <c r="M516" s="8" t="str">
        <f>"CFI"&amp;".D"&amp;TEXT(Caja_Finanzas[[#This Row],[fecha]],"DD-MM")&amp;"-"&amp;TEXT(Caja_Finanzas[[#This Row],[item]],"0000")</f>
        <v>CFI.D05-06-0470</v>
      </c>
      <c r="N516" s="8" t="str">
        <f t="shared" si="45"/>
        <v>PEN</v>
      </c>
      <c r="O516" s="13">
        <v>3.8</v>
      </c>
      <c r="P516" s="13"/>
      <c r="Q516" s="3">
        <f t="shared" si="41"/>
        <v>0</v>
      </c>
      <c r="R516" s="3">
        <f t="shared" si="42"/>
        <v>0</v>
      </c>
      <c r="S516" s="3">
        <f t="shared" si="43"/>
        <v>12747.899999999994</v>
      </c>
      <c r="T516" s="24"/>
      <c r="U516" s="24"/>
      <c r="V516" s="3"/>
      <c r="W516" s="25" t="s">
        <v>425</v>
      </c>
      <c r="X516" s="25" t="s">
        <v>7178</v>
      </c>
      <c r="Y516" s="25"/>
      <c r="Z516" s="25"/>
      <c r="AA516" s="25"/>
      <c r="AB516" s="3" t="str">
        <f>IF(Caja_Finanzas[[#This Row],[fecha]]&gt;0,TEXT(Caja_Finanzas[[#This Row],[fecha]],"mmmm"),0)</f>
        <v>Junio</v>
      </c>
    </row>
    <row r="517" spans="1:28" ht="24" x14ac:dyDescent="0.3">
      <c r="A517" s="2">
        <f>IF(Caja_Finanzas[[#This Row],[tipo_r]]="R",COUNTIFS($C$1:$C516,"R")+1,A516)</f>
        <v>470</v>
      </c>
      <c r="B517" s="19" t="str">
        <f t="shared" si="44"/>
        <v>C-Finanzas</v>
      </c>
      <c r="C517" s="3" t="s">
        <v>1352</v>
      </c>
      <c r="D517" s="14">
        <v>45813</v>
      </c>
      <c r="E517" s="5" t="s">
        <v>6515</v>
      </c>
      <c r="F517" s="5"/>
      <c r="G517" s="5"/>
      <c r="H517" s="6" t="s">
        <v>425</v>
      </c>
      <c r="I517" s="6" t="s">
        <v>119</v>
      </c>
      <c r="J517" s="6">
        <v>3</v>
      </c>
      <c r="K517" s="6">
        <v>597</v>
      </c>
      <c r="L517" s="7" t="s">
        <v>7054</v>
      </c>
      <c r="M517" s="8" t="str">
        <f>"CFI"&amp;".D"&amp;TEXT(Caja_Finanzas[[#This Row],[fecha]],"DD-MM")&amp;"-"&amp;TEXT(Caja_Finanzas[[#This Row],[item]],"0000")</f>
        <v>CFI.D05-06-0470</v>
      </c>
      <c r="N517" s="8" t="str">
        <f t="shared" si="45"/>
        <v>PEN</v>
      </c>
      <c r="O517" s="13">
        <v>13.3</v>
      </c>
      <c r="P517" s="13"/>
      <c r="Q517" s="3">
        <f t="shared" si="41"/>
        <v>0</v>
      </c>
      <c r="R517" s="3">
        <f t="shared" si="42"/>
        <v>0</v>
      </c>
      <c r="S517" s="3">
        <f t="shared" si="43"/>
        <v>12747.899999999994</v>
      </c>
      <c r="T517" s="24"/>
      <c r="U517" s="24"/>
      <c r="V517" s="3"/>
      <c r="W517" s="25" t="s">
        <v>425</v>
      </c>
      <c r="X517" s="25" t="s">
        <v>7179</v>
      </c>
      <c r="Y517" s="25"/>
      <c r="Z517" s="25"/>
      <c r="AA517" s="25"/>
      <c r="AB517" s="3" t="str">
        <f>IF(Caja_Finanzas[[#This Row],[fecha]]&gt;0,TEXT(Caja_Finanzas[[#This Row],[fecha]],"mmmm"),0)</f>
        <v>Junio</v>
      </c>
    </row>
    <row r="518" spans="1:28" ht="24" x14ac:dyDescent="0.3">
      <c r="A518" s="2">
        <f>IF(Caja_Finanzas[[#This Row],[tipo_r]]="R",COUNTIFS($C$1:$C517,"R")+1,A517)</f>
        <v>470</v>
      </c>
      <c r="B518" s="19" t="str">
        <f t="shared" si="44"/>
        <v>C-Finanzas</v>
      </c>
      <c r="C518" s="3" t="s">
        <v>1352</v>
      </c>
      <c r="D518" s="14">
        <v>45813</v>
      </c>
      <c r="E518" s="5" t="s">
        <v>3677</v>
      </c>
      <c r="F518" s="5"/>
      <c r="G518" s="5"/>
      <c r="H518" s="6" t="s">
        <v>425</v>
      </c>
      <c r="I518" s="6" t="s">
        <v>119</v>
      </c>
      <c r="J518" s="6">
        <v>3</v>
      </c>
      <c r="K518" s="6">
        <v>598</v>
      </c>
      <c r="L518" s="7" t="s">
        <v>7054</v>
      </c>
      <c r="M518" s="8" t="str">
        <f>"CFI"&amp;".D"&amp;TEXT(Caja_Finanzas[[#This Row],[fecha]],"DD-MM")&amp;"-"&amp;TEXT(Caja_Finanzas[[#This Row],[item]],"0000")</f>
        <v>CFI.D05-06-0470</v>
      </c>
      <c r="N518" s="8" t="str">
        <f t="shared" si="45"/>
        <v>PEN</v>
      </c>
      <c r="O518" s="13">
        <v>170.9</v>
      </c>
      <c r="P518" s="13"/>
      <c r="Q518" s="3">
        <f t="shared" si="41"/>
        <v>0</v>
      </c>
      <c r="R518" s="3">
        <f t="shared" si="42"/>
        <v>0</v>
      </c>
      <c r="S518" s="3">
        <f t="shared" si="43"/>
        <v>12747.899999999994</v>
      </c>
      <c r="T518" s="24"/>
      <c r="U518" s="24"/>
      <c r="V518" s="3"/>
      <c r="W518" s="25" t="s">
        <v>425</v>
      </c>
      <c r="X518" s="25" t="s">
        <v>7180</v>
      </c>
      <c r="Y518" s="25"/>
      <c r="Z518" s="25"/>
      <c r="AA518" s="25"/>
      <c r="AB518" s="3" t="str">
        <f>IF(Caja_Finanzas[[#This Row],[fecha]]&gt;0,TEXT(Caja_Finanzas[[#This Row],[fecha]],"mmmm"),0)</f>
        <v>Junio</v>
      </c>
    </row>
    <row r="519" spans="1:28" ht="24" x14ac:dyDescent="0.3">
      <c r="A519" s="2">
        <f>IF(Caja_Finanzas[[#This Row],[tipo_r]]="R",COUNTIFS($C$1:$C518,"R")+1,A518)</f>
        <v>470</v>
      </c>
      <c r="B519" s="19" t="str">
        <f t="shared" si="44"/>
        <v>C-Finanzas</v>
      </c>
      <c r="C519" s="3" t="s">
        <v>1352</v>
      </c>
      <c r="D519" s="14">
        <v>45813</v>
      </c>
      <c r="E519" s="5" t="s">
        <v>7172</v>
      </c>
      <c r="F519" s="5"/>
      <c r="G519" s="5"/>
      <c r="H519" s="6" t="s">
        <v>425</v>
      </c>
      <c r="I519" s="6" t="s">
        <v>119</v>
      </c>
      <c r="J519" s="6">
        <v>3</v>
      </c>
      <c r="K519" s="6">
        <v>599</v>
      </c>
      <c r="L519" s="7" t="s">
        <v>7054</v>
      </c>
      <c r="M519" s="8" t="str">
        <f>"CFI"&amp;".D"&amp;TEXT(Caja_Finanzas[[#This Row],[fecha]],"DD-MM")&amp;"-"&amp;TEXT(Caja_Finanzas[[#This Row],[item]],"0000")</f>
        <v>CFI.D05-06-0470</v>
      </c>
      <c r="N519" s="8" t="str">
        <f t="shared" si="45"/>
        <v>PEN</v>
      </c>
      <c r="O519" s="13">
        <v>26.5</v>
      </c>
      <c r="P519" s="13"/>
      <c r="Q519" s="3">
        <f t="shared" si="41"/>
        <v>0</v>
      </c>
      <c r="R519" s="3">
        <f t="shared" si="42"/>
        <v>0</v>
      </c>
      <c r="S519" s="3">
        <f t="shared" si="43"/>
        <v>12747.899999999994</v>
      </c>
      <c r="T519" s="24"/>
      <c r="U519" s="24"/>
      <c r="V519" s="3"/>
      <c r="W519" s="25" t="s">
        <v>425</v>
      </c>
      <c r="X519" s="25" t="s">
        <v>7181</v>
      </c>
      <c r="Y519" s="25"/>
      <c r="Z519" s="25"/>
      <c r="AA519" s="25"/>
      <c r="AB519" s="3" t="str">
        <f>IF(Caja_Finanzas[[#This Row],[fecha]]&gt;0,TEXT(Caja_Finanzas[[#This Row],[fecha]],"mmmm"),0)</f>
        <v>Junio</v>
      </c>
    </row>
    <row r="520" spans="1:28" ht="24" x14ac:dyDescent="0.3">
      <c r="A520" s="2">
        <f>IF(Caja_Finanzas[[#This Row],[tipo_r]]="R",COUNTIFS($C$1:$C519,"R")+1,A519)</f>
        <v>470</v>
      </c>
      <c r="B520" s="19" t="str">
        <f t="shared" si="44"/>
        <v>C-Finanzas</v>
      </c>
      <c r="C520" s="3" t="s">
        <v>1352</v>
      </c>
      <c r="D520" s="14">
        <v>45813</v>
      </c>
      <c r="E520" s="5" t="s">
        <v>3679</v>
      </c>
      <c r="F520" s="5"/>
      <c r="G520" s="5"/>
      <c r="H520" s="6" t="s">
        <v>425</v>
      </c>
      <c r="I520" s="6" t="s">
        <v>119</v>
      </c>
      <c r="J520" s="6">
        <v>3</v>
      </c>
      <c r="K520" s="6">
        <v>600</v>
      </c>
      <c r="L520" s="7" t="s">
        <v>7054</v>
      </c>
      <c r="M520" s="8" t="str">
        <f>"CFI"&amp;".D"&amp;TEXT(Caja_Finanzas[[#This Row],[fecha]],"DD-MM")&amp;"-"&amp;TEXT(Caja_Finanzas[[#This Row],[item]],"0000")</f>
        <v>CFI.D05-06-0470</v>
      </c>
      <c r="N520" s="8" t="str">
        <f t="shared" si="45"/>
        <v>PEN</v>
      </c>
      <c r="O520" s="13">
        <v>59.5</v>
      </c>
      <c r="P520" s="13"/>
      <c r="Q520" s="3">
        <f t="shared" si="41"/>
        <v>0</v>
      </c>
      <c r="R520" s="3">
        <f t="shared" si="42"/>
        <v>0</v>
      </c>
      <c r="S520" s="3">
        <f t="shared" si="43"/>
        <v>12747.899999999994</v>
      </c>
      <c r="T520" s="24"/>
      <c r="U520" s="24"/>
      <c r="V520" s="3"/>
      <c r="W520" s="25" t="s">
        <v>425</v>
      </c>
      <c r="X520" s="25" t="s">
        <v>7182</v>
      </c>
      <c r="Y520" s="25"/>
      <c r="Z520" s="25"/>
      <c r="AA520" s="25"/>
      <c r="AB520" s="3" t="str">
        <f>IF(Caja_Finanzas[[#This Row],[fecha]]&gt;0,TEXT(Caja_Finanzas[[#This Row],[fecha]],"mmmm"),0)</f>
        <v>Junio</v>
      </c>
    </row>
    <row r="521" spans="1:28" ht="24" x14ac:dyDescent="0.3">
      <c r="A521" s="2">
        <f>IF(Caja_Finanzas[[#This Row],[tipo_r]]="R",COUNTIFS($C$1:$C520,"R")+1,A520)</f>
        <v>470</v>
      </c>
      <c r="B521" s="19" t="str">
        <f t="shared" si="44"/>
        <v>C-Finanzas</v>
      </c>
      <c r="C521" s="3" t="s">
        <v>1352</v>
      </c>
      <c r="D521" s="14">
        <v>45813</v>
      </c>
      <c r="E521" s="5" t="s">
        <v>7183</v>
      </c>
      <c r="F521" s="5"/>
      <c r="G521" s="5"/>
      <c r="H521" s="6" t="s">
        <v>425</v>
      </c>
      <c r="I521" s="6" t="s">
        <v>119</v>
      </c>
      <c r="J521" s="6">
        <v>3</v>
      </c>
      <c r="K521" s="6">
        <v>601</v>
      </c>
      <c r="L521" s="7" t="s">
        <v>7054</v>
      </c>
      <c r="M521" s="8" t="str">
        <f>"CFI"&amp;".D"&amp;TEXT(Caja_Finanzas[[#This Row],[fecha]],"DD-MM")&amp;"-"&amp;TEXT(Caja_Finanzas[[#This Row],[item]],"0000")</f>
        <v>CFI.D05-06-0470</v>
      </c>
      <c r="N521" s="8" t="str">
        <f t="shared" si="45"/>
        <v>PEN</v>
      </c>
      <c r="O521" s="13">
        <v>235</v>
      </c>
      <c r="P521" s="13"/>
      <c r="Q521" s="3">
        <f t="shared" si="41"/>
        <v>0</v>
      </c>
      <c r="R521" s="3">
        <f t="shared" si="42"/>
        <v>0</v>
      </c>
      <c r="S521" s="3">
        <f t="shared" si="43"/>
        <v>12747.899999999994</v>
      </c>
      <c r="T521" s="24"/>
      <c r="U521" s="24"/>
      <c r="V521" s="3"/>
      <c r="W521" s="25" t="s">
        <v>425</v>
      </c>
      <c r="X521" s="25" t="s">
        <v>7184</v>
      </c>
      <c r="Y521" s="25"/>
      <c r="Z521" s="25"/>
      <c r="AA521" s="25"/>
      <c r="AB521" s="3" t="str">
        <f>IF(Caja_Finanzas[[#This Row],[fecha]]&gt;0,TEXT(Caja_Finanzas[[#This Row],[fecha]],"mmmm"),0)</f>
        <v>Junio</v>
      </c>
    </row>
    <row r="522" spans="1:28" ht="24" x14ac:dyDescent="0.3">
      <c r="A522" s="2">
        <f>IF(Caja_Finanzas[[#This Row],[tipo_r]]="R",COUNTIFS($C$1:$C521,"R")+1,A521)</f>
        <v>470</v>
      </c>
      <c r="B522" s="19" t="str">
        <f t="shared" si="44"/>
        <v>C-Finanzas</v>
      </c>
      <c r="C522" s="3" t="s">
        <v>1352</v>
      </c>
      <c r="D522" s="14">
        <v>45813</v>
      </c>
      <c r="E522" s="5" t="s">
        <v>7056</v>
      </c>
      <c r="F522" s="5"/>
      <c r="G522" s="5"/>
      <c r="H522" s="6" t="s">
        <v>425</v>
      </c>
      <c r="I522" s="6" t="s">
        <v>119</v>
      </c>
      <c r="J522" s="6">
        <v>3</v>
      </c>
      <c r="K522" s="6">
        <v>603</v>
      </c>
      <c r="L522" s="7" t="s">
        <v>7054</v>
      </c>
      <c r="M522" s="8" t="str">
        <f>"CFI"&amp;".D"&amp;TEXT(Caja_Finanzas[[#This Row],[fecha]],"DD-MM")&amp;"-"&amp;TEXT(Caja_Finanzas[[#This Row],[item]],"0000")</f>
        <v>CFI.D05-06-0470</v>
      </c>
      <c r="N522" s="8" t="str">
        <f t="shared" si="45"/>
        <v>PEN</v>
      </c>
      <c r="O522" s="13">
        <v>30.8</v>
      </c>
      <c r="P522" s="13"/>
      <c r="Q522" s="3">
        <f t="shared" si="41"/>
        <v>0</v>
      </c>
      <c r="R522" s="3">
        <f t="shared" si="42"/>
        <v>0</v>
      </c>
      <c r="S522" s="3">
        <f t="shared" si="43"/>
        <v>12747.899999999994</v>
      </c>
      <c r="T522" s="24"/>
      <c r="U522" s="24"/>
      <c r="V522" s="3"/>
      <c r="W522" s="25" t="s">
        <v>425</v>
      </c>
      <c r="X522" s="25" t="s">
        <v>7185</v>
      </c>
      <c r="Y522" s="25"/>
      <c r="Z522" s="25"/>
      <c r="AA522" s="25"/>
      <c r="AB522" s="3" t="str">
        <f>IF(Caja_Finanzas[[#This Row],[fecha]]&gt;0,TEXT(Caja_Finanzas[[#This Row],[fecha]],"mmmm"),0)</f>
        <v>Junio</v>
      </c>
    </row>
    <row r="523" spans="1:28" ht="24" x14ac:dyDescent="0.3">
      <c r="A523" s="2">
        <f>IF(Caja_Finanzas[[#This Row],[tipo_r]]="R",COUNTIFS($C$1:$C522,"R")+1,A522)</f>
        <v>470</v>
      </c>
      <c r="B523" s="19" t="str">
        <f t="shared" si="44"/>
        <v>C-Finanzas</v>
      </c>
      <c r="C523" s="3" t="s">
        <v>1352</v>
      </c>
      <c r="D523" s="14">
        <v>45813</v>
      </c>
      <c r="E523" s="5" t="s">
        <v>3681</v>
      </c>
      <c r="F523" s="5"/>
      <c r="G523" s="5"/>
      <c r="H523" s="6" t="s">
        <v>425</v>
      </c>
      <c r="I523" s="6" t="s">
        <v>119</v>
      </c>
      <c r="J523" s="6">
        <v>3</v>
      </c>
      <c r="K523" s="6">
        <v>604</v>
      </c>
      <c r="L523" s="7" t="s">
        <v>7054</v>
      </c>
      <c r="M523" s="8" t="str">
        <f>"CFI"&amp;".D"&amp;TEXT(Caja_Finanzas[[#This Row],[fecha]],"DD-MM")&amp;"-"&amp;TEXT(Caja_Finanzas[[#This Row],[item]],"0000")</f>
        <v>CFI.D05-06-0470</v>
      </c>
      <c r="N523" s="8" t="str">
        <f t="shared" si="45"/>
        <v>PEN</v>
      </c>
      <c r="O523" s="13">
        <v>14.3</v>
      </c>
      <c r="P523" s="13"/>
      <c r="Q523" s="3">
        <f t="shared" si="41"/>
        <v>0</v>
      </c>
      <c r="R523" s="3">
        <f t="shared" si="42"/>
        <v>0</v>
      </c>
      <c r="S523" s="3">
        <f t="shared" si="43"/>
        <v>12747.899999999994</v>
      </c>
      <c r="T523" s="24"/>
      <c r="U523" s="24"/>
      <c r="V523" s="3"/>
      <c r="W523" s="25" t="s">
        <v>425</v>
      </c>
      <c r="X523" s="25" t="s">
        <v>7186</v>
      </c>
      <c r="Y523" s="25"/>
      <c r="Z523" s="25"/>
      <c r="AA523" s="25"/>
      <c r="AB523" s="3" t="str">
        <f>IF(Caja_Finanzas[[#This Row],[fecha]]&gt;0,TEXT(Caja_Finanzas[[#This Row],[fecha]],"mmmm"),0)</f>
        <v>Junio</v>
      </c>
    </row>
    <row r="524" spans="1:28" x14ac:dyDescent="0.3">
      <c r="A524" s="2">
        <f>IF(Caja_Finanzas[[#This Row],[tipo_r]]="R",COUNTIFS($C$1:$C523,"R")+1,A523)</f>
        <v>470</v>
      </c>
      <c r="B524" s="19" t="str">
        <f t="shared" si="44"/>
        <v>C-Finanzas</v>
      </c>
      <c r="C524" s="3" t="s">
        <v>1352</v>
      </c>
      <c r="D524" s="14">
        <v>45813</v>
      </c>
      <c r="E524" s="5"/>
      <c r="F524" s="5"/>
      <c r="G524" s="5"/>
      <c r="H524" s="6"/>
      <c r="I524" s="6"/>
      <c r="J524" s="6"/>
      <c r="K524" s="6"/>
      <c r="L524" s="7" t="s">
        <v>7081</v>
      </c>
      <c r="M524" s="8" t="str">
        <f>"CFI"&amp;".D"&amp;TEXT(Caja_Finanzas[[#This Row],[fecha]],"DD-MM")&amp;"-"&amp;TEXT(Caja_Finanzas[[#This Row],[item]],"0000")</f>
        <v>CFI.D05-06-0470</v>
      </c>
      <c r="N524" s="8" t="str">
        <f t="shared" si="45"/>
        <v>PEN</v>
      </c>
      <c r="O524" s="13">
        <v>230</v>
      </c>
      <c r="P524" s="13"/>
      <c r="Q524" s="3">
        <f t="shared" si="41"/>
        <v>0</v>
      </c>
      <c r="R524" s="3">
        <f t="shared" si="42"/>
        <v>0</v>
      </c>
      <c r="S524" s="3">
        <f t="shared" si="43"/>
        <v>12747.899999999994</v>
      </c>
      <c r="T524" s="24"/>
      <c r="U524" s="24"/>
      <c r="V524" s="3"/>
      <c r="W524" s="25" t="s">
        <v>425</v>
      </c>
      <c r="X524" s="25"/>
      <c r="Y524" s="25"/>
      <c r="Z524" s="25"/>
      <c r="AA524" s="25"/>
      <c r="AB524" s="3" t="str">
        <f>IF(Caja_Finanzas[[#This Row],[fecha]]&gt;0,TEXT(Caja_Finanzas[[#This Row],[fecha]],"mmmm"),0)</f>
        <v>Junio</v>
      </c>
    </row>
    <row r="525" spans="1:28" x14ac:dyDescent="0.3">
      <c r="A525" s="2">
        <f>IF(Caja_Finanzas[[#This Row],[tipo_r]]="R",COUNTIFS($C$1:$C524,"R")+1,A524)</f>
        <v>470</v>
      </c>
      <c r="B525" s="19" t="str">
        <f t="shared" si="44"/>
        <v>C-Finanzas</v>
      </c>
      <c r="C525" s="3" t="s">
        <v>1352</v>
      </c>
      <c r="D525" s="14">
        <v>45813</v>
      </c>
      <c r="E525" s="5"/>
      <c r="F525" s="5"/>
      <c r="G525" s="5"/>
      <c r="H525" s="6"/>
      <c r="I525" s="6"/>
      <c r="J525" s="6"/>
      <c r="K525" s="6"/>
      <c r="L525" s="7" t="s">
        <v>7082</v>
      </c>
      <c r="M525" s="8" t="str">
        <f>"CFI"&amp;".D"&amp;TEXT(Caja_Finanzas[[#This Row],[fecha]],"DD-MM")&amp;"-"&amp;TEXT(Caja_Finanzas[[#This Row],[item]],"0000")</f>
        <v>CFI.D05-06-0470</v>
      </c>
      <c r="N525" s="8" t="str">
        <f t="shared" si="45"/>
        <v>PEN</v>
      </c>
      <c r="O525" s="13">
        <v>30</v>
      </c>
      <c r="P525" s="13"/>
      <c r="Q525" s="3">
        <f t="shared" si="41"/>
        <v>0</v>
      </c>
      <c r="R525" s="3">
        <f t="shared" si="42"/>
        <v>0</v>
      </c>
      <c r="S525" s="3">
        <f t="shared" si="43"/>
        <v>12747.899999999994</v>
      </c>
      <c r="T525" s="24"/>
      <c r="U525" s="24"/>
      <c r="V525" s="3"/>
      <c r="W525" s="25" t="s">
        <v>425</v>
      </c>
      <c r="X525" s="25"/>
      <c r="Y525" s="25"/>
      <c r="Z525" s="25"/>
      <c r="AA525" s="25"/>
      <c r="AB525" s="3" t="str">
        <f>IF(Caja_Finanzas[[#This Row],[fecha]]&gt;0,TEXT(Caja_Finanzas[[#This Row],[fecha]],"mmmm"),0)</f>
        <v>Junio</v>
      </c>
    </row>
    <row r="526" spans="1:28" ht="36" x14ac:dyDescent="0.3">
      <c r="A526" s="2">
        <f>IF(Caja_Finanzas[[#This Row],[tipo_r]]="R",COUNTIFS($C$1:$C525,"R")+1,A525)</f>
        <v>471</v>
      </c>
      <c r="B526" s="19" t="str">
        <f t="shared" si="44"/>
        <v>C-Finanzas</v>
      </c>
      <c r="C526" s="3" t="s">
        <v>1330</v>
      </c>
      <c r="D526" s="14">
        <v>45813</v>
      </c>
      <c r="E526" s="5" t="s">
        <v>5811</v>
      </c>
      <c r="F526" s="5" t="s">
        <v>1336</v>
      </c>
      <c r="G526" s="5"/>
      <c r="H526" s="6" t="s">
        <v>1009</v>
      </c>
      <c r="I526" s="6" t="s">
        <v>115</v>
      </c>
      <c r="J526" s="6" t="s">
        <v>7187</v>
      </c>
      <c r="K526" s="6">
        <v>116</v>
      </c>
      <c r="L526" s="7" t="s">
        <v>7188</v>
      </c>
      <c r="M526" s="8" t="str">
        <f>"CFI"&amp;".D"&amp;TEXT(Caja_Finanzas[[#This Row],[fecha]],"DD-MM")&amp;"-"&amp;TEXT(Caja_Finanzas[[#This Row],[item]],"0000")</f>
        <v>CFI.D05-06-0471</v>
      </c>
      <c r="N526" s="8" t="str">
        <f t="shared" si="45"/>
        <v>PEN</v>
      </c>
      <c r="O526" s="13"/>
      <c r="P526" s="13">
        <v>1600</v>
      </c>
      <c r="Q526" s="3">
        <f t="shared" si="41"/>
        <v>0</v>
      </c>
      <c r="R526" s="3">
        <f t="shared" si="42"/>
        <v>1600</v>
      </c>
      <c r="S526" s="3">
        <f t="shared" si="43"/>
        <v>11147.899999999994</v>
      </c>
      <c r="T526" s="24"/>
      <c r="U526" s="24"/>
      <c r="V526" s="3"/>
      <c r="W526" s="25" t="s">
        <v>464</v>
      </c>
      <c r="X526" s="25" t="s">
        <v>7189</v>
      </c>
      <c r="Y526" s="25"/>
      <c r="Z526" s="25"/>
      <c r="AA526" s="25"/>
      <c r="AB526" s="3" t="str">
        <f>IF(Caja_Finanzas[[#This Row],[fecha]]&gt;0,TEXT(Caja_Finanzas[[#This Row],[fecha]],"mmmm"),0)</f>
        <v>Junio</v>
      </c>
    </row>
    <row r="527" spans="1:28" ht="36" x14ac:dyDescent="0.3">
      <c r="A527" s="2">
        <f>IF(Caja_Finanzas[[#This Row],[tipo_r]]="R",COUNTIFS($C$1:$C526,"R")+1,A526)</f>
        <v>472</v>
      </c>
      <c r="B527" s="19" t="str">
        <f t="shared" si="44"/>
        <v>C-Finanzas</v>
      </c>
      <c r="C527" s="3" t="s">
        <v>1330</v>
      </c>
      <c r="D527" s="14">
        <v>45813</v>
      </c>
      <c r="E527" s="5" t="s">
        <v>6415</v>
      </c>
      <c r="F527" s="5" t="s">
        <v>1336</v>
      </c>
      <c r="G527" s="5"/>
      <c r="H527" s="6"/>
      <c r="I527" s="6"/>
      <c r="J527" s="6"/>
      <c r="K527" s="6"/>
      <c r="L527" s="7" t="s">
        <v>7190</v>
      </c>
      <c r="M527" s="8" t="str">
        <f>"CFI"&amp;".D"&amp;TEXT(Caja_Finanzas[[#This Row],[fecha]],"DD-MM")&amp;"-"&amp;TEXT(Caja_Finanzas[[#This Row],[item]],"0000")</f>
        <v>CFI.D05-06-0472</v>
      </c>
      <c r="N527" s="8" t="str">
        <f t="shared" si="45"/>
        <v>PEN</v>
      </c>
      <c r="O527" s="13"/>
      <c r="P527" s="13">
        <v>5032</v>
      </c>
      <c r="Q527" s="3">
        <f t="shared" si="41"/>
        <v>0</v>
      </c>
      <c r="R527" s="3">
        <f t="shared" si="42"/>
        <v>5032</v>
      </c>
      <c r="S527" s="3">
        <f t="shared" si="43"/>
        <v>6115.8999999999942</v>
      </c>
      <c r="T527" s="24"/>
      <c r="U527" s="24"/>
      <c r="V527" s="3"/>
      <c r="W527" s="25" t="s">
        <v>4923</v>
      </c>
      <c r="X527" s="25"/>
      <c r="Y527" s="25"/>
      <c r="Z527" s="25"/>
      <c r="AA527" s="25"/>
      <c r="AB527" s="3" t="str">
        <f>IF(Caja_Finanzas[[#This Row],[fecha]]&gt;0,TEXT(Caja_Finanzas[[#This Row],[fecha]],"mmmm"),0)</f>
        <v>Junio</v>
      </c>
    </row>
    <row r="528" spans="1:28" ht="24" x14ac:dyDescent="0.3">
      <c r="A528" s="2">
        <f>IF(Caja_Finanzas[[#This Row],[tipo_r]]="R",COUNTIFS($C$1:$C527,"R")+1,A527)</f>
        <v>473</v>
      </c>
      <c r="B528" s="19" t="str">
        <f t="shared" si="44"/>
        <v>C-Finanzas</v>
      </c>
      <c r="C528" s="3" t="s">
        <v>1330</v>
      </c>
      <c r="D528" s="14">
        <v>45814</v>
      </c>
      <c r="E528" s="5" t="s">
        <v>2009</v>
      </c>
      <c r="F528" s="5" t="s">
        <v>1303</v>
      </c>
      <c r="G528" s="5"/>
      <c r="H528" s="6" t="s">
        <v>425</v>
      </c>
      <c r="I528" s="6" t="s">
        <v>119</v>
      </c>
      <c r="J528" s="6">
        <v>1</v>
      </c>
      <c r="K528" s="6">
        <v>4472</v>
      </c>
      <c r="L528" s="7" t="s">
        <v>6118</v>
      </c>
      <c r="M528" s="8" t="str">
        <f>"CFI"&amp;".D"&amp;TEXT(Caja_Finanzas[[#This Row],[fecha]],"DD-MM")&amp;"-"&amp;TEXT(Caja_Finanzas[[#This Row],[item]],"0000")</f>
        <v>CFI.D06-06-0473</v>
      </c>
      <c r="N528" s="8" t="str">
        <f t="shared" si="45"/>
        <v>PEN</v>
      </c>
      <c r="O528" s="13"/>
      <c r="P528" s="13">
        <v>1820</v>
      </c>
      <c r="Q528" s="3">
        <f t="shared" si="41"/>
        <v>1820</v>
      </c>
      <c r="R528" s="3">
        <f t="shared" si="42"/>
        <v>0</v>
      </c>
      <c r="S528" s="3">
        <f t="shared" si="43"/>
        <v>7935.8999999999942</v>
      </c>
      <c r="T528" s="24"/>
      <c r="U528" s="24"/>
      <c r="V528" s="3"/>
      <c r="W528" s="25" t="s">
        <v>425</v>
      </c>
      <c r="X528" s="25" t="s">
        <v>7191</v>
      </c>
      <c r="Y528" s="25"/>
      <c r="Z528" s="25"/>
      <c r="AA528" s="25"/>
      <c r="AB528" s="3" t="str">
        <f>IF(Caja_Finanzas[[#This Row],[fecha]]&gt;0,TEXT(Caja_Finanzas[[#This Row],[fecha]],"mmmm"),0)</f>
        <v>Junio</v>
      </c>
    </row>
    <row r="529" spans="1:28" ht="24" x14ac:dyDescent="0.3">
      <c r="A529" s="2">
        <f>IF(Caja_Finanzas[[#This Row],[tipo_r]]="R",COUNTIFS($C$1:$C528,"R")+1,A528)</f>
        <v>474</v>
      </c>
      <c r="B529" s="19" t="str">
        <f t="shared" si="44"/>
        <v>C-Finanzas</v>
      </c>
      <c r="C529" s="3" t="s">
        <v>1330</v>
      </c>
      <c r="D529" s="14">
        <v>45814</v>
      </c>
      <c r="E529" s="5" t="s">
        <v>2009</v>
      </c>
      <c r="F529" s="5" t="s">
        <v>1303</v>
      </c>
      <c r="G529" s="5"/>
      <c r="H529" s="6" t="s">
        <v>425</v>
      </c>
      <c r="I529" s="6" t="s">
        <v>119</v>
      </c>
      <c r="J529" s="6">
        <v>1</v>
      </c>
      <c r="K529" s="6">
        <v>4473</v>
      </c>
      <c r="L529" s="7" t="s">
        <v>6118</v>
      </c>
      <c r="M529" s="8" t="str">
        <f>"CFI"&amp;".D"&amp;TEXT(Caja_Finanzas[[#This Row],[fecha]],"DD-MM")&amp;"-"&amp;TEXT(Caja_Finanzas[[#This Row],[item]],"0000")</f>
        <v>CFI.D06-06-0474</v>
      </c>
      <c r="N529" s="8" t="str">
        <f t="shared" si="45"/>
        <v>PEN</v>
      </c>
      <c r="O529" s="13"/>
      <c r="P529" s="13">
        <v>680</v>
      </c>
      <c r="Q529" s="3">
        <f t="shared" si="41"/>
        <v>680</v>
      </c>
      <c r="R529" s="3">
        <f t="shared" si="42"/>
        <v>0</v>
      </c>
      <c r="S529" s="3">
        <f t="shared" si="43"/>
        <v>8615.8999999999942</v>
      </c>
      <c r="T529" s="24"/>
      <c r="U529" s="24"/>
      <c r="V529" s="3"/>
      <c r="W529" s="25" t="s">
        <v>425</v>
      </c>
      <c r="X529" s="25" t="s">
        <v>3307</v>
      </c>
      <c r="Y529" s="25"/>
      <c r="Z529" s="25"/>
      <c r="AA529" s="25"/>
      <c r="AB529" s="3" t="str">
        <f>IF(Caja_Finanzas[[#This Row],[fecha]]&gt;0,TEXT(Caja_Finanzas[[#This Row],[fecha]],"mmmm"),0)</f>
        <v>Junio</v>
      </c>
    </row>
    <row r="530" spans="1:28" ht="36" x14ac:dyDescent="0.3">
      <c r="A530" s="2">
        <f>IF(Caja_Finanzas[[#This Row],[tipo_r]]="R",COUNTIFS($C$1:$C529,"R")+1,A529)</f>
        <v>475</v>
      </c>
      <c r="B530" s="19" t="str">
        <f t="shared" si="44"/>
        <v>C-Finanzas</v>
      </c>
      <c r="C530" s="3" t="s">
        <v>1330</v>
      </c>
      <c r="D530" s="14">
        <v>45814</v>
      </c>
      <c r="E530" s="5" t="s">
        <v>6415</v>
      </c>
      <c r="F530" s="5" t="s">
        <v>1336</v>
      </c>
      <c r="G530" s="5"/>
      <c r="H530" s="6"/>
      <c r="I530" s="6"/>
      <c r="J530" s="6"/>
      <c r="K530" s="6"/>
      <c r="L530" s="7" t="s">
        <v>7192</v>
      </c>
      <c r="M530" s="8" t="str">
        <f>"CFI"&amp;".D"&amp;TEXT(Caja_Finanzas[[#This Row],[fecha]],"DD-MM")&amp;"-"&amp;TEXT(Caja_Finanzas[[#This Row],[item]],"0000")</f>
        <v>CFI.D06-06-0475</v>
      </c>
      <c r="N530" s="8" t="str">
        <f t="shared" si="45"/>
        <v>PEN</v>
      </c>
      <c r="O530" s="13"/>
      <c r="P530" s="13">
        <v>280</v>
      </c>
      <c r="Q530" s="3">
        <f t="shared" si="41"/>
        <v>0</v>
      </c>
      <c r="R530" s="3">
        <f t="shared" si="42"/>
        <v>280</v>
      </c>
      <c r="S530" s="3">
        <f t="shared" si="43"/>
        <v>8335.8999999999942</v>
      </c>
      <c r="T530" s="24"/>
      <c r="U530" s="24"/>
      <c r="V530" s="3"/>
      <c r="W530" s="25" t="s">
        <v>6709</v>
      </c>
      <c r="X530" s="25" t="s">
        <v>7193</v>
      </c>
      <c r="Y530" s="25"/>
      <c r="Z530" s="25"/>
      <c r="AA530" s="25"/>
      <c r="AB530" s="3" t="str">
        <f>IF(Caja_Finanzas[[#This Row],[fecha]]&gt;0,TEXT(Caja_Finanzas[[#This Row],[fecha]],"mmmm"),0)</f>
        <v>Junio</v>
      </c>
    </row>
    <row r="531" spans="1:28" ht="36" x14ac:dyDescent="0.3">
      <c r="A531" s="2">
        <f>IF(Caja_Finanzas[[#This Row],[tipo_r]]="R",COUNTIFS($C$1:$C530,"R")+1,A530)</f>
        <v>476</v>
      </c>
      <c r="B531" s="19" t="str">
        <f t="shared" si="44"/>
        <v>C-Finanzas</v>
      </c>
      <c r="C531" s="3" t="s">
        <v>1330</v>
      </c>
      <c r="D531" s="14">
        <v>45814</v>
      </c>
      <c r="E531" s="5" t="s">
        <v>6415</v>
      </c>
      <c r="F531" s="5" t="s">
        <v>1336</v>
      </c>
      <c r="G531" s="5"/>
      <c r="H531" s="6"/>
      <c r="I531" s="6"/>
      <c r="J531" s="6"/>
      <c r="K531" s="6"/>
      <c r="L531" s="7" t="s">
        <v>7194</v>
      </c>
      <c r="M531" s="8" t="str">
        <f>"CFI"&amp;".D"&amp;TEXT(Caja_Finanzas[[#This Row],[fecha]],"DD-MM")&amp;"-"&amp;TEXT(Caja_Finanzas[[#This Row],[item]],"0000")</f>
        <v>CFI.D06-06-0476</v>
      </c>
      <c r="N531" s="8" t="str">
        <f t="shared" si="45"/>
        <v>PEN</v>
      </c>
      <c r="O531" s="13"/>
      <c r="P531" s="13">
        <v>400</v>
      </c>
      <c r="Q531" s="3">
        <f t="shared" si="41"/>
        <v>0</v>
      </c>
      <c r="R531" s="3">
        <f t="shared" si="42"/>
        <v>400</v>
      </c>
      <c r="S531" s="3">
        <f t="shared" si="43"/>
        <v>7935.8999999999942</v>
      </c>
      <c r="T531" s="24"/>
      <c r="U531" s="24"/>
      <c r="V531" s="3"/>
      <c r="W531" s="25" t="s">
        <v>6709</v>
      </c>
      <c r="X531" s="25" t="s">
        <v>7195</v>
      </c>
      <c r="Y531" s="25"/>
      <c r="Z531" s="25"/>
      <c r="AA531" s="25"/>
      <c r="AB531" s="3" t="str">
        <f>IF(Caja_Finanzas[[#This Row],[fecha]]&gt;0,TEXT(Caja_Finanzas[[#This Row],[fecha]],"mmmm"),0)</f>
        <v>Junio</v>
      </c>
    </row>
    <row r="532" spans="1:28" ht="36" x14ac:dyDescent="0.3">
      <c r="A532" s="2">
        <f>IF(Caja_Finanzas[[#This Row],[tipo_r]]="R",COUNTIFS($C$1:$C531,"R")+1,A531)</f>
        <v>477</v>
      </c>
      <c r="B532" s="19" t="str">
        <f t="shared" si="44"/>
        <v>C-Finanzas</v>
      </c>
      <c r="C532" s="3" t="s">
        <v>1330</v>
      </c>
      <c r="D532" s="14">
        <v>45814</v>
      </c>
      <c r="E532" s="5" t="s">
        <v>6460</v>
      </c>
      <c r="F532" s="5" t="s">
        <v>1336</v>
      </c>
      <c r="G532" s="5"/>
      <c r="H532" s="6"/>
      <c r="I532" s="6"/>
      <c r="J532" s="6"/>
      <c r="K532" s="6"/>
      <c r="L532" s="7" t="s">
        <v>7196</v>
      </c>
      <c r="M532" s="8" t="str">
        <f>"CFI"&amp;".D"&amp;TEXT(Caja_Finanzas[[#This Row],[fecha]],"DD-MM")&amp;"-"&amp;TEXT(Caja_Finanzas[[#This Row],[item]],"0000")</f>
        <v>CFI.D06-06-0477</v>
      </c>
      <c r="N532" s="8" t="str">
        <f t="shared" si="45"/>
        <v>PEN</v>
      </c>
      <c r="O532" s="13"/>
      <c r="P532" s="13">
        <v>14</v>
      </c>
      <c r="Q532" s="3">
        <f t="shared" si="41"/>
        <v>0</v>
      </c>
      <c r="R532" s="3">
        <f t="shared" si="42"/>
        <v>14</v>
      </c>
      <c r="S532" s="3">
        <f t="shared" si="43"/>
        <v>7921.8999999999942</v>
      </c>
      <c r="T532" s="24"/>
      <c r="U532" s="24"/>
      <c r="V532" s="3"/>
      <c r="W532" s="25" t="s">
        <v>7197</v>
      </c>
      <c r="X532" s="25" t="s">
        <v>7198</v>
      </c>
      <c r="Y532" s="25"/>
      <c r="Z532" s="25"/>
      <c r="AA532" s="25"/>
      <c r="AB532" s="3" t="str">
        <f>IF(Caja_Finanzas[[#This Row],[fecha]]&gt;0,TEXT(Caja_Finanzas[[#This Row],[fecha]],"mmmm"),0)</f>
        <v>Junio</v>
      </c>
    </row>
    <row r="533" spans="1:28" ht="24" x14ac:dyDescent="0.3">
      <c r="A533" s="2">
        <f>IF(Caja_Finanzas[[#This Row],[tipo_r]]="R",COUNTIFS($C$1:$C532,"R")+1,A532)</f>
        <v>478</v>
      </c>
      <c r="B533" s="19" t="str">
        <f t="shared" si="44"/>
        <v>C-Finanzas</v>
      </c>
      <c r="C533" s="3" t="s">
        <v>1330</v>
      </c>
      <c r="D533" s="14">
        <v>45814</v>
      </c>
      <c r="E533" s="5" t="s">
        <v>6940</v>
      </c>
      <c r="F533" s="5" t="s">
        <v>1336</v>
      </c>
      <c r="G533" s="5"/>
      <c r="H533" s="6"/>
      <c r="I533" s="6"/>
      <c r="J533" s="6"/>
      <c r="K533" s="6"/>
      <c r="L533" s="7" t="s">
        <v>7199</v>
      </c>
      <c r="M533" s="8" t="str">
        <f>"CFI"&amp;".D"&amp;TEXT(Caja_Finanzas[[#This Row],[fecha]],"DD-MM")&amp;"-"&amp;TEXT(Caja_Finanzas[[#This Row],[item]],"0000")</f>
        <v>CFI.D06-06-0478</v>
      </c>
      <c r="N533" s="8" t="str">
        <f t="shared" si="45"/>
        <v>PEN</v>
      </c>
      <c r="O533" s="13"/>
      <c r="P533" s="13">
        <v>188</v>
      </c>
      <c r="Q533" s="3">
        <f t="shared" si="41"/>
        <v>0</v>
      </c>
      <c r="R533" s="3">
        <f t="shared" si="42"/>
        <v>188</v>
      </c>
      <c r="S533" s="3">
        <f t="shared" si="43"/>
        <v>7733.8999999999942</v>
      </c>
      <c r="T533" s="24"/>
      <c r="U533" s="24"/>
      <c r="V533" s="3"/>
      <c r="W533" s="25" t="s">
        <v>6709</v>
      </c>
      <c r="X533" s="25" t="s">
        <v>7200</v>
      </c>
      <c r="Y533" s="25"/>
      <c r="Z533" s="25"/>
      <c r="AA533" s="25"/>
      <c r="AB533" s="3" t="str">
        <f>IF(Caja_Finanzas[[#This Row],[fecha]]&gt;0,TEXT(Caja_Finanzas[[#This Row],[fecha]],"mmmm"),0)</f>
        <v>Junio</v>
      </c>
    </row>
    <row r="534" spans="1:28" ht="24" x14ac:dyDescent="0.3">
      <c r="A534" s="2">
        <f>IF(Caja_Finanzas[[#This Row],[tipo_r]]="R",COUNTIFS($C$1:$C533,"R")+1,A533)</f>
        <v>479</v>
      </c>
      <c r="B534" s="19" t="str">
        <f t="shared" si="44"/>
        <v>C-Finanzas</v>
      </c>
      <c r="C534" s="3" t="s">
        <v>1330</v>
      </c>
      <c r="D534" s="14">
        <v>45817</v>
      </c>
      <c r="E534" s="5" t="s">
        <v>6556</v>
      </c>
      <c r="F534" s="5" t="s">
        <v>1336</v>
      </c>
      <c r="G534" s="5"/>
      <c r="H534" s="6"/>
      <c r="I534" s="6"/>
      <c r="J534" s="6"/>
      <c r="K534" s="6"/>
      <c r="L534" s="7" t="s">
        <v>7201</v>
      </c>
      <c r="M534" s="8" t="str">
        <f>"CFI"&amp;".D"&amp;TEXT(Caja_Finanzas[[#This Row],[fecha]],"DD-MM")&amp;"-"&amp;TEXT(Caja_Finanzas[[#This Row],[item]],"0000")</f>
        <v>CFI.D09-06-0479</v>
      </c>
      <c r="N534" s="8" t="str">
        <f t="shared" si="45"/>
        <v>PEN</v>
      </c>
      <c r="O534" s="13"/>
      <c r="P534" s="13">
        <v>36</v>
      </c>
      <c r="Q534" s="3">
        <f t="shared" si="41"/>
        <v>0</v>
      </c>
      <c r="R534" s="3">
        <f t="shared" si="42"/>
        <v>36</v>
      </c>
      <c r="S534" s="3">
        <f t="shared" si="43"/>
        <v>7697.8999999999942</v>
      </c>
      <c r="T534" s="24"/>
      <c r="U534" s="24"/>
      <c r="V534" s="3"/>
      <c r="W534" s="25" t="s">
        <v>6709</v>
      </c>
      <c r="X534" s="25" t="s">
        <v>7202</v>
      </c>
      <c r="Y534" s="25"/>
      <c r="Z534" s="25"/>
      <c r="AA534" s="25"/>
      <c r="AB534" s="3" t="str">
        <f>IF(Caja_Finanzas[[#This Row],[fecha]]&gt;0,TEXT(Caja_Finanzas[[#This Row],[fecha]],"mmmm"),0)</f>
        <v>Junio</v>
      </c>
    </row>
    <row r="535" spans="1:28" ht="36" x14ac:dyDescent="0.3">
      <c r="A535" s="2">
        <f>IF(Caja_Finanzas[[#This Row],[tipo_r]]="R",COUNTIFS($C$1:$C534,"R")+1,A534)</f>
        <v>480</v>
      </c>
      <c r="B535" s="19" t="str">
        <f t="shared" si="44"/>
        <v>C-Finanzas</v>
      </c>
      <c r="C535" s="3" t="s">
        <v>1330</v>
      </c>
      <c r="D535" s="14">
        <v>45818</v>
      </c>
      <c r="E535" s="5" t="s">
        <v>5811</v>
      </c>
      <c r="F535" s="5" t="s">
        <v>1336</v>
      </c>
      <c r="G535" s="5"/>
      <c r="H535" s="6"/>
      <c r="I535" s="6"/>
      <c r="J535" s="6"/>
      <c r="K535" s="6"/>
      <c r="L535" s="7" t="s">
        <v>7203</v>
      </c>
      <c r="M535" s="8" t="str">
        <f>"CFI"&amp;".D"&amp;TEXT(Caja_Finanzas[[#This Row],[fecha]],"DD-MM")&amp;"-"&amp;TEXT(Caja_Finanzas[[#This Row],[item]],"0000")</f>
        <v>CFI.D10-06-0480</v>
      </c>
      <c r="N535" s="8" t="str">
        <f t="shared" si="45"/>
        <v>PEN</v>
      </c>
      <c r="O535" s="13"/>
      <c r="P535" s="13">
        <v>1000</v>
      </c>
      <c r="Q535" s="3">
        <f t="shared" si="41"/>
        <v>0</v>
      </c>
      <c r="R535" s="3">
        <f t="shared" si="42"/>
        <v>1000</v>
      </c>
      <c r="S535" s="3">
        <f t="shared" si="43"/>
        <v>6697.8999999999942</v>
      </c>
      <c r="T535" s="24"/>
      <c r="U535" s="24"/>
      <c r="V535" s="3"/>
      <c r="W535" s="25" t="s">
        <v>7204</v>
      </c>
      <c r="X535" s="25" t="s">
        <v>7205</v>
      </c>
      <c r="Y535" s="25"/>
      <c r="Z535" s="25"/>
      <c r="AA535" s="25"/>
      <c r="AB535" s="3" t="str">
        <f>IF(Caja_Finanzas[[#This Row],[fecha]]&gt;0,TEXT(Caja_Finanzas[[#This Row],[fecha]],"mmmm"),0)</f>
        <v>Junio</v>
      </c>
    </row>
    <row r="536" spans="1:28" ht="36" x14ac:dyDescent="0.3">
      <c r="A536" s="2">
        <f>IF(Caja_Finanzas[[#This Row],[tipo_r]]="R",COUNTIFS($C$1:$C535,"R")+1,A535)</f>
        <v>481</v>
      </c>
      <c r="B536" s="19" t="str">
        <f t="shared" si="44"/>
        <v>C-Finanzas</v>
      </c>
      <c r="C536" s="3" t="s">
        <v>1330</v>
      </c>
      <c r="D536" s="14">
        <v>45819</v>
      </c>
      <c r="E536" s="5" t="s">
        <v>5811</v>
      </c>
      <c r="F536" s="5" t="s">
        <v>1336</v>
      </c>
      <c r="G536" s="5"/>
      <c r="H536" s="6"/>
      <c r="I536" s="6"/>
      <c r="J536" s="6"/>
      <c r="K536" s="6"/>
      <c r="L536" s="7" t="s">
        <v>7206</v>
      </c>
      <c r="M536" s="8" t="str">
        <f>"CFI"&amp;".D"&amp;TEXT(Caja_Finanzas[[#This Row],[fecha]],"DD-MM")&amp;"-"&amp;TEXT(Caja_Finanzas[[#This Row],[item]],"0000")</f>
        <v>CFI.D11-06-0481</v>
      </c>
      <c r="N536" s="8" t="str">
        <f t="shared" si="45"/>
        <v>PEN</v>
      </c>
      <c r="O536" s="13"/>
      <c r="P536" s="13">
        <v>700</v>
      </c>
      <c r="Q536" s="3">
        <f t="shared" si="41"/>
        <v>0</v>
      </c>
      <c r="R536" s="3">
        <f t="shared" si="42"/>
        <v>700</v>
      </c>
      <c r="S536" s="3">
        <f t="shared" si="43"/>
        <v>5997.8999999999942</v>
      </c>
      <c r="T536" s="24"/>
      <c r="U536" s="24"/>
      <c r="V536" s="3"/>
      <c r="W536" s="25" t="s">
        <v>7204</v>
      </c>
      <c r="X536" s="25" t="s">
        <v>7207</v>
      </c>
      <c r="Y536" s="25"/>
      <c r="Z536" s="25"/>
      <c r="AA536" s="25"/>
      <c r="AB536" s="3" t="str">
        <f>IF(Caja_Finanzas[[#This Row],[fecha]]&gt;0,TEXT(Caja_Finanzas[[#This Row],[fecha]],"mmmm"),0)</f>
        <v>Junio</v>
      </c>
    </row>
    <row r="537" spans="1:28" ht="24" x14ac:dyDescent="0.3">
      <c r="A537" s="2">
        <f>IF(Caja_Finanzas[[#This Row],[tipo_r]]="R",COUNTIFS($C$1:$C536,"R")+1,A536)</f>
        <v>482</v>
      </c>
      <c r="B537" s="19" t="str">
        <f t="shared" si="44"/>
        <v>C-Finanzas</v>
      </c>
      <c r="C537" s="3" t="s">
        <v>1330</v>
      </c>
      <c r="D537" s="14">
        <v>45819</v>
      </c>
      <c r="E537" s="5" t="s">
        <v>5811</v>
      </c>
      <c r="F537" s="5" t="s">
        <v>1336</v>
      </c>
      <c r="G537" s="5"/>
      <c r="H537" s="6"/>
      <c r="I537" s="6"/>
      <c r="J537" s="6"/>
      <c r="K537" s="6"/>
      <c r="L537" s="7" t="s">
        <v>7208</v>
      </c>
      <c r="M537" s="8" t="str">
        <f>"CFI"&amp;".D"&amp;TEXT(Caja_Finanzas[[#This Row],[fecha]],"DD-MM")&amp;"-"&amp;TEXT(Caja_Finanzas[[#This Row],[item]],"0000")</f>
        <v>CFI.D11-06-0482</v>
      </c>
      <c r="N537" s="8" t="str">
        <f t="shared" si="45"/>
        <v>PEN</v>
      </c>
      <c r="O537" s="13"/>
      <c r="P537" s="13">
        <v>380</v>
      </c>
      <c r="Q537" s="3">
        <f t="shared" si="41"/>
        <v>0</v>
      </c>
      <c r="R537" s="3">
        <f t="shared" si="42"/>
        <v>380</v>
      </c>
      <c r="S537" s="3">
        <f t="shared" si="43"/>
        <v>5617.8999999999942</v>
      </c>
      <c r="T537" s="24"/>
      <c r="U537" s="24"/>
      <c r="V537" s="3"/>
      <c r="W537" s="25" t="s">
        <v>7209</v>
      </c>
      <c r="X537" s="25" t="s">
        <v>7210</v>
      </c>
      <c r="Y537" s="25"/>
      <c r="Z537" s="25"/>
      <c r="AA537" s="25"/>
      <c r="AB537" s="3" t="str">
        <f>IF(Caja_Finanzas[[#This Row],[fecha]]&gt;0,TEXT(Caja_Finanzas[[#This Row],[fecha]],"mmmm"),0)</f>
        <v>Junio</v>
      </c>
    </row>
    <row r="538" spans="1:28" ht="24" x14ac:dyDescent="0.3">
      <c r="A538" s="2">
        <f>IF(Caja_Finanzas[[#This Row],[tipo_r]]="R",COUNTIFS($C$1:$C537,"R")+1,A537)</f>
        <v>483</v>
      </c>
      <c r="B538" s="19" t="str">
        <f t="shared" si="44"/>
        <v>C-Finanzas</v>
      </c>
      <c r="C538" s="3" t="s">
        <v>1330</v>
      </c>
      <c r="D538" s="14">
        <v>45820</v>
      </c>
      <c r="E538" s="5" t="s">
        <v>6731</v>
      </c>
      <c r="F538" s="5" t="s">
        <v>1336</v>
      </c>
      <c r="G538" s="5"/>
      <c r="H538" s="6"/>
      <c r="I538" s="6"/>
      <c r="J538" s="6"/>
      <c r="K538" s="6"/>
      <c r="L538" s="7" t="s">
        <v>7211</v>
      </c>
      <c r="M538" s="8" t="str">
        <f>"CFI"&amp;".D"&amp;TEXT(Caja_Finanzas[[#This Row],[fecha]],"DD-MM")&amp;"-"&amp;TEXT(Caja_Finanzas[[#This Row],[item]],"0000")</f>
        <v>CFI.D12-06-0483</v>
      </c>
      <c r="N538" s="8" t="str">
        <f t="shared" si="45"/>
        <v>PEN</v>
      </c>
      <c r="O538" s="13"/>
      <c r="P538" s="13">
        <v>220</v>
      </c>
      <c r="Q538" s="3">
        <f t="shared" si="41"/>
        <v>0</v>
      </c>
      <c r="R538" s="3">
        <f t="shared" si="42"/>
        <v>220</v>
      </c>
      <c r="S538" s="3">
        <f t="shared" si="43"/>
        <v>5397.8999999999942</v>
      </c>
      <c r="T538" s="24"/>
      <c r="U538" s="24"/>
      <c r="V538" s="3"/>
      <c r="W538" s="25" t="s">
        <v>6709</v>
      </c>
      <c r="X538" s="25" t="s">
        <v>7212</v>
      </c>
      <c r="Y538" s="25"/>
      <c r="Z538" s="25"/>
      <c r="AA538" s="25"/>
      <c r="AB538" s="3" t="str">
        <f>IF(Caja_Finanzas[[#This Row],[fecha]]&gt;0,TEXT(Caja_Finanzas[[#This Row],[fecha]],"mmmm"),0)</f>
        <v>Junio</v>
      </c>
    </row>
    <row r="539" spans="1:28" x14ac:dyDescent="0.3">
      <c r="A539" s="2">
        <f>IF(Caja_Finanzas[[#This Row],[tipo_r]]="R",COUNTIFS($C$1:$C538,"R")+1,A538)</f>
        <v>484</v>
      </c>
      <c r="B539" s="19" t="str">
        <f t="shared" si="44"/>
        <v>C-Finanzas</v>
      </c>
      <c r="C539" s="3" t="s">
        <v>1330</v>
      </c>
      <c r="D539" s="14">
        <v>45820</v>
      </c>
      <c r="E539" s="5" t="s">
        <v>2800</v>
      </c>
      <c r="F539" s="5" t="s">
        <v>1303</v>
      </c>
      <c r="G539" s="5"/>
      <c r="H539" s="6" t="s">
        <v>425</v>
      </c>
      <c r="I539" s="6" t="s">
        <v>119</v>
      </c>
      <c r="J539" s="6">
        <v>1</v>
      </c>
      <c r="K539" s="6">
        <v>4487</v>
      </c>
      <c r="L539" s="7" t="s">
        <v>6118</v>
      </c>
      <c r="M539" s="8" t="str">
        <f>"CFI"&amp;".D"&amp;TEXT(Caja_Finanzas[[#This Row],[fecha]],"DD-MM")&amp;"-"&amp;TEXT(Caja_Finanzas[[#This Row],[item]],"0000")</f>
        <v>CFI.D12-06-0484</v>
      </c>
      <c r="N539" s="8" t="str">
        <f t="shared" si="45"/>
        <v>PEN</v>
      </c>
      <c r="O539" s="13"/>
      <c r="P539" s="13">
        <v>272</v>
      </c>
      <c r="Q539" s="3">
        <f t="shared" si="41"/>
        <v>272</v>
      </c>
      <c r="R539" s="3">
        <f t="shared" si="42"/>
        <v>0</v>
      </c>
      <c r="S539" s="3">
        <f t="shared" si="43"/>
        <v>5669.8999999999942</v>
      </c>
      <c r="T539" s="24"/>
      <c r="U539" s="24"/>
      <c r="V539" s="3"/>
      <c r="W539" s="25" t="s">
        <v>425</v>
      </c>
      <c r="X539" s="25" t="s">
        <v>7213</v>
      </c>
      <c r="Y539" s="25"/>
      <c r="Z539" s="25"/>
      <c r="AA539" s="25"/>
      <c r="AB539" s="3" t="str">
        <f>IF(Caja_Finanzas[[#This Row],[fecha]]&gt;0,TEXT(Caja_Finanzas[[#This Row],[fecha]],"mmmm"),0)</f>
        <v>Junio</v>
      </c>
    </row>
    <row r="540" spans="1:28" x14ac:dyDescent="0.3">
      <c r="A540" s="2">
        <f>IF(Caja_Finanzas[[#This Row],[tipo_r]]="R",COUNTIFS($C$1:$C539,"R")+1,A539)</f>
        <v>485</v>
      </c>
      <c r="B540" s="19" t="str">
        <f t="shared" si="44"/>
        <v>C-Finanzas</v>
      </c>
      <c r="C540" s="3" t="s">
        <v>1330</v>
      </c>
      <c r="D540" s="14">
        <v>45820</v>
      </c>
      <c r="E540" s="5" t="s">
        <v>6679</v>
      </c>
      <c r="F540" s="5" t="s">
        <v>1303</v>
      </c>
      <c r="G540" s="5"/>
      <c r="H540" s="6" t="s">
        <v>425</v>
      </c>
      <c r="I540" s="6" t="s">
        <v>119</v>
      </c>
      <c r="J540" s="6">
        <v>1</v>
      </c>
      <c r="K540" s="6">
        <v>4498</v>
      </c>
      <c r="L540" s="7" t="s">
        <v>6118</v>
      </c>
      <c r="M540" s="8" t="str">
        <f>"CFI"&amp;".D"&amp;TEXT(Caja_Finanzas[[#This Row],[fecha]],"DD-MM")&amp;"-"&amp;TEXT(Caja_Finanzas[[#This Row],[item]],"0000")</f>
        <v>CFI.D12-06-0485</v>
      </c>
      <c r="N540" s="8" t="str">
        <f t="shared" si="45"/>
        <v>PEN</v>
      </c>
      <c r="O540" s="13"/>
      <c r="P540" s="13">
        <v>1680</v>
      </c>
      <c r="Q540" s="3">
        <f t="shared" si="41"/>
        <v>1680</v>
      </c>
      <c r="R540" s="3">
        <f t="shared" si="42"/>
        <v>0</v>
      </c>
      <c r="S540" s="3">
        <f t="shared" si="43"/>
        <v>7349.8999999999942</v>
      </c>
      <c r="T540" s="24"/>
      <c r="U540" s="24"/>
      <c r="V540" s="3"/>
      <c r="W540" s="25" t="s">
        <v>425</v>
      </c>
      <c r="X540" s="25" t="s">
        <v>7214</v>
      </c>
      <c r="Y540" s="25"/>
      <c r="Z540" s="25"/>
      <c r="AA540" s="25"/>
      <c r="AB540" s="3" t="str">
        <f>IF(Caja_Finanzas[[#This Row],[fecha]]&gt;0,TEXT(Caja_Finanzas[[#This Row],[fecha]],"mmmm"),0)</f>
        <v>Junio</v>
      </c>
    </row>
    <row r="541" spans="1:28" ht="24" x14ac:dyDescent="0.3">
      <c r="A541" s="2">
        <f>IF(Caja_Finanzas[[#This Row],[tipo_r]]="R",COUNTIFS($C$1:$C540,"R")+1,A540)</f>
        <v>486</v>
      </c>
      <c r="B541" s="19" t="str">
        <f t="shared" si="44"/>
        <v>C-Finanzas</v>
      </c>
      <c r="C541" s="3" t="s">
        <v>1330</v>
      </c>
      <c r="D541" s="14">
        <v>45820</v>
      </c>
      <c r="E541" s="5" t="s">
        <v>2502</v>
      </c>
      <c r="F541" s="5" t="s">
        <v>1303</v>
      </c>
      <c r="G541" s="5"/>
      <c r="H541" s="6" t="s">
        <v>425</v>
      </c>
      <c r="I541" s="6" t="s">
        <v>119</v>
      </c>
      <c r="J541" s="6">
        <v>1</v>
      </c>
      <c r="K541" s="6">
        <v>4334</v>
      </c>
      <c r="L541" s="7" t="s">
        <v>6118</v>
      </c>
      <c r="M541" s="8" t="str">
        <f>"CFI"&amp;".D"&amp;TEXT(Caja_Finanzas[[#This Row],[fecha]],"DD-MM")&amp;"-"&amp;TEXT(Caja_Finanzas[[#This Row],[item]],"0000")</f>
        <v>CFI.D12-06-0486</v>
      </c>
      <c r="N541" s="8" t="str">
        <f t="shared" si="45"/>
        <v>PEN</v>
      </c>
      <c r="O541" s="13"/>
      <c r="P541" s="13">
        <v>80</v>
      </c>
      <c r="Q541" s="3">
        <f t="shared" si="41"/>
        <v>80</v>
      </c>
      <c r="R541" s="3">
        <f t="shared" si="42"/>
        <v>0</v>
      </c>
      <c r="S541" s="3">
        <f t="shared" si="43"/>
        <v>7429.8999999999942</v>
      </c>
      <c r="T541" s="24"/>
      <c r="U541" s="24"/>
      <c r="V541" s="3"/>
      <c r="W541" s="25" t="s">
        <v>425</v>
      </c>
      <c r="X541" s="25" t="s">
        <v>6982</v>
      </c>
      <c r="Y541" s="25"/>
      <c r="Z541" s="25"/>
      <c r="AA541" s="25"/>
      <c r="AB541" s="3" t="str">
        <f>IF(Caja_Finanzas[[#This Row],[fecha]]&gt;0,TEXT(Caja_Finanzas[[#This Row],[fecha]],"mmmm"),0)</f>
        <v>Junio</v>
      </c>
    </row>
    <row r="542" spans="1:28" ht="24" x14ac:dyDescent="0.3">
      <c r="A542" s="2">
        <f>IF(Caja_Finanzas[[#This Row],[tipo_r]]="R",COUNTIFS($C$1:$C541,"R")+1,A541)</f>
        <v>487</v>
      </c>
      <c r="B542" s="19" t="str">
        <f t="shared" si="44"/>
        <v>C-Finanzas</v>
      </c>
      <c r="C542" s="3" t="s">
        <v>1330</v>
      </c>
      <c r="D542" s="14">
        <v>45821</v>
      </c>
      <c r="E542" s="5" t="s">
        <v>2009</v>
      </c>
      <c r="F542" s="5" t="s">
        <v>1303</v>
      </c>
      <c r="G542" s="5"/>
      <c r="H542" s="6" t="s">
        <v>425</v>
      </c>
      <c r="I542" s="6" t="s">
        <v>119</v>
      </c>
      <c r="J542" s="6">
        <v>1</v>
      </c>
      <c r="K542" s="6">
        <v>4499</v>
      </c>
      <c r="L542" s="7" t="s">
        <v>6118</v>
      </c>
      <c r="M542" s="8" t="str">
        <f>"CFI"&amp;".D"&amp;TEXT(Caja_Finanzas[[#This Row],[fecha]],"DD-MM")&amp;"-"&amp;TEXT(Caja_Finanzas[[#This Row],[item]],"0000")</f>
        <v>CFI.D13-06-0487</v>
      </c>
      <c r="N542" s="8" t="str">
        <f t="shared" si="45"/>
        <v>PEN</v>
      </c>
      <c r="O542" s="13"/>
      <c r="P542" s="13">
        <v>3066</v>
      </c>
      <c r="Q542" s="3">
        <f t="shared" si="41"/>
        <v>3066</v>
      </c>
      <c r="R542" s="3">
        <f t="shared" si="42"/>
        <v>0</v>
      </c>
      <c r="S542" s="3">
        <f t="shared" si="43"/>
        <v>10495.899999999994</v>
      </c>
      <c r="T542" s="24"/>
      <c r="U542" s="24"/>
      <c r="V542" s="3"/>
      <c r="W542" s="25" t="s">
        <v>425</v>
      </c>
      <c r="X542" s="25" t="s">
        <v>7215</v>
      </c>
      <c r="Y542" s="25"/>
      <c r="Z542" s="25"/>
      <c r="AA542" s="25"/>
      <c r="AB542" s="3" t="str">
        <f>IF(Caja_Finanzas[[#This Row],[fecha]]&gt;0,TEXT(Caja_Finanzas[[#This Row],[fecha]],"mmmm"),0)</f>
        <v>Junio</v>
      </c>
    </row>
    <row r="543" spans="1:28" ht="24" x14ac:dyDescent="0.3">
      <c r="A543" s="2">
        <f>IF(Caja_Finanzas[[#This Row],[tipo_r]]="R",COUNTIFS($C$1:$C542,"R")+1,A542)</f>
        <v>488</v>
      </c>
      <c r="B543" s="19" t="str">
        <f t="shared" si="44"/>
        <v>C-Finanzas</v>
      </c>
      <c r="C543" s="3" t="s">
        <v>1330</v>
      </c>
      <c r="D543" s="14">
        <v>45821</v>
      </c>
      <c r="E543" s="5" t="s">
        <v>2009</v>
      </c>
      <c r="F543" s="5" t="s">
        <v>1303</v>
      </c>
      <c r="G543" s="5"/>
      <c r="H543" s="6" t="s">
        <v>425</v>
      </c>
      <c r="I543" s="6" t="s">
        <v>119</v>
      </c>
      <c r="J543" s="6">
        <v>1</v>
      </c>
      <c r="K543" s="6">
        <v>4500</v>
      </c>
      <c r="L543" s="7" t="s">
        <v>6118</v>
      </c>
      <c r="M543" s="8" t="str">
        <f>"CFI"&amp;".D"&amp;TEXT(Caja_Finanzas[[#This Row],[fecha]],"DD-MM")&amp;"-"&amp;TEXT(Caja_Finanzas[[#This Row],[item]],"0000")</f>
        <v>CFI.D13-06-0488</v>
      </c>
      <c r="N543" s="8" t="str">
        <f t="shared" si="45"/>
        <v>PEN</v>
      </c>
      <c r="O543" s="13"/>
      <c r="P543" s="13">
        <v>1934</v>
      </c>
      <c r="Q543" s="3">
        <f t="shared" si="41"/>
        <v>1934</v>
      </c>
      <c r="R543" s="3">
        <f t="shared" si="42"/>
        <v>0</v>
      </c>
      <c r="S543" s="3">
        <f t="shared" si="43"/>
        <v>12429.899999999994</v>
      </c>
      <c r="T543" s="24"/>
      <c r="U543" s="24"/>
      <c r="V543" s="3"/>
      <c r="W543" s="25" t="s">
        <v>425</v>
      </c>
      <c r="X543" s="25" t="s">
        <v>7216</v>
      </c>
      <c r="Y543" s="25"/>
      <c r="Z543" s="25"/>
      <c r="AA543" s="25"/>
      <c r="AB543" s="3" t="str">
        <f>IF(Caja_Finanzas[[#This Row],[fecha]]&gt;0,TEXT(Caja_Finanzas[[#This Row],[fecha]],"mmmm"),0)</f>
        <v>Junio</v>
      </c>
    </row>
    <row r="544" spans="1:28" ht="24" x14ac:dyDescent="0.3">
      <c r="A544" s="2">
        <f>IF(Caja_Finanzas[[#This Row],[tipo_r]]="R",COUNTIFS($C$1:$C543,"R")+1,A543)</f>
        <v>489</v>
      </c>
      <c r="B544" s="19" t="str">
        <f t="shared" si="44"/>
        <v>C-Finanzas</v>
      </c>
      <c r="C544" s="3" t="s">
        <v>1330</v>
      </c>
      <c r="D544" s="14">
        <v>45821</v>
      </c>
      <c r="E544" s="5" t="s">
        <v>2009</v>
      </c>
      <c r="F544" s="5" t="s">
        <v>1303</v>
      </c>
      <c r="G544" s="5"/>
      <c r="H544" s="6" t="s">
        <v>425</v>
      </c>
      <c r="I544" s="6" t="s">
        <v>119</v>
      </c>
      <c r="J544" s="6">
        <v>1</v>
      </c>
      <c r="K544" s="6">
        <v>4501</v>
      </c>
      <c r="L544" s="7" t="s">
        <v>6118</v>
      </c>
      <c r="M544" s="8" t="str">
        <f>"CFI"&amp;".D"&amp;TEXT(Caja_Finanzas[[#This Row],[fecha]],"DD-MM")&amp;"-"&amp;TEXT(Caja_Finanzas[[#This Row],[item]],"0000")</f>
        <v>CFI.D13-06-0489</v>
      </c>
      <c r="N544" s="8" t="str">
        <f t="shared" si="45"/>
        <v>PEN</v>
      </c>
      <c r="O544" s="13"/>
      <c r="P544" s="13">
        <v>400</v>
      </c>
      <c r="Q544" s="3">
        <f t="shared" si="41"/>
        <v>400</v>
      </c>
      <c r="R544" s="3">
        <f t="shared" si="42"/>
        <v>0</v>
      </c>
      <c r="S544" s="3">
        <f t="shared" si="43"/>
        <v>12829.899999999994</v>
      </c>
      <c r="T544" s="24"/>
      <c r="U544" s="24"/>
      <c r="V544" s="3"/>
      <c r="W544" s="25" t="s">
        <v>425</v>
      </c>
      <c r="X544" s="25" t="s">
        <v>7217</v>
      </c>
      <c r="Y544" s="25"/>
      <c r="Z544" s="25"/>
      <c r="AA544" s="25"/>
      <c r="AB544" s="3" t="str">
        <f>IF(Caja_Finanzas[[#This Row],[fecha]]&gt;0,TEXT(Caja_Finanzas[[#This Row],[fecha]],"mmmm"),0)</f>
        <v>Junio</v>
      </c>
    </row>
    <row r="545" spans="1:28" ht="24" x14ac:dyDescent="0.3">
      <c r="A545" s="2">
        <f>IF(Caja_Finanzas[[#This Row],[tipo_r]]="R",COUNTIFS($C$1:$C544,"R")+1,A544)</f>
        <v>490</v>
      </c>
      <c r="B545" s="19" t="str">
        <f t="shared" si="44"/>
        <v>C-Finanzas</v>
      </c>
      <c r="C545" s="3" t="s">
        <v>1330</v>
      </c>
      <c r="D545" s="14">
        <v>45821</v>
      </c>
      <c r="E545" s="5" t="s">
        <v>2009</v>
      </c>
      <c r="F545" s="5" t="s">
        <v>1303</v>
      </c>
      <c r="G545" s="5"/>
      <c r="H545" s="6" t="s">
        <v>425</v>
      </c>
      <c r="I545" s="6" t="s">
        <v>119</v>
      </c>
      <c r="J545" s="6">
        <v>1</v>
      </c>
      <c r="K545" s="6">
        <v>4502</v>
      </c>
      <c r="L545" s="7" t="s">
        <v>6118</v>
      </c>
      <c r="M545" s="8" t="str">
        <f>"CFI"&amp;".D"&amp;TEXT(Caja_Finanzas[[#This Row],[fecha]],"DD-MM")&amp;"-"&amp;TEXT(Caja_Finanzas[[#This Row],[item]],"0000")</f>
        <v>CFI.D13-06-0490</v>
      </c>
      <c r="N545" s="8" t="str">
        <f t="shared" si="45"/>
        <v>PEN</v>
      </c>
      <c r="O545" s="13"/>
      <c r="P545" s="13">
        <v>680</v>
      </c>
      <c r="Q545" s="3">
        <f t="shared" si="41"/>
        <v>680</v>
      </c>
      <c r="R545" s="3">
        <f t="shared" si="42"/>
        <v>0</v>
      </c>
      <c r="S545" s="3">
        <f t="shared" si="43"/>
        <v>13509.899999999994</v>
      </c>
      <c r="T545" s="24"/>
      <c r="U545" s="24"/>
      <c r="V545" s="3"/>
      <c r="W545" s="25" t="s">
        <v>425</v>
      </c>
      <c r="X545" s="25" t="s">
        <v>7218</v>
      </c>
      <c r="Y545" s="25"/>
      <c r="Z545" s="25"/>
      <c r="AA545" s="25"/>
      <c r="AB545" s="3" t="str">
        <f>IF(Caja_Finanzas[[#This Row],[fecha]]&gt;0,TEXT(Caja_Finanzas[[#This Row],[fecha]],"mmmm"),0)</f>
        <v>Junio</v>
      </c>
    </row>
    <row r="546" spans="1:28" ht="36" x14ac:dyDescent="0.3">
      <c r="A546" s="2">
        <f>IF(Caja_Finanzas[[#This Row],[tipo_r]]="R",COUNTIFS($C$1:$C545,"R")+1,A545)</f>
        <v>491</v>
      </c>
      <c r="B546" s="19" t="str">
        <f t="shared" si="44"/>
        <v>C-Finanzas</v>
      </c>
      <c r="C546" s="3" t="s">
        <v>1330</v>
      </c>
      <c r="D546" s="14">
        <v>45821</v>
      </c>
      <c r="E546" s="5" t="s">
        <v>6415</v>
      </c>
      <c r="F546" s="5" t="s">
        <v>1336</v>
      </c>
      <c r="G546" s="5"/>
      <c r="H546" s="6"/>
      <c r="I546" s="6"/>
      <c r="J546" s="6"/>
      <c r="K546" s="6"/>
      <c r="L546" s="7" t="s">
        <v>7219</v>
      </c>
      <c r="M546" s="8" t="str">
        <f>"CFI"&amp;".D"&amp;TEXT(Caja_Finanzas[[#This Row],[fecha]],"DD-MM")&amp;"-"&amp;TEXT(Caja_Finanzas[[#This Row],[item]],"0000")</f>
        <v>CFI.D13-06-0491</v>
      </c>
      <c r="N546" s="8" t="str">
        <f t="shared" si="45"/>
        <v>PEN</v>
      </c>
      <c r="O546" s="13"/>
      <c r="P546" s="13">
        <v>64</v>
      </c>
      <c r="Q546" s="3">
        <f t="shared" si="41"/>
        <v>0</v>
      </c>
      <c r="R546" s="3">
        <f t="shared" si="42"/>
        <v>64</v>
      </c>
      <c r="S546" s="3">
        <f t="shared" si="43"/>
        <v>13445.899999999994</v>
      </c>
      <c r="T546" s="24"/>
      <c r="U546" s="24"/>
      <c r="V546" s="3"/>
      <c r="W546" s="25" t="s">
        <v>425</v>
      </c>
      <c r="X546" s="25" t="s">
        <v>7220</v>
      </c>
      <c r="Y546" s="25"/>
      <c r="Z546" s="25"/>
      <c r="AA546" s="25"/>
      <c r="AB546" s="3" t="str">
        <f>IF(Caja_Finanzas[[#This Row],[fecha]]&gt;0,TEXT(Caja_Finanzas[[#This Row],[fecha]],"mmmm"),0)</f>
        <v>Junio</v>
      </c>
    </row>
    <row r="547" spans="1:28" ht="24" x14ac:dyDescent="0.3">
      <c r="A547" s="2">
        <f>IF(Caja_Finanzas[[#This Row],[tipo_r]]="R",COUNTIFS($C$1:$C546,"R")+1,A546)</f>
        <v>492</v>
      </c>
      <c r="B547" s="19" t="str">
        <f t="shared" si="44"/>
        <v>C-Finanzas</v>
      </c>
      <c r="C547" s="3" t="s">
        <v>1330</v>
      </c>
      <c r="D547" s="14">
        <v>45825</v>
      </c>
      <c r="E547" s="5" t="s">
        <v>4104</v>
      </c>
      <c r="F547" s="5" t="s">
        <v>1303</v>
      </c>
      <c r="G547" s="5"/>
      <c r="H547" s="6" t="s">
        <v>425</v>
      </c>
      <c r="I547" s="6" t="s">
        <v>119</v>
      </c>
      <c r="J547" s="6">
        <v>1</v>
      </c>
      <c r="K547" s="6">
        <v>4459</v>
      </c>
      <c r="L547" s="7" t="s">
        <v>6118</v>
      </c>
      <c r="M547" s="8" t="str">
        <f>"CFI"&amp;".D"&amp;TEXT(Caja_Finanzas[[#This Row],[fecha]],"DD-MM")&amp;"-"&amp;TEXT(Caja_Finanzas[[#This Row],[item]],"0000")</f>
        <v>CFI.D17-06-0492</v>
      </c>
      <c r="N547" s="8" t="str">
        <f t="shared" si="45"/>
        <v>PEN</v>
      </c>
      <c r="O547" s="13"/>
      <c r="P547" s="13">
        <v>900</v>
      </c>
      <c r="Q547" s="3">
        <f t="shared" si="41"/>
        <v>900</v>
      </c>
      <c r="R547" s="3">
        <f t="shared" si="42"/>
        <v>0</v>
      </c>
      <c r="S547" s="3">
        <f t="shared" si="43"/>
        <v>14345.899999999994</v>
      </c>
      <c r="T547" s="24"/>
      <c r="U547" s="24"/>
      <c r="V547" s="3"/>
      <c r="W547" s="25" t="s">
        <v>425</v>
      </c>
      <c r="X547" s="25" t="s">
        <v>7221</v>
      </c>
      <c r="Y547" s="25"/>
      <c r="Z547" s="25"/>
      <c r="AA547" s="25"/>
      <c r="AB547" s="3" t="str">
        <f>IF(Caja_Finanzas[[#This Row],[fecha]]&gt;0,TEXT(Caja_Finanzas[[#This Row],[fecha]],"mmmm"),0)</f>
        <v>Junio</v>
      </c>
    </row>
    <row r="548" spans="1:28" ht="24" x14ac:dyDescent="0.3">
      <c r="A548" s="2">
        <f>IF(Caja_Finanzas[[#This Row],[tipo_r]]="R",COUNTIFS($C$1:$C547,"R")+1,A547)</f>
        <v>493</v>
      </c>
      <c r="B548" s="19" t="str">
        <f t="shared" si="44"/>
        <v>C-Finanzas</v>
      </c>
      <c r="C548" s="3" t="s">
        <v>1330</v>
      </c>
      <c r="D548" s="14">
        <v>45825</v>
      </c>
      <c r="E548" s="5" t="s">
        <v>2502</v>
      </c>
      <c r="F548" s="5" t="s">
        <v>1303</v>
      </c>
      <c r="G548" s="5"/>
      <c r="H548" s="6" t="s">
        <v>425</v>
      </c>
      <c r="I548" s="6" t="s">
        <v>119</v>
      </c>
      <c r="J548" s="6">
        <v>1</v>
      </c>
      <c r="K548" s="6">
        <v>4505</v>
      </c>
      <c r="L548" s="7" t="s">
        <v>6118</v>
      </c>
      <c r="M548" s="8" t="str">
        <f>"CFI"&amp;".D"&amp;TEXT(Caja_Finanzas[[#This Row],[fecha]],"DD-MM")&amp;"-"&amp;TEXT(Caja_Finanzas[[#This Row],[item]],"0000")</f>
        <v>CFI.D17-06-0493</v>
      </c>
      <c r="N548" s="8" t="str">
        <f t="shared" si="45"/>
        <v>PEN</v>
      </c>
      <c r="O548" s="13"/>
      <c r="P548" s="13">
        <v>1150</v>
      </c>
      <c r="Q548" s="3">
        <f t="shared" si="41"/>
        <v>1150</v>
      </c>
      <c r="R548" s="3">
        <f t="shared" si="42"/>
        <v>0</v>
      </c>
      <c r="S548" s="3">
        <f t="shared" si="43"/>
        <v>15495.899999999994</v>
      </c>
      <c r="T548" s="24"/>
      <c r="U548" s="24"/>
      <c r="V548" s="3"/>
      <c r="W548" s="25" t="s">
        <v>425</v>
      </c>
      <c r="X548" s="25" t="s">
        <v>3401</v>
      </c>
      <c r="Y548" s="25"/>
      <c r="Z548" s="25"/>
      <c r="AA548" s="25"/>
      <c r="AB548" s="3" t="str">
        <f>IF(Caja_Finanzas[[#This Row],[fecha]]&gt;0,TEXT(Caja_Finanzas[[#This Row],[fecha]],"mmmm"),0)</f>
        <v>Junio</v>
      </c>
    </row>
    <row r="549" spans="1:28" ht="24" x14ac:dyDescent="0.3">
      <c r="A549" s="2">
        <f>IF(Caja_Finanzas[[#This Row],[tipo_r]]="R",COUNTIFS($C$1:$C548,"R")+1,A548)</f>
        <v>494</v>
      </c>
      <c r="B549" s="19" t="str">
        <f t="shared" si="44"/>
        <v>C-Finanzas</v>
      </c>
      <c r="C549" s="3" t="s">
        <v>1330</v>
      </c>
      <c r="D549" s="14">
        <v>45825</v>
      </c>
      <c r="E549" s="5" t="s">
        <v>5828</v>
      </c>
      <c r="F549" s="5" t="s">
        <v>1336</v>
      </c>
      <c r="G549" s="5"/>
      <c r="H549" s="6"/>
      <c r="I549" s="6"/>
      <c r="J549" s="6"/>
      <c r="K549" s="6"/>
      <c r="L549" s="7" t="s">
        <v>7222</v>
      </c>
      <c r="M549" s="8" t="str">
        <f>"CFI"&amp;".D"&amp;TEXT(Caja_Finanzas[[#This Row],[fecha]],"DD-MM")&amp;"-"&amp;TEXT(Caja_Finanzas[[#This Row],[item]],"0000")</f>
        <v>CFI.D17-06-0494</v>
      </c>
      <c r="N549" s="8" t="str">
        <f t="shared" si="45"/>
        <v>PEN</v>
      </c>
      <c r="O549" s="13"/>
      <c r="P549" s="13">
        <v>60</v>
      </c>
      <c r="Q549" s="3">
        <f t="shared" si="41"/>
        <v>0</v>
      </c>
      <c r="R549" s="3">
        <f t="shared" si="42"/>
        <v>60</v>
      </c>
      <c r="S549" s="3">
        <f t="shared" si="43"/>
        <v>15435.899999999994</v>
      </c>
      <c r="T549" s="24"/>
      <c r="U549" s="24"/>
      <c r="V549" s="3"/>
      <c r="W549" s="25" t="s">
        <v>6709</v>
      </c>
      <c r="X549" s="25" t="s">
        <v>7223</v>
      </c>
      <c r="Y549" s="25"/>
      <c r="Z549" s="25"/>
      <c r="AA549" s="25"/>
      <c r="AB549" s="3" t="str">
        <f>IF(Caja_Finanzas[[#This Row],[fecha]]&gt;0,TEXT(Caja_Finanzas[[#This Row],[fecha]],"mmmm"),0)</f>
        <v>Junio</v>
      </c>
    </row>
    <row r="550" spans="1:28" ht="24" x14ac:dyDescent="0.3">
      <c r="A550" s="2">
        <f>IF(Caja_Finanzas[[#This Row],[tipo_r]]="R",COUNTIFS($C$1:$C549,"R")+1,A549)</f>
        <v>495</v>
      </c>
      <c r="B550" s="19" t="str">
        <f t="shared" si="44"/>
        <v>C-Finanzas</v>
      </c>
      <c r="C550" s="3" t="s">
        <v>1330</v>
      </c>
      <c r="D550" s="14">
        <v>45826</v>
      </c>
      <c r="E550" s="5" t="s">
        <v>6451</v>
      </c>
      <c r="F550" s="5" t="s">
        <v>1336</v>
      </c>
      <c r="G550" s="5"/>
      <c r="H550" s="6"/>
      <c r="I550" s="6"/>
      <c r="J550" s="6"/>
      <c r="K550" s="6"/>
      <c r="L550" s="7" t="s">
        <v>7224</v>
      </c>
      <c r="M550" s="8" t="str">
        <f>"CFI"&amp;".D"&amp;TEXT(Caja_Finanzas[[#This Row],[fecha]],"DD-MM")&amp;"-"&amp;TEXT(Caja_Finanzas[[#This Row],[item]],"0000")</f>
        <v>CFI.D18-06-0495</v>
      </c>
      <c r="N550" s="8" t="str">
        <f t="shared" si="45"/>
        <v>PEN</v>
      </c>
      <c r="O550" s="13"/>
      <c r="P550" s="13">
        <v>527.5</v>
      </c>
      <c r="Q550" s="3">
        <f t="shared" si="41"/>
        <v>0</v>
      </c>
      <c r="R550" s="3">
        <f t="shared" si="42"/>
        <v>527.5</v>
      </c>
      <c r="S550" s="3">
        <f t="shared" si="43"/>
        <v>14908.399999999994</v>
      </c>
      <c r="T550" s="24"/>
      <c r="U550" s="24"/>
      <c r="V550" s="3"/>
      <c r="W550" s="25"/>
      <c r="X550" s="25" t="s">
        <v>7225</v>
      </c>
      <c r="Y550" s="25"/>
      <c r="Z550" s="25"/>
      <c r="AA550" s="25"/>
      <c r="AB550" s="3" t="str">
        <f>IF(Caja_Finanzas[[#This Row],[fecha]]&gt;0,TEXT(Caja_Finanzas[[#This Row],[fecha]],"mmmm"),0)</f>
        <v>Junio</v>
      </c>
    </row>
    <row r="551" spans="1:28" ht="24" x14ac:dyDescent="0.3">
      <c r="A551" s="2">
        <f>IF(Caja_Finanzas[[#This Row],[tipo_r]]="R",COUNTIFS($C$1:$C550,"R")+1,A550)</f>
        <v>496</v>
      </c>
      <c r="B551" s="19" t="str">
        <f t="shared" si="44"/>
        <v>C-Finanzas</v>
      </c>
      <c r="C551" s="3" t="s">
        <v>1330</v>
      </c>
      <c r="D551" s="14">
        <v>45826</v>
      </c>
      <c r="E551" s="5" t="s">
        <v>6451</v>
      </c>
      <c r="F551" s="5" t="s">
        <v>1336</v>
      </c>
      <c r="G551" s="5"/>
      <c r="H551" s="6"/>
      <c r="I551" s="6"/>
      <c r="J551" s="6"/>
      <c r="K551" s="6"/>
      <c r="L551" s="7" t="s">
        <v>7226</v>
      </c>
      <c r="M551" s="8" t="str">
        <f>"CFI"&amp;".D"&amp;TEXT(Caja_Finanzas[[#This Row],[fecha]],"DD-MM")&amp;"-"&amp;TEXT(Caja_Finanzas[[#This Row],[item]],"0000")</f>
        <v>CFI.D18-06-0496</v>
      </c>
      <c r="N551" s="8" t="str">
        <f t="shared" si="45"/>
        <v>PEN</v>
      </c>
      <c r="O551" s="13"/>
      <c r="P551" s="13">
        <v>442.8</v>
      </c>
      <c r="Q551" s="3">
        <f t="shared" si="41"/>
        <v>0</v>
      </c>
      <c r="R551" s="3">
        <f t="shared" si="42"/>
        <v>442.8</v>
      </c>
      <c r="S551" s="3">
        <f t="shared" si="43"/>
        <v>14465.599999999995</v>
      </c>
      <c r="T551" s="24"/>
      <c r="U551" s="24"/>
      <c r="V551" s="3"/>
      <c r="W551" s="25"/>
      <c r="X551" s="25" t="s">
        <v>7227</v>
      </c>
      <c r="Y551" s="25"/>
      <c r="Z551" s="25"/>
      <c r="AA551" s="25"/>
      <c r="AB551" s="3" t="str">
        <f>IF(Caja_Finanzas[[#This Row],[fecha]]&gt;0,TEXT(Caja_Finanzas[[#This Row],[fecha]],"mmmm"),0)</f>
        <v>Junio</v>
      </c>
    </row>
    <row r="552" spans="1:28" ht="24" x14ac:dyDescent="0.3">
      <c r="A552" s="2">
        <f>IF(Caja_Finanzas[[#This Row],[tipo_r]]="R",COUNTIFS($C$1:$C551,"R")+1,A551)</f>
        <v>497</v>
      </c>
      <c r="B552" s="19" t="str">
        <f t="shared" si="44"/>
        <v>C-Finanzas</v>
      </c>
      <c r="C552" s="3" t="s">
        <v>1330</v>
      </c>
      <c r="D552" s="14">
        <v>45826</v>
      </c>
      <c r="E552" s="5" t="s">
        <v>6451</v>
      </c>
      <c r="F552" s="5" t="s">
        <v>1336</v>
      </c>
      <c r="G552" s="5"/>
      <c r="H552" s="6"/>
      <c r="I552" s="6"/>
      <c r="J552" s="6"/>
      <c r="K552" s="6"/>
      <c r="L552" s="7" t="s">
        <v>7228</v>
      </c>
      <c r="M552" s="8" t="str">
        <f>"CFI"&amp;".D"&amp;TEXT(Caja_Finanzas[[#This Row],[fecha]],"DD-MM")&amp;"-"&amp;TEXT(Caja_Finanzas[[#This Row],[item]],"0000")</f>
        <v>CFI.D18-06-0497</v>
      </c>
      <c r="N552" s="8" t="str">
        <f t="shared" si="45"/>
        <v>PEN</v>
      </c>
      <c r="O552" s="13"/>
      <c r="P552" s="13">
        <v>1149.5</v>
      </c>
      <c r="Q552" s="3">
        <f t="shared" si="41"/>
        <v>0</v>
      </c>
      <c r="R552" s="3">
        <f t="shared" si="42"/>
        <v>1149.5</v>
      </c>
      <c r="S552" s="3">
        <f t="shared" si="43"/>
        <v>13316.099999999995</v>
      </c>
      <c r="T552" s="24"/>
      <c r="U552" s="24"/>
      <c r="V552" s="3"/>
      <c r="W552" s="25" t="s">
        <v>7229</v>
      </c>
      <c r="X552" s="25" t="s">
        <v>7230</v>
      </c>
      <c r="Y552" s="25"/>
      <c r="Z552" s="25"/>
      <c r="AA552" s="25"/>
      <c r="AB552" s="3" t="str">
        <f>IF(Caja_Finanzas[[#This Row],[fecha]]&gt;0,TEXT(Caja_Finanzas[[#This Row],[fecha]],"mmmm"),0)</f>
        <v>Junio</v>
      </c>
    </row>
    <row r="553" spans="1:28" ht="24" x14ac:dyDescent="0.3">
      <c r="A553" s="2">
        <f>IF(Caja_Finanzas[[#This Row],[tipo_r]]="R",COUNTIFS($C$1:$C552,"R")+1,A552)</f>
        <v>498</v>
      </c>
      <c r="B553" s="19" t="str">
        <f t="shared" si="44"/>
        <v>C-Finanzas</v>
      </c>
      <c r="C553" s="3" t="s">
        <v>1330</v>
      </c>
      <c r="D553" s="14">
        <v>45827</v>
      </c>
      <c r="E553" s="5" t="s">
        <v>4309</v>
      </c>
      <c r="F553" s="5" t="s">
        <v>1303</v>
      </c>
      <c r="G553" s="5"/>
      <c r="H553" s="6" t="s">
        <v>425</v>
      </c>
      <c r="I553" s="6" t="s">
        <v>119</v>
      </c>
      <c r="J553" s="6">
        <v>1</v>
      </c>
      <c r="K553" s="6">
        <v>4513</v>
      </c>
      <c r="L553" s="7" t="s">
        <v>6118</v>
      </c>
      <c r="M553" s="8" t="str">
        <f>"CFI"&amp;".D"&amp;TEXT(Caja_Finanzas[[#This Row],[fecha]],"DD-MM")&amp;"-"&amp;TEXT(Caja_Finanzas[[#This Row],[item]],"0000")</f>
        <v>CFI.D19-06-0498</v>
      </c>
      <c r="N553" s="8" t="str">
        <f t="shared" si="45"/>
        <v>PEN</v>
      </c>
      <c r="O553" s="13"/>
      <c r="P553" s="13">
        <v>660</v>
      </c>
      <c r="Q553" s="3">
        <f t="shared" si="41"/>
        <v>660</v>
      </c>
      <c r="R553" s="3">
        <f t="shared" si="42"/>
        <v>0</v>
      </c>
      <c r="S553" s="3">
        <f t="shared" si="43"/>
        <v>13976.099999999995</v>
      </c>
      <c r="T553" s="24"/>
      <c r="U553" s="24"/>
      <c r="V553" s="3"/>
      <c r="W553" s="25" t="s">
        <v>425</v>
      </c>
      <c r="X553" s="25" t="s">
        <v>7231</v>
      </c>
      <c r="Y553" s="25"/>
      <c r="Z553" s="25"/>
      <c r="AA553" s="25"/>
      <c r="AB553" s="3" t="str">
        <f>IF(Caja_Finanzas[[#This Row],[fecha]]&gt;0,TEXT(Caja_Finanzas[[#This Row],[fecha]],"mmmm"),0)</f>
        <v>Junio</v>
      </c>
    </row>
    <row r="554" spans="1:28" ht="24" x14ac:dyDescent="0.3">
      <c r="A554" s="2">
        <f>IF(Caja_Finanzas[[#This Row],[tipo_r]]="R",COUNTIFS($C$1:$C553,"R")+1,A553)</f>
        <v>499</v>
      </c>
      <c r="B554" s="19" t="str">
        <f t="shared" si="44"/>
        <v>C-Finanzas</v>
      </c>
      <c r="C554" s="3" t="s">
        <v>1330</v>
      </c>
      <c r="D554" s="14">
        <v>45827</v>
      </c>
      <c r="E554" s="5" t="s">
        <v>2502</v>
      </c>
      <c r="F554" s="5" t="s">
        <v>1303</v>
      </c>
      <c r="G554" s="5"/>
      <c r="H554" s="6" t="s">
        <v>425</v>
      </c>
      <c r="I554" s="6" t="s">
        <v>119</v>
      </c>
      <c r="J554" s="6">
        <v>1</v>
      </c>
      <c r="K554" s="6">
        <v>4515</v>
      </c>
      <c r="L554" s="7" t="s">
        <v>6118</v>
      </c>
      <c r="M554" s="8" t="str">
        <f>"CFI"&amp;".D"&amp;TEXT(Caja_Finanzas[[#This Row],[fecha]],"DD-MM")&amp;"-"&amp;TEXT(Caja_Finanzas[[#This Row],[item]],"0000")</f>
        <v>CFI.D19-06-0499</v>
      </c>
      <c r="N554" s="8" t="str">
        <f t="shared" si="45"/>
        <v>PEN</v>
      </c>
      <c r="O554" s="13"/>
      <c r="P554" s="13">
        <v>1500</v>
      </c>
      <c r="Q554" s="3">
        <f t="shared" si="41"/>
        <v>1500</v>
      </c>
      <c r="R554" s="3">
        <f t="shared" si="42"/>
        <v>0</v>
      </c>
      <c r="S554" s="3">
        <f t="shared" si="43"/>
        <v>15476.099999999995</v>
      </c>
      <c r="T554" s="24"/>
      <c r="U554" s="24"/>
      <c r="V554" s="3"/>
      <c r="W554" s="25" t="s">
        <v>425</v>
      </c>
      <c r="X554" s="25" t="s">
        <v>3447</v>
      </c>
      <c r="Y554" s="25"/>
      <c r="Z554" s="25"/>
      <c r="AA554" s="25"/>
      <c r="AB554" s="3" t="str">
        <f>IF(Caja_Finanzas[[#This Row],[fecha]]&gt;0,TEXT(Caja_Finanzas[[#This Row],[fecha]],"mmmm"),0)</f>
        <v>Junio</v>
      </c>
    </row>
    <row r="555" spans="1:28" x14ac:dyDescent="0.3">
      <c r="A555" s="2">
        <f>IF(Caja_Finanzas[[#This Row],[tipo_r]]="R",COUNTIFS($C$1:$C554,"R")+1,A554)</f>
        <v>500</v>
      </c>
      <c r="B555" s="19" t="str">
        <f t="shared" si="44"/>
        <v>C-Finanzas</v>
      </c>
      <c r="C555" s="3" t="s">
        <v>1330</v>
      </c>
      <c r="D555" s="14">
        <v>45827</v>
      </c>
      <c r="E555" s="5" t="s">
        <v>1498</v>
      </c>
      <c r="F555" s="5" t="s">
        <v>1303</v>
      </c>
      <c r="G555" s="5"/>
      <c r="H555" s="6" t="s">
        <v>425</v>
      </c>
      <c r="I555" s="6" t="s">
        <v>119</v>
      </c>
      <c r="J555" s="6">
        <v>1</v>
      </c>
      <c r="K555" s="6">
        <v>4518</v>
      </c>
      <c r="L555" s="7" t="s">
        <v>6118</v>
      </c>
      <c r="M555" s="8" t="str">
        <f>"CFI"&amp;".D"&amp;TEXT(Caja_Finanzas[[#This Row],[fecha]],"DD-MM")&amp;"-"&amp;TEXT(Caja_Finanzas[[#This Row],[item]],"0000")</f>
        <v>CFI.D19-06-0500</v>
      </c>
      <c r="N555" s="8" t="str">
        <f t="shared" si="45"/>
        <v>PEN</v>
      </c>
      <c r="O555" s="13"/>
      <c r="P555" s="13">
        <v>50</v>
      </c>
      <c r="Q555" s="3">
        <f t="shared" si="41"/>
        <v>50</v>
      </c>
      <c r="R555" s="3">
        <f t="shared" si="42"/>
        <v>0</v>
      </c>
      <c r="S555" s="3">
        <f t="shared" si="43"/>
        <v>15526.099999999995</v>
      </c>
      <c r="T555" s="24"/>
      <c r="U555" s="24"/>
      <c r="V555" s="3"/>
      <c r="W555" s="25" t="s">
        <v>425</v>
      </c>
      <c r="X555" s="25" t="s">
        <v>3452</v>
      </c>
      <c r="Y555" s="25"/>
      <c r="Z555" s="25"/>
      <c r="AA555" s="25"/>
      <c r="AB555" s="3" t="str">
        <f>IF(Caja_Finanzas[[#This Row],[fecha]]&gt;0,TEXT(Caja_Finanzas[[#This Row],[fecha]],"mmmm"),0)</f>
        <v>Junio</v>
      </c>
    </row>
    <row r="556" spans="1:28" ht="24" x14ac:dyDescent="0.3">
      <c r="A556" s="2">
        <f>IF(Caja_Finanzas[[#This Row],[tipo_r]]="R",COUNTIFS($C$1:$C555,"R")+1,A555)</f>
        <v>501</v>
      </c>
      <c r="B556" s="19" t="str">
        <f t="shared" si="44"/>
        <v>C-Finanzas</v>
      </c>
      <c r="C556" s="3" t="s">
        <v>1330</v>
      </c>
      <c r="D556" s="14">
        <v>45827</v>
      </c>
      <c r="E556" s="5" t="s">
        <v>3445</v>
      </c>
      <c r="F556" s="5" t="s">
        <v>1303</v>
      </c>
      <c r="G556" s="5"/>
      <c r="H556" s="6" t="s">
        <v>425</v>
      </c>
      <c r="I556" s="6" t="s">
        <v>119</v>
      </c>
      <c r="J556" s="6">
        <v>1</v>
      </c>
      <c r="K556" s="6">
        <v>4519</v>
      </c>
      <c r="L556" s="7" t="s">
        <v>6118</v>
      </c>
      <c r="M556" s="8" t="str">
        <f>"CFI"&amp;".D"&amp;TEXT(Caja_Finanzas[[#This Row],[fecha]],"DD-MM")&amp;"-"&amp;TEXT(Caja_Finanzas[[#This Row],[item]],"0000")</f>
        <v>CFI.D19-06-0501</v>
      </c>
      <c r="N556" s="8" t="str">
        <f t="shared" si="45"/>
        <v>PEN</v>
      </c>
      <c r="O556" s="13"/>
      <c r="P556" s="13">
        <v>950</v>
      </c>
      <c r="Q556" s="3">
        <f t="shared" si="41"/>
        <v>950</v>
      </c>
      <c r="R556" s="3">
        <f t="shared" si="42"/>
        <v>0</v>
      </c>
      <c r="S556" s="3">
        <f t="shared" si="43"/>
        <v>16476.099999999995</v>
      </c>
      <c r="T556" s="24"/>
      <c r="U556" s="24"/>
      <c r="V556" s="3"/>
      <c r="W556" s="25" t="s">
        <v>425</v>
      </c>
      <c r="X556" s="25" t="s">
        <v>3446</v>
      </c>
      <c r="Y556" s="25"/>
      <c r="Z556" s="25"/>
      <c r="AA556" s="25"/>
      <c r="AB556" s="3" t="str">
        <f>IF(Caja_Finanzas[[#This Row],[fecha]]&gt;0,TEXT(Caja_Finanzas[[#This Row],[fecha]],"mmmm"),0)</f>
        <v>Junio</v>
      </c>
    </row>
    <row r="557" spans="1:28" ht="24" x14ac:dyDescent="0.3">
      <c r="A557" s="2">
        <f>IF(Caja_Finanzas[[#This Row],[tipo_r]]="R",COUNTIFS($C$1:$C556,"R")+1,A556)</f>
        <v>502</v>
      </c>
      <c r="B557" s="19" t="str">
        <f t="shared" si="44"/>
        <v>C-Finanzas</v>
      </c>
      <c r="C557" s="3" t="s">
        <v>1330</v>
      </c>
      <c r="D557" s="14">
        <v>45827</v>
      </c>
      <c r="E557" s="5" t="s">
        <v>1825</v>
      </c>
      <c r="F557" s="5" t="s">
        <v>1303</v>
      </c>
      <c r="G557" s="5"/>
      <c r="H557" s="6" t="s">
        <v>425</v>
      </c>
      <c r="I557" s="6" t="s">
        <v>119</v>
      </c>
      <c r="J557" s="6">
        <v>1</v>
      </c>
      <c r="K557" s="6">
        <v>4520</v>
      </c>
      <c r="L557" s="7" t="s">
        <v>6118</v>
      </c>
      <c r="M557" s="8" t="str">
        <f>"CFI"&amp;".D"&amp;TEXT(Caja_Finanzas[[#This Row],[fecha]],"DD-MM")&amp;"-"&amp;TEXT(Caja_Finanzas[[#This Row],[item]],"0000")</f>
        <v>CFI.D19-06-0502</v>
      </c>
      <c r="N557" s="8" t="str">
        <f t="shared" si="45"/>
        <v>PEN</v>
      </c>
      <c r="O557" s="13"/>
      <c r="P557" s="13">
        <v>3041.6</v>
      </c>
      <c r="Q557" s="3">
        <f t="shared" si="41"/>
        <v>3041.6</v>
      </c>
      <c r="R557" s="3">
        <f t="shared" si="42"/>
        <v>0</v>
      </c>
      <c r="S557" s="3">
        <f t="shared" si="43"/>
        <v>19517.699999999993</v>
      </c>
      <c r="T557" s="24"/>
      <c r="U557" s="24"/>
      <c r="V557" s="3"/>
      <c r="W557" s="25" t="s">
        <v>425</v>
      </c>
      <c r="X557" s="25" t="s">
        <v>7232</v>
      </c>
      <c r="Y557" s="25"/>
      <c r="Z557" s="25"/>
      <c r="AA557" s="25"/>
      <c r="AB557" s="3" t="str">
        <f>IF(Caja_Finanzas[[#This Row],[fecha]]&gt;0,TEXT(Caja_Finanzas[[#This Row],[fecha]],"mmmm"),0)</f>
        <v>Junio</v>
      </c>
    </row>
    <row r="558" spans="1:28" ht="24" x14ac:dyDescent="0.3">
      <c r="A558" s="2">
        <f>IF(Caja_Finanzas[[#This Row],[tipo_r]]="R",COUNTIFS($C$1:$C557,"R")+1,A557)</f>
        <v>503</v>
      </c>
      <c r="B558" s="19" t="str">
        <f t="shared" si="44"/>
        <v>C-Finanzas</v>
      </c>
      <c r="C558" s="3" t="s">
        <v>1330</v>
      </c>
      <c r="D558" s="14">
        <v>45827</v>
      </c>
      <c r="E558" s="5" t="s">
        <v>2502</v>
      </c>
      <c r="F558" s="5" t="s">
        <v>1303</v>
      </c>
      <c r="G558" s="5"/>
      <c r="H558" s="6" t="s">
        <v>425</v>
      </c>
      <c r="I558" s="6" t="s">
        <v>119</v>
      </c>
      <c r="J558" s="6">
        <v>1</v>
      </c>
      <c r="K558" s="6">
        <v>4334</v>
      </c>
      <c r="L558" s="7" t="s">
        <v>6118</v>
      </c>
      <c r="M558" s="8" t="str">
        <f>"CFI"&amp;".D"&amp;TEXT(Caja_Finanzas[[#This Row],[fecha]],"DD-MM")&amp;"-"&amp;TEXT(Caja_Finanzas[[#This Row],[item]],"0000")</f>
        <v>CFI.D19-06-0503</v>
      </c>
      <c r="N558" s="8" t="str">
        <f t="shared" si="45"/>
        <v>PEN</v>
      </c>
      <c r="O558" s="13"/>
      <c r="P558" s="13">
        <v>24</v>
      </c>
      <c r="Q558" s="3">
        <f t="shared" si="41"/>
        <v>24</v>
      </c>
      <c r="R558" s="3">
        <f t="shared" si="42"/>
        <v>0</v>
      </c>
      <c r="S558" s="3">
        <f t="shared" si="43"/>
        <v>19541.699999999993</v>
      </c>
      <c r="T558" s="24"/>
      <c r="U558" s="24"/>
      <c r="V558" s="3"/>
      <c r="W558" s="25" t="s">
        <v>425</v>
      </c>
      <c r="X558" s="25" t="s">
        <v>6982</v>
      </c>
      <c r="Y558" s="25"/>
      <c r="Z558" s="25"/>
      <c r="AA558" s="25"/>
      <c r="AB558" s="3" t="str">
        <f>IF(Caja_Finanzas[[#This Row],[fecha]]&gt;0,TEXT(Caja_Finanzas[[#This Row],[fecha]],"mmmm"),0)</f>
        <v>Junio</v>
      </c>
    </row>
    <row r="559" spans="1:28" ht="24" x14ac:dyDescent="0.3">
      <c r="A559" s="2">
        <f>IF(Caja_Finanzas[[#This Row],[tipo_r]]="R",COUNTIFS($C$1:$C558,"R")+1,A558)</f>
        <v>504</v>
      </c>
      <c r="B559" s="19" t="str">
        <f t="shared" si="44"/>
        <v>C-Finanzas</v>
      </c>
      <c r="C559" s="3" t="s">
        <v>1330</v>
      </c>
      <c r="D559" s="14">
        <v>45828</v>
      </c>
      <c r="E559" s="5" t="s">
        <v>3445</v>
      </c>
      <c r="F559" s="5" t="s">
        <v>1303</v>
      </c>
      <c r="G559" s="5"/>
      <c r="H559" s="6" t="s">
        <v>425</v>
      </c>
      <c r="I559" s="6" t="s">
        <v>119</v>
      </c>
      <c r="J559" s="6">
        <v>1</v>
      </c>
      <c r="K559" s="6">
        <v>4523</v>
      </c>
      <c r="L559" s="7" t="s">
        <v>6118</v>
      </c>
      <c r="M559" s="8" t="str">
        <f>"CFI"&amp;".D"&amp;TEXT(Caja_Finanzas[[#This Row],[fecha]],"DD-MM")&amp;"-"&amp;TEXT(Caja_Finanzas[[#This Row],[item]],"0000")</f>
        <v>CFI.D20-06-0504</v>
      </c>
      <c r="N559" s="8" t="str">
        <f t="shared" si="45"/>
        <v>PEN</v>
      </c>
      <c r="O559" s="13"/>
      <c r="P559" s="13">
        <v>1550</v>
      </c>
      <c r="Q559" s="3">
        <f t="shared" si="41"/>
        <v>1550</v>
      </c>
      <c r="R559" s="3">
        <f t="shared" si="42"/>
        <v>0</v>
      </c>
      <c r="S559" s="3">
        <f t="shared" si="43"/>
        <v>21091.699999999993</v>
      </c>
      <c r="T559" s="24"/>
      <c r="U559" s="24"/>
      <c r="V559" s="3"/>
      <c r="W559" s="25" t="s">
        <v>425</v>
      </c>
      <c r="X559" s="25" t="s">
        <v>7233</v>
      </c>
      <c r="Y559" s="25"/>
      <c r="Z559" s="25"/>
      <c r="AA559" s="25"/>
      <c r="AB559" s="3" t="str">
        <f>IF(Caja_Finanzas[[#This Row],[fecha]]&gt;0,TEXT(Caja_Finanzas[[#This Row],[fecha]],"mmmm"),0)</f>
        <v>Junio</v>
      </c>
    </row>
    <row r="560" spans="1:28" ht="24" x14ac:dyDescent="0.3">
      <c r="A560" s="2">
        <f>IF(Caja_Finanzas[[#This Row],[tipo_r]]="R",COUNTIFS($C$1:$C559,"R")+1,A559)</f>
        <v>505</v>
      </c>
      <c r="B560" s="19" t="str">
        <f t="shared" si="44"/>
        <v>C-Finanzas</v>
      </c>
      <c r="C560" s="3" t="s">
        <v>1330</v>
      </c>
      <c r="D560" s="14">
        <v>45828</v>
      </c>
      <c r="E560" s="5" t="s">
        <v>3445</v>
      </c>
      <c r="F560" s="5" t="s">
        <v>1303</v>
      </c>
      <c r="G560" s="5"/>
      <c r="H560" s="6" t="s">
        <v>425</v>
      </c>
      <c r="I560" s="6" t="s">
        <v>119</v>
      </c>
      <c r="J560" s="6">
        <v>1</v>
      </c>
      <c r="K560" s="6">
        <v>4524</v>
      </c>
      <c r="L560" s="7" t="s">
        <v>6118</v>
      </c>
      <c r="M560" s="8" t="str">
        <f>"CFI"&amp;".D"&amp;TEXT(Caja_Finanzas[[#This Row],[fecha]],"DD-MM")&amp;"-"&amp;TEXT(Caja_Finanzas[[#This Row],[item]],"0000")</f>
        <v>CFI.D20-06-0505</v>
      </c>
      <c r="N560" s="8" t="str">
        <f t="shared" si="45"/>
        <v>PEN</v>
      </c>
      <c r="O560" s="13"/>
      <c r="P560" s="13">
        <v>144</v>
      </c>
      <c r="Q560" s="3">
        <f t="shared" si="41"/>
        <v>144</v>
      </c>
      <c r="R560" s="3">
        <f t="shared" si="42"/>
        <v>0</v>
      </c>
      <c r="S560" s="3">
        <f t="shared" si="43"/>
        <v>21235.699999999993</v>
      </c>
      <c r="T560" s="24"/>
      <c r="U560" s="24"/>
      <c r="V560" s="3"/>
      <c r="W560" s="25" t="s">
        <v>425</v>
      </c>
      <c r="X560" s="25" t="s">
        <v>7234</v>
      </c>
      <c r="Y560" s="25"/>
      <c r="Z560" s="25"/>
      <c r="AA560" s="25"/>
      <c r="AB560" s="3" t="str">
        <f>IF(Caja_Finanzas[[#This Row],[fecha]]&gt;0,TEXT(Caja_Finanzas[[#This Row],[fecha]],"mmmm"),0)</f>
        <v>Junio</v>
      </c>
    </row>
    <row r="561" spans="1:28" ht="24" x14ac:dyDescent="0.3">
      <c r="A561" s="2">
        <f>IF(Caja_Finanzas[[#This Row],[tipo_r]]="R",COUNTIFS($C$1:$C560,"R")+1,A560)</f>
        <v>506</v>
      </c>
      <c r="B561" s="19" t="str">
        <f t="shared" si="44"/>
        <v>C-Finanzas</v>
      </c>
      <c r="C561" s="3" t="s">
        <v>1330</v>
      </c>
      <c r="D561" s="14">
        <v>45828</v>
      </c>
      <c r="E561" s="5" t="s">
        <v>5811</v>
      </c>
      <c r="F561" s="5" t="s">
        <v>1336</v>
      </c>
      <c r="G561" s="5"/>
      <c r="H561" s="6"/>
      <c r="I561" s="6"/>
      <c r="J561" s="6"/>
      <c r="K561" s="6"/>
      <c r="L561" s="7" t="s">
        <v>7235</v>
      </c>
      <c r="M561" s="8" t="str">
        <f>"CFI"&amp;".D"&amp;TEXT(Caja_Finanzas[[#This Row],[fecha]],"DD-MM")&amp;"-"&amp;TEXT(Caja_Finanzas[[#This Row],[item]],"0000")</f>
        <v>CFI.D20-06-0506</v>
      </c>
      <c r="N561" s="8" t="str">
        <f t="shared" si="45"/>
        <v>PEN</v>
      </c>
      <c r="O561" s="13"/>
      <c r="P561" s="13">
        <v>200</v>
      </c>
      <c r="Q561" s="3">
        <f t="shared" si="41"/>
        <v>0</v>
      </c>
      <c r="R561" s="3">
        <f t="shared" si="42"/>
        <v>200</v>
      </c>
      <c r="S561" s="3">
        <f t="shared" si="43"/>
        <v>21035.699999999993</v>
      </c>
      <c r="T561" s="24"/>
      <c r="U561" s="24"/>
      <c r="V561" s="3"/>
      <c r="W561" s="25" t="s">
        <v>6854</v>
      </c>
      <c r="X561" s="25" t="s">
        <v>7236</v>
      </c>
      <c r="Y561" s="25"/>
      <c r="Z561" s="25"/>
      <c r="AA561" s="25"/>
      <c r="AB561" s="3" t="str">
        <f>IF(Caja_Finanzas[[#This Row],[fecha]]&gt;0,TEXT(Caja_Finanzas[[#This Row],[fecha]],"mmmm"),0)</f>
        <v>Junio</v>
      </c>
    </row>
    <row r="562" spans="1:28" ht="24" x14ac:dyDescent="0.3">
      <c r="A562" s="2">
        <f>IF(Caja_Finanzas[[#This Row],[tipo_r]]="R",COUNTIFS($C$1:$C561,"R")+1,A561)</f>
        <v>507</v>
      </c>
      <c r="B562" s="19" t="str">
        <f t="shared" si="44"/>
        <v>C-Finanzas</v>
      </c>
      <c r="C562" s="3" t="s">
        <v>1330</v>
      </c>
      <c r="D562" s="14">
        <v>45828</v>
      </c>
      <c r="E562" s="5" t="s">
        <v>6940</v>
      </c>
      <c r="F562" s="5" t="s">
        <v>1336</v>
      </c>
      <c r="G562" s="5"/>
      <c r="H562" s="6"/>
      <c r="I562" s="6"/>
      <c r="J562" s="6"/>
      <c r="K562" s="6"/>
      <c r="L562" s="7" t="s">
        <v>7237</v>
      </c>
      <c r="M562" s="8" t="str">
        <f>"CFI"&amp;".D"&amp;TEXT(Caja_Finanzas[[#This Row],[fecha]],"DD-MM")&amp;"-"&amp;TEXT(Caja_Finanzas[[#This Row],[item]],"0000")</f>
        <v>CFI.D20-06-0507</v>
      </c>
      <c r="N562" s="8" t="str">
        <f t="shared" si="45"/>
        <v>PEN</v>
      </c>
      <c r="O562" s="13"/>
      <c r="P562" s="13">
        <v>436</v>
      </c>
      <c r="Q562" s="3">
        <f t="shared" si="41"/>
        <v>0</v>
      </c>
      <c r="R562" s="3">
        <f t="shared" si="42"/>
        <v>436</v>
      </c>
      <c r="S562" s="3">
        <f t="shared" si="43"/>
        <v>20599.699999999993</v>
      </c>
      <c r="T562" s="24"/>
      <c r="U562" s="24"/>
      <c r="V562" s="3"/>
      <c r="W562" s="25" t="s">
        <v>6854</v>
      </c>
      <c r="X562" s="25" t="s">
        <v>7238</v>
      </c>
      <c r="Y562" s="25"/>
      <c r="Z562" s="25"/>
      <c r="AA562" s="25"/>
      <c r="AB562" s="3" t="str">
        <f>IF(Caja_Finanzas[[#This Row],[fecha]]&gt;0,TEXT(Caja_Finanzas[[#This Row],[fecha]],"mmmm"),0)</f>
        <v>Junio</v>
      </c>
    </row>
    <row r="563" spans="1:28" ht="24" x14ac:dyDescent="0.3">
      <c r="A563" s="2">
        <f>IF(Caja_Finanzas[[#This Row],[tipo_r]]="R",COUNTIFS($C$1:$C562,"R")+1,A562)</f>
        <v>508</v>
      </c>
      <c r="B563" s="19" t="str">
        <f t="shared" si="44"/>
        <v>C-Finanzas</v>
      </c>
      <c r="C563" s="3" t="s">
        <v>1330</v>
      </c>
      <c r="D563" s="14">
        <v>45828</v>
      </c>
      <c r="E563" s="5" t="s">
        <v>6418</v>
      </c>
      <c r="F563" s="5" t="s">
        <v>1336</v>
      </c>
      <c r="G563" s="5"/>
      <c r="H563" s="6" t="s">
        <v>809</v>
      </c>
      <c r="I563" s="6"/>
      <c r="J563" s="6"/>
      <c r="K563" s="6"/>
      <c r="L563" s="7" t="s">
        <v>6419</v>
      </c>
      <c r="M563" s="8" t="str">
        <f>"CFI"&amp;".D"&amp;TEXT(Caja_Finanzas[[#This Row],[fecha]],"DD-MM")&amp;"-"&amp;TEXT(Caja_Finanzas[[#This Row],[item]],"0000")</f>
        <v>CFI.D20-06-0508</v>
      </c>
      <c r="N563" s="8" t="str">
        <f t="shared" si="45"/>
        <v>PEN</v>
      </c>
      <c r="O563" s="13"/>
      <c r="P563" s="13">
        <v>20000</v>
      </c>
      <c r="Q563" s="3">
        <f t="shared" si="41"/>
        <v>0</v>
      </c>
      <c r="R563" s="3">
        <f t="shared" si="42"/>
        <v>20000</v>
      </c>
      <c r="S563" s="3">
        <f t="shared" si="43"/>
        <v>599.69999999999345</v>
      </c>
      <c r="T563" s="24"/>
      <c r="U563" s="24"/>
      <c r="V563" s="3"/>
      <c r="W563" s="25"/>
      <c r="X563" s="25"/>
      <c r="Y563" s="25"/>
      <c r="Z563" s="25"/>
      <c r="AA563" s="25"/>
      <c r="AB563" s="3" t="str">
        <f>IF(Caja_Finanzas[[#This Row],[fecha]]&gt;0,TEXT(Caja_Finanzas[[#This Row],[fecha]],"mmmm"),0)</f>
        <v>Junio</v>
      </c>
    </row>
    <row r="564" spans="1:28" ht="24" x14ac:dyDescent="0.3">
      <c r="A564" s="2">
        <f>IF(Caja_Finanzas[[#This Row],[tipo_r]]="R",COUNTIFS($C$1:$C563,"R")+1,A563)</f>
        <v>509</v>
      </c>
      <c r="B564" s="19" t="str">
        <f t="shared" si="44"/>
        <v>C-Finanzas</v>
      </c>
      <c r="C564" s="3" t="s">
        <v>1330</v>
      </c>
      <c r="D564" s="14">
        <v>45831</v>
      </c>
      <c r="E564" s="5" t="s">
        <v>6940</v>
      </c>
      <c r="F564" s="5" t="s">
        <v>1336</v>
      </c>
      <c r="G564" s="5"/>
      <c r="H564" s="6"/>
      <c r="I564" s="6"/>
      <c r="J564" s="6"/>
      <c r="K564" s="6"/>
      <c r="L564" s="7" t="s">
        <v>7239</v>
      </c>
      <c r="M564" s="8" t="str">
        <f>"CFI"&amp;".D"&amp;TEXT(Caja_Finanzas[[#This Row],[fecha]],"DD-MM")&amp;"-"&amp;TEXT(Caja_Finanzas[[#This Row],[item]],"0000")</f>
        <v>CFI.D23-06-0509</v>
      </c>
      <c r="N564" s="8" t="str">
        <f t="shared" si="45"/>
        <v>PEN</v>
      </c>
      <c r="O564" s="13"/>
      <c r="P564" s="13">
        <v>500</v>
      </c>
      <c r="Q564" s="3">
        <f t="shared" si="41"/>
        <v>0</v>
      </c>
      <c r="R564" s="3">
        <f t="shared" si="42"/>
        <v>500</v>
      </c>
      <c r="S564" s="3">
        <f t="shared" si="43"/>
        <v>99.699999999993452</v>
      </c>
      <c r="T564" s="24"/>
      <c r="U564" s="24"/>
      <c r="V564" s="3"/>
      <c r="W564" s="25" t="s">
        <v>7240</v>
      </c>
      <c r="X564" s="25" t="s">
        <v>7241</v>
      </c>
      <c r="Y564" s="25"/>
      <c r="Z564" s="25"/>
      <c r="AA564" s="25"/>
      <c r="AB564" s="3" t="str">
        <f>IF(Caja_Finanzas[[#This Row],[fecha]]&gt;0,TEXT(Caja_Finanzas[[#This Row],[fecha]],"mmmm"),0)</f>
        <v>Junio</v>
      </c>
    </row>
    <row r="565" spans="1:28" ht="24" x14ac:dyDescent="0.3">
      <c r="A565" s="2">
        <f>IF(Caja_Finanzas[[#This Row],[tipo_r]]="R",COUNTIFS($C$1:$C564,"R")+1,A564)</f>
        <v>510</v>
      </c>
      <c r="B565" s="19" t="str">
        <f t="shared" si="44"/>
        <v>C-Finanzas</v>
      </c>
      <c r="C565" s="3" t="s">
        <v>1330</v>
      </c>
      <c r="D565" s="14">
        <v>45832</v>
      </c>
      <c r="E565" s="5" t="s">
        <v>3530</v>
      </c>
      <c r="F565" s="5" t="s">
        <v>1303</v>
      </c>
      <c r="G565" s="5"/>
      <c r="H565" s="6" t="s">
        <v>425</v>
      </c>
      <c r="I565" s="6" t="s">
        <v>119</v>
      </c>
      <c r="J565" s="6">
        <v>1</v>
      </c>
      <c r="K565" s="6">
        <v>4528</v>
      </c>
      <c r="L565" s="7" t="s">
        <v>6118</v>
      </c>
      <c r="M565" s="8" t="str">
        <f>"CFI"&amp;".D"&amp;TEXT(Caja_Finanzas[[#This Row],[fecha]],"DD-MM")&amp;"-"&amp;TEXT(Caja_Finanzas[[#This Row],[item]],"0000")</f>
        <v>CFI.D24-06-0510</v>
      </c>
      <c r="N565" s="8" t="str">
        <f t="shared" si="45"/>
        <v>PEN</v>
      </c>
      <c r="O565" s="13"/>
      <c r="P565" s="13">
        <v>639</v>
      </c>
      <c r="Q565" s="3">
        <f t="shared" si="41"/>
        <v>639</v>
      </c>
      <c r="R565" s="3">
        <f t="shared" si="42"/>
        <v>0</v>
      </c>
      <c r="S565" s="3">
        <f t="shared" si="43"/>
        <v>738.69999999999345</v>
      </c>
      <c r="T565" s="24"/>
      <c r="U565" s="24"/>
      <c r="V565" s="3"/>
      <c r="W565" s="25" t="s">
        <v>425</v>
      </c>
      <c r="X565" s="25" t="s">
        <v>3532</v>
      </c>
      <c r="Y565" s="25"/>
      <c r="Z565" s="25"/>
      <c r="AA565" s="25"/>
      <c r="AB565" s="3" t="str">
        <f>IF(Caja_Finanzas[[#This Row],[fecha]]&gt;0,TEXT(Caja_Finanzas[[#This Row],[fecha]],"mmmm"),0)</f>
        <v>Junio</v>
      </c>
    </row>
    <row r="566" spans="1:28" x14ac:dyDescent="0.3">
      <c r="A566" s="2">
        <f>IF(Caja_Finanzas[[#This Row],[tipo_r]]="R",COUNTIFS($C$1:$C565,"R")+1,A565)</f>
        <v>511</v>
      </c>
      <c r="B566" s="19" t="str">
        <f t="shared" si="44"/>
        <v>C-Finanzas</v>
      </c>
      <c r="C566" s="3" t="s">
        <v>1330</v>
      </c>
      <c r="D566" s="14">
        <v>45832</v>
      </c>
      <c r="E566" s="5" t="s">
        <v>1522</v>
      </c>
      <c r="F566" s="5" t="s">
        <v>1303</v>
      </c>
      <c r="G566" s="5"/>
      <c r="H566" s="6" t="s">
        <v>425</v>
      </c>
      <c r="I566" s="6" t="s">
        <v>119</v>
      </c>
      <c r="J566" s="6">
        <v>1</v>
      </c>
      <c r="K566" s="6">
        <v>4497</v>
      </c>
      <c r="L566" s="7" t="s">
        <v>6118</v>
      </c>
      <c r="M566" s="8" t="str">
        <f>"CFI"&amp;".D"&amp;TEXT(Caja_Finanzas[[#This Row],[fecha]],"DD-MM")&amp;"-"&amp;TEXT(Caja_Finanzas[[#This Row],[item]],"0000")</f>
        <v>CFI.D24-06-0511</v>
      </c>
      <c r="N566" s="8" t="str">
        <f t="shared" si="45"/>
        <v>PEN</v>
      </c>
      <c r="O566" s="13"/>
      <c r="P566" s="13">
        <v>1940</v>
      </c>
      <c r="Q566" s="3">
        <f t="shared" si="41"/>
        <v>1940</v>
      </c>
      <c r="R566" s="3">
        <f t="shared" si="42"/>
        <v>0</v>
      </c>
      <c r="S566" s="3">
        <f t="shared" si="43"/>
        <v>2678.6999999999935</v>
      </c>
      <c r="T566" s="24"/>
      <c r="U566" s="24"/>
      <c r="V566" s="3"/>
      <c r="W566" s="25" t="s">
        <v>425</v>
      </c>
      <c r="X566" s="25" t="s">
        <v>7242</v>
      </c>
      <c r="Y566" s="25"/>
      <c r="Z566" s="25"/>
      <c r="AA566" s="25"/>
      <c r="AB566" s="3" t="str">
        <f>IF(Caja_Finanzas[[#This Row],[fecha]]&gt;0,TEXT(Caja_Finanzas[[#This Row],[fecha]],"mmmm"),0)</f>
        <v>Junio</v>
      </c>
    </row>
    <row r="567" spans="1:28" ht="24" x14ac:dyDescent="0.3">
      <c r="A567" s="2">
        <f>IF(Caja_Finanzas[[#This Row],[tipo_r]]="R",COUNTIFS($C$1:$C566,"R")+1,A566)</f>
        <v>512</v>
      </c>
      <c r="B567" s="19" t="str">
        <f t="shared" si="44"/>
        <v>C-Finanzas</v>
      </c>
      <c r="C567" s="3" t="s">
        <v>1330</v>
      </c>
      <c r="D567" s="14">
        <v>45832</v>
      </c>
      <c r="E567" s="5" t="s">
        <v>6460</v>
      </c>
      <c r="F567" s="5" t="s">
        <v>1336</v>
      </c>
      <c r="G567" s="5"/>
      <c r="H567" s="6"/>
      <c r="I567" s="6"/>
      <c r="J567" s="6"/>
      <c r="K567" s="6"/>
      <c r="L567" s="7" t="s">
        <v>7243</v>
      </c>
      <c r="M567" s="8" t="str">
        <f>"CFI"&amp;".D"&amp;TEXT(Caja_Finanzas[[#This Row],[fecha]],"DD-MM")&amp;"-"&amp;TEXT(Caja_Finanzas[[#This Row],[item]],"0000")</f>
        <v>CFI.D24-06-0512</v>
      </c>
      <c r="N567" s="8" t="str">
        <f t="shared" si="45"/>
        <v>PEN</v>
      </c>
      <c r="O567" s="13"/>
      <c r="P567" s="13">
        <v>760</v>
      </c>
      <c r="Q567" s="3">
        <f t="shared" si="41"/>
        <v>0</v>
      </c>
      <c r="R567" s="3">
        <f t="shared" si="42"/>
        <v>760</v>
      </c>
      <c r="S567" s="3">
        <f t="shared" si="43"/>
        <v>1918.6999999999935</v>
      </c>
      <c r="T567" s="24"/>
      <c r="U567" s="24"/>
      <c r="V567" s="3"/>
      <c r="W567" s="25"/>
      <c r="X567" s="25" t="s">
        <v>7244</v>
      </c>
      <c r="Y567" s="25"/>
      <c r="Z567" s="25"/>
      <c r="AA567" s="25"/>
      <c r="AB567" s="3" t="str">
        <f>IF(Caja_Finanzas[[#This Row],[fecha]]&gt;0,TEXT(Caja_Finanzas[[#This Row],[fecha]],"mmmm"),0)</f>
        <v>Junio</v>
      </c>
    </row>
    <row r="568" spans="1:28" x14ac:dyDescent="0.3">
      <c r="A568" s="2">
        <f>IF(Caja_Finanzas[[#This Row],[tipo_r]]="R",COUNTIFS($C$1:$C567,"R")+1,A567)</f>
        <v>513</v>
      </c>
      <c r="B568" s="19" t="str">
        <f t="shared" si="44"/>
        <v>C-Finanzas</v>
      </c>
      <c r="C568" s="3" t="s">
        <v>1330</v>
      </c>
      <c r="D568" s="14">
        <v>45832</v>
      </c>
      <c r="E568" s="5" t="s">
        <v>1498</v>
      </c>
      <c r="F568" s="5" t="s">
        <v>1303</v>
      </c>
      <c r="G568" s="5"/>
      <c r="H568" s="6" t="s">
        <v>425</v>
      </c>
      <c r="I568" s="6" t="s">
        <v>119</v>
      </c>
      <c r="J568" s="6">
        <v>1</v>
      </c>
      <c r="K568" s="6">
        <v>4532</v>
      </c>
      <c r="L568" s="7" t="s">
        <v>6118</v>
      </c>
      <c r="M568" s="8" t="str">
        <f>"CFI"&amp;".D"&amp;TEXT(Caja_Finanzas[[#This Row],[fecha]],"DD-MM")&amp;"-"&amp;TEXT(Caja_Finanzas[[#This Row],[item]],"0000")</f>
        <v>CFI.D24-06-0513</v>
      </c>
      <c r="N568" s="8" t="str">
        <f t="shared" si="45"/>
        <v>PEN</v>
      </c>
      <c r="O568" s="13"/>
      <c r="P568" s="13">
        <v>380</v>
      </c>
      <c r="Q568" s="3">
        <f t="shared" si="41"/>
        <v>380</v>
      </c>
      <c r="R568" s="3">
        <f t="shared" si="42"/>
        <v>0</v>
      </c>
      <c r="S568" s="3">
        <f t="shared" si="43"/>
        <v>2298.6999999999935</v>
      </c>
      <c r="T568" s="24"/>
      <c r="U568" s="24"/>
      <c r="V568" s="3"/>
      <c r="W568" s="25" t="s">
        <v>425</v>
      </c>
      <c r="X568" s="25" t="s">
        <v>7245</v>
      </c>
      <c r="Y568" s="25"/>
      <c r="Z568" s="25"/>
      <c r="AA568" s="25"/>
      <c r="AB568" s="3" t="str">
        <f>IF(Caja_Finanzas[[#This Row],[fecha]]&gt;0,TEXT(Caja_Finanzas[[#This Row],[fecha]],"mmmm"),0)</f>
        <v>Junio</v>
      </c>
    </row>
    <row r="569" spans="1:28" ht="24" x14ac:dyDescent="0.3">
      <c r="A569" s="2">
        <f>IF(Caja_Finanzas[[#This Row],[tipo_r]]="R",COUNTIFS($C$1:$C568,"R")+1,A568)</f>
        <v>514</v>
      </c>
      <c r="B569" s="19" t="str">
        <f t="shared" si="44"/>
        <v>C-Finanzas</v>
      </c>
      <c r="C569" s="3" t="s">
        <v>1330</v>
      </c>
      <c r="D569" s="14">
        <v>45832</v>
      </c>
      <c r="E569" s="5" t="s">
        <v>3293</v>
      </c>
      <c r="F569" s="5" t="s">
        <v>1303</v>
      </c>
      <c r="G569" s="5"/>
      <c r="H569" s="6" t="s">
        <v>425</v>
      </c>
      <c r="I569" s="6" t="s">
        <v>119</v>
      </c>
      <c r="J569" s="6">
        <v>1</v>
      </c>
      <c r="K569" s="6">
        <v>4533</v>
      </c>
      <c r="L569" s="7" t="s">
        <v>6118</v>
      </c>
      <c r="M569" s="8" t="str">
        <f>"CFI"&amp;".D"&amp;TEXT(Caja_Finanzas[[#This Row],[fecha]],"DD-MM")&amp;"-"&amp;TEXT(Caja_Finanzas[[#This Row],[item]],"0000")</f>
        <v>CFI.D24-06-0514</v>
      </c>
      <c r="N569" s="8" t="str">
        <f t="shared" si="45"/>
        <v>PEN</v>
      </c>
      <c r="O569" s="13"/>
      <c r="P569" s="13">
        <v>227</v>
      </c>
      <c r="Q569" s="3">
        <f t="shared" si="41"/>
        <v>227</v>
      </c>
      <c r="R569" s="3">
        <f t="shared" si="42"/>
        <v>0</v>
      </c>
      <c r="S569" s="3">
        <f t="shared" si="43"/>
        <v>2525.6999999999935</v>
      </c>
      <c r="T569" s="24"/>
      <c r="U569" s="24"/>
      <c r="V569" s="3"/>
      <c r="W569" s="25" t="s">
        <v>425</v>
      </c>
      <c r="X569" s="25" t="s">
        <v>7246</v>
      </c>
      <c r="Y569" s="25"/>
      <c r="Z569" s="25"/>
      <c r="AA569" s="25"/>
      <c r="AB569" s="3" t="str">
        <f>IF(Caja_Finanzas[[#This Row],[fecha]]&gt;0,TEXT(Caja_Finanzas[[#This Row],[fecha]],"mmmm"),0)</f>
        <v>Junio</v>
      </c>
    </row>
    <row r="570" spans="1:28" ht="24" x14ac:dyDescent="0.3">
      <c r="A570" s="2">
        <f>IF(Caja_Finanzas[[#This Row],[tipo_r]]="R",COUNTIFS($C$1:$C569,"R")+1,A569)</f>
        <v>515</v>
      </c>
      <c r="B570" s="19" t="str">
        <f t="shared" si="44"/>
        <v>C-Finanzas</v>
      </c>
      <c r="C570" s="3" t="s">
        <v>1330</v>
      </c>
      <c r="D570" s="14">
        <v>45832</v>
      </c>
      <c r="E570" s="5" t="s">
        <v>1696</v>
      </c>
      <c r="F570" s="5" t="s">
        <v>1303</v>
      </c>
      <c r="G570" s="5"/>
      <c r="H570" s="6" t="s">
        <v>425</v>
      </c>
      <c r="I570" s="6" t="s">
        <v>119</v>
      </c>
      <c r="J570" s="6">
        <v>1</v>
      </c>
      <c r="K570" s="6">
        <v>4534</v>
      </c>
      <c r="L570" s="7" t="s">
        <v>6118</v>
      </c>
      <c r="M570" s="8" t="str">
        <f>"CFI"&amp;".D"&amp;TEXT(Caja_Finanzas[[#This Row],[fecha]],"DD-MM")&amp;"-"&amp;TEXT(Caja_Finanzas[[#This Row],[item]],"0000")</f>
        <v>CFI.D24-06-0515</v>
      </c>
      <c r="N570" s="8" t="str">
        <f t="shared" si="45"/>
        <v>PEN</v>
      </c>
      <c r="O570" s="13"/>
      <c r="P570" s="13">
        <v>1890</v>
      </c>
      <c r="Q570" s="3">
        <f t="shared" si="41"/>
        <v>1890</v>
      </c>
      <c r="R570" s="3">
        <f t="shared" si="42"/>
        <v>0</v>
      </c>
      <c r="S570" s="3">
        <f t="shared" si="43"/>
        <v>4415.6999999999935</v>
      </c>
      <c r="T570" s="24"/>
      <c r="U570" s="24"/>
      <c r="V570" s="3"/>
      <c r="W570" s="25" t="s">
        <v>425</v>
      </c>
      <c r="X570" s="25" t="s">
        <v>7247</v>
      </c>
      <c r="Y570" s="25"/>
      <c r="Z570" s="25"/>
      <c r="AA570" s="25"/>
      <c r="AB570" s="3" t="str">
        <f>IF(Caja_Finanzas[[#This Row],[fecha]]&gt;0,TEXT(Caja_Finanzas[[#This Row],[fecha]],"mmmm"),0)</f>
        <v>Junio</v>
      </c>
    </row>
    <row r="571" spans="1:28" ht="24" x14ac:dyDescent="0.3">
      <c r="A571" s="2">
        <f>IF(Caja_Finanzas[[#This Row],[tipo_r]]="R",COUNTIFS($C$1:$C570,"R")+1,A570)</f>
        <v>516</v>
      </c>
      <c r="B571" s="19" t="str">
        <f t="shared" si="44"/>
        <v>C-Finanzas</v>
      </c>
      <c r="C571" s="3" t="s">
        <v>1330</v>
      </c>
      <c r="D571" s="14">
        <v>45832</v>
      </c>
      <c r="E571" s="5" t="s">
        <v>2009</v>
      </c>
      <c r="F571" s="5" t="s">
        <v>1303</v>
      </c>
      <c r="G571" s="5"/>
      <c r="H571" s="6" t="s">
        <v>425</v>
      </c>
      <c r="I571" s="6" t="s">
        <v>119</v>
      </c>
      <c r="J571" s="6">
        <v>1</v>
      </c>
      <c r="K571" s="6">
        <v>4535</v>
      </c>
      <c r="L571" s="7" t="s">
        <v>6118</v>
      </c>
      <c r="M571" s="8" t="str">
        <f>"CFI"&amp;".D"&amp;TEXT(Caja_Finanzas[[#This Row],[fecha]],"DD-MM")&amp;"-"&amp;TEXT(Caja_Finanzas[[#This Row],[item]],"0000")</f>
        <v>CFI.D24-06-0516</v>
      </c>
      <c r="N571" s="8" t="str">
        <f t="shared" si="45"/>
        <v>PEN</v>
      </c>
      <c r="O571" s="13"/>
      <c r="P571" s="13">
        <v>1000</v>
      </c>
      <c r="Q571" s="3">
        <f t="shared" si="41"/>
        <v>1000</v>
      </c>
      <c r="R571" s="3">
        <f t="shared" si="42"/>
        <v>0</v>
      </c>
      <c r="S571" s="3">
        <f t="shared" si="43"/>
        <v>5415.6999999999935</v>
      </c>
      <c r="T571" s="24"/>
      <c r="U571" s="24"/>
      <c r="V571" s="3"/>
      <c r="W571" s="25" t="s">
        <v>425</v>
      </c>
      <c r="X571" s="25" t="s">
        <v>7248</v>
      </c>
      <c r="Y571" s="25"/>
      <c r="Z571" s="25"/>
      <c r="AA571" s="25"/>
      <c r="AB571" s="3" t="str">
        <f>IF(Caja_Finanzas[[#This Row],[fecha]]&gt;0,TEXT(Caja_Finanzas[[#This Row],[fecha]],"mmmm"),0)</f>
        <v>Junio</v>
      </c>
    </row>
    <row r="572" spans="1:28" ht="24" x14ac:dyDescent="0.3">
      <c r="A572" s="2">
        <f>IF(Caja_Finanzas[[#This Row],[tipo_r]]="R",COUNTIFS($C$1:$C571,"R")+1,A571)</f>
        <v>517</v>
      </c>
      <c r="B572" s="19" t="str">
        <f t="shared" si="44"/>
        <v>C-Finanzas</v>
      </c>
      <c r="C572" s="3" t="s">
        <v>1330</v>
      </c>
      <c r="D572" s="14">
        <v>45832</v>
      </c>
      <c r="E572" s="5" t="s">
        <v>6570</v>
      </c>
      <c r="F572" s="5" t="s">
        <v>1336</v>
      </c>
      <c r="G572" s="5"/>
      <c r="H572" s="6"/>
      <c r="I572" s="6"/>
      <c r="J572" s="6"/>
      <c r="K572" s="6"/>
      <c r="L572" s="7" t="s">
        <v>7249</v>
      </c>
      <c r="M572" s="8" t="str">
        <f>"CFI"&amp;".D"&amp;TEXT(Caja_Finanzas[[#This Row],[fecha]],"DD-MM")&amp;"-"&amp;TEXT(Caja_Finanzas[[#This Row],[item]],"0000")</f>
        <v>CFI.D24-06-0517</v>
      </c>
      <c r="N572" s="8" t="str">
        <f t="shared" si="45"/>
        <v>PEN</v>
      </c>
      <c r="O572" s="13"/>
      <c r="P572" s="13">
        <v>50</v>
      </c>
      <c r="Q572" s="3">
        <f t="shared" si="41"/>
        <v>0</v>
      </c>
      <c r="R572" s="3">
        <f t="shared" si="42"/>
        <v>50</v>
      </c>
      <c r="S572" s="3">
        <f t="shared" si="43"/>
        <v>5365.6999999999935</v>
      </c>
      <c r="T572" s="24"/>
      <c r="U572" s="24"/>
      <c r="V572" s="3"/>
      <c r="W572" s="25" t="s">
        <v>6709</v>
      </c>
      <c r="X572" s="25" t="s">
        <v>7250</v>
      </c>
      <c r="Y572" s="25"/>
      <c r="Z572" s="25"/>
      <c r="AA572" s="25"/>
      <c r="AB572" s="3" t="str">
        <f>IF(Caja_Finanzas[[#This Row],[fecha]]&gt;0,TEXT(Caja_Finanzas[[#This Row],[fecha]],"mmmm"),0)</f>
        <v>Junio</v>
      </c>
    </row>
    <row r="573" spans="1:28" ht="36" x14ac:dyDescent="0.3">
      <c r="A573" s="2">
        <f>IF(Caja_Finanzas[[#This Row],[tipo_r]]="R",COUNTIFS($C$1:$C572,"R")+1,A572)</f>
        <v>518</v>
      </c>
      <c r="B573" s="19" t="str">
        <f t="shared" si="44"/>
        <v>C-Finanzas</v>
      </c>
      <c r="C573" s="3" t="s">
        <v>1330</v>
      </c>
      <c r="D573" s="14">
        <v>45832</v>
      </c>
      <c r="E573" s="5" t="s">
        <v>6570</v>
      </c>
      <c r="F573" s="5" t="s">
        <v>1336</v>
      </c>
      <c r="G573" s="5"/>
      <c r="H573" s="6"/>
      <c r="I573" s="6"/>
      <c r="J573" s="6"/>
      <c r="K573" s="6"/>
      <c r="L573" s="7" t="s">
        <v>7251</v>
      </c>
      <c r="M573" s="8" t="str">
        <f>"CFI"&amp;".D"&amp;TEXT(Caja_Finanzas[[#This Row],[fecha]],"DD-MM")&amp;"-"&amp;TEXT(Caja_Finanzas[[#This Row],[item]],"0000")</f>
        <v>CFI.D24-06-0518</v>
      </c>
      <c r="N573" s="8" t="str">
        <f t="shared" si="45"/>
        <v>PEN</v>
      </c>
      <c r="O573" s="13"/>
      <c r="P573" s="13">
        <v>60</v>
      </c>
      <c r="Q573" s="3">
        <f t="shared" si="41"/>
        <v>0</v>
      </c>
      <c r="R573" s="3">
        <f t="shared" si="42"/>
        <v>60</v>
      </c>
      <c r="S573" s="3">
        <f t="shared" si="43"/>
        <v>5305.6999999999935</v>
      </c>
      <c r="T573" s="24"/>
      <c r="U573" s="24"/>
      <c r="V573" s="3"/>
      <c r="W573" s="25" t="s">
        <v>6709</v>
      </c>
      <c r="X573" s="25" t="s">
        <v>7252</v>
      </c>
      <c r="Y573" s="25"/>
      <c r="Z573" s="25"/>
      <c r="AA573" s="25"/>
      <c r="AB573" s="3" t="str">
        <f>IF(Caja_Finanzas[[#This Row],[fecha]]&gt;0,TEXT(Caja_Finanzas[[#This Row],[fecha]],"mmmm"),0)</f>
        <v>Junio</v>
      </c>
    </row>
    <row r="574" spans="1:28" ht="24" x14ac:dyDescent="0.3">
      <c r="A574" s="2">
        <f>IF(Caja_Finanzas[[#This Row],[tipo_r]]="R",COUNTIFS($C$1:$C573,"R")+1,A573)</f>
        <v>519</v>
      </c>
      <c r="B574" s="19" t="str">
        <f t="shared" si="44"/>
        <v>C-Finanzas</v>
      </c>
      <c r="C574" s="3" t="s">
        <v>1330</v>
      </c>
      <c r="D574" s="14">
        <v>45832</v>
      </c>
      <c r="E574" s="5" t="s">
        <v>6570</v>
      </c>
      <c r="F574" s="5" t="s">
        <v>1336</v>
      </c>
      <c r="G574" s="5"/>
      <c r="H574" s="6"/>
      <c r="I574" s="6"/>
      <c r="J574" s="6"/>
      <c r="K574" s="6"/>
      <c r="L574" s="7" t="s">
        <v>7253</v>
      </c>
      <c r="M574" s="8" t="str">
        <f>"CFI"&amp;".D"&amp;TEXT(Caja_Finanzas[[#This Row],[fecha]],"DD-MM")&amp;"-"&amp;TEXT(Caja_Finanzas[[#This Row],[item]],"0000")</f>
        <v>CFI.D24-06-0519</v>
      </c>
      <c r="N574" s="8" t="str">
        <f t="shared" si="45"/>
        <v>PEN</v>
      </c>
      <c r="O574" s="13"/>
      <c r="P574" s="13">
        <v>40</v>
      </c>
      <c r="Q574" s="3">
        <f t="shared" si="41"/>
        <v>0</v>
      </c>
      <c r="R574" s="3">
        <f t="shared" si="42"/>
        <v>40</v>
      </c>
      <c r="S574" s="3">
        <f t="shared" si="43"/>
        <v>5265.6999999999935</v>
      </c>
      <c r="T574" s="24"/>
      <c r="U574" s="24"/>
      <c r="V574" s="3"/>
      <c r="W574" s="25" t="s">
        <v>6709</v>
      </c>
      <c r="X574" s="25" t="s">
        <v>7254</v>
      </c>
      <c r="Y574" s="25"/>
      <c r="Z574" s="25"/>
      <c r="AA574" s="25"/>
      <c r="AB574" s="3" t="str">
        <f>IF(Caja_Finanzas[[#This Row],[fecha]]&gt;0,TEXT(Caja_Finanzas[[#This Row],[fecha]],"mmmm"),0)</f>
        <v>Junio</v>
      </c>
    </row>
    <row r="575" spans="1:28" ht="24" x14ac:dyDescent="0.3">
      <c r="A575" s="2">
        <f>IF(Caja_Finanzas[[#This Row],[tipo_r]]="R",COUNTIFS($C$1:$C574,"R")+1,A574)</f>
        <v>520</v>
      </c>
      <c r="B575" s="19" t="str">
        <f t="shared" si="44"/>
        <v>C-Finanzas</v>
      </c>
      <c r="C575" s="3" t="s">
        <v>1330</v>
      </c>
      <c r="D575" s="14">
        <v>45833</v>
      </c>
      <c r="E575" s="5" t="s">
        <v>7255</v>
      </c>
      <c r="F575" s="5" t="s">
        <v>1303</v>
      </c>
      <c r="G575" s="5"/>
      <c r="H575" s="6" t="s">
        <v>425</v>
      </c>
      <c r="I575" s="6" t="s">
        <v>119</v>
      </c>
      <c r="J575" s="6">
        <v>1</v>
      </c>
      <c r="K575" s="6">
        <v>4540</v>
      </c>
      <c r="L575" s="7" t="s">
        <v>6118</v>
      </c>
      <c r="M575" s="8" t="str">
        <f>"CFI"&amp;".D"&amp;TEXT(Caja_Finanzas[[#This Row],[fecha]],"DD-MM")&amp;"-"&amp;TEXT(Caja_Finanzas[[#This Row],[item]],"0000")</f>
        <v>CFI.D25-06-0520</v>
      </c>
      <c r="N575" s="8" t="str">
        <f t="shared" si="45"/>
        <v>PEN</v>
      </c>
      <c r="O575" s="13"/>
      <c r="P575" s="13">
        <v>9.6</v>
      </c>
      <c r="Q575" s="3">
        <f t="shared" si="41"/>
        <v>9.6</v>
      </c>
      <c r="R575" s="3">
        <f t="shared" si="42"/>
        <v>0</v>
      </c>
      <c r="S575" s="3">
        <f t="shared" si="43"/>
        <v>5275.2999999999938</v>
      </c>
      <c r="T575" s="24"/>
      <c r="U575" s="24"/>
      <c r="V575" s="3"/>
      <c r="W575" s="25" t="s">
        <v>425</v>
      </c>
      <c r="X575" s="25" t="s">
        <v>7256</v>
      </c>
      <c r="Y575" s="25"/>
      <c r="Z575" s="25"/>
      <c r="AA575" s="25"/>
      <c r="AB575" s="3" t="str">
        <f>IF(Caja_Finanzas[[#This Row],[fecha]]&gt;0,TEXT(Caja_Finanzas[[#This Row],[fecha]],"mmmm"),0)</f>
        <v>Junio</v>
      </c>
    </row>
    <row r="576" spans="1:28" ht="24" x14ac:dyDescent="0.3">
      <c r="A576" s="2">
        <f>IF(Caja_Finanzas[[#This Row],[tipo_r]]="R",COUNTIFS($C$1:$C575,"R")+1,A575)</f>
        <v>521</v>
      </c>
      <c r="B576" s="19" t="str">
        <f t="shared" si="44"/>
        <v>C-Finanzas</v>
      </c>
      <c r="C576" s="3" t="s">
        <v>1330</v>
      </c>
      <c r="D576" s="14">
        <v>45833</v>
      </c>
      <c r="E576" s="5" t="s">
        <v>7257</v>
      </c>
      <c r="F576" s="5" t="s">
        <v>1303</v>
      </c>
      <c r="G576" s="5"/>
      <c r="H576" s="6" t="s">
        <v>425</v>
      </c>
      <c r="I576" s="6" t="s">
        <v>119</v>
      </c>
      <c r="J576" s="6">
        <v>1</v>
      </c>
      <c r="K576" s="6">
        <v>4542</v>
      </c>
      <c r="L576" s="7" t="s">
        <v>6118</v>
      </c>
      <c r="M576" s="8" t="str">
        <f>"CFI"&amp;".D"&amp;TEXT(Caja_Finanzas[[#This Row],[fecha]],"DD-MM")&amp;"-"&amp;TEXT(Caja_Finanzas[[#This Row],[item]],"0000")</f>
        <v>CFI.D25-06-0521</v>
      </c>
      <c r="N576" s="8" t="str">
        <f t="shared" si="45"/>
        <v>PEN</v>
      </c>
      <c r="O576" s="13"/>
      <c r="P576" s="13">
        <v>470</v>
      </c>
      <c r="Q576" s="3">
        <f t="shared" si="41"/>
        <v>470</v>
      </c>
      <c r="R576" s="3">
        <f t="shared" si="42"/>
        <v>0</v>
      </c>
      <c r="S576" s="3">
        <f t="shared" si="43"/>
        <v>5745.2999999999938</v>
      </c>
      <c r="T576" s="24"/>
      <c r="U576" s="24"/>
      <c r="V576" s="3"/>
      <c r="W576" s="25" t="s">
        <v>425</v>
      </c>
      <c r="X576" s="25" t="s">
        <v>7258</v>
      </c>
      <c r="Y576" s="25"/>
      <c r="Z576" s="25"/>
      <c r="AA576" s="25"/>
      <c r="AB576" s="3" t="str">
        <f>IF(Caja_Finanzas[[#This Row],[fecha]]&gt;0,TEXT(Caja_Finanzas[[#This Row],[fecha]],"mmmm"),0)</f>
        <v>Junio</v>
      </c>
    </row>
    <row r="577" spans="1:28" ht="24" x14ac:dyDescent="0.3">
      <c r="A577" s="2">
        <f>IF(Caja_Finanzas[[#This Row],[tipo_r]]="R",COUNTIFS($C$1:$C576,"R")+1,A576)</f>
        <v>522</v>
      </c>
      <c r="B577" s="19" t="str">
        <f t="shared" si="44"/>
        <v>C-Finanzas</v>
      </c>
      <c r="C577" s="3" t="s">
        <v>1330</v>
      </c>
      <c r="D577" s="14">
        <v>45833</v>
      </c>
      <c r="E577" s="5" t="s">
        <v>2009</v>
      </c>
      <c r="F577" s="5" t="s">
        <v>1303</v>
      </c>
      <c r="G577" s="5"/>
      <c r="H577" s="6" t="s">
        <v>425</v>
      </c>
      <c r="I577" s="6" t="s">
        <v>119</v>
      </c>
      <c r="J577" s="6">
        <v>1</v>
      </c>
      <c r="K577" s="6">
        <v>4535</v>
      </c>
      <c r="L577" s="7" t="s">
        <v>6118</v>
      </c>
      <c r="M577" s="8" t="str">
        <f>"CFI"&amp;".D"&amp;TEXT(Caja_Finanzas[[#This Row],[fecha]],"DD-MM")&amp;"-"&amp;TEXT(Caja_Finanzas[[#This Row],[item]],"0000")</f>
        <v>CFI.D25-06-0522</v>
      </c>
      <c r="N577" s="8" t="str">
        <f t="shared" si="45"/>
        <v>PEN</v>
      </c>
      <c r="O577" s="13"/>
      <c r="P577" s="13">
        <v>960</v>
      </c>
      <c r="Q577" s="3">
        <f t="shared" si="41"/>
        <v>960</v>
      </c>
      <c r="R577" s="3">
        <f t="shared" si="42"/>
        <v>0</v>
      </c>
      <c r="S577" s="3">
        <f t="shared" si="43"/>
        <v>6705.2999999999938</v>
      </c>
      <c r="T577" s="24"/>
      <c r="U577" s="24"/>
      <c r="V577" s="3"/>
      <c r="W577" s="25" t="s">
        <v>425</v>
      </c>
      <c r="X577" s="25" t="s">
        <v>7248</v>
      </c>
      <c r="Y577" s="25"/>
      <c r="Z577" s="25"/>
      <c r="AA577" s="25"/>
      <c r="AB577" s="3" t="str">
        <f>IF(Caja_Finanzas[[#This Row],[fecha]]&gt;0,TEXT(Caja_Finanzas[[#This Row],[fecha]],"mmmm"),0)</f>
        <v>Junio</v>
      </c>
    </row>
    <row r="578" spans="1:28" ht="24" x14ac:dyDescent="0.3">
      <c r="A578" s="2">
        <f>IF(Caja_Finanzas[[#This Row],[tipo_r]]="R",COUNTIFS($C$1:$C577,"R")+1,A577)</f>
        <v>523</v>
      </c>
      <c r="B578" s="19" t="str">
        <f t="shared" si="44"/>
        <v>C-Finanzas</v>
      </c>
      <c r="C578" s="3" t="s">
        <v>1330</v>
      </c>
      <c r="D578" s="14">
        <v>45833</v>
      </c>
      <c r="E578" s="5" t="s">
        <v>2009</v>
      </c>
      <c r="F578" s="5" t="s">
        <v>1303</v>
      </c>
      <c r="G578" s="5"/>
      <c r="H578" s="6" t="s">
        <v>425</v>
      </c>
      <c r="I578" s="6" t="s">
        <v>119</v>
      </c>
      <c r="J578" s="6">
        <v>1</v>
      </c>
      <c r="K578" s="6">
        <v>4536</v>
      </c>
      <c r="L578" s="7" t="s">
        <v>6118</v>
      </c>
      <c r="M578" s="8" t="str">
        <f>"CFI"&amp;".D"&amp;TEXT(Caja_Finanzas[[#This Row],[fecha]],"DD-MM")&amp;"-"&amp;TEXT(Caja_Finanzas[[#This Row],[item]],"0000")</f>
        <v>CFI.D25-06-0523</v>
      </c>
      <c r="N578" s="8" t="str">
        <f t="shared" si="45"/>
        <v>PEN</v>
      </c>
      <c r="O578" s="13"/>
      <c r="P578" s="13">
        <v>1022</v>
      </c>
      <c r="Q578" s="3">
        <f t="shared" ref="Q578:Q639" si="46">+IF(OR($F578="SALDO",$F578="INGRESO"),$P578,0)</f>
        <v>1022</v>
      </c>
      <c r="R578" s="3">
        <f t="shared" ref="R578:R639" si="47">+IF($F578="EGRESO",$P578,0)</f>
        <v>0</v>
      </c>
      <c r="S578" s="3">
        <f t="shared" ref="S578:S641" si="48">IFERROR(IF(F578="SALDO",Q578,S577+Q578-R578),0)</f>
        <v>7727.2999999999938</v>
      </c>
      <c r="T578" s="24"/>
      <c r="U578" s="24"/>
      <c r="V578" s="3"/>
      <c r="W578" s="25" t="s">
        <v>425</v>
      </c>
      <c r="X578" s="25" t="s">
        <v>7259</v>
      </c>
      <c r="Y578" s="25"/>
      <c r="Z578" s="25"/>
      <c r="AA578" s="25"/>
      <c r="AB578" s="3" t="str">
        <f>IF(Caja_Finanzas[[#This Row],[fecha]]&gt;0,TEXT(Caja_Finanzas[[#This Row],[fecha]],"mmmm"),0)</f>
        <v>Junio</v>
      </c>
    </row>
    <row r="579" spans="1:28" ht="24" x14ac:dyDescent="0.3">
      <c r="A579" s="2">
        <f>IF(Caja_Finanzas[[#This Row],[tipo_r]]="R",COUNTIFS($C$1:$C578,"R")+1,A578)</f>
        <v>524</v>
      </c>
      <c r="B579" s="19" t="str">
        <f t="shared" ref="B579:B589" si="49">"C-Finanzas"</f>
        <v>C-Finanzas</v>
      </c>
      <c r="C579" s="3" t="s">
        <v>1330</v>
      </c>
      <c r="D579" s="14">
        <v>45833</v>
      </c>
      <c r="E579" s="5" t="s">
        <v>6731</v>
      </c>
      <c r="F579" s="5" t="s">
        <v>1336</v>
      </c>
      <c r="G579" s="5"/>
      <c r="H579" s="6"/>
      <c r="I579" s="6"/>
      <c r="J579" s="6"/>
      <c r="K579" s="6"/>
      <c r="L579" s="7" t="s">
        <v>7260</v>
      </c>
      <c r="M579" s="8" t="str">
        <f>"CFI"&amp;".D"&amp;TEXT(Caja_Finanzas[[#This Row],[fecha]],"DD-MM")&amp;"-"&amp;TEXT(Caja_Finanzas[[#This Row],[item]],"0000")</f>
        <v>CFI.D25-06-0524</v>
      </c>
      <c r="N579" s="8" t="str">
        <f t="shared" ref="N579:N589" si="50">"PEN"</f>
        <v>PEN</v>
      </c>
      <c r="O579" s="13"/>
      <c r="P579" s="13">
        <v>10</v>
      </c>
      <c r="Q579" s="3">
        <f t="shared" si="46"/>
        <v>0</v>
      </c>
      <c r="R579" s="3">
        <f t="shared" si="47"/>
        <v>10</v>
      </c>
      <c r="S579" s="3">
        <f t="shared" si="48"/>
        <v>7717.2999999999938</v>
      </c>
      <c r="T579" s="24"/>
      <c r="U579" s="24"/>
      <c r="V579" s="3"/>
      <c r="W579" s="25" t="s">
        <v>6709</v>
      </c>
      <c r="X579" s="25" t="s">
        <v>7261</v>
      </c>
      <c r="Y579" s="25"/>
      <c r="Z579" s="25"/>
      <c r="AA579" s="25"/>
      <c r="AB579" s="3" t="str">
        <f>IF(Caja_Finanzas[[#This Row],[fecha]]&gt;0,TEXT(Caja_Finanzas[[#This Row],[fecha]],"mmmm"),0)</f>
        <v>Junio</v>
      </c>
    </row>
    <row r="580" spans="1:28" ht="24" x14ac:dyDescent="0.3">
      <c r="A580" s="2">
        <f>IF(Caja_Finanzas[[#This Row],[tipo_r]]="R",COUNTIFS($C$1:$C579,"R")+1,A579)</f>
        <v>525</v>
      </c>
      <c r="B580" s="19" t="str">
        <f t="shared" si="49"/>
        <v>C-Finanzas</v>
      </c>
      <c r="C580" s="3" t="s">
        <v>1330</v>
      </c>
      <c r="D580" s="14">
        <v>45833</v>
      </c>
      <c r="E580" s="5" t="s">
        <v>6451</v>
      </c>
      <c r="F580" s="5" t="s">
        <v>1336</v>
      </c>
      <c r="G580" s="5"/>
      <c r="H580" s="6"/>
      <c r="I580" s="6"/>
      <c r="J580" s="6"/>
      <c r="K580" s="6"/>
      <c r="L580" s="7" t="s">
        <v>7262</v>
      </c>
      <c r="M580" s="8" t="str">
        <f>"CFI"&amp;".D"&amp;TEXT(Caja_Finanzas[[#This Row],[fecha]],"DD-MM")&amp;"-"&amp;TEXT(Caja_Finanzas[[#This Row],[item]],"0000")</f>
        <v>CFI.D25-06-0525</v>
      </c>
      <c r="N580" s="8" t="str">
        <f t="shared" si="50"/>
        <v>PEN</v>
      </c>
      <c r="O580" s="13"/>
      <c r="P580" s="13">
        <v>20</v>
      </c>
      <c r="Q580" s="3">
        <f t="shared" si="46"/>
        <v>0</v>
      </c>
      <c r="R580" s="3">
        <f t="shared" si="47"/>
        <v>20</v>
      </c>
      <c r="S580" s="3">
        <f t="shared" si="48"/>
        <v>7697.2999999999938</v>
      </c>
      <c r="T580" s="24"/>
      <c r="U580" s="24"/>
      <c r="V580" s="3"/>
      <c r="W580" s="25" t="s">
        <v>6709</v>
      </c>
      <c r="X580" s="25" t="s">
        <v>7263</v>
      </c>
      <c r="Y580" s="25"/>
      <c r="Z580" s="25"/>
      <c r="AA580" s="25"/>
      <c r="AB580" s="3" t="str">
        <f>IF(Caja_Finanzas[[#This Row],[fecha]]&gt;0,TEXT(Caja_Finanzas[[#This Row],[fecha]],"mmmm"),0)</f>
        <v>Junio</v>
      </c>
    </row>
    <row r="581" spans="1:28" ht="36" x14ac:dyDescent="0.3">
      <c r="A581" s="2">
        <f>IF(Caja_Finanzas[[#This Row],[tipo_r]]="R",COUNTIFS($C$1:$C580,"R")+1,A580)</f>
        <v>526</v>
      </c>
      <c r="B581" s="19" t="str">
        <f t="shared" si="49"/>
        <v>C-Finanzas</v>
      </c>
      <c r="C581" s="3" t="s">
        <v>1330</v>
      </c>
      <c r="D581" s="14">
        <v>45835</v>
      </c>
      <c r="E581" s="5" t="s">
        <v>6570</v>
      </c>
      <c r="F581" s="5" t="s">
        <v>1336</v>
      </c>
      <c r="G581" s="5"/>
      <c r="H581" s="6"/>
      <c r="I581" s="6"/>
      <c r="J581" s="6"/>
      <c r="K581" s="6"/>
      <c r="L581" s="7" t="s">
        <v>7264</v>
      </c>
      <c r="M581" s="8" t="str">
        <f>"CFI"&amp;".D"&amp;TEXT(Caja_Finanzas[[#This Row],[fecha]],"DD-MM")&amp;"-"&amp;TEXT(Caja_Finanzas[[#This Row],[item]],"0000")</f>
        <v>CFI.D27-06-0526</v>
      </c>
      <c r="N581" s="8" t="str">
        <f t="shared" si="50"/>
        <v>PEN</v>
      </c>
      <c r="O581" s="13"/>
      <c r="P581" s="13">
        <v>90</v>
      </c>
      <c r="Q581" s="3">
        <f t="shared" si="46"/>
        <v>0</v>
      </c>
      <c r="R581" s="3">
        <f t="shared" si="47"/>
        <v>90</v>
      </c>
      <c r="S581" s="3">
        <f t="shared" si="48"/>
        <v>7607.2999999999938</v>
      </c>
      <c r="T581" s="24"/>
      <c r="U581" s="24"/>
      <c r="V581" s="3"/>
      <c r="W581" s="25" t="s">
        <v>6709</v>
      </c>
      <c r="X581" s="25" t="s">
        <v>7265</v>
      </c>
      <c r="Y581" s="25"/>
      <c r="Z581" s="25"/>
      <c r="AA581" s="25"/>
      <c r="AB581" s="3" t="str">
        <f>IF(Caja_Finanzas[[#This Row],[fecha]]&gt;0,TEXT(Caja_Finanzas[[#This Row],[fecha]],"mmmm"),0)</f>
        <v>Junio</v>
      </c>
    </row>
    <row r="582" spans="1:28" ht="24" x14ac:dyDescent="0.3">
      <c r="A582" s="2">
        <f>IF(Caja_Finanzas[[#This Row],[tipo_r]]="R",COUNTIFS($C$1:$C581,"R")+1,A581)</f>
        <v>527</v>
      </c>
      <c r="B582" s="19" t="str">
        <f t="shared" si="49"/>
        <v>C-Finanzas</v>
      </c>
      <c r="C582" s="3" t="s">
        <v>1330</v>
      </c>
      <c r="D582" s="14">
        <v>45835</v>
      </c>
      <c r="E582" s="5" t="s">
        <v>6456</v>
      </c>
      <c r="F582" s="5" t="s">
        <v>1336</v>
      </c>
      <c r="G582" s="5"/>
      <c r="H582" s="6"/>
      <c r="I582" s="6"/>
      <c r="J582" s="6"/>
      <c r="K582" s="6"/>
      <c r="L582" s="7" t="s">
        <v>7266</v>
      </c>
      <c r="M582" s="8" t="str">
        <f>"CFI"&amp;".D"&amp;TEXT(Caja_Finanzas[[#This Row],[fecha]],"DD-MM")&amp;"-"&amp;TEXT(Caja_Finanzas[[#This Row],[item]],"0000")</f>
        <v>CFI.D27-06-0527</v>
      </c>
      <c r="N582" s="8" t="str">
        <f t="shared" si="50"/>
        <v>PEN</v>
      </c>
      <c r="O582" s="13"/>
      <c r="P582" s="13">
        <v>256.5</v>
      </c>
      <c r="Q582" s="3">
        <f t="shared" si="46"/>
        <v>0</v>
      </c>
      <c r="R582" s="3">
        <f t="shared" si="47"/>
        <v>256.5</v>
      </c>
      <c r="S582" s="3">
        <f t="shared" si="48"/>
        <v>7350.7999999999938</v>
      </c>
      <c r="T582" s="24"/>
      <c r="U582" s="24"/>
      <c r="V582" s="3"/>
      <c r="W582" s="25" t="s">
        <v>6709</v>
      </c>
      <c r="X582" s="25" t="s">
        <v>7267</v>
      </c>
      <c r="Y582" s="25"/>
      <c r="Z582" s="25"/>
      <c r="AA582" s="25"/>
      <c r="AB582" s="3" t="str">
        <f>IF(Caja_Finanzas[[#This Row],[fecha]]&gt;0,TEXT(Caja_Finanzas[[#This Row],[fecha]],"mmmm"),0)</f>
        <v>Junio</v>
      </c>
    </row>
    <row r="583" spans="1:28" ht="24" x14ac:dyDescent="0.3">
      <c r="A583" s="2">
        <f>IF(Caja_Finanzas[[#This Row],[tipo_r]]="R",COUNTIFS($C$1:$C582,"R")+1,A582)</f>
        <v>528</v>
      </c>
      <c r="B583" s="19" t="str">
        <f t="shared" si="49"/>
        <v>C-Finanzas</v>
      </c>
      <c r="C583" s="3" t="s">
        <v>1330</v>
      </c>
      <c r="D583" s="14">
        <v>45835</v>
      </c>
      <c r="E583" s="5" t="s">
        <v>3445</v>
      </c>
      <c r="F583" s="5" t="s">
        <v>1303</v>
      </c>
      <c r="G583" s="5"/>
      <c r="H583" s="6" t="s">
        <v>425</v>
      </c>
      <c r="I583" s="6" t="s">
        <v>119</v>
      </c>
      <c r="J583" s="6">
        <v>1</v>
      </c>
      <c r="K583" s="6">
        <v>4557</v>
      </c>
      <c r="L583" s="7" t="s">
        <v>6118</v>
      </c>
      <c r="M583" s="8" t="str">
        <f>"CFI"&amp;".D"&amp;TEXT(Caja_Finanzas[[#This Row],[fecha]],"DD-MM")&amp;"-"&amp;TEXT(Caja_Finanzas[[#This Row],[item]],"0000")</f>
        <v>CFI.D27-06-0528</v>
      </c>
      <c r="N583" s="8" t="str">
        <f t="shared" si="50"/>
        <v>PEN</v>
      </c>
      <c r="O583" s="13"/>
      <c r="P583" s="13">
        <v>3620</v>
      </c>
      <c r="Q583" s="3">
        <f t="shared" si="46"/>
        <v>3620</v>
      </c>
      <c r="R583" s="3">
        <f t="shared" si="47"/>
        <v>0</v>
      </c>
      <c r="S583" s="3">
        <f t="shared" si="48"/>
        <v>10970.799999999994</v>
      </c>
      <c r="T583" s="24"/>
      <c r="U583" s="24"/>
      <c r="V583" s="3"/>
      <c r="W583" s="25"/>
      <c r="X583" s="25" t="s">
        <v>7268</v>
      </c>
      <c r="Y583" s="25"/>
      <c r="Z583" s="25"/>
      <c r="AA583" s="25"/>
      <c r="AB583" s="3" t="str">
        <f>IF(Caja_Finanzas[[#This Row],[fecha]]&gt;0,TEXT(Caja_Finanzas[[#This Row],[fecha]],"mmmm"),0)</f>
        <v>Junio</v>
      </c>
    </row>
    <row r="584" spans="1:28" ht="24" x14ac:dyDescent="0.3">
      <c r="A584" s="2">
        <f>IF(Caja_Finanzas[[#This Row],[tipo_r]]="R",COUNTIFS($C$1:$C583,"R")+1,A583)</f>
        <v>529</v>
      </c>
      <c r="B584" s="19" t="str">
        <f t="shared" si="49"/>
        <v>C-Finanzas</v>
      </c>
      <c r="C584" s="3" t="s">
        <v>1330</v>
      </c>
      <c r="D584" s="14">
        <v>45835</v>
      </c>
      <c r="E584" s="5" t="s">
        <v>2009</v>
      </c>
      <c r="F584" s="5" t="s">
        <v>1303</v>
      </c>
      <c r="G584" s="5"/>
      <c r="H584" s="6" t="s">
        <v>425</v>
      </c>
      <c r="I584" s="6" t="s">
        <v>119</v>
      </c>
      <c r="J584" s="6">
        <v>1</v>
      </c>
      <c r="K584" s="6">
        <v>4544</v>
      </c>
      <c r="L584" s="7" t="s">
        <v>6118</v>
      </c>
      <c r="M584" s="8" t="str">
        <f>"CFI"&amp;".D"&amp;TEXT(Caja_Finanzas[[#This Row],[fecha]],"DD-MM")&amp;"-"&amp;TEXT(Caja_Finanzas[[#This Row],[item]],"0000")</f>
        <v>CFI.D27-06-0529</v>
      </c>
      <c r="N584" s="8" t="str">
        <f t="shared" si="50"/>
        <v>PEN</v>
      </c>
      <c r="O584" s="13"/>
      <c r="P584" s="13">
        <v>873</v>
      </c>
      <c r="Q584" s="3">
        <f t="shared" si="46"/>
        <v>873</v>
      </c>
      <c r="R584" s="3">
        <f t="shared" si="47"/>
        <v>0</v>
      </c>
      <c r="S584" s="3">
        <f t="shared" si="48"/>
        <v>11843.799999999994</v>
      </c>
      <c r="T584" s="24"/>
      <c r="U584" s="24"/>
      <c r="V584" s="3"/>
      <c r="W584" s="25"/>
      <c r="X584" s="25" t="s">
        <v>7269</v>
      </c>
      <c r="Y584" s="25"/>
      <c r="Z584" s="25"/>
      <c r="AA584" s="25"/>
      <c r="AB584" s="3" t="str">
        <f>IF(Caja_Finanzas[[#This Row],[fecha]]&gt;0,TEXT(Caja_Finanzas[[#This Row],[fecha]],"mmmm"),0)</f>
        <v>Junio</v>
      </c>
    </row>
    <row r="585" spans="1:28" ht="24" x14ac:dyDescent="0.3">
      <c r="A585" s="2">
        <f>IF(Caja_Finanzas[[#This Row],[tipo_r]]="R",COUNTIFS($C$1:$C584,"R")+1,A584)</f>
        <v>530</v>
      </c>
      <c r="B585" s="19" t="str">
        <f t="shared" si="49"/>
        <v>C-Finanzas</v>
      </c>
      <c r="C585" s="3" t="s">
        <v>1330</v>
      </c>
      <c r="D585" s="14">
        <v>45839</v>
      </c>
      <c r="E585" s="5" t="s">
        <v>2374</v>
      </c>
      <c r="F585" s="5" t="s">
        <v>1303</v>
      </c>
      <c r="G585" s="5"/>
      <c r="H585" s="6" t="s">
        <v>425</v>
      </c>
      <c r="I585" s="6" t="s">
        <v>119</v>
      </c>
      <c r="J585" s="6">
        <v>1</v>
      </c>
      <c r="K585" s="6">
        <v>4560</v>
      </c>
      <c r="L585" s="7" t="s">
        <v>6118</v>
      </c>
      <c r="M585" s="8" t="str">
        <f>"CFI"&amp;".D"&amp;TEXT(Caja_Finanzas[[#This Row],[fecha]],"DD-MM")&amp;"-"&amp;TEXT(Caja_Finanzas[[#This Row],[item]],"0000")</f>
        <v>CFI.D01-07-0530</v>
      </c>
      <c r="N585" s="8" t="str">
        <f t="shared" si="50"/>
        <v>PEN</v>
      </c>
      <c r="O585" s="13"/>
      <c r="P585" s="13">
        <v>973</v>
      </c>
      <c r="Q585" s="3">
        <f t="shared" si="46"/>
        <v>973</v>
      </c>
      <c r="R585" s="3">
        <f t="shared" si="47"/>
        <v>0</v>
      </c>
      <c r="S585" s="3">
        <f t="shared" si="48"/>
        <v>12816.799999999994</v>
      </c>
      <c r="T585" s="24"/>
      <c r="U585" s="24"/>
      <c r="V585" s="3"/>
      <c r="W585" s="25"/>
      <c r="X585" s="25" t="s">
        <v>7270</v>
      </c>
      <c r="Y585" s="25"/>
      <c r="Z585" s="25"/>
      <c r="AA585" s="25"/>
      <c r="AB585" s="3" t="str">
        <f>IF(Caja_Finanzas[[#This Row],[fecha]]&gt;0,TEXT(Caja_Finanzas[[#This Row],[fecha]],"mmmm"),0)</f>
        <v>Julio</v>
      </c>
    </row>
    <row r="586" spans="1:28" ht="24" x14ac:dyDescent="0.3">
      <c r="A586" s="2">
        <f>IF(Caja_Finanzas[[#This Row],[tipo_r]]="R",COUNTIFS($C$1:$C585,"R")+1,A585)</f>
        <v>531</v>
      </c>
      <c r="B586" s="19" t="str">
        <f t="shared" si="49"/>
        <v>C-Finanzas</v>
      </c>
      <c r="C586" s="3" t="s">
        <v>1330</v>
      </c>
      <c r="D586" s="14">
        <v>45839</v>
      </c>
      <c r="E586" s="5" t="s">
        <v>3293</v>
      </c>
      <c r="F586" s="5" t="s">
        <v>1303</v>
      </c>
      <c r="G586" s="5"/>
      <c r="H586" s="6" t="s">
        <v>425</v>
      </c>
      <c r="I586" s="6" t="s">
        <v>119</v>
      </c>
      <c r="J586" s="6">
        <v>1</v>
      </c>
      <c r="K586" s="6">
        <v>4563</v>
      </c>
      <c r="L586" s="7" t="s">
        <v>6118</v>
      </c>
      <c r="M586" s="8" t="str">
        <f>"CFI"&amp;".D"&amp;TEXT(Caja_Finanzas[[#This Row],[fecha]],"DD-MM")&amp;"-"&amp;TEXT(Caja_Finanzas[[#This Row],[item]],"0000")</f>
        <v>CFI.D01-07-0531</v>
      </c>
      <c r="N586" s="8" t="str">
        <f t="shared" si="50"/>
        <v>PEN</v>
      </c>
      <c r="O586" s="13"/>
      <c r="P586" s="13">
        <v>300</v>
      </c>
      <c r="Q586" s="3">
        <f t="shared" si="46"/>
        <v>300</v>
      </c>
      <c r="R586" s="3">
        <f t="shared" si="47"/>
        <v>0</v>
      </c>
      <c r="S586" s="3">
        <f t="shared" si="48"/>
        <v>13116.799999999994</v>
      </c>
      <c r="T586" s="24"/>
      <c r="U586" s="24"/>
      <c r="V586" s="3"/>
      <c r="W586" s="25"/>
      <c r="X586" s="25" t="s">
        <v>7271</v>
      </c>
      <c r="Y586" s="25"/>
      <c r="Z586" s="25"/>
      <c r="AA586" s="25"/>
      <c r="AB586" s="3" t="str">
        <f>IF(Caja_Finanzas[[#This Row],[fecha]]&gt;0,TEXT(Caja_Finanzas[[#This Row],[fecha]],"mmmm"),0)</f>
        <v>Julio</v>
      </c>
    </row>
    <row r="587" spans="1:28" ht="24" x14ac:dyDescent="0.3">
      <c r="A587" s="2">
        <f>IF(Caja_Finanzas[[#This Row],[tipo_r]]="R",COUNTIFS($C$1:$C586,"R")+1,A586)</f>
        <v>532</v>
      </c>
      <c r="B587" s="19" t="str">
        <f t="shared" si="49"/>
        <v>C-Finanzas</v>
      </c>
      <c r="C587" s="3" t="s">
        <v>1330</v>
      </c>
      <c r="D587" s="14">
        <v>45839</v>
      </c>
      <c r="E587" s="5" t="s">
        <v>5828</v>
      </c>
      <c r="F587" s="5" t="s">
        <v>1336</v>
      </c>
      <c r="G587" s="5"/>
      <c r="H587" s="6"/>
      <c r="I587" s="6"/>
      <c r="J587" s="6"/>
      <c r="K587" s="6"/>
      <c r="L587" s="7" t="s">
        <v>7272</v>
      </c>
      <c r="M587" s="8" t="str">
        <f>"CFI"&amp;".D"&amp;TEXT(Caja_Finanzas[[#This Row],[fecha]],"DD-MM")&amp;"-"&amp;TEXT(Caja_Finanzas[[#This Row],[item]],"0000")</f>
        <v>CFI.D01-07-0532</v>
      </c>
      <c r="N587" s="8" t="str">
        <f t="shared" si="50"/>
        <v>PEN</v>
      </c>
      <c r="O587" s="13"/>
      <c r="P587" s="13">
        <v>40</v>
      </c>
      <c r="Q587" s="3">
        <f t="shared" si="46"/>
        <v>0</v>
      </c>
      <c r="R587" s="3">
        <f t="shared" si="47"/>
        <v>40</v>
      </c>
      <c r="S587" s="3">
        <f t="shared" si="48"/>
        <v>13076.799999999994</v>
      </c>
      <c r="T587" s="24"/>
      <c r="U587" s="24"/>
      <c r="V587" s="3"/>
      <c r="W587" s="25" t="s">
        <v>6709</v>
      </c>
      <c r="X587" s="25" t="s">
        <v>7273</v>
      </c>
      <c r="Y587" s="25"/>
      <c r="Z587" s="25"/>
      <c r="AA587" s="25"/>
      <c r="AB587" s="3" t="str">
        <f>IF(Caja_Finanzas[[#This Row],[fecha]]&gt;0,TEXT(Caja_Finanzas[[#This Row],[fecha]],"mmmm"),0)</f>
        <v>Julio</v>
      </c>
    </row>
    <row r="588" spans="1:28" ht="36" x14ac:dyDescent="0.3">
      <c r="A588" s="2">
        <f>IF(Caja_Finanzas[[#This Row],[tipo_r]]="R",COUNTIFS($C$1:$C587,"R")+1,A587)</f>
        <v>533</v>
      </c>
      <c r="B588" s="19" t="str">
        <f t="shared" si="49"/>
        <v>C-Finanzas</v>
      </c>
      <c r="C588" s="3" t="s">
        <v>1330</v>
      </c>
      <c r="D588" s="14">
        <v>45839</v>
      </c>
      <c r="E588" s="5" t="s">
        <v>5828</v>
      </c>
      <c r="F588" s="5" t="s">
        <v>1336</v>
      </c>
      <c r="G588" s="5"/>
      <c r="H588" s="6"/>
      <c r="I588" s="6"/>
      <c r="J588" s="6"/>
      <c r="K588" s="6"/>
      <c r="L588" s="7" t="s">
        <v>7274</v>
      </c>
      <c r="M588" s="8" t="str">
        <f>"CFI"&amp;".D"&amp;TEXT(Caja_Finanzas[[#This Row],[fecha]],"DD-MM")&amp;"-"&amp;TEXT(Caja_Finanzas[[#This Row],[item]],"0000")</f>
        <v>CFI.D01-07-0533</v>
      </c>
      <c r="N588" s="8" t="str">
        <f t="shared" si="50"/>
        <v>PEN</v>
      </c>
      <c r="O588" s="13"/>
      <c r="P588" s="13">
        <v>200</v>
      </c>
      <c r="Q588" s="3">
        <f t="shared" si="46"/>
        <v>0</v>
      </c>
      <c r="R588" s="3">
        <f t="shared" si="47"/>
        <v>200</v>
      </c>
      <c r="S588" s="3">
        <f t="shared" si="48"/>
        <v>12876.799999999994</v>
      </c>
      <c r="T588" s="24"/>
      <c r="U588" s="24"/>
      <c r="V588" s="3"/>
      <c r="W588" s="25" t="s">
        <v>6709</v>
      </c>
      <c r="X588" s="25" t="s">
        <v>7275</v>
      </c>
      <c r="Y588" s="25"/>
      <c r="Z588" s="25"/>
      <c r="AA588" s="25"/>
      <c r="AB588" s="3" t="str">
        <f>IF(Caja_Finanzas[[#This Row],[fecha]]&gt;0,TEXT(Caja_Finanzas[[#This Row],[fecha]],"mmmm"),0)</f>
        <v>Julio</v>
      </c>
    </row>
    <row r="589" spans="1:28" x14ac:dyDescent="0.3">
      <c r="A589" s="2">
        <f>IF(Caja_Finanzas[[#This Row],[tipo_r]]="R",COUNTIFS($C$1:$C588,"R")+1,A588)</f>
        <v>534</v>
      </c>
      <c r="B589" s="19" t="str">
        <f t="shared" si="49"/>
        <v>C-Finanzas</v>
      </c>
      <c r="C589" s="3" t="s">
        <v>1330</v>
      </c>
      <c r="D589" s="14">
        <v>45839</v>
      </c>
      <c r="E589" s="5" t="s">
        <v>5828</v>
      </c>
      <c r="F589" s="5" t="s">
        <v>1336</v>
      </c>
      <c r="G589" s="5"/>
      <c r="H589" s="6"/>
      <c r="I589" s="6"/>
      <c r="J589" s="6"/>
      <c r="K589" s="6"/>
      <c r="L589" s="7" t="s">
        <v>7276</v>
      </c>
      <c r="M589" s="8" t="str">
        <f>"CFI"&amp;".D"&amp;TEXT(Caja_Finanzas[[#This Row],[fecha]],"DD-MM")&amp;"-"&amp;TEXT(Caja_Finanzas[[#This Row],[item]],"0000")</f>
        <v>CFI.D01-07-0534</v>
      </c>
      <c r="N589" s="8" t="str">
        <f t="shared" si="50"/>
        <v>PEN</v>
      </c>
      <c r="O589" s="13"/>
      <c r="P589" s="13">
        <v>8733</v>
      </c>
      <c r="Q589" s="3">
        <f t="shared" si="46"/>
        <v>0</v>
      </c>
      <c r="R589" s="3">
        <f t="shared" si="47"/>
        <v>8733</v>
      </c>
      <c r="S589" s="3">
        <f t="shared" si="48"/>
        <v>4143.7999999999938</v>
      </c>
      <c r="T589" s="24"/>
      <c r="U589" s="24"/>
      <c r="V589" s="3"/>
      <c r="W589" s="25" t="s">
        <v>6709</v>
      </c>
      <c r="X589" s="25"/>
      <c r="Y589" s="25"/>
      <c r="Z589" s="25"/>
      <c r="AA589" s="25"/>
      <c r="AB589" s="3" t="str">
        <f>IF(Caja_Finanzas[[#This Row],[fecha]]&gt;0,TEXT(Caja_Finanzas[[#This Row],[fecha]],"mmmm"),0)</f>
        <v>Julio</v>
      </c>
    </row>
    <row r="590" spans="1:28" ht="24" x14ac:dyDescent="0.3">
      <c r="A590" s="2">
        <f>IF(Caja_Finanzas[[#This Row],[tipo_r]]="R",COUNTIFS($C$1:$C589,"R")+1,A589)</f>
        <v>535</v>
      </c>
      <c r="B590" s="19" t="str">
        <f t="shared" ref="B590:B601" si="51">"C-Finanzas"</f>
        <v>C-Finanzas</v>
      </c>
      <c r="C590" s="3" t="s">
        <v>1330</v>
      </c>
      <c r="D590" s="14">
        <v>45840</v>
      </c>
      <c r="E590" s="5" t="s">
        <v>6940</v>
      </c>
      <c r="F590" s="5" t="s">
        <v>1336</v>
      </c>
      <c r="G590" s="5"/>
      <c r="H590" s="6"/>
      <c r="I590" s="6"/>
      <c r="J590" s="6"/>
      <c r="K590" s="6"/>
      <c r="L590" s="7" t="s">
        <v>7277</v>
      </c>
      <c r="M590" s="8" t="str">
        <f>"CFI"&amp;".D"&amp;TEXT(Caja_Finanzas[[#This Row],[fecha]],"DD-MM")&amp;"-"&amp;TEXT(Caja_Finanzas[[#This Row],[item]],"0000")</f>
        <v>CFI.D02-07-0535</v>
      </c>
      <c r="N590" s="8" t="str">
        <f t="shared" ref="N590:N601" si="52">"PEN"</f>
        <v>PEN</v>
      </c>
      <c r="O590" s="13"/>
      <c r="P590" s="13">
        <v>33</v>
      </c>
      <c r="Q590" s="3">
        <f t="shared" si="46"/>
        <v>0</v>
      </c>
      <c r="R590" s="3">
        <f t="shared" si="47"/>
        <v>33</v>
      </c>
      <c r="S590" s="3">
        <f t="shared" si="48"/>
        <v>4110.7999999999938</v>
      </c>
      <c r="T590" s="24"/>
      <c r="U590" s="24"/>
      <c r="V590" s="3"/>
      <c r="W590" s="25"/>
      <c r="X590" s="25" t="s">
        <v>7278</v>
      </c>
      <c r="Y590" s="25"/>
      <c r="Z590" s="25"/>
      <c r="AA590" s="25"/>
      <c r="AB590" s="3" t="str">
        <f>IF(Caja_Finanzas[[#This Row],[fecha]]&gt;0,TEXT(Caja_Finanzas[[#This Row],[fecha]],"mmmm"),0)</f>
        <v>Julio</v>
      </c>
    </row>
    <row r="591" spans="1:28" ht="24" x14ac:dyDescent="0.3">
      <c r="A591" s="2">
        <f>IF(Caja_Finanzas[[#This Row],[tipo_r]]="R",COUNTIFS($C$1:$C590,"R")+1,A590)</f>
        <v>536</v>
      </c>
      <c r="B591" s="19" t="str">
        <f t="shared" si="51"/>
        <v>C-Finanzas</v>
      </c>
      <c r="C591" s="3" t="s">
        <v>1330</v>
      </c>
      <c r="D591" s="14">
        <v>45841</v>
      </c>
      <c r="E591" s="5" t="s">
        <v>6456</v>
      </c>
      <c r="F591" s="5" t="s">
        <v>1336</v>
      </c>
      <c r="G591" s="5"/>
      <c r="H591" s="6"/>
      <c r="I591" s="6"/>
      <c r="J591" s="6"/>
      <c r="K591" s="6"/>
      <c r="L591" s="7" t="s">
        <v>7279</v>
      </c>
      <c r="M591" s="8" t="str">
        <f>"CFI"&amp;".D"&amp;TEXT(Caja_Finanzas[[#This Row],[fecha]],"DD-MM")&amp;"-"&amp;TEXT(Caja_Finanzas[[#This Row],[item]],"0000")</f>
        <v>CFI.D03-07-0536</v>
      </c>
      <c r="N591" s="8" t="str">
        <f t="shared" si="52"/>
        <v>PEN</v>
      </c>
      <c r="O591" s="13"/>
      <c r="P591" s="13">
        <v>10</v>
      </c>
      <c r="Q591" s="3">
        <f t="shared" si="46"/>
        <v>0</v>
      </c>
      <c r="R591" s="3">
        <f t="shared" si="47"/>
        <v>10</v>
      </c>
      <c r="S591" s="3">
        <f t="shared" si="48"/>
        <v>4100.7999999999938</v>
      </c>
      <c r="T591" s="24"/>
      <c r="U591" s="24"/>
      <c r="V591" s="3"/>
      <c r="W591" s="25" t="s">
        <v>6709</v>
      </c>
      <c r="X591" s="25" t="s">
        <v>7280</v>
      </c>
      <c r="Y591" s="25"/>
      <c r="Z591" s="25"/>
      <c r="AA591" s="25"/>
      <c r="AB591" s="3" t="str">
        <f>IF(Caja_Finanzas[[#This Row],[fecha]]&gt;0,TEXT(Caja_Finanzas[[#This Row],[fecha]],"mmmm"),0)</f>
        <v>Julio</v>
      </c>
    </row>
    <row r="592" spans="1:28" ht="24" x14ac:dyDescent="0.3">
      <c r="A592" s="2">
        <f>IF(Caja_Finanzas[[#This Row],[tipo_r]]="R",COUNTIFS($C$1:$C591,"R")+1,A591)</f>
        <v>537</v>
      </c>
      <c r="B592" s="19" t="str">
        <f t="shared" si="51"/>
        <v>C-Finanzas</v>
      </c>
      <c r="C592" s="3" t="s">
        <v>1330</v>
      </c>
      <c r="D592" s="14">
        <v>45841</v>
      </c>
      <c r="E592" s="5" t="s">
        <v>6456</v>
      </c>
      <c r="F592" s="5" t="s">
        <v>1303</v>
      </c>
      <c r="G592" s="5"/>
      <c r="H592" s="6"/>
      <c r="I592" s="6"/>
      <c r="J592" s="6"/>
      <c r="K592" s="6"/>
      <c r="L592" s="7" t="s">
        <v>7281</v>
      </c>
      <c r="M592" s="8" t="str">
        <f>"CFI"&amp;".D"&amp;TEXT(Caja_Finanzas[[#This Row],[fecha]],"DD-MM")&amp;"-"&amp;TEXT(Caja_Finanzas[[#This Row],[item]],"0000")</f>
        <v>CFI.D03-07-0537</v>
      </c>
      <c r="N592" s="8" t="str">
        <f t="shared" si="52"/>
        <v>PEN</v>
      </c>
      <c r="O592" s="13"/>
      <c r="P592" s="13">
        <v>10</v>
      </c>
      <c r="Q592" s="3">
        <f t="shared" si="46"/>
        <v>10</v>
      </c>
      <c r="R592" s="3">
        <f t="shared" si="47"/>
        <v>0</v>
      </c>
      <c r="S592" s="3">
        <f t="shared" si="48"/>
        <v>4110.7999999999938</v>
      </c>
      <c r="T592" s="24"/>
      <c r="U592" s="24"/>
      <c r="V592" s="3"/>
      <c r="W592" s="25"/>
      <c r="X592" s="25"/>
      <c r="Y592" s="25"/>
      <c r="Z592" s="25"/>
      <c r="AA592" s="25"/>
      <c r="AB592" s="3" t="str">
        <f>IF(Caja_Finanzas[[#This Row],[fecha]]&gt;0,TEXT(Caja_Finanzas[[#This Row],[fecha]],"mmmm"),0)</f>
        <v>Julio</v>
      </c>
    </row>
    <row r="593" spans="1:28" ht="24" x14ac:dyDescent="0.3">
      <c r="A593" s="2">
        <f>IF(Caja_Finanzas[[#This Row],[tipo_r]]="R",COUNTIFS($C$1:$C592,"R")+1,A592)</f>
        <v>538</v>
      </c>
      <c r="B593" s="19" t="str">
        <f t="shared" si="51"/>
        <v>C-Finanzas</v>
      </c>
      <c r="C593" s="3" t="s">
        <v>1330</v>
      </c>
      <c r="D593" s="14">
        <v>45841</v>
      </c>
      <c r="E593" s="5" t="s">
        <v>6940</v>
      </c>
      <c r="F593" s="5" t="s">
        <v>1336</v>
      </c>
      <c r="G593" s="5"/>
      <c r="H593" s="134" t="s">
        <v>1009</v>
      </c>
      <c r="I593" s="6" t="s">
        <v>115</v>
      </c>
      <c r="J593" s="6" t="s">
        <v>7282</v>
      </c>
      <c r="K593" s="6">
        <v>64</v>
      </c>
      <c r="L593" s="7" t="s">
        <v>7283</v>
      </c>
      <c r="M593" s="8" t="str">
        <f>"CFI"&amp;".D"&amp;TEXT(Caja_Finanzas[[#This Row],[fecha]],"DD-MM")&amp;"-"&amp;TEXT(Caja_Finanzas[[#This Row],[item]],"0000")</f>
        <v>CFI.D03-07-0538</v>
      </c>
      <c r="N593" s="8" t="str">
        <f t="shared" si="52"/>
        <v>PEN</v>
      </c>
      <c r="O593" s="13"/>
      <c r="P593" s="13">
        <v>11</v>
      </c>
      <c r="Q593" s="3">
        <f t="shared" si="46"/>
        <v>0</v>
      </c>
      <c r="R593" s="3">
        <f t="shared" si="47"/>
        <v>11</v>
      </c>
      <c r="S593" s="3">
        <f t="shared" si="48"/>
        <v>4099.7999999999938</v>
      </c>
      <c r="T593" s="24"/>
      <c r="U593" s="24"/>
      <c r="V593" s="3"/>
      <c r="W593" s="25" t="s">
        <v>6709</v>
      </c>
      <c r="X593" s="25" t="s">
        <v>7284</v>
      </c>
      <c r="Y593" s="25"/>
      <c r="Z593" s="25"/>
      <c r="AA593" s="25"/>
      <c r="AB593" s="3" t="str">
        <f>IF(Caja_Finanzas[[#This Row],[fecha]]&gt;0,TEXT(Caja_Finanzas[[#This Row],[fecha]],"mmmm"),0)</f>
        <v>Julio</v>
      </c>
    </row>
    <row r="594" spans="1:28" ht="24" x14ac:dyDescent="0.3">
      <c r="A594" s="2">
        <f>IF(Caja_Finanzas[[#This Row],[tipo_r]]="R",COUNTIFS($C$1:$C593,"R")+1,A593)</f>
        <v>539</v>
      </c>
      <c r="B594" s="19" t="str">
        <f t="shared" si="51"/>
        <v>C-Finanzas</v>
      </c>
      <c r="C594" s="3" t="s">
        <v>1330</v>
      </c>
      <c r="D594" s="14">
        <v>45841</v>
      </c>
      <c r="E594" s="5" t="s">
        <v>6731</v>
      </c>
      <c r="F594" s="5" t="s">
        <v>1336</v>
      </c>
      <c r="G594" s="5"/>
      <c r="H594" s="134" t="s">
        <v>1009</v>
      </c>
      <c r="I594" s="6" t="s">
        <v>115</v>
      </c>
      <c r="J594" s="6" t="s">
        <v>7187</v>
      </c>
      <c r="K594" s="6">
        <v>126</v>
      </c>
      <c r="L594" s="7" t="s">
        <v>7285</v>
      </c>
      <c r="M594" s="8" t="str">
        <f>"CFI"&amp;".D"&amp;TEXT(Caja_Finanzas[[#This Row],[fecha]],"DD-MM")&amp;"-"&amp;TEXT(Caja_Finanzas[[#This Row],[item]],"0000")</f>
        <v>CFI.D03-07-0539</v>
      </c>
      <c r="N594" s="8" t="str">
        <f t="shared" si="52"/>
        <v>PEN</v>
      </c>
      <c r="O594" s="13"/>
      <c r="P594" s="13">
        <v>420</v>
      </c>
      <c r="Q594" s="3">
        <f t="shared" si="46"/>
        <v>0</v>
      </c>
      <c r="R594" s="3">
        <f t="shared" si="47"/>
        <v>420</v>
      </c>
      <c r="S594" s="3">
        <f t="shared" si="48"/>
        <v>3679.7999999999938</v>
      </c>
      <c r="T594" s="24"/>
      <c r="U594" s="24"/>
      <c r="V594" s="3"/>
      <c r="W594" s="25" t="s">
        <v>6709</v>
      </c>
      <c r="X594" s="25" t="s">
        <v>7286</v>
      </c>
      <c r="Y594" s="25"/>
      <c r="Z594" s="25"/>
      <c r="AA594" s="25"/>
      <c r="AB594" s="3" t="str">
        <f>IF(Caja_Finanzas[[#This Row],[fecha]]&gt;0,TEXT(Caja_Finanzas[[#This Row],[fecha]],"mmmm"),0)</f>
        <v>Julio</v>
      </c>
    </row>
    <row r="595" spans="1:28" ht="24" x14ac:dyDescent="0.3">
      <c r="A595" s="2">
        <f>IF(Caja_Finanzas[[#This Row],[tipo_r]]="R",COUNTIFS($C$1:$C594,"R")+1,A594)</f>
        <v>540</v>
      </c>
      <c r="B595" s="19" t="str">
        <f t="shared" si="51"/>
        <v>C-Finanzas</v>
      </c>
      <c r="C595" s="3" t="s">
        <v>1330</v>
      </c>
      <c r="D595" s="14">
        <v>45841</v>
      </c>
      <c r="E595" s="5" t="s">
        <v>6731</v>
      </c>
      <c r="F595" s="5" t="s">
        <v>1336</v>
      </c>
      <c r="G595" s="5"/>
      <c r="H595" s="134" t="s">
        <v>1009</v>
      </c>
      <c r="I595" s="6" t="s">
        <v>115</v>
      </c>
      <c r="J595" s="6" t="s">
        <v>7187</v>
      </c>
      <c r="K595" s="6">
        <v>127</v>
      </c>
      <c r="L595" s="7" t="s">
        <v>7287</v>
      </c>
      <c r="M595" s="8" t="str">
        <f>"CFI"&amp;".D"&amp;TEXT(Caja_Finanzas[[#This Row],[fecha]],"DD-MM")&amp;"-"&amp;TEXT(Caja_Finanzas[[#This Row],[item]],"0000")</f>
        <v>CFI.D03-07-0540</v>
      </c>
      <c r="N595" s="8" t="str">
        <f t="shared" si="52"/>
        <v>PEN</v>
      </c>
      <c r="O595" s="13"/>
      <c r="P595" s="13">
        <v>5</v>
      </c>
      <c r="Q595" s="3">
        <f t="shared" si="46"/>
        <v>0</v>
      </c>
      <c r="R595" s="3">
        <f t="shared" si="47"/>
        <v>5</v>
      </c>
      <c r="S595" s="3">
        <f t="shared" si="48"/>
        <v>3674.7999999999938</v>
      </c>
      <c r="T595" s="24"/>
      <c r="U595" s="24"/>
      <c r="V595" s="3"/>
      <c r="W595" s="25" t="s">
        <v>6709</v>
      </c>
      <c r="X595" s="25" t="s">
        <v>7288</v>
      </c>
      <c r="Y595" s="25"/>
      <c r="Z595" s="25"/>
      <c r="AA595" s="25"/>
      <c r="AB595" s="3" t="str">
        <f>IF(Caja_Finanzas[[#This Row],[fecha]]&gt;0,TEXT(Caja_Finanzas[[#This Row],[fecha]],"mmmm"),0)</f>
        <v>Julio</v>
      </c>
    </row>
    <row r="596" spans="1:28" ht="24" x14ac:dyDescent="0.3">
      <c r="A596" s="2">
        <f>IF(Caja_Finanzas[[#This Row],[tipo_r]]="R",COUNTIFS($C$1:$C595,"R")+1,A595)</f>
        <v>541</v>
      </c>
      <c r="B596" s="19" t="str">
        <f t="shared" si="51"/>
        <v>C-Finanzas</v>
      </c>
      <c r="C596" s="3" t="s">
        <v>1330</v>
      </c>
      <c r="D596" s="14">
        <v>45841</v>
      </c>
      <c r="E596" s="5" t="s">
        <v>6456</v>
      </c>
      <c r="F596" s="5" t="s">
        <v>1336</v>
      </c>
      <c r="G596" s="5"/>
      <c r="H596" s="134" t="s">
        <v>1009</v>
      </c>
      <c r="I596" s="6" t="s">
        <v>115</v>
      </c>
      <c r="J596" s="6" t="s">
        <v>7289</v>
      </c>
      <c r="K596" s="6">
        <v>13</v>
      </c>
      <c r="L596" s="7" t="s">
        <v>7290</v>
      </c>
      <c r="M596" s="8" t="str">
        <f>"CFI"&amp;".D"&amp;TEXT(Caja_Finanzas[[#This Row],[fecha]],"DD-MM")&amp;"-"&amp;TEXT(Caja_Finanzas[[#This Row],[item]],"0000")</f>
        <v>CFI.D03-07-0541</v>
      </c>
      <c r="N596" s="8" t="str">
        <f t="shared" si="52"/>
        <v>PEN</v>
      </c>
      <c r="O596" s="13"/>
      <c r="P596" s="13">
        <v>3</v>
      </c>
      <c r="Q596" s="3">
        <f t="shared" si="46"/>
        <v>0</v>
      </c>
      <c r="R596" s="3">
        <f t="shared" si="47"/>
        <v>3</v>
      </c>
      <c r="S596" s="3">
        <f t="shared" si="48"/>
        <v>3671.7999999999938</v>
      </c>
      <c r="T596" s="24"/>
      <c r="U596" s="24"/>
      <c r="V596" s="3"/>
      <c r="W596" s="25" t="s">
        <v>6709</v>
      </c>
      <c r="X596" s="25" t="s">
        <v>7291</v>
      </c>
      <c r="Y596" s="25"/>
      <c r="Z596" s="25"/>
      <c r="AA596" s="25"/>
      <c r="AB596" s="3" t="str">
        <f>IF(Caja_Finanzas[[#This Row],[fecha]]&gt;0,TEXT(Caja_Finanzas[[#This Row],[fecha]],"mmmm"),0)</f>
        <v>Julio</v>
      </c>
    </row>
    <row r="597" spans="1:28" ht="24" x14ac:dyDescent="0.3">
      <c r="A597" s="2">
        <f>IF(Caja_Finanzas[[#This Row],[tipo_r]]="R",COUNTIFS($C$1:$C596,"R")+1,A596)</f>
        <v>542</v>
      </c>
      <c r="B597" s="19" t="str">
        <f t="shared" si="51"/>
        <v>C-Finanzas</v>
      </c>
      <c r="C597" s="3" t="s">
        <v>1330</v>
      </c>
      <c r="D597" s="14">
        <v>45842</v>
      </c>
      <c r="E597" s="5" t="s">
        <v>6460</v>
      </c>
      <c r="F597" s="5" t="s">
        <v>1336</v>
      </c>
      <c r="G597" s="5"/>
      <c r="H597" s="6"/>
      <c r="I597" s="6"/>
      <c r="J597" s="6"/>
      <c r="K597" s="6"/>
      <c r="L597" s="7" t="s">
        <v>7292</v>
      </c>
      <c r="M597" s="8" t="str">
        <f>"CFI"&amp;".D"&amp;TEXT(Caja_Finanzas[[#This Row],[fecha]],"DD-MM")&amp;"-"&amp;TEXT(Caja_Finanzas[[#This Row],[item]],"0000")</f>
        <v>CFI.D04-07-0542</v>
      </c>
      <c r="N597" s="8" t="str">
        <f t="shared" si="52"/>
        <v>PEN</v>
      </c>
      <c r="O597" s="13"/>
      <c r="P597" s="13">
        <v>47.7</v>
      </c>
      <c r="Q597" s="3">
        <f t="shared" si="46"/>
        <v>0</v>
      </c>
      <c r="R597" s="3">
        <f t="shared" si="47"/>
        <v>47.7</v>
      </c>
      <c r="S597" s="3">
        <f t="shared" si="48"/>
        <v>3624.099999999994</v>
      </c>
      <c r="T597" s="24"/>
      <c r="U597" s="24"/>
      <c r="V597" s="3"/>
      <c r="W597" s="25" t="s">
        <v>6709</v>
      </c>
      <c r="X597" s="25" t="s">
        <v>7293</v>
      </c>
      <c r="Y597" s="25"/>
      <c r="Z597" s="25"/>
      <c r="AA597" s="25"/>
      <c r="AB597" s="3" t="str">
        <f>IF(Caja_Finanzas[[#This Row],[fecha]]&gt;0,TEXT(Caja_Finanzas[[#This Row],[fecha]],"mmmm"),0)</f>
        <v>Julio</v>
      </c>
    </row>
    <row r="598" spans="1:28" ht="24" x14ac:dyDescent="0.3">
      <c r="A598" s="2">
        <f>IF(Caja_Finanzas[[#This Row],[tipo_r]]="R",COUNTIFS($C$1:$C597,"R")+1,A597)</f>
        <v>543</v>
      </c>
      <c r="B598" s="19" t="str">
        <f t="shared" si="51"/>
        <v>C-Finanzas</v>
      </c>
      <c r="C598" s="3" t="s">
        <v>1330</v>
      </c>
      <c r="D598" s="14">
        <v>45842</v>
      </c>
      <c r="E598" s="5" t="s">
        <v>3293</v>
      </c>
      <c r="F598" s="5" t="s">
        <v>1303</v>
      </c>
      <c r="G598" s="5"/>
      <c r="H598" s="6" t="s">
        <v>425</v>
      </c>
      <c r="I598" s="6" t="s">
        <v>119</v>
      </c>
      <c r="J598" s="6">
        <v>1</v>
      </c>
      <c r="K598" s="6">
        <v>4574</v>
      </c>
      <c r="L598" s="7" t="s">
        <v>6118</v>
      </c>
      <c r="M598" s="8" t="str">
        <f>"CFI"&amp;".D"&amp;TEXT(Caja_Finanzas[[#This Row],[fecha]],"DD-MM")&amp;"-"&amp;TEXT(Caja_Finanzas[[#This Row],[item]],"0000")</f>
        <v>CFI.D04-07-0543</v>
      </c>
      <c r="N598" s="8" t="str">
        <f t="shared" si="52"/>
        <v>PEN</v>
      </c>
      <c r="O598" s="13"/>
      <c r="P598" s="13">
        <v>320.5</v>
      </c>
      <c r="Q598" s="3">
        <f t="shared" si="46"/>
        <v>320.5</v>
      </c>
      <c r="R598" s="3">
        <f t="shared" si="47"/>
        <v>0</v>
      </c>
      <c r="S598" s="3">
        <f t="shared" si="48"/>
        <v>3944.599999999994</v>
      </c>
      <c r="T598" s="24"/>
      <c r="U598" s="24"/>
      <c r="V598" s="3"/>
      <c r="W598" s="25" t="s">
        <v>425</v>
      </c>
      <c r="X598" s="25" t="s">
        <v>7294</v>
      </c>
      <c r="Y598" s="25"/>
      <c r="Z598" s="25"/>
      <c r="AA598" s="25"/>
      <c r="AB598" s="3" t="str">
        <f>IF(Caja_Finanzas[[#This Row],[fecha]]&gt;0,TEXT(Caja_Finanzas[[#This Row],[fecha]],"mmmm"),0)</f>
        <v>Julio</v>
      </c>
    </row>
    <row r="599" spans="1:28" ht="24" x14ac:dyDescent="0.3">
      <c r="A599" s="2">
        <f>IF(Caja_Finanzas[[#This Row],[tipo_r]]="R",COUNTIFS($C$1:$C598,"R")+1,A598)</f>
        <v>544</v>
      </c>
      <c r="B599" s="19" t="str">
        <f t="shared" si="51"/>
        <v>C-Finanzas</v>
      </c>
      <c r="C599" s="3" t="s">
        <v>1330</v>
      </c>
      <c r="D599" s="14">
        <v>45842</v>
      </c>
      <c r="E599" s="5" t="s">
        <v>6637</v>
      </c>
      <c r="F599" s="5" t="s">
        <v>1303</v>
      </c>
      <c r="G599" s="5"/>
      <c r="H599" s="6" t="s">
        <v>425</v>
      </c>
      <c r="I599" s="6" t="s">
        <v>119</v>
      </c>
      <c r="J599" s="6">
        <v>1</v>
      </c>
      <c r="K599" s="6">
        <v>4577</v>
      </c>
      <c r="L599" s="7" t="s">
        <v>6118</v>
      </c>
      <c r="M599" s="8" t="str">
        <f>"CFI"&amp;".D"&amp;TEXT(Caja_Finanzas[[#This Row],[fecha]],"DD-MM")&amp;"-"&amp;TEXT(Caja_Finanzas[[#This Row],[item]],"0000")</f>
        <v>CFI.D04-07-0544</v>
      </c>
      <c r="N599" s="8" t="str">
        <f t="shared" si="52"/>
        <v>PEN</v>
      </c>
      <c r="O599" s="13"/>
      <c r="P599" s="13">
        <v>1355</v>
      </c>
      <c r="Q599" s="3">
        <f t="shared" si="46"/>
        <v>1355</v>
      </c>
      <c r="R599" s="3">
        <f t="shared" si="47"/>
        <v>0</v>
      </c>
      <c r="S599" s="3">
        <f t="shared" si="48"/>
        <v>5299.599999999994</v>
      </c>
      <c r="T599" s="24"/>
      <c r="U599" s="24"/>
      <c r="V599" s="3"/>
      <c r="W599" s="25" t="s">
        <v>425</v>
      </c>
      <c r="X599" s="25" t="s">
        <v>7295</v>
      </c>
      <c r="Y599" s="25"/>
      <c r="Z599" s="25"/>
      <c r="AA599" s="25"/>
      <c r="AB599" s="3" t="str">
        <f>IF(Caja_Finanzas[[#This Row],[fecha]]&gt;0,TEXT(Caja_Finanzas[[#This Row],[fecha]],"mmmm"),0)</f>
        <v>Julio</v>
      </c>
    </row>
    <row r="600" spans="1:28" ht="24" x14ac:dyDescent="0.3">
      <c r="A600" s="2">
        <f>IF(Caja_Finanzas[[#This Row],[tipo_r]]="R",COUNTIFS($C$1:$C599,"R")+1,A599)</f>
        <v>545</v>
      </c>
      <c r="B600" s="19" t="str">
        <f t="shared" si="51"/>
        <v>C-Finanzas</v>
      </c>
      <c r="C600" s="3" t="s">
        <v>1330</v>
      </c>
      <c r="D600" s="14">
        <v>45842</v>
      </c>
      <c r="E600" s="5" t="s">
        <v>2502</v>
      </c>
      <c r="F600" s="5" t="s">
        <v>1303</v>
      </c>
      <c r="G600" s="5"/>
      <c r="H600" s="6" t="s">
        <v>425</v>
      </c>
      <c r="I600" s="6" t="s">
        <v>119</v>
      </c>
      <c r="J600" s="6">
        <v>1</v>
      </c>
      <c r="K600" s="6">
        <v>4571</v>
      </c>
      <c r="L600" s="7" t="s">
        <v>6118</v>
      </c>
      <c r="M600" s="8" t="str">
        <f>"CFI"&amp;".D"&amp;TEXT(Caja_Finanzas[[#This Row],[fecha]],"DD-MM")&amp;"-"&amp;TEXT(Caja_Finanzas[[#This Row],[item]],"0000")</f>
        <v>CFI.D04-07-0545</v>
      </c>
      <c r="N600" s="8" t="str">
        <f t="shared" si="52"/>
        <v>PEN</v>
      </c>
      <c r="O600" s="13"/>
      <c r="P600" s="13">
        <v>1000</v>
      </c>
      <c r="Q600" s="3">
        <f t="shared" si="46"/>
        <v>1000</v>
      </c>
      <c r="R600" s="3">
        <f t="shared" si="47"/>
        <v>0</v>
      </c>
      <c r="S600" s="3">
        <f t="shared" si="48"/>
        <v>6299.599999999994</v>
      </c>
      <c r="T600" s="24"/>
      <c r="U600" s="24"/>
      <c r="V600" s="3"/>
      <c r="W600" s="25" t="s">
        <v>425</v>
      </c>
      <c r="X600" s="25" t="s">
        <v>7296</v>
      </c>
      <c r="Y600" s="25"/>
      <c r="Z600" s="25"/>
      <c r="AA600" s="25"/>
      <c r="AB600" s="3" t="str">
        <f>IF(Caja_Finanzas[[#This Row],[fecha]]&gt;0,TEXT(Caja_Finanzas[[#This Row],[fecha]],"mmmm"),0)</f>
        <v>Julio</v>
      </c>
    </row>
    <row r="601" spans="1:28" ht="36" x14ac:dyDescent="0.3">
      <c r="A601" s="2">
        <f>IF(Caja_Finanzas[[#This Row],[tipo_r]]="R",COUNTIFS($C$1:$C600,"R")+1,A600)</f>
        <v>546</v>
      </c>
      <c r="B601" s="19" t="str">
        <f t="shared" si="51"/>
        <v>C-Finanzas</v>
      </c>
      <c r="C601" s="3" t="s">
        <v>1330</v>
      </c>
      <c r="D601" s="14">
        <v>45842</v>
      </c>
      <c r="E601" s="5" t="s">
        <v>7297</v>
      </c>
      <c r="F601" s="5" t="s">
        <v>1303</v>
      </c>
      <c r="G601" s="5"/>
      <c r="H601" s="6" t="s">
        <v>425</v>
      </c>
      <c r="I601" s="6" t="s">
        <v>119</v>
      </c>
      <c r="J601" s="6">
        <v>1</v>
      </c>
      <c r="K601" s="6">
        <v>4566</v>
      </c>
      <c r="L601" s="7" t="s">
        <v>6118</v>
      </c>
      <c r="M601" s="8" t="str">
        <f>"CFI"&amp;".D"&amp;TEXT(Caja_Finanzas[[#This Row],[fecha]],"DD-MM")&amp;"-"&amp;TEXT(Caja_Finanzas[[#This Row],[item]],"0000")</f>
        <v>CFI.D04-07-0546</v>
      </c>
      <c r="N601" s="8" t="str">
        <f t="shared" si="52"/>
        <v>PEN</v>
      </c>
      <c r="O601" s="13"/>
      <c r="P601" s="13">
        <v>150</v>
      </c>
      <c r="Q601" s="3">
        <f t="shared" si="46"/>
        <v>150</v>
      </c>
      <c r="R601" s="3">
        <f t="shared" si="47"/>
        <v>0</v>
      </c>
      <c r="S601" s="3">
        <f t="shared" si="48"/>
        <v>6449.599999999994</v>
      </c>
      <c r="T601" s="24"/>
      <c r="U601" s="24"/>
      <c r="V601" s="3"/>
      <c r="W601" s="25" t="s">
        <v>425</v>
      </c>
      <c r="X601" s="25" t="s">
        <v>7298</v>
      </c>
      <c r="Y601" s="25"/>
      <c r="Z601" s="25"/>
      <c r="AA601" s="25"/>
      <c r="AB601" s="3" t="str">
        <f>IF(Caja_Finanzas[[#This Row],[fecha]]&gt;0,TEXT(Caja_Finanzas[[#This Row],[fecha]],"mmmm"),0)</f>
        <v>Julio</v>
      </c>
    </row>
    <row r="602" spans="1:28" ht="36" x14ac:dyDescent="0.3">
      <c r="A602" s="2">
        <f>IF(Caja_Finanzas[[#This Row],[tipo_r]]="R",COUNTIFS($C$1:$C601,"R")+1,A601)</f>
        <v>547</v>
      </c>
      <c r="B602" s="19" t="str">
        <f t="shared" ref="B602:B609" si="53">"C-Finanzas"</f>
        <v>C-Finanzas</v>
      </c>
      <c r="C602" s="3" t="s">
        <v>1330</v>
      </c>
      <c r="D602" s="14">
        <v>45846</v>
      </c>
      <c r="E602" s="5" t="s">
        <v>6550</v>
      </c>
      <c r="F602" s="5" t="s">
        <v>1336</v>
      </c>
      <c r="G602" s="5"/>
      <c r="H602" s="134" t="s">
        <v>1009</v>
      </c>
      <c r="I602" s="6" t="s">
        <v>115</v>
      </c>
      <c r="J602" s="6" t="s">
        <v>7299</v>
      </c>
      <c r="K602" s="6">
        <v>121</v>
      </c>
      <c r="L602" s="7" t="s">
        <v>7300</v>
      </c>
      <c r="M602" s="8" t="str">
        <f>"CFI"&amp;".D"&amp;TEXT(Caja_Finanzas[[#This Row],[fecha]],"DD-MM")&amp;"-"&amp;TEXT(Caja_Finanzas[[#This Row],[item]],"0000")</f>
        <v>CFI.D08-07-0547</v>
      </c>
      <c r="N602" s="8" t="str">
        <f t="shared" ref="N602:N609" si="54">"PEN"</f>
        <v>PEN</v>
      </c>
      <c r="O602" s="13"/>
      <c r="P602" s="13">
        <v>2402</v>
      </c>
      <c r="Q602" s="3">
        <f t="shared" si="46"/>
        <v>0</v>
      </c>
      <c r="R602" s="3">
        <f t="shared" si="47"/>
        <v>2402</v>
      </c>
      <c r="S602" s="3">
        <f t="shared" si="48"/>
        <v>4047.599999999994</v>
      </c>
      <c r="T602" s="24"/>
      <c r="U602" s="24"/>
      <c r="V602" s="3"/>
      <c r="W602" s="25" t="s">
        <v>6641</v>
      </c>
      <c r="X602" s="25" t="s">
        <v>7301</v>
      </c>
      <c r="Y602" s="25"/>
      <c r="Z602" s="25"/>
      <c r="AA602" s="25"/>
      <c r="AB602" s="3" t="str">
        <f>IF(Caja_Finanzas[[#This Row],[fecha]]&gt;0,TEXT(Caja_Finanzas[[#This Row],[fecha]],"mmmm"),0)</f>
        <v>Julio</v>
      </c>
    </row>
    <row r="603" spans="1:28" ht="24" x14ac:dyDescent="0.3">
      <c r="A603" s="129">
        <f>IF(Caja_Finanzas[[#This Row],[tipo_r]]="R",COUNTIFS($C$1:$C602,"R")+1,A602)</f>
        <v>548</v>
      </c>
      <c r="B603" s="19" t="str">
        <f t="shared" si="53"/>
        <v>C-Finanzas</v>
      </c>
      <c r="C603" s="3" t="s">
        <v>1330</v>
      </c>
      <c r="D603" s="14">
        <v>45846</v>
      </c>
      <c r="E603" s="5" t="s">
        <v>5828</v>
      </c>
      <c r="F603" s="5" t="s">
        <v>1336</v>
      </c>
      <c r="G603" s="5"/>
      <c r="H603" s="134" t="s">
        <v>1009</v>
      </c>
      <c r="I603" s="6" t="s">
        <v>115</v>
      </c>
      <c r="J603" s="6" t="s">
        <v>7302</v>
      </c>
      <c r="K603" s="6">
        <v>45</v>
      </c>
      <c r="L603" s="7" t="s">
        <v>7303</v>
      </c>
      <c r="M603" s="8" t="str">
        <f>"CFI"&amp;".D"&amp;TEXT(Caja_Finanzas[[#This Row],[fecha]],"DD-MM")&amp;"-"&amp;TEXT(Caja_Finanzas[[#This Row],[item]],"0000")</f>
        <v>CFI.D08-07-0548</v>
      </c>
      <c r="N603" s="8" t="str">
        <f t="shared" si="54"/>
        <v>PEN</v>
      </c>
      <c r="O603" s="13"/>
      <c r="P603" s="13">
        <v>6.5</v>
      </c>
      <c r="Q603" s="3">
        <f t="shared" si="46"/>
        <v>0</v>
      </c>
      <c r="R603" s="3">
        <f t="shared" si="47"/>
        <v>6.5</v>
      </c>
      <c r="S603" s="3">
        <f t="shared" si="48"/>
        <v>4041.099999999994</v>
      </c>
      <c r="T603" s="24"/>
      <c r="U603" s="24"/>
      <c r="V603" s="3"/>
      <c r="W603" s="25" t="s">
        <v>6709</v>
      </c>
      <c r="X603" s="25"/>
      <c r="Y603" s="25"/>
      <c r="Z603" s="25"/>
      <c r="AA603" s="25"/>
      <c r="AB603" s="3" t="str">
        <f>IF(Caja_Finanzas[[#This Row],[fecha]]&gt;0,TEXT(Caja_Finanzas[[#This Row],[fecha]],"mmmm"),0)</f>
        <v>Julio</v>
      </c>
    </row>
    <row r="604" spans="1:28" ht="24" x14ac:dyDescent="0.3">
      <c r="A604" s="2">
        <f>IF(Caja_Finanzas[[#This Row],[tipo_r]]="R",COUNTIFS($C$1:$C603,"R")+1,A603)</f>
        <v>549</v>
      </c>
      <c r="B604" s="19" t="str">
        <f t="shared" si="53"/>
        <v>C-Finanzas</v>
      </c>
      <c r="C604" s="3" t="s">
        <v>1330</v>
      </c>
      <c r="D604" s="14">
        <v>45846</v>
      </c>
      <c r="E604" s="5" t="s">
        <v>4104</v>
      </c>
      <c r="F604" s="5" t="s">
        <v>1303</v>
      </c>
      <c r="G604" s="5"/>
      <c r="H604" s="6" t="s">
        <v>425</v>
      </c>
      <c r="I604" s="6" t="s">
        <v>119</v>
      </c>
      <c r="J604" s="6">
        <v>1</v>
      </c>
      <c r="K604" s="6">
        <v>4459</v>
      </c>
      <c r="L604" s="7" t="s">
        <v>6118</v>
      </c>
      <c r="M604" s="8" t="str">
        <f>"CFI"&amp;".D"&amp;TEXT(Caja_Finanzas[[#This Row],[fecha]],"DD-MM")&amp;"-"&amp;TEXT(Caja_Finanzas[[#This Row],[item]],"0000")</f>
        <v>CFI.D08-07-0549</v>
      </c>
      <c r="N604" s="8" t="str">
        <f t="shared" si="54"/>
        <v>PEN</v>
      </c>
      <c r="O604" s="13"/>
      <c r="P604" s="13">
        <v>314.39999999999998</v>
      </c>
      <c r="Q604" s="3">
        <f t="shared" si="46"/>
        <v>314.39999999999998</v>
      </c>
      <c r="R604" s="3">
        <f t="shared" si="47"/>
        <v>0</v>
      </c>
      <c r="S604" s="3">
        <f t="shared" si="48"/>
        <v>4355.4999999999936</v>
      </c>
      <c r="T604" s="24"/>
      <c r="U604" s="24"/>
      <c r="V604" s="3"/>
      <c r="W604" s="25"/>
      <c r="X604" s="25"/>
      <c r="Y604" s="25"/>
      <c r="Z604" s="25"/>
      <c r="AA604" s="25"/>
      <c r="AB604" s="3" t="str">
        <f>IF(Caja_Finanzas[[#This Row],[fecha]]&gt;0,TEXT(Caja_Finanzas[[#This Row],[fecha]],"mmmm"),0)</f>
        <v>Julio</v>
      </c>
    </row>
    <row r="605" spans="1:28" ht="24" x14ac:dyDescent="0.3">
      <c r="A605" s="2">
        <f>IF(Caja_Finanzas[[#This Row],[tipo_r]]="R",COUNTIFS($C$1:$C604,"R")+1,A604)</f>
        <v>550</v>
      </c>
      <c r="B605" s="19" t="str">
        <f t="shared" si="53"/>
        <v>C-Finanzas</v>
      </c>
      <c r="C605" s="3" t="s">
        <v>1330</v>
      </c>
      <c r="D605" s="14">
        <v>45846</v>
      </c>
      <c r="E605" s="5" t="s">
        <v>3011</v>
      </c>
      <c r="F605" s="5" t="s">
        <v>1303</v>
      </c>
      <c r="G605" s="5"/>
      <c r="H605" s="6" t="s">
        <v>425</v>
      </c>
      <c r="I605" s="6" t="s">
        <v>119</v>
      </c>
      <c r="J605" s="6">
        <v>1</v>
      </c>
      <c r="K605" s="6">
        <v>4579</v>
      </c>
      <c r="L605" s="7" t="s">
        <v>6118</v>
      </c>
      <c r="M605" s="8" t="str">
        <f>"CFI"&amp;".D"&amp;TEXT(Caja_Finanzas[[#This Row],[fecha]],"DD-MM")&amp;"-"&amp;TEXT(Caja_Finanzas[[#This Row],[item]],"0000")</f>
        <v>CFI.D08-07-0550</v>
      </c>
      <c r="N605" s="8" t="str">
        <f t="shared" si="54"/>
        <v>PEN</v>
      </c>
      <c r="O605" s="13"/>
      <c r="P605" s="13">
        <v>16</v>
      </c>
      <c r="Q605" s="3">
        <f t="shared" si="46"/>
        <v>16</v>
      </c>
      <c r="R605" s="3">
        <f t="shared" si="47"/>
        <v>0</v>
      </c>
      <c r="S605" s="3">
        <f t="shared" si="48"/>
        <v>4371.4999999999936</v>
      </c>
      <c r="T605" s="24"/>
      <c r="U605" s="24"/>
      <c r="V605" s="3"/>
      <c r="W605" s="25"/>
      <c r="X605" s="25"/>
      <c r="Y605" s="25"/>
      <c r="Z605" s="25"/>
      <c r="AA605" s="25"/>
      <c r="AB605" s="3" t="str">
        <f>IF(Caja_Finanzas[[#This Row],[fecha]]&gt;0,TEXT(Caja_Finanzas[[#This Row],[fecha]],"mmmm"),0)</f>
        <v>Julio</v>
      </c>
    </row>
    <row r="606" spans="1:28" ht="24" x14ac:dyDescent="0.3">
      <c r="A606" s="2">
        <f>IF(Caja_Finanzas[[#This Row],[tipo_r]]="R",COUNTIFS($C$1:$C605,"R")+1,A605)</f>
        <v>551</v>
      </c>
      <c r="B606" s="19" t="str">
        <f t="shared" si="53"/>
        <v>C-Finanzas</v>
      </c>
      <c r="C606" s="3" t="s">
        <v>1330</v>
      </c>
      <c r="D606" s="14">
        <v>45846</v>
      </c>
      <c r="E606" s="5" t="s">
        <v>6149</v>
      </c>
      <c r="F606" s="5" t="s">
        <v>1336</v>
      </c>
      <c r="G606" s="5"/>
      <c r="H606" s="134" t="s">
        <v>1009</v>
      </c>
      <c r="I606" s="6" t="s">
        <v>115</v>
      </c>
      <c r="J606" s="6" t="s">
        <v>7304</v>
      </c>
      <c r="K606" s="6">
        <v>1</v>
      </c>
      <c r="L606" s="7" t="s">
        <v>7305</v>
      </c>
      <c r="M606" s="8" t="str">
        <f>"CFI"&amp;".D"&amp;TEXT(Caja_Finanzas[[#This Row],[fecha]],"DD-MM")&amp;"-"&amp;TEXT(Caja_Finanzas[[#This Row],[item]],"0000")</f>
        <v>CFI.D08-07-0551</v>
      </c>
      <c r="N606" s="8" t="str">
        <f t="shared" si="54"/>
        <v>PEN</v>
      </c>
      <c r="O606" s="13"/>
      <c r="P606" s="13">
        <v>12.4</v>
      </c>
      <c r="Q606" s="3">
        <f t="shared" si="46"/>
        <v>0</v>
      </c>
      <c r="R606" s="3">
        <f t="shared" si="47"/>
        <v>12.4</v>
      </c>
      <c r="S606" s="3">
        <f t="shared" si="48"/>
        <v>4359.099999999994</v>
      </c>
      <c r="T606" s="24"/>
      <c r="U606" s="24"/>
      <c r="V606" s="3"/>
      <c r="W606" s="25"/>
      <c r="X606" s="25"/>
      <c r="Y606" s="25"/>
      <c r="Z606" s="25"/>
      <c r="AA606" s="25"/>
      <c r="AB606" s="3" t="str">
        <f>IF(Caja_Finanzas[[#This Row],[fecha]]&gt;0,TEXT(Caja_Finanzas[[#This Row],[fecha]],"mmmm"),0)</f>
        <v>Julio</v>
      </c>
    </row>
    <row r="607" spans="1:28" x14ac:dyDescent="0.3">
      <c r="A607" s="2">
        <f>IF(Caja_Finanzas[[#This Row],[tipo_r]]="R",COUNTIFS($C$1:$C606,"R")+1,A606)</f>
        <v>552</v>
      </c>
      <c r="B607" s="19" t="str">
        <f t="shared" si="53"/>
        <v>C-Finanzas</v>
      </c>
      <c r="C607" s="3" t="s">
        <v>1330</v>
      </c>
      <c r="D607" s="14">
        <v>45847</v>
      </c>
      <c r="E607" s="5" t="s">
        <v>7306</v>
      </c>
      <c r="F607" s="5" t="s">
        <v>1303</v>
      </c>
      <c r="G607" s="5"/>
      <c r="H607" s="6"/>
      <c r="I607" s="6" t="s">
        <v>119</v>
      </c>
      <c r="J607" s="6">
        <v>1</v>
      </c>
      <c r="K607" s="6">
        <v>4586</v>
      </c>
      <c r="L607" s="7" t="s">
        <v>6118</v>
      </c>
      <c r="M607" s="8" t="str">
        <f>"CFI"&amp;".D"&amp;TEXT(Caja_Finanzas[[#This Row],[fecha]],"DD-MM")&amp;"-"&amp;TEXT(Caja_Finanzas[[#This Row],[item]],"0000")</f>
        <v>CFI.D09-07-0552</v>
      </c>
      <c r="N607" s="8" t="str">
        <f t="shared" si="54"/>
        <v>PEN</v>
      </c>
      <c r="O607" s="13"/>
      <c r="P607" s="13">
        <v>132</v>
      </c>
      <c r="Q607" s="3">
        <f t="shared" si="46"/>
        <v>132</v>
      </c>
      <c r="R607" s="3">
        <f t="shared" si="47"/>
        <v>0</v>
      </c>
      <c r="S607" s="3">
        <f t="shared" si="48"/>
        <v>4491.099999999994</v>
      </c>
      <c r="T607" s="24"/>
      <c r="U607" s="24"/>
      <c r="V607" s="3"/>
      <c r="W607" s="25"/>
      <c r="X607" s="25"/>
      <c r="Y607" s="25"/>
      <c r="Z607" s="25"/>
      <c r="AA607" s="25"/>
      <c r="AB607" s="3" t="str">
        <f>IF(Caja_Finanzas[[#This Row],[fecha]]&gt;0,TEXT(Caja_Finanzas[[#This Row],[fecha]],"mmmm"),0)</f>
        <v>Julio</v>
      </c>
    </row>
    <row r="608" spans="1:28" ht="36" x14ac:dyDescent="0.3">
      <c r="A608" s="2">
        <f>IF(Caja_Finanzas[[#This Row],[tipo_r]]="R",COUNTIFS($C$1:$C607,"R")+1,A607)</f>
        <v>553</v>
      </c>
      <c r="B608" s="19" t="str">
        <f t="shared" si="53"/>
        <v>C-Finanzas</v>
      </c>
      <c r="C608" s="3" t="s">
        <v>1330</v>
      </c>
      <c r="D608" s="14">
        <v>45847</v>
      </c>
      <c r="E608" s="5" t="s">
        <v>7307</v>
      </c>
      <c r="F608" s="5" t="s">
        <v>1303</v>
      </c>
      <c r="G608" s="5"/>
      <c r="H608" s="6"/>
      <c r="I608" s="6" t="s">
        <v>119</v>
      </c>
      <c r="J608" s="6">
        <v>1</v>
      </c>
      <c r="K608" s="6">
        <v>4584</v>
      </c>
      <c r="L608" s="7" t="s">
        <v>6118</v>
      </c>
      <c r="M608" s="8" t="str">
        <f>"CFI"&amp;".D"&amp;TEXT(Caja_Finanzas[[#This Row],[fecha]],"DD-MM")&amp;"-"&amp;TEXT(Caja_Finanzas[[#This Row],[item]],"0000")</f>
        <v>CFI.D09-07-0553</v>
      </c>
      <c r="N608" s="8" t="str">
        <f t="shared" si="54"/>
        <v>PEN</v>
      </c>
      <c r="O608" s="13"/>
      <c r="P608" s="13">
        <v>140</v>
      </c>
      <c r="Q608" s="3">
        <f t="shared" si="46"/>
        <v>140</v>
      </c>
      <c r="R608" s="3">
        <f t="shared" si="47"/>
        <v>0</v>
      </c>
      <c r="S608" s="3">
        <f t="shared" si="48"/>
        <v>4631.099999999994</v>
      </c>
      <c r="T608" s="24"/>
      <c r="U608" s="24"/>
      <c r="V608" s="3"/>
      <c r="W608" s="25"/>
      <c r="X608" s="25"/>
      <c r="Y608" s="25"/>
      <c r="Z608" s="25"/>
      <c r="AA608" s="25"/>
      <c r="AB608" s="3" t="str">
        <f>IF(Caja_Finanzas[[#This Row],[fecha]]&gt;0,TEXT(Caja_Finanzas[[#This Row],[fecha]],"mmmm"),0)</f>
        <v>Julio</v>
      </c>
    </row>
    <row r="609" spans="1:28" x14ac:dyDescent="0.3">
      <c r="A609" s="2">
        <f>IF(Caja_Finanzas[[#This Row],[tipo_r]]="R",COUNTIFS($C$1:$C608,"R")+1,A608)</f>
        <v>554</v>
      </c>
      <c r="B609" s="19" t="str">
        <f t="shared" si="53"/>
        <v>C-Finanzas</v>
      </c>
      <c r="C609" s="3" t="s">
        <v>1330</v>
      </c>
      <c r="D609" s="14">
        <v>45847</v>
      </c>
      <c r="E609" s="5" t="s">
        <v>1498</v>
      </c>
      <c r="F609" s="5" t="s">
        <v>1303</v>
      </c>
      <c r="G609" s="5"/>
      <c r="H609" s="6"/>
      <c r="I609" s="6" t="s">
        <v>119</v>
      </c>
      <c r="J609" s="6">
        <v>1</v>
      </c>
      <c r="K609" s="6">
        <v>4585</v>
      </c>
      <c r="L609" s="7" t="s">
        <v>6118</v>
      </c>
      <c r="M609" s="8" t="str">
        <f>"CFI"&amp;".D"&amp;TEXT(Caja_Finanzas[[#This Row],[fecha]],"DD-MM")&amp;"-"&amp;TEXT(Caja_Finanzas[[#This Row],[item]],"0000")</f>
        <v>CFI.D09-07-0554</v>
      </c>
      <c r="N609" s="8" t="str">
        <f t="shared" si="54"/>
        <v>PEN</v>
      </c>
      <c r="O609" s="13"/>
      <c r="P609" s="13">
        <v>51</v>
      </c>
      <c r="Q609" s="3">
        <f t="shared" si="46"/>
        <v>51</v>
      </c>
      <c r="R609" s="3">
        <f t="shared" si="47"/>
        <v>0</v>
      </c>
      <c r="S609" s="3">
        <f t="shared" si="48"/>
        <v>4682.099999999994</v>
      </c>
      <c r="T609" s="24"/>
      <c r="U609" s="24"/>
      <c r="V609" s="3"/>
      <c r="W609" s="25"/>
      <c r="X609" s="25"/>
      <c r="Y609" s="25"/>
      <c r="Z609" s="25"/>
      <c r="AA609" s="25"/>
      <c r="AB609" s="3" t="str">
        <f>IF(Caja_Finanzas[[#This Row],[fecha]]&gt;0,TEXT(Caja_Finanzas[[#This Row],[fecha]],"mmmm"),0)</f>
        <v>Julio</v>
      </c>
    </row>
    <row r="610" spans="1:28" ht="24" x14ac:dyDescent="0.3">
      <c r="A610" s="2">
        <f>IF(Caja_Finanzas[[#This Row],[tipo_r]]="R",COUNTIFS($C$1:$C609,"R")+1,A609)</f>
        <v>555</v>
      </c>
      <c r="B610" s="19" t="str">
        <f>"C-Finanzas"</f>
        <v>C-Finanzas</v>
      </c>
      <c r="C610" s="3" t="s">
        <v>1330</v>
      </c>
      <c r="D610" s="14">
        <v>45847</v>
      </c>
      <c r="E610" s="5" t="s">
        <v>1875</v>
      </c>
      <c r="F610" s="5" t="s">
        <v>1303</v>
      </c>
      <c r="G610" s="5"/>
      <c r="H610" s="6"/>
      <c r="I610" s="6" t="s">
        <v>119</v>
      </c>
      <c r="J610" s="6">
        <v>1</v>
      </c>
      <c r="K610" s="6">
        <v>4589</v>
      </c>
      <c r="L610" s="7" t="s">
        <v>6118</v>
      </c>
      <c r="M610" s="8" t="str">
        <f>"CFI"&amp;".D"&amp;TEXT(Caja_Finanzas[[#This Row],[fecha]],"DD-MM")&amp;"-"&amp;TEXT(Caja_Finanzas[[#This Row],[item]],"0000")</f>
        <v>CFI.D09-07-0555</v>
      </c>
      <c r="N610" s="8" t="str">
        <f>"PEN"</f>
        <v>PEN</v>
      </c>
      <c r="O610" s="13"/>
      <c r="P610" s="13">
        <v>2115</v>
      </c>
      <c r="Q610" s="3">
        <f t="shared" si="46"/>
        <v>2115</v>
      </c>
      <c r="R610" s="3">
        <f t="shared" si="47"/>
        <v>0</v>
      </c>
      <c r="S610" s="3">
        <f t="shared" si="48"/>
        <v>6797.099999999994</v>
      </c>
      <c r="T610" s="24"/>
      <c r="U610" s="24"/>
      <c r="V610" s="3"/>
      <c r="W610" s="25"/>
      <c r="X610" s="25"/>
      <c r="Y610" s="25"/>
      <c r="Z610" s="25"/>
      <c r="AA610" s="25"/>
      <c r="AB610" s="3" t="str">
        <f>IF(Caja_Finanzas[[#This Row],[fecha]]&gt;0,TEXT(Caja_Finanzas[[#This Row],[fecha]],"mmmm"),0)</f>
        <v>Julio</v>
      </c>
    </row>
    <row r="611" spans="1:28" ht="24" x14ac:dyDescent="0.3">
      <c r="A611" s="2">
        <f>IF(Caja_Finanzas[[#This Row],[tipo_r]]="R",COUNTIFS($C$1:$C610,"R")+1,A610)</f>
        <v>556</v>
      </c>
      <c r="B611" s="19" t="str">
        <f>"C-Finanzas"</f>
        <v>C-Finanzas</v>
      </c>
      <c r="C611" s="3" t="s">
        <v>1330</v>
      </c>
      <c r="D611" s="14">
        <v>45847</v>
      </c>
      <c r="E611" s="5" t="s">
        <v>6460</v>
      </c>
      <c r="F611" s="5" t="s">
        <v>1336</v>
      </c>
      <c r="G611" s="5"/>
      <c r="H611" s="6"/>
      <c r="I611" s="6" t="s">
        <v>126</v>
      </c>
      <c r="J611" s="6"/>
      <c r="K611" s="6" t="s">
        <v>7308</v>
      </c>
      <c r="L611" s="7" t="s">
        <v>7309</v>
      </c>
      <c r="M611" s="8" t="str">
        <f>"CFI"&amp;".D"&amp;TEXT(Caja_Finanzas[[#This Row],[fecha]],"DD-MM")&amp;"-"&amp;TEXT(Caja_Finanzas[[#This Row],[item]],"0000")</f>
        <v>CFI.D09-07-0556</v>
      </c>
      <c r="N611" s="8" t="str">
        <f>"PEN"</f>
        <v>PEN</v>
      </c>
      <c r="O611" s="13"/>
      <c r="P611" s="13">
        <v>5</v>
      </c>
      <c r="Q611" s="3">
        <f t="shared" si="46"/>
        <v>0</v>
      </c>
      <c r="R611" s="3">
        <f t="shared" si="47"/>
        <v>5</v>
      </c>
      <c r="S611" s="3">
        <f t="shared" si="48"/>
        <v>6792.099999999994</v>
      </c>
      <c r="T611" s="24"/>
      <c r="U611" s="24"/>
      <c r="V611" s="3"/>
      <c r="W611" s="25"/>
      <c r="X611" s="25"/>
      <c r="Y611" s="25"/>
      <c r="Z611" s="25"/>
      <c r="AA611" s="25"/>
      <c r="AB611" s="3" t="str">
        <f>IF(Caja_Finanzas[[#This Row],[fecha]]&gt;0,TEXT(Caja_Finanzas[[#This Row],[fecha]],"mmmm"),0)</f>
        <v>Julio</v>
      </c>
    </row>
    <row r="612" spans="1:28" ht="24" x14ac:dyDescent="0.3">
      <c r="A612" s="2">
        <f>IF(Caja_Finanzas[[#This Row],[tipo_r]]="R",COUNTIFS($C$1:$C611,"R")+1,A611)</f>
        <v>557</v>
      </c>
      <c r="B612" s="19" t="str">
        <f t="shared" ref="B612:B613" si="55">"C-Finanzas"</f>
        <v>C-Finanzas</v>
      </c>
      <c r="C612" s="3" t="s">
        <v>1330</v>
      </c>
      <c r="D612" s="14">
        <v>45848</v>
      </c>
      <c r="E612" s="5" t="s">
        <v>6731</v>
      </c>
      <c r="F612" s="5" t="s">
        <v>1336</v>
      </c>
      <c r="G612" s="5"/>
      <c r="H612" s="134" t="s">
        <v>1009</v>
      </c>
      <c r="I612" s="6" t="s">
        <v>115</v>
      </c>
      <c r="J612" s="6" t="s">
        <v>7187</v>
      </c>
      <c r="K612" s="6">
        <v>128</v>
      </c>
      <c r="L612" s="7" t="s">
        <v>7310</v>
      </c>
      <c r="M612" s="8" t="str">
        <f>"CFI"&amp;".D"&amp;TEXT(Caja_Finanzas[[#This Row],[fecha]],"DD-MM")&amp;"-"&amp;TEXT(Caja_Finanzas[[#This Row],[item]],"0000")</f>
        <v>CFI.D10-07-0557</v>
      </c>
      <c r="N612" s="8" t="str">
        <f t="shared" ref="N612:N613" si="56">"PEN"</f>
        <v>PEN</v>
      </c>
      <c r="O612" s="13"/>
      <c r="P612" s="13">
        <v>20</v>
      </c>
      <c r="Q612" s="3">
        <f t="shared" si="46"/>
        <v>0</v>
      </c>
      <c r="R612" s="3">
        <f t="shared" si="47"/>
        <v>20</v>
      </c>
      <c r="S612" s="3">
        <f t="shared" si="48"/>
        <v>6772.099999999994</v>
      </c>
      <c r="T612" s="24"/>
      <c r="U612" s="24"/>
      <c r="V612" s="3"/>
      <c r="W612" s="25"/>
      <c r="X612" s="25"/>
      <c r="Y612" s="25"/>
      <c r="Z612" s="25"/>
      <c r="AA612" s="25"/>
      <c r="AB612" s="3" t="str">
        <f>IF(Caja_Finanzas[[#This Row],[fecha]]&gt;0,TEXT(Caja_Finanzas[[#This Row],[fecha]],"mmmm"),0)</f>
        <v>Julio</v>
      </c>
    </row>
    <row r="613" spans="1:28" ht="24" x14ac:dyDescent="0.3">
      <c r="A613" s="2">
        <f>IF(Caja_Finanzas[[#This Row],[tipo_r]]="R",COUNTIFS($C$1:$C612,"R")+1,A612)</f>
        <v>558</v>
      </c>
      <c r="B613" s="19" t="str">
        <f t="shared" si="55"/>
        <v>C-Finanzas</v>
      </c>
      <c r="C613" s="3" t="s">
        <v>1330</v>
      </c>
      <c r="D613" s="14">
        <v>45848</v>
      </c>
      <c r="E613" s="5" t="s">
        <v>6731</v>
      </c>
      <c r="F613" s="5" t="s">
        <v>1336</v>
      </c>
      <c r="G613" s="5"/>
      <c r="H613" s="134" t="s">
        <v>1009</v>
      </c>
      <c r="I613" s="6" t="s">
        <v>115</v>
      </c>
      <c r="J613" s="6" t="s">
        <v>7187</v>
      </c>
      <c r="K613" s="6">
        <v>124</v>
      </c>
      <c r="L613" s="7" t="s">
        <v>7311</v>
      </c>
      <c r="M613" s="8" t="str">
        <f>"CFI"&amp;".D"&amp;TEXT(Caja_Finanzas[[#This Row],[fecha]],"DD-MM")&amp;"-"&amp;TEXT(Caja_Finanzas[[#This Row],[item]],"0000")</f>
        <v>CFI.D10-07-0558</v>
      </c>
      <c r="N613" s="8" t="str">
        <f t="shared" si="56"/>
        <v>PEN</v>
      </c>
      <c r="O613" s="13"/>
      <c r="P613" s="13">
        <v>25</v>
      </c>
      <c r="Q613" s="3">
        <f t="shared" si="46"/>
        <v>0</v>
      </c>
      <c r="R613" s="3">
        <f t="shared" si="47"/>
        <v>25</v>
      </c>
      <c r="S613" s="3">
        <f t="shared" si="48"/>
        <v>6747.099999999994</v>
      </c>
      <c r="T613" s="24"/>
      <c r="U613" s="24"/>
      <c r="V613" s="3"/>
      <c r="W613" s="25"/>
      <c r="X613" s="25"/>
      <c r="Y613" s="25"/>
      <c r="Z613" s="25"/>
      <c r="AA613" s="25"/>
      <c r="AB613" s="3" t="str">
        <f>IF(Caja_Finanzas[[#This Row],[fecha]]&gt;0,TEXT(Caja_Finanzas[[#This Row],[fecha]],"mmmm"),0)</f>
        <v>Julio</v>
      </c>
    </row>
    <row r="614" spans="1:28" ht="24" x14ac:dyDescent="0.3">
      <c r="A614" s="2">
        <f>IF(Caja_Finanzas[[#This Row],[tipo_r]]="R",COUNTIFS($C$1:$C613,"R")+1,A613)</f>
        <v>559</v>
      </c>
      <c r="B614" s="19" t="str">
        <f t="shared" ref="B614:B619" si="57">"C-Finanzas"</f>
        <v>C-Finanzas</v>
      </c>
      <c r="C614" s="3" t="s">
        <v>1330</v>
      </c>
      <c r="D614" s="14">
        <v>45848</v>
      </c>
      <c r="E614" s="5" t="s">
        <v>6556</v>
      </c>
      <c r="F614" s="5" t="s">
        <v>1336</v>
      </c>
      <c r="G614" s="5"/>
      <c r="H614" s="6" t="s">
        <v>1009</v>
      </c>
      <c r="I614" s="6" t="s">
        <v>115</v>
      </c>
      <c r="J614" s="6" t="s">
        <v>7299</v>
      </c>
      <c r="K614" s="6">
        <v>122</v>
      </c>
      <c r="L614" s="7" t="s">
        <v>7312</v>
      </c>
      <c r="M614" s="8" t="str">
        <f>"CFI"&amp;".D"&amp;TEXT(Caja_Finanzas[[#This Row],[fecha]],"DD-MM")&amp;"-"&amp;TEXT(Caja_Finanzas[[#This Row],[item]],"0000")</f>
        <v>CFI.D10-07-0559</v>
      </c>
      <c r="N614" s="8" t="str">
        <f t="shared" ref="N614:N619" si="58">"PEN"</f>
        <v>PEN</v>
      </c>
      <c r="O614" s="13"/>
      <c r="P614" s="13">
        <v>300</v>
      </c>
      <c r="Q614" s="3">
        <f t="shared" si="46"/>
        <v>0</v>
      </c>
      <c r="R614" s="3">
        <f t="shared" si="47"/>
        <v>300</v>
      </c>
      <c r="S614" s="3">
        <f t="shared" si="48"/>
        <v>6447.099999999994</v>
      </c>
      <c r="T614" s="24"/>
      <c r="U614" s="24"/>
      <c r="V614" s="3"/>
      <c r="W614" s="25"/>
      <c r="X614" s="25"/>
      <c r="Y614" s="25"/>
      <c r="Z614" s="25"/>
      <c r="AA614" s="25"/>
      <c r="AB614" s="3" t="str">
        <f>IF(Caja_Finanzas[[#This Row],[fecha]]&gt;0,TEXT(Caja_Finanzas[[#This Row],[fecha]],"mmmm"),0)</f>
        <v>Julio</v>
      </c>
    </row>
    <row r="615" spans="1:28" ht="24" x14ac:dyDescent="0.3">
      <c r="A615" s="2">
        <f>IF(Caja_Finanzas[[#This Row],[tipo_r]]="R",COUNTIFS($C$1:$C614,"R")+1,A614)</f>
        <v>560</v>
      </c>
      <c r="B615" s="19" t="str">
        <f t="shared" si="57"/>
        <v>C-Finanzas</v>
      </c>
      <c r="C615" s="3" t="s">
        <v>1330</v>
      </c>
      <c r="D615" s="14">
        <v>45848</v>
      </c>
      <c r="E615" s="5" t="s">
        <v>6451</v>
      </c>
      <c r="F615" s="5" t="s">
        <v>1336</v>
      </c>
      <c r="G615" s="5"/>
      <c r="H615" s="134" t="s">
        <v>1009</v>
      </c>
      <c r="I615" s="6" t="s">
        <v>115</v>
      </c>
      <c r="J615" s="6" t="s">
        <v>7299</v>
      </c>
      <c r="K615" s="6">
        <v>123</v>
      </c>
      <c r="L615" s="7" t="s">
        <v>7313</v>
      </c>
      <c r="M615" s="8" t="str">
        <f>"CFI"&amp;".D"&amp;TEXT(Caja_Finanzas[[#This Row],[fecha]],"DD-MM")&amp;"-"&amp;TEXT(Caja_Finanzas[[#This Row],[item]],"0000")</f>
        <v>CFI.D10-07-0560</v>
      </c>
      <c r="N615" s="8" t="str">
        <f t="shared" si="58"/>
        <v>PEN</v>
      </c>
      <c r="O615" s="13"/>
      <c r="P615" s="13">
        <v>7.5</v>
      </c>
      <c r="Q615" s="3">
        <f t="shared" si="46"/>
        <v>0</v>
      </c>
      <c r="R615" s="3">
        <f t="shared" si="47"/>
        <v>7.5</v>
      </c>
      <c r="S615" s="3">
        <f t="shared" si="48"/>
        <v>6439.599999999994</v>
      </c>
      <c r="T615" s="24"/>
      <c r="U615" s="24"/>
      <c r="V615" s="3"/>
      <c r="W615" s="25"/>
      <c r="X615" s="25"/>
      <c r="Y615" s="25"/>
      <c r="Z615" s="25"/>
      <c r="AA615" s="25"/>
      <c r="AB615" s="3" t="str">
        <f>IF(Caja_Finanzas[[#This Row],[fecha]]&gt;0,TEXT(Caja_Finanzas[[#This Row],[fecha]],"mmmm"),0)</f>
        <v>Julio</v>
      </c>
    </row>
    <row r="616" spans="1:28" ht="24" x14ac:dyDescent="0.3">
      <c r="A616" s="2">
        <f>IF(Caja_Finanzas[[#This Row],[tipo_r]]="R",COUNTIFS($C$1:$C615,"R")+1,A615)</f>
        <v>561</v>
      </c>
      <c r="B616" s="19" t="str">
        <f t="shared" si="57"/>
        <v>C-Finanzas</v>
      </c>
      <c r="C616" s="3" t="s">
        <v>1330</v>
      </c>
      <c r="D616" s="14">
        <v>45848</v>
      </c>
      <c r="E616" s="5" t="s">
        <v>7255</v>
      </c>
      <c r="F616" s="5" t="s">
        <v>1303</v>
      </c>
      <c r="G616" s="5"/>
      <c r="H616" s="6"/>
      <c r="I616" s="6" t="s">
        <v>119</v>
      </c>
      <c r="J616" s="6">
        <v>1</v>
      </c>
      <c r="K616" s="6">
        <v>4330</v>
      </c>
      <c r="L616" s="7" t="s">
        <v>6118</v>
      </c>
      <c r="M616" s="8" t="str">
        <f>"CFI"&amp;".D"&amp;TEXT(Caja_Finanzas[[#This Row],[fecha]],"DD-MM")&amp;"-"&amp;TEXT(Caja_Finanzas[[#This Row],[item]],"0000")</f>
        <v>CFI.D10-07-0561</v>
      </c>
      <c r="N616" s="8" t="str">
        <f t="shared" si="58"/>
        <v>PEN</v>
      </c>
      <c r="O616" s="13"/>
      <c r="P616" s="13">
        <v>50</v>
      </c>
      <c r="Q616" s="3">
        <f t="shared" si="46"/>
        <v>50</v>
      </c>
      <c r="R616" s="3">
        <f t="shared" si="47"/>
        <v>0</v>
      </c>
      <c r="S616" s="3">
        <f t="shared" si="48"/>
        <v>6489.599999999994</v>
      </c>
      <c r="T616" s="24"/>
      <c r="U616" s="24"/>
      <c r="V616" s="3"/>
      <c r="W616" s="25"/>
      <c r="X616" s="25"/>
      <c r="Y616" s="25"/>
      <c r="Z616" s="25"/>
      <c r="AA616" s="25"/>
      <c r="AB616" s="3" t="str">
        <f>IF(Caja_Finanzas[[#This Row],[fecha]]&gt;0,TEXT(Caja_Finanzas[[#This Row],[fecha]],"mmmm"),0)</f>
        <v>Julio</v>
      </c>
    </row>
    <row r="617" spans="1:28" x14ac:dyDescent="0.3">
      <c r="A617" s="2">
        <f>IF(Caja_Finanzas[[#This Row],[tipo_r]]="R",COUNTIFS($C$1:$C616,"R")+1,A616)</f>
        <v>562</v>
      </c>
      <c r="B617" s="19" t="str">
        <f t="shared" si="57"/>
        <v>C-Finanzas</v>
      </c>
      <c r="C617" s="3" t="s">
        <v>1330</v>
      </c>
      <c r="D617" s="14">
        <v>45848</v>
      </c>
      <c r="E617" s="5" t="s">
        <v>1498</v>
      </c>
      <c r="F617" s="5" t="s">
        <v>1303</v>
      </c>
      <c r="G617" s="5"/>
      <c r="H617" s="6"/>
      <c r="I617" s="6" t="s">
        <v>119</v>
      </c>
      <c r="J617" s="6">
        <v>1</v>
      </c>
      <c r="K617" s="6">
        <v>4591</v>
      </c>
      <c r="L617" s="7" t="s">
        <v>6118</v>
      </c>
      <c r="M617" s="8" t="str">
        <f>"CFI"&amp;".D"&amp;TEXT(Caja_Finanzas[[#This Row],[fecha]],"DD-MM")&amp;"-"&amp;TEXT(Caja_Finanzas[[#This Row],[item]],"0000")</f>
        <v>CFI.D10-07-0562</v>
      </c>
      <c r="N617" s="8" t="str">
        <f t="shared" si="58"/>
        <v>PEN</v>
      </c>
      <c r="O617" s="13"/>
      <c r="P617" s="13">
        <v>350</v>
      </c>
      <c r="Q617" s="3">
        <f t="shared" si="46"/>
        <v>350</v>
      </c>
      <c r="R617" s="3">
        <f t="shared" si="47"/>
        <v>0</v>
      </c>
      <c r="S617" s="3">
        <f t="shared" si="48"/>
        <v>6839.599999999994</v>
      </c>
      <c r="T617" s="24"/>
      <c r="U617" s="24"/>
      <c r="V617" s="3"/>
      <c r="W617" s="25"/>
      <c r="X617" s="25"/>
      <c r="Y617" s="25"/>
      <c r="Z617" s="25"/>
      <c r="AA617" s="25"/>
      <c r="AB617" s="3" t="str">
        <f>IF(Caja_Finanzas[[#This Row],[fecha]]&gt;0,TEXT(Caja_Finanzas[[#This Row],[fecha]],"mmmm"),0)</f>
        <v>Julio</v>
      </c>
    </row>
    <row r="618" spans="1:28" ht="24" x14ac:dyDescent="0.3">
      <c r="A618" s="2">
        <f>IF(Caja_Finanzas[[#This Row],[tipo_r]]="R",COUNTIFS($C$1:$C617,"R")+1,A617)</f>
        <v>563</v>
      </c>
      <c r="B618" s="19" t="str">
        <f t="shared" si="57"/>
        <v>C-Finanzas</v>
      </c>
      <c r="C618" s="3" t="s">
        <v>1330</v>
      </c>
      <c r="D618" s="14">
        <v>45848</v>
      </c>
      <c r="E618" s="5" t="s">
        <v>2502</v>
      </c>
      <c r="F618" s="5" t="s">
        <v>1303</v>
      </c>
      <c r="G618" s="5"/>
      <c r="H618" s="6"/>
      <c r="I618" s="6" t="s">
        <v>119</v>
      </c>
      <c r="J618" s="6">
        <v>1</v>
      </c>
      <c r="K618" s="6">
        <v>4592</v>
      </c>
      <c r="L618" s="7" t="s">
        <v>6118</v>
      </c>
      <c r="M618" s="8" t="str">
        <f>"CFI"&amp;".D"&amp;TEXT(Caja_Finanzas[[#This Row],[fecha]],"DD-MM")&amp;"-"&amp;TEXT(Caja_Finanzas[[#This Row],[item]],"0000")</f>
        <v>CFI.D10-07-0563</v>
      </c>
      <c r="N618" s="8" t="str">
        <f t="shared" si="58"/>
        <v>PEN</v>
      </c>
      <c r="O618" s="13"/>
      <c r="P618" s="13">
        <v>2850</v>
      </c>
      <c r="Q618" s="3">
        <f t="shared" si="46"/>
        <v>2850</v>
      </c>
      <c r="R618" s="3">
        <f t="shared" si="47"/>
        <v>0</v>
      </c>
      <c r="S618" s="3">
        <f t="shared" si="48"/>
        <v>9689.5999999999949</v>
      </c>
      <c r="T618" s="24"/>
      <c r="U618" s="24"/>
      <c r="V618" s="3"/>
      <c r="W618" s="25"/>
      <c r="X618" s="25"/>
      <c r="Y618" s="25"/>
      <c r="Z618" s="25"/>
      <c r="AA618" s="25"/>
      <c r="AB618" s="3" t="str">
        <f>IF(Caja_Finanzas[[#This Row],[fecha]]&gt;0,TEXT(Caja_Finanzas[[#This Row],[fecha]],"mmmm"),0)</f>
        <v>Julio</v>
      </c>
    </row>
    <row r="619" spans="1:28" ht="24" x14ac:dyDescent="0.3">
      <c r="A619" s="2">
        <f>IF(Caja_Finanzas[[#This Row],[tipo_r]]="R",COUNTIFS($C$1:$C618,"R")+1,A618)</f>
        <v>564</v>
      </c>
      <c r="B619" s="19" t="str">
        <f t="shared" si="57"/>
        <v>C-Finanzas</v>
      </c>
      <c r="C619" s="3" t="s">
        <v>1330</v>
      </c>
      <c r="D619" s="14">
        <v>45848</v>
      </c>
      <c r="E619" s="5" t="s">
        <v>2009</v>
      </c>
      <c r="F619" s="5" t="s">
        <v>1303</v>
      </c>
      <c r="G619" s="5"/>
      <c r="H619" s="6"/>
      <c r="I619" s="6" t="s">
        <v>119</v>
      </c>
      <c r="J619" s="6">
        <v>1</v>
      </c>
      <c r="K619" s="6">
        <v>4593</v>
      </c>
      <c r="L619" s="7" t="s">
        <v>6118</v>
      </c>
      <c r="M619" s="8" t="str">
        <f>"CFI"&amp;".D"&amp;TEXT(Caja_Finanzas[[#This Row],[fecha]],"DD-MM")&amp;"-"&amp;TEXT(Caja_Finanzas[[#This Row],[item]],"0000")</f>
        <v>CFI.D10-07-0564</v>
      </c>
      <c r="N619" s="8" t="str">
        <f t="shared" si="58"/>
        <v>PEN</v>
      </c>
      <c r="O619" s="13"/>
      <c r="P619" s="13">
        <v>1314</v>
      </c>
      <c r="Q619" s="3">
        <f t="shared" si="46"/>
        <v>1314</v>
      </c>
      <c r="R619" s="3">
        <f t="shared" si="47"/>
        <v>0</v>
      </c>
      <c r="S619" s="3">
        <f t="shared" si="48"/>
        <v>11003.599999999995</v>
      </c>
      <c r="T619" s="24"/>
      <c r="U619" s="24"/>
      <c r="V619" s="3"/>
      <c r="W619" s="25"/>
      <c r="X619" s="25"/>
      <c r="Y619" s="25"/>
      <c r="Z619" s="25"/>
      <c r="AA619" s="25"/>
      <c r="AB619" s="3" t="str">
        <f>IF(Caja_Finanzas[[#This Row],[fecha]]&gt;0,TEXT(Caja_Finanzas[[#This Row],[fecha]],"mmmm"),0)</f>
        <v>Julio</v>
      </c>
    </row>
    <row r="620" spans="1:28" ht="24" x14ac:dyDescent="0.3">
      <c r="A620" s="2">
        <f>IF(Caja_Finanzas[[#This Row],[tipo_r]]="R",COUNTIFS($C$1:$C619,"R")+1,A619)</f>
        <v>565</v>
      </c>
      <c r="B620" s="19" t="str">
        <f t="shared" ref="B620:B626" si="59">"C-Finanzas"</f>
        <v>C-Finanzas</v>
      </c>
      <c r="C620" s="3" t="s">
        <v>1330</v>
      </c>
      <c r="D620" s="14">
        <v>45849</v>
      </c>
      <c r="E620" s="5" t="s">
        <v>3198</v>
      </c>
      <c r="F620" s="5" t="s">
        <v>1303</v>
      </c>
      <c r="G620" s="5"/>
      <c r="H620" s="6"/>
      <c r="I620" s="6" t="s">
        <v>119</v>
      </c>
      <c r="J620" s="6">
        <v>1</v>
      </c>
      <c r="K620" s="6">
        <v>4454</v>
      </c>
      <c r="L620" s="7" t="s">
        <v>6118</v>
      </c>
      <c r="M620" s="8" t="str">
        <f>"CFI"&amp;".D"&amp;TEXT(Caja_Finanzas[[#This Row],[fecha]],"DD-MM")&amp;"-"&amp;TEXT(Caja_Finanzas[[#This Row],[item]],"0000")</f>
        <v>CFI.D11-07-0565</v>
      </c>
      <c r="N620" s="8" t="str">
        <f t="shared" ref="N620:N626" si="60">"PEN"</f>
        <v>PEN</v>
      </c>
      <c r="O620" s="13"/>
      <c r="P620" s="13">
        <v>646</v>
      </c>
      <c r="Q620" s="3">
        <f t="shared" si="46"/>
        <v>646</v>
      </c>
      <c r="R620" s="3">
        <f t="shared" si="47"/>
        <v>0</v>
      </c>
      <c r="S620" s="3">
        <f t="shared" si="48"/>
        <v>11649.599999999995</v>
      </c>
      <c r="T620" s="24"/>
      <c r="U620" s="24"/>
      <c r="V620" s="3"/>
      <c r="W620" s="25"/>
      <c r="X620" s="25"/>
      <c r="Y620" s="25"/>
      <c r="Z620" s="25"/>
      <c r="AA620" s="25"/>
      <c r="AB620" s="3" t="str">
        <f>IF(Caja_Finanzas[[#This Row],[fecha]]&gt;0,TEXT(Caja_Finanzas[[#This Row],[fecha]],"mmmm"),0)</f>
        <v>Julio</v>
      </c>
    </row>
    <row r="621" spans="1:28" ht="24" x14ac:dyDescent="0.3">
      <c r="A621" s="2">
        <f>IF(Caja_Finanzas[[#This Row],[tipo_r]]="R",COUNTIFS($C$1:$C620,"R")+1,A620)</f>
        <v>566</v>
      </c>
      <c r="B621" s="19" t="str">
        <f t="shared" si="59"/>
        <v>C-Finanzas</v>
      </c>
      <c r="C621" s="3" t="s">
        <v>1330</v>
      </c>
      <c r="D621" s="14">
        <v>45849</v>
      </c>
      <c r="E621" s="5" t="s">
        <v>2009</v>
      </c>
      <c r="F621" s="5" t="s">
        <v>1303</v>
      </c>
      <c r="G621" s="5"/>
      <c r="H621" s="6"/>
      <c r="I621" s="6" t="s">
        <v>119</v>
      </c>
      <c r="J621" s="6">
        <v>1</v>
      </c>
      <c r="K621" s="6">
        <v>4598</v>
      </c>
      <c r="L621" s="7" t="s">
        <v>6118</v>
      </c>
      <c r="M621" s="8" t="str">
        <f>"CFI"&amp;".D"&amp;TEXT(Caja_Finanzas[[#This Row],[fecha]],"DD-MM")&amp;"-"&amp;TEXT(Caja_Finanzas[[#This Row],[item]],"0000")</f>
        <v>CFI.D11-07-0566</v>
      </c>
      <c r="N621" s="8" t="str">
        <f t="shared" si="60"/>
        <v>PEN</v>
      </c>
      <c r="O621" s="13"/>
      <c r="P621" s="13">
        <v>730</v>
      </c>
      <c r="Q621" s="3">
        <f t="shared" si="46"/>
        <v>730</v>
      </c>
      <c r="R621" s="3">
        <f t="shared" si="47"/>
        <v>0</v>
      </c>
      <c r="S621" s="3">
        <f t="shared" si="48"/>
        <v>12379.599999999995</v>
      </c>
      <c r="T621" s="24"/>
      <c r="U621" s="24"/>
      <c r="V621" s="3"/>
      <c r="W621" s="25"/>
      <c r="X621" s="25"/>
      <c r="Y621" s="25"/>
      <c r="Z621" s="25"/>
      <c r="AA621" s="25"/>
      <c r="AB621" s="3" t="str">
        <f>IF(Caja_Finanzas[[#This Row],[fecha]]&gt;0,TEXT(Caja_Finanzas[[#This Row],[fecha]],"mmmm"),0)</f>
        <v>Julio</v>
      </c>
    </row>
    <row r="622" spans="1:28" ht="24" x14ac:dyDescent="0.3">
      <c r="A622" s="2">
        <f>IF(Caja_Finanzas[[#This Row],[tipo_r]]="R",COUNTIFS($C$1:$C621,"R")+1,A621)</f>
        <v>567</v>
      </c>
      <c r="B622" s="19" t="str">
        <f t="shared" si="59"/>
        <v>C-Finanzas</v>
      </c>
      <c r="C622" s="3" t="s">
        <v>1330</v>
      </c>
      <c r="D622" s="14">
        <v>45849</v>
      </c>
      <c r="E622" s="5" t="s">
        <v>2009</v>
      </c>
      <c r="F622" s="5" t="s">
        <v>1303</v>
      </c>
      <c r="G622" s="5"/>
      <c r="H622" s="6"/>
      <c r="I622" s="6" t="s">
        <v>119</v>
      </c>
      <c r="J622" s="6">
        <v>1</v>
      </c>
      <c r="K622" s="6">
        <v>4596</v>
      </c>
      <c r="L622" s="7" t="s">
        <v>6118</v>
      </c>
      <c r="M622" s="8" t="str">
        <f>"CFI"&amp;".D"&amp;TEXT(Caja_Finanzas[[#This Row],[fecha]],"DD-MM")&amp;"-"&amp;TEXT(Caja_Finanzas[[#This Row],[item]],"0000")</f>
        <v>CFI.D11-07-0567</v>
      </c>
      <c r="N622" s="8" t="str">
        <f t="shared" si="60"/>
        <v>PEN</v>
      </c>
      <c r="O622" s="13"/>
      <c r="P622" s="13">
        <v>2860</v>
      </c>
      <c r="Q622" s="3">
        <f t="shared" si="46"/>
        <v>2860</v>
      </c>
      <c r="R622" s="3">
        <f t="shared" si="47"/>
        <v>0</v>
      </c>
      <c r="S622" s="3">
        <f t="shared" si="48"/>
        <v>15239.599999999995</v>
      </c>
      <c r="T622" s="24"/>
      <c r="U622" s="24"/>
      <c r="V622" s="3"/>
      <c r="W622" s="25"/>
      <c r="X622" s="25"/>
      <c r="Y622" s="25"/>
      <c r="Z622" s="25"/>
      <c r="AA622" s="25"/>
      <c r="AB622" s="3" t="str">
        <f>IF(Caja_Finanzas[[#This Row],[fecha]]&gt;0,TEXT(Caja_Finanzas[[#This Row],[fecha]],"mmmm"),0)</f>
        <v>Julio</v>
      </c>
    </row>
    <row r="623" spans="1:28" x14ac:dyDescent="0.3">
      <c r="A623" s="2">
        <f>IF(Caja_Finanzas[[#This Row],[tipo_r]]="R",COUNTIFS($C$1:$C622,"R")+1,A622)</f>
        <v>568</v>
      </c>
      <c r="B623" s="19" t="str">
        <f t="shared" si="59"/>
        <v>C-Finanzas</v>
      </c>
      <c r="C623" s="3" t="s">
        <v>1330</v>
      </c>
      <c r="D623" s="14">
        <v>45849</v>
      </c>
      <c r="E623" s="5" t="s">
        <v>1498</v>
      </c>
      <c r="F623" s="5" t="s">
        <v>1303</v>
      </c>
      <c r="G623" s="5"/>
      <c r="H623" s="6"/>
      <c r="I623" s="6" t="s">
        <v>119</v>
      </c>
      <c r="J623" s="6">
        <v>1</v>
      </c>
      <c r="K623" s="6">
        <v>4595</v>
      </c>
      <c r="L623" s="7" t="s">
        <v>6118</v>
      </c>
      <c r="M623" s="8" t="str">
        <f>"CFI"&amp;".D"&amp;TEXT(Caja_Finanzas[[#This Row],[fecha]],"DD-MM")&amp;"-"&amp;TEXT(Caja_Finanzas[[#This Row],[item]],"0000")</f>
        <v>CFI.D11-07-0568</v>
      </c>
      <c r="N623" s="8" t="str">
        <f t="shared" si="60"/>
        <v>PEN</v>
      </c>
      <c r="O623" s="13"/>
      <c r="P623" s="13">
        <v>60</v>
      </c>
      <c r="Q623" s="3">
        <f t="shared" si="46"/>
        <v>60</v>
      </c>
      <c r="R623" s="3">
        <f t="shared" si="47"/>
        <v>0</v>
      </c>
      <c r="S623" s="3">
        <f t="shared" si="48"/>
        <v>15299.599999999995</v>
      </c>
      <c r="T623" s="24"/>
      <c r="U623" s="24"/>
      <c r="V623" s="3"/>
      <c r="W623" s="25"/>
      <c r="X623" s="25"/>
      <c r="Y623" s="25"/>
      <c r="Z623" s="25"/>
      <c r="AA623" s="25"/>
      <c r="AB623" s="3" t="str">
        <f>IF(Caja_Finanzas[[#This Row],[fecha]]&gt;0,TEXT(Caja_Finanzas[[#This Row],[fecha]],"mmmm"),0)</f>
        <v>Julio</v>
      </c>
    </row>
    <row r="624" spans="1:28" ht="24" x14ac:dyDescent="0.3">
      <c r="A624" s="2">
        <f>IF(Caja_Finanzas[[#This Row],[tipo_r]]="R",COUNTIFS($C$1:$C623,"R")+1,A623)</f>
        <v>569</v>
      </c>
      <c r="B624" s="19" t="str">
        <f t="shared" si="59"/>
        <v>C-Finanzas</v>
      </c>
      <c r="C624" s="3" t="s">
        <v>1330</v>
      </c>
      <c r="D624" s="14">
        <v>45849</v>
      </c>
      <c r="E624" s="5" t="s">
        <v>5828</v>
      </c>
      <c r="F624" s="5" t="s">
        <v>1336</v>
      </c>
      <c r="G624" s="5"/>
      <c r="H624" s="134" t="s">
        <v>1009</v>
      </c>
      <c r="I624" s="6" t="s">
        <v>115</v>
      </c>
      <c r="J624" s="6" t="s">
        <v>7302</v>
      </c>
      <c r="K624" s="6">
        <v>47</v>
      </c>
      <c r="L624" s="7" t="s">
        <v>7314</v>
      </c>
      <c r="M624" s="8" t="str">
        <f>"CFI"&amp;".D"&amp;TEXT(Caja_Finanzas[[#This Row],[fecha]],"DD-MM")&amp;"-"&amp;TEXT(Caja_Finanzas[[#This Row],[item]],"0000")</f>
        <v>CFI.D11-07-0569</v>
      </c>
      <c r="N624" s="8" t="str">
        <f t="shared" si="60"/>
        <v>PEN</v>
      </c>
      <c r="O624" s="13"/>
      <c r="P624" s="13">
        <v>40</v>
      </c>
      <c r="Q624" s="3">
        <f t="shared" si="46"/>
        <v>0</v>
      </c>
      <c r="R624" s="3">
        <f t="shared" si="47"/>
        <v>40</v>
      </c>
      <c r="S624" s="3">
        <f t="shared" si="48"/>
        <v>15259.599999999995</v>
      </c>
      <c r="T624" s="24"/>
      <c r="U624" s="24"/>
      <c r="V624" s="3"/>
      <c r="W624" s="25"/>
      <c r="X624" s="25"/>
      <c r="Y624" s="25"/>
      <c r="Z624" s="25"/>
      <c r="AA624" s="25"/>
      <c r="AB624" s="3" t="str">
        <f>IF(Caja_Finanzas[[#This Row],[fecha]]&gt;0,TEXT(Caja_Finanzas[[#This Row],[fecha]],"mmmm"),0)</f>
        <v>Julio</v>
      </c>
    </row>
    <row r="625" spans="1:28" ht="36" x14ac:dyDescent="0.3">
      <c r="A625" s="2">
        <f>IF(Caja_Finanzas[[#This Row],[tipo_r]]="R",COUNTIFS($C$1:$C624,"R")+1,A624)</f>
        <v>570</v>
      </c>
      <c r="B625" s="19" t="str">
        <f t="shared" si="59"/>
        <v>C-Finanzas</v>
      </c>
      <c r="C625" s="3" t="s">
        <v>1330</v>
      </c>
      <c r="D625" s="14">
        <v>45849</v>
      </c>
      <c r="E625" s="5" t="s">
        <v>6570</v>
      </c>
      <c r="F625" s="5" t="s">
        <v>1336</v>
      </c>
      <c r="G625" s="5"/>
      <c r="H625" s="134" t="s">
        <v>1009</v>
      </c>
      <c r="I625" s="6" t="s">
        <v>115</v>
      </c>
      <c r="J625" s="6" t="s">
        <v>7187</v>
      </c>
      <c r="K625" s="6">
        <v>130</v>
      </c>
      <c r="L625" s="7" t="s">
        <v>7315</v>
      </c>
      <c r="M625" s="8" t="str">
        <f>"CFI"&amp;".D"&amp;TEXT(Caja_Finanzas[[#This Row],[fecha]],"DD-MM")&amp;"-"&amp;TEXT(Caja_Finanzas[[#This Row],[item]],"0000")</f>
        <v>CFI.D11-07-0570</v>
      </c>
      <c r="N625" s="8" t="str">
        <f t="shared" si="60"/>
        <v>PEN</v>
      </c>
      <c r="O625" s="13"/>
      <c r="P625" s="13">
        <v>50</v>
      </c>
      <c r="Q625" s="3">
        <f t="shared" si="46"/>
        <v>0</v>
      </c>
      <c r="R625" s="3">
        <f t="shared" si="47"/>
        <v>50</v>
      </c>
      <c r="S625" s="3">
        <f t="shared" si="48"/>
        <v>15209.599999999995</v>
      </c>
      <c r="T625" s="24"/>
      <c r="U625" s="24"/>
      <c r="V625" s="3"/>
      <c r="W625" s="25"/>
      <c r="X625" s="25"/>
      <c r="Y625" s="25"/>
      <c r="Z625" s="25"/>
      <c r="AA625" s="25"/>
      <c r="AB625" s="3" t="str">
        <f>IF(Caja_Finanzas[[#This Row],[fecha]]&gt;0,TEXT(Caja_Finanzas[[#This Row],[fecha]],"mmmm"),0)</f>
        <v>Julio</v>
      </c>
    </row>
    <row r="626" spans="1:28" ht="24" x14ac:dyDescent="0.3">
      <c r="A626" s="2">
        <f>IF(Caja_Finanzas[[#This Row],[tipo_r]]="R",COUNTIFS($C$1:$C625,"R")+1,A625)</f>
        <v>571</v>
      </c>
      <c r="B626" s="19" t="str">
        <f t="shared" si="59"/>
        <v>C-Finanzas</v>
      </c>
      <c r="C626" s="3" t="s">
        <v>1330</v>
      </c>
      <c r="D626" s="14">
        <v>45849</v>
      </c>
      <c r="E626" s="5" t="s">
        <v>6731</v>
      </c>
      <c r="F626" s="5" t="s">
        <v>1336</v>
      </c>
      <c r="G626" s="5"/>
      <c r="H626" s="6" t="s">
        <v>1009</v>
      </c>
      <c r="I626" s="6" t="s">
        <v>115</v>
      </c>
      <c r="J626" s="6" t="s">
        <v>7187</v>
      </c>
      <c r="K626" s="6">
        <v>132</v>
      </c>
      <c r="L626" s="7" t="s">
        <v>7316</v>
      </c>
      <c r="M626" s="8" t="str">
        <f>"CFI"&amp;".D"&amp;TEXT(Caja_Finanzas[[#This Row],[fecha]],"DD-MM")&amp;"-"&amp;TEXT(Caja_Finanzas[[#This Row],[item]],"0000")</f>
        <v>CFI.D11-07-0571</v>
      </c>
      <c r="N626" s="8" t="str">
        <f t="shared" si="60"/>
        <v>PEN</v>
      </c>
      <c r="O626" s="13"/>
      <c r="P626" s="13">
        <v>520</v>
      </c>
      <c r="Q626" s="3">
        <f t="shared" si="46"/>
        <v>0</v>
      </c>
      <c r="R626" s="3">
        <f t="shared" si="47"/>
        <v>520</v>
      </c>
      <c r="S626" s="3">
        <f t="shared" si="48"/>
        <v>14689.599999999995</v>
      </c>
      <c r="T626" s="24"/>
      <c r="U626" s="24"/>
      <c r="V626" s="3"/>
      <c r="W626" s="25"/>
      <c r="X626" s="25"/>
      <c r="Y626" s="25"/>
      <c r="Z626" s="25"/>
      <c r="AA626" s="25"/>
      <c r="AB626" s="3" t="str">
        <f>IF(Caja_Finanzas[[#This Row],[fecha]]&gt;0,TEXT(Caja_Finanzas[[#This Row],[fecha]],"mmmm"),0)</f>
        <v>Julio</v>
      </c>
    </row>
    <row r="627" spans="1:28" ht="24" x14ac:dyDescent="0.3">
      <c r="A627" s="2">
        <f>IF(Caja_Finanzas[[#This Row],[tipo_r]]="R",COUNTIFS($C$1:$C626,"R")+1,A626)</f>
        <v>572</v>
      </c>
      <c r="B627" s="19" t="str">
        <f t="shared" ref="B627:B637" si="61">"C-Finanzas"</f>
        <v>C-Finanzas</v>
      </c>
      <c r="C627" s="3" t="s">
        <v>1330</v>
      </c>
      <c r="D627" s="14">
        <v>45852</v>
      </c>
      <c r="E627" s="5" t="s">
        <v>5828</v>
      </c>
      <c r="F627" s="5" t="s">
        <v>1336</v>
      </c>
      <c r="G627" s="5"/>
      <c r="H627" s="134" t="s">
        <v>1009</v>
      </c>
      <c r="I627" s="6" t="s">
        <v>115</v>
      </c>
      <c r="J627" s="6" t="s">
        <v>7302</v>
      </c>
      <c r="K627" s="6">
        <v>46</v>
      </c>
      <c r="L627" s="7" t="s">
        <v>7317</v>
      </c>
      <c r="M627" s="8" t="str">
        <f>"CFI"&amp;".D"&amp;TEXT(Caja_Finanzas[[#This Row],[fecha]],"DD-MM")&amp;"-"&amp;TEXT(Caja_Finanzas[[#This Row],[item]],"0000")</f>
        <v>CFI.D14-07-0572</v>
      </c>
      <c r="N627" s="8" t="str">
        <f t="shared" ref="N627:N637" si="62">"PEN"</f>
        <v>PEN</v>
      </c>
      <c r="O627" s="13"/>
      <c r="P627" s="13">
        <v>35</v>
      </c>
      <c r="Q627" s="3">
        <f t="shared" si="46"/>
        <v>0</v>
      </c>
      <c r="R627" s="3">
        <f t="shared" si="47"/>
        <v>35</v>
      </c>
      <c r="S627" s="3">
        <f t="shared" si="48"/>
        <v>14654.599999999995</v>
      </c>
      <c r="T627" s="24"/>
      <c r="U627" s="24"/>
      <c r="V627" s="3"/>
      <c r="W627" s="25"/>
      <c r="X627" s="25"/>
      <c r="Y627" s="25"/>
      <c r="Z627" s="25"/>
      <c r="AA627" s="25"/>
      <c r="AB627" s="3" t="str">
        <f>IF(Caja_Finanzas[[#This Row],[fecha]]&gt;0,TEXT(Caja_Finanzas[[#This Row],[fecha]],"mmmm"),0)</f>
        <v>Julio</v>
      </c>
    </row>
    <row r="628" spans="1:28" ht="36" x14ac:dyDescent="0.3">
      <c r="A628" s="2">
        <f>IF(Caja_Finanzas[[#This Row],[tipo_r]]="R",COUNTIFS($C$1:$C627,"R")+1,A627)</f>
        <v>573</v>
      </c>
      <c r="B628" s="19" t="str">
        <f t="shared" si="61"/>
        <v>C-Finanzas</v>
      </c>
      <c r="C628" s="3" t="s">
        <v>1330</v>
      </c>
      <c r="D628" s="14">
        <v>45852</v>
      </c>
      <c r="E628" s="5" t="s">
        <v>6940</v>
      </c>
      <c r="F628" s="5" t="s">
        <v>1336</v>
      </c>
      <c r="G628" s="5"/>
      <c r="H628" s="134" t="s">
        <v>1009</v>
      </c>
      <c r="I628" s="6" t="s">
        <v>115</v>
      </c>
      <c r="J628" s="6" t="s">
        <v>7187</v>
      </c>
      <c r="K628" s="6">
        <v>129</v>
      </c>
      <c r="L628" s="7" t="s">
        <v>7318</v>
      </c>
      <c r="M628" s="8" t="str">
        <f>"CFI"&amp;".D"&amp;TEXT(Caja_Finanzas[[#This Row],[fecha]],"DD-MM")&amp;"-"&amp;TEXT(Caja_Finanzas[[#This Row],[item]],"0000")</f>
        <v>CFI.D14-07-0573</v>
      </c>
      <c r="N628" s="8" t="str">
        <f t="shared" si="62"/>
        <v>PEN</v>
      </c>
      <c r="O628" s="13"/>
      <c r="P628" s="13">
        <v>900</v>
      </c>
      <c r="Q628" s="3">
        <f t="shared" si="46"/>
        <v>0</v>
      </c>
      <c r="R628" s="3">
        <f t="shared" si="47"/>
        <v>900</v>
      </c>
      <c r="S628" s="3">
        <f t="shared" si="48"/>
        <v>13754.599999999995</v>
      </c>
      <c r="T628" s="24"/>
      <c r="U628" s="24"/>
      <c r="V628" s="3"/>
      <c r="W628" s="25"/>
      <c r="X628" s="25"/>
      <c r="Y628" s="25"/>
      <c r="Z628" s="25"/>
      <c r="AA628" s="25"/>
      <c r="AB628" s="3" t="str">
        <f>IF(Caja_Finanzas[[#This Row],[fecha]]&gt;0,TEXT(Caja_Finanzas[[#This Row],[fecha]],"mmmm"),0)</f>
        <v>Julio</v>
      </c>
    </row>
    <row r="629" spans="1:28" ht="36" x14ac:dyDescent="0.3">
      <c r="A629" s="2">
        <f>IF(Caja_Finanzas[[#This Row],[tipo_r]]="R",COUNTIFS($C$1:$C628,"R")+1,A628)</f>
        <v>574</v>
      </c>
      <c r="B629" s="19" t="str">
        <f t="shared" si="61"/>
        <v>C-Finanzas</v>
      </c>
      <c r="C629" s="3" t="s">
        <v>1330</v>
      </c>
      <c r="D629" s="14">
        <v>45852</v>
      </c>
      <c r="E629" s="5" t="s">
        <v>6940</v>
      </c>
      <c r="F629" s="5" t="s">
        <v>1336</v>
      </c>
      <c r="G629" s="5"/>
      <c r="H629" s="134" t="s">
        <v>1009</v>
      </c>
      <c r="I629" s="6" t="s">
        <v>115</v>
      </c>
      <c r="J629" s="6" t="s">
        <v>7187</v>
      </c>
      <c r="K629" s="6">
        <v>131</v>
      </c>
      <c r="L629" s="7" t="s">
        <v>7319</v>
      </c>
      <c r="M629" s="8" t="str">
        <f>"CFI"&amp;".D"&amp;TEXT(Caja_Finanzas[[#This Row],[fecha]],"DD-MM")&amp;"-"&amp;TEXT(Caja_Finanzas[[#This Row],[item]],"0000")</f>
        <v>CFI.D14-07-0574</v>
      </c>
      <c r="N629" s="8" t="str">
        <f t="shared" si="62"/>
        <v>PEN</v>
      </c>
      <c r="O629" s="13"/>
      <c r="P629" s="13">
        <v>900</v>
      </c>
      <c r="Q629" s="3">
        <f t="shared" si="46"/>
        <v>0</v>
      </c>
      <c r="R629" s="3">
        <f t="shared" si="47"/>
        <v>900</v>
      </c>
      <c r="S629" s="3">
        <f t="shared" si="48"/>
        <v>12854.599999999995</v>
      </c>
      <c r="T629" s="24"/>
      <c r="U629" s="24"/>
      <c r="V629" s="3"/>
      <c r="W629" s="25"/>
      <c r="X629" s="25"/>
      <c r="Y629" s="25"/>
      <c r="Z629" s="25"/>
      <c r="AA629" s="25"/>
      <c r="AB629" s="3" t="str">
        <f>IF(Caja_Finanzas[[#This Row],[fecha]]&gt;0,TEXT(Caja_Finanzas[[#This Row],[fecha]],"mmmm"),0)</f>
        <v>Julio</v>
      </c>
    </row>
    <row r="630" spans="1:28" ht="24" x14ac:dyDescent="0.3">
      <c r="A630" s="2">
        <f>IF(Caja_Finanzas[[#This Row],[tipo_r]]="R",COUNTIFS($C$1:$C629,"R")+1,A629)</f>
        <v>575</v>
      </c>
      <c r="B630" s="19" t="str">
        <f t="shared" si="61"/>
        <v>C-Finanzas</v>
      </c>
      <c r="C630" s="3" t="s">
        <v>1330</v>
      </c>
      <c r="D630" s="14">
        <v>45852</v>
      </c>
      <c r="E630" s="5" t="s">
        <v>6456</v>
      </c>
      <c r="F630" s="5" t="s">
        <v>1303</v>
      </c>
      <c r="G630" s="5"/>
      <c r="H630" s="6"/>
      <c r="I630" s="6"/>
      <c r="J630" s="6"/>
      <c r="K630" s="6"/>
      <c r="L630" s="7" t="s">
        <v>7320</v>
      </c>
      <c r="M630" s="8" t="str">
        <f>"CFI"&amp;".D"&amp;TEXT(Caja_Finanzas[[#This Row],[fecha]],"DD-MM")&amp;"-"&amp;TEXT(Caja_Finanzas[[#This Row],[item]],"0000")</f>
        <v>CFI.D14-07-0575</v>
      </c>
      <c r="N630" s="8" t="str">
        <f t="shared" si="62"/>
        <v>PEN</v>
      </c>
      <c r="O630" s="13"/>
      <c r="P630" s="13">
        <v>80</v>
      </c>
      <c r="Q630" s="3">
        <f t="shared" si="46"/>
        <v>80</v>
      </c>
      <c r="R630" s="3">
        <f t="shared" si="47"/>
        <v>0</v>
      </c>
      <c r="S630" s="3">
        <f t="shared" si="48"/>
        <v>12934.599999999995</v>
      </c>
      <c r="T630" s="24"/>
      <c r="U630" s="24"/>
      <c r="V630" s="3"/>
      <c r="W630" s="25"/>
      <c r="X630" s="25"/>
      <c r="Y630" s="25"/>
      <c r="Z630" s="25"/>
      <c r="AA630" s="25"/>
      <c r="AB630" s="3" t="str">
        <f>IF(Caja_Finanzas[[#This Row],[fecha]]&gt;0,TEXT(Caja_Finanzas[[#This Row],[fecha]],"mmmm"),0)</f>
        <v>Julio</v>
      </c>
    </row>
    <row r="631" spans="1:28" x14ac:dyDescent="0.3">
      <c r="A631" s="2">
        <f>IF(Caja_Finanzas[[#This Row],[tipo_r]]="R",COUNTIFS($C$1:$C630,"R")+1,A630)</f>
        <v>576</v>
      </c>
      <c r="B631" s="19" t="str">
        <f t="shared" si="61"/>
        <v>C-Finanzas</v>
      </c>
      <c r="C631" s="3" t="s">
        <v>1330</v>
      </c>
      <c r="D631" s="14">
        <v>45853</v>
      </c>
      <c r="E631" s="5" t="s">
        <v>1498</v>
      </c>
      <c r="F631" s="5" t="s">
        <v>1303</v>
      </c>
      <c r="G631" s="5"/>
      <c r="H631" s="6"/>
      <c r="I631" s="6" t="s">
        <v>119</v>
      </c>
      <c r="J631" s="6">
        <v>1</v>
      </c>
      <c r="K631" s="6">
        <v>4605</v>
      </c>
      <c r="L631" s="7" t="s">
        <v>6118</v>
      </c>
      <c r="M631" s="8" t="str">
        <f>"CFI"&amp;".D"&amp;TEXT(Caja_Finanzas[[#This Row],[fecha]],"DD-MM")&amp;"-"&amp;TEXT(Caja_Finanzas[[#This Row],[item]],"0000")</f>
        <v>CFI.D15-07-0576</v>
      </c>
      <c r="N631" s="8" t="str">
        <f t="shared" si="62"/>
        <v>PEN</v>
      </c>
      <c r="O631" s="13"/>
      <c r="P631" s="13">
        <v>150</v>
      </c>
      <c r="Q631" s="3">
        <f t="shared" si="46"/>
        <v>150</v>
      </c>
      <c r="R631" s="3">
        <f t="shared" si="47"/>
        <v>0</v>
      </c>
      <c r="S631" s="3">
        <f t="shared" si="48"/>
        <v>13084.599999999995</v>
      </c>
      <c r="T631" s="24"/>
      <c r="U631" s="24"/>
      <c r="V631" s="3"/>
      <c r="W631" s="25"/>
      <c r="X631" s="25"/>
      <c r="Y631" s="25"/>
      <c r="Z631" s="25"/>
      <c r="AA631" s="25"/>
      <c r="AB631" s="3" t="str">
        <f>IF(Caja_Finanzas[[#This Row],[fecha]]&gt;0,TEXT(Caja_Finanzas[[#This Row],[fecha]],"mmmm"),0)</f>
        <v>Julio</v>
      </c>
    </row>
    <row r="632" spans="1:28" ht="24" x14ac:dyDescent="0.3">
      <c r="A632" s="2">
        <f>IF(Caja_Finanzas[[#This Row],[tipo_r]]="R",COUNTIFS($C$1:$C631,"R")+1,A631)</f>
        <v>577</v>
      </c>
      <c r="B632" s="19" t="str">
        <f t="shared" si="61"/>
        <v>C-Finanzas</v>
      </c>
      <c r="C632" s="3" t="s">
        <v>1330</v>
      </c>
      <c r="D632" s="14">
        <v>45853</v>
      </c>
      <c r="E632" s="5" t="s">
        <v>7321</v>
      </c>
      <c r="F632" s="5" t="s">
        <v>1303</v>
      </c>
      <c r="G632" s="5"/>
      <c r="H632" s="6"/>
      <c r="I632" s="6" t="s">
        <v>119</v>
      </c>
      <c r="J632" s="6">
        <v>1</v>
      </c>
      <c r="K632" s="6">
        <v>4603</v>
      </c>
      <c r="L632" s="7" t="s">
        <v>6118</v>
      </c>
      <c r="M632" s="8" t="str">
        <f>"CFI"&amp;".D"&amp;TEXT(Caja_Finanzas[[#This Row],[fecha]],"DD-MM")&amp;"-"&amp;TEXT(Caja_Finanzas[[#This Row],[item]],"0000")</f>
        <v>CFI.D15-07-0577</v>
      </c>
      <c r="N632" s="8" t="str">
        <f t="shared" si="62"/>
        <v>PEN</v>
      </c>
      <c r="O632" s="13"/>
      <c r="P632" s="13">
        <v>231</v>
      </c>
      <c r="Q632" s="3">
        <f t="shared" si="46"/>
        <v>231</v>
      </c>
      <c r="R632" s="3">
        <f t="shared" si="47"/>
        <v>0</v>
      </c>
      <c r="S632" s="3">
        <f t="shared" si="48"/>
        <v>13315.599999999995</v>
      </c>
      <c r="T632" s="24"/>
      <c r="U632" s="24"/>
      <c r="V632" s="3"/>
      <c r="W632" s="25"/>
      <c r="X632" s="25"/>
      <c r="Y632" s="25"/>
      <c r="Z632" s="25"/>
      <c r="AA632" s="25"/>
      <c r="AB632" s="3" t="str">
        <f>IF(Caja_Finanzas[[#This Row],[fecha]]&gt;0,TEXT(Caja_Finanzas[[#This Row],[fecha]],"mmmm"),0)</f>
        <v>Julio</v>
      </c>
    </row>
    <row r="633" spans="1:28" ht="24" x14ac:dyDescent="0.3">
      <c r="A633" s="2">
        <f>IF(Caja_Finanzas[[#This Row],[tipo_r]]="R",COUNTIFS($C$1:$C632,"R")+1,A632)</f>
        <v>578</v>
      </c>
      <c r="B633" s="19" t="str">
        <f t="shared" si="61"/>
        <v>C-Finanzas</v>
      </c>
      <c r="C633" s="3" t="s">
        <v>1330</v>
      </c>
      <c r="D633" s="14">
        <v>45853</v>
      </c>
      <c r="E633" s="5" t="s">
        <v>6825</v>
      </c>
      <c r="F633" s="5" t="s">
        <v>1303</v>
      </c>
      <c r="G633" s="5"/>
      <c r="H633" s="6"/>
      <c r="I633" s="6" t="s">
        <v>119</v>
      </c>
      <c r="J633" s="6">
        <v>1</v>
      </c>
      <c r="K633" s="6">
        <v>4604</v>
      </c>
      <c r="L633" s="7" t="s">
        <v>6118</v>
      </c>
      <c r="M633" s="8" t="str">
        <f>"CFI"&amp;".D"&amp;TEXT(Caja_Finanzas[[#This Row],[fecha]],"DD-MM")&amp;"-"&amp;TEXT(Caja_Finanzas[[#This Row],[item]],"0000")</f>
        <v>CFI.D15-07-0578</v>
      </c>
      <c r="N633" s="8" t="str">
        <f t="shared" si="62"/>
        <v>PEN</v>
      </c>
      <c r="O633" s="13"/>
      <c r="P633" s="13">
        <v>4110</v>
      </c>
      <c r="Q633" s="3">
        <f t="shared" si="46"/>
        <v>4110</v>
      </c>
      <c r="R633" s="3">
        <f t="shared" si="47"/>
        <v>0</v>
      </c>
      <c r="S633" s="3">
        <f t="shared" si="48"/>
        <v>17425.599999999995</v>
      </c>
      <c r="T633" s="24"/>
      <c r="U633" s="24"/>
      <c r="V633" s="3"/>
      <c r="W633" s="25"/>
      <c r="X633" s="25"/>
      <c r="Y633" s="25"/>
      <c r="Z633" s="25"/>
      <c r="AA633" s="25"/>
      <c r="AB633" s="3" t="str">
        <f>IF(Caja_Finanzas[[#This Row],[fecha]]&gt;0,TEXT(Caja_Finanzas[[#This Row],[fecha]],"mmmm"),0)</f>
        <v>Julio</v>
      </c>
    </row>
    <row r="634" spans="1:28" ht="24" x14ac:dyDescent="0.3">
      <c r="A634" s="2">
        <f>IF(Caja_Finanzas[[#This Row],[tipo_r]]="R",COUNTIFS($C$1:$C633,"R")+1,A633)</f>
        <v>579</v>
      </c>
      <c r="B634" s="19" t="str">
        <f t="shared" si="61"/>
        <v>C-Finanzas</v>
      </c>
      <c r="C634" s="3" t="s">
        <v>1330</v>
      </c>
      <c r="D634" s="14">
        <v>45853</v>
      </c>
      <c r="E634" s="5" t="s">
        <v>2502</v>
      </c>
      <c r="F634" s="5" t="s">
        <v>1303</v>
      </c>
      <c r="G634" s="5"/>
      <c r="H634" s="6"/>
      <c r="I634" s="6" t="s">
        <v>119</v>
      </c>
      <c r="J634" s="6">
        <v>1</v>
      </c>
      <c r="K634" s="6">
        <v>4601</v>
      </c>
      <c r="L634" s="7" t="s">
        <v>6118</v>
      </c>
      <c r="M634" s="8" t="str">
        <f>"CFI"&amp;".D"&amp;TEXT(Caja_Finanzas[[#This Row],[fecha]],"DD-MM")&amp;"-"&amp;TEXT(Caja_Finanzas[[#This Row],[item]],"0000")</f>
        <v>CFI.D15-07-0579</v>
      </c>
      <c r="N634" s="8" t="str">
        <f t="shared" si="62"/>
        <v>PEN</v>
      </c>
      <c r="O634" s="13"/>
      <c r="P634" s="13">
        <v>1591.2</v>
      </c>
      <c r="Q634" s="3">
        <f t="shared" si="46"/>
        <v>1591.2</v>
      </c>
      <c r="R634" s="3">
        <f t="shared" si="47"/>
        <v>0</v>
      </c>
      <c r="S634" s="3">
        <f t="shared" si="48"/>
        <v>19016.799999999996</v>
      </c>
      <c r="T634" s="24"/>
      <c r="U634" s="24"/>
      <c r="V634" s="3"/>
      <c r="W634" s="25"/>
      <c r="X634" s="25"/>
      <c r="Y634" s="25"/>
      <c r="Z634" s="25"/>
      <c r="AA634" s="25"/>
      <c r="AB634" s="3" t="str">
        <f>IF(Caja_Finanzas[[#This Row],[fecha]]&gt;0,TEXT(Caja_Finanzas[[#This Row],[fecha]],"mmmm"),0)</f>
        <v>Julio</v>
      </c>
    </row>
    <row r="635" spans="1:28" x14ac:dyDescent="0.3">
      <c r="A635" s="2">
        <f>IF(Caja_Finanzas[[#This Row],[tipo_r]]="R",COUNTIFS($C$1:$C634,"R")+1,A634)</f>
        <v>580</v>
      </c>
      <c r="B635" s="19" t="str">
        <f t="shared" si="61"/>
        <v>C-Finanzas</v>
      </c>
      <c r="C635" s="3" t="s">
        <v>1330</v>
      </c>
      <c r="D635" s="14">
        <v>45853</v>
      </c>
      <c r="E635" s="5" t="s">
        <v>439</v>
      </c>
      <c r="F635" s="5" t="s">
        <v>1303</v>
      </c>
      <c r="G635" s="5"/>
      <c r="H635" s="6"/>
      <c r="I635" s="6" t="s">
        <v>119</v>
      </c>
      <c r="J635" s="6">
        <v>1</v>
      </c>
      <c r="K635" s="6">
        <v>4594</v>
      </c>
      <c r="L635" s="7" t="s">
        <v>6118</v>
      </c>
      <c r="M635" s="8" t="str">
        <f>"CFI"&amp;".D"&amp;TEXT(Caja_Finanzas[[#This Row],[fecha]],"DD-MM")&amp;"-"&amp;TEXT(Caja_Finanzas[[#This Row],[item]],"0000")</f>
        <v>CFI.D15-07-0580</v>
      </c>
      <c r="N635" s="8" t="str">
        <f t="shared" si="62"/>
        <v>PEN</v>
      </c>
      <c r="O635" s="13"/>
      <c r="P635" s="13">
        <v>556</v>
      </c>
      <c r="Q635" s="3">
        <f t="shared" si="46"/>
        <v>556</v>
      </c>
      <c r="R635" s="3">
        <f t="shared" si="47"/>
        <v>0</v>
      </c>
      <c r="S635" s="3">
        <f t="shared" si="48"/>
        <v>19572.799999999996</v>
      </c>
      <c r="T635" s="24"/>
      <c r="U635" s="24"/>
      <c r="V635" s="3"/>
      <c r="W635" s="25"/>
      <c r="X635" s="25"/>
      <c r="Y635" s="25"/>
      <c r="Z635" s="25"/>
      <c r="AA635" s="25"/>
      <c r="AB635" s="3" t="str">
        <f>IF(Caja_Finanzas[[#This Row],[fecha]]&gt;0,TEXT(Caja_Finanzas[[#This Row],[fecha]],"mmmm"),0)</f>
        <v>Julio</v>
      </c>
    </row>
    <row r="636" spans="1:28" x14ac:dyDescent="0.3">
      <c r="A636" s="2">
        <f>IF(Caja_Finanzas[[#This Row],[tipo_r]]="R",COUNTIFS($C$1:$C635,"R")+1,A635)</f>
        <v>581</v>
      </c>
      <c r="B636" s="19" t="str">
        <f t="shared" si="61"/>
        <v>C-Finanzas</v>
      </c>
      <c r="C636" s="3" t="s">
        <v>1330</v>
      </c>
      <c r="D636" s="14">
        <v>45853</v>
      </c>
      <c r="E636" s="5" t="s">
        <v>439</v>
      </c>
      <c r="F636" s="5" t="s">
        <v>1303</v>
      </c>
      <c r="G636" s="5"/>
      <c r="H636" s="6"/>
      <c r="I636" s="6" t="s">
        <v>119</v>
      </c>
      <c r="J636" s="6">
        <v>1</v>
      </c>
      <c r="K636" s="6">
        <v>4597</v>
      </c>
      <c r="L636" s="7" t="s">
        <v>6118</v>
      </c>
      <c r="M636" s="8" t="str">
        <f>"CFI"&amp;".D"&amp;TEXT(Caja_Finanzas[[#This Row],[fecha]],"DD-MM")&amp;"-"&amp;TEXT(Caja_Finanzas[[#This Row],[item]],"0000")</f>
        <v>CFI.D15-07-0581</v>
      </c>
      <c r="N636" s="8" t="str">
        <f t="shared" si="62"/>
        <v>PEN</v>
      </c>
      <c r="O636" s="13"/>
      <c r="P636" s="13">
        <v>600</v>
      </c>
      <c r="Q636" s="3">
        <f t="shared" si="46"/>
        <v>600</v>
      </c>
      <c r="R636" s="3">
        <f t="shared" si="47"/>
        <v>0</v>
      </c>
      <c r="S636" s="3">
        <f t="shared" si="48"/>
        <v>20172.799999999996</v>
      </c>
      <c r="T636" s="24"/>
      <c r="U636" s="24"/>
      <c r="V636" s="3"/>
      <c r="W636" s="25"/>
      <c r="X636" s="25"/>
      <c r="Y636" s="25"/>
      <c r="Z636" s="25"/>
      <c r="AA636" s="25"/>
      <c r="AB636" s="3" t="str">
        <f>IF(Caja_Finanzas[[#This Row],[fecha]]&gt;0,TEXT(Caja_Finanzas[[#This Row],[fecha]],"mmmm"),0)</f>
        <v>Julio</v>
      </c>
    </row>
    <row r="637" spans="1:28" x14ac:dyDescent="0.3">
      <c r="A637" s="2">
        <f>IF(Caja_Finanzas[[#This Row],[tipo_r]]="R",COUNTIFS($C$1:$C636,"R")+1,A636)</f>
        <v>582</v>
      </c>
      <c r="B637" s="19" t="str">
        <f t="shared" si="61"/>
        <v>C-Finanzas</v>
      </c>
      <c r="C637" s="3" t="s">
        <v>1330</v>
      </c>
      <c r="D637" s="14">
        <v>45853</v>
      </c>
      <c r="E637" s="5" t="s">
        <v>439</v>
      </c>
      <c r="F637" s="5" t="s">
        <v>1303</v>
      </c>
      <c r="G637" s="5"/>
      <c r="H637" s="6"/>
      <c r="I637" s="6" t="s">
        <v>119</v>
      </c>
      <c r="J637" s="6">
        <v>1</v>
      </c>
      <c r="K637" s="6">
        <v>4602</v>
      </c>
      <c r="L637" s="7" t="s">
        <v>6118</v>
      </c>
      <c r="M637" s="8" t="str">
        <f>"CFI"&amp;".D"&amp;TEXT(Caja_Finanzas[[#This Row],[fecha]],"DD-MM")&amp;"-"&amp;TEXT(Caja_Finanzas[[#This Row],[item]],"0000")</f>
        <v>CFI.D15-07-0582</v>
      </c>
      <c r="N637" s="8" t="str">
        <f t="shared" si="62"/>
        <v>PEN</v>
      </c>
      <c r="O637" s="13"/>
      <c r="P637" s="13">
        <v>785</v>
      </c>
      <c r="Q637" s="3">
        <f t="shared" si="46"/>
        <v>785</v>
      </c>
      <c r="R637" s="3">
        <f t="shared" si="47"/>
        <v>0</v>
      </c>
      <c r="S637" s="3">
        <f t="shared" si="48"/>
        <v>20957.799999999996</v>
      </c>
      <c r="T637" s="24"/>
      <c r="U637" s="24"/>
      <c r="V637" s="3"/>
      <c r="W637" s="25"/>
      <c r="X637" s="25"/>
      <c r="Y637" s="25"/>
      <c r="Z637" s="25"/>
      <c r="AA637" s="25"/>
      <c r="AB637" s="3" t="str">
        <f>IF(Caja_Finanzas[[#This Row],[fecha]]&gt;0,TEXT(Caja_Finanzas[[#This Row],[fecha]],"mmmm"),0)</f>
        <v>Julio</v>
      </c>
    </row>
    <row r="638" spans="1:28" ht="24" x14ac:dyDescent="0.3">
      <c r="A638" s="2">
        <f>IF(Caja_Finanzas[[#This Row],[tipo_r]]="R",COUNTIFS($C$1:$C637,"R")+1,A637)</f>
        <v>583</v>
      </c>
      <c r="B638" s="19" t="str">
        <f t="shared" ref="B638:B647" si="63">"C-Finanzas"</f>
        <v>C-Finanzas</v>
      </c>
      <c r="C638" s="3" t="s">
        <v>1330</v>
      </c>
      <c r="D638" s="14">
        <v>45853</v>
      </c>
      <c r="E638" s="5" t="s">
        <v>6456</v>
      </c>
      <c r="F638" s="5" t="s">
        <v>1336</v>
      </c>
      <c r="G638" s="5"/>
      <c r="H638" s="134" t="s">
        <v>1009</v>
      </c>
      <c r="I638" s="6" t="s">
        <v>115</v>
      </c>
      <c r="J638" s="6" t="s">
        <v>7322</v>
      </c>
      <c r="K638" s="6">
        <v>12</v>
      </c>
      <c r="L638" s="7" t="s">
        <v>7323</v>
      </c>
      <c r="M638" s="8" t="str">
        <f>"CFI"&amp;".D"&amp;TEXT(Caja_Finanzas[[#This Row],[fecha]],"DD-MM")&amp;"-"&amp;TEXT(Caja_Finanzas[[#This Row],[item]],"0000")</f>
        <v>CFI.D15-07-0583</v>
      </c>
      <c r="N638" s="8" t="str">
        <f t="shared" ref="N638:N647" si="64">"PEN"</f>
        <v>PEN</v>
      </c>
      <c r="O638" s="13"/>
      <c r="P638" s="13">
        <v>3000</v>
      </c>
      <c r="Q638" s="3">
        <f t="shared" si="46"/>
        <v>0</v>
      </c>
      <c r="R638" s="3">
        <f t="shared" si="47"/>
        <v>3000</v>
      </c>
      <c r="S638" s="3">
        <f t="shared" si="48"/>
        <v>17957.799999999996</v>
      </c>
      <c r="T638" s="24"/>
      <c r="U638" s="24"/>
      <c r="V638" s="3"/>
      <c r="W638" s="25"/>
      <c r="X638" s="25"/>
      <c r="Y638" s="25"/>
      <c r="Z638" s="25"/>
      <c r="AA638" s="25"/>
      <c r="AB638" s="3" t="str">
        <f>IF(Caja_Finanzas[[#This Row],[fecha]]&gt;0,TEXT(Caja_Finanzas[[#This Row],[fecha]],"mmmm"),0)</f>
        <v>Julio</v>
      </c>
    </row>
    <row r="639" spans="1:28" ht="24" x14ac:dyDescent="0.3">
      <c r="A639" s="2">
        <f>IF(Caja_Finanzas[[#This Row],[tipo_r]]="R",COUNTIFS($C$1:$C638,"R")+1,A638)</f>
        <v>584</v>
      </c>
      <c r="B639" s="19" t="str">
        <f t="shared" si="63"/>
        <v>C-Finanzas</v>
      </c>
      <c r="C639" s="3" t="s">
        <v>1330</v>
      </c>
      <c r="D639" s="14">
        <v>45854</v>
      </c>
      <c r="E639" s="5" t="s">
        <v>5828</v>
      </c>
      <c r="F639" s="5" t="s">
        <v>1336</v>
      </c>
      <c r="G639" s="5"/>
      <c r="H639" s="134" t="s">
        <v>1009</v>
      </c>
      <c r="I639" s="6" t="s">
        <v>115</v>
      </c>
      <c r="J639" s="6" t="s">
        <v>7324</v>
      </c>
      <c r="K639" s="6">
        <v>48</v>
      </c>
      <c r="L639" s="7" t="s">
        <v>7325</v>
      </c>
      <c r="M639" s="8" t="str">
        <f>"CFI"&amp;".D"&amp;TEXT(Caja_Finanzas[[#This Row],[fecha]],"DD-MM")&amp;"-"&amp;TEXT(Caja_Finanzas[[#This Row],[item]],"0000")</f>
        <v>CFI.D16-07-0584</v>
      </c>
      <c r="N639" s="8" t="str">
        <f t="shared" si="64"/>
        <v>PEN</v>
      </c>
      <c r="O639" s="13"/>
      <c r="P639" s="13">
        <v>243.9</v>
      </c>
      <c r="Q639" s="3">
        <f t="shared" si="46"/>
        <v>0</v>
      </c>
      <c r="R639" s="3">
        <f t="shared" si="47"/>
        <v>243.9</v>
      </c>
      <c r="S639" s="3">
        <f t="shared" si="48"/>
        <v>17713.899999999994</v>
      </c>
      <c r="T639" s="24"/>
      <c r="U639" s="24"/>
      <c r="V639" s="3"/>
      <c r="W639" s="25">
        <v>244</v>
      </c>
      <c r="X639" s="25"/>
      <c r="Y639" s="25"/>
      <c r="Z639" s="25"/>
      <c r="AA639" s="25"/>
      <c r="AB639" s="3" t="str">
        <f>IF(Caja_Finanzas[[#This Row],[fecha]]&gt;0,TEXT(Caja_Finanzas[[#This Row],[fecha]],"mmmm"),0)</f>
        <v>Julio</v>
      </c>
    </row>
    <row r="640" spans="1:28" ht="24" x14ac:dyDescent="0.3">
      <c r="A640" s="2">
        <f>IF(Caja_Finanzas[[#This Row],[tipo_r]]="R",COUNTIFS($C$1:$C639,"R")+1,A639)</f>
        <v>585</v>
      </c>
      <c r="B640" s="19" t="str">
        <f t="shared" si="63"/>
        <v>C-Finanzas</v>
      </c>
      <c r="C640" s="3" t="s">
        <v>1330</v>
      </c>
      <c r="D640" s="14">
        <v>45854</v>
      </c>
      <c r="E640" s="5" t="s">
        <v>6451</v>
      </c>
      <c r="F640" s="5" t="s">
        <v>1336</v>
      </c>
      <c r="G640" s="5"/>
      <c r="H640" s="6" t="s">
        <v>225</v>
      </c>
      <c r="I640" s="6" t="s">
        <v>134</v>
      </c>
      <c r="J640" s="6">
        <v>1</v>
      </c>
      <c r="K640" s="6">
        <v>261</v>
      </c>
      <c r="L640" s="7" t="s">
        <v>7326</v>
      </c>
      <c r="M640" s="8" t="str">
        <f>"CFI"&amp;".D"&amp;TEXT(Caja_Finanzas[[#This Row],[fecha]],"DD-MM")&amp;"-"&amp;TEXT(Caja_Finanzas[[#This Row],[item]],"0000")</f>
        <v>CFI.D16-07-0585</v>
      </c>
      <c r="N640" s="8" t="str">
        <f t="shared" si="64"/>
        <v>PEN</v>
      </c>
      <c r="O640" s="13"/>
      <c r="P640" s="13">
        <v>125.6</v>
      </c>
      <c r="Q640" s="3">
        <f t="shared" ref="Q640:Q647" si="65">+IF(OR($F640="SALDO",$F640="INGRESO"),$P640,0)</f>
        <v>0</v>
      </c>
      <c r="R640" s="3">
        <f t="shared" ref="R640:R647" si="66">+IF($F640="EGRESO",$P640,0)</f>
        <v>125.6</v>
      </c>
      <c r="S640" s="3">
        <f t="shared" si="48"/>
        <v>17588.299999999996</v>
      </c>
      <c r="T640" s="24"/>
      <c r="U640" s="24"/>
      <c r="V640" s="3"/>
      <c r="W640" s="25"/>
      <c r="X640" s="25"/>
      <c r="Y640" s="25"/>
      <c r="Z640" s="25"/>
      <c r="AA640" s="25"/>
      <c r="AB640" s="3" t="str">
        <f>IF(Caja_Finanzas[[#This Row],[fecha]]&gt;0,TEXT(Caja_Finanzas[[#This Row],[fecha]],"mmmm"),0)</f>
        <v>Julio</v>
      </c>
    </row>
    <row r="641" spans="1:28" ht="48" x14ac:dyDescent="0.3">
      <c r="A641" s="2">
        <f>IF(Caja_Finanzas[[#This Row],[tipo_r]]="R",COUNTIFS($C$1:$C640,"R")+1,A640)</f>
        <v>586</v>
      </c>
      <c r="B641" s="19" t="str">
        <f t="shared" si="63"/>
        <v>C-Finanzas</v>
      </c>
      <c r="C641" s="3" t="s">
        <v>1330</v>
      </c>
      <c r="D641" s="14">
        <v>45855</v>
      </c>
      <c r="E641" s="5" t="s">
        <v>6529</v>
      </c>
      <c r="F641" s="5" t="s">
        <v>1303</v>
      </c>
      <c r="G641" s="5"/>
      <c r="H641" s="6"/>
      <c r="I641" s="6"/>
      <c r="J641" s="6"/>
      <c r="K641" s="6"/>
      <c r="L641" s="7" t="s">
        <v>7327</v>
      </c>
      <c r="M641" s="8" t="str">
        <f>"CFI"&amp;".D"&amp;TEXT(Caja_Finanzas[[#This Row],[fecha]],"DD-MM")&amp;"-"&amp;TEXT(Caja_Finanzas[[#This Row],[item]],"0000")</f>
        <v>CFI.D17-07-0586</v>
      </c>
      <c r="N641" s="8" t="str">
        <f t="shared" si="64"/>
        <v>PEN</v>
      </c>
      <c r="O641" s="13"/>
      <c r="P641" s="13">
        <v>100</v>
      </c>
      <c r="Q641" s="3">
        <f t="shared" si="65"/>
        <v>100</v>
      </c>
      <c r="R641" s="3">
        <f t="shared" si="66"/>
        <v>0</v>
      </c>
      <c r="S641" s="3">
        <f t="shared" si="48"/>
        <v>17688.299999999996</v>
      </c>
      <c r="T641" s="24"/>
      <c r="U641" s="24"/>
      <c r="V641" s="3"/>
      <c r="W641" s="25"/>
      <c r="X641" s="25"/>
      <c r="Y641" s="25"/>
      <c r="Z641" s="25"/>
      <c r="AA641" s="25"/>
      <c r="AB641" s="3" t="str">
        <f>IF(Caja_Finanzas[[#This Row],[fecha]]&gt;0,TEXT(Caja_Finanzas[[#This Row],[fecha]],"mmmm"),0)</f>
        <v>Julio</v>
      </c>
    </row>
    <row r="642" spans="1:28" ht="36" x14ac:dyDescent="0.3">
      <c r="A642" s="2">
        <f>IF(Caja_Finanzas[[#This Row],[tipo_r]]="R",COUNTIFS($C$1:$C641,"R")+1,A641)</f>
        <v>587</v>
      </c>
      <c r="B642" s="19" t="str">
        <f t="shared" si="63"/>
        <v>C-Finanzas</v>
      </c>
      <c r="C642" s="3" t="s">
        <v>1330</v>
      </c>
      <c r="D642" s="14">
        <v>45855</v>
      </c>
      <c r="E642" s="5" t="s">
        <v>5828</v>
      </c>
      <c r="F642" s="5" t="s">
        <v>1336</v>
      </c>
      <c r="G642" s="5"/>
      <c r="H642" s="134" t="s">
        <v>1009</v>
      </c>
      <c r="I642" s="6" t="s">
        <v>115</v>
      </c>
      <c r="J642" s="6" t="s">
        <v>7302</v>
      </c>
      <c r="K642" s="6">
        <v>49</v>
      </c>
      <c r="L642" s="7" t="s">
        <v>7328</v>
      </c>
      <c r="M642" s="8" t="str">
        <f>"CFI"&amp;".D"&amp;TEXT(Caja_Finanzas[[#This Row],[fecha]],"DD-MM")&amp;"-"&amp;TEXT(Caja_Finanzas[[#This Row],[item]],"0000")</f>
        <v>CFI.D17-07-0587</v>
      </c>
      <c r="N642" s="8" t="str">
        <f t="shared" si="64"/>
        <v>PEN</v>
      </c>
      <c r="O642" s="13"/>
      <c r="P642" s="13">
        <v>180</v>
      </c>
      <c r="Q642" s="3">
        <f t="shared" si="65"/>
        <v>0</v>
      </c>
      <c r="R642" s="3">
        <f t="shared" si="66"/>
        <v>180</v>
      </c>
      <c r="S642" s="3">
        <f t="shared" ref="S642:S705" si="67">IFERROR(IF(F642="SALDO",Q642,S641+Q642-R642),0)</f>
        <v>17508.299999999996</v>
      </c>
      <c r="T642" s="24"/>
      <c r="U642" s="24"/>
      <c r="V642" s="3"/>
      <c r="W642" s="25"/>
      <c r="X642" s="25"/>
      <c r="Y642" s="25"/>
      <c r="Z642" s="25"/>
      <c r="AA642" s="25"/>
      <c r="AB642" s="3" t="str">
        <f>IF(Caja_Finanzas[[#This Row],[fecha]]&gt;0,TEXT(Caja_Finanzas[[#This Row],[fecha]],"mmmm"),0)</f>
        <v>Julio</v>
      </c>
    </row>
    <row r="643" spans="1:28" ht="24" x14ac:dyDescent="0.3">
      <c r="A643" s="2">
        <f>IF(Caja_Finanzas[[#This Row],[tipo_r]]="R",COUNTIFS($C$1:$C642,"R")+1,A642)</f>
        <v>588</v>
      </c>
      <c r="B643" s="19" t="str">
        <f t="shared" si="63"/>
        <v>C-Finanzas</v>
      </c>
      <c r="C643" s="3" t="s">
        <v>1330</v>
      </c>
      <c r="D643" s="14">
        <v>45855</v>
      </c>
      <c r="E643" s="5" t="s">
        <v>3634</v>
      </c>
      <c r="F643" s="5" t="s">
        <v>1336</v>
      </c>
      <c r="G643" s="5"/>
      <c r="H643" s="134" t="s">
        <v>1009</v>
      </c>
      <c r="I643" s="6" t="s">
        <v>115</v>
      </c>
      <c r="J643" s="6" t="s">
        <v>7329</v>
      </c>
      <c r="K643" s="6">
        <v>2</v>
      </c>
      <c r="L643" s="7" t="s">
        <v>7330</v>
      </c>
      <c r="M643" s="8" t="str">
        <f>"CFI"&amp;".D"&amp;TEXT(Caja_Finanzas[[#This Row],[fecha]],"DD-MM")&amp;"-"&amp;TEXT(Caja_Finanzas[[#This Row],[item]],"0000")</f>
        <v>CFI.D17-07-0588</v>
      </c>
      <c r="N643" s="8" t="str">
        <f t="shared" si="64"/>
        <v>PEN</v>
      </c>
      <c r="O643" s="13"/>
      <c r="P643" s="13">
        <v>253</v>
      </c>
      <c r="Q643" s="3">
        <f t="shared" si="65"/>
        <v>0</v>
      </c>
      <c r="R643" s="3">
        <f t="shared" si="66"/>
        <v>253</v>
      </c>
      <c r="S643" s="3">
        <f t="shared" si="67"/>
        <v>17255.299999999996</v>
      </c>
      <c r="T643" s="24"/>
      <c r="U643" s="24"/>
      <c r="V643" s="3"/>
      <c r="W643" s="25"/>
      <c r="X643" s="25"/>
      <c r="Y643" s="25"/>
      <c r="Z643" s="25"/>
      <c r="AA643" s="25"/>
      <c r="AB643" s="3" t="str">
        <f>IF(Caja_Finanzas[[#This Row],[fecha]]&gt;0,TEXT(Caja_Finanzas[[#This Row],[fecha]],"mmmm"),0)</f>
        <v>Julio</v>
      </c>
    </row>
    <row r="644" spans="1:28" ht="24" x14ac:dyDescent="0.3">
      <c r="A644" s="2">
        <f>IF(Caja_Finanzas[[#This Row],[tipo_r]]="R",COUNTIFS($C$1:$C643,"R")+1,A643)</f>
        <v>589</v>
      </c>
      <c r="B644" s="19" t="str">
        <f t="shared" si="63"/>
        <v>C-Finanzas</v>
      </c>
      <c r="C644" s="3" t="s">
        <v>1330</v>
      </c>
      <c r="D644" s="14">
        <v>45855</v>
      </c>
      <c r="E644" s="5" t="s">
        <v>3634</v>
      </c>
      <c r="F644" s="5" t="s">
        <v>1336</v>
      </c>
      <c r="G644" s="5"/>
      <c r="H644" s="134" t="s">
        <v>1009</v>
      </c>
      <c r="I644" s="6" t="s">
        <v>115</v>
      </c>
      <c r="J644" s="6" t="s">
        <v>7329</v>
      </c>
      <c r="K644" s="6">
        <v>1</v>
      </c>
      <c r="L644" s="7" t="s">
        <v>7331</v>
      </c>
      <c r="M644" s="8" t="str">
        <f>"CFI"&amp;".D"&amp;TEXT(Caja_Finanzas[[#This Row],[fecha]],"DD-MM")&amp;"-"&amp;TEXT(Caja_Finanzas[[#This Row],[item]],"0000")</f>
        <v>CFI.D17-07-0589</v>
      </c>
      <c r="N644" s="8" t="str">
        <f t="shared" si="64"/>
        <v>PEN</v>
      </c>
      <c r="O644" s="13"/>
      <c r="P644" s="13">
        <v>44.2</v>
      </c>
      <c r="Q644" s="3">
        <f t="shared" si="65"/>
        <v>0</v>
      </c>
      <c r="R644" s="3">
        <f t="shared" si="66"/>
        <v>44.2</v>
      </c>
      <c r="S644" s="3">
        <f t="shared" si="67"/>
        <v>17211.099999999995</v>
      </c>
      <c r="T644" s="24"/>
      <c r="U644" s="24"/>
      <c r="V644" s="3"/>
      <c r="W644" s="25"/>
      <c r="X644" s="25"/>
      <c r="Y644" s="25"/>
      <c r="Z644" s="25"/>
      <c r="AA644" s="25"/>
      <c r="AB644" s="3" t="str">
        <f>IF(Caja_Finanzas[[#This Row],[fecha]]&gt;0,TEXT(Caja_Finanzas[[#This Row],[fecha]],"mmmm"),0)</f>
        <v>Julio</v>
      </c>
    </row>
    <row r="645" spans="1:28" ht="36" x14ac:dyDescent="0.3">
      <c r="A645" s="2">
        <f>IF(Caja_Finanzas[[#This Row],[tipo_r]]="R",COUNTIFS($C$1:$C644,"R")+1,A644)</f>
        <v>590</v>
      </c>
      <c r="B645" s="19" t="str">
        <f t="shared" si="63"/>
        <v>C-Finanzas</v>
      </c>
      <c r="C645" s="3" t="s">
        <v>1330</v>
      </c>
      <c r="D645" s="14">
        <v>45855</v>
      </c>
      <c r="E645" s="5" t="s">
        <v>6570</v>
      </c>
      <c r="F645" s="5" t="s">
        <v>1336</v>
      </c>
      <c r="G645" s="5"/>
      <c r="H645" s="134" t="s">
        <v>1009</v>
      </c>
      <c r="I645" s="6" t="s">
        <v>115</v>
      </c>
      <c r="J645" s="6" t="s">
        <v>7187</v>
      </c>
      <c r="K645" s="6">
        <v>135</v>
      </c>
      <c r="L645" s="7" t="s">
        <v>7332</v>
      </c>
      <c r="M645" s="8" t="str">
        <f>"CFI"&amp;".D"&amp;TEXT(Caja_Finanzas[[#This Row],[fecha]],"DD-MM")&amp;"-"&amp;TEXT(Caja_Finanzas[[#This Row],[item]],"0000")</f>
        <v>CFI.D17-07-0590</v>
      </c>
      <c r="N645" s="8" t="str">
        <f t="shared" si="64"/>
        <v>PEN</v>
      </c>
      <c r="O645" s="13"/>
      <c r="P645" s="13">
        <v>100</v>
      </c>
      <c r="Q645" s="3">
        <f t="shared" si="65"/>
        <v>0</v>
      </c>
      <c r="R645" s="3">
        <f t="shared" si="66"/>
        <v>100</v>
      </c>
      <c r="S645" s="3">
        <f t="shared" si="67"/>
        <v>17111.099999999995</v>
      </c>
      <c r="T645" s="24"/>
      <c r="U645" s="24"/>
      <c r="V645" s="3"/>
      <c r="W645" s="25"/>
      <c r="X645" s="25"/>
      <c r="Y645" s="25"/>
      <c r="Z645" s="25"/>
      <c r="AA645" s="25"/>
      <c r="AB645" s="3" t="str">
        <f>IF(Caja_Finanzas[[#This Row],[fecha]]&gt;0,TEXT(Caja_Finanzas[[#This Row],[fecha]],"mmmm"),0)</f>
        <v>Julio</v>
      </c>
    </row>
    <row r="646" spans="1:28" ht="36" x14ac:dyDescent="0.3">
      <c r="A646" s="2">
        <f>IF(Caja_Finanzas[[#This Row],[tipo_r]]="R",COUNTIFS($C$1:$C645,"R")+1,A645)</f>
        <v>591</v>
      </c>
      <c r="B646" s="19" t="str">
        <f t="shared" si="63"/>
        <v>C-Finanzas</v>
      </c>
      <c r="C646" s="3" t="s">
        <v>1330</v>
      </c>
      <c r="D646" s="14">
        <v>45855</v>
      </c>
      <c r="E646" s="5" t="s">
        <v>6570</v>
      </c>
      <c r="F646" s="5" t="s">
        <v>1336</v>
      </c>
      <c r="G646" s="5"/>
      <c r="H646" s="134" t="s">
        <v>1009</v>
      </c>
      <c r="I646" s="6" t="s">
        <v>115</v>
      </c>
      <c r="J646" s="6" t="s">
        <v>7187</v>
      </c>
      <c r="K646" s="6">
        <v>134</v>
      </c>
      <c r="L646" s="7" t="s">
        <v>7333</v>
      </c>
      <c r="M646" s="8" t="str">
        <f>"CFI"&amp;".D"&amp;TEXT(Caja_Finanzas[[#This Row],[fecha]],"DD-MM")&amp;"-"&amp;TEXT(Caja_Finanzas[[#This Row],[item]],"0000")</f>
        <v>CFI.D17-07-0591</v>
      </c>
      <c r="N646" s="8" t="str">
        <f t="shared" si="64"/>
        <v>PEN</v>
      </c>
      <c r="O646" s="13"/>
      <c r="P646" s="13">
        <v>90</v>
      </c>
      <c r="Q646" s="3">
        <f t="shared" si="65"/>
        <v>0</v>
      </c>
      <c r="R646" s="3">
        <f t="shared" si="66"/>
        <v>90</v>
      </c>
      <c r="S646" s="3">
        <f t="shared" si="67"/>
        <v>17021.099999999995</v>
      </c>
      <c r="T646" s="24"/>
      <c r="U646" s="24"/>
      <c r="V646" s="3"/>
      <c r="W646" s="25"/>
      <c r="X646" s="25"/>
      <c r="Y646" s="25"/>
      <c r="Z646" s="25"/>
      <c r="AA646" s="25"/>
      <c r="AB646" s="3" t="str">
        <f>IF(Caja_Finanzas[[#This Row],[fecha]]&gt;0,TEXT(Caja_Finanzas[[#This Row],[fecha]],"mmmm"),0)</f>
        <v>Julio</v>
      </c>
    </row>
    <row r="647" spans="1:28" ht="24" x14ac:dyDescent="0.3">
      <c r="A647" s="2">
        <f>IF(Caja_Finanzas[[#This Row],[tipo_r]]="R",COUNTIFS($C$1:$C646,"R")+1,A646)</f>
        <v>592</v>
      </c>
      <c r="B647" s="19" t="str">
        <f t="shared" si="63"/>
        <v>C-Finanzas</v>
      </c>
      <c r="C647" s="3" t="s">
        <v>1330</v>
      </c>
      <c r="D647" s="14">
        <v>45855</v>
      </c>
      <c r="E647" s="5" t="s">
        <v>6385</v>
      </c>
      <c r="F647" s="5" t="s">
        <v>1336</v>
      </c>
      <c r="G647" s="5"/>
      <c r="H647" s="6" t="s">
        <v>1009</v>
      </c>
      <c r="I647" s="6" t="s">
        <v>115</v>
      </c>
      <c r="J647" s="6" t="s">
        <v>7334</v>
      </c>
      <c r="K647" s="6">
        <v>1</v>
      </c>
      <c r="L647" s="7" t="s">
        <v>7335</v>
      </c>
      <c r="M647" s="8" t="str">
        <f>"CFI"&amp;".D"&amp;TEXT(Caja_Finanzas[[#This Row],[fecha]],"DD-MM")&amp;"-"&amp;TEXT(Caja_Finanzas[[#This Row],[item]],"0000")</f>
        <v>CFI.D17-07-0592</v>
      </c>
      <c r="N647" s="8" t="str">
        <f t="shared" si="64"/>
        <v>PEN</v>
      </c>
      <c r="O647" s="13"/>
      <c r="P647" s="13">
        <v>32.1</v>
      </c>
      <c r="Q647" s="3">
        <f t="shared" si="65"/>
        <v>0</v>
      </c>
      <c r="R647" s="3">
        <f t="shared" si="66"/>
        <v>32.1</v>
      </c>
      <c r="S647" s="3">
        <f t="shared" si="67"/>
        <v>16988.999999999996</v>
      </c>
      <c r="T647" s="24"/>
      <c r="U647" s="24"/>
      <c r="V647" s="3"/>
      <c r="W647" s="25"/>
      <c r="X647" s="25"/>
      <c r="Y647" s="25"/>
      <c r="Z647" s="25"/>
      <c r="AA647" s="25"/>
      <c r="AB647" s="3" t="str">
        <f>IF(Caja_Finanzas[[#This Row],[fecha]]&gt;0,TEXT(Caja_Finanzas[[#This Row],[fecha]],"mmmm"),0)</f>
        <v>Julio</v>
      </c>
    </row>
    <row r="648" spans="1:28" ht="24" x14ac:dyDescent="0.3">
      <c r="A648" s="2">
        <f>IF(Caja_Finanzas[[#This Row],[tipo_r]]="R",COUNTIFS($C$1:$C647,"R")+1,A647)</f>
        <v>593</v>
      </c>
      <c r="B648" s="19" t="str">
        <f t="shared" ref="B648:B656" si="68">"C-Finanzas"</f>
        <v>C-Finanzas</v>
      </c>
      <c r="C648" s="3" t="s">
        <v>1330</v>
      </c>
      <c r="D648" s="14">
        <v>45856</v>
      </c>
      <c r="E648" s="5" t="s">
        <v>6731</v>
      </c>
      <c r="F648" s="5" t="s">
        <v>1336</v>
      </c>
      <c r="G648" s="5"/>
      <c r="H648" s="134" t="s">
        <v>1009</v>
      </c>
      <c r="I648" s="6" t="s">
        <v>115</v>
      </c>
      <c r="J648" s="6" t="s">
        <v>7187</v>
      </c>
      <c r="K648" s="6">
        <v>133</v>
      </c>
      <c r="L648" s="7" t="s">
        <v>7336</v>
      </c>
      <c r="M648" s="8" t="str">
        <f>"CFI"&amp;".D"&amp;TEXT(Caja_Finanzas[[#This Row],[fecha]],"DD-MM")&amp;"-"&amp;TEXT(Caja_Finanzas[[#This Row],[item]],"0000")</f>
        <v>CFI.D18-07-0593</v>
      </c>
      <c r="N648" s="8" t="str">
        <f t="shared" ref="N648:N656" si="69">"PEN"</f>
        <v>PEN</v>
      </c>
      <c r="O648" s="13"/>
      <c r="P648" s="13">
        <v>15</v>
      </c>
      <c r="Q648" s="3">
        <f t="shared" ref="Q648:Q656" si="70">+IF(OR($F648="SALDO",$F648="INGRESO"),$P648,0)</f>
        <v>0</v>
      </c>
      <c r="R648" s="3">
        <f t="shared" ref="R648:R656" si="71">+IF($F648="EGRESO",$P648,0)</f>
        <v>15</v>
      </c>
      <c r="S648" s="3">
        <f t="shared" si="67"/>
        <v>16973.999999999996</v>
      </c>
      <c r="T648" s="24"/>
      <c r="U648" s="24"/>
      <c r="V648" s="3"/>
      <c r="W648" s="25"/>
      <c r="X648" s="25"/>
      <c r="Y648" s="25"/>
      <c r="Z648" s="25"/>
      <c r="AA648" s="25"/>
      <c r="AB648" s="3" t="str">
        <f>IF(Caja_Finanzas[[#This Row],[fecha]]&gt;0,TEXT(Caja_Finanzas[[#This Row],[fecha]],"mmmm"),0)</f>
        <v>Julio</v>
      </c>
    </row>
    <row r="649" spans="1:28" ht="36" x14ac:dyDescent="0.3">
      <c r="A649" s="2">
        <f>IF(Caja_Finanzas[[#This Row],[tipo_r]]="R",COUNTIFS($C$1:$C648,"R")+1,A648)</f>
        <v>594</v>
      </c>
      <c r="B649" s="19" t="str">
        <f t="shared" si="68"/>
        <v>C-Finanzas</v>
      </c>
      <c r="C649" s="3" t="s">
        <v>1330</v>
      </c>
      <c r="D649" s="14">
        <v>45856</v>
      </c>
      <c r="E649" s="5" t="s">
        <v>6940</v>
      </c>
      <c r="F649" s="5" t="s">
        <v>1336</v>
      </c>
      <c r="G649" s="5"/>
      <c r="H649" s="134" t="s">
        <v>1009</v>
      </c>
      <c r="I649" s="6" t="s">
        <v>115</v>
      </c>
      <c r="J649" s="6" t="s">
        <v>7187</v>
      </c>
      <c r="K649" s="6">
        <v>125</v>
      </c>
      <c r="L649" s="7" t="s">
        <v>7337</v>
      </c>
      <c r="M649" s="8" t="str">
        <f>"CFI"&amp;".D"&amp;TEXT(Caja_Finanzas[[#This Row],[fecha]],"DD-MM")&amp;"-"&amp;TEXT(Caja_Finanzas[[#This Row],[item]],"0000")</f>
        <v>CFI.D18-07-0594</v>
      </c>
      <c r="N649" s="8" t="str">
        <f t="shared" si="69"/>
        <v>PEN</v>
      </c>
      <c r="O649" s="13"/>
      <c r="P649" s="13">
        <v>600</v>
      </c>
      <c r="Q649" s="3">
        <f t="shared" si="70"/>
        <v>0</v>
      </c>
      <c r="R649" s="3">
        <f t="shared" si="71"/>
        <v>600</v>
      </c>
      <c r="S649" s="3">
        <f t="shared" si="67"/>
        <v>16373.999999999996</v>
      </c>
      <c r="T649" s="24"/>
      <c r="U649" s="24"/>
      <c r="V649" s="3"/>
      <c r="W649" s="25"/>
      <c r="X649" s="25"/>
      <c r="Y649" s="25"/>
      <c r="Z649" s="25"/>
      <c r="AA649" s="25"/>
      <c r="AB649" s="3" t="str">
        <f>IF(Caja_Finanzas[[#This Row],[fecha]]&gt;0,TEXT(Caja_Finanzas[[#This Row],[fecha]],"mmmm"),0)</f>
        <v>Julio</v>
      </c>
    </row>
    <row r="650" spans="1:28" ht="24" x14ac:dyDescent="0.3">
      <c r="A650" s="2">
        <f>IF(Caja_Finanzas[[#This Row],[tipo_r]]="R",COUNTIFS($C$1:$C649,"R")+1,A649)</f>
        <v>595</v>
      </c>
      <c r="B650" s="19" t="str">
        <f t="shared" si="68"/>
        <v>C-Finanzas</v>
      </c>
      <c r="C650" s="3" t="s">
        <v>1330</v>
      </c>
      <c r="D650" s="14">
        <v>45856</v>
      </c>
      <c r="E650" s="5" t="s">
        <v>6940</v>
      </c>
      <c r="F650" s="5" t="s">
        <v>1336</v>
      </c>
      <c r="G650" s="5"/>
      <c r="H650" s="134" t="s">
        <v>1009</v>
      </c>
      <c r="I650" s="6" t="s">
        <v>115</v>
      </c>
      <c r="J650" s="6" t="s">
        <v>7282</v>
      </c>
      <c r="K650" s="6">
        <v>65</v>
      </c>
      <c r="L650" s="7" t="s">
        <v>7338</v>
      </c>
      <c r="M650" s="8" t="str">
        <f>"CFI"&amp;".D"&amp;TEXT(Caja_Finanzas[[#This Row],[fecha]],"DD-MM")&amp;"-"&amp;TEXT(Caja_Finanzas[[#This Row],[item]],"0000")</f>
        <v>CFI.D18-07-0595</v>
      </c>
      <c r="N650" s="8" t="str">
        <f t="shared" si="69"/>
        <v>PEN</v>
      </c>
      <c r="O650" s="13"/>
      <c r="P650" s="13">
        <v>460</v>
      </c>
      <c r="Q650" s="3">
        <f t="shared" si="70"/>
        <v>0</v>
      </c>
      <c r="R650" s="3">
        <f t="shared" si="71"/>
        <v>460</v>
      </c>
      <c r="S650" s="3">
        <f t="shared" si="67"/>
        <v>15913.999999999996</v>
      </c>
      <c r="T650" s="24"/>
      <c r="U650" s="24"/>
      <c r="V650" s="3"/>
      <c r="W650" s="25"/>
      <c r="X650" s="25"/>
      <c r="Y650" s="25"/>
      <c r="Z650" s="25"/>
      <c r="AA650" s="25"/>
      <c r="AB650" s="3" t="str">
        <f>IF(Caja_Finanzas[[#This Row],[fecha]]&gt;0,TEXT(Caja_Finanzas[[#This Row],[fecha]],"mmmm"),0)</f>
        <v>Julio</v>
      </c>
    </row>
    <row r="651" spans="1:28" ht="24" x14ac:dyDescent="0.3">
      <c r="A651" s="2">
        <f>IF(Caja_Finanzas[[#This Row],[tipo_r]]="R",COUNTIFS($C$1:$C650,"R")+1,A650)</f>
        <v>596</v>
      </c>
      <c r="B651" s="19" t="str">
        <f t="shared" si="68"/>
        <v>C-Finanzas</v>
      </c>
      <c r="C651" s="3" t="s">
        <v>1330</v>
      </c>
      <c r="D651" s="14">
        <v>45859</v>
      </c>
      <c r="E651" s="5" t="s">
        <v>3445</v>
      </c>
      <c r="F651" s="5" t="s">
        <v>1303</v>
      </c>
      <c r="G651" s="5"/>
      <c r="H651" s="6"/>
      <c r="I651" s="6" t="s">
        <v>119</v>
      </c>
      <c r="J651" s="6">
        <v>1</v>
      </c>
      <c r="K651" s="6">
        <v>4617</v>
      </c>
      <c r="L651" s="7" t="s">
        <v>6118</v>
      </c>
      <c r="M651" s="8" t="str">
        <f>"CFI"&amp;".D"&amp;TEXT(Caja_Finanzas[[#This Row],[fecha]],"DD-MM")&amp;"-"&amp;TEXT(Caja_Finanzas[[#This Row],[item]],"0000")</f>
        <v>CFI.D21-07-0596</v>
      </c>
      <c r="N651" s="8" t="str">
        <f t="shared" si="69"/>
        <v>PEN</v>
      </c>
      <c r="O651" s="13"/>
      <c r="P651" s="13">
        <v>2140</v>
      </c>
      <c r="Q651" s="3">
        <f t="shared" si="70"/>
        <v>2140</v>
      </c>
      <c r="R651" s="3">
        <f t="shared" si="71"/>
        <v>0</v>
      </c>
      <c r="S651" s="3">
        <f t="shared" si="67"/>
        <v>18053.999999999996</v>
      </c>
      <c r="T651" s="24"/>
      <c r="U651" s="24"/>
      <c r="V651" s="3"/>
      <c r="W651" s="25"/>
      <c r="X651" s="25"/>
      <c r="Y651" s="25"/>
      <c r="Z651" s="25"/>
      <c r="AA651" s="25"/>
      <c r="AB651" s="3" t="str">
        <f>IF(Caja_Finanzas[[#This Row],[fecha]]&gt;0,TEXT(Caja_Finanzas[[#This Row],[fecha]],"mmmm"),0)</f>
        <v>Julio</v>
      </c>
    </row>
    <row r="652" spans="1:28" x14ac:dyDescent="0.3">
      <c r="A652" s="2">
        <f>IF(Caja_Finanzas[[#This Row],[tipo_r]]="R",COUNTIFS($C$1:$C651,"R")+1,A651)</f>
        <v>597</v>
      </c>
      <c r="B652" s="19" t="str">
        <f t="shared" si="68"/>
        <v>C-Finanzas</v>
      </c>
      <c r="C652" s="3" t="s">
        <v>1330</v>
      </c>
      <c r="D652" s="14">
        <v>45859</v>
      </c>
      <c r="E652" s="5" t="s">
        <v>6679</v>
      </c>
      <c r="F652" s="5" t="s">
        <v>1303</v>
      </c>
      <c r="G652" s="5"/>
      <c r="H652" s="6"/>
      <c r="I652" s="6" t="s">
        <v>119</v>
      </c>
      <c r="J652" s="6">
        <v>1</v>
      </c>
      <c r="K652" s="6">
        <v>4618</v>
      </c>
      <c r="L652" s="7" t="s">
        <v>6118</v>
      </c>
      <c r="M652" s="8" t="str">
        <f>"CFI"&amp;".D"&amp;TEXT(Caja_Finanzas[[#This Row],[fecha]],"DD-MM")&amp;"-"&amp;TEXT(Caja_Finanzas[[#This Row],[item]],"0000")</f>
        <v>CFI.D21-07-0597</v>
      </c>
      <c r="N652" s="8" t="str">
        <f t="shared" si="69"/>
        <v>PEN</v>
      </c>
      <c r="O652" s="13"/>
      <c r="P652" s="13">
        <v>1260</v>
      </c>
      <c r="Q652" s="3">
        <f t="shared" si="70"/>
        <v>1260</v>
      </c>
      <c r="R652" s="3">
        <f t="shared" si="71"/>
        <v>0</v>
      </c>
      <c r="S652" s="3">
        <f t="shared" si="67"/>
        <v>19313.999999999996</v>
      </c>
      <c r="T652" s="24"/>
      <c r="U652" s="24"/>
      <c r="V652" s="3"/>
      <c r="W652" s="25"/>
      <c r="X652" s="25"/>
      <c r="Y652" s="25"/>
      <c r="Z652" s="25"/>
      <c r="AA652" s="25"/>
      <c r="AB652" s="3" t="str">
        <f>IF(Caja_Finanzas[[#This Row],[fecha]]&gt;0,TEXT(Caja_Finanzas[[#This Row],[fecha]],"mmmm"),0)</f>
        <v>Julio</v>
      </c>
    </row>
    <row r="653" spans="1:28" ht="24" x14ac:dyDescent="0.3">
      <c r="A653" s="2">
        <f>IF(Caja_Finanzas[[#This Row],[tipo_r]]="R",COUNTIFS($C$1:$C652,"R")+1,A652)</f>
        <v>598</v>
      </c>
      <c r="B653" s="19" t="str">
        <f t="shared" si="68"/>
        <v>C-Finanzas</v>
      </c>
      <c r="C653" s="3" t="s">
        <v>1330</v>
      </c>
      <c r="D653" s="14">
        <v>45859</v>
      </c>
      <c r="E653" s="5" t="s">
        <v>6554</v>
      </c>
      <c r="F653" s="5" t="s">
        <v>1303</v>
      </c>
      <c r="G653" s="5"/>
      <c r="H653" s="6"/>
      <c r="I653" s="6" t="s">
        <v>119</v>
      </c>
      <c r="J653" s="6">
        <v>1</v>
      </c>
      <c r="K653" s="6">
        <v>4565</v>
      </c>
      <c r="L653" s="7" t="s">
        <v>6118</v>
      </c>
      <c r="M653" s="8" t="str">
        <f>"CFI"&amp;".D"&amp;TEXT(Caja_Finanzas[[#This Row],[fecha]],"DD-MM")&amp;"-"&amp;TEXT(Caja_Finanzas[[#This Row],[item]],"0000")</f>
        <v>CFI.D21-07-0598</v>
      </c>
      <c r="N653" s="8" t="str">
        <f t="shared" si="69"/>
        <v>PEN</v>
      </c>
      <c r="O653" s="13"/>
      <c r="P653" s="13">
        <v>500</v>
      </c>
      <c r="Q653" s="3">
        <f t="shared" si="70"/>
        <v>500</v>
      </c>
      <c r="R653" s="3">
        <f t="shared" si="71"/>
        <v>0</v>
      </c>
      <c r="S653" s="3">
        <f t="shared" si="67"/>
        <v>19813.999999999996</v>
      </c>
      <c r="T653" s="24"/>
      <c r="U653" s="24"/>
      <c r="V653" s="3"/>
      <c r="W653" s="25"/>
      <c r="X653" s="25"/>
      <c r="Y653" s="25"/>
      <c r="Z653" s="25"/>
      <c r="AA653" s="25"/>
      <c r="AB653" s="3" t="str">
        <f>IF(Caja_Finanzas[[#This Row],[fecha]]&gt;0,TEXT(Caja_Finanzas[[#This Row],[fecha]],"mmmm"),0)</f>
        <v>Julio</v>
      </c>
    </row>
    <row r="654" spans="1:28" ht="24" x14ac:dyDescent="0.3">
      <c r="A654" s="2">
        <f>IF(Caja_Finanzas[[#This Row],[tipo_r]]="R",COUNTIFS($C$1:$C653,"R")+1,A653)</f>
        <v>599</v>
      </c>
      <c r="B654" s="19" t="str">
        <f t="shared" si="68"/>
        <v>C-Finanzas</v>
      </c>
      <c r="C654" s="3" t="s">
        <v>1330</v>
      </c>
      <c r="D654" s="14">
        <v>45859</v>
      </c>
      <c r="E654" s="5" t="s">
        <v>2502</v>
      </c>
      <c r="F654" s="5" t="s">
        <v>1303</v>
      </c>
      <c r="G654" s="5"/>
      <c r="H654" s="6"/>
      <c r="I654" s="6" t="s">
        <v>119</v>
      </c>
      <c r="J654" s="6">
        <v>1</v>
      </c>
      <c r="K654" s="6">
        <v>4612</v>
      </c>
      <c r="L654" s="7" t="s">
        <v>6118</v>
      </c>
      <c r="M654" s="8" t="str">
        <f>"CFI"&amp;".D"&amp;TEXT(Caja_Finanzas[[#This Row],[fecha]],"DD-MM")&amp;"-"&amp;TEXT(Caja_Finanzas[[#This Row],[item]],"0000")</f>
        <v>CFI.D21-07-0599</v>
      </c>
      <c r="N654" s="8" t="str">
        <f t="shared" si="69"/>
        <v>PEN</v>
      </c>
      <c r="O654" s="13"/>
      <c r="P654" s="13">
        <v>2785.5</v>
      </c>
      <c r="Q654" s="3">
        <f t="shared" si="70"/>
        <v>2785.5</v>
      </c>
      <c r="R654" s="3">
        <f t="shared" si="71"/>
        <v>0</v>
      </c>
      <c r="S654" s="3">
        <f t="shared" si="67"/>
        <v>22599.499999999996</v>
      </c>
      <c r="T654" s="24"/>
      <c r="U654" s="24"/>
      <c r="V654" s="3"/>
      <c r="W654" s="25"/>
      <c r="X654" s="25"/>
      <c r="Y654" s="25"/>
      <c r="Z654" s="25"/>
      <c r="AA654" s="25"/>
      <c r="AB654" s="3" t="str">
        <f>IF(Caja_Finanzas[[#This Row],[fecha]]&gt;0,TEXT(Caja_Finanzas[[#This Row],[fecha]],"mmmm"),0)</f>
        <v>Julio</v>
      </c>
    </row>
    <row r="655" spans="1:28" x14ac:dyDescent="0.3">
      <c r="A655" s="2">
        <f>IF(Caja_Finanzas[[#This Row],[tipo_r]]="R",COUNTIFS($C$1:$C654,"R")+1,A654)</f>
        <v>600</v>
      </c>
      <c r="B655" s="19" t="str">
        <f t="shared" si="68"/>
        <v>C-Finanzas</v>
      </c>
      <c r="C655" s="3" t="s">
        <v>1330</v>
      </c>
      <c r="D655" s="14">
        <v>45859</v>
      </c>
      <c r="E655" s="5" t="s">
        <v>1498</v>
      </c>
      <c r="F655" s="5" t="s">
        <v>1303</v>
      </c>
      <c r="G655" s="5"/>
      <c r="H655" s="6"/>
      <c r="I655" s="6" t="s">
        <v>119</v>
      </c>
      <c r="J655" s="6">
        <v>1</v>
      </c>
      <c r="K655" s="6">
        <v>4615</v>
      </c>
      <c r="L655" s="7" t="s">
        <v>6118</v>
      </c>
      <c r="M655" s="8" t="str">
        <f>"CFI"&amp;".D"&amp;TEXT(Caja_Finanzas[[#This Row],[fecha]],"DD-MM")&amp;"-"&amp;TEXT(Caja_Finanzas[[#This Row],[item]],"0000")</f>
        <v>CFI.D21-07-0600</v>
      </c>
      <c r="N655" s="8" t="str">
        <f t="shared" si="69"/>
        <v>PEN</v>
      </c>
      <c r="O655" s="13"/>
      <c r="P655" s="13">
        <v>30</v>
      </c>
      <c r="Q655" s="3">
        <f t="shared" si="70"/>
        <v>30</v>
      </c>
      <c r="R655" s="3">
        <f t="shared" si="71"/>
        <v>0</v>
      </c>
      <c r="S655" s="3">
        <f t="shared" si="67"/>
        <v>22629.499999999996</v>
      </c>
      <c r="T655" s="24"/>
      <c r="U655" s="24"/>
      <c r="V655" s="3"/>
      <c r="W655" s="25"/>
      <c r="X655" s="25"/>
      <c r="Y655" s="25"/>
      <c r="Z655" s="25"/>
      <c r="AA655" s="25"/>
      <c r="AB655" s="3" t="str">
        <f>IF(Caja_Finanzas[[#This Row],[fecha]]&gt;0,TEXT(Caja_Finanzas[[#This Row],[fecha]],"mmmm"),0)</f>
        <v>Julio</v>
      </c>
    </row>
    <row r="656" spans="1:28" ht="24" x14ac:dyDescent="0.3">
      <c r="A656" s="2">
        <f>IF(Caja_Finanzas[[#This Row],[tipo_r]]="R",COUNTIFS($C$1:$C655,"R")+1,A655)</f>
        <v>601</v>
      </c>
      <c r="B656" s="19" t="str">
        <f t="shared" si="68"/>
        <v>C-Finanzas</v>
      </c>
      <c r="C656" s="3" t="s">
        <v>1330</v>
      </c>
      <c r="D656" s="14">
        <v>45859</v>
      </c>
      <c r="E656" s="5" t="s">
        <v>7339</v>
      </c>
      <c r="F656" s="5" t="s">
        <v>1303</v>
      </c>
      <c r="G656" s="5"/>
      <c r="H656" s="6"/>
      <c r="I656" s="6" t="s">
        <v>119</v>
      </c>
      <c r="J656" s="6">
        <v>1</v>
      </c>
      <c r="K656" s="6">
        <v>4620</v>
      </c>
      <c r="L656" s="7" t="s">
        <v>6118</v>
      </c>
      <c r="M656" s="8" t="str">
        <f>"CFI"&amp;".D"&amp;TEXT(Caja_Finanzas[[#This Row],[fecha]],"DD-MM")&amp;"-"&amp;TEXT(Caja_Finanzas[[#This Row],[item]],"0000")</f>
        <v>CFI.D21-07-0601</v>
      </c>
      <c r="N656" s="8" t="str">
        <f t="shared" si="69"/>
        <v>PEN</v>
      </c>
      <c r="O656" s="13"/>
      <c r="P656" s="13">
        <v>330</v>
      </c>
      <c r="Q656" s="3">
        <f t="shared" si="70"/>
        <v>330</v>
      </c>
      <c r="R656" s="3">
        <f t="shared" si="71"/>
        <v>0</v>
      </c>
      <c r="S656" s="3">
        <f t="shared" si="67"/>
        <v>22959.499999999996</v>
      </c>
      <c r="T656" s="24"/>
      <c r="U656" s="24"/>
      <c r="V656" s="3"/>
      <c r="W656" s="25"/>
      <c r="X656" s="25"/>
      <c r="Y656" s="25"/>
      <c r="Z656" s="25"/>
      <c r="AA656" s="25"/>
      <c r="AB656" s="3" t="str">
        <f>IF(Caja_Finanzas[[#This Row],[fecha]]&gt;0,TEXT(Caja_Finanzas[[#This Row],[fecha]],"mmmm"),0)</f>
        <v>Julio</v>
      </c>
    </row>
    <row r="657" spans="1:28" ht="24" x14ac:dyDescent="0.3">
      <c r="A657" s="2">
        <f>IF(Caja_Finanzas[[#This Row],[tipo_r]]="R",COUNTIFS($C$1:$C656,"R")+1,A656)</f>
        <v>602</v>
      </c>
      <c r="B657" s="19" t="str">
        <f t="shared" ref="B657:B662" si="72">"C-Finanzas"</f>
        <v>C-Finanzas</v>
      </c>
      <c r="C657" s="3" t="s">
        <v>1330</v>
      </c>
      <c r="D657" s="14">
        <v>45860</v>
      </c>
      <c r="E657" s="5" t="s">
        <v>2502</v>
      </c>
      <c r="F657" s="5" t="s">
        <v>1303</v>
      </c>
      <c r="G657" s="5"/>
      <c r="H657" s="6"/>
      <c r="I657" s="6" t="s">
        <v>119</v>
      </c>
      <c r="J657" s="6">
        <v>1</v>
      </c>
      <c r="K657" s="6">
        <v>4624</v>
      </c>
      <c r="L657" s="7" t="s">
        <v>6118</v>
      </c>
      <c r="M657" s="8" t="str">
        <f>"CFI"&amp;".D"&amp;TEXT(Caja_Finanzas[[#This Row],[fecha]],"DD-MM")&amp;"-"&amp;TEXT(Caja_Finanzas[[#This Row],[item]],"0000")</f>
        <v>CFI.D22-07-0602</v>
      </c>
      <c r="N657" s="8" t="str">
        <f t="shared" ref="N657:N662" si="73">"PEN"</f>
        <v>PEN</v>
      </c>
      <c r="O657" s="13"/>
      <c r="P657" s="13">
        <v>1875</v>
      </c>
      <c r="Q657" s="3">
        <f t="shared" ref="Q657:Q662" si="74">+IF(OR($F657="SALDO",$F657="INGRESO"),$P657,0)</f>
        <v>1875</v>
      </c>
      <c r="R657" s="3">
        <f t="shared" ref="R657:R662" si="75">+IF($F657="EGRESO",$P657,0)</f>
        <v>0</v>
      </c>
      <c r="S657" s="3">
        <f t="shared" si="67"/>
        <v>24834.499999999996</v>
      </c>
      <c r="T657" s="24"/>
      <c r="U657" s="24"/>
      <c r="V657" s="3"/>
      <c r="W657" s="25"/>
      <c r="X657" s="25"/>
      <c r="Y657" s="25"/>
      <c r="Z657" s="25"/>
      <c r="AA657" s="25"/>
      <c r="AB657" s="3" t="str">
        <f>IF(Caja_Finanzas[[#This Row],[fecha]]&gt;0,TEXT(Caja_Finanzas[[#This Row],[fecha]],"mmmm"),0)</f>
        <v>Julio</v>
      </c>
    </row>
    <row r="658" spans="1:28" ht="24" x14ac:dyDescent="0.3">
      <c r="A658" s="2">
        <f>IF(Caja_Finanzas[[#This Row],[tipo_r]]="R",COUNTIFS($C$1:$C657,"R")+1,A657)</f>
        <v>603</v>
      </c>
      <c r="B658" s="19" t="str">
        <f t="shared" si="72"/>
        <v>C-Finanzas</v>
      </c>
      <c r="C658" s="3" t="s">
        <v>1330</v>
      </c>
      <c r="D658" s="14">
        <v>45862</v>
      </c>
      <c r="E658" s="5" t="s">
        <v>6731</v>
      </c>
      <c r="F658" s="5" t="s">
        <v>1336</v>
      </c>
      <c r="G658" s="5"/>
      <c r="H658" s="6" t="s">
        <v>1009</v>
      </c>
      <c r="I658" s="6" t="s">
        <v>115</v>
      </c>
      <c r="J658" s="6" t="s">
        <v>7322</v>
      </c>
      <c r="K658" s="6">
        <v>13</v>
      </c>
      <c r="L658" s="7" t="s">
        <v>7340</v>
      </c>
      <c r="M658" s="8" t="str">
        <f>"CFI"&amp;".D"&amp;TEXT(Caja_Finanzas[[#This Row],[fecha]],"DD-MM")&amp;"-"&amp;TEXT(Caja_Finanzas[[#This Row],[item]],"0000")</f>
        <v>CFI.D24-07-0603</v>
      </c>
      <c r="N658" s="8" t="str">
        <f t="shared" si="73"/>
        <v>PEN</v>
      </c>
      <c r="O658" s="13"/>
      <c r="P658" s="13">
        <v>61.2</v>
      </c>
      <c r="Q658" s="3">
        <f t="shared" si="74"/>
        <v>0</v>
      </c>
      <c r="R658" s="3">
        <f t="shared" si="75"/>
        <v>61.2</v>
      </c>
      <c r="S658" s="3">
        <f t="shared" si="67"/>
        <v>24773.299999999996</v>
      </c>
      <c r="T658" s="24"/>
      <c r="U658" s="24"/>
      <c r="V658" s="3"/>
      <c r="W658" s="25"/>
      <c r="X658" s="25"/>
      <c r="Y658" s="25"/>
      <c r="Z658" s="25"/>
      <c r="AA658" s="25"/>
      <c r="AB658" s="3" t="str">
        <f>IF(Caja_Finanzas[[#This Row],[fecha]]&gt;0,TEXT(Caja_Finanzas[[#This Row],[fecha]],"mmmm"),0)</f>
        <v>Julio</v>
      </c>
    </row>
    <row r="659" spans="1:28" ht="24" x14ac:dyDescent="0.3">
      <c r="A659" s="2">
        <f>IF(Caja_Finanzas[[#This Row],[tipo_r]]="R",COUNTIFS($C$1:$C658,"R")+1,A658)</f>
        <v>604</v>
      </c>
      <c r="B659" s="19" t="str">
        <f t="shared" si="72"/>
        <v>C-Finanzas</v>
      </c>
      <c r="C659" s="3" t="s">
        <v>1330</v>
      </c>
      <c r="D659" s="14">
        <v>45862</v>
      </c>
      <c r="E659" s="5" t="s">
        <v>6731</v>
      </c>
      <c r="F659" s="5" t="s">
        <v>1336</v>
      </c>
      <c r="G659" s="5"/>
      <c r="H659" s="6" t="s">
        <v>1009</v>
      </c>
      <c r="I659" s="6" t="s">
        <v>115</v>
      </c>
      <c r="J659" s="6" t="s">
        <v>7187</v>
      </c>
      <c r="K659" s="6">
        <v>136</v>
      </c>
      <c r="L659" s="7" t="s">
        <v>7341</v>
      </c>
      <c r="M659" s="8" t="str">
        <f>"CFI"&amp;".D"&amp;TEXT(Caja_Finanzas[[#This Row],[fecha]],"DD-MM")&amp;"-"&amp;TEXT(Caja_Finanzas[[#This Row],[item]],"0000")</f>
        <v>CFI.D24-07-0604</v>
      </c>
      <c r="N659" s="8" t="str">
        <f t="shared" si="73"/>
        <v>PEN</v>
      </c>
      <c r="O659" s="13"/>
      <c r="P659" s="13">
        <v>20</v>
      </c>
      <c r="Q659" s="3">
        <f t="shared" si="74"/>
        <v>0</v>
      </c>
      <c r="R659" s="3">
        <f t="shared" si="75"/>
        <v>20</v>
      </c>
      <c r="S659" s="3">
        <f t="shared" si="67"/>
        <v>24753.299999999996</v>
      </c>
      <c r="T659" s="24"/>
      <c r="U659" s="24"/>
      <c r="V659" s="3"/>
      <c r="W659" s="25"/>
      <c r="X659" s="25"/>
      <c r="Y659" s="25"/>
      <c r="Z659" s="25"/>
      <c r="AA659" s="25"/>
      <c r="AB659" s="3" t="str">
        <f>IF(Caja_Finanzas[[#This Row],[fecha]]&gt;0,TEXT(Caja_Finanzas[[#This Row],[fecha]],"mmmm"),0)</f>
        <v>Julio</v>
      </c>
    </row>
    <row r="660" spans="1:28" ht="24" x14ac:dyDescent="0.3">
      <c r="A660" s="2">
        <f>IF(Caja_Finanzas[[#This Row],[tipo_r]]="R",COUNTIFS($C$1:$C659,"R")+1,A659)</f>
        <v>605</v>
      </c>
      <c r="B660" s="19" t="str">
        <f t="shared" si="72"/>
        <v>C-Finanzas</v>
      </c>
      <c r="C660" s="3" t="s">
        <v>1330</v>
      </c>
      <c r="D660" s="14">
        <v>45862</v>
      </c>
      <c r="E660" s="5" t="s">
        <v>3091</v>
      </c>
      <c r="F660" s="5" t="s">
        <v>1303</v>
      </c>
      <c r="G660" s="5"/>
      <c r="H660" s="6"/>
      <c r="I660" s="6" t="s">
        <v>119</v>
      </c>
      <c r="J660" s="6">
        <v>2</v>
      </c>
      <c r="K660" s="6">
        <v>816</v>
      </c>
      <c r="L660" s="7" t="s">
        <v>6118</v>
      </c>
      <c r="M660" s="8" t="str">
        <f>"CFI"&amp;".D"&amp;TEXT(Caja_Finanzas[[#This Row],[fecha]],"DD-MM")&amp;"-"&amp;TEXT(Caja_Finanzas[[#This Row],[item]],"0000")</f>
        <v>CFI.D24-07-0605</v>
      </c>
      <c r="N660" s="8" t="str">
        <f t="shared" si="73"/>
        <v>PEN</v>
      </c>
      <c r="O660" s="13"/>
      <c r="P660" s="13">
        <v>75</v>
      </c>
      <c r="Q660" s="3">
        <f t="shared" si="74"/>
        <v>75</v>
      </c>
      <c r="R660" s="3">
        <f t="shared" si="75"/>
        <v>0</v>
      </c>
      <c r="S660" s="3">
        <f t="shared" si="67"/>
        <v>24828.299999999996</v>
      </c>
      <c r="T660" s="24"/>
      <c r="U660" s="24"/>
      <c r="V660" s="3"/>
      <c r="W660" s="25"/>
      <c r="X660" s="25"/>
      <c r="Y660" s="25"/>
      <c r="Z660" s="25"/>
      <c r="AA660" s="25"/>
      <c r="AB660" s="3" t="str">
        <f>IF(Caja_Finanzas[[#This Row],[fecha]]&gt;0,TEXT(Caja_Finanzas[[#This Row],[fecha]],"mmmm"),0)</f>
        <v>Julio</v>
      </c>
    </row>
    <row r="661" spans="1:28" ht="24" x14ac:dyDescent="0.3">
      <c r="A661" s="2">
        <f>IF(Caja_Finanzas[[#This Row],[tipo_r]]="R",COUNTIFS($C$1:$C660,"R")+1,A660)</f>
        <v>606</v>
      </c>
      <c r="B661" s="19" t="str">
        <f t="shared" si="72"/>
        <v>C-Finanzas</v>
      </c>
      <c r="C661" s="3" t="s">
        <v>1330</v>
      </c>
      <c r="D661" s="14">
        <v>45862</v>
      </c>
      <c r="E661" s="5" t="s">
        <v>2205</v>
      </c>
      <c r="F661" s="5" t="s">
        <v>1303</v>
      </c>
      <c r="G661" s="5"/>
      <c r="H661" s="6"/>
      <c r="I661" s="6" t="s">
        <v>119</v>
      </c>
      <c r="J661" s="6">
        <v>1</v>
      </c>
      <c r="K661" s="6">
        <v>4619</v>
      </c>
      <c r="L661" s="7" t="s">
        <v>6118</v>
      </c>
      <c r="M661" s="8" t="str">
        <f>"CFI"&amp;".D"&amp;TEXT(Caja_Finanzas[[#This Row],[fecha]],"DD-MM")&amp;"-"&amp;TEXT(Caja_Finanzas[[#This Row],[item]],"0000")</f>
        <v>CFI.D24-07-0606</v>
      </c>
      <c r="N661" s="8" t="str">
        <f t="shared" si="73"/>
        <v>PEN</v>
      </c>
      <c r="O661" s="13"/>
      <c r="P661" s="13">
        <v>0.3</v>
      </c>
      <c r="Q661" s="3">
        <f t="shared" si="74"/>
        <v>0.3</v>
      </c>
      <c r="R661" s="3">
        <f t="shared" si="75"/>
        <v>0</v>
      </c>
      <c r="S661" s="3">
        <f t="shared" si="67"/>
        <v>24828.599999999995</v>
      </c>
      <c r="T661" s="24"/>
      <c r="U661" s="24"/>
      <c r="V661" s="3"/>
      <c r="W661" s="25"/>
      <c r="X661" s="25"/>
      <c r="Y661" s="25"/>
      <c r="Z661" s="25"/>
      <c r="AA661" s="25"/>
      <c r="AB661" s="3" t="str">
        <f>IF(Caja_Finanzas[[#This Row],[fecha]]&gt;0,TEXT(Caja_Finanzas[[#This Row],[fecha]],"mmmm"),0)</f>
        <v>Julio</v>
      </c>
    </row>
    <row r="662" spans="1:28" ht="24" x14ac:dyDescent="0.3">
      <c r="A662" s="2">
        <f>IF(Caja_Finanzas[[#This Row],[tipo_r]]="R",COUNTIFS($C$1:$C661,"R")+1,A661)</f>
        <v>607</v>
      </c>
      <c r="B662" s="19" t="str">
        <f t="shared" si="72"/>
        <v>C-Finanzas</v>
      </c>
      <c r="C662" s="3" t="s">
        <v>1330</v>
      </c>
      <c r="D662" s="14">
        <v>45862</v>
      </c>
      <c r="E662" s="5" t="s">
        <v>2009</v>
      </c>
      <c r="F662" s="5" t="s">
        <v>1303</v>
      </c>
      <c r="G662" s="5"/>
      <c r="H662" s="6"/>
      <c r="I662" s="6" t="s">
        <v>119</v>
      </c>
      <c r="J662" s="6">
        <v>1</v>
      </c>
      <c r="K662" s="6">
        <v>4627</v>
      </c>
      <c r="L662" s="7" t="s">
        <v>6118</v>
      </c>
      <c r="M662" s="8" t="str">
        <f>"CFI"&amp;".D"&amp;TEXT(Caja_Finanzas[[#This Row],[fecha]],"DD-MM")&amp;"-"&amp;TEXT(Caja_Finanzas[[#This Row],[item]],"0000")</f>
        <v>CFI.D24-07-0607</v>
      </c>
      <c r="N662" s="8" t="str">
        <f t="shared" si="73"/>
        <v>PEN</v>
      </c>
      <c r="O662" s="13"/>
      <c r="P662" s="13">
        <v>1605</v>
      </c>
      <c r="Q662" s="3">
        <f t="shared" si="74"/>
        <v>1605</v>
      </c>
      <c r="R662" s="3">
        <f t="shared" si="75"/>
        <v>0</v>
      </c>
      <c r="S662" s="3">
        <f t="shared" si="67"/>
        <v>26433.599999999995</v>
      </c>
      <c r="T662" s="24"/>
      <c r="U662" s="24"/>
      <c r="V662" s="3"/>
      <c r="W662" s="25"/>
      <c r="X662" s="25"/>
      <c r="Y662" s="25"/>
      <c r="Z662" s="25"/>
      <c r="AA662" s="25"/>
      <c r="AB662" s="3" t="str">
        <f>IF(Caja_Finanzas[[#This Row],[fecha]]&gt;0,TEXT(Caja_Finanzas[[#This Row],[fecha]],"mmmm"),0)</f>
        <v>Julio</v>
      </c>
    </row>
    <row r="663" spans="1:28" x14ac:dyDescent="0.3">
      <c r="A663" s="2">
        <f>IF(Caja_Finanzas[[#This Row],[tipo_r]]="R",COUNTIFS($C$1:$C662,"R")+1,A662)</f>
        <v>608</v>
      </c>
      <c r="B663" s="19" t="str">
        <f t="shared" ref="B663:B669" si="76">"C-Finanzas"</f>
        <v>C-Finanzas</v>
      </c>
      <c r="C663" s="3" t="s">
        <v>1330</v>
      </c>
      <c r="D663" s="14">
        <v>45863</v>
      </c>
      <c r="E663" s="5" t="s">
        <v>1498</v>
      </c>
      <c r="F663" s="5" t="s">
        <v>1303</v>
      </c>
      <c r="G663" s="5"/>
      <c r="H663" s="6"/>
      <c r="I663" s="6" t="s">
        <v>119</v>
      </c>
      <c r="J663" s="6">
        <v>1</v>
      </c>
      <c r="K663" s="6">
        <v>4628</v>
      </c>
      <c r="L663" s="7" t="s">
        <v>6118</v>
      </c>
      <c r="M663" s="8" t="str">
        <f>"CFI"&amp;".D"&amp;TEXT(Caja_Finanzas[[#This Row],[fecha]],"DD-MM")&amp;"-"&amp;TEXT(Caja_Finanzas[[#This Row],[item]],"0000")</f>
        <v>CFI.D25-07-0608</v>
      </c>
      <c r="N663" s="8" t="str">
        <f t="shared" ref="N663:N669" si="77">"PEN"</f>
        <v>PEN</v>
      </c>
      <c r="O663" s="13"/>
      <c r="P663" s="13">
        <v>990</v>
      </c>
      <c r="Q663" s="3">
        <f t="shared" ref="Q663:Q669" si="78">+IF(OR($F663="SALDO",$F663="INGRESO"),$P663,0)</f>
        <v>990</v>
      </c>
      <c r="R663" s="3">
        <f t="shared" ref="R663:R669" si="79">+IF($F663="EGRESO",$P663,0)</f>
        <v>0</v>
      </c>
      <c r="S663" s="3">
        <f t="shared" si="67"/>
        <v>27423.599999999995</v>
      </c>
      <c r="T663" s="24"/>
      <c r="U663" s="24"/>
      <c r="V663" s="3"/>
      <c r="W663" s="25"/>
      <c r="X663" s="25"/>
      <c r="Y663" s="25"/>
      <c r="Z663" s="25"/>
      <c r="AA663" s="25"/>
      <c r="AB663" s="3" t="str">
        <f>IF(Caja_Finanzas[[#This Row],[fecha]]&gt;0,TEXT(Caja_Finanzas[[#This Row],[fecha]],"mmmm"),0)</f>
        <v>Julio</v>
      </c>
    </row>
    <row r="664" spans="1:28" x14ac:dyDescent="0.3">
      <c r="A664" s="2">
        <f>IF(Caja_Finanzas[[#This Row],[tipo_r]]="R",COUNTIFS($C$1:$C663,"R")+1,A663)</f>
        <v>609</v>
      </c>
      <c r="B664" s="19" t="str">
        <f t="shared" si="76"/>
        <v>C-Finanzas</v>
      </c>
      <c r="C664" s="3" t="s">
        <v>1330</v>
      </c>
      <c r="D664" s="14">
        <v>45863</v>
      </c>
      <c r="E664" s="5" t="s">
        <v>1739</v>
      </c>
      <c r="F664" s="5" t="s">
        <v>1303</v>
      </c>
      <c r="G664" s="5"/>
      <c r="H664" s="6"/>
      <c r="I664" s="6" t="s">
        <v>119</v>
      </c>
      <c r="J664" s="6">
        <v>1</v>
      </c>
      <c r="K664" s="6">
        <v>4629</v>
      </c>
      <c r="L664" s="7" t="s">
        <v>6118</v>
      </c>
      <c r="M664" s="8" t="str">
        <f>"CFI"&amp;".D"&amp;TEXT(Caja_Finanzas[[#This Row],[fecha]],"DD-MM")&amp;"-"&amp;TEXT(Caja_Finanzas[[#This Row],[item]],"0000")</f>
        <v>CFI.D25-07-0609</v>
      </c>
      <c r="N664" s="8" t="str">
        <f t="shared" si="77"/>
        <v>PEN</v>
      </c>
      <c r="O664" s="13"/>
      <c r="P664" s="13">
        <v>48.4</v>
      </c>
      <c r="Q664" s="3">
        <f t="shared" si="78"/>
        <v>48.4</v>
      </c>
      <c r="R664" s="3">
        <f t="shared" si="79"/>
        <v>0</v>
      </c>
      <c r="S664" s="3">
        <f t="shared" si="67"/>
        <v>27471.999999999996</v>
      </c>
      <c r="T664" s="24"/>
      <c r="U664" s="24"/>
      <c r="V664" s="3"/>
      <c r="W664" s="25"/>
      <c r="X664" s="25"/>
      <c r="Y664" s="25"/>
      <c r="Z664" s="25"/>
      <c r="AA664" s="25"/>
      <c r="AB664" s="3" t="str">
        <f>IF(Caja_Finanzas[[#This Row],[fecha]]&gt;0,TEXT(Caja_Finanzas[[#This Row],[fecha]],"mmmm"),0)</f>
        <v>Julio</v>
      </c>
    </row>
    <row r="665" spans="1:28" ht="24" x14ac:dyDescent="0.3">
      <c r="A665" s="2">
        <f>IF(Caja_Finanzas[[#This Row],[tipo_r]]="R",COUNTIFS($C$1:$C664,"R")+1,A664)</f>
        <v>610</v>
      </c>
      <c r="B665" s="19" t="str">
        <f t="shared" si="76"/>
        <v>C-Finanzas</v>
      </c>
      <c r="C665" s="3" t="s">
        <v>1330</v>
      </c>
      <c r="D665" s="14">
        <v>45863</v>
      </c>
      <c r="E665" s="5" t="s">
        <v>2899</v>
      </c>
      <c r="F665" s="5" t="s">
        <v>1303</v>
      </c>
      <c r="G665" s="5"/>
      <c r="H665" s="6"/>
      <c r="I665" s="6" t="s">
        <v>119</v>
      </c>
      <c r="J665" s="6">
        <v>1</v>
      </c>
      <c r="K665" s="6">
        <v>4630</v>
      </c>
      <c r="L665" s="7" t="s">
        <v>6118</v>
      </c>
      <c r="M665" s="8" t="str">
        <f>"CFI"&amp;".D"&amp;TEXT(Caja_Finanzas[[#This Row],[fecha]],"DD-MM")&amp;"-"&amp;TEXT(Caja_Finanzas[[#This Row],[item]],"0000")</f>
        <v>CFI.D25-07-0610</v>
      </c>
      <c r="N665" s="8" t="str">
        <f t="shared" si="77"/>
        <v>PEN</v>
      </c>
      <c r="O665" s="13"/>
      <c r="P665" s="13">
        <v>13.2</v>
      </c>
      <c r="Q665" s="3">
        <f t="shared" si="78"/>
        <v>13.2</v>
      </c>
      <c r="R665" s="3">
        <f t="shared" si="79"/>
        <v>0</v>
      </c>
      <c r="S665" s="3">
        <f t="shared" si="67"/>
        <v>27485.199999999997</v>
      </c>
      <c r="T665" s="24"/>
      <c r="U665" s="24"/>
      <c r="V665" s="3"/>
      <c r="W665" s="25"/>
      <c r="X665" s="25"/>
      <c r="Y665" s="25"/>
      <c r="Z665" s="25"/>
      <c r="AA665" s="25"/>
      <c r="AB665" s="3" t="str">
        <f>IF(Caja_Finanzas[[#This Row],[fecha]]&gt;0,TEXT(Caja_Finanzas[[#This Row],[fecha]],"mmmm"),0)</f>
        <v>Julio</v>
      </c>
    </row>
    <row r="666" spans="1:28" ht="24" x14ac:dyDescent="0.3">
      <c r="A666" s="2">
        <f>IF(Caja_Finanzas[[#This Row],[tipo_r]]="R",COUNTIFS($C$1:$C665,"R")+1,A665)</f>
        <v>611</v>
      </c>
      <c r="B666" s="19" t="str">
        <f t="shared" si="76"/>
        <v>C-Finanzas</v>
      </c>
      <c r="C666" s="3" t="s">
        <v>1330</v>
      </c>
      <c r="D666" s="14">
        <v>45863</v>
      </c>
      <c r="E666" s="5" t="s">
        <v>3293</v>
      </c>
      <c r="F666" s="5" t="s">
        <v>1303</v>
      </c>
      <c r="G666" s="5"/>
      <c r="H666" s="6"/>
      <c r="I666" s="6" t="s">
        <v>119</v>
      </c>
      <c r="J666" s="6">
        <v>1</v>
      </c>
      <c r="K666" s="6">
        <v>4631</v>
      </c>
      <c r="L666" s="7" t="s">
        <v>6118</v>
      </c>
      <c r="M666" s="8" t="str">
        <f>"CFI"&amp;".D"&amp;TEXT(Caja_Finanzas[[#This Row],[fecha]],"DD-MM")&amp;"-"&amp;TEXT(Caja_Finanzas[[#This Row],[item]],"0000")</f>
        <v>CFI.D25-07-0611</v>
      </c>
      <c r="N666" s="8" t="str">
        <f t="shared" si="77"/>
        <v>PEN</v>
      </c>
      <c r="O666" s="13"/>
      <c r="P666" s="13">
        <v>132.5</v>
      </c>
      <c r="Q666" s="3">
        <f t="shared" si="78"/>
        <v>132.5</v>
      </c>
      <c r="R666" s="3">
        <f t="shared" si="79"/>
        <v>0</v>
      </c>
      <c r="S666" s="3">
        <f t="shared" si="67"/>
        <v>27617.699999999997</v>
      </c>
      <c r="T666" s="24"/>
      <c r="U666" s="24"/>
      <c r="V666" s="3"/>
      <c r="W666" s="25"/>
      <c r="X666" s="25"/>
      <c r="Y666" s="25"/>
      <c r="Z666" s="25"/>
      <c r="AA666" s="25"/>
      <c r="AB666" s="3" t="str">
        <f>IF(Caja_Finanzas[[#This Row],[fecha]]&gt;0,TEXT(Caja_Finanzas[[#This Row],[fecha]],"mmmm"),0)</f>
        <v>Julio</v>
      </c>
    </row>
    <row r="667" spans="1:28" ht="48" x14ac:dyDescent="0.3">
      <c r="A667" s="2">
        <f>IF(Caja_Finanzas[[#This Row],[tipo_r]]="R",COUNTIFS($C$1:$C666,"R")+1,A666)</f>
        <v>612</v>
      </c>
      <c r="B667" s="19" t="str">
        <f t="shared" si="76"/>
        <v>C-Finanzas</v>
      </c>
      <c r="C667" s="3" t="s">
        <v>1330</v>
      </c>
      <c r="D667" s="14">
        <v>45863</v>
      </c>
      <c r="E667" s="5" t="s">
        <v>6940</v>
      </c>
      <c r="F667" s="5" t="s">
        <v>1336</v>
      </c>
      <c r="G667" s="5"/>
      <c r="H667" s="6" t="s">
        <v>185</v>
      </c>
      <c r="I667" s="6" t="s">
        <v>115</v>
      </c>
      <c r="J667" s="6" t="s">
        <v>7299</v>
      </c>
      <c r="K667" s="6">
        <v>124</v>
      </c>
      <c r="L667" s="66" t="s">
        <v>7342</v>
      </c>
      <c r="M667" s="8" t="str">
        <f>"CFI"&amp;".D"&amp;TEXT(Caja_Finanzas[[#This Row],[fecha]],"DD-MM")&amp;"-"&amp;TEXT(Caja_Finanzas[[#This Row],[item]],"0000")</f>
        <v>CFI.D25-07-0612</v>
      </c>
      <c r="N667" s="8" t="str">
        <f t="shared" si="77"/>
        <v>PEN</v>
      </c>
      <c r="O667" s="13"/>
      <c r="P667" s="13">
        <v>1200</v>
      </c>
      <c r="Q667" s="3">
        <f t="shared" si="78"/>
        <v>0</v>
      </c>
      <c r="R667" s="3">
        <f t="shared" si="79"/>
        <v>1200</v>
      </c>
      <c r="S667" s="3">
        <f t="shared" si="67"/>
        <v>26417.699999999997</v>
      </c>
      <c r="T667" s="24"/>
      <c r="U667" s="24"/>
      <c r="V667" s="3"/>
      <c r="W667" s="25"/>
      <c r="X667" s="25"/>
      <c r="Y667" s="25"/>
      <c r="Z667" s="25"/>
      <c r="AA667" s="25"/>
      <c r="AB667" s="3" t="str">
        <f>IF(Caja_Finanzas[[#This Row],[fecha]]&gt;0,TEXT(Caja_Finanzas[[#This Row],[fecha]],"mmmm"),0)</f>
        <v>Julio</v>
      </c>
    </row>
    <row r="668" spans="1:28" ht="24" x14ac:dyDescent="0.3">
      <c r="A668" s="2">
        <f>IF(Caja_Finanzas[[#This Row],[tipo_r]]="R",COUNTIFS($C$1:$C667,"R")+1,A667)</f>
        <v>613</v>
      </c>
      <c r="B668" s="19" t="str">
        <f t="shared" si="76"/>
        <v>C-Finanzas</v>
      </c>
      <c r="C668" s="3" t="s">
        <v>1330</v>
      </c>
      <c r="D668" s="14">
        <v>45863</v>
      </c>
      <c r="E668" s="5" t="s">
        <v>3445</v>
      </c>
      <c r="F668" s="5" t="s">
        <v>1303</v>
      </c>
      <c r="G668" s="5"/>
      <c r="H668" s="6"/>
      <c r="I668" s="6" t="s">
        <v>119</v>
      </c>
      <c r="J668" s="6">
        <v>1</v>
      </c>
      <c r="K668" s="6">
        <v>4634</v>
      </c>
      <c r="L668" s="7" t="s">
        <v>6118</v>
      </c>
      <c r="M668" s="8" t="str">
        <f>"CFI"&amp;".D"&amp;TEXT(Caja_Finanzas[[#This Row],[fecha]],"DD-MM")&amp;"-"&amp;TEXT(Caja_Finanzas[[#This Row],[item]],"0000")</f>
        <v>CFI.D25-07-0613</v>
      </c>
      <c r="N668" s="8" t="str">
        <f t="shared" si="77"/>
        <v>PEN</v>
      </c>
      <c r="O668" s="13"/>
      <c r="P668" s="13">
        <v>880</v>
      </c>
      <c r="Q668" s="3">
        <f t="shared" si="78"/>
        <v>880</v>
      </c>
      <c r="R668" s="3">
        <f t="shared" si="79"/>
        <v>0</v>
      </c>
      <c r="S668" s="3">
        <f t="shared" si="67"/>
        <v>27297.699999999997</v>
      </c>
      <c r="T668" s="24"/>
      <c r="U668" s="24"/>
      <c r="V668" s="3"/>
      <c r="W668" s="25"/>
      <c r="X668" s="25"/>
      <c r="Y668" s="25"/>
      <c r="Z668" s="25"/>
      <c r="AA668" s="25"/>
      <c r="AB668" s="3" t="str">
        <f>IF(Caja_Finanzas[[#This Row],[fecha]]&gt;0,TEXT(Caja_Finanzas[[#This Row],[fecha]],"mmmm"),0)</f>
        <v>Julio</v>
      </c>
    </row>
    <row r="669" spans="1:28" ht="24" x14ac:dyDescent="0.3">
      <c r="A669" s="2">
        <f>IF(Caja_Finanzas[[#This Row],[tipo_r]]="R",COUNTIFS($C$1:$C668,"R")+1,A668)</f>
        <v>614</v>
      </c>
      <c r="B669" s="19" t="str">
        <f t="shared" si="76"/>
        <v>C-Finanzas</v>
      </c>
      <c r="C669" s="3" t="s">
        <v>1330</v>
      </c>
      <c r="D669" s="14">
        <v>45863</v>
      </c>
      <c r="E669" s="5" t="s">
        <v>6731</v>
      </c>
      <c r="F669" s="5" t="s">
        <v>1336</v>
      </c>
      <c r="G669" s="5"/>
      <c r="H669" s="6" t="s">
        <v>1009</v>
      </c>
      <c r="I669" s="6" t="s">
        <v>115</v>
      </c>
      <c r="J669" s="6" t="s">
        <v>7187</v>
      </c>
      <c r="K669" s="6">
        <v>137</v>
      </c>
      <c r="L669" s="7" t="s">
        <v>7343</v>
      </c>
      <c r="M669" s="8" t="str">
        <f>"CFI"&amp;".D"&amp;TEXT(Caja_Finanzas[[#This Row],[fecha]],"DD-MM")&amp;"-"&amp;TEXT(Caja_Finanzas[[#This Row],[item]],"0000")</f>
        <v>CFI.D25-07-0614</v>
      </c>
      <c r="N669" s="8" t="str">
        <f t="shared" si="77"/>
        <v>PEN</v>
      </c>
      <c r="O669" s="13"/>
      <c r="P669" s="13">
        <v>10</v>
      </c>
      <c r="Q669" s="3">
        <f t="shared" si="78"/>
        <v>0</v>
      </c>
      <c r="R669" s="3">
        <f t="shared" si="79"/>
        <v>10</v>
      </c>
      <c r="S669" s="3">
        <f t="shared" si="67"/>
        <v>27287.699999999997</v>
      </c>
      <c r="T669" s="24"/>
      <c r="U669" s="24"/>
      <c r="V669" s="3"/>
      <c r="W669" s="25"/>
      <c r="X669" s="25"/>
      <c r="Y669" s="25"/>
      <c r="Z669" s="25"/>
      <c r="AA669" s="25"/>
      <c r="AB669" s="3" t="str">
        <f>IF(Caja_Finanzas[[#This Row],[fecha]]&gt;0,TEXT(Caja_Finanzas[[#This Row],[fecha]],"mmmm"),0)</f>
        <v>Julio</v>
      </c>
    </row>
    <row r="670" spans="1:28" ht="36" x14ac:dyDescent="0.3">
      <c r="A670" s="2">
        <f>IF(Caja_Finanzas[[#This Row],[tipo_r]]="R",COUNTIFS($C$1:$C669,"R")+1,A669)</f>
        <v>615</v>
      </c>
      <c r="B670" s="19" t="str">
        <f t="shared" ref="B670:B676" si="80">"C-Finanzas"</f>
        <v>C-Finanzas</v>
      </c>
      <c r="C670" s="3" t="s">
        <v>1330</v>
      </c>
      <c r="D670" s="14">
        <v>45868</v>
      </c>
      <c r="E670" s="5" t="s">
        <v>6940</v>
      </c>
      <c r="F670" s="5" t="s">
        <v>1336</v>
      </c>
      <c r="G670" s="5"/>
      <c r="H670" s="134" t="s">
        <v>1009</v>
      </c>
      <c r="I670" s="6" t="s">
        <v>115</v>
      </c>
      <c r="J670" s="6" t="s">
        <v>7299</v>
      </c>
      <c r="K670" s="6">
        <v>125</v>
      </c>
      <c r="L670" s="7" t="s">
        <v>7344</v>
      </c>
      <c r="M670" s="8" t="str">
        <f>"CFI"&amp;".D"&amp;TEXT(Caja_Finanzas[[#This Row],[fecha]],"DD-MM")&amp;"-"&amp;TEXT(Caja_Finanzas[[#This Row],[item]],"0000")</f>
        <v>CFI.D30-07-0615</v>
      </c>
      <c r="N670" s="8" t="str">
        <f t="shared" ref="N670:N676" si="81">"PEN"</f>
        <v>PEN</v>
      </c>
      <c r="O670" s="13"/>
      <c r="P670" s="13">
        <v>700</v>
      </c>
      <c r="Q670" s="3">
        <f t="shared" ref="Q670:Q676" si="82">+IF(OR($F670="SALDO",$F670="INGRESO"),$P670,0)</f>
        <v>0</v>
      </c>
      <c r="R670" s="3">
        <f t="shared" ref="R670:R676" si="83">+IF($F670="EGRESO",$P670,0)</f>
        <v>700</v>
      </c>
      <c r="S670" s="3">
        <f t="shared" si="67"/>
        <v>26587.699999999997</v>
      </c>
      <c r="T670" s="24"/>
      <c r="U670" s="24"/>
      <c r="V670" s="3"/>
      <c r="W670" s="25"/>
      <c r="X670" s="25"/>
      <c r="Y670" s="25"/>
      <c r="Z670" s="25"/>
      <c r="AA670" s="25"/>
      <c r="AB670" s="3" t="str">
        <f>IF(Caja_Finanzas[[#This Row],[fecha]]&gt;0,TEXT(Caja_Finanzas[[#This Row],[fecha]],"mmmm"),0)</f>
        <v>Julio</v>
      </c>
    </row>
    <row r="671" spans="1:28" ht="24" x14ac:dyDescent="0.3">
      <c r="A671" s="2">
        <f>IF(Caja_Finanzas[[#This Row],[tipo_r]]="R",COUNTIFS($C$1:$C670,"R")+1,A670)</f>
        <v>616</v>
      </c>
      <c r="B671" s="19" t="str">
        <f t="shared" si="80"/>
        <v>C-Finanzas</v>
      </c>
      <c r="C671" s="3" t="s">
        <v>1330</v>
      </c>
      <c r="D671" s="14">
        <v>45869</v>
      </c>
      <c r="E671" s="5" t="s">
        <v>7345</v>
      </c>
      <c r="F671" s="5" t="s">
        <v>1303</v>
      </c>
      <c r="G671" s="5"/>
      <c r="H671" s="6"/>
      <c r="I671" s="6"/>
      <c r="J671" s="6"/>
      <c r="K671" s="6"/>
      <c r="L671" s="7" t="s">
        <v>7346</v>
      </c>
      <c r="M671" s="8" t="str">
        <f>"CFI"&amp;".D"&amp;TEXT(Caja_Finanzas[[#This Row],[fecha]],"DD-MM")&amp;"-"&amp;TEXT(Caja_Finanzas[[#This Row],[item]],"0000")</f>
        <v>CFI.D31-07-0616</v>
      </c>
      <c r="N671" s="8" t="str">
        <f t="shared" si="81"/>
        <v>PEN</v>
      </c>
      <c r="O671" s="13"/>
      <c r="P671" s="13">
        <v>200</v>
      </c>
      <c r="Q671" s="3">
        <f t="shared" si="82"/>
        <v>200</v>
      </c>
      <c r="R671" s="3">
        <f t="shared" si="83"/>
        <v>0</v>
      </c>
      <c r="S671" s="3">
        <f t="shared" si="67"/>
        <v>26787.699999999997</v>
      </c>
      <c r="T671" s="24"/>
      <c r="U671" s="24"/>
      <c r="V671" s="3"/>
      <c r="W671" s="25"/>
      <c r="X671" s="25"/>
      <c r="Y671" s="25"/>
      <c r="Z671" s="25"/>
      <c r="AA671" s="25"/>
      <c r="AB671" s="3" t="str">
        <f>IF(Caja_Finanzas[[#This Row],[fecha]]&gt;0,TEXT(Caja_Finanzas[[#This Row],[fecha]],"mmmm"),0)</f>
        <v>Julio</v>
      </c>
    </row>
    <row r="672" spans="1:28" ht="24" x14ac:dyDescent="0.3">
      <c r="A672" s="2">
        <f>IF(Caja_Finanzas[[#This Row],[tipo_r]]="R",COUNTIFS($C$1:$C671,"R")+1,A671)</f>
        <v>617</v>
      </c>
      <c r="B672" s="19" t="str">
        <f t="shared" si="80"/>
        <v>C-Finanzas</v>
      </c>
      <c r="C672" s="3" t="s">
        <v>1330</v>
      </c>
      <c r="D672" s="14">
        <v>45869</v>
      </c>
      <c r="E672" s="5" t="s">
        <v>6554</v>
      </c>
      <c r="F672" s="5" t="s">
        <v>1303</v>
      </c>
      <c r="G672" s="5"/>
      <c r="H672" s="6"/>
      <c r="I672" s="6" t="s">
        <v>119</v>
      </c>
      <c r="J672" s="6">
        <v>1</v>
      </c>
      <c r="K672" s="6">
        <v>4565</v>
      </c>
      <c r="L672" s="7" t="s">
        <v>6118</v>
      </c>
      <c r="M672" s="8" t="str">
        <f>"CFI"&amp;".D"&amp;TEXT(Caja_Finanzas[[#This Row],[fecha]],"DD-MM")&amp;"-"&amp;TEXT(Caja_Finanzas[[#This Row],[item]],"0000")</f>
        <v>CFI.D31-07-0617</v>
      </c>
      <c r="N672" s="8" t="str">
        <f t="shared" si="81"/>
        <v>PEN</v>
      </c>
      <c r="O672" s="13"/>
      <c r="P672" s="13">
        <v>100</v>
      </c>
      <c r="Q672" s="3">
        <f t="shared" si="82"/>
        <v>100</v>
      </c>
      <c r="R672" s="3">
        <f t="shared" si="83"/>
        <v>0</v>
      </c>
      <c r="S672" s="3">
        <f t="shared" si="67"/>
        <v>26887.699999999997</v>
      </c>
      <c r="T672" s="24"/>
      <c r="U672" s="24"/>
      <c r="V672" s="3"/>
      <c r="W672" s="25"/>
      <c r="X672" s="25"/>
      <c r="Y672" s="25"/>
      <c r="Z672" s="25"/>
      <c r="AA672" s="25"/>
      <c r="AB672" s="3" t="str">
        <f>IF(Caja_Finanzas[[#This Row],[fecha]]&gt;0,TEXT(Caja_Finanzas[[#This Row],[fecha]],"mmmm"),0)</f>
        <v>Julio</v>
      </c>
    </row>
    <row r="673" spans="1:28" ht="24" x14ac:dyDescent="0.3">
      <c r="A673" s="2">
        <f>IF(Caja_Finanzas[[#This Row],[tipo_r]]="R",COUNTIFS($C$1:$C672,"R")+1,A672)</f>
        <v>618</v>
      </c>
      <c r="B673" s="19" t="str">
        <f t="shared" si="80"/>
        <v>C-Finanzas</v>
      </c>
      <c r="C673" s="3" t="s">
        <v>1330</v>
      </c>
      <c r="D673" s="14">
        <v>45869</v>
      </c>
      <c r="E673" s="5" t="s">
        <v>7255</v>
      </c>
      <c r="F673" s="5" t="s">
        <v>1303</v>
      </c>
      <c r="G673" s="5"/>
      <c r="H673" s="6"/>
      <c r="I673" s="6" t="s">
        <v>119</v>
      </c>
      <c r="J673" s="6">
        <v>1</v>
      </c>
      <c r="K673" s="6">
        <v>4330</v>
      </c>
      <c r="L673" s="7" t="s">
        <v>6118</v>
      </c>
      <c r="M673" s="8" t="str">
        <f>"CFI"&amp;".D"&amp;TEXT(Caja_Finanzas[[#This Row],[fecha]],"DD-MM")&amp;"-"&amp;TEXT(Caja_Finanzas[[#This Row],[item]],"0000")</f>
        <v>CFI.D31-07-0618</v>
      </c>
      <c r="N673" s="8" t="str">
        <f t="shared" si="81"/>
        <v>PEN</v>
      </c>
      <c r="O673" s="13"/>
      <c r="P673" s="13">
        <v>30</v>
      </c>
      <c r="Q673" s="3">
        <f t="shared" si="82"/>
        <v>30</v>
      </c>
      <c r="R673" s="3">
        <f t="shared" si="83"/>
        <v>0</v>
      </c>
      <c r="S673" s="3">
        <f t="shared" si="67"/>
        <v>26917.699999999997</v>
      </c>
      <c r="T673" s="24"/>
      <c r="U673" s="24"/>
      <c r="V673" s="3"/>
      <c r="W673" s="25"/>
      <c r="X673" s="25"/>
      <c r="Y673" s="25"/>
      <c r="Z673" s="25"/>
      <c r="AA673" s="25"/>
      <c r="AB673" s="3" t="str">
        <f>IF(Caja_Finanzas[[#This Row],[fecha]]&gt;0,TEXT(Caja_Finanzas[[#This Row],[fecha]],"mmmm"),0)</f>
        <v>Julio</v>
      </c>
    </row>
    <row r="674" spans="1:28" ht="60" x14ac:dyDescent="0.3">
      <c r="A674" s="2">
        <f>IF(Caja_Finanzas[[#This Row],[tipo_r]]="R",COUNTIFS($C$1:$C673,"R")+1,A673)</f>
        <v>619</v>
      </c>
      <c r="B674" s="19" t="str">
        <f t="shared" si="80"/>
        <v>C-Finanzas</v>
      </c>
      <c r="C674" s="3" t="s">
        <v>1330</v>
      </c>
      <c r="D674" s="14">
        <v>45870</v>
      </c>
      <c r="E674" s="5" t="s">
        <v>7347</v>
      </c>
      <c r="F674" s="5" t="s">
        <v>1303</v>
      </c>
      <c r="G674" s="5"/>
      <c r="H674" s="6"/>
      <c r="I674" s="6"/>
      <c r="J674" s="6"/>
      <c r="K674" s="6"/>
      <c r="L674" s="7" t="s">
        <v>7348</v>
      </c>
      <c r="M674" s="8" t="str">
        <f>"CFI"&amp;".D"&amp;TEXT(Caja_Finanzas[[#This Row],[fecha]],"DD-MM")&amp;"-"&amp;TEXT(Caja_Finanzas[[#This Row],[item]],"0000")</f>
        <v>CFI.D01-08-0619</v>
      </c>
      <c r="N674" s="8" t="str">
        <f t="shared" si="81"/>
        <v>PEN</v>
      </c>
      <c r="O674" s="13"/>
      <c r="P674" s="13">
        <v>560</v>
      </c>
      <c r="Q674" s="3">
        <f t="shared" si="82"/>
        <v>560</v>
      </c>
      <c r="R674" s="3">
        <f t="shared" si="83"/>
        <v>0</v>
      </c>
      <c r="S674" s="3">
        <f t="shared" si="67"/>
        <v>27477.699999999997</v>
      </c>
      <c r="T674" s="24"/>
      <c r="U674" s="24"/>
      <c r="V674" s="3"/>
      <c r="W674" s="25"/>
      <c r="X674" s="25"/>
      <c r="Y674" s="25"/>
      <c r="Z674" s="25"/>
      <c r="AA674" s="25"/>
      <c r="AB674" s="3" t="str">
        <f>IF(Caja_Finanzas[[#This Row],[fecha]]&gt;0,TEXT(Caja_Finanzas[[#This Row],[fecha]],"mmmm"),0)</f>
        <v>Agosto</v>
      </c>
    </row>
    <row r="675" spans="1:28" ht="24" x14ac:dyDescent="0.3">
      <c r="A675" s="2">
        <f>IF(Caja_Finanzas[[#This Row],[tipo_r]]="R",COUNTIFS($C$1:$C674,"R")+1,A674)</f>
        <v>620</v>
      </c>
      <c r="B675" s="19" t="str">
        <f t="shared" si="80"/>
        <v>C-Finanzas</v>
      </c>
      <c r="C675" s="3" t="s">
        <v>1330</v>
      </c>
      <c r="D675" s="14">
        <v>45870</v>
      </c>
      <c r="E675" s="5" t="s">
        <v>6456</v>
      </c>
      <c r="F675" s="5" t="s">
        <v>1336</v>
      </c>
      <c r="G675" s="5"/>
      <c r="H675" s="6" t="s">
        <v>879</v>
      </c>
      <c r="I675" s="6" t="s">
        <v>115</v>
      </c>
      <c r="J675" s="6" t="s">
        <v>7289</v>
      </c>
      <c r="K675" s="6">
        <v>15</v>
      </c>
      <c r="L675" s="7" t="s">
        <v>7349</v>
      </c>
      <c r="M675" s="8" t="str">
        <f>"CFI"&amp;".D"&amp;TEXT(Caja_Finanzas[[#This Row],[fecha]],"DD-MM")&amp;"-"&amp;TEXT(Caja_Finanzas[[#This Row],[item]],"0000")</f>
        <v>CFI.D01-08-0620</v>
      </c>
      <c r="N675" s="8" t="str">
        <f t="shared" si="81"/>
        <v>PEN</v>
      </c>
      <c r="O675" s="13"/>
      <c r="P675" s="13">
        <v>330</v>
      </c>
      <c r="Q675" s="3">
        <f t="shared" si="82"/>
        <v>0</v>
      </c>
      <c r="R675" s="3">
        <f t="shared" si="83"/>
        <v>330</v>
      </c>
      <c r="S675" s="3">
        <f t="shared" si="67"/>
        <v>27147.699999999997</v>
      </c>
      <c r="T675" s="24"/>
      <c r="U675" s="24"/>
      <c r="V675" s="3"/>
      <c r="W675" s="25"/>
      <c r="X675" s="25"/>
      <c r="Y675" s="25"/>
      <c r="Z675" s="25"/>
      <c r="AA675" s="25"/>
      <c r="AB675" s="3" t="str">
        <f>IF(Caja_Finanzas[[#This Row],[fecha]]&gt;0,TEXT(Caja_Finanzas[[#This Row],[fecha]],"mmmm"),0)</f>
        <v>Agosto</v>
      </c>
    </row>
    <row r="676" spans="1:28" ht="24" x14ac:dyDescent="0.3">
      <c r="A676" s="2">
        <f>IF(Caja_Finanzas[[#This Row],[tipo_r]]="R",COUNTIFS($C$1:$C675,"R")+1,A675)</f>
        <v>621</v>
      </c>
      <c r="B676" s="19" t="str">
        <f t="shared" si="80"/>
        <v>C-Finanzas</v>
      </c>
      <c r="C676" s="3" t="s">
        <v>1330</v>
      </c>
      <c r="D676" s="14">
        <v>45870</v>
      </c>
      <c r="E676" s="5" t="s">
        <v>2009</v>
      </c>
      <c r="F676" s="5" t="s">
        <v>1303</v>
      </c>
      <c r="G676" s="5"/>
      <c r="H676" s="6"/>
      <c r="I676" s="6" t="s">
        <v>119</v>
      </c>
      <c r="J676" s="6">
        <v>1</v>
      </c>
      <c r="K676" s="6">
        <v>4638</v>
      </c>
      <c r="L676" s="7" t="s">
        <v>6118</v>
      </c>
      <c r="M676" s="8" t="str">
        <f>"CFI"&amp;".D"&amp;TEXT(Caja_Finanzas[[#This Row],[fecha]],"DD-MM")&amp;"-"&amp;TEXT(Caja_Finanzas[[#This Row],[item]],"0000")</f>
        <v>CFI.D01-08-0621</v>
      </c>
      <c r="N676" s="8" t="str">
        <f t="shared" si="81"/>
        <v>PEN</v>
      </c>
      <c r="O676" s="13"/>
      <c r="P676" s="13">
        <v>2655</v>
      </c>
      <c r="Q676" s="3">
        <f t="shared" si="82"/>
        <v>2655</v>
      </c>
      <c r="R676" s="3">
        <f t="shared" si="83"/>
        <v>0</v>
      </c>
      <c r="S676" s="3">
        <f t="shared" si="67"/>
        <v>29802.699999999997</v>
      </c>
      <c r="T676" s="24"/>
      <c r="U676" s="24"/>
      <c r="V676" s="3"/>
      <c r="W676" s="25"/>
      <c r="X676" s="25"/>
      <c r="Y676" s="25"/>
      <c r="Z676" s="25"/>
      <c r="AA676" s="25"/>
      <c r="AB676" s="3" t="str">
        <f>IF(Caja_Finanzas[[#This Row],[fecha]]&gt;0,TEXT(Caja_Finanzas[[#This Row],[fecha]],"mmmm"),0)</f>
        <v>Agosto</v>
      </c>
    </row>
    <row r="677" spans="1:28" ht="24" x14ac:dyDescent="0.3">
      <c r="A677" s="2">
        <f>IF(Caja_Finanzas[[#This Row],[tipo_r]]="R",COUNTIFS($C$1:$C676,"R")+1,A676)</f>
        <v>622</v>
      </c>
      <c r="B677" s="19" t="str">
        <f>"C-Finanzas"</f>
        <v>C-Finanzas</v>
      </c>
      <c r="C677" s="3" t="s">
        <v>1330</v>
      </c>
      <c r="D677" s="14">
        <v>45870</v>
      </c>
      <c r="E677" s="5" t="s">
        <v>2009</v>
      </c>
      <c r="F677" s="5" t="s">
        <v>1303</v>
      </c>
      <c r="G677" s="5"/>
      <c r="H677" s="6"/>
      <c r="I677" s="6" t="s">
        <v>119</v>
      </c>
      <c r="J677" s="6">
        <v>1</v>
      </c>
      <c r="K677" s="6">
        <v>4641</v>
      </c>
      <c r="L677" s="7" t="s">
        <v>6118</v>
      </c>
      <c r="M677" s="8" t="str">
        <f>"CFI"&amp;".D"&amp;TEXT(Caja_Finanzas[[#This Row],[fecha]],"DD-MM")&amp;"-"&amp;TEXT(Caja_Finanzas[[#This Row],[item]],"0000")</f>
        <v>CFI.D01-08-0622</v>
      </c>
      <c r="N677" s="8" t="str">
        <f>"PEN"</f>
        <v>PEN</v>
      </c>
      <c r="O677" s="13"/>
      <c r="P677" s="13">
        <v>1606</v>
      </c>
      <c r="Q677" s="3">
        <f>+IF(OR($F677="SALDO",$F677="INGRESO"),$P677,0)</f>
        <v>1606</v>
      </c>
      <c r="R677" s="3">
        <f>+IF($F677="EGRESO",$P677,0)</f>
        <v>0</v>
      </c>
      <c r="S677" s="3">
        <f t="shared" si="67"/>
        <v>31408.699999999997</v>
      </c>
      <c r="T677" s="24"/>
      <c r="U677" s="24"/>
      <c r="V677" s="3"/>
      <c r="W677" s="25"/>
      <c r="X677" s="25"/>
      <c r="Y677" s="25"/>
      <c r="Z677" s="25"/>
      <c r="AA677" s="25"/>
      <c r="AB677" s="3" t="str">
        <f>IF(Caja_Finanzas[[#This Row],[fecha]]&gt;0,TEXT(Caja_Finanzas[[#This Row],[fecha]],"mmmm"),0)</f>
        <v>Agosto</v>
      </c>
    </row>
    <row r="678" spans="1:28" ht="48" x14ac:dyDescent="0.3">
      <c r="A678" s="2">
        <f>IF(Caja_Finanzas[[#This Row],[tipo_r]]="R",COUNTIFS($C$1:$C677,"R")+1,A677)</f>
        <v>623</v>
      </c>
      <c r="B678" s="19" t="str">
        <f>"C-Finanzas"</f>
        <v>C-Finanzas</v>
      </c>
      <c r="C678" s="3" t="s">
        <v>1330</v>
      </c>
      <c r="D678" s="14">
        <v>45873</v>
      </c>
      <c r="E678" s="5" t="s">
        <v>5828</v>
      </c>
      <c r="F678" s="5" t="s">
        <v>1336</v>
      </c>
      <c r="G678" s="5"/>
      <c r="H678" s="134" t="s">
        <v>1009</v>
      </c>
      <c r="I678" s="6" t="s">
        <v>115</v>
      </c>
      <c r="J678" s="6" t="s">
        <v>7302</v>
      </c>
      <c r="K678" s="6">
        <v>50</v>
      </c>
      <c r="L678" s="7" t="s">
        <v>7350</v>
      </c>
      <c r="M678" s="8" t="str">
        <f>"CFI"&amp;".D"&amp;TEXT(Caja_Finanzas[[#This Row],[fecha]],"DD-MM")&amp;"-"&amp;TEXT(Caja_Finanzas[[#This Row],[item]],"0000")</f>
        <v>CFI.D04-08-0623</v>
      </c>
      <c r="N678" s="8" t="str">
        <f>"PEN"</f>
        <v>PEN</v>
      </c>
      <c r="O678" s="13"/>
      <c r="P678" s="13">
        <v>128</v>
      </c>
      <c r="Q678" s="3">
        <f>+IF(OR($F678="SALDO",$F678="INGRESO"),$P678,0)</f>
        <v>0</v>
      </c>
      <c r="R678" s="3">
        <f>+IF($F678="EGRESO",$P678,0)</f>
        <v>128</v>
      </c>
      <c r="S678" s="3">
        <f t="shared" si="67"/>
        <v>31280.699999999997</v>
      </c>
      <c r="T678" s="24"/>
      <c r="U678" s="24"/>
      <c r="V678" s="3"/>
      <c r="W678" s="25"/>
      <c r="X678" s="25"/>
      <c r="Y678" s="25"/>
      <c r="Z678" s="25"/>
      <c r="AA678" s="25"/>
      <c r="AB678" s="3" t="str">
        <f>IF(Caja_Finanzas[[#This Row],[fecha]]&gt;0,TEXT(Caja_Finanzas[[#This Row],[fecha]],"mmmm"),0)</f>
        <v>Agosto</v>
      </c>
    </row>
    <row r="679" spans="1:28" ht="24" x14ac:dyDescent="0.3">
      <c r="A679" s="2">
        <f>IF(Caja_Finanzas[[#This Row],[tipo_r]]="R",COUNTIFS($C$1:$C678,"R")+1,A678)</f>
        <v>624</v>
      </c>
      <c r="B679" s="19" t="str">
        <f t="shared" ref="B679:B682" si="84">"C-Finanzas"</f>
        <v>C-Finanzas</v>
      </c>
      <c r="C679" s="3" t="s">
        <v>1330</v>
      </c>
      <c r="D679" s="14">
        <v>45876</v>
      </c>
      <c r="E679" s="5" t="s">
        <v>1875</v>
      </c>
      <c r="F679" s="5" t="s">
        <v>1303</v>
      </c>
      <c r="G679" s="5"/>
      <c r="H679" s="6"/>
      <c r="I679" s="6" t="s">
        <v>119</v>
      </c>
      <c r="J679" s="6">
        <v>1</v>
      </c>
      <c r="K679" s="6">
        <v>4644</v>
      </c>
      <c r="L679" s="7" t="s">
        <v>6118</v>
      </c>
      <c r="M679" s="8" t="str">
        <f>"CFI"&amp;".D"&amp;TEXT(Caja_Finanzas[[#This Row],[fecha]],"DD-MM")&amp;"-"&amp;TEXT(Caja_Finanzas[[#This Row],[item]],"0000")</f>
        <v>CFI.D07-08-0624</v>
      </c>
      <c r="N679" s="8" t="str">
        <f t="shared" ref="N679:N682" si="85">"PEN"</f>
        <v>PEN</v>
      </c>
      <c r="O679" s="13"/>
      <c r="P679" s="13">
        <v>360</v>
      </c>
      <c r="Q679" s="3">
        <f t="shared" ref="Q679:Q682" si="86">+IF(OR($F679="SALDO",$F679="INGRESO"),$P679,0)</f>
        <v>360</v>
      </c>
      <c r="R679" s="3">
        <f t="shared" ref="R679:R682" si="87">+IF($F679="EGRESO",$P679,0)</f>
        <v>0</v>
      </c>
      <c r="S679" s="3">
        <f t="shared" si="67"/>
        <v>31640.699999999997</v>
      </c>
      <c r="T679" s="24">
        <f>C_Arequipa_Soles!S638+C_Finanzas_Soles!S669</f>
        <v>28333.099999999995</v>
      </c>
      <c r="U679" s="24"/>
      <c r="V679" s="3"/>
      <c r="W679" s="25"/>
      <c r="X679" s="25"/>
      <c r="Y679" s="25"/>
      <c r="Z679" s="25"/>
      <c r="AA679" s="25"/>
      <c r="AB679" s="3" t="str">
        <f>IF(Caja_Finanzas[[#This Row],[fecha]]&gt;0,TEXT(Caja_Finanzas[[#This Row],[fecha]],"mmmm"),0)</f>
        <v>Agosto</v>
      </c>
    </row>
    <row r="680" spans="1:28" x14ac:dyDescent="0.3">
      <c r="A680" s="2">
        <f>IF(Caja_Finanzas[[#This Row],[tipo_r]]="R",COUNTIFS($C$1:$C679,"R")+1,A679)</f>
        <v>625</v>
      </c>
      <c r="B680" s="19" t="str">
        <f t="shared" si="84"/>
        <v>C-Finanzas</v>
      </c>
      <c r="C680" s="3" t="s">
        <v>1330</v>
      </c>
      <c r="D680" s="14">
        <v>45876</v>
      </c>
      <c r="E680" s="5" t="s">
        <v>1498</v>
      </c>
      <c r="F680" s="5" t="s">
        <v>1303</v>
      </c>
      <c r="G680" s="5"/>
      <c r="H680" s="6"/>
      <c r="I680" s="6" t="s">
        <v>119</v>
      </c>
      <c r="J680" s="6">
        <v>1</v>
      </c>
      <c r="K680" s="6">
        <v>4649</v>
      </c>
      <c r="L680" s="7" t="s">
        <v>6118</v>
      </c>
      <c r="M680" s="8" t="str">
        <f>"CFI"&amp;".D"&amp;TEXT(Caja_Finanzas[[#This Row],[fecha]],"DD-MM")&amp;"-"&amp;TEXT(Caja_Finanzas[[#This Row],[item]],"0000")</f>
        <v>CFI.D07-08-0625</v>
      </c>
      <c r="N680" s="8" t="str">
        <f t="shared" si="85"/>
        <v>PEN</v>
      </c>
      <c r="O680" s="13"/>
      <c r="P680" s="13">
        <v>450</v>
      </c>
      <c r="Q680" s="3">
        <f t="shared" si="86"/>
        <v>450</v>
      </c>
      <c r="R680" s="3">
        <f t="shared" si="87"/>
        <v>0</v>
      </c>
      <c r="S680" s="3">
        <f t="shared" si="67"/>
        <v>32090.699999999997</v>
      </c>
      <c r="T680" s="24"/>
      <c r="U680" s="24"/>
      <c r="V680" s="3"/>
      <c r="W680" s="25"/>
      <c r="X680" s="25"/>
      <c r="Y680" s="25"/>
      <c r="Z680" s="25"/>
      <c r="AA680" s="25"/>
      <c r="AB680" s="3" t="str">
        <f>IF(Caja_Finanzas[[#This Row],[fecha]]&gt;0,TEXT(Caja_Finanzas[[#This Row],[fecha]],"mmmm"),0)</f>
        <v>Agosto</v>
      </c>
    </row>
    <row r="681" spans="1:28" ht="24" x14ac:dyDescent="0.3">
      <c r="A681" s="2">
        <f>IF(Caja_Finanzas[[#This Row],[tipo_r]]="R",COUNTIFS($C$1:$C680,"R")+1,A680)</f>
        <v>626</v>
      </c>
      <c r="B681" s="19" t="str">
        <f t="shared" si="84"/>
        <v>C-Finanzas</v>
      </c>
      <c r="C681" s="3" t="s">
        <v>1330</v>
      </c>
      <c r="D681" s="14">
        <v>45876</v>
      </c>
      <c r="E681" s="5" t="s">
        <v>1669</v>
      </c>
      <c r="F681" s="5" t="s">
        <v>1303</v>
      </c>
      <c r="G681" s="5"/>
      <c r="H681" s="6"/>
      <c r="I681" s="6" t="s">
        <v>119</v>
      </c>
      <c r="J681" s="6">
        <v>1</v>
      </c>
      <c r="K681" s="6">
        <v>4650</v>
      </c>
      <c r="L681" s="7" t="s">
        <v>6118</v>
      </c>
      <c r="M681" s="8" t="str">
        <f>"CFI"&amp;".D"&amp;TEXT(Caja_Finanzas[[#This Row],[fecha]],"DD-MM")&amp;"-"&amp;TEXT(Caja_Finanzas[[#This Row],[item]],"0000")</f>
        <v>CFI.D07-08-0626</v>
      </c>
      <c r="N681" s="8" t="str">
        <f t="shared" si="85"/>
        <v>PEN</v>
      </c>
      <c r="O681" s="13"/>
      <c r="P681" s="13">
        <v>1050</v>
      </c>
      <c r="Q681" s="3">
        <f t="shared" si="86"/>
        <v>1050</v>
      </c>
      <c r="R681" s="3">
        <f t="shared" si="87"/>
        <v>0</v>
      </c>
      <c r="S681" s="3">
        <f t="shared" si="67"/>
        <v>33140.699999999997</v>
      </c>
      <c r="T681" s="24"/>
      <c r="U681" s="24"/>
      <c r="V681" s="3"/>
      <c r="W681" s="25"/>
      <c r="X681" s="25"/>
      <c r="Y681" s="25"/>
      <c r="Z681" s="25"/>
      <c r="AA681" s="25"/>
      <c r="AB681" s="3" t="str">
        <f>IF(Caja_Finanzas[[#This Row],[fecha]]&gt;0,TEXT(Caja_Finanzas[[#This Row],[fecha]],"mmmm"),0)</f>
        <v>Agosto</v>
      </c>
    </row>
    <row r="682" spans="1:28" ht="24" x14ac:dyDescent="0.3">
      <c r="A682" s="2">
        <f>IF(Caja_Finanzas[[#This Row],[tipo_r]]="R",COUNTIFS($C$1:$C681,"R")+1,A681)</f>
        <v>627</v>
      </c>
      <c r="B682" s="19" t="str">
        <f t="shared" si="84"/>
        <v>C-Finanzas</v>
      </c>
      <c r="C682" s="3" t="s">
        <v>1330</v>
      </c>
      <c r="D682" s="14">
        <v>45876</v>
      </c>
      <c r="E682" s="5"/>
      <c r="F682" s="5" t="s">
        <v>1303</v>
      </c>
      <c r="G682" s="5"/>
      <c r="H682" s="6"/>
      <c r="I682" s="6"/>
      <c r="J682" s="6"/>
      <c r="K682" s="6"/>
      <c r="L682" s="7" t="s">
        <v>7351</v>
      </c>
      <c r="M682" s="8" t="str">
        <f>"CFI"&amp;".D"&amp;TEXT(Caja_Finanzas[[#This Row],[fecha]],"DD-MM")&amp;"-"&amp;TEXT(Caja_Finanzas[[#This Row],[item]],"0000")</f>
        <v>CFI.D07-08-0627</v>
      </c>
      <c r="N682" s="8" t="str">
        <f t="shared" si="85"/>
        <v>PEN</v>
      </c>
      <c r="O682" s="3"/>
      <c r="P682" s="3">
        <v>908</v>
      </c>
      <c r="Q682" s="3">
        <f t="shared" si="86"/>
        <v>908</v>
      </c>
      <c r="R682" s="3">
        <f t="shared" si="87"/>
        <v>0</v>
      </c>
      <c r="S682" s="3">
        <f t="shared" si="67"/>
        <v>34048.699999999997</v>
      </c>
      <c r="T682" s="24"/>
      <c r="U682" s="24"/>
      <c r="V682" s="3"/>
      <c r="W682" s="25"/>
      <c r="X682" s="25"/>
      <c r="Y682" s="25"/>
      <c r="Z682" s="25"/>
      <c r="AA682" s="25"/>
      <c r="AB682" s="3" t="str">
        <f>IF(Caja_Finanzas[[#This Row],[fecha]]&gt;0,TEXT(Caja_Finanzas[[#This Row],[fecha]],"mmmm"),0)</f>
        <v>Agosto</v>
      </c>
    </row>
    <row r="683" spans="1:28" ht="24" x14ac:dyDescent="0.3">
      <c r="A683" s="2">
        <f>IF(Caja_Finanzas[[#This Row],[tipo_r]]="R",COUNTIFS($C$1:$C682,"R")+1,A682)</f>
        <v>627</v>
      </c>
      <c r="B683" s="19" t="str">
        <f t="shared" ref="B683:B694" si="88">"C-Finanzas"</f>
        <v>C-Finanzas</v>
      </c>
      <c r="C683" s="3" t="s">
        <v>1352</v>
      </c>
      <c r="D683" s="14">
        <v>45876</v>
      </c>
      <c r="E683" s="5" t="s">
        <v>7352</v>
      </c>
      <c r="F683" s="5"/>
      <c r="G683" s="5"/>
      <c r="H683" s="6"/>
      <c r="I683" s="6" t="s">
        <v>119</v>
      </c>
      <c r="J683" s="6">
        <v>3</v>
      </c>
      <c r="K683" s="6">
        <v>620</v>
      </c>
      <c r="L683" s="7" t="s">
        <v>7351</v>
      </c>
      <c r="M683" s="8" t="str">
        <f>"CFI"&amp;".D"&amp;TEXT(Caja_Finanzas[[#This Row],[fecha]],"DD-MM")&amp;"-"&amp;TEXT(Caja_Finanzas[[#This Row],[item]],"0000")</f>
        <v>CFI.D07-08-0627</v>
      </c>
      <c r="N683" s="8" t="str">
        <f t="shared" ref="N683:N694" si="89">"PEN"</f>
        <v>PEN</v>
      </c>
      <c r="O683" s="13">
        <v>162</v>
      </c>
      <c r="P683" s="13"/>
      <c r="Q683" s="3">
        <f t="shared" ref="Q683:Q694" si="90">+IF(OR($F683="SALDO",$F683="INGRESO"),$P683,0)</f>
        <v>0</v>
      </c>
      <c r="R683" s="3">
        <f t="shared" ref="R683:R694" si="91">+IF($F683="EGRESO",$P683,0)</f>
        <v>0</v>
      </c>
      <c r="S683" s="3">
        <f t="shared" si="67"/>
        <v>34048.699999999997</v>
      </c>
      <c r="T683" s="24"/>
      <c r="U683" s="24"/>
      <c r="V683" s="3"/>
      <c r="W683" s="25"/>
      <c r="X683" s="25"/>
      <c r="Y683" s="25"/>
      <c r="Z683" s="25"/>
      <c r="AA683" s="25"/>
      <c r="AB683" s="3" t="str">
        <f>IF(Caja_Finanzas[[#This Row],[fecha]]&gt;0,TEXT(Caja_Finanzas[[#This Row],[fecha]],"mmmm"),0)</f>
        <v>Agosto</v>
      </c>
    </row>
    <row r="684" spans="1:28" ht="24" x14ac:dyDescent="0.3">
      <c r="A684" s="2">
        <f>IF(Caja_Finanzas[[#This Row],[tipo_r]]="R",COUNTIFS($C$1:$C683,"R")+1,A683)</f>
        <v>627</v>
      </c>
      <c r="B684" s="19" t="str">
        <f t="shared" si="88"/>
        <v>C-Finanzas</v>
      </c>
      <c r="C684" s="3" t="s">
        <v>1352</v>
      </c>
      <c r="D684" s="14">
        <v>45876</v>
      </c>
      <c r="E684" s="5" t="s">
        <v>6520</v>
      </c>
      <c r="F684" s="5"/>
      <c r="G684" s="5"/>
      <c r="H684" s="6"/>
      <c r="I684" s="6" t="s">
        <v>119</v>
      </c>
      <c r="J684" s="6">
        <v>3</v>
      </c>
      <c r="K684" s="6">
        <v>621</v>
      </c>
      <c r="L684" s="7" t="s">
        <v>7351</v>
      </c>
      <c r="M684" s="8" t="str">
        <f>"CFI"&amp;".D"&amp;TEXT(Caja_Finanzas[[#This Row],[fecha]],"DD-MM")&amp;"-"&amp;TEXT(Caja_Finanzas[[#This Row],[item]],"0000")</f>
        <v>CFI.D07-08-0627</v>
      </c>
      <c r="N684" s="8" t="str">
        <f t="shared" si="89"/>
        <v>PEN</v>
      </c>
      <c r="O684" s="13">
        <v>17</v>
      </c>
      <c r="P684" s="13"/>
      <c r="Q684" s="3">
        <f t="shared" si="90"/>
        <v>0</v>
      </c>
      <c r="R684" s="3">
        <f t="shared" si="91"/>
        <v>0</v>
      </c>
      <c r="S684" s="3">
        <f t="shared" si="67"/>
        <v>34048.699999999997</v>
      </c>
      <c r="T684" s="24"/>
      <c r="U684" s="24"/>
      <c r="V684" s="3"/>
      <c r="W684" s="25"/>
      <c r="X684" s="25"/>
      <c r="Y684" s="25"/>
      <c r="Z684" s="25"/>
      <c r="AA684" s="25"/>
      <c r="AB684" s="3" t="str">
        <f>IF(Caja_Finanzas[[#This Row],[fecha]]&gt;0,TEXT(Caja_Finanzas[[#This Row],[fecha]],"mmmm"),0)</f>
        <v>Agosto</v>
      </c>
    </row>
    <row r="685" spans="1:28" ht="24" x14ac:dyDescent="0.3">
      <c r="A685" s="2">
        <f>IF(Caja_Finanzas[[#This Row],[tipo_r]]="R",COUNTIFS($C$1:$C684,"R")+1,A684)</f>
        <v>627</v>
      </c>
      <c r="B685" s="19" t="str">
        <f t="shared" si="88"/>
        <v>C-Finanzas</v>
      </c>
      <c r="C685" s="3" t="s">
        <v>1352</v>
      </c>
      <c r="D685" s="14">
        <v>45876</v>
      </c>
      <c r="E685" s="5" t="s">
        <v>7353</v>
      </c>
      <c r="F685" s="5"/>
      <c r="G685" s="5"/>
      <c r="H685" s="6"/>
      <c r="I685" s="6" t="s">
        <v>119</v>
      </c>
      <c r="J685" s="6">
        <v>3</v>
      </c>
      <c r="K685" s="6">
        <v>622</v>
      </c>
      <c r="L685" s="7" t="s">
        <v>7351</v>
      </c>
      <c r="M685" s="8" t="str">
        <f>"CFI"&amp;".D"&amp;TEXT(Caja_Finanzas[[#This Row],[fecha]],"DD-MM")&amp;"-"&amp;TEXT(Caja_Finanzas[[#This Row],[item]],"0000")</f>
        <v>CFI.D07-08-0627</v>
      </c>
      <c r="N685" s="8" t="str">
        <f t="shared" si="89"/>
        <v>PEN</v>
      </c>
      <c r="O685" s="13">
        <v>109</v>
      </c>
      <c r="P685" s="13"/>
      <c r="Q685" s="3">
        <f t="shared" si="90"/>
        <v>0</v>
      </c>
      <c r="R685" s="3">
        <f t="shared" si="91"/>
        <v>0</v>
      </c>
      <c r="S685" s="3">
        <f t="shared" si="67"/>
        <v>34048.699999999997</v>
      </c>
      <c r="T685" s="24"/>
      <c r="U685" s="24"/>
      <c r="V685" s="3"/>
      <c r="W685" s="25"/>
      <c r="X685" s="25"/>
      <c r="Y685" s="25"/>
      <c r="Z685" s="25"/>
      <c r="AA685" s="25"/>
      <c r="AB685" s="3" t="str">
        <f>IF(Caja_Finanzas[[#This Row],[fecha]]&gt;0,TEXT(Caja_Finanzas[[#This Row],[fecha]],"mmmm"),0)</f>
        <v>Agosto</v>
      </c>
    </row>
    <row r="686" spans="1:28" ht="24" x14ac:dyDescent="0.3">
      <c r="A686" s="2">
        <f>IF(Caja_Finanzas[[#This Row],[tipo_r]]="R",COUNTIFS($C$1:$C685,"R")+1,A685)</f>
        <v>627</v>
      </c>
      <c r="B686" s="19" t="str">
        <f t="shared" si="88"/>
        <v>C-Finanzas</v>
      </c>
      <c r="C686" s="3" t="s">
        <v>1352</v>
      </c>
      <c r="D686" s="14">
        <v>45876</v>
      </c>
      <c r="E686" s="5" t="s">
        <v>7353</v>
      </c>
      <c r="F686" s="5"/>
      <c r="G686" s="5"/>
      <c r="H686" s="6"/>
      <c r="I686" s="6" t="s">
        <v>119</v>
      </c>
      <c r="J686" s="6">
        <v>3</v>
      </c>
      <c r="K686" s="6">
        <v>623</v>
      </c>
      <c r="L686" s="7" t="s">
        <v>7351</v>
      </c>
      <c r="M686" s="8" t="str">
        <f>"CFI"&amp;".D"&amp;TEXT(Caja_Finanzas[[#This Row],[fecha]],"DD-MM")&amp;"-"&amp;TEXT(Caja_Finanzas[[#This Row],[item]],"0000")</f>
        <v>CFI.D07-08-0627</v>
      </c>
      <c r="N686" s="8" t="str">
        <f t="shared" si="89"/>
        <v>PEN</v>
      </c>
      <c r="O686" s="13">
        <v>142</v>
      </c>
      <c r="P686" s="13"/>
      <c r="Q686" s="3">
        <f t="shared" si="90"/>
        <v>0</v>
      </c>
      <c r="R686" s="3">
        <f t="shared" si="91"/>
        <v>0</v>
      </c>
      <c r="S686" s="3">
        <f t="shared" si="67"/>
        <v>34048.699999999997</v>
      </c>
      <c r="T686" s="24"/>
      <c r="U686" s="24"/>
      <c r="V686" s="3"/>
      <c r="W686" s="25"/>
      <c r="X686" s="25"/>
      <c r="Y686" s="25"/>
      <c r="Z686" s="25"/>
      <c r="AA686" s="25"/>
      <c r="AB686" s="3" t="str">
        <f>IF(Caja_Finanzas[[#This Row],[fecha]]&gt;0,TEXT(Caja_Finanzas[[#This Row],[fecha]],"mmmm"),0)</f>
        <v>Agosto</v>
      </c>
    </row>
    <row r="687" spans="1:28" ht="24" x14ac:dyDescent="0.3">
      <c r="A687" s="2">
        <f>IF(Caja_Finanzas[[#This Row],[tipo_r]]="R",COUNTIFS($C$1:$C686,"R")+1,A686)</f>
        <v>627</v>
      </c>
      <c r="B687" s="19" t="str">
        <f t="shared" si="88"/>
        <v>C-Finanzas</v>
      </c>
      <c r="C687" s="3" t="s">
        <v>1352</v>
      </c>
      <c r="D687" s="14">
        <v>45876</v>
      </c>
      <c r="E687" s="5" t="s">
        <v>7061</v>
      </c>
      <c r="F687" s="5"/>
      <c r="G687" s="5"/>
      <c r="H687" s="6"/>
      <c r="I687" s="6" t="s">
        <v>119</v>
      </c>
      <c r="J687" s="6">
        <v>3</v>
      </c>
      <c r="K687" s="6">
        <v>624</v>
      </c>
      <c r="L687" s="7" t="s">
        <v>7351</v>
      </c>
      <c r="M687" s="8" t="str">
        <f>"CFI"&amp;".D"&amp;TEXT(Caja_Finanzas[[#This Row],[fecha]],"DD-MM")&amp;"-"&amp;TEXT(Caja_Finanzas[[#This Row],[item]],"0000")</f>
        <v>CFI.D07-08-0627</v>
      </c>
      <c r="N687" s="8" t="str">
        <f t="shared" si="89"/>
        <v>PEN</v>
      </c>
      <c r="O687" s="13">
        <v>113.5</v>
      </c>
      <c r="P687" s="13"/>
      <c r="Q687" s="3">
        <f t="shared" si="90"/>
        <v>0</v>
      </c>
      <c r="R687" s="3">
        <f t="shared" si="91"/>
        <v>0</v>
      </c>
      <c r="S687" s="3">
        <f t="shared" si="67"/>
        <v>34048.699999999997</v>
      </c>
      <c r="T687" s="24"/>
      <c r="U687" s="24"/>
      <c r="V687" s="3"/>
      <c r="W687" s="25"/>
      <c r="X687" s="25"/>
      <c r="Y687" s="25"/>
      <c r="Z687" s="25"/>
      <c r="AA687" s="25"/>
      <c r="AB687" s="3" t="str">
        <f>IF(Caja_Finanzas[[#This Row],[fecha]]&gt;0,TEXT(Caja_Finanzas[[#This Row],[fecha]],"mmmm"),0)</f>
        <v>Agosto</v>
      </c>
    </row>
    <row r="688" spans="1:28" ht="24" x14ac:dyDescent="0.3">
      <c r="A688" s="2">
        <f>IF(Caja_Finanzas[[#This Row],[tipo_r]]="R",COUNTIFS($C$1:$C687,"R")+1,A687)</f>
        <v>627</v>
      </c>
      <c r="B688" s="19" t="str">
        <f t="shared" si="88"/>
        <v>C-Finanzas</v>
      </c>
      <c r="C688" s="3" t="s">
        <v>1352</v>
      </c>
      <c r="D688" s="14">
        <v>45876</v>
      </c>
      <c r="E688" s="5" t="s">
        <v>6917</v>
      </c>
      <c r="F688" s="5"/>
      <c r="G688" s="5"/>
      <c r="H688" s="6"/>
      <c r="I688" s="6" t="s">
        <v>119</v>
      </c>
      <c r="J688" s="6">
        <v>3</v>
      </c>
      <c r="K688" s="6">
        <v>625</v>
      </c>
      <c r="L688" s="7" t="s">
        <v>7351</v>
      </c>
      <c r="M688" s="8" t="str">
        <f>"CFI"&amp;".D"&amp;TEXT(Caja_Finanzas[[#This Row],[fecha]],"DD-MM")&amp;"-"&amp;TEXT(Caja_Finanzas[[#This Row],[item]],"0000")</f>
        <v>CFI.D07-08-0627</v>
      </c>
      <c r="N688" s="8" t="str">
        <f t="shared" si="89"/>
        <v>PEN</v>
      </c>
      <c r="O688" s="13">
        <v>18.8</v>
      </c>
      <c r="P688" s="13"/>
      <c r="Q688" s="3">
        <f t="shared" si="90"/>
        <v>0</v>
      </c>
      <c r="R688" s="3">
        <f t="shared" si="91"/>
        <v>0</v>
      </c>
      <c r="S688" s="3">
        <f t="shared" si="67"/>
        <v>34048.699999999997</v>
      </c>
      <c r="T688" s="24"/>
      <c r="U688" s="24"/>
      <c r="V688" s="3"/>
      <c r="W688" s="25"/>
      <c r="X688" s="25"/>
      <c r="Y688" s="25"/>
      <c r="Z688" s="25"/>
      <c r="AA688" s="25"/>
      <c r="AB688" s="3" t="str">
        <f>IF(Caja_Finanzas[[#This Row],[fecha]]&gt;0,TEXT(Caja_Finanzas[[#This Row],[fecha]],"mmmm"),0)</f>
        <v>Agosto</v>
      </c>
    </row>
    <row r="689" spans="1:28" ht="24" x14ac:dyDescent="0.3">
      <c r="A689" s="2">
        <f>IF(Caja_Finanzas[[#This Row],[tipo_r]]="R",COUNTIFS($C$1:$C688,"R")+1,A688)</f>
        <v>627</v>
      </c>
      <c r="B689" s="19" t="str">
        <f t="shared" si="88"/>
        <v>C-Finanzas</v>
      </c>
      <c r="C689" s="3" t="s">
        <v>1352</v>
      </c>
      <c r="D689" s="14">
        <v>45876</v>
      </c>
      <c r="E689" s="5" t="s">
        <v>4670</v>
      </c>
      <c r="F689" s="5"/>
      <c r="G689" s="5"/>
      <c r="H689" s="6"/>
      <c r="I689" s="6" t="s">
        <v>119</v>
      </c>
      <c r="J689" s="6">
        <v>3</v>
      </c>
      <c r="K689" s="6">
        <v>627</v>
      </c>
      <c r="L689" s="7" t="s">
        <v>7351</v>
      </c>
      <c r="M689" s="8" t="str">
        <f>"CFI"&amp;".D"&amp;TEXT(Caja_Finanzas[[#This Row],[fecha]],"DD-MM")&amp;"-"&amp;TEXT(Caja_Finanzas[[#This Row],[item]],"0000")</f>
        <v>CFI.D07-08-0627</v>
      </c>
      <c r="N689" s="8" t="str">
        <f t="shared" si="89"/>
        <v>PEN</v>
      </c>
      <c r="O689" s="13">
        <v>8</v>
      </c>
      <c r="P689" s="13"/>
      <c r="Q689" s="3">
        <f t="shared" si="90"/>
        <v>0</v>
      </c>
      <c r="R689" s="3">
        <f t="shared" si="91"/>
        <v>0</v>
      </c>
      <c r="S689" s="3">
        <f t="shared" si="67"/>
        <v>34048.699999999997</v>
      </c>
      <c r="T689" s="24"/>
      <c r="U689" s="24"/>
      <c r="V689" s="3"/>
      <c r="W689" s="25"/>
      <c r="X689" s="25"/>
      <c r="Y689" s="25"/>
      <c r="Z689" s="25"/>
      <c r="AA689" s="25"/>
      <c r="AB689" s="3" t="str">
        <f>IF(Caja_Finanzas[[#This Row],[fecha]]&gt;0,TEXT(Caja_Finanzas[[#This Row],[fecha]],"mmmm"),0)</f>
        <v>Agosto</v>
      </c>
    </row>
    <row r="690" spans="1:28" ht="24" x14ac:dyDescent="0.3">
      <c r="A690" s="2">
        <f>IF(Caja_Finanzas[[#This Row],[tipo_r]]="R",COUNTIFS($C$1:$C689,"R")+1,A689)</f>
        <v>627</v>
      </c>
      <c r="B690" s="19" t="str">
        <f t="shared" si="88"/>
        <v>C-Finanzas</v>
      </c>
      <c r="C690" s="3" t="s">
        <v>1352</v>
      </c>
      <c r="D690" s="14">
        <v>45876</v>
      </c>
      <c r="E690" s="5" t="s">
        <v>3683</v>
      </c>
      <c r="F690" s="5"/>
      <c r="G690" s="5"/>
      <c r="H690" s="6"/>
      <c r="I690" s="6" t="s">
        <v>119</v>
      </c>
      <c r="J690" s="6">
        <v>3</v>
      </c>
      <c r="K690" s="6">
        <v>628</v>
      </c>
      <c r="L690" s="7" t="s">
        <v>7351</v>
      </c>
      <c r="M690" s="8" t="str">
        <f>"CFI"&amp;".D"&amp;TEXT(Caja_Finanzas[[#This Row],[fecha]],"DD-MM")&amp;"-"&amp;TEXT(Caja_Finanzas[[#This Row],[item]],"0000")</f>
        <v>CFI.D07-08-0627</v>
      </c>
      <c r="N690" s="8" t="str">
        <f t="shared" si="89"/>
        <v>PEN</v>
      </c>
      <c r="O690" s="13">
        <v>65</v>
      </c>
      <c r="P690" s="13"/>
      <c r="Q690" s="3">
        <f t="shared" si="90"/>
        <v>0</v>
      </c>
      <c r="R690" s="3">
        <f t="shared" si="91"/>
        <v>0</v>
      </c>
      <c r="S690" s="3">
        <f t="shared" si="67"/>
        <v>34048.699999999997</v>
      </c>
      <c r="T690" s="24"/>
      <c r="U690" s="24"/>
      <c r="V690" s="3"/>
      <c r="W690" s="25"/>
      <c r="X690" s="25"/>
      <c r="Y690" s="25"/>
      <c r="Z690" s="25"/>
      <c r="AA690" s="25"/>
      <c r="AB690" s="3" t="str">
        <f>IF(Caja_Finanzas[[#This Row],[fecha]]&gt;0,TEXT(Caja_Finanzas[[#This Row],[fecha]],"mmmm"),0)</f>
        <v>Agosto</v>
      </c>
    </row>
    <row r="691" spans="1:28" ht="24" x14ac:dyDescent="0.3">
      <c r="A691" s="2">
        <f>IF(Caja_Finanzas[[#This Row],[tipo_r]]="R",COUNTIFS($C$1:$C690,"R")+1,A690)</f>
        <v>627</v>
      </c>
      <c r="B691" s="19" t="str">
        <f t="shared" si="88"/>
        <v>C-Finanzas</v>
      </c>
      <c r="C691" s="3" t="s">
        <v>1352</v>
      </c>
      <c r="D691" s="14">
        <v>45876</v>
      </c>
      <c r="E691" s="5" t="s">
        <v>3682</v>
      </c>
      <c r="F691" s="5"/>
      <c r="G691" s="5"/>
      <c r="H691" s="6"/>
      <c r="I691" s="6" t="s">
        <v>119</v>
      </c>
      <c r="J691" s="6">
        <v>3</v>
      </c>
      <c r="K691" s="6">
        <v>629</v>
      </c>
      <c r="L691" s="7" t="s">
        <v>7351</v>
      </c>
      <c r="M691" s="8" t="str">
        <f>"CFI"&amp;".D"&amp;TEXT(Caja_Finanzas[[#This Row],[fecha]],"DD-MM")&amp;"-"&amp;TEXT(Caja_Finanzas[[#This Row],[item]],"0000")</f>
        <v>CFI.D07-08-0627</v>
      </c>
      <c r="N691" s="8" t="str">
        <f t="shared" si="89"/>
        <v>PEN</v>
      </c>
      <c r="O691" s="13">
        <v>86.5</v>
      </c>
      <c r="P691" s="13"/>
      <c r="Q691" s="3">
        <f t="shared" si="90"/>
        <v>0</v>
      </c>
      <c r="R691" s="3">
        <f t="shared" si="91"/>
        <v>0</v>
      </c>
      <c r="S691" s="3">
        <f t="shared" si="67"/>
        <v>34048.699999999997</v>
      </c>
      <c r="T691" s="24"/>
      <c r="U691" s="24"/>
      <c r="V691" s="3"/>
      <c r="W691" s="25"/>
      <c r="X691" s="25"/>
      <c r="Y691" s="25"/>
      <c r="Z691" s="25"/>
      <c r="AA691" s="25"/>
      <c r="AB691" s="3" t="str">
        <f>IF(Caja_Finanzas[[#This Row],[fecha]]&gt;0,TEXT(Caja_Finanzas[[#This Row],[fecha]],"mmmm"),0)</f>
        <v>Agosto</v>
      </c>
    </row>
    <row r="692" spans="1:28" ht="24" x14ac:dyDescent="0.3">
      <c r="A692" s="2">
        <f>IF(Caja_Finanzas[[#This Row],[tipo_r]]="R",COUNTIFS($C$1:$C691,"R")+1,A691)</f>
        <v>627</v>
      </c>
      <c r="B692" s="19" t="str">
        <f t="shared" si="88"/>
        <v>C-Finanzas</v>
      </c>
      <c r="C692" s="3" t="s">
        <v>1352</v>
      </c>
      <c r="D692" s="14">
        <v>45876</v>
      </c>
      <c r="E692" s="5" t="s">
        <v>1498</v>
      </c>
      <c r="F692" s="5"/>
      <c r="G692" s="5"/>
      <c r="H692" s="6"/>
      <c r="I692" s="6" t="s">
        <v>119</v>
      </c>
      <c r="J692" s="6">
        <v>3</v>
      </c>
      <c r="K692" s="6">
        <v>630</v>
      </c>
      <c r="L692" s="7" t="s">
        <v>7351</v>
      </c>
      <c r="M692" s="8" t="str">
        <f>"CFI"&amp;".D"&amp;TEXT(Caja_Finanzas[[#This Row],[fecha]],"DD-MM")&amp;"-"&amp;TEXT(Caja_Finanzas[[#This Row],[item]],"0000")</f>
        <v>CFI.D07-08-0627</v>
      </c>
      <c r="N692" s="8" t="str">
        <f t="shared" si="89"/>
        <v>PEN</v>
      </c>
      <c r="O692" s="13">
        <v>35.299999999999997</v>
      </c>
      <c r="P692" s="13"/>
      <c r="Q692" s="3">
        <f t="shared" si="90"/>
        <v>0</v>
      </c>
      <c r="R692" s="3">
        <f t="shared" si="91"/>
        <v>0</v>
      </c>
      <c r="S692" s="3">
        <f t="shared" si="67"/>
        <v>34048.699999999997</v>
      </c>
      <c r="T692" s="24"/>
      <c r="U692" s="24"/>
      <c r="V692" s="3"/>
      <c r="W692" s="25"/>
      <c r="X692" s="25"/>
      <c r="Y692" s="25"/>
      <c r="Z692" s="25"/>
      <c r="AA692" s="25"/>
      <c r="AB692" s="3" t="str">
        <f>IF(Caja_Finanzas[[#This Row],[fecha]]&gt;0,TEXT(Caja_Finanzas[[#This Row],[fecha]],"mmmm"),0)</f>
        <v>Agosto</v>
      </c>
    </row>
    <row r="693" spans="1:28" ht="24" x14ac:dyDescent="0.3">
      <c r="A693" s="2">
        <f>IF(Caja_Finanzas[[#This Row],[tipo_r]]="R",COUNTIFS($C$1:$C692,"R")+1,A692)</f>
        <v>627</v>
      </c>
      <c r="B693" s="19" t="str">
        <f t="shared" si="88"/>
        <v>C-Finanzas</v>
      </c>
      <c r="C693" s="3" t="s">
        <v>1352</v>
      </c>
      <c r="D693" s="14">
        <v>45876</v>
      </c>
      <c r="E693" s="5" t="s">
        <v>7354</v>
      </c>
      <c r="F693" s="5"/>
      <c r="G693" s="5"/>
      <c r="H693" s="6"/>
      <c r="I693" s="6" t="s">
        <v>119</v>
      </c>
      <c r="J693" s="6">
        <v>3</v>
      </c>
      <c r="K693" s="6">
        <v>631</v>
      </c>
      <c r="L693" s="7" t="s">
        <v>7351</v>
      </c>
      <c r="M693" s="8" t="str">
        <f>"CFI"&amp;".D"&amp;TEXT(Caja_Finanzas[[#This Row],[fecha]],"DD-MM")&amp;"-"&amp;TEXT(Caja_Finanzas[[#This Row],[item]],"0000")</f>
        <v>CFI.D07-08-0627</v>
      </c>
      <c r="N693" s="8" t="str">
        <f t="shared" si="89"/>
        <v>PEN</v>
      </c>
      <c r="O693" s="13">
        <v>96</v>
      </c>
      <c r="P693" s="13"/>
      <c r="Q693" s="3">
        <f t="shared" si="90"/>
        <v>0</v>
      </c>
      <c r="R693" s="3">
        <f t="shared" si="91"/>
        <v>0</v>
      </c>
      <c r="S693" s="3">
        <f t="shared" si="67"/>
        <v>34048.699999999997</v>
      </c>
      <c r="T693" s="24"/>
      <c r="U693" s="24"/>
      <c r="V693" s="3"/>
      <c r="W693" s="25"/>
      <c r="X693" s="25"/>
      <c r="Y693" s="25"/>
      <c r="Z693" s="25"/>
      <c r="AA693" s="25"/>
      <c r="AB693" s="3" t="str">
        <f>IF(Caja_Finanzas[[#This Row],[fecha]]&gt;0,TEXT(Caja_Finanzas[[#This Row],[fecha]],"mmmm"),0)</f>
        <v>Agosto</v>
      </c>
    </row>
    <row r="694" spans="1:28" ht="24" x14ac:dyDescent="0.3">
      <c r="A694" s="2">
        <f>IF(Caja_Finanzas[[#This Row],[tipo_r]]="R",COUNTIFS($C$1:$C693,"R")+1,A693)</f>
        <v>627</v>
      </c>
      <c r="B694" s="19" t="str">
        <f t="shared" si="88"/>
        <v>C-Finanzas</v>
      </c>
      <c r="C694" s="3" t="s">
        <v>1352</v>
      </c>
      <c r="D694" s="14">
        <v>45876</v>
      </c>
      <c r="E694" s="5" t="s">
        <v>7355</v>
      </c>
      <c r="F694" s="5"/>
      <c r="G694" s="5"/>
      <c r="H694" s="6"/>
      <c r="I694" s="6" t="s">
        <v>119</v>
      </c>
      <c r="J694" s="6">
        <v>3</v>
      </c>
      <c r="K694" s="6">
        <v>632</v>
      </c>
      <c r="L694" s="7" t="s">
        <v>7351</v>
      </c>
      <c r="M694" s="8" t="str">
        <f>"CFI"&amp;".D"&amp;TEXT(Caja_Finanzas[[#This Row],[fecha]],"DD-MM")&amp;"-"&amp;TEXT(Caja_Finanzas[[#This Row],[item]],"0000")</f>
        <v>CFI.D07-08-0627</v>
      </c>
      <c r="N694" s="8" t="str">
        <f t="shared" si="89"/>
        <v>PEN</v>
      </c>
      <c r="O694" s="13">
        <v>54.9</v>
      </c>
      <c r="P694" s="13"/>
      <c r="Q694" s="3">
        <f t="shared" si="90"/>
        <v>0</v>
      </c>
      <c r="R694" s="3">
        <f t="shared" si="91"/>
        <v>0</v>
      </c>
      <c r="S694" s="3">
        <f t="shared" si="67"/>
        <v>34048.699999999997</v>
      </c>
      <c r="T694" s="24"/>
      <c r="U694" s="24"/>
      <c r="V694" s="3"/>
      <c r="W694" s="25"/>
      <c r="X694" s="25"/>
      <c r="Y694" s="25"/>
      <c r="Z694" s="25"/>
      <c r="AA694" s="25"/>
      <c r="AB694" s="3" t="str">
        <f>IF(Caja_Finanzas[[#This Row],[fecha]]&gt;0,TEXT(Caja_Finanzas[[#This Row],[fecha]],"mmmm"),0)</f>
        <v>Agosto</v>
      </c>
    </row>
    <row r="695" spans="1:28" ht="24" x14ac:dyDescent="0.3">
      <c r="A695" s="2">
        <f>IF(Caja_Finanzas[[#This Row],[tipo_r]]="R",COUNTIFS($C$1:$C694,"R")+1,A694)</f>
        <v>628</v>
      </c>
      <c r="B695" s="19" t="str">
        <f t="shared" ref="B695:B717" si="92">"C-Finanzas"</f>
        <v>C-Finanzas</v>
      </c>
      <c r="C695" s="3" t="s">
        <v>1330</v>
      </c>
      <c r="D695" s="14">
        <v>45877</v>
      </c>
      <c r="E695" s="5" t="s">
        <v>7356</v>
      </c>
      <c r="F695" s="5" t="s">
        <v>1303</v>
      </c>
      <c r="G695" s="5"/>
      <c r="H695" s="6"/>
      <c r="I695" s="6" t="s">
        <v>119</v>
      </c>
      <c r="J695" s="6">
        <v>1</v>
      </c>
      <c r="K695" s="6">
        <v>4611</v>
      </c>
      <c r="L695" s="7" t="s">
        <v>6118</v>
      </c>
      <c r="M695" s="8" t="str">
        <f>"CFI"&amp;".D"&amp;TEXT(Caja_Finanzas[[#This Row],[fecha]],"DD-MM")&amp;"-"&amp;TEXT(Caja_Finanzas[[#This Row],[item]],"0000")</f>
        <v>CFI.D08-08-0628</v>
      </c>
      <c r="N695" s="8" t="str">
        <f t="shared" ref="N695:N717" si="93">"PEN"</f>
        <v>PEN</v>
      </c>
      <c r="O695" s="13"/>
      <c r="P695" s="13">
        <v>250</v>
      </c>
      <c r="Q695" s="3">
        <f t="shared" ref="Q695:Q717" si="94">+IF(OR($F695="SALDO",$F695="INGRESO"),$P695,0)</f>
        <v>250</v>
      </c>
      <c r="R695" s="3">
        <f t="shared" ref="R695:R717" si="95">+IF($F695="EGRESO",$P695,0)</f>
        <v>0</v>
      </c>
      <c r="S695" s="3">
        <f t="shared" si="67"/>
        <v>34298.699999999997</v>
      </c>
      <c r="T695" s="24"/>
      <c r="U695" s="24"/>
      <c r="V695" s="3"/>
      <c r="W695" s="25"/>
      <c r="X695" s="25"/>
      <c r="Y695" s="25"/>
      <c r="Z695" s="25"/>
      <c r="AA695" s="25"/>
      <c r="AB695" s="3" t="str">
        <f>IF(Caja_Finanzas[[#This Row],[fecha]]&gt;0,TEXT(Caja_Finanzas[[#This Row],[fecha]],"mmmm"),0)</f>
        <v>Agosto</v>
      </c>
    </row>
    <row r="696" spans="1:28" ht="24" x14ac:dyDescent="0.3">
      <c r="A696" s="2">
        <f>IF(Caja_Finanzas[[#This Row],[tipo_r]]="R",COUNTIFS($C$1:$C695,"R")+1,A695)</f>
        <v>629</v>
      </c>
      <c r="B696" s="19" t="str">
        <f t="shared" si="92"/>
        <v>C-Finanzas</v>
      </c>
      <c r="C696" s="3" t="s">
        <v>1330</v>
      </c>
      <c r="D696" s="14">
        <v>45877</v>
      </c>
      <c r="E696" s="5" t="s">
        <v>2009</v>
      </c>
      <c r="F696" s="5" t="s">
        <v>1303</v>
      </c>
      <c r="G696" s="5"/>
      <c r="H696" s="6"/>
      <c r="I696" s="6" t="s">
        <v>119</v>
      </c>
      <c r="J696" s="6">
        <v>1</v>
      </c>
      <c r="K696" s="6">
        <v>4654</v>
      </c>
      <c r="L696" s="7" t="s">
        <v>6118</v>
      </c>
      <c r="M696" s="8" t="str">
        <f>"CFI"&amp;".D"&amp;TEXT(Caja_Finanzas[[#This Row],[fecha]],"DD-MM")&amp;"-"&amp;TEXT(Caja_Finanzas[[#This Row],[item]],"0000")</f>
        <v>CFI.D08-08-0629</v>
      </c>
      <c r="N696" s="8" t="str">
        <f t="shared" si="93"/>
        <v>PEN</v>
      </c>
      <c r="O696" s="13"/>
      <c r="P696" s="13">
        <v>925</v>
      </c>
      <c r="Q696" s="3">
        <f t="shared" si="94"/>
        <v>925</v>
      </c>
      <c r="R696" s="3">
        <f t="shared" si="95"/>
        <v>0</v>
      </c>
      <c r="S696" s="3">
        <f t="shared" si="67"/>
        <v>35223.699999999997</v>
      </c>
      <c r="T696" s="24"/>
      <c r="U696" s="24"/>
      <c r="V696" s="3"/>
      <c r="W696" s="25"/>
      <c r="X696" s="25"/>
      <c r="Y696" s="25"/>
      <c r="Z696" s="25"/>
      <c r="AA696" s="25"/>
      <c r="AB696" s="3" t="str">
        <f>IF(Caja_Finanzas[[#This Row],[fecha]]&gt;0,TEXT(Caja_Finanzas[[#This Row],[fecha]],"mmmm"),0)</f>
        <v>Agosto</v>
      </c>
    </row>
    <row r="697" spans="1:28" ht="24" x14ac:dyDescent="0.3">
      <c r="A697" s="2">
        <f>IF(Caja_Finanzas[[#This Row],[tipo_r]]="R",COUNTIFS($C$1:$C696,"R")+1,A696)</f>
        <v>630</v>
      </c>
      <c r="B697" s="19" t="str">
        <f t="shared" si="92"/>
        <v>C-Finanzas</v>
      </c>
      <c r="C697" s="3" t="s">
        <v>1330</v>
      </c>
      <c r="D697" s="14">
        <v>45877</v>
      </c>
      <c r="E697" s="5" t="s">
        <v>3445</v>
      </c>
      <c r="F697" s="5" t="s">
        <v>1303</v>
      </c>
      <c r="G697" s="5"/>
      <c r="H697" s="6"/>
      <c r="I697" s="6" t="s">
        <v>119</v>
      </c>
      <c r="J697" s="6">
        <v>1</v>
      </c>
      <c r="K697" s="6">
        <v>4653</v>
      </c>
      <c r="L697" s="7" t="s">
        <v>6118</v>
      </c>
      <c r="M697" s="8" t="str">
        <f>"CFI"&amp;".D"&amp;TEXT(Caja_Finanzas[[#This Row],[fecha]],"DD-MM")&amp;"-"&amp;TEXT(Caja_Finanzas[[#This Row],[item]],"0000")</f>
        <v>CFI.D08-08-0630</v>
      </c>
      <c r="N697" s="8" t="str">
        <f t="shared" si="93"/>
        <v>PEN</v>
      </c>
      <c r="O697" s="13"/>
      <c r="P697" s="13">
        <v>2100</v>
      </c>
      <c r="Q697" s="3">
        <f t="shared" si="94"/>
        <v>2100</v>
      </c>
      <c r="R697" s="3">
        <f t="shared" si="95"/>
        <v>0</v>
      </c>
      <c r="S697" s="3">
        <f t="shared" si="67"/>
        <v>37323.699999999997</v>
      </c>
      <c r="T697" s="24"/>
      <c r="U697" s="24"/>
      <c r="V697" s="3"/>
      <c r="W697" s="25"/>
      <c r="X697" s="25"/>
      <c r="Y697" s="25"/>
      <c r="Z697" s="25"/>
      <c r="AA697" s="25"/>
      <c r="AB697" s="3" t="str">
        <f>IF(Caja_Finanzas[[#This Row],[fecha]]&gt;0,TEXT(Caja_Finanzas[[#This Row],[fecha]],"mmmm"),0)</f>
        <v>Agosto</v>
      </c>
    </row>
    <row r="698" spans="1:28" ht="24" x14ac:dyDescent="0.3">
      <c r="A698" s="2">
        <f>IF(Caja_Finanzas[[#This Row],[tipo_r]]="R",COUNTIFS($C$1:$C697,"R")+1,A697)</f>
        <v>631</v>
      </c>
      <c r="B698" s="19" t="str">
        <f t="shared" si="92"/>
        <v>C-Finanzas</v>
      </c>
      <c r="C698" s="3" t="s">
        <v>1330</v>
      </c>
      <c r="D698" s="14">
        <v>45877</v>
      </c>
      <c r="E698" s="5" t="s">
        <v>3445</v>
      </c>
      <c r="F698" s="5" t="s">
        <v>1303</v>
      </c>
      <c r="G698" s="5"/>
      <c r="H698" s="6"/>
      <c r="I698" s="6" t="s">
        <v>119</v>
      </c>
      <c r="J698" s="6">
        <v>1</v>
      </c>
      <c r="K698" s="6">
        <v>4655</v>
      </c>
      <c r="L698" s="7" t="s">
        <v>6118</v>
      </c>
      <c r="M698" s="8" t="str">
        <f>"CFI"&amp;".D"&amp;TEXT(Caja_Finanzas[[#This Row],[fecha]],"DD-MM")&amp;"-"&amp;TEXT(Caja_Finanzas[[#This Row],[item]],"0000")</f>
        <v>CFI.D08-08-0631</v>
      </c>
      <c r="N698" s="8" t="str">
        <f t="shared" si="93"/>
        <v>PEN</v>
      </c>
      <c r="O698" s="13"/>
      <c r="P698" s="13">
        <v>350</v>
      </c>
      <c r="Q698" s="3">
        <f t="shared" si="94"/>
        <v>350</v>
      </c>
      <c r="R698" s="3">
        <f t="shared" si="95"/>
        <v>0</v>
      </c>
      <c r="S698" s="3">
        <f t="shared" si="67"/>
        <v>37673.699999999997</v>
      </c>
      <c r="T698" s="24"/>
      <c r="U698" s="24"/>
      <c r="V698" s="3"/>
      <c r="W698" s="25"/>
      <c r="X698" s="25"/>
      <c r="Y698" s="25"/>
      <c r="Z698" s="25"/>
      <c r="AA698" s="25"/>
      <c r="AB698" s="3" t="str">
        <f>IF(Caja_Finanzas[[#This Row],[fecha]]&gt;0,TEXT(Caja_Finanzas[[#This Row],[fecha]],"mmmm"),0)</f>
        <v>Agosto</v>
      </c>
    </row>
    <row r="699" spans="1:28" x14ac:dyDescent="0.3">
      <c r="A699" s="2">
        <f>IF(Caja_Finanzas[[#This Row],[tipo_r]]="R",COUNTIFS($C$1:$C698,"R")+1,A698)</f>
        <v>632</v>
      </c>
      <c r="B699" s="19" t="str">
        <f t="shared" si="92"/>
        <v>C-Finanzas</v>
      </c>
      <c r="C699" s="3" t="s">
        <v>1330</v>
      </c>
      <c r="D699" s="14">
        <v>45877</v>
      </c>
      <c r="E699" s="5" t="s">
        <v>1522</v>
      </c>
      <c r="F699" s="5" t="s">
        <v>1303</v>
      </c>
      <c r="G699" s="5"/>
      <c r="H699" s="6"/>
      <c r="I699" s="6" t="s">
        <v>119</v>
      </c>
      <c r="J699" s="6">
        <v>1</v>
      </c>
      <c r="K699" s="6">
        <v>4608</v>
      </c>
      <c r="L699" s="7" t="s">
        <v>6118</v>
      </c>
      <c r="M699" s="8" t="str">
        <f>"CFI"&amp;".D"&amp;TEXT(Caja_Finanzas[[#This Row],[fecha]],"DD-MM")&amp;"-"&amp;TEXT(Caja_Finanzas[[#This Row],[item]],"0000")</f>
        <v>CFI.D08-08-0632</v>
      </c>
      <c r="N699" s="8" t="str">
        <f t="shared" si="93"/>
        <v>PEN</v>
      </c>
      <c r="O699" s="13"/>
      <c r="P699" s="13">
        <v>1827</v>
      </c>
      <c r="Q699" s="3">
        <f t="shared" si="94"/>
        <v>1827</v>
      </c>
      <c r="R699" s="3">
        <f t="shared" si="95"/>
        <v>0</v>
      </c>
      <c r="S699" s="3">
        <f t="shared" si="67"/>
        <v>39500.699999999997</v>
      </c>
      <c r="T699" s="24"/>
      <c r="U699" s="24"/>
      <c r="V699" s="3"/>
      <c r="W699" s="25"/>
      <c r="X699" s="25"/>
      <c r="Y699" s="25"/>
      <c r="Z699" s="25"/>
      <c r="AA699" s="25"/>
      <c r="AB699" s="3" t="str">
        <f>IF(Caja_Finanzas[[#This Row],[fecha]]&gt;0,TEXT(Caja_Finanzas[[#This Row],[fecha]],"mmmm"),0)</f>
        <v>Agosto</v>
      </c>
    </row>
    <row r="700" spans="1:28" x14ac:dyDescent="0.3">
      <c r="A700" s="2">
        <f>IF(Caja_Finanzas[[#This Row],[tipo_r]]="R",COUNTIFS($C$1:$C699,"R")+1,A699)</f>
        <v>633</v>
      </c>
      <c r="B700" s="19" t="str">
        <f t="shared" si="92"/>
        <v>C-Finanzas</v>
      </c>
      <c r="C700" s="3" t="s">
        <v>1330</v>
      </c>
      <c r="D700" s="14">
        <v>45877</v>
      </c>
      <c r="E700" s="5" t="s">
        <v>1522</v>
      </c>
      <c r="F700" s="5" t="s">
        <v>1303</v>
      </c>
      <c r="G700" s="5"/>
      <c r="H700" s="6"/>
      <c r="I700" s="6" t="s">
        <v>119</v>
      </c>
      <c r="J700" s="6">
        <v>1</v>
      </c>
      <c r="K700" s="6">
        <v>4632</v>
      </c>
      <c r="L700" s="7" t="s">
        <v>6118</v>
      </c>
      <c r="M700" s="8" t="str">
        <f>"CFI"&amp;".D"&amp;TEXT(Caja_Finanzas[[#This Row],[fecha]],"DD-MM")&amp;"-"&amp;TEXT(Caja_Finanzas[[#This Row],[item]],"0000")</f>
        <v>CFI.D08-08-0633</v>
      </c>
      <c r="N700" s="8" t="str">
        <f t="shared" si="93"/>
        <v>PEN</v>
      </c>
      <c r="O700" s="13"/>
      <c r="P700" s="13">
        <v>2106</v>
      </c>
      <c r="Q700" s="3">
        <f t="shared" si="94"/>
        <v>2106</v>
      </c>
      <c r="R700" s="3">
        <f t="shared" si="95"/>
        <v>0</v>
      </c>
      <c r="S700" s="3">
        <f t="shared" si="67"/>
        <v>41606.699999999997</v>
      </c>
      <c r="T700" s="24"/>
      <c r="U700" s="24"/>
      <c r="V700" s="3"/>
      <c r="W700" s="25"/>
      <c r="X700" s="25"/>
      <c r="Y700" s="25"/>
      <c r="Z700" s="25"/>
      <c r="AA700" s="25"/>
      <c r="AB700" s="3" t="str">
        <f>IF(Caja_Finanzas[[#This Row],[fecha]]&gt;0,TEXT(Caja_Finanzas[[#This Row],[fecha]],"mmmm"),0)</f>
        <v>Agosto</v>
      </c>
    </row>
    <row r="701" spans="1:28" ht="24" x14ac:dyDescent="0.3">
      <c r="A701" s="2">
        <f>IF(Caja_Finanzas[[#This Row],[tipo_r]]="R",COUNTIFS($C$1:$C700,"R")+1,A700)</f>
        <v>634</v>
      </c>
      <c r="B701" s="19" t="str">
        <f t="shared" si="92"/>
        <v>C-Finanzas</v>
      </c>
      <c r="C701" s="3" t="s">
        <v>1330</v>
      </c>
      <c r="D701" s="14">
        <v>45877</v>
      </c>
      <c r="E701" s="5" t="s">
        <v>6418</v>
      </c>
      <c r="F701" s="5" t="s">
        <v>1336</v>
      </c>
      <c r="G701" s="5"/>
      <c r="H701" s="6" t="s">
        <v>809</v>
      </c>
      <c r="I701" s="6"/>
      <c r="J701" s="6"/>
      <c r="K701" s="6"/>
      <c r="L701" s="7" t="s">
        <v>7357</v>
      </c>
      <c r="M701" s="8" t="str">
        <f>"CFI"&amp;".D"&amp;TEXT(Caja_Finanzas[[#This Row],[fecha]],"DD-MM")&amp;"-"&amp;TEXT(Caja_Finanzas[[#This Row],[item]],"0000")</f>
        <v>CFI.D08-08-0634</v>
      </c>
      <c r="N701" s="8" t="str">
        <f t="shared" si="93"/>
        <v>PEN</v>
      </c>
      <c r="O701" s="13"/>
      <c r="P701" s="13">
        <v>20000</v>
      </c>
      <c r="Q701" s="3">
        <f t="shared" si="94"/>
        <v>0</v>
      </c>
      <c r="R701" s="3">
        <f t="shared" si="95"/>
        <v>20000</v>
      </c>
      <c r="S701" s="3">
        <f t="shared" si="67"/>
        <v>21606.699999999997</v>
      </c>
      <c r="T701" s="24"/>
      <c r="U701" s="24"/>
      <c r="V701" s="3"/>
      <c r="W701" s="25"/>
      <c r="X701" s="25"/>
      <c r="Y701" s="25"/>
      <c r="Z701" s="25"/>
      <c r="AA701" s="25"/>
      <c r="AB701" s="3" t="str">
        <f>IF(Caja_Finanzas[[#This Row],[fecha]]&gt;0,TEXT(Caja_Finanzas[[#This Row],[fecha]],"mmmm"),0)</f>
        <v>Agosto</v>
      </c>
    </row>
    <row r="702" spans="1:28" x14ac:dyDescent="0.3">
      <c r="A702" s="2">
        <f>IF(Caja_Finanzas[[#This Row],[tipo_r]]="R",COUNTIFS($C$1:$C701,"R")+1,A701)</f>
        <v>635</v>
      </c>
      <c r="B702" s="19" t="str">
        <f t="shared" si="92"/>
        <v>C-Finanzas</v>
      </c>
      <c r="C702" s="3" t="s">
        <v>1330</v>
      </c>
      <c r="D702" s="14">
        <v>45877</v>
      </c>
      <c r="E702" s="5" t="s">
        <v>5828</v>
      </c>
      <c r="F702" s="5" t="s">
        <v>1336</v>
      </c>
      <c r="G702" s="5"/>
      <c r="H702" s="6"/>
      <c r="I702" s="6"/>
      <c r="J702" s="6"/>
      <c r="K702" s="6"/>
      <c r="L702" s="7" t="s">
        <v>7358</v>
      </c>
      <c r="M702" s="8" t="str">
        <f>"CFI"&amp;".D"&amp;TEXT(Caja_Finanzas[[#This Row],[fecha]],"DD-MM")&amp;"-"&amp;TEXT(Caja_Finanzas[[#This Row],[item]],"0000")</f>
        <v>CFI.D08-08-0635</v>
      </c>
      <c r="N702" s="8" t="str">
        <f t="shared" si="93"/>
        <v>PEN</v>
      </c>
      <c r="O702" s="13"/>
      <c r="P702" s="13">
        <v>7361</v>
      </c>
      <c r="Q702" s="3">
        <f t="shared" si="94"/>
        <v>0</v>
      </c>
      <c r="R702" s="3">
        <f t="shared" si="95"/>
        <v>7361</v>
      </c>
      <c r="S702" s="3">
        <f t="shared" si="67"/>
        <v>14245.699999999997</v>
      </c>
      <c r="T702" s="24" t="s">
        <v>1334</v>
      </c>
      <c r="U702" s="24"/>
      <c r="V702" s="3"/>
      <c r="W702" s="25"/>
      <c r="X702" s="25"/>
      <c r="Y702" s="25"/>
      <c r="Z702" s="25"/>
      <c r="AA702" s="25"/>
      <c r="AB702" s="3" t="str">
        <f>IF(Caja_Finanzas[[#This Row],[fecha]]&gt;0,TEXT(Caja_Finanzas[[#This Row],[fecha]],"mmmm"),0)</f>
        <v>Agosto</v>
      </c>
    </row>
    <row r="703" spans="1:28" ht="36" x14ac:dyDescent="0.3">
      <c r="A703" s="2">
        <f>IF(Caja_Finanzas[[#This Row],[tipo_r]]="R",COUNTIFS($C$1:$C702,"R")+1,A702)</f>
        <v>635</v>
      </c>
      <c r="B703" s="19" t="str">
        <f t="shared" ref="B703:B716" si="96">"C-Finanzas"</f>
        <v>C-Finanzas</v>
      </c>
      <c r="C703" s="3" t="s">
        <v>1352</v>
      </c>
      <c r="D703" s="14">
        <v>45877</v>
      </c>
      <c r="E703" s="5" t="s">
        <v>5828</v>
      </c>
      <c r="F703" s="5"/>
      <c r="G703" s="5"/>
      <c r="H703" s="6" t="s">
        <v>1070</v>
      </c>
      <c r="I703" s="6" t="s">
        <v>155</v>
      </c>
      <c r="J703" s="6" t="s">
        <v>7359</v>
      </c>
      <c r="K703" s="6">
        <v>1</v>
      </c>
      <c r="L703" s="7" t="s">
        <v>7358</v>
      </c>
      <c r="M703" s="8" t="str">
        <f>"CFI"&amp;".D"&amp;TEXT(Caja_Finanzas[[#This Row],[fecha]],"DD-MM")&amp;"-"&amp;TEXT(Caja_Finanzas[[#This Row],[item]],"0000")</f>
        <v>CFI.D08-08-0635</v>
      </c>
      <c r="N703" s="8" t="str">
        <f t="shared" ref="N703:N716" si="97">"PEN"</f>
        <v>PEN</v>
      </c>
      <c r="O703" s="13">
        <v>134</v>
      </c>
      <c r="P703" s="13"/>
      <c r="Q703" s="3">
        <f t="shared" ref="Q703:Q716" si="98">+IF(OR($F703="SALDO",$F703="INGRESO"),$P703,0)</f>
        <v>0</v>
      </c>
      <c r="R703" s="3">
        <f t="shared" ref="R703:R716" si="99">+IF($F703="EGRESO",$P703,0)</f>
        <v>0</v>
      </c>
      <c r="S703" s="3">
        <f t="shared" si="67"/>
        <v>14245.699999999997</v>
      </c>
      <c r="T703" s="24" t="s">
        <v>1334</v>
      </c>
      <c r="U703" s="24"/>
      <c r="V703" s="3"/>
      <c r="W703" s="25"/>
      <c r="X703" s="25"/>
      <c r="Y703" s="25"/>
      <c r="Z703" s="25"/>
      <c r="AA703" s="25"/>
      <c r="AB703" s="3" t="str">
        <f>IF(Caja_Finanzas[[#This Row],[fecha]]&gt;0,TEXT(Caja_Finanzas[[#This Row],[fecha]],"mmmm"),0)</f>
        <v>Agosto</v>
      </c>
    </row>
    <row r="704" spans="1:28" ht="36" x14ac:dyDescent="0.3">
      <c r="A704" s="2">
        <f>IF(Caja_Finanzas[[#This Row],[tipo_r]]="R",COUNTIFS($C$1:$C703,"R")+1,A703)</f>
        <v>635</v>
      </c>
      <c r="B704" s="19" t="str">
        <f t="shared" si="96"/>
        <v>C-Finanzas</v>
      </c>
      <c r="C704" s="3" t="s">
        <v>1352</v>
      </c>
      <c r="D704" s="14">
        <v>45877</v>
      </c>
      <c r="E704" s="5" t="s">
        <v>5828</v>
      </c>
      <c r="F704" s="5"/>
      <c r="G704" s="5"/>
      <c r="H704" s="6" t="s">
        <v>1085</v>
      </c>
      <c r="I704" s="6" t="s">
        <v>155</v>
      </c>
      <c r="J704" s="6" t="s">
        <v>7359</v>
      </c>
      <c r="K704" s="6">
        <v>2</v>
      </c>
      <c r="L704" s="7" t="s">
        <v>7358</v>
      </c>
      <c r="M704" s="8" t="str">
        <f>"CFI"&amp;".D"&amp;TEXT(Caja_Finanzas[[#This Row],[fecha]],"DD-MM")&amp;"-"&amp;TEXT(Caja_Finanzas[[#This Row],[item]],"0000")</f>
        <v>CFI.D08-08-0635</v>
      </c>
      <c r="N704" s="8" t="str">
        <f t="shared" si="97"/>
        <v>PEN</v>
      </c>
      <c r="O704" s="13">
        <v>456</v>
      </c>
      <c r="P704" s="13"/>
      <c r="Q704" s="3">
        <f t="shared" si="98"/>
        <v>0</v>
      </c>
      <c r="R704" s="3">
        <f t="shared" si="99"/>
        <v>0</v>
      </c>
      <c r="S704" s="3">
        <f t="shared" si="67"/>
        <v>14245.699999999997</v>
      </c>
      <c r="T704" s="24" t="s">
        <v>1334</v>
      </c>
      <c r="U704" s="24"/>
      <c r="V704" s="3"/>
      <c r="W704" s="25"/>
      <c r="X704" s="25"/>
      <c r="Y704" s="25"/>
      <c r="Z704" s="25"/>
      <c r="AA704" s="25"/>
      <c r="AB704" s="3" t="str">
        <f>IF(Caja_Finanzas[[#This Row],[fecha]]&gt;0,TEXT(Caja_Finanzas[[#This Row],[fecha]],"mmmm"),0)</f>
        <v>Agosto</v>
      </c>
    </row>
    <row r="705" spans="1:28" ht="36" x14ac:dyDescent="0.3">
      <c r="A705" s="2">
        <f>IF(Caja_Finanzas[[#This Row],[tipo_r]]="R",COUNTIFS($C$1:$C704,"R")+1,A704)</f>
        <v>635</v>
      </c>
      <c r="B705" s="19" t="str">
        <f t="shared" si="96"/>
        <v>C-Finanzas</v>
      </c>
      <c r="C705" s="3" t="s">
        <v>1352</v>
      </c>
      <c r="D705" s="14">
        <v>45877</v>
      </c>
      <c r="E705" s="5" t="s">
        <v>5828</v>
      </c>
      <c r="F705" s="5"/>
      <c r="G705" s="5"/>
      <c r="H705" s="6" t="s">
        <v>1086</v>
      </c>
      <c r="I705" s="6" t="s">
        <v>155</v>
      </c>
      <c r="J705" s="6" t="s">
        <v>7359</v>
      </c>
      <c r="K705" s="6">
        <v>3</v>
      </c>
      <c r="L705" s="7" t="s">
        <v>7358</v>
      </c>
      <c r="M705" s="8" t="str">
        <f>"CFI"&amp;".D"&amp;TEXT(Caja_Finanzas[[#This Row],[fecha]],"DD-MM")&amp;"-"&amp;TEXT(Caja_Finanzas[[#This Row],[item]],"0000")</f>
        <v>CFI.D08-08-0635</v>
      </c>
      <c r="N705" s="8" t="str">
        <f t="shared" si="97"/>
        <v>PEN</v>
      </c>
      <c r="O705" s="13">
        <v>617</v>
      </c>
      <c r="P705" s="13"/>
      <c r="Q705" s="3">
        <f t="shared" si="98"/>
        <v>0</v>
      </c>
      <c r="R705" s="3">
        <f t="shared" si="99"/>
        <v>0</v>
      </c>
      <c r="S705" s="3">
        <f t="shared" si="67"/>
        <v>14245.699999999997</v>
      </c>
      <c r="T705" s="24" t="s">
        <v>1334</v>
      </c>
      <c r="U705" s="24"/>
      <c r="V705" s="3"/>
      <c r="W705" s="25"/>
      <c r="X705" s="25"/>
      <c r="Y705" s="25"/>
      <c r="Z705" s="25"/>
      <c r="AA705" s="25"/>
      <c r="AB705" s="3" t="str">
        <f>IF(Caja_Finanzas[[#This Row],[fecha]]&gt;0,TEXT(Caja_Finanzas[[#This Row],[fecha]],"mmmm"),0)</f>
        <v>Agosto</v>
      </c>
    </row>
    <row r="706" spans="1:28" ht="36" x14ac:dyDescent="0.3">
      <c r="A706" s="2">
        <f>IF(Caja_Finanzas[[#This Row],[tipo_r]]="R",COUNTIFS($C$1:$C705,"R")+1,A705)</f>
        <v>635</v>
      </c>
      <c r="B706" s="19" t="str">
        <f t="shared" si="96"/>
        <v>C-Finanzas</v>
      </c>
      <c r="C706" s="3" t="s">
        <v>1352</v>
      </c>
      <c r="D706" s="14">
        <v>45877</v>
      </c>
      <c r="E706" s="5" t="s">
        <v>5828</v>
      </c>
      <c r="F706" s="5"/>
      <c r="G706" s="5"/>
      <c r="H706" s="6" t="s">
        <v>1087</v>
      </c>
      <c r="I706" s="6" t="s">
        <v>155</v>
      </c>
      <c r="J706" s="6" t="s">
        <v>7359</v>
      </c>
      <c r="K706" s="6">
        <v>4</v>
      </c>
      <c r="L706" s="7" t="s">
        <v>7358</v>
      </c>
      <c r="M706" s="8" t="str">
        <f>"CFI"&amp;".D"&amp;TEXT(Caja_Finanzas[[#This Row],[fecha]],"DD-MM")&amp;"-"&amp;TEXT(Caja_Finanzas[[#This Row],[item]],"0000")</f>
        <v>CFI.D08-08-0635</v>
      </c>
      <c r="N706" s="8" t="str">
        <f t="shared" si="97"/>
        <v>PEN</v>
      </c>
      <c r="O706" s="13">
        <v>1231</v>
      </c>
      <c r="P706" s="13"/>
      <c r="Q706" s="3">
        <f t="shared" si="98"/>
        <v>0</v>
      </c>
      <c r="R706" s="3">
        <f t="shared" si="99"/>
        <v>0</v>
      </c>
      <c r="S706" s="3">
        <f t="shared" ref="S706:S769" si="100">IFERROR(IF(F706="SALDO",Q706,S705+Q706-R706),0)</f>
        <v>14245.699999999997</v>
      </c>
      <c r="T706" s="24" t="s">
        <v>1334</v>
      </c>
      <c r="U706" s="24"/>
      <c r="V706" s="3"/>
      <c r="W706" s="25"/>
      <c r="X706" s="25"/>
      <c r="Y706" s="25"/>
      <c r="Z706" s="25"/>
      <c r="AA706" s="25"/>
      <c r="AB706" s="3" t="str">
        <f>IF(Caja_Finanzas[[#This Row],[fecha]]&gt;0,TEXT(Caja_Finanzas[[#This Row],[fecha]],"mmmm"),0)</f>
        <v>Agosto</v>
      </c>
    </row>
    <row r="707" spans="1:28" ht="36" x14ac:dyDescent="0.3">
      <c r="A707" s="2">
        <f>IF(Caja_Finanzas[[#This Row],[tipo_r]]="R",COUNTIFS($C$1:$C706,"R")+1,A706)</f>
        <v>635</v>
      </c>
      <c r="B707" s="19" t="str">
        <f t="shared" si="96"/>
        <v>C-Finanzas</v>
      </c>
      <c r="C707" s="3" t="s">
        <v>1352</v>
      </c>
      <c r="D707" s="14">
        <v>45877</v>
      </c>
      <c r="E707" s="5" t="s">
        <v>5828</v>
      </c>
      <c r="F707" s="5"/>
      <c r="G707" s="5"/>
      <c r="H707" s="6" t="s">
        <v>1088</v>
      </c>
      <c r="I707" s="6" t="s">
        <v>155</v>
      </c>
      <c r="J707" s="6" t="s">
        <v>7359</v>
      </c>
      <c r="K707" s="6">
        <v>5</v>
      </c>
      <c r="L707" s="7" t="s">
        <v>7358</v>
      </c>
      <c r="M707" s="8" t="str">
        <f>"CFI"&amp;".D"&amp;TEXT(Caja_Finanzas[[#This Row],[fecha]],"DD-MM")&amp;"-"&amp;TEXT(Caja_Finanzas[[#This Row],[item]],"0000")</f>
        <v>CFI.D08-08-0635</v>
      </c>
      <c r="N707" s="8" t="str">
        <f t="shared" si="97"/>
        <v>PEN</v>
      </c>
      <c r="O707" s="13">
        <v>456</v>
      </c>
      <c r="P707" s="13"/>
      <c r="Q707" s="3">
        <f t="shared" si="98"/>
        <v>0</v>
      </c>
      <c r="R707" s="3">
        <f t="shared" si="99"/>
        <v>0</v>
      </c>
      <c r="S707" s="3">
        <f t="shared" si="100"/>
        <v>14245.699999999997</v>
      </c>
      <c r="T707" s="24" t="s">
        <v>1334</v>
      </c>
      <c r="U707" s="24"/>
      <c r="V707" s="3"/>
      <c r="W707" s="25"/>
      <c r="X707" s="25"/>
      <c r="Y707" s="25"/>
      <c r="Z707" s="25"/>
      <c r="AA707" s="25"/>
      <c r="AB707" s="3" t="str">
        <f>IF(Caja_Finanzas[[#This Row],[fecha]]&gt;0,TEXT(Caja_Finanzas[[#This Row],[fecha]],"mmmm"),0)</f>
        <v>Agosto</v>
      </c>
    </row>
    <row r="708" spans="1:28" ht="36" x14ac:dyDescent="0.3">
      <c r="A708" s="2">
        <f>IF(Caja_Finanzas[[#This Row],[tipo_r]]="R",COUNTIFS($C$1:$C707,"R")+1,A707)</f>
        <v>635</v>
      </c>
      <c r="B708" s="19" t="str">
        <f t="shared" si="96"/>
        <v>C-Finanzas</v>
      </c>
      <c r="C708" s="3" t="s">
        <v>1352</v>
      </c>
      <c r="D708" s="14">
        <v>45877</v>
      </c>
      <c r="E708" s="5" t="s">
        <v>5828</v>
      </c>
      <c r="F708" s="5"/>
      <c r="G708" s="5"/>
      <c r="H708" s="6" t="s">
        <v>1089</v>
      </c>
      <c r="I708" s="6" t="s">
        <v>155</v>
      </c>
      <c r="J708" s="6" t="s">
        <v>7359</v>
      </c>
      <c r="K708" s="6">
        <v>6</v>
      </c>
      <c r="L708" s="7" t="s">
        <v>7358</v>
      </c>
      <c r="M708" s="8" t="str">
        <f>"CFI"&amp;".D"&amp;TEXT(Caja_Finanzas[[#This Row],[fecha]],"DD-MM")&amp;"-"&amp;TEXT(Caja_Finanzas[[#This Row],[item]],"0000")</f>
        <v>CFI.D08-08-0635</v>
      </c>
      <c r="N708" s="8" t="str">
        <f t="shared" si="97"/>
        <v>PEN</v>
      </c>
      <c r="O708" s="13">
        <v>1161</v>
      </c>
      <c r="P708" s="13"/>
      <c r="Q708" s="3">
        <f t="shared" si="98"/>
        <v>0</v>
      </c>
      <c r="R708" s="3">
        <f t="shared" si="99"/>
        <v>0</v>
      </c>
      <c r="S708" s="3">
        <f t="shared" si="100"/>
        <v>14245.699999999997</v>
      </c>
      <c r="T708" s="24" t="s">
        <v>1334</v>
      </c>
      <c r="U708" s="24"/>
      <c r="V708" s="3"/>
      <c r="W708" s="25"/>
      <c r="X708" s="25"/>
      <c r="Y708" s="25"/>
      <c r="Z708" s="25"/>
      <c r="AA708" s="25"/>
      <c r="AB708" s="3" t="str">
        <f>IF(Caja_Finanzas[[#This Row],[fecha]]&gt;0,TEXT(Caja_Finanzas[[#This Row],[fecha]],"mmmm"),0)</f>
        <v>Agosto</v>
      </c>
    </row>
    <row r="709" spans="1:28" ht="36" x14ac:dyDescent="0.3">
      <c r="A709" s="2">
        <f>IF(Caja_Finanzas[[#This Row],[tipo_r]]="R",COUNTIFS($C$1:$C708,"R")+1,A708)</f>
        <v>635</v>
      </c>
      <c r="B709" s="19" t="str">
        <f t="shared" si="96"/>
        <v>C-Finanzas</v>
      </c>
      <c r="C709" s="3" t="s">
        <v>1352</v>
      </c>
      <c r="D709" s="14">
        <v>45877</v>
      </c>
      <c r="E709" s="5" t="s">
        <v>5828</v>
      </c>
      <c r="F709" s="5"/>
      <c r="G709" s="5"/>
      <c r="H709" s="6" t="s">
        <v>1090</v>
      </c>
      <c r="I709" s="6" t="s">
        <v>155</v>
      </c>
      <c r="J709" s="6" t="s">
        <v>7359</v>
      </c>
      <c r="K709" s="6">
        <v>7</v>
      </c>
      <c r="L709" s="7" t="s">
        <v>7358</v>
      </c>
      <c r="M709" s="8" t="str">
        <f>"CFI"&amp;".D"&amp;TEXT(Caja_Finanzas[[#This Row],[fecha]],"DD-MM")&amp;"-"&amp;TEXT(Caja_Finanzas[[#This Row],[item]],"0000")</f>
        <v>CFI.D08-08-0635</v>
      </c>
      <c r="N709" s="8" t="str">
        <f t="shared" si="97"/>
        <v>PEN</v>
      </c>
      <c r="O709" s="13">
        <v>1295</v>
      </c>
      <c r="P709" s="13"/>
      <c r="Q709" s="3">
        <f t="shared" si="98"/>
        <v>0</v>
      </c>
      <c r="R709" s="3">
        <f t="shared" si="99"/>
        <v>0</v>
      </c>
      <c r="S709" s="3">
        <f t="shared" si="100"/>
        <v>14245.699999999997</v>
      </c>
      <c r="T709" s="24" t="s">
        <v>1334</v>
      </c>
      <c r="U709" s="24"/>
      <c r="V709" s="3"/>
      <c r="W709" s="25"/>
      <c r="X709" s="25"/>
      <c r="Y709" s="25"/>
      <c r="Z709" s="25"/>
      <c r="AA709" s="25"/>
      <c r="AB709" s="3" t="str">
        <f>IF(Caja_Finanzas[[#This Row],[fecha]]&gt;0,TEXT(Caja_Finanzas[[#This Row],[fecha]],"mmmm"),0)</f>
        <v>Agosto</v>
      </c>
    </row>
    <row r="710" spans="1:28" ht="36" x14ac:dyDescent="0.3">
      <c r="A710" s="2">
        <f>IF(Caja_Finanzas[[#This Row],[tipo_r]]="R",COUNTIFS($C$1:$C709,"R")+1,A709)</f>
        <v>635</v>
      </c>
      <c r="B710" s="19" t="str">
        <f t="shared" si="96"/>
        <v>C-Finanzas</v>
      </c>
      <c r="C710" s="3" t="s">
        <v>1352</v>
      </c>
      <c r="D710" s="14">
        <v>45877</v>
      </c>
      <c r="E710" s="5" t="s">
        <v>5828</v>
      </c>
      <c r="F710" s="5"/>
      <c r="G710" s="5"/>
      <c r="H710" s="6" t="s">
        <v>1091</v>
      </c>
      <c r="I710" s="6" t="s">
        <v>155</v>
      </c>
      <c r="J710" s="6" t="s">
        <v>7359</v>
      </c>
      <c r="K710" s="6">
        <v>8</v>
      </c>
      <c r="L710" s="7" t="s">
        <v>7358</v>
      </c>
      <c r="M710" s="8" t="str">
        <f>"CFI"&amp;".D"&amp;TEXT(Caja_Finanzas[[#This Row],[fecha]],"DD-MM")&amp;"-"&amp;TEXT(Caja_Finanzas[[#This Row],[item]],"0000")</f>
        <v>CFI.D08-08-0635</v>
      </c>
      <c r="N710" s="8" t="str">
        <f t="shared" si="97"/>
        <v>PEN</v>
      </c>
      <c r="O710" s="13">
        <v>493</v>
      </c>
      <c r="P710" s="13"/>
      <c r="Q710" s="3">
        <f t="shared" si="98"/>
        <v>0</v>
      </c>
      <c r="R710" s="3">
        <f t="shared" si="99"/>
        <v>0</v>
      </c>
      <c r="S710" s="3">
        <f t="shared" si="100"/>
        <v>14245.699999999997</v>
      </c>
      <c r="T710" s="24" t="s">
        <v>1334</v>
      </c>
      <c r="U710" s="24"/>
      <c r="V710" s="3"/>
      <c r="W710" s="25"/>
      <c r="X710" s="25"/>
      <c r="Y710" s="25"/>
      <c r="Z710" s="25"/>
      <c r="AA710" s="25"/>
      <c r="AB710" s="3" t="str">
        <f>IF(Caja_Finanzas[[#This Row],[fecha]]&gt;0,TEXT(Caja_Finanzas[[#This Row],[fecha]],"mmmm"),0)</f>
        <v>Agosto</v>
      </c>
    </row>
    <row r="711" spans="1:28" ht="36" x14ac:dyDescent="0.3">
      <c r="A711" s="2">
        <f>IF(Caja_Finanzas[[#This Row],[tipo_r]]="R",COUNTIFS($C$1:$C710,"R")+1,A710)</f>
        <v>635</v>
      </c>
      <c r="B711" s="19" t="str">
        <f t="shared" si="96"/>
        <v>C-Finanzas</v>
      </c>
      <c r="C711" s="3" t="s">
        <v>1352</v>
      </c>
      <c r="D711" s="14">
        <v>45877</v>
      </c>
      <c r="E711" s="5" t="s">
        <v>5828</v>
      </c>
      <c r="F711" s="5"/>
      <c r="G711" s="5"/>
      <c r="H711" s="6" t="s">
        <v>1092</v>
      </c>
      <c r="I711" s="6" t="s">
        <v>155</v>
      </c>
      <c r="J711" s="6" t="s">
        <v>7359</v>
      </c>
      <c r="K711" s="6">
        <v>9</v>
      </c>
      <c r="L711" s="7" t="s">
        <v>7358</v>
      </c>
      <c r="M711" s="8" t="str">
        <f>"CFI"&amp;".D"&amp;TEXT(Caja_Finanzas[[#This Row],[fecha]],"DD-MM")&amp;"-"&amp;TEXT(Caja_Finanzas[[#This Row],[item]],"0000")</f>
        <v>CFI.D08-08-0635</v>
      </c>
      <c r="N711" s="8" t="str">
        <f t="shared" si="97"/>
        <v>PEN</v>
      </c>
      <c r="O711" s="13">
        <v>249</v>
      </c>
      <c r="P711" s="13"/>
      <c r="Q711" s="3">
        <f t="shared" si="98"/>
        <v>0</v>
      </c>
      <c r="R711" s="3">
        <f t="shared" si="99"/>
        <v>0</v>
      </c>
      <c r="S711" s="3">
        <f t="shared" si="100"/>
        <v>14245.699999999997</v>
      </c>
      <c r="T711" s="24" t="s">
        <v>1334</v>
      </c>
      <c r="U711" s="24"/>
      <c r="V711" s="3"/>
      <c r="W711" s="25"/>
      <c r="X711" s="25"/>
      <c r="Y711" s="25"/>
      <c r="Z711" s="25"/>
      <c r="AA711" s="25"/>
      <c r="AB711" s="3" t="str">
        <f>IF(Caja_Finanzas[[#This Row],[fecha]]&gt;0,TEXT(Caja_Finanzas[[#This Row],[fecha]],"mmmm"),0)</f>
        <v>Agosto</v>
      </c>
    </row>
    <row r="712" spans="1:28" ht="36" x14ac:dyDescent="0.3">
      <c r="A712" s="2">
        <f>IF(Caja_Finanzas[[#This Row],[tipo_r]]="R",COUNTIFS($C$1:$C711,"R")+1,A711)</f>
        <v>635</v>
      </c>
      <c r="B712" s="19" t="str">
        <f t="shared" si="96"/>
        <v>C-Finanzas</v>
      </c>
      <c r="C712" s="3" t="s">
        <v>1352</v>
      </c>
      <c r="D712" s="14">
        <v>45877</v>
      </c>
      <c r="E712" s="5" t="s">
        <v>5828</v>
      </c>
      <c r="F712" s="5"/>
      <c r="G712" s="5"/>
      <c r="H712" s="6" t="s">
        <v>1069</v>
      </c>
      <c r="I712" s="6" t="s">
        <v>155</v>
      </c>
      <c r="J712" s="6" t="s">
        <v>7359</v>
      </c>
      <c r="K712" s="6">
        <v>10</v>
      </c>
      <c r="L712" s="7" t="s">
        <v>7358</v>
      </c>
      <c r="M712" s="8" t="str">
        <f>"CFI"&amp;".D"&amp;TEXT(Caja_Finanzas[[#This Row],[fecha]],"DD-MM")&amp;"-"&amp;TEXT(Caja_Finanzas[[#This Row],[item]],"0000")</f>
        <v>CFI.D08-08-0635</v>
      </c>
      <c r="N712" s="8" t="str">
        <f t="shared" si="97"/>
        <v>PEN</v>
      </c>
      <c r="O712" s="13">
        <v>140</v>
      </c>
      <c r="P712" s="13"/>
      <c r="Q712" s="3">
        <f t="shared" si="98"/>
        <v>0</v>
      </c>
      <c r="R712" s="3">
        <f t="shared" si="99"/>
        <v>0</v>
      </c>
      <c r="S712" s="3">
        <f t="shared" si="100"/>
        <v>14245.699999999997</v>
      </c>
      <c r="T712" s="24" t="s">
        <v>1334</v>
      </c>
      <c r="U712" s="24"/>
      <c r="V712" s="3"/>
      <c r="W712" s="25"/>
      <c r="X712" s="25"/>
      <c r="Y712" s="25"/>
      <c r="Z712" s="25"/>
      <c r="AA712" s="25"/>
      <c r="AB712" s="3" t="str">
        <f>IF(Caja_Finanzas[[#This Row],[fecha]]&gt;0,TEXT(Caja_Finanzas[[#This Row],[fecha]],"mmmm"),0)</f>
        <v>Agosto</v>
      </c>
    </row>
    <row r="713" spans="1:28" ht="36" x14ac:dyDescent="0.3">
      <c r="A713" s="2">
        <f>IF(Caja_Finanzas[[#This Row],[tipo_r]]="R",COUNTIFS($C$1:$C712,"R")+1,A712)</f>
        <v>635</v>
      </c>
      <c r="B713" s="19" t="str">
        <f t="shared" si="96"/>
        <v>C-Finanzas</v>
      </c>
      <c r="C713" s="3" t="s">
        <v>1352</v>
      </c>
      <c r="D713" s="14">
        <v>45877</v>
      </c>
      <c r="E713" s="5" t="s">
        <v>5828</v>
      </c>
      <c r="F713" s="5"/>
      <c r="G713" s="5"/>
      <c r="H713" s="6" t="s">
        <v>1093</v>
      </c>
      <c r="I713" s="6" t="s">
        <v>155</v>
      </c>
      <c r="J713" s="6" t="s">
        <v>7359</v>
      </c>
      <c r="K713" s="6">
        <v>11</v>
      </c>
      <c r="L713" s="7" t="s">
        <v>7358</v>
      </c>
      <c r="M713" s="8" t="str">
        <f>"CFI"&amp;".D"&amp;TEXT(Caja_Finanzas[[#This Row],[fecha]],"DD-MM")&amp;"-"&amp;TEXT(Caja_Finanzas[[#This Row],[item]],"0000")</f>
        <v>CFI.D08-08-0635</v>
      </c>
      <c r="N713" s="8" t="str">
        <f t="shared" si="97"/>
        <v>PEN</v>
      </c>
      <c r="O713" s="13">
        <v>206</v>
      </c>
      <c r="P713" s="13"/>
      <c r="Q713" s="3">
        <f t="shared" si="98"/>
        <v>0</v>
      </c>
      <c r="R713" s="3">
        <f t="shared" si="99"/>
        <v>0</v>
      </c>
      <c r="S713" s="3">
        <f t="shared" si="100"/>
        <v>14245.699999999997</v>
      </c>
      <c r="T713" s="24" t="s">
        <v>1334</v>
      </c>
      <c r="U713" s="24"/>
      <c r="V713" s="3"/>
      <c r="W713" s="25"/>
      <c r="X713" s="25"/>
      <c r="Y713" s="25"/>
      <c r="Z713" s="25"/>
      <c r="AA713" s="25"/>
      <c r="AB713" s="3" t="str">
        <f>IF(Caja_Finanzas[[#This Row],[fecha]]&gt;0,TEXT(Caja_Finanzas[[#This Row],[fecha]],"mmmm"),0)</f>
        <v>Agosto</v>
      </c>
    </row>
    <row r="714" spans="1:28" ht="36" x14ac:dyDescent="0.3">
      <c r="A714" s="2">
        <f>IF(Caja_Finanzas[[#This Row],[tipo_r]]="R",COUNTIFS($C$1:$C713,"R")+1,A713)</f>
        <v>635</v>
      </c>
      <c r="B714" s="19" t="str">
        <f t="shared" si="96"/>
        <v>C-Finanzas</v>
      </c>
      <c r="C714" s="3" t="s">
        <v>1352</v>
      </c>
      <c r="D714" s="14">
        <v>45877</v>
      </c>
      <c r="E714" s="5" t="s">
        <v>5828</v>
      </c>
      <c r="F714" s="5"/>
      <c r="G714" s="5"/>
      <c r="H714" s="6" t="s">
        <v>931</v>
      </c>
      <c r="I714" s="6" t="s">
        <v>155</v>
      </c>
      <c r="J714" s="6" t="s">
        <v>7359</v>
      </c>
      <c r="K714" s="6">
        <v>12</v>
      </c>
      <c r="L714" s="7" t="s">
        <v>7358</v>
      </c>
      <c r="M714" s="8" t="str">
        <f>"CFI"&amp;".D"&amp;TEXT(Caja_Finanzas[[#This Row],[fecha]],"DD-MM")&amp;"-"&amp;TEXT(Caja_Finanzas[[#This Row],[item]],"0000")</f>
        <v>CFI.D08-08-0635</v>
      </c>
      <c r="N714" s="8" t="str">
        <f t="shared" si="97"/>
        <v>PEN</v>
      </c>
      <c r="O714" s="13">
        <v>170</v>
      </c>
      <c r="P714" s="13"/>
      <c r="Q714" s="3">
        <f t="shared" si="98"/>
        <v>0</v>
      </c>
      <c r="R714" s="3">
        <f t="shared" si="99"/>
        <v>0</v>
      </c>
      <c r="S714" s="3">
        <f t="shared" si="100"/>
        <v>14245.699999999997</v>
      </c>
      <c r="T714" s="24" t="s">
        <v>1334</v>
      </c>
      <c r="U714" s="24"/>
      <c r="V714" s="3"/>
      <c r="W714" s="25"/>
      <c r="X714" s="25"/>
      <c r="Y714" s="25"/>
      <c r="Z714" s="25"/>
      <c r="AA714" s="25"/>
      <c r="AB714" s="3" t="str">
        <f>IF(Caja_Finanzas[[#This Row],[fecha]]&gt;0,TEXT(Caja_Finanzas[[#This Row],[fecha]],"mmmm"),0)</f>
        <v>Agosto</v>
      </c>
    </row>
    <row r="715" spans="1:28" ht="36" x14ac:dyDescent="0.3">
      <c r="A715" s="2">
        <f>IF(Caja_Finanzas[[#This Row],[tipo_r]]="R",COUNTIFS($C$1:$C714,"R")+1,A714)</f>
        <v>635</v>
      </c>
      <c r="B715" s="19" t="str">
        <f t="shared" si="96"/>
        <v>C-Finanzas</v>
      </c>
      <c r="C715" s="3" t="s">
        <v>1352</v>
      </c>
      <c r="D715" s="14">
        <v>45877</v>
      </c>
      <c r="E715" s="5" t="s">
        <v>5828</v>
      </c>
      <c r="F715" s="5"/>
      <c r="G715" s="5"/>
      <c r="H715" s="6" t="s">
        <v>1094</v>
      </c>
      <c r="I715" s="6" t="s">
        <v>155</v>
      </c>
      <c r="J715" s="6" t="s">
        <v>7359</v>
      </c>
      <c r="K715" s="6">
        <v>13</v>
      </c>
      <c r="L715" s="7" t="s">
        <v>7358</v>
      </c>
      <c r="M715" s="8" t="str">
        <f>"CFI"&amp;".D"&amp;TEXT(Caja_Finanzas[[#This Row],[fecha]],"DD-MM")&amp;"-"&amp;TEXT(Caja_Finanzas[[#This Row],[item]],"0000")</f>
        <v>CFI.D08-08-0635</v>
      </c>
      <c r="N715" s="8" t="str">
        <f t="shared" si="97"/>
        <v>PEN</v>
      </c>
      <c r="O715" s="13">
        <v>130</v>
      </c>
      <c r="P715" s="13"/>
      <c r="Q715" s="3">
        <f t="shared" si="98"/>
        <v>0</v>
      </c>
      <c r="R715" s="3">
        <f t="shared" si="99"/>
        <v>0</v>
      </c>
      <c r="S715" s="3">
        <f t="shared" si="100"/>
        <v>14245.699999999997</v>
      </c>
      <c r="T715" s="24" t="s">
        <v>1334</v>
      </c>
      <c r="U715" s="24"/>
      <c r="V715" s="3"/>
      <c r="W715" s="25"/>
      <c r="X715" s="25"/>
      <c r="Y715" s="25"/>
      <c r="Z715" s="25"/>
      <c r="AA715" s="25"/>
      <c r="AB715" s="3" t="str">
        <f>IF(Caja_Finanzas[[#This Row],[fecha]]&gt;0,TEXT(Caja_Finanzas[[#This Row],[fecha]],"mmmm"),0)</f>
        <v>Agosto</v>
      </c>
    </row>
    <row r="716" spans="1:28" ht="36" x14ac:dyDescent="0.3">
      <c r="A716" s="2">
        <f>IF(Caja_Finanzas[[#This Row],[tipo_r]]="R",COUNTIFS($C$1:$C715,"R")+1,A715)</f>
        <v>635</v>
      </c>
      <c r="B716" s="19" t="str">
        <f t="shared" si="96"/>
        <v>C-Finanzas</v>
      </c>
      <c r="C716" s="3" t="s">
        <v>1352</v>
      </c>
      <c r="D716" s="14">
        <v>45877</v>
      </c>
      <c r="E716" s="5" t="s">
        <v>5828</v>
      </c>
      <c r="F716" s="5"/>
      <c r="G716" s="5"/>
      <c r="H716" s="6" t="s">
        <v>1095</v>
      </c>
      <c r="I716" s="6" t="s">
        <v>155</v>
      </c>
      <c r="J716" s="6" t="s">
        <v>7359</v>
      </c>
      <c r="K716" s="6">
        <v>14</v>
      </c>
      <c r="L716" s="7" t="s">
        <v>7358</v>
      </c>
      <c r="M716" s="8" t="str">
        <f>"CFI"&amp;".D"&amp;TEXT(Caja_Finanzas[[#This Row],[fecha]],"DD-MM")&amp;"-"&amp;TEXT(Caja_Finanzas[[#This Row],[item]],"0000")</f>
        <v>CFI.D08-08-0635</v>
      </c>
      <c r="N716" s="8" t="str">
        <f t="shared" si="97"/>
        <v>PEN</v>
      </c>
      <c r="O716" s="13">
        <v>623</v>
      </c>
      <c r="P716" s="13"/>
      <c r="Q716" s="3">
        <f t="shared" si="98"/>
        <v>0</v>
      </c>
      <c r="R716" s="3">
        <f t="shared" si="99"/>
        <v>0</v>
      </c>
      <c r="S716" s="3">
        <f t="shared" si="100"/>
        <v>14245.699999999997</v>
      </c>
      <c r="T716" s="24" t="s">
        <v>1334</v>
      </c>
      <c r="U716" s="24"/>
      <c r="V716" s="3"/>
      <c r="W716" s="25"/>
      <c r="X716" s="25"/>
      <c r="Y716" s="25"/>
      <c r="Z716" s="25"/>
      <c r="AA716" s="25"/>
      <c r="AB716" s="3" t="str">
        <f>IF(Caja_Finanzas[[#This Row],[fecha]]&gt;0,TEXT(Caja_Finanzas[[#This Row],[fecha]],"mmmm"),0)</f>
        <v>Agosto</v>
      </c>
    </row>
    <row r="717" spans="1:28" ht="36" x14ac:dyDescent="0.3">
      <c r="A717" s="2">
        <f>IF(Caja_Finanzas[[#This Row],[tipo_r]]="R",COUNTIFS($C$1:$C716,"R")+1,A716)</f>
        <v>636</v>
      </c>
      <c r="B717" s="19" t="str">
        <f t="shared" si="92"/>
        <v>C-Finanzas</v>
      </c>
      <c r="C717" s="3" t="s">
        <v>1330</v>
      </c>
      <c r="D717" s="14">
        <v>45880</v>
      </c>
      <c r="E717" s="5" t="s">
        <v>6570</v>
      </c>
      <c r="F717" s="5" t="s">
        <v>1336</v>
      </c>
      <c r="G717" s="5"/>
      <c r="H717" s="134" t="s">
        <v>1009</v>
      </c>
      <c r="I717" s="6" t="s">
        <v>115</v>
      </c>
      <c r="J717" s="6" t="s">
        <v>7187</v>
      </c>
      <c r="K717" s="6">
        <v>139</v>
      </c>
      <c r="L717" s="7" t="s">
        <v>7360</v>
      </c>
      <c r="M717" s="8" t="str">
        <f>"CFI"&amp;".D"&amp;TEXT(Caja_Finanzas[[#This Row],[fecha]],"DD-MM")&amp;"-"&amp;TEXT(Caja_Finanzas[[#This Row],[item]],"0000")</f>
        <v>CFI.D11-08-0636</v>
      </c>
      <c r="N717" s="8" t="str">
        <f t="shared" si="93"/>
        <v>PEN</v>
      </c>
      <c r="O717" s="13"/>
      <c r="P717" s="13">
        <v>18</v>
      </c>
      <c r="Q717" s="3">
        <f t="shared" si="94"/>
        <v>0</v>
      </c>
      <c r="R717" s="3">
        <f t="shared" si="95"/>
        <v>18</v>
      </c>
      <c r="S717" s="3">
        <f t="shared" si="100"/>
        <v>14227.699999999997</v>
      </c>
      <c r="T717" s="24"/>
      <c r="U717" s="24"/>
      <c r="V717" s="3"/>
      <c r="W717" s="25"/>
      <c r="X717" s="25"/>
      <c r="Y717" s="25"/>
      <c r="Z717" s="25"/>
      <c r="AA717" s="25"/>
      <c r="AB717" s="3" t="str">
        <f>IF(Caja_Finanzas[[#This Row],[fecha]]&gt;0,TEXT(Caja_Finanzas[[#This Row],[fecha]],"mmmm"),0)</f>
        <v>Agosto</v>
      </c>
    </row>
    <row r="718" spans="1:28" ht="24" x14ac:dyDescent="0.3">
      <c r="A718" s="2">
        <f>IF(Caja_Finanzas[[#This Row],[tipo_r]]="R",COUNTIFS($C$1:$C717,"R")+1,A717)</f>
        <v>637</v>
      </c>
      <c r="B718" s="19" t="str">
        <f t="shared" ref="B718:B730" si="101">"C-Finanzas"</f>
        <v>C-Finanzas</v>
      </c>
      <c r="C718" s="3" t="s">
        <v>1330</v>
      </c>
      <c r="D718" s="14">
        <v>45880</v>
      </c>
      <c r="E718" s="5" t="s">
        <v>6409</v>
      </c>
      <c r="F718" s="5" t="s">
        <v>1336</v>
      </c>
      <c r="G718" s="5"/>
      <c r="H718" s="134" t="s">
        <v>1009</v>
      </c>
      <c r="I718" s="6" t="s">
        <v>115</v>
      </c>
      <c r="J718" s="6" t="s">
        <v>7187</v>
      </c>
      <c r="K718" s="6">
        <v>142</v>
      </c>
      <c r="L718" s="7" t="s">
        <v>7361</v>
      </c>
      <c r="M718" s="8" t="str">
        <f>"CFI"&amp;".D"&amp;TEXT(Caja_Finanzas[[#This Row],[fecha]],"DD-MM")&amp;"-"&amp;TEXT(Caja_Finanzas[[#This Row],[item]],"0000")</f>
        <v>CFI.D11-08-0637</v>
      </c>
      <c r="N718" s="8" t="str">
        <f t="shared" ref="N718:N730" si="102">"PEN"</f>
        <v>PEN</v>
      </c>
      <c r="O718" s="13"/>
      <c r="P718" s="13">
        <v>150</v>
      </c>
      <c r="Q718" s="3">
        <f t="shared" ref="Q718:Q730" si="103">+IF(OR($F718="SALDO",$F718="INGRESO"),$P718,0)</f>
        <v>0</v>
      </c>
      <c r="R718" s="3">
        <f t="shared" ref="R718:R730" si="104">+IF($F718="EGRESO",$P718,0)</f>
        <v>150</v>
      </c>
      <c r="S718" s="3">
        <f t="shared" si="100"/>
        <v>14077.699999999997</v>
      </c>
      <c r="T718" s="24"/>
      <c r="U718" s="24"/>
      <c r="V718" s="3"/>
      <c r="W718" s="25"/>
      <c r="X718" s="25"/>
      <c r="Y718" s="25"/>
      <c r="Z718" s="25"/>
      <c r="AA718" s="25"/>
      <c r="AB718" s="3" t="str">
        <f>IF(Caja_Finanzas[[#This Row],[fecha]]&gt;0,TEXT(Caja_Finanzas[[#This Row],[fecha]],"mmmm"),0)</f>
        <v>Agosto</v>
      </c>
    </row>
    <row r="719" spans="1:28" ht="24" x14ac:dyDescent="0.3">
      <c r="A719" s="2">
        <f>IF(Caja_Finanzas[[#This Row],[tipo_r]]="R",COUNTIFS($C$1:$C718,"R")+1,A718)</f>
        <v>638</v>
      </c>
      <c r="B719" s="19" t="str">
        <f t="shared" si="101"/>
        <v>C-Finanzas</v>
      </c>
      <c r="C719" s="3" t="s">
        <v>1330</v>
      </c>
      <c r="D719" s="14">
        <v>45880</v>
      </c>
      <c r="E719" s="5" t="s">
        <v>6409</v>
      </c>
      <c r="F719" s="5" t="s">
        <v>1336</v>
      </c>
      <c r="G719" s="5"/>
      <c r="H719" s="134" t="s">
        <v>1009</v>
      </c>
      <c r="I719" s="6" t="s">
        <v>115</v>
      </c>
      <c r="J719" s="6" t="s">
        <v>7187</v>
      </c>
      <c r="K719" s="6">
        <v>140</v>
      </c>
      <c r="L719" s="7" t="s">
        <v>7362</v>
      </c>
      <c r="M719" s="8" t="str">
        <f>"CFI"&amp;".D"&amp;TEXT(Caja_Finanzas[[#This Row],[fecha]],"DD-MM")&amp;"-"&amp;TEXT(Caja_Finanzas[[#This Row],[item]],"0000")</f>
        <v>CFI.D11-08-0638</v>
      </c>
      <c r="N719" s="8" t="str">
        <f t="shared" si="102"/>
        <v>PEN</v>
      </c>
      <c r="O719" s="13"/>
      <c r="P719" s="13">
        <v>20</v>
      </c>
      <c r="Q719" s="3">
        <f t="shared" si="103"/>
        <v>0</v>
      </c>
      <c r="R719" s="3">
        <f t="shared" si="104"/>
        <v>20</v>
      </c>
      <c r="S719" s="3">
        <f t="shared" si="100"/>
        <v>14057.699999999997</v>
      </c>
      <c r="T719" s="24"/>
      <c r="U719" s="24"/>
      <c r="V719" s="3"/>
      <c r="W719" s="25"/>
      <c r="X719" s="25"/>
      <c r="Y719" s="25"/>
      <c r="Z719" s="25"/>
      <c r="AA719" s="25"/>
      <c r="AB719" s="3" t="str">
        <f>IF(Caja_Finanzas[[#This Row],[fecha]]&gt;0,TEXT(Caja_Finanzas[[#This Row],[fecha]],"mmmm"),0)</f>
        <v>Agosto</v>
      </c>
    </row>
    <row r="720" spans="1:28" ht="24" x14ac:dyDescent="0.3">
      <c r="A720" s="2">
        <f>IF(Caja_Finanzas[[#This Row],[tipo_r]]="R",COUNTIFS($C$1:$C719,"R")+1,A719)</f>
        <v>639</v>
      </c>
      <c r="B720" s="19" t="str">
        <f t="shared" si="101"/>
        <v>C-Finanzas</v>
      </c>
      <c r="C720" s="3" t="s">
        <v>1330</v>
      </c>
      <c r="D720" s="14">
        <v>45880</v>
      </c>
      <c r="E720" s="5" t="s">
        <v>6456</v>
      </c>
      <c r="F720" s="5" t="s">
        <v>1336</v>
      </c>
      <c r="G720" s="5"/>
      <c r="H720" s="134" t="s">
        <v>1009</v>
      </c>
      <c r="I720" s="6" t="s">
        <v>115</v>
      </c>
      <c r="J720" s="6" t="s">
        <v>7289</v>
      </c>
      <c r="K720" s="6">
        <v>17</v>
      </c>
      <c r="L720" s="7" t="s">
        <v>7363</v>
      </c>
      <c r="M720" s="8" t="str">
        <f>"CFI"&amp;".D"&amp;TEXT(Caja_Finanzas[[#This Row],[fecha]],"DD-MM")&amp;"-"&amp;TEXT(Caja_Finanzas[[#This Row],[item]],"0000")</f>
        <v>CFI.D11-08-0639</v>
      </c>
      <c r="N720" s="8" t="str">
        <f t="shared" si="102"/>
        <v>PEN</v>
      </c>
      <c r="O720" s="13"/>
      <c r="P720" s="13">
        <v>20</v>
      </c>
      <c r="Q720" s="3">
        <f t="shared" si="103"/>
        <v>0</v>
      </c>
      <c r="R720" s="3">
        <f t="shared" si="104"/>
        <v>20</v>
      </c>
      <c r="S720" s="3">
        <f t="shared" si="100"/>
        <v>14037.699999999997</v>
      </c>
      <c r="T720" s="24"/>
      <c r="U720" s="24"/>
      <c r="V720" s="3"/>
      <c r="W720" s="25"/>
      <c r="X720" s="25"/>
      <c r="Y720" s="25"/>
      <c r="Z720" s="25"/>
      <c r="AA720" s="25"/>
      <c r="AB720" s="3" t="str">
        <f>IF(Caja_Finanzas[[#This Row],[fecha]]&gt;0,TEXT(Caja_Finanzas[[#This Row],[fecha]],"mmmm"),0)</f>
        <v>Agosto</v>
      </c>
    </row>
    <row r="721" spans="1:28" ht="24" x14ac:dyDescent="0.3">
      <c r="A721" s="2">
        <f>IF(Caja_Finanzas[[#This Row],[tipo_r]]="R",COUNTIFS($C$1:$C720,"R")+1,A720)</f>
        <v>640</v>
      </c>
      <c r="B721" s="19" t="str">
        <f t="shared" si="101"/>
        <v>C-Finanzas</v>
      </c>
      <c r="C721" s="3" t="s">
        <v>1330</v>
      </c>
      <c r="D721" s="14">
        <v>45881</v>
      </c>
      <c r="E721" s="5" t="s">
        <v>6731</v>
      </c>
      <c r="F721" s="5" t="s">
        <v>1303</v>
      </c>
      <c r="G721" s="5"/>
      <c r="H721" s="6"/>
      <c r="I721" s="6"/>
      <c r="J721" s="6"/>
      <c r="K721" s="6"/>
      <c r="L721" s="7" t="s">
        <v>7364</v>
      </c>
      <c r="M721" s="8" t="str">
        <f>"CFI"&amp;".D"&amp;TEXT(Caja_Finanzas[[#This Row],[fecha]],"DD-MM")&amp;"-"&amp;TEXT(Caja_Finanzas[[#This Row],[item]],"0000")</f>
        <v>CFI.D12-08-0640</v>
      </c>
      <c r="N721" s="8" t="str">
        <f t="shared" si="102"/>
        <v>PEN</v>
      </c>
      <c r="O721" s="13"/>
      <c r="P721" s="13">
        <v>120</v>
      </c>
      <c r="Q721" s="3">
        <f t="shared" si="103"/>
        <v>120</v>
      </c>
      <c r="R721" s="3">
        <f t="shared" si="104"/>
        <v>0</v>
      </c>
      <c r="S721" s="3">
        <f t="shared" si="100"/>
        <v>14157.699999999997</v>
      </c>
      <c r="T721" s="24"/>
      <c r="U721" s="24"/>
      <c r="V721" s="3"/>
      <c r="W721" s="25"/>
      <c r="X721" s="25"/>
      <c r="Y721" s="25"/>
      <c r="Z721" s="25"/>
      <c r="AA721" s="25"/>
      <c r="AB721" s="3" t="str">
        <f>IF(Caja_Finanzas[[#This Row],[fecha]]&gt;0,TEXT(Caja_Finanzas[[#This Row],[fecha]],"mmmm"),0)</f>
        <v>Agosto</v>
      </c>
    </row>
    <row r="722" spans="1:28" ht="36" x14ac:dyDescent="0.3">
      <c r="A722" s="2">
        <f>IF(Caja_Finanzas[[#This Row],[tipo_r]]="R",COUNTIFS($C$1:$C721,"R")+1,A721)</f>
        <v>641</v>
      </c>
      <c r="B722" s="19" t="str">
        <f t="shared" si="101"/>
        <v>C-Finanzas</v>
      </c>
      <c r="C722" s="3" t="s">
        <v>1330</v>
      </c>
      <c r="D722" s="14">
        <v>45881</v>
      </c>
      <c r="E722" s="5" t="s">
        <v>6451</v>
      </c>
      <c r="F722" s="5" t="s">
        <v>1336</v>
      </c>
      <c r="G722" s="5"/>
      <c r="H722" s="134" t="s">
        <v>1009</v>
      </c>
      <c r="I722" s="6" t="s">
        <v>115</v>
      </c>
      <c r="J722" s="6" t="s">
        <v>7299</v>
      </c>
      <c r="K722" s="6">
        <v>128</v>
      </c>
      <c r="L722" s="7" t="s">
        <v>7365</v>
      </c>
      <c r="M722" s="8" t="str">
        <f>"CFI"&amp;".D"&amp;TEXT(Caja_Finanzas[[#This Row],[fecha]],"DD-MM")&amp;"-"&amp;TEXT(Caja_Finanzas[[#This Row],[item]],"0000")</f>
        <v>CFI.D12-08-0641</v>
      </c>
      <c r="N722" s="8" t="str">
        <f t="shared" si="102"/>
        <v>PEN</v>
      </c>
      <c r="O722" s="13"/>
      <c r="P722" s="13">
        <v>220</v>
      </c>
      <c r="Q722" s="3">
        <f t="shared" si="103"/>
        <v>0</v>
      </c>
      <c r="R722" s="3">
        <f t="shared" si="104"/>
        <v>220</v>
      </c>
      <c r="S722" s="3">
        <f t="shared" si="100"/>
        <v>13937.699999999997</v>
      </c>
      <c r="T722" s="24"/>
      <c r="U722" s="24"/>
      <c r="V722" s="3"/>
      <c r="W722" s="25"/>
      <c r="X722" s="25"/>
      <c r="Y722" s="25"/>
      <c r="Z722" s="25"/>
      <c r="AA722" s="25"/>
      <c r="AB722" s="3" t="str">
        <f>IF(Caja_Finanzas[[#This Row],[fecha]]&gt;0,TEXT(Caja_Finanzas[[#This Row],[fecha]],"mmmm"),0)</f>
        <v>Agosto</v>
      </c>
    </row>
    <row r="723" spans="1:28" ht="24" x14ac:dyDescent="0.3">
      <c r="A723" s="2">
        <f>IF(Caja_Finanzas[[#This Row],[tipo_r]]="R",COUNTIFS($C$1:$C722,"R")+1,A722)</f>
        <v>642</v>
      </c>
      <c r="B723" s="19" t="str">
        <f t="shared" si="101"/>
        <v>C-Finanzas</v>
      </c>
      <c r="C723" s="13" t="s">
        <v>1330</v>
      </c>
      <c r="D723" s="14">
        <v>45881</v>
      </c>
      <c r="E723" s="5" t="s">
        <v>7366</v>
      </c>
      <c r="F723" s="5" t="s">
        <v>1303</v>
      </c>
      <c r="G723" s="5"/>
      <c r="H723" s="6"/>
      <c r="I723" s="6" t="s">
        <v>119</v>
      </c>
      <c r="J723" s="6">
        <v>1</v>
      </c>
      <c r="K723" s="6">
        <v>4662</v>
      </c>
      <c r="L723" s="7" t="s">
        <v>6118</v>
      </c>
      <c r="M723" s="8" t="str">
        <f>"CFI"&amp;".D"&amp;TEXT(Caja_Finanzas[[#This Row],[fecha]],"DD-MM")&amp;"-"&amp;TEXT(Caja_Finanzas[[#This Row],[item]],"0000")</f>
        <v>CFI.D12-08-0642</v>
      </c>
      <c r="N723" s="8" t="str">
        <f t="shared" si="102"/>
        <v>PEN</v>
      </c>
      <c r="O723" s="13"/>
      <c r="P723" s="13">
        <v>540</v>
      </c>
      <c r="Q723" s="3">
        <f t="shared" si="103"/>
        <v>540</v>
      </c>
      <c r="R723" s="3">
        <f t="shared" si="104"/>
        <v>0</v>
      </c>
      <c r="S723" s="3">
        <f t="shared" si="100"/>
        <v>14477.699999999997</v>
      </c>
      <c r="T723" s="24"/>
      <c r="U723" s="24"/>
      <c r="V723" s="3"/>
      <c r="W723" s="25"/>
      <c r="X723" s="25"/>
      <c r="Y723" s="25"/>
      <c r="Z723" s="25"/>
      <c r="AA723" s="25"/>
      <c r="AB723" s="3" t="str">
        <f>IF(Caja_Finanzas[[#This Row],[fecha]]&gt;0,TEXT(Caja_Finanzas[[#This Row],[fecha]],"mmmm"),0)</f>
        <v>Agosto</v>
      </c>
    </row>
    <row r="724" spans="1:28" ht="36" x14ac:dyDescent="0.3">
      <c r="A724" s="2">
        <f>IF(Caja_Finanzas[[#This Row],[tipo_r]]="R",COUNTIFS($C$1:$C723,"R")+1,A723)</f>
        <v>643</v>
      </c>
      <c r="B724" s="19" t="str">
        <f t="shared" si="101"/>
        <v>C-Finanzas</v>
      </c>
      <c r="C724" s="13" t="s">
        <v>1330</v>
      </c>
      <c r="D724" s="14">
        <v>45881</v>
      </c>
      <c r="E724" s="5" t="s">
        <v>7367</v>
      </c>
      <c r="F724" s="5" t="s">
        <v>1303</v>
      </c>
      <c r="G724" s="5"/>
      <c r="H724" s="6"/>
      <c r="I724" s="6" t="s">
        <v>119</v>
      </c>
      <c r="J724" s="6">
        <v>1</v>
      </c>
      <c r="K724" s="6">
        <v>4661</v>
      </c>
      <c r="L724" s="7" t="s">
        <v>6118</v>
      </c>
      <c r="M724" s="8" t="str">
        <f>"CFI"&amp;".D"&amp;TEXT(Caja_Finanzas[[#This Row],[fecha]],"DD-MM")&amp;"-"&amp;TEXT(Caja_Finanzas[[#This Row],[item]],"0000")</f>
        <v>CFI.D12-08-0643</v>
      </c>
      <c r="N724" s="8" t="str">
        <f t="shared" si="102"/>
        <v>PEN</v>
      </c>
      <c r="O724" s="13"/>
      <c r="P724" s="13">
        <v>720</v>
      </c>
      <c r="Q724" s="3">
        <f t="shared" si="103"/>
        <v>720</v>
      </c>
      <c r="R724" s="3">
        <f t="shared" si="104"/>
        <v>0</v>
      </c>
      <c r="S724" s="3">
        <f t="shared" si="100"/>
        <v>15197.699999999997</v>
      </c>
      <c r="T724" s="24"/>
      <c r="U724" s="24"/>
      <c r="V724" s="3"/>
      <c r="W724" s="25"/>
      <c r="X724" s="25"/>
      <c r="Y724" s="25"/>
      <c r="Z724" s="25"/>
      <c r="AA724" s="25"/>
      <c r="AB724" s="3" t="str">
        <f>IF(Caja_Finanzas[[#This Row],[fecha]]&gt;0,TEXT(Caja_Finanzas[[#This Row],[fecha]],"mmmm"),0)</f>
        <v>Agosto</v>
      </c>
    </row>
    <row r="725" spans="1:28" ht="24" x14ac:dyDescent="0.3">
      <c r="A725" s="2">
        <f>IF(Caja_Finanzas[[#This Row],[tipo_r]]="R",COUNTIFS($C$1:$C724,"R")+1,A724)</f>
        <v>644</v>
      </c>
      <c r="B725" s="19" t="str">
        <f t="shared" si="101"/>
        <v>C-Finanzas</v>
      </c>
      <c r="C725" s="3" t="s">
        <v>1330</v>
      </c>
      <c r="D725" s="14">
        <v>45881</v>
      </c>
      <c r="E725" s="5" t="s">
        <v>6456</v>
      </c>
      <c r="F725" s="5" t="s">
        <v>1336</v>
      </c>
      <c r="G725" s="5"/>
      <c r="H725" s="134" t="s">
        <v>1009</v>
      </c>
      <c r="I725" s="6" t="s">
        <v>115</v>
      </c>
      <c r="J725" s="6" t="s">
        <v>7289</v>
      </c>
      <c r="K725" s="6">
        <v>18</v>
      </c>
      <c r="L725" s="7" t="s">
        <v>7368</v>
      </c>
      <c r="M725" s="8" t="str">
        <f>"CFI"&amp;".D"&amp;TEXT(Caja_Finanzas[[#This Row],[fecha]],"DD-MM")&amp;"-"&amp;TEXT(Caja_Finanzas[[#This Row],[item]],"0000")</f>
        <v>CFI.D12-08-0644</v>
      </c>
      <c r="N725" s="8" t="str">
        <f t="shared" si="102"/>
        <v>PEN</v>
      </c>
      <c r="O725" s="13"/>
      <c r="P725" s="13">
        <v>10</v>
      </c>
      <c r="Q725" s="3">
        <f t="shared" si="103"/>
        <v>0</v>
      </c>
      <c r="R725" s="3">
        <f t="shared" si="104"/>
        <v>10</v>
      </c>
      <c r="S725" s="3">
        <f t="shared" si="100"/>
        <v>15187.699999999997</v>
      </c>
      <c r="T725" s="24"/>
      <c r="U725" s="24"/>
      <c r="V725" s="3"/>
      <c r="W725" s="25"/>
      <c r="X725" s="25"/>
      <c r="Y725" s="25"/>
      <c r="Z725" s="25"/>
      <c r="AA725" s="25"/>
      <c r="AB725" s="3" t="str">
        <f>IF(Caja_Finanzas[[#This Row],[fecha]]&gt;0,TEXT(Caja_Finanzas[[#This Row],[fecha]],"mmmm"),0)</f>
        <v>Agosto</v>
      </c>
    </row>
    <row r="726" spans="1:28" ht="24" x14ac:dyDescent="0.3">
      <c r="A726" s="2">
        <f>IF(Caja_Finanzas[[#This Row],[tipo_r]]="R",COUNTIFS($C$1:$C725,"R")+1,A725)</f>
        <v>645</v>
      </c>
      <c r="B726" s="19" t="str">
        <f t="shared" si="101"/>
        <v>C-Finanzas</v>
      </c>
      <c r="C726" s="3" t="s">
        <v>1330</v>
      </c>
      <c r="D726" s="14">
        <v>45881</v>
      </c>
      <c r="E726" s="5" t="s">
        <v>5828</v>
      </c>
      <c r="F726" s="5" t="s">
        <v>1336</v>
      </c>
      <c r="G726" s="5"/>
      <c r="H726" s="6"/>
      <c r="I726" s="6"/>
      <c r="J726" s="6"/>
      <c r="K726" s="6"/>
      <c r="L726" s="7" t="s">
        <v>7369</v>
      </c>
      <c r="M726" s="8" t="str">
        <f>"CFI"&amp;".D"&amp;TEXT(Caja_Finanzas[[#This Row],[fecha]],"DD-MM")&amp;"-"&amp;TEXT(Caja_Finanzas[[#This Row],[item]],"0000")</f>
        <v>CFI.D12-08-0645</v>
      </c>
      <c r="N726" s="8" t="str">
        <f t="shared" si="102"/>
        <v>PEN</v>
      </c>
      <c r="O726" s="13"/>
      <c r="P726" s="13">
        <v>300</v>
      </c>
      <c r="Q726" s="3">
        <f t="shared" si="103"/>
        <v>0</v>
      </c>
      <c r="R726" s="3">
        <f t="shared" si="104"/>
        <v>300</v>
      </c>
      <c r="S726" s="3">
        <f t="shared" si="100"/>
        <v>14887.699999999997</v>
      </c>
      <c r="T726" s="24"/>
      <c r="U726" s="24"/>
      <c r="V726" s="3"/>
      <c r="W726" s="25"/>
      <c r="X726" s="25"/>
      <c r="Y726" s="25"/>
      <c r="Z726" s="25"/>
      <c r="AA726" s="25"/>
      <c r="AB726" s="3" t="str">
        <f>IF(Caja_Finanzas[[#This Row],[fecha]]&gt;0,TEXT(Caja_Finanzas[[#This Row],[fecha]],"mmmm"),0)</f>
        <v>Agosto</v>
      </c>
    </row>
    <row r="727" spans="1:28" ht="36" x14ac:dyDescent="0.3">
      <c r="A727" s="2">
        <f>IF(Caja_Finanzas[[#This Row],[tipo_r]]="R",COUNTIFS($C$1:$C726,"R")+1,A726)</f>
        <v>646</v>
      </c>
      <c r="B727" s="19" t="str">
        <f t="shared" si="101"/>
        <v>C-Finanzas</v>
      </c>
      <c r="C727" s="3" t="s">
        <v>1330</v>
      </c>
      <c r="D727" s="14">
        <v>45881</v>
      </c>
      <c r="E727" s="5" t="s">
        <v>6940</v>
      </c>
      <c r="F727" s="5" t="s">
        <v>1336</v>
      </c>
      <c r="G727" s="5"/>
      <c r="H727" s="134" t="s">
        <v>153</v>
      </c>
      <c r="I727" s="6" t="s">
        <v>115</v>
      </c>
      <c r="J727" s="6" t="s">
        <v>7299</v>
      </c>
      <c r="K727" s="6">
        <v>127</v>
      </c>
      <c r="L727" s="7" t="s">
        <v>7370</v>
      </c>
      <c r="M727" s="8" t="str">
        <f>"CFI"&amp;".D"&amp;TEXT(Caja_Finanzas[[#This Row],[fecha]],"DD-MM")&amp;"-"&amp;TEXT(Caja_Finanzas[[#This Row],[item]],"0000")</f>
        <v>CFI.D12-08-0646</v>
      </c>
      <c r="N727" s="8" t="str">
        <f t="shared" si="102"/>
        <v>PEN</v>
      </c>
      <c r="O727" s="13"/>
      <c r="P727" s="13">
        <v>450</v>
      </c>
      <c r="Q727" s="3">
        <f t="shared" si="103"/>
        <v>0</v>
      </c>
      <c r="R727" s="3">
        <f t="shared" si="104"/>
        <v>450</v>
      </c>
      <c r="S727" s="3">
        <f t="shared" si="100"/>
        <v>14437.699999999997</v>
      </c>
      <c r="T727" s="24"/>
      <c r="U727" s="24"/>
      <c r="V727" s="3"/>
      <c r="W727" s="25"/>
      <c r="X727" s="25"/>
      <c r="Y727" s="25"/>
      <c r="Z727" s="25"/>
      <c r="AA727" s="25"/>
      <c r="AB727" s="3" t="str">
        <f>IF(Caja_Finanzas[[#This Row],[fecha]]&gt;0,TEXT(Caja_Finanzas[[#This Row],[fecha]],"mmmm"),0)</f>
        <v>Agosto</v>
      </c>
    </row>
    <row r="728" spans="1:28" ht="24" x14ac:dyDescent="0.3">
      <c r="A728" s="2">
        <f>IF(Caja_Finanzas[[#This Row],[tipo_r]]="R",COUNTIFS($C$1:$C727,"R")+1,A727)</f>
        <v>647</v>
      </c>
      <c r="B728" s="19" t="str">
        <f t="shared" si="101"/>
        <v>C-Finanzas</v>
      </c>
      <c r="C728" s="3" t="s">
        <v>1330</v>
      </c>
      <c r="D728" s="14">
        <v>45881</v>
      </c>
      <c r="E728" s="5" t="s">
        <v>6940</v>
      </c>
      <c r="F728" s="5" t="s">
        <v>1336</v>
      </c>
      <c r="G728" s="5"/>
      <c r="H728" s="6" t="s">
        <v>594</v>
      </c>
      <c r="I728" s="6" t="s">
        <v>115</v>
      </c>
      <c r="J728" s="6" t="s">
        <v>7187</v>
      </c>
      <c r="K728" s="6">
        <v>138</v>
      </c>
      <c r="L728" s="7" t="s">
        <v>7371</v>
      </c>
      <c r="M728" s="8" t="str">
        <f>"CFI"&amp;".D"&amp;TEXT(Caja_Finanzas[[#This Row],[fecha]],"DD-MM")&amp;"-"&amp;TEXT(Caja_Finanzas[[#This Row],[item]],"0000")</f>
        <v>CFI.D12-08-0647</v>
      </c>
      <c r="N728" s="8" t="str">
        <f t="shared" si="102"/>
        <v>PEN</v>
      </c>
      <c r="O728" s="13"/>
      <c r="P728" s="13">
        <v>300</v>
      </c>
      <c r="Q728" s="3">
        <f t="shared" si="103"/>
        <v>0</v>
      </c>
      <c r="R728" s="3">
        <f t="shared" si="104"/>
        <v>300</v>
      </c>
      <c r="S728" s="3">
        <f t="shared" si="100"/>
        <v>14137.699999999997</v>
      </c>
      <c r="T728" s="24"/>
      <c r="U728" s="24"/>
      <c r="V728" s="3"/>
      <c r="W728" s="25"/>
      <c r="X728" s="25"/>
      <c r="Y728" s="25"/>
      <c r="Z728" s="25"/>
      <c r="AA728" s="25"/>
      <c r="AB728" s="3" t="str">
        <f>IF(Caja_Finanzas[[#This Row],[fecha]]&gt;0,TEXT(Caja_Finanzas[[#This Row],[fecha]],"mmmm"),0)</f>
        <v>Agosto</v>
      </c>
    </row>
    <row r="729" spans="1:28" ht="36" x14ac:dyDescent="0.3">
      <c r="A729" s="2">
        <f>IF(Caja_Finanzas[[#This Row],[tipo_r]]="R",COUNTIFS($C$1:$C728,"R")+1,A728)</f>
        <v>648</v>
      </c>
      <c r="B729" s="19" t="str">
        <f t="shared" si="101"/>
        <v>C-Finanzas</v>
      </c>
      <c r="C729" s="3" t="s">
        <v>1330</v>
      </c>
      <c r="D729" s="14">
        <v>45881</v>
      </c>
      <c r="E729" s="5" t="s">
        <v>6940</v>
      </c>
      <c r="F729" s="5" t="s">
        <v>1336</v>
      </c>
      <c r="G729" s="5"/>
      <c r="H729" s="134" t="s">
        <v>692</v>
      </c>
      <c r="I729" s="6" t="s">
        <v>115</v>
      </c>
      <c r="J729" s="6" t="s">
        <v>7299</v>
      </c>
      <c r="K729" s="6">
        <v>126</v>
      </c>
      <c r="L729" s="7" t="s">
        <v>7372</v>
      </c>
      <c r="M729" s="8" t="str">
        <f>"CFI"&amp;".D"&amp;TEXT(Caja_Finanzas[[#This Row],[fecha]],"DD-MM")&amp;"-"&amp;TEXT(Caja_Finanzas[[#This Row],[item]],"0000")</f>
        <v>CFI.D12-08-0648</v>
      </c>
      <c r="N729" s="8" t="str">
        <f t="shared" si="102"/>
        <v>PEN</v>
      </c>
      <c r="O729" s="13"/>
      <c r="P729" s="13">
        <v>450</v>
      </c>
      <c r="Q729" s="3">
        <f t="shared" si="103"/>
        <v>0</v>
      </c>
      <c r="R729" s="3">
        <f t="shared" si="104"/>
        <v>450</v>
      </c>
      <c r="S729" s="3">
        <f t="shared" si="100"/>
        <v>13687.699999999997</v>
      </c>
      <c r="T729" s="24"/>
      <c r="U729" s="24"/>
      <c r="V729" s="3"/>
      <c r="W729" s="25"/>
      <c r="X729" s="25"/>
      <c r="Y729" s="25"/>
      <c r="Z729" s="25"/>
      <c r="AA729" s="25"/>
      <c r="AB729" s="3" t="str">
        <f>IF(Caja_Finanzas[[#This Row],[fecha]]&gt;0,TEXT(Caja_Finanzas[[#This Row],[fecha]],"mmmm"),0)</f>
        <v>Agosto</v>
      </c>
    </row>
    <row r="730" spans="1:28" ht="24" x14ac:dyDescent="0.3">
      <c r="A730" s="2">
        <f>IF(Caja_Finanzas[[#This Row],[tipo_r]]="R",COUNTIFS($C$1:$C729,"R")+1,A729)</f>
        <v>649</v>
      </c>
      <c r="B730" s="19" t="str">
        <f t="shared" si="101"/>
        <v>C-Finanzas</v>
      </c>
      <c r="C730" s="3" t="s">
        <v>1330</v>
      </c>
      <c r="D730" s="14">
        <v>45882</v>
      </c>
      <c r="E730" s="5" t="s">
        <v>6456</v>
      </c>
      <c r="F730" s="5" t="s">
        <v>1336</v>
      </c>
      <c r="G730" s="5"/>
      <c r="H730" s="134" t="s">
        <v>1009</v>
      </c>
      <c r="I730" s="6" t="s">
        <v>115</v>
      </c>
      <c r="J730" s="6" t="s">
        <v>7289</v>
      </c>
      <c r="K730" s="6">
        <v>11</v>
      </c>
      <c r="L730" s="7" t="s">
        <v>7373</v>
      </c>
      <c r="M730" s="8" t="str">
        <f>"CFI"&amp;".D"&amp;TEXT(Caja_Finanzas[[#This Row],[fecha]],"DD-MM")&amp;"-"&amp;TEXT(Caja_Finanzas[[#This Row],[item]],"0000")</f>
        <v>CFI.D13-08-0649</v>
      </c>
      <c r="N730" s="8" t="str">
        <f t="shared" si="102"/>
        <v>PEN</v>
      </c>
      <c r="O730" s="13"/>
      <c r="P730" s="13">
        <v>69</v>
      </c>
      <c r="Q730" s="3">
        <f t="shared" si="103"/>
        <v>0</v>
      </c>
      <c r="R730" s="3">
        <f t="shared" si="104"/>
        <v>69</v>
      </c>
      <c r="S730" s="3">
        <f t="shared" si="100"/>
        <v>13618.699999999997</v>
      </c>
      <c r="T730" s="24"/>
      <c r="U730" s="24"/>
      <c r="V730" s="3"/>
      <c r="W730" s="25"/>
      <c r="X730" s="25"/>
      <c r="Y730" s="25"/>
      <c r="Z730" s="25"/>
      <c r="AA730" s="25"/>
      <c r="AB730" s="3" t="str">
        <f>IF(Caja_Finanzas[[#This Row],[fecha]]&gt;0,TEXT(Caja_Finanzas[[#This Row],[fecha]],"mmmm"),0)</f>
        <v>Agosto</v>
      </c>
    </row>
    <row r="731" spans="1:28" ht="24" x14ac:dyDescent="0.3">
      <c r="A731" s="2">
        <f>IF(Caja_Finanzas[[#This Row],[tipo_r]]="R",COUNTIFS($C$1:$C730,"R")+1,A730)</f>
        <v>650</v>
      </c>
      <c r="B731" s="19" t="str">
        <f t="shared" ref="B731:B737" si="105">"C-Finanzas"</f>
        <v>C-Finanzas</v>
      </c>
      <c r="C731" s="3" t="s">
        <v>1330</v>
      </c>
      <c r="D731" s="14">
        <v>45882</v>
      </c>
      <c r="E731" s="5" t="s">
        <v>6456</v>
      </c>
      <c r="F731" s="5" t="s">
        <v>1336</v>
      </c>
      <c r="G731" s="5"/>
      <c r="H731" s="6" t="s">
        <v>879</v>
      </c>
      <c r="I731" s="6" t="s">
        <v>115</v>
      </c>
      <c r="J731" s="6" t="s">
        <v>7289</v>
      </c>
      <c r="K731" s="6">
        <v>16</v>
      </c>
      <c r="L731" s="7" t="s">
        <v>7374</v>
      </c>
      <c r="M731" s="8" t="str">
        <f>"CFI"&amp;".D"&amp;TEXT(Caja_Finanzas[[#This Row],[fecha]],"DD-MM")&amp;"-"&amp;TEXT(Caja_Finanzas[[#This Row],[item]],"0000")</f>
        <v>CFI.D13-08-0650</v>
      </c>
      <c r="N731" s="8" t="str">
        <f t="shared" ref="N731:N737" si="106">"PEN"</f>
        <v>PEN</v>
      </c>
      <c r="O731" s="13"/>
      <c r="P731" s="13">
        <v>80</v>
      </c>
      <c r="Q731" s="3">
        <f t="shared" ref="Q731:Q737" si="107">+IF(OR($F731="SALDO",$F731="INGRESO"),$P731,0)</f>
        <v>0</v>
      </c>
      <c r="R731" s="3">
        <f t="shared" ref="R731:R737" si="108">+IF($F731="EGRESO",$P731,0)</f>
        <v>80</v>
      </c>
      <c r="S731" s="3">
        <f t="shared" si="100"/>
        <v>13538.699999999997</v>
      </c>
      <c r="T731" s="24"/>
      <c r="U731" s="24"/>
      <c r="V731" s="3"/>
      <c r="W731" s="25"/>
      <c r="X731" s="25"/>
      <c r="Y731" s="25"/>
      <c r="Z731" s="25"/>
      <c r="AA731" s="25"/>
      <c r="AB731" s="3" t="str">
        <f>IF(Caja_Finanzas[[#This Row],[fecha]]&gt;0,TEXT(Caja_Finanzas[[#This Row],[fecha]],"mmmm"),0)</f>
        <v>Agosto</v>
      </c>
    </row>
    <row r="732" spans="1:28" ht="24" x14ac:dyDescent="0.3">
      <c r="A732" s="2">
        <f>IF(Caja_Finanzas[[#This Row],[tipo_r]]="R",COUNTIFS($C$1:$C731,"R")+1,A731)</f>
        <v>651</v>
      </c>
      <c r="B732" s="19" t="str">
        <f t="shared" si="105"/>
        <v>C-Finanzas</v>
      </c>
      <c r="C732" s="3" t="s">
        <v>1330</v>
      </c>
      <c r="D732" s="14">
        <v>45882</v>
      </c>
      <c r="E732" s="5" t="s">
        <v>1825</v>
      </c>
      <c r="F732" s="5" t="s">
        <v>1303</v>
      </c>
      <c r="G732" s="5"/>
      <c r="H732" s="6"/>
      <c r="I732" s="6" t="s">
        <v>119</v>
      </c>
      <c r="J732" s="6">
        <v>1</v>
      </c>
      <c r="K732" s="6">
        <v>4666</v>
      </c>
      <c r="L732" s="7" t="s">
        <v>6118</v>
      </c>
      <c r="M732" s="8" t="str">
        <f>"CFI"&amp;".D"&amp;TEXT(Caja_Finanzas[[#This Row],[fecha]],"DD-MM")&amp;"-"&amp;TEXT(Caja_Finanzas[[#This Row],[item]],"0000")</f>
        <v>CFI.D13-08-0651</v>
      </c>
      <c r="N732" s="8" t="str">
        <f t="shared" si="106"/>
        <v>PEN</v>
      </c>
      <c r="O732" s="13"/>
      <c r="P732" s="13">
        <v>2634.3</v>
      </c>
      <c r="Q732" s="3">
        <f t="shared" si="107"/>
        <v>2634.3</v>
      </c>
      <c r="R732" s="3">
        <f t="shared" si="108"/>
        <v>0</v>
      </c>
      <c r="S732" s="3">
        <f t="shared" si="100"/>
        <v>16172.999999999996</v>
      </c>
      <c r="T732" s="24"/>
      <c r="U732" s="24"/>
      <c r="V732" s="3"/>
      <c r="W732" s="25"/>
      <c r="X732" s="25"/>
      <c r="Y732" s="25"/>
      <c r="Z732" s="25"/>
      <c r="AA732" s="25"/>
      <c r="AB732" s="3" t="str">
        <f>IF(Caja_Finanzas[[#This Row],[fecha]]&gt;0,TEXT(Caja_Finanzas[[#This Row],[fecha]],"mmmm"),0)</f>
        <v>Agosto</v>
      </c>
    </row>
    <row r="733" spans="1:28" ht="24" x14ac:dyDescent="0.3">
      <c r="A733" s="2">
        <f>IF(Caja_Finanzas[[#This Row],[tipo_r]]="R",COUNTIFS($C$1:$C732,"R")+1,A732)</f>
        <v>652</v>
      </c>
      <c r="B733" s="19" t="str">
        <f t="shared" si="105"/>
        <v>C-Finanzas</v>
      </c>
      <c r="C733" s="3" t="s">
        <v>1330</v>
      </c>
      <c r="D733" s="14">
        <v>45882</v>
      </c>
      <c r="E733" s="5" t="s">
        <v>7356</v>
      </c>
      <c r="F733" s="5" t="s">
        <v>1303</v>
      </c>
      <c r="G733" s="5"/>
      <c r="H733" s="6"/>
      <c r="I733" s="6" t="s">
        <v>119</v>
      </c>
      <c r="J733" s="6">
        <v>1</v>
      </c>
      <c r="K733" s="6">
        <v>4611</v>
      </c>
      <c r="L733" s="7" t="s">
        <v>6118</v>
      </c>
      <c r="M733" s="8" t="str">
        <f>"CFI"&amp;".D"&amp;TEXT(Caja_Finanzas[[#This Row],[fecha]],"DD-MM")&amp;"-"&amp;TEXT(Caja_Finanzas[[#This Row],[item]],"0000")</f>
        <v>CFI.D13-08-0652</v>
      </c>
      <c r="N733" s="8" t="str">
        <f t="shared" si="106"/>
        <v>PEN</v>
      </c>
      <c r="O733" s="13"/>
      <c r="P733" s="13">
        <v>200</v>
      </c>
      <c r="Q733" s="3">
        <f t="shared" si="107"/>
        <v>200</v>
      </c>
      <c r="R733" s="3">
        <f t="shared" si="108"/>
        <v>0</v>
      </c>
      <c r="S733" s="3">
        <f t="shared" si="100"/>
        <v>16372.999999999996</v>
      </c>
      <c r="T733" s="24"/>
      <c r="U733" s="24"/>
      <c r="V733" s="3"/>
      <c r="W733" s="25"/>
      <c r="X733" s="25"/>
      <c r="Y733" s="25"/>
      <c r="Z733" s="25"/>
      <c r="AA733" s="25"/>
      <c r="AB733" s="3" t="str">
        <f>IF(Caja_Finanzas[[#This Row],[fecha]]&gt;0,TEXT(Caja_Finanzas[[#This Row],[fecha]],"mmmm"),0)</f>
        <v>Agosto</v>
      </c>
    </row>
    <row r="734" spans="1:28" ht="24" x14ac:dyDescent="0.3">
      <c r="A734" s="2">
        <f>IF(Caja_Finanzas[[#This Row],[tipo_r]]="R",COUNTIFS($C$1:$C733,"R")+1,A733)</f>
        <v>653</v>
      </c>
      <c r="B734" s="19" t="str">
        <f t="shared" si="105"/>
        <v>C-Finanzas</v>
      </c>
      <c r="C734" s="3" t="s">
        <v>1330</v>
      </c>
      <c r="D734" s="14">
        <v>45882</v>
      </c>
      <c r="E734" s="5" t="s">
        <v>1617</v>
      </c>
      <c r="F734" s="5" t="s">
        <v>1303</v>
      </c>
      <c r="G734" s="5"/>
      <c r="H734" s="6"/>
      <c r="I734" s="6" t="s">
        <v>119</v>
      </c>
      <c r="J734" s="6">
        <v>1</v>
      </c>
      <c r="K734" s="6">
        <v>4639</v>
      </c>
      <c r="L734" s="7" t="s">
        <v>6118</v>
      </c>
      <c r="M734" s="8" t="str">
        <f>"CFI"&amp;".D"&amp;TEXT(Caja_Finanzas[[#This Row],[fecha]],"DD-MM")&amp;"-"&amp;TEXT(Caja_Finanzas[[#This Row],[item]],"0000")</f>
        <v>CFI.D13-08-0653</v>
      </c>
      <c r="N734" s="8" t="str">
        <f t="shared" si="106"/>
        <v>PEN</v>
      </c>
      <c r="O734" s="13"/>
      <c r="P734" s="13">
        <v>228.8</v>
      </c>
      <c r="Q734" s="3">
        <f t="shared" si="107"/>
        <v>228.8</v>
      </c>
      <c r="R734" s="3">
        <f t="shared" si="108"/>
        <v>0</v>
      </c>
      <c r="S734" s="3">
        <f t="shared" si="100"/>
        <v>16601.799999999996</v>
      </c>
      <c r="T734" s="24"/>
      <c r="U734" s="24"/>
      <c r="V734" s="3"/>
      <c r="W734" s="25"/>
      <c r="X734" s="25"/>
      <c r="Y734" s="25"/>
      <c r="Z734" s="25"/>
      <c r="AA734" s="25"/>
      <c r="AB734" s="3" t="str">
        <f>IF(Caja_Finanzas[[#This Row],[fecha]]&gt;0,TEXT(Caja_Finanzas[[#This Row],[fecha]],"mmmm"),0)</f>
        <v>Agosto</v>
      </c>
    </row>
    <row r="735" spans="1:28" ht="24" x14ac:dyDescent="0.3">
      <c r="A735" s="2">
        <f>IF(Caja_Finanzas[[#This Row],[tipo_r]]="R",COUNTIFS($C$1:$C734,"R")+1,A734)</f>
        <v>654</v>
      </c>
      <c r="B735" s="19" t="str">
        <f t="shared" si="105"/>
        <v>C-Finanzas</v>
      </c>
      <c r="C735" s="3" t="s">
        <v>1330</v>
      </c>
      <c r="D735" s="14">
        <v>45887</v>
      </c>
      <c r="E735" s="5" t="s">
        <v>6460</v>
      </c>
      <c r="F735" s="5" t="s">
        <v>1336</v>
      </c>
      <c r="G735" s="5"/>
      <c r="H735" s="134" t="s">
        <v>1009</v>
      </c>
      <c r="I735" s="6" t="s">
        <v>115</v>
      </c>
      <c r="J735" s="6" t="s">
        <v>7299</v>
      </c>
      <c r="K735" s="6">
        <v>128</v>
      </c>
      <c r="L735" s="7" t="s">
        <v>7375</v>
      </c>
      <c r="M735" s="8" t="str">
        <f>"CFI"&amp;".D"&amp;TEXT(Caja_Finanzas[[#This Row],[fecha]],"DD-MM")&amp;"-"&amp;TEXT(Caja_Finanzas[[#This Row],[item]],"0000")</f>
        <v>CFI.D18-08-0654</v>
      </c>
      <c r="N735" s="8" t="str">
        <f t="shared" si="106"/>
        <v>PEN</v>
      </c>
      <c r="O735" s="13"/>
      <c r="P735" s="13">
        <v>207</v>
      </c>
      <c r="Q735" s="3">
        <f t="shared" si="107"/>
        <v>0</v>
      </c>
      <c r="R735" s="3">
        <f t="shared" si="108"/>
        <v>207</v>
      </c>
      <c r="S735" s="3">
        <f t="shared" si="100"/>
        <v>16394.799999999996</v>
      </c>
      <c r="T735" s="24"/>
      <c r="U735" s="24"/>
      <c r="V735" s="3"/>
      <c r="W735" s="25"/>
      <c r="X735" s="25"/>
      <c r="Y735" s="25"/>
      <c r="Z735" s="25"/>
      <c r="AA735" s="25"/>
      <c r="AB735" s="3" t="str">
        <f>IF(Caja_Finanzas[[#This Row],[fecha]]&gt;0,TEXT(Caja_Finanzas[[#This Row],[fecha]],"mmmm"),0)</f>
        <v>Agosto</v>
      </c>
    </row>
    <row r="736" spans="1:28" x14ac:dyDescent="0.3">
      <c r="A736" s="2">
        <f>IF(Caja_Finanzas[[#This Row],[tipo_r]]="R",COUNTIFS($C$1:$C735,"R")+1,A735)</f>
        <v>655</v>
      </c>
      <c r="B736" s="19" t="str">
        <f t="shared" si="105"/>
        <v>C-Finanzas</v>
      </c>
      <c r="C736" s="3" t="s">
        <v>1330</v>
      </c>
      <c r="D736" s="14">
        <v>45887</v>
      </c>
      <c r="E736" s="5" t="s">
        <v>6679</v>
      </c>
      <c r="F736" s="5" t="s">
        <v>1303</v>
      </c>
      <c r="G736" s="5"/>
      <c r="H736" s="6"/>
      <c r="I736" s="6" t="s">
        <v>119</v>
      </c>
      <c r="J736" s="6">
        <v>1</v>
      </c>
      <c r="K736" s="6">
        <v>4671</v>
      </c>
      <c r="L736" s="7" t="s">
        <v>6118</v>
      </c>
      <c r="M736" s="8" t="str">
        <f>"CFI"&amp;".D"&amp;TEXT(Caja_Finanzas[[#This Row],[fecha]],"DD-MM")&amp;"-"&amp;TEXT(Caja_Finanzas[[#This Row],[item]],"0000")</f>
        <v>CFI.D18-08-0655</v>
      </c>
      <c r="N736" s="8" t="str">
        <f t="shared" si="106"/>
        <v>PEN</v>
      </c>
      <c r="O736" s="13"/>
      <c r="P736" s="13">
        <v>450</v>
      </c>
      <c r="Q736" s="3">
        <f t="shared" si="107"/>
        <v>450</v>
      </c>
      <c r="R736" s="3">
        <f t="shared" si="108"/>
        <v>0</v>
      </c>
      <c r="S736" s="3">
        <f t="shared" si="100"/>
        <v>16844.799999999996</v>
      </c>
      <c r="T736" s="24"/>
      <c r="U736" s="24"/>
      <c r="V736" s="3"/>
      <c r="W736" s="25"/>
      <c r="X736" s="25"/>
      <c r="Y736" s="25"/>
      <c r="Z736" s="25"/>
      <c r="AA736" s="25"/>
      <c r="AB736" s="3" t="str">
        <f>IF(Caja_Finanzas[[#This Row],[fecha]]&gt;0,TEXT(Caja_Finanzas[[#This Row],[fecha]],"mmmm"),0)</f>
        <v>Agosto</v>
      </c>
    </row>
    <row r="737" spans="1:28" ht="24" x14ac:dyDescent="0.3">
      <c r="A737" s="2">
        <f>IF(Caja_Finanzas[[#This Row],[tipo_r]]="R",COUNTIFS($C$1:$C736,"R")+1,A736)</f>
        <v>656</v>
      </c>
      <c r="B737" s="19" t="str">
        <f t="shared" si="105"/>
        <v>C-Finanzas</v>
      </c>
      <c r="C737" s="3" t="s">
        <v>1330</v>
      </c>
      <c r="D737" s="14">
        <v>45887</v>
      </c>
      <c r="E737" s="5" t="s">
        <v>7376</v>
      </c>
      <c r="F737" s="5" t="s">
        <v>1303</v>
      </c>
      <c r="G737" s="5"/>
      <c r="H737" s="6"/>
      <c r="I737" s="6" t="s">
        <v>119</v>
      </c>
      <c r="J737" s="6">
        <v>1</v>
      </c>
      <c r="K737" s="6">
        <v>4672</v>
      </c>
      <c r="L737" s="7" t="s">
        <v>6118</v>
      </c>
      <c r="M737" s="8" t="str">
        <f>"CFI"&amp;".D"&amp;TEXT(Caja_Finanzas[[#This Row],[fecha]],"DD-MM")&amp;"-"&amp;TEXT(Caja_Finanzas[[#This Row],[item]],"0000")</f>
        <v>CFI.D18-08-0656</v>
      </c>
      <c r="N737" s="8" t="str">
        <f t="shared" si="106"/>
        <v>PEN</v>
      </c>
      <c r="O737" s="13"/>
      <c r="P737" s="13">
        <v>600</v>
      </c>
      <c r="Q737" s="3">
        <f t="shared" si="107"/>
        <v>600</v>
      </c>
      <c r="R737" s="3">
        <f t="shared" si="108"/>
        <v>0</v>
      </c>
      <c r="S737" s="3">
        <f t="shared" si="100"/>
        <v>17444.799999999996</v>
      </c>
      <c r="T737" s="24"/>
      <c r="U737" s="24"/>
      <c r="V737" s="3"/>
      <c r="W737" s="25"/>
      <c r="X737" s="25"/>
      <c r="Y737" s="25"/>
      <c r="Z737" s="25"/>
      <c r="AA737" s="25"/>
      <c r="AB737" s="3" t="str">
        <f>IF(Caja_Finanzas[[#This Row],[fecha]]&gt;0,TEXT(Caja_Finanzas[[#This Row],[fecha]],"mmmm"),0)</f>
        <v>Agosto</v>
      </c>
    </row>
    <row r="738" spans="1:28" ht="24" x14ac:dyDescent="0.3">
      <c r="A738" s="2">
        <f>IF(Caja_Finanzas[[#This Row],[tipo_r]]="R",COUNTIFS($C$1:$C737,"R")+1,A737)</f>
        <v>657</v>
      </c>
      <c r="B738" s="19" t="str">
        <f t="shared" ref="B738:B745" si="109">"C-Finanzas"</f>
        <v>C-Finanzas</v>
      </c>
      <c r="C738" s="3" t="s">
        <v>1330</v>
      </c>
      <c r="D738" s="14">
        <v>45889</v>
      </c>
      <c r="E738" s="5" t="s">
        <v>2009</v>
      </c>
      <c r="F738" s="5" t="s">
        <v>1303</v>
      </c>
      <c r="G738" s="5"/>
      <c r="H738" s="104"/>
      <c r="I738" s="6" t="s">
        <v>119</v>
      </c>
      <c r="J738" s="6">
        <v>1</v>
      </c>
      <c r="K738" s="6">
        <v>4675</v>
      </c>
      <c r="L738" s="7" t="s">
        <v>6118</v>
      </c>
      <c r="M738" s="8" t="str">
        <f>"CFI"&amp;".D"&amp;TEXT(Caja_Finanzas[[#This Row],[fecha]],"DD-MM")&amp;"-"&amp;TEXT(Caja_Finanzas[[#This Row],[item]],"0000")</f>
        <v>CFI.D20-08-0657</v>
      </c>
      <c r="N738" s="8" t="str">
        <f t="shared" ref="N738:N745" si="110">"PEN"</f>
        <v>PEN</v>
      </c>
      <c r="O738" s="13"/>
      <c r="P738" s="13">
        <v>1000</v>
      </c>
      <c r="Q738" s="3">
        <f t="shared" ref="Q738:Q745" si="111">+IF(OR($F738="SALDO",$F738="INGRESO"),$P738,0)</f>
        <v>1000</v>
      </c>
      <c r="R738" s="3">
        <f t="shared" ref="R738:R745" si="112">+IF($F738="EGRESO",$P738,0)</f>
        <v>0</v>
      </c>
      <c r="S738" s="3">
        <f t="shared" si="100"/>
        <v>18444.799999999996</v>
      </c>
      <c r="T738" s="24"/>
      <c r="U738" s="24"/>
      <c r="V738" s="3"/>
      <c r="W738" s="25"/>
      <c r="X738" s="25"/>
      <c r="Y738" s="25"/>
      <c r="Z738" s="25"/>
      <c r="AA738" s="25"/>
      <c r="AB738" s="3" t="str">
        <f>IF(Caja_Finanzas[[#This Row],[fecha]]&gt;0,TEXT(Caja_Finanzas[[#This Row],[fecha]],"mmmm"),0)</f>
        <v>Agosto</v>
      </c>
    </row>
    <row r="739" spans="1:28" ht="24" x14ac:dyDescent="0.3">
      <c r="A739" s="2">
        <f>IF(Caja_Finanzas[[#This Row],[tipo_r]]="R",COUNTIFS($C$1:$C738,"R")+1,A738)</f>
        <v>658</v>
      </c>
      <c r="B739" s="19" t="str">
        <f t="shared" si="109"/>
        <v>C-Finanzas</v>
      </c>
      <c r="C739" s="3" t="s">
        <v>1330</v>
      </c>
      <c r="D739" s="14">
        <v>45889</v>
      </c>
      <c r="E739" s="5" t="s">
        <v>2374</v>
      </c>
      <c r="F739" s="5" t="s">
        <v>1303</v>
      </c>
      <c r="G739" s="5"/>
      <c r="H739" s="104"/>
      <c r="I739" s="6" t="s">
        <v>119</v>
      </c>
      <c r="J739" s="6">
        <v>1</v>
      </c>
      <c r="K739" s="6">
        <v>4685</v>
      </c>
      <c r="L739" s="7" t="s">
        <v>6118</v>
      </c>
      <c r="M739" s="8" t="str">
        <f>"CFI"&amp;".D"&amp;TEXT(Caja_Finanzas[[#This Row],[fecha]],"DD-MM")&amp;"-"&amp;TEXT(Caja_Finanzas[[#This Row],[item]],"0000")</f>
        <v>CFI.D20-08-0658</v>
      </c>
      <c r="N739" s="8" t="str">
        <f t="shared" si="110"/>
        <v>PEN</v>
      </c>
      <c r="O739" s="13"/>
      <c r="P739" s="13">
        <v>856</v>
      </c>
      <c r="Q739" s="3">
        <f t="shared" si="111"/>
        <v>856</v>
      </c>
      <c r="R739" s="3">
        <f t="shared" si="112"/>
        <v>0</v>
      </c>
      <c r="S739" s="3">
        <f t="shared" si="100"/>
        <v>19300.799999999996</v>
      </c>
      <c r="T739" s="24"/>
      <c r="U739" s="24"/>
      <c r="V739" s="3"/>
      <c r="W739" s="25"/>
      <c r="X739" s="25"/>
      <c r="Y739" s="25"/>
      <c r="Z739" s="25"/>
      <c r="AA739" s="25"/>
      <c r="AB739" s="3" t="str">
        <f>IF(Caja_Finanzas[[#This Row],[fecha]]&gt;0,TEXT(Caja_Finanzas[[#This Row],[fecha]],"mmmm"),0)</f>
        <v>Agosto</v>
      </c>
    </row>
    <row r="740" spans="1:28" ht="24" x14ac:dyDescent="0.3">
      <c r="A740" s="2">
        <f>IF(Caja_Finanzas[[#This Row],[tipo_r]]="R",COUNTIFS($C$1:$C739,"R")+1,A739)</f>
        <v>659</v>
      </c>
      <c r="B740" s="19" t="str">
        <f t="shared" si="109"/>
        <v>C-Finanzas</v>
      </c>
      <c r="C740" s="3" t="s">
        <v>1330</v>
      </c>
      <c r="D740" s="14">
        <v>45889</v>
      </c>
      <c r="E740" s="5" t="s">
        <v>2409</v>
      </c>
      <c r="F740" s="5" t="s">
        <v>1303</v>
      </c>
      <c r="G740" s="5"/>
      <c r="H740" s="104"/>
      <c r="I740" s="6" t="s">
        <v>119</v>
      </c>
      <c r="J740" s="6">
        <v>1</v>
      </c>
      <c r="K740" s="6">
        <v>4682</v>
      </c>
      <c r="L740" s="7" t="s">
        <v>6118</v>
      </c>
      <c r="M740" s="8" t="str">
        <f>"CFI"&amp;".D"&amp;TEXT(Caja_Finanzas[[#This Row],[fecha]],"DD-MM")&amp;"-"&amp;TEXT(Caja_Finanzas[[#This Row],[item]],"0000")</f>
        <v>CFI.D20-08-0659</v>
      </c>
      <c r="N740" s="8" t="str">
        <f t="shared" si="110"/>
        <v>PEN</v>
      </c>
      <c r="O740" s="13"/>
      <c r="P740" s="13">
        <v>440</v>
      </c>
      <c r="Q740" s="3">
        <f t="shared" si="111"/>
        <v>440</v>
      </c>
      <c r="R740" s="3">
        <f t="shared" si="112"/>
        <v>0</v>
      </c>
      <c r="S740" s="3">
        <f t="shared" si="100"/>
        <v>19740.799999999996</v>
      </c>
      <c r="T740" s="24"/>
      <c r="U740" s="24"/>
      <c r="V740" s="3"/>
      <c r="W740" s="25"/>
      <c r="X740" s="25"/>
      <c r="Y740" s="25"/>
      <c r="Z740" s="25"/>
      <c r="AA740" s="25"/>
      <c r="AB740" s="3" t="str">
        <f>IF(Caja_Finanzas[[#This Row],[fecha]]&gt;0,TEXT(Caja_Finanzas[[#This Row],[fecha]],"mmmm"),0)</f>
        <v>Agosto</v>
      </c>
    </row>
    <row r="741" spans="1:28" ht="24" x14ac:dyDescent="0.3">
      <c r="A741" s="2">
        <f>IF(Caja_Finanzas[[#This Row],[tipo_r]]="R",COUNTIFS($C$1:$C740,"R")+1,A740)</f>
        <v>660</v>
      </c>
      <c r="B741" s="19" t="str">
        <f t="shared" si="109"/>
        <v>C-Finanzas</v>
      </c>
      <c r="C741" s="3" t="s">
        <v>1330</v>
      </c>
      <c r="D741" s="14">
        <v>45889</v>
      </c>
      <c r="E741" s="5" t="s">
        <v>2374</v>
      </c>
      <c r="F741" s="5" t="s">
        <v>1303</v>
      </c>
      <c r="G741" s="5"/>
      <c r="H741" s="104"/>
      <c r="I741" s="6" t="s">
        <v>119</v>
      </c>
      <c r="J741" s="6">
        <v>1</v>
      </c>
      <c r="K741" s="6">
        <v>4686</v>
      </c>
      <c r="L741" s="7" t="s">
        <v>6118</v>
      </c>
      <c r="M741" s="8" t="str">
        <f>"CFI"&amp;".D"&amp;TEXT(Caja_Finanzas[[#This Row],[fecha]],"DD-MM")&amp;"-"&amp;TEXT(Caja_Finanzas[[#This Row],[item]],"0000")</f>
        <v>CFI.D20-08-0660</v>
      </c>
      <c r="N741" s="8" t="str">
        <f t="shared" si="110"/>
        <v>PEN</v>
      </c>
      <c r="O741" s="13"/>
      <c r="P741" s="13">
        <v>544</v>
      </c>
      <c r="Q741" s="3">
        <f t="shared" si="111"/>
        <v>544</v>
      </c>
      <c r="R741" s="3">
        <f t="shared" si="112"/>
        <v>0</v>
      </c>
      <c r="S741" s="3">
        <f t="shared" si="100"/>
        <v>20284.799999999996</v>
      </c>
      <c r="T741" s="24"/>
      <c r="U741" s="24"/>
      <c r="V741" s="3"/>
      <c r="W741" s="25"/>
      <c r="X741" s="25"/>
      <c r="Y741" s="25"/>
      <c r="Z741" s="25"/>
      <c r="AA741" s="25"/>
      <c r="AB741" s="3" t="str">
        <f>IF(Caja_Finanzas[[#This Row],[fecha]]&gt;0,TEXT(Caja_Finanzas[[#This Row],[fecha]],"mmmm"),0)</f>
        <v>Agosto</v>
      </c>
    </row>
    <row r="742" spans="1:28" ht="24" x14ac:dyDescent="0.3">
      <c r="A742" s="2">
        <f>IF(Caja_Finanzas[[#This Row],[tipo_r]]="R",COUNTIFS($C$1:$C741,"R")+1,A741)</f>
        <v>661</v>
      </c>
      <c r="B742" s="19" t="str">
        <f t="shared" si="109"/>
        <v>C-Finanzas</v>
      </c>
      <c r="C742" s="3" t="s">
        <v>1330</v>
      </c>
      <c r="D742" s="14">
        <v>45889</v>
      </c>
      <c r="E742" s="5" t="s">
        <v>6570</v>
      </c>
      <c r="F742" s="5" t="s">
        <v>1336</v>
      </c>
      <c r="G742" s="5"/>
      <c r="H742" s="104" t="s">
        <v>1009</v>
      </c>
      <c r="I742" s="6" t="s">
        <v>115</v>
      </c>
      <c r="J742" s="6" t="s">
        <v>7187</v>
      </c>
      <c r="K742" s="6">
        <v>143</v>
      </c>
      <c r="L742" s="7" t="s">
        <v>7377</v>
      </c>
      <c r="M742" s="8" t="str">
        <f>"CFI"&amp;".D"&amp;TEXT(Caja_Finanzas[[#This Row],[fecha]],"DD-MM")&amp;"-"&amp;TEXT(Caja_Finanzas[[#This Row],[item]],"0000")</f>
        <v>CFI.D20-08-0661</v>
      </c>
      <c r="N742" s="8" t="str">
        <f t="shared" si="110"/>
        <v>PEN</v>
      </c>
      <c r="O742" s="13"/>
      <c r="P742" s="13">
        <v>45</v>
      </c>
      <c r="Q742" s="3">
        <f t="shared" si="111"/>
        <v>0</v>
      </c>
      <c r="R742" s="3">
        <f t="shared" si="112"/>
        <v>45</v>
      </c>
      <c r="S742" s="3">
        <f t="shared" si="100"/>
        <v>20239.799999999996</v>
      </c>
      <c r="T742" s="24"/>
      <c r="U742" s="24"/>
      <c r="V742" s="3"/>
      <c r="W742" s="25"/>
      <c r="X742" s="25"/>
      <c r="Y742" s="25"/>
      <c r="Z742" s="25"/>
      <c r="AA742" s="25"/>
      <c r="AB742" s="3" t="str">
        <f>IF(Caja_Finanzas[[#This Row],[fecha]]&gt;0,TEXT(Caja_Finanzas[[#This Row],[fecha]],"mmmm"),0)</f>
        <v>Agosto</v>
      </c>
    </row>
    <row r="743" spans="1:28" ht="24" x14ac:dyDescent="0.3">
      <c r="A743" s="2">
        <f>IF(Caja_Finanzas[[#This Row],[tipo_r]]="R",COUNTIFS($C$1:$C742,"R")+1,A742)</f>
        <v>662</v>
      </c>
      <c r="B743" s="19" t="str">
        <f t="shared" si="109"/>
        <v>C-Finanzas</v>
      </c>
      <c r="C743" s="3" t="s">
        <v>1330</v>
      </c>
      <c r="D743" s="14">
        <v>45890</v>
      </c>
      <c r="E743" s="5" t="s">
        <v>309</v>
      </c>
      <c r="F743" s="5" t="s">
        <v>1303</v>
      </c>
      <c r="G743" s="5"/>
      <c r="H743" s="104"/>
      <c r="I743" s="6" t="s">
        <v>119</v>
      </c>
      <c r="J743" s="6">
        <v>1</v>
      </c>
      <c r="K743" s="6">
        <v>4688</v>
      </c>
      <c r="L743" s="7" t="s">
        <v>6118</v>
      </c>
      <c r="M743" s="8" t="str">
        <f>"CFI"&amp;".D"&amp;TEXT(Caja_Finanzas[[#This Row],[fecha]],"DD-MM")&amp;"-"&amp;TEXT(Caja_Finanzas[[#This Row],[item]],"0000")</f>
        <v>CFI.D21-08-0662</v>
      </c>
      <c r="N743" s="8" t="str">
        <f t="shared" si="110"/>
        <v>PEN</v>
      </c>
      <c r="O743" s="13"/>
      <c r="P743" s="13">
        <v>5500</v>
      </c>
      <c r="Q743" s="3">
        <f t="shared" si="111"/>
        <v>5500</v>
      </c>
      <c r="R743" s="3">
        <f t="shared" si="112"/>
        <v>0</v>
      </c>
      <c r="S743" s="3">
        <f t="shared" si="100"/>
        <v>25739.799999999996</v>
      </c>
      <c r="T743" s="24"/>
      <c r="U743" s="24"/>
      <c r="V743" s="3"/>
      <c r="W743" s="25"/>
      <c r="X743" s="25"/>
      <c r="Y743" s="25"/>
      <c r="Z743" s="25"/>
      <c r="AA743" s="25"/>
      <c r="AB743" s="3" t="str">
        <f>IF(Caja_Finanzas[[#This Row],[fecha]]&gt;0,TEXT(Caja_Finanzas[[#This Row],[fecha]],"mmmm"),0)</f>
        <v>Agosto</v>
      </c>
    </row>
    <row r="744" spans="1:28" ht="24" x14ac:dyDescent="0.3">
      <c r="A744" s="2">
        <f>IF(Caja_Finanzas[[#This Row],[tipo_r]]="R",COUNTIFS($C$1:$C743,"R")+1,A743)</f>
        <v>663</v>
      </c>
      <c r="B744" s="19" t="str">
        <f t="shared" si="109"/>
        <v>C-Finanzas</v>
      </c>
      <c r="C744" s="3" t="s">
        <v>1330</v>
      </c>
      <c r="D744" s="14">
        <v>45890</v>
      </c>
      <c r="E744" s="5" t="s">
        <v>2502</v>
      </c>
      <c r="F744" s="5" t="s">
        <v>1303</v>
      </c>
      <c r="G744" s="5"/>
      <c r="H744" s="104"/>
      <c r="I744" s="6" t="s">
        <v>119</v>
      </c>
      <c r="J744" s="6">
        <v>1</v>
      </c>
      <c r="K744" s="6">
        <v>4690</v>
      </c>
      <c r="L744" s="7" t="s">
        <v>6118</v>
      </c>
      <c r="M744" s="8" t="str">
        <f>"CFI"&amp;".D"&amp;TEXT(Caja_Finanzas[[#This Row],[fecha]],"DD-MM")&amp;"-"&amp;TEXT(Caja_Finanzas[[#This Row],[item]],"0000")</f>
        <v>CFI.D21-08-0663</v>
      </c>
      <c r="N744" s="8" t="str">
        <f t="shared" si="110"/>
        <v>PEN</v>
      </c>
      <c r="O744" s="13"/>
      <c r="P744" s="13">
        <v>1150</v>
      </c>
      <c r="Q744" s="3">
        <f t="shared" si="111"/>
        <v>1150</v>
      </c>
      <c r="R744" s="3">
        <f t="shared" si="112"/>
        <v>0</v>
      </c>
      <c r="S744" s="3">
        <f t="shared" si="100"/>
        <v>26889.799999999996</v>
      </c>
      <c r="T744" s="24"/>
      <c r="U744" s="24"/>
      <c r="V744" s="3"/>
      <c r="W744" s="25"/>
      <c r="X744" s="25"/>
      <c r="Y744" s="25"/>
      <c r="Z744" s="25"/>
      <c r="AA744" s="25"/>
      <c r="AB744" s="3" t="str">
        <f>IF(Caja_Finanzas[[#This Row],[fecha]]&gt;0,TEXT(Caja_Finanzas[[#This Row],[fecha]],"mmmm"),0)</f>
        <v>Agosto</v>
      </c>
    </row>
    <row r="745" spans="1:28" ht="24" x14ac:dyDescent="0.3">
      <c r="A745" s="2">
        <f>IF(Caja_Finanzas[[#This Row],[tipo_r]]="R",COUNTIFS($C$1:$C744,"R")+1,A744)</f>
        <v>664</v>
      </c>
      <c r="B745" s="19" t="str">
        <f t="shared" si="109"/>
        <v>C-Finanzas</v>
      </c>
      <c r="C745" s="3" t="s">
        <v>1330</v>
      </c>
      <c r="D745" s="14">
        <v>45890</v>
      </c>
      <c r="E745" s="5" t="s">
        <v>7376</v>
      </c>
      <c r="F745" s="5" t="s">
        <v>1303</v>
      </c>
      <c r="G745" s="5"/>
      <c r="H745" s="104"/>
      <c r="I745" s="6" t="s">
        <v>119</v>
      </c>
      <c r="J745" s="6">
        <v>1</v>
      </c>
      <c r="K745" s="6">
        <v>4692</v>
      </c>
      <c r="L745" s="7" t="s">
        <v>6118</v>
      </c>
      <c r="M745" s="8" t="str">
        <f>"CFI"&amp;".D"&amp;TEXT(Caja_Finanzas[[#This Row],[fecha]],"DD-MM")&amp;"-"&amp;TEXT(Caja_Finanzas[[#This Row],[item]],"0000")</f>
        <v>CFI.D21-08-0664</v>
      </c>
      <c r="N745" s="8" t="str">
        <f t="shared" si="110"/>
        <v>PEN</v>
      </c>
      <c r="O745" s="13"/>
      <c r="P745" s="13">
        <v>600</v>
      </c>
      <c r="Q745" s="3">
        <f t="shared" si="111"/>
        <v>600</v>
      </c>
      <c r="R745" s="3">
        <f t="shared" si="112"/>
        <v>0</v>
      </c>
      <c r="S745" s="3">
        <f t="shared" si="100"/>
        <v>27489.799999999996</v>
      </c>
      <c r="T745" s="24"/>
      <c r="U745" s="24"/>
      <c r="V745" s="3"/>
      <c r="W745" s="25"/>
      <c r="X745" s="25"/>
      <c r="Y745" s="25"/>
      <c r="Z745" s="25"/>
      <c r="AA745" s="25"/>
      <c r="AB745" s="3" t="str">
        <f>IF(Caja_Finanzas[[#This Row],[fecha]]&gt;0,TEXT(Caja_Finanzas[[#This Row],[fecha]],"mmmm"),0)</f>
        <v>Agosto</v>
      </c>
    </row>
    <row r="746" spans="1:28" ht="24" x14ac:dyDescent="0.3">
      <c r="A746" s="2">
        <f>IF(Caja_Finanzas[[#This Row],[tipo_r]]="R",COUNTIFS($C$1:$C745,"R")+1,A745)</f>
        <v>665</v>
      </c>
      <c r="B746" s="19" t="str">
        <f>"C-Finanzas"</f>
        <v>C-Finanzas</v>
      </c>
      <c r="C746" s="3" t="s">
        <v>1330</v>
      </c>
      <c r="D746" s="14">
        <v>45891</v>
      </c>
      <c r="E746" s="5" t="s">
        <v>3676</v>
      </c>
      <c r="F746" s="5" t="s">
        <v>1303</v>
      </c>
      <c r="G746" s="5"/>
      <c r="H746" s="104"/>
      <c r="I746" s="6" t="s">
        <v>119</v>
      </c>
      <c r="J746" s="6">
        <v>3</v>
      </c>
      <c r="K746" s="6">
        <v>605</v>
      </c>
      <c r="L746" s="7" t="s">
        <v>7378</v>
      </c>
      <c r="M746" s="8" t="str">
        <f>"CFI"&amp;".D"&amp;TEXT(Caja_Finanzas[[#This Row],[fecha]],"DD-MM")&amp;"-"&amp;TEXT(Caja_Finanzas[[#This Row],[item]],"0000")</f>
        <v>CFI.D22-08-0665</v>
      </c>
      <c r="N746" s="8" t="str">
        <f>"PEN"</f>
        <v>PEN</v>
      </c>
      <c r="O746" s="13"/>
      <c r="P746" s="13">
        <v>10</v>
      </c>
      <c r="Q746" s="3">
        <f>+IF(OR($F746="SALDO",$F746="INGRESO"),$P746,0)</f>
        <v>10</v>
      </c>
      <c r="R746" s="3">
        <f>+IF($F746="EGRESO",$P746,0)</f>
        <v>0</v>
      </c>
      <c r="S746" s="3">
        <f t="shared" si="100"/>
        <v>27499.799999999996</v>
      </c>
      <c r="T746" s="24"/>
      <c r="U746" s="24"/>
      <c r="V746" s="3"/>
      <c r="W746" s="25"/>
      <c r="X746" s="25"/>
      <c r="Y746" s="25"/>
      <c r="Z746" s="25"/>
      <c r="AA746" s="25"/>
      <c r="AB746" s="3" t="str">
        <f>IF(Caja_Finanzas[[#This Row],[fecha]]&gt;0,TEXT(Caja_Finanzas[[#This Row],[fecha]],"mmmm"),0)</f>
        <v>Agosto</v>
      </c>
    </row>
    <row r="747" spans="1:28" ht="24" x14ac:dyDescent="0.3">
      <c r="A747" s="2">
        <f>IF(Caja_Finanzas[[#This Row],[tipo_r]]="R",COUNTIFS($C$1:$C746,"R")+1,A746)</f>
        <v>666</v>
      </c>
      <c r="B747" s="19" t="str">
        <f>"C-Finanzas"</f>
        <v>C-Finanzas</v>
      </c>
      <c r="C747" s="3" t="s">
        <v>1330</v>
      </c>
      <c r="D747" s="14">
        <v>45891</v>
      </c>
      <c r="E747" s="5" t="s">
        <v>7379</v>
      </c>
      <c r="F747" s="5" t="s">
        <v>1303</v>
      </c>
      <c r="G747" s="5"/>
      <c r="H747" s="104"/>
      <c r="I747" s="6" t="s">
        <v>119</v>
      </c>
      <c r="J747" s="6">
        <v>3</v>
      </c>
      <c r="K747" s="6">
        <v>614</v>
      </c>
      <c r="L747" s="7" t="s">
        <v>7378</v>
      </c>
      <c r="M747" s="8" t="str">
        <f>"CFI"&amp;".D"&amp;TEXT(Caja_Finanzas[[#This Row],[fecha]],"DD-MM")&amp;"-"&amp;TEXT(Caja_Finanzas[[#This Row],[item]],"0000")</f>
        <v>CFI.D22-08-0666</v>
      </c>
      <c r="N747" s="8" t="str">
        <f>"PEN"</f>
        <v>PEN</v>
      </c>
      <c r="O747" s="13"/>
      <c r="P747" s="13">
        <v>360</v>
      </c>
      <c r="Q747" s="3">
        <f>+IF(OR($F747="SALDO",$F747="INGRESO"),$P747,0)</f>
        <v>360</v>
      </c>
      <c r="R747" s="3">
        <f>+IF($F747="EGRESO",$P747,0)</f>
        <v>0</v>
      </c>
      <c r="S747" s="3">
        <f t="shared" si="100"/>
        <v>27859.799999999996</v>
      </c>
      <c r="T747" s="24"/>
      <c r="U747" s="24"/>
      <c r="V747" s="3"/>
      <c r="W747" s="25"/>
      <c r="X747" s="25"/>
      <c r="Y747" s="25"/>
      <c r="Z747" s="25"/>
      <c r="AA747" s="25"/>
      <c r="AB747" s="3" t="str">
        <f>IF(Caja_Finanzas[[#This Row],[fecha]]&gt;0,TEXT(Caja_Finanzas[[#This Row],[fecha]],"mmmm"),0)</f>
        <v>Agosto</v>
      </c>
    </row>
    <row r="748" spans="1:28" ht="24" x14ac:dyDescent="0.3">
      <c r="A748" s="2">
        <f>IF(Caja_Finanzas[[#This Row],[tipo_r]]="R",COUNTIFS($C$1:$C747,"R")+1,A747)</f>
        <v>667</v>
      </c>
      <c r="B748" s="19" t="str">
        <f>"C-Finanzas"</f>
        <v>C-Finanzas</v>
      </c>
      <c r="C748" s="3" t="s">
        <v>1330</v>
      </c>
      <c r="D748" s="14">
        <v>45891</v>
      </c>
      <c r="E748" s="5"/>
      <c r="F748" s="5" t="s">
        <v>1336</v>
      </c>
      <c r="G748" s="5"/>
      <c r="H748" s="104"/>
      <c r="I748" s="6"/>
      <c r="J748" s="6"/>
      <c r="K748" s="6"/>
      <c r="L748" s="7" t="s">
        <v>7380</v>
      </c>
      <c r="M748" s="8" t="str">
        <f>"CFI"&amp;".D"&amp;TEXT(Caja_Finanzas[[#This Row],[fecha]],"DD-MM")&amp;"-"&amp;TEXT(Caja_Finanzas[[#This Row],[item]],"0000")</f>
        <v>CFI.D22-08-0667</v>
      </c>
      <c r="N748" s="8" t="str">
        <f>"PEN"</f>
        <v>PEN</v>
      </c>
      <c r="O748" s="13"/>
      <c r="P748" s="13">
        <v>300</v>
      </c>
      <c r="Q748" s="3">
        <f>+IF(OR($F748="SALDO",$F748="INGRESO"),$P748,0)</f>
        <v>0</v>
      </c>
      <c r="R748" s="3">
        <f>+IF($F748="EGRESO",$P748,0)</f>
        <v>300</v>
      </c>
      <c r="S748" s="3">
        <f t="shared" si="100"/>
        <v>27559.799999999996</v>
      </c>
      <c r="T748" s="24"/>
      <c r="U748" s="24"/>
      <c r="V748" s="3"/>
      <c r="W748" s="25"/>
      <c r="X748" s="25"/>
      <c r="Y748" s="25"/>
      <c r="Z748" s="25"/>
      <c r="AA748" s="25"/>
      <c r="AB748" s="3" t="str">
        <f>IF(Caja_Finanzas[[#This Row],[fecha]]&gt;0,TEXT(Caja_Finanzas[[#This Row],[fecha]],"mmmm"),0)</f>
        <v>Agosto</v>
      </c>
    </row>
    <row r="749" spans="1:28" ht="24" x14ac:dyDescent="0.3">
      <c r="A749" s="2">
        <f>IF(Caja_Finanzas[[#This Row],[tipo_r]]="R",COUNTIFS($C$1:$C748,"R")+1,A748)</f>
        <v>668</v>
      </c>
      <c r="B749" s="19" t="str">
        <f>"C-Finanzas"</f>
        <v>C-Finanzas</v>
      </c>
      <c r="C749" s="3" t="s">
        <v>1330</v>
      </c>
      <c r="D749" s="14">
        <v>45891</v>
      </c>
      <c r="E749" s="5"/>
      <c r="F749" s="5" t="s">
        <v>1336</v>
      </c>
      <c r="G749" s="5"/>
      <c r="H749" s="104"/>
      <c r="I749" s="6"/>
      <c r="J749" s="6"/>
      <c r="K749" s="6"/>
      <c r="L749" s="7" t="s">
        <v>7381</v>
      </c>
      <c r="M749" s="8" t="str">
        <f>"CFI"&amp;".D"&amp;TEXT(Caja_Finanzas[[#This Row],[fecha]],"DD-MM")&amp;"-"&amp;TEXT(Caja_Finanzas[[#This Row],[item]],"0000")</f>
        <v>CFI.D22-08-0668</v>
      </c>
      <c r="N749" s="8" t="str">
        <f>"PEN"</f>
        <v>PEN</v>
      </c>
      <c r="O749" s="13"/>
      <c r="P749" s="13">
        <v>30</v>
      </c>
      <c r="Q749" s="3">
        <f>+IF(OR($F749="SALDO",$F749="INGRESO"),$P749,0)</f>
        <v>0</v>
      </c>
      <c r="R749" s="3">
        <f>+IF($F749="EGRESO",$P749,0)</f>
        <v>30</v>
      </c>
      <c r="S749" s="3">
        <f t="shared" si="100"/>
        <v>27529.799999999996</v>
      </c>
      <c r="T749" s="24"/>
      <c r="U749" s="24"/>
      <c r="V749" s="3"/>
      <c r="W749" s="25"/>
      <c r="X749" s="25"/>
      <c r="Y749" s="25"/>
      <c r="Z749" s="25"/>
      <c r="AA749" s="25"/>
      <c r="AB749" s="3" t="str">
        <f>IF(Caja_Finanzas[[#This Row],[fecha]]&gt;0,TEXT(Caja_Finanzas[[#This Row],[fecha]],"mmmm"),0)</f>
        <v>Agosto</v>
      </c>
    </row>
    <row r="750" spans="1:28" ht="24" x14ac:dyDescent="0.3">
      <c r="A750" s="2">
        <f>IF(Caja_Finanzas[[#This Row],[tipo_r]]="R",COUNTIFS($C$1:$C749,"R")+1,A749)</f>
        <v>669</v>
      </c>
      <c r="B750" s="19" t="str">
        <f t="shared" ref="B750:B753" si="113">"C-Finanzas"</f>
        <v>C-Finanzas</v>
      </c>
      <c r="C750" s="3" t="s">
        <v>1330</v>
      </c>
      <c r="D750" s="14">
        <v>45891</v>
      </c>
      <c r="E750" s="5" t="s">
        <v>7355</v>
      </c>
      <c r="F750" s="5" t="s">
        <v>1303</v>
      </c>
      <c r="G750" s="5"/>
      <c r="H750" s="104"/>
      <c r="I750" s="6" t="s">
        <v>119</v>
      </c>
      <c r="J750" s="6">
        <v>3</v>
      </c>
      <c r="K750" s="6">
        <v>632</v>
      </c>
      <c r="L750" s="7" t="s">
        <v>7351</v>
      </c>
      <c r="M750" s="8" t="str">
        <f>"CFI"&amp;".D"&amp;TEXT(Caja_Finanzas[[#This Row],[fecha]],"DD-MM")&amp;"-"&amp;TEXT(Caja_Finanzas[[#This Row],[item]],"0000")</f>
        <v>CFI.D22-08-0669</v>
      </c>
      <c r="N750" s="8" t="str">
        <f t="shared" ref="N750:N753" si="114">"PEN"</f>
        <v>PEN</v>
      </c>
      <c r="O750" s="13"/>
      <c r="P750" s="13">
        <v>9.1</v>
      </c>
      <c r="Q750" s="3">
        <f t="shared" ref="Q750:Q753" si="115">+IF(OR($F750="SALDO",$F750="INGRESO"),$P750,0)</f>
        <v>9.1</v>
      </c>
      <c r="R750" s="3">
        <f t="shared" ref="R750:R753" si="116">+IF($F750="EGRESO",$P750,0)</f>
        <v>0</v>
      </c>
      <c r="S750" s="3">
        <f t="shared" si="100"/>
        <v>27538.899999999994</v>
      </c>
      <c r="T750" s="24"/>
      <c r="U750" s="24"/>
      <c r="V750" s="3"/>
      <c r="W750" s="25"/>
      <c r="X750" s="25"/>
      <c r="Y750" s="25"/>
      <c r="Z750" s="25"/>
      <c r="AA750" s="25"/>
      <c r="AB750" s="3" t="str">
        <f>IF(Caja_Finanzas[[#This Row],[fecha]]&gt;0,TEXT(Caja_Finanzas[[#This Row],[fecha]],"mmmm"),0)</f>
        <v>Agosto</v>
      </c>
    </row>
    <row r="751" spans="1:28" ht="24" x14ac:dyDescent="0.3">
      <c r="A751" s="2">
        <f>IF(Caja_Finanzas[[#This Row],[tipo_r]]="R",COUNTIFS($C$1:$C750,"R")+1,A750)</f>
        <v>670</v>
      </c>
      <c r="B751" s="19" t="str">
        <f t="shared" si="113"/>
        <v>C-Finanzas</v>
      </c>
      <c r="C751" s="3" t="s">
        <v>1330</v>
      </c>
      <c r="D751" s="14">
        <v>45891</v>
      </c>
      <c r="E751" s="5" t="s">
        <v>7170</v>
      </c>
      <c r="F751" s="5" t="s">
        <v>1303</v>
      </c>
      <c r="G751" s="5"/>
      <c r="H751" s="104"/>
      <c r="I751" s="6" t="s">
        <v>119</v>
      </c>
      <c r="J751" s="6">
        <v>3</v>
      </c>
      <c r="K751" s="6">
        <v>633</v>
      </c>
      <c r="L751" s="7" t="s">
        <v>7351</v>
      </c>
      <c r="M751" s="8" t="str">
        <f>"CFI"&amp;".D"&amp;TEXT(Caja_Finanzas[[#This Row],[fecha]],"DD-MM")&amp;"-"&amp;TEXT(Caja_Finanzas[[#This Row],[item]],"0000")</f>
        <v>CFI.D22-08-0670</v>
      </c>
      <c r="N751" s="8" t="str">
        <f t="shared" si="114"/>
        <v>PEN</v>
      </c>
      <c r="O751" s="13"/>
      <c r="P751" s="13">
        <v>196.8</v>
      </c>
      <c r="Q751" s="3">
        <f t="shared" si="115"/>
        <v>196.8</v>
      </c>
      <c r="R751" s="3">
        <f t="shared" si="116"/>
        <v>0</v>
      </c>
      <c r="S751" s="3">
        <f t="shared" si="100"/>
        <v>27735.699999999993</v>
      </c>
      <c r="T751" s="24"/>
      <c r="U751" s="24"/>
      <c r="V751" s="3"/>
      <c r="W751" s="25"/>
      <c r="X751" s="25"/>
      <c r="Y751" s="25"/>
      <c r="Z751" s="25"/>
      <c r="AA751" s="25"/>
      <c r="AB751" s="3" t="str">
        <f>IF(Caja_Finanzas[[#This Row],[fecha]]&gt;0,TEXT(Caja_Finanzas[[#This Row],[fecha]],"mmmm"),0)</f>
        <v>Agosto</v>
      </c>
    </row>
    <row r="752" spans="1:28" ht="24" x14ac:dyDescent="0.3">
      <c r="A752" s="2">
        <f>IF(Caja_Finanzas[[#This Row],[tipo_r]]="R",COUNTIFS($C$1:$C751,"R")+1,A751)</f>
        <v>671</v>
      </c>
      <c r="B752" s="19" t="str">
        <f t="shared" si="113"/>
        <v>C-Finanzas</v>
      </c>
      <c r="C752" s="3" t="s">
        <v>1330</v>
      </c>
      <c r="D752" s="14">
        <v>45891</v>
      </c>
      <c r="E752" s="5" t="s">
        <v>3683</v>
      </c>
      <c r="F752" s="5" t="s">
        <v>1303</v>
      </c>
      <c r="G752" s="5"/>
      <c r="H752" s="104"/>
      <c r="I752" s="6" t="s">
        <v>119</v>
      </c>
      <c r="J752" s="6">
        <v>3</v>
      </c>
      <c r="K752" s="6">
        <v>634</v>
      </c>
      <c r="L752" s="7" t="s">
        <v>7351</v>
      </c>
      <c r="M752" s="8" t="str">
        <f>"CFI"&amp;".D"&amp;TEXT(Caja_Finanzas[[#This Row],[fecha]],"DD-MM")&amp;"-"&amp;TEXT(Caja_Finanzas[[#This Row],[item]],"0000")</f>
        <v>CFI.D22-08-0671</v>
      </c>
      <c r="N752" s="8" t="str">
        <f t="shared" si="114"/>
        <v>PEN</v>
      </c>
      <c r="O752" s="13"/>
      <c r="P752" s="13">
        <v>1.1000000000000001</v>
      </c>
      <c r="Q752" s="3">
        <f t="shared" si="115"/>
        <v>1.1000000000000001</v>
      </c>
      <c r="R752" s="3">
        <f t="shared" si="116"/>
        <v>0</v>
      </c>
      <c r="S752" s="3">
        <f t="shared" si="100"/>
        <v>27736.799999999992</v>
      </c>
      <c r="T752" s="24"/>
      <c r="U752" s="24"/>
      <c r="V752" s="3"/>
      <c r="W752" s="25"/>
      <c r="X752" s="25"/>
      <c r="Y752" s="25"/>
      <c r="Z752" s="25"/>
      <c r="AA752" s="25"/>
      <c r="AB752" s="3" t="str">
        <f>IF(Caja_Finanzas[[#This Row],[fecha]]&gt;0,TEXT(Caja_Finanzas[[#This Row],[fecha]],"mmmm"),0)</f>
        <v>Agosto</v>
      </c>
    </row>
    <row r="753" spans="1:28" ht="24" x14ac:dyDescent="0.3">
      <c r="A753" s="2">
        <f>IF(Caja_Finanzas[[#This Row],[tipo_r]]="R",COUNTIFS($C$1:$C752,"R")+1,A752)</f>
        <v>672</v>
      </c>
      <c r="B753" s="19" t="str">
        <f t="shared" si="113"/>
        <v>C-Finanzas</v>
      </c>
      <c r="C753" s="3" t="s">
        <v>1330</v>
      </c>
      <c r="D753" s="14">
        <v>45891</v>
      </c>
      <c r="E753" s="5" t="s">
        <v>3683</v>
      </c>
      <c r="F753" s="5" t="s">
        <v>1303</v>
      </c>
      <c r="G753" s="5"/>
      <c r="H753" s="104"/>
      <c r="I753" s="6" t="s">
        <v>119</v>
      </c>
      <c r="J753" s="6">
        <v>3</v>
      </c>
      <c r="K753" s="6">
        <v>635</v>
      </c>
      <c r="L753" s="7" t="s">
        <v>7351</v>
      </c>
      <c r="M753" s="8" t="str">
        <f>"CFI"&amp;".D"&amp;TEXT(Caja_Finanzas[[#This Row],[fecha]],"DD-MM")&amp;"-"&amp;TEXT(Caja_Finanzas[[#This Row],[item]],"0000")</f>
        <v>CFI.D22-08-0672</v>
      </c>
      <c r="N753" s="8" t="str">
        <f t="shared" si="114"/>
        <v>PEN</v>
      </c>
      <c r="O753" s="13"/>
      <c r="P753" s="13">
        <v>83</v>
      </c>
      <c r="Q753" s="3">
        <f t="shared" si="115"/>
        <v>83</v>
      </c>
      <c r="R753" s="3">
        <f t="shared" si="116"/>
        <v>0</v>
      </c>
      <c r="S753" s="3">
        <f t="shared" si="100"/>
        <v>27819.799999999992</v>
      </c>
      <c r="T753" s="24"/>
      <c r="U753" s="24"/>
      <c r="V753" s="3"/>
      <c r="W753" s="25"/>
      <c r="X753" s="25"/>
      <c r="Y753" s="25"/>
      <c r="Z753" s="25"/>
      <c r="AA753" s="25"/>
      <c r="AB753" s="3" t="str">
        <f>IF(Caja_Finanzas[[#This Row],[fecha]]&gt;0,TEXT(Caja_Finanzas[[#This Row],[fecha]],"mmmm"),0)</f>
        <v>Agosto</v>
      </c>
    </row>
    <row r="754" spans="1:28" ht="24" x14ac:dyDescent="0.3">
      <c r="A754" s="2">
        <f>IF(Caja_Finanzas[[#This Row],[tipo_r]]="R",COUNTIFS($C$1:$C753,"R")+1,A753)</f>
        <v>673</v>
      </c>
      <c r="B754" s="19" t="str">
        <f t="shared" ref="B754:B755" si="117">"C-Finanzas"</f>
        <v>C-Finanzas</v>
      </c>
      <c r="C754" s="3" t="s">
        <v>1330</v>
      </c>
      <c r="D754" s="14">
        <v>45891</v>
      </c>
      <c r="E754" s="5"/>
      <c r="F754" s="5" t="s">
        <v>1336</v>
      </c>
      <c r="G754" s="5"/>
      <c r="H754" s="104"/>
      <c r="I754" s="6"/>
      <c r="J754" s="6"/>
      <c r="K754" s="6"/>
      <c r="L754" s="7" t="s">
        <v>7382</v>
      </c>
      <c r="M754" s="8" t="str">
        <f>"CFI"&amp;".D"&amp;TEXT(Caja_Finanzas[[#This Row],[fecha]],"DD-MM")&amp;"-"&amp;TEXT(Caja_Finanzas[[#This Row],[item]],"0000")</f>
        <v>CFI.D22-08-0673</v>
      </c>
      <c r="N754" s="8" t="str">
        <f t="shared" ref="N754:N755" si="118">"PEN"</f>
        <v>PEN</v>
      </c>
      <c r="O754" s="13"/>
      <c r="P754" s="13">
        <v>200</v>
      </c>
      <c r="Q754" s="3">
        <f t="shared" ref="Q754:Q755" si="119">+IF(OR($F754="SALDO",$F754="INGRESO"),$P754,0)</f>
        <v>0</v>
      </c>
      <c r="R754" s="3">
        <f t="shared" ref="R754:R755" si="120">+IF($F754="EGRESO",$P754,0)</f>
        <v>200</v>
      </c>
      <c r="S754" s="3">
        <f t="shared" si="100"/>
        <v>27619.799999999992</v>
      </c>
      <c r="T754" s="24"/>
      <c r="U754" s="24"/>
      <c r="V754" s="3"/>
      <c r="W754" s="25"/>
      <c r="X754" s="25"/>
      <c r="Y754" s="25"/>
      <c r="Z754" s="25"/>
      <c r="AA754" s="25"/>
      <c r="AB754" s="3" t="str">
        <f>IF(Caja_Finanzas[[#This Row],[fecha]]&gt;0,TEXT(Caja_Finanzas[[#This Row],[fecha]],"mmmm"),0)</f>
        <v>Agosto</v>
      </c>
    </row>
    <row r="755" spans="1:28" ht="24" x14ac:dyDescent="0.3">
      <c r="A755" s="2">
        <f>IF(Caja_Finanzas[[#This Row],[tipo_r]]="R",COUNTIFS($C$1:$C754,"R")+1,A754)</f>
        <v>674</v>
      </c>
      <c r="B755" s="19" t="str">
        <f t="shared" si="117"/>
        <v>C-Finanzas</v>
      </c>
      <c r="C755" s="3" t="s">
        <v>1330</v>
      </c>
      <c r="D755" s="14">
        <v>45891</v>
      </c>
      <c r="E755" s="5"/>
      <c r="F755" s="5" t="s">
        <v>1336</v>
      </c>
      <c r="G755" s="5"/>
      <c r="H755" s="104"/>
      <c r="I755" s="6"/>
      <c r="J755" s="6"/>
      <c r="K755" s="6"/>
      <c r="L755" s="7" t="s">
        <v>7383</v>
      </c>
      <c r="M755" s="8" t="str">
        <f>"CFI"&amp;".D"&amp;TEXT(Caja_Finanzas[[#This Row],[fecha]],"DD-MM")&amp;"-"&amp;TEXT(Caja_Finanzas[[#This Row],[item]],"0000")</f>
        <v>CFI.D22-08-0674</v>
      </c>
      <c r="N755" s="8" t="str">
        <f t="shared" si="118"/>
        <v>PEN</v>
      </c>
      <c r="O755" s="13"/>
      <c r="P755" s="13">
        <v>30</v>
      </c>
      <c r="Q755" s="3">
        <f t="shared" si="119"/>
        <v>0</v>
      </c>
      <c r="R755" s="3">
        <f t="shared" si="120"/>
        <v>30</v>
      </c>
      <c r="S755" s="3">
        <f t="shared" si="100"/>
        <v>27589.799999999992</v>
      </c>
      <c r="T755" s="24"/>
      <c r="U755" s="24"/>
      <c r="V755" s="3"/>
      <c r="W755" s="25"/>
      <c r="X755" s="25"/>
      <c r="Y755" s="25"/>
      <c r="Z755" s="25"/>
      <c r="AA755" s="25"/>
      <c r="AB755" s="3" t="str">
        <f>IF(Caja_Finanzas[[#This Row],[fecha]]&gt;0,TEXT(Caja_Finanzas[[#This Row],[fecha]],"mmmm"),0)</f>
        <v>Agosto</v>
      </c>
    </row>
    <row r="756" spans="1:28" ht="48" x14ac:dyDescent="0.3">
      <c r="A756" s="2">
        <f>IF(Caja_Finanzas[[#This Row],[tipo_r]]="R",COUNTIFS($C$1:$C755,"R")+1,A755)</f>
        <v>675</v>
      </c>
      <c r="B756" s="19" t="str">
        <f t="shared" ref="B756:B761" si="121">"C-Finanzas"</f>
        <v>C-Finanzas</v>
      </c>
      <c r="C756" s="3" t="s">
        <v>1330</v>
      </c>
      <c r="D756" s="14">
        <v>45891</v>
      </c>
      <c r="E756" s="5" t="s">
        <v>6451</v>
      </c>
      <c r="F756" s="5" t="s">
        <v>1336</v>
      </c>
      <c r="G756" s="5"/>
      <c r="H756" s="104" t="s">
        <v>1009</v>
      </c>
      <c r="I756" s="6" t="s">
        <v>115</v>
      </c>
      <c r="J756" s="6" t="s">
        <v>7299</v>
      </c>
      <c r="K756" s="6">
        <v>129</v>
      </c>
      <c r="L756" s="7" t="s">
        <v>7384</v>
      </c>
      <c r="M756" s="8" t="str">
        <f>"CFI"&amp;".D"&amp;TEXT(Caja_Finanzas[[#This Row],[fecha]],"DD-MM")&amp;"-"&amp;TEXT(Caja_Finanzas[[#This Row],[item]],"0000")</f>
        <v>CFI.D22-08-0675</v>
      </c>
      <c r="N756" s="8" t="str">
        <f t="shared" ref="N756:N761" si="122">"PEN"</f>
        <v>PEN</v>
      </c>
      <c r="O756" s="13"/>
      <c r="P756" s="13">
        <v>50</v>
      </c>
      <c r="Q756" s="3">
        <f t="shared" ref="Q756:Q761" si="123">+IF(OR($F756="SALDO",$F756="INGRESO"),$P756,0)</f>
        <v>0</v>
      </c>
      <c r="R756" s="3">
        <f t="shared" ref="R756:R761" si="124">+IF($F756="EGRESO",$P756,0)</f>
        <v>50</v>
      </c>
      <c r="S756" s="3">
        <f t="shared" si="100"/>
        <v>27539.799999999992</v>
      </c>
      <c r="T756" s="24"/>
      <c r="U756" s="24"/>
      <c r="V756" s="3"/>
      <c r="W756" s="25"/>
      <c r="X756" s="25"/>
      <c r="Y756" s="25"/>
      <c r="Z756" s="25"/>
      <c r="AA756" s="25"/>
      <c r="AB756" s="3" t="str">
        <f>IF(Caja_Finanzas[[#This Row],[fecha]]&gt;0,TEXT(Caja_Finanzas[[#This Row],[fecha]],"mmmm"),0)</f>
        <v>Agosto</v>
      </c>
    </row>
    <row r="757" spans="1:28" ht="24" x14ac:dyDescent="0.3">
      <c r="A757" s="2">
        <f>IF(Caja_Finanzas[[#This Row],[tipo_r]]="R",COUNTIFS($C$1:$C756,"R")+1,A756)</f>
        <v>676</v>
      </c>
      <c r="B757" s="19" t="str">
        <f t="shared" si="121"/>
        <v>C-Finanzas</v>
      </c>
      <c r="C757" s="3" t="s">
        <v>1330</v>
      </c>
      <c r="D757" s="14">
        <v>45894</v>
      </c>
      <c r="E757" s="5" t="s">
        <v>7385</v>
      </c>
      <c r="F757" s="5" t="s">
        <v>1303</v>
      </c>
      <c r="G757" s="5"/>
      <c r="H757" s="104"/>
      <c r="I757" s="6" t="s">
        <v>119</v>
      </c>
      <c r="J757" s="6">
        <v>1</v>
      </c>
      <c r="K757" s="6">
        <v>4697</v>
      </c>
      <c r="L757" s="7" t="s">
        <v>6118</v>
      </c>
      <c r="M757" s="8" t="str">
        <f>"CFI"&amp;".D"&amp;TEXT(Caja_Finanzas[[#This Row],[fecha]],"DD-MM")&amp;"-"&amp;TEXT(Caja_Finanzas[[#This Row],[item]],"0000")</f>
        <v>CFI.D25-08-0676</v>
      </c>
      <c r="N757" s="8" t="str">
        <f t="shared" si="122"/>
        <v>PEN</v>
      </c>
      <c r="O757" s="13"/>
      <c r="P757" s="13">
        <v>55</v>
      </c>
      <c r="Q757" s="3">
        <f t="shared" si="123"/>
        <v>55</v>
      </c>
      <c r="R757" s="3">
        <f t="shared" si="124"/>
        <v>0</v>
      </c>
      <c r="S757" s="3">
        <f t="shared" si="100"/>
        <v>27594.799999999992</v>
      </c>
      <c r="T757" s="24"/>
      <c r="U757" s="24"/>
      <c r="V757" s="3"/>
      <c r="W757" s="25"/>
      <c r="X757" s="25"/>
      <c r="Y757" s="25"/>
      <c r="Z757" s="25"/>
      <c r="AA757" s="25"/>
      <c r="AB757" s="3" t="str">
        <f>IF(Caja_Finanzas[[#This Row],[fecha]]&gt;0,TEXT(Caja_Finanzas[[#This Row],[fecha]],"mmmm"),0)</f>
        <v>Agosto</v>
      </c>
    </row>
    <row r="758" spans="1:28" ht="24" x14ac:dyDescent="0.3">
      <c r="A758" s="2">
        <f>IF(Caja_Finanzas[[#This Row],[tipo_r]]="R",COUNTIFS($C$1:$C757,"R")+1,A757)</f>
        <v>677</v>
      </c>
      <c r="B758" s="19" t="str">
        <f t="shared" si="121"/>
        <v>C-Finanzas</v>
      </c>
      <c r="C758" s="3" t="s">
        <v>1330</v>
      </c>
      <c r="D758" s="14">
        <v>45895</v>
      </c>
      <c r="E758" s="5" t="s">
        <v>6731</v>
      </c>
      <c r="F758" s="5" t="s">
        <v>1336</v>
      </c>
      <c r="G758" s="5"/>
      <c r="H758" s="104" t="s">
        <v>1009</v>
      </c>
      <c r="I758" s="6" t="s">
        <v>115</v>
      </c>
      <c r="J758" s="6" t="s">
        <v>7187</v>
      </c>
      <c r="K758" s="6">
        <v>144</v>
      </c>
      <c r="L758" s="7" t="s">
        <v>7386</v>
      </c>
      <c r="M758" s="8" t="str">
        <f>"CFI"&amp;".D"&amp;TEXT(Caja_Finanzas[[#This Row],[fecha]],"DD-MM")&amp;"-"&amp;TEXT(Caja_Finanzas[[#This Row],[item]],"0000")</f>
        <v>CFI.D26-08-0677</v>
      </c>
      <c r="N758" s="8" t="str">
        <f t="shared" si="122"/>
        <v>PEN</v>
      </c>
      <c r="O758" s="13"/>
      <c r="P758" s="13">
        <v>50</v>
      </c>
      <c r="Q758" s="3">
        <f t="shared" si="123"/>
        <v>0</v>
      </c>
      <c r="R758" s="3">
        <f t="shared" si="124"/>
        <v>50</v>
      </c>
      <c r="S758" s="3">
        <f t="shared" si="100"/>
        <v>27544.799999999992</v>
      </c>
      <c r="T758" s="24"/>
      <c r="U758" s="24"/>
      <c r="V758" s="3"/>
      <c r="W758" s="25"/>
      <c r="X758" s="25"/>
      <c r="Y758" s="25"/>
      <c r="Z758" s="25"/>
      <c r="AA758" s="25"/>
      <c r="AB758" s="3" t="str">
        <f>IF(Caja_Finanzas[[#This Row],[fecha]]&gt;0,TEXT(Caja_Finanzas[[#This Row],[fecha]],"mmmm"),0)</f>
        <v>Agosto</v>
      </c>
    </row>
    <row r="759" spans="1:28" ht="24" x14ac:dyDescent="0.3">
      <c r="A759" s="2">
        <f>IF(Caja_Finanzas[[#This Row],[tipo_r]]="R",COUNTIFS($C$1:$C758,"R")+1,A758)</f>
        <v>678</v>
      </c>
      <c r="B759" s="19" t="str">
        <f t="shared" si="121"/>
        <v>C-Finanzas</v>
      </c>
      <c r="C759" s="3" t="s">
        <v>1330</v>
      </c>
      <c r="D759" s="14">
        <v>45895</v>
      </c>
      <c r="E759" s="5" t="s">
        <v>6940</v>
      </c>
      <c r="F759" s="5" t="s">
        <v>1336</v>
      </c>
      <c r="G759" s="5"/>
      <c r="H759" s="104" t="s">
        <v>1009</v>
      </c>
      <c r="I759" s="6" t="s">
        <v>115</v>
      </c>
      <c r="J759" s="6" t="s">
        <v>7282</v>
      </c>
      <c r="K759" s="6">
        <v>66</v>
      </c>
      <c r="L759" s="7" t="s">
        <v>7387</v>
      </c>
      <c r="M759" s="8" t="str">
        <f>"CFI"&amp;".D"&amp;TEXT(Caja_Finanzas[[#This Row],[fecha]],"DD-MM")&amp;"-"&amp;TEXT(Caja_Finanzas[[#This Row],[item]],"0000")</f>
        <v>CFI.D26-08-0678</v>
      </c>
      <c r="N759" s="8" t="str">
        <f t="shared" si="122"/>
        <v>PEN</v>
      </c>
      <c r="O759" s="13"/>
      <c r="P759" s="13">
        <v>10</v>
      </c>
      <c r="Q759" s="3">
        <f t="shared" si="123"/>
        <v>0</v>
      </c>
      <c r="R759" s="3">
        <f t="shared" si="124"/>
        <v>10</v>
      </c>
      <c r="S759" s="3">
        <f t="shared" si="100"/>
        <v>27534.799999999992</v>
      </c>
      <c r="T759" s="24"/>
      <c r="U759" s="24"/>
      <c r="V759" s="3"/>
      <c r="W759" s="25"/>
      <c r="X759" s="25"/>
      <c r="Y759" s="25"/>
      <c r="Z759" s="25"/>
      <c r="AA759" s="25"/>
      <c r="AB759" s="3" t="str">
        <f>IF(Caja_Finanzas[[#This Row],[fecha]]&gt;0,TEXT(Caja_Finanzas[[#This Row],[fecha]],"mmmm"),0)</f>
        <v>Agosto</v>
      </c>
    </row>
    <row r="760" spans="1:28" ht="24" x14ac:dyDescent="0.3">
      <c r="A760" s="2">
        <f>IF(Caja_Finanzas[[#This Row],[tipo_r]]="R",COUNTIFS($C$1:$C759,"R")+1,A759)</f>
        <v>679</v>
      </c>
      <c r="B760" s="19" t="str">
        <f t="shared" si="121"/>
        <v>C-Finanzas</v>
      </c>
      <c r="C760" s="3" t="s">
        <v>1330</v>
      </c>
      <c r="D760" s="14">
        <v>45895</v>
      </c>
      <c r="E760" s="5" t="s">
        <v>6456</v>
      </c>
      <c r="F760" s="5" t="s">
        <v>1336</v>
      </c>
      <c r="G760" s="5"/>
      <c r="H760" s="104" t="s">
        <v>1009</v>
      </c>
      <c r="I760" s="6" t="s">
        <v>115</v>
      </c>
      <c r="J760" s="6" t="s">
        <v>7289</v>
      </c>
      <c r="K760" s="6">
        <v>19</v>
      </c>
      <c r="L760" s="7" t="s">
        <v>7388</v>
      </c>
      <c r="M760" s="8" t="str">
        <f>"CFI"&amp;".D"&amp;TEXT(Caja_Finanzas[[#This Row],[fecha]],"DD-MM")&amp;"-"&amp;TEXT(Caja_Finanzas[[#This Row],[item]],"0000")</f>
        <v>CFI.D26-08-0679</v>
      </c>
      <c r="N760" s="8" t="str">
        <f t="shared" si="122"/>
        <v>PEN</v>
      </c>
      <c r="O760" s="13"/>
      <c r="P760" s="13">
        <v>40</v>
      </c>
      <c r="Q760" s="3">
        <f t="shared" si="123"/>
        <v>0</v>
      </c>
      <c r="R760" s="3">
        <f t="shared" si="124"/>
        <v>40</v>
      </c>
      <c r="S760" s="3">
        <f t="shared" si="100"/>
        <v>27494.799999999992</v>
      </c>
      <c r="T760" s="24"/>
      <c r="U760" s="24"/>
      <c r="V760" s="3"/>
      <c r="W760" s="25"/>
      <c r="X760" s="25"/>
      <c r="Y760" s="25"/>
      <c r="Z760" s="25"/>
      <c r="AA760" s="25"/>
      <c r="AB760" s="3" t="str">
        <f>IF(Caja_Finanzas[[#This Row],[fecha]]&gt;0,TEXT(Caja_Finanzas[[#This Row],[fecha]],"mmmm"),0)</f>
        <v>Agosto</v>
      </c>
    </row>
    <row r="761" spans="1:28" ht="24" x14ac:dyDescent="0.3">
      <c r="A761" s="2">
        <f>IF(Caja_Finanzas[[#This Row],[tipo_r]]="R",COUNTIFS($C$1:$C760,"R")+1,A760)</f>
        <v>680</v>
      </c>
      <c r="B761" s="19" t="str">
        <f t="shared" si="121"/>
        <v>C-Finanzas</v>
      </c>
      <c r="C761" s="3" t="s">
        <v>1330</v>
      </c>
      <c r="D761" s="14">
        <v>45895</v>
      </c>
      <c r="E761" s="5" t="s">
        <v>2502</v>
      </c>
      <c r="F761" s="5" t="s">
        <v>1303</v>
      </c>
      <c r="G761" s="5"/>
      <c r="H761" s="104"/>
      <c r="I761" s="6" t="s">
        <v>119</v>
      </c>
      <c r="J761" s="6">
        <v>1</v>
      </c>
      <c r="K761" s="6">
        <v>4701</v>
      </c>
      <c r="L761" s="7" t="s">
        <v>6118</v>
      </c>
      <c r="M761" s="8" t="str">
        <f>"CFI"&amp;".D"&amp;TEXT(Caja_Finanzas[[#This Row],[fecha]],"DD-MM")&amp;"-"&amp;TEXT(Caja_Finanzas[[#This Row],[item]],"0000")</f>
        <v>CFI.D26-08-0680</v>
      </c>
      <c r="N761" s="8" t="str">
        <f t="shared" si="122"/>
        <v>PEN</v>
      </c>
      <c r="O761" s="13"/>
      <c r="P761" s="13">
        <v>1230</v>
      </c>
      <c r="Q761" s="3">
        <f t="shared" si="123"/>
        <v>1230</v>
      </c>
      <c r="R761" s="3">
        <f t="shared" si="124"/>
        <v>0</v>
      </c>
      <c r="S761" s="3">
        <f t="shared" si="100"/>
        <v>28724.799999999992</v>
      </c>
      <c r="T761" s="24"/>
      <c r="U761" s="24"/>
      <c r="V761" s="3"/>
      <c r="W761" s="25"/>
      <c r="X761" s="25"/>
      <c r="Y761" s="25"/>
      <c r="Z761" s="25"/>
      <c r="AA761" s="25"/>
      <c r="AB761" s="3" t="str">
        <f>IF(Caja_Finanzas[[#This Row],[fecha]]&gt;0,TEXT(Caja_Finanzas[[#This Row],[fecha]],"mmmm"),0)</f>
        <v>Agosto</v>
      </c>
    </row>
    <row r="762" spans="1:28" ht="24" x14ac:dyDescent="0.3">
      <c r="A762" s="2">
        <f>IF(Caja_Finanzas[[#This Row],[tipo_r]]="R",COUNTIFS($C$1:$C761,"R")+1,A761)</f>
        <v>681</v>
      </c>
      <c r="B762" s="19" t="str">
        <f t="shared" ref="B762:B767" si="125">"C-Finanzas"</f>
        <v>C-Finanzas</v>
      </c>
      <c r="C762" s="3" t="s">
        <v>1330</v>
      </c>
      <c r="D762" s="14">
        <v>45896</v>
      </c>
      <c r="E762" s="5" t="s">
        <v>6570</v>
      </c>
      <c r="F762" s="5" t="s">
        <v>1336</v>
      </c>
      <c r="G762" s="5"/>
      <c r="H762" s="104" t="s">
        <v>1009</v>
      </c>
      <c r="I762" s="6" t="s">
        <v>115</v>
      </c>
      <c r="J762" s="6" t="s">
        <v>7187</v>
      </c>
      <c r="K762" s="6">
        <v>145</v>
      </c>
      <c r="L762" s="7" t="s">
        <v>7389</v>
      </c>
      <c r="M762" s="8" t="str">
        <f>"CFI"&amp;".D"&amp;TEXT(Caja_Finanzas[[#This Row],[fecha]],"DD-MM")&amp;"-"&amp;TEXT(Caja_Finanzas[[#This Row],[item]],"0000")</f>
        <v>CFI.D27-08-0681</v>
      </c>
      <c r="N762" s="8" t="str">
        <f t="shared" ref="N762:N767" si="126">"PEN"</f>
        <v>PEN</v>
      </c>
      <c r="O762" s="13"/>
      <c r="P762" s="13">
        <v>60</v>
      </c>
      <c r="Q762" s="3">
        <f t="shared" ref="Q762:Q767" si="127">+IF(OR($F762="SALDO",$F762="INGRESO"),$P762,0)</f>
        <v>0</v>
      </c>
      <c r="R762" s="3">
        <f t="shared" ref="R762:R767" si="128">+IF($F762="EGRESO",$P762,0)</f>
        <v>60</v>
      </c>
      <c r="S762" s="3">
        <f t="shared" si="100"/>
        <v>28664.799999999992</v>
      </c>
      <c r="T762" s="24"/>
      <c r="U762" s="24"/>
      <c r="V762" s="3"/>
      <c r="W762" s="25"/>
      <c r="X762" s="25"/>
      <c r="Y762" s="25"/>
      <c r="Z762" s="25"/>
      <c r="AA762" s="25"/>
      <c r="AB762" s="3" t="str">
        <f>IF(Caja_Finanzas[[#This Row],[fecha]]&gt;0,TEXT(Caja_Finanzas[[#This Row],[fecha]],"mmmm"),0)</f>
        <v>Agosto</v>
      </c>
    </row>
    <row r="763" spans="1:28" ht="24" x14ac:dyDescent="0.3">
      <c r="A763" s="2">
        <f>IF(Caja_Finanzas[[#This Row],[tipo_r]]="R",COUNTIFS($C$1:$C762,"R")+1,A762)</f>
        <v>682</v>
      </c>
      <c r="B763" s="19" t="str">
        <f t="shared" si="125"/>
        <v>C-Finanzas</v>
      </c>
      <c r="C763" s="3" t="s">
        <v>1330</v>
      </c>
      <c r="D763" s="14">
        <v>45896</v>
      </c>
      <c r="E763" s="5" t="s">
        <v>6409</v>
      </c>
      <c r="F763" s="5" t="s">
        <v>1336</v>
      </c>
      <c r="G763" s="5"/>
      <c r="H763" s="104"/>
      <c r="I763" s="6"/>
      <c r="J763" s="6"/>
      <c r="K763" s="6"/>
      <c r="L763" s="7" t="s">
        <v>7390</v>
      </c>
      <c r="M763" s="8" t="str">
        <f>"CFI"&amp;".D"&amp;TEXT(Caja_Finanzas[[#This Row],[fecha]],"DD-MM")&amp;"-"&amp;TEXT(Caja_Finanzas[[#This Row],[item]],"0000")</f>
        <v>CFI.D27-08-0682</v>
      </c>
      <c r="N763" s="8" t="str">
        <f t="shared" si="126"/>
        <v>PEN</v>
      </c>
      <c r="O763" s="13"/>
      <c r="P763" s="13">
        <v>200</v>
      </c>
      <c r="Q763" s="3">
        <f t="shared" si="127"/>
        <v>0</v>
      </c>
      <c r="R763" s="3">
        <f t="shared" si="128"/>
        <v>200</v>
      </c>
      <c r="S763" s="3">
        <f t="shared" si="100"/>
        <v>28464.799999999992</v>
      </c>
      <c r="T763" s="24"/>
      <c r="U763" s="24"/>
      <c r="V763" s="3"/>
      <c r="W763" s="25"/>
      <c r="X763" s="25"/>
      <c r="Y763" s="25"/>
      <c r="Z763" s="25"/>
      <c r="AA763" s="25"/>
      <c r="AB763" s="3" t="str">
        <f>IF(Caja_Finanzas[[#This Row],[fecha]]&gt;0,TEXT(Caja_Finanzas[[#This Row],[fecha]],"mmmm"),0)</f>
        <v>Agosto</v>
      </c>
    </row>
    <row r="764" spans="1:28" ht="24" x14ac:dyDescent="0.3">
      <c r="A764" s="2">
        <f>IF(Caja_Finanzas[[#This Row],[tipo_r]]="R",COUNTIFS($C$1:$C763,"R")+1,A763)</f>
        <v>683</v>
      </c>
      <c r="B764" s="19" t="str">
        <f t="shared" si="125"/>
        <v>C-Finanzas</v>
      </c>
      <c r="C764" s="3" t="s">
        <v>1330</v>
      </c>
      <c r="D764" s="14">
        <v>45896</v>
      </c>
      <c r="E764" s="5" t="s">
        <v>5828</v>
      </c>
      <c r="F764" s="5" t="s">
        <v>1336</v>
      </c>
      <c r="G764" s="5"/>
      <c r="H764" s="104" t="s">
        <v>1009</v>
      </c>
      <c r="I764" s="6" t="s">
        <v>115</v>
      </c>
      <c r="J764" s="6" t="s">
        <v>7302</v>
      </c>
      <c r="K764" s="6">
        <v>51</v>
      </c>
      <c r="L764" s="7" t="s">
        <v>7391</v>
      </c>
      <c r="M764" s="8" t="str">
        <f>"CFI"&amp;".D"&amp;TEXT(Caja_Finanzas[[#This Row],[fecha]],"DD-MM")&amp;"-"&amp;TEXT(Caja_Finanzas[[#This Row],[item]],"0000")</f>
        <v>CFI.D27-08-0683</v>
      </c>
      <c r="N764" s="8" t="str">
        <f t="shared" si="126"/>
        <v>PEN</v>
      </c>
      <c r="O764" s="13"/>
      <c r="P764" s="13">
        <v>60</v>
      </c>
      <c r="Q764" s="3">
        <f t="shared" si="127"/>
        <v>0</v>
      </c>
      <c r="R764" s="3">
        <f t="shared" si="128"/>
        <v>60</v>
      </c>
      <c r="S764" s="3">
        <f t="shared" si="100"/>
        <v>28404.799999999992</v>
      </c>
      <c r="T764" s="24"/>
      <c r="U764" s="24"/>
      <c r="V764" s="3"/>
      <c r="W764" s="25"/>
      <c r="X764" s="25"/>
      <c r="Y764" s="25"/>
      <c r="Z764" s="25"/>
      <c r="AA764" s="25"/>
      <c r="AB764" s="3" t="str">
        <f>IF(Caja_Finanzas[[#This Row],[fecha]]&gt;0,TEXT(Caja_Finanzas[[#This Row],[fecha]],"mmmm"),0)</f>
        <v>Agosto</v>
      </c>
    </row>
    <row r="765" spans="1:28" ht="24" x14ac:dyDescent="0.3">
      <c r="A765" s="2">
        <f>IF(Caja_Finanzas[[#This Row],[tipo_r]]="R",COUNTIFS($C$1:$C764,"R")+1,A764)</f>
        <v>684</v>
      </c>
      <c r="B765" s="19" t="str">
        <f t="shared" si="125"/>
        <v>C-Finanzas</v>
      </c>
      <c r="C765" s="3" t="s">
        <v>1330</v>
      </c>
      <c r="D765" s="14">
        <v>45896</v>
      </c>
      <c r="E765" s="5" t="s">
        <v>6418</v>
      </c>
      <c r="F765" s="5" t="s">
        <v>1336</v>
      </c>
      <c r="G765" s="5"/>
      <c r="H765" s="104"/>
      <c r="I765" s="6"/>
      <c r="J765" s="6"/>
      <c r="K765" s="6"/>
      <c r="L765" s="7" t="s">
        <v>7392</v>
      </c>
      <c r="M765" s="8" t="str">
        <f>"CFI"&amp;".D"&amp;TEXT(Caja_Finanzas[[#This Row],[fecha]],"DD-MM")&amp;"-"&amp;TEXT(Caja_Finanzas[[#This Row],[item]],"0000")</f>
        <v>CFI.D27-08-0684</v>
      </c>
      <c r="N765" s="8" t="str">
        <f t="shared" si="126"/>
        <v>PEN</v>
      </c>
      <c r="O765" s="13"/>
      <c r="P765" s="13">
        <v>8000</v>
      </c>
      <c r="Q765" s="3">
        <f t="shared" si="127"/>
        <v>0</v>
      </c>
      <c r="R765" s="3">
        <f t="shared" si="128"/>
        <v>8000</v>
      </c>
      <c r="S765" s="3">
        <f t="shared" si="100"/>
        <v>20404.799999999992</v>
      </c>
      <c r="T765" s="24"/>
      <c r="U765" s="24"/>
      <c r="V765" s="3"/>
      <c r="W765" s="25"/>
      <c r="X765" s="25"/>
      <c r="Y765" s="25"/>
      <c r="Z765" s="25"/>
      <c r="AA765" s="25"/>
      <c r="AB765" s="3" t="str">
        <f>IF(Caja_Finanzas[[#This Row],[fecha]]&gt;0,TEXT(Caja_Finanzas[[#This Row],[fecha]],"mmmm"),0)</f>
        <v>Agosto</v>
      </c>
    </row>
    <row r="766" spans="1:28" ht="24" x14ac:dyDescent="0.3">
      <c r="A766" s="2">
        <f>IF(Caja_Finanzas[[#This Row],[tipo_r]]="R",COUNTIFS($C$1:$C765,"R")+1,A765)</f>
        <v>685</v>
      </c>
      <c r="B766" s="19" t="str">
        <f t="shared" si="125"/>
        <v>C-Finanzas</v>
      </c>
      <c r="C766" s="3" t="s">
        <v>1330</v>
      </c>
      <c r="D766" s="14">
        <v>45898</v>
      </c>
      <c r="E766" s="5" t="s">
        <v>5828</v>
      </c>
      <c r="F766" s="5" t="s">
        <v>1303</v>
      </c>
      <c r="G766" s="5"/>
      <c r="H766" s="104"/>
      <c r="I766" s="6"/>
      <c r="J766" s="6"/>
      <c r="K766" s="6"/>
      <c r="L766" s="7" t="s">
        <v>7393</v>
      </c>
      <c r="M766" s="8" t="str">
        <f>"CFI"&amp;".D"&amp;TEXT(Caja_Finanzas[[#This Row],[fecha]],"DD-MM")&amp;"-"&amp;TEXT(Caja_Finanzas[[#This Row],[item]],"0000")</f>
        <v>CFI.D29-08-0685</v>
      </c>
      <c r="N766" s="8" t="str">
        <f t="shared" si="126"/>
        <v>PEN</v>
      </c>
      <c r="O766" s="13"/>
      <c r="P766" s="13">
        <v>300</v>
      </c>
      <c r="Q766" s="3">
        <f t="shared" si="127"/>
        <v>300</v>
      </c>
      <c r="R766" s="3">
        <f t="shared" si="128"/>
        <v>0</v>
      </c>
      <c r="S766" s="3">
        <f t="shared" si="100"/>
        <v>20704.799999999992</v>
      </c>
      <c r="T766" s="24"/>
      <c r="U766" s="24"/>
      <c r="V766" s="3"/>
      <c r="W766" s="25"/>
      <c r="X766" s="25"/>
      <c r="Y766" s="25"/>
      <c r="Z766" s="25"/>
      <c r="AA766" s="25"/>
      <c r="AB766" s="3" t="str">
        <f>IF(Caja_Finanzas[[#This Row],[fecha]]&gt;0,TEXT(Caja_Finanzas[[#This Row],[fecha]],"mmmm"),0)</f>
        <v>Agosto</v>
      </c>
    </row>
    <row r="767" spans="1:28" x14ac:dyDescent="0.3">
      <c r="A767" s="2">
        <f>IF(Caja_Finanzas[[#This Row],[tipo_r]]="R",COUNTIFS($C$1:$C766,"R")+1,A766)</f>
        <v>686</v>
      </c>
      <c r="B767" s="19" t="str">
        <f t="shared" si="125"/>
        <v>C-Finanzas</v>
      </c>
      <c r="C767" s="3" t="s">
        <v>1330</v>
      </c>
      <c r="D767" s="14">
        <v>45898</v>
      </c>
      <c r="E767" s="5" t="s">
        <v>5828</v>
      </c>
      <c r="F767" s="5" t="s">
        <v>1336</v>
      </c>
      <c r="G767" s="5"/>
      <c r="H767" s="104"/>
      <c r="I767" s="6"/>
      <c r="J767" s="6"/>
      <c r="K767" s="6"/>
      <c r="L767" s="7" t="s">
        <v>7394</v>
      </c>
      <c r="M767" s="8" t="str">
        <f>"CFI"&amp;".D"&amp;TEXT(Caja_Finanzas[[#This Row],[fecha]],"DD-MM")&amp;"-"&amp;TEXT(Caja_Finanzas[[#This Row],[item]],"0000")</f>
        <v>CFI.D29-08-0686</v>
      </c>
      <c r="N767" s="8" t="str">
        <f t="shared" si="126"/>
        <v>PEN</v>
      </c>
      <c r="O767" s="13"/>
      <c r="P767" s="13">
        <v>17440</v>
      </c>
      <c r="Q767" s="3">
        <f t="shared" si="127"/>
        <v>0</v>
      </c>
      <c r="R767" s="3">
        <f t="shared" si="128"/>
        <v>17440</v>
      </c>
      <c r="S767" s="3">
        <f t="shared" si="100"/>
        <v>3264.799999999992</v>
      </c>
      <c r="T767" s="24"/>
      <c r="U767" s="24"/>
      <c r="V767" s="3"/>
      <c r="W767" s="25"/>
      <c r="X767" s="25"/>
      <c r="Y767" s="25"/>
      <c r="Z767" s="25"/>
      <c r="AA767" s="25"/>
      <c r="AB767" s="3" t="str">
        <f>IF(Caja_Finanzas[[#This Row],[fecha]]&gt;0,TEXT(Caja_Finanzas[[#This Row],[fecha]],"mmmm"),0)</f>
        <v>Agosto</v>
      </c>
    </row>
    <row r="768" spans="1:28" ht="24" x14ac:dyDescent="0.3">
      <c r="A768" s="2">
        <f>IF(Caja_Finanzas[[#This Row],[tipo_r]]="R",COUNTIFS($C$1:$C767,"R")+1,A767)</f>
        <v>687</v>
      </c>
      <c r="B768" s="19" t="str">
        <f t="shared" ref="B768:B775" si="129">"C-Finanzas"</f>
        <v>C-Finanzas</v>
      </c>
      <c r="C768" s="3" t="s">
        <v>1330</v>
      </c>
      <c r="D768" s="14">
        <v>45902</v>
      </c>
      <c r="E768" s="5" t="s">
        <v>6731</v>
      </c>
      <c r="F768" s="5" t="s">
        <v>1336</v>
      </c>
      <c r="G768" s="5"/>
      <c r="H768" s="104" t="s">
        <v>1009</v>
      </c>
      <c r="I768" s="6" t="s">
        <v>115</v>
      </c>
      <c r="J768" s="6" t="s">
        <v>7187</v>
      </c>
      <c r="K768" s="6">
        <v>146</v>
      </c>
      <c r="L768" s="7" t="s">
        <v>7395</v>
      </c>
      <c r="M768" s="8" t="str">
        <f>"CFI"&amp;".D"&amp;TEXT(Caja_Finanzas[[#This Row],[fecha]],"DD-MM")&amp;"-"&amp;TEXT(Caja_Finanzas[[#This Row],[item]],"0000")</f>
        <v>CFI.D02-09-0687</v>
      </c>
      <c r="N768" s="8" t="str">
        <f t="shared" ref="N768:N775" si="130">"PEN"</f>
        <v>PEN</v>
      </c>
      <c r="O768" s="13"/>
      <c r="P768" s="13">
        <v>7</v>
      </c>
      <c r="Q768" s="3">
        <f t="shared" ref="Q768:Q775" si="131">+IF(OR($F768="SALDO",$F768="INGRESO"),$P768,0)</f>
        <v>0</v>
      </c>
      <c r="R768" s="3">
        <f t="shared" ref="R768:R775" si="132">+IF($F768="EGRESO",$P768,0)</f>
        <v>7</v>
      </c>
      <c r="S768" s="3">
        <f t="shared" si="100"/>
        <v>3257.799999999992</v>
      </c>
      <c r="T768" s="24"/>
      <c r="U768" s="24"/>
      <c r="V768" s="3"/>
      <c r="W768" s="25"/>
      <c r="X768" s="25"/>
      <c r="Y768" s="25"/>
      <c r="Z768" s="25"/>
      <c r="AA768" s="25"/>
      <c r="AB768" s="3" t="str">
        <f>IF(Caja_Finanzas[[#This Row],[fecha]]&gt;0,TEXT(Caja_Finanzas[[#This Row],[fecha]],"mmmm"),0)</f>
        <v>Setiembre</v>
      </c>
    </row>
    <row r="769" spans="1:28" ht="24" x14ac:dyDescent="0.3">
      <c r="A769" s="2">
        <f>IF(Caja_Finanzas[[#This Row],[tipo_r]]="R",COUNTIFS($C$1:$C768,"R")+1,A768)</f>
        <v>688</v>
      </c>
      <c r="B769" s="19" t="str">
        <f t="shared" si="129"/>
        <v>C-Finanzas</v>
      </c>
      <c r="C769" s="3" t="s">
        <v>1330</v>
      </c>
      <c r="D769" s="14">
        <v>45902</v>
      </c>
      <c r="E769" s="5" t="s">
        <v>6451</v>
      </c>
      <c r="F769" s="5" t="s">
        <v>1336</v>
      </c>
      <c r="G769" s="5"/>
      <c r="H769" s="104" t="s">
        <v>1009</v>
      </c>
      <c r="I769" s="6" t="s">
        <v>115</v>
      </c>
      <c r="J769" s="6" t="s">
        <v>7299</v>
      </c>
      <c r="K769" s="6">
        <v>131</v>
      </c>
      <c r="L769" s="7" t="s">
        <v>7396</v>
      </c>
      <c r="M769" s="8" t="str">
        <f>"CFI"&amp;".D"&amp;TEXT(Caja_Finanzas[[#This Row],[fecha]],"DD-MM")&amp;"-"&amp;TEXT(Caja_Finanzas[[#This Row],[item]],"0000")</f>
        <v>CFI.D02-09-0688</v>
      </c>
      <c r="N769" s="8" t="str">
        <f t="shared" si="130"/>
        <v>PEN</v>
      </c>
      <c r="O769" s="13"/>
      <c r="P769" s="13">
        <v>20</v>
      </c>
      <c r="Q769" s="3">
        <f t="shared" si="131"/>
        <v>0</v>
      </c>
      <c r="R769" s="3">
        <f t="shared" si="132"/>
        <v>20</v>
      </c>
      <c r="S769" s="3">
        <f t="shared" si="100"/>
        <v>3237.799999999992</v>
      </c>
      <c r="T769" s="24"/>
      <c r="U769" s="24"/>
      <c r="V769" s="3"/>
      <c r="W769" s="25"/>
      <c r="X769" s="25"/>
      <c r="Y769" s="25"/>
      <c r="Z769" s="25"/>
      <c r="AA769" s="25"/>
      <c r="AB769" s="3" t="str">
        <f>IF(Caja_Finanzas[[#This Row],[fecha]]&gt;0,TEXT(Caja_Finanzas[[#This Row],[fecha]],"mmmm"),0)</f>
        <v>Setiembre</v>
      </c>
    </row>
    <row r="770" spans="1:28" ht="36" x14ac:dyDescent="0.3">
      <c r="A770" s="2">
        <f>IF(Caja_Finanzas[[#This Row],[tipo_r]]="R",COUNTIFS($C$1:$C769,"R")+1,A769)</f>
        <v>689</v>
      </c>
      <c r="B770" s="19" t="str">
        <f t="shared" si="129"/>
        <v>C-Finanzas</v>
      </c>
      <c r="C770" s="3" t="s">
        <v>1330</v>
      </c>
      <c r="D770" s="14">
        <v>45902</v>
      </c>
      <c r="E770" s="5" t="s">
        <v>7397</v>
      </c>
      <c r="F770" s="5" t="s">
        <v>1336</v>
      </c>
      <c r="G770" s="5"/>
      <c r="H770" s="104" t="s">
        <v>1009</v>
      </c>
      <c r="I770" s="6" t="s">
        <v>115</v>
      </c>
      <c r="J770" s="6" t="s">
        <v>7304</v>
      </c>
      <c r="K770" s="6">
        <v>2</v>
      </c>
      <c r="L770" s="7" t="s">
        <v>7398</v>
      </c>
      <c r="M770" s="8" t="str">
        <f>"CFI"&amp;".D"&amp;TEXT(Caja_Finanzas[[#This Row],[fecha]],"DD-MM")&amp;"-"&amp;TEXT(Caja_Finanzas[[#This Row],[item]],"0000")</f>
        <v>CFI.D02-09-0689</v>
      </c>
      <c r="N770" s="8" t="str">
        <f t="shared" si="130"/>
        <v>PEN</v>
      </c>
      <c r="O770" s="13"/>
      <c r="P770" s="13">
        <v>26</v>
      </c>
      <c r="Q770" s="3">
        <f t="shared" si="131"/>
        <v>0</v>
      </c>
      <c r="R770" s="3">
        <f t="shared" si="132"/>
        <v>26</v>
      </c>
      <c r="S770" s="3">
        <f t="shared" ref="S770:S833" si="133">IFERROR(IF(F770="SALDO",Q770,S769+Q770-R770),0)</f>
        <v>3211.799999999992</v>
      </c>
      <c r="T770" s="24"/>
      <c r="U770" s="24"/>
      <c r="V770" s="3"/>
      <c r="W770" s="25"/>
      <c r="X770" s="25"/>
      <c r="Y770" s="25"/>
      <c r="Z770" s="25"/>
      <c r="AA770" s="25"/>
      <c r="AB770" s="3" t="str">
        <f>IF(Caja_Finanzas[[#This Row],[fecha]]&gt;0,TEXT(Caja_Finanzas[[#This Row],[fecha]],"mmmm"),0)</f>
        <v>Setiembre</v>
      </c>
    </row>
    <row r="771" spans="1:28" ht="24" x14ac:dyDescent="0.3">
      <c r="A771" s="2">
        <f>IF(Caja_Finanzas[[#This Row],[tipo_r]]="R",COUNTIFS($C$1:$C770,"R")+1,A770)</f>
        <v>690</v>
      </c>
      <c r="B771" s="19" t="str">
        <f t="shared" si="129"/>
        <v>C-Finanzas</v>
      </c>
      <c r="C771" s="3" t="s">
        <v>1330</v>
      </c>
      <c r="D771" s="14">
        <v>45903</v>
      </c>
      <c r="E771" s="5" t="s">
        <v>5828</v>
      </c>
      <c r="F771" s="5" t="s">
        <v>1336</v>
      </c>
      <c r="G771" s="5"/>
      <c r="H771" s="104" t="s">
        <v>1009</v>
      </c>
      <c r="I771" s="6" t="s">
        <v>115</v>
      </c>
      <c r="J771" s="6" t="s">
        <v>7302</v>
      </c>
      <c r="K771" s="6">
        <v>52</v>
      </c>
      <c r="L771" s="7" t="s">
        <v>7399</v>
      </c>
      <c r="M771" s="8" t="str">
        <f>"CFI"&amp;".D"&amp;TEXT(Caja_Finanzas[[#This Row],[fecha]],"DD-MM")&amp;"-"&amp;TEXT(Caja_Finanzas[[#This Row],[item]],"0000")</f>
        <v>CFI.D03-09-0690</v>
      </c>
      <c r="N771" s="8" t="str">
        <f t="shared" si="130"/>
        <v>PEN</v>
      </c>
      <c r="O771" s="13"/>
      <c r="P771" s="13">
        <v>4.5</v>
      </c>
      <c r="Q771" s="3">
        <f t="shared" si="131"/>
        <v>0</v>
      </c>
      <c r="R771" s="3">
        <f t="shared" si="132"/>
        <v>4.5</v>
      </c>
      <c r="S771" s="3">
        <f t="shared" si="133"/>
        <v>3207.299999999992</v>
      </c>
      <c r="T771" s="24"/>
      <c r="U771" s="24"/>
      <c r="V771" s="3"/>
      <c r="W771" s="25"/>
      <c r="X771" s="25"/>
      <c r="Y771" s="25"/>
      <c r="Z771" s="25"/>
      <c r="AA771" s="25"/>
      <c r="AB771" s="3" t="str">
        <f>IF(Caja_Finanzas[[#This Row],[fecha]]&gt;0,TEXT(Caja_Finanzas[[#This Row],[fecha]],"mmmm"),0)</f>
        <v>Setiembre</v>
      </c>
    </row>
    <row r="772" spans="1:28" ht="24" x14ac:dyDescent="0.3">
      <c r="A772" s="2">
        <f>IF(Caja_Finanzas[[#This Row],[tipo_r]]="R",COUNTIFS($C$1:$C771,"R")+1,A771)</f>
        <v>691</v>
      </c>
      <c r="B772" s="19" t="str">
        <f t="shared" si="129"/>
        <v>C-Finanzas</v>
      </c>
      <c r="C772" s="3" t="s">
        <v>1330</v>
      </c>
      <c r="D772" s="14">
        <v>45903</v>
      </c>
      <c r="E772" s="5" t="s">
        <v>1875</v>
      </c>
      <c r="F772" s="5" t="s">
        <v>1303</v>
      </c>
      <c r="G772" s="5"/>
      <c r="H772" s="104"/>
      <c r="I772" s="6" t="s">
        <v>119</v>
      </c>
      <c r="J772" s="6">
        <v>1</v>
      </c>
      <c r="K772" s="6">
        <v>4719</v>
      </c>
      <c r="L772" s="7" t="s">
        <v>6118</v>
      </c>
      <c r="M772" s="8" t="str">
        <f>"CFI"&amp;".D"&amp;TEXT(Caja_Finanzas[[#This Row],[fecha]],"DD-MM")&amp;"-"&amp;TEXT(Caja_Finanzas[[#This Row],[item]],"0000")</f>
        <v>CFI.D03-09-0691</v>
      </c>
      <c r="N772" s="8" t="str">
        <f t="shared" si="130"/>
        <v>PEN</v>
      </c>
      <c r="O772" s="13"/>
      <c r="P772" s="13">
        <v>1312</v>
      </c>
      <c r="Q772" s="3">
        <f t="shared" si="131"/>
        <v>1312</v>
      </c>
      <c r="R772" s="3">
        <f t="shared" si="132"/>
        <v>0</v>
      </c>
      <c r="S772" s="3">
        <f t="shared" si="133"/>
        <v>4519.299999999992</v>
      </c>
      <c r="T772" s="24"/>
      <c r="U772" s="24"/>
      <c r="V772" s="3"/>
      <c r="W772" s="25"/>
      <c r="X772" s="25"/>
      <c r="Y772" s="25"/>
      <c r="Z772" s="25"/>
      <c r="AA772" s="25"/>
      <c r="AB772" s="3" t="str">
        <f>IF(Caja_Finanzas[[#This Row],[fecha]]&gt;0,TEXT(Caja_Finanzas[[#This Row],[fecha]],"mmmm"),0)</f>
        <v>Setiembre</v>
      </c>
    </row>
    <row r="773" spans="1:28" ht="24" x14ac:dyDescent="0.3">
      <c r="A773" s="2">
        <f>IF(Caja_Finanzas[[#This Row],[tipo_r]]="R",COUNTIFS($C$1:$C772,"R")+1,A772)</f>
        <v>692</v>
      </c>
      <c r="B773" s="19" t="str">
        <f t="shared" si="129"/>
        <v>C-Finanzas</v>
      </c>
      <c r="C773" s="3" t="s">
        <v>1330</v>
      </c>
      <c r="D773" s="14">
        <v>45903</v>
      </c>
      <c r="E773" s="5" t="s">
        <v>1825</v>
      </c>
      <c r="F773" s="5" t="s">
        <v>1303</v>
      </c>
      <c r="G773" s="5"/>
      <c r="H773" s="104"/>
      <c r="I773" s="6" t="s">
        <v>119</v>
      </c>
      <c r="J773" s="6">
        <v>1</v>
      </c>
      <c r="K773" s="6">
        <v>4711</v>
      </c>
      <c r="L773" s="7" t="s">
        <v>6118</v>
      </c>
      <c r="M773" s="8" t="str">
        <f>"CFI"&amp;".D"&amp;TEXT(Caja_Finanzas[[#This Row],[fecha]],"DD-MM")&amp;"-"&amp;TEXT(Caja_Finanzas[[#This Row],[item]],"0000")</f>
        <v>CFI.D03-09-0692</v>
      </c>
      <c r="N773" s="8" t="str">
        <f t="shared" si="130"/>
        <v>PEN</v>
      </c>
      <c r="O773" s="13"/>
      <c r="P773" s="13">
        <v>0.9</v>
      </c>
      <c r="Q773" s="3">
        <f t="shared" si="131"/>
        <v>0.9</v>
      </c>
      <c r="R773" s="3">
        <f t="shared" si="132"/>
        <v>0</v>
      </c>
      <c r="S773" s="3">
        <f t="shared" si="133"/>
        <v>4520.1999999999916</v>
      </c>
      <c r="T773" s="24"/>
      <c r="U773" s="24"/>
      <c r="V773" s="3"/>
      <c r="W773" s="25"/>
      <c r="X773" s="25"/>
      <c r="Y773" s="25"/>
      <c r="Z773" s="25"/>
      <c r="AA773" s="25"/>
      <c r="AB773" s="3" t="str">
        <f>IF(Caja_Finanzas[[#This Row],[fecha]]&gt;0,TEXT(Caja_Finanzas[[#This Row],[fecha]],"mmmm"),0)</f>
        <v>Setiembre</v>
      </c>
    </row>
    <row r="774" spans="1:28" ht="24" x14ac:dyDescent="0.3">
      <c r="A774" s="2">
        <f>IF(Caja_Finanzas[[#This Row],[tipo_r]]="R",COUNTIFS($C$1:$C773,"R")+1,A773)</f>
        <v>693</v>
      </c>
      <c r="B774" s="19" t="str">
        <f t="shared" si="129"/>
        <v>C-Finanzas</v>
      </c>
      <c r="C774" s="3" t="s">
        <v>1330</v>
      </c>
      <c r="D774" s="14">
        <v>45903</v>
      </c>
      <c r="E774" s="5" t="s">
        <v>1875</v>
      </c>
      <c r="F774" s="5" t="s">
        <v>1303</v>
      </c>
      <c r="G774" s="5"/>
      <c r="H774" s="104"/>
      <c r="I774" s="6" t="s">
        <v>119</v>
      </c>
      <c r="J774" s="6">
        <v>1</v>
      </c>
      <c r="K774" s="6">
        <v>4718</v>
      </c>
      <c r="L774" s="7" t="s">
        <v>6118</v>
      </c>
      <c r="M774" s="8" t="str">
        <f>"CFI"&amp;".D"&amp;TEXT(Caja_Finanzas[[#This Row],[fecha]],"DD-MM")&amp;"-"&amp;TEXT(Caja_Finanzas[[#This Row],[item]],"0000")</f>
        <v>CFI.D03-09-0693</v>
      </c>
      <c r="N774" s="8" t="str">
        <f t="shared" si="130"/>
        <v>PEN</v>
      </c>
      <c r="O774" s="13"/>
      <c r="P774" s="13">
        <v>324</v>
      </c>
      <c r="Q774" s="3">
        <f t="shared" si="131"/>
        <v>324</v>
      </c>
      <c r="R774" s="3">
        <f t="shared" si="132"/>
        <v>0</v>
      </c>
      <c r="S774" s="3">
        <f t="shared" si="133"/>
        <v>4844.1999999999916</v>
      </c>
      <c r="T774" s="24"/>
      <c r="U774" s="24"/>
      <c r="V774" s="3"/>
      <c r="W774" s="25"/>
      <c r="X774" s="25"/>
      <c r="Y774" s="25"/>
      <c r="Z774" s="25"/>
      <c r="AA774" s="25"/>
      <c r="AB774" s="3" t="str">
        <f>IF(Caja_Finanzas[[#This Row],[fecha]]&gt;0,TEXT(Caja_Finanzas[[#This Row],[fecha]],"mmmm"),0)</f>
        <v>Setiembre</v>
      </c>
    </row>
    <row r="775" spans="1:28" ht="24" x14ac:dyDescent="0.3">
      <c r="A775" s="2">
        <f>IF(Caja_Finanzas[[#This Row],[tipo_r]]="R",COUNTIFS($C$1:$C774,"R")+1,A774)</f>
        <v>694</v>
      </c>
      <c r="B775" s="19" t="str">
        <f t="shared" si="129"/>
        <v>C-Finanzas</v>
      </c>
      <c r="C775" s="3" t="s">
        <v>1330</v>
      </c>
      <c r="D775" s="14">
        <v>45903</v>
      </c>
      <c r="E775" s="5" t="s">
        <v>2409</v>
      </c>
      <c r="F775" s="5" t="s">
        <v>1303</v>
      </c>
      <c r="G775" s="5"/>
      <c r="H775" s="104"/>
      <c r="I775" s="6" t="s">
        <v>119</v>
      </c>
      <c r="J775" s="6">
        <v>1</v>
      </c>
      <c r="K775" s="6">
        <v>4721</v>
      </c>
      <c r="L775" s="7" t="s">
        <v>6118</v>
      </c>
      <c r="M775" s="8" t="str">
        <f>"CFI"&amp;".D"&amp;TEXT(Caja_Finanzas[[#This Row],[fecha]],"DD-MM")&amp;"-"&amp;TEXT(Caja_Finanzas[[#This Row],[item]],"0000")</f>
        <v>CFI.D03-09-0694</v>
      </c>
      <c r="N775" s="8" t="str">
        <f t="shared" si="130"/>
        <v>PEN</v>
      </c>
      <c r="O775" s="13"/>
      <c r="P775" s="13">
        <v>100</v>
      </c>
      <c r="Q775" s="3">
        <f t="shared" si="131"/>
        <v>100</v>
      </c>
      <c r="R775" s="3">
        <f t="shared" si="132"/>
        <v>0</v>
      </c>
      <c r="S775" s="3">
        <f t="shared" si="133"/>
        <v>4944.1999999999916</v>
      </c>
      <c r="T775" s="24"/>
      <c r="U775" s="24"/>
      <c r="V775" s="3"/>
      <c r="W775" s="25"/>
      <c r="X775" s="25"/>
      <c r="Y775" s="25"/>
      <c r="Z775" s="25"/>
      <c r="AA775" s="25"/>
      <c r="AB775" s="3" t="str">
        <f>IF(Caja_Finanzas[[#This Row],[fecha]]&gt;0,TEXT(Caja_Finanzas[[#This Row],[fecha]],"mmmm"),0)</f>
        <v>Setiembre</v>
      </c>
    </row>
    <row r="776" spans="1:28" ht="24" x14ac:dyDescent="0.3">
      <c r="A776" s="2">
        <f>IF(Caja_Finanzas[[#This Row],[tipo_r]]="R",COUNTIFS($C$1:$C775,"R")+1,A775)</f>
        <v>695</v>
      </c>
      <c r="B776" s="19" t="str">
        <f t="shared" ref="B776:B792" si="134">"C-Finanzas"</f>
        <v>C-Finanzas</v>
      </c>
      <c r="C776" s="3" t="s">
        <v>1330</v>
      </c>
      <c r="D776" s="14">
        <v>45904</v>
      </c>
      <c r="E776" s="5" t="s">
        <v>2374</v>
      </c>
      <c r="F776" s="5" t="s">
        <v>1303</v>
      </c>
      <c r="G776" s="5"/>
      <c r="H776" s="104"/>
      <c r="I776" s="6" t="s">
        <v>119</v>
      </c>
      <c r="J776" s="6">
        <v>1</v>
      </c>
      <c r="K776" s="6">
        <v>4720</v>
      </c>
      <c r="L776" s="7" t="s">
        <v>6118</v>
      </c>
      <c r="M776" s="8" t="str">
        <f>"CFI"&amp;".D"&amp;TEXT(Caja_Finanzas[[#This Row],[fecha]],"DD-MM")&amp;"-"&amp;TEXT(Caja_Finanzas[[#This Row],[item]],"0000")</f>
        <v>CFI.D04-09-0695</v>
      </c>
      <c r="N776" s="8" t="str">
        <f t="shared" ref="N776:N792" si="135">"PEN"</f>
        <v>PEN</v>
      </c>
      <c r="O776" s="13"/>
      <c r="P776" s="13">
        <v>780</v>
      </c>
      <c r="Q776" s="3">
        <f t="shared" ref="Q776:Q792" si="136">+IF(OR($F776="SALDO",$F776="INGRESO"),$P776,0)</f>
        <v>780</v>
      </c>
      <c r="R776" s="3">
        <f t="shared" ref="R776:R792" si="137">+IF($F776="EGRESO",$P776,0)</f>
        <v>0</v>
      </c>
      <c r="S776" s="3">
        <f>IFERROR(IF(F776="SALDO",Q776,S775+Q776-R776),0)</f>
        <v>5724.1999999999916</v>
      </c>
      <c r="T776" s="24"/>
      <c r="U776" s="24"/>
      <c r="V776" s="3"/>
      <c r="W776" s="25"/>
      <c r="X776" s="25"/>
      <c r="Y776" s="25"/>
      <c r="Z776" s="25"/>
      <c r="AA776" s="25"/>
      <c r="AB776" s="3" t="str">
        <f>IF(Caja_Finanzas[[#This Row],[fecha]]&gt;0,TEXT(Caja_Finanzas[[#This Row],[fecha]],"mmmm"),0)</f>
        <v>Setiembre</v>
      </c>
    </row>
    <row r="777" spans="1:28" ht="24" x14ac:dyDescent="0.3">
      <c r="A777" s="2">
        <f>IF(Caja_Finanzas[[#This Row],[tipo_r]]="R",COUNTIFS($C$1:$C776,"R")+1,A776)</f>
        <v>696</v>
      </c>
      <c r="B777" s="19" t="str">
        <f t="shared" si="134"/>
        <v>C-Finanzas</v>
      </c>
      <c r="C777" s="3" t="s">
        <v>1330</v>
      </c>
      <c r="D777" s="14">
        <v>45905</v>
      </c>
      <c r="E777" s="5"/>
      <c r="F777" s="5" t="s">
        <v>1303</v>
      </c>
      <c r="G777" s="5"/>
      <c r="H777" s="104"/>
      <c r="I777" s="6"/>
      <c r="J777" s="6"/>
      <c r="K777" s="6"/>
      <c r="L777" s="7" t="s">
        <v>7400</v>
      </c>
      <c r="M777" s="8" t="str">
        <f>"CFI"&amp;".D"&amp;TEXT(Caja_Finanzas[[#This Row],[fecha]],"DD-MM")&amp;"-"&amp;TEXT(Caja_Finanzas[[#This Row],[item]],"0000")</f>
        <v>CFI.D05-09-0696</v>
      </c>
      <c r="N777" s="8" t="str">
        <f t="shared" si="135"/>
        <v>PEN</v>
      </c>
      <c r="O777" s="13"/>
      <c r="P777" s="13">
        <v>642.5</v>
      </c>
      <c r="Q777" s="3">
        <f t="shared" si="136"/>
        <v>642.5</v>
      </c>
      <c r="R777" s="3">
        <f t="shared" si="137"/>
        <v>0</v>
      </c>
      <c r="S777" s="3">
        <f t="shared" si="133"/>
        <v>6366.6999999999916</v>
      </c>
      <c r="T777" s="24"/>
      <c r="U777" s="24"/>
      <c r="V777" s="3"/>
      <c r="W777" s="25"/>
      <c r="X777" s="25"/>
      <c r="Y777" s="25"/>
      <c r="Z777" s="25"/>
      <c r="AA777" s="25"/>
      <c r="AB777" s="3" t="str">
        <f>IF(Caja_Finanzas[[#This Row],[fecha]]&gt;0,TEXT(Caja_Finanzas[[#This Row],[fecha]],"mmmm"),0)</f>
        <v>Setiembre</v>
      </c>
    </row>
    <row r="778" spans="1:28" x14ac:dyDescent="0.3">
      <c r="A778" s="2">
        <f>IF(Caja_Finanzas[[#This Row],[tipo_r]]="R",COUNTIFS($C$1:$C777,"R")+1,A777)</f>
        <v>696</v>
      </c>
      <c r="B778" s="19" t="str">
        <f t="shared" ref="B778:B787" si="138">"C-Finanzas"</f>
        <v>C-Finanzas</v>
      </c>
      <c r="C778" s="3" t="s">
        <v>1352</v>
      </c>
      <c r="D778" s="14"/>
      <c r="E778" s="5"/>
      <c r="F778" s="5"/>
      <c r="G778" s="5"/>
      <c r="H778" s="104"/>
      <c r="I778" s="6"/>
      <c r="J778" s="6"/>
      <c r="K778" s="6"/>
      <c r="L778" s="7"/>
      <c r="M778" s="8" t="str">
        <f>"CFI"&amp;".D"&amp;TEXT(Caja_Finanzas[[#This Row],[fecha]],"DD-MM")&amp;"-"&amp;TEXT(Caja_Finanzas[[#This Row],[item]],"0000")</f>
        <v>CFI.D00-01-0696</v>
      </c>
      <c r="N778" s="8" t="str">
        <f t="shared" ref="N778:N787" si="139">"PEN"</f>
        <v>PEN</v>
      </c>
      <c r="O778" s="13"/>
      <c r="P778" s="13"/>
      <c r="Q778" s="3">
        <f t="shared" ref="Q778:Q787" si="140">+IF(OR($F778="SALDO",$F778="INGRESO"),$P778,0)</f>
        <v>0</v>
      </c>
      <c r="R778" s="3">
        <f t="shared" ref="R778:R787" si="141">+IF($F778="EGRESO",$P778,0)</f>
        <v>0</v>
      </c>
      <c r="S778" s="3">
        <f t="shared" si="133"/>
        <v>6366.6999999999916</v>
      </c>
      <c r="T778" s="24"/>
      <c r="U778" s="24"/>
      <c r="V778" s="3"/>
      <c r="W778" s="25"/>
      <c r="X778" s="25"/>
      <c r="Y778" s="25"/>
      <c r="Z778" s="25"/>
      <c r="AA778" s="25"/>
      <c r="AB778" s="3">
        <f>IF(Caja_Finanzas[[#This Row],[fecha]]&gt;0,TEXT(Caja_Finanzas[[#This Row],[fecha]],"mmmm"),0)</f>
        <v>0</v>
      </c>
    </row>
    <row r="779" spans="1:28" x14ac:dyDescent="0.3">
      <c r="A779" s="2">
        <f>IF(Caja_Finanzas[[#This Row],[tipo_r]]="R",COUNTIFS($C$1:$C778,"R")+1,A778)</f>
        <v>696</v>
      </c>
      <c r="B779" s="19" t="str">
        <f t="shared" si="138"/>
        <v>C-Finanzas</v>
      </c>
      <c r="C779" s="3" t="s">
        <v>1352</v>
      </c>
      <c r="D779" s="14"/>
      <c r="E779" s="5"/>
      <c r="F779" s="5"/>
      <c r="G779" s="5"/>
      <c r="H779" s="104"/>
      <c r="I779" s="6"/>
      <c r="J779" s="6"/>
      <c r="K779" s="6"/>
      <c r="L779" s="7"/>
      <c r="M779" s="8" t="str">
        <f>"CFI"&amp;".D"&amp;TEXT(Caja_Finanzas[[#This Row],[fecha]],"DD-MM")&amp;"-"&amp;TEXT(Caja_Finanzas[[#This Row],[item]],"0000")</f>
        <v>CFI.D00-01-0696</v>
      </c>
      <c r="N779" s="8" t="str">
        <f t="shared" si="139"/>
        <v>PEN</v>
      </c>
      <c r="O779" s="13"/>
      <c r="P779" s="13"/>
      <c r="Q779" s="3">
        <f t="shared" si="140"/>
        <v>0</v>
      </c>
      <c r="R779" s="3">
        <f t="shared" si="141"/>
        <v>0</v>
      </c>
      <c r="S779" s="3">
        <f t="shared" si="133"/>
        <v>6366.6999999999916</v>
      </c>
      <c r="T779" s="24"/>
      <c r="U779" s="24"/>
      <c r="V779" s="3"/>
      <c r="W779" s="25"/>
      <c r="X779" s="25"/>
      <c r="Y779" s="25"/>
      <c r="Z779" s="25"/>
      <c r="AA779" s="25"/>
      <c r="AB779" s="3">
        <f>IF(Caja_Finanzas[[#This Row],[fecha]]&gt;0,TEXT(Caja_Finanzas[[#This Row],[fecha]],"mmmm"),0)</f>
        <v>0</v>
      </c>
    </row>
    <row r="780" spans="1:28" x14ac:dyDescent="0.3">
      <c r="A780" s="2">
        <f>IF(Caja_Finanzas[[#This Row],[tipo_r]]="R",COUNTIFS($C$1:$C779,"R")+1,A779)</f>
        <v>696</v>
      </c>
      <c r="B780" s="19" t="str">
        <f t="shared" si="138"/>
        <v>C-Finanzas</v>
      </c>
      <c r="C780" s="3" t="s">
        <v>1352</v>
      </c>
      <c r="D780" s="14"/>
      <c r="E780" s="5"/>
      <c r="F780" s="5"/>
      <c r="G780" s="5"/>
      <c r="H780" s="104"/>
      <c r="I780" s="6"/>
      <c r="J780" s="6"/>
      <c r="K780" s="6"/>
      <c r="L780" s="7"/>
      <c r="M780" s="8" t="str">
        <f>"CFI"&amp;".D"&amp;TEXT(Caja_Finanzas[[#This Row],[fecha]],"DD-MM")&amp;"-"&amp;TEXT(Caja_Finanzas[[#This Row],[item]],"0000")</f>
        <v>CFI.D00-01-0696</v>
      </c>
      <c r="N780" s="8" t="str">
        <f t="shared" si="139"/>
        <v>PEN</v>
      </c>
      <c r="O780" s="13"/>
      <c r="P780" s="13"/>
      <c r="Q780" s="3">
        <f t="shared" si="140"/>
        <v>0</v>
      </c>
      <c r="R780" s="3">
        <f t="shared" si="141"/>
        <v>0</v>
      </c>
      <c r="S780" s="3">
        <f t="shared" si="133"/>
        <v>6366.6999999999916</v>
      </c>
      <c r="T780" s="24"/>
      <c r="U780" s="24"/>
      <c r="V780" s="3"/>
      <c r="W780" s="25"/>
      <c r="X780" s="25"/>
      <c r="Y780" s="25"/>
      <c r="Z780" s="25"/>
      <c r="AA780" s="25"/>
      <c r="AB780" s="3">
        <f>IF(Caja_Finanzas[[#This Row],[fecha]]&gt;0,TEXT(Caja_Finanzas[[#This Row],[fecha]],"mmmm"),0)</f>
        <v>0</v>
      </c>
    </row>
    <row r="781" spans="1:28" x14ac:dyDescent="0.3">
      <c r="A781" s="2">
        <f>IF(Caja_Finanzas[[#This Row],[tipo_r]]="R",COUNTIFS($C$1:$C780,"R")+1,A780)</f>
        <v>696</v>
      </c>
      <c r="B781" s="19" t="str">
        <f t="shared" si="138"/>
        <v>C-Finanzas</v>
      </c>
      <c r="C781" s="3" t="s">
        <v>1352</v>
      </c>
      <c r="D781" s="14"/>
      <c r="E781" s="5"/>
      <c r="F781" s="5"/>
      <c r="G781" s="5"/>
      <c r="H781" s="104"/>
      <c r="I781" s="6"/>
      <c r="J781" s="6"/>
      <c r="K781" s="6"/>
      <c r="L781" s="7"/>
      <c r="M781" s="8" t="str">
        <f>"CFI"&amp;".D"&amp;TEXT(Caja_Finanzas[[#This Row],[fecha]],"DD-MM")&amp;"-"&amp;TEXT(Caja_Finanzas[[#This Row],[item]],"0000")</f>
        <v>CFI.D00-01-0696</v>
      </c>
      <c r="N781" s="8" t="str">
        <f t="shared" si="139"/>
        <v>PEN</v>
      </c>
      <c r="O781" s="13"/>
      <c r="P781" s="13"/>
      <c r="Q781" s="3">
        <f t="shared" si="140"/>
        <v>0</v>
      </c>
      <c r="R781" s="3">
        <f t="shared" si="141"/>
        <v>0</v>
      </c>
      <c r="S781" s="3">
        <f t="shared" si="133"/>
        <v>6366.6999999999916</v>
      </c>
      <c r="T781" s="24"/>
      <c r="U781" s="24"/>
      <c r="V781" s="3"/>
      <c r="W781" s="25"/>
      <c r="X781" s="25"/>
      <c r="Y781" s="25"/>
      <c r="Z781" s="25"/>
      <c r="AA781" s="25"/>
      <c r="AB781" s="3">
        <f>IF(Caja_Finanzas[[#This Row],[fecha]]&gt;0,TEXT(Caja_Finanzas[[#This Row],[fecha]],"mmmm"),0)</f>
        <v>0</v>
      </c>
    </row>
    <row r="782" spans="1:28" x14ac:dyDescent="0.3">
      <c r="A782" s="2">
        <f>IF(Caja_Finanzas[[#This Row],[tipo_r]]="R",COUNTIFS($C$1:$C781,"R")+1,A781)</f>
        <v>696</v>
      </c>
      <c r="B782" s="19" t="str">
        <f t="shared" si="138"/>
        <v>C-Finanzas</v>
      </c>
      <c r="C782" s="3" t="s">
        <v>1352</v>
      </c>
      <c r="D782" s="14"/>
      <c r="E782" s="5"/>
      <c r="F782" s="5"/>
      <c r="G782" s="5"/>
      <c r="H782" s="104"/>
      <c r="I782" s="6"/>
      <c r="J782" s="6"/>
      <c r="K782" s="6"/>
      <c r="L782" s="7"/>
      <c r="M782" s="8" t="str">
        <f>"CFI"&amp;".D"&amp;TEXT(Caja_Finanzas[[#This Row],[fecha]],"DD-MM")&amp;"-"&amp;TEXT(Caja_Finanzas[[#This Row],[item]],"0000")</f>
        <v>CFI.D00-01-0696</v>
      </c>
      <c r="N782" s="8" t="str">
        <f t="shared" si="139"/>
        <v>PEN</v>
      </c>
      <c r="O782" s="13"/>
      <c r="P782" s="13"/>
      <c r="Q782" s="3">
        <f t="shared" si="140"/>
        <v>0</v>
      </c>
      <c r="R782" s="3">
        <f t="shared" si="141"/>
        <v>0</v>
      </c>
      <c r="S782" s="3">
        <f t="shared" si="133"/>
        <v>6366.6999999999916</v>
      </c>
      <c r="T782" s="24"/>
      <c r="U782" s="24"/>
      <c r="V782" s="3"/>
      <c r="W782" s="25"/>
      <c r="X782" s="25"/>
      <c r="Y782" s="25"/>
      <c r="Z782" s="25"/>
      <c r="AA782" s="25"/>
      <c r="AB782" s="3">
        <f>IF(Caja_Finanzas[[#This Row],[fecha]]&gt;0,TEXT(Caja_Finanzas[[#This Row],[fecha]],"mmmm"),0)</f>
        <v>0</v>
      </c>
    </row>
    <row r="783" spans="1:28" x14ac:dyDescent="0.3">
      <c r="A783" s="2">
        <f>IF(Caja_Finanzas[[#This Row],[tipo_r]]="R",COUNTIFS($C$1:$C782,"R")+1,A782)</f>
        <v>696</v>
      </c>
      <c r="B783" s="19" t="str">
        <f t="shared" si="138"/>
        <v>C-Finanzas</v>
      </c>
      <c r="C783" s="3" t="s">
        <v>1352</v>
      </c>
      <c r="D783" s="14"/>
      <c r="E783" s="5"/>
      <c r="F783" s="5"/>
      <c r="G783" s="5"/>
      <c r="H783" s="104"/>
      <c r="I783" s="6"/>
      <c r="J783" s="6"/>
      <c r="K783" s="6"/>
      <c r="L783" s="7"/>
      <c r="M783" s="8" t="str">
        <f>"CFI"&amp;".D"&amp;TEXT(Caja_Finanzas[[#This Row],[fecha]],"DD-MM")&amp;"-"&amp;TEXT(Caja_Finanzas[[#This Row],[item]],"0000")</f>
        <v>CFI.D00-01-0696</v>
      </c>
      <c r="N783" s="8" t="str">
        <f t="shared" si="139"/>
        <v>PEN</v>
      </c>
      <c r="O783" s="13"/>
      <c r="P783" s="13"/>
      <c r="Q783" s="3">
        <f t="shared" si="140"/>
        <v>0</v>
      </c>
      <c r="R783" s="3">
        <f t="shared" si="141"/>
        <v>0</v>
      </c>
      <c r="S783" s="3">
        <f t="shared" si="133"/>
        <v>6366.6999999999916</v>
      </c>
      <c r="T783" s="24"/>
      <c r="U783" s="24"/>
      <c r="V783" s="3"/>
      <c r="W783" s="25"/>
      <c r="X783" s="25"/>
      <c r="Y783" s="25"/>
      <c r="Z783" s="25"/>
      <c r="AA783" s="25"/>
      <c r="AB783" s="3">
        <f>IF(Caja_Finanzas[[#This Row],[fecha]]&gt;0,TEXT(Caja_Finanzas[[#This Row],[fecha]],"mmmm"),0)</f>
        <v>0</v>
      </c>
    </row>
    <row r="784" spans="1:28" x14ac:dyDescent="0.3">
      <c r="A784" s="2">
        <f>IF(Caja_Finanzas[[#This Row],[tipo_r]]="R",COUNTIFS($C$1:$C783,"R")+1,A783)</f>
        <v>696</v>
      </c>
      <c r="B784" s="19" t="str">
        <f t="shared" si="138"/>
        <v>C-Finanzas</v>
      </c>
      <c r="C784" s="3" t="s">
        <v>1352</v>
      </c>
      <c r="D784" s="14"/>
      <c r="E784" s="5"/>
      <c r="F784" s="5"/>
      <c r="G784" s="5"/>
      <c r="H784" s="104"/>
      <c r="I784" s="6"/>
      <c r="J784" s="6"/>
      <c r="K784" s="6"/>
      <c r="L784" s="7"/>
      <c r="M784" s="8" t="str">
        <f>"CFI"&amp;".D"&amp;TEXT(Caja_Finanzas[[#This Row],[fecha]],"DD-MM")&amp;"-"&amp;TEXT(Caja_Finanzas[[#This Row],[item]],"0000")</f>
        <v>CFI.D00-01-0696</v>
      </c>
      <c r="N784" s="8" t="str">
        <f t="shared" si="139"/>
        <v>PEN</v>
      </c>
      <c r="O784" s="13"/>
      <c r="P784" s="13"/>
      <c r="Q784" s="3">
        <f t="shared" si="140"/>
        <v>0</v>
      </c>
      <c r="R784" s="3">
        <f t="shared" si="141"/>
        <v>0</v>
      </c>
      <c r="S784" s="3">
        <f t="shared" si="133"/>
        <v>6366.6999999999916</v>
      </c>
      <c r="T784" s="24"/>
      <c r="U784" s="24"/>
      <c r="V784" s="3"/>
      <c r="W784" s="25"/>
      <c r="X784" s="25"/>
      <c r="Y784" s="25"/>
      <c r="Z784" s="25"/>
      <c r="AA784" s="25"/>
      <c r="AB784" s="3">
        <f>IF(Caja_Finanzas[[#This Row],[fecha]]&gt;0,TEXT(Caja_Finanzas[[#This Row],[fecha]],"mmmm"),0)</f>
        <v>0</v>
      </c>
    </row>
    <row r="785" spans="1:28" x14ac:dyDescent="0.3">
      <c r="A785" s="2">
        <f>IF(Caja_Finanzas[[#This Row],[tipo_r]]="R",COUNTIFS($C$1:$C784,"R")+1,A784)</f>
        <v>696</v>
      </c>
      <c r="B785" s="19" t="str">
        <f t="shared" si="138"/>
        <v>C-Finanzas</v>
      </c>
      <c r="C785" s="3" t="s">
        <v>1352</v>
      </c>
      <c r="D785" s="14"/>
      <c r="E785" s="5"/>
      <c r="F785" s="5"/>
      <c r="G785" s="5"/>
      <c r="H785" s="104"/>
      <c r="I785" s="6"/>
      <c r="J785" s="6"/>
      <c r="K785" s="6"/>
      <c r="L785" s="7"/>
      <c r="M785" s="8" t="str">
        <f>"CFI"&amp;".D"&amp;TEXT(Caja_Finanzas[[#This Row],[fecha]],"DD-MM")&amp;"-"&amp;TEXT(Caja_Finanzas[[#This Row],[item]],"0000")</f>
        <v>CFI.D00-01-0696</v>
      </c>
      <c r="N785" s="8" t="str">
        <f t="shared" si="139"/>
        <v>PEN</v>
      </c>
      <c r="O785" s="13"/>
      <c r="P785" s="13"/>
      <c r="Q785" s="3">
        <f t="shared" si="140"/>
        <v>0</v>
      </c>
      <c r="R785" s="3">
        <f t="shared" si="141"/>
        <v>0</v>
      </c>
      <c r="S785" s="3">
        <f t="shared" si="133"/>
        <v>6366.6999999999916</v>
      </c>
      <c r="T785" s="24"/>
      <c r="U785" s="24"/>
      <c r="V785" s="3"/>
      <c r="W785" s="25"/>
      <c r="X785" s="25"/>
      <c r="Y785" s="25"/>
      <c r="Z785" s="25"/>
      <c r="AA785" s="25"/>
      <c r="AB785" s="3">
        <f>IF(Caja_Finanzas[[#This Row],[fecha]]&gt;0,TEXT(Caja_Finanzas[[#This Row],[fecha]],"mmmm"),0)</f>
        <v>0</v>
      </c>
    </row>
    <row r="786" spans="1:28" x14ac:dyDescent="0.3">
      <c r="A786" s="2">
        <f>IF(Caja_Finanzas[[#This Row],[tipo_r]]="R",COUNTIFS($C$1:$C785,"R")+1,A785)</f>
        <v>696</v>
      </c>
      <c r="B786" s="19" t="str">
        <f t="shared" si="138"/>
        <v>C-Finanzas</v>
      </c>
      <c r="C786" s="3" t="s">
        <v>1352</v>
      </c>
      <c r="D786" s="14"/>
      <c r="E786" s="5"/>
      <c r="F786" s="5"/>
      <c r="G786" s="5"/>
      <c r="H786" s="104"/>
      <c r="I786" s="6"/>
      <c r="J786" s="6"/>
      <c r="K786" s="6"/>
      <c r="L786" s="7"/>
      <c r="M786" s="8" t="str">
        <f>"CFI"&amp;".D"&amp;TEXT(Caja_Finanzas[[#This Row],[fecha]],"DD-MM")&amp;"-"&amp;TEXT(Caja_Finanzas[[#This Row],[item]],"0000")</f>
        <v>CFI.D00-01-0696</v>
      </c>
      <c r="N786" s="8" t="str">
        <f t="shared" si="139"/>
        <v>PEN</v>
      </c>
      <c r="O786" s="13"/>
      <c r="P786" s="13"/>
      <c r="Q786" s="3">
        <f t="shared" si="140"/>
        <v>0</v>
      </c>
      <c r="R786" s="3">
        <f t="shared" si="141"/>
        <v>0</v>
      </c>
      <c r="S786" s="3">
        <f t="shared" si="133"/>
        <v>6366.6999999999916</v>
      </c>
      <c r="T786" s="24"/>
      <c r="U786" s="24"/>
      <c r="V786" s="3"/>
      <c r="W786" s="25"/>
      <c r="X786" s="25"/>
      <c r="Y786" s="25"/>
      <c r="Z786" s="25"/>
      <c r="AA786" s="25"/>
      <c r="AB786" s="3">
        <f>IF(Caja_Finanzas[[#This Row],[fecha]]&gt;0,TEXT(Caja_Finanzas[[#This Row],[fecha]],"mmmm"),0)</f>
        <v>0</v>
      </c>
    </row>
    <row r="787" spans="1:28" x14ac:dyDescent="0.3">
      <c r="A787" s="2">
        <f>IF(Caja_Finanzas[[#This Row],[tipo_r]]="R",COUNTIFS($C$1:$C786,"R")+1,A786)</f>
        <v>696</v>
      </c>
      <c r="B787" s="19" t="str">
        <f t="shared" si="138"/>
        <v>C-Finanzas</v>
      </c>
      <c r="C787" s="3" t="s">
        <v>1352</v>
      </c>
      <c r="D787" s="14"/>
      <c r="E787" s="5"/>
      <c r="F787" s="5"/>
      <c r="G787" s="5"/>
      <c r="H787" s="104"/>
      <c r="I787" s="6"/>
      <c r="J787" s="6"/>
      <c r="K787" s="6"/>
      <c r="L787" s="7"/>
      <c r="M787" s="8" t="str">
        <f>"CFI"&amp;".D"&amp;TEXT(Caja_Finanzas[[#This Row],[fecha]],"DD-MM")&amp;"-"&amp;TEXT(Caja_Finanzas[[#This Row],[item]],"0000")</f>
        <v>CFI.D00-01-0696</v>
      </c>
      <c r="N787" s="8" t="str">
        <f t="shared" si="139"/>
        <v>PEN</v>
      </c>
      <c r="O787" s="13"/>
      <c r="P787" s="13"/>
      <c r="Q787" s="3">
        <f t="shared" si="140"/>
        <v>0</v>
      </c>
      <c r="R787" s="3">
        <f t="shared" si="141"/>
        <v>0</v>
      </c>
      <c r="S787" s="3">
        <f t="shared" si="133"/>
        <v>6366.6999999999916</v>
      </c>
      <c r="T787" s="24"/>
      <c r="U787" s="24"/>
      <c r="V787" s="3"/>
      <c r="W787" s="25"/>
      <c r="X787" s="25"/>
      <c r="Y787" s="25"/>
      <c r="Z787" s="25"/>
      <c r="AA787" s="25"/>
      <c r="AB787" s="3">
        <f>IF(Caja_Finanzas[[#This Row],[fecha]]&gt;0,TEXT(Caja_Finanzas[[#This Row],[fecha]],"mmmm"),0)</f>
        <v>0</v>
      </c>
    </row>
    <row r="788" spans="1:28" ht="24" x14ac:dyDescent="0.3">
      <c r="A788" s="2">
        <f>IF(Caja_Finanzas[[#This Row],[tipo_r]]="R",COUNTIFS($C$1:$C787,"R")+1,A787)</f>
        <v>697</v>
      </c>
      <c r="B788" s="19" t="str">
        <f t="shared" si="134"/>
        <v>C-Finanzas</v>
      </c>
      <c r="C788" s="3" t="s">
        <v>1330</v>
      </c>
      <c r="D788" s="14">
        <v>45905</v>
      </c>
      <c r="E788" s="5" t="s">
        <v>3445</v>
      </c>
      <c r="F788" s="5" t="s">
        <v>1303</v>
      </c>
      <c r="G788" s="5"/>
      <c r="H788" s="104"/>
      <c r="I788" s="6" t="s">
        <v>119</v>
      </c>
      <c r="J788" s="6">
        <v>1</v>
      </c>
      <c r="K788" s="6">
        <v>4726</v>
      </c>
      <c r="L788" s="7" t="s">
        <v>6118</v>
      </c>
      <c r="M788" s="8" t="str">
        <f>"CFI"&amp;".D"&amp;TEXT(Caja_Finanzas[[#This Row],[fecha]],"DD-MM")&amp;"-"&amp;TEXT(Caja_Finanzas[[#This Row],[item]],"0000")</f>
        <v>CFI.D05-09-0697</v>
      </c>
      <c r="N788" s="8" t="str">
        <f t="shared" si="135"/>
        <v>PEN</v>
      </c>
      <c r="O788" s="13"/>
      <c r="P788" s="13">
        <v>1089</v>
      </c>
      <c r="Q788" s="3">
        <f t="shared" si="136"/>
        <v>1089</v>
      </c>
      <c r="R788" s="3">
        <f t="shared" si="137"/>
        <v>0</v>
      </c>
      <c r="S788" s="3">
        <f t="shared" si="133"/>
        <v>7455.6999999999916</v>
      </c>
      <c r="T788" s="24"/>
      <c r="U788" s="24"/>
      <c r="V788" s="3"/>
      <c r="W788" s="25"/>
      <c r="X788" s="25"/>
      <c r="Y788" s="25"/>
      <c r="Z788" s="25"/>
      <c r="AA788" s="25"/>
      <c r="AB788" s="3" t="str">
        <f>IF(Caja_Finanzas[[#This Row],[fecha]]&gt;0,TEXT(Caja_Finanzas[[#This Row],[fecha]],"mmmm"),0)</f>
        <v>Setiembre</v>
      </c>
    </row>
    <row r="789" spans="1:28" ht="24" x14ac:dyDescent="0.3">
      <c r="A789" s="2">
        <f>IF(Caja_Finanzas[[#This Row],[tipo_r]]="R",COUNTIFS($C$1:$C788,"R")+1,A788)</f>
        <v>698</v>
      </c>
      <c r="B789" s="19" t="str">
        <f t="shared" si="134"/>
        <v>C-Finanzas</v>
      </c>
      <c r="C789" s="3" t="s">
        <v>1330</v>
      </c>
      <c r="D789" s="14">
        <v>45905</v>
      </c>
      <c r="E789" s="5" t="s">
        <v>3445</v>
      </c>
      <c r="F789" s="5" t="s">
        <v>1303</v>
      </c>
      <c r="G789" s="5"/>
      <c r="H789" s="104"/>
      <c r="I789" s="6" t="s">
        <v>119</v>
      </c>
      <c r="J789" s="6">
        <v>1</v>
      </c>
      <c r="K789" s="6">
        <v>4724</v>
      </c>
      <c r="L789" s="7" t="s">
        <v>6118</v>
      </c>
      <c r="M789" s="8" t="str">
        <f>"CFI"&amp;".D"&amp;TEXT(Caja_Finanzas[[#This Row],[fecha]],"DD-MM")&amp;"-"&amp;TEXT(Caja_Finanzas[[#This Row],[item]],"0000")</f>
        <v>CFI.D05-09-0698</v>
      </c>
      <c r="N789" s="8" t="str">
        <f t="shared" si="135"/>
        <v>PEN</v>
      </c>
      <c r="O789" s="13"/>
      <c r="P789" s="13">
        <v>450</v>
      </c>
      <c r="Q789" s="3">
        <f t="shared" si="136"/>
        <v>450</v>
      </c>
      <c r="R789" s="3">
        <f t="shared" si="137"/>
        <v>0</v>
      </c>
      <c r="S789" s="3">
        <f t="shared" si="133"/>
        <v>7905.6999999999916</v>
      </c>
      <c r="T789" s="24"/>
      <c r="U789" s="24"/>
      <c r="V789" s="3"/>
      <c r="W789" s="25"/>
      <c r="X789" s="25"/>
      <c r="Y789" s="25"/>
      <c r="Z789" s="25"/>
      <c r="AA789" s="25"/>
      <c r="AB789" s="3" t="str">
        <f>IF(Caja_Finanzas[[#This Row],[fecha]]&gt;0,TEXT(Caja_Finanzas[[#This Row],[fecha]],"mmmm"),0)</f>
        <v>Setiembre</v>
      </c>
    </row>
    <row r="790" spans="1:28" ht="24" x14ac:dyDescent="0.3">
      <c r="A790" s="2">
        <f>IF(Caja_Finanzas[[#This Row],[tipo_r]]="R",COUNTIFS($C$1:$C789,"R")+1,A789)</f>
        <v>699</v>
      </c>
      <c r="B790" s="19" t="str">
        <f t="shared" si="134"/>
        <v>C-Finanzas</v>
      </c>
      <c r="C790" s="3" t="s">
        <v>1330</v>
      </c>
      <c r="D790" s="14">
        <v>45908</v>
      </c>
      <c r="E790" s="5" t="s">
        <v>2502</v>
      </c>
      <c r="F790" s="5" t="s">
        <v>1303</v>
      </c>
      <c r="G790" s="5"/>
      <c r="H790" s="104"/>
      <c r="I790" s="6" t="s">
        <v>119</v>
      </c>
      <c r="J790" s="6">
        <v>1</v>
      </c>
      <c r="K790" s="6">
        <v>4732</v>
      </c>
      <c r="L790" s="7" t="s">
        <v>6118</v>
      </c>
      <c r="M790" s="8" t="str">
        <f>"CFI"&amp;".D"&amp;TEXT(Caja_Finanzas[[#This Row],[fecha]],"DD-MM")&amp;"-"&amp;TEXT(Caja_Finanzas[[#This Row],[item]],"0000")</f>
        <v>CFI.D08-09-0699</v>
      </c>
      <c r="N790" s="8" t="str">
        <f t="shared" si="135"/>
        <v>PEN</v>
      </c>
      <c r="O790" s="13"/>
      <c r="P790" s="13">
        <v>3319.6</v>
      </c>
      <c r="Q790" s="3">
        <f t="shared" si="136"/>
        <v>3319.6</v>
      </c>
      <c r="R790" s="3">
        <f t="shared" si="137"/>
        <v>0</v>
      </c>
      <c r="S790" s="3">
        <f t="shared" si="133"/>
        <v>11225.299999999992</v>
      </c>
      <c r="T790" s="24"/>
      <c r="U790" s="24"/>
      <c r="V790" s="3"/>
      <c r="W790" s="25"/>
      <c r="X790" s="25"/>
      <c r="Y790" s="25"/>
      <c r="Z790" s="25"/>
      <c r="AA790" s="25"/>
      <c r="AB790" s="3" t="str">
        <f>IF(Caja_Finanzas[[#This Row],[fecha]]&gt;0,TEXT(Caja_Finanzas[[#This Row],[fecha]],"mmmm"),0)</f>
        <v>Setiembre</v>
      </c>
    </row>
    <row r="791" spans="1:28" ht="24" x14ac:dyDescent="0.3">
      <c r="A791" s="2">
        <f>IF(Caja_Finanzas[[#This Row],[tipo_r]]="R",COUNTIFS($C$1:$C790,"R")+1,A790)</f>
        <v>700</v>
      </c>
      <c r="B791" s="19" t="str">
        <f t="shared" si="134"/>
        <v>C-Finanzas</v>
      </c>
      <c r="C791" s="3" t="s">
        <v>1330</v>
      </c>
      <c r="D791" s="14">
        <v>45908</v>
      </c>
      <c r="E791" s="5" t="s">
        <v>3445</v>
      </c>
      <c r="F791" s="5" t="s">
        <v>1303</v>
      </c>
      <c r="G791" s="5"/>
      <c r="H791" s="104"/>
      <c r="I791" s="6" t="s">
        <v>119</v>
      </c>
      <c r="J791" s="6">
        <v>1</v>
      </c>
      <c r="K791" s="6">
        <v>4729</v>
      </c>
      <c r="L791" s="7" t="s">
        <v>6118</v>
      </c>
      <c r="M791" s="8" t="str">
        <f>"CFI"&amp;".D"&amp;TEXT(Caja_Finanzas[[#This Row],[fecha]],"DD-MM")&amp;"-"&amp;TEXT(Caja_Finanzas[[#This Row],[item]],"0000")</f>
        <v>CFI.D08-09-0700</v>
      </c>
      <c r="N791" s="8" t="str">
        <f t="shared" si="135"/>
        <v>PEN</v>
      </c>
      <c r="O791" s="13"/>
      <c r="P791" s="13">
        <v>4680</v>
      </c>
      <c r="Q791" s="3">
        <f t="shared" si="136"/>
        <v>4680</v>
      </c>
      <c r="R791" s="3">
        <f t="shared" si="137"/>
        <v>0</v>
      </c>
      <c r="S791" s="3">
        <f t="shared" si="133"/>
        <v>15905.299999999992</v>
      </c>
      <c r="T791" s="24"/>
      <c r="U791" s="24"/>
      <c r="V791" s="3"/>
      <c r="W791" s="25"/>
      <c r="X791" s="25"/>
      <c r="Y791" s="25"/>
      <c r="Z791" s="25"/>
      <c r="AA791" s="25"/>
      <c r="AB791" s="3" t="str">
        <f>IF(Caja_Finanzas[[#This Row],[fecha]]&gt;0,TEXT(Caja_Finanzas[[#This Row],[fecha]],"mmmm"),0)</f>
        <v>Setiembre</v>
      </c>
    </row>
    <row r="792" spans="1:28" ht="24" x14ac:dyDescent="0.3">
      <c r="A792" s="2">
        <f>IF(Caja_Finanzas[[#This Row],[tipo_r]]="R",COUNTIFS($C$1:$C791,"R")+1,A791)</f>
        <v>701</v>
      </c>
      <c r="B792" s="19" t="str">
        <f t="shared" si="134"/>
        <v>C-Finanzas</v>
      </c>
      <c r="C792" s="3" t="s">
        <v>1330</v>
      </c>
      <c r="D792" s="14">
        <v>45908</v>
      </c>
      <c r="E792" s="5" t="s">
        <v>3293</v>
      </c>
      <c r="F792" s="5" t="s">
        <v>1303</v>
      </c>
      <c r="G792" s="5"/>
      <c r="H792" s="104"/>
      <c r="I792" s="6" t="s">
        <v>119</v>
      </c>
      <c r="J792" s="6">
        <v>1</v>
      </c>
      <c r="K792" s="6">
        <v>4731</v>
      </c>
      <c r="L792" s="7" t="s">
        <v>6118</v>
      </c>
      <c r="M792" s="8" t="str">
        <f>"CFI"&amp;".D"&amp;TEXT(Caja_Finanzas[[#This Row],[fecha]],"DD-MM")&amp;"-"&amp;TEXT(Caja_Finanzas[[#This Row],[item]],"0000")</f>
        <v>CFI.D08-09-0701</v>
      </c>
      <c r="N792" s="8" t="str">
        <f t="shared" si="135"/>
        <v>PEN</v>
      </c>
      <c r="O792" s="13"/>
      <c r="P792" s="13">
        <v>280</v>
      </c>
      <c r="Q792" s="3">
        <f t="shared" si="136"/>
        <v>280</v>
      </c>
      <c r="R792" s="3">
        <f t="shared" si="137"/>
        <v>0</v>
      </c>
      <c r="S792" s="3">
        <f t="shared" si="133"/>
        <v>16185.299999999992</v>
      </c>
      <c r="T792" s="24"/>
      <c r="U792" s="24"/>
      <c r="V792" s="3"/>
      <c r="W792" s="25"/>
      <c r="X792" s="25"/>
      <c r="Y792" s="25"/>
      <c r="Z792" s="25"/>
      <c r="AA792" s="25"/>
      <c r="AB792" s="3" t="str">
        <f>IF(Caja_Finanzas[[#This Row],[fecha]]&gt;0,TEXT(Caja_Finanzas[[#This Row],[fecha]],"mmmm"),0)</f>
        <v>Setiembre</v>
      </c>
    </row>
    <row r="793" spans="1:28" ht="24" x14ac:dyDescent="0.3">
      <c r="A793" s="2">
        <f>IF(Caja_Finanzas[[#This Row],[tipo_r]]="R",COUNTIFS($C$1:$C792,"R")+1,A792)</f>
        <v>702</v>
      </c>
      <c r="B793" s="19" t="str">
        <f t="shared" ref="B793:B798" si="142">"C-Finanzas"</f>
        <v>C-Finanzas</v>
      </c>
      <c r="C793" s="3" t="s">
        <v>1330</v>
      </c>
      <c r="D793" s="14">
        <v>45909</v>
      </c>
      <c r="E793" s="5" t="s">
        <v>5828</v>
      </c>
      <c r="F793" s="5" t="s">
        <v>1336</v>
      </c>
      <c r="G793" s="5"/>
      <c r="H793" s="104" t="s">
        <v>1009</v>
      </c>
      <c r="I793" s="6" t="s">
        <v>115</v>
      </c>
      <c r="J793" s="6" t="s">
        <v>7302</v>
      </c>
      <c r="K793" s="6">
        <v>53</v>
      </c>
      <c r="L793" s="7" t="s">
        <v>7401</v>
      </c>
      <c r="M793" s="8" t="str">
        <f>"CFI"&amp;".D"&amp;TEXT(Caja_Finanzas[[#This Row],[fecha]],"DD-MM")&amp;"-"&amp;TEXT(Caja_Finanzas[[#This Row],[item]],"0000")</f>
        <v>CFI.D09-09-0702</v>
      </c>
      <c r="N793" s="8" t="str">
        <f t="shared" ref="N793:N798" si="143">"PEN"</f>
        <v>PEN</v>
      </c>
      <c r="O793" s="13"/>
      <c r="P793" s="13">
        <v>60</v>
      </c>
      <c r="Q793" s="3">
        <f t="shared" ref="Q793:Q798" si="144">+IF(OR($F793="SALDO",$F793="INGRESO"),$P793,0)</f>
        <v>0</v>
      </c>
      <c r="R793" s="3">
        <f t="shared" ref="R793:R798" si="145">+IF($F793="EGRESO",$P793,0)</f>
        <v>60</v>
      </c>
      <c r="S793" s="3">
        <f t="shared" si="133"/>
        <v>16125.299999999992</v>
      </c>
      <c r="T793" s="24"/>
      <c r="U793" s="24"/>
      <c r="V793" s="3"/>
      <c r="W793" s="25"/>
      <c r="X793" s="25"/>
      <c r="Y793" s="25"/>
      <c r="Z793" s="25"/>
      <c r="AA793" s="25"/>
      <c r="AB793" s="3" t="str">
        <f>IF(Caja_Finanzas[[#This Row],[fecha]]&gt;0,TEXT(Caja_Finanzas[[#This Row],[fecha]],"mmmm"),0)</f>
        <v>Setiembre</v>
      </c>
    </row>
    <row r="794" spans="1:28" ht="24" x14ac:dyDescent="0.3">
      <c r="A794" s="2">
        <f>IF(Caja_Finanzas[[#This Row],[tipo_r]]="R",COUNTIFS($C$1:$C793,"R")+1,A793)</f>
        <v>703</v>
      </c>
      <c r="B794" s="19" t="str">
        <f t="shared" si="142"/>
        <v>C-Finanzas</v>
      </c>
      <c r="C794" s="3" t="s">
        <v>1330</v>
      </c>
      <c r="D794" s="14">
        <v>45909</v>
      </c>
      <c r="E794" s="5" t="s">
        <v>6418</v>
      </c>
      <c r="F794" s="5" t="s">
        <v>1336</v>
      </c>
      <c r="G794" s="5"/>
      <c r="H794" s="104"/>
      <c r="I794" s="6"/>
      <c r="J794" s="6"/>
      <c r="K794" s="6"/>
      <c r="L794" s="7" t="s">
        <v>7392</v>
      </c>
      <c r="M794" s="8" t="str">
        <f>"CFI"&amp;".D"&amp;TEXT(Caja_Finanzas[[#This Row],[fecha]],"DD-MM")&amp;"-"&amp;TEXT(Caja_Finanzas[[#This Row],[item]],"0000")</f>
        <v>CFI.D09-09-0703</v>
      </c>
      <c r="N794" s="8" t="str">
        <f t="shared" si="143"/>
        <v>PEN</v>
      </c>
      <c r="O794" s="13"/>
      <c r="P794" s="13">
        <v>6293</v>
      </c>
      <c r="Q794" s="3">
        <f t="shared" si="144"/>
        <v>0</v>
      </c>
      <c r="R794" s="3">
        <f t="shared" si="145"/>
        <v>6293</v>
      </c>
      <c r="S794" s="3">
        <f t="shared" si="133"/>
        <v>9832.299999999992</v>
      </c>
      <c r="T794" s="24"/>
      <c r="U794" s="24"/>
      <c r="V794" s="3"/>
      <c r="W794" s="25"/>
      <c r="X794" s="25"/>
      <c r="Y794" s="25"/>
      <c r="Z794" s="25"/>
      <c r="AA794" s="25"/>
      <c r="AB794" s="3" t="str">
        <f>IF(Caja_Finanzas[[#This Row],[fecha]]&gt;0,TEXT(Caja_Finanzas[[#This Row],[fecha]],"mmmm"),0)</f>
        <v>Setiembre</v>
      </c>
    </row>
    <row r="795" spans="1:28" ht="24" x14ac:dyDescent="0.3">
      <c r="A795" s="2">
        <f>IF(Caja_Finanzas[[#This Row],[tipo_r]]="R",COUNTIFS($C$1:$C794,"R")+1,A794)</f>
        <v>704</v>
      </c>
      <c r="B795" s="19" t="str">
        <f t="shared" si="142"/>
        <v>C-Finanzas</v>
      </c>
      <c r="C795" s="3" t="s">
        <v>1330</v>
      </c>
      <c r="D795" s="14">
        <v>45909</v>
      </c>
      <c r="E795" s="5" t="s">
        <v>6409</v>
      </c>
      <c r="F795" s="5" t="s">
        <v>1336</v>
      </c>
      <c r="G795" s="5"/>
      <c r="H795" s="104" t="s">
        <v>1009</v>
      </c>
      <c r="I795" s="6" t="s">
        <v>115</v>
      </c>
      <c r="J795" s="6" t="s">
        <v>7187</v>
      </c>
      <c r="K795" s="6">
        <v>149</v>
      </c>
      <c r="L795" s="7" t="s">
        <v>7402</v>
      </c>
      <c r="M795" s="8" t="str">
        <f>"CFI"&amp;".D"&amp;TEXT(Caja_Finanzas[[#This Row],[fecha]],"DD-MM")&amp;"-"&amp;TEXT(Caja_Finanzas[[#This Row],[item]],"0000")</f>
        <v>CFI.D09-09-0704</v>
      </c>
      <c r="N795" s="8" t="str">
        <f t="shared" si="143"/>
        <v>PEN</v>
      </c>
      <c r="O795" s="13"/>
      <c r="P795" s="13">
        <v>20</v>
      </c>
      <c r="Q795" s="3">
        <f t="shared" si="144"/>
        <v>0</v>
      </c>
      <c r="R795" s="3">
        <f t="shared" si="145"/>
        <v>20</v>
      </c>
      <c r="S795" s="3">
        <f t="shared" si="133"/>
        <v>9812.299999999992</v>
      </c>
      <c r="T795" s="24"/>
      <c r="U795" s="24"/>
      <c r="V795" s="3"/>
      <c r="W795" s="25"/>
      <c r="X795" s="25"/>
      <c r="Y795" s="25"/>
      <c r="Z795" s="25"/>
      <c r="AA795" s="25"/>
      <c r="AB795" s="3" t="str">
        <f>IF(Caja_Finanzas[[#This Row],[fecha]]&gt;0,TEXT(Caja_Finanzas[[#This Row],[fecha]],"mmmm"),0)</f>
        <v>Setiembre</v>
      </c>
    </row>
    <row r="796" spans="1:28" ht="24" x14ac:dyDescent="0.3">
      <c r="A796" s="2">
        <f>IF(Caja_Finanzas[[#This Row],[tipo_r]]="R",COUNTIFS($C$1:$C795,"R")+1,A795)</f>
        <v>705</v>
      </c>
      <c r="B796" s="19" t="str">
        <f t="shared" si="142"/>
        <v>C-Finanzas</v>
      </c>
      <c r="C796" s="3" t="s">
        <v>1330</v>
      </c>
      <c r="D796" s="14">
        <v>45909</v>
      </c>
      <c r="E796" s="5" t="s">
        <v>5317</v>
      </c>
      <c r="F796" s="5" t="s">
        <v>1336</v>
      </c>
      <c r="G796" s="5"/>
      <c r="H796" s="104" t="s">
        <v>1009</v>
      </c>
      <c r="I796" s="6" t="s">
        <v>115</v>
      </c>
      <c r="J796" s="6" t="s">
        <v>7403</v>
      </c>
      <c r="K796" s="6">
        <v>1</v>
      </c>
      <c r="L796" s="7" t="s">
        <v>7404</v>
      </c>
      <c r="M796" s="8" t="str">
        <f>"CFI"&amp;".D"&amp;TEXT(Caja_Finanzas[[#This Row],[fecha]],"DD-MM")&amp;"-"&amp;TEXT(Caja_Finanzas[[#This Row],[item]],"0000")</f>
        <v>CFI.D09-09-0705</v>
      </c>
      <c r="N796" s="8" t="str">
        <f t="shared" si="143"/>
        <v>PEN</v>
      </c>
      <c r="O796" s="13"/>
      <c r="P796" s="13">
        <v>3</v>
      </c>
      <c r="Q796" s="3">
        <f t="shared" si="144"/>
        <v>0</v>
      </c>
      <c r="R796" s="3">
        <f t="shared" si="145"/>
        <v>3</v>
      </c>
      <c r="S796" s="3">
        <f t="shared" si="133"/>
        <v>9809.299999999992</v>
      </c>
      <c r="T796" s="24"/>
      <c r="U796" s="24"/>
      <c r="V796" s="3"/>
      <c r="W796" s="25"/>
      <c r="X796" s="25"/>
      <c r="Y796" s="25"/>
      <c r="Z796" s="25"/>
      <c r="AA796" s="25"/>
      <c r="AB796" s="3" t="str">
        <f>IF(Caja_Finanzas[[#This Row],[fecha]]&gt;0,TEXT(Caja_Finanzas[[#This Row],[fecha]],"mmmm"),0)</f>
        <v>Setiembre</v>
      </c>
    </row>
    <row r="797" spans="1:28" ht="24" x14ac:dyDescent="0.3">
      <c r="A797" s="2">
        <f>IF(Caja_Finanzas[[#This Row],[tipo_r]]="R",COUNTIFS($C$1:$C796,"R")+1,A796)</f>
        <v>706</v>
      </c>
      <c r="B797" s="19" t="str">
        <f t="shared" si="142"/>
        <v>C-Finanzas</v>
      </c>
      <c r="C797" s="3" t="s">
        <v>1330</v>
      </c>
      <c r="D797" s="14">
        <v>45909</v>
      </c>
      <c r="E797" s="5" t="s">
        <v>6451</v>
      </c>
      <c r="F797" s="5" t="s">
        <v>1336</v>
      </c>
      <c r="G797" s="5"/>
      <c r="H797" s="104" t="s">
        <v>1009</v>
      </c>
      <c r="I797" s="6" t="s">
        <v>115</v>
      </c>
      <c r="J797" s="6" t="s">
        <v>7187</v>
      </c>
      <c r="K797" s="6">
        <v>148</v>
      </c>
      <c r="L797" s="7" t="s">
        <v>7405</v>
      </c>
      <c r="M797" s="8" t="str">
        <f>"CFI"&amp;".D"&amp;TEXT(Caja_Finanzas[[#This Row],[fecha]],"DD-MM")&amp;"-"&amp;TEXT(Caja_Finanzas[[#This Row],[item]],"0000")</f>
        <v>CFI.D09-09-0706</v>
      </c>
      <c r="N797" s="8" t="str">
        <f t="shared" si="143"/>
        <v>PEN</v>
      </c>
      <c r="O797" s="13"/>
      <c r="P797" s="13">
        <v>280</v>
      </c>
      <c r="Q797" s="3">
        <f t="shared" si="144"/>
        <v>0</v>
      </c>
      <c r="R797" s="3">
        <f t="shared" si="145"/>
        <v>280</v>
      </c>
      <c r="S797" s="3">
        <f t="shared" si="133"/>
        <v>9529.299999999992</v>
      </c>
      <c r="T797" s="24"/>
      <c r="U797" s="24"/>
      <c r="V797" s="3"/>
      <c r="W797" s="25"/>
      <c r="X797" s="25"/>
      <c r="Y797" s="25"/>
      <c r="Z797" s="25"/>
      <c r="AA797" s="25"/>
      <c r="AB797" s="3" t="str">
        <f>IF(Caja_Finanzas[[#This Row],[fecha]]&gt;0,TEXT(Caja_Finanzas[[#This Row],[fecha]],"mmmm"),0)</f>
        <v>Setiembre</v>
      </c>
    </row>
    <row r="798" spans="1:28" ht="24" x14ac:dyDescent="0.3">
      <c r="A798" s="2">
        <f>IF(Caja_Finanzas[[#This Row],[tipo_r]]="R",COUNTIFS($C$1:$C797,"R")+1,A797)</f>
        <v>707</v>
      </c>
      <c r="B798" s="19" t="str">
        <f t="shared" si="142"/>
        <v>C-Finanzas</v>
      </c>
      <c r="C798" s="3" t="s">
        <v>1330</v>
      </c>
      <c r="D798" s="14">
        <v>45909</v>
      </c>
      <c r="E798" s="5" t="s">
        <v>6418</v>
      </c>
      <c r="F798" s="5" t="s">
        <v>1336</v>
      </c>
      <c r="G798" s="5"/>
      <c r="H798" s="104"/>
      <c r="I798" s="6"/>
      <c r="J798" s="6"/>
      <c r="K798" s="6"/>
      <c r="L798" s="7" t="s">
        <v>7406</v>
      </c>
      <c r="M798" s="8" t="str">
        <f>"CFI"&amp;".D"&amp;TEXT(Caja_Finanzas[[#This Row],[fecha]],"DD-MM")&amp;"-"&amp;TEXT(Caja_Finanzas[[#This Row],[item]],"0000")</f>
        <v>CFI.D09-09-0707</v>
      </c>
      <c r="N798" s="8" t="str">
        <f t="shared" si="143"/>
        <v>PEN</v>
      </c>
      <c r="O798" s="13"/>
      <c r="P798" s="13">
        <v>3000</v>
      </c>
      <c r="Q798" s="3">
        <f t="shared" si="144"/>
        <v>0</v>
      </c>
      <c r="R798" s="3">
        <f t="shared" si="145"/>
        <v>3000</v>
      </c>
      <c r="S798" s="3">
        <f t="shared" si="133"/>
        <v>6529.299999999992</v>
      </c>
      <c r="T798" s="24"/>
      <c r="U798" s="24"/>
      <c r="V798" s="3"/>
      <c r="W798" s="25"/>
      <c r="X798" s="25"/>
      <c r="Y798" s="25"/>
      <c r="Z798" s="25"/>
      <c r="AA798" s="25"/>
      <c r="AB798" s="3" t="str">
        <f>IF(Caja_Finanzas[[#This Row],[fecha]]&gt;0,TEXT(Caja_Finanzas[[#This Row],[fecha]],"mmmm"),0)</f>
        <v>Setiembre</v>
      </c>
    </row>
    <row r="799" spans="1:28" ht="36" x14ac:dyDescent="0.3">
      <c r="A799" s="2">
        <f>IF(Caja_Finanzas[[#This Row],[tipo_r]]="R",COUNTIFS($C$1:$C798,"R")+1,A798)</f>
        <v>708</v>
      </c>
      <c r="B799" s="19" t="str">
        <f t="shared" ref="B799:B807" si="146">"C-Finanzas"</f>
        <v>C-Finanzas</v>
      </c>
      <c r="C799" s="3" t="s">
        <v>1330</v>
      </c>
      <c r="D799" s="14">
        <v>45910</v>
      </c>
      <c r="E799" s="5" t="s">
        <v>5828</v>
      </c>
      <c r="F799" s="5" t="s">
        <v>1336</v>
      </c>
      <c r="G799" s="5"/>
      <c r="H799" s="104" t="s">
        <v>1009</v>
      </c>
      <c r="I799" s="6" t="s">
        <v>115</v>
      </c>
      <c r="J799" s="6" t="s">
        <v>7302</v>
      </c>
      <c r="K799" s="6">
        <v>54</v>
      </c>
      <c r="L799" s="7" t="s">
        <v>7407</v>
      </c>
      <c r="M799" s="8" t="str">
        <f>"CFI"&amp;".D"&amp;TEXT(Caja_Finanzas[[#This Row],[fecha]],"DD-MM")&amp;"-"&amp;TEXT(Caja_Finanzas[[#This Row],[item]],"0000")</f>
        <v>CFI.D10-09-0708</v>
      </c>
      <c r="N799" s="8" t="str">
        <f t="shared" ref="N799:N807" si="147">"PEN"</f>
        <v>PEN</v>
      </c>
      <c r="O799" s="13"/>
      <c r="P799" s="13">
        <v>200</v>
      </c>
      <c r="Q799" s="3">
        <f t="shared" ref="Q799:Q807" si="148">+IF(OR($F799="SALDO",$F799="INGRESO"),$P799,0)</f>
        <v>0</v>
      </c>
      <c r="R799" s="3">
        <f t="shared" ref="R799:R807" si="149">+IF($F799="EGRESO",$P799,0)</f>
        <v>200</v>
      </c>
      <c r="S799" s="3">
        <f t="shared" si="133"/>
        <v>6329.299999999992</v>
      </c>
      <c r="T799" s="24"/>
      <c r="U799" s="24"/>
      <c r="V799" s="3"/>
      <c r="W799" s="25"/>
      <c r="X799" s="25"/>
      <c r="Y799" s="25"/>
      <c r="Z799" s="25"/>
      <c r="AA799" s="25"/>
      <c r="AB799" s="3" t="str">
        <f>IF(Caja_Finanzas[[#This Row],[fecha]]&gt;0,TEXT(Caja_Finanzas[[#This Row],[fecha]],"mmmm"),0)</f>
        <v>Setiembre</v>
      </c>
    </row>
    <row r="800" spans="1:28" ht="36" x14ac:dyDescent="0.3">
      <c r="A800" s="2">
        <f>IF(Caja_Finanzas[[#This Row],[tipo_r]]="R",COUNTIFS($C$1:$C799,"R")+1,A799)</f>
        <v>709</v>
      </c>
      <c r="B800" s="19" t="str">
        <f t="shared" si="146"/>
        <v>C-Finanzas</v>
      </c>
      <c r="C800" s="3" t="s">
        <v>1330</v>
      </c>
      <c r="D800" s="14">
        <v>45910</v>
      </c>
      <c r="E800" s="5" t="s">
        <v>6409</v>
      </c>
      <c r="F800" s="5" t="s">
        <v>1336</v>
      </c>
      <c r="G800" s="5"/>
      <c r="H800" s="104" t="s">
        <v>1009</v>
      </c>
      <c r="I800" s="6" t="s">
        <v>115</v>
      </c>
      <c r="J800" s="6" t="s">
        <v>7187</v>
      </c>
      <c r="K800" s="6">
        <v>150</v>
      </c>
      <c r="L800" s="7" t="s">
        <v>7408</v>
      </c>
      <c r="M800" s="8" t="str">
        <f>"CFI"&amp;".D"&amp;TEXT(Caja_Finanzas[[#This Row],[fecha]],"DD-MM")&amp;"-"&amp;TEXT(Caja_Finanzas[[#This Row],[item]],"0000")</f>
        <v>CFI.D10-09-0709</v>
      </c>
      <c r="N800" s="8" t="str">
        <f t="shared" si="147"/>
        <v>PEN</v>
      </c>
      <c r="O800" s="13"/>
      <c r="P800" s="13">
        <v>6</v>
      </c>
      <c r="Q800" s="3">
        <f t="shared" si="148"/>
        <v>0</v>
      </c>
      <c r="R800" s="3">
        <f t="shared" si="149"/>
        <v>6</v>
      </c>
      <c r="S800" s="3">
        <f t="shared" si="133"/>
        <v>6323.299999999992</v>
      </c>
      <c r="T800" s="24"/>
      <c r="U800" s="24"/>
      <c r="V800" s="3"/>
      <c r="W800" s="25"/>
      <c r="X800" s="25"/>
      <c r="Y800" s="25"/>
      <c r="Z800" s="25"/>
      <c r="AA800" s="25"/>
      <c r="AB800" s="3" t="str">
        <f>IF(Caja_Finanzas[[#This Row],[fecha]]&gt;0,TEXT(Caja_Finanzas[[#This Row],[fecha]],"mmmm"),0)</f>
        <v>Setiembre</v>
      </c>
    </row>
    <row r="801" spans="1:28" ht="36" x14ac:dyDescent="0.3">
      <c r="A801" s="2">
        <f>IF(Caja_Finanzas[[#This Row],[tipo_r]]="R",COUNTIFS($C$1:$C800,"R")+1,A800)</f>
        <v>710</v>
      </c>
      <c r="B801" s="19" t="str">
        <f t="shared" si="146"/>
        <v>C-Finanzas</v>
      </c>
      <c r="C801" s="3" t="s">
        <v>1330</v>
      </c>
      <c r="D801" s="14">
        <v>45910</v>
      </c>
      <c r="E801" s="5" t="s">
        <v>6409</v>
      </c>
      <c r="F801" s="5" t="s">
        <v>1336</v>
      </c>
      <c r="G801" s="5"/>
      <c r="H801" s="104" t="s">
        <v>1009</v>
      </c>
      <c r="I801" s="6" t="s">
        <v>115</v>
      </c>
      <c r="J801" s="6" t="s">
        <v>7187</v>
      </c>
      <c r="K801" s="6">
        <v>151</v>
      </c>
      <c r="L801" s="7" t="s">
        <v>7409</v>
      </c>
      <c r="M801" s="8" t="str">
        <f>"CFI"&amp;".D"&amp;TEXT(Caja_Finanzas[[#This Row],[fecha]],"DD-MM")&amp;"-"&amp;TEXT(Caja_Finanzas[[#This Row],[item]],"0000")</f>
        <v>CFI.D10-09-0710</v>
      </c>
      <c r="N801" s="8" t="str">
        <f t="shared" si="147"/>
        <v>PEN</v>
      </c>
      <c r="O801" s="13"/>
      <c r="P801" s="13">
        <v>280</v>
      </c>
      <c r="Q801" s="3">
        <f t="shared" si="148"/>
        <v>0</v>
      </c>
      <c r="R801" s="3">
        <f t="shared" si="149"/>
        <v>280</v>
      </c>
      <c r="S801" s="3">
        <f t="shared" si="133"/>
        <v>6043.299999999992</v>
      </c>
      <c r="T801" s="24"/>
      <c r="U801" s="24"/>
      <c r="V801" s="3"/>
      <c r="W801" s="25"/>
      <c r="X801" s="25"/>
      <c r="Y801" s="25"/>
      <c r="Z801" s="25"/>
      <c r="AA801" s="25"/>
      <c r="AB801" s="3" t="str">
        <f>IF(Caja_Finanzas[[#This Row],[fecha]]&gt;0,TEXT(Caja_Finanzas[[#This Row],[fecha]],"mmmm"),0)</f>
        <v>Setiembre</v>
      </c>
    </row>
    <row r="802" spans="1:28" ht="36" x14ac:dyDescent="0.3">
      <c r="A802" s="2">
        <f>IF(Caja_Finanzas[[#This Row],[tipo_r]]="R",COUNTIFS($C$1:$C801,"R")+1,A801)</f>
        <v>711</v>
      </c>
      <c r="B802" s="19" t="str">
        <f t="shared" si="146"/>
        <v>C-Finanzas</v>
      </c>
      <c r="C802" s="3" t="s">
        <v>1330</v>
      </c>
      <c r="D802" s="14">
        <v>45911</v>
      </c>
      <c r="E802" s="5" t="s">
        <v>6940</v>
      </c>
      <c r="F802" s="5" t="s">
        <v>1336</v>
      </c>
      <c r="G802" s="5"/>
      <c r="H802" s="104" t="s">
        <v>1009</v>
      </c>
      <c r="I802" s="6" t="s">
        <v>115</v>
      </c>
      <c r="J802" s="6" t="s">
        <v>7299</v>
      </c>
      <c r="K802" s="6">
        <v>130</v>
      </c>
      <c r="L802" s="7" t="s">
        <v>7410</v>
      </c>
      <c r="M802" s="8" t="str">
        <f>"CFI"&amp;".D"&amp;TEXT(Caja_Finanzas[[#This Row],[fecha]],"DD-MM")&amp;"-"&amp;TEXT(Caja_Finanzas[[#This Row],[item]],"0000")</f>
        <v>CFI.D11-09-0711</v>
      </c>
      <c r="N802" s="8" t="str">
        <f t="shared" si="147"/>
        <v>PEN</v>
      </c>
      <c r="O802" s="13"/>
      <c r="P802" s="13">
        <v>450</v>
      </c>
      <c r="Q802" s="3">
        <f t="shared" si="148"/>
        <v>0</v>
      </c>
      <c r="R802" s="3">
        <f t="shared" si="149"/>
        <v>450</v>
      </c>
      <c r="S802" s="3">
        <f t="shared" si="133"/>
        <v>5593.299999999992</v>
      </c>
      <c r="T802" s="24"/>
      <c r="U802" s="24"/>
      <c r="V802" s="3"/>
      <c r="W802" s="25"/>
      <c r="X802" s="25"/>
      <c r="Y802" s="25"/>
      <c r="Z802" s="25"/>
      <c r="AA802" s="25"/>
      <c r="AB802" s="3" t="str">
        <f>IF(Caja_Finanzas[[#This Row],[fecha]]&gt;0,TEXT(Caja_Finanzas[[#This Row],[fecha]],"mmmm"),0)</f>
        <v>Setiembre</v>
      </c>
    </row>
    <row r="803" spans="1:28" ht="24" x14ac:dyDescent="0.3">
      <c r="A803" s="2">
        <f>IF(Caja_Finanzas[[#This Row],[tipo_r]]="R",COUNTIFS($C$1:$C802,"R")+1,A802)</f>
        <v>712</v>
      </c>
      <c r="B803" s="19" t="str">
        <f t="shared" si="146"/>
        <v>C-Finanzas</v>
      </c>
      <c r="C803" s="3" t="s">
        <v>1330</v>
      </c>
      <c r="D803" s="14">
        <v>45911</v>
      </c>
      <c r="E803" s="5" t="s">
        <v>1875</v>
      </c>
      <c r="F803" s="5" t="s">
        <v>1303</v>
      </c>
      <c r="G803" s="5"/>
      <c r="H803" s="104"/>
      <c r="I803" s="6" t="s">
        <v>119</v>
      </c>
      <c r="J803" s="6">
        <v>1</v>
      </c>
      <c r="K803" s="6">
        <v>4737</v>
      </c>
      <c r="L803" s="7" t="s">
        <v>6118</v>
      </c>
      <c r="M803" s="8" t="str">
        <f>"CFI"&amp;".D"&amp;TEXT(Caja_Finanzas[[#This Row],[fecha]],"DD-MM")&amp;"-"&amp;TEXT(Caja_Finanzas[[#This Row],[item]],"0000")</f>
        <v>CFI.D11-09-0712</v>
      </c>
      <c r="N803" s="8" t="str">
        <f t="shared" si="147"/>
        <v>PEN</v>
      </c>
      <c r="O803" s="13"/>
      <c r="P803" s="13">
        <v>504</v>
      </c>
      <c r="Q803" s="3">
        <f t="shared" si="148"/>
        <v>504</v>
      </c>
      <c r="R803" s="3">
        <f t="shared" si="149"/>
        <v>0</v>
      </c>
      <c r="S803" s="3">
        <f t="shared" si="133"/>
        <v>6097.299999999992</v>
      </c>
      <c r="T803" s="24"/>
      <c r="U803" s="24"/>
      <c r="V803" s="3"/>
      <c r="W803" s="25"/>
      <c r="X803" s="25"/>
      <c r="Y803" s="25"/>
      <c r="Z803" s="25"/>
      <c r="AA803" s="25"/>
      <c r="AB803" s="3" t="str">
        <f>IF(Caja_Finanzas[[#This Row],[fecha]]&gt;0,TEXT(Caja_Finanzas[[#This Row],[fecha]],"mmmm"),0)</f>
        <v>Setiembre</v>
      </c>
    </row>
    <row r="804" spans="1:28" ht="24" x14ac:dyDescent="0.3">
      <c r="A804" s="2">
        <f>IF(Caja_Finanzas[[#This Row],[tipo_r]]="R",COUNTIFS($C$1:$C803,"R")+1,A803)</f>
        <v>713</v>
      </c>
      <c r="B804" s="19" t="str">
        <f t="shared" si="146"/>
        <v>C-Finanzas</v>
      </c>
      <c r="C804" s="3" t="s">
        <v>1330</v>
      </c>
      <c r="D804" s="14">
        <v>45911</v>
      </c>
      <c r="E804" s="5" t="s">
        <v>6456</v>
      </c>
      <c r="F804" s="5" t="s">
        <v>1336</v>
      </c>
      <c r="G804" s="5"/>
      <c r="H804" s="104" t="s">
        <v>1009</v>
      </c>
      <c r="I804" s="6" t="s">
        <v>115</v>
      </c>
      <c r="J804" s="6" t="s">
        <v>7322</v>
      </c>
      <c r="K804" s="6">
        <v>15</v>
      </c>
      <c r="L804" s="7" t="s">
        <v>7411</v>
      </c>
      <c r="M804" s="8" t="str">
        <f>"CFI"&amp;".D"&amp;TEXT(Caja_Finanzas[[#This Row],[fecha]],"DD-MM")&amp;"-"&amp;TEXT(Caja_Finanzas[[#This Row],[item]],"0000")</f>
        <v>CFI.D11-09-0713</v>
      </c>
      <c r="N804" s="8" t="str">
        <f t="shared" si="147"/>
        <v>PEN</v>
      </c>
      <c r="O804" s="13"/>
      <c r="P804" s="13">
        <v>222</v>
      </c>
      <c r="Q804" s="3">
        <f t="shared" si="148"/>
        <v>0</v>
      </c>
      <c r="R804" s="3">
        <f t="shared" si="149"/>
        <v>222</v>
      </c>
      <c r="S804" s="3">
        <f t="shared" si="133"/>
        <v>5875.299999999992</v>
      </c>
      <c r="T804" s="24"/>
      <c r="U804" s="24"/>
      <c r="V804" s="3"/>
      <c r="W804" s="25"/>
      <c r="X804" s="25"/>
      <c r="Y804" s="25"/>
      <c r="Z804" s="25"/>
      <c r="AA804" s="25"/>
      <c r="AB804" s="3" t="str">
        <f>IF(Caja_Finanzas[[#This Row],[fecha]]&gt;0,TEXT(Caja_Finanzas[[#This Row],[fecha]],"mmmm"),0)</f>
        <v>Setiembre</v>
      </c>
    </row>
    <row r="805" spans="1:28" ht="24" x14ac:dyDescent="0.3">
      <c r="A805" s="2">
        <f>IF(Caja_Finanzas[[#This Row],[tipo_r]]="R",COUNTIFS($C$1:$C804,"R")+1,A804)</f>
        <v>714</v>
      </c>
      <c r="B805" s="19" t="str">
        <f t="shared" si="146"/>
        <v>C-Finanzas</v>
      </c>
      <c r="C805" s="3" t="s">
        <v>1330</v>
      </c>
      <c r="D805" s="14">
        <v>45911</v>
      </c>
      <c r="E805" s="5" t="s">
        <v>6456</v>
      </c>
      <c r="F805" s="5" t="s">
        <v>1336</v>
      </c>
      <c r="G805" s="5"/>
      <c r="H805" s="104" t="s">
        <v>1009</v>
      </c>
      <c r="I805" s="6" t="s">
        <v>115</v>
      </c>
      <c r="J805" s="6" t="s">
        <v>7289</v>
      </c>
      <c r="K805" s="6">
        <v>20</v>
      </c>
      <c r="L805" s="7" t="s">
        <v>7412</v>
      </c>
      <c r="M805" s="8" t="str">
        <f>"CFI"&amp;".D"&amp;TEXT(Caja_Finanzas[[#This Row],[fecha]],"DD-MM")&amp;"-"&amp;TEXT(Caja_Finanzas[[#This Row],[item]],"0000")</f>
        <v>CFI.D11-09-0714</v>
      </c>
      <c r="N805" s="8" t="str">
        <f t="shared" si="147"/>
        <v>PEN</v>
      </c>
      <c r="O805" s="13"/>
      <c r="P805" s="13">
        <v>50</v>
      </c>
      <c r="Q805" s="3">
        <f t="shared" si="148"/>
        <v>0</v>
      </c>
      <c r="R805" s="3">
        <f t="shared" si="149"/>
        <v>50</v>
      </c>
      <c r="S805" s="3">
        <f t="shared" si="133"/>
        <v>5825.299999999992</v>
      </c>
      <c r="T805" s="24"/>
      <c r="U805" s="24"/>
      <c r="V805" s="3"/>
      <c r="W805" s="25"/>
      <c r="X805" s="25"/>
      <c r="Y805" s="25"/>
      <c r="Z805" s="25"/>
      <c r="AA805" s="25"/>
      <c r="AB805" s="3" t="str">
        <f>IF(Caja_Finanzas[[#This Row],[fecha]]&gt;0,TEXT(Caja_Finanzas[[#This Row],[fecha]],"mmmm"),0)</f>
        <v>Setiembre</v>
      </c>
    </row>
    <row r="806" spans="1:28" ht="24" x14ac:dyDescent="0.3">
      <c r="A806" s="2">
        <f>IF(Caja_Finanzas[[#This Row],[tipo_r]]="R",COUNTIFS($C$1:$C805,"R")+1,A805)</f>
        <v>715</v>
      </c>
      <c r="B806" s="19" t="str">
        <f t="shared" si="146"/>
        <v>C-Finanzas</v>
      </c>
      <c r="C806" s="3" t="s">
        <v>1330</v>
      </c>
      <c r="D806" s="14">
        <v>45911</v>
      </c>
      <c r="E806" s="5" t="s">
        <v>6456</v>
      </c>
      <c r="F806" s="5" t="s">
        <v>1336</v>
      </c>
      <c r="G806" s="5"/>
      <c r="H806" s="104" t="s">
        <v>1009</v>
      </c>
      <c r="I806" s="6" t="s">
        <v>115</v>
      </c>
      <c r="J806" s="6" t="s">
        <v>7322</v>
      </c>
      <c r="K806" s="6">
        <v>14</v>
      </c>
      <c r="L806" s="7" t="s">
        <v>7413</v>
      </c>
      <c r="M806" s="8" t="str">
        <f>"CFI"&amp;".D"&amp;TEXT(Caja_Finanzas[[#This Row],[fecha]],"DD-MM")&amp;"-"&amp;TEXT(Caja_Finanzas[[#This Row],[item]],"0000")</f>
        <v>CFI.D11-09-0715</v>
      </c>
      <c r="N806" s="8" t="str">
        <f t="shared" si="147"/>
        <v>PEN</v>
      </c>
      <c r="O806" s="13"/>
      <c r="P806" s="13">
        <v>51.2</v>
      </c>
      <c r="Q806" s="3">
        <f t="shared" si="148"/>
        <v>0</v>
      </c>
      <c r="R806" s="3">
        <f t="shared" si="149"/>
        <v>51.2</v>
      </c>
      <c r="S806" s="3">
        <f t="shared" si="133"/>
        <v>5774.0999999999922</v>
      </c>
      <c r="T806" s="24"/>
      <c r="U806" s="24"/>
      <c r="V806" s="3"/>
      <c r="W806" s="25"/>
      <c r="X806" s="25"/>
      <c r="Y806" s="25"/>
      <c r="Z806" s="25"/>
      <c r="AA806" s="25"/>
      <c r="AB806" s="3" t="str">
        <f>IF(Caja_Finanzas[[#This Row],[fecha]]&gt;0,TEXT(Caja_Finanzas[[#This Row],[fecha]],"mmmm"),0)</f>
        <v>Setiembre</v>
      </c>
    </row>
    <row r="807" spans="1:28" ht="24" x14ac:dyDescent="0.3">
      <c r="A807" s="2">
        <f>IF(Caja_Finanzas[[#This Row],[tipo_r]]="R",COUNTIFS($C$1:$C806,"R")+1,A806)</f>
        <v>716</v>
      </c>
      <c r="B807" s="19" t="str">
        <f t="shared" si="146"/>
        <v>C-Finanzas</v>
      </c>
      <c r="C807" s="3" t="s">
        <v>1330</v>
      </c>
      <c r="D807" s="14">
        <v>45911</v>
      </c>
      <c r="E807" s="5" t="s">
        <v>6456</v>
      </c>
      <c r="F807" s="5" t="s">
        <v>1336</v>
      </c>
      <c r="G807" s="5"/>
      <c r="H807" s="104" t="s">
        <v>1009</v>
      </c>
      <c r="I807" s="6" t="s">
        <v>115</v>
      </c>
      <c r="J807" s="6" t="s">
        <v>7289</v>
      </c>
      <c r="K807" s="6">
        <v>21</v>
      </c>
      <c r="L807" s="7" t="s">
        <v>7414</v>
      </c>
      <c r="M807" s="8" t="str">
        <f>"CFI"&amp;".D"&amp;TEXT(Caja_Finanzas[[#This Row],[fecha]],"DD-MM")&amp;"-"&amp;TEXT(Caja_Finanzas[[#This Row],[item]],"0000")</f>
        <v>CFI.D11-09-0716</v>
      </c>
      <c r="N807" s="8" t="str">
        <f t="shared" si="147"/>
        <v>PEN</v>
      </c>
      <c r="O807" s="13"/>
      <c r="P807" s="13">
        <v>150</v>
      </c>
      <c r="Q807" s="3">
        <f t="shared" si="148"/>
        <v>0</v>
      </c>
      <c r="R807" s="3">
        <f t="shared" si="149"/>
        <v>150</v>
      </c>
      <c r="S807" s="3">
        <f t="shared" si="133"/>
        <v>5624.0999999999922</v>
      </c>
      <c r="T807" s="24"/>
      <c r="U807" s="24"/>
      <c r="V807" s="3"/>
      <c r="W807" s="25"/>
      <c r="X807" s="25"/>
      <c r="Y807" s="25"/>
      <c r="Z807" s="25"/>
      <c r="AA807" s="25"/>
      <c r="AB807" s="3" t="str">
        <f>IF(Caja_Finanzas[[#This Row],[fecha]]&gt;0,TEXT(Caja_Finanzas[[#This Row],[fecha]],"mmmm"),0)</f>
        <v>Setiembre</v>
      </c>
    </row>
    <row r="808" spans="1:28" ht="36" x14ac:dyDescent="0.3">
      <c r="A808" s="2">
        <f>IF(Caja_Finanzas[[#This Row],[tipo_r]]="R",COUNTIFS($C$1:$C807,"R")+1,A807)</f>
        <v>717</v>
      </c>
      <c r="B808" s="19" t="str">
        <f t="shared" ref="B808:B815" si="150">"C-Finanzas"</f>
        <v>C-Finanzas</v>
      </c>
      <c r="C808" s="3" t="s">
        <v>1330</v>
      </c>
      <c r="D808" s="14">
        <v>45912</v>
      </c>
      <c r="E808" s="5" t="s">
        <v>6940</v>
      </c>
      <c r="F808" s="5" t="s">
        <v>1336</v>
      </c>
      <c r="G808" s="5"/>
      <c r="H808" s="104" t="s">
        <v>1149</v>
      </c>
      <c r="I808" s="6" t="s">
        <v>115</v>
      </c>
      <c r="J808" s="6" t="s">
        <v>7299</v>
      </c>
      <c r="K808" s="6">
        <v>137</v>
      </c>
      <c r="L808" s="7" t="s">
        <v>7415</v>
      </c>
      <c r="M808" s="8" t="str">
        <f>"CFI"&amp;".D"&amp;TEXT(Caja_Finanzas[[#This Row],[fecha]],"DD-MM")&amp;"-"&amp;TEXT(Caja_Finanzas[[#This Row],[item]],"0000")</f>
        <v>CFI.D12-09-0717</v>
      </c>
      <c r="N808" s="8" t="str">
        <f t="shared" ref="N808:N815" si="151">"PEN"</f>
        <v>PEN</v>
      </c>
      <c r="O808" s="13"/>
      <c r="P808" s="13">
        <v>1300</v>
      </c>
      <c r="Q808" s="3">
        <f t="shared" ref="Q808:Q815" si="152">+IF(OR($F808="SALDO",$F808="INGRESO"),$P808,0)</f>
        <v>0</v>
      </c>
      <c r="R808" s="3">
        <f t="shared" ref="R808:R815" si="153">+IF($F808="EGRESO",$P808,0)</f>
        <v>1300</v>
      </c>
      <c r="S808" s="3">
        <f t="shared" si="133"/>
        <v>4324.0999999999922</v>
      </c>
      <c r="T808" s="24"/>
      <c r="U808" s="24"/>
      <c r="V808" s="3"/>
      <c r="W808" s="25"/>
      <c r="X808" s="25"/>
      <c r="Y808" s="25"/>
      <c r="Z808" s="25"/>
      <c r="AA808" s="25"/>
      <c r="AB808" s="3" t="str">
        <f>IF(Caja_Finanzas[[#This Row],[fecha]]&gt;0,TEXT(Caja_Finanzas[[#This Row],[fecha]],"mmmm"),0)</f>
        <v>Setiembre</v>
      </c>
    </row>
    <row r="809" spans="1:28" ht="24" x14ac:dyDescent="0.3">
      <c r="A809" s="2">
        <f>IF(Caja_Finanzas[[#This Row],[tipo_r]]="R",COUNTIFS($C$1:$C808,"R")+1,A808)</f>
        <v>718</v>
      </c>
      <c r="B809" s="19" t="str">
        <f t="shared" si="150"/>
        <v>C-Finanzas</v>
      </c>
      <c r="C809" s="3" t="s">
        <v>1330</v>
      </c>
      <c r="D809" s="14">
        <v>45915</v>
      </c>
      <c r="E809" s="5" t="s">
        <v>1875</v>
      </c>
      <c r="F809" s="5" t="s">
        <v>1303</v>
      </c>
      <c r="G809" s="5"/>
      <c r="H809" s="104"/>
      <c r="I809" s="6" t="s">
        <v>119</v>
      </c>
      <c r="J809" s="6">
        <v>1</v>
      </c>
      <c r="K809" s="6">
        <v>4745</v>
      </c>
      <c r="L809" s="7" t="s">
        <v>6118</v>
      </c>
      <c r="M809" s="8" t="str">
        <f>"CFI"&amp;".D"&amp;TEXT(Caja_Finanzas[[#This Row],[fecha]],"DD-MM")&amp;"-"&amp;TEXT(Caja_Finanzas[[#This Row],[item]],"0000")</f>
        <v>CFI.D15-09-0718</v>
      </c>
      <c r="N809" s="8" t="str">
        <f t="shared" si="151"/>
        <v>PEN</v>
      </c>
      <c r="O809" s="13"/>
      <c r="P809" s="13">
        <v>560</v>
      </c>
      <c r="Q809" s="3">
        <f t="shared" si="152"/>
        <v>560</v>
      </c>
      <c r="R809" s="3">
        <f t="shared" si="153"/>
        <v>0</v>
      </c>
      <c r="S809" s="3">
        <f t="shared" si="133"/>
        <v>4884.0999999999922</v>
      </c>
      <c r="T809" s="24"/>
      <c r="U809" s="24"/>
      <c r="V809" s="3"/>
      <c r="W809" s="25"/>
      <c r="X809" s="25"/>
      <c r="Y809" s="25"/>
      <c r="Z809" s="25"/>
      <c r="AA809" s="25"/>
      <c r="AB809" s="3" t="str">
        <f>IF(Caja_Finanzas[[#This Row],[fecha]]&gt;0,TEXT(Caja_Finanzas[[#This Row],[fecha]],"mmmm"),0)</f>
        <v>Setiembre</v>
      </c>
    </row>
    <row r="810" spans="1:28" x14ac:dyDescent="0.3">
      <c r="A810" s="2">
        <f>IF(Caja_Finanzas[[#This Row],[tipo_r]]="R",COUNTIFS($C$1:$C809,"R")+1,A809)</f>
        <v>719</v>
      </c>
      <c r="B810" s="19" t="str">
        <f t="shared" si="150"/>
        <v>C-Finanzas</v>
      </c>
      <c r="C810" s="3" t="s">
        <v>1330</v>
      </c>
      <c r="D810" s="14">
        <v>45915</v>
      </c>
      <c r="E810" s="5" t="s">
        <v>2800</v>
      </c>
      <c r="F810" s="5" t="s">
        <v>1303</v>
      </c>
      <c r="G810" s="5"/>
      <c r="H810" s="104"/>
      <c r="I810" s="6" t="s">
        <v>119</v>
      </c>
      <c r="J810" s="6">
        <v>1</v>
      </c>
      <c r="K810" s="6">
        <v>4742</v>
      </c>
      <c r="L810" s="7" t="s">
        <v>6118</v>
      </c>
      <c r="M810" s="8" t="str">
        <f>"CFI"&amp;".D"&amp;TEXT(Caja_Finanzas[[#This Row],[fecha]],"DD-MM")&amp;"-"&amp;TEXT(Caja_Finanzas[[#This Row],[item]],"0000")</f>
        <v>CFI.D15-09-0719</v>
      </c>
      <c r="N810" s="8" t="str">
        <f t="shared" si="151"/>
        <v>PEN</v>
      </c>
      <c r="O810" s="13"/>
      <c r="P810" s="13">
        <v>300</v>
      </c>
      <c r="Q810" s="3">
        <f t="shared" si="152"/>
        <v>300</v>
      </c>
      <c r="R810" s="3">
        <f t="shared" si="153"/>
        <v>0</v>
      </c>
      <c r="S810" s="3">
        <f t="shared" si="133"/>
        <v>5184.0999999999922</v>
      </c>
      <c r="T810" s="24"/>
      <c r="U810" s="24"/>
      <c r="V810" s="3"/>
      <c r="W810" s="25"/>
      <c r="X810" s="25"/>
      <c r="Y810" s="25"/>
      <c r="Z810" s="25"/>
      <c r="AA810" s="25"/>
      <c r="AB810" s="3" t="str">
        <f>IF(Caja_Finanzas[[#This Row],[fecha]]&gt;0,TEXT(Caja_Finanzas[[#This Row],[fecha]],"mmmm"),0)</f>
        <v>Setiembre</v>
      </c>
    </row>
    <row r="811" spans="1:28" x14ac:dyDescent="0.3">
      <c r="A811" s="2">
        <f>IF(Caja_Finanzas[[#This Row],[tipo_r]]="R",COUNTIFS($C$1:$C810,"R")+1,A810)</f>
        <v>720</v>
      </c>
      <c r="B811" s="19" t="str">
        <f t="shared" si="150"/>
        <v>C-Finanzas</v>
      </c>
      <c r="C811" s="3" t="s">
        <v>1330</v>
      </c>
      <c r="D811" s="14">
        <v>45915</v>
      </c>
      <c r="E811" s="5" t="s">
        <v>1498</v>
      </c>
      <c r="F811" s="5" t="s">
        <v>1303</v>
      </c>
      <c r="G811" s="5"/>
      <c r="H811" s="104"/>
      <c r="I811" s="6" t="s">
        <v>119</v>
      </c>
      <c r="J811" s="6">
        <v>1</v>
      </c>
      <c r="K811" s="6">
        <v>4741</v>
      </c>
      <c r="L811" s="7" t="s">
        <v>6118</v>
      </c>
      <c r="M811" s="8" t="str">
        <f>"CFI"&amp;".D"&amp;TEXT(Caja_Finanzas[[#This Row],[fecha]],"DD-MM")&amp;"-"&amp;TEXT(Caja_Finanzas[[#This Row],[item]],"0000")</f>
        <v>CFI.D15-09-0720</v>
      </c>
      <c r="N811" s="8" t="str">
        <f t="shared" si="151"/>
        <v>PEN</v>
      </c>
      <c r="O811" s="13"/>
      <c r="P811" s="13">
        <v>56</v>
      </c>
      <c r="Q811" s="3">
        <f t="shared" si="152"/>
        <v>56</v>
      </c>
      <c r="R811" s="3">
        <f t="shared" si="153"/>
        <v>0</v>
      </c>
      <c r="S811" s="3">
        <f t="shared" si="133"/>
        <v>5240.0999999999922</v>
      </c>
      <c r="T811" s="24"/>
      <c r="U811" s="24"/>
      <c r="V811" s="3"/>
      <c r="W811" s="25"/>
      <c r="X811" s="25"/>
      <c r="Y811" s="25"/>
      <c r="Z811" s="25"/>
      <c r="AA811" s="25"/>
      <c r="AB811" s="3" t="str">
        <f>IF(Caja_Finanzas[[#This Row],[fecha]]&gt;0,TEXT(Caja_Finanzas[[#This Row],[fecha]],"mmmm"),0)</f>
        <v>Setiembre</v>
      </c>
    </row>
    <row r="812" spans="1:28" ht="24" x14ac:dyDescent="0.3">
      <c r="A812" s="2">
        <f>IF(Caja_Finanzas[[#This Row],[tipo_r]]="R",COUNTIFS($C$1:$C811,"R")+1,A811)</f>
        <v>721</v>
      </c>
      <c r="B812" s="19" t="str">
        <f t="shared" si="150"/>
        <v>C-Finanzas</v>
      </c>
      <c r="C812" s="3" t="s">
        <v>1330</v>
      </c>
      <c r="D812" s="14">
        <v>45915</v>
      </c>
      <c r="E812" s="5" t="s">
        <v>1875</v>
      </c>
      <c r="F812" s="5" t="s">
        <v>1303</v>
      </c>
      <c r="G812" s="5"/>
      <c r="H812" s="104"/>
      <c r="I812" s="6" t="s">
        <v>119</v>
      </c>
      <c r="J812" s="6">
        <v>1</v>
      </c>
      <c r="K812" s="6">
        <v>4683</v>
      </c>
      <c r="L812" s="7" t="s">
        <v>6118</v>
      </c>
      <c r="M812" s="8" t="str">
        <f>"CFI"&amp;".D"&amp;TEXT(Caja_Finanzas[[#This Row],[fecha]],"DD-MM")&amp;"-"&amp;TEXT(Caja_Finanzas[[#This Row],[item]],"0000")</f>
        <v>CFI.D15-09-0721</v>
      </c>
      <c r="N812" s="8" t="str">
        <f t="shared" si="151"/>
        <v>PEN</v>
      </c>
      <c r="O812" s="13"/>
      <c r="P812" s="13">
        <v>5</v>
      </c>
      <c r="Q812" s="3">
        <f t="shared" si="152"/>
        <v>5</v>
      </c>
      <c r="R812" s="3">
        <f t="shared" si="153"/>
        <v>0</v>
      </c>
      <c r="S812" s="3">
        <f t="shared" si="133"/>
        <v>5245.0999999999922</v>
      </c>
      <c r="T812" s="24"/>
      <c r="U812" s="24"/>
      <c r="V812" s="3"/>
      <c r="W812" s="25"/>
      <c r="X812" s="25"/>
      <c r="Y812" s="25"/>
      <c r="Z812" s="25"/>
      <c r="AA812" s="25"/>
      <c r="AB812" s="3" t="str">
        <f>IF(Caja_Finanzas[[#This Row],[fecha]]&gt;0,TEXT(Caja_Finanzas[[#This Row],[fecha]],"mmmm"),0)</f>
        <v>Setiembre</v>
      </c>
    </row>
    <row r="813" spans="1:28" ht="24" x14ac:dyDescent="0.3">
      <c r="A813" s="2">
        <f>IF(Caja_Finanzas[[#This Row],[tipo_r]]="R",COUNTIFS($C$1:$C812,"R")+1,A812)</f>
        <v>722</v>
      </c>
      <c r="B813" s="19" t="str">
        <f t="shared" si="150"/>
        <v>C-Finanzas</v>
      </c>
      <c r="C813" s="3" t="s">
        <v>1330</v>
      </c>
      <c r="D813" s="14">
        <v>45915</v>
      </c>
      <c r="E813" s="5" t="s">
        <v>1875</v>
      </c>
      <c r="F813" s="5" t="s">
        <v>1303</v>
      </c>
      <c r="G813" s="5"/>
      <c r="H813" s="104"/>
      <c r="I813" s="6" t="s">
        <v>119</v>
      </c>
      <c r="J813" s="6">
        <v>1</v>
      </c>
      <c r="K813" s="6">
        <v>4689</v>
      </c>
      <c r="L813" s="7" t="s">
        <v>6118</v>
      </c>
      <c r="M813" s="8" t="str">
        <f>"CFI"&amp;".D"&amp;TEXT(Caja_Finanzas[[#This Row],[fecha]],"DD-MM")&amp;"-"&amp;TEXT(Caja_Finanzas[[#This Row],[item]],"0000")</f>
        <v>CFI.D15-09-0722</v>
      </c>
      <c r="N813" s="8" t="str">
        <f t="shared" si="151"/>
        <v>PEN</v>
      </c>
      <c r="O813" s="13"/>
      <c r="P813" s="13">
        <v>5</v>
      </c>
      <c r="Q813" s="3">
        <f t="shared" si="152"/>
        <v>5</v>
      </c>
      <c r="R813" s="3">
        <f t="shared" si="153"/>
        <v>0</v>
      </c>
      <c r="S813" s="3">
        <f t="shared" si="133"/>
        <v>5250.0999999999922</v>
      </c>
      <c r="T813" s="24"/>
      <c r="U813" s="24"/>
      <c r="V813" s="3"/>
      <c r="W813" s="25"/>
      <c r="X813" s="25"/>
      <c r="Y813" s="25"/>
      <c r="Z813" s="25"/>
      <c r="AA813" s="25"/>
      <c r="AB813" s="3" t="str">
        <f>IF(Caja_Finanzas[[#This Row],[fecha]]&gt;0,TEXT(Caja_Finanzas[[#This Row],[fecha]],"mmmm"),0)</f>
        <v>Setiembre</v>
      </c>
    </row>
    <row r="814" spans="1:28" ht="24" x14ac:dyDescent="0.3">
      <c r="A814" s="2">
        <f>IF(Caja_Finanzas[[#This Row],[tipo_r]]="R",COUNTIFS($C$1:$C813,"R")+1,A813)</f>
        <v>723</v>
      </c>
      <c r="B814" s="19" t="str">
        <f t="shared" si="150"/>
        <v>C-Finanzas</v>
      </c>
      <c r="C814" s="3" t="s">
        <v>1330</v>
      </c>
      <c r="D814" s="14">
        <v>45915</v>
      </c>
      <c r="E814" s="5" t="s">
        <v>6460</v>
      </c>
      <c r="F814" s="5" t="s">
        <v>1336</v>
      </c>
      <c r="G814" s="5"/>
      <c r="H814" s="104" t="s">
        <v>1009</v>
      </c>
      <c r="I814" s="6" t="s">
        <v>115</v>
      </c>
      <c r="J814" s="6" t="s">
        <v>7299</v>
      </c>
      <c r="K814" s="6">
        <v>133</v>
      </c>
      <c r="L814" s="7" t="s">
        <v>7416</v>
      </c>
      <c r="M814" s="8" t="str">
        <f>"CFI"&amp;".D"&amp;TEXT(Caja_Finanzas[[#This Row],[fecha]],"DD-MM")&amp;"-"&amp;TEXT(Caja_Finanzas[[#This Row],[item]],"0000")</f>
        <v>CFI.D15-09-0723</v>
      </c>
      <c r="N814" s="8" t="str">
        <f t="shared" si="151"/>
        <v>PEN</v>
      </c>
      <c r="O814" s="13"/>
      <c r="P814" s="13">
        <v>10</v>
      </c>
      <c r="Q814" s="3">
        <f t="shared" si="152"/>
        <v>0</v>
      </c>
      <c r="R814" s="3">
        <f t="shared" si="153"/>
        <v>10</v>
      </c>
      <c r="S814" s="3">
        <f t="shared" si="133"/>
        <v>5240.0999999999922</v>
      </c>
      <c r="T814" s="24"/>
      <c r="U814" s="24"/>
      <c r="V814" s="3"/>
      <c r="W814" s="25"/>
      <c r="X814" s="25"/>
      <c r="Y814" s="25"/>
      <c r="Z814" s="25"/>
      <c r="AA814" s="25"/>
      <c r="AB814" s="3" t="str">
        <f>IF(Caja_Finanzas[[#This Row],[fecha]]&gt;0,TEXT(Caja_Finanzas[[#This Row],[fecha]],"mmmm"),0)</f>
        <v>Setiembre</v>
      </c>
    </row>
    <row r="815" spans="1:28" ht="24" x14ac:dyDescent="0.3">
      <c r="A815" s="2">
        <f>IF(Caja_Finanzas[[#This Row],[tipo_r]]="R",COUNTIFS($C$1:$C814,"R")+1,A814)</f>
        <v>724</v>
      </c>
      <c r="B815" s="19" t="str">
        <f t="shared" si="150"/>
        <v>C-Finanzas</v>
      </c>
      <c r="C815" s="3" t="s">
        <v>1330</v>
      </c>
      <c r="D815" s="14">
        <v>45915</v>
      </c>
      <c r="E815" s="5" t="s">
        <v>6460</v>
      </c>
      <c r="F815" s="5" t="s">
        <v>1336</v>
      </c>
      <c r="G815" s="5"/>
      <c r="H815" s="104" t="s">
        <v>1009</v>
      </c>
      <c r="I815" s="6" t="s">
        <v>115</v>
      </c>
      <c r="J815" s="6" t="s">
        <v>7299</v>
      </c>
      <c r="K815" s="6">
        <v>135</v>
      </c>
      <c r="L815" s="7" t="s">
        <v>7417</v>
      </c>
      <c r="M815" s="8" t="str">
        <f>"CFI"&amp;".D"&amp;TEXT(Caja_Finanzas[[#This Row],[fecha]],"DD-MM")&amp;"-"&amp;TEXT(Caja_Finanzas[[#This Row],[item]],"0000")</f>
        <v>CFI.D15-09-0724</v>
      </c>
      <c r="N815" s="8" t="str">
        <f t="shared" si="151"/>
        <v>PEN</v>
      </c>
      <c r="O815" s="13"/>
      <c r="P815" s="13">
        <v>5</v>
      </c>
      <c r="Q815" s="3">
        <f t="shared" si="152"/>
        <v>0</v>
      </c>
      <c r="R815" s="3">
        <f t="shared" si="153"/>
        <v>5</v>
      </c>
      <c r="S815" s="3">
        <f t="shared" si="133"/>
        <v>5235.0999999999922</v>
      </c>
      <c r="T815" s="24"/>
      <c r="U815" s="24"/>
      <c r="V815" s="3"/>
      <c r="W815" s="25"/>
      <c r="X815" s="25"/>
      <c r="Y815" s="25"/>
      <c r="Z815" s="25"/>
      <c r="AA815" s="25"/>
      <c r="AB815" s="3" t="str">
        <f>IF(Caja_Finanzas[[#This Row],[fecha]]&gt;0,TEXT(Caja_Finanzas[[#This Row],[fecha]],"mmmm"),0)</f>
        <v>Setiembre</v>
      </c>
    </row>
    <row r="816" spans="1:28" ht="24" x14ac:dyDescent="0.3">
      <c r="A816" s="2">
        <f>IF(Caja_Finanzas[[#This Row],[tipo_r]]="R",COUNTIFS($C$1:$C815,"R")+1,A815)</f>
        <v>725</v>
      </c>
      <c r="B816" s="19" t="str">
        <f t="shared" ref="B816:B822" si="154">"C-Finanzas"</f>
        <v>C-Finanzas</v>
      </c>
      <c r="C816" s="3" t="s">
        <v>1330</v>
      </c>
      <c r="D816" s="14">
        <v>45916</v>
      </c>
      <c r="E816" s="5" t="s">
        <v>4104</v>
      </c>
      <c r="F816" s="5" t="s">
        <v>1303</v>
      </c>
      <c r="G816" s="5"/>
      <c r="H816" s="104"/>
      <c r="I816" s="6" t="s">
        <v>119</v>
      </c>
      <c r="J816" s="6">
        <v>1</v>
      </c>
      <c r="K816" s="6">
        <v>4587</v>
      </c>
      <c r="L816" s="7" t="s">
        <v>6118</v>
      </c>
      <c r="M816" s="8" t="str">
        <f>"CFI"&amp;".D"&amp;TEXT(Caja_Finanzas[[#This Row],[fecha]],"DD-MM")&amp;"-"&amp;TEXT(Caja_Finanzas[[#This Row],[item]],"0000")</f>
        <v>CFI.D16-09-0725</v>
      </c>
      <c r="N816" s="8" t="str">
        <f t="shared" ref="N816:N822" si="155">"PEN"</f>
        <v>PEN</v>
      </c>
      <c r="O816" s="13"/>
      <c r="P816" s="13">
        <v>151.19999999999999</v>
      </c>
      <c r="Q816" s="3">
        <f t="shared" ref="Q816:Q822" si="156">+IF(OR($F816="SALDO",$F816="INGRESO"),$P816,0)</f>
        <v>151.19999999999999</v>
      </c>
      <c r="R816" s="3">
        <f t="shared" ref="R816:R822" si="157">+IF($F816="EGRESO",$P816,0)</f>
        <v>0</v>
      </c>
      <c r="S816" s="3">
        <f t="shared" si="133"/>
        <v>5386.299999999992</v>
      </c>
      <c r="T816" s="24"/>
      <c r="U816" s="24"/>
      <c r="V816" s="3"/>
      <c r="W816" s="25"/>
      <c r="X816" s="25"/>
      <c r="Y816" s="25"/>
      <c r="Z816" s="25"/>
      <c r="AA816" s="25"/>
      <c r="AB816" s="3" t="str">
        <f>IF(Caja_Finanzas[[#This Row],[fecha]]&gt;0,TEXT(Caja_Finanzas[[#This Row],[fecha]],"mmmm"),0)</f>
        <v>Setiembre</v>
      </c>
    </row>
    <row r="817" spans="1:28" ht="24" x14ac:dyDescent="0.3">
      <c r="A817" s="2">
        <f>IF(Caja_Finanzas[[#This Row],[tipo_r]]="R",COUNTIFS($C$1:$C816,"R")+1,A816)</f>
        <v>726</v>
      </c>
      <c r="B817" s="19" t="str">
        <f t="shared" si="154"/>
        <v>C-Finanzas</v>
      </c>
      <c r="C817" s="3" t="s">
        <v>1330</v>
      </c>
      <c r="D817" s="14">
        <v>45916</v>
      </c>
      <c r="E817" s="5" t="s">
        <v>1875</v>
      </c>
      <c r="F817" s="5" t="s">
        <v>1303</v>
      </c>
      <c r="G817" s="5"/>
      <c r="H817" s="104"/>
      <c r="I817" s="6" t="s">
        <v>119</v>
      </c>
      <c r="J817" s="6">
        <v>1</v>
      </c>
      <c r="K817" s="6">
        <v>4750</v>
      </c>
      <c r="L817" s="7" t="s">
        <v>6118</v>
      </c>
      <c r="M817" s="8" t="str">
        <f>"CFI"&amp;".D"&amp;TEXT(Caja_Finanzas[[#This Row],[fecha]],"DD-MM")&amp;"-"&amp;TEXT(Caja_Finanzas[[#This Row],[item]],"0000")</f>
        <v>CFI.D16-09-0726</v>
      </c>
      <c r="N817" s="8" t="str">
        <f t="shared" si="155"/>
        <v>PEN</v>
      </c>
      <c r="O817" s="13"/>
      <c r="P817" s="13">
        <v>210</v>
      </c>
      <c r="Q817" s="3">
        <f t="shared" si="156"/>
        <v>210</v>
      </c>
      <c r="R817" s="3">
        <f t="shared" si="157"/>
        <v>0</v>
      </c>
      <c r="S817" s="3">
        <f t="shared" si="133"/>
        <v>5596.299999999992</v>
      </c>
      <c r="T817" s="24"/>
      <c r="U817" s="24"/>
      <c r="V817" s="3"/>
      <c r="W817" s="25"/>
      <c r="X817" s="25"/>
      <c r="Y817" s="25"/>
      <c r="Z817" s="25"/>
      <c r="AA817" s="25"/>
      <c r="AB817" s="3" t="str">
        <f>IF(Caja_Finanzas[[#This Row],[fecha]]&gt;0,TEXT(Caja_Finanzas[[#This Row],[fecha]],"mmmm"),0)</f>
        <v>Setiembre</v>
      </c>
    </row>
    <row r="818" spans="1:28" ht="48" x14ac:dyDescent="0.3">
      <c r="A818" s="2">
        <f>IF(Caja_Finanzas[[#This Row],[tipo_r]]="R",COUNTIFS($C$1:$C817,"R")+1,A817)</f>
        <v>727</v>
      </c>
      <c r="B818" s="19" t="str">
        <f t="shared" si="154"/>
        <v>C-Finanzas</v>
      </c>
      <c r="C818" s="3" t="s">
        <v>1330</v>
      </c>
      <c r="D818" s="14">
        <v>45916</v>
      </c>
      <c r="E818" s="5" t="s">
        <v>6940</v>
      </c>
      <c r="F818" s="5" t="s">
        <v>1303</v>
      </c>
      <c r="G818" s="5"/>
      <c r="H818" s="104" t="s">
        <v>1009</v>
      </c>
      <c r="I818" s="6" t="s">
        <v>115</v>
      </c>
      <c r="J818" s="6" t="s">
        <v>7187</v>
      </c>
      <c r="K818" s="6">
        <v>116</v>
      </c>
      <c r="L818" s="7" t="s">
        <v>7418</v>
      </c>
      <c r="M818" s="8" t="str">
        <f>"CFI"&amp;".D"&amp;TEXT(Caja_Finanzas[[#This Row],[fecha]],"DD-MM")&amp;"-"&amp;TEXT(Caja_Finanzas[[#This Row],[item]],"0000")</f>
        <v>CFI.D16-09-0727</v>
      </c>
      <c r="N818" s="8" t="str">
        <f t="shared" si="155"/>
        <v>PEN</v>
      </c>
      <c r="O818" s="13"/>
      <c r="P818" s="13">
        <v>1600</v>
      </c>
      <c r="Q818" s="3">
        <f t="shared" si="156"/>
        <v>1600</v>
      </c>
      <c r="R818" s="3">
        <f t="shared" si="157"/>
        <v>0</v>
      </c>
      <c r="S818" s="3">
        <f t="shared" si="133"/>
        <v>7196.299999999992</v>
      </c>
      <c r="T818" s="24"/>
      <c r="U818" s="24"/>
      <c r="V818" s="3"/>
      <c r="W818" s="25"/>
      <c r="X818" s="25"/>
      <c r="Y818" s="25"/>
      <c r="Z818" s="25"/>
      <c r="AA818" s="25"/>
      <c r="AB818" s="3" t="str">
        <f>IF(Caja_Finanzas[[#This Row],[fecha]]&gt;0,TEXT(Caja_Finanzas[[#This Row],[fecha]],"mmmm"),0)</f>
        <v>Setiembre</v>
      </c>
    </row>
    <row r="819" spans="1:28" ht="24" x14ac:dyDescent="0.3">
      <c r="A819" s="2">
        <f>IF(Caja_Finanzas[[#This Row],[tipo_r]]="R",COUNTIFS($C$1:$C818,"R")+1,A818)</f>
        <v>728</v>
      </c>
      <c r="B819" s="19" t="str">
        <f t="shared" si="154"/>
        <v>C-Finanzas</v>
      </c>
      <c r="C819" s="3" t="s">
        <v>1330</v>
      </c>
      <c r="D819" s="14">
        <v>45917</v>
      </c>
      <c r="E819" s="5" t="s">
        <v>6460</v>
      </c>
      <c r="F819" s="5" t="s">
        <v>1336</v>
      </c>
      <c r="G819" s="5"/>
      <c r="H819" s="104" t="s">
        <v>1009</v>
      </c>
      <c r="I819" s="6" t="s">
        <v>115</v>
      </c>
      <c r="J819" s="6" t="s">
        <v>7299</v>
      </c>
      <c r="K819" s="6">
        <v>141</v>
      </c>
      <c r="L819" s="7" t="s">
        <v>7419</v>
      </c>
      <c r="M819" s="8" t="str">
        <f>"CFI"&amp;".D"&amp;TEXT(Caja_Finanzas[[#This Row],[fecha]],"DD-MM")&amp;"-"&amp;TEXT(Caja_Finanzas[[#This Row],[item]],"0000")</f>
        <v>CFI.D17-09-0728</v>
      </c>
      <c r="N819" s="8" t="str">
        <f t="shared" si="155"/>
        <v>PEN</v>
      </c>
      <c r="O819" s="13"/>
      <c r="P819" s="13">
        <v>5</v>
      </c>
      <c r="Q819" s="3">
        <f t="shared" si="156"/>
        <v>0</v>
      </c>
      <c r="R819" s="3">
        <f t="shared" si="157"/>
        <v>5</v>
      </c>
      <c r="S819" s="3">
        <f t="shared" si="133"/>
        <v>7191.299999999992</v>
      </c>
      <c r="T819" s="24"/>
      <c r="U819" s="24"/>
      <c r="V819" s="3"/>
      <c r="W819" s="25"/>
      <c r="X819" s="25"/>
      <c r="Y819" s="25"/>
      <c r="Z819" s="25"/>
      <c r="AA819" s="25"/>
      <c r="AB819" s="3" t="str">
        <f>IF(Caja_Finanzas[[#This Row],[fecha]]&gt;0,TEXT(Caja_Finanzas[[#This Row],[fecha]],"mmmm"),0)</f>
        <v>Setiembre</v>
      </c>
    </row>
    <row r="820" spans="1:28" ht="24" x14ac:dyDescent="0.3">
      <c r="A820" s="2">
        <f>IF(Caja_Finanzas[[#This Row],[tipo_r]]="R",COUNTIFS($C$1:$C819,"R")+1,A819)</f>
        <v>729</v>
      </c>
      <c r="B820" s="19" t="str">
        <f t="shared" si="154"/>
        <v>C-Finanzas</v>
      </c>
      <c r="C820" s="3" t="s">
        <v>1330</v>
      </c>
      <c r="D820" s="14">
        <v>45917</v>
      </c>
      <c r="E820" s="5" t="s">
        <v>6460</v>
      </c>
      <c r="F820" s="5" t="s">
        <v>1336</v>
      </c>
      <c r="G820" s="5"/>
      <c r="H820" s="104" t="s">
        <v>1009</v>
      </c>
      <c r="I820" s="6" t="s">
        <v>115</v>
      </c>
      <c r="J820" s="6" t="s">
        <v>7299</v>
      </c>
      <c r="K820" s="6">
        <v>140</v>
      </c>
      <c r="L820" s="7" t="s">
        <v>7420</v>
      </c>
      <c r="M820" s="8" t="str">
        <f>"CFI"&amp;".D"&amp;TEXT(Caja_Finanzas[[#This Row],[fecha]],"DD-MM")&amp;"-"&amp;TEXT(Caja_Finanzas[[#This Row],[item]],"0000")</f>
        <v>CFI.D17-09-0729</v>
      </c>
      <c r="N820" s="8" t="str">
        <f t="shared" si="155"/>
        <v>PEN</v>
      </c>
      <c r="O820" s="13"/>
      <c r="P820" s="13">
        <v>5</v>
      </c>
      <c r="Q820" s="3">
        <f t="shared" si="156"/>
        <v>0</v>
      </c>
      <c r="R820" s="3">
        <f t="shared" si="157"/>
        <v>5</v>
      </c>
      <c r="S820" s="3">
        <f t="shared" si="133"/>
        <v>7186.299999999992</v>
      </c>
      <c r="T820" s="24"/>
      <c r="U820" s="24"/>
      <c r="V820" s="3"/>
      <c r="W820" s="25"/>
      <c r="X820" s="25"/>
      <c r="Y820" s="25"/>
      <c r="Z820" s="25"/>
      <c r="AA820" s="25"/>
      <c r="AB820" s="3" t="str">
        <f>IF(Caja_Finanzas[[#This Row],[fecha]]&gt;0,TEXT(Caja_Finanzas[[#This Row],[fecha]],"mmmm"),0)</f>
        <v>Setiembre</v>
      </c>
    </row>
    <row r="821" spans="1:28" ht="24" x14ac:dyDescent="0.3">
      <c r="A821" s="2">
        <f>IF(Caja_Finanzas[[#This Row],[tipo_r]]="R",COUNTIFS($C$1:$C820,"R")+1,A820)</f>
        <v>730</v>
      </c>
      <c r="B821" s="19" t="str">
        <f t="shared" si="154"/>
        <v>C-Finanzas</v>
      </c>
      <c r="C821" s="3" t="s">
        <v>1330</v>
      </c>
      <c r="D821" s="14">
        <v>45917</v>
      </c>
      <c r="E821" s="5" t="s">
        <v>3293</v>
      </c>
      <c r="F821" s="5" t="s">
        <v>1303</v>
      </c>
      <c r="G821" s="5"/>
      <c r="H821" s="104"/>
      <c r="I821" s="6" t="s">
        <v>119</v>
      </c>
      <c r="J821" s="6">
        <v>1</v>
      </c>
      <c r="K821" s="6">
        <v>4752</v>
      </c>
      <c r="L821" s="7" t="s">
        <v>6118</v>
      </c>
      <c r="M821" s="8" t="str">
        <f>"CFI"&amp;".D"&amp;TEXT(Caja_Finanzas[[#This Row],[fecha]],"DD-MM")&amp;"-"&amp;TEXT(Caja_Finanzas[[#This Row],[item]],"0000")</f>
        <v>CFI.D17-09-0730</v>
      </c>
      <c r="N821" s="8" t="str">
        <f t="shared" si="155"/>
        <v>PEN</v>
      </c>
      <c r="O821" s="13"/>
      <c r="P821" s="13">
        <v>195</v>
      </c>
      <c r="Q821" s="3">
        <f t="shared" si="156"/>
        <v>195</v>
      </c>
      <c r="R821" s="3">
        <f t="shared" si="157"/>
        <v>0</v>
      </c>
      <c r="S821" s="3">
        <f t="shared" si="133"/>
        <v>7381.299999999992</v>
      </c>
      <c r="T821" s="24"/>
      <c r="U821" s="24"/>
      <c r="V821" s="3"/>
      <c r="W821" s="25"/>
      <c r="X821" s="25"/>
      <c r="Y821" s="25"/>
      <c r="Z821" s="25"/>
      <c r="AA821" s="25"/>
      <c r="AB821" s="3" t="str">
        <f>IF(Caja_Finanzas[[#This Row],[fecha]]&gt;0,TEXT(Caja_Finanzas[[#This Row],[fecha]],"mmmm"),0)</f>
        <v>Setiembre</v>
      </c>
    </row>
    <row r="822" spans="1:28" ht="48" x14ac:dyDescent="0.3">
      <c r="A822" s="2">
        <f>IF(Caja_Finanzas[[#This Row],[tipo_r]]="R",COUNTIFS($C$1:$C821,"R")+1,A821)</f>
        <v>731</v>
      </c>
      <c r="B822" s="19" t="str">
        <f t="shared" si="154"/>
        <v>C-Finanzas</v>
      </c>
      <c r="C822" s="3" t="s">
        <v>1330</v>
      </c>
      <c r="D822" s="14">
        <v>45917</v>
      </c>
      <c r="E822" s="5" t="s">
        <v>6460</v>
      </c>
      <c r="F822" s="5" t="s">
        <v>1336</v>
      </c>
      <c r="G822" s="5"/>
      <c r="H822" s="104" t="s">
        <v>1009</v>
      </c>
      <c r="I822" s="6" t="s">
        <v>115</v>
      </c>
      <c r="J822" s="6" t="s">
        <v>7299</v>
      </c>
      <c r="K822" s="6">
        <v>142</v>
      </c>
      <c r="L822" s="7" t="s">
        <v>7421</v>
      </c>
      <c r="M822" s="8" t="str">
        <f>"CFI"&amp;".D"&amp;TEXT(Caja_Finanzas[[#This Row],[fecha]],"DD-MM")&amp;"-"&amp;TEXT(Caja_Finanzas[[#This Row],[item]],"0000")</f>
        <v>CFI.D17-09-0731</v>
      </c>
      <c r="N822" s="8" t="str">
        <f t="shared" si="155"/>
        <v>PEN</v>
      </c>
      <c r="O822" s="13"/>
      <c r="P822" s="13">
        <v>289.3</v>
      </c>
      <c r="Q822" s="3">
        <f t="shared" si="156"/>
        <v>0</v>
      </c>
      <c r="R822" s="3">
        <f t="shared" si="157"/>
        <v>289.3</v>
      </c>
      <c r="S822" s="3">
        <f t="shared" si="133"/>
        <v>7091.9999999999918</v>
      </c>
      <c r="T822" s="24"/>
      <c r="U822" s="24"/>
      <c r="V822" s="3"/>
      <c r="W822" s="25"/>
      <c r="X822" s="25"/>
      <c r="Y822" s="25"/>
      <c r="Z822" s="25"/>
      <c r="AA822" s="25"/>
      <c r="AB822" s="3" t="str">
        <f>IF(Caja_Finanzas[[#This Row],[fecha]]&gt;0,TEXT(Caja_Finanzas[[#This Row],[fecha]],"mmmm"),0)</f>
        <v>Setiembre</v>
      </c>
    </row>
    <row r="823" spans="1:28" ht="24" x14ac:dyDescent="0.3">
      <c r="A823" s="2">
        <f>IF(Caja_Finanzas[[#This Row],[tipo_r]]="R",COUNTIFS($C$1:$C822,"R")+1,A822)</f>
        <v>732</v>
      </c>
      <c r="B823" s="19" t="str">
        <f t="shared" ref="B823:B830" si="158">"C-Finanzas"</f>
        <v>C-Finanzas</v>
      </c>
      <c r="C823" s="3" t="s">
        <v>1330</v>
      </c>
      <c r="D823" s="14">
        <v>45918</v>
      </c>
      <c r="E823" s="5" t="s">
        <v>6940</v>
      </c>
      <c r="F823" s="5" t="s">
        <v>1336</v>
      </c>
      <c r="G823" s="5"/>
      <c r="H823" s="104" t="s">
        <v>1009</v>
      </c>
      <c r="I823" s="6" t="s">
        <v>115</v>
      </c>
      <c r="J823" s="6" t="s">
        <v>7282</v>
      </c>
      <c r="K823" s="6">
        <v>67</v>
      </c>
      <c r="L823" s="7" t="s">
        <v>7422</v>
      </c>
      <c r="M823" s="8" t="str">
        <f>"CFI"&amp;".D"&amp;TEXT(Caja_Finanzas[[#This Row],[fecha]],"DD-MM")&amp;"-"&amp;TEXT(Caja_Finanzas[[#This Row],[item]],"0000")</f>
        <v>CFI.D18-09-0732</v>
      </c>
      <c r="N823" s="8" t="str">
        <f t="shared" ref="N823:N830" si="159">"PEN"</f>
        <v>PEN</v>
      </c>
      <c r="O823" s="13"/>
      <c r="P823" s="13">
        <v>90</v>
      </c>
      <c r="Q823" s="3">
        <f t="shared" ref="Q823:Q830" si="160">+IF(OR($F823="SALDO",$F823="INGRESO"),$P823,0)</f>
        <v>0</v>
      </c>
      <c r="R823" s="3">
        <f t="shared" ref="R823:R830" si="161">+IF($F823="EGRESO",$P823,0)</f>
        <v>90</v>
      </c>
      <c r="S823" s="3">
        <f t="shared" si="133"/>
        <v>7001.9999999999918</v>
      </c>
      <c r="T823" s="24"/>
      <c r="U823" s="24"/>
      <c r="V823" s="3"/>
      <c r="W823" s="25"/>
      <c r="X823" s="25"/>
      <c r="Y823" s="25"/>
      <c r="Z823" s="25"/>
      <c r="AA823" s="25"/>
      <c r="AB823" s="3" t="str">
        <f>IF(Caja_Finanzas[[#This Row],[fecha]]&gt;0,TEXT(Caja_Finanzas[[#This Row],[fecha]],"mmmm"),0)</f>
        <v>Setiembre</v>
      </c>
    </row>
    <row r="824" spans="1:28" ht="24" x14ac:dyDescent="0.3">
      <c r="A824" s="2">
        <f>IF(Caja_Finanzas[[#This Row],[tipo_r]]="R",COUNTIFS($C$1:$C823,"R")+1,A823)</f>
        <v>733</v>
      </c>
      <c r="B824" s="19" t="str">
        <f t="shared" si="158"/>
        <v>C-Finanzas</v>
      </c>
      <c r="C824" s="3" t="s">
        <v>1330</v>
      </c>
      <c r="D824" s="14">
        <v>45918</v>
      </c>
      <c r="E824" s="5" t="s">
        <v>6940</v>
      </c>
      <c r="F824" s="5" t="s">
        <v>1336</v>
      </c>
      <c r="G824" s="5"/>
      <c r="H824" s="104" t="s">
        <v>594</v>
      </c>
      <c r="I824" s="6" t="s">
        <v>115</v>
      </c>
      <c r="J824" s="6" t="s">
        <v>7187</v>
      </c>
      <c r="K824" s="6">
        <v>153</v>
      </c>
      <c r="L824" s="7" t="s">
        <v>7423</v>
      </c>
      <c r="M824" s="8" t="str">
        <f>"CFI"&amp;".D"&amp;TEXT(Caja_Finanzas[[#This Row],[fecha]],"DD-MM")&amp;"-"&amp;TEXT(Caja_Finanzas[[#This Row],[item]],"0000")</f>
        <v>CFI.D18-09-0733</v>
      </c>
      <c r="N824" s="8" t="str">
        <f t="shared" si="159"/>
        <v>PEN</v>
      </c>
      <c r="O824" s="13"/>
      <c r="P824" s="13">
        <v>300</v>
      </c>
      <c r="Q824" s="3">
        <f t="shared" si="160"/>
        <v>0</v>
      </c>
      <c r="R824" s="3">
        <f t="shared" si="161"/>
        <v>300</v>
      </c>
      <c r="S824" s="3">
        <f t="shared" si="133"/>
        <v>6701.9999999999918</v>
      </c>
      <c r="T824" s="24"/>
      <c r="U824" s="24"/>
      <c r="V824" s="3"/>
      <c r="W824" s="25"/>
      <c r="X824" s="25"/>
      <c r="Y824" s="25"/>
      <c r="Z824" s="25"/>
      <c r="AA824" s="25"/>
      <c r="AB824" s="3" t="str">
        <f>IF(Caja_Finanzas[[#This Row],[fecha]]&gt;0,TEXT(Caja_Finanzas[[#This Row],[fecha]],"mmmm"),0)</f>
        <v>Setiembre</v>
      </c>
    </row>
    <row r="825" spans="1:28" ht="24" x14ac:dyDescent="0.3">
      <c r="A825" s="2">
        <f>IF(Caja_Finanzas[[#This Row],[tipo_r]]="R",COUNTIFS($C$1:$C824,"R")+1,A824)</f>
        <v>734</v>
      </c>
      <c r="B825" s="19" t="str">
        <f t="shared" si="158"/>
        <v>C-Finanzas</v>
      </c>
      <c r="C825" s="3" t="s">
        <v>1330</v>
      </c>
      <c r="D825" s="14">
        <v>45918</v>
      </c>
      <c r="E825" s="5" t="s">
        <v>6940</v>
      </c>
      <c r="F825" s="5" t="s">
        <v>1336</v>
      </c>
      <c r="G825" s="5"/>
      <c r="H825" s="104" t="s">
        <v>594</v>
      </c>
      <c r="I825" s="6" t="s">
        <v>115</v>
      </c>
      <c r="J825" s="6" t="s">
        <v>7187</v>
      </c>
      <c r="K825" s="6">
        <v>154</v>
      </c>
      <c r="L825" s="7" t="s">
        <v>7424</v>
      </c>
      <c r="M825" s="8" t="str">
        <f>"CFI"&amp;".D"&amp;TEXT(Caja_Finanzas[[#This Row],[fecha]],"DD-MM")&amp;"-"&amp;TEXT(Caja_Finanzas[[#This Row],[item]],"0000")</f>
        <v>CFI.D18-09-0734</v>
      </c>
      <c r="N825" s="8" t="str">
        <f t="shared" si="159"/>
        <v>PEN</v>
      </c>
      <c r="O825" s="13"/>
      <c r="P825" s="13">
        <v>300</v>
      </c>
      <c r="Q825" s="3">
        <f t="shared" si="160"/>
        <v>0</v>
      </c>
      <c r="R825" s="3">
        <f t="shared" si="161"/>
        <v>300</v>
      </c>
      <c r="S825" s="3">
        <f t="shared" si="133"/>
        <v>6401.9999999999918</v>
      </c>
      <c r="T825" s="24"/>
      <c r="U825" s="24"/>
      <c r="V825" s="3"/>
      <c r="W825" s="25"/>
      <c r="X825" s="25"/>
      <c r="Y825" s="25"/>
      <c r="Z825" s="25"/>
      <c r="AA825" s="25"/>
      <c r="AB825" s="3" t="str">
        <f>IF(Caja_Finanzas[[#This Row],[fecha]]&gt;0,TEXT(Caja_Finanzas[[#This Row],[fecha]],"mmmm"),0)</f>
        <v>Setiembre</v>
      </c>
    </row>
    <row r="826" spans="1:28" ht="36" x14ac:dyDescent="0.3">
      <c r="A826" s="2">
        <f>IF(Caja_Finanzas[[#This Row],[tipo_r]]="R",COUNTIFS($C$1:$C825,"R")+1,A825)</f>
        <v>735</v>
      </c>
      <c r="B826" s="19" t="str">
        <f t="shared" si="158"/>
        <v>C-Finanzas</v>
      </c>
      <c r="C826" s="3" t="s">
        <v>1330</v>
      </c>
      <c r="D826" s="14">
        <v>45918</v>
      </c>
      <c r="E826" s="5" t="s">
        <v>6570</v>
      </c>
      <c r="F826" s="5" t="s">
        <v>1336</v>
      </c>
      <c r="G826" s="5"/>
      <c r="H826" s="104" t="s">
        <v>1009</v>
      </c>
      <c r="I826" s="6" t="s">
        <v>115</v>
      </c>
      <c r="J826" s="6" t="s">
        <v>7187</v>
      </c>
      <c r="K826" s="6">
        <v>152</v>
      </c>
      <c r="L826" s="7" t="s">
        <v>7425</v>
      </c>
      <c r="M826" s="8" t="str">
        <f>"CFI"&amp;".D"&amp;TEXT(Caja_Finanzas[[#This Row],[fecha]],"DD-MM")&amp;"-"&amp;TEXT(Caja_Finanzas[[#This Row],[item]],"0000")</f>
        <v>CFI.D18-09-0735</v>
      </c>
      <c r="N826" s="8" t="str">
        <f t="shared" si="159"/>
        <v>PEN</v>
      </c>
      <c r="O826" s="13"/>
      <c r="P826" s="13">
        <v>57</v>
      </c>
      <c r="Q826" s="3">
        <f t="shared" si="160"/>
        <v>0</v>
      </c>
      <c r="R826" s="3">
        <f t="shared" si="161"/>
        <v>57</v>
      </c>
      <c r="S826" s="3">
        <f t="shared" si="133"/>
        <v>6344.9999999999918</v>
      </c>
      <c r="T826" s="24"/>
      <c r="U826" s="24"/>
      <c r="V826" s="3"/>
      <c r="W826" s="25"/>
      <c r="X826" s="25"/>
      <c r="Y826" s="25"/>
      <c r="Z826" s="25"/>
      <c r="AA826" s="25"/>
      <c r="AB826" s="3" t="str">
        <f>IF(Caja_Finanzas[[#This Row],[fecha]]&gt;0,TEXT(Caja_Finanzas[[#This Row],[fecha]],"mmmm"),0)</f>
        <v>Setiembre</v>
      </c>
    </row>
    <row r="827" spans="1:28" ht="24" x14ac:dyDescent="0.3">
      <c r="A827" s="2">
        <f>IF(Caja_Finanzas[[#This Row],[tipo_r]]="R",COUNTIFS($C$1:$C826,"R")+1,A826)</f>
        <v>736</v>
      </c>
      <c r="B827" s="19" t="str">
        <f t="shared" si="158"/>
        <v>C-Finanzas</v>
      </c>
      <c r="C827" s="3" t="s">
        <v>1330</v>
      </c>
      <c r="D827" s="14">
        <v>45919</v>
      </c>
      <c r="E827" s="5" t="s">
        <v>4522</v>
      </c>
      <c r="F827" s="5" t="s">
        <v>1303</v>
      </c>
      <c r="G827" s="5"/>
      <c r="H827" s="104"/>
      <c r="I827" s="6" t="s">
        <v>119</v>
      </c>
      <c r="J827" s="6">
        <v>1</v>
      </c>
      <c r="K827" s="6">
        <v>4757</v>
      </c>
      <c r="L827" s="7" t="s">
        <v>6118</v>
      </c>
      <c r="M827" s="8" t="str">
        <f>"CFI"&amp;".D"&amp;TEXT(Caja_Finanzas[[#This Row],[fecha]],"DD-MM")&amp;"-"&amp;TEXT(Caja_Finanzas[[#This Row],[item]],"0000")</f>
        <v>CFI.D19-09-0736</v>
      </c>
      <c r="N827" s="8" t="str">
        <f t="shared" si="159"/>
        <v>PEN</v>
      </c>
      <c r="O827" s="13"/>
      <c r="P827" s="13">
        <v>302</v>
      </c>
      <c r="Q827" s="3">
        <f t="shared" si="160"/>
        <v>302</v>
      </c>
      <c r="R827" s="3">
        <f t="shared" si="161"/>
        <v>0</v>
      </c>
      <c r="S827" s="3">
        <f t="shared" si="133"/>
        <v>6646.9999999999918</v>
      </c>
      <c r="T827" s="24"/>
      <c r="U827" s="24"/>
      <c r="V827" s="3"/>
      <c r="W827" s="25"/>
      <c r="X827" s="25"/>
      <c r="Y827" s="25"/>
      <c r="Z827" s="25"/>
      <c r="AA827" s="25"/>
      <c r="AB827" s="3" t="str">
        <f>IF(Caja_Finanzas[[#This Row],[fecha]]&gt;0,TEXT(Caja_Finanzas[[#This Row],[fecha]],"mmmm"),0)</f>
        <v>Setiembre</v>
      </c>
    </row>
    <row r="828" spans="1:28" ht="24" x14ac:dyDescent="0.3">
      <c r="A828" s="2">
        <f>IF(Caja_Finanzas[[#This Row],[tipo_r]]="R",COUNTIFS($C$1:$C827,"R")+1,A827)</f>
        <v>737</v>
      </c>
      <c r="B828" s="19" t="str">
        <f t="shared" si="158"/>
        <v>C-Finanzas</v>
      </c>
      <c r="C828" s="3" t="s">
        <v>1330</v>
      </c>
      <c r="D828" s="14">
        <v>45919</v>
      </c>
      <c r="E828" s="5" t="s">
        <v>1875</v>
      </c>
      <c r="F828" s="5" t="s">
        <v>1303</v>
      </c>
      <c r="G828" s="5"/>
      <c r="H828" s="104"/>
      <c r="I828" s="6" t="s">
        <v>119</v>
      </c>
      <c r="J828" s="6">
        <v>1</v>
      </c>
      <c r="K828" s="6">
        <v>4760</v>
      </c>
      <c r="L828" s="7" t="s">
        <v>6118</v>
      </c>
      <c r="M828" s="8" t="str">
        <f>"CFI"&amp;".D"&amp;TEXT(Caja_Finanzas[[#This Row],[fecha]],"DD-MM")&amp;"-"&amp;TEXT(Caja_Finanzas[[#This Row],[item]],"0000")</f>
        <v>CFI.D19-09-0737</v>
      </c>
      <c r="N828" s="8" t="str">
        <f t="shared" si="159"/>
        <v>PEN</v>
      </c>
      <c r="O828" s="13"/>
      <c r="P828" s="13">
        <v>14.7</v>
      </c>
      <c r="Q828" s="3">
        <f t="shared" si="160"/>
        <v>14.7</v>
      </c>
      <c r="R828" s="3">
        <f t="shared" si="161"/>
        <v>0</v>
      </c>
      <c r="S828" s="3">
        <f t="shared" si="133"/>
        <v>6661.6999999999916</v>
      </c>
      <c r="T828" s="24"/>
      <c r="U828" s="24"/>
      <c r="V828" s="3"/>
      <c r="W828" s="25"/>
      <c r="X828" s="25"/>
      <c r="Y828" s="25"/>
      <c r="Z828" s="25"/>
      <c r="AA828" s="25"/>
      <c r="AB828" s="3" t="str">
        <f>IF(Caja_Finanzas[[#This Row],[fecha]]&gt;0,TEXT(Caja_Finanzas[[#This Row],[fecha]],"mmmm"),0)</f>
        <v>Setiembre</v>
      </c>
    </row>
    <row r="829" spans="1:28" ht="24" x14ac:dyDescent="0.3">
      <c r="A829" s="2">
        <f>IF(Caja_Finanzas[[#This Row],[tipo_r]]="R",COUNTIFS($C$1:$C828,"R")+1,A828)</f>
        <v>738</v>
      </c>
      <c r="B829" s="19" t="str">
        <f t="shared" si="158"/>
        <v>C-Finanzas</v>
      </c>
      <c r="C829" s="3" t="s">
        <v>1330</v>
      </c>
      <c r="D829" s="14">
        <v>45919</v>
      </c>
      <c r="E829" s="5" t="s">
        <v>6418</v>
      </c>
      <c r="F829" s="5" t="s">
        <v>1336</v>
      </c>
      <c r="G829" s="5"/>
      <c r="H829" s="6"/>
      <c r="I829" s="6"/>
      <c r="J829" s="6"/>
      <c r="K829" s="6"/>
      <c r="L829" s="7" t="s">
        <v>7426</v>
      </c>
      <c r="M829" s="8" t="str">
        <f>"CFI"&amp;".D"&amp;TEXT(Caja_Finanzas[[#This Row],[fecha]],"DD-MM")&amp;"-"&amp;TEXT(Caja_Finanzas[[#This Row],[item]],"0000")</f>
        <v>CFI.D19-09-0738</v>
      </c>
      <c r="N829" s="8" t="str">
        <f t="shared" si="159"/>
        <v>PEN</v>
      </c>
      <c r="O829" s="13"/>
      <c r="P829" s="13">
        <v>1000</v>
      </c>
      <c r="Q829" s="3">
        <f t="shared" si="160"/>
        <v>0</v>
      </c>
      <c r="R829" s="3">
        <f t="shared" si="161"/>
        <v>1000</v>
      </c>
      <c r="S829" s="3">
        <f t="shared" si="133"/>
        <v>5661.6999999999916</v>
      </c>
      <c r="T829" s="24"/>
      <c r="U829" s="24"/>
      <c r="V829" s="3"/>
      <c r="W829" s="25"/>
      <c r="X829" s="25"/>
      <c r="Y829" s="25"/>
      <c r="Z829" s="25"/>
      <c r="AA829" s="25"/>
      <c r="AB829" s="3" t="str">
        <f>IF(Caja_Finanzas[[#This Row],[fecha]]&gt;0,TEXT(Caja_Finanzas[[#This Row],[fecha]],"mmmm"),0)</f>
        <v>Setiembre</v>
      </c>
    </row>
    <row r="830" spans="1:28" ht="24" x14ac:dyDescent="0.3">
      <c r="A830" s="2">
        <f>IF(Caja_Finanzas[[#This Row],[tipo_r]]="R",COUNTIFS($C$1:$C829,"R")+1,A829)</f>
        <v>739</v>
      </c>
      <c r="B830" s="19" t="str">
        <f t="shared" si="158"/>
        <v>C-Finanzas</v>
      </c>
      <c r="C830" s="3" t="s">
        <v>1330</v>
      </c>
      <c r="D830" s="14">
        <v>45919</v>
      </c>
      <c r="E830" s="5" t="s">
        <v>6418</v>
      </c>
      <c r="F830" s="5" t="s">
        <v>1336</v>
      </c>
      <c r="G830" s="5"/>
      <c r="H830" s="104"/>
      <c r="I830" s="6"/>
      <c r="J830" s="6"/>
      <c r="K830" s="6"/>
      <c r="L830" s="7" t="s">
        <v>7427</v>
      </c>
      <c r="M830" s="8" t="str">
        <f>"CFI"&amp;".D"&amp;TEXT(Caja_Finanzas[[#This Row],[fecha]],"DD-MM")&amp;"-"&amp;TEXT(Caja_Finanzas[[#This Row],[item]],"0000")</f>
        <v>CFI.D19-09-0739</v>
      </c>
      <c r="N830" s="8" t="str">
        <f t="shared" si="159"/>
        <v>PEN</v>
      </c>
      <c r="O830" s="13"/>
      <c r="P830" s="13">
        <v>5000</v>
      </c>
      <c r="Q830" s="3">
        <f t="shared" si="160"/>
        <v>0</v>
      </c>
      <c r="R830" s="3">
        <f t="shared" si="161"/>
        <v>5000</v>
      </c>
      <c r="S830" s="3">
        <f t="shared" si="133"/>
        <v>661.69999999999163</v>
      </c>
      <c r="T830" s="24"/>
      <c r="U830" s="24"/>
      <c r="V830" s="3"/>
      <c r="W830" s="25"/>
      <c r="X830" s="25"/>
      <c r="Y830" s="25"/>
      <c r="Z830" s="25"/>
      <c r="AA830" s="25"/>
      <c r="AB830" s="3" t="str">
        <f>IF(Caja_Finanzas[[#This Row],[fecha]]&gt;0,TEXT(Caja_Finanzas[[#This Row],[fecha]],"mmmm"),0)</f>
        <v>Setiembre</v>
      </c>
    </row>
    <row r="831" spans="1:28" ht="24" x14ac:dyDescent="0.3">
      <c r="A831" s="2">
        <f>IF(Caja_Finanzas[[#This Row],[tipo_r]]="R",COUNTIFS($C$1:$C830,"R")+1,A830)</f>
        <v>740</v>
      </c>
      <c r="B831" s="19" t="str">
        <f t="shared" ref="B831:B838" si="162">"C-Finanzas"</f>
        <v>C-Finanzas</v>
      </c>
      <c r="C831" s="3" t="s">
        <v>1330</v>
      </c>
      <c r="D831" s="14">
        <v>45922</v>
      </c>
      <c r="E831" s="5" t="s">
        <v>2502</v>
      </c>
      <c r="F831" s="5" t="s">
        <v>1303</v>
      </c>
      <c r="G831" s="5"/>
      <c r="H831" s="104"/>
      <c r="I831" s="6" t="s">
        <v>119</v>
      </c>
      <c r="J831" s="6">
        <v>1</v>
      </c>
      <c r="K831" s="6">
        <v>4761</v>
      </c>
      <c r="L831" s="7" t="s">
        <v>6118</v>
      </c>
      <c r="M831" s="8" t="str">
        <f>"CFI"&amp;".D"&amp;TEXT(Caja_Finanzas[[#This Row],[fecha]],"DD-MM")&amp;"-"&amp;TEXT(Caja_Finanzas[[#This Row],[item]],"0000")</f>
        <v>CFI.D22-09-0740</v>
      </c>
      <c r="N831" s="8" t="str">
        <f t="shared" ref="N831:N838" si="163">"PEN"</f>
        <v>PEN</v>
      </c>
      <c r="O831" s="13"/>
      <c r="P831" s="13">
        <v>1608</v>
      </c>
      <c r="Q831" s="3">
        <f t="shared" ref="Q831:Q838" si="164">+IF(OR($F831="SALDO",$F831="INGRESO"),$P831,0)</f>
        <v>1608</v>
      </c>
      <c r="R831" s="3">
        <f t="shared" ref="R831:R838" si="165">+IF($F831="EGRESO",$P831,0)</f>
        <v>0</v>
      </c>
      <c r="S831" s="3">
        <f t="shared" si="133"/>
        <v>2269.6999999999916</v>
      </c>
      <c r="T831" s="24"/>
      <c r="U831" s="24"/>
      <c r="V831" s="3"/>
      <c r="W831" s="25"/>
      <c r="X831" s="25"/>
      <c r="Y831" s="25"/>
      <c r="Z831" s="25"/>
      <c r="AA831" s="25"/>
      <c r="AB831" s="3" t="str">
        <f>IF(Caja_Finanzas[[#This Row],[fecha]]&gt;0,TEXT(Caja_Finanzas[[#This Row],[fecha]],"mmmm"),0)</f>
        <v>Setiembre</v>
      </c>
    </row>
    <row r="832" spans="1:28" ht="24" x14ac:dyDescent="0.3">
      <c r="A832" s="2">
        <f>IF(Caja_Finanzas[[#This Row],[tipo_r]]="R",COUNTIFS($C$1:$C831,"R")+1,A831)</f>
        <v>741</v>
      </c>
      <c r="B832" s="19" t="str">
        <f t="shared" si="162"/>
        <v>C-Finanzas</v>
      </c>
      <c r="C832" s="3" t="s">
        <v>1330</v>
      </c>
      <c r="D832" s="14">
        <v>45922</v>
      </c>
      <c r="E832" s="5" t="s">
        <v>6731</v>
      </c>
      <c r="F832" s="5" t="s">
        <v>1336</v>
      </c>
      <c r="G832" s="5"/>
      <c r="H832" s="104" t="s">
        <v>1009</v>
      </c>
      <c r="I832" s="6" t="s">
        <v>115</v>
      </c>
      <c r="J832" s="6" t="s">
        <v>7187</v>
      </c>
      <c r="K832" s="6">
        <v>147</v>
      </c>
      <c r="L832" s="7" t="s">
        <v>7428</v>
      </c>
      <c r="M832" s="8" t="str">
        <f>"CFI"&amp;".D"&amp;TEXT(Caja_Finanzas[[#This Row],[fecha]],"DD-MM")&amp;"-"&amp;TEXT(Caja_Finanzas[[#This Row],[item]],"0000")</f>
        <v>CFI.D22-09-0741</v>
      </c>
      <c r="N832" s="8" t="str">
        <f t="shared" si="163"/>
        <v>PEN</v>
      </c>
      <c r="O832" s="13"/>
      <c r="P832" s="13">
        <v>40</v>
      </c>
      <c r="Q832" s="3">
        <f t="shared" si="164"/>
        <v>0</v>
      </c>
      <c r="R832" s="3">
        <f t="shared" si="165"/>
        <v>40</v>
      </c>
      <c r="S832" s="3">
        <f t="shared" si="133"/>
        <v>2229.6999999999916</v>
      </c>
      <c r="T832" s="24"/>
      <c r="U832" s="24"/>
      <c r="V832" s="3"/>
      <c r="W832" s="25"/>
      <c r="X832" s="25"/>
      <c r="Y832" s="25"/>
      <c r="Z832" s="25"/>
      <c r="AA832" s="25"/>
      <c r="AB832" s="3" t="str">
        <f>IF(Caja_Finanzas[[#This Row],[fecha]]&gt;0,TEXT(Caja_Finanzas[[#This Row],[fecha]],"mmmm"),0)</f>
        <v>Setiembre</v>
      </c>
    </row>
    <row r="833" spans="1:28" ht="24" x14ac:dyDescent="0.3">
      <c r="A833" s="2">
        <f>IF(Caja_Finanzas[[#This Row],[tipo_r]]="R",COUNTIFS($C$1:$C832,"R")+1,A832)</f>
        <v>742</v>
      </c>
      <c r="B833" s="19" t="str">
        <f t="shared" si="162"/>
        <v>C-Finanzas</v>
      </c>
      <c r="C833" s="3" t="s">
        <v>1330</v>
      </c>
      <c r="D833" s="14">
        <v>45922</v>
      </c>
      <c r="E833" s="5" t="s">
        <v>5828</v>
      </c>
      <c r="F833" s="5" t="s">
        <v>1336</v>
      </c>
      <c r="G833" s="5"/>
      <c r="H833" s="104"/>
      <c r="I833" s="6"/>
      <c r="J833" s="6"/>
      <c r="K833" s="6"/>
      <c r="L833" s="7" t="s">
        <v>7429</v>
      </c>
      <c r="M833" s="8" t="str">
        <f>"CFI"&amp;".D"&amp;TEXT(Caja_Finanzas[[#This Row],[fecha]],"DD-MM")&amp;"-"&amp;TEXT(Caja_Finanzas[[#This Row],[item]],"0000")</f>
        <v>CFI.D22-09-0742</v>
      </c>
      <c r="N833" s="8" t="str">
        <f t="shared" si="163"/>
        <v>PEN</v>
      </c>
      <c r="O833" s="13"/>
      <c r="P833" s="13">
        <v>250</v>
      </c>
      <c r="Q833" s="3">
        <f t="shared" si="164"/>
        <v>0</v>
      </c>
      <c r="R833" s="3">
        <f t="shared" si="165"/>
        <v>250</v>
      </c>
      <c r="S833" s="3">
        <f t="shared" si="133"/>
        <v>1979.6999999999916</v>
      </c>
      <c r="T833" s="24"/>
      <c r="U833" s="24"/>
      <c r="V833" s="3"/>
      <c r="W833" s="25"/>
      <c r="X833" s="25"/>
      <c r="Y833" s="25"/>
      <c r="Z833" s="25"/>
      <c r="AA833" s="25"/>
      <c r="AB833" s="3" t="str">
        <f>IF(Caja_Finanzas[[#This Row],[fecha]]&gt;0,TEXT(Caja_Finanzas[[#This Row],[fecha]],"mmmm"),0)</f>
        <v>Setiembre</v>
      </c>
    </row>
    <row r="834" spans="1:28" ht="24" x14ac:dyDescent="0.3">
      <c r="A834" s="2">
        <f>IF(Caja_Finanzas[[#This Row],[tipo_r]]="R",COUNTIFS($C$1:$C833,"R")+1,A833)</f>
        <v>743</v>
      </c>
      <c r="B834" s="19" t="str">
        <f t="shared" si="162"/>
        <v>C-Finanzas</v>
      </c>
      <c r="C834" s="3" t="s">
        <v>1330</v>
      </c>
      <c r="D834" s="14">
        <v>45922</v>
      </c>
      <c r="E834" s="5" t="s">
        <v>6418</v>
      </c>
      <c r="F834" s="5" t="s">
        <v>1303</v>
      </c>
      <c r="G834" s="5"/>
      <c r="H834" s="104"/>
      <c r="I834" s="6"/>
      <c r="J834" s="6"/>
      <c r="K834" s="6"/>
      <c r="L834" s="7" t="s">
        <v>7430</v>
      </c>
      <c r="M834" s="8" t="str">
        <f>"CFI"&amp;".D"&amp;TEXT(Caja_Finanzas[[#This Row],[fecha]],"DD-MM")&amp;"-"&amp;TEXT(Caja_Finanzas[[#This Row],[item]],"0000")</f>
        <v>CFI.D22-09-0743</v>
      </c>
      <c r="N834" s="8" t="str">
        <f t="shared" si="163"/>
        <v>PEN</v>
      </c>
      <c r="O834" s="13"/>
      <c r="P834" s="13">
        <v>1000</v>
      </c>
      <c r="Q834" s="3">
        <f t="shared" si="164"/>
        <v>1000</v>
      </c>
      <c r="R834" s="3">
        <f t="shared" si="165"/>
        <v>0</v>
      </c>
      <c r="S834" s="3">
        <f t="shared" ref="S834:S891" si="166">IFERROR(IF(F834="SALDO",Q834,S833+Q834-R834),0)</f>
        <v>2979.6999999999916</v>
      </c>
      <c r="T834" s="24"/>
      <c r="U834" s="24"/>
      <c r="V834" s="3"/>
      <c r="W834" s="25"/>
      <c r="X834" s="25"/>
      <c r="Y834" s="25"/>
      <c r="Z834" s="25"/>
      <c r="AA834" s="25"/>
      <c r="AB834" s="3" t="str">
        <f>IF(Caja_Finanzas[[#This Row],[fecha]]&gt;0,TEXT(Caja_Finanzas[[#This Row],[fecha]],"mmmm"),0)</f>
        <v>Setiembre</v>
      </c>
    </row>
    <row r="835" spans="1:28" ht="24" x14ac:dyDescent="0.3">
      <c r="A835" s="2">
        <f>IF(Caja_Finanzas[[#This Row],[tipo_r]]="R",COUNTIFS($C$1:$C834,"R")+1,A834)</f>
        <v>744</v>
      </c>
      <c r="B835" s="19" t="str">
        <f t="shared" si="162"/>
        <v>C-Finanzas</v>
      </c>
      <c r="C835" s="3" t="s">
        <v>1330</v>
      </c>
      <c r="D835" s="14">
        <v>45923</v>
      </c>
      <c r="E835" s="5" t="s">
        <v>2502</v>
      </c>
      <c r="F835" s="5" t="s">
        <v>1303</v>
      </c>
      <c r="G835" s="5"/>
      <c r="H835" s="104"/>
      <c r="I835" s="6" t="s">
        <v>119</v>
      </c>
      <c r="J835" s="6">
        <v>1</v>
      </c>
      <c r="K835" s="6">
        <v>4764</v>
      </c>
      <c r="L835" s="7" t="s">
        <v>6118</v>
      </c>
      <c r="M835" s="8" t="str">
        <f>"CFI"&amp;".D"&amp;TEXT(Caja_Finanzas[[#This Row],[fecha]],"DD-MM")&amp;"-"&amp;TEXT(Caja_Finanzas[[#This Row],[item]],"0000")</f>
        <v>CFI.D23-09-0744</v>
      </c>
      <c r="N835" s="8" t="str">
        <f t="shared" si="163"/>
        <v>PEN</v>
      </c>
      <c r="O835" s="13"/>
      <c r="P835" s="13">
        <v>677.6</v>
      </c>
      <c r="Q835" s="3">
        <f t="shared" si="164"/>
        <v>677.6</v>
      </c>
      <c r="R835" s="3">
        <f t="shared" si="165"/>
        <v>0</v>
      </c>
      <c r="S835" s="3">
        <f t="shared" si="166"/>
        <v>3657.2999999999915</v>
      </c>
      <c r="T835" s="24"/>
      <c r="U835" s="24"/>
      <c r="V835" s="3"/>
      <c r="W835" s="25"/>
      <c r="X835" s="25"/>
      <c r="Y835" s="25"/>
      <c r="Z835" s="25"/>
      <c r="AA835" s="25"/>
      <c r="AB835" s="3" t="str">
        <f>IF(Caja_Finanzas[[#This Row],[fecha]]&gt;0,TEXT(Caja_Finanzas[[#This Row],[fecha]],"mmmm"),0)</f>
        <v>Setiembre</v>
      </c>
    </row>
    <row r="836" spans="1:28" ht="24" x14ac:dyDescent="0.3">
      <c r="A836" s="2">
        <f>IF(Caja_Finanzas[[#This Row],[tipo_r]]="R",COUNTIFS($C$1:$C835,"R")+1,A835)</f>
        <v>745</v>
      </c>
      <c r="B836" s="19" t="str">
        <f t="shared" si="162"/>
        <v>C-Finanzas</v>
      </c>
      <c r="C836" s="3" t="s">
        <v>1330</v>
      </c>
      <c r="D836" s="14">
        <v>45923</v>
      </c>
      <c r="E836" s="5" t="s">
        <v>6460</v>
      </c>
      <c r="F836" s="5" t="s">
        <v>1336</v>
      </c>
      <c r="G836" s="5"/>
      <c r="H836" s="104" t="s">
        <v>1009</v>
      </c>
      <c r="I836" s="6" t="s">
        <v>115</v>
      </c>
      <c r="J836" s="6" t="s">
        <v>7299</v>
      </c>
      <c r="K836" s="6">
        <v>143</v>
      </c>
      <c r="L836" s="7" t="s">
        <v>7431</v>
      </c>
      <c r="M836" s="8" t="str">
        <f>"CFI"&amp;".D"&amp;TEXT(Caja_Finanzas[[#This Row],[fecha]],"DD-MM")&amp;"-"&amp;TEXT(Caja_Finanzas[[#This Row],[item]],"0000")</f>
        <v>CFI.D23-09-0745</v>
      </c>
      <c r="N836" s="8" t="str">
        <f t="shared" si="163"/>
        <v>PEN</v>
      </c>
      <c r="O836" s="13"/>
      <c r="P836" s="13">
        <v>5</v>
      </c>
      <c r="Q836" s="3">
        <f t="shared" si="164"/>
        <v>0</v>
      </c>
      <c r="R836" s="3">
        <f t="shared" si="165"/>
        <v>5</v>
      </c>
      <c r="S836" s="3">
        <f t="shared" si="166"/>
        <v>3652.2999999999915</v>
      </c>
      <c r="T836" s="24"/>
      <c r="U836" s="24"/>
      <c r="V836" s="3"/>
      <c r="W836" s="25"/>
      <c r="X836" s="25"/>
      <c r="Y836" s="25"/>
      <c r="Z836" s="25"/>
      <c r="AA836" s="25"/>
      <c r="AB836" s="3" t="str">
        <f>IF(Caja_Finanzas[[#This Row],[fecha]]&gt;0,TEXT(Caja_Finanzas[[#This Row],[fecha]],"mmmm"),0)</f>
        <v>Setiembre</v>
      </c>
    </row>
    <row r="837" spans="1:28" ht="24" x14ac:dyDescent="0.3">
      <c r="A837" s="2">
        <f>IF(Caja_Finanzas[[#This Row],[tipo_r]]="R",COUNTIFS($C$1:$C836,"R")+1,A836)</f>
        <v>746</v>
      </c>
      <c r="B837" s="19" t="str">
        <f t="shared" si="162"/>
        <v>C-Finanzas</v>
      </c>
      <c r="C837" s="3" t="s">
        <v>1330</v>
      </c>
      <c r="D837" s="14">
        <v>45923</v>
      </c>
      <c r="E837" s="5" t="s">
        <v>6409</v>
      </c>
      <c r="F837" s="5" t="s">
        <v>1336</v>
      </c>
      <c r="G837" s="5"/>
      <c r="H837" s="104" t="s">
        <v>1009</v>
      </c>
      <c r="I837" s="6" t="s">
        <v>115</v>
      </c>
      <c r="J837" s="6" t="s">
        <v>7187</v>
      </c>
      <c r="K837" s="6">
        <v>155</v>
      </c>
      <c r="L837" s="7" t="s">
        <v>7432</v>
      </c>
      <c r="M837" s="8" t="str">
        <f>"CFI"&amp;".D"&amp;TEXT(Caja_Finanzas[[#This Row],[fecha]],"DD-MM")&amp;"-"&amp;TEXT(Caja_Finanzas[[#This Row],[item]],"0000")</f>
        <v>CFI.D23-09-0746</v>
      </c>
      <c r="N837" s="8" t="str">
        <f t="shared" si="163"/>
        <v>PEN</v>
      </c>
      <c r="O837" s="13"/>
      <c r="P837" s="13">
        <v>20</v>
      </c>
      <c r="Q837" s="3">
        <f t="shared" si="164"/>
        <v>0</v>
      </c>
      <c r="R837" s="3">
        <f t="shared" si="165"/>
        <v>20</v>
      </c>
      <c r="S837" s="3">
        <f t="shared" si="166"/>
        <v>3632.2999999999915</v>
      </c>
      <c r="T837" s="24"/>
      <c r="U837" s="24"/>
      <c r="V837" s="3"/>
      <c r="W837" s="25"/>
      <c r="X837" s="25"/>
      <c r="Y837" s="25"/>
      <c r="Z837" s="25"/>
      <c r="AA837" s="25"/>
      <c r="AB837" s="3" t="str">
        <f>IF(Caja_Finanzas[[#This Row],[fecha]]&gt;0,TEXT(Caja_Finanzas[[#This Row],[fecha]],"mmmm"),0)</f>
        <v>Setiembre</v>
      </c>
    </row>
    <row r="838" spans="1:28" ht="24" x14ac:dyDescent="0.3">
      <c r="A838" s="2">
        <f>IF(Caja_Finanzas[[#This Row],[tipo_r]]="R",COUNTIFS($C$1:$C837,"R")+1,A837)</f>
        <v>747</v>
      </c>
      <c r="B838" s="19" t="str">
        <f t="shared" si="162"/>
        <v>C-Finanzas</v>
      </c>
      <c r="C838" s="3" t="s">
        <v>1330</v>
      </c>
      <c r="D838" s="14">
        <v>45923</v>
      </c>
      <c r="E838" s="5" t="s">
        <v>6418</v>
      </c>
      <c r="F838" s="5" t="s">
        <v>1336</v>
      </c>
      <c r="G838" s="5"/>
      <c r="H838" s="6" t="s">
        <v>809</v>
      </c>
      <c r="I838" s="6"/>
      <c r="J838" s="6"/>
      <c r="K838" s="6"/>
      <c r="L838" s="7" t="s">
        <v>7433</v>
      </c>
      <c r="M838" s="8" t="str">
        <f>"CFI"&amp;".D"&amp;TEXT(Caja_Finanzas[[#This Row],[fecha]],"DD-MM")&amp;"-"&amp;TEXT(Caja_Finanzas[[#This Row],[item]],"0000")</f>
        <v>CFI.D23-09-0747</v>
      </c>
      <c r="N838" s="8" t="str">
        <f t="shared" si="163"/>
        <v>PEN</v>
      </c>
      <c r="O838" s="13"/>
      <c r="P838" s="13">
        <v>1800</v>
      </c>
      <c r="Q838" s="3">
        <f t="shared" si="164"/>
        <v>0</v>
      </c>
      <c r="R838" s="3">
        <f t="shared" si="165"/>
        <v>1800</v>
      </c>
      <c r="S838" s="3">
        <f t="shared" si="166"/>
        <v>1832.2999999999915</v>
      </c>
      <c r="T838" s="24"/>
      <c r="U838" s="24"/>
      <c r="V838" s="3"/>
      <c r="W838" s="25"/>
      <c r="X838" s="25"/>
      <c r="Y838" s="25"/>
      <c r="Z838" s="25"/>
      <c r="AA838" s="25"/>
      <c r="AB838" s="3" t="str">
        <f>IF(Caja_Finanzas[[#This Row],[fecha]]&gt;0,TEXT(Caja_Finanzas[[#This Row],[fecha]],"mmmm"),0)</f>
        <v>Setiembre</v>
      </c>
    </row>
    <row r="839" spans="1:28" ht="24" x14ac:dyDescent="0.3">
      <c r="A839" s="2">
        <f>IF(Caja_Finanzas[[#This Row],[tipo_r]]="R",COUNTIFS($C$1:$C838,"R")+1,A838)</f>
        <v>748</v>
      </c>
      <c r="B839" s="19" t="str">
        <f t="shared" ref="B839:B844" si="167">"C-Finanzas"</f>
        <v>C-Finanzas</v>
      </c>
      <c r="C839" s="3" t="s">
        <v>1330</v>
      </c>
      <c r="D839" s="14">
        <v>45924</v>
      </c>
      <c r="E839" s="5" t="s">
        <v>1914</v>
      </c>
      <c r="F839" s="5" t="s">
        <v>1303</v>
      </c>
      <c r="G839" s="5"/>
      <c r="H839" s="104"/>
      <c r="I839" s="6" t="s">
        <v>119</v>
      </c>
      <c r="J839" s="6">
        <v>1</v>
      </c>
      <c r="K839" s="6">
        <v>4769</v>
      </c>
      <c r="L839" s="7" t="s">
        <v>6118</v>
      </c>
      <c r="M839" s="8" t="str">
        <f>"CFI"&amp;".D"&amp;TEXT(Caja_Finanzas[[#This Row],[fecha]],"DD-MM")&amp;"-"&amp;TEXT(Caja_Finanzas[[#This Row],[item]],"0000")</f>
        <v>CFI.D24-09-0748</v>
      </c>
      <c r="N839" s="8" t="str">
        <f t="shared" ref="N839:N844" si="168">"PEN"</f>
        <v>PEN</v>
      </c>
      <c r="O839" s="13"/>
      <c r="P839" s="13">
        <v>350</v>
      </c>
      <c r="Q839" s="3">
        <f t="shared" ref="Q839:Q844" si="169">+IF(OR($F839="SALDO",$F839="INGRESO"),$P839,0)</f>
        <v>350</v>
      </c>
      <c r="R839" s="3">
        <f t="shared" ref="R839:R844" si="170">+IF($F839="EGRESO",$P839,0)</f>
        <v>0</v>
      </c>
      <c r="S839" s="3">
        <f t="shared" si="166"/>
        <v>2182.2999999999915</v>
      </c>
      <c r="T839" s="24"/>
      <c r="U839" s="24"/>
      <c r="V839" s="3"/>
      <c r="W839" s="25"/>
      <c r="X839" s="25"/>
      <c r="Y839" s="25"/>
      <c r="Z839" s="25"/>
      <c r="AA839" s="25"/>
      <c r="AB839" s="3" t="str">
        <f>IF(Caja_Finanzas[[#This Row],[fecha]]&gt;0,TEXT(Caja_Finanzas[[#This Row],[fecha]],"mmmm"),0)</f>
        <v>Setiembre</v>
      </c>
    </row>
    <row r="840" spans="1:28" x14ac:dyDescent="0.3">
      <c r="A840" s="2">
        <f>IF(Caja_Finanzas[[#This Row],[tipo_r]]="R",COUNTIFS($C$1:$C839,"R")+1,A839)</f>
        <v>749</v>
      </c>
      <c r="B840" s="19" t="str">
        <f t="shared" si="167"/>
        <v>C-Finanzas</v>
      </c>
      <c r="C840" s="3" t="s">
        <v>1330</v>
      </c>
      <c r="D840" s="14">
        <v>45924</v>
      </c>
      <c r="E840" s="5" t="s">
        <v>1498</v>
      </c>
      <c r="F840" s="5" t="s">
        <v>1303</v>
      </c>
      <c r="G840" s="5"/>
      <c r="H840" s="104"/>
      <c r="I840" s="6" t="s">
        <v>119</v>
      </c>
      <c r="J840" s="6">
        <v>1</v>
      </c>
      <c r="K840" s="6">
        <v>4770</v>
      </c>
      <c r="L840" s="7" t="s">
        <v>6118</v>
      </c>
      <c r="M840" s="8" t="str">
        <f>"CFI"&amp;".D"&amp;TEXT(Caja_Finanzas[[#This Row],[fecha]],"DD-MM")&amp;"-"&amp;TEXT(Caja_Finanzas[[#This Row],[item]],"0000")</f>
        <v>CFI.D24-09-0749</v>
      </c>
      <c r="N840" s="8" t="str">
        <f t="shared" si="168"/>
        <v>PEN</v>
      </c>
      <c r="O840" s="13"/>
      <c r="P840" s="13">
        <v>160</v>
      </c>
      <c r="Q840" s="3">
        <f t="shared" si="169"/>
        <v>160</v>
      </c>
      <c r="R840" s="3">
        <f t="shared" si="170"/>
        <v>0</v>
      </c>
      <c r="S840" s="3">
        <f t="shared" si="166"/>
        <v>2342.2999999999915</v>
      </c>
      <c r="T840" s="24"/>
      <c r="U840" s="24"/>
      <c r="V840" s="3"/>
      <c r="W840" s="25"/>
      <c r="X840" s="25"/>
      <c r="Y840" s="25"/>
      <c r="Z840" s="25"/>
      <c r="AA840" s="25"/>
      <c r="AB840" s="3" t="str">
        <f>IF(Caja_Finanzas[[#This Row],[fecha]]&gt;0,TEXT(Caja_Finanzas[[#This Row],[fecha]],"mmmm"),0)</f>
        <v>Setiembre</v>
      </c>
    </row>
    <row r="841" spans="1:28" x14ac:dyDescent="0.3">
      <c r="A841" s="2">
        <f>IF(Caja_Finanzas[[#This Row],[tipo_r]]="R",COUNTIFS($C$1:$C840,"R")+1,A840)</f>
        <v>750</v>
      </c>
      <c r="B841" s="19" t="str">
        <f t="shared" si="167"/>
        <v>C-Finanzas</v>
      </c>
      <c r="C841" s="3" t="s">
        <v>1330</v>
      </c>
      <c r="D841" s="14">
        <v>45924</v>
      </c>
      <c r="E841" s="5" t="s">
        <v>1739</v>
      </c>
      <c r="F841" s="5" t="s">
        <v>1303</v>
      </c>
      <c r="G841" s="5"/>
      <c r="H841" s="104"/>
      <c r="I841" s="6" t="s">
        <v>119</v>
      </c>
      <c r="J841" s="6">
        <v>1</v>
      </c>
      <c r="K841" s="6">
        <v>4767</v>
      </c>
      <c r="L841" s="7" t="s">
        <v>6118</v>
      </c>
      <c r="M841" s="8" t="str">
        <f>"CFI"&amp;".D"&amp;TEXT(Caja_Finanzas[[#This Row],[fecha]],"DD-MM")&amp;"-"&amp;TEXT(Caja_Finanzas[[#This Row],[item]],"0000")</f>
        <v>CFI.D24-09-0750</v>
      </c>
      <c r="N841" s="8" t="str">
        <f t="shared" si="168"/>
        <v>PEN</v>
      </c>
      <c r="O841" s="13"/>
      <c r="P841" s="13">
        <v>16.8</v>
      </c>
      <c r="Q841" s="3">
        <f t="shared" si="169"/>
        <v>16.8</v>
      </c>
      <c r="R841" s="3">
        <f t="shared" si="170"/>
        <v>0</v>
      </c>
      <c r="S841" s="3">
        <f t="shared" si="166"/>
        <v>2359.0999999999917</v>
      </c>
      <c r="T841" s="24"/>
      <c r="U841" s="24"/>
      <c r="V841" s="3"/>
      <c r="W841" s="25"/>
      <c r="X841" s="25"/>
      <c r="Y841" s="25"/>
      <c r="Z841" s="25"/>
      <c r="AA841" s="25"/>
      <c r="AB841" s="3" t="str">
        <f>IF(Caja_Finanzas[[#This Row],[fecha]]&gt;0,TEXT(Caja_Finanzas[[#This Row],[fecha]],"mmmm"),0)</f>
        <v>Setiembre</v>
      </c>
    </row>
    <row r="842" spans="1:28" x14ac:dyDescent="0.3">
      <c r="A842" s="2">
        <f>IF(Caja_Finanzas[[#This Row],[tipo_r]]="R",COUNTIFS($C$1:$C841,"R")+1,A841)</f>
        <v>751</v>
      </c>
      <c r="B842" s="19" t="str">
        <f t="shared" si="167"/>
        <v>C-Finanzas</v>
      </c>
      <c r="C842" s="3" t="s">
        <v>1330</v>
      </c>
      <c r="D842" s="14">
        <v>45925</v>
      </c>
      <c r="E842" s="5" t="s">
        <v>1498</v>
      </c>
      <c r="F842" s="5" t="s">
        <v>1303</v>
      </c>
      <c r="G842" s="5"/>
      <c r="H842" s="104"/>
      <c r="I842" s="6" t="s">
        <v>119</v>
      </c>
      <c r="J842" s="6">
        <v>1</v>
      </c>
      <c r="K842" s="6">
        <v>4773</v>
      </c>
      <c r="L842" s="7" t="s">
        <v>6118</v>
      </c>
      <c r="M842" s="8" t="str">
        <f>"CFI"&amp;".D"&amp;TEXT(Caja_Finanzas[[#This Row],[fecha]],"DD-MM")&amp;"-"&amp;TEXT(Caja_Finanzas[[#This Row],[item]],"0000")</f>
        <v>CFI.D25-09-0751</v>
      </c>
      <c r="N842" s="8" t="str">
        <f t="shared" si="168"/>
        <v>PEN</v>
      </c>
      <c r="O842" s="13"/>
      <c r="P842" s="13">
        <v>75</v>
      </c>
      <c r="Q842" s="3">
        <f t="shared" si="169"/>
        <v>75</v>
      </c>
      <c r="R842" s="3">
        <f t="shared" si="170"/>
        <v>0</v>
      </c>
      <c r="S842" s="3">
        <f t="shared" si="166"/>
        <v>2434.0999999999917</v>
      </c>
      <c r="T842" s="24"/>
      <c r="U842" s="24"/>
      <c r="V842" s="3"/>
      <c r="W842" s="25"/>
      <c r="X842" s="25"/>
      <c r="Y842" s="25"/>
      <c r="Z842" s="25"/>
      <c r="AA842" s="25"/>
      <c r="AB842" s="3" t="str">
        <f>IF(Caja_Finanzas[[#This Row],[fecha]]&gt;0,TEXT(Caja_Finanzas[[#This Row],[fecha]],"mmmm"),0)</f>
        <v>Setiembre</v>
      </c>
    </row>
    <row r="843" spans="1:28" ht="24" x14ac:dyDescent="0.3">
      <c r="A843" s="2">
        <f>IF(Caja_Finanzas[[#This Row],[tipo_r]]="R",COUNTIFS($C$1:$C842,"R")+1,A842)</f>
        <v>752</v>
      </c>
      <c r="B843" s="19" t="str">
        <f t="shared" si="167"/>
        <v>C-Finanzas</v>
      </c>
      <c r="C843" s="3" t="s">
        <v>1330</v>
      </c>
      <c r="D843" s="14">
        <v>45925</v>
      </c>
      <c r="E843" s="5" t="s">
        <v>2502</v>
      </c>
      <c r="F843" s="5" t="s">
        <v>1303</v>
      </c>
      <c r="G843" s="5"/>
      <c r="H843" s="104"/>
      <c r="I843" s="6" t="s">
        <v>119</v>
      </c>
      <c r="J843" s="6">
        <v>1</v>
      </c>
      <c r="K843" s="6">
        <v>4774</v>
      </c>
      <c r="L843" s="7" t="s">
        <v>6118</v>
      </c>
      <c r="M843" s="8" t="str">
        <f>"CFI"&amp;".D"&amp;TEXT(Caja_Finanzas[[#This Row],[fecha]],"DD-MM")&amp;"-"&amp;TEXT(Caja_Finanzas[[#This Row],[item]],"0000")</f>
        <v>CFI.D25-09-0752</v>
      </c>
      <c r="N843" s="8" t="str">
        <f t="shared" si="168"/>
        <v>PEN</v>
      </c>
      <c r="O843" s="13"/>
      <c r="P843" s="13">
        <v>3225</v>
      </c>
      <c r="Q843" s="3">
        <f t="shared" si="169"/>
        <v>3225</v>
      </c>
      <c r="R843" s="3">
        <f t="shared" si="170"/>
        <v>0</v>
      </c>
      <c r="S843" s="3">
        <f t="shared" si="166"/>
        <v>5659.0999999999913</v>
      </c>
      <c r="T843" s="24"/>
      <c r="U843" s="24"/>
      <c r="V843" s="3"/>
      <c r="W843" s="25"/>
      <c r="X843" s="25"/>
      <c r="Y843" s="25"/>
      <c r="Z843" s="25"/>
      <c r="AA843" s="25"/>
      <c r="AB843" s="3" t="str">
        <f>IF(Caja_Finanzas[[#This Row],[fecha]]&gt;0,TEXT(Caja_Finanzas[[#This Row],[fecha]],"mmmm"),0)</f>
        <v>Setiembre</v>
      </c>
    </row>
    <row r="844" spans="1:28" ht="24" x14ac:dyDescent="0.3">
      <c r="A844" s="2">
        <f>IF(Caja_Finanzas[[#This Row],[tipo_r]]="R",COUNTIFS($C$1:$C843,"R")+1,A843)</f>
        <v>753</v>
      </c>
      <c r="B844" s="19" t="str">
        <f t="shared" si="167"/>
        <v>C-Finanzas</v>
      </c>
      <c r="C844" s="3" t="s">
        <v>1330</v>
      </c>
      <c r="D844" s="14">
        <v>45925</v>
      </c>
      <c r="E844" s="5" t="s">
        <v>1875</v>
      </c>
      <c r="F844" s="5" t="s">
        <v>1303</v>
      </c>
      <c r="G844" s="5"/>
      <c r="H844" s="104"/>
      <c r="I844" s="6" t="s">
        <v>119</v>
      </c>
      <c r="J844" s="6">
        <v>1</v>
      </c>
      <c r="K844" s="6">
        <v>4771</v>
      </c>
      <c r="L844" s="7" t="s">
        <v>6118</v>
      </c>
      <c r="M844" s="8" t="str">
        <f>"CFI"&amp;".D"&amp;TEXT(Caja_Finanzas[[#This Row],[fecha]],"DD-MM")&amp;"-"&amp;TEXT(Caja_Finanzas[[#This Row],[item]],"0000")</f>
        <v>CFI.D25-09-0753</v>
      </c>
      <c r="N844" s="8" t="str">
        <f t="shared" si="168"/>
        <v>PEN</v>
      </c>
      <c r="O844" s="13"/>
      <c r="P844" s="13">
        <v>469</v>
      </c>
      <c r="Q844" s="3">
        <f t="shared" si="169"/>
        <v>469</v>
      </c>
      <c r="R844" s="3">
        <f t="shared" si="170"/>
        <v>0</v>
      </c>
      <c r="S844" s="3">
        <f t="shared" si="166"/>
        <v>6128.0999999999913</v>
      </c>
      <c r="T844" s="24"/>
      <c r="U844" s="24"/>
      <c r="V844" s="3"/>
      <c r="W844" s="25"/>
      <c r="X844" s="25"/>
      <c r="Y844" s="25"/>
      <c r="Z844" s="25"/>
      <c r="AA844" s="25"/>
      <c r="AB844" s="3" t="str">
        <f>IF(Caja_Finanzas[[#This Row],[fecha]]&gt;0,TEXT(Caja_Finanzas[[#This Row],[fecha]],"mmmm"),0)</f>
        <v>Setiembre</v>
      </c>
    </row>
    <row r="845" spans="1:28" ht="24" x14ac:dyDescent="0.3">
      <c r="A845" s="2">
        <f>IF(Caja_Finanzas[[#This Row],[tipo_r]]="R",COUNTIFS($C$1:$C844,"R")+1,A844)</f>
        <v>754</v>
      </c>
      <c r="B845" s="19" t="str">
        <f t="shared" ref="B845:B852" si="171">"C-Finanzas"</f>
        <v>C-Finanzas</v>
      </c>
      <c r="C845" s="3" t="s">
        <v>1330</v>
      </c>
      <c r="D845" s="14">
        <v>45926</v>
      </c>
      <c r="E845" s="5" t="s">
        <v>6418</v>
      </c>
      <c r="F845" s="5" t="s">
        <v>1336</v>
      </c>
      <c r="G845" s="5"/>
      <c r="H845" s="6" t="s">
        <v>809</v>
      </c>
      <c r="I845" s="6"/>
      <c r="J845" s="6"/>
      <c r="K845" s="6"/>
      <c r="L845" s="7" t="s">
        <v>7434</v>
      </c>
      <c r="M845" s="8" t="str">
        <f>"CFI"&amp;".D"&amp;TEXT(Caja_Finanzas[[#This Row],[fecha]],"DD-MM")&amp;"-"&amp;TEXT(Caja_Finanzas[[#This Row],[item]],"0000")</f>
        <v>CFI.D26-09-0754</v>
      </c>
      <c r="N845" s="8" t="str">
        <f t="shared" ref="N845:N852" si="172">"PEN"</f>
        <v>PEN</v>
      </c>
      <c r="O845" s="13"/>
      <c r="P845" s="13">
        <v>4000</v>
      </c>
      <c r="Q845" s="3">
        <f t="shared" ref="Q845:Q852" si="173">+IF(OR($F845="SALDO",$F845="INGRESO"),$P845,0)</f>
        <v>0</v>
      </c>
      <c r="R845" s="3">
        <f t="shared" ref="R845:R852" si="174">+IF($F845="EGRESO",$P845,0)</f>
        <v>4000</v>
      </c>
      <c r="S845" s="3">
        <f t="shared" si="166"/>
        <v>2128.0999999999913</v>
      </c>
      <c r="T845" s="24"/>
      <c r="U845" s="24"/>
      <c r="V845" s="3"/>
      <c r="W845" s="25"/>
      <c r="X845" s="25"/>
      <c r="Y845" s="25"/>
      <c r="Z845" s="25"/>
      <c r="AA845" s="25"/>
      <c r="AB845" s="3" t="str">
        <f>IF(Caja_Finanzas[[#This Row],[fecha]]&gt;0,TEXT(Caja_Finanzas[[#This Row],[fecha]],"mmmm"),0)</f>
        <v>Setiembre</v>
      </c>
    </row>
    <row r="846" spans="1:28" ht="24" x14ac:dyDescent="0.3">
      <c r="A846" s="2">
        <f>IF(Caja_Finanzas[[#This Row],[tipo_r]]="R",COUNTIFS($C$1:$C845,"R")+1,A845)</f>
        <v>755</v>
      </c>
      <c r="B846" s="19" t="str">
        <f t="shared" si="171"/>
        <v>C-Finanzas</v>
      </c>
      <c r="C846" s="3" t="s">
        <v>1330</v>
      </c>
      <c r="D846" s="14">
        <v>45926</v>
      </c>
      <c r="E846" s="5" t="s">
        <v>1914</v>
      </c>
      <c r="F846" s="5" t="s">
        <v>1303</v>
      </c>
      <c r="G846" s="5"/>
      <c r="H846" s="104"/>
      <c r="I846" s="6" t="s">
        <v>119</v>
      </c>
      <c r="J846" s="6">
        <v>1</v>
      </c>
      <c r="K846" s="6">
        <v>4765</v>
      </c>
      <c r="L846" s="7" t="s">
        <v>6118</v>
      </c>
      <c r="M846" s="8" t="str">
        <f>"CFI"&amp;".D"&amp;TEXT(Caja_Finanzas[[#This Row],[fecha]],"DD-MM")&amp;"-"&amp;TEXT(Caja_Finanzas[[#This Row],[item]],"0000")</f>
        <v>CFI.D26-09-0755</v>
      </c>
      <c r="N846" s="8" t="str">
        <f t="shared" si="172"/>
        <v>PEN</v>
      </c>
      <c r="O846" s="13"/>
      <c r="P846" s="13">
        <v>1470</v>
      </c>
      <c r="Q846" s="3">
        <f t="shared" si="173"/>
        <v>1470</v>
      </c>
      <c r="R846" s="3">
        <f t="shared" si="174"/>
        <v>0</v>
      </c>
      <c r="S846" s="3">
        <f t="shared" si="166"/>
        <v>3598.0999999999913</v>
      </c>
      <c r="T846" s="24"/>
      <c r="U846" s="24"/>
      <c r="V846" s="3"/>
      <c r="W846" s="25"/>
      <c r="X846" s="25"/>
      <c r="Y846" s="25"/>
      <c r="Z846" s="25"/>
      <c r="AA846" s="25"/>
      <c r="AB846" s="3" t="str">
        <f>IF(Caja_Finanzas[[#This Row],[fecha]]&gt;0,TEXT(Caja_Finanzas[[#This Row],[fecha]],"mmmm"),0)</f>
        <v>Setiembre</v>
      </c>
    </row>
    <row r="847" spans="1:28" ht="24" x14ac:dyDescent="0.3">
      <c r="A847" s="2">
        <f>IF(Caja_Finanzas[[#This Row],[tipo_r]]="R",COUNTIFS($C$1:$C846,"R")+1,A846)</f>
        <v>756</v>
      </c>
      <c r="B847" s="19" t="str">
        <f t="shared" si="171"/>
        <v>C-Finanzas</v>
      </c>
      <c r="C847" s="3" t="s">
        <v>1330</v>
      </c>
      <c r="D847" s="14">
        <v>45926</v>
      </c>
      <c r="E847" s="5" t="s">
        <v>1914</v>
      </c>
      <c r="F847" s="5" t="s">
        <v>1303</v>
      </c>
      <c r="G847" s="5"/>
      <c r="H847" s="104"/>
      <c r="I847" s="6" t="s">
        <v>119</v>
      </c>
      <c r="J847" s="6">
        <v>1</v>
      </c>
      <c r="K847" s="6">
        <v>4766</v>
      </c>
      <c r="L847" s="7" t="s">
        <v>6118</v>
      </c>
      <c r="M847" s="8" t="str">
        <f>"CFI"&amp;".D"&amp;TEXT(Caja_Finanzas[[#This Row],[fecha]],"DD-MM")&amp;"-"&amp;TEXT(Caja_Finanzas[[#This Row],[item]],"0000")</f>
        <v>CFI.D26-09-0756</v>
      </c>
      <c r="N847" s="8" t="str">
        <f t="shared" si="172"/>
        <v>PEN</v>
      </c>
      <c r="O847" s="13"/>
      <c r="P847" s="13">
        <v>657</v>
      </c>
      <c r="Q847" s="3">
        <f t="shared" si="173"/>
        <v>657</v>
      </c>
      <c r="R847" s="3">
        <f t="shared" si="174"/>
        <v>0</v>
      </c>
      <c r="S847" s="3">
        <f t="shared" si="166"/>
        <v>4255.0999999999913</v>
      </c>
      <c r="T847" s="24"/>
      <c r="U847" s="24"/>
      <c r="V847" s="3"/>
      <c r="W847" s="25"/>
      <c r="X847" s="25"/>
      <c r="Y847" s="25"/>
      <c r="Z847" s="25"/>
      <c r="AA847" s="25"/>
      <c r="AB847" s="3" t="str">
        <f>IF(Caja_Finanzas[[#This Row],[fecha]]&gt;0,TEXT(Caja_Finanzas[[#This Row],[fecha]],"mmmm"),0)</f>
        <v>Setiembre</v>
      </c>
    </row>
    <row r="848" spans="1:28" ht="24" x14ac:dyDescent="0.3">
      <c r="A848" s="2">
        <f>IF(Caja_Finanzas[[#This Row],[tipo_r]]="R",COUNTIFS($C$1:$C847,"R")+1,A847)</f>
        <v>757</v>
      </c>
      <c r="B848" s="19" t="str">
        <f t="shared" si="171"/>
        <v>C-Finanzas</v>
      </c>
      <c r="C848" s="3" t="s">
        <v>1330</v>
      </c>
      <c r="D848" s="14">
        <v>45929</v>
      </c>
      <c r="E848" s="5" t="s">
        <v>6731</v>
      </c>
      <c r="F848" s="5" t="s">
        <v>1336</v>
      </c>
      <c r="G848" s="5"/>
      <c r="H848" s="104" t="s">
        <v>1009</v>
      </c>
      <c r="I848" s="6" t="s">
        <v>115</v>
      </c>
      <c r="J848" s="6" t="s">
        <v>7187</v>
      </c>
      <c r="K848" s="6">
        <v>156</v>
      </c>
      <c r="L848" s="7" t="s">
        <v>7435</v>
      </c>
      <c r="M848" s="8" t="str">
        <f>"CFI"&amp;".D"&amp;TEXT(Caja_Finanzas[[#This Row],[fecha]],"DD-MM")&amp;"-"&amp;TEXT(Caja_Finanzas[[#This Row],[item]],"0000")</f>
        <v>CFI.D29-09-0757</v>
      </c>
      <c r="N848" s="8" t="str">
        <f t="shared" si="172"/>
        <v>PEN</v>
      </c>
      <c r="O848" s="13"/>
      <c r="P848" s="13">
        <v>12</v>
      </c>
      <c r="Q848" s="3">
        <f t="shared" si="173"/>
        <v>0</v>
      </c>
      <c r="R848" s="3">
        <f t="shared" si="174"/>
        <v>12</v>
      </c>
      <c r="S848" s="3">
        <f t="shared" si="166"/>
        <v>4243.0999999999913</v>
      </c>
      <c r="T848" s="24"/>
      <c r="U848" s="24"/>
      <c r="V848" s="3"/>
      <c r="W848" s="25"/>
      <c r="X848" s="25"/>
      <c r="Y848" s="25"/>
      <c r="Z848" s="25"/>
      <c r="AA848" s="25"/>
      <c r="AB848" s="3" t="str">
        <f>IF(Caja_Finanzas[[#This Row],[fecha]]&gt;0,TEXT(Caja_Finanzas[[#This Row],[fecha]],"mmmm"),0)</f>
        <v>Setiembre</v>
      </c>
    </row>
    <row r="849" spans="1:28" ht="24" x14ac:dyDescent="0.3">
      <c r="A849" s="2">
        <f>IF(Caja_Finanzas[[#This Row],[tipo_r]]="R",COUNTIFS($C$1:$C848,"R")+1,A848)</f>
        <v>758</v>
      </c>
      <c r="B849" s="19" t="str">
        <f t="shared" si="171"/>
        <v>C-Finanzas</v>
      </c>
      <c r="C849" s="3" t="s">
        <v>1330</v>
      </c>
      <c r="D849" s="14">
        <v>45929</v>
      </c>
      <c r="E849" s="5" t="s">
        <v>5828</v>
      </c>
      <c r="F849" s="5" t="s">
        <v>1336</v>
      </c>
      <c r="G849" s="5"/>
      <c r="H849" s="104" t="s">
        <v>1009</v>
      </c>
      <c r="I849" s="6" t="s">
        <v>115</v>
      </c>
      <c r="J849" s="6" t="s">
        <v>7302</v>
      </c>
      <c r="K849" s="6">
        <v>55</v>
      </c>
      <c r="L849" s="7" t="s">
        <v>7436</v>
      </c>
      <c r="M849" s="8" t="str">
        <f>"CFI"&amp;".D"&amp;TEXT(Caja_Finanzas[[#This Row],[fecha]],"DD-MM")&amp;"-"&amp;TEXT(Caja_Finanzas[[#This Row],[item]],"0000")</f>
        <v>CFI.D29-09-0758</v>
      </c>
      <c r="N849" s="8" t="str">
        <f t="shared" si="172"/>
        <v>PEN</v>
      </c>
      <c r="O849" s="13"/>
      <c r="P849" s="13">
        <v>360</v>
      </c>
      <c r="Q849" s="3">
        <f t="shared" si="173"/>
        <v>0</v>
      </c>
      <c r="R849" s="3">
        <f t="shared" si="174"/>
        <v>360</v>
      </c>
      <c r="S849" s="3">
        <f t="shared" si="166"/>
        <v>3883.0999999999913</v>
      </c>
      <c r="T849" s="24"/>
      <c r="U849" s="24"/>
      <c r="V849" s="3"/>
      <c r="W849" s="25"/>
      <c r="X849" s="25"/>
      <c r="Y849" s="25"/>
      <c r="Z849" s="25"/>
      <c r="AA849" s="25"/>
      <c r="AB849" s="3" t="str">
        <f>IF(Caja_Finanzas[[#This Row],[fecha]]&gt;0,TEXT(Caja_Finanzas[[#This Row],[fecha]],"mmmm"),0)</f>
        <v>Setiembre</v>
      </c>
    </row>
    <row r="850" spans="1:28" ht="24" x14ac:dyDescent="0.3">
      <c r="A850" s="2">
        <f>IF(Caja_Finanzas[[#This Row],[tipo_r]]="R",COUNTIFS($C$1:$C849,"R")+1,A849)</f>
        <v>759</v>
      </c>
      <c r="B850" s="19" t="str">
        <f t="shared" si="171"/>
        <v>C-Finanzas</v>
      </c>
      <c r="C850" s="3" t="s">
        <v>1330</v>
      </c>
      <c r="D850" s="14">
        <v>45930</v>
      </c>
      <c r="E850" s="5" t="s">
        <v>7437</v>
      </c>
      <c r="F850" s="5" t="s">
        <v>1303</v>
      </c>
      <c r="G850" s="5"/>
      <c r="H850" s="104"/>
      <c r="I850" s="6" t="s">
        <v>119</v>
      </c>
      <c r="J850" s="6">
        <v>1</v>
      </c>
      <c r="K850" s="6">
        <v>4780</v>
      </c>
      <c r="L850" s="7" t="s">
        <v>6118</v>
      </c>
      <c r="M850" s="8" t="str">
        <f>"CFI"&amp;".D"&amp;TEXT(Caja_Finanzas[[#This Row],[fecha]],"DD-MM")&amp;"-"&amp;TEXT(Caja_Finanzas[[#This Row],[item]],"0000")</f>
        <v>CFI.D30-09-0759</v>
      </c>
      <c r="N850" s="8" t="str">
        <f t="shared" si="172"/>
        <v>PEN</v>
      </c>
      <c r="O850" s="13"/>
      <c r="P850" s="13">
        <v>960</v>
      </c>
      <c r="Q850" s="3">
        <f t="shared" si="173"/>
        <v>960</v>
      </c>
      <c r="R850" s="3">
        <f t="shared" si="174"/>
        <v>0</v>
      </c>
      <c r="S850" s="3">
        <f t="shared" si="166"/>
        <v>4843.0999999999913</v>
      </c>
      <c r="T850" s="24"/>
      <c r="U850" s="24"/>
      <c r="V850" s="3"/>
      <c r="W850" s="25"/>
      <c r="X850" s="25"/>
      <c r="Y850" s="25"/>
      <c r="Z850" s="25"/>
      <c r="AA850" s="25"/>
      <c r="AB850" s="3" t="str">
        <f>IF(Caja_Finanzas[[#This Row],[fecha]]&gt;0,TEXT(Caja_Finanzas[[#This Row],[fecha]],"mmmm"),0)</f>
        <v>Setiembre</v>
      </c>
    </row>
    <row r="851" spans="1:28" ht="24" x14ac:dyDescent="0.3">
      <c r="A851" s="2">
        <f>IF(Caja_Finanzas[[#This Row],[tipo_r]]="R",COUNTIFS($C$1:$C850,"R")+1,A850)</f>
        <v>760</v>
      </c>
      <c r="B851" s="19" t="str">
        <f t="shared" si="171"/>
        <v>C-Finanzas</v>
      </c>
      <c r="C851" s="3" t="s">
        <v>1330</v>
      </c>
      <c r="D851" s="14">
        <v>45930</v>
      </c>
      <c r="E851" s="5" t="s">
        <v>3293</v>
      </c>
      <c r="F851" s="5" t="s">
        <v>1303</v>
      </c>
      <c r="G851" s="5"/>
      <c r="H851" s="104"/>
      <c r="I851" s="6" t="s">
        <v>119</v>
      </c>
      <c r="J851" s="6">
        <v>1</v>
      </c>
      <c r="K851" s="6">
        <v>4784</v>
      </c>
      <c r="L851" s="7" t="s">
        <v>6118</v>
      </c>
      <c r="M851" s="8" t="str">
        <f>"CFI"&amp;".D"&amp;TEXT(Caja_Finanzas[[#This Row],[fecha]],"DD-MM")&amp;"-"&amp;TEXT(Caja_Finanzas[[#This Row],[item]],"0000")</f>
        <v>CFI.D30-09-0760</v>
      </c>
      <c r="N851" s="8" t="str">
        <f t="shared" si="172"/>
        <v>PEN</v>
      </c>
      <c r="O851" s="13"/>
      <c r="P851" s="13">
        <v>181.2</v>
      </c>
      <c r="Q851" s="3">
        <f t="shared" si="173"/>
        <v>181.2</v>
      </c>
      <c r="R851" s="3">
        <f t="shared" si="174"/>
        <v>0</v>
      </c>
      <c r="S851" s="3">
        <f t="shared" si="166"/>
        <v>5024.2999999999911</v>
      </c>
      <c r="T851" s="24"/>
      <c r="U851" s="24"/>
      <c r="V851" s="3"/>
      <c r="W851" s="25"/>
      <c r="X851" s="25"/>
      <c r="Y851" s="25"/>
      <c r="Z851" s="25"/>
      <c r="AA851" s="25"/>
      <c r="AB851" s="3" t="str">
        <f>IF(Caja_Finanzas[[#This Row],[fecha]]&gt;0,TEXT(Caja_Finanzas[[#This Row],[fecha]],"mmmm"),0)</f>
        <v>Setiembre</v>
      </c>
    </row>
    <row r="852" spans="1:28" ht="24" x14ac:dyDescent="0.3">
      <c r="A852" s="2">
        <f>IF(Caja_Finanzas[[#This Row],[tipo_r]]="R",COUNTIFS($C$1:$C851,"R")+1,A851)</f>
        <v>761</v>
      </c>
      <c r="B852" s="19" t="str">
        <f t="shared" si="171"/>
        <v>C-Finanzas</v>
      </c>
      <c r="C852" s="3" t="s">
        <v>1330</v>
      </c>
      <c r="D852" s="14">
        <v>45930</v>
      </c>
      <c r="E852" s="5" t="s">
        <v>7438</v>
      </c>
      <c r="F852" s="5" t="s">
        <v>1303</v>
      </c>
      <c r="G852" s="5"/>
      <c r="H852" s="104"/>
      <c r="I852" s="6" t="s">
        <v>119</v>
      </c>
      <c r="J852" s="6">
        <v>1</v>
      </c>
      <c r="K852" s="6">
        <v>4783</v>
      </c>
      <c r="L852" s="7" t="s">
        <v>6118</v>
      </c>
      <c r="M852" s="8" t="str">
        <f>"CFI"&amp;".D"&amp;TEXT(Caja_Finanzas[[#This Row],[fecha]],"DD-MM")&amp;"-"&amp;TEXT(Caja_Finanzas[[#This Row],[item]],"0000")</f>
        <v>CFI.D30-09-0761</v>
      </c>
      <c r="N852" s="8" t="str">
        <f t="shared" si="172"/>
        <v>PEN</v>
      </c>
      <c r="O852" s="13"/>
      <c r="P852" s="13">
        <v>46</v>
      </c>
      <c r="Q852" s="3">
        <f t="shared" si="173"/>
        <v>46</v>
      </c>
      <c r="R852" s="3">
        <f t="shared" si="174"/>
        <v>0</v>
      </c>
      <c r="S852" s="3">
        <f t="shared" si="166"/>
        <v>5070.2999999999911</v>
      </c>
      <c r="T852" s="24"/>
      <c r="U852" s="24"/>
      <c r="V852" s="3"/>
      <c r="W852" s="25"/>
      <c r="X852" s="25"/>
      <c r="Y852" s="25"/>
      <c r="Z852" s="25"/>
      <c r="AA852" s="25"/>
      <c r="AB852" s="3" t="str">
        <f>IF(Caja_Finanzas[[#This Row],[fecha]]&gt;0,TEXT(Caja_Finanzas[[#This Row],[fecha]],"mmmm"),0)</f>
        <v>Setiembre</v>
      </c>
    </row>
    <row r="853" spans="1:28" ht="48" x14ac:dyDescent="0.3">
      <c r="A853" s="2">
        <f>IF(Caja_Finanzas[[#This Row],[tipo_r]]="R",COUNTIFS($C$1:$C852,"R")+1,A852)</f>
        <v>762</v>
      </c>
      <c r="B853" s="19" t="str">
        <f t="shared" ref="B853:B858" si="175">"C-Finanzas"</f>
        <v>C-Finanzas</v>
      </c>
      <c r="C853" s="3" t="s">
        <v>1330</v>
      </c>
      <c r="D853" s="14">
        <v>45931</v>
      </c>
      <c r="E853" s="5" t="s">
        <v>6529</v>
      </c>
      <c r="F853" s="5" t="s">
        <v>1303</v>
      </c>
      <c r="G853" s="5"/>
      <c r="H853" s="104"/>
      <c r="I853" s="6"/>
      <c r="J853" s="6"/>
      <c r="K853" s="6"/>
      <c r="L853" s="7" t="s">
        <v>7439</v>
      </c>
      <c r="M853" s="8" t="str">
        <f>"CFI"&amp;".D"&amp;TEXT(Caja_Finanzas[[#This Row],[fecha]],"DD-MM")&amp;"-"&amp;TEXT(Caja_Finanzas[[#This Row],[item]],"0000")</f>
        <v>CFI.D01-10-0762</v>
      </c>
      <c r="N853" s="8" t="str">
        <f t="shared" ref="N853:N858" si="176">"PEN"</f>
        <v>PEN</v>
      </c>
      <c r="O853" s="13"/>
      <c r="P853" s="13">
        <v>100</v>
      </c>
      <c r="Q853" s="3">
        <f t="shared" ref="Q853:Q858" si="177">+IF(OR($F853="SALDO",$F853="INGRESO"),$P853,0)</f>
        <v>100</v>
      </c>
      <c r="R853" s="3">
        <f t="shared" ref="R853:R858" si="178">+IF($F853="EGRESO",$P853,0)</f>
        <v>0</v>
      </c>
      <c r="S853" s="3">
        <f t="shared" si="166"/>
        <v>5170.2999999999911</v>
      </c>
      <c r="T853" s="24"/>
      <c r="U853" s="24"/>
      <c r="V853" s="3"/>
      <c r="W853" s="25"/>
      <c r="X853" s="25"/>
      <c r="Y853" s="25"/>
      <c r="Z853" s="25"/>
      <c r="AA853" s="25"/>
      <c r="AB853" s="3" t="str">
        <f>IF(Caja_Finanzas[[#This Row],[fecha]]&gt;0,TEXT(Caja_Finanzas[[#This Row],[fecha]],"mmmm"),0)</f>
        <v>Octubre</v>
      </c>
    </row>
    <row r="854" spans="1:28" ht="24" x14ac:dyDescent="0.3">
      <c r="A854" s="2">
        <f>IF(Caja_Finanzas[[#This Row],[tipo_r]]="R",COUNTIFS($C$1:$C853,"R")+1,A853)</f>
        <v>763</v>
      </c>
      <c r="B854" s="19" t="str">
        <f t="shared" si="175"/>
        <v>C-Finanzas</v>
      </c>
      <c r="C854" s="3" t="s">
        <v>1330</v>
      </c>
      <c r="D854" s="14">
        <v>45931</v>
      </c>
      <c r="E854" s="5" t="s">
        <v>7437</v>
      </c>
      <c r="F854" s="5" t="s">
        <v>1303</v>
      </c>
      <c r="G854" s="5"/>
      <c r="H854" s="104"/>
      <c r="I854" s="6" t="s">
        <v>119</v>
      </c>
      <c r="J854" s="6">
        <v>1</v>
      </c>
      <c r="K854" s="6">
        <v>4792</v>
      </c>
      <c r="L854" s="7" t="s">
        <v>6118</v>
      </c>
      <c r="M854" s="8" t="str">
        <f>"CFI"&amp;".D"&amp;TEXT(Caja_Finanzas[[#This Row],[fecha]],"DD-MM")&amp;"-"&amp;TEXT(Caja_Finanzas[[#This Row],[item]],"0000")</f>
        <v>CFI.D01-10-0763</v>
      </c>
      <c r="N854" s="8" t="str">
        <f t="shared" si="176"/>
        <v>PEN</v>
      </c>
      <c r="O854" s="13"/>
      <c r="P854" s="13">
        <v>1440</v>
      </c>
      <c r="Q854" s="3">
        <f t="shared" si="177"/>
        <v>1440</v>
      </c>
      <c r="R854" s="3">
        <f t="shared" si="178"/>
        <v>0</v>
      </c>
      <c r="S854" s="3">
        <f t="shared" si="166"/>
        <v>6610.2999999999911</v>
      </c>
      <c r="T854" s="24"/>
      <c r="U854" s="24"/>
      <c r="V854" s="3"/>
      <c r="W854" s="25"/>
      <c r="X854" s="25"/>
      <c r="Y854" s="25"/>
      <c r="Z854" s="25"/>
      <c r="AA854" s="25"/>
      <c r="AB854" s="3" t="str">
        <f>IF(Caja_Finanzas[[#This Row],[fecha]]&gt;0,TEXT(Caja_Finanzas[[#This Row],[fecha]],"mmmm"),0)</f>
        <v>Octubre</v>
      </c>
    </row>
    <row r="855" spans="1:28" ht="24" x14ac:dyDescent="0.3">
      <c r="A855" s="2">
        <f>IF(Caja_Finanzas[[#This Row],[tipo_r]]="R",COUNTIFS($C$1:$C854,"R")+1,A854)</f>
        <v>764</v>
      </c>
      <c r="B855" s="19" t="str">
        <f t="shared" si="175"/>
        <v>C-Finanzas</v>
      </c>
      <c r="C855" s="3" t="s">
        <v>1330</v>
      </c>
      <c r="D855" s="14">
        <v>45931</v>
      </c>
      <c r="E855" s="5" t="s">
        <v>2502</v>
      </c>
      <c r="F855" s="5" t="s">
        <v>1303</v>
      </c>
      <c r="G855" s="5"/>
      <c r="H855" s="104"/>
      <c r="I855" s="6" t="s">
        <v>119</v>
      </c>
      <c r="J855" s="6">
        <v>1</v>
      </c>
      <c r="K855" s="6">
        <v>4788</v>
      </c>
      <c r="L855" s="7" t="s">
        <v>6118</v>
      </c>
      <c r="M855" s="8" t="str">
        <f>"CFI"&amp;".D"&amp;TEXT(Caja_Finanzas[[#This Row],[fecha]],"DD-MM")&amp;"-"&amp;TEXT(Caja_Finanzas[[#This Row],[item]],"0000")</f>
        <v>CFI.D01-10-0764</v>
      </c>
      <c r="N855" s="8" t="str">
        <f t="shared" si="176"/>
        <v>PEN</v>
      </c>
      <c r="O855" s="13"/>
      <c r="P855" s="13">
        <v>2295</v>
      </c>
      <c r="Q855" s="3">
        <f t="shared" si="177"/>
        <v>2295</v>
      </c>
      <c r="R855" s="3">
        <f t="shared" si="178"/>
        <v>0</v>
      </c>
      <c r="S855" s="3">
        <f t="shared" si="166"/>
        <v>8905.299999999992</v>
      </c>
      <c r="T855" s="24"/>
      <c r="U855" s="24"/>
      <c r="V855" s="3"/>
      <c r="W855" s="25"/>
      <c r="X855" s="25"/>
      <c r="Y855" s="25"/>
      <c r="Z855" s="25"/>
      <c r="AA855" s="25"/>
      <c r="AB855" s="3" t="str">
        <f>IF(Caja_Finanzas[[#This Row],[fecha]]&gt;0,TEXT(Caja_Finanzas[[#This Row],[fecha]],"mmmm"),0)</f>
        <v>Octubre</v>
      </c>
    </row>
    <row r="856" spans="1:28" x14ac:dyDescent="0.3">
      <c r="A856" s="2">
        <f>IF(Caja_Finanzas[[#This Row],[tipo_r]]="R",COUNTIFS($C$1:$C855,"R")+1,A855)</f>
        <v>765</v>
      </c>
      <c r="B856" s="19" t="str">
        <f t="shared" si="175"/>
        <v>C-Finanzas</v>
      </c>
      <c r="C856" s="3" t="s">
        <v>1330</v>
      </c>
      <c r="D856" s="14">
        <v>45931</v>
      </c>
      <c r="E856" s="5" t="s">
        <v>5828</v>
      </c>
      <c r="F856" s="5" t="s">
        <v>1336</v>
      </c>
      <c r="G856" s="5"/>
      <c r="H856" s="104"/>
      <c r="I856" s="6"/>
      <c r="J856" s="6"/>
      <c r="K856" s="6"/>
      <c r="L856" s="7" t="s">
        <v>7440</v>
      </c>
      <c r="M856" s="8" t="str">
        <f>"CFI"&amp;".D"&amp;TEXT(Caja_Finanzas[[#This Row],[fecha]],"DD-MM")&amp;"-"&amp;TEXT(Caja_Finanzas[[#This Row],[item]],"0000")</f>
        <v>CFI.D01-10-0765</v>
      </c>
      <c r="N856" s="8" t="str">
        <f t="shared" si="176"/>
        <v>PEN</v>
      </c>
      <c r="O856" s="13"/>
      <c r="P856" s="13">
        <v>8000</v>
      </c>
      <c r="Q856" s="3">
        <f t="shared" si="177"/>
        <v>0</v>
      </c>
      <c r="R856" s="3">
        <f t="shared" si="178"/>
        <v>8000</v>
      </c>
      <c r="S856" s="3">
        <f t="shared" si="166"/>
        <v>905.299999999992</v>
      </c>
      <c r="T856" s="24"/>
      <c r="U856" s="24"/>
      <c r="V856" s="3"/>
      <c r="W856" s="25"/>
      <c r="X856" s="25"/>
      <c r="Y856" s="25"/>
      <c r="Z856" s="25"/>
      <c r="AA856" s="25"/>
      <c r="AB856" s="3" t="str">
        <f>IF(Caja_Finanzas[[#This Row],[fecha]]&gt;0,TEXT(Caja_Finanzas[[#This Row],[fecha]],"mmmm"),0)</f>
        <v>Octubre</v>
      </c>
    </row>
    <row r="857" spans="1:28" x14ac:dyDescent="0.3">
      <c r="A857" s="2">
        <f>IF(Caja_Finanzas[[#This Row],[tipo_r]]="R",COUNTIFS($C$1:$C856,"R")+1,A856)</f>
        <v>766</v>
      </c>
      <c r="B857" s="19" t="str">
        <f t="shared" si="175"/>
        <v>C-Finanzas</v>
      </c>
      <c r="C857" s="3" t="s">
        <v>1330</v>
      </c>
      <c r="D857" s="14">
        <v>45932</v>
      </c>
      <c r="E857" s="5" t="s">
        <v>1498</v>
      </c>
      <c r="F857" s="5" t="s">
        <v>1303</v>
      </c>
      <c r="G857" s="5"/>
      <c r="H857" s="104"/>
      <c r="I857" s="6" t="s">
        <v>119</v>
      </c>
      <c r="J857" s="6">
        <v>1</v>
      </c>
      <c r="K857" s="6">
        <v>4797</v>
      </c>
      <c r="L857" s="7" t="s">
        <v>6118</v>
      </c>
      <c r="M857" s="8" t="str">
        <f>"CFI"&amp;".D"&amp;TEXT(Caja_Finanzas[[#This Row],[fecha]],"DD-MM")&amp;"-"&amp;TEXT(Caja_Finanzas[[#This Row],[item]],"0000")</f>
        <v>CFI.D02-10-0766</v>
      </c>
      <c r="N857" s="8" t="str">
        <f t="shared" si="176"/>
        <v>PEN</v>
      </c>
      <c r="O857" s="13"/>
      <c r="P857" s="13">
        <v>16</v>
      </c>
      <c r="Q857" s="3">
        <f t="shared" si="177"/>
        <v>16</v>
      </c>
      <c r="R857" s="3">
        <f t="shared" si="178"/>
        <v>0</v>
      </c>
      <c r="S857" s="3">
        <f t="shared" si="166"/>
        <v>921.299999999992</v>
      </c>
      <c r="T857" s="24"/>
      <c r="U857" s="24"/>
      <c r="V857" s="3"/>
      <c r="W857" s="25"/>
      <c r="X857" s="25"/>
      <c r="Y857" s="25"/>
      <c r="Z857" s="25"/>
      <c r="AA857" s="25"/>
      <c r="AB857" s="3" t="str">
        <f>IF(Caja_Finanzas[[#This Row],[fecha]]&gt;0,TEXT(Caja_Finanzas[[#This Row],[fecha]],"mmmm"),0)</f>
        <v>Octubre</v>
      </c>
    </row>
    <row r="858" spans="1:28" ht="24" x14ac:dyDescent="0.3">
      <c r="A858" s="2">
        <f>IF(Caja_Finanzas[[#This Row],[tipo_r]]="R",COUNTIFS($C$1:$C857,"R")+1,A857)</f>
        <v>767</v>
      </c>
      <c r="B858" s="19" t="str">
        <f t="shared" si="175"/>
        <v>C-Finanzas</v>
      </c>
      <c r="C858" s="3" t="s">
        <v>1330</v>
      </c>
      <c r="D858" s="14">
        <v>45932</v>
      </c>
      <c r="E858" s="5" t="s">
        <v>2009</v>
      </c>
      <c r="F858" s="5" t="s">
        <v>1303</v>
      </c>
      <c r="G858" s="5"/>
      <c r="H858" s="104"/>
      <c r="I858" s="6" t="s">
        <v>119</v>
      </c>
      <c r="J858" s="6">
        <v>1</v>
      </c>
      <c r="K858" s="6">
        <v>4796</v>
      </c>
      <c r="L858" s="7" t="s">
        <v>6118</v>
      </c>
      <c r="M858" s="8" t="str">
        <f>"CFI"&amp;".D"&amp;TEXT(Caja_Finanzas[[#This Row],[fecha]],"DD-MM")&amp;"-"&amp;TEXT(Caja_Finanzas[[#This Row],[item]],"0000")</f>
        <v>CFI.D02-10-0767</v>
      </c>
      <c r="N858" s="8" t="str">
        <f t="shared" si="176"/>
        <v>PEN</v>
      </c>
      <c r="O858" s="13"/>
      <c r="P858" s="13">
        <v>250</v>
      </c>
      <c r="Q858" s="3">
        <f t="shared" si="177"/>
        <v>250</v>
      </c>
      <c r="R858" s="3">
        <f t="shared" si="178"/>
        <v>0</v>
      </c>
      <c r="S858" s="3">
        <f t="shared" si="166"/>
        <v>1171.299999999992</v>
      </c>
      <c r="T858" s="24"/>
      <c r="U858" s="24"/>
      <c r="V858" s="3"/>
      <c r="W858" s="25"/>
      <c r="X858" s="25"/>
      <c r="Y858" s="25"/>
      <c r="Z858" s="25"/>
      <c r="AA858" s="25"/>
      <c r="AB858" s="3" t="str">
        <f>IF(Caja_Finanzas[[#This Row],[fecha]]&gt;0,TEXT(Caja_Finanzas[[#This Row],[fecha]],"mmmm"),0)</f>
        <v>Octubre</v>
      </c>
    </row>
    <row r="859" spans="1:28" ht="24" x14ac:dyDescent="0.3">
      <c r="A859" s="2">
        <f>IF(Caja_Finanzas[[#This Row],[tipo_r]]="R",COUNTIFS($C$1:$C858,"R")+1,A858)</f>
        <v>768</v>
      </c>
      <c r="B859" s="19" t="str">
        <f t="shared" ref="B859:B871" si="179">"C-Finanzas"</f>
        <v>C-Finanzas</v>
      </c>
      <c r="C859" s="3" t="s">
        <v>1330</v>
      </c>
      <c r="D859" s="14">
        <v>45933</v>
      </c>
      <c r="E859" s="5" t="s">
        <v>6246</v>
      </c>
      <c r="F859" s="5" t="s">
        <v>1336</v>
      </c>
      <c r="G859" s="5"/>
      <c r="H859" s="104"/>
      <c r="I859" s="6" t="s">
        <v>115</v>
      </c>
      <c r="J859" s="6" t="s">
        <v>7289</v>
      </c>
      <c r="K859" s="6">
        <v>22</v>
      </c>
      <c r="L859" s="7" t="s">
        <v>7441</v>
      </c>
      <c r="M859" s="8" t="str">
        <f>"CFI"&amp;".D"&amp;TEXT(Caja_Finanzas[[#This Row],[fecha]],"DD-MM")&amp;"-"&amp;TEXT(Caja_Finanzas[[#This Row],[item]],"0000")</f>
        <v>CFI.D03-10-0768</v>
      </c>
      <c r="N859" s="8" t="str">
        <f t="shared" ref="N859:N871" si="180">"PEN"</f>
        <v>PEN</v>
      </c>
      <c r="O859" s="13"/>
      <c r="P859" s="13">
        <v>80</v>
      </c>
      <c r="Q859" s="3">
        <f t="shared" ref="Q859:Q871" si="181">+IF(OR($F859="SALDO",$F859="INGRESO"),$P859,0)</f>
        <v>0</v>
      </c>
      <c r="R859" s="3">
        <f t="shared" ref="R859:R871" si="182">+IF($F859="EGRESO",$P859,0)</f>
        <v>80</v>
      </c>
      <c r="S859" s="3">
        <f t="shared" si="166"/>
        <v>1091.299999999992</v>
      </c>
      <c r="T859" s="24"/>
      <c r="U859" s="24"/>
      <c r="V859" s="3"/>
      <c r="W859" s="25"/>
      <c r="X859" s="25"/>
      <c r="Y859" s="25"/>
      <c r="Z859" s="25"/>
      <c r="AA859" s="25"/>
      <c r="AB859" s="3" t="str">
        <f>IF(Caja_Finanzas[[#This Row],[fecha]]&gt;0,TEXT(Caja_Finanzas[[#This Row],[fecha]],"mmmm"),0)</f>
        <v>Octubre</v>
      </c>
    </row>
    <row r="860" spans="1:28" x14ac:dyDescent="0.3">
      <c r="A860" s="2">
        <f>IF(Caja_Finanzas[[#This Row],[tipo_r]]="R",COUNTIFS($C$1:$C859,"R")+1,A859)</f>
        <v>769</v>
      </c>
      <c r="B860" s="19" t="str">
        <f t="shared" si="179"/>
        <v>C-Finanzas</v>
      </c>
      <c r="C860" s="3" t="s">
        <v>1330</v>
      </c>
      <c r="D860" s="14">
        <v>45933</v>
      </c>
      <c r="E860" s="5" t="s">
        <v>1498</v>
      </c>
      <c r="F860" s="5" t="s">
        <v>1303</v>
      </c>
      <c r="G860" s="5"/>
      <c r="H860" s="104"/>
      <c r="I860" s="6" t="s">
        <v>119</v>
      </c>
      <c r="J860" s="6">
        <v>1</v>
      </c>
      <c r="K860" s="6">
        <v>4801</v>
      </c>
      <c r="L860" s="7" t="s">
        <v>6118</v>
      </c>
      <c r="M860" s="8" t="str">
        <f>"CFI"&amp;".D"&amp;TEXT(Caja_Finanzas[[#This Row],[fecha]],"DD-MM")&amp;"-"&amp;TEXT(Caja_Finanzas[[#This Row],[item]],"0000")</f>
        <v>CFI.D03-10-0769</v>
      </c>
      <c r="N860" s="8" t="str">
        <f t="shared" si="180"/>
        <v>PEN</v>
      </c>
      <c r="O860" s="13"/>
      <c r="P860" s="13">
        <v>44.4</v>
      </c>
      <c r="Q860" s="3">
        <f t="shared" si="181"/>
        <v>44.4</v>
      </c>
      <c r="R860" s="3">
        <f t="shared" si="182"/>
        <v>0</v>
      </c>
      <c r="S860" s="3">
        <f t="shared" si="166"/>
        <v>1135.6999999999921</v>
      </c>
      <c r="T860" s="24"/>
      <c r="U860" s="24"/>
      <c r="V860" s="3"/>
      <c r="W860" s="25"/>
      <c r="X860" s="25"/>
      <c r="Y860" s="25"/>
      <c r="Z860" s="25"/>
      <c r="AA860" s="25"/>
      <c r="AB860" s="3" t="str">
        <f>IF(Caja_Finanzas[[#This Row],[fecha]]&gt;0,TEXT(Caja_Finanzas[[#This Row],[fecha]],"mmmm"),0)</f>
        <v>Octubre</v>
      </c>
    </row>
    <row r="861" spans="1:28" ht="24" x14ac:dyDescent="0.3">
      <c r="A861" s="2">
        <f>IF(Caja_Finanzas[[#This Row],[tipo_r]]="R",COUNTIFS($C$1:$C860,"R")+1,A860)</f>
        <v>770</v>
      </c>
      <c r="B861" s="19" t="str">
        <f t="shared" si="179"/>
        <v>C-Finanzas</v>
      </c>
      <c r="C861" s="3" t="s">
        <v>1330</v>
      </c>
      <c r="D861" s="14">
        <v>45933</v>
      </c>
      <c r="E861" s="5" t="s">
        <v>2409</v>
      </c>
      <c r="F861" s="5" t="s">
        <v>1303</v>
      </c>
      <c r="G861" s="5"/>
      <c r="H861" s="104"/>
      <c r="I861" s="6" t="s">
        <v>119</v>
      </c>
      <c r="J861" s="6">
        <v>1</v>
      </c>
      <c r="K861" s="6">
        <v>4795</v>
      </c>
      <c r="L861" s="7" t="s">
        <v>6118</v>
      </c>
      <c r="M861" s="8" t="str">
        <f>"CFI"&amp;".D"&amp;TEXT(Caja_Finanzas[[#This Row],[fecha]],"DD-MM")&amp;"-"&amp;TEXT(Caja_Finanzas[[#This Row],[item]],"0000")</f>
        <v>CFI.D03-10-0770</v>
      </c>
      <c r="N861" s="8" t="str">
        <f t="shared" si="180"/>
        <v>PEN</v>
      </c>
      <c r="O861" s="13"/>
      <c r="P861" s="13">
        <v>500</v>
      </c>
      <c r="Q861" s="3">
        <f t="shared" si="181"/>
        <v>500</v>
      </c>
      <c r="R861" s="3">
        <f t="shared" si="182"/>
        <v>0</v>
      </c>
      <c r="S861" s="3">
        <f t="shared" si="166"/>
        <v>1635.6999999999921</v>
      </c>
      <c r="T861" s="24"/>
      <c r="U861" s="24"/>
      <c r="V861" s="3"/>
      <c r="W861" s="25"/>
      <c r="X861" s="25"/>
      <c r="Y861" s="25"/>
      <c r="Z861" s="25"/>
      <c r="AA861" s="25"/>
      <c r="AB861" s="3" t="str">
        <f>IF(Caja_Finanzas[[#This Row],[fecha]]&gt;0,TEXT(Caja_Finanzas[[#This Row],[fecha]],"mmmm"),0)</f>
        <v>Octubre</v>
      </c>
    </row>
    <row r="862" spans="1:28" ht="36" x14ac:dyDescent="0.3">
      <c r="A862" s="2">
        <f>IF(Caja_Finanzas[[#This Row],[tipo_r]]="R",COUNTIFS($C$1:$C861,"R")+1,A861)</f>
        <v>771</v>
      </c>
      <c r="B862" s="19" t="str">
        <f t="shared" si="179"/>
        <v>C-Finanzas</v>
      </c>
      <c r="C862" s="3" t="s">
        <v>1330</v>
      </c>
      <c r="D862" s="14">
        <v>45933</v>
      </c>
      <c r="E862" s="5" t="s">
        <v>7442</v>
      </c>
      <c r="F862" s="5" t="s">
        <v>1303</v>
      </c>
      <c r="G862" s="5"/>
      <c r="H862" s="104"/>
      <c r="I862" s="6" t="s">
        <v>119</v>
      </c>
      <c r="J862" s="6">
        <v>1</v>
      </c>
      <c r="K862" s="6">
        <v>4809</v>
      </c>
      <c r="L862" s="7" t="s">
        <v>7443</v>
      </c>
      <c r="M862" s="8" t="str">
        <f>"CFI"&amp;".D"&amp;TEXT(Caja_Finanzas[[#This Row],[fecha]],"DD-MM")&amp;"-"&amp;TEXT(Caja_Finanzas[[#This Row],[item]],"0000")</f>
        <v>CFI.D03-10-0771</v>
      </c>
      <c r="N862" s="8" t="str">
        <f t="shared" si="180"/>
        <v>PEN</v>
      </c>
      <c r="O862" s="13"/>
      <c r="P862" s="13">
        <v>900</v>
      </c>
      <c r="Q862" s="3">
        <f t="shared" si="181"/>
        <v>900</v>
      </c>
      <c r="R862" s="3">
        <f t="shared" si="182"/>
        <v>0</v>
      </c>
      <c r="S862" s="3">
        <f t="shared" si="166"/>
        <v>2535.6999999999921</v>
      </c>
      <c r="T862" s="24"/>
      <c r="U862" s="24"/>
      <c r="V862" s="3"/>
      <c r="W862" s="25"/>
      <c r="X862" s="25"/>
      <c r="Y862" s="25"/>
      <c r="Z862" s="25"/>
      <c r="AA862" s="25"/>
      <c r="AB862" s="3" t="str">
        <f>IF(Caja_Finanzas[[#This Row],[fecha]]&gt;0,TEXT(Caja_Finanzas[[#This Row],[fecha]],"mmmm"),0)</f>
        <v>Octubre</v>
      </c>
    </row>
    <row r="863" spans="1:28" ht="24" x14ac:dyDescent="0.3">
      <c r="A863" s="2">
        <f>IF(Caja_Finanzas[[#This Row],[tipo_r]]="R",COUNTIFS($C$1:$C862,"R")+1,A862)</f>
        <v>772</v>
      </c>
      <c r="B863" s="19" t="str">
        <f t="shared" si="179"/>
        <v>C-Finanzas</v>
      </c>
      <c r="C863" s="3" t="s">
        <v>1330</v>
      </c>
      <c r="D863" s="14">
        <v>45933</v>
      </c>
      <c r="E863" s="5" t="s">
        <v>6460</v>
      </c>
      <c r="F863" s="5" t="s">
        <v>1336</v>
      </c>
      <c r="G863" s="5"/>
      <c r="H863" s="104" t="s">
        <v>1009</v>
      </c>
      <c r="I863" s="6" t="s">
        <v>115</v>
      </c>
      <c r="J863" s="6" t="s">
        <v>7299</v>
      </c>
      <c r="K863" s="6">
        <v>147</v>
      </c>
      <c r="L863" s="7" t="s">
        <v>7444</v>
      </c>
      <c r="M863" s="210" t="str">
        <f>"CFI"&amp;".D"&amp;TEXT(Caja_Finanzas[[#This Row],[fecha]],"DD-MM")&amp;"-"&amp;TEXT(Caja_Finanzas[[#This Row],[item]],"0000")</f>
        <v>CFI.D03-10-0772</v>
      </c>
      <c r="N863" s="8" t="str">
        <f t="shared" si="180"/>
        <v>PEN</v>
      </c>
      <c r="O863" s="13"/>
      <c r="P863" s="13">
        <v>5</v>
      </c>
      <c r="Q863" s="3">
        <f t="shared" si="181"/>
        <v>0</v>
      </c>
      <c r="R863" s="3">
        <f t="shared" si="182"/>
        <v>5</v>
      </c>
      <c r="S863" s="3">
        <f t="shared" si="166"/>
        <v>2530.6999999999921</v>
      </c>
      <c r="T863" s="24"/>
      <c r="U863" s="24"/>
      <c r="V863" s="3"/>
      <c r="W863" s="25"/>
      <c r="X863" s="25"/>
      <c r="Y863" s="25"/>
      <c r="Z863" s="25"/>
      <c r="AA863" s="25"/>
      <c r="AB863" s="3" t="str">
        <f>IF(Caja_Finanzas[[#This Row],[fecha]]&gt;0,TEXT(Caja_Finanzas[[#This Row],[fecha]],"mmmm"),0)</f>
        <v>Octubre</v>
      </c>
    </row>
    <row r="864" spans="1:28" x14ac:dyDescent="0.3">
      <c r="A864" s="2">
        <f>IF(Caja_Finanzas[[#This Row],[tipo_r]]="R",COUNTIFS($C$1:$C863,"R")+1,A863)</f>
        <v>773</v>
      </c>
      <c r="B864" s="19" t="str">
        <f t="shared" si="179"/>
        <v>C-Finanzas</v>
      </c>
      <c r="C864" s="3" t="s">
        <v>1330</v>
      </c>
      <c r="D864" s="14">
        <v>45933</v>
      </c>
      <c r="E864" s="5" t="s">
        <v>1331</v>
      </c>
      <c r="F864" s="5" t="s">
        <v>1303</v>
      </c>
      <c r="G864" s="5"/>
      <c r="H864" s="104"/>
      <c r="I864" s="6"/>
      <c r="J864" s="6"/>
      <c r="K864" s="6"/>
      <c r="L864" s="7" t="s">
        <v>7445</v>
      </c>
      <c r="M864" s="8" t="str">
        <f>"CFI"&amp;".D"&amp;TEXT(Caja_Finanzas[[#This Row],[fecha]],"DD-MM")&amp;"-"&amp;TEXT(Caja_Finanzas[[#This Row],[item]],"0000")</f>
        <v>CFI.D03-10-0773</v>
      </c>
      <c r="N864" s="8" t="str">
        <f t="shared" si="180"/>
        <v>PEN</v>
      </c>
      <c r="O864" s="13"/>
      <c r="P864" s="13">
        <v>7000</v>
      </c>
      <c r="Q864" s="3">
        <f t="shared" si="181"/>
        <v>7000</v>
      </c>
      <c r="R864" s="3">
        <f t="shared" si="182"/>
        <v>0</v>
      </c>
      <c r="S864" s="3">
        <f t="shared" si="166"/>
        <v>9530.6999999999916</v>
      </c>
      <c r="T864" s="24"/>
      <c r="U864" s="24"/>
      <c r="V864" s="3"/>
      <c r="W864" s="25"/>
      <c r="X864" s="25"/>
      <c r="Y864" s="25"/>
      <c r="Z864" s="25"/>
      <c r="AA864" s="25"/>
      <c r="AB864" s="3" t="str">
        <f>IF(Caja_Finanzas[[#This Row],[fecha]]&gt;0,TEXT(Caja_Finanzas[[#This Row],[fecha]],"mmmm"),0)</f>
        <v>Octubre</v>
      </c>
    </row>
    <row r="865" spans="1:28" x14ac:dyDescent="0.3">
      <c r="A865" s="2">
        <f>IF(Caja_Finanzas[[#This Row],[tipo_r]]="R",COUNTIFS($C$1:$C864,"R")+1,A864)</f>
        <v>773</v>
      </c>
      <c r="B865" s="19" t="str">
        <f>"C-Finanzas"</f>
        <v>C-Finanzas</v>
      </c>
      <c r="C865" s="3" t="s">
        <v>1352</v>
      </c>
      <c r="D865" s="14">
        <v>45933</v>
      </c>
      <c r="E865" s="5" t="s">
        <v>1331</v>
      </c>
      <c r="F865" s="5" t="s">
        <v>1303</v>
      </c>
      <c r="G865" s="5"/>
      <c r="H865" s="104"/>
      <c r="I865" s="6"/>
      <c r="J865" s="6"/>
      <c r="K865" s="6"/>
      <c r="L865" s="7" t="s">
        <v>7445</v>
      </c>
      <c r="M865" s="8" t="str">
        <f>"CFI"&amp;".D"&amp;TEXT(Caja_Finanzas[[#This Row],[fecha]],"DD-MM")&amp;"-"&amp;TEXT(Caja_Finanzas[[#This Row],[item]],"0000")</f>
        <v>CFI.D03-10-0773</v>
      </c>
      <c r="N865" s="8" t="str">
        <f>"PEN"</f>
        <v>PEN</v>
      </c>
      <c r="O865" s="13">
        <v>1000</v>
      </c>
      <c r="P865" s="13"/>
      <c r="Q865" s="3">
        <f>+IF(OR($F865="SALDO",$F865="INGRESO"),$P865,0)</f>
        <v>0</v>
      </c>
      <c r="R865" s="3">
        <f>+IF($F865="EGRESO",$P865,0)</f>
        <v>0</v>
      </c>
      <c r="S865" s="3">
        <f t="shared" si="166"/>
        <v>9530.6999999999916</v>
      </c>
      <c r="T865" s="24"/>
      <c r="U865" s="24"/>
      <c r="V865" s="3"/>
      <c r="W865" s="25"/>
      <c r="X865" s="25"/>
      <c r="Y865" s="25"/>
      <c r="Z865" s="25"/>
      <c r="AA865" s="25"/>
      <c r="AB865" s="3" t="str">
        <f>IF(Caja_Finanzas[[#This Row],[fecha]]&gt;0,TEXT(Caja_Finanzas[[#This Row],[fecha]],"mmmm"),0)</f>
        <v>Octubre</v>
      </c>
    </row>
    <row r="866" spans="1:28" ht="24" x14ac:dyDescent="0.3">
      <c r="A866" s="2">
        <f>IF(Caja_Finanzas[[#This Row],[tipo_r]]="R",COUNTIFS($C$1:$C865,"R")+1,A865)</f>
        <v>773</v>
      </c>
      <c r="B866" s="19" t="str">
        <f>"C-Finanzas"</f>
        <v>C-Finanzas</v>
      </c>
      <c r="C866" s="3" t="s">
        <v>1352</v>
      </c>
      <c r="D866" s="14">
        <v>45933</v>
      </c>
      <c r="E866" s="5" t="s">
        <v>6418</v>
      </c>
      <c r="F866" s="5" t="s">
        <v>1303</v>
      </c>
      <c r="G866" s="5"/>
      <c r="H866" s="104"/>
      <c r="I866" s="6"/>
      <c r="J866" s="6"/>
      <c r="K866" s="6"/>
      <c r="L866" s="7" t="s">
        <v>7446</v>
      </c>
      <c r="M866" s="8" t="str">
        <f>"CFI"&amp;".D"&amp;TEXT(Caja_Finanzas[[#This Row],[fecha]],"DD-MM")&amp;"-"&amp;TEXT(Caja_Finanzas[[#This Row],[item]],"0000")</f>
        <v>CFI.D03-10-0773</v>
      </c>
      <c r="N866" s="8" t="str">
        <f>"PEN"</f>
        <v>PEN</v>
      </c>
      <c r="O866" s="13">
        <v>3000</v>
      </c>
      <c r="P866" s="13"/>
      <c r="Q866" s="3">
        <f>+IF(OR($F866="SALDO",$F866="INGRESO"),$P866,0)</f>
        <v>0</v>
      </c>
      <c r="R866" s="3">
        <f>+IF($F866="EGRESO",$P866,0)</f>
        <v>0</v>
      </c>
      <c r="S866" s="3">
        <f t="shared" si="166"/>
        <v>9530.6999999999916</v>
      </c>
      <c r="T866" s="24"/>
      <c r="U866" s="24"/>
      <c r="V866" s="3"/>
      <c r="W866" s="25"/>
      <c r="X866" s="25"/>
      <c r="Y866" s="25"/>
      <c r="Z866" s="25"/>
      <c r="AA866" s="25"/>
      <c r="AB866" s="3" t="str">
        <f>IF(Caja_Finanzas[[#This Row],[fecha]]&gt;0,TEXT(Caja_Finanzas[[#This Row],[fecha]],"mmmm"),0)</f>
        <v>Octubre</v>
      </c>
    </row>
    <row r="867" spans="1:28" ht="24" x14ac:dyDescent="0.3">
      <c r="A867" s="2">
        <f>IF(Caja_Finanzas[[#This Row],[tipo_r]]="R",COUNTIFS($C$1:$C866,"R")+1,A866)</f>
        <v>773</v>
      </c>
      <c r="B867" s="19" t="str">
        <f>"C-Finanzas"</f>
        <v>C-Finanzas</v>
      </c>
      <c r="C867" s="3" t="s">
        <v>1352</v>
      </c>
      <c r="D867" s="14">
        <v>45933</v>
      </c>
      <c r="E867" s="5" t="s">
        <v>6418</v>
      </c>
      <c r="F867" s="5" t="s">
        <v>1303</v>
      </c>
      <c r="G867" s="5"/>
      <c r="H867" s="104"/>
      <c r="I867" s="6"/>
      <c r="J867" s="6"/>
      <c r="K867" s="6"/>
      <c r="L867" s="7" t="s">
        <v>7447</v>
      </c>
      <c r="M867" s="8" t="str">
        <f>"CFI"&amp;".D"&amp;TEXT(Caja_Finanzas[[#This Row],[fecha]],"DD-MM")&amp;"-"&amp;TEXT(Caja_Finanzas[[#This Row],[item]],"0000")</f>
        <v>CFI.D03-10-0773</v>
      </c>
      <c r="N867" s="8" t="str">
        <f>"PEN"</f>
        <v>PEN</v>
      </c>
      <c r="O867" s="13">
        <v>3000</v>
      </c>
      <c r="P867" s="13"/>
      <c r="Q867" s="3">
        <f>+IF(OR($F867="SALDO",$F867="INGRESO"),$P867,0)</f>
        <v>0</v>
      </c>
      <c r="R867" s="3">
        <f>+IF($F867="EGRESO",$P867,0)</f>
        <v>0</v>
      </c>
      <c r="S867" s="3">
        <f t="shared" si="166"/>
        <v>9530.6999999999916</v>
      </c>
      <c r="T867" s="24"/>
      <c r="U867" s="24"/>
      <c r="V867" s="3"/>
      <c r="W867" s="25"/>
      <c r="X867" s="25"/>
      <c r="Y867" s="25"/>
      <c r="Z867" s="25"/>
      <c r="AA867" s="25"/>
      <c r="AB867" s="3" t="str">
        <f>IF(Caja_Finanzas[[#This Row],[fecha]]&gt;0,TEXT(Caja_Finanzas[[#This Row],[fecha]],"mmmm"),0)</f>
        <v>Octubre</v>
      </c>
    </row>
    <row r="868" spans="1:28" x14ac:dyDescent="0.3">
      <c r="A868" s="2">
        <f>IF(Caja_Finanzas[[#This Row],[tipo_r]]="R",COUNTIFS($C$1:$C867,"R")+1,A867)</f>
        <v>774</v>
      </c>
      <c r="B868" s="19" t="str">
        <f t="shared" si="179"/>
        <v>C-Finanzas</v>
      </c>
      <c r="C868" s="3" t="s">
        <v>1330</v>
      </c>
      <c r="D868" s="14">
        <v>45933</v>
      </c>
      <c r="E868" s="5" t="s">
        <v>5828</v>
      </c>
      <c r="F868" s="5" t="s">
        <v>1336</v>
      </c>
      <c r="G868" s="5"/>
      <c r="H868" s="104"/>
      <c r="I868" s="6"/>
      <c r="J868" s="6"/>
      <c r="K868" s="6"/>
      <c r="L868" s="7" t="s">
        <v>7440</v>
      </c>
      <c r="M868" s="8" t="str">
        <f>"CFI"&amp;".D"&amp;TEXT(Caja_Finanzas[[#This Row],[fecha]],"DD-MM")&amp;"-"&amp;TEXT(Caja_Finanzas[[#This Row],[item]],"0000")</f>
        <v>CFI.D03-10-0774</v>
      </c>
      <c r="N868" s="8" t="str">
        <f t="shared" si="180"/>
        <v>PEN</v>
      </c>
      <c r="O868" s="13"/>
      <c r="P868" s="13">
        <v>9480</v>
      </c>
      <c r="Q868" s="3">
        <f t="shared" si="181"/>
        <v>0</v>
      </c>
      <c r="R868" s="3">
        <f t="shared" si="182"/>
        <v>9480</v>
      </c>
      <c r="S868" s="3">
        <f t="shared" si="166"/>
        <v>50.699999999991633</v>
      </c>
      <c r="T868" s="24"/>
      <c r="U868" s="24"/>
      <c r="V868" s="3"/>
      <c r="W868" s="25"/>
      <c r="X868" s="25"/>
      <c r="Y868" s="25"/>
      <c r="Z868" s="25"/>
      <c r="AA868" s="25"/>
      <c r="AB868" s="3" t="str">
        <f>IF(Caja_Finanzas[[#This Row],[fecha]]&gt;0,TEXT(Caja_Finanzas[[#This Row],[fecha]],"mmmm"),0)</f>
        <v>Octubre</v>
      </c>
    </row>
    <row r="869" spans="1:28" x14ac:dyDescent="0.3">
      <c r="A869" s="2">
        <f>IF(Caja_Finanzas[[#This Row],[tipo_r]]="R",COUNTIFS($C$1:$C868,"R")+1,A868)</f>
        <v>774</v>
      </c>
      <c r="B869" s="19" t="str">
        <f>"C-Finanzas"</f>
        <v>C-Finanzas</v>
      </c>
      <c r="C869" s="3" t="s">
        <v>1352</v>
      </c>
      <c r="D869" s="14">
        <v>45933</v>
      </c>
      <c r="E869" s="5" t="s">
        <v>5828</v>
      </c>
      <c r="F869" s="5" t="s">
        <v>1336</v>
      </c>
      <c r="G869" s="5"/>
      <c r="H869" s="104"/>
      <c r="I869" s="6"/>
      <c r="J869" s="6"/>
      <c r="K869" s="6"/>
      <c r="L869" s="7" t="s">
        <v>7440</v>
      </c>
      <c r="M869" s="8" t="str">
        <f>"CFI"&amp;".D"&amp;TEXT(Caja_Finanzas[[#This Row],[fecha]],"DD-MM")&amp;"-"&amp;TEXT(Caja_Finanzas[[#This Row],[item]],"0000")</f>
        <v>CFI.D03-10-0774</v>
      </c>
      <c r="N869" s="8" t="str">
        <f>"PEN"</f>
        <v>PEN</v>
      </c>
      <c r="O869" s="13">
        <v>3480</v>
      </c>
      <c r="P869" s="13"/>
      <c r="Q869" s="3">
        <f>+IF(OR($F869="SALDO",$F869="INGRESO"),$P869,0)</f>
        <v>0</v>
      </c>
      <c r="R869" s="3">
        <f>+IF($F869="EGRESO",$P869,0)</f>
        <v>0</v>
      </c>
      <c r="S869" s="3">
        <f t="shared" si="166"/>
        <v>50.699999999991633</v>
      </c>
      <c r="T869" s="24"/>
      <c r="U869" s="24"/>
      <c r="V869" s="3"/>
      <c r="W869" s="25"/>
      <c r="X869" s="25"/>
      <c r="Y869" s="25"/>
      <c r="Z869" s="25"/>
      <c r="AA869" s="25"/>
      <c r="AB869" s="3" t="str">
        <f>IF(Caja_Finanzas[[#This Row],[fecha]]&gt;0,TEXT(Caja_Finanzas[[#This Row],[fecha]],"mmmm"),0)</f>
        <v>Octubre</v>
      </c>
    </row>
    <row r="870" spans="1:28" ht="24" x14ac:dyDescent="0.3">
      <c r="A870" s="2">
        <f>IF(Caja_Finanzas[[#This Row],[tipo_r]]="R",COUNTIFS($C$1:$C869,"R")+1,A869)</f>
        <v>774</v>
      </c>
      <c r="B870" s="19" t="str">
        <f>"C-Finanzas"</f>
        <v>C-Finanzas</v>
      </c>
      <c r="C870" s="3" t="s">
        <v>1352</v>
      </c>
      <c r="D870" s="14">
        <v>45933</v>
      </c>
      <c r="E870" s="5" t="s">
        <v>6418</v>
      </c>
      <c r="F870" s="5" t="s">
        <v>1336</v>
      </c>
      <c r="G870" s="5"/>
      <c r="H870" s="104"/>
      <c r="I870" s="6"/>
      <c r="J870" s="6"/>
      <c r="K870" s="6"/>
      <c r="L870" s="7" t="s">
        <v>7440</v>
      </c>
      <c r="M870" s="8" t="str">
        <f>"CFI"&amp;".D"&amp;TEXT(Caja_Finanzas[[#This Row],[fecha]],"DD-MM")&amp;"-"&amp;TEXT(Caja_Finanzas[[#This Row],[item]],"0000")</f>
        <v>CFI.D03-10-0774</v>
      </c>
      <c r="N870" s="8" t="str">
        <f>"PEN"</f>
        <v>PEN</v>
      </c>
      <c r="O870" s="13">
        <v>6000</v>
      </c>
      <c r="P870" s="13"/>
      <c r="Q870" s="3">
        <f>+IF(OR($F870="SALDO",$F870="INGRESO"),$P870,0)</f>
        <v>0</v>
      </c>
      <c r="R870" s="3">
        <f>+IF($F870="EGRESO",$P870,0)</f>
        <v>0</v>
      </c>
      <c r="S870" s="3">
        <f t="shared" si="166"/>
        <v>50.699999999991633</v>
      </c>
      <c r="T870" s="24"/>
      <c r="U870" s="24"/>
      <c r="V870" s="3"/>
      <c r="W870" s="25"/>
      <c r="X870" s="25"/>
      <c r="Y870" s="25"/>
      <c r="Z870" s="25"/>
      <c r="AA870" s="25"/>
      <c r="AB870" s="3" t="str">
        <f>IF(Caja_Finanzas[[#This Row],[fecha]]&gt;0,TEXT(Caja_Finanzas[[#This Row],[fecha]],"mmmm"),0)</f>
        <v>Octubre</v>
      </c>
    </row>
    <row r="871" spans="1:28" ht="24" x14ac:dyDescent="0.3">
      <c r="A871" s="2">
        <f>IF(Caja_Finanzas[[#This Row],[tipo_r]]="R",COUNTIFS($C$1:$C870,"R")+1,A870)</f>
        <v>775</v>
      </c>
      <c r="B871" s="19" t="str">
        <f t="shared" si="179"/>
        <v>C-Finanzas</v>
      </c>
      <c r="C871" s="3" t="s">
        <v>1330</v>
      </c>
      <c r="D871" s="14">
        <v>45933</v>
      </c>
      <c r="E871" s="5" t="s">
        <v>5828</v>
      </c>
      <c r="F871" s="5" t="s">
        <v>1303</v>
      </c>
      <c r="G871" s="5"/>
      <c r="H871" s="104"/>
      <c r="I871" s="6"/>
      <c r="J871" s="6"/>
      <c r="K871" s="6"/>
      <c r="L871" s="7" t="s">
        <v>7448</v>
      </c>
      <c r="M871" s="8" t="str">
        <f>"CFI"&amp;".D"&amp;TEXT(Caja_Finanzas[[#This Row],[fecha]],"DD-MM")&amp;"-"&amp;TEXT(Caja_Finanzas[[#This Row],[item]],"0000")</f>
        <v>CFI.D03-10-0775</v>
      </c>
      <c r="N871" s="8" t="str">
        <f t="shared" si="180"/>
        <v>PEN</v>
      </c>
      <c r="O871" s="13"/>
      <c r="P871" s="13">
        <v>250</v>
      </c>
      <c r="Q871" s="3">
        <f t="shared" si="181"/>
        <v>250</v>
      </c>
      <c r="R871" s="3">
        <f t="shared" si="182"/>
        <v>0</v>
      </c>
      <c r="S871" s="3">
        <f t="shared" si="166"/>
        <v>300.69999999999163</v>
      </c>
      <c r="T871" s="24"/>
      <c r="U871" s="24"/>
      <c r="V871" s="3"/>
      <c r="W871" s="25"/>
      <c r="X871" s="25"/>
      <c r="Y871" s="25"/>
      <c r="Z871" s="25"/>
      <c r="AA871" s="25"/>
      <c r="AB871" s="3" t="str">
        <f>IF(Caja_Finanzas[[#This Row],[fecha]]&gt;0,TEXT(Caja_Finanzas[[#This Row],[fecha]],"mmmm"),0)</f>
        <v>Octubre</v>
      </c>
    </row>
    <row r="872" spans="1:28" ht="24" x14ac:dyDescent="0.3">
      <c r="A872" s="2">
        <f>IF(Caja_Finanzas[[#This Row],[tipo_r]]="R",COUNTIFS($C$1:$C871,"R")+1,A871)</f>
        <v>776</v>
      </c>
      <c r="B872" s="19" t="str">
        <f t="shared" ref="B872:B879" si="183">"C-Finanzas"</f>
        <v>C-Finanzas</v>
      </c>
      <c r="C872" s="3" t="s">
        <v>1330</v>
      </c>
      <c r="D872" s="14">
        <v>45936</v>
      </c>
      <c r="E872" s="5" t="s">
        <v>1751</v>
      </c>
      <c r="F872" s="5" t="s">
        <v>1303</v>
      </c>
      <c r="G872" s="5"/>
      <c r="H872" s="104"/>
      <c r="I872" s="6" t="s">
        <v>119</v>
      </c>
      <c r="J872" s="6">
        <v>1</v>
      </c>
      <c r="K872" s="6">
        <v>4810</v>
      </c>
      <c r="L872" s="7" t="s">
        <v>6118</v>
      </c>
      <c r="M872" s="8" t="str">
        <f>"CFI"&amp;".D"&amp;TEXT(Caja_Finanzas[[#This Row],[fecha]],"DD-MM")&amp;"-"&amp;TEXT(Caja_Finanzas[[#This Row],[item]],"0000")</f>
        <v>CFI.D06-10-0776</v>
      </c>
      <c r="N872" s="8" t="str">
        <f t="shared" ref="N872:N879" si="184">"PEN"</f>
        <v>PEN</v>
      </c>
      <c r="O872" s="13"/>
      <c r="P872" s="13">
        <v>719.5</v>
      </c>
      <c r="Q872" s="3">
        <f t="shared" ref="Q872:Q879" si="185">+IF(OR($F872="SALDO",$F872="INGRESO"),$P872,0)</f>
        <v>719.5</v>
      </c>
      <c r="R872" s="3">
        <f t="shared" ref="R872:R879" si="186">+IF($F872="EGRESO",$P872,0)</f>
        <v>0</v>
      </c>
      <c r="S872" s="3">
        <f t="shared" si="166"/>
        <v>1020.1999999999916</v>
      </c>
      <c r="T872" s="24"/>
      <c r="U872" s="24"/>
      <c r="V872" s="3"/>
      <c r="W872" s="25"/>
      <c r="X872" s="25"/>
      <c r="Y872" s="25"/>
      <c r="Z872" s="25"/>
      <c r="AA872" s="25"/>
      <c r="AB872" s="3" t="str">
        <f>IF(Caja_Finanzas[[#This Row],[fecha]]&gt;0,TEXT(Caja_Finanzas[[#This Row],[fecha]],"mmmm"),0)</f>
        <v>Octubre</v>
      </c>
    </row>
    <row r="873" spans="1:28" x14ac:dyDescent="0.3">
      <c r="A873" s="2">
        <f>IF(Caja_Finanzas[[#This Row],[tipo_r]]="R",COUNTIFS($C$1:$C872,"R")+1,A872)</f>
        <v>777</v>
      </c>
      <c r="B873" s="19" t="str">
        <f t="shared" si="183"/>
        <v>C-Finanzas</v>
      </c>
      <c r="C873" s="3" t="s">
        <v>1330</v>
      </c>
      <c r="D873" s="14">
        <v>45936</v>
      </c>
      <c r="E873" s="5" t="s">
        <v>7449</v>
      </c>
      <c r="F873" s="5" t="s">
        <v>1303</v>
      </c>
      <c r="G873" s="5"/>
      <c r="H873" s="104"/>
      <c r="I873" s="6" t="s">
        <v>119</v>
      </c>
      <c r="J873" s="6">
        <v>1</v>
      </c>
      <c r="K873" s="6">
        <v>4811</v>
      </c>
      <c r="L873" s="7" t="s">
        <v>6118</v>
      </c>
      <c r="M873" s="8" t="str">
        <f>"CFI"&amp;".D"&amp;TEXT(Caja_Finanzas[[#This Row],[fecha]],"DD-MM")&amp;"-"&amp;TEXT(Caja_Finanzas[[#This Row],[item]],"0000")</f>
        <v>CFI.D06-10-0777</v>
      </c>
      <c r="N873" s="8" t="str">
        <f t="shared" si="184"/>
        <v>PEN</v>
      </c>
      <c r="O873" s="13"/>
      <c r="P873" s="13">
        <v>150</v>
      </c>
      <c r="Q873" s="3">
        <f t="shared" si="185"/>
        <v>150</v>
      </c>
      <c r="R873" s="3">
        <f t="shared" si="186"/>
        <v>0</v>
      </c>
      <c r="S873" s="3">
        <f t="shared" si="166"/>
        <v>1170.1999999999916</v>
      </c>
      <c r="T873" s="24"/>
      <c r="U873" s="24"/>
      <c r="V873" s="3"/>
      <c r="W873" s="25"/>
      <c r="X873" s="25"/>
      <c r="Y873" s="25"/>
      <c r="Z873" s="25"/>
      <c r="AA873" s="25"/>
      <c r="AB873" s="3" t="str">
        <f>IF(Caja_Finanzas[[#This Row],[fecha]]&gt;0,TEXT(Caja_Finanzas[[#This Row],[fecha]],"mmmm"),0)</f>
        <v>Octubre</v>
      </c>
    </row>
    <row r="874" spans="1:28" ht="24" x14ac:dyDescent="0.3">
      <c r="A874" s="2">
        <f>IF(Caja_Finanzas[[#This Row],[tipo_r]]="R",COUNTIFS($C$1:$C873,"R")+1,A873)</f>
        <v>778</v>
      </c>
      <c r="B874" s="19" t="str">
        <f t="shared" si="183"/>
        <v>C-Finanzas</v>
      </c>
      <c r="C874" s="3" t="s">
        <v>1330</v>
      </c>
      <c r="D874" s="14">
        <v>45936</v>
      </c>
      <c r="E874" s="5"/>
      <c r="F874" s="5" t="s">
        <v>1303</v>
      </c>
      <c r="G874" s="5"/>
      <c r="H874" s="104"/>
      <c r="I874" s="6"/>
      <c r="J874" s="6"/>
      <c r="K874" s="6"/>
      <c r="L874" s="7" t="s">
        <v>7450</v>
      </c>
      <c r="M874" s="8" t="str">
        <f>"CFI"&amp;".D"&amp;TEXT(Caja_Finanzas[[#This Row],[fecha]],"DD-MM")&amp;"-"&amp;TEXT(Caja_Finanzas[[#This Row],[item]],"0000")</f>
        <v>CFI.D06-10-0778</v>
      </c>
      <c r="N874" s="8" t="str">
        <f t="shared" si="184"/>
        <v>PEN</v>
      </c>
      <c r="O874" s="13"/>
      <c r="P874" s="13">
        <v>1533.1</v>
      </c>
      <c r="Q874" s="3">
        <f t="shared" si="185"/>
        <v>1533.1</v>
      </c>
      <c r="R874" s="3">
        <f t="shared" si="186"/>
        <v>0</v>
      </c>
      <c r="S874" s="3">
        <f t="shared" si="166"/>
        <v>2703.2999999999915</v>
      </c>
      <c r="T874" s="24"/>
      <c r="U874" s="24"/>
      <c r="V874" s="3"/>
      <c r="W874" s="25"/>
      <c r="X874" s="25"/>
      <c r="Y874" s="25"/>
      <c r="Z874" s="25"/>
      <c r="AA874" s="25"/>
      <c r="AB874" s="3" t="str">
        <f>IF(Caja_Finanzas[[#This Row],[fecha]]&gt;0,TEXT(Caja_Finanzas[[#This Row],[fecha]],"mmmm"),0)</f>
        <v>Octubre</v>
      </c>
    </row>
    <row r="875" spans="1:28" ht="24" x14ac:dyDescent="0.3">
      <c r="A875" s="2">
        <f>IF(Caja_Finanzas[[#This Row],[tipo_r]]="R",COUNTIFS($C$1:$C874,"R")+1,A874)</f>
        <v>779</v>
      </c>
      <c r="B875" s="19" t="str">
        <f t="shared" si="183"/>
        <v>C-Finanzas</v>
      </c>
      <c r="C875" s="3" t="s">
        <v>1330</v>
      </c>
      <c r="D875" s="14">
        <v>45936</v>
      </c>
      <c r="E875" s="5" t="s">
        <v>6456</v>
      </c>
      <c r="F875" s="5" t="s">
        <v>1336</v>
      </c>
      <c r="G875" s="5"/>
      <c r="H875" s="104" t="s">
        <v>1009</v>
      </c>
      <c r="I875" s="6" t="s">
        <v>115</v>
      </c>
      <c r="J875" s="6" t="s">
        <v>7322</v>
      </c>
      <c r="K875" s="6">
        <v>16</v>
      </c>
      <c r="L875" s="7" t="s">
        <v>7451</v>
      </c>
      <c r="M875" s="8" t="str">
        <f>"CFI"&amp;".D"&amp;TEXT(Caja_Finanzas[[#This Row],[fecha]],"DD-MM")&amp;"-"&amp;TEXT(Caja_Finanzas[[#This Row],[item]],"0000")</f>
        <v>CFI.D06-10-0779</v>
      </c>
      <c r="N875" s="8" t="str">
        <f t="shared" si="184"/>
        <v>PEN</v>
      </c>
      <c r="O875" s="13"/>
      <c r="P875" s="13">
        <v>12.5</v>
      </c>
      <c r="Q875" s="3">
        <f t="shared" si="185"/>
        <v>0</v>
      </c>
      <c r="R875" s="3">
        <f t="shared" si="186"/>
        <v>12.5</v>
      </c>
      <c r="S875" s="3">
        <f t="shared" si="166"/>
        <v>2690.7999999999915</v>
      </c>
      <c r="T875" s="24"/>
      <c r="U875" s="24"/>
      <c r="V875" s="3"/>
      <c r="W875" s="25"/>
      <c r="X875" s="25"/>
      <c r="Y875" s="25"/>
      <c r="Z875" s="25"/>
      <c r="AA875" s="25"/>
      <c r="AB875" s="3" t="str">
        <f>IF(Caja_Finanzas[[#This Row],[fecha]]&gt;0,TEXT(Caja_Finanzas[[#This Row],[fecha]],"mmmm"),0)</f>
        <v>Octubre</v>
      </c>
    </row>
    <row r="876" spans="1:28" x14ac:dyDescent="0.3">
      <c r="A876" s="2">
        <f>IF(Caja_Finanzas[[#This Row],[tipo_r]]="R",COUNTIFS($C$1:$C875,"R")+1,A875)</f>
        <v>780</v>
      </c>
      <c r="B876" s="19" t="str">
        <f t="shared" si="183"/>
        <v>C-Finanzas</v>
      </c>
      <c r="C876" s="3" t="s">
        <v>1330</v>
      </c>
      <c r="D876" s="14">
        <v>45937</v>
      </c>
      <c r="E876" s="5" t="s">
        <v>1498</v>
      </c>
      <c r="F876" s="5" t="s">
        <v>1303</v>
      </c>
      <c r="G876" s="5"/>
      <c r="H876" s="104"/>
      <c r="I876" s="6" t="s">
        <v>119</v>
      </c>
      <c r="J876" s="6">
        <v>1</v>
      </c>
      <c r="K876" s="6">
        <v>4816</v>
      </c>
      <c r="L876" s="7" t="s">
        <v>6118</v>
      </c>
      <c r="M876" s="8" t="str">
        <f>"CFI"&amp;".D"&amp;TEXT(Caja_Finanzas[[#This Row],[fecha]],"DD-MM")&amp;"-"&amp;TEXT(Caja_Finanzas[[#This Row],[item]],"0000")</f>
        <v>CFI.D07-10-0780</v>
      </c>
      <c r="N876" s="8" t="str">
        <f t="shared" si="184"/>
        <v>PEN</v>
      </c>
      <c r="O876" s="13"/>
      <c r="P876" s="13">
        <v>24.8</v>
      </c>
      <c r="Q876" s="3">
        <f t="shared" si="185"/>
        <v>24.8</v>
      </c>
      <c r="R876" s="3">
        <f t="shared" si="186"/>
        <v>0</v>
      </c>
      <c r="S876" s="3">
        <f t="shared" si="166"/>
        <v>2715.5999999999917</v>
      </c>
      <c r="T876" s="24"/>
      <c r="U876" s="24"/>
      <c r="V876" s="3"/>
      <c r="W876" s="25"/>
      <c r="X876" s="25"/>
      <c r="Y876" s="25"/>
      <c r="Z876" s="25"/>
      <c r="AA876" s="25"/>
      <c r="AB876" s="3" t="str">
        <f>IF(Caja_Finanzas[[#This Row],[fecha]]&gt;0,TEXT(Caja_Finanzas[[#This Row],[fecha]],"mmmm"),0)</f>
        <v>Octubre</v>
      </c>
    </row>
    <row r="877" spans="1:28" ht="24" x14ac:dyDescent="0.3">
      <c r="A877" s="2">
        <f>IF(Caja_Finanzas[[#This Row],[tipo_r]]="R",COUNTIFS($C$1:$C876,"R")+1,A876)</f>
        <v>781</v>
      </c>
      <c r="B877" s="19" t="str">
        <f t="shared" si="183"/>
        <v>C-Finanzas</v>
      </c>
      <c r="C877" s="3" t="s">
        <v>1330</v>
      </c>
      <c r="D877" s="14">
        <v>45937</v>
      </c>
      <c r="E877" s="5" t="s">
        <v>2502</v>
      </c>
      <c r="F877" s="5" t="s">
        <v>1303</v>
      </c>
      <c r="G877" s="5"/>
      <c r="H877" s="104"/>
      <c r="I877" s="6" t="s">
        <v>119</v>
      </c>
      <c r="J877" s="6">
        <v>1</v>
      </c>
      <c r="K877" s="6">
        <v>4815</v>
      </c>
      <c r="L877" s="7" t="s">
        <v>6118</v>
      </c>
      <c r="M877" s="8" t="str">
        <f>"CFI"&amp;".D"&amp;TEXT(Caja_Finanzas[[#This Row],[fecha]],"DD-MM")&amp;"-"&amp;TEXT(Caja_Finanzas[[#This Row],[item]],"0000")</f>
        <v>CFI.D07-10-0781</v>
      </c>
      <c r="N877" s="8" t="str">
        <f t="shared" si="184"/>
        <v>PEN</v>
      </c>
      <c r="O877" s="13"/>
      <c r="P877" s="13">
        <v>1750</v>
      </c>
      <c r="Q877" s="3">
        <f t="shared" si="185"/>
        <v>1750</v>
      </c>
      <c r="R877" s="3">
        <f t="shared" si="186"/>
        <v>0</v>
      </c>
      <c r="S877" s="3">
        <f t="shared" si="166"/>
        <v>4465.5999999999913</v>
      </c>
      <c r="T877" s="24"/>
      <c r="U877" s="24"/>
      <c r="V877" s="3"/>
      <c r="W877" s="25"/>
      <c r="X877" s="25"/>
      <c r="Y877" s="25"/>
      <c r="Z877" s="25"/>
      <c r="AA877" s="25"/>
      <c r="AB877" s="3" t="str">
        <f>IF(Caja_Finanzas[[#This Row],[fecha]]&gt;0,TEXT(Caja_Finanzas[[#This Row],[fecha]],"mmmm"),0)</f>
        <v>Octubre</v>
      </c>
    </row>
    <row r="878" spans="1:28" ht="24" x14ac:dyDescent="0.3">
      <c r="A878" s="2">
        <f>IF(Caja_Finanzas[[#This Row],[tipo_r]]="R",COUNTIFS($C$1:$C877,"R")+1,A877)</f>
        <v>782</v>
      </c>
      <c r="B878" s="19" t="str">
        <f t="shared" si="183"/>
        <v>C-Finanzas</v>
      </c>
      <c r="C878" s="3" t="s">
        <v>1330</v>
      </c>
      <c r="D878" s="14">
        <v>45937</v>
      </c>
      <c r="E878" s="5" t="s">
        <v>1875</v>
      </c>
      <c r="F878" s="5" t="s">
        <v>1303</v>
      </c>
      <c r="G878" s="5"/>
      <c r="H878" s="104"/>
      <c r="I878" s="6" t="s">
        <v>119</v>
      </c>
      <c r="J878" s="6">
        <v>1</v>
      </c>
      <c r="K878" s="6">
        <v>4817</v>
      </c>
      <c r="L878" s="7" t="s">
        <v>6118</v>
      </c>
      <c r="M878" s="8" t="str">
        <f>"CFI"&amp;".D"&amp;TEXT(Caja_Finanzas[[#This Row],[fecha]],"DD-MM")&amp;"-"&amp;TEXT(Caja_Finanzas[[#This Row],[item]],"0000")</f>
        <v>CFI.D07-10-0782</v>
      </c>
      <c r="N878" s="8" t="str">
        <f t="shared" si="184"/>
        <v>PEN</v>
      </c>
      <c r="O878" s="13"/>
      <c r="P878" s="13">
        <v>624</v>
      </c>
      <c r="Q878" s="3">
        <f t="shared" si="185"/>
        <v>624</v>
      </c>
      <c r="R878" s="3">
        <f t="shared" si="186"/>
        <v>0</v>
      </c>
      <c r="S878" s="3">
        <f t="shared" si="166"/>
        <v>5089.5999999999913</v>
      </c>
      <c r="T878" s="24"/>
      <c r="U878" s="24"/>
      <c r="V878" s="3"/>
      <c r="W878" s="25"/>
      <c r="X878" s="25"/>
      <c r="Y878" s="25"/>
      <c r="Z878" s="25"/>
      <c r="AA878" s="25"/>
      <c r="AB878" s="3" t="str">
        <f>IF(Caja_Finanzas[[#This Row],[fecha]]&gt;0,TEXT(Caja_Finanzas[[#This Row],[fecha]],"mmmm"),0)</f>
        <v>Octubre</v>
      </c>
    </row>
    <row r="879" spans="1:28" x14ac:dyDescent="0.3">
      <c r="A879" s="2">
        <f>IF(Caja_Finanzas[[#This Row],[tipo_r]]="R",COUNTIFS($C$1:$C878,"R")+1,A878)</f>
        <v>783</v>
      </c>
      <c r="B879" s="19" t="str">
        <f t="shared" si="183"/>
        <v>C-Finanzas</v>
      </c>
      <c r="C879" s="3" t="s">
        <v>1330</v>
      </c>
      <c r="D879" s="14">
        <v>45937</v>
      </c>
      <c r="E879" s="5"/>
      <c r="F879" s="5" t="s">
        <v>1336</v>
      </c>
      <c r="G879" s="5"/>
      <c r="H879" s="104"/>
      <c r="I879" s="6"/>
      <c r="J879" s="6"/>
      <c r="K879" s="6"/>
      <c r="L879" s="7" t="s">
        <v>7452</v>
      </c>
      <c r="M879" s="8" t="str">
        <f>"CFI"&amp;".D"&amp;TEXT(Caja_Finanzas[[#This Row],[fecha]],"DD-MM")&amp;"-"&amp;TEXT(Caja_Finanzas[[#This Row],[item]],"0000")</f>
        <v>CFI.D07-10-0783</v>
      </c>
      <c r="N879" s="8" t="str">
        <f t="shared" si="184"/>
        <v>PEN</v>
      </c>
      <c r="O879" s="13"/>
      <c r="P879" s="13">
        <v>1000</v>
      </c>
      <c r="Q879" s="3">
        <f t="shared" si="185"/>
        <v>0</v>
      </c>
      <c r="R879" s="3">
        <f t="shared" si="186"/>
        <v>1000</v>
      </c>
      <c r="S879" s="3">
        <f t="shared" si="166"/>
        <v>4089.5999999999913</v>
      </c>
      <c r="T879" s="24"/>
      <c r="U879" s="24"/>
      <c r="V879" s="3"/>
      <c r="W879" s="25"/>
      <c r="X879" s="25"/>
      <c r="Y879" s="25"/>
      <c r="Z879" s="25"/>
      <c r="AA879" s="25"/>
      <c r="AB879" s="3" t="str">
        <f>IF(Caja_Finanzas[[#This Row],[fecha]]&gt;0,TEXT(Caja_Finanzas[[#This Row],[fecha]],"mmmm"),0)</f>
        <v>Octubre</v>
      </c>
    </row>
    <row r="880" spans="1:28" ht="24" x14ac:dyDescent="0.3">
      <c r="A880" s="2">
        <f>IF(Caja_Finanzas[[#This Row],[tipo_r]]="R",COUNTIFS($C$1:$C879,"R")+1,A879)</f>
        <v>784</v>
      </c>
      <c r="B880" s="19" t="str">
        <f t="shared" ref="B880:B886" si="187">"C-Finanzas"</f>
        <v>C-Finanzas</v>
      </c>
      <c r="C880" s="3" t="s">
        <v>1330</v>
      </c>
      <c r="D880" s="14">
        <v>45939</v>
      </c>
      <c r="E880" s="5" t="s">
        <v>5287</v>
      </c>
      <c r="F880" s="5" t="s">
        <v>1336</v>
      </c>
      <c r="G880" s="5"/>
      <c r="H880" s="104" t="s">
        <v>1009</v>
      </c>
      <c r="I880" s="6" t="s">
        <v>115</v>
      </c>
      <c r="J880" s="6" t="s">
        <v>7299</v>
      </c>
      <c r="K880" s="6">
        <v>146</v>
      </c>
      <c r="L880" s="7" t="s">
        <v>7453</v>
      </c>
      <c r="M880" s="8" t="str">
        <f>"CFI"&amp;".D"&amp;TEXT(Caja_Finanzas[[#This Row],[fecha]],"DD-MM")&amp;"-"&amp;TEXT(Caja_Finanzas[[#This Row],[item]],"0000")</f>
        <v>CFI.D09-10-0784</v>
      </c>
      <c r="N880" s="8" t="str">
        <f t="shared" ref="N880:N886" si="188">"PEN"</f>
        <v>PEN</v>
      </c>
      <c r="O880" s="13"/>
      <c r="P880" s="13">
        <v>120</v>
      </c>
      <c r="Q880" s="3">
        <f t="shared" ref="Q880:Q886" si="189">+IF(OR($F880="SALDO",$F880="INGRESO"),$P880,0)</f>
        <v>0</v>
      </c>
      <c r="R880" s="3">
        <f t="shared" ref="R880:R886" si="190">+IF($F880="EGRESO",$P880,0)</f>
        <v>120</v>
      </c>
      <c r="S880" s="3">
        <f t="shared" si="166"/>
        <v>3969.5999999999913</v>
      </c>
      <c r="T880" s="24"/>
      <c r="U880" s="24"/>
      <c r="V880" s="3"/>
      <c r="W880" s="25"/>
      <c r="X880" s="25"/>
      <c r="Y880" s="25"/>
      <c r="Z880" s="25"/>
      <c r="AA880" s="25"/>
      <c r="AB880" s="3" t="str">
        <f>IF(Caja_Finanzas[[#This Row],[fecha]]&gt;0,TEXT(Caja_Finanzas[[#This Row],[fecha]],"mmmm"),0)</f>
        <v>Octubre</v>
      </c>
    </row>
    <row r="881" spans="1:28" ht="24" x14ac:dyDescent="0.3">
      <c r="A881" s="2">
        <f>IF(Caja_Finanzas[[#This Row],[tipo_r]]="R",COUNTIFS($C$1:$C880,"R")+1,A880)</f>
        <v>785</v>
      </c>
      <c r="B881" s="19" t="str">
        <f t="shared" si="187"/>
        <v>C-Finanzas</v>
      </c>
      <c r="C881" s="3" t="s">
        <v>1330</v>
      </c>
      <c r="D881" s="14">
        <v>45939</v>
      </c>
      <c r="E881" s="5" t="s">
        <v>6409</v>
      </c>
      <c r="F881" s="5" t="s">
        <v>1336</v>
      </c>
      <c r="G881" s="5"/>
      <c r="H881" s="104" t="s">
        <v>1009</v>
      </c>
      <c r="I881" s="6" t="s">
        <v>115</v>
      </c>
      <c r="J881" s="6" t="s">
        <v>7187</v>
      </c>
      <c r="K881" s="6">
        <v>158</v>
      </c>
      <c r="L881" s="7" t="s">
        <v>7454</v>
      </c>
      <c r="M881" s="8" t="str">
        <f>"CFI"&amp;".D"&amp;TEXT(Caja_Finanzas[[#This Row],[fecha]],"DD-MM")&amp;"-"&amp;TEXT(Caja_Finanzas[[#This Row],[item]],"0000")</f>
        <v>CFI.D09-10-0785</v>
      </c>
      <c r="N881" s="8" t="str">
        <f t="shared" si="188"/>
        <v>PEN</v>
      </c>
      <c r="O881" s="13"/>
      <c r="P881" s="13">
        <v>12</v>
      </c>
      <c r="Q881" s="3">
        <f t="shared" si="189"/>
        <v>0</v>
      </c>
      <c r="R881" s="3">
        <f t="shared" si="190"/>
        <v>12</v>
      </c>
      <c r="S881" s="3">
        <f t="shared" si="166"/>
        <v>3957.5999999999913</v>
      </c>
      <c r="T881" s="24"/>
      <c r="U881" s="24"/>
      <c r="V881" s="3"/>
      <c r="W881" s="25"/>
      <c r="X881" s="25"/>
      <c r="Y881" s="25"/>
      <c r="Z881" s="25"/>
      <c r="AA881" s="25"/>
      <c r="AB881" s="3" t="str">
        <f>IF(Caja_Finanzas[[#This Row],[fecha]]&gt;0,TEXT(Caja_Finanzas[[#This Row],[fecha]],"mmmm"),0)</f>
        <v>Octubre</v>
      </c>
    </row>
    <row r="882" spans="1:28" ht="24" x14ac:dyDescent="0.3">
      <c r="A882" s="2">
        <f>IF(Caja_Finanzas[[#This Row],[tipo_r]]="R",COUNTIFS($C$1:$C881,"R")+1,A881)</f>
        <v>786</v>
      </c>
      <c r="B882" s="19" t="str">
        <f t="shared" si="187"/>
        <v>C-Finanzas</v>
      </c>
      <c r="C882" s="3" t="s">
        <v>1330</v>
      </c>
      <c r="D882" s="14">
        <v>45939</v>
      </c>
      <c r="E882" s="5" t="s">
        <v>2502</v>
      </c>
      <c r="F882" s="5" t="s">
        <v>1303</v>
      </c>
      <c r="G882" s="5"/>
      <c r="H882" s="104"/>
      <c r="I882" s="6" t="s">
        <v>119</v>
      </c>
      <c r="J882" s="6">
        <v>1</v>
      </c>
      <c r="K882" s="6">
        <v>4819</v>
      </c>
      <c r="L882" s="7" t="s">
        <v>7455</v>
      </c>
      <c r="M882" s="8" t="str">
        <f>"CFI"&amp;".D"&amp;TEXT(Caja_Finanzas[[#This Row],[fecha]],"DD-MM")&amp;"-"&amp;TEXT(Caja_Finanzas[[#This Row],[item]],"0000")</f>
        <v>CFI.D09-10-0786</v>
      </c>
      <c r="N882" s="8" t="str">
        <f t="shared" si="188"/>
        <v>PEN</v>
      </c>
      <c r="O882" s="13"/>
      <c r="P882" s="13">
        <v>325</v>
      </c>
      <c r="Q882" s="3">
        <f t="shared" si="189"/>
        <v>325</v>
      </c>
      <c r="R882" s="3">
        <f t="shared" si="190"/>
        <v>0</v>
      </c>
      <c r="S882" s="3">
        <f t="shared" si="166"/>
        <v>4282.5999999999913</v>
      </c>
      <c r="T882" s="24"/>
      <c r="U882" s="24"/>
      <c r="V882" s="3"/>
      <c r="W882" s="25"/>
      <c r="X882" s="25"/>
      <c r="Y882" s="25"/>
      <c r="Z882" s="25"/>
      <c r="AA882" s="25"/>
      <c r="AB882" s="3" t="str">
        <f>IF(Caja_Finanzas[[#This Row],[fecha]]&gt;0,TEXT(Caja_Finanzas[[#This Row],[fecha]],"mmmm"),0)</f>
        <v>Octubre</v>
      </c>
    </row>
    <row r="883" spans="1:28" ht="24" x14ac:dyDescent="0.3">
      <c r="A883" s="2">
        <f>IF(Caja_Finanzas[[#This Row],[tipo_r]]="R",COUNTIFS($C$1:$C882,"R")+1,A882)</f>
        <v>787</v>
      </c>
      <c r="B883" s="19" t="str">
        <f t="shared" si="187"/>
        <v>C-Finanzas</v>
      </c>
      <c r="C883" s="3" t="s">
        <v>1330</v>
      </c>
      <c r="D883" s="14">
        <v>45939</v>
      </c>
      <c r="E883" s="5" t="s">
        <v>6246</v>
      </c>
      <c r="F883" s="5" t="s">
        <v>1336</v>
      </c>
      <c r="G883" s="5"/>
      <c r="H883" s="104" t="s">
        <v>1009</v>
      </c>
      <c r="I883" s="6" t="s">
        <v>115</v>
      </c>
      <c r="J883" s="6" t="s">
        <v>7289</v>
      </c>
      <c r="K883" s="6">
        <v>23</v>
      </c>
      <c r="L883" s="7" t="s">
        <v>7456</v>
      </c>
      <c r="M883" s="8" t="str">
        <f>"CFI"&amp;".D"&amp;TEXT(Caja_Finanzas[[#This Row],[fecha]],"DD-MM")&amp;"-"&amp;TEXT(Caja_Finanzas[[#This Row],[item]],"0000")</f>
        <v>CFI.D09-10-0787</v>
      </c>
      <c r="N883" s="8" t="str">
        <f t="shared" si="188"/>
        <v>PEN</v>
      </c>
      <c r="O883" s="13"/>
      <c r="P883" s="13">
        <v>445</v>
      </c>
      <c r="Q883" s="3">
        <f t="shared" si="189"/>
        <v>0</v>
      </c>
      <c r="R883" s="3">
        <f t="shared" si="190"/>
        <v>445</v>
      </c>
      <c r="S883" s="3">
        <f t="shared" si="166"/>
        <v>3837.5999999999913</v>
      </c>
      <c r="T883" s="24"/>
      <c r="U883" s="24"/>
      <c r="V883" s="3"/>
      <c r="W883" s="25"/>
      <c r="X883" s="25"/>
      <c r="Y883" s="25"/>
      <c r="Z883" s="25"/>
      <c r="AA883" s="25"/>
      <c r="AB883" s="3" t="str">
        <f>IF(Caja_Finanzas[[#This Row],[fecha]]&gt;0,TEXT(Caja_Finanzas[[#This Row],[fecha]],"mmmm"),0)</f>
        <v>Octubre</v>
      </c>
    </row>
    <row r="884" spans="1:28" x14ac:dyDescent="0.3">
      <c r="A884" s="2">
        <f>IF(Caja_Finanzas[[#This Row],[tipo_r]]="R",COUNTIFS($C$1:$C883,"R")+1,A883)</f>
        <v>788</v>
      </c>
      <c r="B884" s="19" t="str">
        <f t="shared" si="187"/>
        <v>C-Finanzas</v>
      </c>
      <c r="C884" s="3" t="s">
        <v>1330</v>
      </c>
      <c r="D884" s="14">
        <v>45940</v>
      </c>
      <c r="E884" s="5" t="s">
        <v>2800</v>
      </c>
      <c r="F884" s="5" t="s">
        <v>1303</v>
      </c>
      <c r="G884" s="5"/>
      <c r="H884" s="104"/>
      <c r="I884" s="6" t="s">
        <v>119</v>
      </c>
      <c r="J884" s="6">
        <v>1</v>
      </c>
      <c r="K884" s="6">
        <v>4818</v>
      </c>
      <c r="L884" s="7" t="s">
        <v>7455</v>
      </c>
      <c r="M884" s="8" t="str">
        <f>"CFI"&amp;".D"&amp;TEXT(Caja_Finanzas[[#This Row],[fecha]],"DD-MM")&amp;"-"&amp;TEXT(Caja_Finanzas[[#This Row],[item]],"0000")</f>
        <v>CFI.D10-10-0788</v>
      </c>
      <c r="N884" s="8" t="str">
        <f t="shared" si="188"/>
        <v>PEN</v>
      </c>
      <c r="O884" s="13"/>
      <c r="P884" s="13">
        <v>200</v>
      </c>
      <c r="Q884" s="3">
        <f t="shared" si="189"/>
        <v>200</v>
      </c>
      <c r="R884" s="3">
        <f t="shared" si="190"/>
        <v>0</v>
      </c>
      <c r="S884" s="3">
        <f t="shared" si="166"/>
        <v>4037.5999999999913</v>
      </c>
      <c r="T884" s="24"/>
      <c r="U884" s="24"/>
      <c r="V884" s="3"/>
      <c r="W884" s="25"/>
      <c r="X884" s="25"/>
      <c r="Y884" s="25"/>
      <c r="Z884" s="25"/>
      <c r="AA884" s="25"/>
      <c r="AB884" s="3" t="str">
        <f>IF(Caja_Finanzas[[#This Row],[fecha]]&gt;0,TEXT(Caja_Finanzas[[#This Row],[fecha]],"mmmm"),0)</f>
        <v>Octubre</v>
      </c>
    </row>
    <row r="885" spans="1:28" ht="24" x14ac:dyDescent="0.3">
      <c r="A885" s="2">
        <f>IF(Caja_Finanzas[[#This Row],[tipo_r]]="R",COUNTIFS($C$1:$C884,"R")+1,A884)</f>
        <v>789</v>
      </c>
      <c r="B885" s="19" t="str">
        <f t="shared" si="187"/>
        <v>C-Finanzas</v>
      </c>
      <c r="C885" s="3" t="s">
        <v>1330</v>
      </c>
      <c r="D885" s="14">
        <v>45940</v>
      </c>
      <c r="E885" s="5" t="s">
        <v>6456</v>
      </c>
      <c r="F885" s="5" t="s">
        <v>1336</v>
      </c>
      <c r="G885" s="5"/>
      <c r="H885" s="104" t="s">
        <v>1009</v>
      </c>
      <c r="I885" s="6" t="s">
        <v>115</v>
      </c>
      <c r="J885" s="6" t="s">
        <v>7322</v>
      </c>
      <c r="K885" s="6">
        <v>17</v>
      </c>
      <c r="L885" s="7" t="s">
        <v>7457</v>
      </c>
      <c r="M885" s="8" t="str">
        <f>"CFI"&amp;".D"&amp;TEXT(Caja_Finanzas[[#This Row],[fecha]],"DD-MM")&amp;"-"&amp;TEXT(Caja_Finanzas[[#This Row],[item]],"0000")</f>
        <v>CFI.D10-10-0789</v>
      </c>
      <c r="N885" s="8" t="str">
        <f t="shared" si="188"/>
        <v>PEN</v>
      </c>
      <c r="O885" s="13"/>
      <c r="P885" s="13">
        <v>30</v>
      </c>
      <c r="Q885" s="3">
        <f>+IF(OR($F885="SALDO",$F885="INGRESO"),$P885,0)</f>
        <v>0</v>
      </c>
      <c r="R885" s="3">
        <f>+IF($F885="EGRESO",$P885,0)</f>
        <v>30</v>
      </c>
      <c r="S885" s="3">
        <f t="shared" si="166"/>
        <v>4007.5999999999913</v>
      </c>
      <c r="T885" s="24"/>
      <c r="U885" s="24"/>
      <c r="V885" s="3"/>
      <c r="W885" s="25"/>
      <c r="X885" s="25"/>
      <c r="Y885" s="25"/>
      <c r="Z885" s="25"/>
      <c r="AA885" s="25"/>
      <c r="AB885" s="3" t="str">
        <f>IF(Caja_Finanzas[[#This Row],[fecha]]&gt;0,TEXT(Caja_Finanzas[[#This Row],[fecha]],"mmmm"),0)</f>
        <v>Octubre</v>
      </c>
    </row>
    <row r="886" spans="1:28" x14ac:dyDescent="0.3">
      <c r="A886" s="2">
        <f>IF(Caja_Finanzas[[#This Row],[tipo_r]]="R",COUNTIFS($C$1:$C885,"R")+1,A885)</f>
        <v>790</v>
      </c>
      <c r="B886" s="19" t="str">
        <f t="shared" si="187"/>
        <v>C-Finanzas</v>
      </c>
      <c r="C886" s="3" t="s">
        <v>1330</v>
      </c>
      <c r="D886" s="14">
        <v>45940</v>
      </c>
      <c r="E886" s="5" t="s">
        <v>6283</v>
      </c>
      <c r="F886" s="5" t="s">
        <v>1336</v>
      </c>
      <c r="G886" s="5"/>
      <c r="H886" s="104"/>
      <c r="I886" s="6"/>
      <c r="J886" s="6"/>
      <c r="K886" s="6"/>
      <c r="L886" s="7" t="s">
        <v>7458</v>
      </c>
      <c r="M886" s="8" t="str">
        <f>"CFI"&amp;".D"&amp;TEXT(Caja_Finanzas[[#This Row],[fecha]],"DD-MM")&amp;"-"&amp;TEXT(Caja_Finanzas[[#This Row],[item]],"0000")</f>
        <v>CFI.D10-10-0790</v>
      </c>
      <c r="N886" s="8" t="str">
        <f t="shared" si="188"/>
        <v>PEN</v>
      </c>
      <c r="O886" s="13"/>
      <c r="P886" s="13">
        <v>4.2</v>
      </c>
      <c r="Q886" s="3">
        <f t="shared" si="189"/>
        <v>0</v>
      </c>
      <c r="R886" s="3">
        <f t="shared" si="190"/>
        <v>4.2</v>
      </c>
      <c r="S886" s="3">
        <f t="shared" si="166"/>
        <v>4003.3999999999915</v>
      </c>
      <c r="T886" s="24"/>
      <c r="U886" s="24"/>
      <c r="V886" s="3"/>
      <c r="W886" s="25"/>
      <c r="X886" s="25"/>
      <c r="Y886" s="25"/>
      <c r="Z886" s="25"/>
      <c r="AA886" s="25"/>
      <c r="AB886" s="3" t="str">
        <f>IF(Caja_Finanzas[[#This Row],[fecha]]&gt;0,TEXT(Caja_Finanzas[[#This Row],[fecha]],"mmmm"),0)</f>
        <v>Octubre</v>
      </c>
    </row>
    <row r="887" spans="1:28" x14ac:dyDescent="0.3">
      <c r="A887" s="2">
        <f>IF(Caja_Finanzas[[#This Row],[tipo_r]]="R",COUNTIFS($C$1:$C886,"R")+1,A886)</f>
        <v>791</v>
      </c>
      <c r="B887" s="19" t="str">
        <f t="shared" ref="B887:B893" si="191">"C-Finanzas"</f>
        <v>C-Finanzas</v>
      </c>
      <c r="C887" s="3" t="s">
        <v>1330</v>
      </c>
      <c r="D887" s="14">
        <v>45940</v>
      </c>
      <c r="E887" s="5" t="s">
        <v>6283</v>
      </c>
      <c r="F887" s="5" t="s">
        <v>1336</v>
      </c>
      <c r="G887" s="5"/>
      <c r="H887" s="104"/>
      <c r="I887" s="6"/>
      <c r="J887" s="6"/>
      <c r="K887" s="6"/>
      <c r="L887" s="7" t="s">
        <v>7459</v>
      </c>
      <c r="M887" s="8" t="str">
        <f>"CFI"&amp;".D"&amp;TEXT(Caja_Finanzas[[#This Row],[fecha]],"DD-MM")&amp;"-"&amp;TEXT(Caja_Finanzas[[#This Row],[item]],"0000")</f>
        <v>CFI.D10-10-0791</v>
      </c>
      <c r="N887" s="8" t="str">
        <f t="shared" ref="N887:N893" si="192">"PEN"</f>
        <v>PEN</v>
      </c>
      <c r="O887" s="13"/>
      <c r="P887" s="13">
        <v>30.4</v>
      </c>
      <c r="Q887" s="3">
        <f t="shared" ref="Q887:Q893" si="193">+IF(OR($F887="SALDO",$F887="INGRESO"),$P887,0)</f>
        <v>0</v>
      </c>
      <c r="R887" s="3">
        <f t="shared" ref="R887:R893" si="194">+IF($F887="EGRESO",$P887,0)</f>
        <v>30.4</v>
      </c>
      <c r="S887" s="3">
        <f t="shared" si="166"/>
        <v>3972.9999999999914</v>
      </c>
      <c r="T887" s="24"/>
      <c r="U887" s="24"/>
      <c r="V887" s="3"/>
      <c r="W887" s="25"/>
      <c r="X887" s="25"/>
      <c r="Y887" s="25"/>
      <c r="Z887" s="25"/>
      <c r="AA887" s="25"/>
      <c r="AB887" s="3" t="str">
        <f>IF(Caja_Finanzas[[#This Row],[fecha]]&gt;0,TEXT(Caja_Finanzas[[#This Row],[fecha]],"mmmm"),0)</f>
        <v>Octubre</v>
      </c>
    </row>
    <row r="888" spans="1:28" ht="24" x14ac:dyDescent="0.3">
      <c r="A888" s="2">
        <f>IF(Caja_Finanzas[[#This Row],[tipo_r]]="R",COUNTIFS($C$1:$C887,"R")+1,A887)</f>
        <v>792</v>
      </c>
      <c r="B888" s="19" t="str">
        <f t="shared" si="191"/>
        <v>C-Finanzas</v>
      </c>
      <c r="C888" s="3" t="s">
        <v>1330</v>
      </c>
      <c r="D888" s="14">
        <v>45943</v>
      </c>
      <c r="E888" s="5" t="s">
        <v>6409</v>
      </c>
      <c r="F888" s="5" t="s">
        <v>1336</v>
      </c>
      <c r="G888" s="5"/>
      <c r="H888" s="104" t="s">
        <v>1009</v>
      </c>
      <c r="I888" s="6" t="s">
        <v>115</v>
      </c>
      <c r="J888" s="6" t="s">
        <v>7187</v>
      </c>
      <c r="K888" s="6">
        <v>159</v>
      </c>
      <c r="L888" s="7" t="s">
        <v>7460</v>
      </c>
      <c r="M888" s="8" t="str">
        <f>"CFI"&amp;".D"&amp;TEXT(Caja_Finanzas[[#This Row],[fecha]],"DD-MM")&amp;"-"&amp;TEXT(Caja_Finanzas[[#This Row],[item]],"0000")</f>
        <v>CFI.D13-10-0792</v>
      </c>
      <c r="N888" s="8" t="str">
        <f t="shared" si="192"/>
        <v>PEN</v>
      </c>
      <c r="O888" s="13"/>
      <c r="P888" s="13">
        <v>20</v>
      </c>
      <c r="Q888" s="3">
        <f t="shared" si="193"/>
        <v>0</v>
      </c>
      <c r="R888" s="3">
        <f t="shared" si="194"/>
        <v>20</v>
      </c>
      <c r="S888" s="3">
        <f t="shared" si="166"/>
        <v>3952.9999999999914</v>
      </c>
      <c r="T888" s="24"/>
      <c r="U888" s="24"/>
      <c r="V888" s="3"/>
      <c r="W888" s="25"/>
      <c r="X888" s="25"/>
      <c r="Y888" s="25"/>
      <c r="Z888" s="25"/>
      <c r="AA888" s="25"/>
      <c r="AB888" s="3" t="str">
        <f>IF(Caja_Finanzas[[#This Row],[fecha]]&gt;0,TEXT(Caja_Finanzas[[#This Row],[fecha]],"mmmm"),0)</f>
        <v>Octubre</v>
      </c>
    </row>
    <row r="889" spans="1:28" ht="24" x14ac:dyDescent="0.3">
      <c r="A889" s="2">
        <f>IF(Caja_Finanzas[[#This Row],[tipo_r]]="R",COUNTIFS($C$1:$C888,"R")+1,A888)</f>
        <v>793</v>
      </c>
      <c r="B889" s="19" t="str">
        <f t="shared" si="191"/>
        <v>C-Finanzas</v>
      </c>
      <c r="C889" s="3" t="s">
        <v>1330</v>
      </c>
      <c r="D889" s="14">
        <v>45943</v>
      </c>
      <c r="E889" s="5" t="s">
        <v>6418</v>
      </c>
      <c r="F889" s="5" t="s">
        <v>1336</v>
      </c>
      <c r="G889" s="5"/>
      <c r="H889" s="6" t="s">
        <v>809</v>
      </c>
      <c r="I889" s="6"/>
      <c r="J889" s="6"/>
      <c r="K889" s="6"/>
      <c r="L889" s="7" t="s">
        <v>7461</v>
      </c>
      <c r="M889" s="220" t="str">
        <f>"CFI"&amp;".D"&amp;TEXT(Caja_Finanzas[[#This Row],[fecha]],"DD-MM")&amp;"-"&amp;TEXT(Caja_Finanzas[[#This Row],[item]],"0000")</f>
        <v>CFI.D13-10-0793</v>
      </c>
      <c r="N889" s="8" t="str">
        <f t="shared" si="192"/>
        <v>PEN</v>
      </c>
      <c r="O889" s="13"/>
      <c r="P889" s="13">
        <v>1500</v>
      </c>
      <c r="Q889" s="3">
        <f t="shared" si="193"/>
        <v>0</v>
      </c>
      <c r="R889" s="3">
        <f t="shared" si="194"/>
        <v>1500</v>
      </c>
      <c r="S889" s="3">
        <f t="shared" si="166"/>
        <v>2452.9999999999914</v>
      </c>
      <c r="T889" s="24"/>
      <c r="U889" s="24"/>
      <c r="V889" s="3"/>
      <c r="W889" s="25"/>
      <c r="X889" s="25"/>
      <c r="Y889" s="25"/>
      <c r="Z889" s="25"/>
      <c r="AA889" s="25"/>
      <c r="AB889" s="3" t="str">
        <f>IF(Caja_Finanzas[[#This Row],[fecha]]&gt;0,TEXT(Caja_Finanzas[[#This Row],[fecha]],"mmmm"),0)</f>
        <v>Octubre</v>
      </c>
    </row>
    <row r="890" spans="1:28" ht="24" x14ac:dyDescent="0.3">
      <c r="A890" s="2">
        <f>IF(Caja_Finanzas[[#This Row],[tipo_r]]="R",COUNTIFS($C$1:$C889,"R")+1,A889)</f>
        <v>794</v>
      </c>
      <c r="B890" s="19" t="str">
        <f t="shared" si="191"/>
        <v>C-Finanzas</v>
      </c>
      <c r="C890" s="3" t="s">
        <v>1330</v>
      </c>
      <c r="D890" s="14">
        <v>45943</v>
      </c>
      <c r="E890" s="5" t="s">
        <v>6774</v>
      </c>
      <c r="F890" s="5" t="s">
        <v>1303</v>
      </c>
      <c r="G890" s="5"/>
      <c r="H890" s="104"/>
      <c r="I890" s="6" t="s">
        <v>119</v>
      </c>
      <c r="J890" s="6">
        <v>1</v>
      </c>
      <c r="K890" s="6">
        <v>4827</v>
      </c>
      <c r="L890" s="7" t="s">
        <v>7455</v>
      </c>
      <c r="M890" s="8" t="str">
        <f>"CFI"&amp;".D"&amp;TEXT(Caja_Finanzas[[#This Row],[fecha]],"DD-MM")&amp;"-"&amp;TEXT(Caja_Finanzas[[#This Row],[item]],"0000")</f>
        <v>CFI.D13-10-0794</v>
      </c>
      <c r="N890" s="8" t="str">
        <f t="shared" si="192"/>
        <v>PEN</v>
      </c>
      <c r="O890" s="13"/>
      <c r="P890" s="13">
        <v>403</v>
      </c>
      <c r="Q890" s="3">
        <f t="shared" si="193"/>
        <v>403</v>
      </c>
      <c r="R890" s="3">
        <f t="shared" si="194"/>
        <v>0</v>
      </c>
      <c r="S890" s="3">
        <f t="shared" si="166"/>
        <v>2855.9999999999914</v>
      </c>
      <c r="T890" s="24"/>
      <c r="U890" s="24"/>
      <c r="V890" s="3"/>
      <c r="W890" s="25"/>
      <c r="X890" s="25"/>
      <c r="Y890" s="25"/>
      <c r="Z890" s="25"/>
      <c r="AA890" s="25"/>
      <c r="AB890" s="3" t="str">
        <f>IF(Caja_Finanzas[[#This Row],[fecha]]&gt;0,TEXT(Caja_Finanzas[[#This Row],[fecha]],"mmmm"),0)</f>
        <v>Octubre</v>
      </c>
    </row>
    <row r="891" spans="1:28" ht="24" x14ac:dyDescent="0.3">
      <c r="A891" s="2">
        <f>IF(Caja_Finanzas[[#This Row],[tipo_r]]="R",COUNTIFS($C$1:$C890,"R")+1,A890)</f>
        <v>795</v>
      </c>
      <c r="B891" s="19" t="str">
        <f t="shared" si="191"/>
        <v>C-Finanzas</v>
      </c>
      <c r="C891" s="3" t="s">
        <v>1330</v>
      </c>
      <c r="D891" s="14">
        <v>45945</v>
      </c>
      <c r="E891" s="5" t="s">
        <v>5828</v>
      </c>
      <c r="F891" s="5" t="s">
        <v>1336</v>
      </c>
      <c r="G891" s="5"/>
      <c r="H891" s="104" t="s">
        <v>1009</v>
      </c>
      <c r="I891" s="6" t="s">
        <v>115</v>
      </c>
      <c r="J891" s="6" t="s">
        <v>7302</v>
      </c>
      <c r="K891" s="6">
        <v>56</v>
      </c>
      <c r="L891" s="7" t="s">
        <v>7462</v>
      </c>
      <c r="M891" s="220" t="str">
        <f>"CFI"&amp;".D"&amp;TEXT(Caja_Finanzas[[#This Row],[fecha]],"DD-MM")&amp;"-"&amp;TEXT(Caja_Finanzas[[#This Row],[item]],"0000")</f>
        <v>CFI.D15-10-0795</v>
      </c>
      <c r="N891" s="8" t="str">
        <f t="shared" si="192"/>
        <v>PEN</v>
      </c>
      <c r="O891" s="13"/>
      <c r="P891" s="13">
        <v>47</v>
      </c>
      <c r="Q891" s="3">
        <f t="shared" si="193"/>
        <v>0</v>
      </c>
      <c r="R891" s="3">
        <f t="shared" si="194"/>
        <v>47</v>
      </c>
      <c r="S891" s="3">
        <f t="shared" si="166"/>
        <v>2808.9999999999914</v>
      </c>
      <c r="T891" s="24"/>
      <c r="U891" s="24"/>
      <c r="V891" s="3"/>
      <c r="W891" s="25"/>
      <c r="X891" s="25"/>
      <c r="Y891" s="25"/>
      <c r="Z891" s="25"/>
      <c r="AA891" s="25"/>
      <c r="AB891" s="3" t="str">
        <f>IF(Caja_Finanzas[[#This Row],[fecha]]&gt;0,TEXT(Caja_Finanzas[[#This Row],[fecha]],"mmmm"),0)</f>
        <v>Octubre</v>
      </c>
    </row>
    <row r="892" spans="1:28" ht="36" x14ac:dyDescent="0.3">
      <c r="A892" s="2">
        <f>IF(Caja_Finanzas[[#This Row],[tipo_r]]="R",COUNTIFS($C$1:$C891,"R")+1,A891)</f>
        <v>796</v>
      </c>
      <c r="B892" s="19" t="str">
        <f t="shared" si="191"/>
        <v>C-Finanzas</v>
      </c>
      <c r="C892" s="3" t="s">
        <v>1330</v>
      </c>
      <c r="D892" s="14">
        <v>45945</v>
      </c>
      <c r="E892" s="5" t="s">
        <v>5828</v>
      </c>
      <c r="F892" s="5" t="s">
        <v>1336</v>
      </c>
      <c r="G892" s="5"/>
      <c r="H892" s="104" t="s">
        <v>1009</v>
      </c>
      <c r="I892" s="6" t="s">
        <v>115</v>
      </c>
      <c r="J892" s="6" t="s">
        <v>7302</v>
      </c>
      <c r="K892" s="6">
        <v>57</v>
      </c>
      <c r="L892" s="7" t="s">
        <v>7463</v>
      </c>
      <c r="M892" s="220" t="str">
        <f>"CFI"&amp;".D"&amp;TEXT(Caja_Finanzas[[#This Row],[fecha]],"DD-MM")&amp;"-"&amp;TEXT(Caja_Finanzas[[#This Row],[item]],"0000")</f>
        <v>CFI.D15-10-0796</v>
      </c>
      <c r="N892" s="8" t="str">
        <f t="shared" si="192"/>
        <v>PEN</v>
      </c>
      <c r="O892" s="13"/>
      <c r="P892" s="13">
        <v>120</v>
      </c>
      <c r="Q892" s="3">
        <f t="shared" si="193"/>
        <v>0</v>
      </c>
      <c r="R892" s="3">
        <f t="shared" si="194"/>
        <v>120</v>
      </c>
      <c r="S892" s="3">
        <f t="shared" ref="S892:S898" si="195">IFERROR(IF(F892="SALDO",Q892,S891+Q892-R892),0)</f>
        <v>2688.9999999999914</v>
      </c>
      <c r="T892" s="24"/>
      <c r="U892" s="24"/>
      <c r="V892" s="3"/>
      <c r="W892" s="25"/>
      <c r="X892" s="25"/>
      <c r="Y892" s="25"/>
      <c r="Z892" s="25"/>
      <c r="AA892" s="25"/>
      <c r="AB892" s="3" t="str">
        <f>IF(Caja_Finanzas[[#This Row],[fecha]]&gt;0,TEXT(Caja_Finanzas[[#This Row],[fecha]],"mmmm"),0)</f>
        <v>Octubre</v>
      </c>
    </row>
    <row r="893" spans="1:28" ht="36" x14ac:dyDescent="0.3">
      <c r="A893" s="2">
        <f>IF(Caja_Finanzas[[#This Row],[tipo_r]]="R",COUNTIFS($C$1:$C892,"R")+1,A892)</f>
        <v>797</v>
      </c>
      <c r="B893" s="19" t="str">
        <f t="shared" si="191"/>
        <v>C-Finanzas</v>
      </c>
      <c r="C893" s="3" t="s">
        <v>1330</v>
      </c>
      <c r="D893" s="14">
        <v>45945</v>
      </c>
      <c r="E893" s="5" t="s">
        <v>5828</v>
      </c>
      <c r="F893" s="5" t="s">
        <v>1336</v>
      </c>
      <c r="G893" s="5"/>
      <c r="H893" s="104" t="s">
        <v>1009</v>
      </c>
      <c r="I893" s="6" t="s">
        <v>115</v>
      </c>
      <c r="J893" s="6" t="s">
        <v>7302</v>
      </c>
      <c r="K893" s="6">
        <v>58</v>
      </c>
      <c r="L893" s="7" t="s">
        <v>7464</v>
      </c>
      <c r="M893" s="220" t="str">
        <f>"CFI"&amp;".D"&amp;TEXT(Caja_Finanzas[[#This Row],[fecha]],"DD-MM")&amp;"-"&amp;TEXT(Caja_Finanzas[[#This Row],[item]],"0000")</f>
        <v>CFI.D15-10-0797</v>
      </c>
      <c r="N893" s="8" t="str">
        <f t="shared" si="192"/>
        <v>PEN</v>
      </c>
      <c r="O893" s="13"/>
      <c r="P893" s="13">
        <v>120</v>
      </c>
      <c r="Q893" s="3">
        <f t="shared" si="193"/>
        <v>0</v>
      </c>
      <c r="R893" s="3">
        <f t="shared" si="194"/>
        <v>120</v>
      </c>
      <c r="S893" s="3">
        <f t="shared" si="195"/>
        <v>2568.9999999999914</v>
      </c>
      <c r="T893" s="24"/>
      <c r="U893" s="24"/>
      <c r="V893" s="3"/>
      <c r="W893" s="25"/>
      <c r="X893" s="25"/>
      <c r="Y893" s="25"/>
      <c r="Z893" s="25"/>
      <c r="AA893" s="25"/>
      <c r="AB893" s="3" t="str">
        <f>IF(Caja_Finanzas[[#This Row],[fecha]]&gt;0,TEXT(Caja_Finanzas[[#This Row],[fecha]],"mmmm"),0)</f>
        <v>Octubre</v>
      </c>
    </row>
    <row r="894" spans="1:28" ht="24" x14ac:dyDescent="0.3">
      <c r="A894" s="2">
        <f>IF(Caja_Finanzas[[#This Row],[tipo_r]]="R",COUNTIFS($C$1:$C893,"R")+1,A893)</f>
        <v>798</v>
      </c>
      <c r="B894" s="19" t="str">
        <f t="shared" ref="B894:B902" si="196">"C-Finanzas"</f>
        <v>C-Finanzas</v>
      </c>
      <c r="C894" s="3" t="s">
        <v>1330</v>
      </c>
      <c r="D894" s="14">
        <v>45947</v>
      </c>
      <c r="E894" s="5" t="s">
        <v>6418</v>
      </c>
      <c r="F894" s="5" t="s">
        <v>1336</v>
      </c>
      <c r="G894" s="5"/>
      <c r="H894" s="104"/>
      <c r="I894" s="6"/>
      <c r="J894" s="6"/>
      <c r="K894" s="6"/>
      <c r="L894" s="7" t="s">
        <v>7465</v>
      </c>
      <c r="M894" s="220" t="str">
        <f>"CFI"&amp;".D"&amp;TEXT(Caja_Finanzas[[#This Row],[fecha]],"DD-MM")&amp;"-"&amp;TEXT(Caja_Finanzas[[#This Row],[item]],"0000")</f>
        <v>CFI.D17-10-0798</v>
      </c>
      <c r="N894" s="8" t="str">
        <f t="shared" ref="N894:N902" si="197">"PEN"</f>
        <v>PEN</v>
      </c>
      <c r="O894" s="13"/>
      <c r="P894" s="13">
        <v>1000</v>
      </c>
      <c r="Q894" s="3">
        <f t="shared" ref="Q894:Q902" si="198">+IF(OR($F894="SALDO",$F894="INGRESO"),$P894,0)</f>
        <v>0</v>
      </c>
      <c r="R894" s="3">
        <f t="shared" ref="R894:R902" si="199">+IF($F894="EGRESO",$P894,0)</f>
        <v>1000</v>
      </c>
      <c r="S894" s="3">
        <f t="shared" si="195"/>
        <v>1568.9999999999914</v>
      </c>
      <c r="T894" s="24"/>
      <c r="U894" s="24"/>
      <c r="V894" s="3"/>
      <c r="W894" s="25"/>
      <c r="X894" s="25"/>
      <c r="Y894" s="25"/>
      <c r="Z894" s="25"/>
      <c r="AA894" s="25"/>
      <c r="AB894" s="3" t="str">
        <f>IF(Caja_Finanzas[[#This Row],[fecha]]&gt;0,TEXT(Caja_Finanzas[[#This Row],[fecha]],"mmmm"),0)</f>
        <v>Octubre</v>
      </c>
    </row>
    <row r="895" spans="1:28" ht="24" x14ac:dyDescent="0.3">
      <c r="A895" s="2">
        <f>IF(Caja_Finanzas[[#This Row],[tipo_r]]="R",COUNTIFS($C$1:$C894,"R")+1,A894)</f>
        <v>799</v>
      </c>
      <c r="B895" s="19" t="str">
        <f t="shared" si="196"/>
        <v>C-Finanzas</v>
      </c>
      <c r="C895" s="3" t="s">
        <v>1330</v>
      </c>
      <c r="D895" s="14">
        <v>45947</v>
      </c>
      <c r="E895" s="5" t="s">
        <v>5828</v>
      </c>
      <c r="F895" s="5" t="s">
        <v>1336</v>
      </c>
      <c r="G895" s="5"/>
      <c r="H895" s="104"/>
      <c r="I895" s="6"/>
      <c r="J895" s="6"/>
      <c r="K895" s="6"/>
      <c r="L895" s="7" t="s">
        <v>7466</v>
      </c>
      <c r="M895" s="220" t="str">
        <f>"CFI"&amp;".D"&amp;TEXT(Caja_Finanzas[[#This Row],[fecha]],"DD-MM")&amp;"-"&amp;TEXT(Caja_Finanzas[[#This Row],[item]],"0000")</f>
        <v>CFI.D17-10-0799</v>
      </c>
      <c r="N895" s="8" t="str">
        <f t="shared" si="197"/>
        <v>PEN</v>
      </c>
      <c r="O895" s="13"/>
      <c r="P895" s="13">
        <v>250</v>
      </c>
      <c r="Q895" s="3">
        <f t="shared" si="198"/>
        <v>0</v>
      </c>
      <c r="R895" s="3">
        <f t="shared" si="199"/>
        <v>250</v>
      </c>
      <c r="S895" s="3">
        <f t="shared" si="195"/>
        <v>1318.9999999999914</v>
      </c>
      <c r="T895" s="24"/>
      <c r="U895" s="24"/>
      <c r="V895" s="3"/>
      <c r="W895" s="25"/>
      <c r="X895" s="25"/>
      <c r="Y895" s="25"/>
      <c r="Z895" s="25"/>
      <c r="AA895" s="25"/>
      <c r="AB895" s="3" t="str">
        <f>IF(Caja_Finanzas[[#This Row],[fecha]]&gt;0,TEXT(Caja_Finanzas[[#This Row],[fecha]],"mmmm"),0)</f>
        <v>Octubre</v>
      </c>
    </row>
    <row r="896" spans="1:28" x14ac:dyDescent="0.3">
      <c r="A896" s="2">
        <f>IF(Caja_Finanzas[[#This Row],[tipo_r]]="R",COUNTIFS($C$1:$C895,"R")+1,A895)</f>
        <v>800</v>
      </c>
      <c r="B896" s="19" t="str">
        <f t="shared" si="196"/>
        <v>C-Finanzas</v>
      </c>
      <c r="C896" s="3" t="s">
        <v>1330</v>
      </c>
      <c r="D896" s="14">
        <v>45950</v>
      </c>
      <c r="E896" s="5" t="s">
        <v>1498</v>
      </c>
      <c r="F896" s="5" t="s">
        <v>1303</v>
      </c>
      <c r="G896" s="5"/>
      <c r="H896" s="104"/>
      <c r="I896" s="6" t="s">
        <v>119</v>
      </c>
      <c r="J896" s="6">
        <v>1</v>
      </c>
      <c r="K896" s="6">
        <v>4836</v>
      </c>
      <c r="L896" s="7" t="s">
        <v>7455</v>
      </c>
      <c r="M896" s="8" t="str">
        <f>"CFI"&amp;".D"&amp;TEXT(Caja_Finanzas[[#This Row],[fecha]],"DD-MM")&amp;"-"&amp;TEXT(Caja_Finanzas[[#This Row],[item]],"0000")</f>
        <v>CFI.D20-10-0800</v>
      </c>
      <c r="N896" s="8" t="str">
        <f t="shared" si="197"/>
        <v>PEN</v>
      </c>
      <c r="O896" s="13"/>
      <c r="P896" s="13">
        <v>32</v>
      </c>
      <c r="Q896" s="3">
        <f t="shared" si="198"/>
        <v>32</v>
      </c>
      <c r="R896" s="3">
        <f t="shared" si="199"/>
        <v>0</v>
      </c>
      <c r="S896" s="3">
        <f t="shared" si="195"/>
        <v>1350.9999999999914</v>
      </c>
      <c r="T896" s="24"/>
      <c r="U896" s="24"/>
      <c r="V896" s="3"/>
      <c r="W896" s="25"/>
      <c r="X896" s="25"/>
      <c r="Y896" s="25"/>
      <c r="Z896" s="25"/>
      <c r="AA896" s="25"/>
      <c r="AB896" s="3" t="str">
        <f>IF(Caja_Finanzas[[#This Row],[fecha]]&gt;0,TEXT(Caja_Finanzas[[#This Row],[fecha]],"mmmm"),0)</f>
        <v>Octubre</v>
      </c>
    </row>
    <row r="897" spans="1:28" x14ac:dyDescent="0.3">
      <c r="A897" s="16">
        <f>IF(Caja_Finanzas[[#This Row],[tipo_r]]="R",COUNTIFS($C$1:$C896,"R")+1,A896)</f>
        <v>801</v>
      </c>
      <c r="B897" s="18" t="str">
        <f t="shared" si="196"/>
        <v>C-Finanzas</v>
      </c>
      <c r="C897" s="13" t="s">
        <v>1330</v>
      </c>
      <c r="D897" s="14">
        <v>45950</v>
      </c>
      <c r="E897" s="5"/>
      <c r="F897" s="5" t="s">
        <v>1303</v>
      </c>
      <c r="G897" s="5"/>
      <c r="H897" s="104"/>
      <c r="I897" s="6"/>
      <c r="J897" s="6"/>
      <c r="K897" s="6"/>
      <c r="L897" s="7" t="s">
        <v>6990</v>
      </c>
      <c r="M897" s="8" t="str">
        <f>"CFI"&amp;".D"&amp;TEXT(Caja_Finanzas[[#This Row],[fecha]],"DD-MM")&amp;"-"&amp;TEXT(Caja_Finanzas[[#This Row],[item]],"0000")</f>
        <v>CFI.D20-10-0801</v>
      </c>
      <c r="N897" s="8" t="str">
        <f t="shared" si="197"/>
        <v>PEN</v>
      </c>
      <c r="O897" s="13"/>
      <c r="P897" s="13"/>
      <c r="Q897" s="13">
        <f t="shared" si="198"/>
        <v>0</v>
      </c>
      <c r="R897" s="13">
        <f t="shared" si="199"/>
        <v>0</v>
      </c>
      <c r="S897" s="13">
        <f t="shared" si="195"/>
        <v>1350.9999999999914</v>
      </c>
      <c r="T897" s="28"/>
      <c r="U897" s="28"/>
      <c r="V897" s="13"/>
      <c r="W897" s="103"/>
      <c r="X897" s="103"/>
      <c r="Y897" s="103"/>
      <c r="Z897" s="103"/>
      <c r="AA897" s="103"/>
      <c r="AB897" s="13" t="str">
        <f>IF(Caja_Finanzas[[#This Row],[fecha]]&gt;0,TEXT(Caja_Finanzas[[#This Row],[fecha]],"mmmm"),0)</f>
        <v>Octubre</v>
      </c>
    </row>
    <row r="898" spans="1:28" ht="24" x14ac:dyDescent="0.3">
      <c r="A898" s="2">
        <f>IF(Caja_Finanzas[[#This Row],[tipo_r]]="R",COUNTIFS($C$1:$C897,"R")+1,A897)</f>
        <v>802</v>
      </c>
      <c r="B898" s="19" t="str">
        <f t="shared" si="196"/>
        <v>C-Finanzas</v>
      </c>
      <c r="C898" s="3" t="s">
        <v>1330</v>
      </c>
      <c r="D898" s="14">
        <v>45950</v>
      </c>
      <c r="E898" s="5" t="s">
        <v>5828</v>
      </c>
      <c r="F898" s="5" t="s">
        <v>1336</v>
      </c>
      <c r="G898" s="5"/>
      <c r="H898" s="104" t="s">
        <v>1009</v>
      </c>
      <c r="I898" s="6" t="s">
        <v>115</v>
      </c>
      <c r="J898" s="6" t="s">
        <v>7302</v>
      </c>
      <c r="K898" s="6">
        <v>59</v>
      </c>
      <c r="L898" s="7" t="s">
        <v>7467</v>
      </c>
      <c r="M898" s="220" t="str">
        <f>"CFI"&amp;".D"&amp;TEXT(Caja_Finanzas[[#This Row],[fecha]],"DD-MM")&amp;"-"&amp;TEXT(Caja_Finanzas[[#This Row],[item]],"0000")</f>
        <v>CFI.D20-10-0802</v>
      </c>
      <c r="N898" s="8" t="str">
        <f t="shared" si="197"/>
        <v>PEN</v>
      </c>
      <c r="O898" s="13"/>
      <c r="P898" s="13">
        <v>23</v>
      </c>
      <c r="Q898" s="3">
        <f t="shared" si="198"/>
        <v>0</v>
      </c>
      <c r="R898" s="3">
        <f t="shared" si="199"/>
        <v>23</v>
      </c>
      <c r="S898" s="3">
        <f t="shared" si="195"/>
        <v>1327.9999999999914</v>
      </c>
      <c r="T898" s="24"/>
      <c r="U898" s="24"/>
      <c r="V898" s="3"/>
      <c r="W898" s="25"/>
      <c r="X898" s="25"/>
      <c r="Y898" s="25"/>
      <c r="Z898" s="25"/>
      <c r="AA898" s="25"/>
      <c r="AB898" s="3" t="str">
        <f>IF(Caja_Finanzas[[#This Row],[fecha]]&gt;0,TEXT(Caja_Finanzas[[#This Row],[fecha]],"mmmm"),0)</f>
        <v>Octubre</v>
      </c>
    </row>
    <row r="899" spans="1:28" x14ac:dyDescent="0.3">
      <c r="A899" s="2">
        <f>IF(Caja_Finanzas[[#This Row],[tipo_r]]="R",COUNTIFS($C$1:$C898,"R")+1,A898)</f>
        <v>803</v>
      </c>
      <c r="B899" s="19" t="str">
        <f t="shared" si="196"/>
        <v>C-Finanzas</v>
      </c>
      <c r="C899" s="3" t="s">
        <v>1330</v>
      </c>
      <c r="D899" s="14">
        <v>45951</v>
      </c>
      <c r="E899" s="5" t="s">
        <v>1498</v>
      </c>
      <c r="F899" s="5" t="s">
        <v>1303</v>
      </c>
      <c r="G899" s="5"/>
      <c r="H899" s="104"/>
      <c r="I899" s="6" t="s">
        <v>119</v>
      </c>
      <c r="J899" s="6">
        <v>1</v>
      </c>
      <c r="K899" s="6">
        <v>4843</v>
      </c>
      <c r="L899" s="7" t="s">
        <v>7455</v>
      </c>
      <c r="M899" s="8" t="str">
        <f>"CFI"&amp;".D"&amp;TEXT(Caja_Finanzas[[#This Row],[fecha]],"DD-MM")&amp;"-"&amp;TEXT(Caja_Finanzas[[#This Row],[item]],"0000")</f>
        <v>CFI.D21-10-0803</v>
      </c>
      <c r="N899" s="8" t="str">
        <f>"PEN"</f>
        <v>PEN</v>
      </c>
      <c r="O899" s="13"/>
      <c r="P899" s="13">
        <v>30</v>
      </c>
      <c r="Q899" s="3">
        <f t="shared" si="198"/>
        <v>30</v>
      </c>
      <c r="R899" s="3">
        <f t="shared" si="199"/>
        <v>0</v>
      </c>
      <c r="S899" s="3">
        <f t="shared" ref="S899:S902" si="200">IFERROR(IF(F899="SALDO",Q899,S898+Q899-R899),0)</f>
        <v>1357.9999999999914</v>
      </c>
      <c r="T899" s="24"/>
      <c r="U899" s="24"/>
      <c r="V899" s="3"/>
      <c r="W899" s="25"/>
      <c r="X899" s="25"/>
      <c r="Y899" s="25"/>
      <c r="Z899" s="25"/>
      <c r="AA899" s="25"/>
      <c r="AB899" s="3" t="str">
        <f>IF(Caja_Finanzas[[#This Row],[fecha]]&gt;0,TEXT(Caja_Finanzas[[#This Row],[fecha]],"mmmm"),0)</f>
        <v>Octubre</v>
      </c>
    </row>
    <row r="900" spans="1:28" ht="24" x14ac:dyDescent="0.3">
      <c r="A900" s="16">
        <f>IF(Caja_Finanzas[[#This Row],[tipo_r]]="R",COUNTIFS($C$1:$C899,"R")+1,A899)</f>
        <v>804</v>
      </c>
      <c r="B900" s="18" t="str">
        <f t="shared" si="196"/>
        <v>C-Finanzas</v>
      </c>
      <c r="C900" s="13" t="s">
        <v>1330</v>
      </c>
      <c r="D900" s="14">
        <v>45951</v>
      </c>
      <c r="E900" s="5" t="s">
        <v>2502</v>
      </c>
      <c r="F900" s="5" t="s">
        <v>1303</v>
      </c>
      <c r="G900" s="5"/>
      <c r="H900" s="104"/>
      <c r="I900" s="6" t="s">
        <v>119</v>
      </c>
      <c r="J900" s="6">
        <v>1</v>
      </c>
      <c r="K900" s="6">
        <v>4839</v>
      </c>
      <c r="L900" s="7" t="s">
        <v>7455</v>
      </c>
      <c r="M900" s="8" t="str">
        <f>"CFI"&amp;".D"&amp;TEXT(Caja_Finanzas[[#This Row],[fecha]],"DD-MM")&amp;"-"&amp;TEXT(Caja_Finanzas[[#This Row],[item]],"0000")</f>
        <v>CFI.D21-10-0804</v>
      </c>
      <c r="N900" s="8" t="str">
        <f t="shared" si="197"/>
        <v>PEN</v>
      </c>
      <c r="O900" s="13"/>
      <c r="P900" s="13">
        <v>1530</v>
      </c>
      <c r="Q900" s="13">
        <f t="shared" si="198"/>
        <v>1530</v>
      </c>
      <c r="R900" s="13">
        <f t="shared" si="199"/>
        <v>0</v>
      </c>
      <c r="S900" s="13">
        <f>IFERROR(IF(F900="SALDO",Q900,S899+Q900-R900),0)</f>
        <v>2887.9999999999914</v>
      </c>
      <c r="T900" s="28"/>
      <c r="U900" s="28"/>
      <c r="V900" s="13"/>
      <c r="W900" s="103"/>
      <c r="X900" s="103"/>
      <c r="Y900" s="103"/>
      <c r="Z900" s="103"/>
      <c r="AA900" s="103"/>
      <c r="AB900" s="13" t="str">
        <f>IF(Caja_Finanzas[[#This Row],[fecha]]&gt;0,TEXT(Caja_Finanzas[[#This Row],[fecha]],"mmmm"),0)</f>
        <v>Octubre</v>
      </c>
    </row>
    <row r="901" spans="1:28" ht="24" x14ac:dyDescent="0.3">
      <c r="A901" s="2">
        <f>IF(Caja_Finanzas[[#This Row],[tipo_r]]="R",COUNTIFS($C$1:$C900,"R")+1,A900)</f>
        <v>805</v>
      </c>
      <c r="B901" s="19" t="str">
        <f t="shared" si="196"/>
        <v>C-Finanzas</v>
      </c>
      <c r="C901" s="3" t="s">
        <v>1330</v>
      </c>
      <c r="D901" s="14">
        <v>45951</v>
      </c>
      <c r="E901" s="5" t="s">
        <v>2009</v>
      </c>
      <c r="F901" s="5" t="s">
        <v>1303</v>
      </c>
      <c r="G901" s="5"/>
      <c r="H901" s="104"/>
      <c r="I901" s="6" t="s">
        <v>119</v>
      </c>
      <c r="J901" s="6">
        <v>1</v>
      </c>
      <c r="K901" s="6">
        <v>4844</v>
      </c>
      <c r="L901" s="7" t="s">
        <v>7455</v>
      </c>
      <c r="M901" s="8" t="str">
        <f>"CFI"&amp;".D"&amp;TEXT(Caja_Finanzas[[#This Row],[fecha]],"DD-MM")&amp;"-"&amp;TEXT(Caja_Finanzas[[#This Row],[item]],"0000")</f>
        <v>CFI.D21-10-0805</v>
      </c>
      <c r="N901" s="8" t="str">
        <f t="shared" si="197"/>
        <v>PEN</v>
      </c>
      <c r="O901" s="13"/>
      <c r="P901" s="13">
        <v>1200</v>
      </c>
      <c r="Q901" s="3">
        <f t="shared" si="198"/>
        <v>1200</v>
      </c>
      <c r="R901" s="3">
        <f t="shared" si="199"/>
        <v>0</v>
      </c>
      <c r="S901" s="3">
        <f>IFERROR(IF(F901="SALDO",Q901,S900+Q901-R901),0)</f>
        <v>4087.9999999999914</v>
      </c>
      <c r="T901" s="24"/>
      <c r="U901" s="24"/>
      <c r="V901" s="3"/>
      <c r="W901" s="25"/>
      <c r="X901" s="25"/>
      <c r="Y901" s="25"/>
      <c r="Z901" s="25"/>
      <c r="AA901" s="25"/>
      <c r="AB901" s="3" t="str">
        <f>IF(Caja_Finanzas[[#This Row],[fecha]]&gt;0,TEXT(Caja_Finanzas[[#This Row],[fecha]],"mmmm"),0)</f>
        <v>Octubre</v>
      </c>
    </row>
    <row r="902" spans="1:28" ht="24" x14ac:dyDescent="0.3">
      <c r="A902" s="2">
        <f>IF(Caja_Finanzas[[#This Row],[tipo_r]]="R",COUNTIFS($C$1:$C901,"R")+1,A901)</f>
        <v>806</v>
      </c>
      <c r="B902" s="19" t="str">
        <f t="shared" si="196"/>
        <v>C-Finanzas</v>
      </c>
      <c r="C902" s="3" t="s">
        <v>1330</v>
      </c>
      <c r="D902" s="14">
        <v>45951</v>
      </c>
      <c r="E902" s="5" t="s">
        <v>1331</v>
      </c>
      <c r="F902" s="5" t="s">
        <v>1336</v>
      </c>
      <c r="G902" s="5"/>
      <c r="H902" s="104"/>
      <c r="I902" s="6"/>
      <c r="J902" s="6"/>
      <c r="K902" s="6"/>
      <c r="L902" s="7" t="s">
        <v>7465</v>
      </c>
      <c r="M902" s="8" t="str">
        <f>"CFI"&amp;".D"&amp;TEXT(Caja_Finanzas[[#This Row],[fecha]],"DD-MM")&amp;"-"&amp;TEXT(Caja_Finanzas[[#This Row],[item]],"0000")</f>
        <v>CFI.D21-10-0806</v>
      </c>
      <c r="N902" s="8" t="str">
        <f t="shared" si="197"/>
        <v>PEN</v>
      </c>
      <c r="O902" s="13"/>
      <c r="P902" s="13">
        <v>2000</v>
      </c>
      <c r="Q902" s="3">
        <f t="shared" si="198"/>
        <v>0</v>
      </c>
      <c r="R902" s="3">
        <f t="shared" si="199"/>
        <v>2000</v>
      </c>
      <c r="S902" s="3">
        <f t="shared" si="200"/>
        <v>2087.9999999999914</v>
      </c>
      <c r="T902" s="24"/>
      <c r="U902" s="24"/>
      <c r="V902" s="3"/>
      <c r="W902" s="25"/>
      <c r="X902" s="25"/>
      <c r="Y902" s="25"/>
      <c r="Z902" s="25"/>
      <c r="AA902" s="25"/>
      <c r="AB902" s="3" t="str">
        <f>IF(Caja_Finanzas[[#This Row],[fecha]]&gt;0,TEXT(Caja_Finanzas[[#This Row],[fecha]],"mmmm"),0)</f>
        <v>Octubre</v>
      </c>
    </row>
    <row r="903" spans="1:28" ht="24" x14ac:dyDescent="0.3">
      <c r="A903" s="2">
        <f>IF(Caja_Finanzas[[#This Row],[tipo_r]]="R",COUNTIFS($C$1:$C902,"R")+1,A902)</f>
        <v>807</v>
      </c>
      <c r="B903" s="19" t="str">
        <f t="shared" ref="B903:B911" si="201">"C-Finanzas"</f>
        <v>C-Finanzas</v>
      </c>
      <c r="C903" s="3" t="s">
        <v>1330</v>
      </c>
      <c r="D903" s="14">
        <v>45952</v>
      </c>
      <c r="E903" s="5" t="s">
        <v>7468</v>
      </c>
      <c r="F903" s="5" t="s">
        <v>1303</v>
      </c>
      <c r="G903" s="5"/>
      <c r="H903" s="104"/>
      <c r="I903" s="6" t="s">
        <v>119</v>
      </c>
      <c r="J903" s="6">
        <v>1</v>
      </c>
      <c r="K903" s="6">
        <v>4846</v>
      </c>
      <c r="L903" s="7" t="s">
        <v>7455</v>
      </c>
      <c r="M903" s="8" t="str">
        <f>"CFI"&amp;".D"&amp;TEXT(Caja_Finanzas[[#This Row],[fecha]],"DD-MM")&amp;"-"&amp;TEXT(Caja_Finanzas[[#This Row],[item]],"0000")</f>
        <v>CFI.D22-10-0807</v>
      </c>
      <c r="N903" s="8" t="str">
        <f t="shared" ref="N903:N911" si="202">"PEN"</f>
        <v>PEN</v>
      </c>
      <c r="O903" s="13"/>
      <c r="P903" s="13">
        <v>24</v>
      </c>
      <c r="Q903" s="3">
        <f t="shared" ref="Q903:Q911" si="203">+IF(OR($F903="SALDO",$F903="INGRESO"),$P903,0)</f>
        <v>24</v>
      </c>
      <c r="R903" s="3">
        <f t="shared" ref="R903:R911" si="204">+IF($F903="EGRESO",$P903,0)</f>
        <v>0</v>
      </c>
      <c r="S903" s="3">
        <f t="shared" ref="S903:S911" si="205">IFERROR(IF(F903="SALDO",Q903,S902+Q903-R903),0)</f>
        <v>2111.9999999999914</v>
      </c>
      <c r="T903" s="24"/>
      <c r="U903" s="24"/>
      <c r="V903" s="3"/>
      <c r="W903" s="25"/>
      <c r="X903" s="25"/>
      <c r="Y903" s="25"/>
      <c r="Z903" s="25"/>
      <c r="AA903" s="25"/>
      <c r="AB903" s="3" t="str">
        <f>IF(Caja_Finanzas[[#This Row],[fecha]]&gt;0,TEXT(Caja_Finanzas[[#This Row],[fecha]],"mmmm"),0)</f>
        <v>Octubre</v>
      </c>
    </row>
    <row r="904" spans="1:28" ht="72" x14ac:dyDescent="0.3">
      <c r="A904" s="2">
        <f>IF(Caja_Finanzas[[#This Row],[tipo_r]]="R",COUNTIFS($C$1:$C903,"R")+1,A903)</f>
        <v>808</v>
      </c>
      <c r="B904" s="19" t="str">
        <f t="shared" si="201"/>
        <v>C-Finanzas</v>
      </c>
      <c r="C904" s="3" t="s">
        <v>1330</v>
      </c>
      <c r="D904" s="14">
        <v>45952</v>
      </c>
      <c r="E904" s="5" t="s">
        <v>5287</v>
      </c>
      <c r="F904" s="5" t="s">
        <v>1336</v>
      </c>
      <c r="G904" s="5"/>
      <c r="H904" s="104" t="s">
        <v>1009</v>
      </c>
      <c r="I904" s="6" t="s">
        <v>115</v>
      </c>
      <c r="J904" s="6" t="s">
        <v>7299</v>
      </c>
      <c r="K904" s="6">
        <v>150</v>
      </c>
      <c r="L904" s="7" t="s">
        <v>7469</v>
      </c>
      <c r="M904" s="220" t="str">
        <f>"CFI"&amp;".D"&amp;TEXT(Caja_Finanzas[[#This Row],[fecha]],"DD-MM")&amp;"-"&amp;TEXT(Caja_Finanzas[[#This Row],[item]],"0000")</f>
        <v>CFI.D22-10-0808</v>
      </c>
      <c r="N904" s="8" t="str">
        <f t="shared" si="202"/>
        <v>PEN</v>
      </c>
      <c r="O904" s="13"/>
      <c r="P904" s="13">
        <v>534</v>
      </c>
      <c r="Q904" s="3">
        <f t="shared" si="203"/>
        <v>0</v>
      </c>
      <c r="R904" s="3">
        <f t="shared" si="204"/>
        <v>534</v>
      </c>
      <c r="S904" s="3">
        <f>IFERROR(IF(F904="SALDO",Q904,S903+Q904-R904),0)</f>
        <v>1577.9999999999914</v>
      </c>
      <c r="T904" s="24"/>
      <c r="U904" s="24"/>
      <c r="V904" s="3"/>
      <c r="W904" s="25"/>
      <c r="X904" s="25"/>
      <c r="Y904" s="25"/>
      <c r="Z904" s="25"/>
      <c r="AA904" s="25"/>
      <c r="AB904" s="3" t="str">
        <f>IF(Caja_Finanzas[[#This Row],[fecha]]&gt;0,TEXT(Caja_Finanzas[[#This Row],[fecha]],"mmmm"),0)</f>
        <v>Octubre</v>
      </c>
    </row>
    <row r="905" spans="1:28" ht="24" x14ac:dyDescent="0.3">
      <c r="A905" s="2">
        <f>IF(Caja_Finanzas[[#This Row],[tipo_r]]="R",COUNTIFS($C$1:$C904,"R")+1,A904)</f>
        <v>809</v>
      </c>
      <c r="B905" s="19" t="str">
        <f t="shared" si="201"/>
        <v>C-Finanzas</v>
      </c>
      <c r="C905" s="3" t="s">
        <v>1330</v>
      </c>
      <c r="D905" s="14">
        <v>45952</v>
      </c>
      <c r="E905" s="5" t="s">
        <v>2502</v>
      </c>
      <c r="F905" s="5" t="s">
        <v>1303</v>
      </c>
      <c r="G905" s="5"/>
      <c r="H905" s="104"/>
      <c r="I905" s="6" t="s">
        <v>119</v>
      </c>
      <c r="J905" s="6">
        <v>1</v>
      </c>
      <c r="K905" s="6">
        <v>4848</v>
      </c>
      <c r="L905" s="7" t="s">
        <v>7455</v>
      </c>
      <c r="M905" s="8" t="str">
        <f>"CFI"&amp;".D"&amp;TEXT(Caja_Finanzas[[#This Row],[fecha]],"DD-MM")&amp;"-"&amp;TEXT(Caja_Finanzas[[#This Row],[item]],"0000")</f>
        <v>CFI.D22-10-0809</v>
      </c>
      <c r="N905" s="8" t="str">
        <f t="shared" si="202"/>
        <v>PEN</v>
      </c>
      <c r="O905" s="13"/>
      <c r="P905" s="13">
        <v>480</v>
      </c>
      <c r="Q905" s="3">
        <f t="shared" si="203"/>
        <v>480</v>
      </c>
      <c r="R905" s="3">
        <f t="shared" si="204"/>
        <v>0</v>
      </c>
      <c r="S905" s="13">
        <f t="shared" si="205"/>
        <v>2057.9999999999914</v>
      </c>
      <c r="T905" s="24"/>
      <c r="U905" s="24"/>
      <c r="V905" s="3"/>
      <c r="W905" s="25"/>
      <c r="X905" s="25"/>
      <c r="Y905" s="25"/>
      <c r="Z905" s="25"/>
      <c r="AA905" s="25"/>
      <c r="AB905" s="3" t="str">
        <f>IF(Caja_Finanzas[[#This Row],[fecha]]&gt;0,TEXT(Caja_Finanzas[[#This Row],[fecha]],"mmmm"),0)</f>
        <v>Octubre</v>
      </c>
    </row>
    <row r="906" spans="1:28" ht="24" x14ac:dyDescent="0.3">
      <c r="A906" s="2">
        <f>IF(Caja_Finanzas[[#This Row],[tipo_r]]="R",COUNTIFS($C$1:$C905,"R")+1,A905)</f>
        <v>810</v>
      </c>
      <c r="B906" s="19" t="str">
        <f t="shared" si="201"/>
        <v>C-Finanzas</v>
      </c>
      <c r="C906" s="3" t="s">
        <v>1330</v>
      </c>
      <c r="D906" s="14">
        <v>45953</v>
      </c>
      <c r="E906" s="5" t="s">
        <v>3293</v>
      </c>
      <c r="F906" s="5" t="s">
        <v>1303</v>
      </c>
      <c r="G906" s="5"/>
      <c r="H906" s="104"/>
      <c r="I906" s="6" t="s">
        <v>119</v>
      </c>
      <c r="J906" s="6">
        <v>1</v>
      </c>
      <c r="K906" s="6">
        <v>4851</v>
      </c>
      <c r="L906" s="7" t="s">
        <v>7455</v>
      </c>
      <c r="M906" s="8" t="str">
        <f>"CFI"&amp;".D"&amp;TEXT(Caja_Finanzas[[#This Row],[fecha]],"DD-MM")&amp;"-"&amp;TEXT(Caja_Finanzas[[#This Row],[item]],"0000")</f>
        <v>CFI.D23-10-0810</v>
      </c>
      <c r="N906" s="8" t="str">
        <f t="shared" si="202"/>
        <v>PEN</v>
      </c>
      <c r="O906" s="13"/>
      <c r="P906" s="13">
        <v>360</v>
      </c>
      <c r="Q906" s="3">
        <f t="shared" si="203"/>
        <v>360</v>
      </c>
      <c r="R906" s="3">
        <f t="shared" si="204"/>
        <v>0</v>
      </c>
      <c r="S906" s="13">
        <f t="shared" si="205"/>
        <v>2417.9999999999914</v>
      </c>
      <c r="T906" s="24"/>
      <c r="U906" s="24"/>
      <c r="V906" s="3"/>
      <c r="W906" s="25"/>
      <c r="X906" s="25"/>
      <c r="Y906" s="25"/>
      <c r="Z906" s="25"/>
      <c r="AA906" s="25"/>
      <c r="AB906" s="3" t="str">
        <f>IF(Caja_Finanzas[[#This Row],[fecha]]&gt;0,TEXT(Caja_Finanzas[[#This Row],[fecha]],"mmmm"),0)</f>
        <v>Octubre</v>
      </c>
    </row>
    <row r="907" spans="1:28" x14ac:dyDescent="0.3">
      <c r="A907" s="2">
        <f>IF(Caja_Finanzas[[#This Row],[tipo_r]]="R",COUNTIFS($C$1:$C906,"R")+1,A906)</f>
        <v>811</v>
      </c>
      <c r="B907" s="19" t="str">
        <f t="shared" si="201"/>
        <v>C-Finanzas</v>
      </c>
      <c r="C907" s="3" t="s">
        <v>1330</v>
      </c>
      <c r="D907" s="14">
        <v>45953</v>
      </c>
      <c r="E907" s="5" t="s">
        <v>7470</v>
      </c>
      <c r="F907" s="5" t="s">
        <v>1303</v>
      </c>
      <c r="G907" s="5"/>
      <c r="H907" s="104"/>
      <c r="I907" s="6" t="s">
        <v>119</v>
      </c>
      <c r="J907" s="6">
        <v>1</v>
      </c>
      <c r="K907" s="6">
        <v>4850</v>
      </c>
      <c r="L907" s="7" t="s">
        <v>7455</v>
      </c>
      <c r="M907" s="8" t="str">
        <f>"CFI"&amp;".D"&amp;TEXT(Caja_Finanzas[[#This Row],[fecha]],"DD-MM")&amp;"-"&amp;TEXT(Caja_Finanzas[[#This Row],[item]],"0000")</f>
        <v>CFI.D23-10-0811</v>
      </c>
      <c r="N907" s="8" t="str">
        <f t="shared" si="202"/>
        <v>PEN</v>
      </c>
      <c r="O907" s="13"/>
      <c r="P907" s="13">
        <v>2000</v>
      </c>
      <c r="Q907" s="3">
        <f t="shared" si="203"/>
        <v>2000</v>
      </c>
      <c r="R907" s="3">
        <f t="shared" si="204"/>
        <v>0</v>
      </c>
      <c r="S907" s="13">
        <f t="shared" si="205"/>
        <v>4417.9999999999909</v>
      </c>
      <c r="T907" s="24"/>
      <c r="U907" s="24"/>
      <c r="V907" s="3"/>
      <c r="W907" s="25"/>
      <c r="X907" s="25"/>
      <c r="Y907" s="25"/>
      <c r="Z907" s="25"/>
      <c r="AA907" s="25"/>
      <c r="AB907" s="3" t="str">
        <f>IF(Caja_Finanzas[[#This Row],[fecha]]&gt;0,TEXT(Caja_Finanzas[[#This Row],[fecha]],"mmmm"),0)</f>
        <v>Octubre</v>
      </c>
    </row>
    <row r="908" spans="1:28" ht="24" x14ac:dyDescent="0.3">
      <c r="A908" s="2">
        <f>IF(Caja_Finanzas[[#This Row],[tipo_r]]="R",COUNTIFS($C$1:$C907,"R")+1,A907)</f>
        <v>812</v>
      </c>
      <c r="B908" s="19" t="str">
        <f t="shared" si="201"/>
        <v>C-Finanzas</v>
      </c>
      <c r="C908" s="3" t="s">
        <v>1330</v>
      </c>
      <c r="D908" s="14">
        <v>45953</v>
      </c>
      <c r="E908" s="5" t="s">
        <v>6246</v>
      </c>
      <c r="F908" s="5" t="s">
        <v>1336</v>
      </c>
      <c r="G908" s="5"/>
      <c r="H908" s="104" t="s">
        <v>1009</v>
      </c>
      <c r="I908" s="6" t="s">
        <v>115</v>
      </c>
      <c r="J908" s="6" t="s">
        <v>7289</v>
      </c>
      <c r="K908" s="6">
        <v>24</v>
      </c>
      <c r="L908" s="7" t="s">
        <v>7471</v>
      </c>
      <c r="M908" s="220" t="str">
        <f>"CFI"&amp;".D"&amp;TEXT(Caja_Finanzas[[#This Row],[fecha]],"DD-MM")&amp;"-"&amp;TEXT(Caja_Finanzas[[#This Row],[item]],"0000")</f>
        <v>CFI.D23-10-0812</v>
      </c>
      <c r="N908" s="8" t="str">
        <f t="shared" si="202"/>
        <v>PEN</v>
      </c>
      <c r="O908" s="13"/>
      <c r="P908" s="13">
        <v>25</v>
      </c>
      <c r="Q908" s="3">
        <f t="shared" si="203"/>
        <v>0</v>
      </c>
      <c r="R908" s="3">
        <f t="shared" si="204"/>
        <v>25</v>
      </c>
      <c r="S908" s="13">
        <f t="shared" si="205"/>
        <v>4392.9999999999909</v>
      </c>
      <c r="T908" s="24"/>
      <c r="U908" s="24"/>
      <c r="V908" s="3"/>
      <c r="W908" s="25"/>
      <c r="X908" s="25"/>
      <c r="Y908" s="25"/>
      <c r="Z908" s="25"/>
      <c r="AA908" s="25"/>
      <c r="AB908" s="3" t="str">
        <f>IF(Caja_Finanzas[[#This Row],[fecha]]&gt;0,TEXT(Caja_Finanzas[[#This Row],[fecha]],"mmmm"),0)</f>
        <v>Octubre</v>
      </c>
    </row>
    <row r="909" spans="1:28" ht="24" x14ac:dyDescent="0.3">
      <c r="A909" s="2">
        <f>IF(Caja_Finanzas[[#This Row],[tipo_r]]="R",COUNTIFS($C$1:$C908,"R")+1,A908)</f>
        <v>813</v>
      </c>
      <c r="B909" s="19" t="str">
        <f t="shared" si="201"/>
        <v>C-Finanzas</v>
      </c>
      <c r="C909" s="3" t="s">
        <v>1330</v>
      </c>
      <c r="D909" s="14">
        <v>45953</v>
      </c>
      <c r="E909" s="5" t="s">
        <v>6456</v>
      </c>
      <c r="F909" s="5" t="s">
        <v>1336</v>
      </c>
      <c r="G909" s="5"/>
      <c r="H909" s="104" t="s">
        <v>1009</v>
      </c>
      <c r="I909" s="6" t="s">
        <v>115</v>
      </c>
      <c r="J909" s="6" t="s">
        <v>7322</v>
      </c>
      <c r="K909" s="6">
        <v>18</v>
      </c>
      <c r="L909" s="7" t="s">
        <v>7472</v>
      </c>
      <c r="M909" s="220" t="str">
        <f>"CFI"&amp;".D"&amp;TEXT(Caja_Finanzas[[#This Row],[fecha]],"DD-MM")&amp;"-"&amp;TEXT(Caja_Finanzas[[#This Row],[item]],"0000")</f>
        <v>CFI.D23-10-0813</v>
      </c>
      <c r="N909" s="8" t="str">
        <f t="shared" si="202"/>
        <v>PEN</v>
      </c>
      <c r="O909" s="13"/>
      <c r="P909" s="13">
        <v>51.2</v>
      </c>
      <c r="Q909" s="3">
        <f t="shared" si="203"/>
        <v>0</v>
      </c>
      <c r="R909" s="3">
        <f t="shared" si="204"/>
        <v>51.2</v>
      </c>
      <c r="S909" s="3">
        <f t="shared" si="205"/>
        <v>4341.7999999999911</v>
      </c>
      <c r="T909" s="24"/>
      <c r="U909" s="24"/>
      <c r="V909" s="3"/>
      <c r="W909" s="25"/>
      <c r="X909" s="25"/>
      <c r="Y909" s="25"/>
      <c r="Z909" s="25"/>
      <c r="AA909" s="25"/>
      <c r="AB909" s="3" t="str">
        <f>IF(Caja_Finanzas[[#This Row],[fecha]]&gt;0,TEXT(Caja_Finanzas[[#This Row],[fecha]],"mmmm"),0)</f>
        <v>Octubre</v>
      </c>
    </row>
    <row r="910" spans="1:28" ht="24" x14ac:dyDescent="0.3">
      <c r="A910" s="2">
        <f>IF(Caja_Finanzas[[#This Row],[tipo_r]]="R",COUNTIFS($C$1:$C909,"R")+1,A909)</f>
        <v>814</v>
      </c>
      <c r="B910" s="19" t="str">
        <f t="shared" si="201"/>
        <v>C-Finanzas</v>
      </c>
      <c r="C910" s="3" t="s">
        <v>1330</v>
      </c>
      <c r="D910" s="14">
        <v>45953</v>
      </c>
      <c r="E910" s="5" t="s">
        <v>7473</v>
      </c>
      <c r="F910" s="5" t="s">
        <v>1336</v>
      </c>
      <c r="G910" s="5"/>
      <c r="H910" s="104" t="s">
        <v>1009</v>
      </c>
      <c r="I910" s="6" t="s">
        <v>64</v>
      </c>
      <c r="J910" s="6" t="s">
        <v>7474</v>
      </c>
      <c r="K910" s="6">
        <v>1</v>
      </c>
      <c r="L910" s="7" t="s">
        <v>7475</v>
      </c>
      <c r="M910" s="220" t="str">
        <f>"CFI"&amp;".D"&amp;TEXT(Caja_Finanzas[[#This Row],[fecha]],"DD-MM")&amp;"-"&amp;TEXT(Caja_Finanzas[[#This Row],[item]],"0000")</f>
        <v>CFI.D23-10-0814</v>
      </c>
      <c r="N910" s="8" t="str">
        <f t="shared" si="202"/>
        <v>PEN</v>
      </c>
      <c r="O910" s="13"/>
      <c r="P910" s="13">
        <v>200</v>
      </c>
      <c r="Q910" s="3">
        <f t="shared" si="203"/>
        <v>0</v>
      </c>
      <c r="R910" s="3">
        <f t="shared" si="204"/>
        <v>200</v>
      </c>
      <c r="S910" s="3">
        <f t="shared" si="205"/>
        <v>4141.7999999999911</v>
      </c>
      <c r="T910" s="24"/>
      <c r="U910" s="24"/>
      <c r="V910" s="3"/>
      <c r="W910" s="25"/>
      <c r="X910" s="25"/>
      <c r="Y910" s="25"/>
      <c r="Z910" s="25"/>
      <c r="AA910" s="25"/>
      <c r="AB910" s="3" t="str">
        <f>IF(Caja_Finanzas[[#This Row],[fecha]]&gt;0,TEXT(Caja_Finanzas[[#This Row],[fecha]],"mmmm"),0)</f>
        <v>Octubre</v>
      </c>
    </row>
    <row r="911" spans="1:28" x14ac:dyDescent="0.3">
      <c r="A911" s="2">
        <f>IF(Caja_Finanzas[[#This Row],[tipo_r]]="R",COUNTIFS($C$1:$C910,"R")+1,A910)</f>
        <v>815</v>
      </c>
      <c r="B911" s="19" t="str">
        <f t="shared" si="201"/>
        <v>C-Finanzas</v>
      </c>
      <c r="C911" s="3" t="s">
        <v>1330</v>
      </c>
      <c r="D911" s="14">
        <v>45953</v>
      </c>
      <c r="E911" s="5" t="s">
        <v>7476</v>
      </c>
      <c r="F911" s="5" t="s">
        <v>1303</v>
      </c>
      <c r="G911" s="5"/>
      <c r="H911" s="104"/>
      <c r="I911" s="6" t="s">
        <v>119</v>
      </c>
      <c r="J911" s="6">
        <v>1</v>
      </c>
      <c r="K911" s="6">
        <v>4818</v>
      </c>
      <c r="L911" s="7" t="s">
        <v>7455</v>
      </c>
      <c r="M911" s="8" t="str">
        <f>"CFI"&amp;".D"&amp;TEXT(Caja_Finanzas[[#This Row],[fecha]],"DD-MM")&amp;"-"&amp;TEXT(Caja_Finanzas[[#This Row],[item]],"0000")</f>
        <v>CFI.D23-10-0815</v>
      </c>
      <c r="N911" s="8" t="str">
        <f t="shared" si="202"/>
        <v>PEN</v>
      </c>
      <c r="O911" s="13"/>
      <c r="P911" s="13">
        <v>660</v>
      </c>
      <c r="Q911" s="3">
        <f t="shared" si="203"/>
        <v>660</v>
      </c>
      <c r="R911" s="3">
        <f t="shared" si="204"/>
        <v>0</v>
      </c>
      <c r="S911" s="3">
        <f t="shared" si="205"/>
        <v>4801.7999999999911</v>
      </c>
      <c r="T911" s="24"/>
      <c r="U911" s="24"/>
      <c r="V911" s="3"/>
      <c r="W911" s="25"/>
      <c r="X911" s="25"/>
      <c r="Y911" s="25"/>
      <c r="Z911" s="25"/>
      <c r="AA911" s="25"/>
      <c r="AB911" s="3" t="str">
        <f>IF(Caja_Finanzas[[#This Row],[fecha]]&gt;0,TEXT(Caja_Finanzas[[#This Row],[fecha]],"mmmm"),0)</f>
        <v>Octubre</v>
      </c>
    </row>
    <row r="912" spans="1:28" x14ac:dyDescent="0.3">
      <c r="A912" s="2">
        <f>IF(Caja_Finanzas[[#This Row],[tipo_r]]="R",COUNTIFS($C$1:$C911,"R")+1,A911)</f>
        <v>816</v>
      </c>
      <c r="B912" s="19" t="str">
        <f t="shared" ref="B912:B919" si="206">"C-Finanzas"</f>
        <v>C-Finanzas</v>
      </c>
      <c r="C912" s="3" t="s">
        <v>1330</v>
      </c>
      <c r="D912" s="14">
        <v>45953</v>
      </c>
      <c r="E912" s="5" t="s">
        <v>439</v>
      </c>
      <c r="F912" s="5" t="s">
        <v>1303</v>
      </c>
      <c r="G912" s="5"/>
      <c r="H912" s="104"/>
      <c r="I912" s="6" t="s">
        <v>119</v>
      </c>
      <c r="J912" s="6">
        <v>1</v>
      </c>
      <c r="K912" s="6">
        <v>4853</v>
      </c>
      <c r="L912" s="7" t="s">
        <v>7455</v>
      </c>
      <c r="M912" s="8" t="str">
        <f>"CFI"&amp;".D"&amp;TEXT(Caja_Finanzas[[#This Row],[fecha]],"DD-MM")&amp;"-"&amp;TEXT(Caja_Finanzas[[#This Row],[item]],"0000")</f>
        <v>CFI.D23-10-0816</v>
      </c>
      <c r="N912" s="8" t="str">
        <f t="shared" ref="N912:N919" si="207">"PEN"</f>
        <v>PEN</v>
      </c>
      <c r="O912" s="13"/>
      <c r="P912" s="13">
        <v>260</v>
      </c>
      <c r="Q912" s="3">
        <f t="shared" ref="Q912:Q919" si="208">+IF(OR($F912="SALDO",$F912="INGRESO"),$P912,0)</f>
        <v>260</v>
      </c>
      <c r="R912" s="3">
        <f t="shared" ref="R912:R919" si="209">+IF($F912="EGRESO",$P912,0)</f>
        <v>0</v>
      </c>
      <c r="S912" s="3">
        <f t="shared" ref="S912:S919" si="210">IFERROR(IF(F912="SALDO",Q912,S911+Q912-R912),0)</f>
        <v>5061.7999999999911</v>
      </c>
      <c r="T912" s="24"/>
      <c r="U912" s="24"/>
      <c r="V912" s="3"/>
      <c r="W912" s="25"/>
      <c r="X912" s="25"/>
      <c r="Y912" s="25"/>
      <c r="Z912" s="25"/>
      <c r="AA912" s="25"/>
      <c r="AB912" s="3" t="str">
        <f>IF(Caja_Finanzas[[#This Row],[fecha]]&gt;0,TEXT(Caja_Finanzas[[#This Row],[fecha]],"mmmm"),0)</f>
        <v>Octubre</v>
      </c>
    </row>
    <row r="913" spans="1:28" ht="24" x14ac:dyDescent="0.3">
      <c r="A913" s="2">
        <f>IF(Caja_Finanzas[[#This Row],[tipo_r]]="R",COUNTIFS($C$1:$C912,"R")+1,A912)</f>
        <v>817</v>
      </c>
      <c r="B913" s="19" t="str">
        <f t="shared" si="206"/>
        <v>C-Finanzas</v>
      </c>
      <c r="C913" s="3" t="s">
        <v>1330</v>
      </c>
      <c r="D913" s="14">
        <v>45953</v>
      </c>
      <c r="E913" s="5" t="s">
        <v>6418</v>
      </c>
      <c r="F913" s="5" t="s">
        <v>1336</v>
      </c>
      <c r="G913" s="5"/>
      <c r="H913" s="104"/>
      <c r="I913" s="6"/>
      <c r="J913" s="6"/>
      <c r="K913" s="6"/>
      <c r="L913" s="7" t="s">
        <v>7427</v>
      </c>
      <c r="M913" s="220" t="str">
        <f>"CFI"&amp;".D"&amp;TEXT(Caja_Finanzas[[#This Row],[fecha]],"DD-MM")&amp;"-"&amp;TEXT(Caja_Finanzas[[#This Row],[item]],"0000")</f>
        <v>CFI.D23-10-0817</v>
      </c>
      <c r="N913" s="8" t="str">
        <f t="shared" si="207"/>
        <v>PEN</v>
      </c>
      <c r="O913" s="13"/>
      <c r="P913" s="13">
        <v>4000</v>
      </c>
      <c r="Q913" s="3">
        <f t="shared" si="208"/>
        <v>0</v>
      </c>
      <c r="R913" s="3">
        <f t="shared" si="209"/>
        <v>4000</v>
      </c>
      <c r="S913" s="3">
        <f t="shared" si="210"/>
        <v>1061.7999999999911</v>
      </c>
      <c r="T913" s="24"/>
      <c r="U913" s="24"/>
      <c r="V913" s="3"/>
      <c r="W913" s="25"/>
      <c r="X913" s="25"/>
      <c r="Y913" s="25"/>
      <c r="Z913" s="25"/>
      <c r="AA913" s="25"/>
      <c r="AB913" s="3" t="str">
        <f>IF(Caja_Finanzas[[#This Row],[fecha]]&gt;0,TEXT(Caja_Finanzas[[#This Row],[fecha]],"mmmm"),0)</f>
        <v>Octubre</v>
      </c>
    </row>
    <row r="914" spans="1:28" x14ac:dyDescent="0.3">
      <c r="A914" s="2">
        <f>IF(Caja_Finanzas[[#This Row],[tipo_r]]="R",COUNTIFS($C$1:$C913,"R")+1,A913)</f>
        <v>818</v>
      </c>
      <c r="B914" s="19" t="str">
        <f t="shared" si="206"/>
        <v>C-Finanzas</v>
      </c>
      <c r="C914" s="3" t="s">
        <v>1330</v>
      </c>
      <c r="D914" s="14">
        <v>45954</v>
      </c>
      <c r="E914" s="5" t="s">
        <v>7449</v>
      </c>
      <c r="F914" s="5" t="s">
        <v>1303</v>
      </c>
      <c r="G914" s="5"/>
      <c r="H914" s="104"/>
      <c r="I914" s="6" t="s">
        <v>119</v>
      </c>
      <c r="J914" s="6">
        <v>1</v>
      </c>
      <c r="K914" s="6">
        <v>4850</v>
      </c>
      <c r="L914" s="7" t="s">
        <v>7455</v>
      </c>
      <c r="M914" s="8" t="str">
        <f>"CFI"&amp;".D"&amp;TEXT(Caja_Finanzas[[#This Row],[fecha]],"DD-MM")&amp;"-"&amp;TEXT(Caja_Finanzas[[#This Row],[item]],"0000")</f>
        <v>CFI.D24-10-0818</v>
      </c>
      <c r="N914" s="8" t="str">
        <f t="shared" si="207"/>
        <v>PEN</v>
      </c>
      <c r="O914" s="13"/>
      <c r="P914" s="13">
        <v>600</v>
      </c>
      <c r="Q914" s="3">
        <f t="shared" si="208"/>
        <v>600</v>
      </c>
      <c r="R914" s="3">
        <f t="shared" si="209"/>
        <v>0</v>
      </c>
      <c r="S914" s="3">
        <f t="shared" si="210"/>
        <v>1661.7999999999911</v>
      </c>
      <c r="T914" s="24"/>
      <c r="U914" s="24"/>
      <c r="V914" s="3"/>
      <c r="W914" s="25"/>
      <c r="X914" s="25"/>
      <c r="Y914" s="25"/>
      <c r="Z914" s="25"/>
      <c r="AA914" s="25"/>
      <c r="AB914" s="3" t="str">
        <f>IF(Caja_Finanzas[[#This Row],[fecha]]&gt;0,TEXT(Caja_Finanzas[[#This Row],[fecha]],"mmmm"),0)</f>
        <v>Octubre</v>
      </c>
    </row>
    <row r="915" spans="1:28" x14ac:dyDescent="0.3">
      <c r="A915" s="2">
        <f>IF(Caja_Finanzas[[#This Row],[tipo_r]]="R",COUNTIFS($C$1:$C914,"R")+1,A914)</f>
        <v>819</v>
      </c>
      <c r="B915" s="19" t="str">
        <f t="shared" si="206"/>
        <v>C-Finanzas</v>
      </c>
      <c r="C915" s="3" t="s">
        <v>1330</v>
      </c>
      <c r="D915" s="14">
        <v>45954</v>
      </c>
      <c r="E915" s="5" t="s">
        <v>7449</v>
      </c>
      <c r="F915" s="5" t="s">
        <v>1303</v>
      </c>
      <c r="G915" s="5"/>
      <c r="H915" s="104"/>
      <c r="I915" s="6" t="s">
        <v>119</v>
      </c>
      <c r="J915" s="6">
        <v>1</v>
      </c>
      <c r="K915" s="6">
        <v>4856</v>
      </c>
      <c r="L915" s="7" t="s">
        <v>7455</v>
      </c>
      <c r="M915" s="8" t="str">
        <f>"CFI"&amp;".D"&amp;TEXT(Caja_Finanzas[[#This Row],[fecha]],"DD-MM")&amp;"-"&amp;TEXT(Caja_Finanzas[[#This Row],[item]],"0000")</f>
        <v>CFI.D24-10-0819</v>
      </c>
      <c r="N915" s="8" t="str">
        <f t="shared" si="207"/>
        <v>PEN</v>
      </c>
      <c r="O915" s="13"/>
      <c r="P915" s="13">
        <v>900</v>
      </c>
      <c r="Q915" s="3">
        <f t="shared" si="208"/>
        <v>900</v>
      </c>
      <c r="R915" s="3">
        <f t="shared" si="209"/>
        <v>0</v>
      </c>
      <c r="S915" s="3">
        <f t="shared" si="210"/>
        <v>2561.7999999999911</v>
      </c>
      <c r="T915" s="24"/>
      <c r="U915" s="24"/>
      <c r="V915" s="3"/>
      <c r="W915" s="25"/>
      <c r="X915" s="25"/>
      <c r="Y915" s="25"/>
      <c r="Z915" s="25"/>
      <c r="AA915" s="25"/>
      <c r="AB915" s="3" t="str">
        <f>IF(Caja_Finanzas[[#This Row],[fecha]]&gt;0,TEXT(Caja_Finanzas[[#This Row],[fecha]],"mmmm"),0)</f>
        <v>Octubre</v>
      </c>
    </row>
    <row r="916" spans="1:28" ht="24" x14ac:dyDescent="0.3">
      <c r="A916" s="2">
        <f>IF(Caja_Finanzas[[#This Row],[tipo_r]]="R",COUNTIFS($C$1:$C915,"R")+1,A915)</f>
        <v>820</v>
      </c>
      <c r="B916" s="19" t="str">
        <f t="shared" si="206"/>
        <v>C-Finanzas</v>
      </c>
      <c r="C916" s="3" t="s">
        <v>1330</v>
      </c>
      <c r="D916" s="14">
        <v>45954</v>
      </c>
      <c r="E916" s="5" t="s">
        <v>1875</v>
      </c>
      <c r="F916" s="5" t="s">
        <v>1303</v>
      </c>
      <c r="G916" s="5"/>
      <c r="H916" s="104"/>
      <c r="I916" s="6" t="s">
        <v>119</v>
      </c>
      <c r="J916" s="6">
        <v>1</v>
      </c>
      <c r="K916" s="6">
        <v>4860</v>
      </c>
      <c r="L916" s="7" t="s">
        <v>7455</v>
      </c>
      <c r="M916" s="8" t="str">
        <f>"CFI"&amp;".D"&amp;TEXT(Caja_Finanzas[[#This Row],[fecha]],"DD-MM")&amp;"-"&amp;TEXT(Caja_Finanzas[[#This Row],[item]],"0000")</f>
        <v>CFI.D24-10-0820</v>
      </c>
      <c r="N916" s="8" t="str">
        <f t="shared" si="207"/>
        <v>PEN</v>
      </c>
      <c r="O916" s="13"/>
      <c r="P916" s="13">
        <v>315</v>
      </c>
      <c r="Q916" s="3">
        <f t="shared" si="208"/>
        <v>315</v>
      </c>
      <c r="R916" s="3">
        <f t="shared" si="209"/>
        <v>0</v>
      </c>
      <c r="S916" s="3">
        <f>IFERROR(IF(F916="SALDO",Q916,S915+Q916-R916),0)</f>
        <v>2876.7999999999911</v>
      </c>
      <c r="T916" s="24"/>
      <c r="U916" s="24"/>
      <c r="V916" s="3"/>
      <c r="W916" s="25"/>
      <c r="X916" s="25"/>
      <c r="Y916" s="25"/>
      <c r="Z916" s="25"/>
      <c r="AA916" s="25"/>
      <c r="AB916" s="3" t="str">
        <f>IF(Caja_Finanzas[[#This Row],[fecha]]&gt;0,TEXT(Caja_Finanzas[[#This Row],[fecha]],"mmmm"),0)</f>
        <v>Octubre</v>
      </c>
    </row>
    <row r="917" spans="1:28" ht="36" x14ac:dyDescent="0.3">
      <c r="A917" s="2">
        <f>IF(Caja_Finanzas[[#This Row],[tipo_r]]="R",COUNTIFS($C$1:$C916,"R")+1,A916)</f>
        <v>821</v>
      </c>
      <c r="B917" s="19" t="str">
        <f t="shared" si="206"/>
        <v>C-Finanzas</v>
      </c>
      <c r="C917" s="3" t="s">
        <v>1330</v>
      </c>
      <c r="D917" s="14">
        <v>45954</v>
      </c>
      <c r="E917" s="5" t="s">
        <v>6940</v>
      </c>
      <c r="F917" s="5" t="s">
        <v>1336</v>
      </c>
      <c r="G917" s="5"/>
      <c r="H917" s="104" t="s">
        <v>569</v>
      </c>
      <c r="I917" s="6" t="s">
        <v>115</v>
      </c>
      <c r="J917" s="6" t="s">
        <v>7299</v>
      </c>
      <c r="K917" s="6">
        <v>149</v>
      </c>
      <c r="L917" s="7" t="s">
        <v>7477</v>
      </c>
      <c r="M917" s="220" t="str">
        <f>"CFI"&amp;".D"&amp;TEXT(Caja_Finanzas[[#This Row],[fecha]],"DD-MM")&amp;"-"&amp;TEXT(Caja_Finanzas[[#This Row],[item]],"0000")</f>
        <v>CFI.D24-10-0821</v>
      </c>
      <c r="N917" s="8" t="str">
        <f t="shared" si="207"/>
        <v>PEN</v>
      </c>
      <c r="O917" s="13"/>
      <c r="P917" s="13">
        <v>300</v>
      </c>
      <c r="Q917" s="3">
        <f t="shared" si="208"/>
        <v>0</v>
      </c>
      <c r="R917" s="3">
        <f t="shared" si="209"/>
        <v>300</v>
      </c>
      <c r="S917" s="3">
        <f t="shared" si="210"/>
        <v>2576.7999999999911</v>
      </c>
      <c r="T917" s="24"/>
      <c r="U917" s="24"/>
      <c r="V917" s="3"/>
      <c r="W917" s="25"/>
      <c r="X917" s="25"/>
      <c r="Y917" s="25"/>
      <c r="Z917" s="25"/>
      <c r="AA917" s="25"/>
      <c r="AB917" s="3" t="str">
        <f>IF(Caja_Finanzas[[#This Row],[fecha]]&gt;0,TEXT(Caja_Finanzas[[#This Row],[fecha]],"mmmm"),0)</f>
        <v>Octubre</v>
      </c>
    </row>
    <row r="918" spans="1:28" ht="24" x14ac:dyDescent="0.3">
      <c r="A918" s="2">
        <f>IF(Caja_Finanzas[[#This Row],[tipo_r]]="R",COUNTIFS($C$1:$C917,"R")+1,A917)</f>
        <v>822</v>
      </c>
      <c r="B918" s="19" t="str">
        <f t="shared" si="206"/>
        <v>C-Finanzas</v>
      </c>
      <c r="C918" s="3" t="s">
        <v>1330</v>
      </c>
      <c r="D918" s="14">
        <v>45954</v>
      </c>
      <c r="E918" s="5" t="s">
        <v>2502</v>
      </c>
      <c r="F918" s="5" t="s">
        <v>1303</v>
      </c>
      <c r="G918" s="5"/>
      <c r="H918" s="104"/>
      <c r="I918" s="6" t="s">
        <v>119</v>
      </c>
      <c r="J918" s="6">
        <v>1</v>
      </c>
      <c r="K918" s="6">
        <v>4862</v>
      </c>
      <c r="L918" s="7" t="s">
        <v>7455</v>
      </c>
      <c r="M918" s="8" t="str">
        <f>"CFI"&amp;".D"&amp;TEXT(Caja_Finanzas[[#This Row],[fecha]],"DD-MM")&amp;"-"&amp;TEXT(Caja_Finanzas[[#This Row],[item]],"0000")</f>
        <v>CFI.D24-10-0822</v>
      </c>
      <c r="N918" s="8" t="str">
        <f t="shared" si="207"/>
        <v>PEN</v>
      </c>
      <c r="O918" s="13"/>
      <c r="P918" s="13">
        <v>2250</v>
      </c>
      <c r="Q918" s="3">
        <f t="shared" si="208"/>
        <v>2250</v>
      </c>
      <c r="R918" s="3">
        <f t="shared" si="209"/>
        <v>0</v>
      </c>
      <c r="S918" s="3">
        <f t="shared" si="210"/>
        <v>4826.7999999999911</v>
      </c>
      <c r="T918" s="24"/>
      <c r="U918" s="24"/>
      <c r="V918" s="3"/>
      <c r="W918" s="25"/>
      <c r="X918" s="25"/>
      <c r="Y918" s="25"/>
      <c r="Z918" s="25"/>
      <c r="AA918" s="25"/>
      <c r="AB918" s="3" t="str">
        <f>IF(Caja_Finanzas[[#This Row],[fecha]]&gt;0,TEXT(Caja_Finanzas[[#This Row],[fecha]],"mmmm"),0)</f>
        <v>Octubre</v>
      </c>
    </row>
    <row r="919" spans="1:28" ht="24" x14ac:dyDescent="0.3">
      <c r="A919" s="2">
        <f>IF(Caja_Finanzas[[#This Row],[tipo_r]]="R",COUNTIFS($C$1:$C918,"R")+1,A918)</f>
        <v>823</v>
      </c>
      <c r="B919" s="19" t="str">
        <f t="shared" si="206"/>
        <v>C-Finanzas</v>
      </c>
      <c r="C919" s="3" t="s">
        <v>1330</v>
      </c>
      <c r="D919" s="14">
        <v>45954</v>
      </c>
      <c r="E919" s="5" t="s">
        <v>6418</v>
      </c>
      <c r="F919" s="5" t="s">
        <v>1336</v>
      </c>
      <c r="G919" s="5"/>
      <c r="H919" s="6" t="s">
        <v>809</v>
      </c>
      <c r="I919" s="6"/>
      <c r="J919" s="6"/>
      <c r="K919" s="6"/>
      <c r="L919" s="7" t="s">
        <v>7478</v>
      </c>
      <c r="M919" s="8" t="str">
        <f>"CFI"&amp;".D"&amp;TEXT(Caja_Finanzas[[#This Row],[fecha]],"DD-MM")&amp;"-"&amp;TEXT(Caja_Finanzas[[#This Row],[item]],"0000")</f>
        <v>CFI.D24-10-0823</v>
      </c>
      <c r="N919" s="8" t="str">
        <f t="shared" si="207"/>
        <v>PEN</v>
      </c>
      <c r="O919" s="13"/>
      <c r="P919" s="13">
        <v>400</v>
      </c>
      <c r="Q919" s="3">
        <f t="shared" si="208"/>
        <v>0</v>
      </c>
      <c r="R919" s="3">
        <f t="shared" si="209"/>
        <v>400</v>
      </c>
      <c r="S919" s="3">
        <f t="shared" si="210"/>
        <v>4426.7999999999911</v>
      </c>
      <c r="T919" s="24"/>
      <c r="U919" s="24"/>
      <c r="V919" s="3"/>
      <c r="W919" s="25"/>
      <c r="X919" s="25"/>
      <c r="Y919" s="25"/>
      <c r="Z919" s="25"/>
      <c r="AA919" s="25"/>
      <c r="AB919" s="3" t="str">
        <f>IF(Caja_Finanzas[[#This Row],[fecha]]&gt;0,TEXT(Caja_Finanzas[[#This Row],[fecha]],"mmmm"),0)</f>
        <v>Octubre</v>
      </c>
    </row>
    <row r="920" spans="1:28" ht="24" x14ac:dyDescent="0.3">
      <c r="A920" s="2">
        <f>IF(Caja_Finanzas[[#This Row],[tipo_r]]="R",COUNTIFS($C$1:$C919,"R")+1,A919)</f>
        <v>824</v>
      </c>
      <c r="B920" s="19" t="str">
        <f t="shared" ref="B920:B930" si="211">"C-Finanzas"</f>
        <v>C-Finanzas</v>
      </c>
      <c r="C920" s="3" t="s">
        <v>1330</v>
      </c>
      <c r="D920" s="14">
        <v>45957</v>
      </c>
      <c r="E920" s="5" t="s">
        <v>6731</v>
      </c>
      <c r="F920" s="5" t="s">
        <v>1336</v>
      </c>
      <c r="G920" s="5"/>
      <c r="H920" s="104" t="s">
        <v>1009</v>
      </c>
      <c r="I920" s="6" t="s">
        <v>115</v>
      </c>
      <c r="J920" s="6" t="s">
        <v>7187</v>
      </c>
      <c r="K920" s="6">
        <v>160</v>
      </c>
      <c r="L920" s="7" t="s">
        <v>7479</v>
      </c>
      <c r="M920" s="220" t="str">
        <f>"CFI"&amp;".D"&amp;TEXT(Caja_Finanzas[[#This Row],[fecha]],"DD-MM")&amp;"-"&amp;TEXT(Caja_Finanzas[[#This Row],[item]],"0000")</f>
        <v>CFI.D27-10-0824</v>
      </c>
      <c r="N920" s="8" t="str">
        <f t="shared" ref="N920:N930" si="212">"PEN"</f>
        <v>PEN</v>
      </c>
      <c r="O920" s="13"/>
      <c r="P920" s="13">
        <v>80</v>
      </c>
      <c r="Q920" s="3">
        <f t="shared" ref="Q920:Q930" si="213">+IF(OR($F920="SALDO",$F920="INGRESO"),$P920,0)</f>
        <v>0</v>
      </c>
      <c r="R920" s="3">
        <f t="shared" ref="R920:R930" si="214">+IF($F920="EGRESO",$P920,0)</f>
        <v>80</v>
      </c>
      <c r="S920" s="3">
        <f t="shared" ref="S920:S930" si="215">IFERROR(IF(F920="SALDO",Q920,S919+Q920-R920),0)</f>
        <v>4346.7999999999911</v>
      </c>
      <c r="T920" s="24"/>
      <c r="U920" s="24"/>
      <c r="V920" s="3"/>
      <c r="W920" s="25"/>
      <c r="X920" s="25"/>
      <c r="Y920" s="25"/>
      <c r="Z920" s="25"/>
      <c r="AA920" s="25"/>
      <c r="AB920" s="3" t="str">
        <f>IF(Caja_Finanzas[[#This Row],[fecha]]&gt;0,TEXT(Caja_Finanzas[[#This Row],[fecha]],"mmmm"),0)</f>
        <v>Octubre</v>
      </c>
    </row>
    <row r="921" spans="1:28" ht="24" x14ac:dyDescent="0.3">
      <c r="A921" s="2">
        <f>IF(Caja_Finanzas[[#This Row],[tipo_r]]="R",COUNTIFS($C$1:$C920,"R")+1,A920)</f>
        <v>825</v>
      </c>
      <c r="B921" s="19" t="str">
        <f t="shared" si="211"/>
        <v>C-Finanzas</v>
      </c>
      <c r="C921" s="3" t="s">
        <v>1330</v>
      </c>
      <c r="D921" s="14">
        <v>45957</v>
      </c>
      <c r="E921" s="5" t="s">
        <v>6283</v>
      </c>
      <c r="F921" s="5" t="s">
        <v>1336</v>
      </c>
      <c r="G921" s="5"/>
      <c r="H921" s="104" t="s">
        <v>1009</v>
      </c>
      <c r="I921" s="6" t="s">
        <v>115</v>
      </c>
      <c r="J921" s="6" t="s">
        <v>7299</v>
      </c>
      <c r="K921" s="6">
        <v>148</v>
      </c>
      <c r="L921" s="7" t="s">
        <v>7480</v>
      </c>
      <c r="M921" s="220" t="str">
        <f>"CFI"&amp;".D"&amp;TEXT(Caja_Finanzas[[#This Row],[fecha]],"DD-MM")&amp;"-"&amp;TEXT(Caja_Finanzas[[#This Row],[item]],"0000")</f>
        <v>CFI.D27-10-0825</v>
      </c>
      <c r="N921" s="8" t="str">
        <f t="shared" si="212"/>
        <v>PEN</v>
      </c>
      <c r="O921" s="13"/>
      <c r="P921" s="13">
        <v>5</v>
      </c>
      <c r="Q921" s="3">
        <f t="shared" si="213"/>
        <v>0</v>
      </c>
      <c r="R921" s="3">
        <f t="shared" si="214"/>
        <v>5</v>
      </c>
      <c r="S921" s="3">
        <f>IFERROR(IF(F921="SALDO",Q921,S920+Q921-R921),0)</f>
        <v>4341.7999999999911</v>
      </c>
      <c r="T921" s="24"/>
      <c r="U921" s="24"/>
      <c r="V921" s="3"/>
      <c r="W921" s="25"/>
      <c r="X921" s="25"/>
      <c r="Y921" s="25"/>
      <c r="Z921" s="25"/>
      <c r="AA921" s="25"/>
      <c r="AB921" s="3" t="str">
        <f>IF(Caja_Finanzas[[#This Row],[fecha]]&gt;0,TEXT(Caja_Finanzas[[#This Row],[fecha]],"mmmm"),0)</f>
        <v>Octubre</v>
      </c>
    </row>
    <row r="922" spans="1:28" ht="24" x14ac:dyDescent="0.3">
      <c r="A922" s="2">
        <f>IF(Caja_Finanzas[[#This Row],[tipo_r]]="R",COUNTIFS($C$1:$C921,"R")+1,A921)</f>
        <v>826</v>
      </c>
      <c r="B922" s="19" t="str">
        <f t="shared" si="211"/>
        <v>C-Finanzas</v>
      </c>
      <c r="C922" s="3" t="s">
        <v>1330</v>
      </c>
      <c r="D922" s="14">
        <v>45957</v>
      </c>
      <c r="E922" s="5" t="s">
        <v>6451</v>
      </c>
      <c r="F922" s="5" t="s">
        <v>1336</v>
      </c>
      <c r="G922" s="5"/>
      <c r="H922" s="6" t="s">
        <v>225</v>
      </c>
      <c r="I922" s="6" t="s">
        <v>134</v>
      </c>
      <c r="J922" s="6">
        <v>1</v>
      </c>
      <c r="K922" s="6">
        <v>447</v>
      </c>
      <c r="L922" s="7" t="s">
        <v>7481</v>
      </c>
      <c r="M922" s="220" t="str">
        <f>"CFI"&amp;".D"&amp;TEXT(Caja_Finanzas[[#This Row],[fecha]],"DD-MM")&amp;"-"&amp;TEXT(Caja_Finanzas[[#This Row],[item]],"0000")</f>
        <v>CFI.D27-10-0826</v>
      </c>
      <c r="N922" s="8" t="str">
        <f t="shared" si="212"/>
        <v>PEN</v>
      </c>
      <c r="O922" s="13"/>
      <c r="P922" s="13">
        <v>206.2</v>
      </c>
      <c r="Q922" s="3">
        <f t="shared" si="213"/>
        <v>0</v>
      </c>
      <c r="R922" s="3">
        <f t="shared" si="214"/>
        <v>206.2</v>
      </c>
      <c r="S922" s="3">
        <f t="shared" si="215"/>
        <v>4135.5999999999913</v>
      </c>
      <c r="T922" s="24"/>
      <c r="U922" s="24"/>
      <c r="V922" s="3"/>
      <c r="W922" s="25"/>
      <c r="X922" s="25"/>
      <c r="Y922" s="25"/>
      <c r="Z922" s="25"/>
      <c r="AA922" s="25"/>
      <c r="AB922" s="3" t="str">
        <f>IF(Caja_Finanzas[[#This Row],[fecha]]&gt;0,TEXT(Caja_Finanzas[[#This Row],[fecha]],"mmmm"),0)</f>
        <v>Octubre</v>
      </c>
    </row>
    <row r="923" spans="1:28" ht="24" x14ac:dyDescent="0.3">
      <c r="A923" s="2">
        <f>IF(Caja_Finanzas[[#This Row],[tipo_r]]="R",COUNTIFS($C$1:$C922,"R")+1,A922)</f>
        <v>827</v>
      </c>
      <c r="B923" s="19" t="str">
        <f t="shared" si="211"/>
        <v>C-Finanzas</v>
      </c>
      <c r="C923" s="3" t="s">
        <v>1330</v>
      </c>
      <c r="D923" s="14">
        <v>45957</v>
      </c>
      <c r="E923" s="5" t="s">
        <v>6451</v>
      </c>
      <c r="F923" s="5" t="s">
        <v>1336</v>
      </c>
      <c r="G923" s="5"/>
      <c r="H923" s="6" t="s">
        <v>225</v>
      </c>
      <c r="I923" s="6" t="s">
        <v>134</v>
      </c>
      <c r="J923" s="6">
        <v>1</v>
      </c>
      <c r="K923" s="6">
        <v>397</v>
      </c>
      <c r="L923" s="7" t="s">
        <v>7482</v>
      </c>
      <c r="M923" s="220" t="str">
        <f>"CFI"&amp;".D"&amp;TEXT(Caja_Finanzas[[#This Row],[fecha]],"DD-MM")&amp;"-"&amp;TEXT(Caja_Finanzas[[#This Row],[item]],"0000")</f>
        <v>CFI.D27-10-0827</v>
      </c>
      <c r="N923" s="8" t="str">
        <f t="shared" si="212"/>
        <v>PEN</v>
      </c>
      <c r="O923" s="13"/>
      <c r="P923" s="13">
        <v>226</v>
      </c>
      <c r="Q923" s="3">
        <f t="shared" si="213"/>
        <v>0</v>
      </c>
      <c r="R923" s="3">
        <f t="shared" si="214"/>
        <v>226</v>
      </c>
      <c r="S923" s="3">
        <f t="shared" si="215"/>
        <v>3909.5999999999913</v>
      </c>
      <c r="T923" s="24"/>
      <c r="U923" s="24"/>
      <c r="V923" s="3"/>
      <c r="W923" s="25"/>
      <c r="X923" s="25"/>
      <c r="Y923" s="25"/>
      <c r="Z923" s="25"/>
      <c r="AA923" s="25"/>
      <c r="AB923" s="3" t="str">
        <f>IF(Caja_Finanzas[[#This Row],[fecha]]&gt;0,TEXT(Caja_Finanzas[[#This Row],[fecha]],"mmmm"),0)</f>
        <v>Octubre</v>
      </c>
    </row>
    <row r="924" spans="1:28" ht="24" x14ac:dyDescent="0.3">
      <c r="A924" s="2">
        <f>IF(Caja_Finanzas[[#This Row],[tipo_r]]="R",COUNTIFS($C$1:$C923,"R")+1,A923)</f>
        <v>828</v>
      </c>
      <c r="B924" s="19" t="str">
        <f t="shared" si="211"/>
        <v>C-Finanzas</v>
      </c>
      <c r="C924" s="3" t="s">
        <v>1330</v>
      </c>
      <c r="D924" s="14">
        <v>45957</v>
      </c>
      <c r="E924" s="5" t="s">
        <v>2938</v>
      </c>
      <c r="F924" s="5" t="s">
        <v>1303</v>
      </c>
      <c r="G924" s="5"/>
      <c r="H924" s="104"/>
      <c r="I924" s="6" t="s">
        <v>119</v>
      </c>
      <c r="J924" s="6">
        <v>1</v>
      </c>
      <c r="K924" s="6">
        <v>4863</v>
      </c>
      <c r="L924" s="7" t="s">
        <v>6118</v>
      </c>
      <c r="M924" s="8" t="str">
        <f>"CFI"&amp;".D"&amp;TEXT(Caja_Finanzas[[#This Row],[fecha]],"DD-MM")&amp;"-"&amp;TEXT(Caja_Finanzas[[#This Row],[item]],"0000")</f>
        <v>CFI.D27-10-0828</v>
      </c>
      <c r="N924" s="8" t="str">
        <f t="shared" si="212"/>
        <v>PEN</v>
      </c>
      <c r="O924" s="13"/>
      <c r="P924" s="13">
        <v>1412</v>
      </c>
      <c r="Q924" s="3">
        <f t="shared" si="213"/>
        <v>1412</v>
      </c>
      <c r="R924" s="3">
        <f t="shared" si="214"/>
        <v>0</v>
      </c>
      <c r="S924" s="3">
        <f>IFERROR(IF(F924="SALDO",Q924,S923+Q924-R924),0)</f>
        <v>5321.5999999999913</v>
      </c>
      <c r="T924" s="24"/>
      <c r="U924" s="24"/>
      <c r="V924" s="3"/>
      <c r="W924" s="25"/>
      <c r="X924" s="25"/>
      <c r="Y924" s="25"/>
      <c r="Z924" s="25"/>
      <c r="AA924" s="25"/>
      <c r="AB924" s="3" t="str">
        <f>IF(Caja_Finanzas[[#This Row],[fecha]]&gt;0,TEXT(Caja_Finanzas[[#This Row],[fecha]],"mmmm"),0)</f>
        <v>Octubre</v>
      </c>
    </row>
    <row r="925" spans="1:28" ht="36" x14ac:dyDescent="0.3">
      <c r="A925" s="2">
        <f>IF(Caja_Finanzas[[#This Row],[tipo_r]]="R",COUNTIFS($C$1:$C924,"R")+1,A924)</f>
        <v>829</v>
      </c>
      <c r="B925" s="19" t="str">
        <f t="shared" si="211"/>
        <v>C-Finanzas</v>
      </c>
      <c r="C925" s="3" t="s">
        <v>1330</v>
      </c>
      <c r="D925" s="14">
        <v>45958</v>
      </c>
      <c r="E925" s="5" t="s">
        <v>6940</v>
      </c>
      <c r="F925" s="5" t="s">
        <v>1336</v>
      </c>
      <c r="G925" s="5"/>
      <c r="H925" s="104" t="s">
        <v>553</v>
      </c>
      <c r="I925" s="6" t="s">
        <v>115</v>
      </c>
      <c r="J925" s="6" t="s">
        <v>7187</v>
      </c>
      <c r="K925" s="6">
        <v>157</v>
      </c>
      <c r="L925" s="7" t="s">
        <v>7483</v>
      </c>
      <c r="M925" s="220" t="str">
        <f>"CFI"&amp;".D"&amp;TEXT(Caja_Finanzas[[#This Row],[fecha]],"DD-MM")&amp;"-"&amp;TEXT(Caja_Finanzas[[#This Row],[item]],"0000")</f>
        <v>CFI.D28-10-0829</v>
      </c>
      <c r="N925" s="8" t="str">
        <f t="shared" si="212"/>
        <v>PEN</v>
      </c>
      <c r="O925" s="13"/>
      <c r="P925" s="13">
        <v>500</v>
      </c>
      <c r="Q925" s="3">
        <f t="shared" si="213"/>
        <v>0</v>
      </c>
      <c r="R925" s="3">
        <f t="shared" si="214"/>
        <v>500</v>
      </c>
      <c r="S925" s="3">
        <f t="shared" si="215"/>
        <v>4821.5999999999913</v>
      </c>
      <c r="T925" s="24"/>
      <c r="U925" s="24"/>
      <c r="V925" s="3"/>
      <c r="W925" s="25"/>
      <c r="X925" s="25"/>
      <c r="Y925" s="25"/>
      <c r="Z925" s="25"/>
      <c r="AA925" s="25"/>
      <c r="AB925" s="3" t="str">
        <f>IF(Caja_Finanzas[[#This Row],[fecha]]&gt;0,TEXT(Caja_Finanzas[[#This Row],[fecha]],"mmmm"),0)</f>
        <v>Octubre</v>
      </c>
    </row>
    <row r="926" spans="1:28" ht="36" x14ac:dyDescent="0.3">
      <c r="A926" s="2">
        <f>IF(Caja_Finanzas[[#This Row],[tipo_r]]="R",COUNTIFS($C$1:$C925,"R")+1,A925)</f>
        <v>830</v>
      </c>
      <c r="B926" s="19" t="str">
        <f t="shared" si="211"/>
        <v>C-Finanzas</v>
      </c>
      <c r="C926" s="3" t="s">
        <v>1330</v>
      </c>
      <c r="D926" s="14">
        <v>45958</v>
      </c>
      <c r="E926" s="5" t="s">
        <v>6940</v>
      </c>
      <c r="F926" s="5" t="s">
        <v>1336</v>
      </c>
      <c r="G926" s="5"/>
      <c r="H926" s="104" t="s">
        <v>1009</v>
      </c>
      <c r="I926" s="6" t="s">
        <v>115</v>
      </c>
      <c r="J926" s="6" t="s">
        <v>7282</v>
      </c>
      <c r="K926" s="6">
        <v>68</v>
      </c>
      <c r="L926" s="7" t="s">
        <v>7484</v>
      </c>
      <c r="M926" s="220" t="str">
        <f>"CFI"&amp;".D"&amp;TEXT(Caja_Finanzas[[#This Row],[fecha]],"DD-MM")&amp;"-"&amp;TEXT(Caja_Finanzas[[#This Row],[item]],"0000")</f>
        <v>CFI.D28-10-0830</v>
      </c>
      <c r="N926" s="8" t="str">
        <f t="shared" si="212"/>
        <v>PEN</v>
      </c>
      <c r="O926" s="13"/>
      <c r="P926" s="13">
        <v>218</v>
      </c>
      <c r="Q926" s="3">
        <f t="shared" si="213"/>
        <v>0</v>
      </c>
      <c r="R926" s="3">
        <f t="shared" si="214"/>
        <v>218</v>
      </c>
      <c r="S926" s="3">
        <f t="shared" si="215"/>
        <v>4603.5999999999913</v>
      </c>
      <c r="T926" s="24"/>
      <c r="U926" s="24"/>
      <c r="V926" s="3"/>
      <c r="W926" s="25"/>
      <c r="X926" s="25"/>
      <c r="Y926" s="25"/>
      <c r="Z926" s="25"/>
      <c r="AA926" s="25"/>
      <c r="AB926" s="3" t="str">
        <f>IF(Caja_Finanzas[[#This Row],[fecha]]&gt;0,TEXT(Caja_Finanzas[[#This Row],[fecha]],"mmmm"),0)</f>
        <v>Octubre</v>
      </c>
    </row>
    <row r="927" spans="1:28" ht="24" x14ac:dyDescent="0.3">
      <c r="A927" s="2">
        <f>IF(Caja_Finanzas[[#This Row],[tipo_r]]="R",COUNTIFS($C$1:$C926,"R")+1,A926)</f>
        <v>831</v>
      </c>
      <c r="B927" s="19" t="str">
        <f t="shared" si="211"/>
        <v>C-Finanzas</v>
      </c>
      <c r="C927" s="3" t="s">
        <v>1330</v>
      </c>
      <c r="D927" s="14">
        <v>45958</v>
      </c>
      <c r="E927" s="5" t="s">
        <v>6940</v>
      </c>
      <c r="F927" s="5" t="s">
        <v>1336</v>
      </c>
      <c r="G927" s="5"/>
      <c r="H927" s="104" t="s">
        <v>1009</v>
      </c>
      <c r="I927" s="6" t="s">
        <v>115</v>
      </c>
      <c r="J927" s="6" t="s">
        <v>7299</v>
      </c>
      <c r="K927" s="6">
        <v>145</v>
      </c>
      <c r="L927" s="7" t="s">
        <v>7485</v>
      </c>
      <c r="M927" s="220" t="str">
        <f>"CFI"&amp;".D"&amp;TEXT(Caja_Finanzas[[#This Row],[fecha]],"DD-MM")&amp;"-"&amp;TEXT(Caja_Finanzas[[#This Row],[item]],"0000")</f>
        <v>CFI.D28-10-0831</v>
      </c>
      <c r="N927" s="8" t="str">
        <f t="shared" si="212"/>
        <v>PEN</v>
      </c>
      <c r="O927" s="13"/>
      <c r="P927" s="13">
        <v>300</v>
      </c>
      <c r="Q927" s="3">
        <f t="shared" si="213"/>
        <v>0</v>
      </c>
      <c r="R927" s="3">
        <f t="shared" si="214"/>
        <v>300</v>
      </c>
      <c r="S927" s="3">
        <f t="shared" si="215"/>
        <v>4303.5999999999913</v>
      </c>
      <c r="T927" s="24"/>
      <c r="U927" s="24"/>
      <c r="V927" s="3"/>
      <c r="W927" s="25"/>
      <c r="X927" s="25"/>
      <c r="Y927" s="25"/>
      <c r="Z927" s="25"/>
      <c r="AA927" s="25"/>
      <c r="AB927" s="3" t="str">
        <f>IF(Caja_Finanzas[[#This Row],[fecha]]&gt;0,TEXT(Caja_Finanzas[[#This Row],[fecha]],"mmmm"),0)</f>
        <v>Octubre</v>
      </c>
    </row>
    <row r="928" spans="1:28" ht="24" x14ac:dyDescent="0.3">
      <c r="A928" s="2">
        <f>IF(Caja_Finanzas[[#This Row],[tipo_r]]="R",COUNTIFS($C$1:$C927,"R")+1,A927)</f>
        <v>832</v>
      </c>
      <c r="B928" s="19" t="str">
        <f t="shared" si="211"/>
        <v>C-Finanzas</v>
      </c>
      <c r="C928" s="3" t="s">
        <v>1330</v>
      </c>
      <c r="D928" s="14">
        <v>45958</v>
      </c>
      <c r="E928" s="5" t="s">
        <v>6940</v>
      </c>
      <c r="F928" s="5" t="s">
        <v>1336</v>
      </c>
      <c r="G928" s="5"/>
      <c r="H928" s="104" t="s">
        <v>1009</v>
      </c>
      <c r="I928" s="6" t="s">
        <v>115</v>
      </c>
      <c r="J928" s="6" t="s">
        <v>7282</v>
      </c>
      <c r="K928" s="6">
        <v>69</v>
      </c>
      <c r="L928" s="7" t="s">
        <v>7486</v>
      </c>
      <c r="M928" s="220" t="str">
        <f>"CFI"&amp;".D"&amp;TEXT(Caja_Finanzas[[#This Row],[fecha]],"DD-MM")&amp;"-"&amp;TEXT(Caja_Finanzas[[#This Row],[item]],"0000")</f>
        <v>CFI.D28-10-0832</v>
      </c>
      <c r="N928" s="8" t="str">
        <f t="shared" si="212"/>
        <v>PEN</v>
      </c>
      <c r="O928" s="13"/>
      <c r="P928" s="13">
        <v>250</v>
      </c>
      <c r="Q928" s="3">
        <f t="shared" si="213"/>
        <v>0</v>
      </c>
      <c r="R928" s="3">
        <f t="shared" si="214"/>
        <v>250</v>
      </c>
      <c r="S928" s="3">
        <f t="shared" si="215"/>
        <v>4053.5999999999913</v>
      </c>
      <c r="T928" s="24"/>
      <c r="U928" s="24"/>
      <c r="V928" s="3"/>
      <c r="W928" s="25"/>
      <c r="X928" s="25"/>
      <c r="Y928" s="25"/>
      <c r="Z928" s="25"/>
      <c r="AA928" s="25"/>
      <c r="AB928" s="3" t="str">
        <f>IF(Caja_Finanzas[[#This Row],[fecha]]&gt;0,TEXT(Caja_Finanzas[[#This Row],[fecha]],"mmmm"),0)</f>
        <v>Octubre</v>
      </c>
    </row>
    <row r="929" spans="1:28" ht="24" x14ac:dyDescent="0.3">
      <c r="A929" s="2">
        <f>IF(Caja_Finanzas[[#This Row],[tipo_r]]="R",COUNTIFS($C$1:$C928,"R")+1,A928)</f>
        <v>833</v>
      </c>
      <c r="B929" s="19" t="str">
        <f t="shared" si="211"/>
        <v>C-Finanzas</v>
      </c>
      <c r="C929" s="13" t="s">
        <v>1330</v>
      </c>
      <c r="D929" s="14">
        <v>45958</v>
      </c>
      <c r="E929" s="5" t="s">
        <v>2502</v>
      </c>
      <c r="F929" s="5" t="s">
        <v>1303</v>
      </c>
      <c r="G929" s="5"/>
      <c r="H929" s="104"/>
      <c r="I929" s="6" t="s">
        <v>119</v>
      </c>
      <c r="J929" s="6">
        <v>1</v>
      </c>
      <c r="K929" s="6">
        <v>4870</v>
      </c>
      <c r="L929" s="7" t="s">
        <v>6118</v>
      </c>
      <c r="M929" s="8" t="str">
        <f>"CFI"&amp;".D"&amp;TEXT(Caja_Finanzas[[#This Row],[fecha]],"DD-MM")&amp;"-"&amp;TEXT(Caja_Finanzas[[#This Row],[item]],"0000")</f>
        <v>CFI.D28-10-0833</v>
      </c>
      <c r="N929" s="8" t="str">
        <f t="shared" si="212"/>
        <v>PEN</v>
      </c>
      <c r="O929" s="13"/>
      <c r="P929" s="13">
        <v>250</v>
      </c>
      <c r="Q929" s="3">
        <f t="shared" si="213"/>
        <v>250</v>
      </c>
      <c r="R929" s="3">
        <f t="shared" si="214"/>
        <v>0</v>
      </c>
      <c r="S929" s="3">
        <f t="shared" si="215"/>
        <v>4303.5999999999913</v>
      </c>
      <c r="T929" s="24"/>
      <c r="U929" s="24"/>
      <c r="V929" s="3"/>
      <c r="W929" s="25"/>
      <c r="X929" s="25"/>
      <c r="Y929" s="25"/>
      <c r="Z929" s="25"/>
      <c r="AA929" s="25"/>
      <c r="AB929" s="3" t="str">
        <f>IF(Caja_Finanzas[[#This Row],[fecha]]&gt;0,TEXT(Caja_Finanzas[[#This Row],[fecha]],"mmmm"),0)</f>
        <v>Octubre</v>
      </c>
    </row>
    <row r="930" spans="1:28" x14ac:dyDescent="0.3">
      <c r="A930" s="2">
        <f>IF(Caja_Finanzas[[#This Row],[tipo_r]]="R",COUNTIFS($C$1:$C929,"R")+1,A929)</f>
        <v>834</v>
      </c>
      <c r="B930" s="19" t="str">
        <f t="shared" si="211"/>
        <v>C-Finanzas</v>
      </c>
      <c r="C930" s="13" t="s">
        <v>1330</v>
      </c>
      <c r="D930" s="14">
        <v>45958</v>
      </c>
      <c r="E930" s="5" t="s">
        <v>1498</v>
      </c>
      <c r="F930" s="5" t="s">
        <v>1303</v>
      </c>
      <c r="G930" s="5"/>
      <c r="H930" s="104"/>
      <c r="I930" s="6" t="s">
        <v>119</v>
      </c>
      <c r="J930" s="6">
        <v>1</v>
      </c>
      <c r="K930" s="6">
        <v>4871</v>
      </c>
      <c r="L930" s="7" t="s">
        <v>6118</v>
      </c>
      <c r="M930" s="8" t="str">
        <f>"CFI"&amp;".D"&amp;TEXT(Caja_Finanzas[[#This Row],[fecha]],"DD-MM")&amp;"-"&amp;TEXT(Caja_Finanzas[[#This Row],[item]],"0000")</f>
        <v>CFI.D28-10-0834</v>
      </c>
      <c r="N930" s="8" t="str">
        <f t="shared" si="212"/>
        <v>PEN</v>
      </c>
      <c r="O930" s="13"/>
      <c r="P930" s="13">
        <v>69.599999999999994</v>
      </c>
      <c r="Q930" s="3">
        <f t="shared" si="213"/>
        <v>69.599999999999994</v>
      </c>
      <c r="R930" s="3">
        <f t="shared" si="214"/>
        <v>0</v>
      </c>
      <c r="S930" s="3">
        <f t="shared" si="215"/>
        <v>4373.1999999999916</v>
      </c>
      <c r="T930" s="24"/>
      <c r="U930" s="24"/>
      <c r="V930" s="3"/>
      <c r="W930" s="25"/>
      <c r="X930" s="25"/>
      <c r="Y930" s="25"/>
      <c r="Z930" s="25"/>
      <c r="AA930" s="25"/>
      <c r="AB930" s="3" t="str">
        <f>IF(Caja_Finanzas[[#This Row],[fecha]]&gt;0,TEXT(Caja_Finanzas[[#This Row],[fecha]],"mmmm"),0)</f>
        <v>Octubre</v>
      </c>
    </row>
    <row r="931" spans="1:28" ht="24" x14ac:dyDescent="0.3">
      <c r="A931" s="2">
        <f>IF(Caja_Finanzas[[#This Row],[tipo_r]]="R",COUNTIFS($C$1:$C930,"R")+1,A930)</f>
        <v>835</v>
      </c>
      <c r="B931" s="19" t="str">
        <f t="shared" ref="B931:B936" si="216">"C-Finanzas"</f>
        <v>C-Finanzas</v>
      </c>
      <c r="C931" s="3" t="s">
        <v>1330</v>
      </c>
      <c r="D931" s="14">
        <v>45959</v>
      </c>
      <c r="E931" s="5" t="s">
        <v>1446</v>
      </c>
      <c r="F931" s="5" t="s">
        <v>1303</v>
      </c>
      <c r="G931" s="5"/>
      <c r="H931" s="104"/>
      <c r="I931" s="6" t="s">
        <v>119</v>
      </c>
      <c r="J931" s="6">
        <v>1</v>
      </c>
      <c r="K931" s="6">
        <v>4828</v>
      </c>
      <c r="L931" s="7" t="s">
        <v>7455</v>
      </c>
      <c r="M931" s="8" t="str">
        <f>"CFI"&amp;".D"&amp;TEXT(Caja_Finanzas[[#This Row],[fecha]],"DD-MM")&amp;"-"&amp;TEXT(Caja_Finanzas[[#This Row],[item]],"0000")</f>
        <v>CFI.D29-10-0835</v>
      </c>
      <c r="N931" s="8" t="str">
        <f t="shared" ref="N931:N936" si="217">"PEN"</f>
        <v>PEN</v>
      </c>
      <c r="O931" s="13"/>
      <c r="P931" s="13">
        <v>324</v>
      </c>
      <c r="Q931" s="3">
        <f t="shared" ref="Q931:Q936" si="218">+IF(OR($F931="SALDO",$F931="INGRESO"),$P931,0)</f>
        <v>324</v>
      </c>
      <c r="R931" s="3">
        <f t="shared" ref="R931:R936" si="219">+IF($F931="EGRESO",$P931,0)</f>
        <v>0</v>
      </c>
      <c r="S931" s="3">
        <f t="shared" ref="S931:S936" si="220">IFERROR(IF(F931="SALDO",Q931,S930+Q931-R931),0)</f>
        <v>4697.1999999999916</v>
      </c>
      <c r="T931" s="24"/>
      <c r="U931" s="24"/>
      <c r="V931" s="3"/>
      <c r="W931" s="25"/>
      <c r="X931" s="25"/>
      <c r="Y931" s="25"/>
      <c r="Z931" s="25"/>
      <c r="AA931" s="25"/>
      <c r="AB931" s="3" t="str">
        <f>IF(Caja_Finanzas[[#This Row],[fecha]]&gt;0,TEXT(Caja_Finanzas[[#This Row],[fecha]],"mmmm"),0)</f>
        <v>Octubre</v>
      </c>
    </row>
    <row r="932" spans="1:28" ht="24" x14ac:dyDescent="0.3">
      <c r="A932" s="2">
        <f>IF(Caja_Finanzas[[#This Row],[tipo_r]]="R",COUNTIFS($C$1:$C931,"R")+1,A931)</f>
        <v>836</v>
      </c>
      <c r="B932" s="19" t="str">
        <f t="shared" si="216"/>
        <v>C-Finanzas</v>
      </c>
      <c r="C932" s="3" t="s">
        <v>1330</v>
      </c>
      <c r="D932" s="14">
        <v>45959</v>
      </c>
      <c r="E932" s="5" t="s">
        <v>6216</v>
      </c>
      <c r="F932" s="5" t="s">
        <v>1336</v>
      </c>
      <c r="G932" s="5"/>
      <c r="H932" s="104" t="s">
        <v>1009</v>
      </c>
      <c r="I932" s="6" t="s">
        <v>115</v>
      </c>
      <c r="J932" s="6" t="s">
        <v>7187</v>
      </c>
      <c r="K932" s="6">
        <v>163</v>
      </c>
      <c r="L932" s="7" t="s">
        <v>7487</v>
      </c>
      <c r="M932" s="220" t="str">
        <f>"CFI"&amp;".D"&amp;TEXT(Caja_Finanzas[[#This Row],[fecha]],"DD-MM")&amp;"-"&amp;TEXT(Caja_Finanzas[[#This Row],[item]],"0000")</f>
        <v>CFI.D29-10-0836</v>
      </c>
      <c r="N932" s="8" t="str">
        <f t="shared" si="217"/>
        <v>PEN</v>
      </c>
      <c r="O932" s="13"/>
      <c r="P932" s="13">
        <v>20</v>
      </c>
      <c r="Q932" s="3">
        <f t="shared" si="218"/>
        <v>0</v>
      </c>
      <c r="R932" s="3">
        <f t="shared" si="219"/>
        <v>20</v>
      </c>
      <c r="S932" s="3">
        <f t="shared" si="220"/>
        <v>4677.1999999999916</v>
      </c>
      <c r="T932" s="24"/>
      <c r="U932" s="24"/>
      <c r="V932" s="3"/>
      <c r="W932" s="25"/>
      <c r="X932" s="25"/>
      <c r="Y932" s="25"/>
      <c r="Z932" s="25"/>
      <c r="AA932" s="25"/>
      <c r="AB932" s="3" t="str">
        <f>IF(Caja_Finanzas[[#This Row],[fecha]]&gt;0,TEXT(Caja_Finanzas[[#This Row],[fecha]],"mmmm"),0)</f>
        <v>Octubre</v>
      </c>
    </row>
    <row r="933" spans="1:28" ht="24" x14ac:dyDescent="0.3">
      <c r="A933" s="2">
        <f>IF(Caja_Finanzas[[#This Row],[tipo_r]]="R",COUNTIFS($C$1:$C932,"R")+1,A932)</f>
        <v>837</v>
      </c>
      <c r="B933" s="19" t="str">
        <f t="shared" si="216"/>
        <v>C-Finanzas</v>
      </c>
      <c r="C933" s="3" t="s">
        <v>1330</v>
      </c>
      <c r="D933" s="14">
        <v>45959</v>
      </c>
      <c r="E933" s="5" t="s">
        <v>6216</v>
      </c>
      <c r="F933" s="5" t="s">
        <v>1336</v>
      </c>
      <c r="G933" s="5"/>
      <c r="H933" s="104" t="s">
        <v>1009</v>
      </c>
      <c r="I933" s="6" t="s">
        <v>115</v>
      </c>
      <c r="J933" s="6" t="s">
        <v>7187</v>
      </c>
      <c r="K933" s="6">
        <v>164</v>
      </c>
      <c r="L933" s="7" t="s">
        <v>7488</v>
      </c>
      <c r="M933" s="220" t="str">
        <f>"CFI"&amp;".D"&amp;TEXT(Caja_Finanzas[[#This Row],[fecha]],"DD-MM")&amp;"-"&amp;TEXT(Caja_Finanzas[[#This Row],[item]],"0000")</f>
        <v>CFI.D29-10-0837</v>
      </c>
      <c r="N933" s="8" t="str">
        <f t="shared" si="217"/>
        <v>PEN</v>
      </c>
      <c r="O933" s="13"/>
      <c r="P933" s="13">
        <v>20</v>
      </c>
      <c r="Q933" s="3">
        <f t="shared" si="218"/>
        <v>0</v>
      </c>
      <c r="R933" s="3">
        <f t="shared" si="219"/>
        <v>20</v>
      </c>
      <c r="S933" s="3">
        <f t="shared" si="220"/>
        <v>4657.1999999999916</v>
      </c>
      <c r="T933" s="24"/>
      <c r="U933" s="24"/>
      <c r="V933" s="3"/>
      <c r="W933" s="25"/>
      <c r="X933" s="25"/>
      <c r="Y933" s="25"/>
      <c r="Z933" s="25"/>
      <c r="AA933" s="25"/>
      <c r="AB933" s="3" t="str">
        <f>IF(Caja_Finanzas[[#This Row],[fecha]]&gt;0,TEXT(Caja_Finanzas[[#This Row],[fecha]],"mmmm"),0)</f>
        <v>Octubre</v>
      </c>
    </row>
    <row r="934" spans="1:28" ht="24" x14ac:dyDescent="0.3">
      <c r="A934" s="2">
        <f>IF(Caja_Finanzas[[#This Row],[tipo_r]]="R",COUNTIFS($C$1:$C933,"R")+1,A933)</f>
        <v>838</v>
      </c>
      <c r="B934" s="19" t="str">
        <f t="shared" si="216"/>
        <v>C-Finanzas</v>
      </c>
      <c r="C934" s="3" t="s">
        <v>1330</v>
      </c>
      <c r="D934" s="14">
        <v>45959</v>
      </c>
      <c r="E934" s="5" t="s">
        <v>6216</v>
      </c>
      <c r="F934" s="5" t="s">
        <v>1336</v>
      </c>
      <c r="G934" s="5"/>
      <c r="H934" s="104" t="s">
        <v>1009</v>
      </c>
      <c r="I934" s="6" t="s">
        <v>115</v>
      </c>
      <c r="J934" s="6" t="s">
        <v>7187</v>
      </c>
      <c r="K934" s="6">
        <v>165</v>
      </c>
      <c r="L934" s="7" t="s">
        <v>7489</v>
      </c>
      <c r="M934" s="220" t="str">
        <f>"CFI"&amp;".D"&amp;TEXT(Caja_Finanzas[[#This Row],[fecha]],"DD-MM")&amp;"-"&amp;TEXT(Caja_Finanzas[[#This Row],[item]],"0000")</f>
        <v>CFI.D29-10-0838</v>
      </c>
      <c r="N934" s="8" t="str">
        <f t="shared" si="217"/>
        <v>PEN</v>
      </c>
      <c r="O934" s="13"/>
      <c r="P934" s="13">
        <v>20</v>
      </c>
      <c r="Q934" s="3">
        <f t="shared" si="218"/>
        <v>0</v>
      </c>
      <c r="R934" s="3">
        <f t="shared" si="219"/>
        <v>20</v>
      </c>
      <c r="S934" s="3">
        <f t="shared" si="220"/>
        <v>4637.1999999999916</v>
      </c>
      <c r="T934" s="24"/>
      <c r="U934" s="24"/>
      <c r="V934" s="3"/>
      <c r="W934" s="25"/>
      <c r="X934" s="25"/>
      <c r="Y934" s="25"/>
      <c r="Z934" s="25"/>
      <c r="AA934" s="25"/>
      <c r="AB934" s="3" t="str">
        <f>IF(Caja_Finanzas[[#This Row],[fecha]]&gt;0,TEXT(Caja_Finanzas[[#This Row],[fecha]],"mmmm"),0)</f>
        <v>Octubre</v>
      </c>
    </row>
    <row r="935" spans="1:28" ht="24" x14ac:dyDescent="0.3">
      <c r="A935" s="2">
        <f>IF(Caja_Finanzas[[#This Row],[tipo_r]]="R",COUNTIFS($C$1:$C934,"R")+1,A934)</f>
        <v>839</v>
      </c>
      <c r="B935" s="19" t="str">
        <f t="shared" si="216"/>
        <v>C-Finanzas</v>
      </c>
      <c r="C935" s="3" t="s">
        <v>1330</v>
      </c>
      <c r="D935" s="14">
        <v>45959</v>
      </c>
      <c r="E935" s="5" t="s">
        <v>6731</v>
      </c>
      <c r="F935" s="5" t="s">
        <v>1336</v>
      </c>
      <c r="G935" s="5"/>
      <c r="H935" s="104" t="s">
        <v>1009</v>
      </c>
      <c r="I935" s="6" t="s">
        <v>115</v>
      </c>
      <c r="J935" s="6" t="s">
        <v>7187</v>
      </c>
      <c r="K935" s="6">
        <v>162</v>
      </c>
      <c r="L935" s="7" t="s">
        <v>7490</v>
      </c>
      <c r="M935" s="220" t="str">
        <f>"CFI"&amp;".D"&amp;TEXT(Caja_Finanzas[[#This Row],[fecha]],"DD-MM")&amp;"-"&amp;TEXT(Caja_Finanzas[[#This Row],[item]],"0000")</f>
        <v>CFI.D29-10-0839</v>
      </c>
      <c r="N935" s="8" t="str">
        <f t="shared" si="217"/>
        <v>PEN</v>
      </c>
      <c r="O935" s="13"/>
      <c r="P935" s="13">
        <v>170</v>
      </c>
      <c r="Q935" s="3">
        <f t="shared" si="218"/>
        <v>0</v>
      </c>
      <c r="R935" s="3">
        <f t="shared" si="219"/>
        <v>170</v>
      </c>
      <c r="S935" s="3">
        <f t="shared" si="220"/>
        <v>4467.1999999999916</v>
      </c>
      <c r="T935" s="24"/>
      <c r="U935" s="24"/>
      <c r="V935" s="3"/>
      <c r="W935" s="25"/>
      <c r="X935" s="25"/>
      <c r="Y935" s="25"/>
      <c r="Z935" s="25"/>
      <c r="AA935" s="25"/>
      <c r="AB935" s="3" t="str">
        <f>IF(Caja_Finanzas[[#This Row],[fecha]]&gt;0,TEXT(Caja_Finanzas[[#This Row],[fecha]],"mmmm"),0)</f>
        <v>Octubre</v>
      </c>
    </row>
    <row r="936" spans="1:28" ht="24" x14ac:dyDescent="0.3">
      <c r="A936" s="2">
        <f>IF(Caja_Finanzas[[#This Row],[tipo_r]]="R",COUNTIFS($C$1:$C935,"R")+1,A935)</f>
        <v>840</v>
      </c>
      <c r="B936" s="19" t="str">
        <f t="shared" si="216"/>
        <v>C-Finanzas</v>
      </c>
      <c r="C936" s="3" t="s">
        <v>1330</v>
      </c>
      <c r="D936" s="14">
        <v>45959</v>
      </c>
      <c r="E936" s="5" t="s">
        <v>6731</v>
      </c>
      <c r="F936" s="5" t="s">
        <v>1336</v>
      </c>
      <c r="G936" s="5"/>
      <c r="H936" s="104" t="s">
        <v>1009</v>
      </c>
      <c r="I936" s="6" t="s">
        <v>115</v>
      </c>
      <c r="J936" s="6" t="s">
        <v>7187</v>
      </c>
      <c r="K936" s="6">
        <v>161</v>
      </c>
      <c r="L936" s="7" t="s">
        <v>7491</v>
      </c>
      <c r="M936" s="220" t="str">
        <f>"CFI"&amp;".D"&amp;TEXT(Caja_Finanzas[[#This Row],[fecha]],"DD-MM")&amp;"-"&amp;TEXT(Caja_Finanzas[[#This Row],[item]],"0000")</f>
        <v>CFI.D29-10-0840</v>
      </c>
      <c r="N936" s="8" t="str">
        <f t="shared" si="217"/>
        <v>PEN</v>
      </c>
      <c r="O936" s="13"/>
      <c r="P936" s="13">
        <v>63</v>
      </c>
      <c r="Q936" s="3">
        <f t="shared" si="218"/>
        <v>0</v>
      </c>
      <c r="R936" s="3">
        <f t="shared" si="219"/>
        <v>63</v>
      </c>
      <c r="S936" s="3">
        <f t="shared" si="220"/>
        <v>4404.1999999999916</v>
      </c>
      <c r="T936" s="24"/>
      <c r="U936" s="24"/>
      <c r="V936" s="3"/>
      <c r="W936" s="25"/>
      <c r="X936" s="25"/>
      <c r="Y936" s="25"/>
      <c r="Z936" s="25"/>
      <c r="AA936" s="25"/>
      <c r="AB936" s="3" t="str">
        <f>IF(Caja_Finanzas[[#This Row],[fecha]]&gt;0,TEXT(Caja_Finanzas[[#This Row],[fecha]],"mmmm"),0)</f>
        <v>Octubre</v>
      </c>
    </row>
    <row r="937" spans="1:28" ht="24" x14ac:dyDescent="0.3">
      <c r="A937" s="2">
        <f>IF(Caja_Finanzas[[#This Row],[tipo_r]]="R",COUNTIFS($C$1:$C936,"R")+1,A936)</f>
        <v>841</v>
      </c>
      <c r="B937" s="19" t="str">
        <f t="shared" ref="B937:B944" si="221">"C-Finanzas"</f>
        <v>C-Finanzas</v>
      </c>
      <c r="C937" s="3" t="s">
        <v>1330</v>
      </c>
      <c r="D937" s="14">
        <v>45961</v>
      </c>
      <c r="E937" s="5" t="s">
        <v>6460</v>
      </c>
      <c r="F937" s="5" t="s">
        <v>1336</v>
      </c>
      <c r="G937" s="5"/>
      <c r="H937" s="104" t="s">
        <v>1009</v>
      </c>
      <c r="I937" s="6" t="s">
        <v>115</v>
      </c>
      <c r="J937" s="6" t="s">
        <v>7299</v>
      </c>
      <c r="K937" s="6">
        <v>136</v>
      </c>
      <c r="L937" s="7" t="s">
        <v>7492</v>
      </c>
      <c r="M937" s="221" t="str">
        <f>"CFI"&amp;".D"&amp;TEXT(Caja_Finanzas[[#This Row],[fecha]],"DD-MM")&amp;"-"&amp;TEXT(Caja_Finanzas[[#This Row],[item]],"0000")</f>
        <v>CFI.D31-10-0841</v>
      </c>
      <c r="N937" s="8" t="str">
        <f t="shared" ref="N937:N944" si="222">"PEN"</f>
        <v>PEN</v>
      </c>
      <c r="O937" s="13"/>
      <c r="P937" s="13">
        <v>5</v>
      </c>
      <c r="Q937" s="3">
        <f t="shared" ref="Q937:Q944" si="223">+IF(OR($F937="SALDO",$F937="INGRESO"),$P937,0)</f>
        <v>0</v>
      </c>
      <c r="R937" s="3">
        <f t="shared" ref="R937:R944" si="224">+IF($F937="EGRESO",$P937,0)</f>
        <v>5</v>
      </c>
      <c r="S937" s="3">
        <f t="shared" ref="S937:S940" si="225">IFERROR(IF(F937="SALDO",Q937,S936+Q937-R937),0)</f>
        <v>4399.1999999999916</v>
      </c>
      <c r="T937" s="24"/>
      <c r="U937" s="24"/>
      <c r="V937" s="3"/>
      <c r="W937" s="25"/>
      <c r="X937" s="25"/>
      <c r="Y937" s="25"/>
      <c r="Z937" s="25"/>
      <c r="AA937" s="25"/>
      <c r="AB937" s="3" t="str">
        <f>IF(Caja_Finanzas[[#This Row],[fecha]]&gt;0,TEXT(Caja_Finanzas[[#This Row],[fecha]],"mmmm"),0)</f>
        <v>Octubre</v>
      </c>
    </row>
    <row r="938" spans="1:28" ht="24" x14ac:dyDescent="0.3">
      <c r="A938" s="2">
        <f>IF(Caja_Finanzas[[#This Row],[tipo_r]]="R",COUNTIFS($C$1:$C937,"R")+1,A937)</f>
        <v>842</v>
      </c>
      <c r="B938" s="19" t="str">
        <f t="shared" si="221"/>
        <v>C-Finanzas</v>
      </c>
      <c r="C938" s="3" t="s">
        <v>1330</v>
      </c>
      <c r="D938" s="14">
        <v>45961</v>
      </c>
      <c r="E938" s="5" t="s">
        <v>6460</v>
      </c>
      <c r="F938" s="5" t="s">
        <v>1336</v>
      </c>
      <c r="G938" s="5"/>
      <c r="H938" s="104" t="s">
        <v>1009</v>
      </c>
      <c r="I938" s="6" t="s">
        <v>115</v>
      </c>
      <c r="J938" s="6" t="s">
        <v>7299</v>
      </c>
      <c r="K938" s="6">
        <v>139</v>
      </c>
      <c r="L938" s="7" t="s">
        <v>7493</v>
      </c>
      <c r="M938" s="221" t="str">
        <f>"CFI"&amp;".D"&amp;TEXT(Caja_Finanzas[[#This Row],[fecha]],"DD-MM")&amp;"-"&amp;TEXT(Caja_Finanzas[[#This Row],[item]],"0000")</f>
        <v>CFI.D31-10-0842</v>
      </c>
      <c r="N938" s="8" t="str">
        <f t="shared" si="222"/>
        <v>PEN</v>
      </c>
      <c r="O938" s="13"/>
      <c r="P938" s="13">
        <v>5</v>
      </c>
      <c r="Q938" s="3">
        <f t="shared" si="223"/>
        <v>0</v>
      </c>
      <c r="R938" s="3">
        <f t="shared" si="224"/>
        <v>5</v>
      </c>
      <c r="S938" s="3">
        <f t="shared" si="225"/>
        <v>4394.1999999999916</v>
      </c>
      <c r="T938" s="24"/>
      <c r="U938" s="24"/>
      <c r="V938" s="3"/>
      <c r="W938" s="25"/>
      <c r="X938" s="25"/>
      <c r="Y938" s="25"/>
      <c r="Z938" s="25"/>
      <c r="AA938" s="25"/>
      <c r="AB938" s="3" t="str">
        <f>IF(Caja_Finanzas[[#This Row],[fecha]]&gt;0,TEXT(Caja_Finanzas[[#This Row],[fecha]],"mmmm"),0)</f>
        <v>Octubre</v>
      </c>
    </row>
    <row r="939" spans="1:28" ht="24" x14ac:dyDescent="0.3">
      <c r="A939" s="2">
        <f>IF(Caja_Finanzas[[#This Row],[tipo_r]]="R",COUNTIFS($C$1:$C938,"R")+1,A938)</f>
        <v>843</v>
      </c>
      <c r="B939" s="19" t="str">
        <f t="shared" si="221"/>
        <v>C-Finanzas</v>
      </c>
      <c r="C939" s="3" t="s">
        <v>1330</v>
      </c>
      <c r="D939" s="14">
        <v>45961</v>
      </c>
      <c r="E939" s="5" t="s">
        <v>6460</v>
      </c>
      <c r="F939" s="5" t="s">
        <v>1336</v>
      </c>
      <c r="G939" s="5"/>
      <c r="H939" s="104" t="s">
        <v>1009</v>
      </c>
      <c r="I939" s="6" t="s">
        <v>115</v>
      </c>
      <c r="J939" s="6" t="s">
        <v>7299</v>
      </c>
      <c r="K939" s="6">
        <v>138</v>
      </c>
      <c r="L939" s="7" t="s">
        <v>7494</v>
      </c>
      <c r="M939" s="220" t="str">
        <f>"CFI"&amp;".D"&amp;TEXT(Caja_Finanzas[[#This Row],[fecha]],"DD-MM")&amp;"-"&amp;TEXT(Caja_Finanzas[[#This Row],[item]],"0000")</f>
        <v>CFI.D31-10-0843</v>
      </c>
      <c r="N939" s="8" t="str">
        <f t="shared" si="222"/>
        <v>PEN</v>
      </c>
      <c r="O939" s="13"/>
      <c r="P939" s="13">
        <v>10</v>
      </c>
      <c r="Q939" s="3">
        <f t="shared" si="223"/>
        <v>0</v>
      </c>
      <c r="R939" s="3">
        <f t="shared" si="224"/>
        <v>10</v>
      </c>
      <c r="S939" s="3">
        <f t="shared" si="225"/>
        <v>4384.1999999999916</v>
      </c>
      <c r="T939" s="24"/>
      <c r="U939" s="24"/>
      <c r="V939" s="3"/>
      <c r="W939" s="25"/>
      <c r="X939" s="25"/>
      <c r="Y939" s="25"/>
      <c r="Z939" s="25"/>
      <c r="AA939" s="25"/>
      <c r="AB939" s="3" t="str">
        <f>IF(Caja_Finanzas[[#This Row],[fecha]]&gt;0,TEXT(Caja_Finanzas[[#This Row],[fecha]],"mmmm"),0)</f>
        <v>Octubre</v>
      </c>
    </row>
    <row r="940" spans="1:28" ht="24" x14ac:dyDescent="0.3">
      <c r="A940" s="2">
        <f>IF(Caja_Finanzas[[#This Row],[tipo_r]]="R",COUNTIFS($C$1:$C939,"R")+1,A939)</f>
        <v>844</v>
      </c>
      <c r="B940" s="19" t="str">
        <f t="shared" si="221"/>
        <v>C-Finanzas</v>
      </c>
      <c r="C940" s="3" t="s">
        <v>1330</v>
      </c>
      <c r="D940" s="14">
        <v>45961</v>
      </c>
      <c r="E940" s="5" t="s">
        <v>6637</v>
      </c>
      <c r="F940" s="5" t="s">
        <v>1303</v>
      </c>
      <c r="G940" s="5"/>
      <c r="H940" s="104"/>
      <c r="I940" s="6" t="s">
        <v>119</v>
      </c>
      <c r="J940" s="6">
        <v>1</v>
      </c>
      <c r="K940" s="6">
        <v>4883</v>
      </c>
      <c r="L940" s="7" t="s">
        <v>7455</v>
      </c>
      <c r="M940" s="8" t="str">
        <f>"CFI"&amp;".D"&amp;TEXT(Caja_Finanzas[[#This Row],[fecha]],"DD-MM")&amp;"-"&amp;TEXT(Caja_Finanzas[[#This Row],[item]],"0000")</f>
        <v>CFI.D31-10-0844</v>
      </c>
      <c r="N940" s="8" t="str">
        <f t="shared" si="222"/>
        <v>PEN</v>
      </c>
      <c r="O940" s="13"/>
      <c r="P940" s="13">
        <v>290</v>
      </c>
      <c r="Q940" s="3">
        <f t="shared" si="223"/>
        <v>290</v>
      </c>
      <c r="R940" s="3">
        <f t="shared" si="224"/>
        <v>0</v>
      </c>
      <c r="S940" s="3">
        <f t="shared" si="225"/>
        <v>4674.1999999999916</v>
      </c>
      <c r="T940" s="24"/>
      <c r="U940" s="24"/>
      <c r="V940" s="3"/>
      <c r="W940" s="25"/>
      <c r="X940" s="25"/>
      <c r="Y940" s="25"/>
      <c r="Z940" s="25"/>
      <c r="AA940" s="25"/>
      <c r="AB940" s="3" t="str">
        <f>IF(Caja_Finanzas[[#This Row],[fecha]]&gt;0,TEXT(Caja_Finanzas[[#This Row],[fecha]],"mmmm"),0)</f>
        <v>Octubre</v>
      </c>
    </row>
    <row r="941" spans="1:28" x14ac:dyDescent="0.3">
      <c r="A941" s="2">
        <f>IF(Caja_Finanzas[[#This Row],[tipo_r]]="R",COUNTIFS($C$1:$C940,"R")+1,A940)</f>
        <v>845</v>
      </c>
      <c r="B941" s="19" t="str">
        <f t="shared" si="221"/>
        <v>C-Finanzas</v>
      </c>
      <c r="C941" s="3" t="s">
        <v>1330</v>
      </c>
      <c r="D941" s="14">
        <v>45961</v>
      </c>
      <c r="E941" s="5" t="s">
        <v>1498</v>
      </c>
      <c r="F941" s="5" t="s">
        <v>1303</v>
      </c>
      <c r="G941" s="5"/>
      <c r="H941" s="104"/>
      <c r="I941" s="6" t="s">
        <v>119</v>
      </c>
      <c r="J941" s="6">
        <v>1</v>
      </c>
      <c r="K941" s="6">
        <v>4882</v>
      </c>
      <c r="L941" s="7" t="s">
        <v>7455</v>
      </c>
      <c r="M941" s="8" t="str">
        <f>"CFI"&amp;".D"&amp;TEXT(Caja_Finanzas[[#This Row],[fecha]],"DD-MM")&amp;"-"&amp;TEXT(Caja_Finanzas[[#This Row],[item]],"0000")</f>
        <v>CFI.D31-10-0845</v>
      </c>
      <c r="N941" s="8" t="str">
        <f t="shared" si="222"/>
        <v>PEN</v>
      </c>
      <c r="O941" s="13"/>
      <c r="P941" s="13">
        <v>0.2</v>
      </c>
      <c r="Q941" s="3">
        <f t="shared" si="223"/>
        <v>0.2</v>
      </c>
      <c r="R941" s="3">
        <f t="shared" si="224"/>
        <v>0</v>
      </c>
      <c r="S941" s="3">
        <f t="shared" ref="S941:S964" si="226">IFERROR(IF(F941="SALDO",Q941,S940+Q941-R941),0)</f>
        <v>4674.3999999999915</v>
      </c>
      <c r="T941" s="24"/>
      <c r="U941" s="24"/>
      <c r="V941" s="3"/>
      <c r="W941" s="25"/>
      <c r="X941" s="25"/>
      <c r="Y941" s="25"/>
      <c r="Z941" s="25"/>
      <c r="AA941" s="25"/>
      <c r="AB941" s="3" t="str">
        <f>IF(Caja_Finanzas[[#This Row],[fecha]]&gt;0,TEXT(Caja_Finanzas[[#This Row],[fecha]],"mmmm"),0)</f>
        <v>Octubre</v>
      </c>
    </row>
    <row r="942" spans="1:28" ht="24" x14ac:dyDescent="0.3">
      <c r="A942" s="2">
        <f>IF(Caja_Finanzas[[#This Row],[tipo_r]]="R",COUNTIFS($C$1:$C941,"R")+1,A941)</f>
        <v>846</v>
      </c>
      <c r="B942" s="19" t="str">
        <f t="shared" si="221"/>
        <v>C-Finanzas</v>
      </c>
      <c r="C942" s="3" t="s">
        <v>1330</v>
      </c>
      <c r="D942" s="14">
        <v>45961</v>
      </c>
      <c r="E942" s="5" t="s">
        <v>6460</v>
      </c>
      <c r="F942" s="5" t="s">
        <v>1336</v>
      </c>
      <c r="G942" s="5"/>
      <c r="H942" s="104" t="s">
        <v>1009</v>
      </c>
      <c r="I942" s="6" t="s">
        <v>115</v>
      </c>
      <c r="J942" s="6" t="s">
        <v>7299</v>
      </c>
      <c r="K942" s="6">
        <v>152</v>
      </c>
      <c r="L942" s="7" t="s">
        <v>7495</v>
      </c>
      <c r="M942" s="221" t="str">
        <f>"CFI"&amp;".D"&amp;TEXT(Caja_Finanzas[[#This Row],[fecha]],"DD-MM")&amp;"-"&amp;TEXT(Caja_Finanzas[[#This Row],[item]],"0000")</f>
        <v>CFI.D31-10-0846</v>
      </c>
      <c r="N942" s="8" t="str">
        <f t="shared" si="222"/>
        <v>PEN</v>
      </c>
      <c r="O942" s="13"/>
      <c r="P942" s="13">
        <v>20</v>
      </c>
      <c r="Q942" s="3">
        <f t="shared" si="223"/>
        <v>0</v>
      </c>
      <c r="R942" s="3">
        <f t="shared" si="224"/>
        <v>20</v>
      </c>
      <c r="S942" s="3">
        <f t="shared" si="226"/>
        <v>4654.3999999999915</v>
      </c>
      <c r="T942" s="24"/>
      <c r="U942" s="24"/>
      <c r="V942" s="3"/>
      <c r="W942" s="25"/>
      <c r="X942" s="25"/>
      <c r="Y942" s="25"/>
      <c r="Z942" s="25"/>
      <c r="AA942" s="25"/>
      <c r="AB942" s="3" t="str">
        <f>IF(Caja_Finanzas[[#This Row],[fecha]]&gt;0,TEXT(Caja_Finanzas[[#This Row],[fecha]],"mmmm"),0)</f>
        <v>Octubre</v>
      </c>
    </row>
    <row r="943" spans="1:28" x14ac:dyDescent="0.3">
      <c r="A943" s="2">
        <f>IF(Caja_Finanzas[[#This Row],[tipo_r]]="R",COUNTIFS($C$1:$C942,"R")+1,A942)</f>
        <v>847</v>
      </c>
      <c r="B943" s="19" t="str">
        <f t="shared" si="221"/>
        <v>C-Finanzas</v>
      </c>
      <c r="C943" s="3" t="s">
        <v>1330</v>
      </c>
      <c r="D943" s="14">
        <v>45961</v>
      </c>
      <c r="E943" s="5" t="s">
        <v>5828</v>
      </c>
      <c r="F943" s="5" t="s">
        <v>1336</v>
      </c>
      <c r="G943" s="5"/>
      <c r="H943" s="104"/>
      <c r="I943" s="6"/>
      <c r="J943" s="6"/>
      <c r="K943" s="6"/>
      <c r="L943" s="7" t="s">
        <v>7496</v>
      </c>
      <c r="M943" s="220" t="str">
        <f>"CFI"&amp;".D"&amp;TEXT(Caja_Finanzas[[#This Row],[fecha]],"DD-MM")&amp;"-"&amp;TEXT(Caja_Finanzas[[#This Row],[item]],"0000")</f>
        <v>CFI.D31-10-0847</v>
      </c>
      <c r="N943" s="8" t="str">
        <f t="shared" si="222"/>
        <v>PEN</v>
      </c>
      <c r="O943" s="13"/>
      <c r="P943" s="13">
        <v>4000</v>
      </c>
      <c r="Q943" s="3">
        <f t="shared" si="223"/>
        <v>0</v>
      </c>
      <c r="R943" s="3">
        <f t="shared" si="224"/>
        <v>4000</v>
      </c>
      <c r="S943" s="3">
        <f t="shared" si="226"/>
        <v>654.39999999999145</v>
      </c>
      <c r="T943" s="24"/>
      <c r="U943" s="24"/>
      <c r="V943" s="3"/>
      <c r="W943" s="25"/>
      <c r="X943" s="25"/>
      <c r="Y943" s="25"/>
      <c r="Z943" s="25"/>
      <c r="AA943" s="25"/>
      <c r="AB943" s="3" t="str">
        <f>IF(Caja_Finanzas[[#This Row],[fecha]]&gt;0,TEXT(Caja_Finanzas[[#This Row],[fecha]],"mmmm"),0)</f>
        <v>Octubre</v>
      </c>
    </row>
    <row r="944" spans="1:28" ht="24" x14ac:dyDescent="0.3">
      <c r="A944" s="2">
        <f>IF(Caja_Finanzas[[#This Row],[tipo_r]]="R",COUNTIFS($C$1:$C943,"R")+1,A943)</f>
        <v>848</v>
      </c>
      <c r="B944" s="19" t="str">
        <f t="shared" si="221"/>
        <v>C-Finanzas</v>
      </c>
      <c r="C944" s="3" t="s">
        <v>1330</v>
      </c>
      <c r="D944" s="14">
        <v>45961</v>
      </c>
      <c r="E944" s="5" t="s">
        <v>2502</v>
      </c>
      <c r="F944" s="5" t="s">
        <v>1303</v>
      </c>
      <c r="G944" s="5"/>
      <c r="H944" s="104"/>
      <c r="I944" s="6" t="s">
        <v>119</v>
      </c>
      <c r="J944" s="6">
        <v>1</v>
      </c>
      <c r="K944" s="6">
        <v>4886</v>
      </c>
      <c r="L944" s="7" t="s">
        <v>7455</v>
      </c>
      <c r="M944" s="8" t="str">
        <f>"CFI"&amp;".D"&amp;TEXT(Caja_Finanzas[[#This Row],[fecha]],"DD-MM")&amp;"-"&amp;TEXT(Caja_Finanzas[[#This Row],[item]],"0000")</f>
        <v>CFI.D31-10-0848</v>
      </c>
      <c r="N944" s="8" t="str">
        <f t="shared" si="222"/>
        <v>PEN</v>
      </c>
      <c r="O944" s="13"/>
      <c r="P944" s="13">
        <v>618</v>
      </c>
      <c r="Q944" s="3">
        <f t="shared" si="223"/>
        <v>618</v>
      </c>
      <c r="R944" s="3">
        <f t="shared" si="224"/>
        <v>0</v>
      </c>
      <c r="S944" s="3">
        <f t="shared" si="226"/>
        <v>1272.3999999999915</v>
      </c>
      <c r="T944" s="24"/>
      <c r="U944" s="24"/>
      <c r="V944" s="3"/>
      <c r="W944" s="25"/>
      <c r="X944" s="25"/>
      <c r="Y944" s="25"/>
      <c r="Z944" s="25"/>
      <c r="AA944" s="25"/>
      <c r="AB944" s="3" t="str">
        <f>IF(Caja_Finanzas[[#This Row],[fecha]]&gt;0,TEXT(Caja_Finanzas[[#This Row],[fecha]],"mmmm"),0)</f>
        <v>Octubre</v>
      </c>
    </row>
    <row r="945" spans="1:28" ht="24" x14ac:dyDescent="0.3">
      <c r="A945" s="2">
        <f>IF(Caja_Finanzas[[#This Row],[tipo_r]]="R",COUNTIFS($C$1:$C944,"R")+1,A944)</f>
        <v>849</v>
      </c>
      <c r="B945" s="19" t="str">
        <f>"C-Finanzas"</f>
        <v>C-Finanzas</v>
      </c>
      <c r="C945" s="3" t="s">
        <v>1330</v>
      </c>
      <c r="D945" s="14">
        <v>45961</v>
      </c>
      <c r="E945" s="5" t="s">
        <v>6246</v>
      </c>
      <c r="F945" s="5" t="s">
        <v>1336</v>
      </c>
      <c r="G945" s="5"/>
      <c r="H945" s="104" t="s">
        <v>1009</v>
      </c>
      <c r="I945" s="6" t="s">
        <v>115</v>
      </c>
      <c r="J945" s="6" t="s">
        <v>7289</v>
      </c>
      <c r="K945" s="6">
        <v>25</v>
      </c>
      <c r="L945" s="7" t="s">
        <v>7497</v>
      </c>
      <c r="M945" s="221" t="str">
        <f>"CFI"&amp;".D"&amp;TEXT(Caja_Finanzas[[#This Row],[fecha]],"DD-MM")&amp;"-"&amp;TEXT(Caja_Finanzas[[#This Row],[item]],"0000")</f>
        <v>CFI.D31-10-0849</v>
      </c>
      <c r="N945" s="8" t="str">
        <f>"PEN"</f>
        <v>PEN</v>
      </c>
      <c r="O945" s="13"/>
      <c r="P945" s="13">
        <v>18</v>
      </c>
      <c r="Q945" s="3">
        <f>+IF(OR($F945="SALDO",$F945="INGRESO"),$P945,0)</f>
        <v>0</v>
      </c>
      <c r="R945" s="3">
        <f>+IF($F945="EGRESO",$P945,0)</f>
        <v>18</v>
      </c>
      <c r="S945" s="3">
        <f t="shared" si="226"/>
        <v>1254.3999999999915</v>
      </c>
      <c r="T945" s="24"/>
      <c r="U945" s="24"/>
      <c r="V945" s="3"/>
      <c r="W945" s="25"/>
      <c r="X945" s="25"/>
      <c r="Y945" s="25"/>
      <c r="Z945" s="25"/>
      <c r="AA945" s="25"/>
      <c r="AB945" s="3" t="str">
        <f>IF(Caja_Finanzas[[#This Row],[fecha]]&gt;0,TEXT(Caja_Finanzas[[#This Row],[fecha]],"mmmm"),0)</f>
        <v>Octubre</v>
      </c>
    </row>
    <row r="946" spans="1:28" ht="24" x14ac:dyDescent="0.3">
      <c r="A946" s="2">
        <f>IF(Caja_Finanzas[[#This Row],[tipo_r]]="R",COUNTIFS($C$1:$C945,"R")+1,A945)</f>
        <v>850</v>
      </c>
      <c r="B946" s="19" t="str">
        <f>"C-Finanzas"</f>
        <v>C-Finanzas</v>
      </c>
      <c r="C946" s="3" t="s">
        <v>1330</v>
      </c>
      <c r="D946" s="14">
        <v>45964</v>
      </c>
      <c r="E946" s="5" t="s">
        <v>7498</v>
      </c>
      <c r="F946" s="5" t="s">
        <v>1303</v>
      </c>
      <c r="G946" s="5"/>
      <c r="H946" s="104"/>
      <c r="I946" s="6" t="s">
        <v>119</v>
      </c>
      <c r="J946" s="6">
        <v>1</v>
      </c>
      <c r="K946" s="6">
        <v>4722</v>
      </c>
      <c r="L946" s="7" t="s">
        <v>7455</v>
      </c>
      <c r="M946" s="8" t="str">
        <f>"CFI"&amp;".D"&amp;TEXT(Caja_Finanzas[[#This Row],[fecha]],"DD-MM")&amp;"-"&amp;TEXT(Caja_Finanzas[[#This Row],[item]],"0000")</f>
        <v>CFI.D03-11-0850</v>
      </c>
      <c r="N946" s="8" t="str">
        <f>"PEN"</f>
        <v>PEN</v>
      </c>
      <c r="O946" s="13"/>
      <c r="P946" s="13">
        <v>40</v>
      </c>
      <c r="Q946" s="3">
        <f>+IF(OR($F946="SALDO",$F946="INGRESO"),$P946,0)</f>
        <v>40</v>
      </c>
      <c r="R946" s="3">
        <f>+IF($F946="EGRESO",$P946,0)</f>
        <v>0</v>
      </c>
      <c r="S946" s="3">
        <f t="shared" si="226"/>
        <v>1294.3999999999915</v>
      </c>
      <c r="T946" s="24"/>
      <c r="U946" s="24"/>
      <c r="V946" s="3"/>
      <c r="W946" s="25"/>
      <c r="X946" s="25"/>
      <c r="Y946" s="25"/>
      <c r="Z946" s="25"/>
      <c r="AA946" s="25"/>
      <c r="AB946" s="3" t="str">
        <f>IF(Caja_Finanzas[[#This Row],[fecha]]&gt;0,TEXT(Caja_Finanzas[[#This Row],[fecha]],"mmmm"),0)</f>
        <v>Noviembre</v>
      </c>
    </row>
    <row r="947" spans="1:28" x14ac:dyDescent="0.3">
      <c r="A947" s="2">
        <f>IF(Caja_Finanzas[[#This Row],[tipo_r]]="R",COUNTIFS($C$1:$C946,"R")+1,A946)</f>
        <v>851</v>
      </c>
      <c r="B947" s="19" t="str">
        <f>"C-Finanzas"</f>
        <v>C-Finanzas</v>
      </c>
      <c r="C947" s="3" t="s">
        <v>1330</v>
      </c>
      <c r="D947" s="14">
        <v>45964</v>
      </c>
      <c r="E947" s="5" t="s">
        <v>7499</v>
      </c>
      <c r="F947" s="5" t="s">
        <v>1303</v>
      </c>
      <c r="G947" s="5"/>
      <c r="H947" s="104"/>
      <c r="I947" s="6" t="s">
        <v>119</v>
      </c>
      <c r="J947" s="6">
        <v>1</v>
      </c>
      <c r="K947" s="6">
        <v>4889</v>
      </c>
      <c r="L947" s="7" t="s">
        <v>7455</v>
      </c>
      <c r="M947" s="8" t="str">
        <f>"CFI"&amp;".D"&amp;TEXT(Caja_Finanzas[[#This Row],[fecha]],"DD-MM")&amp;"-"&amp;TEXT(Caja_Finanzas[[#This Row],[item]],"0000")</f>
        <v>CFI.D03-11-0851</v>
      </c>
      <c r="N947" s="8" t="str">
        <f>"PEN"</f>
        <v>PEN</v>
      </c>
      <c r="O947" s="13"/>
      <c r="P947" s="13">
        <v>48</v>
      </c>
      <c r="Q947" s="3">
        <f>+IF(OR($F947="SALDO",$F947="INGRESO"),$P947,0)</f>
        <v>48</v>
      </c>
      <c r="R947" s="3">
        <f>+IF($F947="EGRESO",$P947,0)</f>
        <v>0</v>
      </c>
      <c r="S947" s="3">
        <f t="shared" si="226"/>
        <v>1342.3999999999915</v>
      </c>
      <c r="T947" s="24"/>
      <c r="U947" s="24"/>
      <c r="V947" s="3"/>
      <c r="W947" s="25"/>
      <c r="X947" s="25"/>
      <c r="Y947" s="25"/>
      <c r="Z947" s="25"/>
      <c r="AA947" s="25"/>
      <c r="AB947" s="3" t="str">
        <f>IF(Caja_Finanzas[[#This Row],[fecha]]&gt;0,TEXT(Caja_Finanzas[[#This Row],[fecha]],"mmmm"),0)</f>
        <v>Noviembre</v>
      </c>
    </row>
    <row r="948" spans="1:28" ht="24" x14ac:dyDescent="0.3">
      <c r="A948" s="2">
        <f>IF(Caja_Finanzas[[#This Row],[tipo_r]]="R",COUNTIFS($C$1:$C947,"R")+1,A947)</f>
        <v>852</v>
      </c>
      <c r="B948" s="19" t="str">
        <f>"C-Finanzas"</f>
        <v>C-Finanzas</v>
      </c>
      <c r="C948" s="3" t="s">
        <v>1330</v>
      </c>
      <c r="D948" s="14">
        <v>45964</v>
      </c>
      <c r="E948" s="5" t="s">
        <v>7437</v>
      </c>
      <c r="F948" s="5" t="s">
        <v>1303</v>
      </c>
      <c r="G948" s="5"/>
      <c r="H948" s="104"/>
      <c r="I948" s="6" t="s">
        <v>119</v>
      </c>
      <c r="J948" s="6">
        <v>1</v>
      </c>
      <c r="K948" s="6">
        <v>4891</v>
      </c>
      <c r="L948" s="7" t="s">
        <v>7455</v>
      </c>
      <c r="M948" s="8" t="str">
        <f>"CFI"&amp;".D"&amp;TEXT(Caja_Finanzas[[#This Row],[fecha]],"DD-MM")&amp;"-"&amp;TEXT(Caja_Finanzas[[#This Row],[item]],"0000")</f>
        <v>CFI.D03-11-0852</v>
      </c>
      <c r="N948" s="8" t="str">
        <f>"PEN"</f>
        <v>PEN</v>
      </c>
      <c r="O948" s="13"/>
      <c r="P948" s="13">
        <v>760</v>
      </c>
      <c r="Q948" s="3">
        <f>+IF(OR($F948="SALDO",$F948="INGRESO"),$P948,0)</f>
        <v>760</v>
      </c>
      <c r="R948" s="3">
        <f>+IF($F948="EGRESO",$P948,0)</f>
        <v>0</v>
      </c>
      <c r="S948" s="3">
        <f t="shared" si="226"/>
        <v>2102.3999999999915</v>
      </c>
      <c r="T948" s="24"/>
      <c r="U948" s="24"/>
      <c r="V948" s="3"/>
      <c r="W948" s="25"/>
      <c r="X948" s="25"/>
      <c r="Y948" s="25"/>
      <c r="Z948" s="25"/>
      <c r="AA948" s="25"/>
      <c r="AB948" s="3" t="str">
        <f>IF(Caja_Finanzas[[#This Row],[fecha]]&gt;0,TEXT(Caja_Finanzas[[#This Row],[fecha]],"mmmm"),0)</f>
        <v>Noviembre</v>
      </c>
    </row>
    <row r="949" spans="1:28" x14ac:dyDescent="0.3">
      <c r="A949" s="2">
        <f>IF(Caja_Finanzas[[#This Row],[tipo_r]]="R",COUNTIFS($C$1:$C948,"R")+1,A948)</f>
        <v>853</v>
      </c>
      <c r="B949" s="19" t="str">
        <f>"C-Finanzas"</f>
        <v>C-Finanzas</v>
      </c>
      <c r="C949" s="3" t="s">
        <v>1330</v>
      </c>
      <c r="D949" s="14">
        <v>45964</v>
      </c>
      <c r="E949" s="5" t="s">
        <v>1498</v>
      </c>
      <c r="F949" s="5" t="s">
        <v>1303</v>
      </c>
      <c r="G949" s="5"/>
      <c r="H949" s="104"/>
      <c r="I949" s="6" t="s">
        <v>119</v>
      </c>
      <c r="J949" s="6">
        <v>1</v>
      </c>
      <c r="K949" s="6">
        <v>4805</v>
      </c>
      <c r="L949" s="7" t="s">
        <v>7455</v>
      </c>
      <c r="M949" s="8" t="str">
        <f>"CFI"&amp;".D"&amp;TEXT(Caja_Finanzas[[#This Row],[fecha]],"DD-MM")&amp;"-"&amp;TEXT(Caja_Finanzas[[#This Row],[item]],"0000")</f>
        <v>CFI.D03-11-0853</v>
      </c>
      <c r="N949" s="8" t="str">
        <f>"PEN"</f>
        <v>PEN</v>
      </c>
      <c r="O949" s="13"/>
      <c r="P949" s="13">
        <v>15.8</v>
      </c>
      <c r="Q949" s="3">
        <f>+IF(OR($F949="SALDO",$F949="INGRESO"),$P949,0)</f>
        <v>15.8</v>
      </c>
      <c r="R949" s="3">
        <f>+IF($F949="EGRESO",$P949,0)</f>
        <v>0</v>
      </c>
      <c r="S949" s="3">
        <f t="shared" si="226"/>
        <v>2118.1999999999916</v>
      </c>
      <c r="T949" s="24"/>
      <c r="U949" s="24"/>
      <c r="V949" s="3"/>
      <c r="W949" s="25"/>
      <c r="X949" s="25"/>
      <c r="Y949" s="25"/>
      <c r="Z949" s="25"/>
      <c r="AA949" s="25"/>
      <c r="AB949" s="3" t="str">
        <f>IF(Caja_Finanzas[[#This Row],[fecha]]&gt;0,TEXT(Caja_Finanzas[[#This Row],[fecha]],"mmmm"),0)</f>
        <v>Noviembre</v>
      </c>
    </row>
    <row r="950" spans="1:28" ht="24" x14ac:dyDescent="0.3">
      <c r="A950" s="2">
        <f>IF(Caja_Finanzas[[#This Row],[tipo_r]]="R",COUNTIFS($C$1:$C949,"R")+1,A949)</f>
        <v>854</v>
      </c>
      <c r="B950" s="19" t="str">
        <f t="shared" ref="B950:B951" si="227">"C-Finanzas"</f>
        <v>C-Finanzas</v>
      </c>
      <c r="C950" s="187" t="s">
        <v>1330</v>
      </c>
      <c r="D950" s="14">
        <v>45964</v>
      </c>
      <c r="E950" s="5" t="s">
        <v>6418</v>
      </c>
      <c r="F950" s="5" t="s">
        <v>1336</v>
      </c>
      <c r="G950" s="5"/>
      <c r="H950" s="104"/>
      <c r="I950" s="6"/>
      <c r="J950" s="6"/>
      <c r="K950" s="6"/>
      <c r="L950" s="7" t="s">
        <v>7500</v>
      </c>
      <c r="M950" s="8" t="str">
        <f>"CFI"&amp;".D"&amp;TEXT(Caja_Finanzas[[#This Row],[fecha]],"DD-MM")&amp;"-"&amp;TEXT(Caja_Finanzas[[#This Row],[item]],"0000")</f>
        <v>CFI.D03-11-0854</v>
      </c>
      <c r="N950" s="8" t="str">
        <f t="shared" ref="N950:N951" si="228">"PEN"</f>
        <v>PEN</v>
      </c>
      <c r="O950" s="13"/>
      <c r="P950" s="13">
        <v>2000</v>
      </c>
      <c r="Q950" s="3">
        <f t="shared" ref="Q950:Q951" si="229">+IF(OR($F950="SALDO",$F950="INGRESO"),$P950,0)</f>
        <v>0</v>
      </c>
      <c r="R950" s="3">
        <f t="shared" ref="R950:R951" si="230">+IF($F950="EGRESO",$P950,0)</f>
        <v>2000</v>
      </c>
      <c r="S950" s="3">
        <f t="shared" si="226"/>
        <v>118.19999999999163</v>
      </c>
      <c r="T950" s="24"/>
      <c r="U950" s="24"/>
      <c r="V950" s="3"/>
      <c r="W950" s="25"/>
      <c r="X950" s="25"/>
      <c r="Y950" s="25"/>
      <c r="Z950" s="25"/>
      <c r="AA950" s="25"/>
      <c r="AB950" s="3" t="str">
        <f>IF(Caja_Finanzas[[#This Row],[fecha]]&gt;0,TEXT(Caja_Finanzas[[#This Row],[fecha]],"mmmm"),0)</f>
        <v>Noviembre</v>
      </c>
    </row>
    <row r="951" spans="1:28" x14ac:dyDescent="0.3">
      <c r="A951" s="2">
        <f>IF(Caja_Finanzas[[#This Row],[tipo_r]]="R",COUNTIFS($C$1:$C950,"R")+1,A950)</f>
        <v>855</v>
      </c>
      <c r="B951" s="19" t="str">
        <f t="shared" si="227"/>
        <v>C-Finanzas</v>
      </c>
      <c r="C951" s="187" t="s">
        <v>1330</v>
      </c>
      <c r="D951" s="14">
        <v>45965</v>
      </c>
      <c r="E951" s="5"/>
      <c r="F951" s="5" t="s">
        <v>1303</v>
      </c>
      <c r="G951" s="5"/>
      <c r="H951" s="104"/>
      <c r="I951" s="6"/>
      <c r="J951" s="6"/>
      <c r="K951" s="6"/>
      <c r="L951" s="7" t="s">
        <v>7455</v>
      </c>
      <c r="M951" s="8" t="str">
        <f>"CFI"&amp;".D"&amp;TEXT(Caja_Finanzas[[#This Row],[fecha]],"DD-MM")&amp;"-"&amp;TEXT(Caja_Finanzas[[#This Row],[item]],"0000")</f>
        <v>CFI.D04-11-0855</v>
      </c>
      <c r="N951" s="8" t="str">
        <f t="shared" si="228"/>
        <v>PEN</v>
      </c>
      <c r="O951" s="13"/>
      <c r="P951" s="13">
        <v>5000</v>
      </c>
      <c r="Q951" s="3">
        <f t="shared" si="229"/>
        <v>5000</v>
      </c>
      <c r="R951" s="3">
        <f t="shared" si="230"/>
        <v>0</v>
      </c>
      <c r="S951" s="3">
        <f t="shared" si="226"/>
        <v>5118.1999999999916</v>
      </c>
      <c r="T951" s="24"/>
      <c r="U951" s="24"/>
      <c r="V951" s="3"/>
      <c r="W951" s="25"/>
      <c r="X951" s="25"/>
      <c r="Y951" s="25"/>
      <c r="Z951" s="25"/>
      <c r="AA951" s="25"/>
      <c r="AB951" s="3" t="str">
        <f>IF(Caja_Finanzas[[#This Row],[fecha]]&gt;0,TEXT(Caja_Finanzas[[#This Row],[fecha]],"mmmm"),0)</f>
        <v>Noviembre</v>
      </c>
    </row>
    <row r="952" spans="1:28" ht="24" x14ac:dyDescent="0.3">
      <c r="A952" s="2">
        <f>IF(Caja_Finanzas[[#This Row],[tipo_r]]="R",COUNTIFS($C$1:$C951,"R")+1,A951)</f>
        <v>855</v>
      </c>
      <c r="B952" s="19" t="str">
        <f>"C-Finanzas"</f>
        <v>C-Finanzas</v>
      </c>
      <c r="C952" s="73" t="s">
        <v>1352</v>
      </c>
      <c r="D952" s="14">
        <v>45965</v>
      </c>
      <c r="E952" s="5" t="s">
        <v>1875</v>
      </c>
      <c r="F952" s="5" t="s">
        <v>1303</v>
      </c>
      <c r="G952" s="5"/>
      <c r="H952" s="104"/>
      <c r="I952" s="6" t="s">
        <v>119</v>
      </c>
      <c r="J952" s="6">
        <v>1</v>
      </c>
      <c r="K952" s="6">
        <v>4902</v>
      </c>
      <c r="L952" s="7" t="s">
        <v>7455</v>
      </c>
      <c r="M952" s="8" t="str">
        <f>"CFI"&amp;".D"&amp;TEXT(Caja_Finanzas[[#This Row],[fecha]],"DD-MM")&amp;"-"&amp;TEXT(Caja_Finanzas[[#This Row],[item]],"0000")</f>
        <v>CFI.D04-11-0855</v>
      </c>
      <c r="N952" s="8" t="str">
        <f>"PEN"</f>
        <v>PEN</v>
      </c>
      <c r="O952" s="13">
        <v>3500</v>
      </c>
      <c r="P952" s="13"/>
      <c r="Q952" s="3">
        <f>+IF(OR($F952="SALDO",$F952="INGRESO"),$P952,0)</f>
        <v>0</v>
      </c>
      <c r="R952" s="3">
        <f>+IF($F952="EGRESO",$P952,0)</f>
        <v>0</v>
      </c>
      <c r="S952" s="3">
        <f>IFERROR(IF(F952="SALDO",Q952,S951+Q952-R952),0)</f>
        <v>5118.1999999999916</v>
      </c>
      <c r="T952" s="24"/>
      <c r="U952" s="24"/>
      <c r="V952" s="3"/>
      <c r="W952" s="25"/>
      <c r="X952" s="25"/>
      <c r="Y952" s="25"/>
      <c r="Z952" s="25"/>
      <c r="AA952" s="25"/>
      <c r="AB952" s="3" t="str">
        <f>IF(Caja_Finanzas[[#This Row],[fecha]]&gt;0,TEXT(Caja_Finanzas[[#This Row],[fecha]],"mmmm"),0)</f>
        <v>Noviembre</v>
      </c>
    </row>
    <row r="953" spans="1:28" ht="24" x14ac:dyDescent="0.3">
      <c r="A953" s="2">
        <f>IF(Caja_Finanzas[[#This Row],[tipo_r]]="R",COUNTIFS($C$1:$C952,"R")+1,A952)</f>
        <v>855</v>
      </c>
      <c r="B953" s="19" t="str">
        <f>"C-Finanzas"</f>
        <v>C-Finanzas</v>
      </c>
      <c r="C953" s="73" t="s">
        <v>1352</v>
      </c>
      <c r="D953" s="14">
        <v>45965</v>
      </c>
      <c r="E953" s="5" t="s">
        <v>1875</v>
      </c>
      <c r="F953" s="5" t="s">
        <v>1303</v>
      </c>
      <c r="G953" s="5"/>
      <c r="H953" s="104"/>
      <c r="I953" s="6" t="s">
        <v>119</v>
      </c>
      <c r="J953" s="6">
        <v>1</v>
      </c>
      <c r="K953" s="6">
        <v>4912</v>
      </c>
      <c r="L953" s="7" t="s">
        <v>7455</v>
      </c>
      <c r="M953" s="8" t="str">
        <f>"CFI"&amp;".D"&amp;TEXT(Caja_Finanzas[[#This Row],[fecha]],"DD-MM")&amp;"-"&amp;TEXT(Caja_Finanzas[[#This Row],[item]],"0000")</f>
        <v>CFI.D04-11-0855</v>
      </c>
      <c r="N953" s="8" t="str">
        <f>"PEN"</f>
        <v>PEN</v>
      </c>
      <c r="O953" s="13">
        <v>1500</v>
      </c>
      <c r="P953" s="13"/>
      <c r="Q953" s="3">
        <f>+IF(OR($F953="SALDO",$F953="INGRESO"),$P953,0)</f>
        <v>0</v>
      </c>
      <c r="R953" s="3">
        <f>+IF($F953="EGRESO",$P953,0)</f>
        <v>0</v>
      </c>
      <c r="S953" s="3">
        <f t="shared" ref="S953:S954" si="231">IFERROR(IF(F953="SALDO",Q953,S952+Q953-R953),0)</f>
        <v>5118.1999999999916</v>
      </c>
      <c r="T953" s="24"/>
      <c r="U953" s="24"/>
      <c r="V953" s="3"/>
      <c r="W953" s="25"/>
      <c r="X953" s="25"/>
      <c r="Y953" s="25"/>
      <c r="Z953" s="25"/>
      <c r="AA953" s="25"/>
      <c r="AB953" s="3" t="str">
        <f>IF(Caja_Finanzas[[#This Row],[fecha]]&gt;0,TEXT(Caja_Finanzas[[#This Row],[fecha]],"mmmm"),0)</f>
        <v>Noviembre</v>
      </c>
    </row>
    <row r="954" spans="1:28" x14ac:dyDescent="0.3">
      <c r="A954" s="2">
        <f>IF(Caja_Finanzas[[#This Row],[tipo_r]]="R",COUNTIFS($C$1:$C953,"R")+1,A953)</f>
        <v>856</v>
      </c>
      <c r="B954" s="19" t="str">
        <f t="shared" ref="B954:B964" si="232">"C-Finanzas"</f>
        <v>C-Finanzas</v>
      </c>
      <c r="C954" s="3" t="s">
        <v>1330</v>
      </c>
      <c r="D954" s="14">
        <v>45965</v>
      </c>
      <c r="E954" s="5" t="s">
        <v>1498</v>
      </c>
      <c r="F954" s="5" t="s">
        <v>1303</v>
      </c>
      <c r="G954" s="5"/>
      <c r="H954" s="104"/>
      <c r="I954" s="6" t="s">
        <v>119</v>
      </c>
      <c r="J954" s="6">
        <v>1</v>
      </c>
      <c r="K954" s="6">
        <v>4896</v>
      </c>
      <c r="L954" s="7" t="s">
        <v>7455</v>
      </c>
      <c r="M954" s="8" t="str">
        <f>"CFI"&amp;".D"&amp;TEXT(Caja_Finanzas[[#This Row],[fecha]],"DD-MM")&amp;"-"&amp;TEXT(Caja_Finanzas[[#This Row],[item]],"0000")</f>
        <v>CFI.D04-11-0856</v>
      </c>
      <c r="N954" s="8" t="str">
        <f t="shared" ref="N954:N964" si="233">"PEN"</f>
        <v>PEN</v>
      </c>
      <c r="O954" s="13"/>
      <c r="P954" s="13">
        <v>42.2</v>
      </c>
      <c r="Q954" s="3">
        <f t="shared" ref="Q954:Q964" si="234">+IF(OR($F954="SALDO",$F954="INGRESO"),$P954,0)</f>
        <v>42.2</v>
      </c>
      <c r="R954" s="3">
        <f t="shared" ref="R954:R964" si="235">+IF($F954="EGRESO",$P954,0)</f>
        <v>0</v>
      </c>
      <c r="S954" s="3">
        <f t="shared" si="231"/>
        <v>5160.3999999999915</v>
      </c>
      <c r="T954" s="24"/>
      <c r="U954" s="24"/>
      <c r="V954" s="3"/>
      <c r="W954" s="25"/>
      <c r="X954" s="25"/>
      <c r="Y954" s="25"/>
      <c r="Z954" s="25"/>
      <c r="AA954" s="25"/>
      <c r="AB954" s="3" t="str">
        <f>IF(Caja_Finanzas[[#This Row],[fecha]]&gt;0,TEXT(Caja_Finanzas[[#This Row],[fecha]],"mmmm"),0)</f>
        <v>Noviembre</v>
      </c>
    </row>
    <row r="955" spans="1:28" ht="24" x14ac:dyDescent="0.3">
      <c r="A955" s="2">
        <f>IF(Caja_Finanzas[[#This Row],[tipo_r]]="R",COUNTIFS($C$1:$C954,"R")+1,A954)</f>
        <v>857</v>
      </c>
      <c r="B955" s="19" t="str">
        <f t="shared" si="232"/>
        <v>C-Finanzas</v>
      </c>
      <c r="C955" s="3" t="s">
        <v>1330</v>
      </c>
      <c r="D955" s="14">
        <v>45965</v>
      </c>
      <c r="E955" s="5" t="s">
        <v>2009</v>
      </c>
      <c r="F955" s="5" t="s">
        <v>1303</v>
      </c>
      <c r="G955" s="5"/>
      <c r="H955" s="104"/>
      <c r="I955" s="6" t="s">
        <v>119</v>
      </c>
      <c r="J955" s="6">
        <v>1</v>
      </c>
      <c r="K955" s="6">
        <v>4895</v>
      </c>
      <c r="L955" s="7" t="s">
        <v>7455</v>
      </c>
      <c r="M955" s="8" t="str">
        <f>"CFI"&amp;".D"&amp;TEXT(Caja_Finanzas[[#This Row],[fecha]],"DD-MM")&amp;"-"&amp;TEXT(Caja_Finanzas[[#This Row],[item]],"0000")</f>
        <v>CFI.D04-11-0857</v>
      </c>
      <c r="N955" s="8" t="str">
        <f t="shared" si="233"/>
        <v>PEN</v>
      </c>
      <c r="O955" s="13"/>
      <c r="P955" s="13">
        <v>600</v>
      </c>
      <c r="Q955" s="3">
        <f t="shared" si="234"/>
        <v>600</v>
      </c>
      <c r="R955" s="3">
        <f t="shared" si="235"/>
        <v>0</v>
      </c>
      <c r="S955" s="3">
        <f t="shared" si="226"/>
        <v>5760.3999999999915</v>
      </c>
      <c r="T955" s="24"/>
      <c r="U955" s="24"/>
      <c r="V955" s="3"/>
      <c r="W955" s="25"/>
      <c r="X955" s="25"/>
      <c r="Y955" s="25"/>
      <c r="Z955" s="25"/>
      <c r="AA955" s="25"/>
      <c r="AB955" s="3" t="str">
        <f>IF(Caja_Finanzas[[#This Row],[fecha]]&gt;0,TEXT(Caja_Finanzas[[#This Row],[fecha]],"mmmm"),0)</f>
        <v>Noviembre</v>
      </c>
    </row>
    <row r="956" spans="1:28" ht="24" x14ac:dyDescent="0.3">
      <c r="A956" s="2">
        <f>IF(Caja_Finanzas[[#This Row],[tipo_r]]="R",COUNTIFS($C$1:$C955,"R")+1,A955)</f>
        <v>858</v>
      </c>
      <c r="B956" s="19" t="str">
        <f t="shared" si="232"/>
        <v>C-Finanzas</v>
      </c>
      <c r="C956" s="3" t="s">
        <v>1330</v>
      </c>
      <c r="D956" s="14">
        <v>45965</v>
      </c>
      <c r="E956" s="5" t="s">
        <v>5828</v>
      </c>
      <c r="F956" s="5" t="s">
        <v>1303</v>
      </c>
      <c r="G956" s="5"/>
      <c r="H956" s="104"/>
      <c r="I956" s="6"/>
      <c r="J956" s="6"/>
      <c r="K956" s="6"/>
      <c r="L956" s="7" t="s">
        <v>7501</v>
      </c>
      <c r="M956" s="8" t="str">
        <f>"CFI"&amp;".D"&amp;TEXT(Caja_Finanzas[[#This Row],[fecha]],"DD-MM")&amp;"-"&amp;TEXT(Caja_Finanzas[[#This Row],[item]],"0000")</f>
        <v>CFI.D04-11-0858</v>
      </c>
      <c r="N956" s="8" t="str">
        <f t="shared" si="233"/>
        <v>PEN</v>
      </c>
      <c r="O956" s="13"/>
      <c r="P956" s="13">
        <v>250</v>
      </c>
      <c r="Q956" s="3">
        <f t="shared" si="234"/>
        <v>250</v>
      </c>
      <c r="R956" s="3">
        <f t="shared" si="235"/>
        <v>0</v>
      </c>
      <c r="S956" s="3">
        <f t="shared" si="226"/>
        <v>6010.3999999999915</v>
      </c>
      <c r="T956" s="24"/>
      <c r="U956" s="24"/>
      <c r="V956" s="3"/>
      <c r="W956" s="25"/>
      <c r="X956" s="25"/>
      <c r="Y956" s="25"/>
      <c r="Z956" s="25"/>
      <c r="AA956" s="25"/>
      <c r="AB956" s="3" t="str">
        <f>IF(Caja_Finanzas[[#This Row],[fecha]]&gt;0,TEXT(Caja_Finanzas[[#This Row],[fecha]],"mmmm"),0)</f>
        <v>Noviembre</v>
      </c>
    </row>
    <row r="957" spans="1:28" x14ac:dyDescent="0.3">
      <c r="A957" s="2">
        <f>IF(Caja_Finanzas[[#This Row],[tipo_r]]="R",COUNTIFS($C$1:$C956,"R")+1,A956)</f>
        <v>859</v>
      </c>
      <c r="B957" s="19" t="str">
        <f t="shared" si="232"/>
        <v>C-Finanzas</v>
      </c>
      <c r="C957" s="3" t="s">
        <v>1330</v>
      </c>
      <c r="D957" s="14">
        <v>45965</v>
      </c>
      <c r="E957" s="5" t="s">
        <v>5828</v>
      </c>
      <c r="F957" s="5" t="s">
        <v>1336</v>
      </c>
      <c r="G957" s="5"/>
      <c r="H957" s="104"/>
      <c r="I957" s="6"/>
      <c r="J957" s="6"/>
      <c r="K957" s="6"/>
      <c r="L957" s="7" t="s">
        <v>7502</v>
      </c>
      <c r="M957" s="220" t="str">
        <f>"CFI"&amp;".D"&amp;TEXT(Caja_Finanzas[[#This Row],[fecha]],"DD-MM")&amp;"-"&amp;TEXT(Caja_Finanzas[[#This Row],[item]],"0000")</f>
        <v>CFI.D04-11-0859</v>
      </c>
      <c r="N957" s="8" t="str">
        <f t="shared" si="233"/>
        <v>PEN</v>
      </c>
      <c r="O957" s="13"/>
      <c r="P957" s="13">
        <v>5306</v>
      </c>
      <c r="Q957" s="3">
        <f t="shared" si="234"/>
        <v>0</v>
      </c>
      <c r="R957" s="3">
        <f t="shared" si="235"/>
        <v>5306</v>
      </c>
      <c r="S957" s="3">
        <f t="shared" si="226"/>
        <v>704.39999999999145</v>
      </c>
      <c r="T957" s="24"/>
      <c r="U957" s="24"/>
      <c r="V957" s="3"/>
      <c r="W957" s="25"/>
      <c r="X957" s="25"/>
      <c r="Y957" s="25"/>
      <c r="Z957" s="25"/>
      <c r="AA957" s="25"/>
      <c r="AB957" s="3" t="str">
        <f>IF(Caja_Finanzas[[#This Row],[fecha]]&gt;0,TEXT(Caja_Finanzas[[#This Row],[fecha]],"mmmm"),0)</f>
        <v>Noviembre</v>
      </c>
    </row>
    <row r="958" spans="1:28" ht="24" x14ac:dyDescent="0.3">
      <c r="A958" s="2">
        <f>IF(Caja_Finanzas[[#This Row],[tipo_r]]="R",COUNTIFS($C$1:$C957,"R")+1,A957)</f>
        <v>860</v>
      </c>
      <c r="B958" s="19" t="str">
        <f t="shared" si="232"/>
        <v>C-Finanzas</v>
      </c>
      <c r="C958" s="3" t="s">
        <v>1330</v>
      </c>
      <c r="D958" s="14">
        <v>45966</v>
      </c>
      <c r="E958" s="5" t="s">
        <v>1875</v>
      </c>
      <c r="F958" s="5" t="s">
        <v>1303</v>
      </c>
      <c r="G958" s="5"/>
      <c r="H958" s="104"/>
      <c r="I958" s="6" t="s">
        <v>119</v>
      </c>
      <c r="J958" s="6">
        <v>1</v>
      </c>
      <c r="K958" s="6">
        <v>4898</v>
      </c>
      <c r="L958" s="7" t="s">
        <v>7455</v>
      </c>
      <c r="M958" s="8" t="str">
        <f>"CFI"&amp;".D"&amp;TEXT(Caja_Finanzas[[#This Row],[fecha]],"DD-MM")&amp;"-"&amp;TEXT(Caja_Finanzas[[#This Row],[item]],"0000")</f>
        <v>CFI.D05-11-0860</v>
      </c>
      <c r="N958" s="8" t="str">
        <f t="shared" si="233"/>
        <v>PEN</v>
      </c>
      <c r="O958" s="13"/>
      <c r="P958" s="13">
        <v>322</v>
      </c>
      <c r="Q958" s="3">
        <f t="shared" si="234"/>
        <v>322</v>
      </c>
      <c r="R958" s="3">
        <f t="shared" si="235"/>
        <v>0</v>
      </c>
      <c r="S958" s="3">
        <f t="shared" si="226"/>
        <v>1026.3999999999915</v>
      </c>
      <c r="T958" s="24"/>
      <c r="U958" s="24"/>
      <c r="V958" s="3"/>
      <c r="W958" s="25"/>
      <c r="X958" s="25"/>
      <c r="Y958" s="25"/>
      <c r="Z958" s="25"/>
      <c r="AA958" s="25"/>
      <c r="AB958" s="3" t="str">
        <f>IF(Caja_Finanzas[[#This Row],[fecha]]&gt;0,TEXT(Caja_Finanzas[[#This Row],[fecha]],"mmmm"),0)</f>
        <v>Noviembre</v>
      </c>
    </row>
    <row r="959" spans="1:28" ht="24" x14ac:dyDescent="0.3">
      <c r="A959" s="2">
        <f>IF(Caja_Finanzas[[#This Row],[tipo_r]]="R",COUNTIFS($C$1:$C958,"R")+1,A958)</f>
        <v>861</v>
      </c>
      <c r="B959" s="19" t="str">
        <f t="shared" si="232"/>
        <v>C-Finanzas</v>
      </c>
      <c r="C959" s="3" t="s">
        <v>1330</v>
      </c>
      <c r="D959" s="14">
        <v>45966</v>
      </c>
      <c r="E959" s="5" t="s">
        <v>6283</v>
      </c>
      <c r="F959" s="5" t="s">
        <v>1336</v>
      </c>
      <c r="G959" s="5"/>
      <c r="H959" s="104" t="s">
        <v>1009</v>
      </c>
      <c r="I959" s="6" t="s">
        <v>115</v>
      </c>
      <c r="J959" s="6" t="s">
        <v>7299</v>
      </c>
      <c r="K959" s="6">
        <v>151</v>
      </c>
      <c r="L959" s="7" t="s">
        <v>7503</v>
      </c>
      <c r="M959" s="220" t="str">
        <f>"CFI"&amp;".D"&amp;TEXT(Caja_Finanzas[[#This Row],[fecha]],"DD-MM")&amp;"-"&amp;TEXT(Caja_Finanzas[[#This Row],[item]],"0000")</f>
        <v>CFI.D05-11-0861</v>
      </c>
      <c r="N959" s="8" t="str">
        <f t="shared" si="233"/>
        <v>PEN</v>
      </c>
      <c r="O959" s="13"/>
      <c r="P959" s="13">
        <v>5</v>
      </c>
      <c r="Q959" s="3">
        <f t="shared" si="234"/>
        <v>0</v>
      </c>
      <c r="R959" s="3">
        <f t="shared" si="235"/>
        <v>5</v>
      </c>
      <c r="S959" s="3">
        <f t="shared" si="226"/>
        <v>1021.3999999999915</v>
      </c>
      <c r="T959" s="24"/>
      <c r="U959" s="24"/>
      <c r="V959" s="3"/>
      <c r="W959" s="25"/>
      <c r="X959" s="25"/>
      <c r="Y959" s="25"/>
      <c r="Z959" s="25"/>
      <c r="AA959" s="25"/>
      <c r="AB959" s="3" t="str">
        <f>IF(Caja_Finanzas[[#This Row],[fecha]]&gt;0,TEXT(Caja_Finanzas[[#This Row],[fecha]],"mmmm"),0)</f>
        <v>Noviembre</v>
      </c>
    </row>
    <row r="960" spans="1:28" ht="24" x14ac:dyDescent="0.3">
      <c r="A960" s="2">
        <f>IF(Caja_Finanzas[[#This Row],[tipo_r]]="R",COUNTIFS($C$1:$C959,"R")+1,A959)</f>
        <v>862</v>
      </c>
      <c r="B960" s="19" t="str">
        <f t="shared" si="232"/>
        <v>C-Finanzas</v>
      </c>
      <c r="C960" s="3" t="s">
        <v>1330</v>
      </c>
      <c r="D960" s="14">
        <v>45966</v>
      </c>
      <c r="E960" s="5" t="s">
        <v>5828</v>
      </c>
      <c r="F960" s="5" t="s">
        <v>1336</v>
      </c>
      <c r="G960" s="5"/>
      <c r="H960" s="104" t="s">
        <v>1009</v>
      </c>
      <c r="I960" s="6" t="s">
        <v>115</v>
      </c>
      <c r="J960" s="6" t="s">
        <v>7302</v>
      </c>
      <c r="K960" s="6">
        <v>60</v>
      </c>
      <c r="L960" s="7" t="s">
        <v>7504</v>
      </c>
      <c r="M960" s="220" t="str">
        <f>"CFI"&amp;".D"&amp;TEXT(Caja_Finanzas[[#This Row],[fecha]],"DD-MM")&amp;"-"&amp;TEXT(Caja_Finanzas[[#This Row],[item]],"0000")</f>
        <v>CFI.D05-11-0862</v>
      </c>
      <c r="N960" s="8" t="str">
        <f t="shared" si="233"/>
        <v>PEN</v>
      </c>
      <c r="O960" s="13"/>
      <c r="P960" s="13">
        <v>369.7</v>
      </c>
      <c r="Q960" s="3">
        <f t="shared" si="234"/>
        <v>0</v>
      </c>
      <c r="R960" s="3">
        <f t="shared" si="235"/>
        <v>369.7</v>
      </c>
      <c r="S960" s="3">
        <f t="shared" si="226"/>
        <v>651.69999999999141</v>
      </c>
      <c r="T960" s="24"/>
      <c r="U960" s="24"/>
      <c r="V960" s="3"/>
      <c r="W960" s="25"/>
      <c r="X960" s="25"/>
      <c r="Y960" s="25"/>
      <c r="Z960" s="25"/>
      <c r="AA960" s="25"/>
      <c r="AB960" s="3" t="str">
        <f>IF(Caja_Finanzas[[#This Row],[fecha]]&gt;0,TEXT(Caja_Finanzas[[#This Row],[fecha]],"mmmm"),0)</f>
        <v>Noviembre</v>
      </c>
    </row>
    <row r="961" spans="1:28" ht="24" x14ac:dyDescent="0.3">
      <c r="A961" s="2">
        <f>IF(Caja_Finanzas[[#This Row],[tipo_r]]="R",COUNTIFS($C$1:$C960,"R")+1,A960)</f>
        <v>863</v>
      </c>
      <c r="B961" s="19" t="str">
        <f t="shared" si="232"/>
        <v>C-Finanzas</v>
      </c>
      <c r="C961" s="3" t="s">
        <v>1330</v>
      </c>
      <c r="D961" s="14">
        <v>45966</v>
      </c>
      <c r="E961" s="5" t="s">
        <v>6283</v>
      </c>
      <c r="F961" s="5" t="s">
        <v>1336</v>
      </c>
      <c r="G961" s="5"/>
      <c r="H961" s="104" t="s">
        <v>1009</v>
      </c>
      <c r="I961" s="6" t="s">
        <v>115</v>
      </c>
      <c r="J961" s="6" t="s">
        <v>7299</v>
      </c>
      <c r="K961" s="6">
        <v>155</v>
      </c>
      <c r="L961" s="7" t="s">
        <v>7505</v>
      </c>
      <c r="M961" s="221" t="str">
        <f>"CFI"&amp;".D"&amp;TEXT(Caja_Finanzas[[#This Row],[fecha]],"DD-MM")&amp;"-"&amp;TEXT(Caja_Finanzas[[#This Row],[item]],"0000")</f>
        <v>CFI.D05-11-0863</v>
      </c>
      <c r="N961" s="8" t="str">
        <f t="shared" si="233"/>
        <v>PEN</v>
      </c>
      <c r="O961" s="13"/>
      <c r="P961" s="13">
        <v>5</v>
      </c>
      <c r="Q961" s="3">
        <f t="shared" si="234"/>
        <v>0</v>
      </c>
      <c r="R961" s="3">
        <f t="shared" si="235"/>
        <v>5</v>
      </c>
      <c r="S961" s="3">
        <f t="shared" si="226"/>
        <v>646.69999999999141</v>
      </c>
      <c r="T961" s="24"/>
      <c r="U961" s="24"/>
      <c r="V961" s="3"/>
      <c r="W961" s="25"/>
      <c r="X961" s="25"/>
      <c r="Y961" s="25"/>
      <c r="Z961" s="25"/>
      <c r="AA961" s="25"/>
      <c r="AB961" s="3" t="str">
        <f>IF(Caja_Finanzas[[#This Row],[fecha]]&gt;0,TEXT(Caja_Finanzas[[#This Row],[fecha]],"mmmm"),0)</f>
        <v>Noviembre</v>
      </c>
    </row>
    <row r="962" spans="1:28" ht="24" x14ac:dyDescent="0.3">
      <c r="A962" s="2">
        <f>IF(Caja_Finanzas[[#This Row],[tipo_r]]="R",COUNTIFS($C$1:$C961,"R")+1,A961)</f>
        <v>864</v>
      </c>
      <c r="B962" s="19" t="str">
        <f t="shared" si="232"/>
        <v>C-Finanzas</v>
      </c>
      <c r="C962" s="3" t="s">
        <v>1330</v>
      </c>
      <c r="D962" s="14">
        <v>45966</v>
      </c>
      <c r="E962" s="5" t="s">
        <v>6283</v>
      </c>
      <c r="F962" s="5" t="s">
        <v>1336</v>
      </c>
      <c r="G962" s="5"/>
      <c r="H962" s="104" t="s">
        <v>1009</v>
      </c>
      <c r="I962" s="6" t="s">
        <v>115</v>
      </c>
      <c r="J962" s="6" t="s">
        <v>7299</v>
      </c>
      <c r="K962" s="6">
        <v>156</v>
      </c>
      <c r="L962" s="7" t="s">
        <v>7506</v>
      </c>
      <c r="M962" s="221" t="str">
        <f>"CFI"&amp;".D"&amp;TEXT(Caja_Finanzas[[#This Row],[fecha]],"DD-MM")&amp;"-"&amp;TEXT(Caja_Finanzas[[#This Row],[item]],"0000")</f>
        <v>CFI.D05-11-0864</v>
      </c>
      <c r="N962" s="8" t="str">
        <f t="shared" si="233"/>
        <v>PEN</v>
      </c>
      <c r="O962" s="13"/>
      <c r="P962" s="13">
        <v>5</v>
      </c>
      <c r="Q962" s="3">
        <f t="shared" si="234"/>
        <v>0</v>
      </c>
      <c r="R962" s="3">
        <f t="shared" si="235"/>
        <v>5</v>
      </c>
      <c r="S962" s="3">
        <f t="shared" si="226"/>
        <v>641.69999999999141</v>
      </c>
      <c r="T962" s="24"/>
      <c r="U962" s="24"/>
      <c r="V962" s="3"/>
      <c r="W962" s="25"/>
      <c r="X962" s="25"/>
      <c r="Y962" s="25"/>
      <c r="Z962" s="25"/>
      <c r="AA962" s="25"/>
      <c r="AB962" s="3" t="str">
        <f>IF(Caja_Finanzas[[#This Row],[fecha]]&gt;0,TEXT(Caja_Finanzas[[#This Row],[fecha]],"mmmm"),0)</f>
        <v>Noviembre</v>
      </c>
    </row>
    <row r="963" spans="1:28" ht="24" x14ac:dyDescent="0.3">
      <c r="A963" s="2">
        <f>IF(Caja_Finanzas[[#This Row],[tipo_r]]="R",COUNTIFS($C$1:$C962,"R")+1,A962)</f>
        <v>865</v>
      </c>
      <c r="B963" s="19" t="str">
        <f t="shared" si="232"/>
        <v>C-Finanzas</v>
      </c>
      <c r="C963" s="3" t="s">
        <v>1330</v>
      </c>
      <c r="D963" s="14">
        <v>45966</v>
      </c>
      <c r="E963" s="5" t="s">
        <v>6283</v>
      </c>
      <c r="F963" s="5" t="s">
        <v>1336</v>
      </c>
      <c r="G963" s="5"/>
      <c r="H963" s="104" t="s">
        <v>1009</v>
      </c>
      <c r="I963" s="6" t="s">
        <v>115</v>
      </c>
      <c r="J963" s="6" t="s">
        <v>7299</v>
      </c>
      <c r="K963" s="6">
        <v>154</v>
      </c>
      <c r="L963" s="7" t="s">
        <v>7507</v>
      </c>
      <c r="M963" s="220" t="str">
        <f>"CFI"&amp;".D"&amp;TEXT(Caja_Finanzas[[#This Row],[fecha]],"DD-MM")&amp;"-"&amp;TEXT(Caja_Finanzas[[#This Row],[item]],"0000")</f>
        <v>CFI.D05-11-0865</v>
      </c>
      <c r="N963" s="8" t="str">
        <f t="shared" si="233"/>
        <v>PEN</v>
      </c>
      <c r="O963" s="13"/>
      <c r="P963" s="13">
        <v>5</v>
      </c>
      <c r="Q963" s="3">
        <f t="shared" si="234"/>
        <v>0</v>
      </c>
      <c r="R963" s="3">
        <f t="shared" si="235"/>
        <v>5</v>
      </c>
      <c r="S963" s="3">
        <f t="shared" si="226"/>
        <v>636.69999999999141</v>
      </c>
      <c r="T963" s="24"/>
      <c r="U963" s="24"/>
      <c r="V963" s="3"/>
      <c r="W963" s="25"/>
      <c r="X963" s="25"/>
      <c r="Y963" s="25"/>
      <c r="Z963" s="25"/>
      <c r="AA963" s="25"/>
      <c r="AB963" s="3" t="str">
        <f>IF(Caja_Finanzas[[#This Row],[fecha]]&gt;0,TEXT(Caja_Finanzas[[#This Row],[fecha]],"mmmm"),0)</f>
        <v>Noviembre</v>
      </c>
    </row>
    <row r="964" spans="1:28" ht="24" x14ac:dyDescent="0.3">
      <c r="A964" s="2">
        <f>IF(Caja_Finanzas[[#This Row],[tipo_r]]="R",COUNTIFS($C$1:$C963,"R")+1,A963)</f>
        <v>866</v>
      </c>
      <c r="B964" s="19" t="str">
        <f t="shared" si="232"/>
        <v>C-Finanzas</v>
      </c>
      <c r="C964" s="3" t="s">
        <v>1330</v>
      </c>
      <c r="D964" s="14">
        <v>45966</v>
      </c>
      <c r="E964" s="5" t="s">
        <v>7376</v>
      </c>
      <c r="F964" s="5" t="s">
        <v>1303</v>
      </c>
      <c r="G964" s="5"/>
      <c r="H964" s="104"/>
      <c r="I964" s="6" t="s">
        <v>119</v>
      </c>
      <c r="J964" s="6">
        <v>1</v>
      </c>
      <c r="K964" s="6">
        <v>4900</v>
      </c>
      <c r="L964" s="7" t="s">
        <v>7455</v>
      </c>
      <c r="M964" s="8" t="str">
        <f>"CFI"&amp;".D"&amp;TEXT(Caja_Finanzas[[#This Row],[fecha]],"DD-MM")&amp;"-"&amp;TEXT(Caja_Finanzas[[#This Row],[item]],"0000")</f>
        <v>CFI.D05-11-0866</v>
      </c>
      <c r="N964" s="8" t="str">
        <f t="shared" si="233"/>
        <v>PEN</v>
      </c>
      <c r="O964" s="13"/>
      <c r="P964" s="13">
        <v>360</v>
      </c>
      <c r="Q964" s="3">
        <f t="shared" si="234"/>
        <v>360</v>
      </c>
      <c r="R964" s="3">
        <f t="shared" si="235"/>
        <v>0</v>
      </c>
      <c r="S964" s="3">
        <f t="shared" si="226"/>
        <v>996.69999999999141</v>
      </c>
      <c r="T964" s="24"/>
      <c r="U964" s="24"/>
      <c r="V964" s="3"/>
      <c r="W964" s="25"/>
      <c r="X964" s="25"/>
      <c r="Y964" s="25"/>
      <c r="Z964" s="25"/>
      <c r="AA964" s="25"/>
      <c r="AB964" s="3" t="str">
        <f>IF(Caja_Finanzas[[#This Row],[fecha]]&gt;0,TEXT(Caja_Finanzas[[#This Row],[fecha]],"mmmm"),0)</f>
        <v>Noviembre</v>
      </c>
    </row>
    <row r="965" spans="1:28" ht="24" x14ac:dyDescent="0.3">
      <c r="A965" s="2">
        <f>IF(Caja_Finanzas[[#This Row],[tipo_r]]="R",COUNTIFS($C$1:$C964,"R")+1,A964)</f>
        <v>867</v>
      </c>
      <c r="B965" s="19" t="str">
        <f t="shared" ref="B965:B970" si="236">"C-Finanzas"</f>
        <v>C-Finanzas</v>
      </c>
      <c r="C965" s="3" t="s">
        <v>1330</v>
      </c>
      <c r="D965" s="14">
        <v>45967</v>
      </c>
      <c r="E965" s="5" t="s">
        <v>7508</v>
      </c>
      <c r="F965" s="5" t="s">
        <v>1336</v>
      </c>
      <c r="G965" s="5"/>
      <c r="H965" s="104" t="s">
        <v>1009</v>
      </c>
      <c r="I965" s="6" t="s">
        <v>115</v>
      </c>
      <c r="J965" s="6" t="s">
        <v>7187</v>
      </c>
      <c r="K965" s="6">
        <v>166</v>
      </c>
      <c r="L965" s="7" t="s">
        <v>7509</v>
      </c>
      <c r="M965" s="8" t="str">
        <f>"CFI"&amp;".D"&amp;TEXT(Caja_Finanzas[[#This Row],[fecha]],"DD-MM")&amp;"-"&amp;TEXT(Caja_Finanzas[[#This Row],[item]],"0000")</f>
        <v>CFI.D06-11-0867</v>
      </c>
      <c r="N965" s="8" t="str">
        <f t="shared" ref="N965:N970" si="237">"PEN"</f>
        <v>PEN</v>
      </c>
      <c r="O965" s="13"/>
      <c r="P965" s="13">
        <v>150</v>
      </c>
      <c r="Q965" s="3">
        <f t="shared" ref="Q965:Q970" si="238">+IF(OR($F965="SALDO",$F965="INGRESO"),$P965,0)</f>
        <v>0</v>
      </c>
      <c r="R965" s="3">
        <f t="shared" ref="R965:R970" si="239">+IF($F965="EGRESO",$P965,0)</f>
        <v>150</v>
      </c>
      <c r="S965" s="3">
        <f t="shared" ref="S965:S970" si="240">IFERROR(IF(F965="SALDO",Q965,S964+Q965-R965),0)</f>
        <v>846.69999999999141</v>
      </c>
      <c r="T965" s="24"/>
      <c r="U965" s="24"/>
      <c r="V965" s="3"/>
      <c r="W965" s="25"/>
      <c r="X965" s="25"/>
      <c r="Y965" s="25"/>
      <c r="Z965" s="25"/>
      <c r="AA965" s="25"/>
      <c r="AB965" s="3" t="str">
        <f>IF(Caja_Finanzas[[#This Row],[fecha]]&gt;0,TEXT(Caja_Finanzas[[#This Row],[fecha]],"mmmm"),0)</f>
        <v>Noviembre</v>
      </c>
    </row>
    <row r="966" spans="1:28" ht="24" x14ac:dyDescent="0.3">
      <c r="A966" s="2">
        <f>IF(Caja_Finanzas[[#This Row],[tipo_r]]="R",COUNTIFS($C$1:$C965,"R")+1,A965)</f>
        <v>868</v>
      </c>
      <c r="B966" s="19" t="str">
        <f t="shared" si="236"/>
        <v>C-Finanzas</v>
      </c>
      <c r="C966" s="3" t="s">
        <v>1330</v>
      </c>
      <c r="D966" s="14">
        <v>45967</v>
      </c>
      <c r="E966" s="5" t="s">
        <v>3530</v>
      </c>
      <c r="F966" s="5" t="s">
        <v>1303</v>
      </c>
      <c r="G966" s="5"/>
      <c r="H966" s="104"/>
      <c r="I966" s="6" t="s">
        <v>119</v>
      </c>
      <c r="J966" s="6">
        <v>1</v>
      </c>
      <c r="K966" s="6">
        <v>4903</v>
      </c>
      <c r="L966" s="7" t="s">
        <v>7455</v>
      </c>
      <c r="M966" s="8" t="str">
        <f>"CFI"&amp;".D"&amp;TEXT(Caja_Finanzas[[#This Row],[fecha]],"DD-MM")&amp;"-"&amp;TEXT(Caja_Finanzas[[#This Row],[item]],"0000")</f>
        <v>CFI.D06-11-0868</v>
      </c>
      <c r="N966" s="8" t="str">
        <f t="shared" si="237"/>
        <v>PEN</v>
      </c>
      <c r="O966" s="13"/>
      <c r="P966" s="13">
        <v>1645</v>
      </c>
      <c r="Q966" s="3">
        <f t="shared" si="238"/>
        <v>1645</v>
      </c>
      <c r="R966" s="3">
        <f t="shared" si="239"/>
        <v>0</v>
      </c>
      <c r="S966" s="3">
        <f t="shared" si="240"/>
        <v>2491.6999999999916</v>
      </c>
      <c r="T966" s="24"/>
      <c r="U966" s="24"/>
      <c r="V966" s="3"/>
      <c r="W966" s="25"/>
      <c r="X966" s="25"/>
      <c r="Y966" s="25"/>
      <c r="Z966" s="25"/>
      <c r="AA966" s="25"/>
      <c r="AB966" s="3" t="str">
        <f>IF(Caja_Finanzas[[#This Row],[fecha]]&gt;0,TEXT(Caja_Finanzas[[#This Row],[fecha]],"mmmm"),0)</f>
        <v>Noviembre</v>
      </c>
    </row>
    <row r="967" spans="1:28" ht="24" x14ac:dyDescent="0.3">
      <c r="A967" s="2">
        <f>IF(Caja_Finanzas[[#This Row],[tipo_r]]="R",COUNTIFS($C$1:$C966,"R")+1,A966)</f>
        <v>869</v>
      </c>
      <c r="B967" s="19" t="str">
        <f t="shared" si="236"/>
        <v>C-Finanzas</v>
      </c>
      <c r="C967" s="3" t="s">
        <v>1330</v>
      </c>
      <c r="D967" s="14">
        <v>45967</v>
      </c>
      <c r="E967" s="5"/>
      <c r="F967" s="5" t="s">
        <v>1303</v>
      </c>
      <c r="G967" s="5"/>
      <c r="H967" s="104"/>
      <c r="I967" s="6"/>
      <c r="J967" s="6"/>
      <c r="K967" s="6"/>
      <c r="L967" s="7" t="s">
        <v>7510</v>
      </c>
      <c r="M967" s="8" t="str">
        <f>"CFI"&amp;".D"&amp;TEXT(Caja_Finanzas[[#This Row],[fecha]],"DD-MM")&amp;"-"&amp;TEXT(Caja_Finanzas[[#This Row],[item]],"0000")</f>
        <v>CFI.D06-11-0869</v>
      </c>
      <c r="N967" s="8" t="str">
        <f t="shared" si="237"/>
        <v>PEN</v>
      </c>
      <c r="O967" s="13"/>
      <c r="P967" s="13">
        <v>1183.3</v>
      </c>
      <c r="Q967" s="3">
        <f t="shared" si="238"/>
        <v>1183.3</v>
      </c>
      <c r="R967" s="3">
        <f t="shared" si="239"/>
        <v>0</v>
      </c>
      <c r="S967" s="3">
        <f t="shared" si="240"/>
        <v>3674.9999999999918</v>
      </c>
      <c r="T967" s="24"/>
      <c r="U967" s="24"/>
      <c r="V967" s="3"/>
      <c r="W967" s="25"/>
      <c r="X967" s="25"/>
      <c r="Y967" s="25"/>
      <c r="Z967" s="25"/>
      <c r="AA967" s="25"/>
      <c r="AB967" s="3" t="str">
        <f>IF(Caja_Finanzas[[#This Row],[fecha]]&gt;0,TEXT(Caja_Finanzas[[#This Row],[fecha]],"mmmm"),0)</f>
        <v>Noviembre</v>
      </c>
    </row>
    <row r="968" spans="1:28" x14ac:dyDescent="0.3">
      <c r="A968" s="2">
        <f>IF(Caja_Finanzas[[#This Row],[tipo_r]]="R",COUNTIFS($C$1:$C967,"R")+1,A967)</f>
        <v>870</v>
      </c>
      <c r="B968" s="19" t="str">
        <f t="shared" si="236"/>
        <v>C-Finanzas</v>
      </c>
      <c r="C968" s="3" t="s">
        <v>1330</v>
      </c>
      <c r="D968" s="14">
        <v>45967</v>
      </c>
      <c r="E968" s="5" t="s">
        <v>2800</v>
      </c>
      <c r="F968" s="5" t="s">
        <v>1303</v>
      </c>
      <c r="G968" s="5"/>
      <c r="H968" s="104"/>
      <c r="I968" s="6" t="s">
        <v>119</v>
      </c>
      <c r="J968" s="6">
        <v>1</v>
      </c>
      <c r="K968" s="6">
        <v>4852</v>
      </c>
      <c r="L968" s="7" t="s">
        <v>7455</v>
      </c>
      <c r="M968" s="8" t="str">
        <f>"CFI"&amp;".D"&amp;TEXT(Caja_Finanzas[[#This Row],[fecha]],"DD-MM")&amp;"-"&amp;TEXT(Caja_Finanzas[[#This Row],[item]],"0000")</f>
        <v>CFI.D06-11-0870</v>
      </c>
      <c r="N968" s="8" t="str">
        <f t="shared" si="237"/>
        <v>PEN</v>
      </c>
      <c r="O968" s="13"/>
      <c r="P968" s="13">
        <v>1000</v>
      </c>
      <c r="Q968" s="3">
        <f t="shared" si="238"/>
        <v>1000</v>
      </c>
      <c r="R968" s="3">
        <f t="shared" si="239"/>
        <v>0</v>
      </c>
      <c r="S968" s="3">
        <f t="shared" si="240"/>
        <v>4674.9999999999918</v>
      </c>
      <c r="T968" s="24"/>
      <c r="U968" s="24"/>
      <c r="V968" s="3"/>
      <c r="W968" s="25"/>
      <c r="X968" s="25"/>
      <c r="Y968" s="25"/>
      <c r="Z968" s="25"/>
      <c r="AA968" s="25"/>
      <c r="AB968" s="3" t="str">
        <f>IF(Caja_Finanzas[[#This Row],[fecha]]&gt;0,TEXT(Caja_Finanzas[[#This Row],[fecha]],"mmmm"),0)</f>
        <v>Noviembre</v>
      </c>
    </row>
    <row r="969" spans="1:28" ht="24" x14ac:dyDescent="0.3">
      <c r="A969" s="2">
        <f>IF(Caja_Finanzas[[#This Row],[tipo_r]]="R",COUNTIFS($C$1:$C968,"R")+1,A968)</f>
        <v>871</v>
      </c>
      <c r="B969" s="19" t="str">
        <f t="shared" si="236"/>
        <v>C-Finanzas</v>
      </c>
      <c r="C969" s="3" t="s">
        <v>1330</v>
      </c>
      <c r="D969" s="14">
        <v>45967</v>
      </c>
      <c r="E969" s="5" t="s">
        <v>6451</v>
      </c>
      <c r="F969" s="5" t="s">
        <v>1336</v>
      </c>
      <c r="G969" s="5"/>
      <c r="H969" s="104" t="s">
        <v>1009</v>
      </c>
      <c r="I969" s="6" t="s">
        <v>115</v>
      </c>
      <c r="J969" s="6" t="s">
        <v>7299</v>
      </c>
      <c r="K969" s="6">
        <v>153</v>
      </c>
      <c r="L969" s="7" t="s">
        <v>7511</v>
      </c>
      <c r="M969" s="8" t="str">
        <f>"CFI"&amp;".D"&amp;TEXT(Caja_Finanzas[[#This Row],[fecha]],"DD-MM")&amp;"-"&amp;TEXT(Caja_Finanzas[[#This Row],[item]],"0000")</f>
        <v>CFI.D06-11-0871</v>
      </c>
      <c r="N969" s="8" t="str">
        <f t="shared" si="237"/>
        <v>PEN</v>
      </c>
      <c r="O969" s="13"/>
      <c r="P969" s="13">
        <v>240</v>
      </c>
      <c r="Q969" s="3">
        <f t="shared" si="238"/>
        <v>0</v>
      </c>
      <c r="R969" s="3">
        <f t="shared" si="239"/>
        <v>240</v>
      </c>
      <c r="S969" s="3">
        <f t="shared" si="240"/>
        <v>4434.9999999999918</v>
      </c>
      <c r="T969" s="24"/>
      <c r="U969" s="24"/>
      <c r="V969" s="3"/>
      <c r="W969" s="25"/>
      <c r="X969" s="25"/>
      <c r="Y969" s="25"/>
      <c r="Z969" s="25"/>
      <c r="AA969" s="25"/>
      <c r="AB969" s="3" t="str">
        <f>IF(Caja_Finanzas[[#This Row],[fecha]]&gt;0,TEXT(Caja_Finanzas[[#This Row],[fecha]],"mmmm"),0)</f>
        <v>Noviembre</v>
      </c>
    </row>
    <row r="970" spans="1:28" ht="24" x14ac:dyDescent="0.3">
      <c r="A970" s="2">
        <f>IF(Caja_Finanzas[[#This Row],[tipo_r]]="R",COUNTIFS($C$1:$C969,"R")+1,A969)</f>
        <v>872</v>
      </c>
      <c r="B970" s="19" t="str">
        <f t="shared" si="236"/>
        <v>C-Finanzas</v>
      </c>
      <c r="C970" s="3" t="s">
        <v>1330</v>
      </c>
      <c r="D970" s="14">
        <v>45967</v>
      </c>
      <c r="E970" s="5" t="s">
        <v>6456</v>
      </c>
      <c r="F970" s="5" t="s">
        <v>1336</v>
      </c>
      <c r="G970" s="5"/>
      <c r="H970" s="104" t="s">
        <v>1009</v>
      </c>
      <c r="I970" s="6" t="s">
        <v>115</v>
      </c>
      <c r="J970" s="6" t="s">
        <v>7322</v>
      </c>
      <c r="K970" s="6">
        <v>19</v>
      </c>
      <c r="L970" s="7" t="s">
        <v>7512</v>
      </c>
      <c r="M970" s="8" t="str">
        <f>"CFI"&amp;".D"&amp;TEXT(Caja_Finanzas[[#This Row],[fecha]],"DD-MM")&amp;"-"&amp;TEXT(Caja_Finanzas[[#This Row],[item]],"0000")</f>
        <v>CFI.D06-11-0872</v>
      </c>
      <c r="N970" s="8" t="str">
        <f t="shared" si="237"/>
        <v>PEN</v>
      </c>
      <c r="O970" s="13"/>
      <c r="P970" s="13">
        <v>32.1</v>
      </c>
      <c r="Q970" s="3">
        <f t="shared" si="238"/>
        <v>0</v>
      </c>
      <c r="R970" s="3">
        <f t="shared" si="239"/>
        <v>32.1</v>
      </c>
      <c r="S970" s="3">
        <f t="shared" si="240"/>
        <v>4402.8999999999915</v>
      </c>
      <c r="T970" s="24"/>
      <c r="U970" s="24"/>
      <c r="V970" s="3"/>
      <c r="W970" s="25"/>
      <c r="X970" s="25"/>
      <c r="Y970" s="25"/>
      <c r="Z970" s="25"/>
      <c r="AA970" s="25"/>
      <c r="AB970" s="3" t="str">
        <f>IF(Caja_Finanzas[[#This Row],[fecha]]&gt;0,TEXT(Caja_Finanzas[[#This Row],[fecha]],"mmmm"),0)</f>
        <v>Noviembre</v>
      </c>
    </row>
    <row r="971" spans="1:28" ht="24" x14ac:dyDescent="0.3">
      <c r="A971" s="2">
        <f>IF(Caja_Finanzas[[#This Row],[tipo_r]]="R",COUNTIFS($C$1:$C970,"R")+1,A970)</f>
        <v>873</v>
      </c>
      <c r="B971" s="19" t="str">
        <f t="shared" ref="B971:B978" si="241">"C-Finanzas"</f>
        <v>C-Finanzas</v>
      </c>
      <c r="C971" s="3" t="s">
        <v>1330</v>
      </c>
      <c r="D971" s="14">
        <v>45968</v>
      </c>
      <c r="E971" s="5" t="s">
        <v>2502</v>
      </c>
      <c r="F971" s="5" t="s">
        <v>1303</v>
      </c>
      <c r="G971" s="5"/>
      <c r="H971" s="104"/>
      <c r="I971" s="6" t="s">
        <v>119</v>
      </c>
      <c r="J971" s="6">
        <v>1</v>
      </c>
      <c r="K971" s="6">
        <v>4909</v>
      </c>
      <c r="L971" s="7" t="s">
        <v>7455</v>
      </c>
      <c r="M971" s="8" t="str">
        <f>"CFI"&amp;".D"&amp;TEXT(Caja_Finanzas[[#This Row],[fecha]],"DD-MM")&amp;"-"&amp;TEXT(Caja_Finanzas[[#This Row],[item]],"0000")</f>
        <v>CFI.D07-11-0873</v>
      </c>
      <c r="N971" s="8" t="str">
        <f t="shared" ref="N971:N978" si="242">"PEN"</f>
        <v>PEN</v>
      </c>
      <c r="O971" s="13"/>
      <c r="P971" s="13">
        <v>2000.7</v>
      </c>
      <c r="Q971" s="3">
        <f t="shared" ref="Q971:Q978" si="243">+IF(OR($F971="SALDO",$F971="INGRESO"),$P971,0)</f>
        <v>2000.7</v>
      </c>
      <c r="R971" s="3">
        <f t="shared" ref="R971:R978" si="244">+IF($F971="EGRESO",$P971,0)</f>
        <v>0</v>
      </c>
      <c r="S971" s="3">
        <f t="shared" ref="S971:S978" si="245">IFERROR(IF(F971="SALDO",Q971,S970+Q971-R971),0)</f>
        <v>6403.5999999999913</v>
      </c>
      <c r="T971" s="24"/>
      <c r="U971" s="24"/>
      <c r="V971" s="3"/>
      <c r="W971" s="25"/>
      <c r="X971" s="25"/>
      <c r="Y971" s="25"/>
      <c r="Z971" s="25"/>
      <c r="AA971" s="25"/>
      <c r="AB971" s="3" t="str">
        <f>IF(Caja_Finanzas[[#This Row],[fecha]]&gt;0,TEXT(Caja_Finanzas[[#This Row],[fecha]],"mmmm"),0)</f>
        <v>Noviembre</v>
      </c>
    </row>
    <row r="972" spans="1:28" ht="24" x14ac:dyDescent="0.3">
      <c r="A972" s="2">
        <f>IF(Caja_Finanzas[[#This Row],[tipo_r]]="R",COUNTIFS($C$1:$C971,"R")+1,A971)</f>
        <v>874</v>
      </c>
      <c r="B972" s="19" t="str">
        <f t="shared" si="241"/>
        <v>C-Finanzas</v>
      </c>
      <c r="C972" s="3" t="s">
        <v>1330</v>
      </c>
      <c r="D972" s="14">
        <v>45968</v>
      </c>
      <c r="E972" s="5" t="s">
        <v>1875</v>
      </c>
      <c r="F972" s="5" t="s">
        <v>1303</v>
      </c>
      <c r="G972" s="5"/>
      <c r="H972" s="104"/>
      <c r="I972" s="6" t="s">
        <v>119</v>
      </c>
      <c r="J972" s="6">
        <v>1</v>
      </c>
      <c r="K972" s="6">
        <v>4912</v>
      </c>
      <c r="L972" s="7" t="s">
        <v>7455</v>
      </c>
      <c r="M972" s="8" t="str">
        <f>"CFI"&amp;".D"&amp;TEXT(Caja_Finanzas[[#This Row],[fecha]],"DD-MM")&amp;"-"&amp;TEXT(Caja_Finanzas[[#This Row],[item]],"0000")</f>
        <v>CFI.D07-11-0874</v>
      </c>
      <c r="N972" s="8" t="str">
        <f t="shared" si="242"/>
        <v>PEN</v>
      </c>
      <c r="O972" s="13"/>
      <c r="P972" s="13">
        <v>635</v>
      </c>
      <c r="Q972" s="3">
        <f t="shared" si="243"/>
        <v>635</v>
      </c>
      <c r="R972" s="3">
        <f t="shared" si="244"/>
        <v>0</v>
      </c>
      <c r="S972" s="3">
        <f t="shared" si="245"/>
        <v>7038.5999999999913</v>
      </c>
      <c r="T972" s="24"/>
      <c r="U972" s="24"/>
      <c r="V972" s="3"/>
      <c r="W972" s="25"/>
      <c r="X972" s="25"/>
      <c r="Y972" s="25"/>
      <c r="Z972" s="25"/>
      <c r="AA972" s="25"/>
      <c r="AB972" s="3" t="str">
        <f>IF(Caja_Finanzas[[#This Row],[fecha]]&gt;0,TEXT(Caja_Finanzas[[#This Row],[fecha]],"mmmm"),0)</f>
        <v>Noviembre</v>
      </c>
    </row>
    <row r="973" spans="1:28" ht="24" x14ac:dyDescent="0.3">
      <c r="A973" s="2">
        <f>IF(Caja_Finanzas[[#This Row],[tipo_r]]="R",COUNTIFS($C$1:$C972,"R")+1,A972)</f>
        <v>875</v>
      </c>
      <c r="B973" s="19" t="str">
        <f t="shared" si="241"/>
        <v>C-Finanzas</v>
      </c>
      <c r="C973" s="3" t="s">
        <v>1330</v>
      </c>
      <c r="D973" s="14">
        <v>45968</v>
      </c>
      <c r="E973" s="5" t="s">
        <v>6940</v>
      </c>
      <c r="F973" s="5" t="s">
        <v>1336</v>
      </c>
      <c r="G973" s="5"/>
      <c r="H973" s="104" t="s">
        <v>1009</v>
      </c>
      <c r="I973" s="6" t="s">
        <v>115</v>
      </c>
      <c r="J973" s="6" t="s">
        <v>7282</v>
      </c>
      <c r="K973" s="6">
        <v>72</v>
      </c>
      <c r="L973" s="7" t="s">
        <v>9397</v>
      </c>
      <c r="M973" s="8" t="str">
        <f>"CFI"&amp;".D"&amp;TEXT(Caja_Finanzas[[#This Row],[fecha]],"DD-MM")&amp;"-"&amp;TEXT(Caja_Finanzas[[#This Row],[item]],"0000")</f>
        <v>CFI.D07-11-0875</v>
      </c>
      <c r="N973" s="8" t="str">
        <f t="shared" si="242"/>
        <v>PEN</v>
      </c>
      <c r="O973" s="13"/>
      <c r="P973" s="13">
        <v>550</v>
      </c>
      <c r="Q973" s="3">
        <f t="shared" si="243"/>
        <v>0</v>
      </c>
      <c r="R973" s="3">
        <f t="shared" si="244"/>
        <v>550</v>
      </c>
      <c r="S973" s="3">
        <f t="shared" si="245"/>
        <v>6488.5999999999913</v>
      </c>
      <c r="T973" s="24"/>
      <c r="U973" s="24"/>
      <c r="V973" s="3"/>
      <c r="W973" s="25"/>
      <c r="X973" s="25"/>
      <c r="Y973" s="25"/>
      <c r="Z973" s="25"/>
      <c r="AA973" s="25"/>
      <c r="AB973" s="3" t="str">
        <f>IF(Caja_Finanzas[[#This Row],[fecha]]&gt;0,TEXT(Caja_Finanzas[[#This Row],[fecha]],"mmmm"),0)</f>
        <v>Noviembre</v>
      </c>
    </row>
    <row r="974" spans="1:28" ht="24" x14ac:dyDescent="0.3">
      <c r="A974" s="222">
        <f>IF(Caja_Finanzas[[#This Row],[tipo_r]]="R",COUNTIFS($C$1:$C973,"R")+1,A973)</f>
        <v>876</v>
      </c>
      <c r="B974" s="19" t="str">
        <f t="shared" si="241"/>
        <v>C-Finanzas</v>
      </c>
      <c r="C974" s="3" t="s">
        <v>1330</v>
      </c>
      <c r="D974" s="223">
        <v>45968</v>
      </c>
      <c r="E974" s="5" t="s">
        <v>6418</v>
      </c>
      <c r="F974" s="224" t="s">
        <v>1336</v>
      </c>
      <c r="G974" s="5"/>
      <c r="H974" s="104"/>
      <c r="I974" s="6"/>
      <c r="J974" s="6"/>
      <c r="K974" s="6"/>
      <c r="L974" s="7" t="s">
        <v>9400</v>
      </c>
      <c r="M974" s="226" t="str">
        <f>"CFI"&amp;".D"&amp;TEXT(Caja_Finanzas[[#This Row],[fecha]],"DD-MM")&amp;"-"&amp;TEXT(Caja_Finanzas[[#This Row],[item]],"0000")</f>
        <v>CFI.D07-11-0876</v>
      </c>
      <c r="N974" s="226" t="str">
        <f t="shared" si="242"/>
        <v>PEN</v>
      </c>
      <c r="O974" s="13"/>
      <c r="P974" s="227">
        <v>3000</v>
      </c>
      <c r="Q974" s="228">
        <f t="shared" si="243"/>
        <v>0</v>
      </c>
      <c r="R974" s="228">
        <f t="shared" si="244"/>
        <v>3000</v>
      </c>
      <c r="S974" s="228">
        <f t="shared" si="245"/>
        <v>3488.5999999999913</v>
      </c>
      <c r="T974" s="229"/>
      <c r="U974" s="229"/>
      <c r="V974" s="228"/>
      <c r="W974" s="25"/>
      <c r="X974" s="25"/>
      <c r="Y974" s="25"/>
      <c r="Z974" s="25"/>
      <c r="AA974" s="25"/>
      <c r="AB974" s="228" t="str">
        <f>IF(Caja_Finanzas[[#This Row],[fecha]]&gt;0,TEXT(Caja_Finanzas[[#This Row],[fecha]],"mmmm"),0)</f>
        <v>Noviembre</v>
      </c>
    </row>
    <row r="975" spans="1:28" ht="24" x14ac:dyDescent="0.3">
      <c r="A975" s="237">
        <f>IF(Caja_Finanzas[[#This Row],[tipo_r]]="R",COUNTIFS($C$1:$C974,"R")+1,A974)</f>
        <v>877</v>
      </c>
      <c r="B975" s="19" t="str">
        <f t="shared" si="241"/>
        <v>C-Finanzas</v>
      </c>
      <c r="C975" s="3" t="s">
        <v>1330</v>
      </c>
      <c r="D975" s="238">
        <v>45971</v>
      </c>
      <c r="E975" s="5" t="s">
        <v>2502</v>
      </c>
      <c r="F975" s="239" t="s">
        <v>1303</v>
      </c>
      <c r="G975" s="5"/>
      <c r="H975" s="104"/>
      <c r="I975" s="6" t="s">
        <v>119</v>
      </c>
      <c r="J975" s="6">
        <v>1</v>
      </c>
      <c r="K975" s="6">
        <v>4916</v>
      </c>
      <c r="L975" s="7" t="s">
        <v>7455</v>
      </c>
      <c r="M975" s="240" t="str">
        <f>"CFI"&amp;".D"&amp;TEXT(Caja_Finanzas[[#This Row],[fecha]],"DD-MM")&amp;"-"&amp;TEXT(Caja_Finanzas[[#This Row],[item]],"0000")</f>
        <v>CFI.D10-11-0877</v>
      </c>
      <c r="N975" s="240" t="str">
        <f t="shared" si="242"/>
        <v>PEN</v>
      </c>
      <c r="O975" s="13"/>
      <c r="P975" s="241">
        <v>2500.3000000000002</v>
      </c>
      <c r="Q975" s="242">
        <f t="shared" si="243"/>
        <v>2500.3000000000002</v>
      </c>
      <c r="R975" s="242">
        <f t="shared" si="244"/>
        <v>0</v>
      </c>
      <c r="S975" s="242">
        <f t="shared" si="245"/>
        <v>5988.8999999999915</v>
      </c>
      <c r="T975" s="243"/>
      <c r="U975" s="243"/>
      <c r="V975" s="242"/>
      <c r="W975" s="25"/>
      <c r="X975" s="25"/>
      <c r="Y975" s="25"/>
      <c r="Z975" s="25"/>
      <c r="AA975" s="25"/>
      <c r="AB975" s="242" t="str">
        <f>IF(Caja_Finanzas[[#This Row],[fecha]]&gt;0,TEXT(Caja_Finanzas[[#This Row],[fecha]],"mmmm"),0)</f>
        <v>Noviembre</v>
      </c>
    </row>
    <row r="976" spans="1:28" ht="24" x14ac:dyDescent="0.3">
      <c r="A976" s="237">
        <f>IF(Caja_Finanzas[[#This Row],[tipo_r]]="R",COUNTIFS($C$1:$C975,"R")+1,A975)</f>
        <v>878</v>
      </c>
      <c r="B976" s="19" t="str">
        <f t="shared" si="241"/>
        <v>C-Finanzas</v>
      </c>
      <c r="C976" s="3" t="s">
        <v>1330</v>
      </c>
      <c r="D976" s="238">
        <v>45972</v>
      </c>
      <c r="E976" s="5" t="s">
        <v>5828</v>
      </c>
      <c r="F976" s="239" t="s">
        <v>1336</v>
      </c>
      <c r="G976" s="5"/>
      <c r="H976" s="104" t="s">
        <v>1009</v>
      </c>
      <c r="I976" s="6" t="s">
        <v>115</v>
      </c>
      <c r="J976" s="6" t="s">
        <v>7302</v>
      </c>
      <c r="K976" s="6">
        <v>61</v>
      </c>
      <c r="L976" s="7" t="s">
        <v>9470</v>
      </c>
      <c r="M976" s="240" t="str">
        <f>"CFI"&amp;".D"&amp;TEXT(Caja_Finanzas[[#This Row],[fecha]],"DD-MM")&amp;"-"&amp;TEXT(Caja_Finanzas[[#This Row],[item]],"0000")</f>
        <v>CFI.D11-11-0878</v>
      </c>
      <c r="N976" s="240" t="str">
        <f t="shared" si="242"/>
        <v>PEN</v>
      </c>
      <c r="O976" s="13"/>
      <c r="P976" s="241">
        <v>2500</v>
      </c>
      <c r="Q976" s="242">
        <f t="shared" si="243"/>
        <v>0</v>
      </c>
      <c r="R976" s="242">
        <f t="shared" si="244"/>
        <v>2500</v>
      </c>
      <c r="S976" s="242">
        <f t="shared" si="245"/>
        <v>3488.8999999999915</v>
      </c>
      <c r="T976" s="243"/>
      <c r="U976" s="243"/>
      <c r="V976" s="242"/>
      <c r="W976" s="25"/>
      <c r="X976" s="25"/>
      <c r="Y976" s="25"/>
      <c r="Z976" s="25"/>
      <c r="AA976" s="25"/>
      <c r="AB976" s="242" t="str">
        <f>IF(Caja_Finanzas[[#This Row],[fecha]]&gt;0,TEXT(Caja_Finanzas[[#This Row],[fecha]],"mmmm"),0)</f>
        <v>Noviembre</v>
      </c>
    </row>
    <row r="977" spans="1:28" ht="24" x14ac:dyDescent="0.3">
      <c r="A977" s="237">
        <f>IF(Caja_Finanzas[[#This Row],[tipo_r]]="R",COUNTIFS($C$1:$C976,"R")+1,A976)</f>
        <v>879</v>
      </c>
      <c r="B977" s="19" t="str">
        <f t="shared" si="241"/>
        <v>C-Finanzas</v>
      </c>
      <c r="C977" s="3" t="s">
        <v>1330</v>
      </c>
      <c r="D977" s="238">
        <v>45972</v>
      </c>
      <c r="E977" s="5" t="s">
        <v>1669</v>
      </c>
      <c r="F977" s="239" t="s">
        <v>1303</v>
      </c>
      <c r="G977" s="5"/>
      <c r="H977" s="104"/>
      <c r="I977" s="6" t="s">
        <v>119</v>
      </c>
      <c r="J977" s="6">
        <v>1</v>
      </c>
      <c r="K977" s="6">
        <v>4807</v>
      </c>
      <c r="L977" s="7" t="s">
        <v>7455</v>
      </c>
      <c r="M977" s="240" t="str">
        <f>"CFI"&amp;".D"&amp;TEXT(Caja_Finanzas[[#This Row],[fecha]],"DD-MM")&amp;"-"&amp;TEXT(Caja_Finanzas[[#This Row],[item]],"0000")</f>
        <v>CFI.D11-11-0879</v>
      </c>
      <c r="N977" s="240" t="str">
        <f t="shared" si="242"/>
        <v>PEN</v>
      </c>
      <c r="O977" s="13"/>
      <c r="P977" s="241">
        <v>1000</v>
      </c>
      <c r="Q977" s="242">
        <f t="shared" si="243"/>
        <v>1000</v>
      </c>
      <c r="R977" s="242">
        <f t="shared" si="244"/>
        <v>0</v>
      </c>
      <c r="S977" s="242">
        <f t="shared" si="245"/>
        <v>4488.8999999999915</v>
      </c>
      <c r="T977" s="243"/>
      <c r="U977" s="243"/>
      <c r="V977" s="242"/>
      <c r="W977" s="25"/>
      <c r="X977" s="25"/>
      <c r="Y977" s="25"/>
      <c r="Z977" s="25"/>
      <c r="AA977" s="25"/>
      <c r="AB977" s="242" t="str">
        <f>IF(Caja_Finanzas[[#This Row],[fecha]]&gt;0,TEXT(Caja_Finanzas[[#This Row],[fecha]],"mmmm"),0)</f>
        <v>Noviembre</v>
      </c>
    </row>
    <row r="978" spans="1:28" x14ac:dyDescent="0.3">
      <c r="A978" s="237">
        <f>IF(Caja_Finanzas[[#This Row],[tipo_r]]="R",COUNTIFS($C$1:$C977,"R")+1,A977)</f>
        <v>880</v>
      </c>
      <c r="B978" s="19" t="str">
        <f t="shared" si="241"/>
        <v>C-Finanzas</v>
      </c>
      <c r="C978" s="3" t="s">
        <v>1330</v>
      </c>
      <c r="D978" s="238">
        <v>45972</v>
      </c>
      <c r="E978" s="5" t="s">
        <v>1442</v>
      </c>
      <c r="F978" s="239" t="s">
        <v>1303</v>
      </c>
      <c r="G978" s="5"/>
      <c r="H978" s="104"/>
      <c r="I978" s="6" t="s">
        <v>119</v>
      </c>
      <c r="J978" s="6">
        <v>1</v>
      </c>
      <c r="K978" s="6">
        <v>4917</v>
      </c>
      <c r="L978" s="7" t="s">
        <v>7455</v>
      </c>
      <c r="M978" s="240" t="str">
        <f>"CFI"&amp;".D"&amp;TEXT(Caja_Finanzas[[#This Row],[fecha]],"DD-MM")&amp;"-"&amp;TEXT(Caja_Finanzas[[#This Row],[item]],"0000")</f>
        <v>CFI.D11-11-0880</v>
      </c>
      <c r="N978" s="240" t="str">
        <f t="shared" si="242"/>
        <v>PEN</v>
      </c>
      <c r="O978" s="13"/>
      <c r="P978" s="241">
        <v>150</v>
      </c>
      <c r="Q978" s="242">
        <f t="shared" si="243"/>
        <v>150</v>
      </c>
      <c r="R978" s="242">
        <f t="shared" si="244"/>
        <v>0</v>
      </c>
      <c r="S978" s="242">
        <f t="shared" si="245"/>
        <v>4638.8999999999915</v>
      </c>
      <c r="T978" s="243"/>
      <c r="U978" s="243"/>
      <c r="V978" s="242"/>
      <c r="W978" s="25"/>
      <c r="X978" s="25"/>
      <c r="Y978" s="25"/>
      <c r="Z978" s="25"/>
      <c r="AA978" s="25"/>
      <c r="AB978" s="242" t="str">
        <f>IF(Caja_Finanzas[[#This Row],[fecha]]&gt;0,TEXT(Caja_Finanzas[[#This Row],[fecha]],"mmmm"),0)</f>
        <v>Noviembre</v>
      </c>
    </row>
    <row r="979" spans="1:28" ht="24" x14ac:dyDescent="0.3">
      <c r="A979" s="237">
        <f>IF(Caja_Finanzas[[#This Row],[tipo_r]]="R",COUNTIFS($C$1:$C978,"R")+1,A978)</f>
        <v>881</v>
      </c>
      <c r="B979" s="19" t="str">
        <f t="shared" ref="B979:B984" si="246">"C-Finanzas"</f>
        <v>C-Finanzas</v>
      </c>
      <c r="C979" s="3" t="s">
        <v>1330</v>
      </c>
      <c r="D979" s="238">
        <v>45972</v>
      </c>
      <c r="E979" s="5" t="s">
        <v>6216</v>
      </c>
      <c r="F979" s="239" t="s">
        <v>1336</v>
      </c>
      <c r="G979" s="5"/>
      <c r="H979" s="104" t="s">
        <v>1009</v>
      </c>
      <c r="I979" s="6" t="s">
        <v>115</v>
      </c>
      <c r="J979" s="6" t="s">
        <v>7187</v>
      </c>
      <c r="K979" s="6">
        <v>167</v>
      </c>
      <c r="L979" s="7" t="s">
        <v>9479</v>
      </c>
      <c r="M979" s="240" t="str">
        <f>"CFI"&amp;".D"&amp;TEXT(Caja_Finanzas[[#This Row],[fecha]],"DD-MM")&amp;"-"&amp;TEXT(Caja_Finanzas[[#This Row],[item]],"0000")</f>
        <v>CFI.D11-11-0881</v>
      </c>
      <c r="N979" s="240" t="str">
        <f t="shared" ref="N979:N984" si="247">"PEN"</f>
        <v>PEN</v>
      </c>
      <c r="O979" s="13"/>
      <c r="P979" s="241">
        <v>30</v>
      </c>
      <c r="Q979" s="242">
        <f t="shared" ref="Q979:Q984" si="248">+IF(OR($F979="SALDO",$F979="INGRESO"),$P979,0)</f>
        <v>0</v>
      </c>
      <c r="R979" s="242">
        <f t="shared" ref="R979:R984" si="249">+IF($F979="EGRESO",$P979,0)</f>
        <v>30</v>
      </c>
      <c r="S979" s="242">
        <f t="shared" ref="S979:S984" si="250">IFERROR(IF(F979="SALDO",Q979,S978+Q979-R979),0)</f>
        <v>4608.8999999999915</v>
      </c>
      <c r="T979" s="243"/>
      <c r="U979" s="243"/>
      <c r="V979" s="242"/>
      <c r="W979" s="25"/>
      <c r="X979" s="25"/>
      <c r="Y979" s="25"/>
      <c r="Z979" s="25"/>
      <c r="AA979" s="25"/>
      <c r="AB979" s="242" t="str">
        <f>IF(Caja_Finanzas[[#This Row],[fecha]]&gt;0,TEXT(Caja_Finanzas[[#This Row],[fecha]],"mmmm"),0)</f>
        <v>Noviembre</v>
      </c>
    </row>
    <row r="980" spans="1:28" ht="24" x14ac:dyDescent="0.3">
      <c r="A980" s="237">
        <f>IF(Caja_Finanzas[[#This Row],[tipo_r]]="R",COUNTIFS($C$1:$C979,"R")+1,A979)</f>
        <v>882</v>
      </c>
      <c r="B980" s="19" t="str">
        <f t="shared" si="246"/>
        <v>C-Finanzas</v>
      </c>
      <c r="C980" s="3" t="s">
        <v>1330</v>
      </c>
      <c r="D980" s="238">
        <v>45972</v>
      </c>
      <c r="E980" s="5" t="s">
        <v>6216</v>
      </c>
      <c r="F980" s="239" t="s">
        <v>1336</v>
      </c>
      <c r="G980" s="5"/>
      <c r="H980" s="104" t="s">
        <v>1009</v>
      </c>
      <c r="I980" s="6" t="s">
        <v>115</v>
      </c>
      <c r="J980" s="6" t="s">
        <v>9478</v>
      </c>
      <c r="K980" s="6">
        <v>168</v>
      </c>
      <c r="L980" s="7" t="s">
        <v>9480</v>
      </c>
      <c r="M980" s="240" t="str">
        <f>"CFI"&amp;".D"&amp;TEXT(Caja_Finanzas[[#This Row],[fecha]],"DD-MM")&amp;"-"&amp;TEXT(Caja_Finanzas[[#This Row],[item]],"0000")</f>
        <v>CFI.D11-11-0882</v>
      </c>
      <c r="N980" s="240" t="str">
        <f t="shared" si="247"/>
        <v>PEN</v>
      </c>
      <c r="O980" s="13"/>
      <c r="P980" s="241">
        <v>10</v>
      </c>
      <c r="Q980" s="242">
        <f t="shared" si="248"/>
        <v>0</v>
      </c>
      <c r="R980" s="242">
        <f t="shared" si="249"/>
        <v>10</v>
      </c>
      <c r="S980" s="242">
        <f t="shared" si="250"/>
        <v>4598.8999999999915</v>
      </c>
      <c r="T980" s="243"/>
      <c r="U980" s="243"/>
      <c r="V980" s="242"/>
      <c r="W980" s="25"/>
      <c r="X980" s="25"/>
      <c r="Y980" s="25"/>
      <c r="Z980" s="25"/>
      <c r="AA980" s="25"/>
      <c r="AB980" s="242" t="str">
        <f>IF(Caja_Finanzas[[#This Row],[fecha]]&gt;0,TEXT(Caja_Finanzas[[#This Row],[fecha]],"mmmm"),0)</f>
        <v>Noviembre</v>
      </c>
    </row>
    <row r="981" spans="1:28" ht="24" x14ac:dyDescent="0.3">
      <c r="A981" s="244">
        <f>IF(Caja_Finanzas[[#This Row],[tipo_r]]="R",COUNTIFS($C$1:$C980,"R")+1,A980)</f>
        <v>883</v>
      </c>
      <c r="B981" s="19" t="str">
        <f t="shared" si="246"/>
        <v>C-Finanzas</v>
      </c>
      <c r="C981" s="3" t="s">
        <v>1330</v>
      </c>
      <c r="D981" s="245">
        <v>45973</v>
      </c>
      <c r="E981" s="5" t="s">
        <v>6731</v>
      </c>
      <c r="F981" s="246" t="s">
        <v>1336</v>
      </c>
      <c r="G981" s="5"/>
      <c r="H981" s="104" t="s">
        <v>1009</v>
      </c>
      <c r="I981" s="6" t="s">
        <v>115</v>
      </c>
      <c r="J981" s="6" t="s">
        <v>7187</v>
      </c>
      <c r="K981" s="6">
        <v>169</v>
      </c>
      <c r="L981" s="7" t="s">
        <v>9502</v>
      </c>
      <c r="M981" s="248" t="str">
        <f>"CFI"&amp;".D"&amp;TEXT(Caja_Finanzas[[#This Row],[fecha]],"DD-MM")&amp;"-"&amp;TEXT(Caja_Finanzas[[#This Row],[item]],"0000")</f>
        <v>CFI.D12-11-0883</v>
      </c>
      <c r="N981" s="248" t="str">
        <f t="shared" si="247"/>
        <v>PEN</v>
      </c>
      <c r="O981" s="13"/>
      <c r="P981" s="249">
        <v>400</v>
      </c>
      <c r="Q981" s="250">
        <f t="shared" si="248"/>
        <v>0</v>
      </c>
      <c r="R981" s="250">
        <f t="shared" si="249"/>
        <v>400</v>
      </c>
      <c r="S981" s="250">
        <f t="shared" si="250"/>
        <v>4198.8999999999915</v>
      </c>
      <c r="T981" s="251"/>
      <c r="U981" s="251"/>
      <c r="V981" s="250"/>
      <c r="W981" s="25"/>
      <c r="X981" s="25"/>
      <c r="Y981" s="25"/>
      <c r="Z981" s="25"/>
      <c r="AA981" s="25"/>
      <c r="AB981" s="250" t="str">
        <f>IF(Caja_Finanzas[[#This Row],[fecha]]&gt;0,TEXT(Caja_Finanzas[[#This Row],[fecha]],"mmmm"),0)</f>
        <v>Noviembre</v>
      </c>
    </row>
    <row r="982" spans="1:28" ht="24" x14ac:dyDescent="0.3">
      <c r="A982" s="2">
        <f>IF(Caja_Finanzas[[#This Row],[tipo_r]]="R",COUNTIFS($C$1:$C981,"R")+1,A981)</f>
        <v>884</v>
      </c>
      <c r="B982" s="19" t="str">
        <f t="shared" si="246"/>
        <v>C-Finanzas</v>
      </c>
      <c r="C982" s="3" t="s">
        <v>1330</v>
      </c>
      <c r="D982" s="245">
        <v>45973</v>
      </c>
      <c r="E982" s="5" t="s">
        <v>9529</v>
      </c>
      <c r="F982" s="239" t="s">
        <v>1303</v>
      </c>
      <c r="G982" s="5"/>
      <c r="H982" s="104"/>
      <c r="I982" s="6" t="s">
        <v>119</v>
      </c>
      <c r="J982" s="6">
        <v>1</v>
      </c>
      <c r="K982" s="6">
        <v>4921</v>
      </c>
      <c r="L982" s="7" t="s">
        <v>7455</v>
      </c>
      <c r="M982" s="8" t="str">
        <f>"CFI"&amp;".D"&amp;TEXT(Caja_Finanzas[[#This Row],[fecha]],"DD-MM")&amp;"-"&amp;TEXT(Caja_Finanzas[[#This Row],[item]],"0000")</f>
        <v>CFI.D12-11-0884</v>
      </c>
      <c r="N982" s="8" t="str">
        <f t="shared" si="247"/>
        <v>PEN</v>
      </c>
      <c r="O982" s="13"/>
      <c r="P982" s="13">
        <v>200</v>
      </c>
      <c r="Q982" s="3">
        <f t="shared" si="248"/>
        <v>200</v>
      </c>
      <c r="R982" s="3">
        <f t="shared" si="249"/>
        <v>0</v>
      </c>
      <c r="S982" s="3">
        <f t="shared" si="250"/>
        <v>4398.8999999999915</v>
      </c>
      <c r="T982" s="24"/>
      <c r="U982" s="24"/>
      <c r="V982" s="3"/>
      <c r="W982" s="25"/>
      <c r="X982" s="25"/>
      <c r="Y982" s="25"/>
      <c r="Z982" s="25"/>
      <c r="AA982" s="25"/>
      <c r="AB982" s="3" t="str">
        <f>IF(Caja_Finanzas[[#This Row],[fecha]]&gt;0,TEXT(Caja_Finanzas[[#This Row],[fecha]],"mmmm"),0)</f>
        <v>Noviembre</v>
      </c>
    </row>
    <row r="983" spans="1:28" x14ac:dyDescent="0.3">
      <c r="A983" s="2">
        <f>IF(Caja_Finanzas[[#This Row],[tipo_r]]="R",COUNTIFS($C$1:$C982,"R")+1,A982)</f>
        <v>885</v>
      </c>
      <c r="B983" s="19" t="str">
        <f t="shared" si="246"/>
        <v>C-Finanzas</v>
      </c>
      <c r="C983" s="3" t="s">
        <v>1330</v>
      </c>
      <c r="D983" s="245">
        <v>45973</v>
      </c>
      <c r="E983" s="5" t="s">
        <v>9530</v>
      </c>
      <c r="F983" s="239" t="s">
        <v>1303</v>
      </c>
      <c r="G983" s="5"/>
      <c r="H983" s="104"/>
      <c r="I983" s="6" t="s">
        <v>119</v>
      </c>
      <c r="J983" s="6">
        <v>1</v>
      </c>
      <c r="K983" s="6">
        <v>4920</v>
      </c>
      <c r="L983" s="7" t="s">
        <v>7455</v>
      </c>
      <c r="M983" s="8" t="str">
        <f>"CFI"&amp;".D"&amp;TEXT(Caja_Finanzas[[#This Row],[fecha]],"DD-MM")&amp;"-"&amp;TEXT(Caja_Finanzas[[#This Row],[item]],"0000")</f>
        <v>CFI.D12-11-0885</v>
      </c>
      <c r="N983" s="8" t="str">
        <f t="shared" si="247"/>
        <v>PEN</v>
      </c>
      <c r="O983" s="13"/>
      <c r="P983" s="13">
        <v>10</v>
      </c>
      <c r="Q983" s="3">
        <f t="shared" si="248"/>
        <v>10</v>
      </c>
      <c r="R983" s="3">
        <f t="shared" si="249"/>
        <v>0</v>
      </c>
      <c r="S983" s="3">
        <f t="shared" si="250"/>
        <v>4408.8999999999915</v>
      </c>
      <c r="T983" s="24"/>
      <c r="U983" s="24"/>
      <c r="V983" s="3"/>
      <c r="W983" s="25"/>
      <c r="X983" s="25"/>
      <c r="Y983" s="25"/>
      <c r="Z983" s="25"/>
      <c r="AA983" s="25"/>
      <c r="AB983" s="3" t="str">
        <f>IF(Caja_Finanzas[[#This Row],[fecha]]&gt;0,TEXT(Caja_Finanzas[[#This Row],[fecha]],"mmmm"),0)</f>
        <v>Noviembre</v>
      </c>
    </row>
    <row r="984" spans="1:28" x14ac:dyDescent="0.3">
      <c r="A984" s="2">
        <f>IF(Caja_Finanzas[[#This Row],[tipo_r]]="R",COUNTIFS($C$1:$C983,"R")+1,A983)</f>
        <v>886</v>
      </c>
      <c r="B984" s="19" t="str">
        <f t="shared" si="246"/>
        <v>C-Finanzas</v>
      </c>
      <c r="C984" s="3" t="s">
        <v>1330</v>
      </c>
      <c r="D984" s="245">
        <v>45973</v>
      </c>
      <c r="E984" s="5" t="s">
        <v>439</v>
      </c>
      <c r="F984" s="239" t="s">
        <v>1303</v>
      </c>
      <c r="G984" s="5"/>
      <c r="H984" s="104"/>
      <c r="I984" s="6" t="s">
        <v>119</v>
      </c>
      <c r="J984" s="6">
        <v>1</v>
      </c>
      <c r="K984" s="6">
        <v>4923</v>
      </c>
      <c r="L984" s="7" t="s">
        <v>7455</v>
      </c>
      <c r="M984" s="8" t="str">
        <f>"CFI"&amp;".D"&amp;TEXT(Caja_Finanzas[[#This Row],[fecha]],"DD-MM")&amp;"-"&amp;TEXT(Caja_Finanzas[[#This Row],[item]],"0000")</f>
        <v>CFI.D12-11-0886</v>
      </c>
      <c r="N984" s="8" t="str">
        <f t="shared" si="247"/>
        <v>PEN</v>
      </c>
      <c r="O984" s="13"/>
      <c r="P984" s="13">
        <v>1884</v>
      </c>
      <c r="Q984" s="3">
        <f t="shared" si="248"/>
        <v>1884</v>
      </c>
      <c r="R984" s="3">
        <f t="shared" si="249"/>
        <v>0</v>
      </c>
      <c r="S984" s="3">
        <f t="shared" si="250"/>
        <v>6292.8999999999915</v>
      </c>
      <c r="T984" s="24"/>
      <c r="U984" s="24"/>
      <c r="V984" s="3"/>
      <c r="W984" s="25"/>
      <c r="X984" s="25"/>
      <c r="Y984" s="25"/>
      <c r="Z984" s="25"/>
      <c r="AA984" s="25"/>
      <c r="AB984" s="3" t="str">
        <f>IF(Caja_Finanzas[[#This Row],[fecha]]&gt;0,TEXT(Caja_Finanzas[[#This Row],[fecha]],"mmmm"),0)</f>
        <v>Noviembre</v>
      </c>
    </row>
    <row r="985" spans="1:28" ht="24" x14ac:dyDescent="0.3">
      <c r="A985" s="255">
        <f>IF(Caja_Finanzas[[#This Row],[tipo_r]]="R",COUNTIFS($C$1:$C984,"R")+1,A984)</f>
        <v>887</v>
      </c>
      <c r="B985" s="19" t="str">
        <f>"C-Finanzas"</f>
        <v>C-Finanzas</v>
      </c>
      <c r="C985" s="3" t="s">
        <v>1330</v>
      </c>
      <c r="D985" s="245">
        <v>45974</v>
      </c>
      <c r="E985" s="5" t="s">
        <v>3530</v>
      </c>
      <c r="F985" s="239" t="s">
        <v>1303</v>
      </c>
      <c r="G985" s="5"/>
      <c r="H985" s="104"/>
      <c r="I985" s="6" t="s">
        <v>119</v>
      </c>
      <c r="J985" s="6">
        <v>1</v>
      </c>
      <c r="K985" s="6">
        <v>4926</v>
      </c>
      <c r="L985" s="7" t="s">
        <v>7455</v>
      </c>
      <c r="M985" s="259" t="str">
        <f>"CFI"&amp;".D"&amp;TEXT(Caja_Finanzas[[#This Row],[fecha]],"DD-MM")&amp;"-"&amp;TEXT(Caja_Finanzas[[#This Row],[item]],"0000")</f>
        <v>CFI.D13-11-0887</v>
      </c>
      <c r="N985" s="259" t="str">
        <f>"PEN"</f>
        <v>PEN</v>
      </c>
      <c r="O985" s="13"/>
      <c r="P985" s="260">
        <v>1474</v>
      </c>
      <c r="Q985" s="261">
        <f>+IF(OR($F985="SALDO",$F985="INGRESO"),$P985,0)</f>
        <v>1474</v>
      </c>
      <c r="R985" s="261">
        <f>+IF($F985="EGRESO",$P985,0)</f>
        <v>0</v>
      </c>
      <c r="S985" s="261">
        <f>IFERROR(IF(F985="SALDO",Q985,S984+Q985-R985),0)</f>
        <v>7766.8999999999915</v>
      </c>
      <c r="T985" s="262"/>
      <c r="U985" s="262"/>
      <c r="V985" s="261"/>
      <c r="W985" s="25"/>
      <c r="X985" s="25"/>
      <c r="Y985" s="25"/>
      <c r="Z985" s="25"/>
      <c r="AA985" s="25"/>
      <c r="AB985" s="261" t="str">
        <f>IF(Caja_Finanzas[[#This Row],[fecha]]&gt;0,TEXT(Caja_Finanzas[[#This Row],[fecha]],"mmmm"),0)</f>
        <v>Noviembre</v>
      </c>
    </row>
    <row r="986" spans="1:28" x14ac:dyDescent="0.3">
      <c r="A986" s="255">
        <f>IF(Caja_Finanzas[[#This Row],[tipo_r]]="R",COUNTIFS($C$1:$C985,"R")+1,A985)</f>
        <v>888</v>
      </c>
      <c r="B986" s="19" t="str">
        <f>"C-Finanzas"</f>
        <v>C-Finanzas</v>
      </c>
      <c r="C986" s="3" t="s">
        <v>1330</v>
      </c>
      <c r="D986" s="256">
        <v>45974</v>
      </c>
      <c r="E986" s="257"/>
      <c r="F986" s="257"/>
      <c r="G986" s="5"/>
      <c r="H986" s="104"/>
      <c r="I986" s="6"/>
      <c r="J986" s="6"/>
      <c r="K986" s="6"/>
      <c r="L986" s="258"/>
      <c r="M986" s="259" t="str">
        <f>"CFI"&amp;".D"&amp;TEXT(Caja_Finanzas[[#This Row],[fecha]],"DD-MM")&amp;"-"&amp;TEXT(Caja_Finanzas[[#This Row],[item]],"0000")</f>
        <v>CFI.D13-11-0888</v>
      </c>
      <c r="N986" s="259" t="str">
        <f>"PEN"</f>
        <v>PEN</v>
      </c>
      <c r="O986" s="13"/>
      <c r="P986" s="260"/>
      <c r="Q986" s="261">
        <f>+IF(OR($F986="SALDO",$F986="INGRESO"),$P986,0)</f>
        <v>0</v>
      </c>
      <c r="R986" s="261">
        <f>+IF($F986="EGRESO",$P986,0)</f>
        <v>0</v>
      </c>
      <c r="S986" s="261">
        <f>IFERROR(IF(F986="SALDO",Q986,S985+Q986-R986),0)</f>
        <v>7766.8999999999915</v>
      </c>
      <c r="T986" s="262"/>
      <c r="U986" s="262"/>
      <c r="V986" s="261"/>
      <c r="W986" s="25"/>
      <c r="X986" s="25"/>
      <c r="Y986" s="25"/>
      <c r="Z986" s="25"/>
      <c r="AA986" s="25"/>
      <c r="AB986" s="261" t="str">
        <f>IF(Caja_Finanzas[[#This Row],[fecha]]&gt;0,TEXT(Caja_Finanzas[[#This Row],[fecha]],"mmmm"),0)</f>
        <v>Noviembre</v>
      </c>
    </row>
    <row r="987" spans="1:28" x14ac:dyDescent="0.3">
      <c r="H987" s="64"/>
      <c r="T987" s="64"/>
    </row>
    <row r="988" spans="1:28" x14ac:dyDescent="0.3">
      <c r="H988" s="64"/>
      <c r="T988" s="64"/>
    </row>
    <row r="989" spans="1:28" x14ac:dyDescent="0.3">
      <c r="H989" s="64"/>
      <c r="T989" s="64"/>
    </row>
    <row r="990" spans="1:28" x14ac:dyDescent="0.3">
      <c r="H990" s="64"/>
      <c r="T990" s="64"/>
    </row>
  </sheetData>
  <phoneticPr fontId="11" type="noConversion"/>
  <conditionalFormatting sqref="A2:AB986">
    <cfRule type="expression" dxfId="198" priority="150">
      <formula>$C2="D"</formula>
    </cfRule>
    <cfRule type="expression" dxfId="197" priority="389">
      <formula>$U2="OK"</formula>
    </cfRule>
    <cfRule type="expression" dxfId="196" priority="390">
      <formula>$T2="OK"</formula>
    </cfRule>
  </conditionalFormatting>
  <conditionalFormatting sqref="A679:AB694 F695:F698 I695:I734 L695:L734 L846:L847">
    <cfRule type="expression" dxfId="195" priority="148">
      <formula>$U679="OK"</formula>
    </cfRule>
    <cfRule type="expression" dxfId="194" priority="149">
      <formula>$T679="OK"</formula>
    </cfRule>
  </conditionalFormatting>
  <conditionalFormatting sqref="C950:C953">
    <cfRule type="expression" dxfId="193" priority="22">
      <formula>$U950="OK"</formula>
    </cfRule>
    <cfRule type="expression" dxfId="192" priority="23">
      <formula>$T950="OK"</formula>
    </cfRule>
    <cfRule type="expression" dxfId="191" priority="21">
      <formula>$C950="D"</formula>
    </cfRule>
  </conditionalFormatting>
  <conditionalFormatting sqref="C887:D887">
    <cfRule type="expression" dxfId="190" priority="67">
      <formula>$C887="D"</formula>
    </cfRule>
    <cfRule type="expression" dxfId="189" priority="68">
      <formula>$U887="OK"</formula>
    </cfRule>
    <cfRule type="expression" dxfId="188" priority="69">
      <formula>$T887="OK"</formula>
    </cfRule>
  </conditionalFormatting>
  <conditionalFormatting sqref="C918:F918">
    <cfRule type="expression" dxfId="187" priority="51">
      <formula>$U918="OK"</formula>
    </cfRule>
    <cfRule type="expression" dxfId="186" priority="50">
      <formula>$C918="D"</formula>
    </cfRule>
    <cfRule type="expression" dxfId="185" priority="52">
      <formula>$T918="OK"</formula>
    </cfRule>
  </conditionalFormatting>
  <conditionalFormatting sqref="C934:F934">
    <cfRule type="expression" dxfId="184" priority="31">
      <formula>$U934="OK"</formula>
    </cfRule>
    <cfRule type="expression" dxfId="183" priority="32">
      <formula>$T934="OK"</formula>
    </cfRule>
    <cfRule type="expression" dxfId="182" priority="30">
      <formula>$C934="D"</formula>
    </cfRule>
  </conditionalFormatting>
  <conditionalFormatting sqref="C923:I923">
    <cfRule type="expression" dxfId="181" priority="47">
      <formula>$T923="OK"</formula>
    </cfRule>
    <cfRule type="expression" dxfId="180" priority="45">
      <formula>$C923="D"</formula>
    </cfRule>
    <cfRule type="expression" dxfId="179" priority="46">
      <formula>$U923="OK"</formula>
    </cfRule>
  </conditionalFormatting>
  <conditionalFormatting sqref="C754:L755">
    <cfRule type="expression" dxfId="178" priority="118">
      <formula>$C754="D"</formula>
    </cfRule>
    <cfRule type="expression" dxfId="177" priority="120">
      <formula>$T754="OK"</formula>
    </cfRule>
    <cfRule type="expression" dxfId="176" priority="119">
      <formula>$U754="OK"</formula>
    </cfRule>
  </conditionalFormatting>
  <conditionalFormatting sqref="F746:F747">
    <cfRule type="expression" dxfId="175" priority="132">
      <formula>$C746="D"</formula>
    </cfRule>
    <cfRule type="expression" dxfId="174" priority="133">
      <formula>$U746="OK"</formula>
    </cfRule>
    <cfRule type="expression" dxfId="173" priority="134">
      <formula>$T746="OK"</formula>
    </cfRule>
  </conditionalFormatting>
  <conditionalFormatting sqref="I924">
    <cfRule type="expression" dxfId="172" priority="40">
      <formula>$C924="D"</formula>
    </cfRule>
    <cfRule type="expression" dxfId="171" priority="41">
      <formula>$U924="OK"</formula>
    </cfRule>
    <cfRule type="expression" dxfId="170" priority="42">
      <formula>$T924="OK"</formula>
    </cfRule>
  </conditionalFormatting>
  <conditionalFormatting sqref="I929:I934">
    <cfRule type="expression" dxfId="169" priority="35">
      <formula>$C929="D"</formula>
    </cfRule>
    <cfRule type="expression" dxfId="168" priority="36">
      <formula>$U929="OK"</formula>
    </cfRule>
    <cfRule type="expression" dxfId="167" priority="37">
      <formula>$T929="OK"</formula>
    </cfRule>
  </conditionalFormatting>
  <conditionalFormatting sqref="L641">
    <cfRule type="expression" dxfId="166" priority="152">
      <formula>$T641="OK"</formula>
    </cfRule>
    <cfRule type="expression" dxfId="165" priority="151">
      <formula>$U641="OK"</formula>
    </cfRule>
    <cfRule type="expression" dxfId="164" priority="153">
      <formula>$C641="D"</formula>
    </cfRule>
  </conditionalFormatting>
  <conditionalFormatting sqref="L736:L741">
    <cfRule type="expression" dxfId="163" priority="141">
      <formula>$T736="OK"</formula>
    </cfRule>
    <cfRule type="expression" dxfId="162" priority="140">
      <formula>$U736="OK"</formula>
    </cfRule>
  </conditionalFormatting>
  <conditionalFormatting sqref="L743:L747">
    <cfRule type="expression" dxfId="161" priority="138">
      <formula>$U743="OK"</formula>
    </cfRule>
    <cfRule type="expression" dxfId="160" priority="139">
      <formula>$T743="OK"</formula>
    </cfRule>
  </conditionalFormatting>
  <conditionalFormatting sqref="L757">
    <cfRule type="expression" dxfId="159" priority="117">
      <formula>$T757="OK"</formula>
    </cfRule>
    <cfRule type="expression" dxfId="158" priority="116">
      <formula>$U757="OK"</formula>
    </cfRule>
  </conditionalFormatting>
  <conditionalFormatting sqref="L761">
    <cfRule type="expression" dxfId="157" priority="115">
      <formula>$T761="OK"</formula>
    </cfRule>
    <cfRule type="expression" dxfId="156" priority="114">
      <formula>$U761="OK"</formula>
    </cfRule>
  </conditionalFormatting>
  <conditionalFormatting sqref="L772:L792">
    <cfRule type="expression" dxfId="155" priority="113">
      <formula>$T772="OK"</formula>
    </cfRule>
    <cfRule type="expression" dxfId="154" priority="112">
      <formula>$U772="OK"</formula>
    </cfRule>
  </conditionalFormatting>
  <conditionalFormatting sqref="L803">
    <cfRule type="expression" dxfId="153" priority="111">
      <formula>$T803="OK"</formula>
    </cfRule>
    <cfRule type="expression" dxfId="152" priority="110">
      <formula>$U803="OK"</formula>
    </cfRule>
  </conditionalFormatting>
  <conditionalFormatting sqref="L809:L813">
    <cfRule type="expression" dxfId="151" priority="109">
      <formula>$T809="OK"</formula>
    </cfRule>
    <cfRule type="expression" dxfId="150" priority="108">
      <formula>$U809="OK"</formula>
    </cfRule>
  </conditionalFormatting>
  <conditionalFormatting sqref="L827:L828">
    <cfRule type="expression" dxfId="149" priority="107">
      <formula>$T827="OK"</formula>
    </cfRule>
    <cfRule type="expression" dxfId="148" priority="106">
      <formula>$U827="OK"</formula>
    </cfRule>
  </conditionalFormatting>
  <conditionalFormatting sqref="L831">
    <cfRule type="expression" dxfId="147" priority="105">
      <formula>$T831="OK"</formula>
    </cfRule>
    <cfRule type="expression" dxfId="146" priority="104">
      <formula>$U831="OK"</formula>
    </cfRule>
  </conditionalFormatting>
  <conditionalFormatting sqref="L835">
    <cfRule type="expression" dxfId="145" priority="102">
      <formula>$U835="OK"</formula>
    </cfRule>
    <cfRule type="expression" dxfId="144" priority="103">
      <formula>$T835="OK"</formula>
    </cfRule>
  </conditionalFormatting>
  <conditionalFormatting sqref="L839:L844">
    <cfRule type="expression" dxfId="143" priority="101">
      <formula>$T839="OK"</formula>
    </cfRule>
    <cfRule type="expression" dxfId="142" priority="100">
      <formula>$U839="OK"</formula>
    </cfRule>
  </conditionalFormatting>
  <conditionalFormatting sqref="L850:L852">
    <cfRule type="expression" dxfId="141" priority="94">
      <formula>$T850="OK"</formula>
    </cfRule>
    <cfRule type="expression" dxfId="140" priority="93">
      <formula>$U850="OK"</formula>
    </cfRule>
  </conditionalFormatting>
  <conditionalFormatting sqref="L854:L855">
    <cfRule type="expression" dxfId="139" priority="92">
      <formula>$T854="OK"</formula>
    </cfRule>
    <cfRule type="expression" dxfId="138" priority="91">
      <formula>$U854="OK"</formula>
    </cfRule>
  </conditionalFormatting>
  <conditionalFormatting sqref="L857:L858">
    <cfRule type="expression" dxfId="137" priority="88">
      <formula>$T857="OK"</formula>
    </cfRule>
    <cfRule type="expression" dxfId="136" priority="87">
      <formula>$U857="OK"</formula>
    </cfRule>
  </conditionalFormatting>
  <conditionalFormatting sqref="L860:L862">
    <cfRule type="expression" dxfId="135" priority="83">
      <formula>$U860="OK"</formula>
    </cfRule>
    <cfRule type="expression" dxfId="134" priority="84">
      <formula>$T860="OK"</formula>
    </cfRule>
  </conditionalFormatting>
  <conditionalFormatting sqref="L872:L874">
    <cfRule type="expression" dxfId="133" priority="81">
      <formula>$U872="OK"</formula>
    </cfRule>
    <cfRule type="expression" dxfId="132" priority="82">
      <formula>$T872="OK"</formula>
    </cfRule>
  </conditionalFormatting>
  <conditionalFormatting sqref="L876:L878">
    <cfRule type="expression" dxfId="131" priority="77">
      <formula>$U876="OK"</formula>
    </cfRule>
    <cfRule type="expression" dxfId="130" priority="78">
      <formula>$T876="OK"</formula>
    </cfRule>
  </conditionalFormatting>
  <conditionalFormatting sqref="L882">
    <cfRule type="expression" dxfId="129" priority="75">
      <formula>$U882="OK"</formula>
    </cfRule>
    <cfRule type="expression" dxfId="128" priority="76">
      <formula>$T882="OK"</formula>
    </cfRule>
  </conditionalFormatting>
  <conditionalFormatting sqref="L884">
    <cfRule type="expression" dxfId="127" priority="73">
      <formula>$U884="OK"</formula>
    </cfRule>
    <cfRule type="expression" dxfId="126" priority="74">
      <formula>$T884="OK"</formula>
    </cfRule>
  </conditionalFormatting>
  <conditionalFormatting sqref="L886:L887">
    <cfRule type="expression" dxfId="125" priority="71">
      <formula>$U886="OK"</formula>
    </cfRule>
    <cfRule type="expression" dxfId="124" priority="72">
      <formula>$T886="OK"</formula>
    </cfRule>
    <cfRule type="expression" dxfId="123" priority="70">
      <formula>$C886="D"</formula>
    </cfRule>
  </conditionalFormatting>
  <conditionalFormatting sqref="L890">
    <cfRule type="expression" dxfId="122" priority="66">
      <formula>$T890="OK"</formula>
    </cfRule>
    <cfRule type="expression" dxfId="121" priority="65">
      <formula>$U890="OK"</formula>
    </cfRule>
  </conditionalFormatting>
  <conditionalFormatting sqref="L896:L897">
    <cfRule type="expression" dxfId="120" priority="64">
      <formula>$T896="OK"</formula>
    </cfRule>
    <cfRule type="expression" dxfId="119" priority="63">
      <formula>$U896="OK"</formula>
    </cfRule>
  </conditionalFormatting>
  <conditionalFormatting sqref="L899:L901">
    <cfRule type="expression" dxfId="118" priority="62">
      <formula>$T899="OK"</formula>
    </cfRule>
    <cfRule type="expression" dxfId="117" priority="61">
      <formula>$U899="OK"</formula>
    </cfRule>
  </conditionalFormatting>
  <conditionalFormatting sqref="L903">
    <cfRule type="expression" dxfId="116" priority="60">
      <formula>$T903="OK"</formula>
    </cfRule>
    <cfRule type="expression" dxfId="115" priority="59">
      <formula>$U903="OK"</formula>
    </cfRule>
  </conditionalFormatting>
  <conditionalFormatting sqref="L905:L907">
    <cfRule type="expression" dxfId="114" priority="58">
      <formula>$T905="OK"</formula>
    </cfRule>
    <cfRule type="expression" dxfId="113" priority="57">
      <formula>$U905="OK"</formula>
    </cfRule>
  </conditionalFormatting>
  <conditionalFormatting sqref="L911:L912">
    <cfRule type="expression" dxfId="112" priority="55">
      <formula>$U911="OK"</formula>
    </cfRule>
    <cfRule type="expression" dxfId="111" priority="56">
      <formula>$T911="OK"</formula>
    </cfRule>
  </conditionalFormatting>
  <conditionalFormatting sqref="L914:L916">
    <cfRule type="expression" dxfId="110" priority="54">
      <formula>$T914="OK"</formula>
    </cfRule>
    <cfRule type="expression" dxfId="109" priority="53">
      <formula>$U914="OK"</formula>
    </cfRule>
  </conditionalFormatting>
  <conditionalFormatting sqref="L918">
    <cfRule type="expression" dxfId="108" priority="49">
      <formula>$T918="OK"</formula>
    </cfRule>
    <cfRule type="expression" dxfId="107" priority="48">
      <formula>$U918="OK"</formula>
    </cfRule>
  </conditionalFormatting>
  <conditionalFormatting sqref="L924">
    <cfRule type="expression" dxfId="106" priority="44">
      <formula>$T924="OK"</formula>
    </cfRule>
    <cfRule type="expression" dxfId="105" priority="43">
      <formula>$U924="OK"</formula>
    </cfRule>
  </conditionalFormatting>
  <conditionalFormatting sqref="L929:L932">
    <cfRule type="expression" dxfId="104" priority="39">
      <formula>$T929="OK"</formula>
    </cfRule>
    <cfRule type="expression" dxfId="103" priority="38">
      <formula>$U929="OK"</formula>
    </cfRule>
  </conditionalFormatting>
  <conditionalFormatting sqref="L931">
    <cfRule type="expression" dxfId="102" priority="34">
      <formula>$T931="OK"</formula>
    </cfRule>
    <cfRule type="expression" dxfId="101" priority="33">
      <formula>$U931="OK"</formula>
    </cfRule>
  </conditionalFormatting>
  <conditionalFormatting sqref="L940:L941">
    <cfRule type="expression" dxfId="100" priority="29">
      <formula>$T940="OK"</formula>
    </cfRule>
    <cfRule type="expression" dxfId="99" priority="28">
      <formula>$U940="OK"</formula>
    </cfRule>
  </conditionalFormatting>
  <conditionalFormatting sqref="L944">
    <cfRule type="expression" dxfId="98" priority="27">
      <formula>$T944="OK"</formula>
    </cfRule>
    <cfRule type="expression" dxfId="97" priority="26">
      <formula>$U944="OK"</formula>
    </cfRule>
  </conditionalFormatting>
  <conditionalFormatting sqref="L946:L949">
    <cfRule type="expression" dxfId="96" priority="25">
      <formula>$T946="OK"</formula>
    </cfRule>
    <cfRule type="expression" dxfId="95" priority="24">
      <formula>$U946="OK"</formula>
    </cfRule>
  </conditionalFormatting>
  <conditionalFormatting sqref="L951:L956">
    <cfRule type="expression" dxfId="94" priority="14">
      <formula>$T951="OK"</formula>
    </cfRule>
    <cfRule type="expression" dxfId="93" priority="13">
      <formula>$U951="OK"</formula>
    </cfRule>
  </conditionalFormatting>
  <conditionalFormatting sqref="L958">
    <cfRule type="expression" dxfId="92" priority="18">
      <formula>$T958="OK"</formula>
    </cfRule>
    <cfRule type="expression" dxfId="91" priority="17">
      <formula>$U958="OK"</formula>
    </cfRule>
  </conditionalFormatting>
  <conditionalFormatting sqref="L964">
    <cfRule type="expression" dxfId="90" priority="16">
      <formula>$T964="OK"</formula>
    </cfRule>
    <cfRule type="expression" dxfId="89" priority="15">
      <formula>$U964="OK"</formula>
    </cfRule>
  </conditionalFormatting>
  <conditionalFormatting sqref="L966:L968">
    <cfRule type="expression" dxfId="88" priority="10">
      <formula>$T966="OK"</formula>
    </cfRule>
    <cfRule type="expression" dxfId="87" priority="9">
      <formula>$U966="OK"</formula>
    </cfRule>
  </conditionalFormatting>
  <conditionalFormatting sqref="L971:L972">
    <cfRule type="expression" dxfId="86" priority="8">
      <formula>$T971="OK"</formula>
    </cfRule>
    <cfRule type="expression" dxfId="85" priority="7">
      <formula>$U971="OK"</formula>
    </cfRule>
  </conditionalFormatting>
  <conditionalFormatting sqref="L975">
    <cfRule type="expression" dxfId="84" priority="6">
      <formula>$T975="OK"</formula>
    </cfRule>
    <cfRule type="expression" dxfId="83" priority="5">
      <formula>$U975="OK"</formula>
    </cfRule>
  </conditionalFormatting>
  <conditionalFormatting sqref="L977:L978">
    <cfRule type="expression" dxfId="82" priority="4">
      <formula>$T977="OK"</formula>
    </cfRule>
    <cfRule type="expression" dxfId="81" priority="3">
      <formula>$U977="OK"</formula>
    </cfRule>
  </conditionalFormatting>
  <conditionalFormatting sqref="L982:L985">
    <cfRule type="expression" dxfId="80" priority="2">
      <formula>$T982="OK"</formula>
    </cfRule>
    <cfRule type="expression" dxfId="79" priority="1">
      <formula>$U982="OK"</formula>
    </cfRule>
  </conditionalFormatting>
  <conditionalFormatting sqref="N748">
    <cfRule type="expression" dxfId="78" priority="129">
      <formula>$C748="D"</formula>
    </cfRule>
    <cfRule type="expression" dxfId="77" priority="130">
      <formula>$U748="OK"</formula>
    </cfRule>
    <cfRule type="expression" dxfId="76" priority="131">
      <formula>$T748="OK"</formula>
    </cfRule>
  </conditionalFormatting>
  <dataValidations count="4">
    <dataValidation type="list" allowBlank="1" showInputMessage="1" showErrorMessage="1" sqref="H2:H986" xr:uid="{EF9DB461-752E-4460-8743-BEC8A22F635B}">
      <formula1>Proveedores_Clientes</formula1>
    </dataValidation>
    <dataValidation type="list" allowBlank="1" showInputMessage="1" showErrorMessage="1" sqref="I2:I986" xr:uid="{6CB01F49-E4EF-410D-9035-72E226298161}">
      <formula1>Documentos</formula1>
    </dataValidation>
    <dataValidation type="list" allowBlank="1" showInputMessage="1" showErrorMessage="1" sqref="F2:F986" xr:uid="{86BACD11-7417-4BE9-9282-EB27000D47C8}">
      <formula1>"SALDO,INGRESO,EGRESO"</formula1>
    </dataValidation>
    <dataValidation type="list" allowBlank="1" showInputMessage="1" showErrorMessage="1" sqref="C2:C986" xr:uid="{3711FE85-91CB-4B1F-A13B-968F23384EE9}">
      <formula1>"R,D"</formula1>
    </dataValidation>
  </dataValidations>
  <printOptions horizontalCentered="1"/>
  <pageMargins left="0.11811023622047245" right="0.11811023622047245" top="0.35433070866141736" bottom="0.35433070866141736" header="0.31496062992125984" footer="0.31496062992125984"/>
  <pageSetup paperSize="9" scale="46" fitToHeight="0" orientation="landscape" r:id="rId1"/>
  <legacyDrawing r:id="rId2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544D1-5565-4B05-9584-C0DC648D5B4C}">
  <sheetPr codeName="Hoja20">
    <tabColor theme="8"/>
    <pageSetUpPr fitToPage="1"/>
  </sheetPr>
  <dimension ref="A1:AB489"/>
  <sheetViews>
    <sheetView showGridLines="0" zoomScaleNormal="100" zoomScaleSheetLayoutView="100" workbookViewId="0">
      <selection activeCell="E8" sqref="E8"/>
    </sheetView>
  </sheetViews>
  <sheetFormatPr defaultColWidth="11.44140625" defaultRowHeight="14.4" outlineLevelCol="1" x14ac:dyDescent="0.3"/>
  <cols>
    <col min="1" max="1" width="9.44140625" bestFit="1" customWidth="1"/>
    <col min="2" max="2" width="15.44140625" bestFit="1" customWidth="1"/>
    <col min="3" max="3" width="13.44140625" bestFit="1" customWidth="1"/>
    <col min="4" max="4" width="10.6640625" bestFit="1" customWidth="1"/>
    <col min="5" max="5" width="14.33203125" customWidth="1"/>
    <col min="6" max="6" width="11.6640625" bestFit="1" customWidth="1"/>
    <col min="7" max="7" width="17" bestFit="1" customWidth="1"/>
    <col min="8" max="8" width="16" customWidth="1"/>
    <col min="9" max="9" width="10.109375" bestFit="1" customWidth="1"/>
    <col min="10" max="10" width="12.44140625" bestFit="1" customWidth="1"/>
    <col min="11" max="11" width="40.44140625" bestFit="1" customWidth="1"/>
    <col min="12" max="12" width="15" bestFit="1" customWidth="1"/>
    <col min="13" max="13" width="12.44140625" bestFit="1" customWidth="1"/>
    <col min="14" max="14" width="12.109375" bestFit="1" customWidth="1"/>
    <col min="15" max="15" width="11.44140625" bestFit="1" customWidth="1"/>
    <col min="16" max="17" width="11.33203125" bestFit="1" customWidth="1"/>
    <col min="18" max="18" width="10.88671875" bestFit="1" customWidth="1"/>
    <col min="19" max="19" width="12" bestFit="1" customWidth="1"/>
    <col min="20" max="20" width="13" bestFit="1" customWidth="1"/>
    <col min="21" max="21" width="15.88671875" bestFit="1" customWidth="1"/>
    <col min="22" max="26" width="15.88671875" hidden="1" customWidth="1" outlineLevel="1"/>
    <col min="27" max="27" width="12.88671875" hidden="1" customWidth="1" outlineLevel="1"/>
    <col min="28" max="28" width="11.44140625" collapsed="1"/>
  </cols>
  <sheetData>
    <row r="1" spans="1:27" ht="27.6" x14ac:dyDescent="0.3">
      <c r="A1" s="1" t="s">
        <v>1304</v>
      </c>
      <c r="B1" s="1" t="s">
        <v>1305</v>
      </c>
      <c r="C1" s="1" t="s">
        <v>1306</v>
      </c>
      <c r="D1" s="1" t="s">
        <v>1307</v>
      </c>
      <c r="E1" s="1" t="s">
        <v>1308</v>
      </c>
      <c r="F1" s="1" t="s">
        <v>1302</v>
      </c>
      <c r="G1" s="1" t="s">
        <v>1309</v>
      </c>
      <c r="H1" s="1" t="s">
        <v>1310</v>
      </c>
      <c r="I1" s="1" t="s">
        <v>1311</v>
      </c>
      <c r="J1" s="1" t="s">
        <v>1312</v>
      </c>
      <c r="K1" s="1" t="s">
        <v>1313</v>
      </c>
      <c r="L1" s="1" t="s">
        <v>1314</v>
      </c>
      <c r="M1" s="1" t="s">
        <v>1315</v>
      </c>
      <c r="N1" s="1" t="s">
        <v>1316</v>
      </c>
      <c r="O1" s="1" t="s">
        <v>1317</v>
      </c>
      <c r="P1" s="1" t="s">
        <v>1318</v>
      </c>
      <c r="Q1" s="1" t="s">
        <v>1319</v>
      </c>
      <c r="R1" s="1" t="s">
        <v>1320</v>
      </c>
      <c r="S1" s="1" t="s">
        <v>1321</v>
      </c>
      <c r="T1" s="1" t="s">
        <v>1322</v>
      </c>
      <c r="U1" s="1" t="s">
        <v>1323</v>
      </c>
      <c r="V1" s="1" t="s">
        <v>1324</v>
      </c>
      <c r="W1" s="1" t="s">
        <v>1325</v>
      </c>
      <c r="X1" s="1" t="s">
        <v>1326</v>
      </c>
      <c r="Y1" s="1" t="s">
        <v>1327</v>
      </c>
      <c r="Z1" s="1" t="s">
        <v>1328</v>
      </c>
      <c r="AA1" s="1" t="s">
        <v>1329</v>
      </c>
    </row>
    <row r="2" spans="1:27" x14ac:dyDescent="0.3">
      <c r="A2" s="2">
        <f>IF(Caja_Operativa[[#This Row],[TIPO DE R.]]="R",COUNTIFS($C$1:$C1,"R")+1,"")</f>
        <v>1</v>
      </c>
      <c r="B2" s="19" t="str">
        <f>"C-Operativa"</f>
        <v>C-Operativa</v>
      </c>
      <c r="C2" s="3" t="s">
        <v>1330</v>
      </c>
      <c r="D2" s="4">
        <v>45659</v>
      </c>
      <c r="E2" s="5" t="s">
        <v>7513</v>
      </c>
      <c r="F2" s="6" t="s">
        <v>1320</v>
      </c>
      <c r="G2" s="6"/>
      <c r="H2" s="6"/>
      <c r="I2" s="6"/>
      <c r="J2" s="6"/>
      <c r="K2" s="7" t="s">
        <v>1332</v>
      </c>
      <c r="L2" s="8" t="s">
        <v>1333</v>
      </c>
      <c r="M2" s="8" t="str">
        <f t="shared" ref="M2" si="0">"PEN"</f>
        <v>PEN</v>
      </c>
      <c r="N2" s="13"/>
      <c r="O2" s="9">
        <v>2019.85</v>
      </c>
      <c r="P2" s="9">
        <f t="shared" ref="P2" si="1">+IF(OR($F2="SALDO",$F2="INGRESO"),$O2,0)</f>
        <v>2019.85</v>
      </c>
      <c r="Q2" s="9">
        <f t="shared" ref="Q2" si="2">+IF($F2="EGRESO",$O2,0)</f>
        <v>0</v>
      </c>
      <c r="R2" s="9">
        <f t="shared" ref="R2:R65" si="3">IFERROR(IF(F2="SALDO",P2,R1+P2-Q2),0)</f>
        <v>2019.85</v>
      </c>
      <c r="S2" s="24"/>
      <c r="T2" s="24"/>
      <c r="U2" s="53"/>
      <c r="V2" s="25" t="s">
        <v>7514</v>
      </c>
      <c r="W2" s="25"/>
      <c r="X2" s="25"/>
      <c r="Y2" s="25"/>
      <c r="Z2" s="52"/>
      <c r="AA2" s="3" t="str">
        <f>IF(Caja_Operativa[[#This Row],[FECHA]]&gt;0,TEXT(Caja_Operativa[[#This Row],[FECHA]],"mmmm"),0)</f>
        <v>Enero</v>
      </c>
    </row>
    <row r="3" spans="1:27" ht="24" x14ac:dyDescent="0.3">
      <c r="A3" s="2">
        <f>IF(Caja_Operativa[[#This Row],[TIPO DE R.]]="R",COUNTIFS($C$1:$C2,"R")+1,"")</f>
        <v>2</v>
      </c>
      <c r="B3" s="19" t="str">
        <f t="shared" ref="B3:B66" si="4">"C-Operativa"</f>
        <v>C-Operativa</v>
      </c>
      <c r="C3" s="3" t="s">
        <v>1330</v>
      </c>
      <c r="D3" s="14">
        <v>45659</v>
      </c>
      <c r="E3" s="5" t="s">
        <v>7514</v>
      </c>
      <c r="F3" s="5" t="s">
        <v>1303</v>
      </c>
      <c r="G3" s="6" t="s">
        <v>957</v>
      </c>
      <c r="H3" s="6"/>
      <c r="I3" s="6"/>
      <c r="J3" s="6"/>
      <c r="K3" s="7" t="s">
        <v>7515</v>
      </c>
      <c r="L3" s="8"/>
      <c r="M3" s="8" t="str">
        <f t="shared" ref="M3:M66" si="5">"PEN"</f>
        <v>PEN</v>
      </c>
      <c r="N3" s="13"/>
      <c r="O3" s="13">
        <v>700</v>
      </c>
      <c r="P3" s="3">
        <f t="shared" ref="P3:P66" si="6">+IF(OR($F3="SALDO",$F3="INGRESO"),$O3,0)</f>
        <v>700</v>
      </c>
      <c r="Q3" s="3">
        <f t="shared" ref="Q3:Q66" si="7">+IF($F3="EGRESO",$O3,0)</f>
        <v>0</v>
      </c>
      <c r="R3" s="3">
        <f t="shared" si="3"/>
        <v>2719.85</v>
      </c>
      <c r="S3" s="24"/>
      <c r="T3" s="24"/>
      <c r="U3" s="55"/>
      <c r="V3" s="25"/>
      <c r="W3" s="25"/>
      <c r="X3" s="25"/>
      <c r="Y3" s="25"/>
      <c r="Z3" s="25"/>
      <c r="AA3" s="3" t="str">
        <f>IF(Caja_Operativa[[#This Row],[FECHA]]&gt;0,TEXT(Caja_Operativa[[#This Row],[FECHA]],"mmmm"),0)</f>
        <v>Enero</v>
      </c>
    </row>
    <row r="4" spans="1:27" x14ac:dyDescent="0.3">
      <c r="A4" s="2">
        <f>IF(Caja_Operativa[[#This Row],[TIPO DE R.]]="R",COUNTIFS($C$1:$C3,"R")+1,"")</f>
        <v>3</v>
      </c>
      <c r="B4" s="19" t="str">
        <f t="shared" si="4"/>
        <v>C-Operativa</v>
      </c>
      <c r="C4" s="3" t="s">
        <v>1330</v>
      </c>
      <c r="D4" s="14">
        <v>45660</v>
      </c>
      <c r="E4" s="5" t="s">
        <v>7514</v>
      </c>
      <c r="F4" s="5" t="s">
        <v>1336</v>
      </c>
      <c r="G4" s="6" t="s">
        <v>876</v>
      </c>
      <c r="H4" s="6"/>
      <c r="I4" s="6"/>
      <c r="J4" s="6"/>
      <c r="K4" s="7" t="s">
        <v>7516</v>
      </c>
      <c r="L4" s="8">
        <v>2531988</v>
      </c>
      <c r="M4" s="8" t="str">
        <f t="shared" si="5"/>
        <v>PEN</v>
      </c>
      <c r="N4" s="13"/>
      <c r="O4" s="13">
        <v>160</v>
      </c>
      <c r="P4" s="3">
        <f t="shared" si="6"/>
        <v>0</v>
      </c>
      <c r="Q4" s="3">
        <f t="shared" si="7"/>
        <v>160</v>
      </c>
      <c r="R4" s="3">
        <f t="shared" si="3"/>
        <v>2559.85</v>
      </c>
      <c r="S4" s="24" t="s">
        <v>1334</v>
      </c>
      <c r="T4" s="24" t="s">
        <v>1334</v>
      </c>
      <c r="U4" s="55"/>
      <c r="V4" s="25"/>
      <c r="W4" s="25"/>
      <c r="X4" s="25"/>
      <c r="Y4" s="25"/>
      <c r="Z4" s="25"/>
      <c r="AA4" s="3" t="str">
        <f>IF(Caja_Operativa[[#This Row],[FECHA]]&gt;0,TEXT(Caja_Operativa[[#This Row],[FECHA]],"mmmm"),0)</f>
        <v>Enero</v>
      </c>
    </row>
    <row r="5" spans="1:27" ht="24" x14ac:dyDescent="0.3">
      <c r="A5" s="2">
        <f>IF(Caja_Operativa[[#This Row],[TIPO DE R.]]="R",COUNTIFS($C$1:$C4,"R")+1,"")</f>
        <v>4</v>
      </c>
      <c r="B5" s="19" t="str">
        <f t="shared" si="4"/>
        <v>C-Operativa</v>
      </c>
      <c r="C5" s="3" t="s">
        <v>1330</v>
      </c>
      <c r="D5" s="14">
        <v>45660</v>
      </c>
      <c r="E5" s="5" t="s">
        <v>7514</v>
      </c>
      <c r="F5" s="5" t="s">
        <v>1336</v>
      </c>
      <c r="G5" s="6"/>
      <c r="H5" s="6"/>
      <c r="I5" s="6"/>
      <c r="J5" s="6"/>
      <c r="K5" s="7" t="s">
        <v>7516</v>
      </c>
      <c r="L5" s="8">
        <v>2643338</v>
      </c>
      <c r="M5" s="8" t="str">
        <f t="shared" si="5"/>
        <v>PEN</v>
      </c>
      <c r="N5" s="13"/>
      <c r="O5" s="13">
        <v>100</v>
      </c>
      <c r="P5" s="3">
        <f t="shared" si="6"/>
        <v>0</v>
      </c>
      <c r="Q5" s="3">
        <f t="shared" si="7"/>
        <v>100</v>
      </c>
      <c r="R5" s="3">
        <f t="shared" si="3"/>
        <v>2459.85</v>
      </c>
      <c r="S5" s="24"/>
      <c r="T5" s="24"/>
      <c r="U5" s="55"/>
      <c r="V5" s="25" t="s">
        <v>7517</v>
      </c>
      <c r="W5" s="25"/>
      <c r="X5" s="25"/>
      <c r="Y5" s="25"/>
      <c r="Z5" s="25"/>
      <c r="AA5" s="3" t="str">
        <f>IF(Caja_Operativa[[#This Row],[FECHA]]&gt;0,TEXT(Caja_Operativa[[#This Row],[FECHA]],"mmmm"),0)</f>
        <v>Enero</v>
      </c>
    </row>
    <row r="6" spans="1:27" ht="24" x14ac:dyDescent="0.3">
      <c r="A6" s="2">
        <f>IF(Caja_Operativa[[#This Row],[TIPO DE R.]]="R",COUNTIFS($C$1:$C5,"R")+1,"")</f>
        <v>5</v>
      </c>
      <c r="B6" s="19" t="str">
        <f t="shared" si="4"/>
        <v>C-Operativa</v>
      </c>
      <c r="C6" s="3" t="s">
        <v>1330</v>
      </c>
      <c r="D6" s="14">
        <v>45660</v>
      </c>
      <c r="E6" s="5" t="s">
        <v>7514</v>
      </c>
      <c r="F6" s="5" t="s">
        <v>1336</v>
      </c>
      <c r="G6" s="6" t="s">
        <v>812</v>
      </c>
      <c r="H6" s="6"/>
      <c r="I6" s="6"/>
      <c r="J6" s="6"/>
      <c r="K6" s="7" t="s">
        <v>7516</v>
      </c>
      <c r="L6" s="8">
        <v>2654283</v>
      </c>
      <c r="M6" s="8" t="str">
        <f t="shared" si="5"/>
        <v>PEN</v>
      </c>
      <c r="N6" s="13"/>
      <c r="O6" s="13">
        <v>90</v>
      </c>
      <c r="P6" s="3">
        <f t="shared" si="6"/>
        <v>0</v>
      </c>
      <c r="Q6" s="3">
        <f t="shared" si="7"/>
        <v>90</v>
      </c>
      <c r="R6" s="3">
        <f t="shared" si="3"/>
        <v>2369.85</v>
      </c>
      <c r="S6" s="24" t="s">
        <v>1334</v>
      </c>
      <c r="T6" s="24" t="s">
        <v>1334</v>
      </c>
      <c r="U6" s="55"/>
      <c r="V6" s="25"/>
      <c r="W6" s="25"/>
      <c r="X6" s="25"/>
      <c r="Y6" s="25"/>
      <c r="Z6" s="25"/>
      <c r="AA6" s="3" t="str">
        <f>IF(Caja_Operativa[[#This Row],[FECHA]]&gt;0,TEXT(Caja_Operativa[[#This Row],[FECHA]],"mmmm"),0)</f>
        <v>Enero</v>
      </c>
    </row>
    <row r="7" spans="1:27" ht="60" x14ac:dyDescent="0.3">
      <c r="A7" s="2">
        <f>IF(Caja_Operativa[[#This Row],[TIPO DE R.]]="R",COUNTIFS($C$1:$C6,"R")+1,"")</f>
        <v>6</v>
      </c>
      <c r="B7" s="19" t="str">
        <f t="shared" si="4"/>
        <v>C-Operativa</v>
      </c>
      <c r="C7" s="3" t="s">
        <v>1330</v>
      </c>
      <c r="D7" s="14">
        <v>45664</v>
      </c>
      <c r="E7" s="5" t="s">
        <v>7514</v>
      </c>
      <c r="F7" s="5" t="s">
        <v>1336</v>
      </c>
      <c r="G7" s="6"/>
      <c r="H7" s="6"/>
      <c r="I7" s="6"/>
      <c r="J7" s="6"/>
      <c r="K7" s="7" t="s">
        <v>7518</v>
      </c>
      <c r="L7" s="8">
        <v>503914</v>
      </c>
      <c r="M7" s="8" t="str">
        <f t="shared" si="5"/>
        <v>PEN</v>
      </c>
      <c r="N7" s="13"/>
      <c r="O7" s="13">
        <v>8</v>
      </c>
      <c r="P7" s="3">
        <f t="shared" si="6"/>
        <v>0</v>
      </c>
      <c r="Q7" s="3">
        <f t="shared" si="7"/>
        <v>8</v>
      </c>
      <c r="R7" s="3">
        <f t="shared" si="3"/>
        <v>2361.85</v>
      </c>
      <c r="S7" s="24"/>
      <c r="T7" s="24"/>
      <c r="U7" s="55"/>
      <c r="V7" s="25" t="s">
        <v>7519</v>
      </c>
      <c r="W7" s="25"/>
      <c r="X7" s="25"/>
      <c r="Y7" s="25"/>
      <c r="Z7" s="25"/>
      <c r="AA7" s="3" t="str">
        <f>IF(Caja_Operativa[[#This Row],[FECHA]]&gt;0,TEXT(Caja_Operativa[[#This Row],[FECHA]],"mmmm"),0)</f>
        <v>Enero</v>
      </c>
    </row>
    <row r="8" spans="1:27" ht="60" x14ac:dyDescent="0.3">
      <c r="A8" s="2">
        <f>IF(Caja_Operativa[[#This Row],[TIPO DE R.]]="R",COUNTIFS($C$1:$C7,"R")+1,"")</f>
        <v>7</v>
      </c>
      <c r="B8" s="19" t="str">
        <f t="shared" si="4"/>
        <v>C-Operativa</v>
      </c>
      <c r="C8" s="3" t="s">
        <v>1330</v>
      </c>
      <c r="D8" s="14">
        <v>45664</v>
      </c>
      <c r="E8" s="5" t="s">
        <v>7514</v>
      </c>
      <c r="F8" s="5" t="s">
        <v>1336</v>
      </c>
      <c r="G8" s="6"/>
      <c r="H8" s="6"/>
      <c r="I8" s="6"/>
      <c r="J8" s="6"/>
      <c r="K8" s="7" t="s">
        <v>7520</v>
      </c>
      <c r="L8" s="8">
        <v>528381</v>
      </c>
      <c r="M8" s="8" t="str">
        <f t="shared" si="5"/>
        <v>PEN</v>
      </c>
      <c r="N8" s="13"/>
      <c r="O8" s="13">
        <v>8</v>
      </c>
      <c r="P8" s="3">
        <f t="shared" si="6"/>
        <v>0</v>
      </c>
      <c r="Q8" s="3">
        <f t="shared" si="7"/>
        <v>8</v>
      </c>
      <c r="R8" s="3">
        <f t="shared" si="3"/>
        <v>2353.85</v>
      </c>
      <c r="S8" s="24"/>
      <c r="T8" s="24"/>
      <c r="U8" s="55"/>
      <c r="V8" s="25" t="s">
        <v>7519</v>
      </c>
      <c r="W8" s="25"/>
      <c r="X8" s="25"/>
      <c r="Y8" s="25"/>
      <c r="Z8" s="25"/>
      <c r="AA8" s="3" t="str">
        <f>IF(Caja_Operativa[[#This Row],[FECHA]]&gt;0,TEXT(Caja_Operativa[[#This Row],[FECHA]],"mmmm"),0)</f>
        <v>Enero</v>
      </c>
    </row>
    <row r="9" spans="1:27" ht="60" x14ac:dyDescent="0.3">
      <c r="A9" s="2">
        <f>IF(Caja_Operativa[[#This Row],[TIPO DE R.]]="R",COUNTIFS($C$1:$C8,"R")+1,"")</f>
        <v>8</v>
      </c>
      <c r="B9" s="19" t="str">
        <f t="shared" si="4"/>
        <v>C-Operativa</v>
      </c>
      <c r="C9" s="3" t="s">
        <v>1330</v>
      </c>
      <c r="D9" s="14">
        <v>45664</v>
      </c>
      <c r="E9" s="5" t="s">
        <v>7514</v>
      </c>
      <c r="F9" s="5" t="s">
        <v>1336</v>
      </c>
      <c r="G9" s="6"/>
      <c r="H9" s="6"/>
      <c r="I9" s="6"/>
      <c r="J9" s="6"/>
      <c r="K9" s="7" t="s">
        <v>7521</v>
      </c>
      <c r="L9" s="8">
        <v>534539</v>
      </c>
      <c r="M9" s="8" t="str">
        <f t="shared" si="5"/>
        <v>PEN</v>
      </c>
      <c r="N9" s="13"/>
      <c r="O9" s="13">
        <v>8</v>
      </c>
      <c r="P9" s="3">
        <f t="shared" si="6"/>
        <v>0</v>
      </c>
      <c r="Q9" s="3">
        <f t="shared" si="7"/>
        <v>8</v>
      </c>
      <c r="R9" s="3">
        <f t="shared" si="3"/>
        <v>2345.85</v>
      </c>
      <c r="S9" s="24"/>
      <c r="T9" s="24"/>
      <c r="U9" s="55"/>
      <c r="V9" s="25" t="s">
        <v>7519</v>
      </c>
      <c r="W9" s="25"/>
      <c r="X9" s="25"/>
      <c r="Y9" s="25"/>
      <c r="Z9" s="25"/>
      <c r="AA9" s="3" t="str">
        <f>IF(Caja_Operativa[[#This Row],[FECHA]]&gt;0,TEXT(Caja_Operativa[[#This Row],[FECHA]],"mmmm"),0)</f>
        <v>Enero</v>
      </c>
    </row>
    <row r="10" spans="1:27" ht="60" x14ac:dyDescent="0.3">
      <c r="A10" s="2">
        <f>IF(Caja_Operativa[[#This Row],[TIPO DE R.]]="R",COUNTIFS($C$1:$C9,"R")+1,"")</f>
        <v>9</v>
      </c>
      <c r="B10" s="19" t="str">
        <f t="shared" si="4"/>
        <v>C-Operativa</v>
      </c>
      <c r="C10" s="3" t="s">
        <v>1330</v>
      </c>
      <c r="D10" s="14">
        <v>45664</v>
      </c>
      <c r="E10" s="5" t="s">
        <v>7514</v>
      </c>
      <c r="F10" s="5" t="s">
        <v>1336</v>
      </c>
      <c r="G10" s="6"/>
      <c r="H10" s="6"/>
      <c r="I10" s="6"/>
      <c r="J10" s="6"/>
      <c r="K10" s="7" t="s">
        <v>7522</v>
      </c>
      <c r="L10" s="8">
        <v>558637</v>
      </c>
      <c r="M10" s="8" t="str">
        <f t="shared" si="5"/>
        <v>PEN</v>
      </c>
      <c r="N10" s="13"/>
      <c r="O10" s="13">
        <v>8</v>
      </c>
      <c r="P10" s="3">
        <f t="shared" si="6"/>
        <v>0</v>
      </c>
      <c r="Q10" s="3">
        <f t="shared" si="7"/>
        <v>8</v>
      </c>
      <c r="R10" s="3">
        <f t="shared" si="3"/>
        <v>2337.85</v>
      </c>
      <c r="S10" s="24"/>
      <c r="T10" s="24"/>
      <c r="U10" s="55"/>
      <c r="V10" s="25" t="s">
        <v>7519</v>
      </c>
      <c r="W10" s="25"/>
      <c r="X10" s="25"/>
      <c r="Y10" s="25"/>
      <c r="Z10" s="25"/>
      <c r="AA10" s="3" t="str">
        <f>IF(Caja_Operativa[[#This Row],[FECHA]]&gt;0,TEXT(Caja_Operativa[[#This Row],[FECHA]],"mmmm"),0)</f>
        <v>Enero</v>
      </c>
    </row>
    <row r="11" spans="1:27" ht="60" x14ac:dyDescent="0.3">
      <c r="A11" s="2">
        <f>IF(Caja_Operativa[[#This Row],[TIPO DE R.]]="R",COUNTIFS($C$1:$C10,"R")+1,"")</f>
        <v>10</v>
      </c>
      <c r="B11" s="19" t="str">
        <f t="shared" si="4"/>
        <v>C-Operativa</v>
      </c>
      <c r="C11" s="3" t="s">
        <v>1330</v>
      </c>
      <c r="D11" s="14">
        <v>45664</v>
      </c>
      <c r="E11" s="5" t="s">
        <v>7514</v>
      </c>
      <c r="F11" s="5" t="s">
        <v>1336</v>
      </c>
      <c r="G11" s="6"/>
      <c r="H11" s="6"/>
      <c r="I11" s="6"/>
      <c r="J11" s="6"/>
      <c r="K11" s="7" t="s">
        <v>7523</v>
      </c>
      <c r="L11" s="8">
        <v>561931</v>
      </c>
      <c r="M11" s="8" t="str">
        <f t="shared" si="5"/>
        <v>PEN</v>
      </c>
      <c r="N11" s="13"/>
      <c r="O11" s="13">
        <v>8</v>
      </c>
      <c r="P11" s="3">
        <f t="shared" si="6"/>
        <v>0</v>
      </c>
      <c r="Q11" s="3">
        <f t="shared" si="7"/>
        <v>8</v>
      </c>
      <c r="R11" s="3">
        <f t="shared" si="3"/>
        <v>2329.85</v>
      </c>
      <c r="S11" s="24"/>
      <c r="T11" s="24"/>
      <c r="U11" s="55"/>
      <c r="V11" s="25" t="s">
        <v>7519</v>
      </c>
      <c r="W11" s="25"/>
      <c r="X11" s="25"/>
      <c r="Y11" s="25"/>
      <c r="Z11" s="25"/>
      <c r="AA11" s="3" t="str">
        <f>IF(Caja_Operativa[[#This Row],[FECHA]]&gt;0,TEXT(Caja_Operativa[[#This Row],[FECHA]],"mmmm"),0)</f>
        <v>Enero</v>
      </c>
    </row>
    <row r="12" spans="1:27" ht="60" x14ac:dyDescent="0.3">
      <c r="A12" s="2">
        <f>IF(Caja_Operativa[[#This Row],[TIPO DE R.]]="R",COUNTIFS($C$1:$C11,"R")+1,"")</f>
        <v>11</v>
      </c>
      <c r="B12" s="19" t="str">
        <f t="shared" si="4"/>
        <v>C-Operativa</v>
      </c>
      <c r="C12" s="3" t="s">
        <v>1330</v>
      </c>
      <c r="D12" s="14">
        <v>45664</v>
      </c>
      <c r="E12" s="5" t="s">
        <v>7514</v>
      </c>
      <c r="F12" s="5" t="s">
        <v>1336</v>
      </c>
      <c r="G12" s="6"/>
      <c r="H12" s="6"/>
      <c r="I12" s="6"/>
      <c r="J12" s="6"/>
      <c r="K12" s="7" t="s">
        <v>7524</v>
      </c>
      <c r="L12" s="8">
        <v>529498</v>
      </c>
      <c r="M12" s="8" t="str">
        <f t="shared" si="5"/>
        <v>PEN</v>
      </c>
      <c r="N12" s="13"/>
      <c r="O12" s="13">
        <v>8</v>
      </c>
      <c r="P12" s="3">
        <f t="shared" si="6"/>
        <v>0</v>
      </c>
      <c r="Q12" s="3">
        <f t="shared" si="7"/>
        <v>8</v>
      </c>
      <c r="R12" s="3">
        <f t="shared" si="3"/>
        <v>2321.85</v>
      </c>
      <c r="S12" s="24"/>
      <c r="T12" s="24"/>
      <c r="U12" s="55"/>
      <c r="V12" s="25" t="s">
        <v>7519</v>
      </c>
      <c r="W12" s="25"/>
      <c r="X12" s="25"/>
      <c r="Y12" s="25"/>
      <c r="Z12" s="25"/>
      <c r="AA12" s="3" t="str">
        <f>IF(Caja_Operativa[[#This Row],[FECHA]]&gt;0,TEXT(Caja_Operativa[[#This Row],[FECHA]],"mmmm"),0)</f>
        <v>Enero</v>
      </c>
    </row>
    <row r="13" spans="1:27" ht="60" x14ac:dyDescent="0.3">
      <c r="A13" s="2">
        <f>IF(Caja_Operativa[[#This Row],[TIPO DE R.]]="R",COUNTIFS($C$1:$C12,"R")+1,"")</f>
        <v>12</v>
      </c>
      <c r="B13" s="19" t="str">
        <f t="shared" si="4"/>
        <v>C-Operativa</v>
      </c>
      <c r="C13" s="3" t="s">
        <v>1330</v>
      </c>
      <c r="D13" s="14">
        <v>45664</v>
      </c>
      <c r="E13" s="5" t="s">
        <v>7514</v>
      </c>
      <c r="F13" s="5" t="s">
        <v>1336</v>
      </c>
      <c r="G13" s="6"/>
      <c r="H13" s="6"/>
      <c r="I13" s="6"/>
      <c r="J13" s="6"/>
      <c r="K13" s="7" t="s">
        <v>7525</v>
      </c>
      <c r="L13" s="8">
        <v>526737</v>
      </c>
      <c r="M13" s="8" t="str">
        <f t="shared" si="5"/>
        <v>PEN</v>
      </c>
      <c r="N13" s="13"/>
      <c r="O13" s="13">
        <v>8</v>
      </c>
      <c r="P13" s="3">
        <f t="shared" si="6"/>
        <v>0</v>
      </c>
      <c r="Q13" s="3">
        <f t="shared" si="7"/>
        <v>8</v>
      </c>
      <c r="R13" s="3">
        <f t="shared" si="3"/>
        <v>2313.85</v>
      </c>
      <c r="S13" s="24"/>
      <c r="T13" s="24"/>
      <c r="U13" s="55"/>
      <c r="V13" s="25" t="s">
        <v>7519</v>
      </c>
      <c r="W13" s="25"/>
      <c r="X13" s="25"/>
      <c r="Y13" s="25"/>
      <c r="Z13" s="25"/>
      <c r="AA13" s="3" t="str">
        <f>IF(Caja_Operativa[[#This Row],[FECHA]]&gt;0,TEXT(Caja_Operativa[[#This Row],[FECHA]],"mmmm"),0)</f>
        <v>Enero</v>
      </c>
    </row>
    <row r="14" spans="1:27" ht="60" x14ac:dyDescent="0.3">
      <c r="A14" s="2">
        <f>IF(Caja_Operativa[[#This Row],[TIPO DE R.]]="R",COUNTIFS($C$1:$C13,"R")+1,"")</f>
        <v>13</v>
      </c>
      <c r="B14" s="19" t="str">
        <f t="shared" si="4"/>
        <v>C-Operativa</v>
      </c>
      <c r="C14" s="3" t="s">
        <v>1330</v>
      </c>
      <c r="D14" s="14">
        <v>45664</v>
      </c>
      <c r="E14" s="5" t="s">
        <v>7514</v>
      </c>
      <c r="F14" s="5" t="s">
        <v>1336</v>
      </c>
      <c r="G14" s="6"/>
      <c r="H14" s="6"/>
      <c r="I14" s="6"/>
      <c r="J14" s="6"/>
      <c r="K14" s="7" t="s">
        <v>7526</v>
      </c>
      <c r="L14" s="8">
        <v>564894</v>
      </c>
      <c r="M14" s="8" t="str">
        <f t="shared" si="5"/>
        <v>PEN</v>
      </c>
      <c r="N14" s="13"/>
      <c r="O14" s="13">
        <v>8</v>
      </c>
      <c r="P14" s="3">
        <f t="shared" si="6"/>
        <v>0</v>
      </c>
      <c r="Q14" s="3">
        <f t="shared" si="7"/>
        <v>8</v>
      </c>
      <c r="R14" s="3">
        <f t="shared" si="3"/>
        <v>2305.85</v>
      </c>
      <c r="S14" s="24"/>
      <c r="T14" s="24"/>
      <c r="U14" s="55"/>
      <c r="V14" s="25" t="s">
        <v>7519</v>
      </c>
      <c r="W14" s="25"/>
      <c r="X14" s="25"/>
      <c r="Y14" s="25"/>
      <c r="Z14" s="25"/>
      <c r="AA14" s="3" t="str">
        <f>IF(Caja_Operativa[[#This Row],[FECHA]]&gt;0,TEXT(Caja_Operativa[[#This Row],[FECHA]],"mmmm"),0)</f>
        <v>Enero</v>
      </c>
    </row>
    <row r="15" spans="1:27" ht="60" x14ac:dyDescent="0.3">
      <c r="A15" s="2">
        <f>IF(Caja_Operativa[[#This Row],[TIPO DE R.]]="R",COUNTIFS($C$1:$C14,"R")+1,"")</f>
        <v>14</v>
      </c>
      <c r="B15" s="19" t="str">
        <f t="shared" si="4"/>
        <v>C-Operativa</v>
      </c>
      <c r="C15" s="3" t="s">
        <v>1330</v>
      </c>
      <c r="D15" s="14">
        <v>45664</v>
      </c>
      <c r="E15" s="5" t="s">
        <v>7514</v>
      </c>
      <c r="F15" s="5" t="s">
        <v>1336</v>
      </c>
      <c r="G15" s="6"/>
      <c r="H15" s="6"/>
      <c r="I15" s="6"/>
      <c r="J15" s="6"/>
      <c r="K15" s="7" t="s">
        <v>7527</v>
      </c>
      <c r="L15" s="8">
        <v>539049</v>
      </c>
      <c r="M15" s="8" t="str">
        <f t="shared" si="5"/>
        <v>PEN</v>
      </c>
      <c r="N15" s="13"/>
      <c r="O15" s="13">
        <v>10</v>
      </c>
      <c r="P15" s="3">
        <f t="shared" si="6"/>
        <v>0</v>
      </c>
      <c r="Q15" s="3">
        <f t="shared" si="7"/>
        <v>10</v>
      </c>
      <c r="R15" s="3">
        <f t="shared" si="3"/>
        <v>2295.85</v>
      </c>
      <c r="S15" s="24"/>
      <c r="T15" s="24"/>
      <c r="U15" s="55"/>
      <c r="V15" s="25" t="s">
        <v>7519</v>
      </c>
      <c r="W15" s="25"/>
      <c r="X15" s="25"/>
      <c r="Y15" s="25"/>
      <c r="Z15" s="25"/>
      <c r="AA15" s="3" t="str">
        <f>IF(Caja_Operativa[[#This Row],[FECHA]]&gt;0,TEXT(Caja_Operativa[[#This Row],[FECHA]],"mmmm"),0)</f>
        <v>Enero</v>
      </c>
    </row>
    <row r="16" spans="1:27" ht="60" x14ac:dyDescent="0.3">
      <c r="A16" s="2">
        <f>IF(Caja_Operativa[[#This Row],[TIPO DE R.]]="R",COUNTIFS($C$1:$C15,"R")+1,"")</f>
        <v>15</v>
      </c>
      <c r="B16" s="19" t="str">
        <f t="shared" si="4"/>
        <v>C-Operativa</v>
      </c>
      <c r="C16" s="3" t="s">
        <v>1330</v>
      </c>
      <c r="D16" s="14">
        <v>45664</v>
      </c>
      <c r="E16" s="5" t="s">
        <v>7514</v>
      </c>
      <c r="F16" s="5" t="s">
        <v>1336</v>
      </c>
      <c r="G16" s="6"/>
      <c r="H16" s="6"/>
      <c r="I16" s="6"/>
      <c r="J16" s="6"/>
      <c r="K16" s="7" t="s">
        <v>7528</v>
      </c>
      <c r="L16" s="8">
        <v>542784</v>
      </c>
      <c r="M16" s="8" t="str">
        <f t="shared" si="5"/>
        <v>PEN</v>
      </c>
      <c r="N16" s="13"/>
      <c r="O16" s="13">
        <v>8</v>
      </c>
      <c r="P16" s="3">
        <f t="shared" si="6"/>
        <v>0</v>
      </c>
      <c r="Q16" s="3">
        <f t="shared" si="7"/>
        <v>8</v>
      </c>
      <c r="R16" s="3">
        <f t="shared" si="3"/>
        <v>2287.85</v>
      </c>
      <c r="S16" s="24"/>
      <c r="T16" s="24"/>
      <c r="U16" s="55"/>
      <c r="V16" s="25" t="s">
        <v>7519</v>
      </c>
      <c r="W16" s="25"/>
      <c r="X16" s="25"/>
      <c r="Y16" s="25"/>
      <c r="Z16" s="25"/>
      <c r="AA16" s="3" t="str">
        <f>IF(Caja_Operativa[[#This Row],[FECHA]]&gt;0,TEXT(Caja_Operativa[[#This Row],[FECHA]],"mmmm"),0)</f>
        <v>Enero</v>
      </c>
    </row>
    <row r="17" spans="1:27" ht="60" x14ac:dyDescent="0.3">
      <c r="A17" s="2">
        <f>IF(Caja_Operativa[[#This Row],[TIPO DE R.]]="R",COUNTIFS($C$1:$C16,"R")+1,"")</f>
        <v>16</v>
      </c>
      <c r="B17" s="19" t="str">
        <f t="shared" si="4"/>
        <v>C-Operativa</v>
      </c>
      <c r="C17" s="3" t="s">
        <v>1330</v>
      </c>
      <c r="D17" s="14">
        <v>45664</v>
      </c>
      <c r="E17" s="5" t="s">
        <v>7514</v>
      </c>
      <c r="F17" s="5" t="s">
        <v>1336</v>
      </c>
      <c r="G17" s="6"/>
      <c r="H17" s="6"/>
      <c r="I17" s="6"/>
      <c r="J17" s="6"/>
      <c r="K17" s="7" t="s">
        <v>7529</v>
      </c>
      <c r="L17" s="8">
        <v>566210</v>
      </c>
      <c r="M17" s="8" t="str">
        <f t="shared" si="5"/>
        <v>PEN</v>
      </c>
      <c r="N17" s="13"/>
      <c r="O17" s="13">
        <v>8</v>
      </c>
      <c r="P17" s="3">
        <f t="shared" si="6"/>
        <v>0</v>
      </c>
      <c r="Q17" s="3">
        <f t="shared" si="7"/>
        <v>8</v>
      </c>
      <c r="R17" s="3">
        <f t="shared" si="3"/>
        <v>2279.85</v>
      </c>
      <c r="S17" s="24"/>
      <c r="T17" s="24"/>
      <c r="U17" s="55"/>
      <c r="V17" s="25" t="s">
        <v>7519</v>
      </c>
      <c r="W17" s="25"/>
      <c r="X17" s="25"/>
      <c r="Y17" s="25"/>
      <c r="Z17" s="25"/>
      <c r="AA17" s="3" t="str">
        <f>IF(Caja_Operativa[[#This Row],[FECHA]]&gt;0,TEXT(Caja_Operativa[[#This Row],[FECHA]],"mmmm"),0)</f>
        <v>Enero</v>
      </c>
    </row>
    <row r="18" spans="1:27" ht="60" x14ac:dyDescent="0.3">
      <c r="A18" s="2">
        <f>IF(Caja_Operativa[[#This Row],[TIPO DE R.]]="R",COUNTIFS($C$1:$C17,"R")+1,"")</f>
        <v>17</v>
      </c>
      <c r="B18" s="19" t="str">
        <f t="shared" si="4"/>
        <v>C-Operativa</v>
      </c>
      <c r="C18" s="3" t="s">
        <v>1330</v>
      </c>
      <c r="D18" s="14">
        <v>45664</v>
      </c>
      <c r="E18" s="5" t="s">
        <v>7514</v>
      </c>
      <c r="F18" s="5" t="s">
        <v>1336</v>
      </c>
      <c r="G18" s="6"/>
      <c r="H18" s="6"/>
      <c r="I18" s="6"/>
      <c r="J18" s="6"/>
      <c r="K18" s="7" t="s">
        <v>7530</v>
      </c>
      <c r="L18" s="8">
        <v>585258</v>
      </c>
      <c r="M18" s="8" t="str">
        <f t="shared" si="5"/>
        <v>PEN</v>
      </c>
      <c r="N18" s="13"/>
      <c r="O18" s="13">
        <v>8</v>
      </c>
      <c r="P18" s="3">
        <f t="shared" si="6"/>
        <v>0</v>
      </c>
      <c r="Q18" s="3">
        <f t="shared" si="7"/>
        <v>8</v>
      </c>
      <c r="R18" s="3">
        <f t="shared" si="3"/>
        <v>2271.85</v>
      </c>
      <c r="S18" s="24"/>
      <c r="T18" s="24"/>
      <c r="U18" s="55"/>
      <c r="V18" s="25" t="s">
        <v>7519</v>
      </c>
      <c r="W18" s="25"/>
      <c r="X18" s="25"/>
      <c r="Y18" s="25"/>
      <c r="Z18" s="25"/>
      <c r="AA18" s="3" t="str">
        <f>IF(Caja_Operativa[[#This Row],[FECHA]]&gt;0,TEXT(Caja_Operativa[[#This Row],[FECHA]],"mmmm"),0)</f>
        <v>Enero</v>
      </c>
    </row>
    <row r="19" spans="1:27" ht="60" x14ac:dyDescent="0.3">
      <c r="A19" s="2">
        <f>IF(Caja_Operativa[[#This Row],[TIPO DE R.]]="R",COUNTIFS($C$1:$C18,"R")+1,"")</f>
        <v>18</v>
      </c>
      <c r="B19" s="19" t="str">
        <f t="shared" si="4"/>
        <v>C-Operativa</v>
      </c>
      <c r="C19" s="3" t="s">
        <v>1330</v>
      </c>
      <c r="D19" s="14">
        <v>45664</v>
      </c>
      <c r="E19" s="5" t="s">
        <v>7514</v>
      </c>
      <c r="F19" s="5" t="s">
        <v>1336</v>
      </c>
      <c r="G19" s="6"/>
      <c r="H19" s="6"/>
      <c r="I19" s="6"/>
      <c r="J19" s="6"/>
      <c r="K19" s="7" t="s">
        <v>7531</v>
      </c>
      <c r="L19" s="8">
        <v>576632</v>
      </c>
      <c r="M19" s="8" t="str">
        <f t="shared" si="5"/>
        <v>PEN</v>
      </c>
      <c r="N19" s="13"/>
      <c r="O19" s="13">
        <v>8</v>
      </c>
      <c r="P19" s="3">
        <f t="shared" si="6"/>
        <v>0</v>
      </c>
      <c r="Q19" s="3">
        <f t="shared" si="7"/>
        <v>8</v>
      </c>
      <c r="R19" s="3">
        <f t="shared" si="3"/>
        <v>2263.85</v>
      </c>
      <c r="S19" s="24"/>
      <c r="T19" s="24"/>
      <c r="U19" s="55"/>
      <c r="V19" s="25" t="s">
        <v>7519</v>
      </c>
      <c r="W19" s="25"/>
      <c r="X19" s="25"/>
      <c r="Y19" s="25"/>
      <c r="Z19" s="25"/>
      <c r="AA19" s="3" t="str">
        <f>IF(Caja_Operativa[[#This Row],[FECHA]]&gt;0,TEXT(Caja_Operativa[[#This Row],[FECHA]],"mmmm"),0)</f>
        <v>Enero</v>
      </c>
    </row>
    <row r="20" spans="1:27" ht="60" x14ac:dyDescent="0.3">
      <c r="A20" s="2">
        <f>IF(Caja_Operativa[[#This Row],[TIPO DE R.]]="R",COUNTIFS($C$1:$C19,"R")+1,"")</f>
        <v>19</v>
      </c>
      <c r="B20" s="19" t="str">
        <f t="shared" si="4"/>
        <v>C-Operativa</v>
      </c>
      <c r="C20" s="3" t="s">
        <v>1330</v>
      </c>
      <c r="D20" s="14">
        <v>45664</v>
      </c>
      <c r="E20" s="5" t="s">
        <v>7514</v>
      </c>
      <c r="F20" s="5" t="s">
        <v>1336</v>
      </c>
      <c r="G20" s="6"/>
      <c r="H20" s="6"/>
      <c r="I20" s="6"/>
      <c r="J20" s="6"/>
      <c r="K20" s="7" t="s">
        <v>7532</v>
      </c>
      <c r="L20" s="8">
        <v>573918</v>
      </c>
      <c r="M20" s="8" t="str">
        <f t="shared" si="5"/>
        <v>PEN</v>
      </c>
      <c r="N20" s="13"/>
      <c r="O20" s="13">
        <v>25</v>
      </c>
      <c r="P20" s="3">
        <f t="shared" si="6"/>
        <v>0</v>
      </c>
      <c r="Q20" s="3">
        <f t="shared" si="7"/>
        <v>25</v>
      </c>
      <c r="R20" s="3">
        <f t="shared" si="3"/>
        <v>2238.85</v>
      </c>
      <c r="S20" s="24"/>
      <c r="T20" s="24"/>
      <c r="U20" s="55"/>
      <c r="V20" s="25" t="s">
        <v>7519</v>
      </c>
      <c r="W20" s="25"/>
      <c r="X20" s="25"/>
      <c r="Y20" s="25"/>
      <c r="Z20" s="25"/>
      <c r="AA20" s="3" t="str">
        <f>IF(Caja_Operativa[[#This Row],[FECHA]]&gt;0,TEXT(Caja_Operativa[[#This Row],[FECHA]],"mmmm"),0)</f>
        <v>Enero</v>
      </c>
    </row>
    <row r="21" spans="1:27" ht="60" x14ac:dyDescent="0.3">
      <c r="A21" s="2">
        <f>IF(Caja_Operativa[[#This Row],[TIPO DE R.]]="R",COUNTIFS($C$1:$C20,"R")+1,"")</f>
        <v>20</v>
      </c>
      <c r="B21" s="19" t="str">
        <f t="shared" si="4"/>
        <v>C-Operativa</v>
      </c>
      <c r="C21" s="3" t="s">
        <v>1330</v>
      </c>
      <c r="D21" s="14">
        <v>45664</v>
      </c>
      <c r="E21" s="5" t="s">
        <v>7514</v>
      </c>
      <c r="F21" s="5" t="s">
        <v>1336</v>
      </c>
      <c r="G21" s="6"/>
      <c r="H21" s="6"/>
      <c r="I21" s="6"/>
      <c r="J21" s="6"/>
      <c r="K21" s="7" t="s">
        <v>7533</v>
      </c>
      <c r="L21" s="8">
        <v>577011</v>
      </c>
      <c r="M21" s="8" t="str">
        <f t="shared" si="5"/>
        <v>PEN</v>
      </c>
      <c r="N21" s="13"/>
      <c r="O21" s="13">
        <v>8</v>
      </c>
      <c r="P21" s="3">
        <f t="shared" si="6"/>
        <v>0</v>
      </c>
      <c r="Q21" s="3">
        <f t="shared" si="7"/>
        <v>8</v>
      </c>
      <c r="R21" s="3">
        <f t="shared" si="3"/>
        <v>2230.85</v>
      </c>
      <c r="S21" s="24"/>
      <c r="T21" s="24"/>
      <c r="U21" s="55"/>
      <c r="V21" s="25" t="s">
        <v>7519</v>
      </c>
      <c r="W21" s="25"/>
      <c r="X21" s="25"/>
      <c r="Y21" s="25"/>
      <c r="Z21" s="25"/>
      <c r="AA21" s="3" t="str">
        <f>IF(Caja_Operativa[[#This Row],[FECHA]]&gt;0,TEXT(Caja_Operativa[[#This Row],[FECHA]],"mmmm"),0)</f>
        <v>Enero</v>
      </c>
    </row>
    <row r="22" spans="1:27" ht="60" x14ac:dyDescent="0.3">
      <c r="A22" s="2">
        <f>IF(Caja_Operativa[[#This Row],[TIPO DE R.]]="R",COUNTIFS($C$1:$C21,"R")+1,"")</f>
        <v>21</v>
      </c>
      <c r="B22" s="19" t="str">
        <f t="shared" si="4"/>
        <v>C-Operativa</v>
      </c>
      <c r="C22" s="3" t="s">
        <v>1330</v>
      </c>
      <c r="D22" s="14">
        <v>45664</v>
      </c>
      <c r="E22" s="5" t="s">
        <v>7514</v>
      </c>
      <c r="F22" s="5" t="s">
        <v>1336</v>
      </c>
      <c r="G22" s="6"/>
      <c r="H22" s="6"/>
      <c r="I22" s="6"/>
      <c r="J22" s="6"/>
      <c r="K22" s="7" t="s">
        <v>7534</v>
      </c>
      <c r="L22" s="8">
        <v>601259</v>
      </c>
      <c r="M22" s="8" t="str">
        <f t="shared" si="5"/>
        <v>PEN</v>
      </c>
      <c r="N22" s="13"/>
      <c r="O22" s="13">
        <v>8</v>
      </c>
      <c r="P22" s="3">
        <f t="shared" si="6"/>
        <v>0</v>
      </c>
      <c r="Q22" s="3">
        <f t="shared" si="7"/>
        <v>8</v>
      </c>
      <c r="R22" s="3">
        <f t="shared" si="3"/>
        <v>2222.85</v>
      </c>
      <c r="S22" s="24"/>
      <c r="T22" s="24"/>
      <c r="U22" s="55"/>
      <c r="V22" s="25" t="s">
        <v>7519</v>
      </c>
      <c r="W22" s="25"/>
      <c r="X22" s="25"/>
      <c r="Y22" s="25"/>
      <c r="Z22" s="25"/>
      <c r="AA22" s="3" t="str">
        <f>IF(Caja_Operativa[[#This Row],[FECHA]]&gt;0,TEXT(Caja_Operativa[[#This Row],[FECHA]],"mmmm"),0)</f>
        <v>Enero</v>
      </c>
    </row>
    <row r="23" spans="1:27" ht="60" x14ac:dyDescent="0.3">
      <c r="A23" s="2">
        <f>IF(Caja_Operativa[[#This Row],[TIPO DE R.]]="R",COUNTIFS($C$1:$C22,"R")+1,"")</f>
        <v>22</v>
      </c>
      <c r="B23" s="19" t="str">
        <f t="shared" si="4"/>
        <v>C-Operativa</v>
      </c>
      <c r="C23" s="3" t="s">
        <v>1330</v>
      </c>
      <c r="D23" s="14">
        <v>45664</v>
      </c>
      <c r="E23" s="5" t="s">
        <v>7514</v>
      </c>
      <c r="F23" s="5" t="s">
        <v>1336</v>
      </c>
      <c r="G23" s="6"/>
      <c r="H23" s="6"/>
      <c r="I23" s="6"/>
      <c r="J23" s="6"/>
      <c r="K23" s="7" t="s">
        <v>7535</v>
      </c>
      <c r="L23" s="8">
        <v>612542</v>
      </c>
      <c r="M23" s="8" t="str">
        <f t="shared" si="5"/>
        <v>PEN</v>
      </c>
      <c r="N23" s="13"/>
      <c r="O23" s="13">
        <v>10</v>
      </c>
      <c r="P23" s="3">
        <f t="shared" si="6"/>
        <v>0</v>
      </c>
      <c r="Q23" s="3">
        <f t="shared" si="7"/>
        <v>10</v>
      </c>
      <c r="R23" s="3">
        <f t="shared" si="3"/>
        <v>2212.85</v>
      </c>
      <c r="S23" s="24"/>
      <c r="T23" s="24"/>
      <c r="U23" s="55"/>
      <c r="V23" s="25" t="s">
        <v>7519</v>
      </c>
      <c r="W23" s="25"/>
      <c r="X23" s="25"/>
      <c r="Y23" s="25"/>
      <c r="Z23" s="25"/>
      <c r="AA23" s="3" t="str">
        <f>IF(Caja_Operativa[[#This Row],[FECHA]]&gt;0,TEXT(Caja_Operativa[[#This Row],[FECHA]],"mmmm"),0)</f>
        <v>Enero</v>
      </c>
    </row>
    <row r="24" spans="1:27" ht="60" x14ac:dyDescent="0.3">
      <c r="A24" s="2">
        <f>IF(Caja_Operativa[[#This Row],[TIPO DE R.]]="R",COUNTIFS($C$1:$C23,"R")+1,"")</f>
        <v>23</v>
      </c>
      <c r="B24" s="19" t="str">
        <f t="shared" si="4"/>
        <v>C-Operativa</v>
      </c>
      <c r="C24" s="3" t="s">
        <v>1330</v>
      </c>
      <c r="D24" s="14">
        <v>45664</v>
      </c>
      <c r="E24" s="5" t="s">
        <v>7514</v>
      </c>
      <c r="F24" s="5" t="s">
        <v>1336</v>
      </c>
      <c r="G24" s="6"/>
      <c r="H24" s="6"/>
      <c r="I24" s="6"/>
      <c r="J24" s="6"/>
      <c r="K24" s="7" t="s">
        <v>7536</v>
      </c>
      <c r="L24" s="8">
        <v>574851</v>
      </c>
      <c r="M24" s="8" t="str">
        <f t="shared" si="5"/>
        <v>PEN</v>
      </c>
      <c r="N24" s="13"/>
      <c r="O24" s="13">
        <v>8</v>
      </c>
      <c r="P24" s="3">
        <f t="shared" si="6"/>
        <v>0</v>
      </c>
      <c r="Q24" s="3">
        <f t="shared" si="7"/>
        <v>8</v>
      </c>
      <c r="R24" s="3">
        <f t="shared" si="3"/>
        <v>2204.85</v>
      </c>
      <c r="S24" s="24"/>
      <c r="T24" s="24"/>
      <c r="U24" s="55"/>
      <c r="V24" s="25" t="s">
        <v>7519</v>
      </c>
      <c r="W24" s="25"/>
      <c r="X24" s="25"/>
      <c r="Y24" s="25"/>
      <c r="Z24" s="25"/>
      <c r="AA24" s="3" t="str">
        <f>IF(Caja_Operativa[[#This Row],[FECHA]]&gt;0,TEXT(Caja_Operativa[[#This Row],[FECHA]],"mmmm"),0)</f>
        <v>Enero</v>
      </c>
    </row>
    <row r="25" spans="1:27" ht="24" x14ac:dyDescent="0.3">
      <c r="A25" s="2">
        <f>IF(Caja_Operativa[[#This Row],[TIPO DE R.]]="R",COUNTIFS($C$1:$C24,"R")+1,"")</f>
        <v>24</v>
      </c>
      <c r="B25" s="19" t="str">
        <f t="shared" si="4"/>
        <v>C-Operativa</v>
      </c>
      <c r="C25" s="3" t="s">
        <v>1330</v>
      </c>
      <c r="D25" s="14">
        <v>45665</v>
      </c>
      <c r="E25" s="5" t="s">
        <v>7514</v>
      </c>
      <c r="F25" s="5" t="s">
        <v>1336</v>
      </c>
      <c r="G25" s="6" t="s">
        <v>829</v>
      </c>
      <c r="H25" s="6"/>
      <c r="I25" s="6"/>
      <c r="J25" s="6"/>
      <c r="K25" s="7" t="s">
        <v>7516</v>
      </c>
      <c r="L25" s="8">
        <v>250932</v>
      </c>
      <c r="M25" s="8" t="str">
        <f t="shared" si="5"/>
        <v>PEN</v>
      </c>
      <c r="N25" s="13"/>
      <c r="O25" s="13">
        <v>200</v>
      </c>
      <c r="P25" s="3">
        <f t="shared" si="6"/>
        <v>0</v>
      </c>
      <c r="Q25" s="3">
        <f t="shared" si="7"/>
        <v>200</v>
      </c>
      <c r="R25" s="3">
        <f t="shared" si="3"/>
        <v>2004.85</v>
      </c>
      <c r="S25" s="24" t="s">
        <v>1334</v>
      </c>
      <c r="T25" s="24" t="s">
        <v>1334</v>
      </c>
      <c r="U25" s="55"/>
      <c r="V25" s="25"/>
      <c r="W25" s="25"/>
      <c r="X25" s="25"/>
      <c r="Y25" s="25"/>
      <c r="Z25" s="25"/>
      <c r="AA25" s="3" t="str">
        <f>IF(Caja_Operativa[[#This Row],[FECHA]]&gt;0,TEXT(Caja_Operativa[[#This Row],[FECHA]],"mmmm"),0)</f>
        <v>Enero</v>
      </c>
    </row>
    <row r="26" spans="1:27" ht="24" x14ac:dyDescent="0.3">
      <c r="A26" s="2">
        <f>IF(Caja_Operativa[[#This Row],[TIPO DE R.]]="R",COUNTIFS($C$1:$C25,"R")+1,"")</f>
        <v>25</v>
      </c>
      <c r="B26" s="19" t="str">
        <f t="shared" si="4"/>
        <v>C-Operativa</v>
      </c>
      <c r="C26" s="3" t="s">
        <v>1330</v>
      </c>
      <c r="D26" s="14">
        <v>45665</v>
      </c>
      <c r="E26" s="5" t="s">
        <v>7514</v>
      </c>
      <c r="F26" s="5" t="s">
        <v>1336</v>
      </c>
      <c r="G26" s="6" t="s">
        <v>692</v>
      </c>
      <c r="H26" s="6"/>
      <c r="I26" s="6"/>
      <c r="J26" s="6"/>
      <c r="K26" s="7" t="s">
        <v>7516</v>
      </c>
      <c r="L26" s="8">
        <v>324967</v>
      </c>
      <c r="M26" s="8" t="str">
        <f t="shared" si="5"/>
        <v>PEN</v>
      </c>
      <c r="N26" s="13"/>
      <c r="O26" s="13">
        <v>70</v>
      </c>
      <c r="P26" s="3">
        <f t="shared" si="6"/>
        <v>0</v>
      </c>
      <c r="Q26" s="3">
        <f t="shared" si="7"/>
        <v>70</v>
      </c>
      <c r="R26" s="3">
        <f t="shared" si="3"/>
        <v>1934.85</v>
      </c>
      <c r="S26" s="24" t="s">
        <v>1334</v>
      </c>
      <c r="T26" s="24" t="s">
        <v>1334</v>
      </c>
      <c r="U26" s="55"/>
      <c r="V26" s="25"/>
      <c r="W26" s="25"/>
      <c r="X26" s="25"/>
      <c r="Y26" s="25"/>
      <c r="Z26" s="25"/>
      <c r="AA26" s="3" t="str">
        <f>IF(Caja_Operativa[[#This Row],[FECHA]]&gt;0,TEXT(Caja_Operativa[[#This Row],[FECHA]],"mmmm"),0)</f>
        <v>Enero</v>
      </c>
    </row>
    <row r="27" spans="1:27" ht="24" x14ac:dyDescent="0.3">
      <c r="A27" s="2">
        <f>IF(Caja_Operativa[[#This Row],[TIPO DE R.]]="R",COUNTIFS($C$1:$C26,"R")+1,"")</f>
        <v>26</v>
      </c>
      <c r="B27" s="19" t="str">
        <f t="shared" si="4"/>
        <v>C-Operativa</v>
      </c>
      <c r="C27" s="3" t="s">
        <v>1330</v>
      </c>
      <c r="D27" s="14">
        <v>45670</v>
      </c>
      <c r="E27" s="5" t="s">
        <v>7514</v>
      </c>
      <c r="F27" s="5" t="s">
        <v>1336</v>
      </c>
      <c r="G27" s="6" t="s">
        <v>812</v>
      </c>
      <c r="H27" s="6"/>
      <c r="I27" s="6"/>
      <c r="J27" s="6"/>
      <c r="K27" s="7" t="s">
        <v>7516</v>
      </c>
      <c r="L27" s="8">
        <v>1440598</v>
      </c>
      <c r="M27" s="8" t="str">
        <f t="shared" si="5"/>
        <v>PEN</v>
      </c>
      <c r="N27" s="13"/>
      <c r="O27" s="13">
        <v>150</v>
      </c>
      <c r="P27" s="3">
        <f t="shared" si="6"/>
        <v>0</v>
      </c>
      <c r="Q27" s="3">
        <f t="shared" si="7"/>
        <v>150</v>
      </c>
      <c r="R27" s="3">
        <f t="shared" si="3"/>
        <v>1784.85</v>
      </c>
      <c r="S27" s="24" t="s">
        <v>1334</v>
      </c>
      <c r="T27" s="24" t="s">
        <v>1334</v>
      </c>
      <c r="U27" s="55"/>
      <c r="V27" s="25"/>
      <c r="W27" s="25"/>
      <c r="X27" s="25"/>
      <c r="Y27" s="25"/>
      <c r="Z27" s="25"/>
      <c r="AA27" s="3" t="str">
        <f>IF(Caja_Operativa[[#This Row],[FECHA]]&gt;0,TEXT(Caja_Operativa[[#This Row],[FECHA]],"mmmm"),0)</f>
        <v>Enero</v>
      </c>
    </row>
    <row r="28" spans="1:27" ht="24" x14ac:dyDescent="0.3">
      <c r="A28" s="2">
        <f>IF(Caja_Operativa[[#This Row],[TIPO DE R.]]="R",COUNTIFS($C$1:$C27,"R")+1,"")</f>
        <v>27</v>
      </c>
      <c r="B28" s="19" t="str">
        <f t="shared" si="4"/>
        <v>C-Operativa</v>
      </c>
      <c r="C28" s="3" t="s">
        <v>1330</v>
      </c>
      <c r="D28" s="14">
        <v>45670</v>
      </c>
      <c r="E28" s="5" t="s">
        <v>7514</v>
      </c>
      <c r="F28" s="5" t="s">
        <v>1336</v>
      </c>
      <c r="G28" s="6" t="s">
        <v>829</v>
      </c>
      <c r="H28" s="6"/>
      <c r="I28" s="6"/>
      <c r="J28" s="6"/>
      <c r="K28" s="7" t="s">
        <v>7516</v>
      </c>
      <c r="L28" s="8">
        <v>1440980</v>
      </c>
      <c r="M28" s="8" t="str">
        <f t="shared" si="5"/>
        <v>PEN</v>
      </c>
      <c r="N28" s="13"/>
      <c r="O28" s="13">
        <v>120</v>
      </c>
      <c r="P28" s="3">
        <f t="shared" si="6"/>
        <v>0</v>
      </c>
      <c r="Q28" s="3">
        <f t="shared" si="7"/>
        <v>120</v>
      </c>
      <c r="R28" s="3">
        <f t="shared" si="3"/>
        <v>1664.85</v>
      </c>
      <c r="S28" s="24" t="s">
        <v>1334</v>
      </c>
      <c r="T28" s="24" t="s">
        <v>1334</v>
      </c>
      <c r="U28" s="55"/>
      <c r="V28" s="25"/>
      <c r="W28" s="25"/>
      <c r="X28" s="25"/>
      <c r="Y28" s="25"/>
      <c r="Z28" s="25"/>
      <c r="AA28" s="3" t="str">
        <f>IF(Caja_Operativa[[#This Row],[FECHA]]&gt;0,TEXT(Caja_Operativa[[#This Row],[FECHA]],"mmmm"),0)</f>
        <v>Enero</v>
      </c>
    </row>
    <row r="29" spans="1:27" x14ac:dyDescent="0.3">
      <c r="A29" s="2">
        <f>IF(Caja_Operativa[[#This Row],[TIPO DE R.]]="R",COUNTIFS($C$1:$C28,"R")+1,"")</f>
        <v>28</v>
      </c>
      <c r="B29" s="19" t="str">
        <f t="shared" si="4"/>
        <v>C-Operativa</v>
      </c>
      <c r="C29" s="3" t="s">
        <v>1330</v>
      </c>
      <c r="D29" s="14">
        <v>45670</v>
      </c>
      <c r="E29" s="5" t="s">
        <v>7514</v>
      </c>
      <c r="F29" s="5" t="s">
        <v>1336</v>
      </c>
      <c r="G29" s="6" t="s">
        <v>876</v>
      </c>
      <c r="H29" s="6"/>
      <c r="I29" s="6"/>
      <c r="J29" s="6"/>
      <c r="K29" s="7" t="s">
        <v>7516</v>
      </c>
      <c r="L29" s="8">
        <v>1441313</v>
      </c>
      <c r="M29" s="8" t="str">
        <f t="shared" si="5"/>
        <v>PEN</v>
      </c>
      <c r="N29" s="13"/>
      <c r="O29" s="13">
        <v>120</v>
      </c>
      <c r="P29" s="3">
        <f t="shared" si="6"/>
        <v>0</v>
      </c>
      <c r="Q29" s="3">
        <f t="shared" si="7"/>
        <v>120</v>
      </c>
      <c r="R29" s="3">
        <f t="shared" si="3"/>
        <v>1544.85</v>
      </c>
      <c r="S29" s="24" t="s">
        <v>1334</v>
      </c>
      <c r="T29" s="24" t="s">
        <v>1334</v>
      </c>
      <c r="U29" s="55"/>
      <c r="V29" s="25"/>
      <c r="W29" s="25"/>
      <c r="X29" s="25"/>
      <c r="Y29" s="25"/>
      <c r="Z29" s="25"/>
      <c r="AA29" s="3" t="str">
        <f>IF(Caja_Operativa[[#This Row],[FECHA]]&gt;0,TEXT(Caja_Operativa[[#This Row],[FECHA]],"mmmm"),0)</f>
        <v>Enero</v>
      </c>
    </row>
    <row r="30" spans="1:27" ht="24" x14ac:dyDescent="0.3">
      <c r="A30" s="2">
        <f>IF(Caja_Operativa[[#This Row],[TIPO DE R.]]="R",COUNTIFS($C$1:$C29,"R")+1,"")</f>
        <v>29</v>
      </c>
      <c r="B30" s="19" t="str">
        <f t="shared" si="4"/>
        <v>C-Operativa</v>
      </c>
      <c r="C30" s="3" t="s">
        <v>1330</v>
      </c>
      <c r="D30" s="14">
        <v>45670</v>
      </c>
      <c r="E30" s="5" t="s">
        <v>7514</v>
      </c>
      <c r="F30" s="5" t="s">
        <v>1336</v>
      </c>
      <c r="G30" s="6" t="s">
        <v>957</v>
      </c>
      <c r="H30" s="6"/>
      <c r="I30" s="6"/>
      <c r="J30" s="6"/>
      <c r="K30" s="7" t="s">
        <v>7516</v>
      </c>
      <c r="L30" s="8">
        <v>1460226</v>
      </c>
      <c r="M30" s="8" t="str">
        <f t="shared" si="5"/>
        <v>PEN</v>
      </c>
      <c r="N30" s="13"/>
      <c r="O30" s="13">
        <v>220</v>
      </c>
      <c r="P30" s="3">
        <f t="shared" si="6"/>
        <v>0</v>
      </c>
      <c r="Q30" s="3">
        <f t="shared" si="7"/>
        <v>220</v>
      </c>
      <c r="R30" s="3">
        <f t="shared" si="3"/>
        <v>1324.85</v>
      </c>
      <c r="S30" s="24" t="s">
        <v>1334</v>
      </c>
      <c r="T30" s="24" t="s">
        <v>1334</v>
      </c>
      <c r="U30" s="55"/>
      <c r="V30" s="25"/>
      <c r="W30" s="25"/>
      <c r="X30" s="25"/>
      <c r="Y30" s="25"/>
      <c r="Z30" s="25"/>
      <c r="AA30" s="3" t="str">
        <f>IF(Caja_Operativa[[#This Row],[FECHA]]&gt;0,TEXT(Caja_Operativa[[#This Row],[FECHA]],"mmmm"),0)</f>
        <v>Enero</v>
      </c>
    </row>
    <row r="31" spans="1:27" ht="24" x14ac:dyDescent="0.3">
      <c r="A31" s="2">
        <f>IF(Caja_Operativa[[#This Row],[TIPO DE R.]]="R",COUNTIFS($C$1:$C30,"R")+1,"")</f>
        <v>30</v>
      </c>
      <c r="B31" s="19" t="str">
        <f t="shared" si="4"/>
        <v>C-Operativa</v>
      </c>
      <c r="C31" s="3" t="s">
        <v>1330</v>
      </c>
      <c r="D31" s="14">
        <v>45670</v>
      </c>
      <c r="E31" s="5" t="s">
        <v>7514</v>
      </c>
      <c r="F31" s="5" t="s">
        <v>1336</v>
      </c>
      <c r="G31" s="6" t="s">
        <v>922</v>
      </c>
      <c r="H31" s="6"/>
      <c r="I31" s="6"/>
      <c r="J31" s="6"/>
      <c r="K31" s="7" t="s">
        <v>7537</v>
      </c>
      <c r="L31" s="8">
        <v>2322337</v>
      </c>
      <c r="M31" s="8" t="str">
        <f t="shared" si="5"/>
        <v>PEN</v>
      </c>
      <c r="N31" s="13"/>
      <c r="O31" s="13">
        <v>170</v>
      </c>
      <c r="P31" s="3">
        <f t="shared" si="6"/>
        <v>0</v>
      </c>
      <c r="Q31" s="3">
        <f t="shared" si="7"/>
        <v>170</v>
      </c>
      <c r="R31" s="3">
        <f t="shared" si="3"/>
        <v>1154.8499999999999</v>
      </c>
      <c r="S31" s="24" t="s">
        <v>1334</v>
      </c>
      <c r="T31" s="24" t="s">
        <v>1334</v>
      </c>
      <c r="U31" s="55"/>
      <c r="V31" s="25"/>
      <c r="W31" s="25"/>
      <c r="X31" s="25"/>
      <c r="Y31" s="25"/>
      <c r="Z31" s="25"/>
      <c r="AA31" s="3" t="str">
        <f>IF(Caja_Operativa[[#This Row],[FECHA]]&gt;0,TEXT(Caja_Operativa[[#This Row],[FECHA]],"mmmm"),0)</f>
        <v>Enero</v>
      </c>
    </row>
    <row r="32" spans="1:27" ht="24" x14ac:dyDescent="0.3">
      <c r="A32" s="2">
        <f>IF(Caja_Operativa[[#This Row],[TIPO DE R.]]="R",COUNTIFS($C$1:$C31,"R")+1,"")</f>
        <v>31</v>
      </c>
      <c r="B32" s="19" t="str">
        <f t="shared" si="4"/>
        <v>C-Operativa</v>
      </c>
      <c r="C32" s="3" t="s">
        <v>1330</v>
      </c>
      <c r="D32" s="14">
        <v>45670</v>
      </c>
      <c r="E32" s="5" t="s">
        <v>7514</v>
      </c>
      <c r="F32" s="5" t="s">
        <v>1336</v>
      </c>
      <c r="G32" s="6" t="s">
        <v>692</v>
      </c>
      <c r="H32" s="6"/>
      <c r="I32" s="6"/>
      <c r="J32" s="6"/>
      <c r="K32" s="7" t="s">
        <v>7516</v>
      </c>
      <c r="L32" s="8">
        <v>2316081</v>
      </c>
      <c r="M32" s="8" t="str">
        <f t="shared" si="5"/>
        <v>PEN</v>
      </c>
      <c r="N32" s="13"/>
      <c r="O32" s="13">
        <v>100</v>
      </c>
      <c r="P32" s="3">
        <f t="shared" si="6"/>
        <v>0</v>
      </c>
      <c r="Q32" s="3">
        <f t="shared" si="7"/>
        <v>100</v>
      </c>
      <c r="R32" s="3">
        <f t="shared" si="3"/>
        <v>1054.8499999999999</v>
      </c>
      <c r="S32" s="24" t="s">
        <v>1334</v>
      </c>
      <c r="T32" s="24" t="s">
        <v>1334</v>
      </c>
      <c r="U32" s="55"/>
      <c r="V32" s="25"/>
      <c r="W32" s="25"/>
      <c r="X32" s="25"/>
      <c r="Y32" s="25"/>
      <c r="Z32" s="25"/>
      <c r="AA32" s="3" t="str">
        <f>IF(Caja_Operativa[[#This Row],[FECHA]]&gt;0,TEXT(Caja_Operativa[[#This Row],[FECHA]],"mmmm"),0)</f>
        <v>Enero</v>
      </c>
    </row>
    <row r="33" spans="1:27" ht="60" x14ac:dyDescent="0.3">
      <c r="A33" s="2">
        <f>IF(Caja_Operativa[[#This Row],[TIPO DE R.]]="R",COUNTIFS($C$1:$C32,"R")+1,"")</f>
        <v>32</v>
      </c>
      <c r="B33" s="19" t="str">
        <f t="shared" si="4"/>
        <v>C-Operativa</v>
      </c>
      <c r="C33" s="3" t="s">
        <v>1330</v>
      </c>
      <c r="D33" s="14">
        <v>45670</v>
      </c>
      <c r="E33" s="5" t="s">
        <v>7514</v>
      </c>
      <c r="F33" s="5" t="s">
        <v>1336</v>
      </c>
      <c r="G33" s="6"/>
      <c r="H33" s="6"/>
      <c r="I33" s="6"/>
      <c r="J33" s="6"/>
      <c r="K33" s="7" t="s">
        <v>7538</v>
      </c>
      <c r="L33" s="8">
        <v>1484638</v>
      </c>
      <c r="M33" s="8" t="str">
        <f t="shared" si="5"/>
        <v>PEN</v>
      </c>
      <c r="N33" s="13"/>
      <c r="O33" s="13">
        <v>25</v>
      </c>
      <c r="P33" s="3">
        <f t="shared" si="6"/>
        <v>0</v>
      </c>
      <c r="Q33" s="3">
        <f t="shared" si="7"/>
        <v>25</v>
      </c>
      <c r="R33" s="3">
        <f t="shared" si="3"/>
        <v>1029.8499999999999</v>
      </c>
      <c r="S33" s="24"/>
      <c r="T33" s="24"/>
      <c r="U33" s="55"/>
      <c r="V33" s="25" t="s">
        <v>7519</v>
      </c>
      <c r="W33" s="25"/>
      <c r="X33" s="25"/>
      <c r="Y33" s="25"/>
      <c r="Z33" s="25"/>
      <c r="AA33" s="3" t="str">
        <f>IF(Caja_Operativa[[#This Row],[FECHA]]&gt;0,TEXT(Caja_Operativa[[#This Row],[FECHA]],"mmmm"),0)</f>
        <v>Enero</v>
      </c>
    </row>
    <row r="34" spans="1:27" ht="24" x14ac:dyDescent="0.3">
      <c r="A34" s="2">
        <f>IF(Caja_Operativa[[#This Row],[TIPO DE R.]]="R",COUNTIFS($C$1:$C33,"R")+1,"")</f>
        <v>33</v>
      </c>
      <c r="B34" s="19" t="str">
        <f t="shared" si="4"/>
        <v>C-Operativa</v>
      </c>
      <c r="C34" s="3" t="s">
        <v>1330</v>
      </c>
      <c r="D34" s="14">
        <v>45670</v>
      </c>
      <c r="E34" s="5" t="s">
        <v>7513</v>
      </c>
      <c r="F34" s="5" t="s">
        <v>1303</v>
      </c>
      <c r="G34" s="6" t="s">
        <v>901</v>
      </c>
      <c r="H34" s="6"/>
      <c r="I34" s="6" t="s">
        <v>7539</v>
      </c>
      <c r="J34" s="6">
        <v>1</v>
      </c>
      <c r="K34" s="7" t="s">
        <v>7540</v>
      </c>
      <c r="L34" s="8">
        <v>110189</v>
      </c>
      <c r="M34" s="8" t="str">
        <f t="shared" si="5"/>
        <v>PEN</v>
      </c>
      <c r="N34" s="13"/>
      <c r="O34" s="13">
        <v>2970.15</v>
      </c>
      <c r="P34" s="3">
        <f t="shared" si="6"/>
        <v>2970.15</v>
      </c>
      <c r="Q34" s="3">
        <f t="shared" si="7"/>
        <v>0</v>
      </c>
      <c r="R34" s="3">
        <f t="shared" si="3"/>
        <v>4000</v>
      </c>
      <c r="S34" s="24"/>
      <c r="T34" s="24"/>
      <c r="U34" s="55"/>
      <c r="V34" s="25" t="s">
        <v>7514</v>
      </c>
      <c r="W34" s="25"/>
      <c r="X34" s="25"/>
      <c r="Y34" s="25"/>
      <c r="Z34" s="25"/>
      <c r="AA34" s="3" t="str">
        <f>IF(Caja_Operativa[[#This Row],[FECHA]]&gt;0,TEXT(Caja_Operativa[[#This Row],[FECHA]],"mmmm"),0)</f>
        <v>Enero</v>
      </c>
    </row>
    <row r="35" spans="1:27" x14ac:dyDescent="0.3">
      <c r="A35" s="2">
        <f>IF(Caja_Operativa[[#This Row],[TIPO DE R.]]="R",COUNTIFS($C$1:$C34,"R")+1,"")</f>
        <v>34</v>
      </c>
      <c r="B35" s="19" t="str">
        <f t="shared" si="4"/>
        <v>C-Operativa</v>
      </c>
      <c r="C35" s="3" t="s">
        <v>1330</v>
      </c>
      <c r="D35" s="14">
        <v>45670</v>
      </c>
      <c r="E35" s="5" t="s">
        <v>1335</v>
      </c>
      <c r="F35" s="5" t="s">
        <v>1336</v>
      </c>
      <c r="G35" s="6"/>
      <c r="H35" s="6"/>
      <c r="I35" s="6"/>
      <c r="J35" s="6"/>
      <c r="K35" s="7" t="s">
        <v>5061</v>
      </c>
      <c r="L35" s="8"/>
      <c r="M35" s="8" t="str">
        <f t="shared" si="5"/>
        <v>PEN</v>
      </c>
      <c r="N35" s="13"/>
      <c r="O35" s="13">
        <v>0.1</v>
      </c>
      <c r="P35" s="3">
        <f t="shared" si="6"/>
        <v>0</v>
      </c>
      <c r="Q35" s="3">
        <f t="shared" si="7"/>
        <v>0.1</v>
      </c>
      <c r="R35" s="3">
        <f t="shared" si="3"/>
        <v>3999.9</v>
      </c>
      <c r="S35" s="24"/>
      <c r="T35" s="24"/>
      <c r="U35" s="55"/>
      <c r="V35" s="25"/>
      <c r="W35" s="25"/>
      <c r="X35" s="25"/>
      <c r="Y35" s="25"/>
      <c r="Z35" s="25"/>
      <c r="AA35" s="3" t="str">
        <f>IF(Caja_Operativa[[#This Row],[FECHA]]&gt;0,TEXT(Caja_Operativa[[#This Row],[FECHA]],"mmmm"),0)</f>
        <v>Enero</v>
      </c>
    </row>
    <row r="36" spans="1:27" ht="24" x14ac:dyDescent="0.3">
      <c r="A36" s="2">
        <f>IF(Caja_Operativa[[#This Row],[TIPO DE R.]]="R",COUNTIFS($C$1:$C35,"R")+1,"")</f>
        <v>35</v>
      </c>
      <c r="B36" s="19" t="str">
        <f t="shared" si="4"/>
        <v>C-Operativa</v>
      </c>
      <c r="C36" s="3" t="s">
        <v>1330</v>
      </c>
      <c r="D36" s="14">
        <v>45671</v>
      </c>
      <c r="E36" s="5" t="s">
        <v>7514</v>
      </c>
      <c r="F36" s="5" t="s">
        <v>1336</v>
      </c>
      <c r="G36" s="6" t="s">
        <v>957</v>
      </c>
      <c r="H36" s="6"/>
      <c r="I36" s="6"/>
      <c r="J36" s="6"/>
      <c r="K36" s="7" t="s">
        <v>7541</v>
      </c>
      <c r="L36" s="8">
        <v>1205596</v>
      </c>
      <c r="M36" s="8" t="str">
        <f t="shared" si="5"/>
        <v>PEN</v>
      </c>
      <c r="N36" s="13"/>
      <c r="O36" s="13">
        <v>700</v>
      </c>
      <c r="P36" s="3">
        <f t="shared" si="6"/>
        <v>0</v>
      </c>
      <c r="Q36" s="3">
        <f t="shared" si="7"/>
        <v>700</v>
      </c>
      <c r="R36" s="3">
        <f t="shared" si="3"/>
        <v>3299.9</v>
      </c>
      <c r="S36" s="24" t="s">
        <v>1334</v>
      </c>
      <c r="T36" s="24" t="s">
        <v>1334</v>
      </c>
      <c r="U36" s="55"/>
      <c r="V36" s="25"/>
      <c r="W36" s="25"/>
      <c r="X36" s="25"/>
      <c r="Y36" s="25"/>
      <c r="Z36" s="25"/>
      <c r="AA36" s="3" t="str">
        <f>IF(Caja_Operativa[[#This Row],[FECHA]]&gt;0,TEXT(Caja_Operativa[[#This Row],[FECHA]],"mmmm"),0)</f>
        <v>Enero</v>
      </c>
    </row>
    <row r="37" spans="1:27" ht="24" x14ac:dyDescent="0.3">
      <c r="A37" s="2">
        <f>IF(Caja_Operativa[[#This Row],[TIPO DE R.]]="R",COUNTIFS($C$1:$C36,"R")+1,"")</f>
        <v>36</v>
      </c>
      <c r="B37" s="19" t="str">
        <f t="shared" si="4"/>
        <v>C-Operativa</v>
      </c>
      <c r="C37" s="3" t="s">
        <v>1330</v>
      </c>
      <c r="D37" s="14">
        <v>45674</v>
      </c>
      <c r="E37" s="5" t="s">
        <v>7514</v>
      </c>
      <c r="F37" s="5" t="s">
        <v>1336</v>
      </c>
      <c r="G37" s="6" t="s">
        <v>692</v>
      </c>
      <c r="H37" s="6"/>
      <c r="I37" s="6"/>
      <c r="J37" s="6"/>
      <c r="K37" s="7" t="s">
        <v>7516</v>
      </c>
      <c r="L37" s="8">
        <v>536081</v>
      </c>
      <c r="M37" s="8" t="str">
        <f t="shared" si="5"/>
        <v>PEN</v>
      </c>
      <c r="N37" s="13"/>
      <c r="O37" s="13">
        <v>100</v>
      </c>
      <c r="P37" s="3">
        <f t="shared" si="6"/>
        <v>0</v>
      </c>
      <c r="Q37" s="3">
        <f t="shared" si="7"/>
        <v>100</v>
      </c>
      <c r="R37" s="3">
        <f t="shared" si="3"/>
        <v>3199.9</v>
      </c>
      <c r="S37" s="24" t="s">
        <v>1334</v>
      </c>
      <c r="T37" s="24" t="s">
        <v>1334</v>
      </c>
      <c r="U37" s="55"/>
      <c r="V37" s="25"/>
      <c r="W37" s="25"/>
      <c r="X37" s="25"/>
      <c r="Y37" s="25"/>
      <c r="Z37" s="25"/>
      <c r="AA37" s="3" t="str">
        <f>IF(Caja_Operativa[[#This Row],[FECHA]]&gt;0,TEXT(Caja_Operativa[[#This Row],[FECHA]],"mmmm"),0)</f>
        <v>Enero</v>
      </c>
    </row>
    <row r="38" spans="1:27" ht="24" x14ac:dyDescent="0.3">
      <c r="A38" s="2">
        <f>IF(Caja_Operativa[[#This Row],[TIPO DE R.]]="R",COUNTIFS($C$1:$C37,"R")+1,"")</f>
        <v>37</v>
      </c>
      <c r="B38" s="19" t="str">
        <f t="shared" si="4"/>
        <v>C-Operativa</v>
      </c>
      <c r="C38" s="3" t="s">
        <v>1330</v>
      </c>
      <c r="D38" s="14">
        <v>45677</v>
      </c>
      <c r="E38" s="5" t="s">
        <v>7514</v>
      </c>
      <c r="F38" s="5" t="s">
        <v>1336</v>
      </c>
      <c r="G38" s="6" t="s">
        <v>692</v>
      </c>
      <c r="H38" s="6"/>
      <c r="I38" s="6"/>
      <c r="J38" s="6"/>
      <c r="K38" s="7" t="s">
        <v>7516</v>
      </c>
      <c r="L38" s="8">
        <v>233782</v>
      </c>
      <c r="M38" s="8" t="str">
        <f t="shared" si="5"/>
        <v>PEN</v>
      </c>
      <c r="N38" s="13"/>
      <c r="O38" s="13">
        <v>200</v>
      </c>
      <c r="P38" s="3">
        <f t="shared" si="6"/>
        <v>0</v>
      </c>
      <c r="Q38" s="3">
        <f t="shared" si="7"/>
        <v>200</v>
      </c>
      <c r="R38" s="3">
        <f t="shared" si="3"/>
        <v>2999.9</v>
      </c>
      <c r="S38" s="24" t="s">
        <v>1334</v>
      </c>
      <c r="T38" s="24" t="s">
        <v>1334</v>
      </c>
      <c r="U38" s="55"/>
      <c r="V38" s="25"/>
      <c r="W38" s="25"/>
      <c r="X38" s="25"/>
      <c r="Y38" s="25"/>
      <c r="Z38" s="25"/>
      <c r="AA38" s="3" t="str">
        <f>IF(Caja_Operativa[[#This Row],[FECHA]]&gt;0,TEXT(Caja_Operativa[[#This Row],[FECHA]],"mmmm"),0)</f>
        <v>Enero</v>
      </c>
    </row>
    <row r="39" spans="1:27" ht="24" x14ac:dyDescent="0.3">
      <c r="A39" s="2">
        <f>IF(Caja_Operativa[[#This Row],[TIPO DE R.]]="R",COUNTIFS($C$1:$C38,"R")+1,"")</f>
        <v>38</v>
      </c>
      <c r="B39" s="19" t="str">
        <f t="shared" si="4"/>
        <v>C-Operativa</v>
      </c>
      <c r="C39" s="3" t="s">
        <v>1330</v>
      </c>
      <c r="D39" s="14">
        <v>45678</v>
      </c>
      <c r="E39" s="5" t="s">
        <v>7514</v>
      </c>
      <c r="F39" s="5" t="s">
        <v>1336</v>
      </c>
      <c r="G39" s="6" t="s">
        <v>812</v>
      </c>
      <c r="H39" s="6"/>
      <c r="I39" s="6"/>
      <c r="J39" s="6"/>
      <c r="K39" s="7" t="s">
        <v>7516</v>
      </c>
      <c r="L39" s="8">
        <v>290231</v>
      </c>
      <c r="M39" s="8" t="str">
        <f t="shared" si="5"/>
        <v>PEN</v>
      </c>
      <c r="N39" s="13"/>
      <c r="O39" s="13">
        <v>140</v>
      </c>
      <c r="P39" s="3">
        <f t="shared" si="6"/>
        <v>0</v>
      </c>
      <c r="Q39" s="3">
        <f t="shared" si="7"/>
        <v>140</v>
      </c>
      <c r="R39" s="3">
        <f t="shared" si="3"/>
        <v>2859.9</v>
      </c>
      <c r="S39" s="24" t="s">
        <v>1334</v>
      </c>
      <c r="T39" s="24" t="s">
        <v>1334</v>
      </c>
      <c r="U39" s="55"/>
      <c r="V39" s="25"/>
      <c r="W39" s="25"/>
      <c r="X39" s="25"/>
      <c r="Y39" s="25"/>
      <c r="Z39" s="25"/>
      <c r="AA39" s="3" t="str">
        <f>IF(Caja_Operativa[[#This Row],[FECHA]]&gt;0,TEXT(Caja_Operativa[[#This Row],[FECHA]],"mmmm"),0)</f>
        <v>Enero</v>
      </c>
    </row>
    <row r="40" spans="1:27" x14ac:dyDescent="0.3">
      <c r="A40" s="2">
        <f>IF(Caja_Operativa[[#This Row],[TIPO DE R.]]="R",COUNTIFS($C$1:$C39,"R")+1,"")</f>
        <v>39</v>
      </c>
      <c r="B40" s="19" t="str">
        <f t="shared" si="4"/>
        <v>C-Operativa</v>
      </c>
      <c r="C40" s="3" t="s">
        <v>1330</v>
      </c>
      <c r="D40" s="14">
        <v>45678</v>
      </c>
      <c r="E40" s="5" t="s">
        <v>7514</v>
      </c>
      <c r="F40" s="5" t="s">
        <v>1336</v>
      </c>
      <c r="G40" s="6" t="s">
        <v>876</v>
      </c>
      <c r="H40" s="6"/>
      <c r="I40" s="6"/>
      <c r="J40" s="6"/>
      <c r="K40" s="7" t="s">
        <v>7516</v>
      </c>
      <c r="L40" s="8">
        <v>308424</v>
      </c>
      <c r="M40" s="8" t="str">
        <f t="shared" si="5"/>
        <v>PEN</v>
      </c>
      <c r="N40" s="13"/>
      <c r="O40" s="13">
        <v>170</v>
      </c>
      <c r="P40" s="3">
        <f t="shared" si="6"/>
        <v>0</v>
      </c>
      <c r="Q40" s="3">
        <f t="shared" si="7"/>
        <v>170</v>
      </c>
      <c r="R40" s="3">
        <f t="shared" si="3"/>
        <v>2689.9</v>
      </c>
      <c r="S40" s="24" t="s">
        <v>1334</v>
      </c>
      <c r="T40" s="24" t="s">
        <v>1334</v>
      </c>
      <c r="U40" s="55"/>
      <c r="V40" s="25"/>
      <c r="W40" s="25"/>
      <c r="X40" s="25"/>
      <c r="Y40" s="25"/>
      <c r="Z40" s="25"/>
      <c r="AA40" s="3" t="str">
        <f>IF(Caja_Operativa[[#This Row],[FECHA]]&gt;0,TEXT(Caja_Operativa[[#This Row],[FECHA]],"mmmm"),0)</f>
        <v>Enero</v>
      </c>
    </row>
    <row r="41" spans="1:27" ht="24" x14ac:dyDescent="0.3">
      <c r="A41" s="2">
        <f>IF(Caja_Operativa[[#This Row],[TIPO DE R.]]="R",COUNTIFS($C$1:$C40,"R")+1,"")</f>
        <v>40</v>
      </c>
      <c r="B41" s="19" t="str">
        <f t="shared" si="4"/>
        <v>C-Operativa</v>
      </c>
      <c r="C41" s="3" t="s">
        <v>1330</v>
      </c>
      <c r="D41" s="14">
        <v>45678</v>
      </c>
      <c r="E41" s="5" t="s">
        <v>7514</v>
      </c>
      <c r="F41" s="5" t="s">
        <v>1336</v>
      </c>
      <c r="G41" s="6" t="s">
        <v>957</v>
      </c>
      <c r="H41" s="6"/>
      <c r="I41" s="6"/>
      <c r="J41" s="6"/>
      <c r="K41" s="7" t="s">
        <v>7516</v>
      </c>
      <c r="L41" s="8">
        <v>308659</v>
      </c>
      <c r="M41" s="8" t="str">
        <f t="shared" si="5"/>
        <v>PEN</v>
      </c>
      <c r="N41" s="13"/>
      <c r="O41" s="13">
        <v>100</v>
      </c>
      <c r="P41" s="3">
        <f t="shared" si="6"/>
        <v>0</v>
      </c>
      <c r="Q41" s="3">
        <f t="shared" si="7"/>
        <v>100</v>
      </c>
      <c r="R41" s="3">
        <f t="shared" si="3"/>
        <v>2589.9</v>
      </c>
      <c r="S41" s="24" t="s">
        <v>1334</v>
      </c>
      <c r="T41" s="24" t="s">
        <v>1334</v>
      </c>
      <c r="U41" s="55"/>
      <c r="V41" s="25"/>
      <c r="W41" s="25"/>
      <c r="X41" s="25"/>
      <c r="Y41" s="25"/>
      <c r="Z41" s="25"/>
      <c r="AA41" s="3" t="str">
        <f>IF(Caja_Operativa[[#This Row],[FECHA]]&gt;0,TEXT(Caja_Operativa[[#This Row],[FECHA]],"mmmm"),0)</f>
        <v>Enero</v>
      </c>
    </row>
    <row r="42" spans="1:27" ht="24" x14ac:dyDescent="0.3">
      <c r="A42" s="2">
        <f>IF(Caja_Operativa[[#This Row],[TIPO DE R.]]="R",COUNTIFS($C$1:$C41,"R")+1,"")</f>
        <v>41</v>
      </c>
      <c r="B42" s="19" t="str">
        <f t="shared" si="4"/>
        <v>C-Operativa</v>
      </c>
      <c r="C42" s="3" t="s">
        <v>1330</v>
      </c>
      <c r="D42" s="14">
        <v>45678</v>
      </c>
      <c r="E42" s="5" t="s">
        <v>7514</v>
      </c>
      <c r="F42" s="5" t="s">
        <v>1336</v>
      </c>
      <c r="G42" s="6" t="s">
        <v>922</v>
      </c>
      <c r="H42" s="6"/>
      <c r="I42" s="6"/>
      <c r="J42" s="6"/>
      <c r="K42" s="7" t="s">
        <v>7537</v>
      </c>
      <c r="L42" s="8">
        <v>315449</v>
      </c>
      <c r="M42" s="8" t="str">
        <f t="shared" si="5"/>
        <v>PEN</v>
      </c>
      <c r="N42" s="13"/>
      <c r="O42" s="13">
        <v>190</v>
      </c>
      <c r="P42" s="3">
        <f t="shared" si="6"/>
        <v>0</v>
      </c>
      <c r="Q42" s="3">
        <f t="shared" si="7"/>
        <v>190</v>
      </c>
      <c r="R42" s="3">
        <f t="shared" si="3"/>
        <v>2399.9</v>
      </c>
      <c r="S42" s="24" t="s">
        <v>1334</v>
      </c>
      <c r="T42" s="24" t="s">
        <v>1334</v>
      </c>
      <c r="U42" s="55"/>
      <c r="V42" s="25"/>
      <c r="W42" s="25"/>
      <c r="X42" s="25"/>
      <c r="Y42" s="25"/>
      <c r="Z42" s="25"/>
      <c r="AA42" s="3" t="str">
        <f>IF(Caja_Operativa[[#This Row],[FECHA]]&gt;0,TEXT(Caja_Operativa[[#This Row],[FECHA]],"mmmm"),0)</f>
        <v>Enero</v>
      </c>
    </row>
    <row r="43" spans="1:27" ht="60" x14ac:dyDescent="0.3">
      <c r="A43" s="2">
        <f>IF(Caja_Operativa[[#This Row],[TIPO DE R.]]="R",COUNTIFS($C$1:$C42,"R")+1,"")</f>
        <v>42</v>
      </c>
      <c r="B43" s="19" t="str">
        <f t="shared" si="4"/>
        <v>C-Operativa</v>
      </c>
      <c r="C43" s="3" t="s">
        <v>1330</v>
      </c>
      <c r="D43" s="14">
        <v>45678</v>
      </c>
      <c r="E43" s="5" t="s">
        <v>7514</v>
      </c>
      <c r="F43" s="5" t="s">
        <v>1336</v>
      </c>
      <c r="G43" s="6"/>
      <c r="H43" s="6"/>
      <c r="I43" s="6"/>
      <c r="J43" s="6"/>
      <c r="K43" s="7" t="s">
        <v>7542</v>
      </c>
      <c r="L43" s="8">
        <v>392200</v>
      </c>
      <c r="M43" s="8" t="str">
        <f t="shared" si="5"/>
        <v>PEN</v>
      </c>
      <c r="N43" s="13"/>
      <c r="O43" s="13">
        <v>13</v>
      </c>
      <c r="P43" s="3">
        <f t="shared" si="6"/>
        <v>0</v>
      </c>
      <c r="Q43" s="3">
        <f t="shared" si="7"/>
        <v>13</v>
      </c>
      <c r="R43" s="3">
        <f t="shared" si="3"/>
        <v>2386.9</v>
      </c>
      <c r="S43" s="24"/>
      <c r="T43" s="24"/>
      <c r="U43" s="55"/>
      <c r="V43" s="25" t="s">
        <v>7519</v>
      </c>
      <c r="W43" s="25"/>
      <c r="X43" s="25"/>
      <c r="Y43" s="25"/>
      <c r="Z43" s="25"/>
      <c r="AA43" s="3" t="str">
        <f>IF(Caja_Operativa[[#This Row],[FECHA]]&gt;0,TEXT(Caja_Operativa[[#This Row],[FECHA]],"mmmm"),0)</f>
        <v>Enero</v>
      </c>
    </row>
    <row r="44" spans="1:27" ht="60" x14ac:dyDescent="0.3">
      <c r="A44" s="2">
        <f>IF(Caja_Operativa[[#This Row],[TIPO DE R.]]="R",COUNTIFS($C$1:$C43,"R")+1,"")</f>
        <v>43</v>
      </c>
      <c r="B44" s="19" t="str">
        <f t="shared" si="4"/>
        <v>C-Operativa</v>
      </c>
      <c r="C44" s="3" t="s">
        <v>1330</v>
      </c>
      <c r="D44" s="14">
        <v>45678</v>
      </c>
      <c r="E44" s="5" t="s">
        <v>7514</v>
      </c>
      <c r="F44" s="5" t="s">
        <v>1336</v>
      </c>
      <c r="G44" s="6"/>
      <c r="H44" s="6"/>
      <c r="I44" s="6"/>
      <c r="J44" s="6"/>
      <c r="K44" s="7" t="s">
        <v>7543</v>
      </c>
      <c r="L44" s="8">
        <v>404273</v>
      </c>
      <c r="M44" s="8" t="str">
        <f t="shared" si="5"/>
        <v>PEN</v>
      </c>
      <c r="N44" s="13"/>
      <c r="O44" s="13">
        <v>8</v>
      </c>
      <c r="P44" s="3">
        <f t="shared" si="6"/>
        <v>0</v>
      </c>
      <c r="Q44" s="3">
        <f t="shared" si="7"/>
        <v>8</v>
      </c>
      <c r="R44" s="3">
        <f t="shared" si="3"/>
        <v>2378.9</v>
      </c>
      <c r="S44" s="24"/>
      <c r="T44" s="24"/>
      <c r="U44" s="55"/>
      <c r="V44" s="25" t="s">
        <v>7519</v>
      </c>
      <c r="W44" s="25"/>
      <c r="X44" s="25"/>
      <c r="Y44" s="25"/>
      <c r="Z44" s="25"/>
      <c r="AA44" s="3" t="str">
        <f>IF(Caja_Operativa[[#This Row],[FECHA]]&gt;0,TEXT(Caja_Operativa[[#This Row],[FECHA]],"mmmm"),0)</f>
        <v>Enero</v>
      </c>
    </row>
    <row r="45" spans="1:27" ht="60" x14ac:dyDescent="0.3">
      <c r="A45" s="2">
        <f>IF(Caja_Operativa[[#This Row],[TIPO DE R.]]="R",COUNTIFS($C$1:$C44,"R")+1,"")</f>
        <v>44</v>
      </c>
      <c r="B45" s="19" t="str">
        <f t="shared" si="4"/>
        <v>C-Operativa</v>
      </c>
      <c r="C45" s="3" t="s">
        <v>1330</v>
      </c>
      <c r="D45" s="14">
        <v>45678</v>
      </c>
      <c r="E45" s="5" t="s">
        <v>7514</v>
      </c>
      <c r="F45" s="5" t="s">
        <v>1336</v>
      </c>
      <c r="G45" s="6"/>
      <c r="H45" s="6"/>
      <c r="I45" s="6"/>
      <c r="J45" s="6"/>
      <c r="K45" s="7" t="s">
        <v>7544</v>
      </c>
      <c r="L45" s="8">
        <v>368769</v>
      </c>
      <c r="M45" s="8" t="str">
        <f t="shared" si="5"/>
        <v>PEN</v>
      </c>
      <c r="N45" s="13"/>
      <c r="O45" s="13">
        <v>8</v>
      </c>
      <c r="P45" s="3">
        <f t="shared" si="6"/>
        <v>0</v>
      </c>
      <c r="Q45" s="3">
        <f t="shared" si="7"/>
        <v>8</v>
      </c>
      <c r="R45" s="3">
        <f t="shared" si="3"/>
        <v>2370.9</v>
      </c>
      <c r="S45" s="24"/>
      <c r="T45" s="24"/>
      <c r="U45" s="55"/>
      <c r="V45" s="25" t="s">
        <v>7519</v>
      </c>
      <c r="W45" s="25"/>
      <c r="X45" s="25"/>
      <c r="Y45" s="25"/>
      <c r="Z45" s="25"/>
      <c r="AA45" s="3" t="str">
        <f>IF(Caja_Operativa[[#This Row],[FECHA]]&gt;0,TEXT(Caja_Operativa[[#This Row],[FECHA]],"mmmm"),0)</f>
        <v>Enero</v>
      </c>
    </row>
    <row r="46" spans="1:27" ht="60" x14ac:dyDescent="0.3">
      <c r="A46" s="2">
        <f>IF(Caja_Operativa[[#This Row],[TIPO DE R.]]="R",COUNTIFS($C$1:$C45,"R")+1,"")</f>
        <v>45</v>
      </c>
      <c r="B46" s="19" t="str">
        <f t="shared" si="4"/>
        <v>C-Operativa</v>
      </c>
      <c r="C46" s="3" t="s">
        <v>1330</v>
      </c>
      <c r="D46" s="14">
        <v>45678</v>
      </c>
      <c r="E46" s="5" t="s">
        <v>7514</v>
      </c>
      <c r="F46" s="5" t="s">
        <v>1336</v>
      </c>
      <c r="G46" s="6"/>
      <c r="H46" s="6"/>
      <c r="I46" s="6"/>
      <c r="J46" s="6"/>
      <c r="K46" s="7" t="s">
        <v>7545</v>
      </c>
      <c r="L46" s="8">
        <v>401772</v>
      </c>
      <c r="M46" s="8" t="str">
        <f t="shared" si="5"/>
        <v>PEN</v>
      </c>
      <c r="N46" s="13"/>
      <c r="O46" s="13">
        <v>15</v>
      </c>
      <c r="P46" s="3">
        <f t="shared" si="6"/>
        <v>0</v>
      </c>
      <c r="Q46" s="3">
        <f t="shared" si="7"/>
        <v>15</v>
      </c>
      <c r="R46" s="3">
        <f t="shared" si="3"/>
        <v>2355.9</v>
      </c>
      <c r="S46" s="24"/>
      <c r="T46" s="24"/>
      <c r="U46" s="55"/>
      <c r="V46" s="25" t="s">
        <v>7519</v>
      </c>
      <c r="W46" s="25"/>
      <c r="X46" s="25"/>
      <c r="Y46" s="25"/>
      <c r="Z46" s="25"/>
      <c r="AA46" s="3" t="str">
        <f>IF(Caja_Operativa[[#This Row],[FECHA]]&gt;0,TEXT(Caja_Operativa[[#This Row],[FECHA]],"mmmm"),0)</f>
        <v>Enero</v>
      </c>
    </row>
    <row r="47" spans="1:27" ht="60" x14ac:dyDescent="0.3">
      <c r="A47" s="2">
        <f>IF(Caja_Operativa[[#This Row],[TIPO DE R.]]="R",COUNTIFS($C$1:$C46,"R")+1,"")</f>
        <v>46</v>
      </c>
      <c r="B47" s="19" t="str">
        <f t="shared" si="4"/>
        <v>C-Operativa</v>
      </c>
      <c r="C47" s="3" t="s">
        <v>1330</v>
      </c>
      <c r="D47" s="14">
        <v>45678</v>
      </c>
      <c r="E47" s="5" t="s">
        <v>7514</v>
      </c>
      <c r="F47" s="5" t="s">
        <v>1336</v>
      </c>
      <c r="G47" s="6"/>
      <c r="H47" s="6"/>
      <c r="I47" s="6"/>
      <c r="J47" s="6"/>
      <c r="K47" s="7" t="s">
        <v>7546</v>
      </c>
      <c r="L47" s="8" t="s">
        <v>7547</v>
      </c>
      <c r="M47" s="8" t="str">
        <f t="shared" si="5"/>
        <v>PEN</v>
      </c>
      <c r="N47" s="13"/>
      <c r="O47" s="13">
        <v>8</v>
      </c>
      <c r="P47" s="3">
        <f t="shared" si="6"/>
        <v>0</v>
      </c>
      <c r="Q47" s="3">
        <f t="shared" si="7"/>
        <v>8</v>
      </c>
      <c r="R47" s="3">
        <f t="shared" si="3"/>
        <v>2347.9</v>
      </c>
      <c r="S47" s="24"/>
      <c r="T47" s="24"/>
      <c r="U47" s="55"/>
      <c r="V47" s="25" t="s">
        <v>7519</v>
      </c>
      <c r="W47" s="25"/>
      <c r="X47" s="25"/>
      <c r="Y47" s="25"/>
      <c r="Z47" s="25"/>
      <c r="AA47" s="3" t="str">
        <f>IF(Caja_Operativa[[#This Row],[FECHA]]&gt;0,TEXT(Caja_Operativa[[#This Row],[FECHA]],"mmmm"),0)</f>
        <v>Enero</v>
      </c>
    </row>
    <row r="48" spans="1:27" ht="60" x14ac:dyDescent="0.3">
      <c r="A48" s="2">
        <f>IF(Caja_Operativa[[#This Row],[TIPO DE R.]]="R",COUNTIFS($C$1:$C47,"R")+1,"")</f>
        <v>47</v>
      </c>
      <c r="B48" s="19" t="str">
        <f t="shared" si="4"/>
        <v>C-Operativa</v>
      </c>
      <c r="C48" s="3" t="s">
        <v>1330</v>
      </c>
      <c r="D48" s="14">
        <v>45678</v>
      </c>
      <c r="E48" s="5" t="s">
        <v>7514</v>
      </c>
      <c r="F48" s="5" t="s">
        <v>1336</v>
      </c>
      <c r="G48" s="6"/>
      <c r="H48" s="6"/>
      <c r="I48" s="6"/>
      <c r="J48" s="6"/>
      <c r="K48" s="7" t="s">
        <v>7548</v>
      </c>
      <c r="L48" s="8">
        <v>405450</v>
      </c>
      <c r="M48" s="8" t="str">
        <f t="shared" si="5"/>
        <v>PEN</v>
      </c>
      <c r="N48" s="13"/>
      <c r="O48" s="13">
        <v>15</v>
      </c>
      <c r="P48" s="3">
        <f t="shared" si="6"/>
        <v>0</v>
      </c>
      <c r="Q48" s="3">
        <f t="shared" si="7"/>
        <v>15</v>
      </c>
      <c r="R48" s="3">
        <f t="shared" si="3"/>
        <v>2332.9</v>
      </c>
      <c r="S48" s="24"/>
      <c r="T48" s="24"/>
      <c r="U48" s="55"/>
      <c r="V48" s="25" t="s">
        <v>7519</v>
      </c>
      <c r="W48" s="25"/>
      <c r="X48" s="25"/>
      <c r="Y48" s="25"/>
      <c r="Z48" s="25"/>
      <c r="AA48" s="3" t="str">
        <f>IF(Caja_Operativa[[#This Row],[FECHA]]&gt;0,TEXT(Caja_Operativa[[#This Row],[FECHA]],"mmmm"),0)</f>
        <v>Enero</v>
      </c>
    </row>
    <row r="49" spans="1:27" ht="60" x14ac:dyDescent="0.3">
      <c r="A49" s="2">
        <f>IF(Caja_Operativa[[#This Row],[TIPO DE R.]]="R",COUNTIFS($C$1:$C48,"R")+1,"")</f>
        <v>48</v>
      </c>
      <c r="B49" s="19" t="str">
        <f t="shared" si="4"/>
        <v>C-Operativa</v>
      </c>
      <c r="C49" s="3" t="s">
        <v>1330</v>
      </c>
      <c r="D49" s="14">
        <v>45678</v>
      </c>
      <c r="E49" s="5" t="s">
        <v>7514</v>
      </c>
      <c r="F49" s="5" t="s">
        <v>1336</v>
      </c>
      <c r="G49" s="6"/>
      <c r="H49" s="6"/>
      <c r="I49" s="6"/>
      <c r="J49" s="6"/>
      <c r="K49" s="7" t="s">
        <v>7549</v>
      </c>
      <c r="L49" s="8">
        <v>435490</v>
      </c>
      <c r="M49" s="8" t="str">
        <f t="shared" si="5"/>
        <v>PEN</v>
      </c>
      <c r="N49" s="13"/>
      <c r="O49" s="13">
        <v>30</v>
      </c>
      <c r="P49" s="3">
        <f t="shared" si="6"/>
        <v>0</v>
      </c>
      <c r="Q49" s="3">
        <f t="shared" si="7"/>
        <v>30</v>
      </c>
      <c r="R49" s="3">
        <f t="shared" si="3"/>
        <v>2302.9</v>
      </c>
      <c r="S49" s="24"/>
      <c r="T49" s="24"/>
      <c r="U49" s="55"/>
      <c r="V49" s="25" t="s">
        <v>7519</v>
      </c>
      <c r="W49" s="25"/>
      <c r="X49" s="25"/>
      <c r="Y49" s="25"/>
      <c r="Z49" s="25"/>
      <c r="AA49" s="3" t="str">
        <f>IF(Caja_Operativa[[#This Row],[FECHA]]&gt;0,TEXT(Caja_Operativa[[#This Row],[FECHA]],"mmmm"),0)</f>
        <v>Enero</v>
      </c>
    </row>
    <row r="50" spans="1:27" ht="60" x14ac:dyDescent="0.3">
      <c r="A50" s="2">
        <f>IF(Caja_Operativa[[#This Row],[TIPO DE R.]]="R",COUNTIFS($C$1:$C49,"R")+1,"")</f>
        <v>49</v>
      </c>
      <c r="B50" s="19" t="str">
        <f t="shared" si="4"/>
        <v>C-Operativa</v>
      </c>
      <c r="C50" s="3" t="s">
        <v>1330</v>
      </c>
      <c r="D50" s="14">
        <v>45678</v>
      </c>
      <c r="E50" s="5" t="s">
        <v>7514</v>
      </c>
      <c r="F50" s="5" t="s">
        <v>1336</v>
      </c>
      <c r="G50" s="6"/>
      <c r="H50" s="6"/>
      <c r="I50" s="6"/>
      <c r="J50" s="6"/>
      <c r="K50" s="7" t="s">
        <v>7550</v>
      </c>
      <c r="L50" s="8">
        <v>438720</v>
      </c>
      <c r="M50" s="8" t="str">
        <f t="shared" si="5"/>
        <v>PEN</v>
      </c>
      <c r="N50" s="13"/>
      <c r="O50" s="13">
        <v>8</v>
      </c>
      <c r="P50" s="3">
        <f t="shared" si="6"/>
        <v>0</v>
      </c>
      <c r="Q50" s="3">
        <f t="shared" si="7"/>
        <v>8</v>
      </c>
      <c r="R50" s="3">
        <f t="shared" si="3"/>
        <v>2294.9</v>
      </c>
      <c r="S50" s="24"/>
      <c r="T50" s="24"/>
      <c r="U50" s="55"/>
      <c r="V50" s="25" t="s">
        <v>7519</v>
      </c>
      <c r="W50" s="25"/>
      <c r="X50" s="25"/>
      <c r="Y50" s="25"/>
      <c r="Z50" s="25"/>
      <c r="AA50" s="3" t="str">
        <f>IF(Caja_Operativa[[#This Row],[FECHA]]&gt;0,TEXT(Caja_Operativa[[#This Row],[FECHA]],"mmmm"),0)</f>
        <v>Enero</v>
      </c>
    </row>
    <row r="51" spans="1:27" ht="60" x14ac:dyDescent="0.3">
      <c r="A51" s="2">
        <f>IF(Caja_Operativa[[#This Row],[TIPO DE R.]]="R",COUNTIFS($C$1:$C50,"R")+1,"")</f>
        <v>50</v>
      </c>
      <c r="B51" s="19" t="str">
        <f t="shared" si="4"/>
        <v>C-Operativa</v>
      </c>
      <c r="C51" s="3" t="s">
        <v>1330</v>
      </c>
      <c r="D51" s="14">
        <v>45678</v>
      </c>
      <c r="E51" s="5" t="s">
        <v>7514</v>
      </c>
      <c r="F51" s="5" t="s">
        <v>1336</v>
      </c>
      <c r="G51" s="6"/>
      <c r="H51" s="6"/>
      <c r="I51" s="6"/>
      <c r="J51" s="6"/>
      <c r="K51" s="7" t="s">
        <v>7551</v>
      </c>
      <c r="L51" s="8">
        <v>412074</v>
      </c>
      <c r="M51" s="8" t="str">
        <f t="shared" si="5"/>
        <v>PEN</v>
      </c>
      <c r="N51" s="13"/>
      <c r="O51" s="13">
        <v>8</v>
      </c>
      <c r="P51" s="3">
        <f t="shared" si="6"/>
        <v>0</v>
      </c>
      <c r="Q51" s="3">
        <f t="shared" si="7"/>
        <v>8</v>
      </c>
      <c r="R51" s="3">
        <f t="shared" si="3"/>
        <v>2286.9</v>
      </c>
      <c r="S51" s="24"/>
      <c r="T51" s="24"/>
      <c r="U51" s="55"/>
      <c r="V51" s="25" t="s">
        <v>7519</v>
      </c>
      <c r="W51" s="25"/>
      <c r="X51" s="25"/>
      <c r="Y51" s="25"/>
      <c r="Z51" s="25"/>
      <c r="AA51" s="3" t="str">
        <f>IF(Caja_Operativa[[#This Row],[FECHA]]&gt;0,TEXT(Caja_Operativa[[#This Row],[FECHA]],"mmmm"),0)</f>
        <v>Enero</v>
      </c>
    </row>
    <row r="52" spans="1:27" ht="60" x14ac:dyDescent="0.3">
      <c r="A52" s="2">
        <f>IF(Caja_Operativa[[#This Row],[TIPO DE R.]]="R",COUNTIFS($C$1:$C51,"R")+1,"")</f>
        <v>51</v>
      </c>
      <c r="B52" s="19" t="str">
        <f t="shared" si="4"/>
        <v>C-Operativa</v>
      </c>
      <c r="C52" s="3" t="s">
        <v>1330</v>
      </c>
      <c r="D52" s="14">
        <v>45678</v>
      </c>
      <c r="E52" s="5" t="s">
        <v>7514</v>
      </c>
      <c r="F52" s="5" t="s">
        <v>1336</v>
      </c>
      <c r="G52" s="6"/>
      <c r="H52" s="6"/>
      <c r="I52" s="6"/>
      <c r="J52" s="6"/>
      <c r="K52" s="7" t="s">
        <v>7552</v>
      </c>
      <c r="L52" s="8">
        <v>424139</v>
      </c>
      <c r="M52" s="8" t="str">
        <f t="shared" si="5"/>
        <v>PEN</v>
      </c>
      <c r="N52" s="13"/>
      <c r="O52" s="13">
        <v>8</v>
      </c>
      <c r="P52" s="3">
        <f t="shared" si="6"/>
        <v>0</v>
      </c>
      <c r="Q52" s="3">
        <f t="shared" si="7"/>
        <v>8</v>
      </c>
      <c r="R52" s="3">
        <f t="shared" si="3"/>
        <v>2278.9</v>
      </c>
      <c r="S52" s="24"/>
      <c r="T52" s="24"/>
      <c r="U52" s="55"/>
      <c r="V52" s="25" t="s">
        <v>7519</v>
      </c>
      <c r="W52" s="25"/>
      <c r="X52" s="25"/>
      <c r="Y52" s="25"/>
      <c r="Z52" s="25"/>
      <c r="AA52" s="3" t="str">
        <f>IF(Caja_Operativa[[#This Row],[FECHA]]&gt;0,TEXT(Caja_Operativa[[#This Row],[FECHA]],"mmmm"),0)</f>
        <v>Enero</v>
      </c>
    </row>
    <row r="53" spans="1:27" ht="60" x14ac:dyDescent="0.3">
      <c r="A53" s="2">
        <f>IF(Caja_Operativa[[#This Row],[TIPO DE R.]]="R",COUNTIFS($C$1:$C52,"R")+1,"")</f>
        <v>52</v>
      </c>
      <c r="B53" s="19" t="str">
        <f t="shared" si="4"/>
        <v>C-Operativa</v>
      </c>
      <c r="C53" s="3" t="s">
        <v>1330</v>
      </c>
      <c r="D53" s="14">
        <v>45678</v>
      </c>
      <c r="E53" s="5" t="s">
        <v>7514</v>
      </c>
      <c r="F53" s="5" t="s">
        <v>1336</v>
      </c>
      <c r="G53" s="6"/>
      <c r="H53" s="6"/>
      <c r="I53" s="6"/>
      <c r="J53" s="6"/>
      <c r="K53" s="7" t="s">
        <v>7553</v>
      </c>
      <c r="L53" s="8">
        <v>442328</v>
      </c>
      <c r="M53" s="8" t="str">
        <f t="shared" si="5"/>
        <v>PEN</v>
      </c>
      <c r="N53" s="13"/>
      <c r="O53" s="13">
        <v>10</v>
      </c>
      <c r="P53" s="3">
        <f t="shared" si="6"/>
        <v>0</v>
      </c>
      <c r="Q53" s="3">
        <f t="shared" si="7"/>
        <v>10</v>
      </c>
      <c r="R53" s="3">
        <f t="shared" si="3"/>
        <v>2268.9</v>
      </c>
      <c r="S53" s="24"/>
      <c r="T53" s="24"/>
      <c r="U53" s="55"/>
      <c r="V53" s="25" t="s">
        <v>7519</v>
      </c>
      <c r="W53" s="25"/>
      <c r="X53" s="25"/>
      <c r="Y53" s="25"/>
      <c r="Z53" s="25"/>
      <c r="AA53" s="3" t="str">
        <f>IF(Caja_Operativa[[#This Row],[FECHA]]&gt;0,TEXT(Caja_Operativa[[#This Row],[FECHA]],"mmmm"),0)</f>
        <v>Enero</v>
      </c>
    </row>
    <row r="54" spans="1:27" ht="24" x14ac:dyDescent="0.3">
      <c r="A54" s="2">
        <f>IF(Caja_Operativa[[#This Row],[TIPO DE R.]]="R",COUNTIFS($C$1:$C53,"R")+1,"")</f>
        <v>53</v>
      </c>
      <c r="B54" s="19" t="str">
        <f t="shared" si="4"/>
        <v>C-Operativa</v>
      </c>
      <c r="C54" s="3" t="s">
        <v>1330</v>
      </c>
      <c r="D54" s="14">
        <v>45678</v>
      </c>
      <c r="E54" s="5" t="s">
        <v>7514</v>
      </c>
      <c r="F54" s="5" t="s">
        <v>1336</v>
      </c>
      <c r="G54" s="6" t="s">
        <v>829</v>
      </c>
      <c r="H54" s="6"/>
      <c r="I54" s="6"/>
      <c r="J54" s="6"/>
      <c r="K54" s="7" t="s">
        <v>7516</v>
      </c>
      <c r="L54" s="8">
        <v>667481</v>
      </c>
      <c r="M54" s="8" t="str">
        <f t="shared" si="5"/>
        <v>PEN</v>
      </c>
      <c r="N54" s="13"/>
      <c r="O54" s="13">
        <v>150</v>
      </c>
      <c r="P54" s="3">
        <f t="shared" si="6"/>
        <v>0</v>
      </c>
      <c r="Q54" s="3">
        <f t="shared" si="7"/>
        <v>150</v>
      </c>
      <c r="R54" s="3">
        <f t="shared" si="3"/>
        <v>2118.9</v>
      </c>
      <c r="S54" s="24" t="s">
        <v>1334</v>
      </c>
      <c r="T54" s="24" t="s">
        <v>1334</v>
      </c>
      <c r="U54" s="55"/>
      <c r="V54" s="25"/>
      <c r="W54" s="25"/>
      <c r="X54" s="25"/>
      <c r="Y54" s="25"/>
      <c r="Z54" s="25"/>
      <c r="AA54" s="3" t="str">
        <f>IF(Caja_Operativa[[#This Row],[FECHA]]&gt;0,TEXT(Caja_Operativa[[#This Row],[FECHA]],"mmmm"),0)</f>
        <v>Enero</v>
      </c>
    </row>
    <row r="55" spans="1:27" ht="24" x14ac:dyDescent="0.3">
      <c r="A55" s="2">
        <f>IF(Caja_Operativa[[#This Row],[TIPO DE R.]]="R",COUNTIFS($C$1:$C54,"R")+1,"")</f>
        <v>54</v>
      </c>
      <c r="B55" s="19" t="str">
        <f t="shared" si="4"/>
        <v>C-Operativa</v>
      </c>
      <c r="C55" s="3" t="s">
        <v>1330</v>
      </c>
      <c r="D55" s="14">
        <v>45679</v>
      </c>
      <c r="E55" s="5" t="s">
        <v>7514</v>
      </c>
      <c r="F55" s="5" t="s">
        <v>1336</v>
      </c>
      <c r="G55" s="6" t="s">
        <v>957</v>
      </c>
      <c r="H55" s="6"/>
      <c r="I55" s="6"/>
      <c r="J55" s="6"/>
      <c r="K55" s="7" t="s">
        <v>7554</v>
      </c>
      <c r="L55" s="8">
        <v>2336216</v>
      </c>
      <c r="M55" s="8" t="str">
        <f t="shared" si="5"/>
        <v>PEN</v>
      </c>
      <c r="N55" s="13"/>
      <c r="O55" s="13">
        <v>200</v>
      </c>
      <c r="P55" s="3">
        <f t="shared" si="6"/>
        <v>0</v>
      </c>
      <c r="Q55" s="3">
        <f t="shared" si="7"/>
        <v>200</v>
      </c>
      <c r="R55" s="3">
        <f t="shared" si="3"/>
        <v>1918.9</v>
      </c>
      <c r="S55" s="24" t="s">
        <v>1334</v>
      </c>
      <c r="T55" s="24" t="s">
        <v>1334</v>
      </c>
      <c r="U55" s="55"/>
      <c r="V55" s="25"/>
      <c r="W55" s="25"/>
      <c r="X55" s="25"/>
      <c r="Y55" s="25"/>
      <c r="Z55" s="25"/>
      <c r="AA55" s="3" t="str">
        <f>IF(Caja_Operativa[[#This Row],[FECHA]]&gt;0,TEXT(Caja_Operativa[[#This Row],[FECHA]],"mmmm"),0)</f>
        <v>Enero</v>
      </c>
    </row>
    <row r="56" spans="1:27" ht="24" x14ac:dyDescent="0.3">
      <c r="A56" s="2">
        <f>IF(Caja_Operativa[[#This Row],[TIPO DE R.]]="R",COUNTIFS($C$1:$C55,"R")+1,"")</f>
        <v>55</v>
      </c>
      <c r="B56" s="19" t="str">
        <f t="shared" si="4"/>
        <v>C-Operativa</v>
      </c>
      <c r="C56" s="3" t="s">
        <v>1330</v>
      </c>
      <c r="D56" s="14">
        <v>45684</v>
      </c>
      <c r="E56" s="5" t="s">
        <v>7514</v>
      </c>
      <c r="F56" s="5" t="s">
        <v>1336</v>
      </c>
      <c r="G56" s="6" t="s">
        <v>812</v>
      </c>
      <c r="H56" s="6"/>
      <c r="I56" s="6"/>
      <c r="J56" s="6"/>
      <c r="K56" s="7" t="s">
        <v>7516</v>
      </c>
      <c r="L56" s="8">
        <v>1541688</v>
      </c>
      <c r="M56" s="8" t="str">
        <f t="shared" si="5"/>
        <v>PEN</v>
      </c>
      <c r="N56" s="13"/>
      <c r="O56" s="13">
        <v>80</v>
      </c>
      <c r="P56" s="3">
        <f t="shared" si="6"/>
        <v>0</v>
      </c>
      <c r="Q56" s="3">
        <f t="shared" si="7"/>
        <v>80</v>
      </c>
      <c r="R56" s="3">
        <f t="shared" si="3"/>
        <v>1838.9</v>
      </c>
      <c r="S56" s="24" t="s">
        <v>1334</v>
      </c>
      <c r="T56" s="24" t="s">
        <v>1334</v>
      </c>
      <c r="U56" s="55"/>
      <c r="V56" s="25"/>
      <c r="W56" s="25"/>
      <c r="X56" s="25"/>
      <c r="Y56" s="25"/>
      <c r="Z56" s="25"/>
      <c r="AA56" s="3" t="str">
        <f>IF(Caja_Operativa[[#This Row],[FECHA]]&gt;0,TEXT(Caja_Operativa[[#This Row],[FECHA]],"mmmm"),0)</f>
        <v>Enero</v>
      </c>
    </row>
    <row r="57" spans="1:27" ht="24" x14ac:dyDescent="0.3">
      <c r="A57" s="2">
        <f>IF(Caja_Operativa[[#This Row],[TIPO DE R.]]="R",COUNTIFS($C$1:$C56,"R")+1,"")</f>
        <v>56</v>
      </c>
      <c r="B57" s="19" t="str">
        <f t="shared" si="4"/>
        <v>C-Operativa</v>
      </c>
      <c r="C57" s="3" t="s">
        <v>1330</v>
      </c>
      <c r="D57" s="14">
        <v>45684</v>
      </c>
      <c r="E57" s="5" t="s">
        <v>7514</v>
      </c>
      <c r="F57" s="5" t="s">
        <v>1336</v>
      </c>
      <c r="G57" s="6" t="s">
        <v>829</v>
      </c>
      <c r="H57" s="6"/>
      <c r="I57" s="6"/>
      <c r="J57" s="6"/>
      <c r="K57" s="7" t="s">
        <v>7516</v>
      </c>
      <c r="L57" s="8">
        <v>1550902</v>
      </c>
      <c r="M57" s="8" t="str">
        <f t="shared" si="5"/>
        <v>PEN</v>
      </c>
      <c r="N57" s="13"/>
      <c r="O57" s="13">
        <v>100</v>
      </c>
      <c r="P57" s="3">
        <f t="shared" si="6"/>
        <v>0</v>
      </c>
      <c r="Q57" s="3">
        <f t="shared" si="7"/>
        <v>100</v>
      </c>
      <c r="R57" s="3">
        <f t="shared" si="3"/>
        <v>1738.9</v>
      </c>
      <c r="S57" s="24" t="s">
        <v>1334</v>
      </c>
      <c r="T57" s="24" t="s">
        <v>1334</v>
      </c>
      <c r="U57" s="55"/>
      <c r="V57" s="25"/>
      <c r="W57" s="25"/>
      <c r="X57" s="25"/>
      <c r="Y57" s="25"/>
      <c r="Z57" s="25"/>
      <c r="AA57" s="3" t="str">
        <f>IF(Caja_Operativa[[#This Row],[FECHA]]&gt;0,TEXT(Caja_Operativa[[#This Row],[FECHA]],"mmmm"),0)</f>
        <v>Enero</v>
      </c>
    </row>
    <row r="58" spans="1:27" x14ac:dyDescent="0.3">
      <c r="A58" s="2">
        <f>IF(Caja_Operativa[[#This Row],[TIPO DE R.]]="R",COUNTIFS($C$1:$C57,"R")+1,"")</f>
        <v>57</v>
      </c>
      <c r="B58" s="19" t="str">
        <f t="shared" si="4"/>
        <v>C-Operativa</v>
      </c>
      <c r="C58" s="3" t="s">
        <v>1330</v>
      </c>
      <c r="D58" s="14">
        <v>45684</v>
      </c>
      <c r="E58" s="5" t="s">
        <v>7514</v>
      </c>
      <c r="F58" s="5" t="s">
        <v>1336</v>
      </c>
      <c r="G58" s="6" t="s">
        <v>876</v>
      </c>
      <c r="H58" s="6"/>
      <c r="I58" s="6"/>
      <c r="J58" s="6"/>
      <c r="K58" s="7" t="s">
        <v>7516</v>
      </c>
      <c r="L58" s="8">
        <v>1602652</v>
      </c>
      <c r="M58" s="8" t="str">
        <f t="shared" si="5"/>
        <v>PEN</v>
      </c>
      <c r="N58" s="13"/>
      <c r="O58" s="13">
        <v>80</v>
      </c>
      <c r="P58" s="3">
        <f t="shared" si="6"/>
        <v>0</v>
      </c>
      <c r="Q58" s="3">
        <f t="shared" si="7"/>
        <v>80</v>
      </c>
      <c r="R58" s="3">
        <f t="shared" si="3"/>
        <v>1658.9</v>
      </c>
      <c r="S58" s="24" t="s">
        <v>1334</v>
      </c>
      <c r="T58" s="24" t="s">
        <v>1334</v>
      </c>
      <c r="U58" s="55"/>
      <c r="V58" s="25"/>
      <c r="W58" s="25"/>
      <c r="X58" s="25"/>
      <c r="Y58" s="25"/>
      <c r="Z58" s="25"/>
      <c r="AA58" s="3" t="str">
        <f>IF(Caja_Operativa[[#This Row],[FECHA]]&gt;0,TEXT(Caja_Operativa[[#This Row],[FECHA]],"mmmm"),0)</f>
        <v>Enero</v>
      </c>
    </row>
    <row r="59" spans="1:27" ht="24" x14ac:dyDescent="0.3">
      <c r="A59" s="2">
        <f>IF(Caja_Operativa[[#This Row],[TIPO DE R.]]="R",COUNTIFS($C$1:$C58,"R")+1,"")</f>
        <v>58</v>
      </c>
      <c r="B59" s="19" t="str">
        <f t="shared" si="4"/>
        <v>C-Operativa</v>
      </c>
      <c r="C59" s="3" t="s">
        <v>1330</v>
      </c>
      <c r="D59" s="14">
        <v>45684</v>
      </c>
      <c r="E59" s="5" t="s">
        <v>7514</v>
      </c>
      <c r="F59" s="5" t="s">
        <v>1336</v>
      </c>
      <c r="G59" s="6" t="s">
        <v>957</v>
      </c>
      <c r="H59" s="6"/>
      <c r="I59" s="6"/>
      <c r="J59" s="6"/>
      <c r="K59" s="7" t="s">
        <v>7516</v>
      </c>
      <c r="L59" s="8">
        <v>1617845</v>
      </c>
      <c r="M59" s="8" t="str">
        <f t="shared" si="5"/>
        <v>PEN</v>
      </c>
      <c r="N59" s="13"/>
      <c r="O59" s="13">
        <v>30</v>
      </c>
      <c r="P59" s="3">
        <f t="shared" si="6"/>
        <v>0</v>
      </c>
      <c r="Q59" s="3">
        <f t="shared" si="7"/>
        <v>30</v>
      </c>
      <c r="R59" s="3">
        <f t="shared" si="3"/>
        <v>1628.9</v>
      </c>
      <c r="S59" s="24" t="s">
        <v>1334</v>
      </c>
      <c r="T59" s="24" t="s">
        <v>1334</v>
      </c>
      <c r="U59" s="55"/>
      <c r="V59" s="25"/>
      <c r="W59" s="25"/>
      <c r="X59" s="25"/>
      <c r="Y59" s="25"/>
      <c r="Z59" s="25"/>
      <c r="AA59" s="3" t="str">
        <f>IF(Caja_Operativa[[#This Row],[FECHA]]&gt;0,TEXT(Caja_Operativa[[#This Row],[FECHA]],"mmmm"),0)</f>
        <v>Enero</v>
      </c>
    </row>
    <row r="60" spans="1:27" ht="24" x14ac:dyDescent="0.3">
      <c r="A60" s="2">
        <f>IF(Caja_Operativa[[#This Row],[TIPO DE R.]]="R",COUNTIFS($C$1:$C59,"R")+1,"")</f>
        <v>59</v>
      </c>
      <c r="B60" s="19" t="str">
        <f t="shared" si="4"/>
        <v>C-Operativa</v>
      </c>
      <c r="C60" s="3" t="s">
        <v>1330</v>
      </c>
      <c r="D60" s="14">
        <v>45684</v>
      </c>
      <c r="E60" s="5" t="s">
        <v>7514</v>
      </c>
      <c r="F60" s="5" t="s">
        <v>1336</v>
      </c>
      <c r="G60" s="6" t="s">
        <v>692</v>
      </c>
      <c r="H60" s="6"/>
      <c r="I60" s="6"/>
      <c r="J60" s="6"/>
      <c r="K60" s="7" t="s">
        <v>7516</v>
      </c>
      <c r="L60" s="8">
        <v>1591760</v>
      </c>
      <c r="M60" s="8" t="str">
        <f t="shared" si="5"/>
        <v>PEN</v>
      </c>
      <c r="N60" s="13"/>
      <c r="O60" s="13">
        <v>120</v>
      </c>
      <c r="P60" s="3">
        <f t="shared" si="6"/>
        <v>0</v>
      </c>
      <c r="Q60" s="3">
        <f t="shared" si="7"/>
        <v>120</v>
      </c>
      <c r="R60" s="3">
        <f t="shared" si="3"/>
        <v>1508.9</v>
      </c>
      <c r="S60" s="24" t="s">
        <v>1334</v>
      </c>
      <c r="T60" s="24" t="s">
        <v>1334</v>
      </c>
      <c r="U60" s="55"/>
      <c r="V60" s="25"/>
      <c r="W60" s="25"/>
      <c r="X60" s="25"/>
      <c r="Y60" s="25"/>
      <c r="Z60" s="25"/>
      <c r="AA60" s="3" t="str">
        <f>IF(Caja_Operativa[[#This Row],[FECHA]]&gt;0,TEXT(Caja_Operativa[[#This Row],[FECHA]],"mmmm"),0)</f>
        <v>Enero</v>
      </c>
    </row>
    <row r="61" spans="1:27" ht="24" x14ac:dyDescent="0.3">
      <c r="A61" s="2">
        <f>IF(Caja_Operativa[[#This Row],[TIPO DE R.]]="R",COUNTIFS($C$1:$C60,"R")+1,"")</f>
        <v>60</v>
      </c>
      <c r="B61" s="19" t="str">
        <f t="shared" si="4"/>
        <v>C-Operativa</v>
      </c>
      <c r="C61" s="3" t="s">
        <v>1330</v>
      </c>
      <c r="D61" s="14">
        <v>45684</v>
      </c>
      <c r="E61" s="5" t="s">
        <v>7514</v>
      </c>
      <c r="F61" s="5" t="s">
        <v>1336</v>
      </c>
      <c r="G61" s="6" t="s">
        <v>922</v>
      </c>
      <c r="H61" s="6"/>
      <c r="I61" s="6"/>
      <c r="J61" s="6"/>
      <c r="K61" s="7" t="s">
        <v>7537</v>
      </c>
      <c r="L61" s="8">
        <v>1598130</v>
      </c>
      <c r="M61" s="8" t="str">
        <f t="shared" si="5"/>
        <v>PEN</v>
      </c>
      <c r="N61" s="13"/>
      <c r="O61" s="13">
        <v>130</v>
      </c>
      <c r="P61" s="3">
        <f t="shared" si="6"/>
        <v>0</v>
      </c>
      <c r="Q61" s="3">
        <f t="shared" si="7"/>
        <v>130</v>
      </c>
      <c r="R61" s="3">
        <f t="shared" si="3"/>
        <v>1378.9</v>
      </c>
      <c r="S61" s="24" t="s">
        <v>1334</v>
      </c>
      <c r="T61" s="24" t="s">
        <v>1334</v>
      </c>
      <c r="U61" s="55"/>
      <c r="V61" s="25"/>
      <c r="W61" s="25"/>
      <c r="X61" s="25"/>
      <c r="Y61" s="25"/>
      <c r="Z61" s="25"/>
      <c r="AA61" s="3" t="str">
        <f>IF(Caja_Operativa[[#This Row],[FECHA]]&gt;0,TEXT(Caja_Operativa[[#This Row],[FECHA]],"mmmm"),0)</f>
        <v>Enero</v>
      </c>
    </row>
    <row r="62" spans="1:27" ht="24" x14ac:dyDescent="0.3">
      <c r="A62" s="2">
        <f>IF(Caja_Operativa[[#This Row],[TIPO DE R.]]="R",COUNTIFS($C$1:$C61,"R")+1,"")</f>
        <v>61</v>
      </c>
      <c r="B62" s="19" t="str">
        <f t="shared" si="4"/>
        <v>C-Operativa</v>
      </c>
      <c r="C62" s="3" t="s">
        <v>1330</v>
      </c>
      <c r="D62" s="14">
        <v>45685</v>
      </c>
      <c r="E62" s="5" t="s">
        <v>7514</v>
      </c>
      <c r="F62" s="5" t="s">
        <v>1336</v>
      </c>
      <c r="G62" s="6"/>
      <c r="H62" s="6"/>
      <c r="I62" s="6"/>
      <c r="J62" s="6"/>
      <c r="K62" s="7" t="s">
        <v>7555</v>
      </c>
      <c r="L62" s="8">
        <v>3242853</v>
      </c>
      <c r="M62" s="8" t="str">
        <f t="shared" si="5"/>
        <v>PEN</v>
      </c>
      <c r="N62" s="13"/>
      <c r="O62" s="13">
        <v>130</v>
      </c>
      <c r="P62" s="3">
        <f t="shared" si="6"/>
        <v>0</v>
      </c>
      <c r="Q62" s="3">
        <f t="shared" si="7"/>
        <v>130</v>
      </c>
      <c r="R62" s="3">
        <f t="shared" si="3"/>
        <v>1248.9000000000001</v>
      </c>
      <c r="S62" s="24"/>
      <c r="T62" s="24"/>
      <c r="U62" s="55"/>
      <c r="V62" s="25" t="s">
        <v>7519</v>
      </c>
      <c r="W62" s="25"/>
      <c r="X62" s="25"/>
      <c r="Y62" s="25"/>
      <c r="Z62" s="25"/>
      <c r="AA62" s="3" t="str">
        <f>IF(Caja_Operativa[[#This Row],[FECHA]]&gt;0,TEXT(Caja_Operativa[[#This Row],[FECHA]],"mmmm"),0)</f>
        <v>Enero</v>
      </c>
    </row>
    <row r="63" spans="1:27" ht="60" x14ac:dyDescent="0.3">
      <c r="A63" s="2">
        <f>IF(Caja_Operativa[[#This Row],[TIPO DE R.]]="R",COUNTIFS($C$1:$C62,"R")+1,"")</f>
        <v>62</v>
      </c>
      <c r="B63" s="19" t="str">
        <f t="shared" si="4"/>
        <v>C-Operativa</v>
      </c>
      <c r="C63" s="3" t="s">
        <v>1330</v>
      </c>
      <c r="D63" s="14">
        <v>45685</v>
      </c>
      <c r="E63" s="5" t="s">
        <v>7514</v>
      </c>
      <c r="F63" s="5" t="s">
        <v>1336</v>
      </c>
      <c r="G63" s="6"/>
      <c r="H63" s="6"/>
      <c r="I63" s="6"/>
      <c r="J63" s="6"/>
      <c r="K63" s="7" t="s">
        <v>7556</v>
      </c>
      <c r="L63" s="8">
        <v>3248766</v>
      </c>
      <c r="M63" s="8" t="str">
        <f t="shared" si="5"/>
        <v>PEN</v>
      </c>
      <c r="N63" s="13"/>
      <c r="O63" s="13">
        <v>8</v>
      </c>
      <c r="P63" s="3">
        <f t="shared" si="6"/>
        <v>0</v>
      </c>
      <c r="Q63" s="3">
        <f t="shared" si="7"/>
        <v>8</v>
      </c>
      <c r="R63" s="3">
        <f t="shared" si="3"/>
        <v>1240.9000000000001</v>
      </c>
      <c r="S63" s="24"/>
      <c r="T63" s="24"/>
      <c r="U63" s="55"/>
      <c r="V63" s="25" t="s">
        <v>7519</v>
      </c>
      <c r="W63" s="25"/>
      <c r="X63" s="25"/>
      <c r="Y63" s="25"/>
      <c r="Z63" s="25"/>
      <c r="AA63" s="3" t="str">
        <f>IF(Caja_Operativa[[#This Row],[FECHA]]&gt;0,TEXT(Caja_Operativa[[#This Row],[FECHA]],"mmmm"),0)</f>
        <v>Enero</v>
      </c>
    </row>
    <row r="64" spans="1:27" ht="60" x14ac:dyDescent="0.3">
      <c r="A64" s="2">
        <f>IF(Caja_Operativa[[#This Row],[TIPO DE R.]]="R",COUNTIFS($C$1:$C63,"R")+1,"")</f>
        <v>63</v>
      </c>
      <c r="B64" s="19" t="str">
        <f t="shared" si="4"/>
        <v>C-Operativa</v>
      </c>
      <c r="C64" s="3" t="s">
        <v>1330</v>
      </c>
      <c r="D64" s="14">
        <v>45685</v>
      </c>
      <c r="E64" s="5" t="s">
        <v>7514</v>
      </c>
      <c r="F64" s="5" t="s">
        <v>1336</v>
      </c>
      <c r="G64" s="6"/>
      <c r="H64" s="6"/>
      <c r="I64" s="6"/>
      <c r="J64" s="6"/>
      <c r="K64" s="7" t="s">
        <v>7557</v>
      </c>
      <c r="L64" s="8">
        <v>3278607</v>
      </c>
      <c r="M64" s="8" t="str">
        <f t="shared" si="5"/>
        <v>PEN</v>
      </c>
      <c r="N64" s="13"/>
      <c r="O64" s="13">
        <v>8</v>
      </c>
      <c r="P64" s="3">
        <f t="shared" si="6"/>
        <v>0</v>
      </c>
      <c r="Q64" s="3">
        <f t="shared" si="7"/>
        <v>8</v>
      </c>
      <c r="R64" s="3">
        <f t="shared" si="3"/>
        <v>1232.9000000000001</v>
      </c>
      <c r="S64" s="24"/>
      <c r="T64" s="24"/>
      <c r="U64" s="55"/>
      <c r="V64" s="25" t="s">
        <v>7519</v>
      </c>
      <c r="W64" s="25"/>
      <c r="X64" s="25"/>
      <c r="Y64" s="25"/>
      <c r="Z64" s="25"/>
      <c r="AA64" s="3" t="str">
        <f>IF(Caja_Operativa[[#This Row],[FECHA]]&gt;0,TEXT(Caja_Operativa[[#This Row],[FECHA]],"mmmm"),0)</f>
        <v>Enero</v>
      </c>
    </row>
    <row r="65" spans="1:27" ht="60" x14ac:dyDescent="0.3">
      <c r="A65" s="2">
        <f>IF(Caja_Operativa[[#This Row],[TIPO DE R.]]="R",COUNTIFS($C$1:$C64,"R")+1,"")</f>
        <v>64</v>
      </c>
      <c r="B65" s="19" t="str">
        <f t="shared" si="4"/>
        <v>C-Operativa</v>
      </c>
      <c r="C65" s="3" t="s">
        <v>1330</v>
      </c>
      <c r="D65" s="14">
        <v>45685</v>
      </c>
      <c r="E65" s="5" t="s">
        <v>7514</v>
      </c>
      <c r="F65" s="5" t="s">
        <v>1336</v>
      </c>
      <c r="G65" s="6"/>
      <c r="H65" s="6"/>
      <c r="I65" s="6"/>
      <c r="J65" s="6"/>
      <c r="K65" s="7" t="s">
        <v>7558</v>
      </c>
      <c r="L65" s="8">
        <v>3309137</v>
      </c>
      <c r="M65" s="8" t="str">
        <f t="shared" si="5"/>
        <v>PEN</v>
      </c>
      <c r="N65" s="13"/>
      <c r="O65" s="13">
        <v>8</v>
      </c>
      <c r="P65" s="3">
        <f t="shared" si="6"/>
        <v>0</v>
      </c>
      <c r="Q65" s="3">
        <f t="shared" si="7"/>
        <v>8</v>
      </c>
      <c r="R65" s="3">
        <f t="shared" si="3"/>
        <v>1224.9000000000001</v>
      </c>
      <c r="S65" s="24"/>
      <c r="T65" s="24"/>
      <c r="U65" s="55"/>
      <c r="V65" s="25" t="s">
        <v>7519</v>
      </c>
      <c r="W65" s="25"/>
      <c r="X65" s="25"/>
      <c r="Y65" s="25"/>
      <c r="Z65" s="25"/>
      <c r="AA65" s="3" t="str">
        <f>IF(Caja_Operativa[[#This Row],[FECHA]]&gt;0,TEXT(Caja_Operativa[[#This Row],[FECHA]],"mmmm"),0)</f>
        <v>Enero</v>
      </c>
    </row>
    <row r="66" spans="1:27" ht="60" x14ac:dyDescent="0.3">
      <c r="A66" s="2">
        <f>IF(Caja_Operativa[[#This Row],[TIPO DE R.]]="R",COUNTIFS($C$1:$C65,"R")+1,"")</f>
        <v>65</v>
      </c>
      <c r="B66" s="19" t="str">
        <f t="shared" si="4"/>
        <v>C-Operativa</v>
      </c>
      <c r="C66" s="3" t="s">
        <v>1330</v>
      </c>
      <c r="D66" s="14">
        <v>45685</v>
      </c>
      <c r="E66" s="5" t="s">
        <v>7514</v>
      </c>
      <c r="F66" s="5" t="s">
        <v>1336</v>
      </c>
      <c r="G66" s="6"/>
      <c r="H66" s="6"/>
      <c r="I66" s="6"/>
      <c r="J66" s="6"/>
      <c r="K66" s="7" t="s">
        <v>7559</v>
      </c>
      <c r="L66" s="8">
        <v>3294820</v>
      </c>
      <c r="M66" s="8" t="str">
        <f t="shared" si="5"/>
        <v>PEN</v>
      </c>
      <c r="N66" s="13"/>
      <c r="O66" s="13">
        <v>8</v>
      </c>
      <c r="P66" s="3">
        <f t="shared" si="6"/>
        <v>0</v>
      </c>
      <c r="Q66" s="3">
        <f t="shared" si="7"/>
        <v>8</v>
      </c>
      <c r="R66" s="3">
        <f t="shared" ref="R66:R129" si="8">IFERROR(IF(F66="SALDO",P66,R65+P66-Q66),0)</f>
        <v>1216.9000000000001</v>
      </c>
      <c r="S66" s="24"/>
      <c r="T66" s="24"/>
      <c r="U66" s="55"/>
      <c r="V66" s="25" t="s">
        <v>7519</v>
      </c>
      <c r="W66" s="25"/>
      <c r="X66" s="25"/>
      <c r="Y66" s="25"/>
      <c r="Z66" s="25"/>
      <c r="AA66" s="3" t="str">
        <f>IF(Caja_Operativa[[#This Row],[FECHA]]&gt;0,TEXT(Caja_Operativa[[#This Row],[FECHA]],"mmmm"),0)</f>
        <v>Enero</v>
      </c>
    </row>
    <row r="67" spans="1:27" ht="60" x14ac:dyDescent="0.3">
      <c r="A67" s="2">
        <f>IF(Caja_Operativa[[#This Row],[TIPO DE R.]]="R",COUNTIFS($C$1:$C66,"R")+1,"")</f>
        <v>66</v>
      </c>
      <c r="B67" s="19" t="str">
        <f t="shared" ref="B67:B130" si="9">"C-Operativa"</f>
        <v>C-Operativa</v>
      </c>
      <c r="C67" s="3" t="s">
        <v>1330</v>
      </c>
      <c r="D67" s="14">
        <v>45685</v>
      </c>
      <c r="E67" s="5" t="s">
        <v>7514</v>
      </c>
      <c r="F67" s="5" t="s">
        <v>1336</v>
      </c>
      <c r="G67" s="6"/>
      <c r="H67" s="6"/>
      <c r="I67" s="6"/>
      <c r="J67" s="6"/>
      <c r="K67" s="7" t="s">
        <v>7560</v>
      </c>
      <c r="L67" s="8">
        <v>3327771</v>
      </c>
      <c r="M67" s="8" t="str">
        <f t="shared" ref="M67:M130" si="10">"PEN"</f>
        <v>PEN</v>
      </c>
      <c r="N67" s="13"/>
      <c r="O67" s="13">
        <v>8</v>
      </c>
      <c r="P67" s="3">
        <f t="shared" ref="P67:P130" si="11">+IF(OR($F67="SALDO",$F67="INGRESO"),$O67,0)</f>
        <v>0</v>
      </c>
      <c r="Q67" s="3">
        <f t="shared" ref="Q67:Q130" si="12">+IF($F67="EGRESO",$O67,0)</f>
        <v>8</v>
      </c>
      <c r="R67" s="3">
        <f t="shared" si="8"/>
        <v>1208.9000000000001</v>
      </c>
      <c r="S67" s="24"/>
      <c r="T67" s="24"/>
      <c r="U67" s="55"/>
      <c r="V67" s="25" t="s">
        <v>7519</v>
      </c>
      <c r="W67" s="25"/>
      <c r="X67" s="25"/>
      <c r="Y67" s="25"/>
      <c r="Z67" s="25"/>
      <c r="AA67" s="3" t="str">
        <f>IF(Caja_Operativa[[#This Row],[FECHA]]&gt;0,TEXT(Caja_Operativa[[#This Row],[FECHA]],"mmmm"),0)</f>
        <v>Enero</v>
      </c>
    </row>
    <row r="68" spans="1:27" ht="60" x14ac:dyDescent="0.3">
      <c r="A68" s="2">
        <f>IF(Caja_Operativa[[#This Row],[TIPO DE R.]]="R",COUNTIFS($C$1:$C67,"R")+1,"")</f>
        <v>67</v>
      </c>
      <c r="B68" s="19" t="str">
        <f t="shared" si="9"/>
        <v>C-Operativa</v>
      </c>
      <c r="C68" s="3" t="s">
        <v>1330</v>
      </c>
      <c r="D68" s="14">
        <v>45685</v>
      </c>
      <c r="E68" s="5" t="s">
        <v>7514</v>
      </c>
      <c r="F68" s="5" t="s">
        <v>1336</v>
      </c>
      <c r="G68" s="6"/>
      <c r="H68" s="6"/>
      <c r="I68" s="6"/>
      <c r="J68" s="6"/>
      <c r="K68" s="7" t="s">
        <v>7561</v>
      </c>
      <c r="L68" s="8">
        <v>3328066</v>
      </c>
      <c r="M68" s="8" t="str">
        <f t="shared" si="10"/>
        <v>PEN</v>
      </c>
      <c r="N68" s="13"/>
      <c r="O68" s="13">
        <v>8</v>
      </c>
      <c r="P68" s="3">
        <f t="shared" si="11"/>
        <v>0</v>
      </c>
      <c r="Q68" s="3">
        <f t="shared" si="12"/>
        <v>8</v>
      </c>
      <c r="R68" s="3">
        <f t="shared" si="8"/>
        <v>1200.9000000000001</v>
      </c>
      <c r="S68" s="24"/>
      <c r="T68" s="24"/>
      <c r="U68" s="55"/>
      <c r="V68" s="25" t="s">
        <v>7519</v>
      </c>
      <c r="W68" s="25"/>
      <c r="X68" s="25"/>
      <c r="Y68" s="25"/>
      <c r="Z68" s="25"/>
      <c r="AA68" s="3" t="str">
        <f>IF(Caja_Operativa[[#This Row],[FECHA]]&gt;0,TEXT(Caja_Operativa[[#This Row],[FECHA]],"mmmm"),0)</f>
        <v>Enero</v>
      </c>
    </row>
    <row r="69" spans="1:27" ht="24" x14ac:dyDescent="0.3">
      <c r="A69" s="2">
        <f>IF(Caja_Operativa[[#This Row],[TIPO DE R.]]="R",COUNTIFS($C$1:$C68,"R")+1,"")</f>
        <v>68</v>
      </c>
      <c r="B69" s="19" t="str">
        <f t="shared" si="9"/>
        <v>C-Operativa</v>
      </c>
      <c r="C69" s="3" t="s">
        <v>1330</v>
      </c>
      <c r="D69" s="14">
        <v>45685</v>
      </c>
      <c r="E69" s="5" t="s">
        <v>7513</v>
      </c>
      <c r="F69" s="5" t="s">
        <v>1303</v>
      </c>
      <c r="G69" s="6" t="s">
        <v>901</v>
      </c>
      <c r="H69" s="6"/>
      <c r="I69" s="6" t="s">
        <v>7539</v>
      </c>
      <c r="J69" s="6">
        <v>2</v>
      </c>
      <c r="K69" s="7" t="s">
        <v>7540</v>
      </c>
      <c r="L69" s="8">
        <v>256044</v>
      </c>
      <c r="M69" s="8" t="str">
        <f t="shared" si="10"/>
        <v>PEN</v>
      </c>
      <c r="N69" s="13"/>
      <c r="O69" s="13">
        <v>2799.1</v>
      </c>
      <c r="P69" s="3">
        <f t="shared" si="11"/>
        <v>2799.1</v>
      </c>
      <c r="Q69" s="3">
        <f t="shared" si="12"/>
        <v>0</v>
      </c>
      <c r="R69" s="3">
        <f t="shared" si="8"/>
        <v>4000</v>
      </c>
      <c r="S69" s="24"/>
      <c r="T69" s="24"/>
      <c r="U69" s="55"/>
      <c r="V69" s="25" t="s">
        <v>7514</v>
      </c>
      <c r="W69" s="25"/>
      <c r="X69" s="25"/>
      <c r="Y69" s="25"/>
      <c r="Z69" s="25"/>
      <c r="AA69" s="3" t="str">
        <f>IF(Caja_Operativa[[#This Row],[FECHA]]&gt;0,TEXT(Caja_Operativa[[#This Row],[FECHA]],"mmmm"),0)</f>
        <v>Enero</v>
      </c>
    </row>
    <row r="70" spans="1:27" x14ac:dyDescent="0.3">
      <c r="A70" s="2">
        <f>IF(Caja_Operativa[[#This Row],[TIPO DE R.]]="R",COUNTIFS($C$1:$C69,"R")+1,"")</f>
        <v>69</v>
      </c>
      <c r="B70" s="19" t="str">
        <f t="shared" si="9"/>
        <v>C-Operativa</v>
      </c>
      <c r="C70" s="3" t="s">
        <v>1330</v>
      </c>
      <c r="D70" s="14">
        <v>45685</v>
      </c>
      <c r="E70" s="5" t="s">
        <v>1335</v>
      </c>
      <c r="F70" s="5" t="s">
        <v>1336</v>
      </c>
      <c r="G70" s="6"/>
      <c r="H70" s="6"/>
      <c r="I70" s="6"/>
      <c r="J70" s="6"/>
      <c r="K70" s="7" t="s">
        <v>5061</v>
      </c>
      <c r="L70" s="8"/>
      <c r="M70" s="8" t="str">
        <f t="shared" si="10"/>
        <v>PEN</v>
      </c>
      <c r="N70" s="13"/>
      <c r="O70" s="13">
        <v>0.1</v>
      </c>
      <c r="P70" s="3">
        <f t="shared" si="11"/>
        <v>0</v>
      </c>
      <c r="Q70" s="3">
        <f t="shared" si="12"/>
        <v>0.1</v>
      </c>
      <c r="R70" s="3">
        <f t="shared" si="8"/>
        <v>3999.9</v>
      </c>
      <c r="S70" s="24"/>
      <c r="T70" s="24"/>
      <c r="U70" s="55"/>
      <c r="V70" s="25"/>
      <c r="W70" s="25"/>
      <c r="X70" s="25"/>
      <c r="Y70" s="25"/>
      <c r="Z70" s="25"/>
      <c r="AA70" s="3" t="str">
        <f>IF(Caja_Operativa[[#This Row],[FECHA]]&gt;0,TEXT(Caja_Operativa[[#This Row],[FECHA]],"mmmm"),0)</f>
        <v>Enero</v>
      </c>
    </row>
    <row r="71" spans="1:27" ht="24" x14ac:dyDescent="0.3">
      <c r="A71" s="2">
        <f>IF(Caja_Operativa[[#This Row],[TIPO DE R.]]="R",COUNTIFS($C$1:$C70,"R")+1,"")</f>
        <v>70</v>
      </c>
      <c r="B71" s="19" t="str">
        <f t="shared" si="9"/>
        <v>C-Operativa</v>
      </c>
      <c r="C71" s="3" t="s">
        <v>1330</v>
      </c>
      <c r="D71" s="14">
        <v>45691</v>
      </c>
      <c r="E71" s="5" t="s">
        <v>7514</v>
      </c>
      <c r="F71" s="5" t="s">
        <v>1336</v>
      </c>
      <c r="G71" s="6" t="s">
        <v>812</v>
      </c>
      <c r="H71" s="6"/>
      <c r="I71" s="6"/>
      <c r="J71" s="6"/>
      <c r="K71" s="7" t="s">
        <v>7516</v>
      </c>
      <c r="L71" s="8">
        <v>1016460</v>
      </c>
      <c r="M71" s="8" t="str">
        <f t="shared" si="10"/>
        <v>PEN</v>
      </c>
      <c r="N71" s="13"/>
      <c r="O71" s="13">
        <v>110</v>
      </c>
      <c r="P71" s="3">
        <f t="shared" si="11"/>
        <v>0</v>
      </c>
      <c r="Q71" s="3">
        <f t="shared" si="12"/>
        <v>110</v>
      </c>
      <c r="R71" s="3">
        <f t="shared" si="8"/>
        <v>3889.9</v>
      </c>
      <c r="S71" s="24" t="s">
        <v>1334</v>
      </c>
      <c r="T71" s="24" t="s">
        <v>1334</v>
      </c>
      <c r="U71" s="55"/>
      <c r="V71" s="25"/>
      <c r="W71" s="25"/>
      <c r="X71" s="25"/>
      <c r="Y71" s="25"/>
      <c r="Z71" s="25"/>
      <c r="AA71" s="3" t="str">
        <f>IF(Caja_Operativa[[#This Row],[FECHA]]&gt;0,TEXT(Caja_Operativa[[#This Row],[FECHA]],"mmmm"),0)</f>
        <v>Febrero</v>
      </c>
    </row>
    <row r="72" spans="1:27" ht="24" x14ac:dyDescent="0.3">
      <c r="A72" s="2">
        <f>IF(Caja_Operativa[[#This Row],[TIPO DE R.]]="R",COUNTIFS($C$1:$C71,"R")+1,"")</f>
        <v>71</v>
      </c>
      <c r="B72" s="19" t="str">
        <f t="shared" si="9"/>
        <v>C-Operativa</v>
      </c>
      <c r="C72" s="3" t="s">
        <v>1330</v>
      </c>
      <c r="D72" s="14">
        <v>45691</v>
      </c>
      <c r="E72" s="5" t="s">
        <v>7514</v>
      </c>
      <c r="F72" s="5" t="s">
        <v>1336</v>
      </c>
      <c r="G72" s="6" t="s">
        <v>829</v>
      </c>
      <c r="H72" s="6"/>
      <c r="I72" s="6"/>
      <c r="J72" s="6"/>
      <c r="K72" s="7" t="s">
        <v>7516</v>
      </c>
      <c r="L72" s="8">
        <v>1035317</v>
      </c>
      <c r="M72" s="8" t="str">
        <f t="shared" si="10"/>
        <v>PEN</v>
      </c>
      <c r="N72" s="13"/>
      <c r="O72" s="13">
        <v>160</v>
      </c>
      <c r="P72" s="3">
        <f t="shared" si="11"/>
        <v>0</v>
      </c>
      <c r="Q72" s="3">
        <f t="shared" si="12"/>
        <v>160</v>
      </c>
      <c r="R72" s="3">
        <f t="shared" si="8"/>
        <v>3729.9</v>
      </c>
      <c r="S72" s="24" t="s">
        <v>1334</v>
      </c>
      <c r="T72" s="24" t="s">
        <v>1334</v>
      </c>
      <c r="U72" s="55"/>
      <c r="V72" s="25"/>
      <c r="W72" s="25"/>
      <c r="X72" s="25"/>
      <c r="Y72" s="25"/>
      <c r="Z72" s="25"/>
      <c r="AA72" s="3" t="str">
        <f>IF(Caja_Operativa[[#This Row],[FECHA]]&gt;0,TEXT(Caja_Operativa[[#This Row],[FECHA]],"mmmm"),0)</f>
        <v>Febrero</v>
      </c>
    </row>
    <row r="73" spans="1:27" x14ac:dyDescent="0.3">
      <c r="A73" s="2">
        <f>IF(Caja_Operativa[[#This Row],[TIPO DE R.]]="R",COUNTIFS($C$1:$C72,"R")+1,"")</f>
        <v>72</v>
      </c>
      <c r="B73" s="19" t="str">
        <f t="shared" si="9"/>
        <v>C-Operativa</v>
      </c>
      <c r="C73" s="3" t="s">
        <v>1330</v>
      </c>
      <c r="D73" s="14">
        <v>45691</v>
      </c>
      <c r="E73" s="5" t="s">
        <v>7514</v>
      </c>
      <c r="F73" s="5" t="s">
        <v>1336</v>
      </c>
      <c r="G73" s="6" t="s">
        <v>876</v>
      </c>
      <c r="H73" s="6"/>
      <c r="I73" s="6"/>
      <c r="J73" s="6"/>
      <c r="K73" s="7" t="s">
        <v>7516</v>
      </c>
      <c r="L73" s="8">
        <v>1062477</v>
      </c>
      <c r="M73" s="8" t="str">
        <f t="shared" si="10"/>
        <v>PEN</v>
      </c>
      <c r="N73" s="13"/>
      <c r="O73" s="13">
        <v>150</v>
      </c>
      <c r="P73" s="3">
        <f t="shared" si="11"/>
        <v>0</v>
      </c>
      <c r="Q73" s="3">
        <f t="shared" si="12"/>
        <v>150</v>
      </c>
      <c r="R73" s="3">
        <f t="shared" si="8"/>
        <v>3579.9</v>
      </c>
      <c r="S73" s="24" t="s">
        <v>1334</v>
      </c>
      <c r="T73" s="24" t="s">
        <v>1334</v>
      </c>
      <c r="U73" s="55"/>
      <c r="V73" s="25"/>
      <c r="W73" s="25"/>
      <c r="X73" s="25"/>
      <c r="Y73" s="25"/>
      <c r="Z73" s="25"/>
      <c r="AA73" s="3" t="str">
        <f>IF(Caja_Operativa[[#This Row],[FECHA]]&gt;0,TEXT(Caja_Operativa[[#This Row],[FECHA]],"mmmm"),0)</f>
        <v>Febrero</v>
      </c>
    </row>
    <row r="74" spans="1:27" ht="24" x14ac:dyDescent="0.3">
      <c r="A74" s="2">
        <f>IF(Caja_Operativa[[#This Row],[TIPO DE R.]]="R",COUNTIFS($C$1:$C73,"R")+1,"")</f>
        <v>73</v>
      </c>
      <c r="B74" s="19" t="str">
        <f t="shared" si="9"/>
        <v>C-Operativa</v>
      </c>
      <c r="C74" s="3" t="s">
        <v>1330</v>
      </c>
      <c r="D74" s="14">
        <v>45691</v>
      </c>
      <c r="E74" s="5" t="s">
        <v>7514</v>
      </c>
      <c r="F74" s="5" t="s">
        <v>1336</v>
      </c>
      <c r="G74" s="6" t="s">
        <v>957</v>
      </c>
      <c r="H74" s="6"/>
      <c r="I74" s="6"/>
      <c r="J74" s="6"/>
      <c r="K74" s="7" t="s">
        <v>7516</v>
      </c>
      <c r="L74" s="8">
        <v>1047862</v>
      </c>
      <c r="M74" s="8" t="str">
        <f t="shared" si="10"/>
        <v>PEN</v>
      </c>
      <c r="N74" s="13"/>
      <c r="O74" s="13">
        <v>70</v>
      </c>
      <c r="P74" s="3">
        <f t="shared" si="11"/>
        <v>0</v>
      </c>
      <c r="Q74" s="3">
        <f t="shared" si="12"/>
        <v>70</v>
      </c>
      <c r="R74" s="3">
        <f t="shared" si="8"/>
        <v>3509.9</v>
      </c>
      <c r="S74" s="24" t="s">
        <v>1334</v>
      </c>
      <c r="T74" s="24" t="s">
        <v>1334</v>
      </c>
      <c r="U74" s="55"/>
      <c r="V74" s="25"/>
      <c r="W74" s="25"/>
      <c r="X74" s="25"/>
      <c r="Y74" s="25"/>
      <c r="Z74" s="25"/>
      <c r="AA74" s="3" t="str">
        <f>IF(Caja_Operativa[[#This Row],[FECHA]]&gt;0,TEXT(Caja_Operativa[[#This Row],[FECHA]],"mmmm"),0)</f>
        <v>Febrero</v>
      </c>
    </row>
    <row r="75" spans="1:27" ht="60" x14ac:dyDescent="0.3">
      <c r="A75" s="2">
        <f>IF(Caja_Operativa[[#This Row],[TIPO DE R.]]="R",COUNTIFS($C$1:$C74,"R")+1,"")</f>
        <v>74</v>
      </c>
      <c r="B75" s="19" t="str">
        <f t="shared" si="9"/>
        <v>C-Operativa</v>
      </c>
      <c r="C75" s="3" t="s">
        <v>1330</v>
      </c>
      <c r="D75" s="14">
        <v>45691</v>
      </c>
      <c r="E75" s="5" t="s">
        <v>7514</v>
      </c>
      <c r="F75" s="5" t="s">
        <v>1336</v>
      </c>
      <c r="G75" s="6"/>
      <c r="H75" s="6"/>
      <c r="I75" s="6"/>
      <c r="J75" s="6"/>
      <c r="K75" s="7" t="s">
        <v>7562</v>
      </c>
      <c r="L75" s="8">
        <v>1057550</v>
      </c>
      <c r="M75" s="8" t="str">
        <f t="shared" si="10"/>
        <v>PEN</v>
      </c>
      <c r="N75" s="13"/>
      <c r="O75" s="13">
        <v>8</v>
      </c>
      <c r="P75" s="3">
        <f t="shared" si="11"/>
        <v>0</v>
      </c>
      <c r="Q75" s="3">
        <f t="shared" si="12"/>
        <v>8</v>
      </c>
      <c r="R75" s="3">
        <f t="shared" si="8"/>
        <v>3501.9</v>
      </c>
      <c r="S75" s="24"/>
      <c r="T75" s="24"/>
      <c r="U75" s="55"/>
      <c r="V75" s="25" t="s">
        <v>7519</v>
      </c>
      <c r="W75" s="25"/>
      <c r="X75" s="25"/>
      <c r="Y75" s="25"/>
      <c r="Z75" s="25"/>
      <c r="AA75" s="3" t="str">
        <f>IF(Caja_Operativa[[#This Row],[FECHA]]&gt;0,TEXT(Caja_Operativa[[#This Row],[FECHA]],"mmmm"),0)</f>
        <v>Febrero</v>
      </c>
    </row>
    <row r="76" spans="1:27" ht="60" x14ac:dyDescent="0.3">
      <c r="A76" s="2">
        <f>IF(Caja_Operativa[[#This Row],[TIPO DE R.]]="R",COUNTIFS($C$1:$C75,"R")+1,"")</f>
        <v>75</v>
      </c>
      <c r="B76" s="19" t="str">
        <f t="shared" si="9"/>
        <v>C-Operativa</v>
      </c>
      <c r="C76" s="3" t="s">
        <v>1330</v>
      </c>
      <c r="D76" s="14">
        <v>45691</v>
      </c>
      <c r="E76" s="5" t="s">
        <v>7514</v>
      </c>
      <c r="F76" s="5" t="s">
        <v>1336</v>
      </c>
      <c r="G76" s="6"/>
      <c r="H76" s="6"/>
      <c r="I76" s="6"/>
      <c r="J76" s="6"/>
      <c r="K76" s="7" t="s">
        <v>7563</v>
      </c>
      <c r="L76" s="8">
        <v>1072800</v>
      </c>
      <c r="M76" s="8" t="str">
        <f t="shared" si="10"/>
        <v>PEN</v>
      </c>
      <c r="N76" s="13"/>
      <c r="O76" s="13">
        <v>8</v>
      </c>
      <c r="P76" s="3">
        <f t="shared" si="11"/>
        <v>0</v>
      </c>
      <c r="Q76" s="3">
        <f t="shared" si="12"/>
        <v>8</v>
      </c>
      <c r="R76" s="3">
        <f t="shared" si="8"/>
        <v>3493.9</v>
      </c>
      <c r="S76" s="24"/>
      <c r="T76" s="24"/>
      <c r="U76" s="55"/>
      <c r="V76" s="25" t="s">
        <v>7519</v>
      </c>
      <c r="W76" s="25"/>
      <c r="X76" s="25"/>
      <c r="Y76" s="25"/>
      <c r="Z76" s="25"/>
      <c r="AA76" s="3" t="str">
        <f>IF(Caja_Operativa[[#This Row],[FECHA]]&gt;0,TEXT(Caja_Operativa[[#This Row],[FECHA]],"mmmm"),0)</f>
        <v>Febrero</v>
      </c>
    </row>
    <row r="77" spans="1:27" ht="60" x14ac:dyDescent="0.3">
      <c r="A77" s="2">
        <f>IF(Caja_Operativa[[#This Row],[TIPO DE R.]]="R",COUNTIFS($C$1:$C76,"R")+1,"")</f>
        <v>76</v>
      </c>
      <c r="B77" s="19" t="str">
        <f t="shared" si="9"/>
        <v>C-Operativa</v>
      </c>
      <c r="C77" s="3" t="s">
        <v>1330</v>
      </c>
      <c r="D77" s="14">
        <v>45691</v>
      </c>
      <c r="E77" s="5" t="s">
        <v>7514</v>
      </c>
      <c r="F77" s="5" t="s">
        <v>1336</v>
      </c>
      <c r="G77" s="6"/>
      <c r="H77" s="6"/>
      <c r="I77" s="6"/>
      <c r="J77" s="6"/>
      <c r="K77" s="7" t="s">
        <v>7564</v>
      </c>
      <c r="L77" s="8">
        <v>1037713</v>
      </c>
      <c r="M77" s="8" t="str">
        <f t="shared" si="10"/>
        <v>PEN</v>
      </c>
      <c r="N77" s="13"/>
      <c r="O77" s="13">
        <v>8</v>
      </c>
      <c r="P77" s="3">
        <f t="shared" si="11"/>
        <v>0</v>
      </c>
      <c r="Q77" s="3">
        <f t="shared" si="12"/>
        <v>8</v>
      </c>
      <c r="R77" s="3">
        <f t="shared" si="8"/>
        <v>3485.9</v>
      </c>
      <c r="S77" s="24"/>
      <c r="T77" s="24"/>
      <c r="U77" s="55"/>
      <c r="V77" s="25" t="s">
        <v>7519</v>
      </c>
      <c r="W77" s="25"/>
      <c r="X77" s="25"/>
      <c r="Y77" s="25"/>
      <c r="Z77" s="25"/>
      <c r="AA77" s="3" t="str">
        <f>IF(Caja_Operativa[[#This Row],[FECHA]]&gt;0,TEXT(Caja_Operativa[[#This Row],[FECHA]],"mmmm"),0)</f>
        <v>Febrero</v>
      </c>
    </row>
    <row r="78" spans="1:27" ht="60" x14ac:dyDescent="0.3">
      <c r="A78" s="2">
        <f>IF(Caja_Operativa[[#This Row],[TIPO DE R.]]="R",COUNTIFS($C$1:$C77,"R")+1,"")</f>
        <v>77</v>
      </c>
      <c r="B78" s="19" t="str">
        <f t="shared" si="9"/>
        <v>C-Operativa</v>
      </c>
      <c r="C78" s="3" t="s">
        <v>1330</v>
      </c>
      <c r="D78" s="14">
        <v>45691</v>
      </c>
      <c r="E78" s="5" t="s">
        <v>7514</v>
      </c>
      <c r="F78" s="5" t="s">
        <v>1336</v>
      </c>
      <c r="G78" s="6"/>
      <c r="H78" s="6"/>
      <c r="I78" s="6"/>
      <c r="J78" s="6"/>
      <c r="K78" s="7" t="s">
        <v>7565</v>
      </c>
      <c r="L78" s="8">
        <v>1040953</v>
      </c>
      <c r="M78" s="8" t="str">
        <f t="shared" si="10"/>
        <v>PEN</v>
      </c>
      <c r="N78" s="13"/>
      <c r="O78" s="13">
        <v>8</v>
      </c>
      <c r="P78" s="3">
        <f t="shared" si="11"/>
        <v>0</v>
      </c>
      <c r="Q78" s="3">
        <f t="shared" si="12"/>
        <v>8</v>
      </c>
      <c r="R78" s="3">
        <f t="shared" si="8"/>
        <v>3477.9</v>
      </c>
      <c r="S78" s="24"/>
      <c r="T78" s="24"/>
      <c r="U78" s="55"/>
      <c r="V78" s="25" t="s">
        <v>7519</v>
      </c>
      <c r="W78" s="25"/>
      <c r="X78" s="25"/>
      <c r="Y78" s="25"/>
      <c r="Z78" s="25"/>
      <c r="AA78" s="3" t="str">
        <f>IF(Caja_Operativa[[#This Row],[FECHA]]&gt;0,TEXT(Caja_Operativa[[#This Row],[FECHA]],"mmmm"),0)</f>
        <v>Febrero</v>
      </c>
    </row>
    <row r="79" spans="1:27" ht="24" x14ac:dyDescent="0.3">
      <c r="A79" s="2">
        <f>IF(Caja_Operativa[[#This Row],[TIPO DE R.]]="R",COUNTIFS($C$1:$C78,"R")+1,"")</f>
        <v>78</v>
      </c>
      <c r="B79" s="19" t="str">
        <f t="shared" si="9"/>
        <v>C-Operativa</v>
      </c>
      <c r="C79" s="3" t="s">
        <v>1330</v>
      </c>
      <c r="D79" s="14">
        <v>45691</v>
      </c>
      <c r="E79" s="5" t="s">
        <v>7514</v>
      </c>
      <c r="F79" s="5" t="s">
        <v>1336</v>
      </c>
      <c r="G79" s="6" t="s">
        <v>888</v>
      </c>
      <c r="H79" s="6"/>
      <c r="I79" s="6"/>
      <c r="J79" s="6"/>
      <c r="K79" s="7" t="s">
        <v>7566</v>
      </c>
      <c r="L79" s="8">
        <v>1095537</v>
      </c>
      <c r="M79" s="8" t="str">
        <f t="shared" si="10"/>
        <v>PEN</v>
      </c>
      <c r="N79" s="13"/>
      <c r="O79" s="13">
        <v>800</v>
      </c>
      <c r="P79" s="3">
        <f t="shared" si="11"/>
        <v>0</v>
      </c>
      <c r="Q79" s="3">
        <f t="shared" si="12"/>
        <v>800</v>
      </c>
      <c r="R79" s="3">
        <f t="shared" si="8"/>
        <v>2677.9</v>
      </c>
      <c r="S79" s="24" t="s">
        <v>1334</v>
      </c>
      <c r="T79" s="24" t="s">
        <v>1334</v>
      </c>
      <c r="U79" s="55"/>
      <c r="V79" s="25"/>
      <c r="W79" s="25"/>
      <c r="X79" s="25"/>
      <c r="Y79" s="25"/>
      <c r="Z79" s="25"/>
      <c r="AA79" s="3" t="str">
        <f>IF(Caja_Operativa[[#This Row],[FECHA]]&gt;0,TEXT(Caja_Operativa[[#This Row],[FECHA]],"mmmm"),0)</f>
        <v>Febrero</v>
      </c>
    </row>
    <row r="80" spans="1:27" ht="24" x14ac:dyDescent="0.3">
      <c r="A80" s="2">
        <f>IF(Caja_Operativa[[#This Row],[TIPO DE R.]]="R",COUNTIFS($C$1:$C79,"R")+1,"")</f>
        <v>79</v>
      </c>
      <c r="B80" s="19" t="str">
        <f t="shared" si="9"/>
        <v>C-Operativa</v>
      </c>
      <c r="C80" s="3" t="s">
        <v>1330</v>
      </c>
      <c r="D80" s="14">
        <v>45693</v>
      </c>
      <c r="E80" s="5" t="s">
        <v>7514</v>
      </c>
      <c r="F80" s="5" t="s">
        <v>1336</v>
      </c>
      <c r="G80" s="6" t="s">
        <v>957</v>
      </c>
      <c r="H80" s="6"/>
      <c r="I80" s="6"/>
      <c r="J80" s="6"/>
      <c r="K80" s="7" t="s">
        <v>7567</v>
      </c>
      <c r="L80" s="8">
        <v>3659446</v>
      </c>
      <c r="M80" s="8" t="str">
        <f t="shared" si="10"/>
        <v>PEN</v>
      </c>
      <c r="N80" s="13"/>
      <c r="O80" s="13">
        <v>600</v>
      </c>
      <c r="P80" s="3">
        <f t="shared" si="11"/>
        <v>0</v>
      </c>
      <c r="Q80" s="3">
        <f t="shared" si="12"/>
        <v>600</v>
      </c>
      <c r="R80" s="3">
        <f t="shared" si="8"/>
        <v>2077.9</v>
      </c>
      <c r="S80" s="24" t="s">
        <v>1334</v>
      </c>
      <c r="T80" s="24" t="s">
        <v>1334</v>
      </c>
      <c r="U80" s="55"/>
      <c r="V80" s="25"/>
      <c r="W80" s="25"/>
      <c r="X80" s="25"/>
      <c r="Y80" s="25"/>
      <c r="Z80" s="25"/>
      <c r="AA80" s="3" t="str">
        <f>IF(Caja_Operativa[[#This Row],[FECHA]]&gt;0,TEXT(Caja_Operativa[[#This Row],[FECHA]],"mmmm"),0)</f>
        <v>Febrero</v>
      </c>
    </row>
    <row r="81" spans="1:27" ht="24" x14ac:dyDescent="0.3">
      <c r="A81" s="2">
        <f>IF(Caja_Operativa[[#This Row],[TIPO DE R.]]="R",COUNTIFS($C$1:$C80,"R")+1,"")</f>
        <v>80</v>
      </c>
      <c r="B81" s="19" t="str">
        <f t="shared" si="9"/>
        <v>C-Operativa</v>
      </c>
      <c r="C81" s="3" t="s">
        <v>1330</v>
      </c>
      <c r="D81" s="14">
        <v>45695</v>
      </c>
      <c r="E81" s="5" t="s">
        <v>7514</v>
      </c>
      <c r="F81" s="5" t="s">
        <v>1336</v>
      </c>
      <c r="G81" s="6" t="s">
        <v>888</v>
      </c>
      <c r="H81" s="6"/>
      <c r="I81" s="6"/>
      <c r="J81" s="6"/>
      <c r="K81" s="7" t="s">
        <v>7566</v>
      </c>
      <c r="L81" s="8">
        <v>366891</v>
      </c>
      <c r="M81" s="8" t="str">
        <f t="shared" si="10"/>
        <v>PEN</v>
      </c>
      <c r="N81" s="13"/>
      <c r="O81" s="13">
        <v>300</v>
      </c>
      <c r="P81" s="3">
        <f t="shared" si="11"/>
        <v>0</v>
      </c>
      <c r="Q81" s="3">
        <f t="shared" si="12"/>
        <v>300</v>
      </c>
      <c r="R81" s="3">
        <f t="shared" si="8"/>
        <v>1777.9</v>
      </c>
      <c r="S81" s="24" t="s">
        <v>1334</v>
      </c>
      <c r="T81" s="24" t="s">
        <v>1334</v>
      </c>
      <c r="U81" s="55"/>
      <c r="V81" s="25"/>
      <c r="W81" s="25"/>
      <c r="X81" s="25"/>
      <c r="Y81" s="25"/>
      <c r="Z81" s="25"/>
      <c r="AA81" s="3" t="str">
        <f>IF(Caja_Operativa[[#This Row],[FECHA]]&gt;0,TEXT(Caja_Operativa[[#This Row],[FECHA]],"mmmm"),0)</f>
        <v>Febrero</v>
      </c>
    </row>
    <row r="82" spans="1:27" ht="24" x14ac:dyDescent="0.3">
      <c r="A82" s="2">
        <f>IF(Caja_Operativa[[#This Row],[TIPO DE R.]]="R",COUNTIFS($C$1:$C81,"R")+1,"")</f>
        <v>81</v>
      </c>
      <c r="B82" s="19" t="str">
        <f t="shared" si="9"/>
        <v>C-Operativa</v>
      </c>
      <c r="C82" s="3" t="s">
        <v>1330</v>
      </c>
      <c r="D82" s="14">
        <v>45695</v>
      </c>
      <c r="E82" s="5" t="s">
        <v>7514</v>
      </c>
      <c r="F82" s="5" t="s">
        <v>1336</v>
      </c>
      <c r="G82" s="6" t="s">
        <v>922</v>
      </c>
      <c r="H82" s="6"/>
      <c r="I82" s="6"/>
      <c r="J82" s="6"/>
      <c r="K82" s="7" t="s">
        <v>7537</v>
      </c>
      <c r="L82" s="8">
        <v>362742</v>
      </c>
      <c r="M82" s="8" t="str">
        <f t="shared" si="10"/>
        <v>PEN</v>
      </c>
      <c r="N82" s="13"/>
      <c r="O82" s="13">
        <v>20</v>
      </c>
      <c r="P82" s="3">
        <f t="shared" si="11"/>
        <v>0</v>
      </c>
      <c r="Q82" s="3">
        <f t="shared" si="12"/>
        <v>20</v>
      </c>
      <c r="R82" s="3">
        <f t="shared" si="8"/>
        <v>1757.9</v>
      </c>
      <c r="S82" s="24" t="s">
        <v>1334</v>
      </c>
      <c r="T82" s="24" t="s">
        <v>1334</v>
      </c>
      <c r="U82" s="55"/>
      <c r="V82" s="25"/>
      <c r="W82" s="25"/>
      <c r="X82" s="25"/>
      <c r="Y82" s="25"/>
      <c r="Z82" s="25"/>
      <c r="AA82" s="3" t="str">
        <f>IF(Caja_Operativa[[#This Row],[FECHA]]&gt;0,TEXT(Caja_Operativa[[#This Row],[FECHA]],"mmmm"),0)</f>
        <v>Febrero</v>
      </c>
    </row>
    <row r="83" spans="1:27" ht="24" x14ac:dyDescent="0.3">
      <c r="A83" s="2">
        <f>IF(Caja_Operativa[[#This Row],[TIPO DE R.]]="R",COUNTIFS($C$1:$C82,"R")+1,"")</f>
        <v>82</v>
      </c>
      <c r="B83" s="19" t="str">
        <f t="shared" si="9"/>
        <v>C-Operativa</v>
      </c>
      <c r="C83" s="3" t="s">
        <v>1330</v>
      </c>
      <c r="D83" s="14">
        <v>45695</v>
      </c>
      <c r="E83" s="5" t="s">
        <v>7514</v>
      </c>
      <c r="F83" s="5" t="s">
        <v>1336</v>
      </c>
      <c r="G83" s="6"/>
      <c r="H83" s="6"/>
      <c r="I83" s="6"/>
      <c r="J83" s="6"/>
      <c r="K83" s="7" t="s">
        <v>7555</v>
      </c>
      <c r="L83" s="8">
        <v>398829</v>
      </c>
      <c r="M83" s="8" t="str">
        <f t="shared" si="10"/>
        <v>PEN</v>
      </c>
      <c r="N83" s="13"/>
      <c r="O83" s="13">
        <v>400</v>
      </c>
      <c r="P83" s="3">
        <f t="shared" si="11"/>
        <v>0</v>
      </c>
      <c r="Q83" s="3">
        <f t="shared" si="12"/>
        <v>400</v>
      </c>
      <c r="R83" s="3">
        <f t="shared" si="8"/>
        <v>1357.9</v>
      </c>
      <c r="S83" s="24"/>
      <c r="T83" s="24"/>
      <c r="U83" s="55"/>
      <c r="V83" s="25" t="s">
        <v>7519</v>
      </c>
      <c r="W83" s="25"/>
      <c r="X83" s="25"/>
      <c r="Y83" s="25"/>
      <c r="Z83" s="25"/>
      <c r="AA83" s="3" t="str">
        <f>IF(Caja_Operativa[[#This Row],[FECHA]]&gt;0,TEXT(Caja_Operativa[[#This Row],[FECHA]],"mmmm"),0)</f>
        <v>Febrero</v>
      </c>
    </row>
    <row r="84" spans="1:27" ht="24" x14ac:dyDescent="0.3">
      <c r="A84" s="2">
        <f>IF(Caja_Operativa[[#This Row],[TIPO DE R.]]="R",COUNTIFS($C$1:$C83,"R")+1,"")</f>
        <v>83</v>
      </c>
      <c r="B84" s="19" t="str">
        <f t="shared" si="9"/>
        <v>C-Operativa</v>
      </c>
      <c r="C84" s="3" t="s">
        <v>1330</v>
      </c>
      <c r="D84" s="14">
        <v>45694</v>
      </c>
      <c r="E84" s="5" t="s">
        <v>7513</v>
      </c>
      <c r="F84" s="5" t="s">
        <v>1303</v>
      </c>
      <c r="G84" s="6" t="s">
        <v>901</v>
      </c>
      <c r="H84" s="6"/>
      <c r="I84" s="6" t="s">
        <v>7539</v>
      </c>
      <c r="J84" s="6">
        <v>3</v>
      </c>
      <c r="K84" s="7" t="s">
        <v>7540</v>
      </c>
      <c r="L84" s="8">
        <v>170205</v>
      </c>
      <c r="M84" s="8" t="str">
        <f t="shared" si="10"/>
        <v>PEN</v>
      </c>
      <c r="N84" s="13"/>
      <c r="O84" s="13">
        <v>2642.1</v>
      </c>
      <c r="P84" s="3">
        <f t="shared" si="11"/>
        <v>2642.1</v>
      </c>
      <c r="Q84" s="3">
        <f t="shared" si="12"/>
        <v>0</v>
      </c>
      <c r="R84" s="3">
        <f t="shared" si="8"/>
        <v>4000</v>
      </c>
      <c r="S84" s="24"/>
      <c r="T84" s="24"/>
      <c r="U84" s="55"/>
      <c r="V84" s="25" t="s">
        <v>7514</v>
      </c>
      <c r="W84" s="25"/>
      <c r="X84" s="25"/>
      <c r="Y84" s="25"/>
      <c r="Z84" s="25"/>
      <c r="AA84" s="3" t="str">
        <f>IF(Caja_Operativa[[#This Row],[FECHA]]&gt;0,TEXT(Caja_Operativa[[#This Row],[FECHA]],"mmmm"),0)</f>
        <v>Febrero</v>
      </c>
    </row>
    <row r="85" spans="1:27" x14ac:dyDescent="0.3">
      <c r="A85" s="2">
        <f>IF(Caja_Operativa[[#This Row],[TIPO DE R.]]="R",COUNTIFS($C$1:$C84,"R")+1,"")</f>
        <v>84</v>
      </c>
      <c r="B85" s="19" t="str">
        <f t="shared" si="9"/>
        <v>C-Operativa</v>
      </c>
      <c r="C85" s="3" t="s">
        <v>1330</v>
      </c>
      <c r="D85" s="14">
        <v>45694</v>
      </c>
      <c r="E85" s="5" t="s">
        <v>1335</v>
      </c>
      <c r="F85" s="5" t="s">
        <v>1336</v>
      </c>
      <c r="G85" s="6"/>
      <c r="H85" s="6"/>
      <c r="I85" s="6"/>
      <c r="J85" s="6"/>
      <c r="K85" s="7" t="s">
        <v>5061</v>
      </c>
      <c r="L85" s="8"/>
      <c r="M85" s="8" t="str">
        <f t="shared" si="10"/>
        <v>PEN</v>
      </c>
      <c r="N85" s="13"/>
      <c r="O85" s="13">
        <v>0.1</v>
      </c>
      <c r="P85" s="3">
        <f t="shared" si="11"/>
        <v>0</v>
      </c>
      <c r="Q85" s="3">
        <f t="shared" si="12"/>
        <v>0.1</v>
      </c>
      <c r="R85" s="3">
        <f t="shared" si="8"/>
        <v>3999.9</v>
      </c>
      <c r="S85" s="24"/>
      <c r="T85" s="24"/>
      <c r="U85" s="55"/>
      <c r="V85" s="25"/>
      <c r="W85" s="25"/>
      <c r="X85" s="25"/>
      <c r="Y85" s="25"/>
      <c r="Z85" s="25"/>
      <c r="AA85" s="3" t="str">
        <f>IF(Caja_Operativa[[#This Row],[FECHA]]&gt;0,TEXT(Caja_Operativa[[#This Row],[FECHA]],"mmmm"),0)</f>
        <v>Febrero</v>
      </c>
    </row>
    <row r="86" spans="1:27" ht="24" x14ac:dyDescent="0.3">
      <c r="A86" s="2">
        <f>IF(Caja_Operativa[[#This Row],[TIPO DE R.]]="R",COUNTIFS($C$1:$C85,"R")+1,"")</f>
        <v>85</v>
      </c>
      <c r="B86" s="19" t="str">
        <f t="shared" si="9"/>
        <v>C-Operativa</v>
      </c>
      <c r="C86" s="3" t="s">
        <v>1330</v>
      </c>
      <c r="D86" s="14">
        <v>45695</v>
      </c>
      <c r="E86" s="5" t="s">
        <v>7514</v>
      </c>
      <c r="F86" s="5" t="s">
        <v>1336</v>
      </c>
      <c r="G86" s="6" t="s">
        <v>812</v>
      </c>
      <c r="H86" s="6"/>
      <c r="I86" s="6"/>
      <c r="J86" s="6"/>
      <c r="K86" s="7" t="s">
        <v>7516</v>
      </c>
      <c r="L86" s="8">
        <v>429737</v>
      </c>
      <c r="M86" s="8" t="str">
        <f t="shared" si="10"/>
        <v>PEN</v>
      </c>
      <c r="N86" s="13"/>
      <c r="O86" s="13">
        <v>400</v>
      </c>
      <c r="P86" s="3">
        <f t="shared" si="11"/>
        <v>0</v>
      </c>
      <c r="Q86" s="3">
        <f t="shared" si="12"/>
        <v>400</v>
      </c>
      <c r="R86" s="3">
        <f t="shared" si="8"/>
        <v>3599.9</v>
      </c>
      <c r="S86" s="24" t="s">
        <v>1334</v>
      </c>
      <c r="T86" s="24" t="s">
        <v>1334</v>
      </c>
      <c r="U86" s="55"/>
      <c r="V86" s="25"/>
      <c r="W86" s="25"/>
      <c r="X86" s="25"/>
      <c r="Y86" s="25"/>
      <c r="Z86" s="25"/>
      <c r="AA86" s="3" t="str">
        <f>IF(Caja_Operativa[[#This Row],[FECHA]]&gt;0,TEXT(Caja_Operativa[[#This Row],[FECHA]],"mmmm"),0)</f>
        <v>Febrero</v>
      </c>
    </row>
    <row r="87" spans="1:27" ht="24" x14ac:dyDescent="0.3">
      <c r="A87" s="2">
        <f>IF(Caja_Operativa[[#This Row],[TIPO DE R.]]="R",COUNTIFS($C$1:$C86,"R")+1,"")</f>
        <v>86</v>
      </c>
      <c r="B87" s="19" t="str">
        <f t="shared" si="9"/>
        <v>C-Operativa</v>
      </c>
      <c r="C87" s="3" t="s">
        <v>1330</v>
      </c>
      <c r="D87" s="14">
        <v>45695</v>
      </c>
      <c r="E87" s="5" t="s">
        <v>7514</v>
      </c>
      <c r="F87" s="5" t="s">
        <v>1336</v>
      </c>
      <c r="G87" s="6" t="s">
        <v>829</v>
      </c>
      <c r="H87" s="6"/>
      <c r="I87" s="6"/>
      <c r="J87" s="6"/>
      <c r="K87" s="7" t="s">
        <v>7516</v>
      </c>
      <c r="L87" s="8">
        <v>44093</v>
      </c>
      <c r="M87" s="8" t="str">
        <f t="shared" si="10"/>
        <v>PEN</v>
      </c>
      <c r="N87" s="13"/>
      <c r="O87" s="13">
        <v>400</v>
      </c>
      <c r="P87" s="3">
        <f t="shared" si="11"/>
        <v>0</v>
      </c>
      <c r="Q87" s="3">
        <f t="shared" si="12"/>
        <v>400</v>
      </c>
      <c r="R87" s="3">
        <f t="shared" si="8"/>
        <v>3199.9</v>
      </c>
      <c r="S87" s="24" t="s">
        <v>1334</v>
      </c>
      <c r="T87" s="24" t="s">
        <v>1334</v>
      </c>
      <c r="U87" s="55"/>
      <c r="V87" s="25"/>
      <c r="W87" s="25"/>
      <c r="X87" s="25"/>
      <c r="Y87" s="25"/>
      <c r="Z87" s="25"/>
      <c r="AA87" s="3" t="str">
        <f>IF(Caja_Operativa[[#This Row],[FECHA]]&gt;0,TEXT(Caja_Operativa[[#This Row],[FECHA]],"mmmm"),0)</f>
        <v>Febrero</v>
      </c>
    </row>
    <row r="88" spans="1:27" ht="24" x14ac:dyDescent="0.3">
      <c r="A88" s="2">
        <f>IF(Caja_Operativa[[#This Row],[TIPO DE R.]]="R",COUNTIFS($C$1:$C87,"R")+1,"")</f>
        <v>87</v>
      </c>
      <c r="B88" s="19" t="str">
        <f t="shared" si="9"/>
        <v>C-Operativa</v>
      </c>
      <c r="C88" s="3" t="s">
        <v>1330</v>
      </c>
      <c r="D88" s="14">
        <v>45695</v>
      </c>
      <c r="E88" s="5" t="s">
        <v>7514</v>
      </c>
      <c r="F88" s="5" t="s">
        <v>1336</v>
      </c>
      <c r="G88" s="6" t="s">
        <v>888</v>
      </c>
      <c r="H88" s="6"/>
      <c r="I88" s="6"/>
      <c r="J88" s="6"/>
      <c r="K88" s="7" t="s">
        <v>7516</v>
      </c>
      <c r="L88" s="8">
        <v>443030</v>
      </c>
      <c r="M88" s="8" t="str">
        <f t="shared" si="10"/>
        <v>PEN</v>
      </c>
      <c r="N88" s="13"/>
      <c r="O88" s="13">
        <v>400</v>
      </c>
      <c r="P88" s="3">
        <f t="shared" si="11"/>
        <v>0</v>
      </c>
      <c r="Q88" s="3">
        <f t="shared" si="12"/>
        <v>400</v>
      </c>
      <c r="R88" s="3">
        <f t="shared" si="8"/>
        <v>2799.9</v>
      </c>
      <c r="S88" s="24" t="s">
        <v>1334</v>
      </c>
      <c r="T88" s="24" t="s">
        <v>1334</v>
      </c>
      <c r="U88" s="55"/>
      <c r="V88" s="25"/>
      <c r="W88" s="25"/>
      <c r="X88" s="25"/>
      <c r="Y88" s="25"/>
      <c r="Z88" s="25"/>
      <c r="AA88" s="3" t="str">
        <f>IF(Caja_Operativa[[#This Row],[FECHA]]&gt;0,TEXT(Caja_Operativa[[#This Row],[FECHA]],"mmmm"),0)</f>
        <v>Febrero</v>
      </c>
    </row>
    <row r="89" spans="1:27" x14ac:dyDescent="0.3">
      <c r="A89" s="2">
        <f>IF(Caja_Operativa[[#This Row],[TIPO DE R.]]="R",COUNTIFS($C$1:$C88,"R")+1,"")</f>
        <v>88</v>
      </c>
      <c r="B89" s="19" t="str">
        <f t="shared" si="9"/>
        <v>C-Operativa</v>
      </c>
      <c r="C89" s="3" t="s">
        <v>1330</v>
      </c>
      <c r="D89" s="14">
        <v>45695</v>
      </c>
      <c r="E89" s="5" t="s">
        <v>7514</v>
      </c>
      <c r="F89" s="5" t="s">
        <v>1336</v>
      </c>
      <c r="G89" s="6" t="s">
        <v>876</v>
      </c>
      <c r="H89" s="6"/>
      <c r="I89" s="6"/>
      <c r="J89" s="6"/>
      <c r="K89" s="7" t="s">
        <v>7516</v>
      </c>
      <c r="L89" s="8">
        <v>455541</v>
      </c>
      <c r="M89" s="8" t="str">
        <f t="shared" si="10"/>
        <v>PEN</v>
      </c>
      <c r="N89" s="13"/>
      <c r="O89" s="13">
        <v>400</v>
      </c>
      <c r="P89" s="3">
        <f t="shared" si="11"/>
        <v>0</v>
      </c>
      <c r="Q89" s="3">
        <f t="shared" si="12"/>
        <v>400</v>
      </c>
      <c r="R89" s="3">
        <f t="shared" si="8"/>
        <v>2399.9</v>
      </c>
      <c r="S89" s="24" t="s">
        <v>1334</v>
      </c>
      <c r="T89" s="24" t="s">
        <v>1334</v>
      </c>
      <c r="U89" s="55"/>
      <c r="V89" s="25"/>
      <c r="W89" s="25"/>
      <c r="X89" s="25"/>
      <c r="Y89" s="25"/>
      <c r="Z89" s="25"/>
      <c r="AA89" s="3" t="str">
        <f>IF(Caja_Operativa[[#This Row],[FECHA]]&gt;0,TEXT(Caja_Operativa[[#This Row],[FECHA]],"mmmm"),0)</f>
        <v>Febrero</v>
      </c>
    </row>
    <row r="90" spans="1:27" ht="24" x14ac:dyDescent="0.3">
      <c r="A90" s="2">
        <f>IF(Caja_Operativa[[#This Row],[TIPO DE R.]]="R",COUNTIFS($C$1:$C89,"R")+1,"")</f>
        <v>89</v>
      </c>
      <c r="B90" s="19" t="str">
        <f t="shared" si="9"/>
        <v>C-Operativa</v>
      </c>
      <c r="C90" s="3" t="s">
        <v>1330</v>
      </c>
      <c r="D90" s="14">
        <v>45695</v>
      </c>
      <c r="E90" s="5" t="s">
        <v>7514</v>
      </c>
      <c r="F90" s="5" t="s">
        <v>1336</v>
      </c>
      <c r="G90" s="6" t="s">
        <v>957</v>
      </c>
      <c r="H90" s="6"/>
      <c r="I90" s="6"/>
      <c r="J90" s="6"/>
      <c r="K90" s="7" t="s">
        <v>7516</v>
      </c>
      <c r="L90" s="8">
        <v>522036</v>
      </c>
      <c r="M90" s="8" t="str">
        <f t="shared" si="10"/>
        <v>PEN</v>
      </c>
      <c r="N90" s="13"/>
      <c r="O90" s="13">
        <v>400</v>
      </c>
      <c r="P90" s="3">
        <f t="shared" si="11"/>
        <v>0</v>
      </c>
      <c r="Q90" s="3">
        <f t="shared" si="12"/>
        <v>400</v>
      </c>
      <c r="R90" s="3">
        <f t="shared" si="8"/>
        <v>1999.9</v>
      </c>
      <c r="S90" s="24" t="s">
        <v>1334</v>
      </c>
      <c r="T90" s="24" t="s">
        <v>1334</v>
      </c>
      <c r="U90" s="55"/>
      <c r="V90" s="25"/>
      <c r="W90" s="25"/>
      <c r="X90" s="25"/>
      <c r="Y90" s="25"/>
      <c r="Z90" s="25"/>
      <c r="AA90" s="3" t="str">
        <f>IF(Caja_Operativa[[#This Row],[FECHA]]&gt;0,TEXT(Caja_Operativa[[#This Row],[FECHA]],"mmmm"),0)</f>
        <v>Febrero</v>
      </c>
    </row>
    <row r="91" spans="1:27" ht="24" x14ac:dyDescent="0.3">
      <c r="A91" s="2">
        <f>IF(Caja_Operativa[[#This Row],[TIPO DE R.]]="R",COUNTIFS($C$1:$C90,"R")+1,"")</f>
        <v>90</v>
      </c>
      <c r="B91" s="19" t="str">
        <f t="shared" si="9"/>
        <v>C-Operativa</v>
      </c>
      <c r="C91" s="3" t="s">
        <v>1330</v>
      </c>
      <c r="D91" s="14">
        <v>45695</v>
      </c>
      <c r="E91" s="5" t="s">
        <v>7514</v>
      </c>
      <c r="F91" s="5" t="s">
        <v>1336</v>
      </c>
      <c r="G91" s="6" t="s">
        <v>922</v>
      </c>
      <c r="H91" s="6"/>
      <c r="I91" s="6"/>
      <c r="J91" s="6"/>
      <c r="K91" s="7" t="s">
        <v>7537</v>
      </c>
      <c r="L91" s="8">
        <v>513494</v>
      </c>
      <c r="M91" s="8" t="str">
        <f t="shared" si="10"/>
        <v>PEN</v>
      </c>
      <c r="N91" s="13"/>
      <c r="O91" s="13">
        <v>400</v>
      </c>
      <c r="P91" s="3">
        <f t="shared" si="11"/>
        <v>0</v>
      </c>
      <c r="Q91" s="3">
        <f t="shared" si="12"/>
        <v>400</v>
      </c>
      <c r="R91" s="3">
        <f t="shared" si="8"/>
        <v>1599.9</v>
      </c>
      <c r="S91" s="24" t="s">
        <v>1334</v>
      </c>
      <c r="T91" s="24" t="s">
        <v>1334</v>
      </c>
      <c r="U91" s="55"/>
      <c r="V91" s="25"/>
      <c r="W91" s="25"/>
      <c r="X91" s="25"/>
      <c r="Y91" s="25"/>
      <c r="Z91" s="25"/>
      <c r="AA91" s="3" t="str">
        <f>IF(Caja_Operativa[[#This Row],[FECHA]]&gt;0,TEXT(Caja_Operativa[[#This Row],[FECHA]],"mmmm"),0)</f>
        <v>Febrero</v>
      </c>
    </row>
    <row r="92" spans="1:27" ht="24" x14ac:dyDescent="0.3">
      <c r="A92" s="2">
        <f>IF(Caja_Operativa[[#This Row],[TIPO DE R.]]="R",COUNTIFS($C$1:$C91,"R")+1,"")</f>
        <v>91</v>
      </c>
      <c r="B92" s="19" t="str">
        <f t="shared" si="9"/>
        <v>C-Operativa</v>
      </c>
      <c r="C92" s="3" t="s">
        <v>1330</v>
      </c>
      <c r="D92" s="14">
        <v>45705</v>
      </c>
      <c r="E92" s="5" t="s">
        <v>7514</v>
      </c>
      <c r="F92" s="5" t="s">
        <v>1336</v>
      </c>
      <c r="G92" s="6" t="s">
        <v>957</v>
      </c>
      <c r="H92" s="6"/>
      <c r="I92" s="6"/>
      <c r="J92" s="6"/>
      <c r="K92" s="7" t="s">
        <v>7516</v>
      </c>
      <c r="L92" s="8">
        <v>5349712</v>
      </c>
      <c r="M92" s="8" t="str">
        <f t="shared" si="10"/>
        <v>PEN</v>
      </c>
      <c r="N92" s="13"/>
      <c r="O92" s="13">
        <v>600</v>
      </c>
      <c r="P92" s="3">
        <f t="shared" si="11"/>
        <v>0</v>
      </c>
      <c r="Q92" s="3">
        <f t="shared" si="12"/>
        <v>600</v>
      </c>
      <c r="R92" s="3">
        <f t="shared" si="8"/>
        <v>999.90000000000009</v>
      </c>
      <c r="S92" s="24" t="s">
        <v>1334</v>
      </c>
      <c r="T92" s="24" t="s">
        <v>1334</v>
      </c>
      <c r="U92" s="55"/>
      <c r="V92" s="25"/>
      <c r="W92" s="25"/>
      <c r="X92" s="25"/>
      <c r="Y92" s="25"/>
      <c r="Z92" s="25"/>
      <c r="AA92" s="3" t="str">
        <f>IF(Caja_Operativa[[#This Row],[FECHA]]&gt;0,TEXT(Caja_Operativa[[#This Row],[FECHA]],"mmmm"),0)</f>
        <v>Febrero</v>
      </c>
    </row>
    <row r="93" spans="1:27" ht="24" x14ac:dyDescent="0.3">
      <c r="A93" s="2">
        <f>IF(Caja_Operativa[[#This Row],[TIPO DE R.]]="R",COUNTIFS($C$1:$C92,"R")+1,"")</f>
        <v>92</v>
      </c>
      <c r="B93" s="19" t="str">
        <f t="shared" si="9"/>
        <v>C-Operativa</v>
      </c>
      <c r="C93" s="3" t="s">
        <v>1330</v>
      </c>
      <c r="D93" s="14">
        <v>45707</v>
      </c>
      <c r="E93" s="5" t="s">
        <v>7513</v>
      </c>
      <c r="F93" s="5" t="s">
        <v>1303</v>
      </c>
      <c r="G93" s="6" t="s">
        <v>901</v>
      </c>
      <c r="H93" s="6"/>
      <c r="I93" s="6" t="s">
        <v>7539</v>
      </c>
      <c r="J93" s="6">
        <v>4</v>
      </c>
      <c r="K93" s="7" t="s">
        <v>7540</v>
      </c>
      <c r="L93" s="8">
        <v>76119</v>
      </c>
      <c r="M93" s="8" t="str">
        <f t="shared" si="10"/>
        <v>PEN</v>
      </c>
      <c r="N93" s="13"/>
      <c r="O93" s="13">
        <v>3000.1</v>
      </c>
      <c r="P93" s="3">
        <f t="shared" si="11"/>
        <v>3000.1</v>
      </c>
      <c r="Q93" s="3">
        <f t="shared" si="12"/>
        <v>0</v>
      </c>
      <c r="R93" s="3">
        <f t="shared" si="8"/>
        <v>4000</v>
      </c>
      <c r="S93" s="24"/>
      <c r="T93" s="24"/>
      <c r="U93" s="55"/>
      <c r="V93" s="25" t="s">
        <v>7514</v>
      </c>
      <c r="W93" s="25"/>
      <c r="X93" s="25"/>
      <c r="Y93" s="25"/>
      <c r="Z93" s="25"/>
      <c r="AA93" s="3" t="str">
        <f>IF(Caja_Operativa[[#This Row],[FECHA]]&gt;0,TEXT(Caja_Operativa[[#This Row],[FECHA]],"mmmm"),0)</f>
        <v>Febrero</v>
      </c>
    </row>
    <row r="94" spans="1:27" x14ac:dyDescent="0.3">
      <c r="A94" s="2">
        <f>IF(Caja_Operativa[[#This Row],[TIPO DE R.]]="R",COUNTIFS($C$1:$C93,"R")+1,"")</f>
        <v>93</v>
      </c>
      <c r="B94" s="19" t="str">
        <f t="shared" si="9"/>
        <v>C-Operativa</v>
      </c>
      <c r="C94" s="3" t="s">
        <v>1330</v>
      </c>
      <c r="D94" s="14">
        <v>45707</v>
      </c>
      <c r="E94" s="5" t="s">
        <v>1335</v>
      </c>
      <c r="F94" s="5" t="s">
        <v>1336</v>
      </c>
      <c r="G94" s="6"/>
      <c r="H94" s="6"/>
      <c r="I94" s="6"/>
      <c r="J94" s="6"/>
      <c r="K94" s="7" t="s">
        <v>5061</v>
      </c>
      <c r="L94" s="8"/>
      <c r="M94" s="8" t="str">
        <f t="shared" si="10"/>
        <v>PEN</v>
      </c>
      <c r="N94" s="13"/>
      <c r="O94" s="13">
        <v>0.2</v>
      </c>
      <c r="P94" s="3">
        <f t="shared" si="11"/>
        <v>0</v>
      </c>
      <c r="Q94" s="3">
        <f t="shared" si="12"/>
        <v>0.2</v>
      </c>
      <c r="R94" s="3">
        <f t="shared" si="8"/>
        <v>3999.8</v>
      </c>
      <c r="S94" s="24"/>
      <c r="T94" s="24"/>
      <c r="U94" s="55"/>
      <c r="V94" s="25"/>
      <c r="W94" s="25"/>
      <c r="X94" s="25"/>
      <c r="Y94" s="25"/>
      <c r="Z94" s="25"/>
      <c r="AA94" s="3" t="str">
        <f>IF(Caja_Operativa[[#This Row],[FECHA]]&gt;0,TEXT(Caja_Operativa[[#This Row],[FECHA]],"mmmm"),0)</f>
        <v>Febrero</v>
      </c>
    </row>
    <row r="95" spans="1:27" ht="24" x14ac:dyDescent="0.3">
      <c r="A95" s="2">
        <f>IF(Caja_Operativa[[#This Row],[TIPO DE R.]]="R",COUNTIFS($C$1:$C94,"R")+1,"")</f>
        <v>94</v>
      </c>
      <c r="B95" s="19" t="str">
        <f t="shared" si="9"/>
        <v>C-Operativa</v>
      </c>
      <c r="C95" s="3" t="s">
        <v>1330</v>
      </c>
      <c r="D95" s="14">
        <v>45707</v>
      </c>
      <c r="E95" s="5" t="s">
        <v>7514</v>
      </c>
      <c r="F95" s="5" t="s">
        <v>1336</v>
      </c>
      <c r="G95" s="6" t="s">
        <v>888</v>
      </c>
      <c r="H95" s="6"/>
      <c r="I95" s="6"/>
      <c r="J95" s="6"/>
      <c r="K95" s="7" t="s">
        <v>7566</v>
      </c>
      <c r="L95" s="8">
        <v>2328942</v>
      </c>
      <c r="M95" s="8" t="str">
        <f t="shared" si="10"/>
        <v>PEN</v>
      </c>
      <c r="N95" s="13"/>
      <c r="O95" s="13">
        <v>1000</v>
      </c>
      <c r="P95" s="3">
        <f t="shared" si="11"/>
        <v>0</v>
      </c>
      <c r="Q95" s="3">
        <f t="shared" si="12"/>
        <v>1000</v>
      </c>
      <c r="R95" s="3">
        <f t="shared" si="8"/>
        <v>2999.8</v>
      </c>
      <c r="S95" s="24" t="s">
        <v>1334</v>
      </c>
      <c r="T95" s="24" t="s">
        <v>1334</v>
      </c>
      <c r="U95" s="55"/>
      <c r="V95" s="25"/>
      <c r="W95" s="25"/>
      <c r="X95" s="25"/>
      <c r="Y95" s="25"/>
      <c r="Z95" s="25"/>
      <c r="AA95" s="3" t="str">
        <f>IF(Caja_Operativa[[#This Row],[FECHA]]&gt;0,TEXT(Caja_Operativa[[#This Row],[FECHA]],"mmmm"),0)</f>
        <v>Febrero</v>
      </c>
    </row>
    <row r="96" spans="1:27" ht="24" x14ac:dyDescent="0.3">
      <c r="A96" s="2">
        <f>IF(Caja_Operativa[[#This Row],[TIPO DE R.]]="R",COUNTIFS($C$1:$C95,"R")+1,"")</f>
        <v>95</v>
      </c>
      <c r="B96" s="19" t="str">
        <f t="shared" si="9"/>
        <v>C-Operativa</v>
      </c>
      <c r="C96" s="3" t="s">
        <v>1330</v>
      </c>
      <c r="D96" s="14">
        <v>45712</v>
      </c>
      <c r="E96" s="5" t="s">
        <v>7514</v>
      </c>
      <c r="F96" s="5" t="s">
        <v>1336</v>
      </c>
      <c r="G96" s="6" t="s">
        <v>692</v>
      </c>
      <c r="H96" s="6"/>
      <c r="I96" s="6"/>
      <c r="J96" s="6"/>
      <c r="K96" s="7" t="s">
        <v>7516</v>
      </c>
      <c r="L96" s="8">
        <v>2346708</v>
      </c>
      <c r="M96" s="8" t="str">
        <f t="shared" si="10"/>
        <v>PEN</v>
      </c>
      <c r="N96" s="13"/>
      <c r="O96" s="13">
        <v>70</v>
      </c>
      <c r="P96" s="3">
        <f t="shared" si="11"/>
        <v>0</v>
      </c>
      <c r="Q96" s="3">
        <f t="shared" si="12"/>
        <v>70</v>
      </c>
      <c r="R96" s="3">
        <f t="shared" si="8"/>
        <v>2929.8</v>
      </c>
      <c r="S96" s="24" t="s">
        <v>1334</v>
      </c>
      <c r="T96" s="24" t="s">
        <v>1334</v>
      </c>
      <c r="U96" s="55"/>
      <c r="V96" s="25"/>
      <c r="W96" s="25"/>
      <c r="X96" s="25"/>
      <c r="Y96" s="25"/>
      <c r="Z96" s="25"/>
      <c r="AA96" s="3" t="str">
        <f>IF(Caja_Operativa[[#This Row],[FECHA]]&gt;0,TEXT(Caja_Operativa[[#This Row],[FECHA]],"mmmm"),0)</f>
        <v>Febrero</v>
      </c>
    </row>
    <row r="97" spans="1:27" ht="24" x14ac:dyDescent="0.3">
      <c r="A97" s="2">
        <f>IF(Caja_Operativa[[#This Row],[TIPO DE R.]]="R",COUNTIFS($C$1:$C96,"R")+1,"")</f>
        <v>96</v>
      </c>
      <c r="B97" s="19" t="str">
        <f t="shared" si="9"/>
        <v>C-Operativa</v>
      </c>
      <c r="C97" s="3" t="s">
        <v>1330</v>
      </c>
      <c r="D97" s="14">
        <v>45712</v>
      </c>
      <c r="E97" s="5" t="s">
        <v>7514</v>
      </c>
      <c r="F97" s="5" t="s">
        <v>1336</v>
      </c>
      <c r="G97" s="6" t="s">
        <v>957</v>
      </c>
      <c r="H97" s="6"/>
      <c r="I97" s="6"/>
      <c r="J97" s="6"/>
      <c r="K97" s="7" t="s">
        <v>7516</v>
      </c>
      <c r="L97" s="8">
        <v>2555800</v>
      </c>
      <c r="M97" s="8" t="str">
        <f t="shared" si="10"/>
        <v>PEN</v>
      </c>
      <c r="N97" s="13"/>
      <c r="O97" s="13">
        <v>180</v>
      </c>
      <c r="P97" s="3">
        <f t="shared" si="11"/>
        <v>0</v>
      </c>
      <c r="Q97" s="3">
        <f t="shared" si="12"/>
        <v>180</v>
      </c>
      <c r="R97" s="3">
        <f t="shared" si="8"/>
        <v>2749.8</v>
      </c>
      <c r="S97" s="24" t="s">
        <v>1334</v>
      </c>
      <c r="T97" s="24" t="s">
        <v>1334</v>
      </c>
      <c r="U97" s="55"/>
      <c r="V97" s="25"/>
      <c r="W97" s="25"/>
      <c r="X97" s="25"/>
      <c r="Y97" s="25"/>
      <c r="Z97" s="25"/>
      <c r="AA97" s="3" t="str">
        <f>IF(Caja_Operativa[[#This Row],[FECHA]]&gt;0,TEXT(Caja_Operativa[[#This Row],[FECHA]],"mmmm"),0)</f>
        <v>Febrero</v>
      </c>
    </row>
    <row r="98" spans="1:27" ht="24" x14ac:dyDescent="0.3">
      <c r="A98" s="2">
        <f>IF(Caja_Operativa[[#This Row],[TIPO DE R.]]="R",COUNTIFS($C$1:$C97,"R")+1,"")</f>
        <v>97</v>
      </c>
      <c r="B98" s="19" t="str">
        <f t="shared" si="9"/>
        <v>C-Operativa</v>
      </c>
      <c r="C98" s="3" t="s">
        <v>1330</v>
      </c>
      <c r="D98" s="14">
        <v>45713</v>
      </c>
      <c r="E98" s="5" t="s">
        <v>7514</v>
      </c>
      <c r="F98" s="5" t="s">
        <v>1336</v>
      </c>
      <c r="G98" s="6" t="s">
        <v>829</v>
      </c>
      <c r="H98" s="6"/>
      <c r="I98" s="6"/>
      <c r="J98" s="6"/>
      <c r="K98" s="7" t="s">
        <v>7516</v>
      </c>
      <c r="L98" s="8">
        <v>3110625</v>
      </c>
      <c r="M98" s="8" t="str">
        <f t="shared" si="10"/>
        <v>PEN</v>
      </c>
      <c r="N98" s="13"/>
      <c r="O98" s="13">
        <v>100</v>
      </c>
      <c r="P98" s="3">
        <f t="shared" si="11"/>
        <v>0</v>
      </c>
      <c r="Q98" s="3">
        <f t="shared" si="12"/>
        <v>100</v>
      </c>
      <c r="R98" s="3">
        <f t="shared" si="8"/>
        <v>2649.8</v>
      </c>
      <c r="S98" s="24" t="s">
        <v>1334</v>
      </c>
      <c r="T98" s="24" t="s">
        <v>1334</v>
      </c>
      <c r="U98" s="55"/>
      <c r="V98" s="25"/>
      <c r="W98" s="25"/>
      <c r="X98" s="25"/>
      <c r="Y98" s="25"/>
      <c r="Z98" s="25"/>
      <c r="AA98" s="3" t="str">
        <f>IF(Caja_Operativa[[#This Row],[FECHA]]&gt;0,TEXT(Caja_Operativa[[#This Row],[FECHA]],"mmmm"),0)</f>
        <v>Febrero</v>
      </c>
    </row>
    <row r="99" spans="1:27" ht="24" x14ac:dyDescent="0.3">
      <c r="A99" s="2">
        <f>IF(Caja_Operativa[[#This Row],[TIPO DE R.]]="R",COUNTIFS($C$1:$C98,"R")+1,"")</f>
        <v>98</v>
      </c>
      <c r="B99" s="19" t="str">
        <f t="shared" si="9"/>
        <v>C-Operativa</v>
      </c>
      <c r="C99" s="3" t="s">
        <v>1330</v>
      </c>
      <c r="D99" s="14">
        <v>45714</v>
      </c>
      <c r="E99" s="5" t="s">
        <v>7514</v>
      </c>
      <c r="F99" s="5" t="s">
        <v>1336</v>
      </c>
      <c r="G99" s="6" t="s">
        <v>1019</v>
      </c>
      <c r="H99" s="6"/>
      <c r="I99" s="6"/>
      <c r="J99" s="6"/>
      <c r="K99" s="7" t="s">
        <v>7516</v>
      </c>
      <c r="L99" s="8">
        <v>3166401</v>
      </c>
      <c r="M99" s="8" t="str">
        <f t="shared" si="10"/>
        <v>PEN</v>
      </c>
      <c r="N99" s="13"/>
      <c r="O99" s="13">
        <v>200</v>
      </c>
      <c r="P99" s="3">
        <f t="shared" si="11"/>
        <v>0</v>
      </c>
      <c r="Q99" s="3">
        <f t="shared" si="12"/>
        <v>200</v>
      </c>
      <c r="R99" s="3">
        <f t="shared" si="8"/>
        <v>2449.8000000000002</v>
      </c>
      <c r="S99" s="24" t="s">
        <v>1334</v>
      </c>
      <c r="T99" s="24" t="s">
        <v>1334</v>
      </c>
      <c r="U99" s="55"/>
      <c r="V99" s="25"/>
      <c r="W99" s="25"/>
      <c r="X99" s="25"/>
      <c r="Y99" s="25"/>
      <c r="Z99" s="25"/>
      <c r="AA99" s="3" t="str">
        <f>IF(Caja_Operativa[[#This Row],[FECHA]]&gt;0,TEXT(Caja_Operativa[[#This Row],[FECHA]],"mmmm"),0)</f>
        <v>Febrero</v>
      </c>
    </row>
    <row r="100" spans="1:27" ht="24" x14ac:dyDescent="0.3">
      <c r="A100" s="2">
        <f>IF(Caja_Operativa[[#This Row],[TIPO DE R.]]="R",COUNTIFS($C$1:$C99,"R")+1,"")</f>
        <v>99</v>
      </c>
      <c r="B100" s="19" t="str">
        <f t="shared" si="9"/>
        <v>C-Operativa</v>
      </c>
      <c r="C100" s="3" t="s">
        <v>1330</v>
      </c>
      <c r="D100" s="14">
        <v>45720</v>
      </c>
      <c r="E100" s="5" t="s">
        <v>7514</v>
      </c>
      <c r="F100" s="5" t="s">
        <v>1336</v>
      </c>
      <c r="G100" s="6" t="s">
        <v>829</v>
      </c>
      <c r="H100" s="6"/>
      <c r="I100" s="6"/>
      <c r="J100" s="6"/>
      <c r="K100" s="7" t="s">
        <v>7516</v>
      </c>
      <c r="L100" s="8">
        <v>3482026</v>
      </c>
      <c r="M100" s="8" t="str">
        <f t="shared" si="10"/>
        <v>PEN</v>
      </c>
      <c r="N100" s="13"/>
      <c r="O100" s="13">
        <v>100</v>
      </c>
      <c r="P100" s="3">
        <f t="shared" si="11"/>
        <v>0</v>
      </c>
      <c r="Q100" s="3">
        <f t="shared" si="12"/>
        <v>100</v>
      </c>
      <c r="R100" s="3">
        <f t="shared" si="8"/>
        <v>2349.8000000000002</v>
      </c>
      <c r="S100" s="24" t="s">
        <v>1334</v>
      </c>
      <c r="T100" s="24" t="s">
        <v>1334</v>
      </c>
      <c r="U100" s="55"/>
      <c r="V100" s="25"/>
      <c r="W100" s="25"/>
      <c r="X100" s="25"/>
      <c r="Y100" s="25"/>
      <c r="Z100" s="25"/>
      <c r="AA100" s="3" t="str">
        <f>IF(Caja_Operativa[[#This Row],[FECHA]]&gt;0,TEXT(Caja_Operativa[[#This Row],[FECHA]],"mmmm"),0)</f>
        <v>Marzo</v>
      </c>
    </row>
    <row r="101" spans="1:27" x14ac:dyDescent="0.3">
      <c r="A101" s="2">
        <f>IF(Caja_Operativa[[#This Row],[TIPO DE R.]]="R",COUNTIFS($C$1:$C100,"R")+1,"")</f>
        <v>100</v>
      </c>
      <c r="B101" s="19" t="str">
        <f t="shared" si="9"/>
        <v>C-Operativa</v>
      </c>
      <c r="C101" s="3" t="s">
        <v>1330</v>
      </c>
      <c r="D101" s="14">
        <v>45720</v>
      </c>
      <c r="E101" s="5" t="s">
        <v>7514</v>
      </c>
      <c r="F101" s="5" t="s">
        <v>1336</v>
      </c>
      <c r="G101" s="6" t="s">
        <v>876</v>
      </c>
      <c r="H101" s="6"/>
      <c r="I101" s="6"/>
      <c r="J101" s="6"/>
      <c r="K101" s="7" t="s">
        <v>7516</v>
      </c>
      <c r="L101" s="8">
        <v>3485245</v>
      </c>
      <c r="M101" s="8" t="str">
        <f t="shared" si="10"/>
        <v>PEN</v>
      </c>
      <c r="N101" s="13"/>
      <c r="O101" s="13">
        <v>50</v>
      </c>
      <c r="P101" s="3">
        <f t="shared" si="11"/>
        <v>0</v>
      </c>
      <c r="Q101" s="3">
        <f t="shared" si="12"/>
        <v>50</v>
      </c>
      <c r="R101" s="3">
        <f t="shared" si="8"/>
        <v>2299.8000000000002</v>
      </c>
      <c r="S101" s="24" t="s">
        <v>1334</v>
      </c>
      <c r="T101" s="24" t="s">
        <v>1334</v>
      </c>
      <c r="U101" s="55"/>
      <c r="V101" s="25"/>
      <c r="W101" s="25"/>
      <c r="X101" s="25"/>
      <c r="Y101" s="25"/>
      <c r="Z101" s="25"/>
      <c r="AA101" s="3" t="str">
        <f>IF(Caja_Operativa[[#This Row],[FECHA]]&gt;0,TEXT(Caja_Operativa[[#This Row],[FECHA]],"mmmm"),0)</f>
        <v>Marzo</v>
      </c>
    </row>
    <row r="102" spans="1:27" ht="24" x14ac:dyDescent="0.3">
      <c r="A102" s="2">
        <f>IF(Caja_Operativa[[#This Row],[TIPO DE R.]]="R",COUNTIFS($C$1:$C101,"R")+1,"")</f>
        <v>101</v>
      </c>
      <c r="B102" s="19" t="str">
        <f t="shared" si="9"/>
        <v>C-Operativa</v>
      </c>
      <c r="C102" s="3" t="s">
        <v>1330</v>
      </c>
      <c r="D102" s="14">
        <v>45720</v>
      </c>
      <c r="E102" s="5" t="s">
        <v>7514</v>
      </c>
      <c r="F102" s="5" t="s">
        <v>1336</v>
      </c>
      <c r="G102" s="6" t="s">
        <v>957</v>
      </c>
      <c r="H102" s="6"/>
      <c r="I102" s="6"/>
      <c r="J102" s="6"/>
      <c r="K102" s="7" t="s">
        <v>7516</v>
      </c>
      <c r="L102" s="8">
        <v>3476543</v>
      </c>
      <c r="M102" s="8" t="str">
        <f t="shared" si="10"/>
        <v>PEN</v>
      </c>
      <c r="N102" s="13"/>
      <c r="O102" s="13">
        <v>100</v>
      </c>
      <c r="P102" s="3">
        <f t="shared" si="11"/>
        <v>0</v>
      </c>
      <c r="Q102" s="3">
        <f t="shared" si="12"/>
        <v>100</v>
      </c>
      <c r="R102" s="3">
        <f t="shared" si="8"/>
        <v>2199.8000000000002</v>
      </c>
      <c r="S102" s="24" t="s">
        <v>1334</v>
      </c>
      <c r="T102" s="24" t="s">
        <v>1334</v>
      </c>
      <c r="U102" s="55"/>
      <c r="V102" s="25"/>
      <c r="W102" s="25"/>
      <c r="X102" s="25"/>
      <c r="Y102" s="25"/>
      <c r="Z102" s="25"/>
      <c r="AA102" s="3" t="str">
        <f>IF(Caja_Operativa[[#This Row],[FECHA]]&gt;0,TEXT(Caja_Operativa[[#This Row],[FECHA]],"mmmm"),0)</f>
        <v>Marzo</v>
      </c>
    </row>
    <row r="103" spans="1:27" ht="24" x14ac:dyDescent="0.3">
      <c r="A103" s="2">
        <f>IF(Caja_Operativa[[#This Row],[TIPO DE R.]]="R",COUNTIFS($C$1:$C102,"R")+1,"")</f>
        <v>102</v>
      </c>
      <c r="B103" s="19" t="str">
        <f t="shared" si="9"/>
        <v>C-Operativa</v>
      </c>
      <c r="C103" s="3" t="s">
        <v>1330</v>
      </c>
      <c r="D103" s="14">
        <v>45720</v>
      </c>
      <c r="E103" s="5" t="s">
        <v>7514</v>
      </c>
      <c r="F103" s="5" t="s">
        <v>1336</v>
      </c>
      <c r="G103" s="6" t="s">
        <v>1019</v>
      </c>
      <c r="H103" s="6"/>
      <c r="I103" s="6"/>
      <c r="J103" s="6"/>
      <c r="K103" s="7" t="s">
        <v>7516</v>
      </c>
      <c r="L103" s="8">
        <v>3540060</v>
      </c>
      <c r="M103" s="8" t="str">
        <f t="shared" si="10"/>
        <v>PEN</v>
      </c>
      <c r="N103" s="13"/>
      <c r="O103" s="13">
        <v>100</v>
      </c>
      <c r="P103" s="3">
        <f t="shared" si="11"/>
        <v>0</v>
      </c>
      <c r="Q103" s="3">
        <f t="shared" si="12"/>
        <v>100</v>
      </c>
      <c r="R103" s="3">
        <f t="shared" si="8"/>
        <v>2099.8000000000002</v>
      </c>
      <c r="S103" s="24" t="s">
        <v>1334</v>
      </c>
      <c r="T103" s="24" t="s">
        <v>1334</v>
      </c>
      <c r="U103" s="55"/>
      <c r="V103" s="25"/>
      <c r="W103" s="25"/>
      <c r="X103" s="25"/>
      <c r="Y103" s="25"/>
      <c r="Z103" s="25"/>
      <c r="AA103" s="3" t="str">
        <f>IF(Caja_Operativa[[#This Row],[FECHA]]&gt;0,TEXT(Caja_Operativa[[#This Row],[FECHA]],"mmmm"),0)</f>
        <v>Marzo</v>
      </c>
    </row>
    <row r="104" spans="1:27" ht="60" x14ac:dyDescent="0.3">
      <c r="A104" s="2">
        <f>IF(Caja_Operativa[[#This Row],[TIPO DE R.]]="R",COUNTIFS($C$1:$C103,"R")+1,"")</f>
        <v>103</v>
      </c>
      <c r="B104" s="19" t="str">
        <f t="shared" si="9"/>
        <v>C-Operativa</v>
      </c>
      <c r="C104" s="3" t="s">
        <v>1330</v>
      </c>
      <c r="D104" s="14">
        <v>45720</v>
      </c>
      <c r="E104" s="5" t="s">
        <v>7514</v>
      </c>
      <c r="F104" s="5" t="s">
        <v>1336</v>
      </c>
      <c r="G104" s="6"/>
      <c r="H104" s="6"/>
      <c r="I104" s="6"/>
      <c r="J104" s="6"/>
      <c r="K104" s="7" t="s">
        <v>7568</v>
      </c>
      <c r="L104" s="8">
        <v>3514353</v>
      </c>
      <c r="M104" s="8" t="str">
        <f t="shared" si="10"/>
        <v>PEN</v>
      </c>
      <c r="N104" s="13"/>
      <c r="O104" s="13">
        <v>8</v>
      </c>
      <c r="P104" s="3">
        <f t="shared" si="11"/>
        <v>0</v>
      </c>
      <c r="Q104" s="3">
        <f t="shared" si="12"/>
        <v>8</v>
      </c>
      <c r="R104" s="3">
        <f t="shared" si="8"/>
        <v>2091.8000000000002</v>
      </c>
      <c r="S104" s="24"/>
      <c r="T104" s="24"/>
      <c r="U104" s="55"/>
      <c r="V104" s="25" t="s">
        <v>7519</v>
      </c>
      <c r="W104" s="25"/>
      <c r="X104" s="25"/>
      <c r="Y104" s="25"/>
      <c r="Z104" s="25"/>
      <c r="AA104" s="3" t="str">
        <f>IF(Caja_Operativa[[#This Row],[FECHA]]&gt;0,TEXT(Caja_Operativa[[#This Row],[FECHA]],"mmmm"),0)</f>
        <v>Marzo</v>
      </c>
    </row>
    <row r="105" spans="1:27" ht="60" x14ac:dyDescent="0.3">
      <c r="A105" s="2">
        <f>IF(Caja_Operativa[[#This Row],[TIPO DE R.]]="R",COUNTIFS($C$1:$C104,"R")+1,"")</f>
        <v>104</v>
      </c>
      <c r="B105" s="19" t="str">
        <f t="shared" si="9"/>
        <v>C-Operativa</v>
      </c>
      <c r="C105" s="3" t="s">
        <v>1330</v>
      </c>
      <c r="D105" s="14">
        <v>45720</v>
      </c>
      <c r="E105" s="5" t="s">
        <v>7514</v>
      </c>
      <c r="F105" s="5" t="s">
        <v>1336</v>
      </c>
      <c r="G105" s="6"/>
      <c r="H105" s="6"/>
      <c r="I105" s="6"/>
      <c r="J105" s="6"/>
      <c r="K105" s="7" t="s">
        <v>7569</v>
      </c>
      <c r="L105" s="8">
        <v>3514934</v>
      </c>
      <c r="M105" s="8" t="str">
        <f t="shared" si="10"/>
        <v>PEN</v>
      </c>
      <c r="N105" s="13"/>
      <c r="O105" s="13">
        <v>8</v>
      </c>
      <c r="P105" s="3">
        <f t="shared" si="11"/>
        <v>0</v>
      </c>
      <c r="Q105" s="3">
        <f t="shared" si="12"/>
        <v>8</v>
      </c>
      <c r="R105" s="3">
        <f t="shared" si="8"/>
        <v>2083.8000000000002</v>
      </c>
      <c r="S105" s="24"/>
      <c r="T105" s="24"/>
      <c r="U105" s="55"/>
      <c r="V105" s="25" t="s">
        <v>7519</v>
      </c>
      <c r="W105" s="25"/>
      <c r="X105" s="25"/>
      <c r="Y105" s="25"/>
      <c r="Z105" s="25"/>
      <c r="AA105" s="3" t="str">
        <f>IF(Caja_Operativa[[#This Row],[FECHA]]&gt;0,TEXT(Caja_Operativa[[#This Row],[FECHA]],"mmmm"),0)</f>
        <v>Marzo</v>
      </c>
    </row>
    <row r="106" spans="1:27" ht="60" x14ac:dyDescent="0.3">
      <c r="A106" s="2">
        <f>IF(Caja_Operativa[[#This Row],[TIPO DE R.]]="R",COUNTIFS($C$1:$C105,"R")+1,"")</f>
        <v>105</v>
      </c>
      <c r="B106" s="19" t="str">
        <f t="shared" si="9"/>
        <v>C-Operativa</v>
      </c>
      <c r="C106" s="3" t="s">
        <v>1330</v>
      </c>
      <c r="D106" s="14">
        <v>45720</v>
      </c>
      <c r="E106" s="5" t="s">
        <v>7514</v>
      </c>
      <c r="F106" s="5" t="s">
        <v>1336</v>
      </c>
      <c r="G106" s="6"/>
      <c r="H106" s="6"/>
      <c r="I106" s="6"/>
      <c r="J106" s="6"/>
      <c r="K106" s="7" t="s">
        <v>7570</v>
      </c>
      <c r="L106" s="8">
        <v>3512922</v>
      </c>
      <c r="M106" s="8" t="str">
        <f t="shared" si="10"/>
        <v>PEN</v>
      </c>
      <c r="N106" s="13"/>
      <c r="O106" s="13">
        <v>8</v>
      </c>
      <c r="P106" s="3">
        <f t="shared" si="11"/>
        <v>0</v>
      </c>
      <c r="Q106" s="3">
        <f t="shared" si="12"/>
        <v>8</v>
      </c>
      <c r="R106" s="3">
        <f t="shared" si="8"/>
        <v>2075.8000000000002</v>
      </c>
      <c r="S106" s="24"/>
      <c r="T106" s="24"/>
      <c r="U106" s="55"/>
      <c r="V106" s="25" t="s">
        <v>7519</v>
      </c>
      <c r="W106" s="25"/>
      <c r="X106" s="25"/>
      <c r="Y106" s="25"/>
      <c r="Z106" s="25"/>
      <c r="AA106" s="3" t="str">
        <f>IF(Caja_Operativa[[#This Row],[FECHA]]&gt;0,TEXT(Caja_Operativa[[#This Row],[FECHA]],"mmmm"),0)</f>
        <v>Marzo</v>
      </c>
    </row>
    <row r="107" spans="1:27" ht="60" x14ac:dyDescent="0.3">
      <c r="A107" s="2">
        <f>IF(Caja_Operativa[[#This Row],[TIPO DE R.]]="R",COUNTIFS($C$1:$C106,"R")+1,"")</f>
        <v>106</v>
      </c>
      <c r="B107" s="19" t="str">
        <f t="shared" si="9"/>
        <v>C-Operativa</v>
      </c>
      <c r="C107" s="3" t="s">
        <v>1330</v>
      </c>
      <c r="D107" s="14">
        <v>45720</v>
      </c>
      <c r="E107" s="5" t="s">
        <v>7514</v>
      </c>
      <c r="F107" s="5" t="s">
        <v>1336</v>
      </c>
      <c r="G107" s="6"/>
      <c r="H107" s="6"/>
      <c r="I107" s="6"/>
      <c r="J107" s="6"/>
      <c r="K107" s="7" t="s">
        <v>7571</v>
      </c>
      <c r="L107" s="8">
        <v>3539822</v>
      </c>
      <c r="M107" s="8" t="str">
        <f t="shared" si="10"/>
        <v>PEN</v>
      </c>
      <c r="N107" s="13"/>
      <c r="O107" s="13">
        <v>25</v>
      </c>
      <c r="P107" s="3">
        <f t="shared" si="11"/>
        <v>0</v>
      </c>
      <c r="Q107" s="3">
        <f t="shared" si="12"/>
        <v>25</v>
      </c>
      <c r="R107" s="3">
        <f t="shared" si="8"/>
        <v>2050.8000000000002</v>
      </c>
      <c r="S107" s="24"/>
      <c r="T107" s="24"/>
      <c r="U107" s="55"/>
      <c r="V107" s="25" t="s">
        <v>7519</v>
      </c>
      <c r="W107" s="25"/>
      <c r="X107" s="25"/>
      <c r="Y107" s="25"/>
      <c r="Z107" s="25"/>
      <c r="AA107" s="3" t="str">
        <f>IF(Caja_Operativa[[#This Row],[FECHA]]&gt;0,TEXT(Caja_Operativa[[#This Row],[FECHA]],"mmmm"),0)</f>
        <v>Marzo</v>
      </c>
    </row>
    <row r="108" spans="1:27" ht="60" x14ac:dyDescent="0.3">
      <c r="A108" s="2">
        <f>IF(Caja_Operativa[[#This Row],[TIPO DE R.]]="R",COUNTIFS($C$1:$C107,"R")+1,"")</f>
        <v>107</v>
      </c>
      <c r="B108" s="19" t="str">
        <f t="shared" si="9"/>
        <v>C-Operativa</v>
      </c>
      <c r="C108" s="3" t="s">
        <v>1330</v>
      </c>
      <c r="D108" s="14">
        <v>45720</v>
      </c>
      <c r="E108" s="5" t="s">
        <v>7514</v>
      </c>
      <c r="F108" s="5" t="s">
        <v>1336</v>
      </c>
      <c r="G108" s="6"/>
      <c r="H108" s="6"/>
      <c r="I108" s="6"/>
      <c r="J108" s="6"/>
      <c r="K108" s="7" t="s">
        <v>7572</v>
      </c>
      <c r="L108" s="8">
        <v>3582499</v>
      </c>
      <c r="M108" s="8" t="str">
        <f t="shared" si="10"/>
        <v>PEN</v>
      </c>
      <c r="N108" s="13"/>
      <c r="O108" s="13">
        <v>8</v>
      </c>
      <c r="P108" s="3">
        <f t="shared" si="11"/>
        <v>0</v>
      </c>
      <c r="Q108" s="3">
        <f t="shared" si="12"/>
        <v>8</v>
      </c>
      <c r="R108" s="3">
        <f t="shared" si="8"/>
        <v>2042.8000000000002</v>
      </c>
      <c r="S108" s="24"/>
      <c r="T108" s="24"/>
      <c r="U108" s="55"/>
      <c r="V108" s="25" t="s">
        <v>7519</v>
      </c>
      <c r="W108" s="25"/>
      <c r="X108" s="25"/>
      <c r="Y108" s="25"/>
      <c r="Z108" s="25"/>
      <c r="AA108" s="3" t="str">
        <f>IF(Caja_Operativa[[#This Row],[FECHA]]&gt;0,TEXT(Caja_Operativa[[#This Row],[FECHA]],"mmmm"),0)</f>
        <v>Marzo</v>
      </c>
    </row>
    <row r="109" spans="1:27" ht="60" x14ac:dyDescent="0.3">
      <c r="A109" s="2">
        <f>IF(Caja_Operativa[[#This Row],[TIPO DE R.]]="R",COUNTIFS($C$1:$C108,"R")+1,"")</f>
        <v>108</v>
      </c>
      <c r="B109" s="19" t="str">
        <f t="shared" si="9"/>
        <v>C-Operativa</v>
      </c>
      <c r="C109" s="3" t="s">
        <v>1330</v>
      </c>
      <c r="D109" s="14">
        <v>45720</v>
      </c>
      <c r="E109" s="5" t="s">
        <v>7514</v>
      </c>
      <c r="F109" s="5" t="s">
        <v>1336</v>
      </c>
      <c r="G109" s="6"/>
      <c r="H109" s="6"/>
      <c r="I109" s="6"/>
      <c r="J109" s="6"/>
      <c r="K109" s="7" t="s">
        <v>7573</v>
      </c>
      <c r="L109" s="8">
        <v>3574213</v>
      </c>
      <c r="M109" s="8" t="str">
        <f t="shared" si="10"/>
        <v>PEN</v>
      </c>
      <c r="N109" s="13"/>
      <c r="O109" s="13">
        <v>30</v>
      </c>
      <c r="P109" s="3">
        <f t="shared" si="11"/>
        <v>0</v>
      </c>
      <c r="Q109" s="3">
        <f t="shared" si="12"/>
        <v>30</v>
      </c>
      <c r="R109" s="3">
        <f t="shared" si="8"/>
        <v>2012.8000000000002</v>
      </c>
      <c r="S109" s="24"/>
      <c r="T109" s="24"/>
      <c r="U109" s="55"/>
      <c r="V109" s="25" t="s">
        <v>7519</v>
      </c>
      <c r="W109" s="25"/>
      <c r="X109" s="25"/>
      <c r="Y109" s="25"/>
      <c r="Z109" s="25"/>
      <c r="AA109" s="3" t="str">
        <f>IF(Caja_Operativa[[#This Row],[FECHA]]&gt;0,TEXT(Caja_Operativa[[#This Row],[FECHA]],"mmmm"),0)</f>
        <v>Marzo</v>
      </c>
    </row>
    <row r="110" spans="1:27" ht="60" x14ac:dyDescent="0.3">
      <c r="A110" s="2">
        <f>IF(Caja_Operativa[[#This Row],[TIPO DE R.]]="R",COUNTIFS($C$1:$C109,"R")+1,"")</f>
        <v>109</v>
      </c>
      <c r="B110" s="19" t="str">
        <f t="shared" si="9"/>
        <v>C-Operativa</v>
      </c>
      <c r="C110" s="3" t="s">
        <v>1330</v>
      </c>
      <c r="D110" s="14">
        <v>45720</v>
      </c>
      <c r="E110" s="5" t="s">
        <v>7514</v>
      </c>
      <c r="F110" s="5" t="s">
        <v>1336</v>
      </c>
      <c r="G110" s="6"/>
      <c r="H110" s="6"/>
      <c r="I110" s="6"/>
      <c r="J110" s="6"/>
      <c r="K110" s="7" t="s">
        <v>7574</v>
      </c>
      <c r="L110" s="8">
        <v>3595352</v>
      </c>
      <c r="M110" s="8" t="str">
        <f t="shared" si="10"/>
        <v>PEN</v>
      </c>
      <c r="N110" s="13"/>
      <c r="O110" s="13">
        <v>8</v>
      </c>
      <c r="P110" s="3">
        <f t="shared" si="11"/>
        <v>0</v>
      </c>
      <c r="Q110" s="3">
        <f t="shared" si="12"/>
        <v>8</v>
      </c>
      <c r="R110" s="3">
        <f t="shared" si="8"/>
        <v>2004.8000000000002</v>
      </c>
      <c r="S110" s="24"/>
      <c r="T110" s="24"/>
      <c r="U110" s="55"/>
      <c r="V110" s="25" t="s">
        <v>7519</v>
      </c>
      <c r="W110" s="25"/>
      <c r="X110" s="25"/>
      <c r="Y110" s="25"/>
      <c r="Z110" s="25"/>
      <c r="AA110" s="3" t="str">
        <f>IF(Caja_Operativa[[#This Row],[FECHA]]&gt;0,TEXT(Caja_Operativa[[#This Row],[FECHA]],"mmmm"),0)</f>
        <v>Marzo</v>
      </c>
    </row>
    <row r="111" spans="1:27" ht="60" x14ac:dyDescent="0.3">
      <c r="A111" s="2">
        <f>IF(Caja_Operativa[[#This Row],[TIPO DE R.]]="R",COUNTIFS($C$1:$C110,"R")+1,"")</f>
        <v>110</v>
      </c>
      <c r="B111" s="19" t="str">
        <f t="shared" si="9"/>
        <v>C-Operativa</v>
      </c>
      <c r="C111" s="3" t="s">
        <v>1330</v>
      </c>
      <c r="D111" s="14">
        <v>45720</v>
      </c>
      <c r="E111" s="5" t="s">
        <v>7514</v>
      </c>
      <c r="F111" s="5" t="s">
        <v>1336</v>
      </c>
      <c r="G111" s="6"/>
      <c r="H111" s="6"/>
      <c r="I111" s="6"/>
      <c r="J111" s="6"/>
      <c r="K111" s="7" t="s">
        <v>7575</v>
      </c>
      <c r="L111" s="8">
        <v>3578515</v>
      </c>
      <c r="M111" s="8" t="str">
        <f t="shared" si="10"/>
        <v>PEN</v>
      </c>
      <c r="N111" s="13"/>
      <c r="O111" s="13">
        <v>8</v>
      </c>
      <c r="P111" s="3">
        <f t="shared" si="11"/>
        <v>0</v>
      </c>
      <c r="Q111" s="3">
        <f t="shared" si="12"/>
        <v>8</v>
      </c>
      <c r="R111" s="3">
        <f t="shared" si="8"/>
        <v>1996.8000000000002</v>
      </c>
      <c r="S111" s="24"/>
      <c r="T111" s="24"/>
      <c r="U111" s="55"/>
      <c r="V111" s="25" t="s">
        <v>7519</v>
      </c>
      <c r="W111" s="25"/>
      <c r="X111" s="25"/>
      <c r="Y111" s="25"/>
      <c r="Z111" s="25"/>
      <c r="AA111" s="3" t="str">
        <f>IF(Caja_Operativa[[#This Row],[FECHA]]&gt;0,TEXT(Caja_Operativa[[#This Row],[FECHA]],"mmmm"),0)</f>
        <v>Marzo</v>
      </c>
    </row>
    <row r="112" spans="1:27" ht="60" x14ac:dyDescent="0.3">
      <c r="A112" s="2">
        <f>IF(Caja_Operativa[[#This Row],[TIPO DE R.]]="R",COUNTIFS($C$1:$C111,"R")+1,"")</f>
        <v>111</v>
      </c>
      <c r="B112" s="19" t="str">
        <f t="shared" si="9"/>
        <v>C-Operativa</v>
      </c>
      <c r="C112" s="3" t="s">
        <v>1330</v>
      </c>
      <c r="D112" s="14">
        <v>45720</v>
      </c>
      <c r="E112" s="5" t="s">
        <v>7514</v>
      </c>
      <c r="F112" s="5" t="s">
        <v>1336</v>
      </c>
      <c r="G112" s="6"/>
      <c r="H112" s="6"/>
      <c r="I112" s="6"/>
      <c r="J112" s="6"/>
      <c r="K112" s="7" t="s">
        <v>7576</v>
      </c>
      <c r="L112" s="8">
        <v>3615070</v>
      </c>
      <c r="M112" s="8" t="str">
        <f t="shared" si="10"/>
        <v>PEN</v>
      </c>
      <c r="N112" s="13"/>
      <c r="O112" s="13">
        <v>8</v>
      </c>
      <c r="P112" s="3">
        <f t="shared" si="11"/>
        <v>0</v>
      </c>
      <c r="Q112" s="3">
        <f t="shared" si="12"/>
        <v>8</v>
      </c>
      <c r="R112" s="3">
        <f t="shared" si="8"/>
        <v>1988.8000000000002</v>
      </c>
      <c r="S112" s="24"/>
      <c r="T112" s="24"/>
      <c r="U112" s="55"/>
      <c r="V112" s="25" t="s">
        <v>7519</v>
      </c>
      <c r="W112" s="25"/>
      <c r="X112" s="25"/>
      <c r="Y112" s="25"/>
      <c r="Z112" s="25"/>
      <c r="AA112" s="3" t="str">
        <f>IF(Caja_Operativa[[#This Row],[FECHA]]&gt;0,TEXT(Caja_Operativa[[#This Row],[FECHA]],"mmmm"),0)</f>
        <v>Marzo</v>
      </c>
    </row>
    <row r="113" spans="1:27" ht="60" x14ac:dyDescent="0.3">
      <c r="A113" s="2">
        <f>IF(Caja_Operativa[[#This Row],[TIPO DE R.]]="R",COUNTIFS($C$1:$C112,"R")+1,"")</f>
        <v>112</v>
      </c>
      <c r="B113" s="19" t="str">
        <f t="shared" si="9"/>
        <v>C-Operativa</v>
      </c>
      <c r="C113" s="3" t="s">
        <v>1330</v>
      </c>
      <c r="D113" s="14">
        <v>45720</v>
      </c>
      <c r="E113" s="5" t="s">
        <v>7514</v>
      </c>
      <c r="F113" s="5" t="s">
        <v>1336</v>
      </c>
      <c r="G113" s="6"/>
      <c r="H113" s="6"/>
      <c r="I113" s="6"/>
      <c r="J113" s="6"/>
      <c r="K113" s="7" t="s">
        <v>7577</v>
      </c>
      <c r="L113" s="8">
        <v>3621805</v>
      </c>
      <c r="M113" s="8" t="str">
        <f t="shared" si="10"/>
        <v>PEN</v>
      </c>
      <c r="N113" s="13"/>
      <c r="O113" s="13">
        <v>10</v>
      </c>
      <c r="P113" s="3">
        <f t="shared" si="11"/>
        <v>0</v>
      </c>
      <c r="Q113" s="3">
        <f t="shared" si="12"/>
        <v>10</v>
      </c>
      <c r="R113" s="3">
        <f t="shared" si="8"/>
        <v>1978.8000000000002</v>
      </c>
      <c r="S113" s="24"/>
      <c r="T113" s="24"/>
      <c r="U113" s="55"/>
      <c r="V113" s="25" t="s">
        <v>7519</v>
      </c>
      <c r="W113" s="25"/>
      <c r="X113" s="25"/>
      <c r="Y113" s="25"/>
      <c r="Z113" s="25"/>
      <c r="AA113" s="3" t="str">
        <f>IF(Caja_Operativa[[#This Row],[FECHA]]&gt;0,TEXT(Caja_Operativa[[#This Row],[FECHA]],"mmmm"),0)</f>
        <v>Marzo</v>
      </c>
    </row>
    <row r="114" spans="1:27" ht="60" x14ac:dyDescent="0.3">
      <c r="A114" s="2">
        <f>IF(Caja_Operativa[[#This Row],[TIPO DE R.]]="R",COUNTIFS($C$1:$C113,"R")+1,"")</f>
        <v>113</v>
      </c>
      <c r="B114" s="19" t="str">
        <f t="shared" si="9"/>
        <v>C-Operativa</v>
      </c>
      <c r="C114" s="3" t="s">
        <v>1330</v>
      </c>
      <c r="D114" s="14">
        <v>45720</v>
      </c>
      <c r="E114" s="5" t="s">
        <v>7514</v>
      </c>
      <c r="F114" s="5" t="s">
        <v>1336</v>
      </c>
      <c r="G114" s="6"/>
      <c r="H114" s="6"/>
      <c r="I114" s="6"/>
      <c r="J114" s="6"/>
      <c r="K114" s="7" t="s">
        <v>7578</v>
      </c>
      <c r="L114" s="8">
        <v>3628057</v>
      </c>
      <c r="M114" s="8" t="str">
        <f t="shared" si="10"/>
        <v>PEN</v>
      </c>
      <c r="N114" s="13"/>
      <c r="O114" s="13">
        <v>8</v>
      </c>
      <c r="P114" s="3">
        <f t="shared" si="11"/>
        <v>0</v>
      </c>
      <c r="Q114" s="3">
        <f t="shared" si="12"/>
        <v>8</v>
      </c>
      <c r="R114" s="3">
        <f t="shared" si="8"/>
        <v>1970.8000000000002</v>
      </c>
      <c r="S114" s="24"/>
      <c r="T114" s="24"/>
      <c r="U114" s="55"/>
      <c r="V114" s="25" t="s">
        <v>7519</v>
      </c>
      <c r="W114" s="25"/>
      <c r="X114" s="25"/>
      <c r="Y114" s="25"/>
      <c r="Z114" s="25"/>
      <c r="AA114" s="3" t="str">
        <f>IF(Caja_Operativa[[#This Row],[FECHA]]&gt;0,TEXT(Caja_Operativa[[#This Row],[FECHA]],"mmmm"),0)</f>
        <v>Marzo</v>
      </c>
    </row>
    <row r="115" spans="1:27" ht="60" x14ac:dyDescent="0.3">
      <c r="A115" s="2">
        <f>IF(Caja_Operativa[[#This Row],[TIPO DE R.]]="R",COUNTIFS($C$1:$C114,"R")+1,"")</f>
        <v>114</v>
      </c>
      <c r="B115" s="19" t="str">
        <f t="shared" si="9"/>
        <v>C-Operativa</v>
      </c>
      <c r="C115" s="3" t="s">
        <v>1330</v>
      </c>
      <c r="D115" s="14">
        <v>45720</v>
      </c>
      <c r="E115" s="5" t="s">
        <v>7514</v>
      </c>
      <c r="F115" s="5" t="s">
        <v>1336</v>
      </c>
      <c r="G115" s="6"/>
      <c r="H115" s="6"/>
      <c r="I115" s="6"/>
      <c r="J115" s="6"/>
      <c r="K115" s="7" t="s">
        <v>7579</v>
      </c>
      <c r="L115" s="8">
        <v>3648314</v>
      </c>
      <c r="M115" s="8" t="str">
        <f t="shared" si="10"/>
        <v>PEN</v>
      </c>
      <c r="N115" s="13"/>
      <c r="O115" s="13">
        <v>25</v>
      </c>
      <c r="P115" s="3">
        <f t="shared" si="11"/>
        <v>0</v>
      </c>
      <c r="Q115" s="3">
        <f t="shared" si="12"/>
        <v>25</v>
      </c>
      <c r="R115" s="3">
        <f t="shared" si="8"/>
        <v>1945.8000000000002</v>
      </c>
      <c r="S115" s="24"/>
      <c r="T115" s="24"/>
      <c r="U115" s="55"/>
      <c r="V115" s="25" t="s">
        <v>7519</v>
      </c>
      <c r="W115" s="25"/>
      <c r="X115" s="25"/>
      <c r="Y115" s="25"/>
      <c r="Z115" s="25"/>
      <c r="AA115" s="3" t="str">
        <f>IF(Caja_Operativa[[#This Row],[FECHA]]&gt;0,TEXT(Caja_Operativa[[#This Row],[FECHA]],"mmmm"),0)</f>
        <v>Marzo</v>
      </c>
    </row>
    <row r="116" spans="1:27" ht="60" x14ac:dyDescent="0.3">
      <c r="A116" s="2">
        <f>IF(Caja_Operativa[[#This Row],[TIPO DE R.]]="R",COUNTIFS($C$1:$C115,"R")+1,"")</f>
        <v>115</v>
      </c>
      <c r="B116" s="19" t="str">
        <f t="shared" si="9"/>
        <v>C-Operativa</v>
      </c>
      <c r="C116" s="3" t="s">
        <v>1330</v>
      </c>
      <c r="D116" s="14">
        <v>45721</v>
      </c>
      <c r="E116" s="5" t="s">
        <v>7514</v>
      </c>
      <c r="F116" s="5" t="s">
        <v>1336</v>
      </c>
      <c r="G116" s="6"/>
      <c r="H116" s="6"/>
      <c r="I116" s="6"/>
      <c r="J116" s="6"/>
      <c r="K116" s="7" t="s">
        <v>7580</v>
      </c>
      <c r="L116" s="8">
        <v>646472</v>
      </c>
      <c r="M116" s="8" t="str">
        <f t="shared" si="10"/>
        <v>PEN</v>
      </c>
      <c r="N116" s="13"/>
      <c r="O116" s="13">
        <v>8</v>
      </c>
      <c r="P116" s="3">
        <f t="shared" si="11"/>
        <v>0</v>
      </c>
      <c r="Q116" s="3">
        <f t="shared" si="12"/>
        <v>8</v>
      </c>
      <c r="R116" s="3">
        <f t="shared" si="8"/>
        <v>1937.8000000000002</v>
      </c>
      <c r="S116" s="24"/>
      <c r="T116" s="24"/>
      <c r="U116" s="55"/>
      <c r="V116" s="25" t="s">
        <v>7519</v>
      </c>
      <c r="W116" s="25"/>
      <c r="X116" s="25"/>
      <c r="Y116" s="25"/>
      <c r="Z116" s="25"/>
      <c r="AA116" s="3" t="str">
        <f>IF(Caja_Operativa[[#This Row],[FECHA]]&gt;0,TEXT(Caja_Operativa[[#This Row],[FECHA]],"mmmm"),0)</f>
        <v>Marzo</v>
      </c>
    </row>
    <row r="117" spans="1:27" ht="60" x14ac:dyDescent="0.3">
      <c r="A117" s="2">
        <f>IF(Caja_Operativa[[#This Row],[TIPO DE R.]]="R",COUNTIFS($C$1:$C116,"R")+1,"")</f>
        <v>116</v>
      </c>
      <c r="B117" s="19" t="str">
        <f t="shared" si="9"/>
        <v>C-Operativa</v>
      </c>
      <c r="C117" s="3" t="s">
        <v>1330</v>
      </c>
      <c r="D117" s="14">
        <v>45721</v>
      </c>
      <c r="E117" s="5" t="s">
        <v>7514</v>
      </c>
      <c r="F117" s="5" t="s">
        <v>1336</v>
      </c>
      <c r="G117" s="6"/>
      <c r="H117" s="6"/>
      <c r="I117" s="6"/>
      <c r="J117" s="6"/>
      <c r="K117" s="7" t="s">
        <v>7581</v>
      </c>
      <c r="L117" s="8">
        <v>649759</v>
      </c>
      <c r="M117" s="8" t="str">
        <f t="shared" si="10"/>
        <v>PEN</v>
      </c>
      <c r="N117" s="13"/>
      <c r="O117" s="13">
        <v>8</v>
      </c>
      <c r="P117" s="3">
        <f t="shared" si="11"/>
        <v>0</v>
      </c>
      <c r="Q117" s="3">
        <f t="shared" si="12"/>
        <v>8</v>
      </c>
      <c r="R117" s="3">
        <f t="shared" si="8"/>
        <v>1929.8000000000002</v>
      </c>
      <c r="S117" s="24"/>
      <c r="T117" s="24"/>
      <c r="U117" s="55"/>
      <c r="V117" s="25" t="s">
        <v>7519</v>
      </c>
      <c r="W117" s="25"/>
      <c r="X117" s="25"/>
      <c r="Y117" s="25"/>
      <c r="Z117" s="25"/>
      <c r="AA117" s="3" t="str">
        <f>IF(Caja_Operativa[[#This Row],[FECHA]]&gt;0,TEXT(Caja_Operativa[[#This Row],[FECHA]],"mmmm"),0)</f>
        <v>Marzo</v>
      </c>
    </row>
    <row r="118" spans="1:27" ht="60" x14ac:dyDescent="0.3">
      <c r="A118" s="2">
        <f>IF(Caja_Operativa[[#This Row],[TIPO DE R.]]="R",COUNTIFS($C$1:$C117,"R")+1,"")</f>
        <v>117</v>
      </c>
      <c r="B118" s="19" t="str">
        <f t="shared" si="9"/>
        <v>C-Operativa</v>
      </c>
      <c r="C118" s="3" t="s">
        <v>1330</v>
      </c>
      <c r="D118" s="14">
        <v>45721</v>
      </c>
      <c r="E118" s="5" t="s">
        <v>7514</v>
      </c>
      <c r="F118" s="5" t="s">
        <v>1336</v>
      </c>
      <c r="G118" s="6"/>
      <c r="H118" s="6"/>
      <c r="I118" s="6"/>
      <c r="J118" s="6"/>
      <c r="K118" s="7" t="s">
        <v>7582</v>
      </c>
      <c r="L118" s="8">
        <v>635140</v>
      </c>
      <c r="M118" s="8" t="str">
        <f t="shared" si="10"/>
        <v>PEN</v>
      </c>
      <c r="N118" s="13"/>
      <c r="O118" s="13">
        <v>8</v>
      </c>
      <c r="P118" s="3">
        <f t="shared" si="11"/>
        <v>0</v>
      </c>
      <c r="Q118" s="3">
        <f t="shared" si="12"/>
        <v>8</v>
      </c>
      <c r="R118" s="3">
        <f t="shared" si="8"/>
        <v>1921.8000000000002</v>
      </c>
      <c r="S118" s="24"/>
      <c r="T118" s="24"/>
      <c r="U118" s="55"/>
      <c r="V118" s="25" t="s">
        <v>7519</v>
      </c>
      <c r="W118" s="25"/>
      <c r="X118" s="25"/>
      <c r="Y118" s="25"/>
      <c r="Z118" s="25"/>
      <c r="AA118" s="3" t="str">
        <f>IF(Caja_Operativa[[#This Row],[FECHA]]&gt;0,TEXT(Caja_Operativa[[#This Row],[FECHA]],"mmmm"),0)</f>
        <v>Marzo</v>
      </c>
    </row>
    <row r="119" spans="1:27" ht="60" x14ac:dyDescent="0.3">
      <c r="A119" s="2">
        <f>IF(Caja_Operativa[[#This Row],[TIPO DE R.]]="R",COUNTIFS($C$1:$C118,"R")+1,"")</f>
        <v>118</v>
      </c>
      <c r="B119" s="19" t="str">
        <f t="shared" si="9"/>
        <v>C-Operativa</v>
      </c>
      <c r="C119" s="3" t="s">
        <v>1330</v>
      </c>
      <c r="D119" s="14">
        <v>45721</v>
      </c>
      <c r="E119" s="5" t="s">
        <v>7514</v>
      </c>
      <c r="F119" s="5" t="s">
        <v>1336</v>
      </c>
      <c r="G119" s="6"/>
      <c r="H119" s="6"/>
      <c r="I119" s="6"/>
      <c r="J119" s="6"/>
      <c r="K119" s="7" t="s">
        <v>7583</v>
      </c>
      <c r="L119" s="8">
        <v>687617</v>
      </c>
      <c r="M119" s="8" t="str">
        <f t="shared" si="10"/>
        <v>PEN</v>
      </c>
      <c r="N119" s="13"/>
      <c r="O119" s="13">
        <v>8</v>
      </c>
      <c r="P119" s="3">
        <f t="shared" si="11"/>
        <v>0</v>
      </c>
      <c r="Q119" s="3">
        <f t="shared" si="12"/>
        <v>8</v>
      </c>
      <c r="R119" s="3">
        <f t="shared" si="8"/>
        <v>1913.8000000000002</v>
      </c>
      <c r="S119" s="24"/>
      <c r="T119" s="24"/>
      <c r="U119" s="55"/>
      <c r="V119" s="25" t="s">
        <v>7519</v>
      </c>
      <c r="W119" s="25"/>
      <c r="X119" s="25"/>
      <c r="Y119" s="25"/>
      <c r="Z119" s="25"/>
      <c r="AA119" s="3" t="str">
        <f>IF(Caja_Operativa[[#This Row],[FECHA]]&gt;0,TEXT(Caja_Operativa[[#This Row],[FECHA]],"mmmm"),0)</f>
        <v>Marzo</v>
      </c>
    </row>
    <row r="120" spans="1:27" ht="60" x14ac:dyDescent="0.3">
      <c r="A120" s="2">
        <f>IF(Caja_Operativa[[#This Row],[TIPO DE R.]]="R",COUNTIFS($C$1:$C119,"R")+1,"")</f>
        <v>119</v>
      </c>
      <c r="B120" s="19" t="str">
        <f t="shared" si="9"/>
        <v>C-Operativa</v>
      </c>
      <c r="C120" s="3" t="s">
        <v>1330</v>
      </c>
      <c r="D120" s="14">
        <v>45721</v>
      </c>
      <c r="E120" s="5" t="s">
        <v>7514</v>
      </c>
      <c r="F120" s="5" t="s">
        <v>1336</v>
      </c>
      <c r="G120" s="6"/>
      <c r="H120" s="6"/>
      <c r="I120" s="6"/>
      <c r="J120" s="6"/>
      <c r="K120" s="7" t="s">
        <v>7584</v>
      </c>
      <c r="L120" s="8">
        <v>712022</v>
      </c>
      <c r="M120" s="8" t="str">
        <f t="shared" si="10"/>
        <v>PEN</v>
      </c>
      <c r="N120" s="13"/>
      <c r="O120" s="13">
        <v>8</v>
      </c>
      <c r="P120" s="3">
        <f t="shared" si="11"/>
        <v>0</v>
      </c>
      <c r="Q120" s="3">
        <f t="shared" si="12"/>
        <v>8</v>
      </c>
      <c r="R120" s="3">
        <f t="shared" si="8"/>
        <v>1905.8000000000002</v>
      </c>
      <c r="S120" s="24"/>
      <c r="T120" s="24"/>
      <c r="U120" s="55"/>
      <c r="V120" s="25" t="s">
        <v>7519</v>
      </c>
      <c r="W120" s="25"/>
      <c r="X120" s="25"/>
      <c r="Y120" s="25"/>
      <c r="Z120" s="25"/>
      <c r="AA120" s="3" t="str">
        <f>IF(Caja_Operativa[[#This Row],[FECHA]]&gt;0,TEXT(Caja_Operativa[[#This Row],[FECHA]],"mmmm"),0)</f>
        <v>Marzo</v>
      </c>
    </row>
    <row r="121" spans="1:27" ht="48" x14ac:dyDescent="0.3">
      <c r="A121" s="2">
        <f>IF(Caja_Operativa[[#This Row],[TIPO DE R.]]="R",COUNTIFS($C$1:$C120,"R")+1,"")</f>
        <v>120</v>
      </c>
      <c r="B121" s="19" t="str">
        <f t="shared" si="9"/>
        <v>C-Operativa</v>
      </c>
      <c r="C121" s="3" t="s">
        <v>1330</v>
      </c>
      <c r="D121" s="14">
        <v>45721</v>
      </c>
      <c r="E121" s="5" t="s">
        <v>7514</v>
      </c>
      <c r="F121" s="5" t="s">
        <v>1336</v>
      </c>
      <c r="G121" s="6" t="s">
        <v>888</v>
      </c>
      <c r="H121" s="6"/>
      <c r="I121" s="6"/>
      <c r="J121" s="6"/>
      <c r="K121" s="7" t="s">
        <v>7585</v>
      </c>
      <c r="L121" s="8">
        <v>715551</v>
      </c>
      <c r="M121" s="8" t="str">
        <f t="shared" si="10"/>
        <v>PEN</v>
      </c>
      <c r="N121" s="13"/>
      <c r="O121" s="13">
        <v>7</v>
      </c>
      <c r="P121" s="3">
        <f t="shared" si="11"/>
        <v>0</v>
      </c>
      <c r="Q121" s="3">
        <f t="shared" si="12"/>
        <v>7</v>
      </c>
      <c r="R121" s="3">
        <f t="shared" si="8"/>
        <v>1898.8000000000002</v>
      </c>
      <c r="S121" s="24"/>
      <c r="T121" s="24"/>
      <c r="U121" s="55"/>
      <c r="V121" s="25"/>
      <c r="W121" s="25"/>
      <c r="X121" s="25"/>
      <c r="Y121" s="25"/>
      <c r="Z121" s="25"/>
      <c r="AA121" s="3" t="str">
        <f>IF(Caja_Operativa[[#This Row],[FECHA]]&gt;0,TEXT(Caja_Operativa[[#This Row],[FECHA]],"mmmm"),0)</f>
        <v>Marzo</v>
      </c>
    </row>
    <row r="122" spans="1:27" ht="48" x14ac:dyDescent="0.3">
      <c r="A122" s="2">
        <f>IF(Caja_Operativa[[#This Row],[TIPO DE R.]]="R",COUNTIFS($C$1:$C121,"R")+1,"")</f>
        <v>121</v>
      </c>
      <c r="B122" s="19" t="str">
        <f t="shared" si="9"/>
        <v>C-Operativa</v>
      </c>
      <c r="C122" s="3" t="s">
        <v>1330</v>
      </c>
      <c r="D122" s="14">
        <v>45721</v>
      </c>
      <c r="E122" s="5" t="s">
        <v>7514</v>
      </c>
      <c r="F122" s="5" t="s">
        <v>1336</v>
      </c>
      <c r="G122" s="6" t="s">
        <v>888</v>
      </c>
      <c r="H122" s="6"/>
      <c r="I122" s="6"/>
      <c r="J122" s="6"/>
      <c r="K122" s="7" t="s">
        <v>7586</v>
      </c>
      <c r="L122" s="8">
        <v>720351</v>
      </c>
      <c r="M122" s="8" t="str">
        <f t="shared" si="10"/>
        <v>PEN</v>
      </c>
      <c r="N122" s="13"/>
      <c r="O122" s="13">
        <v>8</v>
      </c>
      <c r="P122" s="3">
        <f t="shared" si="11"/>
        <v>0</v>
      </c>
      <c r="Q122" s="3">
        <f t="shared" si="12"/>
        <v>8</v>
      </c>
      <c r="R122" s="3">
        <f t="shared" si="8"/>
        <v>1890.8000000000002</v>
      </c>
      <c r="S122" s="24"/>
      <c r="T122" s="24"/>
      <c r="U122" s="55"/>
      <c r="V122" s="25"/>
      <c r="W122" s="25"/>
      <c r="X122" s="25"/>
      <c r="Y122" s="25"/>
      <c r="Z122" s="25"/>
      <c r="AA122" s="3" t="str">
        <f>IF(Caja_Operativa[[#This Row],[FECHA]]&gt;0,TEXT(Caja_Operativa[[#This Row],[FECHA]],"mmmm"),0)</f>
        <v>Marzo</v>
      </c>
    </row>
    <row r="123" spans="1:27" ht="60" x14ac:dyDescent="0.3">
      <c r="A123" s="2">
        <f>IF(Caja_Operativa[[#This Row],[TIPO DE R.]]="R",COUNTIFS($C$1:$C122,"R")+1,"")</f>
        <v>122</v>
      </c>
      <c r="B123" s="19" t="str">
        <f t="shared" si="9"/>
        <v>C-Operativa</v>
      </c>
      <c r="C123" s="3" t="s">
        <v>1330</v>
      </c>
      <c r="D123" s="14">
        <v>45721</v>
      </c>
      <c r="E123" s="5" t="s">
        <v>7514</v>
      </c>
      <c r="F123" s="5" t="s">
        <v>1336</v>
      </c>
      <c r="G123" s="6" t="s">
        <v>888</v>
      </c>
      <c r="H123" s="6"/>
      <c r="I123" s="6"/>
      <c r="J123" s="6"/>
      <c r="K123" s="7" t="s">
        <v>7587</v>
      </c>
      <c r="L123" s="8">
        <v>707124</v>
      </c>
      <c r="M123" s="8" t="str">
        <f t="shared" si="10"/>
        <v>PEN</v>
      </c>
      <c r="N123" s="13"/>
      <c r="O123" s="13">
        <v>10</v>
      </c>
      <c r="P123" s="3">
        <f t="shared" si="11"/>
        <v>0</v>
      </c>
      <c r="Q123" s="3">
        <f t="shared" si="12"/>
        <v>10</v>
      </c>
      <c r="R123" s="3">
        <f t="shared" si="8"/>
        <v>1880.8000000000002</v>
      </c>
      <c r="S123" s="24"/>
      <c r="T123" s="24"/>
      <c r="U123" s="55"/>
      <c r="V123" s="25"/>
      <c r="W123" s="25"/>
      <c r="X123" s="25"/>
      <c r="Y123" s="25"/>
      <c r="Z123" s="25"/>
      <c r="AA123" s="3" t="str">
        <f>IF(Caja_Operativa[[#This Row],[FECHA]]&gt;0,TEXT(Caja_Operativa[[#This Row],[FECHA]],"mmmm"),0)</f>
        <v>Marzo</v>
      </c>
    </row>
    <row r="124" spans="1:27" ht="72" x14ac:dyDescent="0.3">
      <c r="A124" s="2">
        <f>IF(Caja_Operativa[[#This Row],[TIPO DE R.]]="R",COUNTIFS($C$1:$C123,"R")+1,"")</f>
        <v>123</v>
      </c>
      <c r="B124" s="19" t="str">
        <f t="shared" si="9"/>
        <v>C-Operativa</v>
      </c>
      <c r="C124" s="3" t="s">
        <v>1330</v>
      </c>
      <c r="D124" s="14">
        <v>45721</v>
      </c>
      <c r="E124" s="5" t="s">
        <v>7514</v>
      </c>
      <c r="F124" s="5" t="s">
        <v>1336</v>
      </c>
      <c r="G124" s="6" t="s">
        <v>888</v>
      </c>
      <c r="H124" s="6"/>
      <c r="I124" s="6"/>
      <c r="J124" s="6"/>
      <c r="K124" s="7" t="s">
        <v>7588</v>
      </c>
      <c r="L124" s="8">
        <v>716360</v>
      </c>
      <c r="M124" s="8" t="str">
        <f t="shared" si="10"/>
        <v>PEN</v>
      </c>
      <c r="N124" s="13"/>
      <c r="O124" s="13">
        <v>7</v>
      </c>
      <c r="P124" s="3">
        <f t="shared" si="11"/>
        <v>0</v>
      </c>
      <c r="Q124" s="3">
        <f t="shared" si="12"/>
        <v>7</v>
      </c>
      <c r="R124" s="3">
        <f t="shared" si="8"/>
        <v>1873.8000000000002</v>
      </c>
      <c r="S124" s="24"/>
      <c r="T124" s="24"/>
      <c r="U124" s="55"/>
      <c r="V124" s="25"/>
      <c r="W124" s="25"/>
      <c r="X124" s="25"/>
      <c r="Y124" s="25"/>
      <c r="Z124" s="25"/>
      <c r="AA124" s="3" t="str">
        <f>IF(Caja_Operativa[[#This Row],[FECHA]]&gt;0,TEXT(Caja_Operativa[[#This Row],[FECHA]],"mmmm"),0)</f>
        <v>Marzo</v>
      </c>
    </row>
    <row r="125" spans="1:27" ht="48" x14ac:dyDescent="0.3">
      <c r="A125" s="2">
        <f>IF(Caja_Operativa[[#This Row],[TIPO DE R.]]="R",COUNTIFS($C$1:$C124,"R")+1,"")</f>
        <v>124</v>
      </c>
      <c r="B125" s="19" t="str">
        <f t="shared" si="9"/>
        <v>C-Operativa</v>
      </c>
      <c r="C125" s="3" t="s">
        <v>1330</v>
      </c>
      <c r="D125" s="14">
        <v>45721</v>
      </c>
      <c r="E125" s="5" t="s">
        <v>7514</v>
      </c>
      <c r="F125" s="5" t="s">
        <v>1336</v>
      </c>
      <c r="G125" s="6" t="s">
        <v>888</v>
      </c>
      <c r="H125" s="6"/>
      <c r="I125" s="6"/>
      <c r="J125" s="6"/>
      <c r="K125" s="7" t="s">
        <v>7589</v>
      </c>
      <c r="L125" s="8">
        <v>680909</v>
      </c>
      <c r="M125" s="8" t="str">
        <f t="shared" si="10"/>
        <v>PEN</v>
      </c>
      <c r="N125" s="13"/>
      <c r="O125" s="13">
        <v>10</v>
      </c>
      <c r="P125" s="3">
        <f t="shared" si="11"/>
        <v>0</v>
      </c>
      <c r="Q125" s="3">
        <f t="shared" si="12"/>
        <v>10</v>
      </c>
      <c r="R125" s="3">
        <f t="shared" si="8"/>
        <v>1863.8000000000002</v>
      </c>
      <c r="S125" s="24"/>
      <c r="T125" s="24"/>
      <c r="U125" s="55"/>
      <c r="V125" s="25"/>
      <c r="W125" s="25"/>
      <c r="X125" s="25"/>
      <c r="Y125" s="25"/>
      <c r="Z125" s="25"/>
      <c r="AA125" s="3" t="str">
        <f>IF(Caja_Operativa[[#This Row],[FECHA]]&gt;0,TEXT(Caja_Operativa[[#This Row],[FECHA]],"mmmm"),0)</f>
        <v>Marzo</v>
      </c>
    </row>
    <row r="126" spans="1:27" ht="48" x14ac:dyDescent="0.3">
      <c r="A126" s="2">
        <f>IF(Caja_Operativa[[#This Row],[TIPO DE R.]]="R",COUNTIFS($C$1:$C125,"R")+1,"")</f>
        <v>125</v>
      </c>
      <c r="B126" s="19" t="str">
        <f t="shared" si="9"/>
        <v>C-Operativa</v>
      </c>
      <c r="C126" s="3" t="s">
        <v>1330</v>
      </c>
      <c r="D126" s="14">
        <v>45721</v>
      </c>
      <c r="E126" s="5" t="s">
        <v>7514</v>
      </c>
      <c r="F126" s="5" t="s">
        <v>1336</v>
      </c>
      <c r="G126" s="6" t="s">
        <v>888</v>
      </c>
      <c r="H126" s="6"/>
      <c r="I126" s="6"/>
      <c r="J126" s="6"/>
      <c r="K126" s="7" t="s">
        <v>7590</v>
      </c>
      <c r="L126" s="8">
        <v>726074</v>
      </c>
      <c r="M126" s="8" t="str">
        <f t="shared" si="10"/>
        <v>PEN</v>
      </c>
      <c r="N126" s="13"/>
      <c r="O126" s="13">
        <v>9</v>
      </c>
      <c r="P126" s="3">
        <f t="shared" si="11"/>
        <v>0</v>
      </c>
      <c r="Q126" s="3">
        <f t="shared" si="12"/>
        <v>9</v>
      </c>
      <c r="R126" s="3">
        <f t="shared" si="8"/>
        <v>1854.8000000000002</v>
      </c>
      <c r="S126" s="24"/>
      <c r="T126" s="24"/>
      <c r="U126" s="55"/>
      <c r="V126" s="25"/>
      <c r="W126" s="25"/>
      <c r="X126" s="25"/>
      <c r="Y126" s="25"/>
      <c r="Z126" s="25"/>
      <c r="AA126" s="3" t="str">
        <f>IF(Caja_Operativa[[#This Row],[FECHA]]&gt;0,TEXT(Caja_Operativa[[#This Row],[FECHA]],"mmmm"),0)</f>
        <v>Marzo</v>
      </c>
    </row>
    <row r="127" spans="1:27" ht="48" x14ac:dyDescent="0.3">
      <c r="A127" s="2">
        <f>IF(Caja_Operativa[[#This Row],[TIPO DE R.]]="R",COUNTIFS($C$1:$C126,"R")+1,"")</f>
        <v>126</v>
      </c>
      <c r="B127" s="19" t="str">
        <f t="shared" si="9"/>
        <v>C-Operativa</v>
      </c>
      <c r="C127" s="3" t="s">
        <v>1330</v>
      </c>
      <c r="D127" s="14">
        <v>45721</v>
      </c>
      <c r="E127" s="5" t="s">
        <v>7514</v>
      </c>
      <c r="F127" s="5" t="s">
        <v>1336</v>
      </c>
      <c r="G127" s="6" t="s">
        <v>888</v>
      </c>
      <c r="H127" s="6"/>
      <c r="I127" s="6"/>
      <c r="J127" s="6"/>
      <c r="K127" s="7" t="s">
        <v>7591</v>
      </c>
      <c r="L127" s="8">
        <v>723468</v>
      </c>
      <c r="M127" s="8" t="str">
        <f t="shared" si="10"/>
        <v>PEN</v>
      </c>
      <c r="N127" s="13"/>
      <c r="O127" s="13">
        <v>5</v>
      </c>
      <c r="P127" s="3">
        <f t="shared" si="11"/>
        <v>0</v>
      </c>
      <c r="Q127" s="3">
        <f t="shared" si="12"/>
        <v>5</v>
      </c>
      <c r="R127" s="3">
        <f t="shared" si="8"/>
        <v>1849.8000000000002</v>
      </c>
      <c r="S127" s="24"/>
      <c r="T127" s="24"/>
      <c r="U127" s="55"/>
      <c r="V127" s="25"/>
      <c r="W127" s="25"/>
      <c r="X127" s="25"/>
      <c r="Y127" s="25"/>
      <c r="Z127" s="25"/>
      <c r="AA127" s="3" t="str">
        <f>IF(Caja_Operativa[[#This Row],[FECHA]]&gt;0,TEXT(Caja_Operativa[[#This Row],[FECHA]],"mmmm"),0)</f>
        <v>Marzo</v>
      </c>
    </row>
    <row r="128" spans="1:27" ht="48" x14ac:dyDescent="0.3">
      <c r="A128" s="2">
        <f>IF(Caja_Operativa[[#This Row],[TIPO DE R.]]="R",COUNTIFS($C$1:$C127,"R")+1,"")</f>
        <v>127</v>
      </c>
      <c r="B128" s="19" t="str">
        <f t="shared" si="9"/>
        <v>C-Operativa</v>
      </c>
      <c r="C128" s="3" t="s">
        <v>1330</v>
      </c>
      <c r="D128" s="14">
        <v>45721</v>
      </c>
      <c r="E128" s="5" t="s">
        <v>7514</v>
      </c>
      <c r="F128" s="5" t="s">
        <v>1336</v>
      </c>
      <c r="G128" s="6" t="s">
        <v>888</v>
      </c>
      <c r="H128" s="6"/>
      <c r="I128" s="6"/>
      <c r="J128" s="6"/>
      <c r="K128" s="7" t="s">
        <v>7592</v>
      </c>
      <c r="L128" s="8">
        <v>730070</v>
      </c>
      <c r="M128" s="8" t="str">
        <f t="shared" si="10"/>
        <v>PEN</v>
      </c>
      <c r="N128" s="13"/>
      <c r="O128" s="13">
        <v>6</v>
      </c>
      <c r="P128" s="3">
        <f t="shared" si="11"/>
        <v>0</v>
      </c>
      <c r="Q128" s="3">
        <f t="shared" si="12"/>
        <v>6</v>
      </c>
      <c r="R128" s="3">
        <f t="shared" si="8"/>
        <v>1843.8000000000002</v>
      </c>
      <c r="S128" s="24"/>
      <c r="T128" s="24"/>
      <c r="U128" s="55"/>
      <c r="V128" s="25"/>
      <c r="W128" s="25"/>
      <c r="X128" s="25"/>
      <c r="Y128" s="25"/>
      <c r="Z128" s="25"/>
      <c r="AA128" s="3" t="str">
        <f>IF(Caja_Operativa[[#This Row],[FECHA]]&gt;0,TEXT(Caja_Operativa[[#This Row],[FECHA]],"mmmm"),0)</f>
        <v>Marzo</v>
      </c>
    </row>
    <row r="129" spans="1:27" ht="48" x14ac:dyDescent="0.3">
      <c r="A129" s="2">
        <f>IF(Caja_Operativa[[#This Row],[TIPO DE R.]]="R",COUNTIFS($C$1:$C128,"R")+1,"")</f>
        <v>128</v>
      </c>
      <c r="B129" s="19" t="str">
        <f t="shared" si="9"/>
        <v>C-Operativa</v>
      </c>
      <c r="C129" s="3" t="s">
        <v>1330</v>
      </c>
      <c r="D129" s="14">
        <v>45721</v>
      </c>
      <c r="E129" s="5" t="s">
        <v>7514</v>
      </c>
      <c r="F129" s="5" t="s">
        <v>1336</v>
      </c>
      <c r="G129" s="6" t="s">
        <v>888</v>
      </c>
      <c r="H129" s="6"/>
      <c r="I129" s="6"/>
      <c r="J129" s="6"/>
      <c r="K129" s="7" t="s">
        <v>7593</v>
      </c>
      <c r="L129" s="8">
        <v>754115</v>
      </c>
      <c r="M129" s="8" t="str">
        <f t="shared" si="10"/>
        <v>PEN</v>
      </c>
      <c r="N129" s="13"/>
      <c r="O129" s="13">
        <v>20</v>
      </c>
      <c r="P129" s="3">
        <f t="shared" si="11"/>
        <v>0</v>
      </c>
      <c r="Q129" s="3">
        <f t="shared" si="12"/>
        <v>20</v>
      </c>
      <c r="R129" s="3">
        <f t="shared" si="8"/>
        <v>1823.8000000000002</v>
      </c>
      <c r="S129" s="24"/>
      <c r="T129" s="24"/>
      <c r="U129" s="55"/>
      <c r="V129" s="25"/>
      <c r="W129" s="25"/>
      <c r="X129" s="25"/>
      <c r="Y129" s="25"/>
      <c r="Z129" s="25"/>
      <c r="AA129" s="3" t="str">
        <f>IF(Caja_Operativa[[#This Row],[FECHA]]&gt;0,TEXT(Caja_Operativa[[#This Row],[FECHA]],"mmmm"),0)</f>
        <v>Marzo</v>
      </c>
    </row>
    <row r="130" spans="1:27" ht="24" x14ac:dyDescent="0.3">
      <c r="A130" s="2">
        <f>IF(Caja_Operativa[[#This Row],[TIPO DE R.]]="R",COUNTIFS($C$1:$C129,"R")+1,"")</f>
        <v>129</v>
      </c>
      <c r="B130" s="19" t="str">
        <f t="shared" si="9"/>
        <v>C-Operativa</v>
      </c>
      <c r="C130" s="3" t="s">
        <v>1330</v>
      </c>
      <c r="D130" s="14">
        <v>45723</v>
      </c>
      <c r="E130" s="5" t="s">
        <v>7514</v>
      </c>
      <c r="F130" s="5" t="s">
        <v>1336</v>
      </c>
      <c r="G130" s="6" t="s">
        <v>692</v>
      </c>
      <c r="H130" s="6"/>
      <c r="I130" s="6"/>
      <c r="J130" s="6"/>
      <c r="K130" s="7" t="s">
        <v>7516</v>
      </c>
      <c r="L130" s="8">
        <v>2461255</v>
      </c>
      <c r="M130" s="8" t="str">
        <f t="shared" si="10"/>
        <v>PEN</v>
      </c>
      <c r="N130" s="13"/>
      <c r="O130" s="13">
        <v>130</v>
      </c>
      <c r="P130" s="3">
        <f t="shared" si="11"/>
        <v>0</v>
      </c>
      <c r="Q130" s="3">
        <f t="shared" si="12"/>
        <v>130</v>
      </c>
      <c r="R130" s="3">
        <f t="shared" ref="R130:R193" si="13">IFERROR(IF(F130="SALDO",P130,R129+P130-Q130),0)</f>
        <v>1693.8000000000002</v>
      </c>
      <c r="S130" s="24" t="s">
        <v>1334</v>
      </c>
      <c r="T130" s="24" t="s">
        <v>1334</v>
      </c>
      <c r="U130" s="55"/>
      <c r="V130" s="25"/>
      <c r="W130" s="25"/>
      <c r="X130" s="25"/>
      <c r="Y130" s="25"/>
      <c r="Z130" s="25"/>
      <c r="AA130" s="3" t="str">
        <f>IF(Caja_Operativa[[#This Row],[FECHA]]&gt;0,TEXT(Caja_Operativa[[#This Row],[FECHA]],"mmmm"),0)</f>
        <v>Marzo</v>
      </c>
    </row>
    <row r="131" spans="1:27" x14ac:dyDescent="0.3">
      <c r="A131" s="2">
        <f>IF(Caja_Operativa[[#This Row],[TIPO DE R.]]="R",COUNTIFS($C$1:$C130,"R")+1,"")</f>
        <v>130</v>
      </c>
      <c r="B131" s="19" t="str">
        <f t="shared" ref="B131:B194" si="14">"C-Operativa"</f>
        <v>C-Operativa</v>
      </c>
      <c r="C131" s="3" t="s">
        <v>1330</v>
      </c>
      <c r="D131" s="14">
        <v>45727</v>
      </c>
      <c r="E131" s="5" t="s">
        <v>7514</v>
      </c>
      <c r="F131" s="5" t="s">
        <v>1336</v>
      </c>
      <c r="G131" s="6" t="s">
        <v>876</v>
      </c>
      <c r="H131" s="6"/>
      <c r="I131" s="6"/>
      <c r="J131" s="6"/>
      <c r="K131" s="7" t="s">
        <v>7516</v>
      </c>
      <c r="L131" s="8">
        <v>1061083</v>
      </c>
      <c r="M131" s="8" t="str">
        <f t="shared" ref="M131:M194" si="15">"PEN"</f>
        <v>PEN</v>
      </c>
      <c r="N131" s="13"/>
      <c r="O131" s="13">
        <v>110</v>
      </c>
      <c r="P131" s="3">
        <f t="shared" ref="P131:P194" si="16">+IF(OR($F131="SALDO",$F131="INGRESO"),$O131,0)</f>
        <v>0</v>
      </c>
      <c r="Q131" s="3">
        <f t="shared" ref="Q131:Q194" si="17">+IF($F131="EGRESO",$O131,0)</f>
        <v>110</v>
      </c>
      <c r="R131" s="3">
        <f t="shared" si="13"/>
        <v>1583.8000000000002</v>
      </c>
      <c r="S131" s="24" t="s">
        <v>1334</v>
      </c>
      <c r="T131" s="24" t="s">
        <v>1334</v>
      </c>
      <c r="U131" s="55"/>
      <c r="V131" s="25"/>
      <c r="W131" s="25"/>
      <c r="X131" s="25"/>
      <c r="Y131" s="25"/>
      <c r="Z131" s="25"/>
      <c r="AA131" s="3" t="str">
        <f>IF(Caja_Operativa[[#This Row],[FECHA]]&gt;0,TEXT(Caja_Operativa[[#This Row],[FECHA]],"mmmm"),0)</f>
        <v>Marzo</v>
      </c>
    </row>
    <row r="132" spans="1:27" ht="24" x14ac:dyDescent="0.3">
      <c r="A132" s="2">
        <f>IF(Caja_Operativa[[#This Row],[TIPO DE R.]]="R",COUNTIFS($C$1:$C131,"R")+1,"")</f>
        <v>131</v>
      </c>
      <c r="B132" s="19" t="str">
        <f t="shared" si="14"/>
        <v>C-Operativa</v>
      </c>
      <c r="C132" s="3" t="s">
        <v>1330</v>
      </c>
      <c r="D132" s="14">
        <v>45727</v>
      </c>
      <c r="E132" s="5" t="s">
        <v>7514</v>
      </c>
      <c r="F132" s="5" t="s">
        <v>1336</v>
      </c>
      <c r="G132" s="6" t="s">
        <v>1019</v>
      </c>
      <c r="H132" s="6"/>
      <c r="I132" s="6"/>
      <c r="J132" s="6"/>
      <c r="K132" s="7" t="s">
        <v>7516</v>
      </c>
      <c r="L132" s="8">
        <v>447317</v>
      </c>
      <c r="M132" s="8" t="str">
        <f t="shared" si="15"/>
        <v>PEN</v>
      </c>
      <c r="N132" s="13"/>
      <c r="O132" s="13">
        <v>110</v>
      </c>
      <c r="P132" s="3">
        <f t="shared" si="16"/>
        <v>0</v>
      </c>
      <c r="Q132" s="3">
        <f t="shared" si="17"/>
        <v>110</v>
      </c>
      <c r="R132" s="3">
        <f t="shared" si="13"/>
        <v>1473.8000000000002</v>
      </c>
      <c r="S132" s="24" t="s">
        <v>1334</v>
      </c>
      <c r="T132" s="24" t="s">
        <v>1334</v>
      </c>
      <c r="U132" s="55"/>
      <c r="V132" s="25"/>
      <c r="W132" s="25"/>
      <c r="X132" s="25"/>
      <c r="Y132" s="25"/>
      <c r="Z132" s="25"/>
      <c r="AA132" s="3" t="str">
        <f>IF(Caja_Operativa[[#This Row],[FECHA]]&gt;0,TEXT(Caja_Operativa[[#This Row],[FECHA]],"mmmm"),0)</f>
        <v>Marzo</v>
      </c>
    </row>
    <row r="133" spans="1:27" ht="60" x14ac:dyDescent="0.3">
      <c r="A133" s="2">
        <f>IF(Caja_Operativa[[#This Row],[TIPO DE R.]]="R",COUNTIFS($C$1:$C132,"R")+1,"")</f>
        <v>132</v>
      </c>
      <c r="B133" s="19" t="str">
        <f t="shared" si="14"/>
        <v>C-Operativa</v>
      </c>
      <c r="C133" s="3" t="s">
        <v>1330</v>
      </c>
      <c r="D133" s="14">
        <v>45723</v>
      </c>
      <c r="E133" s="5" t="s">
        <v>7514</v>
      </c>
      <c r="F133" s="5" t="s">
        <v>1336</v>
      </c>
      <c r="G133" s="6"/>
      <c r="H133" s="6"/>
      <c r="I133" s="6"/>
      <c r="J133" s="6"/>
      <c r="K133" s="7" t="s">
        <v>7594</v>
      </c>
      <c r="L133" s="8">
        <v>2475152</v>
      </c>
      <c r="M133" s="8" t="str">
        <f t="shared" si="15"/>
        <v>PEN</v>
      </c>
      <c r="N133" s="13"/>
      <c r="O133" s="13">
        <v>12</v>
      </c>
      <c r="P133" s="3">
        <f t="shared" si="16"/>
        <v>0</v>
      </c>
      <c r="Q133" s="3">
        <f t="shared" si="17"/>
        <v>12</v>
      </c>
      <c r="R133" s="3">
        <f t="shared" si="13"/>
        <v>1461.8000000000002</v>
      </c>
      <c r="S133" s="24"/>
      <c r="T133" s="24"/>
      <c r="U133" s="55"/>
      <c r="V133" s="25" t="s">
        <v>7519</v>
      </c>
      <c r="W133" s="25"/>
      <c r="X133" s="25"/>
      <c r="Y133" s="25"/>
      <c r="Z133" s="25"/>
      <c r="AA133" s="3" t="str">
        <f>IF(Caja_Operativa[[#This Row],[FECHA]]&gt;0,TEXT(Caja_Operativa[[#This Row],[FECHA]],"mmmm"),0)</f>
        <v>Marzo</v>
      </c>
    </row>
    <row r="134" spans="1:27" ht="60" x14ac:dyDescent="0.3">
      <c r="A134" s="2">
        <f>IF(Caja_Operativa[[#This Row],[TIPO DE R.]]="R",COUNTIFS($C$1:$C133,"R")+1,"")</f>
        <v>133</v>
      </c>
      <c r="B134" s="19" t="str">
        <f t="shared" si="14"/>
        <v>C-Operativa</v>
      </c>
      <c r="C134" s="3" t="s">
        <v>1330</v>
      </c>
      <c r="D134" s="14">
        <v>45723</v>
      </c>
      <c r="E134" s="5" t="s">
        <v>7514</v>
      </c>
      <c r="F134" s="5" t="s">
        <v>1336</v>
      </c>
      <c r="G134" s="6"/>
      <c r="H134" s="6"/>
      <c r="I134" s="6"/>
      <c r="J134" s="6"/>
      <c r="K134" s="7" t="s">
        <v>7595</v>
      </c>
      <c r="L134" s="8">
        <v>2496345</v>
      </c>
      <c r="M134" s="8" t="str">
        <f t="shared" si="15"/>
        <v>PEN</v>
      </c>
      <c r="N134" s="13"/>
      <c r="O134" s="13">
        <v>15</v>
      </c>
      <c r="P134" s="3">
        <f t="shared" si="16"/>
        <v>0</v>
      </c>
      <c r="Q134" s="3">
        <f t="shared" si="17"/>
        <v>15</v>
      </c>
      <c r="R134" s="3">
        <f t="shared" si="13"/>
        <v>1446.8000000000002</v>
      </c>
      <c r="S134" s="24"/>
      <c r="T134" s="24"/>
      <c r="U134" s="55"/>
      <c r="V134" s="25" t="s">
        <v>7519</v>
      </c>
      <c r="W134" s="25"/>
      <c r="X134" s="25"/>
      <c r="Y134" s="25"/>
      <c r="Z134" s="25"/>
      <c r="AA134" s="3" t="str">
        <f>IF(Caja_Operativa[[#This Row],[FECHA]]&gt;0,TEXT(Caja_Operativa[[#This Row],[FECHA]],"mmmm"),0)</f>
        <v>Marzo</v>
      </c>
    </row>
    <row r="135" spans="1:27" ht="60" x14ac:dyDescent="0.3">
      <c r="A135" s="2">
        <f>IF(Caja_Operativa[[#This Row],[TIPO DE R.]]="R",COUNTIFS($C$1:$C134,"R")+1,"")</f>
        <v>134</v>
      </c>
      <c r="B135" s="19" t="str">
        <f t="shared" si="14"/>
        <v>C-Operativa</v>
      </c>
      <c r="C135" s="3" t="s">
        <v>1330</v>
      </c>
      <c r="D135" s="14">
        <v>45723</v>
      </c>
      <c r="E135" s="5" t="s">
        <v>7514</v>
      </c>
      <c r="F135" s="5" t="s">
        <v>1336</v>
      </c>
      <c r="G135" s="6"/>
      <c r="H135" s="6"/>
      <c r="I135" s="6"/>
      <c r="J135" s="6"/>
      <c r="K135" s="7" t="s">
        <v>7596</v>
      </c>
      <c r="L135" s="8">
        <v>2511796</v>
      </c>
      <c r="M135" s="8" t="str">
        <f t="shared" si="15"/>
        <v>PEN</v>
      </c>
      <c r="N135" s="13"/>
      <c r="O135" s="13">
        <v>8</v>
      </c>
      <c r="P135" s="3">
        <f t="shared" si="16"/>
        <v>0</v>
      </c>
      <c r="Q135" s="3">
        <f t="shared" si="17"/>
        <v>8</v>
      </c>
      <c r="R135" s="3">
        <f t="shared" si="13"/>
        <v>1438.8000000000002</v>
      </c>
      <c r="S135" s="24"/>
      <c r="T135" s="24"/>
      <c r="U135" s="55"/>
      <c r="V135" s="25" t="s">
        <v>7519</v>
      </c>
      <c r="W135" s="25"/>
      <c r="X135" s="25"/>
      <c r="Y135" s="25"/>
      <c r="Z135" s="25"/>
      <c r="AA135" s="3" t="str">
        <f>IF(Caja_Operativa[[#This Row],[FECHA]]&gt;0,TEXT(Caja_Operativa[[#This Row],[FECHA]],"mmmm"),0)</f>
        <v>Marzo</v>
      </c>
    </row>
    <row r="136" spans="1:27" ht="60" x14ac:dyDescent="0.3">
      <c r="A136" s="2">
        <f>IF(Caja_Operativa[[#This Row],[TIPO DE R.]]="R",COUNTIFS($C$1:$C135,"R")+1,"")</f>
        <v>135</v>
      </c>
      <c r="B136" s="19" t="str">
        <f t="shared" si="14"/>
        <v>C-Operativa</v>
      </c>
      <c r="C136" s="3" t="s">
        <v>1330</v>
      </c>
      <c r="D136" s="14">
        <v>45723</v>
      </c>
      <c r="E136" s="5" t="s">
        <v>7514</v>
      </c>
      <c r="F136" s="5" t="s">
        <v>1336</v>
      </c>
      <c r="G136" s="6"/>
      <c r="H136" s="6"/>
      <c r="I136" s="6"/>
      <c r="J136" s="6"/>
      <c r="K136" s="7" t="s">
        <v>7597</v>
      </c>
      <c r="L136" s="8">
        <v>2509206</v>
      </c>
      <c r="M136" s="8" t="str">
        <f t="shared" si="15"/>
        <v>PEN</v>
      </c>
      <c r="N136" s="13"/>
      <c r="O136" s="13">
        <v>8</v>
      </c>
      <c r="P136" s="3">
        <f t="shared" si="16"/>
        <v>0</v>
      </c>
      <c r="Q136" s="3">
        <f t="shared" si="17"/>
        <v>8</v>
      </c>
      <c r="R136" s="3">
        <f t="shared" si="13"/>
        <v>1430.8000000000002</v>
      </c>
      <c r="S136" s="24"/>
      <c r="T136" s="24"/>
      <c r="U136" s="55"/>
      <c r="V136" s="25" t="s">
        <v>7519</v>
      </c>
      <c r="W136" s="25"/>
      <c r="X136" s="25"/>
      <c r="Y136" s="25"/>
      <c r="Z136" s="25"/>
      <c r="AA136" s="3" t="str">
        <f>IF(Caja_Operativa[[#This Row],[FECHA]]&gt;0,TEXT(Caja_Operativa[[#This Row],[FECHA]],"mmmm"),0)</f>
        <v>Marzo</v>
      </c>
    </row>
    <row r="137" spans="1:27" ht="60" x14ac:dyDescent="0.3">
      <c r="A137" s="2">
        <f>IF(Caja_Operativa[[#This Row],[TIPO DE R.]]="R",COUNTIFS($C$1:$C136,"R")+1,"")</f>
        <v>136</v>
      </c>
      <c r="B137" s="19" t="str">
        <f t="shared" si="14"/>
        <v>C-Operativa</v>
      </c>
      <c r="C137" s="3" t="s">
        <v>1330</v>
      </c>
      <c r="D137" s="14">
        <v>45723</v>
      </c>
      <c r="E137" s="5" t="s">
        <v>7514</v>
      </c>
      <c r="F137" s="5" t="s">
        <v>1336</v>
      </c>
      <c r="G137" s="6"/>
      <c r="H137" s="6"/>
      <c r="I137" s="6"/>
      <c r="J137" s="6"/>
      <c r="K137" s="7" t="s">
        <v>7598</v>
      </c>
      <c r="L137" s="8">
        <v>2498331</v>
      </c>
      <c r="M137" s="8" t="str">
        <f t="shared" si="15"/>
        <v>PEN</v>
      </c>
      <c r="N137" s="13"/>
      <c r="O137" s="13">
        <v>10</v>
      </c>
      <c r="P137" s="3">
        <f t="shared" si="16"/>
        <v>0</v>
      </c>
      <c r="Q137" s="3">
        <f t="shared" si="17"/>
        <v>10</v>
      </c>
      <c r="R137" s="3">
        <f t="shared" si="13"/>
        <v>1420.8000000000002</v>
      </c>
      <c r="S137" s="24"/>
      <c r="T137" s="24"/>
      <c r="U137" s="55"/>
      <c r="V137" s="25" t="s">
        <v>7519</v>
      </c>
      <c r="W137" s="25"/>
      <c r="X137" s="25"/>
      <c r="Y137" s="25"/>
      <c r="Z137" s="25"/>
      <c r="AA137" s="3" t="str">
        <f>IF(Caja_Operativa[[#This Row],[FECHA]]&gt;0,TEXT(Caja_Operativa[[#This Row],[FECHA]],"mmmm"),0)</f>
        <v>Marzo</v>
      </c>
    </row>
    <row r="138" spans="1:27" ht="60" x14ac:dyDescent="0.3">
      <c r="A138" s="2">
        <f>IF(Caja_Operativa[[#This Row],[TIPO DE R.]]="R",COUNTIFS($C$1:$C137,"R")+1,"")</f>
        <v>137</v>
      </c>
      <c r="B138" s="19" t="str">
        <f t="shared" si="14"/>
        <v>C-Operativa</v>
      </c>
      <c r="C138" s="3" t="s">
        <v>1330</v>
      </c>
      <c r="D138" s="14">
        <v>45723</v>
      </c>
      <c r="E138" s="5" t="s">
        <v>7514</v>
      </c>
      <c r="F138" s="5" t="s">
        <v>1336</v>
      </c>
      <c r="G138" s="6"/>
      <c r="H138" s="6"/>
      <c r="I138" s="6"/>
      <c r="J138" s="6"/>
      <c r="K138" s="7" t="s">
        <v>7599</v>
      </c>
      <c r="L138" s="8">
        <v>2979221</v>
      </c>
      <c r="M138" s="8" t="str">
        <f t="shared" si="15"/>
        <v>PEN</v>
      </c>
      <c r="N138" s="13"/>
      <c r="O138" s="13">
        <v>15</v>
      </c>
      <c r="P138" s="3">
        <f t="shared" si="16"/>
        <v>0</v>
      </c>
      <c r="Q138" s="3">
        <f t="shared" si="17"/>
        <v>15</v>
      </c>
      <c r="R138" s="3">
        <f t="shared" si="13"/>
        <v>1405.8000000000002</v>
      </c>
      <c r="S138" s="24"/>
      <c r="T138" s="24"/>
      <c r="U138" s="55"/>
      <c r="V138" s="25" t="s">
        <v>7519</v>
      </c>
      <c r="W138" s="25"/>
      <c r="X138" s="25"/>
      <c r="Y138" s="25"/>
      <c r="Z138" s="25"/>
      <c r="AA138" s="3" t="str">
        <f>IF(Caja_Operativa[[#This Row],[FECHA]]&gt;0,TEXT(Caja_Operativa[[#This Row],[FECHA]],"mmmm"),0)</f>
        <v>Marzo</v>
      </c>
    </row>
    <row r="139" spans="1:27" ht="24" x14ac:dyDescent="0.3">
      <c r="A139" s="2">
        <f>IF(Caja_Operativa[[#This Row],[TIPO DE R.]]="R",COUNTIFS($C$1:$C138,"R")+1,"")</f>
        <v>138</v>
      </c>
      <c r="B139" s="19" t="str">
        <f t="shared" si="14"/>
        <v>C-Operativa</v>
      </c>
      <c r="C139" s="3" t="s">
        <v>1330</v>
      </c>
      <c r="D139" s="14">
        <v>45723</v>
      </c>
      <c r="E139" s="5" t="s">
        <v>7513</v>
      </c>
      <c r="F139" s="5" t="s">
        <v>1303</v>
      </c>
      <c r="G139" s="6" t="s">
        <v>901</v>
      </c>
      <c r="H139" s="6"/>
      <c r="I139" s="6" t="s">
        <v>7539</v>
      </c>
      <c r="J139" s="6">
        <v>5</v>
      </c>
      <c r="K139" s="7" t="s">
        <v>7540</v>
      </c>
      <c r="L139" s="8">
        <v>277103</v>
      </c>
      <c r="M139" s="8" t="str">
        <f t="shared" si="15"/>
        <v>PEN</v>
      </c>
      <c r="N139" s="13"/>
      <c r="O139" s="13">
        <v>2604.1</v>
      </c>
      <c r="P139" s="3">
        <f t="shared" si="16"/>
        <v>2604.1</v>
      </c>
      <c r="Q139" s="3">
        <f t="shared" si="17"/>
        <v>0</v>
      </c>
      <c r="R139" s="3">
        <f t="shared" si="13"/>
        <v>4009.9</v>
      </c>
      <c r="S139" s="24"/>
      <c r="T139" s="24"/>
      <c r="U139" s="55"/>
      <c r="V139" s="25" t="s">
        <v>7514</v>
      </c>
      <c r="W139" s="25"/>
      <c r="X139" s="25"/>
      <c r="Y139" s="25"/>
      <c r="Z139" s="25"/>
      <c r="AA139" s="3" t="str">
        <f>IF(Caja_Operativa[[#This Row],[FECHA]]&gt;0,TEXT(Caja_Operativa[[#This Row],[FECHA]],"mmmm"),0)</f>
        <v>Marzo</v>
      </c>
    </row>
    <row r="140" spans="1:27" x14ac:dyDescent="0.3">
      <c r="A140" s="2">
        <f>IF(Caja_Operativa[[#This Row],[TIPO DE R.]]="R",COUNTIFS($C$1:$C139,"R")+1,"")</f>
        <v>139</v>
      </c>
      <c r="B140" s="19" t="str">
        <f t="shared" si="14"/>
        <v>C-Operativa</v>
      </c>
      <c r="C140" s="3" t="s">
        <v>1330</v>
      </c>
      <c r="D140" s="14">
        <v>45723</v>
      </c>
      <c r="E140" s="5" t="s">
        <v>1335</v>
      </c>
      <c r="F140" s="5" t="s">
        <v>1336</v>
      </c>
      <c r="G140" s="6"/>
      <c r="H140" s="6"/>
      <c r="I140" s="6"/>
      <c r="J140" s="6"/>
      <c r="K140" s="7" t="s">
        <v>5061</v>
      </c>
      <c r="L140" s="8"/>
      <c r="M140" s="8" t="str">
        <f t="shared" si="15"/>
        <v>PEN</v>
      </c>
      <c r="N140" s="13"/>
      <c r="O140" s="13">
        <v>0.1</v>
      </c>
      <c r="P140" s="3">
        <f t="shared" si="16"/>
        <v>0</v>
      </c>
      <c r="Q140" s="3">
        <f t="shared" si="17"/>
        <v>0.1</v>
      </c>
      <c r="R140" s="3">
        <f t="shared" si="13"/>
        <v>4009.8</v>
      </c>
      <c r="S140" s="24"/>
      <c r="T140" s="24"/>
      <c r="U140" s="55"/>
      <c r="V140" s="25"/>
      <c r="W140" s="25"/>
      <c r="X140" s="25"/>
      <c r="Y140" s="25"/>
      <c r="Z140" s="25"/>
      <c r="AA140" s="3" t="str">
        <f>IF(Caja_Operativa[[#This Row],[FECHA]]&gt;0,TEXT(Caja_Operativa[[#This Row],[FECHA]],"mmmm"),0)</f>
        <v>Marzo</v>
      </c>
    </row>
    <row r="141" spans="1:27" ht="24" x14ac:dyDescent="0.3">
      <c r="A141" s="2">
        <f>IF(Caja_Operativa[[#This Row],[TIPO DE R.]]="R",COUNTIFS($C$1:$C140,"R")+1,"")</f>
        <v>140</v>
      </c>
      <c r="B141" s="19" t="str">
        <f t="shared" si="14"/>
        <v>C-Operativa</v>
      </c>
      <c r="C141" s="3" t="s">
        <v>1330</v>
      </c>
      <c r="D141" s="14">
        <v>45727</v>
      </c>
      <c r="E141" s="5" t="s">
        <v>7514</v>
      </c>
      <c r="F141" s="5" t="s">
        <v>1336</v>
      </c>
      <c r="G141" s="6" t="s">
        <v>957</v>
      </c>
      <c r="H141" s="6"/>
      <c r="I141" s="6"/>
      <c r="J141" s="6"/>
      <c r="K141" s="7" t="s">
        <v>7516</v>
      </c>
      <c r="L141" s="8">
        <v>899251</v>
      </c>
      <c r="M141" s="8" t="str">
        <f t="shared" si="15"/>
        <v>PEN</v>
      </c>
      <c r="N141" s="13"/>
      <c r="O141" s="13">
        <v>100</v>
      </c>
      <c r="P141" s="3">
        <f t="shared" si="16"/>
        <v>0</v>
      </c>
      <c r="Q141" s="3">
        <f t="shared" si="17"/>
        <v>100</v>
      </c>
      <c r="R141" s="3">
        <f t="shared" si="13"/>
        <v>3909.8</v>
      </c>
      <c r="S141" s="24" t="s">
        <v>1334</v>
      </c>
      <c r="T141" s="24" t="s">
        <v>1334</v>
      </c>
      <c r="U141" s="55"/>
      <c r="V141" s="25"/>
      <c r="W141" s="25"/>
      <c r="X141" s="25"/>
      <c r="Y141" s="25"/>
      <c r="Z141" s="25"/>
      <c r="AA141" s="3" t="str">
        <f>IF(Caja_Operativa[[#This Row],[FECHA]]&gt;0,TEXT(Caja_Operativa[[#This Row],[FECHA]],"mmmm"),0)</f>
        <v>Marzo</v>
      </c>
    </row>
    <row r="142" spans="1:27" ht="24" x14ac:dyDescent="0.3">
      <c r="A142" s="2">
        <f>IF(Caja_Operativa[[#This Row],[TIPO DE R.]]="R",COUNTIFS($C$1:$C141,"R")+1,"")</f>
        <v>141</v>
      </c>
      <c r="B142" s="19" t="str">
        <f t="shared" si="14"/>
        <v>C-Operativa</v>
      </c>
      <c r="C142" s="3" t="s">
        <v>1330</v>
      </c>
      <c r="D142" s="14">
        <v>45727</v>
      </c>
      <c r="E142" s="5" t="s">
        <v>7514</v>
      </c>
      <c r="F142" s="5" t="s">
        <v>1336</v>
      </c>
      <c r="G142" s="6" t="s">
        <v>829</v>
      </c>
      <c r="H142" s="6"/>
      <c r="I142" s="6"/>
      <c r="J142" s="6"/>
      <c r="K142" s="7" t="s">
        <v>7516</v>
      </c>
      <c r="L142" s="8">
        <v>616340</v>
      </c>
      <c r="M142" s="8" t="str">
        <f t="shared" si="15"/>
        <v>PEN</v>
      </c>
      <c r="N142" s="13"/>
      <c r="O142" s="13">
        <v>120</v>
      </c>
      <c r="P142" s="3">
        <f t="shared" si="16"/>
        <v>0</v>
      </c>
      <c r="Q142" s="3">
        <f t="shared" si="17"/>
        <v>120</v>
      </c>
      <c r="R142" s="3">
        <f t="shared" si="13"/>
        <v>3789.8</v>
      </c>
      <c r="S142" s="24" t="s">
        <v>1334</v>
      </c>
      <c r="T142" s="24" t="s">
        <v>1334</v>
      </c>
      <c r="U142" s="55"/>
      <c r="V142" s="25"/>
      <c r="W142" s="25"/>
      <c r="X142" s="25"/>
      <c r="Y142" s="25"/>
      <c r="Z142" s="25"/>
      <c r="AA142" s="3" t="str">
        <f>IF(Caja_Operativa[[#This Row],[FECHA]]&gt;0,TEXT(Caja_Operativa[[#This Row],[FECHA]],"mmmm"),0)</f>
        <v>Marzo</v>
      </c>
    </row>
    <row r="143" spans="1:27" ht="24" x14ac:dyDescent="0.3">
      <c r="A143" s="2">
        <f>IF(Caja_Operativa[[#This Row],[TIPO DE R.]]="R",COUNTIFS($C$1:$C142,"R")+1,"")</f>
        <v>142</v>
      </c>
      <c r="B143" s="19" t="str">
        <f t="shared" si="14"/>
        <v>C-Operativa</v>
      </c>
      <c r="C143" s="3" t="s">
        <v>1330</v>
      </c>
      <c r="D143" s="14">
        <v>45727</v>
      </c>
      <c r="E143" s="5" t="s">
        <v>7514</v>
      </c>
      <c r="F143" s="5" t="s">
        <v>1336</v>
      </c>
      <c r="G143" s="6" t="s">
        <v>922</v>
      </c>
      <c r="H143" s="6"/>
      <c r="I143" s="6"/>
      <c r="J143" s="6"/>
      <c r="K143" s="7" t="s">
        <v>7537</v>
      </c>
      <c r="L143" s="8">
        <v>1182687</v>
      </c>
      <c r="M143" s="8" t="str">
        <f t="shared" si="15"/>
        <v>PEN</v>
      </c>
      <c r="N143" s="13"/>
      <c r="O143" s="13">
        <v>20</v>
      </c>
      <c r="P143" s="3">
        <f t="shared" si="16"/>
        <v>0</v>
      </c>
      <c r="Q143" s="3">
        <f t="shared" si="17"/>
        <v>20</v>
      </c>
      <c r="R143" s="3">
        <f t="shared" si="13"/>
        <v>3769.8</v>
      </c>
      <c r="S143" s="24" t="s">
        <v>1334</v>
      </c>
      <c r="T143" s="24" t="s">
        <v>1334</v>
      </c>
      <c r="U143" s="55"/>
      <c r="V143" s="25"/>
      <c r="W143" s="25"/>
      <c r="X143" s="25"/>
      <c r="Y143" s="25"/>
      <c r="Z143" s="25"/>
      <c r="AA143" s="3" t="str">
        <f>IF(Caja_Operativa[[#This Row],[FECHA]]&gt;0,TEXT(Caja_Operativa[[#This Row],[FECHA]],"mmmm"),0)</f>
        <v>Marzo</v>
      </c>
    </row>
    <row r="144" spans="1:27" ht="24" x14ac:dyDescent="0.3">
      <c r="A144" s="2">
        <f>IF(Caja_Operativa[[#This Row],[TIPO DE R.]]="R",COUNTIFS($C$1:$C143,"R")+1,"")</f>
        <v>143</v>
      </c>
      <c r="B144" s="19" t="str">
        <f t="shared" si="14"/>
        <v>C-Operativa</v>
      </c>
      <c r="C144" s="3" t="s">
        <v>1330</v>
      </c>
      <c r="D144" s="14">
        <v>45727</v>
      </c>
      <c r="E144" s="5" t="s">
        <v>7514</v>
      </c>
      <c r="F144" s="5" t="s">
        <v>1336</v>
      </c>
      <c r="G144" s="6" t="s">
        <v>812</v>
      </c>
      <c r="H144" s="6"/>
      <c r="I144" s="6"/>
      <c r="J144" s="6"/>
      <c r="K144" s="7" t="s">
        <v>7516</v>
      </c>
      <c r="L144" s="8">
        <v>2628912</v>
      </c>
      <c r="M144" s="8" t="str">
        <f t="shared" si="15"/>
        <v>PEN</v>
      </c>
      <c r="N144" s="13"/>
      <c r="O144" s="13">
        <v>30</v>
      </c>
      <c r="P144" s="3">
        <f t="shared" si="16"/>
        <v>0</v>
      </c>
      <c r="Q144" s="3">
        <f t="shared" si="17"/>
        <v>30</v>
      </c>
      <c r="R144" s="3">
        <f t="shared" si="13"/>
        <v>3739.8</v>
      </c>
      <c r="S144" s="24" t="s">
        <v>1334</v>
      </c>
      <c r="T144" s="24" t="s">
        <v>1334</v>
      </c>
      <c r="U144" s="55"/>
      <c r="V144" s="25"/>
      <c r="W144" s="25"/>
      <c r="X144" s="25"/>
      <c r="Y144" s="25"/>
      <c r="Z144" s="25"/>
      <c r="AA144" s="3" t="str">
        <f>IF(Caja_Operativa[[#This Row],[FECHA]]&gt;0,TEXT(Caja_Operativa[[#This Row],[FECHA]],"mmmm"),0)</f>
        <v>Marzo</v>
      </c>
    </row>
    <row r="145" spans="1:27" ht="24" x14ac:dyDescent="0.3">
      <c r="A145" s="2">
        <f>IF(Caja_Operativa[[#This Row],[TIPO DE R.]]="R",COUNTIFS($C$1:$C144,"R")+1,"")</f>
        <v>144</v>
      </c>
      <c r="B145" s="19" t="str">
        <f t="shared" si="14"/>
        <v>C-Operativa</v>
      </c>
      <c r="C145" s="3" t="s">
        <v>1330</v>
      </c>
      <c r="D145" s="14">
        <v>45733</v>
      </c>
      <c r="E145" s="5" t="s">
        <v>7514</v>
      </c>
      <c r="F145" s="5" t="s">
        <v>1336</v>
      </c>
      <c r="G145" s="6" t="s">
        <v>692</v>
      </c>
      <c r="H145" s="6"/>
      <c r="I145" s="6"/>
      <c r="J145" s="6"/>
      <c r="K145" s="7" t="s">
        <v>7516</v>
      </c>
      <c r="L145" s="8">
        <v>3011037</v>
      </c>
      <c r="M145" s="8" t="str">
        <f t="shared" si="15"/>
        <v>PEN</v>
      </c>
      <c r="N145" s="13"/>
      <c r="O145" s="13">
        <v>110</v>
      </c>
      <c r="P145" s="3">
        <f t="shared" si="16"/>
        <v>0</v>
      </c>
      <c r="Q145" s="3">
        <f t="shared" si="17"/>
        <v>110</v>
      </c>
      <c r="R145" s="3">
        <f t="shared" si="13"/>
        <v>3629.8</v>
      </c>
      <c r="S145" s="24" t="s">
        <v>1334</v>
      </c>
      <c r="T145" s="24" t="s">
        <v>1334</v>
      </c>
      <c r="U145" s="55"/>
      <c r="V145" s="25"/>
      <c r="W145" s="25"/>
      <c r="X145" s="25"/>
      <c r="Y145" s="25"/>
      <c r="Z145" s="25"/>
      <c r="AA145" s="3" t="str">
        <f>IF(Caja_Operativa[[#This Row],[FECHA]]&gt;0,TEXT(Caja_Operativa[[#This Row],[FECHA]],"mmmm"),0)</f>
        <v>Marzo</v>
      </c>
    </row>
    <row r="146" spans="1:27" ht="24" x14ac:dyDescent="0.3">
      <c r="A146" s="2">
        <f>IF(Caja_Operativa[[#This Row],[TIPO DE R.]]="R",COUNTIFS($C$1:$C145,"R")+1,"")</f>
        <v>145</v>
      </c>
      <c r="B146" s="19" t="str">
        <f t="shared" si="14"/>
        <v>C-Operativa</v>
      </c>
      <c r="C146" s="3" t="s">
        <v>1330</v>
      </c>
      <c r="D146" s="14">
        <v>45733</v>
      </c>
      <c r="E146" s="5" t="s">
        <v>7514</v>
      </c>
      <c r="F146" s="5" t="s">
        <v>1336</v>
      </c>
      <c r="G146" s="6" t="s">
        <v>888</v>
      </c>
      <c r="H146" s="6"/>
      <c r="I146" s="6"/>
      <c r="J146" s="6"/>
      <c r="K146" s="7" t="s">
        <v>7516</v>
      </c>
      <c r="L146" s="8">
        <v>3008467</v>
      </c>
      <c r="M146" s="8" t="str">
        <f t="shared" si="15"/>
        <v>PEN</v>
      </c>
      <c r="N146" s="13"/>
      <c r="O146" s="13">
        <v>30</v>
      </c>
      <c r="P146" s="3">
        <f t="shared" si="16"/>
        <v>0</v>
      </c>
      <c r="Q146" s="3">
        <f t="shared" si="17"/>
        <v>30</v>
      </c>
      <c r="R146" s="3">
        <f t="shared" si="13"/>
        <v>3599.8</v>
      </c>
      <c r="S146" s="24" t="s">
        <v>1334</v>
      </c>
      <c r="T146" s="24" t="s">
        <v>1334</v>
      </c>
      <c r="U146" s="55"/>
      <c r="V146" s="25"/>
      <c r="W146" s="25"/>
      <c r="X146" s="25"/>
      <c r="Y146" s="25"/>
      <c r="Z146" s="25"/>
      <c r="AA146" s="3" t="str">
        <f>IF(Caja_Operativa[[#This Row],[FECHA]]&gt;0,TEXT(Caja_Operativa[[#This Row],[FECHA]],"mmmm"),0)</f>
        <v>Marzo</v>
      </c>
    </row>
    <row r="147" spans="1:27" x14ac:dyDescent="0.3">
      <c r="A147" s="2">
        <f>IF(Caja_Operativa[[#This Row],[TIPO DE R.]]="R",COUNTIFS($C$1:$C146,"R")+1,"")</f>
        <v>146</v>
      </c>
      <c r="B147" s="19" t="str">
        <f t="shared" si="14"/>
        <v>C-Operativa</v>
      </c>
      <c r="C147" s="3" t="s">
        <v>1330</v>
      </c>
      <c r="D147" s="14">
        <v>45734</v>
      </c>
      <c r="E147" s="5" t="s">
        <v>7514</v>
      </c>
      <c r="F147" s="5" t="s">
        <v>1336</v>
      </c>
      <c r="G147" s="6" t="s">
        <v>876</v>
      </c>
      <c r="H147" s="6"/>
      <c r="I147" s="6"/>
      <c r="J147" s="6"/>
      <c r="K147" s="7" t="s">
        <v>7516</v>
      </c>
      <c r="L147" s="8">
        <v>444965</v>
      </c>
      <c r="M147" s="8" t="str">
        <f t="shared" si="15"/>
        <v>PEN</v>
      </c>
      <c r="N147" s="13"/>
      <c r="O147" s="13">
        <v>150</v>
      </c>
      <c r="P147" s="3">
        <f t="shared" si="16"/>
        <v>0</v>
      </c>
      <c r="Q147" s="3">
        <f t="shared" si="17"/>
        <v>150</v>
      </c>
      <c r="R147" s="3">
        <f t="shared" si="13"/>
        <v>3449.8</v>
      </c>
      <c r="S147" s="24" t="s">
        <v>1334</v>
      </c>
      <c r="T147" s="24" t="s">
        <v>1334</v>
      </c>
      <c r="U147" s="55"/>
      <c r="V147" s="25"/>
      <c r="W147" s="25"/>
      <c r="X147" s="25"/>
      <c r="Y147" s="25"/>
      <c r="Z147" s="25"/>
      <c r="AA147" s="3" t="str">
        <f>IF(Caja_Operativa[[#This Row],[FECHA]]&gt;0,TEXT(Caja_Operativa[[#This Row],[FECHA]],"mmmm"),0)</f>
        <v>Marzo</v>
      </c>
    </row>
    <row r="148" spans="1:27" ht="24" x14ac:dyDescent="0.3">
      <c r="A148" s="2">
        <f>IF(Caja_Operativa[[#This Row],[TIPO DE R.]]="R",COUNTIFS($C$1:$C147,"R")+1,"")</f>
        <v>147</v>
      </c>
      <c r="B148" s="19" t="str">
        <f t="shared" si="14"/>
        <v>C-Operativa</v>
      </c>
      <c r="C148" s="3" t="s">
        <v>1330</v>
      </c>
      <c r="D148" s="14">
        <v>45734</v>
      </c>
      <c r="E148" s="5" t="s">
        <v>7514</v>
      </c>
      <c r="F148" s="5" t="s">
        <v>1336</v>
      </c>
      <c r="G148" s="6" t="s">
        <v>812</v>
      </c>
      <c r="H148" s="6"/>
      <c r="I148" s="6"/>
      <c r="J148" s="6"/>
      <c r="K148" s="7" t="s">
        <v>7516</v>
      </c>
      <c r="L148" s="8">
        <v>786488</v>
      </c>
      <c r="M148" s="8" t="str">
        <f t="shared" si="15"/>
        <v>PEN</v>
      </c>
      <c r="N148" s="13"/>
      <c r="O148" s="13">
        <v>110</v>
      </c>
      <c r="P148" s="3">
        <f t="shared" si="16"/>
        <v>0</v>
      </c>
      <c r="Q148" s="3">
        <f t="shared" si="17"/>
        <v>110</v>
      </c>
      <c r="R148" s="3">
        <f t="shared" si="13"/>
        <v>3339.8</v>
      </c>
      <c r="S148" s="24" t="s">
        <v>1334</v>
      </c>
      <c r="T148" s="24" t="s">
        <v>1334</v>
      </c>
      <c r="U148" s="55"/>
      <c r="V148" s="25"/>
      <c r="W148" s="25"/>
      <c r="X148" s="25"/>
      <c r="Y148" s="25"/>
      <c r="Z148" s="25"/>
      <c r="AA148" s="3" t="str">
        <f>IF(Caja_Operativa[[#This Row],[FECHA]]&gt;0,TEXT(Caja_Operativa[[#This Row],[FECHA]],"mmmm"),0)</f>
        <v>Marzo</v>
      </c>
    </row>
    <row r="149" spans="1:27" ht="24" x14ac:dyDescent="0.3">
      <c r="A149" s="2">
        <f>IF(Caja_Operativa[[#This Row],[TIPO DE R.]]="R",COUNTIFS($C$1:$C148,"R")+1,"")</f>
        <v>148</v>
      </c>
      <c r="B149" s="19" t="str">
        <f t="shared" si="14"/>
        <v>C-Operativa</v>
      </c>
      <c r="C149" s="3" t="s">
        <v>1330</v>
      </c>
      <c r="D149" s="14">
        <v>45734</v>
      </c>
      <c r="E149" s="5" t="s">
        <v>7514</v>
      </c>
      <c r="F149" s="5" t="s">
        <v>1336</v>
      </c>
      <c r="G149" s="6" t="s">
        <v>922</v>
      </c>
      <c r="H149" s="6"/>
      <c r="I149" s="6"/>
      <c r="J149" s="6"/>
      <c r="K149" s="7" t="s">
        <v>7537</v>
      </c>
      <c r="L149" s="8">
        <v>918407</v>
      </c>
      <c r="M149" s="8" t="str">
        <f t="shared" si="15"/>
        <v>PEN</v>
      </c>
      <c r="N149" s="13"/>
      <c r="O149" s="13">
        <v>110</v>
      </c>
      <c r="P149" s="3">
        <f t="shared" si="16"/>
        <v>0</v>
      </c>
      <c r="Q149" s="3">
        <f t="shared" si="17"/>
        <v>110</v>
      </c>
      <c r="R149" s="3">
        <f t="shared" si="13"/>
        <v>3229.8</v>
      </c>
      <c r="S149" s="24" t="s">
        <v>1334</v>
      </c>
      <c r="T149" s="24" t="s">
        <v>1334</v>
      </c>
      <c r="U149" s="55"/>
      <c r="V149" s="25"/>
      <c r="W149" s="25"/>
      <c r="X149" s="25"/>
      <c r="Y149" s="25"/>
      <c r="Z149" s="25"/>
      <c r="AA149" s="3" t="str">
        <f>IF(Caja_Operativa[[#This Row],[FECHA]]&gt;0,TEXT(Caja_Operativa[[#This Row],[FECHA]],"mmmm"),0)</f>
        <v>Marzo</v>
      </c>
    </row>
    <row r="150" spans="1:27" ht="24" x14ac:dyDescent="0.3">
      <c r="A150" s="2">
        <f>IF(Caja_Operativa[[#This Row],[TIPO DE R.]]="R",COUNTIFS($C$1:$C149,"R")+1,"")</f>
        <v>149</v>
      </c>
      <c r="B150" s="19" t="str">
        <f t="shared" si="14"/>
        <v>C-Operativa</v>
      </c>
      <c r="C150" s="3" t="s">
        <v>1330</v>
      </c>
      <c r="D150" s="14">
        <v>45734</v>
      </c>
      <c r="E150" s="5" t="s">
        <v>7514</v>
      </c>
      <c r="F150" s="5" t="s">
        <v>1336</v>
      </c>
      <c r="G150" s="6" t="s">
        <v>1019</v>
      </c>
      <c r="H150" s="6"/>
      <c r="I150" s="6"/>
      <c r="J150" s="6"/>
      <c r="K150" s="7" t="s">
        <v>7516</v>
      </c>
      <c r="L150" s="8">
        <v>1070434</v>
      </c>
      <c r="M150" s="8" t="str">
        <f t="shared" si="15"/>
        <v>PEN</v>
      </c>
      <c r="N150" s="13"/>
      <c r="O150" s="13">
        <v>120</v>
      </c>
      <c r="P150" s="3">
        <f t="shared" si="16"/>
        <v>0</v>
      </c>
      <c r="Q150" s="3">
        <f t="shared" si="17"/>
        <v>120</v>
      </c>
      <c r="R150" s="3">
        <f t="shared" si="13"/>
        <v>3109.8</v>
      </c>
      <c r="S150" s="24" t="s">
        <v>1334</v>
      </c>
      <c r="T150" s="24" t="s">
        <v>1334</v>
      </c>
      <c r="U150" s="55"/>
      <c r="V150" s="25"/>
      <c r="W150" s="25"/>
      <c r="X150" s="25"/>
      <c r="Y150" s="25"/>
      <c r="Z150" s="25"/>
      <c r="AA150" s="3" t="str">
        <f>IF(Caja_Operativa[[#This Row],[FECHA]]&gt;0,TEXT(Caja_Operativa[[#This Row],[FECHA]],"mmmm"),0)</f>
        <v>Marzo</v>
      </c>
    </row>
    <row r="151" spans="1:27" ht="24" x14ac:dyDescent="0.3">
      <c r="A151" s="2">
        <f>IF(Caja_Operativa[[#This Row],[TIPO DE R.]]="R",COUNTIFS($C$1:$C150,"R")+1,"")</f>
        <v>150</v>
      </c>
      <c r="B151" s="19" t="str">
        <f t="shared" si="14"/>
        <v>C-Operativa</v>
      </c>
      <c r="C151" s="3" t="s">
        <v>1330</v>
      </c>
      <c r="D151" s="14">
        <v>45734</v>
      </c>
      <c r="E151" s="5" t="s">
        <v>7514</v>
      </c>
      <c r="F151" s="5" t="s">
        <v>1336</v>
      </c>
      <c r="G151" s="6" t="s">
        <v>957</v>
      </c>
      <c r="H151" s="6"/>
      <c r="I151" s="6"/>
      <c r="J151" s="6"/>
      <c r="K151" s="7" t="s">
        <v>7516</v>
      </c>
      <c r="L151" s="8">
        <v>3115312</v>
      </c>
      <c r="M151" s="8" t="str">
        <f t="shared" si="15"/>
        <v>PEN</v>
      </c>
      <c r="N151" s="13"/>
      <c r="O151" s="13">
        <v>100</v>
      </c>
      <c r="P151" s="3">
        <f t="shared" si="16"/>
        <v>0</v>
      </c>
      <c r="Q151" s="3">
        <f t="shared" si="17"/>
        <v>100</v>
      </c>
      <c r="R151" s="3">
        <f t="shared" si="13"/>
        <v>3009.8</v>
      </c>
      <c r="S151" s="24" t="s">
        <v>1334</v>
      </c>
      <c r="T151" s="24" t="s">
        <v>1334</v>
      </c>
      <c r="U151" s="55"/>
      <c r="V151" s="25"/>
      <c r="W151" s="25"/>
      <c r="X151" s="25"/>
      <c r="Y151" s="25"/>
      <c r="Z151" s="25"/>
      <c r="AA151" s="3" t="str">
        <f>IF(Caja_Operativa[[#This Row],[FECHA]]&gt;0,TEXT(Caja_Operativa[[#This Row],[FECHA]],"mmmm"),0)</f>
        <v>Marzo</v>
      </c>
    </row>
    <row r="152" spans="1:27" ht="24" x14ac:dyDescent="0.3">
      <c r="A152" s="2">
        <f>IF(Caja_Operativa[[#This Row],[TIPO DE R.]]="R",COUNTIFS($C$1:$C151,"R")+1,"")</f>
        <v>151</v>
      </c>
      <c r="B152" s="19" t="str">
        <f t="shared" si="14"/>
        <v>C-Operativa</v>
      </c>
      <c r="C152" s="3" t="s">
        <v>1330</v>
      </c>
      <c r="D152" s="14">
        <v>45735</v>
      </c>
      <c r="E152" s="5" t="s">
        <v>7514</v>
      </c>
      <c r="F152" s="5" t="s">
        <v>1336</v>
      </c>
      <c r="G152" s="6" t="s">
        <v>1019</v>
      </c>
      <c r="H152" s="6"/>
      <c r="I152" s="6"/>
      <c r="J152" s="6"/>
      <c r="K152" s="7" t="s">
        <v>7600</v>
      </c>
      <c r="L152" s="8">
        <v>981752</v>
      </c>
      <c r="M152" s="8" t="str">
        <f t="shared" si="15"/>
        <v>PEN</v>
      </c>
      <c r="N152" s="13"/>
      <c r="O152" s="13">
        <v>400</v>
      </c>
      <c r="P152" s="3">
        <f t="shared" si="16"/>
        <v>0</v>
      </c>
      <c r="Q152" s="3">
        <f t="shared" si="17"/>
        <v>400</v>
      </c>
      <c r="R152" s="3">
        <f t="shared" si="13"/>
        <v>2609.8000000000002</v>
      </c>
      <c r="S152" s="24" t="s">
        <v>1334</v>
      </c>
      <c r="T152" s="24" t="s">
        <v>1334</v>
      </c>
      <c r="U152" s="55"/>
      <c r="V152" s="25"/>
      <c r="W152" s="25"/>
      <c r="X152" s="25"/>
      <c r="Y152" s="25"/>
      <c r="Z152" s="25"/>
      <c r="AA152" s="3" t="str">
        <f>IF(Caja_Operativa[[#This Row],[FECHA]]&gt;0,TEXT(Caja_Operativa[[#This Row],[FECHA]],"mmmm"),0)</f>
        <v>Marzo</v>
      </c>
    </row>
    <row r="153" spans="1:27" ht="24" x14ac:dyDescent="0.3">
      <c r="A153" s="2">
        <f>IF(Caja_Operativa[[#This Row],[TIPO DE R.]]="R",COUNTIFS($C$1:$C152,"R")+1,"")</f>
        <v>152</v>
      </c>
      <c r="B153" s="19" t="str">
        <f t="shared" si="14"/>
        <v>C-Operativa</v>
      </c>
      <c r="C153" s="3" t="s">
        <v>1330</v>
      </c>
      <c r="D153" s="14">
        <v>45737</v>
      </c>
      <c r="E153" s="5" t="s">
        <v>7514</v>
      </c>
      <c r="F153" s="5" t="s">
        <v>1336</v>
      </c>
      <c r="G153" s="6" t="s">
        <v>1019</v>
      </c>
      <c r="H153" s="6"/>
      <c r="I153" s="6"/>
      <c r="J153" s="6"/>
      <c r="K153" s="7" t="s">
        <v>7600</v>
      </c>
      <c r="L153" s="8">
        <v>472060</v>
      </c>
      <c r="M153" s="8" t="str">
        <f t="shared" si="15"/>
        <v>PEN</v>
      </c>
      <c r="N153" s="13"/>
      <c r="O153" s="13">
        <v>100</v>
      </c>
      <c r="P153" s="3">
        <f t="shared" si="16"/>
        <v>0</v>
      </c>
      <c r="Q153" s="3">
        <f t="shared" si="17"/>
        <v>100</v>
      </c>
      <c r="R153" s="3">
        <f t="shared" si="13"/>
        <v>2509.8000000000002</v>
      </c>
      <c r="S153" s="24" t="s">
        <v>1334</v>
      </c>
      <c r="T153" s="24" t="s">
        <v>1334</v>
      </c>
      <c r="U153" s="55"/>
      <c r="V153" s="25"/>
      <c r="W153" s="25"/>
      <c r="X153" s="25"/>
      <c r="Y153" s="25"/>
      <c r="Z153" s="25"/>
      <c r="AA153" s="3" t="str">
        <f>IF(Caja_Operativa[[#This Row],[FECHA]]&gt;0,TEXT(Caja_Operativa[[#This Row],[FECHA]],"mmmm"),0)</f>
        <v>Marzo</v>
      </c>
    </row>
    <row r="154" spans="1:27" x14ac:dyDescent="0.3">
      <c r="A154" s="2">
        <f>IF(Caja_Operativa[[#This Row],[TIPO DE R.]]="R",COUNTIFS($C$1:$C153,"R")+1,"")</f>
        <v>153</v>
      </c>
      <c r="B154" s="19" t="str">
        <f t="shared" si="14"/>
        <v>C-Operativa</v>
      </c>
      <c r="C154" s="3" t="s">
        <v>1330</v>
      </c>
      <c r="D154" s="14">
        <v>45737</v>
      </c>
      <c r="E154" s="5" t="s">
        <v>7514</v>
      </c>
      <c r="F154" s="5" t="s">
        <v>1336</v>
      </c>
      <c r="G154" s="6" t="s">
        <v>876</v>
      </c>
      <c r="H154" s="6"/>
      <c r="I154" s="6"/>
      <c r="J154" s="6"/>
      <c r="K154" s="7" t="s">
        <v>7516</v>
      </c>
      <c r="L154" s="8">
        <v>558911</v>
      </c>
      <c r="M154" s="8" t="str">
        <f t="shared" si="15"/>
        <v>PEN</v>
      </c>
      <c r="N154" s="13"/>
      <c r="O154" s="13">
        <v>200</v>
      </c>
      <c r="P154" s="3">
        <f t="shared" si="16"/>
        <v>0</v>
      </c>
      <c r="Q154" s="3">
        <f t="shared" si="17"/>
        <v>200</v>
      </c>
      <c r="R154" s="3">
        <f t="shared" si="13"/>
        <v>2309.8000000000002</v>
      </c>
      <c r="S154" s="24" t="s">
        <v>1334</v>
      </c>
      <c r="T154" s="24" t="s">
        <v>1334</v>
      </c>
      <c r="U154" s="55"/>
      <c r="V154" s="25"/>
      <c r="W154" s="25"/>
      <c r="X154" s="25"/>
      <c r="Y154" s="25"/>
      <c r="Z154" s="25"/>
      <c r="AA154" s="3" t="str">
        <f>IF(Caja_Operativa[[#This Row],[FECHA]]&gt;0,TEXT(Caja_Operativa[[#This Row],[FECHA]],"mmmm"),0)</f>
        <v>Marzo</v>
      </c>
    </row>
    <row r="155" spans="1:27" x14ac:dyDescent="0.3">
      <c r="A155" s="2">
        <f>IF(Caja_Operativa[[#This Row],[TIPO DE R.]]="R",COUNTIFS($C$1:$C154,"R")+1,"")</f>
        <v>154</v>
      </c>
      <c r="B155" s="19" t="str">
        <f t="shared" si="14"/>
        <v>C-Operativa</v>
      </c>
      <c r="C155" s="3" t="s">
        <v>1330</v>
      </c>
      <c r="D155" s="14">
        <v>45740</v>
      </c>
      <c r="E155" s="5" t="s">
        <v>7514</v>
      </c>
      <c r="F155" s="5" t="s">
        <v>1336</v>
      </c>
      <c r="G155" s="6" t="s">
        <v>876</v>
      </c>
      <c r="H155" s="6"/>
      <c r="I155" s="6"/>
      <c r="J155" s="6"/>
      <c r="K155" s="7" t="s">
        <v>7601</v>
      </c>
      <c r="L155" s="8">
        <v>3150921</v>
      </c>
      <c r="M155" s="8" t="str">
        <f t="shared" si="15"/>
        <v>PEN</v>
      </c>
      <c r="N155" s="13"/>
      <c r="O155" s="13">
        <v>900</v>
      </c>
      <c r="P155" s="3">
        <f t="shared" si="16"/>
        <v>0</v>
      </c>
      <c r="Q155" s="3">
        <f t="shared" si="17"/>
        <v>900</v>
      </c>
      <c r="R155" s="3">
        <f t="shared" si="13"/>
        <v>1409.8000000000002</v>
      </c>
      <c r="S155" s="24" t="s">
        <v>1334</v>
      </c>
      <c r="T155" s="24" t="s">
        <v>1334</v>
      </c>
      <c r="U155" s="55"/>
      <c r="V155" s="25"/>
      <c r="W155" s="25"/>
      <c r="X155" s="25"/>
      <c r="Y155" s="25"/>
      <c r="Z155" s="25"/>
      <c r="AA155" s="3" t="str">
        <f>IF(Caja_Operativa[[#This Row],[FECHA]]&gt;0,TEXT(Caja_Operativa[[#This Row],[FECHA]],"mmmm"),0)</f>
        <v>Marzo</v>
      </c>
    </row>
    <row r="156" spans="1:27" ht="24" x14ac:dyDescent="0.3">
      <c r="A156" s="2">
        <f>IF(Caja_Operativa[[#This Row],[TIPO DE R.]]="R",COUNTIFS($C$1:$C155,"R")+1,"")</f>
        <v>155</v>
      </c>
      <c r="B156" s="19" t="str">
        <f t="shared" si="14"/>
        <v>C-Operativa</v>
      </c>
      <c r="C156" s="3" t="s">
        <v>1330</v>
      </c>
      <c r="D156" s="14">
        <v>45740</v>
      </c>
      <c r="E156" s="5" t="s">
        <v>7514</v>
      </c>
      <c r="F156" s="5" t="s">
        <v>1336</v>
      </c>
      <c r="G156" s="6" t="s">
        <v>812</v>
      </c>
      <c r="H156" s="6"/>
      <c r="I156" s="6"/>
      <c r="J156" s="6"/>
      <c r="K156" s="7" t="s">
        <v>7516</v>
      </c>
      <c r="L156" s="8">
        <v>3040529</v>
      </c>
      <c r="M156" s="8" t="str">
        <f t="shared" si="15"/>
        <v>PEN</v>
      </c>
      <c r="N156" s="13"/>
      <c r="O156" s="13">
        <v>100</v>
      </c>
      <c r="P156" s="3">
        <f t="shared" si="16"/>
        <v>0</v>
      </c>
      <c r="Q156" s="3">
        <f t="shared" si="17"/>
        <v>100</v>
      </c>
      <c r="R156" s="3">
        <f t="shared" si="13"/>
        <v>1309.8000000000002</v>
      </c>
      <c r="S156" s="24" t="s">
        <v>1334</v>
      </c>
      <c r="T156" s="24" t="s">
        <v>1334</v>
      </c>
      <c r="U156" s="55"/>
      <c r="V156" s="25"/>
      <c r="W156" s="25"/>
      <c r="X156" s="25"/>
      <c r="Y156" s="25"/>
      <c r="Z156" s="25"/>
      <c r="AA156" s="3" t="str">
        <f>IF(Caja_Operativa[[#This Row],[FECHA]]&gt;0,TEXT(Caja_Operativa[[#This Row],[FECHA]],"mmmm"),0)</f>
        <v>Marzo</v>
      </c>
    </row>
    <row r="157" spans="1:27" ht="24" x14ac:dyDescent="0.3">
      <c r="A157" s="2">
        <f>IF(Caja_Operativa[[#This Row],[TIPO DE R.]]="R",COUNTIFS($C$1:$C156,"R")+1,"")</f>
        <v>156</v>
      </c>
      <c r="B157" s="19" t="str">
        <f t="shared" si="14"/>
        <v>C-Operativa</v>
      </c>
      <c r="C157" s="3" t="s">
        <v>1330</v>
      </c>
      <c r="D157" s="14">
        <v>45740</v>
      </c>
      <c r="E157" s="5" t="s">
        <v>7514</v>
      </c>
      <c r="F157" s="5" t="s">
        <v>1336</v>
      </c>
      <c r="G157" s="6" t="s">
        <v>888</v>
      </c>
      <c r="H157" s="6"/>
      <c r="I157" s="6"/>
      <c r="J157" s="6"/>
      <c r="K157" s="7" t="s">
        <v>7516</v>
      </c>
      <c r="L157" s="8">
        <v>3427977</v>
      </c>
      <c r="M157" s="8" t="str">
        <f t="shared" si="15"/>
        <v>PEN</v>
      </c>
      <c r="N157" s="13"/>
      <c r="O157" s="13">
        <v>50</v>
      </c>
      <c r="P157" s="3">
        <f t="shared" si="16"/>
        <v>0</v>
      </c>
      <c r="Q157" s="3">
        <f t="shared" si="17"/>
        <v>50</v>
      </c>
      <c r="R157" s="3">
        <f t="shared" si="13"/>
        <v>1259.8000000000002</v>
      </c>
      <c r="S157" s="24" t="s">
        <v>1334</v>
      </c>
      <c r="T157" s="24" t="s">
        <v>1334</v>
      </c>
      <c r="U157" s="55"/>
      <c r="V157" s="25"/>
      <c r="W157" s="25"/>
      <c r="X157" s="25"/>
      <c r="Y157" s="25"/>
      <c r="Z157" s="25"/>
      <c r="AA157" s="3" t="str">
        <f>IF(Caja_Operativa[[#This Row],[FECHA]]&gt;0,TEXT(Caja_Operativa[[#This Row],[FECHA]],"mmmm"),0)</f>
        <v>Marzo</v>
      </c>
    </row>
    <row r="158" spans="1:27" ht="24" x14ac:dyDescent="0.3">
      <c r="A158" s="2">
        <f>IF(Caja_Operativa[[#This Row],[TIPO DE R.]]="R",COUNTIFS($C$1:$C157,"R")+1,"")</f>
        <v>157</v>
      </c>
      <c r="B158" s="19" t="str">
        <f t="shared" si="14"/>
        <v>C-Operativa</v>
      </c>
      <c r="C158" s="3" t="s">
        <v>1330</v>
      </c>
      <c r="D158" s="14">
        <v>45740</v>
      </c>
      <c r="E158" s="5" t="s">
        <v>7514</v>
      </c>
      <c r="F158" s="5" t="s">
        <v>1336</v>
      </c>
      <c r="G158" s="6" t="s">
        <v>957</v>
      </c>
      <c r="H158" s="6"/>
      <c r="I158" s="6"/>
      <c r="J158" s="6"/>
      <c r="K158" s="7" t="s">
        <v>7516</v>
      </c>
      <c r="L158" s="8">
        <v>3398900</v>
      </c>
      <c r="M158" s="8" t="str">
        <f t="shared" si="15"/>
        <v>PEN</v>
      </c>
      <c r="N158" s="13"/>
      <c r="O158" s="13">
        <v>150</v>
      </c>
      <c r="P158" s="3">
        <f t="shared" si="16"/>
        <v>0</v>
      </c>
      <c r="Q158" s="3">
        <f t="shared" si="17"/>
        <v>150</v>
      </c>
      <c r="R158" s="3">
        <f t="shared" si="13"/>
        <v>1109.8000000000002</v>
      </c>
      <c r="S158" s="24" t="s">
        <v>1334</v>
      </c>
      <c r="T158" s="24" t="s">
        <v>1334</v>
      </c>
      <c r="U158" s="55"/>
      <c r="V158" s="25"/>
      <c r="W158" s="25"/>
      <c r="X158" s="25"/>
      <c r="Y158" s="25"/>
      <c r="Z158" s="25"/>
      <c r="AA158" s="3" t="str">
        <f>IF(Caja_Operativa[[#This Row],[FECHA]]&gt;0,TEXT(Caja_Operativa[[#This Row],[FECHA]],"mmmm"),0)</f>
        <v>Marzo</v>
      </c>
    </row>
    <row r="159" spans="1:27" ht="24" x14ac:dyDescent="0.3">
      <c r="A159" s="2">
        <f>IF(Caja_Operativa[[#This Row],[TIPO DE R.]]="R",COUNTIFS($C$1:$C158,"R")+1,"")</f>
        <v>158</v>
      </c>
      <c r="B159" s="19" t="str">
        <f t="shared" si="14"/>
        <v>C-Operativa</v>
      </c>
      <c r="C159" s="3" t="s">
        <v>1330</v>
      </c>
      <c r="D159" s="14">
        <v>45740</v>
      </c>
      <c r="E159" s="5" t="s">
        <v>7514</v>
      </c>
      <c r="F159" s="5" t="s">
        <v>1336</v>
      </c>
      <c r="G159" s="6" t="s">
        <v>922</v>
      </c>
      <c r="H159" s="6"/>
      <c r="I159" s="6"/>
      <c r="J159" s="6"/>
      <c r="K159" s="7" t="s">
        <v>7516</v>
      </c>
      <c r="L159" s="8">
        <v>3456605</v>
      </c>
      <c r="M159" s="8" t="str">
        <f t="shared" si="15"/>
        <v>PEN</v>
      </c>
      <c r="N159" s="13"/>
      <c r="O159" s="13">
        <v>90</v>
      </c>
      <c r="P159" s="3">
        <f t="shared" si="16"/>
        <v>0</v>
      </c>
      <c r="Q159" s="3">
        <f t="shared" si="17"/>
        <v>90</v>
      </c>
      <c r="R159" s="3">
        <f t="shared" si="13"/>
        <v>1019.8000000000002</v>
      </c>
      <c r="S159" s="24" t="s">
        <v>1334</v>
      </c>
      <c r="T159" s="24" t="s">
        <v>1334</v>
      </c>
      <c r="U159" s="55"/>
      <c r="V159" s="25"/>
      <c r="W159" s="25"/>
      <c r="X159" s="25"/>
      <c r="Y159" s="25"/>
      <c r="Z159" s="25"/>
      <c r="AA159" s="3" t="str">
        <f>IF(Caja_Operativa[[#This Row],[FECHA]]&gt;0,TEXT(Caja_Operativa[[#This Row],[FECHA]],"mmmm"),0)</f>
        <v>Marzo</v>
      </c>
    </row>
    <row r="160" spans="1:27" ht="24" x14ac:dyDescent="0.3">
      <c r="A160" s="2">
        <f>IF(Caja_Operativa[[#This Row],[TIPO DE R.]]="R",COUNTIFS($C$1:$C159,"R")+1,"")</f>
        <v>159</v>
      </c>
      <c r="B160" s="19" t="str">
        <f t="shared" si="14"/>
        <v>C-Operativa</v>
      </c>
      <c r="C160" s="3" t="s">
        <v>1330</v>
      </c>
      <c r="D160" s="14">
        <v>45740</v>
      </c>
      <c r="E160" s="5" t="s">
        <v>7514</v>
      </c>
      <c r="F160" s="5" t="s">
        <v>1336</v>
      </c>
      <c r="G160" s="6" t="s">
        <v>1019</v>
      </c>
      <c r="H160" s="6"/>
      <c r="I160" s="6"/>
      <c r="J160" s="6"/>
      <c r="K160" s="7" t="s">
        <v>7516</v>
      </c>
      <c r="L160" s="8">
        <v>2847668</v>
      </c>
      <c r="M160" s="8" t="str">
        <f t="shared" si="15"/>
        <v>PEN</v>
      </c>
      <c r="N160" s="13"/>
      <c r="O160" s="13">
        <v>220</v>
      </c>
      <c r="P160" s="3">
        <f t="shared" si="16"/>
        <v>0</v>
      </c>
      <c r="Q160" s="3">
        <f t="shared" si="17"/>
        <v>220</v>
      </c>
      <c r="R160" s="3">
        <f t="shared" si="13"/>
        <v>799.80000000000018</v>
      </c>
      <c r="S160" s="24" t="s">
        <v>1334</v>
      </c>
      <c r="T160" s="24" t="s">
        <v>1334</v>
      </c>
      <c r="U160" s="55"/>
      <c r="V160" s="25"/>
      <c r="W160" s="25"/>
      <c r="X160" s="25"/>
      <c r="Y160" s="25"/>
      <c r="Z160" s="25"/>
      <c r="AA160" s="3" t="str">
        <f>IF(Caja_Operativa[[#This Row],[FECHA]]&gt;0,TEXT(Caja_Operativa[[#This Row],[FECHA]],"mmmm"),0)</f>
        <v>Marzo</v>
      </c>
    </row>
    <row r="161" spans="1:27" ht="24" x14ac:dyDescent="0.3">
      <c r="A161" s="2">
        <f>IF(Caja_Operativa[[#This Row],[TIPO DE R.]]="R",COUNTIFS($C$1:$C160,"R")+1,"")</f>
        <v>160</v>
      </c>
      <c r="B161" s="19" t="str">
        <f t="shared" si="14"/>
        <v>C-Operativa</v>
      </c>
      <c r="C161" s="3" t="s">
        <v>1330</v>
      </c>
      <c r="D161" s="14">
        <v>45740</v>
      </c>
      <c r="E161" s="5" t="s">
        <v>7513</v>
      </c>
      <c r="F161" s="5" t="s">
        <v>1303</v>
      </c>
      <c r="G161" s="6" t="s">
        <v>901</v>
      </c>
      <c r="H161" s="6"/>
      <c r="I161" s="6" t="s">
        <v>7539</v>
      </c>
      <c r="J161" s="6">
        <v>6</v>
      </c>
      <c r="K161" s="7" t="s">
        <v>7540</v>
      </c>
      <c r="L161" s="8" t="s">
        <v>7602</v>
      </c>
      <c r="M161" s="8" t="str">
        <f t="shared" si="15"/>
        <v>PEN</v>
      </c>
      <c r="N161" s="13"/>
      <c r="O161" s="13">
        <v>3200.2</v>
      </c>
      <c r="P161" s="3">
        <f t="shared" si="16"/>
        <v>3200.2</v>
      </c>
      <c r="Q161" s="3">
        <f t="shared" si="17"/>
        <v>0</v>
      </c>
      <c r="R161" s="3">
        <f t="shared" si="13"/>
        <v>4000</v>
      </c>
      <c r="S161" s="24"/>
      <c r="T161" s="24"/>
      <c r="U161" s="55"/>
      <c r="V161" s="25" t="s">
        <v>7514</v>
      </c>
      <c r="W161" s="25"/>
      <c r="X161" s="25"/>
      <c r="Y161" s="25"/>
      <c r="Z161" s="25"/>
      <c r="AA161" s="3" t="str">
        <f>IF(Caja_Operativa[[#This Row],[FECHA]]&gt;0,TEXT(Caja_Operativa[[#This Row],[FECHA]],"mmmm"),0)</f>
        <v>Marzo</v>
      </c>
    </row>
    <row r="162" spans="1:27" x14ac:dyDescent="0.3">
      <c r="A162" s="2">
        <f>IF(Caja_Operativa[[#This Row],[TIPO DE R.]]="R",COUNTIFS($C$1:$C161,"R")+1,"")</f>
        <v>161</v>
      </c>
      <c r="B162" s="19" t="str">
        <f t="shared" si="14"/>
        <v>C-Operativa</v>
      </c>
      <c r="C162" s="3" t="s">
        <v>1330</v>
      </c>
      <c r="D162" s="14">
        <v>45740</v>
      </c>
      <c r="E162" s="5" t="s">
        <v>1335</v>
      </c>
      <c r="F162" s="5" t="s">
        <v>1336</v>
      </c>
      <c r="G162" s="6"/>
      <c r="H162" s="6"/>
      <c r="I162" s="6"/>
      <c r="J162" s="6"/>
      <c r="K162" s="7" t="s">
        <v>5061</v>
      </c>
      <c r="L162" s="8"/>
      <c r="M162" s="8" t="str">
        <f t="shared" si="15"/>
        <v>PEN</v>
      </c>
      <c r="N162" s="13"/>
      <c r="O162" s="13">
        <v>0.15</v>
      </c>
      <c r="P162" s="3">
        <f t="shared" si="16"/>
        <v>0</v>
      </c>
      <c r="Q162" s="3">
        <f t="shared" si="17"/>
        <v>0.15</v>
      </c>
      <c r="R162" s="3">
        <f t="shared" si="13"/>
        <v>3999.85</v>
      </c>
      <c r="S162" s="24"/>
      <c r="T162" s="24"/>
      <c r="U162" s="55"/>
      <c r="V162" s="25"/>
      <c r="W162" s="25"/>
      <c r="X162" s="25"/>
      <c r="Y162" s="25"/>
      <c r="Z162" s="25"/>
      <c r="AA162" s="3" t="str">
        <f>IF(Caja_Operativa[[#This Row],[FECHA]]&gt;0,TEXT(Caja_Operativa[[#This Row],[FECHA]],"mmmm"),0)</f>
        <v>Marzo</v>
      </c>
    </row>
    <row r="163" spans="1:27" ht="24" x14ac:dyDescent="0.3">
      <c r="A163" s="2">
        <f>IF(Caja_Operativa[[#This Row],[TIPO DE R.]]="R",COUNTIFS($C$1:$C162,"R")+1,"")</f>
        <v>162</v>
      </c>
      <c r="B163" s="19" t="str">
        <f t="shared" si="14"/>
        <v>C-Operativa</v>
      </c>
      <c r="C163" s="3" t="s">
        <v>1330</v>
      </c>
      <c r="D163" s="14">
        <v>45742</v>
      </c>
      <c r="E163" s="5" t="s">
        <v>7514</v>
      </c>
      <c r="F163" s="5" t="s">
        <v>1336</v>
      </c>
      <c r="G163" s="6" t="s">
        <v>957</v>
      </c>
      <c r="H163" s="6"/>
      <c r="I163" s="6"/>
      <c r="J163" s="6"/>
      <c r="K163" s="7" t="s">
        <v>7516</v>
      </c>
      <c r="L163" s="8">
        <v>3186079</v>
      </c>
      <c r="M163" s="8" t="str">
        <f t="shared" si="15"/>
        <v>PEN</v>
      </c>
      <c r="N163" s="13"/>
      <c r="O163" s="13">
        <v>300</v>
      </c>
      <c r="P163" s="3">
        <f t="shared" si="16"/>
        <v>0</v>
      </c>
      <c r="Q163" s="3">
        <f t="shared" si="17"/>
        <v>300</v>
      </c>
      <c r="R163" s="3">
        <f t="shared" si="13"/>
        <v>3699.85</v>
      </c>
      <c r="S163" s="24" t="s">
        <v>1334</v>
      </c>
      <c r="T163" s="24" t="s">
        <v>1334</v>
      </c>
      <c r="U163" s="55"/>
      <c r="V163" s="25"/>
      <c r="W163" s="25"/>
      <c r="X163" s="25"/>
      <c r="Y163" s="25"/>
      <c r="Z163" s="25"/>
      <c r="AA163" s="3" t="str">
        <f>IF(Caja_Operativa[[#This Row],[FECHA]]&gt;0,TEXT(Caja_Operativa[[#This Row],[FECHA]],"mmmm"),0)</f>
        <v>Marzo</v>
      </c>
    </row>
    <row r="164" spans="1:27" ht="24" x14ac:dyDescent="0.3">
      <c r="A164" s="2">
        <f>IF(Caja_Operativa[[#This Row],[TIPO DE R.]]="R",COUNTIFS($C$1:$C163,"R")+1,"")</f>
        <v>163</v>
      </c>
      <c r="B164" s="19" t="str">
        <f t="shared" si="14"/>
        <v>C-Operativa</v>
      </c>
      <c r="C164" s="3" t="s">
        <v>1330</v>
      </c>
      <c r="D164" s="14">
        <v>45747</v>
      </c>
      <c r="E164" s="5" t="s">
        <v>7514</v>
      </c>
      <c r="F164" s="5" t="s">
        <v>1336</v>
      </c>
      <c r="G164" s="6" t="s">
        <v>692</v>
      </c>
      <c r="H164" s="6"/>
      <c r="I164" s="6"/>
      <c r="J164" s="6"/>
      <c r="K164" s="7" t="s">
        <v>7516</v>
      </c>
      <c r="L164" s="8">
        <v>531801</v>
      </c>
      <c r="M164" s="8" t="str">
        <f t="shared" si="15"/>
        <v>PEN</v>
      </c>
      <c r="N164" s="13"/>
      <c r="O164" s="13">
        <v>220</v>
      </c>
      <c r="P164" s="3">
        <f t="shared" si="16"/>
        <v>0</v>
      </c>
      <c r="Q164" s="3">
        <f t="shared" si="17"/>
        <v>220</v>
      </c>
      <c r="R164" s="3">
        <f t="shared" si="13"/>
        <v>3479.85</v>
      </c>
      <c r="S164" s="24" t="s">
        <v>1334</v>
      </c>
      <c r="T164" s="24" t="s">
        <v>1334</v>
      </c>
      <c r="U164" s="55"/>
      <c r="V164" s="25"/>
      <c r="W164" s="25"/>
      <c r="X164" s="25"/>
      <c r="Y164" s="25"/>
      <c r="Z164" s="25"/>
      <c r="AA164" s="3" t="str">
        <f>IF(Caja_Operativa[[#This Row],[FECHA]]&gt;0,TEXT(Caja_Operativa[[#This Row],[FECHA]],"mmmm"),0)</f>
        <v>Marzo</v>
      </c>
    </row>
    <row r="165" spans="1:27" x14ac:dyDescent="0.3">
      <c r="A165" s="2">
        <f>IF(Caja_Operativa[[#This Row],[TIPO DE R.]]="R",COUNTIFS($C$1:$C164,"R")+1,"")</f>
        <v>164</v>
      </c>
      <c r="B165" s="19" t="str">
        <f t="shared" si="14"/>
        <v>C-Operativa</v>
      </c>
      <c r="C165" s="3" t="s">
        <v>1330</v>
      </c>
      <c r="D165" s="14">
        <v>45747</v>
      </c>
      <c r="E165" s="5" t="s">
        <v>7514</v>
      </c>
      <c r="F165" s="5" t="s">
        <v>1336</v>
      </c>
      <c r="G165" s="6" t="s">
        <v>876</v>
      </c>
      <c r="H165" s="6"/>
      <c r="I165" s="6"/>
      <c r="J165" s="6"/>
      <c r="K165" s="7" t="s">
        <v>7516</v>
      </c>
      <c r="L165" s="8">
        <v>1074315</v>
      </c>
      <c r="M165" s="8" t="str">
        <f t="shared" si="15"/>
        <v>PEN</v>
      </c>
      <c r="N165" s="13"/>
      <c r="O165" s="13">
        <v>140</v>
      </c>
      <c r="P165" s="3">
        <f t="shared" si="16"/>
        <v>0</v>
      </c>
      <c r="Q165" s="3">
        <f t="shared" si="17"/>
        <v>140</v>
      </c>
      <c r="R165" s="3">
        <f t="shared" si="13"/>
        <v>3339.85</v>
      </c>
      <c r="S165" s="24" t="s">
        <v>1334</v>
      </c>
      <c r="T165" s="24" t="s">
        <v>1334</v>
      </c>
      <c r="U165" s="55"/>
      <c r="V165" s="25"/>
      <c r="W165" s="25"/>
      <c r="X165" s="25"/>
      <c r="Y165" s="25"/>
      <c r="Z165" s="25"/>
      <c r="AA165" s="3" t="str">
        <f>IF(Caja_Operativa[[#This Row],[FECHA]]&gt;0,TEXT(Caja_Operativa[[#This Row],[FECHA]],"mmmm"),0)</f>
        <v>Marzo</v>
      </c>
    </row>
    <row r="166" spans="1:27" ht="24" x14ac:dyDescent="0.3">
      <c r="A166" s="2">
        <f>IF(Caja_Operativa[[#This Row],[TIPO DE R.]]="R",COUNTIFS($C$1:$C165,"R")+1,"")</f>
        <v>165</v>
      </c>
      <c r="B166" s="19" t="str">
        <f t="shared" si="14"/>
        <v>C-Operativa</v>
      </c>
      <c r="C166" s="3" t="s">
        <v>1330</v>
      </c>
      <c r="D166" s="14">
        <v>45748</v>
      </c>
      <c r="E166" s="5" t="s">
        <v>7514</v>
      </c>
      <c r="F166" s="5" t="s">
        <v>1336</v>
      </c>
      <c r="G166" s="6" t="s">
        <v>812</v>
      </c>
      <c r="H166" s="6"/>
      <c r="I166" s="6"/>
      <c r="J166" s="6"/>
      <c r="K166" s="7" t="s">
        <v>7516</v>
      </c>
      <c r="L166" s="8">
        <v>576863</v>
      </c>
      <c r="M166" s="8" t="str">
        <f t="shared" si="15"/>
        <v>PEN</v>
      </c>
      <c r="N166" s="13"/>
      <c r="O166" s="13">
        <v>140</v>
      </c>
      <c r="P166" s="3">
        <f t="shared" si="16"/>
        <v>0</v>
      </c>
      <c r="Q166" s="3">
        <f t="shared" si="17"/>
        <v>140</v>
      </c>
      <c r="R166" s="3">
        <f t="shared" si="13"/>
        <v>3199.85</v>
      </c>
      <c r="S166" s="24" t="s">
        <v>1334</v>
      </c>
      <c r="T166" s="24" t="s">
        <v>1334</v>
      </c>
      <c r="U166" s="55"/>
      <c r="V166" s="25"/>
      <c r="W166" s="25"/>
      <c r="X166" s="25"/>
      <c r="Y166" s="25"/>
      <c r="Z166" s="25"/>
      <c r="AA166" s="3" t="str">
        <f>IF(Caja_Operativa[[#This Row],[FECHA]]&gt;0,TEXT(Caja_Operativa[[#This Row],[FECHA]],"mmmm"),0)</f>
        <v>Abril</v>
      </c>
    </row>
    <row r="167" spans="1:27" ht="24" x14ac:dyDescent="0.3">
      <c r="A167" s="2">
        <f>IF(Caja_Operativa[[#This Row],[TIPO DE R.]]="R",COUNTIFS($C$1:$C166,"R")+1,"")</f>
        <v>166</v>
      </c>
      <c r="B167" s="19" t="str">
        <f t="shared" si="14"/>
        <v>C-Operativa</v>
      </c>
      <c r="C167" s="3" t="s">
        <v>1330</v>
      </c>
      <c r="D167" s="14">
        <v>45748</v>
      </c>
      <c r="E167" s="5" t="s">
        <v>7514</v>
      </c>
      <c r="F167" s="5" t="s">
        <v>1336</v>
      </c>
      <c r="G167" s="6" t="s">
        <v>1019</v>
      </c>
      <c r="H167" s="6"/>
      <c r="I167" s="6"/>
      <c r="J167" s="6"/>
      <c r="K167" s="7" t="s">
        <v>7516</v>
      </c>
      <c r="L167" s="8">
        <v>568394</v>
      </c>
      <c r="M167" s="8" t="str">
        <f t="shared" si="15"/>
        <v>PEN</v>
      </c>
      <c r="N167" s="13"/>
      <c r="O167" s="13">
        <v>150</v>
      </c>
      <c r="P167" s="3">
        <f t="shared" si="16"/>
        <v>0</v>
      </c>
      <c r="Q167" s="3">
        <f t="shared" si="17"/>
        <v>150</v>
      </c>
      <c r="R167" s="3">
        <f t="shared" si="13"/>
        <v>3049.85</v>
      </c>
      <c r="S167" s="24" t="s">
        <v>1334</v>
      </c>
      <c r="T167" s="24" t="s">
        <v>1334</v>
      </c>
      <c r="U167" s="55"/>
      <c r="V167" s="25"/>
      <c r="W167" s="25"/>
      <c r="X167" s="25"/>
      <c r="Y167" s="25"/>
      <c r="Z167" s="25"/>
      <c r="AA167" s="3" t="str">
        <f>IF(Caja_Operativa[[#This Row],[FECHA]]&gt;0,TEXT(Caja_Operativa[[#This Row],[FECHA]],"mmmm"),0)</f>
        <v>Abril</v>
      </c>
    </row>
    <row r="168" spans="1:27" ht="24" x14ac:dyDescent="0.3">
      <c r="A168" s="2">
        <f>IF(Caja_Operativa[[#This Row],[TIPO DE R.]]="R",COUNTIFS($C$1:$C167,"R")+1,"")</f>
        <v>167</v>
      </c>
      <c r="B168" s="19" t="str">
        <f t="shared" si="14"/>
        <v>C-Operativa</v>
      </c>
      <c r="C168" s="3" t="s">
        <v>1330</v>
      </c>
      <c r="D168" s="14">
        <v>45749</v>
      </c>
      <c r="E168" s="5" t="s">
        <v>7514</v>
      </c>
      <c r="F168" s="5" t="s">
        <v>1336</v>
      </c>
      <c r="G168" s="6" t="s">
        <v>888</v>
      </c>
      <c r="H168" s="6"/>
      <c r="I168" s="6"/>
      <c r="J168" s="6"/>
      <c r="K168" s="7" t="s">
        <v>7516</v>
      </c>
      <c r="L168" s="8">
        <v>615973</v>
      </c>
      <c r="M168" s="8" t="str">
        <f t="shared" si="15"/>
        <v>PEN</v>
      </c>
      <c r="N168" s="13"/>
      <c r="O168" s="13">
        <v>120</v>
      </c>
      <c r="P168" s="3">
        <f t="shared" si="16"/>
        <v>0</v>
      </c>
      <c r="Q168" s="3">
        <f t="shared" si="17"/>
        <v>120</v>
      </c>
      <c r="R168" s="3">
        <f t="shared" si="13"/>
        <v>2929.85</v>
      </c>
      <c r="S168" s="24" t="s">
        <v>1334</v>
      </c>
      <c r="T168" s="24" t="s">
        <v>1334</v>
      </c>
      <c r="U168" s="55"/>
      <c r="V168" s="25"/>
      <c r="W168" s="25"/>
      <c r="X168" s="25"/>
      <c r="Y168" s="25"/>
      <c r="Z168" s="25"/>
      <c r="AA168" s="3" t="str">
        <f>IF(Caja_Operativa[[#This Row],[FECHA]]&gt;0,TEXT(Caja_Operativa[[#This Row],[FECHA]],"mmmm"),0)</f>
        <v>Abril</v>
      </c>
    </row>
    <row r="169" spans="1:27" ht="24" x14ac:dyDescent="0.3">
      <c r="A169" s="2">
        <f>IF(Caja_Operativa[[#This Row],[TIPO DE R.]]="R",COUNTIFS($C$1:$C168,"R")+1,"")</f>
        <v>168</v>
      </c>
      <c r="B169" s="19" t="str">
        <f t="shared" si="14"/>
        <v>C-Operativa</v>
      </c>
      <c r="C169" s="3" t="s">
        <v>1330</v>
      </c>
      <c r="D169" s="14">
        <v>45749</v>
      </c>
      <c r="E169" s="5" t="s">
        <v>7514</v>
      </c>
      <c r="F169" s="5" t="s">
        <v>1336</v>
      </c>
      <c r="G169" s="6" t="s">
        <v>829</v>
      </c>
      <c r="H169" s="6"/>
      <c r="I169" s="6"/>
      <c r="J169" s="6"/>
      <c r="K169" s="7" t="s">
        <v>7516</v>
      </c>
      <c r="L169" s="8">
        <v>666040</v>
      </c>
      <c r="M169" s="8" t="str">
        <f t="shared" si="15"/>
        <v>PEN</v>
      </c>
      <c r="N169" s="13"/>
      <c r="O169" s="13">
        <v>130</v>
      </c>
      <c r="P169" s="3">
        <f t="shared" si="16"/>
        <v>0</v>
      </c>
      <c r="Q169" s="3">
        <f t="shared" si="17"/>
        <v>130</v>
      </c>
      <c r="R169" s="3">
        <f t="shared" si="13"/>
        <v>2799.85</v>
      </c>
      <c r="S169" s="24" t="s">
        <v>1334</v>
      </c>
      <c r="T169" s="24" t="s">
        <v>1334</v>
      </c>
      <c r="U169" s="55"/>
      <c r="V169" s="25"/>
      <c r="W169" s="25"/>
      <c r="X169" s="25"/>
      <c r="Y169" s="25"/>
      <c r="Z169" s="25"/>
      <c r="AA169" s="3" t="str">
        <f>IF(Caja_Operativa[[#This Row],[FECHA]]&gt;0,TEXT(Caja_Operativa[[#This Row],[FECHA]],"mmmm"),0)</f>
        <v>Abril</v>
      </c>
    </row>
    <row r="170" spans="1:27" ht="60" x14ac:dyDescent="0.3">
      <c r="A170" s="2">
        <f>IF(Caja_Operativa[[#This Row],[TIPO DE R.]]="R",COUNTIFS($C$1:$C169,"R")+1,"")</f>
        <v>169</v>
      </c>
      <c r="B170" s="19" t="str">
        <f t="shared" si="14"/>
        <v>C-Operativa</v>
      </c>
      <c r="C170" s="3" t="s">
        <v>1330</v>
      </c>
      <c r="D170" s="14">
        <v>45749</v>
      </c>
      <c r="E170" s="5" t="s">
        <v>7514</v>
      </c>
      <c r="F170" s="5" t="s">
        <v>1336</v>
      </c>
      <c r="G170" s="6"/>
      <c r="H170" s="6"/>
      <c r="I170" s="6"/>
      <c r="J170" s="6"/>
      <c r="K170" s="7" t="s">
        <v>7603</v>
      </c>
      <c r="L170" s="8">
        <v>2834136</v>
      </c>
      <c r="M170" s="8" t="str">
        <f t="shared" si="15"/>
        <v>PEN</v>
      </c>
      <c r="N170" s="13"/>
      <c r="O170" s="13">
        <v>8</v>
      </c>
      <c r="P170" s="3">
        <f t="shared" si="16"/>
        <v>0</v>
      </c>
      <c r="Q170" s="3">
        <f t="shared" si="17"/>
        <v>8</v>
      </c>
      <c r="R170" s="3">
        <f t="shared" si="13"/>
        <v>2791.85</v>
      </c>
      <c r="S170" s="24"/>
      <c r="T170" s="24"/>
      <c r="U170" s="55"/>
      <c r="V170" s="25" t="s">
        <v>7519</v>
      </c>
      <c r="W170" s="25"/>
      <c r="X170" s="25"/>
      <c r="Y170" s="25"/>
      <c r="Z170" s="25"/>
      <c r="AA170" s="3" t="str">
        <f>IF(Caja_Operativa[[#This Row],[FECHA]]&gt;0,TEXT(Caja_Operativa[[#This Row],[FECHA]],"mmmm"),0)</f>
        <v>Abril</v>
      </c>
    </row>
    <row r="171" spans="1:27" ht="60" x14ac:dyDescent="0.3">
      <c r="A171" s="2">
        <f>IF(Caja_Operativa[[#This Row],[TIPO DE R.]]="R",COUNTIFS($C$1:$C170,"R")+1,"")</f>
        <v>170</v>
      </c>
      <c r="B171" s="19" t="str">
        <f t="shared" si="14"/>
        <v>C-Operativa</v>
      </c>
      <c r="C171" s="3" t="s">
        <v>1330</v>
      </c>
      <c r="D171" s="14">
        <v>45749</v>
      </c>
      <c r="E171" s="5" t="s">
        <v>7514</v>
      </c>
      <c r="F171" s="5" t="s">
        <v>1336</v>
      </c>
      <c r="G171" s="6"/>
      <c r="H171" s="6"/>
      <c r="I171" s="6"/>
      <c r="J171" s="6"/>
      <c r="K171" s="7" t="s">
        <v>7604</v>
      </c>
      <c r="L171" s="8">
        <v>2841763</v>
      </c>
      <c r="M171" s="8" t="str">
        <f t="shared" si="15"/>
        <v>PEN</v>
      </c>
      <c r="N171" s="13"/>
      <c r="O171" s="13">
        <v>20</v>
      </c>
      <c r="P171" s="3">
        <f t="shared" si="16"/>
        <v>0</v>
      </c>
      <c r="Q171" s="3">
        <f t="shared" si="17"/>
        <v>20</v>
      </c>
      <c r="R171" s="3">
        <f t="shared" si="13"/>
        <v>2771.85</v>
      </c>
      <c r="S171" s="24"/>
      <c r="T171" s="24"/>
      <c r="U171" s="55"/>
      <c r="V171" s="25" t="s">
        <v>7519</v>
      </c>
      <c r="W171" s="25"/>
      <c r="X171" s="25"/>
      <c r="Y171" s="25"/>
      <c r="Z171" s="25"/>
      <c r="AA171" s="3" t="str">
        <f>IF(Caja_Operativa[[#This Row],[FECHA]]&gt;0,TEXT(Caja_Operativa[[#This Row],[FECHA]],"mmmm"),0)</f>
        <v>Abril</v>
      </c>
    </row>
    <row r="172" spans="1:27" ht="60" x14ac:dyDescent="0.3">
      <c r="A172" s="2">
        <f>IF(Caja_Operativa[[#This Row],[TIPO DE R.]]="R",COUNTIFS($C$1:$C171,"R")+1,"")</f>
        <v>171</v>
      </c>
      <c r="B172" s="19" t="str">
        <f t="shared" si="14"/>
        <v>C-Operativa</v>
      </c>
      <c r="C172" s="3" t="s">
        <v>1330</v>
      </c>
      <c r="D172" s="14">
        <v>45749</v>
      </c>
      <c r="E172" s="5" t="s">
        <v>7514</v>
      </c>
      <c r="F172" s="5" t="s">
        <v>1336</v>
      </c>
      <c r="G172" s="6"/>
      <c r="H172" s="6"/>
      <c r="I172" s="6"/>
      <c r="J172" s="6"/>
      <c r="K172" s="7" t="s">
        <v>7605</v>
      </c>
      <c r="L172" s="8">
        <v>2877182</v>
      </c>
      <c r="M172" s="8" t="str">
        <f t="shared" si="15"/>
        <v>PEN</v>
      </c>
      <c r="N172" s="13"/>
      <c r="O172" s="13">
        <v>8</v>
      </c>
      <c r="P172" s="3">
        <f t="shared" si="16"/>
        <v>0</v>
      </c>
      <c r="Q172" s="3">
        <f t="shared" si="17"/>
        <v>8</v>
      </c>
      <c r="R172" s="3">
        <f t="shared" si="13"/>
        <v>2763.85</v>
      </c>
      <c r="S172" s="24"/>
      <c r="T172" s="24"/>
      <c r="U172" s="55"/>
      <c r="V172" s="25" t="s">
        <v>7519</v>
      </c>
      <c r="W172" s="25"/>
      <c r="X172" s="25"/>
      <c r="Y172" s="25"/>
      <c r="Z172" s="25"/>
      <c r="AA172" s="3" t="str">
        <f>IF(Caja_Operativa[[#This Row],[FECHA]]&gt;0,TEXT(Caja_Operativa[[#This Row],[FECHA]],"mmmm"),0)</f>
        <v>Abril</v>
      </c>
    </row>
    <row r="173" spans="1:27" ht="60" x14ac:dyDescent="0.3">
      <c r="A173" s="2">
        <f>IF(Caja_Operativa[[#This Row],[TIPO DE R.]]="R",COUNTIFS($C$1:$C172,"R")+1,"")</f>
        <v>172</v>
      </c>
      <c r="B173" s="19" t="str">
        <f t="shared" si="14"/>
        <v>C-Operativa</v>
      </c>
      <c r="C173" s="3" t="s">
        <v>1330</v>
      </c>
      <c r="D173" s="14">
        <v>45749</v>
      </c>
      <c r="E173" s="5" t="s">
        <v>7514</v>
      </c>
      <c r="F173" s="5" t="s">
        <v>1336</v>
      </c>
      <c r="G173" s="6"/>
      <c r="H173" s="6"/>
      <c r="I173" s="6"/>
      <c r="J173" s="6"/>
      <c r="K173" s="7" t="s">
        <v>7606</v>
      </c>
      <c r="L173" s="8">
        <v>2863148</v>
      </c>
      <c r="M173" s="8" t="str">
        <f t="shared" si="15"/>
        <v>PEN</v>
      </c>
      <c r="N173" s="13"/>
      <c r="O173" s="13">
        <v>8</v>
      </c>
      <c r="P173" s="3">
        <f t="shared" si="16"/>
        <v>0</v>
      </c>
      <c r="Q173" s="3">
        <f t="shared" si="17"/>
        <v>8</v>
      </c>
      <c r="R173" s="3">
        <f t="shared" si="13"/>
        <v>2755.85</v>
      </c>
      <c r="S173" s="24"/>
      <c r="T173" s="24"/>
      <c r="U173" s="55"/>
      <c r="V173" s="25" t="s">
        <v>7519</v>
      </c>
      <c r="W173" s="25"/>
      <c r="X173" s="25"/>
      <c r="Y173" s="25"/>
      <c r="Z173" s="25"/>
      <c r="AA173" s="3" t="str">
        <f>IF(Caja_Operativa[[#This Row],[FECHA]]&gt;0,TEXT(Caja_Operativa[[#This Row],[FECHA]],"mmmm"),0)</f>
        <v>Abril</v>
      </c>
    </row>
    <row r="174" spans="1:27" ht="60" x14ac:dyDescent="0.3">
      <c r="A174" s="2">
        <f>IF(Caja_Operativa[[#This Row],[TIPO DE R.]]="R",COUNTIFS($C$1:$C173,"R")+1,"")</f>
        <v>173</v>
      </c>
      <c r="B174" s="19" t="str">
        <f t="shared" si="14"/>
        <v>C-Operativa</v>
      </c>
      <c r="C174" s="3" t="s">
        <v>1330</v>
      </c>
      <c r="D174" s="14">
        <v>45749</v>
      </c>
      <c r="E174" s="5" t="s">
        <v>7514</v>
      </c>
      <c r="F174" s="5" t="s">
        <v>1336</v>
      </c>
      <c r="G174" s="6"/>
      <c r="H174" s="6"/>
      <c r="I174" s="6"/>
      <c r="J174" s="6"/>
      <c r="K174" s="7" t="s">
        <v>7607</v>
      </c>
      <c r="L174" s="8">
        <v>2854628</v>
      </c>
      <c r="M174" s="8" t="str">
        <f t="shared" si="15"/>
        <v>PEN</v>
      </c>
      <c r="N174" s="13"/>
      <c r="O174" s="13">
        <v>8</v>
      </c>
      <c r="P174" s="3">
        <f t="shared" si="16"/>
        <v>0</v>
      </c>
      <c r="Q174" s="3">
        <f t="shared" si="17"/>
        <v>8</v>
      </c>
      <c r="R174" s="3">
        <f t="shared" si="13"/>
        <v>2747.85</v>
      </c>
      <c r="S174" s="24"/>
      <c r="T174" s="24"/>
      <c r="U174" s="55"/>
      <c r="V174" s="25" t="s">
        <v>7519</v>
      </c>
      <c r="W174" s="25"/>
      <c r="X174" s="25"/>
      <c r="Y174" s="25"/>
      <c r="Z174" s="25"/>
      <c r="AA174" s="3" t="str">
        <f>IF(Caja_Operativa[[#This Row],[FECHA]]&gt;0,TEXT(Caja_Operativa[[#This Row],[FECHA]],"mmmm"),0)</f>
        <v>Abril</v>
      </c>
    </row>
    <row r="175" spans="1:27" ht="60" x14ac:dyDescent="0.3">
      <c r="A175" s="2">
        <f>IF(Caja_Operativa[[#This Row],[TIPO DE R.]]="R",COUNTIFS($C$1:$C174,"R")+1,"")</f>
        <v>174</v>
      </c>
      <c r="B175" s="19" t="str">
        <f t="shared" si="14"/>
        <v>C-Operativa</v>
      </c>
      <c r="C175" s="3" t="s">
        <v>1330</v>
      </c>
      <c r="D175" s="14">
        <v>45749</v>
      </c>
      <c r="E175" s="5" t="s">
        <v>7514</v>
      </c>
      <c r="F175" s="5" t="s">
        <v>1336</v>
      </c>
      <c r="G175" s="6"/>
      <c r="H175" s="6"/>
      <c r="I175" s="6"/>
      <c r="J175" s="6"/>
      <c r="K175" s="7" t="s">
        <v>7608</v>
      </c>
      <c r="L175" s="8">
        <v>2861291</v>
      </c>
      <c r="M175" s="8" t="str">
        <f t="shared" si="15"/>
        <v>PEN</v>
      </c>
      <c r="N175" s="13"/>
      <c r="O175" s="13">
        <v>10</v>
      </c>
      <c r="P175" s="3">
        <f t="shared" si="16"/>
        <v>0</v>
      </c>
      <c r="Q175" s="3">
        <f t="shared" si="17"/>
        <v>10</v>
      </c>
      <c r="R175" s="3">
        <f t="shared" si="13"/>
        <v>2737.85</v>
      </c>
      <c r="S175" s="24"/>
      <c r="T175" s="24"/>
      <c r="U175" s="55"/>
      <c r="V175" s="25" t="s">
        <v>7519</v>
      </c>
      <c r="W175" s="25"/>
      <c r="X175" s="25"/>
      <c r="Y175" s="25"/>
      <c r="Z175" s="25"/>
      <c r="AA175" s="3" t="str">
        <f>IF(Caja_Operativa[[#This Row],[FECHA]]&gt;0,TEXT(Caja_Operativa[[#This Row],[FECHA]],"mmmm"),0)</f>
        <v>Abril</v>
      </c>
    </row>
    <row r="176" spans="1:27" ht="60" x14ac:dyDescent="0.3">
      <c r="A176" s="2">
        <f>IF(Caja_Operativa[[#This Row],[TIPO DE R.]]="R",COUNTIFS($C$1:$C175,"R")+1,"")</f>
        <v>175</v>
      </c>
      <c r="B176" s="19" t="str">
        <f t="shared" si="14"/>
        <v>C-Operativa</v>
      </c>
      <c r="C176" s="3" t="s">
        <v>1330</v>
      </c>
      <c r="D176" s="14">
        <v>45749</v>
      </c>
      <c r="E176" s="5" t="s">
        <v>7514</v>
      </c>
      <c r="F176" s="5" t="s">
        <v>1336</v>
      </c>
      <c r="G176" s="6"/>
      <c r="H176" s="6"/>
      <c r="I176" s="6"/>
      <c r="J176" s="6"/>
      <c r="K176" s="7" t="s">
        <v>7609</v>
      </c>
      <c r="L176" s="8">
        <v>2861798</v>
      </c>
      <c r="M176" s="8" t="str">
        <f t="shared" si="15"/>
        <v>PEN</v>
      </c>
      <c r="N176" s="13"/>
      <c r="O176" s="13">
        <v>8</v>
      </c>
      <c r="P176" s="3">
        <f t="shared" si="16"/>
        <v>0</v>
      </c>
      <c r="Q176" s="3">
        <f t="shared" si="17"/>
        <v>8</v>
      </c>
      <c r="R176" s="3">
        <f t="shared" si="13"/>
        <v>2729.85</v>
      </c>
      <c r="S176" s="24"/>
      <c r="T176" s="24"/>
      <c r="U176" s="55"/>
      <c r="V176" s="25" t="s">
        <v>7519</v>
      </c>
      <c r="W176" s="25"/>
      <c r="X176" s="25"/>
      <c r="Y176" s="25"/>
      <c r="Z176" s="25"/>
      <c r="AA176" s="3" t="str">
        <f>IF(Caja_Operativa[[#This Row],[FECHA]]&gt;0,TEXT(Caja_Operativa[[#This Row],[FECHA]],"mmmm"),0)</f>
        <v>Abril</v>
      </c>
    </row>
    <row r="177" spans="1:27" ht="60" x14ac:dyDescent="0.3">
      <c r="A177" s="2">
        <f>IF(Caja_Operativa[[#This Row],[TIPO DE R.]]="R",COUNTIFS($C$1:$C176,"R")+1,"")</f>
        <v>176</v>
      </c>
      <c r="B177" s="19" t="str">
        <f t="shared" si="14"/>
        <v>C-Operativa</v>
      </c>
      <c r="C177" s="3" t="s">
        <v>1330</v>
      </c>
      <c r="D177" s="14">
        <v>45749</v>
      </c>
      <c r="E177" s="5" t="s">
        <v>7514</v>
      </c>
      <c r="F177" s="5" t="s">
        <v>1336</v>
      </c>
      <c r="G177" s="6"/>
      <c r="H177" s="6"/>
      <c r="I177" s="6"/>
      <c r="J177" s="6"/>
      <c r="K177" s="7" t="s">
        <v>7610</v>
      </c>
      <c r="L177" s="8">
        <v>2883721</v>
      </c>
      <c r="M177" s="8" t="str">
        <f t="shared" si="15"/>
        <v>PEN</v>
      </c>
      <c r="N177" s="13"/>
      <c r="O177" s="13">
        <v>8</v>
      </c>
      <c r="P177" s="3">
        <f t="shared" si="16"/>
        <v>0</v>
      </c>
      <c r="Q177" s="3">
        <f t="shared" si="17"/>
        <v>8</v>
      </c>
      <c r="R177" s="3">
        <f t="shared" si="13"/>
        <v>2721.85</v>
      </c>
      <c r="S177" s="24"/>
      <c r="T177" s="24"/>
      <c r="U177" s="55"/>
      <c r="V177" s="25" t="s">
        <v>7519</v>
      </c>
      <c r="W177" s="25"/>
      <c r="X177" s="25"/>
      <c r="Y177" s="25"/>
      <c r="Z177" s="25"/>
      <c r="AA177" s="3" t="str">
        <f>IF(Caja_Operativa[[#This Row],[FECHA]]&gt;0,TEXT(Caja_Operativa[[#This Row],[FECHA]],"mmmm"),0)</f>
        <v>Abril</v>
      </c>
    </row>
    <row r="178" spans="1:27" ht="60" x14ac:dyDescent="0.3">
      <c r="A178" s="2">
        <f>IF(Caja_Operativa[[#This Row],[TIPO DE R.]]="R",COUNTIFS($C$1:$C177,"R")+1,"")</f>
        <v>177</v>
      </c>
      <c r="B178" s="19" t="str">
        <f t="shared" si="14"/>
        <v>C-Operativa</v>
      </c>
      <c r="C178" s="3" t="s">
        <v>1330</v>
      </c>
      <c r="D178" s="14">
        <v>45749</v>
      </c>
      <c r="E178" s="5" t="s">
        <v>7514</v>
      </c>
      <c r="F178" s="5" t="s">
        <v>1336</v>
      </c>
      <c r="G178" s="6"/>
      <c r="H178" s="6"/>
      <c r="I178" s="6"/>
      <c r="J178" s="6"/>
      <c r="K178" s="7" t="s">
        <v>7611</v>
      </c>
      <c r="L178" s="8">
        <v>2911035</v>
      </c>
      <c r="M178" s="8" t="str">
        <f t="shared" si="15"/>
        <v>PEN</v>
      </c>
      <c r="N178" s="13"/>
      <c r="O178" s="13">
        <v>8</v>
      </c>
      <c r="P178" s="3">
        <f t="shared" si="16"/>
        <v>0</v>
      </c>
      <c r="Q178" s="3">
        <f t="shared" si="17"/>
        <v>8</v>
      </c>
      <c r="R178" s="3">
        <f t="shared" si="13"/>
        <v>2713.85</v>
      </c>
      <c r="S178" s="24"/>
      <c r="T178" s="24"/>
      <c r="U178" s="55"/>
      <c r="V178" s="25" t="s">
        <v>7519</v>
      </c>
      <c r="W178" s="25"/>
      <c r="X178" s="25"/>
      <c r="Y178" s="25"/>
      <c r="Z178" s="25"/>
      <c r="AA178" s="3" t="str">
        <f>IF(Caja_Operativa[[#This Row],[FECHA]]&gt;0,TEXT(Caja_Operativa[[#This Row],[FECHA]],"mmmm"),0)</f>
        <v>Abril</v>
      </c>
    </row>
    <row r="179" spans="1:27" ht="60" x14ac:dyDescent="0.3">
      <c r="A179" s="2">
        <f>IF(Caja_Operativa[[#This Row],[TIPO DE R.]]="R",COUNTIFS($C$1:$C178,"R")+1,"")</f>
        <v>178</v>
      </c>
      <c r="B179" s="19" t="str">
        <f t="shared" si="14"/>
        <v>C-Operativa</v>
      </c>
      <c r="C179" s="3" t="s">
        <v>1330</v>
      </c>
      <c r="D179" s="14">
        <v>45749</v>
      </c>
      <c r="E179" s="5" t="s">
        <v>7514</v>
      </c>
      <c r="F179" s="5" t="s">
        <v>1336</v>
      </c>
      <c r="G179" s="6"/>
      <c r="H179" s="6"/>
      <c r="I179" s="6"/>
      <c r="J179" s="6"/>
      <c r="K179" s="7" t="s">
        <v>7612</v>
      </c>
      <c r="L179" s="8">
        <v>2905496</v>
      </c>
      <c r="M179" s="8" t="str">
        <f t="shared" si="15"/>
        <v>PEN</v>
      </c>
      <c r="N179" s="13"/>
      <c r="O179" s="13">
        <v>8</v>
      </c>
      <c r="P179" s="3">
        <f t="shared" si="16"/>
        <v>0</v>
      </c>
      <c r="Q179" s="3">
        <f t="shared" si="17"/>
        <v>8</v>
      </c>
      <c r="R179" s="3">
        <f t="shared" si="13"/>
        <v>2705.85</v>
      </c>
      <c r="S179" s="24"/>
      <c r="T179" s="24"/>
      <c r="U179" s="55"/>
      <c r="V179" s="25" t="s">
        <v>7519</v>
      </c>
      <c r="W179" s="25"/>
      <c r="X179" s="25"/>
      <c r="Y179" s="25"/>
      <c r="Z179" s="25"/>
      <c r="AA179" s="3" t="str">
        <f>IF(Caja_Operativa[[#This Row],[FECHA]]&gt;0,TEXT(Caja_Operativa[[#This Row],[FECHA]],"mmmm"),0)</f>
        <v>Abril</v>
      </c>
    </row>
    <row r="180" spans="1:27" ht="60" x14ac:dyDescent="0.3">
      <c r="A180" s="2">
        <f>IF(Caja_Operativa[[#This Row],[TIPO DE R.]]="R",COUNTIFS($C$1:$C179,"R")+1,"")</f>
        <v>179</v>
      </c>
      <c r="B180" s="19" t="str">
        <f t="shared" si="14"/>
        <v>C-Operativa</v>
      </c>
      <c r="C180" s="3" t="s">
        <v>1330</v>
      </c>
      <c r="D180" s="14">
        <v>45749</v>
      </c>
      <c r="E180" s="5" t="s">
        <v>7514</v>
      </c>
      <c r="F180" s="5" t="s">
        <v>1336</v>
      </c>
      <c r="G180" s="6"/>
      <c r="H180" s="6"/>
      <c r="I180" s="6"/>
      <c r="J180" s="6"/>
      <c r="K180" s="7" t="s">
        <v>7613</v>
      </c>
      <c r="L180" s="8">
        <v>2897001</v>
      </c>
      <c r="M180" s="8" t="str">
        <f t="shared" si="15"/>
        <v>PEN</v>
      </c>
      <c r="N180" s="13"/>
      <c r="O180" s="13">
        <v>8</v>
      </c>
      <c r="P180" s="3">
        <f t="shared" si="16"/>
        <v>0</v>
      </c>
      <c r="Q180" s="3">
        <f t="shared" si="17"/>
        <v>8</v>
      </c>
      <c r="R180" s="3">
        <f t="shared" si="13"/>
        <v>2697.85</v>
      </c>
      <c r="S180" s="24"/>
      <c r="T180" s="24"/>
      <c r="U180" s="55"/>
      <c r="V180" s="25" t="s">
        <v>7519</v>
      </c>
      <c r="W180" s="25"/>
      <c r="X180" s="25"/>
      <c r="Y180" s="25"/>
      <c r="Z180" s="25"/>
      <c r="AA180" s="3" t="str">
        <f>IF(Caja_Operativa[[#This Row],[FECHA]]&gt;0,TEXT(Caja_Operativa[[#This Row],[FECHA]],"mmmm"),0)</f>
        <v>Abril</v>
      </c>
    </row>
    <row r="181" spans="1:27" ht="60" x14ac:dyDescent="0.3">
      <c r="A181" s="2">
        <f>IF(Caja_Operativa[[#This Row],[TIPO DE R.]]="R",COUNTIFS($C$1:$C180,"R")+1,"")</f>
        <v>180</v>
      </c>
      <c r="B181" s="19" t="str">
        <f t="shared" si="14"/>
        <v>C-Operativa</v>
      </c>
      <c r="C181" s="3" t="s">
        <v>1330</v>
      </c>
      <c r="D181" s="14">
        <v>45749</v>
      </c>
      <c r="E181" s="5" t="s">
        <v>7514</v>
      </c>
      <c r="F181" s="5" t="s">
        <v>1336</v>
      </c>
      <c r="G181" s="6"/>
      <c r="H181" s="6"/>
      <c r="I181" s="6"/>
      <c r="J181" s="6"/>
      <c r="K181" s="7" t="s">
        <v>7614</v>
      </c>
      <c r="L181" s="8">
        <v>2923866</v>
      </c>
      <c r="M181" s="8" t="str">
        <f t="shared" si="15"/>
        <v>PEN</v>
      </c>
      <c r="N181" s="13"/>
      <c r="O181" s="13">
        <v>8</v>
      </c>
      <c r="P181" s="3">
        <f t="shared" si="16"/>
        <v>0</v>
      </c>
      <c r="Q181" s="3">
        <f t="shared" si="17"/>
        <v>8</v>
      </c>
      <c r="R181" s="3">
        <f t="shared" si="13"/>
        <v>2689.85</v>
      </c>
      <c r="S181" s="24"/>
      <c r="T181" s="24"/>
      <c r="U181" s="55"/>
      <c r="V181" s="25" t="s">
        <v>7519</v>
      </c>
      <c r="W181" s="25"/>
      <c r="X181" s="25"/>
      <c r="Y181" s="25"/>
      <c r="Z181" s="25"/>
      <c r="AA181" s="3" t="str">
        <f>IF(Caja_Operativa[[#This Row],[FECHA]]&gt;0,TEXT(Caja_Operativa[[#This Row],[FECHA]],"mmmm"),0)</f>
        <v>Abril</v>
      </c>
    </row>
    <row r="182" spans="1:27" ht="60" x14ac:dyDescent="0.3">
      <c r="A182" s="2">
        <f>IF(Caja_Operativa[[#This Row],[TIPO DE R.]]="R",COUNTIFS($C$1:$C181,"R")+1,"")</f>
        <v>181</v>
      </c>
      <c r="B182" s="19" t="str">
        <f t="shared" si="14"/>
        <v>C-Operativa</v>
      </c>
      <c r="C182" s="3" t="s">
        <v>1330</v>
      </c>
      <c r="D182" s="14">
        <v>45749</v>
      </c>
      <c r="E182" s="5" t="s">
        <v>7514</v>
      </c>
      <c r="F182" s="5" t="s">
        <v>1336</v>
      </c>
      <c r="G182" s="6"/>
      <c r="H182" s="6"/>
      <c r="I182" s="6"/>
      <c r="J182" s="6"/>
      <c r="K182" s="7" t="s">
        <v>7615</v>
      </c>
      <c r="L182" s="8">
        <v>2921714</v>
      </c>
      <c r="M182" s="8" t="str">
        <f t="shared" si="15"/>
        <v>PEN</v>
      </c>
      <c r="N182" s="13"/>
      <c r="O182" s="13">
        <v>20</v>
      </c>
      <c r="P182" s="3">
        <f t="shared" si="16"/>
        <v>0</v>
      </c>
      <c r="Q182" s="3">
        <f t="shared" si="17"/>
        <v>20</v>
      </c>
      <c r="R182" s="3">
        <f t="shared" si="13"/>
        <v>2669.85</v>
      </c>
      <c r="S182" s="24"/>
      <c r="T182" s="24"/>
      <c r="U182" s="55"/>
      <c r="V182" s="25" t="s">
        <v>7519</v>
      </c>
      <c r="W182" s="25"/>
      <c r="X182" s="25"/>
      <c r="Y182" s="25"/>
      <c r="Z182" s="25"/>
      <c r="AA182" s="3" t="str">
        <f>IF(Caja_Operativa[[#This Row],[FECHA]]&gt;0,TEXT(Caja_Operativa[[#This Row],[FECHA]],"mmmm"),0)</f>
        <v>Abril</v>
      </c>
    </row>
    <row r="183" spans="1:27" ht="60" x14ac:dyDescent="0.3">
      <c r="A183" s="2">
        <f>IF(Caja_Operativa[[#This Row],[TIPO DE R.]]="R",COUNTIFS($C$1:$C182,"R")+1,"")</f>
        <v>182</v>
      </c>
      <c r="B183" s="19" t="str">
        <f t="shared" si="14"/>
        <v>C-Operativa</v>
      </c>
      <c r="C183" s="3" t="s">
        <v>1330</v>
      </c>
      <c r="D183" s="14">
        <v>45749</v>
      </c>
      <c r="E183" s="5" t="s">
        <v>7514</v>
      </c>
      <c r="F183" s="5" t="s">
        <v>1336</v>
      </c>
      <c r="G183" s="6"/>
      <c r="H183" s="6"/>
      <c r="I183" s="6"/>
      <c r="J183" s="6"/>
      <c r="K183" s="7" t="s">
        <v>7616</v>
      </c>
      <c r="L183" s="8">
        <v>2924860</v>
      </c>
      <c r="M183" s="8" t="str">
        <f t="shared" si="15"/>
        <v>PEN</v>
      </c>
      <c r="N183" s="13"/>
      <c r="O183" s="13">
        <v>8</v>
      </c>
      <c r="P183" s="3">
        <f t="shared" si="16"/>
        <v>0</v>
      </c>
      <c r="Q183" s="3">
        <f t="shared" si="17"/>
        <v>8</v>
      </c>
      <c r="R183" s="3">
        <f t="shared" si="13"/>
        <v>2661.85</v>
      </c>
      <c r="S183" s="24"/>
      <c r="T183" s="24"/>
      <c r="U183" s="55"/>
      <c r="V183" s="25" t="s">
        <v>7519</v>
      </c>
      <c r="W183" s="25"/>
      <c r="X183" s="25"/>
      <c r="Y183" s="25"/>
      <c r="Z183" s="25"/>
      <c r="AA183" s="3" t="str">
        <f>IF(Caja_Operativa[[#This Row],[FECHA]]&gt;0,TEXT(Caja_Operativa[[#This Row],[FECHA]],"mmmm"),0)</f>
        <v>Abril</v>
      </c>
    </row>
    <row r="184" spans="1:27" ht="60" x14ac:dyDescent="0.3">
      <c r="A184" s="2">
        <f>IF(Caja_Operativa[[#This Row],[TIPO DE R.]]="R",COUNTIFS($C$1:$C183,"R")+1,"")</f>
        <v>183</v>
      </c>
      <c r="B184" s="19" t="str">
        <f t="shared" si="14"/>
        <v>C-Operativa</v>
      </c>
      <c r="C184" s="3" t="s">
        <v>1330</v>
      </c>
      <c r="D184" s="14">
        <v>45749</v>
      </c>
      <c r="E184" s="5" t="s">
        <v>7514</v>
      </c>
      <c r="F184" s="5" t="s">
        <v>1336</v>
      </c>
      <c r="G184" s="6"/>
      <c r="H184" s="6"/>
      <c r="I184" s="6"/>
      <c r="J184" s="6"/>
      <c r="K184" s="7" t="s">
        <v>7617</v>
      </c>
      <c r="L184" s="8">
        <v>2932232</v>
      </c>
      <c r="M184" s="8" t="str">
        <f t="shared" si="15"/>
        <v>PEN</v>
      </c>
      <c r="N184" s="13"/>
      <c r="O184" s="13">
        <v>8</v>
      </c>
      <c r="P184" s="3">
        <f t="shared" si="16"/>
        <v>0</v>
      </c>
      <c r="Q184" s="3">
        <f t="shared" si="17"/>
        <v>8</v>
      </c>
      <c r="R184" s="3">
        <f t="shared" si="13"/>
        <v>2653.85</v>
      </c>
      <c r="S184" s="24"/>
      <c r="T184" s="24"/>
      <c r="U184" s="55"/>
      <c r="V184" s="25" t="s">
        <v>7519</v>
      </c>
      <c r="W184" s="25"/>
      <c r="X184" s="25"/>
      <c r="Y184" s="25"/>
      <c r="Z184" s="25"/>
      <c r="AA184" s="3" t="str">
        <f>IF(Caja_Operativa[[#This Row],[FECHA]]&gt;0,TEXT(Caja_Operativa[[#This Row],[FECHA]],"mmmm"),0)</f>
        <v>Abril</v>
      </c>
    </row>
    <row r="185" spans="1:27" ht="60" x14ac:dyDescent="0.3">
      <c r="A185" s="2">
        <f>IF(Caja_Operativa[[#This Row],[TIPO DE R.]]="R",COUNTIFS($C$1:$C184,"R")+1,"")</f>
        <v>184</v>
      </c>
      <c r="B185" s="19" t="str">
        <f t="shared" si="14"/>
        <v>C-Operativa</v>
      </c>
      <c r="C185" s="3" t="s">
        <v>1330</v>
      </c>
      <c r="D185" s="14">
        <v>45749</v>
      </c>
      <c r="E185" s="5" t="s">
        <v>7514</v>
      </c>
      <c r="F185" s="5" t="s">
        <v>1336</v>
      </c>
      <c r="G185" s="6"/>
      <c r="H185" s="6"/>
      <c r="I185" s="6"/>
      <c r="J185" s="6"/>
      <c r="K185" s="7" t="s">
        <v>7618</v>
      </c>
      <c r="L185" s="8">
        <v>2926903</v>
      </c>
      <c r="M185" s="8" t="str">
        <f t="shared" si="15"/>
        <v>PEN</v>
      </c>
      <c r="N185" s="13"/>
      <c r="O185" s="13">
        <v>8</v>
      </c>
      <c r="P185" s="3">
        <f t="shared" si="16"/>
        <v>0</v>
      </c>
      <c r="Q185" s="3">
        <f t="shared" si="17"/>
        <v>8</v>
      </c>
      <c r="R185" s="3">
        <f t="shared" si="13"/>
        <v>2645.85</v>
      </c>
      <c r="S185" s="24"/>
      <c r="T185" s="24"/>
      <c r="U185" s="55"/>
      <c r="V185" s="25" t="s">
        <v>7519</v>
      </c>
      <c r="W185" s="25"/>
      <c r="X185" s="25"/>
      <c r="Y185" s="25"/>
      <c r="Z185" s="25"/>
      <c r="AA185" s="3" t="str">
        <f>IF(Caja_Operativa[[#This Row],[FECHA]]&gt;0,TEXT(Caja_Operativa[[#This Row],[FECHA]],"mmmm"),0)</f>
        <v>Abril</v>
      </c>
    </row>
    <row r="186" spans="1:27" ht="60" x14ac:dyDescent="0.3">
      <c r="A186" s="2">
        <f>IF(Caja_Operativa[[#This Row],[TIPO DE R.]]="R",COUNTIFS($C$1:$C185,"R")+1,"")</f>
        <v>185</v>
      </c>
      <c r="B186" s="19" t="str">
        <f t="shared" si="14"/>
        <v>C-Operativa</v>
      </c>
      <c r="C186" s="3" t="s">
        <v>1330</v>
      </c>
      <c r="D186" s="14">
        <v>45749</v>
      </c>
      <c r="E186" s="5" t="s">
        <v>7514</v>
      </c>
      <c r="F186" s="5" t="s">
        <v>1336</v>
      </c>
      <c r="G186" s="6"/>
      <c r="H186" s="6"/>
      <c r="I186" s="6"/>
      <c r="J186" s="6"/>
      <c r="K186" s="7" t="s">
        <v>7619</v>
      </c>
      <c r="L186" s="8">
        <v>2939277</v>
      </c>
      <c r="M186" s="8" t="str">
        <f t="shared" si="15"/>
        <v>PEN</v>
      </c>
      <c r="N186" s="13"/>
      <c r="O186" s="13">
        <v>8</v>
      </c>
      <c r="P186" s="3">
        <f t="shared" si="16"/>
        <v>0</v>
      </c>
      <c r="Q186" s="3">
        <f t="shared" si="17"/>
        <v>8</v>
      </c>
      <c r="R186" s="3">
        <f t="shared" si="13"/>
        <v>2637.85</v>
      </c>
      <c r="S186" s="24"/>
      <c r="T186" s="24"/>
      <c r="U186" s="55"/>
      <c r="V186" s="25" t="s">
        <v>7519</v>
      </c>
      <c r="W186" s="25"/>
      <c r="X186" s="25"/>
      <c r="Y186" s="25"/>
      <c r="Z186" s="25"/>
      <c r="AA186" s="3" t="str">
        <f>IF(Caja_Operativa[[#This Row],[FECHA]]&gt;0,TEXT(Caja_Operativa[[#This Row],[FECHA]],"mmmm"),0)</f>
        <v>Abril</v>
      </c>
    </row>
    <row r="187" spans="1:27" ht="60" x14ac:dyDescent="0.3">
      <c r="A187" s="2">
        <f>IF(Caja_Operativa[[#This Row],[TIPO DE R.]]="R",COUNTIFS($C$1:$C186,"R")+1,"")</f>
        <v>186</v>
      </c>
      <c r="B187" s="19" t="str">
        <f t="shared" si="14"/>
        <v>C-Operativa</v>
      </c>
      <c r="C187" s="3" t="s">
        <v>1330</v>
      </c>
      <c r="D187" s="14">
        <v>45749</v>
      </c>
      <c r="E187" s="5" t="s">
        <v>7514</v>
      </c>
      <c r="F187" s="5" t="s">
        <v>1336</v>
      </c>
      <c r="G187" s="6"/>
      <c r="H187" s="6"/>
      <c r="I187" s="6"/>
      <c r="J187" s="6"/>
      <c r="K187" s="7" t="s">
        <v>7620</v>
      </c>
      <c r="L187" s="8">
        <v>2948616</v>
      </c>
      <c r="M187" s="8" t="str">
        <f t="shared" si="15"/>
        <v>PEN</v>
      </c>
      <c r="N187" s="13"/>
      <c r="O187" s="13">
        <v>8</v>
      </c>
      <c r="P187" s="3">
        <f t="shared" si="16"/>
        <v>0</v>
      </c>
      <c r="Q187" s="3">
        <f t="shared" si="17"/>
        <v>8</v>
      </c>
      <c r="R187" s="3">
        <f t="shared" si="13"/>
        <v>2629.85</v>
      </c>
      <c r="S187" s="24"/>
      <c r="T187" s="24"/>
      <c r="U187" s="55"/>
      <c r="V187" s="25" t="s">
        <v>7519</v>
      </c>
      <c r="W187" s="25"/>
      <c r="X187" s="25"/>
      <c r="Y187" s="25"/>
      <c r="Z187" s="25"/>
      <c r="AA187" s="3" t="str">
        <f>IF(Caja_Operativa[[#This Row],[FECHA]]&gt;0,TEXT(Caja_Operativa[[#This Row],[FECHA]],"mmmm"),0)</f>
        <v>Abril</v>
      </c>
    </row>
    <row r="188" spans="1:27" ht="60" x14ac:dyDescent="0.3">
      <c r="A188" s="2">
        <f>IF(Caja_Operativa[[#This Row],[TIPO DE R.]]="R",COUNTIFS($C$1:$C187,"R")+1,"")</f>
        <v>187</v>
      </c>
      <c r="B188" s="19" t="str">
        <f t="shared" si="14"/>
        <v>C-Operativa</v>
      </c>
      <c r="C188" s="3" t="s">
        <v>1330</v>
      </c>
      <c r="D188" s="14">
        <v>45749</v>
      </c>
      <c r="E188" s="5" t="s">
        <v>7514</v>
      </c>
      <c r="F188" s="5" t="s">
        <v>1336</v>
      </c>
      <c r="G188" s="6"/>
      <c r="H188" s="6"/>
      <c r="I188" s="6"/>
      <c r="J188" s="6"/>
      <c r="K188" s="7" t="s">
        <v>7621</v>
      </c>
      <c r="L188" s="8">
        <v>2985175</v>
      </c>
      <c r="M188" s="8" t="str">
        <f t="shared" si="15"/>
        <v>PEN</v>
      </c>
      <c r="N188" s="13"/>
      <c r="O188" s="13">
        <v>6</v>
      </c>
      <c r="P188" s="3">
        <f t="shared" si="16"/>
        <v>0</v>
      </c>
      <c r="Q188" s="3">
        <f t="shared" si="17"/>
        <v>6</v>
      </c>
      <c r="R188" s="3">
        <f t="shared" si="13"/>
        <v>2623.85</v>
      </c>
      <c r="S188" s="24"/>
      <c r="T188" s="24"/>
      <c r="U188" s="55"/>
      <c r="V188" s="25" t="s">
        <v>7519</v>
      </c>
      <c r="W188" s="25"/>
      <c r="X188" s="25"/>
      <c r="Y188" s="25"/>
      <c r="Z188" s="25"/>
      <c r="AA188" s="3" t="str">
        <f>IF(Caja_Operativa[[#This Row],[FECHA]]&gt;0,TEXT(Caja_Operativa[[#This Row],[FECHA]],"mmmm"),0)</f>
        <v>Abril</v>
      </c>
    </row>
    <row r="189" spans="1:27" ht="60" x14ac:dyDescent="0.3">
      <c r="A189" s="2">
        <f>IF(Caja_Operativa[[#This Row],[TIPO DE R.]]="R",COUNTIFS($C$1:$C188,"R")+1,"")</f>
        <v>188</v>
      </c>
      <c r="B189" s="19" t="str">
        <f t="shared" si="14"/>
        <v>C-Operativa</v>
      </c>
      <c r="C189" s="3" t="s">
        <v>1330</v>
      </c>
      <c r="D189" s="14">
        <v>45749</v>
      </c>
      <c r="E189" s="5" t="s">
        <v>7514</v>
      </c>
      <c r="F189" s="5" t="s">
        <v>1336</v>
      </c>
      <c r="G189" s="6"/>
      <c r="H189" s="6"/>
      <c r="I189" s="6"/>
      <c r="J189" s="6"/>
      <c r="K189" s="7" t="s">
        <v>7622</v>
      </c>
      <c r="L189" s="8">
        <v>2971157</v>
      </c>
      <c r="M189" s="8" t="str">
        <f t="shared" si="15"/>
        <v>PEN</v>
      </c>
      <c r="N189" s="13"/>
      <c r="O189" s="13">
        <v>12</v>
      </c>
      <c r="P189" s="3">
        <f t="shared" si="16"/>
        <v>0</v>
      </c>
      <c r="Q189" s="3">
        <f t="shared" si="17"/>
        <v>12</v>
      </c>
      <c r="R189" s="3">
        <f t="shared" si="13"/>
        <v>2611.85</v>
      </c>
      <c r="S189" s="24"/>
      <c r="T189" s="24"/>
      <c r="U189" s="55"/>
      <c r="V189" s="25" t="s">
        <v>7519</v>
      </c>
      <c r="W189" s="25"/>
      <c r="X189" s="25"/>
      <c r="Y189" s="25"/>
      <c r="Z189" s="25"/>
      <c r="AA189" s="3" t="str">
        <f>IF(Caja_Operativa[[#This Row],[FECHA]]&gt;0,TEXT(Caja_Operativa[[#This Row],[FECHA]],"mmmm"),0)</f>
        <v>Abril</v>
      </c>
    </row>
    <row r="190" spans="1:27" ht="60" x14ac:dyDescent="0.3">
      <c r="A190" s="2">
        <f>IF(Caja_Operativa[[#This Row],[TIPO DE R.]]="R",COUNTIFS($C$1:$C189,"R")+1,"")</f>
        <v>189</v>
      </c>
      <c r="B190" s="19" t="str">
        <f t="shared" si="14"/>
        <v>C-Operativa</v>
      </c>
      <c r="C190" s="3" t="s">
        <v>1330</v>
      </c>
      <c r="D190" s="14">
        <v>45749</v>
      </c>
      <c r="E190" s="5" t="s">
        <v>7514</v>
      </c>
      <c r="F190" s="5" t="s">
        <v>1336</v>
      </c>
      <c r="G190" s="6"/>
      <c r="H190" s="6"/>
      <c r="I190" s="6"/>
      <c r="J190" s="6"/>
      <c r="K190" s="7" t="s">
        <v>7623</v>
      </c>
      <c r="L190" s="8">
        <v>2989344</v>
      </c>
      <c r="M190" s="8" t="str">
        <f t="shared" si="15"/>
        <v>PEN</v>
      </c>
      <c r="N190" s="13"/>
      <c r="O190" s="13">
        <v>12</v>
      </c>
      <c r="P190" s="3">
        <f t="shared" si="16"/>
        <v>0</v>
      </c>
      <c r="Q190" s="3">
        <f t="shared" si="17"/>
        <v>12</v>
      </c>
      <c r="R190" s="3">
        <f t="shared" si="13"/>
        <v>2599.85</v>
      </c>
      <c r="S190" s="24"/>
      <c r="T190" s="24"/>
      <c r="U190" s="55"/>
      <c r="V190" s="25" t="s">
        <v>7519</v>
      </c>
      <c r="W190" s="25"/>
      <c r="X190" s="25"/>
      <c r="Y190" s="25"/>
      <c r="Z190" s="25"/>
      <c r="AA190" s="3" t="str">
        <f>IF(Caja_Operativa[[#This Row],[FECHA]]&gt;0,TEXT(Caja_Operativa[[#This Row],[FECHA]],"mmmm"),0)</f>
        <v>Abril</v>
      </c>
    </row>
    <row r="191" spans="1:27" ht="60" x14ac:dyDescent="0.3">
      <c r="A191" s="2">
        <f>IF(Caja_Operativa[[#This Row],[TIPO DE R.]]="R",COUNTIFS($C$1:$C190,"R")+1,"")</f>
        <v>190</v>
      </c>
      <c r="B191" s="19" t="str">
        <f t="shared" si="14"/>
        <v>C-Operativa</v>
      </c>
      <c r="C191" s="3" t="s">
        <v>1330</v>
      </c>
      <c r="D191" s="14">
        <v>45749</v>
      </c>
      <c r="E191" s="5" t="s">
        <v>7514</v>
      </c>
      <c r="F191" s="5" t="s">
        <v>1336</v>
      </c>
      <c r="G191" s="6"/>
      <c r="H191" s="6"/>
      <c r="I191" s="6"/>
      <c r="J191" s="6"/>
      <c r="K191" s="7" t="s">
        <v>7624</v>
      </c>
      <c r="L191" s="8">
        <v>2981061</v>
      </c>
      <c r="M191" s="8" t="str">
        <f t="shared" si="15"/>
        <v>PEN</v>
      </c>
      <c r="N191" s="13"/>
      <c r="O191" s="13">
        <v>8</v>
      </c>
      <c r="P191" s="3">
        <f t="shared" si="16"/>
        <v>0</v>
      </c>
      <c r="Q191" s="3">
        <f t="shared" si="17"/>
        <v>8</v>
      </c>
      <c r="R191" s="3">
        <f t="shared" si="13"/>
        <v>2591.85</v>
      </c>
      <c r="S191" s="24"/>
      <c r="T191" s="24"/>
      <c r="U191" s="55"/>
      <c r="V191" s="25" t="s">
        <v>7519</v>
      </c>
      <c r="W191" s="25"/>
      <c r="X191" s="25"/>
      <c r="Y191" s="25"/>
      <c r="Z191" s="25"/>
      <c r="AA191" s="3" t="str">
        <f>IF(Caja_Operativa[[#This Row],[FECHA]]&gt;0,TEXT(Caja_Operativa[[#This Row],[FECHA]],"mmmm"),0)</f>
        <v>Abril</v>
      </c>
    </row>
    <row r="192" spans="1:27" ht="60" x14ac:dyDescent="0.3">
      <c r="A192" s="2">
        <f>IF(Caja_Operativa[[#This Row],[TIPO DE R.]]="R",COUNTIFS($C$1:$C191,"R")+1,"")</f>
        <v>191</v>
      </c>
      <c r="B192" s="19" t="str">
        <f t="shared" si="14"/>
        <v>C-Operativa</v>
      </c>
      <c r="C192" s="3" t="s">
        <v>1330</v>
      </c>
      <c r="D192" s="14">
        <v>45749</v>
      </c>
      <c r="E192" s="5" t="s">
        <v>7514</v>
      </c>
      <c r="F192" s="5" t="s">
        <v>1336</v>
      </c>
      <c r="G192" s="6"/>
      <c r="H192" s="6"/>
      <c r="I192" s="6"/>
      <c r="J192" s="6"/>
      <c r="K192" s="7" t="s">
        <v>7625</v>
      </c>
      <c r="L192" s="8">
        <v>3004994</v>
      </c>
      <c r="M192" s="8" t="str">
        <f t="shared" si="15"/>
        <v>PEN</v>
      </c>
      <c r="N192" s="13"/>
      <c r="O192" s="13">
        <v>10</v>
      </c>
      <c r="P192" s="3">
        <f t="shared" si="16"/>
        <v>0</v>
      </c>
      <c r="Q192" s="3">
        <f t="shared" si="17"/>
        <v>10</v>
      </c>
      <c r="R192" s="3">
        <f t="shared" si="13"/>
        <v>2581.85</v>
      </c>
      <c r="S192" s="24"/>
      <c r="T192" s="24"/>
      <c r="U192" s="55"/>
      <c r="V192" s="25" t="s">
        <v>7519</v>
      </c>
      <c r="W192" s="25"/>
      <c r="X192" s="25"/>
      <c r="Y192" s="25"/>
      <c r="Z192" s="25"/>
      <c r="AA192" s="3" t="str">
        <f>IF(Caja_Operativa[[#This Row],[FECHA]]&gt;0,TEXT(Caja_Operativa[[#This Row],[FECHA]],"mmmm"),0)</f>
        <v>Abril</v>
      </c>
    </row>
    <row r="193" spans="1:27" ht="60" x14ac:dyDescent="0.3">
      <c r="A193" s="2">
        <f>IF(Caja_Operativa[[#This Row],[TIPO DE R.]]="R",COUNTIFS($C$1:$C192,"R")+1,"")</f>
        <v>192</v>
      </c>
      <c r="B193" s="19" t="str">
        <f t="shared" si="14"/>
        <v>C-Operativa</v>
      </c>
      <c r="C193" s="3" t="s">
        <v>1330</v>
      </c>
      <c r="D193" s="14">
        <v>45749</v>
      </c>
      <c r="E193" s="5" t="s">
        <v>7514</v>
      </c>
      <c r="F193" s="5" t="s">
        <v>1336</v>
      </c>
      <c r="G193" s="6"/>
      <c r="H193" s="6"/>
      <c r="I193" s="6"/>
      <c r="J193" s="6"/>
      <c r="K193" s="7" t="s">
        <v>7626</v>
      </c>
      <c r="L193" s="8">
        <v>2975850</v>
      </c>
      <c r="M193" s="8" t="str">
        <f t="shared" si="15"/>
        <v>PEN</v>
      </c>
      <c r="N193" s="13"/>
      <c r="O193" s="13">
        <v>8</v>
      </c>
      <c r="P193" s="3">
        <f t="shared" si="16"/>
        <v>0</v>
      </c>
      <c r="Q193" s="3">
        <f t="shared" si="17"/>
        <v>8</v>
      </c>
      <c r="R193" s="3">
        <f t="shared" si="13"/>
        <v>2573.85</v>
      </c>
      <c r="S193" s="24"/>
      <c r="T193" s="24"/>
      <c r="U193" s="55"/>
      <c r="V193" s="25" t="s">
        <v>7519</v>
      </c>
      <c r="W193" s="25"/>
      <c r="X193" s="25"/>
      <c r="Y193" s="25"/>
      <c r="Z193" s="25"/>
      <c r="AA193" s="3" t="str">
        <f>IF(Caja_Operativa[[#This Row],[FECHA]]&gt;0,TEXT(Caja_Operativa[[#This Row],[FECHA]],"mmmm"),0)</f>
        <v>Abril</v>
      </c>
    </row>
    <row r="194" spans="1:27" ht="60" x14ac:dyDescent="0.3">
      <c r="A194" s="2">
        <f>IF(Caja_Operativa[[#This Row],[TIPO DE R.]]="R",COUNTIFS($C$1:$C193,"R")+1,"")</f>
        <v>193</v>
      </c>
      <c r="B194" s="19" t="str">
        <f t="shared" si="14"/>
        <v>C-Operativa</v>
      </c>
      <c r="C194" s="3" t="s">
        <v>1330</v>
      </c>
      <c r="D194" s="14">
        <v>45749</v>
      </c>
      <c r="E194" s="5" t="s">
        <v>7514</v>
      </c>
      <c r="F194" s="5" t="s">
        <v>1336</v>
      </c>
      <c r="G194" s="6"/>
      <c r="H194" s="6"/>
      <c r="I194" s="6"/>
      <c r="J194" s="6"/>
      <c r="K194" s="7" t="s">
        <v>7627</v>
      </c>
      <c r="L194" s="8">
        <v>3048254</v>
      </c>
      <c r="M194" s="8" t="str">
        <f t="shared" si="15"/>
        <v>PEN</v>
      </c>
      <c r="N194" s="13"/>
      <c r="O194" s="13">
        <v>8</v>
      </c>
      <c r="P194" s="3">
        <f t="shared" si="16"/>
        <v>0</v>
      </c>
      <c r="Q194" s="3">
        <f t="shared" si="17"/>
        <v>8</v>
      </c>
      <c r="R194" s="3">
        <f t="shared" ref="R194:R257" si="18">IFERROR(IF(F194="SALDO",P194,R193+P194-Q194),0)</f>
        <v>2565.85</v>
      </c>
      <c r="S194" s="24"/>
      <c r="T194" s="24"/>
      <c r="U194" s="55"/>
      <c r="V194" s="25" t="s">
        <v>7519</v>
      </c>
      <c r="W194" s="25"/>
      <c r="X194" s="25"/>
      <c r="Y194" s="25"/>
      <c r="Z194" s="25"/>
      <c r="AA194" s="3" t="str">
        <f>IF(Caja_Operativa[[#This Row],[FECHA]]&gt;0,TEXT(Caja_Operativa[[#This Row],[FECHA]],"mmmm"),0)</f>
        <v>Abril</v>
      </c>
    </row>
    <row r="195" spans="1:27" ht="24" x14ac:dyDescent="0.3">
      <c r="A195" s="2">
        <f>IF(Caja_Operativa[[#This Row],[TIPO DE R.]]="R",COUNTIFS($C$1:$C194,"R")+1,"")</f>
        <v>194</v>
      </c>
      <c r="B195" s="19" t="str">
        <f t="shared" ref="B195:B258" si="19">"C-Operativa"</f>
        <v>C-Operativa</v>
      </c>
      <c r="C195" s="3" t="s">
        <v>1330</v>
      </c>
      <c r="D195" s="14">
        <v>45755</v>
      </c>
      <c r="E195" s="5" t="s">
        <v>7514</v>
      </c>
      <c r="F195" s="5" t="s">
        <v>1336</v>
      </c>
      <c r="G195" s="6" t="s">
        <v>812</v>
      </c>
      <c r="H195" s="6"/>
      <c r="I195" s="6"/>
      <c r="J195" s="6"/>
      <c r="K195" s="7" t="s">
        <v>7516</v>
      </c>
      <c r="L195" s="8">
        <v>1403766</v>
      </c>
      <c r="M195" s="8" t="str">
        <f t="shared" ref="M195:M258" si="20">"PEN"</f>
        <v>PEN</v>
      </c>
      <c r="N195" s="13"/>
      <c r="O195" s="13">
        <v>60</v>
      </c>
      <c r="P195" s="3">
        <f t="shared" ref="P195:P258" si="21">+IF(OR($F195="SALDO",$F195="INGRESO"),$O195,0)</f>
        <v>0</v>
      </c>
      <c r="Q195" s="3">
        <f t="shared" ref="Q195:Q258" si="22">+IF($F195="EGRESO",$O195,0)</f>
        <v>60</v>
      </c>
      <c r="R195" s="3">
        <f t="shared" si="18"/>
        <v>2505.85</v>
      </c>
      <c r="S195" s="24" t="s">
        <v>1334</v>
      </c>
      <c r="T195" s="24" t="s">
        <v>1334</v>
      </c>
      <c r="U195" s="55"/>
      <c r="V195" s="25"/>
      <c r="W195" s="25"/>
      <c r="X195" s="25"/>
      <c r="Y195" s="25"/>
      <c r="Z195" s="25"/>
      <c r="AA195" s="3" t="str">
        <f>IF(Caja_Operativa[[#This Row],[FECHA]]&gt;0,TEXT(Caja_Operativa[[#This Row],[FECHA]],"mmmm"),0)</f>
        <v>Abril</v>
      </c>
    </row>
    <row r="196" spans="1:27" ht="24" x14ac:dyDescent="0.3">
      <c r="A196" s="2">
        <f>IF(Caja_Operativa[[#This Row],[TIPO DE R.]]="R",COUNTIFS($C$1:$C195,"R")+1,"")</f>
        <v>195</v>
      </c>
      <c r="B196" s="19" t="str">
        <f t="shared" si="19"/>
        <v>C-Operativa</v>
      </c>
      <c r="C196" s="3" t="s">
        <v>1330</v>
      </c>
      <c r="D196" s="14">
        <v>45755</v>
      </c>
      <c r="E196" s="5" t="s">
        <v>7514</v>
      </c>
      <c r="F196" s="5" t="s">
        <v>1336</v>
      </c>
      <c r="G196" s="6" t="s">
        <v>888</v>
      </c>
      <c r="H196" s="6"/>
      <c r="I196" s="6"/>
      <c r="J196" s="6"/>
      <c r="K196" s="7" t="s">
        <v>7516</v>
      </c>
      <c r="L196" s="8">
        <v>1446065</v>
      </c>
      <c r="M196" s="8" t="str">
        <f t="shared" si="20"/>
        <v>PEN</v>
      </c>
      <c r="N196" s="13"/>
      <c r="O196" s="13">
        <v>120</v>
      </c>
      <c r="P196" s="3">
        <f t="shared" si="21"/>
        <v>0</v>
      </c>
      <c r="Q196" s="3">
        <f t="shared" si="22"/>
        <v>120</v>
      </c>
      <c r="R196" s="3">
        <f t="shared" si="18"/>
        <v>2385.85</v>
      </c>
      <c r="S196" s="24" t="s">
        <v>1334</v>
      </c>
      <c r="T196" s="24" t="s">
        <v>1334</v>
      </c>
      <c r="U196" s="55"/>
      <c r="V196" s="25"/>
      <c r="W196" s="25"/>
      <c r="X196" s="25"/>
      <c r="Y196" s="25"/>
      <c r="Z196" s="25"/>
      <c r="AA196" s="3" t="str">
        <f>IF(Caja_Operativa[[#This Row],[FECHA]]&gt;0,TEXT(Caja_Operativa[[#This Row],[FECHA]],"mmmm"),0)</f>
        <v>Abril</v>
      </c>
    </row>
    <row r="197" spans="1:27" x14ac:dyDescent="0.3">
      <c r="A197" s="2">
        <f>IF(Caja_Operativa[[#This Row],[TIPO DE R.]]="R",COUNTIFS($C$1:$C196,"R")+1,"")</f>
        <v>196</v>
      </c>
      <c r="B197" s="19" t="str">
        <f t="shared" si="19"/>
        <v>C-Operativa</v>
      </c>
      <c r="C197" s="3" t="s">
        <v>1330</v>
      </c>
      <c r="D197" s="14">
        <v>45755</v>
      </c>
      <c r="E197" s="5" t="s">
        <v>7514</v>
      </c>
      <c r="F197" s="5" t="s">
        <v>1336</v>
      </c>
      <c r="G197" s="6" t="s">
        <v>876</v>
      </c>
      <c r="H197" s="6"/>
      <c r="I197" s="6"/>
      <c r="J197" s="6"/>
      <c r="K197" s="7" t="s">
        <v>7516</v>
      </c>
      <c r="L197" s="8">
        <v>1479036</v>
      </c>
      <c r="M197" s="8" t="str">
        <f t="shared" si="20"/>
        <v>PEN</v>
      </c>
      <c r="N197" s="13"/>
      <c r="O197" s="13">
        <v>100</v>
      </c>
      <c r="P197" s="3">
        <f t="shared" si="21"/>
        <v>0</v>
      </c>
      <c r="Q197" s="3">
        <f t="shared" si="22"/>
        <v>100</v>
      </c>
      <c r="R197" s="3">
        <f t="shared" si="18"/>
        <v>2285.85</v>
      </c>
      <c r="S197" s="24" t="s">
        <v>1334</v>
      </c>
      <c r="T197" s="24" t="s">
        <v>1334</v>
      </c>
      <c r="U197" s="55"/>
      <c r="V197" s="25"/>
      <c r="W197" s="25"/>
      <c r="X197" s="25"/>
      <c r="Y197" s="25"/>
      <c r="Z197" s="25"/>
      <c r="AA197" s="3" t="str">
        <f>IF(Caja_Operativa[[#This Row],[FECHA]]&gt;0,TEXT(Caja_Operativa[[#This Row],[FECHA]],"mmmm"),0)</f>
        <v>Abril</v>
      </c>
    </row>
    <row r="198" spans="1:27" ht="24" x14ac:dyDescent="0.3">
      <c r="A198" s="2">
        <f>IF(Caja_Operativa[[#This Row],[TIPO DE R.]]="R",COUNTIFS($C$1:$C197,"R")+1,"")</f>
        <v>197</v>
      </c>
      <c r="B198" s="19" t="str">
        <f t="shared" si="19"/>
        <v>C-Operativa</v>
      </c>
      <c r="C198" s="3" t="s">
        <v>1330</v>
      </c>
      <c r="D198" s="14">
        <v>45755</v>
      </c>
      <c r="E198" s="5" t="s">
        <v>7514</v>
      </c>
      <c r="F198" s="5" t="s">
        <v>1336</v>
      </c>
      <c r="G198" s="6" t="s">
        <v>957</v>
      </c>
      <c r="H198" s="6"/>
      <c r="I198" s="6"/>
      <c r="J198" s="6"/>
      <c r="K198" s="7" t="s">
        <v>7516</v>
      </c>
      <c r="L198" s="8">
        <v>1482460</v>
      </c>
      <c r="M198" s="8" t="str">
        <f t="shared" si="20"/>
        <v>PEN</v>
      </c>
      <c r="N198" s="13"/>
      <c r="O198" s="13">
        <v>20</v>
      </c>
      <c r="P198" s="3">
        <f t="shared" si="21"/>
        <v>0</v>
      </c>
      <c r="Q198" s="3">
        <f t="shared" si="22"/>
        <v>20</v>
      </c>
      <c r="R198" s="3">
        <f t="shared" si="18"/>
        <v>2265.85</v>
      </c>
      <c r="S198" s="24" t="s">
        <v>1334</v>
      </c>
      <c r="T198" s="24" t="s">
        <v>1334</v>
      </c>
      <c r="U198" s="55"/>
      <c r="V198" s="25"/>
      <c r="W198" s="25"/>
      <c r="X198" s="25"/>
      <c r="Y198" s="25"/>
      <c r="Z198" s="25"/>
      <c r="AA198" s="3" t="str">
        <f>IF(Caja_Operativa[[#This Row],[FECHA]]&gt;0,TEXT(Caja_Operativa[[#This Row],[FECHA]],"mmmm"),0)</f>
        <v>Abril</v>
      </c>
    </row>
    <row r="199" spans="1:27" ht="24" x14ac:dyDescent="0.3">
      <c r="A199" s="2">
        <f>IF(Caja_Operativa[[#This Row],[TIPO DE R.]]="R",COUNTIFS($C$1:$C198,"R")+1,"")</f>
        <v>198</v>
      </c>
      <c r="B199" s="19" t="str">
        <f t="shared" si="19"/>
        <v>C-Operativa</v>
      </c>
      <c r="C199" s="3" t="s">
        <v>1330</v>
      </c>
      <c r="D199" s="14">
        <v>45755</v>
      </c>
      <c r="E199" s="5" t="s">
        <v>7514</v>
      </c>
      <c r="F199" s="5" t="s">
        <v>1336</v>
      </c>
      <c r="G199" s="6" t="s">
        <v>922</v>
      </c>
      <c r="H199" s="6"/>
      <c r="I199" s="6"/>
      <c r="J199" s="6"/>
      <c r="K199" s="7" t="s">
        <v>7537</v>
      </c>
      <c r="L199" s="8">
        <v>1465179</v>
      </c>
      <c r="M199" s="8" t="str">
        <f t="shared" si="20"/>
        <v>PEN</v>
      </c>
      <c r="N199" s="13"/>
      <c r="O199" s="13">
        <v>130</v>
      </c>
      <c r="P199" s="3">
        <f t="shared" si="21"/>
        <v>0</v>
      </c>
      <c r="Q199" s="3">
        <f t="shared" si="22"/>
        <v>130</v>
      </c>
      <c r="R199" s="3">
        <f t="shared" si="18"/>
        <v>2135.85</v>
      </c>
      <c r="S199" s="24" t="s">
        <v>1334</v>
      </c>
      <c r="T199" s="24" t="s">
        <v>1334</v>
      </c>
      <c r="U199" s="55"/>
      <c r="V199" s="25"/>
      <c r="W199" s="25"/>
      <c r="X199" s="25"/>
      <c r="Y199" s="25"/>
      <c r="Z199" s="25"/>
      <c r="AA199" s="3" t="str">
        <f>IF(Caja_Operativa[[#This Row],[FECHA]]&gt;0,TEXT(Caja_Operativa[[#This Row],[FECHA]],"mmmm"),0)</f>
        <v>Abril</v>
      </c>
    </row>
    <row r="200" spans="1:27" ht="24" x14ac:dyDescent="0.3">
      <c r="A200" s="2">
        <f>IF(Caja_Operativa[[#This Row],[TIPO DE R.]]="R",COUNTIFS($C$1:$C199,"R")+1,"")</f>
        <v>199</v>
      </c>
      <c r="B200" s="19" t="str">
        <f t="shared" si="19"/>
        <v>C-Operativa</v>
      </c>
      <c r="C200" s="3" t="s">
        <v>1330</v>
      </c>
      <c r="D200" s="14">
        <v>45755</v>
      </c>
      <c r="E200" s="5" t="s">
        <v>7514</v>
      </c>
      <c r="F200" s="5" t="s">
        <v>1336</v>
      </c>
      <c r="G200" s="6" t="s">
        <v>1019</v>
      </c>
      <c r="H200" s="6"/>
      <c r="I200" s="6"/>
      <c r="J200" s="6"/>
      <c r="K200" s="7" t="s">
        <v>7516</v>
      </c>
      <c r="L200" s="8">
        <v>1483486</v>
      </c>
      <c r="M200" s="8" t="str">
        <f t="shared" si="20"/>
        <v>PEN</v>
      </c>
      <c r="N200" s="13"/>
      <c r="O200" s="13">
        <v>20</v>
      </c>
      <c r="P200" s="3">
        <f t="shared" si="21"/>
        <v>0</v>
      </c>
      <c r="Q200" s="3">
        <f t="shared" si="22"/>
        <v>20</v>
      </c>
      <c r="R200" s="3">
        <f t="shared" si="18"/>
        <v>2115.85</v>
      </c>
      <c r="S200" s="24" t="s">
        <v>1334</v>
      </c>
      <c r="T200" s="24" t="s">
        <v>1334</v>
      </c>
      <c r="U200" s="55"/>
      <c r="V200" s="25"/>
      <c r="W200" s="25"/>
      <c r="X200" s="25"/>
      <c r="Y200" s="25"/>
      <c r="Z200" s="25"/>
      <c r="AA200" s="3" t="str">
        <f>IF(Caja_Operativa[[#This Row],[FECHA]]&gt;0,TEXT(Caja_Operativa[[#This Row],[FECHA]],"mmmm"),0)</f>
        <v>Abril</v>
      </c>
    </row>
    <row r="201" spans="1:27" ht="24" x14ac:dyDescent="0.3">
      <c r="A201" s="2">
        <f>IF(Caja_Operativa[[#This Row],[TIPO DE R.]]="R",COUNTIFS($C$1:$C200,"R")+1,"")</f>
        <v>200</v>
      </c>
      <c r="B201" s="19" t="str">
        <f t="shared" si="19"/>
        <v>C-Operativa</v>
      </c>
      <c r="C201" s="3" t="s">
        <v>1330</v>
      </c>
      <c r="D201" s="14">
        <v>45756</v>
      </c>
      <c r="E201" s="5" t="s">
        <v>7514</v>
      </c>
      <c r="F201" s="5" t="s">
        <v>1336</v>
      </c>
      <c r="G201" s="6" t="s">
        <v>957</v>
      </c>
      <c r="H201" s="6"/>
      <c r="I201" s="6"/>
      <c r="J201" s="6"/>
      <c r="K201" s="7" t="s">
        <v>7516</v>
      </c>
      <c r="L201" s="8">
        <v>1962744</v>
      </c>
      <c r="M201" s="8" t="str">
        <f t="shared" si="20"/>
        <v>PEN</v>
      </c>
      <c r="N201" s="13"/>
      <c r="O201" s="13">
        <v>300</v>
      </c>
      <c r="P201" s="3">
        <f t="shared" si="21"/>
        <v>0</v>
      </c>
      <c r="Q201" s="3">
        <f t="shared" si="22"/>
        <v>300</v>
      </c>
      <c r="R201" s="3">
        <f t="shared" si="18"/>
        <v>1815.85</v>
      </c>
      <c r="S201" s="24" t="s">
        <v>1334</v>
      </c>
      <c r="T201" s="24" t="s">
        <v>1334</v>
      </c>
      <c r="U201" s="55"/>
      <c r="V201" s="25"/>
      <c r="W201" s="25"/>
      <c r="X201" s="25"/>
      <c r="Y201" s="25"/>
      <c r="Z201" s="25"/>
      <c r="AA201" s="3" t="str">
        <f>IF(Caja_Operativa[[#This Row],[FECHA]]&gt;0,TEXT(Caja_Operativa[[#This Row],[FECHA]],"mmmm"),0)</f>
        <v>Abril</v>
      </c>
    </row>
    <row r="202" spans="1:27" ht="24" x14ac:dyDescent="0.3">
      <c r="A202" s="2">
        <f>IF(Caja_Operativa[[#This Row],[TIPO DE R.]]="R",COUNTIFS($C$1:$C201,"R")+1,"")</f>
        <v>201</v>
      </c>
      <c r="B202" s="19" t="str">
        <f t="shared" si="19"/>
        <v>C-Operativa</v>
      </c>
      <c r="C202" s="3" t="s">
        <v>1330</v>
      </c>
      <c r="D202" s="14">
        <v>45761</v>
      </c>
      <c r="E202" s="5" t="s">
        <v>7514</v>
      </c>
      <c r="F202" s="5" t="s">
        <v>1336</v>
      </c>
      <c r="G202" s="6" t="s">
        <v>812</v>
      </c>
      <c r="H202" s="6"/>
      <c r="I202" s="6"/>
      <c r="J202" s="6"/>
      <c r="K202" s="7" t="s">
        <v>7516</v>
      </c>
      <c r="L202" s="8">
        <v>2871471</v>
      </c>
      <c r="M202" s="8" t="str">
        <f t="shared" si="20"/>
        <v>PEN</v>
      </c>
      <c r="N202" s="13"/>
      <c r="O202" s="13">
        <v>90</v>
      </c>
      <c r="P202" s="3">
        <f t="shared" si="21"/>
        <v>0</v>
      </c>
      <c r="Q202" s="3">
        <f t="shared" si="22"/>
        <v>90</v>
      </c>
      <c r="R202" s="3">
        <f t="shared" si="18"/>
        <v>1725.85</v>
      </c>
      <c r="S202" s="24" t="s">
        <v>1334</v>
      </c>
      <c r="T202" s="24" t="s">
        <v>1334</v>
      </c>
      <c r="U202" s="55"/>
      <c r="V202" s="25"/>
      <c r="W202" s="25"/>
      <c r="X202" s="25"/>
      <c r="Y202" s="25"/>
      <c r="Z202" s="25"/>
      <c r="AA202" s="3" t="str">
        <f>IF(Caja_Operativa[[#This Row],[FECHA]]&gt;0,TEXT(Caja_Operativa[[#This Row],[FECHA]],"mmmm"),0)</f>
        <v>Abril</v>
      </c>
    </row>
    <row r="203" spans="1:27" ht="24" x14ac:dyDescent="0.3">
      <c r="A203" s="2">
        <f>IF(Caja_Operativa[[#This Row],[TIPO DE R.]]="R",COUNTIFS($C$1:$C202,"R")+1,"")</f>
        <v>202</v>
      </c>
      <c r="B203" s="19" t="str">
        <f t="shared" si="19"/>
        <v>C-Operativa</v>
      </c>
      <c r="C203" s="3" t="s">
        <v>1330</v>
      </c>
      <c r="D203" s="14">
        <v>45761</v>
      </c>
      <c r="E203" s="5" t="s">
        <v>7514</v>
      </c>
      <c r="F203" s="5" t="s">
        <v>1336</v>
      </c>
      <c r="G203" s="6" t="s">
        <v>957</v>
      </c>
      <c r="H203" s="6"/>
      <c r="I203" s="6"/>
      <c r="J203" s="6"/>
      <c r="K203" s="7" t="s">
        <v>7516</v>
      </c>
      <c r="L203" s="8">
        <v>2845120</v>
      </c>
      <c r="M203" s="8" t="str">
        <f t="shared" si="20"/>
        <v>PEN</v>
      </c>
      <c r="N203" s="13"/>
      <c r="O203" s="13">
        <v>100</v>
      </c>
      <c r="P203" s="3">
        <f t="shared" si="21"/>
        <v>0</v>
      </c>
      <c r="Q203" s="3">
        <f t="shared" si="22"/>
        <v>100</v>
      </c>
      <c r="R203" s="3">
        <f t="shared" si="18"/>
        <v>1625.85</v>
      </c>
      <c r="S203" s="24" t="s">
        <v>1334</v>
      </c>
      <c r="T203" s="24" t="s">
        <v>1334</v>
      </c>
      <c r="U203" s="55"/>
      <c r="V203" s="25"/>
      <c r="W203" s="25"/>
      <c r="X203" s="25"/>
      <c r="Y203" s="25"/>
      <c r="Z203" s="25"/>
      <c r="AA203" s="3" t="str">
        <f>IF(Caja_Operativa[[#This Row],[FECHA]]&gt;0,TEXT(Caja_Operativa[[#This Row],[FECHA]],"mmmm"),0)</f>
        <v>Abril</v>
      </c>
    </row>
    <row r="204" spans="1:27" ht="24" x14ac:dyDescent="0.3">
      <c r="A204" s="2">
        <f>IF(Caja_Operativa[[#This Row],[TIPO DE R.]]="R",COUNTIFS($C$1:$C203,"R")+1,"")</f>
        <v>203</v>
      </c>
      <c r="B204" s="19" t="str">
        <f t="shared" si="19"/>
        <v>C-Operativa</v>
      </c>
      <c r="C204" s="3" t="s">
        <v>1330</v>
      </c>
      <c r="D204" s="14">
        <v>45761</v>
      </c>
      <c r="E204" s="5" t="s">
        <v>7514</v>
      </c>
      <c r="F204" s="5" t="s">
        <v>1336</v>
      </c>
      <c r="G204" s="6" t="s">
        <v>1019</v>
      </c>
      <c r="H204" s="6"/>
      <c r="I204" s="6"/>
      <c r="J204" s="6"/>
      <c r="K204" s="7" t="s">
        <v>7516</v>
      </c>
      <c r="L204" s="8">
        <v>2875357</v>
      </c>
      <c r="M204" s="8" t="str">
        <f t="shared" si="20"/>
        <v>PEN</v>
      </c>
      <c r="N204" s="13"/>
      <c r="O204" s="13">
        <v>100</v>
      </c>
      <c r="P204" s="3">
        <f t="shared" si="21"/>
        <v>0</v>
      </c>
      <c r="Q204" s="3">
        <f t="shared" si="22"/>
        <v>100</v>
      </c>
      <c r="R204" s="3">
        <f t="shared" si="18"/>
        <v>1525.85</v>
      </c>
      <c r="S204" s="24" t="s">
        <v>1334</v>
      </c>
      <c r="T204" s="24" t="s">
        <v>1334</v>
      </c>
      <c r="U204" s="55"/>
      <c r="V204" s="25"/>
      <c r="W204" s="25"/>
      <c r="X204" s="25"/>
      <c r="Y204" s="25"/>
      <c r="Z204" s="25"/>
      <c r="AA204" s="3" t="str">
        <f>IF(Caja_Operativa[[#This Row],[FECHA]]&gt;0,TEXT(Caja_Operativa[[#This Row],[FECHA]],"mmmm"),0)</f>
        <v>Abril</v>
      </c>
    </row>
    <row r="205" spans="1:27" ht="24" x14ac:dyDescent="0.3">
      <c r="A205" s="2">
        <f>IF(Caja_Operativa[[#This Row],[TIPO DE R.]]="R",COUNTIFS($C$1:$C204,"R")+1,"")</f>
        <v>204</v>
      </c>
      <c r="B205" s="19" t="str">
        <f t="shared" si="19"/>
        <v>C-Operativa</v>
      </c>
      <c r="C205" s="3" t="s">
        <v>1330</v>
      </c>
      <c r="D205" s="14">
        <v>45761</v>
      </c>
      <c r="E205" s="5" t="s">
        <v>7514</v>
      </c>
      <c r="F205" s="5" t="s">
        <v>1336</v>
      </c>
      <c r="G205" s="6" t="s">
        <v>922</v>
      </c>
      <c r="H205" s="6"/>
      <c r="I205" s="6"/>
      <c r="J205" s="6"/>
      <c r="K205" s="7" t="s">
        <v>7537</v>
      </c>
      <c r="L205" s="8">
        <v>2857916</v>
      </c>
      <c r="M205" s="8" t="str">
        <f t="shared" si="20"/>
        <v>PEN</v>
      </c>
      <c r="N205" s="13"/>
      <c r="O205" s="13">
        <v>220</v>
      </c>
      <c r="P205" s="3">
        <f t="shared" si="21"/>
        <v>0</v>
      </c>
      <c r="Q205" s="3">
        <f t="shared" si="22"/>
        <v>220</v>
      </c>
      <c r="R205" s="3">
        <f t="shared" si="18"/>
        <v>1305.8499999999999</v>
      </c>
      <c r="S205" s="24" t="s">
        <v>1334</v>
      </c>
      <c r="T205" s="24" t="s">
        <v>1334</v>
      </c>
      <c r="U205" s="55"/>
      <c r="V205" s="25"/>
      <c r="W205" s="25"/>
      <c r="X205" s="25"/>
      <c r="Y205" s="25"/>
      <c r="Z205" s="25"/>
      <c r="AA205" s="3" t="str">
        <f>IF(Caja_Operativa[[#This Row],[FECHA]]&gt;0,TEXT(Caja_Operativa[[#This Row],[FECHA]],"mmmm"),0)</f>
        <v>Abril</v>
      </c>
    </row>
    <row r="206" spans="1:27" ht="24" x14ac:dyDescent="0.3">
      <c r="A206" s="2">
        <f>IF(Caja_Operativa[[#This Row],[TIPO DE R.]]="R",COUNTIFS($C$1:$C205,"R")+1,"")</f>
        <v>205</v>
      </c>
      <c r="B206" s="19" t="str">
        <f t="shared" si="19"/>
        <v>C-Operativa</v>
      </c>
      <c r="C206" s="3" t="s">
        <v>1330</v>
      </c>
      <c r="D206" s="14">
        <v>45761</v>
      </c>
      <c r="E206" s="5" t="s">
        <v>7514</v>
      </c>
      <c r="F206" s="5" t="s">
        <v>1336</v>
      </c>
      <c r="G206" s="6" t="s">
        <v>692</v>
      </c>
      <c r="H206" s="6"/>
      <c r="I206" s="6"/>
      <c r="J206" s="6"/>
      <c r="K206" s="7" t="s">
        <v>7516</v>
      </c>
      <c r="L206" s="8">
        <v>2578895</v>
      </c>
      <c r="M206" s="8" t="str">
        <f t="shared" si="20"/>
        <v>PEN</v>
      </c>
      <c r="N206" s="13"/>
      <c r="O206" s="13">
        <v>40</v>
      </c>
      <c r="P206" s="3">
        <f t="shared" si="21"/>
        <v>0</v>
      </c>
      <c r="Q206" s="3">
        <f t="shared" si="22"/>
        <v>40</v>
      </c>
      <c r="R206" s="3">
        <f t="shared" si="18"/>
        <v>1265.8499999999999</v>
      </c>
      <c r="S206" s="24" t="s">
        <v>1334</v>
      </c>
      <c r="T206" s="24" t="s">
        <v>1334</v>
      </c>
      <c r="U206" s="55"/>
      <c r="V206" s="25"/>
      <c r="W206" s="25"/>
      <c r="X206" s="25"/>
      <c r="Y206" s="25"/>
      <c r="Z206" s="25"/>
      <c r="AA206" s="3" t="str">
        <f>IF(Caja_Operativa[[#This Row],[FECHA]]&gt;0,TEXT(Caja_Operativa[[#This Row],[FECHA]],"mmmm"),0)</f>
        <v>Abril</v>
      </c>
    </row>
    <row r="207" spans="1:27" ht="24" x14ac:dyDescent="0.3">
      <c r="A207" s="2">
        <f>IF(Caja_Operativa[[#This Row],[TIPO DE R.]]="R",COUNTIFS($C$1:$C206,"R")+1,"")</f>
        <v>206</v>
      </c>
      <c r="B207" s="19" t="str">
        <f t="shared" si="19"/>
        <v>C-Operativa</v>
      </c>
      <c r="C207" s="3" t="s">
        <v>1330</v>
      </c>
      <c r="D207" s="14">
        <v>45761</v>
      </c>
      <c r="E207" s="5" t="s">
        <v>7514</v>
      </c>
      <c r="F207" s="5" t="s">
        <v>1336</v>
      </c>
      <c r="G207" s="6" t="s">
        <v>888</v>
      </c>
      <c r="H207" s="6"/>
      <c r="I207" s="6"/>
      <c r="J207" s="6"/>
      <c r="K207" s="7" t="s">
        <v>7516</v>
      </c>
      <c r="L207" s="8">
        <v>2599196</v>
      </c>
      <c r="M207" s="8" t="str">
        <f t="shared" si="20"/>
        <v>PEN</v>
      </c>
      <c r="N207" s="13"/>
      <c r="O207" s="13">
        <v>900</v>
      </c>
      <c r="P207" s="3">
        <f t="shared" si="21"/>
        <v>0</v>
      </c>
      <c r="Q207" s="3">
        <f t="shared" si="22"/>
        <v>900</v>
      </c>
      <c r="R207" s="3">
        <f t="shared" si="18"/>
        <v>365.84999999999991</v>
      </c>
      <c r="S207" s="24" t="s">
        <v>1334</v>
      </c>
      <c r="T207" s="24" t="s">
        <v>1334</v>
      </c>
      <c r="U207" s="55"/>
      <c r="V207" s="25"/>
      <c r="W207" s="25"/>
      <c r="X207" s="25"/>
      <c r="Y207" s="25"/>
      <c r="Z207" s="25"/>
      <c r="AA207" s="3" t="str">
        <f>IF(Caja_Operativa[[#This Row],[FECHA]]&gt;0,TEXT(Caja_Operativa[[#This Row],[FECHA]],"mmmm"),0)</f>
        <v>Abril</v>
      </c>
    </row>
    <row r="208" spans="1:27" ht="24" x14ac:dyDescent="0.3">
      <c r="A208" s="2">
        <f>IF(Caja_Operativa[[#This Row],[TIPO DE R.]]="R",COUNTIFS($C$1:$C207,"R")+1,"")</f>
        <v>207</v>
      </c>
      <c r="B208" s="19" t="str">
        <f t="shared" si="19"/>
        <v>C-Operativa</v>
      </c>
      <c r="C208" s="3" t="s">
        <v>1330</v>
      </c>
      <c r="D208" s="14">
        <v>45761</v>
      </c>
      <c r="E208" s="5" t="s">
        <v>7513</v>
      </c>
      <c r="F208" s="5" t="s">
        <v>1303</v>
      </c>
      <c r="G208" s="6" t="s">
        <v>901</v>
      </c>
      <c r="H208" s="6"/>
      <c r="I208" s="6" t="s">
        <v>7539</v>
      </c>
      <c r="J208" s="6">
        <v>7</v>
      </c>
      <c r="K208" s="7" t="s">
        <v>7540</v>
      </c>
      <c r="L208" s="8" t="s">
        <v>7602</v>
      </c>
      <c r="M208" s="8" t="str">
        <f t="shared" si="20"/>
        <v>PEN</v>
      </c>
      <c r="N208" s="13"/>
      <c r="O208" s="13">
        <v>3634.15</v>
      </c>
      <c r="P208" s="3">
        <f t="shared" si="21"/>
        <v>3634.15</v>
      </c>
      <c r="Q208" s="3">
        <f t="shared" si="22"/>
        <v>0</v>
      </c>
      <c r="R208" s="3">
        <f t="shared" si="18"/>
        <v>4000</v>
      </c>
      <c r="S208" s="24"/>
      <c r="T208" s="24"/>
      <c r="U208" s="55"/>
      <c r="V208" s="25" t="s">
        <v>7514</v>
      </c>
      <c r="W208" s="25"/>
      <c r="X208" s="25"/>
      <c r="Y208" s="25"/>
      <c r="Z208" s="25"/>
      <c r="AA208" s="3" t="str">
        <f>IF(Caja_Operativa[[#This Row],[FECHA]]&gt;0,TEXT(Caja_Operativa[[#This Row],[FECHA]],"mmmm"),0)</f>
        <v>Abril</v>
      </c>
    </row>
    <row r="209" spans="1:27" x14ac:dyDescent="0.3">
      <c r="A209" s="2">
        <f>IF(Caja_Operativa[[#This Row],[TIPO DE R.]]="R",COUNTIFS($C$1:$C208,"R")+1,"")</f>
        <v>208</v>
      </c>
      <c r="B209" s="19" t="str">
        <f t="shared" si="19"/>
        <v>C-Operativa</v>
      </c>
      <c r="C209" s="3" t="s">
        <v>1330</v>
      </c>
      <c r="D209" s="14">
        <v>45761</v>
      </c>
      <c r="E209" s="5" t="s">
        <v>1335</v>
      </c>
      <c r="F209" s="5" t="s">
        <v>1336</v>
      </c>
      <c r="G209" s="6"/>
      <c r="H209" s="6"/>
      <c r="I209" s="6"/>
      <c r="J209" s="6"/>
      <c r="K209" s="7" t="s">
        <v>5061</v>
      </c>
      <c r="L209" s="8"/>
      <c r="M209" s="8" t="str">
        <f t="shared" si="20"/>
        <v>PEN</v>
      </c>
      <c r="N209" s="13"/>
      <c r="O209" s="13">
        <v>0.15</v>
      </c>
      <c r="P209" s="3">
        <f t="shared" si="21"/>
        <v>0</v>
      </c>
      <c r="Q209" s="3">
        <f t="shared" si="22"/>
        <v>0.15</v>
      </c>
      <c r="R209" s="3">
        <f t="shared" si="18"/>
        <v>3999.85</v>
      </c>
      <c r="S209" s="24"/>
      <c r="T209" s="24"/>
      <c r="U209" s="55"/>
      <c r="V209" s="25"/>
      <c r="W209" s="25"/>
      <c r="X209" s="25"/>
      <c r="Y209" s="25"/>
      <c r="Z209" s="25"/>
      <c r="AA209" s="3" t="str">
        <f>IF(Caja_Operativa[[#This Row],[FECHA]]&gt;0,TEXT(Caja_Operativa[[#This Row],[FECHA]],"mmmm"),0)</f>
        <v>Abril</v>
      </c>
    </row>
    <row r="210" spans="1:27" x14ac:dyDescent="0.3">
      <c r="A210" s="2">
        <f>IF(Caja_Operativa[[#This Row],[TIPO DE R.]]="R",COUNTIFS($C$1:$C209,"R")+1,"")</f>
        <v>209</v>
      </c>
      <c r="B210" s="19" t="str">
        <f t="shared" si="19"/>
        <v>C-Operativa</v>
      </c>
      <c r="C210" s="3" t="s">
        <v>1330</v>
      </c>
      <c r="D210" s="14">
        <v>45769</v>
      </c>
      <c r="E210" s="5" t="s">
        <v>7514</v>
      </c>
      <c r="F210" s="5" t="s">
        <v>1336</v>
      </c>
      <c r="G210" s="6" t="s">
        <v>876</v>
      </c>
      <c r="H210" s="6"/>
      <c r="I210" s="6"/>
      <c r="J210" s="6"/>
      <c r="K210" s="7" t="s">
        <v>7516</v>
      </c>
      <c r="L210" s="8">
        <v>567809</v>
      </c>
      <c r="M210" s="8" t="str">
        <f t="shared" si="20"/>
        <v>PEN</v>
      </c>
      <c r="N210" s="13"/>
      <c r="O210" s="13">
        <v>110</v>
      </c>
      <c r="P210" s="3">
        <f t="shared" si="21"/>
        <v>0</v>
      </c>
      <c r="Q210" s="3">
        <f t="shared" si="22"/>
        <v>110</v>
      </c>
      <c r="R210" s="3">
        <f t="shared" si="18"/>
        <v>3889.85</v>
      </c>
      <c r="S210" s="24" t="s">
        <v>1334</v>
      </c>
      <c r="T210" s="24" t="s">
        <v>1334</v>
      </c>
      <c r="U210" s="55"/>
      <c r="V210" s="25"/>
      <c r="W210" s="25"/>
      <c r="X210" s="25"/>
      <c r="Y210" s="25"/>
      <c r="Z210" s="25"/>
      <c r="AA210" s="3" t="str">
        <f>IF(Caja_Operativa[[#This Row],[FECHA]]&gt;0,TEXT(Caja_Operativa[[#This Row],[FECHA]],"mmmm"),0)</f>
        <v>Abril</v>
      </c>
    </row>
    <row r="211" spans="1:27" ht="24" x14ac:dyDescent="0.3">
      <c r="A211" s="2">
        <f>IF(Caja_Operativa[[#This Row],[TIPO DE R.]]="R",COUNTIFS($C$1:$C210,"R")+1,"")</f>
        <v>210</v>
      </c>
      <c r="B211" s="19" t="str">
        <f t="shared" si="19"/>
        <v>C-Operativa</v>
      </c>
      <c r="C211" s="3" t="s">
        <v>1330</v>
      </c>
      <c r="D211" s="14">
        <v>45769</v>
      </c>
      <c r="E211" s="5" t="s">
        <v>7514</v>
      </c>
      <c r="F211" s="5" t="s">
        <v>1336</v>
      </c>
      <c r="G211" s="6" t="s">
        <v>957</v>
      </c>
      <c r="H211" s="6"/>
      <c r="I211" s="6"/>
      <c r="J211" s="6"/>
      <c r="K211" s="7" t="s">
        <v>7516</v>
      </c>
      <c r="L211" s="8">
        <v>580168</v>
      </c>
      <c r="M211" s="8" t="str">
        <f t="shared" si="20"/>
        <v>PEN</v>
      </c>
      <c r="N211" s="13"/>
      <c r="O211" s="13">
        <v>80</v>
      </c>
      <c r="P211" s="3">
        <f t="shared" si="21"/>
        <v>0</v>
      </c>
      <c r="Q211" s="3">
        <f t="shared" si="22"/>
        <v>80</v>
      </c>
      <c r="R211" s="3">
        <f t="shared" si="18"/>
        <v>3809.85</v>
      </c>
      <c r="S211" s="24" t="s">
        <v>1334</v>
      </c>
      <c r="T211" s="24" t="s">
        <v>1334</v>
      </c>
      <c r="U211" s="55"/>
      <c r="V211" s="25"/>
      <c r="W211" s="25"/>
      <c r="X211" s="25"/>
      <c r="Y211" s="25"/>
      <c r="Z211" s="25"/>
      <c r="AA211" s="3" t="str">
        <f>IF(Caja_Operativa[[#This Row],[FECHA]]&gt;0,TEXT(Caja_Operativa[[#This Row],[FECHA]],"mmmm"),0)</f>
        <v>Abril</v>
      </c>
    </row>
    <row r="212" spans="1:27" ht="24" x14ac:dyDescent="0.3">
      <c r="A212" s="2">
        <f>IF(Caja_Operativa[[#This Row],[TIPO DE R.]]="R",COUNTIFS($C$1:$C211,"R")+1,"")</f>
        <v>211</v>
      </c>
      <c r="B212" s="19" t="str">
        <f t="shared" si="19"/>
        <v>C-Operativa</v>
      </c>
      <c r="C212" s="3" t="s">
        <v>1330</v>
      </c>
      <c r="D212" s="14">
        <v>45769</v>
      </c>
      <c r="E212" s="5" t="s">
        <v>7514</v>
      </c>
      <c r="F212" s="5" t="s">
        <v>1336</v>
      </c>
      <c r="G212" s="6" t="s">
        <v>1019</v>
      </c>
      <c r="H212" s="6"/>
      <c r="I212" s="6"/>
      <c r="J212" s="6"/>
      <c r="K212" s="7" t="s">
        <v>7516</v>
      </c>
      <c r="L212" s="8">
        <v>583577</v>
      </c>
      <c r="M212" s="8" t="str">
        <f t="shared" si="20"/>
        <v>PEN</v>
      </c>
      <c r="N212" s="13"/>
      <c r="O212" s="13">
        <v>25</v>
      </c>
      <c r="P212" s="3">
        <f t="shared" si="21"/>
        <v>0</v>
      </c>
      <c r="Q212" s="3">
        <f t="shared" si="22"/>
        <v>25</v>
      </c>
      <c r="R212" s="3">
        <f t="shared" si="18"/>
        <v>3784.85</v>
      </c>
      <c r="S212" s="24" t="s">
        <v>1334</v>
      </c>
      <c r="T212" s="24" t="s">
        <v>1334</v>
      </c>
      <c r="U212" s="55"/>
      <c r="V212" s="25"/>
      <c r="W212" s="25"/>
      <c r="X212" s="25"/>
      <c r="Y212" s="25"/>
      <c r="Z212" s="25"/>
      <c r="AA212" s="3" t="str">
        <f>IF(Caja_Operativa[[#This Row],[FECHA]]&gt;0,TEXT(Caja_Operativa[[#This Row],[FECHA]],"mmmm"),0)</f>
        <v>Abril</v>
      </c>
    </row>
    <row r="213" spans="1:27" ht="24" x14ac:dyDescent="0.3">
      <c r="A213" s="2">
        <f>IF(Caja_Operativa[[#This Row],[TIPO DE R.]]="R",COUNTIFS($C$1:$C212,"R")+1,"")</f>
        <v>212</v>
      </c>
      <c r="B213" s="19" t="str">
        <f t="shared" si="19"/>
        <v>C-Operativa</v>
      </c>
      <c r="C213" s="3" t="s">
        <v>1330</v>
      </c>
      <c r="D213" s="14">
        <v>45770</v>
      </c>
      <c r="E213" s="5" t="s">
        <v>7514</v>
      </c>
      <c r="F213" s="5" t="s">
        <v>1336</v>
      </c>
      <c r="G213" s="6" t="s">
        <v>692</v>
      </c>
      <c r="H213" s="6"/>
      <c r="I213" s="6"/>
      <c r="J213" s="6"/>
      <c r="K213" s="7" t="s">
        <v>7516</v>
      </c>
      <c r="L213" s="8">
        <v>641533</v>
      </c>
      <c r="M213" s="8" t="str">
        <f t="shared" si="20"/>
        <v>PEN</v>
      </c>
      <c r="N213" s="13"/>
      <c r="O213" s="13">
        <v>160</v>
      </c>
      <c r="P213" s="3">
        <f t="shared" si="21"/>
        <v>0</v>
      </c>
      <c r="Q213" s="3">
        <f t="shared" si="22"/>
        <v>160</v>
      </c>
      <c r="R213" s="3">
        <f t="shared" si="18"/>
        <v>3624.85</v>
      </c>
      <c r="S213" s="24" t="s">
        <v>1334</v>
      </c>
      <c r="T213" s="24" t="s">
        <v>1334</v>
      </c>
      <c r="U213" s="55"/>
      <c r="V213" s="25"/>
      <c r="W213" s="25"/>
      <c r="X213" s="25"/>
      <c r="Y213" s="25"/>
      <c r="Z213" s="25"/>
      <c r="AA213" s="3" t="str">
        <f>IF(Caja_Operativa[[#This Row],[FECHA]]&gt;0,TEXT(Caja_Operativa[[#This Row],[FECHA]],"mmmm"),0)</f>
        <v>Abril</v>
      </c>
    </row>
    <row r="214" spans="1:27" ht="24" x14ac:dyDescent="0.3">
      <c r="A214" s="2">
        <f>IF(Caja_Operativa[[#This Row],[TIPO DE R.]]="R",COUNTIFS($C$1:$C213,"R")+1,"")</f>
        <v>213</v>
      </c>
      <c r="B214" s="19" t="str">
        <f t="shared" si="19"/>
        <v>C-Operativa</v>
      </c>
      <c r="C214" s="3" t="s">
        <v>1330</v>
      </c>
      <c r="D214" s="14">
        <v>45772</v>
      </c>
      <c r="E214" s="5" t="s">
        <v>7514</v>
      </c>
      <c r="F214" s="5" t="s">
        <v>1336</v>
      </c>
      <c r="G214" s="6" t="s">
        <v>957</v>
      </c>
      <c r="H214" s="6"/>
      <c r="I214" s="6"/>
      <c r="J214" s="6"/>
      <c r="K214" s="7" t="s">
        <v>7628</v>
      </c>
      <c r="L214" s="8">
        <v>2380243</v>
      </c>
      <c r="M214" s="8" t="str">
        <f t="shared" si="20"/>
        <v>PEN</v>
      </c>
      <c r="N214" s="13"/>
      <c r="O214" s="13">
        <v>600</v>
      </c>
      <c r="P214" s="3">
        <f t="shared" si="21"/>
        <v>0</v>
      </c>
      <c r="Q214" s="3">
        <f t="shared" si="22"/>
        <v>600</v>
      </c>
      <c r="R214" s="3">
        <f t="shared" si="18"/>
        <v>3024.85</v>
      </c>
      <c r="S214" s="24" t="s">
        <v>1334</v>
      </c>
      <c r="T214" s="24" t="s">
        <v>1334</v>
      </c>
      <c r="U214" s="55"/>
      <c r="V214" s="25"/>
      <c r="W214" s="25"/>
      <c r="X214" s="25"/>
      <c r="Y214" s="25"/>
      <c r="Z214" s="25"/>
      <c r="AA214" s="3" t="str">
        <f>IF(Caja_Operativa[[#This Row],[FECHA]]&gt;0,TEXT(Caja_Operativa[[#This Row],[FECHA]],"mmmm"),0)</f>
        <v>Abril</v>
      </c>
    </row>
    <row r="215" spans="1:27" ht="60" x14ac:dyDescent="0.3">
      <c r="A215" s="2">
        <f>IF(Caja_Operativa[[#This Row],[TIPO DE R.]]="R",COUNTIFS($C$1:$C214,"R")+1,"")</f>
        <v>214</v>
      </c>
      <c r="B215" s="19" t="str">
        <f t="shared" si="19"/>
        <v>C-Operativa</v>
      </c>
      <c r="C215" s="3" t="s">
        <v>1330</v>
      </c>
      <c r="D215" s="14">
        <v>45775</v>
      </c>
      <c r="E215" s="5" t="s">
        <v>7514</v>
      </c>
      <c r="F215" s="5" t="s">
        <v>1336</v>
      </c>
      <c r="G215" s="6"/>
      <c r="H215" s="6"/>
      <c r="I215" s="6"/>
      <c r="J215" s="6"/>
      <c r="K215" s="7" t="s">
        <v>7629</v>
      </c>
      <c r="L215" s="8">
        <v>381141</v>
      </c>
      <c r="M215" s="8" t="str">
        <f t="shared" si="20"/>
        <v>PEN</v>
      </c>
      <c r="N215" s="13"/>
      <c r="O215" s="13">
        <v>8</v>
      </c>
      <c r="P215" s="3">
        <f t="shared" si="21"/>
        <v>0</v>
      </c>
      <c r="Q215" s="3">
        <f t="shared" si="22"/>
        <v>8</v>
      </c>
      <c r="R215" s="3">
        <f t="shared" si="18"/>
        <v>3016.85</v>
      </c>
      <c r="S215" s="24"/>
      <c r="T215" s="24"/>
      <c r="U215" s="55"/>
      <c r="V215" s="25" t="s">
        <v>7519</v>
      </c>
      <c r="W215" s="25"/>
      <c r="X215" s="25"/>
      <c r="Y215" s="25"/>
      <c r="Z215" s="25"/>
      <c r="AA215" s="3" t="str">
        <f>IF(Caja_Operativa[[#This Row],[FECHA]]&gt;0,TEXT(Caja_Operativa[[#This Row],[FECHA]],"mmmm"),0)</f>
        <v>Abril</v>
      </c>
    </row>
    <row r="216" spans="1:27" ht="60" x14ac:dyDescent="0.3">
      <c r="A216" s="2">
        <f>IF(Caja_Operativa[[#This Row],[TIPO DE R.]]="R",COUNTIFS($C$1:$C215,"R")+1,"")</f>
        <v>215</v>
      </c>
      <c r="B216" s="19" t="str">
        <f t="shared" si="19"/>
        <v>C-Operativa</v>
      </c>
      <c r="C216" s="3" t="s">
        <v>1330</v>
      </c>
      <c r="D216" s="14">
        <v>45775</v>
      </c>
      <c r="E216" s="5" t="s">
        <v>7514</v>
      </c>
      <c r="F216" s="5" t="s">
        <v>1336</v>
      </c>
      <c r="G216" s="6"/>
      <c r="H216" s="6"/>
      <c r="I216" s="6"/>
      <c r="J216" s="6"/>
      <c r="K216" s="7" t="s">
        <v>7630</v>
      </c>
      <c r="L216" s="8">
        <v>372506</v>
      </c>
      <c r="M216" s="8" t="str">
        <f t="shared" si="20"/>
        <v>PEN</v>
      </c>
      <c r="N216" s="13"/>
      <c r="O216" s="13">
        <v>8</v>
      </c>
      <c r="P216" s="3">
        <f t="shared" si="21"/>
        <v>0</v>
      </c>
      <c r="Q216" s="3">
        <f t="shared" si="22"/>
        <v>8</v>
      </c>
      <c r="R216" s="3">
        <f t="shared" si="18"/>
        <v>3008.85</v>
      </c>
      <c r="S216" s="24"/>
      <c r="T216" s="24"/>
      <c r="U216" s="55"/>
      <c r="V216" s="25" t="s">
        <v>7519</v>
      </c>
      <c r="W216" s="25"/>
      <c r="X216" s="25"/>
      <c r="Y216" s="25"/>
      <c r="Z216" s="25"/>
      <c r="AA216" s="3" t="str">
        <f>IF(Caja_Operativa[[#This Row],[FECHA]]&gt;0,TEXT(Caja_Operativa[[#This Row],[FECHA]],"mmmm"),0)</f>
        <v>Abril</v>
      </c>
    </row>
    <row r="217" spans="1:27" ht="60" x14ac:dyDescent="0.3">
      <c r="A217" s="2">
        <f>IF(Caja_Operativa[[#This Row],[TIPO DE R.]]="R",COUNTIFS($C$1:$C216,"R")+1,"")</f>
        <v>216</v>
      </c>
      <c r="B217" s="19" t="str">
        <f t="shared" si="19"/>
        <v>C-Operativa</v>
      </c>
      <c r="C217" s="3" t="s">
        <v>1330</v>
      </c>
      <c r="D217" s="14">
        <v>45775</v>
      </c>
      <c r="E217" s="5" t="s">
        <v>7514</v>
      </c>
      <c r="F217" s="5" t="s">
        <v>1336</v>
      </c>
      <c r="G217" s="6"/>
      <c r="H217" s="6"/>
      <c r="I217" s="6"/>
      <c r="J217" s="6"/>
      <c r="K217" s="7" t="s">
        <v>7631</v>
      </c>
      <c r="L217" s="8">
        <v>381756</v>
      </c>
      <c r="M217" s="8" t="str">
        <f t="shared" si="20"/>
        <v>PEN</v>
      </c>
      <c r="N217" s="13"/>
      <c r="O217" s="13">
        <v>8</v>
      </c>
      <c r="P217" s="3">
        <f t="shared" si="21"/>
        <v>0</v>
      </c>
      <c r="Q217" s="3">
        <f t="shared" si="22"/>
        <v>8</v>
      </c>
      <c r="R217" s="3">
        <f t="shared" si="18"/>
        <v>3000.85</v>
      </c>
      <c r="S217" s="24"/>
      <c r="T217" s="24"/>
      <c r="U217" s="55"/>
      <c r="V217" s="25" t="s">
        <v>7519</v>
      </c>
      <c r="W217" s="25"/>
      <c r="X217" s="25"/>
      <c r="Y217" s="25"/>
      <c r="Z217" s="25"/>
      <c r="AA217" s="3" t="str">
        <f>IF(Caja_Operativa[[#This Row],[FECHA]]&gt;0,TEXT(Caja_Operativa[[#This Row],[FECHA]],"mmmm"),0)</f>
        <v>Abril</v>
      </c>
    </row>
    <row r="218" spans="1:27" ht="60" x14ac:dyDescent="0.3">
      <c r="A218" s="2">
        <f>IF(Caja_Operativa[[#This Row],[TIPO DE R.]]="R",COUNTIFS($C$1:$C217,"R")+1,"")</f>
        <v>217</v>
      </c>
      <c r="B218" s="19" t="str">
        <f t="shared" si="19"/>
        <v>C-Operativa</v>
      </c>
      <c r="C218" s="3" t="s">
        <v>1330</v>
      </c>
      <c r="D218" s="14">
        <v>45775</v>
      </c>
      <c r="E218" s="5" t="s">
        <v>7514</v>
      </c>
      <c r="F218" s="5" t="s">
        <v>1336</v>
      </c>
      <c r="G218" s="6"/>
      <c r="H218" s="6"/>
      <c r="I218" s="6"/>
      <c r="J218" s="6"/>
      <c r="K218" s="7" t="s">
        <v>7632</v>
      </c>
      <c r="L218" s="8">
        <v>367105</v>
      </c>
      <c r="M218" s="8" t="str">
        <f t="shared" si="20"/>
        <v>PEN</v>
      </c>
      <c r="N218" s="13"/>
      <c r="O218" s="13">
        <v>8</v>
      </c>
      <c r="P218" s="3">
        <f t="shared" si="21"/>
        <v>0</v>
      </c>
      <c r="Q218" s="3">
        <f t="shared" si="22"/>
        <v>8</v>
      </c>
      <c r="R218" s="3">
        <f t="shared" si="18"/>
        <v>2992.85</v>
      </c>
      <c r="S218" s="24"/>
      <c r="T218" s="24"/>
      <c r="U218" s="55"/>
      <c r="V218" s="25" t="s">
        <v>7519</v>
      </c>
      <c r="W218" s="25"/>
      <c r="X218" s="25"/>
      <c r="Y218" s="25"/>
      <c r="Z218" s="25"/>
      <c r="AA218" s="3" t="str">
        <f>IF(Caja_Operativa[[#This Row],[FECHA]]&gt;0,TEXT(Caja_Operativa[[#This Row],[FECHA]],"mmmm"),0)</f>
        <v>Abril</v>
      </c>
    </row>
    <row r="219" spans="1:27" ht="60" x14ac:dyDescent="0.3">
      <c r="A219" s="2">
        <f>IF(Caja_Operativa[[#This Row],[TIPO DE R.]]="R",COUNTIFS($C$1:$C218,"R")+1,"")</f>
        <v>218</v>
      </c>
      <c r="B219" s="19" t="str">
        <f t="shared" si="19"/>
        <v>C-Operativa</v>
      </c>
      <c r="C219" s="3" t="s">
        <v>1330</v>
      </c>
      <c r="D219" s="14">
        <v>45775</v>
      </c>
      <c r="E219" s="5" t="s">
        <v>7514</v>
      </c>
      <c r="F219" s="5" t="s">
        <v>1336</v>
      </c>
      <c r="G219" s="6"/>
      <c r="H219" s="6"/>
      <c r="I219" s="6"/>
      <c r="J219" s="6"/>
      <c r="K219" s="7" t="s">
        <v>7633</v>
      </c>
      <c r="L219" s="8">
        <v>367352</v>
      </c>
      <c r="M219" s="8" t="str">
        <f t="shared" si="20"/>
        <v>PEN</v>
      </c>
      <c r="N219" s="13"/>
      <c r="O219" s="13">
        <v>10</v>
      </c>
      <c r="P219" s="3">
        <f t="shared" si="21"/>
        <v>0</v>
      </c>
      <c r="Q219" s="3">
        <f t="shared" si="22"/>
        <v>10</v>
      </c>
      <c r="R219" s="3">
        <f t="shared" si="18"/>
        <v>2982.85</v>
      </c>
      <c r="S219" s="24"/>
      <c r="T219" s="24"/>
      <c r="U219" s="55"/>
      <c r="V219" s="25" t="s">
        <v>7519</v>
      </c>
      <c r="W219" s="25"/>
      <c r="X219" s="25"/>
      <c r="Y219" s="25"/>
      <c r="Z219" s="25"/>
      <c r="AA219" s="3" t="str">
        <f>IF(Caja_Operativa[[#This Row],[FECHA]]&gt;0,TEXT(Caja_Operativa[[#This Row],[FECHA]],"mmmm"),0)</f>
        <v>Abril</v>
      </c>
    </row>
    <row r="220" spans="1:27" ht="60" x14ac:dyDescent="0.3">
      <c r="A220" s="2">
        <f>IF(Caja_Operativa[[#This Row],[TIPO DE R.]]="R",COUNTIFS($C$1:$C219,"R")+1,"")</f>
        <v>219</v>
      </c>
      <c r="B220" s="19" t="str">
        <f t="shared" si="19"/>
        <v>C-Operativa</v>
      </c>
      <c r="C220" s="3" t="s">
        <v>1330</v>
      </c>
      <c r="D220" s="14">
        <v>45775</v>
      </c>
      <c r="E220" s="5" t="s">
        <v>7514</v>
      </c>
      <c r="F220" s="5" t="s">
        <v>1336</v>
      </c>
      <c r="G220" s="6"/>
      <c r="H220" s="6"/>
      <c r="I220" s="6"/>
      <c r="J220" s="6"/>
      <c r="K220" s="7" t="s">
        <v>7634</v>
      </c>
      <c r="L220" s="8">
        <v>367625</v>
      </c>
      <c r="M220" s="8" t="str">
        <f t="shared" si="20"/>
        <v>PEN</v>
      </c>
      <c r="N220" s="13"/>
      <c r="O220" s="13">
        <v>20</v>
      </c>
      <c r="P220" s="3">
        <f t="shared" si="21"/>
        <v>0</v>
      </c>
      <c r="Q220" s="3">
        <f t="shared" si="22"/>
        <v>20</v>
      </c>
      <c r="R220" s="3">
        <f t="shared" si="18"/>
        <v>2962.85</v>
      </c>
      <c r="S220" s="24"/>
      <c r="T220" s="24"/>
      <c r="U220" s="55"/>
      <c r="V220" s="25" t="s">
        <v>7519</v>
      </c>
      <c r="W220" s="25"/>
      <c r="X220" s="25"/>
      <c r="Y220" s="25"/>
      <c r="Z220" s="25"/>
      <c r="AA220" s="3" t="str">
        <f>IF(Caja_Operativa[[#This Row],[FECHA]]&gt;0,TEXT(Caja_Operativa[[#This Row],[FECHA]],"mmmm"),0)</f>
        <v>Abril</v>
      </c>
    </row>
    <row r="221" spans="1:27" ht="60" x14ac:dyDescent="0.3">
      <c r="A221" s="2">
        <f>IF(Caja_Operativa[[#This Row],[TIPO DE R.]]="R",COUNTIFS($C$1:$C220,"R")+1,"")</f>
        <v>220</v>
      </c>
      <c r="B221" s="19" t="str">
        <f t="shared" si="19"/>
        <v>C-Operativa</v>
      </c>
      <c r="C221" s="3" t="s">
        <v>1330</v>
      </c>
      <c r="D221" s="14">
        <v>45775</v>
      </c>
      <c r="E221" s="5" t="s">
        <v>7514</v>
      </c>
      <c r="F221" s="5" t="s">
        <v>1336</v>
      </c>
      <c r="G221" s="6"/>
      <c r="H221" s="6"/>
      <c r="I221" s="6"/>
      <c r="J221" s="6"/>
      <c r="K221" s="7" t="s">
        <v>7635</v>
      </c>
      <c r="L221" s="8">
        <v>364905</v>
      </c>
      <c r="M221" s="8" t="str">
        <f t="shared" si="20"/>
        <v>PEN</v>
      </c>
      <c r="N221" s="13"/>
      <c r="O221" s="13">
        <v>12</v>
      </c>
      <c r="P221" s="3">
        <f t="shared" si="21"/>
        <v>0</v>
      </c>
      <c r="Q221" s="3">
        <f t="shared" si="22"/>
        <v>12</v>
      </c>
      <c r="R221" s="3">
        <f t="shared" si="18"/>
        <v>2950.85</v>
      </c>
      <c r="S221" s="24"/>
      <c r="T221" s="24"/>
      <c r="U221" s="55"/>
      <c r="V221" s="25" t="s">
        <v>7519</v>
      </c>
      <c r="W221" s="25"/>
      <c r="X221" s="25"/>
      <c r="Y221" s="25"/>
      <c r="Z221" s="25"/>
      <c r="AA221" s="3" t="str">
        <f>IF(Caja_Operativa[[#This Row],[FECHA]]&gt;0,TEXT(Caja_Operativa[[#This Row],[FECHA]],"mmmm"),0)</f>
        <v>Abril</v>
      </c>
    </row>
    <row r="222" spans="1:27" ht="60" x14ac:dyDescent="0.3">
      <c r="A222" s="2">
        <f>IF(Caja_Operativa[[#This Row],[TIPO DE R.]]="R",COUNTIFS($C$1:$C221,"R")+1,"")</f>
        <v>221</v>
      </c>
      <c r="B222" s="19" t="str">
        <f t="shared" si="19"/>
        <v>C-Operativa</v>
      </c>
      <c r="C222" s="3" t="s">
        <v>1330</v>
      </c>
      <c r="D222" s="14">
        <v>45775</v>
      </c>
      <c r="E222" s="5" t="s">
        <v>7514</v>
      </c>
      <c r="F222" s="5" t="s">
        <v>1336</v>
      </c>
      <c r="G222" s="6"/>
      <c r="H222" s="6"/>
      <c r="I222" s="6"/>
      <c r="J222" s="6"/>
      <c r="K222" s="7" t="s">
        <v>7636</v>
      </c>
      <c r="L222" s="8">
        <v>400977</v>
      </c>
      <c r="M222" s="8" t="str">
        <f t="shared" si="20"/>
        <v>PEN</v>
      </c>
      <c r="N222" s="13"/>
      <c r="O222" s="13">
        <v>15</v>
      </c>
      <c r="P222" s="3">
        <f t="shared" si="21"/>
        <v>0</v>
      </c>
      <c r="Q222" s="3">
        <f t="shared" si="22"/>
        <v>15</v>
      </c>
      <c r="R222" s="3">
        <f t="shared" si="18"/>
        <v>2935.85</v>
      </c>
      <c r="S222" s="24"/>
      <c r="T222" s="24"/>
      <c r="U222" s="55"/>
      <c r="V222" s="25" t="s">
        <v>7519</v>
      </c>
      <c r="W222" s="25"/>
      <c r="X222" s="25"/>
      <c r="Y222" s="25"/>
      <c r="Z222" s="25"/>
      <c r="AA222" s="3" t="str">
        <f>IF(Caja_Operativa[[#This Row],[FECHA]]&gt;0,TEXT(Caja_Operativa[[#This Row],[FECHA]],"mmmm"),0)</f>
        <v>Abril</v>
      </c>
    </row>
    <row r="223" spans="1:27" ht="60" x14ac:dyDescent="0.3">
      <c r="A223" s="2">
        <f>IF(Caja_Operativa[[#This Row],[TIPO DE R.]]="R",COUNTIFS($C$1:$C222,"R")+1,"")</f>
        <v>222</v>
      </c>
      <c r="B223" s="19" t="str">
        <f t="shared" si="19"/>
        <v>C-Operativa</v>
      </c>
      <c r="C223" s="3" t="s">
        <v>1330</v>
      </c>
      <c r="D223" s="14">
        <v>45775</v>
      </c>
      <c r="E223" s="5" t="s">
        <v>7514</v>
      </c>
      <c r="F223" s="5" t="s">
        <v>1336</v>
      </c>
      <c r="G223" s="6"/>
      <c r="H223" s="6"/>
      <c r="I223" s="6"/>
      <c r="J223" s="6"/>
      <c r="K223" s="7" t="s">
        <v>7637</v>
      </c>
      <c r="L223" s="8">
        <v>362739</v>
      </c>
      <c r="M223" s="8" t="str">
        <f t="shared" si="20"/>
        <v>PEN</v>
      </c>
      <c r="N223" s="13"/>
      <c r="O223" s="13">
        <v>8</v>
      </c>
      <c r="P223" s="3">
        <f t="shared" si="21"/>
        <v>0</v>
      </c>
      <c r="Q223" s="3">
        <f t="shared" si="22"/>
        <v>8</v>
      </c>
      <c r="R223" s="3">
        <f t="shared" si="18"/>
        <v>2927.85</v>
      </c>
      <c r="S223" s="24"/>
      <c r="T223" s="24"/>
      <c r="U223" s="55"/>
      <c r="V223" s="25" t="s">
        <v>7519</v>
      </c>
      <c r="W223" s="25"/>
      <c r="X223" s="25"/>
      <c r="Y223" s="25"/>
      <c r="Z223" s="25"/>
      <c r="AA223" s="3" t="str">
        <f>IF(Caja_Operativa[[#This Row],[FECHA]]&gt;0,TEXT(Caja_Operativa[[#This Row],[FECHA]],"mmmm"),0)</f>
        <v>Abril</v>
      </c>
    </row>
    <row r="224" spans="1:27" ht="60" x14ac:dyDescent="0.3">
      <c r="A224" s="2">
        <f>IF(Caja_Operativa[[#This Row],[TIPO DE R.]]="R",COUNTIFS($C$1:$C223,"R")+1,"")</f>
        <v>223</v>
      </c>
      <c r="B224" s="19" t="str">
        <f t="shared" si="19"/>
        <v>C-Operativa</v>
      </c>
      <c r="C224" s="3" t="s">
        <v>1330</v>
      </c>
      <c r="D224" s="14">
        <v>45775</v>
      </c>
      <c r="E224" s="5" t="s">
        <v>7514</v>
      </c>
      <c r="F224" s="5" t="s">
        <v>1336</v>
      </c>
      <c r="G224" s="6"/>
      <c r="H224" s="6"/>
      <c r="I224" s="6"/>
      <c r="J224" s="6"/>
      <c r="K224" s="7" t="s">
        <v>7638</v>
      </c>
      <c r="L224" s="8">
        <v>377840</v>
      </c>
      <c r="M224" s="8" t="str">
        <f t="shared" si="20"/>
        <v>PEN</v>
      </c>
      <c r="N224" s="13"/>
      <c r="O224" s="13">
        <v>12</v>
      </c>
      <c r="P224" s="3">
        <f t="shared" si="21"/>
        <v>0</v>
      </c>
      <c r="Q224" s="3">
        <f t="shared" si="22"/>
        <v>12</v>
      </c>
      <c r="R224" s="3">
        <f t="shared" si="18"/>
        <v>2915.85</v>
      </c>
      <c r="S224" s="24"/>
      <c r="T224" s="24"/>
      <c r="U224" s="55"/>
      <c r="V224" s="25" t="s">
        <v>7519</v>
      </c>
      <c r="W224" s="25"/>
      <c r="X224" s="25"/>
      <c r="Y224" s="25"/>
      <c r="Z224" s="25"/>
      <c r="AA224" s="3" t="str">
        <f>IF(Caja_Operativa[[#This Row],[FECHA]]&gt;0,TEXT(Caja_Operativa[[#This Row],[FECHA]],"mmmm"),0)</f>
        <v>Abril</v>
      </c>
    </row>
    <row r="225" spans="1:27" ht="60" x14ac:dyDescent="0.3">
      <c r="A225" s="2">
        <f>IF(Caja_Operativa[[#This Row],[TIPO DE R.]]="R",COUNTIFS($C$1:$C224,"R")+1,"")</f>
        <v>224</v>
      </c>
      <c r="B225" s="19" t="str">
        <f t="shared" si="19"/>
        <v>C-Operativa</v>
      </c>
      <c r="C225" s="3" t="s">
        <v>1330</v>
      </c>
      <c r="D225" s="14">
        <v>45775</v>
      </c>
      <c r="E225" s="5" t="s">
        <v>7514</v>
      </c>
      <c r="F225" s="5" t="s">
        <v>1336</v>
      </c>
      <c r="G225" s="6"/>
      <c r="H225" s="6"/>
      <c r="I225" s="6"/>
      <c r="J225" s="6"/>
      <c r="K225" s="7" t="s">
        <v>7639</v>
      </c>
      <c r="L225" s="8">
        <v>420112</v>
      </c>
      <c r="M225" s="8" t="str">
        <f t="shared" si="20"/>
        <v>PEN</v>
      </c>
      <c r="N225" s="13"/>
      <c r="O225" s="13">
        <v>8</v>
      </c>
      <c r="P225" s="3">
        <f t="shared" si="21"/>
        <v>0</v>
      </c>
      <c r="Q225" s="3">
        <f t="shared" si="22"/>
        <v>8</v>
      </c>
      <c r="R225" s="3">
        <f t="shared" si="18"/>
        <v>2907.85</v>
      </c>
      <c r="S225" s="24"/>
      <c r="T225" s="24"/>
      <c r="U225" s="55"/>
      <c r="V225" s="25" t="s">
        <v>7519</v>
      </c>
      <c r="W225" s="25"/>
      <c r="X225" s="25"/>
      <c r="Y225" s="25"/>
      <c r="Z225" s="25"/>
      <c r="AA225" s="3" t="str">
        <f>IF(Caja_Operativa[[#This Row],[FECHA]]&gt;0,TEXT(Caja_Operativa[[#This Row],[FECHA]],"mmmm"),0)</f>
        <v>Abril</v>
      </c>
    </row>
    <row r="226" spans="1:27" ht="60" x14ac:dyDescent="0.3">
      <c r="A226" s="2">
        <f>IF(Caja_Operativa[[#This Row],[TIPO DE R.]]="R",COUNTIFS($C$1:$C225,"R")+1,"")</f>
        <v>225</v>
      </c>
      <c r="B226" s="19" t="str">
        <f t="shared" si="19"/>
        <v>C-Operativa</v>
      </c>
      <c r="C226" s="3" t="s">
        <v>1330</v>
      </c>
      <c r="D226" s="14">
        <v>45775</v>
      </c>
      <c r="E226" s="5" t="s">
        <v>7514</v>
      </c>
      <c r="F226" s="5" t="s">
        <v>1336</v>
      </c>
      <c r="G226" s="6"/>
      <c r="H226" s="6"/>
      <c r="I226" s="6"/>
      <c r="J226" s="6"/>
      <c r="K226" s="7" t="s">
        <v>7640</v>
      </c>
      <c r="L226" s="8">
        <v>426318</v>
      </c>
      <c r="M226" s="8" t="str">
        <f t="shared" si="20"/>
        <v>PEN</v>
      </c>
      <c r="N226" s="13"/>
      <c r="O226" s="13">
        <v>8</v>
      </c>
      <c r="P226" s="3">
        <f t="shared" si="21"/>
        <v>0</v>
      </c>
      <c r="Q226" s="3">
        <f t="shared" si="22"/>
        <v>8</v>
      </c>
      <c r="R226" s="3">
        <f t="shared" si="18"/>
        <v>2899.85</v>
      </c>
      <c r="S226" s="24"/>
      <c r="T226" s="24"/>
      <c r="U226" s="55"/>
      <c r="V226" s="25" t="s">
        <v>7519</v>
      </c>
      <c r="W226" s="25"/>
      <c r="X226" s="25"/>
      <c r="Y226" s="25"/>
      <c r="Z226" s="25"/>
      <c r="AA226" s="3" t="str">
        <f>IF(Caja_Operativa[[#This Row],[FECHA]]&gt;0,TEXT(Caja_Operativa[[#This Row],[FECHA]],"mmmm"),0)</f>
        <v>Abril</v>
      </c>
    </row>
    <row r="227" spans="1:27" ht="60" x14ac:dyDescent="0.3">
      <c r="A227" s="2">
        <f>IF(Caja_Operativa[[#This Row],[TIPO DE R.]]="R",COUNTIFS($C$1:$C226,"R")+1,"")</f>
        <v>226</v>
      </c>
      <c r="B227" s="19" t="str">
        <f t="shared" si="19"/>
        <v>C-Operativa</v>
      </c>
      <c r="C227" s="3" t="s">
        <v>1330</v>
      </c>
      <c r="D227" s="14">
        <v>45775</v>
      </c>
      <c r="E227" s="5" t="s">
        <v>7514</v>
      </c>
      <c r="F227" s="5" t="s">
        <v>1336</v>
      </c>
      <c r="G227" s="6"/>
      <c r="H227" s="6"/>
      <c r="I227" s="6"/>
      <c r="J227" s="6"/>
      <c r="K227" s="7" t="s">
        <v>7641</v>
      </c>
      <c r="L227" s="8">
        <v>432700</v>
      </c>
      <c r="M227" s="8" t="str">
        <f t="shared" si="20"/>
        <v>PEN</v>
      </c>
      <c r="N227" s="13"/>
      <c r="O227" s="13">
        <v>12</v>
      </c>
      <c r="P227" s="3">
        <f t="shared" si="21"/>
        <v>0</v>
      </c>
      <c r="Q227" s="3">
        <f t="shared" si="22"/>
        <v>12</v>
      </c>
      <c r="R227" s="3">
        <f t="shared" si="18"/>
        <v>2887.85</v>
      </c>
      <c r="S227" s="24"/>
      <c r="T227" s="24"/>
      <c r="U227" s="55"/>
      <c r="V227" s="25" t="s">
        <v>7519</v>
      </c>
      <c r="W227" s="25"/>
      <c r="X227" s="25"/>
      <c r="Y227" s="25"/>
      <c r="Z227" s="25"/>
      <c r="AA227" s="3" t="str">
        <f>IF(Caja_Operativa[[#This Row],[FECHA]]&gt;0,TEXT(Caja_Operativa[[#This Row],[FECHA]],"mmmm"),0)</f>
        <v>Abril</v>
      </c>
    </row>
    <row r="228" spans="1:27" ht="60" x14ac:dyDescent="0.3">
      <c r="A228" s="2">
        <f>IF(Caja_Operativa[[#This Row],[TIPO DE R.]]="R",COUNTIFS($C$1:$C227,"R")+1,"")</f>
        <v>227</v>
      </c>
      <c r="B228" s="19" t="str">
        <f t="shared" si="19"/>
        <v>C-Operativa</v>
      </c>
      <c r="C228" s="3" t="s">
        <v>1330</v>
      </c>
      <c r="D228" s="14">
        <v>45775</v>
      </c>
      <c r="E228" s="5" t="s">
        <v>7514</v>
      </c>
      <c r="F228" s="5" t="s">
        <v>1336</v>
      </c>
      <c r="G228" s="6"/>
      <c r="H228" s="6"/>
      <c r="I228" s="6"/>
      <c r="J228" s="6"/>
      <c r="K228" s="7" t="s">
        <v>7642</v>
      </c>
      <c r="L228" s="8">
        <v>445409</v>
      </c>
      <c r="M228" s="8" t="str">
        <f t="shared" si="20"/>
        <v>PEN</v>
      </c>
      <c r="N228" s="13"/>
      <c r="O228" s="13">
        <v>12</v>
      </c>
      <c r="P228" s="3">
        <f t="shared" si="21"/>
        <v>0</v>
      </c>
      <c r="Q228" s="3">
        <f t="shared" si="22"/>
        <v>12</v>
      </c>
      <c r="R228" s="3">
        <f t="shared" si="18"/>
        <v>2875.85</v>
      </c>
      <c r="S228" s="24"/>
      <c r="T228" s="24"/>
      <c r="U228" s="55"/>
      <c r="V228" s="25" t="s">
        <v>7519</v>
      </c>
      <c r="W228" s="25"/>
      <c r="X228" s="25"/>
      <c r="Y228" s="25"/>
      <c r="Z228" s="25"/>
      <c r="AA228" s="3" t="str">
        <f>IF(Caja_Operativa[[#This Row],[FECHA]]&gt;0,TEXT(Caja_Operativa[[#This Row],[FECHA]],"mmmm"),0)</f>
        <v>Abril</v>
      </c>
    </row>
    <row r="229" spans="1:27" ht="60" x14ac:dyDescent="0.3">
      <c r="A229" s="2">
        <f>IF(Caja_Operativa[[#This Row],[TIPO DE R.]]="R",COUNTIFS($C$1:$C228,"R")+1,"")</f>
        <v>228</v>
      </c>
      <c r="B229" s="19" t="str">
        <f t="shared" si="19"/>
        <v>C-Operativa</v>
      </c>
      <c r="C229" s="3" t="s">
        <v>1330</v>
      </c>
      <c r="D229" s="14">
        <v>45775</v>
      </c>
      <c r="E229" s="5" t="s">
        <v>7514</v>
      </c>
      <c r="F229" s="5" t="s">
        <v>1336</v>
      </c>
      <c r="G229" s="6"/>
      <c r="H229" s="6"/>
      <c r="I229" s="6"/>
      <c r="J229" s="6"/>
      <c r="K229" s="7" t="s">
        <v>7643</v>
      </c>
      <c r="L229" s="8">
        <v>437035</v>
      </c>
      <c r="M229" s="8" t="str">
        <f t="shared" si="20"/>
        <v>PEN</v>
      </c>
      <c r="N229" s="13"/>
      <c r="O229" s="13">
        <v>8</v>
      </c>
      <c r="P229" s="3">
        <f t="shared" si="21"/>
        <v>0</v>
      </c>
      <c r="Q229" s="3">
        <f t="shared" si="22"/>
        <v>8</v>
      </c>
      <c r="R229" s="3">
        <f t="shared" si="18"/>
        <v>2867.85</v>
      </c>
      <c r="S229" s="24"/>
      <c r="T229" s="24"/>
      <c r="U229" s="55"/>
      <c r="V229" s="25" t="s">
        <v>7519</v>
      </c>
      <c r="W229" s="25"/>
      <c r="X229" s="25"/>
      <c r="Y229" s="25"/>
      <c r="Z229" s="25"/>
      <c r="AA229" s="3" t="str">
        <f>IF(Caja_Operativa[[#This Row],[FECHA]]&gt;0,TEXT(Caja_Operativa[[#This Row],[FECHA]],"mmmm"),0)</f>
        <v>Abril</v>
      </c>
    </row>
    <row r="230" spans="1:27" ht="60" x14ac:dyDescent="0.3">
      <c r="A230" s="2">
        <f>IF(Caja_Operativa[[#This Row],[TIPO DE R.]]="R",COUNTIFS($C$1:$C229,"R")+1,"")</f>
        <v>229</v>
      </c>
      <c r="B230" s="19" t="str">
        <f t="shared" si="19"/>
        <v>C-Operativa</v>
      </c>
      <c r="C230" s="3" t="s">
        <v>1330</v>
      </c>
      <c r="D230" s="14">
        <v>45775</v>
      </c>
      <c r="E230" s="5" t="s">
        <v>7514</v>
      </c>
      <c r="F230" s="5" t="s">
        <v>1336</v>
      </c>
      <c r="G230" s="6"/>
      <c r="H230" s="6"/>
      <c r="I230" s="6"/>
      <c r="J230" s="6"/>
      <c r="K230" s="7" t="s">
        <v>7644</v>
      </c>
      <c r="L230" s="8">
        <v>449322</v>
      </c>
      <c r="M230" s="8" t="str">
        <f t="shared" si="20"/>
        <v>PEN</v>
      </c>
      <c r="N230" s="13"/>
      <c r="O230" s="13">
        <v>8</v>
      </c>
      <c r="P230" s="3">
        <f t="shared" si="21"/>
        <v>0</v>
      </c>
      <c r="Q230" s="3">
        <f t="shared" si="22"/>
        <v>8</v>
      </c>
      <c r="R230" s="3">
        <f t="shared" si="18"/>
        <v>2859.85</v>
      </c>
      <c r="S230" s="24"/>
      <c r="T230" s="24"/>
      <c r="U230" s="55"/>
      <c r="V230" s="25" t="s">
        <v>7519</v>
      </c>
      <c r="W230" s="25"/>
      <c r="X230" s="25"/>
      <c r="Y230" s="25"/>
      <c r="Z230" s="25"/>
      <c r="AA230" s="3" t="str">
        <f>IF(Caja_Operativa[[#This Row],[FECHA]]&gt;0,TEXT(Caja_Operativa[[#This Row],[FECHA]],"mmmm"),0)</f>
        <v>Abril</v>
      </c>
    </row>
    <row r="231" spans="1:27" ht="60" x14ac:dyDescent="0.3">
      <c r="A231" s="2">
        <f>IF(Caja_Operativa[[#This Row],[TIPO DE R.]]="R",COUNTIFS($C$1:$C230,"R")+1,"")</f>
        <v>230</v>
      </c>
      <c r="B231" s="19" t="str">
        <f t="shared" si="19"/>
        <v>C-Operativa</v>
      </c>
      <c r="C231" s="3" t="s">
        <v>1330</v>
      </c>
      <c r="D231" s="14">
        <v>45775</v>
      </c>
      <c r="E231" s="5" t="s">
        <v>7514</v>
      </c>
      <c r="F231" s="5" t="s">
        <v>1336</v>
      </c>
      <c r="G231" s="6"/>
      <c r="H231" s="6"/>
      <c r="I231" s="6"/>
      <c r="J231" s="6"/>
      <c r="K231" s="7" t="s">
        <v>7645</v>
      </c>
      <c r="L231" s="8">
        <v>425676</v>
      </c>
      <c r="M231" s="8" t="str">
        <f t="shared" si="20"/>
        <v>PEN</v>
      </c>
      <c r="N231" s="13"/>
      <c r="O231" s="13">
        <v>8</v>
      </c>
      <c r="P231" s="3">
        <f t="shared" si="21"/>
        <v>0</v>
      </c>
      <c r="Q231" s="3">
        <f t="shared" si="22"/>
        <v>8</v>
      </c>
      <c r="R231" s="3">
        <f t="shared" si="18"/>
        <v>2851.85</v>
      </c>
      <c r="S231" s="24"/>
      <c r="T231" s="24"/>
      <c r="U231" s="55"/>
      <c r="V231" s="25" t="s">
        <v>7519</v>
      </c>
      <c r="W231" s="25"/>
      <c r="X231" s="25"/>
      <c r="Y231" s="25"/>
      <c r="Z231" s="25"/>
      <c r="AA231" s="3" t="str">
        <f>IF(Caja_Operativa[[#This Row],[FECHA]]&gt;0,TEXT(Caja_Operativa[[#This Row],[FECHA]],"mmmm"),0)</f>
        <v>Abril</v>
      </c>
    </row>
    <row r="232" spans="1:27" ht="60" x14ac:dyDescent="0.3">
      <c r="A232" s="2">
        <f>IF(Caja_Operativa[[#This Row],[TIPO DE R.]]="R",COUNTIFS($C$1:$C231,"R")+1,"")</f>
        <v>231</v>
      </c>
      <c r="B232" s="19" t="str">
        <f t="shared" si="19"/>
        <v>C-Operativa</v>
      </c>
      <c r="C232" s="3" t="s">
        <v>1330</v>
      </c>
      <c r="D232" s="14">
        <v>45775</v>
      </c>
      <c r="E232" s="5" t="s">
        <v>7514</v>
      </c>
      <c r="F232" s="5" t="s">
        <v>1336</v>
      </c>
      <c r="G232" s="6"/>
      <c r="H232" s="6"/>
      <c r="I232" s="6"/>
      <c r="J232" s="6"/>
      <c r="K232" s="7" t="s">
        <v>7646</v>
      </c>
      <c r="L232" s="8">
        <v>459137</v>
      </c>
      <c r="M232" s="8" t="str">
        <f t="shared" si="20"/>
        <v>PEN</v>
      </c>
      <c r="N232" s="13"/>
      <c r="O232" s="13">
        <v>10</v>
      </c>
      <c r="P232" s="3">
        <f t="shared" si="21"/>
        <v>0</v>
      </c>
      <c r="Q232" s="3">
        <f t="shared" si="22"/>
        <v>10</v>
      </c>
      <c r="R232" s="3">
        <f t="shared" si="18"/>
        <v>2841.85</v>
      </c>
      <c r="S232" s="24"/>
      <c r="T232" s="24"/>
      <c r="U232" s="55"/>
      <c r="V232" s="25" t="s">
        <v>7519</v>
      </c>
      <c r="W232" s="25"/>
      <c r="X232" s="25"/>
      <c r="Y232" s="25"/>
      <c r="Z232" s="25"/>
      <c r="AA232" s="3" t="str">
        <f>IF(Caja_Operativa[[#This Row],[FECHA]]&gt;0,TEXT(Caja_Operativa[[#This Row],[FECHA]],"mmmm"),0)</f>
        <v>Abril</v>
      </c>
    </row>
    <row r="233" spans="1:27" ht="60" x14ac:dyDescent="0.3">
      <c r="A233" s="2">
        <f>IF(Caja_Operativa[[#This Row],[TIPO DE R.]]="R",COUNTIFS($C$1:$C232,"R")+1,"")</f>
        <v>232</v>
      </c>
      <c r="B233" s="19" t="str">
        <f t="shared" si="19"/>
        <v>C-Operativa</v>
      </c>
      <c r="C233" s="3" t="s">
        <v>1330</v>
      </c>
      <c r="D233" s="14">
        <v>45775</v>
      </c>
      <c r="E233" s="5" t="s">
        <v>7514</v>
      </c>
      <c r="F233" s="5" t="s">
        <v>1336</v>
      </c>
      <c r="G233" s="6"/>
      <c r="H233" s="6"/>
      <c r="I233" s="6"/>
      <c r="J233" s="6"/>
      <c r="K233" s="7" t="s">
        <v>7647</v>
      </c>
      <c r="L233" s="8">
        <v>471337</v>
      </c>
      <c r="M233" s="8" t="str">
        <f t="shared" si="20"/>
        <v>PEN</v>
      </c>
      <c r="N233" s="13"/>
      <c r="O233" s="13">
        <v>8</v>
      </c>
      <c r="P233" s="3">
        <f t="shared" si="21"/>
        <v>0</v>
      </c>
      <c r="Q233" s="3">
        <f t="shared" si="22"/>
        <v>8</v>
      </c>
      <c r="R233" s="3">
        <f t="shared" si="18"/>
        <v>2833.85</v>
      </c>
      <c r="S233" s="24"/>
      <c r="T233" s="24"/>
      <c r="U233" s="55"/>
      <c r="V233" s="25" t="s">
        <v>7519</v>
      </c>
      <c r="W233" s="25"/>
      <c r="X233" s="25"/>
      <c r="Y233" s="25"/>
      <c r="Z233" s="25"/>
      <c r="AA233" s="3" t="str">
        <f>IF(Caja_Operativa[[#This Row],[FECHA]]&gt;0,TEXT(Caja_Operativa[[#This Row],[FECHA]],"mmmm"),0)</f>
        <v>Abril</v>
      </c>
    </row>
    <row r="234" spans="1:27" ht="60" x14ac:dyDescent="0.3">
      <c r="A234" s="2">
        <f>IF(Caja_Operativa[[#This Row],[TIPO DE R.]]="R",COUNTIFS($C$1:$C233,"R")+1,"")</f>
        <v>233</v>
      </c>
      <c r="B234" s="19" t="str">
        <f t="shared" si="19"/>
        <v>C-Operativa</v>
      </c>
      <c r="C234" s="3" t="s">
        <v>1330</v>
      </c>
      <c r="D234" s="14">
        <v>45775</v>
      </c>
      <c r="E234" s="5" t="s">
        <v>7514</v>
      </c>
      <c r="F234" s="5" t="s">
        <v>1336</v>
      </c>
      <c r="G234" s="6"/>
      <c r="H234" s="6"/>
      <c r="I234" s="6"/>
      <c r="J234" s="6"/>
      <c r="K234" s="7" t="s">
        <v>7648</v>
      </c>
      <c r="L234" s="8">
        <v>489487</v>
      </c>
      <c r="M234" s="8" t="str">
        <f t="shared" si="20"/>
        <v>PEN</v>
      </c>
      <c r="N234" s="13"/>
      <c r="O234" s="13">
        <v>10</v>
      </c>
      <c r="P234" s="3">
        <f t="shared" si="21"/>
        <v>0</v>
      </c>
      <c r="Q234" s="3">
        <f t="shared" si="22"/>
        <v>10</v>
      </c>
      <c r="R234" s="3">
        <f t="shared" si="18"/>
        <v>2823.85</v>
      </c>
      <c r="S234" s="24"/>
      <c r="T234" s="24"/>
      <c r="U234" s="55"/>
      <c r="V234" s="25" t="s">
        <v>7519</v>
      </c>
      <c r="W234" s="25"/>
      <c r="X234" s="25"/>
      <c r="Y234" s="25"/>
      <c r="Z234" s="25"/>
      <c r="AA234" s="3" t="str">
        <f>IF(Caja_Operativa[[#This Row],[FECHA]]&gt;0,TEXT(Caja_Operativa[[#This Row],[FECHA]],"mmmm"),0)</f>
        <v>Abril</v>
      </c>
    </row>
    <row r="235" spans="1:27" ht="60" x14ac:dyDescent="0.3">
      <c r="A235" s="2">
        <f>IF(Caja_Operativa[[#This Row],[TIPO DE R.]]="R",COUNTIFS($C$1:$C234,"R")+1,"")</f>
        <v>234</v>
      </c>
      <c r="B235" s="19" t="str">
        <f t="shared" si="19"/>
        <v>C-Operativa</v>
      </c>
      <c r="C235" s="3" t="s">
        <v>1330</v>
      </c>
      <c r="D235" s="14">
        <v>45775</v>
      </c>
      <c r="E235" s="5" t="s">
        <v>7514</v>
      </c>
      <c r="F235" s="5" t="s">
        <v>1336</v>
      </c>
      <c r="G235" s="6"/>
      <c r="H235" s="6"/>
      <c r="I235" s="6"/>
      <c r="J235" s="6"/>
      <c r="K235" s="7" t="s">
        <v>7649</v>
      </c>
      <c r="L235" s="8">
        <v>463191</v>
      </c>
      <c r="M235" s="8" t="str">
        <f t="shared" si="20"/>
        <v>PEN</v>
      </c>
      <c r="N235" s="13"/>
      <c r="O235" s="13">
        <v>10</v>
      </c>
      <c r="P235" s="3">
        <f t="shared" si="21"/>
        <v>0</v>
      </c>
      <c r="Q235" s="3">
        <f t="shared" si="22"/>
        <v>10</v>
      </c>
      <c r="R235" s="3">
        <f t="shared" si="18"/>
        <v>2813.85</v>
      </c>
      <c r="S235" s="24"/>
      <c r="T235" s="24"/>
      <c r="U235" s="55"/>
      <c r="V235" s="25" t="s">
        <v>7519</v>
      </c>
      <c r="W235" s="25"/>
      <c r="X235" s="25"/>
      <c r="Y235" s="25"/>
      <c r="Z235" s="25"/>
      <c r="AA235" s="3" t="str">
        <f>IF(Caja_Operativa[[#This Row],[FECHA]]&gt;0,TEXT(Caja_Operativa[[#This Row],[FECHA]],"mmmm"),0)</f>
        <v>Abril</v>
      </c>
    </row>
    <row r="236" spans="1:27" ht="60" x14ac:dyDescent="0.3">
      <c r="A236" s="2">
        <f>IF(Caja_Operativa[[#This Row],[TIPO DE R.]]="R",COUNTIFS($C$1:$C235,"R")+1,"")</f>
        <v>235</v>
      </c>
      <c r="B236" s="19" t="str">
        <f t="shared" si="19"/>
        <v>C-Operativa</v>
      </c>
      <c r="C236" s="3" t="s">
        <v>1330</v>
      </c>
      <c r="D236" s="14">
        <v>45775</v>
      </c>
      <c r="E236" s="5" t="s">
        <v>7514</v>
      </c>
      <c r="F236" s="5" t="s">
        <v>1336</v>
      </c>
      <c r="G236" s="6"/>
      <c r="H236" s="6"/>
      <c r="I236" s="6"/>
      <c r="J236" s="6"/>
      <c r="K236" s="7" t="s">
        <v>7650</v>
      </c>
      <c r="L236" s="8">
        <v>469683</v>
      </c>
      <c r="M236" s="8" t="str">
        <f t="shared" si="20"/>
        <v>PEN</v>
      </c>
      <c r="N236" s="13"/>
      <c r="O236" s="13">
        <v>8</v>
      </c>
      <c r="P236" s="3">
        <f t="shared" si="21"/>
        <v>0</v>
      </c>
      <c r="Q236" s="3">
        <f t="shared" si="22"/>
        <v>8</v>
      </c>
      <c r="R236" s="3">
        <f t="shared" si="18"/>
        <v>2805.85</v>
      </c>
      <c r="S236" s="24"/>
      <c r="T236" s="24"/>
      <c r="U236" s="55"/>
      <c r="V236" s="25" t="s">
        <v>7519</v>
      </c>
      <c r="W236" s="25"/>
      <c r="X236" s="25"/>
      <c r="Y236" s="25"/>
      <c r="Z236" s="25"/>
      <c r="AA236" s="3" t="str">
        <f>IF(Caja_Operativa[[#This Row],[FECHA]]&gt;0,TEXT(Caja_Operativa[[#This Row],[FECHA]],"mmmm"),0)</f>
        <v>Abril</v>
      </c>
    </row>
    <row r="237" spans="1:27" ht="60" x14ac:dyDescent="0.3">
      <c r="A237" s="2">
        <f>IF(Caja_Operativa[[#This Row],[TIPO DE R.]]="R",COUNTIFS($C$1:$C236,"R")+1,"")</f>
        <v>236</v>
      </c>
      <c r="B237" s="19" t="str">
        <f t="shared" si="19"/>
        <v>C-Operativa</v>
      </c>
      <c r="C237" s="3" t="s">
        <v>1330</v>
      </c>
      <c r="D237" s="14">
        <v>45775</v>
      </c>
      <c r="E237" s="5" t="s">
        <v>7514</v>
      </c>
      <c r="F237" s="5" t="s">
        <v>1336</v>
      </c>
      <c r="G237" s="6"/>
      <c r="H237" s="6"/>
      <c r="I237" s="6"/>
      <c r="J237" s="6"/>
      <c r="K237" s="7" t="s">
        <v>7651</v>
      </c>
      <c r="L237" s="8">
        <v>452247</v>
      </c>
      <c r="M237" s="8" t="str">
        <f t="shared" si="20"/>
        <v>PEN</v>
      </c>
      <c r="N237" s="13"/>
      <c r="O237" s="13">
        <v>8</v>
      </c>
      <c r="P237" s="3">
        <f t="shared" si="21"/>
        <v>0</v>
      </c>
      <c r="Q237" s="3">
        <f t="shared" si="22"/>
        <v>8</v>
      </c>
      <c r="R237" s="3">
        <f t="shared" si="18"/>
        <v>2797.85</v>
      </c>
      <c r="S237" s="24"/>
      <c r="T237" s="24"/>
      <c r="U237" s="55"/>
      <c r="V237" s="25" t="s">
        <v>7519</v>
      </c>
      <c r="W237" s="25"/>
      <c r="X237" s="25"/>
      <c r="Y237" s="25"/>
      <c r="Z237" s="25"/>
      <c r="AA237" s="3" t="str">
        <f>IF(Caja_Operativa[[#This Row],[FECHA]]&gt;0,TEXT(Caja_Operativa[[#This Row],[FECHA]],"mmmm"),0)</f>
        <v>Abril</v>
      </c>
    </row>
    <row r="238" spans="1:27" ht="60" x14ac:dyDescent="0.3">
      <c r="A238" s="2">
        <f>IF(Caja_Operativa[[#This Row],[TIPO DE R.]]="R",COUNTIFS($C$1:$C237,"R")+1,"")</f>
        <v>237</v>
      </c>
      <c r="B238" s="19" t="str">
        <f t="shared" si="19"/>
        <v>C-Operativa</v>
      </c>
      <c r="C238" s="3" t="s">
        <v>1330</v>
      </c>
      <c r="D238" s="14">
        <v>45775</v>
      </c>
      <c r="E238" s="5" t="s">
        <v>7514</v>
      </c>
      <c r="F238" s="5" t="s">
        <v>1336</v>
      </c>
      <c r="G238" s="6"/>
      <c r="H238" s="6"/>
      <c r="I238" s="6"/>
      <c r="J238" s="6"/>
      <c r="K238" s="7" t="s">
        <v>7652</v>
      </c>
      <c r="L238" s="8">
        <v>482292</v>
      </c>
      <c r="M238" s="8" t="str">
        <f t="shared" si="20"/>
        <v>PEN</v>
      </c>
      <c r="N238" s="13"/>
      <c r="O238" s="13">
        <v>20</v>
      </c>
      <c r="P238" s="3">
        <f t="shared" si="21"/>
        <v>0</v>
      </c>
      <c r="Q238" s="3">
        <f t="shared" si="22"/>
        <v>20</v>
      </c>
      <c r="R238" s="3">
        <f t="shared" si="18"/>
        <v>2777.85</v>
      </c>
      <c r="S238" s="24"/>
      <c r="T238" s="24"/>
      <c r="U238" s="55"/>
      <c r="V238" s="25" t="s">
        <v>7519</v>
      </c>
      <c r="W238" s="25"/>
      <c r="X238" s="25"/>
      <c r="Y238" s="25"/>
      <c r="Z238" s="25"/>
      <c r="AA238" s="3" t="str">
        <f>IF(Caja_Operativa[[#This Row],[FECHA]]&gt;0,TEXT(Caja_Operativa[[#This Row],[FECHA]],"mmmm"),0)</f>
        <v>Abril</v>
      </c>
    </row>
    <row r="239" spans="1:27" ht="60" x14ac:dyDescent="0.3">
      <c r="A239" s="2">
        <f>IF(Caja_Operativa[[#This Row],[TIPO DE R.]]="R",COUNTIFS($C$1:$C238,"R")+1,"")</f>
        <v>238</v>
      </c>
      <c r="B239" s="19" t="str">
        <f t="shared" si="19"/>
        <v>C-Operativa</v>
      </c>
      <c r="C239" s="3" t="s">
        <v>1330</v>
      </c>
      <c r="D239" s="14">
        <v>45775</v>
      </c>
      <c r="E239" s="5" t="s">
        <v>7514</v>
      </c>
      <c r="F239" s="5" t="s">
        <v>1336</v>
      </c>
      <c r="G239" s="6"/>
      <c r="H239" s="6"/>
      <c r="I239" s="6"/>
      <c r="J239" s="6"/>
      <c r="K239" s="7" t="s">
        <v>7653</v>
      </c>
      <c r="L239" s="8">
        <v>455791</v>
      </c>
      <c r="M239" s="8" t="str">
        <f t="shared" si="20"/>
        <v>PEN</v>
      </c>
      <c r="N239" s="13"/>
      <c r="O239" s="13">
        <v>8</v>
      </c>
      <c r="P239" s="3">
        <f t="shared" si="21"/>
        <v>0</v>
      </c>
      <c r="Q239" s="3">
        <f t="shared" si="22"/>
        <v>8</v>
      </c>
      <c r="R239" s="3">
        <f t="shared" si="18"/>
        <v>2769.85</v>
      </c>
      <c r="S239" s="24"/>
      <c r="T239" s="24"/>
      <c r="U239" s="55"/>
      <c r="V239" s="25" t="s">
        <v>7519</v>
      </c>
      <c r="W239" s="25"/>
      <c r="X239" s="25"/>
      <c r="Y239" s="25"/>
      <c r="Z239" s="25"/>
      <c r="AA239" s="3" t="str">
        <f>IF(Caja_Operativa[[#This Row],[FECHA]]&gt;0,TEXT(Caja_Operativa[[#This Row],[FECHA]],"mmmm"),0)</f>
        <v>Abril</v>
      </c>
    </row>
    <row r="240" spans="1:27" ht="60" x14ac:dyDescent="0.3">
      <c r="A240" s="2">
        <f>IF(Caja_Operativa[[#This Row],[TIPO DE R.]]="R",COUNTIFS($C$1:$C239,"R")+1,"")</f>
        <v>239</v>
      </c>
      <c r="B240" s="19" t="str">
        <f t="shared" si="19"/>
        <v>C-Operativa</v>
      </c>
      <c r="C240" s="3" t="s">
        <v>1330</v>
      </c>
      <c r="D240" s="14">
        <v>45775</v>
      </c>
      <c r="E240" s="5" t="s">
        <v>7514</v>
      </c>
      <c r="F240" s="5" t="s">
        <v>1336</v>
      </c>
      <c r="G240" s="6"/>
      <c r="H240" s="6"/>
      <c r="I240" s="6"/>
      <c r="J240" s="6"/>
      <c r="K240" s="7" t="s">
        <v>7654</v>
      </c>
      <c r="L240" s="8">
        <v>473840</v>
      </c>
      <c r="M240" s="8" t="str">
        <f t="shared" si="20"/>
        <v>PEN</v>
      </c>
      <c r="N240" s="13"/>
      <c r="O240" s="13">
        <v>8</v>
      </c>
      <c r="P240" s="3">
        <f t="shared" si="21"/>
        <v>0</v>
      </c>
      <c r="Q240" s="3">
        <f t="shared" si="22"/>
        <v>8</v>
      </c>
      <c r="R240" s="3">
        <f t="shared" si="18"/>
        <v>2761.85</v>
      </c>
      <c r="S240" s="24"/>
      <c r="T240" s="24"/>
      <c r="U240" s="55"/>
      <c r="V240" s="25" t="s">
        <v>7519</v>
      </c>
      <c r="W240" s="25"/>
      <c r="X240" s="25"/>
      <c r="Y240" s="25"/>
      <c r="Z240" s="25"/>
      <c r="AA240" s="3" t="str">
        <f>IF(Caja_Operativa[[#This Row],[FECHA]]&gt;0,TEXT(Caja_Operativa[[#This Row],[FECHA]],"mmmm"),0)</f>
        <v>Abril</v>
      </c>
    </row>
    <row r="241" spans="1:27" ht="60" x14ac:dyDescent="0.3">
      <c r="A241" s="2">
        <f>IF(Caja_Operativa[[#This Row],[TIPO DE R.]]="R",COUNTIFS($C$1:$C240,"R")+1,"")</f>
        <v>240</v>
      </c>
      <c r="B241" s="19" t="str">
        <f t="shared" si="19"/>
        <v>C-Operativa</v>
      </c>
      <c r="C241" s="3" t="s">
        <v>1330</v>
      </c>
      <c r="D241" s="14">
        <v>45775</v>
      </c>
      <c r="E241" s="5" t="s">
        <v>7514</v>
      </c>
      <c r="F241" s="5" t="s">
        <v>1336</v>
      </c>
      <c r="G241" s="6"/>
      <c r="H241" s="6"/>
      <c r="I241" s="6"/>
      <c r="J241" s="6"/>
      <c r="K241" s="7" t="s">
        <v>7655</v>
      </c>
      <c r="L241" s="8">
        <v>510085</v>
      </c>
      <c r="M241" s="8" t="str">
        <f t="shared" si="20"/>
        <v>PEN</v>
      </c>
      <c r="N241" s="13"/>
      <c r="O241" s="13">
        <v>8</v>
      </c>
      <c r="P241" s="3">
        <f t="shared" si="21"/>
        <v>0</v>
      </c>
      <c r="Q241" s="3">
        <f t="shared" si="22"/>
        <v>8</v>
      </c>
      <c r="R241" s="3">
        <f t="shared" si="18"/>
        <v>2753.85</v>
      </c>
      <c r="S241" s="24"/>
      <c r="T241" s="24"/>
      <c r="U241" s="55"/>
      <c r="V241" s="25" t="s">
        <v>7519</v>
      </c>
      <c r="W241" s="25"/>
      <c r="X241" s="25"/>
      <c r="Y241" s="25"/>
      <c r="Z241" s="25"/>
      <c r="AA241" s="3" t="str">
        <f>IF(Caja_Operativa[[#This Row],[FECHA]]&gt;0,TEXT(Caja_Operativa[[#This Row],[FECHA]],"mmmm"),0)</f>
        <v>Abril</v>
      </c>
    </row>
    <row r="242" spans="1:27" ht="24" x14ac:dyDescent="0.3">
      <c r="A242" s="2">
        <f>IF(Caja_Operativa[[#This Row],[TIPO DE R.]]="R",COUNTIFS($C$1:$C241,"R")+1,"")</f>
        <v>241</v>
      </c>
      <c r="B242" s="19" t="str">
        <f t="shared" si="19"/>
        <v>C-Operativa</v>
      </c>
      <c r="C242" s="3" t="s">
        <v>1330</v>
      </c>
      <c r="D242" s="14">
        <v>45775</v>
      </c>
      <c r="E242" s="5" t="s">
        <v>7514</v>
      </c>
      <c r="F242" s="5" t="s">
        <v>1336</v>
      </c>
      <c r="G242" s="6" t="s">
        <v>812</v>
      </c>
      <c r="H242" s="6"/>
      <c r="I242" s="6"/>
      <c r="J242" s="6"/>
      <c r="K242" s="7" t="s">
        <v>7516</v>
      </c>
      <c r="L242" s="8">
        <v>3826365</v>
      </c>
      <c r="M242" s="8" t="str">
        <f t="shared" si="20"/>
        <v>PEN</v>
      </c>
      <c r="N242" s="13"/>
      <c r="O242" s="13">
        <v>150</v>
      </c>
      <c r="P242" s="3">
        <f t="shared" si="21"/>
        <v>0</v>
      </c>
      <c r="Q242" s="3">
        <f t="shared" si="22"/>
        <v>150</v>
      </c>
      <c r="R242" s="3">
        <f t="shared" si="18"/>
        <v>2603.85</v>
      </c>
      <c r="S242" s="24" t="s">
        <v>1334</v>
      </c>
      <c r="T242" s="24" t="s">
        <v>1334</v>
      </c>
      <c r="U242" s="55"/>
      <c r="V242" s="25"/>
      <c r="W242" s="25"/>
      <c r="X242" s="25"/>
      <c r="Y242" s="25"/>
      <c r="Z242" s="25"/>
      <c r="AA242" s="3" t="str">
        <f>IF(Caja_Operativa[[#This Row],[FECHA]]&gt;0,TEXT(Caja_Operativa[[#This Row],[FECHA]],"mmmm"),0)</f>
        <v>Abril</v>
      </c>
    </row>
    <row r="243" spans="1:27" ht="24" x14ac:dyDescent="0.3">
      <c r="A243" s="2">
        <f>IF(Caja_Operativa[[#This Row],[TIPO DE R.]]="R",COUNTIFS($C$1:$C242,"R")+1,"")</f>
        <v>242</v>
      </c>
      <c r="B243" s="19" t="str">
        <f t="shared" si="19"/>
        <v>C-Operativa</v>
      </c>
      <c r="C243" s="3" t="s">
        <v>1330</v>
      </c>
      <c r="D243" s="14">
        <v>45775</v>
      </c>
      <c r="E243" s="5" t="s">
        <v>7514</v>
      </c>
      <c r="F243" s="5" t="s">
        <v>1336</v>
      </c>
      <c r="G243" s="6" t="s">
        <v>829</v>
      </c>
      <c r="H243" s="6"/>
      <c r="I243" s="6"/>
      <c r="J243" s="6"/>
      <c r="K243" s="7" t="s">
        <v>7516</v>
      </c>
      <c r="L243" s="8">
        <v>3847022</v>
      </c>
      <c r="M243" s="8" t="str">
        <f t="shared" si="20"/>
        <v>PEN</v>
      </c>
      <c r="N243" s="13"/>
      <c r="O243" s="13">
        <v>40</v>
      </c>
      <c r="P243" s="3">
        <f t="shared" si="21"/>
        <v>0</v>
      </c>
      <c r="Q243" s="3">
        <f t="shared" si="22"/>
        <v>40</v>
      </c>
      <c r="R243" s="3">
        <f t="shared" si="18"/>
        <v>2563.85</v>
      </c>
      <c r="S243" s="24" t="s">
        <v>1334</v>
      </c>
      <c r="T243" s="24" t="s">
        <v>1334</v>
      </c>
      <c r="U243" s="55"/>
      <c r="V243" s="25"/>
      <c r="W243" s="25"/>
      <c r="X243" s="25"/>
      <c r="Y243" s="25"/>
      <c r="Z243" s="25"/>
      <c r="AA243" s="3" t="str">
        <f>IF(Caja_Operativa[[#This Row],[FECHA]]&gt;0,TEXT(Caja_Operativa[[#This Row],[FECHA]],"mmmm"),0)</f>
        <v>Abril</v>
      </c>
    </row>
    <row r="244" spans="1:27" x14ac:dyDescent="0.3">
      <c r="A244" s="2">
        <f>IF(Caja_Operativa[[#This Row],[TIPO DE R.]]="R",COUNTIFS($C$1:$C243,"R")+1,"")</f>
        <v>243</v>
      </c>
      <c r="B244" s="19" t="str">
        <f t="shared" si="19"/>
        <v>C-Operativa</v>
      </c>
      <c r="C244" s="3" t="s">
        <v>1330</v>
      </c>
      <c r="D244" s="14">
        <v>45775</v>
      </c>
      <c r="E244" s="5" t="s">
        <v>7514</v>
      </c>
      <c r="F244" s="5" t="s">
        <v>1336</v>
      </c>
      <c r="G244" s="6" t="s">
        <v>876</v>
      </c>
      <c r="H244" s="6"/>
      <c r="I244" s="6"/>
      <c r="J244" s="6"/>
      <c r="K244" s="7" t="s">
        <v>7516</v>
      </c>
      <c r="L244" s="8">
        <v>3841714</v>
      </c>
      <c r="M244" s="8" t="str">
        <f t="shared" si="20"/>
        <v>PEN</v>
      </c>
      <c r="N244" s="13"/>
      <c r="O244" s="13">
        <v>140</v>
      </c>
      <c r="P244" s="3">
        <f t="shared" si="21"/>
        <v>0</v>
      </c>
      <c r="Q244" s="3">
        <f t="shared" si="22"/>
        <v>140</v>
      </c>
      <c r="R244" s="3">
        <f t="shared" si="18"/>
        <v>2423.85</v>
      </c>
      <c r="S244" s="24" t="s">
        <v>1334</v>
      </c>
      <c r="T244" s="24" t="s">
        <v>1334</v>
      </c>
      <c r="U244" s="55"/>
      <c r="V244" s="25"/>
      <c r="W244" s="25"/>
      <c r="X244" s="25"/>
      <c r="Y244" s="25"/>
      <c r="Z244" s="25"/>
      <c r="AA244" s="3" t="str">
        <f>IF(Caja_Operativa[[#This Row],[FECHA]]&gt;0,TEXT(Caja_Operativa[[#This Row],[FECHA]],"mmmm"),0)</f>
        <v>Abril</v>
      </c>
    </row>
    <row r="245" spans="1:27" ht="24" x14ac:dyDescent="0.3">
      <c r="A245" s="2">
        <f>IF(Caja_Operativa[[#This Row],[TIPO DE R.]]="R",COUNTIFS($C$1:$C244,"R")+1,"")</f>
        <v>244</v>
      </c>
      <c r="B245" s="19" t="str">
        <f t="shared" si="19"/>
        <v>C-Operativa</v>
      </c>
      <c r="C245" s="3" t="s">
        <v>1330</v>
      </c>
      <c r="D245" s="14">
        <v>45775</v>
      </c>
      <c r="E245" s="5" t="s">
        <v>7514</v>
      </c>
      <c r="F245" s="5" t="s">
        <v>1336</v>
      </c>
      <c r="G245" s="6" t="s">
        <v>1019</v>
      </c>
      <c r="H245" s="6"/>
      <c r="I245" s="6"/>
      <c r="J245" s="6"/>
      <c r="K245" s="7" t="s">
        <v>7516</v>
      </c>
      <c r="L245" s="8">
        <v>3836659</v>
      </c>
      <c r="M245" s="8" t="str">
        <f t="shared" si="20"/>
        <v>PEN</v>
      </c>
      <c r="N245" s="13"/>
      <c r="O245" s="13">
        <v>80</v>
      </c>
      <c r="P245" s="3">
        <f t="shared" si="21"/>
        <v>0</v>
      </c>
      <c r="Q245" s="3">
        <f t="shared" si="22"/>
        <v>80</v>
      </c>
      <c r="R245" s="3">
        <f t="shared" si="18"/>
        <v>2343.85</v>
      </c>
      <c r="S245" s="24" t="s">
        <v>1334</v>
      </c>
      <c r="T245" s="24" t="s">
        <v>1334</v>
      </c>
      <c r="U245" s="55"/>
      <c r="V245" s="25"/>
      <c r="W245" s="25"/>
      <c r="X245" s="25"/>
      <c r="Y245" s="25"/>
      <c r="Z245" s="25"/>
      <c r="AA245" s="3" t="str">
        <f>IF(Caja_Operativa[[#This Row],[FECHA]]&gt;0,TEXT(Caja_Operativa[[#This Row],[FECHA]],"mmmm"),0)</f>
        <v>Abril</v>
      </c>
    </row>
    <row r="246" spans="1:27" ht="24" x14ac:dyDescent="0.3">
      <c r="A246" s="2">
        <f>IF(Caja_Operativa[[#This Row],[TIPO DE R.]]="R",COUNTIFS($C$1:$C245,"R")+1,"")</f>
        <v>245</v>
      </c>
      <c r="B246" s="19" t="str">
        <f t="shared" si="19"/>
        <v>C-Operativa</v>
      </c>
      <c r="C246" s="3" t="s">
        <v>1330</v>
      </c>
      <c r="D246" s="14">
        <v>45775</v>
      </c>
      <c r="E246" s="5" t="s">
        <v>7514</v>
      </c>
      <c r="F246" s="5" t="s">
        <v>1336</v>
      </c>
      <c r="G246" s="6"/>
      <c r="H246" s="6"/>
      <c r="I246" s="6"/>
      <c r="J246" s="6"/>
      <c r="K246" s="7" t="s">
        <v>7656</v>
      </c>
      <c r="L246" s="8">
        <v>3860428</v>
      </c>
      <c r="M246" s="8" t="str">
        <f t="shared" si="20"/>
        <v>PEN</v>
      </c>
      <c r="N246" s="13"/>
      <c r="O246" s="13">
        <v>200</v>
      </c>
      <c r="P246" s="3">
        <f t="shared" si="21"/>
        <v>0</v>
      </c>
      <c r="Q246" s="3">
        <f t="shared" si="22"/>
        <v>200</v>
      </c>
      <c r="R246" s="3">
        <f t="shared" si="18"/>
        <v>2143.85</v>
      </c>
      <c r="S246" s="24"/>
      <c r="T246" s="24"/>
      <c r="U246" s="55"/>
      <c r="V246" s="25" t="s">
        <v>7519</v>
      </c>
      <c r="W246" s="25"/>
      <c r="X246" s="25"/>
      <c r="Y246" s="25"/>
      <c r="Z246" s="25"/>
      <c r="AA246" s="3" t="str">
        <f>IF(Caja_Operativa[[#This Row],[FECHA]]&gt;0,TEXT(Caja_Operativa[[#This Row],[FECHA]],"mmmm"),0)</f>
        <v>Abril</v>
      </c>
    </row>
    <row r="247" spans="1:27" ht="48" x14ac:dyDescent="0.3">
      <c r="A247" s="2">
        <f>IF(Caja_Operativa[[#This Row],[TIPO DE R.]]="R",COUNTIFS($C$1:$C246,"R")+1,"")</f>
        <v>246</v>
      </c>
      <c r="B247" s="19" t="str">
        <f t="shared" si="19"/>
        <v>C-Operativa</v>
      </c>
      <c r="C247" s="3" t="s">
        <v>1330</v>
      </c>
      <c r="D247" s="14">
        <v>45776</v>
      </c>
      <c r="E247" s="5" t="s">
        <v>7514</v>
      </c>
      <c r="F247" s="5" t="s">
        <v>1336</v>
      </c>
      <c r="G247" s="6" t="s">
        <v>888</v>
      </c>
      <c r="H247" s="6"/>
      <c r="I247" s="6"/>
      <c r="J247" s="6"/>
      <c r="K247" s="7" t="s">
        <v>7657</v>
      </c>
      <c r="L247" s="8">
        <v>608344</v>
      </c>
      <c r="M247" s="8" t="str">
        <f t="shared" si="20"/>
        <v>PEN</v>
      </c>
      <c r="N247" s="13"/>
      <c r="O247" s="13">
        <v>12</v>
      </c>
      <c r="P247" s="3">
        <f t="shared" si="21"/>
        <v>0</v>
      </c>
      <c r="Q247" s="3">
        <f t="shared" si="22"/>
        <v>12</v>
      </c>
      <c r="R247" s="3">
        <f t="shared" si="18"/>
        <v>2131.85</v>
      </c>
      <c r="S247" s="24"/>
      <c r="T247" s="24"/>
      <c r="U247" s="55"/>
      <c r="V247" s="25"/>
      <c r="W247" s="25"/>
      <c r="X247" s="25"/>
      <c r="Y247" s="25"/>
      <c r="Z247" s="25"/>
      <c r="AA247" s="3" t="str">
        <f>IF(Caja_Operativa[[#This Row],[FECHA]]&gt;0,TEXT(Caja_Operativa[[#This Row],[FECHA]],"mmmm"),0)</f>
        <v>Abril</v>
      </c>
    </row>
    <row r="248" spans="1:27" ht="48" x14ac:dyDescent="0.3">
      <c r="A248" s="2">
        <f>IF(Caja_Operativa[[#This Row],[TIPO DE R.]]="R",COUNTIFS($C$1:$C247,"R")+1,"")</f>
        <v>247</v>
      </c>
      <c r="B248" s="19" t="str">
        <f t="shared" si="19"/>
        <v>C-Operativa</v>
      </c>
      <c r="C248" s="3" t="s">
        <v>1330</v>
      </c>
      <c r="D248" s="14">
        <v>45776</v>
      </c>
      <c r="E248" s="5" t="s">
        <v>7514</v>
      </c>
      <c r="F248" s="5" t="s">
        <v>1336</v>
      </c>
      <c r="G248" s="6" t="s">
        <v>888</v>
      </c>
      <c r="H248" s="6"/>
      <c r="I248" s="6"/>
      <c r="J248" s="6"/>
      <c r="K248" s="7" t="s">
        <v>7658</v>
      </c>
      <c r="L248" s="8">
        <v>599808</v>
      </c>
      <c r="M248" s="8" t="str">
        <f t="shared" si="20"/>
        <v>PEN</v>
      </c>
      <c r="N248" s="13"/>
      <c r="O248" s="13">
        <v>13</v>
      </c>
      <c r="P248" s="3">
        <f t="shared" si="21"/>
        <v>0</v>
      </c>
      <c r="Q248" s="3">
        <f t="shared" si="22"/>
        <v>13</v>
      </c>
      <c r="R248" s="3">
        <f t="shared" si="18"/>
        <v>2118.85</v>
      </c>
      <c r="S248" s="24"/>
      <c r="T248" s="24"/>
      <c r="U248" s="55"/>
      <c r="V248" s="25"/>
      <c r="W248" s="25"/>
      <c r="X248" s="25"/>
      <c r="Y248" s="25"/>
      <c r="Z248" s="25"/>
      <c r="AA248" s="3" t="str">
        <f>IF(Caja_Operativa[[#This Row],[FECHA]]&gt;0,TEXT(Caja_Operativa[[#This Row],[FECHA]],"mmmm"),0)</f>
        <v>Abril</v>
      </c>
    </row>
    <row r="249" spans="1:27" ht="24" x14ac:dyDescent="0.3">
      <c r="A249" s="2">
        <f>IF(Caja_Operativa[[#This Row],[TIPO DE R.]]="R",COUNTIFS($C$1:$C248,"R")+1,"")</f>
        <v>248</v>
      </c>
      <c r="B249" s="19" t="str">
        <f t="shared" si="19"/>
        <v>C-Operativa</v>
      </c>
      <c r="C249" s="3" t="s">
        <v>1330</v>
      </c>
      <c r="D249" s="14">
        <v>45776</v>
      </c>
      <c r="E249" s="5" t="s">
        <v>7514</v>
      </c>
      <c r="F249" s="5" t="s">
        <v>1336</v>
      </c>
      <c r="G249" s="6" t="s">
        <v>692</v>
      </c>
      <c r="H249" s="6"/>
      <c r="I249" s="6"/>
      <c r="J249" s="6"/>
      <c r="K249" s="7" t="s">
        <v>7516</v>
      </c>
      <c r="L249" s="8">
        <v>905846</v>
      </c>
      <c r="M249" s="8" t="str">
        <f t="shared" si="20"/>
        <v>PEN</v>
      </c>
      <c r="N249" s="13"/>
      <c r="O249" s="13">
        <v>90</v>
      </c>
      <c r="P249" s="3">
        <f t="shared" si="21"/>
        <v>0</v>
      </c>
      <c r="Q249" s="3">
        <f t="shared" si="22"/>
        <v>90</v>
      </c>
      <c r="R249" s="3">
        <f t="shared" si="18"/>
        <v>2028.85</v>
      </c>
      <c r="S249" s="24" t="s">
        <v>1334</v>
      </c>
      <c r="T249" s="24" t="s">
        <v>1334</v>
      </c>
      <c r="U249" s="55"/>
      <c r="V249" s="25"/>
      <c r="W249" s="25"/>
      <c r="X249" s="25"/>
      <c r="Y249" s="25"/>
      <c r="Z249" s="25"/>
      <c r="AA249" s="3" t="str">
        <f>IF(Caja_Operativa[[#This Row],[FECHA]]&gt;0,TEXT(Caja_Operativa[[#This Row],[FECHA]],"mmmm"),0)</f>
        <v>Abril</v>
      </c>
    </row>
    <row r="250" spans="1:27" ht="24" x14ac:dyDescent="0.3">
      <c r="A250" s="2">
        <f>IF(Caja_Operativa[[#This Row],[TIPO DE R.]]="R",COUNTIFS($C$1:$C249,"R")+1,"")</f>
        <v>249</v>
      </c>
      <c r="B250" s="19" t="str">
        <f t="shared" si="19"/>
        <v>C-Operativa</v>
      </c>
      <c r="C250" s="3" t="s">
        <v>1330</v>
      </c>
      <c r="D250" s="14">
        <v>45777</v>
      </c>
      <c r="E250" s="5" t="s">
        <v>7514</v>
      </c>
      <c r="F250" s="5" t="s">
        <v>1336</v>
      </c>
      <c r="G250" s="6" t="s">
        <v>922</v>
      </c>
      <c r="H250" s="6"/>
      <c r="I250" s="6"/>
      <c r="J250" s="6"/>
      <c r="K250" s="7" t="s">
        <v>7537</v>
      </c>
      <c r="L250" s="8">
        <v>3453841</v>
      </c>
      <c r="M250" s="8" t="str">
        <f t="shared" si="20"/>
        <v>PEN</v>
      </c>
      <c r="N250" s="13"/>
      <c r="O250" s="13">
        <v>110</v>
      </c>
      <c r="P250" s="3">
        <f t="shared" si="21"/>
        <v>0</v>
      </c>
      <c r="Q250" s="3">
        <f t="shared" si="22"/>
        <v>110</v>
      </c>
      <c r="R250" s="3">
        <f t="shared" si="18"/>
        <v>1918.85</v>
      </c>
      <c r="S250" s="24" t="s">
        <v>1334</v>
      </c>
      <c r="T250" s="24" t="s">
        <v>1334</v>
      </c>
      <c r="U250" s="55"/>
      <c r="V250" s="25"/>
      <c r="W250" s="25"/>
      <c r="X250" s="25"/>
      <c r="Y250" s="25"/>
      <c r="Z250" s="25"/>
      <c r="AA250" s="3" t="str">
        <f>IF(Caja_Operativa[[#This Row],[FECHA]]&gt;0,TEXT(Caja_Operativa[[#This Row],[FECHA]],"mmmm"),0)</f>
        <v>Abril</v>
      </c>
    </row>
    <row r="251" spans="1:27" ht="24" x14ac:dyDescent="0.3">
      <c r="A251" s="2">
        <f>IF(Caja_Operativa[[#This Row],[TIPO DE R.]]="R",COUNTIFS($C$1:$C250,"R")+1,"")</f>
        <v>250</v>
      </c>
      <c r="B251" s="19" t="str">
        <f t="shared" si="19"/>
        <v>C-Operativa</v>
      </c>
      <c r="C251" s="3" t="s">
        <v>1330</v>
      </c>
      <c r="D251" s="14">
        <v>45777</v>
      </c>
      <c r="E251" s="5" t="s">
        <v>7514</v>
      </c>
      <c r="F251" s="5" t="s">
        <v>1336</v>
      </c>
      <c r="G251" s="6" t="s">
        <v>812</v>
      </c>
      <c r="H251" s="6"/>
      <c r="I251" s="6"/>
      <c r="J251" s="6"/>
      <c r="K251" s="7" t="s">
        <v>7516</v>
      </c>
      <c r="L251" s="8">
        <v>3445956</v>
      </c>
      <c r="M251" s="8" t="str">
        <f t="shared" si="20"/>
        <v>PEN</v>
      </c>
      <c r="N251" s="13"/>
      <c r="O251" s="13">
        <v>400</v>
      </c>
      <c r="P251" s="3">
        <f t="shared" si="21"/>
        <v>0</v>
      </c>
      <c r="Q251" s="3">
        <f t="shared" si="22"/>
        <v>400</v>
      </c>
      <c r="R251" s="3">
        <f t="shared" si="18"/>
        <v>1518.85</v>
      </c>
      <c r="S251" s="24" t="s">
        <v>1334</v>
      </c>
      <c r="T251" s="24" t="s">
        <v>1334</v>
      </c>
      <c r="U251" s="55"/>
      <c r="V251" s="25"/>
      <c r="W251" s="25"/>
      <c r="X251" s="25"/>
      <c r="Y251" s="25"/>
      <c r="Z251" s="25"/>
      <c r="AA251" s="3" t="str">
        <f>IF(Caja_Operativa[[#This Row],[FECHA]]&gt;0,TEXT(Caja_Operativa[[#This Row],[FECHA]],"mmmm"),0)</f>
        <v>Abril</v>
      </c>
    </row>
    <row r="252" spans="1:27" ht="24" x14ac:dyDescent="0.3">
      <c r="A252" s="2">
        <f>IF(Caja_Operativa[[#This Row],[TIPO DE R.]]="R",COUNTIFS($C$1:$C251,"R")+1,"")</f>
        <v>251</v>
      </c>
      <c r="B252" s="19" t="str">
        <f t="shared" si="19"/>
        <v>C-Operativa</v>
      </c>
      <c r="C252" s="3" t="s">
        <v>1330</v>
      </c>
      <c r="D252" s="14">
        <v>45777</v>
      </c>
      <c r="E252" s="5" t="s">
        <v>7514</v>
      </c>
      <c r="F252" s="5" t="s">
        <v>1336</v>
      </c>
      <c r="G252" s="6" t="s">
        <v>829</v>
      </c>
      <c r="H252" s="6"/>
      <c r="I252" s="6"/>
      <c r="J252" s="6"/>
      <c r="K252" s="7" t="s">
        <v>7516</v>
      </c>
      <c r="L252" s="8">
        <v>3495045</v>
      </c>
      <c r="M252" s="8" t="str">
        <f t="shared" si="20"/>
        <v>PEN</v>
      </c>
      <c r="N252" s="13"/>
      <c r="O252" s="13">
        <v>400</v>
      </c>
      <c r="P252" s="3">
        <f t="shared" si="21"/>
        <v>0</v>
      </c>
      <c r="Q252" s="3">
        <f t="shared" si="22"/>
        <v>400</v>
      </c>
      <c r="R252" s="3">
        <f t="shared" si="18"/>
        <v>1118.8499999999999</v>
      </c>
      <c r="S252" s="24" t="s">
        <v>1334</v>
      </c>
      <c r="T252" s="24" t="s">
        <v>1334</v>
      </c>
      <c r="U252" s="55"/>
      <c r="V252" s="25"/>
      <c r="W252" s="25"/>
      <c r="X252" s="25"/>
      <c r="Y252" s="25"/>
      <c r="Z252" s="25"/>
      <c r="AA252" s="3" t="str">
        <f>IF(Caja_Operativa[[#This Row],[FECHA]]&gt;0,TEXT(Caja_Operativa[[#This Row],[FECHA]],"mmmm"),0)</f>
        <v>Abril</v>
      </c>
    </row>
    <row r="253" spans="1:27" ht="24" x14ac:dyDescent="0.3">
      <c r="A253" s="2">
        <f>IF(Caja_Operativa[[#This Row],[TIPO DE R.]]="R",COUNTIFS($C$1:$C252,"R")+1,"")</f>
        <v>252</v>
      </c>
      <c r="B253" s="19" t="str">
        <f t="shared" si="19"/>
        <v>C-Operativa</v>
      </c>
      <c r="C253" s="3" t="s">
        <v>1330</v>
      </c>
      <c r="D253" s="14">
        <v>45777</v>
      </c>
      <c r="E253" s="5" t="s">
        <v>7514</v>
      </c>
      <c r="F253" s="5" t="s">
        <v>1336</v>
      </c>
      <c r="G253" s="6" t="s">
        <v>888</v>
      </c>
      <c r="H253" s="6"/>
      <c r="I253" s="6"/>
      <c r="J253" s="6"/>
      <c r="K253" s="7" t="s">
        <v>7516</v>
      </c>
      <c r="L253" s="8">
        <v>3501489</v>
      </c>
      <c r="M253" s="8" t="str">
        <f t="shared" si="20"/>
        <v>PEN</v>
      </c>
      <c r="N253" s="13"/>
      <c r="O253" s="13">
        <v>400</v>
      </c>
      <c r="P253" s="3">
        <f t="shared" si="21"/>
        <v>0</v>
      </c>
      <c r="Q253" s="3">
        <f t="shared" si="22"/>
        <v>400</v>
      </c>
      <c r="R253" s="3">
        <f t="shared" si="18"/>
        <v>718.84999999999991</v>
      </c>
      <c r="S253" s="24" t="s">
        <v>1334</v>
      </c>
      <c r="T253" s="24" t="s">
        <v>1334</v>
      </c>
      <c r="U253" s="55"/>
      <c r="V253" s="25"/>
      <c r="W253" s="25"/>
      <c r="X253" s="25"/>
      <c r="Y253" s="25"/>
      <c r="Z253" s="25"/>
      <c r="AA253" s="3" t="str">
        <f>IF(Caja_Operativa[[#This Row],[FECHA]]&gt;0,TEXT(Caja_Operativa[[#This Row],[FECHA]],"mmmm"),0)</f>
        <v>Abril</v>
      </c>
    </row>
    <row r="254" spans="1:27" x14ac:dyDescent="0.3">
      <c r="A254" s="2">
        <f>IF(Caja_Operativa[[#This Row],[TIPO DE R.]]="R",COUNTIFS($C$1:$C253,"R")+1,"")</f>
        <v>253</v>
      </c>
      <c r="B254" s="19" t="str">
        <f t="shared" si="19"/>
        <v>C-Operativa</v>
      </c>
      <c r="C254" s="3" t="s">
        <v>1330</v>
      </c>
      <c r="D254" s="14">
        <v>45777</v>
      </c>
      <c r="E254" s="5" t="s">
        <v>7514</v>
      </c>
      <c r="F254" s="5" t="s">
        <v>1336</v>
      </c>
      <c r="G254" s="6" t="s">
        <v>876</v>
      </c>
      <c r="H254" s="6"/>
      <c r="I254" s="6"/>
      <c r="J254" s="6"/>
      <c r="K254" s="7" t="s">
        <v>7516</v>
      </c>
      <c r="L254" s="8">
        <v>3478183</v>
      </c>
      <c r="M254" s="8" t="str">
        <f t="shared" si="20"/>
        <v>PEN</v>
      </c>
      <c r="N254" s="13"/>
      <c r="O254" s="13">
        <v>400</v>
      </c>
      <c r="P254" s="3">
        <f t="shared" si="21"/>
        <v>0</v>
      </c>
      <c r="Q254" s="3">
        <f t="shared" si="22"/>
        <v>400</v>
      </c>
      <c r="R254" s="3">
        <f t="shared" si="18"/>
        <v>318.84999999999991</v>
      </c>
      <c r="S254" s="24" t="s">
        <v>1334</v>
      </c>
      <c r="T254" s="24" t="s">
        <v>1334</v>
      </c>
      <c r="U254" s="55"/>
      <c r="V254" s="25"/>
      <c r="W254" s="25"/>
      <c r="X254" s="25"/>
      <c r="Y254" s="25"/>
      <c r="Z254" s="25"/>
      <c r="AA254" s="3" t="str">
        <f>IF(Caja_Operativa[[#This Row],[FECHA]]&gt;0,TEXT(Caja_Operativa[[#This Row],[FECHA]],"mmmm"),0)</f>
        <v>Abril</v>
      </c>
    </row>
    <row r="255" spans="1:27" ht="24" x14ac:dyDescent="0.3">
      <c r="A255" s="2">
        <f>IF(Caja_Operativa[[#This Row],[TIPO DE R.]]="R",COUNTIFS($C$1:$C254,"R")+1,"")</f>
        <v>254</v>
      </c>
      <c r="B255" s="19" t="str">
        <f t="shared" si="19"/>
        <v>C-Operativa</v>
      </c>
      <c r="C255" s="3" t="s">
        <v>1330</v>
      </c>
      <c r="D255" s="14">
        <v>45777</v>
      </c>
      <c r="E255" s="5" t="s">
        <v>7514</v>
      </c>
      <c r="F255" s="5" t="s">
        <v>1336</v>
      </c>
      <c r="G255" s="6" t="s">
        <v>922</v>
      </c>
      <c r="H255" s="6"/>
      <c r="I255" s="6"/>
      <c r="J255" s="6"/>
      <c r="K255" s="7" t="s">
        <v>7537</v>
      </c>
      <c r="L255" s="8">
        <v>3481970</v>
      </c>
      <c r="M255" s="8" t="str">
        <f t="shared" si="20"/>
        <v>PEN</v>
      </c>
      <c r="N255" s="13"/>
      <c r="O255" s="13">
        <v>300</v>
      </c>
      <c r="P255" s="3">
        <f t="shared" si="21"/>
        <v>0</v>
      </c>
      <c r="Q255" s="3">
        <f t="shared" si="22"/>
        <v>300</v>
      </c>
      <c r="R255" s="3">
        <f t="shared" si="18"/>
        <v>18.849999999999909</v>
      </c>
      <c r="S255" s="24" t="s">
        <v>1334</v>
      </c>
      <c r="T255" s="24" t="s">
        <v>1334</v>
      </c>
      <c r="U255" s="55"/>
      <c r="V255" s="25"/>
      <c r="W255" s="25"/>
      <c r="X255" s="25"/>
      <c r="Y255" s="25"/>
      <c r="Z255" s="25"/>
      <c r="AA255" s="3" t="str">
        <f>IF(Caja_Operativa[[#This Row],[FECHA]]&gt;0,TEXT(Caja_Operativa[[#This Row],[FECHA]],"mmmm"),0)</f>
        <v>Abril</v>
      </c>
    </row>
    <row r="256" spans="1:27" ht="24" x14ac:dyDescent="0.3">
      <c r="A256" s="2">
        <f>IF(Caja_Operativa[[#This Row],[TIPO DE R.]]="R",COUNTIFS($C$1:$C255,"R")+1,"")</f>
        <v>255</v>
      </c>
      <c r="B256" s="19" t="str">
        <f t="shared" si="19"/>
        <v>C-Operativa</v>
      </c>
      <c r="C256" s="3" t="s">
        <v>1330</v>
      </c>
      <c r="D256" s="14">
        <v>45776</v>
      </c>
      <c r="E256" s="5" t="s">
        <v>7513</v>
      </c>
      <c r="F256" s="5" t="s">
        <v>1303</v>
      </c>
      <c r="G256" s="6" t="s">
        <v>901</v>
      </c>
      <c r="H256" s="6"/>
      <c r="I256" s="6" t="s">
        <v>7539</v>
      </c>
      <c r="J256" s="6">
        <v>8</v>
      </c>
      <c r="K256" s="7" t="s">
        <v>7540</v>
      </c>
      <c r="L256" s="8">
        <v>129793</v>
      </c>
      <c r="M256" s="8" t="str">
        <f t="shared" si="20"/>
        <v>PEN</v>
      </c>
      <c r="N256" s="13"/>
      <c r="O256" s="13">
        <v>3981.15</v>
      </c>
      <c r="P256" s="3">
        <f t="shared" si="21"/>
        <v>3981.15</v>
      </c>
      <c r="Q256" s="3">
        <f t="shared" si="22"/>
        <v>0</v>
      </c>
      <c r="R256" s="3">
        <f t="shared" si="18"/>
        <v>4000</v>
      </c>
      <c r="S256" s="24"/>
      <c r="T256" s="24"/>
      <c r="U256" s="55"/>
      <c r="V256" s="25" t="s">
        <v>7514</v>
      </c>
      <c r="W256" s="25"/>
      <c r="X256" s="25"/>
      <c r="Y256" s="25"/>
      <c r="Z256" s="25"/>
      <c r="AA256" s="3" t="str">
        <f>IF(Caja_Operativa[[#This Row],[FECHA]]&gt;0,TEXT(Caja_Operativa[[#This Row],[FECHA]],"mmmm"),0)</f>
        <v>Abril</v>
      </c>
    </row>
    <row r="257" spans="1:27" x14ac:dyDescent="0.3">
      <c r="A257" s="2">
        <f>IF(Caja_Operativa[[#This Row],[TIPO DE R.]]="R",COUNTIFS($C$1:$C256,"R")+1,"")</f>
        <v>256</v>
      </c>
      <c r="B257" s="19" t="str">
        <f t="shared" si="19"/>
        <v>C-Operativa</v>
      </c>
      <c r="C257" s="3" t="s">
        <v>1330</v>
      </c>
      <c r="D257" s="14">
        <v>45776</v>
      </c>
      <c r="E257" s="5" t="s">
        <v>1335</v>
      </c>
      <c r="F257" s="5" t="s">
        <v>1336</v>
      </c>
      <c r="G257" s="6"/>
      <c r="H257" s="6"/>
      <c r="I257" s="6"/>
      <c r="J257" s="6"/>
      <c r="K257" s="7" t="s">
        <v>5061</v>
      </c>
      <c r="L257" s="8"/>
      <c r="M257" s="8" t="str">
        <f t="shared" si="20"/>
        <v>PEN</v>
      </c>
      <c r="N257" s="13"/>
      <c r="O257" s="13">
        <v>0.15</v>
      </c>
      <c r="P257" s="3">
        <f t="shared" si="21"/>
        <v>0</v>
      </c>
      <c r="Q257" s="3">
        <f t="shared" si="22"/>
        <v>0.15</v>
      </c>
      <c r="R257" s="3">
        <f t="shared" si="18"/>
        <v>3999.85</v>
      </c>
      <c r="S257" s="24"/>
      <c r="T257" s="24"/>
      <c r="U257" s="55"/>
      <c r="V257" s="25"/>
      <c r="W257" s="25"/>
      <c r="X257" s="25"/>
      <c r="Y257" s="25"/>
      <c r="Z257" s="25"/>
      <c r="AA257" s="3" t="str">
        <f>IF(Caja_Operativa[[#This Row],[FECHA]]&gt;0,TEXT(Caja_Operativa[[#This Row],[FECHA]],"mmmm"),0)</f>
        <v>Abril</v>
      </c>
    </row>
    <row r="258" spans="1:27" ht="24" x14ac:dyDescent="0.3">
      <c r="A258" s="2">
        <f>IF(Caja_Operativa[[#This Row],[TIPO DE R.]]="R",COUNTIFS($C$1:$C257,"R")+1,"")</f>
        <v>257</v>
      </c>
      <c r="B258" s="19" t="str">
        <f t="shared" si="19"/>
        <v>C-Operativa</v>
      </c>
      <c r="C258" s="3" t="s">
        <v>1330</v>
      </c>
      <c r="D258" s="14">
        <v>45777</v>
      </c>
      <c r="E258" s="5" t="s">
        <v>7514</v>
      </c>
      <c r="F258" s="5" t="s">
        <v>1336</v>
      </c>
      <c r="G258" s="6" t="s">
        <v>957</v>
      </c>
      <c r="H258" s="6"/>
      <c r="I258" s="6"/>
      <c r="J258" s="6"/>
      <c r="K258" s="7" t="s">
        <v>7516</v>
      </c>
      <c r="L258" s="8">
        <v>3549800</v>
      </c>
      <c r="M258" s="8" t="str">
        <f t="shared" si="20"/>
        <v>PEN</v>
      </c>
      <c r="N258" s="13"/>
      <c r="O258" s="13">
        <v>500</v>
      </c>
      <c r="P258" s="3">
        <f t="shared" si="21"/>
        <v>0</v>
      </c>
      <c r="Q258" s="3">
        <f t="shared" si="22"/>
        <v>500</v>
      </c>
      <c r="R258" s="3">
        <f t="shared" ref="R258:R321" si="23">IFERROR(IF(F258="SALDO",P258,R257+P258-Q258),0)</f>
        <v>3499.85</v>
      </c>
      <c r="S258" s="24" t="s">
        <v>1334</v>
      </c>
      <c r="T258" s="24" t="s">
        <v>1334</v>
      </c>
      <c r="U258" s="55"/>
      <c r="V258" s="25"/>
      <c r="W258" s="25"/>
      <c r="X258" s="25"/>
      <c r="Y258" s="25"/>
      <c r="Z258" s="25"/>
      <c r="AA258" s="3" t="str">
        <f>IF(Caja_Operativa[[#This Row],[FECHA]]&gt;0,TEXT(Caja_Operativa[[#This Row],[FECHA]],"mmmm"),0)</f>
        <v>Abril</v>
      </c>
    </row>
    <row r="259" spans="1:27" ht="24" x14ac:dyDescent="0.3">
      <c r="A259" s="2">
        <f>IF(Caja_Operativa[[#This Row],[TIPO DE R.]]="R",COUNTIFS($C$1:$C258,"R")+1,"")</f>
        <v>258</v>
      </c>
      <c r="B259" s="19" t="str">
        <f t="shared" ref="B259:B322" si="24">"C-Operativa"</f>
        <v>C-Operativa</v>
      </c>
      <c r="C259" s="3" t="s">
        <v>1330</v>
      </c>
      <c r="D259" s="14">
        <v>45777</v>
      </c>
      <c r="E259" s="5" t="s">
        <v>7514</v>
      </c>
      <c r="F259" s="5" t="s">
        <v>1336</v>
      </c>
      <c r="G259" s="6" t="s">
        <v>692</v>
      </c>
      <c r="H259" s="6"/>
      <c r="I259" s="6"/>
      <c r="J259" s="6"/>
      <c r="K259" s="7" t="s">
        <v>7516</v>
      </c>
      <c r="L259" s="8">
        <v>3524110</v>
      </c>
      <c r="M259" s="8" t="str">
        <f t="shared" ref="M259:M322" si="25">"PEN"</f>
        <v>PEN</v>
      </c>
      <c r="N259" s="13"/>
      <c r="O259" s="13">
        <v>400</v>
      </c>
      <c r="P259" s="3">
        <f t="shared" ref="P259:P322" si="26">+IF(OR($F259="SALDO",$F259="INGRESO"),$O259,0)</f>
        <v>0</v>
      </c>
      <c r="Q259" s="3">
        <f t="shared" ref="Q259:Q322" si="27">+IF($F259="EGRESO",$O259,0)</f>
        <v>400</v>
      </c>
      <c r="R259" s="3">
        <f t="shared" si="23"/>
        <v>3099.85</v>
      </c>
      <c r="S259" s="24" t="s">
        <v>1334</v>
      </c>
      <c r="T259" s="24" t="s">
        <v>1334</v>
      </c>
      <c r="U259" s="55"/>
      <c r="V259" s="25"/>
      <c r="W259" s="25"/>
      <c r="X259" s="25"/>
      <c r="Y259" s="25"/>
      <c r="Z259" s="25"/>
      <c r="AA259" s="3" t="str">
        <f>IF(Caja_Operativa[[#This Row],[FECHA]]&gt;0,TEXT(Caja_Operativa[[#This Row],[FECHA]],"mmmm"),0)</f>
        <v>Abril</v>
      </c>
    </row>
    <row r="260" spans="1:27" ht="24" x14ac:dyDescent="0.3">
      <c r="A260" s="2">
        <f>IF(Caja_Operativa[[#This Row],[TIPO DE R.]]="R",COUNTIFS($C$1:$C259,"R")+1,"")</f>
        <v>259</v>
      </c>
      <c r="B260" s="19" t="str">
        <f t="shared" si="24"/>
        <v>C-Operativa</v>
      </c>
      <c r="C260" s="3" t="s">
        <v>1330</v>
      </c>
      <c r="D260" s="14">
        <v>45777</v>
      </c>
      <c r="E260" s="5" t="s">
        <v>7514</v>
      </c>
      <c r="F260" s="5" t="s">
        <v>1336</v>
      </c>
      <c r="G260" s="6" t="s">
        <v>1019</v>
      </c>
      <c r="H260" s="6"/>
      <c r="I260" s="6"/>
      <c r="J260" s="6"/>
      <c r="K260" s="7" t="s">
        <v>7516</v>
      </c>
      <c r="L260" s="8">
        <v>3579026</v>
      </c>
      <c r="M260" s="8" t="str">
        <f t="shared" si="25"/>
        <v>PEN</v>
      </c>
      <c r="N260" s="13"/>
      <c r="O260" s="13">
        <v>400</v>
      </c>
      <c r="P260" s="3">
        <f t="shared" si="26"/>
        <v>0</v>
      </c>
      <c r="Q260" s="3">
        <f t="shared" si="27"/>
        <v>400</v>
      </c>
      <c r="R260" s="3">
        <f t="shared" si="23"/>
        <v>2699.85</v>
      </c>
      <c r="S260" s="24" t="s">
        <v>1334</v>
      </c>
      <c r="T260" s="24" t="s">
        <v>1334</v>
      </c>
      <c r="U260" s="55"/>
      <c r="V260" s="25"/>
      <c r="W260" s="25"/>
      <c r="X260" s="25"/>
      <c r="Y260" s="25"/>
      <c r="Z260" s="25"/>
      <c r="AA260" s="3" t="str">
        <f>IF(Caja_Operativa[[#This Row],[FECHA]]&gt;0,TEXT(Caja_Operativa[[#This Row],[FECHA]],"mmmm"),0)</f>
        <v>Abril</v>
      </c>
    </row>
    <row r="261" spans="1:27" ht="24" x14ac:dyDescent="0.3">
      <c r="A261" s="2">
        <f>IF(Caja_Operativa[[#This Row],[TIPO DE R.]]="R",COUNTIFS($C$1:$C260,"R")+1,"")</f>
        <v>260</v>
      </c>
      <c r="B261" s="19" t="str">
        <f t="shared" si="24"/>
        <v>C-Operativa</v>
      </c>
      <c r="C261" s="3" t="s">
        <v>1330</v>
      </c>
      <c r="D261" s="14">
        <v>45790</v>
      </c>
      <c r="E261" s="5" t="s">
        <v>7514</v>
      </c>
      <c r="F261" s="5" t="s">
        <v>1336</v>
      </c>
      <c r="G261" s="6" t="s">
        <v>1019</v>
      </c>
      <c r="H261" s="6"/>
      <c r="I261" s="6"/>
      <c r="J261" s="6"/>
      <c r="K261" s="7" t="s">
        <v>7516</v>
      </c>
      <c r="L261" s="8">
        <v>865606</v>
      </c>
      <c r="M261" s="8" t="str">
        <f t="shared" si="25"/>
        <v>PEN</v>
      </c>
      <c r="N261" s="13"/>
      <c r="O261" s="13">
        <v>300</v>
      </c>
      <c r="P261" s="3">
        <f t="shared" si="26"/>
        <v>0</v>
      </c>
      <c r="Q261" s="3">
        <f t="shared" si="27"/>
        <v>300</v>
      </c>
      <c r="R261" s="3">
        <f t="shared" si="23"/>
        <v>2399.85</v>
      </c>
      <c r="S261" s="24" t="s">
        <v>1334</v>
      </c>
      <c r="T261" s="24" t="s">
        <v>1334</v>
      </c>
      <c r="U261" s="55"/>
      <c r="V261" s="25"/>
      <c r="W261" s="25"/>
      <c r="X261" s="25"/>
      <c r="Y261" s="25"/>
      <c r="Z261" s="25"/>
      <c r="AA261" s="3" t="str">
        <f>IF(Caja_Operativa[[#This Row],[FECHA]]&gt;0,TEXT(Caja_Operativa[[#This Row],[FECHA]],"mmmm"),0)</f>
        <v>Mayo</v>
      </c>
    </row>
    <row r="262" spans="1:27" ht="24" x14ac:dyDescent="0.3">
      <c r="A262" s="2">
        <f>IF(Caja_Operativa[[#This Row],[TIPO DE R.]]="R",COUNTIFS($C$1:$C261,"R")+1,"")</f>
        <v>261</v>
      </c>
      <c r="B262" s="19" t="str">
        <f t="shared" si="24"/>
        <v>C-Operativa</v>
      </c>
      <c r="C262" s="3" t="s">
        <v>1330</v>
      </c>
      <c r="D262" s="14">
        <v>45790</v>
      </c>
      <c r="E262" s="5" t="s">
        <v>7514</v>
      </c>
      <c r="F262" s="5" t="s">
        <v>1336</v>
      </c>
      <c r="G262" s="6" t="s">
        <v>812</v>
      </c>
      <c r="H262" s="6"/>
      <c r="I262" s="6"/>
      <c r="J262" s="6"/>
      <c r="K262" s="7" t="s">
        <v>7516</v>
      </c>
      <c r="L262" s="8">
        <v>886859</v>
      </c>
      <c r="M262" s="8" t="str">
        <f t="shared" si="25"/>
        <v>PEN</v>
      </c>
      <c r="N262" s="13"/>
      <c r="O262" s="13">
        <v>300</v>
      </c>
      <c r="P262" s="3">
        <f t="shared" si="26"/>
        <v>0</v>
      </c>
      <c r="Q262" s="3">
        <f t="shared" si="27"/>
        <v>300</v>
      </c>
      <c r="R262" s="3">
        <f t="shared" si="23"/>
        <v>2099.85</v>
      </c>
      <c r="S262" s="24" t="s">
        <v>1334</v>
      </c>
      <c r="T262" s="24" t="s">
        <v>1334</v>
      </c>
      <c r="U262" s="55"/>
      <c r="V262" s="25"/>
      <c r="W262" s="25"/>
      <c r="X262" s="25"/>
      <c r="Y262" s="25"/>
      <c r="Z262" s="25"/>
      <c r="AA262" s="3" t="str">
        <f>IF(Caja_Operativa[[#This Row],[FECHA]]&gt;0,TEXT(Caja_Operativa[[#This Row],[FECHA]],"mmmm"),0)</f>
        <v>Mayo</v>
      </c>
    </row>
    <row r="263" spans="1:27" ht="24" x14ac:dyDescent="0.3">
      <c r="A263" s="2">
        <f>IF(Caja_Operativa[[#This Row],[TIPO DE R.]]="R",COUNTIFS($C$1:$C262,"R")+1,"")</f>
        <v>262</v>
      </c>
      <c r="B263" s="19" t="str">
        <f t="shared" si="24"/>
        <v>C-Operativa</v>
      </c>
      <c r="C263" s="3" t="s">
        <v>1330</v>
      </c>
      <c r="D263" s="14">
        <v>45790</v>
      </c>
      <c r="E263" s="5" t="s">
        <v>7514</v>
      </c>
      <c r="F263" s="5" t="s">
        <v>1336</v>
      </c>
      <c r="G263" s="6" t="s">
        <v>829</v>
      </c>
      <c r="H263" s="6"/>
      <c r="I263" s="6"/>
      <c r="J263" s="6"/>
      <c r="K263" s="7" t="s">
        <v>7516</v>
      </c>
      <c r="L263" s="8">
        <v>893287</v>
      </c>
      <c r="M263" s="8" t="str">
        <f t="shared" si="25"/>
        <v>PEN</v>
      </c>
      <c r="N263" s="13"/>
      <c r="O263" s="13">
        <v>300</v>
      </c>
      <c r="P263" s="3">
        <f t="shared" si="26"/>
        <v>0</v>
      </c>
      <c r="Q263" s="3">
        <f t="shared" si="27"/>
        <v>300</v>
      </c>
      <c r="R263" s="3">
        <f t="shared" si="23"/>
        <v>1799.85</v>
      </c>
      <c r="S263" s="24" t="s">
        <v>1334</v>
      </c>
      <c r="T263" s="24" t="s">
        <v>1334</v>
      </c>
      <c r="U263" s="55"/>
      <c r="V263" s="25"/>
      <c r="W263" s="25"/>
      <c r="X263" s="25"/>
      <c r="Y263" s="25"/>
      <c r="Z263" s="25"/>
      <c r="AA263" s="3" t="str">
        <f>IF(Caja_Operativa[[#This Row],[FECHA]]&gt;0,TEXT(Caja_Operativa[[#This Row],[FECHA]],"mmmm"),0)</f>
        <v>Mayo</v>
      </c>
    </row>
    <row r="264" spans="1:27" ht="24" x14ac:dyDescent="0.3">
      <c r="A264" s="2">
        <f>IF(Caja_Operativa[[#This Row],[TIPO DE R.]]="R",COUNTIFS($C$1:$C263,"R")+1,"")</f>
        <v>263</v>
      </c>
      <c r="B264" s="19" t="str">
        <f t="shared" si="24"/>
        <v>C-Operativa</v>
      </c>
      <c r="C264" s="3" t="s">
        <v>1330</v>
      </c>
      <c r="D264" s="14">
        <v>45790</v>
      </c>
      <c r="E264" s="5" t="s">
        <v>7514</v>
      </c>
      <c r="F264" s="5" t="s">
        <v>1336</v>
      </c>
      <c r="G264" s="6" t="s">
        <v>922</v>
      </c>
      <c r="H264" s="6"/>
      <c r="I264" s="6"/>
      <c r="J264" s="6"/>
      <c r="K264" s="7" t="s">
        <v>7537</v>
      </c>
      <c r="L264" s="8">
        <v>872912</v>
      </c>
      <c r="M264" s="8" t="str">
        <f t="shared" si="25"/>
        <v>PEN</v>
      </c>
      <c r="N264" s="13"/>
      <c r="O264" s="13">
        <v>300</v>
      </c>
      <c r="P264" s="3">
        <f t="shared" si="26"/>
        <v>0</v>
      </c>
      <c r="Q264" s="3">
        <f t="shared" si="27"/>
        <v>300</v>
      </c>
      <c r="R264" s="3">
        <f t="shared" si="23"/>
        <v>1499.85</v>
      </c>
      <c r="S264" s="24" t="s">
        <v>1334</v>
      </c>
      <c r="T264" s="24" t="s">
        <v>1334</v>
      </c>
      <c r="U264" s="55"/>
      <c r="V264" s="25"/>
      <c r="W264" s="25"/>
      <c r="X264" s="25"/>
      <c r="Y264" s="25"/>
      <c r="Z264" s="25"/>
      <c r="AA264" s="3" t="str">
        <f>IF(Caja_Operativa[[#This Row],[FECHA]]&gt;0,TEXT(Caja_Operativa[[#This Row],[FECHA]],"mmmm"),0)</f>
        <v>Mayo</v>
      </c>
    </row>
    <row r="265" spans="1:27" x14ac:dyDescent="0.3">
      <c r="A265" s="2">
        <f>IF(Caja_Operativa[[#This Row],[TIPO DE R.]]="R",COUNTIFS($C$1:$C264,"R")+1,"")</f>
        <v>264</v>
      </c>
      <c r="B265" s="19" t="str">
        <f t="shared" si="24"/>
        <v>C-Operativa</v>
      </c>
      <c r="C265" s="3" t="s">
        <v>1330</v>
      </c>
      <c r="D265" s="14">
        <v>45790</v>
      </c>
      <c r="E265" s="5" t="s">
        <v>7514</v>
      </c>
      <c r="F265" s="5" t="s">
        <v>1336</v>
      </c>
      <c r="G265" s="6" t="s">
        <v>876</v>
      </c>
      <c r="H265" s="6"/>
      <c r="I265" s="6"/>
      <c r="J265" s="6"/>
      <c r="K265" s="7" t="s">
        <v>7516</v>
      </c>
      <c r="L265" s="8">
        <v>930769</v>
      </c>
      <c r="M265" s="8" t="str">
        <f t="shared" si="25"/>
        <v>PEN</v>
      </c>
      <c r="N265" s="13"/>
      <c r="O265" s="13">
        <v>200</v>
      </c>
      <c r="P265" s="3">
        <f t="shared" si="26"/>
        <v>0</v>
      </c>
      <c r="Q265" s="3">
        <f t="shared" si="27"/>
        <v>200</v>
      </c>
      <c r="R265" s="3">
        <f t="shared" si="23"/>
        <v>1299.8499999999999</v>
      </c>
      <c r="S265" s="24" t="s">
        <v>1334</v>
      </c>
      <c r="T265" s="24" t="s">
        <v>1334</v>
      </c>
      <c r="U265" s="55"/>
      <c r="V265" s="25"/>
      <c r="W265" s="25"/>
      <c r="X265" s="25"/>
      <c r="Y265" s="25"/>
      <c r="Z265" s="25"/>
      <c r="AA265" s="3" t="str">
        <f>IF(Caja_Operativa[[#This Row],[FECHA]]&gt;0,TEXT(Caja_Operativa[[#This Row],[FECHA]],"mmmm"),0)</f>
        <v>Mayo</v>
      </c>
    </row>
    <row r="266" spans="1:27" ht="24" x14ac:dyDescent="0.3">
      <c r="A266" s="2">
        <f>IF(Caja_Operativa[[#This Row],[TIPO DE R.]]="R",COUNTIFS($C$1:$C265,"R")+1,"")</f>
        <v>265</v>
      </c>
      <c r="B266" s="19" t="str">
        <f t="shared" si="24"/>
        <v>C-Operativa</v>
      </c>
      <c r="C266" s="3" t="s">
        <v>1330</v>
      </c>
      <c r="D266" s="14">
        <v>45790</v>
      </c>
      <c r="E266" s="5" t="s">
        <v>7514</v>
      </c>
      <c r="F266" s="5" t="s">
        <v>1336</v>
      </c>
      <c r="G266" s="6"/>
      <c r="H266" s="6"/>
      <c r="I266" s="6"/>
      <c r="J266" s="6"/>
      <c r="K266" s="7" t="s">
        <v>7516</v>
      </c>
      <c r="L266" s="8">
        <v>922666</v>
      </c>
      <c r="M266" s="8" t="str">
        <f t="shared" si="25"/>
        <v>PEN</v>
      </c>
      <c r="N266" s="13"/>
      <c r="O266" s="13">
        <v>300</v>
      </c>
      <c r="P266" s="3">
        <f t="shared" si="26"/>
        <v>0</v>
      </c>
      <c r="Q266" s="3">
        <f t="shared" si="27"/>
        <v>300</v>
      </c>
      <c r="R266" s="3">
        <f t="shared" si="23"/>
        <v>999.84999999999991</v>
      </c>
      <c r="S266" s="24"/>
      <c r="T266" s="24"/>
      <c r="U266" s="55"/>
      <c r="V266" s="25" t="s">
        <v>7519</v>
      </c>
      <c r="W266" s="25"/>
      <c r="X266" s="25"/>
      <c r="Y266" s="25"/>
      <c r="Z266" s="25"/>
      <c r="AA266" s="3" t="str">
        <f>IF(Caja_Operativa[[#This Row],[FECHA]]&gt;0,TEXT(Caja_Operativa[[#This Row],[FECHA]],"mmmm"),0)</f>
        <v>Mayo</v>
      </c>
    </row>
    <row r="267" spans="1:27" ht="24" x14ac:dyDescent="0.3">
      <c r="A267" s="2">
        <f>IF(Caja_Operativa[[#This Row],[TIPO DE R.]]="R",COUNTIFS($C$1:$C266,"R")+1,"")</f>
        <v>266</v>
      </c>
      <c r="B267" s="19" t="str">
        <f t="shared" si="24"/>
        <v>C-Operativa</v>
      </c>
      <c r="C267" s="3" t="s">
        <v>1330</v>
      </c>
      <c r="D267" s="14">
        <v>45790</v>
      </c>
      <c r="E267" s="5" t="s">
        <v>7513</v>
      </c>
      <c r="F267" s="5" t="s">
        <v>1303</v>
      </c>
      <c r="G267" s="6" t="s">
        <v>901</v>
      </c>
      <c r="H267" s="6"/>
      <c r="I267" s="6" t="s">
        <v>7539</v>
      </c>
      <c r="J267" s="6">
        <v>9</v>
      </c>
      <c r="K267" s="7" t="s">
        <v>7540</v>
      </c>
      <c r="L267" s="8">
        <v>112266</v>
      </c>
      <c r="M267" s="8" t="str">
        <f t="shared" si="25"/>
        <v>PEN</v>
      </c>
      <c r="N267" s="13"/>
      <c r="O267" s="13">
        <v>3000.15</v>
      </c>
      <c r="P267" s="3">
        <f t="shared" si="26"/>
        <v>3000.15</v>
      </c>
      <c r="Q267" s="3">
        <f t="shared" si="27"/>
        <v>0</v>
      </c>
      <c r="R267" s="3">
        <f t="shared" si="23"/>
        <v>4000</v>
      </c>
      <c r="S267" s="24"/>
      <c r="T267" s="24"/>
      <c r="U267" s="55"/>
      <c r="V267" s="25" t="s">
        <v>7514</v>
      </c>
      <c r="W267" s="25"/>
      <c r="X267" s="25"/>
      <c r="Y267" s="25"/>
      <c r="Z267" s="25"/>
      <c r="AA267" s="3" t="str">
        <f>IF(Caja_Operativa[[#This Row],[FECHA]]&gt;0,TEXT(Caja_Operativa[[#This Row],[FECHA]],"mmmm"),0)</f>
        <v>Mayo</v>
      </c>
    </row>
    <row r="268" spans="1:27" x14ac:dyDescent="0.3">
      <c r="A268" s="2">
        <f>IF(Caja_Operativa[[#This Row],[TIPO DE R.]]="R",COUNTIFS($C$1:$C267,"R")+1,"")</f>
        <v>267</v>
      </c>
      <c r="B268" s="19" t="str">
        <f t="shared" si="24"/>
        <v>C-Operativa</v>
      </c>
      <c r="C268" s="3" t="s">
        <v>1330</v>
      </c>
      <c r="D268" s="14">
        <v>45790</v>
      </c>
      <c r="E268" s="5" t="s">
        <v>1335</v>
      </c>
      <c r="F268" s="5" t="s">
        <v>1336</v>
      </c>
      <c r="G268" s="6"/>
      <c r="H268" s="6"/>
      <c r="I268" s="6"/>
      <c r="J268" s="6"/>
      <c r="K268" s="7" t="s">
        <v>5061</v>
      </c>
      <c r="L268" s="8"/>
      <c r="M268" s="8" t="str">
        <f t="shared" si="25"/>
        <v>PEN</v>
      </c>
      <c r="N268" s="13"/>
      <c r="O268" s="13">
        <v>0.15</v>
      </c>
      <c r="P268" s="3">
        <f t="shared" si="26"/>
        <v>0</v>
      </c>
      <c r="Q268" s="3">
        <f t="shared" si="27"/>
        <v>0.15</v>
      </c>
      <c r="R268" s="3">
        <f t="shared" si="23"/>
        <v>3999.85</v>
      </c>
      <c r="S268" s="24"/>
      <c r="T268" s="24"/>
      <c r="U268" s="55"/>
      <c r="V268" s="25"/>
      <c r="W268" s="25"/>
      <c r="X268" s="25"/>
      <c r="Y268" s="25"/>
      <c r="Z268" s="25"/>
      <c r="AA268" s="3" t="str">
        <f>IF(Caja_Operativa[[#This Row],[FECHA]]&gt;0,TEXT(Caja_Operativa[[#This Row],[FECHA]],"mmmm"),0)</f>
        <v>Mayo</v>
      </c>
    </row>
    <row r="269" spans="1:27" ht="60" x14ac:dyDescent="0.3">
      <c r="A269" s="2">
        <f>IF(Caja_Operativa[[#This Row],[TIPO DE R.]]="R",COUNTIFS($C$1:$C268,"R")+1,"")</f>
        <v>268</v>
      </c>
      <c r="B269" s="19" t="str">
        <f t="shared" si="24"/>
        <v>C-Operativa</v>
      </c>
      <c r="C269" s="3" t="s">
        <v>1330</v>
      </c>
      <c r="D269" s="14">
        <v>45791</v>
      </c>
      <c r="E269" s="5" t="s">
        <v>7514</v>
      </c>
      <c r="F269" s="5" t="s">
        <v>1336</v>
      </c>
      <c r="G269" s="6"/>
      <c r="H269" s="6"/>
      <c r="I269" s="6"/>
      <c r="J269" s="6"/>
      <c r="K269" s="7" t="s">
        <v>7659</v>
      </c>
      <c r="L269" s="8">
        <v>982624</v>
      </c>
      <c r="M269" s="8" t="str">
        <f t="shared" si="25"/>
        <v>PEN</v>
      </c>
      <c r="N269" s="13"/>
      <c r="O269" s="13">
        <v>10</v>
      </c>
      <c r="P269" s="3">
        <f t="shared" si="26"/>
        <v>0</v>
      </c>
      <c r="Q269" s="3">
        <f t="shared" si="27"/>
        <v>10</v>
      </c>
      <c r="R269" s="3">
        <f t="shared" si="23"/>
        <v>3989.85</v>
      </c>
      <c r="S269" s="24"/>
      <c r="T269" s="24"/>
      <c r="U269" s="55"/>
      <c r="V269" s="25" t="s">
        <v>7519</v>
      </c>
      <c r="W269" s="25"/>
      <c r="X269" s="25"/>
      <c r="Y269" s="25"/>
      <c r="Z269" s="25"/>
      <c r="AA269" s="3" t="str">
        <f>IF(Caja_Operativa[[#This Row],[FECHA]]&gt;0,TEXT(Caja_Operativa[[#This Row],[FECHA]],"mmmm"),0)</f>
        <v>Mayo</v>
      </c>
    </row>
    <row r="270" spans="1:27" ht="60" x14ac:dyDescent="0.3">
      <c r="A270" s="2">
        <f>IF(Caja_Operativa[[#This Row],[TIPO DE R.]]="R",COUNTIFS($C$1:$C269,"R")+1,"")</f>
        <v>269</v>
      </c>
      <c r="B270" s="19" t="str">
        <f t="shared" si="24"/>
        <v>C-Operativa</v>
      </c>
      <c r="C270" s="3" t="s">
        <v>1330</v>
      </c>
      <c r="D270" s="14">
        <v>45791</v>
      </c>
      <c r="E270" s="5" t="s">
        <v>7514</v>
      </c>
      <c r="F270" s="5" t="s">
        <v>1336</v>
      </c>
      <c r="G270" s="6"/>
      <c r="H270" s="6"/>
      <c r="I270" s="6"/>
      <c r="J270" s="6"/>
      <c r="K270" s="7" t="s">
        <v>7660</v>
      </c>
      <c r="L270" s="8">
        <v>983593</v>
      </c>
      <c r="M270" s="8" t="str">
        <f t="shared" si="25"/>
        <v>PEN</v>
      </c>
      <c r="N270" s="13"/>
      <c r="O270" s="13">
        <v>8</v>
      </c>
      <c r="P270" s="3">
        <f t="shared" si="26"/>
        <v>0</v>
      </c>
      <c r="Q270" s="3">
        <f t="shared" si="27"/>
        <v>8</v>
      </c>
      <c r="R270" s="3">
        <f t="shared" si="23"/>
        <v>3981.85</v>
      </c>
      <c r="S270" s="24"/>
      <c r="T270" s="24"/>
      <c r="U270" s="55"/>
      <c r="V270" s="25" t="s">
        <v>7519</v>
      </c>
      <c r="W270" s="25"/>
      <c r="X270" s="25"/>
      <c r="Y270" s="25"/>
      <c r="Z270" s="25"/>
      <c r="AA270" s="3" t="str">
        <f>IF(Caja_Operativa[[#This Row],[FECHA]]&gt;0,TEXT(Caja_Operativa[[#This Row],[FECHA]],"mmmm"),0)</f>
        <v>Mayo</v>
      </c>
    </row>
    <row r="271" spans="1:27" ht="60" x14ac:dyDescent="0.3">
      <c r="A271" s="2">
        <f>IF(Caja_Operativa[[#This Row],[TIPO DE R.]]="R",COUNTIFS($C$1:$C270,"R")+1,"")</f>
        <v>270</v>
      </c>
      <c r="B271" s="19" t="str">
        <f t="shared" si="24"/>
        <v>C-Operativa</v>
      </c>
      <c r="C271" s="3" t="s">
        <v>1330</v>
      </c>
      <c r="D271" s="14">
        <v>45791</v>
      </c>
      <c r="E271" s="5" t="s">
        <v>7514</v>
      </c>
      <c r="F271" s="5" t="s">
        <v>1336</v>
      </c>
      <c r="G271" s="6"/>
      <c r="H271" s="6"/>
      <c r="I271" s="6"/>
      <c r="J271" s="6"/>
      <c r="K271" s="7" t="s">
        <v>7661</v>
      </c>
      <c r="L271" s="8">
        <v>983841</v>
      </c>
      <c r="M271" s="8" t="str">
        <f t="shared" si="25"/>
        <v>PEN</v>
      </c>
      <c r="N271" s="13"/>
      <c r="O271" s="13">
        <v>8</v>
      </c>
      <c r="P271" s="3">
        <f t="shared" si="26"/>
        <v>0</v>
      </c>
      <c r="Q271" s="3">
        <f t="shared" si="27"/>
        <v>8</v>
      </c>
      <c r="R271" s="3">
        <f t="shared" si="23"/>
        <v>3973.85</v>
      </c>
      <c r="S271" s="24"/>
      <c r="T271" s="24"/>
      <c r="U271" s="55"/>
      <c r="V271" s="25" t="s">
        <v>7519</v>
      </c>
      <c r="W271" s="25"/>
      <c r="X271" s="25"/>
      <c r="Y271" s="25"/>
      <c r="Z271" s="25"/>
      <c r="AA271" s="3" t="str">
        <f>IF(Caja_Operativa[[#This Row],[FECHA]]&gt;0,TEXT(Caja_Operativa[[#This Row],[FECHA]],"mmmm"),0)</f>
        <v>Mayo</v>
      </c>
    </row>
    <row r="272" spans="1:27" ht="60" x14ac:dyDescent="0.3">
      <c r="A272" s="2">
        <f>IF(Caja_Operativa[[#This Row],[TIPO DE R.]]="R",COUNTIFS($C$1:$C271,"R")+1,"")</f>
        <v>271</v>
      </c>
      <c r="B272" s="19" t="str">
        <f t="shared" si="24"/>
        <v>C-Operativa</v>
      </c>
      <c r="C272" s="3" t="s">
        <v>1330</v>
      </c>
      <c r="D272" s="14">
        <v>45791</v>
      </c>
      <c r="E272" s="5" t="s">
        <v>7514</v>
      </c>
      <c r="F272" s="5" t="s">
        <v>1336</v>
      </c>
      <c r="G272" s="6"/>
      <c r="H272" s="6"/>
      <c r="I272" s="6"/>
      <c r="J272" s="6"/>
      <c r="K272" s="7" t="s">
        <v>7662</v>
      </c>
      <c r="L272" s="8">
        <v>1023213</v>
      </c>
      <c r="M272" s="8" t="str">
        <f t="shared" si="25"/>
        <v>PEN</v>
      </c>
      <c r="N272" s="13"/>
      <c r="O272" s="13">
        <v>8</v>
      </c>
      <c r="P272" s="3">
        <f t="shared" si="26"/>
        <v>0</v>
      </c>
      <c r="Q272" s="3">
        <f t="shared" si="27"/>
        <v>8</v>
      </c>
      <c r="R272" s="3">
        <f t="shared" si="23"/>
        <v>3965.85</v>
      </c>
      <c r="S272" s="24"/>
      <c r="T272" s="24"/>
      <c r="U272" s="55"/>
      <c r="V272" s="25" t="s">
        <v>7519</v>
      </c>
      <c r="W272" s="25"/>
      <c r="X272" s="25"/>
      <c r="Y272" s="25"/>
      <c r="Z272" s="25"/>
      <c r="AA272" s="3" t="str">
        <f>IF(Caja_Operativa[[#This Row],[FECHA]]&gt;0,TEXT(Caja_Operativa[[#This Row],[FECHA]],"mmmm"),0)</f>
        <v>Mayo</v>
      </c>
    </row>
    <row r="273" spans="1:27" ht="60" x14ac:dyDescent="0.3">
      <c r="A273" s="2">
        <f>IF(Caja_Operativa[[#This Row],[TIPO DE R.]]="R",COUNTIFS($C$1:$C272,"R")+1,"")</f>
        <v>272</v>
      </c>
      <c r="B273" s="19" t="str">
        <f t="shared" si="24"/>
        <v>C-Operativa</v>
      </c>
      <c r="C273" s="3" t="s">
        <v>1330</v>
      </c>
      <c r="D273" s="14">
        <v>45791</v>
      </c>
      <c r="E273" s="5" t="s">
        <v>7514</v>
      </c>
      <c r="F273" s="5" t="s">
        <v>1336</v>
      </c>
      <c r="G273" s="6"/>
      <c r="H273" s="6"/>
      <c r="I273" s="6"/>
      <c r="J273" s="6"/>
      <c r="K273" s="7" t="s">
        <v>7663</v>
      </c>
      <c r="L273" s="8">
        <v>999833</v>
      </c>
      <c r="M273" s="8" t="str">
        <f t="shared" si="25"/>
        <v>PEN</v>
      </c>
      <c r="N273" s="13"/>
      <c r="O273" s="13">
        <v>8</v>
      </c>
      <c r="P273" s="3">
        <f t="shared" si="26"/>
        <v>0</v>
      </c>
      <c r="Q273" s="3">
        <f t="shared" si="27"/>
        <v>8</v>
      </c>
      <c r="R273" s="3">
        <f t="shared" si="23"/>
        <v>3957.85</v>
      </c>
      <c r="S273" s="24"/>
      <c r="T273" s="24"/>
      <c r="U273" s="55"/>
      <c r="V273" s="25" t="s">
        <v>7519</v>
      </c>
      <c r="W273" s="25"/>
      <c r="X273" s="25"/>
      <c r="Y273" s="25"/>
      <c r="Z273" s="25"/>
      <c r="AA273" s="3" t="str">
        <f>IF(Caja_Operativa[[#This Row],[FECHA]]&gt;0,TEXT(Caja_Operativa[[#This Row],[FECHA]],"mmmm"),0)</f>
        <v>Mayo</v>
      </c>
    </row>
    <row r="274" spans="1:27" ht="60" x14ac:dyDescent="0.3">
      <c r="A274" s="2">
        <f>IF(Caja_Operativa[[#This Row],[TIPO DE R.]]="R",COUNTIFS($C$1:$C273,"R")+1,"")</f>
        <v>273</v>
      </c>
      <c r="B274" s="19" t="str">
        <f t="shared" si="24"/>
        <v>C-Operativa</v>
      </c>
      <c r="C274" s="3" t="s">
        <v>1330</v>
      </c>
      <c r="D274" s="14">
        <v>45791</v>
      </c>
      <c r="E274" s="5" t="s">
        <v>7514</v>
      </c>
      <c r="F274" s="5" t="s">
        <v>1336</v>
      </c>
      <c r="G274" s="6"/>
      <c r="H274" s="6"/>
      <c r="I274" s="6"/>
      <c r="J274" s="6"/>
      <c r="K274" s="7" t="s">
        <v>7664</v>
      </c>
      <c r="L274" s="8">
        <v>992352</v>
      </c>
      <c r="M274" s="8" t="str">
        <f t="shared" si="25"/>
        <v>PEN</v>
      </c>
      <c r="N274" s="13"/>
      <c r="O274" s="13">
        <v>30</v>
      </c>
      <c r="P274" s="3">
        <f t="shared" si="26"/>
        <v>0</v>
      </c>
      <c r="Q274" s="3">
        <f t="shared" si="27"/>
        <v>30</v>
      </c>
      <c r="R274" s="3">
        <f t="shared" si="23"/>
        <v>3927.85</v>
      </c>
      <c r="S274" s="24"/>
      <c r="T274" s="24"/>
      <c r="U274" s="55"/>
      <c r="V274" s="25" t="s">
        <v>7519</v>
      </c>
      <c r="W274" s="25"/>
      <c r="X274" s="25"/>
      <c r="Y274" s="25"/>
      <c r="Z274" s="25"/>
      <c r="AA274" s="3" t="str">
        <f>IF(Caja_Operativa[[#This Row],[FECHA]]&gt;0,TEXT(Caja_Operativa[[#This Row],[FECHA]],"mmmm"),0)</f>
        <v>Mayo</v>
      </c>
    </row>
    <row r="275" spans="1:27" ht="60" x14ac:dyDescent="0.3">
      <c r="A275" s="2">
        <f>IF(Caja_Operativa[[#This Row],[TIPO DE R.]]="R",COUNTIFS($C$1:$C274,"R")+1,"")</f>
        <v>274</v>
      </c>
      <c r="B275" s="19" t="str">
        <f t="shared" si="24"/>
        <v>C-Operativa</v>
      </c>
      <c r="C275" s="3" t="s">
        <v>1330</v>
      </c>
      <c r="D275" s="14">
        <v>45791</v>
      </c>
      <c r="E275" s="5" t="s">
        <v>7514</v>
      </c>
      <c r="F275" s="5" t="s">
        <v>1336</v>
      </c>
      <c r="G275" s="6"/>
      <c r="H275" s="6"/>
      <c r="I275" s="6"/>
      <c r="J275" s="6"/>
      <c r="K275" s="7" t="s">
        <v>7665</v>
      </c>
      <c r="L275" s="8">
        <v>1007353</v>
      </c>
      <c r="M275" s="8" t="str">
        <f t="shared" si="25"/>
        <v>PEN</v>
      </c>
      <c r="N275" s="13"/>
      <c r="O275" s="13">
        <v>8</v>
      </c>
      <c r="P275" s="3">
        <f t="shared" si="26"/>
        <v>0</v>
      </c>
      <c r="Q275" s="3">
        <f t="shared" si="27"/>
        <v>8</v>
      </c>
      <c r="R275" s="3">
        <f t="shared" si="23"/>
        <v>3919.85</v>
      </c>
      <c r="S275" s="24"/>
      <c r="T275" s="24"/>
      <c r="U275" s="55"/>
      <c r="V275" s="25" t="s">
        <v>7519</v>
      </c>
      <c r="W275" s="25"/>
      <c r="X275" s="25"/>
      <c r="Y275" s="25"/>
      <c r="Z275" s="25"/>
      <c r="AA275" s="3" t="str">
        <f>IF(Caja_Operativa[[#This Row],[FECHA]]&gt;0,TEXT(Caja_Operativa[[#This Row],[FECHA]],"mmmm"),0)</f>
        <v>Mayo</v>
      </c>
    </row>
    <row r="276" spans="1:27" ht="60" x14ac:dyDescent="0.3">
      <c r="A276" s="2">
        <f>IF(Caja_Operativa[[#This Row],[TIPO DE R.]]="R",COUNTIFS($C$1:$C275,"R")+1,"")</f>
        <v>275</v>
      </c>
      <c r="B276" s="19" t="str">
        <f t="shared" si="24"/>
        <v>C-Operativa</v>
      </c>
      <c r="C276" s="3" t="s">
        <v>1330</v>
      </c>
      <c r="D276" s="14">
        <v>45791</v>
      </c>
      <c r="E276" s="5" t="s">
        <v>7514</v>
      </c>
      <c r="F276" s="5" t="s">
        <v>1336</v>
      </c>
      <c r="G276" s="6"/>
      <c r="H276" s="6"/>
      <c r="I276" s="6"/>
      <c r="J276" s="6"/>
      <c r="K276" s="7" t="s">
        <v>7666</v>
      </c>
      <c r="L276" s="8">
        <v>1022700</v>
      </c>
      <c r="M276" s="8" t="str">
        <f t="shared" si="25"/>
        <v>PEN</v>
      </c>
      <c r="N276" s="13"/>
      <c r="O276" s="13">
        <v>18</v>
      </c>
      <c r="P276" s="3">
        <f t="shared" si="26"/>
        <v>0</v>
      </c>
      <c r="Q276" s="3">
        <f t="shared" si="27"/>
        <v>18</v>
      </c>
      <c r="R276" s="3">
        <f t="shared" si="23"/>
        <v>3901.85</v>
      </c>
      <c r="S276" s="24"/>
      <c r="T276" s="24"/>
      <c r="U276" s="55"/>
      <c r="V276" s="25" t="s">
        <v>7519</v>
      </c>
      <c r="W276" s="25"/>
      <c r="X276" s="25"/>
      <c r="Y276" s="25"/>
      <c r="Z276" s="25"/>
      <c r="AA276" s="3" t="str">
        <f>IF(Caja_Operativa[[#This Row],[FECHA]]&gt;0,TEXT(Caja_Operativa[[#This Row],[FECHA]],"mmmm"),0)</f>
        <v>Mayo</v>
      </c>
    </row>
    <row r="277" spans="1:27" ht="60" x14ac:dyDescent="0.3">
      <c r="A277" s="2">
        <f>IF(Caja_Operativa[[#This Row],[TIPO DE R.]]="R",COUNTIFS($C$1:$C276,"R")+1,"")</f>
        <v>276</v>
      </c>
      <c r="B277" s="19" t="str">
        <f t="shared" si="24"/>
        <v>C-Operativa</v>
      </c>
      <c r="C277" s="3" t="s">
        <v>1330</v>
      </c>
      <c r="D277" s="14">
        <v>45791</v>
      </c>
      <c r="E277" s="5" t="s">
        <v>7514</v>
      </c>
      <c r="F277" s="5" t="s">
        <v>1336</v>
      </c>
      <c r="G277" s="6"/>
      <c r="H277" s="6"/>
      <c r="I277" s="6"/>
      <c r="J277" s="6"/>
      <c r="K277" s="7" t="s">
        <v>7667</v>
      </c>
      <c r="L277" s="8">
        <v>1031802</v>
      </c>
      <c r="M277" s="8" t="str">
        <f t="shared" si="25"/>
        <v>PEN</v>
      </c>
      <c r="N277" s="13"/>
      <c r="O277" s="13">
        <v>15</v>
      </c>
      <c r="P277" s="3">
        <f t="shared" si="26"/>
        <v>0</v>
      </c>
      <c r="Q277" s="3">
        <f t="shared" si="27"/>
        <v>15</v>
      </c>
      <c r="R277" s="3">
        <f t="shared" si="23"/>
        <v>3886.85</v>
      </c>
      <c r="S277" s="24"/>
      <c r="T277" s="24"/>
      <c r="U277" s="55"/>
      <c r="V277" s="25" t="s">
        <v>7519</v>
      </c>
      <c r="W277" s="25"/>
      <c r="X277" s="25"/>
      <c r="Y277" s="25"/>
      <c r="Z277" s="25"/>
      <c r="AA277" s="3" t="str">
        <f>IF(Caja_Operativa[[#This Row],[FECHA]]&gt;0,TEXT(Caja_Operativa[[#This Row],[FECHA]],"mmmm"),0)</f>
        <v>Mayo</v>
      </c>
    </row>
    <row r="278" spans="1:27" ht="60" x14ac:dyDescent="0.3">
      <c r="A278" s="2">
        <f>IF(Caja_Operativa[[#This Row],[TIPO DE R.]]="R",COUNTIFS($C$1:$C277,"R")+1,"")</f>
        <v>277</v>
      </c>
      <c r="B278" s="19" t="str">
        <f t="shared" si="24"/>
        <v>C-Operativa</v>
      </c>
      <c r="C278" s="3" t="s">
        <v>1330</v>
      </c>
      <c r="D278" s="14">
        <v>45791</v>
      </c>
      <c r="E278" s="5" t="s">
        <v>7514</v>
      </c>
      <c r="F278" s="5" t="s">
        <v>1336</v>
      </c>
      <c r="G278" s="6"/>
      <c r="H278" s="6"/>
      <c r="I278" s="6"/>
      <c r="J278" s="6"/>
      <c r="K278" s="7" t="s">
        <v>7668</v>
      </c>
      <c r="L278" s="8">
        <v>1056422</v>
      </c>
      <c r="M278" s="8" t="str">
        <f t="shared" si="25"/>
        <v>PEN</v>
      </c>
      <c r="N278" s="13"/>
      <c r="O278" s="13">
        <v>8</v>
      </c>
      <c r="P278" s="3">
        <f t="shared" si="26"/>
        <v>0</v>
      </c>
      <c r="Q278" s="3">
        <f t="shared" si="27"/>
        <v>8</v>
      </c>
      <c r="R278" s="3">
        <f t="shared" si="23"/>
        <v>3878.85</v>
      </c>
      <c r="S278" s="24"/>
      <c r="T278" s="24"/>
      <c r="U278" s="55"/>
      <c r="V278" s="25" t="s">
        <v>7519</v>
      </c>
      <c r="W278" s="25"/>
      <c r="X278" s="25"/>
      <c r="Y278" s="25"/>
      <c r="Z278" s="25"/>
      <c r="AA278" s="3" t="str">
        <f>IF(Caja_Operativa[[#This Row],[FECHA]]&gt;0,TEXT(Caja_Operativa[[#This Row],[FECHA]],"mmmm"),0)</f>
        <v>Mayo</v>
      </c>
    </row>
    <row r="279" spans="1:27" ht="60" x14ac:dyDescent="0.3">
      <c r="A279" s="2">
        <f>IF(Caja_Operativa[[#This Row],[TIPO DE R.]]="R",COUNTIFS($C$1:$C278,"R")+1,"")</f>
        <v>278</v>
      </c>
      <c r="B279" s="19" t="str">
        <f t="shared" si="24"/>
        <v>C-Operativa</v>
      </c>
      <c r="C279" s="3" t="s">
        <v>1330</v>
      </c>
      <c r="D279" s="14">
        <v>45791</v>
      </c>
      <c r="E279" s="5" t="s">
        <v>7514</v>
      </c>
      <c r="F279" s="5" t="s">
        <v>1336</v>
      </c>
      <c r="G279" s="6"/>
      <c r="H279" s="6"/>
      <c r="I279" s="6"/>
      <c r="J279" s="6"/>
      <c r="K279" s="7" t="s">
        <v>7669</v>
      </c>
      <c r="L279" s="8">
        <v>1041845</v>
      </c>
      <c r="M279" s="8" t="str">
        <f t="shared" si="25"/>
        <v>PEN</v>
      </c>
      <c r="N279" s="13"/>
      <c r="O279" s="13">
        <v>8</v>
      </c>
      <c r="P279" s="3">
        <f t="shared" si="26"/>
        <v>0</v>
      </c>
      <c r="Q279" s="3">
        <f t="shared" si="27"/>
        <v>8</v>
      </c>
      <c r="R279" s="3">
        <f t="shared" si="23"/>
        <v>3870.85</v>
      </c>
      <c r="S279" s="24"/>
      <c r="T279" s="24"/>
      <c r="U279" s="55"/>
      <c r="V279" s="25" t="s">
        <v>7519</v>
      </c>
      <c r="W279" s="25"/>
      <c r="X279" s="25"/>
      <c r="Y279" s="25"/>
      <c r="Z279" s="25"/>
      <c r="AA279" s="3" t="str">
        <f>IF(Caja_Operativa[[#This Row],[FECHA]]&gt;0,TEXT(Caja_Operativa[[#This Row],[FECHA]],"mmmm"),0)</f>
        <v>Mayo</v>
      </c>
    </row>
    <row r="280" spans="1:27" ht="60" x14ac:dyDescent="0.3">
      <c r="A280" s="2">
        <f>IF(Caja_Operativa[[#This Row],[TIPO DE R.]]="R",COUNTIFS($C$1:$C279,"R")+1,"")</f>
        <v>279</v>
      </c>
      <c r="B280" s="19" t="str">
        <f t="shared" si="24"/>
        <v>C-Operativa</v>
      </c>
      <c r="C280" s="3" t="s">
        <v>1330</v>
      </c>
      <c r="D280" s="14">
        <v>45791</v>
      </c>
      <c r="E280" s="5" t="s">
        <v>7514</v>
      </c>
      <c r="F280" s="5" t="s">
        <v>1336</v>
      </c>
      <c r="G280" s="6"/>
      <c r="H280" s="6"/>
      <c r="I280" s="6"/>
      <c r="J280" s="6"/>
      <c r="K280" s="7" t="s">
        <v>7670</v>
      </c>
      <c r="L280" s="8">
        <v>1036398</v>
      </c>
      <c r="M280" s="8" t="str">
        <f t="shared" si="25"/>
        <v>PEN</v>
      </c>
      <c r="N280" s="13"/>
      <c r="O280" s="13">
        <v>8</v>
      </c>
      <c r="P280" s="3">
        <f t="shared" si="26"/>
        <v>0</v>
      </c>
      <c r="Q280" s="3">
        <f t="shared" si="27"/>
        <v>8</v>
      </c>
      <c r="R280" s="3">
        <f t="shared" si="23"/>
        <v>3862.85</v>
      </c>
      <c r="S280" s="24"/>
      <c r="T280" s="24"/>
      <c r="U280" s="55"/>
      <c r="V280" s="25" t="s">
        <v>7519</v>
      </c>
      <c r="W280" s="25"/>
      <c r="X280" s="25"/>
      <c r="Y280" s="25"/>
      <c r="Z280" s="25"/>
      <c r="AA280" s="3" t="str">
        <f>IF(Caja_Operativa[[#This Row],[FECHA]]&gt;0,TEXT(Caja_Operativa[[#This Row],[FECHA]],"mmmm"),0)</f>
        <v>Mayo</v>
      </c>
    </row>
    <row r="281" spans="1:27" ht="60" x14ac:dyDescent="0.3">
      <c r="A281" s="2">
        <f>IF(Caja_Operativa[[#This Row],[TIPO DE R.]]="R",COUNTIFS($C$1:$C280,"R")+1,"")</f>
        <v>280</v>
      </c>
      <c r="B281" s="19" t="str">
        <f t="shared" si="24"/>
        <v>C-Operativa</v>
      </c>
      <c r="C281" s="3" t="s">
        <v>1330</v>
      </c>
      <c r="D281" s="14">
        <v>45791</v>
      </c>
      <c r="E281" s="5" t="s">
        <v>7514</v>
      </c>
      <c r="F281" s="5" t="s">
        <v>1336</v>
      </c>
      <c r="G281" s="6"/>
      <c r="H281" s="6"/>
      <c r="I281" s="6"/>
      <c r="J281" s="6"/>
      <c r="K281" s="7" t="s">
        <v>7671</v>
      </c>
      <c r="L281" s="8">
        <v>1075255</v>
      </c>
      <c r="M281" s="8" t="str">
        <f t="shared" si="25"/>
        <v>PEN</v>
      </c>
      <c r="N281" s="13"/>
      <c r="O281" s="13">
        <v>8</v>
      </c>
      <c r="P281" s="3">
        <f t="shared" si="26"/>
        <v>0</v>
      </c>
      <c r="Q281" s="3">
        <f t="shared" si="27"/>
        <v>8</v>
      </c>
      <c r="R281" s="3">
        <f t="shared" si="23"/>
        <v>3854.85</v>
      </c>
      <c r="S281" s="24"/>
      <c r="T281" s="24"/>
      <c r="U281" s="55"/>
      <c r="V281" s="25" t="s">
        <v>7519</v>
      </c>
      <c r="W281" s="25"/>
      <c r="X281" s="25"/>
      <c r="Y281" s="25"/>
      <c r="Z281" s="25"/>
      <c r="AA281" s="3" t="str">
        <f>IF(Caja_Operativa[[#This Row],[FECHA]]&gt;0,TEXT(Caja_Operativa[[#This Row],[FECHA]],"mmmm"),0)</f>
        <v>Mayo</v>
      </c>
    </row>
    <row r="282" spans="1:27" ht="60" x14ac:dyDescent="0.3">
      <c r="A282" s="2">
        <f>IF(Caja_Operativa[[#This Row],[TIPO DE R.]]="R",COUNTIFS($C$1:$C281,"R")+1,"")</f>
        <v>281</v>
      </c>
      <c r="B282" s="19" t="str">
        <f t="shared" si="24"/>
        <v>C-Operativa</v>
      </c>
      <c r="C282" s="3" t="s">
        <v>1330</v>
      </c>
      <c r="D282" s="14">
        <v>45791</v>
      </c>
      <c r="E282" s="5" t="s">
        <v>7514</v>
      </c>
      <c r="F282" s="5" t="s">
        <v>1336</v>
      </c>
      <c r="G282" s="6"/>
      <c r="H282" s="6"/>
      <c r="I282" s="6"/>
      <c r="J282" s="6"/>
      <c r="K282" s="7" t="s">
        <v>7672</v>
      </c>
      <c r="L282" s="8">
        <v>1046041</v>
      </c>
      <c r="M282" s="8" t="str">
        <f t="shared" si="25"/>
        <v>PEN</v>
      </c>
      <c r="N282" s="13"/>
      <c r="O282" s="13">
        <v>8</v>
      </c>
      <c r="P282" s="3">
        <f t="shared" si="26"/>
        <v>0</v>
      </c>
      <c r="Q282" s="3">
        <f t="shared" si="27"/>
        <v>8</v>
      </c>
      <c r="R282" s="3">
        <f t="shared" si="23"/>
        <v>3846.85</v>
      </c>
      <c r="S282" s="24"/>
      <c r="T282" s="24"/>
      <c r="U282" s="55"/>
      <c r="V282" s="25" t="s">
        <v>7519</v>
      </c>
      <c r="W282" s="25"/>
      <c r="X282" s="25"/>
      <c r="Y282" s="25"/>
      <c r="Z282" s="25"/>
      <c r="AA282" s="3" t="str">
        <f>IF(Caja_Operativa[[#This Row],[FECHA]]&gt;0,TEXT(Caja_Operativa[[#This Row],[FECHA]],"mmmm"),0)</f>
        <v>Mayo</v>
      </c>
    </row>
    <row r="283" spans="1:27" ht="60" x14ac:dyDescent="0.3">
      <c r="A283" s="2">
        <f>IF(Caja_Operativa[[#This Row],[TIPO DE R.]]="R",COUNTIFS($C$1:$C282,"R")+1,"")</f>
        <v>282</v>
      </c>
      <c r="B283" s="19" t="str">
        <f t="shared" si="24"/>
        <v>C-Operativa</v>
      </c>
      <c r="C283" s="3" t="s">
        <v>1330</v>
      </c>
      <c r="D283" s="14">
        <v>45791</v>
      </c>
      <c r="E283" s="5" t="s">
        <v>7514</v>
      </c>
      <c r="F283" s="5" t="s">
        <v>1336</v>
      </c>
      <c r="G283" s="6"/>
      <c r="H283" s="6"/>
      <c r="I283" s="6"/>
      <c r="J283" s="6"/>
      <c r="K283" s="7" t="s">
        <v>7673</v>
      </c>
      <c r="L283" s="8">
        <v>1049375</v>
      </c>
      <c r="M283" s="8" t="str">
        <f t="shared" si="25"/>
        <v>PEN</v>
      </c>
      <c r="N283" s="13"/>
      <c r="O283" s="13">
        <v>10</v>
      </c>
      <c r="P283" s="3">
        <f t="shared" si="26"/>
        <v>0</v>
      </c>
      <c r="Q283" s="3">
        <f t="shared" si="27"/>
        <v>10</v>
      </c>
      <c r="R283" s="3">
        <f t="shared" si="23"/>
        <v>3836.85</v>
      </c>
      <c r="S283" s="24"/>
      <c r="T283" s="24"/>
      <c r="U283" s="55"/>
      <c r="V283" s="25" t="s">
        <v>7519</v>
      </c>
      <c r="W283" s="25"/>
      <c r="X283" s="25"/>
      <c r="Y283" s="25"/>
      <c r="Z283" s="25"/>
      <c r="AA283" s="3" t="str">
        <f>IF(Caja_Operativa[[#This Row],[FECHA]]&gt;0,TEXT(Caja_Operativa[[#This Row],[FECHA]],"mmmm"),0)</f>
        <v>Mayo</v>
      </c>
    </row>
    <row r="284" spans="1:27" ht="24" x14ac:dyDescent="0.3">
      <c r="A284" s="2">
        <f>IF(Caja_Operativa[[#This Row],[TIPO DE R.]]="R",COUNTIFS($C$1:$C283,"R")+1,"")</f>
        <v>283</v>
      </c>
      <c r="B284" s="19" t="str">
        <f t="shared" si="24"/>
        <v>C-Operativa</v>
      </c>
      <c r="C284" s="3" t="s">
        <v>1330</v>
      </c>
      <c r="D284" s="14">
        <v>45804</v>
      </c>
      <c r="E284" s="5" t="s">
        <v>7514</v>
      </c>
      <c r="F284" s="5" t="s">
        <v>1336</v>
      </c>
      <c r="G284" s="6" t="s">
        <v>888</v>
      </c>
      <c r="H284" s="6"/>
      <c r="I284" s="6"/>
      <c r="J284" s="6"/>
      <c r="K284" s="7" t="s">
        <v>7516</v>
      </c>
      <c r="L284" s="8">
        <v>3613579</v>
      </c>
      <c r="M284" s="8" t="str">
        <f t="shared" si="25"/>
        <v>PEN</v>
      </c>
      <c r="N284" s="13"/>
      <c r="O284" s="13">
        <v>400</v>
      </c>
      <c r="P284" s="3">
        <f t="shared" si="26"/>
        <v>0</v>
      </c>
      <c r="Q284" s="3">
        <f t="shared" si="27"/>
        <v>400</v>
      </c>
      <c r="R284" s="3">
        <f t="shared" si="23"/>
        <v>3436.85</v>
      </c>
      <c r="S284" s="24" t="s">
        <v>1334</v>
      </c>
      <c r="T284" s="24" t="s">
        <v>1334</v>
      </c>
      <c r="U284" s="55"/>
      <c r="V284" s="25"/>
      <c r="W284" s="25"/>
      <c r="X284" s="25"/>
      <c r="Y284" s="25"/>
      <c r="Z284" s="25"/>
      <c r="AA284" s="3" t="str">
        <f>IF(Caja_Operativa[[#This Row],[FECHA]]&gt;0,TEXT(Caja_Operativa[[#This Row],[FECHA]],"mmmm"),0)</f>
        <v>Mayo</v>
      </c>
    </row>
    <row r="285" spans="1:27" ht="24" x14ac:dyDescent="0.3">
      <c r="A285" s="2">
        <f>IF(Caja_Operativa[[#This Row],[TIPO DE R.]]="R",COUNTIFS($C$1:$C284,"R")+1,"")</f>
        <v>284</v>
      </c>
      <c r="B285" s="19" t="str">
        <f t="shared" si="24"/>
        <v>C-Operativa</v>
      </c>
      <c r="C285" s="3" t="s">
        <v>1330</v>
      </c>
      <c r="D285" s="14">
        <v>45807</v>
      </c>
      <c r="E285" s="5" t="s">
        <v>7514</v>
      </c>
      <c r="F285" s="5" t="s">
        <v>1336</v>
      </c>
      <c r="G285" s="6" t="s">
        <v>1019</v>
      </c>
      <c r="H285" s="6"/>
      <c r="I285" s="6"/>
      <c r="J285" s="6"/>
      <c r="K285" s="7" t="s">
        <v>7516</v>
      </c>
      <c r="L285" s="8">
        <v>3941420</v>
      </c>
      <c r="M285" s="8" t="str">
        <f t="shared" si="25"/>
        <v>PEN</v>
      </c>
      <c r="N285" s="13"/>
      <c r="O285" s="13">
        <v>150</v>
      </c>
      <c r="P285" s="3">
        <f t="shared" si="26"/>
        <v>0</v>
      </c>
      <c r="Q285" s="3">
        <f t="shared" si="27"/>
        <v>150</v>
      </c>
      <c r="R285" s="3">
        <f t="shared" si="23"/>
        <v>3286.85</v>
      </c>
      <c r="S285" s="24" t="s">
        <v>1334</v>
      </c>
      <c r="T285" s="24" t="s">
        <v>1334</v>
      </c>
      <c r="U285" s="55"/>
      <c r="V285" s="25"/>
      <c r="W285" s="25"/>
      <c r="X285" s="25"/>
      <c r="Y285" s="25"/>
      <c r="Z285" s="25"/>
      <c r="AA285" s="3" t="str">
        <f>IF(Caja_Operativa[[#This Row],[FECHA]]&gt;0,TEXT(Caja_Operativa[[#This Row],[FECHA]],"mmmm"),0)</f>
        <v>Mayo</v>
      </c>
    </row>
    <row r="286" spans="1:27" ht="24" x14ac:dyDescent="0.3">
      <c r="A286" s="2">
        <f>IF(Caja_Operativa[[#This Row],[TIPO DE R.]]="R",COUNTIFS($C$1:$C285,"R")+1,"")</f>
        <v>285</v>
      </c>
      <c r="B286" s="19" t="str">
        <f t="shared" si="24"/>
        <v>C-Operativa</v>
      </c>
      <c r="C286" s="3" t="s">
        <v>1330</v>
      </c>
      <c r="D286" s="14">
        <v>45807</v>
      </c>
      <c r="E286" s="5" t="s">
        <v>7514</v>
      </c>
      <c r="F286" s="5" t="s">
        <v>1336</v>
      </c>
      <c r="G286" s="6" t="s">
        <v>692</v>
      </c>
      <c r="H286" s="6"/>
      <c r="I286" s="6"/>
      <c r="J286" s="6"/>
      <c r="K286" s="7" t="s">
        <v>7516</v>
      </c>
      <c r="L286" s="8">
        <v>3950672</v>
      </c>
      <c r="M286" s="8" t="str">
        <f t="shared" si="25"/>
        <v>PEN</v>
      </c>
      <c r="N286" s="13"/>
      <c r="O286" s="13">
        <v>350</v>
      </c>
      <c r="P286" s="3">
        <f t="shared" si="26"/>
        <v>0</v>
      </c>
      <c r="Q286" s="3">
        <f t="shared" si="27"/>
        <v>350</v>
      </c>
      <c r="R286" s="3">
        <f t="shared" si="23"/>
        <v>2936.85</v>
      </c>
      <c r="S286" s="24" t="s">
        <v>1334</v>
      </c>
      <c r="T286" s="24" t="s">
        <v>1334</v>
      </c>
      <c r="U286" s="55"/>
      <c r="V286" s="25"/>
      <c r="W286" s="25"/>
      <c r="X286" s="25"/>
      <c r="Y286" s="25"/>
      <c r="Z286" s="25"/>
      <c r="AA286" s="3" t="str">
        <f>IF(Caja_Operativa[[#This Row],[FECHA]]&gt;0,TEXT(Caja_Operativa[[#This Row],[FECHA]],"mmmm"),0)</f>
        <v>Mayo</v>
      </c>
    </row>
    <row r="287" spans="1:27" ht="24" x14ac:dyDescent="0.3">
      <c r="A287" s="2">
        <f>IF(Caja_Operativa[[#This Row],[TIPO DE R.]]="R",COUNTIFS($C$1:$C286,"R")+1,"")</f>
        <v>286</v>
      </c>
      <c r="B287" s="19" t="str">
        <f t="shared" si="24"/>
        <v>C-Operativa</v>
      </c>
      <c r="C287" s="3" t="s">
        <v>1330</v>
      </c>
      <c r="D287" s="14">
        <v>45812</v>
      </c>
      <c r="E287" s="5" t="s">
        <v>7514</v>
      </c>
      <c r="F287" s="5" t="s">
        <v>1336</v>
      </c>
      <c r="G287" s="6" t="s">
        <v>922</v>
      </c>
      <c r="H287" s="6"/>
      <c r="I287" s="6"/>
      <c r="J287" s="6"/>
      <c r="K287" s="7" t="s">
        <v>7537</v>
      </c>
      <c r="L287" s="8">
        <v>625279</v>
      </c>
      <c r="M287" s="8" t="str">
        <f t="shared" si="25"/>
        <v>PEN</v>
      </c>
      <c r="N287" s="13"/>
      <c r="O287" s="13">
        <v>130</v>
      </c>
      <c r="P287" s="3">
        <f t="shared" si="26"/>
        <v>0</v>
      </c>
      <c r="Q287" s="3">
        <f t="shared" si="27"/>
        <v>130</v>
      </c>
      <c r="R287" s="3">
        <f t="shared" si="23"/>
        <v>2806.85</v>
      </c>
      <c r="S287" s="24" t="s">
        <v>1334</v>
      </c>
      <c r="T287" s="24" t="s">
        <v>1334</v>
      </c>
      <c r="U287" s="55"/>
      <c r="V287" s="25"/>
      <c r="W287" s="25"/>
      <c r="X287" s="25"/>
      <c r="Y287" s="25"/>
      <c r="Z287" s="25"/>
      <c r="AA287" s="3" t="str">
        <f>IF(Caja_Operativa[[#This Row],[FECHA]]&gt;0,TEXT(Caja_Operativa[[#This Row],[FECHA]],"mmmm"),0)</f>
        <v>Junio</v>
      </c>
    </row>
    <row r="288" spans="1:27" ht="24" x14ac:dyDescent="0.3">
      <c r="A288" s="2">
        <f>IF(Caja_Operativa[[#This Row],[TIPO DE R.]]="R",COUNTIFS($C$1:$C287,"R")+1,"")</f>
        <v>287</v>
      </c>
      <c r="B288" s="19" t="str">
        <f t="shared" si="24"/>
        <v>C-Operativa</v>
      </c>
      <c r="C288" s="3" t="s">
        <v>1330</v>
      </c>
      <c r="D288" s="14">
        <v>45812</v>
      </c>
      <c r="E288" s="5" t="s">
        <v>7514</v>
      </c>
      <c r="F288" s="5" t="s">
        <v>1336</v>
      </c>
      <c r="G288" s="6" t="s">
        <v>888</v>
      </c>
      <c r="H288" s="6"/>
      <c r="I288" s="6"/>
      <c r="J288" s="6"/>
      <c r="K288" s="7" t="s">
        <v>7566</v>
      </c>
      <c r="L288" s="8">
        <v>781313</v>
      </c>
      <c r="M288" s="8" t="str">
        <f t="shared" si="25"/>
        <v>PEN</v>
      </c>
      <c r="N288" s="13"/>
      <c r="O288" s="13">
        <v>500</v>
      </c>
      <c r="P288" s="3">
        <f t="shared" si="26"/>
        <v>0</v>
      </c>
      <c r="Q288" s="3">
        <f t="shared" si="27"/>
        <v>500</v>
      </c>
      <c r="R288" s="3">
        <f t="shared" si="23"/>
        <v>2306.85</v>
      </c>
      <c r="S288" s="24" t="s">
        <v>1334</v>
      </c>
      <c r="T288" s="24" t="s">
        <v>1334</v>
      </c>
      <c r="U288" s="55"/>
      <c r="V288" s="25"/>
      <c r="W288" s="25"/>
      <c r="X288" s="25"/>
      <c r="Y288" s="25"/>
      <c r="Z288" s="25"/>
      <c r="AA288" s="3" t="str">
        <f>IF(Caja_Operativa[[#This Row],[FECHA]]&gt;0,TEXT(Caja_Operativa[[#This Row],[FECHA]],"mmmm"),0)</f>
        <v>Junio</v>
      </c>
    </row>
    <row r="289" spans="1:27" ht="24" x14ac:dyDescent="0.3">
      <c r="A289" s="2">
        <f>IF(Caja_Operativa[[#This Row],[TIPO DE R.]]="R",COUNTIFS($C$1:$C288,"R")+1,"")</f>
        <v>288</v>
      </c>
      <c r="B289" s="19" t="str">
        <f t="shared" si="24"/>
        <v>C-Operativa</v>
      </c>
      <c r="C289" s="3" t="s">
        <v>1330</v>
      </c>
      <c r="D289" s="14">
        <v>45817</v>
      </c>
      <c r="E289" s="5" t="s">
        <v>7514</v>
      </c>
      <c r="F289" s="5" t="s">
        <v>1336</v>
      </c>
      <c r="G289" s="6" t="s">
        <v>888</v>
      </c>
      <c r="H289" s="6"/>
      <c r="I289" s="6"/>
      <c r="J289" s="6"/>
      <c r="K289" s="7" t="s">
        <v>7516</v>
      </c>
      <c r="L289" s="8">
        <v>2759398</v>
      </c>
      <c r="M289" s="8" t="str">
        <f t="shared" si="25"/>
        <v>PEN</v>
      </c>
      <c r="N289" s="13"/>
      <c r="O289" s="13">
        <v>60</v>
      </c>
      <c r="P289" s="3">
        <f t="shared" si="26"/>
        <v>0</v>
      </c>
      <c r="Q289" s="3">
        <f t="shared" si="27"/>
        <v>60</v>
      </c>
      <c r="R289" s="3">
        <f t="shared" si="23"/>
        <v>2246.85</v>
      </c>
      <c r="S289" s="24" t="s">
        <v>1334</v>
      </c>
      <c r="T289" s="24" t="s">
        <v>1334</v>
      </c>
      <c r="U289" s="55"/>
      <c r="V289" s="25"/>
      <c r="W289" s="25"/>
      <c r="X289" s="25"/>
      <c r="Y289" s="25"/>
      <c r="Z289" s="25"/>
      <c r="AA289" s="3" t="str">
        <f>IF(Caja_Operativa[[#This Row],[FECHA]]&gt;0,TEXT(Caja_Operativa[[#This Row],[FECHA]],"mmmm"),0)</f>
        <v>Junio</v>
      </c>
    </row>
    <row r="290" spans="1:27" ht="24" x14ac:dyDescent="0.3">
      <c r="A290" s="2">
        <f>IF(Caja_Operativa[[#This Row],[TIPO DE R.]]="R",COUNTIFS($C$1:$C289,"R")+1,"")</f>
        <v>289</v>
      </c>
      <c r="B290" s="19" t="str">
        <f t="shared" si="24"/>
        <v>C-Operativa</v>
      </c>
      <c r="C290" s="3" t="s">
        <v>1330</v>
      </c>
      <c r="D290" s="14">
        <v>45817</v>
      </c>
      <c r="E290" s="5" t="s">
        <v>7514</v>
      </c>
      <c r="F290" s="5" t="s">
        <v>1336</v>
      </c>
      <c r="G290" s="6" t="s">
        <v>922</v>
      </c>
      <c r="H290" s="6"/>
      <c r="I290" s="6"/>
      <c r="J290" s="6"/>
      <c r="K290" s="7" t="s">
        <v>7537</v>
      </c>
      <c r="L290" s="8">
        <v>2791903</v>
      </c>
      <c r="M290" s="8" t="str">
        <f t="shared" si="25"/>
        <v>PEN</v>
      </c>
      <c r="N290" s="13"/>
      <c r="O290" s="13">
        <v>70</v>
      </c>
      <c r="P290" s="3">
        <f t="shared" si="26"/>
        <v>0</v>
      </c>
      <c r="Q290" s="3">
        <f t="shared" si="27"/>
        <v>70</v>
      </c>
      <c r="R290" s="3">
        <f t="shared" si="23"/>
        <v>2176.85</v>
      </c>
      <c r="S290" s="24" t="s">
        <v>1334</v>
      </c>
      <c r="T290" s="24" t="s">
        <v>1334</v>
      </c>
      <c r="U290" s="55"/>
      <c r="V290" s="25"/>
      <c r="W290" s="25"/>
      <c r="X290" s="25"/>
      <c r="Y290" s="25"/>
      <c r="Z290" s="25"/>
      <c r="AA290" s="3" t="str">
        <f>IF(Caja_Operativa[[#This Row],[FECHA]]&gt;0,TEXT(Caja_Operativa[[#This Row],[FECHA]],"mmmm"),0)</f>
        <v>Junio</v>
      </c>
    </row>
    <row r="291" spans="1:27" ht="24" x14ac:dyDescent="0.3">
      <c r="A291" s="2">
        <f>IF(Caja_Operativa[[#This Row],[TIPO DE R.]]="R",COUNTIFS($C$1:$C290,"R")+1,"")</f>
        <v>290</v>
      </c>
      <c r="B291" s="19" t="str">
        <f t="shared" si="24"/>
        <v>C-Operativa</v>
      </c>
      <c r="C291" s="3" t="s">
        <v>1330</v>
      </c>
      <c r="D291" s="14">
        <v>45817</v>
      </c>
      <c r="E291" s="5" t="s">
        <v>7514</v>
      </c>
      <c r="F291" s="5" t="s">
        <v>1336</v>
      </c>
      <c r="G291" s="6" t="s">
        <v>1019</v>
      </c>
      <c r="H291" s="6"/>
      <c r="I291" s="6"/>
      <c r="J291" s="6"/>
      <c r="K291" s="7" t="s">
        <v>7516</v>
      </c>
      <c r="L291" s="8">
        <v>2832212</v>
      </c>
      <c r="M291" s="8" t="str">
        <f t="shared" si="25"/>
        <v>PEN</v>
      </c>
      <c r="N291" s="13"/>
      <c r="O291" s="13">
        <v>40</v>
      </c>
      <c r="P291" s="3">
        <f t="shared" si="26"/>
        <v>0</v>
      </c>
      <c r="Q291" s="3">
        <f t="shared" si="27"/>
        <v>40</v>
      </c>
      <c r="R291" s="3">
        <f t="shared" si="23"/>
        <v>2136.85</v>
      </c>
      <c r="S291" s="24" t="s">
        <v>1334</v>
      </c>
      <c r="T291" s="24" t="s">
        <v>1334</v>
      </c>
      <c r="U291" s="55"/>
      <c r="V291" s="25"/>
      <c r="W291" s="25"/>
      <c r="X291" s="25"/>
      <c r="Y291" s="25"/>
      <c r="Z291" s="25"/>
      <c r="AA291" s="3" t="str">
        <f>IF(Caja_Operativa[[#This Row],[FECHA]]&gt;0,TEXT(Caja_Operativa[[#This Row],[FECHA]],"mmmm"),0)</f>
        <v>Junio</v>
      </c>
    </row>
    <row r="292" spans="1:27" ht="60" x14ac:dyDescent="0.3">
      <c r="A292" s="2">
        <f>IF(Caja_Operativa[[#This Row],[TIPO DE R.]]="R",COUNTIFS($C$1:$C291,"R")+1,"")</f>
        <v>291</v>
      </c>
      <c r="B292" s="19" t="str">
        <f t="shared" si="24"/>
        <v>C-Operativa</v>
      </c>
      <c r="C292" s="3" t="s">
        <v>1330</v>
      </c>
      <c r="D292" s="14">
        <v>45817</v>
      </c>
      <c r="E292" s="5" t="s">
        <v>7514</v>
      </c>
      <c r="F292" s="5" t="s">
        <v>1336</v>
      </c>
      <c r="G292" s="6"/>
      <c r="H292" s="6"/>
      <c r="I292" s="6"/>
      <c r="J292" s="6"/>
      <c r="K292" s="7" t="s">
        <v>7674</v>
      </c>
      <c r="L292" s="8">
        <v>2807506</v>
      </c>
      <c r="M292" s="8" t="str">
        <f t="shared" si="25"/>
        <v>PEN</v>
      </c>
      <c r="N292" s="13"/>
      <c r="O292" s="13">
        <v>15</v>
      </c>
      <c r="P292" s="3">
        <f t="shared" si="26"/>
        <v>0</v>
      </c>
      <c r="Q292" s="3">
        <f t="shared" si="27"/>
        <v>15</v>
      </c>
      <c r="R292" s="3">
        <f t="shared" si="23"/>
        <v>2121.85</v>
      </c>
      <c r="S292" s="24"/>
      <c r="T292" s="24"/>
      <c r="U292" s="55"/>
      <c r="V292" s="25" t="s">
        <v>7519</v>
      </c>
      <c r="W292" s="25"/>
      <c r="X292" s="25"/>
      <c r="Y292" s="25"/>
      <c r="Z292" s="25"/>
      <c r="AA292" s="3" t="str">
        <f>IF(Caja_Operativa[[#This Row],[FECHA]]&gt;0,TEXT(Caja_Operativa[[#This Row],[FECHA]],"mmmm"),0)</f>
        <v>Junio</v>
      </c>
    </row>
    <row r="293" spans="1:27" ht="60" x14ac:dyDescent="0.3">
      <c r="A293" s="2">
        <f>IF(Caja_Operativa[[#This Row],[TIPO DE R.]]="R",COUNTIFS($C$1:$C292,"R")+1,"")</f>
        <v>292</v>
      </c>
      <c r="B293" s="19" t="str">
        <f t="shared" si="24"/>
        <v>C-Operativa</v>
      </c>
      <c r="C293" s="3" t="s">
        <v>1330</v>
      </c>
      <c r="D293" s="14">
        <v>45817</v>
      </c>
      <c r="E293" s="5" t="s">
        <v>7514</v>
      </c>
      <c r="F293" s="5" t="s">
        <v>1336</v>
      </c>
      <c r="G293" s="6"/>
      <c r="H293" s="6"/>
      <c r="I293" s="6"/>
      <c r="J293" s="6"/>
      <c r="K293" s="7" t="s">
        <v>7675</v>
      </c>
      <c r="L293" s="8">
        <v>2836317</v>
      </c>
      <c r="M293" s="8" t="str">
        <f t="shared" si="25"/>
        <v>PEN</v>
      </c>
      <c r="N293" s="13"/>
      <c r="O293" s="13">
        <v>8</v>
      </c>
      <c r="P293" s="3">
        <f t="shared" si="26"/>
        <v>0</v>
      </c>
      <c r="Q293" s="3">
        <f t="shared" si="27"/>
        <v>8</v>
      </c>
      <c r="R293" s="3">
        <f t="shared" si="23"/>
        <v>2113.85</v>
      </c>
      <c r="S293" s="24"/>
      <c r="T293" s="24"/>
      <c r="U293" s="55"/>
      <c r="V293" s="25" t="s">
        <v>7519</v>
      </c>
      <c r="W293" s="25"/>
      <c r="X293" s="25"/>
      <c r="Y293" s="25"/>
      <c r="Z293" s="25"/>
      <c r="AA293" s="3" t="str">
        <f>IF(Caja_Operativa[[#This Row],[FECHA]]&gt;0,TEXT(Caja_Operativa[[#This Row],[FECHA]],"mmmm"),0)</f>
        <v>Junio</v>
      </c>
    </row>
    <row r="294" spans="1:27" ht="60" x14ac:dyDescent="0.3">
      <c r="A294" s="2">
        <f>IF(Caja_Operativa[[#This Row],[TIPO DE R.]]="R",COUNTIFS($C$1:$C293,"R")+1,"")</f>
        <v>293</v>
      </c>
      <c r="B294" s="19" t="str">
        <f t="shared" si="24"/>
        <v>C-Operativa</v>
      </c>
      <c r="C294" s="3" t="s">
        <v>1330</v>
      </c>
      <c r="D294" s="14">
        <v>45817</v>
      </c>
      <c r="E294" s="5" t="s">
        <v>7514</v>
      </c>
      <c r="F294" s="5" t="s">
        <v>1336</v>
      </c>
      <c r="G294" s="6"/>
      <c r="H294" s="6"/>
      <c r="I294" s="6"/>
      <c r="J294" s="6"/>
      <c r="K294" s="7" t="s">
        <v>7676</v>
      </c>
      <c r="L294" s="8">
        <v>2836954</v>
      </c>
      <c r="M294" s="8" t="str">
        <f t="shared" si="25"/>
        <v>PEN</v>
      </c>
      <c r="N294" s="13"/>
      <c r="O294" s="13">
        <v>8</v>
      </c>
      <c r="P294" s="3">
        <f t="shared" si="26"/>
        <v>0</v>
      </c>
      <c r="Q294" s="3">
        <f t="shared" si="27"/>
        <v>8</v>
      </c>
      <c r="R294" s="3">
        <f t="shared" si="23"/>
        <v>2105.85</v>
      </c>
      <c r="S294" s="24"/>
      <c r="T294" s="24"/>
      <c r="U294" s="55"/>
      <c r="V294" s="25" t="s">
        <v>7519</v>
      </c>
      <c r="W294" s="25"/>
      <c r="X294" s="25"/>
      <c r="Y294" s="25"/>
      <c r="Z294" s="25"/>
      <c r="AA294" s="3" t="str">
        <f>IF(Caja_Operativa[[#This Row],[FECHA]]&gt;0,TEXT(Caja_Operativa[[#This Row],[FECHA]],"mmmm"),0)</f>
        <v>Junio</v>
      </c>
    </row>
    <row r="295" spans="1:27" ht="60" x14ac:dyDescent="0.3">
      <c r="A295" s="2">
        <f>IF(Caja_Operativa[[#This Row],[TIPO DE R.]]="R",COUNTIFS($C$1:$C294,"R")+1,"")</f>
        <v>294</v>
      </c>
      <c r="B295" s="19" t="str">
        <f t="shared" si="24"/>
        <v>C-Operativa</v>
      </c>
      <c r="C295" s="3" t="s">
        <v>1330</v>
      </c>
      <c r="D295" s="14">
        <v>45817</v>
      </c>
      <c r="E295" s="5" t="s">
        <v>7514</v>
      </c>
      <c r="F295" s="5" t="s">
        <v>1336</v>
      </c>
      <c r="G295" s="6"/>
      <c r="H295" s="6"/>
      <c r="I295" s="6"/>
      <c r="J295" s="6"/>
      <c r="K295" s="7" t="s">
        <v>7677</v>
      </c>
      <c r="L295" s="8">
        <v>2862596</v>
      </c>
      <c r="M295" s="8" t="str">
        <f t="shared" si="25"/>
        <v>PEN</v>
      </c>
      <c r="N295" s="13"/>
      <c r="O295" s="13">
        <v>8</v>
      </c>
      <c r="P295" s="3">
        <f t="shared" si="26"/>
        <v>0</v>
      </c>
      <c r="Q295" s="3">
        <f t="shared" si="27"/>
        <v>8</v>
      </c>
      <c r="R295" s="3">
        <f t="shared" si="23"/>
        <v>2097.85</v>
      </c>
      <c r="S295" s="24"/>
      <c r="T295" s="24"/>
      <c r="U295" s="55"/>
      <c r="V295" s="25" t="s">
        <v>7519</v>
      </c>
      <c r="W295" s="25"/>
      <c r="X295" s="25"/>
      <c r="Y295" s="25"/>
      <c r="Z295" s="25"/>
      <c r="AA295" s="3" t="str">
        <f>IF(Caja_Operativa[[#This Row],[FECHA]]&gt;0,TEXT(Caja_Operativa[[#This Row],[FECHA]],"mmmm"),0)</f>
        <v>Junio</v>
      </c>
    </row>
    <row r="296" spans="1:27" ht="60" x14ac:dyDescent="0.3">
      <c r="A296" s="2">
        <f>IF(Caja_Operativa[[#This Row],[TIPO DE R.]]="R",COUNTIFS($C$1:$C295,"R")+1,"")</f>
        <v>295</v>
      </c>
      <c r="B296" s="19" t="str">
        <f t="shared" si="24"/>
        <v>C-Operativa</v>
      </c>
      <c r="C296" s="3" t="s">
        <v>1330</v>
      </c>
      <c r="D296" s="14">
        <v>45817</v>
      </c>
      <c r="E296" s="5" t="s">
        <v>7514</v>
      </c>
      <c r="F296" s="5" t="s">
        <v>1336</v>
      </c>
      <c r="G296" s="6"/>
      <c r="H296" s="6"/>
      <c r="I296" s="6"/>
      <c r="J296" s="6"/>
      <c r="K296" s="7" t="s">
        <v>7678</v>
      </c>
      <c r="L296" s="8">
        <v>2874612</v>
      </c>
      <c r="M296" s="8" t="str">
        <f t="shared" si="25"/>
        <v>PEN</v>
      </c>
      <c r="N296" s="13"/>
      <c r="O296" s="13">
        <v>10</v>
      </c>
      <c r="P296" s="3">
        <f t="shared" si="26"/>
        <v>0</v>
      </c>
      <c r="Q296" s="3">
        <f t="shared" si="27"/>
        <v>10</v>
      </c>
      <c r="R296" s="3">
        <f t="shared" si="23"/>
        <v>2087.85</v>
      </c>
      <c r="S296" s="24"/>
      <c r="T296" s="24"/>
      <c r="U296" s="55"/>
      <c r="V296" s="25" t="s">
        <v>7519</v>
      </c>
      <c r="W296" s="25"/>
      <c r="X296" s="25"/>
      <c r="Y296" s="25"/>
      <c r="Z296" s="25"/>
      <c r="AA296" s="3" t="str">
        <f>IF(Caja_Operativa[[#This Row],[FECHA]]&gt;0,TEXT(Caja_Operativa[[#This Row],[FECHA]],"mmmm"),0)</f>
        <v>Junio</v>
      </c>
    </row>
    <row r="297" spans="1:27" ht="72" x14ac:dyDescent="0.3">
      <c r="A297" s="2">
        <f>IF(Caja_Operativa[[#This Row],[TIPO DE R.]]="R",COUNTIFS($C$1:$C296,"R")+1,"")</f>
        <v>296</v>
      </c>
      <c r="B297" s="19" t="str">
        <f t="shared" si="24"/>
        <v>C-Operativa</v>
      </c>
      <c r="C297" s="3" t="s">
        <v>1330</v>
      </c>
      <c r="D297" s="14">
        <v>45817</v>
      </c>
      <c r="E297" s="5" t="s">
        <v>7514</v>
      </c>
      <c r="F297" s="5" t="s">
        <v>1336</v>
      </c>
      <c r="G297" s="6"/>
      <c r="H297" s="6"/>
      <c r="I297" s="6"/>
      <c r="J297" s="6"/>
      <c r="K297" s="7" t="s">
        <v>7679</v>
      </c>
      <c r="L297" s="8">
        <v>2861107</v>
      </c>
      <c r="M297" s="8" t="str">
        <f t="shared" si="25"/>
        <v>PEN</v>
      </c>
      <c r="N297" s="13"/>
      <c r="O297" s="13">
        <v>8</v>
      </c>
      <c r="P297" s="3">
        <f t="shared" si="26"/>
        <v>0</v>
      </c>
      <c r="Q297" s="3">
        <f t="shared" si="27"/>
        <v>8</v>
      </c>
      <c r="R297" s="3">
        <f t="shared" si="23"/>
        <v>2079.85</v>
      </c>
      <c r="S297" s="24"/>
      <c r="T297" s="24"/>
      <c r="U297" s="55"/>
      <c r="V297" s="25" t="s">
        <v>7519</v>
      </c>
      <c r="W297" s="25"/>
      <c r="X297" s="25"/>
      <c r="Y297" s="25"/>
      <c r="Z297" s="25"/>
      <c r="AA297" s="3" t="str">
        <f>IF(Caja_Operativa[[#This Row],[FECHA]]&gt;0,TEXT(Caja_Operativa[[#This Row],[FECHA]],"mmmm"),0)</f>
        <v>Junio</v>
      </c>
    </row>
    <row r="298" spans="1:27" ht="60" x14ac:dyDescent="0.3">
      <c r="A298" s="2">
        <f>IF(Caja_Operativa[[#This Row],[TIPO DE R.]]="R",COUNTIFS($C$1:$C297,"R")+1,"")</f>
        <v>297</v>
      </c>
      <c r="B298" s="19" t="str">
        <f t="shared" si="24"/>
        <v>C-Operativa</v>
      </c>
      <c r="C298" s="3" t="s">
        <v>1330</v>
      </c>
      <c r="D298" s="14">
        <v>45817</v>
      </c>
      <c r="E298" s="5" t="s">
        <v>7514</v>
      </c>
      <c r="F298" s="5" t="s">
        <v>1336</v>
      </c>
      <c r="G298" s="6"/>
      <c r="H298" s="6"/>
      <c r="I298" s="6"/>
      <c r="J298" s="6"/>
      <c r="K298" s="7" t="s">
        <v>7680</v>
      </c>
      <c r="L298" s="8">
        <v>2843689</v>
      </c>
      <c r="M298" s="8" t="str">
        <f t="shared" si="25"/>
        <v>PEN</v>
      </c>
      <c r="N298" s="13"/>
      <c r="O298" s="13">
        <v>10</v>
      </c>
      <c r="P298" s="3">
        <f t="shared" si="26"/>
        <v>0</v>
      </c>
      <c r="Q298" s="3">
        <f t="shared" si="27"/>
        <v>10</v>
      </c>
      <c r="R298" s="3">
        <f t="shared" si="23"/>
        <v>2069.85</v>
      </c>
      <c r="S298" s="24"/>
      <c r="T298" s="24"/>
      <c r="U298" s="55"/>
      <c r="V298" s="25" t="s">
        <v>7519</v>
      </c>
      <c r="W298" s="25"/>
      <c r="X298" s="25"/>
      <c r="Y298" s="25"/>
      <c r="Z298" s="25"/>
      <c r="AA298" s="3" t="str">
        <f>IF(Caja_Operativa[[#This Row],[FECHA]]&gt;0,TEXT(Caja_Operativa[[#This Row],[FECHA]],"mmmm"),0)</f>
        <v>Junio</v>
      </c>
    </row>
    <row r="299" spans="1:27" ht="60" x14ac:dyDescent="0.3">
      <c r="A299" s="2">
        <f>IF(Caja_Operativa[[#This Row],[TIPO DE R.]]="R",COUNTIFS($C$1:$C298,"R")+1,"")</f>
        <v>298</v>
      </c>
      <c r="B299" s="19" t="str">
        <f t="shared" si="24"/>
        <v>C-Operativa</v>
      </c>
      <c r="C299" s="3" t="s">
        <v>1330</v>
      </c>
      <c r="D299" s="14">
        <v>45817</v>
      </c>
      <c r="E299" s="5" t="s">
        <v>7514</v>
      </c>
      <c r="F299" s="5" t="s">
        <v>1336</v>
      </c>
      <c r="G299" s="6"/>
      <c r="H299" s="6"/>
      <c r="I299" s="6"/>
      <c r="J299" s="6"/>
      <c r="K299" s="7" t="s">
        <v>7681</v>
      </c>
      <c r="L299" s="8">
        <v>2883904</v>
      </c>
      <c r="M299" s="8" t="str">
        <f t="shared" si="25"/>
        <v>PEN</v>
      </c>
      <c r="N299" s="13"/>
      <c r="O299" s="13">
        <v>10</v>
      </c>
      <c r="P299" s="3">
        <f t="shared" si="26"/>
        <v>0</v>
      </c>
      <c r="Q299" s="3">
        <f t="shared" si="27"/>
        <v>10</v>
      </c>
      <c r="R299" s="3">
        <f t="shared" si="23"/>
        <v>2059.85</v>
      </c>
      <c r="S299" s="24"/>
      <c r="T299" s="24"/>
      <c r="U299" s="55"/>
      <c r="V299" s="25" t="s">
        <v>7519</v>
      </c>
      <c r="W299" s="25"/>
      <c r="X299" s="25"/>
      <c r="Y299" s="25"/>
      <c r="Z299" s="25"/>
      <c r="AA299" s="3" t="str">
        <f>IF(Caja_Operativa[[#This Row],[FECHA]]&gt;0,TEXT(Caja_Operativa[[#This Row],[FECHA]],"mmmm"),0)</f>
        <v>Junio</v>
      </c>
    </row>
    <row r="300" spans="1:27" ht="60" x14ac:dyDescent="0.3">
      <c r="A300" s="2">
        <f>IF(Caja_Operativa[[#This Row],[TIPO DE R.]]="R",COUNTIFS($C$1:$C299,"R")+1,"")</f>
        <v>299</v>
      </c>
      <c r="B300" s="19" t="str">
        <f t="shared" si="24"/>
        <v>C-Operativa</v>
      </c>
      <c r="C300" s="3" t="s">
        <v>1330</v>
      </c>
      <c r="D300" s="14">
        <v>45817</v>
      </c>
      <c r="E300" s="5" t="s">
        <v>7514</v>
      </c>
      <c r="F300" s="5" t="s">
        <v>1336</v>
      </c>
      <c r="G300" s="6"/>
      <c r="H300" s="6"/>
      <c r="I300" s="6"/>
      <c r="J300" s="6"/>
      <c r="K300" s="7" t="s">
        <v>7682</v>
      </c>
      <c r="L300" s="8">
        <v>2873829</v>
      </c>
      <c r="M300" s="8" t="str">
        <f t="shared" si="25"/>
        <v>PEN</v>
      </c>
      <c r="N300" s="13"/>
      <c r="O300" s="13">
        <v>8</v>
      </c>
      <c r="P300" s="3">
        <f t="shared" si="26"/>
        <v>0</v>
      </c>
      <c r="Q300" s="3">
        <f t="shared" si="27"/>
        <v>8</v>
      </c>
      <c r="R300" s="3">
        <f t="shared" si="23"/>
        <v>2051.85</v>
      </c>
      <c r="S300" s="24"/>
      <c r="T300" s="24"/>
      <c r="U300" s="55"/>
      <c r="V300" s="25" t="s">
        <v>7519</v>
      </c>
      <c r="W300" s="25"/>
      <c r="X300" s="25"/>
      <c r="Y300" s="25"/>
      <c r="Z300" s="25"/>
      <c r="AA300" s="3" t="str">
        <f>IF(Caja_Operativa[[#This Row],[FECHA]]&gt;0,TEXT(Caja_Operativa[[#This Row],[FECHA]],"mmmm"),0)</f>
        <v>Junio</v>
      </c>
    </row>
    <row r="301" spans="1:27" ht="60" x14ac:dyDescent="0.3">
      <c r="A301" s="2">
        <f>IF(Caja_Operativa[[#This Row],[TIPO DE R.]]="R",COUNTIFS($C$1:$C300,"R")+1,"")</f>
        <v>300</v>
      </c>
      <c r="B301" s="19" t="str">
        <f t="shared" si="24"/>
        <v>C-Operativa</v>
      </c>
      <c r="C301" s="3" t="s">
        <v>1330</v>
      </c>
      <c r="D301" s="14">
        <v>45817</v>
      </c>
      <c r="E301" s="5" t="s">
        <v>7514</v>
      </c>
      <c r="F301" s="5" t="s">
        <v>1336</v>
      </c>
      <c r="G301" s="6"/>
      <c r="H301" s="6"/>
      <c r="I301" s="6"/>
      <c r="J301" s="6"/>
      <c r="K301" s="7" t="s">
        <v>7683</v>
      </c>
      <c r="L301" s="8">
        <v>2882149</v>
      </c>
      <c r="M301" s="8" t="str">
        <f t="shared" si="25"/>
        <v>PEN</v>
      </c>
      <c r="N301" s="13"/>
      <c r="O301" s="13">
        <v>10</v>
      </c>
      <c r="P301" s="3">
        <f t="shared" si="26"/>
        <v>0</v>
      </c>
      <c r="Q301" s="3">
        <f t="shared" si="27"/>
        <v>10</v>
      </c>
      <c r="R301" s="3">
        <f t="shared" si="23"/>
        <v>2041.85</v>
      </c>
      <c r="S301" s="24"/>
      <c r="T301" s="24"/>
      <c r="U301" s="55"/>
      <c r="V301" s="25" t="s">
        <v>7519</v>
      </c>
      <c r="W301" s="25"/>
      <c r="X301" s="25"/>
      <c r="Y301" s="25"/>
      <c r="Z301" s="25"/>
      <c r="AA301" s="3" t="str">
        <f>IF(Caja_Operativa[[#This Row],[FECHA]]&gt;0,TEXT(Caja_Operativa[[#This Row],[FECHA]],"mmmm"),0)</f>
        <v>Junio</v>
      </c>
    </row>
    <row r="302" spans="1:27" ht="60" x14ac:dyDescent="0.3">
      <c r="A302" s="2">
        <f>IF(Caja_Operativa[[#This Row],[TIPO DE R.]]="R",COUNTIFS($C$1:$C301,"R")+1,"")</f>
        <v>301</v>
      </c>
      <c r="B302" s="19" t="str">
        <f t="shared" si="24"/>
        <v>C-Operativa</v>
      </c>
      <c r="C302" s="3" t="s">
        <v>1330</v>
      </c>
      <c r="D302" s="14">
        <v>45817</v>
      </c>
      <c r="E302" s="5" t="s">
        <v>7514</v>
      </c>
      <c r="F302" s="5" t="s">
        <v>1336</v>
      </c>
      <c r="G302" s="6"/>
      <c r="H302" s="6"/>
      <c r="I302" s="6"/>
      <c r="J302" s="6"/>
      <c r="K302" s="7" t="s">
        <v>7684</v>
      </c>
      <c r="L302" s="8">
        <v>2916568</v>
      </c>
      <c r="M302" s="8" t="str">
        <f t="shared" si="25"/>
        <v>PEN</v>
      </c>
      <c r="N302" s="13"/>
      <c r="O302" s="13">
        <v>10</v>
      </c>
      <c r="P302" s="3">
        <f t="shared" si="26"/>
        <v>0</v>
      </c>
      <c r="Q302" s="3">
        <f t="shared" si="27"/>
        <v>10</v>
      </c>
      <c r="R302" s="3">
        <f t="shared" si="23"/>
        <v>2031.85</v>
      </c>
      <c r="S302" s="24"/>
      <c r="T302" s="24"/>
      <c r="U302" s="55"/>
      <c r="V302" s="25" t="s">
        <v>7519</v>
      </c>
      <c r="W302" s="25"/>
      <c r="X302" s="25"/>
      <c r="Y302" s="25"/>
      <c r="Z302" s="25"/>
      <c r="AA302" s="3" t="str">
        <f>IF(Caja_Operativa[[#This Row],[FECHA]]&gt;0,TEXT(Caja_Operativa[[#This Row],[FECHA]],"mmmm"),0)</f>
        <v>Junio</v>
      </c>
    </row>
    <row r="303" spans="1:27" ht="60" x14ac:dyDescent="0.3">
      <c r="A303" s="2">
        <f>IF(Caja_Operativa[[#This Row],[TIPO DE R.]]="R",COUNTIFS($C$1:$C302,"R")+1,"")</f>
        <v>302</v>
      </c>
      <c r="B303" s="19" t="str">
        <f t="shared" si="24"/>
        <v>C-Operativa</v>
      </c>
      <c r="C303" s="3" t="s">
        <v>1330</v>
      </c>
      <c r="D303" s="14">
        <v>45817</v>
      </c>
      <c r="E303" s="5" t="s">
        <v>7514</v>
      </c>
      <c r="F303" s="5" t="s">
        <v>1336</v>
      </c>
      <c r="G303" s="6"/>
      <c r="H303" s="6"/>
      <c r="I303" s="6"/>
      <c r="J303" s="6"/>
      <c r="K303" s="7" t="s">
        <v>7685</v>
      </c>
      <c r="L303" s="8">
        <v>2922962</v>
      </c>
      <c r="M303" s="8" t="str">
        <f t="shared" si="25"/>
        <v>PEN</v>
      </c>
      <c r="N303" s="13"/>
      <c r="O303" s="13">
        <v>8</v>
      </c>
      <c r="P303" s="3">
        <f t="shared" si="26"/>
        <v>0</v>
      </c>
      <c r="Q303" s="3">
        <f t="shared" si="27"/>
        <v>8</v>
      </c>
      <c r="R303" s="3">
        <f t="shared" si="23"/>
        <v>2023.85</v>
      </c>
      <c r="S303" s="24"/>
      <c r="T303" s="24"/>
      <c r="U303" s="55"/>
      <c r="V303" s="25" t="s">
        <v>7519</v>
      </c>
      <c r="W303" s="25"/>
      <c r="X303" s="25"/>
      <c r="Y303" s="25"/>
      <c r="Z303" s="25"/>
      <c r="AA303" s="3" t="str">
        <f>IF(Caja_Operativa[[#This Row],[FECHA]]&gt;0,TEXT(Caja_Operativa[[#This Row],[FECHA]],"mmmm"),0)</f>
        <v>Junio</v>
      </c>
    </row>
    <row r="304" spans="1:27" ht="60" x14ac:dyDescent="0.3">
      <c r="A304" s="2">
        <f>IF(Caja_Operativa[[#This Row],[TIPO DE R.]]="R",COUNTIFS($C$1:$C303,"R")+1,"")</f>
        <v>303</v>
      </c>
      <c r="B304" s="19" t="str">
        <f t="shared" si="24"/>
        <v>C-Operativa</v>
      </c>
      <c r="C304" s="3" t="s">
        <v>1330</v>
      </c>
      <c r="D304" s="14">
        <v>45817</v>
      </c>
      <c r="E304" s="5" t="s">
        <v>7514</v>
      </c>
      <c r="F304" s="5" t="s">
        <v>1336</v>
      </c>
      <c r="G304" s="6"/>
      <c r="H304" s="6"/>
      <c r="I304" s="6"/>
      <c r="J304" s="6"/>
      <c r="K304" s="7" t="s">
        <v>7686</v>
      </c>
      <c r="L304" s="8">
        <v>2923307</v>
      </c>
      <c r="M304" s="8" t="str">
        <f t="shared" si="25"/>
        <v>PEN</v>
      </c>
      <c r="N304" s="13"/>
      <c r="O304" s="13">
        <v>8</v>
      </c>
      <c r="P304" s="3">
        <f t="shared" si="26"/>
        <v>0</v>
      </c>
      <c r="Q304" s="3">
        <f t="shared" si="27"/>
        <v>8</v>
      </c>
      <c r="R304" s="3">
        <f t="shared" si="23"/>
        <v>2015.85</v>
      </c>
      <c r="S304" s="24"/>
      <c r="T304" s="24"/>
      <c r="U304" s="55"/>
      <c r="V304" s="25" t="s">
        <v>7519</v>
      </c>
      <c r="W304" s="25"/>
      <c r="X304" s="25"/>
      <c r="Y304" s="25"/>
      <c r="Z304" s="25"/>
      <c r="AA304" s="3" t="str">
        <f>IF(Caja_Operativa[[#This Row],[FECHA]]&gt;0,TEXT(Caja_Operativa[[#This Row],[FECHA]],"mmmm"),0)</f>
        <v>Junio</v>
      </c>
    </row>
    <row r="305" spans="1:27" ht="60" x14ac:dyDescent="0.3">
      <c r="A305" s="2">
        <f>IF(Caja_Operativa[[#This Row],[TIPO DE R.]]="R",COUNTIFS($C$1:$C304,"R")+1,"")</f>
        <v>304</v>
      </c>
      <c r="B305" s="19" t="str">
        <f t="shared" si="24"/>
        <v>C-Operativa</v>
      </c>
      <c r="C305" s="3" t="s">
        <v>1330</v>
      </c>
      <c r="D305" s="14">
        <v>45817</v>
      </c>
      <c r="E305" s="5" t="s">
        <v>7514</v>
      </c>
      <c r="F305" s="5" t="s">
        <v>1336</v>
      </c>
      <c r="G305" s="6"/>
      <c r="H305" s="6"/>
      <c r="I305" s="6"/>
      <c r="J305" s="6"/>
      <c r="K305" s="7" t="s">
        <v>7687</v>
      </c>
      <c r="L305" s="8">
        <v>2920683</v>
      </c>
      <c r="M305" s="8" t="str">
        <f t="shared" si="25"/>
        <v>PEN</v>
      </c>
      <c r="N305" s="13"/>
      <c r="O305" s="13">
        <v>8</v>
      </c>
      <c r="P305" s="3">
        <f t="shared" si="26"/>
        <v>0</v>
      </c>
      <c r="Q305" s="3">
        <f t="shared" si="27"/>
        <v>8</v>
      </c>
      <c r="R305" s="3">
        <f t="shared" si="23"/>
        <v>2007.85</v>
      </c>
      <c r="S305" s="24"/>
      <c r="T305" s="24"/>
      <c r="U305" s="55"/>
      <c r="V305" s="25" t="s">
        <v>7519</v>
      </c>
      <c r="W305" s="25"/>
      <c r="X305" s="25"/>
      <c r="Y305" s="25"/>
      <c r="Z305" s="25"/>
      <c r="AA305" s="3" t="str">
        <f>IF(Caja_Operativa[[#This Row],[FECHA]]&gt;0,TEXT(Caja_Operativa[[#This Row],[FECHA]],"mmmm"),0)</f>
        <v>Junio</v>
      </c>
    </row>
    <row r="306" spans="1:27" ht="60" x14ac:dyDescent="0.3">
      <c r="A306" s="2">
        <f>IF(Caja_Operativa[[#This Row],[TIPO DE R.]]="R",COUNTIFS($C$1:$C305,"R")+1,"")</f>
        <v>305</v>
      </c>
      <c r="B306" s="19" t="str">
        <f t="shared" si="24"/>
        <v>C-Operativa</v>
      </c>
      <c r="C306" s="3" t="s">
        <v>1330</v>
      </c>
      <c r="D306" s="14">
        <v>45817</v>
      </c>
      <c r="E306" s="5" t="s">
        <v>7514</v>
      </c>
      <c r="F306" s="5" t="s">
        <v>1336</v>
      </c>
      <c r="G306" s="6"/>
      <c r="H306" s="6"/>
      <c r="I306" s="6"/>
      <c r="J306" s="6"/>
      <c r="K306" s="7" t="s">
        <v>7688</v>
      </c>
      <c r="L306" s="8">
        <v>2906462</v>
      </c>
      <c r="M306" s="8" t="str">
        <f t="shared" si="25"/>
        <v>PEN</v>
      </c>
      <c r="N306" s="13"/>
      <c r="O306" s="13">
        <v>8</v>
      </c>
      <c r="P306" s="3">
        <f t="shared" si="26"/>
        <v>0</v>
      </c>
      <c r="Q306" s="3">
        <f t="shared" si="27"/>
        <v>8</v>
      </c>
      <c r="R306" s="3">
        <f t="shared" si="23"/>
        <v>1999.85</v>
      </c>
      <c r="S306" s="24"/>
      <c r="T306" s="24"/>
      <c r="U306" s="55"/>
      <c r="V306" s="25" t="s">
        <v>7519</v>
      </c>
      <c r="W306" s="25"/>
      <c r="X306" s="25"/>
      <c r="Y306" s="25"/>
      <c r="Z306" s="25"/>
      <c r="AA306" s="3" t="str">
        <f>IF(Caja_Operativa[[#This Row],[FECHA]]&gt;0,TEXT(Caja_Operativa[[#This Row],[FECHA]],"mmmm"),0)</f>
        <v>Junio</v>
      </c>
    </row>
    <row r="307" spans="1:27" ht="60" x14ac:dyDescent="0.3">
      <c r="A307" s="2">
        <f>IF(Caja_Operativa[[#This Row],[TIPO DE R.]]="R",COUNTIFS($C$1:$C306,"R")+1,"")</f>
        <v>306</v>
      </c>
      <c r="B307" s="19" t="str">
        <f t="shared" si="24"/>
        <v>C-Operativa</v>
      </c>
      <c r="C307" s="3" t="s">
        <v>1330</v>
      </c>
      <c r="D307" s="14">
        <v>45817</v>
      </c>
      <c r="E307" s="5" t="s">
        <v>7514</v>
      </c>
      <c r="F307" s="5" t="s">
        <v>1336</v>
      </c>
      <c r="G307" s="6"/>
      <c r="H307" s="6"/>
      <c r="I307" s="6"/>
      <c r="J307" s="6"/>
      <c r="K307" s="7" t="s">
        <v>7689</v>
      </c>
      <c r="L307" s="8">
        <v>2912565</v>
      </c>
      <c r="M307" s="8" t="str">
        <f t="shared" si="25"/>
        <v>PEN</v>
      </c>
      <c r="N307" s="13"/>
      <c r="O307" s="13">
        <v>8</v>
      </c>
      <c r="P307" s="3">
        <f t="shared" si="26"/>
        <v>0</v>
      </c>
      <c r="Q307" s="3">
        <f t="shared" si="27"/>
        <v>8</v>
      </c>
      <c r="R307" s="3">
        <f t="shared" si="23"/>
        <v>1991.85</v>
      </c>
      <c r="S307" s="24"/>
      <c r="T307" s="24"/>
      <c r="U307" s="55"/>
      <c r="V307" s="25" t="s">
        <v>7519</v>
      </c>
      <c r="W307" s="25"/>
      <c r="X307" s="25"/>
      <c r="Y307" s="25"/>
      <c r="Z307" s="25"/>
      <c r="AA307" s="3" t="str">
        <f>IF(Caja_Operativa[[#This Row],[FECHA]]&gt;0,TEXT(Caja_Operativa[[#This Row],[FECHA]],"mmmm"),0)</f>
        <v>Junio</v>
      </c>
    </row>
    <row r="308" spans="1:27" ht="60" x14ac:dyDescent="0.3">
      <c r="A308" s="2">
        <f>IF(Caja_Operativa[[#This Row],[TIPO DE R.]]="R",COUNTIFS($C$1:$C307,"R")+1,"")</f>
        <v>307</v>
      </c>
      <c r="B308" s="19" t="str">
        <f t="shared" si="24"/>
        <v>C-Operativa</v>
      </c>
      <c r="C308" s="3" t="s">
        <v>1330</v>
      </c>
      <c r="D308" s="14">
        <v>45817</v>
      </c>
      <c r="E308" s="5" t="s">
        <v>7514</v>
      </c>
      <c r="F308" s="5" t="s">
        <v>1336</v>
      </c>
      <c r="G308" s="6"/>
      <c r="H308" s="6"/>
      <c r="I308" s="6"/>
      <c r="J308" s="6"/>
      <c r="K308" s="7" t="s">
        <v>7690</v>
      </c>
      <c r="L308" s="8">
        <v>2921635</v>
      </c>
      <c r="M308" s="8" t="str">
        <f t="shared" si="25"/>
        <v>PEN</v>
      </c>
      <c r="N308" s="13"/>
      <c r="O308" s="13">
        <v>8</v>
      </c>
      <c r="P308" s="3">
        <f t="shared" si="26"/>
        <v>0</v>
      </c>
      <c r="Q308" s="3">
        <f t="shared" si="27"/>
        <v>8</v>
      </c>
      <c r="R308" s="3">
        <f t="shared" si="23"/>
        <v>1983.85</v>
      </c>
      <c r="S308" s="24"/>
      <c r="T308" s="24"/>
      <c r="U308" s="55"/>
      <c r="V308" s="25" t="s">
        <v>7519</v>
      </c>
      <c r="W308" s="25"/>
      <c r="X308" s="25"/>
      <c r="Y308" s="25"/>
      <c r="Z308" s="25"/>
      <c r="AA308" s="3" t="str">
        <f>IF(Caja_Operativa[[#This Row],[FECHA]]&gt;0,TEXT(Caja_Operativa[[#This Row],[FECHA]],"mmmm"),0)</f>
        <v>Junio</v>
      </c>
    </row>
    <row r="309" spans="1:27" ht="60" x14ac:dyDescent="0.3">
      <c r="A309" s="2">
        <f>IF(Caja_Operativa[[#This Row],[TIPO DE R.]]="R",COUNTIFS($C$1:$C308,"R")+1,"")</f>
        <v>308</v>
      </c>
      <c r="B309" s="19" t="str">
        <f t="shared" si="24"/>
        <v>C-Operativa</v>
      </c>
      <c r="C309" s="3" t="s">
        <v>1330</v>
      </c>
      <c r="D309" s="14">
        <v>45817</v>
      </c>
      <c r="E309" s="5" t="s">
        <v>7514</v>
      </c>
      <c r="F309" s="5" t="s">
        <v>1336</v>
      </c>
      <c r="G309" s="6"/>
      <c r="H309" s="6"/>
      <c r="I309" s="6"/>
      <c r="J309" s="6"/>
      <c r="K309" s="7" t="s">
        <v>7691</v>
      </c>
      <c r="L309" s="8">
        <v>2931490</v>
      </c>
      <c r="M309" s="8" t="str">
        <f t="shared" si="25"/>
        <v>PEN</v>
      </c>
      <c r="N309" s="13"/>
      <c r="O309" s="13">
        <v>10</v>
      </c>
      <c r="P309" s="3">
        <f t="shared" si="26"/>
        <v>0</v>
      </c>
      <c r="Q309" s="3">
        <f t="shared" si="27"/>
        <v>10</v>
      </c>
      <c r="R309" s="3">
        <f t="shared" si="23"/>
        <v>1973.85</v>
      </c>
      <c r="S309" s="24"/>
      <c r="T309" s="24"/>
      <c r="U309" s="55"/>
      <c r="V309" s="25" t="s">
        <v>7519</v>
      </c>
      <c r="W309" s="25"/>
      <c r="X309" s="25"/>
      <c r="Y309" s="25"/>
      <c r="Z309" s="25"/>
      <c r="AA309" s="3" t="str">
        <f>IF(Caja_Operativa[[#This Row],[FECHA]]&gt;0,TEXT(Caja_Operativa[[#This Row],[FECHA]],"mmmm"),0)</f>
        <v>Junio</v>
      </c>
    </row>
    <row r="310" spans="1:27" ht="60" x14ac:dyDescent="0.3">
      <c r="A310" s="2">
        <f>IF(Caja_Operativa[[#This Row],[TIPO DE R.]]="R",COUNTIFS($C$1:$C309,"R")+1,"")</f>
        <v>309</v>
      </c>
      <c r="B310" s="19" t="str">
        <f t="shared" si="24"/>
        <v>C-Operativa</v>
      </c>
      <c r="C310" s="3" t="s">
        <v>1330</v>
      </c>
      <c r="D310" s="14">
        <v>45817</v>
      </c>
      <c r="E310" s="5" t="s">
        <v>7514</v>
      </c>
      <c r="F310" s="5" t="s">
        <v>1336</v>
      </c>
      <c r="G310" s="6"/>
      <c r="H310" s="6"/>
      <c r="I310" s="6"/>
      <c r="J310" s="6"/>
      <c r="K310" s="7" t="s">
        <v>7692</v>
      </c>
      <c r="L310" s="8">
        <v>2961386</v>
      </c>
      <c r="M310" s="8" t="str">
        <f t="shared" si="25"/>
        <v>PEN</v>
      </c>
      <c r="N310" s="13"/>
      <c r="O310" s="13">
        <v>8</v>
      </c>
      <c r="P310" s="3">
        <f t="shared" si="26"/>
        <v>0</v>
      </c>
      <c r="Q310" s="3">
        <f t="shared" si="27"/>
        <v>8</v>
      </c>
      <c r="R310" s="3">
        <f t="shared" si="23"/>
        <v>1965.85</v>
      </c>
      <c r="S310" s="24"/>
      <c r="T310" s="24"/>
      <c r="U310" s="55"/>
      <c r="V310" s="25" t="s">
        <v>7519</v>
      </c>
      <c r="W310" s="25"/>
      <c r="X310" s="25"/>
      <c r="Y310" s="25"/>
      <c r="Z310" s="25"/>
      <c r="AA310" s="3" t="str">
        <f>IF(Caja_Operativa[[#This Row],[FECHA]]&gt;0,TEXT(Caja_Operativa[[#This Row],[FECHA]],"mmmm"),0)</f>
        <v>Junio</v>
      </c>
    </row>
    <row r="311" spans="1:27" ht="60" x14ac:dyDescent="0.3">
      <c r="A311" s="2">
        <f>IF(Caja_Operativa[[#This Row],[TIPO DE R.]]="R",COUNTIFS($C$1:$C310,"R")+1,"")</f>
        <v>310</v>
      </c>
      <c r="B311" s="19" t="str">
        <f t="shared" si="24"/>
        <v>C-Operativa</v>
      </c>
      <c r="C311" s="3" t="s">
        <v>1330</v>
      </c>
      <c r="D311" s="14">
        <v>45817</v>
      </c>
      <c r="E311" s="5" t="s">
        <v>7514</v>
      </c>
      <c r="F311" s="5" t="s">
        <v>1336</v>
      </c>
      <c r="G311" s="6"/>
      <c r="H311" s="6"/>
      <c r="I311" s="6"/>
      <c r="J311" s="6"/>
      <c r="K311" s="7" t="s">
        <v>7693</v>
      </c>
      <c r="L311" s="8">
        <v>2930096</v>
      </c>
      <c r="M311" s="8" t="str">
        <f t="shared" si="25"/>
        <v>PEN</v>
      </c>
      <c r="N311" s="13"/>
      <c r="O311" s="13">
        <v>10</v>
      </c>
      <c r="P311" s="3">
        <f t="shared" si="26"/>
        <v>0</v>
      </c>
      <c r="Q311" s="3">
        <f t="shared" si="27"/>
        <v>10</v>
      </c>
      <c r="R311" s="3">
        <f t="shared" si="23"/>
        <v>1955.85</v>
      </c>
      <c r="S311" s="24"/>
      <c r="T311" s="24"/>
      <c r="U311" s="55"/>
      <c r="V311" s="25" t="s">
        <v>7519</v>
      </c>
      <c r="W311" s="25"/>
      <c r="X311" s="25"/>
      <c r="Y311" s="25"/>
      <c r="Z311" s="25"/>
      <c r="AA311" s="3" t="str">
        <f>IF(Caja_Operativa[[#This Row],[FECHA]]&gt;0,TEXT(Caja_Operativa[[#This Row],[FECHA]],"mmmm"),0)</f>
        <v>Junio</v>
      </c>
    </row>
    <row r="312" spans="1:27" ht="60" x14ac:dyDescent="0.3">
      <c r="A312" s="2">
        <f>IF(Caja_Operativa[[#This Row],[TIPO DE R.]]="R",COUNTIFS($C$1:$C311,"R")+1,"")</f>
        <v>311</v>
      </c>
      <c r="B312" s="19" t="str">
        <f t="shared" si="24"/>
        <v>C-Operativa</v>
      </c>
      <c r="C312" s="3" t="s">
        <v>1330</v>
      </c>
      <c r="D312" s="14">
        <v>45817</v>
      </c>
      <c r="E312" s="5" t="s">
        <v>7514</v>
      </c>
      <c r="F312" s="5" t="s">
        <v>1336</v>
      </c>
      <c r="G312" s="6"/>
      <c r="H312" s="6"/>
      <c r="I312" s="6"/>
      <c r="J312" s="6"/>
      <c r="K312" s="7" t="s">
        <v>7694</v>
      </c>
      <c r="L312" s="8">
        <v>2953251</v>
      </c>
      <c r="M312" s="8" t="str">
        <f t="shared" si="25"/>
        <v>PEN</v>
      </c>
      <c r="N312" s="13"/>
      <c r="O312" s="13">
        <v>8</v>
      </c>
      <c r="P312" s="3">
        <f t="shared" si="26"/>
        <v>0</v>
      </c>
      <c r="Q312" s="3">
        <f t="shared" si="27"/>
        <v>8</v>
      </c>
      <c r="R312" s="3">
        <f t="shared" si="23"/>
        <v>1947.85</v>
      </c>
      <c r="S312" s="24"/>
      <c r="T312" s="24"/>
      <c r="U312" s="55"/>
      <c r="V312" s="25" t="s">
        <v>7519</v>
      </c>
      <c r="W312" s="25"/>
      <c r="X312" s="25"/>
      <c r="Y312" s="25"/>
      <c r="Z312" s="25"/>
      <c r="AA312" s="3" t="str">
        <f>IF(Caja_Operativa[[#This Row],[FECHA]]&gt;0,TEXT(Caja_Operativa[[#This Row],[FECHA]],"mmmm"),0)</f>
        <v>Junio</v>
      </c>
    </row>
    <row r="313" spans="1:27" ht="60" x14ac:dyDescent="0.3">
      <c r="A313" s="2">
        <f>IF(Caja_Operativa[[#This Row],[TIPO DE R.]]="R",COUNTIFS($C$1:$C312,"R")+1,"")</f>
        <v>312</v>
      </c>
      <c r="B313" s="19" t="str">
        <f t="shared" si="24"/>
        <v>C-Operativa</v>
      </c>
      <c r="C313" s="3" t="s">
        <v>1330</v>
      </c>
      <c r="D313" s="14">
        <v>45817</v>
      </c>
      <c r="E313" s="5" t="s">
        <v>7514</v>
      </c>
      <c r="F313" s="5" t="s">
        <v>1336</v>
      </c>
      <c r="G313" s="6"/>
      <c r="H313" s="6"/>
      <c r="I313" s="6"/>
      <c r="J313" s="6"/>
      <c r="K313" s="7" t="s">
        <v>7695</v>
      </c>
      <c r="L313" s="8">
        <v>2962546</v>
      </c>
      <c r="M313" s="8" t="str">
        <f t="shared" si="25"/>
        <v>PEN</v>
      </c>
      <c r="N313" s="13"/>
      <c r="O313" s="13">
        <v>8</v>
      </c>
      <c r="P313" s="3">
        <f t="shared" si="26"/>
        <v>0</v>
      </c>
      <c r="Q313" s="3">
        <f t="shared" si="27"/>
        <v>8</v>
      </c>
      <c r="R313" s="3">
        <f t="shared" si="23"/>
        <v>1939.85</v>
      </c>
      <c r="S313" s="24"/>
      <c r="T313" s="24"/>
      <c r="U313" s="55"/>
      <c r="V313" s="25" t="s">
        <v>7519</v>
      </c>
      <c r="W313" s="25"/>
      <c r="X313" s="25"/>
      <c r="Y313" s="25"/>
      <c r="Z313" s="25"/>
      <c r="AA313" s="3" t="str">
        <f>IF(Caja_Operativa[[#This Row],[FECHA]]&gt;0,TEXT(Caja_Operativa[[#This Row],[FECHA]],"mmmm"),0)</f>
        <v>Junio</v>
      </c>
    </row>
    <row r="314" spans="1:27" ht="24" x14ac:dyDescent="0.3">
      <c r="A314" s="2">
        <f>IF(Caja_Operativa[[#This Row],[TIPO DE R.]]="R",COUNTIFS($C$1:$C313,"R")+1,"")</f>
        <v>313</v>
      </c>
      <c r="B314" s="19" t="str">
        <f t="shared" si="24"/>
        <v>C-Operativa</v>
      </c>
      <c r="C314" s="3" t="s">
        <v>1330</v>
      </c>
      <c r="D314" s="14">
        <v>45819</v>
      </c>
      <c r="E314" s="5" t="s">
        <v>7514</v>
      </c>
      <c r="F314" s="5" t="s">
        <v>1336</v>
      </c>
      <c r="G314" s="6" t="s">
        <v>692</v>
      </c>
      <c r="H314" s="6"/>
      <c r="I314" s="6"/>
      <c r="J314" s="6"/>
      <c r="K314" s="7" t="s">
        <v>7516</v>
      </c>
      <c r="L314" s="8">
        <v>534040</v>
      </c>
      <c r="M314" s="8" t="str">
        <f t="shared" si="25"/>
        <v>PEN</v>
      </c>
      <c r="N314" s="13"/>
      <c r="O314" s="13">
        <v>130</v>
      </c>
      <c r="P314" s="3">
        <f t="shared" si="26"/>
        <v>0</v>
      </c>
      <c r="Q314" s="3">
        <f t="shared" si="27"/>
        <v>130</v>
      </c>
      <c r="R314" s="3">
        <f t="shared" si="23"/>
        <v>1809.85</v>
      </c>
      <c r="S314" s="24" t="s">
        <v>1334</v>
      </c>
      <c r="T314" s="24" t="s">
        <v>1334</v>
      </c>
      <c r="U314" s="55"/>
      <c r="V314" s="25"/>
      <c r="W314" s="25"/>
      <c r="X314" s="25"/>
      <c r="Y314" s="25"/>
      <c r="Z314" s="25"/>
      <c r="AA314" s="3" t="str">
        <f>IF(Caja_Operativa[[#This Row],[FECHA]]&gt;0,TEXT(Caja_Operativa[[#This Row],[FECHA]],"mmmm"),0)</f>
        <v>Junio</v>
      </c>
    </row>
    <row r="315" spans="1:27" ht="24" x14ac:dyDescent="0.3">
      <c r="A315" s="2">
        <f>IF(Caja_Operativa[[#This Row],[TIPO DE R.]]="R",COUNTIFS($C$1:$C314,"R")+1,"")</f>
        <v>314</v>
      </c>
      <c r="B315" s="19" t="str">
        <f t="shared" si="24"/>
        <v>C-Operativa</v>
      </c>
      <c r="C315" s="3" t="s">
        <v>1330</v>
      </c>
      <c r="D315" s="14">
        <v>45826</v>
      </c>
      <c r="E315" s="5" t="s">
        <v>7514</v>
      </c>
      <c r="F315" s="5" t="s">
        <v>1336</v>
      </c>
      <c r="G315" s="6" t="s">
        <v>812</v>
      </c>
      <c r="H315" s="6"/>
      <c r="I315" s="6"/>
      <c r="J315" s="6"/>
      <c r="K315" s="7" t="s">
        <v>7516</v>
      </c>
      <c r="L315" s="8">
        <v>293963</v>
      </c>
      <c r="M315" s="8" t="str">
        <f t="shared" si="25"/>
        <v>PEN</v>
      </c>
      <c r="N315" s="13"/>
      <c r="O315" s="13">
        <v>30</v>
      </c>
      <c r="P315" s="3">
        <f t="shared" si="26"/>
        <v>0</v>
      </c>
      <c r="Q315" s="3">
        <f t="shared" si="27"/>
        <v>30</v>
      </c>
      <c r="R315" s="3">
        <f t="shared" si="23"/>
        <v>1779.85</v>
      </c>
      <c r="S315" s="24" t="s">
        <v>1334</v>
      </c>
      <c r="T315" s="24" t="s">
        <v>1334</v>
      </c>
      <c r="U315" s="55"/>
      <c r="V315" s="25"/>
      <c r="W315" s="25"/>
      <c r="X315" s="25"/>
      <c r="Y315" s="25"/>
      <c r="Z315" s="25"/>
      <c r="AA315" s="3" t="str">
        <f>IF(Caja_Operativa[[#This Row],[FECHA]]&gt;0,TEXT(Caja_Operativa[[#This Row],[FECHA]],"mmmm"),0)</f>
        <v>Junio</v>
      </c>
    </row>
    <row r="316" spans="1:27" ht="24" x14ac:dyDescent="0.3">
      <c r="A316" s="2">
        <f>IF(Caja_Operativa[[#This Row],[TIPO DE R.]]="R",COUNTIFS($C$1:$C315,"R")+1,"")</f>
        <v>315</v>
      </c>
      <c r="B316" s="19" t="str">
        <f t="shared" si="24"/>
        <v>C-Operativa</v>
      </c>
      <c r="C316" s="3" t="s">
        <v>1330</v>
      </c>
      <c r="D316" s="14">
        <v>45826</v>
      </c>
      <c r="E316" s="5" t="s">
        <v>7514</v>
      </c>
      <c r="F316" s="5" t="s">
        <v>1336</v>
      </c>
      <c r="G316" s="6" t="s">
        <v>888</v>
      </c>
      <c r="H316" s="6"/>
      <c r="I316" s="6"/>
      <c r="J316" s="6"/>
      <c r="K316" s="7" t="s">
        <v>7516</v>
      </c>
      <c r="L316" s="8">
        <v>348039</v>
      </c>
      <c r="M316" s="8" t="str">
        <f t="shared" si="25"/>
        <v>PEN</v>
      </c>
      <c r="N316" s="13"/>
      <c r="O316" s="13">
        <v>50</v>
      </c>
      <c r="P316" s="3">
        <f t="shared" si="26"/>
        <v>0</v>
      </c>
      <c r="Q316" s="3">
        <f t="shared" si="27"/>
        <v>50</v>
      </c>
      <c r="R316" s="3">
        <f t="shared" si="23"/>
        <v>1729.85</v>
      </c>
      <c r="S316" s="24" t="s">
        <v>1334</v>
      </c>
      <c r="T316" s="24" t="s">
        <v>1334</v>
      </c>
      <c r="U316" s="55"/>
      <c r="V316" s="25"/>
      <c r="W316" s="25"/>
      <c r="X316" s="25"/>
      <c r="Y316" s="25"/>
      <c r="Z316" s="25"/>
      <c r="AA316" s="3" t="str">
        <f>IF(Caja_Operativa[[#This Row],[FECHA]]&gt;0,TEXT(Caja_Operativa[[#This Row],[FECHA]],"mmmm"),0)</f>
        <v>Junio</v>
      </c>
    </row>
    <row r="317" spans="1:27" ht="24" x14ac:dyDescent="0.3">
      <c r="A317" s="2">
        <f>IF(Caja_Operativa[[#This Row],[TIPO DE R.]]="R",COUNTIFS($C$1:$C316,"R")+1,"")</f>
        <v>316</v>
      </c>
      <c r="B317" s="19" t="str">
        <f t="shared" si="24"/>
        <v>C-Operativa</v>
      </c>
      <c r="C317" s="3" t="s">
        <v>1330</v>
      </c>
      <c r="D317" s="14">
        <v>45826</v>
      </c>
      <c r="E317" s="5" t="s">
        <v>7514</v>
      </c>
      <c r="F317" s="5" t="s">
        <v>1336</v>
      </c>
      <c r="G317" s="6" t="s">
        <v>957</v>
      </c>
      <c r="H317" s="6"/>
      <c r="I317" s="6"/>
      <c r="J317" s="6"/>
      <c r="K317" s="7" t="s">
        <v>7516</v>
      </c>
      <c r="L317" s="8">
        <v>357174</v>
      </c>
      <c r="M317" s="8" t="str">
        <f t="shared" si="25"/>
        <v>PEN</v>
      </c>
      <c r="N317" s="13"/>
      <c r="O317" s="13">
        <v>70</v>
      </c>
      <c r="P317" s="3">
        <f t="shared" si="26"/>
        <v>0</v>
      </c>
      <c r="Q317" s="3">
        <f t="shared" si="27"/>
        <v>70</v>
      </c>
      <c r="R317" s="3">
        <f t="shared" si="23"/>
        <v>1659.85</v>
      </c>
      <c r="S317" s="24" t="s">
        <v>1334</v>
      </c>
      <c r="T317" s="24" t="s">
        <v>1334</v>
      </c>
      <c r="U317" s="55"/>
      <c r="V317" s="25"/>
      <c r="W317" s="25"/>
      <c r="X317" s="25"/>
      <c r="Y317" s="25"/>
      <c r="Z317" s="25"/>
      <c r="AA317" s="3" t="str">
        <f>IF(Caja_Operativa[[#This Row],[FECHA]]&gt;0,TEXT(Caja_Operativa[[#This Row],[FECHA]],"mmmm"),0)</f>
        <v>Junio</v>
      </c>
    </row>
    <row r="318" spans="1:27" ht="24" x14ac:dyDescent="0.3">
      <c r="A318" s="2">
        <f>IF(Caja_Operativa[[#This Row],[TIPO DE R.]]="R",COUNTIFS($C$1:$C317,"R")+1,"")</f>
        <v>317</v>
      </c>
      <c r="B318" s="19" t="str">
        <f t="shared" si="24"/>
        <v>C-Operativa</v>
      </c>
      <c r="C318" s="3" t="s">
        <v>1330</v>
      </c>
      <c r="D318" s="14">
        <v>45826</v>
      </c>
      <c r="E318" s="5" t="s">
        <v>7514</v>
      </c>
      <c r="F318" s="5" t="s">
        <v>1336</v>
      </c>
      <c r="G318" s="6" t="s">
        <v>1019</v>
      </c>
      <c r="H318" s="6"/>
      <c r="I318" s="6"/>
      <c r="J318" s="6"/>
      <c r="K318" s="7" t="s">
        <v>7516</v>
      </c>
      <c r="L318" s="8">
        <v>336504</v>
      </c>
      <c r="M318" s="8" t="str">
        <f t="shared" si="25"/>
        <v>PEN</v>
      </c>
      <c r="N318" s="13"/>
      <c r="O318" s="13">
        <v>40</v>
      </c>
      <c r="P318" s="3">
        <f t="shared" si="26"/>
        <v>0</v>
      </c>
      <c r="Q318" s="3">
        <f t="shared" si="27"/>
        <v>40</v>
      </c>
      <c r="R318" s="3">
        <f t="shared" si="23"/>
        <v>1619.85</v>
      </c>
      <c r="S318" s="24" t="s">
        <v>1334</v>
      </c>
      <c r="T318" s="24" t="s">
        <v>1334</v>
      </c>
      <c r="U318" s="55"/>
      <c r="V318" s="25"/>
      <c r="W318" s="25"/>
      <c r="X318" s="25"/>
      <c r="Y318" s="25"/>
      <c r="Z318" s="25"/>
      <c r="AA318" s="3" t="str">
        <f>IF(Caja_Operativa[[#This Row],[FECHA]]&gt;0,TEXT(Caja_Operativa[[#This Row],[FECHA]],"mmmm"),0)</f>
        <v>Junio</v>
      </c>
    </row>
    <row r="319" spans="1:27" ht="24" x14ac:dyDescent="0.3">
      <c r="A319" s="2">
        <f>IF(Caja_Operativa[[#This Row],[TIPO DE R.]]="R",COUNTIFS($C$1:$C318,"R")+1,"")</f>
        <v>318</v>
      </c>
      <c r="B319" s="19" t="str">
        <f t="shared" si="24"/>
        <v>C-Operativa</v>
      </c>
      <c r="C319" s="3" t="s">
        <v>1330</v>
      </c>
      <c r="D319" s="14">
        <v>45828</v>
      </c>
      <c r="E319" s="5" t="s">
        <v>7514</v>
      </c>
      <c r="F319" s="5" t="s">
        <v>1336</v>
      </c>
      <c r="G319" s="6" t="s">
        <v>957</v>
      </c>
      <c r="H319" s="6"/>
      <c r="I319" s="6"/>
      <c r="J319" s="6"/>
      <c r="K319" s="7" t="s">
        <v>7628</v>
      </c>
      <c r="L319" s="8">
        <v>3675748</v>
      </c>
      <c r="M319" s="8" t="str">
        <f t="shared" si="25"/>
        <v>PEN</v>
      </c>
      <c r="N319" s="13"/>
      <c r="O319" s="13">
        <v>800</v>
      </c>
      <c r="P319" s="3">
        <f t="shared" si="26"/>
        <v>0</v>
      </c>
      <c r="Q319" s="3">
        <f t="shared" si="27"/>
        <v>800</v>
      </c>
      <c r="R319" s="3">
        <f t="shared" si="23"/>
        <v>819.84999999999991</v>
      </c>
      <c r="S319" s="24" t="s">
        <v>1334</v>
      </c>
      <c r="T319" s="24" t="s">
        <v>1334</v>
      </c>
      <c r="U319" s="55"/>
      <c r="V319" s="25"/>
      <c r="W319" s="25"/>
      <c r="X319" s="25"/>
      <c r="Y319" s="25"/>
      <c r="Z319" s="25"/>
      <c r="AA319" s="3" t="str">
        <f>IF(Caja_Operativa[[#This Row],[FECHA]]&gt;0,TEXT(Caja_Operativa[[#This Row],[FECHA]],"mmmm"),0)</f>
        <v>Junio</v>
      </c>
    </row>
    <row r="320" spans="1:27" ht="60" x14ac:dyDescent="0.3">
      <c r="A320" s="2">
        <f>IF(Caja_Operativa[[#This Row],[TIPO DE R.]]="R",COUNTIFS($C$1:$C319,"R")+1,"")</f>
        <v>319</v>
      </c>
      <c r="B320" s="19" t="str">
        <f t="shared" si="24"/>
        <v>C-Operativa</v>
      </c>
      <c r="C320" s="3" t="s">
        <v>1330</v>
      </c>
      <c r="D320" s="14">
        <v>45828</v>
      </c>
      <c r="E320" s="5" t="s">
        <v>7514</v>
      </c>
      <c r="F320" s="5" t="s">
        <v>1336</v>
      </c>
      <c r="G320" s="6"/>
      <c r="H320" s="6"/>
      <c r="I320" s="6"/>
      <c r="J320" s="6"/>
      <c r="K320" s="7" t="s">
        <v>7696</v>
      </c>
      <c r="L320" s="8">
        <v>3269449</v>
      </c>
      <c r="M320" s="8" t="str">
        <f t="shared" si="25"/>
        <v>PEN</v>
      </c>
      <c r="N320" s="13"/>
      <c r="O320" s="13">
        <v>8</v>
      </c>
      <c r="P320" s="3">
        <f t="shared" si="26"/>
        <v>0</v>
      </c>
      <c r="Q320" s="3">
        <f t="shared" si="27"/>
        <v>8</v>
      </c>
      <c r="R320" s="3">
        <f t="shared" si="23"/>
        <v>811.84999999999991</v>
      </c>
      <c r="S320" s="24"/>
      <c r="T320" s="24"/>
      <c r="U320" s="55"/>
      <c r="V320" s="25" t="s">
        <v>7519</v>
      </c>
      <c r="W320" s="25"/>
      <c r="X320" s="25"/>
      <c r="Y320" s="25"/>
      <c r="Z320" s="25"/>
      <c r="AA320" s="3" t="str">
        <f>IF(Caja_Operativa[[#This Row],[FECHA]]&gt;0,TEXT(Caja_Operativa[[#This Row],[FECHA]],"mmmm"),0)</f>
        <v>Junio</v>
      </c>
    </row>
    <row r="321" spans="1:27" ht="60" x14ac:dyDescent="0.3">
      <c r="A321" s="2">
        <f>IF(Caja_Operativa[[#This Row],[TIPO DE R.]]="R",COUNTIFS($C$1:$C320,"R")+1,"")</f>
        <v>320</v>
      </c>
      <c r="B321" s="19" t="str">
        <f t="shared" si="24"/>
        <v>C-Operativa</v>
      </c>
      <c r="C321" s="3" t="s">
        <v>1330</v>
      </c>
      <c r="D321" s="14">
        <v>45828</v>
      </c>
      <c r="E321" s="5" t="s">
        <v>7514</v>
      </c>
      <c r="F321" s="5" t="s">
        <v>1336</v>
      </c>
      <c r="G321" s="6"/>
      <c r="H321" s="6"/>
      <c r="I321" s="6"/>
      <c r="J321" s="6"/>
      <c r="K321" s="7" t="s">
        <v>7697</v>
      </c>
      <c r="L321" s="8">
        <v>3303178</v>
      </c>
      <c r="M321" s="8" t="str">
        <f t="shared" si="25"/>
        <v>PEN</v>
      </c>
      <c r="N321" s="13"/>
      <c r="O321" s="13">
        <v>8</v>
      </c>
      <c r="P321" s="3">
        <f t="shared" si="26"/>
        <v>0</v>
      </c>
      <c r="Q321" s="3">
        <f t="shared" si="27"/>
        <v>8</v>
      </c>
      <c r="R321" s="3">
        <f t="shared" si="23"/>
        <v>803.84999999999991</v>
      </c>
      <c r="S321" s="24"/>
      <c r="T321" s="24"/>
      <c r="U321" s="55"/>
      <c r="V321" s="25" t="s">
        <v>7519</v>
      </c>
      <c r="W321" s="25"/>
      <c r="X321" s="25"/>
      <c r="Y321" s="25"/>
      <c r="Z321" s="25"/>
      <c r="AA321" s="3" t="str">
        <f>IF(Caja_Operativa[[#This Row],[FECHA]]&gt;0,TEXT(Caja_Operativa[[#This Row],[FECHA]],"mmmm"),0)</f>
        <v>Junio</v>
      </c>
    </row>
    <row r="322" spans="1:27" ht="60" x14ac:dyDescent="0.3">
      <c r="A322" s="2">
        <f>IF(Caja_Operativa[[#This Row],[TIPO DE R.]]="R",COUNTIFS($C$1:$C321,"R")+1,"")</f>
        <v>321</v>
      </c>
      <c r="B322" s="19" t="str">
        <f t="shared" si="24"/>
        <v>C-Operativa</v>
      </c>
      <c r="C322" s="3" t="s">
        <v>1330</v>
      </c>
      <c r="D322" s="14">
        <v>45828</v>
      </c>
      <c r="E322" s="5" t="s">
        <v>7514</v>
      </c>
      <c r="F322" s="5" t="s">
        <v>1336</v>
      </c>
      <c r="G322" s="6"/>
      <c r="H322" s="6"/>
      <c r="I322" s="6"/>
      <c r="J322" s="6"/>
      <c r="K322" s="7" t="s">
        <v>7698</v>
      </c>
      <c r="L322" s="8">
        <v>3300571</v>
      </c>
      <c r="M322" s="8" t="str">
        <f t="shared" si="25"/>
        <v>PEN</v>
      </c>
      <c r="N322" s="13"/>
      <c r="O322" s="13">
        <v>10</v>
      </c>
      <c r="P322" s="3">
        <f t="shared" si="26"/>
        <v>0</v>
      </c>
      <c r="Q322" s="3">
        <f t="shared" si="27"/>
        <v>10</v>
      </c>
      <c r="R322" s="3">
        <f t="shared" ref="R322:R385" si="28">IFERROR(IF(F322="SALDO",P322,R321+P322-Q322),0)</f>
        <v>793.84999999999991</v>
      </c>
      <c r="S322" s="24"/>
      <c r="T322" s="24"/>
      <c r="U322" s="55"/>
      <c r="V322" s="25" t="s">
        <v>7519</v>
      </c>
      <c r="W322" s="25"/>
      <c r="X322" s="25"/>
      <c r="Y322" s="25"/>
      <c r="Z322" s="25"/>
      <c r="AA322" s="3" t="str">
        <f>IF(Caja_Operativa[[#This Row],[FECHA]]&gt;0,TEXT(Caja_Operativa[[#This Row],[FECHA]],"mmmm"),0)</f>
        <v>Junio</v>
      </c>
    </row>
    <row r="323" spans="1:27" ht="60" x14ac:dyDescent="0.3">
      <c r="A323" s="2">
        <f>IF(Caja_Operativa[[#This Row],[TIPO DE R.]]="R",COUNTIFS($C$1:$C322,"R")+1,"")</f>
        <v>322</v>
      </c>
      <c r="B323" s="19" t="str">
        <f t="shared" ref="B323:B378" si="29">"C-Operativa"</f>
        <v>C-Operativa</v>
      </c>
      <c r="C323" s="3" t="s">
        <v>1330</v>
      </c>
      <c r="D323" s="14">
        <v>45828</v>
      </c>
      <c r="E323" s="5" t="s">
        <v>7514</v>
      </c>
      <c r="F323" s="5" t="s">
        <v>1336</v>
      </c>
      <c r="G323" s="6"/>
      <c r="H323" s="6"/>
      <c r="I323" s="6"/>
      <c r="J323" s="6"/>
      <c r="K323" s="7" t="s">
        <v>7699</v>
      </c>
      <c r="L323" s="8">
        <v>3312933</v>
      </c>
      <c r="M323" s="8" t="str">
        <f t="shared" ref="M323:M378" si="30">"PEN"</f>
        <v>PEN</v>
      </c>
      <c r="N323" s="13"/>
      <c r="O323" s="13">
        <v>10</v>
      </c>
      <c r="P323" s="3">
        <f t="shared" ref="P323:P378" si="31">+IF(OR($F323="SALDO",$F323="INGRESO"),$O323,0)</f>
        <v>0</v>
      </c>
      <c r="Q323" s="3">
        <f t="shared" ref="Q323:Q378" si="32">+IF($F323="EGRESO",$O323,0)</f>
        <v>10</v>
      </c>
      <c r="R323" s="3">
        <f t="shared" si="28"/>
        <v>783.84999999999991</v>
      </c>
      <c r="S323" s="24"/>
      <c r="T323" s="24"/>
      <c r="U323" s="55"/>
      <c r="V323" s="25" t="s">
        <v>7519</v>
      </c>
      <c r="W323" s="25"/>
      <c r="X323" s="25"/>
      <c r="Y323" s="25"/>
      <c r="Z323" s="25"/>
      <c r="AA323" s="3" t="str">
        <f>IF(Caja_Operativa[[#This Row],[FECHA]]&gt;0,TEXT(Caja_Operativa[[#This Row],[FECHA]],"mmmm"),0)</f>
        <v>Junio</v>
      </c>
    </row>
    <row r="324" spans="1:27" ht="60" x14ac:dyDescent="0.3">
      <c r="A324" s="2">
        <f>IF(Caja_Operativa[[#This Row],[TIPO DE R.]]="R",COUNTIFS($C$1:$C323,"R")+1,"")</f>
        <v>323</v>
      </c>
      <c r="B324" s="19" t="str">
        <f t="shared" si="29"/>
        <v>C-Operativa</v>
      </c>
      <c r="C324" s="3" t="s">
        <v>1330</v>
      </c>
      <c r="D324" s="14">
        <v>45828</v>
      </c>
      <c r="E324" s="5" t="s">
        <v>7514</v>
      </c>
      <c r="F324" s="5" t="s">
        <v>1336</v>
      </c>
      <c r="G324" s="6"/>
      <c r="H324" s="6"/>
      <c r="I324" s="6"/>
      <c r="J324" s="6"/>
      <c r="K324" s="7" t="s">
        <v>7700</v>
      </c>
      <c r="L324" s="8">
        <v>3289717</v>
      </c>
      <c r="M324" s="8" t="str">
        <f t="shared" si="30"/>
        <v>PEN</v>
      </c>
      <c r="N324" s="13"/>
      <c r="O324" s="13">
        <v>8</v>
      </c>
      <c r="P324" s="3">
        <f t="shared" si="31"/>
        <v>0</v>
      </c>
      <c r="Q324" s="3">
        <f t="shared" si="32"/>
        <v>8</v>
      </c>
      <c r="R324" s="3">
        <f t="shared" si="28"/>
        <v>775.84999999999991</v>
      </c>
      <c r="S324" s="24"/>
      <c r="T324" s="24"/>
      <c r="U324" s="55"/>
      <c r="V324" s="25" t="s">
        <v>7519</v>
      </c>
      <c r="W324" s="25"/>
      <c r="X324" s="25"/>
      <c r="Y324" s="25"/>
      <c r="Z324" s="25"/>
      <c r="AA324" s="3" t="str">
        <f>IF(Caja_Operativa[[#This Row],[FECHA]]&gt;0,TEXT(Caja_Operativa[[#This Row],[FECHA]],"mmmm"),0)</f>
        <v>Junio</v>
      </c>
    </row>
    <row r="325" spans="1:27" ht="60" x14ac:dyDescent="0.3">
      <c r="A325" s="2">
        <f>IF(Caja_Operativa[[#This Row],[TIPO DE R.]]="R",COUNTIFS($C$1:$C324,"R")+1,"")</f>
        <v>324</v>
      </c>
      <c r="B325" s="19" t="str">
        <f t="shared" si="29"/>
        <v>C-Operativa</v>
      </c>
      <c r="C325" s="3" t="s">
        <v>1330</v>
      </c>
      <c r="D325" s="14">
        <v>45828</v>
      </c>
      <c r="E325" s="5" t="s">
        <v>7514</v>
      </c>
      <c r="F325" s="5" t="s">
        <v>1336</v>
      </c>
      <c r="G325" s="6"/>
      <c r="H325" s="6"/>
      <c r="I325" s="6"/>
      <c r="J325" s="6"/>
      <c r="K325" s="7" t="s">
        <v>7701</v>
      </c>
      <c r="L325" s="8">
        <v>3295974</v>
      </c>
      <c r="M325" s="8" t="str">
        <f t="shared" si="30"/>
        <v>PEN</v>
      </c>
      <c r="N325" s="13"/>
      <c r="O325" s="13">
        <v>25</v>
      </c>
      <c r="P325" s="3">
        <f t="shared" si="31"/>
        <v>0</v>
      </c>
      <c r="Q325" s="3">
        <f t="shared" si="32"/>
        <v>25</v>
      </c>
      <c r="R325" s="3">
        <f t="shared" si="28"/>
        <v>750.84999999999991</v>
      </c>
      <c r="S325" s="24"/>
      <c r="T325" s="24"/>
      <c r="U325" s="55"/>
      <c r="V325" s="25" t="s">
        <v>7519</v>
      </c>
      <c r="W325" s="25"/>
      <c r="X325" s="25"/>
      <c r="Y325" s="25"/>
      <c r="Z325" s="25"/>
      <c r="AA325" s="3" t="str">
        <f>IF(Caja_Operativa[[#This Row],[FECHA]]&gt;0,TEXT(Caja_Operativa[[#This Row],[FECHA]],"mmmm"),0)</f>
        <v>Junio</v>
      </c>
    </row>
    <row r="326" spans="1:27" ht="60" x14ac:dyDescent="0.3">
      <c r="A326" s="2">
        <f>IF(Caja_Operativa[[#This Row],[TIPO DE R.]]="R",COUNTIFS($C$1:$C325,"R")+1,"")</f>
        <v>325</v>
      </c>
      <c r="B326" s="19" t="str">
        <f t="shared" si="29"/>
        <v>C-Operativa</v>
      </c>
      <c r="C326" s="3" t="s">
        <v>1330</v>
      </c>
      <c r="D326" s="14">
        <v>45828</v>
      </c>
      <c r="E326" s="5" t="s">
        <v>7514</v>
      </c>
      <c r="F326" s="5" t="s">
        <v>1336</v>
      </c>
      <c r="G326" s="6"/>
      <c r="H326" s="6"/>
      <c r="I326" s="6"/>
      <c r="J326" s="6"/>
      <c r="K326" s="7" t="s">
        <v>7702</v>
      </c>
      <c r="L326" s="8">
        <v>3287625</v>
      </c>
      <c r="M326" s="8" t="str">
        <f t="shared" si="30"/>
        <v>PEN</v>
      </c>
      <c r="N326" s="13"/>
      <c r="O326" s="13">
        <v>10</v>
      </c>
      <c r="P326" s="3">
        <f t="shared" si="31"/>
        <v>0</v>
      </c>
      <c r="Q326" s="3">
        <f t="shared" si="32"/>
        <v>10</v>
      </c>
      <c r="R326" s="3">
        <f t="shared" si="28"/>
        <v>740.84999999999991</v>
      </c>
      <c r="S326" s="24"/>
      <c r="T326" s="24"/>
      <c r="U326" s="55"/>
      <c r="V326" s="25" t="s">
        <v>7519</v>
      </c>
      <c r="W326" s="25"/>
      <c r="X326" s="25"/>
      <c r="Y326" s="25"/>
      <c r="Z326" s="25"/>
      <c r="AA326" s="3" t="str">
        <f>IF(Caja_Operativa[[#This Row],[FECHA]]&gt;0,TEXT(Caja_Operativa[[#This Row],[FECHA]],"mmmm"),0)</f>
        <v>Junio</v>
      </c>
    </row>
    <row r="327" spans="1:27" ht="60" x14ac:dyDescent="0.3">
      <c r="A327" s="2">
        <f>IF(Caja_Operativa[[#This Row],[TIPO DE R.]]="R",COUNTIFS($C$1:$C326,"R")+1,"")</f>
        <v>326</v>
      </c>
      <c r="B327" s="19" t="str">
        <f t="shared" si="29"/>
        <v>C-Operativa</v>
      </c>
      <c r="C327" s="3" t="s">
        <v>1330</v>
      </c>
      <c r="D327" s="14">
        <v>45828</v>
      </c>
      <c r="E327" s="5" t="s">
        <v>7514</v>
      </c>
      <c r="F327" s="5" t="s">
        <v>1336</v>
      </c>
      <c r="G327" s="6"/>
      <c r="H327" s="6"/>
      <c r="I327" s="6"/>
      <c r="J327" s="6"/>
      <c r="K327" s="7" t="s">
        <v>7703</v>
      </c>
      <c r="L327" s="8">
        <v>3302614</v>
      </c>
      <c r="M327" s="8" t="str">
        <f t="shared" si="30"/>
        <v>PEN</v>
      </c>
      <c r="N327" s="13"/>
      <c r="O327" s="13">
        <v>10</v>
      </c>
      <c r="P327" s="3">
        <f t="shared" si="31"/>
        <v>0</v>
      </c>
      <c r="Q327" s="3">
        <f t="shared" si="32"/>
        <v>10</v>
      </c>
      <c r="R327" s="3">
        <f t="shared" si="28"/>
        <v>730.84999999999991</v>
      </c>
      <c r="S327" s="24"/>
      <c r="T327" s="24"/>
      <c r="U327" s="55"/>
      <c r="V327" s="25" t="s">
        <v>7519</v>
      </c>
      <c r="W327" s="25"/>
      <c r="X327" s="25"/>
      <c r="Y327" s="25"/>
      <c r="Z327" s="25"/>
      <c r="AA327" s="3" t="str">
        <f>IF(Caja_Operativa[[#This Row],[FECHA]]&gt;0,TEXT(Caja_Operativa[[#This Row],[FECHA]],"mmmm"),0)</f>
        <v>Junio</v>
      </c>
    </row>
    <row r="328" spans="1:27" ht="60" x14ac:dyDescent="0.3">
      <c r="A328" s="2">
        <f>IF(Caja_Operativa[[#This Row],[TIPO DE R.]]="R",COUNTIFS($C$1:$C327,"R")+1,"")</f>
        <v>327</v>
      </c>
      <c r="B328" s="19" t="str">
        <f t="shared" si="29"/>
        <v>C-Operativa</v>
      </c>
      <c r="C328" s="3" t="s">
        <v>1330</v>
      </c>
      <c r="D328" s="14">
        <v>45828</v>
      </c>
      <c r="E328" s="5" t="s">
        <v>7514</v>
      </c>
      <c r="F328" s="5" t="s">
        <v>1336</v>
      </c>
      <c r="G328" s="6"/>
      <c r="H328" s="6"/>
      <c r="I328" s="6"/>
      <c r="J328" s="6"/>
      <c r="K328" s="7" t="s">
        <v>7704</v>
      </c>
      <c r="L328" s="8">
        <v>3320788</v>
      </c>
      <c r="M328" s="8" t="str">
        <f t="shared" si="30"/>
        <v>PEN</v>
      </c>
      <c r="N328" s="13"/>
      <c r="O328" s="13">
        <v>10</v>
      </c>
      <c r="P328" s="3">
        <f t="shared" si="31"/>
        <v>0</v>
      </c>
      <c r="Q328" s="3">
        <f t="shared" si="32"/>
        <v>10</v>
      </c>
      <c r="R328" s="3">
        <f t="shared" si="28"/>
        <v>720.84999999999991</v>
      </c>
      <c r="S328" s="24"/>
      <c r="T328" s="24"/>
      <c r="U328" s="55"/>
      <c r="V328" s="25" t="s">
        <v>7519</v>
      </c>
      <c r="W328" s="25"/>
      <c r="X328" s="25"/>
      <c r="Y328" s="25"/>
      <c r="Z328" s="25"/>
      <c r="AA328" s="3" t="str">
        <f>IF(Caja_Operativa[[#This Row],[FECHA]]&gt;0,TEXT(Caja_Operativa[[#This Row],[FECHA]],"mmmm"),0)</f>
        <v>Junio</v>
      </c>
    </row>
    <row r="329" spans="1:27" ht="60" x14ac:dyDescent="0.3">
      <c r="A329" s="2">
        <f>IF(Caja_Operativa[[#This Row],[TIPO DE R.]]="R",COUNTIFS($C$1:$C328,"R")+1,"")</f>
        <v>328</v>
      </c>
      <c r="B329" s="19" t="str">
        <f t="shared" si="29"/>
        <v>C-Operativa</v>
      </c>
      <c r="C329" s="3" t="s">
        <v>1330</v>
      </c>
      <c r="D329" s="14">
        <v>45828</v>
      </c>
      <c r="E329" s="5" t="s">
        <v>7514</v>
      </c>
      <c r="F329" s="5" t="s">
        <v>1336</v>
      </c>
      <c r="G329" s="6"/>
      <c r="H329" s="6"/>
      <c r="I329" s="6"/>
      <c r="J329" s="6"/>
      <c r="K329" s="7" t="s">
        <v>7705</v>
      </c>
      <c r="L329" s="8">
        <v>3366646</v>
      </c>
      <c r="M329" s="8" t="str">
        <f t="shared" si="30"/>
        <v>PEN</v>
      </c>
      <c r="N329" s="13"/>
      <c r="O329" s="13">
        <v>8</v>
      </c>
      <c r="P329" s="3">
        <f t="shared" si="31"/>
        <v>0</v>
      </c>
      <c r="Q329" s="3">
        <f t="shared" si="32"/>
        <v>8</v>
      </c>
      <c r="R329" s="3">
        <f t="shared" si="28"/>
        <v>712.84999999999991</v>
      </c>
      <c r="S329" s="24"/>
      <c r="T329" s="24"/>
      <c r="U329" s="55"/>
      <c r="V329" s="25" t="s">
        <v>7519</v>
      </c>
      <c r="W329" s="25"/>
      <c r="X329" s="25"/>
      <c r="Y329" s="25"/>
      <c r="Z329" s="25"/>
      <c r="AA329" s="3" t="str">
        <f>IF(Caja_Operativa[[#This Row],[FECHA]]&gt;0,TEXT(Caja_Operativa[[#This Row],[FECHA]],"mmmm"),0)</f>
        <v>Junio</v>
      </c>
    </row>
    <row r="330" spans="1:27" ht="60" x14ac:dyDescent="0.3">
      <c r="A330" s="2">
        <f>IF(Caja_Operativa[[#This Row],[TIPO DE R.]]="R",COUNTIFS($C$1:$C329,"R")+1,"")</f>
        <v>329</v>
      </c>
      <c r="B330" s="19" t="str">
        <f t="shared" si="29"/>
        <v>C-Operativa</v>
      </c>
      <c r="C330" s="3" t="s">
        <v>1330</v>
      </c>
      <c r="D330" s="14">
        <v>45828</v>
      </c>
      <c r="E330" s="5" t="s">
        <v>7514</v>
      </c>
      <c r="F330" s="5" t="s">
        <v>1336</v>
      </c>
      <c r="G330" s="6"/>
      <c r="H330" s="6"/>
      <c r="I330" s="6"/>
      <c r="J330" s="6"/>
      <c r="K330" s="7" t="s">
        <v>7706</v>
      </c>
      <c r="L330" s="8">
        <v>3352139</v>
      </c>
      <c r="M330" s="8" t="str">
        <f t="shared" si="30"/>
        <v>PEN</v>
      </c>
      <c r="N330" s="13"/>
      <c r="O330" s="13">
        <v>8</v>
      </c>
      <c r="P330" s="3">
        <f t="shared" si="31"/>
        <v>0</v>
      </c>
      <c r="Q330" s="3">
        <f t="shared" si="32"/>
        <v>8</v>
      </c>
      <c r="R330" s="3">
        <f t="shared" si="28"/>
        <v>704.84999999999991</v>
      </c>
      <c r="S330" s="24"/>
      <c r="T330" s="24"/>
      <c r="U330" s="55"/>
      <c r="V330" s="25" t="s">
        <v>7519</v>
      </c>
      <c r="W330" s="25"/>
      <c r="X330" s="25"/>
      <c r="Y330" s="25"/>
      <c r="Z330" s="25"/>
      <c r="AA330" s="3" t="str">
        <f>IF(Caja_Operativa[[#This Row],[FECHA]]&gt;0,TEXT(Caja_Operativa[[#This Row],[FECHA]],"mmmm"),0)</f>
        <v>Junio</v>
      </c>
    </row>
    <row r="331" spans="1:27" ht="60" x14ac:dyDescent="0.3">
      <c r="A331" s="2">
        <f>IF(Caja_Operativa[[#This Row],[TIPO DE R.]]="R",COUNTIFS($C$1:$C330,"R")+1,"")</f>
        <v>330</v>
      </c>
      <c r="B331" s="19" t="str">
        <f t="shared" si="29"/>
        <v>C-Operativa</v>
      </c>
      <c r="C331" s="3" t="s">
        <v>1330</v>
      </c>
      <c r="D331" s="14">
        <v>45828</v>
      </c>
      <c r="E331" s="5" t="s">
        <v>7514</v>
      </c>
      <c r="F331" s="5" t="s">
        <v>1336</v>
      </c>
      <c r="G331" s="6"/>
      <c r="H331" s="6"/>
      <c r="I331" s="6"/>
      <c r="J331" s="6"/>
      <c r="K331" s="7" t="s">
        <v>7707</v>
      </c>
      <c r="L331" s="8">
        <v>3373104</v>
      </c>
      <c r="M331" s="8" t="str">
        <f t="shared" si="30"/>
        <v>PEN</v>
      </c>
      <c r="N331" s="13"/>
      <c r="O331" s="13">
        <v>8</v>
      </c>
      <c r="P331" s="3">
        <f t="shared" si="31"/>
        <v>0</v>
      </c>
      <c r="Q331" s="3">
        <f t="shared" si="32"/>
        <v>8</v>
      </c>
      <c r="R331" s="3">
        <f t="shared" si="28"/>
        <v>696.84999999999991</v>
      </c>
      <c r="S331" s="24"/>
      <c r="T331" s="24"/>
      <c r="U331" s="55"/>
      <c r="V331" s="25" t="s">
        <v>7519</v>
      </c>
      <c r="W331" s="25"/>
      <c r="X331" s="25"/>
      <c r="Y331" s="25"/>
      <c r="Z331" s="25"/>
      <c r="AA331" s="3" t="str">
        <f>IF(Caja_Operativa[[#This Row],[FECHA]]&gt;0,TEXT(Caja_Operativa[[#This Row],[FECHA]],"mmmm"),0)</f>
        <v>Junio</v>
      </c>
    </row>
    <row r="332" spans="1:27" ht="60" x14ac:dyDescent="0.3">
      <c r="A332" s="2">
        <f>IF(Caja_Operativa[[#This Row],[TIPO DE R.]]="R",COUNTIFS($C$1:$C331,"R")+1,"")</f>
        <v>331</v>
      </c>
      <c r="B332" s="19" t="str">
        <f t="shared" si="29"/>
        <v>C-Operativa</v>
      </c>
      <c r="C332" s="3" t="s">
        <v>1330</v>
      </c>
      <c r="D332" s="14">
        <v>45828</v>
      </c>
      <c r="E332" s="5" t="s">
        <v>7514</v>
      </c>
      <c r="F332" s="5" t="s">
        <v>1336</v>
      </c>
      <c r="G332" s="6"/>
      <c r="H332" s="6"/>
      <c r="I332" s="6"/>
      <c r="J332" s="6"/>
      <c r="K332" s="7" t="s">
        <v>7708</v>
      </c>
      <c r="L332" s="8">
        <v>3364539</v>
      </c>
      <c r="M332" s="8" t="str">
        <f t="shared" si="30"/>
        <v>PEN</v>
      </c>
      <c r="N332" s="13"/>
      <c r="O332" s="13">
        <v>8</v>
      </c>
      <c r="P332" s="3">
        <f t="shared" si="31"/>
        <v>0</v>
      </c>
      <c r="Q332" s="3">
        <f t="shared" si="32"/>
        <v>8</v>
      </c>
      <c r="R332" s="3">
        <f t="shared" si="28"/>
        <v>688.84999999999991</v>
      </c>
      <c r="S332" s="24"/>
      <c r="T332" s="24"/>
      <c r="U332" s="55"/>
      <c r="V332" s="25" t="s">
        <v>7519</v>
      </c>
      <c r="W332" s="25"/>
      <c r="X332" s="25"/>
      <c r="Y332" s="25"/>
      <c r="Z332" s="25"/>
      <c r="AA332" s="3" t="str">
        <f>IF(Caja_Operativa[[#This Row],[FECHA]]&gt;0,TEXT(Caja_Operativa[[#This Row],[FECHA]],"mmmm"),0)</f>
        <v>Junio</v>
      </c>
    </row>
    <row r="333" spans="1:27" ht="60" x14ac:dyDescent="0.3">
      <c r="A333" s="2">
        <f>IF(Caja_Operativa[[#This Row],[TIPO DE R.]]="R",COUNTIFS($C$1:$C332,"R")+1,"")</f>
        <v>332</v>
      </c>
      <c r="B333" s="19" t="str">
        <f t="shared" si="29"/>
        <v>C-Operativa</v>
      </c>
      <c r="C333" s="3" t="s">
        <v>1330</v>
      </c>
      <c r="D333" s="14">
        <v>45828</v>
      </c>
      <c r="E333" s="5" t="s">
        <v>7514</v>
      </c>
      <c r="F333" s="5" t="s">
        <v>1336</v>
      </c>
      <c r="G333" s="6"/>
      <c r="H333" s="6"/>
      <c r="I333" s="6"/>
      <c r="J333" s="6"/>
      <c r="K333" s="7" t="s">
        <v>7709</v>
      </c>
      <c r="L333" s="8">
        <v>3367950</v>
      </c>
      <c r="M333" s="8" t="str">
        <f t="shared" si="30"/>
        <v>PEN</v>
      </c>
      <c r="N333" s="13"/>
      <c r="O333" s="13">
        <v>8</v>
      </c>
      <c r="P333" s="3">
        <f t="shared" si="31"/>
        <v>0</v>
      </c>
      <c r="Q333" s="3">
        <f t="shared" si="32"/>
        <v>8</v>
      </c>
      <c r="R333" s="3">
        <f t="shared" si="28"/>
        <v>680.84999999999991</v>
      </c>
      <c r="S333" s="24"/>
      <c r="T333" s="24"/>
      <c r="U333" s="55"/>
      <c r="V333" s="25" t="s">
        <v>7519</v>
      </c>
      <c r="W333" s="25"/>
      <c r="X333" s="25"/>
      <c r="Y333" s="25"/>
      <c r="Z333" s="25"/>
      <c r="AA333" s="3" t="str">
        <f>IF(Caja_Operativa[[#This Row],[FECHA]]&gt;0,TEXT(Caja_Operativa[[#This Row],[FECHA]],"mmmm"),0)</f>
        <v>Junio</v>
      </c>
    </row>
    <row r="334" spans="1:27" ht="60" x14ac:dyDescent="0.3">
      <c r="A334" s="2">
        <f>IF(Caja_Operativa[[#This Row],[TIPO DE R.]]="R",COUNTIFS($C$1:$C333,"R")+1,"")</f>
        <v>333</v>
      </c>
      <c r="B334" s="19" t="str">
        <f t="shared" si="29"/>
        <v>C-Operativa</v>
      </c>
      <c r="C334" s="3" t="s">
        <v>1330</v>
      </c>
      <c r="D334" s="14">
        <v>45828</v>
      </c>
      <c r="E334" s="5" t="s">
        <v>7514</v>
      </c>
      <c r="F334" s="5" t="s">
        <v>1336</v>
      </c>
      <c r="G334" s="6"/>
      <c r="H334" s="6"/>
      <c r="I334" s="6"/>
      <c r="J334" s="6"/>
      <c r="K334" s="7" t="s">
        <v>7710</v>
      </c>
      <c r="L334" s="8">
        <v>3335805</v>
      </c>
      <c r="M334" s="8" t="str">
        <f t="shared" si="30"/>
        <v>PEN</v>
      </c>
      <c r="N334" s="13"/>
      <c r="O334" s="13">
        <v>8</v>
      </c>
      <c r="P334" s="3">
        <f t="shared" si="31"/>
        <v>0</v>
      </c>
      <c r="Q334" s="3">
        <f t="shared" si="32"/>
        <v>8</v>
      </c>
      <c r="R334" s="3">
        <f t="shared" si="28"/>
        <v>672.84999999999991</v>
      </c>
      <c r="S334" s="24"/>
      <c r="T334" s="24"/>
      <c r="U334" s="55"/>
      <c r="V334" s="25" t="s">
        <v>7519</v>
      </c>
      <c r="W334" s="25"/>
      <c r="X334" s="25"/>
      <c r="Y334" s="25"/>
      <c r="Z334" s="25"/>
      <c r="AA334" s="3" t="str">
        <f>IF(Caja_Operativa[[#This Row],[FECHA]]&gt;0,TEXT(Caja_Operativa[[#This Row],[FECHA]],"mmmm"),0)</f>
        <v>Junio</v>
      </c>
    </row>
    <row r="335" spans="1:27" ht="60" x14ac:dyDescent="0.3">
      <c r="A335" s="2">
        <f>IF(Caja_Operativa[[#This Row],[TIPO DE R.]]="R",COUNTIFS($C$1:$C334,"R")+1,"")</f>
        <v>334</v>
      </c>
      <c r="B335" s="19" t="str">
        <f t="shared" si="29"/>
        <v>C-Operativa</v>
      </c>
      <c r="C335" s="3" t="s">
        <v>1330</v>
      </c>
      <c r="D335" s="14">
        <v>45828</v>
      </c>
      <c r="E335" s="5" t="s">
        <v>7514</v>
      </c>
      <c r="F335" s="5" t="s">
        <v>1336</v>
      </c>
      <c r="G335" s="6"/>
      <c r="H335" s="6"/>
      <c r="I335" s="6"/>
      <c r="J335" s="6"/>
      <c r="K335" s="7" t="s">
        <v>7711</v>
      </c>
      <c r="L335" s="8">
        <v>3362597</v>
      </c>
      <c r="M335" s="8" t="str">
        <f t="shared" si="30"/>
        <v>PEN</v>
      </c>
      <c r="N335" s="13"/>
      <c r="O335" s="13">
        <v>8</v>
      </c>
      <c r="P335" s="3">
        <f t="shared" si="31"/>
        <v>0</v>
      </c>
      <c r="Q335" s="3">
        <f t="shared" si="32"/>
        <v>8</v>
      </c>
      <c r="R335" s="3">
        <f t="shared" si="28"/>
        <v>664.84999999999991</v>
      </c>
      <c r="S335" s="24"/>
      <c r="T335" s="24"/>
      <c r="U335" s="55"/>
      <c r="V335" s="25" t="s">
        <v>7519</v>
      </c>
      <c r="W335" s="25"/>
      <c r="X335" s="25"/>
      <c r="Y335" s="25"/>
      <c r="Z335" s="25"/>
      <c r="AA335" s="3" t="str">
        <f>IF(Caja_Operativa[[#This Row],[FECHA]]&gt;0,TEXT(Caja_Operativa[[#This Row],[FECHA]],"mmmm"),0)</f>
        <v>Junio</v>
      </c>
    </row>
    <row r="336" spans="1:27" ht="60" x14ac:dyDescent="0.3">
      <c r="A336" s="2">
        <f>IF(Caja_Operativa[[#This Row],[TIPO DE R.]]="R",COUNTIFS($C$1:$C335,"R")+1,"")</f>
        <v>335</v>
      </c>
      <c r="B336" s="19" t="str">
        <f t="shared" si="29"/>
        <v>C-Operativa</v>
      </c>
      <c r="C336" s="3" t="s">
        <v>1330</v>
      </c>
      <c r="D336" s="14">
        <v>45828</v>
      </c>
      <c r="E336" s="5" t="s">
        <v>7514</v>
      </c>
      <c r="F336" s="5" t="s">
        <v>1336</v>
      </c>
      <c r="G336" s="6"/>
      <c r="H336" s="6"/>
      <c r="I336" s="6"/>
      <c r="J336" s="6"/>
      <c r="K336" s="7" t="s">
        <v>7712</v>
      </c>
      <c r="L336" s="8">
        <v>3390268</v>
      </c>
      <c r="M336" s="8" t="str">
        <f t="shared" si="30"/>
        <v>PEN</v>
      </c>
      <c r="N336" s="13"/>
      <c r="O336" s="13">
        <v>8</v>
      </c>
      <c r="P336" s="3">
        <f t="shared" si="31"/>
        <v>0</v>
      </c>
      <c r="Q336" s="3">
        <f t="shared" si="32"/>
        <v>8</v>
      </c>
      <c r="R336" s="3">
        <f t="shared" si="28"/>
        <v>656.84999999999991</v>
      </c>
      <c r="S336" s="24"/>
      <c r="T336" s="24"/>
      <c r="U336" s="55"/>
      <c r="V336" s="25" t="s">
        <v>7519</v>
      </c>
      <c r="W336" s="25"/>
      <c r="X336" s="25"/>
      <c r="Y336" s="25"/>
      <c r="Z336" s="25"/>
      <c r="AA336" s="3" t="str">
        <f>IF(Caja_Operativa[[#This Row],[FECHA]]&gt;0,TEXT(Caja_Operativa[[#This Row],[FECHA]],"mmmm"),0)</f>
        <v>Junio</v>
      </c>
    </row>
    <row r="337" spans="1:27" ht="60" x14ac:dyDescent="0.3">
      <c r="A337" s="2">
        <f>IF(Caja_Operativa[[#This Row],[TIPO DE R.]]="R",COUNTIFS($C$1:$C336,"R")+1,"")</f>
        <v>336</v>
      </c>
      <c r="B337" s="19" t="str">
        <f t="shared" si="29"/>
        <v>C-Operativa</v>
      </c>
      <c r="C337" s="3" t="s">
        <v>1330</v>
      </c>
      <c r="D337" s="14">
        <v>45828</v>
      </c>
      <c r="E337" s="5" t="s">
        <v>7514</v>
      </c>
      <c r="F337" s="5" t="s">
        <v>1336</v>
      </c>
      <c r="G337" s="6"/>
      <c r="H337" s="6"/>
      <c r="I337" s="6"/>
      <c r="J337" s="6"/>
      <c r="K337" s="7" t="s">
        <v>7713</v>
      </c>
      <c r="L337" s="8">
        <v>3402392</v>
      </c>
      <c r="M337" s="8" t="str">
        <f t="shared" si="30"/>
        <v>PEN</v>
      </c>
      <c r="N337" s="13"/>
      <c r="O337" s="13">
        <v>8</v>
      </c>
      <c r="P337" s="3">
        <f t="shared" si="31"/>
        <v>0</v>
      </c>
      <c r="Q337" s="3">
        <f t="shared" si="32"/>
        <v>8</v>
      </c>
      <c r="R337" s="3">
        <f t="shared" si="28"/>
        <v>648.84999999999991</v>
      </c>
      <c r="S337" s="24"/>
      <c r="T337" s="24"/>
      <c r="U337" s="55"/>
      <c r="V337" s="25" t="s">
        <v>7519</v>
      </c>
      <c r="W337" s="25"/>
      <c r="X337" s="25"/>
      <c r="Y337" s="25"/>
      <c r="Z337" s="25"/>
      <c r="AA337" s="3" t="str">
        <f>IF(Caja_Operativa[[#This Row],[FECHA]]&gt;0,TEXT(Caja_Operativa[[#This Row],[FECHA]],"mmmm"),0)</f>
        <v>Junio</v>
      </c>
    </row>
    <row r="338" spans="1:27" ht="60" x14ac:dyDescent="0.3">
      <c r="A338" s="2">
        <f>IF(Caja_Operativa[[#This Row],[TIPO DE R.]]="R",COUNTIFS($C$1:$C337,"R")+1,"")</f>
        <v>337</v>
      </c>
      <c r="B338" s="19" t="str">
        <f t="shared" si="29"/>
        <v>C-Operativa</v>
      </c>
      <c r="C338" s="3" t="s">
        <v>1330</v>
      </c>
      <c r="D338" s="14">
        <v>45828</v>
      </c>
      <c r="E338" s="5" t="s">
        <v>7514</v>
      </c>
      <c r="F338" s="5" t="s">
        <v>1336</v>
      </c>
      <c r="G338" s="6"/>
      <c r="H338" s="6"/>
      <c r="I338" s="6"/>
      <c r="J338" s="6"/>
      <c r="K338" s="7" t="s">
        <v>7714</v>
      </c>
      <c r="L338" s="8">
        <v>3390974</v>
      </c>
      <c r="M338" s="8" t="str">
        <f t="shared" si="30"/>
        <v>PEN</v>
      </c>
      <c r="N338" s="13"/>
      <c r="O338" s="13">
        <v>8</v>
      </c>
      <c r="P338" s="3">
        <f t="shared" si="31"/>
        <v>0</v>
      </c>
      <c r="Q338" s="3">
        <f t="shared" si="32"/>
        <v>8</v>
      </c>
      <c r="R338" s="3">
        <f t="shared" si="28"/>
        <v>640.84999999999991</v>
      </c>
      <c r="S338" s="24"/>
      <c r="T338" s="24"/>
      <c r="U338" s="55"/>
      <c r="V338" s="25" t="s">
        <v>7519</v>
      </c>
      <c r="W338" s="25"/>
      <c r="X338" s="25"/>
      <c r="Y338" s="25"/>
      <c r="Z338" s="25"/>
      <c r="AA338" s="3" t="str">
        <f>IF(Caja_Operativa[[#This Row],[FECHA]]&gt;0,TEXT(Caja_Operativa[[#This Row],[FECHA]],"mmmm"),0)</f>
        <v>Junio</v>
      </c>
    </row>
    <row r="339" spans="1:27" ht="60" x14ac:dyDescent="0.3">
      <c r="A339" s="2">
        <f>IF(Caja_Operativa[[#This Row],[TIPO DE R.]]="R",COUNTIFS($C$1:$C338,"R")+1,"")</f>
        <v>338</v>
      </c>
      <c r="B339" s="19" t="str">
        <f t="shared" si="29"/>
        <v>C-Operativa</v>
      </c>
      <c r="C339" s="3" t="s">
        <v>1330</v>
      </c>
      <c r="D339" s="14">
        <v>45828</v>
      </c>
      <c r="E339" s="5" t="s">
        <v>7514</v>
      </c>
      <c r="F339" s="5" t="s">
        <v>1336</v>
      </c>
      <c r="G339" s="6"/>
      <c r="H339" s="6"/>
      <c r="I339" s="6"/>
      <c r="J339" s="6"/>
      <c r="K339" s="7" t="s">
        <v>7715</v>
      </c>
      <c r="L339" s="8">
        <v>3406023</v>
      </c>
      <c r="M339" s="8" t="str">
        <f t="shared" si="30"/>
        <v>PEN</v>
      </c>
      <c r="N339" s="13"/>
      <c r="O339" s="13">
        <v>10</v>
      </c>
      <c r="P339" s="3">
        <f t="shared" si="31"/>
        <v>0</v>
      </c>
      <c r="Q339" s="3">
        <f t="shared" si="32"/>
        <v>10</v>
      </c>
      <c r="R339" s="3">
        <f t="shared" si="28"/>
        <v>630.84999999999991</v>
      </c>
      <c r="S339" s="24"/>
      <c r="T339" s="24"/>
      <c r="U339" s="55"/>
      <c r="V339" s="25" t="s">
        <v>7519</v>
      </c>
      <c r="W339" s="25"/>
      <c r="X339" s="25"/>
      <c r="Y339" s="25"/>
      <c r="Z339" s="25"/>
      <c r="AA339" s="3" t="str">
        <f>IF(Caja_Operativa[[#This Row],[FECHA]]&gt;0,TEXT(Caja_Operativa[[#This Row],[FECHA]],"mmmm"),0)</f>
        <v>Junio</v>
      </c>
    </row>
    <row r="340" spans="1:27" ht="24" x14ac:dyDescent="0.3">
      <c r="A340" s="2">
        <f>IF(Caja_Operativa[[#This Row],[TIPO DE R.]]="R",COUNTIFS($C$1:$C339,"R")+1,"")</f>
        <v>339</v>
      </c>
      <c r="B340" s="19" t="str">
        <f t="shared" si="29"/>
        <v>C-Operativa</v>
      </c>
      <c r="C340" s="3" t="s">
        <v>1330</v>
      </c>
      <c r="D340" s="14">
        <v>45828</v>
      </c>
      <c r="E340" s="5" t="s">
        <v>7513</v>
      </c>
      <c r="F340" s="5" t="s">
        <v>1303</v>
      </c>
      <c r="G340" s="6" t="s">
        <v>901</v>
      </c>
      <c r="H340" s="6"/>
      <c r="I340" s="6" t="s">
        <v>7716</v>
      </c>
      <c r="J340" s="6">
        <v>10</v>
      </c>
      <c r="K340" s="7" t="s">
        <v>7540</v>
      </c>
      <c r="L340" s="8"/>
      <c r="M340" s="8" t="str">
        <f t="shared" si="30"/>
        <v>PEN</v>
      </c>
      <c r="N340" s="13"/>
      <c r="O340" s="13">
        <v>3369.15</v>
      </c>
      <c r="P340" s="3">
        <f t="shared" si="31"/>
        <v>3369.15</v>
      </c>
      <c r="Q340" s="3">
        <f t="shared" si="32"/>
        <v>0</v>
      </c>
      <c r="R340" s="3">
        <f t="shared" si="28"/>
        <v>4000</v>
      </c>
      <c r="S340" s="24"/>
      <c r="T340" s="24"/>
      <c r="U340" s="55"/>
      <c r="V340" s="25" t="s">
        <v>7514</v>
      </c>
      <c r="W340" s="25"/>
      <c r="X340" s="25"/>
      <c r="Y340" s="25"/>
      <c r="Z340" s="25"/>
      <c r="AA340" s="3" t="str">
        <f>IF(Caja_Operativa[[#This Row],[FECHA]]&gt;0,TEXT(Caja_Operativa[[#This Row],[FECHA]],"mmmm"),0)</f>
        <v>Junio</v>
      </c>
    </row>
    <row r="341" spans="1:27" x14ac:dyDescent="0.3">
      <c r="A341" s="2">
        <f>IF(Caja_Operativa[[#This Row],[TIPO DE R.]]="R",COUNTIFS($C$1:$C340,"R")+1,"")</f>
        <v>340</v>
      </c>
      <c r="B341" s="19" t="str">
        <f t="shared" si="29"/>
        <v>C-Operativa</v>
      </c>
      <c r="C341" s="3" t="s">
        <v>1330</v>
      </c>
      <c r="D341" s="14">
        <v>45828</v>
      </c>
      <c r="E341" s="5" t="s">
        <v>1335</v>
      </c>
      <c r="F341" s="5" t="s">
        <v>1336</v>
      </c>
      <c r="G341" s="6"/>
      <c r="H341" s="6"/>
      <c r="I341" s="6"/>
      <c r="J341" s="6"/>
      <c r="K341" s="7" t="s">
        <v>5061</v>
      </c>
      <c r="L341" s="8"/>
      <c r="M341" s="8" t="str">
        <f t="shared" si="30"/>
        <v>PEN</v>
      </c>
      <c r="N341" s="13"/>
      <c r="O341" s="13">
        <v>0.2</v>
      </c>
      <c r="P341" s="3">
        <f t="shared" si="31"/>
        <v>0</v>
      </c>
      <c r="Q341" s="3">
        <f t="shared" si="32"/>
        <v>0.2</v>
      </c>
      <c r="R341" s="3">
        <f t="shared" si="28"/>
        <v>3999.8</v>
      </c>
      <c r="S341" s="24"/>
      <c r="T341" s="24"/>
      <c r="U341" s="55"/>
      <c r="V341" s="25"/>
      <c r="W341" s="25"/>
      <c r="X341" s="25"/>
      <c r="Y341" s="25"/>
      <c r="Z341" s="25"/>
      <c r="AA341" s="3" t="str">
        <f>IF(Caja_Operativa[[#This Row],[FECHA]]&gt;0,TEXT(Caja_Operativa[[#This Row],[FECHA]],"mmmm"),0)</f>
        <v>Junio</v>
      </c>
    </row>
    <row r="342" spans="1:27" ht="24" x14ac:dyDescent="0.3">
      <c r="A342" s="2">
        <f>IF(Caja_Operativa[[#This Row],[TIPO DE R.]]="R",COUNTIFS($C$1:$C341,"R")+1,"")</f>
        <v>341</v>
      </c>
      <c r="B342" s="19" t="str">
        <f t="shared" si="29"/>
        <v>C-Operativa</v>
      </c>
      <c r="C342" s="3" t="s">
        <v>1330</v>
      </c>
      <c r="D342" s="14">
        <v>45831</v>
      </c>
      <c r="E342" s="5" t="s">
        <v>7514</v>
      </c>
      <c r="F342" s="5" t="s">
        <v>1336</v>
      </c>
      <c r="G342" s="6" t="s">
        <v>812</v>
      </c>
      <c r="H342" s="6"/>
      <c r="I342" s="6"/>
      <c r="J342" s="6"/>
      <c r="K342" s="7" t="s">
        <v>7516</v>
      </c>
      <c r="L342" s="8">
        <v>3619849</v>
      </c>
      <c r="M342" s="8" t="str">
        <f t="shared" si="30"/>
        <v>PEN</v>
      </c>
      <c r="N342" s="13"/>
      <c r="O342" s="13">
        <v>100</v>
      </c>
      <c r="P342" s="3">
        <f t="shared" si="31"/>
        <v>0</v>
      </c>
      <c r="Q342" s="3">
        <f t="shared" si="32"/>
        <v>100</v>
      </c>
      <c r="R342" s="3">
        <f t="shared" si="28"/>
        <v>3899.8</v>
      </c>
      <c r="S342" s="24" t="s">
        <v>1334</v>
      </c>
      <c r="T342" s="24" t="s">
        <v>1334</v>
      </c>
      <c r="U342" s="55"/>
      <c r="V342" s="25"/>
      <c r="W342" s="25"/>
      <c r="X342" s="25"/>
      <c r="Y342" s="25"/>
      <c r="Z342" s="25"/>
      <c r="AA342" s="3" t="str">
        <f>IF(Caja_Operativa[[#This Row],[FECHA]]&gt;0,TEXT(Caja_Operativa[[#This Row],[FECHA]],"mmmm"),0)</f>
        <v>Junio</v>
      </c>
    </row>
    <row r="343" spans="1:27" ht="24" x14ac:dyDescent="0.3">
      <c r="A343" s="2">
        <f>IF(Caja_Operativa[[#This Row],[TIPO DE R.]]="R",COUNTIFS($C$1:$C342,"R")+1,"")</f>
        <v>342</v>
      </c>
      <c r="B343" s="19" t="str">
        <f t="shared" si="29"/>
        <v>C-Operativa</v>
      </c>
      <c r="C343" s="3" t="s">
        <v>1330</v>
      </c>
      <c r="D343" s="14">
        <v>45831</v>
      </c>
      <c r="E343" s="5" t="s">
        <v>7514</v>
      </c>
      <c r="F343" s="5" t="s">
        <v>1336</v>
      </c>
      <c r="G343" s="6" t="s">
        <v>1019</v>
      </c>
      <c r="H343" s="6"/>
      <c r="I343" s="6"/>
      <c r="J343" s="6"/>
      <c r="K343" s="7" t="s">
        <v>7516</v>
      </c>
      <c r="L343" s="8">
        <v>3645169</v>
      </c>
      <c r="M343" s="8" t="str">
        <f t="shared" si="30"/>
        <v>PEN</v>
      </c>
      <c r="N343" s="13"/>
      <c r="O343" s="13">
        <v>100</v>
      </c>
      <c r="P343" s="3">
        <f t="shared" si="31"/>
        <v>0</v>
      </c>
      <c r="Q343" s="3">
        <f t="shared" si="32"/>
        <v>100</v>
      </c>
      <c r="R343" s="3">
        <f t="shared" si="28"/>
        <v>3799.8</v>
      </c>
      <c r="S343" s="24" t="s">
        <v>1334</v>
      </c>
      <c r="T343" s="24" t="s">
        <v>1334</v>
      </c>
      <c r="U343" s="55"/>
      <c r="V343" s="25"/>
      <c r="W343" s="25"/>
      <c r="X343" s="25"/>
      <c r="Y343" s="25"/>
      <c r="Z343" s="25"/>
      <c r="AA343" s="3" t="str">
        <f>IF(Caja_Operativa[[#This Row],[FECHA]]&gt;0,TEXT(Caja_Operativa[[#This Row],[FECHA]],"mmmm"),0)</f>
        <v>Junio</v>
      </c>
    </row>
    <row r="344" spans="1:27" x14ac:dyDescent="0.3">
      <c r="A344" s="2">
        <f>IF(Caja_Operativa[[#This Row],[TIPO DE R.]]="R",COUNTIFS($C$1:$C343,"R")+1,"")</f>
        <v>343</v>
      </c>
      <c r="B344" s="19" t="str">
        <f t="shared" si="29"/>
        <v>C-Operativa</v>
      </c>
      <c r="C344" s="3" t="s">
        <v>1330</v>
      </c>
      <c r="D344" s="14">
        <v>45831</v>
      </c>
      <c r="E344" s="5" t="s">
        <v>7514</v>
      </c>
      <c r="F344" s="5" t="s">
        <v>1336</v>
      </c>
      <c r="G344" s="6" t="s">
        <v>876</v>
      </c>
      <c r="H344" s="6"/>
      <c r="I344" s="6"/>
      <c r="J344" s="6"/>
      <c r="K344" s="7" t="s">
        <v>7516</v>
      </c>
      <c r="L344" s="8">
        <v>3670126</v>
      </c>
      <c r="M344" s="8" t="str">
        <f t="shared" si="30"/>
        <v>PEN</v>
      </c>
      <c r="N344" s="13"/>
      <c r="O344" s="13">
        <v>90</v>
      </c>
      <c r="P344" s="3">
        <f t="shared" si="31"/>
        <v>0</v>
      </c>
      <c r="Q344" s="3">
        <f t="shared" si="32"/>
        <v>90</v>
      </c>
      <c r="R344" s="3">
        <f t="shared" si="28"/>
        <v>3709.8</v>
      </c>
      <c r="S344" s="24" t="s">
        <v>1334</v>
      </c>
      <c r="T344" s="24" t="s">
        <v>1334</v>
      </c>
      <c r="U344" s="55"/>
      <c r="V344" s="25"/>
      <c r="W344" s="25"/>
      <c r="X344" s="25"/>
      <c r="Y344" s="25"/>
      <c r="Z344" s="25"/>
      <c r="AA344" s="3" t="str">
        <f>IF(Caja_Operativa[[#This Row],[FECHA]]&gt;0,TEXT(Caja_Operativa[[#This Row],[FECHA]],"mmmm"),0)</f>
        <v>Junio</v>
      </c>
    </row>
    <row r="345" spans="1:27" x14ac:dyDescent="0.3">
      <c r="A345" s="2">
        <f>IF(Caja_Operativa[[#This Row],[TIPO DE R.]]="R",COUNTIFS($C$1:$C344,"R")+1,"")</f>
        <v>344</v>
      </c>
      <c r="B345" s="19" t="str">
        <f t="shared" si="29"/>
        <v>C-Operativa</v>
      </c>
      <c r="C345" s="3" t="s">
        <v>1330</v>
      </c>
      <c r="D345" s="14">
        <v>45832</v>
      </c>
      <c r="E345" s="5" t="s">
        <v>7514</v>
      </c>
      <c r="F345" s="5" t="s">
        <v>1336</v>
      </c>
      <c r="G345" s="6" t="s">
        <v>876</v>
      </c>
      <c r="H345" s="6"/>
      <c r="I345" s="6"/>
      <c r="J345" s="6"/>
      <c r="K345" s="7" t="s">
        <v>7516</v>
      </c>
      <c r="L345" s="8">
        <v>2066575</v>
      </c>
      <c r="M345" s="8" t="str">
        <f t="shared" si="30"/>
        <v>PEN</v>
      </c>
      <c r="N345" s="13"/>
      <c r="O345" s="13">
        <v>100</v>
      </c>
      <c r="P345" s="3">
        <f t="shared" si="31"/>
        <v>0</v>
      </c>
      <c r="Q345" s="3">
        <f t="shared" si="32"/>
        <v>100</v>
      </c>
      <c r="R345" s="3">
        <f t="shared" si="28"/>
        <v>3609.8</v>
      </c>
      <c r="S345" s="24" t="s">
        <v>1334</v>
      </c>
      <c r="T345" s="24" t="s">
        <v>1334</v>
      </c>
      <c r="U345" s="55"/>
      <c r="V345" s="25"/>
      <c r="W345" s="25"/>
      <c r="X345" s="25"/>
      <c r="Y345" s="25"/>
      <c r="Z345" s="25"/>
      <c r="AA345" s="3" t="str">
        <f>IF(Caja_Operativa[[#This Row],[FECHA]]&gt;0,TEXT(Caja_Operativa[[#This Row],[FECHA]],"mmmm"),0)</f>
        <v>Junio</v>
      </c>
    </row>
    <row r="346" spans="1:27" ht="24" x14ac:dyDescent="0.3">
      <c r="A346" s="2">
        <f>IF(Caja_Operativa[[#This Row],[TIPO DE R.]]="R",COUNTIFS($C$1:$C345,"R")+1,"")</f>
        <v>345</v>
      </c>
      <c r="B346" s="19" t="str">
        <f t="shared" si="29"/>
        <v>C-Operativa</v>
      </c>
      <c r="C346" s="3" t="s">
        <v>1330</v>
      </c>
      <c r="D346" s="14">
        <v>45833</v>
      </c>
      <c r="E346" s="5" t="s">
        <v>7514</v>
      </c>
      <c r="F346" s="5" t="s">
        <v>1336</v>
      </c>
      <c r="G346" s="6" t="s">
        <v>922</v>
      </c>
      <c r="H346" s="6"/>
      <c r="I346" s="6"/>
      <c r="J346" s="6"/>
      <c r="K346" s="7" t="s">
        <v>7537</v>
      </c>
      <c r="L346" s="8">
        <v>878890</v>
      </c>
      <c r="M346" s="8" t="str">
        <f t="shared" si="30"/>
        <v>PEN</v>
      </c>
      <c r="N346" s="13"/>
      <c r="O346" s="13">
        <v>110</v>
      </c>
      <c r="P346" s="3">
        <f t="shared" si="31"/>
        <v>0</v>
      </c>
      <c r="Q346" s="3">
        <f t="shared" si="32"/>
        <v>110</v>
      </c>
      <c r="R346" s="3">
        <f t="shared" si="28"/>
        <v>3499.8</v>
      </c>
      <c r="S346" s="24" t="s">
        <v>1334</v>
      </c>
      <c r="T346" s="24" t="s">
        <v>1334</v>
      </c>
      <c r="U346" s="55"/>
      <c r="V346" s="25"/>
      <c r="W346" s="25"/>
      <c r="X346" s="25"/>
      <c r="Y346" s="25"/>
      <c r="Z346" s="25"/>
      <c r="AA346" s="3" t="str">
        <f>IF(Caja_Operativa[[#This Row],[FECHA]]&gt;0,TEXT(Caja_Operativa[[#This Row],[FECHA]],"mmmm"),0)</f>
        <v>Junio</v>
      </c>
    </row>
    <row r="347" spans="1:27" ht="60" x14ac:dyDescent="0.3">
      <c r="A347" s="2">
        <f>IF(Caja_Operativa[[#This Row],[TIPO DE R.]]="R",COUNTIFS($C$1:$C346,"R")+1,"")</f>
        <v>346</v>
      </c>
      <c r="B347" s="19" t="str">
        <f t="shared" si="29"/>
        <v>C-Operativa</v>
      </c>
      <c r="C347" s="3" t="s">
        <v>1330</v>
      </c>
      <c r="D347" s="14">
        <v>45833</v>
      </c>
      <c r="E347" s="5" t="s">
        <v>7514</v>
      </c>
      <c r="F347" s="5" t="s">
        <v>1336</v>
      </c>
      <c r="G347" s="6"/>
      <c r="H347" s="6"/>
      <c r="I347" s="6"/>
      <c r="J347" s="6"/>
      <c r="K347" s="7" t="s">
        <v>7717</v>
      </c>
      <c r="L347" s="8">
        <v>3418651</v>
      </c>
      <c r="M347" s="8" t="str">
        <f t="shared" si="30"/>
        <v>PEN</v>
      </c>
      <c r="N347" s="13"/>
      <c r="O347" s="13">
        <v>10</v>
      </c>
      <c r="P347" s="3">
        <f t="shared" si="31"/>
        <v>0</v>
      </c>
      <c r="Q347" s="3">
        <f t="shared" si="32"/>
        <v>10</v>
      </c>
      <c r="R347" s="3">
        <f t="shared" si="28"/>
        <v>3489.8</v>
      </c>
      <c r="S347" s="24"/>
      <c r="T347" s="24"/>
      <c r="U347" s="55"/>
      <c r="V347" s="25" t="s">
        <v>7519</v>
      </c>
      <c r="W347" s="25"/>
      <c r="X347" s="25"/>
      <c r="Y347" s="25"/>
      <c r="Z347" s="25"/>
      <c r="AA347" s="3" t="str">
        <f>IF(Caja_Operativa[[#This Row],[FECHA]]&gt;0,TEXT(Caja_Operativa[[#This Row],[FECHA]],"mmmm"),0)</f>
        <v>Junio</v>
      </c>
    </row>
    <row r="348" spans="1:27" ht="60" x14ac:dyDescent="0.3">
      <c r="A348" s="2">
        <f>IF(Caja_Operativa[[#This Row],[TIPO DE R.]]="R",COUNTIFS($C$1:$C347,"R")+1,"")</f>
        <v>347</v>
      </c>
      <c r="B348" s="19" t="str">
        <f t="shared" si="29"/>
        <v>C-Operativa</v>
      </c>
      <c r="C348" s="3" t="s">
        <v>1330</v>
      </c>
      <c r="D348" s="14">
        <v>45833</v>
      </c>
      <c r="E348" s="5" t="s">
        <v>7514</v>
      </c>
      <c r="F348" s="5" t="s">
        <v>1336</v>
      </c>
      <c r="G348" s="6"/>
      <c r="H348" s="6"/>
      <c r="I348" s="6"/>
      <c r="J348" s="6"/>
      <c r="K348" s="7" t="s">
        <v>7718</v>
      </c>
      <c r="L348" s="8">
        <v>3419035</v>
      </c>
      <c r="M348" s="8" t="str">
        <f t="shared" si="30"/>
        <v>PEN</v>
      </c>
      <c r="N348" s="13"/>
      <c r="O348" s="13">
        <v>18</v>
      </c>
      <c r="P348" s="3">
        <f t="shared" si="31"/>
        <v>0</v>
      </c>
      <c r="Q348" s="3">
        <f t="shared" si="32"/>
        <v>18</v>
      </c>
      <c r="R348" s="3">
        <f t="shared" si="28"/>
        <v>3471.8</v>
      </c>
      <c r="S348" s="24"/>
      <c r="T348" s="24"/>
      <c r="U348" s="55"/>
      <c r="V348" s="25" t="s">
        <v>7519</v>
      </c>
      <c r="W348" s="25"/>
      <c r="X348" s="25"/>
      <c r="Y348" s="25"/>
      <c r="Z348" s="25"/>
      <c r="AA348" s="3" t="str">
        <f>IF(Caja_Operativa[[#This Row],[FECHA]]&gt;0,TEXT(Caja_Operativa[[#This Row],[FECHA]],"mmmm"),0)</f>
        <v>Junio</v>
      </c>
    </row>
    <row r="349" spans="1:27" ht="60" x14ac:dyDescent="0.3">
      <c r="A349" s="2">
        <f>IF(Caja_Operativa[[#This Row],[TIPO DE R.]]="R",COUNTIFS($C$1:$C348,"R")+1,"")</f>
        <v>348</v>
      </c>
      <c r="B349" s="19" t="str">
        <f t="shared" si="29"/>
        <v>C-Operativa</v>
      </c>
      <c r="C349" s="3" t="s">
        <v>1330</v>
      </c>
      <c r="D349" s="14">
        <v>45833</v>
      </c>
      <c r="E349" s="5" t="s">
        <v>7514</v>
      </c>
      <c r="F349" s="5" t="s">
        <v>1336</v>
      </c>
      <c r="G349" s="6"/>
      <c r="H349" s="6"/>
      <c r="I349" s="6"/>
      <c r="J349" s="6"/>
      <c r="K349" s="7" t="s">
        <v>7719</v>
      </c>
      <c r="L349" s="8">
        <v>3389838</v>
      </c>
      <c r="M349" s="8" t="str">
        <f t="shared" si="30"/>
        <v>PEN</v>
      </c>
      <c r="N349" s="13"/>
      <c r="O349" s="13">
        <v>8</v>
      </c>
      <c r="P349" s="3">
        <f t="shared" si="31"/>
        <v>0</v>
      </c>
      <c r="Q349" s="3">
        <f t="shared" si="32"/>
        <v>8</v>
      </c>
      <c r="R349" s="3">
        <f t="shared" si="28"/>
        <v>3463.8</v>
      </c>
      <c r="S349" s="24"/>
      <c r="T349" s="24"/>
      <c r="U349" s="55"/>
      <c r="V349" s="25" t="s">
        <v>7519</v>
      </c>
      <c r="W349" s="25"/>
      <c r="X349" s="25"/>
      <c r="Y349" s="25"/>
      <c r="Z349" s="25"/>
      <c r="AA349" s="3" t="str">
        <f>IF(Caja_Operativa[[#This Row],[FECHA]]&gt;0,TEXT(Caja_Operativa[[#This Row],[FECHA]],"mmmm"),0)</f>
        <v>Junio</v>
      </c>
    </row>
    <row r="350" spans="1:27" ht="60" x14ac:dyDescent="0.3">
      <c r="A350" s="2">
        <f>IF(Caja_Operativa[[#This Row],[TIPO DE R.]]="R",COUNTIFS($C$1:$C349,"R")+1,"")</f>
        <v>349</v>
      </c>
      <c r="B350" s="19" t="str">
        <f t="shared" si="29"/>
        <v>C-Operativa</v>
      </c>
      <c r="C350" s="3" t="s">
        <v>1330</v>
      </c>
      <c r="D350" s="14">
        <v>45833</v>
      </c>
      <c r="E350" s="5" t="s">
        <v>7514</v>
      </c>
      <c r="F350" s="5" t="s">
        <v>1336</v>
      </c>
      <c r="G350" s="6"/>
      <c r="H350" s="6"/>
      <c r="I350" s="6"/>
      <c r="J350" s="6"/>
      <c r="K350" s="7" t="s">
        <v>7720</v>
      </c>
      <c r="L350" s="8">
        <v>3438079</v>
      </c>
      <c r="M350" s="8" t="str">
        <f t="shared" si="30"/>
        <v>PEN</v>
      </c>
      <c r="N350" s="13"/>
      <c r="O350" s="13">
        <v>20</v>
      </c>
      <c r="P350" s="3">
        <f t="shared" si="31"/>
        <v>0</v>
      </c>
      <c r="Q350" s="3">
        <f t="shared" si="32"/>
        <v>20</v>
      </c>
      <c r="R350" s="3">
        <f t="shared" si="28"/>
        <v>3443.8</v>
      </c>
      <c r="S350" s="24"/>
      <c r="T350" s="24"/>
      <c r="U350" s="55"/>
      <c r="V350" s="25" t="s">
        <v>7519</v>
      </c>
      <c r="W350" s="25"/>
      <c r="X350" s="25"/>
      <c r="Y350" s="25"/>
      <c r="Z350" s="25"/>
      <c r="AA350" s="3" t="str">
        <f>IF(Caja_Operativa[[#This Row],[FECHA]]&gt;0,TEXT(Caja_Operativa[[#This Row],[FECHA]],"mmmm"),0)</f>
        <v>Junio</v>
      </c>
    </row>
    <row r="351" spans="1:27" ht="60" x14ac:dyDescent="0.3">
      <c r="A351" s="2">
        <f>IF(Caja_Operativa[[#This Row],[TIPO DE R.]]="R",COUNTIFS($C$1:$C350,"R")+1,"")</f>
        <v>350</v>
      </c>
      <c r="B351" s="19" t="str">
        <f t="shared" si="29"/>
        <v>C-Operativa</v>
      </c>
      <c r="C351" s="3" t="s">
        <v>1330</v>
      </c>
      <c r="D351" s="14">
        <v>45833</v>
      </c>
      <c r="E351" s="5" t="s">
        <v>7514</v>
      </c>
      <c r="F351" s="5" t="s">
        <v>1336</v>
      </c>
      <c r="G351" s="6"/>
      <c r="H351" s="6"/>
      <c r="I351" s="6"/>
      <c r="J351" s="6"/>
      <c r="K351" s="7" t="s">
        <v>7721</v>
      </c>
      <c r="L351" s="8">
        <v>3453448</v>
      </c>
      <c r="M351" s="8" t="str">
        <f t="shared" si="30"/>
        <v>PEN</v>
      </c>
      <c r="N351" s="13"/>
      <c r="O351" s="13">
        <v>8</v>
      </c>
      <c r="P351" s="3">
        <f t="shared" si="31"/>
        <v>0</v>
      </c>
      <c r="Q351" s="3">
        <f t="shared" si="32"/>
        <v>8</v>
      </c>
      <c r="R351" s="3">
        <f t="shared" si="28"/>
        <v>3435.8</v>
      </c>
      <c r="S351" s="24"/>
      <c r="T351" s="24"/>
      <c r="U351" s="55"/>
      <c r="V351" s="25" t="s">
        <v>7519</v>
      </c>
      <c r="W351" s="25"/>
      <c r="X351" s="25"/>
      <c r="Y351" s="25"/>
      <c r="Z351" s="25"/>
      <c r="AA351" s="3" t="str">
        <f>IF(Caja_Operativa[[#This Row],[FECHA]]&gt;0,TEXT(Caja_Operativa[[#This Row],[FECHA]],"mmmm"),0)</f>
        <v>Junio</v>
      </c>
    </row>
    <row r="352" spans="1:27" ht="60" x14ac:dyDescent="0.3">
      <c r="A352" s="2">
        <f>IF(Caja_Operativa[[#This Row],[TIPO DE R.]]="R",COUNTIFS($C$1:$C351,"R")+1,"")</f>
        <v>351</v>
      </c>
      <c r="B352" s="19" t="str">
        <f t="shared" si="29"/>
        <v>C-Operativa</v>
      </c>
      <c r="C352" s="3" t="s">
        <v>1330</v>
      </c>
      <c r="D352" s="14">
        <v>45833</v>
      </c>
      <c r="E352" s="5" t="s">
        <v>7514</v>
      </c>
      <c r="F352" s="5" t="s">
        <v>1336</v>
      </c>
      <c r="G352" s="6"/>
      <c r="H352" s="6"/>
      <c r="I352" s="6"/>
      <c r="J352" s="6"/>
      <c r="K352" s="7" t="s">
        <v>7722</v>
      </c>
      <c r="L352" s="8">
        <v>3436088</v>
      </c>
      <c r="M352" s="8" t="str">
        <f t="shared" si="30"/>
        <v>PEN</v>
      </c>
      <c r="N352" s="13"/>
      <c r="O352" s="13">
        <v>10</v>
      </c>
      <c r="P352" s="3">
        <f t="shared" si="31"/>
        <v>0</v>
      </c>
      <c r="Q352" s="3">
        <f t="shared" si="32"/>
        <v>10</v>
      </c>
      <c r="R352" s="3">
        <f t="shared" si="28"/>
        <v>3425.8</v>
      </c>
      <c r="S352" s="24"/>
      <c r="T352" s="24"/>
      <c r="U352" s="55"/>
      <c r="V352" s="25" t="s">
        <v>7519</v>
      </c>
      <c r="W352" s="25"/>
      <c r="X352" s="25"/>
      <c r="Y352" s="25"/>
      <c r="Z352" s="25"/>
      <c r="AA352" s="3" t="str">
        <f>IF(Caja_Operativa[[#This Row],[FECHA]]&gt;0,TEXT(Caja_Operativa[[#This Row],[FECHA]],"mmmm"),0)</f>
        <v>Junio</v>
      </c>
    </row>
    <row r="353" spans="1:27" ht="60" x14ac:dyDescent="0.3">
      <c r="A353" s="2">
        <f>IF(Caja_Operativa[[#This Row],[TIPO DE R.]]="R",COUNTIFS($C$1:$C352,"R")+1,"")</f>
        <v>352</v>
      </c>
      <c r="B353" s="19" t="str">
        <f t="shared" si="29"/>
        <v>C-Operativa</v>
      </c>
      <c r="C353" s="3" t="s">
        <v>1330</v>
      </c>
      <c r="D353" s="14">
        <v>45833</v>
      </c>
      <c r="E353" s="5" t="s">
        <v>7514</v>
      </c>
      <c r="F353" s="5" t="s">
        <v>1336</v>
      </c>
      <c r="G353" s="6"/>
      <c r="H353" s="6"/>
      <c r="I353" s="6"/>
      <c r="J353" s="6"/>
      <c r="K353" s="7" t="s">
        <v>7723</v>
      </c>
      <c r="L353" s="8">
        <v>3430420</v>
      </c>
      <c r="M353" s="8" t="str">
        <f t="shared" si="30"/>
        <v>PEN</v>
      </c>
      <c r="N353" s="13"/>
      <c r="O353" s="13">
        <v>8</v>
      </c>
      <c r="P353" s="3">
        <f t="shared" si="31"/>
        <v>0</v>
      </c>
      <c r="Q353" s="3">
        <f t="shared" si="32"/>
        <v>8</v>
      </c>
      <c r="R353" s="3">
        <f t="shared" si="28"/>
        <v>3417.8</v>
      </c>
      <c r="S353" s="24"/>
      <c r="T353" s="24"/>
      <c r="U353" s="55"/>
      <c r="V353" s="25" t="s">
        <v>7519</v>
      </c>
      <c r="W353" s="25"/>
      <c r="X353" s="25"/>
      <c r="Y353" s="25"/>
      <c r="Z353" s="25"/>
      <c r="AA353" s="3" t="str">
        <f>IF(Caja_Operativa[[#This Row],[FECHA]]&gt;0,TEXT(Caja_Operativa[[#This Row],[FECHA]],"mmmm"),0)</f>
        <v>Junio</v>
      </c>
    </row>
    <row r="354" spans="1:27" ht="24" x14ac:dyDescent="0.3">
      <c r="A354" s="2">
        <f>IF(Caja_Operativa[[#This Row],[TIPO DE R.]]="R",COUNTIFS($C$1:$C353,"R")+1,"")</f>
        <v>353</v>
      </c>
      <c r="B354" s="19" t="str">
        <f t="shared" si="29"/>
        <v>C-Operativa</v>
      </c>
      <c r="C354" s="3" t="s">
        <v>1330</v>
      </c>
      <c r="D354" s="14">
        <v>45839</v>
      </c>
      <c r="E354" s="5" t="s">
        <v>7514</v>
      </c>
      <c r="F354" s="5" t="s">
        <v>1336</v>
      </c>
      <c r="G354" s="6" t="s">
        <v>812</v>
      </c>
      <c r="H354" s="6"/>
      <c r="I354" s="6"/>
      <c r="J354" s="6"/>
      <c r="K354" s="7" t="s">
        <v>7516</v>
      </c>
      <c r="L354" s="8">
        <v>2867731</v>
      </c>
      <c r="M354" s="8" t="str">
        <f t="shared" si="30"/>
        <v>PEN</v>
      </c>
      <c r="N354" s="13"/>
      <c r="O354" s="13">
        <v>180</v>
      </c>
      <c r="P354" s="3">
        <f t="shared" si="31"/>
        <v>0</v>
      </c>
      <c r="Q354" s="3">
        <f t="shared" si="32"/>
        <v>180</v>
      </c>
      <c r="R354" s="3">
        <f t="shared" si="28"/>
        <v>3237.8</v>
      </c>
      <c r="S354" s="24" t="s">
        <v>1334</v>
      </c>
      <c r="T354" s="24" t="s">
        <v>1334</v>
      </c>
      <c r="U354" s="55"/>
      <c r="V354" s="25"/>
      <c r="W354" s="25"/>
      <c r="X354" s="25"/>
      <c r="Y354" s="25"/>
      <c r="Z354" s="25"/>
      <c r="AA354" s="3" t="str">
        <f>IF(Caja_Operativa[[#This Row],[FECHA]]&gt;0,TEXT(Caja_Operativa[[#This Row],[FECHA]],"mmmm"),0)</f>
        <v>Julio</v>
      </c>
    </row>
    <row r="355" spans="1:27" ht="24" x14ac:dyDescent="0.3">
      <c r="A355" s="2">
        <f>IF(Caja_Operativa[[#This Row],[TIPO DE R.]]="R",COUNTIFS($C$1:$C354,"R")+1,"")</f>
        <v>354</v>
      </c>
      <c r="B355" s="19" t="str">
        <f t="shared" si="29"/>
        <v>C-Operativa</v>
      </c>
      <c r="C355" s="3" t="s">
        <v>1330</v>
      </c>
      <c r="D355" s="14">
        <v>45839</v>
      </c>
      <c r="E355" s="5" t="s">
        <v>7514</v>
      </c>
      <c r="F355" s="5" t="s">
        <v>1336</v>
      </c>
      <c r="G355" s="6" t="s">
        <v>888</v>
      </c>
      <c r="H355" s="6"/>
      <c r="I355" s="6"/>
      <c r="J355" s="6"/>
      <c r="K355" s="7" t="s">
        <v>7516</v>
      </c>
      <c r="L355" s="8">
        <v>2882081</v>
      </c>
      <c r="M355" s="8" t="str">
        <f t="shared" si="30"/>
        <v>PEN</v>
      </c>
      <c r="N355" s="13"/>
      <c r="O355" s="13">
        <v>110</v>
      </c>
      <c r="P355" s="3">
        <f t="shared" si="31"/>
        <v>0</v>
      </c>
      <c r="Q355" s="3">
        <f t="shared" si="32"/>
        <v>110</v>
      </c>
      <c r="R355" s="3">
        <f t="shared" si="28"/>
        <v>3127.8</v>
      </c>
      <c r="S355" s="24" t="s">
        <v>1334</v>
      </c>
      <c r="T355" s="24" t="s">
        <v>1334</v>
      </c>
      <c r="U355" s="55"/>
      <c r="V355" s="25"/>
      <c r="W355" s="25"/>
      <c r="X355" s="25"/>
      <c r="Y355" s="25"/>
      <c r="Z355" s="25"/>
      <c r="AA355" s="3" t="str">
        <f>IF(Caja_Operativa[[#This Row],[FECHA]]&gt;0,TEXT(Caja_Operativa[[#This Row],[FECHA]],"mmmm"),0)</f>
        <v>Julio</v>
      </c>
    </row>
    <row r="356" spans="1:27" ht="24" x14ac:dyDescent="0.3">
      <c r="A356" s="2">
        <f>IF(Caja_Operativa[[#This Row],[TIPO DE R.]]="R",COUNTIFS($C$1:$C355,"R")+1,"")</f>
        <v>355</v>
      </c>
      <c r="B356" s="19" t="str">
        <f t="shared" si="29"/>
        <v>C-Operativa</v>
      </c>
      <c r="C356" s="3" t="s">
        <v>1330</v>
      </c>
      <c r="D356" s="14">
        <v>45839</v>
      </c>
      <c r="E356" s="5" t="s">
        <v>7514</v>
      </c>
      <c r="F356" s="5" t="s">
        <v>1336</v>
      </c>
      <c r="G356" s="6" t="s">
        <v>957</v>
      </c>
      <c r="H356" s="6"/>
      <c r="I356" s="6"/>
      <c r="J356" s="6"/>
      <c r="K356" s="7" t="s">
        <v>7516</v>
      </c>
      <c r="L356" s="8">
        <v>2940229</v>
      </c>
      <c r="M356" s="8" t="str">
        <f t="shared" si="30"/>
        <v>PEN</v>
      </c>
      <c r="N356" s="13"/>
      <c r="O356" s="13">
        <v>140</v>
      </c>
      <c r="P356" s="3">
        <f t="shared" si="31"/>
        <v>0</v>
      </c>
      <c r="Q356" s="3">
        <f t="shared" si="32"/>
        <v>140</v>
      </c>
      <c r="R356" s="3">
        <f t="shared" si="28"/>
        <v>2987.8</v>
      </c>
      <c r="S356" s="24" t="s">
        <v>1334</v>
      </c>
      <c r="T356" s="24" t="s">
        <v>1334</v>
      </c>
      <c r="U356" s="55"/>
      <c r="V356" s="25"/>
      <c r="W356" s="25"/>
      <c r="X356" s="25"/>
      <c r="Y356" s="25"/>
      <c r="Z356" s="25"/>
      <c r="AA356" s="3" t="str">
        <f>IF(Caja_Operativa[[#This Row],[FECHA]]&gt;0,TEXT(Caja_Operativa[[#This Row],[FECHA]],"mmmm"),0)</f>
        <v>Julio</v>
      </c>
    </row>
    <row r="357" spans="1:27" ht="24" x14ac:dyDescent="0.3">
      <c r="A357" s="2">
        <f>IF(Caja_Operativa[[#This Row],[TIPO DE R.]]="R",COUNTIFS($C$1:$C356,"R")+1,"")</f>
        <v>356</v>
      </c>
      <c r="B357" s="19" t="str">
        <f t="shared" si="29"/>
        <v>C-Operativa</v>
      </c>
      <c r="C357" s="3" t="s">
        <v>1330</v>
      </c>
      <c r="D357" s="14">
        <v>45839</v>
      </c>
      <c r="E357" s="5" t="s">
        <v>7514</v>
      </c>
      <c r="F357" s="5" t="s">
        <v>1336</v>
      </c>
      <c r="G357" s="6" t="s">
        <v>1019</v>
      </c>
      <c r="H357" s="6"/>
      <c r="I357" s="6"/>
      <c r="J357" s="6"/>
      <c r="K357" s="7" t="s">
        <v>7516</v>
      </c>
      <c r="L357" s="8">
        <v>2929348</v>
      </c>
      <c r="M357" s="8" t="str">
        <f t="shared" si="30"/>
        <v>PEN</v>
      </c>
      <c r="N357" s="13"/>
      <c r="O357" s="13">
        <v>110</v>
      </c>
      <c r="P357" s="3">
        <f t="shared" si="31"/>
        <v>0</v>
      </c>
      <c r="Q357" s="3">
        <f t="shared" si="32"/>
        <v>110</v>
      </c>
      <c r="R357" s="3">
        <f t="shared" si="28"/>
        <v>2877.8</v>
      </c>
      <c r="S357" s="24" t="s">
        <v>1334</v>
      </c>
      <c r="T357" s="24" t="s">
        <v>1334</v>
      </c>
      <c r="U357" s="55"/>
      <c r="V357" s="25"/>
      <c r="W357" s="25"/>
      <c r="X357" s="25"/>
      <c r="Y357" s="25"/>
      <c r="Z357" s="25"/>
      <c r="AA357" s="3" t="str">
        <f>IF(Caja_Operativa[[#This Row],[FECHA]]&gt;0,TEXT(Caja_Operativa[[#This Row],[FECHA]],"mmmm"),0)</f>
        <v>Julio</v>
      </c>
    </row>
    <row r="358" spans="1:27" ht="24" x14ac:dyDescent="0.3">
      <c r="A358" s="2">
        <f>IF(Caja_Operativa[[#This Row],[TIPO DE R.]]="R",COUNTIFS($C$1:$C357,"R")+1,"")</f>
        <v>357</v>
      </c>
      <c r="B358" s="19" t="str">
        <f t="shared" si="29"/>
        <v>C-Operativa</v>
      </c>
      <c r="C358" s="3" t="s">
        <v>1330</v>
      </c>
      <c r="D358" s="14">
        <v>45839</v>
      </c>
      <c r="E358" s="5" t="s">
        <v>7514</v>
      </c>
      <c r="F358" s="5" t="s">
        <v>1336</v>
      </c>
      <c r="G358" s="6" t="s">
        <v>692</v>
      </c>
      <c r="H358" s="6"/>
      <c r="I358" s="6"/>
      <c r="J358" s="6"/>
      <c r="K358" s="7" t="s">
        <v>7516</v>
      </c>
      <c r="L358" s="8">
        <v>2957059</v>
      </c>
      <c r="M358" s="8" t="str">
        <f t="shared" si="30"/>
        <v>PEN</v>
      </c>
      <c r="N358" s="13"/>
      <c r="O358" s="13">
        <v>150</v>
      </c>
      <c r="P358" s="3">
        <f t="shared" si="31"/>
        <v>0</v>
      </c>
      <c r="Q358" s="3">
        <f t="shared" si="32"/>
        <v>150</v>
      </c>
      <c r="R358" s="3">
        <f t="shared" si="28"/>
        <v>2727.8</v>
      </c>
      <c r="S358" s="24" t="s">
        <v>1334</v>
      </c>
      <c r="T358" s="24" t="s">
        <v>1334</v>
      </c>
      <c r="U358" s="55"/>
      <c r="V358" s="25"/>
      <c r="W358" s="25"/>
      <c r="X358" s="25"/>
      <c r="Y358" s="25"/>
      <c r="Z358" s="25"/>
      <c r="AA358" s="3" t="str">
        <f>IF(Caja_Operativa[[#This Row],[FECHA]]&gt;0,TEXT(Caja_Operativa[[#This Row],[FECHA]],"mmmm"),0)</f>
        <v>Julio</v>
      </c>
    </row>
    <row r="359" spans="1:27" ht="24" x14ac:dyDescent="0.3">
      <c r="A359" s="2">
        <f>IF(Caja_Operativa[[#This Row],[TIPO DE R.]]="R",COUNTIFS($C$1:$C358,"R")+1,"")</f>
        <v>358</v>
      </c>
      <c r="B359" s="19" t="str">
        <f t="shared" si="29"/>
        <v>C-Operativa</v>
      </c>
      <c r="C359" s="3" t="s">
        <v>1330</v>
      </c>
      <c r="D359" s="14">
        <v>45839</v>
      </c>
      <c r="E359" s="5" t="s">
        <v>7514</v>
      </c>
      <c r="F359" s="5" t="s">
        <v>1336</v>
      </c>
      <c r="G359" s="6" t="s">
        <v>922</v>
      </c>
      <c r="H359" s="6"/>
      <c r="I359" s="6"/>
      <c r="J359" s="6"/>
      <c r="K359" s="7" t="s">
        <v>7537</v>
      </c>
      <c r="L359" s="8">
        <v>2985128</v>
      </c>
      <c r="M359" s="8" t="str">
        <f t="shared" si="30"/>
        <v>PEN</v>
      </c>
      <c r="N359" s="13"/>
      <c r="O359" s="13">
        <v>30</v>
      </c>
      <c r="P359" s="3">
        <f t="shared" si="31"/>
        <v>0</v>
      </c>
      <c r="Q359" s="3">
        <f t="shared" si="32"/>
        <v>30</v>
      </c>
      <c r="R359" s="3">
        <f t="shared" si="28"/>
        <v>2697.8</v>
      </c>
      <c r="S359" s="24" t="s">
        <v>1334</v>
      </c>
      <c r="T359" s="24" t="s">
        <v>1334</v>
      </c>
      <c r="U359" s="55"/>
      <c r="V359" s="25"/>
      <c r="W359" s="25"/>
      <c r="X359" s="25"/>
      <c r="Y359" s="25"/>
      <c r="Z359" s="25"/>
      <c r="AA359" s="3" t="str">
        <f>IF(Caja_Operativa[[#This Row],[FECHA]]&gt;0,TEXT(Caja_Operativa[[#This Row],[FECHA]],"mmmm"),0)</f>
        <v>Julio</v>
      </c>
    </row>
    <row r="360" spans="1:27" ht="24" x14ac:dyDescent="0.3">
      <c r="A360" s="2">
        <f>IF(Caja_Operativa[[#This Row],[TIPO DE R.]]="R",COUNTIFS($C$1:$C359,"R")+1,"")</f>
        <v>359</v>
      </c>
      <c r="B360" s="19" t="str">
        <f t="shared" si="29"/>
        <v>C-Operativa</v>
      </c>
      <c r="C360" s="3" t="s">
        <v>1330</v>
      </c>
      <c r="D360" s="14">
        <v>45839</v>
      </c>
      <c r="E360" s="5" t="s">
        <v>7514</v>
      </c>
      <c r="F360" s="5" t="s">
        <v>1336</v>
      </c>
      <c r="G360" s="6"/>
      <c r="H360" s="6"/>
      <c r="I360" s="6"/>
      <c r="J360" s="6"/>
      <c r="K360" s="7" t="s">
        <v>7656</v>
      </c>
      <c r="L360" s="8">
        <v>2980079</v>
      </c>
      <c r="M360" s="8" t="str">
        <f t="shared" si="30"/>
        <v>PEN</v>
      </c>
      <c r="N360" s="13"/>
      <c r="O360" s="13">
        <v>160</v>
      </c>
      <c r="P360" s="3">
        <f t="shared" si="31"/>
        <v>0</v>
      </c>
      <c r="Q360" s="3">
        <f t="shared" si="32"/>
        <v>160</v>
      </c>
      <c r="R360" s="3">
        <f t="shared" si="28"/>
        <v>2537.8000000000002</v>
      </c>
      <c r="S360" s="24"/>
      <c r="T360" s="24"/>
      <c r="U360" s="55"/>
      <c r="V360" s="25" t="s">
        <v>7519</v>
      </c>
      <c r="W360" s="25"/>
      <c r="X360" s="25"/>
      <c r="Y360" s="25"/>
      <c r="Z360" s="25"/>
      <c r="AA360" s="3" t="str">
        <f>IF(Caja_Operativa[[#This Row],[FECHA]]&gt;0,TEXT(Caja_Operativa[[#This Row],[FECHA]],"mmmm"),0)</f>
        <v>Julio</v>
      </c>
    </row>
    <row r="361" spans="1:27" ht="48" x14ac:dyDescent="0.3">
      <c r="A361" s="2">
        <f>IF(Caja_Operativa[[#This Row],[TIPO DE R.]]="R",COUNTIFS($C$1:$C360,"R")+1,"")</f>
        <v>360</v>
      </c>
      <c r="B361" s="19" t="str">
        <f t="shared" si="29"/>
        <v>C-Operativa</v>
      </c>
      <c r="C361" s="3" t="s">
        <v>1330</v>
      </c>
      <c r="D361" s="14">
        <v>45839</v>
      </c>
      <c r="E361" s="5" t="s">
        <v>7514</v>
      </c>
      <c r="F361" s="5" t="s">
        <v>1336</v>
      </c>
      <c r="G361" s="6" t="s">
        <v>888</v>
      </c>
      <c r="H361" s="6"/>
      <c r="I361" s="6"/>
      <c r="J361" s="6"/>
      <c r="K361" s="7" t="s">
        <v>7724</v>
      </c>
      <c r="L361" s="8">
        <v>3602759</v>
      </c>
      <c r="M361" s="8" t="str">
        <f t="shared" si="30"/>
        <v>PEN</v>
      </c>
      <c r="N361" s="13"/>
      <c r="O361" s="13">
        <v>7</v>
      </c>
      <c r="P361" s="3">
        <f t="shared" si="31"/>
        <v>0</v>
      </c>
      <c r="Q361" s="3">
        <f t="shared" si="32"/>
        <v>7</v>
      </c>
      <c r="R361" s="3">
        <f t="shared" si="28"/>
        <v>2530.8000000000002</v>
      </c>
      <c r="S361" s="24"/>
      <c r="T361" s="24"/>
      <c r="U361" s="55"/>
      <c r="V361" s="25"/>
      <c r="W361" s="25"/>
      <c r="X361" s="25"/>
      <c r="Y361" s="25"/>
      <c r="Z361" s="25"/>
      <c r="AA361" s="3" t="str">
        <f>IF(Caja_Operativa[[#This Row],[FECHA]]&gt;0,TEXT(Caja_Operativa[[#This Row],[FECHA]],"mmmm"),0)</f>
        <v>Julio</v>
      </c>
    </row>
    <row r="362" spans="1:27" ht="48" x14ac:dyDescent="0.3">
      <c r="A362" s="2">
        <f>IF(Caja_Operativa[[#This Row],[TIPO DE R.]]="R",COUNTIFS($C$1:$C361,"R")+1,"")</f>
        <v>361</v>
      </c>
      <c r="B362" s="19" t="str">
        <f t="shared" si="29"/>
        <v>C-Operativa</v>
      </c>
      <c r="C362" s="3" t="s">
        <v>1330</v>
      </c>
      <c r="D362" s="14">
        <v>45839</v>
      </c>
      <c r="E362" s="5" t="s">
        <v>7514</v>
      </c>
      <c r="F362" s="5" t="s">
        <v>1336</v>
      </c>
      <c r="G362" s="6" t="s">
        <v>888</v>
      </c>
      <c r="H362" s="6"/>
      <c r="I362" s="6"/>
      <c r="J362" s="6"/>
      <c r="K362" s="7" t="s">
        <v>7725</v>
      </c>
      <c r="L362" s="8">
        <v>3608946</v>
      </c>
      <c r="M362" s="8" t="str">
        <f t="shared" si="30"/>
        <v>PEN</v>
      </c>
      <c r="N362" s="13"/>
      <c r="O362" s="13">
        <v>8</v>
      </c>
      <c r="P362" s="3">
        <f t="shared" si="31"/>
        <v>0</v>
      </c>
      <c r="Q362" s="3">
        <f t="shared" si="32"/>
        <v>8</v>
      </c>
      <c r="R362" s="3">
        <f t="shared" si="28"/>
        <v>2522.8000000000002</v>
      </c>
      <c r="S362" s="24"/>
      <c r="T362" s="24"/>
      <c r="U362" s="55"/>
      <c r="V362" s="25"/>
      <c r="W362" s="25"/>
      <c r="X362" s="25"/>
      <c r="Y362" s="25"/>
      <c r="Z362" s="25"/>
      <c r="AA362" s="3" t="str">
        <f>IF(Caja_Operativa[[#This Row],[FECHA]]&gt;0,TEXT(Caja_Operativa[[#This Row],[FECHA]],"mmmm"),0)</f>
        <v>Julio</v>
      </c>
    </row>
    <row r="363" spans="1:27" ht="60" x14ac:dyDescent="0.3">
      <c r="A363" s="2">
        <f>IF(Caja_Operativa[[#This Row],[TIPO DE R.]]="R",COUNTIFS($C$1:$C362,"R")+1,"")</f>
        <v>362</v>
      </c>
      <c r="B363" s="19" t="str">
        <f t="shared" si="29"/>
        <v>C-Operativa</v>
      </c>
      <c r="C363" s="3" t="s">
        <v>1330</v>
      </c>
      <c r="D363" s="14">
        <v>45839</v>
      </c>
      <c r="E363" s="5" t="s">
        <v>7514</v>
      </c>
      <c r="F363" s="5" t="s">
        <v>1336</v>
      </c>
      <c r="G363" s="6"/>
      <c r="H363" s="6"/>
      <c r="I363" s="6"/>
      <c r="J363" s="6"/>
      <c r="K363" s="7" t="s">
        <v>7726</v>
      </c>
      <c r="L363" s="8">
        <v>3660329</v>
      </c>
      <c r="M363" s="8" t="str">
        <f t="shared" si="30"/>
        <v>PEN</v>
      </c>
      <c r="N363" s="13"/>
      <c r="O363" s="13">
        <v>18</v>
      </c>
      <c r="P363" s="3">
        <f t="shared" si="31"/>
        <v>0</v>
      </c>
      <c r="Q363" s="3">
        <f t="shared" si="32"/>
        <v>18</v>
      </c>
      <c r="R363" s="3">
        <f t="shared" si="28"/>
        <v>2504.8000000000002</v>
      </c>
      <c r="S363" s="24"/>
      <c r="T363" s="24"/>
      <c r="U363" s="55"/>
      <c r="V363" s="25" t="s">
        <v>7519</v>
      </c>
      <c r="W363" s="25"/>
      <c r="X363" s="25"/>
      <c r="Y363" s="25"/>
      <c r="Z363" s="25"/>
      <c r="AA363" s="3" t="str">
        <f>IF(Caja_Operativa[[#This Row],[FECHA]]&gt;0,TEXT(Caja_Operativa[[#This Row],[FECHA]],"mmmm"),0)</f>
        <v>Julio</v>
      </c>
    </row>
    <row r="364" spans="1:27" ht="60" x14ac:dyDescent="0.3">
      <c r="A364" s="2">
        <f>IF(Caja_Operativa[[#This Row],[TIPO DE R.]]="R",COUNTIFS($C$1:$C363,"R")+1,"")</f>
        <v>363</v>
      </c>
      <c r="B364" s="19" t="str">
        <f t="shared" si="29"/>
        <v>C-Operativa</v>
      </c>
      <c r="C364" s="3" t="s">
        <v>1330</v>
      </c>
      <c r="D364" s="14">
        <v>45839</v>
      </c>
      <c r="E364" s="5" t="s">
        <v>7514</v>
      </c>
      <c r="F364" s="5" t="s">
        <v>1336</v>
      </c>
      <c r="G364" s="6"/>
      <c r="H364" s="6"/>
      <c r="I364" s="6"/>
      <c r="J364" s="6"/>
      <c r="K364" s="7" t="s">
        <v>7727</v>
      </c>
      <c r="L364" s="8">
        <v>3684726</v>
      </c>
      <c r="M364" s="8" t="str">
        <f t="shared" si="30"/>
        <v>PEN</v>
      </c>
      <c r="N364" s="13"/>
      <c r="O364" s="13">
        <v>8</v>
      </c>
      <c r="P364" s="3">
        <f t="shared" si="31"/>
        <v>0</v>
      </c>
      <c r="Q364" s="3">
        <f t="shared" si="32"/>
        <v>8</v>
      </c>
      <c r="R364" s="3">
        <f t="shared" si="28"/>
        <v>2496.8000000000002</v>
      </c>
      <c r="S364" s="24"/>
      <c r="T364" s="24"/>
      <c r="U364" s="55"/>
      <c r="V364" s="25" t="s">
        <v>7519</v>
      </c>
      <c r="W364" s="25"/>
      <c r="X364" s="25"/>
      <c r="Y364" s="25"/>
      <c r="Z364" s="25"/>
      <c r="AA364" s="3" t="str">
        <f>IF(Caja_Operativa[[#This Row],[FECHA]]&gt;0,TEXT(Caja_Operativa[[#This Row],[FECHA]],"mmmm"),0)</f>
        <v>Julio</v>
      </c>
    </row>
    <row r="365" spans="1:27" ht="60" x14ac:dyDescent="0.3">
      <c r="A365" s="2">
        <f>IF(Caja_Operativa[[#This Row],[TIPO DE R.]]="R",COUNTIFS($C$1:$C364,"R")+1,"")</f>
        <v>364</v>
      </c>
      <c r="B365" s="19" t="str">
        <f t="shared" si="29"/>
        <v>C-Operativa</v>
      </c>
      <c r="C365" s="3" t="s">
        <v>1330</v>
      </c>
      <c r="D365" s="14">
        <v>45839</v>
      </c>
      <c r="E365" s="5" t="s">
        <v>7514</v>
      </c>
      <c r="F365" s="5" t="s">
        <v>1336</v>
      </c>
      <c r="G365" s="6"/>
      <c r="H365" s="6"/>
      <c r="I365" s="6"/>
      <c r="J365" s="6"/>
      <c r="K365" s="7" t="s">
        <v>7728</v>
      </c>
      <c r="L365" s="8">
        <v>3676140</v>
      </c>
      <c r="M365" s="8" t="str">
        <f t="shared" si="30"/>
        <v>PEN</v>
      </c>
      <c r="N365" s="13"/>
      <c r="O365" s="13">
        <v>8</v>
      </c>
      <c r="P365" s="3">
        <f t="shared" si="31"/>
        <v>0</v>
      </c>
      <c r="Q365" s="3">
        <f t="shared" si="32"/>
        <v>8</v>
      </c>
      <c r="R365" s="3">
        <f t="shared" si="28"/>
        <v>2488.8000000000002</v>
      </c>
      <c r="S365" s="24"/>
      <c r="T365" s="24"/>
      <c r="U365" s="55"/>
      <c r="V365" s="25" t="s">
        <v>7519</v>
      </c>
      <c r="W365" s="25"/>
      <c r="X365" s="25"/>
      <c r="Y365" s="25"/>
      <c r="Z365" s="25"/>
      <c r="AA365" s="3" t="str">
        <f>IF(Caja_Operativa[[#This Row],[FECHA]]&gt;0,TEXT(Caja_Operativa[[#This Row],[FECHA]],"mmmm"),0)</f>
        <v>Julio</v>
      </c>
    </row>
    <row r="366" spans="1:27" ht="60" x14ac:dyDescent="0.3">
      <c r="A366" s="2">
        <f>IF(Caja_Operativa[[#This Row],[TIPO DE R.]]="R",COUNTIFS($C$1:$C365,"R")+1,"")</f>
        <v>365</v>
      </c>
      <c r="B366" s="19" t="str">
        <f t="shared" si="29"/>
        <v>C-Operativa</v>
      </c>
      <c r="C366" s="3" t="s">
        <v>1330</v>
      </c>
      <c r="D366" s="14">
        <v>45839</v>
      </c>
      <c r="E366" s="5" t="s">
        <v>7514</v>
      </c>
      <c r="F366" s="5" t="s">
        <v>1336</v>
      </c>
      <c r="G366" s="6"/>
      <c r="H366" s="6"/>
      <c r="I366" s="6"/>
      <c r="J366" s="6"/>
      <c r="K366" s="7" t="s">
        <v>7729</v>
      </c>
      <c r="L366" s="8">
        <v>3655911</v>
      </c>
      <c r="M366" s="8" t="str">
        <f t="shared" si="30"/>
        <v>PEN</v>
      </c>
      <c r="N366" s="13"/>
      <c r="O366" s="13">
        <v>10</v>
      </c>
      <c r="P366" s="3">
        <f t="shared" si="31"/>
        <v>0</v>
      </c>
      <c r="Q366" s="3">
        <f t="shared" si="32"/>
        <v>10</v>
      </c>
      <c r="R366" s="3">
        <f t="shared" si="28"/>
        <v>2478.8000000000002</v>
      </c>
      <c r="S366" s="24"/>
      <c r="T366" s="24"/>
      <c r="U366" s="55"/>
      <c r="V366" s="25" t="s">
        <v>7519</v>
      </c>
      <c r="W366" s="25"/>
      <c r="X366" s="25"/>
      <c r="Y366" s="25"/>
      <c r="Z366" s="25"/>
      <c r="AA366" s="3" t="str">
        <f>IF(Caja_Operativa[[#This Row],[FECHA]]&gt;0,TEXT(Caja_Operativa[[#This Row],[FECHA]],"mmmm"),0)</f>
        <v>Julio</v>
      </c>
    </row>
    <row r="367" spans="1:27" ht="60" x14ac:dyDescent="0.3">
      <c r="A367" s="2">
        <f>IF(Caja_Operativa[[#This Row],[TIPO DE R.]]="R",COUNTIFS($C$1:$C366,"R")+1,"")</f>
        <v>366</v>
      </c>
      <c r="B367" s="19" t="str">
        <f t="shared" si="29"/>
        <v>C-Operativa</v>
      </c>
      <c r="C367" s="3" t="s">
        <v>1330</v>
      </c>
      <c r="D367" s="14">
        <v>45839</v>
      </c>
      <c r="E367" s="5" t="s">
        <v>7514</v>
      </c>
      <c r="F367" s="5" t="s">
        <v>1336</v>
      </c>
      <c r="G367" s="6"/>
      <c r="H367" s="6"/>
      <c r="I367" s="6"/>
      <c r="J367" s="6"/>
      <c r="K367" s="7" t="s">
        <v>7730</v>
      </c>
      <c r="L367" s="8">
        <v>3680026</v>
      </c>
      <c r="M367" s="8" t="str">
        <f t="shared" si="30"/>
        <v>PEN</v>
      </c>
      <c r="N367" s="13"/>
      <c r="O367" s="13">
        <v>12</v>
      </c>
      <c r="P367" s="3">
        <f t="shared" si="31"/>
        <v>0</v>
      </c>
      <c r="Q367" s="3">
        <f t="shared" si="32"/>
        <v>12</v>
      </c>
      <c r="R367" s="3">
        <f t="shared" si="28"/>
        <v>2466.8000000000002</v>
      </c>
      <c r="S367" s="24"/>
      <c r="T367" s="24"/>
      <c r="U367" s="55"/>
      <c r="V367" s="25" t="s">
        <v>7519</v>
      </c>
      <c r="W367" s="25"/>
      <c r="X367" s="25"/>
      <c r="Y367" s="25"/>
      <c r="Z367" s="25"/>
      <c r="AA367" s="3" t="str">
        <f>IF(Caja_Operativa[[#This Row],[FECHA]]&gt;0,TEXT(Caja_Operativa[[#This Row],[FECHA]],"mmmm"),0)</f>
        <v>Julio</v>
      </c>
    </row>
    <row r="368" spans="1:27" ht="60" x14ac:dyDescent="0.3">
      <c r="A368" s="2">
        <f>IF(Caja_Operativa[[#This Row],[TIPO DE R.]]="R",COUNTIFS($C$1:$C367,"R")+1,"")</f>
        <v>367</v>
      </c>
      <c r="B368" s="19" t="str">
        <f t="shared" si="29"/>
        <v>C-Operativa</v>
      </c>
      <c r="C368" s="3" t="s">
        <v>1330</v>
      </c>
      <c r="D368" s="14">
        <v>45839</v>
      </c>
      <c r="E368" s="5" t="s">
        <v>7514</v>
      </c>
      <c r="F368" s="5" t="s">
        <v>1336</v>
      </c>
      <c r="G368" s="6"/>
      <c r="H368" s="6"/>
      <c r="I368" s="6"/>
      <c r="J368" s="6"/>
      <c r="K368" s="7" t="s">
        <v>7731</v>
      </c>
      <c r="L368" s="8">
        <v>3659720</v>
      </c>
      <c r="M368" s="8" t="str">
        <f t="shared" si="30"/>
        <v>PEN</v>
      </c>
      <c r="N368" s="13"/>
      <c r="O368" s="13">
        <v>10</v>
      </c>
      <c r="P368" s="3">
        <f t="shared" si="31"/>
        <v>0</v>
      </c>
      <c r="Q368" s="3">
        <f t="shared" si="32"/>
        <v>10</v>
      </c>
      <c r="R368" s="3">
        <f t="shared" si="28"/>
        <v>2456.8000000000002</v>
      </c>
      <c r="S368" s="24"/>
      <c r="T368" s="24"/>
      <c r="U368" s="55"/>
      <c r="V368" s="25" t="s">
        <v>7519</v>
      </c>
      <c r="W368" s="25"/>
      <c r="X368" s="25"/>
      <c r="Y368" s="25"/>
      <c r="Z368" s="25"/>
      <c r="AA368" s="3" t="str">
        <f>IF(Caja_Operativa[[#This Row],[FECHA]]&gt;0,TEXT(Caja_Operativa[[#This Row],[FECHA]],"mmmm"),0)</f>
        <v>Julio</v>
      </c>
    </row>
    <row r="369" spans="1:27" ht="60" x14ac:dyDescent="0.3">
      <c r="A369" s="2">
        <f>IF(Caja_Operativa[[#This Row],[TIPO DE R.]]="R",COUNTIFS($C$1:$C368,"R")+1,"")</f>
        <v>368</v>
      </c>
      <c r="B369" s="19" t="str">
        <f t="shared" si="29"/>
        <v>C-Operativa</v>
      </c>
      <c r="C369" s="3" t="s">
        <v>1330</v>
      </c>
      <c r="D369" s="14">
        <v>45839</v>
      </c>
      <c r="E369" s="5" t="s">
        <v>7514</v>
      </c>
      <c r="F369" s="5" t="s">
        <v>1336</v>
      </c>
      <c r="G369" s="6"/>
      <c r="H369" s="6"/>
      <c r="I369" s="6"/>
      <c r="J369" s="6"/>
      <c r="K369" s="7" t="s">
        <v>7732</v>
      </c>
      <c r="L369" s="8">
        <v>3690657</v>
      </c>
      <c r="M369" s="8" t="str">
        <f t="shared" si="30"/>
        <v>PEN</v>
      </c>
      <c r="N369" s="13"/>
      <c r="O369" s="13">
        <v>8</v>
      </c>
      <c r="P369" s="3">
        <f t="shared" si="31"/>
        <v>0</v>
      </c>
      <c r="Q369" s="3">
        <f t="shared" si="32"/>
        <v>8</v>
      </c>
      <c r="R369" s="3">
        <f t="shared" si="28"/>
        <v>2448.8000000000002</v>
      </c>
      <c r="S369" s="24"/>
      <c r="T369" s="24"/>
      <c r="U369" s="55"/>
      <c r="V369" s="25" t="s">
        <v>7519</v>
      </c>
      <c r="W369" s="25"/>
      <c r="X369" s="25"/>
      <c r="Y369" s="25"/>
      <c r="Z369" s="25"/>
      <c r="AA369" s="3" t="str">
        <f>IF(Caja_Operativa[[#This Row],[FECHA]]&gt;0,TEXT(Caja_Operativa[[#This Row],[FECHA]],"mmmm"),0)</f>
        <v>Julio</v>
      </c>
    </row>
    <row r="370" spans="1:27" ht="60" x14ac:dyDescent="0.3">
      <c r="A370" s="2">
        <f>IF(Caja_Operativa[[#This Row],[TIPO DE R.]]="R",COUNTIFS($C$1:$C369,"R")+1,"")</f>
        <v>369</v>
      </c>
      <c r="B370" s="19" t="str">
        <f t="shared" si="29"/>
        <v>C-Operativa</v>
      </c>
      <c r="C370" s="3" t="s">
        <v>1330</v>
      </c>
      <c r="D370" s="14">
        <v>45839</v>
      </c>
      <c r="E370" s="5" t="s">
        <v>7514</v>
      </c>
      <c r="F370" s="5" t="s">
        <v>1336</v>
      </c>
      <c r="G370" s="6"/>
      <c r="H370" s="6"/>
      <c r="I370" s="6"/>
      <c r="J370" s="6"/>
      <c r="K370" s="7" t="s">
        <v>7733</v>
      </c>
      <c r="L370" s="8">
        <v>3715117</v>
      </c>
      <c r="M370" s="8" t="str">
        <f t="shared" si="30"/>
        <v>PEN</v>
      </c>
      <c r="N370" s="13"/>
      <c r="O370" s="13">
        <v>8</v>
      </c>
      <c r="P370" s="3">
        <f t="shared" si="31"/>
        <v>0</v>
      </c>
      <c r="Q370" s="3">
        <f t="shared" si="32"/>
        <v>8</v>
      </c>
      <c r="R370" s="3">
        <f t="shared" si="28"/>
        <v>2440.8000000000002</v>
      </c>
      <c r="S370" s="24"/>
      <c r="T370" s="24"/>
      <c r="U370" s="55"/>
      <c r="V370" s="25" t="s">
        <v>7519</v>
      </c>
      <c r="W370" s="25"/>
      <c r="X370" s="25"/>
      <c r="Y370" s="25"/>
      <c r="Z370" s="25"/>
      <c r="AA370" s="3" t="str">
        <f>IF(Caja_Operativa[[#This Row],[FECHA]]&gt;0,TEXT(Caja_Operativa[[#This Row],[FECHA]],"mmmm"),0)</f>
        <v>Julio</v>
      </c>
    </row>
    <row r="371" spans="1:27" ht="60" x14ac:dyDescent="0.3">
      <c r="A371" s="2">
        <f>IF(Caja_Operativa[[#This Row],[TIPO DE R.]]="R",COUNTIFS($C$1:$C370,"R")+1,"")</f>
        <v>370</v>
      </c>
      <c r="B371" s="19" t="str">
        <f t="shared" si="29"/>
        <v>C-Operativa</v>
      </c>
      <c r="C371" s="3" t="s">
        <v>1330</v>
      </c>
      <c r="D371" s="14">
        <v>45839</v>
      </c>
      <c r="E371" s="5" t="s">
        <v>7514</v>
      </c>
      <c r="F371" s="5" t="s">
        <v>1336</v>
      </c>
      <c r="G371" s="6"/>
      <c r="H371" s="6"/>
      <c r="I371" s="6"/>
      <c r="J371" s="6"/>
      <c r="K371" s="7" t="s">
        <v>7734</v>
      </c>
      <c r="L371" s="8">
        <v>3700714</v>
      </c>
      <c r="M371" s="8" t="str">
        <f t="shared" si="30"/>
        <v>PEN</v>
      </c>
      <c r="N371" s="13"/>
      <c r="O371" s="13">
        <v>8</v>
      </c>
      <c r="P371" s="3">
        <f t="shared" si="31"/>
        <v>0</v>
      </c>
      <c r="Q371" s="3">
        <f t="shared" si="32"/>
        <v>8</v>
      </c>
      <c r="R371" s="3">
        <f t="shared" si="28"/>
        <v>2432.8000000000002</v>
      </c>
      <c r="S371" s="24"/>
      <c r="T371" s="24"/>
      <c r="U371" s="55"/>
      <c r="V371" s="25" t="s">
        <v>7519</v>
      </c>
      <c r="W371" s="25"/>
      <c r="X371" s="25"/>
      <c r="Y371" s="25"/>
      <c r="Z371" s="25"/>
      <c r="AA371" s="3" t="str">
        <f>IF(Caja_Operativa[[#This Row],[FECHA]]&gt;0,TEXT(Caja_Operativa[[#This Row],[FECHA]],"mmmm"),0)</f>
        <v>Julio</v>
      </c>
    </row>
    <row r="372" spans="1:27" ht="60" x14ac:dyDescent="0.3">
      <c r="A372" s="2">
        <f>IF(Caja_Operativa[[#This Row],[TIPO DE R.]]="R",COUNTIFS($C$1:$C371,"R")+1,"")</f>
        <v>371</v>
      </c>
      <c r="B372" s="19" t="str">
        <f t="shared" si="29"/>
        <v>C-Operativa</v>
      </c>
      <c r="C372" s="3" t="s">
        <v>1330</v>
      </c>
      <c r="D372" s="14">
        <v>45839</v>
      </c>
      <c r="E372" s="5" t="s">
        <v>7514</v>
      </c>
      <c r="F372" s="5" t="s">
        <v>1336</v>
      </c>
      <c r="G372" s="6"/>
      <c r="H372" s="6"/>
      <c r="I372" s="6"/>
      <c r="J372" s="6"/>
      <c r="K372" s="7" t="s">
        <v>7735</v>
      </c>
      <c r="L372" s="8">
        <v>3727610</v>
      </c>
      <c r="M372" s="8" t="str">
        <f t="shared" si="30"/>
        <v>PEN</v>
      </c>
      <c r="N372" s="13"/>
      <c r="O372" s="13">
        <v>20</v>
      </c>
      <c r="P372" s="3">
        <f t="shared" si="31"/>
        <v>0</v>
      </c>
      <c r="Q372" s="3">
        <f t="shared" si="32"/>
        <v>20</v>
      </c>
      <c r="R372" s="3">
        <f t="shared" si="28"/>
        <v>2412.8000000000002</v>
      </c>
      <c r="S372" s="24"/>
      <c r="T372" s="24"/>
      <c r="U372" s="55"/>
      <c r="V372" s="25" t="s">
        <v>7519</v>
      </c>
      <c r="W372" s="25"/>
      <c r="X372" s="25"/>
      <c r="Y372" s="25"/>
      <c r="Z372" s="25"/>
      <c r="AA372" s="3" t="str">
        <f>IF(Caja_Operativa[[#This Row],[FECHA]]&gt;0,TEXT(Caja_Operativa[[#This Row],[FECHA]],"mmmm"),0)</f>
        <v>Julio</v>
      </c>
    </row>
    <row r="373" spans="1:27" ht="60" x14ac:dyDescent="0.3">
      <c r="A373" s="2">
        <f>IF(Caja_Operativa[[#This Row],[TIPO DE R.]]="R",COUNTIFS($C$1:$C372,"R")+1,"")</f>
        <v>372</v>
      </c>
      <c r="B373" s="19" t="str">
        <f t="shared" si="29"/>
        <v>C-Operativa</v>
      </c>
      <c r="C373" s="3" t="s">
        <v>1330</v>
      </c>
      <c r="D373" s="14">
        <v>45839</v>
      </c>
      <c r="E373" s="5" t="s">
        <v>7514</v>
      </c>
      <c r="F373" s="5" t="s">
        <v>1336</v>
      </c>
      <c r="G373" s="6"/>
      <c r="H373" s="6"/>
      <c r="I373" s="6"/>
      <c r="J373" s="6"/>
      <c r="K373" s="7" t="s">
        <v>7736</v>
      </c>
      <c r="L373" s="8">
        <v>3725095</v>
      </c>
      <c r="M373" s="8" t="str">
        <f t="shared" si="30"/>
        <v>PEN</v>
      </c>
      <c r="N373" s="13"/>
      <c r="O373" s="13">
        <v>30</v>
      </c>
      <c r="P373" s="3">
        <f t="shared" si="31"/>
        <v>0</v>
      </c>
      <c r="Q373" s="3">
        <f t="shared" si="32"/>
        <v>30</v>
      </c>
      <c r="R373" s="3">
        <f t="shared" si="28"/>
        <v>2382.8000000000002</v>
      </c>
      <c r="S373" s="24"/>
      <c r="T373" s="24"/>
      <c r="U373" s="55"/>
      <c r="V373" s="25" t="s">
        <v>7519</v>
      </c>
      <c r="W373" s="25"/>
      <c r="X373" s="25"/>
      <c r="Y373" s="25"/>
      <c r="Z373" s="25"/>
      <c r="AA373" s="3" t="str">
        <f>IF(Caja_Operativa[[#This Row],[FECHA]]&gt;0,TEXT(Caja_Operativa[[#This Row],[FECHA]],"mmmm"),0)</f>
        <v>Julio</v>
      </c>
    </row>
    <row r="374" spans="1:27" ht="60" x14ac:dyDescent="0.3">
      <c r="A374" s="2">
        <f>IF(Caja_Operativa[[#This Row],[TIPO DE R.]]="R",COUNTIFS($C$1:$C373,"R")+1,"")</f>
        <v>373</v>
      </c>
      <c r="B374" s="19" t="str">
        <f t="shared" si="29"/>
        <v>C-Operativa</v>
      </c>
      <c r="C374" s="3" t="s">
        <v>1330</v>
      </c>
      <c r="D374" s="14">
        <v>45839</v>
      </c>
      <c r="E374" s="5" t="s">
        <v>7514</v>
      </c>
      <c r="F374" s="5" t="s">
        <v>1336</v>
      </c>
      <c r="G374" s="6"/>
      <c r="H374" s="6"/>
      <c r="I374" s="6"/>
      <c r="J374" s="6"/>
      <c r="K374" s="7" t="s">
        <v>7737</v>
      </c>
      <c r="L374" s="8">
        <v>3722606</v>
      </c>
      <c r="M374" s="8" t="str">
        <f t="shared" si="30"/>
        <v>PEN</v>
      </c>
      <c r="N374" s="13"/>
      <c r="O374" s="13">
        <v>10</v>
      </c>
      <c r="P374" s="3">
        <f t="shared" si="31"/>
        <v>0</v>
      </c>
      <c r="Q374" s="3">
        <f t="shared" si="32"/>
        <v>10</v>
      </c>
      <c r="R374" s="3">
        <f t="shared" si="28"/>
        <v>2372.8000000000002</v>
      </c>
      <c r="S374" s="24"/>
      <c r="T374" s="24"/>
      <c r="U374" s="55"/>
      <c r="V374" s="25" t="s">
        <v>7519</v>
      </c>
      <c r="W374" s="25"/>
      <c r="X374" s="25"/>
      <c r="Y374" s="25"/>
      <c r="Z374" s="25"/>
      <c r="AA374" s="3" t="str">
        <f>IF(Caja_Operativa[[#This Row],[FECHA]]&gt;0,TEXT(Caja_Operativa[[#This Row],[FECHA]],"mmmm"),0)</f>
        <v>Julio</v>
      </c>
    </row>
    <row r="375" spans="1:27" ht="60" x14ac:dyDescent="0.3">
      <c r="A375" s="2">
        <f>IF(Caja_Operativa[[#This Row],[TIPO DE R.]]="R",COUNTIFS($C$1:$C374,"R")+1,"")</f>
        <v>374</v>
      </c>
      <c r="B375" s="19" t="str">
        <f t="shared" si="29"/>
        <v>C-Operativa</v>
      </c>
      <c r="C375" s="3" t="s">
        <v>1330</v>
      </c>
      <c r="D375" s="14">
        <v>45839</v>
      </c>
      <c r="E375" s="5" t="s">
        <v>7514</v>
      </c>
      <c r="F375" s="5" t="s">
        <v>1336</v>
      </c>
      <c r="G375" s="6"/>
      <c r="H375" s="6"/>
      <c r="I375" s="6"/>
      <c r="J375" s="6"/>
      <c r="K375" s="7" t="s">
        <v>7738</v>
      </c>
      <c r="L375" s="8">
        <v>3725923</v>
      </c>
      <c r="M375" s="8" t="str">
        <f t="shared" si="30"/>
        <v>PEN</v>
      </c>
      <c r="N375" s="13"/>
      <c r="O375" s="13">
        <v>20</v>
      </c>
      <c r="P375" s="3">
        <f t="shared" si="31"/>
        <v>0</v>
      </c>
      <c r="Q375" s="3">
        <f t="shared" si="32"/>
        <v>20</v>
      </c>
      <c r="R375" s="3">
        <f t="shared" si="28"/>
        <v>2352.8000000000002</v>
      </c>
      <c r="S375" s="24"/>
      <c r="T375" s="24"/>
      <c r="U375" s="55"/>
      <c r="V375" s="25" t="s">
        <v>7519</v>
      </c>
      <c r="W375" s="25"/>
      <c r="X375" s="25"/>
      <c r="Y375" s="25"/>
      <c r="Z375" s="25"/>
      <c r="AA375" s="3" t="str">
        <f>IF(Caja_Operativa[[#This Row],[FECHA]]&gt;0,TEXT(Caja_Operativa[[#This Row],[FECHA]],"mmmm"),0)</f>
        <v>Julio</v>
      </c>
    </row>
    <row r="376" spans="1:27" ht="60" x14ac:dyDescent="0.3">
      <c r="A376" s="2">
        <f>IF(Caja_Operativa[[#This Row],[TIPO DE R.]]="R",COUNTIFS($C$1:$C375,"R")+1,"")</f>
        <v>375</v>
      </c>
      <c r="B376" s="19" t="str">
        <f t="shared" si="29"/>
        <v>C-Operativa</v>
      </c>
      <c r="C376" s="3" t="s">
        <v>1330</v>
      </c>
      <c r="D376" s="14">
        <v>45839</v>
      </c>
      <c r="E376" s="5" t="s">
        <v>7514</v>
      </c>
      <c r="F376" s="5" t="s">
        <v>1336</v>
      </c>
      <c r="G376" s="6"/>
      <c r="H376" s="6"/>
      <c r="I376" s="6"/>
      <c r="J376" s="6"/>
      <c r="K376" s="7" t="s">
        <v>7739</v>
      </c>
      <c r="L376" s="8">
        <v>3774287</v>
      </c>
      <c r="M376" s="8" t="str">
        <f t="shared" si="30"/>
        <v>PEN</v>
      </c>
      <c r="N376" s="13"/>
      <c r="O376" s="13">
        <v>10</v>
      </c>
      <c r="P376" s="3">
        <f t="shared" si="31"/>
        <v>0</v>
      </c>
      <c r="Q376" s="3">
        <f t="shared" si="32"/>
        <v>10</v>
      </c>
      <c r="R376" s="3">
        <f t="shared" si="28"/>
        <v>2342.8000000000002</v>
      </c>
      <c r="S376" s="24"/>
      <c r="T376" s="24"/>
      <c r="U376" s="55"/>
      <c r="V376" s="25" t="s">
        <v>7519</v>
      </c>
      <c r="W376" s="25"/>
      <c r="X376" s="25"/>
      <c r="Y376" s="25"/>
      <c r="Z376" s="25"/>
      <c r="AA376" s="3" t="str">
        <f>IF(Caja_Operativa[[#This Row],[FECHA]]&gt;0,TEXT(Caja_Operativa[[#This Row],[FECHA]],"mmmm"),0)</f>
        <v>Julio</v>
      </c>
    </row>
    <row r="377" spans="1:27" x14ac:dyDescent="0.3">
      <c r="A377" s="2">
        <f>IF(Caja_Operativa[[#This Row],[TIPO DE R.]]="R",COUNTIFS($C$1:$C376,"R")+1,"")</f>
        <v>376</v>
      </c>
      <c r="B377" s="19" t="str">
        <f t="shared" si="29"/>
        <v>C-Operativa</v>
      </c>
      <c r="C377" s="3" t="s">
        <v>1330</v>
      </c>
      <c r="D377" s="14">
        <v>45840</v>
      </c>
      <c r="E377" s="5" t="s">
        <v>7514</v>
      </c>
      <c r="F377" s="5" t="s">
        <v>1336</v>
      </c>
      <c r="G377" s="6"/>
      <c r="H377" s="6"/>
      <c r="I377" s="6"/>
      <c r="J377" s="6"/>
      <c r="K377" s="7" t="s">
        <v>7740</v>
      </c>
      <c r="L377" s="8">
        <v>474146</v>
      </c>
      <c r="M377" s="8" t="str">
        <f t="shared" si="30"/>
        <v>PEN</v>
      </c>
      <c r="N377" s="13"/>
      <c r="O377" s="13">
        <v>2342.6999999999998</v>
      </c>
      <c r="P377" s="3">
        <f t="shared" si="31"/>
        <v>0</v>
      </c>
      <c r="Q377" s="3">
        <f t="shared" si="32"/>
        <v>2342.6999999999998</v>
      </c>
      <c r="R377" s="3">
        <f t="shared" si="28"/>
        <v>0.1000000000003638</v>
      </c>
      <c r="S377" s="24"/>
      <c r="T377" s="24"/>
      <c r="U377" s="55"/>
      <c r="V377" s="25" t="s">
        <v>425</v>
      </c>
      <c r="W377" s="25"/>
      <c r="X377" s="25"/>
      <c r="Y377" s="25"/>
      <c r="Z377" s="25"/>
      <c r="AA377" s="3" t="str">
        <f>IF(Caja_Operativa[[#This Row],[FECHA]]&gt;0,TEXT(Caja_Operativa[[#This Row],[FECHA]],"mmmm"),0)</f>
        <v>Julio</v>
      </c>
    </row>
    <row r="378" spans="1:27" x14ac:dyDescent="0.3">
      <c r="A378" s="2">
        <f>IF(Caja_Operativa[[#This Row],[TIPO DE R.]]="R",COUNTIFS($C$1:$C377,"R")+1,"")</f>
        <v>377</v>
      </c>
      <c r="B378" s="19" t="str">
        <f t="shared" si="29"/>
        <v>C-Operativa</v>
      </c>
      <c r="C378" s="3" t="s">
        <v>1330</v>
      </c>
      <c r="D378" s="14">
        <v>45840</v>
      </c>
      <c r="E378" s="5" t="s">
        <v>1335</v>
      </c>
      <c r="F378" s="5" t="s">
        <v>1336</v>
      </c>
      <c r="G378" s="6"/>
      <c r="H378" s="6"/>
      <c r="I378" s="6"/>
      <c r="J378" s="6"/>
      <c r="K378" s="7" t="s">
        <v>5061</v>
      </c>
      <c r="L378" s="8"/>
      <c r="M378" s="8" t="str">
        <f t="shared" si="30"/>
        <v>PEN</v>
      </c>
      <c r="N378" s="13"/>
      <c r="O378" s="13">
        <v>0.1</v>
      </c>
      <c r="P378" s="3">
        <f t="shared" si="31"/>
        <v>0</v>
      </c>
      <c r="Q378" s="3">
        <f t="shared" si="32"/>
        <v>0.1</v>
      </c>
      <c r="R378" s="3">
        <f t="shared" si="28"/>
        <v>3.6379232959404817E-13</v>
      </c>
      <c r="S378" s="24"/>
      <c r="T378" s="24"/>
      <c r="U378" s="55"/>
      <c r="V378" s="25"/>
      <c r="W378" s="25"/>
      <c r="X378" s="25"/>
      <c r="Y378" s="25"/>
      <c r="Z378" s="25"/>
      <c r="AA378" s="3" t="str">
        <f>IF(Caja_Operativa[[#This Row],[FECHA]]&gt;0,TEXT(Caja_Operativa[[#This Row],[FECHA]],"mmmm"),0)</f>
        <v>Julio</v>
      </c>
    </row>
    <row r="379" spans="1:27" ht="24" x14ac:dyDescent="0.3">
      <c r="A379" s="2">
        <f>IF(Caja_Operativa[[#This Row],[TIPO DE R.]]="R",COUNTIFS($C$1:$C378,"R")+1,"")</f>
        <v>378</v>
      </c>
      <c r="B379" s="19" t="str">
        <f t="shared" ref="B379:B391" si="33">"C-Operativa"</f>
        <v>C-Operativa</v>
      </c>
      <c r="C379" s="3" t="s">
        <v>1330</v>
      </c>
      <c r="D379" s="14">
        <v>45842</v>
      </c>
      <c r="E379" s="5" t="s">
        <v>3634</v>
      </c>
      <c r="F379" s="5" t="s">
        <v>1303</v>
      </c>
      <c r="G379" s="6" t="s">
        <v>812</v>
      </c>
      <c r="H379" s="6"/>
      <c r="I379" s="6" t="s">
        <v>7539</v>
      </c>
      <c r="J379" s="6">
        <v>11</v>
      </c>
      <c r="K379" s="7" t="s">
        <v>7540</v>
      </c>
      <c r="L379" s="8">
        <v>1261731</v>
      </c>
      <c r="M379" s="8" t="str">
        <f t="shared" ref="M379:M391" si="34">"PEN"</f>
        <v>PEN</v>
      </c>
      <c r="N379" s="13"/>
      <c r="O379" s="13">
        <v>500</v>
      </c>
      <c r="P379" s="3">
        <f t="shared" ref="P379:P391" si="35">+IF(OR($F379="SALDO",$F379="INGRESO"),$O379,0)</f>
        <v>500</v>
      </c>
      <c r="Q379" s="3">
        <f t="shared" ref="Q379:Q391" si="36">+IF($F379="EGRESO",$O379,0)</f>
        <v>0</v>
      </c>
      <c r="R379" s="3">
        <f t="shared" si="28"/>
        <v>500.00000000000034</v>
      </c>
      <c r="S379" s="24"/>
      <c r="T379" s="24"/>
      <c r="U379" s="55"/>
      <c r="V379" s="25"/>
      <c r="W379" s="25"/>
      <c r="X379" s="25"/>
      <c r="Y379" s="25"/>
      <c r="Z379" s="25"/>
      <c r="AA379" s="3" t="str">
        <f>IF(Caja_Operativa[[#This Row],[FECHA]]&gt;0,TEXT(Caja_Operativa[[#This Row],[FECHA]],"mmmm"),0)</f>
        <v>Julio</v>
      </c>
    </row>
    <row r="380" spans="1:27" ht="24" x14ac:dyDescent="0.3">
      <c r="A380" s="2">
        <f>IF(Caja_Operativa[[#This Row],[TIPO DE R.]]="R",COUNTIFS($C$1:$C379,"R")+1,"")</f>
        <v>379</v>
      </c>
      <c r="B380" s="19" t="str">
        <f t="shared" si="33"/>
        <v>C-Operativa</v>
      </c>
      <c r="C380" s="3" t="s">
        <v>1330</v>
      </c>
      <c r="D380" s="14">
        <v>45842</v>
      </c>
      <c r="E380" s="5" t="s">
        <v>3634</v>
      </c>
      <c r="F380" s="5" t="s">
        <v>1336</v>
      </c>
      <c r="G380" s="6" t="s">
        <v>812</v>
      </c>
      <c r="H380" s="6"/>
      <c r="I380" s="6"/>
      <c r="J380" s="6"/>
      <c r="K380" s="7" t="s">
        <v>7516</v>
      </c>
      <c r="L380" s="8">
        <v>1261731</v>
      </c>
      <c r="M380" s="8" t="str">
        <f t="shared" si="34"/>
        <v>PEN</v>
      </c>
      <c r="N380" s="13"/>
      <c r="O380" s="13">
        <v>500</v>
      </c>
      <c r="P380" s="3">
        <f t="shared" si="35"/>
        <v>0</v>
      </c>
      <c r="Q380" s="3">
        <f t="shared" si="36"/>
        <v>500</v>
      </c>
      <c r="R380" s="3">
        <f t="shared" si="28"/>
        <v>3.4106051316484809E-13</v>
      </c>
      <c r="S380" s="24" t="s">
        <v>1334</v>
      </c>
      <c r="T380" s="24" t="s">
        <v>1334</v>
      </c>
      <c r="U380" s="55"/>
      <c r="V380" s="25"/>
      <c r="W380" s="25"/>
      <c r="X380" s="25"/>
      <c r="Y380" s="25"/>
      <c r="Z380" s="25"/>
      <c r="AA380" s="3" t="str">
        <f>IF(Caja_Operativa[[#This Row],[FECHA]]&gt;0,TEXT(Caja_Operativa[[#This Row],[FECHA]],"mmmm"),0)</f>
        <v>Julio</v>
      </c>
    </row>
    <row r="381" spans="1:27" x14ac:dyDescent="0.3">
      <c r="A381" s="2">
        <f>IF(Caja_Operativa[[#This Row],[TIPO DE R.]]="R",COUNTIFS($C$1:$C380,"R")+1,"")</f>
        <v>380</v>
      </c>
      <c r="B381" s="19" t="str">
        <f t="shared" si="33"/>
        <v>C-Operativa</v>
      </c>
      <c r="C381" s="3" t="s">
        <v>1330</v>
      </c>
      <c r="D381" s="14">
        <v>45849</v>
      </c>
      <c r="E381" s="5" t="s">
        <v>3634</v>
      </c>
      <c r="F381" s="5" t="s">
        <v>1303</v>
      </c>
      <c r="G381" s="6" t="s">
        <v>876</v>
      </c>
      <c r="H381" s="6"/>
      <c r="I381" s="6" t="s">
        <v>7539</v>
      </c>
      <c r="J381" s="6">
        <v>12</v>
      </c>
      <c r="K381" s="7" t="s">
        <v>7540</v>
      </c>
      <c r="L381" s="8">
        <v>1258432</v>
      </c>
      <c r="M381" s="8" t="str">
        <f t="shared" si="34"/>
        <v>PEN</v>
      </c>
      <c r="N381" s="13"/>
      <c r="O381" s="13">
        <v>100</v>
      </c>
      <c r="P381" s="3">
        <f t="shared" si="35"/>
        <v>100</v>
      </c>
      <c r="Q381" s="3">
        <f t="shared" si="36"/>
        <v>0</v>
      </c>
      <c r="R381" s="3">
        <f t="shared" si="28"/>
        <v>100.00000000000034</v>
      </c>
      <c r="S381" s="24"/>
      <c r="T381" s="24"/>
      <c r="U381" s="55"/>
      <c r="V381" s="25"/>
      <c r="W381" s="25"/>
      <c r="X381" s="25"/>
      <c r="Y381" s="25"/>
      <c r="Z381" s="25"/>
      <c r="AA381" s="3" t="str">
        <f>IF(Caja_Operativa[[#This Row],[FECHA]]&gt;0,TEXT(Caja_Operativa[[#This Row],[FECHA]],"mmmm"),0)</f>
        <v>Julio</v>
      </c>
    </row>
    <row r="382" spans="1:27" x14ac:dyDescent="0.3">
      <c r="A382" s="2">
        <f>IF(Caja_Operativa[[#This Row],[TIPO DE R.]]="R",COUNTIFS($C$1:$C381,"R")+1,"")</f>
        <v>381</v>
      </c>
      <c r="B382" s="19" t="str">
        <f t="shared" si="33"/>
        <v>C-Operativa</v>
      </c>
      <c r="C382" s="3" t="s">
        <v>1330</v>
      </c>
      <c r="D382" s="14">
        <v>45849</v>
      </c>
      <c r="E382" s="5" t="s">
        <v>3634</v>
      </c>
      <c r="F382" s="5" t="s">
        <v>1336</v>
      </c>
      <c r="G382" s="6" t="s">
        <v>876</v>
      </c>
      <c r="H382" s="6"/>
      <c r="I382" s="6"/>
      <c r="J382" s="6"/>
      <c r="K382" s="7" t="s">
        <v>7516</v>
      </c>
      <c r="L382" s="8">
        <v>1258432</v>
      </c>
      <c r="M382" s="8" t="str">
        <f t="shared" si="34"/>
        <v>PEN</v>
      </c>
      <c r="N382" s="13"/>
      <c r="O382" s="13">
        <v>100</v>
      </c>
      <c r="P382" s="3">
        <f t="shared" si="35"/>
        <v>0</v>
      </c>
      <c r="Q382" s="3">
        <f t="shared" si="36"/>
        <v>100</v>
      </c>
      <c r="R382" s="3">
        <f t="shared" si="28"/>
        <v>3.4106051316484809E-13</v>
      </c>
      <c r="S382" s="24" t="s">
        <v>1334</v>
      </c>
      <c r="T382" s="24" t="s">
        <v>1334</v>
      </c>
      <c r="U382" s="55"/>
      <c r="V382" s="25"/>
      <c r="W382" s="25"/>
      <c r="X382" s="25"/>
      <c r="Y382" s="25"/>
      <c r="Z382" s="25"/>
      <c r="AA382" s="3" t="str">
        <f>IF(Caja_Operativa[[#This Row],[FECHA]]&gt;0,TEXT(Caja_Operativa[[#This Row],[FECHA]],"mmmm"),0)</f>
        <v>Julio</v>
      </c>
    </row>
    <row r="383" spans="1:27" ht="24" x14ac:dyDescent="0.3">
      <c r="A383" s="2">
        <f>IF(Caja_Operativa[[#This Row],[TIPO DE R.]]="R",COUNTIFS($C$1:$C382,"R")+1,"")</f>
        <v>382</v>
      </c>
      <c r="B383" s="19" t="str">
        <f t="shared" si="33"/>
        <v>C-Operativa</v>
      </c>
      <c r="C383" s="3" t="s">
        <v>1330</v>
      </c>
      <c r="D383" s="14">
        <v>45854</v>
      </c>
      <c r="E383" s="5" t="s">
        <v>3634</v>
      </c>
      <c r="F383" s="5" t="s">
        <v>1303</v>
      </c>
      <c r="G383" s="6" t="s">
        <v>895</v>
      </c>
      <c r="H383" s="6"/>
      <c r="I383" s="6" t="s">
        <v>7539</v>
      </c>
      <c r="J383" s="6">
        <v>13</v>
      </c>
      <c r="K383" s="7" t="s">
        <v>7540</v>
      </c>
      <c r="L383" s="8"/>
      <c r="M383" s="8" t="str">
        <f t="shared" si="34"/>
        <v>PEN</v>
      </c>
      <c r="N383" s="13"/>
      <c r="O383" s="13">
        <v>900</v>
      </c>
      <c r="P383" s="3">
        <f t="shared" si="35"/>
        <v>900</v>
      </c>
      <c r="Q383" s="3">
        <f t="shared" si="36"/>
        <v>0</v>
      </c>
      <c r="R383" s="3">
        <f t="shared" si="28"/>
        <v>900.00000000000034</v>
      </c>
      <c r="S383" s="24"/>
      <c r="T383" s="24"/>
      <c r="U383" s="55"/>
      <c r="V383" s="25"/>
      <c r="W383" s="25"/>
      <c r="X383" s="25"/>
      <c r="Y383" s="25"/>
      <c r="Z383" s="25"/>
      <c r="AA383" s="3" t="str">
        <f>IF(Caja_Operativa[[#This Row],[FECHA]]&gt;0,TEXT(Caja_Operativa[[#This Row],[FECHA]],"mmmm"),0)</f>
        <v>Julio</v>
      </c>
    </row>
    <row r="384" spans="1:27" ht="24" x14ac:dyDescent="0.3">
      <c r="A384" s="2">
        <f>IF(Caja_Operativa[[#This Row],[TIPO DE R.]]="R",COUNTIFS($C$1:$C383,"R")+1,"")</f>
        <v>383</v>
      </c>
      <c r="B384" s="19" t="str">
        <f t="shared" si="33"/>
        <v>C-Operativa</v>
      </c>
      <c r="C384" s="3" t="s">
        <v>1330</v>
      </c>
      <c r="D384" s="14">
        <v>45854</v>
      </c>
      <c r="E384" s="5" t="s">
        <v>3634</v>
      </c>
      <c r="F384" s="5" t="s">
        <v>1336</v>
      </c>
      <c r="G384" s="6" t="s">
        <v>1019</v>
      </c>
      <c r="H384" s="6"/>
      <c r="I384" s="6"/>
      <c r="J384" s="6"/>
      <c r="K384" s="7" t="s">
        <v>7516</v>
      </c>
      <c r="L384" s="8">
        <v>3748741</v>
      </c>
      <c r="M384" s="8" t="str">
        <f t="shared" si="34"/>
        <v>PEN</v>
      </c>
      <c r="N384" s="13"/>
      <c r="O384" s="13">
        <v>500</v>
      </c>
      <c r="P384" s="3">
        <f t="shared" si="35"/>
        <v>0</v>
      </c>
      <c r="Q384" s="3">
        <f t="shared" si="36"/>
        <v>500</v>
      </c>
      <c r="R384" s="3">
        <f t="shared" si="28"/>
        <v>400.00000000000034</v>
      </c>
      <c r="S384" s="24" t="s">
        <v>1334</v>
      </c>
      <c r="T384" s="24" t="s">
        <v>1334</v>
      </c>
      <c r="U384" s="55"/>
      <c r="V384" s="25"/>
      <c r="W384" s="25"/>
      <c r="X384" s="25"/>
      <c r="Y384" s="25"/>
      <c r="Z384" s="25"/>
      <c r="AA384" s="3" t="str">
        <f>IF(Caja_Operativa[[#This Row],[FECHA]]&gt;0,TEXT(Caja_Operativa[[#This Row],[FECHA]],"mmmm"),0)</f>
        <v>Julio</v>
      </c>
    </row>
    <row r="385" spans="1:27" ht="24" x14ac:dyDescent="0.3">
      <c r="A385" s="2">
        <f>IF(Caja_Operativa[[#This Row],[TIPO DE R.]]="R",COUNTIFS($C$1:$C384,"R")+1,"")</f>
        <v>384</v>
      </c>
      <c r="B385" s="19" t="str">
        <f t="shared" si="33"/>
        <v>C-Operativa</v>
      </c>
      <c r="C385" s="3" t="s">
        <v>1330</v>
      </c>
      <c r="D385" s="14">
        <v>45854</v>
      </c>
      <c r="E385" s="5" t="s">
        <v>3634</v>
      </c>
      <c r="F385" s="5" t="s">
        <v>1336</v>
      </c>
      <c r="G385" s="6" t="s">
        <v>922</v>
      </c>
      <c r="H385" s="6"/>
      <c r="I385" s="6"/>
      <c r="J385" s="6"/>
      <c r="K385" s="7" t="s">
        <v>7516</v>
      </c>
      <c r="L385" s="8">
        <v>4213357</v>
      </c>
      <c r="M385" s="8" t="str">
        <f t="shared" si="34"/>
        <v>PEN</v>
      </c>
      <c r="N385" s="13"/>
      <c r="O385" s="13">
        <v>400</v>
      </c>
      <c r="P385" s="3">
        <f t="shared" si="35"/>
        <v>0</v>
      </c>
      <c r="Q385" s="3">
        <f t="shared" si="36"/>
        <v>400</v>
      </c>
      <c r="R385" s="3">
        <f t="shared" si="28"/>
        <v>3.4106051316484809E-13</v>
      </c>
      <c r="S385" s="24" t="s">
        <v>1334</v>
      </c>
      <c r="T385" s="24" t="s">
        <v>1334</v>
      </c>
      <c r="U385" s="55"/>
      <c r="V385" s="25"/>
      <c r="W385" s="25"/>
      <c r="X385" s="25"/>
      <c r="Y385" s="25"/>
      <c r="Z385" s="25"/>
      <c r="AA385" s="3" t="str">
        <f>IF(Caja_Operativa[[#This Row],[FECHA]]&gt;0,TEXT(Caja_Operativa[[#This Row],[FECHA]],"mmmm"),0)</f>
        <v>Julio</v>
      </c>
    </row>
    <row r="386" spans="1:27" ht="24" x14ac:dyDescent="0.3">
      <c r="A386" s="2">
        <f>IF(Caja_Operativa[[#This Row],[TIPO DE R.]]="R",COUNTIFS($C$1:$C385,"R")+1,"")</f>
        <v>385</v>
      </c>
      <c r="B386" s="19" t="str">
        <f t="shared" si="33"/>
        <v>C-Operativa</v>
      </c>
      <c r="C386" s="3" t="s">
        <v>1330</v>
      </c>
      <c r="D386" s="14">
        <v>45855</v>
      </c>
      <c r="E386" s="5" t="s">
        <v>3634</v>
      </c>
      <c r="F386" s="5" t="s">
        <v>1303</v>
      </c>
      <c r="G386" s="6" t="s">
        <v>895</v>
      </c>
      <c r="H386" s="6"/>
      <c r="I386" s="6" t="s">
        <v>7539</v>
      </c>
      <c r="J386" s="6">
        <v>14</v>
      </c>
      <c r="K386" s="7" t="s">
        <v>7540</v>
      </c>
      <c r="L386" s="8">
        <v>2198955</v>
      </c>
      <c r="M386" s="8" t="str">
        <f t="shared" si="34"/>
        <v>PEN</v>
      </c>
      <c r="N386" s="13"/>
      <c r="O386" s="13">
        <v>3000</v>
      </c>
      <c r="P386" s="3">
        <f t="shared" si="35"/>
        <v>3000</v>
      </c>
      <c r="Q386" s="3">
        <f t="shared" si="36"/>
        <v>0</v>
      </c>
      <c r="R386" s="3">
        <f t="shared" ref="R386:R449" si="37">IFERROR(IF(F386="SALDO",P386,R385+P386-Q386),0)</f>
        <v>3000.0000000000005</v>
      </c>
      <c r="S386" s="24"/>
      <c r="T386" s="24"/>
      <c r="U386" s="55"/>
      <c r="V386" s="25"/>
      <c r="W386" s="25"/>
      <c r="X386" s="25"/>
      <c r="Y386" s="25"/>
      <c r="Z386" s="25"/>
      <c r="AA386" s="3" t="str">
        <f>IF(Caja_Operativa[[#This Row],[FECHA]]&gt;0,TEXT(Caja_Operativa[[#This Row],[FECHA]],"mmmm"),0)</f>
        <v>Julio</v>
      </c>
    </row>
    <row r="387" spans="1:27" x14ac:dyDescent="0.3">
      <c r="A387" s="2">
        <f>IF(Caja_Operativa[[#This Row],[TIPO DE R.]]="R",COUNTIFS($C$1:$C386,"R")+1,"")</f>
        <v>386</v>
      </c>
      <c r="B387" s="19" t="str">
        <f t="shared" si="33"/>
        <v>C-Operativa</v>
      </c>
      <c r="C387" s="3" t="s">
        <v>1330</v>
      </c>
      <c r="D387" s="14">
        <v>45855</v>
      </c>
      <c r="E387" s="5"/>
      <c r="F387" s="5" t="s">
        <v>1336</v>
      </c>
      <c r="G387" s="6"/>
      <c r="H387" s="6"/>
      <c r="I387" s="6"/>
      <c r="J387" s="6"/>
      <c r="K387" s="7" t="s">
        <v>5061</v>
      </c>
      <c r="L387" s="8">
        <v>2</v>
      </c>
      <c r="M387" s="8" t="str">
        <f t="shared" si="34"/>
        <v>PEN</v>
      </c>
      <c r="N387" s="13"/>
      <c r="O387" s="13">
        <v>0.15</v>
      </c>
      <c r="P387" s="3">
        <f t="shared" si="35"/>
        <v>0</v>
      </c>
      <c r="Q387" s="3">
        <f t="shared" si="36"/>
        <v>0.15</v>
      </c>
      <c r="R387" s="3">
        <f t="shared" si="37"/>
        <v>2999.8500000000004</v>
      </c>
      <c r="S387" s="24"/>
      <c r="T387" s="24"/>
      <c r="U387" s="55"/>
      <c r="V387" s="25"/>
      <c r="W387" s="25"/>
      <c r="X387" s="25"/>
      <c r="Y387" s="25"/>
      <c r="Z387" s="25"/>
      <c r="AA387" s="3" t="str">
        <f>IF(Caja_Operativa[[#This Row],[FECHA]]&gt;0,TEXT(Caja_Operativa[[#This Row],[FECHA]],"mmmm"),0)</f>
        <v>Julio</v>
      </c>
    </row>
    <row r="388" spans="1:27" x14ac:dyDescent="0.3">
      <c r="A388" s="2">
        <f>IF(Caja_Operativa[[#This Row],[TIPO DE R.]]="R",COUNTIFS($C$1:$C387,"R")+1,"")</f>
        <v>387</v>
      </c>
      <c r="B388" s="19" t="str">
        <f t="shared" si="33"/>
        <v>C-Operativa</v>
      </c>
      <c r="C388" s="3" t="s">
        <v>1330</v>
      </c>
      <c r="D388" s="14">
        <v>45856</v>
      </c>
      <c r="E388" s="5" t="s">
        <v>3634</v>
      </c>
      <c r="F388" s="5" t="s">
        <v>1336</v>
      </c>
      <c r="G388" s="6" t="s">
        <v>876</v>
      </c>
      <c r="H388" s="6"/>
      <c r="I388" s="6"/>
      <c r="J388" s="6"/>
      <c r="K388" s="7" t="s">
        <v>7516</v>
      </c>
      <c r="L388" s="8">
        <v>1383298</v>
      </c>
      <c r="M388" s="8" t="str">
        <f t="shared" si="34"/>
        <v>PEN</v>
      </c>
      <c r="N388" s="13"/>
      <c r="O388" s="13">
        <v>100</v>
      </c>
      <c r="P388" s="3">
        <f t="shared" si="35"/>
        <v>0</v>
      </c>
      <c r="Q388" s="3">
        <f t="shared" si="36"/>
        <v>100</v>
      </c>
      <c r="R388" s="3">
        <f t="shared" si="37"/>
        <v>2899.8500000000004</v>
      </c>
      <c r="S388" s="24" t="s">
        <v>1334</v>
      </c>
      <c r="T388" s="24" t="s">
        <v>1334</v>
      </c>
      <c r="U388" s="55"/>
      <c r="V388" s="25"/>
      <c r="W388" s="25"/>
      <c r="X388" s="25"/>
      <c r="Y388" s="25"/>
      <c r="Z388" s="25"/>
      <c r="AA388" s="3" t="str">
        <f>IF(Caja_Operativa[[#This Row],[FECHA]]&gt;0,TEXT(Caja_Operativa[[#This Row],[FECHA]],"mmmm"),0)</f>
        <v>Julio</v>
      </c>
    </row>
    <row r="389" spans="1:27" ht="24" x14ac:dyDescent="0.3">
      <c r="A389" s="2">
        <f>IF(Caja_Operativa[[#This Row],[TIPO DE R.]]="R",COUNTIFS($C$1:$C388,"R")+1,"")</f>
        <v>388</v>
      </c>
      <c r="B389" s="19" t="str">
        <f t="shared" si="33"/>
        <v>C-Operativa</v>
      </c>
      <c r="C389" s="3" t="s">
        <v>1330</v>
      </c>
      <c r="D389" s="14">
        <v>45859</v>
      </c>
      <c r="E389" s="5" t="s">
        <v>3634</v>
      </c>
      <c r="F389" s="5" t="s">
        <v>1336</v>
      </c>
      <c r="G389" s="6" t="s">
        <v>829</v>
      </c>
      <c r="H389" s="6"/>
      <c r="I389" s="6"/>
      <c r="J389" s="6"/>
      <c r="K389" s="7" t="s">
        <v>7516</v>
      </c>
      <c r="L389" s="8">
        <v>1181970</v>
      </c>
      <c r="M389" s="8" t="str">
        <f t="shared" si="34"/>
        <v>PEN</v>
      </c>
      <c r="N389" s="13"/>
      <c r="O389" s="13">
        <v>150</v>
      </c>
      <c r="P389" s="3">
        <f t="shared" si="35"/>
        <v>0</v>
      </c>
      <c r="Q389" s="3">
        <f t="shared" si="36"/>
        <v>150</v>
      </c>
      <c r="R389" s="3">
        <f t="shared" si="37"/>
        <v>2749.8500000000004</v>
      </c>
      <c r="S389" s="24" t="s">
        <v>1334</v>
      </c>
      <c r="T389" s="24" t="s">
        <v>1334</v>
      </c>
      <c r="U389" s="55"/>
      <c r="V389" s="25"/>
      <c r="W389" s="25"/>
      <c r="X389" s="25"/>
      <c r="Y389" s="25"/>
      <c r="Z389" s="25"/>
      <c r="AA389" s="3" t="str">
        <f>IF(Caja_Operativa[[#This Row],[FECHA]]&gt;0,TEXT(Caja_Operativa[[#This Row],[FECHA]],"mmmm"),0)</f>
        <v>Julio</v>
      </c>
    </row>
    <row r="390" spans="1:27" ht="24" x14ac:dyDescent="0.3">
      <c r="A390" s="2">
        <f>IF(Caja_Operativa[[#This Row],[TIPO DE R.]]="R",COUNTIFS($C$1:$C389,"R")+1,"")</f>
        <v>389</v>
      </c>
      <c r="B390" s="19" t="str">
        <f t="shared" si="33"/>
        <v>C-Operativa</v>
      </c>
      <c r="C390" s="3" t="s">
        <v>1330</v>
      </c>
      <c r="D390" s="14">
        <v>45859</v>
      </c>
      <c r="E390" s="5" t="s">
        <v>3634</v>
      </c>
      <c r="F390" s="5" t="s">
        <v>1336</v>
      </c>
      <c r="G390" s="6" t="s">
        <v>1019</v>
      </c>
      <c r="H390" s="6"/>
      <c r="I390" s="6"/>
      <c r="J390" s="6"/>
      <c r="K390" s="7" t="s">
        <v>7516</v>
      </c>
      <c r="L390" s="8">
        <v>1766741</v>
      </c>
      <c r="M390" s="8" t="str">
        <f t="shared" si="34"/>
        <v>PEN</v>
      </c>
      <c r="N390" s="13"/>
      <c r="O390" s="13">
        <v>300</v>
      </c>
      <c r="P390" s="3">
        <f t="shared" si="35"/>
        <v>0</v>
      </c>
      <c r="Q390" s="3">
        <f t="shared" si="36"/>
        <v>300</v>
      </c>
      <c r="R390" s="3">
        <f t="shared" si="37"/>
        <v>2449.8500000000004</v>
      </c>
      <c r="S390" s="24" t="s">
        <v>1334</v>
      </c>
      <c r="T390" s="24" t="s">
        <v>1334</v>
      </c>
      <c r="U390" s="55"/>
      <c r="V390" s="25"/>
      <c r="W390" s="25"/>
      <c r="X390" s="25"/>
      <c r="Y390" s="25"/>
      <c r="Z390" s="25"/>
      <c r="AA390" s="3" t="str">
        <f>IF(Caja_Operativa[[#This Row],[FECHA]]&gt;0,TEXT(Caja_Operativa[[#This Row],[FECHA]],"mmmm"),0)</f>
        <v>Julio</v>
      </c>
    </row>
    <row r="391" spans="1:27" ht="24" x14ac:dyDescent="0.3">
      <c r="A391" s="2">
        <f>IF(Caja_Operativa[[#This Row],[TIPO DE R.]]="R",COUNTIFS($C$1:$C390,"R")+1,"")</f>
        <v>390</v>
      </c>
      <c r="B391" s="19" t="str">
        <f t="shared" si="33"/>
        <v>C-Operativa</v>
      </c>
      <c r="C391" s="3" t="s">
        <v>1330</v>
      </c>
      <c r="D391" s="14">
        <v>45859</v>
      </c>
      <c r="E391" s="5" t="s">
        <v>3634</v>
      </c>
      <c r="F391" s="5" t="s">
        <v>1336</v>
      </c>
      <c r="G391" s="6" t="s">
        <v>812</v>
      </c>
      <c r="H391" s="6"/>
      <c r="I391" s="6"/>
      <c r="J391" s="6"/>
      <c r="K391" s="7" t="s">
        <v>7516</v>
      </c>
      <c r="L391" s="8">
        <v>3619103</v>
      </c>
      <c r="M391" s="8" t="str">
        <f t="shared" si="34"/>
        <v>PEN</v>
      </c>
      <c r="N391" s="13"/>
      <c r="O391" s="13">
        <v>300</v>
      </c>
      <c r="P391" s="3">
        <f t="shared" si="35"/>
        <v>0</v>
      </c>
      <c r="Q391" s="3">
        <f t="shared" si="36"/>
        <v>300</v>
      </c>
      <c r="R391" s="3">
        <f t="shared" si="37"/>
        <v>2149.8500000000004</v>
      </c>
      <c r="S391" s="24" t="s">
        <v>1334</v>
      </c>
      <c r="T391" s="24" t="s">
        <v>1334</v>
      </c>
      <c r="U391" s="55"/>
      <c r="V391" s="25"/>
      <c r="W391" s="25"/>
      <c r="X391" s="25"/>
      <c r="Y391" s="25"/>
      <c r="Z391" s="25"/>
      <c r="AA391" s="3" t="str">
        <f>IF(Caja_Operativa[[#This Row],[FECHA]]&gt;0,TEXT(Caja_Operativa[[#This Row],[FECHA]],"mmmm"),0)</f>
        <v>Julio</v>
      </c>
    </row>
    <row r="392" spans="1:27" ht="24" x14ac:dyDescent="0.3">
      <c r="A392" s="2">
        <f>IF(Caja_Operativa[[#This Row],[TIPO DE R.]]="R",COUNTIFS($C$1:$C391,"R")+1,"")</f>
        <v>391</v>
      </c>
      <c r="B392" s="19" t="str">
        <f t="shared" ref="B392:B401" si="38">"C-Operativa"</f>
        <v>C-Operativa</v>
      </c>
      <c r="C392" s="3" t="s">
        <v>1330</v>
      </c>
      <c r="D392" s="14">
        <v>45860</v>
      </c>
      <c r="E392" s="5" t="s">
        <v>3634</v>
      </c>
      <c r="F392" s="5" t="s">
        <v>1336</v>
      </c>
      <c r="G392" s="6" t="s">
        <v>957</v>
      </c>
      <c r="H392" s="6"/>
      <c r="I392" s="6"/>
      <c r="J392" s="6"/>
      <c r="K392" s="7" t="s">
        <v>7516</v>
      </c>
      <c r="L392" s="8">
        <v>3624698</v>
      </c>
      <c r="M392" s="8" t="str">
        <f t="shared" ref="M392:M401" si="39">"PEN"</f>
        <v>PEN</v>
      </c>
      <c r="N392" s="13"/>
      <c r="O392" s="13">
        <v>800</v>
      </c>
      <c r="P392" s="3">
        <f t="shared" ref="P392:P401" si="40">+IF(OR($F392="SALDO",$F392="INGRESO"),$O392,0)</f>
        <v>0</v>
      </c>
      <c r="Q392" s="3">
        <f t="shared" ref="Q392:Q401" si="41">+IF($F392="EGRESO",$O392,0)</f>
        <v>800</v>
      </c>
      <c r="R392" s="3">
        <f t="shared" si="37"/>
        <v>1349.8500000000004</v>
      </c>
      <c r="S392" s="24" t="s">
        <v>1334</v>
      </c>
      <c r="T392" s="24" t="s">
        <v>1334</v>
      </c>
      <c r="U392" s="55"/>
      <c r="V392" s="25"/>
      <c r="W392" s="25"/>
      <c r="X392" s="25"/>
      <c r="Y392" s="25"/>
      <c r="Z392" s="25"/>
      <c r="AA392" s="3" t="str">
        <f>IF(Caja_Operativa[[#This Row],[FECHA]]&gt;0,TEXT(Caja_Operativa[[#This Row],[FECHA]],"mmmm"),0)</f>
        <v>Julio</v>
      </c>
    </row>
    <row r="393" spans="1:27" x14ac:dyDescent="0.3">
      <c r="A393" s="2">
        <f>IF(Caja_Operativa[[#This Row],[TIPO DE R.]]="R",COUNTIFS($C$1:$C392,"R")+1,"")</f>
        <v>392</v>
      </c>
      <c r="B393" s="19" t="str">
        <f t="shared" si="38"/>
        <v>C-Operativa</v>
      </c>
      <c r="C393" s="3" t="s">
        <v>1330</v>
      </c>
      <c r="D393" s="14">
        <v>45863</v>
      </c>
      <c r="E393" s="5" t="s">
        <v>3634</v>
      </c>
      <c r="F393" s="5" t="s">
        <v>1336</v>
      </c>
      <c r="G393" s="6" t="s">
        <v>876</v>
      </c>
      <c r="H393" s="6"/>
      <c r="I393" s="6"/>
      <c r="J393" s="6"/>
      <c r="K393" s="7" t="s">
        <v>7516</v>
      </c>
      <c r="L393" s="8">
        <v>1334027</v>
      </c>
      <c r="M393" s="8" t="str">
        <f t="shared" si="39"/>
        <v>PEN</v>
      </c>
      <c r="N393" s="13"/>
      <c r="O393" s="13">
        <v>150</v>
      </c>
      <c r="P393" s="3">
        <f t="shared" si="40"/>
        <v>0</v>
      </c>
      <c r="Q393" s="3">
        <f t="shared" si="41"/>
        <v>150</v>
      </c>
      <c r="R393" s="3">
        <f t="shared" si="37"/>
        <v>1199.8500000000004</v>
      </c>
      <c r="S393" s="24" t="s">
        <v>1334</v>
      </c>
      <c r="T393" s="24" t="s">
        <v>1334</v>
      </c>
      <c r="U393" s="55"/>
      <c r="V393" s="25"/>
      <c r="W393" s="25"/>
      <c r="X393" s="25"/>
      <c r="Y393" s="25"/>
      <c r="Z393" s="25"/>
      <c r="AA393" s="3" t="str">
        <f>IF(Caja_Operativa[[#This Row],[FECHA]]&gt;0,TEXT(Caja_Operativa[[#This Row],[FECHA]],"mmmm"),0)</f>
        <v>Julio</v>
      </c>
    </row>
    <row r="394" spans="1:27" ht="24" x14ac:dyDescent="0.3">
      <c r="A394" s="2">
        <f>IF(Caja_Operativa[[#This Row],[TIPO DE R.]]="R",COUNTIFS($C$1:$C393,"R")+1,"")</f>
        <v>393</v>
      </c>
      <c r="B394" s="19" t="str">
        <f t="shared" si="38"/>
        <v>C-Operativa</v>
      </c>
      <c r="C394" s="3" t="s">
        <v>1330</v>
      </c>
      <c r="D394" s="14">
        <v>45863</v>
      </c>
      <c r="E394" s="5" t="s">
        <v>3634</v>
      </c>
      <c r="F394" s="5" t="s">
        <v>1336</v>
      </c>
      <c r="G394" s="6" t="s">
        <v>857</v>
      </c>
      <c r="H394" s="6"/>
      <c r="I394" s="6"/>
      <c r="J394" s="6"/>
      <c r="K394" s="7" t="s">
        <v>7516</v>
      </c>
      <c r="L394" s="8">
        <v>3085284</v>
      </c>
      <c r="M394" s="8" t="str">
        <f t="shared" si="39"/>
        <v>PEN</v>
      </c>
      <c r="N394" s="13"/>
      <c r="O394" s="13">
        <v>200</v>
      </c>
      <c r="P394" s="3">
        <f t="shared" si="40"/>
        <v>0</v>
      </c>
      <c r="Q394" s="3">
        <f t="shared" si="41"/>
        <v>200</v>
      </c>
      <c r="R394" s="3">
        <f t="shared" si="37"/>
        <v>999.85000000000036</v>
      </c>
      <c r="S394" s="24"/>
      <c r="T394" s="24"/>
      <c r="U394" s="55"/>
      <c r="V394" s="25"/>
      <c r="W394" s="25"/>
      <c r="X394" s="25"/>
      <c r="Y394" s="25"/>
      <c r="Z394" s="25"/>
      <c r="AA394" s="3" t="str">
        <f>IF(Caja_Operativa[[#This Row],[FECHA]]&gt;0,TEXT(Caja_Operativa[[#This Row],[FECHA]],"mmmm"),0)</f>
        <v>Julio</v>
      </c>
    </row>
    <row r="395" spans="1:27" ht="24" x14ac:dyDescent="0.3">
      <c r="A395" s="2">
        <f>IF(Caja_Operativa[[#This Row],[TIPO DE R.]]="R",COUNTIFS($C$1:$C394,"R")+1,"")</f>
        <v>394</v>
      </c>
      <c r="B395" s="19" t="str">
        <f t="shared" si="38"/>
        <v>C-Operativa</v>
      </c>
      <c r="C395" s="3" t="s">
        <v>1330</v>
      </c>
      <c r="D395" s="14">
        <v>45863</v>
      </c>
      <c r="E395" s="5" t="s">
        <v>3634</v>
      </c>
      <c r="F395" s="5" t="s">
        <v>1336</v>
      </c>
      <c r="G395" s="6" t="s">
        <v>1019</v>
      </c>
      <c r="H395" s="6"/>
      <c r="I395" s="6"/>
      <c r="J395" s="6"/>
      <c r="K395" s="7" t="s">
        <v>7516</v>
      </c>
      <c r="L395" s="8">
        <v>3510582</v>
      </c>
      <c r="M395" s="8" t="str">
        <f t="shared" si="39"/>
        <v>PEN</v>
      </c>
      <c r="N395" s="13"/>
      <c r="O395" s="13">
        <v>200</v>
      </c>
      <c r="P395" s="3">
        <f t="shared" si="40"/>
        <v>0</v>
      </c>
      <c r="Q395" s="3">
        <f t="shared" si="41"/>
        <v>200</v>
      </c>
      <c r="R395" s="3">
        <f t="shared" si="37"/>
        <v>799.85000000000036</v>
      </c>
      <c r="S395" s="24" t="s">
        <v>1334</v>
      </c>
      <c r="T395" s="24" t="s">
        <v>1334</v>
      </c>
      <c r="U395" s="55"/>
      <c r="V395" s="25"/>
      <c r="W395" s="25"/>
      <c r="X395" s="25"/>
      <c r="Y395" s="25"/>
      <c r="Z395" s="25"/>
      <c r="AA395" s="3" t="str">
        <f>IF(Caja_Operativa[[#This Row],[FECHA]]&gt;0,TEXT(Caja_Operativa[[#This Row],[FECHA]],"mmmm"),0)</f>
        <v>Julio</v>
      </c>
    </row>
    <row r="396" spans="1:27" ht="24" x14ac:dyDescent="0.3">
      <c r="A396" s="2">
        <f>IF(Caja_Operativa[[#This Row],[TIPO DE R.]]="R",COUNTIFS($C$1:$C395,"R")+1,"")</f>
        <v>395</v>
      </c>
      <c r="B396" s="19" t="str">
        <f t="shared" si="38"/>
        <v>C-Operativa</v>
      </c>
      <c r="C396" s="3" t="s">
        <v>1330</v>
      </c>
      <c r="D396" s="14">
        <v>45868</v>
      </c>
      <c r="E396" s="5" t="s">
        <v>3634</v>
      </c>
      <c r="F396" s="5" t="s">
        <v>1336</v>
      </c>
      <c r="G396" s="6" t="s">
        <v>957</v>
      </c>
      <c r="H396" s="6"/>
      <c r="I396" s="6"/>
      <c r="J396" s="6"/>
      <c r="K396" s="7" t="s">
        <v>7516</v>
      </c>
      <c r="L396" s="8">
        <v>4182045</v>
      </c>
      <c r="M396" s="8" t="str">
        <f t="shared" si="39"/>
        <v>PEN</v>
      </c>
      <c r="N396" s="13"/>
      <c r="O396" s="13">
        <v>200</v>
      </c>
      <c r="P396" s="3">
        <f t="shared" si="40"/>
        <v>0</v>
      </c>
      <c r="Q396" s="3">
        <f t="shared" si="41"/>
        <v>200</v>
      </c>
      <c r="R396" s="3">
        <f t="shared" si="37"/>
        <v>599.85000000000036</v>
      </c>
      <c r="S396" s="24" t="s">
        <v>1334</v>
      </c>
      <c r="T396" s="24" t="s">
        <v>1334</v>
      </c>
      <c r="U396" s="55"/>
      <c r="V396" s="25"/>
      <c r="W396" s="25"/>
      <c r="X396" s="25"/>
      <c r="Y396" s="25"/>
      <c r="Z396" s="25"/>
      <c r="AA396" s="3" t="str">
        <f>IF(Caja_Operativa[[#This Row],[FECHA]]&gt;0,TEXT(Caja_Operativa[[#This Row],[FECHA]],"mmmm"),0)</f>
        <v>Julio</v>
      </c>
    </row>
    <row r="397" spans="1:27" ht="24" x14ac:dyDescent="0.3">
      <c r="A397" s="2">
        <f>IF(Caja_Operativa[[#This Row],[TIPO DE R.]]="R",COUNTIFS($C$1:$C396,"R")+1,"")</f>
        <v>396</v>
      </c>
      <c r="B397" s="19" t="str">
        <f>"C-Operativa"</f>
        <v>C-Operativa</v>
      </c>
      <c r="C397" s="3" t="s">
        <v>1330</v>
      </c>
      <c r="D397" s="14">
        <v>45873</v>
      </c>
      <c r="E397" s="5" t="s">
        <v>3634</v>
      </c>
      <c r="F397" s="5" t="s">
        <v>1303</v>
      </c>
      <c r="G397" s="6" t="s">
        <v>895</v>
      </c>
      <c r="H397" s="6"/>
      <c r="I397" s="6" t="s">
        <v>7539</v>
      </c>
      <c r="J397" s="6">
        <v>15</v>
      </c>
      <c r="K397" s="7" t="s">
        <v>7540</v>
      </c>
      <c r="L397" s="8">
        <v>3631894</v>
      </c>
      <c r="M397" s="8" t="str">
        <f>"PEN"</f>
        <v>PEN</v>
      </c>
      <c r="N397" s="13"/>
      <c r="O397" s="13">
        <v>900</v>
      </c>
      <c r="P397" s="3">
        <f>+IF(OR($F397="SALDO",$F397="INGRESO"),$O397,0)</f>
        <v>900</v>
      </c>
      <c r="Q397" s="3">
        <f>+IF($F397="EGRESO",$O397,0)</f>
        <v>0</v>
      </c>
      <c r="R397" s="3">
        <f t="shared" si="37"/>
        <v>1499.8500000000004</v>
      </c>
      <c r="S397" s="24"/>
      <c r="T397" s="24"/>
      <c r="U397" s="55"/>
      <c r="V397" s="25"/>
      <c r="W397" s="25"/>
      <c r="X397" s="25"/>
      <c r="Y397" s="25"/>
      <c r="Z397" s="25"/>
      <c r="AA397" s="3" t="str">
        <f>IF(Caja_Operativa[[#This Row],[FECHA]]&gt;0,TEXT(Caja_Operativa[[#This Row],[FECHA]],"mmmm"),0)</f>
        <v>Agosto</v>
      </c>
    </row>
    <row r="398" spans="1:27" ht="24" x14ac:dyDescent="0.3">
      <c r="A398" s="2">
        <f>IF(Caja_Operativa[[#This Row],[TIPO DE R.]]="R",COUNTIFS($C$1:$C397,"R")+1,"")</f>
        <v>397</v>
      </c>
      <c r="B398" s="19" t="str">
        <f t="shared" si="38"/>
        <v>C-Operativa</v>
      </c>
      <c r="C398" s="3" t="s">
        <v>1330</v>
      </c>
      <c r="D398" s="14">
        <v>45873</v>
      </c>
      <c r="E398" s="5" t="s">
        <v>3634</v>
      </c>
      <c r="F398" s="5" t="s">
        <v>1336</v>
      </c>
      <c r="G398" s="6" t="s">
        <v>888</v>
      </c>
      <c r="H398" s="6"/>
      <c r="I398" s="6"/>
      <c r="J398" s="6"/>
      <c r="K398" s="7" t="s">
        <v>7516</v>
      </c>
      <c r="L398" s="8">
        <v>3353014</v>
      </c>
      <c r="M398" s="8" t="str">
        <f t="shared" si="39"/>
        <v>PEN</v>
      </c>
      <c r="N398" s="13"/>
      <c r="O398" s="13">
        <v>140</v>
      </c>
      <c r="P398" s="3">
        <f t="shared" si="40"/>
        <v>0</v>
      </c>
      <c r="Q398" s="3">
        <f t="shared" si="41"/>
        <v>140</v>
      </c>
      <c r="R398" s="3">
        <f t="shared" si="37"/>
        <v>1359.8500000000004</v>
      </c>
      <c r="S398" s="24" t="s">
        <v>1334</v>
      </c>
      <c r="T398" s="24" t="s">
        <v>1334</v>
      </c>
      <c r="U398" s="55"/>
      <c r="V398" s="25"/>
      <c r="W398" s="25"/>
      <c r="X398" s="25"/>
      <c r="Y398" s="25"/>
      <c r="Z398" s="25"/>
      <c r="AA398" s="3" t="str">
        <f>IF(Caja_Operativa[[#This Row],[FECHA]]&gt;0,TEXT(Caja_Operativa[[#This Row],[FECHA]],"mmmm"),0)</f>
        <v>Agosto</v>
      </c>
    </row>
    <row r="399" spans="1:27" ht="24" x14ac:dyDescent="0.3">
      <c r="A399" s="2">
        <f>IF(Caja_Operativa[[#This Row],[TIPO DE R.]]="R",COUNTIFS($C$1:$C398,"R")+1,"")</f>
        <v>398</v>
      </c>
      <c r="B399" s="19" t="str">
        <f t="shared" si="38"/>
        <v>C-Operativa</v>
      </c>
      <c r="C399" s="3" t="s">
        <v>1330</v>
      </c>
      <c r="D399" s="14">
        <v>45873</v>
      </c>
      <c r="E399" s="5" t="s">
        <v>3634</v>
      </c>
      <c r="F399" s="5" t="s">
        <v>1336</v>
      </c>
      <c r="G399" s="6" t="s">
        <v>857</v>
      </c>
      <c r="H399" s="6"/>
      <c r="I399" s="6"/>
      <c r="J399" s="6"/>
      <c r="K399" s="7" t="s">
        <v>7741</v>
      </c>
      <c r="L399" s="8">
        <v>2227770</v>
      </c>
      <c r="M399" s="8" t="str">
        <f t="shared" si="39"/>
        <v>PEN</v>
      </c>
      <c r="N399" s="13"/>
      <c r="O399" s="13">
        <v>452</v>
      </c>
      <c r="P399" s="3">
        <f t="shared" si="40"/>
        <v>0</v>
      </c>
      <c r="Q399" s="3">
        <f t="shared" si="41"/>
        <v>452</v>
      </c>
      <c r="R399" s="3">
        <f t="shared" si="37"/>
        <v>907.85000000000036</v>
      </c>
      <c r="S399" s="24"/>
      <c r="T399" s="24"/>
      <c r="U399" s="55"/>
      <c r="V399" s="25"/>
      <c r="W399" s="25"/>
      <c r="X399" s="25"/>
      <c r="Y399" s="25"/>
      <c r="Z399" s="25"/>
      <c r="AA399" s="3" t="str">
        <f>IF(Caja_Operativa[[#This Row],[FECHA]]&gt;0,TEXT(Caja_Operativa[[#This Row],[FECHA]],"mmmm"),0)</f>
        <v>Agosto</v>
      </c>
    </row>
    <row r="400" spans="1:27" x14ac:dyDescent="0.3">
      <c r="A400" s="2">
        <f>IF(Caja_Operativa[[#This Row],[TIPO DE R.]]="R",COUNTIFS($C$1:$C399,"R")+1,"")</f>
        <v>399</v>
      </c>
      <c r="B400" s="19" t="str">
        <f t="shared" si="38"/>
        <v>C-Operativa</v>
      </c>
      <c r="C400" s="3" t="s">
        <v>1330</v>
      </c>
      <c r="D400" s="14">
        <v>45874</v>
      </c>
      <c r="E400" s="5" t="s">
        <v>3634</v>
      </c>
      <c r="F400" s="5" t="s">
        <v>1336</v>
      </c>
      <c r="G400" s="6" t="s">
        <v>876</v>
      </c>
      <c r="H400" s="6"/>
      <c r="I400" s="6"/>
      <c r="J400" s="6"/>
      <c r="K400" s="7" t="s">
        <v>7516</v>
      </c>
      <c r="L400" s="8">
        <v>3645100</v>
      </c>
      <c r="M400" s="8" t="str">
        <f t="shared" si="39"/>
        <v>PEN</v>
      </c>
      <c r="N400" s="13"/>
      <c r="O400" s="13">
        <v>150</v>
      </c>
      <c r="P400" s="3">
        <f t="shared" si="40"/>
        <v>0</v>
      </c>
      <c r="Q400" s="3">
        <f t="shared" si="41"/>
        <v>150</v>
      </c>
      <c r="R400" s="3">
        <f t="shared" si="37"/>
        <v>757.85000000000036</v>
      </c>
      <c r="S400" s="24" t="s">
        <v>1334</v>
      </c>
      <c r="T400" s="24" t="s">
        <v>1334</v>
      </c>
      <c r="U400" s="55"/>
      <c r="V400" s="25"/>
      <c r="W400" s="25"/>
      <c r="X400" s="25"/>
      <c r="Y400" s="25"/>
      <c r="Z400" s="25"/>
      <c r="AA400" s="3" t="str">
        <f>IF(Caja_Operativa[[#This Row],[FECHA]]&gt;0,TEXT(Caja_Operativa[[#This Row],[FECHA]],"mmmm"),0)</f>
        <v>Agosto</v>
      </c>
    </row>
    <row r="401" spans="1:27" x14ac:dyDescent="0.3">
      <c r="A401" s="2">
        <f>IF(Caja_Operativa[[#This Row],[TIPO DE R.]]="R",COUNTIFS($C$1:$C400,"R")+1,"")</f>
        <v>400</v>
      </c>
      <c r="B401" s="19" t="str">
        <f t="shared" si="38"/>
        <v>C-Operativa</v>
      </c>
      <c r="C401" s="3" t="s">
        <v>1330</v>
      </c>
      <c r="D401" s="14">
        <v>45875</v>
      </c>
      <c r="E401" s="5" t="s">
        <v>3634</v>
      </c>
      <c r="F401" s="5" t="s">
        <v>1303</v>
      </c>
      <c r="G401" s="6"/>
      <c r="H401" s="6"/>
      <c r="I401" s="6"/>
      <c r="J401" s="6"/>
      <c r="K401" s="7" t="s">
        <v>7742</v>
      </c>
      <c r="L401" s="8">
        <v>1990639</v>
      </c>
      <c r="M401" s="8" t="str">
        <f t="shared" si="39"/>
        <v>PEN</v>
      </c>
      <c r="N401" s="13"/>
      <c r="O401" s="13">
        <v>73.7</v>
      </c>
      <c r="P401" s="3">
        <f t="shared" si="40"/>
        <v>73.7</v>
      </c>
      <c r="Q401" s="3">
        <f t="shared" si="41"/>
        <v>0</v>
      </c>
      <c r="R401" s="3">
        <f t="shared" si="37"/>
        <v>831.55000000000041</v>
      </c>
      <c r="S401" s="24"/>
      <c r="T401" s="24"/>
      <c r="U401" s="55"/>
      <c r="V401" s="25"/>
      <c r="W401" s="25"/>
      <c r="X401" s="25"/>
      <c r="Y401" s="25"/>
      <c r="Z401" s="25"/>
      <c r="AA401" s="3" t="str">
        <f>IF(Caja_Operativa[[#This Row],[FECHA]]&gt;0,TEXT(Caja_Operativa[[#This Row],[FECHA]],"mmmm"),0)</f>
        <v>Agosto</v>
      </c>
    </row>
    <row r="402" spans="1:27" x14ac:dyDescent="0.3">
      <c r="A402" s="2">
        <f>IF(Caja_Operativa[[#This Row],[TIPO DE R.]]="R",COUNTIFS($C$1:$C401,"R")+1,"")</f>
        <v>401</v>
      </c>
      <c r="B402" s="19" t="str">
        <f t="shared" ref="B402:B410" si="42">"C-Operativa"</f>
        <v>C-Operativa</v>
      </c>
      <c r="C402" s="3" t="s">
        <v>1330</v>
      </c>
      <c r="D402" s="14">
        <v>45876</v>
      </c>
      <c r="E402" s="5" t="s">
        <v>3634</v>
      </c>
      <c r="F402" s="5" t="s">
        <v>1303</v>
      </c>
      <c r="G402" s="6"/>
      <c r="H402" s="6"/>
      <c r="I402" s="6"/>
      <c r="J402" s="6"/>
      <c r="K402" s="7" t="s">
        <v>7743</v>
      </c>
      <c r="L402" s="8">
        <v>1091695</v>
      </c>
      <c r="M402" s="8" t="str">
        <f t="shared" ref="M402:M410" si="43">"PEN"</f>
        <v>PEN</v>
      </c>
      <c r="N402" s="13"/>
      <c r="O402" s="13">
        <v>131.5</v>
      </c>
      <c r="P402" s="3">
        <f t="shared" ref="P402:P410" si="44">+IF(OR($F402="SALDO",$F402="INGRESO"),$O402,0)</f>
        <v>131.5</v>
      </c>
      <c r="Q402" s="3">
        <f t="shared" ref="Q402:Q410" si="45">+IF($F402="EGRESO",$O402,0)</f>
        <v>0</v>
      </c>
      <c r="R402" s="3">
        <f t="shared" si="37"/>
        <v>963.05000000000041</v>
      </c>
      <c r="S402" s="24"/>
      <c r="T402" s="24"/>
      <c r="U402" s="55"/>
      <c r="V402" s="25"/>
      <c r="W402" s="25"/>
      <c r="X402" s="25"/>
      <c r="Y402" s="25"/>
      <c r="Z402" s="25"/>
      <c r="AA402" s="3" t="str">
        <f>IF(Caja_Operativa[[#This Row],[FECHA]]&gt;0,TEXT(Caja_Operativa[[#This Row],[FECHA]],"mmmm"),0)</f>
        <v>Agosto</v>
      </c>
    </row>
    <row r="403" spans="1:27" x14ac:dyDescent="0.3">
      <c r="A403" s="2">
        <f>IF(Caja_Operativa[[#This Row],[TIPO DE R.]]="R",COUNTIFS($C$1:$C402,"R")+1,"")</f>
        <v>402</v>
      </c>
      <c r="B403" s="19" t="str">
        <f t="shared" si="42"/>
        <v>C-Operativa</v>
      </c>
      <c r="C403" s="3" t="s">
        <v>1330</v>
      </c>
      <c r="D403" s="14">
        <v>45877</v>
      </c>
      <c r="E403" s="5" t="s">
        <v>3634</v>
      </c>
      <c r="F403" s="5" t="s">
        <v>1336</v>
      </c>
      <c r="G403" s="6" t="s">
        <v>798</v>
      </c>
      <c r="H403" s="6"/>
      <c r="I403" s="6"/>
      <c r="J403" s="6"/>
      <c r="K403" s="7" t="s">
        <v>7516</v>
      </c>
      <c r="L403" s="8">
        <v>464866</v>
      </c>
      <c r="M403" s="8" t="str">
        <f t="shared" si="43"/>
        <v>PEN</v>
      </c>
      <c r="N403" s="13"/>
      <c r="O403" s="13">
        <v>150</v>
      </c>
      <c r="P403" s="3">
        <f t="shared" si="44"/>
        <v>0</v>
      </c>
      <c r="Q403" s="3">
        <f t="shared" si="45"/>
        <v>150</v>
      </c>
      <c r="R403" s="3">
        <f t="shared" si="37"/>
        <v>813.05000000000041</v>
      </c>
      <c r="S403" s="24" t="s">
        <v>1334</v>
      </c>
      <c r="T403" s="24" t="s">
        <v>1334</v>
      </c>
      <c r="U403" s="55"/>
      <c r="V403" s="25"/>
      <c r="W403" s="25"/>
      <c r="X403" s="25"/>
      <c r="Y403" s="25"/>
      <c r="Z403" s="25"/>
      <c r="AA403" s="3" t="str">
        <f>IF(Caja_Operativa[[#This Row],[FECHA]]&gt;0,TEXT(Caja_Operativa[[#This Row],[FECHA]],"mmmm"),0)</f>
        <v>Agosto</v>
      </c>
    </row>
    <row r="404" spans="1:27" x14ac:dyDescent="0.3">
      <c r="A404" s="2">
        <f>IF(Caja_Operativa[[#This Row],[TIPO DE R.]]="R",COUNTIFS($C$1:$C403,"R")+1,"")</f>
        <v>403</v>
      </c>
      <c r="B404" s="19" t="str">
        <f t="shared" si="42"/>
        <v>C-Operativa</v>
      </c>
      <c r="C404" s="3" t="s">
        <v>1330</v>
      </c>
      <c r="D404" s="14">
        <v>45880</v>
      </c>
      <c r="E404" s="5" t="s">
        <v>3634</v>
      </c>
      <c r="F404" s="5" t="s">
        <v>1303</v>
      </c>
      <c r="G404" s="6"/>
      <c r="H404" s="6"/>
      <c r="I404" s="6"/>
      <c r="J404" s="6"/>
      <c r="K404" s="7" t="s">
        <v>7744</v>
      </c>
      <c r="L404" s="8">
        <v>3335174</v>
      </c>
      <c r="M404" s="8" t="str">
        <f t="shared" si="43"/>
        <v>PEN</v>
      </c>
      <c r="N404" s="13"/>
      <c r="O404" s="13">
        <v>129</v>
      </c>
      <c r="P404" s="3">
        <f t="shared" si="44"/>
        <v>129</v>
      </c>
      <c r="Q404" s="3">
        <f t="shared" si="45"/>
        <v>0</v>
      </c>
      <c r="R404" s="3">
        <f t="shared" si="37"/>
        <v>942.05000000000041</v>
      </c>
      <c r="S404" s="24"/>
      <c r="T404" s="24"/>
      <c r="U404" s="55"/>
      <c r="V404" s="25"/>
      <c r="W404" s="25"/>
      <c r="X404" s="25"/>
      <c r="Y404" s="25"/>
      <c r="Z404" s="25"/>
      <c r="AA404" s="3" t="str">
        <f>IF(Caja_Operativa[[#This Row],[FECHA]]&gt;0,TEXT(Caja_Operativa[[#This Row],[FECHA]],"mmmm"),0)</f>
        <v>Agosto</v>
      </c>
    </row>
    <row r="405" spans="1:27" ht="24" x14ac:dyDescent="0.3">
      <c r="A405" s="2">
        <f>IF(Caja_Operativa[[#This Row],[TIPO DE R.]]="R",COUNTIFS($C$1:$C404,"R")+1,"")</f>
        <v>404</v>
      </c>
      <c r="B405" s="19" t="str">
        <f t="shared" si="42"/>
        <v>C-Operativa</v>
      </c>
      <c r="C405" s="3" t="s">
        <v>1330</v>
      </c>
      <c r="D405" s="14">
        <v>45880</v>
      </c>
      <c r="E405" s="5" t="s">
        <v>3634</v>
      </c>
      <c r="F405" s="5" t="s">
        <v>1336</v>
      </c>
      <c r="G405" s="6" t="s">
        <v>857</v>
      </c>
      <c r="H405" s="6"/>
      <c r="I405" s="6"/>
      <c r="J405" s="6"/>
      <c r="K405" s="7" t="s">
        <v>7516</v>
      </c>
      <c r="L405" s="8">
        <v>3530594</v>
      </c>
      <c r="M405" s="8" t="str">
        <f t="shared" si="43"/>
        <v>PEN</v>
      </c>
      <c r="N405" s="13"/>
      <c r="O405" s="13">
        <v>110</v>
      </c>
      <c r="P405" s="3">
        <f t="shared" si="44"/>
        <v>0</v>
      </c>
      <c r="Q405" s="3">
        <f t="shared" si="45"/>
        <v>110</v>
      </c>
      <c r="R405" s="3">
        <f t="shared" si="37"/>
        <v>832.05000000000041</v>
      </c>
      <c r="S405" s="24"/>
      <c r="T405" s="24"/>
      <c r="U405" s="55"/>
      <c r="V405" s="25"/>
      <c r="W405" s="25"/>
      <c r="X405" s="25"/>
      <c r="Y405" s="25"/>
      <c r="Z405" s="25"/>
      <c r="AA405" s="3" t="str">
        <f>IF(Caja_Operativa[[#This Row],[FECHA]]&gt;0,TEXT(Caja_Operativa[[#This Row],[FECHA]],"mmmm"),0)</f>
        <v>Agosto</v>
      </c>
    </row>
    <row r="406" spans="1:27" ht="24" x14ac:dyDescent="0.3">
      <c r="A406" s="2">
        <f>IF(Caja_Operativa[[#This Row],[TIPO DE R.]]="R",COUNTIFS($C$1:$C405,"R")+1,"")</f>
        <v>405</v>
      </c>
      <c r="B406" s="19" t="str">
        <f t="shared" si="42"/>
        <v>C-Operativa</v>
      </c>
      <c r="C406" s="3" t="s">
        <v>1330</v>
      </c>
      <c r="D406" s="14">
        <v>45880</v>
      </c>
      <c r="E406" s="5" t="s">
        <v>3634</v>
      </c>
      <c r="F406" s="5" t="s">
        <v>1336</v>
      </c>
      <c r="G406" s="6" t="s">
        <v>922</v>
      </c>
      <c r="H406" s="6"/>
      <c r="I406" s="6"/>
      <c r="J406" s="6"/>
      <c r="K406" s="7" t="s">
        <v>7516</v>
      </c>
      <c r="L406" s="8">
        <v>3316921</v>
      </c>
      <c r="M406" s="8" t="str">
        <f t="shared" si="43"/>
        <v>PEN</v>
      </c>
      <c r="N406" s="13"/>
      <c r="O406" s="13">
        <v>200</v>
      </c>
      <c r="P406" s="3">
        <f t="shared" si="44"/>
        <v>0</v>
      </c>
      <c r="Q406" s="3">
        <f t="shared" si="45"/>
        <v>200</v>
      </c>
      <c r="R406" s="3">
        <f t="shared" si="37"/>
        <v>632.05000000000041</v>
      </c>
      <c r="S406" s="24" t="s">
        <v>1334</v>
      </c>
      <c r="T406" s="24" t="s">
        <v>1334</v>
      </c>
      <c r="U406" s="55"/>
      <c r="V406" s="25"/>
      <c r="W406" s="25"/>
      <c r="X406" s="25"/>
      <c r="Y406" s="25"/>
      <c r="Z406" s="25"/>
      <c r="AA406" s="3" t="str">
        <f>IF(Caja_Operativa[[#This Row],[FECHA]]&gt;0,TEXT(Caja_Operativa[[#This Row],[FECHA]],"mmmm"),0)</f>
        <v>Agosto</v>
      </c>
    </row>
    <row r="407" spans="1:27" ht="24" x14ac:dyDescent="0.3">
      <c r="A407" s="2">
        <f>IF(Caja_Operativa[[#This Row],[TIPO DE R.]]="R",COUNTIFS($C$1:$C406,"R")+1,"")</f>
        <v>406</v>
      </c>
      <c r="B407" s="19" t="str">
        <f t="shared" si="42"/>
        <v>C-Operativa</v>
      </c>
      <c r="C407" s="3" t="s">
        <v>1330</v>
      </c>
      <c r="D407" s="14">
        <v>45880</v>
      </c>
      <c r="E407" s="5" t="s">
        <v>3634</v>
      </c>
      <c r="F407" s="5" t="s">
        <v>1336</v>
      </c>
      <c r="G407" s="6" t="s">
        <v>888</v>
      </c>
      <c r="H407" s="6"/>
      <c r="I407" s="6"/>
      <c r="J407" s="6"/>
      <c r="K407" s="7" t="s">
        <v>7516</v>
      </c>
      <c r="L407" s="8">
        <v>2063927</v>
      </c>
      <c r="M407" s="8" t="str">
        <f t="shared" si="43"/>
        <v>PEN</v>
      </c>
      <c r="N407" s="13"/>
      <c r="O407" s="13">
        <v>100</v>
      </c>
      <c r="P407" s="3">
        <f t="shared" si="44"/>
        <v>0</v>
      </c>
      <c r="Q407" s="3">
        <f t="shared" si="45"/>
        <v>100</v>
      </c>
      <c r="R407" s="3">
        <f t="shared" si="37"/>
        <v>532.05000000000041</v>
      </c>
      <c r="S407" s="24" t="s">
        <v>1334</v>
      </c>
      <c r="T407" s="24" t="s">
        <v>1334</v>
      </c>
      <c r="U407" s="55"/>
      <c r="V407" s="25"/>
      <c r="W407" s="25"/>
      <c r="X407" s="25"/>
      <c r="Y407" s="25"/>
      <c r="Z407" s="25"/>
      <c r="AA407" s="3" t="str">
        <f>IF(Caja_Operativa[[#This Row],[FECHA]]&gt;0,TEXT(Caja_Operativa[[#This Row],[FECHA]],"mmmm"),0)</f>
        <v>Agosto</v>
      </c>
    </row>
    <row r="408" spans="1:27" ht="24" x14ac:dyDescent="0.3">
      <c r="A408" s="2">
        <f>IF(Caja_Operativa[[#This Row],[TIPO DE R.]]="R",COUNTIFS($C$1:$C407,"R")+1,"")</f>
        <v>407</v>
      </c>
      <c r="B408" s="19" t="str">
        <f t="shared" si="42"/>
        <v>C-Operativa</v>
      </c>
      <c r="C408" s="3" t="s">
        <v>1330</v>
      </c>
      <c r="D408" s="14">
        <v>45880</v>
      </c>
      <c r="E408" s="5" t="s">
        <v>3634</v>
      </c>
      <c r="F408" s="5" t="s">
        <v>1336</v>
      </c>
      <c r="G408" s="6" t="s">
        <v>812</v>
      </c>
      <c r="H408" s="6"/>
      <c r="I408" s="6"/>
      <c r="J408" s="6"/>
      <c r="K408" s="7" t="s">
        <v>7516</v>
      </c>
      <c r="L408" s="8">
        <v>1746831</v>
      </c>
      <c r="M408" s="8" t="str">
        <f t="shared" si="43"/>
        <v>PEN</v>
      </c>
      <c r="N408" s="13"/>
      <c r="O408" s="13">
        <v>150</v>
      </c>
      <c r="P408" s="3">
        <f t="shared" si="44"/>
        <v>0</v>
      </c>
      <c r="Q408" s="3">
        <f t="shared" si="45"/>
        <v>150</v>
      </c>
      <c r="R408" s="3">
        <f t="shared" si="37"/>
        <v>382.05000000000041</v>
      </c>
      <c r="S408" s="24" t="s">
        <v>1334</v>
      </c>
      <c r="T408" s="24" t="s">
        <v>1334</v>
      </c>
      <c r="U408" s="55"/>
      <c r="V408" s="25"/>
      <c r="W408" s="25"/>
      <c r="X408" s="25"/>
      <c r="Y408" s="25"/>
      <c r="Z408" s="25"/>
      <c r="AA408" s="3" t="str">
        <f>IF(Caja_Operativa[[#This Row],[FECHA]]&gt;0,TEXT(Caja_Operativa[[#This Row],[FECHA]],"mmmm"),0)</f>
        <v>Agosto</v>
      </c>
    </row>
    <row r="409" spans="1:27" ht="24" x14ac:dyDescent="0.3">
      <c r="A409" s="2">
        <f>IF(Caja_Operativa[[#This Row],[TIPO DE R.]]="R",COUNTIFS($C$1:$C408,"R")+1,"")</f>
        <v>408</v>
      </c>
      <c r="B409" s="19" t="str">
        <f t="shared" si="42"/>
        <v>C-Operativa</v>
      </c>
      <c r="C409" s="3" t="s">
        <v>1330</v>
      </c>
      <c r="D409" s="14">
        <v>45882</v>
      </c>
      <c r="E409" s="5" t="s">
        <v>3634</v>
      </c>
      <c r="F409" s="5" t="s">
        <v>1336</v>
      </c>
      <c r="G409" s="6" t="s">
        <v>957</v>
      </c>
      <c r="H409" s="6"/>
      <c r="I409" s="6"/>
      <c r="J409" s="6"/>
      <c r="K409" s="7" t="s">
        <v>7516</v>
      </c>
      <c r="L409" s="8">
        <v>3310695</v>
      </c>
      <c r="M409" s="8" t="str">
        <f t="shared" si="43"/>
        <v>PEN</v>
      </c>
      <c r="N409" s="13"/>
      <c r="O409" s="13">
        <v>200</v>
      </c>
      <c r="P409" s="3">
        <f t="shared" si="44"/>
        <v>0</v>
      </c>
      <c r="Q409" s="3">
        <f t="shared" si="45"/>
        <v>200</v>
      </c>
      <c r="R409" s="3">
        <f t="shared" si="37"/>
        <v>182.05000000000041</v>
      </c>
      <c r="S409" s="24" t="s">
        <v>1334</v>
      </c>
      <c r="T409" s="24" t="s">
        <v>1334</v>
      </c>
      <c r="U409" s="55"/>
      <c r="V409" s="25"/>
      <c r="W409" s="25"/>
      <c r="X409" s="25"/>
      <c r="Y409" s="25"/>
      <c r="Z409" s="25"/>
      <c r="AA409" s="3" t="str">
        <f>IF(Caja_Operativa[[#This Row],[FECHA]]&gt;0,TEXT(Caja_Operativa[[#This Row],[FECHA]],"mmmm"),0)</f>
        <v>Agosto</v>
      </c>
    </row>
    <row r="410" spans="1:27" ht="24" x14ac:dyDescent="0.3">
      <c r="A410" s="2">
        <f>IF(Caja_Operativa[[#This Row],[TIPO DE R.]]="R",COUNTIFS($C$1:$C409,"R")+1,"")</f>
        <v>409</v>
      </c>
      <c r="B410" s="19" t="str">
        <f t="shared" si="42"/>
        <v>C-Operativa</v>
      </c>
      <c r="C410" s="3" t="s">
        <v>1330</v>
      </c>
      <c r="D410" s="14">
        <v>45882</v>
      </c>
      <c r="E410" s="5" t="s">
        <v>3634</v>
      </c>
      <c r="F410" s="5" t="s">
        <v>1336</v>
      </c>
      <c r="G410" s="6" t="s">
        <v>918</v>
      </c>
      <c r="H410" s="6"/>
      <c r="I410" s="6"/>
      <c r="J410" s="6"/>
      <c r="K410" s="7" t="s">
        <v>7516</v>
      </c>
      <c r="L410" s="8">
        <v>569395</v>
      </c>
      <c r="M410" s="8" t="str">
        <f t="shared" si="43"/>
        <v>PEN</v>
      </c>
      <c r="N410" s="13"/>
      <c r="O410" s="13">
        <v>150</v>
      </c>
      <c r="P410" s="3">
        <f t="shared" si="44"/>
        <v>0</v>
      </c>
      <c r="Q410" s="3">
        <f t="shared" si="45"/>
        <v>150</v>
      </c>
      <c r="R410" s="3">
        <f t="shared" si="37"/>
        <v>32.050000000000409</v>
      </c>
      <c r="S410" s="24"/>
      <c r="T410" s="24"/>
      <c r="U410" s="55"/>
      <c r="V410" s="25"/>
      <c r="W410" s="25"/>
      <c r="X410" s="25"/>
      <c r="Y410" s="25"/>
      <c r="Z410" s="25"/>
      <c r="AA410" s="3" t="str">
        <f>IF(Caja_Operativa[[#This Row],[FECHA]]&gt;0,TEXT(Caja_Operativa[[#This Row],[FECHA]],"mmmm"),0)</f>
        <v>Agosto</v>
      </c>
    </row>
    <row r="411" spans="1:27" ht="24" x14ac:dyDescent="0.3">
      <c r="A411" s="2">
        <f>IF(Caja_Operativa[[#This Row],[TIPO DE R.]]="R",COUNTIFS($C$1:$C410,"R")+1,"")</f>
        <v>410</v>
      </c>
      <c r="B411" s="19" t="str">
        <f t="shared" ref="B411:B417" si="46">"C-Operativa"</f>
        <v>C-Operativa</v>
      </c>
      <c r="C411" s="3" t="s">
        <v>1330</v>
      </c>
      <c r="D411" s="14">
        <v>45887</v>
      </c>
      <c r="E411" s="5" t="s">
        <v>3634</v>
      </c>
      <c r="F411" s="5" t="s">
        <v>1303</v>
      </c>
      <c r="G411" s="6" t="s">
        <v>895</v>
      </c>
      <c r="H411" s="6"/>
      <c r="I411" s="6" t="s">
        <v>7539</v>
      </c>
      <c r="J411" s="6">
        <v>16</v>
      </c>
      <c r="K411" s="7" t="s">
        <v>7540</v>
      </c>
      <c r="L411" s="8">
        <v>2222659</v>
      </c>
      <c r="M411" s="8" t="str">
        <f t="shared" ref="M411:M417" si="47">"PEN"</f>
        <v>PEN</v>
      </c>
      <c r="N411" s="13"/>
      <c r="O411" s="13">
        <v>900</v>
      </c>
      <c r="P411" s="3">
        <f t="shared" ref="P411:P417" si="48">+IF(OR($F411="SALDO",$F411="INGRESO"),$O411,0)</f>
        <v>900</v>
      </c>
      <c r="Q411" s="3">
        <f t="shared" ref="Q411:Q417" si="49">+IF($F411="EGRESO",$O411,0)</f>
        <v>0</v>
      </c>
      <c r="R411" s="3">
        <f t="shared" si="37"/>
        <v>932.05000000000041</v>
      </c>
      <c r="S411" s="24"/>
      <c r="T411" s="24"/>
      <c r="U411" s="55"/>
      <c r="V411" s="25"/>
      <c r="W411" s="25"/>
      <c r="X411" s="25"/>
      <c r="Y411" s="25"/>
      <c r="Z411" s="25"/>
      <c r="AA411" s="3" t="str">
        <f>IF(Caja_Operativa[[#This Row],[FECHA]]&gt;0,TEXT(Caja_Operativa[[#This Row],[FECHA]],"mmmm"),0)</f>
        <v>Agosto</v>
      </c>
    </row>
    <row r="412" spans="1:27" ht="24" x14ac:dyDescent="0.3">
      <c r="A412" s="2">
        <f>IF(Caja_Operativa[[#This Row],[TIPO DE R.]]="R",COUNTIFS($C$1:$C411,"R")+1,"")</f>
        <v>411</v>
      </c>
      <c r="B412" s="19" t="str">
        <f t="shared" si="46"/>
        <v>C-Operativa</v>
      </c>
      <c r="C412" s="3" t="s">
        <v>1330</v>
      </c>
      <c r="D412" s="14">
        <v>45887</v>
      </c>
      <c r="E412" s="5" t="s">
        <v>3634</v>
      </c>
      <c r="F412" s="5" t="s">
        <v>1336</v>
      </c>
      <c r="G412" s="6" t="s">
        <v>957</v>
      </c>
      <c r="H412" s="6"/>
      <c r="I412" s="6"/>
      <c r="J412" s="6"/>
      <c r="K412" s="7" t="s">
        <v>7516</v>
      </c>
      <c r="L412" s="8">
        <v>3741336</v>
      </c>
      <c r="M412" s="8" t="str">
        <f t="shared" si="47"/>
        <v>PEN</v>
      </c>
      <c r="N412" s="13"/>
      <c r="O412" s="13">
        <v>700</v>
      </c>
      <c r="P412" s="3">
        <f t="shared" si="48"/>
        <v>0</v>
      </c>
      <c r="Q412" s="3">
        <f t="shared" si="49"/>
        <v>700</v>
      </c>
      <c r="R412" s="3">
        <f t="shared" si="37"/>
        <v>232.05000000000041</v>
      </c>
      <c r="S412" s="24" t="s">
        <v>1334</v>
      </c>
      <c r="T412" s="24" t="s">
        <v>1334</v>
      </c>
      <c r="U412" s="55"/>
      <c r="V412" s="25"/>
      <c r="W412" s="25"/>
      <c r="X412" s="25"/>
      <c r="Y412" s="25"/>
      <c r="Z412" s="25"/>
      <c r="AA412" s="3" t="str">
        <f>IF(Caja_Operativa[[#This Row],[FECHA]]&gt;0,TEXT(Caja_Operativa[[#This Row],[FECHA]],"mmmm"),0)</f>
        <v>Agosto</v>
      </c>
    </row>
    <row r="413" spans="1:27" ht="24" x14ac:dyDescent="0.3">
      <c r="A413" s="2">
        <f>IF(Caja_Operativa[[#This Row],[TIPO DE R.]]="R",COUNTIFS($C$1:$C412,"R")+1,"")</f>
        <v>412</v>
      </c>
      <c r="B413" s="19" t="str">
        <f t="shared" si="46"/>
        <v>C-Operativa</v>
      </c>
      <c r="C413" s="3" t="s">
        <v>1330</v>
      </c>
      <c r="D413" s="14">
        <v>45888</v>
      </c>
      <c r="E413" s="5" t="s">
        <v>3634</v>
      </c>
      <c r="F413" s="5" t="s">
        <v>1303</v>
      </c>
      <c r="G413" s="6" t="s">
        <v>895</v>
      </c>
      <c r="H413" s="6"/>
      <c r="I413" s="6" t="s">
        <v>7539</v>
      </c>
      <c r="J413" s="6">
        <v>17</v>
      </c>
      <c r="K413" s="7" t="s">
        <v>7540</v>
      </c>
      <c r="L413" s="8">
        <v>2210613</v>
      </c>
      <c r="M413" s="8" t="str">
        <f t="shared" si="47"/>
        <v>PEN</v>
      </c>
      <c r="N413" s="13"/>
      <c r="O413" s="13">
        <v>900</v>
      </c>
      <c r="P413" s="3">
        <f t="shared" si="48"/>
        <v>900</v>
      </c>
      <c r="Q413" s="3">
        <f t="shared" si="49"/>
        <v>0</v>
      </c>
      <c r="R413" s="3">
        <f t="shared" si="37"/>
        <v>1132.0500000000004</v>
      </c>
      <c r="S413" s="24"/>
      <c r="T413" s="24"/>
      <c r="U413" s="55"/>
      <c r="V413" s="25"/>
      <c r="W413" s="25"/>
      <c r="X413" s="25"/>
      <c r="Y413" s="25"/>
      <c r="Z413" s="25"/>
      <c r="AA413" s="3" t="str">
        <f>IF(Caja_Operativa[[#This Row],[FECHA]]&gt;0,TEXT(Caja_Operativa[[#This Row],[FECHA]],"mmmm"),0)</f>
        <v>Agosto</v>
      </c>
    </row>
    <row r="414" spans="1:27" x14ac:dyDescent="0.3">
      <c r="A414" s="2">
        <f>IF(Caja_Operativa[[#This Row],[TIPO DE R.]]="R",COUNTIFS($C$1:$C413,"R")+1,"")</f>
        <v>413</v>
      </c>
      <c r="B414" s="19" t="str">
        <f t="shared" si="46"/>
        <v>C-Operativa</v>
      </c>
      <c r="C414" s="3" t="s">
        <v>1330</v>
      </c>
      <c r="D414" s="14">
        <v>45888</v>
      </c>
      <c r="E414" s="5" t="s">
        <v>3634</v>
      </c>
      <c r="F414" s="5" t="s">
        <v>1336</v>
      </c>
      <c r="G414" s="6" t="s">
        <v>876</v>
      </c>
      <c r="H414" s="6"/>
      <c r="I414" s="6"/>
      <c r="J414" s="6"/>
      <c r="K414" s="7" t="s">
        <v>7516</v>
      </c>
      <c r="L414" s="8">
        <v>1802313</v>
      </c>
      <c r="M414" s="8" t="str">
        <f t="shared" si="47"/>
        <v>PEN</v>
      </c>
      <c r="N414" s="13"/>
      <c r="O414" s="13">
        <v>150</v>
      </c>
      <c r="P414" s="3">
        <f t="shared" si="48"/>
        <v>0</v>
      </c>
      <c r="Q414" s="3">
        <f t="shared" si="49"/>
        <v>150</v>
      </c>
      <c r="R414" s="3">
        <f t="shared" si="37"/>
        <v>982.05000000000041</v>
      </c>
      <c r="S414" s="24" t="s">
        <v>1334</v>
      </c>
      <c r="T414" s="24" t="s">
        <v>1334</v>
      </c>
      <c r="U414" s="55"/>
      <c r="V414" s="25"/>
      <c r="W414" s="25"/>
      <c r="X414" s="25"/>
      <c r="Y414" s="25"/>
      <c r="Z414" s="25"/>
      <c r="AA414" s="3" t="str">
        <f>IF(Caja_Operativa[[#This Row],[FECHA]]&gt;0,TEXT(Caja_Operativa[[#This Row],[FECHA]],"mmmm"),0)</f>
        <v>Agosto</v>
      </c>
    </row>
    <row r="415" spans="1:27" ht="24" x14ac:dyDescent="0.3">
      <c r="A415" s="2">
        <f>IF(Caja_Operativa[[#This Row],[TIPO DE R.]]="R",COUNTIFS($C$1:$C414,"R")+1,"")</f>
        <v>414</v>
      </c>
      <c r="B415" s="19" t="str">
        <f t="shared" si="46"/>
        <v>C-Operativa</v>
      </c>
      <c r="C415" s="3" t="s">
        <v>1330</v>
      </c>
      <c r="D415" s="14">
        <v>45889</v>
      </c>
      <c r="E415" s="5" t="s">
        <v>3634</v>
      </c>
      <c r="F415" s="5" t="s">
        <v>1336</v>
      </c>
      <c r="G415" s="6" t="s">
        <v>1097</v>
      </c>
      <c r="H415" s="6"/>
      <c r="I415" s="6"/>
      <c r="J415" s="6"/>
      <c r="K415" s="7" t="s">
        <v>7516</v>
      </c>
      <c r="L415" s="8">
        <v>487931</v>
      </c>
      <c r="M415" s="8" t="str">
        <f t="shared" si="47"/>
        <v>PEN</v>
      </c>
      <c r="N415" s="13"/>
      <c r="O415" s="13">
        <v>150</v>
      </c>
      <c r="P415" s="3">
        <f t="shared" si="48"/>
        <v>0</v>
      </c>
      <c r="Q415" s="3">
        <f t="shared" si="49"/>
        <v>150</v>
      </c>
      <c r="R415" s="3">
        <f t="shared" si="37"/>
        <v>832.05000000000041</v>
      </c>
      <c r="S415" s="24" t="s">
        <v>1334</v>
      </c>
      <c r="T415" s="24" t="s">
        <v>1334</v>
      </c>
      <c r="U415" s="55"/>
      <c r="V415" s="25"/>
      <c r="W415" s="25"/>
      <c r="X415" s="25"/>
      <c r="Y415" s="25"/>
      <c r="Z415" s="25"/>
      <c r="AA415" s="3" t="str">
        <f>IF(Caja_Operativa[[#This Row],[FECHA]]&gt;0,TEXT(Caja_Operativa[[#This Row],[FECHA]],"mmmm"),0)</f>
        <v>Agosto</v>
      </c>
    </row>
    <row r="416" spans="1:27" ht="24" x14ac:dyDescent="0.3">
      <c r="A416" s="2">
        <f>IF(Caja_Operativa[[#This Row],[TIPO DE R.]]="R",COUNTIFS($C$1:$C415,"R")+1,"")</f>
        <v>415</v>
      </c>
      <c r="B416" s="19" t="str">
        <f t="shared" si="46"/>
        <v>C-Operativa</v>
      </c>
      <c r="C416" s="3" t="s">
        <v>1330</v>
      </c>
      <c r="D416" s="14">
        <v>45890</v>
      </c>
      <c r="E416" s="5" t="s">
        <v>3634</v>
      </c>
      <c r="F416" s="5" t="s">
        <v>1336</v>
      </c>
      <c r="G416" s="6" t="s">
        <v>812</v>
      </c>
      <c r="H416" s="6"/>
      <c r="I416" s="6"/>
      <c r="J416" s="6"/>
      <c r="K416" s="7" t="s">
        <v>7516</v>
      </c>
      <c r="L416" s="8">
        <v>475989</v>
      </c>
      <c r="M416" s="8" t="str">
        <f t="shared" si="47"/>
        <v>PEN</v>
      </c>
      <c r="N416" s="13"/>
      <c r="O416" s="13">
        <v>150</v>
      </c>
      <c r="P416" s="3">
        <f t="shared" si="48"/>
        <v>0</v>
      </c>
      <c r="Q416" s="3">
        <f t="shared" si="49"/>
        <v>150</v>
      </c>
      <c r="R416" s="3">
        <f t="shared" si="37"/>
        <v>682.05000000000041</v>
      </c>
      <c r="S416" s="24" t="s">
        <v>1334</v>
      </c>
      <c r="T416" s="24" t="s">
        <v>1334</v>
      </c>
      <c r="U416" s="55"/>
      <c r="V416" s="25"/>
      <c r="W416" s="25"/>
      <c r="X416" s="25"/>
      <c r="Y416" s="25"/>
      <c r="Z416" s="25"/>
      <c r="AA416" s="3" t="str">
        <f>IF(Caja_Operativa[[#This Row],[FECHA]]&gt;0,TEXT(Caja_Operativa[[#This Row],[FECHA]],"mmmm"),0)</f>
        <v>Agosto</v>
      </c>
    </row>
    <row r="417" spans="1:27" x14ac:dyDescent="0.3">
      <c r="A417" s="2">
        <f>IF(Caja_Operativa[[#This Row],[TIPO DE R.]]="R",COUNTIFS($C$1:$C416,"R")+1,"")</f>
        <v>416</v>
      </c>
      <c r="B417" s="19" t="str">
        <f t="shared" si="46"/>
        <v>C-Operativa</v>
      </c>
      <c r="C417" s="3" t="s">
        <v>1330</v>
      </c>
      <c r="D417" s="14">
        <v>45890</v>
      </c>
      <c r="E417" s="5" t="s">
        <v>3634</v>
      </c>
      <c r="F417" s="5" t="s">
        <v>1336</v>
      </c>
      <c r="G417" s="6" t="s">
        <v>798</v>
      </c>
      <c r="H417" s="6"/>
      <c r="I417" s="6"/>
      <c r="J417" s="6"/>
      <c r="K417" s="7" t="s">
        <v>7516</v>
      </c>
      <c r="L417" s="8">
        <v>493626</v>
      </c>
      <c r="M417" s="8" t="str">
        <f t="shared" si="47"/>
        <v>PEN</v>
      </c>
      <c r="N417" s="13"/>
      <c r="O417" s="13">
        <v>150</v>
      </c>
      <c r="P417" s="3">
        <f t="shared" si="48"/>
        <v>0</v>
      </c>
      <c r="Q417" s="3">
        <f t="shared" si="49"/>
        <v>150</v>
      </c>
      <c r="R417" s="3">
        <f t="shared" si="37"/>
        <v>532.05000000000041</v>
      </c>
      <c r="S417" s="24" t="s">
        <v>1334</v>
      </c>
      <c r="T417" s="24" t="s">
        <v>1334</v>
      </c>
      <c r="U417" s="55"/>
      <c r="V417" s="25"/>
      <c r="W417" s="25"/>
      <c r="X417" s="25"/>
      <c r="Y417" s="25"/>
      <c r="Z417" s="25"/>
      <c r="AA417" s="3" t="str">
        <f>IF(Caja_Operativa[[#This Row],[FECHA]]&gt;0,TEXT(Caja_Operativa[[#This Row],[FECHA]],"mmmm"),0)</f>
        <v>Agosto</v>
      </c>
    </row>
    <row r="418" spans="1:27" ht="24" x14ac:dyDescent="0.3">
      <c r="A418" s="2">
        <f>IF(Caja_Operativa[[#This Row],[TIPO DE R.]]="R",COUNTIFS($C$1:$C417,"R")+1,"")</f>
        <v>417</v>
      </c>
      <c r="B418" s="19" t="str">
        <f t="shared" ref="B418:B423" si="50">"C-Operativa"</f>
        <v>C-Operativa</v>
      </c>
      <c r="C418" s="3" t="s">
        <v>1330</v>
      </c>
      <c r="D418" s="14">
        <v>45894</v>
      </c>
      <c r="E418" s="5" t="s">
        <v>3634</v>
      </c>
      <c r="F418" s="5" t="s">
        <v>1336</v>
      </c>
      <c r="G418" s="6" t="s">
        <v>812</v>
      </c>
      <c r="H418" s="6"/>
      <c r="I418" s="6"/>
      <c r="J418" s="6"/>
      <c r="K418" s="7" t="s">
        <v>7516</v>
      </c>
      <c r="L418" s="8">
        <v>1710293</v>
      </c>
      <c r="M418" s="8" t="str">
        <f t="shared" ref="M418:M423" si="51">"PEN"</f>
        <v>PEN</v>
      </c>
      <c r="N418" s="13"/>
      <c r="O418" s="13">
        <v>220</v>
      </c>
      <c r="P418" s="3">
        <f t="shared" ref="P418:P423" si="52">+IF(OR($F418="SALDO",$F418="INGRESO"),$O418,0)</f>
        <v>0</v>
      </c>
      <c r="Q418" s="3">
        <f t="shared" ref="Q418:Q423" si="53">+IF($F418="EGRESO",$O418,0)</f>
        <v>220</v>
      </c>
      <c r="R418" s="3">
        <f t="shared" si="37"/>
        <v>312.05000000000041</v>
      </c>
      <c r="S418" s="24" t="s">
        <v>1334</v>
      </c>
      <c r="T418" s="24" t="s">
        <v>1334</v>
      </c>
      <c r="U418" s="55"/>
      <c r="V418" s="25"/>
      <c r="W418" s="25"/>
      <c r="X418" s="25"/>
      <c r="Y418" s="25"/>
      <c r="Z418" s="25"/>
      <c r="AA418" s="3" t="str">
        <f>IF(Caja_Operativa[[#This Row],[FECHA]]&gt;0,TEXT(Caja_Operativa[[#This Row],[FECHA]],"mmmm"),0)</f>
        <v>Agosto</v>
      </c>
    </row>
    <row r="419" spans="1:27" ht="24" x14ac:dyDescent="0.3">
      <c r="A419" s="2">
        <f>IF(Caja_Operativa[[#This Row],[TIPO DE R.]]="R",COUNTIFS($C$1:$C418,"R")+1,"")</f>
        <v>418</v>
      </c>
      <c r="B419" s="19" t="str">
        <f t="shared" si="50"/>
        <v>C-Operativa</v>
      </c>
      <c r="C419" s="3" t="s">
        <v>1330</v>
      </c>
      <c r="D419" s="14">
        <v>45895</v>
      </c>
      <c r="E419" s="5" t="s">
        <v>3634</v>
      </c>
      <c r="F419" s="5" t="s">
        <v>1336</v>
      </c>
      <c r="G419" s="6" t="s">
        <v>888</v>
      </c>
      <c r="H419" s="6"/>
      <c r="I419" s="6"/>
      <c r="J419" s="6"/>
      <c r="K419" s="7" t="s">
        <v>7516</v>
      </c>
      <c r="L419" s="8">
        <v>2976846</v>
      </c>
      <c r="M419" s="8" t="str">
        <f t="shared" si="51"/>
        <v>PEN</v>
      </c>
      <c r="N419" s="13"/>
      <c r="O419" s="13">
        <v>120</v>
      </c>
      <c r="P419" s="3">
        <f t="shared" si="52"/>
        <v>0</v>
      </c>
      <c r="Q419" s="3">
        <f t="shared" si="53"/>
        <v>120</v>
      </c>
      <c r="R419" s="3">
        <f t="shared" si="37"/>
        <v>192.05000000000041</v>
      </c>
      <c r="S419" s="24" t="s">
        <v>1334</v>
      </c>
      <c r="T419" s="24" t="s">
        <v>1334</v>
      </c>
      <c r="U419" s="55"/>
      <c r="V419" s="25"/>
      <c r="W419" s="25"/>
      <c r="X419" s="25"/>
      <c r="Y419" s="25"/>
      <c r="Z419" s="25"/>
      <c r="AA419" s="3" t="str">
        <f>IF(Caja_Operativa[[#This Row],[FECHA]]&gt;0,TEXT(Caja_Operativa[[#This Row],[FECHA]],"mmmm"),0)</f>
        <v>Agosto</v>
      </c>
    </row>
    <row r="420" spans="1:27" x14ac:dyDescent="0.3">
      <c r="A420" s="2">
        <f>IF(Caja_Operativa[[#This Row],[TIPO DE R.]]="R",COUNTIFS($C$1:$C419,"R")+1,"")</f>
        <v>419</v>
      </c>
      <c r="B420" s="19" t="str">
        <f t="shared" si="50"/>
        <v>C-Operativa</v>
      </c>
      <c r="C420" s="3" t="s">
        <v>1330</v>
      </c>
      <c r="D420" s="14">
        <v>45895</v>
      </c>
      <c r="E420" s="5" t="s">
        <v>3634</v>
      </c>
      <c r="F420" s="5" t="s">
        <v>1336</v>
      </c>
      <c r="G420" s="6" t="s">
        <v>876</v>
      </c>
      <c r="H420" s="6"/>
      <c r="I420" s="6"/>
      <c r="J420" s="6"/>
      <c r="K420" s="7" t="s">
        <v>7516</v>
      </c>
      <c r="L420" s="8">
        <v>1132486</v>
      </c>
      <c r="M420" s="8" t="str">
        <f t="shared" si="51"/>
        <v>PEN</v>
      </c>
      <c r="N420" s="13"/>
      <c r="O420" s="13">
        <v>100</v>
      </c>
      <c r="P420" s="3">
        <f t="shared" si="52"/>
        <v>0</v>
      </c>
      <c r="Q420" s="3">
        <f t="shared" si="53"/>
        <v>100</v>
      </c>
      <c r="R420" s="3">
        <f t="shared" si="37"/>
        <v>92.050000000000409</v>
      </c>
      <c r="S420" s="24" t="s">
        <v>1334</v>
      </c>
      <c r="T420" s="24" t="s">
        <v>1334</v>
      </c>
      <c r="U420" s="55"/>
      <c r="V420" s="25"/>
      <c r="W420" s="25"/>
      <c r="X420" s="25"/>
      <c r="Y420" s="25"/>
      <c r="Z420" s="25"/>
      <c r="AA420" s="3" t="str">
        <f>IF(Caja_Operativa[[#This Row],[FECHA]]&gt;0,TEXT(Caja_Operativa[[#This Row],[FECHA]],"mmmm"),0)</f>
        <v>Agosto</v>
      </c>
    </row>
    <row r="421" spans="1:27" ht="24" x14ac:dyDescent="0.3">
      <c r="A421" s="2">
        <f>IF(Caja_Operativa[[#This Row],[TIPO DE R.]]="R",COUNTIFS($C$1:$C420,"R")+1,"")</f>
        <v>420</v>
      </c>
      <c r="B421" s="19" t="str">
        <f t="shared" si="50"/>
        <v>C-Operativa</v>
      </c>
      <c r="C421" s="3" t="s">
        <v>1330</v>
      </c>
      <c r="D421" s="14">
        <v>45896</v>
      </c>
      <c r="E421" s="5" t="s">
        <v>3634</v>
      </c>
      <c r="F421" s="5" t="s">
        <v>1303</v>
      </c>
      <c r="G421" s="6" t="s">
        <v>895</v>
      </c>
      <c r="H421" s="6"/>
      <c r="I421" s="6" t="s">
        <v>7539</v>
      </c>
      <c r="J421" s="6">
        <v>18</v>
      </c>
      <c r="K421" s="7" t="s">
        <v>7540</v>
      </c>
      <c r="L421" s="8">
        <v>2094423</v>
      </c>
      <c r="M421" s="8" t="str">
        <f t="shared" si="51"/>
        <v>PEN</v>
      </c>
      <c r="N421" s="13"/>
      <c r="O421" s="13">
        <v>900</v>
      </c>
      <c r="P421" s="3">
        <f t="shared" si="52"/>
        <v>900</v>
      </c>
      <c r="Q421" s="3">
        <f t="shared" si="53"/>
        <v>0</v>
      </c>
      <c r="R421" s="3">
        <f t="shared" si="37"/>
        <v>992.05000000000041</v>
      </c>
      <c r="S421" s="24"/>
      <c r="T421" s="24"/>
      <c r="U421" s="55"/>
      <c r="V421" s="25"/>
      <c r="W421" s="25"/>
      <c r="X421" s="25"/>
      <c r="Y421" s="25"/>
      <c r="Z421" s="25"/>
      <c r="AA421" s="3" t="str">
        <f>IF(Caja_Operativa[[#This Row],[FECHA]]&gt;0,TEXT(Caja_Operativa[[#This Row],[FECHA]],"mmmm"),0)</f>
        <v>Agosto</v>
      </c>
    </row>
    <row r="422" spans="1:27" ht="24" x14ac:dyDescent="0.3">
      <c r="A422" s="2">
        <f>IF(Caja_Operativa[[#This Row],[TIPO DE R.]]="R",COUNTIFS($C$1:$C421,"R")+1,"")</f>
        <v>421</v>
      </c>
      <c r="B422" s="19" t="str">
        <f t="shared" si="50"/>
        <v>C-Operativa</v>
      </c>
      <c r="C422" s="3" t="s">
        <v>1330</v>
      </c>
      <c r="D422" s="14">
        <v>45896</v>
      </c>
      <c r="E422" s="5" t="s">
        <v>3634</v>
      </c>
      <c r="F422" s="5" t="s">
        <v>1336</v>
      </c>
      <c r="G422" s="6" t="s">
        <v>857</v>
      </c>
      <c r="H422" s="6"/>
      <c r="I422" s="6"/>
      <c r="J422" s="6"/>
      <c r="K422" s="7" t="s">
        <v>7741</v>
      </c>
      <c r="L422" s="8">
        <v>1738248</v>
      </c>
      <c r="M422" s="8" t="str">
        <f t="shared" si="51"/>
        <v>PEN</v>
      </c>
      <c r="N422" s="13"/>
      <c r="O422" s="13">
        <v>415</v>
      </c>
      <c r="P422" s="3">
        <f t="shared" si="52"/>
        <v>0</v>
      </c>
      <c r="Q422" s="3">
        <f t="shared" si="53"/>
        <v>415</v>
      </c>
      <c r="R422" s="3">
        <f t="shared" si="37"/>
        <v>577.05000000000041</v>
      </c>
      <c r="S422" s="24"/>
      <c r="T422" s="24"/>
      <c r="U422" s="55"/>
      <c r="V422" s="25"/>
      <c r="W422" s="25"/>
      <c r="X422" s="25"/>
      <c r="Y422" s="25"/>
      <c r="Z422" s="25"/>
      <c r="AA422" s="3" t="str">
        <f>IF(Caja_Operativa[[#This Row],[FECHA]]&gt;0,TEXT(Caja_Operativa[[#This Row],[FECHA]],"mmmm"),0)</f>
        <v>Agosto</v>
      </c>
    </row>
    <row r="423" spans="1:27" ht="24" x14ac:dyDescent="0.3">
      <c r="A423" s="2">
        <f>IF(Caja_Operativa[[#This Row],[TIPO DE R.]]="R",COUNTIFS($C$1:$C422,"R")+1,"")</f>
        <v>422</v>
      </c>
      <c r="B423" s="19" t="str">
        <f t="shared" si="50"/>
        <v>C-Operativa</v>
      </c>
      <c r="C423" s="3" t="s">
        <v>1330</v>
      </c>
      <c r="D423" s="14">
        <v>45896</v>
      </c>
      <c r="E423" s="5" t="s">
        <v>3634</v>
      </c>
      <c r="F423" s="5" t="s">
        <v>1336</v>
      </c>
      <c r="G423" s="6" t="s">
        <v>957</v>
      </c>
      <c r="H423" s="6"/>
      <c r="I423" s="6"/>
      <c r="J423" s="6"/>
      <c r="K423" s="7" t="s">
        <v>7516</v>
      </c>
      <c r="L423" s="8">
        <v>1675580</v>
      </c>
      <c r="M423" s="8" t="str">
        <f t="shared" si="51"/>
        <v>PEN</v>
      </c>
      <c r="N423" s="13"/>
      <c r="O423" s="13">
        <v>250</v>
      </c>
      <c r="P423" s="3">
        <f t="shared" si="52"/>
        <v>0</v>
      </c>
      <c r="Q423" s="3">
        <f t="shared" si="53"/>
        <v>250</v>
      </c>
      <c r="R423" s="3">
        <f t="shared" si="37"/>
        <v>327.05000000000041</v>
      </c>
      <c r="S423" s="28" t="s">
        <v>1334</v>
      </c>
      <c r="T423" s="28" t="s">
        <v>1334</v>
      </c>
      <c r="U423" s="55"/>
      <c r="V423" s="25"/>
      <c r="W423" s="25"/>
      <c r="X423" s="25"/>
      <c r="Y423" s="25"/>
      <c r="Z423" s="25"/>
      <c r="AA423" s="3" t="str">
        <f>IF(Caja_Operativa[[#This Row],[FECHA]]&gt;0,TEXT(Caja_Operativa[[#This Row],[FECHA]],"mmmm"),0)</f>
        <v>Agosto</v>
      </c>
    </row>
    <row r="424" spans="1:27" ht="24" x14ac:dyDescent="0.3">
      <c r="A424" s="2">
        <f>IF(Caja_Operativa[[#This Row],[TIPO DE R.]]="R",COUNTIFS($C$1:$C423,"R")+1,"")</f>
        <v>423</v>
      </c>
      <c r="B424" s="19" t="str">
        <f t="shared" ref="B424:B429" si="54">"C-Operativa"</f>
        <v>C-Operativa</v>
      </c>
      <c r="C424" s="3" t="s">
        <v>1330</v>
      </c>
      <c r="D424" s="14">
        <v>45929</v>
      </c>
      <c r="E424" s="5" t="s">
        <v>3634</v>
      </c>
      <c r="F424" s="5" t="s">
        <v>1336</v>
      </c>
      <c r="G424" s="6" t="s">
        <v>888</v>
      </c>
      <c r="H424" s="6"/>
      <c r="I424" s="6"/>
      <c r="J424" s="6"/>
      <c r="K424" s="7" t="s">
        <v>7516</v>
      </c>
      <c r="L424" s="8">
        <v>3260390</v>
      </c>
      <c r="M424" s="8" t="str">
        <f t="shared" ref="M424:M429" si="55">"PEN"</f>
        <v>PEN</v>
      </c>
      <c r="N424" s="13"/>
      <c r="O424" s="13">
        <v>150</v>
      </c>
      <c r="P424" s="3">
        <f t="shared" ref="P424:P429" si="56">+IF(OR($F424="SALDO",$F424="INGRESO"),$O424,0)</f>
        <v>0</v>
      </c>
      <c r="Q424" s="3">
        <f t="shared" ref="Q424:Q429" si="57">+IF($F424="EGRESO",$O424,0)</f>
        <v>150</v>
      </c>
      <c r="R424" s="3">
        <f t="shared" si="37"/>
        <v>177.05000000000041</v>
      </c>
      <c r="S424" s="24" t="s">
        <v>1334</v>
      </c>
      <c r="T424" s="24" t="s">
        <v>1334</v>
      </c>
      <c r="U424" s="55"/>
      <c r="V424" s="25"/>
      <c r="W424" s="25"/>
      <c r="X424" s="25"/>
      <c r="Y424" s="25"/>
      <c r="Z424" s="25"/>
      <c r="AA424" s="3" t="str">
        <f>IF(Caja_Operativa[[#This Row],[FECHA]]&gt;0,TEXT(Caja_Operativa[[#This Row],[FECHA]],"mmmm"),0)</f>
        <v>Setiembre</v>
      </c>
    </row>
    <row r="425" spans="1:27" x14ac:dyDescent="0.3">
      <c r="A425" s="2">
        <f>IF(Caja_Operativa[[#This Row],[TIPO DE R.]]="R",COUNTIFS($C$1:$C424,"R")+1,"")</f>
        <v>424</v>
      </c>
      <c r="B425" s="19" t="str">
        <f t="shared" si="54"/>
        <v>C-Operativa</v>
      </c>
      <c r="C425" s="3" t="s">
        <v>1330</v>
      </c>
      <c r="D425" s="14">
        <v>45901</v>
      </c>
      <c r="E425" s="5" t="s">
        <v>3634</v>
      </c>
      <c r="F425" s="5" t="s">
        <v>1336</v>
      </c>
      <c r="G425" s="6" t="s">
        <v>798</v>
      </c>
      <c r="H425" s="6"/>
      <c r="I425" s="6"/>
      <c r="J425" s="6"/>
      <c r="K425" s="7" t="s">
        <v>7516</v>
      </c>
      <c r="L425" s="8">
        <v>678526</v>
      </c>
      <c r="M425" s="8" t="str">
        <f t="shared" si="55"/>
        <v>PEN</v>
      </c>
      <c r="N425" s="13"/>
      <c r="O425" s="13">
        <v>120</v>
      </c>
      <c r="P425" s="3">
        <f t="shared" si="56"/>
        <v>0</v>
      </c>
      <c r="Q425" s="3">
        <f t="shared" si="57"/>
        <v>120</v>
      </c>
      <c r="R425" s="3">
        <f t="shared" si="37"/>
        <v>57.050000000000409</v>
      </c>
      <c r="S425" s="24" t="s">
        <v>1334</v>
      </c>
      <c r="T425" s="24" t="s">
        <v>1334</v>
      </c>
      <c r="U425" s="55"/>
      <c r="V425" s="25"/>
      <c r="W425" s="25"/>
      <c r="X425" s="25"/>
      <c r="Y425" s="25"/>
      <c r="Z425" s="25"/>
      <c r="AA425" s="3" t="str">
        <f>IF(Caja_Operativa[[#This Row],[FECHA]]&gt;0,TEXT(Caja_Operativa[[#This Row],[FECHA]],"mmmm"),0)</f>
        <v>Setiembre</v>
      </c>
    </row>
    <row r="426" spans="1:27" ht="24" x14ac:dyDescent="0.3">
      <c r="A426" s="16">
        <f>IF(Caja_Operativa[[#This Row],[TIPO DE R.]]="R",COUNTIFS($C$1:$C425,"R")+1,"")</f>
        <v>425</v>
      </c>
      <c r="B426" s="19" t="str">
        <f t="shared" si="54"/>
        <v>C-Operativa</v>
      </c>
      <c r="C426" s="3" t="s">
        <v>1330</v>
      </c>
      <c r="D426" s="14">
        <v>45901</v>
      </c>
      <c r="E426" s="5" t="s">
        <v>3634</v>
      </c>
      <c r="F426" s="5" t="s">
        <v>1336</v>
      </c>
      <c r="G426" s="6" t="s">
        <v>812</v>
      </c>
      <c r="H426" s="6"/>
      <c r="I426" s="6"/>
      <c r="J426" s="6"/>
      <c r="K426" s="7" t="s">
        <v>7745</v>
      </c>
      <c r="L426" s="8">
        <v>1740870</v>
      </c>
      <c r="M426" s="8" t="str">
        <f t="shared" si="55"/>
        <v>PEN</v>
      </c>
      <c r="N426" s="13"/>
      <c r="O426" s="13">
        <v>2.52</v>
      </c>
      <c r="P426" s="3">
        <f t="shared" si="56"/>
        <v>0</v>
      </c>
      <c r="Q426" s="3">
        <f t="shared" si="57"/>
        <v>2.52</v>
      </c>
      <c r="R426" s="3">
        <f t="shared" si="37"/>
        <v>54.530000000000406</v>
      </c>
      <c r="S426" s="24" t="s">
        <v>1334</v>
      </c>
      <c r="T426" s="24" t="s">
        <v>1334</v>
      </c>
      <c r="U426" s="55"/>
      <c r="V426" s="25"/>
      <c r="W426" s="25"/>
      <c r="X426" s="25"/>
      <c r="Y426" s="25"/>
      <c r="Z426" s="25"/>
      <c r="AA426" s="3" t="str">
        <f>IF(Caja_Operativa[[#This Row],[FECHA]]&gt;0,TEXT(Caja_Operativa[[#This Row],[FECHA]],"mmmm"),0)</f>
        <v>Setiembre</v>
      </c>
    </row>
    <row r="427" spans="1:27" ht="24" x14ac:dyDescent="0.3">
      <c r="A427" s="16">
        <f>IF(Caja_Operativa[[#This Row],[TIPO DE R.]]="R",COUNTIFS($C$1:$C426,"R")+1,"")</f>
        <v>426</v>
      </c>
      <c r="B427" s="19" t="str">
        <f t="shared" si="54"/>
        <v>C-Operativa</v>
      </c>
      <c r="C427" s="3" t="s">
        <v>1330</v>
      </c>
      <c r="D427" s="14">
        <v>45901</v>
      </c>
      <c r="E427" s="5" t="s">
        <v>3634</v>
      </c>
      <c r="F427" s="5" t="s">
        <v>1303</v>
      </c>
      <c r="G427" s="6" t="s">
        <v>895</v>
      </c>
      <c r="H427" s="6"/>
      <c r="I427" s="6" t="s">
        <v>7539</v>
      </c>
      <c r="J427" s="6">
        <v>19</v>
      </c>
      <c r="K427" s="7" t="s">
        <v>7540</v>
      </c>
      <c r="L427" s="8">
        <v>2107128</v>
      </c>
      <c r="M427" s="8" t="str">
        <f t="shared" si="55"/>
        <v>PEN</v>
      </c>
      <c r="N427" s="13"/>
      <c r="O427" s="13">
        <v>900</v>
      </c>
      <c r="P427" s="3">
        <f t="shared" si="56"/>
        <v>900</v>
      </c>
      <c r="Q427" s="3">
        <f t="shared" si="57"/>
        <v>0</v>
      </c>
      <c r="R427" s="3">
        <f t="shared" si="37"/>
        <v>954.53000000000043</v>
      </c>
      <c r="S427" s="24"/>
      <c r="T427" s="24"/>
      <c r="U427" s="55"/>
      <c r="V427" s="25"/>
      <c r="W427" s="25"/>
      <c r="X427" s="25"/>
      <c r="Y427" s="25"/>
      <c r="Z427" s="25"/>
      <c r="AA427" s="3" t="str">
        <f>IF(Caja_Operativa[[#This Row],[FECHA]]&gt;0,TEXT(Caja_Operativa[[#This Row],[FECHA]],"mmmm"),0)</f>
        <v>Setiembre</v>
      </c>
    </row>
    <row r="428" spans="1:27" ht="24" x14ac:dyDescent="0.3">
      <c r="A428" s="16">
        <f>IF(Caja_Operativa[[#This Row],[TIPO DE R.]]="R",COUNTIFS($C$1:$C427,"R")+1,"")</f>
        <v>427</v>
      </c>
      <c r="B428" s="19" t="str">
        <f t="shared" si="54"/>
        <v>C-Operativa</v>
      </c>
      <c r="C428" s="3" t="s">
        <v>1330</v>
      </c>
      <c r="D428" s="14">
        <v>45901</v>
      </c>
      <c r="E428" s="5" t="s">
        <v>3634</v>
      </c>
      <c r="F428" s="5" t="s">
        <v>1336</v>
      </c>
      <c r="G428" s="6" t="s">
        <v>888</v>
      </c>
      <c r="H428" s="6"/>
      <c r="I428" s="6"/>
      <c r="J428" s="6"/>
      <c r="K428" s="7" t="s">
        <v>7516</v>
      </c>
      <c r="L428" s="8">
        <v>2646121</v>
      </c>
      <c r="M428" s="8" t="str">
        <f t="shared" si="55"/>
        <v>PEN</v>
      </c>
      <c r="N428" s="13"/>
      <c r="O428" s="13">
        <v>600</v>
      </c>
      <c r="P428" s="3">
        <f t="shared" si="56"/>
        <v>0</v>
      </c>
      <c r="Q428" s="3">
        <f t="shared" si="57"/>
        <v>600</v>
      </c>
      <c r="R428" s="3">
        <f t="shared" si="37"/>
        <v>354.53000000000043</v>
      </c>
      <c r="S428" s="24" t="s">
        <v>1334</v>
      </c>
      <c r="T428" s="24" t="s">
        <v>1334</v>
      </c>
      <c r="U428" s="55"/>
      <c r="V428" s="25"/>
      <c r="W428" s="25"/>
      <c r="X428" s="25"/>
      <c r="Y428" s="25"/>
      <c r="Z428" s="25"/>
      <c r="AA428" s="3" t="str">
        <f>IF(Caja_Operativa[[#This Row],[FECHA]]&gt;0,TEXT(Caja_Operativa[[#This Row],[FECHA]],"mmmm"),0)</f>
        <v>Setiembre</v>
      </c>
    </row>
    <row r="429" spans="1:27" ht="24" x14ac:dyDescent="0.3">
      <c r="A429" s="16">
        <f>IF(Caja_Operativa[[#This Row],[TIPO DE R.]]="R",COUNTIFS($C$1:$C428,"R")+1,"")</f>
        <v>428</v>
      </c>
      <c r="B429" s="19" t="str">
        <f t="shared" si="54"/>
        <v>C-Operativa</v>
      </c>
      <c r="C429" s="3" t="s">
        <v>1330</v>
      </c>
      <c r="D429" s="14">
        <v>45901</v>
      </c>
      <c r="E429" s="5" t="s">
        <v>3634</v>
      </c>
      <c r="F429" s="5" t="s">
        <v>1303</v>
      </c>
      <c r="G429" s="6" t="s">
        <v>895</v>
      </c>
      <c r="H429" s="6"/>
      <c r="I429" s="6" t="s">
        <v>7539</v>
      </c>
      <c r="J429" s="6">
        <v>20</v>
      </c>
      <c r="K429" s="7" t="s">
        <v>7540</v>
      </c>
      <c r="L429" s="8">
        <v>2224475</v>
      </c>
      <c r="M429" s="8" t="str">
        <f t="shared" si="55"/>
        <v>PEN</v>
      </c>
      <c r="N429" s="13"/>
      <c r="O429" s="13">
        <v>900</v>
      </c>
      <c r="P429" s="3">
        <f t="shared" si="56"/>
        <v>900</v>
      </c>
      <c r="Q429" s="3">
        <f t="shared" si="57"/>
        <v>0</v>
      </c>
      <c r="R429" s="3">
        <f t="shared" si="37"/>
        <v>1254.5300000000004</v>
      </c>
      <c r="S429" s="24"/>
      <c r="T429" s="24"/>
      <c r="U429" s="55"/>
      <c r="V429" s="25"/>
      <c r="W429" s="25"/>
      <c r="X429" s="25"/>
      <c r="Y429" s="25"/>
      <c r="Z429" s="25"/>
      <c r="AA429" s="3" t="str">
        <f>IF(Caja_Operativa[[#This Row],[FECHA]]&gt;0,TEXT(Caja_Operativa[[#This Row],[FECHA]],"mmmm"),0)</f>
        <v>Setiembre</v>
      </c>
    </row>
    <row r="430" spans="1:27" x14ac:dyDescent="0.3">
      <c r="A430" s="16">
        <f>IF(Caja_Operativa[[#This Row],[TIPO DE R.]]="R",COUNTIFS($C$1:$C429,"R")+1,"")</f>
        <v>429</v>
      </c>
      <c r="B430" s="19" t="str">
        <f t="shared" ref="B430:B438" si="58">"C-Operativa"</f>
        <v>C-Operativa</v>
      </c>
      <c r="C430" s="3" t="s">
        <v>1330</v>
      </c>
      <c r="D430" s="14">
        <v>45902</v>
      </c>
      <c r="E430" s="5" t="s">
        <v>3634</v>
      </c>
      <c r="F430" s="5" t="s">
        <v>1336</v>
      </c>
      <c r="G430" s="6" t="s">
        <v>876</v>
      </c>
      <c r="H430" s="6"/>
      <c r="I430" s="6"/>
      <c r="J430" s="6"/>
      <c r="K430" s="7" t="s">
        <v>7516</v>
      </c>
      <c r="L430" s="8">
        <v>3237702</v>
      </c>
      <c r="M430" s="8" t="str">
        <f t="shared" ref="M430:M438" si="59">"PEN"</f>
        <v>PEN</v>
      </c>
      <c r="N430" s="13"/>
      <c r="O430" s="13">
        <v>150</v>
      </c>
      <c r="P430" s="3">
        <f t="shared" ref="P430:P438" si="60">+IF(OR($F430="SALDO",$F430="INGRESO"),$O430,0)</f>
        <v>0</v>
      </c>
      <c r="Q430" s="3">
        <f t="shared" ref="Q430:Q438" si="61">+IF($F430="EGRESO",$O430,0)</f>
        <v>150</v>
      </c>
      <c r="R430" s="3">
        <f t="shared" si="37"/>
        <v>1104.5300000000004</v>
      </c>
      <c r="S430" s="24"/>
      <c r="T430" s="24"/>
      <c r="U430" s="55"/>
      <c r="V430" s="25"/>
      <c r="W430" s="25"/>
      <c r="X430" s="25"/>
      <c r="Y430" s="25"/>
      <c r="Z430" s="25"/>
      <c r="AA430" s="3" t="str">
        <f>IF(Caja_Operativa[[#This Row],[FECHA]]&gt;0,TEXT(Caja_Operativa[[#This Row],[FECHA]],"mmmm"),0)</f>
        <v>Setiembre</v>
      </c>
    </row>
    <row r="431" spans="1:27" ht="24" x14ac:dyDescent="0.3">
      <c r="A431" s="16">
        <f>IF(Caja_Operativa[[#This Row],[TIPO DE R.]]="R",COUNTIFS($C$1:$C430,"R")+1,"")</f>
        <v>430</v>
      </c>
      <c r="B431" s="19" t="str">
        <f t="shared" si="58"/>
        <v>C-Operativa</v>
      </c>
      <c r="C431" s="3" t="s">
        <v>1330</v>
      </c>
      <c r="D431" s="14">
        <v>45902</v>
      </c>
      <c r="E431" s="5" t="s">
        <v>3634</v>
      </c>
      <c r="F431" s="5" t="s">
        <v>1336</v>
      </c>
      <c r="G431" s="6" t="s">
        <v>922</v>
      </c>
      <c r="H431" s="6"/>
      <c r="I431" s="6"/>
      <c r="J431" s="6"/>
      <c r="K431" s="7" t="s">
        <v>7516</v>
      </c>
      <c r="L431" s="8">
        <v>4194529</v>
      </c>
      <c r="M431" s="8" t="str">
        <f t="shared" si="59"/>
        <v>PEN</v>
      </c>
      <c r="N431" s="13"/>
      <c r="O431" s="13">
        <v>482</v>
      </c>
      <c r="P431" s="3">
        <f t="shared" si="60"/>
        <v>0</v>
      </c>
      <c r="Q431" s="3">
        <f t="shared" si="61"/>
        <v>482</v>
      </c>
      <c r="R431" s="3">
        <f t="shared" si="37"/>
        <v>622.53000000000043</v>
      </c>
      <c r="S431" s="24" t="s">
        <v>1334</v>
      </c>
      <c r="T431" s="24" t="s">
        <v>1334</v>
      </c>
      <c r="U431" s="55"/>
      <c r="V431" s="25"/>
      <c r="W431" s="25"/>
      <c r="X431" s="25"/>
      <c r="Y431" s="25"/>
      <c r="Z431" s="25"/>
      <c r="AA431" s="3" t="str">
        <f>IF(Caja_Operativa[[#This Row],[FECHA]]&gt;0,TEXT(Caja_Operativa[[#This Row],[FECHA]],"mmmm"),0)</f>
        <v>Setiembre</v>
      </c>
    </row>
    <row r="432" spans="1:27" ht="24" x14ac:dyDescent="0.3">
      <c r="A432" s="16">
        <f>IF(Caja_Operativa[[#This Row],[TIPO DE R.]]="R",COUNTIFS($C$1:$C431,"R")+1,"")</f>
        <v>431</v>
      </c>
      <c r="B432" s="19" t="str">
        <f t="shared" si="58"/>
        <v>C-Operativa</v>
      </c>
      <c r="C432" s="3" t="s">
        <v>1330</v>
      </c>
      <c r="D432" s="14">
        <v>45905</v>
      </c>
      <c r="E432" s="5" t="s">
        <v>3634</v>
      </c>
      <c r="F432" s="5" t="s">
        <v>1336</v>
      </c>
      <c r="G432" s="6" t="s">
        <v>888</v>
      </c>
      <c r="H432" s="6"/>
      <c r="I432" s="6"/>
      <c r="J432" s="6"/>
      <c r="K432" s="7" t="s">
        <v>7516</v>
      </c>
      <c r="L432" s="8">
        <v>486334</v>
      </c>
      <c r="M432" s="8" t="str">
        <f t="shared" si="59"/>
        <v>PEN</v>
      </c>
      <c r="N432" s="13"/>
      <c r="O432" s="13">
        <v>400</v>
      </c>
      <c r="P432" s="3">
        <f t="shared" si="60"/>
        <v>0</v>
      </c>
      <c r="Q432" s="3">
        <f t="shared" si="61"/>
        <v>400</v>
      </c>
      <c r="R432" s="3">
        <f t="shared" si="37"/>
        <v>222.53000000000043</v>
      </c>
      <c r="S432" s="24" t="s">
        <v>1334</v>
      </c>
      <c r="T432" s="24" t="s">
        <v>1334</v>
      </c>
      <c r="U432" s="55"/>
      <c r="V432" s="25"/>
      <c r="W432" s="25"/>
      <c r="X432" s="25"/>
      <c r="Y432" s="25"/>
      <c r="Z432" s="25"/>
      <c r="AA432" s="3" t="str">
        <f>IF(Caja_Operativa[[#This Row],[FECHA]]&gt;0,TEXT(Caja_Operativa[[#This Row],[FECHA]],"mmmm"),0)</f>
        <v>Setiembre</v>
      </c>
    </row>
    <row r="433" spans="1:27" ht="24" x14ac:dyDescent="0.3">
      <c r="A433" s="16">
        <f>IF(Caja_Operativa[[#This Row],[TIPO DE R.]]="R",COUNTIFS($C$1:$C432,"R")+1,"")</f>
        <v>432</v>
      </c>
      <c r="B433" s="19" t="str">
        <f t="shared" si="58"/>
        <v>C-Operativa</v>
      </c>
      <c r="C433" s="3" t="s">
        <v>1330</v>
      </c>
      <c r="D433" s="14">
        <v>45908</v>
      </c>
      <c r="E433" s="5" t="s">
        <v>3634</v>
      </c>
      <c r="F433" s="5" t="s">
        <v>1336</v>
      </c>
      <c r="G433" s="6" t="s">
        <v>1097</v>
      </c>
      <c r="H433" s="6"/>
      <c r="I433" s="6"/>
      <c r="J433" s="6"/>
      <c r="K433" s="7" t="s">
        <v>7516</v>
      </c>
      <c r="L433" s="8">
        <v>3213337</v>
      </c>
      <c r="M433" s="8" t="str">
        <f t="shared" si="59"/>
        <v>PEN</v>
      </c>
      <c r="N433" s="13"/>
      <c r="O433" s="13">
        <v>150</v>
      </c>
      <c r="P433" s="3">
        <f t="shared" si="60"/>
        <v>0</v>
      </c>
      <c r="Q433" s="3">
        <f t="shared" si="61"/>
        <v>150</v>
      </c>
      <c r="R433" s="3">
        <f t="shared" si="37"/>
        <v>72.530000000000427</v>
      </c>
      <c r="S433" s="24" t="s">
        <v>1334</v>
      </c>
      <c r="T433" s="24" t="s">
        <v>1334</v>
      </c>
      <c r="U433" s="55"/>
      <c r="V433" s="25"/>
      <c r="W433" s="25"/>
      <c r="X433" s="25"/>
      <c r="Y433" s="25"/>
      <c r="Z433" s="25"/>
      <c r="AA433" s="3" t="str">
        <f>IF(Caja_Operativa[[#This Row],[FECHA]]&gt;0,TEXT(Caja_Operativa[[#This Row],[FECHA]],"mmmm"),0)</f>
        <v>Setiembre</v>
      </c>
    </row>
    <row r="434" spans="1:27" ht="24" x14ac:dyDescent="0.3">
      <c r="A434" s="16">
        <f>IF(Caja_Operativa[[#This Row],[TIPO DE R.]]="R",COUNTIFS($C$1:$C433,"R")+1,"")</f>
        <v>433</v>
      </c>
      <c r="B434" s="19" t="str">
        <f t="shared" si="58"/>
        <v>C-Operativa</v>
      </c>
      <c r="C434" s="3" t="s">
        <v>1330</v>
      </c>
      <c r="D434" s="14">
        <v>45908</v>
      </c>
      <c r="E434" s="5" t="s">
        <v>3634</v>
      </c>
      <c r="F434" s="5" t="s">
        <v>1303</v>
      </c>
      <c r="G434" s="6" t="s">
        <v>895</v>
      </c>
      <c r="H434" s="6"/>
      <c r="I434" s="6" t="s">
        <v>7539</v>
      </c>
      <c r="J434" s="6">
        <v>21</v>
      </c>
      <c r="K434" s="7" t="s">
        <v>7540</v>
      </c>
      <c r="L434" s="8">
        <v>2226957</v>
      </c>
      <c r="M434" s="8" t="str">
        <f t="shared" si="59"/>
        <v>PEN</v>
      </c>
      <c r="N434" s="13"/>
      <c r="O434" s="13">
        <v>900</v>
      </c>
      <c r="P434" s="3">
        <f t="shared" si="60"/>
        <v>900</v>
      </c>
      <c r="Q434" s="3">
        <f t="shared" si="61"/>
        <v>0</v>
      </c>
      <c r="R434" s="3">
        <f t="shared" si="37"/>
        <v>972.53000000000043</v>
      </c>
      <c r="S434" s="24"/>
      <c r="T434" s="24"/>
      <c r="U434" s="55"/>
      <c r="V434" s="25"/>
      <c r="W434" s="25"/>
      <c r="X434" s="25"/>
      <c r="Y434" s="25"/>
      <c r="Z434" s="25"/>
      <c r="AA434" s="3" t="str">
        <f>IF(Caja_Operativa[[#This Row],[FECHA]]&gt;0,TEXT(Caja_Operativa[[#This Row],[FECHA]],"mmmm"),0)</f>
        <v>Setiembre</v>
      </c>
    </row>
    <row r="435" spans="1:27" ht="24" x14ac:dyDescent="0.3">
      <c r="A435" s="16">
        <f>IF(Caja_Operativa[[#This Row],[TIPO DE R.]]="R",COUNTIFS($C$1:$C434,"R")+1,"")</f>
        <v>434</v>
      </c>
      <c r="B435" s="19" t="str">
        <f t="shared" si="58"/>
        <v>C-Operativa</v>
      </c>
      <c r="C435" s="3" t="s">
        <v>1330</v>
      </c>
      <c r="D435" s="14">
        <v>45908</v>
      </c>
      <c r="E435" s="5" t="s">
        <v>3634</v>
      </c>
      <c r="F435" s="5" t="s">
        <v>1336</v>
      </c>
      <c r="G435" s="6" t="s">
        <v>857</v>
      </c>
      <c r="H435" s="6"/>
      <c r="I435" s="6"/>
      <c r="J435" s="6"/>
      <c r="K435" s="7" t="s">
        <v>7741</v>
      </c>
      <c r="L435" s="8">
        <v>4782811</v>
      </c>
      <c r="M435" s="8" t="str">
        <f t="shared" si="59"/>
        <v>PEN</v>
      </c>
      <c r="N435" s="13"/>
      <c r="O435" s="13">
        <v>368</v>
      </c>
      <c r="P435" s="3">
        <f t="shared" si="60"/>
        <v>0</v>
      </c>
      <c r="Q435" s="3">
        <f t="shared" si="61"/>
        <v>368</v>
      </c>
      <c r="R435" s="3">
        <f t="shared" si="37"/>
        <v>604.53000000000043</v>
      </c>
      <c r="S435" s="24"/>
      <c r="T435" s="24"/>
      <c r="U435" s="55"/>
      <c r="V435" s="25"/>
      <c r="W435" s="25"/>
      <c r="X435" s="25"/>
      <c r="Y435" s="25"/>
      <c r="Z435" s="25"/>
      <c r="AA435" s="3" t="str">
        <f>IF(Caja_Operativa[[#This Row],[FECHA]]&gt;0,TEXT(Caja_Operativa[[#This Row],[FECHA]],"mmmm"),0)</f>
        <v>Setiembre</v>
      </c>
    </row>
    <row r="436" spans="1:27" x14ac:dyDescent="0.3">
      <c r="A436" s="16">
        <f>IF(Caja_Operativa[[#This Row],[TIPO DE R.]]="R",COUNTIFS($C$1:$C435,"R")+1,"")</f>
        <v>435</v>
      </c>
      <c r="B436" s="19" t="str">
        <f t="shared" si="58"/>
        <v>C-Operativa</v>
      </c>
      <c r="C436" s="3" t="s">
        <v>1330</v>
      </c>
      <c r="D436" s="14">
        <v>45909</v>
      </c>
      <c r="E436" s="5" t="s">
        <v>3634</v>
      </c>
      <c r="F436" s="5" t="s">
        <v>1336</v>
      </c>
      <c r="G436" s="6" t="s">
        <v>798</v>
      </c>
      <c r="H436" s="6"/>
      <c r="I436" s="6"/>
      <c r="J436" s="6"/>
      <c r="K436" s="7" t="s">
        <v>7516</v>
      </c>
      <c r="L436" s="8">
        <v>378478</v>
      </c>
      <c r="M436" s="8" t="str">
        <f t="shared" si="59"/>
        <v>PEN</v>
      </c>
      <c r="N436" s="13"/>
      <c r="O436" s="13">
        <v>150</v>
      </c>
      <c r="P436" s="3">
        <f t="shared" si="60"/>
        <v>0</v>
      </c>
      <c r="Q436" s="3">
        <f t="shared" si="61"/>
        <v>150</v>
      </c>
      <c r="R436" s="3">
        <f t="shared" si="37"/>
        <v>454.53000000000043</v>
      </c>
      <c r="S436" s="24" t="s">
        <v>1334</v>
      </c>
      <c r="T436" s="24" t="s">
        <v>1334</v>
      </c>
      <c r="U436" s="55"/>
      <c r="V436" s="25"/>
      <c r="W436" s="25"/>
      <c r="X436" s="25"/>
      <c r="Y436" s="25"/>
      <c r="Z436" s="25"/>
      <c r="AA436" s="3" t="str">
        <f>IF(Caja_Operativa[[#This Row],[FECHA]]&gt;0,TEXT(Caja_Operativa[[#This Row],[FECHA]],"mmmm"),0)</f>
        <v>Setiembre</v>
      </c>
    </row>
    <row r="437" spans="1:27" ht="24" x14ac:dyDescent="0.3">
      <c r="A437" s="16">
        <f>IF(Caja_Operativa[[#This Row],[TIPO DE R.]]="R",COUNTIFS($C$1:$C436,"R")+1,"")</f>
        <v>436</v>
      </c>
      <c r="B437" s="19" t="str">
        <f t="shared" si="58"/>
        <v>C-Operativa</v>
      </c>
      <c r="C437" s="3" t="s">
        <v>1330</v>
      </c>
      <c r="D437" s="14">
        <v>45909</v>
      </c>
      <c r="E437" s="5" t="s">
        <v>3634</v>
      </c>
      <c r="F437" s="5" t="s">
        <v>1336</v>
      </c>
      <c r="G437" s="6" t="s">
        <v>1134</v>
      </c>
      <c r="H437" s="6"/>
      <c r="I437" s="6"/>
      <c r="J437" s="6"/>
      <c r="K437" s="7" t="s">
        <v>7516</v>
      </c>
      <c r="L437" s="8">
        <v>444536</v>
      </c>
      <c r="M437" s="8" t="str">
        <f t="shared" si="59"/>
        <v>PEN</v>
      </c>
      <c r="N437" s="13"/>
      <c r="O437" s="13">
        <v>150</v>
      </c>
      <c r="P437" s="3">
        <f t="shared" si="60"/>
        <v>0</v>
      </c>
      <c r="Q437" s="3">
        <f t="shared" si="61"/>
        <v>150</v>
      </c>
      <c r="R437" s="3">
        <f t="shared" si="37"/>
        <v>304.53000000000043</v>
      </c>
      <c r="S437" s="24" t="s">
        <v>1334</v>
      </c>
      <c r="T437" s="24" t="s">
        <v>1334</v>
      </c>
      <c r="U437" s="55"/>
      <c r="V437" s="25"/>
      <c r="W437" s="25"/>
      <c r="X437" s="25"/>
      <c r="Y437" s="25"/>
      <c r="Z437" s="25"/>
      <c r="AA437" s="3" t="str">
        <f>IF(Caja_Operativa[[#This Row],[FECHA]]&gt;0,TEXT(Caja_Operativa[[#This Row],[FECHA]],"mmmm"),0)</f>
        <v>Setiembre</v>
      </c>
    </row>
    <row r="438" spans="1:27" x14ac:dyDescent="0.3">
      <c r="A438" s="2">
        <f>IF(Caja_Operativa[[#This Row],[TIPO DE R.]]="R",COUNTIFS($C$1:$C437,"R")+1,"")</f>
        <v>437</v>
      </c>
      <c r="B438" s="19" t="str">
        <f t="shared" si="58"/>
        <v>C-Operativa</v>
      </c>
      <c r="C438" s="3" t="s">
        <v>1330</v>
      </c>
      <c r="D438" s="14">
        <v>45909</v>
      </c>
      <c r="E438" s="5" t="s">
        <v>3634</v>
      </c>
      <c r="F438" s="5" t="s">
        <v>1336</v>
      </c>
      <c r="G438" s="6" t="s">
        <v>876</v>
      </c>
      <c r="H438" s="6"/>
      <c r="I438" s="6"/>
      <c r="J438" s="6"/>
      <c r="K438" s="7" t="s">
        <v>7516</v>
      </c>
      <c r="L438" s="8">
        <v>701838</v>
      </c>
      <c r="M438" s="8" t="str">
        <f t="shared" si="59"/>
        <v>PEN</v>
      </c>
      <c r="N438" s="13"/>
      <c r="O438" s="13">
        <v>100</v>
      </c>
      <c r="P438" s="3">
        <f t="shared" si="60"/>
        <v>0</v>
      </c>
      <c r="Q438" s="3">
        <f t="shared" si="61"/>
        <v>100</v>
      </c>
      <c r="R438" s="3">
        <f t="shared" si="37"/>
        <v>204.53000000000043</v>
      </c>
      <c r="S438" s="24"/>
      <c r="T438" s="24"/>
      <c r="U438" s="55"/>
      <c r="V438" s="25"/>
      <c r="W438" s="25"/>
      <c r="X438" s="25"/>
      <c r="Y438" s="25"/>
      <c r="Z438" s="25"/>
      <c r="AA438" s="3" t="str">
        <f>IF(Caja_Operativa[[#This Row],[FECHA]]&gt;0,TEXT(Caja_Operativa[[#This Row],[FECHA]],"mmmm"),0)</f>
        <v>Setiembre</v>
      </c>
    </row>
    <row r="439" spans="1:27" ht="24" x14ac:dyDescent="0.3">
      <c r="A439" s="2">
        <f>IF(Caja_Operativa[[#This Row],[TIPO DE R.]]="R",COUNTIFS($C$1:$C438,"R")+1,"")</f>
        <v>438</v>
      </c>
      <c r="B439" s="19" t="str">
        <f t="shared" ref="B439:B452" si="62">"C-Operativa"</f>
        <v>C-Operativa</v>
      </c>
      <c r="C439" s="13" t="s">
        <v>1330</v>
      </c>
      <c r="D439" s="14">
        <v>45915</v>
      </c>
      <c r="E439" s="5" t="s">
        <v>3634</v>
      </c>
      <c r="F439" s="5" t="s">
        <v>1336</v>
      </c>
      <c r="G439" s="6" t="s">
        <v>957</v>
      </c>
      <c r="H439" s="6"/>
      <c r="I439" s="6"/>
      <c r="J439" s="6"/>
      <c r="K439" s="7" t="s">
        <v>7516</v>
      </c>
      <c r="L439" s="8">
        <v>430698</v>
      </c>
      <c r="M439" s="8" t="str">
        <f t="shared" ref="M439:M452" si="63">"PEN"</f>
        <v>PEN</v>
      </c>
      <c r="N439" s="13"/>
      <c r="O439" s="13">
        <v>150</v>
      </c>
      <c r="P439" s="3">
        <f t="shared" ref="P439:P452" si="64">+IF(OR($F439="SALDO",$F439="INGRESO"),$O439,0)</f>
        <v>0</v>
      </c>
      <c r="Q439" s="3">
        <f t="shared" ref="Q439:Q452" si="65">+IF($F439="EGRESO",$O439,0)</f>
        <v>150</v>
      </c>
      <c r="R439" s="3">
        <f t="shared" si="37"/>
        <v>54.530000000000427</v>
      </c>
      <c r="S439" s="24" t="s">
        <v>1334</v>
      </c>
      <c r="T439" s="24" t="s">
        <v>1334</v>
      </c>
      <c r="U439" s="55"/>
      <c r="V439" s="25"/>
      <c r="W439" s="25"/>
      <c r="X439" s="25"/>
      <c r="Y439" s="25"/>
      <c r="Z439" s="25"/>
      <c r="AA439" s="3" t="str">
        <f>IF(Caja_Operativa[[#This Row],[FECHA]]&gt;0,TEXT(Caja_Operativa[[#This Row],[FECHA]],"mmmm"),0)</f>
        <v>Setiembre</v>
      </c>
    </row>
    <row r="440" spans="1:27" x14ac:dyDescent="0.3">
      <c r="A440" s="2">
        <f>IF(Caja_Operativa[[#This Row],[TIPO DE R.]]="R",COUNTIFS($C$1:$C439,"R")+1,"")</f>
        <v>439</v>
      </c>
      <c r="B440" s="19" t="str">
        <f t="shared" si="62"/>
        <v>C-Operativa</v>
      </c>
      <c r="C440" s="3" t="s">
        <v>1330</v>
      </c>
      <c r="D440" s="14">
        <v>45916</v>
      </c>
      <c r="E440" s="5" t="s">
        <v>3634</v>
      </c>
      <c r="F440" s="5" t="s">
        <v>1303</v>
      </c>
      <c r="G440" s="6"/>
      <c r="H440" s="6"/>
      <c r="I440" s="6" t="s">
        <v>7539</v>
      </c>
      <c r="J440" s="6">
        <v>22</v>
      </c>
      <c r="K440" s="7" t="s">
        <v>7540</v>
      </c>
      <c r="L440" s="8">
        <v>2013569</v>
      </c>
      <c r="M440" s="8" t="str">
        <f t="shared" si="63"/>
        <v>PEN</v>
      </c>
      <c r="N440" s="13"/>
      <c r="O440" s="13">
        <v>4000</v>
      </c>
      <c r="P440" s="3">
        <f t="shared" si="64"/>
        <v>4000</v>
      </c>
      <c r="Q440" s="3">
        <f t="shared" si="65"/>
        <v>0</v>
      </c>
      <c r="R440" s="3">
        <f t="shared" si="37"/>
        <v>4054.5300000000007</v>
      </c>
      <c r="S440" s="24"/>
      <c r="T440" s="24"/>
      <c r="U440" s="55"/>
      <c r="V440" s="25"/>
      <c r="W440" s="25"/>
      <c r="X440" s="25"/>
      <c r="Y440" s="25"/>
      <c r="Z440" s="25"/>
      <c r="AA440" s="3" t="str">
        <f>IF(Caja_Operativa[[#This Row],[FECHA]]&gt;0,TEXT(Caja_Operativa[[#This Row],[FECHA]],"mmmm"),0)</f>
        <v>Setiembre</v>
      </c>
    </row>
    <row r="441" spans="1:27" x14ac:dyDescent="0.3">
      <c r="A441" s="2">
        <f>IF(Caja_Operativa[[#This Row],[TIPO DE R.]]="R",COUNTIFS($C$1:$C440,"R")+1,"")</f>
        <v>440</v>
      </c>
      <c r="B441" s="19" t="str">
        <f t="shared" si="62"/>
        <v>C-Operativa</v>
      </c>
      <c r="C441" s="3" t="s">
        <v>1330</v>
      </c>
      <c r="D441" s="14">
        <v>45916</v>
      </c>
      <c r="E441" s="5" t="s">
        <v>3634</v>
      </c>
      <c r="F441" s="5" t="s">
        <v>1336</v>
      </c>
      <c r="G441" s="6"/>
      <c r="H441" s="6"/>
      <c r="I441" s="6"/>
      <c r="J441" s="6"/>
      <c r="K441" s="7" t="s">
        <v>5061</v>
      </c>
      <c r="L441" s="8">
        <v>4</v>
      </c>
      <c r="M441" s="8" t="str">
        <f t="shared" si="63"/>
        <v>PEN</v>
      </c>
      <c r="N441" s="13"/>
      <c r="O441" s="13">
        <v>0.2</v>
      </c>
      <c r="P441" s="3">
        <f t="shared" si="64"/>
        <v>0</v>
      </c>
      <c r="Q441" s="3">
        <f t="shared" si="65"/>
        <v>0.2</v>
      </c>
      <c r="R441" s="3">
        <f t="shared" si="37"/>
        <v>4054.3300000000008</v>
      </c>
      <c r="S441" s="24"/>
      <c r="T441" s="24"/>
      <c r="U441" s="55"/>
      <c r="V441" s="25"/>
      <c r="W441" s="25"/>
      <c r="X441" s="25"/>
      <c r="Y441" s="25"/>
      <c r="Z441" s="25"/>
      <c r="AA441" s="3" t="str">
        <f>IF(Caja_Operativa[[#This Row],[FECHA]]&gt;0,TEXT(Caja_Operativa[[#This Row],[FECHA]],"mmmm"),0)</f>
        <v>Setiembre</v>
      </c>
    </row>
    <row r="442" spans="1:27" ht="24" x14ac:dyDescent="0.3">
      <c r="A442" s="2">
        <f>IF(Caja_Operativa[[#This Row],[TIPO DE R.]]="R",COUNTIFS($C$1:$C441,"R")+1,"")</f>
        <v>441</v>
      </c>
      <c r="B442" s="19" t="str">
        <f t="shared" si="62"/>
        <v>C-Operativa</v>
      </c>
      <c r="C442" s="3" t="s">
        <v>1330</v>
      </c>
      <c r="D442" s="14">
        <v>45916</v>
      </c>
      <c r="E442" s="5" t="s">
        <v>3634</v>
      </c>
      <c r="F442" s="5" t="s">
        <v>1336</v>
      </c>
      <c r="G442" s="6" t="s">
        <v>957</v>
      </c>
      <c r="H442" s="6"/>
      <c r="I442" s="6"/>
      <c r="J442" s="6"/>
      <c r="K442" s="7" t="s">
        <v>7516</v>
      </c>
      <c r="L442" s="8">
        <v>3720404</v>
      </c>
      <c r="M442" s="8" t="str">
        <f t="shared" si="63"/>
        <v>PEN</v>
      </c>
      <c r="N442" s="13"/>
      <c r="O442" s="13">
        <v>200</v>
      </c>
      <c r="P442" s="3">
        <f t="shared" si="64"/>
        <v>0</v>
      </c>
      <c r="Q442" s="3">
        <f t="shared" si="65"/>
        <v>200</v>
      </c>
      <c r="R442" s="3">
        <f t="shared" si="37"/>
        <v>3854.3300000000008</v>
      </c>
      <c r="S442" s="24" t="s">
        <v>1334</v>
      </c>
      <c r="T442" s="24" t="s">
        <v>1334</v>
      </c>
      <c r="U442" s="55"/>
      <c r="V442" s="25"/>
      <c r="W442" s="25"/>
      <c r="X442" s="25"/>
      <c r="Y442" s="25"/>
      <c r="Z442" s="25"/>
      <c r="AA442" s="3" t="str">
        <f>IF(Caja_Operativa[[#This Row],[FECHA]]&gt;0,TEXT(Caja_Operativa[[#This Row],[FECHA]],"mmmm"),0)</f>
        <v>Setiembre</v>
      </c>
    </row>
    <row r="443" spans="1:27" x14ac:dyDescent="0.3">
      <c r="A443" s="2">
        <f>IF(Caja_Operativa[[#This Row],[TIPO DE R.]]="R",COUNTIFS($C$1:$C442,"R")+1,"")</f>
        <v>442</v>
      </c>
      <c r="B443" s="19" t="str">
        <f t="shared" si="62"/>
        <v>C-Operativa</v>
      </c>
      <c r="C443" s="3" t="s">
        <v>1330</v>
      </c>
      <c r="D443" s="14">
        <v>45916</v>
      </c>
      <c r="E443" s="5" t="s">
        <v>3634</v>
      </c>
      <c r="F443" s="5" t="s">
        <v>1336</v>
      </c>
      <c r="G443" s="6" t="s">
        <v>798</v>
      </c>
      <c r="H443" s="6"/>
      <c r="I443" s="6"/>
      <c r="J443" s="6"/>
      <c r="K443" s="7" t="s">
        <v>7516</v>
      </c>
      <c r="L443" s="8">
        <v>3727483</v>
      </c>
      <c r="M443" s="8" t="str">
        <f t="shared" si="63"/>
        <v>PEN</v>
      </c>
      <c r="N443" s="13"/>
      <c r="O443" s="13">
        <v>150</v>
      </c>
      <c r="P443" s="3">
        <f t="shared" si="64"/>
        <v>0</v>
      </c>
      <c r="Q443" s="3">
        <f t="shared" si="65"/>
        <v>150</v>
      </c>
      <c r="R443" s="3">
        <f t="shared" si="37"/>
        <v>3704.3300000000008</v>
      </c>
      <c r="S443" s="24" t="s">
        <v>1334</v>
      </c>
      <c r="T443" s="24" t="s">
        <v>1334</v>
      </c>
      <c r="U443" s="55"/>
      <c r="V443" s="25"/>
      <c r="W443" s="25"/>
      <c r="X443" s="25"/>
      <c r="Y443" s="25"/>
      <c r="Z443" s="25"/>
      <c r="AA443" s="3" t="str">
        <f>IF(Caja_Operativa[[#This Row],[FECHA]]&gt;0,TEXT(Caja_Operativa[[#This Row],[FECHA]],"mmmm"),0)</f>
        <v>Setiembre</v>
      </c>
    </row>
    <row r="444" spans="1:27" ht="24" x14ac:dyDescent="0.3">
      <c r="A444" s="2">
        <f>IF(Caja_Operativa[[#This Row],[TIPO DE R.]]="R",COUNTIFS($C$1:$C443,"R")+1,"")</f>
        <v>443</v>
      </c>
      <c r="B444" s="19" t="str">
        <f t="shared" si="62"/>
        <v>C-Operativa</v>
      </c>
      <c r="C444" s="3" t="s">
        <v>1330</v>
      </c>
      <c r="D444" s="14">
        <v>45917</v>
      </c>
      <c r="E444" s="5" t="s">
        <v>3634</v>
      </c>
      <c r="F444" s="5" t="s">
        <v>1336</v>
      </c>
      <c r="G444" s="6" t="s">
        <v>857</v>
      </c>
      <c r="H444" s="6"/>
      <c r="I444" s="6"/>
      <c r="J444" s="6"/>
      <c r="K444" s="7" t="s">
        <v>7516</v>
      </c>
      <c r="L444" s="8">
        <v>3104289</v>
      </c>
      <c r="M444" s="8" t="str">
        <f t="shared" si="63"/>
        <v>PEN</v>
      </c>
      <c r="N444" s="13"/>
      <c r="O444" s="13">
        <v>400</v>
      </c>
      <c r="P444" s="3">
        <f t="shared" si="64"/>
        <v>0</v>
      </c>
      <c r="Q444" s="3">
        <f t="shared" si="65"/>
        <v>400</v>
      </c>
      <c r="R444" s="3">
        <f t="shared" si="37"/>
        <v>3304.3300000000008</v>
      </c>
      <c r="S444" s="24"/>
      <c r="T444" s="24"/>
      <c r="U444" s="55"/>
      <c r="V444" s="25"/>
      <c r="W444" s="25"/>
      <c r="X444" s="25"/>
      <c r="Y444" s="25"/>
      <c r="Z444" s="25"/>
      <c r="AA444" s="3" t="str">
        <f>IF(Caja_Operativa[[#This Row],[FECHA]]&gt;0,TEXT(Caja_Operativa[[#This Row],[FECHA]],"mmmm"),0)</f>
        <v>Setiembre</v>
      </c>
    </row>
    <row r="445" spans="1:27" ht="24" x14ac:dyDescent="0.3">
      <c r="A445" s="2">
        <f>IF(Caja_Operativa[[#This Row],[TIPO DE R.]]="R",COUNTIFS($C$1:$C444,"R")+1,"")</f>
        <v>444</v>
      </c>
      <c r="B445" s="19" t="str">
        <f t="shared" si="62"/>
        <v>C-Operativa</v>
      </c>
      <c r="C445" s="3" t="s">
        <v>1330</v>
      </c>
      <c r="D445" s="14">
        <v>45917</v>
      </c>
      <c r="E445" s="5" t="s">
        <v>3634</v>
      </c>
      <c r="F445" s="5" t="s">
        <v>1336</v>
      </c>
      <c r="G445" s="6" t="s">
        <v>1134</v>
      </c>
      <c r="H445" s="6"/>
      <c r="I445" s="6"/>
      <c r="J445" s="6"/>
      <c r="K445" s="7" t="s">
        <v>7516</v>
      </c>
      <c r="L445" s="8">
        <v>3124169</v>
      </c>
      <c r="M445" s="8" t="str">
        <f t="shared" si="63"/>
        <v>PEN</v>
      </c>
      <c r="N445" s="13"/>
      <c r="O445" s="13">
        <v>200</v>
      </c>
      <c r="P445" s="3">
        <f t="shared" si="64"/>
        <v>0</v>
      </c>
      <c r="Q445" s="3">
        <f t="shared" si="65"/>
        <v>200</v>
      </c>
      <c r="R445" s="3">
        <f t="shared" si="37"/>
        <v>3104.3300000000008</v>
      </c>
      <c r="S445" s="24" t="s">
        <v>1334</v>
      </c>
      <c r="T445" s="24" t="s">
        <v>1334</v>
      </c>
      <c r="U445" s="55"/>
      <c r="V445" s="25"/>
      <c r="W445" s="25"/>
      <c r="X445" s="25"/>
      <c r="Y445" s="25"/>
      <c r="Z445" s="25"/>
      <c r="AA445" s="3" t="str">
        <f>IF(Caja_Operativa[[#This Row],[FECHA]]&gt;0,TEXT(Caja_Operativa[[#This Row],[FECHA]],"mmmm"),0)</f>
        <v>Setiembre</v>
      </c>
    </row>
    <row r="446" spans="1:27" x14ac:dyDescent="0.3">
      <c r="A446" s="2">
        <f>IF(Caja_Operativa[[#This Row],[TIPO DE R.]]="R",COUNTIFS($C$1:$C445,"R")+1,"")</f>
        <v>445</v>
      </c>
      <c r="B446" s="19" t="str">
        <f t="shared" si="62"/>
        <v>C-Operativa</v>
      </c>
      <c r="C446" s="3" t="s">
        <v>1330</v>
      </c>
      <c r="D446" s="14">
        <v>45918</v>
      </c>
      <c r="E446" s="5" t="s">
        <v>3634</v>
      </c>
      <c r="F446" s="5" t="s">
        <v>1336</v>
      </c>
      <c r="G446" s="6" t="s">
        <v>876</v>
      </c>
      <c r="H446" s="6"/>
      <c r="I446" s="6"/>
      <c r="J446" s="6"/>
      <c r="K446" s="7" t="s">
        <v>7516</v>
      </c>
      <c r="L446" s="8">
        <v>559312</v>
      </c>
      <c r="M446" s="8" t="str">
        <f t="shared" si="63"/>
        <v>PEN</v>
      </c>
      <c r="N446" s="13"/>
      <c r="O446" s="13">
        <v>200</v>
      </c>
      <c r="P446" s="3">
        <f t="shared" si="64"/>
        <v>0</v>
      </c>
      <c r="Q446" s="3">
        <f t="shared" si="65"/>
        <v>200</v>
      </c>
      <c r="R446" s="3">
        <f t="shared" si="37"/>
        <v>2904.3300000000008</v>
      </c>
      <c r="S446" s="24"/>
      <c r="T446" s="24"/>
      <c r="U446" s="55"/>
      <c r="V446" s="25"/>
      <c r="W446" s="25"/>
      <c r="X446" s="25"/>
      <c r="Y446" s="25"/>
      <c r="Z446" s="25"/>
      <c r="AA446" s="3" t="str">
        <f>IF(Caja_Operativa[[#This Row],[FECHA]]&gt;0,TEXT(Caja_Operativa[[#This Row],[FECHA]],"mmmm"),0)</f>
        <v>Setiembre</v>
      </c>
    </row>
    <row r="447" spans="1:27" x14ac:dyDescent="0.3">
      <c r="A447" s="2">
        <f>IF(Caja_Operativa[[#This Row],[TIPO DE R.]]="R",COUNTIFS($C$1:$C446,"R")+1,"")</f>
        <v>446</v>
      </c>
      <c r="B447" s="19" t="str">
        <f t="shared" si="62"/>
        <v>C-Operativa</v>
      </c>
      <c r="C447" s="3" t="s">
        <v>1330</v>
      </c>
      <c r="D447" s="14">
        <v>45922</v>
      </c>
      <c r="E447" s="5" t="s">
        <v>3634</v>
      </c>
      <c r="F447" s="5" t="s">
        <v>1336</v>
      </c>
      <c r="G447" s="6" t="s">
        <v>798</v>
      </c>
      <c r="H447" s="6"/>
      <c r="I447" s="6"/>
      <c r="J447" s="6"/>
      <c r="K447" s="7" t="s">
        <v>7516</v>
      </c>
      <c r="L447" s="8">
        <v>2871480</v>
      </c>
      <c r="M447" s="8" t="str">
        <f t="shared" si="63"/>
        <v>PEN</v>
      </c>
      <c r="N447" s="13"/>
      <c r="O447" s="13">
        <v>150</v>
      </c>
      <c r="P447" s="3">
        <f t="shared" si="64"/>
        <v>0</v>
      </c>
      <c r="Q447" s="3">
        <f t="shared" si="65"/>
        <v>150</v>
      </c>
      <c r="R447" s="3">
        <f t="shared" si="37"/>
        <v>2754.3300000000008</v>
      </c>
      <c r="S447" s="24" t="s">
        <v>1334</v>
      </c>
      <c r="T447" s="24" t="s">
        <v>1334</v>
      </c>
      <c r="U447" s="55"/>
      <c r="V447" s="25"/>
      <c r="W447" s="25"/>
      <c r="X447" s="25"/>
      <c r="Y447" s="25"/>
      <c r="Z447" s="25"/>
      <c r="AA447" s="3" t="str">
        <f>IF(Caja_Operativa[[#This Row],[FECHA]]&gt;0,TEXT(Caja_Operativa[[#This Row],[FECHA]],"mmmm"),0)</f>
        <v>Setiembre</v>
      </c>
    </row>
    <row r="448" spans="1:27" ht="24" x14ac:dyDescent="0.3">
      <c r="A448" s="2">
        <f>IF(Caja_Operativa[[#This Row],[TIPO DE R.]]="R",COUNTIFS($C$1:$C447,"R")+1,"")</f>
        <v>447</v>
      </c>
      <c r="B448" s="19" t="str">
        <f t="shared" si="62"/>
        <v>C-Operativa</v>
      </c>
      <c r="C448" s="3" t="s">
        <v>1330</v>
      </c>
      <c r="D448" s="14">
        <v>45922</v>
      </c>
      <c r="E448" s="5" t="s">
        <v>3634</v>
      </c>
      <c r="F448" s="5" t="s">
        <v>1336</v>
      </c>
      <c r="G448" s="6" t="s">
        <v>1097</v>
      </c>
      <c r="H448" s="6"/>
      <c r="I448" s="6"/>
      <c r="J448" s="6"/>
      <c r="K448" s="7" t="s">
        <v>7516</v>
      </c>
      <c r="L448" s="8">
        <v>2879718</v>
      </c>
      <c r="M448" s="8" t="str">
        <f t="shared" si="63"/>
        <v>PEN</v>
      </c>
      <c r="N448" s="13"/>
      <c r="O448" s="13">
        <v>150</v>
      </c>
      <c r="P448" s="3">
        <f t="shared" si="64"/>
        <v>0</v>
      </c>
      <c r="Q448" s="3">
        <f t="shared" si="65"/>
        <v>150</v>
      </c>
      <c r="R448" s="3">
        <f t="shared" si="37"/>
        <v>2604.3300000000008</v>
      </c>
      <c r="S448" s="24" t="s">
        <v>1334</v>
      </c>
      <c r="T448" s="24" t="s">
        <v>1334</v>
      </c>
      <c r="U448" s="55"/>
      <c r="V448" s="25"/>
      <c r="W448" s="25"/>
      <c r="X448" s="25"/>
      <c r="Y448" s="25"/>
      <c r="Z448" s="25"/>
      <c r="AA448" s="3" t="str">
        <f>IF(Caja_Operativa[[#This Row],[FECHA]]&gt;0,TEXT(Caja_Operativa[[#This Row],[FECHA]],"mmmm"),0)</f>
        <v>Setiembre</v>
      </c>
    </row>
    <row r="449" spans="1:27" ht="24" x14ac:dyDescent="0.3">
      <c r="A449" s="2">
        <f>IF(Caja_Operativa[[#This Row],[TIPO DE R.]]="R",COUNTIFS($C$1:$C448,"R")+1,"")</f>
        <v>448</v>
      </c>
      <c r="B449" s="19" t="str">
        <f t="shared" si="62"/>
        <v>C-Operativa</v>
      </c>
      <c r="C449" s="3" t="s">
        <v>1330</v>
      </c>
      <c r="D449" s="14">
        <v>45922</v>
      </c>
      <c r="E449" s="5" t="s">
        <v>3634</v>
      </c>
      <c r="F449" s="5" t="s">
        <v>1336</v>
      </c>
      <c r="G449" s="6" t="s">
        <v>918</v>
      </c>
      <c r="H449" s="6"/>
      <c r="I449" s="6"/>
      <c r="J449" s="6"/>
      <c r="K449" s="7" t="s">
        <v>7516</v>
      </c>
      <c r="L449" s="8">
        <v>2890567</v>
      </c>
      <c r="M449" s="8" t="str">
        <f t="shared" si="63"/>
        <v>PEN</v>
      </c>
      <c r="N449" s="13"/>
      <c r="O449" s="13">
        <v>300</v>
      </c>
      <c r="P449" s="3">
        <f t="shared" si="64"/>
        <v>0</v>
      </c>
      <c r="Q449" s="3">
        <f t="shared" si="65"/>
        <v>300</v>
      </c>
      <c r="R449" s="3">
        <f t="shared" si="37"/>
        <v>2304.3300000000008</v>
      </c>
      <c r="S449" s="24"/>
      <c r="T449" s="24"/>
      <c r="U449" s="55"/>
      <c r="V449" s="25"/>
      <c r="W449" s="25"/>
      <c r="X449" s="25"/>
      <c r="Y449" s="25"/>
      <c r="Z449" s="25"/>
      <c r="AA449" s="3" t="str">
        <f>IF(Caja_Operativa[[#This Row],[FECHA]]&gt;0,TEXT(Caja_Operativa[[#This Row],[FECHA]],"mmmm"),0)</f>
        <v>Setiembre</v>
      </c>
    </row>
    <row r="450" spans="1:27" ht="24" x14ac:dyDescent="0.3">
      <c r="A450" s="2">
        <f>IF(Caja_Operativa[[#This Row],[TIPO DE R.]]="R",COUNTIFS($C$1:$C449,"R")+1,"")</f>
        <v>449</v>
      </c>
      <c r="B450" s="19" t="str">
        <f t="shared" si="62"/>
        <v>C-Operativa</v>
      </c>
      <c r="C450" s="3" t="s">
        <v>1330</v>
      </c>
      <c r="D450" s="14">
        <v>45922</v>
      </c>
      <c r="E450" s="5" t="s">
        <v>3634</v>
      </c>
      <c r="F450" s="5" t="s">
        <v>1336</v>
      </c>
      <c r="G450" s="6" t="s">
        <v>1134</v>
      </c>
      <c r="H450" s="6"/>
      <c r="I450" s="6"/>
      <c r="J450" s="6"/>
      <c r="K450" s="7" t="s">
        <v>7516</v>
      </c>
      <c r="L450" s="8">
        <v>3044218</v>
      </c>
      <c r="M450" s="8" t="str">
        <f t="shared" si="63"/>
        <v>PEN</v>
      </c>
      <c r="N450" s="13"/>
      <c r="O450" s="13">
        <v>200</v>
      </c>
      <c r="P450" s="3">
        <f t="shared" si="64"/>
        <v>0</v>
      </c>
      <c r="Q450" s="3">
        <f t="shared" si="65"/>
        <v>200</v>
      </c>
      <c r="R450" s="3">
        <f t="shared" ref="R450:R461" si="66">IFERROR(IF(F450="SALDO",P450,R449+P450-Q450),0)</f>
        <v>2104.3300000000008</v>
      </c>
      <c r="S450" s="24" t="s">
        <v>1334</v>
      </c>
      <c r="T450" s="24" t="s">
        <v>1334</v>
      </c>
      <c r="U450" s="55"/>
      <c r="V450" s="25"/>
      <c r="W450" s="25"/>
      <c r="X450" s="25"/>
      <c r="Y450" s="25"/>
      <c r="Z450" s="25"/>
      <c r="AA450" s="3" t="str">
        <f>IF(Caja_Operativa[[#This Row],[FECHA]]&gt;0,TEXT(Caja_Operativa[[#This Row],[FECHA]],"mmmm"),0)</f>
        <v>Setiembre</v>
      </c>
    </row>
    <row r="451" spans="1:27" ht="24" x14ac:dyDescent="0.3">
      <c r="A451" s="2">
        <f>IF(Caja_Operativa[[#This Row],[TIPO DE R.]]="R",COUNTIFS($C$1:$C450,"R")+1,"")</f>
        <v>450</v>
      </c>
      <c r="B451" s="19" t="str">
        <f t="shared" si="62"/>
        <v>C-Operativa</v>
      </c>
      <c r="C451" s="3" t="s">
        <v>1330</v>
      </c>
      <c r="D451" s="14">
        <v>45922</v>
      </c>
      <c r="E451" s="5" t="s">
        <v>3634</v>
      </c>
      <c r="F451" s="5" t="s">
        <v>1336</v>
      </c>
      <c r="G451" s="6" t="s">
        <v>1097</v>
      </c>
      <c r="H451" s="6"/>
      <c r="I451" s="6"/>
      <c r="J451" s="6"/>
      <c r="K451" s="7" t="s">
        <v>7516</v>
      </c>
      <c r="L451" s="8">
        <v>3136175</v>
      </c>
      <c r="M451" s="8" t="str">
        <f t="shared" si="63"/>
        <v>PEN</v>
      </c>
      <c r="N451" s="13"/>
      <c r="O451" s="13">
        <v>550</v>
      </c>
      <c r="P451" s="3">
        <f t="shared" si="64"/>
        <v>0</v>
      </c>
      <c r="Q451" s="3">
        <f t="shared" si="65"/>
        <v>550</v>
      </c>
      <c r="R451" s="3">
        <f t="shared" si="66"/>
        <v>1554.3300000000008</v>
      </c>
      <c r="S451" s="24" t="s">
        <v>1334</v>
      </c>
      <c r="T451" s="24" t="s">
        <v>1334</v>
      </c>
      <c r="U451" s="55"/>
      <c r="V451" s="25"/>
      <c r="W451" s="25"/>
      <c r="X451" s="25"/>
      <c r="Y451" s="25"/>
      <c r="Z451" s="25"/>
      <c r="AA451" s="3" t="str">
        <f>IF(Caja_Operativa[[#This Row],[FECHA]]&gt;0,TEXT(Caja_Operativa[[#This Row],[FECHA]],"mmmm"),0)</f>
        <v>Setiembre</v>
      </c>
    </row>
    <row r="452" spans="1:27" ht="24" x14ac:dyDescent="0.3">
      <c r="A452" s="2">
        <f>IF(Caja_Operativa[[#This Row],[TIPO DE R.]]="R",COUNTIFS($C$1:$C451,"R")+1,"")</f>
        <v>451</v>
      </c>
      <c r="B452" s="19" t="str">
        <f t="shared" si="62"/>
        <v>C-Operativa</v>
      </c>
      <c r="C452" s="3" t="s">
        <v>1330</v>
      </c>
      <c r="D452" s="14">
        <v>45926</v>
      </c>
      <c r="E452" s="5" t="s">
        <v>3634</v>
      </c>
      <c r="F452" s="5" t="s">
        <v>1336</v>
      </c>
      <c r="G452" s="6" t="s">
        <v>1097</v>
      </c>
      <c r="H452" s="6"/>
      <c r="I452" s="6"/>
      <c r="J452" s="6"/>
      <c r="K452" s="7" t="s">
        <v>7516</v>
      </c>
      <c r="L452" s="8">
        <v>451291</v>
      </c>
      <c r="M452" s="8" t="str">
        <f t="shared" si="63"/>
        <v>PEN</v>
      </c>
      <c r="N452" s="13"/>
      <c r="O452" s="13">
        <v>200</v>
      </c>
      <c r="P452" s="3">
        <f t="shared" si="64"/>
        <v>0</v>
      </c>
      <c r="Q452" s="3">
        <f t="shared" si="65"/>
        <v>200</v>
      </c>
      <c r="R452" s="3">
        <f t="shared" si="66"/>
        <v>1354.3300000000008</v>
      </c>
      <c r="S452" s="24" t="s">
        <v>1334</v>
      </c>
      <c r="T452" s="24" t="s">
        <v>1334</v>
      </c>
      <c r="U452" s="55"/>
      <c r="V452" s="25"/>
      <c r="W452" s="25"/>
      <c r="X452" s="25"/>
      <c r="Y452" s="25"/>
      <c r="Z452" s="25"/>
      <c r="AA452" s="3" t="str">
        <f>IF(Caja_Operativa[[#This Row],[FECHA]]&gt;0,TEXT(Caja_Operativa[[#This Row],[FECHA]],"mmmm"),0)</f>
        <v>Setiembre</v>
      </c>
    </row>
    <row r="453" spans="1:27" x14ac:dyDescent="0.3">
      <c r="A453" s="2">
        <f>IF(Caja_Operativa[[#This Row],[TIPO DE R.]]="R",COUNTIFS($C$1:$C452,"R")+1,"")</f>
        <v>452</v>
      </c>
      <c r="B453" s="19" t="str">
        <f t="shared" ref="B453:B457" si="67">"C-Operativa"</f>
        <v>C-Operativa</v>
      </c>
      <c r="C453" s="3" t="s">
        <v>1330</v>
      </c>
      <c r="D453" s="14">
        <v>45926</v>
      </c>
      <c r="E453" s="5" t="s">
        <v>1338</v>
      </c>
      <c r="F453" s="5" t="s">
        <v>1336</v>
      </c>
      <c r="G453" s="6" t="s">
        <v>798</v>
      </c>
      <c r="H453" s="6"/>
      <c r="I453" s="6"/>
      <c r="J453" s="6"/>
      <c r="K453" s="7" t="s">
        <v>7516</v>
      </c>
      <c r="L453" s="8">
        <v>2241925</v>
      </c>
      <c r="M453" s="8" t="str">
        <f t="shared" ref="M453:M457" si="68">"PEN"</f>
        <v>PEN</v>
      </c>
      <c r="N453" s="13"/>
      <c r="O453" s="13">
        <v>120</v>
      </c>
      <c r="P453" s="3">
        <f t="shared" ref="P453:P457" si="69">+IF(OR($F453="SALDO",$F453="INGRESO"),$O453,0)</f>
        <v>0</v>
      </c>
      <c r="Q453" s="3">
        <f t="shared" ref="Q453:Q457" si="70">+IF($F453="EGRESO",$O453,0)</f>
        <v>120</v>
      </c>
      <c r="R453" s="3">
        <f t="shared" si="66"/>
        <v>1234.3300000000008</v>
      </c>
      <c r="S453" s="24" t="s">
        <v>1334</v>
      </c>
      <c r="T453" s="24" t="s">
        <v>1334</v>
      </c>
      <c r="U453" s="55"/>
      <c r="V453" s="25"/>
      <c r="W453" s="25"/>
      <c r="X453" s="25"/>
      <c r="Y453" s="25"/>
      <c r="Z453" s="25"/>
      <c r="AA453" s="3" t="str">
        <f>IF(Caja_Operativa[[#This Row],[FECHA]]&gt;0,TEXT(Caja_Operativa[[#This Row],[FECHA]],"mmmm"),0)</f>
        <v>Setiembre</v>
      </c>
    </row>
    <row r="454" spans="1:27" ht="24" x14ac:dyDescent="0.3">
      <c r="A454" s="2">
        <f>IF(Caja_Operativa[[#This Row],[TIPO DE R.]]="R",COUNTIFS($C$1:$C453,"R")+1,"")</f>
        <v>453</v>
      </c>
      <c r="B454" s="19" t="str">
        <f t="shared" si="67"/>
        <v>C-Operativa</v>
      </c>
      <c r="C454" s="3" t="s">
        <v>1330</v>
      </c>
      <c r="D454" s="14">
        <v>45929</v>
      </c>
      <c r="E454" s="5" t="s">
        <v>1338</v>
      </c>
      <c r="F454" s="5" t="s">
        <v>1336</v>
      </c>
      <c r="G454" s="6" t="s">
        <v>957</v>
      </c>
      <c r="H454" s="6"/>
      <c r="I454" s="6"/>
      <c r="J454" s="6"/>
      <c r="K454" s="7" t="s">
        <v>7516</v>
      </c>
      <c r="L454" s="8">
        <v>2360026</v>
      </c>
      <c r="M454" s="8" t="str">
        <f t="shared" si="68"/>
        <v>PEN</v>
      </c>
      <c r="N454" s="13"/>
      <c r="O454" s="13">
        <v>200</v>
      </c>
      <c r="P454" s="3">
        <f t="shared" si="69"/>
        <v>0</v>
      </c>
      <c r="Q454" s="3">
        <f t="shared" si="70"/>
        <v>200</v>
      </c>
      <c r="R454" s="3">
        <f t="shared" si="66"/>
        <v>1034.3300000000008</v>
      </c>
      <c r="S454" s="24" t="s">
        <v>1334</v>
      </c>
      <c r="T454" s="24" t="s">
        <v>1334</v>
      </c>
      <c r="U454" s="55"/>
      <c r="V454" s="25"/>
      <c r="W454" s="25"/>
      <c r="X454" s="25"/>
      <c r="Y454" s="25"/>
      <c r="Z454" s="25"/>
      <c r="AA454" s="3" t="str">
        <f>IF(Caja_Operativa[[#This Row],[FECHA]]&gt;0,TEXT(Caja_Operativa[[#This Row],[FECHA]],"mmmm"),0)</f>
        <v>Setiembre</v>
      </c>
    </row>
    <row r="455" spans="1:27" ht="24" x14ac:dyDescent="0.3">
      <c r="A455" s="2">
        <f>IF(Caja_Operativa[[#This Row],[TIPO DE R.]]="R",COUNTIFS($C$1:$C454,"R")+1,"")</f>
        <v>454</v>
      </c>
      <c r="B455" s="19" t="str">
        <f t="shared" si="67"/>
        <v>C-Operativa</v>
      </c>
      <c r="C455" s="3" t="s">
        <v>1330</v>
      </c>
      <c r="D455" s="14">
        <v>45930</v>
      </c>
      <c r="E455" s="5" t="s">
        <v>1338</v>
      </c>
      <c r="F455" s="5" t="s">
        <v>1336</v>
      </c>
      <c r="G455" s="6" t="s">
        <v>922</v>
      </c>
      <c r="H455" s="6"/>
      <c r="I455" s="6"/>
      <c r="J455" s="6"/>
      <c r="K455" s="7" t="s">
        <v>7746</v>
      </c>
      <c r="L455" s="8">
        <v>3588484</v>
      </c>
      <c r="M455" s="8" t="str">
        <f t="shared" si="68"/>
        <v>PEN</v>
      </c>
      <c r="N455" s="13"/>
      <c r="O455" s="13">
        <v>600</v>
      </c>
      <c r="P455" s="3">
        <f t="shared" si="69"/>
        <v>0</v>
      </c>
      <c r="Q455" s="3">
        <f t="shared" si="70"/>
        <v>600</v>
      </c>
      <c r="R455" s="3">
        <f t="shared" si="66"/>
        <v>434.33000000000084</v>
      </c>
      <c r="S455" s="24"/>
      <c r="T455" s="24"/>
      <c r="U455" s="55"/>
      <c r="V455" s="25"/>
      <c r="W455" s="25"/>
      <c r="X455" s="25"/>
      <c r="Y455" s="25"/>
      <c r="Z455" s="25"/>
      <c r="AA455" s="3" t="str">
        <f>IF(Caja_Operativa[[#This Row],[FECHA]]&gt;0,TEXT(Caja_Operativa[[#This Row],[FECHA]],"mmmm"),0)</f>
        <v>Setiembre</v>
      </c>
    </row>
    <row r="456" spans="1:27" x14ac:dyDescent="0.3">
      <c r="A456" s="2">
        <f>IF(Caja_Operativa[[#This Row],[TIPO DE R.]]="R",COUNTIFS($C$1:$C455,"R")+1,"")</f>
        <v>455</v>
      </c>
      <c r="B456" s="19" t="str">
        <f t="shared" si="67"/>
        <v>C-Operativa</v>
      </c>
      <c r="C456" s="3" t="s">
        <v>1330</v>
      </c>
      <c r="D456" s="14">
        <v>45931</v>
      </c>
      <c r="E456" s="5" t="s">
        <v>1338</v>
      </c>
      <c r="F456" s="5" t="s">
        <v>1336</v>
      </c>
      <c r="G456" s="6" t="s">
        <v>798</v>
      </c>
      <c r="H456" s="6"/>
      <c r="I456" s="6"/>
      <c r="J456" s="6"/>
      <c r="K456" s="7" t="s">
        <v>7516</v>
      </c>
      <c r="L456" s="8">
        <v>5420981</v>
      </c>
      <c r="M456" s="8" t="str">
        <f t="shared" si="68"/>
        <v>PEN</v>
      </c>
      <c r="N456" s="13"/>
      <c r="O456" s="13">
        <v>150</v>
      </c>
      <c r="P456" s="3">
        <f t="shared" si="69"/>
        <v>0</v>
      </c>
      <c r="Q456" s="3">
        <f t="shared" si="70"/>
        <v>150</v>
      </c>
      <c r="R456" s="3">
        <f t="shared" si="66"/>
        <v>284.33000000000084</v>
      </c>
      <c r="S456" s="24" t="s">
        <v>1334</v>
      </c>
      <c r="T456" s="24" t="s">
        <v>1334</v>
      </c>
      <c r="U456" s="55"/>
      <c r="V456" s="25"/>
      <c r="W456" s="25"/>
      <c r="X456" s="25"/>
      <c r="Y456" s="25"/>
      <c r="Z456" s="25"/>
      <c r="AA456" s="3" t="str">
        <f>IF(Caja_Operativa[[#This Row],[FECHA]]&gt;0,TEXT(Caja_Operativa[[#This Row],[FECHA]],"mmmm"),0)</f>
        <v>Octubre</v>
      </c>
    </row>
    <row r="457" spans="1:27" ht="24" x14ac:dyDescent="0.3">
      <c r="A457" s="2">
        <f>IF(Caja_Operativa[[#This Row],[TIPO DE R.]]="R",COUNTIFS($C$1:$C456,"R")+1,"")</f>
        <v>456</v>
      </c>
      <c r="B457" s="19" t="str">
        <f t="shared" si="67"/>
        <v>C-Operativa</v>
      </c>
      <c r="C457" s="3" t="s">
        <v>1330</v>
      </c>
      <c r="D457" s="14">
        <v>45933</v>
      </c>
      <c r="E457" s="5" t="s">
        <v>1338</v>
      </c>
      <c r="F457" s="5" t="s">
        <v>1336</v>
      </c>
      <c r="G457" s="6" t="s">
        <v>1134</v>
      </c>
      <c r="H457" s="6"/>
      <c r="I457" s="6"/>
      <c r="J457" s="6"/>
      <c r="K457" s="7" t="s">
        <v>7516</v>
      </c>
      <c r="L457" s="8">
        <v>1417613</v>
      </c>
      <c r="M457" s="8" t="str">
        <f t="shared" si="68"/>
        <v>PEN</v>
      </c>
      <c r="N457" s="13"/>
      <c r="O457" s="13">
        <v>150</v>
      </c>
      <c r="P457" s="3">
        <f t="shared" si="69"/>
        <v>0</v>
      </c>
      <c r="Q457" s="3">
        <f t="shared" si="70"/>
        <v>150</v>
      </c>
      <c r="R457" s="3">
        <f t="shared" si="66"/>
        <v>134.33000000000084</v>
      </c>
      <c r="S457" s="24"/>
      <c r="T457" s="24"/>
      <c r="U457" s="55"/>
      <c r="V457" s="25"/>
      <c r="W457" s="25"/>
      <c r="X457" s="25"/>
      <c r="Y457" s="25"/>
      <c r="Z457" s="25"/>
      <c r="AA457" s="3" t="str">
        <f>IF(Caja_Operativa[[#This Row],[FECHA]]&gt;0,TEXT(Caja_Operativa[[#This Row],[FECHA]],"mmmm"),0)</f>
        <v>Octubre</v>
      </c>
    </row>
    <row r="458" spans="1:27" ht="24" x14ac:dyDescent="0.3">
      <c r="A458" s="2">
        <f>IF(Caja_Operativa[[#This Row],[TIPO DE R.]]="R",COUNTIFS($C$1:$C457,"R")+1,"")</f>
        <v>457</v>
      </c>
      <c r="B458" s="19" t="str">
        <f t="shared" ref="B458:B461" si="71">"C-Operativa"</f>
        <v>C-Operativa</v>
      </c>
      <c r="C458" s="3" t="s">
        <v>1330</v>
      </c>
      <c r="D458" s="14">
        <v>45933</v>
      </c>
      <c r="E458" s="5" t="s">
        <v>1338</v>
      </c>
      <c r="F458" s="5" t="s">
        <v>1336</v>
      </c>
      <c r="G458" s="6" t="s">
        <v>1097</v>
      </c>
      <c r="H458" s="6"/>
      <c r="I458" s="6"/>
      <c r="J458" s="6"/>
      <c r="K458" s="7" t="s">
        <v>7516</v>
      </c>
      <c r="L458" s="8">
        <v>1504491</v>
      </c>
      <c r="M458" s="8" t="str">
        <f t="shared" ref="M458:M461" si="72">"PEN"</f>
        <v>PEN</v>
      </c>
      <c r="N458" s="13"/>
      <c r="O458" s="13">
        <v>130</v>
      </c>
      <c r="P458" s="3">
        <f t="shared" ref="P458:P461" si="73">+IF(OR($F458="SALDO",$F458="INGRESO"),$O458,0)</f>
        <v>0</v>
      </c>
      <c r="Q458" s="3">
        <f t="shared" ref="Q458:Q461" si="74">+IF($F458="EGRESO",$O458,0)</f>
        <v>130</v>
      </c>
      <c r="R458" s="3">
        <f t="shared" si="66"/>
        <v>4.3300000000008367</v>
      </c>
      <c r="S458" s="24" t="s">
        <v>1334</v>
      </c>
      <c r="T458" s="24" t="s">
        <v>1334</v>
      </c>
      <c r="U458" s="55"/>
      <c r="V458" s="25"/>
      <c r="W458" s="25"/>
      <c r="X458" s="25"/>
      <c r="Y458" s="25"/>
      <c r="Z458" s="25"/>
      <c r="AA458" s="3" t="str">
        <f>IF(Caja_Operativa[[#This Row],[FECHA]]&gt;0,TEXT(Caja_Operativa[[#This Row],[FECHA]],"mmmm"),0)</f>
        <v>Octubre</v>
      </c>
    </row>
    <row r="459" spans="1:27" x14ac:dyDescent="0.3">
      <c r="A459" s="2">
        <f>IF(Caja_Operativa[[#This Row],[TIPO DE R.]]="R",COUNTIFS($C$1:$C458,"R")+1,"")</f>
        <v>458</v>
      </c>
      <c r="B459" s="19" t="str">
        <f t="shared" si="71"/>
        <v>C-Operativa</v>
      </c>
      <c r="C459" s="3" t="s">
        <v>1330</v>
      </c>
      <c r="D459" s="14">
        <v>45933</v>
      </c>
      <c r="E459" s="5" t="s">
        <v>1338</v>
      </c>
      <c r="F459" s="5" t="s">
        <v>1303</v>
      </c>
      <c r="G459" s="6"/>
      <c r="H459" s="6"/>
      <c r="I459" s="6" t="s">
        <v>7539</v>
      </c>
      <c r="J459" s="6">
        <v>23</v>
      </c>
      <c r="K459" s="7" t="s">
        <v>7540</v>
      </c>
      <c r="L459" s="8"/>
      <c r="M459" s="8" t="str">
        <f t="shared" si="72"/>
        <v>PEN</v>
      </c>
      <c r="N459" s="13"/>
      <c r="O459" s="13">
        <v>2500</v>
      </c>
      <c r="P459" s="3">
        <f t="shared" si="73"/>
        <v>2500</v>
      </c>
      <c r="Q459" s="3">
        <f t="shared" si="74"/>
        <v>0</v>
      </c>
      <c r="R459" s="3">
        <f t="shared" si="66"/>
        <v>2504.3300000000008</v>
      </c>
      <c r="S459" s="24"/>
      <c r="T459" s="24"/>
      <c r="U459" s="55"/>
      <c r="V459" s="25"/>
      <c r="W459" s="25"/>
      <c r="X459" s="25"/>
      <c r="Y459" s="25"/>
      <c r="Z459" s="25"/>
      <c r="AA459" s="3" t="str">
        <f>IF(Caja_Operativa[[#This Row],[FECHA]]&gt;0,TEXT(Caja_Operativa[[#This Row],[FECHA]],"mmmm"),0)</f>
        <v>Octubre</v>
      </c>
    </row>
    <row r="460" spans="1:27" ht="24" x14ac:dyDescent="0.3">
      <c r="A460" s="2">
        <f>IF(Caja_Operativa[[#This Row],[TIPO DE R.]]="R",COUNTIFS($C$1:$C459,"R")+1,"")</f>
        <v>459</v>
      </c>
      <c r="B460" s="19" t="str">
        <f t="shared" si="71"/>
        <v>C-Operativa</v>
      </c>
      <c r="C460" s="3" t="s">
        <v>1330</v>
      </c>
      <c r="D460" s="14">
        <v>45933</v>
      </c>
      <c r="E460" s="5" t="s">
        <v>1338</v>
      </c>
      <c r="F460" s="5" t="s">
        <v>1336</v>
      </c>
      <c r="G460" s="6" t="s">
        <v>888</v>
      </c>
      <c r="H460" s="6"/>
      <c r="I460" s="6"/>
      <c r="J460" s="6"/>
      <c r="K460" s="7" t="s">
        <v>7747</v>
      </c>
      <c r="L460" s="8">
        <v>3669793</v>
      </c>
      <c r="M460" s="8" t="str">
        <f t="shared" si="72"/>
        <v>PEN</v>
      </c>
      <c r="N460" s="13"/>
      <c r="O460" s="13">
        <v>500</v>
      </c>
      <c r="P460" s="3">
        <f t="shared" si="73"/>
        <v>0</v>
      </c>
      <c r="Q460" s="3">
        <f t="shared" si="74"/>
        <v>500</v>
      </c>
      <c r="R460" s="3">
        <f t="shared" si="66"/>
        <v>2004.3300000000008</v>
      </c>
      <c r="S460" s="24"/>
      <c r="T460" s="24"/>
      <c r="U460" s="55"/>
      <c r="V460" s="25"/>
      <c r="W460" s="25"/>
      <c r="X460" s="25"/>
      <c r="Y460" s="25"/>
      <c r="Z460" s="25"/>
      <c r="AA460" s="3" t="str">
        <f>IF(Caja_Operativa[[#This Row],[FECHA]]&gt;0,TEXT(Caja_Operativa[[#This Row],[FECHA]],"mmmm"),0)</f>
        <v>Octubre</v>
      </c>
    </row>
    <row r="461" spans="1:27" x14ac:dyDescent="0.3">
      <c r="A461" s="2">
        <f>IF(Caja_Operativa[[#This Row],[TIPO DE R.]]="R",COUNTIFS($C$1:$C460,"R")+1,"")</f>
        <v>460</v>
      </c>
      <c r="B461" s="19" t="str">
        <f t="shared" si="71"/>
        <v>C-Operativa</v>
      </c>
      <c r="C461" s="3" t="s">
        <v>1330</v>
      </c>
      <c r="D461" s="14">
        <v>45933</v>
      </c>
      <c r="E461" s="5"/>
      <c r="F461" s="5" t="s">
        <v>1336</v>
      </c>
      <c r="G461" s="6"/>
      <c r="H461" s="6"/>
      <c r="I461" s="6"/>
      <c r="J461" s="6"/>
      <c r="K461" s="7" t="s">
        <v>5061</v>
      </c>
      <c r="L461" s="8"/>
      <c r="M461" s="8" t="str">
        <f t="shared" si="72"/>
        <v>PEN</v>
      </c>
      <c r="N461" s="13"/>
      <c r="O461" s="13">
        <v>0.1</v>
      </c>
      <c r="P461" s="3">
        <f t="shared" si="73"/>
        <v>0</v>
      </c>
      <c r="Q461" s="3">
        <f t="shared" si="74"/>
        <v>0.1</v>
      </c>
      <c r="R461" s="3">
        <f t="shared" si="66"/>
        <v>2004.2300000000009</v>
      </c>
      <c r="S461" s="24"/>
      <c r="T461" s="24"/>
      <c r="U461" s="55"/>
      <c r="V461" s="25"/>
      <c r="W461" s="25"/>
      <c r="X461" s="25"/>
      <c r="Y461" s="25"/>
      <c r="Z461" s="25"/>
      <c r="AA461" s="3" t="str">
        <f>IF(Caja_Operativa[[#This Row],[FECHA]]&gt;0,TEXT(Caja_Operativa[[#This Row],[FECHA]],"mmmm"),0)</f>
        <v>Octubre</v>
      </c>
    </row>
    <row r="462" spans="1:27" x14ac:dyDescent="0.3">
      <c r="A462" s="2">
        <f>IF(Caja_Operativa[[#This Row],[TIPO DE R.]]="R",COUNTIFS($C$1:$C461,"R")+1,"")</f>
        <v>461</v>
      </c>
      <c r="B462" s="19" t="str">
        <f t="shared" ref="B462:B467" si="75">"C-Operativa"</f>
        <v>C-Operativa</v>
      </c>
      <c r="C462" s="3" t="s">
        <v>1330</v>
      </c>
      <c r="D462" s="14">
        <v>45939</v>
      </c>
      <c r="E462" s="5" t="s">
        <v>1338</v>
      </c>
      <c r="F462" s="5" t="s">
        <v>1336</v>
      </c>
      <c r="G462" s="6" t="s">
        <v>798</v>
      </c>
      <c r="H462" s="6"/>
      <c r="I462" s="6"/>
      <c r="J462" s="6"/>
      <c r="K462" s="7" t="s">
        <v>7516</v>
      </c>
      <c r="L462" s="8">
        <v>3027443</v>
      </c>
      <c r="M462" s="8" t="str">
        <f t="shared" ref="M462:M467" si="76">"PEN"</f>
        <v>PEN</v>
      </c>
      <c r="N462" s="13"/>
      <c r="O462" s="13">
        <v>120</v>
      </c>
      <c r="P462" s="3">
        <f t="shared" ref="P462:P467" si="77">+IF(OR($F462="SALDO",$F462="INGRESO"),$O462,0)</f>
        <v>0</v>
      </c>
      <c r="Q462" s="3">
        <f t="shared" ref="Q462:Q467" si="78">+IF($F462="EGRESO",$O462,0)</f>
        <v>120</v>
      </c>
      <c r="R462" s="3">
        <f t="shared" ref="R462:R467" si="79">IFERROR(IF(F462="SALDO",P462,R461+P462-Q462),0)</f>
        <v>1884.2300000000009</v>
      </c>
      <c r="S462" s="24"/>
      <c r="T462" s="24"/>
      <c r="U462" s="55"/>
      <c r="V462" s="25"/>
      <c r="W462" s="25"/>
      <c r="X462" s="25"/>
      <c r="Y462" s="25"/>
      <c r="Z462" s="25"/>
      <c r="AA462" s="3" t="str">
        <f>IF(Caja_Operativa[[#This Row],[FECHA]]&gt;0,TEXT(Caja_Operativa[[#This Row],[FECHA]],"mmmm"),0)</f>
        <v>Octubre</v>
      </c>
    </row>
    <row r="463" spans="1:27" ht="24" x14ac:dyDescent="0.3">
      <c r="A463" s="2">
        <f>IF(Caja_Operativa[[#This Row],[TIPO DE R.]]="R",COUNTIFS($C$1:$C462,"R")+1,"")</f>
        <v>462</v>
      </c>
      <c r="B463" s="19" t="str">
        <f t="shared" si="75"/>
        <v>C-Operativa</v>
      </c>
      <c r="C463" s="3" t="s">
        <v>1330</v>
      </c>
      <c r="D463" s="14">
        <v>45940</v>
      </c>
      <c r="E463" s="5" t="s">
        <v>1338</v>
      </c>
      <c r="F463" s="5" t="s">
        <v>1336</v>
      </c>
      <c r="G463" s="6" t="s">
        <v>1134</v>
      </c>
      <c r="H463" s="6"/>
      <c r="I463" s="6"/>
      <c r="J463" s="6"/>
      <c r="K463" s="7" t="s">
        <v>7516</v>
      </c>
      <c r="L463" s="8">
        <v>453897</v>
      </c>
      <c r="M463" s="8" t="str">
        <f t="shared" si="76"/>
        <v>PEN</v>
      </c>
      <c r="N463" s="13"/>
      <c r="O463" s="13">
        <v>120</v>
      </c>
      <c r="P463" s="3">
        <f t="shared" si="77"/>
        <v>0</v>
      </c>
      <c r="Q463" s="3">
        <f t="shared" si="78"/>
        <v>120</v>
      </c>
      <c r="R463" s="3">
        <f t="shared" si="79"/>
        <v>1764.2300000000009</v>
      </c>
      <c r="S463" s="24"/>
      <c r="T463" s="24"/>
      <c r="U463" s="55"/>
      <c r="V463" s="25"/>
      <c r="W463" s="25"/>
      <c r="X463" s="25"/>
      <c r="Y463" s="25"/>
      <c r="Z463" s="25"/>
      <c r="AA463" s="3" t="str">
        <f>IF(Caja_Operativa[[#This Row],[FECHA]]&gt;0,TEXT(Caja_Operativa[[#This Row],[FECHA]],"mmmm"),0)</f>
        <v>Octubre</v>
      </c>
    </row>
    <row r="464" spans="1:27" ht="24" x14ac:dyDescent="0.3">
      <c r="A464" s="2">
        <f>IF(Caja_Operativa[[#This Row],[TIPO DE R.]]="R",COUNTIFS($C$1:$C463,"R")+1,"")</f>
        <v>463</v>
      </c>
      <c r="B464" s="19" t="str">
        <f t="shared" si="75"/>
        <v>C-Operativa</v>
      </c>
      <c r="C464" s="3" t="s">
        <v>1330</v>
      </c>
      <c r="D464" s="14">
        <v>45940</v>
      </c>
      <c r="E464" s="5" t="s">
        <v>1338</v>
      </c>
      <c r="F464" s="5" t="s">
        <v>1336</v>
      </c>
      <c r="G464" s="6" t="s">
        <v>957</v>
      </c>
      <c r="H464" s="6"/>
      <c r="I464" s="6"/>
      <c r="J464" s="6"/>
      <c r="K464" s="7" t="s">
        <v>7516</v>
      </c>
      <c r="L464" s="8">
        <v>449587</v>
      </c>
      <c r="M464" s="8" t="str">
        <f t="shared" si="76"/>
        <v>PEN</v>
      </c>
      <c r="N464" s="13"/>
      <c r="O464" s="13">
        <v>150</v>
      </c>
      <c r="P464" s="3">
        <f t="shared" si="77"/>
        <v>0</v>
      </c>
      <c r="Q464" s="3">
        <f t="shared" si="78"/>
        <v>150</v>
      </c>
      <c r="R464" s="3">
        <f t="shared" si="79"/>
        <v>1614.2300000000009</v>
      </c>
      <c r="S464" s="24"/>
      <c r="T464" s="24"/>
      <c r="U464" s="55"/>
      <c r="V464" s="25"/>
      <c r="W464" s="25"/>
      <c r="X464" s="25"/>
      <c r="Y464" s="25"/>
      <c r="Z464" s="25"/>
      <c r="AA464" s="3" t="str">
        <f>IF(Caja_Operativa[[#This Row],[FECHA]]&gt;0,TEXT(Caja_Operativa[[#This Row],[FECHA]],"mmmm"),0)</f>
        <v>Octubre</v>
      </c>
    </row>
    <row r="465" spans="1:27" ht="24" x14ac:dyDescent="0.3">
      <c r="A465" s="2">
        <f>IF(Caja_Operativa[[#This Row],[TIPO DE R.]]="R",COUNTIFS($C$1:$C464,"R")+1,"")</f>
        <v>464</v>
      </c>
      <c r="B465" s="19" t="str">
        <f t="shared" si="75"/>
        <v>C-Operativa</v>
      </c>
      <c r="C465" s="3" t="s">
        <v>1330</v>
      </c>
      <c r="D465" s="14">
        <v>45940</v>
      </c>
      <c r="E465" s="5" t="s">
        <v>1338</v>
      </c>
      <c r="F465" s="5" t="s">
        <v>1336</v>
      </c>
      <c r="G465" s="6" t="s">
        <v>1097</v>
      </c>
      <c r="H465" s="6"/>
      <c r="I465" s="6"/>
      <c r="J465" s="6"/>
      <c r="K465" s="7" t="s">
        <v>7748</v>
      </c>
      <c r="L465" s="8">
        <v>3561885</v>
      </c>
      <c r="M465" s="8" t="str">
        <f t="shared" si="76"/>
        <v>PEN</v>
      </c>
      <c r="N465" s="13"/>
      <c r="O465" s="13">
        <v>8.8000000000000007</v>
      </c>
      <c r="P465" s="3">
        <f t="shared" si="77"/>
        <v>0</v>
      </c>
      <c r="Q465" s="3">
        <f t="shared" si="78"/>
        <v>8.8000000000000007</v>
      </c>
      <c r="R465" s="3">
        <f t="shared" si="79"/>
        <v>1605.430000000001</v>
      </c>
      <c r="S465" s="24"/>
      <c r="T465" s="24"/>
      <c r="U465" s="55"/>
      <c r="V465" s="25"/>
      <c r="W465" s="25"/>
      <c r="X465" s="25"/>
      <c r="Y465" s="25"/>
      <c r="Z465" s="25"/>
      <c r="AA465" s="3" t="str">
        <f>IF(Caja_Operativa[[#This Row],[FECHA]]&gt;0,TEXT(Caja_Operativa[[#This Row],[FECHA]],"mmmm"),0)</f>
        <v>Octubre</v>
      </c>
    </row>
    <row r="466" spans="1:27" ht="24" x14ac:dyDescent="0.3">
      <c r="A466" s="2">
        <f>IF(Caja_Operativa[[#This Row],[TIPO DE R.]]="R",COUNTIFS($C$1:$C465,"R")+1,"")</f>
        <v>465</v>
      </c>
      <c r="B466" s="19" t="str">
        <f t="shared" si="75"/>
        <v>C-Operativa</v>
      </c>
      <c r="C466" s="3" t="s">
        <v>1330</v>
      </c>
      <c r="D466" s="14">
        <v>45944</v>
      </c>
      <c r="E466" s="5" t="s">
        <v>1338</v>
      </c>
      <c r="F466" s="5" t="s">
        <v>1336</v>
      </c>
      <c r="G466" s="6" t="s">
        <v>1134</v>
      </c>
      <c r="H466" s="6"/>
      <c r="I466" s="6"/>
      <c r="J466" s="6"/>
      <c r="K466" s="7" t="s">
        <v>7516</v>
      </c>
      <c r="L466" s="8">
        <v>3193052</v>
      </c>
      <c r="M466" s="8" t="str">
        <f t="shared" si="76"/>
        <v>PEN</v>
      </c>
      <c r="N466" s="13"/>
      <c r="O466" s="13">
        <v>120</v>
      </c>
      <c r="P466" s="3">
        <f t="shared" si="77"/>
        <v>0</v>
      </c>
      <c r="Q466" s="3">
        <f t="shared" si="78"/>
        <v>120</v>
      </c>
      <c r="R466" s="3">
        <f t="shared" si="79"/>
        <v>1485.430000000001</v>
      </c>
      <c r="S466" s="24"/>
      <c r="T466" s="24"/>
      <c r="U466" s="55"/>
      <c r="V466" s="25"/>
      <c r="W466" s="25"/>
      <c r="X466" s="25"/>
      <c r="Y466" s="25"/>
      <c r="Z466" s="25"/>
      <c r="AA466" s="3" t="str">
        <f>IF(Caja_Operativa[[#This Row],[FECHA]]&gt;0,TEXT(Caja_Operativa[[#This Row],[FECHA]],"mmmm"),0)</f>
        <v>Octubre</v>
      </c>
    </row>
    <row r="467" spans="1:27" ht="24" x14ac:dyDescent="0.3">
      <c r="A467" s="2">
        <f>IF(Caja_Operativa[[#This Row],[TIPO DE R.]]="R",COUNTIFS($C$1:$C466,"R")+1,"")</f>
        <v>466</v>
      </c>
      <c r="B467" s="19" t="str">
        <f t="shared" si="75"/>
        <v>C-Operativa</v>
      </c>
      <c r="C467" s="3" t="s">
        <v>1330</v>
      </c>
      <c r="D467" s="14">
        <v>45945</v>
      </c>
      <c r="E467" s="5" t="s">
        <v>1338</v>
      </c>
      <c r="F467" s="5" t="s">
        <v>1336</v>
      </c>
      <c r="G467" s="6" t="s">
        <v>857</v>
      </c>
      <c r="H467" s="6"/>
      <c r="I467" s="6"/>
      <c r="J467" s="6"/>
      <c r="K467" s="7" t="s">
        <v>7749</v>
      </c>
      <c r="L467" s="8">
        <v>3704323</v>
      </c>
      <c r="M467" s="8" t="str">
        <f t="shared" si="76"/>
        <v>PEN</v>
      </c>
      <c r="N467" s="13"/>
      <c r="O467" s="13">
        <v>400</v>
      </c>
      <c r="P467" s="3">
        <f t="shared" si="77"/>
        <v>0</v>
      </c>
      <c r="Q467" s="3">
        <f t="shared" si="78"/>
        <v>400</v>
      </c>
      <c r="R467" s="3">
        <f t="shared" si="79"/>
        <v>1085.430000000001</v>
      </c>
      <c r="S467" s="24"/>
      <c r="T467" s="24"/>
      <c r="U467" s="55"/>
      <c r="V467" s="25"/>
      <c r="W467" s="25"/>
      <c r="X467" s="25"/>
      <c r="Y467" s="25"/>
      <c r="Z467" s="25"/>
      <c r="AA467" s="3" t="str">
        <f>IF(Caja_Operativa[[#This Row],[FECHA]]&gt;0,TEXT(Caja_Operativa[[#This Row],[FECHA]],"mmmm"),0)</f>
        <v>Octubre</v>
      </c>
    </row>
    <row r="468" spans="1:27" x14ac:dyDescent="0.3">
      <c r="A468" s="2">
        <f>IF(Caja_Operativa[[#This Row],[TIPO DE R.]]="R",COUNTIFS($C$1:$C467,"R")+1,"")</f>
        <v>467</v>
      </c>
      <c r="B468" s="19" t="str">
        <f t="shared" ref="B468:B473" si="80">"C-Operativa"</f>
        <v>C-Operativa</v>
      </c>
      <c r="C468" s="3" t="s">
        <v>1330</v>
      </c>
      <c r="D468" s="14">
        <v>45946</v>
      </c>
      <c r="E468" s="5" t="s">
        <v>1338</v>
      </c>
      <c r="F468" s="5" t="s">
        <v>1336</v>
      </c>
      <c r="G468" s="6" t="s">
        <v>798</v>
      </c>
      <c r="H468" s="6"/>
      <c r="I468" s="6"/>
      <c r="J468" s="6"/>
      <c r="K468" s="7" t="s">
        <v>7516</v>
      </c>
      <c r="L468" s="8">
        <v>3066175</v>
      </c>
      <c r="M468" s="8" t="str">
        <f t="shared" ref="M468:M473" si="81">"PEN"</f>
        <v>PEN</v>
      </c>
      <c r="N468" s="13"/>
      <c r="O468" s="13">
        <v>120</v>
      </c>
      <c r="P468" s="3">
        <f t="shared" ref="P468:P473" si="82">+IF(OR($F468="SALDO",$F468="INGRESO"),$O468,0)</f>
        <v>0</v>
      </c>
      <c r="Q468" s="3">
        <f t="shared" ref="Q468:Q473" si="83">+IF($F468="EGRESO",$O468,0)</f>
        <v>120</v>
      </c>
      <c r="R468" s="3">
        <f t="shared" ref="R468:R473" si="84">IFERROR(IF(F468="SALDO",P468,R467+P468-Q468),0)</f>
        <v>965.43000000000097</v>
      </c>
      <c r="S468" s="24"/>
      <c r="T468" s="24"/>
      <c r="U468" s="55"/>
      <c r="V468" s="25"/>
      <c r="W468" s="25"/>
      <c r="X468" s="25"/>
      <c r="Y468" s="25"/>
      <c r="Z468" s="25"/>
      <c r="AA468" s="3" t="str">
        <f>IF(Caja_Operativa[[#This Row],[FECHA]]&gt;0,TEXT(Caja_Operativa[[#This Row],[FECHA]],"mmmm"),0)</f>
        <v>Octubre</v>
      </c>
    </row>
    <row r="469" spans="1:27" ht="24" x14ac:dyDescent="0.3">
      <c r="A469" s="2">
        <f>IF(Caja_Operativa[[#This Row],[TIPO DE R.]]="R",COUNTIFS($C$1:$C468,"R")+1,"")</f>
        <v>468</v>
      </c>
      <c r="B469" s="19" t="str">
        <f t="shared" si="80"/>
        <v>C-Operativa</v>
      </c>
      <c r="C469" s="3" t="s">
        <v>1330</v>
      </c>
      <c r="D469" s="14">
        <v>45946</v>
      </c>
      <c r="E469" s="5" t="s">
        <v>1338</v>
      </c>
      <c r="F469" s="5" t="s">
        <v>1336</v>
      </c>
      <c r="G469" s="6" t="s">
        <v>888</v>
      </c>
      <c r="H469" s="6"/>
      <c r="I469" s="6"/>
      <c r="J469" s="6"/>
      <c r="K469" s="7" t="s">
        <v>7516</v>
      </c>
      <c r="L469" s="8">
        <v>3845712</v>
      </c>
      <c r="M469" s="8" t="str">
        <f t="shared" si="81"/>
        <v>PEN</v>
      </c>
      <c r="N469" s="13"/>
      <c r="O469" s="13">
        <v>400</v>
      </c>
      <c r="P469" s="3">
        <f t="shared" si="82"/>
        <v>0</v>
      </c>
      <c r="Q469" s="3">
        <f t="shared" si="83"/>
        <v>400</v>
      </c>
      <c r="R469" s="3">
        <f t="shared" si="84"/>
        <v>565.43000000000097</v>
      </c>
      <c r="S469" s="24"/>
      <c r="T469" s="24"/>
      <c r="U469" s="55"/>
      <c r="V469" s="25"/>
      <c r="W469" s="25"/>
      <c r="X469" s="25"/>
      <c r="Y469" s="25"/>
      <c r="Z469" s="25"/>
      <c r="AA469" s="3" t="str">
        <f>IF(Caja_Operativa[[#This Row],[FECHA]]&gt;0,TEXT(Caja_Operativa[[#This Row],[FECHA]],"mmmm"),0)</f>
        <v>Octubre</v>
      </c>
    </row>
    <row r="470" spans="1:27" x14ac:dyDescent="0.3">
      <c r="A470" s="2">
        <f>IF(Caja_Operativa[[#This Row],[TIPO DE R.]]="R",COUNTIFS($C$1:$C469,"R")+1,"")</f>
        <v>469</v>
      </c>
      <c r="B470" s="19" t="str">
        <f t="shared" si="80"/>
        <v>C-Operativa</v>
      </c>
      <c r="C470" s="3" t="s">
        <v>1330</v>
      </c>
      <c r="D470" s="14">
        <v>45948</v>
      </c>
      <c r="E470" s="5" t="s">
        <v>1338</v>
      </c>
      <c r="F470" s="5" t="s">
        <v>1303</v>
      </c>
      <c r="G470" s="6"/>
      <c r="H470" s="6"/>
      <c r="I470" s="6" t="s">
        <v>7539</v>
      </c>
      <c r="J470" s="6">
        <v>24</v>
      </c>
      <c r="K470" s="7" t="s">
        <v>7540</v>
      </c>
      <c r="L470" s="8">
        <v>3870043</v>
      </c>
      <c r="M470" s="8" t="str">
        <f t="shared" si="81"/>
        <v>PEN</v>
      </c>
      <c r="N470" s="13"/>
      <c r="O470" s="13">
        <v>2000</v>
      </c>
      <c r="P470" s="3">
        <f t="shared" si="82"/>
        <v>2000</v>
      </c>
      <c r="Q470" s="3">
        <f t="shared" si="83"/>
        <v>0</v>
      </c>
      <c r="R470" s="3">
        <f t="shared" si="84"/>
        <v>2565.4300000000012</v>
      </c>
      <c r="S470" s="24"/>
      <c r="T470" s="24"/>
      <c r="U470" s="55"/>
      <c r="V470" s="25"/>
      <c r="W470" s="25"/>
      <c r="X470" s="25"/>
      <c r="Y470" s="25"/>
      <c r="Z470" s="25"/>
      <c r="AA470" s="3" t="str">
        <f>IF(Caja_Operativa[[#This Row],[FECHA]]&gt;0,TEXT(Caja_Operativa[[#This Row],[FECHA]],"mmmm"),0)</f>
        <v>Octubre</v>
      </c>
    </row>
    <row r="471" spans="1:27" ht="24" x14ac:dyDescent="0.3">
      <c r="A471" s="2">
        <f>IF(Caja_Operativa[[#This Row],[TIPO DE R.]]="R",COUNTIFS($C$1:$C470,"R")+1,"")</f>
        <v>470</v>
      </c>
      <c r="B471" s="19" t="str">
        <f t="shared" si="80"/>
        <v>C-Operativa</v>
      </c>
      <c r="C471" s="3" t="s">
        <v>1330</v>
      </c>
      <c r="D471" s="14">
        <v>45950</v>
      </c>
      <c r="E471" s="5" t="s">
        <v>1338</v>
      </c>
      <c r="F471" s="5" t="s">
        <v>1336</v>
      </c>
      <c r="G471" s="6" t="s">
        <v>957</v>
      </c>
      <c r="H471" s="6"/>
      <c r="I471" s="6"/>
      <c r="J471" s="6"/>
      <c r="K471" s="7" t="s">
        <v>7516</v>
      </c>
      <c r="L471" s="8">
        <v>439479</v>
      </c>
      <c r="M471" s="8" t="str">
        <f t="shared" si="81"/>
        <v>PEN</v>
      </c>
      <c r="N471" s="13"/>
      <c r="O471" s="13">
        <v>150</v>
      </c>
      <c r="P471" s="3">
        <f t="shared" si="82"/>
        <v>0</v>
      </c>
      <c r="Q471" s="3">
        <f t="shared" si="83"/>
        <v>150</v>
      </c>
      <c r="R471" s="3">
        <f t="shared" si="84"/>
        <v>2415.4300000000012</v>
      </c>
      <c r="S471" s="24"/>
      <c r="T471" s="24"/>
      <c r="U471" s="55"/>
      <c r="V471" s="25"/>
      <c r="W471" s="25"/>
      <c r="X471" s="25"/>
      <c r="Y471" s="25"/>
      <c r="Z471" s="25"/>
      <c r="AA471" s="3" t="str">
        <f>IF(Caja_Operativa[[#This Row],[FECHA]]&gt;0,TEXT(Caja_Operativa[[#This Row],[FECHA]],"mmmm"),0)</f>
        <v>Octubre</v>
      </c>
    </row>
    <row r="472" spans="1:27" ht="24" x14ac:dyDescent="0.3">
      <c r="A472" s="2">
        <f>IF(Caja_Operativa[[#This Row],[TIPO DE R.]]="R",COUNTIFS($C$1:$C471,"R")+1,"")</f>
        <v>471</v>
      </c>
      <c r="B472" s="19" t="str">
        <f t="shared" si="80"/>
        <v>C-Operativa</v>
      </c>
      <c r="C472" s="3" t="s">
        <v>1330</v>
      </c>
      <c r="D472" s="14">
        <v>45952</v>
      </c>
      <c r="E472" s="5" t="s">
        <v>1338</v>
      </c>
      <c r="F472" s="5" t="s">
        <v>1336</v>
      </c>
      <c r="G472" s="6" t="s">
        <v>888</v>
      </c>
      <c r="H472" s="6"/>
      <c r="I472" s="6"/>
      <c r="J472" s="6"/>
      <c r="K472" s="7" t="s">
        <v>7516</v>
      </c>
      <c r="L472" s="8">
        <v>1407749</v>
      </c>
      <c r="M472" s="8" t="str">
        <f t="shared" si="81"/>
        <v>PEN</v>
      </c>
      <c r="N472" s="13"/>
      <c r="O472" s="13">
        <v>120</v>
      </c>
      <c r="P472" s="3">
        <f t="shared" si="82"/>
        <v>0</v>
      </c>
      <c r="Q472" s="3">
        <f t="shared" si="83"/>
        <v>120</v>
      </c>
      <c r="R472" s="3">
        <f t="shared" si="84"/>
        <v>2295.4300000000012</v>
      </c>
      <c r="S472" s="24"/>
      <c r="T472" s="24"/>
      <c r="U472" s="55"/>
      <c r="V472" s="25"/>
      <c r="W472" s="25"/>
      <c r="X472" s="25"/>
      <c r="Y472" s="25"/>
      <c r="Z472" s="25"/>
      <c r="AA472" s="3" t="str">
        <f>IF(Caja_Operativa[[#This Row],[FECHA]]&gt;0,TEXT(Caja_Operativa[[#This Row],[FECHA]],"mmmm"),0)</f>
        <v>Octubre</v>
      </c>
    </row>
    <row r="473" spans="1:27" x14ac:dyDescent="0.3">
      <c r="A473" s="2">
        <f>IF(Caja_Operativa[[#This Row],[TIPO DE R.]]="R",COUNTIFS($C$1:$C472,"R")+1,"")</f>
        <v>472</v>
      </c>
      <c r="B473" s="19" t="str">
        <f t="shared" si="80"/>
        <v>C-Operativa</v>
      </c>
      <c r="C473" s="3" t="s">
        <v>1330</v>
      </c>
      <c r="D473" s="14">
        <v>45952</v>
      </c>
      <c r="E473" s="5" t="s">
        <v>1338</v>
      </c>
      <c r="F473" s="5" t="s">
        <v>1336</v>
      </c>
      <c r="G473" s="6" t="s">
        <v>876</v>
      </c>
      <c r="H473" s="6"/>
      <c r="I473" s="6"/>
      <c r="J473" s="6"/>
      <c r="K473" s="7" t="s">
        <v>7750</v>
      </c>
      <c r="L473" s="8">
        <v>3116779</v>
      </c>
      <c r="M473" s="8" t="str">
        <f t="shared" si="81"/>
        <v>PEN</v>
      </c>
      <c r="N473" s="13"/>
      <c r="O473" s="13">
        <v>120</v>
      </c>
      <c r="P473" s="3">
        <f t="shared" si="82"/>
        <v>0</v>
      </c>
      <c r="Q473" s="3">
        <f t="shared" si="83"/>
        <v>120</v>
      </c>
      <c r="R473" s="3">
        <f t="shared" si="84"/>
        <v>2175.4300000000012</v>
      </c>
      <c r="S473" s="24"/>
      <c r="T473" s="24"/>
      <c r="U473" s="55"/>
      <c r="V473" s="25"/>
      <c r="W473" s="25"/>
      <c r="X473" s="25"/>
      <c r="Y473" s="25"/>
      <c r="Z473" s="25"/>
      <c r="AA473" s="3" t="str">
        <f>IF(Caja_Operativa[[#This Row],[FECHA]]&gt;0,TEXT(Caja_Operativa[[#This Row],[FECHA]],"mmmm"),0)</f>
        <v>Octubre</v>
      </c>
    </row>
    <row r="474" spans="1:27" x14ac:dyDescent="0.3">
      <c r="A474" s="2">
        <f>IF(Caja_Operativa[[#This Row],[TIPO DE R.]]="R",COUNTIFS($C$1:$C473,"R")+1,"")</f>
        <v>473</v>
      </c>
      <c r="B474" s="19" t="str">
        <f t="shared" ref="B474:B481" si="85">"C-Operativa"</f>
        <v>C-Operativa</v>
      </c>
      <c r="C474" s="3" t="s">
        <v>1330</v>
      </c>
      <c r="D474" s="14">
        <v>45952</v>
      </c>
      <c r="E474" s="5" t="s">
        <v>1338</v>
      </c>
      <c r="F474" s="5" t="s">
        <v>1336</v>
      </c>
      <c r="G474" s="6" t="s">
        <v>798</v>
      </c>
      <c r="H474" s="6"/>
      <c r="I474" s="6"/>
      <c r="J474" s="6"/>
      <c r="K474" s="7" t="s">
        <v>7516</v>
      </c>
      <c r="L474" s="8">
        <v>3660471</v>
      </c>
      <c r="M474" s="8" t="str">
        <f t="shared" ref="M474:M481" si="86">"PEN"</f>
        <v>PEN</v>
      </c>
      <c r="N474" s="13"/>
      <c r="O474" s="13">
        <v>120</v>
      </c>
      <c r="P474" s="3">
        <f t="shared" ref="P474:P481" si="87">+IF(OR($F474="SALDO",$F474="INGRESO"),$O474,0)</f>
        <v>0</v>
      </c>
      <c r="Q474" s="3">
        <f t="shared" ref="Q474:Q481" si="88">+IF($F474="EGRESO",$O474,0)</f>
        <v>120</v>
      </c>
      <c r="R474" s="3">
        <f t="shared" ref="R474:R481" si="89">IFERROR(IF(F474="SALDO",P474,R473+P474-Q474),0)</f>
        <v>2055.4300000000012</v>
      </c>
      <c r="S474" s="24"/>
      <c r="T474" s="24"/>
      <c r="U474" s="55"/>
      <c r="V474" s="25"/>
      <c r="W474" s="25"/>
      <c r="X474" s="25"/>
      <c r="Y474" s="25"/>
      <c r="Z474" s="25"/>
      <c r="AA474" s="3" t="str">
        <f>IF(Caja_Operativa[[#This Row],[FECHA]]&gt;0,TEXT(Caja_Operativa[[#This Row],[FECHA]],"mmmm"),0)</f>
        <v>Octubre</v>
      </c>
    </row>
    <row r="475" spans="1:27" ht="24" x14ac:dyDescent="0.3">
      <c r="A475" s="2">
        <f>IF(Caja_Operativa[[#This Row],[TIPO DE R.]]="R",COUNTIFS($C$1:$C474,"R")+1,"")</f>
        <v>474</v>
      </c>
      <c r="B475" s="19" t="str">
        <f t="shared" si="85"/>
        <v>C-Operativa</v>
      </c>
      <c r="C475" s="3" t="s">
        <v>1330</v>
      </c>
      <c r="D475" s="14">
        <v>45954</v>
      </c>
      <c r="E475" s="5" t="s">
        <v>1338</v>
      </c>
      <c r="F475" s="5" t="s">
        <v>1336</v>
      </c>
      <c r="G475" s="6" t="s">
        <v>857</v>
      </c>
      <c r="H475" s="6"/>
      <c r="I475" s="6"/>
      <c r="J475" s="6"/>
      <c r="K475" s="7" t="s">
        <v>7751</v>
      </c>
      <c r="L475" s="8">
        <v>1162915</v>
      </c>
      <c r="M475" s="8" t="str">
        <f t="shared" si="86"/>
        <v>PEN</v>
      </c>
      <c r="N475" s="13"/>
      <c r="O475" s="13">
        <v>707</v>
      </c>
      <c r="P475" s="3">
        <f t="shared" si="87"/>
        <v>0</v>
      </c>
      <c r="Q475" s="3">
        <f t="shared" si="88"/>
        <v>707</v>
      </c>
      <c r="R475" s="3">
        <f t="shared" si="89"/>
        <v>1348.4300000000012</v>
      </c>
      <c r="S475" s="24"/>
      <c r="T475" s="24"/>
      <c r="U475" s="55"/>
      <c r="V475" s="25"/>
      <c r="W475" s="25"/>
      <c r="X475" s="25"/>
      <c r="Y475" s="25"/>
      <c r="Z475" s="25"/>
      <c r="AA475" s="3" t="str">
        <f>IF(Caja_Operativa[[#This Row],[FECHA]]&gt;0,TEXT(Caja_Operativa[[#This Row],[FECHA]],"mmmm"),0)</f>
        <v>Octubre</v>
      </c>
    </row>
    <row r="476" spans="1:27" ht="36" x14ac:dyDescent="0.3">
      <c r="A476" s="2">
        <f>IF(Caja_Operativa[[#This Row],[TIPO DE R.]]="R",COUNTIFS($C$1:$C475,"R")+1,"")</f>
        <v>475</v>
      </c>
      <c r="B476" s="19" t="str">
        <f t="shared" si="85"/>
        <v>C-Operativa</v>
      </c>
      <c r="C476" s="3" t="s">
        <v>1330</v>
      </c>
      <c r="D476" s="14">
        <v>45954</v>
      </c>
      <c r="E476" s="5" t="s">
        <v>1338</v>
      </c>
      <c r="F476" s="5" t="s">
        <v>1336</v>
      </c>
      <c r="G476" s="6" t="s">
        <v>245</v>
      </c>
      <c r="H476" s="6"/>
      <c r="I476" s="6"/>
      <c r="J476" s="6"/>
      <c r="K476" s="7" t="s">
        <v>7752</v>
      </c>
      <c r="L476" s="8">
        <v>1186236</v>
      </c>
      <c r="M476" s="8" t="str">
        <f t="shared" si="86"/>
        <v>PEN</v>
      </c>
      <c r="N476" s="13"/>
      <c r="O476" s="13">
        <v>370</v>
      </c>
      <c r="P476" s="3">
        <f t="shared" si="87"/>
        <v>0</v>
      </c>
      <c r="Q476" s="3">
        <f t="shared" si="88"/>
        <v>370</v>
      </c>
      <c r="R476" s="3">
        <f t="shared" si="89"/>
        <v>978.4300000000012</v>
      </c>
      <c r="S476" s="24"/>
      <c r="T476" s="24"/>
      <c r="U476" s="55"/>
      <c r="V476" s="25"/>
      <c r="W476" s="25"/>
      <c r="X476" s="25"/>
      <c r="Y476" s="25"/>
      <c r="Z476" s="25"/>
      <c r="AA476" s="3" t="str">
        <f>IF(Caja_Operativa[[#This Row],[FECHA]]&gt;0,TEXT(Caja_Operativa[[#This Row],[FECHA]],"mmmm"),0)</f>
        <v>Octubre</v>
      </c>
    </row>
    <row r="477" spans="1:27" ht="24" x14ac:dyDescent="0.3">
      <c r="A477" s="2">
        <f>IF(Caja_Operativa[[#This Row],[TIPO DE R.]]="R",COUNTIFS($C$1:$C476,"R")+1,"")</f>
        <v>476</v>
      </c>
      <c r="B477" s="19" t="str">
        <f t="shared" si="85"/>
        <v>C-Operativa</v>
      </c>
      <c r="C477" s="3" t="s">
        <v>1330</v>
      </c>
      <c r="D477" s="14">
        <v>45954</v>
      </c>
      <c r="E477" s="5" t="s">
        <v>1338</v>
      </c>
      <c r="F477" s="5" t="s">
        <v>1336</v>
      </c>
      <c r="G477" s="6" t="s">
        <v>888</v>
      </c>
      <c r="H477" s="6"/>
      <c r="I477" s="6"/>
      <c r="J477" s="6"/>
      <c r="K477" s="7" t="s">
        <v>7516</v>
      </c>
      <c r="L477" s="8">
        <v>1188543</v>
      </c>
      <c r="M477" s="8" t="str">
        <f t="shared" si="86"/>
        <v>PEN</v>
      </c>
      <c r="N477" s="13"/>
      <c r="O477" s="13">
        <v>150</v>
      </c>
      <c r="P477" s="3">
        <f t="shared" si="87"/>
        <v>0</v>
      </c>
      <c r="Q477" s="3">
        <f t="shared" si="88"/>
        <v>150</v>
      </c>
      <c r="R477" s="3">
        <f t="shared" si="89"/>
        <v>828.4300000000012</v>
      </c>
      <c r="S477" s="24"/>
      <c r="T477" s="24"/>
      <c r="U477" s="55"/>
      <c r="V477" s="25"/>
      <c r="W477" s="25"/>
      <c r="X477" s="25"/>
      <c r="Y477" s="25"/>
      <c r="Z477" s="25"/>
      <c r="AA477" s="3" t="str">
        <f>IF(Caja_Operativa[[#This Row],[FECHA]]&gt;0,TEXT(Caja_Operativa[[#This Row],[FECHA]],"mmmm"),0)</f>
        <v>Octubre</v>
      </c>
    </row>
    <row r="478" spans="1:27" x14ac:dyDescent="0.3">
      <c r="A478" s="2">
        <f>IF(Caja_Operativa[[#This Row],[TIPO DE R.]]="R",COUNTIFS($C$1:$C477,"R")+1,"")</f>
        <v>477</v>
      </c>
      <c r="B478" s="19" t="str">
        <f t="shared" si="85"/>
        <v>C-Operativa</v>
      </c>
      <c r="C478" s="3" t="s">
        <v>1330</v>
      </c>
      <c r="D478" s="14">
        <v>45954</v>
      </c>
      <c r="E478" s="5" t="s">
        <v>1338</v>
      </c>
      <c r="F478" s="5" t="s">
        <v>1303</v>
      </c>
      <c r="G478" s="6"/>
      <c r="H478" s="6"/>
      <c r="I478" s="6" t="s">
        <v>7539</v>
      </c>
      <c r="J478" s="6">
        <v>25</v>
      </c>
      <c r="K478" s="7" t="s">
        <v>7540</v>
      </c>
      <c r="L478" s="8">
        <v>5132631</v>
      </c>
      <c r="M478" s="8" t="str">
        <f t="shared" si="86"/>
        <v>PEN</v>
      </c>
      <c r="N478" s="13"/>
      <c r="O478" s="13">
        <v>3000</v>
      </c>
      <c r="P478" s="3">
        <f t="shared" si="87"/>
        <v>3000</v>
      </c>
      <c r="Q478" s="3">
        <f t="shared" si="88"/>
        <v>0</v>
      </c>
      <c r="R478" s="3">
        <f t="shared" si="89"/>
        <v>3828.4300000000012</v>
      </c>
      <c r="S478" s="24"/>
      <c r="T478" s="24"/>
      <c r="U478" s="55"/>
      <c r="V478" s="25"/>
      <c r="W478" s="25"/>
      <c r="X478" s="25"/>
      <c r="Y478" s="25"/>
      <c r="Z478" s="25"/>
      <c r="AA478" s="3" t="str">
        <f>IF(Caja_Operativa[[#This Row],[FECHA]]&gt;0,TEXT(Caja_Operativa[[#This Row],[FECHA]],"mmmm"),0)</f>
        <v>Octubre</v>
      </c>
    </row>
    <row r="479" spans="1:27" x14ac:dyDescent="0.3">
      <c r="A479" s="2">
        <f>IF(Caja_Operativa[[#This Row],[TIPO DE R.]]="R",COUNTIFS($C$1:$C478,"R")+1,"")</f>
        <v>478</v>
      </c>
      <c r="B479" s="19" t="str">
        <f t="shared" si="85"/>
        <v>C-Operativa</v>
      </c>
      <c r="C479" s="3" t="s">
        <v>1330</v>
      </c>
      <c r="D479" s="14">
        <v>45957</v>
      </c>
      <c r="E479" s="5" t="s">
        <v>1338</v>
      </c>
      <c r="F479" s="5" t="s">
        <v>1336</v>
      </c>
      <c r="G479" s="6" t="s">
        <v>798</v>
      </c>
      <c r="H479" s="6"/>
      <c r="I479" s="6"/>
      <c r="J479" s="6"/>
      <c r="K479" s="7" t="s">
        <v>7516</v>
      </c>
      <c r="L479" s="8">
        <v>4098127</v>
      </c>
      <c r="M479" s="8" t="str">
        <f t="shared" si="86"/>
        <v>PEN</v>
      </c>
      <c r="N479" s="13"/>
      <c r="O479" s="13">
        <v>120</v>
      </c>
      <c r="P479" s="3">
        <f t="shared" si="87"/>
        <v>0</v>
      </c>
      <c r="Q479" s="3">
        <f t="shared" si="88"/>
        <v>120</v>
      </c>
      <c r="R479" s="3">
        <f t="shared" si="89"/>
        <v>3708.4300000000012</v>
      </c>
      <c r="S479" s="24"/>
      <c r="T479" s="24"/>
      <c r="U479" s="55"/>
      <c r="V479" s="25"/>
      <c r="W479" s="25"/>
      <c r="X479" s="25"/>
      <c r="Y479" s="25"/>
      <c r="Z479" s="25"/>
      <c r="AA479" s="3" t="str">
        <f>IF(Caja_Operativa[[#This Row],[FECHA]]&gt;0,TEXT(Caja_Operativa[[#This Row],[FECHA]],"mmmm"),0)</f>
        <v>Octubre</v>
      </c>
    </row>
    <row r="480" spans="1:27" ht="24" x14ac:dyDescent="0.3">
      <c r="A480" s="2">
        <f>IF(Caja_Operativa[[#This Row],[TIPO DE R.]]="R",COUNTIFS($C$1:$C479,"R")+1,"")</f>
        <v>479</v>
      </c>
      <c r="B480" s="19" t="str">
        <f t="shared" si="85"/>
        <v>C-Operativa</v>
      </c>
      <c r="C480" s="3" t="s">
        <v>1330</v>
      </c>
      <c r="D480" s="14">
        <v>45958</v>
      </c>
      <c r="E480" s="5" t="s">
        <v>1338</v>
      </c>
      <c r="F480" s="5" t="s">
        <v>1336</v>
      </c>
      <c r="G480" s="6" t="s">
        <v>1134</v>
      </c>
      <c r="H480" s="6"/>
      <c r="I480" s="6"/>
      <c r="J480" s="6"/>
      <c r="K480" s="7" t="s">
        <v>7516</v>
      </c>
      <c r="L480" s="8">
        <v>556039</v>
      </c>
      <c r="M480" s="8" t="str">
        <f t="shared" si="86"/>
        <v>PEN</v>
      </c>
      <c r="N480" s="13"/>
      <c r="O480" s="13">
        <v>120</v>
      </c>
      <c r="P480" s="3">
        <f t="shared" si="87"/>
        <v>0</v>
      </c>
      <c r="Q480" s="3">
        <f t="shared" si="88"/>
        <v>120</v>
      </c>
      <c r="R480" s="3">
        <f t="shared" si="89"/>
        <v>3588.4300000000012</v>
      </c>
      <c r="S480" s="24"/>
      <c r="T480" s="24"/>
      <c r="U480" s="55"/>
      <c r="V480" s="25"/>
      <c r="W480" s="25"/>
      <c r="X480" s="25"/>
      <c r="Y480" s="25"/>
      <c r="Z480" s="25"/>
      <c r="AA480" s="3" t="str">
        <f>IF(Caja_Operativa[[#This Row],[FECHA]]&gt;0,TEXT(Caja_Operativa[[#This Row],[FECHA]],"mmmm"),0)</f>
        <v>Octubre</v>
      </c>
    </row>
    <row r="481" spans="1:27" ht="24" x14ac:dyDescent="0.3">
      <c r="A481" s="2">
        <f>IF(Caja_Operativa[[#This Row],[TIPO DE R.]]="R",COUNTIFS($C$1:$C480,"R")+1,"")</f>
        <v>480</v>
      </c>
      <c r="B481" s="19" t="str">
        <f t="shared" si="85"/>
        <v>C-Operativa</v>
      </c>
      <c r="C481" s="3" t="s">
        <v>1330</v>
      </c>
      <c r="D481" s="14">
        <v>45958</v>
      </c>
      <c r="E481" s="5" t="s">
        <v>1338</v>
      </c>
      <c r="F481" s="5" t="s">
        <v>1336</v>
      </c>
      <c r="G481" s="6" t="s">
        <v>857</v>
      </c>
      <c r="H481" s="6"/>
      <c r="I481" s="6"/>
      <c r="J481" s="6"/>
      <c r="K481" s="7" t="s">
        <v>7749</v>
      </c>
      <c r="L481" s="8">
        <v>557364</v>
      </c>
      <c r="M481" s="8" t="str">
        <f t="shared" si="86"/>
        <v>PEN</v>
      </c>
      <c r="N481" s="13"/>
      <c r="O481" s="13">
        <v>400</v>
      </c>
      <c r="P481" s="3">
        <f t="shared" si="87"/>
        <v>0</v>
      </c>
      <c r="Q481" s="3">
        <f t="shared" si="88"/>
        <v>400</v>
      </c>
      <c r="R481" s="3">
        <f t="shared" si="89"/>
        <v>3188.4300000000012</v>
      </c>
      <c r="S481" s="24"/>
      <c r="T481" s="24"/>
      <c r="U481" s="55"/>
      <c r="V481" s="25"/>
      <c r="W481" s="25"/>
      <c r="X481" s="25"/>
      <c r="Y481" s="25"/>
      <c r="Z481" s="25"/>
      <c r="AA481" s="3" t="str">
        <f>IF(Caja_Operativa[[#This Row],[FECHA]]&gt;0,TEXT(Caja_Operativa[[#This Row],[FECHA]],"mmmm"),0)</f>
        <v>Octubre</v>
      </c>
    </row>
    <row r="482" spans="1:27" x14ac:dyDescent="0.3">
      <c r="A482" s="2">
        <f>IF(Caja_Operativa[[#This Row],[TIPO DE R.]]="R",COUNTIFS($C$1:$C481,"R")+1,"")</f>
        <v>481</v>
      </c>
      <c r="B482" s="19" t="str">
        <f t="shared" ref="B482:B487" si="90">"C-Operativa"</f>
        <v>C-Operativa</v>
      </c>
      <c r="C482" s="3" t="s">
        <v>1330</v>
      </c>
      <c r="D482" s="14">
        <v>45961</v>
      </c>
      <c r="E482" s="5" t="s">
        <v>1338</v>
      </c>
      <c r="F482" s="5" t="s">
        <v>1336</v>
      </c>
      <c r="G482" s="6" t="s">
        <v>876</v>
      </c>
      <c r="H482" s="6"/>
      <c r="I482" s="6"/>
      <c r="J482" s="6"/>
      <c r="K482" s="7" t="s">
        <v>7516</v>
      </c>
      <c r="L482" s="8">
        <v>2095106</v>
      </c>
      <c r="M482" s="8" t="str">
        <f t="shared" ref="M482:M487" si="91">"PEN"</f>
        <v>PEN</v>
      </c>
      <c r="N482" s="13"/>
      <c r="O482" s="13">
        <v>150</v>
      </c>
      <c r="P482" s="3">
        <f t="shared" ref="P482:P487" si="92">+IF(OR($F482="SALDO",$F482="INGRESO"),$O482,0)</f>
        <v>0</v>
      </c>
      <c r="Q482" s="3">
        <f t="shared" ref="Q482:Q487" si="93">+IF($F482="EGRESO",$O482,0)</f>
        <v>150</v>
      </c>
      <c r="R482" s="3">
        <f t="shared" ref="R482:R487" si="94">IFERROR(IF(F482="SALDO",P482,R481+P482-Q482),0)</f>
        <v>3038.4300000000012</v>
      </c>
      <c r="S482" s="24"/>
      <c r="T482" s="24"/>
      <c r="U482" s="55"/>
      <c r="V482" s="25"/>
      <c r="W482" s="25"/>
      <c r="X482" s="25"/>
      <c r="Y482" s="25"/>
      <c r="Z482" s="25"/>
      <c r="AA482" s="3" t="str">
        <f>IF(Caja_Operativa[[#This Row],[FECHA]]&gt;0,TEXT(Caja_Operativa[[#This Row],[FECHA]],"mmmm"),0)</f>
        <v>Octubre</v>
      </c>
    </row>
    <row r="483" spans="1:27" ht="24" x14ac:dyDescent="0.3">
      <c r="A483" s="2">
        <f>IF(Caja_Operativa[[#This Row],[TIPO DE R.]]="R",COUNTIFS($C$1:$C482,"R")+1,"")</f>
        <v>482</v>
      </c>
      <c r="B483" s="19" t="str">
        <f t="shared" si="90"/>
        <v>C-Operativa</v>
      </c>
      <c r="C483" s="3" t="s">
        <v>1330</v>
      </c>
      <c r="D483" s="14">
        <v>45964</v>
      </c>
      <c r="E483" s="5" t="s">
        <v>1338</v>
      </c>
      <c r="F483" s="5" t="s">
        <v>1336</v>
      </c>
      <c r="G483" s="6" t="s">
        <v>857</v>
      </c>
      <c r="H483" s="6"/>
      <c r="I483" s="6"/>
      <c r="J483" s="6"/>
      <c r="K483" s="7" t="s">
        <v>7749</v>
      </c>
      <c r="L483" s="8">
        <v>3683459</v>
      </c>
      <c r="M483" s="8" t="str">
        <f t="shared" si="91"/>
        <v>PEN</v>
      </c>
      <c r="N483" s="13"/>
      <c r="O483" s="13">
        <v>250</v>
      </c>
      <c r="P483" s="3">
        <f t="shared" si="92"/>
        <v>0</v>
      </c>
      <c r="Q483" s="3">
        <f t="shared" si="93"/>
        <v>250</v>
      </c>
      <c r="R483" s="3">
        <f t="shared" si="94"/>
        <v>2788.4300000000012</v>
      </c>
      <c r="S483" s="24"/>
      <c r="T483" s="24"/>
      <c r="U483" s="55"/>
      <c r="V483" s="25"/>
      <c r="W483" s="25"/>
      <c r="X483" s="25"/>
      <c r="Y483" s="25"/>
      <c r="Z483" s="25"/>
      <c r="AA483" s="3" t="str">
        <f>IF(Caja_Operativa[[#This Row],[FECHA]]&gt;0,TEXT(Caja_Operativa[[#This Row],[FECHA]],"mmmm"),0)</f>
        <v>Noviembre</v>
      </c>
    </row>
    <row r="484" spans="1:27" ht="24" x14ac:dyDescent="0.3">
      <c r="A484" s="2">
        <f>IF(Caja_Operativa[[#This Row],[TIPO DE R.]]="R",COUNTIFS($C$1:$C483,"R")+1,"")</f>
        <v>483</v>
      </c>
      <c r="B484" s="19" t="str">
        <f t="shared" si="90"/>
        <v>C-Operativa</v>
      </c>
      <c r="C484" s="3" t="s">
        <v>1330</v>
      </c>
      <c r="D484" s="14">
        <v>45966</v>
      </c>
      <c r="E484" s="5" t="s">
        <v>1338</v>
      </c>
      <c r="F484" s="5" t="s">
        <v>1336</v>
      </c>
      <c r="G484" s="6" t="s">
        <v>922</v>
      </c>
      <c r="H484" s="6"/>
      <c r="I484" s="6"/>
      <c r="J484" s="6"/>
      <c r="K484" s="7" t="s">
        <v>7749</v>
      </c>
      <c r="L484" s="8">
        <v>1239460</v>
      </c>
      <c r="M484" s="8" t="str">
        <f t="shared" si="91"/>
        <v>PEN</v>
      </c>
      <c r="N484" s="13"/>
      <c r="O484" s="13">
        <v>1200</v>
      </c>
      <c r="P484" s="3">
        <f t="shared" si="92"/>
        <v>0</v>
      </c>
      <c r="Q484" s="3">
        <f t="shared" si="93"/>
        <v>1200</v>
      </c>
      <c r="R484" s="3">
        <f t="shared" si="94"/>
        <v>1588.4300000000012</v>
      </c>
      <c r="S484" s="24"/>
      <c r="T484" s="24"/>
      <c r="U484" s="55"/>
      <c r="V484" s="25"/>
      <c r="W484" s="25"/>
      <c r="X484" s="25"/>
      <c r="Y484" s="25"/>
      <c r="Z484" s="25"/>
      <c r="AA484" s="3" t="str">
        <f>IF(Caja_Operativa[[#This Row],[FECHA]]&gt;0,TEXT(Caja_Operativa[[#This Row],[FECHA]],"mmmm"),0)</f>
        <v>Noviembre</v>
      </c>
    </row>
    <row r="485" spans="1:27" x14ac:dyDescent="0.3">
      <c r="A485" s="2">
        <f>IF(Caja_Operativa[[#This Row],[TIPO DE R.]]="R",COUNTIFS($C$1:$C484,"R")+1,"")</f>
        <v>484</v>
      </c>
      <c r="B485" s="19" t="str">
        <f t="shared" si="90"/>
        <v>C-Operativa</v>
      </c>
      <c r="C485" s="3" t="s">
        <v>1330</v>
      </c>
      <c r="D485" s="14">
        <v>45966</v>
      </c>
      <c r="E485" s="5"/>
      <c r="F485" s="5" t="s">
        <v>1336</v>
      </c>
      <c r="G485" s="6"/>
      <c r="H485" s="6"/>
      <c r="I485" s="6"/>
      <c r="J485" s="6"/>
      <c r="K485" s="7" t="s">
        <v>5061</v>
      </c>
      <c r="L485" s="8"/>
      <c r="M485" s="8" t="str">
        <f t="shared" si="91"/>
        <v>PEN</v>
      </c>
      <c r="N485" s="13"/>
      <c r="O485" s="13">
        <v>0.05</v>
      </c>
      <c r="P485" s="3">
        <f t="shared" si="92"/>
        <v>0</v>
      </c>
      <c r="Q485" s="3">
        <f t="shared" si="93"/>
        <v>0.05</v>
      </c>
      <c r="R485" s="3">
        <f t="shared" si="94"/>
        <v>1588.3800000000012</v>
      </c>
      <c r="S485" s="24"/>
      <c r="T485" s="24"/>
      <c r="U485" s="55"/>
      <c r="V485" s="25"/>
      <c r="W485" s="25"/>
      <c r="X485" s="25"/>
      <c r="Y485" s="25"/>
      <c r="Z485" s="25"/>
      <c r="AA485" s="3" t="str">
        <f>IF(Caja_Operativa[[#This Row],[FECHA]]&gt;0,TEXT(Caja_Operativa[[#This Row],[FECHA]],"mmmm"),0)</f>
        <v>Noviembre</v>
      </c>
    </row>
    <row r="486" spans="1:27" ht="24" x14ac:dyDescent="0.3">
      <c r="A486" s="2">
        <f>IF(Caja_Operativa[[#This Row],[TIPO DE R.]]="R",COUNTIFS($C$1:$C485,"R")+1,"")</f>
        <v>485</v>
      </c>
      <c r="B486" s="19" t="str">
        <f t="shared" si="90"/>
        <v>C-Operativa</v>
      </c>
      <c r="C486" s="3" t="s">
        <v>1330</v>
      </c>
      <c r="D486" s="14">
        <v>45968</v>
      </c>
      <c r="E486" s="5" t="s">
        <v>1338</v>
      </c>
      <c r="F486" s="5" t="s">
        <v>1336</v>
      </c>
      <c r="G486" s="6" t="s">
        <v>957</v>
      </c>
      <c r="H486" s="6"/>
      <c r="I486" s="6"/>
      <c r="J486" s="6"/>
      <c r="K486" s="7" t="s">
        <v>7516</v>
      </c>
      <c r="L486" s="8">
        <v>716170</v>
      </c>
      <c r="M486" s="8" t="str">
        <f t="shared" si="91"/>
        <v>PEN</v>
      </c>
      <c r="N486" s="13"/>
      <c r="O486" s="13">
        <v>150</v>
      </c>
      <c r="P486" s="3">
        <f t="shared" si="92"/>
        <v>0</v>
      </c>
      <c r="Q486" s="3">
        <f t="shared" si="93"/>
        <v>150</v>
      </c>
      <c r="R486" s="3">
        <f t="shared" si="94"/>
        <v>1438.3800000000012</v>
      </c>
      <c r="S486" s="24"/>
      <c r="T486" s="24"/>
      <c r="U486" s="55"/>
      <c r="V486" s="25"/>
      <c r="W486" s="25"/>
      <c r="X486" s="25"/>
      <c r="Y486" s="25"/>
      <c r="Z486" s="25"/>
      <c r="AA486" s="3" t="str">
        <f>IF(Caja_Operativa[[#This Row],[FECHA]]&gt;0,TEXT(Caja_Operativa[[#This Row],[FECHA]],"mmmm"),0)</f>
        <v>Noviembre</v>
      </c>
    </row>
    <row r="487" spans="1:27" x14ac:dyDescent="0.3">
      <c r="A487" s="2">
        <f>IF(Caja_Operativa[[#This Row],[TIPO DE R.]]="R",COUNTIFS($C$1:$C486,"R")+1,"")</f>
        <v>486</v>
      </c>
      <c r="B487" s="19" t="str">
        <f t="shared" si="90"/>
        <v>C-Operativa</v>
      </c>
      <c r="C487" s="3" t="s">
        <v>1330</v>
      </c>
      <c r="D487" s="14">
        <v>45968</v>
      </c>
      <c r="E487" s="5" t="s">
        <v>1338</v>
      </c>
      <c r="F487" s="5" t="s">
        <v>1336</v>
      </c>
      <c r="G487" s="6" t="s">
        <v>876</v>
      </c>
      <c r="H487" s="6"/>
      <c r="I487" s="6"/>
      <c r="J487" s="6"/>
      <c r="K487" s="7" t="s">
        <v>7749</v>
      </c>
      <c r="L487" s="8">
        <v>3278629</v>
      </c>
      <c r="M487" s="8" t="str">
        <f t="shared" si="91"/>
        <v>PEN</v>
      </c>
      <c r="N487" s="13"/>
      <c r="O487" s="13">
        <v>800</v>
      </c>
      <c r="P487" s="3">
        <f t="shared" si="92"/>
        <v>0</v>
      </c>
      <c r="Q487" s="3">
        <f t="shared" si="93"/>
        <v>800</v>
      </c>
      <c r="R487" s="3">
        <f t="shared" si="94"/>
        <v>638.38000000000125</v>
      </c>
      <c r="S487" s="24"/>
      <c r="T487" s="24"/>
      <c r="U487" s="55"/>
      <c r="V487" s="25"/>
      <c r="W487" s="25"/>
      <c r="X487" s="25"/>
      <c r="Y487" s="25"/>
      <c r="Z487" s="25"/>
      <c r="AA487" s="3" t="str">
        <f>IF(Caja_Operativa[[#This Row],[FECHA]]&gt;0,TEXT(Caja_Operativa[[#This Row],[FECHA]],"mmmm"),0)</f>
        <v>Noviembre</v>
      </c>
    </row>
    <row r="488" spans="1:27" x14ac:dyDescent="0.3">
      <c r="A488" s="2">
        <f>IF(Caja_Operativa[[#This Row],[TIPO DE R.]]="R",COUNTIFS($C$1:$C487,"R")+1,"")</f>
        <v>487</v>
      </c>
      <c r="B488" s="19" t="str">
        <f>"C-Operativa"</f>
        <v>C-Operativa</v>
      </c>
      <c r="C488" s="3" t="s">
        <v>1330</v>
      </c>
      <c r="D488" s="14">
        <v>45971</v>
      </c>
      <c r="E488" s="5" t="s">
        <v>1338</v>
      </c>
      <c r="F488" s="5" t="s">
        <v>1336</v>
      </c>
      <c r="G488" s="6" t="s">
        <v>798</v>
      </c>
      <c r="H488" s="6"/>
      <c r="I488" s="6"/>
      <c r="J488" s="6"/>
      <c r="K488" s="7" t="s">
        <v>7516</v>
      </c>
      <c r="L488" s="8">
        <v>799772</v>
      </c>
      <c r="M488" s="8" t="str">
        <f>"PEN"</f>
        <v>PEN</v>
      </c>
      <c r="N488" s="13"/>
      <c r="O488" s="13">
        <v>150</v>
      </c>
      <c r="P488" s="3">
        <f>+IF(OR($F488="SALDO",$F488="INGRESO"),$O488,0)</f>
        <v>0</v>
      </c>
      <c r="Q488" s="3">
        <f>+IF($F488="EGRESO",$O488,0)</f>
        <v>150</v>
      </c>
      <c r="R488" s="3">
        <f>IFERROR(IF(F488="SALDO",P488,R487+P488-Q488),0)</f>
        <v>488.38000000000125</v>
      </c>
      <c r="S488" s="24"/>
      <c r="T488" s="24"/>
      <c r="U488" s="55"/>
      <c r="V488" s="25"/>
      <c r="W488" s="25"/>
      <c r="X488" s="25"/>
      <c r="Y488" s="25"/>
      <c r="Z488" s="25"/>
      <c r="AA488" s="3" t="str">
        <f>IF(Caja_Operativa[[#This Row],[FECHA]]&gt;0,TEXT(Caja_Operativa[[#This Row],[FECHA]],"mmmm"),0)</f>
        <v>Noviembre</v>
      </c>
    </row>
    <row r="489" spans="1:27" x14ac:dyDescent="0.3">
      <c r="A489" s="2">
        <f>IF(Caja_Operativa[[#This Row],[TIPO DE R.]]="R",COUNTIFS($C$1:$C488,"R")+1,"")</f>
        <v>488</v>
      </c>
      <c r="B489" s="19" t="str">
        <f>"C-Operativa"</f>
        <v>C-Operativa</v>
      </c>
      <c r="C489" s="3" t="s">
        <v>1330</v>
      </c>
      <c r="D489" s="14">
        <v>45971</v>
      </c>
      <c r="E489" s="5" t="s">
        <v>1338</v>
      </c>
      <c r="F489" s="5" t="s">
        <v>1303</v>
      </c>
      <c r="G489" s="6"/>
      <c r="H489" s="6"/>
      <c r="I489" s="6" t="s">
        <v>7539</v>
      </c>
      <c r="J489" s="6">
        <v>26</v>
      </c>
      <c r="K489" s="7" t="s">
        <v>7540</v>
      </c>
      <c r="L489" s="8">
        <v>2028388</v>
      </c>
      <c r="M489" s="8" t="str">
        <f>"PEN"</f>
        <v>PEN</v>
      </c>
      <c r="N489" s="13"/>
      <c r="O489" s="13">
        <v>4000</v>
      </c>
      <c r="P489" s="3">
        <f>+IF(OR($F489="SALDO",$F489="INGRESO"),$O489,0)</f>
        <v>4000</v>
      </c>
      <c r="Q489" s="3">
        <f>+IF($F489="EGRESO",$O489,0)</f>
        <v>0</v>
      </c>
      <c r="R489" s="3">
        <f>IFERROR(IF(F489="SALDO",P489,R488+P489-Q489),0)</f>
        <v>4488.380000000001</v>
      </c>
      <c r="S489" s="24"/>
      <c r="T489" s="24"/>
      <c r="U489" s="55"/>
      <c r="V489" s="25"/>
      <c r="W489" s="25"/>
      <c r="X489" s="25"/>
      <c r="Y489" s="25"/>
      <c r="Z489" s="25"/>
      <c r="AA489" s="3" t="str">
        <f>IF(Caja_Operativa[[#This Row],[FECHA]]&gt;0,TEXT(Caja_Operativa[[#This Row],[FECHA]],"mmmm"),0)</f>
        <v>Noviembre</v>
      </c>
    </row>
  </sheetData>
  <conditionalFormatting sqref="A2:AA100001">
    <cfRule type="expression" dxfId="75" priority="31">
      <formula>$T2="OK"</formula>
    </cfRule>
    <cfRule type="expression" dxfId="74" priority="32">
      <formula>$S2="OK"</formula>
    </cfRule>
    <cfRule type="expression" dxfId="73" priority="33">
      <formula>$C2="D"</formula>
    </cfRule>
  </conditionalFormatting>
  <dataValidations count="4">
    <dataValidation type="list" allowBlank="1" showInputMessage="1" showErrorMessage="1" sqref="H2:H489" xr:uid="{DB662010-73D0-4A06-A6ED-04E9B53EE686}">
      <formula1>Documentos</formula1>
    </dataValidation>
    <dataValidation type="list" allowBlank="1" showInputMessage="1" showErrorMessage="1" sqref="F2:F489" xr:uid="{F090D379-F074-4B33-A988-378FA55D7ED3}">
      <formula1>"SALDO,INGRESO,EGRESO"</formula1>
    </dataValidation>
    <dataValidation type="list" allowBlank="1" showInputMessage="1" showErrorMessage="1" sqref="C2:C489" xr:uid="{93B5E693-14FE-4995-B211-D6ABEEAA25E1}">
      <formula1>"R,D"</formula1>
    </dataValidation>
    <dataValidation type="list" allowBlank="1" showInputMessage="1" showErrorMessage="1" sqref="G2:G489" xr:uid="{B7740B57-EB9C-4006-A461-BBB602D7407A}">
      <formula1>Proveedores_Clientes</formula1>
    </dataValidation>
  </dataValidations>
  <printOptions horizontalCentered="1"/>
  <pageMargins left="0.11811023622047245" right="0.11811023622047245" top="0.35433070866141736" bottom="0.35433070866141736" header="0.31496062992125984" footer="0.31496062992125984"/>
  <pageSetup paperSize="9" scale="48" fitToHeight="0" orientation="landscape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FF17B-F2D4-1A44-B1B5-F34C3CA03ECD}">
  <sheetPr codeName="Hoja9">
    <tabColor rgb="FFFFC000"/>
    <pageSetUpPr fitToPage="1"/>
  </sheetPr>
  <dimension ref="A1:AB486"/>
  <sheetViews>
    <sheetView showGridLines="0" zoomScaleNormal="100" zoomScaleSheetLayoutView="100" workbookViewId="0">
      <selection activeCell="AB1" sqref="A1:AB1"/>
    </sheetView>
  </sheetViews>
  <sheetFormatPr defaultColWidth="11.44140625" defaultRowHeight="14.4" outlineLevelCol="1" x14ac:dyDescent="0.3"/>
  <cols>
    <col min="1" max="1" width="9.44140625" style="11" bestFit="1" customWidth="1"/>
    <col min="2" max="2" width="15.44140625" style="11" bestFit="1" customWidth="1"/>
    <col min="3" max="3" width="13.44140625" style="11" bestFit="1" customWidth="1"/>
    <col min="4" max="4" width="10.6640625" style="11" bestFit="1" customWidth="1"/>
    <col min="5" max="5" width="14.33203125" style="11" customWidth="1"/>
    <col min="6" max="6" width="11.6640625" style="11" bestFit="1" customWidth="1"/>
    <col min="7" max="7" width="17" style="11" bestFit="1" customWidth="1"/>
    <col min="8" max="8" width="16" style="11" customWidth="1"/>
    <col min="9" max="9" width="10.109375" style="11" bestFit="1" customWidth="1"/>
    <col min="10" max="10" width="12.44140625" style="11" bestFit="1" customWidth="1"/>
    <col min="11" max="11" width="40.44140625" style="11" bestFit="1" customWidth="1"/>
    <col min="12" max="12" width="15" style="11" bestFit="1" customWidth="1"/>
    <col min="13" max="13" width="12.44140625" style="11" bestFit="1" customWidth="1"/>
    <col min="14" max="14" width="12.109375" style="11" bestFit="1" customWidth="1"/>
    <col min="15" max="15" width="11.44140625" style="11" bestFit="1" customWidth="1"/>
    <col min="16" max="17" width="11.33203125" style="11" bestFit="1" customWidth="1"/>
    <col min="18" max="18" width="10.88671875" style="11" bestFit="1" customWidth="1"/>
    <col min="19" max="19" width="12" style="11" bestFit="1" customWidth="1"/>
    <col min="20" max="20" width="13" style="11" bestFit="1" customWidth="1"/>
    <col min="21" max="21" width="15.88671875" style="11" bestFit="1" customWidth="1"/>
    <col min="22" max="22" width="15.88671875" style="11" customWidth="1"/>
    <col min="23" max="26" width="15.88671875" style="11" customWidth="1" outlineLevel="1"/>
    <col min="27" max="27" width="12.88671875" style="11" customWidth="1" outlineLevel="1"/>
    <col min="28" max="16384" width="11.44140625" style="11"/>
  </cols>
  <sheetData>
    <row r="1" spans="1:28" x14ac:dyDescent="0.3">
      <c r="A1" s="263" t="s">
        <v>9536</v>
      </c>
      <c r="B1" s="263" t="s">
        <v>9537</v>
      </c>
      <c r="C1" s="263" t="s">
        <v>9563</v>
      </c>
      <c r="D1" s="263" t="s">
        <v>9539</v>
      </c>
      <c r="E1" s="263" t="s">
        <v>9540</v>
      </c>
      <c r="F1" s="263" t="s">
        <v>9541</v>
      </c>
      <c r="G1" s="263" t="s">
        <v>9542</v>
      </c>
      <c r="H1" s="263" t="s">
        <v>9543</v>
      </c>
      <c r="I1" s="263" t="s">
        <v>9544</v>
      </c>
      <c r="J1" s="263" t="s">
        <v>9545</v>
      </c>
      <c r="K1" s="263" t="s">
        <v>9546</v>
      </c>
      <c r="L1" s="263" t="s">
        <v>9565</v>
      </c>
      <c r="M1" s="263" t="s">
        <v>9548</v>
      </c>
      <c r="N1" s="263" t="s">
        <v>9549</v>
      </c>
      <c r="O1" s="263" t="s">
        <v>9550</v>
      </c>
      <c r="P1" s="263" t="s">
        <v>9551</v>
      </c>
      <c r="Q1" s="263" t="s">
        <v>9552</v>
      </c>
      <c r="R1" s="263" t="s">
        <v>9553</v>
      </c>
      <c r="S1" s="263" t="s">
        <v>9554</v>
      </c>
      <c r="T1" s="263" t="s">
        <v>9555</v>
      </c>
      <c r="U1" s="263" t="s">
        <v>9556</v>
      </c>
      <c r="V1" s="263" t="s">
        <v>9557</v>
      </c>
      <c r="W1" s="263" t="s">
        <v>9558</v>
      </c>
      <c r="X1" s="263" t="s">
        <v>9559</v>
      </c>
      <c r="Y1" s="263" t="s">
        <v>9560</v>
      </c>
      <c r="Z1" s="263" t="s">
        <v>9561</v>
      </c>
      <c r="AA1" s="263" t="s">
        <v>9562</v>
      </c>
      <c r="AB1" s="1" t="s">
        <v>9566</v>
      </c>
    </row>
    <row r="2" spans="1:28" x14ac:dyDescent="0.3">
      <c r="A2" s="2">
        <f>IF(C_Ope_001[[#This Row],[tipo_r]]="R",COUNTIFS($C$1:$C1,"R")+1,"")</f>
        <v>1</v>
      </c>
      <c r="B2" s="19" t="str">
        <f t="shared" ref="B2:B65" si="0">"C_Ope_001"</f>
        <v>C_Ope_001</v>
      </c>
      <c r="C2" s="3" t="s">
        <v>1330</v>
      </c>
      <c r="D2" s="211">
        <v>45658</v>
      </c>
      <c r="E2" s="5" t="s">
        <v>7753</v>
      </c>
      <c r="F2" s="6" t="s">
        <v>1320</v>
      </c>
      <c r="G2" s="6"/>
      <c r="H2" s="6"/>
      <c r="I2" s="6"/>
      <c r="J2" s="6"/>
      <c r="K2" s="7" t="s">
        <v>1332</v>
      </c>
      <c r="L2" s="8">
        <v>22538</v>
      </c>
      <c r="M2" s="8" t="str">
        <f t="shared" ref="M2" si="1">"PEN"</f>
        <v>PEN</v>
      </c>
      <c r="N2" s="13"/>
      <c r="O2" s="9">
        <v>108.74</v>
      </c>
      <c r="P2" s="9">
        <f t="shared" ref="P2:P65" si="2">+IF(OR($F2="SALDO",$F2="INGRESO"),$O2,0)</f>
        <v>108.74</v>
      </c>
      <c r="Q2" s="9">
        <f t="shared" ref="Q2:Q65" si="3">+IF($F2="EGRESO",$O2,0)</f>
        <v>0</v>
      </c>
      <c r="R2" s="9">
        <f t="shared" ref="R2:R65" si="4">IFERROR(IF(F2="SALDO",P2,R1+P2-Q2),0)</f>
        <v>108.74</v>
      </c>
      <c r="S2" s="24" t="s">
        <v>1334</v>
      </c>
      <c r="T2" s="24" t="s">
        <v>1334</v>
      </c>
      <c r="U2" s="15"/>
      <c r="V2" s="25"/>
      <c r="W2" s="25"/>
      <c r="X2" s="25" t="str">
        <f>IFERROR(VLOOKUP(C_Ope_001[[#This Row],[nota_2]],Clientes_Proveedores[[Ruc / Dni]:[Razon Social]],2,0),"")</f>
        <v/>
      </c>
      <c r="Y2" s="25"/>
      <c r="Z2" s="103"/>
      <c r="AA2" s="3" t="str">
        <f>IF(C_Ope_001[[#This Row],[fecha]]&gt;0,TEXT(C_Ope_001[[#This Row],[fecha]],"mmmm"),0)</f>
        <v>Enero</v>
      </c>
      <c r="AB2" s="159"/>
    </row>
    <row r="3" spans="1:28" ht="24" x14ac:dyDescent="0.3">
      <c r="A3" s="2">
        <f>IF(C_Ope_001[[#This Row],[tipo_r]]="R",COUNTIFS($C$1:$C2,"R")+1,"")</f>
        <v>2</v>
      </c>
      <c r="B3" s="19" t="str">
        <f t="shared" si="0"/>
        <v>C_Ope_001</v>
      </c>
      <c r="C3" s="3" t="s">
        <v>1330</v>
      </c>
      <c r="D3" s="211">
        <v>45660</v>
      </c>
      <c r="E3" s="5" t="s">
        <v>7514</v>
      </c>
      <c r="F3" s="5" t="s">
        <v>1303</v>
      </c>
      <c r="G3" s="6" t="s">
        <v>812</v>
      </c>
      <c r="H3" s="6"/>
      <c r="I3" s="6"/>
      <c r="J3" s="6"/>
      <c r="K3" s="7" t="s">
        <v>7516</v>
      </c>
      <c r="L3" s="8">
        <v>22545</v>
      </c>
      <c r="M3" s="8" t="str">
        <f t="shared" ref="M3:M66" si="5">"PEN"</f>
        <v>PEN</v>
      </c>
      <c r="N3" s="13"/>
      <c r="O3" s="13">
        <v>90</v>
      </c>
      <c r="P3" s="3">
        <f t="shared" si="2"/>
        <v>90</v>
      </c>
      <c r="Q3" s="3">
        <f t="shared" si="3"/>
        <v>0</v>
      </c>
      <c r="R3" s="3">
        <f t="shared" si="4"/>
        <v>198.74</v>
      </c>
      <c r="S3" s="24" t="s">
        <v>1334</v>
      </c>
      <c r="T3" s="24" t="s">
        <v>1334</v>
      </c>
      <c r="U3" s="3"/>
      <c r="V3" s="25" t="s">
        <v>7754</v>
      </c>
      <c r="W3" s="25"/>
      <c r="X3" s="25" t="str">
        <f>IFERROR(VLOOKUP(C_Ope_001[[#This Row],[nota_2]],Clientes_Proveedores[[Ruc / Dni]:[Razon Social]],2,0),"")</f>
        <v/>
      </c>
      <c r="Y3" s="25"/>
      <c r="Z3" s="103"/>
      <c r="AA3" s="3" t="str">
        <f>IF(C_Ope_001[[#This Row],[fecha]]&gt;0,TEXT(C_Ope_001[[#This Row],[fecha]],"mmmm"),0)</f>
        <v>Enero</v>
      </c>
      <c r="AB3" s="159"/>
    </row>
    <row r="4" spans="1:28" ht="24" x14ac:dyDescent="0.3">
      <c r="A4" s="2">
        <f>IF(C_Ope_001[[#This Row],[tipo_r]]="R",COUNTIFS($C$1:$C3,"R")+1,"")</f>
        <v>3</v>
      </c>
      <c r="B4" s="19" t="str">
        <f t="shared" si="0"/>
        <v>C_Ope_001</v>
      </c>
      <c r="C4" s="3" t="s">
        <v>1330</v>
      </c>
      <c r="D4" s="211">
        <v>45659</v>
      </c>
      <c r="E4" s="5" t="s">
        <v>7753</v>
      </c>
      <c r="F4" s="5" t="s">
        <v>1336</v>
      </c>
      <c r="G4" s="6" t="s">
        <v>978</v>
      </c>
      <c r="H4" s="6" t="s">
        <v>68</v>
      </c>
      <c r="I4" s="6" t="s">
        <v>6204</v>
      </c>
      <c r="J4" s="6">
        <v>1620881</v>
      </c>
      <c r="K4" s="7" t="s">
        <v>7755</v>
      </c>
      <c r="L4" s="8">
        <v>22518</v>
      </c>
      <c r="M4" s="8" t="str">
        <f t="shared" si="5"/>
        <v>PEN</v>
      </c>
      <c r="N4" s="13"/>
      <c r="O4" s="13">
        <v>8</v>
      </c>
      <c r="P4" s="3">
        <f t="shared" si="2"/>
        <v>0</v>
      </c>
      <c r="Q4" s="3">
        <f t="shared" si="3"/>
        <v>8</v>
      </c>
      <c r="R4" s="3">
        <f t="shared" si="4"/>
        <v>190.74</v>
      </c>
      <c r="S4" s="24" t="s">
        <v>1334</v>
      </c>
      <c r="T4" s="24" t="s">
        <v>1334</v>
      </c>
      <c r="U4" s="3"/>
      <c r="V4" s="25" t="s">
        <v>7756</v>
      </c>
      <c r="W4" s="25">
        <v>20517252558</v>
      </c>
      <c r="X4" s="25" t="str">
        <f>IFERROR(VLOOKUP(C_Ope_001[[#This Row],[nota_2]],Clientes_Proveedores[[Ruc / Dni]:[Razon Social]],2,0),"")</f>
        <v>COVISUR S.A.</v>
      </c>
      <c r="Y4" s="25"/>
      <c r="Z4" s="103"/>
      <c r="AA4" s="3" t="str">
        <f>IF(C_Ope_001[[#This Row],[fecha]]&gt;0,TEXT(C_Ope_001[[#This Row],[fecha]],"mmmm"),0)</f>
        <v>Enero</v>
      </c>
      <c r="AB4" s="159"/>
    </row>
    <row r="5" spans="1:28" ht="24" x14ac:dyDescent="0.3">
      <c r="A5" s="2">
        <f>IF(C_Ope_001[[#This Row],[tipo_r]]="R",COUNTIFS($C$1:$C4,"R")+1,"")</f>
        <v>4</v>
      </c>
      <c r="B5" s="19" t="str">
        <f t="shared" si="0"/>
        <v>C_Ope_001</v>
      </c>
      <c r="C5" s="3" t="s">
        <v>1330</v>
      </c>
      <c r="D5" s="212">
        <v>45659</v>
      </c>
      <c r="E5" s="5" t="s">
        <v>7753</v>
      </c>
      <c r="F5" s="5" t="s">
        <v>1336</v>
      </c>
      <c r="G5" s="6" t="s">
        <v>978</v>
      </c>
      <c r="H5" s="6" t="s">
        <v>68</v>
      </c>
      <c r="I5" s="6" t="s">
        <v>6245</v>
      </c>
      <c r="J5" s="6">
        <v>899747</v>
      </c>
      <c r="K5" s="7" t="s">
        <v>7757</v>
      </c>
      <c r="L5" s="8">
        <v>22519</v>
      </c>
      <c r="M5" s="8" t="str">
        <f t="shared" si="5"/>
        <v>PEN</v>
      </c>
      <c r="N5" s="13"/>
      <c r="O5" s="13">
        <v>8</v>
      </c>
      <c r="P5" s="3">
        <f t="shared" si="2"/>
        <v>0</v>
      </c>
      <c r="Q5" s="3">
        <f t="shared" si="3"/>
        <v>8</v>
      </c>
      <c r="R5" s="3">
        <f t="shared" si="4"/>
        <v>182.74</v>
      </c>
      <c r="S5" s="24" t="s">
        <v>1334</v>
      </c>
      <c r="T5" s="24" t="s">
        <v>1334</v>
      </c>
      <c r="U5" s="3"/>
      <c r="V5" s="25" t="s">
        <v>7756</v>
      </c>
      <c r="W5" s="25">
        <v>20517252558</v>
      </c>
      <c r="X5" s="25" t="str">
        <f>IFERROR(VLOOKUP(C_Ope_001[[#This Row],[nota_2]],Clientes_Proveedores[[Ruc / Dni]:[Razon Social]],2,0),"")</f>
        <v>COVISUR S.A.</v>
      </c>
      <c r="Y5" s="25"/>
      <c r="Z5" s="103"/>
      <c r="AA5" s="3" t="str">
        <f>IF(C_Ope_001[[#This Row],[fecha]]&gt;0,TEXT(C_Ope_001[[#This Row],[fecha]],"mmmm"),0)</f>
        <v>Enero</v>
      </c>
      <c r="AB5" s="159"/>
    </row>
    <row r="6" spans="1:28" ht="24" x14ac:dyDescent="0.3">
      <c r="A6" s="2">
        <f>IF(C_Ope_001[[#This Row],[tipo_r]]="R",COUNTIFS($C$1:$C5,"R")+1,"")</f>
        <v>5</v>
      </c>
      <c r="B6" s="19" t="str">
        <f t="shared" si="0"/>
        <v>C_Ope_001</v>
      </c>
      <c r="C6" s="3" t="s">
        <v>1330</v>
      </c>
      <c r="D6" s="212">
        <v>45659</v>
      </c>
      <c r="E6" s="5" t="s">
        <v>7753</v>
      </c>
      <c r="F6" s="5" t="s">
        <v>1336</v>
      </c>
      <c r="G6" s="6" t="s">
        <v>978</v>
      </c>
      <c r="H6" s="6" t="s">
        <v>68</v>
      </c>
      <c r="I6" s="6" t="s">
        <v>5845</v>
      </c>
      <c r="J6" s="6">
        <v>1639749</v>
      </c>
      <c r="K6" s="7" t="s">
        <v>7755</v>
      </c>
      <c r="L6" s="8">
        <v>22527</v>
      </c>
      <c r="M6" s="8" t="str">
        <f t="shared" si="5"/>
        <v>PEN</v>
      </c>
      <c r="N6" s="13"/>
      <c r="O6" s="13">
        <v>8</v>
      </c>
      <c r="P6" s="3">
        <f t="shared" si="2"/>
        <v>0</v>
      </c>
      <c r="Q6" s="3">
        <f t="shared" si="3"/>
        <v>8</v>
      </c>
      <c r="R6" s="3">
        <f t="shared" si="4"/>
        <v>174.74</v>
      </c>
      <c r="S6" s="24" t="s">
        <v>1334</v>
      </c>
      <c r="T6" s="24" t="s">
        <v>1334</v>
      </c>
      <c r="U6" s="3"/>
      <c r="V6" s="25" t="s">
        <v>7756</v>
      </c>
      <c r="W6" s="25">
        <v>20517252558</v>
      </c>
      <c r="X6" s="25" t="str">
        <f>IFERROR(VLOOKUP(C_Ope_001[[#This Row],[nota_2]],Clientes_Proveedores[[Ruc / Dni]:[Razon Social]],2,0),"")</f>
        <v>COVISUR S.A.</v>
      </c>
      <c r="Y6" s="25"/>
      <c r="Z6" s="103"/>
      <c r="AA6" s="3" t="str">
        <f>IF(C_Ope_001[[#This Row],[fecha]]&gt;0,TEXT(C_Ope_001[[#This Row],[fecha]],"mmmm"),0)</f>
        <v>Enero</v>
      </c>
      <c r="AB6" s="159"/>
    </row>
    <row r="7" spans="1:28" ht="24" x14ac:dyDescent="0.3">
      <c r="A7" s="2">
        <f>IF(C_Ope_001[[#This Row],[tipo_r]]="R",COUNTIFS($C$1:$C6,"R")+1,"")</f>
        <v>6</v>
      </c>
      <c r="B7" s="19" t="str">
        <f t="shared" si="0"/>
        <v>C_Ope_001</v>
      </c>
      <c r="C7" s="3" t="s">
        <v>1330</v>
      </c>
      <c r="D7" s="212">
        <v>45659</v>
      </c>
      <c r="E7" s="5" t="s">
        <v>7753</v>
      </c>
      <c r="F7" s="5" t="s">
        <v>1336</v>
      </c>
      <c r="G7" s="6" t="s">
        <v>978</v>
      </c>
      <c r="H7" s="6" t="s">
        <v>68</v>
      </c>
      <c r="I7" s="6" t="s">
        <v>6244</v>
      </c>
      <c r="J7" s="6">
        <v>980062</v>
      </c>
      <c r="K7" s="7" t="s">
        <v>7757</v>
      </c>
      <c r="L7" s="8">
        <v>22528</v>
      </c>
      <c r="M7" s="8" t="str">
        <f t="shared" si="5"/>
        <v>PEN</v>
      </c>
      <c r="N7" s="13"/>
      <c r="O7" s="13">
        <v>8</v>
      </c>
      <c r="P7" s="3">
        <f t="shared" si="2"/>
        <v>0</v>
      </c>
      <c r="Q7" s="3">
        <f t="shared" si="3"/>
        <v>8</v>
      </c>
      <c r="R7" s="3">
        <f t="shared" si="4"/>
        <v>166.74</v>
      </c>
      <c r="S7" s="24" t="s">
        <v>1334</v>
      </c>
      <c r="T7" s="24" t="s">
        <v>1334</v>
      </c>
      <c r="U7" s="3"/>
      <c r="V7" s="25" t="s">
        <v>7756</v>
      </c>
      <c r="W7" s="25">
        <v>20517252558</v>
      </c>
      <c r="X7" s="25" t="str">
        <f>IFERROR(VLOOKUP(C_Ope_001[[#This Row],[nota_2]],Clientes_Proveedores[[Ruc / Dni]:[Razon Social]],2,0),"")</f>
        <v>COVISUR S.A.</v>
      </c>
      <c r="Y7" s="25"/>
      <c r="Z7" s="103"/>
      <c r="AA7" s="3" t="str">
        <f>IF(C_Ope_001[[#This Row],[fecha]]&gt;0,TEXT(C_Ope_001[[#This Row],[fecha]],"mmmm"),0)</f>
        <v>Enero</v>
      </c>
      <c r="AB7" s="159"/>
    </row>
    <row r="8" spans="1:28" ht="24" x14ac:dyDescent="0.3">
      <c r="A8" s="2">
        <f>IF(C_Ope_001[[#This Row],[tipo_r]]="R",COUNTIFS($C$1:$C7,"R")+1,"")</f>
        <v>7</v>
      </c>
      <c r="B8" s="19" t="str">
        <f t="shared" si="0"/>
        <v>C_Ope_001</v>
      </c>
      <c r="C8" s="3" t="s">
        <v>1330</v>
      </c>
      <c r="D8" s="212">
        <v>45663</v>
      </c>
      <c r="E8" s="5" t="s">
        <v>7753</v>
      </c>
      <c r="F8" s="5" t="s">
        <v>1336</v>
      </c>
      <c r="G8" s="6" t="s">
        <v>978</v>
      </c>
      <c r="H8" s="6" t="s">
        <v>68</v>
      </c>
      <c r="I8" s="6" t="s">
        <v>6204</v>
      </c>
      <c r="J8" s="6">
        <v>1623795</v>
      </c>
      <c r="K8" s="7" t="s">
        <v>7758</v>
      </c>
      <c r="L8" s="8">
        <v>22551</v>
      </c>
      <c r="M8" s="8" t="str">
        <f t="shared" si="5"/>
        <v>PEN</v>
      </c>
      <c r="N8" s="13"/>
      <c r="O8" s="13">
        <v>8</v>
      </c>
      <c r="P8" s="3">
        <f t="shared" si="2"/>
        <v>0</v>
      </c>
      <c r="Q8" s="3">
        <f t="shared" si="3"/>
        <v>8</v>
      </c>
      <c r="R8" s="3">
        <f t="shared" si="4"/>
        <v>158.74</v>
      </c>
      <c r="S8" s="24" t="s">
        <v>1334</v>
      </c>
      <c r="T8" s="24" t="s">
        <v>1334</v>
      </c>
      <c r="U8" s="3"/>
      <c r="V8" s="25" t="s">
        <v>7756</v>
      </c>
      <c r="W8" s="25">
        <v>20517252558</v>
      </c>
      <c r="X8" s="25" t="str">
        <f>IFERROR(VLOOKUP(C_Ope_001[[#This Row],[nota_2]],Clientes_Proveedores[[Ruc / Dni]:[Razon Social]],2,0),"")</f>
        <v>COVISUR S.A.</v>
      </c>
      <c r="Y8" s="25"/>
      <c r="Z8" s="103"/>
      <c r="AA8" s="3" t="str">
        <f>IF(C_Ope_001[[#This Row],[fecha]]&gt;0,TEXT(C_Ope_001[[#This Row],[fecha]],"mmmm"),0)</f>
        <v>Enero</v>
      </c>
      <c r="AB8" s="159"/>
    </row>
    <row r="9" spans="1:28" ht="24" x14ac:dyDescent="0.3">
      <c r="A9" s="2">
        <f>IF(C_Ope_001[[#This Row],[tipo_r]]="R",COUNTIFS($C$1:$C8,"R")+1,"")</f>
        <v>8</v>
      </c>
      <c r="B9" s="19" t="str">
        <f t="shared" si="0"/>
        <v>C_Ope_001</v>
      </c>
      <c r="C9" s="3" t="s">
        <v>1330</v>
      </c>
      <c r="D9" s="212">
        <v>45663</v>
      </c>
      <c r="E9" s="5" t="s">
        <v>7753</v>
      </c>
      <c r="F9" s="5" t="s">
        <v>1336</v>
      </c>
      <c r="G9" s="6" t="s">
        <v>978</v>
      </c>
      <c r="H9" s="6" t="s">
        <v>68</v>
      </c>
      <c r="I9" s="6" t="s">
        <v>5845</v>
      </c>
      <c r="J9" s="6">
        <v>1642585</v>
      </c>
      <c r="K9" s="7" t="s">
        <v>7758</v>
      </c>
      <c r="L9" s="8">
        <v>22553</v>
      </c>
      <c r="M9" s="8" t="str">
        <f t="shared" si="5"/>
        <v>PEN</v>
      </c>
      <c r="N9" s="13"/>
      <c r="O9" s="13">
        <v>8</v>
      </c>
      <c r="P9" s="3">
        <f t="shared" si="2"/>
        <v>0</v>
      </c>
      <c r="Q9" s="3">
        <f t="shared" si="3"/>
        <v>8</v>
      </c>
      <c r="R9" s="3">
        <f t="shared" si="4"/>
        <v>150.74</v>
      </c>
      <c r="S9" s="24" t="s">
        <v>1334</v>
      </c>
      <c r="T9" s="24" t="s">
        <v>1334</v>
      </c>
      <c r="U9" s="3"/>
      <c r="V9" s="25" t="s">
        <v>7756</v>
      </c>
      <c r="W9" s="25">
        <v>20517252558</v>
      </c>
      <c r="X9" s="25" t="str">
        <f>IFERROR(VLOOKUP(C_Ope_001[[#This Row],[nota_2]],Clientes_Proveedores[[Ruc / Dni]:[Razon Social]],2,0),"")</f>
        <v>COVISUR S.A.</v>
      </c>
      <c r="Y9" s="25"/>
      <c r="Z9" s="103"/>
      <c r="AA9" s="3" t="str">
        <f>IF(C_Ope_001[[#This Row],[fecha]]&gt;0,TEXT(C_Ope_001[[#This Row],[fecha]],"mmmm"),0)</f>
        <v>Enero</v>
      </c>
      <c r="AB9" s="159"/>
    </row>
    <row r="10" spans="1:28" ht="24" x14ac:dyDescent="0.3">
      <c r="A10" s="2">
        <f>IF(C_Ope_001[[#This Row],[tipo_r]]="R",COUNTIFS($C$1:$C9,"R")+1,"")</f>
        <v>9</v>
      </c>
      <c r="B10" s="19" t="str">
        <f t="shared" si="0"/>
        <v>C_Ope_001</v>
      </c>
      <c r="C10" s="3" t="s">
        <v>1330</v>
      </c>
      <c r="D10" s="212">
        <v>45665</v>
      </c>
      <c r="E10" s="5" t="s">
        <v>7753</v>
      </c>
      <c r="F10" s="5" t="s">
        <v>1336</v>
      </c>
      <c r="G10" s="6" t="s">
        <v>978</v>
      </c>
      <c r="H10" s="6" t="s">
        <v>68</v>
      </c>
      <c r="I10" s="6" t="s">
        <v>6204</v>
      </c>
      <c r="J10" s="6">
        <v>1625596</v>
      </c>
      <c r="K10" s="7" t="s">
        <v>7759</v>
      </c>
      <c r="L10" s="8">
        <v>22590</v>
      </c>
      <c r="M10" s="8" t="str">
        <f t="shared" si="5"/>
        <v>PEN</v>
      </c>
      <c r="N10" s="13"/>
      <c r="O10" s="13">
        <v>8</v>
      </c>
      <c r="P10" s="3">
        <f t="shared" si="2"/>
        <v>0</v>
      </c>
      <c r="Q10" s="3">
        <f t="shared" si="3"/>
        <v>8</v>
      </c>
      <c r="R10" s="3">
        <f t="shared" si="4"/>
        <v>142.74</v>
      </c>
      <c r="S10" s="24" t="s">
        <v>1334</v>
      </c>
      <c r="T10" s="24" t="s">
        <v>1334</v>
      </c>
      <c r="U10" s="3"/>
      <c r="V10" s="25" t="s">
        <v>7756</v>
      </c>
      <c r="W10" s="25">
        <v>20517252558</v>
      </c>
      <c r="X10" s="25" t="str">
        <f>IFERROR(VLOOKUP(C_Ope_001[[#This Row],[nota_2]],Clientes_Proveedores[[Ruc / Dni]:[Razon Social]],2,0),"")</f>
        <v>COVISUR S.A.</v>
      </c>
      <c r="Y10" s="25"/>
      <c r="Z10" s="103"/>
      <c r="AA10" s="3" t="str">
        <f>IF(C_Ope_001[[#This Row],[fecha]]&gt;0,TEXT(C_Ope_001[[#This Row],[fecha]],"mmmm"),0)</f>
        <v>Enero</v>
      </c>
      <c r="AB10" s="159"/>
    </row>
    <row r="11" spans="1:28" ht="24" x14ac:dyDescent="0.3">
      <c r="A11" s="2">
        <f>IF(C_Ope_001[[#This Row],[tipo_r]]="R",COUNTIFS($C$1:$C10,"R")+1,"")</f>
        <v>10</v>
      </c>
      <c r="B11" s="19" t="str">
        <f t="shared" si="0"/>
        <v>C_Ope_001</v>
      </c>
      <c r="C11" s="3" t="s">
        <v>1330</v>
      </c>
      <c r="D11" s="212">
        <v>45665</v>
      </c>
      <c r="E11" s="5" t="s">
        <v>7753</v>
      </c>
      <c r="F11" s="5" t="s">
        <v>1336</v>
      </c>
      <c r="G11" s="6" t="s">
        <v>978</v>
      </c>
      <c r="H11" s="6" t="s">
        <v>68</v>
      </c>
      <c r="I11" s="6" t="s">
        <v>6203</v>
      </c>
      <c r="J11" s="6">
        <v>1921237</v>
      </c>
      <c r="K11" s="7" t="s">
        <v>7759</v>
      </c>
      <c r="L11" s="8">
        <v>22591</v>
      </c>
      <c r="M11" s="8" t="str">
        <f t="shared" si="5"/>
        <v>PEN</v>
      </c>
      <c r="N11" s="13"/>
      <c r="O11" s="13">
        <v>8</v>
      </c>
      <c r="P11" s="3">
        <f t="shared" si="2"/>
        <v>0</v>
      </c>
      <c r="Q11" s="3">
        <f t="shared" si="3"/>
        <v>8</v>
      </c>
      <c r="R11" s="3">
        <f t="shared" si="4"/>
        <v>134.74</v>
      </c>
      <c r="S11" s="24" t="s">
        <v>1334</v>
      </c>
      <c r="T11" s="24" t="s">
        <v>1334</v>
      </c>
      <c r="U11" s="3"/>
      <c r="V11" s="25" t="s">
        <v>7756</v>
      </c>
      <c r="W11" s="25">
        <v>20517252558</v>
      </c>
      <c r="X11" s="25" t="str">
        <f>IFERROR(VLOOKUP(C_Ope_001[[#This Row],[nota_2]],Clientes_Proveedores[[Ruc / Dni]:[Razon Social]],2,0),"")</f>
        <v>COVISUR S.A.</v>
      </c>
      <c r="Y11" s="25"/>
      <c r="Z11" s="103"/>
      <c r="AA11" s="3" t="str">
        <f>IF(C_Ope_001[[#This Row],[fecha]]&gt;0,TEXT(C_Ope_001[[#This Row],[fecha]],"mmmm"),0)</f>
        <v>Enero</v>
      </c>
      <c r="AB11" s="159"/>
    </row>
    <row r="12" spans="1:28" ht="24" x14ac:dyDescent="0.3">
      <c r="A12" s="2">
        <f>IF(C_Ope_001[[#This Row],[tipo_r]]="R",COUNTIFS($C$1:$C11,"R")+1,"")</f>
        <v>11</v>
      </c>
      <c r="B12" s="19" t="str">
        <f t="shared" si="0"/>
        <v>C_Ope_001</v>
      </c>
      <c r="C12" s="3" t="s">
        <v>1330</v>
      </c>
      <c r="D12" s="212">
        <v>45667</v>
      </c>
      <c r="E12" s="5" t="s">
        <v>7753</v>
      </c>
      <c r="F12" s="5" t="s">
        <v>1336</v>
      </c>
      <c r="G12" s="6" t="s">
        <v>978</v>
      </c>
      <c r="H12" s="6" t="s">
        <v>68</v>
      </c>
      <c r="I12" s="6" t="s">
        <v>6203</v>
      </c>
      <c r="J12" s="6">
        <v>1923433</v>
      </c>
      <c r="K12" s="7" t="s">
        <v>7760</v>
      </c>
      <c r="L12" s="8">
        <v>22611</v>
      </c>
      <c r="M12" s="8" t="str">
        <f t="shared" si="5"/>
        <v>PEN</v>
      </c>
      <c r="N12" s="13"/>
      <c r="O12" s="13">
        <v>8</v>
      </c>
      <c r="P12" s="3">
        <f t="shared" si="2"/>
        <v>0</v>
      </c>
      <c r="Q12" s="3">
        <f t="shared" si="3"/>
        <v>8</v>
      </c>
      <c r="R12" s="3">
        <f t="shared" si="4"/>
        <v>126.74000000000001</v>
      </c>
      <c r="S12" s="24" t="s">
        <v>1334</v>
      </c>
      <c r="T12" s="24" t="s">
        <v>1334</v>
      </c>
      <c r="U12" s="3"/>
      <c r="V12" s="25" t="s">
        <v>7761</v>
      </c>
      <c r="W12" s="25">
        <v>20517252558</v>
      </c>
      <c r="X12" s="25" t="str">
        <f>IFERROR(VLOOKUP(C_Ope_001[[#This Row],[nota_2]],Clientes_Proveedores[[Ruc / Dni]:[Razon Social]],2,0),"")</f>
        <v>COVISUR S.A.</v>
      </c>
      <c r="Y12" s="25"/>
      <c r="Z12" s="103"/>
      <c r="AA12" s="3" t="str">
        <f>IF(C_Ope_001[[#This Row],[fecha]]&gt;0,TEXT(C_Ope_001[[#This Row],[fecha]],"mmmm"),0)</f>
        <v>Enero</v>
      </c>
      <c r="AB12" s="159"/>
    </row>
    <row r="13" spans="1:28" ht="24" x14ac:dyDescent="0.3">
      <c r="A13" s="2">
        <f>IF(C_Ope_001[[#This Row],[tipo_r]]="R",COUNTIFS($C$1:$C12,"R")+1,"")</f>
        <v>12</v>
      </c>
      <c r="B13" s="19" t="str">
        <f t="shared" si="0"/>
        <v>C_Ope_001</v>
      </c>
      <c r="C13" s="3" t="s">
        <v>1330</v>
      </c>
      <c r="D13" s="212">
        <v>45667</v>
      </c>
      <c r="E13" s="5" t="s">
        <v>7753</v>
      </c>
      <c r="F13" s="5" t="s">
        <v>1336</v>
      </c>
      <c r="G13" s="6" t="s">
        <v>978</v>
      </c>
      <c r="H13" s="6" t="s">
        <v>68</v>
      </c>
      <c r="I13" s="6" t="s">
        <v>6204</v>
      </c>
      <c r="J13" s="6">
        <v>1627516</v>
      </c>
      <c r="K13" s="7" t="s">
        <v>7760</v>
      </c>
      <c r="L13" s="8">
        <v>22612</v>
      </c>
      <c r="M13" s="8" t="str">
        <f t="shared" si="5"/>
        <v>PEN</v>
      </c>
      <c r="N13" s="13"/>
      <c r="O13" s="13">
        <v>8</v>
      </c>
      <c r="P13" s="3">
        <f t="shared" si="2"/>
        <v>0</v>
      </c>
      <c r="Q13" s="3">
        <f t="shared" si="3"/>
        <v>8</v>
      </c>
      <c r="R13" s="3">
        <f t="shared" si="4"/>
        <v>118.74000000000001</v>
      </c>
      <c r="S13" s="24" t="s">
        <v>1334</v>
      </c>
      <c r="T13" s="24" t="s">
        <v>1334</v>
      </c>
      <c r="U13" s="3"/>
      <c r="V13" s="25" t="s">
        <v>7761</v>
      </c>
      <c r="W13" s="25">
        <v>20517252558</v>
      </c>
      <c r="X13" s="25" t="str">
        <f>IFERROR(VLOOKUP(C_Ope_001[[#This Row],[nota_2]],Clientes_Proveedores[[Ruc / Dni]:[Razon Social]],2,0),"")</f>
        <v>COVISUR S.A.</v>
      </c>
      <c r="Y13" s="25"/>
      <c r="Z13" s="103"/>
      <c r="AA13" s="3" t="str">
        <f>IF(C_Ope_001[[#This Row],[fecha]]&gt;0,TEXT(C_Ope_001[[#This Row],[fecha]],"mmmm"),0)</f>
        <v>Enero</v>
      </c>
      <c r="AB13" s="159"/>
    </row>
    <row r="14" spans="1:28" ht="36" x14ac:dyDescent="0.3">
      <c r="A14" s="2">
        <f>IF(C_Ope_001[[#This Row],[tipo_r]]="R",COUNTIFS($C$1:$C13,"R")+1,"")</f>
        <v>13</v>
      </c>
      <c r="B14" s="19" t="str">
        <f t="shared" si="0"/>
        <v>C_Ope_001</v>
      </c>
      <c r="C14" s="3" t="s">
        <v>1330</v>
      </c>
      <c r="D14" s="212">
        <v>45659</v>
      </c>
      <c r="E14" s="5" t="s">
        <v>7753</v>
      </c>
      <c r="F14" s="5" t="s">
        <v>1336</v>
      </c>
      <c r="G14" s="6" t="s">
        <v>1029</v>
      </c>
      <c r="H14" s="6" t="s">
        <v>68</v>
      </c>
      <c r="I14" s="6" t="s">
        <v>1374</v>
      </c>
      <c r="J14" s="6">
        <v>16569</v>
      </c>
      <c r="K14" s="7" t="s">
        <v>7762</v>
      </c>
      <c r="L14" s="8">
        <v>22522</v>
      </c>
      <c r="M14" s="8" t="str">
        <f t="shared" si="5"/>
        <v>PEN</v>
      </c>
      <c r="N14" s="13"/>
      <c r="O14" s="13">
        <v>11</v>
      </c>
      <c r="P14" s="3">
        <f t="shared" si="2"/>
        <v>0</v>
      </c>
      <c r="Q14" s="3">
        <f t="shared" si="3"/>
        <v>11</v>
      </c>
      <c r="R14" s="3">
        <f t="shared" si="4"/>
        <v>107.74000000000001</v>
      </c>
      <c r="S14" s="24" t="s">
        <v>1334</v>
      </c>
      <c r="T14" s="24" t="s">
        <v>1334</v>
      </c>
      <c r="U14" s="3"/>
      <c r="V14" s="25" t="s">
        <v>7756</v>
      </c>
      <c r="W14" s="25">
        <v>20454058187</v>
      </c>
      <c r="X14" s="25" t="str">
        <f>IFERROR(VLOOKUP(C_Ope_001[[#This Row],[nota_2]],Clientes_Proveedores[[Ruc / Dni]:[Razon Social]],2,0),"")</f>
        <v>ZONA ESPECIAL DE DESARROLLO ZED MATARANI</v>
      </c>
      <c r="Y14" s="25"/>
      <c r="Z14" s="103"/>
      <c r="AA14" s="3" t="str">
        <f>IF(C_Ope_001[[#This Row],[fecha]]&gt;0,TEXT(C_Ope_001[[#This Row],[fecha]],"mmmm"),0)</f>
        <v>Enero</v>
      </c>
      <c r="AB14" s="159"/>
    </row>
    <row r="15" spans="1:28" ht="36" x14ac:dyDescent="0.3">
      <c r="A15" s="2">
        <f>IF(C_Ope_001[[#This Row],[tipo_r]]="R",COUNTIFS($C$1:$C14,"R")+1,"")</f>
        <v>14</v>
      </c>
      <c r="B15" s="19" t="str">
        <f t="shared" si="0"/>
        <v>C_Ope_001</v>
      </c>
      <c r="C15" s="3" t="s">
        <v>1330</v>
      </c>
      <c r="D15" s="212">
        <v>45664</v>
      </c>
      <c r="E15" s="5" t="s">
        <v>7753</v>
      </c>
      <c r="F15" s="5" t="s">
        <v>1336</v>
      </c>
      <c r="G15" s="6" t="s">
        <v>682</v>
      </c>
      <c r="H15" s="6" t="s">
        <v>68</v>
      </c>
      <c r="I15" s="6" t="s">
        <v>1343</v>
      </c>
      <c r="J15" s="6">
        <v>33416</v>
      </c>
      <c r="K15" s="7" t="s">
        <v>7763</v>
      </c>
      <c r="L15" s="8">
        <v>22575</v>
      </c>
      <c r="M15" s="8" t="str">
        <f t="shared" si="5"/>
        <v>PEN</v>
      </c>
      <c r="N15" s="13"/>
      <c r="O15" s="13">
        <v>10</v>
      </c>
      <c r="P15" s="3">
        <f t="shared" si="2"/>
        <v>0</v>
      </c>
      <c r="Q15" s="3">
        <f t="shared" si="3"/>
        <v>10</v>
      </c>
      <c r="R15" s="3">
        <f t="shared" si="4"/>
        <v>97.740000000000009</v>
      </c>
      <c r="S15" s="24" t="s">
        <v>1334</v>
      </c>
      <c r="T15" s="24" t="s">
        <v>1334</v>
      </c>
      <c r="U15" s="3"/>
      <c r="V15" s="25" t="s">
        <v>7756</v>
      </c>
      <c r="W15" s="25">
        <v>20259858934</v>
      </c>
      <c r="X15" s="25" t="str">
        <f>IFERROR(VLOOKUP(C_Ope_001[[#This Row],[nota_2]],Clientes_Proveedores[[Ruc / Dni]:[Razon Social]],2,0),"")</f>
        <v>COMERCIALIZACION Y SERVICIOS EL EDEN S.A.C.</v>
      </c>
      <c r="Y15" s="25"/>
      <c r="Z15" s="103"/>
      <c r="AA15" s="3" t="str">
        <f>IF(C_Ope_001[[#This Row],[fecha]]&gt;0,TEXT(C_Ope_001[[#This Row],[fecha]],"mmmm"),0)</f>
        <v>Enero</v>
      </c>
      <c r="AB15" s="159"/>
    </row>
    <row r="16" spans="1:28" ht="36" x14ac:dyDescent="0.3">
      <c r="A16" s="2">
        <f>IF(C_Ope_001[[#This Row],[tipo_r]]="R",COUNTIFS($C$1:$C15,"R")+1,"")</f>
        <v>15</v>
      </c>
      <c r="B16" s="19" t="str">
        <f t="shared" si="0"/>
        <v>C_Ope_001</v>
      </c>
      <c r="C16" s="3" t="s">
        <v>1330</v>
      </c>
      <c r="D16" s="212">
        <v>45665</v>
      </c>
      <c r="E16" s="5" t="s">
        <v>7753</v>
      </c>
      <c r="F16" s="5" t="s">
        <v>1336</v>
      </c>
      <c r="G16" s="6" t="s">
        <v>682</v>
      </c>
      <c r="H16" s="6" t="s">
        <v>68</v>
      </c>
      <c r="I16" s="6" t="s">
        <v>1353</v>
      </c>
      <c r="J16" s="6">
        <v>15270</v>
      </c>
      <c r="K16" s="7" t="s">
        <v>7764</v>
      </c>
      <c r="L16" s="8">
        <v>22589</v>
      </c>
      <c r="M16" s="8" t="str">
        <f t="shared" si="5"/>
        <v>PEN</v>
      </c>
      <c r="N16" s="13"/>
      <c r="O16" s="13">
        <v>20</v>
      </c>
      <c r="P16" s="3">
        <f t="shared" si="2"/>
        <v>0</v>
      </c>
      <c r="Q16" s="3">
        <f t="shared" si="3"/>
        <v>20</v>
      </c>
      <c r="R16" s="3">
        <f t="shared" si="4"/>
        <v>77.740000000000009</v>
      </c>
      <c r="S16" s="24" t="s">
        <v>1334</v>
      </c>
      <c r="T16" s="24" t="s">
        <v>1334</v>
      </c>
      <c r="U16" s="3"/>
      <c r="V16" s="25" t="s">
        <v>7756</v>
      </c>
      <c r="W16" s="25">
        <v>20259858934</v>
      </c>
      <c r="X16" s="25" t="str">
        <f>IFERROR(VLOOKUP(C_Ope_001[[#This Row],[nota_2]],Clientes_Proveedores[[Ruc / Dni]:[Razon Social]],2,0),"")</f>
        <v>COMERCIALIZACION Y SERVICIOS EL EDEN S.A.C.</v>
      </c>
      <c r="Y16" s="25"/>
      <c r="Z16" s="103"/>
      <c r="AA16" s="3" t="str">
        <f>IF(C_Ope_001[[#This Row],[fecha]]&gt;0,TEXT(C_Ope_001[[#This Row],[fecha]],"mmmm"),0)</f>
        <v>Enero</v>
      </c>
      <c r="AB16" s="159"/>
    </row>
    <row r="17" spans="1:28" ht="36" x14ac:dyDescent="0.3">
      <c r="A17" s="2">
        <f>IF(C_Ope_001[[#This Row],[tipo_r]]="R",COUNTIFS($C$1:$C16,"R")+1,"")</f>
        <v>16</v>
      </c>
      <c r="B17" s="19" t="str">
        <f t="shared" si="0"/>
        <v>C_Ope_001</v>
      </c>
      <c r="C17" s="3" t="s">
        <v>1330</v>
      </c>
      <c r="D17" s="212">
        <v>45666</v>
      </c>
      <c r="E17" s="5" t="s">
        <v>7753</v>
      </c>
      <c r="F17" s="5" t="s">
        <v>1336</v>
      </c>
      <c r="G17" s="6" t="s">
        <v>227</v>
      </c>
      <c r="H17" s="6" t="s">
        <v>68</v>
      </c>
      <c r="I17" s="6" t="s">
        <v>1390</v>
      </c>
      <c r="J17" s="6">
        <v>126658</v>
      </c>
      <c r="K17" s="7" t="s">
        <v>7765</v>
      </c>
      <c r="L17" s="8">
        <v>22598</v>
      </c>
      <c r="M17" s="8" t="str">
        <f t="shared" si="5"/>
        <v>PEN</v>
      </c>
      <c r="N17" s="13"/>
      <c r="O17" s="13">
        <v>10</v>
      </c>
      <c r="P17" s="3">
        <f t="shared" si="2"/>
        <v>0</v>
      </c>
      <c r="Q17" s="3">
        <f t="shared" si="3"/>
        <v>10</v>
      </c>
      <c r="R17" s="3">
        <f t="shared" si="4"/>
        <v>67.740000000000009</v>
      </c>
      <c r="S17" s="24" t="s">
        <v>1334</v>
      </c>
      <c r="T17" s="24" t="s">
        <v>1334</v>
      </c>
      <c r="U17" s="3"/>
      <c r="V17" s="25" t="s">
        <v>7761</v>
      </c>
      <c r="W17" s="25">
        <v>20124952850</v>
      </c>
      <c r="X17" s="25" t="str">
        <f>IFERROR(VLOOKUP(C_Ope_001[[#This Row],[nota_2]],Clientes_Proveedores[[Ruc / Dni]:[Razon Social]],2,0),"")</f>
        <v>ALIMENTOS Y SERVICIOS AGROPECUARIOS SRL.</v>
      </c>
      <c r="Y17" s="25"/>
      <c r="Z17" s="103"/>
      <c r="AA17" s="3" t="str">
        <f>IF(C_Ope_001[[#This Row],[fecha]]&gt;0,TEXT(C_Ope_001[[#This Row],[fecha]],"mmmm"),0)</f>
        <v>Enero</v>
      </c>
      <c r="AB17" s="159"/>
    </row>
    <row r="18" spans="1:28" ht="36" x14ac:dyDescent="0.3">
      <c r="A18" s="2">
        <f>IF(C_Ope_001[[#This Row],[tipo_r]]="R",COUNTIFS($C$1:$C17,"R")+1,"")</f>
        <v>17</v>
      </c>
      <c r="B18" s="19" t="str">
        <f t="shared" si="0"/>
        <v>C_Ope_001</v>
      </c>
      <c r="C18" s="3" t="s">
        <v>1330</v>
      </c>
      <c r="D18" s="212">
        <v>45666</v>
      </c>
      <c r="E18" s="5" t="s">
        <v>7753</v>
      </c>
      <c r="F18" s="5" t="s">
        <v>1336</v>
      </c>
      <c r="G18" s="6" t="s">
        <v>227</v>
      </c>
      <c r="H18" s="6" t="s">
        <v>68</v>
      </c>
      <c r="I18" s="6" t="s">
        <v>1390</v>
      </c>
      <c r="J18" s="6">
        <v>126653</v>
      </c>
      <c r="K18" s="7" t="s">
        <v>7766</v>
      </c>
      <c r="L18" s="8">
        <v>22600</v>
      </c>
      <c r="M18" s="8" t="str">
        <f t="shared" si="5"/>
        <v>PEN</v>
      </c>
      <c r="N18" s="13"/>
      <c r="O18" s="13">
        <v>10</v>
      </c>
      <c r="P18" s="3">
        <f t="shared" si="2"/>
        <v>0</v>
      </c>
      <c r="Q18" s="3">
        <f t="shared" si="3"/>
        <v>10</v>
      </c>
      <c r="R18" s="3">
        <f t="shared" si="4"/>
        <v>57.740000000000009</v>
      </c>
      <c r="S18" s="24" t="s">
        <v>1334</v>
      </c>
      <c r="T18" s="24" t="s">
        <v>1334</v>
      </c>
      <c r="U18" s="3"/>
      <c r="V18" s="25" t="s">
        <v>7761</v>
      </c>
      <c r="W18" s="25">
        <v>20124952850</v>
      </c>
      <c r="X18" s="25" t="str">
        <f>IFERROR(VLOOKUP(C_Ope_001[[#This Row],[nota_2]],Clientes_Proveedores[[Ruc / Dni]:[Razon Social]],2,0),"")</f>
        <v>ALIMENTOS Y SERVICIOS AGROPECUARIOS SRL.</v>
      </c>
      <c r="Y18" s="25"/>
      <c r="Z18" s="103"/>
      <c r="AA18" s="3" t="str">
        <f>IF(C_Ope_001[[#This Row],[fecha]]&gt;0,TEXT(C_Ope_001[[#This Row],[fecha]],"mmmm"),0)</f>
        <v>Enero</v>
      </c>
      <c r="AB18" s="159"/>
    </row>
    <row r="19" spans="1:28" ht="36" x14ac:dyDescent="0.3">
      <c r="A19" s="2">
        <f>IF(C_Ope_001[[#This Row],[tipo_r]]="R",COUNTIFS($C$1:$C18,"R")+1,"")</f>
        <v>18</v>
      </c>
      <c r="B19" s="19" t="str">
        <f t="shared" si="0"/>
        <v>C_Ope_001</v>
      </c>
      <c r="C19" s="3" t="s">
        <v>1330</v>
      </c>
      <c r="D19" s="212">
        <v>45666</v>
      </c>
      <c r="E19" s="5" t="s">
        <v>7753</v>
      </c>
      <c r="F19" s="5" t="s">
        <v>1336</v>
      </c>
      <c r="G19" s="6" t="s">
        <v>227</v>
      </c>
      <c r="H19" s="6" t="s">
        <v>68</v>
      </c>
      <c r="I19" s="6" t="s">
        <v>1390</v>
      </c>
      <c r="J19" s="6">
        <v>126651</v>
      </c>
      <c r="K19" s="7" t="s">
        <v>7767</v>
      </c>
      <c r="L19" s="8">
        <v>22601</v>
      </c>
      <c r="M19" s="8" t="str">
        <f t="shared" si="5"/>
        <v>PEN</v>
      </c>
      <c r="N19" s="13"/>
      <c r="O19" s="13">
        <v>10</v>
      </c>
      <c r="P19" s="3">
        <f t="shared" si="2"/>
        <v>0</v>
      </c>
      <c r="Q19" s="3">
        <f t="shared" si="3"/>
        <v>10</v>
      </c>
      <c r="R19" s="3">
        <f t="shared" si="4"/>
        <v>47.740000000000009</v>
      </c>
      <c r="S19" s="24" t="s">
        <v>1334</v>
      </c>
      <c r="T19" s="24" t="s">
        <v>1334</v>
      </c>
      <c r="U19" s="3"/>
      <c r="V19" s="25" t="s">
        <v>7761</v>
      </c>
      <c r="W19" s="25">
        <v>20124952850</v>
      </c>
      <c r="X19" s="25" t="str">
        <f>IFERROR(VLOOKUP(C_Ope_001[[#This Row],[nota_2]],Clientes_Proveedores[[Ruc / Dni]:[Razon Social]],2,0),"")</f>
        <v>ALIMENTOS Y SERVICIOS AGROPECUARIOS SRL.</v>
      </c>
      <c r="Y19" s="25"/>
      <c r="Z19" s="103"/>
      <c r="AA19" s="3" t="str">
        <f>IF(C_Ope_001[[#This Row],[fecha]]&gt;0,TEXT(C_Ope_001[[#This Row],[fecha]],"mmmm"),0)</f>
        <v>Enero</v>
      </c>
      <c r="AB19" s="159"/>
    </row>
    <row r="20" spans="1:28" ht="24" x14ac:dyDescent="0.3">
      <c r="A20" s="2">
        <f>IF(C_Ope_001[[#This Row],[tipo_r]]="R",COUNTIFS($C$1:$C19,"R")+1,"")</f>
        <v>19</v>
      </c>
      <c r="B20" s="19" t="str">
        <f t="shared" si="0"/>
        <v>C_Ope_001</v>
      </c>
      <c r="C20" s="3" t="s">
        <v>1330</v>
      </c>
      <c r="D20" s="211">
        <v>45670</v>
      </c>
      <c r="E20" s="5" t="s">
        <v>7514</v>
      </c>
      <c r="F20" s="5" t="s">
        <v>1303</v>
      </c>
      <c r="G20" s="6" t="s">
        <v>812</v>
      </c>
      <c r="H20" s="6"/>
      <c r="I20" s="6"/>
      <c r="J20" s="6"/>
      <c r="K20" s="7" t="s">
        <v>7516</v>
      </c>
      <c r="L20" s="8">
        <v>22622</v>
      </c>
      <c r="M20" s="8" t="str">
        <f t="shared" si="5"/>
        <v>PEN</v>
      </c>
      <c r="N20" s="13"/>
      <c r="O20" s="13">
        <v>150</v>
      </c>
      <c r="P20" s="3">
        <f t="shared" si="2"/>
        <v>150</v>
      </c>
      <c r="Q20" s="3">
        <f t="shared" si="3"/>
        <v>0</v>
      </c>
      <c r="R20" s="3">
        <f t="shared" si="4"/>
        <v>197.74</v>
      </c>
      <c r="S20" s="24" t="s">
        <v>1334</v>
      </c>
      <c r="T20" s="24" t="s">
        <v>1334</v>
      </c>
      <c r="U20" s="3"/>
      <c r="V20" s="25"/>
      <c r="W20" s="25"/>
      <c r="X20" s="25" t="str">
        <f>IFERROR(VLOOKUP(C_Ope_001[[#This Row],[nota_2]],Clientes_Proveedores[[Ruc / Dni]:[Razon Social]],2,0),"")</f>
        <v/>
      </c>
      <c r="Y20" s="25"/>
      <c r="Z20" s="103"/>
      <c r="AA20" s="3" t="str">
        <f>IF(C_Ope_001[[#This Row],[fecha]]&gt;0,TEXT(C_Ope_001[[#This Row],[fecha]],"mmmm"),0)</f>
        <v>Enero</v>
      </c>
      <c r="AB20" s="159"/>
    </row>
    <row r="21" spans="1:28" ht="24" x14ac:dyDescent="0.3">
      <c r="A21" s="2">
        <f>IF(C_Ope_001[[#This Row],[tipo_r]]="R",COUNTIFS($C$1:$C20,"R")+1,"")</f>
        <v>20</v>
      </c>
      <c r="B21" s="19" t="str">
        <f t="shared" si="0"/>
        <v>C_Ope_001</v>
      </c>
      <c r="C21" s="3" t="s">
        <v>1330</v>
      </c>
      <c r="D21" s="211">
        <v>45670</v>
      </c>
      <c r="E21" s="5" t="s">
        <v>7753</v>
      </c>
      <c r="F21" s="5" t="s">
        <v>1336</v>
      </c>
      <c r="G21" s="6" t="s">
        <v>978</v>
      </c>
      <c r="H21" s="6" t="s">
        <v>68</v>
      </c>
      <c r="I21" s="6" t="s">
        <v>6204</v>
      </c>
      <c r="J21" s="6">
        <v>1629749</v>
      </c>
      <c r="K21" s="7" t="s">
        <v>7768</v>
      </c>
      <c r="L21" s="8">
        <v>22623</v>
      </c>
      <c r="M21" s="8" t="str">
        <f t="shared" si="5"/>
        <v>PEN</v>
      </c>
      <c r="N21" s="13"/>
      <c r="O21" s="13">
        <v>8</v>
      </c>
      <c r="P21" s="3">
        <f t="shared" si="2"/>
        <v>0</v>
      </c>
      <c r="Q21" s="3">
        <f t="shared" si="3"/>
        <v>8</v>
      </c>
      <c r="R21" s="3">
        <f t="shared" si="4"/>
        <v>189.74</v>
      </c>
      <c r="S21" s="24" t="s">
        <v>1334</v>
      </c>
      <c r="T21" s="24" t="s">
        <v>1334</v>
      </c>
      <c r="U21" s="3"/>
      <c r="V21" s="25" t="s">
        <v>7756</v>
      </c>
      <c r="W21" s="25">
        <v>20517252558</v>
      </c>
      <c r="X21" s="25" t="str">
        <f>IFERROR(VLOOKUP(C_Ope_001[[#This Row],[nota_2]],Clientes_Proveedores[[Ruc / Dni]:[Razon Social]],2,0),"")</f>
        <v>COVISUR S.A.</v>
      </c>
      <c r="Y21" s="25"/>
      <c r="Z21" s="103"/>
      <c r="AA21" s="3" t="str">
        <f>IF(C_Ope_001[[#This Row],[fecha]]&gt;0,TEXT(C_Ope_001[[#This Row],[fecha]],"mmmm"),0)</f>
        <v>Enero</v>
      </c>
      <c r="AB21" s="159"/>
    </row>
    <row r="22" spans="1:28" ht="24" x14ac:dyDescent="0.3">
      <c r="A22" s="2">
        <f>IF(C_Ope_001[[#This Row],[tipo_r]]="R",COUNTIFS($C$1:$C21,"R")+1,"")</f>
        <v>21</v>
      </c>
      <c r="B22" s="19" t="str">
        <f t="shared" si="0"/>
        <v>C_Ope_001</v>
      </c>
      <c r="C22" s="3" t="s">
        <v>1330</v>
      </c>
      <c r="D22" s="211">
        <v>45670</v>
      </c>
      <c r="E22" s="5" t="s">
        <v>7753</v>
      </c>
      <c r="F22" s="5" t="s">
        <v>1336</v>
      </c>
      <c r="G22" s="6" t="s">
        <v>978</v>
      </c>
      <c r="H22" s="6" t="s">
        <v>68</v>
      </c>
      <c r="I22" s="6" t="s">
        <v>6203</v>
      </c>
      <c r="J22" s="6">
        <v>1926424</v>
      </c>
      <c r="K22" s="7" t="s">
        <v>7768</v>
      </c>
      <c r="L22" s="8">
        <v>22629</v>
      </c>
      <c r="M22" s="8" t="str">
        <f t="shared" si="5"/>
        <v>PEN</v>
      </c>
      <c r="N22" s="13"/>
      <c r="O22" s="13">
        <v>8</v>
      </c>
      <c r="P22" s="3">
        <f t="shared" si="2"/>
        <v>0</v>
      </c>
      <c r="Q22" s="3">
        <f t="shared" si="3"/>
        <v>8</v>
      </c>
      <c r="R22" s="3">
        <f t="shared" si="4"/>
        <v>181.74</v>
      </c>
      <c r="S22" s="24" t="s">
        <v>1334</v>
      </c>
      <c r="T22" s="24" t="s">
        <v>1334</v>
      </c>
      <c r="U22" s="3"/>
      <c r="V22" s="25" t="s">
        <v>7756</v>
      </c>
      <c r="W22" s="25">
        <v>20517252558</v>
      </c>
      <c r="X22" s="25" t="str">
        <f>IFERROR(VLOOKUP(C_Ope_001[[#This Row],[nota_2]],Clientes_Proveedores[[Ruc / Dni]:[Razon Social]],2,0),"")</f>
        <v>COVISUR S.A.</v>
      </c>
      <c r="Y22" s="25"/>
      <c r="Z22" s="103"/>
      <c r="AA22" s="3" t="str">
        <f>IF(C_Ope_001[[#This Row],[fecha]]&gt;0,TEXT(C_Ope_001[[#This Row],[fecha]],"mmmm"),0)</f>
        <v>Enero</v>
      </c>
      <c r="AB22" s="159"/>
    </row>
    <row r="23" spans="1:28" ht="24" x14ac:dyDescent="0.3">
      <c r="A23" s="2">
        <f>IF(C_Ope_001[[#This Row],[tipo_r]]="R",COUNTIFS($C$1:$C22,"R")+1,"")</f>
        <v>22</v>
      </c>
      <c r="B23" s="19" t="str">
        <f t="shared" si="0"/>
        <v>C_Ope_001</v>
      </c>
      <c r="C23" s="3" t="s">
        <v>1330</v>
      </c>
      <c r="D23" s="211">
        <v>45672</v>
      </c>
      <c r="E23" s="5" t="s">
        <v>7753</v>
      </c>
      <c r="F23" s="5" t="s">
        <v>1336</v>
      </c>
      <c r="G23" s="6" t="s">
        <v>978</v>
      </c>
      <c r="H23" s="6" t="s">
        <v>68</v>
      </c>
      <c r="I23" s="6" t="s">
        <v>5845</v>
      </c>
      <c r="J23" s="6">
        <v>1650209</v>
      </c>
      <c r="K23" s="7" t="s">
        <v>7769</v>
      </c>
      <c r="L23" s="8">
        <v>22656</v>
      </c>
      <c r="M23" s="8" t="str">
        <f t="shared" si="5"/>
        <v>PEN</v>
      </c>
      <c r="N23" s="13"/>
      <c r="O23" s="13">
        <v>5</v>
      </c>
      <c r="P23" s="3">
        <f t="shared" si="2"/>
        <v>0</v>
      </c>
      <c r="Q23" s="3">
        <f t="shared" si="3"/>
        <v>5</v>
      </c>
      <c r="R23" s="3">
        <f t="shared" si="4"/>
        <v>176.74</v>
      </c>
      <c r="S23" s="24" t="s">
        <v>1334</v>
      </c>
      <c r="T23" s="24" t="s">
        <v>1334</v>
      </c>
      <c r="U23" s="3"/>
      <c r="V23" s="25" t="s">
        <v>7756</v>
      </c>
      <c r="W23" s="25">
        <v>20517252558</v>
      </c>
      <c r="X23" s="25" t="str">
        <f>IFERROR(VLOOKUP(C_Ope_001[[#This Row],[nota_2]],Clientes_Proveedores[[Ruc / Dni]:[Razon Social]],2,0),"")</f>
        <v>COVISUR S.A.</v>
      </c>
      <c r="Y23" s="25"/>
      <c r="Z23" s="103"/>
      <c r="AA23" s="3" t="str">
        <f>IF(C_Ope_001[[#This Row],[fecha]]&gt;0,TEXT(C_Ope_001[[#This Row],[fecha]],"mmmm"),0)</f>
        <v>Enero</v>
      </c>
      <c r="AB23" s="159"/>
    </row>
    <row r="24" spans="1:28" ht="24" x14ac:dyDescent="0.3">
      <c r="A24" s="2">
        <f>IF(C_Ope_001[[#This Row],[tipo_r]]="R",COUNTIFS($C$1:$C23,"R")+1,"")</f>
        <v>23</v>
      </c>
      <c r="B24" s="19" t="str">
        <f t="shared" si="0"/>
        <v>C_Ope_001</v>
      </c>
      <c r="C24" s="3" t="s">
        <v>1330</v>
      </c>
      <c r="D24" s="211">
        <v>45672</v>
      </c>
      <c r="E24" s="5" t="s">
        <v>7753</v>
      </c>
      <c r="F24" s="5" t="s">
        <v>1336</v>
      </c>
      <c r="G24" s="6" t="s">
        <v>978</v>
      </c>
      <c r="H24" s="6" t="s">
        <v>68</v>
      </c>
      <c r="I24" s="6" t="s">
        <v>6204</v>
      </c>
      <c r="J24" s="6">
        <v>1631923</v>
      </c>
      <c r="K24" s="7" t="s">
        <v>7769</v>
      </c>
      <c r="L24" s="8">
        <v>22657</v>
      </c>
      <c r="M24" s="8" t="str">
        <f t="shared" si="5"/>
        <v>PEN</v>
      </c>
      <c r="N24" s="13"/>
      <c r="O24" s="13">
        <v>8</v>
      </c>
      <c r="P24" s="3">
        <f t="shared" si="2"/>
        <v>0</v>
      </c>
      <c r="Q24" s="3">
        <f t="shared" si="3"/>
        <v>8</v>
      </c>
      <c r="R24" s="3">
        <f t="shared" si="4"/>
        <v>168.74</v>
      </c>
      <c r="S24" s="24" t="s">
        <v>1334</v>
      </c>
      <c r="T24" s="24" t="s">
        <v>1334</v>
      </c>
      <c r="U24" s="3"/>
      <c r="V24" s="25" t="s">
        <v>7756</v>
      </c>
      <c r="W24" s="25">
        <v>20517252558</v>
      </c>
      <c r="X24" s="25" t="str">
        <f>IFERROR(VLOOKUP(C_Ope_001[[#This Row],[nota_2]],Clientes_Proveedores[[Ruc / Dni]:[Razon Social]],2,0),"")</f>
        <v>COVISUR S.A.</v>
      </c>
      <c r="Y24" s="25"/>
      <c r="Z24" s="103"/>
      <c r="AA24" s="3" t="str">
        <f>IF(C_Ope_001[[#This Row],[fecha]]&gt;0,TEXT(C_Ope_001[[#This Row],[fecha]],"mmmm"),0)</f>
        <v>Enero</v>
      </c>
      <c r="AB24" s="159"/>
    </row>
    <row r="25" spans="1:28" ht="24" x14ac:dyDescent="0.3">
      <c r="A25" s="2">
        <f>IF(C_Ope_001[[#This Row],[tipo_r]]="R",COUNTIFS($C$1:$C24,"R")+1,"")</f>
        <v>24</v>
      </c>
      <c r="B25" s="19" t="str">
        <f t="shared" si="0"/>
        <v>C_Ope_001</v>
      </c>
      <c r="C25" s="3" t="s">
        <v>1330</v>
      </c>
      <c r="D25" s="211">
        <v>45673</v>
      </c>
      <c r="E25" s="5" t="s">
        <v>7753</v>
      </c>
      <c r="F25" s="5" t="s">
        <v>1336</v>
      </c>
      <c r="G25" s="6" t="s">
        <v>978</v>
      </c>
      <c r="H25" s="6" t="s">
        <v>68</v>
      </c>
      <c r="I25" s="6" t="s">
        <v>5845</v>
      </c>
      <c r="J25" s="6">
        <v>1651158</v>
      </c>
      <c r="K25" s="7" t="s">
        <v>7770</v>
      </c>
      <c r="L25" s="8">
        <v>22672</v>
      </c>
      <c r="M25" s="8" t="str">
        <f t="shared" si="5"/>
        <v>PEN</v>
      </c>
      <c r="N25" s="13"/>
      <c r="O25" s="13">
        <v>8</v>
      </c>
      <c r="P25" s="3">
        <f t="shared" si="2"/>
        <v>0</v>
      </c>
      <c r="Q25" s="3">
        <f t="shared" si="3"/>
        <v>8</v>
      </c>
      <c r="R25" s="3">
        <f t="shared" si="4"/>
        <v>160.74</v>
      </c>
      <c r="S25" s="24" t="s">
        <v>1334</v>
      </c>
      <c r="T25" s="24" t="s">
        <v>1334</v>
      </c>
      <c r="U25" s="3"/>
      <c r="V25" s="25" t="s">
        <v>7756</v>
      </c>
      <c r="W25" s="25">
        <v>20517252558</v>
      </c>
      <c r="X25" s="25" t="str">
        <f>IFERROR(VLOOKUP(C_Ope_001[[#This Row],[nota_2]],Clientes_Proveedores[[Ruc / Dni]:[Razon Social]],2,0),"")</f>
        <v>COVISUR S.A.</v>
      </c>
      <c r="Y25" s="25"/>
      <c r="Z25" s="103"/>
      <c r="AA25" s="3" t="str">
        <f>IF(C_Ope_001[[#This Row],[fecha]]&gt;0,TEXT(C_Ope_001[[#This Row],[fecha]],"mmmm"),0)</f>
        <v>Enero</v>
      </c>
      <c r="AB25" s="159"/>
    </row>
    <row r="26" spans="1:28" ht="24" x14ac:dyDescent="0.3">
      <c r="A26" s="2">
        <f>IF(C_Ope_001[[#This Row],[tipo_r]]="R",COUNTIFS($C$1:$C25,"R")+1,"")</f>
        <v>25</v>
      </c>
      <c r="B26" s="19" t="str">
        <f t="shared" si="0"/>
        <v>C_Ope_001</v>
      </c>
      <c r="C26" s="3" t="s">
        <v>1330</v>
      </c>
      <c r="D26" s="211">
        <v>45673</v>
      </c>
      <c r="E26" s="5" t="s">
        <v>7753</v>
      </c>
      <c r="F26" s="5" t="s">
        <v>1336</v>
      </c>
      <c r="G26" s="6" t="s">
        <v>978</v>
      </c>
      <c r="H26" s="6" t="s">
        <v>68</v>
      </c>
      <c r="I26" s="6" t="s">
        <v>6204</v>
      </c>
      <c r="J26" s="6">
        <v>1632608</v>
      </c>
      <c r="K26" s="7" t="s">
        <v>7770</v>
      </c>
      <c r="L26" s="8">
        <v>22673</v>
      </c>
      <c r="M26" s="8" t="str">
        <f t="shared" si="5"/>
        <v>PEN</v>
      </c>
      <c r="N26" s="13"/>
      <c r="O26" s="13">
        <v>8</v>
      </c>
      <c r="P26" s="3">
        <f t="shared" si="2"/>
        <v>0</v>
      </c>
      <c r="Q26" s="3">
        <f t="shared" si="3"/>
        <v>8</v>
      </c>
      <c r="R26" s="3">
        <f t="shared" si="4"/>
        <v>152.74</v>
      </c>
      <c r="S26" s="24" t="s">
        <v>1334</v>
      </c>
      <c r="T26" s="24" t="s">
        <v>1334</v>
      </c>
      <c r="U26" s="3"/>
      <c r="V26" s="25" t="s">
        <v>7756</v>
      </c>
      <c r="W26" s="25">
        <v>20517252558</v>
      </c>
      <c r="X26" s="25" t="str">
        <f>IFERROR(VLOOKUP(C_Ope_001[[#This Row],[nota_2]],Clientes_Proveedores[[Ruc / Dni]:[Razon Social]],2,0),"")</f>
        <v>COVISUR S.A.</v>
      </c>
      <c r="Y26" s="25"/>
      <c r="Z26" s="103"/>
      <c r="AA26" s="3" t="str">
        <f>IF(C_Ope_001[[#This Row],[fecha]]&gt;0,TEXT(C_Ope_001[[#This Row],[fecha]],"mmmm"),0)</f>
        <v>Enero</v>
      </c>
      <c r="AB26" s="159"/>
    </row>
    <row r="27" spans="1:28" ht="24" x14ac:dyDescent="0.3">
      <c r="A27" s="2">
        <f>IF(C_Ope_001[[#This Row],[tipo_r]]="R",COUNTIFS($C$1:$C26,"R")+1,"")</f>
        <v>26</v>
      </c>
      <c r="B27" s="19" t="str">
        <f t="shared" si="0"/>
        <v>C_Ope_001</v>
      </c>
      <c r="C27" s="3" t="s">
        <v>1330</v>
      </c>
      <c r="D27" s="211">
        <v>45674</v>
      </c>
      <c r="E27" s="5" t="s">
        <v>7753</v>
      </c>
      <c r="F27" s="5" t="s">
        <v>1336</v>
      </c>
      <c r="G27" s="6" t="s">
        <v>978</v>
      </c>
      <c r="H27" s="6" t="s">
        <v>68</v>
      </c>
      <c r="I27" s="6" t="s">
        <v>6379</v>
      </c>
      <c r="J27" s="6">
        <v>446158</v>
      </c>
      <c r="K27" s="7" t="s">
        <v>7771</v>
      </c>
      <c r="L27" s="8">
        <v>22688</v>
      </c>
      <c r="M27" s="8" t="str">
        <f t="shared" si="5"/>
        <v>PEN</v>
      </c>
      <c r="N27" s="13"/>
      <c r="O27" s="13">
        <v>8</v>
      </c>
      <c r="P27" s="3">
        <f t="shared" si="2"/>
        <v>0</v>
      </c>
      <c r="Q27" s="3">
        <f t="shared" si="3"/>
        <v>8</v>
      </c>
      <c r="R27" s="3">
        <f t="shared" si="4"/>
        <v>144.74</v>
      </c>
      <c r="S27" s="24" t="s">
        <v>1334</v>
      </c>
      <c r="T27" s="24" t="s">
        <v>1334</v>
      </c>
      <c r="U27" s="3"/>
      <c r="V27" s="25" t="s">
        <v>7756</v>
      </c>
      <c r="W27" s="25">
        <v>20517252558</v>
      </c>
      <c r="X27" s="25" t="str">
        <f>IFERROR(VLOOKUP(C_Ope_001[[#This Row],[nota_2]],Clientes_Proveedores[[Ruc / Dni]:[Razon Social]],2,0),"")</f>
        <v>COVISUR S.A.</v>
      </c>
      <c r="Y27" s="25"/>
      <c r="Z27" s="103"/>
      <c r="AA27" s="3" t="str">
        <f>IF(C_Ope_001[[#This Row],[fecha]]&gt;0,TEXT(C_Ope_001[[#This Row],[fecha]],"mmmm"),0)</f>
        <v>Enero</v>
      </c>
      <c r="AB27" s="159"/>
    </row>
    <row r="28" spans="1:28" ht="24" x14ac:dyDescent="0.3">
      <c r="A28" s="2">
        <f>IF(C_Ope_001[[#This Row],[tipo_r]]="R",COUNTIFS($C$1:$C27,"R")+1,"")</f>
        <v>27</v>
      </c>
      <c r="B28" s="19" t="str">
        <f t="shared" si="0"/>
        <v>C_Ope_001</v>
      </c>
      <c r="C28" s="3" t="s">
        <v>1330</v>
      </c>
      <c r="D28" s="211">
        <v>45674</v>
      </c>
      <c r="E28" s="5" t="s">
        <v>7753</v>
      </c>
      <c r="F28" s="5" t="s">
        <v>1336</v>
      </c>
      <c r="G28" s="6" t="s">
        <v>978</v>
      </c>
      <c r="H28" s="6" t="s">
        <v>68</v>
      </c>
      <c r="I28" s="6" t="s">
        <v>6204</v>
      </c>
      <c r="J28" s="6">
        <v>1633539</v>
      </c>
      <c r="K28" s="7" t="s">
        <v>7772</v>
      </c>
      <c r="L28" s="8">
        <v>22689</v>
      </c>
      <c r="M28" s="8" t="str">
        <f t="shared" si="5"/>
        <v>PEN</v>
      </c>
      <c r="N28" s="13"/>
      <c r="O28" s="13">
        <v>8</v>
      </c>
      <c r="P28" s="3">
        <f t="shared" si="2"/>
        <v>0</v>
      </c>
      <c r="Q28" s="3">
        <f t="shared" si="3"/>
        <v>8</v>
      </c>
      <c r="R28" s="3">
        <f t="shared" si="4"/>
        <v>136.74</v>
      </c>
      <c r="S28" s="24" t="s">
        <v>1334</v>
      </c>
      <c r="T28" s="24" t="s">
        <v>1334</v>
      </c>
      <c r="U28" s="3"/>
      <c r="V28" s="25" t="s">
        <v>7756</v>
      </c>
      <c r="W28" s="25">
        <v>20517252558</v>
      </c>
      <c r="X28" s="25" t="str">
        <f>IFERROR(VLOOKUP(C_Ope_001[[#This Row],[nota_2]],Clientes_Proveedores[[Ruc / Dni]:[Razon Social]],2,0),"")</f>
        <v>COVISUR S.A.</v>
      </c>
      <c r="Y28" s="25"/>
      <c r="Z28" s="103"/>
      <c r="AA28" s="3" t="str">
        <f>IF(C_Ope_001[[#This Row],[fecha]]&gt;0,TEXT(C_Ope_001[[#This Row],[fecha]],"mmmm"),0)</f>
        <v>Enero</v>
      </c>
      <c r="AB28" s="159"/>
    </row>
    <row r="29" spans="1:28" ht="24" x14ac:dyDescent="0.3">
      <c r="A29" s="2">
        <f>IF(C_Ope_001[[#This Row],[tipo_r]]="R",COUNTIFS($C$1:$C28,"R")+1,"")</f>
        <v>28</v>
      </c>
      <c r="B29" s="19" t="str">
        <f t="shared" si="0"/>
        <v>C_Ope_001</v>
      </c>
      <c r="C29" s="3" t="s">
        <v>1330</v>
      </c>
      <c r="D29" s="211">
        <v>45674</v>
      </c>
      <c r="E29" s="5" t="s">
        <v>7753</v>
      </c>
      <c r="F29" s="5" t="s">
        <v>1336</v>
      </c>
      <c r="G29" s="6" t="s">
        <v>978</v>
      </c>
      <c r="H29" s="6" t="s">
        <v>68</v>
      </c>
      <c r="I29" s="6" t="s">
        <v>5845</v>
      </c>
      <c r="J29" s="6">
        <v>1652183</v>
      </c>
      <c r="K29" s="7" t="s">
        <v>7772</v>
      </c>
      <c r="L29" s="8">
        <v>22694</v>
      </c>
      <c r="M29" s="8" t="str">
        <f t="shared" si="5"/>
        <v>PEN</v>
      </c>
      <c r="N29" s="13"/>
      <c r="O29" s="13">
        <v>8</v>
      </c>
      <c r="P29" s="3">
        <f t="shared" si="2"/>
        <v>0</v>
      </c>
      <c r="Q29" s="3">
        <f t="shared" si="3"/>
        <v>8</v>
      </c>
      <c r="R29" s="3">
        <f t="shared" si="4"/>
        <v>128.74</v>
      </c>
      <c r="S29" s="24" t="s">
        <v>1334</v>
      </c>
      <c r="T29" s="24" t="s">
        <v>1334</v>
      </c>
      <c r="U29" s="3"/>
      <c r="V29" s="25" t="s">
        <v>7756</v>
      </c>
      <c r="W29" s="25">
        <v>20517252558</v>
      </c>
      <c r="X29" s="25" t="str">
        <f>IFERROR(VLOOKUP(C_Ope_001[[#This Row],[nota_2]],Clientes_Proveedores[[Ruc / Dni]:[Razon Social]],2,0),"")</f>
        <v>COVISUR S.A.</v>
      </c>
      <c r="Y29" s="25"/>
      <c r="Z29" s="103"/>
      <c r="AA29" s="3" t="str">
        <f>IF(C_Ope_001[[#This Row],[fecha]]&gt;0,TEXT(C_Ope_001[[#This Row],[fecha]],"mmmm"),0)</f>
        <v>Enero</v>
      </c>
      <c r="AB29" s="159"/>
    </row>
    <row r="30" spans="1:28" x14ac:dyDescent="0.3">
      <c r="A30" s="2">
        <f>IF(C_Ope_001[[#This Row],[tipo_r]]="R",COUNTIFS($C$1:$C29,"R")+1,"")</f>
        <v>29</v>
      </c>
      <c r="B30" s="19" t="str">
        <f t="shared" si="0"/>
        <v>C_Ope_001</v>
      </c>
      <c r="C30" s="3" t="s">
        <v>1330</v>
      </c>
      <c r="D30" s="211">
        <v>45674</v>
      </c>
      <c r="E30" s="5" t="s">
        <v>7753</v>
      </c>
      <c r="F30" s="5" t="s">
        <v>1336</v>
      </c>
      <c r="G30" s="6" t="s">
        <v>978</v>
      </c>
      <c r="H30" s="6" t="s">
        <v>68</v>
      </c>
      <c r="I30" s="6" t="s">
        <v>6380</v>
      </c>
      <c r="J30" s="6">
        <v>362477</v>
      </c>
      <c r="K30" s="7" t="s">
        <v>7773</v>
      </c>
      <c r="L30" s="8">
        <v>22733</v>
      </c>
      <c r="M30" s="8" t="str">
        <f t="shared" si="5"/>
        <v>PEN</v>
      </c>
      <c r="N30" s="13"/>
      <c r="O30" s="13">
        <v>8</v>
      </c>
      <c r="P30" s="3">
        <f t="shared" si="2"/>
        <v>0</v>
      </c>
      <c r="Q30" s="3">
        <f t="shared" si="3"/>
        <v>8</v>
      </c>
      <c r="R30" s="3">
        <f t="shared" si="4"/>
        <v>120.74000000000001</v>
      </c>
      <c r="S30" s="24" t="s">
        <v>1334</v>
      </c>
      <c r="T30" s="24" t="s">
        <v>1334</v>
      </c>
      <c r="U30" s="3"/>
      <c r="V30" s="25" t="s">
        <v>7756</v>
      </c>
      <c r="W30" s="25">
        <v>20517252558</v>
      </c>
      <c r="X30" s="25" t="str">
        <f>IFERROR(VLOOKUP(C_Ope_001[[#This Row],[nota_2]],Clientes_Proveedores[[Ruc / Dni]:[Razon Social]],2,0),"")</f>
        <v>COVISUR S.A.</v>
      </c>
      <c r="Y30" s="25"/>
      <c r="Z30" s="103"/>
      <c r="AA30" s="3" t="str">
        <f>IF(C_Ope_001[[#This Row],[fecha]]&gt;0,TEXT(C_Ope_001[[#This Row],[fecha]],"mmmm"),0)</f>
        <v>Enero</v>
      </c>
      <c r="AB30" s="159"/>
    </row>
    <row r="31" spans="1:28" x14ac:dyDescent="0.3">
      <c r="A31" s="2">
        <f>IF(C_Ope_001[[#This Row],[tipo_r]]="R",COUNTIFS($C$1:$C30,"R")+1,"")</f>
        <v>30</v>
      </c>
      <c r="B31" s="19" t="str">
        <f t="shared" si="0"/>
        <v>C_Ope_001</v>
      </c>
      <c r="C31" s="3" t="s">
        <v>1330</v>
      </c>
      <c r="D31" s="211">
        <v>45671</v>
      </c>
      <c r="E31" s="5" t="s">
        <v>7753</v>
      </c>
      <c r="F31" s="5" t="s">
        <v>1336</v>
      </c>
      <c r="G31" s="6" t="s">
        <v>1148</v>
      </c>
      <c r="H31" s="6" t="s">
        <v>68</v>
      </c>
      <c r="I31" s="6" t="s">
        <v>6378</v>
      </c>
      <c r="J31" s="6">
        <v>4957</v>
      </c>
      <c r="K31" s="7" t="s">
        <v>7774</v>
      </c>
      <c r="L31" s="8">
        <v>22642</v>
      </c>
      <c r="M31" s="8" t="str">
        <f t="shared" si="5"/>
        <v>PEN</v>
      </c>
      <c r="N31" s="13"/>
      <c r="O31" s="13">
        <v>10</v>
      </c>
      <c r="P31" s="3">
        <f t="shared" si="2"/>
        <v>0</v>
      </c>
      <c r="Q31" s="3">
        <f t="shared" si="3"/>
        <v>10</v>
      </c>
      <c r="R31" s="3">
        <f t="shared" si="4"/>
        <v>110.74000000000001</v>
      </c>
      <c r="S31" s="24" t="s">
        <v>1334</v>
      </c>
      <c r="T31" s="24" t="s">
        <v>1334</v>
      </c>
      <c r="U31" s="3"/>
      <c r="V31" s="25" t="s">
        <v>7756</v>
      </c>
      <c r="W31" s="25">
        <v>20611633972</v>
      </c>
      <c r="X31" s="25" t="str">
        <f>IFERROR(VLOOKUP(C_Ope_001[[#This Row],[nota_2]],Clientes_Proveedores[[Ruc / Dni]:[Razon Social]],2,0),"")</f>
        <v>NOVAARECY E.I.R.L.</v>
      </c>
      <c r="Y31" s="25"/>
      <c r="Z31" s="103"/>
      <c r="AA31" s="3" t="str">
        <f>IF(C_Ope_001[[#This Row],[fecha]]&gt;0,TEXT(C_Ope_001[[#This Row],[fecha]],"mmmm"),0)</f>
        <v>Enero</v>
      </c>
      <c r="AB31" s="159"/>
    </row>
    <row r="32" spans="1:28" x14ac:dyDescent="0.3">
      <c r="A32" s="2">
        <f>IF(C_Ope_001[[#This Row],[tipo_r]]="R",COUNTIFS($C$1:$C31,"R")+1,"")</f>
        <v>31</v>
      </c>
      <c r="B32" s="19" t="str">
        <f t="shared" si="0"/>
        <v>C_Ope_001</v>
      </c>
      <c r="C32" s="3" t="s">
        <v>1330</v>
      </c>
      <c r="D32" s="211">
        <v>45671</v>
      </c>
      <c r="E32" s="5" t="s">
        <v>7753</v>
      </c>
      <c r="F32" s="5" t="s">
        <v>1336</v>
      </c>
      <c r="G32" s="6" t="s">
        <v>1148</v>
      </c>
      <c r="H32" s="6" t="s">
        <v>68</v>
      </c>
      <c r="I32" s="6" t="s">
        <v>6378</v>
      </c>
      <c r="J32" s="6">
        <v>4959</v>
      </c>
      <c r="K32" s="7" t="s">
        <v>7775</v>
      </c>
      <c r="L32" s="8">
        <v>22643</v>
      </c>
      <c r="M32" s="8" t="str">
        <f t="shared" si="5"/>
        <v>PEN</v>
      </c>
      <c r="N32" s="13"/>
      <c r="O32" s="13">
        <v>10</v>
      </c>
      <c r="P32" s="3">
        <f t="shared" si="2"/>
        <v>0</v>
      </c>
      <c r="Q32" s="3">
        <f t="shared" si="3"/>
        <v>10</v>
      </c>
      <c r="R32" s="3">
        <f t="shared" si="4"/>
        <v>100.74000000000001</v>
      </c>
      <c r="S32" s="24" t="s">
        <v>1334</v>
      </c>
      <c r="T32" s="24" t="s">
        <v>1334</v>
      </c>
      <c r="U32" s="3"/>
      <c r="V32" s="25" t="s">
        <v>7756</v>
      </c>
      <c r="W32" s="25">
        <v>20611633972</v>
      </c>
      <c r="X32" s="25" t="str">
        <f>IFERROR(VLOOKUP(C_Ope_001[[#This Row],[nota_2]],Clientes_Proveedores[[Ruc / Dni]:[Razon Social]],2,0),"")</f>
        <v>NOVAARECY E.I.R.L.</v>
      </c>
      <c r="Y32" s="25"/>
      <c r="Z32" s="103"/>
      <c r="AA32" s="3" t="str">
        <f>IF(C_Ope_001[[#This Row],[fecha]]&gt;0,TEXT(C_Ope_001[[#This Row],[fecha]],"mmmm"),0)</f>
        <v>Enero</v>
      </c>
      <c r="AB32" s="159"/>
    </row>
    <row r="33" spans="1:28" ht="24" x14ac:dyDescent="0.3">
      <c r="A33" s="2">
        <f>IF(C_Ope_001[[#This Row],[tipo_r]]="R",COUNTIFS($C$1:$C32,"R")+1,"")</f>
        <v>32</v>
      </c>
      <c r="B33" s="19" t="str">
        <f t="shared" si="0"/>
        <v>C_Ope_001</v>
      </c>
      <c r="C33" s="3" t="s">
        <v>1330</v>
      </c>
      <c r="D33" s="211">
        <v>45674</v>
      </c>
      <c r="E33" s="5" t="s">
        <v>7753</v>
      </c>
      <c r="F33" s="5" t="s">
        <v>1336</v>
      </c>
      <c r="G33" s="6"/>
      <c r="H33" s="6" t="s">
        <v>68</v>
      </c>
      <c r="I33" s="6" t="s">
        <v>1374</v>
      </c>
      <c r="J33" s="6">
        <v>16660</v>
      </c>
      <c r="K33" s="7" t="s">
        <v>7776</v>
      </c>
      <c r="L33" s="8">
        <v>22690</v>
      </c>
      <c r="M33" s="8" t="str">
        <f t="shared" si="5"/>
        <v>PEN</v>
      </c>
      <c r="N33" s="13"/>
      <c r="O33" s="13">
        <v>0</v>
      </c>
      <c r="P33" s="3">
        <f t="shared" si="2"/>
        <v>0</v>
      </c>
      <c r="Q33" s="3">
        <f t="shared" si="3"/>
        <v>0</v>
      </c>
      <c r="R33" s="3">
        <f t="shared" si="4"/>
        <v>100.74000000000001</v>
      </c>
      <c r="S33" s="24"/>
      <c r="T33" s="24" t="s">
        <v>1334</v>
      </c>
      <c r="U33" s="3"/>
      <c r="V33" s="25" t="s">
        <v>7756</v>
      </c>
      <c r="W33" s="25"/>
      <c r="X33" s="25" t="str">
        <f>IFERROR(VLOOKUP(C_Ope_001[[#This Row],[nota_2]],Clientes_Proveedores[[Ruc / Dni]:[Razon Social]],2,0),"")</f>
        <v/>
      </c>
      <c r="Y33" s="25"/>
      <c r="Z33" s="103"/>
      <c r="AA33" s="3" t="str">
        <f>IF(C_Ope_001[[#This Row],[fecha]]&gt;0,TEXT(C_Ope_001[[#This Row],[fecha]],"mmmm"),0)</f>
        <v>Enero</v>
      </c>
      <c r="AB33" s="159"/>
    </row>
    <row r="34" spans="1:28" ht="36" x14ac:dyDescent="0.3">
      <c r="A34" s="2">
        <f>IF(C_Ope_001[[#This Row],[tipo_r]]="R",COUNTIFS($C$1:$C33,"R")+1,"")</f>
        <v>33</v>
      </c>
      <c r="B34" s="19" t="str">
        <f t="shared" si="0"/>
        <v>C_Ope_001</v>
      </c>
      <c r="C34" s="3" t="s">
        <v>1330</v>
      </c>
      <c r="D34" s="211">
        <v>45674</v>
      </c>
      <c r="E34" s="5" t="s">
        <v>7753</v>
      </c>
      <c r="F34" s="5" t="s">
        <v>1336</v>
      </c>
      <c r="G34" s="6" t="s">
        <v>1029</v>
      </c>
      <c r="H34" s="6" t="s">
        <v>68</v>
      </c>
      <c r="I34" s="6" t="s">
        <v>1374</v>
      </c>
      <c r="J34" s="6">
        <v>16661</v>
      </c>
      <c r="K34" s="7" t="s">
        <v>7776</v>
      </c>
      <c r="L34" s="8">
        <v>22695</v>
      </c>
      <c r="M34" s="8" t="str">
        <f t="shared" si="5"/>
        <v>PEN</v>
      </c>
      <c r="N34" s="13"/>
      <c r="O34" s="13">
        <v>11</v>
      </c>
      <c r="P34" s="3">
        <f t="shared" si="2"/>
        <v>0</v>
      </c>
      <c r="Q34" s="3">
        <f t="shared" si="3"/>
        <v>11</v>
      </c>
      <c r="R34" s="3">
        <f t="shared" si="4"/>
        <v>89.740000000000009</v>
      </c>
      <c r="S34" s="24" t="s">
        <v>1334</v>
      </c>
      <c r="T34" s="24" t="s">
        <v>1334</v>
      </c>
      <c r="U34" s="3"/>
      <c r="V34" s="25" t="s">
        <v>7756</v>
      </c>
      <c r="W34" s="25">
        <v>20454058187</v>
      </c>
      <c r="X34" s="25" t="str">
        <f>IFERROR(VLOOKUP(C_Ope_001[[#This Row],[nota_2]],Clientes_Proveedores[[Ruc / Dni]:[Razon Social]],2,0),"")</f>
        <v>ZONA ESPECIAL DE DESARROLLO ZED MATARANI</v>
      </c>
      <c r="Y34" s="25"/>
      <c r="Z34" s="103"/>
      <c r="AA34" s="3" t="str">
        <f>IF(C_Ope_001[[#This Row],[fecha]]&gt;0,TEXT(C_Ope_001[[#This Row],[fecha]],"mmmm"),0)</f>
        <v>Enero</v>
      </c>
      <c r="AB34" s="159"/>
    </row>
    <row r="35" spans="1:28" ht="24" x14ac:dyDescent="0.3">
      <c r="A35" s="2">
        <f>IF(C_Ope_001[[#This Row],[tipo_r]]="R",COUNTIFS($C$1:$C34,"R")+1,"")</f>
        <v>34</v>
      </c>
      <c r="B35" s="19" t="str">
        <f t="shared" si="0"/>
        <v>C_Ope_001</v>
      </c>
      <c r="C35" s="3" t="s">
        <v>1330</v>
      </c>
      <c r="D35" s="211">
        <v>45673</v>
      </c>
      <c r="E35" s="5" t="s">
        <v>7753</v>
      </c>
      <c r="F35" s="5" t="s">
        <v>1336</v>
      </c>
      <c r="G35" s="6" t="s">
        <v>999</v>
      </c>
      <c r="H35" s="6" t="s">
        <v>68</v>
      </c>
      <c r="I35" s="6" t="s">
        <v>1374</v>
      </c>
      <c r="J35" s="6">
        <v>15966</v>
      </c>
      <c r="K35" s="7" t="s">
        <v>7777</v>
      </c>
      <c r="L35" s="8">
        <v>22674</v>
      </c>
      <c r="M35" s="8" t="str">
        <f t="shared" si="5"/>
        <v>PEN</v>
      </c>
      <c r="N35" s="13"/>
      <c r="O35" s="13">
        <v>25</v>
      </c>
      <c r="P35" s="3">
        <f t="shared" si="2"/>
        <v>0</v>
      </c>
      <c r="Q35" s="3">
        <f t="shared" si="3"/>
        <v>25</v>
      </c>
      <c r="R35" s="3">
        <f t="shared" si="4"/>
        <v>64.740000000000009</v>
      </c>
      <c r="S35" s="24" t="s">
        <v>1334</v>
      </c>
      <c r="T35" s="24" t="s">
        <v>1334</v>
      </c>
      <c r="U35" s="3"/>
      <c r="V35" s="25" t="s">
        <v>7756</v>
      </c>
      <c r="W35" s="25">
        <v>10705628331</v>
      </c>
      <c r="X35" s="25" t="str">
        <f>IFERROR(VLOOKUP(C_Ope_001[[#This Row],[nota_2]],Clientes_Proveedores[[Ruc / Dni]:[Razon Social]],2,0),"")</f>
        <v>LARICO APAZA NANCY ROSSMARY</v>
      </c>
      <c r="Y35" s="25"/>
      <c r="Z35" s="103"/>
      <c r="AA35" s="3" t="str">
        <f>IF(C_Ope_001[[#This Row],[fecha]]&gt;0,TEXT(C_Ope_001[[#This Row],[fecha]],"mmmm"),0)</f>
        <v>Enero</v>
      </c>
      <c r="AB35" s="159"/>
    </row>
    <row r="36" spans="1:28" ht="24" x14ac:dyDescent="0.3">
      <c r="A36" s="2">
        <f>IF(C_Ope_001[[#This Row],[tipo_r]]="R",COUNTIFS($C$1:$C35,"R")+1,"")</f>
        <v>35</v>
      </c>
      <c r="B36" s="19" t="str">
        <f t="shared" si="0"/>
        <v>C_Ope_001</v>
      </c>
      <c r="C36" s="3" t="s">
        <v>1330</v>
      </c>
      <c r="D36" s="211">
        <v>45678</v>
      </c>
      <c r="E36" s="5" t="s">
        <v>7514</v>
      </c>
      <c r="F36" s="5" t="s">
        <v>1303</v>
      </c>
      <c r="G36" s="6" t="s">
        <v>812</v>
      </c>
      <c r="H36" s="6"/>
      <c r="I36" s="6"/>
      <c r="J36" s="6"/>
      <c r="K36" s="7" t="s">
        <v>7516</v>
      </c>
      <c r="L36" s="8">
        <v>22749</v>
      </c>
      <c r="M36" s="8" t="str">
        <f t="shared" si="5"/>
        <v>PEN</v>
      </c>
      <c r="N36" s="13"/>
      <c r="O36" s="13">
        <v>140</v>
      </c>
      <c r="P36" s="3">
        <f t="shared" si="2"/>
        <v>140</v>
      </c>
      <c r="Q36" s="3">
        <f t="shared" si="3"/>
        <v>0</v>
      </c>
      <c r="R36" s="3">
        <f t="shared" si="4"/>
        <v>204.74</v>
      </c>
      <c r="S36" s="24" t="s">
        <v>1334</v>
      </c>
      <c r="T36" s="24" t="s">
        <v>1334</v>
      </c>
      <c r="U36" s="3"/>
      <c r="V36" s="25"/>
      <c r="W36" s="25"/>
      <c r="X36" s="25" t="str">
        <f>IFERROR(VLOOKUP(C_Ope_001[[#This Row],[nota_2]],Clientes_Proveedores[[Ruc / Dni]:[Razon Social]],2,0),"")</f>
        <v/>
      </c>
      <c r="Y36" s="25"/>
      <c r="Z36" s="103"/>
      <c r="AA36" s="3" t="str">
        <f>IF(C_Ope_001[[#This Row],[fecha]]&gt;0,TEXT(C_Ope_001[[#This Row],[fecha]],"mmmm"),0)</f>
        <v>Enero</v>
      </c>
      <c r="AB36" s="159"/>
    </row>
    <row r="37" spans="1:28" ht="24" x14ac:dyDescent="0.3">
      <c r="A37" s="2">
        <f>IF(C_Ope_001[[#This Row],[tipo_r]]="R",COUNTIFS($C$1:$C36,"R")+1,"")</f>
        <v>36</v>
      </c>
      <c r="B37" s="19" t="str">
        <f t="shared" si="0"/>
        <v>C_Ope_001</v>
      </c>
      <c r="C37" s="3" t="s">
        <v>1330</v>
      </c>
      <c r="D37" s="211">
        <v>45677</v>
      </c>
      <c r="E37" s="5" t="s">
        <v>7753</v>
      </c>
      <c r="F37" s="5" t="s">
        <v>1336</v>
      </c>
      <c r="G37" s="6" t="s">
        <v>978</v>
      </c>
      <c r="H37" s="6" t="s">
        <v>68</v>
      </c>
      <c r="I37" s="6" t="s">
        <v>6204</v>
      </c>
      <c r="J37" s="6">
        <v>1635580</v>
      </c>
      <c r="K37" s="7" t="s">
        <v>7778</v>
      </c>
      <c r="L37" s="8">
        <v>22730</v>
      </c>
      <c r="M37" s="8" t="str">
        <f t="shared" si="5"/>
        <v>PEN</v>
      </c>
      <c r="N37" s="13"/>
      <c r="O37" s="13">
        <v>8</v>
      </c>
      <c r="P37" s="3">
        <f t="shared" si="2"/>
        <v>0</v>
      </c>
      <c r="Q37" s="3">
        <f t="shared" si="3"/>
        <v>8</v>
      </c>
      <c r="R37" s="3">
        <f t="shared" si="4"/>
        <v>196.74</v>
      </c>
      <c r="S37" s="24" t="s">
        <v>1334</v>
      </c>
      <c r="T37" s="24" t="s">
        <v>1334</v>
      </c>
      <c r="U37" s="3"/>
      <c r="V37" s="25" t="s">
        <v>7756</v>
      </c>
      <c r="W37" s="25">
        <v>20517252558</v>
      </c>
      <c r="X37" s="25" t="str">
        <f>IFERROR(VLOOKUP(C_Ope_001[[#This Row],[nota_2]],Clientes_Proveedores[[Ruc / Dni]:[Razon Social]],2,0),"")</f>
        <v>COVISUR S.A.</v>
      </c>
      <c r="Y37" s="25"/>
      <c r="Z37" s="103"/>
      <c r="AA37" s="3" t="str">
        <f>IF(C_Ope_001[[#This Row],[fecha]]&gt;0,TEXT(C_Ope_001[[#This Row],[fecha]],"mmmm"),0)</f>
        <v>Enero</v>
      </c>
      <c r="AB37" s="159"/>
    </row>
    <row r="38" spans="1:28" ht="24" x14ac:dyDescent="0.3">
      <c r="A38" s="2">
        <f>IF(C_Ope_001[[#This Row],[tipo_r]]="R",COUNTIFS($C$1:$C37,"R")+1,"")</f>
        <v>37</v>
      </c>
      <c r="B38" s="19" t="str">
        <f t="shared" si="0"/>
        <v>C_Ope_001</v>
      </c>
      <c r="C38" s="3" t="s">
        <v>1330</v>
      </c>
      <c r="D38" s="211">
        <v>45677</v>
      </c>
      <c r="E38" s="5" t="s">
        <v>7753</v>
      </c>
      <c r="F38" s="5" t="s">
        <v>1336</v>
      </c>
      <c r="G38" s="6" t="s">
        <v>978</v>
      </c>
      <c r="H38" s="6" t="s">
        <v>68</v>
      </c>
      <c r="I38" s="6" t="s">
        <v>6203</v>
      </c>
      <c r="J38" s="6">
        <v>1933886</v>
      </c>
      <c r="K38" s="7" t="s">
        <v>7778</v>
      </c>
      <c r="L38" s="8">
        <v>22732</v>
      </c>
      <c r="M38" s="8" t="str">
        <f t="shared" si="5"/>
        <v>PEN</v>
      </c>
      <c r="N38" s="13"/>
      <c r="O38" s="13">
        <v>8</v>
      </c>
      <c r="P38" s="3">
        <f t="shared" si="2"/>
        <v>0</v>
      </c>
      <c r="Q38" s="3">
        <f t="shared" si="3"/>
        <v>8</v>
      </c>
      <c r="R38" s="3">
        <f t="shared" si="4"/>
        <v>188.74</v>
      </c>
      <c r="S38" s="24" t="s">
        <v>1334</v>
      </c>
      <c r="T38" s="24" t="s">
        <v>1334</v>
      </c>
      <c r="U38" s="3"/>
      <c r="V38" s="25" t="s">
        <v>7756</v>
      </c>
      <c r="W38" s="25">
        <v>20517252558</v>
      </c>
      <c r="X38" s="25" t="str">
        <f>IFERROR(VLOOKUP(C_Ope_001[[#This Row],[nota_2]],Clientes_Proveedores[[Ruc / Dni]:[Razon Social]],2,0),"")</f>
        <v>COVISUR S.A.</v>
      </c>
      <c r="Y38" s="25"/>
      <c r="Z38" s="103"/>
      <c r="AA38" s="3" t="str">
        <f>IF(C_Ope_001[[#This Row],[fecha]]&gt;0,TEXT(C_Ope_001[[#This Row],[fecha]],"mmmm"),0)</f>
        <v>Enero</v>
      </c>
      <c r="AB38" s="159"/>
    </row>
    <row r="39" spans="1:28" ht="24" x14ac:dyDescent="0.3">
      <c r="A39" s="2">
        <f>IF(C_Ope_001[[#This Row],[tipo_r]]="R",COUNTIFS($C$1:$C38,"R")+1,"")</f>
        <v>38</v>
      </c>
      <c r="B39" s="19" t="str">
        <f t="shared" si="0"/>
        <v>C_Ope_001</v>
      </c>
      <c r="C39" s="3" t="s">
        <v>1330</v>
      </c>
      <c r="D39" s="211">
        <v>45678</v>
      </c>
      <c r="E39" s="5" t="s">
        <v>7753</v>
      </c>
      <c r="F39" s="5" t="s">
        <v>1336</v>
      </c>
      <c r="G39" s="6" t="s">
        <v>978</v>
      </c>
      <c r="H39" s="6" t="s">
        <v>68</v>
      </c>
      <c r="I39" s="6" t="s">
        <v>5688</v>
      </c>
      <c r="J39" s="6">
        <v>2204680</v>
      </c>
      <c r="K39" s="7" t="s">
        <v>7779</v>
      </c>
      <c r="L39" s="8">
        <v>22748</v>
      </c>
      <c r="M39" s="8" t="str">
        <f t="shared" si="5"/>
        <v>PEN</v>
      </c>
      <c r="N39" s="13"/>
      <c r="O39" s="13">
        <v>8</v>
      </c>
      <c r="P39" s="3">
        <f t="shared" si="2"/>
        <v>0</v>
      </c>
      <c r="Q39" s="3">
        <f t="shared" si="3"/>
        <v>8</v>
      </c>
      <c r="R39" s="3">
        <f t="shared" si="4"/>
        <v>180.74</v>
      </c>
      <c r="S39" s="24" t="s">
        <v>1334</v>
      </c>
      <c r="T39" s="24" t="s">
        <v>1334</v>
      </c>
      <c r="U39" s="3"/>
      <c r="V39" s="25" t="s">
        <v>7756</v>
      </c>
      <c r="W39" s="25">
        <v>20517252558</v>
      </c>
      <c r="X39" s="25" t="str">
        <f>IFERROR(VLOOKUP(C_Ope_001[[#This Row],[nota_2]],Clientes_Proveedores[[Ruc / Dni]:[Razon Social]],2,0),"")</f>
        <v>COVISUR S.A.</v>
      </c>
      <c r="Y39" s="25"/>
      <c r="Z39" s="103"/>
      <c r="AA39" s="3" t="str">
        <f>IF(C_Ope_001[[#This Row],[fecha]]&gt;0,TEXT(C_Ope_001[[#This Row],[fecha]],"mmmm"),0)</f>
        <v>Enero</v>
      </c>
      <c r="AB39" s="159"/>
    </row>
    <row r="40" spans="1:28" ht="24" x14ac:dyDescent="0.3">
      <c r="A40" s="2">
        <f>IF(C_Ope_001[[#This Row],[tipo_r]]="R",COUNTIFS($C$1:$C39,"R")+1,"")</f>
        <v>39</v>
      </c>
      <c r="B40" s="19" t="str">
        <f t="shared" si="0"/>
        <v>C_Ope_001</v>
      </c>
      <c r="C40" s="3" t="s">
        <v>1330</v>
      </c>
      <c r="D40" s="211">
        <v>45678</v>
      </c>
      <c r="E40" s="5" t="s">
        <v>7753</v>
      </c>
      <c r="F40" s="5" t="s">
        <v>1336</v>
      </c>
      <c r="G40" s="6" t="s">
        <v>978</v>
      </c>
      <c r="H40" s="6" t="s">
        <v>68</v>
      </c>
      <c r="I40" s="6" t="s">
        <v>5845</v>
      </c>
      <c r="J40" s="6">
        <v>1655334</v>
      </c>
      <c r="K40" s="7" t="s">
        <v>7779</v>
      </c>
      <c r="L40" s="8">
        <v>22751</v>
      </c>
      <c r="M40" s="8" t="str">
        <f t="shared" si="5"/>
        <v>PEN</v>
      </c>
      <c r="N40" s="13"/>
      <c r="O40" s="13">
        <v>8</v>
      </c>
      <c r="P40" s="3">
        <f t="shared" si="2"/>
        <v>0</v>
      </c>
      <c r="Q40" s="3">
        <f t="shared" si="3"/>
        <v>8</v>
      </c>
      <c r="R40" s="3">
        <f t="shared" si="4"/>
        <v>172.74</v>
      </c>
      <c r="S40" s="24" t="s">
        <v>1334</v>
      </c>
      <c r="T40" s="24" t="s">
        <v>1334</v>
      </c>
      <c r="U40" s="3"/>
      <c r="V40" s="25" t="s">
        <v>7756</v>
      </c>
      <c r="W40" s="25">
        <v>20517252558</v>
      </c>
      <c r="X40" s="25" t="str">
        <f>IFERROR(VLOOKUP(C_Ope_001[[#This Row],[nota_2]],Clientes_Proveedores[[Ruc / Dni]:[Razon Social]],2,0),"")</f>
        <v>COVISUR S.A.</v>
      </c>
      <c r="Y40" s="25"/>
      <c r="Z40" s="103"/>
      <c r="AA40" s="3" t="str">
        <f>IF(C_Ope_001[[#This Row],[fecha]]&gt;0,TEXT(C_Ope_001[[#This Row],[fecha]],"mmmm"),0)</f>
        <v>Enero</v>
      </c>
      <c r="AB40" s="159"/>
    </row>
    <row r="41" spans="1:28" ht="24" x14ac:dyDescent="0.3">
      <c r="A41" s="2">
        <f>IF(C_Ope_001[[#This Row],[tipo_r]]="R",COUNTIFS($C$1:$C40,"R")+1,"")</f>
        <v>40</v>
      </c>
      <c r="B41" s="19" t="str">
        <f t="shared" si="0"/>
        <v>C_Ope_001</v>
      </c>
      <c r="C41" s="3" t="s">
        <v>1330</v>
      </c>
      <c r="D41" s="211">
        <v>45679</v>
      </c>
      <c r="E41" s="5" t="s">
        <v>7753</v>
      </c>
      <c r="F41" s="5" t="s">
        <v>1336</v>
      </c>
      <c r="G41" s="6" t="s">
        <v>978</v>
      </c>
      <c r="H41" s="6" t="s">
        <v>68</v>
      </c>
      <c r="I41" s="6" t="s">
        <v>6203</v>
      </c>
      <c r="J41" s="6">
        <v>1935759</v>
      </c>
      <c r="K41" s="7" t="s">
        <v>7780</v>
      </c>
      <c r="L41" s="8">
        <v>22761</v>
      </c>
      <c r="M41" s="8" t="str">
        <f t="shared" si="5"/>
        <v>PEN</v>
      </c>
      <c r="N41" s="13"/>
      <c r="O41" s="13">
        <v>8</v>
      </c>
      <c r="P41" s="3">
        <f t="shared" si="2"/>
        <v>0</v>
      </c>
      <c r="Q41" s="3">
        <f t="shared" si="3"/>
        <v>8</v>
      </c>
      <c r="R41" s="3">
        <f t="shared" si="4"/>
        <v>164.74</v>
      </c>
      <c r="S41" s="24" t="s">
        <v>1334</v>
      </c>
      <c r="T41" s="24" t="s">
        <v>1334</v>
      </c>
      <c r="U41" s="3"/>
      <c r="V41" s="25" t="s">
        <v>7756</v>
      </c>
      <c r="W41" s="25">
        <v>20517252558</v>
      </c>
      <c r="X41" s="25" t="str">
        <f>IFERROR(VLOOKUP(C_Ope_001[[#This Row],[nota_2]],Clientes_Proveedores[[Ruc / Dni]:[Razon Social]],2,0),"")</f>
        <v>COVISUR S.A.</v>
      </c>
      <c r="Y41" s="25"/>
      <c r="Z41" s="103"/>
      <c r="AA41" s="3" t="str">
        <f>IF(C_Ope_001[[#This Row],[fecha]]&gt;0,TEXT(C_Ope_001[[#This Row],[fecha]],"mmmm"),0)</f>
        <v>Enero</v>
      </c>
      <c r="AB41" s="159"/>
    </row>
    <row r="42" spans="1:28" ht="24" x14ac:dyDescent="0.3">
      <c r="A42" s="2">
        <f>IF(C_Ope_001[[#This Row],[tipo_r]]="R",COUNTIFS($C$1:$C41,"R")+1,"")</f>
        <v>41</v>
      </c>
      <c r="B42" s="19" t="str">
        <f t="shared" si="0"/>
        <v>C_Ope_001</v>
      </c>
      <c r="C42" s="3" t="s">
        <v>1330</v>
      </c>
      <c r="D42" s="211">
        <v>45679</v>
      </c>
      <c r="E42" s="5" t="s">
        <v>7753</v>
      </c>
      <c r="F42" s="5" t="s">
        <v>1336</v>
      </c>
      <c r="G42" s="6" t="s">
        <v>978</v>
      </c>
      <c r="H42" s="6" t="s">
        <v>68</v>
      </c>
      <c r="I42" s="6" t="s">
        <v>5688</v>
      </c>
      <c r="J42" s="6">
        <v>2205689</v>
      </c>
      <c r="K42" s="7" t="s">
        <v>7780</v>
      </c>
      <c r="L42" s="8">
        <v>22762</v>
      </c>
      <c r="M42" s="8" t="str">
        <f t="shared" si="5"/>
        <v>PEN</v>
      </c>
      <c r="N42" s="13"/>
      <c r="O42" s="13">
        <v>8</v>
      </c>
      <c r="P42" s="3">
        <f t="shared" si="2"/>
        <v>0</v>
      </c>
      <c r="Q42" s="3">
        <f t="shared" si="3"/>
        <v>8</v>
      </c>
      <c r="R42" s="3">
        <f t="shared" si="4"/>
        <v>156.74</v>
      </c>
      <c r="S42" s="24" t="s">
        <v>1334</v>
      </c>
      <c r="T42" s="24" t="s">
        <v>1334</v>
      </c>
      <c r="U42" s="3"/>
      <c r="V42" s="25" t="s">
        <v>7756</v>
      </c>
      <c r="W42" s="25">
        <v>20517252558</v>
      </c>
      <c r="X42" s="25" t="str">
        <f>IFERROR(VLOOKUP(C_Ope_001[[#This Row],[nota_2]],Clientes_Proveedores[[Ruc / Dni]:[Razon Social]],2,0),"")</f>
        <v>COVISUR S.A.</v>
      </c>
      <c r="Y42" s="25"/>
      <c r="Z42" s="103"/>
      <c r="AA42" s="3" t="str">
        <f>IF(C_Ope_001[[#This Row],[fecha]]&gt;0,TEXT(C_Ope_001[[#This Row],[fecha]],"mmmm"),0)</f>
        <v>Enero</v>
      </c>
      <c r="AB42" s="159"/>
    </row>
    <row r="43" spans="1:28" ht="36" x14ac:dyDescent="0.3">
      <c r="A43" s="2">
        <f>IF(C_Ope_001[[#This Row],[tipo_r]]="R",COUNTIFS($C$1:$C42,"R")+1,"")</f>
        <v>42</v>
      </c>
      <c r="B43" s="19" t="str">
        <f t="shared" si="0"/>
        <v>C_Ope_001</v>
      </c>
      <c r="C43" s="3" t="s">
        <v>1330</v>
      </c>
      <c r="D43" s="211">
        <v>45680</v>
      </c>
      <c r="E43" s="5" t="s">
        <v>7753</v>
      </c>
      <c r="F43" s="5" t="s">
        <v>1336</v>
      </c>
      <c r="G43" s="6" t="s">
        <v>978</v>
      </c>
      <c r="H43" s="6" t="s">
        <v>68</v>
      </c>
      <c r="I43" s="6" t="s">
        <v>5845</v>
      </c>
      <c r="J43" s="6">
        <v>1657302</v>
      </c>
      <c r="K43" s="7" t="s">
        <v>7781</v>
      </c>
      <c r="L43" s="8">
        <v>22772</v>
      </c>
      <c r="M43" s="8" t="str">
        <f t="shared" si="5"/>
        <v>PEN</v>
      </c>
      <c r="N43" s="13"/>
      <c r="O43" s="13">
        <v>8</v>
      </c>
      <c r="P43" s="3">
        <f t="shared" si="2"/>
        <v>0</v>
      </c>
      <c r="Q43" s="3">
        <f t="shared" si="3"/>
        <v>8</v>
      </c>
      <c r="R43" s="3">
        <f t="shared" si="4"/>
        <v>148.74</v>
      </c>
      <c r="S43" s="24" t="s">
        <v>1334</v>
      </c>
      <c r="T43" s="24" t="s">
        <v>1334</v>
      </c>
      <c r="U43" s="3"/>
      <c r="V43" s="25" t="s">
        <v>7756</v>
      </c>
      <c r="W43" s="25">
        <v>20517252558</v>
      </c>
      <c r="X43" s="25" t="str">
        <f>IFERROR(VLOOKUP(C_Ope_001[[#This Row],[nota_2]],Clientes_Proveedores[[Ruc / Dni]:[Razon Social]],2,0),"")</f>
        <v>COVISUR S.A.</v>
      </c>
      <c r="Y43" s="25"/>
      <c r="Z43" s="103"/>
      <c r="AA43" s="3" t="str">
        <f>IF(C_Ope_001[[#This Row],[fecha]]&gt;0,TEXT(C_Ope_001[[#This Row],[fecha]],"mmmm"),0)</f>
        <v>Enero</v>
      </c>
      <c r="AB43" s="159"/>
    </row>
    <row r="44" spans="1:28" ht="36" x14ac:dyDescent="0.3">
      <c r="A44" s="2">
        <f>IF(C_Ope_001[[#This Row],[tipo_r]]="R",COUNTIFS($C$1:$C43,"R")+1,"")</f>
        <v>43</v>
      </c>
      <c r="B44" s="19" t="str">
        <f t="shared" si="0"/>
        <v>C_Ope_001</v>
      </c>
      <c r="C44" s="3" t="s">
        <v>1330</v>
      </c>
      <c r="D44" s="211">
        <v>45680</v>
      </c>
      <c r="E44" s="5" t="s">
        <v>7753</v>
      </c>
      <c r="F44" s="5" t="s">
        <v>1336</v>
      </c>
      <c r="G44" s="6" t="s">
        <v>978</v>
      </c>
      <c r="H44" s="6" t="s">
        <v>68</v>
      </c>
      <c r="I44" s="6" t="s">
        <v>6204</v>
      </c>
      <c r="J44" s="6">
        <v>1638573</v>
      </c>
      <c r="K44" s="7" t="s">
        <v>7781</v>
      </c>
      <c r="L44" s="8">
        <v>22773</v>
      </c>
      <c r="M44" s="8" t="str">
        <f t="shared" si="5"/>
        <v>PEN</v>
      </c>
      <c r="N44" s="13"/>
      <c r="O44" s="13">
        <v>8</v>
      </c>
      <c r="P44" s="3">
        <f t="shared" si="2"/>
        <v>0</v>
      </c>
      <c r="Q44" s="3">
        <f t="shared" si="3"/>
        <v>8</v>
      </c>
      <c r="R44" s="3">
        <f t="shared" si="4"/>
        <v>140.74</v>
      </c>
      <c r="S44" s="24" t="s">
        <v>1334</v>
      </c>
      <c r="T44" s="24" t="s">
        <v>1334</v>
      </c>
      <c r="U44" s="3"/>
      <c r="V44" s="25" t="s">
        <v>7756</v>
      </c>
      <c r="W44" s="25">
        <v>20517252558</v>
      </c>
      <c r="X44" s="25" t="str">
        <f>IFERROR(VLOOKUP(C_Ope_001[[#This Row],[nota_2]],Clientes_Proveedores[[Ruc / Dni]:[Razon Social]],2,0),"")</f>
        <v>COVISUR S.A.</v>
      </c>
      <c r="Y44" s="25"/>
      <c r="Z44" s="103"/>
      <c r="AA44" s="3" t="str">
        <f>IF(C_Ope_001[[#This Row],[fecha]]&gt;0,TEXT(C_Ope_001[[#This Row],[fecha]],"mmmm"),0)</f>
        <v>Enero</v>
      </c>
      <c r="AB44" s="159"/>
    </row>
    <row r="45" spans="1:28" ht="24" x14ac:dyDescent="0.3">
      <c r="A45" s="2">
        <f>IF(C_Ope_001[[#This Row],[tipo_r]]="R",COUNTIFS($C$1:$C44,"R")+1,"")</f>
        <v>44</v>
      </c>
      <c r="B45" s="19" t="str">
        <f t="shared" si="0"/>
        <v>C_Ope_001</v>
      </c>
      <c r="C45" s="3" t="s">
        <v>1330</v>
      </c>
      <c r="D45" s="211">
        <v>45681</v>
      </c>
      <c r="E45" s="5" t="s">
        <v>7753</v>
      </c>
      <c r="F45" s="5" t="s">
        <v>1336</v>
      </c>
      <c r="G45" s="6" t="s">
        <v>999</v>
      </c>
      <c r="H45" s="6" t="s">
        <v>68</v>
      </c>
      <c r="I45" s="6" t="s">
        <v>1374</v>
      </c>
      <c r="J45" s="6">
        <v>16083</v>
      </c>
      <c r="K45" s="7" t="s">
        <v>7777</v>
      </c>
      <c r="L45" s="8">
        <v>22783</v>
      </c>
      <c r="M45" s="8" t="str">
        <f t="shared" si="5"/>
        <v>PEN</v>
      </c>
      <c r="N45" s="13"/>
      <c r="O45" s="13">
        <v>25</v>
      </c>
      <c r="P45" s="3">
        <f t="shared" si="2"/>
        <v>0</v>
      </c>
      <c r="Q45" s="3">
        <f t="shared" si="3"/>
        <v>25</v>
      </c>
      <c r="R45" s="3">
        <f t="shared" si="4"/>
        <v>115.74000000000001</v>
      </c>
      <c r="S45" s="24" t="s">
        <v>1334</v>
      </c>
      <c r="T45" s="24" t="s">
        <v>1334</v>
      </c>
      <c r="U45" s="3"/>
      <c r="V45" s="25" t="s">
        <v>7756</v>
      </c>
      <c r="W45" s="25">
        <v>10705628331</v>
      </c>
      <c r="X45" s="25" t="str">
        <f>IFERROR(VLOOKUP(C_Ope_001[[#This Row],[nota_2]],Clientes_Proveedores[[Ruc / Dni]:[Razon Social]],2,0),"")</f>
        <v>LARICO APAZA NANCY ROSSMARY</v>
      </c>
      <c r="Y45" s="25"/>
      <c r="Z45" s="103"/>
      <c r="AA45" s="3" t="str">
        <f>IF(C_Ope_001[[#This Row],[fecha]]&gt;0,TEXT(C_Ope_001[[#This Row],[fecha]],"mmmm"),0)</f>
        <v>Enero</v>
      </c>
      <c r="AB45" s="159"/>
    </row>
    <row r="46" spans="1:28" ht="24" x14ac:dyDescent="0.3">
      <c r="A46" s="2">
        <f>IF(C_Ope_001[[#This Row],[tipo_r]]="R",COUNTIFS($C$1:$C45,"R")+1,"")</f>
        <v>45</v>
      </c>
      <c r="B46" s="19" t="str">
        <f t="shared" si="0"/>
        <v>C_Ope_001</v>
      </c>
      <c r="C46" s="3" t="s">
        <v>1330</v>
      </c>
      <c r="D46" s="211">
        <v>45684</v>
      </c>
      <c r="E46" s="5" t="s">
        <v>7514</v>
      </c>
      <c r="F46" s="5" t="s">
        <v>1303</v>
      </c>
      <c r="G46" s="6" t="s">
        <v>812</v>
      </c>
      <c r="H46" s="6"/>
      <c r="I46" s="6"/>
      <c r="J46" s="6"/>
      <c r="K46" s="7" t="s">
        <v>7516</v>
      </c>
      <c r="L46" s="8">
        <v>22810</v>
      </c>
      <c r="M46" s="8" t="str">
        <f t="shared" si="5"/>
        <v>PEN</v>
      </c>
      <c r="N46" s="13"/>
      <c r="O46" s="13">
        <v>80</v>
      </c>
      <c r="P46" s="3">
        <f t="shared" si="2"/>
        <v>80</v>
      </c>
      <c r="Q46" s="3">
        <f t="shared" si="3"/>
        <v>0</v>
      </c>
      <c r="R46" s="3">
        <f t="shared" si="4"/>
        <v>195.74</v>
      </c>
      <c r="S46" s="24" t="s">
        <v>1334</v>
      </c>
      <c r="T46" s="24" t="s">
        <v>1334</v>
      </c>
      <c r="U46" s="3"/>
      <c r="V46" s="25"/>
      <c r="W46" s="25"/>
      <c r="X46" s="25" t="str">
        <f>IFERROR(VLOOKUP(C_Ope_001[[#This Row],[nota_2]],Clientes_Proveedores[[Ruc / Dni]:[Razon Social]],2,0),"")</f>
        <v/>
      </c>
      <c r="Y46" s="25"/>
      <c r="Z46" s="103"/>
      <c r="AA46" s="3" t="str">
        <f>IF(C_Ope_001[[#This Row],[fecha]]&gt;0,TEXT(C_Ope_001[[#This Row],[fecha]],"mmmm"),0)</f>
        <v>Enero</v>
      </c>
      <c r="AB46" s="159"/>
    </row>
    <row r="47" spans="1:28" ht="24" x14ac:dyDescent="0.3">
      <c r="A47" s="2">
        <f>IF(C_Ope_001[[#This Row],[tipo_r]]="R",COUNTIFS($C$1:$C46,"R")+1,"")</f>
        <v>46</v>
      </c>
      <c r="B47" s="19" t="str">
        <f t="shared" si="0"/>
        <v>C_Ope_001</v>
      </c>
      <c r="C47" s="3" t="s">
        <v>1330</v>
      </c>
      <c r="D47" s="211">
        <v>45686</v>
      </c>
      <c r="E47" s="5" t="s">
        <v>7753</v>
      </c>
      <c r="F47" s="5" t="s">
        <v>1336</v>
      </c>
      <c r="G47" s="6" t="s">
        <v>978</v>
      </c>
      <c r="H47" s="6" t="s">
        <v>68</v>
      </c>
      <c r="I47" s="6" t="s">
        <v>5688</v>
      </c>
      <c r="J47" s="6">
        <v>2214107</v>
      </c>
      <c r="K47" s="7" t="s">
        <v>7782</v>
      </c>
      <c r="L47" s="8">
        <v>22834</v>
      </c>
      <c r="M47" s="8" t="str">
        <f t="shared" si="5"/>
        <v>PEN</v>
      </c>
      <c r="N47" s="13"/>
      <c r="O47" s="13">
        <v>8</v>
      </c>
      <c r="P47" s="3">
        <f t="shared" si="2"/>
        <v>0</v>
      </c>
      <c r="Q47" s="3">
        <f t="shared" si="3"/>
        <v>8</v>
      </c>
      <c r="R47" s="3">
        <f t="shared" si="4"/>
        <v>187.74</v>
      </c>
      <c r="S47" s="24" t="s">
        <v>1334</v>
      </c>
      <c r="T47" s="24" t="s">
        <v>1334</v>
      </c>
      <c r="U47" s="3"/>
      <c r="V47" s="25" t="s">
        <v>7756</v>
      </c>
      <c r="W47" s="25">
        <v>20517252558</v>
      </c>
      <c r="X47" s="25" t="str">
        <f>IFERROR(VLOOKUP(C_Ope_001[[#This Row],[nota_2]],Clientes_Proveedores[[Ruc / Dni]:[Razon Social]],2,0),"")</f>
        <v>COVISUR S.A.</v>
      </c>
      <c r="Y47" s="25"/>
      <c r="Z47" s="103"/>
      <c r="AA47" s="3" t="str">
        <f>IF(C_Ope_001[[#This Row],[fecha]]&gt;0,TEXT(C_Ope_001[[#This Row],[fecha]],"mmmm"),0)</f>
        <v>Enero</v>
      </c>
      <c r="AB47" s="159"/>
    </row>
    <row r="48" spans="1:28" ht="24" x14ac:dyDescent="0.3">
      <c r="A48" s="2">
        <f>IF(C_Ope_001[[#This Row],[tipo_r]]="R",COUNTIFS($C$1:$C47,"R")+1,"")</f>
        <v>47</v>
      </c>
      <c r="B48" s="19" t="str">
        <f t="shared" si="0"/>
        <v>C_Ope_001</v>
      </c>
      <c r="C48" s="3" t="s">
        <v>1330</v>
      </c>
      <c r="D48" s="211">
        <v>45686</v>
      </c>
      <c r="E48" s="5" t="s">
        <v>7753</v>
      </c>
      <c r="F48" s="5" t="s">
        <v>1336</v>
      </c>
      <c r="G48" s="6" t="s">
        <v>978</v>
      </c>
      <c r="H48" s="6" t="s">
        <v>68</v>
      </c>
      <c r="I48" s="6" t="s">
        <v>5845</v>
      </c>
      <c r="J48" s="6">
        <v>1662514</v>
      </c>
      <c r="K48" s="7" t="s">
        <v>7782</v>
      </c>
      <c r="L48" s="8">
        <v>22835</v>
      </c>
      <c r="M48" s="8" t="str">
        <f t="shared" si="5"/>
        <v>PEN</v>
      </c>
      <c r="N48" s="13"/>
      <c r="O48" s="13">
        <v>8</v>
      </c>
      <c r="P48" s="3">
        <f t="shared" si="2"/>
        <v>0</v>
      </c>
      <c r="Q48" s="3">
        <f t="shared" si="3"/>
        <v>8</v>
      </c>
      <c r="R48" s="3">
        <f t="shared" si="4"/>
        <v>179.74</v>
      </c>
      <c r="S48" s="24" t="s">
        <v>1334</v>
      </c>
      <c r="T48" s="24" t="s">
        <v>1334</v>
      </c>
      <c r="U48" s="3"/>
      <c r="V48" s="25" t="s">
        <v>7756</v>
      </c>
      <c r="W48" s="25">
        <v>20517252558</v>
      </c>
      <c r="X48" s="25" t="str">
        <f>IFERROR(VLOOKUP(C_Ope_001[[#This Row],[nota_2]],Clientes_Proveedores[[Ruc / Dni]:[Razon Social]],2,0),"")</f>
        <v>COVISUR S.A.</v>
      </c>
      <c r="Y48" s="25"/>
      <c r="Z48" s="103"/>
      <c r="AA48" s="3" t="str">
        <f>IF(C_Ope_001[[#This Row],[fecha]]&gt;0,TEXT(C_Ope_001[[#This Row],[fecha]],"mmmm"),0)</f>
        <v>Enero</v>
      </c>
      <c r="AB48" s="159"/>
    </row>
    <row r="49" spans="1:28" ht="36" x14ac:dyDescent="0.3">
      <c r="A49" s="2">
        <f>IF(C_Ope_001[[#This Row],[tipo_r]]="R",COUNTIFS($C$1:$C48,"R")+1,"")</f>
        <v>48</v>
      </c>
      <c r="B49" s="19" t="str">
        <f t="shared" si="0"/>
        <v>C_Ope_001</v>
      </c>
      <c r="C49" s="3" t="s">
        <v>1330</v>
      </c>
      <c r="D49" s="211">
        <v>45684</v>
      </c>
      <c r="E49" s="5" t="s">
        <v>7753</v>
      </c>
      <c r="F49" s="5" t="s">
        <v>1336</v>
      </c>
      <c r="G49" s="6" t="s">
        <v>227</v>
      </c>
      <c r="H49" s="6" t="s">
        <v>68</v>
      </c>
      <c r="I49" s="6" t="s">
        <v>1390</v>
      </c>
      <c r="J49" s="6">
        <v>127483</v>
      </c>
      <c r="K49" s="7" t="s">
        <v>7783</v>
      </c>
      <c r="L49" s="8">
        <v>22811</v>
      </c>
      <c r="M49" s="8" t="str">
        <f t="shared" si="5"/>
        <v>PEN</v>
      </c>
      <c r="N49" s="13"/>
      <c r="O49" s="13">
        <v>10</v>
      </c>
      <c r="P49" s="3">
        <f t="shared" si="2"/>
        <v>0</v>
      </c>
      <c r="Q49" s="3">
        <f t="shared" si="3"/>
        <v>10</v>
      </c>
      <c r="R49" s="3">
        <f t="shared" si="4"/>
        <v>169.74</v>
      </c>
      <c r="S49" s="24" t="s">
        <v>1334</v>
      </c>
      <c r="T49" s="24" t="s">
        <v>1334</v>
      </c>
      <c r="U49" s="3"/>
      <c r="V49" s="25" t="s">
        <v>7756</v>
      </c>
      <c r="W49" s="25">
        <v>20124952850</v>
      </c>
      <c r="X49" s="25" t="str">
        <f>IFERROR(VLOOKUP(C_Ope_001[[#This Row],[nota_2]],Clientes_Proveedores[[Ruc / Dni]:[Razon Social]],2,0),"")</f>
        <v>ALIMENTOS Y SERVICIOS AGROPECUARIOS SRL.</v>
      </c>
      <c r="Y49" s="25"/>
      <c r="Z49" s="103"/>
      <c r="AA49" s="3" t="str">
        <f>IF(C_Ope_001[[#This Row],[fecha]]&gt;0,TEXT(C_Ope_001[[#This Row],[fecha]],"mmmm"),0)</f>
        <v>Enero</v>
      </c>
      <c r="AB49" s="159"/>
    </row>
    <row r="50" spans="1:28" ht="36" x14ac:dyDescent="0.3">
      <c r="A50" s="2">
        <f>IF(C_Ope_001[[#This Row],[tipo_r]]="R",COUNTIFS($C$1:$C49,"R")+1,"")</f>
        <v>49</v>
      </c>
      <c r="B50" s="19" t="str">
        <f t="shared" si="0"/>
        <v>C_Ope_001</v>
      </c>
      <c r="C50" s="3" t="s">
        <v>1330</v>
      </c>
      <c r="D50" s="211">
        <v>45684</v>
      </c>
      <c r="E50" s="5" t="s">
        <v>7753</v>
      </c>
      <c r="F50" s="5" t="s">
        <v>1336</v>
      </c>
      <c r="G50" s="6" t="s">
        <v>227</v>
      </c>
      <c r="H50" s="6" t="s">
        <v>68</v>
      </c>
      <c r="I50" s="6" t="s">
        <v>1390</v>
      </c>
      <c r="J50" s="6">
        <v>127475</v>
      </c>
      <c r="K50" s="7" t="s">
        <v>7783</v>
      </c>
      <c r="L50" s="8">
        <v>22812</v>
      </c>
      <c r="M50" s="8" t="str">
        <f t="shared" si="5"/>
        <v>PEN</v>
      </c>
      <c r="N50" s="13"/>
      <c r="O50" s="13">
        <v>10</v>
      </c>
      <c r="P50" s="3">
        <f t="shared" si="2"/>
        <v>0</v>
      </c>
      <c r="Q50" s="3">
        <f t="shared" si="3"/>
        <v>10</v>
      </c>
      <c r="R50" s="3">
        <f t="shared" si="4"/>
        <v>159.74</v>
      </c>
      <c r="S50" s="24" t="s">
        <v>1334</v>
      </c>
      <c r="T50" s="24" t="s">
        <v>1334</v>
      </c>
      <c r="U50" s="3"/>
      <c r="V50" s="25" t="s">
        <v>7756</v>
      </c>
      <c r="W50" s="25">
        <v>20124952850</v>
      </c>
      <c r="X50" s="25" t="str">
        <f>IFERROR(VLOOKUP(C_Ope_001[[#This Row],[nota_2]],Clientes_Proveedores[[Ruc / Dni]:[Razon Social]],2,0),"")</f>
        <v>ALIMENTOS Y SERVICIOS AGROPECUARIOS SRL.</v>
      </c>
      <c r="Y50" s="25"/>
      <c r="Z50" s="103"/>
      <c r="AA50" s="3" t="str">
        <f>IF(C_Ope_001[[#This Row],[fecha]]&gt;0,TEXT(C_Ope_001[[#This Row],[fecha]],"mmmm"),0)</f>
        <v>Enero</v>
      </c>
      <c r="AB50" s="159"/>
    </row>
    <row r="51" spans="1:28" ht="36" x14ac:dyDescent="0.3">
      <c r="A51" s="2">
        <f>IF(C_Ope_001[[#This Row],[tipo_r]]="R",COUNTIFS($C$1:$C50,"R")+1,"")</f>
        <v>50</v>
      </c>
      <c r="B51" s="19" t="str">
        <f t="shared" si="0"/>
        <v>C_Ope_001</v>
      </c>
      <c r="C51" s="3" t="s">
        <v>1330</v>
      </c>
      <c r="D51" s="211">
        <v>45685</v>
      </c>
      <c r="E51" s="5" t="s">
        <v>7753</v>
      </c>
      <c r="F51" s="5" t="s">
        <v>1336</v>
      </c>
      <c r="G51" s="6" t="s">
        <v>227</v>
      </c>
      <c r="H51" s="6" t="s">
        <v>68</v>
      </c>
      <c r="I51" s="6" t="s">
        <v>1390</v>
      </c>
      <c r="J51" s="6">
        <v>127555</v>
      </c>
      <c r="K51" s="7" t="s">
        <v>7765</v>
      </c>
      <c r="L51" s="8">
        <v>22817</v>
      </c>
      <c r="M51" s="8" t="str">
        <f t="shared" si="5"/>
        <v>PEN</v>
      </c>
      <c r="N51" s="13"/>
      <c r="O51" s="13">
        <v>10</v>
      </c>
      <c r="P51" s="3">
        <f t="shared" si="2"/>
        <v>0</v>
      </c>
      <c r="Q51" s="3">
        <f t="shared" si="3"/>
        <v>10</v>
      </c>
      <c r="R51" s="3">
        <f t="shared" si="4"/>
        <v>149.74</v>
      </c>
      <c r="S51" s="24" t="s">
        <v>1334</v>
      </c>
      <c r="T51" s="24" t="s">
        <v>1334</v>
      </c>
      <c r="U51" s="3"/>
      <c r="V51" s="25" t="s">
        <v>7756</v>
      </c>
      <c r="W51" s="25">
        <v>20124952850</v>
      </c>
      <c r="X51" s="25" t="str">
        <f>IFERROR(VLOOKUP(C_Ope_001[[#This Row],[nota_2]],Clientes_Proveedores[[Ruc / Dni]:[Razon Social]],2,0),"")</f>
        <v>ALIMENTOS Y SERVICIOS AGROPECUARIOS SRL.</v>
      </c>
      <c r="Y51" s="25"/>
      <c r="Z51" s="103"/>
      <c r="AA51" s="3" t="str">
        <f>IF(C_Ope_001[[#This Row],[fecha]]&gt;0,TEXT(C_Ope_001[[#This Row],[fecha]],"mmmm"),0)</f>
        <v>Enero</v>
      </c>
      <c r="AB51" s="159"/>
    </row>
    <row r="52" spans="1:28" ht="36" x14ac:dyDescent="0.3">
      <c r="A52" s="2">
        <f>IF(C_Ope_001[[#This Row],[tipo_r]]="R",COUNTIFS($C$1:$C51,"R")+1,"")</f>
        <v>51</v>
      </c>
      <c r="B52" s="19" t="str">
        <f t="shared" si="0"/>
        <v>C_Ope_001</v>
      </c>
      <c r="C52" s="3" t="s">
        <v>1330</v>
      </c>
      <c r="D52" s="211">
        <v>45685</v>
      </c>
      <c r="E52" s="5" t="s">
        <v>7753</v>
      </c>
      <c r="F52" s="5" t="s">
        <v>1336</v>
      </c>
      <c r="G52" s="6" t="s">
        <v>227</v>
      </c>
      <c r="H52" s="6" t="s">
        <v>68</v>
      </c>
      <c r="I52" s="6" t="s">
        <v>1390</v>
      </c>
      <c r="J52" s="6">
        <v>127518</v>
      </c>
      <c r="K52" s="7" t="s">
        <v>7765</v>
      </c>
      <c r="L52" s="8">
        <v>22818</v>
      </c>
      <c r="M52" s="8" t="str">
        <f t="shared" si="5"/>
        <v>PEN</v>
      </c>
      <c r="N52" s="13"/>
      <c r="O52" s="13">
        <v>10</v>
      </c>
      <c r="P52" s="3">
        <f t="shared" si="2"/>
        <v>0</v>
      </c>
      <c r="Q52" s="3">
        <f t="shared" si="3"/>
        <v>10</v>
      </c>
      <c r="R52" s="3">
        <f t="shared" si="4"/>
        <v>139.74</v>
      </c>
      <c r="S52" s="24" t="s">
        <v>1334</v>
      </c>
      <c r="T52" s="24" t="s">
        <v>1334</v>
      </c>
      <c r="U52" s="3"/>
      <c r="V52" s="25" t="s">
        <v>7756</v>
      </c>
      <c r="W52" s="25">
        <v>20124952850</v>
      </c>
      <c r="X52" s="25" t="str">
        <f>IFERROR(VLOOKUP(C_Ope_001[[#This Row],[nota_2]],Clientes_Proveedores[[Ruc / Dni]:[Razon Social]],2,0),"")</f>
        <v>ALIMENTOS Y SERVICIOS AGROPECUARIOS SRL.</v>
      </c>
      <c r="Y52" s="25"/>
      <c r="Z52" s="103"/>
      <c r="AA52" s="3" t="str">
        <f>IF(C_Ope_001[[#This Row],[fecha]]&gt;0,TEXT(C_Ope_001[[#This Row],[fecha]],"mmmm"),0)</f>
        <v>Enero</v>
      </c>
      <c r="AB52" s="159"/>
    </row>
    <row r="53" spans="1:28" ht="36" x14ac:dyDescent="0.3">
      <c r="A53" s="2">
        <f>IF(C_Ope_001[[#This Row],[tipo_r]]="R",COUNTIFS($C$1:$C52,"R")+1,"")</f>
        <v>52</v>
      </c>
      <c r="B53" s="19" t="str">
        <f t="shared" si="0"/>
        <v>C_Ope_001</v>
      </c>
      <c r="C53" s="3" t="s">
        <v>1330</v>
      </c>
      <c r="D53" s="211">
        <v>45687</v>
      </c>
      <c r="E53" s="5" t="s">
        <v>7753</v>
      </c>
      <c r="F53" s="5" t="s">
        <v>1336</v>
      </c>
      <c r="G53" s="6" t="s">
        <v>227</v>
      </c>
      <c r="H53" s="6" t="s">
        <v>68</v>
      </c>
      <c r="I53" s="6" t="s">
        <v>1390</v>
      </c>
      <c r="J53" s="6">
        <v>127665</v>
      </c>
      <c r="K53" s="7" t="s">
        <v>7784</v>
      </c>
      <c r="L53" s="8">
        <v>22837</v>
      </c>
      <c r="M53" s="8" t="str">
        <f t="shared" si="5"/>
        <v>PEN</v>
      </c>
      <c r="N53" s="13"/>
      <c r="O53" s="13">
        <v>10</v>
      </c>
      <c r="P53" s="3">
        <f t="shared" si="2"/>
        <v>0</v>
      </c>
      <c r="Q53" s="3">
        <f t="shared" si="3"/>
        <v>10</v>
      </c>
      <c r="R53" s="3">
        <f t="shared" si="4"/>
        <v>129.74</v>
      </c>
      <c r="S53" s="24" t="s">
        <v>1334</v>
      </c>
      <c r="T53" s="24" t="s">
        <v>1334</v>
      </c>
      <c r="U53" s="3"/>
      <c r="V53" s="25" t="s">
        <v>7756</v>
      </c>
      <c r="W53" s="25">
        <v>20124952850</v>
      </c>
      <c r="X53" s="25" t="str">
        <f>IFERROR(VLOOKUP(C_Ope_001[[#This Row],[nota_2]],Clientes_Proveedores[[Ruc / Dni]:[Razon Social]],2,0),"")</f>
        <v>ALIMENTOS Y SERVICIOS AGROPECUARIOS SRL.</v>
      </c>
      <c r="Y53" s="25"/>
      <c r="Z53" s="103"/>
      <c r="AA53" s="3" t="str">
        <f>IF(C_Ope_001[[#This Row],[fecha]]&gt;0,TEXT(C_Ope_001[[#This Row],[fecha]],"mmmm"),0)</f>
        <v>Enero</v>
      </c>
      <c r="AB53" s="159"/>
    </row>
    <row r="54" spans="1:28" ht="36" x14ac:dyDescent="0.3">
      <c r="A54" s="2">
        <f>IF(C_Ope_001[[#This Row],[tipo_r]]="R",COUNTIFS($C$1:$C53,"R")+1,"")</f>
        <v>53</v>
      </c>
      <c r="B54" s="19" t="str">
        <f t="shared" si="0"/>
        <v>C_Ope_001</v>
      </c>
      <c r="C54" s="3" t="s">
        <v>1330</v>
      </c>
      <c r="D54" s="211">
        <v>45687</v>
      </c>
      <c r="E54" s="5" t="s">
        <v>7753</v>
      </c>
      <c r="F54" s="5" t="s">
        <v>1336</v>
      </c>
      <c r="G54" s="6" t="s">
        <v>227</v>
      </c>
      <c r="H54" s="6" t="s">
        <v>68</v>
      </c>
      <c r="I54" s="6" t="s">
        <v>1390</v>
      </c>
      <c r="J54" s="6">
        <v>127666</v>
      </c>
      <c r="K54" s="7" t="s">
        <v>7785</v>
      </c>
      <c r="L54" s="8">
        <v>22838</v>
      </c>
      <c r="M54" s="8" t="str">
        <f t="shared" si="5"/>
        <v>PEN</v>
      </c>
      <c r="N54" s="13"/>
      <c r="O54" s="13">
        <v>10</v>
      </c>
      <c r="P54" s="3">
        <f t="shared" si="2"/>
        <v>0</v>
      </c>
      <c r="Q54" s="3">
        <f t="shared" si="3"/>
        <v>10</v>
      </c>
      <c r="R54" s="3">
        <f t="shared" si="4"/>
        <v>119.74000000000001</v>
      </c>
      <c r="S54" s="24" t="s">
        <v>1334</v>
      </c>
      <c r="T54" s="24" t="s">
        <v>1334</v>
      </c>
      <c r="U54" s="3"/>
      <c r="V54" s="25" t="s">
        <v>7756</v>
      </c>
      <c r="W54" s="25">
        <v>20124952850</v>
      </c>
      <c r="X54" s="25" t="str">
        <f>IFERROR(VLOOKUP(C_Ope_001[[#This Row],[nota_2]],Clientes_Proveedores[[Ruc / Dni]:[Razon Social]],2,0),"")</f>
        <v>ALIMENTOS Y SERVICIOS AGROPECUARIOS SRL.</v>
      </c>
      <c r="Y54" s="25"/>
      <c r="Z54" s="103"/>
      <c r="AA54" s="3" t="str">
        <f>IF(C_Ope_001[[#This Row],[fecha]]&gt;0,TEXT(C_Ope_001[[#This Row],[fecha]],"mmmm"),0)</f>
        <v>Enero</v>
      </c>
      <c r="AB54" s="159"/>
    </row>
    <row r="55" spans="1:28" ht="36" x14ac:dyDescent="0.3">
      <c r="A55" s="2">
        <f>IF(C_Ope_001[[#This Row],[tipo_r]]="R",COUNTIFS($C$1:$C54,"R")+1,"")</f>
        <v>54</v>
      </c>
      <c r="B55" s="19" t="str">
        <f t="shared" si="0"/>
        <v>C_Ope_001</v>
      </c>
      <c r="C55" s="3" t="s">
        <v>1330</v>
      </c>
      <c r="D55" s="211">
        <v>45687</v>
      </c>
      <c r="E55" s="5" t="s">
        <v>7753</v>
      </c>
      <c r="F55" s="5" t="s">
        <v>1336</v>
      </c>
      <c r="G55" s="6" t="s">
        <v>227</v>
      </c>
      <c r="H55" s="6" t="s">
        <v>68</v>
      </c>
      <c r="I55" s="6" t="s">
        <v>1390</v>
      </c>
      <c r="J55" s="6">
        <v>127648</v>
      </c>
      <c r="K55" s="7" t="s">
        <v>7786</v>
      </c>
      <c r="L55" s="8">
        <v>22839</v>
      </c>
      <c r="M55" s="8" t="str">
        <f t="shared" si="5"/>
        <v>PEN</v>
      </c>
      <c r="N55" s="13"/>
      <c r="O55" s="13">
        <v>10</v>
      </c>
      <c r="P55" s="3">
        <f t="shared" si="2"/>
        <v>0</v>
      </c>
      <c r="Q55" s="3">
        <f t="shared" si="3"/>
        <v>10</v>
      </c>
      <c r="R55" s="3">
        <f t="shared" si="4"/>
        <v>109.74000000000001</v>
      </c>
      <c r="S55" s="24" t="s">
        <v>1334</v>
      </c>
      <c r="T55" s="24" t="s">
        <v>1334</v>
      </c>
      <c r="U55" s="3"/>
      <c r="V55" s="25" t="s">
        <v>7756</v>
      </c>
      <c r="W55" s="25">
        <v>20124952850</v>
      </c>
      <c r="X55" s="25" t="str">
        <f>IFERROR(VLOOKUP(C_Ope_001[[#This Row],[nota_2]],Clientes_Proveedores[[Ruc / Dni]:[Razon Social]],2,0),"")</f>
        <v>ALIMENTOS Y SERVICIOS AGROPECUARIOS SRL.</v>
      </c>
      <c r="Y55" s="25"/>
      <c r="Z55" s="103"/>
      <c r="AA55" s="3" t="str">
        <f>IF(C_Ope_001[[#This Row],[fecha]]&gt;0,TEXT(C_Ope_001[[#This Row],[fecha]],"mmmm"),0)</f>
        <v>Enero</v>
      </c>
      <c r="AB55" s="159"/>
    </row>
    <row r="56" spans="1:28" ht="36" x14ac:dyDescent="0.3">
      <c r="A56" s="2">
        <f>IF(C_Ope_001[[#This Row],[tipo_r]]="R",COUNTIFS($C$1:$C55,"R")+1,"")</f>
        <v>55</v>
      </c>
      <c r="B56" s="19" t="str">
        <f t="shared" si="0"/>
        <v>C_Ope_001</v>
      </c>
      <c r="C56" s="3" t="s">
        <v>1330</v>
      </c>
      <c r="D56" s="211">
        <v>45688</v>
      </c>
      <c r="E56" s="5" t="s">
        <v>7753</v>
      </c>
      <c r="F56" s="5" t="s">
        <v>1336</v>
      </c>
      <c r="G56" s="6" t="s">
        <v>227</v>
      </c>
      <c r="H56" s="6" t="s">
        <v>68</v>
      </c>
      <c r="I56" s="6" t="s">
        <v>1390</v>
      </c>
      <c r="J56" s="6">
        <v>127710</v>
      </c>
      <c r="K56" s="7" t="s">
        <v>7787</v>
      </c>
      <c r="L56" s="8">
        <v>22850</v>
      </c>
      <c r="M56" s="8" t="str">
        <f t="shared" si="5"/>
        <v>PEN</v>
      </c>
      <c r="N56" s="13"/>
      <c r="O56" s="13">
        <v>10</v>
      </c>
      <c r="P56" s="3">
        <f t="shared" si="2"/>
        <v>0</v>
      </c>
      <c r="Q56" s="3">
        <f t="shared" si="3"/>
        <v>10</v>
      </c>
      <c r="R56" s="3">
        <f t="shared" si="4"/>
        <v>99.740000000000009</v>
      </c>
      <c r="S56" s="24" t="s">
        <v>1334</v>
      </c>
      <c r="T56" s="24" t="s">
        <v>1334</v>
      </c>
      <c r="U56" s="3"/>
      <c r="V56" s="25" t="s">
        <v>7761</v>
      </c>
      <c r="W56" s="25">
        <v>20124952850</v>
      </c>
      <c r="X56" s="25" t="str">
        <f>IFERROR(VLOOKUP(C_Ope_001[[#This Row],[nota_2]],Clientes_Proveedores[[Ruc / Dni]:[Razon Social]],2,0),"")</f>
        <v>ALIMENTOS Y SERVICIOS AGROPECUARIOS SRL.</v>
      </c>
      <c r="Y56" s="25"/>
      <c r="Z56" s="103"/>
      <c r="AA56" s="3" t="str">
        <f>IF(C_Ope_001[[#This Row],[fecha]]&gt;0,TEXT(C_Ope_001[[#This Row],[fecha]],"mmmm"),0)</f>
        <v>Enero</v>
      </c>
      <c r="AB56" s="159"/>
    </row>
    <row r="57" spans="1:28" ht="36" x14ac:dyDescent="0.3">
      <c r="A57" s="2">
        <f>IF(C_Ope_001[[#This Row],[tipo_r]]="R",COUNTIFS($C$1:$C56,"R")+1,"")</f>
        <v>56</v>
      </c>
      <c r="B57" s="19" t="str">
        <f t="shared" si="0"/>
        <v>C_Ope_001</v>
      </c>
      <c r="C57" s="3" t="s">
        <v>1330</v>
      </c>
      <c r="D57" s="211">
        <v>45688</v>
      </c>
      <c r="E57" s="5" t="s">
        <v>7753</v>
      </c>
      <c r="F57" s="5" t="s">
        <v>1336</v>
      </c>
      <c r="G57" s="6" t="s">
        <v>227</v>
      </c>
      <c r="H57" s="6" t="s">
        <v>68</v>
      </c>
      <c r="I57" s="6" t="s">
        <v>1390</v>
      </c>
      <c r="J57" s="6">
        <v>127695</v>
      </c>
      <c r="K57" s="7" t="s">
        <v>7788</v>
      </c>
      <c r="L57" s="8">
        <v>22851</v>
      </c>
      <c r="M57" s="8" t="str">
        <f t="shared" si="5"/>
        <v>PEN</v>
      </c>
      <c r="N57" s="13"/>
      <c r="O57" s="13">
        <v>10</v>
      </c>
      <c r="P57" s="3">
        <f t="shared" si="2"/>
        <v>0</v>
      </c>
      <c r="Q57" s="3">
        <f t="shared" si="3"/>
        <v>10</v>
      </c>
      <c r="R57" s="3">
        <f t="shared" si="4"/>
        <v>89.740000000000009</v>
      </c>
      <c r="S57" s="24" t="s">
        <v>1334</v>
      </c>
      <c r="T57" s="24" t="s">
        <v>1334</v>
      </c>
      <c r="U57" s="3"/>
      <c r="V57" s="25" t="s">
        <v>7761</v>
      </c>
      <c r="W57" s="25">
        <v>20124952850</v>
      </c>
      <c r="X57" s="25" t="str">
        <f>IFERROR(VLOOKUP(C_Ope_001[[#This Row],[nota_2]],Clientes_Proveedores[[Ruc / Dni]:[Razon Social]],2,0),"")</f>
        <v>ALIMENTOS Y SERVICIOS AGROPECUARIOS SRL.</v>
      </c>
      <c r="Y57" s="25"/>
      <c r="Z57" s="103"/>
      <c r="AA57" s="3" t="str">
        <f>IF(C_Ope_001[[#This Row],[fecha]]&gt;0,TEXT(C_Ope_001[[#This Row],[fecha]],"mmmm"),0)</f>
        <v>Enero</v>
      </c>
      <c r="AB57" s="159"/>
    </row>
    <row r="58" spans="1:28" ht="24" x14ac:dyDescent="0.3">
      <c r="A58" s="2">
        <f>IF(C_Ope_001[[#This Row],[tipo_r]]="R",COUNTIFS($C$1:$C57,"R")+1,"")</f>
        <v>57</v>
      </c>
      <c r="B58" s="19" t="str">
        <f t="shared" si="0"/>
        <v>C_Ope_001</v>
      </c>
      <c r="C58" s="3" t="s">
        <v>1330</v>
      </c>
      <c r="D58" s="211">
        <v>45691</v>
      </c>
      <c r="E58" s="5" t="s">
        <v>7514</v>
      </c>
      <c r="F58" s="5" t="s">
        <v>1303</v>
      </c>
      <c r="G58" s="6" t="s">
        <v>812</v>
      </c>
      <c r="H58" s="6"/>
      <c r="I58" s="6"/>
      <c r="J58" s="6"/>
      <c r="K58" s="7" t="s">
        <v>7516</v>
      </c>
      <c r="L58" s="8">
        <v>22860</v>
      </c>
      <c r="M58" s="8" t="str">
        <f t="shared" si="5"/>
        <v>PEN</v>
      </c>
      <c r="N58" s="13"/>
      <c r="O58" s="13">
        <v>110</v>
      </c>
      <c r="P58" s="3">
        <f t="shared" si="2"/>
        <v>110</v>
      </c>
      <c r="Q58" s="3">
        <f t="shared" si="3"/>
        <v>0</v>
      </c>
      <c r="R58" s="3">
        <f t="shared" si="4"/>
        <v>199.74</v>
      </c>
      <c r="S58" s="24" t="s">
        <v>1334</v>
      </c>
      <c r="T58" s="24" t="s">
        <v>1334</v>
      </c>
      <c r="U58" s="3"/>
      <c r="V58" s="25"/>
      <c r="W58" s="25"/>
      <c r="X58" s="25" t="str">
        <f>IFERROR(VLOOKUP(C_Ope_001[[#This Row],[nota_2]],Clientes_Proveedores[[Ruc / Dni]:[Razon Social]],2,0),"")</f>
        <v/>
      </c>
      <c r="Y58" s="25"/>
      <c r="Z58" s="103"/>
      <c r="AA58" s="3" t="str">
        <f>IF(C_Ope_001[[#This Row],[fecha]]&gt;0,TEXT(C_Ope_001[[#This Row],[fecha]],"mmmm"),0)</f>
        <v>Febrero</v>
      </c>
      <c r="AB58" s="159"/>
    </row>
    <row r="59" spans="1:28" ht="24" x14ac:dyDescent="0.3">
      <c r="A59" s="2">
        <f>IF(C_Ope_001[[#This Row],[tipo_r]]="R",COUNTIFS($C$1:$C58,"R")+1,"")</f>
        <v>58</v>
      </c>
      <c r="B59" s="19" t="str">
        <f t="shared" si="0"/>
        <v>C_Ope_001</v>
      </c>
      <c r="C59" s="3" t="s">
        <v>1330</v>
      </c>
      <c r="D59" s="211">
        <v>45695</v>
      </c>
      <c r="E59" s="5" t="s">
        <v>7514</v>
      </c>
      <c r="F59" s="5" t="s">
        <v>1303</v>
      </c>
      <c r="G59" s="6" t="s">
        <v>812</v>
      </c>
      <c r="H59" s="6"/>
      <c r="I59" s="6"/>
      <c r="J59" s="6"/>
      <c r="K59" s="7" t="s">
        <v>7516</v>
      </c>
      <c r="L59" s="8">
        <v>23006</v>
      </c>
      <c r="M59" s="8" t="str">
        <f t="shared" si="5"/>
        <v>PEN</v>
      </c>
      <c r="N59" s="13"/>
      <c r="O59" s="13">
        <v>400</v>
      </c>
      <c r="P59" s="3">
        <f t="shared" si="2"/>
        <v>400</v>
      </c>
      <c r="Q59" s="3">
        <f t="shared" si="3"/>
        <v>0</v>
      </c>
      <c r="R59" s="3">
        <f t="shared" si="4"/>
        <v>599.74</v>
      </c>
      <c r="S59" s="24" t="s">
        <v>1334</v>
      </c>
      <c r="T59" s="24" t="s">
        <v>1334</v>
      </c>
      <c r="U59" s="3"/>
      <c r="V59" s="25"/>
      <c r="W59" s="25"/>
      <c r="X59" s="25" t="str">
        <f>IFERROR(VLOOKUP(C_Ope_001[[#This Row],[nota_2]],Clientes_Proveedores[[Ruc / Dni]:[Razon Social]],2,0),"")</f>
        <v/>
      </c>
      <c r="Y59" s="25"/>
      <c r="Z59" s="103"/>
      <c r="AA59" s="3" t="str">
        <f>IF(C_Ope_001[[#This Row],[fecha]]&gt;0,TEXT(C_Ope_001[[#This Row],[fecha]],"mmmm"),0)</f>
        <v>Febrero</v>
      </c>
      <c r="AB59" s="159"/>
    </row>
    <row r="60" spans="1:28" x14ac:dyDescent="0.3">
      <c r="A60" s="2">
        <f>IF(C_Ope_001[[#This Row],[tipo_r]]="R",COUNTIFS($C$1:$C59,"R")+1,"")</f>
        <v>59</v>
      </c>
      <c r="B60" s="19" t="str">
        <f t="shared" si="0"/>
        <v>C_Ope_001</v>
      </c>
      <c r="C60" s="3" t="s">
        <v>1330</v>
      </c>
      <c r="D60" s="211">
        <v>45691</v>
      </c>
      <c r="E60" s="5" t="s">
        <v>7753</v>
      </c>
      <c r="F60" s="5" t="s">
        <v>1336</v>
      </c>
      <c r="G60" s="6" t="s">
        <v>978</v>
      </c>
      <c r="H60" s="6" t="s">
        <v>68</v>
      </c>
      <c r="I60" s="6" t="s">
        <v>5688</v>
      </c>
      <c r="J60" s="6">
        <v>2219941</v>
      </c>
      <c r="K60" s="7" t="s">
        <v>7789</v>
      </c>
      <c r="L60" s="8">
        <v>22861</v>
      </c>
      <c r="M60" s="8" t="str">
        <f t="shared" si="5"/>
        <v>PEN</v>
      </c>
      <c r="N60" s="13"/>
      <c r="O60" s="13">
        <v>8</v>
      </c>
      <c r="P60" s="3">
        <f t="shared" si="2"/>
        <v>0</v>
      </c>
      <c r="Q60" s="3">
        <f t="shared" si="3"/>
        <v>8</v>
      </c>
      <c r="R60" s="3">
        <f t="shared" si="4"/>
        <v>591.74</v>
      </c>
      <c r="S60" s="24" t="s">
        <v>1334</v>
      </c>
      <c r="T60" s="24" t="s">
        <v>1334</v>
      </c>
      <c r="U60" s="3"/>
      <c r="V60" s="25" t="s">
        <v>7756</v>
      </c>
      <c r="W60" s="25">
        <v>20517252558</v>
      </c>
      <c r="X60" s="25" t="str">
        <f>IFERROR(VLOOKUP(C_Ope_001[[#This Row],[nota_2]],Clientes_Proveedores[[Ruc / Dni]:[Razon Social]],2,0),"")</f>
        <v>COVISUR S.A.</v>
      </c>
      <c r="Y60" s="25"/>
      <c r="Z60" s="103"/>
      <c r="AA60" s="3" t="str">
        <f>IF(C_Ope_001[[#This Row],[fecha]]&gt;0,TEXT(C_Ope_001[[#This Row],[fecha]],"mmmm"),0)</f>
        <v>Febrero</v>
      </c>
      <c r="AB60" s="159"/>
    </row>
    <row r="61" spans="1:28" x14ac:dyDescent="0.3">
      <c r="A61" s="2">
        <f>IF(C_Ope_001[[#This Row],[tipo_r]]="R",COUNTIFS($C$1:$C60,"R")+1,"")</f>
        <v>60</v>
      </c>
      <c r="B61" s="19" t="str">
        <f t="shared" si="0"/>
        <v>C_Ope_001</v>
      </c>
      <c r="C61" s="3" t="s">
        <v>1330</v>
      </c>
      <c r="D61" s="211">
        <v>45691</v>
      </c>
      <c r="E61" s="5" t="s">
        <v>7753</v>
      </c>
      <c r="F61" s="5" t="s">
        <v>1336</v>
      </c>
      <c r="G61" s="6" t="s">
        <v>978</v>
      </c>
      <c r="H61" s="6" t="s">
        <v>68</v>
      </c>
      <c r="I61" s="6" t="s">
        <v>5845</v>
      </c>
      <c r="J61" s="6">
        <v>1666677</v>
      </c>
      <c r="K61" s="7" t="s">
        <v>7789</v>
      </c>
      <c r="L61" s="8">
        <v>22862</v>
      </c>
      <c r="M61" s="8" t="str">
        <f t="shared" si="5"/>
        <v>PEN</v>
      </c>
      <c r="N61" s="13"/>
      <c r="O61" s="13">
        <v>8</v>
      </c>
      <c r="P61" s="3">
        <f t="shared" si="2"/>
        <v>0</v>
      </c>
      <c r="Q61" s="3">
        <f t="shared" si="3"/>
        <v>8</v>
      </c>
      <c r="R61" s="3">
        <f t="shared" si="4"/>
        <v>583.74</v>
      </c>
      <c r="S61" s="24" t="s">
        <v>1334</v>
      </c>
      <c r="T61" s="24" t="s">
        <v>1334</v>
      </c>
      <c r="U61" s="3"/>
      <c r="V61" s="25" t="s">
        <v>7756</v>
      </c>
      <c r="W61" s="25">
        <v>20517252558</v>
      </c>
      <c r="X61" s="25" t="str">
        <f>IFERROR(VLOOKUP(C_Ope_001[[#This Row],[nota_2]],Clientes_Proveedores[[Ruc / Dni]:[Razon Social]],2,0),"")</f>
        <v>COVISUR S.A.</v>
      </c>
      <c r="Y61" s="25"/>
      <c r="Z61" s="103"/>
      <c r="AA61" s="3" t="str">
        <f>IF(C_Ope_001[[#This Row],[fecha]]&gt;0,TEXT(C_Ope_001[[#This Row],[fecha]],"mmmm"),0)</f>
        <v>Febrero</v>
      </c>
      <c r="AB61" s="159"/>
    </row>
    <row r="62" spans="1:28" x14ac:dyDescent="0.3">
      <c r="A62" s="2">
        <f>IF(C_Ope_001[[#This Row],[tipo_r]]="R",COUNTIFS($C$1:$C61,"R")+1,"")</f>
        <v>61</v>
      </c>
      <c r="B62" s="19" t="str">
        <f t="shared" si="0"/>
        <v>C_Ope_001</v>
      </c>
      <c r="C62" s="3" t="s">
        <v>1330</v>
      </c>
      <c r="D62" s="211">
        <v>45693</v>
      </c>
      <c r="E62" s="5" t="s">
        <v>7753</v>
      </c>
      <c r="F62" s="5" t="s">
        <v>1336</v>
      </c>
      <c r="G62" s="6" t="s">
        <v>978</v>
      </c>
      <c r="H62" s="6" t="s">
        <v>68</v>
      </c>
      <c r="I62" s="6" t="s">
        <v>5845</v>
      </c>
      <c r="J62" s="6">
        <v>1668317</v>
      </c>
      <c r="K62" s="7" t="s">
        <v>7790</v>
      </c>
      <c r="L62" s="8">
        <v>22891</v>
      </c>
      <c r="M62" s="8" t="str">
        <f t="shared" si="5"/>
        <v>PEN</v>
      </c>
      <c r="N62" s="13"/>
      <c r="O62" s="13">
        <v>8</v>
      </c>
      <c r="P62" s="3">
        <f t="shared" si="2"/>
        <v>0</v>
      </c>
      <c r="Q62" s="3">
        <f t="shared" si="3"/>
        <v>8</v>
      </c>
      <c r="R62" s="3">
        <f t="shared" si="4"/>
        <v>575.74</v>
      </c>
      <c r="S62" s="24" t="s">
        <v>1334</v>
      </c>
      <c r="T62" s="24" t="s">
        <v>1334</v>
      </c>
      <c r="U62" s="3"/>
      <c r="V62" s="25" t="s">
        <v>7756</v>
      </c>
      <c r="W62" s="25">
        <v>20517252558</v>
      </c>
      <c r="X62" s="25" t="str">
        <f>IFERROR(VLOOKUP(C_Ope_001[[#This Row],[nota_2]],Clientes_Proveedores[[Ruc / Dni]:[Razon Social]],2,0),"")</f>
        <v>COVISUR S.A.</v>
      </c>
      <c r="Y62" s="25"/>
      <c r="Z62" s="103"/>
      <c r="AA62" s="3" t="str">
        <f>IF(C_Ope_001[[#This Row],[fecha]]&gt;0,TEXT(C_Ope_001[[#This Row],[fecha]],"mmmm"),0)</f>
        <v>Febrero</v>
      </c>
      <c r="AB62" s="159"/>
    </row>
    <row r="63" spans="1:28" x14ac:dyDescent="0.3">
      <c r="A63" s="2">
        <f>IF(C_Ope_001[[#This Row],[tipo_r]]="R",COUNTIFS($C$1:$C62,"R")+1,"")</f>
        <v>62</v>
      </c>
      <c r="B63" s="19" t="str">
        <f t="shared" si="0"/>
        <v>C_Ope_001</v>
      </c>
      <c r="C63" s="3" t="s">
        <v>1330</v>
      </c>
      <c r="D63" s="211">
        <v>45693</v>
      </c>
      <c r="E63" s="5" t="s">
        <v>7753</v>
      </c>
      <c r="F63" s="5" t="s">
        <v>1336</v>
      </c>
      <c r="G63" s="6" t="s">
        <v>978</v>
      </c>
      <c r="H63" s="6" t="s">
        <v>68</v>
      </c>
      <c r="I63" s="6" t="s">
        <v>6204</v>
      </c>
      <c r="J63" s="6">
        <v>1649454</v>
      </c>
      <c r="K63" s="7" t="s">
        <v>7790</v>
      </c>
      <c r="L63" s="8">
        <v>22892</v>
      </c>
      <c r="M63" s="8" t="str">
        <f t="shared" si="5"/>
        <v>PEN</v>
      </c>
      <c r="N63" s="13"/>
      <c r="O63" s="13">
        <v>8</v>
      </c>
      <c r="P63" s="3">
        <f t="shared" si="2"/>
        <v>0</v>
      </c>
      <c r="Q63" s="3">
        <f t="shared" si="3"/>
        <v>8</v>
      </c>
      <c r="R63" s="3">
        <f t="shared" si="4"/>
        <v>567.74</v>
      </c>
      <c r="S63" s="24" t="s">
        <v>1334</v>
      </c>
      <c r="T63" s="24" t="s">
        <v>1334</v>
      </c>
      <c r="U63" s="3"/>
      <c r="V63" s="25" t="s">
        <v>7756</v>
      </c>
      <c r="W63" s="25">
        <v>20517252558</v>
      </c>
      <c r="X63" s="25" t="str">
        <f>IFERROR(VLOOKUP(C_Ope_001[[#This Row],[nota_2]],Clientes_Proveedores[[Ruc / Dni]:[Razon Social]],2,0),"")</f>
        <v>COVISUR S.A.</v>
      </c>
      <c r="Y63" s="25"/>
      <c r="Z63" s="103"/>
      <c r="AA63" s="3" t="str">
        <f>IF(C_Ope_001[[#This Row],[fecha]]&gt;0,TEXT(C_Ope_001[[#This Row],[fecha]],"mmmm"),0)</f>
        <v>Febrero</v>
      </c>
      <c r="AB63" s="159"/>
    </row>
    <row r="64" spans="1:28" ht="24" x14ac:dyDescent="0.3">
      <c r="A64" s="2">
        <f>IF(C_Ope_001[[#This Row],[tipo_r]]="R",COUNTIFS($C$1:$C63,"R")+1,"")</f>
        <v>63</v>
      </c>
      <c r="B64" s="19" t="str">
        <f t="shared" si="0"/>
        <v>C_Ope_001</v>
      </c>
      <c r="C64" s="3" t="s">
        <v>1330</v>
      </c>
      <c r="D64" s="211">
        <v>45695</v>
      </c>
      <c r="E64" s="5" t="s">
        <v>7753</v>
      </c>
      <c r="F64" s="5" t="s">
        <v>1336</v>
      </c>
      <c r="G64" s="6" t="s">
        <v>978</v>
      </c>
      <c r="H64" s="6" t="s">
        <v>68</v>
      </c>
      <c r="I64" s="6" t="s">
        <v>6204</v>
      </c>
      <c r="J64" s="6">
        <v>1651320</v>
      </c>
      <c r="K64" s="7" t="s">
        <v>7791</v>
      </c>
      <c r="L64" s="8">
        <v>22941</v>
      </c>
      <c r="M64" s="8" t="str">
        <f t="shared" si="5"/>
        <v>PEN</v>
      </c>
      <c r="N64" s="13"/>
      <c r="O64" s="13">
        <v>8</v>
      </c>
      <c r="P64" s="3">
        <f t="shared" si="2"/>
        <v>0</v>
      </c>
      <c r="Q64" s="3">
        <f t="shared" si="3"/>
        <v>8</v>
      </c>
      <c r="R64" s="3">
        <f t="shared" si="4"/>
        <v>559.74</v>
      </c>
      <c r="S64" s="24" t="s">
        <v>1334</v>
      </c>
      <c r="T64" s="24" t="s">
        <v>1334</v>
      </c>
      <c r="U64" s="3"/>
      <c r="V64" s="25" t="s">
        <v>7756</v>
      </c>
      <c r="W64" s="25">
        <v>20517252558</v>
      </c>
      <c r="X64" s="25" t="str">
        <f>IFERROR(VLOOKUP(C_Ope_001[[#This Row],[nota_2]],Clientes_Proveedores[[Ruc / Dni]:[Razon Social]],2,0),"")</f>
        <v>COVISUR S.A.</v>
      </c>
      <c r="Y64" s="25"/>
      <c r="Z64" s="103"/>
      <c r="AA64" s="3" t="str">
        <f>IF(C_Ope_001[[#This Row],[fecha]]&gt;0,TEXT(C_Ope_001[[#This Row],[fecha]],"mmmm"),0)</f>
        <v>Febrero</v>
      </c>
      <c r="AB64" s="159"/>
    </row>
    <row r="65" spans="1:28" ht="24" x14ac:dyDescent="0.3">
      <c r="A65" s="2">
        <f>IF(C_Ope_001[[#This Row],[tipo_r]]="R",COUNTIFS($C$1:$C64,"R")+1,"")</f>
        <v>64</v>
      </c>
      <c r="B65" s="19" t="str">
        <f t="shared" si="0"/>
        <v>C_Ope_001</v>
      </c>
      <c r="C65" s="3" t="s">
        <v>1330</v>
      </c>
      <c r="D65" s="211">
        <v>45695</v>
      </c>
      <c r="E65" s="5" t="s">
        <v>7753</v>
      </c>
      <c r="F65" s="5" t="s">
        <v>1336</v>
      </c>
      <c r="G65" s="6" t="s">
        <v>978</v>
      </c>
      <c r="H65" s="6" t="s">
        <v>68</v>
      </c>
      <c r="I65" s="6" t="s">
        <v>5845</v>
      </c>
      <c r="J65" s="6">
        <v>1669856</v>
      </c>
      <c r="K65" s="7" t="s">
        <v>7791</v>
      </c>
      <c r="L65" s="8">
        <v>22942</v>
      </c>
      <c r="M65" s="8" t="str">
        <f t="shared" si="5"/>
        <v>PEN</v>
      </c>
      <c r="N65" s="13"/>
      <c r="O65" s="13">
        <v>8</v>
      </c>
      <c r="P65" s="3">
        <f t="shared" si="2"/>
        <v>0</v>
      </c>
      <c r="Q65" s="3">
        <f t="shared" si="3"/>
        <v>8</v>
      </c>
      <c r="R65" s="3">
        <f t="shared" si="4"/>
        <v>551.74</v>
      </c>
      <c r="S65" s="24" t="s">
        <v>1334</v>
      </c>
      <c r="T65" s="24" t="s">
        <v>1334</v>
      </c>
      <c r="U65" s="3"/>
      <c r="V65" s="25" t="s">
        <v>7756</v>
      </c>
      <c r="W65" s="25">
        <v>20517252558</v>
      </c>
      <c r="X65" s="25" t="str">
        <f>IFERROR(VLOOKUP(C_Ope_001[[#This Row],[nota_2]],Clientes_Proveedores[[Ruc / Dni]:[Razon Social]],2,0),"")</f>
        <v>COVISUR S.A.</v>
      </c>
      <c r="Y65" s="25"/>
      <c r="Z65" s="103"/>
      <c r="AA65" s="3" t="str">
        <f>IF(C_Ope_001[[#This Row],[fecha]]&gt;0,TEXT(C_Ope_001[[#This Row],[fecha]],"mmmm"),0)</f>
        <v>Febrero</v>
      </c>
      <c r="AB65" s="159"/>
    </row>
    <row r="66" spans="1:28" ht="36" x14ac:dyDescent="0.3">
      <c r="A66" s="2">
        <f>IF(C_Ope_001[[#This Row],[tipo_r]]="R",COUNTIFS($C$1:$C65,"R")+1,"")</f>
        <v>65</v>
      </c>
      <c r="B66" s="19" t="str">
        <f t="shared" ref="B66:B129" si="6">"C_Ope_001"</f>
        <v>C_Ope_001</v>
      </c>
      <c r="C66" s="3" t="s">
        <v>1330</v>
      </c>
      <c r="D66" s="211">
        <v>45691</v>
      </c>
      <c r="E66" s="5" t="s">
        <v>7753</v>
      </c>
      <c r="F66" s="5" t="s">
        <v>1336</v>
      </c>
      <c r="G66" s="6" t="s">
        <v>227</v>
      </c>
      <c r="H66" s="6" t="s">
        <v>68</v>
      </c>
      <c r="I66" s="6" t="s">
        <v>1390</v>
      </c>
      <c r="J66" s="6">
        <v>127790</v>
      </c>
      <c r="K66" s="7" t="s">
        <v>7792</v>
      </c>
      <c r="L66" s="8">
        <v>22863</v>
      </c>
      <c r="M66" s="8" t="str">
        <f t="shared" si="5"/>
        <v>PEN</v>
      </c>
      <c r="N66" s="13"/>
      <c r="O66" s="13">
        <v>10</v>
      </c>
      <c r="P66" s="3">
        <f t="shared" ref="P66:P129" si="7">+IF(OR($F66="SALDO",$F66="INGRESO"),$O66,0)</f>
        <v>0</v>
      </c>
      <c r="Q66" s="3">
        <f t="shared" ref="Q66:Q129" si="8">+IF($F66="EGRESO",$O66,0)</f>
        <v>10</v>
      </c>
      <c r="R66" s="3">
        <f t="shared" ref="R66:R129" si="9">IFERROR(IF(F66="SALDO",P66,R65+P66-Q66),0)</f>
        <v>541.74</v>
      </c>
      <c r="S66" s="24" t="s">
        <v>1334</v>
      </c>
      <c r="T66" s="24" t="s">
        <v>1334</v>
      </c>
      <c r="U66" s="3"/>
      <c r="V66" s="25" t="s">
        <v>7756</v>
      </c>
      <c r="W66" s="25">
        <v>20124952850</v>
      </c>
      <c r="X66" s="25" t="str">
        <f>IFERROR(VLOOKUP(C_Ope_001[[#This Row],[nota_2]],Clientes_Proveedores[[Ruc / Dni]:[Razon Social]],2,0),"")</f>
        <v>ALIMENTOS Y SERVICIOS AGROPECUARIOS SRL.</v>
      </c>
      <c r="Y66" s="25"/>
      <c r="Z66" s="103"/>
      <c r="AA66" s="3" t="str">
        <f>IF(C_Ope_001[[#This Row],[fecha]]&gt;0,TEXT(C_Ope_001[[#This Row],[fecha]],"mmmm"),0)</f>
        <v>Febrero</v>
      </c>
      <c r="AB66" s="159"/>
    </row>
    <row r="67" spans="1:28" x14ac:dyDescent="0.3">
      <c r="A67" s="2">
        <f>IF(C_Ope_001[[#This Row],[tipo_r]]="R",COUNTIFS($C$1:$C66,"R")+1,"")</f>
        <v>66</v>
      </c>
      <c r="B67" s="19" t="str">
        <f t="shared" si="6"/>
        <v>C_Ope_001</v>
      </c>
      <c r="C67" s="3" t="s">
        <v>1330</v>
      </c>
      <c r="D67" s="211">
        <v>45692</v>
      </c>
      <c r="E67" s="5" t="s">
        <v>7753</v>
      </c>
      <c r="F67" s="5" t="s">
        <v>1336</v>
      </c>
      <c r="G67" s="6" t="s">
        <v>1148</v>
      </c>
      <c r="H67" s="6" t="s">
        <v>68</v>
      </c>
      <c r="I67" s="6" t="s">
        <v>6378</v>
      </c>
      <c r="J67" s="6">
        <v>5157</v>
      </c>
      <c r="K67" s="7" t="s">
        <v>7793</v>
      </c>
      <c r="L67" s="8">
        <v>22873</v>
      </c>
      <c r="M67" s="8" t="str">
        <f t="shared" ref="M67:M130" si="10">"PEN"</f>
        <v>PEN</v>
      </c>
      <c r="N67" s="13"/>
      <c r="O67" s="13">
        <v>10</v>
      </c>
      <c r="P67" s="3">
        <f t="shared" si="7"/>
        <v>0</v>
      </c>
      <c r="Q67" s="3">
        <f t="shared" si="8"/>
        <v>10</v>
      </c>
      <c r="R67" s="3">
        <f t="shared" si="9"/>
        <v>531.74</v>
      </c>
      <c r="S67" s="24" t="s">
        <v>1334</v>
      </c>
      <c r="T67" s="24" t="s">
        <v>1334</v>
      </c>
      <c r="U67" s="3"/>
      <c r="V67" s="25" t="s">
        <v>7756</v>
      </c>
      <c r="W67" s="25">
        <v>20611633972</v>
      </c>
      <c r="X67" s="25" t="str">
        <f>IFERROR(VLOOKUP(C_Ope_001[[#This Row],[nota_2]],Clientes_Proveedores[[Ruc / Dni]:[Razon Social]],2,0),"")</f>
        <v>NOVAARECY E.I.R.L.</v>
      </c>
      <c r="Y67" s="25"/>
      <c r="Z67" s="103"/>
      <c r="AA67" s="3" t="str">
        <f>IF(C_Ope_001[[#This Row],[fecha]]&gt;0,TEXT(C_Ope_001[[#This Row],[fecha]],"mmmm"),0)</f>
        <v>Febrero</v>
      </c>
      <c r="AB67" s="159"/>
    </row>
    <row r="68" spans="1:28" x14ac:dyDescent="0.3">
      <c r="A68" s="2">
        <f>IF(C_Ope_001[[#This Row],[tipo_r]]="R",COUNTIFS($C$1:$C67,"R")+1,"")</f>
        <v>67</v>
      </c>
      <c r="B68" s="19" t="str">
        <f t="shared" si="6"/>
        <v>C_Ope_001</v>
      </c>
      <c r="C68" s="3" t="s">
        <v>1330</v>
      </c>
      <c r="D68" s="211">
        <v>45692</v>
      </c>
      <c r="E68" s="5" t="s">
        <v>7753</v>
      </c>
      <c r="F68" s="5" t="s">
        <v>1336</v>
      </c>
      <c r="G68" s="6" t="s">
        <v>1043</v>
      </c>
      <c r="H68" s="6" t="s">
        <v>68</v>
      </c>
      <c r="I68" s="6" t="s">
        <v>1390</v>
      </c>
      <c r="J68" s="6">
        <v>11745</v>
      </c>
      <c r="K68" s="7" t="s">
        <v>7794</v>
      </c>
      <c r="L68" s="8">
        <v>22875</v>
      </c>
      <c r="M68" s="8" t="str">
        <f t="shared" si="10"/>
        <v>PEN</v>
      </c>
      <c r="N68" s="13"/>
      <c r="O68" s="13">
        <v>10</v>
      </c>
      <c r="P68" s="3">
        <f t="shared" si="7"/>
        <v>0</v>
      </c>
      <c r="Q68" s="3">
        <f t="shared" si="8"/>
        <v>10</v>
      </c>
      <c r="R68" s="3">
        <f t="shared" si="9"/>
        <v>521.74</v>
      </c>
      <c r="S68" s="24" t="s">
        <v>1334</v>
      </c>
      <c r="T68" s="24" t="s">
        <v>1334</v>
      </c>
      <c r="U68" s="3"/>
      <c r="V68" s="25" t="s">
        <v>7756</v>
      </c>
      <c r="W68" s="25">
        <v>20606567856</v>
      </c>
      <c r="X68" s="25" t="str">
        <f>IFERROR(VLOOKUP(C_Ope_001[[#This Row],[nota_2]],Clientes_Proveedores[[Ruc / Dni]:[Razon Social]],2,0),"")</f>
        <v>R.E.T. &amp; SAN S.R.L.</v>
      </c>
      <c r="Y68" s="25"/>
      <c r="Z68" s="103"/>
      <c r="AA68" s="3" t="str">
        <f>IF(C_Ope_001[[#This Row],[fecha]]&gt;0,TEXT(C_Ope_001[[#This Row],[fecha]],"mmmm"),0)</f>
        <v>Febrero</v>
      </c>
      <c r="AB68" s="159"/>
    </row>
    <row r="69" spans="1:28" ht="36" x14ac:dyDescent="0.3">
      <c r="A69" s="2">
        <f>IF(C_Ope_001[[#This Row],[tipo_r]]="R",COUNTIFS($C$1:$C68,"R")+1,"")</f>
        <v>68</v>
      </c>
      <c r="B69" s="19" t="str">
        <f t="shared" si="6"/>
        <v>C_Ope_001</v>
      </c>
      <c r="C69" s="3" t="s">
        <v>1330</v>
      </c>
      <c r="D69" s="211">
        <v>45695</v>
      </c>
      <c r="E69" s="5" t="s">
        <v>7753</v>
      </c>
      <c r="F69" s="5" t="s">
        <v>1336</v>
      </c>
      <c r="G69" s="6" t="s">
        <v>227</v>
      </c>
      <c r="H69" s="6" t="s">
        <v>68</v>
      </c>
      <c r="I69" s="6" t="s">
        <v>1390</v>
      </c>
      <c r="J69" s="6">
        <v>127969</v>
      </c>
      <c r="K69" s="7" t="s">
        <v>7795</v>
      </c>
      <c r="L69" s="8">
        <v>22940</v>
      </c>
      <c r="M69" s="8" t="str">
        <f t="shared" si="10"/>
        <v>PEN</v>
      </c>
      <c r="N69" s="13"/>
      <c r="O69" s="13">
        <v>10</v>
      </c>
      <c r="P69" s="3">
        <f t="shared" si="7"/>
        <v>0</v>
      </c>
      <c r="Q69" s="3">
        <f t="shared" si="8"/>
        <v>10</v>
      </c>
      <c r="R69" s="3">
        <f t="shared" si="9"/>
        <v>511.74</v>
      </c>
      <c r="S69" s="24" t="s">
        <v>1334</v>
      </c>
      <c r="T69" s="24" t="s">
        <v>1334</v>
      </c>
      <c r="U69" s="3"/>
      <c r="V69" s="25" t="s">
        <v>7756</v>
      </c>
      <c r="W69" s="25">
        <v>20124952850</v>
      </c>
      <c r="X69" s="25" t="str">
        <f>IFERROR(VLOOKUP(C_Ope_001[[#This Row],[nota_2]],Clientes_Proveedores[[Ruc / Dni]:[Razon Social]],2,0),"")</f>
        <v>ALIMENTOS Y SERVICIOS AGROPECUARIOS SRL.</v>
      </c>
      <c r="Y69" s="25"/>
      <c r="Z69" s="103"/>
      <c r="AA69" s="3" t="str">
        <f>IF(C_Ope_001[[#This Row],[fecha]]&gt;0,TEXT(C_Ope_001[[#This Row],[fecha]],"mmmm"),0)</f>
        <v>Febrero</v>
      </c>
      <c r="AB69" s="159"/>
    </row>
    <row r="70" spans="1:28" ht="24" x14ac:dyDescent="0.3">
      <c r="A70" s="2">
        <f>IF(C_Ope_001[[#This Row],[tipo_r]]="R",COUNTIFS($C$1:$C69,"R")+1,"")</f>
        <v>69</v>
      </c>
      <c r="B70" s="19" t="str">
        <f t="shared" si="6"/>
        <v>C_Ope_001</v>
      </c>
      <c r="C70" s="3" t="s">
        <v>1330</v>
      </c>
      <c r="D70" s="211">
        <v>45695</v>
      </c>
      <c r="E70" s="5" t="s">
        <v>7753</v>
      </c>
      <c r="F70" s="5" t="s">
        <v>1336</v>
      </c>
      <c r="G70" s="6" t="s">
        <v>999</v>
      </c>
      <c r="H70" s="6" t="s">
        <v>68</v>
      </c>
      <c r="I70" s="6" t="s">
        <v>1374</v>
      </c>
      <c r="J70" s="6">
        <v>16340</v>
      </c>
      <c r="K70" s="7" t="s">
        <v>7777</v>
      </c>
      <c r="L70" s="8">
        <v>22943</v>
      </c>
      <c r="M70" s="8" t="str">
        <f t="shared" si="10"/>
        <v>PEN</v>
      </c>
      <c r="N70" s="13"/>
      <c r="O70" s="13">
        <v>25</v>
      </c>
      <c r="P70" s="3">
        <f t="shared" si="7"/>
        <v>0</v>
      </c>
      <c r="Q70" s="3">
        <f t="shared" si="8"/>
        <v>25</v>
      </c>
      <c r="R70" s="3">
        <f t="shared" si="9"/>
        <v>486.74</v>
      </c>
      <c r="S70" s="24" t="s">
        <v>1334</v>
      </c>
      <c r="T70" s="24" t="s">
        <v>1334</v>
      </c>
      <c r="U70" s="3"/>
      <c r="V70" s="25" t="s">
        <v>7756</v>
      </c>
      <c r="W70" s="25">
        <v>10705628331</v>
      </c>
      <c r="X70" s="25" t="str">
        <f>IFERROR(VLOOKUP(C_Ope_001[[#This Row],[nota_2]],Clientes_Proveedores[[Ruc / Dni]:[Razon Social]],2,0),"")</f>
        <v>LARICO APAZA NANCY ROSSMARY</v>
      </c>
      <c r="Y70" s="25"/>
      <c r="Z70" s="103"/>
      <c r="AA70" s="3" t="str">
        <f>IF(C_Ope_001[[#This Row],[fecha]]&gt;0,TEXT(C_Ope_001[[#This Row],[fecha]],"mmmm"),0)</f>
        <v>Febrero</v>
      </c>
      <c r="AB70" s="159"/>
    </row>
    <row r="71" spans="1:28" ht="24" x14ac:dyDescent="0.3">
      <c r="A71" s="2">
        <f>IF(C_Ope_001[[#This Row],[tipo_r]]="R",COUNTIFS($C$1:$C70,"R")+1,"")</f>
        <v>70</v>
      </c>
      <c r="B71" s="19" t="str">
        <f t="shared" si="6"/>
        <v>C_Ope_001</v>
      </c>
      <c r="C71" s="3" t="s">
        <v>1330</v>
      </c>
      <c r="D71" s="211">
        <v>45698</v>
      </c>
      <c r="E71" s="5" t="s">
        <v>7753</v>
      </c>
      <c r="F71" s="5" t="s">
        <v>1336</v>
      </c>
      <c r="G71" s="6" t="s">
        <v>978</v>
      </c>
      <c r="H71" s="6" t="s">
        <v>68</v>
      </c>
      <c r="I71" s="6" t="s">
        <v>6204</v>
      </c>
      <c r="J71" s="6">
        <v>1653331</v>
      </c>
      <c r="K71" s="7" t="s">
        <v>7796</v>
      </c>
      <c r="L71" s="8">
        <v>22974</v>
      </c>
      <c r="M71" s="8" t="str">
        <f t="shared" si="10"/>
        <v>PEN</v>
      </c>
      <c r="N71" s="13"/>
      <c r="O71" s="13">
        <v>8</v>
      </c>
      <c r="P71" s="3">
        <f t="shared" si="7"/>
        <v>0</v>
      </c>
      <c r="Q71" s="3">
        <f t="shared" si="8"/>
        <v>8</v>
      </c>
      <c r="R71" s="3">
        <f t="shared" si="9"/>
        <v>478.74</v>
      </c>
      <c r="S71" s="24" t="s">
        <v>1334</v>
      </c>
      <c r="T71" s="24" t="s">
        <v>1334</v>
      </c>
      <c r="U71" s="3"/>
      <c r="V71" s="25" t="s">
        <v>7756</v>
      </c>
      <c r="W71" s="25">
        <v>20517252558</v>
      </c>
      <c r="X71" s="25" t="str">
        <f>IFERROR(VLOOKUP(C_Ope_001[[#This Row],[nota_2]],Clientes_Proveedores[[Ruc / Dni]:[Razon Social]],2,0),"")</f>
        <v>COVISUR S.A.</v>
      </c>
      <c r="Y71" s="25"/>
      <c r="Z71" s="103"/>
      <c r="AA71" s="3" t="str">
        <f>IF(C_Ope_001[[#This Row],[fecha]]&gt;0,TEXT(C_Ope_001[[#This Row],[fecha]],"mmmm"),0)</f>
        <v>Febrero</v>
      </c>
      <c r="AB71" s="159"/>
    </row>
    <row r="72" spans="1:28" ht="24" x14ac:dyDescent="0.3">
      <c r="A72" s="2">
        <f>IF(C_Ope_001[[#This Row],[tipo_r]]="R",COUNTIFS($C$1:$C71,"R")+1,"")</f>
        <v>71</v>
      </c>
      <c r="B72" s="19" t="str">
        <f t="shared" si="6"/>
        <v>C_Ope_001</v>
      </c>
      <c r="C72" s="3" t="s">
        <v>1330</v>
      </c>
      <c r="D72" s="211">
        <v>45698</v>
      </c>
      <c r="E72" s="5" t="s">
        <v>7753</v>
      </c>
      <c r="F72" s="5" t="s">
        <v>1336</v>
      </c>
      <c r="G72" s="6" t="s">
        <v>978</v>
      </c>
      <c r="H72" s="6" t="s">
        <v>68</v>
      </c>
      <c r="I72" s="6" t="s">
        <v>5845</v>
      </c>
      <c r="J72" s="6">
        <v>1672522</v>
      </c>
      <c r="K72" s="7" t="s">
        <v>7796</v>
      </c>
      <c r="L72" s="8">
        <v>22975</v>
      </c>
      <c r="M72" s="8" t="str">
        <f t="shared" si="10"/>
        <v>PEN</v>
      </c>
      <c r="N72" s="13"/>
      <c r="O72" s="13">
        <v>8</v>
      </c>
      <c r="P72" s="3">
        <f t="shared" si="7"/>
        <v>0</v>
      </c>
      <c r="Q72" s="3">
        <f t="shared" si="8"/>
        <v>8</v>
      </c>
      <c r="R72" s="3">
        <f t="shared" si="9"/>
        <v>470.74</v>
      </c>
      <c r="S72" s="24" t="s">
        <v>1334</v>
      </c>
      <c r="T72" s="24" t="s">
        <v>1334</v>
      </c>
      <c r="U72" s="3"/>
      <c r="V72" s="25" t="s">
        <v>7756</v>
      </c>
      <c r="W72" s="25">
        <v>20517252558</v>
      </c>
      <c r="X72" s="25" t="str">
        <f>IFERROR(VLOOKUP(C_Ope_001[[#This Row],[nota_2]],Clientes_Proveedores[[Ruc / Dni]:[Razon Social]],2,0),"")</f>
        <v>COVISUR S.A.</v>
      </c>
      <c r="Y72" s="25"/>
      <c r="Z72" s="103"/>
      <c r="AA72" s="3" t="str">
        <f>IF(C_Ope_001[[#This Row],[fecha]]&gt;0,TEXT(C_Ope_001[[#This Row],[fecha]],"mmmm"),0)</f>
        <v>Febrero</v>
      </c>
      <c r="AB72" s="159"/>
    </row>
    <row r="73" spans="1:28" ht="24" x14ac:dyDescent="0.3">
      <c r="A73" s="2">
        <f>IF(C_Ope_001[[#This Row],[tipo_r]]="R",COUNTIFS($C$1:$C72,"R")+1,"")</f>
        <v>72</v>
      </c>
      <c r="B73" s="19" t="str">
        <f t="shared" si="6"/>
        <v>C_Ope_001</v>
      </c>
      <c r="C73" s="3" t="s">
        <v>1330</v>
      </c>
      <c r="D73" s="211">
        <v>45700</v>
      </c>
      <c r="E73" s="5" t="s">
        <v>7753</v>
      </c>
      <c r="F73" s="5" t="s">
        <v>1336</v>
      </c>
      <c r="G73" s="6" t="s">
        <v>978</v>
      </c>
      <c r="H73" s="6" t="s">
        <v>68</v>
      </c>
      <c r="I73" s="6" t="s">
        <v>6203</v>
      </c>
      <c r="J73" s="6">
        <v>1958258</v>
      </c>
      <c r="K73" s="7" t="s">
        <v>7797</v>
      </c>
      <c r="L73" s="8">
        <v>23011</v>
      </c>
      <c r="M73" s="8" t="str">
        <f t="shared" si="10"/>
        <v>PEN</v>
      </c>
      <c r="N73" s="13"/>
      <c r="O73" s="13">
        <v>8</v>
      </c>
      <c r="P73" s="3">
        <f t="shared" si="7"/>
        <v>0</v>
      </c>
      <c r="Q73" s="3">
        <f t="shared" si="8"/>
        <v>8</v>
      </c>
      <c r="R73" s="3">
        <f t="shared" si="9"/>
        <v>462.74</v>
      </c>
      <c r="S73" s="24" t="s">
        <v>1334</v>
      </c>
      <c r="T73" s="24" t="s">
        <v>1334</v>
      </c>
      <c r="U73" s="3"/>
      <c r="V73" s="25" t="s">
        <v>7756</v>
      </c>
      <c r="W73" s="25">
        <v>20517252558</v>
      </c>
      <c r="X73" s="25" t="str">
        <f>IFERROR(VLOOKUP(C_Ope_001[[#This Row],[nota_2]],Clientes_Proveedores[[Ruc / Dni]:[Razon Social]],2,0),"")</f>
        <v>COVISUR S.A.</v>
      </c>
      <c r="Y73" s="25"/>
      <c r="Z73" s="103"/>
      <c r="AA73" s="3" t="str">
        <f>IF(C_Ope_001[[#This Row],[fecha]]&gt;0,TEXT(C_Ope_001[[#This Row],[fecha]],"mmmm"),0)</f>
        <v>Febrero</v>
      </c>
      <c r="AB73" s="159"/>
    </row>
    <row r="74" spans="1:28" ht="24" x14ac:dyDescent="0.3">
      <c r="A74" s="2">
        <f>IF(C_Ope_001[[#This Row],[tipo_r]]="R",COUNTIFS($C$1:$C73,"R")+1,"")</f>
        <v>73</v>
      </c>
      <c r="B74" s="19" t="str">
        <f t="shared" si="6"/>
        <v>C_Ope_001</v>
      </c>
      <c r="C74" s="3" t="s">
        <v>1330</v>
      </c>
      <c r="D74" s="211">
        <v>45700</v>
      </c>
      <c r="E74" s="5" t="s">
        <v>7753</v>
      </c>
      <c r="F74" s="5" t="s">
        <v>1336</v>
      </c>
      <c r="G74" s="6" t="s">
        <v>978</v>
      </c>
      <c r="H74" s="6" t="s">
        <v>68</v>
      </c>
      <c r="I74" s="6" t="s">
        <v>5688</v>
      </c>
      <c r="J74" s="6">
        <v>2230314</v>
      </c>
      <c r="K74" s="7" t="s">
        <v>7797</v>
      </c>
      <c r="L74" s="8">
        <v>23012</v>
      </c>
      <c r="M74" s="8" t="str">
        <f t="shared" si="10"/>
        <v>PEN</v>
      </c>
      <c r="N74" s="13"/>
      <c r="O74" s="13">
        <v>8</v>
      </c>
      <c r="P74" s="3">
        <f t="shared" si="7"/>
        <v>0</v>
      </c>
      <c r="Q74" s="3">
        <f t="shared" si="8"/>
        <v>8</v>
      </c>
      <c r="R74" s="3">
        <f t="shared" si="9"/>
        <v>454.74</v>
      </c>
      <c r="S74" s="24" t="s">
        <v>1334</v>
      </c>
      <c r="T74" s="24" t="s">
        <v>1334</v>
      </c>
      <c r="U74" s="3"/>
      <c r="V74" s="25" t="s">
        <v>7756</v>
      </c>
      <c r="W74" s="25">
        <v>20517252558</v>
      </c>
      <c r="X74" s="25" t="str">
        <f>IFERROR(VLOOKUP(C_Ope_001[[#This Row],[nota_2]],Clientes_Proveedores[[Ruc / Dni]:[Razon Social]],2,0),"")</f>
        <v>COVISUR S.A.</v>
      </c>
      <c r="Y74" s="25"/>
      <c r="Z74" s="103"/>
      <c r="AA74" s="3" t="str">
        <f>IF(C_Ope_001[[#This Row],[fecha]]&gt;0,TEXT(C_Ope_001[[#This Row],[fecha]],"mmmm"),0)</f>
        <v>Febrero</v>
      </c>
      <c r="AB74" s="159"/>
    </row>
    <row r="75" spans="1:28" x14ac:dyDescent="0.3">
      <c r="A75" s="2">
        <f>IF(C_Ope_001[[#This Row],[tipo_r]]="R",COUNTIFS($C$1:$C74,"R")+1,"")</f>
        <v>74</v>
      </c>
      <c r="B75" s="19" t="str">
        <f t="shared" si="6"/>
        <v>C_Ope_001</v>
      </c>
      <c r="C75" s="3" t="s">
        <v>1330</v>
      </c>
      <c r="D75" s="211">
        <v>45702</v>
      </c>
      <c r="E75" s="5" t="s">
        <v>7753</v>
      </c>
      <c r="F75" s="5" t="s">
        <v>1336</v>
      </c>
      <c r="G75" s="6" t="s">
        <v>978</v>
      </c>
      <c r="H75" s="6" t="s">
        <v>68</v>
      </c>
      <c r="I75" s="6" t="s">
        <v>6203</v>
      </c>
      <c r="J75" s="6">
        <v>1960420</v>
      </c>
      <c r="K75" s="7" t="s">
        <v>7798</v>
      </c>
      <c r="L75" s="8">
        <v>23045</v>
      </c>
      <c r="M75" s="8" t="str">
        <f t="shared" si="10"/>
        <v>PEN</v>
      </c>
      <c r="N75" s="13"/>
      <c r="O75" s="13">
        <v>8</v>
      </c>
      <c r="P75" s="3">
        <f t="shared" si="7"/>
        <v>0</v>
      </c>
      <c r="Q75" s="3">
        <f t="shared" si="8"/>
        <v>8</v>
      </c>
      <c r="R75" s="3">
        <f t="shared" si="9"/>
        <v>446.74</v>
      </c>
      <c r="S75" s="24" t="s">
        <v>1334</v>
      </c>
      <c r="T75" s="24" t="s">
        <v>1334</v>
      </c>
      <c r="U75" s="3"/>
      <c r="V75" s="25" t="s">
        <v>7756</v>
      </c>
      <c r="W75" s="25">
        <v>20517252558</v>
      </c>
      <c r="X75" s="25" t="str">
        <f>IFERROR(VLOOKUP(C_Ope_001[[#This Row],[nota_2]],Clientes_Proveedores[[Ruc / Dni]:[Razon Social]],2,0),"")</f>
        <v>COVISUR S.A.</v>
      </c>
      <c r="Y75" s="25"/>
      <c r="Z75" s="103"/>
      <c r="AA75" s="3" t="str">
        <f>IF(C_Ope_001[[#This Row],[fecha]]&gt;0,TEXT(C_Ope_001[[#This Row],[fecha]],"mmmm"),0)</f>
        <v>Febrero</v>
      </c>
      <c r="AB75" s="159"/>
    </row>
    <row r="76" spans="1:28" x14ac:dyDescent="0.3">
      <c r="A76" s="2">
        <f>IF(C_Ope_001[[#This Row],[tipo_r]]="R",COUNTIFS($C$1:$C75,"R")+1,"")</f>
        <v>75</v>
      </c>
      <c r="B76" s="19" t="str">
        <f t="shared" si="6"/>
        <v>C_Ope_001</v>
      </c>
      <c r="C76" s="3" t="s">
        <v>1330</v>
      </c>
      <c r="D76" s="211">
        <v>45702</v>
      </c>
      <c r="E76" s="5" t="s">
        <v>7753</v>
      </c>
      <c r="F76" s="5" t="s">
        <v>1336</v>
      </c>
      <c r="G76" s="6" t="s">
        <v>978</v>
      </c>
      <c r="H76" s="6" t="s">
        <v>68</v>
      </c>
      <c r="I76" s="6" t="s">
        <v>6204</v>
      </c>
      <c r="J76" s="6">
        <v>1656758</v>
      </c>
      <c r="K76" s="7" t="s">
        <v>7798</v>
      </c>
      <c r="L76" s="8">
        <v>23046</v>
      </c>
      <c r="M76" s="8" t="str">
        <f t="shared" si="10"/>
        <v>PEN</v>
      </c>
      <c r="N76" s="13"/>
      <c r="O76" s="13">
        <v>8</v>
      </c>
      <c r="P76" s="3">
        <f t="shared" si="7"/>
        <v>0</v>
      </c>
      <c r="Q76" s="3">
        <f t="shared" si="8"/>
        <v>8</v>
      </c>
      <c r="R76" s="3">
        <f t="shared" si="9"/>
        <v>438.74</v>
      </c>
      <c r="S76" s="24" t="s">
        <v>1334</v>
      </c>
      <c r="T76" s="24" t="s">
        <v>1334</v>
      </c>
      <c r="U76" s="3"/>
      <c r="V76" s="25" t="s">
        <v>7756</v>
      </c>
      <c r="W76" s="25">
        <v>20517252558</v>
      </c>
      <c r="X76" s="25" t="str">
        <f>IFERROR(VLOOKUP(C_Ope_001[[#This Row],[nota_2]],Clientes_Proveedores[[Ruc / Dni]:[Razon Social]],2,0),"")</f>
        <v>COVISUR S.A.</v>
      </c>
      <c r="Y76" s="25"/>
      <c r="Z76" s="103"/>
      <c r="AA76" s="3" t="str">
        <f>IF(C_Ope_001[[#This Row],[fecha]]&gt;0,TEXT(C_Ope_001[[#This Row],[fecha]],"mmmm"),0)</f>
        <v>Febrero</v>
      </c>
      <c r="AB76" s="159"/>
    </row>
    <row r="77" spans="1:28" ht="36" x14ac:dyDescent="0.3">
      <c r="A77" s="2">
        <f>IF(C_Ope_001[[#This Row],[tipo_r]]="R",COUNTIFS($C$1:$C76,"R")+1,"")</f>
        <v>76</v>
      </c>
      <c r="B77" s="19" t="str">
        <f t="shared" si="6"/>
        <v>C_Ope_001</v>
      </c>
      <c r="C77" s="3" t="s">
        <v>1330</v>
      </c>
      <c r="D77" s="211">
        <v>45699</v>
      </c>
      <c r="E77" s="5" t="s">
        <v>7753</v>
      </c>
      <c r="F77" s="5" t="s">
        <v>1336</v>
      </c>
      <c r="G77" s="6" t="s">
        <v>682</v>
      </c>
      <c r="H77" s="6" t="s">
        <v>68</v>
      </c>
      <c r="I77" s="6" t="s">
        <v>1343</v>
      </c>
      <c r="J77" s="6">
        <v>33825</v>
      </c>
      <c r="K77" s="7" t="s">
        <v>7799</v>
      </c>
      <c r="L77" s="8">
        <v>22995</v>
      </c>
      <c r="M77" s="8" t="str">
        <f t="shared" si="10"/>
        <v>PEN</v>
      </c>
      <c r="N77" s="13"/>
      <c r="O77" s="13">
        <v>10</v>
      </c>
      <c r="P77" s="3">
        <f t="shared" si="7"/>
        <v>0</v>
      </c>
      <c r="Q77" s="3">
        <f t="shared" si="8"/>
        <v>10</v>
      </c>
      <c r="R77" s="3">
        <f t="shared" si="9"/>
        <v>428.74</v>
      </c>
      <c r="S77" s="24" t="s">
        <v>1334</v>
      </c>
      <c r="T77" s="24" t="s">
        <v>1334</v>
      </c>
      <c r="U77" s="3"/>
      <c r="V77" s="25" t="s">
        <v>7756</v>
      </c>
      <c r="W77" s="25">
        <v>20259858934</v>
      </c>
      <c r="X77" s="25" t="str">
        <f>IFERROR(VLOOKUP(C_Ope_001[[#This Row],[nota_2]],Clientes_Proveedores[[Ruc / Dni]:[Razon Social]],2,0),"")</f>
        <v>COMERCIALIZACION Y SERVICIOS EL EDEN S.A.C.</v>
      </c>
      <c r="Y77" s="25"/>
      <c r="Z77" s="103"/>
      <c r="AA77" s="3" t="str">
        <f>IF(C_Ope_001[[#This Row],[fecha]]&gt;0,TEXT(C_Ope_001[[#This Row],[fecha]],"mmmm"),0)</f>
        <v>Febrero</v>
      </c>
      <c r="AB77" s="159"/>
    </row>
    <row r="78" spans="1:28" ht="36" x14ac:dyDescent="0.3">
      <c r="A78" s="2">
        <f>IF(C_Ope_001[[#This Row],[tipo_r]]="R",COUNTIFS($C$1:$C77,"R")+1,"")</f>
        <v>77</v>
      </c>
      <c r="B78" s="19" t="str">
        <f t="shared" si="6"/>
        <v>C_Ope_001</v>
      </c>
      <c r="C78" s="3" t="s">
        <v>1330</v>
      </c>
      <c r="D78" s="211">
        <v>45699</v>
      </c>
      <c r="E78" s="5" t="s">
        <v>7753</v>
      </c>
      <c r="F78" s="5" t="s">
        <v>1336</v>
      </c>
      <c r="G78" s="6" t="s">
        <v>682</v>
      </c>
      <c r="H78" s="6" t="s">
        <v>68</v>
      </c>
      <c r="I78" s="6" t="s">
        <v>1343</v>
      </c>
      <c r="J78" s="6">
        <v>33824</v>
      </c>
      <c r="K78" s="7" t="s">
        <v>7800</v>
      </c>
      <c r="L78" s="8">
        <v>22996</v>
      </c>
      <c r="M78" s="8" t="str">
        <f t="shared" si="10"/>
        <v>PEN</v>
      </c>
      <c r="N78" s="13"/>
      <c r="O78" s="13">
        <v>10</v>
      </c>
      <c r="P78" s="3">
        <f t="shared" si="7"/>
        <v>0</v>
      </c>
      <c r="Q78" s="3">
        <f t="shared" si="8"/>
        <v>10</v>
      </c>
      <c r="R78" s="3">
        <f t="shared" si="9"/>
        <v>418.74</v>
      </c>
      <c r="S78" s="24" t="s">
        <v>1334</v>
      </c>
      <c r="T78" s="24" t="s">
        <v>1334</v>
      </c>
      <c r="U78" s="3"/>
      <c r="V78" s="25" t="s">
        <v>7756</v>
      </c>
      <c r="W78" s="25">
        <v>20259858934</v>
      </c>
      <c r="X78" s="25" t="str">
        <f>IFERROR(VLOOKUP(C_Ope_001[[#This Row],[nota_2]],Clientes_Proveedores[[Ruc / Dni]:[Razon Social]],2,0),"")</f>
        <v>COMERCIALIZACION Y SERVICIOS EL EDEN S.A.C.</v>
      </c>
      <c r="Y78" s="25"/>
      <c r="Z78" s="103"/>
      <c r="AA78" s="3" t="str">
        <f>IF(C_Ope_001[[#This Row],[fecha]]&gt;0,TEXT(C_Ope_001[[#This Row],[fecha]],"mmmm"),0)</f>
        <v>Febrero</v>
      </c>
      <c r="AB78" s="159"/>
    </row>
    <row r="79" spans="1:28" ht="36" x14ac:dyDescent="0.3">
      <c r="A79" s="2">
        <f>IF(C_Ope_001[[#This Row],[tipo_r]]="R",COUNTIFS($C$1:$C78,"R")+1,"")</f>
        <v>78</v>
      </c>
      <c r="B79" s="19" t="str">
        <f t="shared" si="6"/>
        <v>C_Ope_001</v>
      </c>
      <c r="C79" s="3" t="s">
        <v>1330</v>
      </c>
      <c r="D79" s="211">
        <v>45699</v>
      </c>
      <c r="E79" s="5" t="s">
        <v>7753</v>
      </c>
      <c r="F79" s="5" t="s">
        <v>1336</v>
      </c>
      <c r="G79" s="6" t="s">
        <v>682</v>
      </c>
      <c r="H79" s="6" t="s">
        <v>68</v>
      </c>
      <c r="I79" s="6" t="s">
        <v>1343</v>
      </c>
      <c r="J79" s="6">
        <v>33821</v>
      </c>
      <c r="K79" s="7" t="s">
        <v>7801</v>
      </c>
      <c r="L79" s="8">
        <v>22997</v>
      </c>
      <c r="M79" s="8" t="str">
        <f t="shared" si="10"/>
        <v>PEN</v>
      </c>
      <c r="N79" s="13"/>
      <c r="O79" s="13">
        <v>10</v>
      </c>
      <c r="P79" s="3">
        <f t="shared" si="7"/>
        <v>0</v>
      </c>
      <c r="Q79" s="3">
        <f t="shared" si="8"/>
        <v>10</v>
      </c>
      <c r="R79" s="3">
        <f t="shared" si="9"/>
        <v>408.74</v>
      </c>
      <c r="S79" s="24" t="s">
        <v>1334</v>
      </c>
      <c r="T79" s="24" t="s">
        <v>1334</v>
      </c>
      <c r="U79" s="3"/>
      <c r="V79" s="25" t="s">
        <v>7756</v>
      </c>
      <c r="W79" s="25">
        <v>20259858934</v>
      </c>
      <c r="X79" s="25" t="str">
        <f>IFERROR(VLOOKUP(C_Ope_001[[#This Row],[nota_2]],Clientes_Proveedores[[Ruc / Dni]:[Razon Social]],2,0),"")</f>
        <v>COMERCIALIZACION Y SERVICIOS EL EDEN S.A.C.</v>
      </c>
      <c r="Y79" s="25"/>
      <c r="Z79" s="103"/>
      <c r="AA79" s="3" t="str">
        <f>IF(C_Ope_001[[#This Row],[fecha]]&gt;0,TEXT(C_Ope_001[[#This Row],[fecha]],"mmmm"),0)</f>
        <v>Febrero</v>
      </c>
      <c r="AB79" s="159"/>
    </row>
    <row r="80" spans="1:28" ht="36" x14ac:dyDescent="0.3">
      <c r="A80" s="2">
        <f>IF(C_Ope_001[[#This Row],[tipo_r]]="R",COUNTIFS($C$1:$C79,"R")+1,"")</f>
        <v>79</v>
      </c>
      <c r="B80" s="19" t="str">
        <f t="shared" si="6"/>
        <v>C_Ope_001</v>
      </c>
      <c r="C80" s="3" t="s">
        <v>1330</v>
      </c>
      <c r="D80" s="211">
        <v>45702</v>
      </c>
      <c r="E80" s="5" t="s">
        <v>7753</v>
      </c>
      <c r="F80" s="5" t="s">
        <v>1336</v>
      </c>
      <c r="G80" s="6" t="s">
        <v>682</v>
      </c>
      <c r="H80" s="6" t="s">
        <v>68</v>
      </c>
      <c r="I80" s="6" t="s">
        <v>1343</v>
      </c>
      <c r="J80" s="6">
        <v>33864</v>
      </c>
      <c r="K80" s="7" t="s">
        <v>7802</v>
      </c>
      <c r="L80" s="8">
        <v>23047</v>
      </c>
      <c r="M80" s="8" t="str">
        <f t="shared" si="10"/>
        <v>PEN</v>
      </c>
      <c r="N80" s="13"/>
      <c r="O80" s="13">
        <v>10</v>
      </c>
      <c r="P80" s="3">
        <f t="shared" si="7"/>
        <v>0</v>
      </c>
      <c r="Q80" s="3">
        <f t="shared" si="8"/>
        <v>10</v>
      </c>
      <c r="R80" s="3">
        <f t="shared" si="9"/>
        <v>398.74</v>
      </c>
      <c r="S80" s="24" t="s">
        <v>1334</v>
      </c>
      <c r="T80" s="24" t="s">
        <v>1334</v>
      </c>
      <c r="U80" s="3"/>
      <c r="V80" s="25" t="s">
        <v>7756</v>
      </c>
      <c r="W80" s="25">
        <v>20259858934</v>
      </c>
      <c r="X80" s="25" t="str">
        <f>IFERROR(VLOOKUP(C_Ope_001[[#This Row],[nota_2]],Clientes_Proveedores[[Ruc / Dni]:[Razon Social]],2,0),"")</f>
        <v>COMERCIALIZACION Y SERVICIOS EL EDEN S.A.C.</v>
      </c>
      <c r="Y80" s="25"/>
      <c r="Z80" s="103"/>
      <c r="AA80" s="3" t="str">
        <f>IF(C_Ope_001[[#This Row],[fecha]]&gt;0,TEXT(C_Ope_001[[#This Row],[fecha]],"mmmm"),0)</f>
        <v>Febrero</v>
      </c>
      <c r="AB80" s="159"/>
    </row>
    <row r="81" spans="1:28" ht="24" x14ac:dyDescent="0.3">
      <c r="A81" s="2">
        <f>IF(C_Ope_001[[#This Row],[tipo_r]]="R",COUNTIFS($C$1:$C80,"R")+1,"")</f>
        <v>80</v>
      </c>
      <c r="B81" s="19" t="str">
        <f t="shared" si="6"/>
        <v>C_Ope_001</v>
      </c>
      <c r="C81" s="3" t="s">
        <v>1330</v>
      </c>
      <c r="D81" s="211">
        <v>45706</v>
      </c>
      <c r="E81" s="5" t="s">
        <v>7753</v>
      </c>
      <c r="F81" s="5" t="s">
        <v>1336</v>
      </c>
      <c r="G81" s="6" t="s">
        <v>978</v>
      </c>
      <c r="H81" s="6" t="s">
        <v>68</v>
      </c>
      <c r="I81" s="6" t="s">
        <v>6204</v>
      </c>
      <c r="J81" s="6">
        <v>1659471</v>
      </c>
      <c r="K81" s="7" t="s">
        <v>7803</v>
      </c>
      <c r="L81" s="8">
        <v>23080</v>
      </c>
      <c r="M81" s="8" t="str">
        <f t="shared" si="10"/>
        <v>PEN</v>
      </c>
      <c r="N81" s="13"/>
      <c r="O81" s="13">
        <v>8</v>
      </c>
      <c r="P81" s="3">
        <f t="shared" si="7"/>
        <v>0</v>
      </c>
      <c r="Q81" s="3">
        <f t="shared" si="8"/>
        <v>8</v>
      </c>
      <c r="R81" s="3">
        <f t="shared" si="9"/>
        <v>390.74</v>
      </c>
      <c r="S81" s="24" t="s">
        <v>1334</v>
      </c>
      <c r="T81" s="24" t="s">
        <v>1334</v>
      </c>
      <c r="U81" s="3"/>
      <c r="V81" s="25" t="s">
        <v>7756</v>
      </c>
      <c r="W81" s="25">
        <v>20517252558</v>
      </c>
      <c r="X81" s="25" t="str">
        <f>IFERROR(VLOOKUP(C_Ope_001[[#This Row],[nota_2]],Clientes_Proveedores[[Ruc / Dni]:[Razon Social]],2,0),"")</f>
        <v>COVISUR S.A.</v>
      </c>
      <c r="Y81" s="25"/>
      <c r="Z81" s="103"/>
      <c r="AA81" s="3" t="str">
        <f>IF(C_Ope_001[[#This Row],[fecha]]&gt;0,TEXT(C_Ope_001[[#This Row],[fecha]],"mmmm"),0)</f>
        <v>Febrero</v>
      </c>
      <c r="AB81" s="159"/>
    </row>
    <row r="82" spans="1:28" ht="24" x14ac:dyDescent="0.3">
      <c r="A82" s="2">
        <f>IF(C_Ope_001[[#This Row],[tipo_r]]="R",COUNTIFS($C$1:$C81,"R")+1,"")</f>
        <v>81</v>
      </c>
      <c r="B82" s="19" t="str">
        <f t="shared" si="6"/>
        <v>C_Ope_001</v>
      </c>
      <c r="C82" s="3" t="s">
        <v>1330</v>
      </c>
      <c r="D82" s="211">
        <v>45709</v>
      </c>
      <c r="E82" s="5" t="s">
        <v>7753</v>
      </c>
      <c r="F82" s="5" t="s">
        <v>1336</v>
      </c>
      <c r="G82" s="6" t="s">
        <v>978</v>
      </c>
      <c r="H82" s="6" t="s">
        <v>68</v>
      </c>
      <c r="I82" s="6" t="s">
        <v>6379</v>
      </c>
      <c r="J82" s="6">
        <v>453962</v>
      </c>
      <c r="K82" s="7" t="s">
        <v>7771</v>
      </c>
      <c r="L82" s="8">
        <v>23120</v>
      </c>
      <c r="M82" s="8" t="str">
        <f t="shared" si="10"/>
        <v>PEN</v>
      </c>
      <c r="N82" s="13"/>
      <c r="O82" s="13">
        <v>8</v>
      </c>
      <c r="P82" s="3">
        <f t="shared" si="7"/>
        <v>0</v>
      </c>
      <c r="Q82" s="3">
        <f t="shared" si="8"/>
        <v>8</v>
      </c>
      <c r="R82" s="3">
        <f t="shared" si="9"/>
        <v>382.74</v>
      </c>
      <c r="S82" s="24" t="s">
        <v>1334</v>
      </c>
      <c r="T82" s="24" t="s">
        <v>1334</v>
      </c>
      <c r="U82" s="3"/>
      <c r="V82" s="25" t="s">
        <v>7756</v>
      </c>
      <c r="W82" s="25">
        <v>20517252558</v>
      </c>
      <c r="X82" s="25" t="str">
        <f>IFERROR(VLOOKUP(C_Ope_001[[#This Row],[nota_2]],Clientes_Proveedores[[Ruc / Dni]:[Razon Social]],2,0),"")</f>
        <v>COVISUR S.A.</v>
      </c>
      <c r="Y82" s="25"/>
      <c r="Z82" s="103"/>
      <c r="AA82" s="3" t="str">
        <f>IF(C_Ope_001[[#This Row],[fecha]]&gt;0,TEXT(C_Ope_001[[#This Row],[fecha]],"mmmm"),0)</f>
        <v>Febrero</v>
      </c>
      <c r="AB82" s="159"/>
    </row>
    <row r="83" spans="1:28" ht="24" x14ac:dyDescent="0.3">
      <c r="A83" s="2">
        <f>IF(C_Ope_001[[#This Row],[tipo_r]]="R",COUNTIFS($C$1:$C82,"R")+1,"")</f>
        <v>82</v>
      </c>
      <c r="B83" s="19" t="str">
        <f t="shared" si="6"/>
        <v>C_Ope_001</v>
      </c>
      <c r="C83" s="3" t="s">
        <v>1330</v>
      </c>
      <c r="D83" s="211">
        <v>45709</v>
      </c>
      <c r="E83" s="5" t="s">
        <v>7753</v>
      </c>
      <c r="F83" s="5" t="s">
        <v>1336</v>
      </c>
      <c r="G83" s="6" t="s">
        <v>978</v>
      </c>
      <c r="H83" s="6" t="s">
        <v>68</v>
      </c>
      <c r="I83" s="6" t="s">
        <v>5845</v>
      </c>
      <c r="J83" s="6">
        <v>1681339</v>
      </c>
      <c r="K83" s="7" t="s">
        <v>7772</v>
      </c>
      <c r="L83" s="8">
        <v>23123</v>
      </c>
      <c r="M83" s="8" t="str">
        <f t="shared" si="10"/>
        <v>PEN</v>
      </c>
      <c r="N83" s="13"/>
      <c r="O83" s="13">
        <v>8</v>
      </c>
      <c r="P83" s="3">
        <f t="shared" si="7"/>
        <v>0</v>
      </c>
      <c r="Q83" s="3">
        <f t="shared" si="8"/>
        <v>8</v>
      </c>
      <c r="R83" s="3">
        <f t="shared" si="9"/>
        <v>374.74</v>
      </c>
      <c r="S83" s="24" t="s">
        <v>1334</v>
      </c>
      <c r="T83" s="24" t="s">
        <v>1334</v>
      </c>
      <c r="U83" s="3"/>
      <c r="V83" s="25" t="s">
        <v>7756</v>
      </c>
      <c r="W83" s="25">
        <v>20517252558</v>
      </c>
      <c r="X83" s="25" t="str">
        <f>IFERROR(VLOOKUP(C_Ope_001[[#This Row],[nota_2]],Clientes_Proveedores[[Ruc / Dni]:[Razon Social]],2,0),"")</f>
        <v>COVISUR S.A.</v>
      </c>
      <c r="Y83" s="25"/>
      <c r="Z83" s="103"/>
      <c r="AA83" s="3" t="str">
        <f>IF(C_Ope_001[[#This Row],[fecha]]&gt;0,TEXT(C_Ope_001[[#This Row],[fecha]],"mmmm"),0)</f>
        <v>Febrero</v>
      </c>
      <c r="AB83" s="159"/>
    </row>
    <row r="84" spans="1:28" ht="24" x14ac:dyDescent="0.3">
      <c r="A84" s="2">
        <f>IF(C_Ope_001[[#This Row],[tipo_r]]="R",COUNTIFS($C$1:$C83,"R")+1,"")</f>
        <v>83</v>
      </c>
      <c r="B84" s="19" t="str">
        <f t="shared" si="6"/>
        <v>C_Ope_001</v>
      </c>
      <c r="C84" s="3" t="s">
        <v>1330</v>
      </c>
      <c r="D84" s="211">
        <v>45709</v>
      </c>
      <c r="E84" s="5" t="s">
        <v>7753</v>
      </c>
      <c r="F84" s="5" t="s">
        <v>1336</v>
      </c>
      <c r="G84" s="6" t="s">
        <v>978</v>
      </c>
      <c r="H84" s="6" t="s">
        <v>68</v>
      </c>
      <c r="I84" s="6" t="s">
        <v>6380</v>
      </c>
      <c r="J84" s="6">
        <v>369755</v>
      </c>
      <c r="K84" s="7" t="s">
        <v>7771</v>
      </c>
      <c r="L84" s="8">
        <v>23124</v>
      </c>
      <c r="M84" s="8" t="str">
        <f t="shared" si="10"/>
        <v>PEN</v>
      </c>
      <c r="N84" s="13"/>
      <c r="O84" s="13">
        <v>8</v>
      </c>
      <c r="P84" s="3">
        <f t="shared" si="7"/>
        <v>0</v>
      </c>
      <c r="Q84" s="3">
        <f t="shared" si="8"/>
        <v>8</v>
      </c>
      <c r="R84" s="3">
        <f t="shared" si="9"/>
        <v>366.74</v>
      </c>
      <c r="S84" s="24" t="s">
        <v>1334</v>
      </c>
      <c r="T84" s="24" t="s">
        <v>1334</v>
      </c>
      <c r="U84" s="3"/>
      <c r="V84" s="25" t="s">
        <v>7756</v>
      </c>
      <c r="W84" s="25">
        <v>20517252558</v>
      </c>
      <c r="X84" s="25" t="str">
        <f>IFERROR(VLOOKUP(C_Ope_001[[#This Row],[nota_2]],Clientes_Proveedores[[Ruc / Dni]:[Razon Social]],2,0),"")</f>
        <v>COVISUR S.A.</v>
      </c>
      <c r="Y84" s="25"/>
      <c r="Z84" s="103"/>
      <c r="AA84" s="3" t="str">
        <f>IF(C_Ope_001[[#This Row],[fecha]]&gt;0,TEXT(C_Ope_001[[#This Row],[fecha]],"mmmm"),0)</f>
        <v>Febrero</v>
      </c>
      <c r="AB84" s="159"/>
    </row>
    <row r="85" spans="1:28" ht="36" x14ac:dyDescent="0.3">
      <c r="A85" s="2">
        <f>IF(C_Ope_001[[#This Row],[tipo_r]]="R",COUNTIFS($C$1:$C84,"R")+1,"")</f>
        <v>84</v>
      </c>
      <c r="B85" s="19" t="str">
        <f t="shared" si="6"/>
        <v>C_Ope_001</v>
      </c>
      <c r="C85" s="3" t="s">
        <v>1330</v>
      </c>
      <c r="D85" s="211">
        <v>45705</v>
      </c>
      <c r="E85" s="5" t="s">
        <v>7753</v>
      </c>
      <c r="F85" s="5" t="s">
        <v>1336</v>
      </c>
      <c r="G85" s="6" t="s">
        <v>682</v>
      </c>
      <c r="H85" s="6" t="s">
        <v>68</v>
      </c>
      <c r="I85" s="6" t="s">
        <v>1343</v>
      </c>
      <c r="J85" s="6">
        <v>33884</v>
      </c>
      <c r="K85" s="7" t="s">
        <v>7804</v>
      </c>
      <c r="L85" s="8">
        <v>23071</v>
      </c>
      <c r="M85" s="8" t="str">
        <f t="shared" si="10"/>
        <v>PEN</v>
      </c>
      <c r="N85" s="13"/>
      <c r="O85" s="13">
        <v>10</v>
      </c>
      <c r="P85" s="3">
        <f t="shared" si="7"/>
        <v>0</v>
      </c>
      <c r="Q85" s="3">
        <f t="shared" si="8"/>
        <v>10</v>
      </c>
      <c r="R85" s="3">
        <f t="shared" si="9"/>
        <v>356.74</v>
      </c>
      <c r="S85" s="24" t="s">
        <v>1334</v>
      </c>
      <c r="T85" s="24" t="s">
        <v>1334</v>
      </c>
      <c r="U85" s="3"/>
      <c r="V85" s="25" t="s">
        <v>7756</v>
      </c>
      <c r="W85" s="25">
        <v>20259858934</v>
      </c>
      <c r="X85" s="25" t="str">
        <f>IFERROR(VLOOKUP(C_Ope_001[[#This Row],[nota_2]],Clientes_Proveedores[[Ruc / Dni]:[Razon Social]],2,0),"")</f>
        <v>COMERCIALIZACION Y SERVICIOS EL EDEN S.A.C.</v>
      </c>
      <c r="Y85" s="25"/>
      <c r="Z85" s="103"/>
      <c r="AA85" s="3" t="str">
        <f>IF(C_Ope_001[[#This Row],[fecha]]&gt;0,TEXT(C_Ope_001[[#This Row],[fecha]],"mmmm"),0)</f>
        <v>Febrero</v>
      </c>
      <c r="AB85" s="159"/>
    </row>
    <row r="86" spans="1:28" ht="36" x14ac:dyDescent="0.3">
      <c r="A86" s="2">
        <f>IF(C_Ope_001[[#This Row],[tipo_r]]="R",COUNTIFS($C$1:$C85,"R")+1,"")</f>
        <v>85</v>
      </c>
      <c r="B86" s="19" t="str">
        <f t="shared" si="6"/>
        <v>C_Ope_001</v>
      </c>
      <c r="C86" s="3" t="s">
        <v>1330</v>
      </c>
      <c r="D86" s="211">
        <v>45708</v>
      </c>
      <c r="E86" s="5" t="s">
        <v>7753</v>
      </c>
      <c r="F86" s="5" t="s">
        <v>1336</v>
      </c>
      <c r="G86" s="6" t="s">
        <v>682</v>
      </c>
      <c r="H86" s="6" t="s">
        <v>68</v>
      </c>
      <c r="I86" s="6" t="s">
        <v>1343</v>
      </c>
      <c r="J86" s="6">
        <v>33926</v>
      </c>
      <c r="K86" s="7" t="s">
        <v>7805</v>
      </c>
      <c r="L86" s="8">
        <v>23102</v>
      </c>
      <c r="M86" s="8" t="str">
        <f t="shared" si="10"/>
        <v>PEN</v>
      </c>
      <c r="N86" s="13"/>
      <c r="O86" s="13">
        <v>10</v>
      </c>
      <c r="P86" s="3">
        <f t="shared" si="7"/>
        <v>0</v>
      </c>
      <c r="Q86" s="3">
        <f t="shared" si="8"/>
        <v>10</v>
      </c>
      <c r="R86" s="3">
        <f t="shared" si="9"/>
        <v>346.74</v>
      </c>
      <c r="S86" s="24" t="s">
        <v>1334</v>
      </c>
      <c r="T86" s="24" t="s">
        <v>1334</v>
      </c>
      <c r="U86" s="3"/>
      <c r="V86" s="25" t="s">
        <v>7756</v>
      </c>
      <c r="W86" s="25">
        <v>20259858934</v>
      </c>
      <c r="X86" s="25" t="str">
        <f>IFERROR(VLOOKUP(C_Ope_001[[#This Row],[nota_2]],Clientes_Proveedores[[Ruc / Dni]:[Razon Social]],2,0),"")</f>
        <v>COMERCIALIZACION Y SERVICIOS EL EDEN S.A.C.</v>
      </c>
      <c r="Y86" s="25"/>
      <c r="Z86" s="103"/>
      <c r="AA86" s="3" t="str">
        <f>IF(C_Ope_001[[#This Row],[fecha]]&gt;0,TEXT(C_Ope_001[[#This Row],[fecha]],"mmmm"),0)</f>
        <v>Febrero</v>
      </c>
      <c r="AB86" s="159"/>
    </row>
    <row r="87" spans="1:28" ht="36" x14ac:dyDescent="0.3">
      <c r="A87" s="2">
        <f>IF(C_Ope_001[[#This Row],[tipo_r]]="R",COUNTIFS($C$1:$C86,"R")+1,"")</f>
        <v>86</v>
      </c>
      <c r="B87" s="19" t="str">
        <f t="shared" si="6"/>
        <v>C_Ope_001</v>
      </c>
      <c r="C87" s="3" t="s">
        <v>1330</v>
      </c>
      <c r="D87" s="211">
        <v>45709</v>
      </c>
      <c r="E87" s="5" t="s">
        <v>7753</v>
      </c>
      <c r="F87" s="5" t="s">
        <v>1336</v>
      </c>
      <c r="G87" s="6" t="s">
        <v>1029</v>
      </c>
      <c r="H87" s="6" t="s">
        <v>68</v>
      </c>
      <c r="I87" s="6" t="s">
        <v>1374</v>
      </c>
      <c r="J87" s="6">
        <v>16932</v>
      </c>
      <c r="K87" s="7" t="s">
        <v>7776</v>
      </c>
      <c r="L87" s="8">
        <v>23121</v>
      </c>
      <c r="M87" s="8" t="str">
        <f t="shared" si="10"/>
        <v>PEN</v>
      </c>
      <c r="N87" s="13"/>
      <c r="O87" s="13">
        <v>11</v>
      </c>
      <c r="P87" s="3">
        <f t="shared" si="7"/>
        <v>0</v>
      </c>
      <c r="Q87" s="3">
        <f t="shared" si="8"/>
        <v>11</v>
      </c>
      <c r="R87" s="3">
        <f t="shared" si="9"/>
        <v>335.74</v>
      </c>
      <c r="S87" s="24" t="s">
        <v>1334</v>
      </c>
      <c r="T87" s="24" t="s">
        <v>1334</v>
      </c>
      <c r="U87" s="3"/>
      <c r="V87" s="25" t="s">
        <v>7756</v>
      </c>
      <c r="W87" s="25">
        <v>20454058187</v>
      </c>
      <c r="X87" s="25" t="str">
        <f>IFERROR(VLOOKUP(C_Ope_001[[#This Row],[nota_2]],Clientes_Proveedores[[Ruc / Dni]:[Razon Social]],2,0),"")</f>
        <v>ZONA ESPECIAL DE DESARROLLO ZED MATARANI</v>
      </c>
      <c r="Y87" s="25"/>
      <c r="Z87" s="103"/>
      <c r="AA87" s="3" t="str">
        <f>IF(C_Ope_001[[#This Row],[fecha]]&gt;0,TEXT(C_Ope_001[[#This Row],[fecha]],"mmmm"),0)</f>
        <v>Febrero</v>
      </c>
      <c r="AB87" s="159"/>
    </row>
    <row r="88" spans="1:28" ht="36" x14ac:dyDescent="0.3">
      <c r="A88" s="2">
        <f>IF(C_Ope_001[[#This Row],[tipo_r]]="R",COUNTIFS($C$1:$C87,"R")+1,"")</f>
        <v>87</v>
      </c>
      <c r="B88" s="19" t="str">
        <f t="shared" si="6"/>
        <v>C_Ope_001</v>
      </c>
      <c r="C88" s="3" t="s">
        <v>1330</v>
      </c>
      <c r="D88" s="211">
        <v>45712</v>
      </c>
      <c r="E88" s="5" t="s">
        <v>7753</v>
      </c>
      <c r="F88" s="5" t="s">
        <v>1336</v>
      </c>
      <c r="G88" s="6" t="s">
        <v>978</v>
      </c>
      <c r="H88" s="6" t="s">
        <v>68</v>
      </c>
      <c r="I88" s="6" t="s">
        <v>6203</v>
      </c>
      <c r="J88" s="6">
        <v>1970578</v>
      </c>
      <c r="K88" s="7" t="s">
        <v>7806</v>
      </c>
      <c r="L88" s="8">
        <v>23176</v>
      </c>
      <c r="M88" s="8" t="str">
        <f t="shared" si="10"/>
        <v>PEN</v>
      </c>
      <c r="N88" s="13"/>
      <c r="O88" s="13">
        <v>8</v>
      </c>
      <c r="P88" s="3">
        <f t="shared" si="7"/>
        <v>0</v>
      </c>
      <c r="Q88" s="3">
        <f t="shared" si="8"/>
        <v>8</v>
      </c>
      <c r="R88" s="3">
        <f t="shared" si="9"/>
        <v>327.74</v>
      </c>
      <c r="S88" s="24" t="s">
        <v>1334</v>
      </c>
      <c r="T88" s="24" t="s">
        <v>1334</v>
      </c>
      <c r="U88" s="3"/>
      <c r="V88" s="25" t="s">
        <v>7756</v>
      </c>
      <c r="W88" s="25">
        <v>20517252558</v>
      </c>
      <c r="X88" s="25" t="str">
        <f>IFERROR(VLOOKUP(C_Ope_001[[#This Row],[nota_2]],Clientes_Proveedores[[Ruc / Dni]:[Razon Social]],2,0),"")</f>
        <v>COVISUR S.A.</v>
      </c>
      <c r="Y88" s="25"/>
      <c r="Z88" s="103"/>
      <c r="AA88" s="3" t="str">
        <f>IF(C_Ope_001[[#This Row],[fecha]]&gt;0,TEXT(C_Ope_001[[#This Row],[fecha]],"mmmm"),0)</f>
        <v>Febrero</v>
      </c>
      <c r="AB88" s="159"/>
    </row>
    <row r="89" spans="1:28" ht="24" x14ac:dyDescent="0.3">
      <c r="A89" s="2">
        <f>IF(C_Ope_001[[#This Row],[tipo_r]]="R",COUNTIFS($C$1:$C88,"R")+1,"")</f>
        <v>88</v>
      </c>
      <c r="B89" s="19" t="str">
        <f t="shared" si="6"/>
        <v>C_Ope_001</v>
      </c>
      <c r="C89" s="3" t="s">
        <v>1330</v>
      </c>
      <c r="D89" s="211">
        <v>45715</v>
      </c>
      <c r="E89" s="5" t="s">
        <v>7753</v>
      </c>
      <c r="F89" s="5" t="s">
        <v>1336</v>
      </c>
      <c r="G89" s="6" t="s">
        <v>978</v>
      </c>
      <c r="H89" s="6" t="s">
        <v>68</v>
      </c>
      <c r="I89" s="6" t="s">
        <v>5688</v>
      </c>
      <c r="J89" s="6">
        <v>2247443</v>
      </c>
      <c r="K89" s="7" t="s">
        <v>7807</v>
      </c>
      <c r="L89" s="8">
        <v>23234</v>
      </c>
      <c r="M89" s="8" t="str">
        <f t="shared" si="10"/>
        <v>PEN</v>
      </c>
      <c r="N89" s="13"/>
      <c r="O89" s="13">
        <v>8</v>
      </c>
      <c r="P89" s="3">
        <f t="shared" si="7"/>
        <v>0</v>
      </c>
      <c r="Q89" s="3">
        <f t="shared" si="8"/>
        <v>8</v>
      </c>
      <c r="R89" s="3">
        <f t="shared" si="9"/>
        <v>319.74</v>
      </c>
      <c r="S89" s="24" t="s">
        <v>1334</v>
      </c>
      <c r="T89" s="24" t="s">
        <v>1334</v>
      </c>
      <c r="U89" s="3"/>
      <c r="V89" s="25" t="s">
        <v>7756</v>
      </c>
      <c r="W89" s="25">
        <v>20517252558</v>
      </c>
      <c r="X89" s="25" t="str">
        <f>IFERROR(VLOOKUP(C_Ope_001[[#This Row],[nota_2]],Clientes_Proveedores[[Ruc / Dni]:[Razon Social]],2,0),"")</f>
        <v>COVISUR S.A.</v>
      </c>
      <c r="Y89" s="25"/>
      <c r="Z89" s="103"/>
      <c r="AA89" s="3" t="str">
        <f>IF(C_Ope_001[[#This Row],[fecha]]&gt;0,TEXT(C_Ope_001[[#This Row],[fecha]],"mmmm"),0)</f>
        <v>Febrero</v>
      </c>
      <c r="AB89" s="159"/>
    </row>
    <row r="90" spans="1:28" x14ac:dyDescent="0.3">
      <c r="A90" s="2">
        <f>IF(C_Ope_001[[#This Row],[tipo_r]]="R",COUNTIFS($C$1:$C89,"R")+1,"")</f>
        <v>89</v>
      </c>
      <c r="B90" s="19" t="str">
        <f t="shared" si="6"/>
        <v>C_Ope_001</v>
      </c>
      <c r="C90" s="3" t="s">
        <v>1330</v>
      </c>
      <c r="D90" s="211">
        <v>45713</v>
      </c>
      <c r="E90" s="5" t="s">
        <v>7753</v>
      </c>
      <c r="F90" s="5" t="s">
        <v>1336</v>
      </c>
      <c r="G90" s="6" t="s">
        <v>1148</v>
      </c>
      <c r="H90" s="6" t="s">
        <v>68</v>
      </c>
      <c r="I90" s="6" t="s">
        <v>6378</v>
      </c>
      <c r="J90" s="6">
        <v>5331</v>
      </c>
      <c r="K90" s="7" t="s">
        <v>7808</v>
      </c>
      <c r="L90" s="8">
        <v>23190</v>
      </c>
      <c r="M90" s="8" t="str">
        <f t="shared" si="10"/>
        <v>PEN</v>
      </c>
      <c r="N90" s="13"/>
      <c r="O90" s="13">
        <v>10</v>
      </c>
      <c r="P90" s="3">
        <f t="shared" si="7"/>
        <v>0</v>
      </c>
      <c r="Q90" s="3">
        <f t="shared" si="8"/>
        <v>10</v>
      </c>
      <c r="R90" s="3">
        <f t="shared" si="9"/>
        <v>309.74</v>
      </c>
      <c r="S90" s="24" t="s">
        <v>1334</v>
      </c>
      <c r="T90" s="24" t="s">
        <v>1334</v>
      </c>
      <c r="U90" s="3"/>
      <c r="V90" s="25" t="s">
        <v>7761</v>
      </c>
      <c r="W90" s="25">
        <v>20611633972</v>
      </c>
      <c r="X90" s="25" t="str">
        <f>IFERROR(VLOOKUP(C_Ope_001[[#This Row],[nota_2]],Clientes_Proveedores[[Ruc / Dni]:[Razon Social]],2,0),"")</f>
        <v>NOVAARECY E.I.R.L.</v>
      </c>
      <c r="Y90" s="25"/>
      <c r="Z90" s="103"/>
      <c r="AA90" s="3" t="str">
        <f>IF(C_Ope_001[[#This Row],[fecha]]&gt;0,TEXT(C_Ope_001[[#This Row],[fecha]],"mmmm"),0)</f>
        <v>Febrero</v>
      </c>
      <c r="AB90" s="159"/>
    </row>
    <row r="91" spans="1:28" x14ac:dyDescent="0.3">
      <c r="A91" s="2">
        <f>IF(C_Ope_001[[#This Row],[tipo_r]]="R",COUNTIFS($C$1:$C90,"R")+1,"")</f>
        <v>90</v>
      </c>
      <c r="B91" s="19" t="str">
        <f t="shared" si="6"/>
        <v>C_Ope_001</v>
      </c>
      <c r="C91" s="3" t="s">
        <v>1330</v>
      </c>
      <c r="D91" s="211">
        <v>45713</v>
      </c>
      <c r="E91" s="5" t="s">
        <v>7753</v>
      </c>
      <c r="F91" s="5" t="s">
        <v>1336</v>
      </c>
      <c r="G91" s="6" t="s">
        <v>1148</v>
      </c>
      <c r="H91" s="6" t="s">
        <v>68</v>
      </c>
      <c r="I91" s="6" t="s">
        <v>6378</v>
      </c>
      <c r="J91" s="6">
        <v>5340</v>
      </c>
      <c r="K91" s="7" t="s">
        <v>7809</v>
      </c>
      <c r="L91" s="8">
        <v>23191</v>
      </c>
      <c r="M91" s="8" t="str">
        <f t="shared" si="10"/>
        <v>PEN</v>
      </c>
      <c r="N91" s="13"/>
      <c r="O91" s="13">
        <v>10</v>
      </c>
      <c r="P91" s="3">
        <f t="shared" si="7"/>
        <v>0</v>
      </c>
      <c r="Q91" s="3">
        <f t="shared" si="8"/>
        <v>10</v>
      </c>
      <c r="R91" s="3">
        <f t="shared" si="9"/>
        <v>299.74</v>
      </c>
      <c r="S91" s="24" t="s">
        <v>1334</v>
      </c>
      <c r="T91" s="24" t="s">
        <v>1334</v>
      </c>
      <c r="U91" s="3"/>
      <c r="V91" s="25" t="s">
        <v>7761</v>
      </c>
      <c r="W91" s="25">
        <v>20611633972</v>
      </c>
      <c r="X91" s="25" t="str">
        <f>IFERROR(VLOOKUP(C_Ope_001[[#This Row],[nota_2]],Clientes_Proveedores[[Ruc / Dni]:[Razon Social]],2,0),"")</f>
        <v>NOVAARECY E.I.R.L.</v>
      </c>
      <c r="Y91" s="25"/>
      <c r="Z91" s="103"/>
      <c r="AA91" s="3" t="str">
        <f>IF(C_Ope_001[[#This Row],[fecha]]&gt;0,TEXT(C_Ope_001[[#This Row],[fecha]],"mmmm"),0)</f>
        <v>Febrero</v>
      </c>
      <c r="AB91" s="159"/>
    </row>
    <row r="92" spans="1:28" ht="36" x14ac:dyDescent="0.3">
      <c r="A92" s="2">
        <f>IF(C_Ope_001[[#This Row],[tipo_r]]="R",COUNTIFS($C$1:$C91,"R")+1,"")</f>
        <v>91</v>
      </c>
      <c r="B92" s="19" t="str">
        <f t="shared" si="6"/>
        <v>C_Ope_001</v>
      </c>
      <c r="C92" s="3" t="s">
        <v>1330</v>
      </c>
      <c r="D92" s="211">
        <v>45713</v>
      </c>
      <c r="E92" s="5" t="s">
        <v>7753</v>
      </c>
      <c r="F92" s="5" t="s">
        <v>1336</v>
      </c>
      <c r="G92" s="6" t="s">
        <v>682</v>
      </c>
      <c r="H92" s="6" t="s">
        <v>68</v>
      </c>
      <c r="I92" s="6" t="s">
        <v>1343</v>
      </c>
      <c r="J92" s="6">
        <v>33962</v>
      </c>
      <c r="K92" s="7" t="s">
        <v>7810</v>
      </c>
      <c r="L92" s="8">
        <v>23192</v>
      </c>
      <c r="M92" s="8" t="str">
        <f t="shared" si="10"/>
        <v>PEN</v>
      </c>
      <c r="N92" s="13"/>
      <c r="O92" s="13">
        <v>10</v>
      </c>
      <c r="P92" s="3">
        <f t="shared" si="7"/>
        <v>0</v>
      </c>
      <c r="Q92" s="3">
        <f t="shared" si="8"/>
        <v>10</v>
      </c>
      <c r="R92" s="3">
        <f t="shared" si="9"/>
        <v>289.74</v>
      </c>
      <c r="S92" s="24" t="s">
        <v>1334</v>
      </c>
      <c r="T92" s="24" t="s">
        <v>1334</v>
      </c>
      <c r="U92" s="3"/>
      <c r="V92" s="25" t="s">
        <v>7761</v>
      </c>
      <c r="W92" s="25">
        <v>20259858934</v>
      </c>
      <c r="X92" s="25" t="str">
        <f>IFERROR(VLOOKUP(C_Ope_001[[#This Row],[nota_2]],Clientes_Proveedores[[Ruc / Dni]:[Razon Social]],2,0),"")</f>
        <v>COMERCIALIZACION Y SERVICIOS EL EDEN S.A.C.</v>
      </c>
      <c r="Y92" s="25"/>
      <c r="Z92" s="103"/>
      <c r="AA92" s="3" t="str">
        <f>IF(C_Ope_001[[#This Row],[fecha]]&gt;0,TEXT(C_Ope_001[[#This Row],[fecha]],"mmmm"),0)</f>
        <v>Febrero</v>
      </c>
      <c r="AB92" s="159"/>
    </row>
    <row r="93" spans="1:28" ht="36" x14ac:dyDescent="0.3">
      <c r="A93" s="2">
        <f>IF(C_Ope_001[[#This Row],[tipo_r]]="R",COUNTIFS($C$1:$C92,"R")+1,"")</f>
        <v>92</v>
      </c>
      <c r="B93" s="19" t="str">
        <f t="shared" si="6"/>
        <v>C_Ope_001</v>
      </c>
      <c r="C93" s="3" t="s">
        <v>1330</v>
      </c>
      <c r="D93" s="211">
        <v>45714</v>
      </c>
      <c r="E93" s="5" t="s">
        <v>7753</v>
      </c>
      <c r="F93" s="5" t="s">
        <v>1336</v>
      </c>
      <c r="G93" s="6" t="s">
        <v>682</v>
      </c>
      <c r="H93" s="6" t="s">
        <v>68</v>
      </c>
      <c r="I93" s="6" t="s">
        <v>1343</v>
      </c>
      <c r="J93" s="6">
        <v>33988</v>
      </c>
      <c r="K93" s="7" t="s">
        <v>7811</v>
      </c>
      <c r="L93" s="8">
        <v>23210</v>
      </c>
      <c r="M93" s="8" t="str">
        <f t="shared" si="10"/>
        <v>PEN</v>
      </c>
      <c r="N93" s="13"/>
      <c r="O93" s="13">
        <v>5</v>
      </c>
      <c r="P93" s="3">
        <f t="shared" si="7"/>
        <v>0</v>
      </c>
      <c r="Q93" s="3">
        <f t="shared" si="8"/>
        <v>5</v>
      </c>
      <c r="R93" s="3">
        <f t="shared" si="9"/>
        <v>284.74</v>
      </c>
      <c r="S93" s="24" t="s">
        <v>1334</v>
      </c>
      <c r="T93" s="24" t="s">
        <v>1334</v>
      </c>
      <c r="U93" s="3"/>
      <c r="V93" s="25" t="s">
        <v>7756</v>
      </c>
      <c r="W93" s="25">
        <v>20259858934</v>
      </c>
      <c r="X93" s="25" t="str">
        <f>IFERROR(VLOOKUP(C_Ope_001[[#This Row],[nota_2]],Clientes_Proveedores[[Ruc / Dni]:[Razon Social]],2,0),"")</f>
        <v>COMERCIALIZACION Y SERVICIOS EL EDEN S.A.C.</v>
      </c>
      <c r="Y93" s="25"/>
      <c r="Z93" s="103"/>
      <c r="AA93" s="3" t="str">
        <f>IF(C_Ope_001[[#This Row],[fecha]]&gt;0,TEXT(C_Ope_001[[#This Row],[fecha]],"mmmm"),0)</f>
        <v>Febrero</v>
      </c>
      <c r="AB93" s="159"/>
    </row>
    <row r="94" spans="1:28" ht="36" x14ac:dyDescent="0.3">
      <c r="A94" s="2">
        <f>IF(C_Ope_001[[#This Row],[tipo_r]]="R",COUNTIFS($C$1:$C93,"R")+1,"")</f>
        <v>93</v>
      </c>
      <c r="B94" s="19" t="str">
        <f t="shared" si="6"/>
        <v>C_Ope_001</v>
      </c>
      <c r="C94" s="3" t="s">
        <v>1330</v>
      </c>
      <c r="D94" s="211">
        <v>45714</v>
      </c>
      <c r="E94" s="5" t="s">
        <v>7753</v>
      </c>
      <c r="F94" s="5" t="s">
        <v>1336</v>
      </c>
      <c r="G94" s="6" t="s">
        <v>682</v>
      </c>
      <c r="H94" s="6" t="s">
        <v>68</v>
      </c>
      <c r="I94" s="6" t="s">
        <v>1343</v>
      </c>
      <c r="J94" s="6">
        <v>33982</v>
      </c>
      <c r="K94" s="7" t="s">
        <v>7812</v>
      </c>
      <c r="L94" s="8">
        <v>23211</v>
      </c>
      <c r="M94" s="8" t="str">
        <f t="shared" si="10"/>
        <v>PEN</v>
      </c>
      <c r="N94" s="13"/>
      <c r="O94" s="13">
        <v>10</v>
      </c>
      <c r="P94" s="3">
        <f t="shared" si="7"/>
        <v>0</v>
      </c>
      <c r="Q94" s="3">
        <f t="shared" si="8"/>
        <v>10</v>
      </c>
      <c r="R94" s="3">
        <f t="shared" si="9"/>
        <v>274.74</v>
      </c>
      <c r="S94" s="24" t="s">
        <v>1334</v>
      </c>
      <c r="T94" s="24" t="s">
        <v>1334</v>
      </c>
      <c r="U94" s="3"/>
      <c r="V94" s="25" t="s">
        <v>7756</v>
      </c>
      <c r="W94" s="25">
        <v>20259858934</v>
      </c>
      <c r="X94" s="25" t="str">
        <f>IFERROR(VLOOKUP(C_Ope_001[[#This Row],[nota_2]],Clientes_Proveedores[[Ruc / Dni]:[Razon Social]],2,0),"")</f>
        <v>COMERCIALIZACION Y SERVICIOS EL EDEN S.A.C.</v>
      </c>
      <c r="Y94" s="25"/>
      <c r="Z94" s="103"/>
      <c r="AA94" s="3" t="str">
        <f>IF(C_Ope_001[[#This Row],[fecha]]&gt;0,TEXT(C_Ope_001[[#This Row],[fecha]],"mmmm"),0)</f>
        <v>Febrero</v>
      </c>
      <c r="AB94" s="159"/>
    </row>
    <row r="95" spans="1:28" ht="24" x14ac:dyDescent="0.3">
      <c r="A95" s="2">
        <f>IF(C_Ope_001[[#This Row],[tipo_r]]="R",COUNTIFS($C$1:$C94,"R")+1,"")</f>
        <v>94</v>
      </c>
      <c r="B95" s="19" t="str">
        <f t="shared" si="6"/>
        <v>C_Ope_001</v>
      </c>
      <c r="C95" s="3" t="s">
        <v>1330</v>
      </c>
      <c r="D95" s="211">
        <v>45716</v>
      </c>
      <c r="E95" s="5" t="s">
        <v>7753</v>
      </c>
      <c r="F95" s="5" t="s">
        <v>1336</v>
      </c>
      <c r="G95" s="6" t="s">
        <v>999</v>
      </c>
      <c r="H95" s="6" t="s">
        <v>68</v>
      </c>
      <c r="I95" s="6" t="s">
        <v>1374</v>
      </c>
      <c r="J95" s="6">
        <v>16619</v>
      </c>
      <c r="K95" s="7" t="s">
        <v>7777</v>
      </c>
      <c r="L95" s="8">
        <v>23240</v>
      </c>
      <c r="M95" s="8" t="str">
        <f t="shared" si="10"/>
        <v>PEN</v>
      </c>
      <c r="N95" s="13"/>
      <c r="O95" s="13">
        <v>25</v>
      </c>
      <c r="P95" s="3">
        <f t="shared" si="7"/>
        <v>0</v>
      </c>
      <c r="Q95" s="3">
        <f t="shared" si="8"/>
        <v>25</v>
      </c>
      <c r="R95" s="3">
        <f t="shared" si="9"/>
        <v>249.74</v>
      </c>
      <c r="S95" s="24" t="s">
        <v>1334</v>
      </c>
      <c r="T95" s="24" t="s">
        <v>1334</v>
      </c>
      <c r="U95" s="3"/>
      <c r="V95" s="25" t="s">
        <v>7756</v>
      </c>
      <c r="W95" s="25">
        <v>10705628331</v>
      </c>
      <c r="X95" s="25" t="str">
        <f>IFERROR(VLOOKUP(C_Ope_001[[#This Row],[nota_2]],Clientes_Proveedores[[Ruc / Dni]:[Razon Social]],2,0),"")</f>
        <v>LARICO APAZA NANCY ROSSMARY</v>
      </c>
      <c r="Y95" s="25"/>
      <c r="Z95" s="103"/>
      <c r="AA95" s="3" t="str">
        <f>IF(C_Ope_001[[#This Row],[fecha]]&gt;0,TEXT(C_Ope_001[[#This Row],[fecha]],"mmmm"),0)</f>
        <v>Febrero</v>
      </c>
      <c r="AB95" s="159"/>
    </row>
    <row r="96" spans="1:28" ht="24" x14ac:dyDescent="0.3">
      <c r="A96" s="2">
        <f>IF(C_Ope_001[[#This Row],[tipo_r]]="R",COUNTIFS($C$1:$C95,"R")+1,"")</f>
        <v>95</v>
      </c>
      <c r="B96" s="19" t="str">
        <f t="shared" si="6"/>
        <v>C_Ope_001</v>
      </c>
      <c r="C96" s="3" t="s">
        <v>1330</v>
      </c>
      <c r="D96" s="211">
        <v>45719</v>
      </c>
      <c r="E96" s="5" t="s">
        <v>7753</v>
      </c>
      <c r="F96" s="5" t="s">
        <v>1336</v>
      </c>
      <c r="G96" s="6" t="s">
        <v>978</v>
      </c>
      <c r="H96" s="6" t="s">
        <v>68</v>
      </c>
      <c r="I96" s="6" t="s">
        <v>6203</v>
      </c>
      <c r="J96" s="6">
        <v>1978464</v>
      </c>
      <c r="K96" s="7" t="s">
        <v>7813</v>
      </c>
      <c r="L96" s="8">
        <v>23276</v>
      </c>
      <c r="M96" s="8" t="str">
        <f t="shared" si="10"/>
        <v>PEN</v>
      </c>
      <c r="N96" s="13"/>
      <c r="O96" s="13">
        <v>8</v>
      </c>
      <c r="P96" s="3">
        <f t="shared" si="7"/>
        <v>0</v>
      </c>
      <c r="Q96" s="3">
        <f t="shared" si="8"/>
        <v>8</v>
      </c>
      <c r="R96" s="3">
        <f t="shared" si="9"/>
        <v>241.74</v>
      </c>
      <c r="S96" s="24" t="s">
        <v>1334</v>
      </c>
      <c r="T96" s="24" t="s">
        <v>1334</v>
      </c>
      <c r="U96" s="3"/>
      <c r="V96" s="25" t="s">
        <v>7756</v>
      </c>
      <c r="W96" s="25">
        <v>20517252558</v>
      </c>
      <c r="X96" s="25" t="str">
        <f>IFERROR(VLOOKUP(C_Ope_001[[#This Row],[nota_2]],Clientes_Proveedores[[Ruc / Dni]:[Razon Social]],2,0),"")</f>
        <v>COVISUR S.A.</v>
      </c>
      <c r="Y96" s="25"/>
      <c r="Z96" s="103"/>
      <c r="AA96" s="3" t="str">
        <f>IF(C_Ope_001[[#This Row],[fecha]]&gt;0,TEXT(C_Ope_001[[#This Row],[fecha]],"mmmm"),0)</f>
        <v>Marzo</v>
      </c>
      <c r="AB96" s="159"/>
    </row>
    <row r="97" spans="1:28" ht="24" x14ac:dyDescent="0.3">
      <c r="A97" s="2">
        <f>IF(C_Ope_001[[#This Row],[tipo_r]]="R",COUNTIFS($C$1:$C96,"R")+1,"")</f>
        <v>96</v>
      </c>
      <c r="B97" s="19" t="str">
        <f t="shared" si="6"/>
        <v>C_Ope_001</v>
      </c>
      <c r="C97" s="3" t="s">
        <v>1330</v>
      </c>
      <c r="D97" s="211">
        <v>45722</v>
      </c>
      <c r="E97" s="5" t="s">
        <v>7753</v>
      </c>
      <c r="F97" s="5" t="s">
        <v>1336</v>
      </c>
      <c r="G97" s="6" t="s">
        <v>978</v>
      </c>
      <c r="H97" s="6" t="s">
        <v>68</v>
      </c>
      <c r="I97" s="6" t="s">
        <v>6204</v>
      </c>
      <c r="J97" s="6">
        <v>1672812</v>
      </c>
      <c r="K97" s="7" t="s">
        <v>7814</v>
      </c>
      <c r="L97" s="8">
        <v>23308</v>
      </c>
      <c r="M97" s="8" t="str">
        <f t="shared" si="10"/>
        <v>PEN</v>
      </c>
      <c r="N97" s="13"/>
      <c r="O97" s="13">
        <v>8</v>
      </c>
      <c r="P97" s="3">
        <f t="shared" si="7"/>
        <v>0</v>
      </c>
      <c r="Q97" s="3">
        <f t="shared" si="8"/>
        <v>8</v>
      </c>
      <c r="R97" s="3">
        <f t="shared" si="9"/>
        <v>233.74</v>
      </c>
      <c r="S97" s="24" t="s">
        <v>1334</v>
      </c>
      <c r="T97" s="24" t="s">
        <v>1334</v>
      </c>
      <c r="U97" s="3"/>
      <c r="V97" s="25" t="s">
        <v>7756</v>
      </c>
      <c r="W97" s="25">
        <v>20517252558</v>
      </c>
      <c r="X97" s="25" t="str">
        <f>IFERROR(VLOOKUP(C_Ope_001[[#This Row],[nota_2]],Clientes_Proveedores[[Ruc / Dni]:[Razon Social]],2,0),"")</f>
        <v>COVISUR S.A.</v>
      </c>
      <c r="Y97" s="25"/>
      <c r="Z97" s="103"/>
      <c r="AA97" s="3" t="str">
        <f>IF(C_Ope_001[[#This Row],[fecha]]&gt;0,TEXT(C_Ope_001[[#This Row],[fecha]],"mmmm"),0)</f>
        <v>Marzo</v>
      </c>
      <c r="AB97" s="159"/>
    </row>
    <row r="98" spans="1:28" ht="24" x14ac:dyDescent="0.3">
      <c r="A98" s="16">
        <f>IF(C_Ope_001[[#This Row],[tipo_r]]="R",COUNTIFS($C$1:$C97,"R")+1,"")</f>
        <v>97</v>
      </c>
      <c r="B98" s="18" t="str">
        <f>"C_Ope_001"</f>
        <v>C_Ope_001</v>
      </c>
      <c r="C98" s="13" t="s">
        <v>1330</v>
      </c>
      <c r="D98" s="211">
        <v>45723</v>
      </c>
      <c r="E98" s="5" t="s">
        <v>7753</v>
      </c>
      <c r="F98" s="5" t="s">
        <v>1336</v>
      </c>
      <c r="G98" s="6" t="s">
        <v>978</v>
      </c>
      <c r="H98" s="6" t="s">
        <v>68</v>
      </c>
      <c r="I98" s="6" t="s">
        <v>6203</v>
      </c>
      <c r="J98" s="6">
        <v>1982750</v>
      </c>
      <c r="K98" s="7" t="s">
        <v>7758</v>
      </c>
      <c r="L98" s="8">
        <v>23341</v>
      </c>
      <c r="M98" s="8" t="str">
        <f>"PEN"</f>
        <v>PEN</v>
      </c>
      <c r="N98" s="13"/>
      <c r="O98" s="13">
        <v>8</v>
      </c>
      <c r="P98" s="13">
        <f t="shared" si="7"/>
        <v>0</v>
      </c>
      <c r="Q98" s="13">
        <f t="shared" si="8"/>
        <v>8</v>
      </c>
      <c r="R98" s="13">
        <f t="shared" si="9"/>
        <v>225.74</v>
      </c>
      <c r="S98" s="24" t="s">
        <v>1334</v>
      </c>
      <c r="T98" s="24" t="s">
        <v>1334</v>
      </c>
      <c r="U98" s="13"/>
      <c r="V98" s="103" t="s">
        <v>7756</v>
      </c>
      <c r="W98" s="103">
        <v>20517252558</v>
      </c>
      <c r="X98" s="103" t="str">
        <f>IFERROR(VLOOKUP(C_Ope_001[[#This Row],[nota_2]],Clientes_Proveedores[[Ruc / Dni]:[Razon Social]],2,0),"")</f>
        <v>COVISUR S.A.</v>
      </c>
      <c r="Y98" s="103"/>
      <c r="Z98" s="103"/>
      <c r="AA98" s="13" t="str">
        <f>IF(C_Ope_001[[#This Row],[fecha]]&gt;0,TEXT(C_Ope_001[[#This Row],[fecha]],"mmmm"),0)</f>
        <v>Marzo</v>
      </c>
      <c r="AB98" s="159"/>
    </row>
    <row r="99" spans="1:28" ht="24" x14ac:dyDescent="0.3">
      <c r="A99" s="16">
        <f>IF(C_Ope_001[[#This Row],[tipo_r]]="R",COUNTIFS($C$1:$C98,"R")+1,"")</f>
        <v>98</v>
      </c>
      <c r="B99" s="18" t="str">
        <f>"C_Ope_001"</f>
        <v>C_Ope_001</v>
      </c>
      <c r="C99" s="13" t="s">
        <v>1330</v>
      </c>
      <c r="D99" s="211">
        <v>45723</v>
      </c>
      <c r="E99" s="5" t="s">
        <v>7753</v>
      </c>
      <c r="F99" s="5" t="s">
        <v>1336</v>
      </c>
      <c r="G99" s="6" t="s">
        <v>978</v>
      </c>
      <c r="H99" s="6" t="s">
        <v>68</v>
      </c>
      <c r="I99" s="6" t="s">
        <v>6204</v>
      </c>
      <c r="J99" s="6">
        <v>1673685</v>
      </c>
      <c r="K99" s="7" t="s">
        <v>7758</v>
      </c>
      <c r="L99" s="8">
        <v>23342</v>
      </c>
      <c r="M99" s="8" t="str">
        <f>"PEN"</f>
        <v>PEN</v>
      </c>
      <c r="N99" s="13"/>
      <c r="O99" s="13">
        <v>8</v>
      </c>
      <c r="P99" s="13">
        <f t="shared" si="7"/>
        <v>0</v>
      </c>
      <c r="Q99" s="13">
        <f t="shared" si="8"/>
        <v>8</v>
      </c>
      <c r="R99" s="13">
        <f t="shared" si="9"/>
        <v>217.74</v>
      </c>
      <c r="S99" s="24" t="s">
        <v>1334</v>
      </c>
      <c r="T99" s="24" t="s">
        <v>1334</v>
      </c>
      <c r="U99" s="13"/>
      <c r="V99" s="103" t="s">
        <v>7756</v>
      </c>
      <c r="W99" s="103">
        <v>20517252558</v>
      </c>
      <c r="X99" s="103" t="str">
        <f>IFERROR(VLOOKUP(C_Ope_001[[#This Row],[nota_2]],Clientes_Proveedores[[Ruc / Dni]:[Razon Social]],2,0),"")</f>
        <v>COVISUR S.A.</v>
      </c>
      <c r="Y99" s="103"/>
      <c r="Z99" s="103"/>
      <c r="AA99" s="13" t="str">
        <f>IF(C_Ope_001[[#This Row],[fecha]]&gt;0,TEXT(C_Ope_001[[#This Row],[fecha]],"mmmm"),0)</f>
        <v>Marzo</v>
      </c>
      <c r="AB99" s="159"/>
    </row>
    <row r="100" spans="1:28" ht="24" x14ac:dyDescent="0.3">
      <c r="A100" s="2">
        <f>IF(C_Ope_001[[#This Row],[tipo_r]]="R",COUNTIFS($C$1:$C99,"R")+1,"")</f>
        <v>99</v>
      </c>
      <c r="B100" s="19" t="str">
        <f t="shared" si="6"/>
        <v>C_Ope_001</v>
      </c>
      <c r="C100" s="3" t="s">
        <v>1330</v>
      </c>
      <c r="D100" s="211">
        <v>45720</v>
      </c>
      <c r="E100" s="5" t="s">
        <v>7753</v>
      </c>
      <c r="F100" s="5" t="s">
        <v>1336</v>
      </c>
      <c r="G100" s="6" t="s">
        <v>998</v>
      </c>
      <c r="H100" s="6" t="s">
        <v>68</v>
      </c>
      <c r="I100" s="6" t="s">
        <v>6378</v>
      </c>
      <c r="J100" s="6">
        <v>63</v>
      </c>
      <c r="K100" s="7" t="s">
        <v>7815</v>
      </c>
      <c r="L100" s="8">
        <v>23288</v>
      </c>
      <c r="M100" s="8" t="str">
        <f t="shared" si="10"/>
        <v>PEN</v>
      </c>
      <c r="N100" s="13"/>
      <c r="O100" s="13">
        <v>10</v>
      </c>
      <c r="P100" s="3">
        <f t="shared" si="7"/>
        <v>0</v>
      </c>
      <c r="Q100" s="3">
        <f t="shared" si="8"/>
        <v>10</v>
      </c>
      <c r="R100" s="3">
        <f t="shared" si="9"/>
        <v>207.74</v>
      </c>
      <c r="S100" s="24" t="s">
        <v>1334</v>
      </c>
      <c r="T100" s="24" t="s">
        <v>1334</v>
      </c>
      <c r="U100" s="3"/>
      <c r="V100" s="25" t="s">
        <v>7756</v>
      </c>
      <c r="W100" s="25">
        <v>20612112500</v>
      </c>
      <c r="X100" s="25" t="str">
        <f>IFERROR(VLOOKUP(C_Ope_001[[#This Row],[nota_2]],Clientes_Proveedores[[Ruc / Dni]:[Razon Social]],2,0),"")</f>
        <v>RECICLADORA LAS LOMAS E.I.R.L.</v>
      </c>
      <c r="Y100" s="25"/>
      <c r="Z100" s="103"/>
      <c r="AA100" s="3" t="str">
        <f>IF(C_Ope_001[[#This Row],[fecha]]&gt;0,TEXT(C_Ope_001[[#This Row],[fecha]],"mmmm"),0)</f>
        <v>Marzo</v>
      </c>
      <c r="AB100" s="159"/>
    </row>
    <row r="101" spans="1:28" ht="36" x14ac:dyDescent="0.3">
      <c r="A101" s="2">
        <f>IF(C_Ope_001[[#This Row],[tipo_r]]="R",COUNTIFS($C$1:$C100,"R")+1,"")</f>
        <v>100</v>
      </c>
      <c r="B101" s="19" t="str">
        <f t="shared" si="6"/>
        <v>C_Ope_001</v>
      </c>
      <c r="C101" s="3" t="s">
        <v>1330</v>
      </c>
      <c r="D101" s="211">
        <v>45721</v>
      </c>
      <c r="E101" s="5" t="s">
        <v>7753</v>
      </c>
      <c r="F101" s="5" t="s">
        <v>1336</v>
      </c>
      <c r="G101" s="6" t="s">
        <v>227</v>
      </c>
      <c r="H101" s="6" t="s">
        <v>68</v>
      </c>
      <c r="I101" s="6" t="s">
        <v>1390</v>
      </c>
      <c r="J101" s="6">
        <v>129006</v>
      </c>
      <c r="K101" s="7" t="s">
        <v>7816</v>
      </c>
      <c r="L101" s="8">
        <v>23306</v>
      </c>
      <c r="M101" s="8" t="str">
        <f t="shared" si="10"/>
        <v>PEN</v>
      </c>
      <c r="N101" s="13"/>
      <c r="O101" s="13">
        <v>10</v>
      </c>
      <c r="P101" s="3">
        <f t="shared" si="7"/>
        <v>0</v>
      </c>
      <c r="Q101" s="3">
        <f t="shared" si="8"/>
        <v>10</v>
      </c>
      <c r="R101" s="3">
        <f t="shared" si="9"/>
        <v>197.74</v>
      </c>
      <c r="S101" s="24" t="s">
        <v>1334</v>
      </c>
      <c r="T101" s="24" t="s">
        <v>1334</v>
      </c>
      <c r="U101" s="3"/>
      <c r="V101" s="25" t="s">
        <v>7756</v>
      </c>
      <c r="W101" s="25">
        <v>20124952850</v>
      </c>
      <c r="X101" s="25" t="str">
        <f>IFERROR(VLOOKUP(C_Ope_001[[#This Row],[nota_2]],Clientes_Proveedores[[Ruc / Dni]:[Razon Social]],2,0),"")</f>
        <v>ALIMENTOS Y SERVICIOS AGROPECUARIOS SRL.</v>
      </c>
      <c r="Y101" s="25"/>
      <c r="Z101" s="103"/>
      <c r="AA101" s="3" t="str">
        <f>IF(C_Ope_001[[#This Row],[fecha]]&gt;0,TEXT(C_Ope_001[[#This Row],[fecha]],"mmmm"),0)</f>
        <v>Marzo</v>
      </c>
      <c r="AB101" s="159"/>
    </row>
    <row r="102" spans="1:28" ht="24" x14ac:dyDescent="0.3">
      <c r="A102" s="2">
        <f>IF(C_Ope_001[[#This Row],[tipo_r]]="R",COUNTIFS($C$1:$C101,"R")+1,"")</f>
        <v>101</v>
      </c>
      <c r="B102" s="19" t="str">
        <f t="shared" si="6"/>
        <v>C_Ope_001</v>
      </c>
      <c r="C102" s="3" t="s">
        <v>1330</v>
      </c>
      <c r="D102" s="211">
        <v>45721</v>
      </c>
      <c r="E102" s="5" t="s">
        <v>7753</v>
      </c>
      <c r="F102" s="5" t="s">
        <v>1336</v>
      </c>
      <c r="G102" s="6" t="s">
        <v>999</v>
      </c>
      <c r="H102" s="6" t="s">
        <v>68</v>
      </c>
      <c r="I102" s="6" t="s">
        <v>1374</v>
      </c>
      <c r="J102" s="6">
        <v>16691</v>
      </c>
      <c r="K102" s="7" t="s">
        <v>7777</v>
      </c>
      <c r="L102" s="8">
        <v>23307</v>
      </c>
      <c r="M102" s="8" t="str">
        <f t="shared" si="10"/>
        <v>PEN</v>
      </c>
      <c r="N102" s="13"/>
      <c r="O102" s="13">
        <v>25</v>
      </c>
      <c r="P102" s="3">
        <f t="shared" si="7"/>
        <v>0</v>
      </c>
      <c r="Q102" s="3">
        <f t="shared" si="8"/>
        <v>25</v>
      </c>
      <c r="R102" s="3">
        <f t="shared" si="9"/>
        <v>172.74</v>
      </c>
      <c r="S102" s="24" t="s">
        <v>1334</v>
      </c>
      <c r="T102" s="24" t="s">
        <v>1334</v>
      </c>
      <c r="U102" s="3"/>
      <c r="V102" s="25" t="s">
        <v>7756</v>
      </c>
      <c r="W102" s="25">
        <v>10705628331</v>
      </c>
      <c r="X102" s="25" t="str">
        <f>IFERROR(VLOOKUP(C_Ope_001[[#This Row],[nota_2]],Clientes_Proveedores[[Ruc / Dni]:[Razon Social]],2,0),"")</f>
        <v>LARICO APAZA NANCY ROSSMARY</v>
      </c>
      <c r="Y102" s="25"/>
      <c r="Z102" s="103"/>
      <c r="AA102" s="3" t="str">
        <f>IF(C_Ope_001[[#This Row],[fecha]]&gt;0,TEXT(C_Ope_001[[#This Row],[fecha]],"mmmm"),0)</f>
        <v>Marzo</v>
      </c>
      <c r="AB102" s="159"/>
    </row>
    <row r="103" spans="1:28" ht="24" x14ac:dyDescent="0.3">
      <c r="A103" s="2">
        <f>IF(C_Ope_001[[#This Row],[tipo_r]]="R",COUNTIFS($C$1:$C102,"R")+1,"")</f>
        <v>102</v>
      </c>
      <c r="B103" s="19" t="str">
        <f t="shared" si="6"/>
        <v>C_Ope_001</v>
      </c>
      <c r="C103" s="3" t="s">
        <v>1330</v>
      </c>
      <c r="D103" s="211">
        <v>45727</v>
      </c>
      <c r="E103" s="5" t="s">
        <v>7514</v>
      </c>
      <c r="F103" s="5" t="s">
        <v>1303</v>
      </c>
      <c r="G103" s="6" t="s">
        <v>812</v>
      </c>
      <c r="H103" s="6"/>
      <c r="I103" s="6"/>
      <c r="J103" s="6"/>
      <c r="K103" s="7" t="s">
        <v>7516</v>
      </c>
      <c r="L103" s="8">
        <v>23467</v>
      </c>
      <c r="M103" s="8" t="str">
        <f t="shared" si="10"/>
        <v>PEN</v>
      </c>
      <c r="N103" s="13"/>
      <c r="O103" s="13">
        <v>30</v>
      </c>
      <c r="P103" s="3">
        <f t="shared" si="7"/>
        <v>30</v>
      </c>
      <c r="Q103" s="3">
        <f t="shared" si="8"/>
        <v>0</v>
      </c>
      <c r="R103" s="3">
        <f t="shared" si="9"/>
        <v>202.74</v>
      </c>
      <c r="S103" s="24" t="s">
        <v>1334</v>
      </c>
      <c r="T103" s="24" t="s">
        <v>1334</v>
      </c>
      <c r="U103" s="3"/>
      <c r="V103" s="25"/>
      <c r="W103" s="25"/>
      <c r="X103" s="25" t="str">
        <f>IFERROR(VLOOKUP(C_Ope_001[[#This Row],[nota_2]],Clientes_Proveedores[[Ruc / Dni]:[Razon Social]],2,0),"")</f>
        <v/>
      </c>
      <c r="Y103" s="25"/>
      <c r="Z103" s="103"/>
      <c r="AA103" s="3" t="str">
        <f>IF(C_Ope_001[[#This Row],[fecha]]&gt;0,TEXT(C_Ope_001[[#This Row],[fecha]],"mmmm"),0)</f>
        <v>Marzo</v>
      </c>
      <c r="AB103" s="159"/>
    </row>
    <row r="104" spans="1:28" ht="24" x14ac:dyDescent="0.3">
      <c r="A104" s="16">
        <f>IF(C_Ope_001[[#This Row],[tipo_r]]="R",COUNTIFS($C$1:$C103,"R")+1,"")</f>
        <v>103</v>
      </c>
      <c r="B104" s="18" t="str">
        <f t="shared" ref="B104:B110" si="11">"C_Ope_001"</f>
        <v>C_Ope_001</v>
      </c>
      <c r="C104" s="13" t="s">
        <v>1330</v>
      </c>
      <c r="D104" s="211">
        <v>45726</v>
      </c>
      <c r="E104" s="5" t="s">
        <v>7753</v>
      </c>
      <c r="F104" s="5" t="s">
        <v>1336</v>
      </c>
      <c r="G104" s="6" t="s">
        <v>978</v>
      </c>
      <c r="H104" s="6" t="s">
        <v>68</v>
      </c>
      <c r="I104" s="6" t="s">
        <v>6204</v>
      </c>
      <c r="J104" s="6">
        <v>1675754</v>
      </c>
      <c r="K104" s="7" t="s">
        <v>7772</v>
      </c>
      <c r="L104" s="8">
        <v>23352</v>
      </c>
      <c r="M104" s="8" t="str">
        <f t="shared" ref="M104:M110" si="12">"PEN"</f>
        <v>PEN</v>
      </c>
      <c r="N104" s="13"/>
      <c r="O104" s="13">
        <v>8</v>
      </c>
      <c r="P104" s="13">
        <f t="shared" si="7"/>
        <v>0</v>
      </c>
      <c r="Q104" s="13">
        <f t="shared" si="8"/>
        <v>8</v>
      </c>
      <c r="R104" s="13">
        <f t="shared" si="9"/>
        <v>194.74</v>
      </c>
      <c r="S104" s="24" t="s">
        <v>1334</v>
      </c>
      <c r="T104" s="24" t="s">
        <v>1334</v>
      </c>
      <c r="U104" s="13"/>
      <c r="V104" s="103" t="s">
        <v>7756</v>
      </c>
      <c r="W104" s="103">
        <v>20517252558</v>
      </c>
      <c r="X104" s="103" t="str">
        <f>IFERROR(VLOOKUP(C_Ope_001[[#This Row],[nota_2]],Clientes_Proveedores[[Ruc / Dni]:[Razon Social]],2,0),"")</f>
        <v>COVISUR S.A.</v>
      </c>
      <c r="Y104" s="103"/>
      <c r="Z104" s="103"/>
      <c r="AA104" s="13" t="str">
        <f>IF(C_Ope_001[[#This Row],[fecha]]&gt;0,TEXT(C_Ope_001[[#This Row],[fecha]],"mmmm"),0)</f>
        <v>Marzo</v>
      </c>
      <c r="AB104" s="159"/>
    </row>
    <row r="105" spans="1:28" ht="24" x14ac:dyDescent="0.3">
      <c r="A105" s="16">
        <f>IF(C_Ope_001[[#This Row],[tipo_r]]="R",COUNTIFS($C$1:$C104,"R")+1,"")</f>
        <v>104</v>
      </c>
      <c r="B105" s="18" t="str">
        <f t="shared" si="11"/>
        <v>C_Ope_001</v>
      </c>
      <c r="C105" s="13" t="s">
        <v>1330</v>
      </c>
      <c r="D105" s="211">
        <v>45726</v>
      </c>
      <c r="E105" s="5" t="s">
        <v>7753</v>
      </c>
      <c r="F105" s="5" t="s">
        <v>1336</v>
      </c>
      <c r="G105" s="6" t="s">
        <v>978</v>
      </c>
      <c r="H105" s="6" t="s">
        <v>68</v>
      </c>
      <c r="I105" s="6" t="s">
        <v>6245</v>
      </c>
      <c r="J105" s="6">
        <v>935623</v>
      </c>
      <c r="K105" s="7" t="s">
        <v>7771</v>
      </c>
      <c r="L105" s="8">
        <v>23353</v>
      </c>
      <c r="M105" s="8" t="str">
        <f t="shared" si="12"/>
        <v>PEN</v>
      </c>
      <c r="N105" s="13"/>
      <c r="O105" s="13">
        <v>8</v>
      </c>
      <c r="P105" s="13">
        <f t="shared" si="7"/>
        <v>0</v>
      </c>
      <c r="Q105" s="13">
        <f t="shared" si="8"/>
        <v>8</v>
      </c>
      <c r="R105" s="13">
        <f t="shared" si="9"/>
        <v>186.74</v>
      </c>
      <c r="S105" s="24" t="s">
        <v>1334</v>
      </c>
      <c r="T105" s="24" t="s">
        <v>1334</v>
      </c>
      <c r="U105" s="13"/>
      <c r="V105" s="103" t="s">
        <v>7756</v>
      </c>
      <c r="W105" s="103">
        <v>20517252558</v>
      </c>
      <c r="X105" s="103" t="str">
        <f>IFERROR(VLOOKUP(C_Ope_001[[#This Row],[nota_2]],Clientes_Proveedores[[Ruc / Dni]:[Razon Social]],2,0),"")</f>
        <v>COVISUR S.A.</v>
      </c>
      <c r="Y105" s="103"/>
      <c r="Z105" s="103"/>
      <c r="AA105" s="13" t="str">
        <f>IF(C_Ope_001[[#This Row],[fecha]]&gt;0,TEXT(C_Ope_001[[#This Row],[fecha]],"mmmm"),0)</f>
        <v>Marzo</v>
      </c>
      <c r="AB105" s="159"/>
    </row>
    <row r="106" spans="1:28" ht="24" x14ac:dyDescent="0.3">
      <c r="A106" s="16">
        <f>IF(C_Ope_001[[#This Row],[tipo_r]]="R",COUNTIFS($C$1:$C105,"R")+1,"")</f>
        <v>105</v>
      </c>
      <c r="B106" s="18" t="str">
        <f t="shared" si="11"/>
        <v>C_Ope_001</v>
      </c>
      <c r="C106" s="13" t="s">
        <v>1330</v>
      </c>
      <c r="D106" s="211">
        <v>45726</v>
      </c>
      <c r="E106" s="5" t="s">
        <v>7753</v>
      </c>
      <c r="F106" s="5" t="s">
        <v>1336</v>
      </c>
      <c r="G106" s="6" t="s">
        <v>978</v>
      </c>
      <c r="H106" s="6" t="s">
        <v>68</v>
      </c>
      <c r="I106" s="6" t="s">
        <v>6244</v>
      </c>
      <c r="J106" s="6">
        <v>1017767</v>
      </c>
      <c r="K106" s="7" t="s">
        <v>7771</v>
      </c>
      <c r="L106" s="8">
        <v>23355</v>
      </c>
      <c r="M106" s="8" t="str">
        <f t="shared" si="12"/>
        <v>PEN</v>
      </c>
      <c r="N106" s="13"/>
      <c r="O106" s="13">
        <v>8</v>
      </c>
      <c r="P106" s="13">
        <f t="shared" si="7"/>
        <v>0</v>
      </c>
      <c r="Q106" s="13">
        <f t="shared" si="8"/>
        <v>8</v>
      </c>
      <c r="R106" s="13">
        <f t="shared" si="9"/>
        <v>178.74</v>
      </c>
      <c r="S106" s="24" t="s">
        <v>1334</v>
      </c>
      <c r="T106" s="24" t="s">
        <v>1334</v>
      </c>
      <c r="U106" s="13"/>
      <c r="V106" s="103" t="s">
        <v>7756</v>
      </c>
      <c r="W106" s="103">
        <v>20517252558</v>
      </c>
      <c r="X106" s="103" t="str">
        <f>IFERROR(VLOOKUP(C_Ope_001[[#This Row],[nota_2]],Clientes_Proveedores[[Ruc / Dni]:[Razon Social]],2,0),"")</f>
        <v>COVISUR S.A.</v>
      </c>
      <c r="Y106" s="103"/>
      <c r="Z106" s="103"/>
      <c r="AA106" s="13" t="str">
        <f>IF(C_Ope_001[[#This Row],[fecha]]&gt;0,TEXT(C_Ope_001[[#This Row],[fecha]],"mmmm"),0)</f>
        <v>Marzo</v>
      </c>
      <c r="AB106" s="159"/>
    </row>
    <row r="107" spans="1:28" ht="24" x14ac:dyDescent="0.3">
      <c r="A107" s="16">
        <f>IF(C_Ope_001[[#This Row],[tipo_r]]="R",COUNTIFS($C$1:$C106,"R")+1,"")</f>
        <v>106</v>
      </c>
      <c r="B107" s="18" t="str">
        <f t="shared" si="11"/>
        <v>C_Ope_001</v>
      </c>
      <c r="C107" s="13" t="s">
        <v>1330</v>
      </c>
      <c r="D107" s="211">
        <v>45727</v>
      </c>
      <c r="E107" s="5" t="s">
        <v>7753</v>
      </c>
      <c r="F107" s="5" t="s">
        <v>1336</v>
      </c>
      <c r="G107" s="6" t="s">
        <v>978</v>
      </c>
      <c r="H107" s="6" t="s">
        <v>68</v>
      </c>
      <c r="I107" s="6" t="s">
        <v>6379</v>
      </c>
      <c r="J107" s="6">
        <v>457850</v>
      </c>
      <c r="K107" s="7" t="s">
        <v>7817</v>
      </c>
      <c r="L107" s="8">
        <v>23371</v>
      </c>
      <c r="M107" s="8" t="str">
        <f t="shared" si="12"/>
        <v>PEN</v>
      </c>
      <c r="N107" s="13"/>
      <c r="O107" s="13">
        <v>5</v>
      </c>
      <c r="P107" s="13">
        <f t="shared" si="7"/>
        <v>0</v>
      </c>
      <c r="Q107" s="13">
        <f t="shared" si="8"/>
        <v>5</v>
      </c>
      <c r="R107" s="13">
        <f t="shared" si="9"/>
        <v>173.74</v>
      </c>
      <c r="S107" s="24" t="s">
        <v>1334</v>
      </c>
      <c r="T107" s="24" t="s">
        <v>1334</v>
      </c>
      <c r="U107" s="13"/>
      <c r="V107" s="103" t="s">
        <v>7756</v>
      </c>
      <c r="W107" s="103">
        <v>20517252558</v>
      </c>
      <c r="X107" s="103" t="str">
        <f>IFERROR(VLOOKUP(C_Ope_001[[#This Row],[nota_2]],Clientes_Proveedores[[Ruc / Dni]:[Razon Social]],2,0),"")</f>
        <v>COVISUR S.A.</v>
      </c>
      <c r="Y107" s="103"/>
      <c r="Z107" s="103"/>
      <c r="AA107" s="13" t="str">
        <f>IF(C_Ope_001[[#This Row],[fecha]]&gt;0,TEXT(C_Ope_001[[#This Row],[fecha]],"mmmm"),0)</f>
        <v>Marzo</v>
      </c>
      <c r="AB107" s="159"/>
    </row>
    <row r="108" spans="1:28" ht="24" x14ac:dyDescent="0.3">
      <c r="A108" s="16">
        <f>IF(C_Ope_001[[#This Row],[tipo_r]]="R",COUNTIFS($C$1:$C107,"R")+1,"")</f>
        <v>107</v>
      </c>
      <c r="B108" s="18" t="str">
        <f t="shared" si="11"/>
        <v>C_Ope_001</v>
      </c>
      <c r="C108" s="13" t="s">
        <v>1330</v>
      </c>
      <c r="D108" s="211">
        <v>45727</v>
      </c>
      <c r="E108" s="5" t="s">
        <v>7753</v>
      </c>
      <c r="F108" s="5" t="s">
        <v>1336</v>
      </c>
      <c r="G108" s="6" t="s">
        <v>978</v>
      </c>
      <c r="H108" s="6" t="s">
        <v>68</v>
      </c>
      <c r="I108" s="6" t="s">
        <v>6204</v>
      </c>
      <c r="J108" s="6">
        <v>1676673</v>
      </c>
      <c r="K108" s="7" t="s">
        <v>7818</v>
      </c>
      <c r="L108" s="8">
        <v>23373</v>
      </c>
      <c r="M108" s="8" t="str">
        <f t="shared" si="12"/>
        <v>PEN</v>
      </c>
      <c r="N108" s="13"/>
      <c r="O108" s="13">
        <v>8</v>
      </c>
      <c r="P108" s="13">
        <f t="shared" si="7"/>
        <v>0</v>
      </c>
      <c r="Q108" s="13">
        <f t="shared" si="8"/>
        <v>8</v>
      </c>
      <c r="R108" s="13">
        <f t="shared" si="9"/>
        <v>165.74</v>
      </c>
      <c r="S108" s="24" t="s">
        <v>1334</v>
      </c>
      <c r="T108" s="24" t="s">
        <v>1334</v>
      </c>
      <c r="U108" s="13"/>
      <c r="V108" s="103" t="s">
        <v>7756</v>
      </c>
      <c r="W108" s="103">
        <v>20517252558</v>
      </c>
      <c r="X108" s="103" t="str">
        <f>IFERROR(VLOOKUP(C_Ope_001[[#This Row],[nota_2]],Clientes_Proveedores[[Ruc / Dni]:[Razon Social]],2,0),"")</f>
        <v>COVISUR S.A.</v>
      </c>
      <c r="Y108" s="103"/>
      <c r="Z108" s="103"/>
      <c r="AA108" s="13" t="str">
        <f>IF(C_Ope_001[[#This Row],[fecha]]&gt;0,TEXT(C_Ope_001[[#This Row],[fecha]],"mmmm"),0)</f>
        <v>Marzo</v>
      </c>
      <c r="AB108" s="159"/>
    </row>
    <row r="109" spans="1:28" ht="24" x14ac:dyDescent="0.3">
      <c r="A109" s="16">
        <f>IF(C_Ope_001[[#This Row],[tipo_r]]="R",COUNTIFS($C$1:$C108,"R")+1,"")</f>
        <v>108</v>
      </c>
      <c r="B109" s="18" t="str">
        <f t="shared" si="11"/>
        <v>C_Ope_001</v>
      </c>
      <c r="C109" s="13" t="s">
        <v>1330</v>
      </c>
      <c r="D109" s="211">
        <v>45727</v>
      </c>
      <c r="E109" s="5" t="s">
        <v>7753</v>
      </c>
      <c r="F109" s="5" t="s">
        <v>1336</v>
      </c>
      <c r="G109" s="6" t="s">
        <v>978</v>
      </c>
      <c r="H109" s="6" t="s">
        <v>68</v>
      </c>
      <c r="I109" s="6" t="s">
        <v>6380</v>
      </c>
      <c r="J109" s="6">
        <v>373397</v>
      </c>
      <c r="K109" s="7" t="s">
        <v>7817</v>
      </c>
      <c r="L109" s="8">
        <v>23379</v>
      </c>
      <c r="M109" s="8" t="str">
        <f t="shared" si="12"/>
        <v>PEN</v>
      </c>
      <c r="N109" s="13"/>
      <c r="O109" s="13">
        <v>8</v>
      </c>
      <c r="P109" s="13">
        <f t="shared" si="7"/>
        <v>0</v>
      </c>
      <c r="Q109" s="13">
        <f t="shared" si="8"/>
        <v>8</v>
      </c>
      <c r="R109" s="13">
        <f t="shared" si="9"/>
        <v>157.74</v>
      </c>
      <c r="S109" s="24" t="s">
        <v>1334</v>
      </c>
      <c r="T109" s="24" t="s">
        <v>1334</v>
      </c>
      <c r="U109" s="13"/>
      <c r="V109" s="103" t="s">
        <v>7756</v>
      </c>
      <c r="W109" s="103">
        <v>20517252558</v>
      </c>
      <c r="X109" s="103" t="str">
        <f>IFERROR(VLOOKUP(C_Ope_001[[#This Row],[nota_2]],Clientes_Proveedores[[Ruc / Dni]:[Razon Social]],2,0),"")</f>
        <v>COVISUR S.A.</v>
      </c>
      <c r="Y109" s="103"/>
      <c r="Z109" s="103"/>
      <c r="AA109" s="13" t="str">
        <f>IF(C_Ope_001[[#This Row],[fecha]]&gt;0,TEXT(C_Ope_001[[#This Row],[fecha]],"mmmm"),0)</f>
        <v>Marzo</v>
      </c>
      <c r="AB109" s="159"/>
    </row>
    <row r="110" spans="1:28" ht="24" x14ac:dyDescent="0.3">
      <c r="A110" s="16">
        <f>IF(C_Ope_001[[#This Row],[tipo_r]]="R",COUNTIFS($C$1:$C109,"R")+1,"")</f>
        <v>109</v>
      </c>
      <c r="B110" s="18" t="str">
        <f t="shared" si="11"/>
        <v>C_Ope_001</v>
      </c>
      <c r="C110" s="13" t="s">
        <v>1330</v>
      </c>
      <c r="D110" s="211">
        <v>45728</v>
      </c>
      <c r="E110" s="5" t="s">
        <v>7753</v>
      </c>
      <c r="F110" s="5" t="s">
        <v>1336</v>
      </c>
      <c r="G110" s="6" t="s">
        <v>978</v>
      </c>
      <c r="H110" s="6" t="s">
        <v>68</v>
      </c>
      <c r="I110" s="6" t="s">
        <v>6204</v>
      </c>
      <c r="J110" s="6">
        <v>1677817</v>
      </c>
      <c r="K110" s="7" t="s">
        <v>7819</v>
      </c>
      <c r="L110" s="8">
        <v>23392</v>
      </c>
      <c r="M110" s="8" t="str">
        <f t="shared" si="12"/>
        <v>PEN</v>
      </c>
      <c r="N110" s="13"/>
      <c r="O110" s="13">
        <v>8</v>
      </c>
      <c r="P110" s="13">
        <f t="shared" si="7"/>
        <v>0</v>
      </c>
      <c r="Q110" s="13">
        <f t="shared" si="8"/>
        <v>8</v>
      </c>
      <c r="R110" s="13">
        <f t="shared" si="9"/>
        <v>149.74</v>
      </c>
      <c r="S110" s="24" t="s">
        <v>1334</v>
      </c>
      <c r="T110" s="24" t="s">
        <v>1334</v>
      </c>
      <c r="U110" s="13"/>
      <c r="V110" s="103" t="s">
        <v>7756</v>
      </c>
      <c r="W110" s="103">
        <v>20517252558</v>
      </c>
      <c r="X110" s="103" t="str">
        <f>IFERROR(VLOOKUP(C_Ope_001[[#This Row],[nota_2]],Clientes_Proveedores[[Ruc / Dni]:[Razon Social]],2,0),"")</f>
        <v>COVISUR S.A.</v>
      </c>
      <c r="Y110" s="103"/>
      <c r="Z110" s="103"/>
      <c r="AA110" s="13" t="str">
        <f>IF(C_Ope_001[[#This Row],[fecha]]&gt;0,TEXT(C_Ope_001[[#This Row],[fecha]],"mmmm"),0)</f>
        <v>Marzo</v>
      </c>
      <c r="AB110" s="159"/>
    </row>
    <row r="111" spans="1:28" ht="24" x14ac:dyDescent="0.3">
      <c r="A111" s="2">
        <f>IF(C_Ope_001[[#This Row],[tipo_r]]="R",COUNTIFS($C$1:$C110,"R")+1,"")</f>
        <v>110</v>
      </c>
      <c r="B111" s="19" t="str">
        <f t="shared" si="6"/>
        <v>C_Ope_001</v>
      </c>
      <c r="C111" s="3" t="s">
        <v>1330</v>
      </c>
      <c r="D111" s="211">
        <v>45728</v>
      </c>
      <c r="E111" s="5" t="s">
        <v>7753</v>
      </c>
      <c r="F111" s="5" t="s">
        <v>1336</v>
      </c>
      <c r="G111" s="6"/>
      <c r="H111" s="6" t="s">
        <v>68</v>
      </c>
      <c r="I111" s="6" t="s">
        <v>6204</v>
      </c>
      <c r="J111" s="6">
        <v>1677817</v>
      </c>
      <c r="K111" s="7" t="s">
        <v>7819</v>
      </c>
      <c r="L111" s="8">
        <v>23393</v>
      </c>
      <c r="M111" s="8" t="str">
        <f t="shared" si="10"/>
        <v>PEN</v>
      </c>
      <c r="N111" s="13"/>
      <c r="O111" s="13">
        <v>0</v>
      </c>
      <c r="P111" s="3">
        <f t="shared" si="7"/>
        <v>0</v>
      </c>
      <c r="Q111" s="3">
        <f t="shared" si="8"/>
        <v>0</v>
      </c>
      <c r="R111" s="3">
        <f t="shared" si="9"/>
        <v>149.74</v>
      </c>
      <c r="S111" s="24"/>
      <c r="T111" s="24" t="s">
        <v>1334</v>
      </c>
      <c r="U111" s="3"/>
      <c r="V111" s="25" t="s">
        <v>7756</v>
      </c>
      <c r="W111" s="25"/>
      <c r="X111" s="25" t="str">
        <f>IFERROR(VLOOKUP(C_Ope_001[[#This Row],[nota_2]],Clientes_Proveedores[[Ruc / Dni]:[Razon Social]],2,0),"")</f>
        <v/>
      </c>
      <c r="Y111" s="25"/>
      <c r="Z111" s="103"/>
      <c r="AA111" s="3" t="str">
        <f>IF(C_Ope_001[[#This Row],[fecha]]&gt;0,TEXT(C_Ope_001[[#This Row],[fecha]],"mmmm"),0)</f>
        <v>Marzo</v>
      </c>
      <c r="AB111" s="159"/>
    </row>
    <row r="112" spans="1:28" ht="24" x14ac:dyDescent="0.3">
      <c r="A112" s="16">
        <f>IF(C_Ope_001[[#This Row],[tipo_r]]="R",COUNTIFS($C$1:$C111,"R")+1,"")</f>
        <v>111</v>
      </c>
      <c r="B112" s="18" t="str">
        <f>"C_Ope_001"</f>
        <v>C_Ope_001</v>
      </c>
      <c r="C112" s="13" t="s">
        <v>1330</v>
      </c>
      <c r="D112" s="211">
        <v>45728</v>
      </c>
      <c r="E112" s="5" t="s">
        <v>7753</v>
      </c>
      <c r="F112" s="5" t="s">
        <v>1336</v>
      </c>
      <c r="G112" s="6" t="s">
        <v>978</v>
      </c>
      <c r="H112" s="6" t="s">
        <v>68</v>
      </c>
      <c r="I112" s="6" t="s">
        <v>5845</v>
      </c>
      <c r="J112" s="6">
        <v>1696970</v>
      </c>
      <c r="K112" s="7" t="s">
        <v>7819</v>
      </c>
      <c r="L112" s="8">
        <v>23394</v>
      </c>
      <c r="M112" s="8" t="str">
        <f>"PEN"</f>
        <v>PEN</v>
      </c>
      <c r="N112" s="13"/>
      <c r="O112" s="13">
        <v>8</v>
      </c>
      <c r="P112" s="13">
        <f t="shared" si="7"/>
        <v>0</v>
      </c>
      <c r="Q112" s="13">
        <f t="shared" si="8"/>
        <v>8</v>
      </c>
      <c r="R112" s="13">
        <f t="shared" si="9"/>
        <v>141.74</v>
      </c>
      <c r="S112" s="24" t="s">
        <v>1334</v>
      </c>
      <c r="T112" s="24" t="s">
        <v>1334</v>
      </c>
      <c r="U112" s="13"/>
      <c r="V112" s="103" t="s">
        <v>7756</v>
      </c>
      <c r="W112" s="103">
        <v>20517252558</v>
      </c>
      <c r="X112" s="103" t="str">
        <f>IFERROR(VLOOKUP(C_Ope_001[[#This Row],[nota_2]],Clientes_Proveedores[[Ruc / Dni]:[Razon Social]],2,0),"")</f>
        <v>COVISUR S.A.</v>
      </c>
      <c r="Y112" s="103"/>
      <c r="Z112" s="103"/>
      <c r="AA112" s="13" t="str">
        <f>IF(C_Ope_001[[#This Row],[fecha]]&gt;0,TEXT(C_Ope_001[[#This Row],[fecha]],"mmmm"),0)</f>
        <v>Marzo</v>
      </c>
      <c r="AB112" s="159"/>
    </row>
    <row r="113" spans="1:28" ht="24" x14ac:dyDescent="0.3">
      <c r="A113" s="16">
        <f>IF(C_Ope_001[[#This Row],[tipo_r]]="R",COUNTIFS($C$1:$C112,"R")+1,"")</f>
        <v>112</v>
      </c>
      <c r="B113" s="18" t="str">
        <f>"C_Ope_001"</f>
        <v>C_Ope_001</v>
      </c>
      <c r="C113" s="13" t="s">
        <v>1330</v>
      </c>
      <c r="D113" s="211">
        <v>45729</v>
      </c>
      <c r="E113" s="5" t="s">
        <v>7753</v>
      </c>
      <c r="F113" s="5" t="s">
        <v>1336</v>
      </c>
      <c r="G113" s="6" t="s">
        <v>978</v>
      </c>
      <c r="H113" s="6" t="s">
        <v>68</v>
      </c>
      <c r="I113" s="6" t="s">
        <v>5845</v>
      </c>
      <c r="J113" s="6">
        <v>1697830</v>
      </c>
      <c r="K113" s="7" t="s">
        <v>7819</v>
      </c>
      <c r="L113" s="8">
        <v>23423</v>
      </c>
      <c r="M113" s="8" t="str">
        <f>"PEN"</f>
        <v>PEN</v>
      </c>
      <c r="N113" s="13"/>
      <c r="O113" s="13">
        <v>8</v>
      </c>
      <c r="P113" s="13">
        <f t="shared" si="7"/>
        <v>0</v>
      </c>
      <c r="Q113" s="13">
        <f t="shared" si="8"/>
        <v>8</v>
      </c>
      <c r="R113" s="13">
        <f t="shared" si="9"/>
        <v>133.74</v>
      </c>
      <c r="S113" s="24" t="s">
        <v>1334</v>
      </c>
      <c r="T113" s="24" t="s">
        <v>1334</v>
      </c>
      <c r="U113" s="13"/>
      <c r="V113" s="103" t="s">
        <v>7756</v>
      </c>
      <c r="W113" s="103">
        <v>20517252558</v>
      </c>
      <c r="X113" s="103" t="str">
        <f>IFERROR(VLOOKUP(C_Ope_001[[#This Row],[nota_2]],Clientes_Proveedores[[Ruc / Dni]:[Razon Social]],2,0),"")</f>
        <v>COVISUR S.A.</v>
      </c>
      <c r="Y113" s="103"/>
      <c r="Z113" s="103"/>
      <c r="AA113" s="13" t="str">
        <f>IF(C_Ope_001[[#This Row],[fecha]]&gt;0,TEXT(C_Ope_001[[#This Row],[fecha]],"mmmm"),0)</f>
        <v>Marzo</v>
      </c>
      <c r="AB113" s="159"/>
    </row>
    <row r="114" spans="1:28" ht="36" x14ac:dyDescent="0.3">
      <c r="A114" s="16">
        <f>IF(C_Ope_001[[#This Row],[tipo_r]]="R",COUNTIFS($C$1:$C113,"R")+1,"")</f>
        <v>113</v>
      </c>
      <c r="B114" s="18" t="str">
        <f>"C_Ope_001"</f>
        <v>C_Ope_001</v>
      </c>
      <c r="C114" s="13" t="s">
        <v>1330</v>
      </c>
      <c r="D114" s="211">
        <v>45726</v>
      </c>
      <c r="E114" s="5" t="s">
        <v>7753</v>
      </c>
      <c r="F114" s="5" t="s">
        <v>1336</v>
      </c>
      <c r="G114" s="6" t="s">
        <v>1029</v>
      </c>
      <c r="H114" s="6" t="s">
        <v>68</v>
      </c>
      <c r="I114" s="6" t="s">
        <v>1374</v>
      </c>
      <c r="J114" s="6">
        <v>17039</v>
      </c>
      <c r="K114" s="7" t="s">
        <v>7776</v>
      </c>
      <c r="L114" s="8">
        <v>23351</v>
      </c>
      <c r="M114" s="8" t="str">
        <f>"PEN"</f>
        <v>PEN</v>
      </c>
      <c r="N114" s="13"/>
      <c r="O114" s="13">
        <v>11</v>
      </c>
      <c r="P114" s="13">
        <f t="shared" si="7"/>
        <v>0</v>
      </c>
      <c r="Q114" s="13">
        <f t="shared" si="8"/>
        <v>11</v>
      </c>
      <c r="R114" s="13">
        <f t="shared" si="9"/>
        <v>122.74000000000001</v>
      </c>
      <c r="S114" s="24" t="s">
        <v>1334</v>
      </c>
      <c r="T114" s="24" t="s">
        <v>1334</v>
      </c>
      <c r="U114" s="13"/>
      <c r="V114" s="103" t="s">
        <v>7756</v>
      </c>
      <c r="W114" s="103">
        <v>20454058187</v>
      </c>
      <c r="X114" s="103" t="str">
        <f>IFERROR(VLOOKUP(C_Ope_001[[#This Row],[nota_2]],Clientes_Proveedores[[Ruc / Dni]:[Razon Social]],2,0),"")</f>
        <v>ZONA ESPECIAL DE DESARROLLO ZED MATARANI</v>
      </c>
      <c r="Y114" s="103"/>
      <c r="Z114" s="103"/>
      <c r="AA114" s="13" t="str">
        <f>IF(C_Ope_001[[#This Row],[fecha]]&gt;0,TEXT(C_Ope_001[[#This Row],[fecha]],"mmmm"),0)</f>
        <v>Marzo</v>
      </c>
      <c r="AB114" s="159"/>
    </row>
    <row r="115" spans="1:28" ht="36" x14ac:dyDescent="0.3">
      <c r="A115" s="16">
        <f>IF(C_Ope_001[[#This Row],[tipo_r]]="R",COUNTIFS($C$1:$C114,"R")+1,"")</f>
        <v>114</v>
      </c>
      <c r="B115" s="18" t="str">
        <f>"C_Ope_001"</f>
        <v>C_Ope_001</v>
      </c>
      <c r="C115" s="13" t="s">
        <v>1330</v>
      </c>
      <c r="D115" s="211">
        <v>45727</v>
      </c>
      <c r="E115" s="5" t="s">
        <v>7753</v>
      </c>
      <c r="F115" s="5" t="s">
        <v>1336</v>
      </c>
      <c r="G115" s="6" t="s">
        <v>1029</v>
      </c>
      <c r="H115" s="6" t="s">
        <v>68</v>
      </c>
      <c r="I115" s="6" t="s">
        <v>1374</v>
      </c>
      <c r="J115" s="6">
        <v>17065</v>
      </c>
      <c r="K115" s="7" t="s">
        <v>7762</v>
      </c>
      <c r="L115" s="8">
        <v>23375</v>
      </c>
      <c r="M115" s="8" t="str">
        <f>"PEN"</f>
        <v>PEN</v>
      </c>
      <c r="N115" s="13"/>
      <c r="O115" s="13">
        <v>11</v>
      </c>
      <c r="P115" s="13">
        <f t="shared" si="7"/>
        <v>0</v>
      </c>
      <c r="Q115" s="13">
        <f t="shared" si="8"/>
        <v>11</v>
      </c>
      <c r="R115" s="13">
        <f t="shared" si="9"/>
        <v>111.74000000000001</v>
      </c>
      <c r="S115" s="24" t="s">
        <v>1334</v>
      </c>
      <c r="T115" s="24" t="s">
        <v>1334</v>
      </c>
      <c r="U115" s="13"/>
      <c r="V115" s="103" t="s">
        <v>7756</v>
      </c>
      <c r="W115" s="103">
        <v>20454058187</v>
      </c>
      <c r="X115" s="103" t="str">
        <f>IFERROR(VLOOKUP(C_Ope_001[[#This Row],[nota_2]],Clientes_Proveedores[[Ruc / Dni]:[Razon Social]],2,0),"")</f>
        <v>ZONA ESPECIAL DE DESARROLLO ZED MATARANI</v>
      </c>
      <c r="Y115" s="103"/>
      <c r="Z115" s="103"/>
      <c r="AA115" s="13" t="str">
        <f>IF(C_Ope_001[[#This Row],[fecha]]&gt;0,TEXT(C_Ope_001[[#This Row],[fecha]],"mmmm"),0)</f>
        <v>Marzo</v>
      </c>
      <c r="AB115" s="159"/>
    </row>
    <row r="116" spans="1:28" ht="24" x14ac:dyDescent="0.3">
      <c r="A116" s="16">
        <f>IF(C_Ope_001[[#This Row],[tipo_r]]="R",COUNTIFS($C$1:$C115,"R")+1,"")</f>
        <v>115</v>
      </c>
      <c r="B116" s="18" t="str">
        <f>"C_Ope_001"</f>
        <v>C_Ope_001</v>
      </c>
      <c r="C116" s="13" t="s">
        <v>1330</v>
      </c>
      <c r="D116" s="211">
        <v>45729</v>
      </c>
      <c r="E116" s="5" t="s">
        <v>7753</v>
      </c>
      <c r="F116" s="5" t="s">
        <v>1336</v>
      </c>
      <c r="G116" s="6" t="s">
        <v>999</v>
      </c>
      <c r="H116" s="6" t="s">
        <v>68</v>
      </c>
      <c r="I116" s="6" t="s">
        <v>1374</v>
      </c>
      <c r="J116" s="6">
        <v>16824</v>
      </c>
      <c r="K116" s="7" t="s">
        <v>7777</v>
      </c>
      <c r="L116" s="8">
        <v>23434</v>
      </c>
      <c r="M116" s="8" t="str">
        <f>"PEN"</f>
        <v>PEN</v>
      </c>
      <c r="N116" s="13"/>
      <c r="O116" s="13">
        <v>25</v>
      </c>
      <c r="P116" s="13">
        <f t="shared" si="7"/>
        <v>0</v>
      </c>
      <c r="Q116" s="13">
        <f t="shared" si="8"/>
        <v>25</v>
      </c>
      <c r="R116" s="13">
        <f t="shared" si="9"/>
        <v>86.740000000000009</v>
      </c>
      <c r="S116" s="24" t="s">
        <v>1334</v>
      </c>
      <c r="T116" s="24" t="s">
        <v>1334</v>
      </c>
      <c r="U116" s="13"/>
      <c r="V116" s="103" t="s">
        <v>7756</v>
      </c>
      <c r="W116" s="103">
        <v>10705628331</v>
      </c>
      <c r="X116" s="103" t="str">
        <f>IFERROR(VLOOKUP(C_Ope_001[[#This Row],[nota_2]],Clientes_Proveedores[[Ruc / Dni]:[Razon Social]],2,0),"")</f>
        <v>LARICO APAZA NANCY ROSSMARY</v>
      </c>
      <c r="Y116" s="103"/>
      <c r="Z116" s="103"/>
      <c r="AA116" s="13" t="str">
        <f>IF(C_Ope_001[[#This Row],[fecha]]&gt;0,TEXT(C_Ope_001[[#This Row],[fecha]],"mmmm"),0)</f>
        <v>Marzo</v>
      </c>
      <c r="AB116" s="159"/>
    </row>
    <row r="117" spans="1:28" ht="24" x14ac:dyDescent="0.3">
      <c r="A117" s="2">
        <f>IF(C_Ope_001[[#This Row],[tipo_r]]="R",COUNTIFS($C$1:$C116,"R")+1,"")</f>
        <v>116</v>
      </c>
      <c r="B117" s="19" t="str">
        <f t="shared" si="6"/>
        <v>C_Ope_001</v>
      </c>
      <c r="C117" s="3" t="s">
        <v>1330</v>
      </c>
      <c r="D117" s="211">
        <v>45734</v>
      </c>
      <c r="E117" s="5" t="s">
        <v>7514</v>
      </c>
      <c r="F117" s="5" t="s">
        <v>1303</v>
      </c>
      <c r="G117" s="6" t="s">
        <v>812</v>
      </c>
      <c r="H117" s="6"/>
      <c r="I117" s="6"/>
      <c r="J117" s="6"/>
      <c r="K117" s="7" t="s">
        <v>7516</v>
      </c>
      <c r="L117" s="8">
        <v>23476</v>
      </c>
      <c r="M117" s="8" t="str">
        <f t="shared" si="10"/>
        <v>PEN</v>
      </c>
      <c r="N117" s="13"/>
      <c r="O117" s="13">
        <v>110</v>
      </c>
      <c r="P117" s="3">
        <f t="shared" si="7"/>
        <v>110</v>
      </c>
      <c r="Q117" s="3">
        <f t="shared" si="8"/>
        <v>0</v>
      </c>
      <c r="R117" s="3">
        <f t="shared" si="9"/>
        <v>196.74</v>
      </c>
      <c r="S117" s="24" t="s">
        <v>1334</v>
      </c>
      <c r="T117" s="24" t="s">
        <v>1334</v>
      </c>
      <c r="U117" s="3"/>
      <c r="V117" s="25"/>
      <c r="W117" s="25"/>
      <c r="X117" s="25" t="str">
        <f>IFERROR(VLOOKUP(C_Ope_001[[#This Row],[nota_2]],Clientes_Proveedores[[Ruc / Dni]:[Razon Social]],2,0),"")</f>
        <v/>
      </c>
      <c r="Y117" s="25"/>
      <c r="Z117" s="103"/>
      <c r="AA117" s="3" t="str">
        <f>IF(C_Ope_001[[#This Row],[fecha]]&gt;0,TEXT(C_Ope_001[[#This Row],[fecha]],"mmmm"),0)</f>
        <v>Marzo</v>
      </c>
      <c r="AB117" s="159"/>
    </row>
    <row r="118" spans="1:28" ht="24" x14ac:dyDescent="0.3">
      <c r="A118" s="16">
        <f>IF(C_Ope_001[[#This Row],[tipo_r]]="R",COUNTIFS($C$1:$C117,"R")+1,"")</f>
        <v>117</v>
      </c>
      <c r="B118" s="18" t="str">
        <f t="shared" ref="B118:B128" si="13">"C_Ope_001"</f>
        <v>C_Ope_001</v>
      </c>
      <c r="C118" s="13" t="s">
        <v>1330</v>
      </c>
      <c r="D118" s="211">
        <v>45733</v>
      </c>
      <c r="E118" s="5" t="s">
        <v>7753</v>
      </c>
      <c r="F118" s="5" t="s">
        <v>1336</v>
      </c>
      <c r="G118" s="6" t="s">
        <v>978</v>
      </c>
      <c r="H118" s="6" t="s">
        <v>68</v>
      </c>
      <c r="I118" s="6" t="s">
        <v>6204</v>
      </c>
      <c r="J118" s="6">
        <v>1681620</v>
      </c>
      <c r="K118" s="7" t="s">
        <v>7768</v>
      </c>
      <c r="L118" s="8">
        <v>23460</v>
      </c>
      <c r="M118" s="8" t="str">
        <f t="shared" ref="M118:M128" si="14">"PEN"</f>
        <v>PEN</v>
      </c>
      <c r="N118" s="13"/>
      <c r="O118" s="13">
        <v>8</v>
      </c>
      <c r="P118" s="13">
        <f t="shared" si="7"/>
        <v>0</v>
      </c>
      <c r="Q118" s="13">
        <f t="shared" si="8"/>
        <v>8</v>
      </c>
      <c r="R118" s="13">
        <f t="shared" si="9"/>
        <v>188.74</v>
      </c>
      <c r="S118" s="24" t="s">
        <v>1334</v>
      </c>
      <c r="T118" s="24" t="s">
        <v>1334</v>
      </c>
      <c r="U118" s="13"/>
      <c r="V118" s="103" t="s">
        <v>7756</v>
      </c>
      <c r="W118" s="103">
        <v>20517252558</v>
      </c>
      <c r="X118" s="103" t="str">
        <f>IFERROR(VLOOKUP(C_Ope_001[[#This Row],[nota_2]],Clientes_Proveedores[[Ruc / Dni]:[Razon Social]],2,0),"")</f>
        <v>COVISUR S.A.</v>
      </c>
      <c r="Y118" s="103"/>
      <c r="Z118" s="103"/>
      <c r="AA118" s="13" t="str">
        <f>IF(C_Ope_001[[#This Row],[fecha]]&gt;0,TEXT(C_Ope_001[[#This Row],[fecha]],"mmmm"),0)</f>
        <v>Marzo</v>
      </c>
      <c r="AB118" s="159"/>
    </row>
    <row r="119" spans="1:28" ht="24" x14ac:dyDescent="0.3">
      <c r="A119" s="16">
        <f>IF(C_Ope_001[[#This Row],[tipo_r]]="R",COUNTIFS($C$1:$C118,"R")+1,"")</f>
        <v>118</v>
      </c>
      <c r="B119" s="18" t="str">
        <f t="shared" si="13"/>
        <v>C_Ope_001</v>
      </c>
      <c r="C119" s="13" t="s">
        <v>1330</v>
      </c>
      <c r="D119" s="211">
        <v>45734</v>
      </c>
      <c r="E119" s="5" t="s">
        <v>7753</v>
      </c>
      <c r="F119" s="5" t="s">
        <v>1336</v>
      </c>
      <c r="G119" s="6" t="s">
        <v>978</v>
      </c>
      <c r="H119" s="6" t="s">
        <v>68</v>
      </c>
      <c r="I119" s="6" t="s">
        <v>5688</v>
      </c>
      <c r="J119" s="6">
        <v>2269174</v>
      </c>
      <c r="K119" s="7" t="s">
        <v>7820</v>
      </c>
      <c r="L119" s="8">
        <v>23567</v>
      </c>
      <c r="M119" s="8" t="str">
        <f t="shared" si="14"/>
        <v>PEN</v>
      </c>
      <c r="N119" s="13"/>
      <c r="O119" s="13">
        <v>8</v>
      </c>
      <c r="P119" s="13">
        <f t="shared" si="7"/>
        <v>0</v>
      </c>
      <c r="Q119" s="13">
        <f t="shared" si="8"/>
        <v>8</v>
      </c>
      <c r="R119" s="13">
        <f t="shared" si="9"/>
        <v>180.74</v>
      </c>
      <c r="S119" s="24" t="s">
        <v>1334</v>
      </c>
      <c r="T119" s="24" t="s">
        <v>1334</v>
      </c>
      <c r="U119" s="13"/>
      <c r="V119" s="103" t="s">
        <v>7756</v>
      </c>
      <c r="W119" s="103">
        <v>20517252558</v>
      </c>
      <c r="X119" s="103" t="str">
        <f>IFERROR(VLOOKUP(C_Ope_001[[#This Row],[nota_2]],Clientes_Proveedores[[Ruc / Dni]:[Razon Social]],2,0),"")</f>
        <v>COVISUR S.A.</v>
      </c>
      <c r="Y119" s="103"/>
      <c r="Z119" s="103"/>
      <c r="AA119" s="13" t="str">
        <f>IF(C_Ope_001[[#This Row],[fecha]]&gt;0,TEXT(C_Ope_001[[#This Row],[fecha]],"mmmm"),0)</f>
        <v>Marzo</v>
      </c>
      <c r="AB119" s="159"/>
    </row>
    <row r="120" spans="1:28" ht="24" x14ac:dyDescent="0.3">
      <c r="A120" s="16">
        <f>IF(C_Ope_001[[#This Row],[tipo_r]]="R",COUNTIFS($C$1:$C119,"R")+1,"")</f>
        <v>119</v>
      </c>
      <c r="B120" s="18" t="str">
        <f t="shared" si="13"/>
        <v>C_Ope_001</v>
      </c>
      <c r="C120" s="13" t="s">
        <v>1330</v>
      </c>
      <c r="D120" s="211">
        <v>45735</v>
      </c>
      <c r="E120" s="5" t="s">
        <v>7753</v>
      </c>
      <c r="F120" s="5" t="s">
        <v>1336</v>
      </c>
      <c r="G120" s="6" t="s">
        <v>978</v>
      </c>
      <c r="H120" s="6" t="s">
        <v>68</v>
      </c>
      <c r="I120" s="6" t="s">
        <v>5845</v>
      </c>
      <c r="J120" s="6">
        <v>1702749</v>
      </c>
      <c r="K120" s="7" t="s">
        <v>7821</v>
      </c>
      <c r="L120" s="8">
        <v>23512</v>
      </c>
      <c r="M120" s="8" t="str">
        <f t="shared" si="14"/>
        <v>PEN</v>
      </c>
      <c r="N120" s="13"/>
      <c r="O120" s="13">
        <v>8</v>
      </c>
      <c r="P120" s="13">
        <f t="shared" si="7"/>
        <v>0</v>
      </c>
      <c r="Q120" s="13">
        <f t="shared" si="8"/>
        <v>8</v>
      </c>
      <c r="R120" s="13">
        <f t="shared" si="9"/>
        <v>172.74</v>
      </c>
      <c r="S120" s="24" t="s">
        <v>1334</v>
      </c>
      <c r="T120" s="24" t="s">
        <v>1334</v>
      </c>
      <c r="U120" s="13"/>
      <c r="V120" s="103" t="s">
        <v>7756</v>
      </c>
      <c r="W120" s="103">
        <v>20517252558</v>
      </c>
      <c r="X120" s="103" t="str">
        <f>IFERROR(VLOOKUP(C_Ope_001[[#This Row],[nota_2]],Clientes_Proveedores[[Ruc / Dni]:[Razon Social]],2,0),"")</f>
        <v>COVISUR S.A.</v>
      </c>
      <c r="Y120" s="103"/>
      <c r="Z120" s="103"/>
      <c r="AA120" s="13" t="str">
        <f>IF(C_Ope_001[[#This Row],[fecha]]&gt;0,TEXT(C_Ope_001[[#This Row],[fecha]],"mmmm"),0)</f>
        <v>Marzo</v>
      </c>
      <c r="AB120" s="159"/>
    </row>
    <row r="121" spans="1:28" ht="24" x14ac:dyDescent="0.3">
      <c r="A121" s="16">
        <f>IF(C_Ope_001[[#This Row],[tipo_r]]="R",COUNTIFS($C$1:$C120,"R")+1,"")</f>
        <v>120</v>
      </c>
      <c r="B121" s="18" t="str">
        <f t="shared" si="13"/>
        <v>C_Ope_001</v>
      </c>
      <c r="C121" s="13" t="s">
        <v>1330</v>
      </c>
      <c r="D121" s="211">
        <v>45736</v>
      </c>
      <c r="E121" s="5" t="s">
        <v>7753</v>
      </c>
      <c r="F121" s="5" t="s">
        <v>1336</v>
      </c>
      <c r="G121" s="6" t="s">
        <v>978</v>
      </c>
      <c r="H121" s="6" t="s">
        <v>68</v>
      </c>
      <c r="I121" s="6" t="s">
        <v>6204</v>
      </c>
      <c r="J121" s="6">
        <v>1684509</v>
      </c>
      <c r="K121" s="7" t="s">
        <v>7778</v>
      </c>
      <c r="L121" s="8">
        <v>23530</v>
      </c>
      <c r="M121" s="8" t="str">
        <f t="shared" si="14"/>
        <v>PEN</v>
      </c>
      <c r="N121" s="13"/>
      <c r="O121" s="13">
        <v>8</v>
      </c>
      <c r="P121" s="13">
        <f t="shared" si="7"/>
        <v>0</v>
      </c>
      <c r="Q121" s="13">
        <f t="shared" si="8"/>
        <v>8</v>
      </c>
      <c r="R121" s="13">
        <f t="shared" si="9"/>
        <v>164.74</v>
      </c>
      <c r="S121" s="24" t="s">
        <v>1334</v>
      </c>
      <c r="T121" s="24" t="s">
        <v>1334</v>
      </c>
      <c r="U121" s="13"/>
      <c r="V121" s="103" t="s">
        <v>7756</v>
      </c>
      <c r="W121" s="103">
        <v>20517252558</v>
      </c>
      <c r="X121" s="103" t="str">
        <f>IFERROR(VLOOKUP(C_Ope_001[[#This Row],[nota_2]],Clientes_Proveedores[[Ruc / Dni]:[Razon Social]],2,0),"")</f>
        <v>COVISUR S.A.</v>
      </c>
      <c r="Y121" s="103"/>
      <c r="Z121" s="103"/>
      <c r="AA121" s="13" t="str">
        <f>IF(C_Ope_001[[#This Row],[fecha]]&gt;0,TEXT(C_Ope_001[[#This Row],[fecha]],"mmmm"),0)</f>
        <v>Marzo</v>
      </c>
      <c r="AB121" s="159"/>
    </row>
    <row r="122" spans="1:28" ht="24" x14ac:dyDescent="0.3">
      <c r="A122" s="16">
        <f>IF(C_Ope_001[[#This Row],[tipo_r]]="R",COUNTIFS($C$1:$C121,"R")+1,"")</f>
        <v>121</v>
      </c>
      <c r="B122" s="18" t="str">
        <f t="shared" si="13"/>
        <v>C_Ope_001</v>
      </c>
      <c r="C122" s="13" t="s">
        <v>1330</v>
      </c>
      <c r="D122" s="211">
        <v>45736</v>
      </c>
      <c r="E122" s="5" t="s">
        <v>7753</v>
      </c>
      <c r="F122" s="5" t="s">
        <v>1336</v>
      </c>
      <c r="G122" s="6" t="s">
        <v>978</v>
      </c>
      <c r="H122" s="6" t="s">
        <v>68</v>
      </c>
      <c r="I122" s="6" t="s">
        <v>6203</v>
      </c>
      <c r="J122" s="6">
        <v>1996076</v>
      </c>
      <c r="K122" s="7" t="s">
        <v>7778</v>
      </c>
      <c r="L122" s="8">
        <v>23531</v>
      </c>
      <c r="M122" s="8" t="str">
        <f t="shared" si="14"/>
        <v>PEN</v>
      </c>
      <c r="N122" s="13"/>
      <c r="O122" s="13">
        <v>8</v>
      </c>
      <c r="P122" s="13">
        <f t="shared" si="7"/>
        <v>0</v>
      </c>
      <c r="Q122" s="13">
        <f t="shared" si="8"/>
        <v>8</v>
      </c>
      <c r="R122" s="13">
        <f t="shared" si="9"/>
        <v>156.74</v>
      </c>
      <c r="S122" s="24" t="s">
        <v>1334</v>
      </c>
      <c r="T122" s="24" t="s">
        <v>1334</v>
      </c>
      <c r="U122" s="13"/>
      <c r="V122" s="103" t="s">
        <v>7756</v>
      </c>
      <c r="W122" s="103">
        <v>20517252558</v>
      </c>
      <c r="X122" s="103" t="str">
        <f>IFERROR(VLOOKUP(C_Ope_001[[#This Row],[nota_2]],Clientes_Proveedores[[Ruc / Dni]:[Razon Social]],2,0),"")</f>
        <v>COVISUR S.A.</v>
      </c>
      <c r="Y122" s="103"/>
      <c r="Z122" s="103"/>
      <c r="AA122" s="13" t="str">
        <f>IF(C_Ope_001[[#This Row],[fecha]]&gt;0,TEXT(C_Ope_001[[#This Row],[fecha]],"mmmm"),0)</f>
        <v>Marzo</v>
      </c>
      <c r="AB122" s="159"/>
    </row>
    <row r="123" spans="1:28" ht="24" x14ac:dyDescent="0.3">
      <c r="A123" s="16">
        <f>IF(C_Ope_001[[#This Row],[tipo_r]]="R",COUNTIFS($C$1:$C122,"R")+1,"")</f>
        <v>122</v>
      </c>
      <c r="B123" s="18" t="str">
        <f t="shared" si="13"/>
        <v>C_Ope_001</v>
      </c>
      <c r="C123" s="13" t="s">
        <v>1330</v>
      </c>
      <c r="D123" s="211">
        <v>45737</v>
      </c>
      <c r="E123" s="5" t="s">
        <v>7753</v>
      </c>
      <c r="F123" s="5" t="s">
        <v>1336</v>
      </c>
      <c r="G123" s="6" t="s">
        <v>978</v>
      </c>
      <c r="H123" s="6" t="s">
        <v>68</v>
      </c>
      <c r="I123" s="6" t="s">
        <v>6204</v>
      </c>
      <c r="J123" s="6">
        <v>1685482</v>
      </c>
      <c r="K123" s="7" t="s">
        <v>7822</v>
      </c>
      <c r="L123" s="8">
        <v>23546</v>
      </c>
      <c r="M123" s="8" t="str">
        <f t="shared" si="14"/>
        <v>PEN</v>
      </c>
      <c r="N123" s="13"/>
      <c r="O123" s="13">
        <v>8</v>
      </c>
      <c r="P123" s="13">
        <f t="shared" si="7"/>
        <v>0</v>
      </c>
      <c r="Q123" s="13">
        <f t="shared" si="8"/>
        <v>8</v>
      </c>
      <c r="R123" s="13">
        <f t="shared" si="9"/>
        <v>148.74</v>
      </c>
      <c r="S123" s="24" t="s">
        <v>1334</v>
      </c>
      <c r="T123" s="24" t="s">
        <v>1334</v>
      </c>
      <c r="U123" s="13"/>
      <c r="V123" s="103" t="s">
        <v>7761</v>
      </c>
      <c r="W123" s="103">
        <v>20517252558</v>
      </c>
      <c r="X123" s="103" t="str">
        <f>IFERROR(VLOOKUP(C_Ope_001[[#This Row],[nota_2]],Clientes_Proveedores[[Ruc / Dni]:[Razon Social]],2,0),"")</f>
        <v>COVISUR S.A.</v>
      </c>
      <c r="Y123" s="103"/>
      <c r="Z123" s="103"/>
      <c r="AA123" s="13" t="str">
        <f>IF(C_Ope_001[[#This Row],[fecha]]&gt;0,TEXT(C_Ope_001[[#This Row],[fecha]],"mmmm"),0)</f>
        <v>Marzo</v>
      </c>
      <c r="AB123" s="159"/>
    </row>
    <row r="124" spans="1:28" ht="24" x14ac:dyDescent="0.3">
      <c r="A124" s="16">
        <f>IF(C_Ope_001[[#This Row],[tipo_r]]="R",COUNTIFS($C$1:$C123,"R")+1,"")</f>
        <v>123</v>
      </c>
      <c r="B124" s="18" t="str">
        <f t="shared" si="13"/>
        <v>C_Ope_001</v>
      </c>
      <c r="C124" s="13" t="s">
        <v>1330</v>
      </c>
      <c r="D124" s="211">
        <v>45737</v>
      </c>
      <c r="E124" s="5" t="s">
        <v>7753</v>
      </c>
      <c r="F124" s="5" t="s">
        <v>1336</v>
      </c>
      <c r="G124" s="6" t="s">
        <v>978</v>
      </c>
      <c r="H124" s="6" t="s">
        <v>68</v>
      </c>
      <c r="I124" s="6" t="s">
        <v>5845</v>
      </c>
      <c r="J124" s="6">
        <v>1704863</v>
      </c>
      <c r="K124" s="7" t="s">
        <v>7822</v>
      </c>
      <c r="L124" s="8">
        <v>23555</v>
      </c>
      <c r="M124" s="8" t="str">
        <f t="shared" si="14"/>
        <v>PEN</v>
      </c>
      <c r="N124" s="13"/>
      <c r="O124" s="13">
        <v>8</v>
      </c>
      <c r="P124" s="13">
        <f t="shared" si="7"/>
        <v>0</v>
      </c>
      <c r="Q124" s="13">
        <f t="shared" si="8"/>
        <v>8</v>
      </c>
      <c r="R124" s="13">
        <f t="shared" si="9"/>
        <v>140.74</v>
      </c>
      <c r="S124" s="24" t="s">
        <v>1334</v>
      </c>
      <c r="T124" s="24" t="s">
        <v>1334</v>
      </c>
      <c r="U124" s="13"/>
      <c r="V124" s="103" t="s">
        <v>7761</v>
      </c>
      <c r="W124" s="103">
        <v>20517252558</v>
      </c>
      <c r="X124" s="103" t="str">
        <f>IFERROR(VLOOKUP(C_Ope_001[[#This Row],[nota_2]],Clientes_Proveedores[[Ruc / Dni]:[Razon Social]],2,0),"")</f>
        <v>COVISUR S.A.</v>
      </c>
      <c r="Y124" s="103"/>
      <c r="Z124" s="103"/>
      <c r="AA124" s="13" t="str">
        <f>IF(C_Ope_001[[#This Row],[fecha]]&gt;0,TEXT(C_Ope_001[[#This Row],[fecha]],"mmmm"),0)</f>
        <v>Marzo</v>
      </c>
      <c r="AB124" s="159"/>
    </row>
    <row r="125" spans="1:28" ht="36" x14ac:dyDescent="0.3">
      <c r="A125" s="16">
        <f>IF(C_Ope_001[[#This Row],[tipo_r]]="R",COUNTIFS($C$1:$C124,"R")+1,"")</f>
        <v>124</v>
      </c>
      <c r="B125" s="18" t="str">
        <f t="shared" si="13"/>
        <v>C_Ope_001</v>
      </c>
      <c r="C125" s="13" t="s">
        <v>1330</v>
      </c>
      <c r="D125" s="211">
        <v>45734</v>
      </c>
      <c r="E125" s="5" t="s">
        <v>7753</v>
      </c>
      <c r="F125" s="5" t="s">
        <v>1336</v>
      </c>
      <c r="G125" s="6" t="s">
        <v>682</v>
      </c>
      <c r="H125" s="6" t="s">
        <v>68</v>
      </c>
      <c r="I125" s="6" t="s">
        <v>1343</v>
      </c>
      <c r="J125" s="6">
        <v>34142</v>
      </c>
      <c r="K125" s="7" t="s">
        <v>7823</v>
      </c>
      <c r="L125" s="8">
        <v>23473</v>
      </c>
      <c r="M125" s="8" t="str">
        <f t="shared" si="14"/>
        <v>PEN</v>
      </c>
      <c r="N125" s="13"/>
      <c r="O125" s="13">
        <v>10</v>
      </c>
      <c r="P125" s="13">
        <f t="shared" si="7"/>
        <v>0</v>
      </c>
      <c r="Q125" s="13">
        <f t="shared" si="8"/>
        <v>10</v>
      </c>
      <c r="R125" s="13">
        <f t="shared" si="9"/>
        <v>130.74</v>
      </c>
      <c r="S125" s="24" t="s">
        <v>1334</v>
      </c>
      <c r="T125" s="24" t="s">
        <v>1334</v>
      </c>
      <c r="U125" s="13"/>
      <c r="V125" s="103" t="s">
        <v>7756</v>
      </c>
      <c r="W125" s="103">
        <v>20259858934</v>
      </c>
      <c r="X125" s="103" t="str">
        <f>IFERROR(VLOOKUP(C_Ope_001[[#This Row],[nota_2]],Clientes_Proveedores[[Ruc / Dni]:[Razon Social]],2,0),"")</f>
        <v>COMERCIALIZACION Y SERVICIOS EL EDEN S.A.C.</v>
      </c>
      <c r="Y125" s="103"/>
      <c r="Z125" s="103"/>
      <c r="AA125" s="13" t="str">
        <f>IF(C_Ope_001[[#This Row],[fecha]]&gt;0,TEXT(C_Ope_001[[#This Row],[fecha]],"mmmm"),0)</f>
        <v>Marzo</v>
      </c>
      <c r="AB125" s="159"/>
    </row>
    <row r="126" spans="1:28" ht="36" x14ac:dyDescent="0.3">
      <c r="A126" s="16">
        <f>IF(C_Ope_001[[#This Row],[tipo_r]]="R",COUNTIFS($C$1:$C125,"R")+1,"")</f>
        <v>125</v>
      </c>
      <c r="B126" s="18" t="str">
        <f t="shared" si="13"/>
        <v>C_Ope_001</v>
      </c>
      <c r="C126" s="13" t="s">
        <v>1330</v>
      </c>
      <c r="D126" s="211">
        <v>45734</v>
      </c>
      <c r="E126" s="5" t="s">
        <v>7753</v>
      </c>
      <c r="F126" s="5" t="s">
        <v>1336</v>
      </c>
      <c r="G126" s="6" t="s">
        <v>227</v>
      </c>
      <c r="H126" s="6" t="s">
        <v>68</v>
      </c>
      <c r="I126" s="6" t="s">
        <v>1390</v>
      </c>
      <c r="J126" s="6">
        <v>129470</v>
      </c>
      <c r="K126" s="7" t="s">
        <v>7824</v>
      </c>
      <c r="L126" s="8">
        <v>23474</v>
      </c>
      <c r="M126" s="8" t="str">
        <f t="shared" si="14"/>
        <v>PEN</v>
      </c>
      <c r="N126" s="13"/>
      <c r="O126" s="13">
        <v>10</v>
      </c>
      <c r="P126" s="13">
        <f t="shared" si="7"/>
        <v>0</v>
      </c>
      <c r="Q126" s="13">
        <f t="shared" si="8"/>
        <v>10</v>
      </c>
      <c r="R126" s="13">
        <f t="shared" si="9"/>
        <v>120.74000000000001</v>
      </c>
      <c r="S126" s="24" t="s">
        <v>1334</v>
      </c>
      <c r="T126" s="24" t="s">
        <v>1334</v>
      </c>
      <c r="U126" s="13"/>
      <c r="V126" s="103" t="s">
        <v>7756</v>
      </c>
      <c r="W126" s="103">
        <v>20124952850</v>
      </c>
      <c r="X126" s="103" t="str">
        <f>IFERROR(VLOOKUP(C_Ope_001[[#This Row],[nota_2]],Clientes_Proveedores[[Ruc / Dni]:[Razon Social]],2,0),"")</f>
        <v>ALIMENTOS Y SERVICIOS AGROPECUARIOS SRL.</v>
      </c>
      <c r="Y126" s="103"/>
      <c r="Z126" s="103"/>
      <c r="AA126" s="13" t="str">
        <f>IF(C_Ope_001[[#This Row],[fecha]]&gt;0,TEXT(C_Ope_001[[#This Row],[fecha]],"mmmm"),0)</f>
        <v>Marzo</v>
      </c>
      <c r="AB126" s="159"/>
    </row>
    <row r="127" spans="1:28" ht="36" x14ac:dyDescent="0.3">
      <c r="A127" s="16">
        <f>IF(C_Ope_001[[#This Row],[tipo_r]]="R",COUNTIFS($C$1:$C126,"R")+1,"")</f>
        <v>126</v>
      </c>
      <c r="B127" s="18" t="str">
        <f t="shared" si="13"/>
        <v>C_Ope_001</v>
      </c>
      <c r="C127" s="13" t="s">
        <v>1330</v>
      </c>
      <c r="D127" s="211">
        <v>45735</v>
      </c>
      <c r="E127" s="5" t="s">
        <v>7753</v>
      </c>
      <c r="F127" s="5" t="s">
        <v>1336</v>
      </c>
      <c r="G127" s="6" t="s">
        <v>682</v>
      </c>
      <c r="H127" s="6" t="s">
        <v>68</v>
      </c>
      <c r="I127" s="6" t="s">
        <v>1353</v>
      </c>
      <c r="J127" s="6">
        <v>15905</v>
      </c>
      <c r="K127" s="7" t="s">
        <v>7825</v>
      </c>
      <c r="L127" s="8">
        <v>23513</v>
      </c>
      <c r="M127" s="8" t="str">
        <f t="shared" si="14"/>
        <v>PEN</v>
      </c>
      <c r="N127" s="13"/>
      <c r="O127" s="13">
        <v>20</v>
      </c>
      <c r="P127" s="13">
        <f t="shared" si="7"/>
        <v>0</v>
      </c>
      <c r="Q127" s="13">
        <f t="shared" si="8"/>
        <v>20</v>
      </c>
      <c r="R127" s="13">
        <f t="shared" si="9"/>
        <v>100.74000000000001</v>
      </c>
      <c r="S127" s="24" t="s">
        <v>1334</v>
      </c>
      <c r="T127" s="24" t="s">
        <v>1334</v>
      </c>
      <c r="U127" s="13"/>
      <c r="V127" s="103" t="s">
        <v>7756</v>
      </c>
      <c r="W127" s="103">
        <v>20259858934</v>
      </c>
      <c r="X127" s="103" t="str">
        <f>IFERROR(VLOOKUP(C_Ope_001[[#This Row],[nota_2]],Clientes_Proveedores[[Ruc / Dni]:[Razon Social]],2,0),"")</f>
        <v>COMERCIALIZACION Y SERVICIOS EL EDEN S.A.C.</v>
      </c>
      <c r="Y127" s="103"/>
      <c r="Z127" s="103"/>
      <c r="AA127" s="13" t="str">
        <f>IF(C_Ope_001[[#This Row],[fecha]]&gt;0,TEXT(C_Ope_001[[#This Row],[fecha]],"mmmm"),0)</f>
        <v>Marzo</v>
      </c>
      <c r="AB127" s="159"/>
    </row>
    <row r="128" spans="1:28" ht="36" x14ac:dyDescent="0.3">
      <c r="A128" s="16">
        <f>IF(C_Ope_001[[#This Row],[tipo_r]]="R",COUNTIFS($C$1:$C127,"R")+1,"")</f>
        <v>127</v>
      </c>
      <c r="B128" s="18" t="str">
        <f t="shared" si="13"/>
        <v>C_Ope_001</v>
      </c>
      <c r="C128" s="13" t="s">
        <v>1330</v>
      </c>
      <c r="D128" s="211">
        <v>45737</v>
      </c>
      <c r="E128" s="5" t="s">
        <v>7753</v>
      </c>
      <c r="F128" s="5" t="s">
        <v>1336</v>
      </c>
      <c r="G128" s="6" t="s">
        <v>682</v>
      </c>
      <c r="H128" s="6" t="s">
        <v>68</v>
      </c>
      <c r="I128" s="6" t="s">
        <v>1343</v>
      </c>
      <c r="J128" s="6">
        <v>34166</v>
      </c>
      <c r="K128" s="7" t="s">
        <v>7823</v>
      </c>
      <c r="L128" s="8">
        <v>23545</v>
      </c>
      <c r="M128" s="8" t="str">
        <f t="shared" si="14"/>
        <v>PEN</v>
      </c>
      <c r="N128" s="13"/>
      <c r="O128" s="13">
        <v>10</v>
      </c>
      <c r="P128" s="13">
        <f t="shared" si="7"/>
        <v>0</v>
      </c>
      <c r="Q128" s="13">
        <f t="shared" si="8"/>
        <v>10</v>
      </c>
      <c r="R128" s="13">
        <f t="shared" si="9"/>
        <v>90.740000000000009</v>
      </c>
      <c r="S128" s="24" t="s">
        <v>1334</v>
      </c>
      <c r="T128" s="24" t="s">
        <v>1334</v>
      </c>
      <c r="U128" s="13"/>
      <c r="V128" s="103" t="s">
        <v>7761</v>
      </c>
      <c r="W128" s="103">
        <v>20259858934</v>
      </c>
      <c r="X128" s="103" t="str">
        <f>IFERROR(VLOOKUP(C_Ope_001[[#This Row],[nota_2]],Clientes_Proveedores[[Ruc / Dni]:[Razon Social]],2,0),"")</f>
        <v>COMERCIALIZACION Y SERVICIOS EL EDEN S.A.C.</v>
      </c>
      <c r="Y128" s="103"/>
      <c r="Z128" s="103"/>
      <c r="AA128" s="13" t="str">
        <f>IF(C_Ope_001[[#This Row],[fecha]]&gt;0,TEXT(C_Ope_001[[#This Row],[fecha]],"mmmm"),0)</f>
        <v>Marzo</v>
      </c>
      <c r="AB128" s="159"/>
    </row>
    <row r="129" spans="1:28" ht="24" x14ac:dyDescent="0.3">
      <c r="A129" s="2">
        <f>IF(C_Ope_001[[#This Row],[tipo_r]]="R",COUNTIFS($C$1:$C128,"R")+1,"")</f>
        <v>128</v>
      </c>
      <c r="B129" s="19" t="str">
        <f t="shared" si="6"/>
        <v>C_Ope_001</v>
      </c>
      <c r="C129" s="3" t="s">
        <v>1330</v>
      </c>
      <c r="D129" s="211">
        <v>45740</v>
      </c>
      <c r="E129" s="5" t="s">
        <v>7514</v>
      </c>
      <c r="F129" s="5" t="s">
        <v>1303</v>
      </c>
      <c r="G129" s="6" t="s">
        <v>812</v>
      </c>
      <c r="H129" s="6"/>
      <c r="I129" s="6"/>
      <c r="J129" s="6"/>
      <c r="K129" s="7" t="s">
        <v>7516</v>
      </c>
      <c r="L129" s="8">
        <v>23580</v>
      </c>
      <c r="M129" s="8" t="str">
        <f t="shared" si="10"/>
        <v>PEN</v>
      </c>
      <c r="N129" s="13"/>
      <c r="O129" s="13">
        <v>100</v>
      </c>
      <c r="P129" s="3">
        <f t="shared" si="7"/>
        <v>100</v>
      </c>
      <c r="Q129" s="3">
        <f t="shared" si="8"/>
        <v>0</v>
      </c>
      <c r="R129" s="3">
        <f t="shared" si="9"/>
        <v>190.74</v>
      </c>
      <c r="S129" s="24" t="s">
        <v>1334</v>
      </c>
      <c r="T129" s="24" t="s">
        <v>1334</v>
      </c>
      <c r="U129" s="3"/>
      <c r="V129" s="25"/>
      <c r="W129" s="25"/>
      <c r="X129" s="25" t="str">
        <f>IFERROR(VLOOKUP(C_Ope_001[[#This Row],[nota_2]],Clientes_Proveedores[[Ruc / Dni]:[Razon Social]],2,0),"")</f>
        <v/>
      </c>
      <c r="Y129" s="25"/>
      <c r="Z129" s="103"/>
      <c r="AA129" s="3" t="str">
        <f>IF(C_Ope_001[[#This Row],[fecha]]&gt;0,TEXT(C_Ope_001[[#This Row],[fecha]],"mmmm"),0)</f>
        <v>Marzo</v>
      </c>
      <c r="AB129" s="159"/>
    </row>
    <row r="130" spans="1:28" ht="24" x14ac:dyDescent="0.3">
      <c r="A130" s="2">
        <f>IF(C_Ope_001[[#This Row],[tipo_r]]="R",COUNTIFS($C$1:$C129,"R")+1,"")</f>
        <v>129</v>
      </c>
      <c r="B130" s="19" t="str">
        <f t="shared" ref="B130:B193" si="15">"C_Ope_001"</f>
        <v>C_Ope_001</v>
      </c>
      <c r="C130" s="3" t="s">
        <v>1330</v>
      </c>
      <c r="D130" s="211">
        <v>45741</v>
      </c>
      <c r="E130" s="5" t="s">
        <v>7753</v>
      </c>
      <c r="F130" s="5" t="s">
        <v>1336</v>
      </c>
      <c r="G130" s="6" t="s">
        <v>978</v>
      </c>
      <c r="H130" s="6" t="s">
        <v>68</v>
      </c>
      <c r="I130" s="6" t="s">
        <v>5845</v>
      </c>
      <c r="J130" s="6">
        <v>1708345</v>
      </c>
      <c r="K130" s="7" t="s">
        <v>7826</v>
      </c>
      <c r="L130" s="8">
        <v>23584</v>
      </c>
      <c r="M130" s="8" t="str">
        <f t="shared" si="10"/>
        <v>PEN</v>
      </c>
      <c r="N130" s="13"/>
      <c r="O130" s="13">
        <v>8</v>
      </c>
      <c r="P130" s="3">
        <f t="shared" ref="P130:P193" si="16">+IF(OR($F130="SALDO",$F130="INGRESO"),$O130,0)</f>
        <v>0</v>
      </c>
      <c r="Q130" s="3">
        <f t="shared" ref="Q130:Q193" si="17">+IF($F130="EGRESO",$O130,0)</f>
        <v>8</v>
      </c>
      <c r="R130" s="3">
        <f t="shared" ref="R130:R193" si="18">IFERROR(IF(F130="SALDO",P130,R129+P130-Q130),0)</f>
        <v>182.74</v>
      </c>
      <c r="S130" s="24" t="s">
        <v>1334</v>
      </c>
      <c r="T130" s="24" t="s">
        <v>1334</v>
      </c>
      <c r="U130" s="3"/>
      <c r="V130" s="25" t="s">
        <v>7756</v>
      </c>
      <c r="W130" s="25">
        <v>20517252558</v>
      </c>
      <c r="X130" s="25" t="str">
        <f>IFERROR(VLOOKUP(C_Ope_001[[#This Row],[nota_2]],Clientes_Proveedores[[Ruc / Dni]:[Razon Social]],2,0),"")</f>
        <v>COVISUR S.A.</v>
      </c>
      <c r="Y130" s="25"/>
      <c r="Z130" s="103"/>
      <c r="AA130" s="3" t="str">
        <f>IF(C_Ope_001[[#This Row],[fecha]]&gt;0,TEXT(C_Ope_001[[#This Row],[fecha]],"mmmm"),0)</f>
        <v>Marzo</v>
      </c>
      <c r="AB130" s="159"/>
    </row>
    <row r="131" spans="1:28" ht="24" x14ac:dyDescent="0.3">
      <c r="A131" s="2">
        <f>IF(C_Ope_001[[#This Row],[tipo_r]]="R",COUNTIFS($C$1:$C130,"R")+1,"")</f>
        <v>130</v>
      </c>
      <c r="B131" s="19" t="str">
        <f t="shared" si="15"/>
        <v>C_Ope_001</v>
      </c>
      <c r="C131" s="3" t="s">
        <v>1330</v>
      </c>
      <c r="D131" s="211">
        <v>45742</v>
      </c>
      <c r="E131" s="5" t="s">
        <v>7753</v>
      </c>
      <c r="F131" s="5" t="s">
        <v>1336</v>
      </c>
      <c r="G131" s="6" t="s">
        <v>978</v>
      </c>
      <c r="H131" s="6" t="s">
        <v>68</v>
      </c>
      <c r="I131" s="6" t="s">
        <v>5688</v>
      </c>
      <c r="J131" s="6">
        <v>2278338</v>
      </c>
      <c r="K131" s="7" t="s">
        <v>7772</v>
      </c>
      <c r="L131" s="8">
        <v>23598</v>
      </c>
      <c r="M131" s="8" t="str">
        <f t="shared" ref="M131:M194" si="19">"PEN"</f>
        <v>PEN</v>
      </c>
      <c r="N131" s="13"/>
      <c r="O131" s="13">
        <v>5</v>
      </c>
      <c r="P131" s="3">
        <f t="shared" si="16"/>
        <v>0</v>
      </c>
      <c r="Q131" s="3">
        <f t="shared" si="17"/>
        <v>5</v>
      </c>
      <c r="R131" s="3">
        <f t="shared" si="18"/>
        <v>177.74</v>
      </c>
      <c r="S131" s="24" t="s">
        <v>1334</v>
      </c>
      <c r="T131" s="24" t="s">
        <v>1334</v>
      </c>
      <c r="U131" s="3"/>
      <c r="V131" s="25" t="s">
        <v>7756</v>
      </c>
      <c r="W131" s="25">
        <v>20517252558</v>
      </c>
      <c r="X131" s="25" t="str">
        <f>IFERROR(VLOOKUP(C_Ope_001[[#This Row],[nota_2]],Clientes_Proveedores[[Ruc / Dni]:[Razon Social]],2,0),"")</f>
        <v>COVISUR S.A.</v>
      </c>
      <c r="Y131" s="25"/>
      <c r="Z131" s="103"/>
      <c r="AA131" s="3" t="str">
        <f>IF(C_Ope_001[[#This Row],[fecha]]&gt;0,TEXT(C_Ope_001[[#This Row],[fecha]],"mmmm"),0)</f>
        <v>Marzo</v>
      </c>
      <c r="AB131" s="159"/>
    </row>
    <row r="132" spans="1:28" ht="24" x14ac:dyDescent="0.3">
      <c r="A132" s="2">
        <f>IF(C_Ope_001[[#This Row],[tipo_r]]="R",COUNTIFS($C$1:$C131,"R")+1,"")</f>
        <v>131</v>
      </c>
      <c r="B132" s="19" t="str">
        <f t="shared" si="15"/>
        <v>C_Ope_001</v>
      </c>
      <c r="C132" s="3" t="s">
        <v>1330</v>
      </c>
      <c r="D132" s="211">
        <v>45742</v>
      </c>
      <c r="E132" s="5" t="s">
        <v>7753</v>
      </c>
      <c r="F132" s="5" t="s">
        <v>1336</v>
      </c>
      <c r="G132" s="6" t="s">
        <v>978</v>
      </c>
      <c r="H132" s="6" t="s">
        <v>68</v>
      </c>
      <c r="I132" s="6" t="s">
        <v>6379</v>
      </c>
      <c r="J132" s="6">
        <v>461794</v>
      </c>
      <c r="K132" s="7" t="s">
        <v>7771</v>
      </c>
      <c r="L132" s="8">
        <v>23599</v>
      </c>
      <c r="M132" s="8" t="str">
        <f t="shared" si="19"/>
        <v>PEN</v>
      </c>
      <c r="N132" s="13"/>
      <c r="O132" s="13">
        <v>8</v>
      </c>
      <c r="P132" s="3">
        <f t="shared" si="16"/>
        <v>0</v>
      </c>
      <c r="Q132" s="3">
        <f t="shared" si="17"/>
        <v>8</v>
      </c>
      <c r="R132" s="3">
        <f t="shared" si="18"/>
        <v>169.74</v>
      </c>
      <c r="S132" s="24" t="s">
        <v>1334</v>
      </c>
      <c r="T132" s="24" t="s">
        <v>1334</v>
      </c>
      <c r="U132" s="3"/>
      <c r="V132" s="25" t="s">
        <v>7756</v>
      </c>
      <c r="W132" s="25">
        <v>20517252558</v>
      </c>
      <c r="X132" s="25" t="str">
        <f>IFERROR(VLOOKUP(C_Ope_001[[#This Row],[nota_2]],Clientes_Proveedores[[Ruc / Dni]:[Razon Social]],2,0),"")</f>
        <v>COVISUR S.A.</v>
      </c>
      <c r="Y132" s="25"/>
      <c r="Z132" s="103"/>
      <c r="AA132" s="3" t="str">
        <f>IF(C_Ope_001[[#This Row],[fecha]]&gt;0,TEXT(C_Ope_001[[#This Row],[fecha]],"mmmm"),0)</f>
        <v>Marzo</v>
      </c>
      <c r="AB132" s="159"/>
    </row>
    <row r="133" spans="1:28" ht="24" x14ac:dyDescent="0.3">
      <c r="A133" s="2">
        <f>IF(C_Ope_001[[#This Row],[tipo_r]]="R",COUNTIFS($C$1:$C132,"R")+1,"")</f>
        <v>132</v>
      </c>
      <c r="B133" s="19" t="str">
        <f t="shared" si="15"/>
        <v>C_Ope_001</v>
      </c>
      <c r="C133" s="3" t="s">
        <v>1330</v>
      </c>
      <c r="D133" s="211">
        <v>45742</v>
      </c>
      <c r="E133" s="5" t="s">
        <v>7753</v>
      </c>
      <c r="F133" s="5" t="s">
        <v>1336</v>
      </c>
      <c r="G133" s="6" t="s">
        <v>978</v>
      </c>
      <c r="H133" s="6" t="s">
        <v>68</v>
      </c>
      <c r="I133" s="6" t="s">
        <v>5845</v>
      </c>
      <c r="J133" s="6">
        <v>1709292</v>
      </c>
      <c r="K133" s="7" t="s">
        <v>7772</v>
      </c>
      <c r="L133" s="8">
        <v>23602</v>
      </c>
      <c r="M133" s="8" t="str">
        <f t="shared" si="19"/>
        <v>PEN</v>
      </c>
      <c r="N133" s="13"/>
      <c r="O133" s="13">
        <v>8</v>
      </c>
      <c r="P133" s="3">
        <f t="shared" si="16"/>
        <v>0</v>
      </c>
      <c r="Q133" s="3">
        <f t="shared" si="17"/>
        <v>8</v>
      </c>
      <c r="R133" s="3">
        <f t="shared" si="18"/>
        <v>161.74</v>
      </c>
      <c r="S133" s="24" t="s">
        <v>1334</v>
      </c>
      <c r="T133" s="24" t="s">
        <v>1334</v>
      </c>
      <c r="U133" s="3"/>
      <c r="V133" s="25" t="s">
        <v>7756</v>
      </c>
      <c r="W133" s="25">
        <v>20517252558</v>
      </c>
      <c r="X133" s="25" t="str">
        <f>IFERROR(VLOOKUP(C_Ope_001[[#This Row],[nota_2]],Clientes_Proveedores[[Ruc / Dni]:[Razon Social]],2,0),"")</f>
        <v>COVISUR S.A.</v>
      </c>
      <c r="Y133" s="25"/>
      <c r="Z133" s="103"/>
      <c r="AA133" s="3" t="str">
        <f>IF(C_Ope_001[[#This Row],[fecha]]&gt;0,TEXT(C_Ope_001[[#This Row],[fecha]],"mmmm"),0)</f>
        <v>Marzo</v>
      </c>
      <c r="AB133" s="159"/>
    </row>
    <row r="134" spans="1:28" ht="24" x14ac:dyDescent="0.3">
      <c r="A134" s="2">
        <f>IF(C_Ope_001[[#This Row],[tipo_r]]="R",COUNTIFS($C$1:$C133,"R")+1,"")</f>
        <v>133</v>
      </c>
      <c r="B134" s="19" t="str">
        <f t="shared" si="15"/>
        <v>C_Ope_001</v>
      </c>
      <c r="C134" s="3" t="s">
        <v>1330</v>
      </c>
      <c r="D134" s="211">
        <v>45742</v>
      </c>
      <c r="E134" s="5" t="s">
        <v>7753</v>
      </c>
      <c r="F134" s="5" t="s">
        <v>1336</v>
      </c>
      <c r="G134" s="6" t="s">
        <v>978</v>
      </c>
      <c r="H134" s="6" t="s">
        <v>68</v>
      </c>
      <c r="I134" s="6" t="s">
        <v>6244</v>
      </c>
      <c r="J134" s="6">
        <v>1027968</v>
      </c>
      <c r="K134" s="7" t="s">
        <v>7771</v>
      </c>
      <c r="L134" s="8">
        <v>23603</v>
      </c>
      <c r="M134" s="8" t="str">
        <f t="shared" si="19"/>
        <v>PEN</v>
      </c>
      <c r="N134" s="13"/>
      <c r="O134" s="13">
        <v>8</v>
      </c>
      <c r="P134" s="3">
        <f t="shared" si="16"/>
        <v>0</v>
      </c>
      <c r="Q134" s="3">
        <f t="shared" si="17"/>
        <v>8</v>
      </c>
      <c r="R134" s="3">
        <f t="shared" si="18"/>
        <v>153.74</v>
      </c>
      <c r="S134" s="24" t="s">
        <v>1334</v>
      </c>
      <c r="T134" s="24" t="s">
        <v>1334</v>
      </c>
      <c r="U134" s="3"/>
      <c r="V134" s="25" t="s">
        <v>7756</v>
      </c>
      <c r="W134" s="25">
        <v>20517252558</v>
      </c>
      <c r="X134" s="25" t="str">
        <f>IFERROR(VLOOKUP(C_Ope_001[[#This Row],[nota_2]],Clientes_Proveedores[[Ruc / Dni]:[Razon Social]],2,0),"")</f>
        <v>COVISUR S.A.</v>
      </c>
      <c r="Y134" s="25"/>
      <c r="Z134" s="103"/>
      <c r="AA134" s="3" t="str">
        <f>IF(C_Ope_001[[#This Row],[fecha]]&gt;0,TEXT(C_Ope_001[[#This Row],[fecha]],"mmmm"),0)</f>
        <v>Marzo</v>
      </c>
      <c r="AB134" s="159"/>
    </row>
    <row r="135" spans="1:28" ht="24" x14ac:dyDescent="0.3">
      <c r="A135" s="2">
        <f>IF(C_Ope_001[[#This Row],[tipo_r]]="R",COUNTIFS($C$1:$C134,"R")+1,"")</f>
        <v>134</v>
      </c>
      <c r="B135" s="19" t="str">
        <f t="shared" si="15"/>
        <v>C_Ope_001</v>
      </c>
      <c r="C135" s="3" t="s">
        <v>1330</v>
      </c>
      <c r="D135" s="211">
        <v>45743</v>
      </c>
      <c r="E135" s="5" t="s">
        <v>7753</v>
      </c>
      <c r="F135" s="5" t="s">
        <v>1336</v>
      </c>
      <c r="G135" s="6" t="s">
        <v>978</v>
      </c>
      <c r="H135" s="6" t="s">
        <v>68</v>
      </c>
      <c r="I135" s="6" t="s">
        <v>6204</v>
      </c>
      <c r="J135" s="6">
        <v>1690528</v>
      </c>
      <c r="K135" s="7" t="s">
        <v>7827</v>
      </c>
      <c r="L135" s="8">
        <v>23610</v>
      </c>
      <c r="M135" s="8" t="str">
        <f t="shared" si="19"/>
        <v>PEN</v>
      </c>
      <c r="N135" s="13"/>
      <c r="O135" s="13">
        <v>8</v>
      </c>
      <c r="P135" s="3">
        <f t="shared" si="16"/>
        <v>0</v>
      </c>
      <c r="Q135" s="3">
        <f t="shared" si="17"/>
        <v>8</v>
      </c>
      <c r="R135" s="3">
        <f t="shared" si="18"/>
        <v>145.74</v>
      </c>
      <c r="S135" s="24" t="s">
        <v>1334</v>
      </c>
      <c r="T135" s="24" t="s">
        <v>1334</v>
      </c>
      <c r="U135" s="3"/>
      <c r="V135" s="25" t="s">
        <v>7756</v>
      </c>
      <c r="W135" s="25">
        <v>20517252558</v>
      </c>
      <c r="X135" s="25" t="str">
        <f>IFERROR(VLOOKUP(C_Ope_001[[#This Row],[nota_2]],Clientes_Proveedores[[Ruc / Dni]:[Razon Social]],2,0),"")</f>
        <v>COVISUR S.A.</v>
      </c>
      <c r="Y135" s="25"/>
      <c r="Z135" s="103"/>
      <c r="AA135" s="3" t="str">
        <f>IF(C_Ope_001[[#This Row],[fecha]]&gt;0,TEXT(C_Ope_001[[#This Row],[fecha]],"mmmm"),0)</f>
        <v>Marzo</v>
      </c>
      <c r="AB135" s="159"/>
    </row>
    <row r="136" spans="1:28" ht="24" x14ac:dyDescent="0.3">
      <c r="A136" s="2">
        <f>IF(C_Ope_001[[#This Row],[tipo_r]]="R",COUNTIFS($C$1:$C135,"R")+1,"")</f>
        <v>135</v>
      </c>
      <c r="B136" s="19" t="str">
        <f t="shared" si="15"/>
        <v>C_Ope_001</v>
      </c>
      <c r="C136" s="3" t="s">
        <v>1330</v>
      </c>
      <c r="D136" s="211">
        <v>45743</v>
      </c>
      <c r="E136" s="5" t="s">
        <v>7753</v>
      </c>
      <c r="F136" s="5" t="s">
        <v>1336</v>
      </c>
      <c r="G136" s="6" t="s">
        <v>978</v>
      </c>
      <c r="H136" s="6" t="s">
        <v>68</v>
      </c>
      <c r="I136" s="6" t="s">
        <v>5845</v>
      </c>
      <c r="J136" s="6">
        <v>1710268</v>
      </c>
      <c r="K136" s="7" t="s">
        <v>7827</v>
      </c>
      <c r="L136" s="8">
        <v>23611</v>
      </c>
      <c r="M136" s="8" t="str">
        <f t="shared" si="19"/>
        <v>PEN</v>
      </c>
      <c r="N136" s="13"/>
      <c r="O136" s="13">
        <v>8</v>
      </c>
      <c r="P136" s="3">
        <f t="shared" si="16"/>
        <v>0</v>
      </c>
      <c r="Q136" s="3">
        <f t="shared" si="17"/>
        <v>8</v>
      </c>
      <c r="R136" s="3">
        <f t="shared" si="18"/>
        <v>137.74</v>
      </c>
      <c r="S136" s="24" t="s">
        <v>1334</v>
      </c>
      <c r="T136" s="24" t="s">
        <v>1334</v>
      </c>
      <c r="U136" s="3"/>
      <c r="V136" s="25" t="s">
        <v>7756</v>
      </c>
      <c r="W136" s="25">
        <v>20517252558</v>
      </c>
      <c r="X136" s="25" t="str">
        <f>IFERROR(VLOOKUP(C_Ope_001[[#This Row],[nota_2]],Clientes_Proveedores[[Ruc / Dni]:[Razon Social]],2,0),"")</f>
        <v>COVISUR S.A.</v>
      </c>
      <c r="Y136" s="25"/>
      <c r="Z136" s="103"/>
      <c r="AA136" s="3" t="str">
        <f>IF(C_Ope_001[[#This Row],[fecha]]&gt;0,TEXT(C_Ope_001[[#This Row],[fecha]],"mmmm"),0)</f>
        <v>Marzo</v>
      </c>
      <c r="AB136" s="159"/>
    </row>
    <row r="137" spans="1:28" ht="24" x14ac:dyDescent="0.3">
      <c r="A137" s="2">
        <f>IF(C_Ope_001[[#This Row],[tipo_r]]="R",COUNTIFS($C$1:$C136,"R")+1,"")</f>
        <v>136</v>
      </c>
      <c r="B137" s="19" t="str">
        <f t="shared" si="15"/>
        <v>C_Ope_001</v>
      </c>
      <c r="C137" s="3" t="s">
        <v>1330</v>
      </c>
      <c r="D137" s="211">
        <v>45744</v>
      </c>
      <c r="E137" s="5" t="s">
        <v>7753</v>
      </c>
      <c r="F137" s="5" t="s">
        <v>1336</v>
      </c>
      <c r="G137" s="6" t="s">
        <v>978</v>
      </c>
      <c r="H137" s="6" t="s">
        <v>68</v>
      </c>
      <c r="I137" s="6" t="s">
        <v>6204</v>
      </c>
      <c r="J137" s="6">
        <v>1691576</v>
      </c>
      <c r="K137" s="7" t="s">
        <v>7828</v>
      </c>
      <c r="L137" s="8">
        <v>23623</v>
      </c>
      <c r="M137" s="8" t="str">
        <f t="shared" si="19"/>
        <v>PEN</v>
      </c>
      <c r="N137" s="13"/>
      <c r="O137" s="13">
        <v>8</v>
      </c>
      <c r="P137" s="3">
        <f t="shared" si="16"/>
        <v>0</v>
      </c>
      <c r="Q137" s="3">
        <f t="shared" si="17"/>
        <v>8</v>
      </c>
      <c r="R137" s="3">
        <f t="shared" si="18"/>
        <v>129.74</v>
      </c>
      <c r="S137" s="24" t="s">
        <v>1334</v>
      </c>
      <c r="T137" s="24" t="s">
        <v>1334</v>
      </c>
      <c r="U137" s="3"/>
      <c r="V137" s="25" t="s">
        <v>7756</v>
      </c>
      <c r="W137" s="25">
        <v>20517252558</v>
      </c>
      <c r="X137" s="25" t="str">
        <f>IFERROR(VLOOKUP(C_Ope_001[[#This Row],[nota_2]],Clientes_Proveedores[[Ruc / Dni]:[Razon Social]],2,0),"")</f>
        <v>COVISUR S.A.</v>
      </c>
      <c r="Y137" s="25"/>
      <c r="Z137" s="103"/>
      <c r="AA137" s="3" t="str">
        <f>IF(C_Ope_001[[#This Row],[fecha]]&gt;0,TEXT(C_Ope_001[[#This Row],[fecha]],"mmmm"),0)</f>
        <v>Marzo</v>
      </c>
      <c r="AB137" s="159"/>
    </row>
    <row r="138" spans="1:28" ht="24" x14ac:dyDescent="0.3">
      <c r="A138" s="2">
        <f>IF(C_Ope_001[[#This Row],[tipo_r]]="R",COUNTIFS($C$1:$C137,"R")+1,"")</f>
        <v>137</v>
      </c>
      <c r="B138" s="19" t="str">
        <f t="shared" si="15"/>
        <v>C_Ope_001</v>
      </c>
      <c r="C138" s="3" t="s">
        <v>1330</v>
      </c>
      <c r="D138" s="211">
        <v>45744</v>
      </c>
      <c r="E138" s="5" t="s">
        <v>7753</v>
      </c>
      <c r="F138" s="5" t="s">
        <v>1336</v>
      </c>
      <c r="G138" s="6" t="s">
        <v>978</v>
      </c>
      <c r="H138" s="6" t="s">
        <v>68</v>
      </c>
      <c r="I138" s="6" t="s">
        <v>6203</v>
      </c>
      <c r="J138" s="6">
        <v>2004296</v>
      </c>
      <c r="K138" s="7" t="s">
        <v>7828</v>
      </c>
      <c r="L138" s="8">
        <v>23645</v>
      </c>
      <c r="M138" s="8" t="str">
        <f t="shared" si="19"/>
        <v>PEN</v>
      </c>
      <c r="N138" s="13"/>
      <c r="O138" s="13">
        <v>8</v>
      </c>
      <c r="P138" s="3">
        <f t="shared" si="16"/>
        <v>0</v>
      </c>
      <c r="Q138" s="3">
        <f t="shared" si="17"/>
        <v>8</v>
      </c>
      <c r="R138" s="3">
        <f t="shared" si="18"/>
        <v>121.74000000000001</v>
      </c>
      <c r="S138" s="24" t="s">
        <v>1334</v>
      </c>
      <c r="T138" s="24" t="s">
        <v>1334</v>
      </c>
      <c r="U138" s="3"/>
      <c r="V138" s="25" t="s">
        <v>7756</v>
      </c>
      <c r="W138" s="25">
        <v>20517252558</v>
      </c>
      <c r="X138" s="25" t="str">
        <f>IFERROR(VLOOKUP(C_Ope_001[[#This Row],[nota_2]],Clientes_Proveedores[[Ruc / Dni]:[Razon Social]],2,0),"")</f>
        <v>COVISUR S.A.</v>
      </c>
      <c r="Y138" s="25"/>
      <c r="Z138" s="103"/>
      <c r="AA138" s="3" t="str">
        <f>IF(C_Ope_001[[#This Row],[fecha]]&gt;0,TEXT(C_Ope_001[[#This Row],[fecha]],"mmmm"),0)</f>
        <v>Marzo</v>
      </c>
      <c r="AB138" s="159"/>
    </row>
    <row r="139" spans="1:28" ht="36" x14ac:dyDescent="0.3">
      <c r="A139" s="2">
        <f>IF(C_Ope_001[[#This Row],[tipo_r]]="R",COUNTIFS($C$1:$C138,"R")+1,"")</f>
        <v>138</v>
      </c>
      <c r="B139" s="19" t="str">
        <f t="shared" si="15"/>
        <v>C_Ope_001</v>
      </c>
      <c r="C139" s="3" t="s">
        <v>1330</v>
      </c>
      <c r="D139" s="211">
        <v>45740</v>
      </c>
      <c r="E139" s="5" t="s">
        <v>7753</v>
      </c>
      <c r="F139" s="5" t="s">
        <v>1336</v>
      </c>
      <c r="G139" s="6" t="s">
        <v>227</v>
      </c>
      <c r="H139" s="6" t="s">
        <v>68</v>
      </c>
      <c r="I139" s="6" t="s">
        <v>1390</v>
      </c>
      <c r="J139" s="6">
        <v>129675</v>
      </c>
      <c r="K139" s="7" t="s">
        <v>7829</v>
      </c>
      <c r="L139" s="8">
        <v>23569</v>
      </c>
      <c r="M139" s="8" t="str">
        <f t="shared" si="19"/>
        <v>PEN</v>
      </c>
      <c r="N139" s="13"/>
      <c r="O139" s="13">
        <v>10</v>
      </c>
      <c r="P139" s="3">
        <f t="shared" si="16"/>
        <v>0</v>
      </c>
      <c r="Q139" s="3">
        <f t="shared" si="17"/>
        <v>10</v>
      </c>
      <c r="R139" s="3">
        <f t="shared" si="18"/>
        <v>111.74000000000001</v>
      </c>
      <c r="S139" s="24" t="s">
        <v>1334</v>
      </c>
      <c r="T139" s="24" t="s">
        <v>1334</v>
      </c>
      <c r="U139" s="3"/>
      <c r="V139" s="25" t="s">
        <v>7756</v>
      </c>
      <c r="W139" s="25">
        <v>20124952850</v>
      </c>
      <c r="X139" s="25" t="str">
        <f>IFERROR(VLOOKUP(C_Ope_001[[#This Row],[nota_2]],Clientes_Proveedores[[Ruc / Dni]:[Razon Social]],2,0),"")</f>
        <v>ALIMENTOS Y SERVICIOS AGROPECUARIOS SRL.</v>
      </c>
      <c r="Y139" s="25"/>
      <c r="Z139" s="103"/>
      <c r="AA139" s="3" t="str">
        <f>IF(C_Ope_001[[#This Row],[fecha]]&gt;0,TEXT(C_Ope_001[[#This Row],[fecha]],"mmmm"),0)</f>
        <v>Marzo</v>
      </c>
      <c r="AB139" s="159"/>
    </row>
    <row r="140" spans="1:28" ht="36" x14ac:dyDescent="0.3">
      <c r="A140" s="2">
        <f>IF(C_Ope_001[[#This Row],[tipo_r]]="R",COUNTIFS($C$1:$C139,"R")+1,"")</f>
        <v>139</v>
      </c>
      <c r="B140" s="19" t="str">
        <f t="shared" si="15"/>
        <v>C_Ope_001</v>
      </c>
      <c r="C140" s="3" t="s">
        <v>1330</v>
      </c>
      <c r="D140" s="211">
        <v>45740</v>
      </c>
      <c r="E140" s="5" t="s">
        <v>7753</v>
      </c>
      <c r="F140" s="5" t="s">
        <v>1336</v>
      </c>
      <c r="G140" s="6" t="s">
        <v>682</v>
      </c>
      <c r="H140" s="6" t="s">
        <v>68</v>
      </c>
      <c r="I140" s="6" t="s">
        <v>1343</v>
      </c>
      <c r="J140" s="6">
        <v>34186</v>
      </c>
      <c r="K140" s="7" t="s">
        <v>7830</v>
      </c>
      <c r="L140" s="8">
        <v>23570</v>
      </c>
      <c r="M140" s="8" t="str">
        <f t="shared" si="19"/>
        <v>PEN</v>
      </c>
      <c r="N140" s="13"/>
      <c r="O140" s="13">
        <v>10</v>
      </c>
      <c r="P140" s="3">
        <f t="shared" si="16"/>
        <v>0</v>
      </c>
      <c r="Q140" s="3">
        <f t="shared" si="17"/>
        <v>10</v>
      </c>
      <c r="R140" s="3">
        <f t="shared" si="18"/>
        <v>101.74000000000001</v>
      </c>
      <c r="S140" s="24" t="s">
        <v>1334</v>
      </c>
      <c r="T140" s="24" t="s">
        <v>1334</v>
      </c>
      <c r="U140" s="3"/>
      <c r="V140" s="25" t="s">
        <v>7756</v>
      </c>
      <c r="W140" s="25">
        <v>20259858934</v>
      </c>
      <c r="X140" s="25" t="str">
        <f>IFERROR(VLOOKUP(C_Ope_001[[#This Row],[nota_2]],Clientes_Proveedores[[Ruc / Dni]:[Razon Social]],2,0),"")</f>
        <v>COMERCIALIZACION Y SERVICIOS EL EDEN S.A.C.</v>
      </c>
      <c r="Y140" s="25"/>
      <c r="Z140" s="103"/>
      <c r="AA140" s="3" t="str">
        <f>IF(C_Ope_001[[#This Row],[fecha]]&gt;0,TEXT(C_Ope_001[[#This Row],[fecha]],"mmmm"),0)</f>
        <v>Marzo</v>
      </c>
      <c r="AB140" s="159"/>
    </row>
    <row r="141" spans="1:28" ht="36" x14ac:dyDescent="0.3">
      <c r="A141" s="2">
        <f>IF(C_Ope_001[[#This Row],[tipo_r]]="R",COUNTIFS($C$1:$C140,"R")+1,"")</f>
        <v>140</v>
      </c>
      <c r="B141" s="19" t="str">
        <f t="shared" si="15"/>
        <v>C_Ope_001</v>
      </c>
      <c r="C141" s="3" t="s">
        <v>1330</v>
      </c>
      <c r="D141" s="211">
        <v>45742</v>
      </c>
      <c r="E141" s="5" t="s">
        <v>7753</v>
      </c>
      <c r="F141" s="5" t="s">
        <v>1336</v>
      </c>
      <c r="G141" s="6" t="s">
        <v>1029</v>
      </c>
      <c r="H141" s="6" t="s">
        <v>68</v>
      </c>
      <c r="I141" s="6" t="s">
        <v>1374</v>
      </c>
      <c r="J141" s="6">
        <v>17162</v>
      </c>
      <c r="K141" s="7" t="s">
        <v>7776</v>
      </c>
      <c r="L141" s="8">
        <v>23600</v>
      </c>
      <c r="M141" s="8" t="str">
        <f t="shared" si="19"/>
        <v>PEN</v>
      </c>
      <c r="N141" s="13"/>
      <c r="O141" s="13">
        <v>11</v>
      </c>
      <c r="P141" s="3">
        <f t="shared" si="16"/>
        <v>0</v>
      </c>
      <c r="Q141" s="3">
        <f t="shared" si="17"/>
        <v>11</v>
      </c>
      <c r="R141" s="3">
        <f t="shared" si="18"/>
        <v>90.740000000000009</v>
      </c>
      <c r="S141" s="24" t="s">
        <v>1334</v>
      </c>
      <c r="T141" s="24" t="s">
        <v>1334</v>
      </c>
      <c r="U141" s="3"/>
      <c r="V141" s="25" t="s">
        <v>7756</v>
      </c>
      <c r="W141" s="25">
        <v>20454058187</v>
      </c>
      <c r="X141" s="25" t="str">
        <f>IFERROR(VLOOKUP(C_Ope_001[[#This Row],[nota_2]],Clientes_Proveedores[[Ruc / Dni]:[Razon Social]],2,0),"")</f>
        <v>ZONA ESPECIAL DE DESARROLLO ZED MATARANI</v>
      </c>
      <c r="Y141" s="25"/>
      <c r="Z141" s="103"/>
      <c r="AA141" s="3" t="str">
        <f>IF(C_Ope_001[[#This Row],[fecha]]&gt;0,TEXT(C_Ope_001[[#This Row],[fecha]],"mmmm"),0)</f>
        <v>Marzo</v>
      </c>
      <c r="AB141" s="159"/>
    </row>
    <row r="142" spans="1:28" ht="36" x14ac:dyDescent="0.3">
      <c r="A142" s="2">
        <f>IF(C_Ope_001[[#This Row],[tipo_r]]="R",COUNTIFS($C$1:$C141,"R")+1,"")</f>
        <v>141</v>
      </c>
      <c r="B142" s="19" t="str">
        <f t="shared" si="15"/>
        <v>C_Ope_001</v>
      </c>
      <c r="C142" s="3" t="s">
        <v>1330</v>
      </c>
      <c r="D142" s="211">
        <v>45747</v>
      </c>
      <c r="E142" s="5" t="s">
        <v>7753</v>
      </c>
      <c r="F142" s="5" t="s">
        <v>1336</v>
      </c>
      <c r="G142" s="6" t="s">
        <v>227</v>
      </c>
      <c r="H142" s="6" t="s">
        <v>68</v>
      </c>
      <c r="I142" s="6" t="s">
        <v>1390</v>
      </c>
      <c r="J142" s="6">
        <v>129996</v>
      </c>
      <c r="K142" s="7" t="s">
        <v>7831</v>
      </c>
      <c r="L142" s="8">
        <v>23689</v>
      </c>
      <c r="M142" s="8" t="str">
        <f t="shared" si="19"/>
        <v>PEN</v>
      </c>
      <c r="N142" s="13"/>
      <c r="O142" s="13">
        <v>10</v>
      </c>
      <c r="P142" s="3">
        <f t="shared" si="16"/>
        <v>0</v>
      </c>
      <c r="Q142" s="3">
        <f t="shared" si="17"/>
        <v>10</v>
      </c>
      <c r="R142" s="3">
        <f t="shared" si="18"/>
        <v>80.740000000000009</v>
      </c>
      <c r="S142" s="24" t="s">
        <v>1334</v>
      </c>
      <c r="T142" s="24" t="s">
        <v>1334</v>
      </c>
      <c r="U142" s="3"/>
      <c r="V142" s="25" t="s">
        <v>7756</v>
      </c>
      <c r="W142" s="25">
        <v>20124952850</v>
      </c>
      <c r="X142" s="25" t="str">
        <f>IFERROR(VLOOKUP(C_Ope_001[[#This Row],[nota_2]],Clientes_Proveedores[[Ruc / Dni]:[Razon Social]],2,0),"")</f>
        <v>ALIMENTOS Y SERVICIOS AGROPECUARIOS SRL.</v>
      </c>
      <c r="Y142" s="25"/>
      <c r="Z142" s="103"/>
      <c r="AA142" s="3" t="str">
        <f>IF(C_Ope_001[[#This Row],[fecha]]&gt;0,TEXT(C_Ope_001[[#This Row],[fecha]],"mmmm"),0)</f>
        <v>Marzo</v>
      </c>
      <c r="AB142" s="159"/>
    </row>
    <row r="143" spans="1:28" ht="24" x14ac:dyDescent="0.3">
      <c r="A143" s="2">
        <f>IF(C_Ope_001[[#This Row],[tipo_r]]="R",COUNTIFS($C$1:$C142,"R")+1,"")</f>
        <v>142</v>
      </c>
      <c r="B143" s="19" t="str">
        <f t="shared" si="15"/>
        <v>C_Ope_001</v>
      </c>
      <c r="C143" s="3" t="s">
        <v>1330</v>
      </c>
      <c r="D143" s="211">
        <v>45747</v>
      </c>
      <c r="E143" s="5" t="s">
        <v>7753</v>
      </c>
      <c r="F143" s="5" t="s">
        <v>1336</v>
      </c>
      <c r="G143" s="6" t="s">
        <v>999</v>
      </c>
      <c r="H143" s="6" t="s">
        <v>68</v>
      </c>
      <c r="I143" s="6" t="s">
        <v>1374</v>
      </c>
      <c r="J143" s="6">
        <v>17052</v>
      </c>
      <c r="K143" s="7" t="s">
        <v>7777</v>
      </c>
      <c r="L143" s="8">
        <v>23688</v>
      </c>
      <c r="M143" s="8" t="str">
        <f t="shared" si="19"/>
        <v>PEN</v>
      </c>
      <c r="N143" s="13"/>
      <c r="O143" s="13">
        <v>25</v>
      </c>
      <c r="P143" s="3">
        <f t="shared" si="16"/>
        <v>0</v>
      </c>
      <c r="Q143" s="3">
        <f t="shared" si="17"/>
        <v>25</v>
      </c>
      <c r="R143" s="3">
        <f t="shared" si="18"/>
        <v>55.740000000000009</v>
      </c>
      <c r="S143" s="24" t="s">
        <v>1334</v>
      </c>
      <c r="T143" s="24" t="s">
        <v>1334</v>
      </c>
      <c r="U143" s="3"/>
      <c r="V143" s="25" t="s">
        <v>7756</v>
      </c>
      <c r="W143" s="25">
        <v>10705628331</v>
      </c>
      <c r="X143" s="25" t="str">
        <f>IFERROR(VLOOKUP(C_Ope_001[[#This Row],[nota_2]],Clientes_Proveedores[[Ruc / Dni]:[Razon Social]],2,0),"")</f>
        <v>LARICO APAZA NANCY ROSSMARY</v>
      </c>
      <c r="Y143" s="25"/>
      <c r="Z143" s="103"/>
      <c r="AA143" s="3" t="str">
        <f>IF(C_Ope_001[[#This Row],[fecha]]&gt;0,TEXT(C_Ope_001[[#This Row],[fecha]],"mmmm"),0)</f>
        <v>Marzo</v>
      </c>
      <c r="AB143" s="159"/>
    </row>
    <row r="144" spans="1:28" ht="24" x14ac:dyDescent="0.3">
      <c r="A144" s="2">
        <f>IF(C_Ope_001[[#This Row],[tipo_r]]="R",COUNTIFS($C$1:$C143,"R")+1,"")</f>
        <v>143</v>
      </c>
      <c r="B144" s="19" t="str">
        <f t="shared" si="15"/>
        <v>C_Ope_001</v>
      </c>
      <c r="C144" s="3" t="s">
        <v>1330</v>
      </c>
      <c r="D144" s="211">
        <v>45748</v>
      </c>
      <c r="E144" s="5" t="s">
        <v>7514</v>
      </c>
      <c r="F144" s="5" t="s">
        <v>1303</v>
      </c>
      <c r="G144" s="6" t="s">
        <v>812</v>
      </c>
      <c r="H144" s="6"/>
      <c r="I144" s="6"/>
      <c r="J144" s="6"/>
      <c r="K144" s="7" t="s">
        <v>7516</v>
      </c>
      <c r="L144" s="8">
        <v>23765</v>
      </c>
      <c r="M144" s="8" t="str">
        <f t="shared" si="19"/>
        <v>PEN</v>
      </c>
      <c r="N144" s="13"/>
      <c r="O144" s="13">
        <v>140</v>
      </c>
      <c r="P144" s="3">
        <f t="shared" si="16"/>
        <v>140</v>
      </c>
      <c r="Q144" s="3">
        <f t="shared" si="17"/>
        <v>0</v>
      </c>
      <c r="R144" s="3">
        <f t="shared" si="18"/>
        <v>195.74</v>
      </c>
      <c r="S144" s="24" t="s">
        <v>1334</v>
      </c>
      <c r="T144" s="24" t="s">
        <v>1334</v>
      </c>
      <c r="U144" s="3"/>
      <c r="V144" s="25"/>
      <c r="W144" s="25"/>
      <c r="X144" s="25" t="str">
        <f>IFERROR(VLOOKUP(C_Ope_001[[#This Row],[nota_2]],Clientes_Proveedores[[Ruc / Dni]:[Razon Social]],2,0),"")</f>
        <v/>
      </c>
      <c r="Y144" s="25"/>
      <c r="Z144" s="103"/>
      <c r="AA144" s="3" t="str">
        <f>IF(C_Ope_001[[#This Row],[fecha]]&gt;0,TEXT(C_Ope_001[[#This Row],[fecha]],"mmmm"),0)</f>
        <v>Abril</v>
      </c>
      <c r="AB144" s="159"/>
    </row>
    <row r="145" spans="1:28" ht="24" x14ac:dyDescent="0.3">
      <c r="A145" s="2">
        <f>IF(C_Ope_001[[#This Row],[tipo_r]]="R",COUNTIFS($C$1:$C144,"R")+1,"")</f>
        <v>144</v>
      </c>
      <c r="B145" s="19" t="str">
        <f t="shared" si="15"/>
        <v>C_Ope_001</v>
      </c>
      <c r="C145" s="3" t="s">
        <v>1330</v>
      </c>
      <c r="D145" s="211">
        <v>45748</v>
      </c>
      <c r="E145" s="5" t="s">
        <v>7753</v>
      </c>
      <c r="F145" s="5" t="s">
        <v>1336</v>
      </c>
      <c r="G145" s="6" t="s">
        <v>978</v>
      </c>
      <c r="H145" s="6" t="s">
        <v>68</v>
      </c>
      <c r="I145" s="6" t="s">
        <v>6204</v>
      </c>
      <c r="J145" s="6">
        <v>1694765</v>
      </c>
      <c r="K145" s="7" t="s">
        <v>7820</v>
      </c>
      <c r="L145" s="8">
        <v>23711</v>
      </c>
      <c r="M145" s="8" t="str">
        <f t="shared" si="19"/>
        <v>PEN</v>
      </c>
      <c r="N145" s="13"/>
      <c r="O145" s="13">
        <v>8</v>
      </c>
      <c r="P145" s="3">
        <f t="shared" si="16"/>
        <v>0</v>
      </c>
      <c r="Q145" s="3">
        <f t="shared" si="17"/>
        <v>8</v>
      </c>
      <c r="R145" s="3">
        <f t="shared" si="18"/>
        <v>187.74</v>
      </c>
      <c r="S145" s="24" t="s">
        <v>1334</v>
      </c>
      <c r="T145" s="24" t="s">
        <v>1334</v>
      </c>
      <c r="U145" s="3"/>
      <c r="V145" s="25" t="s">
        <v>7756</v>
      </c>
      <c r="W145" s="25">
        <v>20517252558</v>
      </c>
      <c r="X145" s="25" t="str">
        <f>IFERROR(VLOOKUP(C_Ope_001[[#This Row],[nota_2]],Clientes_Proveedores[[Ruc / Dni]:[Razon Social]],2,0),"")</f>
        <v>COVISUR S.A.</v>
      </c>
      <c r="Y145" s="25"/>
      <c r="Z145" s="103"/>
      <c r="AA145" s="3" t="str">
        <f>IF(C_Ope_001[[#This Row],[fecha]]&gt;0,TEXT(C_Ope_001[[#This Row],[fecha]],"mmmm"),0)</f>
        <v>Abril</v>
      </c>
      <c r="AB145" s="159"/>
    </row>
    <row r="146" spans="1:28" ht="24" x14ac:dyDescent="0.3">
      <c r="A146" s="2">
        <f>IF(C_Ope_001[[#This Row],[tipo_r]]="R",COUNTIFS($C$1:$C145,"R")+1,"")</f>
        <v>145</v>
      </c>
      <c r="B146" s="19" t="str">
        <f t="shared" si="15"/>
        <v>C_Ope_001</v>
      </c>
      <c r="C146" s="3" t="s">
        <v>1330</v>
      </c>
      <c r="D146" s="211">
        <v>45748</v>
      </c>
      <c r="E146" s="5" t="s">
        <v>7753</v>
      </c>
      <c r="F146" s="5" t="s">
        <v>1336</v>
      </c>
      <c r="G146" s="6" t="s">
        <v>978</v>
      </c>
      <c r="H146" s="6" t="s">
        <v>68</v>
      </c>
      <c r="I146" s="6" t="s">
        <v>5845</v>
      </c>
      <c r="J146" s="6">
        <v>1714474</v>
      </c>
      <c r="K146" s="7" t="s">
        <v>7820</v>
      </c>
      <c r="L146" s="8">
        <v>23712</v>
      </c>
      <c r="M146" s="8" t="str">
        <f t="shared" si="19"/>
        <v>PEN</v>
      </c>
      <c r="N146" s="13"/>
      <c r="O146" s="13">
        <v>8</v>
      </c>
      <c r="P146" s="3">
        <f t="shared" si="16"/>
        <v>0</v>
      </c>
      <c r="Q146" s="3">
        <f t="shared" si="17"/>
        <v>8</v>
      </c>
      <c r="R146" s="3">
        <f t="shared" si="18"/>
        <v>179.74</v>
      </c>
      <c r="S146" s="24" t="s">
        <v>1334</v>
      </c>
      <c r="T146" s="24" t="s">
        <v>1334</v>
      </c>
      <c r="U146" s="3"/>
      <c r="V146" s="25" t="s">
        <v>7756</v>
      </c>
      <c r="W146" s="25">
        <v>20517252558</v>
      </c>
      <c r="X146" s="25" t="str">
        <f>IFERROR(VLOOKUP(C_Ope_001[[#This Row],[nota_2]],Clientes_Proveedores[[Ruc / Dni]:[Razon Social]],2,0),"")</f>
        <v>COVISUR S.A.</v>
      </c>
      <c r="Y146" s="25"/>
      <c r="Z146" s="103"/>
      <c r="AA146" s="3" t="str">
        <f>IF(C_Ope_001[[#This Row],[fecha]]&gt;0,TEXT(C_Ope_001[[#This Row],[fecha]],"mmmm"),0)</f>
        <v>Abril</v>
      </c>
      <c r="AB146" s="159"/>
    </row>
    <row r="147" spans="1:28" ht="36" x14ac:dyDescent="0.3">
      <c r="A147" s="2">
        <f>IF(C_Ope_001[[#This Row],[tipo_r]]="R",COUNTIFS($C$1:$C146,"R")+1,"")</f>
        <v>146</v>
      </c>
      <c r="B147" s="19" t="str">
        <f t="shared" si="15"/>
        <v>C_Ope_001</v>
      </c>
      <c r="C147" s="3" t="s">
        <v>1330</v>
      </c>
      <c r="D147" s="211">
        <v>45749</v>
      </c>
      <c r="E147" s="5" t="s">
        <v>7753</v>
      </c>
      <c r="F147" s="5" t="s">
        <v>1336</v>
      </c>
      <c r="G147" s="6" t="s">
        <v>978</v>
      </c>
      <c r="H147" s="6" t="s">
        <v>68</v>
      </c>
      <c r="I147" s="6" t="s">
        <v>5688</v>
      </c>
      <c r="J147" s="6">
        <v>2285894</v>
      </c>
      <c r="K147" s="7" t="s">
        <v>7832</v>
      </c>
      <c r="L147" s="8">
        <v>23725</v>
      </c>
      <c r="M147" s="8" t="str">
        <f t="shared" si="19"/>
        <v>PEN</v>
      </c>
      <c r="N147" s="13"/>
      <c r="O147" s="13">
        <v>8</v>
      </c>
      <c r="P147" s="3">
        <f t="shared" si="16"/>
        <v>0</v>
      </c>
      <c r="Q147" s="3">
        <f t="shared" si="17"/>
        <v>8</v>
      </c>
      <c r="R147" s="3">
        <f t="shared" si="18"/>
        <v>171.74</v>
      </c>
      <c r="S147" s="24" t="s">
        <v>1334</v>
      </c>
      <c r="T147" s="24" t="s">
        <v>1334</v>
      </c>
      <c r="U147" s="3"/>
      <c r="V147" s="25" t="s">
        <v>7756</v>
      </c>
      <c r="W147" s="25">
        <v>20517252558</v>
      </c>
      <c r="X147" s="25" t="str">
        <f>IFERROR(VLOOKUP(C_Ope_001[[#This Row],[nota_2]],Clientes_Proveedores[[Ruc / Dni]:[Razon Social]],2,0),"")</f>
        <v>COVISUR S.A.</v>
      </c>
      <c r="Y147" s="25"/>
      <c r="Z147" s="103"/>
      <c r="AA147" s="3" t="str">
        <f>IF(C_Ope_001[[#This Row],[fecha]]&gt;0,TEXT(C_Ope_001[[#This Row],[fecha]],"mmmm"),0)</f>
        <v>Abril</v>
      </c>
      <c r="AB147" s="159"/>
    </row>
    <row r="148" spans="1:28" ht="36" x14ac:dyDescent="0.3">
      <c r="A148" s="2">
        <f>IF(C_Ope_001[[#This Row],[tipo_r]]="R",COUNTIFS($C$1:$C147,"R")+1,"")</f>
        <v>147</v>
      </c>
      <c r="B148" s="19" t="str">
        <f t="shared" si="15"/>
        <v>C_Ope_001</v>
      </c>
      <c r="C148" s="3" t="s">
        <v>1330</v>
      </c>
      <c r="D148" s="211">
        <v>45749</v>
      </c>
      <c r="E148" s="5" t="s">
        <v>7753</v>
      </c>
      <c r="F148" s="5" t="s">
        <v>1336</v>
      </c>
      <c r="G148" s="6" t="s">
        <v>978</v>
      </c>
      <c r="H148" s="6" t="s">
        <v>68</v>
      </c>
      <c r="I148" s="6" t="s">
        <v>5845</v>
      </c>
      <c r="J148" s="6">
        <v>1715386</v>
      </c>
      <c r="K148" s="7" t="s">
        <v>7832</v>
      </c>
      <c r="L148" s="8">
        <v>23726</v>
      </c>
      <c r="M148" s="8" t="str">
        <f t="shared" si="19"/>
        <v>PEN</v>
      </c>
      <c r="N148" s="13"/>
      <c r="O148" s="13">
        <v>8</v>
      </c>
      <c r="P148" s="3">
        <f t="shared" si="16"/>
        <v>0</v>
      </c>
      <c r="Q148" s="3">
        <f t="shared" si="17"/>
        <v>8</v>
      </c>
      <c r="R148" s="3">
        <f t="shared" si="18"/>
        <v>163.74</v>
      </c>
      <c r="S148" s="24" t="s">
        <v>1334</v>
      </c>
      <c r="T148" s="24" t="s">
        <v>1334</v>
      </c>
      <c r="U148" s="3"/>
      <c r="V148" s="25" t="s">
        <v>7756</v>
      </c>
      <c r="W148" s="25">
        <v>20517252558</v>
      </c>
      <c r="X148" s="25" t="str">
        <f>IFERROR(VLOOKUP(C_Ope_001[[#This Row],[nota_2]],Clientes_Proveedores[[Ruc / Dni]:[Razon Social]],2,0),"")</f>
        <v>COVISUR S.A.</v>
      </c>
      <c r="Y148" s="25"/>
      <c r="Z148" s="103"/>
      <c r="AA148" s="3" t="str">
        <f>IF(C_Ope_001[[#This Row],[fecha]]&gt;0,TEXT(C_Ope_001[[#This Row],[fecha]],"mmmm"),0)</f>
        <v>Abril</v>
      </c>
      <c r="AB148" s="159"/>
    </row>
    <row r="149" spans="1:28" ht="24" x14ac:dyDescent="0.3">
      <c r="A149" s="2">
        <f>IF(C_Ope_001[[#This Row],[tipo_r]]="R",COUNTIFS($C$1:$C148,"R")+1,"")</f>
        <v>148</v>
      </c>
      <c r="B149" s="19" t="str">
        <f t="shared" si="15"/>
        <v>C_Ope_001</v>
      </c>
      <c r="C149" s="3" t="s">
        <v>1330</v>
      </c>
      <c r="D149" s="211">
        <v>45750</v>
      </c>
      <c r="E149" s="5" t="s">
        <v>7753</v>
      </c>
      <c r="F149" s="5" t="s">
        <v>1336</v>
      </c>
      <c r="G149" s="6" t="s">
        <v>978</v>
      </c>
      <c r="H149" s="6" t="s">
        <v>68</v>
      </c>
      <c r="I149" s="6" t="s">
        <v>6203</v>
      </c>
      <c r="J149" s="6">
        <v>2010115</v>
      </c>
      <c r="K149" s="7" t="s">
        <v>7833</v>
      </c>
      <c r="L149" s="8">
        <v>23733</v>
      </c>
      <c r="M149" s="8" t="str">
        <f t="shared" si="19"/>
        <v>PEN</v>
      </c>
      <c r="N149" s="13"/>
      <c r="O149" s="13">
        <v>8</v>
      </c>
      <c r="P149" s="3">
        <f t="shared" si="16"/>
        <v>0</v>
      </c>
      <c r="Q149" s="3">
        <f t="shared" si="17"/>
        <v>8</v>
      </c>
      <c r="R149" s="3">
        <f t="shared" si="18"/>
        <v>155.74</v>
      </c>
      <c r="S149" s="24" t="s">
        <v>1334</v>
      </c>
      <c r="T149" s="24" t="s">
        <v>1334</v>
      </c>
      <c r="U149" s="3"/>
      <c r="V149" s="25" t="s">
        <v>7756</v>
      </c>
      <c r="W149" s="25">
        <v>20517252558</v>
      </c>
      <c r="X149" s="25" t="str">
        <f>IFERROR(VLOOKUP(C_Ope_001[[#This Row],[nota_2]],Clientes_Proveedores[[Ruc / Dni]:[Razon Social]],2,0),"")</f>
        <v>COVISUR S.A.</v>
      </c>
      <c r="Y149" s="25"/>
      <c r="Z149" s="103"/>
      <c r="AA149" s="3" t="str">
        <f>IF(C_Ope_001[[#This Row],[fecha]]&gt;0,TEXT(C_Ope_001[[#This Row],[fecha]],"mmmm"),0)</f>
        <v>Abril</v>
      </c>
      <c r="AB149" s="159"/>
    </row>
    <row r="150" spans="1:28" ht="24" x14ac:dyDescent="0.3">
      <c r="A150" s="2">
        <f>IF(C_Ope_001[[#This Row],[tipo_r]]="R",COUNTIFS($C$1:$C149,"R")+1,"")</f>
        <v>149</v>
      </c>
      <c r="B150" s="19" t="str">
        <f t="shared" si="15"/>
        <v>C_Ope_001</v>
      </c>
      <c r="C150" s="3" t="s">
        <v>1330</v>
      </c>
      <c r="D150" s="211">
        <v>45751</v>
      </c>
      <c r="E150" s="5" t="s">
        <v>7753</v>
      </c>
      <c r="F150" s="5" t="s">
        <v>1336</v>
      </c>
      <c r="G150" s="6" t="s">
        <v>998</v>
      </c>
      <c r="H150" s="6" t="s">
        <v>68</v>
      </c>
      <c r="I150" s="6" t="s">
        <v>6378</v>
      </c>
      <c r="J150" s="6">
        <v>456</v>
      </c>
      <c r="K150" s="7" t="s">
        <v>7834</v>
      </c>
      <c r="L150" s="8">
        <v>23738</v>
      </c>
      <c r="M150" s="8" t="str">
        <f t="shared" si="19"/>
        <v>PEN</v>
      </c>
      <c r="N150" s="13"/>
      <c r="O150" s="13">
        <v>10</v>
      </c>
      <c r="P150" s="3">
        <f t="shared" si="16"/>
        <v>0</v>
      </c>
      <c r="Q150" s="3">
        <f t="shared" si="17"/>
        <v>10</v>
      </c>
      <c r="R150" s="3">
        <f t="shared" si="18"/>
        <v>145.74</v>
      </c>
      <c r="S150" s="24" t="s">
        <v>1334</v>
      </c>
      <c r="T150" s="24" t="s">
        <v>1334</v>
      </c>
      <c r="U150" s="3"/>
      <c r="V150" s="25" t="s">
        <v>7756</v>
      </c>
      <c r="W150" s="25">
        <v>20612112500</v>
      </c>
      <c r="X150" s="25" t="str">
        <f>IFERROR(VLOOKUP(C_Ope_001[[#This Row],[nota_2]],Clientes_Proveedores[[Ruc / Dni]:[Razon Social]],2,0),"")</f>
        <v>RECICLADORA LAS LOMAS E.I.R.L.</v>
      </c>
      <c r="Y150" s="25"/>
      <c r="Z150" s="103"/>
      <c r="AA150" s="3" t="str">
        <f>IF(C_Ope_001[[#This Row],[fecha]]&gt;0,TEXT(C_Ope_001[[#This Row],[fecha]],"mmmm"),0)</f>
        <v>Abril</v>
      </c>
      <c r="AB150" s="159"/>
    </row>
    <row r="151" spans="1:28" ht="36" x14ac:dyDescent="0.3">
      <c r="A151" s="2">
        <f>IF(C_Ope_001[[#This Row],[tipo_r]]="R",COUNTIFS($C$1:$C150,"R")+1,"")</f>
        <v>150</v>
      </c>
      <c r="B151" s="19" t="str">
        <f t="shared" si="15"/>
        <v>C_Ope_001</v>
      </c>
      <c r="C151" s="3" t="s">
        <v>1330</v>
      </c>
      <c r="D151" s="211">
        <v>45751</v>
      </c>
      <c r="E151" s="5" t="s">
        <v>7753</v>
      </c>
      <c r="F151" s="5" t="s">
        <v>1336</v>
      </c>
      <c r="G151" s="6" t="s">
        <v>227</v>
      </c>
      <c r="H151" s="6" t="s">
        <v>68</v>
      </c>
      <c r="I151" s="6" t="s">
        <v>1390</v>
      </c>
      <c r="J151" s="6">
        <v>130197</v>
      </c>
      <c r="K151" s="7" t="s">
        <v>7835</v>
      </c>
      <c r="L151" s="8">
        <v>23739</v>
      </c>
      <c r="M151" s="8" t="str">
        <f t="shared" si="19"/>
        <v>PEN</v>
      </c>
      <c r="N151" s="13"/>
      <c r="O151" s="13">
        <v>10</v>
      </c>
      <c r="P151" s="3">
        <f t="shared" si="16"/>
        <v>0</v>
      </c>
      <c r="Q151" s="3">
        <f t="shared" si="17"/>
        <v>10</v>
      </c>
      <c r="R151" s="3">
        <f t="shared" si="18"/>
        <v>135.74</v>
      </c>
      <c r="S151" s="24" t="s">
        <v>1334</v>
      </c>
      <c r="T151" s="24" t="s">
        <v>1334</v>
      </c>
      <c r="U151" s="3"/>
      <c r="V151" s="25" t="s">
        <v>7756</v>
      </c>
      <c r="W151" s="25">
        <v>20124952850</v>
      </c>
      <c r="X151" s="25" t="str">
        <f>IFERROR(VLOOKUP(C_Ope_001[[#This Row],[nota_2]],Clientes_Proveedores[[Ruc / Dni]:[Razon Social]],2,0),"")</f>
        <v>ALIMENTOS Y SERVICIOS AGROPECUARIOS SRL.</v>
      </c>
      <c r="Y151" s="25"/>
      <c r="Z151" s="103"/>
      <c r="AA151" s="3" t="str">
        <f>IF(C_Ope_001[[#This Row],[fecha]]&gt;0,TEXT(C_Ope_001[[#This Row],[fecha]],"mmmm"),0)</f>
        <v>Abril</v>
      </c>
      <c r="AB151" s="159"/>
    </row>
    <row r="152" spans="1:28" ht="24" x14ac:dyDescent="0.3">
      <c r="A152" s="2">
        <f>IF(C_Ope_001[[#This Row],[tipo_r]]="R",COUNTIFS($C$1:$C151,"R")+1,"")</f>
        <v>151</v>
      </c>
      <c r="B152" s="19" t="str">
        <f t="shared" si="15"/>
        <v>C_Ope_001</v>
      </c>
      <c r="C152" s="3" t="s">
        <v>1330</v>
      </c>
      <c r="D152" s="211">
        <v>45755</v>
      </c>
      <c r="E152" s="5" t="s">
        <v>7514</v>
      </c>
      <c r="F152" s="5" t="s">
        <v>1303</v>
      </c>
      <c r="G152" s="6" t="s">
        <v>812</v>
      </c>
      <c r="H152" s="6"/>
      <c r="I152" s="6"/>
      <c r="J152" s="6"/>
      <c r="K152" s="7" t="s">
        <v>7516</v>
      </c>
      <c r="L152" s="8">
        <v>23839</v>
      </c>
      <c r="M152" s="8" t="str">
        <f t="shared" si="19"/>
        <v>PEN</v>
      </c>
      <c r="N152" s="13"/>
      <c r="O152" s="13">
        <v>60</v>
      </c>
      <c r="P152" s="3">
        <f t="shared" si="16"/>
        <v>60</v>
      </c>
      <c r="Q152" s="3">
        <f t="shared" si="17"/>
        <v>0</v>
      </c>
      <c r="R152" s="3">
        <f t="shared" si="18"/>
        <v>195.74</v>
      </c>
      <c r="S152" s="24" t="s">
        <v>1334</v>
      </c>
      <c r="T152" s="24" t="s">
        <v>1334</v>
      </c>
      <c r="U152" s="3"/>
      <c r="V152" s="25"/>
      <c r="W152" s="25"/>
      <c r="X152" s="25" t="str">
        <f>IFERROR(VLOOKUP(C_Ope_001[[#This Row],[nota_2]],Clientes_Proveedores[[Ruc / Dni]:[Razon Social]],2,0),"")</f>
        <v/>
      </c>
      <c r="Y152" s="25"/>
      <c r="Z152" s="103"/>
      <c r="AA152" s="3" t="str">
        <f>IF(C_Ope_001[[#This Row],[fecha]]&gt;0,TEXT(C_Ope_001[[#This Row],[fecha]],"mmmm"),0)</f>
        <v>Abril</v>
      </c>
      <c r="AB152" s="159"/>
    </row>
    <row r="153" spans="1:28" ht="24" x14ac:dyDescent="0.3">
      <c r="A153" s="2">
        <f>IF(C_Ope_001[[#This Row],[tipo_r]]="R",COUNTIFS($C$1:$C152,"R")+1,"")</f>
        <v>152</v>
      </c>
      <c r="B153" s="19" t="str">
        <f t="shared" si="15"/>
        <v>C_Ope_001</v>
      </c>
      <c r="C153" s="3" t="s">
        <v>1330</v>
      </c>
      <c r="D153" s="211">
        <v>45754</v>
      </c>
      <c r="E153" s="5" t="s">
        <v>7753</v>
      </c>
      <c r="F153" s="5" t="s">
        <v>1336</v>
      </c>
      <c r="G153" s="6" t="s">
        <v>978</v>
      </c>
      <c r="H153" s="6" t="s">
        <v>68</v>
      </c>
      <c r="I153" s="6" t="s">
        <v>5688</v>
      </c>
      <c r="J153" s="6">
        <v>2291067</v>
      </c>
      <c r="K153" s="7" t="s">
        <v>7782</v>
      </c>
      <c r="L153" s="8">
        <v>23756</v>
      </c>
      <c r="M153" s="8" t="str">
        <f t="shared" si="19"/>
        <v>PEN</v>
      </c>
      <c r="N153" s="13"/>
      <c r="O153" s="13">
        <v>8</v>
      </c>
      <c r="P153" s="3">
        <f t="shared" si="16"/>
        <v>0</v>
      </c>
      <c r="Q153" s="3">
        <f t="shared" si="17"/>
        <v>8</v>
      </c>
      <c r="R153" s="3">
        <f t="shared" si="18"/>
        <v>187.74</v>
      </c>
      <c r="S153" s="24" t="s">
        <v>1334</v>
      </c>
      <c r="T153" s="24" t="s">
        <v>1334</v>
      </c>
      <c r="U153" s="3"/>
      <c r="V153" s="25" t="s">
        <v>7761</v>
      </c>
      <c r="W153" s="25">
        <v>20517252558</v>
      </c>
      <c r="X153" s="25" t="str">
        <f>IFERROR(VLOOKUP(C_Ope_001[[#This Row],[nota_2]],Clientes_Proveedores[[Ruc / Dni]:[Razon Social]],2,0),"")</f>
        <v>COVISUR S.A.</v>
      </c>
      <c r="Y153" s="25"/>
      <c r="Z153" s="103"/>
      <c r="AA153" s="3" t="str">
        <f>IF(C_Ope_001[[#This Row],[fecha]]&gt;0,TEXT(C_Ope_001[[#This Row],[fecha]],"mmmm"),0)</f>
        <v>Abril</v>
      </c>
      <c r="AB153" s="159"/>
    </row>
    <row r="154" spans="1:28" ht="24" x14ac:dyDescent="0.3">
      <c r="A154" s="2">
        <f>IF(C_Ope_001[[#This Row],[tipo_r]]="R",COUNTIFS($C$1:$C153,"R")+1,"")</f>
        <v>153</v>
      </c>
      <c r="B154" s="19" t="str">
        <f t="shared" si="15"/>
        <v>C_Ope_001</v>
      </c>
      <c r="C154" s="3" t="s">
        <v>1330</v>
      </c>
      <c r="D154" s="211">
        <v>45754</v>
      </c>
      <c r="E154" s="5" t="s">
        <v>7753</v>
      </c>
      <c r="F154" s="5" t="s">
        <v>1336</v>
      </c>
      <c r="G154" s="6" t="s">
        <v>978</v>
      </c>
      <c r="H154" s="6" t="s">
        <v>68</v>
      </c>
      <c r="I154" s="6" t="s">
        <v>5845</v>
      </c>
      <c r="J154" s="6">
        <v>1719454</v>
      </c>
      <c r="K154" s="7" t="s">
        <v>7782</v>
      </c>
      <c r="L154" s="8">
        <v>23757</v>
      </c>
      <c r="M154" s="8" t="str">
        <f t="shared" si="19"/>
        <v>PEN</v>
      </c>
      <c r="N154" s="13"/>
      <c r="O154" s="13">
        <v>8</v>
      </c>
      <c r="P154" s="3">
        <f t="shared" si="16"/>
        <v>0</v>
      </c>
      <c r="Q154" s="3">
        <f t="shared" si="17"/>
        <v>8</v>
      </c>
      <c r="R154" s="3">
        <f t="shared" si="18"/>
        <v>179.74</v>
      </c>
      <c r="S154" s="24" t="s">
        <v>1334</v>
      </c>
      <c r="T154" s="24" t="s">
        <v>1334</v>
      </c>
      <c r="U154" s="3"/>
      <c r="V154" s="25" t="s">
        <v>7761</v>
      </c>
      <c r="W154" s="25">
        <v>20517252558</v>
      </c>
      <c r="X154" s="25" t="str">
        <f>IFERROR(VLOOKUP(C_Ope_001[[#This Row],[nota_2]],Clientes_Proveedores[[Ruc / Dni]:[Razon Social]],2,0),"")</f>
        <v>COVISUR S.A.</v>
      </c>
      <c r="Y154" s="25"/>
      <c r="Z154" s="103"/>
      <c r="AA154" s="3" t="str">
        <f>IF(C_Ope_001[[#This Row],[fecha]]&gt;0,TEXT(C_Ope_001[[#This Row],[fecha]],"mmmm"),0)</f>
        <v>Abril</v>
      </c>
      <c r="AB154" s="159"/>
    </row>
    <row r="155" spans="1:28" ht="24" x14ac:dyDescent="0.3">
      <c r="A155" s="2">
        <f>IF(C_Ope_001[[#This Row],[tipo_r]]="R",COUNTIFS($C$1:$C154,"R")+1,"")</f>
        <v>154</v>
      </c>
      <c r="B155" s="19" t="str">
        <f t="shared" si="15"/>
        <v>C_Ope_001</v>
      </c>
      <c r="C155" s="3" t="s">
        <v>1330</v>
      </c>
      <c r="D155" s="211">
        <v>45755</v>
      </c>
      <c r="E155" s="5" t="s">
        <v>7753</v>
      </c>
      <c r="F155" s="5" t="s">
        <v>1336</v>
      </c>
      <c r="G155" s="6"/>
      <c r="H155" s="6" t="s">
        <v>68</v>
      </c>
      <c r="I155" s="6" t="s">
        <v>6204</v>
      </c>
      <c r="J155" s="6">
        <v>1700342</v>
      </c>
      <c r="K155" s="7" t="s">
        <v>7836</v>
      </c>
      <c r="L155" s="8">
        <v>23772</v>
      </c>
      <c r="M155" s="8" t="str">
        <f t="shared" si="19"/>
        <v>PEN</v>
      </c>
      <c r="N155" s="13"/>
      <c r="O155" s="13">
        <v>0</v>
      </c>
      <c r="P155" s="3">
        <f t="shared" si="16"/>
        <v>0</v>
      </c>
      <c r="Q155" s="3">
        <f t="shared" si="17"/>
        <v>0</v>
      </c>
      <c r="R155" s="3">
        <f t="shared" si="18"/>
        <v>179.74</v>
      </c>
      <c r="S155" s="24"/>
      <c r="T155" s="24" t="s">
        <v>1334</v>
      </c>
      <c r="U155" s="3"/>
      <c r="V155" s="25" t="s">
        <v>7756</v>
      </c>
      <c r="W155" s="25"/>
      <c r="X155" s="25" t="str">
        <f>IFERROR(VLOOKUP(C_Ope_001[[#This Row],[nota_2]],Clientes_Proveedores[[Ruc / Dni]:[Razon Social]],2,0),"")</f>
        <v/>
      </c>
      <c r="Y155" s="25"/>
      <c r="Z155" s="103"/>
      <c r="AA155" s="3" t="str">
        <f>IF(C_Ope_001[[#This Row],[fecha]]&gt;0,TEXT(C_Ope_001[[#This Row],[fecha]],"mmmm"),0)</f>
        <v>Abril</v>
      </c>
      <c r="AB155" s="159"/>
    </row>
    <row r="156" spans="1:28" ht="24" x14ac:dyDescent="0.3">
      <c r="A156" s="2">
        <f>IF(C_Ope_001[[#This Row],[tipo_r]]="R",COUNTIFS($C$1:$C155,"R")+1,"")</f>
        <v>155</v>
      </c>
      <c r="B156" s="19" t="str">
        <f t="shared" si="15"/>
        <v>C_Ope_001</v>
      </c>
      <c r="C156" s="3" t="s">
        <v>1330</v>
      </c>
      <c r="D156" s="211">
        <v>45755</v>
      </c>
      <c r="E156" s="5" t="s">
        <v>7753</v>
      </c>
      <c r="F156" s="5" t="s">
        <v>1336</v>
      </c>
      <c r="G156" s="6"/>
      <c r="H156" s="6" t="s">
        <v>68</v>
      </c>
      <c r="I156" s="6" t="s">
        <v>5845</v>
      </c>
      <c r="J156" s="6">
        <v>1720044</v>
      </c>
      <c r="K156" s="7" t="s">
        <v>7836</v>
      </c>
      <c r="L156" s="8">
        <v>23773</v>
      </c>
      <c r="M156" s="8" t="str">
        <f t="shared" si="19"/>
        <v>PEN</v>
      </c>
      <c r="N156" s="13"/>
      <c r="O156" s="13">
        <v>0</v>
      </c>
      <c r="P156" s="3">
        <f t="shared" si="16"/>
        <v>0</v>
      </c>
      <c r="Q156" s="3">
        <f t="shared" si="17"/>
        <v>0</v>
      </c>
      <c r="R156" s="3">
        <f t="shared" si="18"/>
        <v>179.74</v>
      </c>
      <c r="S156" s="24"/>
      <c r="T156" s="24" t="s">
        <v>1334</v>
      </c>
      <c r="U156" s="3"/>
      <c r="V156" s="25" t="s">
        <v>7756</v>
      </c>
      <c r="W156" s="25"/>
      <c r="X156" s="25" t="str">
        <f>IFERROR(VLOOKUP(C_Ope_001[[#This Row],[nota_2]],Clientes_Proveedores[[Ruc / Dni]:[Razon Social]],2,0),"")</f>
        <v/>
      </c>
      <c r="Y156" s="25"/>
      <c r="Z156" s="103"/>
      <c r="AA156" s="3" t="str">
        <f>IF(C_Ope_001[[#This Row],[fecha]]&gt;0,TEXT(C_Ope_001[[#This Row],[fecha]],"mmmm"),0)</f>
        <v>Abril</v>
      </c>
      <c r="AB156" s="159"/>
    </row>
    <row r="157" spans="1:28" x14ac:dyDescent="0.3">
      <c r="A157" s="2">
        <f>IF(C_Ope_001[[#This Row],[tipo_r]]="R",COUNTIFS($C$1:$C156,"R")+1,"")</f>
        <v>156</v>
      </c>
      <c r="B157" s="19" t="str">
        <f t="shared" si="15"/>
        <v>C_Ope_001</v>
      </c>
      <c r="C157" s="3" t="s">
        <v>1330</v>
      </c>
      <c r="D157" s="211">
        <v>45756</v>
      </c>
      <c r="E157" s="5" t="s">
        <v>7753</v>
      </c>
      <c r="F157" s="5" t="s">
        <v>1336</v>
      </c>
      <c r="G157" s="6" t="s">
        <v>978</v>
      </c>
      <c r="H157" s="6" t="s">
        <v>68</v>
      </c>
      <c r="I157" s="6" t="s">
        <v>5845</v>
      </c>
      <c r="J157" s="6">
        <v>1721101</v>
      </c>
      <c r="K157" s="7" t="s">
        <v>7837</v>
      </c>
      <c r="L157" s="8">
        <v>23789</v>
      </c>
      <c r="M157" s="8" t="str">
        <f t="shared" si="19"/>
        <v>PEN</v>
      </c>
      <c r="N157" s="13"/>
      <c r="O157" s="13">
        <v>8</v>
      </c>
      <c r="P157" s="3">
        <f t="shared" si="16"/>
        <v>0</v>
      </c>
      <c r="Q157" s="3">
        <f t="shared" si="17"/>
        <v>8</v>
      </c>
      <c r="R157" s="3">
        <f t="shared" si="18"/>
        <v>171.74</v>
      </c>
      <c r="S157" s="24" t="s">
        <v>1334</v>
      </c>
      <c r="T157" s="24" t="s">
        <v>1334</v>
      </c>
      <c r="U157" s="3"/>
      <c r="V157" s="25" t="s">
        <v>7761</v>
      </c>
      <c r="W157" s="25">
        <v>20517252558</v>
      </c>
      <c r="X157" s="25" t="str">
        <f>IFERROR(VLOOKUP(C_Ope_001[[#This Row],[nota_2]],Clientes_Proveedores[[Ruc / Dni]:[Razon Social]],2,0),"")</f>
        <v>COVISUR S.A.</v>
      </c>
      <c r="Y157" s="25"/>
      <c r="Z157" s="103"/>
      <c r="AA157" s="3" t="str">
        <f>IF(C_Ope_001[[#This Row],[fecha]]&gt;0,TEXT(C_Ope_001[[#This Row],[fecha]],"mmmm"),0)</f>
        <v>Abril</v>
      </c>
      <c r="AB157" s="159"/>
    </row>
    <row r="158" spans="1:28" ht="24" x14ac:dyDescent="0.3">
      <c r="A158" s="2">
        <f>IF(C_Ope_001[[#This Row],[tipo_r]]="R",COUNTIFS($C$1:$C157,"R")+1,"")</f>
        <v>157</v>
      </c>
      <c r="B158" s="19" t="str">
        <f t="shared" si="15"/>
        <v>C_Ope_001</v>
      </c>
      <c r="C158" s="3" t="s">
        <v>1330</v>
      </c>
      <c r="D158" s="211">
        <v>45757</v>
      </c>
      <c r="E158" s="5" t="s">
        <v>7753</v>
      </c>
      <c r="F158" s="5" t="s">
        <v>1336</v>
      </c>
      <c r="G158" s="6" t="s">
        <v>978</v>
      </c>
      <c r="H158" s="6" t="s">
        <v>68</v>
      </c>
      <c r="I158" s="6" t="s">
        <v>6204</v>
      </c>
      <c r="J158" s="6">
        <v>1702265</v>
      </c>
      <c r="K158" s="7" t="s">
        <v>7838</v>
      </c>
      <c r="L158" s="8">
        <v>23809</v>
      </c>
      <c r="M158" s="8" t="str">
        <f t="shared" si="19"/>
        <v>PEN</v>
      </c>
      <c r="N158" s="13"/>
      <c r="O158" s="13">
        <v>8</v>
      </c>
      <c r="P158" s="3">
        <f t="shared" si="16"/>
        <v>0</v>
      </c>
      <c r="Q158" s="3">
        <f t="shared" si="17"/>
        <v>8</v>
      </c>
      <c r="R158" s="3">
        <f t="shared" si="18"/>
        <v>163.74</v>
      </c>
      <c r="S158" s="24" t="s">
        <v>1334</v>
      </c>
      <c r="T158" s="24" t="s">
        <v>1334</v>
      </c>
      <c r="U158" s="3"/>
      <c r="V158" s="25" t="s">
        <v>7756</v>
      </c>
      <c r="W158" s="25">
        <v>20517252558</v>
      </c>
      <c r="X158" s="25" t="str">
        <f>IFERROR(VLOOKUP(C_Ope_001[[#This Row],[nota_2]],Clientes_Proveedores[[Ruc / Dni]:[Razon Social]],2,0),"")</f>
        <v>COVISUR S.A.</v>
      </c>
      <c r="Y158" s="25"/>
      <c r="Z158" s="103"/>
      <c r="AA158" s="3" t="str">
        <f>IF(C_Ope_001[[#This Row],[fecha]]&gt;0,TEXT(C_Ope_001[[#This Row],[fecha]],"mmmm"),0)</f>
        <v>Abril</v>
      </c>
      <c r="AB158" s="159"/>
    </row>
    <row r="159" spans="1:28" ht="36" x14ac:dyDescent="0.3">
      <c r="A159" s="2">
        <f>IF(C_Ope_001[[#This Row],[tipo_r]]="R",COUNTIFS($C$1:$C158,"R")+1,"")</f>
        <v>158</v>
      </c>
      <c r="B159" s="19" t="str">
        <f t="shared" si="15"/>
        <v>C_Ope_001</v>
      </c>
      <c r="C159" s="3" t="s">
        <v>1330</v>
      </c>
      <c r="D159" s="211">
        <v>45754</v>
      </c>
      <c r="E159" s="5" t="s">
        <v>7753</v>
      </c>
      <c r="F159" s="5" t="s">
        <v>1336</v>
      </c>
      <c r="G159" s="6" t="s">
        <v>682</v>
      </c>
      <c r="H159" s="6" t="s">
        <v>68</v>
      </c>
      <c r="I159" s="6" t="s">
        <v>1343</v>
      </c>
      <c r="J159" s="6">
        <v>34281</v>
      </c>
      <c r="K159" s="7" t="s">
        <v>7839</v>
      </c>
      <c r="L159" s="8">
        <v>23753</v>
      </c>
      <c r="M159" s="8" t="str">
        <f t="shared" si="19"/>
        <v>PEN</v>
      </c>
      <c r="N159" s="13"/>
      <c r="O159" s="13">
        <v>10</v>
      </c>
      <c r="P159" s="3">
        <f t="shared" si="16"/>
        <v>0</v>
      </c>
      <c r="Q159" s="3">
        <f t="shared" si="17"/>
        <v>10</v>
      </c>
      <c r="R159" s="3">
        <f t="shared" si="18"/>
        <v>153.74</v>
      </c>
      <c r="S159" s="24" t="s">
        <v>1334</v>
      </c>
      <c r="T159" s="24" t="s">
        <v>1334</v>
      </c>
      <c r="U159" s="3"/>
      <c r="V159" s="25" t="s">
        <v>7761</v>
      </c>
      <c r="W159" s="25">
        <v>20259858934</v>
      </c>
      <c r="X159" s="25" t="str">
        <f>IFERROR(VLOOKUP(C_Ope_001[[#This Row],[nota_2]],Clientes_Proveedores[[Ruc / Dni]:[Razon Social]],2,0),"")</f>
        <v>COMERCIALIZACION Y SERVICIOS EL EDEN S.A.C.</v>
      </c>
      <c r="Y159" s="25"/>
      <c r="Z159" s="103"/>
      <c r="AA159" s="3" t="str">
        <f>IF(C_Ope_001[[#This Row],[fecha]]&gt;0,TEXT(C_Ope_001[[#This Row],[fecha]],"mmmm"),0)</f>
        <v>Abril</v>
      </c>
      <c r="AB159" s="159"/>
    </row>
    <row r="160" spans="1:28" ht="36" x14ac:dyDescent="0.3">
      <c r="A160" s="2">
        <f>IF(C_Ope_001[[#This Row],[tipo_r]]="R",COUNTIFS($C$1:$C159,"R")+1,"")</f>
        <v>159</v>
      </c>
      <c r="B160" s="19" t="str">
        <f t="shared" si="15"/>
        <v>C_Ope_001</v>
      </c>
      <c r="C160" s="3" t="s">
        <v>1330</v>
      </c>
      <c r="D160" s="211">
        <v>45756</v>
      </c>
      <c r="E160" s="5" t="s">
        <v>7753</v>
      </c>
      <c r="F160" s="5" t="s">
        <v>1336</v>
      </c>
      <c r="G160" s="6" t="s">
        <v>682</v>
      </c>
      <c r="H160" s="6" t="s">
        <v>68</v>
      </c>
      <c r="I160" s="6" t="s">
        <v>1343</v>
      </c>
      <c r="J160" s="6">
        <v>34306</v>
      </c>
      <c r="K160" s="7" t="s">
        <v>7840</v>
      </c>
      <c r="L160" s="8">
        <v>23790</v>
      </c>
      <c r="M160" s="8" t="str">
        <f t="shared" si="19"/>
        <v>PEN</v>
      </c>
      <c r="N160" s="13"/>
      <c r="O160" s="13">
        <v>10</v>
      </c>
      <c r="P160" s="3">
        <f t="shared" si="16"/>
        <v>0</v>
      </c>
      <c r="Q160" s="3">
        <f t="shared" si="17"/>
        <v>10</v>
      </c>
      <c r="R160" s="3">
        <f t="shared" si="18"/>
        <v>143.74</v>
      </c>
      <c r="S160" s="24" t="s">
        <v>1334</v>
      </c>
      <c r="T160" s="24" t="s">
        <v>1334</v>
      </c>
      <c r="U160" s="3"/>
      <c r="V160" s="25" t="s">
        <v>7761</v>
      </c>
      <c r="W160" s="25">
        <v>20259858934</v>
      </c>
      <c r="X160" s="25" t="str">
        <f>IFERROR(VLOOKUP(C_Ope_001[[#This Row],[nota_2]],Clientes_Proveedores[[Ruc / Dni]:[Razon Social]],2,0),"")</f>
        <v>COMERCIALIZACION Y SERVICIOS EL EDEN S.A.C.</v>
      </c>
      <c r="Y160" s="25"/>
      <c r="Z160" s="103"/>
      <c r="AA160" s="3" t="str">
        <f>IF(C_Ope_001[[#This Row],[fecha]]&gt;0,TEXT(C_Ope_001[[#This Row],[fecha]],"mmmm"),0)</f>
        <v>Abril</v>
      </c>
      <c r="AB160" s="159"/>
    </row>
    <row r="161" spans="1:28" ht="36" x14ac:dyDescent="0.3">
      <c r="A161" s="2">
        <f>IF(C_Ope_001[[#This Row],[tipo_r]]="R",COUNTIFS($C$1:$C160,"R")+1,"")</f>
        <v>160</v>
      </c>
      <c r="B161" s="19" t="str">
        <f t="shared" si="15"/>
        <v>C_Ope_001</v>
      </c>
      <c r="C161" s="3" t="s">
        <v>1330</v>
      </c>
      <c r="D161" s="211">
        <v>45758</v>
      </c>
      <c r="E161" s="5" t="s">
        <v>7753</v>
      </c>
      <c r="F161" s="5" t="s">
        <v>1336</v>
      </c>
      <c r="G161" s="6" t="s">
        <v>682</v>
      </c>
      <c r="H161" s="6" t="s">
        <v>68</v>
      </c>
      <c r="I161" s="6" t="s">
        <v>1343</v>
      </c>
      <c r="J161" s="6">
        <v>34330</v>
      </c>
      <c r="K161" s="7" t="s">
        <v>7840</v>
      </c>
      <c r="L161" s="8">
        <v>23825</v>
      </c>
      <c r="M161" s="8" t="str">
        <f t="shared" si="19"/>
        <v>PEN</v>
      </c>
      <c r="N161" s="13"/>
      <c r="O161" s="13">
        <v>10</v>
      </c>
      <c r="P161" s="3">
        <f t="shared" si="16"/>
        <v>0</v>
      </c>
      <c r="Q161" s="3">
        <f t="shared" si="17"/>
        <v>10</v>
      </c>
      <c r="R161" s="3">
        <f t="shared" si="18"/>
        <v>133.74</v>
      </c>
      <c r="S161" s="24" t="s">
        <v>1334</v>
      </c>
      <c r="T161" s="24" t="s">
        <v>1334</v>
      </c>
      <c r="U161" s="3"/>
      <c r="V161" s="25" t="s">
        <v>7754</v>
      </c>
      <c r="W161" s="25">
        <v>20259858934</v>
      </c>
      <c r="X161" s="25" t="str">
        <f>IFERROR(VLOOKUP(C_Ope_001[[#This Row],[nota_2]],Clientes_Proveedores[[Ruc / Dni]:[Razon Social]],2,0),"")</f>
        <v>COMERCIALIZACION Y SERVICIOS EL EDEN S.A.C.</v>
      </c>
      <c r="Y161" s="25"/>
      <c r="Z161" s="103"/>
      <c r="AA161" s="3" t="str">
        <f>IF(C_Ope_001[[#This Row],[fecha]]&gt;0,TEXT(C_Ope_001[[#This Row],[fecha]],"mmmm"),0)</f>
        <v>Abril</v>
      </c>
      <c r="AB161" s="159"/>
    </row>
    <row r="162" spans="1:28" ht="24" x14ac:dyDescent="0.3">
      <c r="A162" s="2">
        <f>IF(C_Ope_001[[#This Row],[tipo_r]]="R",COUNTIFS($C$1:$C161,"R")+1,"")</f>
        <v>161</v>
      </c>
      <c r="B162" s="19" t="str">
        <f t="shared" si="15"/>
        <v>C_Ope_001</v>
      </c>
      <c r="C162" s="3" t="s">
        <v>1330</v>
      </c>
      <c r="D162" s="211">
        <v>45761</v>
      </c>
      <c r="E162" s="5" t="s">
        <v>7514</v>
      </c>
      <c r="F162" s="5" t="s">
        <v>1303</v>
      </c>
      <c r="G162" s="6" t="s">
        <v>812</v>
      </c>
      <c r="H162" s="6"/>
      <c r="I162" s="6"/>
      <c r="J162" s="6"/>
      <c r="K162" s="7" t="s">
        <v>7516</v>
      </c>
      <c r="L162" s="8">
        <v>23862</v>
      </c>
      <c r="M162" s="8" t="str">
        <f t="shared" si="19"/>
        <v>PEN</v>
      </c>
      <c r="N162" s="13"/>
      <c r="O162" s="13">
        <v>90</v>
      </c>
      <c r="P162" s="3">
        <f t="shared" si="16"/>
        <v>90</v>
      </c>
      <c r="Q162" s="3">
        <f t="shared" si="17"/>
        <v>0</v>
      </c>
      <c r="R162" s="3">
        <f t="shared" si="18"/>
        <v>223.74</v>
      </c>
      <c r="S162" s="24" t="s">
        <v>1334</v>
      </c>
      <c r="T162" s="24" t="s">
        <v>1334</v>
      </c>
      <c r="U162" s="3"/>
      <c r="V162" s="25"/>
      <c r="W162" s="25"/>
      <c r="X162" s="25" t="str">
        <f>IFERROR(VLOOKUP(C_Ope_001[[#This Row],[nota_2]],Clientes_Proveedores[[Ruc / Dni]:[Razon Social]],2,0),"")</f>
        <v/>
      </c>
      <c r="Y162" s="25"/>
      <c r="Z162" s="103"/>
      <c r="AA162" s="3" t="str">
        <f>IF(C_Ope_001[[#This Row],[fecha]]&gt;0,TEXT(C_Ope_001[[#This Row],[fecha]],"mmmm"),0)</f>
        <v>Abril</v>
      </c>
      <c r="AB162" s="159"/>
    </row>
    <row r="163" spans="1:28" ht="24" x14ac:dyDescent="0.3">
      <c r="A163" s="2">
        <f>IF(C_Ope_001[[#This Row],[tipo_r]]="R",COUNTIFS($C$1:$C162,"R")+1,"")</f>
        <v>162</v>
      </c>
      <c r="B163" s="19" t="str">
        <f t="shared" si="15"/>
        <v>C_Ope_001</v>
      </c>
      <c r="C163" s="3" t="s">
        <v>1330</v>
      </c>
      <c r="D163" s="211">
        <v>45761</v>
      </c>
      <c r="E163" s="5" t="s">
        <v>7753</v>
      </c>
      <c r="F163" s="5" t="s">
        <v>1336</v>
      </c>
      <c r="G163" s="6" t="s">
        <v>978</v>
      </c>
      <c r="H163" s="6" t="s">
        <v>68</v>
      </c>
      <c r="I163" s="6" t="s">
        <v>6204</v>
      </c>
      <c r="J163" s="6">
        <v>1705597</v>
      </c>
      <c r="K163" s="7" t="s">
        <v>7782</v>
      </c>
      <c r="L163" s="8">
        <v>23845</v>
      </c>
      <c r="M163" s="8" t="str">
        <f t="shared" si="19"/>
        <v>PEN</v>
      </c>
      <c r="N163" s="13"/>
      <c r="O163" s="13">
        <v>8</v>
      </c>
      <c r="P163" s="3">
        <f t="shared" si="16"/>
        <v>0</v>
      </c>
      <c r="Q163" s="3">
        <f t="shared" si="17"/>
        <v>8</v>
      </c>
      <c r="R163" s="3">
        <f t="shared" si="18"/>
        <v>215.74</v>
      </c>
      <c r="S163" s="24" t="s">
        <v>1334</v>
      </c>
      <c r="T163" s="24" t="s">
        <v>1334</v>
      </c>
      <c r="U163" s="3"/>
      <c r="V163" s="25" t="s">
        <v>7756</v>
      </c>
      <c r="W163" s="25">
        <v>20517252558</v>
      </c>
      <c r="X163" s="25" t="str">
        <f>IFERROR(VLOOKUP(C_Ope_001[[#This Row],[nota_2]],Clientes_Proveedores[[Ruc / Dni]:[Razon Social]],2,0),"")</f>
        <v>COVISUR S.A.</v>
      </c>
      <c r="Y163" s="25"/>
      <c r="Z163" s="103"/>
      <c r="AA163" s="3" t="str">
        <f>IF(C_Ope_001[[#This Row],[fecha]]&gt;0,TEXT(C_Ope_001[[#This Row],[fecha]],"mmmm"),0)</f>
        <v>Abril</v>
      </c>
      <c r="AB163" s="159"/>
    </row>
    <row r="164" spans="1:28" x14ac:dyDescent="0.3">
      <c r="A164" s="2">
        <f>IF(C_Ope_001[[#This Row],[tipo_r]]="R",COUNTIFS($C$1:$C163,"R")+1,"")</f>
        <v>163</v>
      </c>
      <c r="B164" s="19" t="str">
        <f t="shared" si="15"/>
        <v>C_Ope_001</v>
      </c>
      <c r="C164" s="3" t="s">
        <v>1330</v>
      </c>
      <c r="D164" s="211">
        <v>45761</v>
      </c>
      <c r="E164" s="5" t="s">
        <v>7753</v>
      </c>
      <c r="F164" s="5" t="s">
        <v>1336</v>
      </c>
      <c r="G164" s="6" t="s">
        <v>978</v>
      </c>
      <c r="H164" s="6" t="s">
        <v>68</v>
      </c>
      <c r="I164" s="6" t="s">
        <v>6379</v>
      </c>
      <c r="J164" s="6">
        <v>466091</v>
      </c>
      <c r="K164" s="7" t="s">
        <v>7841</v>
      </c>
      <c r="L164" s="8">
        <v>23846</v>
      </c>
      <c r="M164" s="8" t="str">
        <f t="shared" si="19"/>
        <v>PEN</v>
      </c>
      <c r="N164" s="13"/>
      <c r="O164" s="13">
        <v>8</v>
      </c>
      <c r="P164" s="3">
        <f t="shared" si="16"/>
        <v>0</v>
      </c>
      <c r="Q164" s="3">
        <f t="shared" si="17"/>
        <v>8</v>
      </c>
      <c r="R164" s="3">
        <f t="shared" si="18"/>
        <v>207.74</v>
      </c>
      <c r="S164" s="24" t="s">
        <v>1334</v>
      </c>
      <c r="T164" s="24" t="s">
        <v>1334</v>
      </c>
      <c r="U164" s="3"/>
      <c r="V164" s="25" t="s">
        <v>7842</v>
      </c>
      <c r="W164" s="25">
        <v>20517252558</v>
      </c>
      <c r="X164" s="25" t="str">
        <f>IFERROR(VLOOKUP(C_Ope_001[[#This Row],[nota_2]],Clientes_Proveedores[[Ruc / Dni]:[Razon Social]],2,0),"")</f>
        <v>COVISUR S.A.</v>
      </c>
      <c r="Y164" s="25"/>
      <c r="Z164" s="103"/>
      <c r="AA164" s="3" t="str">
        <f>IF(C_Ope_001[[#This Row],[fecha]]&gt;0,TEXT(C_Ope_001[[#This Row],[fecha]],"mmmm"),0)</f>
        <v>Abril</v>
      </c>
      <c r="AB164" s="159"/>
    </row>
    <row r="165" spans="1:28" x14ac:dyDescent="0.3">
      <c r="A165" s="2">
        <f>IF(C_Ope_001[[#This Row],[tipo_r]]="R",COUNTIFS($C$1:$C164,"R")+1,"")</f>
        <v>164</v>
      </c>
      <c r="B165" s="19" t="str">
        <f t="shared" si="15"/>
        <v>C_Ope_001</v>
      </c>
      <c r="C165" s="3" t="s">
        <v>1330</v>
      </c>
      <c r="D165" s="211">
        <v>45761</v>
      </c>
      <c r="E165" s="5" t="s">
        <v>7753</v>
      </c>
      <c r="F165" s="5" t="s">
        <v>1336</v>
      </c>
      <c r="G165" s="6" t="s">
        <v>978</v>
      </c>
      <c r="H165" s="6" t="s">
        <v>68</v>
      </c>
      <c r="I165" s="6" t="s">
        <v>6244</v>
      </c>
      <c r="J165" s="6">
        <v>1038051</v>
      </c>
      <c r="K165" s="7" t="s">
        <v>7841</v>
      </c>
      <c r="L165" s="8">
        <v>23863</v>
      </c>
      <c r="M165" s="8" t="str">
        <f t="shared" si="19"/>
        <v>PEN</v>
      </c>
      <c r="N165" s="13"/>
      <c r="O165" s="13">
        <v>8</v>
      </c>
      <c r="P165" s="3">
        <f t="shared" si="16"/>
        <v>0</v>
      </c>
      <c r="Q165" s="3">
        <f t="shared" si="17"/>
        <v>8</v>
      </c>
      <c r="R165" s="3">
        <f t="shared" si="18"/>
        <v>199.74</v>
      </c>
      <c r="S165" s="24" t="s">
        <v>1334</v>
      </c>
      <c r="T165" s="24" t="s">
        <v>1334</v>
      </c>
      <c r="U165" s="3"/>
      <c r="V165" s="25" t="s">
        <v>7842</v>
      </c>
      <c r="W165" s="25">
        <v>20517252558</v>
      </c>
      <c r="X165" s="25" t="str">
        <f>IFERROR(VLOOKUP(C_Ope_001[[#This Row],[nota_2]],Clientes_Proveedores[[Ruc / Dni]:[Razon Social]],2,0),"")</f>
        <v>COVISUR S.A.</v>
      </c>
      <c r="Y165" s="25"/>
      <c r="Z165" s="103"/>
      <c r="AA165" s="3" t="str">
        <f>IF(C_Ope_001[[#This Row],[fecha]]&gt;0,TEXT(C_Ope_001[[#This Row],[fecha]],"mmmm"),0)</f>
        <v>Abril</v>
      </c>
      <c r="AB165" s="159"/>
    </row>
    <row r="166" spans="1:28" ht="24" x14ac:dyDescent="0.3">
      <c r="A166" s="2">
        <f>IF(C_Ope_001[[#This Row],[tipo_r]]="R",COUNTIFS($C$1:$C165,"R")+1,"")</f>
        <v>165</v>
      </c>
      <c r="B166" s="19" t="str">
        <f t="shared" si="15"/>
        <v>C_Ope_001</v>
      </c>
      <c r="C166" s="3" t="s">
        <v>1330</v>
      </c>
      <c r="D166" s="211">
        <v>45762</v>
      </c>
      <c r="E166" s="5" t="s">
        <v>7753</v>
      </c>
      <c r="F166" s="5" t="s">
        <v>1336</v>
      </c>
      <c r="G166" s="6" t="s">
        <v>978</v>
      </c>
      <c r="H166" s="6" t="s">
        <v>68</v>
      </c>
      <c r="I166" s="6" t="s">
        <v>5845</v>
      </c>
      <c r="J166" s="6">
        <v>1726240</v>
      </c>
      <c r="K166" s="7" t="s">
        <v>7843</v>
      </c>
      <c r="L166" s="8">
        <v>23869</v>
      </c>
      <c r="M166" s="8" t="str">
        <f t="shared" si="19"/>
        <v>PEN</v>
      </c>
      <c r="N166" s="13">
        <v>-3</v>
      </c>
      <c r="O166" s="13">
        <v>8</v>
      </c>
      <c r="P166" s="3">
        <f t="shared" si="16"/>
        <v>0</v>
      </c>
      <c r="Q166" s="3">
        <f t="shared" si="17"/>
        <v>8</v>
      </c>
      <c r="R166" s="3">
        <f t="shared" si="18"/>
        <v>191.74</v>
      </c>
      <c r="S166" s="24" t="s">
        <v>1334</v>
      </c>
      <c r="T166" s="24" t="s">
        <v>1334</v>
      </c>
      <c r="U166" s="3"/>
      <c r="V166" s="25" t="s">
        <v>7756</v>
      </c>
      <c r="W166" s="25">
        <v>20517252558</v>
      </c>
      <c r="X166" s="25" t="str">
        <f>IFERROR(VLOOKUP(C_Ope_001[[#This Row],[nota_2]],Clientes_Proveedores[[Ruc / Dni]:[Razon Social]],2,0),"")</f>
        <v>COVISUR S.A.</v>
      </c>
      <c r="Y166" s="25"/>
      <c r="Z166" s="103"/>
      <c r="AA166" s="3" t="str">
        <f>IF(C_Ope_001[[#This Row],[fecha]]&gt;0,TEXT(C_Ope_001[[#This Row],[fecha]],"mmmm"),0)</f>
        <v>Abril</v>
      </c>
      <c r="AB166" s="159"/>
    </row>
    <row r="167" spans="1:28" ht="24" x14ac:dyDescent="0.3">
      <c r="A167" s="2">
        <f>IF(C_Ope_001[[#This Row],[tipo_r]]="R",COUNTIFS($C$1:$C166,"R")+1,"")</f>
        <v>166</v>
      </c>
      <c r="B167" s="19" t="str">
        <f t="shared" si="15"/>
        <v>C_Ope_001</v>
      </c>
      <c r="C167" s="3" t="s">
        <v>1330</v>
      </c>
      <c r="D167" s="211">
        <v>45762</v>
      </c>
      <c r="E167" s="5" t="s">
        <v>7753</v>
      </c>
      <c r="F167" s="5" t="s">
        <v>1336</v>
      </c>
      <c r="G167" s="6" t="s">
        <v>978</v>
      </c>
      <c r="H167" s="6" t="s">
        <v>68</v>
      </c>
      <c r="I167" s="6" t="s">
        <v>5688</v>
      </c>
      <c r="J167" s="6">
        <v>2300333</v>
      </c>
      <c r="K167" s="7" t="s">
        <v>7843</v>
      </c>
      <c r="L167" s="8">
        <v>23870</v>
      </c>
      <c r="M167" s="8" t="str">
        <f t="shared" si="19"/>
        <v>PEN</v>
      </c>
      <c r="N167" s="13"/>
      <c r="O167" s="13">
        <v>8</v>
      </c>
      <c r="P167" s="3">
        <f t="shared" si="16"/>
        <v>0</v>
      </c>
      <c r="Q167" s="3">
        <f t="shared" si="17"/>
        <v>8</v>
      </c>
      <c r="R167" s="3">
        <f t="shared" si="18"/>
        <v>183.74</v>
      </c>
      <c r="S167" s="24" t="s">
        <v>1334</v>
      </c>
      <c r="T167" s="24" t="s">
        <v>1334</v>
      </c>
      <c r="U167" s="3"/>
      <c r="V167" s="25" t="s">
        <v>7756</v>
      </c>
      <c r="W167" s="25">
        <v>20517252558</v>
      </c>
      <c r="X167" s="25" t="str">
        <f>IFERROR(VLOOKUP(C_Ope_001[[#This Row],[nota_2]],Clientes_Proveedores[[Ruc / Dni]:[Razon Social]],2,0),"")</f>
        <v>COVISUR S.A.</v>
      </c>
      <c r="Y167" s="25"/>
      <c r="Z167" s="103"/>
      <c r="AA167" s="3" t="str">
        <f>IF(C_Ope_001[[#This Row],[fecha]]&gt;0,TEXT(C_Ope_001[[#This Row],[fecha]],"mmmm"),0)</f>
        <v>Abril</v>
      </c>
      <c r="AB167" s="159"/>
    </row>
    <row r="168" spans="1:28" ht="24" x14ac:dyDescent="0.3">
      <c r="A168" s="2">
        <f>IF(C_Ope_001[[#This Row],[tipo_r]]="R",COUNTIFS($C$1:$C167,"R")+1,"")</f>
        <v>167</v>
      </c>
      <c r="B168" s="19" t="str">
        <f t="shared" si="15"/>
        <v>C_Ope_001</v>
      </c>
      <c r="C168" s="3" t="s">
        <v>1330</v>
      </c>
      <c r="D168" s="211">
        <v>45763</v>
      </c>
      <c r="E168" s="5" t="s">
        <v>7753</v>
      </c>
      <c r="F168" s="5" t="s">
        <v>1336</v>
      </c>
      <c r="G168" s="6" t="s">
        <v>978</v>
      </c>
      <c r="H168" s="6" t="s">
        <v>68</v>
      </c>
      <c r="I168" s="6" t="s">
        <v>6204</v>
      </c>
      <c r="J168" s="6">
        <v>1707349</v>
      </c>
      <c r="K168" s="7" t="s">
        <v>7844</v>
      </c>
      <c r="L168" s="8">
        <v>23891</v>
      </c>
      <c r="M168" s="8" t="str">
        <f t="shared" si="19"/>
        <v>PEN</v>
      </c>
      <c r="N168" s="13"/>
      <c r="O168" s="13">
        <v>8</v>
      </c>
      <c r="P168" s="3">
        <f t="shared" si="16"/>
        <v>0</v>
      </c>
      <c r="Q168" s="3">
        <f t="shared" si="17"/>
        <v>8</v>
      </c>
      <c r="R168" s="3">
        <f t="shared" si="18"/>
        <v>175.74</v>
      </c>
      <c r="S168" s="24" t="s">
        <v>1334</v>
      </c>
      <c r="T168" s="24" t="s">
        <v>1334</v>
      </c>
      <c r="U168" s="3"/>
      <c r="V168" s="25" t="s">
        <v>7756</v>
      </c>
      <c r="W168" s="25">
        <v>20517252558</v>
      </c>
      <c r="X168" s="25" t="str">
        <f>IFERROR(VLOOKUP(C_Ope_001[[#This Row],[nota_2]],Clientes_Proveedores[[Ruc / Dni]:[Razon Social]],2,0),"")</f>
        <v>COVISUR S.A.</v>
      </c>
      <c r="Y168" s="25"/>
      <c r="Z168" s="103"/>
      <c r="AA168" s="3" t="str">
        <f>IF(C_Ope_001[[#This Row],[fecha]]&gt;0,TEXT(C_Ope_001[[#This Row],[fecha]],"mmmm"),0)</f>
        <v>Abril</v>
      </c>
      <c r="AB168" s="159"/>
    </row>
    <row r="169" spans="1:28" ht="24" x14ac:dyDescent="0.3">
      <c r="A169" s="2">
        <f>IF(C_Ope_001[[#This Row],[tipo_r]]="R",COUNTIFS($C$1:$C168,"R")+1,"")</f>
        <v>168</v>
      </c>
      <c r="B169" s="19" t="str">
        <f t="shared" si="15"/>
        <v>C_Ope_001</v>
      </c>
      <c r="C169" s="3" t="s">
        <v>1330</v>
      </c>
      <c r="D169" s="211">
        <v>45763</v>
      </c>
      <c r="E169" s="5" t="s">
        <v>7753</v>
      </c>
      <c r="F169" s="5" t="s">
        <v>1336</v>
      </c>
      <c r="G169" s="6" t="s">
        <v>978</v>
      </c>
      <c r="H169" s="6" t="s">
        <v>68</v>
      </c>
      <c r="I169" s="6" t="s">
        <v>5845</v>
      </c>
      <c r="J169" s="6">
        <v>1727203</v>
      </c>
      <c r="K169" s="7" t="s">
        <v>7844</v>
      </c>
      <c r="L169" s="8">
        <v>23901</v>
      </c>
      <c r="M169" s="8" t="str">
        <f t="shared" si="19"/>
        <v>PEN</v>
      </c>
      <c r="N169" s="13"/>
      <c r="O169" s="13">
        <v>8</v>
      </c>
      <c r="P169" s="3">
        <f t="shared" si="16"/>
        <v>0</v>
      </c>
      <c r="Q169" s="3">
        <f t="shared" si="17"/>
        <v>8</v>
      </c>
      <c r="R169" s="3">
        <f t="shared" si="18"/>
        <v>167.74</v>
      </c>
      <c r="S169" s="24" t="s">
        <v>1334</v>
      </c>
      <c r="T169" s="24" t="s">
        <v>1334</v>
      </c>
      <c r="U169" s="3"/>
      <c r="V169" s="25" t="s">
        <v>7756</v>
      </c>
      <c r="W169" s="25">
        <v>20517252558</v>
      </c>
      <c r="X169" s="25" t="str">
        <f>IFERROR(VLOOKUP(C_Ope_001[[#This Row],[nota_2]],Clientes_Proveedores[[Ruc / Dni]:[Razon Social]],2,0),"")</f>
        <v>COVISUR S.A.</v>
      </c>
      <c r="Y169" s="25"/>
      <c r="Z169" s="103"/>
      <c r="AA169" s="3" t="str">
        <f>IF(C_Ope_001[[#This Row],[fecha]]&gt;0,TEXT(C_Ope_001[[#This Row],[fecha]],"mmmm"),0)</f>
        <v>Abril</v>
      </c>
      <c r="AB169" s="159"/>
    </row>
    <row r="170" spans="1:28" ht="36" x14ac:dyDescent="0.3">
      <c r="A170" s="2">
        <f>IF(C_Ope_001[[#This Row],[tipo_r]]="R",COUNTIFS($C$1:$C169,"R")+1,"")</f>
        <v>169</v>
      </c>
      <c r="B170" s="19" t="str">
        <f t="shared" si="15"/>
        <v>C_Ope_001</v>
      </c>
      <c r="C170" s="3" t="s">
        <v>1330</v>
      </c>
      <c r="D170" s="211">
        <v>45761</v>
      </c>
      <c r="E170" s="5" t="s">
        <v>7753</v>
      </c>
      <c r="F170" s="5" t="s">
        <v>1336</v>
      </c>
      <c r="G170" s="6" t="s">
        <v>1029</v>
      </c>
      <c r="H170" s="6" t="s">
        <v>68</v>
      </c>
      <c r="I170" s="6" t="s">
        <v>1374</v>
      </c>
      <c r="J170" s="6">
        <v>17297</v>
      </c>
      <c r="K170" s="7" t="s">
        <v>7845</v>
      </c>
      <c r="L170" s="8">
        <v>23847</v>
      </c>
      <c r="M170" s="8" t="str">
        <f t="shared" si="19"/>
        <v>PEN</v>
      </c>
      <c r="N170" s="13"/>
      <c r="O170" s="13">
        <v>11</v>
      </c>
      <c r="P170" s="3">
        <f t="shared" si="16"/>
        <v>0</v>
      </c>
      <c r="Q170" s="3">
        <f t="shared" si="17"/>
        <v>11</v>
      </c>
      <c r="R170" s="3">
        <f t="shared" si="18"/>
        <v>156.74</v>
      </c>
      <c r="S170" s="24" t="s">
        <v>1334</v>
      </c>
      <c r="T170" s="24" t="s">
        <v>1334</v>
      </c>
      <c r="U170" s="3"/>
      <c r="V170" s="25" t="s">
        <v>7842</v>
      </c>
      <c r="W170" s="25">
        <v>20454058187</v>
      </c>
      <c r="X170" s="25" t="str">
        <f>IFERROR(VLOOKUP(C_Ope_001[[#This Row],[nota_2]],Clientes_Proveedores[[Ruc / Dni]:[Razon Social]],2,0),"")</f>
        <v>ZONA ESPECIAL DE DESARROLLO ZED MATARANI</v>
      </c>
      <c r="Y170" s="25"/>
      <c r="Z170" s="103"/>
      <c r="AA170" s="3" t="str">
        <f>IF(C_Ope_001[[#This Row],[fecha]]&gt;0,TEXT(C_Ope_001[[#This Row],[fecha]],"mmmm"),0)</f>
        <v>Abril</v>
      </c>
      <c r="AB170" s="159"/>
    </row>
    <row r="171" spans="1:28" ht="36" x14ac:dyDescent="0.3">
      <c r="A171" s="2">
        <f>IF(C_Ope_001[[#This Row],[tipo_r]]="R",COUNTIFS($C$1:$C170,"R")+1,"")</f>
        <v>170</v>
      </c>
      <c r="B171" s="19" t="str">
        <f t="shared" si="15"/>
        <v>C_Ope_001</v>
      </c>
      <c r="C171" s="3" t="s">
        <v>1330</v>
      </c>
      <c r="D171" s="211">
        <v>45762</v>
      </c>
      <c r="E171" s="5" t="s">
        <v>7753</v>
      </c>
      <c r="F171" s="5" t="s">
        <v>1336</v>
      </c>
      <c r="G171" s="6" t="s">
        <v>682</v>
      </c>
      <c r="H171" s="6" t="s">
        <v>68</v>
      </c>
      <c r="I171" s="6" t="s">
        <v>1343</v>
      </c>
      <c r="J171" s="6">
        <v>34364</v>
      </c>
      <c r="K171" s="7" t="s">
        <v>7846</v>
      </c>
      <c r="L171" s="8">
        <v>23864</v>
      </c>
      <c r="M171" s="8" t="str">
        <f t="shared" si="19"/>
        <v>PEN</v>
      </c>
      <c r="N171" s="13"/>
      <c r="O171" s="13">
        <v>5</v>
      </c>
      <c r="P171" s="3">
        <f t="shared" si="16"/>
        <v>0</v>
      </c>
      <c r="Q171" s="3">
        <f t="shared" si="17"/>
        <v>5</v>
      </c>
      <c r="R171" s="3">
        <f t="shared" si="18"/>
        <v>151.74</v>
      </c>
      <c r="S171" s="24" t="s">
        <v>1334</v>
      </c>
      <c r="T171" s="24" t="s">
        <v>1334</v>
      </c>
      <c r="U171" s="3"/>
      <c r="V171" s="25" t="s">
        <v>7756</v>
      </c>
      <c r="W171" s="25">
        <v>20259858934</v>
      </c>
      <c r="X171" s="25" t="str">
        <f>IFERROR(VLOOKUP(C_Ope_001[[#This Row],[nota_2]],Clientes_Proveedores[[Ruc / Dni]:[Razon Social]],2,0),"")</f>
        <v>COMERCIALIZACION Y SERVICIOS EL EDEN S.A.C.</v>
      </c>
      <c r="Y171" s="25"/>
      <c r="Z171" s="103"/>
      <c r="AA171" s="3" t="str">
        <f>IF(C_Ope_001[[#This Row],[fecha]]&gt;0,TEXT(C_Ope_001[[#This Row],[fecha]],"mmmm"),0)</f>
        <v>Abril</v>
      </c>
      <c r="AB171" s="159"/>
    </row>
    <row r="172" spans="1:28" ht="36" x14ac:dyDescent="0.3">
      <c r="A172" s="2">
        <f>IF(C_Ope_001[[#This Row],[tipo_r]]="R",COUNTIFS($C$1:$C171,"R")+1,"")</f>
        <v>171</v>
      </c>
      <c r="B172" s="19" t="str">
        <f t="shared" si="15"/>
        <v>C_Ope_001</v>
      </c>
      <c r="C172" s="3" t="s">
        <v>1330</v>
      </c>
      <c r="D172" s="211">
        <v>45762</v>
      </c>
      <c r="E172" s="5" t="s">
        <v>7753</v>
      </c>
      <c r="F172" s="5" t="s">
        <v>1336</v>
      </c>
      <c r="G172" s="6" t="s">
        <v>682</v>
      </c>
      <c r="H172" s="6" t="s">
        <v>68</v>
      </c>
      <c r="I172" s="6" t="s">
        <v>1343</v>
      </c>
      <c r="J172" s="6">
        <v>34360</v>
      </c>
      <c r="K172" s="7" t="s">
        <v>7847</v>
      </c>
      <c r="L172" s="8">
        <v>23865</v>
      </c>
      <c r="M172" s="8" t="str">
        <f t="shared" si="19"/>
        <v>PEN</v>
      </c>
      <c r="N172" s="13"/>
      <c r="O172" s="13">
        <v>10</v>
      </c>
      <c r="P172" s="3">
        <f t="shared" si="16"/>
        <v>0</v>
      </c>
      <c r="Q172" s="3">
        <f t="shared" si="17"/>
        <v>10</v>
      </c>
      <c r="R172" s="3">
        <f t="shared" si="18"/>
        <v>141.74</v>
      </c>
      <c r="S172" s="24" t="s">
        <v>1334</v>
      </c>
      <c r="T172" s="24" t="s">
        <v>1334</v>
      </c>
      <c r="U172" s="3"/>
      <c r="V172" s="25" t="s">
        <v>7756</v>
      </c>
      <c r="W172" s="25">
        <v>20259858934</v>
      </c>
      <c r="X172" s="25" t="str">
        <f>IFERROR(VLOOKUP(C_Ope_001[[#This Row],[nota_2]],Clientes_Proveedores[[Ruc / Dni]:[Razon Social]],2,0),"")</f>
        <v>COMERCIALIZACION Y SERVICIOS EL EDEN S.A.C.</v>
      </c>
      <c r="Y172" s="25"/>
      <c r="Z172" s="103"/>
      <c r="AA172" s="3" t="str">
        <f>IF(C_Ope_001[[#This Row],[fecha]]&gt;0,TEXT(C_Ope_001[[#This Row],[fecha]],"mmmm"),0)</f>
        <v>Abril</v>
      </c>
      <c r="AB172" s="159"/>
    </row>
    <row r="173" spans="1:28" ht="24" x14ac:dyDescent="0.3">
      <c r="A173" s="2">
        <f>IF(C_Ope_001[[#This Row],[tipo_r]]="R",COUNTIFS($C$1:$C172,"R")+1,"")</f>
        <v>172</v>
      </c>
      <c r="B173" s="19" t="str">
        <f t="shared" si="15"/>
        <v>C_Ope_001</v>
      </c>
      <c r="C173" s="3" t="s">
        <v>1330</v>
      </c>
      <c r="D173" s="211">
        <v>45768</v>
      </c>
      <c r="E173" s="5" t="s">
        <v>7753</v>
      </c>
      <c r="F173" s="5" t="s">
        <v>1336</v>
      </c>
      <c r="G173" s="6" t="s">
        <v>978</v>
      </c>
      <c r="H173" s="6" t="s">
        <v>68</v>
      </c>
      <c r="I173" s="6" t="s">
        <v>6204</v>
      </c>
      <c r="J173" s="6">
        <v>1710765</v>
      </c>
      <c r="K173" s="7" t="s">
        <v>7772</v>
      </c>
      <c r="L173" s="8">
        <v>23934</v>
      </c>
      <c r="M173" s="8" t="str">
        <f t="shared" si="19"/>
        <v>PEN</v>
      </c>
      <c r="N173" s="13"/>
      <c r="O173" s="13">
        <v>8</v>
      </c>
      <c r="P173" s="3">
        <f t="shared" si="16"/>
        <v>0</v>
      </c>
      <c r="Q173" s="3">
        <f t="shared" si="17"/>
        <v>8</v>
      </c>
      <c r="R173" s="3">
        <f t="shared" si="18"/>
        <v>133.74</v>
      </c>
      <c r="S173" s="24" t="s">
        <v>1334</v>
      </c>
      <c r="T173" s="24" t="s">
        <v>1334</v>
      </c>
      <c r="U173" s="3"/>
      <c r="V173" s="25" t="s">
        <v>7761</v>
      </c>
      <c r="W173" s="25">
        <v>20517252558</v>
      </c>
      <c r="X173" s="25" t="str">
        <f>IFERROR(VLOOKUP(C_Ope_001[[#This Row],[nota_2]],Clientes_Proveedores[[Ruc / Dni]:[Razon Social]],2,0),"")</f>
        <v>COVISUR S.A.</v>
      </c>
      <c r="Y173" s="25"/>
      <c r="Z173" s="103"/>
      <c r="AA173" s="3" t="str">
        <f>IF(C_Ope_001[[#This Row],[fecha]]&gt;0,TEXT(C_Ope_001[[#This Row],[fecha]],"mmmm"),0)</f>
        <v>Abril</v>
      </c>
      <c r="AB173" s="159"/>
    </row>
    <row r="174" spans="1:28" ht="24" x14ac:dyDescent="0.3">
      <c r="A174" s="2">
        <f>IF(C_Ope_001[[#This Row],[tipo_r]]="R",COUNTIFS($C$1:$C173,"R")+1,"")</f>
        <v>173</v>
      </c>
      <c r="B174" s="19" t="str">
        <f t="shared" si="15"/>
        <v>C_Ope_001</v>
      </c>
      <c r="C174" s="3" t="s">
        <v>1330</v>
      </c>
      <c r="D174" s="211">
        <v>45768</v>
      </c>
      <c r="E174" s="5" t="s">
        <v>7753</v>
      </c>
      <c r="F174" s="5" t="s">
        <v>1336</v>
      </c>
      <c r="G174" s="6" t="s">
        <v>978</v>
      </c>
      <c r="H174" s="6" t="s">
        <v>68</v>
      </c>
      <c r="I174" s="6" t="s">
        <v>6379</v>
      </c>
      <c r="J174" s="6">
        <v>467688</v>
      </c>
      <c r="K174" s="7" t="s">
        <v>7771</v>
      </c>
      <c r="L174" s="8">
        <v>23935</v>
      </c>
      <c r="M174" s="8" t="str">
        <f t="shared" si="19"/>
        <v>PEN</v>
      </c>
      <c r="N174" s="13"/>
      <c r="O174" s="13">
        <v>8</v>
      </c>
      <c r="P174" s="3">
        <f t="shared" si="16"/>
        <v>0</v>
      </c>
      <c r="Q174" s="3">
        <f t="shared" si="17"/>
        <v>8</v>
      </c>
      <c r="R174" s="3">
        <f t="shared" si="18"/>
        <v>125.74000000000001</v>
      </c>
      <c r="S174" s="24" t="s">
        <v>1334</v>
      </c>
      <c r="T174" s="24" t="s">
        <v>1334</v>
      </c>
      <c r="U174" s="3"/>
      <c r="V174" s="25" t="s">
        <v>7761</v>
      </c>
      <c r="W174" s="25">
        <v>20517252558</v>
      </c>
      <c r="X174" s="25" t="str">
        <f>IFERROR(VLOOKUP(C_Ope_001[[#This Row],[nota_2]],Clientes_Proveedores[[Ruc / Dni]:[Razon Social]],2,0),"")</f>
        <v>COVISUR S.A.</v>
      </c>
      <c r="Y174" s="25"/>
      <c r="Z174" s="103"/>
      <c r="AA174" s="3" t="str">
        <f>IF(C_Ope_001[[#This Row],[fecha]]&gt;0,TEXT(C_Ope_001[[#This Row],[fecha]],"mmmm"),0)</f>
        <v>Abril</v>
      </c>
      <c r="AB174" s="159"/>
    </row>
    <row r="175" spans="1:28" ht="24" x14ac:dyDescent="0.3">
      <c r="A175" s="2">
        <f>IF(C_Ope_001[[#This Row],[tipo_r]]="R",COUNTIFS($C$1:$C174,"R")+1,"")</f>
        <v>174</v>
      </c>
      <c r="B175" s="19" t="str">
        <f t="shared" si="15"/>
        <v>C_Ope_001</v>
      </c>
      <c r="C175" s="3" t="s">
        <v>1330</v>
      </c>
      <c r="D175" s="211">
        <v>45768</v>
      </c>
      <c r="E175" s="5" t="s">
        <v>7753</v>
      </c>
      <c r="F175" s="5" t="s">
        <v>1336</v>
      </c>
      <c r="G175" s="6" t="s">
        <v>978</v>
      </c>
      <c r="H175" s="6" t="s">
        <v>68</v>
      </c>
      <c r="I175" s="6" t="s">
        <v>5845</v>
      </c>
      <c r="J175" s="6">
        <v>1730838</v>
      </c>
      <c r="K175" s="7" t="s">
        <v>7772</v>
      </c>
      <c r="L175" s="8">
        <v>23938</v>
      </c>
      <c r="M175" s="8" t="str">
        <f t="shared" si="19"/>
        <v>PEN</v>
      </c>
      <c r="N175" s="13"/>
      <c r="O175" s="13">
        <v>8</v>
      </c>
      <c r="P175" s="3">
        <f t="shared" si="16"/>
        <v>0</v>
      </c>
      <c r="Q175" s="3">
        <f t="shared" si="17"/>
        <v>8</v>
      </c>
      <c r="R175" s="3">
        <f t="shared" si="18"/>
        <v>117.74000000000001</v>
      </c>
      <c r="S175" s="24" t="s">
        <v>1334</v>
      </c>
      <c r="T175" s="24" t="s">
        <v>1334</v>
      </c>
      <c r="U175" s="3"/>
      <c r="V175" s="25" t="s">
        <v>7761</v>
      </c>
      <c r="W175" s="25">
        <v>20517252558</v>
      </c>
      <c r="X175" s="25" t="str">
        <f>IFERROR(VLOOKUP(C_Ope_001[[#This Row],[nota_2]],Clientes_Proveedores[[Ruc / Dni]:[Razon Social]],2,0),"")</f>
        <v>COVISUR S.A.</v>
      </c>
      <c r="Y175" s="25"/>
      <c r="Z175" s="103"/>
      <c r="AA175" s="3" t="str">
        <f>IF(C_Ope_001[[#This Row],[fecha]]&gt;0,TEXT(C_Ope_001[[#This Row],[fecha]],"mmmm"),0)</f>
        <v>Abril</v>
      </c>
      <c r="AB175" s="159"/>
    </row>
    <row r="176" spans="1:28" ht="24" x14ac:dyDescent="0.3">
      <c r="A176" s="2">
        <f>IF(C_Ope_001[[#This Row],[tipo_r]]="R",COUNTIFS($C$1:$C175,"R")+1,"")</f>
        <v>175</v>
      </c>
      <c r="B176" s="19" t="str">
        <f t="shared" si="15"/>
        <v>C_Ope_001</v>
      </c>
      <c r="C176" s="3" t="s">
        <v>1330</v>
      </c>
      <c r="D176" s="211">
        <v>45768</v>
      </c>
      <c r="E176" s="5" t="s">
        <v>7753</v>
      </c>
      <c r="F176" s="5" t="s">
        <v>1336</v>
      </c>
      <c r="G176" s="6" t="s">
        <v>978</v>
      </c>
      <c r="H176" s="6" t="s">
        <v>68</v>
      </c>
      <c r="I176" s="6" t="s">
        <v>6380</v>
      </c>
      <c r="J176" s="6">
        <v>379935</v>
      </c>
      <c r="K176" s="7" t="s">
        <v>7771</v>
      </c>
      <c r="L176" s="8">
        <v>23939</v>
      </c>
      <c r="M176" s="8" t="str">
        <f t="shared" si="19"/>
        <v>PEN</v>
      </c>
      <c r="N176" s="13"/>
      <c r="O176" s="13">
        <v>8</v>
      </c>
      <c r="P176" s="3">
        <f t="shared" si="16"/>
        <v>0</v>
      </c>
      <c r="Q176" s="3">
        <f t="shared" si="17"/>
        <v>8</v>
      </c>
      <c r="R176" s="3">
        <f t="shared" si="18"/>
        <v>109.74000000000001</v>
      </c>
      <c r="S176" s="24" t="s">
        <v>1334</v>
      </c>
      <c r="T176" s="24" t="s">
        <v>1334</v>
      </c>
      <c r="U176" s="3"/>
      <c r="V176" s="25" t="s">
        <v>7761</v>
      </c>
      <c r="W176" s="25">
        <v>20517252558</v>
      </c>
      <c r="X176" s="25" t="str">
        <f>IFERROR(VLOOKUP(C_Ope_001[[#This Row],[nota_2]],Clientes_Proveedores[[Ruc / Dni]:[Razon Social]],2,0),"")</f>
        <v>COVISUR S.A.</v>
      </c>
      <c r="Y176" s="25"/>
      <c r="Z176" s="103"/>
      <c r="AA176" s="3" t="str">
        <f>IF(C_Ope_001[[#This Row],[fecha]]&gt;0,TEXT(C_Ope_001[[#This Row],[fecha]],"mmmm"),0)</f>
        <v>Abril</v>
      </c>
      <c r="AB176" s="159"/>
    </row>
    <row r="177" spans="1:28" ht="36" x14ac:dyDescent="0.3">
      <c r="A177" s="2">
        <f>IF(C_Ope_001[[#This Row],[tipo_r]]="R",COUNTIFS($C$1:$C176,"R")+1,"")</f>
        <v>176</v>
      </c>
      <c r="B177" s="19" t="str">
        <f t="shared" si="15"/>
        <v>C_Ope_001</v>
      </c>
      <c r="C177" s="3" t="s">
        <v>1330</v>
      </c>
      <c r="D177" s="211">
        <v>45771</v>
      </c>
      <c r="E177" s="5" t="s">
        <v>7753</v>
      </c>
      <c r="F177" s="5" t="s">
        <v>1336</v>
      </c>
      <c r="G177" s="6" t="s">
        <v>978</v>
      </c>
      <c r="H177" s="6" t="s">
        <v>68</v>
      </c>
      <c r="I177" s="6" t="s">
        <v>5845</v>
      </c>
      <c r="J177" s="6">
        <v>1733484</v>
      </c>
      <c r="K177" s="7" t="s">
        <v>7848</v>
      </c>
      <c r="L177" s="8">
        <v>23979</v>
      </c>
      <c r="M177" s="8" t="str">
        <f t="shared" si="19"/>
        <v>PEN</v>
      </c>
      <c r="N177" s="13"/>
      <c r="O177" s="13">
        <v>8</v>
      </c>
      <c r="P177" s="3">
        <f t="shared" si="16"/>
        <v>0</v>
      </c>
      <c r="Q177" s="3">
        <f t="shared" si="17"/>
        <v>8</v>
      </c>
      <c r="R177" s="3">
        <f t="shared" si="18"/>
        <v>101.74000000000001</v>
      </c>
      <c r="S177" s="24" t="s">
        <v>1334</v>
      </c>
      <c r="T177" s="24" t="s">
        <v>1334</v>
      </c>
      <c r="U177" s="3"/>
      <c r="V177" s="25" t="s">
        <v>7756</v>
      </c>
      <c r="W177" s="25">
        <v>20517252558</v>
      </c>
      <c r="X177" s="25" t="str">
        <f>IFERROR(VLOOKUP(C_Ope_001[[#This Row],[nota_2]],Clientes_Proveedores[[Ruc / Dni]:[Razon Social]],2,0),"")</f>
        <v>COVISUR S.A.</v>
      </c>
      <c r="Y177" s="25"/>
      <c r="Z177" s="103"/>
      <c r="AA177" s="3" t="str">
        <f>IF(C_Ope_001[[#This Row],[fecha]]&gt;0,TEXT(C_Ope_001[[#This Row],[fecha]],"mmmm"),0)</f>
        <v>Abril</v>
      </c>
      <c r="AB177" s="159"/>
    </row>
    <row r="178" spans="1:28" ht="36" x14ac:dyDescent="0.3">
      <c r="A178" s="2">
        <f>IF(C_Ope_001[[#This Row],[tipo_r]]="R",COUNTIFS($C$1:$C177,"R")+1,"")</f>
        <v>177</v>
      </c>
      <c r="B178" s="19" t="str">
        <f t="shared" si="15"/>
        <v>C_Ope_001</v>
      </c>
      <c r="C178" s="3" t="s">
        <v>1330</v>
      </c>
      <c r="D178" s="211">
        <v>45771</v>
      </c>
      <c r="E178" s="5" t="s">
        <v>7753</v>
      </c>
      <c r="F178" s="5" t="s">
        <v>1336</v>
      </c>
      <c r="G178" s="6" t="s">
        <v>978</v>
      </c>
      <c r="H178" s="6" t="s">
        <v>68</v>
      </c>
      <c r="I178" s="6" t="s">
        <v>6204</v>
      </c>
      <c r="J178" s="6">
        <v>1713463</v>
      </c>
      <c r="K178" s="7" t="s">
        <v>7848</v>
      </c>
      <c r="L178" s="8">
        <v>23980</v>
      </c>
      <c r="M178" s="8" t="str">
        <f t="shared" si="19"/>
        <v>PEN</v>
      </c>
      <c r="N178" s="13"/>
      <c r="O178" s="13">
        <v>8</v>
      </c>
      <c r="P178" s="3">
        <f t="shared" si="16"/>
        <v>0</v>
      </c>
      <c r="Q178" s="3">
        <f t="shared" si="17"/>
        <v>8</v>
      </c>
      <c r="R178" s="3">
        <f t="shared" si="18"/>
        <v>93.740000000000009</v>
      </c>
      <c r="S178" s="24" t="s">
        <v>1334</v>
      </c>
      <c r="T178" s="24" t="s">
        <v>1334</v>
      </c>
      <c r="U178" s="3"/>
      <c r="V178" s="25" t="s">
        <v>7756</v>
      </c>
      <c r="W178" s="25">
        <v>20517252558</v>
      </c>
      <c r="X178" s="25" t="str">
        <f>IFERROR(VLOOKUP(C_Ope_001[[#This Row],[nota_2]],Clientes_Proveedores[[Ruc / Dni]:[Razon Social]],2,0),"")</f>
        <v>COVISUR S.A.</v>
      </c>
      <c r="Y178" s="25"/>
      <c r="Z178" s="103"/>
      <c r="AA178" s="3" t="str">
        <f>IF(C_Ope_001[[#This Row],[fecha]]&gt;0,TEXT(C_Ope_001[[#This Row],[fecha]],"mmmm"),0)</f>
        <v>Abril</v>
      </c>
      <c r="AB178" s="159"/>
    </row>
    <row r="179" spans="1:28" ht="24" x14ac:dyDescent="0.3">
      <c r="A179" s="2">
        <f>IF(C_Ope_001[[#This Row],[tipo_r]]="R",COUNTIFS($C$1:$C178,"R")+1,"")</f>
        <v>178</v>
      </c>
      <c r="B179" s="19" t="str">
        <f t="shared" si="15"/>
        <v>C_Ope_001</v>
      </c>
      <c r="C179" s="3" t="s">
        <v>1330</v>
      </c>
      <c r="D179" s="211">
        <v>45772</v>
      </c>
      <c r="E179" s="5" t="s">
        <v>7753</v>
      </c>
      <c r="F179" s="5" t="s">
        <v>1336</v>
      </c>
      <c r="G179" s="6" t="s">
        <v>978</v>
      </c>
      <c r="H179" s="6" t="s">
        <v>68</v>
      </c>
      <c r="I179" s="6" t="s">
        <v>6204</v>
      </c>
      <c r="J179" s="6">
        <v>1714440</v>
      </c>
      <c r="K179" s="7" t="s">
        <v>7849</v>
      </c>
      <c r="L179" s="8">
        <v>23990</v>
      </c>
      <c r="M179" s="8" t="str">
        <f t="shared" si="19"/>
        <v>PEN</v>
      </c>
      <c r="N179" s="13"/>
      <c r="O179" s="13">
        <v>8</v>
      </c>
      <c r="P179" s="3">
        <f t="shared" si="16"/>
        <v>0</v>
      </c>
      <c r="Q179" s="3">
        <f t="shared" si="17"/>
        <v>8</v>
      </c>
      <c r="R179" s="3">
        <f t="shared" si="18"/>
        <v>85.740000000000009</v>
      </c>
      <c r="S179" s="24" t="s">
        <v>1334</v>
      </c>
      <c r="T179" s="24" t="s">
        <v>1334</v>
      </c>
      <c r="U179" s="3"/>
      <c r="V179" s="25" t="s">
        <v>7756</v>
      </c>
      <c r="W179" s="25">
        <v>20517252558</v>
      </c>
      <c r="X179" s="25" t="str">
        <f>IFERROR(VLOOKUP(C_Ope_001[[#This Row],[nota_2]],Clientes_Proveedores[[Ruc / Dni]:[Razon Social]],2,0),"")</f>
        <v>COVISUR S.A.</v>
      </c>
      <c r="Y179" s="25"/>
      <c r="Z179" s="103"/>
      <c r="AA179" s="3" t="str">
        <f>IF(C_Ope_001[[#This Row],[fecha]]&gt;0,TEXT(C_Ope_001[[#This Row],[fecha]],"mmmm"),0)</f>
        <v>Abril</v>
      </c>
      <c r="AB179" s="159"/>
    </row>
    <row r="180" spans="1:28" ht="24" x14ac:dyDescent="0.3">
      <c r="A180" s="2">
        <f>IF(C_Ope_001[[#This Row],[tipo_r]]="R",COUNTIFS($C$1:$C179,"R")+1,"")</f>
        <v>179</v>
      </c>
      <c r="B180" s="19" t="str">
        <f t="shared" si="15"/>
        <v>C_Ope_001</v>
      </c>
      <c r="C180" s="3" t="s">
        <v>1330</v>
      </c>
      <c r="D180" s="211">
        <v>45772</v>
      </c>
      <c r="E180" s="5" t="s">
        <v>7753</v>
      </c>
      <c r="F180" s="5" t="s">
        <v>1336</v>
      </c>
      <c r="G180" s="6" t="s">
        <v>978</v>
      </c>
      <c r="H180" s="6" t="s">
        <v>68</v>
      </c>
      <c r="I180" s="6" t="s">
        <v>6203</v>
      </c>
      <c r="J180" s="6">
        <v>2031795</v>
      </c>
      <c r="K180" s="7" t="s">
        <v>7849</v>
      </c>
      <c r="L180" s="8">
        <v>23991</v>
      </c>
      <c r="M180" s="8" t="str">
        <f t="shared" si="19"/>
        <v>PEN</v>
      </c>
      <c r="N180" s="13"/>
      <c r="O180" s="13">
        <v>5</v>
      </c>
      <c r="P180" s="3">
        <f t="shared" si="16"/>
        <v>0</v>
      </c>
      <c r="Q180" s="3">
        <f t="shared" si="17"/>
        <v>5</v>
      </c>
      <c r="R180" s="3">
        <f t="shared" si="18"/>
        <v>80.740000000000009</v>
      </c>
      <c r="S180" s="24" t="s">
        <v>1334</v>
      </c>
      <c r="T180" s="24" t="s">
        <v>1334</v>
      </c>
      <c r="U180" s="3"/>
      <c r="V180" s="25" t="s">
        <v>7756</v>
      </c>
      <c r="W180" s="25">
        <v>20517252558</v>
      </c>
      <c r="X180" s="25" t="str">
        <f>IFERROR(VLOOKUP(C_Ope_001[[#This Row],[nota_2]],Clientes_Proveedores[[Ruc / Dni]:[Razon Social]],2,0),"")</f>
        <v>COVISUR S.A.</v>
      </c>
      <c r="Y180" s="25"/>
      <c r="Z180" s="103"/>
      <c r="AA180" s="3" t="str">
        <f>IF(C_Ope_001[[#This Row],[fecha]]&gt;0,TEXT(C_Ope_001[[#This Row],[fecha]],"mmmm"),0)</f>
        <v>Abril</v>
      </c>
      <c r="AB180" s="159"/>
    </row>
    <row r="181" spans="1:28" ht="36" x14ac:dyDescent="0.3">
      <c r="A181" s="2">
        <f>IF(C_Ope_001[[#This Row],[tipo_r]]="R",COUNTIFS($C$1:$C180,"R")+1,"")</f>
        <v>180</v>
      </c>
      <c r="B181" s="19" t="str">
        <f t="shared" si="15"/>
        <v>C_Ope_001</v>
      </c>
      <c r="C181" s="3" t="s">
        <v>1330</v>
      </c>
      <c r="D181" s="211">
        <v>45768</v>
      </c>
      <c r="E181" s="5" t="s">
        <v>7753</v>
      </c>
      <c r="F181" s="5" t="s">
        <v>1336</v>
      </c>
      <c r="G181" s="6" t="s">
        <v>1029</v>
      </c>
      <c r="H181" s="6" t="s">
        <v>68</v>
      </c>
      <c r="I181" s="6" t="s">
        <v>1374</v>
      </c>
      <c r="J181" s="6">
        <v>17340</v>
      </c>
      <c r="K181" s="7" t="s">
        <v>7776</v>
      </c>
      <c r="L181" s="8">
        <v>23936</v>
      </c>
      <c r="M181" s="8" t="str">
        <f t="shared" si="19"/>
        <v>PEN</v>
      </c>
      <c r="N181" s="13"/>
      <c r="O181" s="13">
        <v>11</v>
      </c>
      <c r="P181" s="3">
        <f t="shared" si="16"/>
        <v>0</v>
      </c>
      <c r="Q181" s="3">
        <f t="shared" si="17"/>
        <v>11</v>
      </c>
      <c r="R181" s="3">
        <f t="shared" si="18"/>
        <v>69.740000000000009</v>
      </c>
      <c r="S181" s="24" t="s">
        <v>1334</v>
      </c>
      <c r="T181" s="24" t="s">
        <v>1334</v>
      </c>
      <c r="U181" s="3"/>
      <c r="V181" s="25" t="s">
        <v>7761</v>
      </c>
      <c r="W181" s="25">
        <v>20454058187</v>
      </c>
      <c r="X181" s="25" t="str">
        <f>IFERROR(VLOOKUP(C_Ope_001[[#This Row],[nota_2]],Clientes_Proveedores[[Ruc / Dni]:[Razon Social]],2,0),"")</f>
        <v>ZONA ESPECIAL DE DESARROLLO ZED MATARANI</v>
      </c>
      <c r="Y181" s="25"/>
      <c r="Z181" s="103"/>
      <c r="AA181" s="3" t="str">
        <f>IF(C_Ope_001[[#This Row],[fecha]]&gt;0,TEXT(C_Ope_001[[#This Row],[fecha]],"mmmm"),0)</f>
        <v>Abril</v>
      </c>
      <c r="AB181" s="159"/>
    </row>
    <row r="182" spans="1:28" ht="36" x14ac:dyDescent="0.3">
      <c r="A182" s="2">
        <f>IF(C_Ope_001[[#This Row],[tipo_r]]="R",COUNTIFS($C$1:$C181,"R")+1,"")</f>
        <v>181</v>
      </c>
      <c r="B182" s="19" t="str">
        <f t="shared" si="15"/>
        <v>C_Ope_001</v>
      </c>
      <c r="C182" s="3" t="s">
        <v>1330</v>
      </c>
      <c r="D182" s="211">
        <v>45771</v>
      </c>
      <c r="E182" s="5" t="s">
        <v>7753</v>
      </c>
      <c r="F182" s="5" t="s">
        <v>1336</v>
      </c>
      <c r="G182" s="6" t="s">
        <v>682</v>
      </c>
      <c r="H182" s="6" t="s">
        <v>68</v>
      </c>
      <c r="I182" s="6" t="s">
        <v>1353</v>
      </c>
      <c r="J182" s="6">
        <v>16196</v>
      </c>
      <c r="K182" s="7" t="s">
        <v>7850</v>
      </c>
      <c r="L182" s="8">
        <v>23981</v>
      </c>
      <c r="M182" s="8" t="str">
        <f t="shared" si="19"/>
        <v>PEN</v>
      </c>
      <c r="N182" s="13"/>
      <c r="O182" s="13">
        <v>20</v>
      </c>
      <c r="P182" s="3">
        <f t="shared" si="16"/>
        <v>0</v>
      </c>
      <c r="Q182" s="3">
        <f t="shared" si="17"/>
        <v>20</v>
      </c>
      <c r="R182" s="3">
        <f t="shared" si="18"/>
        <v>49.740000000000009</v>
      </c>
      <c r="S182" s="24" t="s">
        <v>1334</v>
      </c>
      <c r="T182" s="24" t="s">
        <v>1334</v>
      </c>
      <c r="U182" s="3"/>
      <c r="V182" s="25" t="s">
        <v>7756</v>
      </c>
      <c r="W182" s="25">
        <v>20259858934</v>
      </c>
      <c r="X182" s="25" t="str">
        <f>IFERROR(VLOOKUP(C_Ope_001[[#This Row],[nota_2]],Clientes_Proveedores[[Ruc / Dni]:[Razon Social]],2,0),"")</f>
        <v>COMERCIALIZACION Y SERVICIOS EL EDEN S.A.C.</v>
      </c>
      <c r="Y182" s="25"/>
      <c r="Z182" s="103"/>
      <c r="AA182" s="3" t="str">
        <f>IF(C_Ope_001[[#This Row],[fecha]]&gt;0,TEXT(C_Ope_001[[#This Row],[fecha]],"mmmm"),0)</f>
        <v>Abril</v>
      </c>
      <c r="AB182" s="159"/>
    </row>
    <row r="183" spans="1:28" ht="24" x14ac:dyDescent="0.3">
      <c r="A183" s="2">
        <f>IF(C_Ope_001[[#This Row],[tipo_r]]="R",COUNTIFS($C$1:$C182,"R")+1,"")</f>
        <v>182</v>
      </c>
      <c r="B183" s="19" t="str">
        <f t="shared" si="15"/>
        <v>C_Ope_001</v>
      </c>
      <c r="C183" s="3" t="s">
        <v>1330</v>
      </c>
      <c r="D183" s="211">
        <v>45775</v>
      </c>
      <c r="E183" s="5" t="s">
        <v>7514</v>
      </c>
      <c r="F183" s="5" t="s">
        <v>1303</v>
      </c>
      <c r="G183" s="6" t="s">
        <v>812</v>
      </c>
      <c r="H183" s="6"/>
      <c r="I183" s="6"/>
      <c r="J183" s="6"/>
      <c r="K183" s="7" t="s">
        <v>7516</v>
      </c>
      <c r="L183" s="8">
        <v>24054</v>
      </c>
      <c r="M183" s="8" t="str">
        <f t="shared" si="19"/>
        <v>PEN</v>
      </c>
      <c r="N183" s="13"/>
      <c r="O183" s="13">
        <v>150</v>
      </c>
      <c r="P183" s="3">
        <f t="shared" si="16"/>
        <v>150</v>
      </c>
      <c r="Q183" s="3">
        <f t="shared" si="17"/>
        <v>0</v>
      </c>
      <c r="R183" s="3">
        <f t="shared" si="18"/>
        <v>199.74</v>
      </c>
      <c r="S183" s="24" t="s">
        <v>1334</v>
      </c>
      <c r="T183" s="24" t="s">
        <v>1334</v>
      </c>
      <c r="U183" s="3"/>
      <c r="V183" s="25"/>
      <c r="W183" s="25"/>
      <c r="X183" s="25" t="str">
        <f>IFERROR(VLOOKUP(C_Ope_001[[#This Row],[nota_2]],Clientes_Proveedores[[Ruc / Dni]:[Razon Social]],2,0),"")</f>
        <v/>
      </c>
      <c r="Y183" s="25"/>
      <c r="Z183" s="103"/>
      <c r="AA183" s="3" t="str">
        <f>IF(C_Ope_001[[#This Row],[fecha]]&gt;0,TEXT(C_Ope_001[[#This Row],[fecha]],"mmmm"),0)</f>
        <v>Abril</v>
      </c>
      <c r="AB183" s="159"/>
    </row>
    <row r="184" spans="1:28" ht="24" x14ac:dyDescent="0.3">
      <c r="A184" s="2">
        <f>IF(C_Ope_001[[#This Row],[tipo_r]]="R",COUNTIFS($C$1:$C183,"R")+1,"")</f>
        <v>183</v>
      </c>
      <c r="B184" s="19" t="str">
        <f t="shared" si="15"/>
        <v>C_Ope_001</v>
      </c>
      <c r="C184" s="3" t="s">
        <v>1330</v>
      </c>
      <c r="D184" s="211">
        <v>45777</v>
      </c>
      <c r="E184" s="5" t="s">
        <v>7514</v>
      </c>
      <c r="F184" s="5" t="s">
        <v>1303</v>
      </c>
      <c r="G184" s="6" t="s">
        <v>812</v>
      </c>
      <c r="H184" s="6"/>
      <c r="I184" s="6"/>
      <c r="J184" s="6"/>
      <c r="K184" s="7" t="s">
        <v>7516</v>
      </c>
      <c r="L184" s="8">
        <v>24062</v>
      </c>
      <c r="M184" s="8" t="str">
        <f t="shared" si="19"/>
        <v>PEN</v>
      </c>
      <c r="N184" s="13"/>
      <c r="O184" s="13">
        <v>400</v>
      </c>
      <c r="P184" s="3">
        <f t="shared" si="16"/>
        <v>400</v>
      </c>
      <c r="Q184" s="3">
        <f t="shared" si="17"/>
        <v>0</v>
      </c>
      <c r="R184" s="3">
        <f t="shared" si="18"/>
        <v>599.74</v>
      </c>
      <c r="S184" s="24" t="s">
        <v>1334</v>
      </c>
      <c r="T184" s="24" t="s">
        <v>1334</v>
      </c>
      <c r="U184" s="3"/>
      <c r="V184" s="25"/>
      <c r="W184" s="25"/>
      <c r="X184" s="25" t="str">
        <f>IFERROR(VLOOKUP(C_Ope_001[[#This Row],[nota_2]],Clientes_Proveedores[[Ruc / Dni]:[Razon Social]],2,0),"")</f>
        <v/>
      </c>
      <c r="Y184" s="25"/>
      <c r="Z184" s="103"/>
      <c r="AA184" s="3" t="str">
        <f>IF(C_Ope_001[[#This Row],[fecha]]&gt;0,TEXT(C_Ope_001[[#This Row],[fecha]],"mmmm"),0)</f>
        <v>Abril</v>
      </c>
      <c r="AB184" s="159"/>
    </row>
    <row r="185" spans="1:28" ht="36" x14ac:dyDescent="0.3">
      <c r="A185" s="2">
        <f>IF(C_Ope_001[[#This Row],[tipo_r]]="R",COUNTIFS($C$1:$C184,"R")+1,"")</f>
        <v>184</v>
      </c>
      <c r="B185" s="19" t="str">
        <f t="shared" si="15"/>
        <v>C_Ope_001</v>
      </c>
      <c r="C185" s="3" t="s">
        <v>1330</v>
      </c>
      <c r="D185" s="211">
        <v>45775</v>
      </c>
      <c r="E185" s="5" t="s">
        <v>7753</v>
      </c>
      <c r="F185" s="5" t="s">
        <v>1336</v>
      </c>
      <c r="G185" s="6" t="s">
        <v>682</v>
      </c>
      <c r="H185" s="6" t="s">
        <v>68</v>
      </c>
      <c r="I185" s="6" t="s">
        <v>1343</v>
      </c>
      <c r="J185" s="6">
        <v>34504</v>
      </c>
      <c r="K185" s="7" t="s">
        <v>7851</v>
      </c>
      <c r="L185" s="8">
        <v>24010</v>
      </c>
      <c r="M185" s="8" t="str">
        <f t="shared" si="19"/>
        <v>PEN</v>
      </c>
      <c r="N185" s="13"/>
      <c r="O185" s="13">
        <v>10</v>
      </c>
      <c r="P185" s="3">
        <f t="shared" si="16"/>
        <v>0</v>
      </c>
      <c r="Q185" s="3">
        <f t="shared" si="17"/>
        <v>10</v>
      </c>
      <c r="R185" s="3">
        <f t="shared" si="18"/>
        <v>589.74</v>
      </c>
      <c r="S185" s="24" t="s">
        <v>1334</v>
      </c>
      <c r="T185" s="24" t="s">
        <v>1334</v>
      </c>
      <c r="U185" s="3"/>
      <c r="V185" s="25" t="s">
        <v>7756</v>
      </c>
      <c r="W185" s="25">
        <v>20259858934</v>
      </c>
      <c r="X185" s="25" t="str">
        <f>IFERROR(VLOOKUP(C_Ope_001[[#This Row],[nota_2]],Clientes_Proveedores[[Ruc / Dni]:[Razon Social]],2,0),"")</f>
        <v>COMERCIALIZACION Y SERVICIOS EL EDEN S.A.C.</v>
      </c>
      <c r="Y185" s="25"/>
      <c r="Z185" s="103"/>
      <c r="AA185" s="3" t="str">
        <f>IF(C_Ope_001[[#This Row],[fecha]]&gt;0,TEXT(C_Ope_001[[#This Row],[fecha]],"mmmm"),0)</f>
        <v>Abril</v>
      </c>
      <c r="AB185" s="159"/>
    </row>
    <row r="186" spans="1:28" ht="36" x14ac:dyDescent="0.3">
      <c r="A186" s="2">
        <f>IF(C_Ope_001[[#This Row],[tipo_r]]="R",COUNTIFS($C$1:$C185,"R")+1,"")</f>
        <v>185</v>
      </c>
      <c r="B186" s="19" t="str">
        <f t="shared" si="15"/>
        <v>C_Ope_001</v>
      </c>
      <c r="C186" s="3" t="s">
        <v>1330</v>
      </c>
      <c r="D186" s="211">
        <v>45775</v>
      </c>
      <c r="E186" s="5" t="s">
        <v>7753</v>
      </c>
      <c r="F186" s="5" t="s">
        <v>1336</v>
      </c>
      <c r="G186" s="6" t="s">
        <v>682</v>
      </c>
      <c r="H186" s="6" t="s">
        <v>68</v>
      </c>
      <c r="I186" s="6" t="s">
        <v>1343</v>
      </c>
      <c r="J186" s="6">
        <v>34492</v>
      </c>
      <c r="K186" s="7" t="s">
        <v>7852</v>
      </c>
      <c r="L186" s="8">
        <v>24011</v>
      </c>
      <c r="M186" s="8" t="str">
        <f t="shared" si="19"/>
        <v>PEN</v>
      </c>
      <c r="N186" s="13"/>
      <c r="O186" s="13">
        <v>10</v>
      </c>
      <c r="P186" s="3">
        <f t="shared" si="16"/>
        <v>0</v>
      </c>
      <c r="Q186" s="3">
        <f t="shared" si="17"/>
        <v>10</v>
      </c>
      <c r="R186" s="3">
        <f t="shared" si="18"/>
        <v>579.74</v>
      </c>
      <c r="S186" s="24" t="s">
        <v>1334</v>
      </c>
      <c r="T186" s="24" t="s">
        <v>1334</v>
      </c>
      <c r="U186" s="3"/>
      <c r="V186" s="25" t="s">
        <v>7756</v>
      </c>
      <c r="W186" s="25">
        <v>20259858934</v>
      </c>
      <c r="X186" s="25" t="str">
        <f>IFERROR(VLOOKUP(C_Ope_001[[#This Row],[nota_2]],Clientes_Proveedores[[Ruc / Dni]:[Razon Social]],2,0),"")</f>
        <v>COMERCIALIZACION Y SERVICIOS EL EDEN S.A.C.</v>
      </c>
      <c r="Y186" s="25"/>
      <c r="Z186" s="103"/>
      <c r="AA186" s="3" t="str">
        <f>IF(C_Ope_001[[#This Row],[fecha]]&gt;0,TEXT(C_Ope_001[[#This Row],[fecha]],"mmmm"),0)</f>
        <v>Abril</v>
      </c>
      <c r="AB186" s="159"/>
    </row>
    <row r="187" spans="1:28" ht="36" x14ac:dyDescent="0.3">
      <c r="A187" s="2">
        <f>IF(C_Ope_001[[#This Row],[tipo_r]]="R",COUNTIFS($C$1:$C186,"R")+1,"")</f>
        <v>186</v>
      </c>
      <c r="B187" s="19" t="str">
        <f t="shared" si="15"/>
        <v>C_Ope_001</v>
      </c>
      <c r="C187" s="3" t="s">
        <v>1330</v>
      </c>
      <c r="D187" s="211">
        <v>45776</v>
      </c>
      <c r="E187" s="5" t="s">
        <v>7753</v>
      </c>
      <c r="F187" s="5" t="s">
        <v>1336</v>
      </c>
      <c r="G187" s="6" t="s">
        <v>682</v>
      </c>
      <c r="H187" s="6" t="s">
        <v>68</v>
      </c>
      <c r="I187" s="6" t="s">
        <v>1353</v>
      </c>
      <c r="J187" s="6">
        <v>16272</v>
      </c>
      <c r="K187" s="7" t="s">
        <v>7853</v>
      </c>
      <c r="L187" s="8">
        <v>24061</v>
      </c>
      <c r="M187" s="8" t="str">
        <f t="shared" si="19"/>
        <v>PEN</v>
      </c>
      <c r="N187" s="13"/>
      <c r="O187" s="13">
        <v>20</v>
      </c>
      <c r="P187" s="3">
        <f t="shared" si="16"/>
        <v>0</v>
      </c>
      <c r="Q187" s="3">
        <f t="shared" si="17"/>
        <v>20</v>
      </c>
      <c r="R187" s="3">
        <f t="shared" si="18"/>
        <v>559.74</v>
      </c>
      <c r="S187" s="24" t="s">
        <v>1334</v>
      </c>
      <c r="T187" s="24" t="s">
        <v>1334</v>
      </c>
      <c r="U187" s="3"/>
      <c r="V187" s="25" t="s">
        <v>7756</v>
      </c>
      <c r="W187" s="25">
        <v>20259858934</v>
      </c>
      <c r="X187" s="25" t="str">
        <f>IFERROR(VLOOKUP(C_Ope_001[[#This Row],[nota_2]],Clientes_Proveedores[[Ruc / Dni]:[Razon Social]],2,0),"")</f>
        <v>COMERCIALIZACION Y SERVICIOS EL EDEN S.A.C.</v>
      </c>
      <c r="Y187" s="25"/>
      <c r="Z187" s="103"/>
      <c r="AA187" s="3" t="str">
        <f>IF(C_Ope_001[[#This Row],[fecha]]&gt;0,TEXT(C_Ope_001[[#This Row],[fecha]],"mmmm"),0)</f>
        <v>Abril</v>
      </c>
      <c r="AB187" s="159"/>
    </row>
    <row r="188" spans="1:28" ht="24" x14ac:dyDescent="0.3">
      <c r="A188" s="2">
        <f>IF(C_Ope_001[[#This Row],[tipo_r]]="R",COUNTIFS($C$1:$C187,"R")+1,"")</f>
        <v>187</v>
      </c>
      <c r="B188" s="19" t="str">
        <f t="shared" si="15"/>
        <v>C_Ope_001</v>
      </c>
      <c r="C188" s="3" t="s">
        <v>1330</v>
      </c>
      <c r="D188" s="211">
        <v>45779</v>
      </c>
      <c r="E188" s="5" t="s">
        <v>7753</v>
      </c>
      <c r="F188" s="5" t="s">
        <v>1336</v>
      </c>
      <c r="G188" s="6" t="s">
        <v>978</v>
      </c>
      <c r="H188" s="6" t="s">
        <v>68</v>
      </c>
      <c r="I188" s="6" t="s">
        <v>6204</v>
      </c>
      <c r="J188" s="6">
        <v>1720217</v>
      </c>
      <c r="K188" s="7" t="s">
        <v>7849</v>
      </c>
      <c r="L188" s="8">
        <v>24082</v>
      </c>
      <c r="M188" s="8" t="str">
        <f t="shared" si="19"/>
        <v>PEN</v>
      </c>
      <c r="N188" s="13"/>
      <c r="O188" s="13">
        <v>8</v>
      </c>
      <c r="P188" s="3">
        <f t="shared" si="16"/>
        <v>0</v>
      </c>
      <c r="Q188" s="3">
        <f t="shared" si="17"/>
        <v>8</v>
      </c>
      <c r="R188" s="3">
        <f t="shared" si="18"/>
        <v>551.74</v>
      </c>
      <c r="S188" s="24" t="s">
        <v>1334</v>
      </c>
      <c r="T188" s="24" t="s">
        <v>1334</v>
      </c>
      <c r="U188" s="3"/>
      <c r="V188" s="25" t="s">
        <v>7761</v>
      </c>
      <c r="W188" s="25">
        <v>20517252558</v>
      </c>
      <c r="X188" s="25" t="str">
        <f>IFERROR(VLOOKUP(C_Ope_001[[#This Row],[nota_2]],Clientes_Proveedores[[Ruc / Dni]:[Razon Social]],2,0),"")</f>
        <v>COVISUR S.A.</v>
      </c>
      <c r="Y188" s="25"/>
      <c r="Z188" s="103"/>
      <c r="AA188" s="3" t="str">
        <f>IF(C_Ope_001[[#This Row],[fecha]]&gt;0,TEXT(C_Ope_001[[#This Row],[fecha]],"mmmm"),0)</f>
        <v>Mayo</v>
      </c>
      <c r="AB188" s="159"/>
    </row>
    <row r="189" spans="1:28" ht="24" x14ac:dyDescent="0.3">
      <c r="A189" s="2">
        <f>IF(C_Ope_001[[#This Row],[tipo_r]]="R",COUNTIFS($C$1:$C188,"R")+1,"")</f>
        <v>188</v>
      </c>
      <c r="B189" s="19" t="str">
        <f t="shared" si="15"/>
        <v>C_Ope_001</v>
      </c>
      <c r="C189" s="3" t="s">
        <v>1330</v>
      </c>
      <c r="D189" s="211">
        <v>45779</v>
      </c>
      <c r="E189" s="5" t="s">
        <v>7753</v>
      </c>
      <c r="F189" s="5" t="s">
        <v>1336</v>
      </c>
      <c r="G189" s="6" t="s">
        <v>978</v>
      </c>
      <c r="H189" s="6" t="s">
        <v>68</v>
      </c>
      <c r="I189" s="6" t="s">
        <v>6203</v>
      </c>
      <c r="J189" s="6">
        <v>2038901</v>
      </c>
      <c r="K189" s="7" t="s">
        <v>7849</v>
      </c>
      <c r="L189" s="8">
        <v>24083</v>
      </c>
      <c r="M189" s="8" t="str">
        <f t="shared" si="19"/>
        <v>PEN</v>
      </c>
      <c r="N189" s="13"/>
      <c r="O189" s="13">
        <v>8</v>
      </c>
      <c r="P189" s="3">
        <f t="shared" si="16"/>
        <v>0</v>
      </c>
      <c r="Q189" s="3">
        <f t="shared" si="17"/>
        <v>8</v>
      </c>
      <c r="R189" s="3">
        <f t="shared" si="18"/>
        <v>543.74</v>
      </c>
      <c r="S189" s="24" t="s">
        <v>1334</v>
      </c>
      <c r="T189" s="24" t="s">
        <v>1334</v>
      </c>
      <c r="U189" s="3"/>
      <c r="V189" s="25" t="s">
        <v>7761</v>
      </c>
      <c r="W189" s="25">
        <v>20517252558</v>
      </c>
      <c r="X189" s="25" t="str">
        <f>IFERROR(VLOOKUP(C_Ope_001[[#This Row],[nota_2]],Clientes_Proveedores[[Ruc / Dni]:[Razon Social]],2,0),"")</f>
        <v>COVISUR S.A.</v>
      </c>
      <c r="Y189" s="25"/>
      <c r="Z189" s="103"/>
      <c r="AA189" s="3" t="str">
        <f>IF(C_Ope_001[[#This Row],[fecha]]&gt;0,TEXT(C_Ope_001[[#This Row],[fecha]],"mmmm"),0)</f>
        <v>Mayo</v>
      </c>
      <c r="AB189" s="159"/>
    </row>
    <row r="190" spans="1:28" ht="24" x14ac:dyDescent="0.3">
      <c r="A190" s="2">
        <f>IF(C_Ope_001[[#This Row],[tipo_r]]="R",COUNTIFS($C$1:$C189,"R")+1,"")</f>
        <v>189</v>
      </c>
      <c r="B190" s="19" t="str">
        <f t="shared" si="15"/>
        <v>C_Ope_001</v>
      </c>
      <c r="C190" s="3" t="s">
        <v>1330</v>
      </c>
      <c r="D190" s="211">
        <v>45782</v>
      </c>
      <c r="E190" s="5" t="s">
        <v>7753</v>
      </c>
      <c r="F190" s="5" t="s">
        <v>1336</v>
      </c>
      <c r="G190" s="6" t="s">
        <v>978</v>
      </c>
      <c r="H190" s="6" t="s">
        <v>68</v>
      </c>
      <c r="I190" s="6" t="s">
        <v>5845</v>
      </c>
      <c r="J190" s="6">
        <v>1742002</v>
      </c>
      <c r="K190" s="7" t="s">
        <v>7854</v>
      </c>
      <c r="L190" s="8">
        <v>24114</v>
      </c>
      <c r="M190" s="8" t="str">
        <f t="shared" si="19"/>
        <v>PEN</v>
      </c>
      <c r="N190" s="13"/>
      <c r="O190" s="13">
        <v>8</v>
      </c>
      <c r="P190" s="3">
        <f t="shared" si="16"/>
        <v>0</v>
      </c>
      <c r="Q190" s="3">
        <f t="shared" si="17"/>
        <v>8</v>
      </c>
      <c r="R190" s="3">
        <f t="shared" si="18"/>
        <v>535.74</v>
      </c>
      <c r="S190" s="24" t="s">
        <v>1334</v>
      </c>
      <c r="T190" s="24" t="s">
        <v>1334</v>
      </c>
      <c r="U190" s="3"/>
      <c r="V190" s="25" t="s">
        <v>7761</v>
      </c>
      <c r="W190" s="25">
        <v>20517252558</v>
      </c>
      <c r="X190" s="25" t="str">
        <f>IFERROR(VLOOKUP(C_Ope_001[[#This Row],[nota_2]],Clientes_Proveedores[[Ruc / Dni]:[Razon Social]],2,0),"")</f>
        <v>COVISUR S.A.</v>
      </c>
      <c r="Y190" s="25"/>
      <c r="Z190" s="103"/>
      <c r="AA190" s="3" t="str">
        <f>IF(C_Ope_001[[#This Row],[fecha]]&gt;0,TEXT(C_Ope_001[[#This Row],[fecha]],"mmmm"),0)</f>
        <v>Mayo</v>
      </c>
      <c r="AB190" s="159"/>
    </row>
    <row r="191" spans="1:28" ht="24" x14ac:dyDescent="0.3">
      <c r="A191" s="2">
        <f>IF(C_Ope_001[[#This Row],[tipo_r]]="R",COUNTIFS($C$1:$C190,"R")+1,"")</f>
        <v>190</v>
      </c>
      <c r="B191" s="19" t="str">
        <f t="shared" si="15"/>
        <v>C_Ope_001</v>
      </c>
      <c r="C191" s="3" t="s">
        <v>1330</v>
      </c>
      <c r="D191" s="211">
        <v>45782</v>
      </c>
      <c r="E191" s="5" t="s">
        <v>7753</v>
      </c>
      <c r="F191" s="5" t="s">
        <v>1336</v>
      </c>
      <c r="G191" s="6" t="s">
        <v>978</v>
      </c>
      <c r="H191" s="6" t="s">
        <v>68</v>
      </c>
      <c r="I191" s="6" t="s">
        <v>6204</v>
      </c>
      <c r="J191" s="6">
        <v>1722424</v>
      </c>
      <c r="K191" s="7" t="s">
        <v>7854</v>
      </c>
      <c r="L191" s="8">
        <v>24115</v>
      </c>
      <c r="M191" s="8" t="str">
        <f t="shared" si="19"/>
        <v>PEN</v>
      </c>
      <c r="N191" s="13"/>
      <c r="O191" s="13">
        <v>8</v>
      </c>
      <c r="P191" s="3">
        <f t="shared" si="16"/>
        <v>0</v>
      </c>
      <c r="Q191" s="3">
        <f t="shared" si="17"/>
        <v>8</v>
      </c>
      <c r="R191" s="3">
        <f t="shared" si="18"/>
        <v>527.74</v>
      </c>
      <c r="S191" s="24" t="s">
        <v>1334</v>
      </c>
      <c r="T191" s="24" t="s">
        <v>1334</v>
      </c>
      <c r="U191" s="3"/>
      <c r="V191" s="25" t="s">
        <v>7761</v>
      </c>
      <c r="W191" s="25">
        <v>20517252558</v>
      </c>
      <c r="X191" s="25" t="str">
        <f>IFERROR(VLOOKUP(C_Ope_001[[#This Row],[nota_2]],Clientes_Proveedores[[Ruc / Dni]:[Razon Social]],2,0),"")</f>
        <v>COVISUR S.A.</v>
      </c>
      <c r="Y191" s="25"/>
      <c r="Z191" s="103"/>
      <c r="AA191" s="3" t="str">
        <f>IF(C_Ope_001[[#This Row],[fecha]]&gt;0,TEXT(C_Ope_001[[#This Row],[fecha]],"mmmm"),0)</f>
        <v>Mayo</v>
      </c>
      <c r="AB191" s="159"/>
    </row>
    <row r="192" spans="1:28" ht="36" x14ac:dyDescent="0.3">
      <c r="A192" s="2">
        <f>IF(C_Ope_001[[#This Row],[tipo_r]]="R",COUNTIFS($C$1:$C191,"R")+1,"")</f>
        <v>191</v>
      </c>
      <c r="B192" s="19" t="str">
        <f t="shared" si="15"/>
        <v>C_Ope_001</v>
      </c>
      <c r="C192" s="3" t="s">
        <v>1330</v>
      </c>
      <c r="D192" s="211">
        <v>45783</v>
      </c>
      <c r="E192" s="5" t="s">
        <v>7753</v>
      </c>
      <c r="F192" s="5" t="s">
        <v>1336</v>
      </c>
      <c r="G192" s="6" t="s">
        <v>978</v>
      </c>
      <c r="H192" s="6" t="s">
        <v>68</v>
      </c>
      <c r="I192" s="6" t="s">
        <v>6204</v>
      </c>
      <c r="J192" s="6">
        <v>1723434</v>
      </c>
      <c r="K192" s="7" t="s">
        <v>7855</v>
      </c>
      <c r="L192" s="8">
        <v>24126</v>
      </c>
      <c r="M192" s="8" t="str">
        <f t="shared" si="19"/>
        <v>PEN</v>
      </c>
      <c r="N192" s="13"/>
      <c r="O192" s="13">
        <v>8</v>
      </c>
      <c r="P192" s="3">
        <f t="shared" si="16"/>
        <v>0</v>
      </c>
      <c r="Q192" s="3">
        <f t="shared" si="17"/>
        <v>8</v>
      </c>
      <c r="R192" s="3">
        <f t="shared" si="18"/>
        <v>519.74</v>
      </c>
      <c r="S192" s="24" t="s">
        <v>1334</v>
      </c>
      <c r="T192" s="24" t="s">
        <v>1334</v>
      </c>
      <c r="U192" s="3"/>
      <c r="V192" s="25" t="s">
        <v>7761</v>
      </c>
      <c r="W192" s="25">
        <v>20517252558</v>
      </c>
      <c r="X192" s="25" t="str">
        <f>IFERROR(VLOOKUP(C_Ope_001[[#This Row],[nota_2]],Clientes_Proveedores[[Ruc / Dni]:[Razon Social]],2,0),"")</f>
        <v>COVISUR S.A.</v>
      </c>
      <c r="Y192" s="25"/>
      <c r="Z192" s="103"/>
      <c r="AA192" s="3" t="str">
        <f>IF(C_Ope_001[[#This Row],[fecha]]&gt;0,TEXT(C_Ope_001[[#This Row],[fecha]],"mmmm"),0)</f>
        <v>Mayo</v>
      </c>
      <c r="AB192" s="159"/>
    </row>
    <row r="193" spans="1:28" ht="36" x14ac:dyDescent="0.3">
      <c r="A193" s="2">
        <f>IF(C_Ope_001[[#This Row],[tipo_r]]="R",COUNTIFS($C$1:$C192,"R")+1,"")</f>
        <v>192</v>
      </c>
      <c r="B193" s="19" t="str">
        <f t="shared" si="15"/>
        <v>C_Ope_001</v>
      </c>
      <c r="C193" s="3" t="s">
        <v>1330</v>
      </c>
      <c r="D193" s="211">
        <v>45783</v>
      </c>
      <c r="E193" s="5" t="s">
        <v>7753</v>
      </c>
      <c r="F193" s="5" t="s">
        <v>1336</v>
      </c>
      <c r="G193" s="6" t="s">
        <v>978</v>
      </c>
      <c r="H193" s="6" t="s">
        <v>68</v>
      </c>
      <c r="I193" s="6" t="s">
        <v>5845</v>
      </c>
      <c r="J193" s="6">
        <v>1742864</v>
      </c>
      <c r="K193" s="7" t="s">
        <v>7855</v>
      </c>
      <c r="L193" s="8">
        <v>24129</v>
      </c>
      <c r="M193" s="8" t="str">
        <f t="shared" si="19"/>
        <v>PEN</v>
      </c>
      <c r="N193" s="13"/>
      <c r="O193" s="13">
        <v>8</v>
      </c>
      <c r="P193" s="3">
        <f t="shared" si="16"/>
        <v>0</v>
      </c>
      <c r="Q193" s="3">
        <f t="shared" si="17"/>
        <v>8</v>
      </c>
      <c r="R193" s="3">
        <f t="shared" si="18"/>
        <v>511.74</v>
      </c>
      <c r="S193" s="24" t="s">
        <v>1334</v>
      </c>
      <c r="T193" s="24" t="s">
        <v>1334</v>
      </c>
      <c r="U193" s="3"/>
      <c r="V193" s="25" t="s">
        <v>7761</v>
      </c>
      <c r="W193" s="25">
        <v>20517252558</v>
      </c>
      <c r="X193" s="25" t="str">
        <f>IFERROR(VLOOKUP(C_Ope_001[[#This Row],[nota_2]],Clientes_Proveedores[[Ruc / Dni]:[Razon Social]],2,0),"")</f>
        <v>COVISUR S.A.</v>
      </c>
      <c r="Y193" s="25"/>
      <c r="Z193" s="103"/>
      <c r="AA193" s="3" t="str">
        <f>IF(C_Ope_001[[#This Row],[fecha]]&gt;0,TEXT(C_Ope_001[[#This Row],[fecha]],"mmmm"),0)</f>
        <v>Mayo</v>
      </c>
      <c r="AB193" s="159"/>
    </row>
    <row r="194" spans="1:28" ht="24" x14ac:dyDescent="0.3">
      <c r="A194" s="2">
        <f>IF(C_Ope_001[[#This Row],[tipo_r]]="R",COUNTIFS($C$1:$C193,"R")+1,"")</f>
        <v>193</v>
      </c>
      <c r="B194" s="19" t="str">
        <f t="shared" ref="B194:B257" si="20">"C_Ope_001"</f>
        <v>C_Ope_001</v>
      </c>
      <c r="C194" s="3" t="s">
        <v>1330</v>
      </c>
      <c r="D194" s="211">
        <v>45784</v>
      </c>
      <c r="E194" s="5" t="s">
        <v>7753</v>
      </c>
      <c r="F194" s="5" t="s">
        <v>1336</v>
      </c>
      <c r="G194" s="6" t="s">
        <v>978</v>
      </c>
      <c r="H194" s="6" t="s">
        <v>68</v>
      </c>
      <c r="I194" s="6" t="s">
        <v>6204</v>
      </c>
      <c r="J194" s="6">
        <v>1724448</v>
      </c>
      <c r="K194" s="7" t="s">
        <v>7782</v>
      </c>
      <c r="L194" s="8">
        <v>24132</v>
      </c>
      <c r="M194" s="8" t="str">
        <f t="shared" si="19"/>
        <v>PEN</v>
      </c>
      <c r="N194" s="13"/>
      <c r="O194" s="13">
        <v>8</v>
      </c>
      <c r="P194" s="3">
        <f t="shared" ref="P194:P257" si="21">+IF(OR($F194="SALDO",$F194="INGRESO"),$O194,0)</f>
        <v>0</v>
      </c>
      <c r="Q194" s="3">
        <f t="shared" ref="Q194:Q257" si="22">+IF($F194="EGRESO",$O194,0)</f>
        <v>8</v>
      </c>
      <c r="R194" s="3">
        <f t="shared" ref="R194:R257" si="23">IFERROR(IF(F194="SALDO",P194,R193+P194-Q194),0)</f>
        <v>503.74</v>
      </c>
      <c r="S194" s="24" t="s">
        <v>1334</v>
      </c>
      <c r="T194" s="24" t="s">
        <v>1334</v>
      </c>
      <c r="U194" s="3"/>
      <c r="V194" s="25" t="s">
        <v>7761</v>
      </c>
      <c r="W194" s="25">
        <v>20517252558</v>
      </c>
      <c r="X194" s="25" t="str">
        <f>IFERROR(VLOOKUP(C_Ope_001[[#This Row],[nota_2]],Clientes_Proveedores[[Ruc / Dni]:[Razon Social]],2,0),"")</f>
        <v>COVISUR S.A.</v>
      </c>
      <c r="Y194" s="25"/>
      <c r="Z194" s="103"/>
      <c r="AA194" s="3" t="str">
        <f>IF(C_Ope_001[[#This Row],[fecha]]&gt;0,TEXT(C_Ope_001[[#This Row],[fecha]],"mmmm"),0)</f>
        <v>Mayo</v>
      </c>
      <c r="AB194" s="159"/>
    </row>
    <row r="195" spans="1:28" ht="24" x14ac:dyDescent="0.3">
      <c r="A195" s="2">
        <f>IF(C_Ope_001[[#This Row],[tipo_r]]="R",COUNTIFS($C$1:$C194,"R")+1,"")</f>
        <v>194</v>
      </c>
      <c r="B195" s="19" t="str">
        <f t="shared" si="20"/>
        <v>C_Ope_001</v>
      </c>
      <c r="C195" s="3" t="s">
        <v>1330</v>
      </c>
      <c r="D195" s="211">
        <v>45784</v>
      </c>
      <c r="E195" s="5" t="s">
        <v>7753</v>
      </c>
      <c r="F195" s="5" t="s">
        <v>1336</v>
      </c>
      <c r="G195" s="6" t="s">
        <v>978</v>
      </c>
      <c r="H195" s="6" t="s">
        <v>68</v>
      </c>
      <c r="I195" s="6" t="s">
        <v>5845</v>
      </c>
      <c r="J195" s="6">
        <v>1743763</v>
      </c>
      <c r="K195" s="7" t="s">
        <v>7782</v>
      </c>
      <c r="L195" s="8">
        <v>24133</v>
      </c>
      <c r="M195" s="8" t="str">
        <f t="shared" ref="M195:M258" si="24">"PEN"</f>
        <v>PEN</v>
      </c>
      <c r="N195" s="13"/>
      <c r="O195" s="13">
        <v>8</v>
      </c>
      <c r="P195" s="3">
        <f t="shared" si="21"/>
        <v>0</v>
      </c>
      <c r="Q195" s="3">
        <f t="shared" si="22"/>
        <v>8</v>
      </c>
      <c r="R195" s="3">
        <f t="shared" si="23"/>
        <v>495.74</v>
      </c>
      <c r="S195" s="24" t="s">
        <v>1334</v>
      </c>
      <c r="T195" s="24" t="s">
        <v>1334</v>
      </c>
      <c r="U195" s="3"/>
      <c r="V195" s="25" t="s">
        <v>7761</v>
      </c>
      <c r="W195" s="25">
        <v>20517252558</v>
      </c>
      <c r="X195" s="25" t="str">
        <f>IFERROR(VLOOKUP(C_Ope_001[[#This Row],[nota_2]],Clientes_Proveedores[[Ruc / Dni]:[Razon Social]],2,0),"")</f>
        <v>COVISUR S.A.</v>
      </c>
      <c r="Y195" s="25"/>
      <c r="Z195" s="103"/>
      <c r="AA195" s="3" t="str">
        <f>IF(C_Ope_001[[#This Row],[fecha]]&gt;0,TEXT(C_Ope_001[[#This Row],[fecha]],"mmmm"),0)</f>
        <v>Mayo</v>
      </c>
      <c r="AB195" s="159"/>
    </row>
    <row r="196" spans="1:28" ht="36" x14ac:dyDescent="0.3">
      <c r="A196" s="2">
        <f>IF(C_Ope_001[[#This Row],[tipo_r]]="R",COUNTIFS($C$1:$C195,"R")+1,"")</f>
        <v>195</v>
      </c>
      <c r="B196" s="19" t="str">
        <f t="shared" si="20"/>
        <v>C_Ope_001</v>
      </c>
      <c r="C196" s="3" t="s">
        <v>1330</v>
      </c>
      <c r="D196" s="211">
        <v>45779</v>
      </c>
      <c r="E196" s="5" t="s">
        <v>7753</v>
      </c>
      <c r="F196" s="5" t="s">
        <v>1336</v>
      </c>
      <c r="G196" s="6" t="s">
        <v>227</v>
      </c>
      <c r="H196" s="6" t="s">
        <v>68</v>
      </c>
      <c r="I196" s="6" t="s">
        <v>1390</v>
      </c>
      <c r="J196" s="6">
        <v>131387</v>
      </c>
      <c r="K196" s="7" t="s">
        <v>7856</v>
      </c>
      <c r="L196" s="8">
        <v>24084</v>
      </c>
      <c r="M196" s="8" t="str">
        <f t="shared" si="24"/>
        <v>PEN</v>
      </c>
      <c r="N196" s="13"/>
      <c r="O196" s="13">
        <v>10</v>
      </c>
      <c r="P196" s="3">
        <f t="shared" si="21"/>
        <v>0</v>
      </c>
      <c r="Q196" s="3">
        <f t="shared" si="22"/>
        <v>10</v>
      </c>
      <c r="R196" s="3">
        <f t="shared" si="23"/>
        <v>485.74</v>
      </c>
      <c r="S196" s="24" t="s">
        <v>1334</v>
      </c>
      <c r="T196" s="24" t="s">
        <v>1334</v>
      </c>
      <c r="U196" s="3"/>
      <c r="V196" s="25" t="s">
        <v>7761</v>
      </c>
      <c r="W196" s="25">
        <v>20124952850</v>
      </c>
      <c r="X196" s="25" t="str">
        <f>IFERROR(VLOOKUP(C_Ope_001[[#This Row],[nota_2]],Clientes_Proveedores[[Ruc / Dni]:[Razon Social]],2,0),"")</f>
        <v>ALIMENTOS Y SERVICIOS AGROPECUARIOS SRL.</v>
      </c>
      <c r="Y196" s="25"/>
      <c r="Z196" s="103"/>
      <c r="AA196" s="3" t="str">
        <f>IF(C_Ope_001[[#This Row],[fecha]]&gt;0,TEXT(C_Ope_001[[#This Row],[fecha]],"mmmm"),0)</f>
        <v>Mayo</v>
      </c>
      <c r="AB196" s="159"/>
    </row>
    <row r="197" spans="1:28" ht="36" x14ac:dyDescent="0.3">
      <c r="A197" s="2">
        <f>IF(C_Ope_001[[#This Row],[tipo_r]]="R",COUNTIFS($C$1:$C196,"R")+1,"")</f>
        <v>196</v>
      </c>
      <c r="B197" s="19" t="str">
        <f t="shared" si="20"/>
        <v>C_Ope_001</v>
      </c>
      <c r="C197" s="3" t="s">
        <v>1330</v>
      </c>
      <c r="D197" s="211">
        <v>45779</v>
      </c>
      <c r="E197" s="5" t="s">
        <v>7753</v>
      </c>
      <c r="F197" s="5" t="s">
        <v>1336</v>
      </c>
      <c r="G197" s="6" t="s">
        <v>682</v>
      </c>
      <c r="H197" s="6" t="s">
        <v>68</v>
      </c>
      <c r="I197" s="6" t="s">
        <v>1343</v>
      </c>
      <c r="J197" s="6">
        <v>34544</v>
      </c>
      <c r="K197" s="7" t="s">
        <v>7840</v>
      </c>
      <c r="L197" s="8">
        <v>24085</v>
      </c>
      <c r="M197" s="8" t="str">
        <f t="shared" si="24"/>
        <v>PEN</v>
      </c>
      <c r="N197" s="13"/>
      <c r="O197" s="13">
        <v>10</v>
      </c>
      <c r="P197" s="3">
        <f t="shared" si="21"/>
        <v>0</v>
      </c>
      <c r="Q197" s="3">
        <f t="shared" si="22"/>
        <v>10</v>
      </c>
      <c r="R197" s="3">
        <f t="shared" si="23"/>
        <v>475.74</v>
      </c>
      <c r="S197" s="24" t="s">
        <v>1334</v>
      </c>
      <c r="T197" s="24" t="s">
        <v>1334</v>
      </c>
      <c r="U197" s="3"/>
      <c r="V197" s="25" t="s">
        <v>7761</v>
      </c>
      <c r="W197" s="25">
        <v>20259858934</v>
      </c>
      <c r="X197" s="25" t="str">
        <f>IFERROR(VLOOKUP(C_Ope_001[[#This Row],[nota_2]],Clientes_Proveedores[[Ruc / Dni]:[Razon Social]],2,0),"")</f>
        <v>COMERCIALIZACION Y SERVICIOS EL EDEN S.A.C.</v>
      </c>
      <c r="Y197" s="25"/>
      <c r="Z197" s="103"/>
      <c r="AA197" s="3" t="str">
        <f>IF(C_Ope_001[[#This Row],[fecha]]&gt;0,TEXT(C_Ope_001[[#This Row],[fecha]],"mmmm"),0)</f>
        <v>Mayo</v>
      </c>
      <c r="AB197" s="159"/>
    </row>
    <row r="198" spans="1:28" ht="36" x14ac:dyDescent="0.3">
      <c r="A198" s="2">
        <f>IF(C_Ope_001[[#This Row],[tipo_r]]="R",COUNTIFS($C$1:$C197,"R")+1,"")</f>
        <v>197</v>
      </c>
      <c r="B198" s="19" t="str">
        <f t="shared" si="20"/>
        <v>C_Ope_001</v>
      </c>
      <c r="C198" s="3" t="s">
        <v>1330</v>
      </c>
      <c r="D198" s="211">
        <v>45782</v>
      </c>
      <c r="E198" s="5" t="s">
        <v>7753</v>
      </c>
      <c r="F198" s="5" t="s">
        <v>1336</v>
      </c>
      <c r="G198" s="6" t="s">
        <v>682</v>
      </c>
      <c r="H198" s="6" t="s">
        <v>68</v>
      </c>
      <c r="I198" s="6" t="s">
        <v>1343</v>
      </c>
      <c r="J198" s="6">
        <v>34564</v>
      </c>
      <c r="K198" s="7" t="s">
        <v>7840</v>
      </c>
      <c r="L198" s="8">
        <v>24116</v>
      </c>
      <c r="M198" s="8" t="str">
        <f t="shared" si="24"/>
        <v>PEN</v>
      </c>
      <c r="N198" s="13"/>
      <c r="O198" s="13">
        <v>10</v>
      </c>
      <c r="P198" s="3">
        <f t="shared" si="21"/>
        <v>0</v>
      </c>
      <c r="Q198" s="3">
        <f t="shared" si="22"/>
        <v>10</v>
      </c>
      <c r="R198" s="3">
        <f t="shared" si="23"/>
        <v>465.74</v>
      </c>
      <c r="S198" s="24" t="s">
        <v>1334</v>
      </c>
      <c r="T198" s="24" t="s">
        <v>1334</v>
      </c>
      <c r="U198" s="3"/>
      <c r="V198" s="25" t="s">
        <v>7761</v>
      </c>
      <c r="W198" s="25">
        <v>20259858934</v>
      </c>
      <c r="X198" s="25" t="str">
        <f>IFERROR(VLOOKUP(C_Ope_001[[#This Row],[nota_2]],Clientes_Proveedores[[Ruc / Dni]:[Razon Social]],2,0),"")</f>
        <v>COMERCIALIZACION Y SERVICIOS EL EDEN S.A.C.</v>
      </c>
      <c r="Y198" s="25"/>
      <c r="Z198" s="103"/>
      <c r="AA198" s="3" t="str">
        <f>IF(C_Ope_001[[#This Row],[fecha]]&gt;0,TEXT(C_Ope_001[[#This Row],[fecha]],"mmmm"),0)</f>
        <v>Mayo</v>
      </c>
      <c r="AB198" s="159"/>
    </row>
    <row r="199" spans="1:28" ht="36" x14ac:dyDescent="0.3">
      <c r="A199" s="2">
        <f>IF(C_Ope_001[[#This Row],[tipo_r]]="R",COUNTIFS($C$1:$C198,"R")+1,"")</f>
        <v>198</v>
      </c>
      <c r="B199" s="19" t="str">
        <f t="shared" si="20"/>
        <v>C_Ope_001</v>
      </c>
      <c r="C199" s="3" t="s">
        <v>1330</v>
      </c>
      <c r="D199" s="211">
        <v>45783</v>
      </c>
      <c r="E199" s="5" t="s">
        <v>7753</v>
      </c>
      <c r="F199" s="5" t="s">
        <v>1336</v>
      </c>
      <c r="G199" s="6" t="s">
        <v>682</v>
      </c>
      <c r="H199" s="6" t="s">
        <v>68</v>
      </c>
      <c r="I199" s="6" t="s">
        <v>1353</v>
      </c>
      <c r="J199" s="6">
        <v>16321</v>
      </c>
      <c r="K199" s="7" t="s">
        <v>7857</v>
      </c>
      <c r="L199" s="8">
        <v>24127</v>
      </c>
      <c r="M199" s="8" t="str">
        <f t="shared" si="24"/>
        <v>PEN</v>
      </c>
      <c r="N199" s="13"/>
      <c r="O199" s="13">
        <v>20</v>
      </c>
      <c r="P199" s="3">
        <f t="shared" si="21"/>
        <v>0</v>
      </c>
      <c r="Q199" s="3">
        <f t="shared" si="22"/>
        <v>20</v>
      </c>
      <c r="R199" s="3">
        <f t="shared" si="23"/>
        <v>445.74</v>
      </c>
      <c r="S199" s="24" t="s">
        <v>1334</v>
      </c>
      <c r="T199" s="24" t="s">
        <v>1334</v>
      </c>
      <c r="U199" s="3"/>
      <c r="V199" s="25" t="s">
        <v>7761</v>
      </c>
      <c r="W199" s="25">
        <v>20259858934</v>
      </c>
      <c r="X199" s="25" t="str">
        <f>IFERROR(VLOOKUP(C_Ope_001[[#This Row],[nota_2]],Clientes_Proveedores[[Ruc / Dni]:[Razon Social]],2,0),"")</f>
        <v>COMERCIALIZACION Y SERVICIOS EL EDEN S.A.C.</v>
      </c>
      <c r="Y199" s="25"/>
      <c r="Z199" s="103"/>
      <c r="AA199" s="3" t="str">
        <f>IF(C_Ope_001[[#This Row],[fecha]]&gt;0,TEXT(C_Ope_001[[#This Row],[fecha]],"mmmm"),0)</f>
        <v>Mayo</v>
      </c>
      <c r="AB199" s="159"/>
    </row>
    <row r="200" spans="1:28" ht="36" x14ac:dyDescent="0.3">
      <c r="A200" s="2">
        <f>IF(C_Ope_001[[#This Row],[tipo_r]]="R",COUNTIFS($C$1:$C199,"R")+1,"")</f>
        <v>199</v>
      </c>
      <c r="B200" s="19" t="str">
        <f t="shared" si="20"/>
        <v>C_Ope_001</v>
      </c>
      <c r="C200" s="3" t="s">
        <v>1330</v>
      </c>
      <c r="D200" s="211">
        <v>45783</v>
      </c>
      <c r="E200" s="5" t="s">
        <v>7753</v>
      </c>
      <c r="F200" s="5" t="s">
        <v>1336</v>
      </c>
      <c r="G200" s="6" t="s">
        <v>682</v>
      </c>
      <c r="H200" s="6" t="s">
        <v>68</v>
      </c>
      <c r="I200" s="6" t="s">
        <v>1353</v>
      </c>
      <c r="J200" s="6">
        <v>16319</v>
      </c>
      <c r="K200" s="7" t="s">
        <v>7858</v>
      </c>
      <c r="L200" s="8">
        <v>24128</v>
      </c>
      <c r="M200" s="8" t="str">
        <f t="shared" si="24"/>
        <v>PEN</v>
      </c>
      <c r="N200" s="13"/>
      <c r="O200" s="13">
        <v>20</v>
      </c>
      <c r="P200" s="3">
        <f t="shared" si="21"/>
        <v>0</v>
      </c>
      <c r="Q200" s="3">
        <f t="shared" si="22"/>
        <v>20</v>
      </c>
      <c r="R200" s="3">
        <f t="shared" si="23"/>
        <v>425.74</v>
      </c>
      <c r="S200" s="24" t="s">
        <v>1334</v>
      </c>
      <c r="T200" s="24" t="s">
        <v>1334</v>
      </c>
      <c r="U200" s="3"/>
      <c r="V200" s="25" t="s">
        <v>7761</v>
      </c>
      <c r="W200" s="25">
        <v>20259858934</v>
      </c>
      <c r="X200" s="25" t="str">
        <f>IFERROR(VLOOKUP(C_Ope_001[[#This Row],[nota_2]],Clientes_Proveedores[[Ruc / Dni]:[Razon Social]],2,0),"")</f>
        <v>COMERCIALIZACION Y SERVICIOS EL EDEN S.A.C.</v>
      </c>
      <c r="Y200" s="25"/>
      <c r="Z200" s="103"/>
      <c r="AA200" s="3" t="str">
        <f>IF(C_Ope_001[[#This Row],[fecha]]&gt;0,TEXT(C_Ope_001[[#This Row],[fecha]],"mmmm"),0)</f>
        <v>Mayo</v>
      </c>
      <c r="AB200" s="159"/>
    </row>
    <row r="201" spans="1:28" ht="36" x14ac:dyDescent="0.3">
      <c r="A201" s="2">
        <f>IF(C_Ope_001[[#This Row],[tipo_r]]="R",COUNTIFS($C$1:$C200,"R")+1,"")</f>
        <v>200</v>
      </c>
      <c r="B201" s="19" t="str">
        <f t="shared" si="20"/>
        <v>C_Ope_001</v>
      </c>
      <c r="C201" s="3" t="s">
        <v>1330</v>
      </c>
      <c r="D201" s="211">
        <v>45784</v>
      </c>
      <c r="E201" s="5" t="s">
        <v>7753</v>
      </c>
      <c r="F201" s="5" t="s">
        <v>1336</v>
      </c>
      <c r="G201" s="6" t="s">
        <v>682</v>
      </c>
      <c r="H201" s="6" t="s">
        <v>68</v>
      </c>
      <c r="I201" s="6" t="s">
        <v>1343</v>
      </c>
      <c r="J201" s="6">
        <v>34590</v>
      </c>
      <c r="K201" s="7" t="s">
        <v>7840</v>
      </c>
      <c r="L201" s="8">
        <v>24173</v>
      </c>
      <c r="M201" s="8" t="str">
        <f t="shared" si="24"/>
        <v>PEN</v>
      </c>
      <c r="N201" s="13"/>
      <c r="O201" s="13">
        <v>10</v>
      </c>
      <c r="P201" s="3">
        <f t="shared" si="21"/>
        <v>0</v>
      </c>
      <c r="Q201" s="3">
        <f t="shared" si="22"/>
        <v>10</v>
      </c>
      <c r="R201" s="3">
        <f t="shared" si="23"/>
        <v>415.74</v>
      </c>
      <c r="S201" s="24" t="s">
        <v>1334</v>
      </c>
      <c r="T201" s="24" t="s">
        <v>1334</v>
      </c>
      <c r="U201" s="3"/>
      <c r="V201" s="25" t="s">
        <v>7761</v>
      </c>
      <c r="W201" s="25">
        <v>20259858934</v>
      </c>
      <c r="X201" s="25" t="str">
        <f>IFERROR(VLOOKUP(C_Ope_001[[#This Row],[nota_2]],Clientes_Proveedores[[Ruc / Dni]:[Razon Social]],2,0),"")</f>
        <v>COMERCIALIZACION Y SERVICIOS EL EDEN S.A.C.</v>
      </c>
      <c r="Y201" s="25"/>
      <c r="Z201" s="103"/>
      <c r="AA201" s="3" t="str">
        <f>IF(C_Ope_001[[#This Row],[fecha]]&gt;0,TEXT(C_Ope_001[[#This Row],[fecha]],"mmmm"),0)</f>
        <v>Mayo</v>
      </c>
      <c r="AB201" s="159"/>
    </row>
    <row r="202" spans="1:28" ht="24" x14ac:dyDescent="0.3">
      <c r="A202" s="2">
        <f>IF(C_Ope_001[[#This Row],[tipo_r]]="R",COUNTIFS($C$1:$C201,"R")+1,"")</f>
        <v>201</v>
      </c>
      <c r="B202" s="19" t="str">
        <f t="shared" si="20"/>
        <v>C_Ope_001</v>
      </c>
      <c r="C202" s="3" t="s">
        <v>1330</v>
      </c>
      <c r="D202" s="211">
        <v>45785</v>
      </c>
      <c r="E202" s="5" t="s">
        <v>7753</v>
      </c>
      <c r="F202" s="5" t="s">
        <v>1336</v>
      </c>
      <c r="G202" s="6" t="s">
        <v>998</v>
      </c>
      <c r="H202" s="6" t="s">
        <v>68</v>
      </c>
      <c r="I202" s="6" t="s">
        <v>6378</v>
      </c>
      <c r="J202" s="6">
        <v>792</v>
      </c>
      <c r="K202" s="7" t="s">
        <v>7834</v>
      </c>
      <c r="L202" s="8">
        <v>24134</v>
      </c>
      <c r="M202" s="8" t="str">
        <f t="shared" si="24"/>
        <v>PEN</v>
      </c>
      <c r="N202" s="13"/>
      <c r="O202" s="13">
        <v>10</v>
      </c>
      <c r="P202" s="3">
        <f t="shared" si="21"/>
        <v>0</v>
      </c>
      <c r="Q202" s="3">
        <f t="shared" si="22"/>
        <v>10</v>
      </c>
      <c r="R202" s="3">
        <f t="shared" si="23"/>
        <v>405.74</v>
      </c>
      <c r="S202" s="24" t="s">
        <v>1334</v>
      </c>
      <c r="T202" s="24" t="s">
        <v>1334</v>
      </c>
      <c r="U202" s="3"/>
      <c r="V202" s="25" t="s">
        <v>7761</v>
      </c>
      <c r="W202" s="25">
        <v>20612112500</v>
      </c>
      <c r="X202" s="25" t="str">
        <f>IFERROR(VLOOKUP(C_Ope_001[[#This Row],[nota_2]],Clientes_Proveedores[[Ruc / Dni]:[Razon Social]],2,0),"")</f>
        <v>RECICLADORA LAS LOMAS E.I.R.L.</v>
      </c>
      <c r="Y202" s="25"/>
      <c r="Z202" s="103"/>
      <c r="AA202" s="3" t="str">
        <f>IF(C_Ope_001[[#This Row],[fecha]]&gt;0,TEXT(C_Ope_001[[#This Row],[fecha]],"mmmm"),0)</f>
        <v>Mayo</v>
      </c>
      <c r="AB202" s="159"/>
    </row>
    <row r="203" spans="1:28" ht="36" x14ac:dyDescent="0.3">
      <c r="A203" s="2">
        <f>IF(C_Ope_001[[#This Row],[tipo_r]]="R",COUNTIFS($C$1:$C202,"R")+1,"")</f>
        <v>202</v>
      </c>
      <c r="B203" s="19" t="str">
        <f t="shared" si="20"/>
        <v>C_Ope_001</v>
      </c>
      <c r="C203" s="3" t="s">
        <v>1330</v>
      </c>
      <c r="D203" s="211">
        <v>45785</v>
      </c>
      <c r="E203" s="5" t="s">
        <v>7753</v>
      </c>
      <c r="F203" s="5" t="s">
        <v>1336</v>
      </c>
      <c r="G203" s="6" t="s">
        <v>682</v>
      </c>
      <c r="H203" s="6" t="s">
        <v>68</v>
      </c>
      <c r="I203" s="6" t="s">
        <v>1343</v>
      </c>
      <c r="J203" s="6">
        <v>34604</v>
      </c>
      <c r="K203" s="7" t="s">
        <v>7804</v>
      </c>
      <c r="L203" s="8">
        <v>24135</v>
      </c>
      <c r="M203" s="8" t="str">
        <f t="shared" si="24"/>
        <v>PEN</v>
      </c>
      <c r="N203" s="13"/>
      <c r="O203" s="13">
        <v>10</v>
      </c>
      <c r="P203" s="3">
        <f t="shared" si="21"/>
        <v>0</v>
      </c>
      <c r="Q203" s="3">
        <f t="shared" si="22"/>
        <v>10</v>
      </c>
      <c r="R203" s="3">
        <f t="shared" si="23"/>
        <v>395.74</v>
      </c>
      <c r="S203" s="24" t="s">
        <v>1334</v>
      </c>
      <c r="T203" s="24" t="s">
        <v>1334</v>
      </c>
      <c r="U203" s="3"/>
      <c r="V203" s="25" t="s">
        <v>7761</v>
      </c>
      <c r="W203" s="25">
        <v>20259858934</v>
      </c>
      <c r="X203" s="25" t="str">
        <f>IFERROR(VLOOKUP(C_Ope_001[[#This Row],[nota_2]],Clientes_Proveedores[[Ruc / Dni]:[Razon Social]],2,0),"")</f>
        <v>COMERCIALIZACION Y SERVICIOS EL EDEN S.A.C.</v>
      </c>
      <c r="Y203" s="25"/>
      <c r="Z203" s="103"/>
      <c r="AA203" s="3" t="str">
        <f>IF(C_Ope_001[[#This Row],[fecha]]&gt;0,TEXT(C_Ope_001[[#This Row],[fecha]],"mmmm"),0)</f>
        <v>Mayo</v>
      </c>
      <c r="AB203" s="159"/>
    </row>
    <row r="204" spans="1:28" ht="36" x14ac:dyDescent="0.3">
      <c r="A204" s="2">
        <f>IF(C_Ope_001[[#This Row],[tipo_r]]="R",COUNTIFS($C$1:$C203,"R")+1,"")</f>
        <v>203</v>
      </c>
      <c r="B204" s="19" t="str">
        <f t="shared" si="20"/>
        <v>C_Ope_001</v>
      </c>
      <c r="C204" s="3" t="s">
        <v>1330</v>
      </c>
      <c r="D204" s="211">
        <v>45786</v>
      </c>
      <c r="E204" s="5" t="s">
        <v>7753</v>
      </c>
      <c r="F204" s="5" t="s">
        <v>1336</v>
      </c>
      <c r="G204" s="6" t="s">
        <v>682</v>
      </c>
      <c r="H204" s="6" t="s">
        <v>68</v>
      </c>
      <c r="I204" s="6" t="s">
        <v>1343</v>
      </c>
      <c r="J204" s="6">
        <v>34618</v>
      </c>
      <c r="K204" s="7" t="s">
        <v>7840</v>
      </c>
      <c r="L204" s="8">
        <v>24153</v>
      </c>
      <c r="M204" s="8" t="str">
        <f t="shared" si="24"/>
        <v>PEN</v>
      </c>
      <c r="N204" s="13"/>
      <c r="O204" s="13">
        <v>10</v>
      </c>
      <c r="P204" s="3">
        <f t="shared" si="21"/>
        <v>0</v>
      </c>
      <c r="Q204" s="3">
        <f t="shared" si="22"/>
        <v>10</v>
      </c>
      <c r="R204" s="3">
        <f t="shared" si="23"/>
        <v>385.74</v>
      </c>
      <c r="S204" s="24" t="s">
        <v>1334</v>
      </c>
      <c r="T204" s="24" t="s">
        <v>1334</v>
      </c>
      <c r="U204" s="3"/>
      <c r="V204" s="25" t="s">
        <v>7761</v>
      </c>
      <c r="W204" s="25">
        <v>20259858934</v>
      </c>
      <c r="X204" s="25" t="str">
        <f>IFERROR(VLOOKUP(C_Ope_001[[#This Row],[nota_2]],Clientes_Proveedores[[Ruc / Dni]:[Razon Social]],2,0),"")</f>
        <v>COMERCIALIZACION Y SERVICIOS EL EDEN S.A.C.</v>
      </c>
      <c r="Y204" s="25"/>
      <c r="Z204" s="103"/>
      <c r="AA204" s="3" t="str">
        <f>IF(C_Ope_001[[#This Row],[fecha]]&gt;0,TEXT(C_Ope_001[[#This Row],[fecha]],"mmmm"),0)</f>
        <v>Mayo</v>
      </c>
      <c r="AB204" s="159"/>
    </row>
    <row r="205" spans="1:28" ht="24" x14ac:dyDescent="0.3">
      <c r="A205" s="2">
        <f>IF(C_Ope_001[[#This Row],[tipo_r]]="R",COUNTIFS($C$1:$C204,"R")+1,"")</f>
        <v>204</v>
      </c>
      <c r="B205" s="19" t="str">
        <f t="shared" si="20"/>
        <v>C_Ope_001</v>
      </c>
      <c r="C205" s="3" t="s">
        <v>1330</v>
      </c>
      <c r="D205" s="211">
        <v>45791</v>
      </c>
      <c r="E205" s="5" t="s">
        <v>7514</v>
      </c>
      <c r="F205" s="5" t="s">
        <v>1303</v>
      </c>
      <c r="G205" s="6" t="s">
        <v>812</v>
      </c>
      <c r="H205" s="6"/>
      <c r="I205" s="6"/>
      <c r="J205" s="6"/>
      <c r="K205" s="7" t="s">
        <v>7516</v>
      </c>
      <c r="L205" s="8">
        <v>24345</v>
      </c>
      <c r="M205" s="8" t="str">
        <f t="shared" si="24"/>
        <v>PEN</v>
      </c>
      <c r="N205" s="13"/>
      <c r="O205" s="13">
        <v>300</v>
      </c>
      <c r="P205" s="3">
        <f t="shared" si="21"/>
        <v>300</v>
      </c>
      <c r="Q205" s="3">
        <f t="shared" si="22"/>
        <v>0</v>
      </c>
      <c r="R205" s="3">
        <f t="shared" si="23"/>
        <v>685.74</v>
      </c>
      <c r="S205" s="24" t="s">
        <v>1334</v>
      </c>
      <c r="T205" s="24" t="s">
        <v>1334</v>
      </c>
      <c r="U205" s="3"/>
      <c r="V205" s="25"/>
      <c r="W205" s="25"/>
      <c r="X205" s="25" t="str">
        <f>IFERROR(VLOOKUP(C_Ope_001[[#This Row],[nota_2]],Clientes_Proveedores[[Ruc / Dni]:[Razon Social]],2,0),"")</f>
        <v/>
      </c>
      <c r="Y205" s="25"/>
      <c r="Z205" s="103"/>
      <c r="AA205" s="3" t="str">
        <f>IF(C_Ope_001[[#This Row],[fecha]]&gt;0,TEXT(C_Ope_001[[#This Row],[fecha]],"mmmm"),0)</f>
        <v>Mayo</v>
      </c>
      <c r="AB205" s="159"/>
    </row>
    <row r="206" spans="1:28" ht="24" x14ac:dyDescent="0.3">
      <c r="A206" s="2">
        <f>IF(C_Ope_001[[#This Row],[tipo_r]]="R",COUNTIFS($C$1:$C205,"R")+1,"")</f>
        <v>205</v>
      </c>
      <c r="B206" s="19" t="str">
        <f t="shared" si="20"/>
        <v>C_Ope_001</v>
      </c>
      <c r="C206" s="3" t="s">
        <v>1330</v>
      </c>
      <c r="D206" s="211">
        <v>45789</v>
      </c>
      <c r="E206" s="5" t="s">
        <v>7753</v>
      </c>
      <c r="F206" s="5" t="s">
        <v>1336</v>
      </c>
      <c r="G206" s="6" t="s">
        <v>978</v>
      </c>
      <c r="H206" s="6" t="s">
        <v>68</v>
      </c>
      <c r="I206" s="6" t="s">
        <v>5688</v>
      </c>
      <c r="J206" s="6">
        <v>2328856</v>
      </c>
      <c r="K206" s="7" t="s">
        <v>7859</v>
      </c>
      <c r="L206" s="8">
        <v>24180</v>
      </c>
      <c r="M206" s="8" t="str">
        <f t="shared" si="24"/>
        <v>PEN</v>
      </c>
      <c r="N206" s="13"/>
      <c r="O206" s="13">
        <v>8</v>
      </c>
      <c r="P206" s="3">
        <f t="shared" si="21"/>
        <v>0</v>
      </c>
      <c r="Q206" s="3">
        <f t="shared" si="22"/>
        <v>8</v>
      </c>
      <c r="R206" s="3">
        <f t="shared" si="23"/>
        <v>677.74</v>
      </c>
      <c r="S206" s="24" t="s">
        <v>1334</v>
      </c>
      <c r="T206" s="24" t="s">
        <v>1334</v>
      </c>
      <c r="U206" s="3"/>
      <c r="V206" s="25" t="s">
        <v>7761</v>
      </c>
      <c r="W206" s="25">
        <v>20517252558</v>
      </c>
      <c r="X206" s="25" t="str">
        <f>IFERROR(VLOOKUP(C_Ope_001[[#This Row],[nota_2]],Clientes_Proveedores[[Ruc / Dni]:[Razon Social]],2,0),"")</f>
        <v>COVISUR S.A.</v>
      </c>
      <c r="Y206" s="25"/>
      <c r="Z206" s="103"/>
      <c r="AA206" s="3" t="str">
        <f>IF(C_Ope_001[[#This Row],[fecha]]&gt;0,TEXT(C_Ope_001[[#This Row],[fecha]],"mmmm"),0)</f>
        <v>Mayo</v>
      </c>
      <c r="AB206" s="159"/>
    </row>
    <row r="207" spans="1:28" ht="24" x14ac:dyDescent="0.3">
      <c r="A207" s="2">
        <f>IF(C_Ope_001[[#This Row],[tipo_r]]="R",COUNTIFS($C$1:$C206,"R")+1,"")</f>
        <v>206</v>
      </c>
      <c r="B207" s="19" t="str">
        <f t="shared" si="20"/>
        <v>C_Ope_001</v>
      </c>
      <c r="C207" s="3" t="s">
        <v>1330</v>
      </c>
      <c r="D207" s="211">
        <v>45789</v>
      </c>
      <c r="E207" s="5" t="s">
        <v>7753</v>
      </c>
      <c r="F207" s="5" t="s">
        <v>1336</v>
      </c>
      <c r="G207" s="6" t="s">
        <v>978</v>
      </c>
      <c r="H207" s="6" t="s">
        <v>68</v>
      </c>
      <c r="I207" s="6" t="s">
        <v>6379</v>
      </c>
      <c r="J207" s="6">
        <v>472636</v>
      </c>
      <c r="K207" s="7" t="s">
        <v>7860</v>
      </c>
      <c r="L207" s="8">
        <v>24181</v>
      </c>
      <c r="M207" s="8" t="str">
        <f t="shared" si="24"/>
        <v>PEN</v>
      </c>
      <c r="N207" s="13"/>
      <c r="O207" s="13">
        <v>8</v>
      </c>
      <c r="P207" s="3">
        <f t="shared" si="21"/>
        <v>0</v>
      </c>
      <c r="Q207" s="3">
        <f t="shared" si="22"/>
        <v>8</v>
      </c>
      <c r="R207" s="3">
        <f t="shared" si="23"/>
        <v>669.74</v>
      </c>
      <c r="S207" s="24" t="s">
        <v>1334</v>
      </c>
      <c r="T207" s="24" t="s">
        <v>1334</v>
      </c>
      <c r="U207" s="3"/>
      <c r="V207" s="25" t="s">
        <v>7761</v>
      </c>
      <c r="W207" s="25">
        <v>20517252558</v>
      </c>
      <c r="X207" s="25" t="str">
        <f>IFERROR(VLOOKUP(C_Ope_001[[#This Row],[nota_2]],Clientes_Proveedores[[Ruc / Dni]:[Razon Social]],2,0),"")</f>
        <v>COVISUR S.A.</v>
      </c>
      <c r="Y207" s="25"/>
      <c r="Z207" s="103"/>
      <c r="AA207" s="3" t="str">
        <f>IF(C_Ope_001[[#This Row],[fecha]]&gt;0,TEXT(C_Ope_001[[#This Row],[fecha]],"mmmm"),0)</f>
        <v>Mayo</v>
      </c>
      <c r="AB207" s="159"/>
    </row>
    <row r="208" spans="1:28" ht="24" x14ac:dyDescent="0.3">
      <c r="A208" s="2">
        <f>IF(C_Ope_001[[#This Row],[tipo_r]]="R",COUNTIFS($C$1:$C207,"R")+1,"")</f>
        <v>207</v>
      </c>
      <c r="B208" s="19" t="str">
        <f t="shared" si="20"/>
        <v>C_Ope_001</v>
      </c>
      <c r="C208" s="3" t="s">
        <v>1330</v>
      </c>
      <c r="D208" s="211">
        <v>45789</v>
      </c>
      <c r="E208" s="5" t="s">
        <v>7753</v>
      </c>
      <c r="F208" s="5" t="s">
        <v>1336</v>
      </c>
      <c r="G208" s="6" t="s">
        <v>978</v>
      </c>
      <c r="H208" s="6" t="s">
        <v>68</v>
      </c>
      <c r="I208" s="6" t="s">
        <v>6203</v>
      </c>
      <c r="J208" s="6">
        <v>2048147</v>
      </c>
      <c r="K208" s="7" t="s">
        <v>7859</v>
      </c>
      <c r="L208" s="8">
        <v>24186</v>
      </c>
      <c r="M208" s="8" t="str">
        <f t="shared" si="24"/>
        <v>PEN</v>
      </c>
      <c r="N208" s="13"/>
      <c r="O208" s="13">
        <v>8</v>
      </c>
      <c r="P208" s="3">
        <f t="shared" si="21"/>
        <v>0</v>
      </c>
      <c r="Q208" s="3">
        <f t="shared" si="22"/>
        <v>8</v>
      </c>
      <c r="R208" s="3">
        <f t="shared" si="23"/>
        <v>661.74</v>
      </c>
      <c r="S208" s="24" t="s">
        <v>1334</v>
      </c>
      <c r="T208" s="24" t="s">
        <v>1334</v>
      </c>
      <c r="U208" s="3"/>
      <c r="V208" s="25" t="s">
        <v>7761</v>
      </c>
      <c r="W208" s="25">
        <v>20517252558</v>
      </c>
      <c r="X208" s="25" t="str">
        <f>IFERROR(VLOOKUP(C_Ope_001[[#This Row],[nota_2]],Clientes_Proveedores[[Ruc / Dni]:[Razon Social]],2,0),"")</f>
        <v>COVISUR S.A.</v>
      </c>
      <c r="Y208" s="25"/>
      <c r="Z208" s="103"/>
      <c r="AA208" s="3" t="str">
        <f>IF(C_Ope_001[[#This Row],[fecha]]&gt;0,TEXT(C_Ope_001[[#This Row],[fecha]],"mmmm"),0)</f>
        <v>Mayo</v>
      </c>
      <c r="AB208" s="159"/>
    </row>
    <row r="209" spans="1:28" ht="24" x14ac:dyDescent="0.3">
      <c r="A209" s="2">
        <f>IF(C_Ope_001[[#This Row],[tipo_r]]="R",COUNTIFS($C$1:$C208,"R")+1,"")</f>
        <v>208</v>
      </c>
      <c r="B209" s="19" t="str">
        <f t="shared" si="20"/>
        <v>C_Ope_001</v>
      </c>
      <c r="C209" s="3" t="s">
        <v>1330</v>
      </c>
      <c r="D209" s="211">
        <v>45789</v>
      </c>
      <c r="E209" s="5" t="s">
        <v>7753</v>
      </c>
      <c r="F209" s="5" t="s">
        <v>1336</v>
      </c>
      <c r="G209" s="6" t="s">
        <v>978</v>
      </c>
      <c r="H209" s="6" t="s">
        <v>68</v>
      </c>
      <c r="I209" s="6" t="s">
        <v>6244</v>
      </c>
      <c r="J209" s="6">
        <v>1053623</v>
      </c>
      <c r="K209" s="7" t="s">
        <v>7860</v>
      </c>
      <c r="L209" s="8">
        <v>24187</v>
      </c>
      <c r="M209" s="8" t="str">
        <f t="shared" si="24"/>
        <v>PEN</v>
      </c>
      <c r="N209" s="13"/>
      <c r="O209" s="13">
        <v>8</v>
      </c>
      <c r="P209" s="3">
        <f t="shared" si="21"/>
        <v>0</v>
      </c>
      <c r="Q209" s="3">
        <f t="shared" si="22"/>
        <v>8</v>
      </c>
      <c r="R209" s="3">
        <f t="shared" si="23"/>
        <v>653.74</v>
      </c>
      <c r="S209" s="24" t="s">
        <v>1334</v>
      </c>
      <c r="T209" s="24" t="s">
        <v>1334</v>
      </c>
      <c r="U209" s="3"/>
      <c r="V209" s="25" t="s">
        <v>7761</v>
      </c>
      <c r="W209" s="25">
        <v>20517252558</v>
      </c>
      <c r="X209" s="25" t="str">
        <f>IFERROR(VLOOKUP(C_Ope_001[[#This Row],[nota_2]],Clientes_Proveedores[[Ruc / Dni]:[Razon Social]],2,0),"")</f>
        <v>COVISUR S.A.</v>
      </c>
      <c r="Y209" s="25"/>
      <c r="Z209" s="103"/>
      <c r="AA209" s="3" t="str">
        <f>IF(C_Ope_001[[#This Row],[fecha]]&gt;0,TEXT(C_Ope_001[[#This Row],[fecha]],"mmmm"),0)</f>
        <v>Mayo</v>
      </c>
      <c r="AB209" s="159"/>
    </row>
    <row r="210" spans="1:28" ht="36" x14ac:dyDescent="0.3">
      <c r="A210" s="2">
        <f>IF(C_Ope_001[[#This Row],[tipo_r]]="R",COUNTIFS($C$1:$C209,"R")+1,"")</f>
        <v>209</v>
      </c>
      <c r="B210" s="19" t="str">
        <f t="shared" si="20"/>
        <v>C_Ope_001</v>
      </c>
      <c r="C210" s="3" t="s">
        <v>1330</v>
      </c>
      <c r="D210" s="211">
        <v>45791</v>
      </c>
      <c r="E210" s="5" t="s">
        <v>7753</v>
      </c>
      <c r="F210" s="5" t="s">
        <v>1336</v>
      </c>
      <c r="G210" s="6" t="s">
        <v>978</v>
      </c>
      <c r="H210" s="6" t="s">
        <v>68</v>
      </c>
      <c r="I210" s="6" t="s">
        <v>5845</v>
      </c>
      <c r="J210" s="6">
        <v>1750184</v>
      </c>
      <c r="K210" s="7" t="s">
        <v>7861</v>
      </c>
      <c r="L210" s="8">
        <v>24204</v>
      </c>
      <c r="M210" s="8" t="str">
        <f t="shared" si="24"/>
        <v>PEN</v>
      </c>
      <c r="N210" s="13"/>
      <c r="O210" s="13">
        <v>8</v>
      </c>
      <c r="P210" s="3">
        <f t="shared" si="21"/>
        <v>0</v>
      </c>
      <c r="Q210" s="3">
        <f t="shared" si="22"/>
        <v>8</v>
      </c>
      <c r="R210" s="3">
        <f t="shared" si="23"/>
        <v>645.74</v>
      </c>
      <c r="S210" s="24" t="s">
        <v>1334</v>
      </c>
      <c r="T210" s="24" t="s">
        <v>1334</v>
      </c>
      <c r="U210" s="3"/>
      <c r="V210" s="25" t="s">
        <v>7761</v>
      </c>
      <c r="W210" s="25">
        <v>20517252558</v>
      </c>
      <c r="X210" s="25" t="str">
        <f>IFERROR(VLOOKUP(C_Ope_001[[#This Row],[nota_2]],Clientes_Proveedores[[Ruc / Dni]:[Razon Social]],2,0),"")</f>
        <v>COVISUR S.A.</v>
      </c>
      <c r="Y210" s="25"/>
      <c r="Z210" s="103"/>
      <c r="AA210" s="3" t="str">
        <f>IF(C_Ope_001[[#This Row],[fecha]]&gt;0,TEXT(C_Ope_001[[#This Row],[fecha]],"mmmm"),0)</f>
        <v>Mayo</v>
      </c>
      <c r="AB210" s="159"/>
    </row>
    <row r="211" spans="1:28" ht="36" x14ac:dyDescent="0.3">
      <c r="A211" s="2">
        <f>IF(C_Ope_001[[#This Row],[tipo_r]]="R",COUNTIFS($C$1:$C210,"R")+1,"")</f>
        <v>210</v>
      </c>
      <c r="B211" s="19" t="str">
        <f t="shared" si="20"/>
        <v>C_Ope_001</v>
      </c>
      <c r="C211" s="3" t="s">
        <v>1330</v>
      </c>
      <c r="D211" s="211">
        <v>45791</v>
      </c>
      <c r="E211" s="5" t="s">
        <v>7753</v>
      </c>
      <c r="F211" s="5" t="s">
        <v>1336</v>
      </c>
      <c r="G211" s="6" t="s">
        <v>978</v>
      </c>
      <c r="H211" s="6" t="s">
        <v>68</v>
      </c>
      <c r="I211" s="6" t="s">
        <v>6204</v>
      </c>
      <c r="J211" s="6">
        <v>1730461</v>
      </c>
      <c r="K211" s="7" t="s">
        <v>7861</v>
      </c>
      <c r="L211" s="8">
        <v>24205</v>
      </c>
      <c r="M211" s="8" t="str">
        <f t="shared" si="24"/>
        <v>PEN</v>
      </c>
      <c r="N211" s="13"/>
      <c r="O211" s="13">
        <v>8</v>
      </c>
      <c r="P211" s="3">
        <f t="shared" si="21"/>
        <v>0</v>
      </c>
      <c r="Q211" s="3">
        <f t="shared" si="22"/>
        <v>8</v>
      </c>
      <c r="R211" s="3">
        <f t="shared" si="23"/>
        <v>637.74</v>
      </c>
      <c r="S211" s="24" t="s">
        <v>1334</v>
      </c>
      <c r="T211" s="24" t="s">
        <v>1334</v>
      </c>
      <c r="U211" s="3"/>
      <c r="V211" s="25" t="s">
        <v>7761</v>
      </c>
      <c r="W211" s="25">
        <v>20517252558</v>
      </c>
      <c r="X211" s="25" t="str">
        <f>IFERROR(VLOOKUP(C_Ope_001[[#This Row],[nota_2]],Clientes_Proveedores[[Ruc / Dni]:[Razon Social]],2,0),"")</f>
        <v>COVISUR S.A.</v>
      </c>
      <c r="Y211" s="25"/>
      <c r="Z211" s="103"/>
      <c r="AA211" s="3" t="str">
        <f>IF(C_Ope_001[[#This Row],[fecha]]&gt;0,TEXT(C_Ope_001[[#This Row],[fecha]],"mmmm"),0)</f>
        <v>Mayo</v>
      </c>
      <c r="AB211" s="159"/>
    </row>
    <row r="212" spans="1:28" ht="24" x14ac:dyDescent="0.3">
      <c r="A212" s="2">
        <f>IF(C_Ope_001[[#This Row],[tipo_r]]="R",COUNTIFS($C$1:$C211,"R")+1,"")</f>
        <v>211</v>
      </c>
      <c r="B212" s="19" t="str">
        <f t="shared" si="20"/>
        <v>C_Ope_001</v>
      </c>
      <c r="C212" s="3" t="s">
        <v>1330</v>
      </c>
      <c r="D212" s="211">
        <v>45793</v>
      </c>
      <c r="E212" s="5" t="s">
        <v>7753</v>
      </c>
      <c r="F212" s="5" t="s">
        <v>1336</v>
      </c>
      <c r="G212" s="6" t="s">
        <v>978</v>
      </c>
      <c r="H212" s="6" t="s">
        <v>68</v>
      </c>
      <c r="I212" s="6" t="s">
        <v>5688</v>
      </c>
      <c r="J212" s="6">
        <v>2333645</v>
      </c>
      <c r="K212" s="7" t="s">
        <v>7814</v>
      </c>
      <c r="L212" s="8">
        <v>24212</v>
      </c>
      <c r="M212" s="8" t="str">
        <f t="shared" si="24"/>
        <v>PEN</v>
      </c>
      <c r="N212" s="13"/>
      <c r="O212" s="13">
        <v>8</v>
      </c>
      <c r="P212" s="3">
        <f t="shared" si="21"/>
        <v>0</v>
      </c>
      <c r="Q212" s="3">
        <f t="shared" si="22"/>
        <v>8</v>
      </c>
      <c r="R212" s="3">
        <f t="shared" si="23"/>
        <v>629.74</v>
      </c>
      <c r="S212" s="24" t="s">
        <v>1334</v>
      </c>
      <c r="T212" s="24" t="s">
        <v>1334</v>
      </c>
      <c r="U212" s="3"/>
      <c r="V212" s="25" t="s">
        <v>7761</v>
      </c>
      <c r="W212" s="25">
        <v>20517252558</v>
      </c>
      <c r="X212" s="25" t="str">
        <f>IFERROR(VLOOKUP(C_Ope_001[[#This Row],[nota_2]],Clientes_Proveedores[[Ruc / Dni]:[Razon Social]],2,0),"")</f>
        <v>COVISUR S.A.</v>
      </c>
      <c r="Y212" s="25"/>
      <c r="Z212" s="103"/>
      <c r="AA212" s="3" t="str">
        <f>IF(C_Ope_001[[#This Row],[fecha]]&gt;0,TEXT(C_Ope_001[[#This Row],[fecha]],"mmmm"),0)</f>
        <v>Mayo</v>
      </c>
      <c r="AB212" s="159"/>
    </row>
    <row r="213" spans="1:28" ht="36" x14ac:dyDescent="0.3">
      <c r="A213" s="2">
        <f>IF(C_Ope_001[[#This Row],[tipo_r]]="R",COUNTIFS($C$1:$C212,"R")+1,"")</f>
        <v>212</v>
      </c>
      <c r="B213" s="19" t="str">
        <f t="shared" si="20"/>
        <v>C_Ope_001</v>
      </c>
      <c r="C213" s="3" t="s">
        <v>1330</v>
      </c>
      <c r="D213" s="211">
        <v>45789</v>
      </c>
      <c r="E213" s="5" t="s">
        <v>7753</v>
      </c>
      <c r="F213" s="5" t="s">
        <v>1336</v>
      </c>
      <c r="G213" s="6" t="s">
        <v>682</v>
      </c>
      <c r="H213" s="6" t="s">
        <v>68</v>
      </c>
      <c r="I213" s="6" t="s">
        <v>1343</v>
      </c>
      <c r="J213" s="6">
        <v>34636</v>
      </c>
      <c r="K213" s="7" t="s">
        <v>7840</v>
      </c>
      <c r="L213" s="8">
        <v>24182</v>
      </c>
      <c r="M213" s="8" t="str">
        <f t="shared" si="24"/>
        <v>PEN</v>
      </c>
      <c r="N213" s="13"/>
      <c r="O213" s="13">
        <v>10</v>
      </c>
      <c r="P213" s="3">
        <f t="shared" si="21"/>
        <v>0</v>
      </c>
      <c r="Q213" s="3">
        <f t="shared" si="22"/>
        <v>10</v>
      </c>
      <c r="R213" s="3">
        <f t="shared" si="23"/>
        <v>619.74</v>
      </c>
      <c r="S213" s="24" t="s">
        <v>1334</v>
      </c>
      <c r="T213" s="24" t="s">
        <v>1334</v>
      </c>
      <c r="U213" s="3"/>
      <c r="V213" s="25" t="s">
        <v>7761</v>
      </c>
      <c r="W213" s="25">
        <v>20259858934</v>
      </c>
      <c r="X213" s="25" t="str">
        <f>IFERROR(VLOOKUP(C_Ope_001[[#This Row],[nota_2]],Clientes_Proveedores[[Ruc / Dni]:[Razon Social]],2,0),"")</f>
        <v>COMERCIALIZACION Y SERVICIOS EL EDEN S.A.C.</v>
      </c>
      <c r="Y213" s="25"/>
      <c r="Z213" s="103"/>
      <c r="AA213" s="3" t="str">
        <f>IF(C_Ope_001[[#This Row],[fecha]]&gt;0,TEXT(C_Ope_001[[#This Row],[fecha]],"mmmm"),0)</f>
        <v>Mayo</v>
      </c>
      <c r="AB213" s="159"/>
    </row>
    <row r="214" spans="1:28" ht="36" x14ac:dyDescent="0.3">
      <c r="A214" s="2">
        <f>IF(C_Ope_001[[#This Row],[tipo_r]]="R",COUNTIFS($C$1:$C213,"R")+1,"")</f>
        <v>213</v>
      </c>
      <c r="B214" s="19" t="str">
        <f t="shared" si="20"/>
        <v>C_Ope_001</v>
      </c>
      <c r="C214" s="3" t="s">
        <v>1330</v>
      </c>
      <c r="D214" s="211">
        <v>45784</v>
      </c>
      <c r="E214" s="5" t="s">
        <v>7753</v>
      </c>
      <c r="F214" s="5" t="s">
        <v>1336</v>
      </c>
      <c r="G214" s="6" t="s">
        <v>682</v>
      </c>
      <c r="H214" s="6" t="s">
        <v>68</v>
      </c>
      <c r="I214" s="6" t="s">
        <v>1343</v>
      </c>
      <c r="J214" s="6">
        <v>34590</v>
      </c>
      <c r="K214" s="7" t="s">
        <v>7840</v>
      </c>
      <c r="L214" s="8">
        <v>24183</v>
      </c>
      <c r="M214" s="8" t="str">
        <f t="shared" si="24"/>
        <v>PEN</v>
      </c>
      <c r="N214" s="13">
        <v>-10</v>
      </c>
      <c r="O214" s="13">
        <v>10</v>
      </c>
      <c r="P214" s="3">
        <f t="shared" si="21"/>
        <v>0</v>
      </c>
      <c r="Q214" s="3">
        <f t="shared" si="22"/>
        <v>10</v>
      </c>
      <c r="R214" s="3">
        <f t="shared" si="23"/>
        <v>609.74</v>
      </c>
      <c r="S214" s="24" t="s">
        <v>1334</v>
      </c>
      <c r="T214" s="24" t="s">
        <v>1334</v>
      </c>
      <c r="U214" s="3"/>
      <c r="V214" s="25" t="s">
        <v>7761</v>
      </c>
      <c r="W214" s="25">
        <v>20259858934</v>
      </c>
      <c r="X214" s="25" t="str">
        <f>IFERROR(VLOOKUP(C_Ope_001[[#This Row],[nota_2]],Clientes_Proveedores[[Ruc / Dni]:[Razon Social]],2,0),"")</f>
        <v>COMERCIALIZACION Y SERVICIOS EL EDEN S.A.C.</v>
      </c>
      <c r="Y214" s="25"/>
      <c r="Z214" s="103"/>
      <c r="AA214" s="3" t="str">
        <f>IF(C_Ope_001[[#This Row],[fecha]]&gt;0,TEXT(C_Ope_001[[#This Row],[fecha]],"mmmm"),0)</f>
        <v>Mayo</v>
      </c>
      <c r="AB214" s="159"/>
    </row>
    <row r="215" spans="1:28" ht="36" x14ac:dyDescent="0.3">
      <c r="A215" s="2">
        <f>IF(C_Ope_001[[#This Row],[tipo_r]]="R",COUNTIFS($C$1:$C214,"R")+1,"")</f>
        <v>214</v>
      </c>
      <c r="B215" s="19" t="str">
        <f t="shared" si="20"/>
        <v>C_Ope_001</v>
      </c>
      <c r="C215" s="3" t="s">
        <v>1330</v>
      </c>
      <c r="D215" s="211">
        <v>45793</v>
      </c>
      <c r="E215" s="5" t="s">
        <v>7753</v>
      </c>
      <c r="F215" s="5" t="s">
        <v>1336</v>
      </c>
      <c r="G215" s="6" t="s">
        <v>682</v>
      </c>
      <c r="H215" s="6" t="s">
        <v>68</v>
      </c>
      <c r="I215" s="6" t="s">
        <v>1343</v>
      </c>
      <c r="J215" s="6">
        <v>34678</v>
      </c>
      <c r="K215" s="7" t="s">
        <v>7840</v>
      </c>
      <c r="L215" s="8">
        <v>24213</v>
      </c>
      <c r="M215" s="8" t="str">
        <f t="shared" si="24"/>
        <v>PEN</v>
      </c>
      <c r="N215" s="13"/>
      <c r="O215" s="13">
        <v>10</v>
      </c>
      <c r="P215" s="3">
        <f t="shared" si="21"/>
        <v>0</v>
      </c>
      <c r="Q215" s="3">
        <f t="shared" si="22"/>
        <v>10</v>
      </c>
      <c r="R215" s="3">
        <f t="shared" si="23"/>
        <v>599.74</v>
      </c>
      <c r="S215" s="24" t="s">
        <v>1334</v>
      </c>
      <c r="T215" s="24" t="s">
        <v>1334</v>
      </c>
      <c r="U215" s="3"/>
      <c r="V215" s="25" t="s">
        <v>7761</v>
      </c>
      <c r="W215" s="25">
        <v>20259858934</v>
      </c>
      <c r="X215" s="25" t="str">
        <f>IFERROR(VLOOKUP(C_Ope_001[[#This Row],[nota_2]],Clientes_Proveedores[[Ruc / Dni]:[Razon Social]],2,0),"")</f>
        <v>COMERCIALIZACION Y SERVICIOS EL EDEN S.A.C.</v>
      </c>
      <c r="Y215" s="25"/>
      <c r="Z215" s="103"/>
      <c r="AA215" s="3" t="str">
        <f>IF(C_Ope_001[[#This Row],[fecha]]&gt;0,TEXT(C_Ope_001[[#This Row],[fecha]],"mmmm"),0)</f>
        <v>Mayo</v>
      </c>
      <c r="AB215" s="159"/>
    </row>
    <row r="216" spans="1:28" ht="24" x14ac:dyDescent="0.3">
      <c r="A216" s="2">
        <f>IF(C_Ope_001[[#This Row],[tipo_r]]="R",COUNTIFS($C$1:$C215,"R")+1,"")</f>
        <v>215</v>
      </c>
      <c r="B216" s="19" t="str">
        <f t="shared" si="20"/>
        <v>C_Ope_001</v>
      </c>
      <c r="C216" s="3" t="s">
        <v>1330</v>
      </c>
      <c r="D216" s="211">
        <v>45790</v>
      </c>
      <c r="E216" s="5" t="s">
        <v>7753</v>
      </c>
      <c r="F216" s="5" t="s">
        <v>1336</v>
      </c>
      <c r="G216" s="6" t="s">
        <v>999</v>
      </c>
      <c r="H216" s="6" t="s">
        <v>68</v>
      </c>
      <c r="I216" s="6" t="s">
        <v>1374</v>
      </c>
      <c r="J216" s="6">
        <v>17697</v>
      </c>
      <c r="K216" s="7" t="s">
        <v>7777</v>
      </c>
      <c r="L216" s="8">
        <v>24196</v>
      </c>
      <c r="M216" s="8" t="str">
        <f t="shared" si="24"/>
        <v>PEN</v>
      </c>
      <c r="N216" s="13"/>
      <c r="O216" s="13">
        <v>25</v>
      </c>
      <c r="P216" s="3">
        <f t="shared" si="21"/>
        <v>0</v>
      </c>
      <c r="Q216" s="3">
        <f t="shared" si="22"/>
        <v>25</v>
      </c>
      <c r="R216" s="3">
        <f t="shared" si="23"/>
        <v>574.74</v>
      </c>
      <c r="S216" s="24" t="s">
        <v>1334</v>
      </c>
      <c r="T216" s="24" t="s">
        <v>1334</v>
      </c>
      <c r="U216" s="3"/>
      <c r="V216" s="25" t="s">
        <v>7761</v>
      </c>
      <c r="W216" s="25">
        <v>10705628331</v>
      </c>
      <c r="X216" s="25" t="str">
        <f>IFERROR(VLOOKUP(C_Ope_001[[#This Row],[nota_2]],Clientes_Proveedores[[Ruc / Dni]:[Razon Social]],2,0),"")</f>
        <v>LARICO APAZA NANCY ROSSMARY</v>
      </c>
      <c r="Y216" s="25"/>
      <c r="Z216" s="103"/>
      <c r="AA216" s="3" t="str">
        <f>IF(C_Ope_001[[#This Row],[fecha]]&gt;0,TEXT(C_Ope_001[[#This Row],[fecha]],"mmmm"),0)</f>
        <v>Mayo</v>
      </c>
      <c r="AB216" s="159"/>
    </row>
    <row r="217" spans="1:28" ht="24" x14ac:dyDescent="0.3">
      <c r="A217" s="2">
        <f>IF(C_Ope_001[[#This Row],[tipo_r]]="R",COUNTIFS($C$1:$C216,"R")+1,"")</f>
        <v>216</v>
      </c>
      <c r="B217" s="19" t="str">
        <f t="shared" si="20"/>
        <v>C_Ope_001</v>
      </c>
      <c r="C217" s="3" t="s">
        <v>1330</v>
      </c>
      <c r="D217" s="211">
        <v>45796</v>
      </c>
      <c r="E217" s="5" t="s">
        <v>7753</v>
      </c>
      <c r="F217" s="5" t="s">
        <v>1336</v>
      </c>
      <c r="G217" s="6" t="s">
        <v>978</v>
      </c>
      <c r="H217" s="6" t="s">
        <v>68</v>
      </c>
      <c r="I217" s="6" t="s">
        <v>5845</v>
      </c>
      <c r="J217" s="6">
        <v>1754571</v>
      </c>
      <c r="K217" s="7" t="s">
        <v>7862</v>
      </c>
      <c r="L217" s="8">
        <v>24219</v>
      </c>
      <c r="M217" s="8" t="str">
        <f t="shared" si="24"/>
        <v>PEN</v>
      </c>
      <c r="N217" s="13"/>
      <c r="O217" s="13">
        <v>8</v>
      </c>
      <c r="P217" s="3">
        <f t="shared" si="21"/>
        <v>0</v>
      </c>
      <c r="Q217" s="3">
        <f t="shared" si="22"/>
        <v>8</v>
      </c>
      <c r="R217" s="3">
        <f t="shared" si="23"/>
        <v>566.74</v>
      </c>
      <c r="S217" s="24" t="s">
        <v>1334</v>
      </c>
      <c r="T217" s="24" t="s">
        <v>1334</v>
      </c>
      <c r="U217" s="3"/>
      <c r="V217" s="25" t="s">
        <v>7761</v>
      </c>
      <c r="W217" s="25">
        <v>20517252558</v>
      </c>
      <c r="X217" s="25" t="str">
        <f>IFERROR(VLOOKUP(C_Ope_001[[#This Row],[nota_2]],Clientes_Proveedores[[Ruc / Dni]:[Razon Social]],2,0),"")</f>
        <v>COVISUR S.A.</v>
      </c>
      <c r="Y217" s="25"/>
      <c r="Z217" s="103"/>
      <c r="AA217" s="3" t="str">
        <f>IF(C_Ope_001[[#This Row],[fecha]]&gt;0,TEXT(C_Ope_001[[#This Row],[fecha]],"mmmm"),0)</f>
        <v>Mayo</v>
      </c>
      <c r="AB217" s="159"/>
    </row>
    <row r="218" spans="1:28" ht="24" x14ac:dyDescent="0.3">
      <c r="A218" s="2">
        <f>IF(C_Ope_001[[#This Row],[tipo_r]]="R",COUNTIFS($C$1:$C217,"R")+1,"")</f>
        <v>217</v>
      </c>
      <c r="B218" s="19" t="str">
        <f t="shared" si="20"/>
        <v>C_Ope_001</v>
      </c>
      <c r="C218" s="3" t="s">
        <v>1330</v>
      </c>
      <c r="D218" s="211">
        <v>45797</v>
      </c>
      <c r="E218" s="5" t="s">
        <v>7753</v>
      </c>
      <c r="F218" s="5" t="s">
        <v>1336</v>
      </c>
      <c r="G218" s="6" t="s">
        <v>978</v>
      </c>
      <c r="H218" s="6" t="s">
        <v>68</v>
      </c>
      <c r="I218" s="6" t="s">
        <v>6204</v>
      </c>
      <c r="J218" s="6">
        <v>1735654</v>
      </c>
      <c r="K218" s="7" t="s">
        <v>7863</v>
      </c>
      <c r="L218" s="8">
        <v>24226</v>
      </c>
      <c r="M218" s="8" t="str">
        <f t="shared" si="24"/>
        <v>PEN</v>
      </c>
      <c r="N218" s="13"/>
      <c r="O218" s="13">
        <v>8</v>
      </c>
      <c r="P218" s="3">
        <f t="shared" si="21"/>
        <v>0</v>
      </c>
      <c r="Q218" s="3">
        <f t="shared" si="22"/>
        <v>8</v>
      </c>
      <c r="R218" s="3">
        <f t="shared" si="23"/>
        <v>558.74</v>
      </c>
      <c r="S218" s="24" t="s">
        <v>1334</v>
      </c>
      <c r="T218" s="24" t="s">
        <v>1334</v>
      </c>
      <c r="U218" s="3"/>
      <c r="V218" s="25" t="s">
        <v>7761</v>
      </c>
      <c r="W218" s="25">
        <v>20517252558</v>
      </c>
      <c r="X218" s="25" t="str">
        <f>IFERROR(VLOOKUP(C_Ope_001[[#This Row],[nota_2]],Clientes_Proveedores[[Ruc / Dni]:[Razon Social]],2,0),"")</f>
        <v>COVISUR S.A.</v>
      </c>
      <c r="Y218" s="25"/>
      <c r="Z218" s="103"/>
      <c r="AA218" s="3" t="str">
        <f>IF(C_Ope_001[[#This Row],[fecha]]&gt;0,TEXT(C_Ope_001[[#This Row],[fecha]],"mmmm"),0)</f>
        <v>Mayo</v>
      </c>
      <c r="AB218" s="159"/>
    </row>
    <row r="219" spans="1:28" ht="24" x14ac:dyDescent="0.3">
      <c r="A219" s="2">
        <f>IF(C_Ope_001[[#This Row],[tipo_r]]="R",COUNTIFS($C$1:$C218,"R")+1,"")</f>
        <v>218</v>
      </c>
      <c r="B219" s="19" t="str">
        <f t="shared" si="20"/>
        <v>C_Ope_001</v>
      </c>
      <c r="C219" s="3" t="s">
        <v>1330</v>
      </c>
      <c r="D219" s="211">
        <v>45797</v>
      </c>
      <c r="E219" s="5" t="s">
        <v>7753</v>
      </c>
      <c r="F219" s="5" t="s">
        <v>1336</v>
      </c>
      <c r="G219" s="6" t="s">
        <v>978</v>
      </c>
      <c r="H219" s="6" t="s">
        <v>68</v>
      </c>
      <c r="I219" s="6" t="s">
        <v>5845</v>
      </c>
      <c r="J219" s="6">
        <v>1755335</v>
      </c>
      <c r="K219" s="7" t="s">
        <v>7863</v>
      </c>
      <c r="L219" s="8">
        <v>24227</v>
      </c>
      <c r="M219" s="8" t="str">
        <f t="shared" si="24"/>
        <v>PEN</v>
      </c>
      <c r="N219" s="13"/>
      <c r="O219" s="13">
        <v>8</v>
      </c>
      <c r="P219" s="3">
        <f t="shared" si="21"/>
        <v>0</v>
      </c>
      <c r="Q219" s="3">
        <f t="shared" si="22"/>
        <v>8</v>
      </c>
      <c r="R219" s="3">
        <f t="shared" si="23"/>
        <v>550.74</v>
      </c>
      <c r="S219" s="24" t="s">
        <v>1334</v>
      </c>
      <c r="T219" s="24" t="s">
        <v>1334</v>
      </c>
      <c r="U219" s="3"/>
      <c r="V219" s="25" t="s">
        <v>7761</v>
      </c>
      <c r="W219" s="25">
        <v>20517252558</v>
      </c>
      <c r="X219" s="25" t="str">
        <f>IFERROR(VLOOKUP(C_Ope_001[[#This Row],[nota_2]],Clientes_Proveedores[[Ruc / Dni]:[Razon Social]],2,0),"")</f>
        <v>COVISUR S.A.</v>
      </c>
      <c r="Y219" s="25"/>
      <c r="Z219" s="103"/>
      <c r="AA219" s="3" t="str">
        <f>IF(C_Ope_001[[#This Row],[fecha]]&gt;0,TEXT(C_Ope_001[[#This Row],[fecha]],"mmmm"),0)</f>
        <v>Mayo</v>
      </c>
      <c r="AB219" s="159"/>
    </row>
    <row r="220" spans="1:28" ht="24" x14ac:dyDescent="0.3">
      <c r="A220" s="2">
        <f>IF(C_Ope_001[[#This Row],[tipo_r]]="R",COUNTIFS($C$1:$C219,"R")+1,"")</f>
        <v>219</v>
      </c>
      <c r="B220" s="19" t="str">
        <f t="shared" si="20"/>
        <v>C_Ope_001</v>
      </c>
      <c r="C220" s="3" t="s">
        <v>1330</v>
      </c>
      <c r="D220" s="211">
        <v>45798</v>
      </c>
      <c r="E220" s="5" t="s">
        <v>7753</v>
      </c>
      <c r="F220" s="5" t="s">
        <v>1336</v>
      </c>
      <c r="G220" s="6" t="s">
        <v>978</v>
      </c>
      <c r="H220" s="6" t="s">
        <v>68</v>
      </c>
      <c r="I220" s="6" t="s">
        <v>5845</v>
      </c>
      <c r="J220" s="6">
        <v>1756284</v>
      </c>
      <c r="K220" s="7" t="s">
        <v>7778</v>
      </c>
      <c r="L220" s="8">
        <v>24244</v>
      </c>
      <c r="M220" s="8" t="str">
        <f t="shared" si="24"/>
        <v>PEN</v>
      </c>
      <c r="N220" s="13"/>
      <c r="O220" s="13">
        <v>8</v>
      </c>
      <c r="P220" s="3">
        <f t="shared" si="21"/>
        <v>0</v>
      </c>
      <c r="Q220" s="3">
        <f t="shared" si="22"/>
        <v>8</v>
      </c>
      <c r="R220" s="3">
        <f t="shared" si="23"/>
        <v>542.74</v>
      </c>
      <c r="S220" s="24" t="s">
        <v>1334</v>
      </c>
      <c r="T220" s="24" t="s">
        <v>1334</v>
      </c>
      <c r="U220" s="3"/>
      <c r="V220" s="25" t="s">
        <v>7756</v>
      </c>
      <c r="W220" s="25">
        <v>20517252558</v>
      </c>
      <c r="X220" s="25" t="str">
        <f>IFERROR(VLOOKUP(C_Ope_001[[#This Row],[nota_2]],Clientes_Proveedores[[Ruc / Dni]:[Razon Social]],2,0),"")</f>
        <v>COVISUR S.A.</v>
      </c>
      <c r="Y220" s="25"/>
      <c r="Z220" s="103"/>
      <c r="AA220" s="3" t="str">
        <f>IF(C_Ope_001[[#This Row],[fecha]]&gt;0,TEXT(C_Ope_001[[#This Row],[fecha]],"mmmm"),0)</f>
        <v>Mayo</v>
      </c>
      <c r="AB220" s="159"/>
    </row>
    <row r="221" spans="1:28" ht="24" x14ac:dyDescent="0.3">
      <c r="A221" s="2">
        <f>IF(C_Ope_001[[#This Row],[tipo_r]]="R",COUNTIFS($C$1:$C220,"R")+1,"")</f>
        <v>220</v>
      </c>
      <c r="B221" s="19" t="str">
        <f t="shared" si="20"/>
        <v>C_Ope_001</v>
      </c>
      <c r="C221" s="3" t="s">
        <v>1330</v>
      </c>
      <c r="D221" s="211">
        <v>45798</v>
      </c>
      <c r="E221" s="5" t="s">
        <v>7753</v>
      </c>
      <c r="F221" s="5" t="s">
        <v>1336</v>
      </c>
      <c r="G221" s="6" t="s">
        <v>978</v>
      </c>
      <c r="H221" s="6" t="s">
        <v>68</v>
      </c>
      <c r="I221" s="6" t="s">
        <v>6204</v>
      </c>
      <c r="J221" s="6">
        <v>1736562</v>
      </c>
      <c r="K221" s="7" t="s">
        <v>7778</v>
      </c>
      <c r="L221" s="8">
        <v>24245</v>
      </c>
      <c r="M221" s="8" t="str">
        <f t="shared" si="24"/>
        <v>PEN</v>
      </c>
      <c r="N221" s="13"/>
      <c r="O221" s="13">
        <v>8</v>
      </c>
      <c r="P221" s="3">
        <f t="shared" si="21"/>
        <v>0</v>
      </c>
      <c r="Q221" s="3">
        <f t="shared" si="22"/>
        <v>8</v>
      </c>
      <c r="R221" s="3">
        <f t="shared" si="23"/>
        <v>534.74</v>
      </c>
      <c r="S221" s="24" t="s">
        <v>1334</v>
      </c>
      <c r="T221" s="24" t="s">
        <v>1334</v>
      </c>
      <c r="U221" s="3"/>
      <c r="V221" s="25" t="s">
        <v>7756</v>
      </c>
      <c r="W221" s="25">
        <v>20517252558</v>
      </c>
      <c r="X221" s="25" t="str">
        <f>IFERROR(VLOOKUP(C_Ope_001[[#This Row],[nota_2]],Clientes_Proveedores[[Ruc / Dni]:[Razon Social]],2,0),"")</f>
        <v>COVISUR S.A.</v>
      </c>
      <c r="Y221" s="25"/>
      <c r="Z221" s="103"/>
      <c r="AA221" s="3" t="str">
        <f>IF(C_Ope_001[[#This Row],[fecha]]&gt;0,TEXT(C_Ope_001[[#This Row],[fecha]],"mmmm"),0)</f>
        <v>Mayo</v>
      </c>
      <c r="AB221" s="159"/>
    </row>
    <row r="222" spans="1:28" ht="24" x14ac:dyDescent="0.3">
      <c r="A222" s="2">
        <f>IF(C_Ope_001[[#This Row],[tipo_r]]="R",COUNTIFS($C$1:$C221,"R")+1,"")</f>
        <v>221</v>
      </c>
      <c r="B222" s="19" t="str">
        <f t="shared" si="20"/>
        <v>C_Ope_001</v>
      </c>
      <c r="C222" s="3" t="s">
        <v>1330</v>
      </c>
      <c r="D222" s="211">
        <v>45800</v>
      </c>
      <c r="E222" s="5" t="s">
        <v>7753</v>
      </c>
      <c r="F222" s="5" t="s">
        <v>1336</v>
      </c>
      <c r="G222" s="6" t="s">
        <v>978</v>
      </c>
      <c r="H222" s="6" t="s">
        <v>68</v>
      </c>
      <c r="I222" s="6" t="s">
        <v>6204</v>
      </c>
      <c r="J222" s="6">
        <v>1738528</v>
      </c>
      <c r="K222" s="7" t="s">
        <v>7826</v>
      </c>
      <c r="L222" s="8">
        <v>24295</v>
      </c>
      <c r="M222" s="8" t="str">
        <f t="shared" si="24"/>
        <v>PEN</v>
      </c>
      <c r="N222" s="13"/>
      <c r="O222" s="13">
        <v>8</v>
      </c>
      <c r="P222" s="3">
        <f t="shared" si="21"/>
        <v>0</v>
      </c>
      <c r="Q222" s="3">
        <f t="shared" si="22"/>
        <v>8</v>
      </c>
      <c r="R222" s="3">
        <f t="shared" si="23"/>
        <v>526.74</v>
      </c>
      <c r="S222" s="24" t="s">
        <v>1334</v>
      </c>
      <c r="T222" s="24" t="s">
        <v>1334</v>
      </c>
      <c r="U222" s="3"/>
      <c r="V222" s="25" t="s">
        <v>7756</v>
      </c>
      <c r="W222" s="25">
        <v>20517252558</v>
      </c>
      <c r="X222" s="25" t="str">
        <f>IFERROR(VLOOKUP(C_Ope_001[[#This Row],[nota_2]],Clientes_Proveedores[[Ruc / Dni]:[Razon Social]],2,0),"")</f>
        <v>COVISUR S.A.</v>
      </c>
      <c r="Y222" s="25"/>
      <c r="Z222" s="103"/>
      <c r="AA222" s="3" t="str">
        <f>IF(C_Ope_001[[#This Row],[fecha]]&gt;0,TEXT(C_Ope_001[[#This Row],[fecha]],"mmmm"),0)</f>
        <v>Mayo</v>
      </c>
      <c r="AB222" s="159"/>
    </row>
    <row r="223" spans="1:28" ht="24" x14ac:dyDescent="0.3">
      <c r="A223" s="2">
        <f>IF(C_Ope_001[[#This Row],[tipo_r]]="R",COUNTIFS($C$1:$C222,"R")+1,"")</f>
        <v>222</v>
      </c>
      <c r="B223" s="19" t="str">
        <f t="shared" si="20"/>
        <v>C_Ope_001</v>
      </c>
      <c r="C223" s="3" t="s">
        <v>1330</v>
      </c>
      <c r="D223" s="211">
        <v>45800</v>
      </c>
      <c r="E223" s="5" t="s">
        <v>7753</v>
      </c>
      <c r="F223" s="5" t="s">
        <v>1336</v>
      </c>
      <c r="G223" s="6" t="s">
        <v>978</v>
      </c>
      <c r="H223" s="6" t="s">
        <v>68</v>
      </c>
      <c r="I223" s="6" t="s">
        <v>5845</v>
      </c>
      <c r="J223" s="6">
        <v>1758389</v>
      </c>
      <c r="K223" s="7" t="s">
        <v>7826</v>
      </c>
      <c r="L223" s="8">
        <v>24296</v>
      </c>
      <c r="M223" s="8" t="str">
        <f t="shared" si="24"/>
        <v>PEN</v>
      </c>
      <c r="N223" s="13"/>
      <c r="O223" s="13">
        <v>8</v>
      </c>
      <c r="P223" s="3">
        <f t="shared" si="21"/>
        <v>0</v>
      </c>
      <c r="Q223" s="3">
        <f t="shared" si="22"/>
        <v>8</v>
      </c>
      <c r="R223" s="3">
        <f t="shared" si="23"/>
        <v>518.74</v>
      </c>
      <c r="S223" s="24" t="s">
        <v>1334</v>
      </c>
      <c r="T223" s="24" t="s">
        <v>1334</v>
      </c>
      <c r="U223" s="3"/>
      <c r="V223" s="25" t="s">
        <v>7756</v>
      </c>
      <c r="W223" s="25">
        <v>20517252558</v>
      </c>
      <c r="X223" s="25" t="str">
        <f>IFERROR(VLOOKUP(C_Ope_001[[#This Row],[nota_2]],Clientes_Proveedores[[Ruc / Dni]:[Razon Social]],2,0),"")</f>
        <v>COVISUR S.A.</v>
      </c>
      <c r="Y223" s="25"/>
      <c r="Z223" s="103"/>
      <c r="AA223" s="3" t="str">
        <f>IF(C_Ope_001[[#This Row],[fecha]]&gt;0,TEXT(C_Ope_001[[#This Row],[fecha]],"mmmm"),0)</f>
        <v>Mayo</v>
      </c>
      <c r="AB223" s="159"/>
    </row>
    <row r="224" spans="1:28" ht="36" x14ac:dyDescent="0.3">
      <c r="A224" s="2">
        <f>IF(C_Ope_001[[#This Row],[tipo_r]]="R",COUNTIFS($C$1:$C223,"R")+1,"")</f>
        <v>223</v>
      </c>
      <c r="B224" s="19" t="str">
        <f t="shared" si="20"/>
        <v>C_Ope_001</v>
      </c>
      <c r="C224" s="3" t="s">
        <v>1330</v>
      </c>
      <c r="D224" s="211">
        <v>45796</v>
      </c>
      <c r="E224" s="5" t="s">
        <v>7753</v>
      </c>
      <c r="F224" s="5" t="s">
        <v>1336</v>
      </c>
      <c r="G224" s="6" t="s">
        <v>682</v>
      </c>
      <c r="H224" s="6" t="s">
        <v>68</v>
      </c>
      <c r="I224" s="6" t="s">
        <v>1353</v>
      </c>
      <c r="J224" s="6">
        <v>16415</v>
      </c>
      <c r="K224" s="7" t="s">
        <v>7864</v>
      </c>
      <c r="L224" s="8">
        <v>24220</v>
      </c>
      <c r="M224" s="8" t="str">
        <f t="shared" si="24"/>
        <v>PEN</v>
      </c>
      <c r="N224" s="13"/>
      <c r="O224" s="13">
        <v>20</v>
      </c>
      <c r="P224" s="3">
        <f t="shared" si="21"/>
        <v>0</v>
      </c>
      <c r="Q224" s="3">
        <f t="shared" si="22"/>
        <v>20</v>
      </c>
      <c r="R224" s="3">
        <f t="shared" si="23"/>
        <v>498.74</v>
      </c>
      <c r="S224" s="24" t="s">
        <v>1334</v>
      </c>
      <c r="T224" s="24" t="s">
        <v>1334</v>
      </c>
      <c r="U224" s="3"/>
      <c r="V224" s="25" t="s">
        <v>7761</v>
      </c>
      <c r="W224" s="25">
        <v>20259858934</v>
      </c>
      <c r="X224" s="25" t="str">
        <f>IFERROR(VLOOKUP(C_Ope_001[[#This Row],[nota_2]],Clientes_Proveedores[[Ruc / Dni]:[Razon Social]],2,0),"")</f>
        <v>COMERCIALIZACION Y SERVICIOS EL EDEN S.A.C.</v>
      </c>
      <c r="Y224" s="25"/>
      <c r="Z224" s="103"/>
      <c r="AA224" s="3" t="str">
        <f>IF(C_Ope_001[[#This Row],[fecha]]&gt;0,TEXT(C_Ope_001[[#This Row],[fecha]],"mmmm"),0)</f>
        <v>Mayo</v>
      </c>
      <c r="AB224" s="159"/>
    </row>
    <row r="225" spans="1:28" ht="36" x14ac:dyDescent="0.3">
      <c r="A225" s="2">
        <f>IF(C_Ope_001[[#This Row],[tipo_r]]="R",COUNTIFS($C$1:$C224,"R")+1,"")</f>
        <v>224</v>
      </c>
      <c r="B225" s="19" t="str">
        <f t="shared" si="20"/>
        <v>C_Ope_001</v>
      </c>
      <c r="C225" s="3" t="s">
        <v>1330</v>
      </c>
      <c r="D225" s="211">
        <v>45797</v>
      </c>
      <c r="E225" s="5" t="s">
        <v>7753</v>
      </c>
      <c r="F225" s="5" t="s">
        <v>1336</v>
      </c>
      <c r="G225" s="6" t="s">
        <v>682</v>
      </c>
      <c r="H225" s="6" t="s">
        <v>68</v>
      </c>
      <c r="I225" s="6" t="s">
        <v>1343</v>
      </c>
      <c r="J225" s="6">
        <v>34711</v>
      </c>
      <c r="K225" s="7" t="s">
        <v>7840</v>
      </c>
      <c r="L225" s="8">
        <v>24224</v>
      </c>
      <c r="M225" s="8" t="str">
        <f t="shared" si="24"/>
        <v>PEN</v>
      </c>
      <c r="N225" s="13"/>
      <c r="O225" s="13">
        <v>10</v>
      </c>
      <c r="P225" s="3">
        <f t="shared" si="21"/>
        <v>0</v>
      </c>
      <c r="Q225" s="3">
        <f t="shared" si="22"/>
        <v>10</v>
      </c>
      <c r="R225" s="3">
        <f t="shared" si="23"/>
        <v>488.74</v>
      </c>
      <c r="S225" s="24" t="s">
        <v>1334</v>
      </c>
      <c r="T225" s="24" t="s">
        <v>1334</v>
      </c>
      <c r="U225" s="3"/>
      <c r="V225" s="25" t="s">
        <v>7761</v>
      </c>
      <c r="W225" s="25">
        <v>20259858934</v>
      </c>
      <c r="X225" s="25" t="str">
        <f>IFERROR(VLOOKUP(C_Ope_001[[#This Row],[nota_2]],Clientes_Proveedores[[Ruc / Dni]:[Razon Social]],2,0),"")</f>
        <v>COMERCIALIZACION Y SERVICIOS EL EDEN S.A.C.</v>
      </c>
      <c r="Y225" s="25"/>
      <c r="Z225" s="103"/>
      <c r="AA225" s="3" t="str">
        <f>IF(C_Ope_001[[#This Row],[fecha]]&gt;0,TEXT(C_Ope_001[[#This Row],[fecha]],"mmmm"),0)</f>
        <v>Mayo</v>
      </c>
      <c r="AB225" s="159"/>
    </row>
    <row r="226" spans="1:28" ht="36" x14ac:dyDescent="0.3">
      <c r="A226" s="2">
        <f>IF(C_Ope_001[[#This Row],[tipo_r]]="R",COUNTIFS($C$1:$C225,"R")+1,"")</f>
        <v>225</v>
      </c>
      <c r="B226" s="19" t="str">
        <f t="shared" si="20"/>
        <v>C_Ope_001</v>
      </c>
      <c r="C226" s="3" t="s">
        <v>1330</v>
      </c>
      <c r="D226" s="211">
        <v>45797</v>
      </c>
      <c r="E226" s="5" t="s">
        <v>7753</v>
      </c>
      <c r="F226" s="5" t="s">
        <v>1336</v>
      </c>
      <c r="G226" s="6" t="s">
        <v>227</v>
      </c>
      <c r="H226" s="6" t="s">
        <v>68</v>
      </c>
      <c r="I226" s="6" t="s">
        <v>1390</v>
      </c>
      <c r="J226" s="6">
        <v>132107</v>
      </c>
      <c r="K226" s="7" t="s">
        <v>7865</v>
      </c>
      <c r="L226" s="8">
        <v>24225</v>
      </c>
      <c r="M226" s="8" t="str">
        <f t="shared" si="24"/>
        <v>PEN</v>
      </c>
      <c r="N226" s="13"/>
      <c r="O226" s="13">
        <v>10</v>
      </c>
      <c r="P226" s="3">
        <f t="shared" si="21"/>
        <v>0</v>
      </c>
      <c r="Q226" s="3">
        <f t="shared" si="22"/>
        <v>10</v>
      </c>
      <c r="R226" s="3">
        <f t="shared" si="23"/>
        <v>478.74</v>
      </c>
      <c r="S226" s="24" t="s">
        <v>1334</v>
      </c>
      <c r="T226" s="24" t="s">
        <v>1334</v>
      </c>
      <c r="U226" s="3"/>
      <c r="V226" s="25" t="s">
        <v>7761</v>
      </c>
      <c r="W226" s="25">
        <v>20124952850</v>
      </c>
      <c r="X226" s="25" t="str">
        <f>IFERROR(VLOOKUP(C_Ope_001[[#This Row],[nota_2]],Clientes_Proveedores[[Ruc / Dni]:[Razon Social]],2,0),"")</f>
        <v>ALIMENTOS Y SERVICIOS AGROPECUARIOS SRL.</v>
      </c>
      <c r="Y226" s="25"/>
      <c r="Z226" s="103"/>
      <c r="AA226" s="3" t="str">
        <f>IF(C_Ope_001[[#This Row],[fecha]]&gt;0,TEXT(C_Ope_001[[#This Row],[fecha]],"mmmm"),0)</f>
        <v>Mayo</v>
      </c>
      <c r="AB226" s="159"/>
    </row>
    <row r="227" spans="1:28" ht="36" x14ac:dyDescent="0.3">
      <c r="A227" s="2">
        <f>IF(C_Ope_001[[#This Row],[tipo_r]]="R",COUNTIFS($C$1:$C226,"R")+1,"")</f>
        <v>226</v>
      </c>
      <c r="B227" s="19" t="str">
        <f t="shared" si="20"/>
        <v>C_Ope_001</v>
      </c>
      <c r="C227" s="3" t="s">
        <v>1330</v>
      </c>
      <c r="D227" s="211">
        <v>45799</v>
      </c>
      <c r="E227" s="5" t="s">
        <v>7753</v>
      </c>
      <c r="F227" s="5" t="s">
        <v>1336</v>
      </c>
      <c r="G227" s="6" t="s">
        <v>682</v>
      </c>
      <c r="H227" s="6" t="s">
        <v>68</v>
      </c>
      <c r="I227" s="6" t="s">
        <v>1343</v>
      </c>
      <c r="J227" s="6">
        <v>34729</v>
      </c>
      <c r="K227" s="7" t="s">
        <v>7840</v>
      </c>
      <c r="L227" s="8">
        <v>24280</v>
      </c>
      <c r="M227" s="8" t="str">
        <f t="shared" si="24"/>
        <v>PEN</v>
      </c>
      <c r="N227" s="13"/>
      <c r="O227" s="13">
        <v>10</v>
      </c>
      <c r="P227" s="3">
        <f t="shared" si="21"/>
        <v>0</v>
      </c>
      <c r="Q227" s="3">
        <f t="shared" si="22"/>
        <v>10</v>
      </c>
      <c r="R227" s="3">
        <f t="shared" si="23"/>
        <v>468.74</v>
      </c>
      <c r="S227" s="24" t="s">
        <v>1334</v>
      </c>
      <c r="T227" s="24" t="s">
        <v>1334</v>
      </c>
      <c r="U227" s="3"/>
      <c r="V227" s="25" t="s">
        <v>7756</v>
      </c>
      <c r="W227" s="25">
        <v>20259858934</v>
      </c>
      <c r="X227" s="25" t="str">
        <f>IFERROR(VLOOKUP(C_Ope_001[[#This Row],[nota_2]],Clientes_Proveedores[[Ruc / Dni]:[Razon Social]],2,0),"")</f>
        <v>COMERCIALIZACION Y SERVICIOS EL EDEN S.A.C.</v>
      </c>
      <c r="Y227" s="25"/>
      <c r="Z227" s="103"/>
      <c r="AA227" s="3" t="str">
        <f>IF(C_Ope_001[[#This Row],[fecha]]&gt;0,TEXT(C_Ope_001[[#This Row],[fecha]],"mmmm"),0)</f>
        <v>Mayo</v>
      </c>
      <c r="AB227" s="159"/>
    </row>
    <row r="228" spans="1:28" ht="24" x14ac:dyDescent="0.3">
      <c r="A228" s="2">
        <f>IF(C_Ope_001[[#This Row],[tipo_r]]="R",COUNTIFS($C$1:$C227,"R")+1,"")</f>
        <v>227</v>
      </c>
      <c r="B228" s="19" t="str">
        <f t="shared" si="20"/>
        <v>C_Ope_001</v>
      </c>
      <c r="C228" s="3" t="s">
        <v>1330</v>
      </c>
      <c r="D228" s="211">
        <v>45803</v>
      </c>
      <c r="E228" s="5" t="s">
        <v>7753</v>
      </c>
      <c r="F228" s="5" t="s">
        <v>1336</v>
      </c>
      <c r="G228" s="6" t="s">
        <v>978</v>
      </c>
      <c r="H228" s="6" t="s">
        <v>68</v>
      </c>
      <c r="I228" s="6" t="s">
        <v>5845</v>
      </c>
      <c r="J228" s="6">
        <v>1760982</v>
      </c>
      <c r="K228" s="7" t="s">
        <v>7866</v>
      </c>
      <c r="L228" s="8">
        <v>24305</v>
      </c>
      <c r="M228" s="8" t="str">
        <f t="shared" si="24"/>
        <v>PEN</v>
      </c>
      <c r="N228" s="13"/>
      <c r="O228" s="13">
        <v>8</v>
      </c>
      <c r="P228" s="3">
        <f t="shared" si="21"/>
        <v>0</v>
      </c>
      <c r="Q228" s="3">
        <f t="shared" si="22"/>
        <v>8</v>
      </c>
      <c r="R228" s="3">
        <f t="shared" si="23"/>
        <v>460.74</v>
      </c>
      <c r="S228" s="24" t="s">
        <v>1334</v>
      </c>
      <c r="T228" s="24" t="s">
        <v>1334</v>
      </c>
      <c r="U228" s="3"/>
      <c r="V228" s="25" t="s">
        <v>7761</v>
      </c>
      <c r="W228" s="25">
        <v>20517252558</v>
      </c>
      <c r="X228" s="25" t="str">
        <f>IFERROR(VLOOKUP(C_Ope_001[[#This Row],[nota_2]],Clientes_Proveedores[[Ruc / Dni]:[Razon Social]],2,0),"")</f>
        <v>COVISUR S.A.</v>
      </c>
      <c r="Y228" s="25"/>
      <c r="Z228" s="103"/>
      <c r="AA228" s="3" t="str">
        <f>IF(C_Ope_001[[#This Row],[fecha]]&gt;0,TEXT(C_Ope_001[[#This Row],[fecha]],"mmmm"),0)</f>
        <v>Mayo</v>
      </c>
      <c r="AB228" s="159"/>
    </row>
    <row r="229" spans="1:28" ht="24" x14ac:dyDescent="0.3">
      <c r="A229" s="2">
        <f>IF(C_Ope_001[[#This Row],[tipo_r]]="R",COUNTIFS($C$1:$C228,"R")+1,"")</f>
        <v>228</v>
      </c>
      <c r="B229" s="19" t="str">
        <f t="shared" si="20"/>
        <v>C_Ope_001</v>
      </c>
      <c r="C229" s="3" t="s">
        <v>1330</v>
      </c>
      <c r="D229" s="211">
        <v>45803</v>
      </c>
      <c r="E229" s="5" t="s">
        <v>7753</v>
      </c>
      <c r="F229" s="5" t="s">
        <v>1336</v>
      </c>
      <c r="G229" s="6" t="s">
        <v>978</v>
      </c>
      <c r="H229" s="6" t="s">
        <v>68</v>
      </c>
      <c r="I229" s="6" t="s">
        <v>5688</v>
      </c>
      <c r="J229" s="6">
        <v>2344265</v>
      </c>
      <c r="K229" s="7" t="s">
        <v>7866</v>
      </c>
      <c r="L229" s="8">
        <v>24306</v>
      </c>
      <c r="M229" s="8" t="str">
        <f t="shared" si="24"/>
        <v>PEN</v>
      </c>
      <c r="N229" s="13"/>
      <c r="O229" s="13">
        <v>8</v>
      </c>
      <c r="P229" s="3">
        <f t="shared" si="21"/>
        <v>0</v>
      </c>
      <c r="Q229" s="3">
        <f t="shared" si="22"/>
        <v>8</v>
      </c>
      <c r="R229" s="3">
        <f t="shared" si="23"/>
        <v>452.74</v>
      </c>
      <c r="S229" s="24" t="s">
        <v>1334</v>
      </c>
      <c r="T229" s="24" t="s">
        <v>1334</v>
      </c>
      <c r="U229" s="3"/>
      <c r="V229" s="25" t="s">
        <v>7761</v>
      </c>
      <c r="W229" s="25">
        <v>20517252558</v>
      </c>
      <c r="X229" s="25" t="str">
        <f>IFERROR(VLOOKUP(C_Ope_001[[#This Row],[nota_2]],Clientes_Proveedores[[Ruc / Dni]:[Razon Social]],2,0),"")</f>
        <v>COVISUR S.A.</v>
      </c>
      <c r="Y229" s="25"/>
      <c r="Z229" s="103"/>
      <c r="AA229" s="3" t="str">
        <f>IF(C_Ope_001[[#This Row],[fecha]]&gt;0,TEXT(C_Ope_001[[#This Row],[fecha]],"mmmm"),0)</f>
        <v>Mayo</v>
      </c>
      <c r="AB229" s="159"/>
    </row>
    <row r="230" spans="1:28" ht="24" x14ac:dyDescent="0.3">
      <c r="A230" s="2">
        <f>IF(C_Ope_001[[#This Row],[tipo_r]]="R",COUNTIFS($C$1:$C229,"R")+1,"")</f>
        <v>229</v>
      </c>
      <c r="B230" s="19" t="str">
        <f t="shared" si="20"/>
        <v>C_Ope_001</v>
      </c>
      <c r="C230" s="3" t="s">
        <v>1330</v>
      </c>
      <c r="D230" s="211">
        <v>45804</v>
      </c>
      <c r="E230" s="5" t="s">
        <v>7753</v>
      </c>
      <c r="F230" s="5" t="s">
        <v>1336</v>
      </c>
      <c r="G230" s="6" t="s">
        <v>978</v>
      </c>
      <c r="H230" s="6" t="s">
        <v>68</v>
      </c>
      <c r="I230" s="6" t="s">
        <v>5845</v>
      </c>
      <c r="J230" s="6">
        <v>1761762</v>
      </c>
      <c r="K230" s="7" t="s">
        <v>7867</v>
      </c>
      <c r="L230" s="8">
        <v>24317</v>
      </c>
      <c r="M230" s="8" t="str">
        <f t="shared" si="24"/>
        <v>PEN</v>
      </c>
      <c r="N230" s="13"/>
      <c r="O230" s="13">
        <v>8</v>
      </c>
      <c r="P230" s="3">
        <f t="shared" si="21"/>
        <v>0</v>
      </c>
      <c r="Q230" s="3">
        <f t="shared" si="22"/>
        <v>8</v>
      </c>
      <c r="R230" s="3">
        <f t="shared" si="23"/>
        <v>444.74</v>
      </c>
      <c r="S230" s="24" t="s">
        <v>1334</v>
      </c>
      <c r="T230" s="24" t="s">
        <v>1334</v>
      </c>
      <c r="U230" s="3"/>
      <c r="V230" s="25" t="s">
        <v>7761</v>
      </c>
      <c r="W230" s="25">
        <v>20517252558</v>
      </c>
      <c r="X230" s="25" t="str">
        <f>IFERROR(VLOOKUP(C_Ope_001[[#This Row],[nota_2]],Clientes_Proveedores[[Ruc / Dni]:[Razon Social]],2,0),"")</f>
        <v>COVISUR S.A.</v>
      </c>
      <c r="Y230" s="25"/>
      <c r="Z230" s="103"/>
      <c r="AA230" s="3" t="str">
        <f>IF(C_Ope_001[[#This Row],[fecha]]&gt;0,TEXT(C_Ope_001[[#This Row],[fecha]],"mmmm"),0)</f>
        <v>Mayo</v>
      </c>
      <c r="AB230" s="159"/>
    </row>
    <row r="231" spans="1:28" ht="24" x14ac:dyDescent="0.3">
      <c r="A231" s="2">
        <f>IF(C_Ope_001[[#This Row],[tipo_r]]="R",COUNTIFS($C$1:$C230,"R")+1,"")</f>
        <v>230</v>
      </c>
      <c r="B231" s="19" t="str">
        <f t="shared" si="20"/>
        <v>C_Ope_001</v>
      </c>
      <c r="C231" s="3" t="s">
        <v>1330</v>
      </c>
      <c r="D231" s="211">
        <v>45804</v>
      </c>
      <c r="E231" s="5" t="s">
        <v>7753</v>
      </c>
      <c r="F231" s="5" t="s">
        <v>1336</v>
      </c>
      <c r="G231" s="6" t="s">
        <v>978</v>
      </c>
      <c r="H231" s="6" t="s">
        <v>68</v>
      </c>
      <c r="I231" s="6" t="s">
        <v>6204</v>
      </c>
      <c r="J231" s="6">
        <v>1742027</v>
      </c>
      <c r="K231" s="7" t="s">
        <v>7867</v>
      </c>
      <c r="L231" s="8">
        <v>24318</v>
      </c>
      <c r="M231" s="8" t="str">
        <f t="shared" si="24"/>
        <v>PEN</v>
      </c>
      <c r="N231" s="13"/>
      <c r="O231" s="13">
        <v>8</v>
      </c>
      <c r="P231" s="3">
        <f t="shared" si="21"/>
        <v>0</v>
      </c>
      <c r="Q231" s="3">
        <f t="shared" si="22"/>
        <v>8</v>
      </c>
      <c r="R231" s="3">
        <f t="shared" si="23"/>
        <v>436.74</v>
      </c>
      <c r="S231" s="24" t="s">
        <v>1334</v>
      </c>
      <c r="T231" s="24" t="s">
        <v>1334</v>
      </c>
      <c r="U231" s="3"/>
      <c r="V231" s="25" t="s">
        <v>7761</v>
      </c>
      <c r="W231" s="25">
        <v>20517252558</v>
      </c>
      <c r="X231" s="25" t="str">
        <f>IFERROR(VLOOKUP(C_Ope_001[[#This Row],[nota_2]],Clientes_Proveedores[[Ruc / Dni]:[Razon Social]],2,0),"")</f>
        <v>COVISUR S.A.</v>
      </c>
      <c r="Y231" s="25"/>
      <c r="Z231" s="103"/>
      <c r="AA231" s="3" t="str">
        <f>IF(C_Ope_001[[#This Row],[fecha]]&gt;0,TEXT(C_Ope_001[[#This Row],[fecha]],"mmmm"),0)</f>
        <v>Mayo</v>
      </c>
      <c r="AB231" s="159"/>
    </row>
    <row r="232" spans="1:28" ht="24" x14ac:dyDescent="0.3">
      <c r="A232" s="2">
        <f>IF(C_Ope_001[[#This Row],[tipo_r]]="R",COUNTIFS($C$1:$C231,"R")+1,"")</f>
        <v>231</v>
      </c>
      <c r="B232" s="19" t="str">
        <f t="shared" si="20"/>
        <v>C_Ope_001</v>
      </c>
      <c r="C232" s="3" t="s">
        <v>1330</v>
      </c>
      <c r="D232" s="211">
        <v>45805</v>
      </c>
      <c r="E232" s="5" t="s">
        <v>7753</v>
      </c>
      <c r="F232" s="5" t="s">
        <v>1336</v>
      </c>
      <c r="G232" s="6" t="s">
        <v>978</v>
      </c>
      <c r="H232" s="6" t="s">
        <v>68</v>
      </c>
      <c r="I232" s="6" t="s">
        <v>6204</v>
      </c>
      <c r="J232" s="6">
        <v>1743087</v>
      </c>
      <c r="K232" s="7" t="s">
        <v>7868</v>
      </c>
      <c r="L232" s="8">
        <v>24337</v>
      </c>
      <c r="M232" s="8" t="str">
        <f t="shared" si="24"/>
        <v>PEN</v>
      </c>
      <c r="N232" s="13"/>
      <c r="O232" s="13">
        <v>8</v>
      </c>
      <c r="P232" s="3">
        <f t="shared" si="21"/>
        <v>0</v>
      </c>
      <c r="Q232" s="3">
        <f t="shared" si="22"/>
        <v>8</v>
      </c>
      <c r="R232" s="3">
        <f t="shared" si="23"/>
        <v>428.74</v>
      </c>
      <c r="S232" s="24" t="s">
        <v>1334</v>
      </c>
      <c r="T232" s="24" t="s">
        <v>1334</v>
      </c>
      <c r="U232" s="3"/>
      <c r="V232" s="25" t="s">
        <v>7761</v>
      </c>
      <c r="W232" s="25">
        <v>20517252558</v>
      </c>
      <c r="X232" s="25" t="str">
        <f>IFERROR(VLOOKUP(C_Ope_001[[#This Row],[nota_2]],Clientes_Proveedores[[Ruc / Dni]:[Razon Social]],2,0),"")</f>
        <v>COVISUR S.A.</v>
      </c>
      <c r="Y232" s="25"/>
      <c r="Z232" s="103"/>
      <c r="AA232" s="3" t="str">
        <f>IF(C_Ope_001[[#This Row],[fecha]]&gt;0,TEXT(C_Ope_001[[#This Row],[fecha]],"mmmm"),0)</f>
        <v>Mayo</v>
      </c>
      <c r="AB232" s="159"/>
    </row>
    <row r="233" spans="1:28" ht="24" x14ac:dyDescent="0.3">
      <c r="A233" s="2">
        <f>IF(C_Ope_001[[#This Row],[tipo_r]]="R",COUNTIFS($C$1:$C232,"R")+1,"")</f>
        <v>232</v>
      </c>
      <c r="B233" s="19" t="str">
        <f t="shared" si="20"/>
        <v>C_Ope_001</v>
      </c>
      <c r="C233" s="3" t="s">
        <v>1330</v>
      </c>
      <c r="D233" s="211">
        <v>45805</v>
      </c>
      <c r="E233" s="5" t="s">
        <v>7753</v>
      </c>
      <c r="F233" s="5" t="s">
        <v>1336</v>
      </c>
      <c r="G233" s="6" t="s">
        <v>978</v>
      </c>
      <c r="H233" s="6" t="s">
        <v>68</v>
      </c>
      <c r="I233" s="6" t="s">
        <v>5845</v>
      </c>
      <c r="J233" s="6">
        <v>1762782</v>
      </c>
      <c r="K233" s="7" t="s">
        <v>7868</v>
      </c>
      <c r="L233" s="8">
        <v>24342</v>
      </c>
      <c r="M233" s="8" t="str">
        <f t="shared" si="24"/>
        <v>PEN</v>
      </c>
      <c r="N233" s="13"/>
      <c r="O233" s="13">
        <v>8</v>
      </c>
      <c r="P233" s="3">
        <f t="shared" si="21"/>
        <v>0</v>
      </c>
      <c r="Q233" s="3">
        <f t="shared" si="22"/>
        <v>8</v>
      </c>
      <c r="R233" s="3">
        <f t="shared" si="23"/>
        <v>420.74</v>
      </c>
      <c r="S233" s="24" t="s">
        <v>1334</v>
      </c>
      <c r="T233" s="24" t="s">
        <v>1334</v>
      </c>
      <c r="U233" s="3"/>
      <c r="V233" s="25" t="s">
        <v>7761</v>
      </c>
      <c r="W233" s="25">
        <v>20517252558</v>
      </c>
      <c r="X233" s="25" t="str">
        <f>IFERROR(VLOOKUP(C_Ope_001[[#This Row],[nota_2]],Clientes_Proveedores[[Ruc / Dni]:[Razon Social]],2,0),"")</f>
        <v>COVISUR S.A.</v>
      </c>
      <c r="Y233" s="25"/>
      <c r="Z233" s="103"/>
      <c r="AA233" s="3" t="str">
        <f>IF(C_Ope_001[[#This Row],[fecha]]&gt;0,TEXT(C_Ope_001[[#This Row],[fecha]],"mmmm"),0)</f>
        <v>Mayo</v>
      </c>
      <c r="AB233" s="159"/>
    </row>
    <row r="234" spans="1:28" ht="24" x14ac:dyDescent="0.3">
      <c r="A234" s="2">
        <f>IF(C_Ope_001[[#This Row],[tipo_r]]="R",COUNTIFS($C$1:$C233,"R")+1,"")</f>
        <v>233</v>
      </c>
      <c r="B234" s="19" t="str">
        <f t="shared" si="20"/>
        <v>C_Ope_001</v>
      </c>
      <c r="C234" s="3" t="s">
        <v>1330</v>
      </c>
      <c r="D234" s="211">
        <v>45807</v>
      </c>
      <c r="E234" s="5" t="s">
        <v>7753</v>
      </c>
      <c r="F234" s="5" t="s">
        <v>1336</v>
      </c>
      <c r="G234" s="6" t="s">
        <v>978</v>
      </c>
      <c r="H234" s="6" t="s">
        <v>68</v>
      </c>
      <c r="I234" s="6" t="s">
        <v>5688</v>
      </c>
      <c r="J234" s="6">
        <v>2349196</v>
      </c>
      <c r="K234" s="7" t="s">
        <v>7782</v>
      </c>
      <c r="L234" s="8">
        <v>24367</v>
      </c>
      <c r="M234" s="8" t="str">
        <f t="shared" si="24"/>
        <v>PEN</v>
      </c>
      <c r="N234" s="13"/>
      <c r="O234" s="13">
        <v>8</v>
      </c>
      <c r="P234" s="3">
        <f t="shared" si="21"/>
        <v>0</v>
      </c>
      <c r="Q234" s="3">
        <f t="shared" si="22"/>
        <v>8</v>
      </c>
      <c r="R234" s="3">
        <f t="shared" si="23"/>
        <v>412.74</v>
      </c>
      <c r="S234" s="24" t="s">
        <v>1334</v>
      </c>
      <c r="T234" s="24" t="s">
        <v>1334</v>
      </c>
      <c r="U234" s="3"/>
      <c r="V234" s="25" t="s">
        <v>7761</v>
      </c>
      <c r="W234" s="25">
        <v>20517252558</v>
      </c>
      <c r="X234" s="25" t="str">
        <f>IFERROR(VLOOKUP(C_Ope_001[[#This Row],[nota_2]],Clientes_Proveedores[[Ruc / Dni]:[Razon Social]],2,0),"")</f>
        <v>COVISUR S.A.</v>
      </c>
      <c r="Y234" s="25"/>
      <c r="Z234" s="103"/>
      <c r="AA234" s="3" t="str">
        <f>IF(C_Ope_001[[#This Row],[fecha]]&gt;0,TEXT(C_Ope_001[[#This Row],[fecha]],"mmmm"),0)</f>
        <v>Mayo</v>
      </c>
      <c r="AB234" s="159"/>
    </row>
    <row r="235" spans="1:28" ht="24" x14ac:dyDescent="0.3">
      <c r="A235" s="2">
        <f>IF(C_Ope_001[[#This Row],[tipo_r]]="R",COUNTIFS($C$1:$C234,"R")+1,"")</f>
        <v>234</v>
      </c>
      <c r="B235" s="19" t="str">
        <f t="shared" si="20"/>
        <v>C_Ope_001</v>
      </c>
      <c r="C235" s="3" t="s">
        <v>1330</v>
      </c>
      <c r="D235" s="211">
        <v>45807</v>
      </c>
      <c r="E235" s="5" t="s">
        <v>7753</v>
      </c>
      <c r="F235" s="5" t="s">
        <v>1336</v>
      </c>
      <c r="G235" s="6" t="s">
        <v>978</v>
      </c>
      <c r="H235" s="6" t="s">
        <v>68</v>
      </c>
      <c r="I235" s="6" t="s">
        <v>5845</v>
      </c>
      <c r="J235" s="6">
        <v>1764690</v>
      </c>
      <c r="K235" s="7" t="s">
        <v>7782</v>
      </c>
      <c r="L235" s="8">
        <v>24397</v>
      </c>
      <c r="M235" s="8" t="str">
        <f t="shared" si="24"/>
        <v>PEN</v>
      </c>
      <c r="N235" s="13"/>
      <c r="O235" s="13">
        <v>8</v>
      </c>
      <c r="P235" s="3">
        <f t="shared" si="21"/>
        <v>0</v>
      </c>
      <c r="Q235" s="3">
        <f t="shared" si="22"/>
        <v>8</v>
      </c>
      <c r="R235" s="3">
        <f t="shared" si="23"/>
        <v>404.74</v>
      </c>
      <c r="S235" s="24" t="s">
        <v>1334</v>
      </c>
      <c r="T235" s="24" t="s">
        <v>1334</v>
      </c>
      <c r="U235" s="3"/>
      <c r="V235" s="25" t="s">
        <v>7761</v>
      </c>
      <c r="W235" s="25">
        <v>20517252558</v>
      </c>
      <c r="X235" s="25" t="str">
        <f>IFERROR(VLOOKUP(C_Ope_001[[#This Row],[nota_2]],Clientes_Proveedores[[Ruc / Dni]:[Razon Social]],2,0),"")</f>
        <v>COVISUR S.A.</v>
      </c>
      <c r="Y235" s="25"/>
      <c r="Z235" s="103"/>
      <c r="AA235" s="3" t="str">
        <f>IF(C_Ope_001[[#This Row],[fecha]]&gt;0,TEXT(C_Ope_001[[#This Row],[fecha]],"mmmm"),0)</f>
        <v>Mayo</v>
      </c>
      <c r="AB235" s="159"/>
    </row>
    <row r="236" spans="1:28" ht="36" x14ac:dyDescent="0.3">
      <c r="A236" s="2">
        <f>IF(C_Ope_001[[#This Row],[tipo_r]]="R",COUNTIFS($C$1:$C235,"R")+1,"")</f>
        <v>235</v>
      </c>
      <c r="B236" s="19" t="str">
        <f t="shared" si="20"/>
        <v>C_Ope_001</v>
      </c>
      <c r="C236" s="3" t="s">
        <v>1330</v>
      </c>
      <c r="D236" s="211">
        <v>45804</v>
      </c>
      <c r="E236" s="5" t="s">
        <v>7753</v>
      </c>
      <c r="F236" s="5" t="s">
        <v>1336</v>
      </c>
      <c r="G236" s="6" t="s">
        <v>682</v>
      </c>
      <c r="H236" s="6" t="s">
        <v>68</v>
      </c>
      <c r="I236" s="6" t="s">
        <v>1343</v>
      </c>
      <c r="J236" s="6">
        <v>34759</v>
      </c>
      <c r="K236" s="7" t="s">
        <v>7840</v>
      </c>
      <c r="L236" s="8">
        <v>24312</v>
      </c>
      <c r="M236" s="8" t="str">
        <f t="shared" si="24"/>
        <v>PEN</v>
      </c>
      <c r="N236" s="13"/>
      <c r="O236" s="13">
        <v>10</v>
      </c>
      <c r="P236" s="3">
        <f t="shared" si="21"/>
        <v>0</v>
      </c>
      <c r="Q236" s="3">
        <f t="shared" si="22"/>
        <v>10</v>
      </c>
      <c r="R236" s="3">
        <f t="shared" si="23"/>
        <v>394.74</v>
      </c>
      <c r="S236" s="24" t="s">
        <v>1334</v>
      </c>
      <c r="T236" s="24" t="s">
        <v>1334</v>
      </c>
      <c r="U236" s="3"/>
      <c r="V236" s="25" t="s">
        <v>7761</v>
      </c>
      <c r="W236" s="25">
        <v>20259858934</v>
      </c>
      <c r="X236" s="25" t="str">
        <f>IFERROR(VLOOKUP(C_Ope_001[[#This Row],[nota_2]],Clientes_Proveedores[[Ruc / Dni]:[Razon Social]],2,0),"")</f>
        <v>COMERCIALIZACION Y SERVICIOS EL EDEN S.A.C.</v>
      </c>
      <c r="Y236" s="25"/>
      <c r="Z236" s="103"/>
      <c r="AA236" s="3" t="str">
        <f>IF(C_Ope_001[[#This Row],[fecha]]&gt;0,TEXT(C_Ope_001[[#This Row],[fecha]],"mmmm"),0)</f>
        <v>Mayo</v>
      </c>
      <c r="AB236" s="159"/>
    </row>
    <row r="237" spans="1:28" ht="36" x14ac:dyDescent="0.3">
      <c r="A237" s="2">
        <f>IF(C_Ope_001[[#This Row],[tipo_r]]="R",COUNTIFS($C$1:$C236,"R")+1,"")</f>
        <v>236</v>
      </c>
      <c r="B237" s="19" t="str">
        <f t="shared" si="20"/>
        <v>C_Ope_001</v>
      </c>
      <c r="C237" s="3" t="s">
        <v>1330</v>
      </c>
      <c r="D237" s="211">
        <v>45807</v>
      </c>
      <c r="E237" s="5" t="s">
        <v>7753</v>
      </c>
      <c r="F237" s="5" t="s">
        <v>1336</v>
      </c>
      <c r="G237" s="6" t="s">
        <v>682</v>
      </c>
      <c r="H237" s="6" t="s">
        <v>68</v>
      </c>
      <c r="I237" s="6" t="s">
        <v>1343</v>
      </c>
      <c r="J237" s="6">
        <v>34791</v>
      </c>
      <c r="K237" s="7" t="s">
        <v>7840</v>
      </c>
      <c r="L237" s="8">
        <v>24368</v>
      </c>
      <c r="M237" s="8" t="str">
        <f t="shared" si="24"/>
        <v>PEN</v>
      </c>
      <c r="N237" s="13"/>
      <c r="O237" s="13">
        <v>10</v>
      </c>
      <c r="P237" s="3">
        <f t="shared" si="21"/>
        <v>0</v>
      </c>
      <c r="Q237" s="3">
        <f t="shared" si="22"/>
        <v>10</v>
      </c>
      <c r="R237" s="3">
        <f t="shared" si="23"/>
        <v>384.74</v>
      </c>
      <c r="S237" s="24" t="s">
        <v>1334</v>
      </c>
      <c r="T237" s="24" t="s">
        <v>1334</v>
      </c>
      <c r="U237" s="3"/>
      <c r="V237" s="25" t="s">
        <v>7761</v>
      </c>
      <c r="W237" s="25">
        <v>20259858934</v>
      </c>
      <c r="X237" s="25" t="str">
        <f>IFERROR(VLOOKUP(C_Ope_001[[#This Row],[nota_2]],Clientes_Proveedores[[Ruc / Dni]:[Razon Social]],2,0),"")</f>
        <v>COMERCIALIZACION Y SERVICIOS EL EDEN S.A.C.</v>
      </c>
      <c r="Y237" s="25"/>
      <c r="Z237" s="103"/>
      <c r="AA237" s="3" t="str">
        <f>IF(C_Ope_001[[#This Row],[fecha]]&gt;0,TEXT(C_Ope_001[[#This Row],[fecha]],"mmmm"),0)</f>
        <v>Mayo</v>
      </c>
      <c r="AB237" s="159"/>
    </row>
    <row r="238" spans="1:28" ht="24" x14ac:dyDescent="0.3">
      <c r="A238" s="2">
        <f>IF(C_Ope_001[[#This Row],[tipo_r]]="R",COUNTIFS($C$1:$C237,"R")+1,"")</f>
        <v>237</v>
      </c>
      <c r="B238" s="19" t="str">
        <f t="shared" si="20"/>
        <v>C_Ope_001</v>
      </c>
      <c r="C238" s="3" t="s">
        <v>1330</v>
      </c>
      <c r="D238" s="211">
        <v>45807</v>
      </c>
      <c r="E238" s="5" t="s">
        <v>7753</v>
      </c>
      <c r="F238" s="5" t="s">
        <v>1336</v>
      </c>
      <c r="G238" s="6" t="s">
        <v>999</v>
      </c>
      <c r="H238" s="6" t="s">
        <v>68</v>
      </c>
      <c r="I238" s="6" t="s">
        <v>1374</v>
      </c>
      <c r="J238" s="6">
        <v>17953</v>
      </c>
      <c r="K238" s="7" t="s">
        <v>7777</v>
      </c>
      <c r="L238" s="8">
        <v>24398</v>
      </c>
      <c r="M238" s="8" t="str">
        <f t="shared" si="24"/>
        <v>PEN</v>
      </c>
      <c r="N238" s="13"/>
      <c r="O238" s="13">
        <v>25</v>
      </c>
      <c r="P238" s="3">
        <f t="shared" si="21"/>
        <v>0</v>
      </c>
      <c r="Q238" s="3">
        <f t="shared" si="22"/>
        <v>25</v>
      </c>
      <c r="R238" s="3">
        <f t="shared" si="23"/>
        <v>359.74</v>
      </c>
      <c r="S238" s="24" t="s">
        <v>1334</v>
      </c>
      <c r="T238" s="24" t="s">
        <v>1334</v>
      </c>
      <c r="U238" s="3"/>
      <c r="V238" s="25" t="s">
        <v>7761</v>
      </c>
      <c r="W238" s="25">
        <v>10705628331</v>
      </c>
      <c r="X238" s="25" t="str">
        <f>IFERROR(VLOOKUP(C_Ope_001[[#This Row],[nota_2]],Clientes_Proveedores[[Ruc / Dni]:[Razon Social]],2,0),"")</f>
        <v>LARICO APAZA NANCY ROSSMARY</v>
      </c>
      <c r="Y238" s="25"/>
      <c r="Z238" s="103"/>
      <c r="AA238" s="3" t="str">
        <f>IF(C_Ope_001[[#This Row],[fecha]]&gt;0,TEXT(C_Ope_001[[#This Row],[fecha]],"mmmm"),0)</f>
        <v>Mayo</v>
      </c>
      <c r="AB238" s="159"/>
    </row>
    <row r="239" spans="1:28" ht="24" x14ac:dyDescent="0.3">
      <c r="A239" s="2">
        <f>IF(C_Ope_001[[#This Row],[tipo_r]]="R",COUNTIFS($C$1:$C238,"R")+1,"")</f>
        <v>238</v>
      </c>
      <c r="B239" s="19" t="str">
        <f t="shared" si="20"/>
        <v>C_Ope_001</v>
      </c>
      <c r="C239" s="3" t="s">
        <v>1330</v>
      </c>
      <c r="D239" s="211">
        <v>45810</v>
      </c>
      <c r="E239" s="5" t="s">
        <v>7753</v>
      </c>
      <c r="F239" s="5" t="s">
        <v>1336</v>
      </c>
      <c r="G239" s="6" t="s">
        <v>978</v>
      </c>
      <c r="H239" s="6" t="s">
        <v>68</v>
      </c>
      <c r="I239" s="6" t="s">
        <v>5845</v>
      </c>
      <c r="J239" s="6">
        <v>1767428</v>
      </c>
      <c r="K239" s="7" t="s">
        <v>7869</v>
      </c>
      <c r="L239" s="8">
        <v>24405</v>
      </c>
      <c r="M239" s="8" t="str">
        <f t="shared" si="24"/>
        <v>PEN</v>
      </c>
      <c r="N239" s="13"/>
      <c r="O239" s="13">
        <v>8</v>
      </c>
      <c r="P239" s="3">
        <f t="shared" si="21"/>
        <v>0</v>
      </c>
      <c r="Q239" s="3">
        <f t="shared" si="22"/>
        <v>8</v>
      </c>
      <c r="R239" s="3">
        <f t="shared" si="23"/>
        <v>351.74</v>
      </c>
      <c r="S239" s="24" t="s">
        <v>1334</v>
      </c>
      <c r="T239" s="24" t="s">
        <v>1334</v>
      </c>
      <c r="U239" s="3"/>
      <c r="V239" s="25" t="s">
        <v>7761</v>
      </c>
      <c r="W239" s="25">
        <v>20517252558</v>
      </c>
      <c r="X239" s="25" t="str">
        <f>IFERROR(VLOOKUP(C_Ope_001[[#This Row],[nota_2]],Clientes_Proveedores[[Ruc / Dni]:[Razon Social]],2,0),"")</f>
        <v>COVISUR S.A.</v>
      </c>
      <c r="Y239" s="25"/>
      <c r="Z239" s="103"/>
      <c r="AA239" s="3" t="str">
        <f>IF(C_Ope_001[[#This Row],[fecha]]&gt;0,TEXT(C_Ope_001[[#This Row],[fecha]],"mmmm"),0)</f>
        <v>Junio</v>
      </c>
      <c r="AB239" s="159"/>
    </row>
    <row r="240" spans="1:28" ht="24" x14ac:dyDescent="0.3">
      <c r="A240" s="2">
        <f>IF(C_Ope_001[[#This Row],[tipo_r]]="R",COUNTIFS($C$1:$C239,"R")+1,"")</f>
        <v>239</v>
      </c>
      <c r="B240" s="19" t="str">
        <f t="shared" si="20"/>
        <v>C_Ope_001</v>
      </c>
      <c r="C240" s="3" t="s">
        <v>1330</v>
      </c>
      <c r="D240" s="211">
        <v>45810</v>
      </c>
      <c r="E240" s="5" t="s">
        <v>7753</v>
      </c>
      <c r="F240" s="5" t="s">
        <v>1336</v>
      </c>
      <c r="G240" s="6" t="s">
        <v>978</v>
      </c>
      <c r="H240" s="6" t="s">
        <v>68</v>
      </c>
      <c r="I240" s="6" t="s">
        <v>6204</v>
      </c>
      <c r="J240" s="6">
        <v>1747456</v>
      </c>
      <c r="K240" s="7" t="s">
        <v>7869</v>
      </c>
      <c r="L240" s="8">
        <v>24406</v>
      </c>
      <c r="M240" s="8" t="str">
        <f t="shared" si="24"/>
        <v>PEN</v>
      </c>
      <c r="N240" s="13"/>
      <c r="O240" s="13">
        <v>8</v>
      </c>
      <c r="P240" s="3">
        <f t="shared" si="21"/>
        <v>0</v>
      </c>
      <c r="Q240" s="3">
        <f t="shared" si="22"/>
        <v>8</v>
      </c>
      <c r="R240" s="3">
        <f t="shared" si="23"/>
        <v>343.74</v>
      </c>
      <c r="S240" s="24" t="s">
        <v>1334</v>
      </c>
      <c r="T240" s="24" t="s">
        <v>1334</v>
      </c>
      <c r="U240" s="3"/>
      <c r="V240" s="25" t="s">
        <v>7761</v>
      </c>
      <c r="W240" s="25">
        <v>20517252558</v>
      </c>
      <c r="X240" s="25" t="str">
        <f>IFERROR(VLOOKUP(C_Ope_001[[#This Row],[nota_2]],Clientes_Proveedores[[Ruc / Dni]:[Razon Social]],2,0),"")</f>
        <v>COVISUR S.A.</v>
      </c>
      <c r="Y240" s="25"/>
      <c r="Z240" s="103"/>
      <c r="AA240" s="3" t="str">
        <f>IF(C_Ope_001[[#This Row],[fecha]]&gt;0,TEXT(C_Ope_001[[#This Row],[fecha]],"mmmm"),0)</f>
        <v>Junio</v>
      </c>
      <c r="AB240" s="159"/>
    </row>
    <row r="241" spans="1:28" ht="24" x14ac:dyDescent="0.3">
      <c r="A241" s="2">
        <f>IF(C_Ope_001[[#This Row],[tipo_r]]="R",COUNTIFS($C$1:$C240,"R")+1,"")</f>
        <v>240</v>
      </c>
      <c r="B241" s="19" t="str">
        <f t="shared" si="20"/>
        <v>C_Ope_001</v>
      </c>
      <c r="C241" s="3" t="s">
        <v>1330</v>
      </c>
      <c r="D241" s="211">
        <v>45811</v>
      </c>
      <c r="E241" s="5" t="s">
        <v>7753</v>
      </c>
      <c r="F241" s="5" t="s">
        <v>1336</v>
      </c>
      <c r="G241" s="6" t="s">
        <v>978</v>
      </c>
      <c r="H241" s="6" t="s">
        <v>68</v>
      </c>
      <c r="I241" s="6" t="s">
        <v>5688</v>
      </c>
      <c r="J241" s="6">
        <v>2353590</v>
      </c>
      <c r="K241" s="7" t="s">
        <v>7870</v>
      </c>
      <c r="L241" s="8">
        <v>24423</v>
      </c>
      <c r="M241" s="8" t="str">
        <f t="shared" si="24"/>
        <v>PEN</v>
      </c>
      <c r="N241" s="13"/>
      <c r="O241" s="13">
        <v>8</v>
      </c>
      <c r="P241" s="3">
        <f t="shared" si="21"/>
        <v>0</v>
      </c>
      <c r="Q241" s="3">
        <f t="shared" si="22"/>
        <v>8</v>
      </c>
      <c r="R241" s="3">
        <f t="shared" si="23"/>
        <v>335.74</v>
      </c>
      <c r="S241" s="24" t="s">
        <v>1334</v>
      </c>
      <c r="T241" s="24" t="s">
        <v>1334</v>
      </c>
      <c r="U241" s="3"/>
      <c r="V241" s="25" t="s">
        <v>7756</v>
      </c>
      <c r="W241" s="25">
        <v>20517252558</v>
      </c>
      <c r="X241" s="25" t="str">
        <f>IFERROR(VLOOKUP(C_Ope_001[[#This Row],[nota_2]],Clientes_Proveedores[[Ruc / Dni]:[Razon Social]],2,0),"")</f>
        <v>COVISUR S.A.</v>
      </c>
      <c r="Y241" s="25"/>
      <c r="Z241" s="103"/>
      <c r="AA241" s="3" t="str">
        <f>IF(C_Ope_001[[#This Row],[fecha]]&gt;0,TEXT(C_Ope_001[[#This Row],[fecha]],"mmmm"),0)</f>
        <v>Junio</v>
      </c>
      <c r="AB241" s="159"/>
    </row>
    <row r="242" spans="1:28" ht="24" x14ac:dyDescent="0.3">
      <c r="A242" s="2">
        <f>IF(C_Ope_001[[#This Row],[tipo_r]]="R",COUNTIFS($C$1:$C241,"R")+1,"")</f>
        <v>241</v>
      </c>
      <c r="B242" s="19" t="str">
        <f t="shared" si="20"/>
        <v>C_Ope_001</v>
      </c>
      <c r="C242" s="3" t="s">
        <v>1330</v>
      </c>
      <c r="D242" s="211">
        <v>45811</v>
      </c>
      <c r="E242" s="5" t="s">
        <v>7753</v>
      </c>
      <c r="F242" s="5" t="s">
        <v>1336</v>
      </c>
      <c r="G242" s="6" t="s">
        <v>978</v>
      </c>
      <c r="H242" s="6" t="s">
        <v>68</v>
      </c>
      <c r="I242" s="6" t="s">
        <v>6203</v>
      </c>
      <c r="J242" s="6">
        <v>2070460</v>
      </c>
      <c r="K242" s="7" t="s">
        <v>7870</v>
      </c>
      <c r="L242" s="8">
        <v>24426</v>
      </c>
      <c r="M242" s="8" t="str">
        <f t="shared" si="24"/>
        <v>PEN</v>
      </c>
      <c r="N242" s="13"/>
      <c r="O242" s="13">
        <v>8</v>
      </c>
      <c r="P242" s="3">
        <f t="shared" si="21"/>
        <v>0</v>
      </c>
      <c r="Q242" s="3">
        <f t="shared" si="22"/>
        <v>8</v>
      </c>
      <c r="R242" s="3">
        <f t="shared" si="23"/>
        <v>327.74</v>
      </c>
      <c r="S242" s="24" t="s">
        <v>1334</v>
      </c>
      <c r="T242" s="24" t="s">
        <v>1334</v>
      </c>
      <c r="U242" s="3"/>
      <c r="V242" s="25" t="s">
        <v>7756</v>
      </c>
      <c r="W242" s="25">
        <v>20517252558</v>
      </c>
      <c r="X242" s="25" t="str">
        <f>IFERROR(VLOOKUP(C_Ope_001[[#This Row],[nota_2]],Clientes_Proveedores[[Ruc / Dni]:[Razon Social]],2,0),"")</f>
        <v>COVISUR S.A.</v>
      </c>
      <c r="Y242" s="25"/>
      <c r="Z242" s="103"/>
      <c r="AA242" s="3" t="str">
        <f>IF(C_Ope_001[[#This Row],[fecha]]&gt;0,TEXT(C_Ope_001[[#This Row],[fecha]],"mmmm"),0)</f>
        <v>Junio</v>
      </c>
      <c r="AB242" s="159"/>
    </row>
    <row r="243" spans="1:28" x14ac:dyDescent="0.3">
      <c r="A243" s="2">
        <f>IF(C_Ope_001[[#This Row],[tipo_r]]="R",COUNTIFS($C$1:$C242,"R")+1,"")</f>
        <v>242</v>
      </c>
      <c r="B243" s="19" t="str">
        <f t="shared" si="20"/>
        <v>C_Ope_001</v>
      </c>
      <c r="C243" s="3" t="s">
        <v>1330</v>
      </c>
      <c r="D243" s="211">
        <v>45812</v>
      </c>
      <c r="E243" s="5" t="s">
        <v>7753</v>
      </c>
      <c r="F243" s="5" t="s">
        <v>1336</v>
      </c>
      <c r="G243" s="6" t="s">
        <v>978</v>
      </c>
      <c r="H243" s="6" t="s">
        <v>68</v>
      </c>
      <c r="I243" s="6" t="s">
        <v>5845</v>
      </c>
      <c r="J243" s="6">
        <v>1769284</v>
      </c>
      <c r="K243" s="7" t="s">
        <v>7871</v>
      </c>
      <c r="L243" s="8">
        <v>24445</v>
      </c>
      <c r="M243" s="8" t="str">
        <f t="shared" si="24"/>
        <v>PEN</v>
      </c>
      <c r="N243" s="13"/>
      <c r="O243" s="13">
        <v>8</v>
      </c>
      <c r="P243" s="3">
        <f t="shared" si="21"/>
        <v>0</v>
      </c>
      <c r="Q243" s="3">
        <f t="shared" si="22"/>
        <v>8</v>
      </c>
      <c r="R243" s="3">
        <f t="shared" si="23"/>
        <v>319.74</v>
      </c>
      <c r="S243" s="24" t="s">
        <v>1334</v>
      </c>
      <c r="T243" s="24" t="s">
        <v>1334</v>
      </c>
      <c r="U243" s="3"/>
      <c r="V243" s="25" t="s">
        <v>7761</v>
      </c>
      <c r="W243" s="25">
        <v>20517252558</v>
      </c>
      <c r="X243" s="25" t="str">
        <f>IFERROR(VLOOKUP(C_Ope_001[[#This Row],[nota_2]],Clientes_Proveedores[[Ruc / Dni]:[Razon Social]],2,0),"")</f>
        <v>COVISUR S.A.</v>
      </c>
      <c r="Y243" s="25"/>
      <c r="Z243" s="103"/>
      <c r="AA243" s="3" t="str">
        <f>IF(C_Ope_001[[#This Row],[fecha]]&gt;0,TEXT(C_Ope_001[[#This Row],[fecha]],"mmmm"),0)</f>
        <v>Junio</v>
      </c>
      <c r="AB243" s="159"/>
    </row>
    <row r="244" spans="1:28" x14ac:dyDescent="0.3">
      <c r="A244" s="2">
        <f>IF(C_Ope_001[[#This Row],[tipo_r]]="R",COUNTIFS($C$1:$C243,"R")+1,"")</f>
        <v>243</v>
      </c>
      <c r="B244" s="19" t="str">
        <f t="shared" si="20"/>
        <v>C_Ope_001</v>
      </c>
      <c r="C244" s="3" t="s">
        <v>1330</v>
      </c>
      <c r="D244" s="211">
        <v>45812</v>
      </c>
      <c r="E244" s="5" t="s">
        <v>7753</v>
      </c>
      <c r="F244" s="5" t="s">
        <v>1336</v>
      </c>
      <c r="G244" s="6" t="s">
        <v>978</v>
      </c>
      <c r="H244" s="6" t="s">
        <v>68</v>
      </c>
      <c r="I244" s="6" t="s">
        <v>6204</v>
      </c>
      <c r="J244" s="6">
        <v>1749412</v>
      </c>
      <c r="K244" s="7" t="s">
        <v>7871</v>
      </c>
      <c r="L244" s="8">
        <v>24446</v>
      </c>
      <c r="M244" s="8" t="str">
        <f t="shared" si="24"/>
        <v>PEN</v>
      </c>
      <c r="N244" s="13"/>
      <c r="O244" s="13">
        <v>8</v>
      </c>
      <c r="P244" s="3">
        <f t="shared" si="21"/>
        <v>0</v>
      </c>
      <c r="Q244" s="3">
        <f t="shared" si="22"/>
        <v>8</v>
      </c>
      <c r="R244" s="3">
        <f t="shared" si="23"/>
        <v>311.74</v>
      </c>
      <c r="S244" s="24" t="s">
        <v>1334</v>
      </c>
      <c r="T244" s="24" t="s">
        <v>1334</v>
      </c>
      <c r="U244" s="3"/>
      <c r="V244" s="25" t="s">
        <v>7761</v>
      </c>
      <c r="W244" s="25">
        <v>20517252558</v>
      </c>
      <c r="X244" s="25" t="str">
        <f>IFERROR(VLOOKUP(C_Ope_001[[#This Row],[nota_2]],Clientes_Proveedores[[Ruc / Dni]:[Razon Social]],2,0),"")</f>
        <v>COVISUR S.A.</v>
      </c>
      <c r="Y244" s="25"/>
      <c r="Z244" s="103"/>
      <c r="AA244" s="3" t="str">
        <f>IF(C_Ope_001[[#This Row],[fecha]]&gt;0,TEXT(C_Ope_001[[#This Row],[fecha]],"mmmm"),0)</f>
        <v>Junio</v>
      </c>
      <c r="AB244" s="159"/>
    </row>
    <row r="245" spans="1:28" ht="24" x14ac:dyDescent="0.3">
      <c r="A245" s="2">
        <f>IF(C_Ope_001[[#This Row],[tipo_r]]="R",COUNTIFS($C$1:$C244,"R")+1,"")</f>
        <v>244</v>
      </c>
      <c r="B245" s="19" t="str">
        <f t="shared" si="20"/>
        <v>C_Ope_001</v>
      </c>
      <c r="C245" s="3" t="s">
        <v>1330</v>
      </c>
      <c r="D245" s="211">
        <v>45814</v>
      </c>
      <c r="E245" s="5" t="s">
        <v>7753</v>
      </c>
      <c r="F245" s="5" t="s">
        <v>1336</v>
      </c>
      <c r="G245" s="6" t="s">
        <v>978</v>
      </c>
      <c r="H245" s="6" t="s">
        <v>68</v>
      </c>
      <c r="I245" s="6" t="s">
        <v>5845</v>
      </c>
      <c r="J245" s="6">
        <v>1771273</v>
      </c>
      <c r="K245" s="7" t="s">
        <v>7813</v>
      </c>
      <c r="L245" s="8">
        <v>24471</v>
      </c>
      <c r="M245" s="8" t="str">
        <f t="shared" si="24"/>
        <v>PEN</v>
      </c>
      <c r="N245" s="13"/>
      <c r="O245" s="13">
        <v>8</v>
      </c>
      <c r="P245" s="3">
        <f t="shared" si="21"/>
        <v>0</v>
      </c>
      <c r="Q245" s="3">
        <f t="shared" si="22"/>
        <v>8</v>
      </c>
      <c r="R245" s="3">
        <f t="shared" si="23"/>
        <v>303.74</v>
      </c>
      <c r="S245" s="24" t="s">
        <v>1334</v>
      </c>
      <c r="T245" s="24" t="s">
        <v>1334</v>
      </c>
      <c r="U245" s="3"/>
      <c r="V245" s="25" t="s">
        <v>7756</v>
      </c>
      <c r="W245" s="25">
        <v>20517252558</v>
      </c>
      <c r="X245" s="25" t="str">
        <f>IFERROR(VLOOKUP(C_Ope_001[[#This Row],[nota_2]],Clientes_Proveedores[[Ruc / Dni]:[Razon Social]],2,0),"")</f>
        <v>COVISUR S.A.</v>
      </c>
      <c r="Y245" s="25"/>
      <c r="Z245" s="103"/>
      <c r="AA245" s="3" t="str">
        <f>IF(C_Ope_001[[#This Row],[fecha]]&gt;0,TEXT(C_Ope_001[[#This Row],[fecha]],"mmmm"),0)</f>
        <v>Junio</v>
      </c>
      <c r="AB245" s="159"/>
    </row>
    <row r="246" spans="1:28" ht="24" x14ac:dyDescent="0.3">
      <c r="A246" s="2">
        <f>IF(C_Ope_001[[#This Row],[tipo_r]]="R",COUNTIFS($C$1:$C245,"R")+1,"")</f>
        <v>245</v>
      </c>
      <c r="B246" s="19" t="str">
        <f t="shared" si="20"/>
        <v>C_Ope_001</v>
      </c>
      <c r="C246" s="3" t="s">
        <v>1330</v>
      </c>
      <c r="D246" s="211">
        <v>45814</v>
      </c>
      <c r="E246" s="5" t="s">
        <v>7753</v>
      </c>
      <c r="F246" s="5" t="s">
        <v>1336</v>
      </c>
      <c r="G246" s="6" t="s">
        <v>978</v>
      </c>
      <c r="H246" s="6" t="s">
        <v>68</v>
      </c>
      <c r="I246" s="6" t="s">
        <v>6204</v>
      </c>
      <c r="J246" s="6">
        <v>1751406</v>
      </c>
      <c r="K246" s="7" t="s">
        <v>7813</v>
      </c>
      <c r="L246" s="8">
        <v>24472</v>
      </c>
      <c r="M246" s="8" t="str">
        <f t="shared" si="24"/>
        <v>PEN</v>
      </c>
      <c r="N246" s="13"/>
      <c r="O246" s="13">
        <v>8</v>
      </c>
      <c r="P246" s="3">
        <f t="shared" si="21"/>
        <v>0</v>
      </c>
      <c r="Q246" s="3">
        <f t="shared" si="22"/>
        <v>8</v>
      </c>
      <c r="R246" s="3">
        <f t="shared" si="23"/>
        <v>295.74</v>
      </c>
      <c r="S246" s="24" t="s">
        <v>1334</v>
      </c>
      <c r="T246" s="24" t="s">
        <v>1334</v>
      </c>
      <c r="U246" s="3"/>
      <c r="V246" s="25" t="s">
        <v>7756</v>
      </c>
      <c r="W246" s="25">
        <v>20517252558</v>
      </c>
      <c r="X246" s="25" t="str">
        <f>IFERROR(VLOOKUP(C_Ope_001[[#This Row],[nota_2]],Clientes_Proveedores[[Ruc / Dni]:[Razon Social]],2,0),"")</f>
        <v>COVISUR S.A.</v>
      </c>
      <c r="Y246" s="25"/>
      <c r="Z246" s="103"/>
      <c r="AA246" s="3" t="str">
        <f>IF(C_Ope_001[[#This Row],[fecha]]&gt;0,TEXT(C_Ope_001[[#This Row],[fecha]],"mmmm"),0)</f>
        <v>Junio</v>
      </c>
      <c r="AB246" s="159"/>
    </row>
    <row r="247" spans="1:28" ht="36" x14ac:dyDescent="0.3">
      <c r="A247" s="2">
        <f>IF(C_Ope_001[[#This Row],[tipo_r]]="R",COUNTIFS($C$1:$C246,"R")+1,"")</f>
        <v>246</v>
      </c>
      <c r="B247" s="19" t="str">
        <f t="shared" si="20"/>
        <v>C_Ope_001</v>
      </c>
      <c r="C247" s="3" t="s">
        <v>1330</v>
      </c>
      <c r="D247" s="211">
        <v>45810</v>
      </c>
      <c r="E247" s="5" t="s">
        <v>7753</v>
      </c>
      <c r="F247" s="5" t="s">
        <v>1336</v>
      </c>
      <c r="G247" s="6" t="s">
        <v>682</v>
      </c>
      <c r="H247" s="6" t="s">
        <v>68</v>
      </c>
      <c r="I247" s="6" t="s">
        <v>1353</v>
      </c>
      <c r="J247" s="6">
        <v>16551</v>
      </c>
      <c r="K247" s="7" t="s">
        <v>7864</v>
      </c>
      <c r="L247" s="8">
        <v>24407</v>
      </c>
      <c r="M247" s="8" t="str">
        <f t="shared" si="24"/>
        <v>PEN</v>
      </c>
      <c r="N247" s="13"/>
      <c r="O247" s="13">
        <v>20</v>
      </c>
      <c r="P247" s="3">
        <f t="shared" si="21"/>
        <v>0</v>
      </c>
      <c r="Q247" s="3">
        <f t="shared" si="22"/>
        <v>20</v>
      </c>
      <c r="R247" s="3">
        <f t="shared" si="23"/>
        <v>275.74</v>
      </c>
      <c r="S247" s="24" t="s">
        <v>1334</v>
      </c>
      <c r="T247" s="24" t="s">
        <v>1334</v>
      </c>
      <c r="U247" s="3"/>
      <c r="V247" s="25" t="s">
        <v>7761</v>
      </c>
      <c r="W247" s="25">
        <v>20259858934</v>
      </c>
      <c r="X247" s="25" t="str">
        <f>IFERROR(VLOOKUP(C_Ope_001[[#This Row],[nota_2]],Clientes_Proveedores[[Ruc / Dni]:[Razon Social]],2,0),"")</f>
        <v>COMERCIALIZACION Y SERVICIOS EL EDEN S.A.C.</v>
      </c>
      <c r="Y247" s="25"/>
      <c r="Z247" s="103"/>
      <c r="AA247" s="3" t="str">
        <f>IF(C_Ope_001[[#This Row],[fecha]]&gt;0,TEXT(C_Ope_001[[#This Row],[fecha]],"mmmm"),0)</f>
        <v>Junio</v>
      </c>
      <c r="AB247" s="159"/>
    </row>
    <row r="248" spans="1:28" ht="36" x14ac:dyDescent="0.3">
      <c r="A248" s="2">
        <f>IF(C_Ope_001[[#This Row],[tipo_r]]="R",COUNTIFS($C$1:$C247,"R")+1,"")</f>
        <v>247</v>
      </c>
      <c r="B248" s="19" t="str">
        <f t="shared" si="20"/>
        <v>C_Ope_001</v>
      </c>
      <c r="C248" s="3" t="s">
        <v>1330</v>
      </c>
      <c r="D248" s="211">
        <v>45811</v>
      </c>
      <c r="E248" s="5" t="s">
        <v>7753</v>
      </c>
      <c r="F248" s="5" t="s">
        <v>1336</v>
      </c>
      <c r="G248" s="6" t="s">
        <v>682</v>
      </c>
      <c r="H248" s="6" t="s">
        <v>68</v>
      </c>
      <c r="I248" s="6" t="s">
        <v>1353</v>
      </c>
      <c r="J248" s="6">
        <v>16559</v>
      </c>
      <c r="K248" s="7" t="s">
        <v>7872</v>
      </c>
      <c r="L248" s="8">
        <v>24424</v>
      </c>
      <c r="M248" s="8" t="str">
        <f t="shared" si="24"/>
        <v>PEN</v>
      </c>
      <c r="N248" s="13"/>
      <c r="O248" s="13">
        <v>20</v>
      </c>
      <c r="P248" s="3">
        <f t="shared" si="21"/>
        <v>0</v>
      </c>
      <c r="Q248" s="3">
        <f t="shared" si="22"/>
        <v>20</v>
      </c>
      <c r="R248" s="3">
        <f t="shared" si="23"/>
        <v>255.74</v>
      </c>
      <c r="S248" s="24" t="s">
        <v>1334</v>
      </c>
      <c r="T248" s="24" t="s">
        <v>1334</v>
      </c>
      <c r="U248" s="3"/>
      <c r="V248" s="25" t="s">
        <v>7756</v>
      </c>
      <c r="W248" s="25">
        <v>20259858934</v>
      </c>
      <c r="X248" s="25" t="str">
        <f>IFERROR(VLOOKUP(C_Ope_001[[#This Row],[nota_2]],Clientes_Proveedores[[Ruc / Dni]:[Razon Social]],2,0),"")</f>
        <v>COMERCIALIZACION Y SERVICIOS EL EDEN S.A.C.</v>
      </c>
      <c r="Y248" s="25"/>
      <c r="Z248" s="103"/>
      <c r="AA248" s="3" t="str">
        <f>IF(C_Ope_001[[#This Row],[fecha]]&gt;0,TEXT(C_Ope_001[[#This Row],[fecha]],"mmmm"),0)</f>
        <v>Junio</v>
      </c>
      <c r="AB248" s="159"/>
    </row>
    <row r="249" spans="1:28" ht="36" x14ac:dyDescent="0.3">
      <c r="A249" s="2">
        <f>IF(C_Ope_001[[#This Row],[tipo_r]]="R",COUNTIFS($C$1:$C248,"R")+1,"")</f>
        <v>248</v>
      </c>
      <c r="B249" s="19" t="str">
        <f t="shared" si="20"/>
        <v>C_Ope_001</v>
      </c>
      <c r="C249" s="3" t="s">
        <v>1330</v>
      </c>
      <c r="D249" s="211">
        <v>45811</v>
      </c>
      <c r="E249" s="5" t="s">
        <v>7753</v>
      </c>
      <c r="F249" s="5" t="s">
        <v>1336</v>
      </c>
      <c r="G249" s="6" t="s">
        <v>682</v>
      </c>
      <c r="H249" s="6" t="s">
        <v>68</v>
      </c>
      <c r="I249" s="6" t="s">
        <v>1353</v>
      </c>
      <c r="J249" s="6">
        <v>16558</v>
      </c>
      <c r="K249" s="7" t="s">
        <v>7873</v>
      </c>
      <c r="L249" s="8">
        <v>24425</v>
      </c>
      <c r="M249" s="8" t="str">
        <f t="shared" si="24"/>
        <v>PEN</v>
      </c>
      <c r="N249" s="13"/>
      <c r="O249" s="13">
        <v>20</v>
      </c>
      <c r="P249" s="3">
        <f t="shared" si="21"/>
        <v>0</v>
      </c>
      <c r="Q249" s="3">
        <f t="shared" si="22"/>
        <v>20</v>
      </c>
      <c r="R249" s="3">
        <f t="shared" si="23"/>
        <v>235.74</v>
      </c>
      <c r="S249" s="24" t="s">
        <v>1334</v>
      </c>
      <c r="T249" s="24" t="s">
        <v>1334</v>
      </c>
      <c r="U249" s="3"/>
      <c r="V249" s="25" t="s">
        <v>7756</v>
      </c>
      <c r="W249" s="25">
        <v>20259858934</v>
      </c>
      <c r="X249" s="25" t="str">
        <f>IFERROR(VLOOKUP(C_Ope_001[[#This Row],[nota_2]],Clientes_Proveedores[[Ruc / Dni]:[Razon Social]],2,0),"")</f>
        <v>COMERCIALIZACION Y SERVICIOS EL EDEN S.A.C.</v>
      </c>
      <c r="Y249" s="25"/>
      <c r="Z249" s="103"/>
      <c r="AA249" s="3" t="str">
        <f>IF(C_Ope_001[[#This Row],[fecha]]&gt;0,TEXT(C_Ope_001[[#This Row],[fecha]],"mmmm"),0)</f>
        <v>Junio</v>
      </c>
      <c r="AB249" s="159"/>
    </row>
    <row r="250" spans="1:28" ht="24" x14ac:dyDescent="0.3">
      <c r="A250" s="2">
        <f>IF(C_Ope_001[[#This Row],[tipo_r]]="R",COUNTIFS($C$1:$C249,"R")+1,"")</f>
        <v>249</v>
      </c>
      <c r="B250" s="19" t="str">
        <f t="shared" si="20"/>
        <v>C_Ope_001</v>
      </c>
      <c r="C250" s="3" t="s">
        <v>1330</v>
      </c>
      <c r="D250" s="211">
        <v>45818</v>
      </c>
      <c r="E250" s="5" t="s">
        <v>7753</v>
      </c>
      <c r="F250" s="5" t="s">
        <v>1336</v>
      </c>
      <c r="G250" s="6" t="s">
        <v>978</v>
      </c>
      <c r="H250" s="6" t="s">
        <v>68</v>
      </c>
      <c r="I250" s="6" t="s">
        <v>5845</v>
      </c>
      <c r="J250" s="6">
        <v>1774486</v>
      </c>
      <c r="K250" s="7" t="s">
        <v>7874</v>
      </c>
      <c r="L250" s="8">
        <v>24520</v>
      </c>
      <c r="M250" s="8" t="str">
        <f t="shared" si="24"/>
        <v>PEN</v>
      </c>
      <c r="N250" s="13"/>
      <c r="O250" s="13">
        <v>8</v>
      </c>
      <c r="P250" s="3">
        <f t="shared" si="21"/>
        <v>0</v>
      </c>
      <c r="Q250" s="3">
        <f t="shared" si="22"/>
        <v>8</v>
      </c>
      <c r="R250" s="3">
        <f t="shared" si="23"/>
        <v>227.74</v>
      </c>
      <c r="S250" s="24" t="s">
        <v>1334</v>
      </c>
      <c r="T250" s="24" t="s">
        <v>1334</v>
      </c>
      <c r="U250" s="3"/>
      <c r="V250" s="25" t="s">
        <v>7761</v>
      </c>
      <c r="W250" s="25">
        <v>20517252558</v>
      </c>
      <c r="X250" s="25" t="str">
        <f>IFERROR(VLOOKUP(C_Ope_001[[#This Row],[nota_2]],Clientes_Proveedores[[Ruc / Dni]:[Razon Social]],2,0),"")</f>
        <v>COVISUR S.A.</v>
      </c>
      <c r="Y250" s="25"/>
      <c r="Z250" s="103"/>
      <c r="AA250" s="3" t="str">
        <f>IF(C_Ope_001[[#This Row],[fecha]]&gt;0,TEXT(C_Ope_001[[#This Row],[fecha]],"mmmm"),0)</f>
        <v>Junio</v>
      </c>
      <c r="AB250" s="159"/>
    </row>
    <row r="251" spans="1:28" ht="24" x14ac:dyDescent="0.3">
      <c r="A251" s="2">
        <f>IF(C_Ope_001[[#This Row],[tipo_r]]="R",COUNTIFS($C$1:$C250,"R")+1,"")</f>
        <v>250</v>
      </c>
      <c r="B251" s="19" t="str">
        <f t="shared" si="20"/>
        <v>C_Ope_001</v>
      </c>
      <c r="C251" s="3" t="s">
        <v>1330</v>
      </c>
      <c r="D251" s="211">
        <v>45818</v>
      </c>
      <c r="E251" s="5" t="s">
        <v>7753</v>
      </c>
      <c r="F251" s="5" t="s">
        <v>1336</v>
      </c>
      <c r="G251" s="6" t="s">
        <v>978</v>
      </c>
      <c r="H251" s="6" t="s">
        <v>68</v>
      </c>
      <c r="I251" s="6" t="s">
        <v>6204</v>
      </c>
      <c r="J251" s="6">
        <v>1754625</v>
      </c>
      <c r="K251" s="7" t="s">
        <v>7874</v>
      </c>
      <c r="L251" s="8">
        <v>24521</v>
      </c>
      <c r="M251" s="8" t="str">
        <f t="shared" si="24"/>
        <v>PEN</v>
      </c>
      <c r="N251" s="13"/>
      <c r="O251" s="13">
        <v>8</v>
      </c>
      <c r="P251" s="3">
        <f t="shared" si="21"/>
        <v>0</v>
      </c>
      <c r="Q251" s="3">
        <f t="shared" si="22"/>
        <v>8</v>
      </c>
      <c r="R251" s="3">
        <f t="shared" si="23"/>
        <v>219.74</v>
      </c>
      <c r="S251" s="24" t="s">
        <v>1334</v>
      </c>
      <c r="T251" s="24" t="s">
        <v>1334</v>
      </c>
      <c r="U251" s="3"/>
      <c r="V251" s="25" t="s">
        <v>7761</v>
      </c>
      <c r="W251" s="25">
        <v>20517252558</v>
      </c>
      <c r="X251" s="25" t="str">
        <f>IFERROR(VLOOKUP(C_Ope_001[[#This Row],[nota_2]],Clientes_Proveedores[[Ruc / Dni]:[Razon Social]],2,0),"")</f>
        <v>COVISUR S.A.</v>
      </c>
      <c r="Y251" s="25"/>
      <c r="Z251" s="103"/>
      <c r="AA251" s="3" t="str">
        <f>IF(C_Ope_001[[#This Row],[fecha]]&gt;0,TEXT(C_Ope_001[[#This Row],[fecha]],"mmmm"),0)</f>
        <v>Junio</v>
      </c>
      <c r="AB251" s="159"/>
    </row>
    <row r="252" spans="1:28" ht="36" x14ac:dyDescent="0.3">
      <c r="A252" s="2">
        <f>IF(C_Ope_001[[#This Row],[tipo_r]]="R",COUNTIFS($C$1:$C251,"R")+1,"")</f>
        <v>251</v>
      </c>
      <c r="B252" s="19" t="str">
        <f t="shared" si="20"/>
        <v>C_Ope_001</v>
      </c>
      <c r="C252" s="3" t="s">
        <v>1330</v>
      </c>
      <c r="D252" s="211">
        <v>45819</v>
      </c>
      <c r="E252" s="5" t="s">
        <v>7753</v>
      </c>
      <c r="F252" s="5" t="s">
        <v>1336</v>
      </c>
      <c r="G252" s="6" t="s">
        <v>978</v>
      </c>
      <c r="H252" s="6" t="s">
        <v>68</v>
      </c>
      <c r="I252" s="6" t="s">
        <v>6204</v>
      </c>
      <c r="J252" s="6">
        <v>1755645</v>
      </c>
      <c r="K252" s="7" t="s">
        <v>7875</v>
      </c>
      <c r="L252" s="8">
        <v>24527</v>
      </c>
      <c r="M252" s="8" t="str">
        <f t="shared" si="24"/>
        <v>PEN</v>
      </c>
      <c r="N252" s="13"/>
      <c r="O252" s="13">
        <v>8</v>
      </c>
      <c r="P252" s="3">
        <f t="shared" si="21"/>
        <v>0</v>
      </c>
      <c r="Q252" s="3">
        <f t="shared" si="22"/>
        <v>8</v>
      </c>
      <c r="R252" s="3">
        <f t="shared" si="23"/>
        <v>211.74</v>
      </c>
      <c r="S252" s="24" t="s">
        <v>1334</v>
      </c>
      <c r="T252" s="24" t="s">
        <v>1334</v>
      </c>
      <c r="U252" s="3"/>
      <c r="V252" s="25" t="s">
        <v>7761</v>
      </c>
      <c r="W252" s="25">
        <v>20517252558</v>
      </c>
      <c r="X252" s="25" t="str">
        <f>IFERROR(VLOOKUP(C_Ope_001[[#This Row],[nota_2]],Clientes_Proveedores[[Ruc / Dni]:[Razon Social]],2,0),"")</f>
        <v>COVISUR S.A.</v>
      </c>
      <c r="Y252" s="25"/>
      <c r="Z252" s="103"/>
      <c r="AA252" s="3" t="str">
        <f>IF(C_Ope_001[[#This Row],[fecha]]&gt;0,TEXT(C_Ope_001[[#This Row],[fecha]],"mmmm"),0)</f>
        <v>Junio</v>
      </c>
      <c r="AB252" s="159"/>
    </row>
    <row r="253" spans="1:28" ht="36" x14ac:dyDescent="0.3">
      <c r="A253" s="2">
        <f>IF(C_Ope_001[[#This Row],[tipo_r]]="R",COUNTIFS($C$1:$C252,"R")+1,"")</f>
        <v>252</v>
      </c>
      <c r="B253" s="19" t="str">
        <f t="shared" si="20"/>
        <v>C_Ope_001</v>
      </c>
      <c r="C253" s="3" t="s">
        <v>1330</v>
      </c>
      <c r="D253" s="211">
        <v>45819</v>
      </c>
      <c r="E253" s="5" t="s">
        <v>7753</v>
      </c>
      <c r="F253" s="5" t="s">
        <v>1336</v>
      </c>
      <c r="G253" s="6"/>
      <c r="H253" s="6" t="s">
        <v>68</v>
      </c>
      <c r="I253" s="6" t="s">
        <v>6204</v>
      </c>
      <c r="J253" s="6">
        <v>1755645</v>
      </c>
      <c r="K253" s="7" t="s">
        <v>7875</v>
      </c>
      <c r="L253" s="8">
        <v>24528</v>
      </c>
      <c r="M253" s="8" t="str">
        <f t="shared" si="24"/>
        <v>PEN</v>
      </c>
      <c r="N253" s="13"/>
      <c r="O253" s="13">
        <v>0</v>
      </c>
      <c r="P253" s="3">
        <f t="shared" si="21"/>
        <v>0</v>
      </c>
      <c r="Q253" s="3">
        <f t="shared" si="22"/>
        <v>0</v>
      </c>
      <c r="R253" s="3">
        <f t="shared" si="23"/>
        <v>211.74</v>
      </c>
      <c r="S253" s="24"/>
      <c r="T253" s="24" t="s">
        <v>1334</v>
      </c>
      <c r="U253" s="3"/>
      <c r="V253" s="25" t="s">
        <v>7761</v>
      </c>
      <c r="W253" s="25"/>
      <c r="X253" s="25" t="str">
        <f>IFERROR(VLOOKUP(C_Ope_001[[#This Row],[nota_2]],Clientes_Proveedores[[Ruc / Dni]:[Razon Social]],2,0),"")</f>
        <v/>
      </c>
      <c r="Y253" s="25"/>
      <c r="Z253" s="103"/>
      <c r="AA253" s="3" t="str">
        <f>IF(C_Ope_001[[#This Row],[fecha]]&gt;0,TEXT(C_Ope_001[[#This Row],[fecha]],"mmmm"),0)</f>
        <v>Junio</v>
      </c>
      <c r="AB253" s="159"/>
    </row>
    <row r="254" spans="1:28" ht="36" x14ac:dyDescent="0.3">
      <c r="A254" s="2">
        <f>IF(C_Ope_001[[#This Row],[tipo_r]]="R",COUNTIFS($C$1:$C253,"R")+1,"")</f>
        <v>253</v>
      </c>
      <c r="B254" s="19" t="str">
        <f t="shared" si="20"/>
        <v>C_Ope_001</v>
      </c>
      <c r="C254" s="3" t="s">
        <v>1330</v>
      </c>
      <c r="D254" s="211">
        <v>45819</v>
      </c>
      <c r="E254" s="5" t="s">
        <v>7753</v>
      </c>
      <c r="F254" s="5" t="s">
        <v>1336</v>
      </c>
      <c r="G254" s="6" t="s">
        <v>978</v>
      </c>
      <c r="H254" s="6" t="s">
        <v>68</v>
      </c>
      <c r="I254" s="6" t="s">
        <v>5845</v>
      </c>
      <c r="J254" s="6">
        <v>1775395</v>
      </c>
      <c r="K254" s="7" t="s">
        <v>7875</v>
      </c>
      <c r="L254" s="8">
        <v>24529</v>
      </c>
      <c r="M254" s="8" t="str">
        <f t="shared" si="24"/>
        <v>PEN</v>
      </c>
      <c r="N254" s="13"/>
      <c r="O254" s="13">
        <v>8</v>
      </c>
      <c r="P254" s="3">
        <f t="shared" si="21"/>
        <v>0</v>
      </c>
      <c r="Q254" s="3">
        <f t="shared" si="22"/>
        <v>8</v>
      </c>
      <c r="R254" s="3">
        <f t="shared" si="23"/>
        <v>203.74</v>
      </c>
      <c r="S254" s="24" t="s">
        <v>1334</v>
      </c>
      <c r="T254" s="24" t="s">
        <v>1334</v>
      </c>
      <c r="U254" s="3"/>
      <c r="V254" s="25" t="s">
        <v>7761</v>
      </c>
      <c r="W254" s="25">
        <v>20517252558</v>
      </c>
      <c r="X254" s="25" t="str">
        <f>IFERROR(VLOOKUP(C_Ope_001[[#This Row],[nota_2]],Clientes_Proveedores[[Ruc / Dni]:[Razon Social]],2,0),"")</f>
        <v>COVISUR S.A.</v>
      </c>
      <c r="Y254" s="25"/>
      <c r="Z254" s="103"/>
      <c r="AA254" s="3" t="str">
        <f>IF(C_Ope_001[[#This Row],[fecha]]&gt;0,TEXT(C_Ope_001[[#This Row],[fecha]],"mmmm"),0)</f>
        <v>Junio</v>
      </c>
      <c r="AB254" s="159"/>
    </row>
    <row r="255" spans="1:28" ht="36" x14ac:dyDescent="0.3">
      <c r="A255" s="2">
        <f>IF(C_Ope_001[[#This Row],[tipo_r]]="R",COUNTIFS($C$1:$C254,"R")+1,"")</f>
        <v>254</v>
      </c>
      <c r="B255" s="19" t="str">
        <f t="shared" si="20"/>
        <v>C_Ope_001</v>
      </c>
      <c r="C255" s="3" t="s">
        <v>1330</v>
      </c>
      <c r="D255" s="211">
        <v>45819</v>
      </c>
      <c r="E255" s="5" t="s">
        <v>7753</v>
      </c>
      <c r="F255" s="5" t="s">
        <v>1336</v>
      </c>
      <c r="G255" s="6"/>
      <c r="H255" s="6" t="s">
        <v>68</v>
      </c>
      <c r="I255" s="6" t="s">
        <v>5845</v>
      </c>
      <c r="J255" s="6">
        <v>1775395</v>
      </c>
      <c r="K255" s="7" t="s">
        <v>7875</v>
      </c>
      <c r="L255" s="8">
        <v>24530</v>
      </c>
      <c r="M255" s="8" t="str">
        <f t="shared" si="24"/>
        <v>PEN</v>
      </c>
      <c r="N255" s="13"/>
      <c r="O255" s="13">
        <v>0</v>
      </c>
      <c r="P255" s="3">
        <f t="shared" si="21"/>
        <v>0</v>
      </c>
      <c r="Q255" s="3">
        <f t="shared" si="22"/>
        <v>0</v>
      </c>
      <c r="R255" s="3">
        <f t="shared" si="23"/>
        <v>203.74</v>
      </c>
      <c r="S255" s="24"/>
      <c r="T255" s="24" t="s">
        <v>1334</v>
      </c>
      <c r="U255" s="3"/>
      <c r="V255" s="25" t="s">
        <v>7761</v>
      </c>
      <c r="W255" s="25"/>
      <c r="X255" s="25" t="str">
        <f>IFERROR(VLOOKUP(C_Ope_001[[#This Row],[nota_2]],Clientes_Proveedores[[Ruc / Dni]:[Razon Social]],2,0),"")</f>
        <v/>
      </c>
      <c r="Y255" s="25"/>
      <c r="Z255" s="103"/>
      <c r="AA255" s="3" t="str">
        <f>IF(C_Ope_001[[#This Row],[fecha]]&gt;0,TEXT(C_Ope_001[[#This Row],[fecha]],"mmmm"),0)</f>
        <v>Junio</v>
      </c>
      <c r="AB255" s="159"/>
    </row>
    <row r="256" spans="1:28" ht="36" x14ac:dyDescent="0.3">
      <c r="A256" s="2">
        <f>IF(C_Ope_001[[#This Row],[tipo_r]]="R",COUNTIFS($C$1:$C255,"R")+1,"")</f>
        <v>255</v>
      </c>
      <c r="B256" s="19" t="str">
        <f t="shared" si="20"/>
        <v>C_Ope_001</v>
      </c>
      <c r="C256" s="3" t="s">
        <v>1330</v>
      </c>
      <c r="D256" s="211">
        <v>45819</v>
      </c>
      <c r="E256" s="5" t="s">
        <v>7753</v>
      </c>
      <c r="F256" s="5" t="s">
        <v>1336</v>
      </c>
      <c r="G256" s="6"/>
      <c r="H256" s="6" t="s">
        <v>68</v>
      </c>
      <c r="I256" s="6" t="s">
        <v>5845</v>
      </c>
      <c r="J256" s="6">
        <v>1775395</v>
      </c>
      <c r="K256" s="7" t="s">
        <v>7875</v>
      </c>
      <c r="L256" s="8">
        <v>24531</v>
      </c>
      <c r="M256" s="8" t="str">
        <f t="shared" si="24"/>
        <v>PEN</v>
      </c>
      <c r="N256" s="13"/>
      <c r="O256" s="13">
        <v>0</v>
      </c>
      <c r="P256" s="3">
        <f t="shared" si="21"/>
        <v>0</v>
      </c>
      <c r="Q256" s="3">
        <f t="shared" si="22"/>
        <v>0</v>
      </c>
      <c r="R256" s="3">
        <f t="shared" si="23"/>
        <v>203.74</v>
      </c>
      <c r="S256" s="24"/>
      <c r="T256" s="24" t="s">
        <v>1334</v>
      </c>
      <c r="U256" s="3"/>
      <c r="V256" s="25" t="s">
        <v>7761</v>
      </c>
      <c r="W256" s="25"/>
      <c r="X256" s="25" t="str">
        <f>IFERROR(VLOOKUP(C_Ope_001[[#This Row],[nota_2]],Clientes_Proveedores[[Ruc / Dni]:[Razon Social]],2,0),"")</f>
        <v/>
      </c>
      <c r="Y256" s="25"/>
      <c r="Z256" s="103"/>
      <c r="AA256" s="3" t="str">
        <f>IF(C_Ope_001[[#This Row],[fecha]]&gt;0,TEXT(C_Ope_001[[#This Row],[fecha]],"mmmm"),0)</f>
        <v>Junio</v>
      </c>
      <c r="AB256" s="159"/>
    </row>
    <row r="257" spans="1:28" ht="36" x14ac:dyDescent="0.3">
      <c r="A257" s="2">
        <f>IF(C_Ope_001[[#This Row],[tipo_r]]="R",COUNTIFS($C$1:$C256,"R")+1,"")</f>
        <v>256</v>
      </c>
      <c r="B257" s="19" t="str">
        <f t="shared" si="20"/>
        <v>C_Ope_001</v>
      </c>
      <c r="C257" s="3" t="s">
        <v>1330</v>
      </c>
      <c r="D257" s="211">
        <v>45819</v>
      </c>
      <c r="E257" s="5" t="s">
        <v>7753</v>
      </c>
      <c r="F257" s="5" t="s">
        <v>1336</v>
      </c>
      <c r="G257" s="6"/>
      <c r="H257" s="6" t="s">
        <v>68</v>
      </c>
      <c r="I257" s="6" t="s">
        <v>5845</v>
      </c>
      <c r="J257" s="6">
        <v>1775395</v>
      </c>
      <c r="K257" s="7" t="s">
        <v>7875</v>
      </c>
      <c r="L257" s="8">
        <v>24532</v>
      </c>
      <c r="M257" s="8" t="str">
        <f t="shared" si="24"/>
        <v>PEN</v>
      </c>
      <c r="N257" s="13"/>
      <c r="O257" s="13">
        <v>0</v>
      </c>
      <c r="P257" s="3">
        <f t="shared" si="21"/>
        <v>0</v>
      </c>
      <c r="Q257" s="3">
        <f t="shared" si="22"/>
        <v>0</v>
      </c>
      <c r="R257" s="3">
        <f t="shared" si="23"/>
        <v>203.74</v>
      </c>
      <c r="S257" s="24"/>
      <c r="T257" s="24" t="s">
        <v>1334</v>
      </c>
      <c r="U257" s="3"/>
      <c r="V257" s="25" t="s">
        <v>7761</v>
      </c>
      <c r="W257" s="25"/>
      <c r="X257" s="25" t="str">
        <f>IFERROR(VLOOKUP(C_Ope_001[[#This Row],[nota_2]],Clientes_Proveedores[[Ruc / Dni]:[Razon Social]],2,0),"")</f>
        <v/>
      </c>
      <c r="Y257" s="25"/>
      <c r="Z257" s="103"/>
      <c r="AA257" s="3" t="str">
        <f>IF(C_Ope_001[[#This Row],[fecha]]&gt;0,TEXT(C_Ope_001[[#This Row],[fecha]],"mmmm"),0)</f>
        <v>Junio</v>
      </c>
      <c r="AB257" s="159"/>
    </row>
    <row r="258" spans="1:28" ht="36" x14ac:dyDescent="0.3">
      <c r="A258" s="2">
        <f>IF(C_Ope_001[[#This Row],[tipo_r]]="R",COUNTIFS($C$1:$C257,"R")+1,"")</f>
        <v>257</v>
      </c>
      <c r="B258" s="19" t="str">
        <f t="shared" ref="B258:B287" si="25">"C_Ope_001"</f>
        <v>C_Ope_001</v>
      </c>
      <c r="C258" s="3" t="s">
        <v>1330</v>
      </c>
      <c r="D258" s="211">
        <v>45819</v>
      </c>
      <c r="E258" s="5" t="s">
        <v>7753</v>
      </c>
      <c r="F258" s="5" t="s">
        <v>1336</v>
      </c>
      <c r="G258" s="6"/>
      <c r="H258" s="6" t="s">
        <v>68</v>
      </c>
      <c r="I258" s="6" t="s">
        <v>5845</v>
      </c>
      <c r="J258" s="6">
        <v>1775395</v>
      </c>
      <c r="K258" s="7" t="s">
        <v>7875</v>
      </c>
      <c r="L258" s="8">
        <v>24533</v>
      </c>
      <c r="M258" s="8" t="str">
        <f t="shared" si="24"/>
        <v>PEN</v>
      </c>
      <c r="N258" s="13"/>
      <c r="O258" s="13">
        <v>0</v>
      </c>
      <c r="P258" s="3">
        <f t="shared" ref="P258:P321" si="26">+IF(OR($F258="SALDO",$F258="INGRESO"),$O258,0)</f>
        <v>0</v>
      </c>
      <c r="Q258" s="3">
        <f t="shared" ref="Q258:Q321" si="27">+IF($F258="EGRESO",$O258,0)</f>
        <v>0</v>
      </c>
      <c r="R258" s="3">
        <f t="shared" ref="R258:R321" si="28">IFERROR(IF(F258="SALDO",P258,R257+P258-Q258),0)</f>
        <v>203.74</v>
      </c>
      <c r="S258" s="24"/>
      <c r="T258" s="24" t="s">
        <v>1334</v>
      </c>
      <c r="U258" s="3"/>
      <c r="V258" s="25" t="s">
        <v>7761</v>
      </c>
      <c r="W258" s="25"/>
      <c r="X258" s="25" t="str">
        <f>IFERROR(VLOOKUP(C_Ope_001[[#This Row],[nota_2]],Clientes_Proveedores[[Ruc / Dni]:[Razon Social]],2,0),"")</f>
        <v/>
      </c>
      <c r="Y258" s="25"/>
      <c r="Z258" s="103"/>
      <c r="AA258" s="3" t="str">
        <f>IF(C_Ope_001[[#This Row],[fecha]]&gt;0,TEXT(C_Ope_001[[#This Row],[fecha]],"mmmm"),0)</f>
        <v>Junio</v>
      </c>
      <c r="AB258" s="159"/>
    </row>
    <row r="259" spans="1:28" ht="24" x14ac:dyDescent="0.3">
      <c r="A259" s="2">
        <f>IF(C_Ope_001[[#This Row],[tipo_r]]="R",COUNTIFS($C$1:$C258,"R")+1,"")</f>
        <v>258</v>
      </c>
      <c r="B259" s="19" t="str">
        <f t="shared" si="25"/>
        <v>C_Ope_001</v>
      </c>
      <c r="C259" s="3" t="s">
        <v>1330</v>
      </c>
      <c r="D259" s="211">
        <v>45821</v>
      </c>
      <c r="E259" s="5" t="s">
        <v>7753</v>
      </c>
      <c r="F259" s="5" t="s">
        <v>1336</v>
      </c>
      <c r="G259" s="6" t="s">
        <v>978</v>
      </c>
      <c r="H259" s="6" t="s">
        <v>68</v>
      </c>
      <c r="I259" s="6" t="s">
        <v>6204</v>
      </c>
      <c r="J259" s="6">
        <v>1757907</v>
      </c>
      <c r="K259" s="7" t="s">
        <v>7876</v>
      </c>
      <c r="L259" s="8">
        <v>24567</v>
      </c>
      <c r="M259" s="8" t="str">
        <f t="shared" ref="M259:M287" si="29">"PEN"</f>
        <v>PEN</v>
      </c>
      <c r="N259" s="13"/>
      <c r="O259" s="13">
        <v>8</v>
      </c>
      <c r="P259" s="3">
        <f t="shared" si="26"/>
        <v>0</v>
      </c>
      <c r="Q259" s="3">
        <f t="shared" si="27"/>
        <v>8</v>
      </c>
      <c r="R259" s="3">
        <f t="shared" si="28"/>
        <v>195.74</v>
      </c>
      <c r="S259" s="24" t="s">
        <v>1334</v>
      </c>
      <c r="T259" s="24" t="s">
        <v>1334</v>
      </c>
      <c r="U259" s="3"/>
      <c r="V259" s="25" t="s">
        <v>7761</v>
      </c>
      <c r="W259" s="25">
        <v>20517252558</v>
      </c>
      <c r="X259" s="25" t="str">
        <f>IFERROR(VLOOKUP(C_Ope_001[[#This Row],[nota_2]],Clientes_Proveedores[[Ruc / Dni]:[Razon Social]],2,0),"")</f>
        <v>COVISUR S.A.</v>
      </c>
      <c r="Y259" s="25"/>
      <c r="Z259" s="103"/>
      <c r="AA259" s="3" t="str">
        <f>IF(C_Ope_001[[#This Row],[fecha]]&gt;0,TEXT(C_Ope_001[[#This Row],[fecha]],"mmmm"),0)</f>
        <v>Junio</v>
      </c>
      <c r="AB259" s="159"/>
    </row>
    <row r="260" spans="1:28" ht="24" x14ac:dyDescent="0.3">
      <c r="A260" s="2">
        <f>IF(C_Ope_001[[#This Row],[tipo_r]]="R",COUNTIFS($C$1:$C259,"R")+1,"")</f>
        <v>259</v>
      </c>
      <c r="B260" s="19" t="str">
        <f t="shared" si="25"/>
        <v>C_Ope_001</v>
      </c>
      <c r="C260" s="3" t="s">
        <v>1330</v>
      </c>
      <c r="D260" s="211">
        <v>45821</v>
      </c>
      <c r="E260" s="5" t="s">
        <v>7753</v>
      </c>
      <c r="F260" s="5" t="s">
        <v>1336</v>
      </c>
      <c r="G260" s="6" t="s">
        <v>978</v>
      </c>
      <c r="H260" s="6" t="s">
        <v>68</v>
      </c>
      <c r="I260" s="6" t="s">
        <v>6203</v>
      </c>
      <c r="J260" s="6">
        <v>2081029</v>
      </c>
      <c r="K260" s="7" t="s">
        <v>7876</v>
      </c>
      <c r="L260" s="8">
        <v>24569</v>
      </c>
      <c r="M260" s="8" t="str">
        <f t="shared" si="29"/>
        <v>PEN</v>
      </c>
      <c r="N260" s="13"/>
      <c r="O260" s="13">
        <v>8</v>
      </c>
      <c r="P260" s="3">
        <f t="shared" si="26"/>
        <v>0</v>
      </c>
      <c r="Q260" s="3">
        <f t="shared" si="27"/>
        <v>8</v>
      </c>
      <c r="R260" s="3">
        <f t="shared" si="28"/>
        <v>187.74</v>
      </c>
      <c r="S260" s="24" t="s">
        <v>1334</v>
      </c>
      <c r="T260" s="24" t="s">
        <v>1334</v>
      </c>
      <c r="U260" s="3"/>
      <c r="V260" s="25" t="s">
        <v>7761</v>
      </c>
      <c r="W260" s="25">
        <v>20517252558</v>
      </c>
      <c r="X260" s="25" t="str">
        <f>IFERROR(VLOOKUP(C_Ope_001[[#This Row],[nota_2]],Clientes_Proveedores[[Ruc / Dni]:[Razon Social]],2,0),"")</f>
        <v>COVISUR S.A.</v>
      </c>
      <c r="Y260" s="25"/>
      <c r="Z260" s="103"/>
      <c r="AA260" s="3" t="str">
        <f>IF(C_Ope_001[[#This Row],[fecha]]&gt;0,TEXT(C_Ope_001[[#This Row],[fecha]],"mmmm"),0)</f>
        <v>Junio</v>
      </c>
      <c r="AB260" s="159"/>
    </row>
    <row r="261" spans="1:28" ht="36" x14ac:dyDescent="0.3">
      <c r="A261" s="2">
        <f>IF(C_Ope_001[[#This Row],[tipo_r]]="R",COUNTIFS($C$1:$C260,"R")+1,"")</f>
        <v>260</v>
      </c>
      <c r="B261" s="19" t="str">
        <f t="shared" si="25"/>
        <v>C_Ope_001</v>
      </c>
      <c r="C261" s="3" t="s">
        <v>1330</v>
      </c>
      <c r="D261" s="211">
        <v>45821</v>
      </c>
      <c r="E261" s="5" t="s">
        <v>7753</v>
      </c>
      <c r="F261" s="5" t="s">
        <v>1336</v>
      </c>
      <c r="G261" s="6" t="s">
        <v>682</v>
      </c>
      <c r="H261" s="6" t="s">
        <v>68</v>
      </c>
      <c r="I261" s="6" t="s">
        <v>1353</v>
      </c>
      <c r="J261" s="6">
        <v>16640</v>
      </c>
      <c r="K261" s="7" t="s">
        <v>7877</v>
      </c>
      <c r="L261" s="8">
        <v>24568</v>
      </c>
      <c r="M261" s="8" t="str">
        <f t="shared" si="29"/>
        <v>PEN</v>
      </c>
      <c r="N261" s="13"/>
      <c r="O261" s="13">
        <v>20</v>
      </c>
      <c r="P261" s="3">
        <f t="shared" si="26"/>
        <v>0</v>
      </c>
      <c r="Q261" s="3">
        <f t="shared" si="27"/>
        <v>20</v>
      </c>
      <c r="R261" s="3">
        <f t="shared" si="28"/>
        <v>167.74</v>
      </c>
      <c r="S261" s="24" t="s">
        <v>1334</v>
      </c>
      <c r="T261" s="24" t="s">
        <v>1334</v>
      </c>
      <c r="U261" s="3"/>
      <c r="V261" s="25" t="s">
        <v>7761</v>
      </c>
      <c r="W261" s="25">
        <v>20259858934</v>
      </c>
      <c r="X261" s="25" t="str">
        <f>IFERROR(VLOOKUP(C_Ope_001[[#This Row],[nota_2]],Clientes_Proveedores[[Ruc / Dni]:[Razon Social]],2,0),"")</f>
        <v>COMERCIALIZACION Y SERVICIOS EL EDEN S.A.C.</v>
      </c>
      <c r="Y261" s="25"/>
      <c r="Z261" s="103"/>
      <c r="AA261" s="3" t="str">
        <f>IF(C_Ope_001[[#This Row],[fecha]]&gt;0,TEXT(C_Ope_001[[#This Row],[fecha]],"mmmm"),0)</f>
        <v>Junio</v>
      </c>
      <c r="AB261" s="159"/>
    </row>
    <row r="262" spans="1:28" ht="24" x14ac:dyDescent="0.3">
      <c r="A262" s="2">
        <f>IF(C_Ope_001[[#This Row],[tipo_r]]="R",COUNTIFS($C$1:$C261,"R")+1,"")</f>
        <v>261</v>
      </c>
      <c r="B262" s="19" t="str">
        <f t="shared" si="25"/>
        <v>C_Ope_001</v>
      </c>
      <c r="C262" s="3" t="s">
        <v>1330</v>
      </c>
      <c r="D262" s="211">
        <v>45826</v>
      </c>
      <c r="E262" s="5" t="s">
        <v>7514</v>
      </c>
      <c r="F262" s="5" t="s">
        <v>1303</v>
      </c>
      <c r="G262" s="6" t="s">
        <v>812</v>
      </c>
      <c r="H262" s="6"/>
      <c r="I262" s="6"/>
      <c r="J262" s="6"/>
      <c r="K262" s="7" t="s">
        <v>7516</v>
      </c>
      <c r="L262" s="8">
        <v>24649</v>
      </c>
      <c r="M262" s="8" t="str">
        <f t="shared" si="29"/>
        <v>PEN</v>
      </c>
      <c r="N262" s="13"/>
      <c r="O262" s="13">
        <v>30</v>
      </c>
      <c r="P262" s="3">
        <f t="shared" si="26"/>
        <v>30</v>
      </c>
      <c r="Q262" s="3">
        <f t="shared" si="27"/>
        <v>0</v>
      </c>
      <c r="R262" s="3">
        <f t="shared" si="28"/>
        <v>197.74</v>
      </c>
      <c r="S262" s="24" t="s">
        <v>1334</v>
      </c>
      <c r="T262" s="24" t="s">
        <v>1334</v>
      </c>
      <c r="U262" s="3"/>
      <c r="V262" s="25"/>
      <c r="W262" s="25"/>
      <c r="X262" s="25" t="str">
        <f>IFERROR(VLOOKUP(C_Ope_001[[#This Row],[nota_2]],Clientes_Proveedores[[Ruc / Dni]:[Razon Social]],2,0),"")</f>
        <v/>
      </c>
      <c r="Y262" s="25"/>
      <c r="Z262" s="103"/>
      <c r="AA262" s="3" t="str">
        <f>IF(C_Ope_001[[#This Row],[fecha]]&gt;0,TEXT(C_Ope_001[[#This Row],[fecha]],"mmmm"),0)</f>
        <v>Junio</v>
      </c>
      <c r="AB262" s="159"/>
    </row>
    <row r="263" spans="1:28" ht="24" x14ac:dyDescent="0.3">
      <c r="A263" s="2">
        <f>IF(C_Ope_001[[#This Row],[tipo_r]]="R",COUNTIFS($C$1:$C262,"R")+1,"")</f>
        <v>262</v>
      </c>
      <c r="B263" s="19" t="str">
        <f t="shared" si="25"/>
        <v>C_Ope_001</v>
      </c>
      <c r="C263" s="3" t="s">
        <v>1330</v>
      </c>
      <c r="D263" s="211">
        <v>45824</v>
      </c>
      <c r="E263" s="5" t="s">
        <v>7753</v>
      </c>
      <c r="F263" s="5" t="s">
        <v>1336</v>
      </c>
      <c r="G263" s="6" t="s">
        <v>978</v>
      </c>
      <c r="H263" s="6" t="s">
        <v>68</v>
      </c>
      <c r="I263" s="6" t="s">
        <v>5845</v>
      </c>
      <c r="J263" s="6">
        <v>1780270</v>
      </c>
      <c r="K263" s="7" t="s">
        <v>7878</v>
      </c>
      <c r="L263" s="8">
        <v>24587</v>
      </c>
      <c r="M263" s="8" t="str">
        <f t="shared" si="29"/>
        <v>PEN</v>
      </c>
      <c r="N263" s="13"/>
      <c r="O263" s="13">
        <v>8</v>
      </c>
      <c r="P263" s="3">
        <f t="shared" si="26"/>
        <v>0</v>
      </c>
      <c r="Q263" s="3">
        <f t="shared" si="27"/>
        <v>8</v>
      </c>
      <c r="R263" s="3">
        <f t="shared" si="28"/>
        <v>189.74</v>
      </c>
      <c r="S263" s="24" t="s">
        <v>1334</v>
      </c>
      <c r="T263" s="24" t="s">
        <v>1334</v>
      </c>
      <c r="U263" s="3"/>
      <c r="V263" s="25" t="s">
        <v>7761</v>
      </c>
      <c r="W263" s="25">
        <v>20517252558</v>
      </c>
      <c r="X263" s="25" t="str">
        <f>IFERROR(VLOOKUP(C_Ope_001[[#This Row],[nota_2]],Clientes_Proveedores[[Ruc / Dni]:[Razon Social]],2,0),"")</f>
        <v>COVISUR S.A.</v>
      </c>
      <c r="Y263" s="25"/>
      <c r="Z263" s="103"/>
      <c r="AA263" s="3" t="str">
        <f>IF(C_Ope_001[[#This Row],[fecha]]&gt;0,TEXT(C_Ope_001[[#This Row],[fecha]],"mmmm"),0)</f>
        <v>Junio</v>
      </c>
      <c r="AB263" s="159"/>
    </row>
    <row r="264" spans="1:28" ht="24" x14ac:dyDescent="0.3">
      <c r="A264" s="2">
        <f>IF(C_Ope_001[[#This Row],[tipo_r]]="R",COUNTIFS($C$1:$C263,"R")+1,"")</f>
        <v>263</v>
      </c>
      <c r="B264" s="19" t="str">
        <f t="shared" si="25"/>
        <v>C_Ope_001</v>
      </c>
      <c r="C264" s="3" t="s">
        <v>1330</v>
      </c>
      <c r="D264" s="211">
        <v>45826</v>
      </c>
      <c r="E264" s="5" t="s">
        <v>7753</v>
      </c>
      <c r="F264" s="5" t="s">
        <v>1336</v>
      </c>
      <c r="G264" s="6" t="s">
        <v>978</v>
      </c>
      <c r="H264" s="6" t="s">
        <v>68</v>
      </c>
      <c r="I264" s="6" t="s">
        <v>6204</v>
      </c>
      <c r="J264" s="6">
        <v>1762070</v>
      </c>
      <c r="K264" s="7" t="s">
        <v>7879</v>
      </c>
      <c r="L264" s="8">
        <v>24610</v>
      </c>
      <c r="M264" s="8" t="str">
        <f t="shared" si="29"/>
        <v>PEN</v>
      </c>
      <c r="N264" s="13"/>
      <c r="O264" s="13">
        <v>8</v>
      </c>
      <c r="P264" s="3">
        <f t="shared" si="26"/>
        <v>0</v>
      </c>
      <c r="Q264" s="3">
        <f t="shared" si="27"/>
        <v>8</v>
      </c>
      <c r="R264" s="3">
        <f t="shared" si="28"/>
        <v>181.74</v>
      </c>
      <c r="S264" s="24" t="s">
        <v>1334</v>
      </c>
      <c r="T264" s="24" t="s">
        <v>1334</v>
      </c>
      <c r="U264" s="3"/>
      <c r="V264" s="25" t="s">
        <v>7761</v>
      </c>
      <c r="W264" s="25">
        <v>20517252558</v>
      </c>
      <c r="X264" s="25" t="str">
        <f>IFERROR(VLOOKUP(C_Ope_001[[#This Row],[nota_2]],Clientes_Proveedores[[Ruc / Dni]:[Razon Social]],2,0),"")</f>
        <v>COVISUR S.A.</v>
      </c>
      <c r="Y264" s="25"/>
      <c r="Z264" s="103"/>
      <c r="AA264" s="3" t="str">
        <f>IF(C_Ope_001[[#This Row],[fecha]]&gt;0,TEXT(C_Ope_001[[#This Row],[fecha]],"mmmm"),0)</f>
        <v>Junio</v>
      </c>
      <c r="AB264" s="159"/>
    </row>
    <row r="265" spans="1:28" ht="24" x14ac:dyDescent="0.3">
      <c r="A265" s="2">
        <f>IF(C_Ope_001[[#This Row],[tipo_r]]="R",COUNTIFS($C$1:$C264,"R")+1,"")</f>
        <v>264</v>
      </c>
      <c r="B265" s="19" t="str">
        <f t="shared" si="25"/>
        <v>C_Ope_001</v>
      </c>
      <c r="C265" s="3" t="s">
        <v>1330</v>
      </c>
      <c r="D265" s="211">
        <v>45826</v>
      </c>
      <c r="E265" s="5" t="s">
        <v>7753</v>
      </c>
      <c r="F265" s="5" t="s">
        <v>1336</v>
      </c>
      <c r="G265" s="6" t="s">
        <v>978</v>
      </c>
      <c r="H265" s="6" t="s">
        <v>68</v>
      </c>
      <c r="I265" s="6" t="s">
        <v>5845</v>
      </c>
      <c r="J265" s="6">
        <v>1782151</v>
      </c>
      <c r="K265" s="7" t="s">
        <v>7879</v>
      </c>
      <c r="L265" s="8">
        <v>24611</v>
      </c>
      <c r="M265" s="8" t="str">
        <f t="shared" si="29"/>
        <v>PEN</v>
      </c>
      <c r="N265" s="13"/>
      <c r="O265" s="13">
        <v>8</v>
      </c>
      <c r="P265" s="3">
        <f t="shared" si="26"/>
        <v>0</v>
      </c>
      <c r="Q265" s="3">
        <f t="shared" si="27"/>
        <v>8</v>
      </c>
      <c r="R265" s="3">
        <f t="shared" si="28"/>
        <v>173.74</v>
      </c>
      <c r="S265" s="24" t="s">
        <v>1334</v>
      </c>
      <c r="T265" s="24" t="s">
        <v>1334</v>
      </c>
      <c r="U265" s="3"/>
      <c r="V265" s="25" t="s">
        <v>7761</v>
      </c>
      <c r="W265" s="25">
        <v>20517252558</v>
      </c>
      <c r="X265" s="25" t="str">
        <f>IFERROR(VLOOKUP(C_Ope_001[[#This Row],[nota_2]],Clientes_Proveedores[[Ruc / Dni]:[Razon Social]],2,0),"")</f>
        <v>COVISUR S.A.</v>
      </c>
      <c r="Y265" s="25"/>
      <c r="Z265" s="103"/>
      <c r="AA265" s="3" t="str">
        <f>IF(C_Ope_001[[#This Row],[fecha]]&gt;0,TEXT(C_Ope_001[[#This Row],[fecha]],"mmmm"),0)</f>
        <v>Junio</v>
      </c>
      <c r="AB265" s="159"/>
    </row>
    <row r="266" spans="1:28" ht="36" x14ac:dyDescent="0.3">
      <c r="A266" s="2">
        <f>IF(C_Ope_001[[#This Row],[tipo_r]]="R",COUNTIFS($C$1:$C265,"R")+1,"")</f>
        <v>265</v>
      </c>
      <c r="B266" s="19" t="str">
        <f t="shared" si="25"/>
        <v>C_Ope_001</v>
      </c>
      <c r="C266" s="3" t="s">
        <v>1330</v>
      </c>
      <c r="D266" s="211">
        <v>45824</v>
      </c>
      <c r="E266" s="5" t="s">
        <v>7753</v>
      </c>
      <c r="F266" s="5" t="s">
        <v>1336</v>
      </c>
      <c r="G266" s="6" t="s">
        <v>682</v>
      </c>
      <c r="H266" s="6" t="s">
        <v>68</v>
      </c>
      <c r="I266" s="6" t="s">
        <v>1353</v>
      </c>
      <c r="J266" s="6">
        <v>16661</v>
      </c>
      <c r="K266" s="7" t="s">
        <v>7864</v>
      </c>
      <c r="L266" s="8">
        <v>24588</v>
      </c>
      <c r="M266" s="8" t="str">
        <f t="shared" si="29"/>
        <v>PEN</v>
      </c>
      <c r="N266" s="13"/>
      <c r="O266" s="13">
        <v>20</v>
      </c>
      <c r="P266" s="3">
        <f t="shared" si="26"/>
        <v>0</v>
      </c>
      <c r="Q266" s="3">
        <f t="shared" si="27"/>
        <v>20</v>
      </c>
      <c r="R266" s="3">
        <f t="shared" si="28"/>
        <v>153.74</v>
      </c>
      <c r="S266" s="24" t="s">
        <v>1334</v>
      </c>
      <c r="T266" s="24" t="s">
        <v>1334</v>
      </c>
      <c r="U266" s="3"/>
      <c r="V266" s="25" t="s">
        <v>7761</v>
      </c>
      <c r="W266" s="25">
        <v>20259858934</v>
      </c>
      <c r="X266" s="25" t="str">
        <f>IFERROR(VLOOKUP(C_Ope_001[[#This Row],[nota_2]],Clientes_Proveedores[[Ruc / Dni]:[Razon Social]],2,0),"")</f>
        <v>COMERCIALIZACION Y SERVICIOS EL EDEN S.A.C.</v>
      </c>
      <c r="Y266" s="25"/>
      <c r="Z266" s="103"/>
      <c r="AA266" s="3" t="str">
        <f>IF(C_Ope_001[[#This Row],[fecha]]&gt;0,TEXT(C_Ope_001[[#This Row],[fecha]],"mmmm"),0)</f>
        <v>Junio</v>
      </c>
      <c r="AB266" s="159"/>
    </row>
    <row r="267" spans="1:28" ht="36" x14ac:dyDescent="0.3">
      <c r="A267" s="2">
        <f>IF(C_Ope_001[[#This Row],[tipo_r]]="R",COUNTIFS($C$1:$C266,"R")+1,"")</f>
        <v>266</v>
      </c>
      <c r="B267" s="19" t="str">
        <f t="shared" si="25"/>
        <v>C_Ope_001</v>
      </c>
      <c r="C267" s="3" t="s">
        <v>1330</v>
      </c>
      <c r="D267" s="211">
        <v>45828</v>
      </c>
      <c r="E267" s="5" t="s">
        <v>7753</v>
      </c>
      <c r="F267" s="5" t="s">
        <v>1336</v>
      </c>
      <c r="G267" s="6" t="s">
        <v>227</v>
      </c>
      <c r="H267" s="6" t="s">
        <v>68</v>
      </c>
      <c r="I267" s="6" t="s">
        <v>1390</v>
      </c>
      <c r="J267" s="6">
        <v>133248</v>
      </c>
      <c r="K267" s="7" t="s">
        <v>7880</v>
      </c>
      <c r="L267" s="8">
        <v>24633</v>
      </c>
      <c r="M267" s="8" t="str">
        <f t="shared" si="29"/>
        <v>PEN</v>
      </c>
      <c r="N267" s="13"/>
      <c r="O267" s="13">
        <v>10</v>
      </c>
      <c r="P267" s="3">
        <f t="shared" si="26"/>
        <v>0</v>
      </c>
      <c r="Q267" s="3">
        <f t="shared" si="27"/>
        <v>10</v>
      </c>
      <c r="R267" s="3">
        <f t="shared" si="28"/>
        <v>143.74</v>
      </c>
      <c r="S267" s="24" t="s">
        <v>1334</v>
      </c>
      <c r="T267" s="24" t="s">
        <v>1334</v>
      </c>
      <c r="U267" s="3"/>
      <c r="V267" s="25" t="s">
        <v>7761</v>
      </c>
      <c r="W267" s="25">
        <v>20124952850</v>
      </c>
      <c r="X267" s="25" t="str">
        <f>IFERROR(VLOOKUP(C_Ope_001[[#This Row],[nota_2]],Clientes_Proveedores[[Ruc / Dni]:[Razon Social]],2,0),"")</f>
        <v>ALIMENTOS Y SERVICIOS AGROPECUARIOS SRL.</v>
      </c>
      <c r="Y267" s="25"/>
      <c r="Z267" s="103"/>
      <c r="AA267" s="3" t="str">
        <f>IF(C_Ope_001[[#This Row],[fecha]]&gt;0,TEXT(C_Ope_001[[#This Row],[fecha]],"mmmm"),0)</f>
        <v>Junio</v>
      </c>
      <c r="AB267" s="159"/>
    </row>
    <row r="268" spans="1:28" ht="36" x14ac:dyDescent="0.3">
      <c r="A268" s="2">
        <f>IF(C_Ope_001[[#This Row],[tipo_r]]="R",COUNTIFS($C$1:$C267,"R")+1,"")</f>
        <v>267</v>
      </c>
      <c r="B268" s="19" t="str">
        <f t="shared" si="25"/>
        <v>C_Ope_001</v>
      </c>
      <c r="C268" s="3" t="s">
        <v>1330</v>
      </c>
      <c r="D268" s="211">
        <v>45828</v>
      </c>
      <c r="E268" s="5" t="s">
        <v>7753</v>
      </c>
      <c r="F268" s="5" t="s">
        <v>1336</v>
      </c>
      <c r="G268" s="6" t="s">
        <v>227</v>
      </c>
      <c r="H268" s="6" t="s">
        <v>68</v>
      </c>
      <c r="I268" s="6" t="s">
        <v>1390</v>
      </c>
      <c r="J268" s="6">
        <v>133240</v>
      </c>
      <c r="K268" s="7" t="s">
        <v>7880</v>
      </c>
      <c r="L268" s="8">
        <v>24634</v>
      </c>
      <c r="M268" s="8" t="str">
        <f t="shared" si="29"/>
        <v>PEN</v>
      </c>
      <c r="N268" s="13"/>
      <c r="O268" s="13">
        <v>10</v>
      </c>
      <c r="P268" s="3">
        <f t="shared" si="26"/>
        <v>0</v>
      </c>
      <c r="Q268" s="3">
        <f t="shared" si="27"/>
        <v>10</v>
      </c>
      <c r="R268" s="3">
        <f t="shared" si="28"/>
        <v>133.74</v>
      </c>
      <c r="S268" s="24" t="s">
        <v>1334</v>
      </c>
      <c r="T268" s="24" t="s">
        <v>1334</v>
      </c>
      <c r="U268" s="3"/>
      <c r="V268" s="25" t="s">
        <v>7761</v>
      </c>
      <c r="W268" s="25">
        <v>20124952850</v>
      </c>
      <c r="X268" s="25" t="str">
        <f>IFERROR(VLOOKUP(C_Ope_001[[#This Row],[nota_2]],Clientes_Proveedores[[Ruc / Dni]:[Razon Social]],2,0),"")</f>
        <v>ALIMENTOS Y SERVICIOS AGROPECUARIOS SRL.</v>
      </c>
      <c r="Y268" s="25"/>
      <c r="Z268" s="103"/>
      <c r="AA268" s="3" t="str">
        <f>IF(C_Ope_001[[#This Row],[fecha]]&gt;0,TEXT(C_Ope_001[[#This Row],[fecha]],"mmmm"),0)</f>
        <v>Junio</v>
      </c>
      <c r="AB268" s="159"/>
    </row>
    <row r="269" spans="1:28" ht="36" x14ac:dyDescent="0.3">
      <c r="A269" s="2">
        <f>IF(C_Ope_001[[#This Row],[tipo_r]]="R",COUNTIFS($C$1:$C268,"R")+1,"")</f>
        <v>268</v>
      </c>
      <c r="B269" s="19" t="str">
        <f t="shared" si="25"/>
        <v>C_Ope_001</v>
      </c>
      <c r="C269" s="3" t="s">
        <v>1330</v>
      </c>
      <c r="D269" s="211">
        <v>45828</v>
      </c>
      <c r="E269" s="5" t="s">
        <v>7753</v>
      </c>
      <c r="F269" s="5" t="s">
        <v>1336</v>
      </c>
      <c r="G269" s="6" t="s">
        <v>227</v>
      </c>
      <c r="H269" s="6" t="s">
        <v>68</v>
      </c>
      <c r="I269" s="6" t="s">
        <v>1390</v>
      </c>
      <c r="J269" s="6">
        <v>133254</v>
      </c>
      <c r="K269" s="7" t="s">
        <v>7880</v>
      </c>
      <c r="L269" s="8">
        <v>24636</v>
      </c>
      <c r="M269" s="8" t="str">
        <f t="shared" si="29"/>
        <v>PEN</v>
      </c>
      <c r="N269" s="13"/>
      <c r="O269" s="13">
        <v>10</v>
      </c>
      <c r="P269" s="3">
        <f t="shared" si="26"/>
        <v>0</v>
      </c>
      <c r="Q269" s="3">
        <f t="shared" si="27"/>
        <v>10</v>
      </c>
      <c r="R269" s="3">
        <f t="shared" si="28"/>
        <v>123.74000000000001</v>
      </c>
      <c r="S269" s="24" t="s">
        <v>1334</v>
      </c>
      <c r="T269" s="24" t="s">
        <v>1334</v>
      </c>
      <c r="U269" s="3"/>
      <c r="V269" s="25" t="s">
        <v>7761</v>
      </c>
      <c r="W269" s="25">
        <v>20124952850</v>
      </c>
      <c r="X269" s="25" t="str">
        <f>IFERROR(VLOOKUP(C_Ope_001[[#This Row],[nota_2]],Clientes_Proveedores[[Ruc / Dni]:[Razon Social]],2,0),"")</f>
        <v>ALIMENTOS Y SERVICIOS AGROPECUARIOS SRL.</v>
      </c>
      <c r="Y269" s="25"/>
      <c r="Z269" s="103"/>
      <c r="AA269" s="3" t="str">
        <f>IF(C_Ope_001[[#This Row],[fecha]]&gt;0,TEXT(C_Ope_001[[#This Row],[fecha]],"mmmm"),0)</f>
        <v>Junio</v>
      </c>
      <c r="AB269" s="159"/>
    </row>
    <row r="270" spans="1:28" ht="24" x14ac:dyDescent="0.3">
      <c r="A270" s="2">
        <f>IF(C_Ope_001[[#This Row],[tipo_r]]="R",COUNTIFS($C$1:$C269,"R")+1,"")</f>
        <v>269</v>
      </c>
      <c r="B270" s="19" t="str">
        <f t="shared" si="25"/>
        <v>C_Ope_001</v>
      </c>
      <c r="C270" s="3" t="s">
        <v>1330</v>
      </c>
      <c r="D270" s="211">
        <v>45825</v>
      </c>
      <c r="E270" s="5" t="s">
        <v>7753</v>
      </c>
      <c r="F270" s="5" t="s">
        <v>1336</v>
      </c>
      <c r="G270" s="6" t="s">
        <v>999</v>
      </c>
      <c r="H270" s="6" t="s">
        <v>68</v>
      </c>
      <c r="I270" s="6" t="s">
        <v>1374</v>
      </c>
      <c r="J270" s="6">
        <v>18247</v>
      </c>
      <c r="K270" s="7" t="s">
        <v>7777</v>
      </c>
      <c r="L270" s="8">
        <v>24595</v>
      </c>
      <c r="M270" s="8" t="str">
        <f t="shared" si="29"/>
        <v>PEN</v>
      </c>
      <c r="N270" s="13"/>
      <c r="O270" s="13">
        <v>25</v>
      </c>
      <c r="P270" s="3">
        <f t="shared" si="26"/>
        <v>0</v>
      </c>
      <c r="Q270" s="3">
        <f t="shared" si="27"/>
        <v>25</v>
      </c>
      <c r="R270" s="3">
        <f t="shared" si="28"/>
        <v>98.740000000000009</v>
      </c>
      <c r="S270" s="24" t="s">
        <v>1334</v>
      </c>
      <c r="T270" s="24" t="s">
        <v>1334</v>
      </c>
      <c r="U270" s="3"/>
      <c r="V270" s="25" t="s">
        <v>7761</v>
      </c>
      <c r="W270" s="25">
        <v>10705628331</v>
      </c>
      <c r="X270" s="25" t="str">
        <f>IFERROR(VLOOKUP(C_Ope_001[[#This Row],[nota_2]],Clientes_Proveedores[[Ruc / Dni]:[Razon Social]],2,0),"")</f>
        <v>LARICO APAZA NANCY ROSSMARY</v>
      </c>
      <c r="Y270" s="25"/>
      <c r="Z270" s="103"/>
      <c r="AA270" s="3" t="str">
        <f>IF(C_Ope_001[[#This Row],[fecha]]&gt;0,TEXT(C_Ope_001[[#This Row],[fecha]],"mmmm"),0)</f>
        <v>Junio</v>
      </c>
      <c r="AB270" s="159"/>
    </row>
    <row r="271" spans="1:28" ht="24" x14ac:dyDescent="0.3">
      <c r="A271" s="2">
        <f>IF(C_Ope_001[[#This Row],[tipo_r]]="R",COUNTIFS($C$1:$C270,"R")+1,"")</f>
        <v>270</v>
      </c>
      <c r="B271" s="19" t="str">
        <f t="shared" si="25"/>
        <v>C_Ope_001</v>
      </c>
      <c r="C271" s="3" t="s">
        <v>1330</v>
      </c>
      <c r="D271" s="211">
        <v>45831</v>
      </c>
      <c r="E271" s="5" t="s">
        <v>7514</v>
      </c>
      <c r="F271" s="5" t="s">
        <v>1303</v>
      </c>
      <c r="G271" s="6" t="s">
        <v>812</v>
      </c>
      <c r="H271" s="6"/>
      <c r="I271" s="6"/>
      <c r="J271" s="6"/>
      <c r="K271" s="7" t="s">
        <v>7516</v>
      </c>
      <c r="L271" s="8">
        <v>24659</v>
      </c>
      <c r="M271" s="8" t="str">
        <f t="shared" si="29"/>
        <v>PEN</v>
      </c>
      <c r="N271" s="13"/>
      <c r="O271" s="13">
        <v>100</v>
      </c>
      <c r="P271" s="3">
        <f t="shared" si="26"/>
        <v>100</v>
      </c>
      <c r="Q271" s="3">
        <f t="shared" si="27"/>
        <v>0</v>
      </c>
      <c r="R271" s="3">
        <f t="shared" si="28"/>
        <v>198.74</v>
      </c>
      <c r="S271" s="24" t="s">
        <v>1334</v>
      </c>
      <c r="T271" s="24" t="s">
        <v>1334</v>
      </c>
      <c r="U271" s="3"/>
      <c r="V271" s="25"/>
      <c r="W271" s="25"/>
      <c r="X271" s="25" t="str">
        <f>IFERROR(VLOOKUP(C_Ope_001[[#This Row],[nota_2]],Clientes_Proveedores[[Ruc / Dni]:[Razon Social]],2,0),"")</f>
        <v/>
      </c>
      <c r="Y271" s="25"/>
      <c r="Z271" s="103"/>
      <c r="AA271" s="3" t="str">
        <f>IF(C_Ope_001[[#This Row],[fecha]]&gt;0,TEXT(C_Ope_001[[#This Row],[fecha]],"mmmm"),0)</f>
        <v>Junio</v>
      </c>
      <c r="AB271" s="159"/>
    </row>
    <row r="272" spans="1:28" ht="24" x14ac:dyDescent="0.3">
      <c r="A272" s="2">
        <f>IF(C_Ope_001[[#This Row],[tipo_r]]="R",COUNTIFS($C$1:$C271,"R")+1,"")</f>
        <v>271</v>
      </c>
      <c r="B272" s="19" t="str">
        <f t="shared" si="25"/>
        <v>C_Ope_001</v>
      </c>
      <c r="C272" s="3" t="s">
        <v>1330</v>
      </c>
      <c r="D272" s="211">
        <v>45831</v>
      </c>
      <c r="E272" s="5" t="s">
        <v>7753</v>
      </c>
      <c r="F272" s="5" t="s">
        <v>1336</v>
      </c>
      <c r="G272" s="6" t="s">
        <v>978</v>
      </c>
      <c r="H272" s="6" t="s">
        <v>68</v>
      </c>
      <c r="I272" s="6" t="s">
        <v>6204</v>
      </c>
      <c r="J272" s="6">
        <v>1766579</v>
      </c>
      <c r="K272" s="7" t="s">
        <v>7772</v>
      </c>
      <c r="L272" s="8">
        <v>24645</v>
      </c>
      <c r="M272" s="8" t="str">
        <f t="shared" si="29"/>
        <v>PEN</v>
      </c>
      <c r="N272" s="13"/>
      <c r="O272" s="13">
        <v>8</v>
      </c>
      <c r="P272" s="3">
        <f t="shared" si="26"/>
        <v>0</v>
      </c>
      <c r="Q272" s="3">
        <f t="shared" si="27"/>
        <v>8</v>
      </c>
      <c r="R272" s="3">
        <f t="shared" si="28"/>
        <v>190.74</v>
      </c>
      <c r="S272" s="24" t="s">
        <v>1334</v>
      </c>
      <c r="T272" s="24" t="s">
        <v>1334</v>
      </c>
      <c r="U272" s="3"/>
      <c r="V272" s="25" t="s">
        <v>7756</v>
      </c>
      <c r="W272" s="25">
        <v>20517252558</v>
      </c>
      <c r="X272" s="25" t="str">
        <f>IFERROR(VLOOKUP(C_Ope_001[[#This Row],[nota_2]],Clientes_Proveedores[[Ruc / Dni]:[Razon Social]],2,0),"")</f>
        <v>COVISUR S.A.</v>
      </c>
      <c r="Y272" s="25"/>
      <c r="Z272" s="103"/>
      <c r="AA272" s="3" t="str">
        <f>IF(C_Ope_001[[#This Row],[fecha]]&gt;0,TEXT(C_Ope_001[[#This Row],[fecha]],"mmmm"),0)</f>
        <v>Junio</v>
      </c>
      <c r="AB272" s="159"/>
    </row>
    <row r="273" spans="1:28" ht="24" x14ac:dyDescent="0.3">
      <c r="A273" s="2">
        <f>IF(C_Ope_001[[#This Row],[tipo_r]]="R",COUNTIFS($C$1:$C272,"R")+1,"")</f>
        <v>272</v>
      </c>
      <c r="B273" s="19" t="str">
        <f t="shared" si="25"/>
        <v>C_Ope_001</v>
      </c>
      <c r="C273" s="3" t="s">
        <v>1330</v>
      </c>
      <c r="D273" s="211">
        <v>45831</v>
      </c>
      <c r="E273" s="5" t="s">
        <v>7753</v>
      </c>
      <c r="F273" s="5" t="s">
        <v>1336</v>
      </c>
      <c r="G273" s="6" t="s">
        <v>978</v>
      </c>
      <c r="H273" s="6" t="s">
        <v>68</v>
      </c>
      <c r="I273" s="6" t="s">
        <v>6379</v>
      </c>
      <c r="J273" s="6">
        <v>483731</v>
      </c>
      <c r="K273" s="7" t="s">
        <v>7771</v>
      </c>
      <c r="L273" s="8">
        <v>24646</v>
      </c>
      <c r="M273" s="8" t="str">
        <f t="shared" si="29"/>
        <v>PEN</v>
      </c>
      <c r="N273" s="13"/>
      <c r="O273" s="13">
        <v>8</v>
      </c>
      <c r="P273" s="3">
        <f t="shared" si="26"/>
        <v>0</v>
      </c>
      <c r="Q273" s="3">
        <f t="shared" si="27"/>
        <v>8</v>
      </c>
      <c r="R273" s="3">
        <f t="shared" si="28"/>
        <v>182.74</v>
      </c>
      <c r="S273" s="24" t="s">
        <v>1334</v>
      </c>
      <c r="T273" s="24" t="s">
        <v>1334</v>
      </c>
      <c r="U273" s="3"/>
      <c r="V273" s="25" t="s">
        <v>7756</v>
      </c>
      <c r="W273" s="25">
        <v>20517252558</v>
      </c>
      <c r="X273" s="25" t="str">
        <f>IFERROR(VLOOKUP(C_Ope_001[[#This Row],[nota_2]],Clientes_Proveedores[[Ruc / Dni]:[Razon Social]],2,0),"")</f>
        <v>COVISUR S.A.</v>
      </c>
      <c r="Y273" s="25"/>
      <c r="Z273" s="103"/>
      <c r="AA273" s="3" t="str">
        <f>IF(C_Ope_001[[#This Row],[fecha]]&gt;0,TEXT(C_Ope_001[[#This Row],[fecha]],"mmmm"),0)</f>
        <v>Junio</v>
      </c>
      <c r="AB273" s="159"/>
    </row>
    <row r="274" spans="1:28" ht="24" x14ac:dyDescent="0.3">
      <c r="A274" s="2">
        <f>IF(C_Ope_001[[#This Row],[tipo_r]]="R",COUNTIFS($C$1:$C273,"R")+1,"")</f>
        <v>273</v>
      </c>
      <c r="B274" s="19" t="str">
        <f t="shared" si="25"/>
        <v>C_Ope_001</v>
      </c>
      <c r="C274" s="3" t="s">
        <v>1330</v>
      </c>
      <c r="D274" s="211">
        <v>45831</v>
      </c>
      <c r="E274" s="5" t="s">
        <v>7753</v>
      </c>
      <c r="F274" s="5" t="s">
        <v>1336</v>
      </c>
      <c r="G274" s="6" t="s">
        <v>978</v>
      </c>
      <c r="H274" s="6" t="s">
        <v>68</v>
      </c>
      <c r="I274" s="6" t="s">
        <v>6244</v>
      </c>
      <c r="J274" s="6">
        <v>1078975</v>
      </c>
      <c r="K274" s="7" t="s">
        <v>7771</v>
      </c>
      <c r="L274" s="8">
        <v>24651</v>
      </c>
      <c r="M274" s="8" t="str">
        <f t="shared" si="29"/>
        <v>PEN</v>
      </c>
      <c r="N274" s="13"/>
      <c r="O274" s="13">
        <v>8</v>
      </c>
      <c r="P274" s="3">
        <f t="shared" si="26"/>
        <v>0</v>
      </c>
      <c r="Q274" s="3">
        <f t="shared" si="27"/>
        <v>8</v>
      </c>
      <c r="R274" s="3">
        <f t="shared" si="28"/>
        <v>174.74</v>
      </c>
      <c r="S274" s="24" t="s">
        <v>1334</v>
      </c>
      <c r="T274" s="24" t="s">
        <v>1334</v>
      </c>
      <c r="U274" s="3"/>
      <c r="V274" s="25" t="s">
        <v>7756</v>
      </c>
      <c r="W274" s="25">
        <v>20517252558</v>
      </c>
      <c r="X274" s="25" t="str">
        <f>IFERROR(VLOOKUP(C_Ope_001[[#This Row],[nota_2]],Clientes_Proveedores[[Ruc / Dni]:[Razon Social]],2,0),"")</f>
        <v>COVISUR S.A.</v>
      </c>
      <c r="Y274" s="25"/>
      <c r="Z274" s="103"/>
      <c r="AA274" s="3" t="str">
        <f>IF(C_Ope_001[[#This Row],[fecha]]&gt;0,TEXT(C_Ope_001[[#This Row],[fecha]],"mmmm"),0)</f>
        <v>Junio</v>
      </c>
      <c r="AB274" s="159"/>
    </row>
    <row r="275" spans="1:28" ht="24" x14ac:dyDescent="0.3">
      <c r="A275" s="2">
        <f>IF(C_Ope_001[[#This Row],[tipo_r]]="R",COUNTIFS($C$1:$C274,"R")+1,"")</f>
        <v>274</v>
      </c>
      <c r="B275" s="19" t="str">
        <f t="shared" si="25"/>
        <v>C_Ope_001</v>
      </c>
      <c r="C275" s="3" t="s">
        <v>1330</v>
      </c>
      <c r="D275" s="211">
        <v>45833</v>
      </c>
      <c r="E275" s="5" t="s">
        <v>7753</v>
      </c>
      <c r="F275" s="5" t="s">
        <v>1336</v>
      </c>
      <c r="G275" s="6" t="s">
        <v>978</v>
      </c>
      <c r="H275" s="6" t="s">
        <v>68</v>
      </c>
      <c r="I275" s="6" t="s">
        <v>6204</v>
      </c>
      <c r="J275" s="6">
        <v>1768506</v>
      </c>
      <c r="K275" s="7" t="s">
        <v>7881</v>
      </c>
      <c r="L275" s="8">
        <v>24688</v>
      </c>
      <c r="M275" s="8" t="str">
        <f t="shared" si="29"/>
        <v>PEN</v>
      </c>
      <c r="N275" s="13"/>
      <c r="O275" s="13">
        <v>8</v>
      </c>
      <c r="P275" s="3">
        <f t="shared" si="26"/>
        <v>0</v>
      </c>
      <c r="Q275" s="3">
        <f t="shared" si="27"/>
        <v>8</v>
      </c>
      <c r="R275" s="3">
        <f t="shared" si="28"/>
        <v>166.74</v>
      </c>
      <c r="S275" s="24" t="s">
        <v>1334</v>
      </c>
      <c r="T275" s="24" t="s">
        <v>1334</v>
      </c>
      <c r="U275" s="3"/>
      <c r="V275" s="25" t="s">
        <v>7756</v>
      </c>
      <c r="W275" s="25">
        <v>20517252558</v>
      </c>
      <c r="X275" s="25" t="str">
        <f>IFERROR(VLOOKUP(C_Ope_001[[#This Row],[nota_2]],Clientes_Proveedores[[Ruc / Dni]:[Razon Social]],2,0),"")</f>
        <v>COVISUR S.A.</v>
      </c>
      <c r="Y275" s="25"/>
      <c r="Z275" s="103"/>
      <c r="AA275" s="3" t="str">
        <f>IF(C_Ope_001[[#This Row],[fecha]]&gt;0,TEXT(C_Ope_001[[#This Row],[fecha]],"mmmm"),0)</f>
        <v>Junio</v>
      </c>
      <c r="AB275" s="159"/>
    </row>
    <row r="276" spans="1:28" ht="24" x14ac:dyDescent="0.3">
      <c r="A276" s="2">
        <f>IF(C_Ope_001[[#This Row],[tipo_r]]="R",COUNTIFS($C$1:$C275,"R")+1,"")</f>
        <v>275</v>
      </c>
      <c r="B276" s="19" t="str">
        <f t="shared" si="25"/>
        <v>C_Ope_001</v>
      </c>
      <c r="C276" s="3" t="s">
        <v>1330</v>
      </c>
      <c r="D276" s="211">
        <v>45833</v>
      </c>
      <c r="E276" s="5" t="s">
        <v>7753</v>
      </c>
      <c r="F276" s="5" t="s">
        <v>1336</v>
      </c>
      <c r="G276" s="6"/>
      <c r="H276" s="6" t="s">
        <v>126</v>
      </c>
      <c r="I276" s="6"/>
      <c r="J276" s="6">
        <v>24693</v>
      </c>
      <c r="K276" s="7" t="s">
        <v>7881</v>
      </c>
      <c r="L276" s="8">
        <v>24693</v>
      </c>
      <c r="M276" s="8" t="str">
        <f t="shared" si="29"/>
        <v>PEN</v>
      </c>
      <c r="N276" s="13"/>
      <c r="O276" s="13">
        <v>8</v>
      </c>
      <c r="P276" s="3">
        <f t="shared" si="26"/>
        <v>0</v>
      </c>
      <c r="Q276" s="3">
        <f t="shared" si="27"/>
        <v>8</v>
      </c>
      <c r="R276" s="3">
        <f t="shared" si="28"/>
        <v>158.74</v>
      </c>
      <c r="S276" s="24" t="s">
        <v>1334</v>
      </c>
      <c r="T276" s="24" t="s">
        <v>1334</v>
      </c>
      <c r="U276" s="3"/>
      <c r="V276" s="25" t="s">
        <v>7756</v>
      </c>
      <c r="W276" s="25"/>
      <c r="X276" s="25" t="str">
        <f>IFERROR(VLOOKUP(C_Ope_001[[#This Row],[nota_2]],Clientes_Proveedores[[Ruc / Dni]:[Razon Social]],2,0),"")</f>
        <v/>
      </c>
      <c r="Y276" s="25"/>
      <c r="Z276" s="103"/>
      <c r="AA276" s="3" t="str">
        <f>IF(C_Ope_001[[#This Row],[fecha]]&gt;0,TEXT(C_Ope_001[[#This Row],[fecha]],"mmmm"),0)</f>
        <v>Junio</v>
      </c>
      <c r="AB276" s="159"/>
    </row>
    <row r="277" spans="1:28" ht="36" x14ac:dyDescent="0.3">
      <c r="A277" s="2">
        <f>IF(C_Ope_001[[#This Row],[tipo_r]]="R",COUNTIFS($C$1:$C276,"R")+1,"")</f>
        <v>276</v>
      </c>
      <c r="B277" s="19" t="str">
        <f t="shared" si="25"/>
        <v>C_Ope_001</v>
      </c>
      <c r="C277" s="3" t="s">
        <v>1330</v>
      </c>
      <c r="D277" s="211">
        <v>45838</v>
      </c>
      <c r="E277" s="5" t="s">
        <v>7753</v>
      </c>
      <c r="F277" s="5" t="s">
        <v>1336</v>
      </c>
      <c r="G277" s="6" t="s">
        <v>978</v>
      </c>
      <c r="H277" s="6" t="s">
        <v>68</v>
      </c>
      <c r="I277" s="6" t="s">
        <v>5845</v>
      </c>
      <c r="J277" s="6">
        <v>1793223</v>
      </c>
      <c r="K277" s="7" t="s">
        <v>7882</v>
      </c>
      <c r="L277" s="8">
        <v>24745</v>
      </c>
      <c r="M277" s="8" t="str">
        <f t="shared" si="29"/>
        <v>PEN</v>
      </c>
      <c r="N277" s="13"/>
      <c r="O277" s="13">
        <v>8</v>
      </c>
      <c r="P277" s="3">
        <f t="shared" si="26"/>
        <v>0</v>
      </c>
      <c r="Q277" s="3">
        <f t="shared" si="27"/>
        <v>8</v>
      </c>
      <c r="R277" s="3">
        <f t="shared" si="28"/>
        <v>150.74</v>
      </c>
      <c r="S277" s="24" t="s">
        <v>1334</v>
      </c>
      <c r="T277" s="24" t="s">
        <v>1334</v>
      </c>
      <c r="U277" s="3"/>
      <c r="V277" s="25" t="s">
        <v>7756</v>
      </c>
      <c r="W277" s="25">
        <v>20517252558</v>
      </c>
      <c r="X277" s="25" t="str">
        <f>IFERROR(VLOOKUP(C_Ope_001[[#This Row],[nota_2]],Clientes_Proveedores[[Ruc / Dni]:[Razon Social]],2,0),"")</f>
        <v>COVISUR S.A.</v>
      </c>
      <c r="Y277" s="25"/>
      <c r="Z277" s="103"/>
      <c r="AA277" s="3" t="str">
        <f>IF(C_Ope_001[[#This Row],[fecha]]&gt;0,TEXT(C_Ope_001[[#This Row],[fecha]],"mmmm"),0)</f>
        <v>Junio</v>
      </c>
      <c r="AB277" s="159"/>
    </row>
    <row r="278" spans="1:28" ht="36" x14ac:dyDescent="0.3">
      <c r="A278" s="2">
        <f>IF(C_Ope_001[[#This Row],[tipo_r]]="R",COUNTIFS($C$1:$C277,"R")+1,"")</f>
        <v>277</v>
      </c>
      <c r="B278" s="19" t="str">
        <f t="shared" si="25"/>
        <v>C_Ope_001</v>
      </c>
      <c r="C278" s="3" t="s">
        <v>1330</v>
      </c>
      <c r="D278" s="211">
        <v>45838</v>
      </c>
      <c r="E278" s="5" t="s">
        <v>7753</v>
      </c>
      <c r="F278" s="5" t="s">
        <v>1336</v>
      </c>
      <c r="G278" s="6" t="s">
        <v>978</v>
      </c>
      <c r="H278" s="6" t="s">
        <v>68</v>
      </c>
      <c r="I278" s="6" t="s">
        <v>6204</v>
      </c>
      <c r="J278" s="6">
        <v>1773171</v>
      </c>
      <c r="K278" s="7" t="s">
        <v>7882</v>
      </c>
      <c r="L278" s="8">
        <v>24746</v>
      </c>
      <c r="M278" s="8" t="str">
        <f t="shared" si="29"/>
        <v>PEN</v>
      </c>
      <c r="N278" s="13"/>
      <c r="O278" s="13">
        <v>8</v>
      </c>
      <c r="P278" s="3">
        <f t="shared" si="26"/>
        <v>0</v>
      </c>
      <c r="Q278" s="3">
        <f t="shared" si="27"/>
        <v>8</v>
      </c>
      <c r="R278" s="3">
        <f t="shared" si="28"/>
        <v>142.74</v>
      </c>
      <c r="S278" s="24" t="s">
        <v>1334</v>
      </c>
      <c r="T278" s="24" t="s">
        <v>1334</v>
      </c>
      <c r="U278" s="3"/>
      <c r="V278" s="25" t="s">
        <v>7756</v>
      </c>
      <c r="W278" s="25">
        <v>20517252558</v>
      </c>
      <c r="X278" s="25" t="str">
        <f>IFERROR(VLOOKUP(C_Ope_001[[#This Row],[nota_2]],Clientes_Proveedores[[Ruc / Dni]:[Razon Social]],2,0),"")</f>
        <v>COVISUR S.A.</v>
      </c>
      <c r="Y278" s="25"/>
      <c r="Z278" s="103"/>
      <c r="AA278" s="3" t="str">
        <f>IF(C_Ope_001[[#This Row],[fecha]]&gt;0,TEXT(C_Ope_001[[#This Row],[fecha]],"mmmm"),0)</f>
        <v>Junio</v>
      </c>
      <c r="AB278" s="159"/>
    </row>
    <row r="279" spans="1:28" ht="36" x14ac:dyDescent="0.3">
      <c r="A279" s="2">
        <f>IF(C_Ope_001[[#This Row],[tipo_r]]="R",COUNTIFS($C$1:$C278,"R")+1,"")</f>
        <v>278</v>
      </c>
      <c r="B279" s="19" t="str">
        <f t="shared" si="25"/>
        <v>C_Ope_001</v>
      </c>
      <c r="C279" s="3" t="s">
        <v>1330</v>
      </c>
      <c r="D279" s="211">
        <v>45831</v>
      </c>
      <c r="E279" s="5" t="s">
        <v>7753</v>
      </c>
      <c r="F279" s="5" t="s">
        <v>1336</v>
      </c>
      <c r="G279" s="6" t="s">
        <v>1029</v>
      </c>
      <c r="H279" s="6" t="s">
        <v>68</v>
      </c>
      <c r="I279" s="6" t="s">
        <v>1374</v>
      </c>
      <c r="J279" s="6">
        <v>17806</v>
      </c>
      <c r="K279" s="7" t="s">
        <v>7776</v>
      </c>
      <c r="L279" s="8">
        <v>24647</v>
      </c>
      <c r="M279" s="8" t="str">
        <f t="shared" si="29"/>
        <v>PEN</v>
      </c>
      <c r="N279" s="13"/>
      <c r="O279" s="13">
        <v>11</v>
      </c>
      <c r="P279" s="3">
        <f t="shared" si="26"/>
        <v>0</v>
      </c>
      <c r="Q279" s="3">
        <f t="shared" si="27"/>
        <v>11</v>
      </c>
      <c r="R279" s="3">
        <f t="shared" si="28"/>
        <v>131.74</v>
      </c>
      <c r="S279" s="24" t="s">
        <v>1334</v>
      </c>
      <c r="T279" s="24" t="s">
        <v>1334</v>
      </c>
      <c r="U279" s="3"/>
      <c r="V279" s="25" t="s">
        <v>7756</v>
      </c>
      <c r="W279" s="25">
        <v>20454058187</v>
      </c>
      <c r="X279" s="25" t="str">
        <f>IFERROR(VLOOKUP(C_Ope_001[[#This Row],[nota_2]],Clientes_Proveedores[[Ruc / Dni]:[Razon Social]],2,0),"")</f>
        <v>ZONA ESPECIAL DE DESARROLLO ZED MATARANI</v>
      </c>
      <c r="Y279" s="25"/>
      <c r="Z279" s="103"/>
      <c r="AA279" s="3" t="str">
        <f>IF(C_Ope_001[[#This Row],[fecha]]&gt;0,TEXT(C_Ope_001[[#This Row],[fecha]],"mmmm"),0)</f>
        <v>Junio</v>
      </c>
      <c r="AB279" s="159"/>
    </row>
    <row r="280" spans="1:28" ht="36" x14ac:dyDescent="0.3">
      <c r="A280" s="2">
        <f>IF(C_Ope_001[[#This Row],[tipo_r]]="R",COUNTIFS($C$1:$C279,"R")+1,"")</f>
        <v>279</v>
      </c>
      <c r="B280" s="19" t="str">
        <f t="shared" si="25"/>
        <v>C_Ope_001</v>
      </c>
      <c r="C280" s="3" t="s">
        <v>1330</v>
      </c>
      <c r="D280" s="211">
        <v>45833</v>
      </c>
      <c r="E280" s="5" t="s">
        <v>7753</v>
      </c>
      <c r="F280" s="5" t="s">
        <v>1336</v>
      </c>
      <c r="G280" s="6" t="s">
        <v>682</v>
      </c>
      <c r="H280" s="6" t="s">
        <v>68</v>
      </c>
      <c r="I280" s="6" t="s">
        <v>1353</v>
      </c>
      <c r="J280" s="6">
        <v>16744</v>
      </c>
      <c r="K280" s="7" t="s">
        <v>7883</v>
      </c>
      <c r="L280" s="8">
        <v>24689</v>
      </c>
      <c r="M280" s="8" t="str">
        <f t="shared" si="29"/>
        <v>PEN</v>
      </c>
      <c r="N280" s="13"/>
      <c r="O280" s="13">
        <v>20</v>
      </c>
      <c r="P280" s="3">
        <f t="shared" si="26"/>
        <v>0</v>
      </c>
      <c r="Q280" s="3">
        <f t="shared" si="27"/>
        <v>20</v>
      </c>
      <c r="R280" s="3">
        <f t="shared" si="28"/>
        <v>111.74000000000001</v>
      </c>
      <c r="S280" s="24" t="s">
        <v>1334</v>
      </c>
      <c r="T280" s="24" t="s">
        <v>1334</v>
      </c>
      <c r="U280" s="3"/>
      <c r="V280" s="25" t="s">
        <v>7756</v>
      </c>
      <c r="W280" s="25">
        <v>20259858934</v>
      </c>
      <c r="X280" s="25" t="str">
        <f>IFERROR(VLOOKUP(C_Ope_001[[#This Row],[nota_2]],Clientes_Proveedores[[Ruc / Dni]:[Razon Social]],2,0),"")</f>
        <v>COMERCIALIZACION Y SERVICIOS EL EDEN S.A.C.</v>
      </c>
      <c r="Y280" s="25"/>
      <c r="Z280" s="103"/>
      <c r="AA280" s="3" t="str">
        <f>IF(C_Ope_001[[#This Row],[fecha]]&gt;0,TEXT(C_Ope_001[[#This Row],[fecha]],"mmmm"),0)</f>
        <v>Junio</v>
      </c>
      <c r="AB280" s="159"/>
    </row>
    <row r="281" spans="1:28" ht="36" x14ac:dyDescent="0.3">
      <c r="A281" s="2">
        <f>IF(C_Ope_001[[#This Row],[tipo_r]]="R",COUNTIFS($C$1:$C280,"R")+1,"")</f>
        <v>280</v>
      </c>
      <c r="B281" s="19" t="str">
        <f t="shared" si="25"/>
        <v>C_Ope_001</v>
      </c>
      <c r="C281" s="3" t="s">
        <v>1330</v>
      </c>
      <c r="D281" s="211">
        <v>45833</v>
      </c>
      <c r="E281" s="5" t="s">
        <v>7753</v>
      </c>
      <c r="F281" s="5" t="s">
        <v>1336</v>
      </c>
      <c r="G281" s="6" t="s">
        <v>682</v>
      </c>
      <c r="H281" s="6" t="s">
        <v>68</v>
      </c>
      <c r="I281" s="6" t="s">
        <v>1353</v>
      </c>
      <c r="J281" s="6">
        <v>16742</v>
      </c>
      <c r="K281" s="7" t="s">
        <v>7884</v>
      </c>
      <c r="L281" s="8">
        <v>24690</v>
      </c>
      <c r="M281" s="8" t="str">
        <f t="shared" si="29"/>
        <v>PEN</v>
      </c>
      <c r="N281" s="13"/>
      <c r="O281" s="13">
        <v>20</v>
      </c>
      <c r="P281" s="3">
        <f t="shared" si="26"/>
        <v>0</v>
      </c>
      <c r="Q281" s="3">
        <f t="shared" si="27"/>
        <v>20</v>
      </c>
      <c r="R281" s="3">
        <f t="shared" si="28"/>
        <v>91.740000000000009</v>
      </c>
      <c r="S281" s="24" t="s">
        <v>1334</v>
      </c>
      <c r="T281" s="24" t="s">
        <v>1334</v>
      </c>
      <c r="U281" s="3"/>
      <c r="V281" s="25" t="s">
        <v>7756</v>
      </c>
      <c r="W281" s="25">
        <v>20259858934</v>
      </c>
      <c r="X281" s="25" t="str">
        <f>IFERROR(VLOOKUP(C_Ope_001[[#This Row],[nota_2]],Clientes_Proveedores[[Ruc / Dni]:[Razon Social]],2,0),"")</f>
        <v>COMERCIALIZACION Y SERVICIOS EL EDEN S.A.C.</v>
      </c>
      <c r="Y281" s="25"/>
      <c r="Z281" s="103"/>
      <c r="AA281" s="3" t="str">
        <f>IF(C_Ope_001[[#This Row],[fecha]]&gt;0,TEXT(C_Ope_001[[#This Row],[fecha]],"mmmm"),0)</f>
        <v>Junio</v>
      </c>
      <c r="AB281" s="159"/>
    </row>
    <row r="282" spans="1:28" ht="36" x14ac:dyDescent="0.3">
      <c r="A282" s="2">
        <f>IF(C_Ope_001[[#This Row],[tipo_r]]="R",COUNTIFS($C$1:$C281,"R")+1,"")</f>
        <v>281</v>
      </c>
      <c r="B282" s="19" t="str">
        <f t="shared" si="25"/>
        <v>C_Ope_001</v>
      </c>
      <c r="C282" s="3" t="s">
        <v>1330</v>
      </c>
      <c r="D282" s="211">
        <v>45834</v>
      </c>
      <c r="E282" s="5" t="s">
        <v>7753</v>
      </c>
      <c r="F282" s="5" t="s">
        <v>1336</v>
      </c>
      <c r="G282" s="6" t="s">
        <v>682</v>
      </c>
      <c r="H282" s="6" t="s">
        <v>68</v>
      </c>
      <c r="I282" s="6" t="s">
        <v>1343</v>
      </c>
      <c r="J282" s="6">
        <v>35010</v>
      </c>
      <c r="K282" s="7" t="s">
        <v>7885</v>
      </c>
      <c r="L282" s="8">
        <v>24717</v>
      </c>
      <c r="M282" s="8" t="str">
        <f t="shared" si="29"/>
        <v>PEN</v>
      </c>
      <c r="N282" s="13"/>
      <c r="O282" s="13">
        <v>10</v>
      </c>
      <c r="P282" s="3">
        <f t="shared" si="26"/>
        <v>0</v>
      </c>
      <c r="Q282" s="3">
        <f t="shared" si="27"/>
        <v>10</v>
      </c>
      <c r="R282" s="3">
        <f t="shared" si="28"/>
        <v>81.740000000000009</v>
      </c>
      <c r="S282" s="24" t="s">
        <v>1334</v>
      </c>
      <c r="T282" s="24" t="s">
        <v>1334</v>
      </c>
      <c r="U282" s="3"/>
      <c r="V282" s="25" t="s">
        <v>7756</v>
      </c>
      <c r="W282" s="25">
        <v>20259858934</v>
      </c>
      <c r="X282" s="25" t="str">
        <f>IFERROR(VLOOKUP(C_Ope_001[[#This Row],[nota_2]],Clientes_Proveedores[[Ruc / Dni]:[Razon Social]],2,0),"")</f>
        <v>COMERCIALIZACION Y SERVICIOS EL EDEN S.A.C.</v>
      </c>
      <c r="Y282" s="25"/>
      <c r="Z282" s="103"/>
      <c r="AA282" s="3" t="str">
        <f>IF(C_Ope_001[[#This Row],[fecha]]&gt;0,TEXT(C_Ope_001[[#This Row],[fecha]],"mmmm"),0)</f>
        <v>Junio</v>
      </c>
      <c r="AB282" s="159"/>
    </row>
    <row r="283" spans="1:28" ht="24" x14ac:dyDescent="0.3">
      <c r="A283" s="2">
        <f>IF(C_Ope_001[[#This Row],[tipo_r]]="R",COUNTIFS($C$1:$C282,"R")+1,"")</f>
        <v>282</v>
      </c>
      <c r="B283" s="19" t="str">
        <f t="shared" si="25"/>
        <v>C_Ope_001</v>
      </c>
      <c r="C283" s="3" t="s">
        <v>1330</v>
      </c>
      <c r="D283" s="211">
        <v>45835</v>
      </c>
      <c r="E283" s="5" t="s">
        <v>7753</v>
      </c>
      <c r="F283" s="5" t="s">
        <v>1336</v>
      </c>
      <c r="G283" s="6" t="s">
        <v>998</v>
      </c>
      <c r="H283" s="6" t="s">
        <v>68</v>
      </c>
      <c r="I283" s="6" t="s">
        <v>6378</v>
      </c>
      <c r="J283" s="6">
        <v>1509</v>
      </c>
      <c r="K283" s="7" t="s">
        <v>7834</v>
      </c>
      <c r="L283" s="8">
        <v>24723</v>
      </c>
      <c r="M283" s="8" t="str">
        <f t="shared" si="29"/>
        <v>PEN</v>
      </c>
      <c r="N283" s="13"/>
      <c r="O283" s="13">
        <v>10</v>
      </c>
      <c r="P283" s="3">
        <f t="shared" si="26"/>
        <v>0</v>
      </c>
      <c r="Q283" s="3">
        <f t="shared" si="27"/>
        <v>10</v>
      </c>
      <c r="R283" s="3">
        <f t="shared" si="28"/>
        <v>71.740000000000009</v>
      </c>
      <c r="S283" s="24" t="s">
        <v>1334</v>
      </c>
      <c r="T283" s="24" t="s">
        <v>1334</v>
      </c>
      <c r="U283" s="3"/>
      <c r="V283" s="25" t="s">
        <v>7761</v>
      </c>
      <c r="W283" s="25">
        <v>20612112500</v>
      </c>
      <c r="X283" s="25" t="str">
        <f>IFERROR(VLOOKUP(C_Ope_001[[#This Row],[nota_2]],Clientes_Proveedores[[Ruc / Dni]:[Razon Social]],2,0),"")</f>
        <v>RECICLADORA LAS LOMAS E.I.R.L.</v>
      </c>
      <c r="Y283" s="25"/>
      <c r="Z283" s="103"/>
      <c r="AA283" s="3" t="str">
        <f>IF(C_Ope_001[[#This Row],[fecha]]&gt;0,TEXT(C_Ope_001[[#This Row],[fecha]],"mmmm"),0)</f>
        <v>Junio</v>
      </c>
      <c r="AB283" s="159"/>
    </row>
    <row r="284" spans="1:28" ht="24" x14ac:dyDescent="0.3">
      <c r="A284" s="2">
        <f>IF(C_Ope_001[[#This Row],[tipo_r]]="R",COUNTIFS($C$1:$C283,"R")+1,"")</f>
        <v>283</v>
      </c>
      <c r="B284" s="19" t="str">
        <f t="shared" si="25"/>
        <v>C_Ope_001</v>
      </c>
      <c r="C284" s="3" t="s">
        <v>1330</v>
      </c>
      <c r="D284" s="211">
        <v>45835</v>
      </c>
      <c r="E284" s="5" t="s">
        <v>7753</v>
      </c>
      <c r="F284" s="5" t="s">
        <v>1336</v>
      </c>
      <c r="G284" s="6" t="s">
        <v>998</v>
      </c>
      <c r="H284" s="6" t="s">
        <v>68</v>
      </c>
      <c r="I284" s="6" t="s">
        <v>6378</v>
      </c>
      <c r="J284" s="6">
        <v>1514</v>
      </c>
      <c r="K284" s="7" t="s">
        <v>7815</v>
      </c>
      <c r="L284" s="8">
        <v>24724</v>
      </c>
      <c r="M284" s="8" t="str">
        <f t="shared" si="29"/>
        <v>PEN</v>
      </c>
      <c r="N284" s="13"/>
      <c r="O284" s="13">
        <v>10</v>
      </c>
      <c r="P284" s="3">
        <f t="shared" si="26"/>
        <v>0</v>
      </c>
      <c r="Q284" s="3">
        <f t="shared" si="27"/>
        <v>10</v>
      </c>
      <c r="R284" s="3">
        <f t="shared" si="28"/>
        <v>61.740000000000009</v>
      </c>
      <c r="S284" s="24" t="s">
        <v>1334</v>
      </c>
      <c r="T284" s="24" t="s">
        <v>1334</v>
      </c>
      <c r="U284" s="3"/>
      <c r="V284" s="25" t="s">
        <v>7761</v>
      </c>
      <c r="W284" s="25">
        <v>20612112500</v>
      </c>
      <c r="X284" s="25" t="str">
        <f>IFERROR(VLOOKUP(C_Ope_001[[#This Row],[nota_2]],Clientes_Proveedores[[Ruc / Dni]:[Razon Social]],2,0),"")</f>
        <v>RECICLADORA LAS LOMAS E.I.R.L.</v>
      </c>
      <c r="Y284" s="25"/>
      <c r="Z284" s="103"/>
      <c r="AA284" s="3" t="str">
        <f>IF(C_Ope_001[[#This Row],[fecha]]&gt;0,TEXT(C_Ope_001[[#This Row],[fecha]],"mmmm"),0)</f>
        <v>Junio</v>
      </c>
      <c r="AB284" s="159"/>
    </row>
    <row r="285" spans="1:28" ht="36" x14ac:dyDescent="0.3">
      <c r="A285" s="2">
        <f>IF(C_Ope_001[[#This Row],[tipo_r]]="R",COUNTIFS($C$1:$C284,"R")+1,"")</f>
        <v>284</v>
      </c>
      <c r="B285" s="19" t="str">
        <f t="shared" si="25"/>
        <v>C_Ope_001</v>
      </c>
      <c r="C285" s="3" t="s">
        <v>1330</v>
      </c>
      <c r="D285" s="211">
        <v>45838</v>
      </c>
      <c r="E285" s="5" t="s">
        <v>7753</v>
      </c>
      <c r="F285" s="5" t="s">
        <v>1336</v>
      </c>
      <c r="G285" s="6" t="s">
        <v>227</v>
      </c>
      <c r="H285" s="6" t="s">
        <v>68</v>
      </c>
      <c r="I285" s="6" t="s">
        <v>1390</v>
      </c>
      <c r="J285" s="6">
        <v>133640</v>
      </c>
      <c r="K285" s="7" t="s">
        <v>7886</v>
      </c>
      <c r="L285" s="8">
        <v>24747</v>
      </c>
      <c r="M285" s="8" t="str">
        <f t="shared" si="29"/>
        <v>PEN</v>
      </c>
      <c r="N285" s="13"/>
      <c r="O285" s="13">
        <v>10</v>
      </c>
      <c r="P285" s="3">
        <f t="shared" si="26"/>
        <v>0</v>
      </c>
      <c r="Q285" s="3">
        <f t="shared" si="27"/>
        <v>10</v>
      </c>
      <c r="R285" s="3">
        <f t="shared" si="28"/>
        <v>51.740000000000009</v>
      </c>
      <c r="S285" s="24" t="s">
        <v>1334</v>
      </c>
      <c r="T285" s="24" t="s">
        <v>1334</v>
      </c>
      <c r="U285" s="3"/>
      <c r="V285" s="25" t="s">
        <v>7756</v>
      </c>
      <c r="W285" s="25">
        <v>20124952850</v>
      </c>
      <c r="X285" s="25" t="str">
        <f>IFERROR(VLOOKUP(C_Ope_001[[#This Row],[nota_2]],Clientes_Proveedores[[Ruc / Dni]:[Razon Social]],2,0),"")</f>
        <v>ALIMENTOS Y SERVICIOS AGROPECUARIOS SRL.</v>
      </c>
      <c r="Y285" s="25"/>
      <c r="Z285" s="103"/>
      <c r="AA285" s="3" t="str">
        <f>IF(C_Ope_001[[#This Row],[fecha]]&gt;0,TEXT(C_Ope_001[[#This Row],[fecha]],"mmmm"),0)</f>
        <v>Junio</v>
      </c>
      <c r="AB285" s="159"/>
    </row>
    <row r="286" spans="1:28" ht="24" x14ac:dyDescent="0.3">
      <c r="A286" s="2">
        <f>IF(C_Ope_001[[#This Row],[tipo_r]]="R",COUNTIFS($C$1:$C285,"R")+1,"")</f>
        <v>285</v>
      </c>
      <c r="B286" s="19" t="str">
        <f t="shared" si="25"/>
        <v>C_Ope_001</v>
      </c>
      <c r="C286" s="3" t="s">
        <v>1330</v>
      </c>
      <c r="D286" s="211">
        <v>45835</v>
      </c>
      <c r="E286" s="5" t="s">
        <v>7753</v>
      </c>
      <c r="F286" s="5" t="s">
        <v>1336</v>
      </c>
      <c r="G286" s="6" t="s">
        <v>999</v>
      </c>
      <c r="H286" s="6" t="s">
        <v>68</v>
      </c>
      <c r="I286" s="6" t="s">
        <v>1374</v>
      </c>
      <c r="J286" s="6">
        <v>18459</v>
      </c>
      <c r="K286" s="7" t="s">
        <v>7777</v>
      </c>
      <c r="L286" s="8">
        <v>24727</v>
      </c>
      <c r="M286" s="8" t="str">
        <f t="shared" si="29"/>
        <v>PEN</v>
      </c>
      <c r="N286" s="13"/>
      <c r="O286" s="13">
        <v>25</v>
      </c>
      <c r="P286" s="3">
        <f t="shared" si="26"/>
        <v>0</v>
      </c>
      <c r="Q286" s="3">
        <f t="shared" si="27"/>
        <v>25</v>
      </c>
      <c r="R286" s="3">
        <f t="shared" si="28"/>
        <v>26.740000000000009</v>
      </c>
      <c r="S286" s="24" t="s">
        <v>1334</v>
      </c>
      <c r="T286" s="24" t="s">
        <v>1334</v>
      </c>
      <c r="U286" s="3"/>
      <c r="V286" s="25" t="s">
        <v>7761</v>
      </c>
      <c r="W286" s="25">
        <v>10705628331</v>
      </c>
      <c r="X286" s="25" t="str">
        <f>IFERROR(VLOOKUP(C_Ope_001[[#This Row],[nota_2]],Clientes_Proveedores[[Ruc / Dni]:[Razon Social]],2,0),"")</f>
        <v>LARICO APAZA NANCY ROSSMARY</v>
      </c>
      <c r="Y286" s="25"/>
      <c r="Z286" s="103"/>
      <c r="AA286" s="3" t="str">
        <f>IF(C_Ope_001[[#This Row],[fecha]]&gt;0,TEXT(C_Ope_001[[#This Row],[fecha]],"mmmm"),0)</f>
        <v>Junio</v>
      </c>
      <c r="AB286" s="159"/>
    </row>
    <row r="287" spans="1:28" ht="24" x14ac:dyDescent="0.3">
      <c r="A287" s="2">
        <f>IF(C_Ope_001[[#This Row],[tipo_r]]="R",COUNTIFS($C$1:$C286,"R")+1,"")</f>
        <v>286</v>
      </c>
      <c r="B287" s="19" t="str">
        <f t="shared" si="25"/>
        <v>C_Ope_001</v>
      </c>
      <c r="C287" s="3" t="s">
        <v>1330</v>
      </c>
      <c r="D287" s="211">
        <v>45839</v>
      </c>
      <c r="E287" s="5" t="s">
        <v>7514</v>
      </c>
      <c r="F287" s="5" t="s">
        <v>1303</v>
      </c>
      <c r="G287" s="6" t="s">
        <v>812</v>
      </c>
      <c r="H287" s="6"/>
      <c r="I287" s="6"/>
      <c r="J287" s="6"/>
      <c r="K287" s="7" t="s">
        <v>7516</v>
      </c>
      <c r="L287" s="8">
        <v>24765</v>
      </c>
      <c r="M287" s="8" t="str">
        <f t="shared" si="29"/>
        <v>PEN</v>
      </c>
      <c r="N287" s="13"/>
      <c r="O287" s="13">
        <v>180</v>
      </c>
      <c r="P287" s="3">
        <f t="shared" si="26"/>
        <v>180</v>
      </c>
      <c r="Q287" s="3">
        <f t="shared" si="27"/>
        <v>0</v>
      </c>
      <c r="R287" s="3">
        <f t="shared" si="28"/>
        <v>206.74</v>
      </c>
      <c r="S287" s="24" t="s">
        <v>1334</v>
      </c>
      <c r="T287" s="24" t="s">
        <v>1334</v>
      </c>
      <c r="U287" s="3"/>
      <c r="V287" s="25"/>
      <c r="W287" s="25"/>
      <c r="X287" s="25" t="str">
        <f>IFERROR(VLOOKUP(C_Ope_001[[#This Row],[nota_2]],Clientes_Proveedores[[Ruc / Dni]:[Razon Social]],2,0),"")</f>
        <v/>
      </c>
      <c r="Y287" s="25"/>
      <c r="Z287" s="103"/>
      <c r="AA287" s="3" t="str">
        <f>IF(C_Ope_001[[#This Row],[fecha]]&gt;0,TEXT(C_Ope_001[[#This Row],[fecha]],"mmmm"),0)</f>
        <v>Julio</v>
      </c>
      <c r="AB287" s="159"/>
    </row>
    <row r="288" spans="1:28" x14ac:dyDescent="0.3">
      <c r="A288" s="2">
        <f>IF(C_Ope_001[[#This Row],[tipo_r]]="R",COUNTIFS($C$1:$C287,"R")+1,"")</f>
        <v>287</v>
      </c>
      <c r="B288" s="19" t="str">
        <f t="shared" ref="B288:B294" si="30">"C_Ope_001"</f>
        <v>C_Ope_001</v>
      </c>
      <c r="C288" s="3" t="s">
        <v>1330</v>
      </c>
      <c r="D288" s="211">
        <v>45839</v>
      </c>
      <c r="E288" s="5" t="s">
        <v>7753</v>
      </c>
      <c r="F288" s="5" t="s">
        <v>1336</v>
      </c>
      <c r="G288" s="6" t="s">
        <v>978</v>
      </c>
      <c r="H288" s="6" t="s">
        <v>68</v>
      </c>
      <c r="I288" s="6" t="s">
        <v>5845</v>
      </c>
      <c r="J288" s="6">
        <v>1794131</v>
      </c>
      <c r="K288" s="7" t="s">
        <v>7887</v>
      </c>
      <c r="L288" s="8">
        <v>24768</v>
      </c>
      <c r="M288" s="8" t="str">
        <f t="shared" ref="M288:M325" si="31">"PEN"</f>
        <v>PEN</v>
      </c>
      <c r="N288" s="13"/>
      <c r="O288" s="13">
        <v>8</v>
      </c>
      <c r="P288" s="3">
        <f t="shared" si="26"/>
        <v>0</v>
      </c>
      <c r="Q288" s="3">
        <f t="shared" si="27"/>
        <v>8</v>
      </c>
      <c r="R288" s="3">
        <f t="shared" si="28"/>
        <v>198.74</v>
      </c>
      <c r="S288" s="24" t="s">
        <v>1334</v>
      </c>
      <c r="T288" s="24" t="s">
        <v>1334</v>
      </c>
      <c r="U288" s="3"/>
      <c r="V288" s="25" t="s">
        <v>7761</v>
      </c>
      <c r="W288" s="25">
        <v>20517252558</v>
      </c>
      <c r="X288" s="25" t="str">
        <f>IFERROR(VLOOKUP(C_Ope_001[[#This Row],[nota_2]],Clientes_Proveedores[[Ruc / Dni]:[Razon Social]],2,0),"")</f>
        <v>COVISUR S.A.</v>
      </c>
      <c r="Y288" s="25" t="s">
        <v>7888</v>
      </c>
      <c r="Z288" s="103"/>
      <c r="AA288" s="3" t="str">
        <f>IF(C_Ope_001[[#This Row],[fecha]]&gt;0,TEXT(C_Ope_001[[#This Row],[fecha]],"mmmm"),0)</f>
        <v>Julio</v>
      </c>
      <c r="AB288" s="159"/>
    </row>
    <row r="289" spans="1:28" x14ac:dyDescent="0.3">
      <c r="A289" s="2">
        <f>IF(C_Ope_001[[#This Row],[tipo_r]]="R",COUNTIFS($C$1:$C288,"R")+1,"")</f>
        <v>288</v>
      </c>
      <c r="B289" s="19" t="str">
        <f t="shared" si="30"/>
        <v>C_Ope_001</v>
      </c>
      <c r="C289" s="3" t="s">
        <v>1330</v>
      </c>
      <c r="D289" s="211">
        <v>45839</v>
      </c>
      <c r="E289" s="5" t="s">
        <v>7753</v>
      </c>
      <c r="F289" s="5" t="s">
        <v>1336</v>
      </c>
      <c r="G289" s="6" t="s">
        <v>978</v>
      </c>
      <c r="H289" s="6" t="s">
        <v>68</v>
      </c>
      <c r="I289" s="6" t="s">
        <v>5688</v>
      </c>
      <c r="J289" s="6">
        <v>2385579</v>
      </c>
      <c r="K289" s="7" t="s">
        <v>7887</v>
      </c>
      <c r="L289" s="8">
        <v>24769</v>
      </c>
      <c r="M289" s="8" t="str">
        <f t="shared" si="31"/>
        <v>PEN</v>
      </c>
      <c r="N289" s="13"/>
      <c r="O289" s="13">
        <v>8</v>
      </c>
      <c r="P289" s="3">
        <f t="shared" si="26"/>
        <v>0</v>
      </c>
      <c r="Q289" s="3">
        <f t="shared" si="27"/>
        <v>8</v>
      </c>
      <c r="R289" s="3">
        <f t="shared" si="28"/>
        <v>190.74</v>
      </c>
      <c r="S289" s="24" t="s">
        <v>1334</v>
      </c>
      <c r="T289" s="24" t="s">
        <v>1334</v>
      </c>
      <c r="U289" s="3"/>
      <c r="V289" s="25" t="s">
        <v>7761</v>
      </c>
      <c r="W289" s="25">
        <v>20517252558</v>
      </c>
      <c r="X289" s="25" t="str">
        <f>IFERROR(VLOOKUP(C_Ope_001[[#This Row],[nota_2]],Clientes_Proveedores[[Ruc / Dni]:[Razon Social]],2,0),"")</f>
        <v>COVISUR S.A.</v>
      </c>
      <c r="Y289" s="25" t="s">
        <v>7888</v>
      </c>
      <c r="Z289" s="103"/>
      <c r="AA289" s="3" t="str">
        <f>IF(C_Ope_001[[#This Row],[fecha]]&gt;0,TEXT(C_Ope_001[[#This Row],[fecha]],"mmmm"),0)</f>
        <v>Julio</v>
      </c>
      <c r="AB289" s="159"/>
    </row>
    <row r="290" spans="1:28" ht="24" x14ac:dyDescent="0.3">
      <c r="A290" s="2">
        <f>IF(C_Ope_001[[#This Row],[tipo_r]]="R",COUNTIFS($C$1:$C289,"R")+1,"")</f>
        <v>289</v>
      </c>
      <c r="B290" s="19" t="str">
        <f t="shared" si="30"/>
        <v>C_Ope_001</v>
      </c>
      <c r="C290" s="3" t="s">
        <v>1330</v>
      </c>
      <c r="D290" s="211">
        <v>45840</v>
      </c>
      <c r="E290" s="5" t="s">
        <v>7753</v>
      </c>
      <c r="F290" s="5" t="s">
        <v>1336</v>
      </c>
      <c r="G290" s="6" t="s">
        <v>978</v>
      </c>
      <c r="H290" s="6" t="s">
        <v>68</v>
      </c>
      <c r="I290" s="6" t="s">
        <v>6204</v>
      </c>
      <c r="J290" s="6">
        <v>1774814</v>
      </c>
      <c r="K290" s="7" t="s">
        <v>7889</v>
      </c>
      <c r="L290" s="8">
        <v>24778</v>
      </c>
      <c r="M290" s="8" t="str">
        <f t="shared" si="31"/>
        <v>PEN</v>
      </c>
      <c r="N290" s="13"/>
      <c r="O290" s="13">
        <v>8</v>
      </c>
      <c r="P290" s="3">
        <f t="shared" si="26"/>
        <v>0</v>
      </c>
      <c r="Q290" s="3">
        <f t="shared" si="27"/>
        <v>8</v>
      </c>
      <c r="R290" s="3">
        <f t="shared" si="28"/>
        <v>182.74</v>
      </c>
      <c r="S290" s="24" t="s">
        <v>1334</v>
      </c>
      <c r="T290" s="24" t="s">
        <v>1334</v>
      </c>
      <c r="U290" s="3"/>
      <c r="V290" s="25" t="s">
        <v>7756</v>
      </c>
      <c r="W290" s="25">
        <v>20517252558</v>
      </c>
      <c r="X290" s="25" t="str">
        <f>IFERROR(VLOOKUP(C_Ope_001[[#This Row],[nota_2]],Clientes_Proveedores[[Ruc / Dni]:[Razon Social]],2,0),"")</f>
        <v>COVISUR S.A.</v>
      </c>
      <c r="Y290" s="25" t="s">
        <v>7888</v>
      </c>
      <c r="Z290" s="103"/>
      <c r="AA290" s="3" t="str">
        <f>IF(C_Ope_001[[#This Row],[fecha]]&gt;0,TEXT(C_Ope_001[[#This Row],[fecha]],"mmmm"),0)</f>
        <v>Julio</v>
      </c>
      <c r="AB290" s="159"/>
    </row>
    <row r="291" spans="1:28" ht="36" x14ac:dyDescent="0.3">
      <c r="A291" s="2">
        <f>IF(C_Ope_001[[#This Row],[tipo_r]]="R",COUNTIFS($C$1:$C290,"R")+1,"")</f>
        <v>290</v>
      </c>
      <c r="B291" s="19" t="str">
        <f t="shared" si="30"/>
        <v>C_Ope_001</v>
      </c>
      <c r="C291" s="3" t="s">
        <v>1330</v>
      </c>
      <c r="D291" s="211">
        <v>45840</v>
      </c>
      <c r="E291" s="5" t="s">
        <v>7753</v>
      </c>
      <c r="F291" s="5" t="s">
        <v>1336</v>
      </c>
      <c r="G291" s="6" t="s">
        <v>682</v>
      </c>
      <c r="H291" s="6" t="s">
        <v>68</v>
      </c>
      <c r="I291" s="6" t="s">
        <v>1353</v>
      </c>
      <c r="J291" s="6">
        <v>16864</v>
      </c>
      <c r="K291" s="7" t="s">
        <v>7890</v>
      </c>
      <c r="L291" s="8">
        <v>24775</v>
      </c>
      <c r="M291" s="8" t="str">
        <f>"PEN"</f>
        <v>PEN</v>
      </c>
      <c r="N291" s="13"/>
      <c r="O291" s="13">
        <v>20</v>
      </c>
      <c r="P291" s="3">
        <f t="shared" si="26"/>
        <v>0</v>
      </c>
      <c r="Q291" s="3">
        <f t="shared" si="27"/>
        <v>20</v>
      </c>
      <c r="R291" s="3">
        <f t="shared" si="28"/>
        <v>162.74</v>
      </c>
      <c r="S291" s="24" t="s">
        <v>1334</v>
      </c>
      <c r="T291" s="24" t="s">
        <v>1334</v>
      </c>
      <c r="U291" s="3"/>
      <c r="V291" s="25" t="s">
        <v>7756</v>
      </c>
      <c r="W291" s="25">
        <v>20259858934</v>
      </c>
      <c r="X291" s="25" t="str">
        <f>IFERROR(VLOOKUP(C_Ope_001[[#This Row],[nota_2]],Clientes_Proveedores[[Ruc / Dni]:[Razon Social]],2,0),"")</f>
        <v>COMERCIALIZACION Y SERVICIOS EL EDEN S.A.C.</v>
      </c>
      <c r="Y291" s="25" t="s">
        <v>5933</v>
      </c>
      <c r="Z291" s="103"/>
      <c r="AA291" s="3" t="str">
        <f>IF(C_Ope_001[[#This Row],[fecha]]&gt;0,TEXT(C_Ope_001[[#This Row],[fecha]],"mmmm"),0)</f>
        <v>Julio</v>
      </c>
      <c r="AB291" s="159"/>
    </row>
    <row r="292" spans="1:28" ht="36" x14ac:dyDescent="0.3">
      <c r="A292" s="2">
        <f>IF(C_Ope_001[[#This Row],[tipo_r]]="R",COUNTIFS($C$1:$C291,"R")+1,"")</f>
        <v>291</v>
      </c>
      <c r="B292" s="19" t="str">
        <f t="shared" si="30"/>
        <v>C_Ope_001</v>
      </c>
      <c r="C292" s="3" t="s">
        <v>1330</v>
      </c>
      <c r="D292" s="211">
        <v>45840</v>
      </c>
      <c r="E292" s="5" t="s">
        <v>7753</v>
      </c>
      <c r="F292" s="5" t="s">
        <v>1336</v>
      </c>
      <c r="G292" s="6" t="s">
        <v>682</v>
      </c>
      <c r="H292" s="6" t="s">
        <v>68</v>
      </c>
      <c r="I292" s="6" t="s">
        <v>1353</v>
      </c>
      <c r="J292" s="6">
        <v>16862</v>
      </c>
      <c r="K292" s="7" t="s">
        <v>7890</v>
      </c>
      <c r="L292" s="8">
        <v>24776</v>
      </c>
      <c r="M292" s="8" t="str">
        <f>"PEN"</f>
        <v>PEN</v>
      </c>
      <c r="N292" s="13"/>
      <c r="O292" s="13">
        <v>20</v>
      </c>
      <c r="P292" s="3">
        <f t="shared" si="26"/>
        <v>0</v>
      </c>
      <c r="Q292" s="3">
        <f t="shared" si="27"/>
        <v>20</v>
      </c>
      <c r="R292" s="3">
        <f t="shared" si="28"/>
        <v>142.74</v>
      </c>
      <c r="S292" s="24" t="s">
        <v>1334</v>
      </c>
      <c r="T292" s="24" t="s">
        <v>1334</v>
      </c>
      <c r="U292" s="3"/>
      <c r="V292" s="25" t="s">
        <v>7756</v>
      </c>
      <c r="W292" s="25">
        <v>20259858934</v>
      </c>
      <c r="X292" s="25" t="str">
        <f>IFERROR(VLOOKUP(C_Ope_001[[#This Row],[nota_2]],Clientes_Proveedores[[Ruc / Dni]:[Razon Social]],2,0),"")</f>
        <v>COMERCIALIZACION Y SERVICIOS EL EDEN S.A.C.</v>
      </c>
      <c r="Y292" s="25" t="s">
        <v>5933</v>
      </c>
      <c r="Z292" s="103"/>
      <c r="AA292" s="3" t="str">
        <f>IF(C_Ope_001[[#This Row],[fecha]]&gt;0,TEXT(C_Ope_001[[#This Row],[fecha]],"mmmm"),0)</f>
        <v>Julio</v>
      </c>
      <c r="AB292" s="159"/>
    </row>
    <row r="293" spans="1:28" x14ac:dyDescent="0.3">
      <c r="A293" s="2">
        <f>IF(C_Ope_001[[#This Row],[tipo_r]]="R",COUNTIFS($C$1:$C292,"R")+1,"")</f>
        <v>292</v>
      </c>
      <c r="B293" s="19" t="str">
        <f t="shared" si="30"/>
        <v>C_Ope_001</v>
      </c>
      <c r="C293" s="3" t="s">
        <v>1330</v>
      </c>
      <c r="D293" s="211">
        <v>45840</v>
      </c>
      <c r="E293" s="5" t="s">
        <v>7753</v>
      </c>
      <c r="F293" s="5" t="s">
        <v>1336</v>
      </c>
      <c r="G293" s="6" t="s">
        <v>1009</v>
      </c>
      <c r="H293" s="6" t="s">
        <v>126</v>
      </c>
      <c r="I293" s="6"/>
      <c r="J293" s="6">
        <v>24777</v>
      </c>
      <c r="K293" s="7" t="s">
        <v>7891</v>
      </c>
      <c r="L293" s="8">
        <v>24777</v>
      </c>
      <c r="M293" s="8" t="str">
        <f>"PEN"</f>
        <v>PEN</v>
      </c>
      <c r="N293" s="13"/>
      <c r="O293" s="13">
        <v>10</v>
      </c>
      <c r="P293" s="3">
        <f t="shared" si="26"/>
        <v>0</v>
      </c>
      <c r="Q293" s="3">
        <f t="shared" si="27"/>
        <v>10</v>
      </c>
      <c r="R293" s="3">
        <f t="shared" si="28"/>
        <v>132.74</v>
      </c>
      <c r="S293" s="24" t="s">
        <v>1334</v>
      </c>
      <c r="T293" s="24" t="s">
        <v>1334</v>
      </c>
      <c r="U293" s="3"/>
      <c r="V293" s="25" t="s">
        <v>7756</v>
      </c>
      <c r="W293" s="25"/>
      <c r="X293" s="25" t="str">
        <f>IFERROR(VLOOKUP(C_Ope_001[[#This Row],[nota_2]],Clientes_Proveedores[[Ruc / Dni]:[Razon Social]],2,0),"")</f>
        <v/>
      </c>
      <c r="Y293" s="25" t="s">
        <v>5933</v>
      </c>
      <c r="Z293" s="103"/>
      <c r="AA293" s="3" t="str">
        <f>IF(C_Ope_001[[#This Row],[fecha]]&gt;0,TEXT(C_Ope_001[[#This Row],[fecha]],"mmmm"),0)</f>
        <v>Julio</v>
      </c>
      <c r="AB293" s="159"/>
    </row>
    <row r="294" spans="1:28" ht="24" x14ac:dyDescent="0.3">
      <c r="A294" s="2">
        <f>IF(C_Ope_001[[#This Row],[tipo_r]]="R",COUNTIFS($C$1:$C293,"R")+1,"")</f>
        <v>293</v>
      </c>
      <c r="B294" s="19" t="str">
        <f t="shared" si="30"/>
        <v>C_Ope_001</v>
      </c>
      <c r="C294" s="3" t="s">
        <v>1330</v>
      </c>
      <c r="D294" s="211">
        <v>45842</v>
      </c>
      <c r="E294" s="5" t="s">
        <v>3634</v>
      </c>
      <c r="F294" s="5" t="s">
        <v>1303</v>
      </c>
      <c r="G294" s="6" t="s">
        <v>812</v>
      </c>
      <c r="H294" s="6"/>
      <c r="I294" s="6"/>
      <c r="J294" s="6"/>
      <c r="K294" s="7" t="s">
        <v>7516</v>
      </c>
      <c r="L294" s="8">
        <v>24827</v>
      </c>
      <c r="M294" s="8" t="str">
        <f>"PEN"</f>
        <v>PEN</v>
      </c>
      <c r="N294" s="13"/>
      <c r="O294" s="13">
        <v>500</v>
      </c>
      <c r="P294" s="3">
        <f t="shared" si="26"/>
        <v>500</v>
      </c>
      <c r="Q294" s="3">
        <f t="shared" si="27"/>
        <v>0</v>
      </c>
      <c r="R294" s="3">
        <f t="shared" si="28"/>
        <v>632.74</v>
      </c>
      <c r="S294" s="24" t="s">
        <v>1334</v>
      </c>
      <c r="T294" s="24" t="s">
        <v>1334</v>
      </c>
      <c r="U294" s="3"/>
      <c r="V294" s="25"/>
      <c r="W294" s="25"/>
      <c r="X294" s="25" t="str">
        <f>IFERROR(VLOOKUP(C_Ope_001[[#This Row],[nota_2]],Clientes_Proveedores[[Ruc / Dni]:[Razon Social]],2,0),"")</f>
        <v/>
      </c>
      <c r="Y294" s="25"/>
      <c r="Z294" s="103"/>
      <c r="AA294" s="3" t="str">
        <f>IF(C_Ope_001[[#This Row],[fecha]]&gt;0,TEXT(C_Ope_001[[#This Row],[fecha]],"mmmm"),0)</f>
        <v>Julio</v>
      </c>
      <c r="AB294" s="159"/>
    </row>
    <row r="295" spans="1:28" x14ac:dyDescent="0.3">
      <c r="A295" s="2">
        <f>IF(C_Ope_001[[#This Row],[tipo_r]]="R",COUNTIFS($C$1:$C294,"R")+1,"")</f>
        <v>294</v>
      </c>
      <c r="B295" s="19" t="str">
        <f t="shared" ref="B295:B325" si="32">"C_Ope_001"</f>
        <v>C_Ope_001</v>
      </c>
      <c r="C295" s="3" t="s">
        <v>1330</v>
      </c>
      <c r="D295" s="211">
        <v>45842</v>
      </c>
      <c r="E295" s="5" t="s">
        <v>7753</v>
      </c>
      <c r="F295" s="5" t="s">
        <v>1336</v>
      </c>
      <c r="G295" s="6" t="s">
        <v>978</v>
      </c>
      <c r="H295" s="6" t="s">
        <v>68</v>
      </c>
      <c r="I295" s="6" t="s">
        <v>6203</v>
      </c>
      <c r="J295" s="6">
        <v>2102684</v>
      </c>
      <c r="K295" s="7" t="s">
        <v>7892</v>
      </c>
      <c r="L295" s="8">
        <v>24792</v>
      </c>
      <c r="M295" s="8" t="str">
        <f t="shared" si="31"/>
        <v>PEN</v>
      </c>
      <c r="N295" s="13"/>
      <c r="O295" s="13">
        <v>8</v>
      </c>
      <c r="P295" s="3">
        <f t="shared" si="26"/>
        <v>0</v>
      </c>
      <c r="Q295" s="3">
        <f t="shared" si="27"/>
        <v>8</v>
      </c>
      <c r="R295" s="3">
        <f t="shared" si="28"/>
        <v>624.74</v>
      </c>
      <c r="S295" s="24" t="s">
        <v>1334</v>
      </c>
      <c r="T295" s="24" t="s">
        <v>1334</v>
      </c>
      <c r="U295" s="3"/>
      <c r="V295" s="25" t="s">
        <v>7756</v>
      </c>
      <c r="W295" s="25">
        <v>20517252558</v>
      </c>
      <c r="X295" s="25" t="str">
        <f>IFERROR(VLOOKUP(C_Ope_001[[#This Row],[nota_2]],Clientes_Proveedores[[Ruc / Dni]:[Razon Social]],2,0),"")</f>
        <v>COVISUR S.A.</v>
      </c>
      <c r="Y295" s="25" t="s">
        <v>7888</v>
      </c>
      <c r="Z295" s="103"/>
      <c r="AA295" s="3" t="str">
        <f>IF(C_Ope_001[[#This Row],[fecha]]&gt;0,TEXT(C_Ope_001[[#This Row],[fecha]],"mmmm"),0)</f>
        <v>Julio</v>
      </c>
      <c r="AB295" s="159"/>
    </row>
    <row r="296" spans="1:28" x14ac:dyDescent="0.3">
      <c r="A296" s="2">
        <f>IF(C_Ope_001[[#This Row],[tipo_r]]="R",COUNTIFS($C$1:$C295,"R")+1,"")</f>
        <v>295</v>
      </c>
      <c r="B296" s="19" t="str">
        <f t="shared" si="32"/>
        <v>C_Ope_001</v>
      </c>
      <c r="C296" s="3" t="s">
        <v>1330</v>
      </c>
      <c r="D296" s="211">
        <v>45842</v>
      </c>
      <c r="E296" s="5" t="s">
        <v>7753</v>
      </c>
      <c r="F296" s="5" t="s">
        <v>1336</v>
      </c>
      <c r="G296" s="6" t="s">
        <v>978</v>
      </c>
      <c r="H296" s="6" t="s">
        <v>68</v>
      </c>
      <c r="I296" s="6" t="s">
        <v>6204</v>
      </c>
      <c r="J296" s="6">
        <v>1776469</v>
      </c>
      <c r="K296" s="7" t="s">
        <v>7892</v>
      </c>
      <c r="L296" s="8">
        <v>24793</v>
      </c>
      <c r="M296" s="8" t="str">
        <f t="shared" si="31"/>
        <v>PEN</v>
      </c>
      <c r="N296" s="13"/>
      <c r="O296" s="13">
        <v>8</v>
      </c>
      <c r="P296" s="3">
        <f t="shared" si="26"/>
        <v>0</v>
      </c>
      <c r="Q296" s="3">
        <f t="shared" si="27"/>
        <v>8</v>
      </c>
      <c r="R296" s="3">
        <f t="shared" si="28"/>
        <v>616.74</v>
      </c>
      <c r="S296" s="24" t="s">
        <v>1334</v>
      </c>
      <c r="T296" s="24" t="s">
        <v>1334</v>
      </c>
      <c r="U296" s="3"/>
      <c r="V296" s="25" t="s">
        <v>7756</v>
      </c>
      <c r="W296" s="25">
        <v>20517252558</v>
      </c>
      <c r="X296" s="25" t="str">
        <f>IFERROR(VLOOKUP(C_Ope_001[[#This Row],[nota_2]],Clientes_Proveedores[[Ruc / Dni]:[Razon Social]],2,0),"")</f>
        <v>COVISUR S.A.</v>
      </c>
      <c r="Y296" s="25" t="s">
        <v>7888</v>
      </c>
      <c r="Z296" s="103"/>
      <c r="AA296" s="3" t="str">
        <f>IF(C_Ope_001[[#This Row],[fecha]]&gt;0,TEXT(C_Ope_001[[#This Row],[fecha]],"mmmm"),0)</f>
        <v>Julio</v>
      </c>
      <c r="AB296" s="159"/>
    </row>
    <row r="297" spans="1:28" ht="36" x14ac:dyDescent="0.3">
      <c r="A297" s="2">
        <f>IF(C_Ope_001[[#This Row],[tipo_r]]="R",COUNTIFS($C$1:$C296,"R")+1,"")</f>
        <v>296</v>
      </c>
      <c r="B297" s="19" t="str">
        <f t="shared" ref="B297:B302" si="33">"C_Ope_001"</f>
        <v>C_Ope_001</v>
      </c>
      <c r="C297" s="3" t="s">
        <v>1330</v>
      </c>
      <c r="D297" s="211">
        <v>45842</v>
      </c>
      <c r="E297" s="5" t="s">
        <v>7753</v>
      </c>
      <c r="F297" s="5" t="s">
        <v>1336</v>
      </c>
      <c r="G297" s="6" t="s">
        <v>227</v>
      </c>
      <c r="H297" s="6" t="s">
        <v>68</v>
      </c>
      <c r="I297" s="6" t="s">
        <v>1390</v>
      </c>
      <c r="J297" s="6">
        <v>133767</v>
      </c>
      <c r="K297" s="7" t="s">
        <v>7891</v>
      </c>
      <c r="L297" s="8">
        <v>24794</v>
      </c>
      <c r="M297" s="8" t="str">
        <f t="shared" ref="M297:M302" si="34">"PEN"</f>
        <v>PEN</v>
      </c>
      <c r="N297" s="13"/>
      <c r="O297" s="13">
        <v>10</v>
      </c>
      <c r="P297" s="3">
        <f t="shared" si="26"/>
        <v>0</v>
      </c>
      <c r="Q297" s="3">
        <f t="shared" si="27"/>
        <v>10</v>
      </c>
      <c r="R297" s="3">
        <f t="shared" si="28"/>
        <v>606.74</v>
      </c>
      <c r="S297" s="24" t="s">
        <v>1334</v>
      </c>
      <c r="T297" s="24" t="s">
        <v>1334</v>
      </c>
      <c r="U297" s="3"/>
      <c r="V297" s="25" t="s">
        <v>7756</v>
      </c>
      <c r="W297" s="25">
        <v>20124952850</v>
      </c>
      <c r="X297" s="25" t="str">
        <f>IFERROR(VLOOKUP(C_Ope_001[[#This Row],[nota_2]],Clientes_Proveedores[[Ruc / Dni]:[Razon Social]],2,0),"")</f>
        <v>ALIMENTOS Y SERVICIOS AGROPECUARIOS SRL.</v>
      </c>
      <c r="Y297" s="25" t="s">
        <v>5933</v>
      </c>
      <c r="Z297" s="103"/>
      <c r="AA297" s="3" t="str">
        <f>IF(C_Ope_001[[#This Row],[fecha]]&gt;0,TEXT(C_Ope_001[[#This Row],[fecha]],"mmmm"),0)</f>
        <v>Julio</v>
      </c>
      <c r="AB297" s="159"/>
    </row>
    <row r="298" spans="1:28" ht="24" x14ac:dyDescent="0.3">
      <c r="A298" s="2">
        <f>IF(C_Ope_001[[#This Row],[tipo_r]]="R",COUNTIFS($C$1:$C297,"R")+1,"")</f>
        <v>297</v>
      </c>
      <c r="B298" s="19" t="str">
        <f t="shared" si="33"/>
        <v>C_Ope_001</v>
      </c>
      <c r="C298" s="3" t="s">
        <v>1330</v>
      </c>
      <c r="D298" s="211">
        <v>45842</v>
      </c>
      <c r="E298" s="5" t="s">
        <v>7753</v>
      </c>
      <c r="F298" s="5" t="s">
        <v>1336</v>
      </c>
      <c r="G298" s="6" t="s">
        <v>1007</v>
      </c>
      <c r="H298" s="6" t="s">
        <v>68</v>
      </c>
      <c r="I298" s="6" t="s">
        <v>1374</v>
      </c>
      <c r="J298" s="6">
        <v>16006</v>
      </c>
      <c r="K298" s="7" t="s">
        <v>7893</v>
      </c>
      <c r="L298" s="8">
        <v>24795</v>
      </c>
      <c r="M298" s="8" t="str">
        <f t="shared" si="34"/>
        <v>PEN</v>
      </c>
      <c r="N298" s="13"/>
      <c r="O298" s="13">
        <v>35</v>
      </c>
      <c r="P298" s="3">
        <f t="shared" si="26"/>
        <v>0</v>
      </c>
      <c r="Q298" s="3">
        <f t="shared" si="27"/>
        <v>35</v>
      </c>
      <c r="R298" s="3">
        <f t="shared" si="28"/>
        <v>571.74</v>
      </c>
      <c r="S298" s="24" t="s">
        <v>1334</v>
      </c>
      <c r="T298" s="24" t="s">
        <v>1334</v>
      </c>
      <c r="U298" s="3"/>
      <c r="V298" s="25" t="s">
        <v>7756</v>
      </c>
      <c r="W298" s="25">
        <v>10251876211</v>
      </c>
      <c r="X298" s="25" t="str">
        <f>IFERROR(VLOOKUP(C_Ope_001[[#This Row],[nota_2]],Clientes_Proveedores[[Ruc / Dni]:[Razon Social]],2,0),"")</f>
        <v>MELENDEZ CHALLCO ALBERTO</v>
      </c>
      <c r="Y298" s="25" t="s">
        <v>7894</v>
      </c>
      <c r="Z298" s="103"/>
      <c r="AA298" s="3" t="str">
        <f>IF(C_Ope_001[[#This Row],[fecha]]&gt;0,TEXT(C_Ope_001[[#This Row],[fecha]],"mmmm"),0)</f>
        <v>Julio</v>
      </c>
      <c r="AB298" s="159"/>
    </row>
    <row r="299" spans="1:28" ht="24" x14ac:dyDescent="0.3">
      <c r="A299" s="2">
        <f>IF(C_Ope_001[[#This Row],[tipo_r]]="R",COUNTIFS($C$1:$C298,"R")+1,"")</f>
        <v>298</v>
      </c>
      <c r="B299" s="19" t="str">
        <f t="shared" si="33"/>
        <v>C_Ope_001</v>
      </c>
      <c r="C299" s="3" t="s">
        <v>1330</v>
      </c>
      <c r="D299" s="211">
        <v>45845</v>
      </c>
      <c r="E299" s="5" t="s">
        <v>7753</v>
      </c>
      <c r="F299" s="5" t="s">
        <v>1336</v>
      </c>
      <c r="G299" s="6" t="s">
        <v>1009</v>
      </c>
      <c r="H299" s="6" t="s">
        <v>126</v>
      </c>
      <c r="I299" s="6"/>
      <c r="J299" s="6">
        <v>24808</v>
      </c>
      <c r="K299" s="7" t="s">
        <v>7895</v>
      </c>
      <c r="L299" s="8">
        <v>24808</v>
      </c>
      <c r="M299" s="8" t="str">
        <f t="shared" si="34"/>
        <v>PEN</v>
      </c>
      <c r="N299" s="13"/>
      <c r="O299" s="13">
        <v>24</v>
      </c>
      <c r="P299" s="3">
        <f t="shared" si="26"/>
        <v>0</v>
      </c>
      <c r="Q299" s="3">
        <f t="shared" si="27"/>
        <v>24</v>
      </c>
      <c r="R299" s="3">
        <f t="shared" si="28"/>
        <v>547.74</v>
      </c>
      <c r="S299" s="24" t="s">
        <v>1334</v>
      </c>
      <c r="T299" s="24" t="s">
        <v>1334</v>
      </c>
      <c r="U299" s="3"/>
      <c r="V299" s="25"/>
      <c r="W299" s="25"/>
      <c r="X299" s="25" t="str">
        <f>IFERROR(VLOOKUP(C_Ope_001[[#This Row],[nota_2]],Clientes_Proveedores[[Ruc / Dni]:[Razon Social]],2,0),"")</f>
        <v/>
      </c>
      <c r="Y299" s="25" t="s">
        <v>7896</v>
      </c>
      <c r="Z299" s="103"/>
      <c r="AA299" s="3" t="str">
        <f>IF(C_Ope_001[[#This Row],[fecha]]&gt;0,TEXT(C_Ope_001[[#This Row],[fecha]],"mmmm"),0)</f>
        <v>Julio</v>
      </c>
      <c r="AB299" s="159"/>
    </row>
    <row r="300" spans="1:28" x14ac:dyDescent="0.3">
      <c r="A300" s="2">
        <f>IF(C_Ope_001[[#This Row],[tipo_r]]="R",COUNTIFS($C$1:$C299,"R")+1,"")</f>
        <v>299</v>
      </c>
      <c r="B300" s="19" t="str">
        <f t="shared" si="33"/>
        <v>C_Ope_001</v>
      </c>
      <c r="C300" s="3" t="s">
        <v>1330</v>
      </c>
      <c r="D300" s="211">
        <v>45845</v>
      </c>
      <c r="E300" s="5" t="s">
        <v>7753</v>
      </c>
      <c r="F300" s="5" t="s">
        <v>1336</v>
      </c>
      <c r="G300" s="6" t="s">
        <v>1009</v>
      </c>
      <c r="H300" s="6" t="s">
        <v>126</v>
      </c>
      <c r="I300" s="6"/>
      <c r="J300" s="6">
        <v>24809</v>
      </c>
      <c r="K300" s="7" t="s">
        <v>7897</v>
      </c>
      <c r="L300" s="8">
        <v>24809</v>
      </c>
      <c r="M300" s="8" t="str">
        <f t="shared" si="34"/>
        <v>PEN</v>
      </c>
      <c r="N300" s="13"/>
      <c r="O300" s="13">
        <v>10</v>
      </c>
      <c r="P300" s="3">
        <f t="shared" si="26"/>
        <v>0</v>
      </c>
      <c r="Q300" s="3">
        <f t="shared" si="27"/>
        <v>10</v>
      </c>
      <c r="R300" s="3">
        <f t="shared" si="28"/>
        <v>537.74</v>
      </c>
      <c r="S300" s="24" t="s">
        <v>1334</v>
      </c>
      <c r="T300" s="24" t="s">
        <v>1334</v>
      </c>
      <c r="U300" s="3"/>
      <c r="V300" s="25"/>
      <c r="W300" s="25"/>
      <c r="X300" s="25" t="str">
        <f>IFERROR(VLOOKUP(C_Ope_001[[#This Row],[nota_2]],Clientes_Proveedores[[Ruc / Dni]:[Razon Social]],2,0),"")</f>
        <v/>
      </c>
      <c r="Y300" s="25" t="s">
        <v>7898</v>
      </c>
      <c r="Z300" s="103"/>
      <c r="AA300" s="3" t="str">
        <f>IF(C_Ope_001[[#This Row],[fecha]]&gt;0,TEXT(C_Ope_001[[#This Row],[fecha]],"mmmm"),0)</f>
        <v>Julio</v>
      </c>
      <c r="AB300" s="159"/>
    </row>
    <row r="301" spans="1:28" ht="36" x14ac:dyDescent="0.3">
      <c r="A301" s="2">
        <f>IF(C_Ope_001[[#This Row],[tipo_r]]="R",COUNTIFS($C$1:$C300,"R")+1,"")</f>
        <v>300</v>
      </c>
      <c r="B301" s="19" t="str">
        <f t="shared" si="33"/>
        <v>C_Ope_001</v>
      </c>
      <c r="C301" s="3" t="s">
        <v>1330</v>
      </c>
      <c r="D301" s="211">
        <v>45845</v>
      </c>
      <c r="E301" s="5" t="s">
        <v>7753</v>
      </c>
      <c r="F301" s="5" t="s">
        <v>1336</v>
      </c>
      <c r="G301" s="6" t="s">
        <v>227</v>
      </c>
      <c r="H301" s="6" t="s">
        <v>68</v>
      </c>
      <c r="I301" s="6" t="s">
        <v>1390</v>
      </c>
      <c r="J301" s="6">
        <v>133882</v>
      </c>
      <c r="K301" s="7" t="s">
        <v>7891</v>
      </c>
      <c r="L301" s="8">
        <v>24800</v>
      </c>
      <c r="M301" s="8" t="str">
        <f t="shared" si="34"/>
        <v>PEN</v>
      </c>
      <c r="N301" s="13"/>
      <c r="O301" s="13">
        <v>10</v>
      </c>
      <c r="P301" s="3">
        <f t="shared" si="26"/>
        <v>0</v>
      </c>
      <c r="Q301" s="3">
        <f t="shared" si="27"/>
        <v>10</v>
      </c>
      <c r="R301" s="3">
        <f t="shared" si="28"/>
        <v>527.74</v>
      </c>
      <c r="S301" s="24" t="s">
        <v>1334</v>
      </c>
      <c r="T301" s="24" t="s">
        <v>1334</v>
      </c>
      <c r="U301" s="3"/>
      <c r="V301" s="25" t="s">
        <v>7756</v>
      </c>
      <c r="W301" s="25">
        <v>20124952850</v>
      </c>
      <c r="X301" s="25" t="str">
        <f>IFERROR(VLOOKUP(C_Ope_001[[#This Row],[nota_2]],Clientes_Proveedores[[Ruc / Dni]:[Razon Social]],2,0),"")</f>
        <v>ALIMENTOS Y SERVICIOS AGROPECUARIOS SRL.</v>
      </c>
      <c r="Y301" s="25" t="s">
        <v>5933</v>
      </c>
      <c r="Z301" s="103"/>
      <c r="AA301" s="3" t="str">
        <f>IF(C_Ope_001[[#This Row],[fecha]]&gt;0,TEXT(C_Ope_001[[#This Row],[fecha]],"mmmm"),0)</f>
        <v>Julio</v>
      </c>
      <c r="AB301" s="159"/>
    </row>
    <row r="302" spans="1:28" ht="36" x14ac:dyDescent="0.3">
      <c r="A302" s="2">
        <f>IF(C_Ope_001[[#This Row],[tipo_r]]="R",COUNTIFS($C$1:$C301,"R")+1,"")</f>
        <v>301</v>
      </c>
      <c r="B302" s="19" t="str">
        <f t="shared" si="33"/>
        <v>C_Ope_001</v>
      </c>
      <c r="C302" s="3" t="s">
        <v>1330</v>
      </c>
      <c r="D302" s="211">
        <v>45845</v>
      </c>
      <c r="E302" s="5" t="s">
        <v>7753</v>
      </c>
      <c r="F302" s="5" t="s">
        <v>1336</v>
      </c>
      <c r="G302" s="6" t="s">
        <v>682</v>
      </c>
      <c r="H302" s="6" t="s">
        <v>68</v>
      </c>
      <c r="I302" s="6" t="s">
        <v>1353</v>
      </c>
      <c r="J302" s="6">
        <v>16910</v>
      </c>
      <c r="K302" s="7" t="s">
        <v>7899</v>
      </c>
      <c r="L302" s="8">
        <v>24813</v>
      </c>
      <c r="M302" s="8" t="str">
        <f t="shared" si="34"/>
        <v>PEN</v>
      </c>
      <c r="N302" s="13"/>
      <c r="O302" s="13">
        <v>20</v>
      </c>
      <c r="P302" s="3">
        <f t="shared" si="26"/>
        <v>0</v>
      </c>
      <c r="Q302" s="3">
        <f t="shared" si="27"/>
        <v>20</v>
      </c>
      <c r="R302" s="3">
        <f t="shared" si="28"/>
        <v>507.74</v>
      </c>
      <c r="S302" s="24" t="s">
        <v>1334</v>
      </c>
      <c r="T302" s="24" t="s">
        <v>1334</v>
      </c>
      <c r="U302" s="3"/>
      <c r="V302" s="25" t="s">
        <v>7756</v>
      </c>
      <c r="W302" s="25">
        <v>20259858934</v>
      </c>
      <c r="X302" s="25" t="str">
        <f>IFERROR(VLOOKUP(C_Ope_001[[#This Row],[nota_2]],Clientes_Proveedores[[Ruc / Dni]:[Razon Social]],2,0),"")</f>
        <v>COMERCIALIZACION Y SERVICIOS EL EDEN S.A.C.</v>
      </c>
      <c r="Y302" s="25" t="s">
        <v>5933</v>
      </c>
      <c r="Z302" s="103"/>
      <c r="AA302" s="3" t="str">
        <f>IF(C_Ope_001[[#This Row],[fecha]]&gt;0,TEXT(C_Ope_001[[#This Row],[fecha]],"mmmm"),0)</f>
        <v>Julio</v>
      </c>
      <c r="AB302" s="159"/>
    </row>
    <row r="303" spans="1:28" ht="36" x14ac:dyDescent="0.3">
      <c r="A303" s="2">
        <f>IF(C_Ope_001[[#This Row],[tipo_r]]="R",COUNTIFS($C$1:$C302,"R")+1,"")</f>
        <v>302</v>
      </c>
      <c r="B303" s="19" t="str">
        <f t="shared" si="32"/>
        <v>C_Ope_001</v>
      </c>
      <c r="C303" s="3" t="s">
        <v>1330</v>
      </c>
      <c r="D303" s="211">
        <v>45845</v>
      </c>
      <c r="E303" s="5" t="s">
        <v>7753</v>
      </c>
      <c r="F303" s="5" t="s">
        <v>1336</v>
      </c>
      <c r="G303" s="6" t="s">
        <v>1006</v>
      </c>
      <c r="H303" s="6" t="s">
        <v>68</v>
      </c>
      <c r="I303" s="6" t="s">
        <v>1397</v>
      </c>
      <c r="J303" s="6">
        <v>921711</v>
      </c>
      <c r="K303" s="7" t="s">
        <v>7900</v>
      </c>
      <c r="L303" s="8">
        <v>24810</v>
      </c>
      <c r="M303" s="8" t="str">
        <f t="shared" si="31"/>
        <v>PEN</v>
      </c>
      <c r="N303" s="13"/>
      <c r="O303" s="13">
        <v>15.7</v>
      </c>
      <c r="P303" s="3">
        <f t="shared" si="26"/>
        <v>0</v>
      </c>
      <c r="Q303" s="3">
        <f t="shared" si="27"/>
        <v>15.7</v>
      </c>
      <c r="R303" s="3">
        <f t="shared" si="28"/>
        <v>492.04</v>
      </c>
      <c r="S303" s="24" t="s">
        <v>1334</v>
      </c>
      <c r="T303" s="24" t="s">
        <v>1334</v>
      </c>
      <c r="U303" s="3"/>
      <c r="V303" s="25" t="s">
        <v>7756</v>
      </c>
      <c r="W303" s="25">
        <v>20550033519</v>
      </c>
      <c r="X303" s="25" t="str">
        <f>IFERROR(VLOOKUP(C_Ope_001[[#This Row],[nota_2]],Clientes_Proveedores[[Ruc / Dni]:[Razon Social]],2,0),"")</f>
        <v>CONCESIONARIA PERUANA DE VIAS-COVINCA S.A.</v>
      </c>
      <c r="Y303" s="25" t="s">
        <v>7888</v>
      </c>
      <c r="Z303" s="103"/>
      <c r="AA303" s="3" t="str">
        <f>IF(C_Ope_001[[#This Row],[fecha]]&gt;0,TEXT(C_Ope_001[[#This Row],[fecha]],"mmmm"),0)</f>
        <v>Julio</v>
      </c>
      <c r="AB303" s="159"/>
    </row>
    <row r="304" spans="1:28" ht="36" x14ac:dyDescent="0.3">
      <c r="A304" s="2">
        <f>IF(C_Ope_001[[#This Row],[tipo_r]]="R",COUNTIFS($C$1:$C303,"R")+1,"")</f>
        <v>303</v>
      </c>
      <c r="B304" s="19" t="str">
        <f t="shared" si="32"/>
        <v>C_Ope_001</v>
      </c>
      <c r="C304" s="3" t="s">
        <v>1330</v>
      </c>
      <c r="D304" s="211">
        <v>45845</v>
      </c>
      <c r="E304" s="5" t="s">
        <v>7753</v>
      </c>
      <c r="F304" s="5" t="s">
        <v>1336</v>
      </c>
      <c r="G304" s="6" t="s">
        <v>1006</v>
      </c>
      <c r="H304" s="6" t="s">
        <v>68</v>
      </c>
      <c r="I304" s="6" t="s">
        <v>7901</v>
      </c>
      <c r="J304" s="6">
        <v>772485</v>
      </c>
      <c r="K304" s="7" t="s">
        <v>7902</v>
      </c>
      <c r="L304" s="8">
        <v>24811</v>
      </c>
      <c r="M304" s="8" t="str">
        <f t="shared" si="31"/>
        <v>PEN</v>
      </c>
      <c r="N304" s="13"/>
      <c r="O304" s="13">
        <v>15.7</v>
      </c>
      <c r="P304" s="3">
        <f t="shared" si="26"/>
        <v>0</v>
      </c>
      <c r="Q304" s="3">
        <f t="shared" si="27"/>
        <v>15.7</v>
      </c>
      <c r="R304" s="3">
        <f t="shared" si="28"/>
        <v>476.34000000000003</v>
      </c>
      <c r="S304" s="24" t="s">
        <v>1334</v>
      </c>
      <c r="T304" s="24" t="s">
        <v>1334</v>
      </c>
      <c r="U304" s="3"/>
      <c r="V304" s="25" t="s">
        <v>7756</v>
      </c>
      <c r="W304" s="25">
        <v>20550033519</v>
      </c>
      <c r="X304" s="25" t="str">
        <f>IFERROR(VLOOKUP(C_Ope_001[[#This Row],[nota_2]],Clientes_Proveedores[[Ruc / Dni]:[Razon Social]],2,0),"")</f>
        <v>CONCESIONARIA PERUANA DE VIAS-COVINCA S.A.</v>
      </c>
      <c r="Y304" s="25" t="s">
        <v>7888</v>
      </c>
      <c r="Z304" s="103"/>
      <c r="AA304" s="3" t="str">
        <f>IF(C_Ope_001[[#This Row],[fecha]]&gt;0,TEXT(C_Ope_001[[#This Row],[fecha]],"mmmm"),0)</f>
        <v>Julio</v>
      </c>
      <c r="AB304" s="159"/>
    </row>
    <row r="305" spans="1:28" ht="36" x14ac:dyDescent="0.3">
      <c r="A305" s="2">
        <f>IF(C_Ope_001[[#This Row],[tipo_r]]="R",COUNTIFS($C$1:$C304,"R")+1,"")</f>
        <v>304</v>
      </c>
      <c r="B305" s="19" t="str">
        <f t="shared" si="32"/>
        <v>C_Ope_001</v>
      </c>
      <c r="C305" s="3" t="s">
        <v>1330</v>
      </c>
      <c r="D305" s="211">
        <v>45845</v>
      </c>
      <c r="E305" s="5" t="s">
        <v>7753</v>
      </c>
      <c r="F305" s="5" t="s">
        <v>1336</v>
      </c>
      <c r="G305" s="6" t="s">
        <v>1006</v>
      </c>
      <c r="H305" s="6" t="s">
        <v>68</v>
      </c>
      <c r="I305" s="6" t="s">
        <v>6378</v>
      </c>
      <c r="J305" s="6">
        <v>725336</v>
      </c>
      <c r="K305" s="7" t="s">
        <v>7903</v>
      </c>
      <c r="L305" s="8">
        <v>24812</v>
      </c>
      <c r="M305" s="8" t="str">
        <f t="shared" si="31"/>
        <v>PEN</v>
      </c>
      <c r="N305" s="13"/>
      <c r="O305" s="13">
        <v>15.7</v>
      </c>
      <c r="P305" s="3">
        <f t="shared" si="26"/>
        <v>0</v>
      </c>
      <c r="Q305" s="3">
        <f t="shared" si="27"/>
        <v>15.7</v>
      </c>
      <c r="R305" s="3">
        <f t="shared" si="28"/>
        <v>460.64000000000004</v>
      </c>
      <c r="S305" s="24" t="s">
        <v>1334</v>
      </c>
      <c r="T305" s="24" t="s">
        <v>1334</v>
      </c>
      <c r="U305" s="3"/>
      <c r="V305" s="25" t="s">
        <v>7756</v>
      </c>
      <c r="W305" s="25">
        <v>20550033519</v>
      </c>
      <c r="X305" s="25" t="str">
        <f>IFERROR(VLOOKUP(C_Ope_001[[#This Row],[nota_2]],Clientes_Proveedores[[Ruc / Dni]:[Razon Social]],2,0),"")</f>
        <v>CONCESIONARIA PERUANA DE VIAS-COVINCA S.A.</v>
      </c>
      <c r="Y305" s="25" t="s">
        <v>7888</v>
      </c>
      <c r="Z305" s="103"/>
      <c r="AA305" s="3" t="str">
        <f>IF(C_Ope_001[[#This Row],[fecha]]&gt;0,TEXT(C_Ope_001[[#This Row],[fecha]],"mmmm"),0)</f>
        <v>Julio</v>
      </c>
      <c r="AB305" s="159"/>
    </row>
    <row r="306" spans="1:28" x14ac:dyDescent="0.3">
      <c r="A306" s="2">
        <f>IF(C_Ope_001[[#This Row],[tipo_r]]="R",COUNTIFS($C$1:$C305,"R")+1,"")</f>
        <v>305</v>
      </c>
      <c r="B306" s="19" t="str">
        <f t="shared" si="32"/>
        <v>C_Ope_001</v>
      </c>
      <c r="C306" s="3" t="s">
        <v>1330</v>
      </c>
      <c r="D306" s="211">
        <v>45846</v>
      </c>
      <c r="E306" s="5" t="s">
        <v>7753</v>
      </c>
      <c r="F306" s="5" t="s">
        <v>1336</v>
      </c>
      <c r="G306" s="6" t="s">
        <v>978</v>
      </c>
      <c r="H306" s="6" t="s">
        <v>68</v>
      </c>
      <c r="I306" s="6" t="s">
        <v>6203</v>
      </c>
      <c r="J306" s="6">
        <v>2105740</v>
      </c>
      <c r="K306" s="7" t="s">
        <v>7904</v>
      </c>
      <c r="L306" s="8">
        <v>24821</v>
      </c>
      <c r="M306" s="8" t="str">
        <f t="shared" si="31"/>
        <v>PEN</v>
      </c>
      <c r="N306" s="13"/>
      <c r="O306" s="13">
        <v>8</v>
      </c>
      <c r="P306" s="3">
        <f t="shared" si="26"/>
        <v>0</v>
      </c>
      <c r="Q306" s="3">
        <f t="shared" si="27"/>
        <v>8</v>
      </c>
      <c r="R306" s="3">
        <f t="shared" si="28"/>
        <v>452.64000000000004</v>
      </c>
      <c r="S306" s="24" t="s">
        <v>1334</v>
      </c>
      <c r="T306" s="24" t="s">
        <v>1334</v>
      </c>
      <c r="U306" s="3"/>
      <c r="V306" s="25" t="s">
        <v>7756</v>
      </c>
      <c r="W306" s="25">
        <v>20517252558</v>
      </c>
      <c r="X306" s="25" t="str">
        <f>IFERROR(VLOOKUP(C_Ope_001[[#This Row],[nota_2]],Clientes_Proveedores[[Ruc / Dni]:[Razon Social]],2,0),"")</f>
        <v>COVISUR S.A.</v>
      </c>
      <c r="Y306" s="25" t="s">
        <v>7888</v>
      </c>
      <c r="Z306" s="103"/>
      <c r="AA306" s="3" t="str">
        <f>IF(C_Ope_001[[#This Row],[fecha]]&gt;0,TEXT(C_Ope_001[[#This Row],[fecha]],"mmmm"),0)</f>
        <v>Julio</v>
      </c>
      <c r="AB306" s="159"/>
    </row>
    <row r="307" spans="1:28" ht="36" x14ac:dyDescent="0.3">
      <c r="A307" s="2">
        <f>IF(C_Ope_001[[#This Row],[tipo_r]]="R",COUNTIFS($C$1:$C306,"R")+1,"")</f>
        <v>306</v>
      </c>
      <c r="B307" s="19" t="str">
        <f t="shared" ref="B307:B314" si="35">"C_Ope_001"</f>
        <v>C_Ope_001</v>
      </c>
      <c r="C307" s="3" t="s">
        <v>1330</v>
      </c>
      <c r="D307" s="211">
        <v>45846</v>
      </c>
      <c r="E307" s="5" t="s">
        <v>7753</v>
      </c>
      <c r="F307" s="5" t="s">
        <v>1336</v>
      </c>
      <c r="G307" s="6" t="s">
        <v>227</v>
      </c>
      <c r="H307" s="6" t="s">
        <v>68</v>
      </c>
      <c r="I307" s="6" t="s">
        <v>1343</v>
      </c>
      <c r="J307" s="6">
        <v>35091</v>
      </c>
      <c r="K307" s="7" t="s">
        <v>7905</v>
      </c>
      <c r="L307" s="8">
        <v>24819</v>
      </c>
      <c r="M307" s="8" t="str">
        <f t="shared" ref="M307:M314" si="36">"PEN"</f>
        <v>PEN</v>
      </c>
      <c r="N307" s="13"/>
      <c r="O307" s="13">
        <v>10</v>
      </c>
      <c r="P307" s="3">
        <f t="shared" si="26"/>
        <v>0</v>
      </c>
      <c r="Q307" s="3">
        <f t="shared" si="27"/>
        <v>10</v>
      </c>
      <c r="R307" s="3">
        <f t="shared" si="28"/>
        <v>442.64000000000004</v>
      </c>
      <c r="S307" s="24" t="s">
        <v>1334</v>
      </c>
      <c r="T307" s="24" t="s">
        <v>1334</v>
      </c>
      <c r="U307" s="3"/>
      <c r="V307" s="25" t="s">
        <v>7756</v>
      </c>
      <c r="W307" s="25">
        <v>20124952850</v>
      </c>
      <c r="X307" s="25" t="str">
        <f>IFERROR(VLOOKUP(C_Ope_001[[#This Row],[nota_2]],Clientes_Proveedores[[Ruc / Dni]:[Razon Social]],2,0),"")</f>
        <v>ALIMENTOS Y SERVICIOS AGROPECUARIOS SRL.</v>
      </c>
      <c r="Y307" s="25" t="s">
        <v>5933</v>
      </c>
      <c r="Z307" s="103"/>
      <c r="AA307" s="3" t="str">
        <f>IF(C_Ope_001[[#This Row],[fecha]]&gt;0,TEXT(C_Ope_001[[#This Row],[fecha]],"mmmm"),0)</f>
        <v>Julio</v>
      </c>
      <c r="AB307" s="159"/>
    </row>
    <row r="308" spans="1:28" ht="36" x14ac:dyDescent="0.3">
      <c r="A308" s="2">
        <f>IF(C_Ope_001[[#This Row],[tipo_r]]="R",COUNTIFS($C$1:$C307,"R")+1,"")</f>
        <v>307</v>
      </c>
      <c r="B308" s="19" t="str">
        <f t="shared" si="35"/>
        <v>C_Ope_001</v>
      </c>
      <c r="C308" s="3" t="s">
        <v>1330</v>
      </c>
      <c r="D308" s="211">
        <v>45846</v>
      </c>
      <c r="E308" s="5" t="s">
        <v>7753</v>
      </c>
      <c r="F308" s="5" t="s">
        <v>1336</v>
      </c>
      <c r="G308" s="6" t="s">
        <v>227</v>
      </c>
      <c r="H308" s="6" t="s">
        <v>68</v>
      </c>
      <c r="I308" s="6" t="s">
        <v>1390</v>
      </c>
      <c r="J308" s="6">
        <v>133965</v>
      </c>
      <c r="K308" s="7" t="s">
        <v>7906</v>
      </c>
      <c r="L308" s="8">
        <v>24823</v>
      </c>
      <c r="M308" s="8" t="str">
        <f t="shared" si="36"/>
        <v>PEN</v>
      </c>
      <c r="N308" s="13"/>
      <c r="O308" s="13">
        <v>10</v>
      </c>
      <c r="P308" s="3">
        <f t="shared" si="26"/>
        <v>0</v>
      </c>
      <c r="Q308" s="3">
        <f t="shared" si="27"/>
        <v>10</v>
      </c>
      <c r="R308" s="3">
        <f t="shared" si="28"/>
        <v>432.64000000000004</v>
      </c>
      <c r="S308" s="24" t="s">
        <v>1334</v>
      </c>
      <c r="T308" s="24" t="s">
        <v>1334</v>
      </c>
      <c r="U308" s="3"/>
      <c r="V308" s="25" t="s">
        <v>7756</v>
      </c>
      <c r="W308" s="25">
        <v>20124952850</v>
      </c>
      <c r="X308" s="25" t="str">
        <f>IFERROR(VLOOKUP(C_Ope_001[[#This Row],[nota_2]],Clientes_Proveedores[[Ruc / Dni]:[Razon Social]],2,0),"")</f>
        <v>ALIMENTOS Y SERVICIOS AGROPECUARIOS SRL.</v>
      </c>
      <c r="Y308" s="25" t="s">
        <v>5933</v>
      </c>
      <c r="Z308" s="103"/>
      <c r="AA308" s="3" t="str">
        <f>IF(C_Ope_001[[#This Row],[fecha]]&gt;0,TEXT(C_Ope_001[[#This Row],[fecha]],"mmmm"),0)</f>
        <v>Julio</v>
      </c>
      <c r="AB308" s="159"/>
    </row>
    <row r="309" spans="1:28" ht="36" x14ac:dyDescent="0.3">
      <c r="A309" s="2">
        <f>IF(C_Ope_001[[#This Row],[tipo_r]]="R",COUNTIFS($C$1:$C308,"R")+1,"")</f>
        <v>308</v>
      </c>
      <c r="B309" s="19" t="str">
        <f t="shared" si="35"/>
        <v>C_Ope_001</v>
      </c>
      <c r="C309" s="3" t="s">
        <v>1330</v>
      </c>
      <c r="D309" s="211">
        <v>45846</v>
      </c>
      <c r="E309" s="5" t="s">
        <v>7753</v>
      </c>
      <c r="F309" s="5" t="s">
        <v>1336</v>
      </c>
      <c r="G309" s="6" t="s">
        <v>227</v>
      </c>
      <c r="H309" s="6" t="s">
        <v>68</v>
      </c>
      <c r="I309" s="6" t="s">
        <v>1390</v>
      </c>
      <c r="J309" s="6">
        <v>133964</v>
      </c>
      <c r="K309" s="7" t="s">
        <v>7907</v>
      </c>
      <c r="L309" s="8">
        <v>24824</v>
      </c>
      <c r="M309" s="8" t="str">
        <f t="shared" si="36"/>
        <v>PEN</v>
      </c>
      <c r="N309" s="13"/>
      <c r="O309" s="13">
        <v>10</v>
      </c>
      <c r="P309" s="3">
        <f t="shared" si="26"/>
        <v>0</v>
      </c>
      <c r="Q309" s="3">
        <f t="shared" si="27"/>
        <v>10</v>
      </c>
      <c r="R309" s="3">
        <f t="shared" si="28"/>
        <v>422.64000000000004</v>
      </c>
      <c r="S309" s="24" t="s">
        <v>1334</v>
      </c>
      <c r="T309" s="24" t="s">
        <v>1334</v>
      </c>
      <c r="U309" s="3"/>
      <c r="V309" s="25" t="s">
        <v>7756</v>
      </c>
      <c r="W309" s="25">
        <v>20124952850</v>
      </c>
      <c r="X309" s="25" t="str">
        <f>IFERROR(VLOOKUP(C_Ope_001[[#This Row],[nota_2]],Clientes_Proveedores[[Ruc / Dni]:[Razon Social]],2,0),"")</f>
        <v>ALIMENTOS Y SERVICIOS AGROPECUARIOS SRL.</v>
      </c>
      <c r="Y309" s="25" t="s">
        <v>5933</v>
      </c>
      <c r="Z309" s="103"/>
      <c r="AA309" s="3" t="str">
        <f>IF(C_Ope_001[[#This Row],[fecha]]&gt;0,TEXT(C_Ope_001[[#This Row],[fecha]],"mmmm"),0)</f>
        <v>Julio</v>
      </c>
      <c r="AB309" s="159"/>
    </row>
    <row r="310" spans="1:28" ht="36" x14ac:dyDescent="0.3">
      <c r="A310" s="2">
        <f>IF(C_Ope_001[[#This Row],[tipo_r]]="R",COUNTIFS($C$1:$C309,"R")+1,"")</f>
        <v>309</v>
      </c>
      <c r="B310" s="19" t="str">
        <f t="shared" si="35"/>
        <v>C_Ope_001</v>
      </c>
      <c r="C310" s="3" t="s">
        <v>1330</v>
      </c>
      <c r="D310" s="211">
        <v>45846</v>
      </c>
      <c r="E310" s="5" t="s">
        <v>7753</v>
      </c>
      <c r="F310" s="5" t="s">
        <v>1336</v>
      </c>
      <c r="G310" s="6" t="s">
        <v>227</v>
      </c>
      <c r="H310" s="6" t="s">
        <v>68</v>
      </c>
      <c r="I310" s="6" t="s">
        <v>1390</v>
      </c>
      <c r="J310" s="6">
        <v>133963</v>
      </c>
      <c r="K310" s="7" t="s">
        <v>7908</v>
      </c>
      <c r="L310" s="8">
        <v>24825</v>
      </c>
      <c r="M310" s="8" t="str">
        <f t="shared" si="36"/>
        <v>PEN</v>
      </c>
      <c r="N310" s="13"/>
      <c r="O310" s="13">
        <v>10</v>
      </c>
      <c r="P310" s="3">
        <f t="shared" si="26"/>
        <v>0</v>
      </c>
      <c r="Q310" s="3">
        <f t="shared" si="27"/>
        <v>10</v>
      </c>
      <c r="R310" s="3">
        <f t="shared" si="28"/>
        <v>412.64000000000004</v>
      </c>
      <c r="S310" s="24" t="s">
        <v>1334</v>
      </c>
      <c r="T310" s="24" t="s">
        <v>1334</v>
      </c>
      <c r="U310" s="3"/>
      <c r="V310" s="25" t="s">
        <v>7756</v>
      </c>
      <c r="W310" s="25">
        <v>20124952850</v>
      </c>
      <c r="X310" s="25" t="str">
        <f>IFERROR(VLOOKUP(C_Ope_001[[#This Row],[nota_2]],Clientes_Proveedores[[Ruc / Dni]:[Razon Social]],2,0),"")</f>
        <v>ALIMENTOS Y SERVICIOS AGROPECUARIOS SRL.</v>
      </c>
      <c r="Y310" s="25" t="s">
        <v>5933</v>
      </c>
      <c r="Z310" s="103"/>
      <c r="AA310" s="3" t="str">
        <f>IF(C_Ope_001[[#This Row],[fecha]]&gt;0,TEXT(C_Ope_001[[#This Row],[fecha]],"mmmm"),0)</f>
        <v>Julio</v>
      </c>
      <c r="AB310" s="159"/>
    </row>
    <row r="311" spans="1:28" ht="24" x14ac:dyDescent="0.3">
      <c r="A311" s="2">
        <f>IF(C_Ope_001[[#This Row],[tipo_r]]="R",COUNTIFS($C$1:$C310,"R")+1,"")</f>
        <v>310</v>
      </c>
      <c r="B311" s="19" t="str">
        <f t="shared" si="35"/>
        <v>C_Ope_001</v>
      </c>
      <c r="C311" s="3" t="s">
        <v>1330</v>
      </c>
      <c r="D311" s="211">
        <v>45846</v>
      </c>
      <c r="E311" s="5" t="s">
        <v>7753</v>
      </c>
      <c r="F311" s="5" t="s">
        <v>1336</v>
      </c>
      <c r="G311" s="6" t="s">
        <v>1028</v>
      </c>
      <c r="H311" s="6" t="s">
        <v>75</v>
      </c>
      <c r="I311" s="6">
        <v>1</v>
      </c>
      <c r="J311" s="6">
        <v>26713</v>
      </c>
      <c r="K311" s="7" t="s">
        <v>7909</v>
      </c>
      <c r="L311" s="8">
        <v>24817</v>
      </c>
      <c r="M311" s="8" t="str">
        <f t="shared" si="36"/>
        <v>PEN</v>
      </c>
      <c r="N311" s="13"/>
      <c r="O311" s="13">
        <v>80</v>
      </c>
      <c r="P311" s="3">
        <f t="shared" si="26"/>
        <v>0</v>
      </c>
      <c r="Q311" s="3">
        <f t="shared" si="27"/>
        <v>80</v>
      </c>
      <c r="R311" s="3">
        <f t="shared" si="28"/>
        <v>332.64000000000004</v>
      </c>
      <c r="S311" s="24" t="s">
        <v>1334</v>
      </c>
      <c r="T311" s="24" t="s">
        <v>1334</v>
      </c>
      <c r="U311" s="3"/>
      <c r="V311" s="25"/>
      <c r="W311" s="25">
        <v>10426317511</v>
      </c>
      <c r="X311" s="25" t="str">
        <f>IFERROR(VLOOKUP(C_Ope_001[[#This Row],[nota_2]],Clientes_Proveedores[[Ruc / Dni]:[Razon Social]],2,0),"")</f>
        <v>JAHUIRA CALDERON HELGA DANITZA</v>
      </c>
      <c r="Y311" s="25" t="s">
        <v>7910</v>
      </c>
      <c r="Z311" s="103"/>
      <c r="AA311" s="3" t="str">
        <f>IF(C_Ope_001[[#This Row],[fecha]]&gt;0,TEXT(C_Ope_001[[#This Row],[fecha]],"mmmm"),0)</f>
        <v>Julio</v>
      </c>
      <c r="AB311" s="159"/>
    </row>
    <row r="312" spans="1:28" ht="24" x14ac:dyDescent="0.3">
      <c r="A312" s="2">
        <f>IF(C_Ope_001[[#This Row],[tipo_r]]="R",COUNTIFS($C$1:$C311,"R")+1,"")</f>
        <v>311</v>
      </c>
      <c r="B312" s="19" t="str">
        <f t="shared" si="35"/>
        <v>C_Ope_001</v>
      </c>
      <c r="C312" s="3" t="s">
        <v>1330</v>
      </c>
      <c r="D312" s="211">
        <v>45846</v>
      </c>
      <c r="E312" s="5" t="s">
        <v>7753</v>
      </c>
      <c r="F312" s="5" t="s">
        <v>1336</v>
      </c>
      <c r="G312" s="6" t="s">
        <v>1009</v>
      </c>
      <c r="H312" s="6" t="s">
        <v>126</v>
      </c>
      <c r="I312" s="6"/>
      <c r="J312" s="6">
        <v>24818</v>
      </c>
      <c r="K312" s="7" t="s">
        <v>7911</v>
      </c>
      <c r="L312" s="8">
        <v>24818</v>
      </c>
      <c r="M312" s="8" t="str">
        <f t="shared" si="36"/>
        <v>PEN</v>
      </c>
      <c r="N312" s="13"/>
      <c r="O312" s="13">
        <v>16</v>
      </c>
      <c r="P312" s="3">
        <f t="shared" si="26"/>
        <v>0</v>
      </c>
      <c r="Q312" s="3">
        <f t="shared" si="27"/>
        <v>16</v>
      </c>
      <c r="R312" s="3">
        <f t="shared" si="28"/>
        <v>316.64000000000004</v>
      </c>
      <c r="S312" s="24" t="s">
        <v>1334</v>
      </c>
      <c r="T312" s="24" t="s">
        <v>1334</v>
      </c>
      <c r="U312" s="3"/>
      <c r="V312" s="25"/>
      <c r="W312" s="25"/>
      <c r="X312" s="25" t="str">
        <f>IFERROR(VLOOKUP(C_Ope_001[[#This Row],[nota_2]],Clientes_Proveedores[[Ruc / Dni]:[Razon Social]],2,0),"")</f>
        <v/>
      </c>
      <c r="Y312" s="25" t="s">
        <v>7896</v>
      </c>
      <c r="Z312" s="103"/>
      <c r="AA312" s="3" t="str">
        <f>IF(C_Ope_001[[#This Row],[fecha]]&gt;0,TEXT(C_Ope_001[[#This Row],[fecha]],"mmmm"),0)</f>
        <v>Julio</v>
      </c>
      <c r="AB312" s="159"/>
    </row>
    <row r="313" spans="1:28" ht="24" x14ac:dyDescent="0.3">
      <c r="A313" s="2">
        <f>IF(C_Ope_001[[#This Row],[tipo_r]]="R",COUNTIFS($C$1:$C312,"R")+1,"")</f>
        <v>312</v>
      </c>
      <c r="B313" s="19" t="str">
        <f t="shared" si="35"/>
        <v>C_Ope_001</v>
      </c>
      <c r="C313" s="3" t="s">
        <v>1330</v>
      </c>
      <c r="D313" s="211">
        <v>45846</v>
      </c>
      <c r="E313" s="5" t="s">
        <v>7753</v>
      </c>
      <c r="F313" s="5" t="s">
        <v>1336</v>
      </c>
      <c r="G313" s="6" t="s">
        <v>1009</v>
      </c>
      <c r="H313" s="6" t="s">
        <v>126</v>
      </c>
      <c r="I313" s="6"/>
      <c r="J313" s="6">
        <v>24820</v>
      </c>
      <c r="K313" s="7" t="s">
        <v>7912</v>
      </c>
      <c r="L313" s="8">
        <v>24820</v>
      </c>
      <c r="M313" s="8" t="str">
        <f t="shared" si="36"/>
        <v>PEN</v>
      </c>
      <c r="N313" s="13"/>
      <c r="O313" s="13">
        <v>30</v>
      </c>
      <c r="P313" s="3">
        <f t="shared" si="26"/>
        <v>0</v>
      </c>
      <c r="Q313" s="3">
        <f t="shared" si="27"/>
        <v>30</v>
      </c>
      <c r="R313" s="3">
        <f t="shared" si="28"/>
        <v>286.64000000000004</v>
      </c>
      <c r="S313" s="24" t="s">
        <v>1334</v>
      </c>
      <c r="T313" s="24" t="s">
        <v>1334</v>
      </c>
      <c r="U313" s="3"/>
      <c r="V313" s="25"/>
      <c r="W313" s="25"/>
      <c r="X313" s="25" t="str">
        <f>IFERROR(VLOOKUP(C_Ope_001[[#This Row],[nota_2]],Clientes_Proveedores[[Ruc / Dni]:[Razon Social]],2,0),"")</f>
        <v/>
      </c>
      <c r="Y313" s="25" t="s">
        <v>7896</v>
      </c>
      <c r="Z313" s="103"/>
      <c r="AA313" s="3" t="str">
        <f>IF(C_Ope_001[[#This Row],[fecha]]&gt;0,TEXT(C_Ope_001[[#This Row],[fecha]],"mmmm"),0)</f>
        <v>Julio</v>
      </c>
      <c r="AB313" s="159"/>
    </row>
    <row r="314" spans="1:28" ht="24" x14ac:dyDescent="0.3">
      <c r="A314" s="2">
        <f>IF(C_Ope_001[[#This Row],[tipo_r]]="R",COUNTIFS($C$1:$C313,"R")+1,"")</f>
        <v>313</v>
      </c>
      <c r="B314" s="19" t="str">
        <f t="shared" si="35"/>
        <v>C_Ope_001</v>
      </c>
      <c r="C314" s="3" t="s">
        <v>1330</v>
      </c>
      <c r="D314" s="211">
        <v>45846</v>
      </c>
      <c r="E314" s="5" t="s">
        <v>7753</v>
      </c>
      <c r="F314" s="5" t="s">
        <v>1336</v>
      </c>
      <c r="G314" s="6" t="s">
        <v>1008</v>
      </c>
      <c r="H314" s="6" t="s">
        <v>68</v>
      </c>
      <c r="I314" s="6" t="s">
        <v>1391</v>
      </c>
      <c r="J314" s="6">
        <v>53367</v>
      </c>
      <c r="K314" s="7" t="s">
        <v>7913</v>
      </c>
      <c r="L314" s="8">
        <v>24822</v>
      </c>
      <c r="M314" s="8" t="str">
        <f t="shared" si="36"/>
        <v>PEN</v>
      </c>
      <c r="N314" s="13"/>
      <c r="O314" s="13">
        <v>150.05000000000001</v>
      </c>
      <c r="P314" s="3">
        <f t="shared" si="26"/>
        <v>0</v>
      </c>
      <c r="Q314" s="3">
        <f t="shared" si="27"/>
        <v>150.05000000000001</v>
      </c>
      <c r="R314" s="3">
        <f t="shared" si="28"/>
        <v>136.59000000000003</v>
      </c>
      <c r="S314" s="24" t="s">
        <v>1334</v>
      </c>
      <c r="T314" s="24" t="s">
        <v>1334</v>
      </c>
      <c r="U314" s="3"/>
      <c r="V314" s="25" t="s">
        <v>7756</v>
      </c>
      <c r="W314" s="25">
        <v>20601584001</v>
      </c>
      <c r="X314" s="25" t="str">
        <f>IFERROR(VLOOKUP(C_Ope_001[[#This Row],[nota_2]],Clientes_Proveedores[[Ruc / Dni]:[Razon Social]],2,0),"")</f>
        <v>GRUPO EMPRESARIAL MDM E.I.R.L.</v>
      </c>
      <c r="Y314" s="25" t="s">
        <v>3552</v>
      </c>
      <c r="Z314" s="103"/>
      <c r="AA314" s="3" t="str">
        <f>IF(C_Ope_001[[#This Row],[fecha]]&gt;0,TEXT(C_Ope_001[[#This Row],[fecha]],"mmmm"),0)</f>
        <v>Julio</v>
      </c>
      <c r="AB314" s="159"/>
    </row>
    <row r="315" spans="1:28" ht="24" x14ac:dyDescent="0.3">
      <c r="A315" s="2">
        <f>IF(C_Ope_001[[#This Row],[tipo_r]]="R",COUNTIFS($C$1:$C314,"R")+1,"")</f>
        <v>314</v>
      </c>
      <c r="B315" s="19" t="str">
        <f t="shared" si="32"/>
        <v>C_Ope_001</v>
      </c>
      <c r="C315" s="3" t="s">
        <v>1330</v>
      </c>
      <c r="D315" s="211">
        <v>45847</v>
      </c>
      <c r="E315" s="5" t="s">
        <v>7753</v>
      </c>
      <c r="F315" s="5" t="s">
        <v>1336</v>
      </c>
      <c r="G315" s="6" t="s">
        <v>978</v>
      </c>
      <c r="H315" s="6" t="s">
        <v>68</v>
      </c>
      <c r="I315" s="6" t="s">
        <v>6204</v>
      </c>
      <c r="J315" s="6">
        <v>1779885</v>
      </c>
      <c r="K315" s="7" t="s">
        <v>7914</v>
      </c>
      <c r="L315" s="8">
        <v>24829</v>
      </c>
      <c r="M315" s="8" t="str">
        <f t="shared" si="31"/>
        <v>PEN</v>
      </c>
      <c r="N315" s="13"/>
      <c r="O315" s="13">
        <v>8</v>
      </c>
      <c r="P315" s="3">
        <f t="shared" si="26"/>
        <v>0</v>
      </c>
      <c r="Q315" s="3">
        <f t="shared" si="27"/>
        <v>8</v>
      </c>
      <c r="R315" s="3">
        <f t="shared" si="28"/>
        <v>128.59000000000003</v>
      </c>
      <c r="S315" s="24" t="s">
        <v>1334</v>
      </c>
      <c r="T315" s="24" t="s">
        <v>1334</v>
      </c>
      <c r="U315" s="3"/>
      <c r="V315" s="25" t="s">
        <v>7756</v>
      </c>
      <c r="W315" s="25">
        <v>20517252558</v>
      </c>
      <c r="X315" s="25" t="str">
        <f>IFERROR(VLOOKUP(C_Ope_001[[#This Row],[nota_2]],Clientes_Proveedores[[Ruc / Dni]:[Razon Social]],2,0),"")</f>
        <v>COVISUR S.A.</v>
      </c>
      <c r="Y315" s="25" t="s">
        <v>7888</v>
      </c>
      <c r="Z315" s="103"/>
      <c r="AA315" s="3" t="str">
        <f>IF(C_Ope_001[[#This Row],[fecha]]&gt;0,TEXT(C_Ope_001[[#This Row],[fecha]],"mmmm"),0)</f>
        <v>Julio</v>
      </c>
      <c r="AB315" s="159"/>
    </row>
    <row r="316" spans="1:28" ht="24" x14ac:dyDescent="0.3">
      <c r="A316" s="2">
        <f>IF(C_Ope_001[[#This Row],[tipo_r]]="R",COUNTIFS($C$1:$C315,"R")+1,"")</f>
        <v>315</v>
      </c>
      <c r="B316" s="19" t="str">
        <f t="shared" si="32"/>
        <v>C_Ope_001</v>
      </c>
      <c r="C316" s="3" t="s">
        <v>1330</v>
      </c>
      <c r="D316" s="211">
        <v>45847</v>
      </c>
      <c r="E316" s="5" t="s">
        <v>7753</v>
      </c>
      <c r="F316" s="5" t="s">
        <v>1336</v>
      </c>
      <c r="G316" s="6" t="s">
        <v>978</v>
      </c>
      <c r="H316" s="6" t="s">
        <v>68</v>
      </c>
      <c r="I316" s="6" t="s">
        <v>6203</v>
      </c>
      <c r="J316" s="6">
        <v>2106479</v>
      </c>
      <c r="K316" s="7" t="s">
        <v>7914</v>
      </c>
      <c r="L316" s="8">
        <v>24830</v>
      </c>
      <c r="M316" s="8" t="str">
        <f t="shared" si="31"/>
        <v>PEN</v>
      </c>
      <c r="N316" s="13"/>
      <c r="O316" s="13">
        <v>8</v>
      </c>
      <c r="P316" s="3">
        <f t="shared" si="26"/>
        <v>0</v>
      </c>
      <c r="Q316" s="3">
        <f t="shared" si="27"/>
        <v>8</v>
      </c>
      <c r="R316" s="3">
        <f t="shared" si="28"/>
        <v>120.59000000000003</v>
      </c>
      <c r="S316" s="24" t="s">
        <v>1334</v>
      </c>
      <c r="T316" s="24" t="s">
        <v>1334</v>
      </c>
      <c r="U316" s="3"/>
      <c r="V316" s="25" t="s">
        <v>7756</v>
      </c>
      <c r="W316" s="25">
        <v>20517252558</v>
      </c>
      <c r="X316" s="25" t="str">
        <f>IFERROR(VLOOKUP(C_Ope_001[[#This Row],[nota_2]],Clientes_Proveedores[[Ruc / Dni]:[Razon Social]],2,0),"")</f>
        <v>COVISUR S.A.</v>
      </c>
      <c r="Y316" s="25" t="s">
        <v>7888</v>
      </c>
      <c r="Z316" s="103"/>
      <c r="AA316" s="3" t="str">
        <f>IF(C_Ope_001[[#This Row],[fecha]]&gt;0,TEXT(C_Ope_001[[#This Row],[fecha]],"mmmm"),0)</f>
        <v>Julio</v>
      </c>
      <c r="AB316" s="159"/>
    </row>
    <row r="317" spans="1:28" ht="36" x14ac:dyDescent="0.3">
      <c r="A317" s="2">
        <f>IF(C_Ope_001[[#This Row],[tipo_r]]="R",COUNTIFS($C$1:$C316,"R")+1,"")</f>
        <v>316</v>
      </c>
      <c r="B317" s="19" t="str">
        <f>"C_Ope_001"</f>
        <v>C_Ope_001</v>
      </c>
      <c r="C317" s="3" t="s">
        <v>1330</v>
      </c>
      <c r="D317" s="211">
        <v>45847</v>
      </c>
      <c r="E317" s="5" t="s">
        <v>7753</v>
      </c>
      <c r="F317" s="5" t="s">
        <v>1336</v>
      </c>
      <c r="G317" s="6" t="s">
        <v>227</v>
      </c>
      <c r="H317" s="6" t="s">
        <v>68</v>
      </c>
      <c r="I317" s="6" t="s">
        <v>1390</v>
      </c>
      <c r="J317" s="6">
        <v>133971</v>
      </c>
      <c r="K317" s="7" t="s">
        <v>7915</v>
      </c>
      <c r="L317" s="8">
        <v>24831</v>
      </c>
      <c r="M317" s="8" t="str">
        <f>"PEN"</f>
        <v>PEN</v>
      </c>
      <c r="N317" s="13"/>
      <c r="O317" s="13">
        <v>10</v>
      </c>
      <c r="P317" s="3">
        <f t="shared" si="26"/>
        <v>0</v>
      </c>
      <c r="Q317" s="3">
        <f t="shared" si="27"/>
        <v>10</v>
      </c>
      <c r="R317" s="3">
        <f t="shared" si="28"/>
        <v>110.59000000000003</v>
      </c>
      <c r="S317" s="24" t="s">
        <v>1334</v>
      </c>
      <c r="T317" s="24" t="s">
        <v>1334</v>
      </c>
      <c r="U317" s="3"/>
      <c r="V317" s="25" t="s">
        <v>7756</v>
      </c>
      <c r="W317" s="25">
        <v>20124952850</v>
      </c>
      <c r="X317" s="25" t="str">
        <f>IFERROR(VLOOKUP(C_Ope_001[[#This Row],[nota_2]],Clientes_Proveedores[[Ruc / Dni]:[Razon Social]],2,0),"")</f>
        <v>ALIMENTOS Y SERVICIOS AGROPECUARIOS SRL.</v>
      </c>
      <c r="Y317" s="25" t="s">
        <v>5933</v>
      </c>
      <c r="Z317" s="103"/>
      <c r="AA317" s="3" t="str">
        <f>IF(C_Ope_001[[#This Row],[fecha]]&gt;0,TEXT(C_Ope_001[[#This Row],[fecha]],"mmmm"),0)</f>
        <v>Julio</v>
      </c>
      <c r="AB317" s="159"/>
    </row>
    <row r="318" spans="1:28" ht="36" x14ac:dyDescent="0.3">
      <c r="A318" s="2">
        <f>IF(C_Ope_001[[#This Row],[tipo_r]]="R",COUNTIFS($C$1:$C317,"R")+1,"")</f>
        <v>317</v>
      </c>
      <c r="B318" s="19" t="str">
        <f>"C_Ope_001"</f>
        <v>C_Ope_001</v>
      </c>
      <c r="C318" s="3" t="s">
        <v>1330</v>
      </c>
      <c r="D318" s="211">
        <v>45848</v>
      </c>
      <c r="E318" s="5" t="s">
        <v>7753</v>
      </c>
      <c r="F318" s="5" t="s">
        <v>1336</v>
      </c>
      <c r="G318" s="6" t="s">
        <v>682</v>
      </c>
      <c r="H318" s="6" t="s">
        <v>68</v>
      </c>
      <c r="I318" s="6" t="s">
        <v>1353</v>
      </c>
      <c r="J318" s="6">
        <v>16933</v>
      </c>
      <c r="K318" s="7" t="s">
        <v>7916</v>
      </c>
      <c r="L318" s="8">
        <v>24848</v>
      </c>
      <c r="M318" s="8" t="str">
        <f>"PEN"</f>
        <v>PEN</v>
      </c>
      <c r="N318" s="13"/>
      <c r="O318" s="13">
        <v>20</v>
      </c>
      <c r="P318" s="3">
        <f t="shared" si="26"/>
        <v>0</v>
      </c>
      <c r="Q318" s="3">
        <f t="shared" si="27"/>
        <v>20</v>
      </c>
      <c r="R318" s="3">
        <f t="shared" si="28"/>
        <v>90.590000000000032</v>
      </c>
      <c r="S318" s="24" t="s">
        <v>1334</v>
      </c>
      <c r="T318" s="24" t="s">
        <v>1334</v>
      </c>
      <c r="U318" s="3"/>
      <c r="V318" s="25" t="s">
        <v>7754</v>
      </c>
      <c r="W318" s="25">
        <v>20259858934</v>
      </c>
      <c r="X318" s="25" t="str">
        <f>IFERROR(VLOOKUP(C_Ope_001[[#This Row],[nota_2]],Clientes_Proveedores[[Ruc / Dni]:[Razon Social]],2,0),"")</f>
        <v>COMERCIALIZACION Y SERVICIOS EL EDEN S.A.C.</v>
      </c>
      <c r="Y318" s="25" t="s">
        <v>5933</v>
      </c>
      <c r="Z318" s="103"/>
      <c r="AA318" s="3" t="str">
        <f>IF(C_Ope_001[[#This Row],[fecha]]&gt;0,TEXT(C_Ope_001[[#This Row],[fecha]],"mmmm"),0)</f>
        <v>Julio</v>
      </c>
      <c r="AB318" s="159"/>
    </row>
    <row r="319" spans="1:28" ht="24" x14ac:dyDescent="0.3">
      <c r="A319" s="2">
        <f>IF(C_Ope_001[[#This Row],[tipo_r]]="R",COUNTIFS($C$1:$C318,"R")+1,"")</f>
        <v>318</v>
      </c>
      <c r="B319" s="19" t="str">
        <f t="shared" si="32"/>
        <v>C_Ope_001</v>
      </c>
      <c r="C319" s="3" t="s">
        <v>1330</v>
      </c>
      <c r="D319" s="211">
        <v>45848</v>
      </c>
      <c r="E319" s="5" t="s">
        <v>7753</v>
      </c>
      <c r="F319" s="5" t="s">
        <v>1336</v>
      </c>
      <c r="G319" s="6" t="s">
        <v>978</v>
      </c>
      <c r="H319" s="6" t="s">
        <v>68</v>
      </c>
      <c r="I319" s="6" t="s">
        <v>6204</v>
      </c>
      <c r="J319" s="6">
        <v>1780700</v>
      </c>
      <c r="K319" s="7" t="s">
        <v>7917</v>
      </c>
      <c r="L319" s="8">
        <v>24843</v>
      </c>
      <c r="M319" s="8" t="str">
        <f t="shared" si="31"/>
        <v>PEN</v>
      </c>
      <c r="N319" s="13"/>
      <c r="O319" s="13">
        <v>5</v>
      </c>
      <c r="P319" s="3">
        <f t="shared" si="26"/>
        <v>0</v>
      </c>
      <c r="Q319" s="3">
        <f t="shared" si="27"/>
        <v>5</v>
      </c>
      <c r="R319" s="3">
        <f t="shared" si="28"/>
        <v>85.590000000000032</v>
      </c>
      <c r="S319" s="24" t="s">
        <v>1334</v>
      </c>
      <c r="T319" s="24" t="s">
        <v>1334</v>
      </c>
      <c r="U319" s="3"/>
      <c r="V319" s="25" t="s">
        <v>7754</v>
      </c>
      <c r="W319" s="25">
        <v>20517252558</v>
      </c>
      <c r="X319" s="25" t="str">
        <f>IFERROR(VLOOKUP(C_Ope_001[[#This Row],[nota_2]],Clientes_Proveedores[[Ruc / Dni]:[Razon Social]],2,0),"")</f>
        <v>COVISUR S.A.</v>
      </c>
      <c r="Y319" s="25" t="s">
        <v>7888</v>
      </c>
      <c r="Z319" s="103"/>
      <c r="AA319" s="3" t="str">
        <f>IF(C_Ope_001[[#This Row],[fecha]]&gt;0,TEXT(C_Ope_001[[#This Row],[fecha]],"mmmm"),0)</f>
        <v>Julio</v>
      </c>
      <c r="AB319" s="159"/>
    </row>
    <row r="320" spans="1:28" ht="24" x14ac:dyDescent="0.3">
      <c r="A320" s="2">
        <f>IF(C_Ope_001[[#This Row],[tipo_r]]="R",COUNTIFS($C$1:$C319,"R")+1,"")</f>
        <v>319</v>
      </c>
      <c r="B320" s="19" t="str">
        <f t="shared" si="32"/>
        <v>C_Ope_001</v>
      </c>
      <c r="C320" s="3" t="s">
        <v>1330</v>
      </c>
      <c r="D320" s="211">
        <v>45848</v>
      </c>
      <c r="E320" s="5" t="s">
        <v>7753</v>
      </c>
      <c r="F320" s="5" t="s">
        <v>1336</v>
      </c>
      <c r="G320" s="6" t="s">
        <v>978</v>
      </c>
      <c r="H320" s="6" t="s">
        <v>68</v>
      </c>
      <c r="I320" s="6" t="s">
        <v>5845</v>
      </c>
      <c r="J320" s="6">
        <v>1800454</v>
      </c>
      <c r="K320" s="7" t="s">
        <v>7917</v>
      </c>
      <c r="L320" s="8">
        <v>24845</v>
      </c>
      <c r="M320" s="8" t="str">
        <f t="shared" si="31"/>
        <v>PEN</v>
      </c>
      <c r="N320" s="13"/>
      <c r="O320" s="13">
        <v>5</v>
      </c>
      <c r="P320" s="3">
        <f t="shared" si="26"/>
        <v>0</v>
      </c>
      <c r="Q320" s="3">
        <f t="shared" si="27"/>
        <v>5</v>
      </c>
      <c r="R320" s="3">
        <f t="shared" si="28"/>
        <v>80.590000000000032</v>
      </c>
      <c r="S320" s="24" t="s">
        <v>1334</v>
      </c>
      <c r="T320" s="24" t="s">
        <v>1334</v>
      </c>
      <c r="U320" s="3"/>
      <c r="V320" s="25" t="s">
        <v>7754</v>
      </c>
      <c r="W320" s="25">
        <v>20517252558</v>
      </c>
      <c r="X320" s="25" t="str">
        <f>IFERROR(VLOOKUP(C_Ope_001[[#This Row],[nota_2]],Clientes_Proveedores[[Ruc / Dni]:[Razon Social]],2,0),"")</f>
        <v>COVISUR S.A.</v>
      </c>
      <c r="Y320" s="25" t="s">
        <v>7888</v>
      </c>
      <c r="Z320" s="103"/>
      <c r="AA320" s="3" t="str">
        <f>IF(C_Ope_001[[#This Row],[fecha]]&gt;0,TEXT(C_Ope_001[[#This Row],[fecha]],"mmmm"),0)</f>
        <v>Julio</v>
      </c>
      <c r="AB320" s="159"/>
    </row>
    <row r="321" spans="1:28" ht="24" x14ac:dyDescent="0.3">
      <c r="A321" s="2">
        <f>IF(C_Ope_001[[#This Row],[tipo_r]]="R",COUNTIFS($C$1:$C320,"R")+1,"")</f>
        <v>320</v>
      </c>
      <c r="B321" s="19" t="str">
        <f t="shared" si="32"/>
        <v>C_Ope_001</v>
      </c>
      <c r="C321" s="3" t="s">
        <v>1330</v>
      </c>
      <c r="D321" s="211">
        <v>45849</v>
      </c>
      <c r="E321" s="5" t="s">
        <v>7753</v>
      </c>
      <c r="F321" s="5" t="s">
        <v>1336</v>
      </c>
      <c r="G321" s="6" t="s">
        <v>978</v>
      </c>
      <c r="H321" s="6" t="s">
        <v>68</v>
      </c>
      <c r="I321" s="6" t="s">
        <v>5688</v>
      </c>
      <c r="J321" s="6">
        <v>2394567</v>
      </c>
      <c r="K321" s="7" t="s">
        <v>7918</v>
      </c>
      <c r="L321" s="8">
        <v>24872</v>
      </c>
      <c r="M321" s="8" t="str">
        <f t="shared" si="31"/>
        <v>PEN</v>
      </c>
      <c r="N321" s="13"/>
      <c r="O321" s="13">
        <v>8</v>
      </c>
      <c r="P321" s="3">
        <f t="shared" si="26"/>
        <v>0</v>
      </c>
      <c r="Q321" s="3">
        <f t="shared" si="27"/>
        <v>8</v>
      </c>
      <c r="R321" s="3">
        <f t="shared" si="28"/>
        <v>72.590000000000032</v>
      </c>
      <c r="S321" s="24" t="s">
        <v>1334</v>
      </c>
      <c r="T321" s="24" t="s">
        <v>1334</v>
      </c>
      <c r="U321" s="3"/>
      <c r="V321" s="25" t="s">
        <v>7756</v>
      </c>
      <c r="W321" s="25">
        <v>20517252558</v>
      </c>
      <c r="X321" s="25" t="str">
        <f>IFERROR(VLOOKUP(C_Ope_001[[#This Row],[nota_2]],Clientes_Proveedores[[Ruc / Dni]:[Razon Social]],2,0),"")</f>
        <v>COVISUR S.A.</v>
      </c>
      <c r="Y321" s="25" t="s">
        <v>7888</v>
      </c>
      <c r="Z321" s="103"/>
      <c r="AA321" s="3" t="str">
        <f>IF(C_Ope_001[[#This Row],[fecha]]&gt;0,TEXT(C_Ope_001[[#This Row],[fecha]],"mmmm"),0)</f>
        <v>Julio</v>
      </c>
      <c r="AB321" s="159"/>
    </row>
    <row r="322" spans="1:28" ht="24" x14ac:dyDescent="0.3">
      <c r="A322" s="2">
        <f>IF(C_Ope_001[[#This Row],[tipo_r]]="R",COUNTIFS($C$1:$C321,"R")+1,"")</f>
        <v>321</v>
      </c>
      <c r="B322" s="19" t="str">
        <f t="shared" si="32"/>
        <v>C_Ope_001</v>
      </c>
      <c r="C322" s="3" t="s">
        <v>1330</v>
      </c>
      <c r="D322" s="211">
        <v>45849</v>
      </c>
      <c r="E322" s="5" t="s">
        <v>7753</v>
      </c>
      <c r="F322" s="5" t="s">
        <v>1336</v>
      </c>
      <c r="G322" s="6" t="s">
        <v>978</v>
      </c>
      <c r="H322" s="6" t="s">
        <v>68</v>
      </c>
      <c r="I322" s="6" t="s">
        <v>5845</v>
      </c>
      <c r="J322" s="6">
        <v>1801056</v>
      </c>
      <c r="K322" s="7" t="s">
        <v>7918</v>
      </c>
      <c r="L322" s="8">
        <v>24873</v>
      </c>
      <c r="M322" s="8" t="str">
        <f t="shared" si="31"/>
        <v>PEN</v>
      </c>
      <c r="N322" s="13"/>
      <c r="O322" s="13">
        <v>8</v>
      </c>
      <c r="P322" s="3">
        <f t="shared" ref="P322:P385" si="37">+IF(OR($F322="SALDO",$F322="INGRESO"),$O322,0)</f>
        <v>0</v>
      </c>
      <c r="Q322" s="3">
        <f t="shared" ref="Q322:Q385" si="38">+IF($F322="EGRESO",$O322,0)</f>
        <v>8</v>
      </c>
      <c r="R322" s="3">
        <f t="shared" ref="R322:R385" si="39">IFERROR(IF(F322="SALDO",P322,R321+P322-Q322),0)</f>
        <v>64.590000000000032</v>
      </c>
      <c r="S322" s="24" t="s">
        <v>1334</v>
      </c>
      <c r="T322" s="24" t="s">
        <v>1334</v>
      </c>
      <c r="U322" s="3"/>
      <c r="V322" s="25" t="s">
        <v>7756</v>
      </c>
      <c r="W322" s="25">
        <v>20517252558</v>
      </c>
      <c r="X322" s="25" t="str">
        <f>IFERROR(VLOOKUP(C_Ope_001[[#This Row],[nota_2]],Clientes_Proveedores[[Ruc / Dni]:[Razon Social]],2,0),"")</f>
        <v>COVISUR S.A.</v>
      </c>
      <c r="Y322" s="25" t="s">
        <v>7888</v>
      </c>
      <c r="Z322" s="103"/>
      <c r="AA322" s="3" t="str">
        <f>IF(C_Ope_001[[#This Row],[fecha]]&gt;0,TEXT(C_Ope_001[[#This Row],[fecha]],"mmmm"),0)</f>
        <v>Julio</v>
      </c>
      <c r="AB322" s="159"/>
    </row>
    <row r="323" spans="1:28" ht="36" x14ac:dyDescent="0.3">
      <c r="A323" s="2">
        <f>IF(C_Ope_001[[#This Row],[tipo_r]]="R",COUNTIFS($C$1:$C322,"R")+1,"")</f>
        <v>322</v>
      </c>
      <c r="B323" s="19" t="str">
        <f>"C_Ope_001"</f>
        <v>C_Ope_001</v>
      </c>
      <c r="C323" s="3" t="s">
        <v>1330</v>
      </c>
      <c r="D323" s="211">
        <v>45849</v>
      </c>
      <c r="E323" s="5" t="s">
        <v>7753</v>
      </c>
      <c r="F323" s="5" t="s">
        <v>1336</v>
      </c>
      <c r="G323" s="6" t="s">
        <v>227</v>
      </c>
      <c r="H323" s="6" t="s">
        <v>68</v>
      </c>
      <c r="I323" s="6" t="s">
        <v>1390</v>
      </c>
      <c r="J323" s="6">
        <v>134039</v>
      </c>
      <c r="K323" s="7" t="s">
        <v>7915</v>
      </c>
      <c r="L323" s="8">
        <v>24874</v>
      </c>
      <c r="M323" s="8" t="str">
        <f>"PEN"</f>
        <v>PEN</v>
      </c>
      <c r="N323" s="13"/>
      <c r="O323" s="13">
        <v>10</v>
      </c>
      <c r="P323" s="3">
        <f t="shared" si="37"/>
        <v>0</v>
      </c>
      <c r="Q323" s="3">
        <f t="shared" si="38"/>
        <v>10</v>
      </c>
      <c r="R323" s="3">
        <f t="shared" si="39"/>
        <v>54.590000000000032</v>
      </c>
      <c r="S323" s="24" t="s">
        <v>1334</v>
      </c>
      <c r="T323" s="24" t="s">
        <v>1334</v>
      </c>
      <c r="U323" s="3"/>
      <c r="V323" s="25" t="s">
        <v>7756</v>
      </c>
      <c r="W323" s="25">
        <v>20124952850</v>
      </c>
      <c r="X323" s="25" t="str">
        <f>IFERROR(VLOOKUP(C_Ope_001[[#This Row],[nota_2]],Clientes_Proveedores[[Ruc / Dni]:[Razon Social]],2,0),"")</f>
        <v>ALIMENTOS Y SERVICIOS AGROPECUARIOS SRL.</v>
      </c>
      <c r="Y323" s="25" t="s">
        <v>5933</v>
      </c>
      <c r="Z323" s="103"/>
      <c r="AA323" s="3" t="str">
        <f>IF(C_Ope_001[[#This Row],[fecha]]&gt;0,TEXT(C_Ope_001[[#This Row],[fecha]],"mmmm"),0)</f>
        <v>Julio</v>
      </c>
      <c r="AB323" s="159"/>
    </row>
    <row r="324" spans="1:28" ht="24" x14ac:dyDescent="0.3">
      <c r="A324" s="2">
        <f>IF(C_Ope_001[[#This Row],[tipo_r]]="R",COUNTIFS($C$1:$C323,"R")+1,"")</f>
        <v>323</v>
      </c>
      <c r="B324" s="19" t="str">
        <f t="shared" si="32"/>
        <v>C_Ope_001</v>
      </c>
      <c r="C324" s="3" t="s">
        <v>1330</v>
      </c>
      <c r="D324" s="211">
        <v>45852</v>
      </c>
      <c r="E324" s="5" t="s">
        <v>7753</v>
      </c>
      <c r="F324" s="5" t="s">
        <v>1336</v>
      </c>
      <c r="G324" s="6" t="s">
        <v>978</v>
      </c>
      <c r="H324" s="6" t="s">
        <v>68</v>
      </c>
      <c r="I324" s="6" t="s">
        <v>6203</v>
      </c>
      <c r="J324" s="6">
        <v>2110914</v>
      </c>
      <c r="K324" s="7" t="s">
        <v>7919</v>
      </c>
      <c r="L324" s="8">
        <v>24887</v>
      </c>
      <c r="M324" s="8" t="str">
        <f t="shared" si="31"/>
        <v>PEN</v>
      </c>
      <c r="N324" s="13"/>
      <c r="O324" s="13">
        <v>8</v>
      </c>
      <c r="P324" s="3">
        <f t="shared" si="37"/>
        <v>0</v>
      </c>
      <c r="Q324" s="3">
        <f t="shared" si="38"/>
        <v>8</v>
      </c>
      <c r="R324" s="3">
        <f t="shared" si="39"/>
        <v>46.590000000000032</v>
      </c>
      <c r="S324" s="24" t="s">
        <v>1334</v>
      </c>
      <c r="T324" s="24" t="s">
        <v>1334</v>
      </c>
      <c r="U324" s="3"/>
      <c r="V324" s="25" t="s">
        <v>7756</v>
      </c>
      <c r="W324" s="25">
        <v>20517252558</v>
      </c>
      <c r="X324" s="25" t="str">
        <f>IFERROR(VLOOKUP(C_Ope_001[[#This Row],[nota_2]],Clientes_Proveedores[[Ruc / Dni]:[Razon Social]],2,0),"")</f>
        <v>COVISUR S.A.</v>
      </c>
      <c r="Y324" s="25" t="s">
        <v>7888</v>
      </c>
      <c r="Z324" s="103"/>
      <c r="AA324" s="3" t="str">
        <f>IF(C_Ope_001[[#This Row],[fecha]]&gt;0,TEXT(C_Ope_001[[#This Row],[fecha]],"mmmm"),0)</f>
        <v>Julio</v>
      </c>
      <c r="AB324" s="159"/>
    </row>
    <row r="325" spans="1:28" ht="24" x14ac:dyDescent="0.3">
      <c r="A325" s="2">
        <f>IF(C_Ope_001[[#This Row],[tipo_r]]="R",COUNTIFS($C$1:$C324,"R")+1,"")</f>
        <v>324</v>
      </c>
      <c r="B325" s="19" t="str">
        <f t="shared" si="32"/>
        <v>C_Ope_001</v>
      </c>
      <c r="C325" s="3" t="s">
        <v>1330</v>
      </c>
      <c r="D325" s="211">
        <v>45852</v>
      </c>
      <c r="E325" s="5" t="s">
        <v>7753</v>
      </c>
      <c r="F325" s="5" t="s">
        <v>1336</v>
      </c>
      <c r="G325" s="6" t="s">
        <v>978</v>
      </c>
      <c r="H325" s="6" t="s">
        <v>68</v>
      </c>
      <c r="I325" s="6" t="s">
        <v>6204</v>
      </c>
      <c r="J325" s="6">
        <v>1783194</v>
      </c>
      <c r="K325" s="7" t="s">
        <v>7919</v>
      </c>
      <c r="L325" s="8">
        <v>24888</v>
      </c>
      <c r="M325" s="8" t="str">
        <f t="shared" si="31"/>
        <v>PEN</v>
      </c>
      <c r="N325" s="13"/>
      <c r="O325" s="13">
        <v>8</v>
      </c>
      <c r="P325" s="3">
        <f t="shared" si="37"/>
        <v>0</v>
      </c>
      <c r="Q325" s="3">
        <f t="shared" si="38"/>
        <v>8</v>
      </c>
      <c r="R325" s="3">
        <f t="shared" si="39"/>
        <v>38.590000000000032</v>
      </c>
      <c r="S325" s="24" t="s">
        <v>1334</v>
      </c>
      <c r="T325" s="24" t="s">
        <v>1334</v>
      </c>
      <c r="U325" s="3"/>
      <c r="V325" s="25" t="s">
        <v>7756</v>
      </c>
      <c r="W325" s="25">
        <v>20517252558</v>
      </c>
      <c r="X325" s="25" t="str">
        <f>IFERROR(VLOOKUP(C_Ope_001[[#This Row],[nota_2]],Clientes_Proveedores[[Ruc / Dni]:[Razon Social]],2,0),"")</f>
        <v>COVISUR S.A.</v>
      </c>
      <c r="Y325" s="25" t="s">
        <v>7888</v>
      </c>
      <c r="Z325" s="103"/>
      <c r="AA325" s="3" t="str">
        <f>IF(C_Ope_001[[#This Row],[fecha]]&gt;0,TEXT(C_Ope_001[[#This Row],[fecha]],"mmmm"),0)</f>
        <v>Julio</v>
      </c>
      <c r="AB325" s="159"/>
    </row>
    <row r="326" spans="1:28" ht="36" x14ac:dyDescent="0.3">
      <c r="A326" s="2">
        <f>IF(C_Ope_001[[#This Row],[tipo_r]]="R",COUNTIFS($C$1:$C325,"R")+1,"")</f>
        <v>325</v>
      </c>
      <c r="B326" s="19" t="str">
        <f>"C_Ope_001"</f>
        <v>C_Ope_001</v>
      </c>
      <c r="C326" s="3" t="s">
        <v>1330</v>
      </c>
      <c r="D326" s="211">
        <v>45852</v>
      </c>
      <c r="E326" s="5" t="s">
        <v>7753</v>
      </c>
      <c r="F326" s="5" t="s">
        <v>1336</v>
      </c>
      <c r="G326" s="6" t="s">
        <v>227</v>
      </c>
      <c r="H326" s="6" t="s">
        <v>68</v>
      </c>
      <c r="I326" s="6" t="s">
        <v>1390</v>
      </c>
      <c r="J326" s="6">
        <v>134128</v>
      </c>
      <c r="K326" s="7" t="s">
        <v>7891</v>
      </c>
      <c r="L326" s="8">
        <v>24889</v>
      </c>
      <c r="M326" s="8" t="str">
        <f>"PEN"</f>
        <v>PEN</v>
      </c>
      <c r="N326" s="13"/>
      <c r="O326" s="13">
        <v>10</v>
      </c>
      <c r="P326" s="3">
        <f t="shared" si="37"/>
        <v>0</v>
      </c>
      <c r="Q326" s="3">
        <f t="shared" si="38"/>
        <v>10</v>
      </c>
      <c r="R326" s="3">
        <f t="shared" si="39"/>
        <v>28.590000000000032</v>
      </c>
      <c r="S326" s="24" t="s">
        <v>1334</v>
      </c>
      <c r="T326" s="24" t="s">
        <v>1334</v>
      </c>
      <c r="U326" s="3"/>
      <c r="V326" s="25" t="s">
        <v>7756</v>
      </c>
      <c r="W326" s="25">
        <v>20124952850</v>
      </c>
      <c r="X326" s="25" t="str">
        <f>IFERROR(VLOOKUP(C_Ope_001[[#This Row],[nota_2]],Clientes_Proveedores[[Ruc / Dni]:[Razon Social]],2,0),"")</f>
        <v>ALIMENTOS Y SERVICIOS AGROPECUARIOS SRL.</v>
      </c>
      <c r="Y326" s="25" t="s">
        <v>5933</v>
      </c>
      <c r="Z326" s="103"/>
      <c r="AA326" s="3" t="str">
        <f>IF(C_Ope_001[[#This Row],[fecha]]&gt;0,TEXT(C_Ope_001[[#This Row],[fecha]],"mmmm"),0)</f>
        <v>Julio</v>
      </c>
      <c r="AB326" s="159"/>
    </row>
    <row r="327" spans="1:28" x14ac:dyDescent="0.3">
      <c r="A327" s="2">
        <f>IF(C_Ope_001[[#This Row],[tipo_r]]="R",COUNTIFS($C$1:$C326,"R")+1,"")</f>
        <v>326</v>
      </c>
      <c r="B327" s="19" t="str">
        <f>"C_Ope_001"</f>
        <v>C_Ope_001</v>
      </c>
      <c r="C327" s="3" t="s">
        <v>1330</v>
      </c>
      <c r="D327" s="211">
        <v>45853</v>
      </c>
      <c r="E327" s="5" t="s">
        <v>7753</v>
      </c>
      <c r="F327" s="5" t="s">
        <v>1336</v>
      </c>
      <c r="G327" s="6" t="s">
        <v>978</v>
      </c>
      <c r="H327" s="6" t="s">
        <v>68</v>
      </c>
      <c r="I327" s="6" t="s">
        <v>5845</v>
      </c>
      <c r="J327" s="6">
        <v>1804256</v>
      </c>
      <c r="K327" s="7" t="s">
        <v>7920</v>
      </c>
      <c r="L327" s="8">
        <v>24893</v>
      </c>
      <c r="M327" s="8" t="str">
        <f>"PEN"</f>
        <v>PEN</v>
      </c>
      <c r="N327" s="13"/>
      <c r="O327" s="13">
        <v>8</v>
      </c>
      <c r="P327" s="3">
        <f t="shared" si="37"/>
        <v>0</v>
      </c>
      <c r="Q327" s="3">
        <f t="shared" si="38"/>
        <v>8</v>
      </c>
      <c r="R327" s="3">
        <f t="shared" si="39"/>
        <v>20.590000000000032</v>
      </c>
      <c r="S327" s="24" t="s">
        <v>1334</v>
      </c>
      <c r="T327" s="24" t="s">
        <v>1334</v>
      </c>
      <c r="U327" s="3"/>
      <c r="V327" s="25" t="s">
        <v>7756</v>
      </c>
      <c r="W327" s="25">
        <v>20517252558</v>
      </c>
      <c r="X327" s="25" t="str">
        <f>IFERROR(VLOOKUP(C_Ope_001[[#This Row],[nota_2]],Clientes_Proveedores[[Ruc / Dni]:[Razon Social]],2,0),"")</f>
        <v>COVISUR S.A.</v>
      </c>
      <c r="Y327" s="25" t="s">
        <v>7888</v>
      </c>
      <c r="Z327" s="103"/>
      <c r="AA327" s="3" t="str">
        <f>IF(C_Ope_001[[#This Row],[fecha]]&gt;0,TEXT(C_Ope_001[[#This Row],[fecha]],"mmmm"),0)</f>
        <v>Julio</v>
      </c>
      <c r="AB327" s="159"/>
    </row>
    <row r="328" spans="1:28" x14ac:dyDescent="0.3">
      <c r="A328" s="2">
        <f>IF(C_Ope_001[[#This Row],[tipo_r]]="R",COUNTIFS($C$1:$C327,"R")+1,"")</f>
        <v>327</v>
      </c>
      <c r="B328" s="19" t="str">
        <f>"C_Ope_001"</f>
        <v>C_Ope_001</v>
      </c>
      <c r="C328" s="3" t="s">
        <v>1330</v>
      </c>
      <c r="D328" s="211">
        <v>45853</v>
      </c>
      <c r="E328" s="5" t="s">
        <v>7753</v>
      </c>
      <c r="F328" s="5" t="s">
        <v>1336</v>
      </c>
      <c r="G328" s="6" t="s">
        <v>978</v>
      </c>
      <c r="H328" s="6" t="s">
        <v>68</v>
      </c>
      <c r="I328" s="6" t="s">
        <v>6204</v>
      </c>
      <c r="J328" s="6">
        <v>1784393</v>
      </c>
      <c r="K328" s="7" t="s">
        <v>7920</v>
      </c>
      <c r="L328" s="8">
        <v>24894</v>
      </c>
      <c r="M328" s="8" t="str">
        <f>"PEN"</f>
        <v>PEN</v>
      </c>
      <c r="N328" s="13"/>
      <c r="O328" s="13">
        <v>8</v>
      </c>
      <c r="P328" s="3">
        <f t="shared" si="37"/>
        <v>0</v>
      </c>
      <c r="Q328" s="3">
        <f t="shared" si="38"/>
        <v>8</v>
      </c>
      <c r="R328" s="3">
        <f t="shared" si="39"/>
        <v>12.590000000000032</v>
      </c>
      <c r="S328" s="24" t="s">
        <v>1334</v>
      </c>
      <c r="T328" s="24" t="s">
        <v>1334</v>
      </c>
      <c r="U328" s="3"/>
      <c r="V328" s="25" t="s">
        <v>7756</v>
      </c>
      <c r="W328" s="25">
        <v>20517252558</v>
      </c>
      <c r="X328" s="25" t="str">
        <f>IFERROR(VLOOKUP(C_Ope_001[[#This Row],[nota_2]],Clientes_Proveedores[[Ruc / Dni]:[Razon Social]],2,0),"")</f>
        <v>COVISUR S.A.</v>
      </c>
      <c r="Y328" s="25" t="s">
        <v>7888</v>
      </c>
      <c r="Z328" s="103"/>
      <c r="AA328" s="3" t="str">
        <f>IF(C_Ope_001[[#This Row],[fecha]]&gt;0,TEXT(C_Ope_001[[#This Row],[fecha]],"mmmm"),0)</f>
        <v>Julio</v>
      </c>
      <c r="AB328" s="159"/>
    </row>
    <row r="329" spans="1:28" ht="24" x14ac:dyDescent="0.3">
      <c r="A329" s="2">
        <f>IF(C_Ope_001[[#This Row],[tipo_r]]="R",COUNTIFS($C$1:$C328,"R")+1,"")</f>
        <v>328</v>
      </c>
      <c r="B329" s="19" t="str">
        <f>"C_Ope_001"</f>
        <v>C_Ope_001</v>
      </c>
      <c r="C329" s="3" t="s">
        <v>1330</v>
      </c>
      <c r="D329" s="211">
        <v>45853</v>
      </c>
      <c r="E329" s="5" t="s">
        <v>7753</v>
      </c>
      <c r="F329" s="5" t="s">
        <v>1336</v>
      </c>
      <c r="G329" s="6" t="s">
        <v>999</v>
      </c>
      <c r="H329" s="6" t="s">
        <v>68</v>
      </c>
      <c r="I329" s="6" t="s">
        <v>1374</v>
      </c>
      <c r="J329" s="6">
        <v>18731</v>
      </c>
      <c r="K329" s="7" t="s">
        <v>7893</v>
      </c>
      <c r="L329" s="8">
        <v>24895</v>
      </c>
      <c r="M329" s="8" t="str">
        <f>"PEN"</f>
        <v>PEN</v>
      </c>
      <c r="N329" s="13"/>
      <c r="O329" s="13">
        <v>25</v>
      </c>
      <c r="P329" s="3">
        <f t="shared" si="37"/>
        <v>0</v>
      </c>
      <c r="Q329" s="3">
        <f t="shared" si="38"/>
        <v>25</v>
      </c>
      <c r="R329" s="3">
        <f t="shared" si="39"/>
        <v>-12.409999999999968</v>
      </c>
      <c r="S329" s="24" t="s">
        <v>1334</v>
      </c>
      <c r="T329" s="24" t="s">
        <v>1334</v>
      </c>
      <c r="U329" s="3"/>
      <c r="V329" s="25" t="s">
        <v>7756</v>
      </c>
      <c r="W329" s="25">
        <v>10705628331</v>
      </c>
      <c r="X329" s="25" t="str">
        <f>IFERROR(VLOOKUP(C_Ope_001[[#This Row],[nota_2]],Clientes_Proveedores[[Ruc / Dni]:[Razon Social]],2,0),"")</f>
        <v>LARICO APAZA NANCY ROSSMARY</v>
      </c>
      <c r="Y329" s="25" t="s">
        <v>7894</v>
      </c>
      <c r="Z329" s="103"/>
      <c r="AA329" s="3" t="str">
        <f>IF(C_Ope_001[[#This Row],[fecha]]&gt;0,TEXT(C_Ope_001[[#This Row],[fecha]],"mmmm"),0)</f>
        <v>Julio</v>
      </c>
      <c r="AB329" s="159"/>
    </row>
    <row r="330" spans="1:28" x14ac:dyDescent="0.3">
      <c r="A330" s="2">
        <f>IF(C_Ope_001[[#This Row],[tipo_r]]="R",COUNTIFS($C$1:$C329,"R")+1,"")</f>
        <v>329</v>
      </c>
      <c r="B330" s="19" t="str">
        <f t="shared" ref="B330:B338" si="40">"C_Ope_001"</f>
        <v>C_Ope_001</v>
      </c>
      <c r="C330" s="3" t="s">
        <v>1330</v>
      </c>
      <c r="D330" s="211">
        <v>45854</v>
      </c>
      <c r="E330" s="5" t="s">
        <v>7753</v>
      </c>
      <c r="F330" s="5" t="s">
        <v>1336</v>
      </c>
      <c r="G330" s="6" t="s">
        <v>978</v>
      </c>
      <c r="H330" s="6" t="s">
        <v>68</v>
      </c>
      <c r="I330" s="6" t="s">
        <v>5845</v>
      </c>
      <c r="J330" s="6">
        <v>1805464</v>
      </c>
      <c r="K330" s="7" t="s">
        <v>7921</v>
      </c>
      <c r="L330" s="8">
        <v>24916</v>
      </c>
      <c r="M330" s="8" t="str">
        <f t="shared" ref="M330:M338" si="41">"PEN"</f>
        <v>PEN</v>
      </c>
      <c r="N330" s="13"/>
      <c r="O330" s="13">
        <v>5</v>
      </c>
      <c r="P330" s="3">
        <f t="shared" si="37"/>
        <v>0</v>
      </c>
      <c r="Q330" s="3">
        <f t="shared" si="38"/>
        <v>5</v>
      </c>
      <c r="R330" s="3">
        <f t="shared" si="39"/>
        <v>-17.409999999999968</v>
      </c>
      <c r="S330" s="24" t="s">
        <v>1334</v>
      </c>
      <c r="T330" s="24" t="s">
        <v>1334</v>
      </c>
      <c r="U330" s="3"/>
      <c r="V330" s="25" t="s">
        <v>7754</v>
      </c>
      <c r="W330" s="25">
        <v>20517252558</v>
      </c>
      <c r="X330" s="25" t="str">
        <f>IFERROR(VLOOKUP(C_Ope_001[[#This Row],[nota_2]],Clientes_Proveedores[[Ruc / Dni]:[Razon Social]],2,0),"")</f>
        <v>COVISUR S.A.</v>
      </c>
      <c r="Y330" s="25" t="s">
        <v>7888</v>
      </c>
      <c r="Z330" s="103"/>
      <c r="AA330" s="3" t="str">
        <f>IF(C_Ope_001[[#This Row],[fecha]]&gt;0,TEXT(C_Ope_001[[#This Row],[fecha]],"mmmm"),0)</f>
        <v>Julio</v>
      </c>
      <c r="AB330" s="159"/>
    </row>
    <row r="331" spans="1:28" x14ac:dyDescent="0.3">
      <c r="A331" s="2">
        <f>IF(C_Ope_001[[#This Row],[tipo_r]]="R",COUNTIFS($C$1:$C330,"R")+1,"")</f>
        <v>330</v>
      </c>
      <c r="B331" s="19" t="str">
        <f t="shared" si="40"/>
        <v>C_Ope_001</v>
      </c>
      <c r="C331" s="3" t="s">
        <v>1330</v>
      </c>
      <c r="D331" s="211">
        <v>45854</v>
      </c>
      <c r="E331" s="5" t="s">
        <v>7753</v>
      </c>
      <c r="F331" s="5" t="s">
        <v>1336</v>
      </c>
      <c r="G331" s="6" t="s">
        <v>978</v>
      </c>
      <c r="H331" s="6" t="s">
        <v>68</v>
      </c>
      <c r="I331" s="6" t="s">
        <v>5688</v>
      </c>
      <c r="J331" s="6">
        <v>2399584</v>
      </c>
      <c r="K331" s="7" t="s">
        <v>7921</v>
      </c>
      <c r="L331" s="8">
        <v>24917</v>
      </c>
      <c r="M331" s="8" t="str">
        <f t="shared" si="41"/>
        <v>PEN</v>
      </c>
      <c r="N331" s="13"/>
      <c r="O331" s="13">
        <v>5</v>
      </c>
      <c r="P331" s="3">
        <f t="shared" si="37"/>
        <v>0</v>
      </c>
      <c r="Q331" s="3">
        <f t="shared" si="38"/>
        <v>5</v>
      </c>
      <c r="R331" s="3">
        <f t="shared" si="39"/>
        <v>-22.409999999999968</v>
      </c>
      <c r="S331" s="24" t="s">
        <v>1334</v>
      </c>
      <c r="T331" s="24" t="s">
        <v>1334</v>
      </c>
      <c r="U331" s="3"/>
      <c r="V331" s="25" t="s">
        <v>7754</v>
      </c>
      <c r="W331" s="25">
        <v>20517252558</v>
      </c>
      <c r="X331" s="25" t="str">
        <f>IFERROR(VLOOKUP(C_Ope_001[[#This Row],[nota_2]],Clientes_Proveedores[[Ruc / Dni]:[Razon Social]],2,0),"")</f>
        <v>COVISUR S.A.</v>
      </c>
      <c r="Y331" s="25" t="s">
        <v>7888</v>
      </c>
      <c r="Z331" s="103"/>
      <c r="AA331" s="3" t="str">
        <f>IF(C_Ope_001[[#This Row],[fecha]]&gt;0,TEXT(C_Ope_001[[#This Row],[fecha]],"mmmm"),0)</f>
        <v>Julio</v>
      </c>
      <c r="AB331" s="159"/>
    </row>
    <row r="332" spans="1:28" x14ac:dyDescent="0.3">
      <c r="A332" s="2">
        <f>IF(C_Ope_001[[#This Row],[tipo_r]]="R",COUNTIFS($C$1:$C331,"R")+1,"")</f>
        <v>331</v>
      </c>
      <c r="B332" s="19" t="str">
        <f t="shared" si="40"/>
        <v>C_Ope_001</v>
      </c>
      <c r="C332" s="3" t="s">
        <v>1330</v>
      </c>
      <c r="D332" s="211">
        <v>45855</v>
      </c>
      <c r="E332" s="5" t="s">
        <v>7753</v>
      </c>
      <c r="F332" s="5" t="s">
        <v>1336</v>
      </c>
      <c r="G332" s="6" t="s">
        <v>978</v>
      </c>
      <c r="H332" s="6" t="s">
        <v>68</v>
      </c>
      <c r="I332" s="6" t="s">
        <v>5845</v>
      </c>
      <c r="J332" s="6">
        <v>1806426</v>
      </c>
      <c r="K332" s="7" t="s">
        <v>7922</v>
      </c>
      <c r="L332" s="8">
        <v>24914</v>
      </c>
      <c r="M332" s="8" t="str">
        <f t="shared" si="41"/>
        <v>PEN</v>
      </c>
      <c r="N332" s="13"/>
      <c r="O332" s="13">
        <v>8</v>
      </c>
      <c r="P332" s="3">
        <f t="shared" si="37"/>
        <v>0</v>
      </c>
      <c r="Q332" s="3">
        <f t="shared" si="38"/>
        <v>8</v>
      </c>
      <c r="R332" s="3">
        <f t="shared" si="39"/>
        <v>-30.409999999999968</v>
      </c>
      <c r="S332" s="24" t="s">
        <v>1334</v>
      </c>
      <c r="T332" s="24" t="s">
        <v>1334</v>
      </c>
      <c r="U332" s="3"/>
      <c r="V332" s="25" t="s">
        <v>7756</v>
      </c>
      <c r="W332" s="25">
        <v>20517252558</v>
      </c>
      <c r="X332" s="25" t="str">
        <f>IFERROR(VLOOKUP(C_Ope_001[[#This Row],[nota_2]],Clientes_Proveedores[[Ruc / Dni]:[Razon Social]],2,0),"")</f>
        <v>COVISUR S.A.</v>
      </c>
      <c r="Y332" s="25" t="s">
        <v>7888</v>
      </c>
      <c r="Z332" s="103"/>
      <c r="AA332" s="3" t="str">
        <f>IF(C_Ope_001[[#This Row],[fecha]]&gt;0,TEXT(C_Ope_001[[#This Row],[fecha]],"mmmm"),0)</f>
        <v>Julio</v>
      </c>
      <c r="AB332" s="159"/>
    </row>
    <row r="333" spans="1:28" x14ac:dyDescent="0.3">
      <c r="A333" s="2">
        <f>IF(C_Ope_001[[#This Row],[tipo_r]]="R",COUNTIFS($C$1:$C332,"R")+1,"")</f>
        <v>332</v>
      </c>
      <c r="B333" s="19" t="str">
        <f t="shared" si="40"/>
        <v>C_Ope_001</v>
      </c>
      <c r="C333" s="3" t="s">
        <v>1330</v>
      </c>
      <c r="D333" s="211">
        <v>45855</v>
      </c>
      <c r="E333" s="5" t="s">
        <v>7753</v>
      </c>
      <c r="F333" s="5" t="s">
        <v>1336</v>
      </c>
      <c r="G333" s="6" t="s">
        <v>978</v>
      </c>
      <c r="H333" s="6" t="s">
        <v>68</v>
      </c>
      <c r="I333" s="6" t="s">
        <v>6204</v>
      </c>
      <c r="J333" s="6">
        <v>1786516</v>
      </c>
      <c r="K333" s="7" t="s">
        <v>7922</v>
      </c>
      <c r="L333" s="8">
        <v>24915</v>
      </c>
      <c r="M333" s="8" t="str">
        <f t="shared" si="41"/>
        <v>PEN</v>
      </c>
      <c r="N333" s="13"/>
      <c r="O333" s="13">
        <v>8</v>
      </c>
      <c r="P333" s="3">
        <f t="shared" si="37"/>
        <v>0</v>
      </c>
      <c r="Q333" s="3">
        <f t="shared" si="38"/>
        <v>8</v>
      </c>
      <c r="R333" s="3">
        <f t="shared" si="39"/>
        <v>-38.409999999999968</v>
      </c>
      <c r="S333" s="24" t="s">
        <v>1334</v>
      </c>
      <c r="T333" s="24" t="s">
        <v>1334</v>
      </c>
      <c r="U333" s="3"/>
      <c r="V333" s="25" t="s">
        <v>7756</v>
      </c>
      <c r="W333" s="25">
        <v>20517252558</v>
      </c>
      <c r="X333" s="25" t="str">
        <f>IFERROR(VLOOKUP(C_Ope_001[[#This Row],[nota_2]],Clientes_Proveedores[[Ruc / Dni]:[Razon Social]],2,0),"")</f>
        <v>COVISUR S.A.</v>
      </c>
      <c r="Y333" s="25" t="s">
        <v>7888</v>
      </c>
      <c r="Z333" s="103"/>
      <c r="AA333" s="3" t="str">
        <f>IF(C_Ope_001[[#This Row],[fecha]]&gt;0,TEXT(C_Ope_001[[#This Row],[fecha]],"mmmm"),0)</f>
        <v>Julio</v>
      </c>
      <c r="AB333" s="159"/>
    </row>
    <row r="334" spans="1:28" ht="36" x14ac:dyDescent="0.3">
      <c r="A334" s="2">
        <f>IF(C_Ope_001[[#This Row],[tipo_r]]="R",COUNTIFS($C$1:$C333,"R")+1,"")</f>
        <v>333</v>
      </c>
      <c r="B334" s="19" t="str">
        <f t="shared" si="40"/>
        <v>C_Ope_001</v>
      </c>
      <c r="C334" s="3" t="s">
        <v>1330</v>
      </c>
      <c r="D334" s="211">
        <v>45855</v>
      </c>
      <c r="E334" s="5" t="s">
        <v>7753</v>
      </c>
      <c r="F334" s="5" t="s">
        <v>1336</v>
      </c>
      <c r="G334" s="6" t="s">
        <v>682</v>
      </c>
      <c r="H334" s="6" t="s">
        <v>68</v>
      </c>
      <c r="I334" s="6" t="s">
        <v>1353</v>
      </c>
      <c r="J334" s="6">
        <v>17012</v>
      </c>
      <c r="K334" s="7" t="s">
        <v>7923</v>
      </c>
      <c r="L334" s="8">
        <v>24918</v>
      </c>
      <c r="M334" s="8" t="str">
        <f t="shared" si="41"/>
        <v>PEN</v>
      </c>
      <c r="N334" s="13"/>
      <c r="O334" s="13">
        <v>20</v>
      </c>
      <c r="P334" s="3">
        <f t="shared" si="37"/>
        <v>0</v>
      </c>
      <c r="Q334" s="3">
        <f t="shared" si="38"/>
        <v>20</v>
      </c>
      <c r="R334" s="3">
        <f t="shared" si="39"/>
        <v>-58.409999999999968</v>
      </c>
      <c r="S334" s="24" t="s">
        <v>1334</v>
      </c>
      <c r="T334" s="24" t="s">
        <v>1334</v>
      </c>
      <c r="U334" s="3"/>
      <c r="V334" s="25" t="s">
        <v>7756</v>
      </c>
      <c r="W334" s="25">
        <v>20259858934</v>
      </c>
      <c r="X334" s="25" t="str">
        <f>IFERROR(VLOOKUP(C_Ope_001[[#This Row],[nota_2]],Clientes_Proveedores[[Ruc / Dni]:[Razon Social]],2,0),"")</f>
        <v>COMERCIALIZACION Y SERVICIOS EL EDEN S.A.C.</v>
      </c>
      <c r="Y334" s="25" t="s">
        <v>5933</v>
      </c>
      <c r="Z334" s="103"/>
      <c r="AA334" s="3" t="str">
        <f>IF(C_Ope_001[[#This Row],[fecha]]&gt;0,TEXT(C_Ope_001[[#This Row],[fecha]],"mmmm"),0)</f>
        <v>Julio</v>
      </c>
      <c r="AB334" s="159"/>
    </row>
    <row r="335" spans="1:28" ht="36" x14ac:dyDescent="0.3">
      <c r="A335" s="2">
        <f>IF(C_Ope_001[[#This Row],[tipo_r]]="R",COUNTIFS($C$1:$C334,"R")+1,"")</f>
        <v>334</v>
      </c>
      <c r="B335" s="19" t="str">
        <f t="shared" si="40"/>
        <v>C_Ope_001</v>
      </c>
      <c r="C335" s="3" t="s">
        <v>1330</v>
      </c>
      <c r="D335" s="211">
        <v>45856</v>
      </c>
      <c r="E335" s="5" t="s">
        <v>7753</v>
      </c>
      <c r="F335" s="5" t="s">
        <v>1336</v>
      </c>
      <c r="G335" s="6" t="s">
        <v>227</v>
      </c>
      <c r="H335" s="6" t="s">
        <v>68</v>
      </c>
      <c r="I335" s="6" t="s">
        <v>1390</v>
      </c>
      <c r="J335" s="6">
        <v>134324</v>
      </c>
      <c r="K335" s="7" t="s">
        <v>7891</v>
      </c>
      <c r="L335" s="8">
        <v>24945</v>
      </c>
      <c r="M335" s="8" t="str">
        <f t="shared" si="41"/>
        <v>PEN</v>
      </c>
      <c r="N335" s="13"/>
      <c r="O335" s="13">
        <v>10</v>
      </c>
      <c r="P335" s="3">
        <f t="shared" si="37"/>
        <v>0</v>
      </c>
      <c r="Q335" s="3">
        <f t="shared" si="38"/>
        <v>10</v>
      </c>
      <c r="R335" s="3">
        <f t="shared" si="39"/>
        <v>-68.409999999999968</v>
      </c>
      <c r="S335" s="24" t="s">
        <v>1334</v>
      </c>
      <c r="T335" s="24" t="s">
        <v>1334</v>
      </c>
      <c r="U335" s="3"/>
      <c r="V335" s="25" t="s">
        <v>7756</v>
      </c>
      <c r="W335" s="25">
        <v>20124952850</v>
      </c>
      <c r="X335" s="25" t="str">
        <f>IFERROR(VLOOKUP(C_Ope_001[[#This Row],[nota_2]],Clientes_Proveedores[[Ruc / Dni]:[Razon Social]],2,0),"")</f>
        <v>ALIMENTOS Y SERVICIOS AGROPECUARIOS SRL.</v>
      </c>
      <c r="Y335" s="25" t="s">
        <v>5933</v>
      </c>
      <c r="Z335" s="103"/>
      <c r="AA335" s="3" t="str">
        <f>IF(C_Ope_001[[#This Row],[fecha]]&gt;0,TEXT(C_Ope_001[[#This Row],[fecha]],"mmmm"),0)</f>
        <v>Julio</v>
      </c>
      <c r="AB335" s="159"/>
    </row>
    <row r="336" spans="1:28" ht="36" x14ac:dyDescent="0.3">
      <c r="A336" s="2">
        <f>IF(C_Ope_001[[#This Row],[tipo_r]]="R",COUNTIFS($C$1:$C335,"R")+1,"")</f>
        <v>335</v>
      </c>
      <c r="B336" s="19" t="str">
        <f t="shared" si="40"/>
        <v>C_Ope_001</v>
      </c>
      <c r="C336" s="3" t="s">
        <v>1330</v>
      </c>
      <c r="D336" s="211">
        <v>45856</v>
      </c>
      <c r="E336" s="5" t="s">
        <v>7753</v>
      </c>
      <c r="F336" s="5" t="s">
        <v>1336</v>
      </c>
      <c r="G336" s="6" t="s">
        <v>682</v>
      </c>
      <c r="H336" s="6" t="s">
        <v>68</v>
      </c>
      <c r="I336" s="6" t="s">
        <v>1353</v>
      </c>
      <c r="J336" s="6">
        <v>17025</v>
      </c>
      <c r="K336" s="7" t="s">
        <v>7924</v>
      </c>
      <c r="L336" s="8">
        <v>24946</v>
      </c>
      <c r="M336" s="8" t="str">
        <f t="shared" si="41"/>
        <v>PEN</v>
      </c>
      <c r="N336" s="13"/>
      <c r="O336" s="13">
        <v>20</v>
      </c>
      <c r="P336" s="3">
        <f t="shared" si="37"/>
        <v>0</v>
      </c>
      <c r="Q336" s="3">
        <f t="shared" si="38"/>
        <v>20</v>
      </c>
      <c r="R336" s="3">
        <f t="shared" si="39"/>
        <v>-88.409999999999968</v>
      </c>
      <c r="S336" s="24" t="s">
        <v>1334</v>
      </c>
      <c r="T336" s="24" t="s">
        <v>1334</v>
      </c>
      <c r="U336" s="3"/>
      <c r="V336" s="25" t="s">
        <v>7756</v>
      </c>
      <c r="W336" s="25">
        <v>20259858934</v>
      </c>
      <c r="X336" s="25" t="str">
        <f>IFERROR(VLOOKUP(C_Ope_001[[#This Row],[nota_2]],Clientes_Proveedores[[Ruc / Dni]:[Razon Social]],2,0),"")</f>
        <v>COMERCIALIZACION Y SERVICIOS EL EDEN S.A.C.</v>
      </c>
      <c r="Y336" s="25" t="s">
        <v>5933</v>
      </c>
      <c r="Z336" s="103"/>
      <c r="AA336" s="3" t="str">
        <f>IF(C_Ope_001[[#This Row],[fecha]]&gt;0,TEXT(C_Ope_001[[#This Row],[fecha]],"mmmm"),0)</f>
        <v>Julio</v>
      </c>
      <c r="AB336" s="159"/>
    </row>
    <row r="337" spans="1:28" x14ac:dyDescent="0.3">
      <c r="A337" s="2">
        <f>IF(C_Ope_001[[#This Row],[tipo_r]]="R",COUNTIFS($C$1:$C336,"R")+1,"")</f>
        <v>336</v>
      </c>
      <c r="B337" s="19" t="str">
        <f t="shared" si="40"/>
        <v>C_Ope_001</v>
      </c>
      <c r="C337" s="3" t="s">
        <v>1330</v>
      </c>
      <c r="D337" s="211">
        <v>45856</v>
      </c>
      <c r="E337" s="5" t="s">
        <v>7753</v>
      </c>
      <c r="F337" s="5" t="s">
        <v>1336</v>
      </c>
      <c r="G337" s="6" t="s">
        <v>978</v>
      </c>
      <c r="H337" s="6" t="s">
        <v>68</v>
      </c>
      <c r="I337" s="6" t="s">
        <v>6203</v>
      </c>
      <c r="J337" s="6">
        <v>2115343</v>
      </c>
      <c r="K337" s="7" t="s">
        <v>7925</v>
      </c>
      <c r="L337" s="8">
        <v>24943</v>
      </c>
      <c r="M337" s="8" t="str">
        <f t="shared" si="41"/>
        <v>PEN</v>
      </c>
      <c r="N337" s="13"/>
      <c r="O337" s="13">
        <v>8</v>
      </c>
      <c r="P337" s="3">
        <f t="shared" si="37"/>
        <v>0</v>
      </c>
      <c r="Q337" s="3">
        <f t="shared" si="38"/>
        <v>8</v>
      </c>
      <c r="R337" s="3">
        <f t="shared" si="39"/>
        <v>-96.409999999999968</v>
      </c>
      <c r="S337" s="24" t="s">
        <v>1334</v>
      </c>
      <c r="T337" s="24" t="s">
        <v>1334</v>
      </c>
      <c r="U337" s="3"/>
      <c r="V337" s="25" t="s">
        <v>7756</v>
      </c>
      <c r="W337" s="25">
        <v>20517252558</v>
      </c>
      <c r="X337" s="25" t="str">
        <f>IFERROR(VLOOKUP(C_Ope_001[[#This Row],[nota_2]],Clientes_Proveedores[[Ruc / Dni]:[Razon Social]],2,0),"")</f>
        <v>COVISUR S.A.</v>
      </c>
      <c r="Y337" s="25" t="s">
        <v>7888</v>
      </c>
      <c r="Z337" s="103"/>
      <c r="AA337" s="3" t="str">
        <f>IF(C_Ope_001[[#This Row],[fecha]]&gt;0,TEXT(C_Ope_001[[#This Row],[fecha]],"mmmm"),0)</f>
        <v>Julio</v>
      </c>
      <c r="AB337" s="159"/>
    </row>
    <row r="338" spans="1:28" x14ac:dyDescent="0.3">
      <c r="A338" s="2">
        <f>IF(C_Ope_001[[#This Row],[tipo_r]]="R",COUNTIFS($C$1:$C337,"R")+1,"")</f>
        <v>337</v>
      </c>
      <c r="B338" s="19" t="str">
        <f t="shared" si="40"/>
        <v>C_Ope_001</v>
      </c>
      <c r="C338" s="3" t="s">
        <v>1330</v>
      </c>
      <c r="D338" s="211">
        <v>45856</v>
      </c>
      <c r="E338" s="5" t="s">
        <v>7753</v>
      </c>
      <c r="F338" s="5" t="s">
        <v>1336</v>
      </c>
      <c r="G338" s="6" t="s">
        <v>978</v>
      </c>
      <c r="H338" s="6" t="s">
        <v>68</v>
      </c>
      <c r="I338" s="6" t="s">
        <v>6204</v>
      </c>
      <c r="J338" s="6">
        <v>1787357</v>
      </c>
      <c r="K338" s="7" t="s">
        <v>7925</v>
      </c>
      <c r="L338" s="8">
        <v>24944</v>
      </c>
      <c r="M338" s="8" t="str">
        <f t="shared" si="41"/>
        <v>PEN</v>
      </c>
      <c r="N338" s="13"/>
      <c r="O338" s="13">
        <v>8</v>
      </c>
      <c r="P338" s="3">
        <f t="shared" si="37"/>
        <v>0</v>
      </c>
      <c r="Q338" s="3">
        <f t="shared" si="38"/>
        <v>8</v>
      </c>
      <c r="R338" s="3">
        <f t="shared" si="39"/>
        <v>-104.40999999999997</v>
      </c>
      <c r="S338" s="24" t="s">
        <v>1334</v>
      </c>
      <c r="T338" s="24" t="s">
        <v>1334</v>
      </c>
      <c r="U338" s="3"/>
      <c r="V338" s="25" t="s">
        <v>7756</v>
      </c>
      <c r="W338" s="25">
        <v>20517252558</v>
      </c>
      <c r="X338" s="25" t="str">
        <f>IFERROR(VLOOKUP(C_Ope_001[[#This Row],[nota_2]],Clientes_Proveedores[[Ruc / Dni]:[Razon Social]],2,0),"")</f>
        <v>COVISUR S.A.</v>
      </c>
      <c r="Y338" s="25" t="s">
        <v>7888</v>
      </c>
      <c r="Z338" s="103"/>
      <c r="AA338" s="3" t="str">
        <f>IF(C_Ope_001[[#This Row],[fecha]]&gt;0,TEXT(C_Ope_001[[#This Row],[fecha]],"mmmm"),0)</f>
        <v>Julio</v>
      </c>
      <c r="AB338" s="159"/>
    </row>
    <row r="339" spans="1:28" ht="24" x14ac:dyDescent="0.3">
      <c r="A339" s="2">
        <f>IF(C_Ope_001[[#This Row],[tipo_r]]="R",COUNTIFS($C$1:$C338,"R")+1,"")</f>
        <v>338</v>
      </c>
      <c r="B339" s="19" t="str">
        <f>"C_Ope_001"</f>
        <v>C_Ope_001</v>
      </c>
      <c r="C339" s="3" t="s">
        <v>1330</v>
      </c>
      <c r="D339" s="211">
        <v>45859</v>
      </c>
      <c r="E339" s="5" t="s">
        <v>3634</v>
      </c>
      <c r="F339" s="5" t="s">
        <v>1303</v>
      </c>
      <c r="G339" s="6" t="s">
        <v>812</v>
      </c>
      <c r="H339" s="6"/>
      <c r="I339" s="6"/>
      <c r="J339" s="6"/>
      <c r="K339" s="7" t="s">
        <v>7516</v>
      </c>
      <c r="L339" s="8">
        <v>25041</v>
      </c>
      <c r="M339" s="8" t="str">
        <f>"PEN"</f>
        <v>PEN</v>
      </c>
      <c r="N339" s="13"/>
      <c r="O339" s="13">
        <v>300</v>
      </c>
      <c r="P339" s="3">
        <f t="shared" si="37"/>
        <v>300</v>
      </c>
      <c r="Q339" s="3">
        <f t="shared" si="38"/>
        <v>0</v>
      </c>
      <c r="R339" s="3">
        <f t="shared" si="39"/>
        <v>195.59000000000003</v>
      </c>
      <c r="S339" s="24" t="s">
        <v>1334</v>
      </c>
      <c r="T339" s="24" t="s">
        <v>1334</v>
      </c>
      <c r="U339" s="3"/>
      <c r="V339" s="25"/>
      <c r="W339" s="25"/>
      <c r="X339" s="25" t="str">
        <f>IFERROR(VLOOKUP(C_Ope_001[[#This Row],[nota_2]],Clientes_Proveedores[[Ruc / Dni]:[Razon Social]],2,0),"")</f>
        <v/>
      </c>
      <c r="Y339" s="25"/>
      <c r="Z339" s="103"/>
      <c r="AA339" s="3" t="str">
        <f>IF(C_Ope_001[[#This Row],[fecha]]&gt;0,TEXT(C_Ope_001[[#This Row],[fecha]],"mmmm"),0)</f>
        <v>Julio</v>
      </c>
      <c r="AB339" s="159"/>
    </row>
    <row r="340" spans="1:28" ht="36" x14ac:dyDescent="0.3">
      <c r="A340" s="2">
        <f>IF(C_Ope_001[[#This Row],[tipo_r]]="R",COUNTIFS($C$1:$C339,"R")+1,"")</f>
        <v>339</v>
      </c>
      <c r="B340" s="19" t="str">
        <f t="shared" ref="B340:B360" si="42">"C_Ope_001"</f>
        <v>C_Ope_001</v>
      </c>
      <c r="C340" s="3" t="s">
        <v>1330</v>
      </c>
      <c r="D340" s="211">
        <v>45859</v>
      </c>
      <c r="E340" s="5" t="s">
        <v>7753</v>
      </c>
      <c r="F340" s="5" t="s">
        <v>1336</v>
      </c>
      <c r="G340" s="6" t="s">
        <v>227</v>
      </c>
      <c r="H340" s="6" t="s">
        <v>68</v>
      </c>
      <c r="I340" s="6" t="s">
        <v>1390</v>
      </c>
      <c r="J340" s="6">
        <v>134450</v>
      </c>
      <c r="K340" s="7" t="s">
        <v>7891</v>
      </c>
      <c r="L340" s="8">
        <v>24959</v>
      </c>
      <c r="M340" s="8" t="str">
        <f t="shared" ref="M340:M360" si="43">"PEN"</f>
        <v>PEN</v>
      </c>
      <c r="N340" s="13"/>
      <c r="O340" s="13">
        <v>10</v>
      </c>
      <c r="P340" s="3">
        <f t="shared" si="37"/>
        <v>0</v>
      </c>
      <c r="Q340" s="3">
        <f t="shared" si="38"/>
        <v>10</v>
      </c>
      <c r="R340" s="3">
        <f t="shared" si="39"/>
        <v>185.59000000000003</v>
      </c>
      <c r="S340" s="24" t="s">
        <v>1334</v>
      </c>
      <c r="T340" s="24" t="s">
        <v>1334</v>
      </c>
      <c r="U340" s="3"/>
      <c r="V340" s="25" t="s">
        <v>7756</v>
      </c>
      <c r="W340" s="25">
        <v>20124952850</v>
      </c>
      <c r="X340" s="25" t="str">
        <f>IFERROR(VLOOKUP(C_Ope_001[[#This Row],[nota_2]],Clientes_Proveedores[[Ruc / Dni]:[Razon Social]],2,0),"")</f>
        <v>ALIMENTOS Y SERVICIOS AGROPECUARIOS SRL.</v>
      </c>
      <c r="Y340" s="25" t="s">
        <v>5933</v>
      </c>
      <c r="Z340" s="103"/>
      <c r="AA340" s="3" t="str">
        <f>IF(C_Ope_001[[#This Row],[fecha]]&gt;0,TEXT(C_Ope_001[[#This Row],[fecha]],"mmmm"),0)</f>
        <v>Julio</v>
      </c>
      <c r="AB340" s="159"/>
    </row>
    <row r="341" spans="1:28" x14ac:dyDescent="0.3">
      <c r="A341" s="2">
        <f>IF(C_Ope_001[[#This Row],[tipo_r]]="R",COUNTIFS($C$1:$C340,"R")+1,"")</f>
        <v>340</v>
      </c>
      <c r="B341" s="19" t="str">
        <f t="shared" si="42"/>
        <v>C_Ope_001</v>
      </c>
      <c r="C341" s="3" t="s">
        <v>1330</v>
      </c>
      <c r="D341" s="211">
        <v>45860</v>
      </c>
      <c r="E341" s="5" t="s">
        <v>7753</v>
      </c>
      <c r="F341" s="5" t="s">
        <v>1336</v>
      </c>
      <c r="G341" s="6" t="s">
        <v>978</v>
      </c>
      <c r="H341" s="6" t="s">
        <v>68</v>
      </c>
      <c r="I341" s="6" t="s">
        <v>6204</v>
      </c>
      <c r="J341" s="6">
        <v>1791216</v>
      </c>
      <c r="K341" s="7" t="s">
        <v>7926</v>
      </c>
      <c r="L341" s="8">
        <v>24997</v>
      </c>
      <c r="M341" s="8" t="str">
        <f t="shared" si="43"/>
        <v>PEN</v>
      </c>
      <c r="N341" s="13"/>
      <c r="O341" s="13">
        <v>8</v>
      </c>
      <c r="P341" s="3">
        <f t="shared" si="37"/>
        <v>0</v>
      </c>
      <c r="Q341" s="3">
        <f t="shared" si="38"/>
        <v>8</v>
      </c>
      <c r="R341" s="3">
        <f t="shared" si="39"/>
        <v>177.59000000000003</v>
      </c>
      <c r="S341" s="24" t="s">
        <v>1334</v>
      </c>
      <c r="T341" s="24" t="s">
        <v>1334</v>
      </c>
      <c r="U341" s="3"/>
      <c r="V341" s="25" t="s">
        <v>7842</v>
      </c>
      <c r="W341" s="25">
        <v>20517252558</v>
      </c>
      <c r="X341" s="25" t="str">
        <f>IFERROR(VLOOKUP(C_Ope_001[[#This Row],[nota_2]],Clientes_Proveedores[[Ruc / Dni]:[Razon Social]],2,0),"")</f>
        <v>COVISUR S.A.</v>
      </c>
      <c r="Y341" s="25" t="s">
        <v>7888</v>
      </c>
      <c r="Z341" s="103"/>
      <c r="AA341" s="3" t="str">
        <f>IF(C_Ope_001[[#This Row],[fecha]]&gt;0,TEXT(C_Ope_001[[#This Row],[fecha]],"mmmm"),0)</f>
        <v>Julio</v>
      </c>
      <c r="AB341" s="159"/>
    </row>
    <row r="342" spans="1:28" x14ac:dyDescent="0.3">
      <c r="A342" s="2">
        <f>IF(C_Ope_001[[#This Row],[tipo_r]]="R",COUNTIFS($C$1:$C341,"R")+1,"")</f>
        <v>341</v>
      </c>
      <c r="B342" s="19" t="str">
        <f t="shared" si="42"/>
        <v>C_Ope_001</v>
      </c>
      <c r="C342" s="3" t="s">
        <v>1330</v>
      </c>
      <c r="D342" s="211">
        <v>45860</v>
      </c>
      <c r="E342" s="5" t="s">
        <v>7753</v>
      </c>
      <c r="F342" s="5" t="s">
        <v>1336</v>
      </c>
      <c r="G342" s="6" t="s">
        <v>978</v>
      </c>
      <c r="H342" s="6" t="s">
        <v>68</v>
      </c>
      <c r="I342" s="6" t="s">
        <v>5845</v>
      </c>
      <c r="J342" s="6">
        <v>1811270</v>
      </c>
      <c r="K342" s="7" t="s">
        <v>7927</v>
      </c>
      <c r="L342" s="8">
        <v>24998</v>
      </c>
      <c r="M342" s="8" t="str">
        <f t="shared" si="43"/>
        <v>PEN</v>
      </c>
      <c r="N342" s="13"/>
      <c r="O342" s="13">
        <v>8</v>
      </c>
      <c r="P342" s="3">
        <f t="shared" si="37"/>
        <v>0</v>
      </c>
      <c r="Q342" s="3">
        <f t="shared" si="38"/>
        <v>8</v>
      </c>
      <c r="R342" s="3">
        <f t="shared" si="39"/>
        <v>169.59000000000003</v>
      </c>
      <c r="S342" s="24" t="s">
        <v>1334</v>
      </c>
      <c r="T342" s="24" t="s">
        <v>1334</v>
      </c>
      <c r="U342" s="3"/>
      <c r="V342" s="25" t="s">
        <v>7756</v>
      </c>
      <c r="W342" s="25">
        <v>20517252558</v>
      </c>
      <c r="X342" s="25" t="str">
        <f>IFERROR(VLOOKUP(C_Ope_001[[#This Row],[nota_2]],Clientes_Proveedores[[Ruc / Dni]:[Razon Social]],2,0),"")</f>
        <v>COVISUR S.A.</v>
      </c>
      <c r="Y342" s="25" t="s">
        <v>7888</v>
      </c>
      <c r="Z342" s="103"/>
      <c r="AA342" s="3" t="str">
        <f>IF(C_Ope_001[[#This Row],[fecha]]&gt;0,TEXT(C_Ope_001[[#This Row],[fecha]],"mmmm"),0)</f>
        <v>Julio</v>
      </c>
      <c r="AB342" s="159"/>
    </row>
    <row r="343" spans="1:28" ht="36" x14ac:dyDescent="0.3">
      <c r="A343" s="2">
        <f>IF(C_Ope_001[[#This Row],[tipo_r]]="R",COUNTIFS($C$1:$C342,"R")+1,"")</f>
        <v>342</v>
      </c>
      <c r="B343" s="19" t="str">
        <f t="shared" si="42"/>
        <v>C_Ope_001</v>
      </c>
      <c r="C343" s="3" t="s">
        <v>1330</v>
      </c>
      <c r="D343" s="211">
        <v>45860</v>
      </c>
      <c r="E343" s="5" t="s">
        <v>7753</v>
      </c>
      <c r="F343" s="5" t="s">
        <v>1336</v>
      </c>
      <c r="G343" s="6" t="s">
        <v>682</v>
      </c>
      <c r="H343" s="6" t="s">
        <v>68</v>
      </c>
      <c r="I343" s="6" t="s">
        <v>1353</v>
      </c>
      <c r="J343" s="6">
        <v>17072</v>
      </c>
      <c r="K343" s="7" t="s">
        <v>7928</v>
      </c>
      <c r="L343" s="8">
        <v>24999</v>
      </c>
      <c r="M343" s="8" t="str">
        <f t="shared" si="43"/>
        <v>PEN</v>
      </c>
      <c r="N343" s="13"/>
      <c r="O343" s="13">
        <v>20</v>
      </c>
      <c r="P343" s="3">
        <f t="shared" si="37"/>
        <v>0</v>
      </c>
      <c r="Q343" s="3">
        <f t="shared" si="38"/>
        <v>20</v>
      </c>
      <c r="R343" s="3">
        <f t="shared" si="39"/>
        <v>149.59000000000003</v>
      </c>
      <c r="S343" s="24" t="s">
        <v>1334</v>
      </c>
      <c r="T343" s="24" t="s">
        <v>1334</v>
      </c>
      <c r="U343" s="3"/>
      <c r="V343" s="25" t="s">
        <v>7756</v>
      </c>
      <c r="W343" s="25">
        <v>20259858934</v>
      </c>
      <c r="X343" s="25" t="str">
        <f>IFERROR(VLOOKUP(C_Ope_001[[#This Row],[nota_2]],Clientes_Proveedores[[Ruc / Dni]:[Razon Social]],2,0),"")</f>
        <v>COMERCIALIZACION Y SERVICIOS EL EDEN S.A.C.</v>
      </c>
      <c r="Y343" s="25" t="s">
        <v>5933</v>
      </c>
      <c r="Z343" s="103"/>
      <c r="AA343" s="3" t="str">
        <f>IF(C_Ope_001[[#This Row],[fecha]]&gt;0,TEXT(C_Ope_001[[#This Row],[fecha]],"mmmm"),0)</f>
        <v>Julio</v>
      </c>
      <c r="AB343" s="159"/>
    </row>
    <row r="344" spans="1:28" x14ac:dyDescent="0.3">
      <c r="A344" s="2">
        <f>IF(C_Ope_001[[#This Row],[tipo_r]]="R",COUNTIFS($C$1:$C343,"R")+1,"")</f>
        <v>343</v>
      </c>
      <c r="B344" s="19" t="str">
        <f t="shared" si="42"/>
        <v>C_Ope_001</v>
      </c>
      <c r="C344" s="3" t="s">
        <v>1330</v>
      </c>
      <c r="D344" s="211">
        <v>45862</v>
      </c>
      <c r="E344" s="5" t="s">
        <v>7753</v>
      </c>
      <c r="F344" s="5" t="s">
        <v>1336</v>
      </c>
      <c r="G344" s="6" t="s">
        <v>978</v>
      </c>
      <c r="H344" s="6" t="s">
        <v>68</v>
      </c>
      <c r="I344" s="6" t="s">
        <v>6204</v>
      </c>
      <c r="J344" s="6">
        <v>1793243</v>
      </c>
      <c r="K344" s="7" t="s">
        <v>7929</v>
      </c>
      <c r="L344" s="8">
        <v>25015</v>
      </c>
      <c r="M344" s="8" t="str">
        <f t="shared" si="43"/>
        <v>PEN</v>
      </c>
      <c r="N344" s="13"/>
      <c r="O344" s="13">
        <v>8</v>
      </c>
      <c r="P344" s="3">
        <f t="shared" si="37"/>
        <v>0</v>
      </c>
      <c r="Q344" s="3">
        <f t="shared" si="38"/>
        <v>8</v>
      </c>
      <c r="R344" s="3">
        <f t="shared" si="39"/>
        <v>141.59000000000003</v>
      </c>
      <c r="S344" s="24" t="s">
        <v>1334</v>
      </c>
      <c r="T344" s="24" t="s">
        <v>1334</v>
      </c>
      <c r="U344" s="3"/>
      <c r="V344" s="25" t="s">
        <v>7756</v>
      </c>
      <c r="W344" s="25">
        <v>20517252558</v>
      </c>
      <c r="X344" s="25" t="str">
        <f>IFERROR(VLOOKUP(C_Ope_001[[#This Row],[nota_2]],Clientes_Proveedores[[Ruc / Dni]:[Razon Social]],2,0),"")</f>
        <v>COVISUR S.A.</v>
      </c>
      <c r="Y344" s="25" t="s">
        <v>7888</v>
      </c>
      <c r="Z344" s="103"/>
      <c r="AA344" s="3" t="str">
        <f>IF(C_Ope_001[[#This Row],[fecha]]&gt;0,TEXT(C_Ope_001[[#This Row],[fecha]],"mmmm"),0)</f>
        <v>Julio</v>
      </c>
      <c r="AB344" s="159"/>
    </row>
    <row r="345" spans="1:28" x14ac:dyDescent="0.3">
      <c r="A345" s="2">
        <f>IF(C_Ope_001[[#This Row],[tipo_r]]="R",COUNTIFS($C$1:$C344,"R")+1,"")</f>
        <v>344</v>
      </c>
      <c r="B345" s="19" t="str">
        <f t="shared" si="42"/>
        <v>C_Ope_001</v>
      </c>
      <c r="C345" s="3" t="s">
        <v>1330</v>
      </c>
      <c r="D345" s="211">
        <v>45863</v>
      </c>
      <c r="E345" s="5" t="s">
        <v>7753</v>
      </c>
      <c r="F345" s="5" t="s">
        <v>1336</v>
      </c>
      <c r="G345" s="6" t="s">
        <v>978</v>
      </c>
      <c r="H345" s="6" t="s">
        <v>68</v>
      </c>
      <c r="I345" s="6" t="s">
        <v>5845</v>
      </c>
      <c r="J345" s="6">
        <v>1814274</v>
      </c>
      <c r="K345" s="7" t="s">
        <v>7929</v>
      </c>
      <c r="L345" s="8">
        <v>25016</v>
      </c>
      <c r="M345" s="8" t="str">
        <f t="shared" si="43"/>
        <v>PEN</v>
      </c>
      <c r="N345" s="13"/>
      <c r="O345" s="13">
        <v>8</v>
      </c>
      <c r="P345" s="3">
        <f t="shared" si="37"/>
        <v>0</v>
      </c>
      <c r="Q345" s="3">
        <f t="shared" si="38"/>
        <v>8</v>
      </c>
      <c r="R345" s="3">
        <f t="shared" si="39"/>
        <v>133.59000000000003</v>
      </c>
      <c r="S345" s="24" t="s">
        <v>1334</v>
      </c>
      <c r="T345" s="24" t="s">
        <v>1334</v>
      </c>
      <c r="U345" s="3"/>
      <c r="V345" s="25" t="s">
        <v>7756</v>
      </c>
      <c r="W345" s="25">
        <v>20517252558</v>
      </c>
      <c r="X345" s="25" t="str">
        <f>IFERROR(VLOOKUP(C_Ope_001[[#This Row],[nota_2]],Clientes_Proveedores[[Ruc / Dni]:[Razon Social]],2,0),"")</f>
        <v>COVISUR S.A.</v>
      </c>
      <c r="Y345" s="25" t="s">
        <v>7888</v>
      </c>
      <c r="Z345" s="103"/>
      <c r="AA345" s="3" t="str">
        <f>IF(C_Ope_001[[#This Row],[fecha]]&gt;0,TEXT(C_Ope_001[[#This Row],[fecha]],"mmmm"),0)</f>
        <v>Julio</v>
      </c>
      <c r="AB345" s="159"/>
    </row>
    <row r="346" spans="1:28" x14ac:dyDescent="0.3">
      <c r="A346" s="2">
        <f>IF(C_Ope_001[[#This Row],[tipo_r]]="R",COUNTIFS($C$1:$C345,"R")+1,"")</f>
        <v>345</v>
      </c>
      <c r="B346" s="19" t="str">
        <f t="shared" si="42"/>
        <v>C_Ope_001</v>
      </c>
      <c r="C346" s="3" t="s">
        <v>1330</v>
      </c>
      <c r="D346" s="211">
        <v>45863</v>
      </c>
      <c r="E346" s="5" t="s">
        <v>7753</v>
      </c>
      <c r="F346" s="5" t="s">
        <v>1336</v>
      </c>
      <c r="G346" s="6" t="s">
        <v>978</v>
      </c>
      <c r="H346" s="6" t="s">
        <v>68</v>
      </c>
      <c r="I346" s="6" t="s">
        <v>6204</v>
      </c>
      <c r="J346" s="6">
        <v>1794238</v>
      </c>
      <c r="K346" s="7" t="s">
        <v>7929</v>
      </c>
      <c r="L346" s="8">
        <v>25017</v>
      </c>
      <c r="M346" s="8" t="str">
        <f t="shared" si="43"/>
        <v>PEN</v>
      </c>
      <c r="N346" s="13"/>
      <c r="O346" s="13">
        <v>8</v>
      </c>
      <c r="P346" s="3">
        <f t="shared" si="37"/>
        <v>0</v>
      </c>
      <c r="Q346" s="3">
        <f t="shared" si="38"/>
        <v>8</v>
      </c>
      <c r="R346" s="3">
        <f t="shared" si="39"/>
        <v>125.59000000000003</v>
      </c>
      <c r="S346" s="24" t="s">
        <v>1334</v>
      </c>
      <c r="T346" s="24" t="s">
        <v>1334</v>
      </c>
      <c r="U346" s="3"/>
      <c r="V346" s="25" t="s">
        <v>7756</v>
      </c>
      <c r="W346" s="25">
        <v>20517252558</v>
      </c>
      <c r="X346" s="25" t="str">
        <f>IFERROR(VLOOKUP(C_Ope_001[[#This Row],[nota_2]],Clientes_Proveedores[[Ruc / Dni]:[Razon Social]],2,0),"")</f>
        <v>COVISUR S.A.</v>
      </c>
      <c r="Y346" s="25" t="s">
        <v>7888</v>
      </c>
      <c r="Z346" s="103"/>
      <c r="AA346" s="3" t="str">
        <f>IF(C_Ope_001[[#This Row],[fecha]]&gt;0,TEXT(C_Ope_001[[#This Row],[fecha]],"mmmm"),0)</f>
        <v>Julio</v>
      </c>
      <c r="AB346" s="159"/>
    </row>
    <row r="347" spans="1:28" ht="36" x14ac:dyDescent="0.3">
      <c r="A347" s="2">
        <f>IF(C_Ope_001[[#This Row],[tipo_r]]="R",COUNTIFS($C$1:$C346,"R")+1,"")</f>
        <v>346</v>
      </c>
      <c r="B347" s="19" t="str">
        <f t="shared" si="42"/>
        <v>C_Ope_001</v>
      </c>
      <c r="C347" s="3" t="s">
        <v>1330</v>
      </c>
      <c r="D347" s="211">
        <v>45868</v>
      </c>
      <c r="E347" s="5" t="s">
        <v>7753</v>
      </c>
      <c r="F347" s="5" t="s">
        <v>1336</v>
      </c>
      <c r="G347" s="6" t="s">
        <v>227</v>
      </c>
      <c r="H347" s="6" t="s">
        <v>68</v>
      </c>
      <c r="I347" s="6" t="s">
        <v>1390</v>
      </c>
      <c r="J347" s="6">
        <v>134852</v>
      </c>
      <c r="K347" s="7" t="s">
        <v>7930</v>
      </c>
      <c r="L347" s="8">
        <v>25070</v>
      </c>
      <c r="M347" s="8" t="str">
        <f t="shared" si="43"/>
        <v>PEN</v>
      </c>
      <c r="N347" s="13"/>
      <c r="O347" s="13">
        <v>10</v>
      </c>
      <c r="P347" s="3">
        <f t="shared" si="37"/>
        <v>0</v>
      </c>
      <c r="Q347" s="3">
        <f t="shared" si="38"/>
        <v>10</v>
      </c>
      <c r="R347" s="3">
        <f t="shared" si="39"/>
        <v>115.59000000000003</v>
      </c>
      <c r="S347" s="24" t="s">
        <v>1334</v>
      </c>
      <c r="T347" s="24" t="s">
        <v>1334</v>
      </c>
      <c r="U347" s="3"/>
      <c r="V347" s="25" t="s">
        <v>7754</v>
      </c>
      <c r="W347" s="25">
        <v>20124952850</v>
      </c>
      <c r="X347" s="25" t="str">
        <f>IFERROR(VLOOKUP(C_Ope_001[[#This Row],[nota_2]],Clientes_Proveedores[[Ruc / Dni]:[Razon Social]],2,0),"")</f>
        <v>ALIMENTOS Y SERVICIOS AGROPECUARIOS SRL.</v>
      </c>
      <c r="Y347" s="25" t="s">
        <v>5933</v>
      </c>
      <c r="Z347" s="103"/>
      <c r="AA347" s="3" t="str">
        <f>IF(C_Ope_001[[#This Row],[fecha]]&gt;0,TEXT(C_Ope_001[[#This Row],[fecha]],"mmmm"),0)</f>
        <v>Julio</v>
      </c>
      <c r="AB347" s="159"/>
    </row>
    <row r="348" spans="1:28" ht="36" x14ac:dyDescent="0.3">
      <c r="A348" s="2">
        <f>IF(C_Ope_001[[#This Row],[tipo_r]]="R",COUNTIFS($C$1:$C347,"R")+1,"")</f>
        <v>347</v>
      </c>
      <c r="B348" s="19" t="str">
        <f t="shared" si="42"/>
        <v>C_Ope_001</v>
      </c>
      <c r="C348" s="3" t="s">
        <v>1330</v>
      </c>
      <c r="D348" s="211">
        <v>45868</v>
      </c>
      <c r="E348" s="5" t="s">
        <v>7753</v>
      </c>
      <c r="F348" s="5" t="s">
        <v>1336</v>
      </c>
      <c r="G348" s="6" t="s">
        <v>227</v>
      </c>
      <c r="H348" s="6" t="s">
        <v>68</v>
      </c>
      <c r="I348" s="6" t="s">
        <v>1390</v>
      </c>
      <c r="J348" s="6">
        <v>134814</v>
      </c>
      <c r="K348" s="7" t="s">
        <v>7891</v>
      </c>
      <c r="L348" s="8">
        <v>25071</v>
      </c>
      <c r="M348" s="8" t="str">
        <f t="shared" si="43"/>
        <v>PEN</v>
      </c>
      <c r="N348" s="13"/>
      <c r="O348" s="13">
        <v>10</v>
      </c>
      <c r="P348" s="3">
        <f t="shared" si="37"/>
        <v>0</v>
      </c>
      <c r="Q348" s="3">
        <f t="shared" si="38"/>
        <v>10</v>
      </c>
      <c r="R348" s="3">
        <f t="shared" si="39"/>
        <v>105.59000000000003</v>
      </c>
      <c r="S348" s="24" t="s">
        <v>1334</v>
      </c>
      <c r="T348" s="24" t="s">
        <v>1334</v>
      </c>
      <c r="U348" s="3"/>
      <c r="V348" s="25" t="s">
        <v>7756</v>
      </c>
      <c r="W348" s="25">
        <v>20124952850</v>
      </c>
      <c r="X348" s="25" t="str">
        <f>IFERROR(VLOOKUP(C_Ope_001[[#This Row],[nota_2]],Clientes_Proveedores[[Ruc / Dni]:[Razon Social]],2,0),"")</f>
        <v>ALIMENTOS Y SERVICIOS AGROPECUARIOS SRL.</v>
      </c>
      <c r="Y348" s="25" t="s">
        <v>5933</v>
      </c>
      <c r="Z348" s="103"/>
      <c r="AA348" s="3" t="str">
        <f>IF(C_Ope_001[[#This Row],[fecha]]&gt;0,TEXT(C_Ope_001[[#This Row],[fecha]],"mmmm"),0)</f>
        <v>Julio</v>
      </c>
      <c r="AB348" s="159"/>
    </row>
    <row r="349" spans="1:28" x14ac:dyDescent="0.3">
      <c r="A349" s="2">
        <f>IF(C_Ope_001[[#This Row],[tipo_r]]="R",COUNTIFS($C$1:$C348,"R")+1,"")</f>
        <v>348</v>
      </c>
      <c r="B349" s="19" t="str">
        <f t="shared" si="42"/>
        <v>C_Ope_001</v>
      </c>
      <c r="C349" s="3" t="s">
        <v>1330</v>
      </c>
      <c r="D349" s="211">
        <v>45869</v>
      </c>
      <c r="E349" s="5" t="s">
        <v>7753</v>
      </c>
      <c r="F349" s="5" t="s">
        <v>1336</v>
      </c>
      <c r="G349" s="6" t="s">
        <v>978</v>
      </c>
      <c r="H349" s="6" t="s">
        <v>68</v>
      </c>
      <c r="I349" s="6" t="s">
        <v>6244</v>
      </c>
      <c r="J349" s="6">
        <v>1100705</v>
      </c>
      <c r="K349" s="7" t="s">
        <v>7773</v>
      </c>
      <c r="L349" s="8">
        <v>25066</v>
      </c>
      <c r="M349" s="8" t="str">
        <f t="shared" si="43"/>
        <v>PEN</v>
      </c>
      <c r="N349" s="13"/>
      <c r="O349" s="13">
        <v>8</v>
      </c>
      <c r="P349" s="3">
        <f t="shared" si="37"/>
        <v>0</v>
      </c>
      <c r="Q349" s="3">
        <f t="shared" si="38"/>
        <v>8</v>
      </c>
      <c r="R349" s="3">
        <f t="shared" si="39"/>
        <v>97.590000000000032</v>
      </c>
      <c r="S349" s="24" t="s">
        <v>1334</v>
      </c>
      <c r="T349" s="24" t="s">
        <v>1334</v>
      </c>
      <c r="U349" s="3"/>
      <c r="V349" s="25" t="s">
        <v>7756</v>
      </c>
      <c r="W349" s="25">
        <v>20517252558</v>
      </c>
      <c r="X349" s="25" t="str">
        <f>IFERROR(VLOOKUP(C_Ope_001[[#This Row],[nota_2]],Clientes_Proveedores[[Ruc / Dni]:[Razon Social]],2,0),"")</f>
        <v>COVISUR S.A.</v>
      </c>
      <c r="Y349" s="25" t="s">
        <v>7888</v>
      </c>
      <c r="Z349" s="103"/>
      <c r="AA349" s="3" t="str">
        <f>IF(C_Ope_001[[#This Row],[fecha]]&gt;0,TEXT(C_Ope_001[[#This Row],[fecha]],"mmmm"),0)</f>
        <v>Julio</v>
      </c>
      <c r="AB349" s="159"/>
    </row>
    <row r="350" spans="1:28" x14ac:dyDescent="0.3">
      <c r="A350" s="2">
        <f>IF(C_Ope_001[[#This Row],[tipo_r]]="R",COUNTIFS($C$1:$C349,"R")+1,"")</f>
        <v>349</v>
      </c>
      <c r="B350" s="19" t="str">
        <f t="shared" si="42"/>
        <v>C_Ope_001</v>
      </c>
      <c r="C350" s="3" t="s">
        <v>1330</v>
      </c>
      <c r="D350" s="211">
        <v>45869</v>
      </c>
      <c r="E350" s="5" t="s">
        <v>7753</v>
      </c>
      <c r="F350" s="5" t="s">
        <v>1336</v>
      </c>
      <c r="G350" s="6" t="s">
        <v>978</v>
      </c>
      <c r="H350" s="6" t="s">
        <v>68</v>
      </c>
      <c r="I350" s="6" t="s">
        <v>6203</v>
      </c>
      <c r="J350" s="6">
        <v>2129272</v>
      </c>
      <c r="K350" s="7" t="s">
        <v>7931</v>
      </c>
      <c r="L350" s="8">
        <v>25067</v>
      </c>
      <c r="M350" s="8" t="str">
        <f t="shared" si="43"/>
        <v>PEN</v>
      </c>
      <c r="N350" s="13"/>
      <c r="O350" s="13">
        <v>8</v>
      </c>
      <c r="P350" s="3">
        <f t="shared" si="37"/>
        <v>0</v>
      </c>
      <c r="Q350" s="3">
        <f t="shared" si="38"/>
        <v>8</v>
      </c>
      <c r="R350" s="3">
        <f t="shared" si="39"/>
        <v>89.590000000000032</v>
      </c>
      <c r="S350" s="24" t="s">
        <v>1334</v>
      </c>
      <c r="T350" s="24" t="s">
        <v>1334</v>
      </c>
      <c r="U350" s="3"/>
      <c r="V350" s="25" t="s">
        <v>7756</v>
      </c>
      <c r="W350" s="25">
        <v>20517252558</v>
      </c>
      <c r="X350" s="25" t="str">
        <f>IFERROR(VLOOKUP(C_Ope_001[[#This Row],[nota_2]],Clientes_Proveedores[[Ruc / Dni]:[Razon Social]],2,0),"")</f>
        <v>COVISUR S.A.</v>
      </c>
      <c r="Y350" s="25" t="s">
        <v>7888</v>
      </c>
      <c r="Z350" s="103"/>
      <c r="AA350" s="3" t="str">
        <f>IF(C_Ope_001[[#This Row],[fecha]]&gt;0,TEXT(C_Ope_001[[#This Row],[fecha]],"mmmm"),0)</f>
        <v>Julio</v>
      </c>
      <c r="AB350" s="159"/>
    </row>
    <row r="351" spans="1:28" x14ac:dyDescent="0.3">
      <c r="A351" s="2">
        <f>IF(C_Ope_001[[#This Row],[tipo_r]]="R",COUNTIFS($C$1:$C350,"R")+1,"")</f>
        <v>350</v>
      </c>
      <c r="B351" s="19" t="str">
        <f t="shared" si="42"/>
        <v>C_Ope_001</v>
      </c>
      <c r="C351" s="3" t="s">
        <v>1330</v>
      </c>
      <c r="D351" s="211">
        <v>45869</v>
      </c>
      <c r="E351" s="5" t="s">
        <v>7753</v>
      </c>
      <c r="F351" s="5" t="s">
        <v>1336</v>
      </c>
      <c r="G351" s="6" t="s">
        <v>978</v>
      </c>
      <c r="H351" s="6" t="s">
        <v>68</v>
      </c>
      <c r="I351" s="6" t="s">
        <v>6204</v>
      </c>
      <c r="J351" s="6">
        <v>1798855</v>
      </c>
      <c r="K351" s="7" t="s">
        <v>7931</v>
      </c>
      <c r="L351" s="8">
        <v>25068</v>
      </c>
      <c r="M351" s="8" t="str">
        <f t="shared" si="43"/>
        <v>PEN</v>
      </c>
      <c r="N351" s="13"/>
      <c r="O351" s="13">
        <v>8</v>
      </c>
      <c r="P351" s="3">
        <f t="shared" si="37"/>
        <v>0</v>
      </c>
      <c r="Q351" s="3">
        <f t="shared" si="38"/>
        <v>8</v>
      </c>
      <c r="R351" s="3">
        <f t="shared" si="39"/>
        <v>81.590000000000032</v>
      </c>
      <c r="S351" s="24" t="s">
        <v>1334</v>
      </c>
      <c r="T351" s="24" t="s">
        <v>1334</v>
      </c>
      <c r="U351" s="3"/>
      <c r="V351" s="25" t="s">
        <v>7756</v>
      </c>
      <c r="W351" s="25">
        <v>20517252558</v>
      </c>
      <c r="X351" s="25" t="str">
        <f>IFERROR(VLOOKUP(C_Ope_001[[#This Row],[nota_2]],Clientes_Proveedores[[Ruc / Dni]:[Razon Social]],2,0),"")</f>
        <v>COVISUR S.A.</v>
      </c>
      <c r="Y351" s="25" t="s">
        <v>7888</v>
      </c>
      <c r="Z351" s="103"/>
      <c r="AA351" s="3" t="str">
        <f>IF(C_Ope_001[[#This Row],[fecha]]&gt;0,TEXT(C_Ope_001[[#This Row],[fecha]],"mmmm"),0)</f>
        <v>Julio</v>
      </c>
      <c r="AB351" s="159"/>
    </row>
    <row r="352" spans="1:28" x14ac:dyDescent="0.3">
      <c r="A352" s="2">
        <f>IF(C_Ope_001[[#This Row],[tipo_r]]="R",COUNTIFS($C$1:$C351,"R")+1,"")</f>
        <v>351</v>
      </c>
      <c r="B352" s="19" t="str">
        <f t="shared" si="42"/>
        <v>C_Ope_001</v>
      </c>
      <c r="C352" s="3" t="s">
        <v>1330</v>
      </c>
      <c r="D352" s="211">
        <v>45869</v>
      </c>
      <c r="E352" s="5" t="s">
        <v>7753</v>
      </c>
      <c r="F352" s="5" t="s">
        <v>1336</v>
      </c>
      <c r="G352" s="6" t="s">
        <v>978</v>
      </c>
      <c r="H352" s="6" t="s">
        <v>68</v>
      </c>
      <c r="I352" s="6" t="s">
        <v>6379</v>
      </c>
      <c r="J352" s="6">
        <v>492871</v>
      </c>
      <c r="K352" s="7" t="s">
        <v>7773</v>
      </c>
      <c r="L352" s="8">
        <v>25069</v>
      </c>
      <c r="M352" s="8" t="str">
        <f t="shared" si="43"/>
        <v>PEN</v>
      </c>
      <c r="N352" s="13"/>
      <c r="O352" s="13">
        <v>8</v>
      </c>
      <c r="P352" s="3">
        <f t="shared" si="37"/>
        <v>0</v>
      </c>
      <c r="Q352" s="3">
        <f t="shared" si="38"/>
        <v>8</v>
      </c>
      <c r="R352" s="3">
        <f t="shared" si="39"/>
        <v>73.590000000000032</v>
      </c>
      <c r="S352" s="24" t="s">
        <v>1334</v>
      </c>
      <c r="T352" s="24" t="s">
        <v>1334</v>
      </c>
      <c r="U352" s="3"/>
      <c r="V352" s="25" t="s">
        <v>7756</v>
      </c>
      <c r="W352" s="25">
        <v>20517252558</v>
      </c>
      <c r="X352" s="25" t="str">
        <f>IFERROR(VLOOKUP(C_Ope_001[[#This Row],[nota_2]],Clientes_Proveedores[[Ruc / Dni]:[Razon Social]],2,0),"")</f>
        <v>COVISUR S.A.</v>
      </c>
      <c r="Y352" s="25" t="s">
        <v>7888</v>
      </c>
      <c r="Z352" s="103"/>
      <c r="AA352" s="3" t="str">
        <f>IF(C_Ope_001[[#This Row],[fecha]]&gt;0,TEXT(C_Ope_001[[#This Row],[fecha]],"mmmm"),0)</f>
        <v>Julio</v>
      </c>
      <c r="AB352" s="159"/>
    </row>
    <row r="353" spans="1:28" x14ac:dyDescent="0.3">
      <c r="A353" s="2">
        <f>IF(C_Ope_001[[#This Row],[tipo_r]]="R",COUNTIFS($C$1:$C352,"R")+1,"")</f>
        <v>352</v>
      </c>
      <c r="B353" s="19" t="str">
        <f t="shared" si="42"/>
        <v>C_Ope_001</v>
      </c>
      <c r="C353" s="3" t="s">
        <v>1330</v>
      </c>
      <c r="D353" s="211">
        <v>45870</v>
      </c>
      <c r="E353" s="5" t="s">
        <v>7753</v>
      </c>
      <c r="F353" s="5" t="s">
        <v>1336</v>
      </c>
      <c r="G353" s="6" t="s">
        <v>978</v>
      </c>
      <c r="H353" s="6" t="s">
        <v>68</v>
      </c>
      <c r="I353" s="6" t="s">
        <v>5845</v>
      </c>
      <c r="J353" s="6">
        <v>1820179</v>
      </c>
      <c r="K353" s="7" t="s">
        <v>7932</v>
      </c>
      <c r="L353" s="8">
        <v>25048</v>
      </c>
      <c r="M353" s="8" t="str">
        <f t="shared" si="43"/>
        <v>PEN</v>
      </c>
      <c r="N353" s="13"/>
      <c r="O353" s="13">
        <v>5</v>
      </c>
      <c r="P353" s="3">
        <f t="shared" si="37"/>
        <v>0</v>
      </c>
      <c r="Q353" s="3">
        <f t="shared" si="38"/>
        <v>5</v>
      </c>
      <c r="R353" s="3">
        <f t="shared" si="39"/>
        <v>68.590000000000032</v>
      </c>
      <c r="S353" s="24" t="s">
        <v>1334</v>
      </c>
      <c r="T353" s="24" t="s">
        <v>1334</v>
      </c>
      <c r="U353" s="3"/>
      <c r="V353" s="25" t="s">
        <v>7754</v>
      </c>
      <c r="W353" s="25">
        <v>20517252558</v>
      </c>
      <c r="X353" s="25" t="str">
        <f>IFERROR(VLOOKUP(C_Ope_001[[#This Row],[nota_2]],Clientes_Proveedores[[Ruc / Dni]:[Razon Social]],2,0),"")</f>
        <v>COVISUR S.A.</v>
      </c>
      <c r="Y353" s="25" t="s">
        <v>7888</v>
      </c>
      <c r="Z353" s="103"/>
      <c r="AA353" s="3" t="str">
        <f>IF(C_Ope_001[[#This Row],[fecha]]&gt;0,TEXT(C_Ope_001[[#This Row],[fecha]],"mmmm"),0)</f>
        <v>Agosto</v>
      </c>
      <c r="AB353" s="159"/>
    </row>
    <row r="354" spans="1:28" x14ac:dyDescent="0.3">
      <c r="A354" s="2">
        <f>IF(C_Ope_001[[#This Row],[tipo_r]]="R",COUNTIFS($C$1:$C353,"R")+1,"")</f>
        <v>353</v>
      </c>
      <c r="B354" s="19" t="str">
        <f t="shared" si="42"/>
        <v>C_Ope_001</v>
      </c>
      <c r="C354" s="3" t="s">
        <v>1330</v>
      </c>
      <c r="D354" s="211">
        <v>45870</v>
      </c>
      <c r="E354" s="5" t="s">
        <v>7753</v>
      </c>
      <c r="F354" s="5" t="s">
        <v>1336</v>
      </c>
      <c r="G354" s="6" t="s">
        <v>978</v>
      </c>
      <c r="H354" s="6" t="s">
        <v>68</v>
      </c>
      <c r="I354" s="6" t="s">
        <v>6204</v>
      </c>
      <c r="J354" s="6">
        <v>1799849</v>
      </c>
      <c r="K354" s="7" t="s">
        <v>7932</v>
      </c>
      <c r="L354" s="8">
        <v>25049</v>
      </c>
      <c r="M354" s="8" t="str">
        <f t="shared" si="43"/>
        <v>PEN</v>
      </c>
      <c r="N354" s="13"/>
      <c r="O354" s="13">
        <v>5</v>
      </c>
      <c r="P354" s="3">
        <f t="shared" si="37"/>
        <v>0</v>
      </c>
      <c r="Q354" s="3">
        <f t="shared" si="38"/>
        <v>5</v>
      </c>
      <c r="R354" s="3">
        <f t="shared" si="39"/>
        <v>63.590000000000032</v>
      </c>
      <c r="S354" s="24" t="s">
        <v>1334</v>
      </c>
      <c r="T354" s="24" t="s">
        <v>1334</v>
      </c>
      <c r="U354" s="3"/>
      <c r="V354" s="25" t="s">
        <v>7754</v>
      </c>
      <c r="W354" s="25">
        <v>20517252558</v>
      </c>
      <c r="X354" s="25" t="str">
        <f>IFERROR(VLOOKUP(C_Ope_001[[#This Row],[nota_2]],Clientes_Proveedores[[Ruc / Dni]:[Razon Social]],2,0),"")</f>
        <v>COVISUR S.A.</v>
      </c>
      <c r="Y354" s="25" t="s">
        <v>7888</v>
      </c>
      <c r="Z354" s="103"/>
      <c r="AA354" s="3" t="str">
        <f>IF(C_Ope_001[[#This Row],[fecha]]&gt;0,TEXT(C_Ope_001[[#This Row],[fecha]],"mmmm"),0)</f>
        <v>Agosto</v>
      </c>
      <c r="AB354" s="159"/>
    </row>
    <row r="355" spans="1:28" ht="36" x14ac:dyDescent="0.3">
      <c r="A355" s="2">
        <f>IF(C_Ope_001[[#This Row],[tipo_r]]="R",COUNTIFS($C$1:$C354,"R")+1,"")</f>
        <v>354</v>
      </c>
      <c r="B355" s="19" t="str">
        <f t="shared" si="42"/>
        <v>C_Ope_001</v>
      </c>
      <c r="C355" s="3" t="s">
        <v>1330</v>
      </c>
      <c r="D355" s="211">
        <v>45870</v>
      </c>
      <c r="E355" s="5" t="s">
        <v>7753</v>
      </c>
      <c r="F355" s="5" t="s">
        <v>1336</v>
      </c>
      <c r="G355" s="6" t="s">
        <v>682</v>
      </c>
      <c r="H355" s="6" t="s">
        <v>68</v>
      </c>
      <c r="I355" s="6" t="s">
        <v>1353</v>
      </c>
      <c r="J355" s="6">
        <v>17171</v>
      </c>
      <c r="K355" s="7" t="s">
        <v>7933</v>
      </c>
      <c r="L355" s="8">
        <v>25042</v>
      </c>
      <c r="M355" s="8" t="str">
        <f t="shared" si="43"/>
        <v>PEN</v>
      </c>
      <c r="N355" s="13"/>
      <c r="O355" s="13">
        <v>20</v>
      </c>
      <c r="P355" s="3">
        <f t="shared" si="37"/>
        <v>0</v>
      </c>
      <c r="Q355" s="3">
        <f t="shared" si="38"/>
        <v>20</v>
      </c>
      <c r="R355" s="3">
        <f t="shared" si="39"/>
        <v>43.590000000000032</v>
      </c>
      <c r="S355" s="24" t="s">
        <v>1334</v>
      </c>
      <c r="T355" s="24" t="s">
        <v>1334</v>
      </c>
      <c r="U355" s="3"/>
      <c r="V355" s="25" t="s">
        <v>7842</v>
      </c>
      <c r="W355" s="25">
        <v>20259858934</v>
      </c>
      <c r="X355" s="25" t="str">
        <f>IFERROR(VLOOKUP(C_Ope_001[[#This Row],[nota_2]],Clientes_Proveedores[[Ruc / Dni]:[Razon Social]],2,0),"")</f>
        <v>COMERCIALIZACION Y SERVICIOS EL EDEN S.A.C.</v>
      </c>
      <c r="Y355" s="25" t="s">
        <v>5933</v>
      </c>
      <c r="Z355" s="103"/>
      <c r="AA355" s="3" t="str">
        <f>IF(C_Ope_001[[#This Row],[fecha]]&gt;0,TEXT(C_Ope_001[[#This Row],[fecha]],"mmmm"),0)</f>
        <v>Agosto</v>
      </c>
      <c r="AB355" s="159"/>
    </row>
    <row r="356" spans="1:28" x14ac:dyDescent="0.3">
      <c r="A356" s="2">
        <f>IF(C_Ope_001[[#This Row],[tipo_r]]="R",COUNTIFS($C$1:$C355,"R")+1,"")</f>
        <v>355</v>
      </c>
      <c r="B356" s="19" t="str">
        <f t="shared" si="42"/>
        <v>C_Ope_001</v>
      </c>
      <c r="C356" s="3" t="s">
        <v>1330</v>
      </c>
      <c r="D356" s="211">
        <v>45873</v>
      </c>
      <c r="E356" s="5" t="s">
        <v>7753</v>
      </c>
      <c r="F356" s="5" t="s">
        <v>1336</v>
      </c>
      <c r="G356" s="6" t="s">
        <v>978</v>
      </c>
      <c r="H356" s="6" t="s">
        <v>68</v>
      </c>
      <c r="I356" s="6" t="s">
        <v>5845</v>
      </c>
      <c r="J356" s="6">
        <v>1822787</v>
      </c>
      <c r="K356" s="7" t="s">
        <v>7789</v>
      </c>
      <c r="L356" s="8">
        <v>25075</v>
      </c>
      <c r="M356" s="8" t="str">
        <f t="shared" si="43"/>
        <v>PEN</v>
      </c>
      <c r="N356" s="13"/>
      <c r="O356" s="13">
        <v>8</v>
      </c>
      <c r="P356" s="3">
        <f t="shared" si="37"/>
        <v>0</v>
      </c>
      <c r="Q356" s="3">
        <f t="shared" si="38"/>
        <v>8</v>
      </c>
      <c r="R356" s="3">
        <f t="shared" si="39"/>
        <v>35.590000000000032</v>
      </c>
      <c r="S356" s="24" t="s">
        <v>1334</v>
      </c>
      <c r="T356" s="24" t="s">
        <v>1334</v>
      </c>
      <c r="U356" s="3"/>
      <c r="V356" s="25" t="s">
        <v>7842</v>
      </c>
      <c r="W356" s="25">
        <v>20517252558</v>
      </c>
      <c r="X356" s="25" t="str">
        <f>IFERROR(VLOOKUP(C_Ope_001[[#This Row],[nota_2]],Clientes_Proveedores[[Ruc / Dni]:[Razon Social]],2,0),"")</f>
        <v>COVISUR S.A.</v>
      </c>
      <c r="Y356" s="25" t="s">
        <v>7888</v>
      </c>
      <c r="Z356" s="103"/>
      <c r="AA356" s="3" t="str">
        <f>IF(C_Ope_001[[#This Row],[fecha]]&gt;0,TEXT(C_Ope_001[[#This Row],[fecha]],"mmmm"),0)</f>
        <v>Agosto</v>
      </c>
      <c r="AB356" s="159"/>
    </row>
    <row r="357" spans="1:28" x14ac:dyDescent="0.3">
      <c r="A357" s="2">
        <f>IF(C_Ope_001[[#This Row],[tipo_r]]="R",COUNTIFS($C$1:$C356,"R")+1,"")</f>
        <v>356</v>
      </c>
      <c r="B357" s="19" t="str">
        <f t="shared" si="42"/>
        <v>C_Ope_001</v>
      </c>
      <c r="C357" s="3" t="s">
        <v>1330</v>
      </c>
      <c r="D357" s="211">
        <v>45875</v>
      </c>
      <c r="E357" s="5" t="s">
        <v>7753</v>
      </c>
      <c r="F357" s="5" t="s">
        <v>1336</v>
      </c>
      <c r="G357" s="6" t="s">
        <v>978</v>
      </c>
      <c r="H357" s="6" t="s">
        <v>68</v>
      </c>
      <c r="I357" s="6" t="s">
        <v>5688</v>
      </c>
      <c r="J357" s="6">
        <v>2424542</v>
      </c>
      <c r="K357" s="7" t="s">
        <v>7934</v>
      </c>
      <c r="L357" s="8">
        <v>25100</v>
      </c>
      <c r="M357" s="8" t="str">
        <f t="shared" si="43"/>
        <v>PEN</v>
      </c>
      <c r="N357" s="13"/>
      <c r="O357" s="13">
        <v>5</v>
      </c>
      <c r="P357" s="3">
        <f t="shared" si="37"/>
        <v>0</v>
      </c>
      <c r="Q357" s="3">
        <f t="shared" si="38"/>
        <v>5</v>
      </c>
      <c r="R357" s="3">
        <f t="shared" si="39"/>
        <v>30.590000000000032</v>
      </c>
      <c r="S357" s="24" t="s">
        <v>1334</v>
      </c>
      <c r="T357" s="24" t="s">
        <v>1334</v>
      </c>
      <c r="U357" s="3"/>
      <c r="V357" s="25" t="s">
        <v>7754</v>
      </c>
      <c r="W357" s="25">
        <v>20517252558</v>
      </c>
      <c r="X357" s="25" t="str">
        <f>IFERROR(VLOOKUP(C_Ope_001[[#This Row],[nota_2]],Clientes_Proveedores[[Ruc / Dni]:[Razon Social]],2,0),"")</f>
        <v>COVISUR S.A.</v>
      </c>
      <c r="Y357" s="25" t="s">
        <v>7888</v>
      </c>
      <c r="Z357" s="103"/>
      <c r="AA357" s="3" t="str">
        <f>IF(C_Ope_001[[#This Row],[fecha]]&gt;0,TEXT(C_Ope_001[[#This Row],[fecha]],"mmmm"),0)</f>
        <v>Agosto</v>
      </c>
      <c r="AB357" s="159"/>
    </row>
    <row r="358" spans="1:28" x14ac:dyDescent="0.3">
      <c r="A358" s="2">
        <f>IF(C_Ope_001[[#This Row],[tipo_r]]="R",COUNTIFS($C$1:$C357,"R")+1,"")</f>
        <v>357</v>
      </c>
      <c r="B358" s="19" t="str">
        <f t="shared" si="42"/>
        <v>C_Ope_001</v>
      </c>
      <c r="C358" s="3" t="s">
        <v>1330</v>
      </c>
      <c r="D358" s="211">
        <v>45875</v>
      </c>
      <c r="E358" s="5" t="s">
        <v>7753</v>
      </c>
      <c r="F358" s="5" t="s">
        <v>1336</v>
      </c>
      <c r="G358" s="6" t="s">
        <v>978</v>
      </c>
      <c r="H358" s="6" t="s">
        <v>68</v>
      </c>
      <c r="I358" s="6" t="s">
        <v>5845</v>
      </c>
      <c r="J358" s="6">
        <v>1824636</v>
      </c>
      <c r="K358" s="7" t="s">
        <v>7934</v>
      </c>
      <c r="L358" s="8">
        <v>25101</v>
      </c>
      <c r="M358" s="8" t="str">
        <f t="shared" si="43"/>
        <v>PEN</v>
      </c>
      <c r="N358" s="13"/>
      <c r="O358" s="13">
        <v>5</v>
      </c>
      <c r="P358" s="3">
        <f t="shared" si="37"/>
        <v>0</v>
      </c>
      <c r="Q358" s="3">
        <f t="shared" si="38"/>
        <v>5</v>
      </c>
      <c r="R358" s="3">
        <f t="shared" si="39"/>
        <v>25.590000000000032</v>
      </c>
      <c r="S358" s="24" t="s">
        <v>1334</v>
      </c>
      <c r="T358" s="24" t="s">
        <v>1334</v>
      </c>
      <c r="U358" s="3"/>
      <c r="V358" s="25" t="s">
        <v>7754</v>
      </c>
      <c r="W358" s="25">
        <v>20517252558</v>
      </c>
      <c r="X358" s="25" t="str">
        <f>IFERROR(VLOOKUP(C_Ope_001[[#This Row],[nota_2]],Clientes_Proveedores[[Ruc / Dni]:[Razon Social]],2,0),"")</f>
        <v>COVISUR S.A.</v>
      </c>
      <c r="Y358" s="25" t="s">
        <v>7888</v>
      </c>
      <c r="Z358" s="103"/>
      <c r="AA358" s="3" t="str">
        <f>IF(C_Ope_001[[#This Row],[fecha]]&gt;0,TEXT(C_Ope_001[[#This Row],[fecha]],"mmmm"),0)</f>
        <v>Agosto</v>
      </c>
      <c r="AB358" s="159"/>
    </row>
    <row r="359" spans="1:28" x14ac:dyDescent="0.3">
      <c r="A359" s="2">
        <f>IF(C_Ope_001[[#This Row],[tipo_r]]="R",COUNTIFS($C$1:$C358,"R")+1,"")</f>
        <v>358</v>
      </c>
      <c r="B359" s="19" t="str">
        <f t="shared" si="42"/>
        <v>C_Ope_001</v>
      </c>
      <c r="C359" s="3" t="s">
        <v>1330</v>
      </c>
      <c r="D359" s="211">
        <v>45876</v>
      </c>
      <c r="E359" s="5" t="s">
        <v>7753</v>
      </c>
      <c r="F359" s="5" t="s">
        <v>1336</v>
      </c>
      <c r="G359" s="6" t="s">
        <v>978</v>
      </c>
      <c r="H359" s="6" t="s">
        <v>68</v>
      </c>
      <c r="I359" s="6" t="s">
        <v>6204</v>
      </c>
      <c r="J359" s="6">
        <v>1804920</v>
      </c>
      <c r="K359" s="7" t="s">
        <v>7934</v>
      </c>
      <c r="L359" s="8">
        <v>25102</v>
      </c>
      <c r="M359" s="8" t="str">
        <f t="shared" si="43"/>
        <v>PEN</v>
      </c>
      <c r="N359" s="13"/>
      <c r="O359" s="13">
        <v>5</v>
      </c>
      <c r="P359" s="3">
        <f t="shared" si="37"/>
        <v>0</v>
      </c>
      <c r="Q359" s="3">
        <f t="shared" si="38"/>
        <v>5</v>
      </c>
      <c r="R359" s="3">
        <f t="shared" si="39"/>
        <v>20.590000000000032</v>
      </c>
      <c r="S359" s="24" t="s">
        <v>1334</v>
      </c>
      <c r="T359" s="24" t="s">
        <v>1334</v>
      </c>
      <c r="U359" s="3"/>
      <c r="V359" s="25" t="s">
        <v>7754</v>
      </c>
      <c r="W359" s="25">
        <v>20517252558</v>
      </c>
      <c r="X359" s="25" t="str">
        <f>IFERROR(VLOOKUP(C_Ope_001[[#This Row],[nota_2]],Clientes_Proveedores[[Ruc / Dni]:[Razon Social]],2,0),"")</f>
        <v>COVISUR S.A.</v>
      </c>
      <c r="Y359" s="25" t="s">
        <v>7888</v>
      </c>
      <c r="Z359" s="103"/>
      <c r="AA359" s="3" t="str">
        <f>IF(C_Ope_001[[#This Row],[fecha]]&gt;0,TEXT(C_Ope_001[[#This Row],[fecha]],"mmmm"),0)</f>
        <v>Agosto</v>
      </c>
      <c r="AB359" s="159"/>
    </row>
    <row r="360" spans="1:28" x14ac:dyDescent="0.3">
      <c r="A360" s="2">
        <f>IF(C_Ope_001[[#This Row],[tipo_r]]="R",COUNTIFS($C$1:$C359,"R")+1,"")</f>
        <v>359</v>
      </c>
      <c r="B360" s="19" t="str">
        <f t="shared" si="42"/>
        <v>C_Ope_001</v>
      </c>
      <c r="C360" s="3" t="s">
        <v>1330</v>
      </c>
      <c r="D360" s="211">
        <v>45876</v>
      </c>
      <c r="E360" s="5" t="s">
        <v>7753</v>
      </c>
      <c r="F360" s="5" t="s">
        <v>1336</v>
      </c>
      <c r="G360" s="6" t="s">
        <v>978</v>
      </c>
      <c r="H360" s="6" t="s">
        <v>68</v>
      </c>
      <c r="I360" s="6" t="s">
        <v>6203</v>
      </c>
      <c r="J360" s="6">
        <v>2136843</v>
      </c>
      <c r="K360" s="7" t="s">
        <v>7934</v>
      </c>
      <c r="L360" s="8">
        <v>25111</v>
      </c>
      <c r="M360" s="8" t="str">
        <f t="shared" si="43"/>
        <v>PEN</v>
      </c>
      <c r="N360" s="13"/>
      <c r="O360" s="13">
        <v>5</v>
      </c>
      <c r="P360" s="3">
        <f t="shared" si="37"/>
        <v>0</v>
      </c>
      <c r="Q360" s="3">
        <f t="shared" si="38"/>
        <v>5</v>
      </c>
      <c r="R360" s="3">
        <f t="shared" si="39"/>
        <v>15.590000000000032</v>
      </c>
      <c r="S360" s="24" t="s">
        <v>1334</v>
      </c>
      <c r="T360" s="24" t="s">
        <v>1334</v>
      </c>
      <c r="U360" s="3"/>
      <c r="V360" s="25" t="s">
        <v>7754</v>
      </c>
      <c r="W360" s="25">
        <v>20517252558</v>
      </c>
      <c r="X360" s="25" t="str">
        <f>IFERROR(VLOOKUP(C_Ope_001[[#This Row],[nota_2]],Clientes_Proveedores[[Ruc / Dni]:[Razon Social]],2,0),"")</f>
        <v>COVISUR S.A.</v>
      </c>
      <c r="Y360" s="25" t="s">
        <v>7888</v>
      </c>
      <c r="Z360" s="103"/>
      <c r="AA360" s="3" t="str">
        <f>IF(C_Ope_001[[#This Row],[fecha]]&gt;0,TEXT(C_Ope_001[[#This Row],[fecha]],"mmmm"),0)</f>
        <v>Agosto</v>
      </c>
      <c r="AB360" s="159"/>
    </row>
    <row r="361" spans="1:28" ht="24" x14ac:dyDescent="0.3">
      <c r="A361" s="2">
        <f>IF(C_Ope_001[[#This Row],[tipo_r]]="R",COUNTIFS($C$1:$C360,"R")+1,"")</f>
        <v>360</v>
      </c>
      <c r="B361" s="19" t="str">
        <f>"C_Ope_001"</f>
        <v>C_Ope_001</v>
      </c>
      <c r="C361" s="3" t="s">
        <v>1330</v>
      </c>
      <c r="D361" s="211">
        <v>45880</v>
      </c>
      <c r="E361" s="5" t="s">
        <v>3634</v>
      </c>
      <c r="F361" s="5" t="s">
        <v>1303</v>
      </c>
      <c r="G361" s="6" t="s">
        <v>812</v>
      </c>
      <c r="H361" s="6"/>
      <c r="I361" s="6"/>
      <c r="J361" s="6"/>
      <c r="K361" s="7" t="s">
        <v>7516</v>
      </c>
      <c r="L361" s="8">
        <v>25149</v>
      </c>
      <c r="M361" s="8" t="str">
        <f>"PEN"</f>
        <v>PEN</v>
      </c>
      <c r="N361" s="13"/>
      <c r="O361" s="13">
        <v>150</v>
      </c>
      <c r="P361" s="3">
        <f t="shared" si="37"/>
        <v>150</v>
      </c>
      <c r="Q361" s="3">
        <f t="shared" si="38"/>
        <v>0</v>
      </c>
      <c r="R361" s="3">
        <f t="shared" si="39"/>
        <v>165.59000000000003</v>
      </c>
      <c r="S361" s="24" t="s">
        <v>1334</v>
      </c>
      <c r="T361" s="24" t="s">
        <v>1334</v>
      </c>
      <c r="U361" s="3"/>
      <c r="V361" s="25"/>
      <c r="W361" s="25"/>
      <c r="X361" s="25" t="str">
        <f>IFERROR(VLOOKUP(C_Ope_001[[#This Row],[nota_2]],Clientes_Proveedores[[Ruc / Dni]:[Razon Social]],2,0),"")</f>
        <v/>
      </c>
      <c r="Y361" s="25"/>
      <c r="Z361" s="103"/>
      <c r="AA361" s="3" t="str">
        <f>IF(C_Ope_001[[#This Row],[fecha]]&gt;0,TEXT(C_Ope_001[[#This Row],[fecha]],"mmmm"),0)</f>
        <v>Agosto</v>
      </c>
      <c r="AB361" s="159"/>
    </row>
    <row r="362" spans="1:28" ht="24" x14ac:dyDescent="0.3">
      <c r="A362" s="2">
        <f>IF(C_Ope_001[[#This Row],[tipo_r]]="R",COUNTIFS($C$1:$C361,"R")+1,"")</f>
        <v>361</v>
      </c>
      <c r="B362" s="19" t="str">
        <f t="shared" ref="B362:B388" si="44">"C_Ope_001"</f>
        <v>C_Ope_001</v>
      </c>
      <c r="C362" s="3" t="s">
        <v>1330</v>
      </c>
      <c r="D362" s="211">
        <v>45880</v>
      </c>
      <c r="E362" s="5" t="s">
        <v>7753</v>
      </c>
      <c r="F362" s="5" t="s">
        <v>1336</v>
      </c>
      <c r="G362" s="6" t="s">
        <v>998</v>
      </c>
      <c r="H362" s="6" t="s">
        <v>68</v>
      </c>
      <c r="I362" s="6" t="s">
        <v>6378</v>
      </c>
      <c r="J362" s="6">
        <v>2108</v>
      </c>
      <c r="K362" s="7" t="s">
        <v>7935</v>
      </c>
      <c r="L362" s="8">
        <v>25119</v>
      </c>
      <c r="M362" s="8" t="str">
        <f t="shared" ref="M362:M388" si="45">"PEN"</f>
        <v>PEN</v>
      </c>
      <c r="N362" s="13"/>
      <c r="O362" s="13">
        <v>10</v>
      </c>
      <c r="P362" s="3">
        <f t="shared" si="37"/>
        <v>0</v>
      </c>
      <c r="Q362" s="3">
        <f t="shared" si="38"/>
        <v>10</v>
      </c>
      <c r="R362" s="3">
        <f t="shared" si="39"/>
        <v>155.59000000000003</v>
      </c>
      <c r="S362" s="24" t="s">
        <v>1334</v>
      </c>
      <c r="T362" s="24" t="s">
        <v>1334</v>
      </c>
      <c r="U362" s="3"/>
      <c r="V362" s="25" t="s">
        <v>7761</v>
      </c>
      <c r="W362" s="25">
        <v>20612112500</v>
      </c>
      <c r="X362" s="25" t="str">
        <f>IFERROR(VLOOKUP(C_Ope_001[[#This Row],[nota_2]],Clientes_Proveedores[[Ruc / Dni]:[Razon Social]],2,0),"")</f>
        <v>RECICLADORA LAS LOMAS E.I.R.L.</v>
      </c>
      <c r="Y362" s="25" t="s">
        <v>5933</v>
      </c>
      <c r="Z362" s="103"/>
      <c r="AA362" s="3" t="str">
        <f>IF(C_Ope_001[[#This Row],[fecha]]&gt;0,TEXT(C_Ope_001[[#This Row],[fecha]],"mmmm"),0)</f>
        <v>Agosto</v>
      </c>
      <c r="AB362" s="159"/>
    </row>
    <row r="363" spans="1:28" ht="36" x14ac:dyDescent="0.3">
      <c r="A363" s="2">
        <f>IF(C_Ope_001[[#This Row],[tipo_r]]="R",COUNTIFS($C$1:$C362,"R")+1,"")</f>
        <v>362</v>
      </c>
      <c r="B363" s="19" t="str">
        <f t="shared" si="44"/>
        <v>C_Ope_001</v>
      </c>
      <c r="C363" s="3" t="s">
        <v>1330</v>
      </c>
      <c r="D363" s="211">
        <v>45880</v>
      </c>
      <c r="E363" s="5" t="s">
        <v>7753</v>
      </c>
      <c r="F363" s="5" t="s">
        <v>1336</v>
      </c>
      <c r="G363" s="6" t="s">
        <v>227</v>
      </c>
      <c r="H363" s="6" t="s">
        <v>68</v>
      </c>
      <c r="I363" s="6" t="s">
        <v>1390</v>
      </c>
      <c r="J363" s="6">
        <v>135367</v>
      </c>
      <c r="K363" s="7" t="s">
        <v>7936</v>
      </c>
      <c r="L363" s="8">
        <v>25120</v>
      </c>
      <c r="M363" s="8" t="str">
        <f t="shared" si="45"/>
        <v>PEN</v>
      </c>
      <c r="N363" s="13"/>
      <c r="O363" s="13">
        <v>10</v>
      </c>
      <c r="P363" s="3">
        <f t="shared" si="37"/>
        <v>0</v>
      </c>
      <c r="Q363" s="3">
        <f t="shared" si="38"/>
        <v>10</v>
      </c>
      <c r="R363" s="3">
        <f t="shared" si="39"/>
        <v>145.59000000000003</v>
      </c>
      <c r="S363" s="24" t="s">
        <v>1334</v>
      </c>
      <c r="T363" s="24" t="s">
        <v>1334</v>
      </c>
      <c r="U363" s="3"/>
      <c r="V363" s="25" t="s">
        <v>7761</v>
      </c>
      <c r="W363" s="25">
        <v>20124952850</v>
      </c>
      <c r="X363" s="25" t="str">
        <f>IFERROR(VLOOKUP(C_Ope_001[[#This Row],[nota_2]],Clientes_Proveedores[[Ruc / Dni]:[Razon Social]],2,0),"")</f>
        <v>ALIMENTOS Y SERVICIOS AGROPECUARIOS SRL.</v>
      </c>
      <c r="Y363" s="25" t="s">
        <v>5933</v>
      </c>
      <c r="Z363" s="103"/>
      <c r="AA363" s="3" t="str">
        <f>IF(C_Ope_001[[#This Row],[fecha]]&gt;0,TEXT(C_Ope_001[[#This Row],[fecha]],"mmmm"),0)</f>
        <v>Agosto</v>
      </c>
      <c r="AB363" s="159"/>
    </row>
    <row r="364" spans="1:28" ht="24" x14ac:dyDescent="0.3">
      <c r="A364" s="2">
        <f>IF(C_Ope_001[[#This Row],[tipo_r]]="R",COUNTIFS($C$1:$C363,"R")+1,"")</f>
        <v>363</v>
      </c>
      <c r="B364" s="19" t="str">
        <f t="shared" si="44"/>
        <v>C_Ope_001</v>
      </c>
      <c r="C364" s="3" t="s">
        <v>1330</v>
      </c>
      <c r="D364" s="211">
        <v>45880</v>
      </c>
      <c r="E364" s="5" t="s">
        <v>7753</v>
      </c>
      <c r="F364" s="5" t="s">
        <v>1336</v>
      </c>
      <c r="G364" s="6" t="s">
        <v>1081</v>
      </c>
      <c r="H364" s="6" t="s">
        <v>68</v>
      </c>
      <c r="I364" s="6" t="s">
        <v>1376</v>
      </c>
      <c r="J364" s="6">
        <v>74</v>
      </c>
      <c r="K364" s="7" t="s">
        <v>7937</v>
      </c>
      <c r="L364" s="8">
        <v>25117</v>
      </c>
      <c r="M364" s="8" t="str">
        <f t="shared" si="45"/>
        <v>PEN</v>
      </c>
      <c r="N364" s="13"/>
      <c r="O364" s="13">
        <v>36.11</v>
      </c>
      <c r="P364" s="3">
        <f t="shared" si="37"/>
        <v>0</v>
      </c>
      <c r="Q364" s="3">
        <f t="shared" si="38"/>
        <v>36.11</v>
      </c>
      <c r="R364" s="3">
        <f t="shared" si="39"/>
        <v>109.48000000000003</v>
      </c>
      <c r="S364" s="24" t="s">
        <v>1334</v>
      </c>
      <c r="T364" s="24" t="s">
        <v>1334</v>
      </c>
      <c r="U364" s="3"/>
      <c r="V364" s="25" t="s">
        <v>7754</v>
      </c>
      <c r="W364" s="25">
        <v>10738983659</v>
      </c>
      <c r="X364" s="25" t="str">
        <f>IFERROR(VLOOKUP(C_Ope_001[[#This Row],[nota_2]],Clientes_Proveedores[[Ruc / Dni]:[Razon Social]],2,0),"")</f>
        <v>MAMANI PACCO ERICK ROMULO</v>
      </c>
      <c r="Y364" s="25" t="s">
        <v>7938</v>
      </c>
      <c r="Z364" s="103"/>
      <c r="AA364" s="3" t="str">
        <f>IF(C_Ope_001[[#This Row],[fecha]]&gt;0,TEXT(C_Ope_001[[#This Row],[fecha]],"mmmm"),0)</f>
        <v>Agosto</v>
      </c>
      <c r="AB364" s="159"/>
    </row>
    <row r="365" spans="1:28" x14ac:dyDescent="0.3">
      <c r="A365" s="2">
        <f>IF(C_Ope_001[[#This Row],[tipo_r]]="R",COUNTIFS($C$1:$C364,"R")+1,"")</f>
        <v>364</v>
      </c>
      <c r="B365" s="19" t="str">
        <f t="shared" si="44"/>
        <v>C_Ope_001</v>
      </c>
      <c r="C365" s="3" t="s">
        <v>1330</v>
      </c>
      <c r="D365" s="211">
        <v>45881</v>
      </c>
      <c r="E365" s="5" t="s">
        <v>7753</v>
      </c>
      <c r="F365" s="5" t="s">
        <v>1336</v>
      </c>
      <c r="G365" s="6" t="s">
        <v>978</v>
      </c>
      <c r="H365" s="6" t="s">
        <v>68</v>
      </c>
      <c r="I365" s="6" t="s">
        <v>6204</v>
      </c>
      <c r="J365" s="6">
        <v>1809640</v>
      </c>
      <c r="K365" s="7" t="s">
        <v>7939</v>
      </c>
      <c r="L365" s="8">
        <v>25145</v>
      </c>
      <c r="M365" s="8" t="str">
        <f t="shared" si="45"/>
        <v>PEN</v>
      </c>
      <c r="N365" s="13"/>
      <c r="O365" s="13">
        <v>8</v>
      </c>
      <c r="P365" s="3">
        <f t="shared" si="37"/>
        <v>0</v>
      </c>
      <c r="Q365" s="3">
        <f t="shared" si="38"/>
        <v>8</v>
      </c>
      <c r="R365" s="3">
        <f t="shared" si="39"/>
        <v>101.48000000000003</v>
      </c>
      <c r="S365" s="24" t="s">
        <v>1334</v>
      </c>
      <c r="T365" s="24" t="s">
        <v>1334</v>
      </c>
      <c r="U365" s="3"/>
      <c r="V365" s="25" t="s">
        <v>7842</v>
      </c>
      <c r="W365" s="25">
        <v>20517252558</v>
      </c>
      <c r="X365" s="25" t="str">
        <f>IFERROR(VLOOKUP(C_Ope_001[[#This Row],[nota_2]],Clientes_Proveedores[[Ruc / Dni]:[Razon Social]],2,0),"")</f>
        <v>COVISUR S.A.</v>
      </c>
      <c r="Y365" s="25" t="s">
        <v>7888</v>
      </c>
      <c r="Z365" s="103"/>
      <c r="AA365" s="3" t="str">
        <f>IF(C_Ope_001[[#This Row],[fecha]]&gt;0,TEXT(C_Ope_001[[#This Row],[fecha]],"mmmm"),0)</f>
        <v>Agosto</v>
      </c>
      <c r="AB365" s="159"/>
    </row>
    <row r="366" spans="1:28" x14ac:dyDescent="0.3">
      <c r="A366" s="2">
        <f>IF(C_Ope_001[[#This Row],[tipo_r]]="R",COUNTIFS($C$1:$C365,"R")+1,"")</f>
        <v>365</v>
      </c>
      <c r="B366" s="19" t="str">
        <f t="shared" si="44"/>
        <v>C_Ope_001</v>
      </c>
      <c r="C366" s="3" t="s">
        <v>1330</v>
      </c>
      <c r="D366" s="211">
        <v>45881</v>
      </c>
      <c r="E366" s="5" t="s">
        <v>7753</v>
      </c>
      <c r="F366" s="5" t="s">
        <v>1336</v>
      </c>
      <c r="G366" s="6" t="s">
        <v>978</v>
      </c>
      <c r="H366" s="6" t="s">
        <v>68</v>
      </c>
      <c r="I366" s="6" t="s">
        <v>5845</v>
      </c>
      <c r="J366" s="6">
        <v>1830318</v>
      </c>
      <c r="K366" s="7" t="s">
        <v>7927</v>
      </c>
      <c r="L366" s="8">
        <v>25146</v>
      </c>
      <c r="M366" s="8" t="str">
        <f t="shared" si="45"/>
        <v>PEN</v>
      </c>
      <c r="N366" s="13"/>
      <c r="O366" s="13">
        <v>8</v>
      </c>
      <c r="P366" s="3">
        <f t="shared" si="37"/>
        <v>0</v>
      </c>
      <c r="Q366" s="3">
        <f t="shared" si="38"/>
        <v>8</v>
      </c>
      <c r="R366" s="3">
        <f t="shared" si="39"/>
        <v>93.480000000000032</v>
      </c>
      <c r="S366" s="24" t="s">
        <v>1334</v>
      </c>
      <c r="T366" s="24" t="s">
        <v>1334</v>
      </c>
      <c r="U366" s="3"/>
      <c r="V366" s="25" t="s">
        <v>7842</v>
      </c>
      <c r="W366" s="25">
        <v>20517252558</v>
      </c>
      <c r="X366" s="25" t="str">
        <f>IFERROR(VLOOKUP(C_Ope_001[[#This Row],[nota_2]],Clientes_Proveedores[[Ruc / Dni]:[Razon Social]],2,0),"")</f>
        <v>COVISUR S.A.</v>
      </c>
      <c r="Y366" s="25" t="s">
        <v>7888</v>
      </c>
      <c r="Z366" s="103"/>
      <c r="AA366" s="3" t="str">
        <f>IF(C_Ope_001[[#This Row],[fecha]]&gt;0,TEXT(C_Ope_001[[#This Row],[fecha]],"mmmm"),0)</f>
        <v>Agosto</v>
      </c>
      <c r="AB366" s="159"/>
    </row>
    <row r="367" spans="1:28" ht="36" x14ac:dyDescent="0.3">
      <c r="A367" s="2">
        <f>IF(C_Ope_001[[#This Row],[tipo_r]]="R",COUNTIFS($C$1:$C366,"R")+1,"")</f>
        <v>366</v>
      </c>
      <c r="B367" s="19" t="str">
        <f t="shared" si="44"/>
        <v>C_Ope_001</v>
      </c>
      <c r="C367" s="3" t="s">
        <v>1330</v>
      </c>
      <c r="D367" s="211">
        <v>45881</v>
      </c>
      <c r="E367" s="5" t="s">
        <v>7753</v>
      </c>
      <c r="F367" s="5" t="s">
        <v>1336</v>
      </c>
      <c r="G367" s="6" t="s">
        <v>682</v>
      </c>
      <c r="H367" s="6" t="s">
        <v>68</v>
      </c>
      <c r="I367" s="6" t="s">
        <v>1353</v>
      </c>
      <c r="J367" s="6">
        <v>17313</v>
      </c>
      <c r="K367" s="7" t="s">
        <v>7940</v>
      </c>
      <c r="L367" s="8">
        <v>25147</v>
      </c>
      <c r="M367" s="8" t="str">
        <f t="shared" si="45"/>
        <v>PEN</v>
      </c>
      <c r="N367" s="13"/>
      <c r="O367" s="13">
        <v>20</v>
      </c>
      <c r="P367" s="3">
        <f t="shared" si="37"/>
        <v>0</v>
      </c>
      <c r="Q367" s="3">
        <f t="shared" si="38"/>
        <v>20</v>
      </c>
      <c r="R367" s="3">
        <f t="shared" si="39"/>
        <v>73.480000000000032</v>
      </c>
      <c r="S367" s="24" t="s">
        <v>1334</v>
      </c>
      <c r="T367" s="24" t="s">
        <v>1334</v>
      </c>
      <c r="U367" s="3"/>
      <c r="V367" s="25" t="s">
        <v>7842</v>
      </c>
      <c r="W367" s="25">
        <v>20259858934</v>
      </c>
      <c r="X367" s="25" t="str">
        <f>IFERROR(VLOOKUP(C_Ope_001[[#This Row],[nota_2]],Clientes_Proveedores[[Ruc / Dni]:[Razon Social]],2,0),"")</f>
        <v>COMERCIALIZACION Y SERVICIOS EL EDEN S.A.C.</v>
      </c>
      <c r="Y367" s="25" t="s">
        <v>5933</v>
      </c>
      <c r="Z367" s="103"/>
      <c r="AA367" s="3" t="str">
        <f>IF(C_Ope_001[[#This Row],[fecha]]&gt;0,TEXT(C_Ope_001[[#This Row],[fecha]],"mmmm"),0)</f>
        <v>Agosto</v>
      </c>
      <c r="AB367" s="159"/>
    </row>
    <row r="368" spans="1:28" ht="36" x14ac:dyDescent="0.3">
      <c r="A368" s="2">
        <f>IF(C_Ope_001[[#This Row],[tipo_r]]="R",COUNTIFS($C$1:$C367,"R")+1,"")</f>
        <v>367</v>
      </c>
      <c r="B368" s="19" t="str">
        <f t="shared" si="44"/>
        <v>C_Ope_001</v>
      </c>
      <c r="C368" s="3" t="s">
        <v>1330</v>
      </c>
      <c r="D368" s="211">
        <v>45881</v>
      </c>
      <c r="E368" s="5" t="s">
        <v>7753</v>
      </c>
      <c r="F368" s="5" t="s">
        <v>1336</v>
      </c>
      <c r="G368" s="6" t="s">
        <v>682</v>
      </c>
      <c r="H368" s="6" t="s">
        <v>68</v>
      </c>
      <c r="I368" s="6" t="s">
        <v>1353</v>
      </c>
      <c r="J368" s="6">
        <v>17308</v>
      </c>
      <c r="K368" s="7" t="s">
        <v>7941</v>
      </c>
      <c r="L368" s="8">
        <v>25148</v>
      </c>
      <c r="M368" s="8" t="str">
        <f t="shared" si="45"/>
        <v>PEN</v>
      </c>
      <c r="N368" s="13"/>
      <c r="O368" s="13">
        <v>20</v>
      </c>
      <c r="P368" s="3">
        <f t="shared" si="37"/>
        <v>0</v>
      </c>
      <c r="Q368" s="3">
        <f t="shared" si="38"/>
        <v>20</v>
      </c>
      <c r="R368" s="3">
        <f t="shared" si="39"/>
        <v>53.480000000000032</v>
      </c>
      <c r="S368" s="24" t="s">
        <v>1334</v>
      </c>
      <c r="T368" s="24" t="s">
        <v>1334</v>
      </c>
      <c r="U368" s="3"/>
      <c r="V368" s="25" t="s">
        <v>7842</v>
      </c>
      <c r="W368" s="25">
        <v>20259858934</v>
      </c>
      <c r="X368" s="25" t="str">
        <f>IFERROR(VLOOKUP(C_Ope_001[[#This Row],[nota_2]],Clientes_Proveedores[[Ruc / Dni]:[Razon Social]],2,0),"")</f>
        <v>COMERCIALIZACION Y SERVICIOS EL EDEN S.A.C.</v>
      </c>
      <c r="Y368" s="25" t="s">
        <v>5933</v>
      </c>
      <c r="Z368" s="103"/>
      <c r="AA368" s="3" t="str">
        <f>IF(C_Ope_001[[#This Row],[fecha]]&gt;0,TEXT(C_Ope_001[[#This Row],[fecha]],"mmmm"),0)</f>
        <v>Agosto</v>
      </c>
      <c r="AB368" s="159"/>
    </row>
    <row r="369" spans="1:28" x14ac:dyDescent="0.3">
      <c r="A369" s="2">
        <f>IF(C_Ope_001[[#This Row],[tipo_r]]="R",COUNTIFS($C$1:$C368,"R")+1,"")</f>
        <v>368</v>
      </c>
      <c r="B369" s="19" t="str">
        <f t="shared" si="44"/>
        <v>C_Ope_001</v>
      </c>
      <c r="C369" s="3" t="s">
        <v>1330</v>
      </c>
      <c r="D369" s="211">
        <v>45882</v>
      </c>
      <c r="E369" s="5" t="s">
        <v>7753</v>
      </c>
      <c r="F369" s="5" t="s">
        <v>1336</v>
      </c>
      <c r="G369" s="6" t="s">
        <v>978</v>
      </c>
      <c r="H369" s="6" t="s">
        <v>68</v>
      </c>
      <c r="I369" s="6" t="s">
        <v>6204</v>
      </c>
      <c r="J369" s="6">
        <v>1810630</v>
      </c>
      <c r="K369" s="7" t="s">
        <v>7942</v>
      </c>
      <c r="L369" s="8">
        <v>25154</v>
      </c>
      <c r="M369" s="8" t="str">
        <f t="shared" si="45"/>
        <v>PEN</v>
      </c>
      <c r="N369" s="13"/>
      <c r="O369" s="13">
        <v>8</v>
      </c>
      <c r="P369" s="3">
        <f t="shared" si="37"/>
        <v>0</v>
      </c>
      <c r="Q369" s="3">
        <f t="shared" si="38"/>
        <v>8</v>
      </c>
      <c r="R369" s="3">
        <f t="shared" si="39"/>
        <v>45.480000000000032</v>
      </c>
      <c r="S369" s="24" t="s">
        <v>1334</v>
      </c>
      <c r="T369" s="24" t="s">
        <v>1334</v>
      </c>
      <c r="U369" s="3"/>
      <c r="V369" s="25" t="s">
        <v>7842</v>
      </c>
      <c r="W369" s="25">
        <v>20517252558</v>
      </c>
      <c r="X369" s="25" t="str">
        <f>IFERROR(VLOOKUP(C_Ope_001[[#This Row],[nota_2]],Clientes_Proveedores[[Ruc / Dni]:[Razon Social]],2,0),"")</f>
        <v>COVISUR S.A.</v>
      </c>
      <c r="Y369" s="25" t="s">
        <v>7888</v>
      </c>
      <c r="Z369" s="103"/>
      <c r="AA369" s="3" t="str">
        <f>IF(C_Ope_001[[#This Row],[fecha]]&gt;0,TEXT(C_Ope_001[[#This Row],[fecha]],"mmmm"),0)</f>
        <v>Agosto</v>
      </c>
      <c r="AB369" s="159"/>
    </row>
    <row r="370" spans="1:28" x14ac:dyDescent="0.3">
      <c r="A370" s="2">
        <f>IF(C_Ope_001[[#This Row],[tipo_r]]="R",COUNTIFS($C$1:$C369,"R")+1,"")</f>
        <v>369</v>
      </c>
      <c r="B370" s="19" t="str">
        <f t="shared" si="44"/>
        <v>C_Ope_001</v>
      </c>
      <c r="C370" s="3" t="s">
        <v>1330</v>
      </c>
      <c r="D370" s="211">
        <v>45882</v>
      </c>
      <c r="E370" s="5" t="s">
        <v>7753</v>
      </c>
      <c r="F370" s="5" t="s">
        <v>1336</v>
      </c>
      <c r="G370" s="6" t="s">
        <v>978</v>
      </c>
      <c r="H370" s="6" t="s">
        <v>68</v>
      </c>
      <c r="I370" s="6" t="s">
        <v>5845</v>
      </c>
      <c r="J370" s="6">
        <v>1831368</v>
      </c>
      <c r="K370" s="7" t="s">
        <v>7942</v>
      </c>
      <c r="L370" s="8">
        <v>25155</v>
      </c>
      <c r="M370" s="8" t="str">
        <f t="shared" si="45"/>
        <v>PEN</v>
      </c>
      <c r="N370" s="13"/>
      <c r="O370" s="13">
        <v>8</v>
      </c>
      <c r="P370" s="3">
        <f t="shared" si="37"/>
        <v>0</v>
      </c>
      <c r="Q370" s="3">
        <f t="shared" si="38"/>
        <v>8</v>
      </c>
      <c r="R370" s="3">
        <f t="shared" si="39"/>
        <v>37.480000000000032</v>
      </c>
      <c r="S370" s="24" t="s">
        <v>1334</v>
      </c>
      <c r="T370" s="24" t="s">
        <v>1334</v>
      </c>
      <c r="U370" s="3"/>
      <c r="V370" s="25" t="s">
        <v>7842</v>
      </c>
      <c r="W370" s="25">
        <v>20517252558</v>
      </c>
      <c r="X370" s="25" t="str">
        <f>IFERROR(VLOOKUP(C_Ope_001[[#This Row],[nota_2]],Clientes_Proveedores[[Ruc / Dni]:[Razon Social]],2,0),"")</f>
        <v>COVISUR S.A.</v>
      </c>
      <c r="Y370" s="25" t="s">
        <v>7888</v>
      </c>
      <c r="Z370" s="103"/>
      <c r="AA370" s="3" t="str">
        <f>IF(C_Ope_001[[#This Row],[fecha]]&gt;0,TEXT(C_Ope_001[[#This Row],[fecha]],"mmmm"),0)</f>
        <v>Agosto</v>
      </c>
      <c r="AB370" s="159"/>
    </row>
    <row r="371" spans="1:28" x14ac:dyDescent="0.3">
      <c r="A371" s="2">
        <f>IF(C_Ope_001[[#This Row],[tipo_r]]="R",COUNTIFS($C$1:$C370,"R")+1,"")</f>
        <v>370</v>
      </c>
      <c r="B371" s="19" t="str">
        <f t="shared" si="44"/>
        <v>C_Ope_001</v>
      </c>
      <c r="C371" s="3" t="s">
        <v>1330</v>
      </c>
      <c r="D371" s="211">
        <v>45883</v>
      </c>
      <c r="E371" s="5" t="s">
        <v>7753</v>
      </c>
      <c r="F371" s="5" t="s">
        <v>1336</v>
      </c>
      <c r="G371" s="6" t="s">
        <v>978</v>
      </c>
      <c r="H371" s="6" t="s">
        <v>68</v>
      </c>
      <c r="I371" s="6" t="s">
        <v>6204</v>
      </c>
      <c r="J371" s="6">
        <v>1811673</v>
      </c>
      <c r="K371" s="7" t="s">
        <v>7943</v>
      </c>
      <c r="L371" s="8">
        <v>25158</v>
      </c>
      <c r="M371" s="8" t="str">
        <f t="shared" si="45"/>
        <v>PEN</v>
      </c>
      <c r="N371" s="13"/>
      <c r="O371" s="13">
        <v>8</v>
      </c>
      <c r="P371" s="3">
        <f t="shared" si="37"/>
        <v>0</v>
      </c>
      <c r="Q371" s="3">
        <f t="shared" si="38"/>
        <v>8</v>
      </c>
      <c r="R371" s="3">
        <f t="shared" si="39"/>
        <v>29.480000000000032</v>
      </c>
      <c r="S371" s="24" t="s">
        <v>1334</v>
      </c>
      <c r="T371" s="24" t="s">
        <v>1334</v>
      </c>
      <c r="U371" s="3"/>
      <c r="V371" s="25" t="s">
        <v>7756</v>
      </c>
      <c r="W371" s="25">
        <v>20517252558</v>
      </c>
      <c r="X371" s="25" t="str">
        <f>IFERROR(VLOOKUP(C_Ope_001[[#This Row],[nota_2]],Clientes_Proveedores[[Ruc / Dni]:[Razon Social]],2,0),"")</f>
        <v>COVISUR S.A.</v>
      </c>
      <c r="Y371" s="25" t="s">
        <v>7888</v>
      </c>
      <c r="Z371" s="103"/>
      <c r="AA371" s="3" t="str">
        <f>IF(C_Ope_001[[#This Row],[fecha]]&gt;0,TEXT(C_Ope_001[[#This Row],[fecha]],"mmmm"),0)</f>
        <v>Agosto</v>
      </c>
      <c r="AB371" s="159"/>
    </row>
    <row r="372" spans="1:28" x14ac:dyDescent="0.3">
      <c r="A372" s="2">
        <f>IF(C_Ope_001[[#This Row],[tipo_r]]="R",COUNTIFS($C$1:$C371,"R")+1,"")</f>
        <v>371</v>
      </c>
      <c r="B372" s="19" t="str">
        <f t="shared" si="44"/>
        <v>C_Ope_001</v>
      </c>
      <c r="C372" s="3" t="s">
        <v>1330</v>
      </c>
      <c r="D372" s="211">
        <v>45883</v>
      </c>
      <c r="E372" s="5" t="s">
        <v>7753</v>
      </c>
      <c r="F372" s="5" t="s">
        <v>1336</v>
      </c>
      <c r="G372" s="6" t="s">
        <v>978</v>
      </c>
      <c r="H372" s="6" t="s">
        <v>68</v>
      </c>
      <c r="I372" s="6" t="s">
        <v>6379</v>
      </c>
      <c r="J372" s="6">
        <v>496564</v>
      </c>
      <c r="K372" s="7" t="s">
        <v>7944</v>
      </c>
      <c r="L372" s="8">
        <v>25159</v>
      </c>
      <c r="M372" s="8" t="str">
        <f t="shared" si="45"/>
        <v>PEN</v>
      </c>
      <c r="N372" s="13"/>
      <c r="O372" s="13">
        <v>8</v>
      </c>
      <c r="P372" s="3">
        <f t="shared" si="37"/>
        <v>0</v>
      </c>
      <c r="Q372" s="3">
        <f t="shared" si="38"/>
        <v>8</v>
      </c>
      <c r="R372" s="3">
        <f t="shared" si="39"/>
        <v>21.480000000000032</v>
      </c>
      <c r="S372" s="24" t="s">
        <v>1334</v>
      </c>
      <c r="T372" s="24" t="s">
        <v>1334</v>
      </c>
      <c r="U372" s="3"/>
      <c r="V372" s="25" t="s">
        <v>7756</v>
      </c>
      <c r="W372" s="25">
        <v>20517252558</v>
      </c>
      <c r="X372" s="25" t="str">
        <f>IFERROR(VLOOKUP(C_Ope_001[[#This Row],[nota_2]],Clientes_Proveedores[[Ruc / Dni]:[Razon Social]],2,0),"")</f>
        <v>COVISUR S.A.</v>
      </c>
      <c r="Y372" s="25" t="s">
        <v>7888</v>
      </c>
      <c r="Z372" s="103"/>
      <c r="AA372" s="3" t="str">
        <f>IF(C_Ope_001[[#This Row],[fecha]]&gt;0,TEXT(C_Ope_001[[#This Row],[fecha]],"mmmm"),0)</f>
        <v>Agosto</v>
      </c>
      <c r="AB372" s="159"/>
    </row>
    <row r="373" spans="1:28" x14ac:dyDescent="0.3">
      <c r="A373" s="2">
        <f>IF(C_Ope_001[[#This Row],[tipo_r]]="R",COUNTIFS($C$1:$C372,"R")+1,"")</f>
        <v>372</v>
      </c>
      <c r="B373" s="19" t="str">
        <f t="shared" si="44"/>
        <v>C_Ope_001</v>
      </c>
      <c r="C373" s="3" t="s">
        <v>1330</v>
      </c>
      <c r="D373" s="211">
        <v>45883</v>
      </c>
      <c r="E373" s="5" t="s">
        <v>7753</v>
      </c>
      <c r="F373" s="5" t="s">
        <v>1336</v>
      </c>
      <c r="G373" s="6" t="s">
        <v>978</v>
      </c>
      <c r="H373" s="6" t="s">
        <v>68</v>
      </c>
      <c r="I373" s="6" t="s">
        <v>6380</v>
      </c>
      <c r="J373" s="6">
        <v>399071</v>
      </c>
      <c r="K373" s="7" t="s">
        <v>7944</v>
      </c>
      <c r="L373" s="8">
        <v>25219</v>
      </c>
      <c r="M373" s="8" t="str">
        <f t="shared" si="45"/>
        <v>PEN</v>
      </c>
      <c r="N373" s="13"/>
      <c r="O373" s="13">
        <v>8</v>
      </c>
      <c r="P373" s="3">
        <f t="shared" si="37"/>
        <v>0</v>
      </c>
      <c r="Q373" s="3">
        <f t="shared" si="38"/>
        <v>8</v>
      </c>
      <c r="R373" s="3">
        <f t="shared" si="39"/>
        <v>13.480000000000032</v>
      </c>
      <c r="S373" s="24" t="s">
        <v>1334</v>
      </c>
      <c r="T373" s="24" t="s">
        <v>1334</v>
      </c>
      <c r="U373" s="3"/>
      <c r="V373" s="25" t="s">
        <v>7756</v>
      </c>
      <c r="W373" s="25">
        <v>20517252558</v>
      </c>
      <c r="X373" s="25" t="str">
        <f>IFERROR(VLOOKUP(C_Ope_001[[#This Row],[nota_2]],Clientes_Proveedores[[Ruc / Dni]:[Razon Social]],2,0),"")</f>
        <v>COVISUR S.A.</v>
      </c>
      <c r="Y373" s="25" t="s">
        <v>7888</v>
      </c>
      <c r="Z373" s="103"/>
      <c r="AA373" s="3" t="str">
        <f>IF(C_Ope_001[[#This Row],[fecha]]&gt;0,TEXT(C_Ope_001[[#This Row],[fecha]],"mmmm"),0)</f>
        <v>Agosto</v>
      </c>
      <c r="AB373" s="159"/>
    </row>
    <row r="374" spans="1:28" x14ac:dyDescent="0.3">
      <c r="A374" s="2">
        <f>IF(C_Ope_001[[#This Row],[tipo_r]]="R",COUNTIFS($C$1:$C373,"R")+1,"")</f>
        <v>373</v>
      </c>
      <c r="B374" s="19" t="str">
        <f t="shared" si="44"/>
        <v>C_Ope_001</v>
      </c>
      <c r="C374" s="3" t="s">
        <v>1330</v>
      </c>
      <c r="D374" s="211">
        <v>45883</v>
      </c>
      <c r="E374" s="5" t="s">
        <v>7753</v>
      </c>
      <c r="F374" s="5" t="s">
        <v>1336</v>
      </c>
      <c r="G374" s="6" t="s">
        <v>978</v>
      </c>
      <c r="H374" s="6" t="s">
        <v>68</v>
      </c>
      <c r="I374" s="6" t="s">
        <v>5845</v>
      </c>
      <c r="J374" s="6">
        <v>1832586</v>
      </c>
      <c r="K374" s="7" t="s">
        <v>7943</v>
      </c>
      <c r="L374" s="8">
        <v>25220</v>
      </c>
      <c r="M374" s="8" t="str">
        <f t="shared" si="45"/>
        <v>PEN</v>
      </c>
      <c r="N374" s="13"/>
      <c r="O374" s="13">
        <v>8</v>
      </c>
      <c r="P374" s="3">
        <f t="shared" si="37"/>
        <v>0</v>
      </c>
      <c r="Q374" s="3">
        <f t="shared" si="38"/>
        <v>8</v>
      </c>
      <c r="R374" s="3">
        <f t="shared" si="39"/>
        <v>5.4800000000000324</v>
      </c>
      <c r="S374" s="24" t="s">
        <v>1334</v>
      </c>
      <c r="T374" s="24" t="s">
        <v>1334</v>
      </c>
      <c r="U374" s="3"/>
      <c r="V374" s="25" t="s">
        <v>7756</v>
      </c>
      <c r="W374" s="25">
        <v>20517252558</v>
      </c>
      <c r="X374" s="25" t="str">
        <f>IFERROR(VLOOKUP(C_Ope_001[[#This Row],[nota_2]],Clientes_Proveedores[[Ruc / Dni]:[Razon Social]],2,0),"")</f>
        <v>COVISUR S.A.</v>
      </c>
      <c r="Y374" s="25" t="s">
        <v>7888</v>
      </c>
      <c r="Z374" s="103"/>
      <c r="AA374" s="3" t="str">
        <f>IF(C_Ope_001[[#This Row],[fecha]]&gt;0,TEXT(C_Ope_001[[#This Row],[fecha]],"mmmm"),0)</f>
        <v>Agosto</v>
      </c>
      <c r="AB374" s="159"/>
    </row>
    <row r="375" spans="1:28" x14ac:dyDescent="0.3">
      <c r="A375" s="2">
        <f>IF(C_Ope_001[[#This Row],[tipo_r]]="R",COUNTIFS($C$1:$C374,"R")+1,"")</f>
        <v>374</v>
      </c>
      <c r="B375" s="19" t="str">
        <f t="shared" si="44"/>
        <v>C_Ope_001</v>
      </c>
      <c r="C375" s="3" t="s">
        <v>1330</v>
      </c>
      <c r="D375" s="211">
        <v>45887</v>
      </c>
      <c r="E375" s="5" t="s">
        <v>7753</v>
      </c>
      <c r="F375" s="5" t="s">
        <v>1336</v>
      </c>
      <c r="G375" s="6" t="s">
        <v>978</v>
      </c>
      <c r="H375" s="6" t="s">
        <v>68</v>
      </c>
      <c r="I375" s="6" t="s">
        <v>5688</v>
      </c>
      <c r="J375" s="6">
        <v>2439270</v>
      </c>
      <c r="K375" s="7" t="s">
        <v>7945</v>
      </c>
      <c r="L375" s="8">
        <v>25174</v>
      </c>
      <c r="M375" s="8" t="str">
        <f t="shared" si="45"/>
        <v>PEN</v>
      </c>
      <c r="N375" s="13"/>
      <c r="O375" s="13">
        <v>8</v>
      </c>
      <c r="P375" s="3">
        <f t="shared" si="37"/>
        <v>0</v>
      </c>
      <c r="Q375" s="3">
        <f t="shared" si="38"/>
        <v>8</v>
      </c>
      <c r="R375" s="3">
        <f t="shared" si="39"/>
        <v>-2.5199999999999676</v>
      </c>
      <c r="S375" s="24" t="s">
        <v>1334</v>
      </c>
      <c r="T375" s="24" t="s">
        <v>1334</v>
      </c>
      <c r="U375" s="3"/>
      <c r="V375" s="25" t="s">
        <v>7756</v>
      </c>
      <c r="W375" s="25">
        <v>20517252558</v>
      </c>
      <c r="X375" s="25" t="str">
        <f>IFERROR(VLOOKUP(C_Ope_001[[#This Row],[nota_2]],Clientes_Proveedores[[Ruc / Dni]:[Razon Social]],2,0),"")</f>
        <v>COVISUR S.A.</v>
      </c>
      <c r="Y375" s="25" t="s">
        <v>7888</v>
      </c>
      <c r="Z375" s="103"/>
      <c r="AA375" s="3" t="str">
        <f>IF(C_Ope_001[[#This Row],[fecha]]&gt;0,TEXT(C_Ope_001[[#This Row],[fecha]],"mmmm"),0)</f>
        <v>Agosto</v>
      </c>
      <c r="AB375" s="159"/>
    </row>
    <row r="376" spans="1:28" x14ac:dyDescent="0.3">
      <c r="A376" s="2">
        <f>IF(C_Ope_001[[#This Row],[tipo_r]]="R",COUNTIFS($C$1:$C375,"R")+1,"")</f>
        <v>375</v>
      </c>
      <c r="B376" s="19" t="str">
        <f t="shared" si="44"/>
        <v>C_Ope_001</v>
      </c>
      <c r="C376" s="3" t="s">
        <v>1330</v>
      </c>
      <c r="D376" s="211">
        <v>45887</v>
      </c>
      <c r="E376" s="5" t="s">
        <v>7753</v>
      </c>
      <c r="F376" s="5" t="s">
        <v>1336</v>
      </c>
      <c r="G376" s="6" t="s">
        <v>978</v>
      </c>
      <c r="H376" s="6" t="s">
        <v>68</v>
      </c>
      <c r="I376" s="6" t="s">
        <v>6203</v>
      </c>
      <c r="J376" s="6">
        <v>2149036</v>
      </c>
      <c r="K376" s="7" t="s">
        <v>7945</v>
      </c>
      <c r="L376" s="8">
        <v>25175</v>
      </c>
      <c r="M376" s="8" t="str">
        <f t="shared" si="45"/>
        <v>PEN</v>
      </c>
      <c r="N376" s="13"/>
      <c r="O376" s="13">
        <v>8</v>
      </c>
      <c r="P376" s="3">
        <f t="shared" si="37"/>
        <v>0</v>
      </c>
      <c r="Q376" s="3">
        <f t="shared" si="38"/>
        <v>8</v>
      </c>
      <c r="R376" s="3">
        <f t="shared" si="39"/>
        <v>-10.519999999999968</v>
      </c>
      <c r="S376" s="24" t="s">
        <v>1334</v>
      </c>
      <c r="T376" s="24" t="s">
        <v>1334</v>
      </c>
      <c r="U376" s="3"/>
      <c r="V376" s="25" t="s">
        <v>7756</v>
      </c>
      <c r="W376" s="25">
        <v>20517252558</v>
      </c>
      <c r="X376" s="25" t="str">
        <f>IFERROR(VLOOKUP(C_Ope_001[[#This Row],[nota_2]],Clientes_Proveedores[[Ruc / Dni]:[Razon Social]],2,0),"")</f>
        <v>COVISUR S.A.</v>
      </c>
      <c r="Y376" s="25" t="s">
        <v>7888</v>
      </c>
      <c r="Z376" s="103"/>
      <c r="AA376" s="3" t="str">
        <f>IF(C_Ope_001[[#This Row],[fecha]]&gt;0,TEXT(C_Ope_001[[#This Row],[fecha]],"mmmm"),0)</f>
        <v>Agosto</v>
      </c>
      <c r="AB376" s="159"/>
    </row>
    <row r="377" spans="1:28" ht="36" x14ac:dyDescent="0.3">
      <c r="A377" s="2">
        <f>IF(C_Ope_001[[#This Row],[tipo_r]]="R",COUNTIFS($C$1:$C376,"R")+1,"")</f>
        <v>376</v>
      </c>
      <c r="B377" s="19" t="str">
        <f t="shared" si="44"/>
        <v>C_Ope_001</v>
      </c>
      <c r="C377" s="3" t="s">
        <v>1330</v>
      </c>
      <c r="D377" s="211">
        <v>45887</v>
      </c>
      <c r="E377" s="5" t="s">
        <v>7753</v>
      </c>
      <c r="F377" s="5" t="s">
        <v>1336</v>
      </c>
      <c r="G377" s="6" t="s">
        <v>682</v>
      </c>
      <c r="H377" s="6" t="s">
        <v>68</v>
      </c>
      <c r="I377" s="6" t="s">
        <v>1353</v>
      </c>
      <c r="J377" s="6">
        <v>17382</v>
      </c>
      <c r="K377" s="7" t="s">
        <v>7946</v>
      </c>
      <c r="L377" s="8">
        <v>25168</v>
      </c>
      <c r="M377" s="8" t="str">
        <f t="shared" si="45"/>
        <v>PEN</v>
      </c>
      <c r="N377" s="13"/>
      <c r="O377" s="13">
        <v>20</v>
      </c>
      <c r="P377" s="3">
        <f t="shared" si="37"/>
        <v>0</v>
      </c>
      <c r="Q377" s="3">
        <f t="shared" si="38"/>
        <v>20</v>
      </c>
      <c r="R377" s="3">
        <f t="shared" si="39"/>
        <v>-30.519999999999968</v>
      </c>
      <c r="S377" s="24" t="s">
        <v>1334</v>
      </c>
      <c r="T377" s="24" t="s">
        <v>1334</v>
      </c>
      <c r="U377" s="3"/>
      <c r="V377" s="25" t="s">
        <v>7756</v>
      </c>
      <c r="W377" s="25">
        <v>20259858934</v>
      </c>
      <c r="X377" s="25" t="str">
        <f>IFERROR(VLOOKUP(C_Ope_001[[#This Row],[nota_2]],Clientes_Proveedores[[Ruc / Dni]:[Razon Social]],2,0),"")</f>
        <v>COMERCIALIZACION Y SERVICIOS EL EDEN S.A.C.</v>
      </c>
      <c r="Y377" s="25" t="s">
        <v>5933</v>
      </c>
      <c r="Z377" s="103"/>
      <c r="AA377" s="3" t="str">
        <f>IF(C_Ope_001[[#This Row],[fecha]]&gt;0,TEXT(C_Ope_001[[#This Row],[fecha]],"mmmm"),0)</f>
        <v>Agosto</v>
      </c>
      <c r="AB377" s="159"/>
    </row>
    <row r="378" spans="1:28" ht="36" x14ac:dyDescent="0.3">
      <c r="A378" s="2">
        <f>IF(C_Ope_001[[#This Row],[tipo_r]]="R",COUNTIFS($C$1:$C377,"R")+1,"")</f>
        <v>377</v>
      </c>
      <c r="B378" s="19" t="str">
        <f t="shared" si="44"/>
        <v>C_Ope_001</v>
      </c>
      <c r="C378" s="3" t="s">
        <v>1330</v>
      </c>
      <c r="D378" s="211">
        <v>45887</v>
      </c>
      <c r="E378" s="5" t="s">
        <v>7753</v>
      </c>
      <c r="F378" s="5" t="s">
        <v>1336</v>
      </c>
      <c r="G378" s="6" t="s">
        <v>682</v>
      </c>
      <c r="H378" s="6" t="s">
        <v>68</v>
      </c>
      <c r="I378" s="6" t="s">
        <v>1353</v>
      </c>
      <c r="J378" s="6">
        <v>17380</v>
      </c>
      <c r="K378" s="7" t="s">
        <v>7947</v>
      </c>
      <c r="L378" s="8">
        <v>25169</v>
      </c>
      <c r="M378" s="8" t="str">
        <f t="shared" si="45"/>
        <v>PEN</v>
      </c>
      <c r="N378" s="13"/>
      <c r="O378" s="13">
        <v>20</v>
      </c>
      <c r="P378" s="3">
        <f t="shared" si="37"/>
        <v>0</v>
      </c>
      <c r="Q378" s="3">
        <f t="shared" si="38"/>
        <v>20</v>
      </c>
      <c r="R378" s="3">
        <f t="shared" si="39"/>
        <v>-50.519999999999968</v>
      </c>
      <c r="S378" s="24" t="s">
        <v>1334</v>
      </c>
      <c r="T378" s="24" t="s">
        <v>1334</v>
      </c>
      <c r="U378" s="3"/>
      <c r="V378" s="25" t="s">
        <v>7756</v>
      </c>
      <c r="W378" s="25">
        <v>20259858934</v>
      </c>
      <c r="X378" s="25" t="str">
        <f>IFERROR(VLOOKUP(C_Ope_001[[#This Row],[nota_2]],Clientes_Proveedores[[Ruc / Dni]:[Razon Social]],2,0),"")</f>
        <v>COMERCIALIZACION Y SERVICIOS EL EDEN S.A.C.</v>
      </c>
      <c r="Y378" s="25" t="s">
        <v>5933</v>
      </c>
      <c r="Z378" s="103"/>
      <c r="AA378" s="3" t="str">
        <f>IF(C_Ope_001[[#This Row],[fecha]]&gt;0,TEXT(C_Ope_001[[#This Row],[fecha]],"mmmm"),0)</f>
        <v>Agosto</v>
      </c>
      <c r="AB378" s="159"/>
    </row>
    <row r="379" spans="1:28" ht="36" x14ac:dyDescent="0.3">
      <c r="A379" s="2">
        <f>IF(C_Ope_001[[#This Row],[tipo_r]]="R",COUNTIFS($C$1:$C378,"R")+1,"")</f>
        <v>378</v>
      </c>
      <c r="B379" s="19" t="str">
        <f t="shared" si="44"/>
        <v>C_Ope_001</v>
      </c>
      <c r="C379" s="3" t="s">
        <v>1330</v>
      </c>
      <c r="D379" s="211">
        <v>45887</v>
      </c>
      <c r="E379" s="5" t="s">
        <v>7753</v>
      </c>
      <c r="F379" s="5" t="s">
        <v>1336</v>
      </c>
      <c r="G379" s="6" t="s">
        <v>682</v>
      </c>
      <c r="H379" s="6" t="s">
        <v>68</v>
      </c>
      <c r="I379" s="6" t="s">
        <v>1353</v>
      </c>
      <c r="J379" s="6">
        <v>17384</v>
      </c>
      <c r="K379" s="7" t="s">
        <v>7948</v>
      </c>
      <c r="L379" s="8">
        <v>25171</v>
      </c>
      <c r="M379" s="8" t="str">
        <f t="shared" si="45"/>
        <v>PEN</v>
      </c>
      <c r="N379" s="13"/>
      <c r="O379" s="13">
        <v>20</v>
      </c>
      <c r="P379" s="3">
        <f t="shared" si="37"/>
        <v>0</v>
      </c>
      <c r="Q379" s="3">
        <f t="shared" si="38"/>
        <v>20</v>
      </c>
      <c r="R379" s="3">
        <f t="shared" si="39"/>
        <v>-70.519999999999968</v>
      </c>
      <c r="S379" s="24" t="s">
        <v>1334</v>
      </c>
      <c r="T379" s="24" t="s">
        <v>1334</v>
      </c>
      <c r="U379" s="3"/>
      <c r="V379" s="25" t="s">
        <v>7756</v>
      </c>
      <c r="W379" s="25">
        <v>20259858934</v>
      </c>
      <c r="X379" s="25" t="str">
        <f>IFERROR(VLOOKUP(C_Ope_001[[#This Row],[nota_2]],Clientes_Proveedores[[Ruc / Dni]:[Razon Social]],2,0),"")</f>
        <v>COMERCIALIZACION Y SERVICIOS EL EDEN S.A.C.</v>
      </c>
      <c r="Y379" s="25" t="s">
        <v>5933</v>
      </c>
      <c r="Z379" s="103"/>
      <c r="AA379" s="3" t="str">
        <f>IF(C_Ope_001[[#This Row],[fecha]]&gt;0,TEXT(C_Ope_001[[#This Row],[fecha]],"mmmm"),0)</f>
        <v>Agosto</v>
      </c>
      <c r="AB379" s="159"/>
    </row>
    <row r="380" spans="1:28" x14ac:dyDescent="0.3">
      <c r="A380" s="2">
        <f>IF(C_Ope_001[[#This Row],[tipo_r]]="R",COUNTIFS($C$1:$C379,"R")+1,"")</f>
        <v>379</v>
      </c>
      <c r="B380" s="19" t="str">
        <f t="shared" si="44"/>
        <v>C_Ope_001</v>
      </c>
      <c r="C380" s="3" t="s">
        <v>1330</v>
      </c>
      <c r="D380" s="211">
        <v>45888</v>
      </c>
      <c r="E380" s="5" t="s">
        <v>7753</v>
      </c>
      <c r="F380" s="5" t="s">
        <v>1336</v>
      </c>
      <c r="G380" s="6" t="s">
        <v>978</v>
      </c>
      <c r="H380" s="6" t="s">
        <v>68</v>
      </c>
      <c r="I380" s="6" t="s">
        <v>6204</v>
      </c>
      <c r="J380" s="6">
        <v>1815922</v>
      </c>
      <c r="K380" s="7" t="s">
        <v>7931</v>
      </c>
      <c r="L380" s="8">
        <v>25183</v>
      </c>
      <c r="M380" s="8" t="str">
        <f t="shared" si="45"/>
        <v>PEN</v>
      </c>
      <c r="N380" s="13"/>
      <c r="O380" s="13">
        <v>8</v>
      </c>
      <c r="P380" s="3">
        <f t="shared" si="37"/>
        <v>0</v>
      </c>
      <c r="Q380" s="3">
        <f t="shared" si="38"/>
        <v>8</v>
      </c>
      <c r="R380" s="3">
        <f t="shared" si="39"/>
        <v>-78.519999999999968</v>
      </c>
      <c r="S380" s="24" t="s">
        <v>1334</v>
      </c>
      <c r="T380" s="24" t="s">
        <v>1334</v>
      </c>
      <c r="U380" s="3"/>
      <c r="V380" s="25" t="s">
        <v>7756</v>
      </c>
      <c r="W380" s="25">
        <v>20517252558</v>
      </c>
      <c r="X380" s="25" t="str">
        <f>IFERROR(VLOOKUP(C_Ope_001[[#This Row],[nota_2]],Clientes_Proveedores[[Ruc / Dni]:[Razon Social]],2,0),"")</f>
        <v>COVISUR S.A.</v>
      </c>
      <c r="Y380" s="25" t="s">
        <v>7888</v>
      </c>
      <c r="Z380" s="103"/>
      <c r="AA380" s="3" t="str">
        <f>IF(C_Ope_001[[#This Row],[fecha]]&gt;0,TEXT(C_Ope_001[[#This Row],[fecha]],"mmmm"),0)</f>
        <v>Agosto</v>
      </c>
      <c r="AB380" s="159"/>
    </row>
    <row r="381" spans="1:28" x14ac:dyDescent="0.3">
      <c r="A381" s="2">
        <f>IF(C_Ope_001[[#This Row],[tipo_r]]="R",COUNTIFS($C$1:$C380,"R")+1,"")</f>
        <v>380</v>
      </c>
      <c r="B381" s="19" t="str">
        <f t="shared" si="44"/>
        <v>C_Ope_001</v>
      </c>
      <c r="C381" s="3" t="s">
        <v>1330</v>
      </c>
      <c r="D381" s="211">
        <v>45888</v>
      </c>
      <c r="E381" s="5" t="s">
        <v>7753</v>
      </c>
      <c r="F381" s="5" t="s">
        <v>1336</v>
      </c>
      <c r="G381" s="6" t="s">
        <v>978</v>
      </c>
      <c r="H381" s="6" t="s">
        <v>68</v>
      </c>
      <c r="I381" s="6" t="s">
        <v>6245</v>
      </c>
      <c r="J381" s="6">
        <v>1016250</v>
      </c>
      <c r="K381" s="7" t="s">
        <v>7773</v>
      </c>
      <c r="L381" s="8">
        <v>25184</v>
      </c>
      <c r="M381" s="8" t="str">
        <f t="shared" si="45"/>
        <v>PEN</v>
      </c>
      <c r="N381" s="13"/>
      <c r="O381" s="13">
        <v>8</v>
      </c>
      <c r="P381" s="3">
        <f t="shared" si="37"/>
        <v>0</v>
      </c>
      <c r="Q381" s="3">
        <f t="shared" si="38"/>
        <v>8</v>
      </c>
      <c r="R381" s="3">
        <f t="shared" si="39"/>
        <v>-86.519999999999968</v>
      </c>
      <c r="S381" s="24" t="s">
        <v>1334</v>
      </c>
      <c r="T381" s="24" t="s">
        <v>1334</v>
      </c>
      <c r="U381" s="3"/>
      <c r="V381" s="25" t="s">
        <v>7756</v>
      </c>
      <c r="W381" s="25">
        <v>20517252558</v>
      </c>
      <c r="X381" s="25" t="str">
        <f>IFERROR(VLOOKUP(C_Ope_001[[#This Row],[nota_2]],Clientes_Proveedores[[Ruc / Dni]:[Razon Social]],2,0),"")</f>
        <v>COVISUR S.A.</v>
      </c>
      <c r="Y381" s="25" t="s">
        <v>7888</v>
      </c>
      <c r="Z381" s="103"/>
      <c r="AA381" s="3" t="str">
        <f>IF(C_Ope_001[[#This Row],[fecha]]&gt;0,TEXT(C_Ope_001[[#This Row],[fecha]],"mmmm"),0)</f>
        <v>Agosto</v>
      </c>
      <c r="AB381" s="159"/>
    </row>
    <row r="382" spans="1:28" x14ac:dyDescent="0.3">
      <c r="A382" s="2">
        <f>IF(C_Ope_001[[#This Row],[tipo_r]]="R",COUNTIFS($C$1:$C381,"R")+1,"")</f>
        <v>381</v>
      </c>
      <c r="B382" s="19" t="str">
        <f t="shared" si="44"/>
        <v>C_Ope_001</v>
      </c>
      <c r="C382" s="3" t="s">
        <v>1330</v>
      </c>
      <c r="D382" s="211">
        <v>45888</v>
      </c>
      <c r="E382" s="5" t="s">
        <v>7753</v>
      </c>
      <c r="F382" s="5" t="s">
        <v>1336</v>
      </c>
      <c r="G382" s="6" t="s">
        <v>978</v>
      </c>
      <c r="H382" s="6" t="s">
        <v>68</v>
      </c>
      <c r="I382" s="6" t="s">
        <v>6380</v>
      </c>
      <c r="J382" s="6">
        <v>399997</v>
      </c>
      <c r="K382" s="7" t="s">
        <v>7773</v>
      </c>
      <c r="L382" s="8">
        <v>25190</v>
      </c>
      <c r="M382" s="8" t="str">
        <f t="shared" si="45"/>
        <v>PEN</v>
      </c>
      <c r="N382" s="13"/>
      <c r="O382" s="13">
        <v>8</v>
      </c>
      <c r="P382" s="3">
        <f t="shared" si="37"/>
        <v>0</v>
      </c>
      <c r="Q382" s="3">
        <f t="shared" si="38"/>
        <v>8</v>
      </c>
      <c r="R382" s="3">
        <f t="shared" si="39"/>
        <v>-94.519999999999968</v>
      </c>
      <c r="S382" s="24" t="s">
        <v>1334</v>
      </c>
      <c r="T382" s="24" t="s">
        <v>1334</v>
      </c>
      <c r="U382" s="3"/>
      <c r="V382" s="25" t="s">
        <v>7756</v>
      </c>
      <c r="W382" s="25">
        <v>20517252558</v>
      </c>
      <c r="X382" s="25" t="str">
        <f>IFERROR(VLOOKUP(C_Ope_001[[#This Row],[nota_2]],Clientes_Proveedores[[Ruc / Dni]:[Razon Social]],2,0),"")</f>
        <v>COVISUR S.A.</v>
      </c>
      <c r="Y382" s="25" t="s">
        <v>7888</v>
      </c>
      <c r="Z382" s="103"/>
      <c r="AA382" s="3" t="str">
        <f>IF(C_Ope_001[[#This Row],[fecha]]&gt;0,TEXT(C_Ope_001[[#This Row],[fecha]],"mmmm"),0)</f>
        <v>Agosto</v>
      </c>
      <c r="AB382" s="159"/>
    </row>
    <row r="383" spans="1:28" x14ac:dyDescent="0.3">
      <c r="A383" s="2">
        <f>IF(C_Ope_001[[#This Row],[tipo_r]]="R",COUNTIFS($C$1:$C382,"R")+1,"")</f>
        <v>382</v>
      </c>
      <c r="B383" s="19" t="str">
        <f t="shared" si="44"/>
        <v>C_Ope_001</v>
      </c>
      <c r="C383" s="3" t="s">
        <v>1330</v>
      </c>
      <c r="D383" s="211">
        <v>45888</v>
      </c>
      <c r="E383" s="5" t="s">
        <v>7753</v>
      </c>
      <c r="F383" s="5" t="s">
        <v>1336</v>
      </c>
      <c r="G383" s="6" t="s">
        <v>978</v>
      </c>
      <c r="H383" s="6" t="s">
        <v>68</v>
      </c>
      <c r="I383" s="6" t="s">
        <v>6203</v>
      </c>
      <c r="J383" s="6">
        <v>2150067</v>
      </c>
      <c r="K383" s="7" t="s">
        <v>7931</v>
      </c>
      <c r="L383" s="8">
        <v>25191</v>
      </c>
      <c r="M383" s="8" t="str">
        <f t="shared" si="45"/>
        <v>PEN</v>
      </c>
      <c r="N383" s="13"/>
      <c r="O383" s="13">
        <v>8</v>
      </c>
      <c r="P383" s="3">
        <f t="shared" si="37"/>
        <v>0</v>
      </c>
      <c r="Q383" s="3">
        <f t="shared" si="38"/>
        <v>8</v>
      </c>
      <c r="R383" s="3">
        <f t="shared" si="39"/>
        <v>-102.51999999999997</v>
      </c>
      <c r="S383" s="24" t="s">
        <v>1334</v>
      </c>
      <c r="T383" s="24" t="s">
        <v>1334</v>
      </c>
      <c r="U383" s="3"/>
      <c r="V383" s="25" t="s">
        <v>7756</v>
      </c>
      <c r="W383" s="25">
        <v>20517252558</v>
      </c>
      <c r="X383" s="25" t="str">
        <f>IFERROR(VLOOKUP(C_Ope_001[[#This Row],[nota_2]],Clientes_Proveedores[[Ruc / Dni]:[Razon Social]],2,0),"")</f>
        <v>COVISUR S.A.</v>
      </c>
      <c r="Y383" s="25" t="s">
        <v>7888</v>
      </c>
      <c r="Z383" s="103"/>
      <c r="AA383" s="3" t="str">
        <f>IF(C_Ope_001[[#This Row],[fecha]]&gt;0,TEXT(C_Ope_001[[#This Row],[fecha]],"mmmm"),0)</f>
        <v>Agosto</v>
      </c>
      <c r="AB383" s="159"/>
    </row>
    <row r="384" spans="1:28" ht="36" x14ac:dyDescent="0.3">
      <c r="A384" s="2">
        <f>IF(C_Ope_001[[#This Row],[tipo_r]]="R",COUNTIFS($C$1:$C383,"R")+1,"")</f>
        <v>383</v>
      </c>
      <c r="B384" s="19" t="str">
        <f t="shared" si="44"/>
        <v>C_Ope_001</v>
      </c>
      <c r="C384" s="3" t="s">
        <v>1330</v>
      </c>
      <c r="D384" s="211">
        <v>45888</v>
      </c>
      <c r="E384" s="5" t="s">
        <v>7753</v>
      </c>
      <c r="F384" s="5" t="s">
        <v>1336</v>
      </c>
      <c r="G384" s="6" t="s">
        <v>1029</v>
      </c>
      <c r="H384" s="6" t="s">
        <v>68</v>
      </c>
      <c r="I384" s="6" t="s">
        <v>1374</v>
      </c>
      <c r="J384" s="6">
        <v>18193</v>
      </c>
      <c r="K384" s="7" t="s">
        <v>7949</v>
      </c>
      <c r="L384" s="8">
        <v>25192</v>
      </c>
      <c r="M384" s="8" t="str">
        <f t="shared" si="45"/>
        <v>PEN</v>
      </c>
      <c r="N384" s="13"/>
      <c r="O384" s="13">
        <v>11</v>
      </c>
      <c r="P384" s="3">
        <f t="shared" si="37"/>
        <v>0</v>
      </c>
      <c r="Q384" s="3">
        <f t="shared" si="38"/>
        <v>11</v>
      </c>
      <c r="R384" s="3">
        <f t="shared" si="39"/>
        <v>-113.51999999999997</v>
      </c>
      <c r="S384" s="24" t="s">
        <v>1334</v>
      </c>
      <c r="T384" s="24" t="s">
        <v>1334</v>
      </c>
      <c r="U384" s="3"/>
      <c r="V384" s="25" t="s">
        <v>7756</v>
      </c>
      <c r="W384" s="25">
        <v>20454058187</v>
      </c>
      <c r="X384" s="25" t="str">
        <f>IFERROR(VLOOKUP(C_Ope_001[[#This Row],[nota_2]],Clientes_Proveedores[[Ruc / Dni]:[Razon Social]],2,0),"")</f>
        <v>ZONA ESPECIAL DE DESARROLLO ZED MATARANI</v>
      </c>
      <c r="Y384" s="25" t="s">
        <v>5933</v>
      </c>
      <c r="Z384" s="103"/>
      <c r="AA384" s="3" t="str">
        <f>IF(C_Ope_001[[#This Row],[fecha]]&gt;0,TEXT(C_Ope_001[[#This Row],[fecha]],"mmmm"),0)</f>
        <v>Agosto</v>
      </c>
      <c r="AB384" s="159"/>
    </row>
    <row r="385" spans="1:28" x14ac:dyDescent="0.3">
      <c r="A385" s="2">
        <f>IF(C_Ope_001[[#This Row],[tipo_r]]="R",COUNTIFS($C$1:$C384,"R")+1,"")</f>
        <v>384</v>
      </c>
      <c r="B385" s="19" t="str">
        <f t="shared" si="44"/>
        <v>C_Ope_001</v>
      </c>
      <c r="C385" s="3" t="s">
        <v>1330</v>
      </c>
      <c r="D385" s="211">
        <v>45889</v>
      </c>
      <c r="E385" s="5" t="s">
        <v>7753</v>
      </c>
      <c r="F385" s="5" t="s">
        <v>1336</v>
      </c>
      <c r="G385" s="6" t="s">
        <v>978</v>
      </c>
      <c r="H385" s="6" t="s">
        <v>68</v>
      </c>
      <c r="I385" s="6" t="s">
        <v>6204</v>
      </c>
      <c r="J385" s="6">
        <v>1816997</v>
      </c>
      <c r="K385" s="7" t="s">
        <v>7950</v>
      </c>
      <c r="L385" s="8">
        <v>25209</v>
      </c>
      <c r="M385" s="8" t="str">
        <f t="shared" si="45"/>
        <v>PEN</v>
      </c>
      <c r="N385" s="13"/>
      <c r="O385" s="13">
        <v>8</v>
      </c>
      <c r="P385" s="3">
        <f t="shared" si="37"/>
        <v>0</v>
      </c>
      <c r="Q385" s="3">
        <f t="shared" si="38"/>
        <v>8</v>
      </c>
      <c r="R385" s="3">
        <f t="shared" si="39"/>
        <v>-121.51999999999997</v>
      </c>
      <c r="S385" s="24" t="s">
        <v>1334</v>
      </c>
      <c r="T385" s="24" t="s">
        <v>1334</v>
      </c>
      <c r="U385" s="3"/>
      <c r="V385" s="25" t="s">
        <v>7756</v>
      </c>
      <c r="W385" s="25">
        <v>20517252558</v>
      </c>
      <c r="X385" s="25" t="str">
        <f>IFERROR(VLOOKUP(C_Ope_001[[#This Row],[nota_2]],Clientes_Proveedores[[Ruc / Dni]:[Razon Social]],2,0),"")</f>
        <v>COVISUR S.A.</v>
      </c>
      <c r="Y385" s="25" t="s">
        <v>7888</v>
      </c>
      <c r="Z385" s="103"/>
      <c r="AA385" s="3" t="str">
        <f>IF(C_Ope_001[[#This Row],[fecha]]&gt;0,TEXT(C_Ope_001[[#This Row],[fecha]],"mmmm"),0)</f>
        <v>Agosto</v>
      </c>
      <c r="AB385" s="159"/>
    </row>
    <row r="386" spans="1:28" ht="36" x14ac:dyDescent="0.3">
      <c r="A386" s="2">
        <f>IF(C_Ope_001[[#This Row],[tipo_r]]="R",COUNTIFS($C$1:$C385,"R")+1,"")</f>
        <v>385</v>
      </c>
      <c r="B386" s="19" t="str">
        <f t="shared" si="44"/>
        <v>C_Ope_001</v>
      </c>
      <c r="C386" s="3" t="s">
        <v>1330</v>
      </c>
      <c r="D386" s="211">
        <v>45889</v>
      </c>
      <c r="E386" s="5" t="s">
        <v>7753</v>
      </c>
      <c r="F386" s="5" t="s">
        <v>1336</v>
      </c>
      <c r="G386" s="6" t="s">
        <v>682</v>
      </c>
      <c r="H386" s="6" t="s">
        <v>68</v>
      </c>
      <c r="I386" s="6" t="s">
        <v>1353</v>
      </c>
      <c r="J386" s="6">
        <v>17417</v>
      </c>
      <c r="K386" s="7" t="s">
        <v>7924</v>
      </c>
      <c r="L386" s="8">
        <v>25206</v>
      </c>
      <c r="M386" s="8" t="str">
        <f t="shared" si="45"/>
        <v>PEN</v>
      </c>
      <c r="N386" s="13"/>
      <c r="O386" s="13">
        <v>20</v>
      </c>
      <c r="P386" s="3">
        <f t="shared" ref="P386:P453" si="46">+IF(OR($F386="SALDO",$F386="INGRESO"),$O386,0)</f>
        <v>0</v>
      </c>
      <c r="Q386" s="3">
        <f t="shared" ref="Q386:Q453" si="47">+IF($F386="EGRESO",$O386,0)</f>
        <v>20</v>
      </c>
      <c r="R386" s="3">
        <f t="shared" ref="R386:R449" si="48">IFERROR(IF(F386="SALDO",P386,R385+P386-Q386),0)</f>
        <v>-141.51999999999998</v>
      </c>
      <c r="S386" s="24" t="s">
        <v>1334</v>
      </c>
      <c r="T386" s="24" t="s">
        <v>1334</v>
      </c>
      <c r="U386" s="3"/>
      <c r="V386" s="25" t="s">
        <v>7756</v>
      </c>
      <c r="W386" s="25">
        <v>20259858934</v>
      </c>
      <c r="X386" s="25" t="str">
        <f>IFERROR(VLOOKUP(C_Ope_001[[#This Row],[nota_2]],Clientes_Proveedores[[Ruc / Dni]:[Razon Social]],2,0),"")</f>
        <v>COMERCIALIZACION Y SERVICIOS EL EDEN S.A.C.</v>
      </c>
      <c r="Y386" s="25" t="s">
        <v>5933</v>
      </c>
      <c r="Z386" s="103"/>
      <c r="AA386" s="3" t="str">
        <f>IF(C_Ope_001[[#This Row],[fecha]]&gt;0,TEXT(C_Ope_001[[#This Row],[fecha]],"mmmm"),0)</f>
        <v>Agosto</v>
      </c>
      <c r="AB386" s="159"/>
    </row>
    <row r="387" spans="1:28" ht="36" x14ac:dyDescent="0.3">
      <c r="A387" s="2">
        <f>IF(C_Ope_001[[#This Row],[tipo_r]]="R",COUNTIFS($C$1:$C386,"R")+1,"")</f>
        <v>386</v>
      </c>
      <c r="B387" s="19" t="str">
        <f t="shared" si="44"/>
        <v>C_Ope_001</v>
      </c>
      <c r="C387" s="3" t="s">
        <v>1330</v>
      </c>
      <c r="D387" s="211">
        <v>45889</v>
      </c>
      <c r="E387" s="5" t="s">
        <v>7753</v>
      </c>
      <c r="F387" s="5" t="s">
        <v>1336</v>
      </c>
      <c r="G387" s="6" t="s">
        <v>682</v>
      </c>
      <c r="H387" s="6" t="s">
        <v>68</v>
      </c>
      <c r="I387" s="6" t="s">
        <v>1353</v>
      </c>
      <c r="J387" s="6">
        <v>17416</v>
      </c>
      <c r="K387" s="7" t="s">
        <v>7951</v>
      </c>
      <c r="L387" s="8">
        <v>25207</v>
      </c>
      <c r="M387" s="8" t="str">
        <f t="shared" si="45"/>
        <v>PEN</v>
      </c>
      <c r="N387" s="13"/>
      <c r="O387" s="13">
        <v>20</v>
      </c>
      <c r="P387" s="3">
        <f t="shared" si="46"/>
        <v>0</v>
      </c>
      <c r="Q387" s="3">
        <f t="shared" si="47"/>
        <v>20</v>
      </c>
      <c r="R387" s="3">
        <f t="shared" si="48"/>
        <v>-161.51999999999998</v>
      </c>
      <c r="S387" s="24" t="s">
        <v>1334</v>
      </c>
      <c r="T387" s="24" t="s">
        <v>1334</v>
      </c>
      <c r="U387" s="3"/>
      <c r="V387" s="25" t="s">
        <v>7756</v>
      </c>
      <c r="W387" s="25">
        <v>20259858934</v>
      </c>
      <c r="X387" s="25" t="str">
        <f>IFERROR(VLOOKUP(C_Ope_001[[#This Row],[nota_2]],Clientes_Proveedores[[Ruc / Dni]:[Razon Social]],2,0),"")</f>
        <v>COMERCIALIZACION Y SERVICIOS EL EDEN S.A.C.</v>
      </c>
      <c r="Y387" s="25" t="s">
        <v>5933</v>
      </c>
      <c r="Z387" s="103"/>
      <c r="AA387" s="3" t="str">
        <f>IF(C_Ope_001[[#This Row],[fecha]]&gt;0,TEXT(C_Ope_001[[#This Row],[fecha]],"mmmm"),0)</f>
        <v>Agosto</v>
      </c>
      <c r="AB387" s="159"/>
    </row>
    <row r="388" spans="1:28" ht="36" x14ac:dyDescent="0.3">
      <c r="A388" s="2">
        <f>IF(C_Ope_001[[#This Row],[tipo_r]]="R",COUNTIFS($C$1:$C387,"R")+1,"")</f>
        <v>387</v>
      </c>
      <c r="B388" s="19" t="str">
        <f t="shared" si="44"/>
        <v>C_Ope_001</v>
      </c>
      <c r="C388" s="3" t="s">
        <v>1330</v>
      </c>
      <c r="D388" s="211">
        <v>45889</v>
      </c>
      <c r="E388" s="5" t="s">
        <v>7753</v>
      </c>
      <c r="F388" s="5" t="s">
        <v>1336</v>
      </c>
      <c r="G388" s="6" t="s">
        <v>227</v>
      </c>
      <c r="H388" s="6" t="s">
        <v>68</v>
      </c>
      <c r="I388" s="6" t="s">
        <v>1390</v>
      </c>
      <c r="J388" s="6">
        <v>135737</v>
      </c>
      <c r="K388" s="7" t="s">
        <v>7891</v>
      </c>
      <c r="L388" s="8">
        <v>25208</v>
      </c>
      <c r="M388" s="8" t="str">
        <f t="shared" si="45"/>
        <v>PEN</v>
      </c>
      <c r="N388" s="13"/>
      <c r="O388" s="13">
        <v>10</v>
      </c>
      <c r="P388" s="3">
        <f t="shared" si="46"/>
        <v>0</v>
      </c>
      <c r="Q388" s="3">
        <f t="shared" si="47"/>
        <v>10</v>
      </c>
      <c r="R388" s="3">
        <f t="shared" si="48"/>
        <v>-171.51999999999998</v>
      </c>
      <c r="S388" s="24" t="s">
        <v>1334</v>
      </c>
      <c r="T388" s="24" t="s">
        <v>1334</v>
      </c>
      <c r="U388" s="3"/>
      <c r="V388" s="25" t="s">
        <v>7756</v>
      </c>
      <c r="W388" s="25">
        <v>20124952850</v>
      </c>
      <c r="X388" s="25" t="str">
        <f>IFERROR(VLOOKUP(C_Ope_001[[#This Row],[nota_2]],Clientes_Proveedores[[Ruc / Dni]:[Razon Social]],2,0),"")</f>
        <v>ALIMENTOS Y SERVICIOS AGROPECUARIOS SRL.</v>
      </c>
      <c r="Y388" s="25" t="s">
        <v>5933</v>
      </c>
      <c r="Z388" s="103"/>
      <c r="AA388" s="3" t="str">
        <f>IF(C_Ope_001[[#This Row],[fecha]]&gt;0,TEXT(C_Ope_001[[#This Row],[fecha]],"mmmm"),0)</f>
        <v>Agosto</v>
      </c>
      <c r="AB388" s="159"/>
    </row>
    <row r="389" spans="1:28" x14ac:dyDescent="0.3">
      <c r="A389" s="2">
        <f>IF(C_Ope_001[[#This Row],[tipo_r]]="R",COUNTIFS($C$1:$C388,"R")+1,"")</f>
        <v>388</v>
      </c>
      <c r="B389" s="19" t="str">
        <f t="shared" ref="B389:B395" si="49">"C_Ope_001"</f>
        <v>C_Ope_001</v>
      </c>
      <c r="C389" s="3" t="s">
        <v>1330</v>
      </c>
      <c r="D389" s="211">
        <v>45890</v>
      </c>
      <c r="E389" s="5" t="s">
        <v>7753</v>
      </c>
      <c r="F389" s="5" t="s">
        <v>1336</v>
      </c>
      <c r="G389" s="6" t="s">
        <v>978</v>
      </c>
      <c r="H389" s="6" t="s">
        <v>68</v>
      </c>
      <c r="I389" s="6" t="s">
        <v>6203</v>
      </c>
      <c r="J389" s="6">
        <v>2152263</v>
      </c>
      <c r="K389" s="7" t="s">
        <v>7952</v>
      </c>
      <c r="L389" s="8">
        <v>25227</v>
      </c>
      <c r="M389" s="8" t="str">
        <f t="shared" ref="M389:M395" si="50">"PEN"</f>
        <v>PEN</v>
      </c>
      <c r="N389" s="13"/>
      <c r="O389" s="13">
        <v>8</v>
      </c>
      <c r="P389" s="3">
        <f t="shared" si="46"/>
        <v>0</v>
      </c>
      <c r="Q389" s="3">
        <f t="shared" si="47"/>
        <v>8</v>
      </c>
      <c r="R389" s="3">
        <f t="shared" si="48"/>
        <v>-179.51999999999998</v>
      </c>
      <c r="S389" s="24" t="s">
        <v>1334</v>
      </c>
      <c r="T389" s="24" t="s">
        <v>1334</v>
      </c>
      <c r="U389" s="3"/>
      <c r="V389" s="25" t="s">
        <v>7756</v>
      </c>
      <c r="W389" s="25">
        <v>20517252558</v>
      </c>
      <c r="X389" s="25" t="str">
        <f>IFERROR(VLOOKUP(C_Ope_001[[#This Row],[nota_2]],Clientes_Proveedores[[Ruc / Dni]:[Razon Social]],2,0),"")</f>
        <v>COVISUR S.A.</v>
      </c>
      <c r="Y389" s="25" t="s">
        <v>7888</v>
      </c>
      <c r="Z389" s="103"/>
      <c r="AA389" s="3" t="str">
        <f>IF(C_Ope_001[[#This Row],[fecha]]&gt;0,TEXT(C_Ope_001[[#This Row],[fecha]],"mmmm"),0)</f>
        <v>Agosto</v>
      </c>
      <c r="AB389" s="159"/>
    </row>
    <row r="390" spans="1:28" x14ac:dyDescent="0.3">
      <c r="A390" s="2">
        <f>IF(C_Ope_001[[#This Row],[tipo_r]]="R",COUNTIFS($C$1:$C389,"R")+1,"")</f>
        <v>389</v>
      </c>
      <c r="B390" s="19" t="str">
        <f t="shared" si="49"/>
        <v>C_Ope_001</v>
      </c>
      <c r="C390" s="3" t="s">
        <v>1330</v>
      </c>
      <c r="D390" s="211">
        <v>45890</v>
      </c>
      <c r="E390" s="5" t="s">
        <v>7753</v>
      </c>
      <c r="F390" s="5" t="s">
        <v>1336</v>
      </c>
      <c r="G390" s="6" t="s">
        <v>978</v>
      </c>
      <c r="H390" s="6" t="s">
        <v>68</v>
      </c>
      <c r="I390" s="6" t="s">
        <v>6204</v>
      </c>
      <c r="J390" s="6">
        <v>1818310</v>
      </c>
      <c r="K390" s="7" t="s">
        <v>7952</v>
      </c>
      <c r="L390" s="8">
        <v>25228</v>
      </c>
      <c r="M390" s="8" t="str">
        <f t="shared" si="50"/>
        <v>PEN</v>
      </c>
      <c r="N390" s="13"/>
      <c r="O390" s="13">
        <v>8</v>
      </c>
      <c r="P390" s="3">
        <f t="shared" si="46"/>
        <v>0</v>
      </c>
      <c r="Q390" s="3">
        <f t="shared" si="47"/>
        <v>8</v>
      </c>
      <c r="R390" s="3">
        <f t="shared" si="48"/>
        <v>-187.51999999999998</v>
      </c>
      <c r="S390" s="24" t="s">
        <v>1334</v>
      </c>
      <c r="T390" s="24" t="s">
        <v>1334</v>
      </c>
      <c r="U390" s="3"/>
      <c r="V390" s="25" t="s">
        <v>7756</v>
      </c>
      <c r="W390" s="25">
        <v>20517252558</v>
      </c>
      <c r="X390" s="25" t="str">
        <f>IFERROR(VLOOKUP(C_Ope_001[[#This Row],[nota_2]],Clientes_Proveedores[[Ruc / Dni]:[Razon Social]],2,0),"")</f>
        <v>COVISUR S.A.</v>
      </c>
      <c r="Y390" s="25" t="s">
        <v>7888</v>
      </c>
      <c r="Z390" s="103"/>
      <c r="AA390" s="3" t="str">
        <f>IF(C_Ope_001[[#This Row],[fecha]]&gt;0,TEXT(C_Ope_001[[#This Row],[fecha]],"mmmm"),0)</f>
        <v>Agosto</v>
      </c>
      <c r="AB390" s="159"/>
    </row>
    <row r="391" spans="1:28" ht="24" x14ac:dyDescent="0.3">
      <c r="A391" s="2">
        <f>IF(C_Ope_001[[#This Row],[tipo_r]]="R",COUNTIFS($C$1:$C390,"R")+1,"")</f>
        <v>390</v>
      </c>
      <c r="B391" s="19" t="str">
        <f>"C_Ope_001"</f>
        <v>C_Ope_001</v>
      </c>
      <c r="C391" s="3" t="s">
        <v>1330</v>
      </c>
      <c r="D391" s="211">
        <v>45890</v>
      </c>
      <c r="E391" s="5" t="s">
        <v>3634</v>
      </c>
      <c r="F391" s="5" t="s">
        <v>1303</v>
      </c>
      <c r="G391" s="6" t="s">
        <v>812</v>
      </c>
      <c r="H391" s="6"/>
      <c r="I391" s="6"/>
      <c r="J391" s="6"/>
      <c r="K391" s="7" t="s">
        <v>7516</v>
      </c>
      <c r="L391" s="8">
        <v>25306</v>
      </c>
      <c r="M391" s="8" t="str">
        <f>"PEN"</f>
        <v>PEN</v>
      </c>
      <c r="N391" s="13"/>
      <c r="O391" s="13">
        <v>150</v>
      </c>
      <c r="P391" s="3">
        <f t="shared" si="46"/>
        <v>150</v>
      </c>
      <c r="Q391" s="3">
        <f t="shared" si="47"/>
        <v>0</v>
      </c>
      <c r="R391" s="3">
        <f t="shared" si="48"/>
        <v>-37.519999999999982</v>
      </c>
      <c r="S391" s="24" t="s">
        <v>1334</v>
      </c>
      <c r="T391" s="24" t="s">
        <v>1334</v>
      </c>
      <c r="U391" s="3"/>
      <c r="V391" s="25"/>
      <c r="W391" s="25"/>
      <c r="X391" s="25" t="str">
        <f>IFERROR(VLOOKUP(C_Ope_001[[#This Row],[nota_2]],Clientes_Proveedores[[Ruc / Dni]:[Razon Social]],2,0),"")</f>
        <v/>
      </c>
      <c r="Y391" s="25"/>
      <c r="Z391" s="103"/>
      <c r="AA391" s="3" t="str">
        <f>IF(C_Ope_001[[#This Row],[fecha]]&gt;0,TEXT(C_Ope_001[[#This Row],[fecha]],"mmmm"),0)</f>
        <v>Agosto</v>
      </c>
      <c r="AB391" s="159"/>
    </row>
    <row r="392" spans="1:28" ht="36" x14ac:dyDescent="0.3">
      <c r="A392" s="2">
        <f>IF(C_Ope_001[[#This Row],[tipo_r]]="R",COUNTIFS($C$1:$C391,"R")+1,"")</f>
        <v>391</v>
      </c>
      <c r="B392" s="19" t="str">
        <f t="shared" si="49"/>
        <v>C_Ope_001</v>
      </c>
      <c r="C392" s="3" t="s">
        <v>1330</v>
      </c>
      <c r="D392" s="211">
        <v>45890</v>
      </c>
      <c r="E392" s="5" t="s">
        <v>7753</v>
      </c>
      <c r="F392" s="5" t="s">
        <v>1336</v>
      </c>
      <c r="G392" s="6" t="s">
        <v>227</v>
      </c>
      <c r="H392" s="6" t="s">
        <v>68</v>
      </c>
      <c r="I392" s="6" t="s">
        <v>1390</v>
      </c>
      <c r="J392" s="6">
        <v>135806</v>
      </c>
      <c r="K392" s="7" t="s">
        <v>7953</v>
      </c>
      <c r="L392" s="8">
        <v>25222</v>
      </c>
      <c r="M392" s="8" t="str">
        <f t="shared" si="50"/>
        <v>PEN</v>
      </c>
      <c r="N392" s="13"/>
      <c r="O392" s="13">
        <v>10</v>
      </c>
      <c r="P392" s="3">
        <f t="shared" si="46"/>
        <v>0</v>
      </c>
      <c r="Q392" s="3">
        <f t="shared" si="47"/>
        <v>10</v>
      </c>
      <c r="R392" s="3">
        <f t="shared" si="48"/>
        <v>-47.519999999999982</v>
      </c>
      <c r="S392" s="24" t="s">
        <v>1334</v>
      </c>
      <c r="T392" s="24" t="s">
        <v>1334</v>
      </c>
      <c r="U392" s="3"/>
      <c r="V392" s="25" t="s">
        <v>7756</v>
      </c>
      <c r="W392" s="25">
        <v>20124952850</v>
      </c>
      <c r="X392" s="25" t="str">
        <f>IFERROR(VLOOKUP(C_Ope_001[[#This Row],[nota_2]],Clientes_Proveedores[[Ruc / Dni]:[Razon Social]],2,0),"")</f>
        <v>ALIMENTOS Y SERVICIOS AGROPECUARIOS SRL.</v>
      </c>
      <c r="Y392" s="25" t="s">
        <v>5933</v>
      </c>
      <c r="Z392" s="103"/>
      <c r="AA392" s="3" t="str">
        <f>IF(C_Ope_001[[#This Row],[fecha]]&gt;0,TEXT(C_Ope_001[[#This Row],[fecha]],"mmmm"),0)</f>
        <v>Agosto</v>
      </c>
      <c r="AB392" s="159"/>
    </row>
    <row r="393" spans="1:28" ht="36" x14ac:dyDescent="0.3">
      <c r="A393" s="2">
        <f>IF(C_Ope_001[[#This Row],[tipo_r]]="R",COUNTIFS($C$1:$C392,"R")+1,"")</f>
        <v>392</v>
      </c>
      <c r="B393" s="19" t="str">
        <f t="shared" si="49"/>
        <v>C_Ope_001</v>
      </c>
      <c r="C393" s="3" t="s">
        <v>1330</v>
      </c>
      <c r="D393" s="211">
        <v>45891</v>
      </c>
      <c r="E393" s="5" t="s">
        <v>7753</v>
      </c>
      <c r="F393" s="5" t="s">
        <v>1336</v>
      </c>
      <c r="G393" s="6" t="s">
        <v>227</v>
      </c>
      <c r="H393" s="6" t="s">
        <v>68</v>
      </c>
      <c r="I393" s="6" t="s">
        <v>1390</v>
      </c>
      <c r="J393" s="6">
        <v>135848</v>
      </c>
      <c r="K393" s="7" t="s">
        <v>7891</v>
      </c>
      <c r="L393" s="8">
        <v>25232</v>
      </c>
      <c r="M393" s="8" t="str">
        <f t="shared" si="50"/>
        <v>PEN</v>
      </c>
      <c r="N393" s="13"/>
      <c r="O393" s="13">
        <v>10</v>
      </c>
      <c r="P393" s="3">
        <f t="shared" si="46"/>
        <v>0</v>
      </c>
      <c r="Q393" s="3">
        <f t="shared" si="47"/>
        <v>10</v>
      </c>
      <c r="R393" s="3">
        <f t="shared" si="48"/>
        <v>-57.519999999999982</v>
      </c>
      <c r="S393" s="24" t="s">
        <v>1334</v>
      </c>
      <c r="T393" s="24" t="s">
        <v>1334</v>
      </c>
      <c r="U393" s="3"/>
      <c r="V393" s="25" t="s">
        <v>7756</v>
      </c>
      <c r="W393" s="25">
        <v>20124952850</v>
      </c>
      <c r="X393" s="25" t="str">
        <f>IFERROR(VLOOKUP(C_Ope_001[[#This Row],[nota_2]],Clientes_Proveedores[[Ruc / Dni]:[Razon Social]],2,0),"")</f>
        <v>ALIMENTOS Y SERVICIOS AGROPECUARIOS SRL.</v>
      </c>
      <c r="Y393" s="25" t="s">
        <v>5933</v>
      </c>
      <c r="Z393" s="103"/>
      <c r="AA393" s="3" t="str">
        <f>IF(C_Ope_001[[#This Row],[fecha]]&gt;0,TEXT(C_Ope_001[[#This Row],[fecha]],"mmmm"),0)</f>
        <v>Agosto</v>
      </c>
      <c r="AB393" s="159"/>
    </row>
    <row r="394" spans="1:28" ht="24" x14ac:dyDescent="0.3">
      <c r="A394" s="2">
        <f>IF(C_Ope_001[[#This Row],[tipo_r]]="R",COUNTIFS($C$1:$C393,"R")+1,"")</f>
        <v>393</v>
      </c>
      <c r="B394" s="19" t="str">
        <f t="shared" si="49"/>
        <v>C_Ope_001</v>
      </c>
      <c r="C394" s="3" t="s">
        <v>1330</v>
      </c>
      <c r="D394" s="211">
        <v>45891</v>
      </c>
      <c r="E394" s="5" t="s">
        <v>7753</v>
      </c>
      <c r="F394" s="5" t="s">
        <v>1336</v>
      </c>
      <c r="G394" s="6" t="s">
        <v>998</v>
      </c>
      <c r="H394" s="6" t="s">
        <v>68</v>
      </c>
      <c r="I394" s="6" t="s">
        <v>6378</v>
      </c>
      <c r="J394" s="6">
        <v>2257</v>
      </c>
      <c r="K394" s="7" t="s">
        <v>7935</v>
      </c>
      <c r="L394" s="8">
        <v>25237</v>
      </c>
      <c r="M394" s="8" t="str">
        <f t="shared" si="50"/>
        <v>PEN</v>
      </c>
      <c r="N394" s="13"/>
      <c r="O394" s="13">
        <v>10</v>
      </c>
      <c r="P394" s="3">
        <f t="shared" si="46"/>
        <v>0</v>
      </c>
      <c r="Q394" s="3">
        <f t="shared" si="47"/>
        <v>10</v>
      </c>
      <c r="R394" s="3">
        <f t="shared" si="48"/>
        <v>-67.519999999999982</v>
      </c>
      <c r="S394" s="24" t="s">
        <v>1334</v>
      </c>
      <c r="T394" s="24" t="s">
        <v>1334</v>
      </c>
      <c r="U394" s="3"/>
      <c r="V394" s="25" t="s">
        <v>7756</v>
      </c>
      <c r="W394" s="25">
        <v>20612112500</v>
      </c>
      <c r="X394" s="25" t="str">
        <f>IFERROR(VLOOKUP(C_Ope_001[[#This Row],[nota_2]],Clientes_Proveedores[[Ruc / Dni]:[Razon Social]],2,0),"")</f>
        <v>RECICLADORA LAS LOMAS E.I.R.L.</v>
      </c>
      <c r="Y394" s="25" t="s">
        <v>5933</v>
      </c>
      <c r="Z394" s="103"/>
      <c r="AA394" s="3" t="str">
        <f>IF(C_Ope_001[[#This Row],[fecha]]&gt;0,TEXT(C_Ope_001[[#This Row],[fecha]],"mmmm"),0)</f>
        <v>Agosto</v>
      </c>
      <c r="AB394" s="159"/>
    </row>
    <row r="395" spans="1:28" ht="24" x14ac:dyDescent="0.3">
      <c r="A395" s="2">
        <f>IF(C_Ope_001[[#This Row],[tipo_r]]="R",COUNTIFS($C$1:$C394,"R")+1,"")</f>
        <v>394</v>
      </c>
      <c r="B395" s="19" t="str">
        <f t="shared" si="49"/>
        <v>C_Ope_001</v>
      </c>
      <c r="C395" s="3" t="s">
        <v>1330</v>
      </c>
      <c r="D395" s="211">
        <v>45891</v>
      </c>
      <c r="E395" s="5" t="s">
        <v>7753</v>
      </c>
      <c r="F395" s="5" t="s">
        <v>1336</v>
      </c>
      <c r="G395" s="6" t="s">
        <v>998</v>
      </c>
      <c r="H395" s="6" t="s">
        <v>68</v>
      </c>
      <c r="I395" s="6" t="s">
        <v>6378</v>
      </c>
      <c r="J395" s="6">
        <v>2267</v>
      </c>
      <c r="K395" s="7" t="s">
        <v>7954</v>
      </c>
      <c r="L395" s="8">
        <v>25238</v>
      </c>
      <c r="M395" s="8" t="str">
        <f t="shared" si="50"/>
        <v>PEN</v>
      </c>
      <c r="N395" s="13"/>
      <c r="O395" s="13">
        <v>10</v>
      </c>
      <c r="P395" s="3">
        <f t="shared" si="46"/>
        <v>0</v>
      </c>
      <c r="Q395" s="3">
        <f t="shared" si="47"/>
        <v>10</v>
      </c>
      <c r="R395" s="3">
        <f t="shared" si="48"/>
        <v>-77.519999999999982</v>
      </c>
      <c r="S395" s="24" t="s">
        <v>1334</v>
      </c>
      <c r="T395" s="24" t="s">
        <v>1334</v>
      </c>
      <c r="U395" s="3"/>
      <c r="V395" s="25" t="s">
        <v>7756</v>
      </c>
      <c r="W395" s="25">
        <v>20612112500</v>
      </c>
      <c r="X395" s="25" t="str">
        <f>IFERROR(VLOOKUP(C_Ope_001[[#This Row],[nota_2]],Clientes_Proveedores[[Ruc / Dni]:[Razon Social]],2,0),"")</f>
        <v>RECICLADORA LAS LOMAS E.I.R.L.</v>
      </c>
      <c r="Y395" s="25" t="s">
        <v>5933</v>
      </c>
      <c r="Z395" s="103"/>
      <c r="AA395" s="3" t="str">
        <f>IF(C_Ope_001[[#This Row],[fecha]]&gt;0,TEXT(C_Ope_001[[#This Row],[fecha]],"mmmm"),0)</f>
        <v>Agosto</v>
      </c>
      <c r="AB395" s="159"/>
    </row>
    <row r="396" spans="1:28" ht="24" x14ac:dyDescent="0.3">
      <c r="A396" s="2">
        <f>IF(C_Ope_001[[#This Row],[tipo_r]]="R",COUNTIFS($C$1:$C395,"R")+1,"")</f>
        <v>395</v>
      </c>
      <c r="B396" s="19" t="str">
        <f>"C_Ope_001"</f>
        <v>C_Ope_001</v>
      </c>
      <c r="C396" s="3" t="s">
        <v>1330</v>
      </c>
      <c r="D396" s="211">
        <v>45894</v>
      </c>
      <c r="E396" s="5" t="s">
        <v>3634</v>
      </c>
      <c r="F396" s="5" t="s">
        <v>1303</v>
      </c>
      <c r="G396" s="6" t="s">
        <v>812</v>
      </c>
      <c r="H396" s="6"/>
      <c r="I396" s="6"/>
      <c r="J396" s="6"/>
      <c r="K396" s="7" t="s">
        <v>7516</v>
      </c>
      <c r="L396" s="8">
        <v>25260</v>
      </c>
      <c r="M396" s="8" t="str">
        <f>"PEN"</f>
        <v>PEN</v>
      </c>
      <c r="N396" s="13"/>
      <c r="O396" s="13">
        <v>220</v>
      </c>
      <c r="P396" s="3">
        <f t="shared" si="46"/>
        <v>220</v>
      </c>
      <c r="Q396" s="3">
        <f t="shared" si="47"/>
        <v>0</v>
      </c>
      <c r="R396" s="3">
        <f t="shared" si="48"/>
        <v>142.48000000000002</v>
      </c>
      <c r="S396" s="24" t="s">
        <v>1334</v>
      </c>
      <c r="T396" s="24" t="s">
        <v>1334</v>
      </c>
      <c r="U396" s="3"/>
      <c r="V396" s="25"/>
      <c r="W396" s="25"/>
      <c r="X396" s="25" t="str">
        <f>IFERROR(VLOOKUP(C_Ope_001[[#This Row],[nota_2]],Clientes_Proveedores[[Ruc / Dni]:[Razon Social]],2,0),"")</f>
        <v/>
      </c>
      <c r="Y396" s="25"/>
      <c r="Z396" s="103"/>
      <c r="AA396" s="3" t="str">
        <f>IF(C_Ope_001[[#This Row],[fecha]]&gt;0,TEXT(C_Ope_001[[#This Row],[fecha]],"mmmm"),0)</f>
        <v>Agosto</v>
      </c>
      <c r="AB396" s="159"/>
    </row>
    <row r="397" spans="1:28" x14ac:dyDescent="0.3">
      <c r="A397" s="2">
        <f>IF(C_Ope_001[[#This Row],[tipo_r]]="R",COUNTIFS($C$1:$C396,"R")+1,"")</f>
        <v>396</v>
      </c>
      <c r="B397" s="19" t="str">
        <f t="shared" ref="B397:B406" si="51">"C_Ope_001"</f>
        <v>C_Ope_001</v>
      </c>
      <c r="C397" s="3" t="s">
        <v>1330</v>
      </c>
      <c r="D397" s="211">
        <v>45894</v>
      </c>
      <c r="E397" s="5" t="s">
        <v>7753</v>
      </c>
      <c r="F397" s="5" t="s">
        <v>1336</v>
      </c>
      <c r="G397" s="6" t="s">
        <v>978</v>
      </c>
      <c r="H397" s="6" t="s">
        <v>68</v>
      </c>
      <c r="I397" s="6" t="s">
        <v>6204</v>
      </c>
      <c r="J397" s="6">
        <v>1821449</v>
      </c>
      <c r="K397" s="7" t="s">
        <v>7955</v>
      </c>
      <c r="L397" s="8">
        <v>25259</v>
      </c>
      <c r="M397" s="8" t="str">
        <f t="shared" ref="M397:M406" si="52">"PEN"</f>
        <v>PEN</v>
      </c>
      <c r="N397" s="13"/>
      <c r="O397" s="13">
        <v>8</v>
      </c>
      <c r="P397" s="3">
        <f t="shared" si="46"/>
        <v>0</v>
      </c>
      <c r="Q397" s="3">
        <f t="shared" si="47"/>
        <v>8</v>
      </c>
      <c r="R397" s="3">
        <f t="shared" si="48"/>
        <v>134.48000000000002</v>
      </c>
      <c r="S397" s="24" t="s">
        <v>1334</v>
      </c>
      <c r="T397" s="24" t="s">
        <v>1334</v>
      </c>
      <c r="U397" s="3"/>
      <c r="V397" s="25" t="s">
        <v>7756</v>
      </c>
      <c r="W397" s="25">
        <v>20517252558</v>
      </c>
      <c r="X397" s="25" t="str">
        <f>IFERROR(VLOOKUP(C_Ope_001[[#This Row],[nota_2]],Clientes_Proveedores[[Ruc / Dni]:[Razon Social]],2,0),"")</f>
        <v>COVISUR S.A.</v>
      </c>
      <c r="Y397" s="25" t="s">
        <v>7888</v>
      </c>
      <c r="Z397" s="103"/>
      <c r="AA397" s="3" t="str">
        <f>IF(C_Ope_001[[#This Row],[fecha]]&gt;0,TEXT(C_Ope_001[[#This Row],[fecha]],"mmmm"),0)</f>
        <v>Agosto</v>
      </c>
      <c r="AB397" s="159"/>
    </row>
    <row r="398" spans="1:28" x14ac:dyDescent="0.3">
      <c r="A398" s="2">
        <f>IF(C_Ope_001[[#This Row],[tipo_r]]="R",COUNTIFS($C$1:$C397,"R")+1,"")</f>
        <v>397</v>
      </c>
      <c r="B398" s="19" t="str">
        <f t="shared" si="51"/>
        <v>C_Ope_001</v>
      </c>
      <c r="C398" s="3" t="s">
        <v>1330</v>
      </c>
      <c r="D398" s="211">
        <v>45894</v>
      </c>
      <c r="E398" s="5" t="s">
        <v>7753</v>
      </c>
      <c r="F398" s="5" t="s">
        <v>1336</v>
      </c>
      <c r="G398" s="6" t="s">
        <v>978</v>
      </c>
      <c r="H398" s="6" t="s">
        <v>68</v>
      </c>
      <c r="I398" s="6" t="s">
        <v>5845</v>
      </c>
      <c r="J398" s="6">
        <v>1842802</v>
      </c>
      <c r="K398" s="7" t="s">
        <v>7955</v>
      </c>
      <c r="L398" s="8">
        <v>25279</v>
      </c>
      <c r="M398" s="8" t="str">
        <f t="shared" si="52"/>
        <v>PEN</v>
      </c>
      <c r="N398" s="13"/>
      <c r="O398" s="13">
        <v>8</v>
      </c>
      <c r="P398" s="3">
        <f t="shared" si="46"/>
        <v>0</v>
      </c>
      <c r="Q398" s="3">
        <f t="shared" si="47"/>
        <v>8</v>
      </c>
      <c r="R398" s="3">
        <f t="shared" si="48"/>
        <v>126.48000000000002</v>
      </c>
      <c r="S398" s="24" t="s">
        <v>1334</v>
      </c>
      <c r="T398" s="24" t="s">
        <v>1334</v>
      </c>
      <c r="U398" s="3"/>
      <c r="V398" s="25" t="s">
        <v>7756</v>
      </c>
      <c r="W398" s="25">
        <v>20517252558</v>
      </c>
      <c r="X398" s="25" t="str">
        <f>IFERROR(VLOOKUP(C_Ope_001[[#This Row],[nota_2]],Clientes_Proveedores[[Ruc / Dni]:[Razon Social]],2,0),"")</f>
        <v>COVISUR S.A.</v>
      </c>
      <c r="Y398" s="25" t="s">
        <v>7888</v>
      </c>
      <c r="Z398" s="103"/>
      <c r="AA398" s="3" t="str">
        <f>IF(C_Ope_001[[#This Row],[fecha]]&gt;0,TEXT(C_Ope_001[[#This Row],[fecha]],"mmmm"),0)</f>
        <v>Agosto</v>
      </c>
      <c r="AB398" s="159"/>
    </row>
    <row r="399" spans="1:28" ht="36" x14ac:dyDescent="0.3">
      <c r="A399" s="2">
        <f>IF(C_Ope_001[[#This Row],[tipo_r]]="R",COUNTIFS($C$1:$C398,"R")+1,"")</f>
        <v>398</v>
      </c>
      <c r="B399" s="19" t="str">
        <f t="shared" si="51"/>
        <v>C_Ope_001</v>
      </c>
      <c r="C399" s="3" t="s">
        <v>1330</v>
      </c>
      <c r="D399" s="211">
        <v>45894</v>
      </c>
      <c r="E399" s="5" t="s">
        <v>7753</v>
      </c>
      <c r="F399" s="5" t="s">
        <v>1336</v>
      </c>
      <c r="G399" s="6" t="s">
        <v>682</v>
      </c>
      <c r="H399" s="6" t="s">
        <v>68</v>
      </c>
      <c r="I399" s="6" t="s">
        <v>1353</v>
      </c>
      <c r="J399" s="6">
        <v>17472</v>
      </c>
      <c r="K399" s="7" t="s">
        <v>7956</v>
      </c>
      <c r="L399" s="8">
        <v>25258</v>
      </c>
      <c r="M399" s="8" t="str">
        <f t="shared" si="52"/>
        <v>PEN</v>
      </c>
      <c r="N399" s="13"/>
      <c r="O399" s="13">
        <v>20</v>
      </c>
      <c r="P399" s="3">
        <f t="shared" si="46"/>
        <v>0</v>
      </c>
      <c r="Q399" s="3">
        <f t="shared" si="47"/>
        <v>20</v>
      </c>
      <c r="R399" s="3">
        <f t="shared" si="48"/>
        <v>106.48000000000002</v>
      </c>
      <c r="S399" s="24" t="s">
        <v>1334</v>
      </c>
      <c r="T399" s="24" t="s">
        <v>1334</v>
      </c>
      <c r="U399" s="3"/>
      <c r="V399" s="25" t="s">
        <v>7756</v>
      </c>
      <c r="W399" s="25">
        <v>20259858934</v>
      </c>
      <c r="X399" s="25" t="str">
        <f>IFERROR(VLOOKUP(C_Ope_001[[#This Row],[nota_2]],Clientes_Proveedores[[Ruc / Dni]:[Razon Social]],2,0),"")</f>
        <v>COMERCIALIZACION Y SERVICIOS EL EDEN S.A.C.</v>
      </c>
      <c r="Y399" s="25" t="s">
        <v>5933</v>
      </c>
      <c r="Z399" s="103"/>
      <c r="AA399" s="3" t="str">
        <f>IF(C_Ope_001[[#This Row],[fecha]]&gt;0,TEXT(C_Ope_001[[#This Row],[fecha]],"mmmm"),0)</f>
        <v>Agosto</v>
      </c>
      <c r="AB399" s="159"/>
    </row>
    <row r="400" spans="1:28" ht="24" x14ac:dyDescent="0.3">
      <c r="A400" s="2">
        <f>IF(C_Ope_001[[#This Row],[tipo_r]]="R",COUNTIFS($C$1:$C399,"R")+1,"")</f>
        <v>399</v>
      </c>
      <c r="B400" s="19" t="str">
        <f t="shared" si="51"/>
        <v>C_Ope_001</v>
      </c>
      <c r="C400" s="3" t="s">
        <v>1330</v>
      </c>
      <c r="D400" s="211">
        <v>45895</v>
      </c>
      <c r="E400" s="5" t="s">
        <v>7753</v>
      </c>
      <c r="F400" s="5" t="s">
        <v>1336</v>
      </c>
      <c r="G400" s="6" t="s">
        <v>999</v>
      </c>
      <c r="H400" s="6" t="s">
        <v>68</v>
      </c>
      <c r="I400" s="6" t="s">
        <v>1374</v>
      </c>
      <c r="J400" s="6">
        <v>19392</v>
      </c>
      <c r="K400" s="7" t="s">
        <v>7893</v>
      </c>
      <c r="L400" s="8">
        <v>25274</v>
      </c>
      <c r="M400" s="8" t="str">
        <f t="shared" si="52"/>
        <v>PEN</v>
      </c>
      <c r="N400" s="13"/>
      <c r="O400" s="13">
        <v>25</v>
      </c>
      <c r="P400" s="3">
        <f t="shared" si="46"/>
        <v>0</v>
      </c>
      <c r="Q400" s="3">
        <f t="shared" si="47"/>
        <v>25</v>
      </c>
      <c r="R400" s="3">
        <f t="shared" si="48"/>
        <v>81.480000000000018</v>
      </c>
      <c r="S400" s="24" t="s">
        <v>1334</v>
      </c>
      <c r="T400" s="24" t="s">
        <v>1334</v>
      </c>
      <c r="U400" s="3"/>
      <c r="V400" s="25" t="s">
        <v>7756</v>
      </c>
      <c r="W400" s="25">
        <v>10705628331</v>
      </c>
      <c r="X400" s="25" t="str">
        <f>IFERROR(VLOOKUP(C_Ope_001[[#This Row],[nota_2]],Clientes_Proveedores[[Ruc / Dni]:[Razon Social]],2,0),"")</f>
        <v>LARICO APAZA NANCY ROSSMARY</v>
      </c>
      <c r="Y400" s="25" t="s">
        <v>7938</v>
      </c>
      <c r="Z400" s="103"/>
      <c r="AA400" s="3" t="str">
        <f>IF(C_Ope_001[[#This Row],[fecha]]&gt;0,TEXT(C_Ope_001[[#This Row],[fecha]],"mmmm"),0)</f>
        <v>Agosto</v>
      </c>
      <c r="AB400" s="159"/>
    </row>
    <row r="401" spans="1:28" x14ac:dyDescent="0.3">
      <c r="A401" s="2">
        <f>IF(C_Ope_001[[#This Row],[tipo_r]]="R",COUNTIFS($C$1:$C400,"R")+1,"")</f>
        <v>400</v>
      </c>
      <c r="B401" s="19" t="str">
        <f t="shared" si="51"/>
        <v>C_Ope_001</v>
      </c>
      <c r="C401" s="3" t="s">
        <v>1330</v>
      </c>
      <c r="D401" s="211">
        <v>45896</v>
      </c>
      <c r="E401" s="5" t="s">
        <v>7753</v>
      </c>
      <c r="F401" s="5" t="s">
        <v>1336</v>
      </c>
      <c r="G401" s="6" t="s">
        <v>978</v>
      </c>
      <c r="H401" s="6" t="s">
        <v>68</v>
      </c>
      <c r="I401" s="6" t="s">
        <v>6204</v>
      </c>
      <c r="J401" s="6">
        <v>1823642</v>
      </c>
      <c r="K401" s="7" t="s">
        <v>7955</v>
      </c>
      <c r="L401" s="8">
        <v>25275</v>
      </c>
      <c r="M401" s="8" t="str">
        <f t="shared" si="52"/>
        <v>PEN</v>
      </c>
      <c r="N401" s="13"/>
      <c r="O401" s="13">
        <v>8</v>
      </c>
      <c r="P401" s="3">
        <f t="shared" si="46"/>
        <v>0</v>
      </c>
      <c r="Q401" s="3">
        <f t="shared" si="47"/>
        <v>8</v>
      </c>
      <c r="R401" s="3">
        <f t="shared" si="48"/>
        <v>73.480000000000018</v>
      </c>
      <c r="S401" s="24" t="s">
        <v>1334</v>
      </c>
      <c r="T401" s="24"/>
      <c r="U401" s="3"/>
      <c r="V401" s="25" t="s">
        <v>7756</v>
      </c>
      <c r="W401" s="25">
        <v>20517252558</v>
      </c>
      <c r="X401" s="25" t="str">
        <f>IFERROR(VLOOKUP(C_Ope_001[[#This Row],[nota_2]],Clientes_Proveedores[[Ruc / Dni]:[Razon Social]],2,0),"")</f>
        <v>COVISUR S.A.</v>
      </c>
      <c r="Y401" s="25" t="s">
        <v>7888</v>
      </c>
      <c r="Z401" s="103"/>
      <c r="AA401" s="3" t="str">
        <f>IF(C_Ope_001[[#This Row],[fecha]]&gt;0,TEXT(C_Ope_001[[#This Row],[fecha]],"mmmm"),0)</f>
        <v>Agosto</v>
      </c>
      <c r="AB401" s="159"/>
    </row>
    <row r="402" spans="1:28" x14ac:dyDescent="0.3">
      <c r="A402" s="2">
        <f>IF(C_Ope_001[[#This Row],[tipo_r]]="R",COUNTIFS($C$1:$C401,"R")+1,"")</f>
        <v>401</v>
      </c>
      <c r="B402" s="19" t="str">
        <f t="shared" si="51"/>
        <v>C_Ope_001</v>
      </c>
      <c r="C402" s="3" t="s">
        <v>1330</v>
      </c>
      <c r="D402" s="211">
        <v>45896</v>
      </c>
      <c r="E402" s="5" t="s">
        <v>7753</v>
      </c>
      <c r="F402" s="5" t="s">
        <v>1336</v>
      </c>
      <c r="G402" s="6" t="s">
        <v>978</v>
      </c>
      <c r="H402" s="6" t="s">
        <v>68</v>
      </c>
      <c r="I402" s="6" t="s">
        <v>5845</v>
      </c>
      <c r="J402" s="6">
        <v>1844638</v>
      </c>
      <c r="K402" s="7" t="s">
        <v>7955</v>
      </c>
      <c r="L402" s="8">
        <v>25276</v>
      </c>
      <c r="M402" s="8" t="str">
        <f t="shared" si="52"/>
        <v>PEN</v>
      </c>
      <c r="N402" s="13"/>
      <c r="O402" s="13">
        <v>8</v>
      </c>
      <c r="P402" s="3">
        <f t="shared" si="46"/>
        <v>0</v>
      </c>
      <c r="Q402" s="3">
        <f t="shared" si="47"/>
        <v>8</v>
      </c>
      <c r="R402" s="3">
        <f t="shared" si="48"/>
        <v>65.480000000000018</v>
      </c>
      <c r="S402" s="24" t="s">
        <v>1334</v>
      </c>
      <c r="T402" s="24"/>
      <c r="U402" s="3"/>
      <c r="V402" s="25" t="s">
        <v>7756</v>
      </c>
      <c r="W402" s="25">
        <v>20517252558</v>
      </c>
      <c r="X402" s="25" t="str">
        <f>IFERROR(VLOOKUP(C_Ope_001[[#This Row],[nota_2]],Clientes_Proveedores[[Ruc / Dni]:[Razon Social]],2,0),"")</f>
        <v>COVISUR S.A.</v>
      </c>
      <c r="Y402" s="25" t="s">
        <v>7888</v>
      </c>
      <c r="Z402" s="103"/>
      <c r="AA402" s="3" t="str">
        <f>IF(C_Ope_001[[#This Row],[fecha]]&gt;0,TEXT(C_Ope_001[[#This Row],[fecha]],"mmmm"),0)</f>
        <v>Agosto</v>
      </c>
      <c r="AB402" s="159"/>
    </row>
    <row r="403" spans="1:28" ht="36" x14ac:dyDescent="0.3">
      <c r="A403" s="2">
        <f>IF(C_Ope_001[[#This Row],[tipo_r]]="R",COUNTIFS($C$1:$C402,"R")+1,"")</f>
        <v>402</v>
      </c>
      <c r="B403" s="19" t="str">
        <f t="shared" si="51"/>
        <v>C_Ope_001</v>
      </c>
      <c r="C403" s="3" t="s">
        <v>1330</v>
      </c>
      <c r="D403" s="211">
        <v>45896</v>
      </c>
      <c r="E403" s="5" t="s">
        <v>7753</v>
      </c>
      <c r="F403" s="5" t="s">
        <v>1336</v>
      </c>
      <c r="G403" s="6" t="s">
        <v>682</v>
      </c>
      <c r="H403" s="6" t="s">
        <v>68</v>
      </c>
      <c r="I403" s="6" t="s">
        <v>1353</v>
      </c>
      <c r="J403" s="6">
        <v>17497</v>
      </c>
      <c r="K403" s="7" t="s">
        <v>7956</v>
      </c>
      <c r="L403" s="8">
        <v>25278</v>
      </c>
      <c r="M403" s="8" t="str">
        <f t="shared" si="52"/>
        <v>PEN</v>
      </c>
      <c r="N403" s="13"/>
      <c r="O403" s="13">
        <v>20</v>
      </c>
      <c r="P403" s="3">
        <f t="shared" si="46"/>
        <v>0</v>
      </c>
      <c r="Q403" s="3">
        <f t="shared" si="47"/>
        <v>20</v>
      </c>
      <c r="R403" s="3">
        <f t="shared" si="48"/>
        <v>45.480000000000018</v>
      </c>
      <c r="S403" s="24" t="s">
        <v>1334</v>
      </c>
      <c r="T403" s="24"/>
      <c r="U403" s="3"/>
      <c r="V403" s="25" t="s">
        <v>7756</v>
      </c>
      <c r="W403" s="25">
        <v>20259858934</v>
      </c>
      <c r="X403" s="25" t="str">
        <f>IFERROR(VLOOKUP(C_Ope_001[[#This Row],[nota_2]],Clientes_Proveedores[[Ruc / Dni]:[Razon Social]],2,0),"")</f>
        <v>COMERCIALIZACION Y SERVICIOS EL EDEN S.A.C.</v>
      </c>
      <c r="Y403" s="25" t="s">
        <v>5933</v>
      </c>
      <c r="Z403" s="103"/>
      <c r="AA403" s="3" t="str">
        <f>IF(C_Ope_001[[#This Row],[fecha]]&gt;0,TEXT(C_Ope_001[[#This Row],[fecha]],"mmmm"),0)</f>
        <v>Agosto</v>
      </c>
      <c r="AB403" s="159"/>
    </row>
    <row r="404" spans="1:28" x14ac:dyDescent="0.3">
      <c r="A404" s="2">
        <f>IF(C_Ope_001[[#This Row],[tipo_r]]="R",COUNTIFS($C$1:$C403,"R")+1,"")</f>
        <v>403</v>
      </c>
      <c r="B404" s="19" t="str">
        <f t="shared" si="51"/>
        <v>C_Ope_001</v>
      </c>
      <c r="C404" s="3" t="s">
        <v>1330</v>
      </c>
      <c r="D404" s="211">
        <v>45897</v>
      </c>
      <c r="E404" s="5" t="s">
        <v>7753</v>
      </c>
      <c r="F404" s="5" t="s">
        <v>1336</v>
      </c>
      <c r="G404" s="6" t="s">
        <v>978</v>
      </c>
      <c r="H404" s="6" t="s">
        <v>68</v>
      </c>
      <c r="I404" s="6" t="s">
        <v>5688</v>
      </c>
      <c r="J404" s="6">
        <v>2451589</v>
      </c>
      <c r="K404" s="7" t="s">
        <v>7952</v>
      </c>
      <c r="L404" s="8">
        <v>25296</v>
      </c>
      <c r="M404" s="8" t="str">
        <f t="shared" si="52"/>
        <v>PEN</v>
      </c>
      <c r="N404" s="13"/>
      <c r="O404" s="13">
        <v>8</v>
      </c>
      <c r="P404" s="3">
        <f t="shared" si="46"/>
        <v>0</v>
      </c>
      <c r="Q404" s="3">
        <f t="shared" si="47"/>
        <v>8</v>
      </c>
      <c r="R404" s="3">
        <f t="shared" si="48"/>
        <v>37.480000000000018</v>
      </c>
      <c r="S404" s="24" t="s">
        <v>1334</v>
      </c>
      <c r="T404" s="24"/>
      <c r="U404" s="3"/>
      <c r="V404" s="25" t="s">
        <v>7756</v>
      </c>
      <c r="W404" s="25">
        <v>20517252558</v>
      </c>
      <c r="X404" s="25" t="str">
        <f>IFERROR(VLOOKUP(C_Ope_001[[#This Row],[nota_2]],Clientes_Proveedores[[Ruc / Dni]:[Razon Social]],2,0),"")</f>
        <v>COVISUR S.A.</v>
      </c>
      <c r="Y404" s="25" t="s">
        <v>7888</v>
      </c>
      <c r="Z404" s="103"/>
      <c r="AA404" s="3" t="str">
        <f>IF(C_Ope_001[[#This Row],[fecha]]&gt;0,TEXT(C_Ope_001[[#This Row],[fecha]],"mmmm"),0)</f>
        <v>Agosto</v>
      </c>
      <c r="AB404" s="159"/>
    </row>
    <row r="405" spans="1:28" x14ac:dyDescent="0.3">
      <c r="A405" s="2">
        <f>IF(C_Ope_001[[#This Row],[tipo_r]]="R",COUNTIFS($C$1:$C404,"R")+1,"")</f>
        <v>404</v>
      </c>
      <c r="B405" s="19" t="str">
        <f t="shared" si="51"/>
        <v>C_Ope_001</v>
      </c>
      <c r="C405" s="3" t="s">
        <v>1330</v>
      </c>
      <c r="D405" s="211">
        <v>45897</v>
      </c>
      <c r="E405" s="5" t="s">
        <v>7753</v>
      </c>
      <c r="F405" s="5" t="s">
        <v>1336</v>
      </c>
      <c r="G405" s="6" t="s">
        <v>978</v>
      </c>
      <c r="H405" s="6" t="s">
        <v>68</v>
      </c>
      <c r="I405" s="6" t="s">
        <v>6203</v>
      </c>
      <c r="J405" s="6">
        <v>2160048</v>
      </c>
      <c r="K405" s="7" t="s">
        <v>7952</v>
      </c>
      <c r="L405" s="8">
        <v>25297</v>
      </c>
      <c r="M405" s="8" t="str">
        <f t="shared" si="52"/>
        <v>PEN</v>
      </c>
      <c r="N405" s="13"/>
      <c r="O405" s="13">
        <v>8</v>
      </c>
      <c r="P405" s="3">
        <f t="shared" si="46"/>
        <v>0</v>
      </c>
      <c r="Q405" s="3">
        <f t="shared" si="47"/>
        <v>8</v>
      </c>
      <c r="R405" s="3">
        <f t="shared" si="48"/>
        <v>29.480000000000018</v>
      </c>
      <c r="S405" s="24" t="s">
        <v>1334</v>
      </c>
      <c r="T405" s="24"/>
      <c r="U405" s="3"/>
      <c r="V405" s="25" t="s">
        <v>7756</v>
      </c>
      <c r="W405" s="25">
        <v>20517252558</v>
      </c>
      <c r="X405" s="25" t="str">
        <f>IFERROR(VLOOKUP(C_Ope_001[[#This Row],[nota_2]],Clientes_Proveedores[[Ruc / Dni]:[Razon Social]],2,0),"")</f>
        <v>COVISUR S.A.</v>
      </c>
      <c r="Y405" s="25" t="s">
        <v>7888</v>
      </c>
      <c r="Z405" s="103"/>
      <c r="AA405" s="3" t="str">
        <f>IF(C_Ope_001[[#This Row],[fecha]]&gt;0,TEXT(C_Ope_001[[#This Row],[fecha]],"mmmm"),0)</f>
        <v>Agosto</v>
      </c>
      <c r="AB405" s="159"/>
    </row>
    <row r="406" spans="1:28" ht="36" x14ac:dyDescent="0.3">
      <c r="A406" s="2">
        <f>IF(C_Ope_001[[#This Row],[tipo_r]]="R",COUNTIFS($C$1:$C405,"R")+1,"")</f>
        <v>405</v>
      </c>
      <c r="B406" s="19" t="str">
        <f t="shared" si="51"/>
        <v>C_Ope_001</v>
      </c>
      <c r="C406" s="3" t="s">
        <v>1330</v>
      </c>
      <c r="D406" s="211">
        <v>45897</v>
      </c>
      <c r="E406" s="5" t="s">
        <v>7753</v>
      </c>
      <c r="F406" s="5" t="s">
        <v>1336</v>
      </c>
      <c r="G406" s="6" t="s">
        <v>227</v>
      </c>
      <c r="H406" s="6" t="s">
        <v>68</v>
      </c>
      <c r="I406" s="6" t="s">
        <v>1390</v>
      </c>
      <c r="J406" s="6">
        <v>136133</v>
      </c>
      <c r="K406" s="7" t="s">
        <v>7891</v>
      </c>
      <c r="L406" s="8">
        <v>25295</v>
      </c>
      <c r="M406" s="8" t="str">
        <f t="shared" si="52"/>
        <v>PEN</v>
      </c>
      <c r="N406" s="13">
        <v>2</v>
      </c>
      <c r="O406" s="13">
        <v>8</v>
      </c>
      <c r="P406" s="3">
        <f t="shared" si="46"/>
        <v>0</v>
      </c>
      <c r="Q406" s="3">
        <f t="shared" si="47"/>
        <v>8</v>
      </c>
      <c r="R406" s="3">
        <f t="shared" si="48"/>
        <v>21.480000000000018</v>
      </c>
      <c r="S406" s="24" t="s">
        <v>1334</v>
      </c>
      <c r="T406" s="24"/>
      <c r="U406" s="3"/>
      <c r="V406" s="25" t="s">
        <v>7756</v>
      </c>
      <c r="W406" s="25">
        <v>20124952850</v>
      </c>
      <c r="X406" s="25" t="str">
        <f>IFERROR(VLOOKUP(C_Ope_001[[#This Row],[nota_2]],Clientes_Proveedores[[Ruc / Dni]:[Razon Social]],2,0),"")</f>
        <v>ALIMENTOS Y SERVICIOS AGROPECUARIOS SRL.</v>
      </c>
      <c r="Y406" s="25" t="s">
        <v>5933</v>
      </c>
      <c r="Z406" s="103"/>
      <c r="AA406" s="3" t="str">
        <f>IF(C_Ope_001[[#This Row],[fecha]]&gt;0,TEXT(C_Ope_001[[#This Row],[fecha]],"mmmm"),0)</f>
        <v>Agosto</v>
      </c>
      <c r="AB406" s="159"/>
    </row>
    <row r="407" spans="1:28" x14ac:dyDescent="0.3">
      <c r="A407" s="2">
        <f>IF(C_Ope_001[[#This Row],[tipo_r]]="R",COUNTIFS($C$1:$C406,"R")+1,"")</f>
        <v>406</v>
      </c>
      <c r="B407" s="19" t="str">
        <f t="shared" ref="B407:B409" si="53">"C_Ope_001"</f>
        <v>C_Ope_001</v>
      </c>
      <c r="C407" s="3" t="s">
        <v>1330</v>
      </c>
      <c r="D407" s="211">
        <v>45898</v>
      </c>
      <c r="E407" s="5" t="s">
        <v>7753</v>
      </c>
      <c r="F407" s="5" t="s">
        <v>1336</v>
      </c>
      <c r="G407" s="6" t="s">
        <v>978</v>
      </c>
      <c r="H407" s="6" t="s">
        <v>68</v>
      </c>
      <c r="I407" s="6" t="s">
        <v>6245</v>
      </c>
      <c r="J407" s="6">
        <v>1021226</v>
      </c>
      <c r="K407" s="7" t="s">
        <v>7944</v>
      </c>
      <c r="L407" s="8">
        <v>25308</v>
      </c>
      <c r="M407" s="8" t="str">
        <f t="shared" ref="M407:M409" si="54">"PEN"</f>
        <v>PEN</v>
      </c>
      <c r="N407" s="13"/>
      <c r="O407" s="13">
        <v>8</v>
      </c>
      <c r="P407" s="3">
        <f t="shared" si="46"/>
        <v>0</v>
      </c>
      <c r="Q407" s="3">
        <f t="shared" si="47"/>
        <v>8</v>
      </c>
      <c r="R407" s="3">
        <f t="shared" si="48"/>
        <v>13.480000000000018</v>
      </c>
      <c r="S407" s="24" t="s">
        <v>1334</v>
      </c>
      <c r="T407" s="24"/>
      <c r="U407" s="3"/>
      <c r="V407" s="25" t="s">
        <v>7756</v>
      </c>
      <c r="W407" s="25">
        <v>20517252558</v>
      </c>
      <c r="X407" s="25" t="str">
        <f>IFERROR(VLOOKUP(C_Ope_001[[#This Row],[nota_2]],Clientes_Proveedores[[Ruc / Dni]:[Razon Social]],2,0),"")</f>
        <v>COVISUR S.A.</v>
      </c>
      <c r="Y407" s="25" t="s">
        <v>7888</v>
      </c>
      <c r="Z407" s="103"/>
      <c r="AA407" s="3" t="str">
        <f>IF(C_Ope_001[[#This Row],[fecha]]&gt;0,TEXT(C_Ope_001[[#This Row],[fecha]],"mmmm"),0)</f>
        <v>Agosto</v>
      </c>
      <c r="AB407" s="159"/>
    </row>
    <row r="408" spans="1:28" x14ac:dyDescent="0.3">
      <c r="A408" s="2">
        <f>IF(C_Ope_001[[#This Row],[tipo_r]]="R",COUNTIFS($C$1:$C407,"R")+1,"")</f>
        <v>407</v>
      </c>
      <c r="B408" s="19" t="str">
        <f t="shared" si="53"/>
        <v>C_Ope_001</v>
      </c>
      <c r="C408" s="3" t="s">
        <v>1330</v>
      </c>
      <c r="D408" s="211">
        <v>45898</v>
      </c>
      <c r="E408" s="5" t="s">
        <v>7753</v>
      </c>
      <c r="F408" s="5" t="s">
        <v>1336</v>
      </c>
      <c r="G408" s="6" t="s">
        <v>978</v>
      </c>
      <c r="H408" s="6" t="s">
        <v>68</v>
      </c>
      <c r="I408" s="6" t="s">
        <v>5845</v>
      </c>
      <c r="J408" s="6">
        <v>1846999</v>
      </c>
      <c r="K408" s="7" t="s">
        <v>7943</v>
      </c>
      <c r="L408" s="8">
        <v>25314</v>
      </c>
      <c r="M408" s="8" t="str">
        <f t="shared" si="54"/>
        <v>PEN</v>
      </c>
      <c r="N408" s="13"/>
      <c r="O408" s="13">
        <v>8</v>
      </c>
      <c r="P408" s="3">
        <f t="shared" si="46"/>
        <v>0</v>
      </c>
      <c r="Q408" s="3">
        <f t="shared" si="47"/>
        <v>8</v>
      </c>
      <c r="R408" s="3">
        <f t="shared" si="48"/>
        <v>5.4800000000000182</v>
      </c>
      <c r="S408" s="24" t="s">
        <v>1334</v>
      </c>
      <c r="T408" s="24"/>
      <c r="U408" s="3"/>
      <c r="V408" s="25" t="s">
        <v>7756</v>
      </c>
      <c r="W408" s="25">
        <v>20517252558</v>
      </c>
      <c r="X408" s="25" t="str">
        <f>IFERROR(VLOOKUP(C_Ope_001[[#This Row],[nota_2]],Clientes_Proveedores[[Ruc / Dni]:[Razon Social]],2,0),"")</f>
        <v>COVISUR S.A.</v>
      </c>
      <c r="Y408" s="25" t="s">
        <v>7888</v>
      </c>
      <c r="Z408" s="103"/>
      <c r="AA408" s="3" t="str">
        <f>IF(C_Ope_001[[#This Row],[fecha]]&gt;0,TEXT(C_Ope_001[[#This Row],[fecha]],"mmmm"),0)</f>
        <v>Agosto</v>
      </c>
      <c r="AB408" s="159"/>
    </row>
    <row r="409" spans="1:28" x14ac:dyDescent="0.3">
      <c r="A409" s="2">
        <f>IF(C_Ope_001[[#This Row],[tipo_r]]="R",COUNTIFS($C$1:$C408,"R")+1,"")</f>
        <v>408</v>
      </c>
      <c r="B409" s="19" t="str">
        <f t="shared" si="53"/>
        <v>C_Ope_001</v>
      </c>
      <c r="C409" s="3" t="s">
        <v>1330</v>
      </c>
      <c r="D409" s="211">
        <v>45898</v>
      </c>
      <c r="E409" s="5" t="s">
        <v>7753</v>
      </c>
      <c r="F409" s="5" t="s">
        <v>1336</v>
      </c>
      <c r="G409" s="6" t="s">
        <v>978</v>
      </c>
      <c r="H409" s="6" t="s">
        <v>68</v>
      </c>
      <c r="I409" s="6" t="s">
        <v>6380</v>
      </c>
      <c r="J409" s="6">
        <v>401893</v>
      </c>
      <c r="K409" s="7" t="s">
        <v>7944</v>
      </c>
      <c r="L409" s="8">
        <v>25315</v>
      </c>
      <c r="M409" s="8" t="str">
        <f t="shared" si="54"/>
        <v>PEN</v>
      </c>
      <c r="N409" s="13"/>
      <c r="O409" s="13">
        <v>8</v>
      </c>
      <c r="P409" s="3">
        <f t="shared" si="46"/>
        <v>0</v>
      </c>
      <c r="Q409" s="3">
        <f t="shared" si="47"/>
        <v>8</v>
      </c>
      <c r="R409" s="3">
        <f t="shared" si="48"/>
        <v>-2.5199999999999818</v>
      </c>
      <c r="S409" s="24" t="s">
        <v>1334</v>
      </c>
      <c r="T409" s="24"/>
      <c r="U409" s="3"/>
      <c r="V409" s="25" t="s">
        <v>7756</v>
      </c>
      <c r="W409" s="25">
        <v>20517252558</v>
      </c>
      <c r="X409" s="25" t="str">
        <f>IFERROR(VLOOKUP(C_Ope_001[[#This Row],[nota_2]],Clientes_Proveedores[[Ruc / Dni]:[Razon Social]],2,0),"")</f>
        <v>COVISUR S.A.</v>
      </c>
      <c r="Y409" s="25" t="s">
        <v>7888</v>
      </c>
      <c r="Z409" s="103"/>
      <c r="AA409" s="3" t="str">
        <f>IF(C_Ope_001[[#This Row],[fecha]]&gt;0,TEXT(C_Ope_001[[#This Row],[fecha]],"mmmm"),0)</f>
        <v>Agosto</v>
      </c>
      <c r="AB409" s="159"/>
    </row>
    <row r="410" spans="1:28" ht="24" x14ac:dyDescent="0.3">
      <c r="A410" s="2">
        <f>IF(C_Ope_001[[#This Row],[tipo_r]]="R",COUNTIFS($C$1:$C409,"R")+1,"")</f>
        <v>409</v>
      </c>
      <c r="B410" s="19" t="str">
        <f>"C_Ope_001"</f>
        <v>C_Ope_001</v>
      </c>
      <c r="C410" s="3" t="s">
        <v>1330</v>
      </c>
      <c r="D410" s="211">
        <v>45901</v>
      </c>
      <c r="E410" s="5" t="s">
        <v>3634</v>
      </c>
      <c r="F410" s="5" t="s">
        <v>1303</v>
      </c>
      <c r="G410" s="6" t="s">
        <v>812</v>
      </c>
      <c r="H410" s="6"/>
      <c r="I410" s="6"/>
      <c r="J410" s="6"/>
      <c r="K410" s="7" t="s">
        <v>7516</v>
      </c>
      <c r="L410" s="8"/>
      <c r="M410" s="8" t="str">
        <f>"PEN"</f>
        <v>PEN</v>
      </c>
      <c r="N410" s="13"/>
      <c r="O410" s="13">
        <v>2.52</v>
      </c>
      <c r="P410" s="3">
        <f t="shared" si="46"/>
        <v>2.52</v>
      </c>
      <c r="Q410" s="3">
        <f t="shared" si="47"/>
        <v>0</v>
      </c>
      <c r="R410" s="3">
        <f t="shared" si="48"/>
        <v>1.8207657603852567E-14</v>
      </c>
      <c r="S410" s="24" t="s">
        <v>1334</v>
      </c>
      <c r="T410" s="24" t="s">
        <v>1334</v>
      </c>
      <c r="U410" s="3"/>
      <c r="V410" s="25"/>
      <c r="W410" s="25"/>
      <c r="X410" s="25" t="str">
        <f>IFERROR(VLOOKUP(C_Ope_001[[#This Row],[nota_2]],Clientes_Proveedores[[Ruc / Dni]:[Razon Social]],2,0),"")</f>
        <v/>
      </c>
      <c r="Y410" s="25"/>
      <c r="Z410" s="103"/>
      <c r="AA410" s="3" t="str">
        <f>IF(C_Ope_001[[#This Row],[fecha]]&gt;0,TEXT(C_Ope_001[[#This Row],[fecha]],"mmmm"),0)</f>
        <v>Setiembre</v>
      </c>
      <c r="AB410" s="159"/>
    </row>
    <row r="411" spans="1:28" ht="24" x14ac:dyDescent="0.3">
      <c r="A411" s="2">
        <f>IF(C_Ope_001[[#This Row],[tipo_r]]="R",COUNTIFS($C$1:$C410,"R")+1,"")</f>
        <v>410</v>
      </c>
      <c r="B411" s="19" t="str">
        <f>"C_Ope_001"</f>
        <v>C_Ope_001</v>
      </c>
      <c r="C411" s="3" t="s">
        <v>1330</v>
      </c>
      <c r="D411" s="211">
        <v>45909</v>
      </c>
      <c r="E411" s="5" t="s">
        <v>3634</v>
      </c>
      <c r="F411" s="5" t="s">
        <v>1303</v>
      </c>
      <c r="G411" s="6" t="s">
        <v>1134</v>
      </c>
      <c r="H411" s="6"/>
      <c r="I411" s="6"/>
      <c r="J411" s="6"/>
      <c r="K411" s="7" t="s">
        <v>7516</v>
      </c>
      <c r="L411" s="8">
        <v>25493</v>
      </c>
      <c r="M411" s="8" t="str">
        <f>"PEN"</f>
        <v>PEN</v>
      </c>
      <c r="N411" s="13"/>
      <c r="O411" s="13">
        <v>150</v>
      </c>
      <c r="P411" s="3">
        <f t="shared" si="46"/>
        <v>150</v>
      </c>
      <c r="Q411" s="3">
        <f t="shared" si="47"/>
        <v>0</v>
      </c>
      <c r="R411" s="3">
        <f t="shared" si="48"/>
        <v>150.00000000000003</v>
      </c>
      <c r="S411" s="24" t="s">
        <v>1334</v>
      </c>
      <c r="T411" s="24" t="s">
        <v>1334</v>
      </c>
      <c r="U411" s="3"/>
      <c r="V411" s="25"/>
      <c r="W411" s="25"/>
      <c r="X411" s="25" t="str">
        <f>IFERROR(VLOOKUP(C_Ope_001[[#This Row],[nota_2]],Clientes_Proveedores[[Ruc / Dni]:[Razon Social]],2,0),"")</f>
        <v/>
      </c>
      <c r="Y411" s="25"/>
      <c r="Z411" s="103"/>
      <c r="AA411" s="3" t="str">
        <f>IF(C_Ope_001[[#This Row],[fecha]]&gt;0,TEXT(C_Ope_001[[#This Row],[fecha]],"mmmm"),0)</f>
        <v>Setiembre</v>
      </c>
      <c r="AB411" s="159"/>
    </row>
    <row r="412" spans="1:28" ht="24" x14ac:dyDescent="0.3">
      <c r="A412" s="2">
        <f>IF(C_Ope_001[[#This Row],[tipo_r]]="R",COUNTIFS($C$1:$C411,"R")+1,"")</f>
        <v>411</v>
      </c>
      <c r="B412" s="19" t="str">
        <f>"C_Ope_001"</f>
        <v>C_Ope_001</v>
      </c>
      <c r="C412" s="3" t="s">
        <v>1330</v>
      </c>
      <c r="D412" s="211">
        <v>45909</v>
      </c>
      <c r="E412" s="5" t="s">
        <v>7957</v>
      </c>
      <c r="F412" s="5" t="s">
        <v>1336</v>
      </c>
      <c r="G412" s="6" t="s">
        <v>978</v>
      </c>
      <c r="H412" s="6" t="s">
        <v>68</v>
      </c>
      <c r="I412" s="6" t="s">
        <v>5845</v>
      </c>
      <c r="J412" s="6">
        <v>1857677</v>
      </c>
      <c r="K412" s="7" t="s">
        <v>7958</v>
      </c>
      <c r="L412" s="8">
        <v>25488</v>
      </c>
      <c r="M412" s="8" t="str">
        <f>"PEN"</f>
        <v>PEN</v>
      </c>
      <c r="N412" s="13"/>
      <c r="O412" s="13">
        <v>8</v>
      </c>
      <c r="P412" s="3">
        <f t="shared" si="46"/>
        <v>0</v>
      </c>
      <c r="Q412" s="3">
        <f t="shared" si="47"/>
        <v>8</v>
      </c>
      <c r="R412" s="3">
        <f t="shared" si="48"/>
        <v>142.00000000000003</v>
      </c>
      <c r="S412" s="24" t="s">
        <v>1334</v>
      </c>
      <c r="T412" s="24"/>
      <c r="U412" s="3"/>
      <c r="V412" s="25" t="s">
        <v>7756</v>
      </c>
      <c r="W412" s="25">
        <v>20517252558</v>
      </c>
      <c r="X412" s="25" t="str">
        <f>IFERROR(VLOOKUP(C_Ope_001[[#This Row],[nota_2]],Clientes_Proveedores[[Ruc / Dni]:[Razon Social]],2,0),"")</f>
        <v>COVISUR S.A.</v>
      </c>
      <c r="Y412" s="25" t="s">
        <v>7888</v>
      </c>
      <c r="Z412" s="25"/>
      <c r="AA412" s="3" t="str">
        <f>IF(C_Ope_001[[#This Row],[fecha]]&gt;0,TEXT(C_Ope_001[[#This Row],[fecha]],"mmmm"),0)</f>
        <v>Setiembre</v>
      </c>
      <c r="AB412" s="49"/>
    </row>
    <row r="413" spans="1:28" ht="24" x14ac:dyDescent="0.3">
      <c r="A413" s="2">
        <f>IF(C_Ope_001[[#This Row],[tipo_r]]="R",COUNTIFS($C$1:$C412,"R")+1,"")</f>
        <v>412</v>
      </c>
      <c r="B413" s="19" t="str">
        <f t="shared" ref="B413:B439" si="55">"C_Ope_001"</f>
        <v>C_Ope_001</v>
      </c>
      <c r="C413" s="3" t="s">
        <v>1330</v>
      </c>
      <c r="D413" s="211">
        <v>45909</v>
      </c>
      <c r="E413" s="5" t="s">
        <v>7957</v>
      </c>
      <c r="F413" s="5" t="s">
        <v>1336</v>
      </c>
      <c r="G413" s="6" t="s">
        <v>978</v>
      </c>
      <c r="H413" s="6" t="s">
        <v>68</v>
      </c>
      <c r="I413" s="6" t="s">
        <v>6204</v>
      </c>
      <c r="J413" s="6">
        <v>1836121</v>
      </c>
      <c r="K413" s="7" t="s">
        <v>7959</v>
      </c>
      <c r="L413" s="8">
        <v>25490</v>
      </c>
      <c r="M413" s="8" t="str">
        <f t="shared" ref="M413:M439" si="56">"PEN"</f>
        <v>PEN</v>
      </c>
      <c r="N413" s="13"/>
      <c r="O413" s="13">
        <v>8</v>
      </c>
      <c r="P413" s="3">
        <f t="shared" si="46"/>
        <v>0</v>
      </c>
      <c r="Q413" s="3">
        <f t="shared" si="47"/>
        <v>8</v>
      </c>
      <c r="R413" s="3">
        <f t="shared" si="48"/>
        <v>134.00000000000003</v>
      </c>
      <c r="S413" s="24" t="s">
        <v>1334</v>
      </c>
      <c r="T413" s="24"/>
      <c r="U413" s="3"/>
      <c r="V413" s="25" t="s">
        <v>7756</v>
      </c>
      <c r="W413" s="25">
        <v>20517252558</v>
      </c>
      <c r="X413" s="25" t="str">
        <f>IFERROR(VLOOKUP(C_Ope_001[[#This Row],[nota_2]],Clientes_Proveedores[[Ruc / Dni]:[Razon Social]],2,0),"")</f>
        <v>COVISUR S.A.</v>
      </c>
      <c r="Y413" s="25" t="s">
        <v>7888</v>
      </c>
      <c r="Z413" s="25"/>
      <c r="AA413" s="3" t="str">
        <f>IF(C_Ope_001[[#This Row],[fecha]]&gt;0,TEXT(C_Ope_001[[#This Row],[fecha]],"mmmm"),0)</f>
        <v>Setiembre</v>
      </c>
      <c r="AB413" s="49"/>
    </row>
    <row r="414" spans="1:28" ht="24" x14ac:dyDescent="0.3">
      <c r="A414" s="2">
        <f>IF(C_Ope_001[[#This Row],[tipo_r]]="R",COUNTIFS($C$1:$C413,"R")+1,"")</f>
        <v>413</v>
      </c>
      <c r="B414" s="19" t="str">
        <f t="shared" si="55"/>
        <v>C_Ope_001</v>
      </c>
      <c r="C414" s="3" t="s">
        <v>1330</v>
      </c>
      <c r="D414" s="211">
        <v>45910</v>
      </c>
      <c r="E414" s="5" t="s">
        <v>7957</v>
      </c>
      <c r="F414" s="5" t="s">
        <v>1336</v>
      </c>
      <c r="G414" s="6" t="s">
        <v>978</v>
      </c>
      <c r="H414" s="6" t="s">
        <v>68</v>
      </c>
      <c r="I414" s="6" t="s">
        <v>6204</v>
      </c>
      <c r="J414" s="6">
        <v>1837060</v>
      </c>
      <c r="K414" s="7" t="s">
        <v>7960</v>
      </c>
      <c r="L414" s="8">
        <v>25489</v>
      </c>
      <c r="M414" s="8" t="str">
        <f t="shared" si="56"/>
        <v>PEN</v>
      </c>
      <c r="N414" s="13"/>
      <c r="O414" s="13">
        <v>8</v>
      </c>
      <c r="P414" s="3">
        <f t="shared" si="46"/>
        <v>0</v>
      </c>
      <c r="Q414" s="3">
        <f t="shared" si="47"/>
        <v>8</v>
      </c>
      <c r="R414" s="3">
        <f t="shared" si="48"/>
        <v>126.00000000000003</v>
      </c>
      <c r="S414" s="24" t="s">
        <v>1334</v>
      </c>
      <c r="T414" s="24"/>
      <c r="U414" s="3"/>
      <c r="V414" s="25" t="s">
        <v>7756</v>
      </c>
      <c r="W414" s="25">
        <v>20517252558</v>
      </c>
      <c r="X414" s="25" t="str">
        <f>IFERROR(VLOOKUP(C_Ope_001[[#This Row],[nota_2]],Clientes_Proveedores[[Ruc / Dni]:[Razon Social]],2,0),"")</f>
        <v>COVISUR S.A.</v>
      </c>
      <c r="Y414" s="25" t="s">
        <v>7888</v>
      </c>
      <c r="Z414" s="25"/>
      <c r="AA414" s="3" t="str">
        <f>IF(C_Ope_001[[#This Row],[fecha]]&gt;0,TEXT(C_Ope_001[[#This Row],[fecha]],"mmmm"),0)</f>
        <v>Setiembre</v>
      </c>
      <c r="AB414" s="49"/>
    </row>
    <row r="415" spans="1:28" ht="24" x14ac:dyDescent="0.3">
      <c r="A415" s="2">
        <f>IF(C_Ope_001[[#This Row],[tipo_r]]="R",COUNTIFS($C$1:$C414,"R")+1,"")</f>
        <v>414</v>
      </c>
      <c r="B415" s="19" t="str">
        <f t="shared" si="55"/>
        <v>C_Ope_001</v>
      </c>
      <c r="C415" s="3" t="s">
        <v>1330</v>
      </c>
      <c r="D415" s="211">
        <v>45910</v>
      </c>
      <c r="E415" s="5" t="s">
        <v>7957</v>
      </c>
      <c r="F415" s="5" t="s">
        <v>1336</v>
      </c>
      <c r="G415" s="6" t="s">
        <v>978</v>
      </c>
      <c r="H415" s="6" t="s">
        <v>68</v>
      </c>
      <c r="I415" s="6" t="s">
        <v>5845</v>
      </c>
      <c r="J415" s="6">
        <v>1858373</v>
      </c>
      <c r="K415" s="7" t="s">
        <v>7960</v>
      </c>
      <c r="L415" s="8">
        <v>25491</v>
      </c>
      <c r="M415" s="8" t="str">
        <f t="shared" si="56"/>
        <v>PEN</v>
      </c>
      <c r="N415" s="13"/>
      <c r="O415" s="13">
        <v>8</v>
      </c>
      <c r="P415" s="3">
        <f t="shared" si="46"/>
        <v>0</v>
      </c>
      <c r="Q415" s="3">
        <f t="shared" si="47"/>
        <v>8</v>
      </c>
      <c r="R415" s="3">
        <f t="shared" si="48"/>
        <v>118.00000000000003</v>
      </c>
      <c r="S415" s="24" t="s">
        <v>1334</v>
      </c>
      <c r="T415" s="24"/>
      <c r="U415" s="3"/>
      <c r="V415" s="25" t="s">
        <v>7756</v>
      </c>
      <c r="W415" s="25">
        <v>20517252558</v>
      </c>
      <c r="X415" s="25" t="str">
        <f>IFERROR(VLOOKUP(C_Ope_001[[#This Row],[nota_2]],Clientes_Proveedores[[Ruc / Dni]:[Razon Social]],2,0),"")</f>
        <v>COVISUR S.A.</v>
      </c>
      <c r="Y415" s="25" t="s">
        <v>7888</v>
      </c>
      <c r="Z415" s="25"/>
      <c r="AA415" s="3" t="str">
        <f>IF(C_Ope_001[[#This Row],[fecha]]&gt;0,TEXT(C_Ope_001[[#This Row],[fecha]],"mmmm"),0)</f>
        <v>Setiembre</v>
      </c>
      <c r="AB415" s="49"/>
    </row>
    <row r="416" spans="1:28" ht="36" x14ac:dyDescent="0.3">
      <c r="A416" s="2">
        <f>IF(C_Ope_001[[#This Row],[tipo_r]]="R",COUNTIFS($C$1:$C415,"R")+1,"")</f>
        <v>415</v>
      </c>
      <c r="B416" s="19" t="str">
        <f t="shared" si="55"/>
        <v>C_Ope_001</v>
      </c>
      <c r="C416" s="3" t="s">
        <v>1330</v>
      </c>
      <c r="D416" s="211">
        <v>45910</v>
      </c>
      <c r="E416" s="5" t="s">
        <v>7957</v>
      </c>
      <c r="F416" s="5" t="s">
        <v>1336</v>
      </c>
      <c r="G416" s="6" t="s">
        <v>227</v>
      </c>
      <c r="H416" s="6" t="s">
        <v>68</v>
      </c>
      <c r="I416" s="6" t="s">
        <v>1390</v>
      </c>
      <c r="J416" s="6">
        <v>136735</v>
      </c>
      <c r="K416" s="7" t="s">
        <v>7961</v>
      </c>
      <c r="L416" s="8">
        <v>25485</v>
      </c>
      <c r="M416" s="8" t="str">
        <f t="shared" si="56"/>
        <v>PEN</v>
      </c>
      <c r="N416" s="13"/>
      <c r="O416" s="13">
        <v>10</v>
      </c>
      <c r="P416" s="3">
        <f t="shared" si="46"/>
        <v>0</v>
      </c>
      <c r="Q416" s="3">
        <f t="shared" si="47"/>
        <v>10</v>
      </c>
      <c r="R416" s="3">
        <f t="shared" si="48"/>
        <v>108.00000000000003</v>
      </c>
      <c r="S416" s="24" t="s">
        <v>1334</v>
      </c>
      <c r="T416" s="24"/>
      <c r="U416" s="3"/>
      <c r="V416" s="25" t="s">
        <v>7756</v>
      </c>
      <c r="W416" s="25">
        <v>20124952850</v>
      </c>
      <c r="X416" s="25" t="str">
        <f>IFERROR(VLOOKUP(C_Ope_001[[#This Row],[nota_2]],Clientes_Proveedores[[Ruc / Dni]:[Razon Social]],2,0),"")</f>
        <v>ALIMENTOS Y SERVICIOS AGROPECUARIOS SRL.</v>
      </c>
      <c r="Y416" s="25" t="s">
        <v>5933</v>
      </c>
      <c r="Z416" s="25"/>
      <c r="AA416" s="3" t="str">
        <f>IF(C_Ope_001[[#This Row],[fecha]]&gt;0,TEXT(C_Ope_001[[#This Row],[fecha]],"mmmm"),0)</f>
        <v>Setiembre</v>
      </c>
      <c r="AB416" s="49"/>
    </row>
    <row r="417" spans="1:28" ht="24" x14ac:dyDescent="0.3">
      <c r="A417" s="2">
        <f>IF(C_Ope_001[[#This Row],[tipo_r]]="R",COUNTIFS($C$1:$C416,"R")+1,"")</f>
        <v>416</v>
      </c>
      <c r="B417" s="19" t="str">
        <f t="shared" si="55"/>
        <v>C_Ope_001</v>
      </c>
      <c r="C417" s="3" t="s">
        <v>1330</v>
      </c>
      <c r="D417" s="211">
        <v>45910</v>
      </c>
      <c r="E417" s="5" t="s">
        <v>7957</v>
      </c>
      <c r="F417" s="5" t="s">
        <v>1336</v>
      </c>
      <c r="G417" s="6" t="s">
        <v>999</v>
      </c>
      <c r="H417" s="6" t="s">
        <v>68</v>
      </c>
      <c r="I417" s="6" t="s">
        <v>1374</v>
      </c>
      <c r="J417" s="6">
        <v>19709</v>
      </c>
      <c r="K417" s="7" t="s">
        <v>7962</v>
      </c>
      <c r="L417" s="8">
        <v>25484</v>
      </c>
      <c r="M417" s="8" t="str">
        <f t="shared" si="56"/>
        <v>PEN</v>
      </c>
      <c r="N417" s="13"/>
      <c r="O417" s="13">
        <v>25</v>
      </c>
      <c r="P417" s="3">
        <f t="shared" si="46"/>
        <v>0</v>
      </c>
      <c r="Q417" s="3">
        <f t="shared" si="47"/>
        <v>25</v>
      </c>
      <c r="R417" s="3">
        <f t="shared" si="48"/>
        <v>83.000000000000028</v>
      </c>
      <c r="S417" s="24" t="s">
        <v>1334</v>
      </c>
      <c r="T417" s="24"/>
      <c r="U417" s="3"/>
      <c r="V417" s="25" t="s">
        <v>7756</v>
      </c>
      <c r="W417" s="25">
        <v>10705628331</v>
      </c>
      <c r="X417" s="25" t="str">
        <f>IFERROR(VLOOKUP(C_Ope_001[[#This Row],[nota_2]],Clientes_Proveedores[[Ruc / Dni]:[Razon Social]],2,0),"")</f>
        <v>LARICO APAZA NANCY ROSSMARY</v>
      </c>
      <c r="Y417" s="25" t="s">
        <v>7938</v>
      </c>
      <c r="Z417" s="25"/>
      <c r="AA417" s="3" t="str">
        <f>IF(C_Ope_001[[#This Row],[fecha]]&gt;0,TEXT(C_Ope_001[[#This Row],[fecha]],"mmmm"),0)</f>
        <v>Setiembre</v>
      </c>
      <c r="AB417" s="49"/>
    </row>
    <row r="418" spans="1:28" ht="36" x14ac:dyDescent="0.3">
      <c r="A418" s="2">
        <f>IF(C_Ope_001[[#This Row],[tipo_r]]="R",COUNTIFS($C$1:$C417,"R")+1,"")</f>
        <v>417</v>
      </c>
      <c r="B418" s="19" t="str">
        <f t="shared" si="55"/>
        <v>C_Ope_001</v>
      </c>
      <c r="C418" s="3" t="s">
        <v>1330</v>
      </c>
      <c r="D418" s="211">
        <v>45911</v>
      </c>
      <c r="E418" s="5" t="s">
        <v>7957</v>
      </c>
      <c r="F418" s="5" t="s">
        <v>1336</v>
      </c>
      <c r="G418" s="6" t="s">
        <v>682</v>
      </c>
      <c r="H418" s="6" t="s">
        <v>68</v>
      </c>
      <c r="I418" s="6" t="s">
        <v>1343</v>
      </c>
      <c r="J418" s="6">
        <v>35577</v>
      </c>
      <c r="K418" s="7" t="s">
        <v>7963</v>
      </c>
      <c r="L418" s="8">
        <v>25486</v>
      </c>
      <c r="M418" s="8" t="str">
        <f t="shared" si="56"/>
        <v>PEN</v>
      </c>
      <c r="N418" s="13"/>
      <c r="O418" s="13">
        <v>10</v>
      </c>
      <c r="P418" s="3">
        <f t="shared" si="46"/>
        <v>0</v>
      </c>
      <c r="Q418" s="3">
        <f t="shared" si="47"/>
        <v>10</v>
      </c>
      <c r="R418" s="3">
        <f t="shared" si="48"/>
        <v>73.000000000000028</v>
      </c>
      <c r="S418" s="24" t="s">
        <v>1334</v>
      </c>
      <c r="T418" s="24"/>
      <c r="U418" s="3"/>
      <c r="V418" s="25" t="s">
        <v>7756</v>
      </c>
      <c r="W418" s="25">
        <v>20259858934</v>
      </c>
      <c r="X418" s="25" t="str">
        <f>IFERROR(VLOOKUP(C_Ope_001[[#This Row],[nota_2]],Clientes_Proveedores[[Ruc / Dni]:[Razon Social]],2,0),"")</f>
        <v>COMERCIALIZACION Y SERVICIOS EL EDEN S.A.C.</v>
      </c>
      <c r="Y418" s="25" t="s">
        <v>5933</v>
      </c>
      <c r="Z418" s="25"/>
      <c r="AA418" s="3" t="str">
        <f>IF(C_Ope_001[[#This Row],[fecha]]&gt;0,TEXT(C_Ope_001[[#This Row],[fecha]],"mmmm"),0)</f>
        <v>Setiembre</v>
      </c>
      <c r="AB418" s="49"/>
    </row>
    <row r="419" spans="1:28" ht="36" x14ac:dyDescent="0.3">
      <c r="A419" s="2">
        <f>IF(C_Ope_001[[#This Row],[tipo_r]]="R",COUNTIFS($C$1:$C418,"R")+1,"")</f>
        <v>418</v>
      </c>
      <c r="B419" s="19" t="str">
        <f t="shared" si="55"/>
        <v>C_Ope_001</v>
      </c>
      <c r="C419" s="3" t="s">
        <v>1330</v>
      </c>
      <c r="D419" s="211">
        <v>45911</v>
      </c>
      <c r="E419" s="5" t="s">
        <v>7957</v>
      </c>
      <c r="F419" s="5" t="s">
        <v>1336</v>
      </c>
      <c r="G419" s="6" t="s">
        <v>682</v>
      </c>
      <c r="H419" s="6" t="s">
        <v>68</v>
      </c>
      <c r="I419" s="6" t="s">
        <v>1343</v>
      </c>
      <c r="J419" s="6">
        <v>35578</v>
      </c>
      <c r="K419" s="7" t="s">
        <v>7964</v>
      </c>
      <c r="L419" s="8">
        <v>25487</v>
      </c>
      <c r="M419" s="8" t="str">
        <f t="shared" si="56"/>
        <v>PEN</v>
      </c>
      <c r="N419" s="13"/>
      <c r="O419" s="13">
        <v>10</v>
      </c>
      <c r="P419" s="3">
        <f t="shared" si="46"/>
        <v>0</v>
      </c>
      <c r="Q419" s="3">
        <f t="shared" si="47"/>
        <v>10</v>
      </c>
      <c r="R419" s="3">
        <f t="shared" si="48"/>
        <v>63.000000000000028</v>
      </c>
      <c r="S419" s="24" t="s">
        <v>1334</v>
      </c>
      <c r="T419" s="24"/>
      <c r="U419" s="3"/>
      <c r="V419" s="25" t="s">
        <v>7756</v>
      </c>
      <c r="W419" s="25">
        <v>20259858934</v>
      </c>
      <c r="X419" s="25" t="str">
        <f>IFERROR(VLOOKUP(C_Ope_001[[#This Row],[nota_2]],Clientes_Proveedores[[Ruc / Dni]:[Razon Social]],2,0),"")</f>
        <v>COMERCIALIZACION Y SERVICIOS EL EDEN S.A.C.</v>
      </c>
      <c r="Y419" s="25" t="s">
        <v>5933</v>
      </c>
      <c r="Z419" s="25"/>
      <c r="AA419" s="3" t="str">
        <f>IF(C_Ope_001[[#This Row],[fecha]]&gt;0,TEXT(C_Ope_001[[#This Row],[fecha]],"mmmm"),0)</f>
        <v>Setiembre</v>
      </c>
      <c r="AB419" s="49"/>
    </row>
    <row r="420" spans="1:28" x14ac:dyDescent="0.3">
      <c r="A420" s="2">
        <f>IF(C_Ope_001[[#This Row],[tipo_r]]="R",COUNTIFS($C$1:$C419,"R")+1,"")</f>
        <v>419</v>
      </c>
      <c r="B420" s="19" t="str">
        <f t="shared" si="55"/>
        <v>C_Ope_001</v>
      </c>
      <c r="C420" s="3" t="s">
        <v>1330</v>
      </c>
      <c r="D420" s="211">
        <v>45916</v>
      </c>
      <c r="E420" s="5" t="s">
        <v>7957</v>
      </c>
      <c r="F420" s="5" t="s">
        <v>1336</v>
      </c>
      <c r="G420" s="6" t="s">
        <v>978</v>
      </c>
      <c r="H420" s="6" t="s">
        <v>68</v>
      </c>
      <c r="I420" s="6" t="s">
        <v>5845</v>
      </c>
      <c r="J420" s="6">
        <v>1864700</v>
      </c>
      <c r="K420" s="7" t="s">
        <v>7965</v>
      </c>
      <c r="L420" s="8">
        <v>25479</v>
      </c>
      <c r="M420" s="8" t="str">
        <f t="shared" si="56"/>
        <v>PEN</v>
      </c>
      <c r="N420" s="13"/>
      <c r="O420" s="13">
        <v>8</v>
      </c>
      <c r="P420" s="3">
        <f t="shared" si="46"/>
        <v>0</v>
      </c>
      <c r="Q420" s="3">
        <f t="shared" si="47"/>
        <v>8</v>
      </c>
      <c r="R420" s="3">
        <f t="shared" si="48"/>
        <v>55.000000000000028</v>
      </c>
      <c r="S420" s="24" t="s">
        <v>1334</v>
      </c>
      <c r="T420" s="24"/>
      <c r="U420" s="3"/>
      <c r="V420" s="25" t="s">
        <v>7842</v>
      </c>
      <c r="W420" s="25">
        <v>20517252558</v>
      </c>
      <c r="X420" s="25" t="str">
        <f>IFERROR(VLOOKUP(C_Ope_001[[#This Row],[nota_2]],Clientes_Proveedores[[Ruc / Dni]:[Razon Social]],2,0),"")</f>
        <v>COVISUR S.A.</v>
      </c>
      <c r="Y420" s="25" t="s">
        <v>7888</v>
      </c>
      <c r="Z420" s="25"/>
      <c r="AA420" s="3" t="str">
        <f>IF(C_Ope_001[[#This Row],[fecha]]&gt;0,TEXT(C_Ope_001[[#This Row],[fecha]],"mmmm"),0)</f>
        <v>Setiembre</v>
      </c>
      <c r="AB420" s="49"/>
    </row>
    <row r="421" spans="1:28" ht="36" x14ac:dyDescent="0.3">
      <c r="A421" s="2">
        <f>IF(C_Ope_001[[#This Row],[tipo_r]]="R",COUNTIFS($C$1:$C420,"R")+1,"")</f>
        <v>420</v>
      </c>
      <c r="B421" s="19" t="str">
        <f t="shared" si="55"/>
        <v>C_Ope_001</v>
      </c>
      <c r="C421" s="3" t="s">
        <v>1330</v>
      </c>
      <c r="D421" s="211">
        <v>45916</v>
      </c>
      <c r="E421" s="5" t="s">
        <v>7957</v>
      </c>
      <c r="F421" s="5" t="s">
        <v>1336</v>
      </c>
      <c r="G421" s="6" t="s">
        <v>682</v>
      </c>
      <c r="H421" s="6" t="s">
        <v>68</v>
      </c>
      <c r="I421" s="6" t="s">
        <v>1353</v>
      </c>
      <c r="J421" s="6">
        <v>17727</v>
      </c>
      <c r="K421" s="7" t="s">
        <v>7965</v>
      </c>
      <c r="L421" s="8">
        <v>25480</v>
      </c>
      <c r="M421" s="8" t="str">
        <f t="shared" si="56"/>
        <v>PEN</v>
      </c>
      <c r="N421" s="13"/>
      <c r="O421" s="13">
        <v>20</v>
      </c>
      <c r="P421" s="3">
        <f t="shared" si="46"/>
        <v>0</v>
      </c>
      <c r="Q421" s="3">
        <f t="shared" si="47"/>
        <v>20</v>
      </c>
      <c r="R421" s="3">
        <f t="shared" si="48"/>
        <v>35.000000000000028</v>
      </c>
      <c r="S421" s="24" t="s">
        <v>1334</v>
      </c>
      <c r="T421" s="24"/>
      <c r="U421" s="3"/>
      <c r="V421" s="25" t="s">
        <v>7842</v>
      </c>
      <c r="W421" s="25">
        <v>20259858934</v>
      </c>
      <c r="X421" s="25" t="str">
        <f>IFERROR(VLOOKUP(C_Ope_001[[#This Row],[nota_2]],Clientes_Proveedores[[Ruc / Dni]:[Razon Social]],2,0),"")</f>
        <v>COMERCIALIZACION Y SERVICIOS EL EDEN S.A.C.</v>
      </c>
      <c r="Y421" s="25" t="s">
        <v>7888</v>
      </c>
      <c r="Z421" s="25"/>
      <c r="AA421" s="3" t="str">
        <f>IF(C_Ope_001[[#This Row],[fecha]]&gt;0,TEXT(C_Ope_001[[#This Row],[fecha]],"mmmm"),0)</f>
        <v>Setiembre</v>
      </c>
      <c r="AB421" s="49"/>
    </row>
    <row r="422" spans="1:28" x14ac:dyDescent="0.3">
      <c r="A422" s="2">
        <f>IF(C_Ope_001[[#This Row],[tipo_r]]="R",COUNTIFS($C$1:$C421,"R")+1,"")</f>
        <v>421</v>
      </c>
      <c r="B422" s="19" t="str">
        <f t="shared" si="55"/>
        <v>C_Ope_001</v>
      </c>
      <c r="C422" s="3" t="s">
        <v>1330</v>
      </c>
      <c r="D422" s="211">
        <v>45916</v>
      </c>
      <c r="E422" s="5" t="s">
        <v>7957</v>
      </c>
      <c r="F422" s="5" t="s">
        <v>1336</v>
      </c>
      <c r="G422" s="6" t="s">
        <v>978</v>
      </c>
      <c r="H422" s="6" t="s">
        <v>68</v>
      </c>
      <c r="I422" s="6" t="s">
        <v>6204</v>
      </c>
      <c r="J422" s="6">
        <v>1842671</v>
      </c>
      <c r="K422" s="7" t="s">
        <v>7966</v>
      </c>
      <c r="L422" s="8">
        <v>25482</v>
      </c>
      <c r="M422" s="8" t="str">
        <f t="shared" si="56"/>
        <v>PEN</v>
      </c>
      <c r="N422" s="13"/>
      <c r="O422" s="13">
        <v>8</v>
      </c>
      <c r="P422" s="3">
        <f t="shared" si="46"/>
        <v>0</v>
      </c>
      <c r="Q422" s="3">
        <f t="shared" si="47"/>
        <v>8</v>
      </c>
      <c r="R422" s="3">
        <f t="shared" si="48"/>
        <v>27.000000000000028</v>
      </c>
      <c r="S422" s="24" t="s">
        <v>1334</v>
      </c>
      <c r="T422" s="24"/>
      <c r="U422" s="3"/>
      <c r="V422" s="25" t="s">
        <v>7842</v>
      </c>
      <c r="W422" s="25">
        <v>20517252558</v>
      </c>
      <c r="X422" s="25" t="str">
        <f>IFERROR(VLOOKUP(C_Ope_001[[#This Row],[nota_2]],Clientes_Proveedores[[Ruc / Dni]:[Razon Social]],2,0),"")</f>
        <v>COVISUR S.A.</v>
      </c>
      <c r="Y422" s="25" t="s">
        <v>7888</v>
      </c>
      <c r="Z422" s="25"/>
      <c r="AA422" s="3" t="str">
        <f>IF(C_Ope_001[[#This Row],[fecha]]&gt;0,TEXT(C_Ope_001[[#This Row],[fecha]],"mmmm"),0)</f>
        <v>Setiembre</v>
      </c>
      <c r="AB422" s="49"/>
    </row>
    <row r="423" spans="1:28" ht="36" x14ac:dyDescent="0.3">
      <c r="A423" s="2">
        <f>IF(C_Ope_001[[#This Row],[tipo_r]]="R",COUNTIFS($C$1:$C422,"R")+1,"")</f>
        <v>422</v>
      </c>
      <c r="B423" s="19" t="str">
        <f t="shared" si="55"/>
        <v>C_Ope_001</v>
      </c>
      <c r="C423" s="3" t="s">
        <v>1330</v>
      </c>
      <c r="D423" s="211">
        <v>45916</v>
      </c>
      <c r="E423" s="5" t="s">
        <v>7957</v>
      </c>
      <c r="F423" s="5" t="s">
        <v>1336</v>
      </c>
      <c r="G423" s="6" t="s">
        <v>682</v>
      </c>
      <c r="H423" s="6" t="s">
        <v>68</v>
      </c>
      <c r="I423" s="6" t="s">
        <v>1353</v>
      </c>
      <c r="J423" s="6">
        <v>17725</v>
      </c>
      <c r="K423" s="7" t="s">
        <v>7966</v>
      </c>
      <c r="L423" s="8">
        <v>25481</v>
      </c>
      <c r="M423" s="8" t="str">
        <f t="shared" si="56"/>
        <v>PEN</v>
      </c>
      <c r="N423" s="13"/>
      <c r="O423" s="13">
        <v>20</v>
      </c>
      <c r="P423" s="3">
        <f t="shared" si="46"/>
        <v>0</v>
      </c>
      <c r="Q423" s="3">
        <f t="shared" si="47"/>
        <v>20</v>
      </c>
      <c r="R423" s="3">
        <f t="shared" si="48"/>
        <v>7.0000000000000284</v>
      </c>
      <c r="S423" s="24" t="s">
        <v>1334</v>
      </c>
      <c r="T423" s="24"/>
      <c r="U423" s="3"/>
      <c r="V423" s="25" t="s">
        <v>7842</v>
      </c>
      <c r="W423" s="25">
        <v>20259858934</v>
      </c>
      <c r="X423" s="25" t="str">
        <f>IFERROR(VLOOKUP(C_Ope_001[[#This Row],[nota_2]],Clientes_Proveedores[[Ruc / Dni]:[Razon Social]],2,0),"")</f>
        <v>COMERCIALIZACION Y SERVICIOS EL EDEN S.A.C.</v>
      </c>
      <c r="Y423" s="25" t="s">
        <v>5933</v>
      </c>
      <c r="Z423" s="25"/>
      <c r="AA423" s="3" t="str">
        <f>IF(C_Ope_001[[#This Row],[fecha]]&gt;0,TEXT(C_Ope_001[[#This Row],[fecha]],"mmmm"),0)</f>
        <v>Setiembre</v>
      </c>
      <c r="AB423" s="49"/>
    </row>
    <row r="424" spans="1:28" ht="24" x14ac:dyDescent="0.3">
      <c r="A424" s="2">
        <f>IF(C_Ope_001[[#This Row],[tipo_r]]="R",COUNTIFS($C$1:$C423,"R")+1,"")</f>
        <v>423</v>
      </c>
      <c r="B424" s="19" t="str">
        <f>"C_Ope_001"</f>
        <v>C_Ope_001</v>
      </c>
      <c r="C424" s="3" t="s">
        <v>1330</v>
      </c>
      <c r="D424" s="211">
        <v>45917</v>
      </c>
      <c r="E424" s="5" t="s">
        <v>3634</v>
      </c>
      <c r="F424" s="5" t="s">
        <v>1303</v>
      </c>
      <c r="G424" s="6" t="s">
        <v>1134</v>
      </c>
      <c r="H424" s="6"/>
      <c r="I424" s="6"/>
      <c r="J424" s="6"/>
      <c r="K424" s="7" t="s">
        <v>7516</v>
      </c>
      <c r="L424" s="8">
        <v>25483</v>
      </c>
      <c r="M424" s="8" t="str">
        <f>"PEN"</f>
        <v>PEN</v>
      </c>
      <c r="N424" s="13"/>
      <c r="O424" s="13">
        <v>200</v>
      </c>
      <c r="P424" s="3">
        <f t="shared" si="46"/>
        <v>200</v>
      </c>
      <c r="Q424" s="3">
        <f t="shared" si="47"/>
        <v>0</v>
      </c>
      <c r="R424" s="3">
        <f t="shared" si="48"/>
        <v>207.00000000000003</v>
      </c>
      <c r="S424" s="24" t="s">
        <v>1334</v>
      </c>
      <c r="T424" s="24" t="s">
        <v>1334</v>
      </c>
      <c r="U424" s="3"/>
      <c r="V424" s="25"/>
      <c r="W424" s="25"/>
      <c r="X424" s="25" t="str">
        <f>IFERROR(VLOOKUP(C_Ope_001[[#This Row],[nota_2]],Clientes_Proveedores[[Ruc / Dni]:[Razon Social]],2,0),"")</f>
        <v/>
      </c>
      <c r="Y424" s="25"/>
      <c r="Z424" s="25"/>
      <c r="AA424" s="3" t="str">
        <f>IF(C_Ope_001[[#This Row],[fecha]]&gt;0,TEXT(C_Ope_001[[#This Row],[fecha]],"mmmm"),0)</f>
        <v>Setiembre</v>
      </c>
      <c r="AB424" s="49"/>
    </row>
    <row r="425" spans="1:28" x14ac:dyDescent="0.3">
      <c r="A425" s="2">
        <f>IF(C_Ope_001[[#This Row],[tipo_r]]="R",COUNTIFS($C$1:$C424,"R")+1,"")</f>
        <v>424</v>
      </c>
      <c r="B425" s="19" t="str">
        <f t="shared" si="55"/>
        <v>C_Ope_001</v>
      </c>
      <c r="C425" s="3" t="s">
        <v>1330</v>
      </c>
      <c r="D425" s="211">
        <v>45917</v>
      </c>
      <c r="E425" s="5" t="s">
        <v>7957</v>
      </c>
      <c r="F425" s="5" t="s">
        <v>1336</v>
      </c>
      <c r="G425" s="6" t="s">
        <v>978</v>
      </c>
      <c r="H425" s="6" t="s">
        <v>68</v>
      </c>
      <c r="I425" s="6" t="s">
        <v>6204</v>
      </c>
      <c r="J425" s="6">
        <v>1843674</v>
      </c>
      <c r="K425" s="7" t="s">
        <v>7967</v>
      </c>
      <c r="L425" s="8">
        <v>25476</v>
      </c>
      <c r="M425" s="8" t="str">
        <f t="shared" si="56"/>
        <v>PEN</v>
      </c>
      <c r="N425" s="13"/>
      <c r="O425" s="13">
        <v>8</v>
      </c>
      <c r="P425" s="3">
        <f t="shared" si="46"/>
        <v>0</v>
      </c>
      <c r="Q425" s="3">
        <f t="shared" si="47"/>
        <v>8</v>
      </c>
      <c r="R425" s="3">
        <f t="shared" si="48"/>
        <v>199.00000000000003</v>
      </c>
      <c r="S425" s="24" t="s">
        <v>1334</v>
      </c>
      <c r="T425" s="24"/>
      <c r="U425" s="3"/>
      <c r="V425" s="25" t="s">
        <v>7756</v>
      </c>
      <c r="W425" s="25">
        <v>20517252558</v>
      </c>
      <c r="X425" s="25" t="str">
        <f>IFERROR(VLOOKUP(C_Ope_001[[#This Row],[nota_2]],Clientes_Proveedores[[Ruc / Dni]:[Razon Social]],2,0),"")</f>
        <v>COVISUR S.A.</v>
      </c>
      <c r="Y425" s="25" t="s">
        <v>7888</v>
      </c>
      <c r="Z425" s="25"/>
      <c r="AA425" s="3" t="str">
        <f>IF(C_Ope_001[[#This Row],[fecha]]&gt;0,TEXT(C_Ope_001[[#This Row],[fecha]],"mmmm"),0)</f>
        <v>Setiembre</v>
      </c>
      <c r="AB425" s="49"/>
    </row>
    <row r="426" spans="1:28" x14ac:dyDescent="0.3">
      <c r="A426" s="2">
        <f>IF(C_Ope_001[[#This Row],[tipo_r]]="R",COUNTIFS($C$1:$C425,"R")+1,"")</f>
        <v>425</v>
      </c>
      <c r="B426" s="19" t="str">
        <f t="shared" si="55"/>
        <v>C_Ope_001</v>
      </c>
      <c r="C426" s="3" t="s">
        <v>1330</v>
      </c>
      <c r="D426" s="211">
        <v>45917</v>
      </c>
      <c r="E426" s="5" t="s">
        <v>7957</v>
      </c>
      <c r="F426" s="5" t="s">
        <v>1336</v>
      </c>
      <c r="G426" s="6" t="s">
        <v>978</v>
      </c>
      <c r="H426" s="6" t="s">
        <v>68</v>
      </c>
      <c r="I426" s="6" t="s">
        <v>6379</v>
      </c>
      <c r="J426" s="6">
        <v>505838</v>
      </c>
      <c r="K426" s="7" t="s">
        <v>7968</v>
      </c>
      <c r="L426" s="8">
        <v>25492</v>
      </c>
      <c r="M426" s="8" t="str">
        <f t="shared" si="56"/>
        <v>PEN</v>
      </c>
      <c r="N426" s="13"/>
      <c r="O426" s="13">
        <v>5</v>
      </c>
      <c r="P426" s="3">
        <f t="shared" si="46"/>
        <v>0</v>
      </c>
      <c r="Q426" s="3">
        <f t="shared" si="47"/>
        <v>5</v>
      </c>
      <c r="R426" s="3">
        <f t="shared" si="48"/>
        <v>194.00000000000003</v>
      </c>
      <c r="S426" s="24" t="s">
        <v>1334</v>
      </c>
      <c r="T426" s="24"/>
      <c r="U426" s="3"/>
      <c r="V426" s="25" t="s">
        <v>7756</v>
      </c>
      <c r="W426" s="25">
        <v>20517252558</v>
      </c>
      <c r="X426" s="25" t="str">
        <f>IFERROR(VLOOKUP(C_Ope_001[[#This Row],[nota_2]],Clientes_Proveedores[[Ruc / Dni]:[Razon Social]],2,0),"")</f>
        <v>COVISUR S.A.</v>
      </c>
      <c r="Y426" s="25" t="s">
        <v>7888</v>
      </c>
      <c r="Z426" s="25"/>
      <c r="AA426" s="3" t="str">
        <f>IF(C_Ope_001[[#This Row],[fecha]]&gt;0,TEXT(C_Ope_001[[#This Row],[fecha]],"mmmm"),0)</f>
        <v>Setiembre</v>
      </c>
      <c r="AB426" s="49"/>
    </row>
    <row r="427" spans="1:28" ht="24" x14ac:dyDescent="0.3">
      <c r="A427" s="2">
        <f>IF(C_Ope_001[[#This Row],[tipo_r]]="R",COUNTIFS($C$1:$C426,"R")+1,"")</f>
        <v>426</v>
      </c>
      <c r="B427" s="19" t="str">
        <f t="shared" si="55"/>
        <v>C_Ope_001</v>
      </c>
      <c r="C427" s="3" t="s">
        <v>1330</v>
      </c>
      <c r="D427" s="211">
        <v>45917</v>
      </c>
      <c r="E427" s="5" t="s">
        <v>7957</v>
      </c>
      <c r="F427" s="5" t="s">
        <v>1336</v>
      </c>
      <c r="G427" s="6" t="s">
        <v>978</v>
      </c>
      <c r="H427" s="6" t="s">
        <v>68</v>
      </c>
      <c r="I427" s="6" t="s">
        <v>6380</v>
      </c>
      <c r="J427" s="6">
        <v>405787</v>
      </c>
      <c r="K427" s="7" t="s">
        <v>7969</v>
      </c>
      <c r="L427" s="8">
        <v>25501</v>
      </c>
      <c r="M427" s="8" t="str">
        <f t="shared" si="56"/>
        <v>PEN</v>
      </c>
      <c r="N427" s="13"/>
      <c r="O427" s="13">
        <v>5</v>
      </c>
      <c r="P427" s="3">
        <f t="shared" si="46"/>
        <v>0</v>
      </c>
      <c r="Q427" s="3">
        <f t="shared" si="47"/>
        <v>5</v>
      </c>
      <c r="R427" s="3">
        <f t="shared" si="48"/>
        <v>189.00000000000003</v>
      </c>
      <c r="S427" s="24" t="s">
        <v>1334</v>
      </c>
      <c r="T427" s="24"/>
      <c r="U427" s="3"/>
      <c r="V427" s="25" t="s">
        <v>7756</v>
      </c>
      <c r="W427" s="25">
        <v>20517252558</v>
      </c>
      <c r="X427" s="25" t="str">
        <f>IFERROR(VLOOKUP(C_Ope_001[[#This Row],[nota_2]],Clientes_Proveedores[[Ruc / Dni]:[Razon Social]],2,0),"")</f>
        <v>COVISUR S.A.</v>
      </c>
      <c r="Y427" s="25" t="s">
        <v>7888</v>
      </c>
      <c r="Z427" s="25"/>
      <c r="AA427" s="3" t="str">
        <f>IF(C_Ope_001[[#This Row],[fecha]]&gt;0,TEXT(C_Ope_001[[#This Row],[fecha]],"mmmm"),0)</f>
        <v>Setiembre</v>
      </c>
      <c r="AB427" s="49"/>
    </row>
    <row r="428" spans="1:28" x14ac:dyDescent="0.3">
      <c r="A428" s="2">
        <f>IF(C_Ope_001[[#This Row],[tipo_r]]="R",COUNTIFS($C$1:$C427,"R")+1,"")</f>
        <v>427</v>
      </c>
      <c r="B428" s="19" t="str">
        <f t="shared" si="55"/>
        <v>C_Ope_001</v>
      </c>
      <c r="C428" s="3" t="s">
        <v>1330</v>
      </c>
      <c r="D428" s="211">
        <v>45917</v>
      </c>
      <c r="E428" s="5" t="s">
        <v>7957</v>
      </c>
      <c r="F428" s="5" t="s">
        <v>1336</v>
      </c>
      <c r="G428" s="6" t="s">
        <v>978</v>
      </c>
      <c r="H428" s="6" t="s">
        <v>68</v>
      </c>
      <c r="I428" s="6" t="s">
        <v>5845</v>
      </c>
      <c r="J428" s="6">
        <v>1865773</v>
      </c>
      <c r="K428" s="7" t="s">
        <v>7970</v>
      </c>
      <c r="L428" s="8">
        <v>25502</v>
      </c>
      <c r="M428" s="8" t="str">
        <f t="shared" si="56"/>
        <v>PEN</v>
      </c>
      <c r="N428" s="13"/>
      <c r="O428" s="13">
        <v>8</v>
      </c>
      <c r="P428" s="3">
        <f t="shared" si="46"/>
        <v>0</v>
      </c>
      <c r="Q428" s="3">
        <f t="shared" si="47"/>
        <v>8</v>
      </c>
      <c r="R428" s="3">
        <f t="shared" si="48"/>
        <v>181.00000000000003</v>
      </c>
      <c r="S428" s="24" t="s">
        <v>1334</v>
      </c>
      <c r="T428" s="24"/>
      <c r="U428" s="3"/>
      <c r="V428" s="25" t="s">
        <v>7756</v>
      </c>
      <c r="W428" s="25">
        <v>20517252558</v>
      </c>
      <c r="X428" s="25" t="str">
        <f>IFERROR(VLOOKUP(C_Ope_001[[#This Row],[nota_2]],Clientes_Proveedores[[Ruc / Dni]:[Razon Social]],2,0),"")</f>
        <v>COVISUR S.A.</v>
      </c>
      <c r="Y428" s="25" t="s">
        <v>7888</v>
      </c>
      <c r="Z428" s="25"/>
      <c r="AA428" s="3" t="str">
        <f>IF(C_Ope_001[[#This Row],[fecha]]&gt;0,TEXT(C_Ope_001[[#This Row],[fecha]],"mmmm"),0)</f>
        <v>Setiembre</v>
      </c>
      <c r="AB428" s="49"/>
    </row>
    <row r="429" spans="1:28" ht="36" x14ac:dyDescent="0.3">
      <c r="A429" s="2">
        <f>IF(C_Ope_001[[#This Row],[tipo_r]]="R",COUNTIFS($C$1:$C428,"R")+1,"")</f>
        <v>428</v>
      </c>
      <c r="B429" s="19" t="str">
        <f t="shared" si="55"/>
        <v>C_Ope_001</v>
      </c>
      <c r="C429" s="3" t="s">
        <v>1330</v>
      </c>
      <c r="D429" s="211">
        <v>45917</v>
      </c>
      <c r="E429" s="5" t="s">
        <v>7957</v>
      </c>
      <c r="F429" s="5" t="s">
        <v>1336</v>
      </c>
      <c r="G429" s="6" t="s">
        <v>227</v>
      </c>
      <c r="H429" s="6" t="s">
        <v>68</v>
      </c>
      <c r="I429" s="6" t="s">
        <v>1390</v>
      </c>
      <c r="J429" s="6">
        <v>136997</v>
      </c>
      <c r="K429" s="7" t="s">
        <v>7971</v>
      </c>
      <c r="L429" s="8">
        <v>25478</v>
      </c>
      <c r="M429" s="8" t="str">
        <f t="shared" si="56"/>
        <v>PEN</v>
      </c>
      <c r="N429" s="13"/>
      <c r="O429" s="13">
        <v>10</v>
      </c>
      <c r="P429" s="3">
        <f t="shared" si="46"/>
        <v>0</v>
      </c>
      <c r="Q429" s="3">
        <f t="shared" si="47"/>
        <v>10</v>
      </c>
      <c r="R429" s="3">
        <f t="shared" si="48"/>
        <v>171.00000000000003</v>
      </c>
      <c r="S429" s="24" t="s">
        <v>1334</v>
      </c>
      <c r="T429" s="24"/>
      <c r="U429" s="3"/>
      <c r="V429" s="25" t="s">
        <v>7756</v>
      </c>
      <c r="W429" s="25">
        <v>20124952850</v>
      </c>
      <c r="X429" s="25" t="str">
        <f>IFERROR(VLOOKUP(C_Ope_001[[#This Row],[nota_2]],Clientes_Proveedores[[Ruc / Dni]:[Razon Social]],2,0),"")</f>
        <v>ALIMENTOS Y SERVICIOS AGROPECUARIOS SRL.</v>
      </c>
      <c r="Y429" s="25" t="s">
        <v>5933</v>
      </c>
      <c r="Z429" s="25"/>
      <c r="AA429" s="3" t="str">
        <f>IF(C_Ope_001[[#This Row],[fecha]]&gt;0,TEXT(C_Ope_001[[#This Row],[fecha]],"mmmm"),0)</f>
        <v>Setiembre</v>
      </c>
      <c r="AB429" s="49"/>
    </row>
    <row r="430" spans="1:28" ht="36" x14ac:dyDescent="0.3">
      <c r="A430" s="2">
        <f>IF(C_Ope_001[[#This Row],[tipo_r]]="R",COUNTIFS($C$1:$C429,"R")+1,"")</f>
        <v>429</v>
      </c>
      <c r="B430" s="19" t="str">
        <f t="shared" si="55"/>
        <v>C_Ope_001</v>
      </c>
      <c r="C430" s="3" t="s">
        <v>1330</v>
      </c>
      <c r="D430" s="211">
        <v>45917</v>
      </c>
      <c r="E430" s="5" t="s">
        <v>7957</v>
      </c>
      <c r="F430" s="5" t="s">
        <v>1336</v>
      </c>
      <c r="G430" s="6" t="s">
        <v>1029</v>
      </c>
      <c r="H430" s="6" t="s">
        <v>68</v>
      </c>
      <c r="I430" s="6" t="s">
        <v>1374</v>
      </c>
      <c r="J430" s="6">
        <v>18396</v>
      </c>
      <c r="K430" s="7" t="s">
        <v>7972</v>
      </c>
      <c r="L430" s="8">
        <v>25498</v>
      </c>
      <c r="M430" s="8" t="str">
        <f t="shared" si="56"/>
        <v>PEN</v>
      </c>
      <c r="N430" s="13"/>
      <c r="O430" s="13">
        <v>22</v>
      </c>
      <c r="P430" s="3">
        <f t="shared" si="46"/>
        <v>0</v>
      </c>
      <c r="Q430" s="3">
        <f t="shared" si="47"/>
        <v>22</v>
      </c>
      <c r="R430" s="3">
        <f t="shared" si="48"/>
        <v>149.00000000000003</v>
      </c>
      <c r="S430" s="24" t="s">
        <v>1334</v>
      </c>
      <c r="T430" s="24"/>
      <c r="U430" s="3"/>
      <c r="V430" s="25" t="s">
        <v>7756</v>
      </c>
      <c r="W430" s="25">
        <v>20454058187</v>
      </c>
      <c r="X430" s="25" t="str">
        <f>IFERROR(VLOOKUP(C_Ope_001[[#This Row],[nota_2]],Clientes_Proveedores[[Ruc / Dni]:[Razon Social]],2,0),"")</f>
        <v>ZONA ESPECIAL DE DESARROLLO ZED MATARANI</v>
      </c>
      <c r="Y430" s="25" t="s">
        <v>5933</v>
      </c>
      <c r="Z430" s="25"/>
      <c r="AA430" s="3" t="str">
        <f>IF(C_Ope_001[[#This Row],[fecha]]&gt;0,TEXT(C_Ope_001[[#This Row],[fecha]],"mmmm"),0)</f>
        <v>Setiembre</v>
      </c>
      <c r="AB430" s="49"/>
    </row>
    <row r="431" spans="1:28" ht="24" x14ac:dyDescent="0.3">
      <c r="A431" s="2">
        <f>IF(C_Ope_001[[#This Row],[tipo_r]]="R",COUNTIFS($C$1:$C430,"R")+1,"")</f>
        <v>430</v>
      </c>
      <c r="B431" s="19" t="str">
        <f t="shared" si="55"/>
        <v>C_Ope_001</v>
      </c>
      <c r="C431" s="3" t="s">
        <v>1330</v>
      </c>
      <c r="D431" s="211">
        <v>45918</v>
      </c>
      <c r="E431" s="5" t="s">
        <v>7957</v>
      </c>
      <c r="F431" s="5" t="s">
        <v>1336</v>
      </c>
      <c r="G431" s="6" t="s">
        <v>978</v>
      </c>
      <c r="H431" s="6" t="s">
        <v>68</v>
      </c>
      <c r="I431" s="6" t="s">
        <v>6204</v>
      </c>
      <c r="J431" s="6">
        <v>1844851</v>
      </c>
      <c r="K431" s="7" t="s">
        <v>7973</v>
      </c>
      <c r="L431" s="8">
        <v>25513</v>
      </c>
      <c r="M431" s="8" t="str">
        <f t="shared" si="56"/>
        <v>PEN</v>
      </c>
      <c r="N431" s="13"/>
      <c r="O431" s="13">
        <v>8</v>
      </c>
      <c r="P431" s="3">
        <f t="shared" si="46"/>
        <v>0</v>
      </c>
      <c r="Q431" s="3">
        <f t="shared" si="47"/>
        <v>8</v>
      </c>
      <c r="R431" s="3">
        <f t="shared" si="48"/>
        <v>141.00000000000003</v>
      </c>
      <c r="S431" s="24" t="s">
        <v>1334</v>
      </c>
      <c r="T431" s="24"/>
      <c r="U431" s="3"/>
      <c r="V431" s="25" t="s">
        <v>7842</v>
      </c>
      <c r="W431" s="25">
        <v>20517252558</v>
      </c>
      <c r="X431" s="25" t="str">
        <f>IFERROR(VLOOKUP(C_Ope_001[[#This Row],[nota_2]],Clientes_Proveedores[[Ruc / Dni]:[Razon Social]],2,0),"")</f>
        <v>COVISUR S.A.</v>
      </c>
      <c r="Y431" s="25" t="s">
        <v>7888</v>
      </c>
      <c r="Z431" s="25"/>
      <c r="AA431" s="3" t="str">
        <f>IF(C_Ope_001[[#This Row],[fecha]]&gt;0,TEXT(C_Ope_001[[#This Row],[fecha]],"mmmm"),0)</f>
        <v>Setiembre</v>
      </c>
      <c r="AB431" s="49"/>
    </row>
    <row r="432" spans="1:28" x14ac:dyDescent="0.3">
      <c r="A432" s="2">
        <f>IF(C_Ope_001[[#This Row],[tipo_r]]="R",COUNTIFS($C$1:$C431,"R")+1,"")</f>
        <v>431</v>
      </c>
      <c r="B432" s="19" t="str">
        <f t="shared" si="55"/>
        <v>C_Ope_001</v>
      </c>
      <c r="C432" s="3" t="s">
        <v>1330</v>
      </c>
      <c r="D432" s="211">
        <v>45918</v>
      </c>
      <c r="E432" s="5" t="s">
        <v>7957</v>
      </c>
      <c r="F432" s="5" t="s">
        <v>1336</v>
      </c>
      <c r="G432" s="6" t="s">
        <v>978</v>
      </c>
      <c r="H432" s="6" t="s">
        <v>68</v>
      </c>
      <c r="I432" s="6" t="s">
        <v>5845</v>
      </c>
      <c r="J432" s="6">
        <v>1866720</v>
      </c>
      <c r="K432" s="7" t="s">
        <v>7974</v>
      </c>
      <c r="L432" s="8">
        <v>25519</v>
      </c>
      <c r="M432" s="8" t="str">
        <f t="shared" si="56"/>
        <v>PEN</v>
      </c>
      <c r="N432" s="13"/>
      <c r="O432" s="13">
        <v>8</v>
      </c>
      <c r="P432" s="3">
        <f t="shared" si="46"/>
        <v>0</v>
      </c>
      <c r="Q432" s="3">
        <f t="shared" si="47"/>
        <v>8</v>
      </c>
      <c r="R432" s="3">
        <f t="shared" si="48"/>
        <v>133.00000000000003</v>
      </c>
      <c r="S432" s="24" t="s">
        <v>1334</v>
      </c>
      <c r="T432" s="24"/>
      <c r="U432" s="3"/>
      <c r="V432" s="25" t="s">
        <v>7842</v>
      </c>
      <c r="W432" s="25">
        <v>20517252558</v>
      </c>
      <c r="X432" s="25" t="str">
        <f>IFERROR(VLOOKUP(C_Ope_001[[#This Row],[nota_2]],Clientes_Proveedores[[Ruc / Dni]:[Razon Social]],2,0),"")</f>
        <v>COVISUR S.A.</v>
      </c>
      <c r="Y432" s="25" t="s">
        <v>7888</v>
      </c>
      <c r="Z432" s="25"/>
      <c r="AA432" s="3" t="str">
        <f>IF(C_Ope_001[[#This Row],[fecha]]&gt;0,TEXT(C_Ope_001[[#This Row],[fecha]],"mmmm"),0)</f>
        <v>Setiembre</v>
      </c>
      <c r="AB432" s="49"/>
    </row>
    <row r="433" spans="1:28" ht="24" x14ac:dyDescent="0.3">
      <c r="A433" s="2">
        <f>IF(C_Ope_001[[#This Row],[tipo_r]]="R",COUNTIFS($C$1:$C432,"R")+1,"")</f>
        <v>432</v>
      </c>
      <c r="B433" s="19" t="str">
        <f t="shared" si="55"/>
        <v>C_Ope_001</v>
      </c>
      <c r="C433" s="3" t="s">
        <v>1330</v>
      </c>
      <c r="D433" s="211">
        <v>45918</v>
      </c>
      <c r="E433" s="5" t="s">
        <v>7957</v>
      </c>
      <c r="F433" s="5" t="s">
        <v>1336</v>
      </c>
      <c r="G433" s="6" t="s">
        <v>999</v>
      </c>
      <c r="H433" s="6" t="s">
        <v>68</v>
      </c>
      <c r="I433" s="6" t="s">
        <v>1374</v>
      </c>
      <c r="J433" s="6">
        <v>19850</v>
      </c>
      <c r="K433" s="7" t="s">
        <v>7975</v>
      </c>
      <c r="L433" s="8">
        <v>25508</v>
      </c>
      <c r="M433" s="8" t="str">
        <f t="shared" si="56"/>
        <v>PEN</v>
      </c>
      <c r="N433" s="13"/>
      <c r="O433" s="13">
        <v>30</v>
      </c>
      <c r="P433" s="3">
        <f t="shared" si="46"/>
        <v>0</v>
      </c>
      <c r="Q433" s="3">
        <f t="shared" si="47"/>
        <v>30</v>
      </c>
      <c r="R433" s="3">
        <f t="shared" si="48"/>
        <v>103.00000000000003</v>
      </c>
      <c r="S433" s="24" t="s">
        <v>1334</v>
      </c>
      <c r="T433" s="24"/>
      <c r="U433" s="3"/>
      <c r="V433" s="25" t="s">
        <v>7842</v>
      </c>
      <c r="W433" s="25">
        <v>10705628331</v>
      </c>
      <c r="X433" s="25" t="str">
        <f>IFERROR(VLOOKUP(C_Ope_001[[#This Row],[nota_2]],Clientes_Proveedores[[Ruc / Dni]:[Razon Social]],2,0),"")</f>
        <v>LARICO APAZA NANCY ROSSMARY</v>
      </c>
      <c r="Y433" s="25" t="s">
        <v>7938</v>
      </c>
      <c r="Z433" s="25"/>
      <c r="AA433" s="3" t="str">
        <f>IF(C_Ope_001[[#This Row],[fecha]]&gt;0,TEXT(C_Ope_001[[#This Row],[fecha]],"mmmm"),0)</f>
        <v>Setiembre</v>
      </c>
      <c r="AB433" s="49"/>
    </row>
    <row r="434" spans="1:28" x14ac:dyDescent="0.3">
      <c r="A434" s="2">
        <f>IF(C_Ope_001[[#This Row],[tipo_r]]="R",COUNTIFS($C$1:$C433,"R")+1,"")</f>
        <v>433</v>
      </c>
      <c r="B434" s="19" t="str">
        <f t="shared" si="55"/>
        <v>C_Ope_001</v>
      </c>
      <c r="C434" s="3" t="s">
        <v>1330</v>
      </c>
      <c r="D434" s="211">
        <v>45919</v>
      </c>
      <c r="E434" s="5" t="s">
        <v>7957</v>
      </c>
      <c r="F434" s="5" t="s">
        <v>1336</v>
      </c>
      <c r="G434" s="6" t="s">
        <v>978</v>
      </c>
      <c r="H434" s="6" t="s">
        <v>68</v>
      </c>
      <c r="I434" s="6" t="s">
        <v>6204</v>
      </c>
      <c r="J434" s="6">
        <v>1845890</v>
      </c>
      <c r="K434" s="7" t="s">
        <v>7976</v>
      </c>
      <c r="L434" s="8">
        <v>25526</v>
      </c>
      <c r="M434" s="8" t="str">
        <f t="shared" si="56"/>
        <v>PEN</v>
      </c>
      <c r="N434" s="13"/>
      <c r="O434" s="13">
        <v>8</v>
      </c>
      <c r="P434" s="3">
        <f t="shared" si="46"/>
        <v>0</v>
      </c>
      <c r="Q434" s="3">
        <f t="shared" si="47"/>
        <v>8</v>
      </c>
      <c r="R434" s="3">
        <f t="shared" si="48"/>
        <v>95.000000000000028</v>
      </c>
      <c r="S434" s="24" t="s">
        <v>1334</v>
      </c>
      <c r="T434" s="24"/>
      <c r="U434" s="3"/>
      <c r="V434" s="25" t="s">
        <v>7756</v>
      </c>
      <c r="W434" s="25">
        <v>20517252558</v>
      </c>
      <c r="X434" s="25" t="str">
        <f>IFERROR(VLOOKUP(C_Ope_001[[#This Row],[nota_2]],Clientes_Proveedores[[Ruc / Dni]:[Razon Social]],2,0),"")</f>
        <v>COVISUR S.A.</v>
      </c>
      <c r="Y434" s="25" t="s">
        <v>7888</v>
      </c>
      <c r="Z434" s="25"/>
      <c r="AA434" s="3" t="str">
        <f>IF(C_Ope_001[[#This Row],[fecha]]&gt;0,TEXT(C_Ope_001[[#This Row],[fecha]],"mmmm"),0)</f>
        <v>Setiembre</v>
      </c>
      <c r="AB434" s="49"/>
    </row>
    <row r="435" spans="1:28" ht="24" x14ac:dyDescent="0.3">
      <c r="A435" s="2">
        <f>IF(C_Ope_001[[#This Row],[tipo_r]]="R",COUNTIFS($C$1:$C434,"R")+1,"")</f>
        <v>434</v>
      </c>
      <c r="B435" s="19" t="str">
        <f t="shared" si="55"/>
        <v>C_Ope_001</v>
      </c>
      <c r="C435" s="3" t="s">
        <v>1330</v>
      </c>
      <c r="D435" s="211">
        <v>45919</v>
      </c>
      <c r="E435" s="5" t="s">
        <v>7957</v>
      </c>
      <c r="F435" s="5" t="s">
        <v>1336</v>
      </c>
      <c r="G435" s="6" t="s">
        <v>978</v>
      </c>
      <c r="H435" s="6" t="s">
        <v>68</v>
      </c>
      <c r="I435" s="6" t="s">
        <v>6379</v>
      </c>
      <c r="J435" s="6">
        <v>506458</v>
      </c>
      <c r="K435" s="7" t="s">
        <v>7977</v>
      </c>
      <c r="L435" s="8">
        <v>25528</v>
      </c>
      <c r="M435" s="8" t="str">
        <f t="shared" si="56"/>
        <v>PEN</v>
      </c>
      <c r="N435" s="13"/>
      <c r="O435" s="13">
        <v>8</v>
      </c>
      <c r="P435" s="3">
        <f t="shared" si="46"/>
        <v>0</v>
      </c>
      <c r="Q435" s="3">
        <f t="shared" si="47"/>
        <v>8</v>
      </c>
      <c r="R435" s="3">
        <f t="shared" si="48"/>
        <v>87.000000000000028</v>
      </c>
      <c r="S435" s="24" t="s">
        <v>1334</v>
      </c>
      <c r="T435" s="24"/>
      <c r="U435" s="3"/>
      <c r="V435" s="25" t="s">
        <v>7756</v>
      </c>
      <c r="W435" s="25">
        <v>20517252558</v>
      </c>
      <c r="X435" s="25" t="str">
        <f>IFERROR(VLOOKUP(C_Ope_001[[#This Row],[nota_2]],Clientes_Proveedores[[Ruc / Dni]:[Razon Social]],2,0),"")</f>
        <v>COVISUR S.A.</v>
      </c>
      <c r="Y435" s="25" t="s">
        <v>7888</v>
      </c>
      <c r="Z435" s="25"/>
      <c r="AA435" s="3" t="str">
        <f>IF(C_Ope_001[[#This Row],[fecha]]&gt;0,TEXT(C_Ope_001[[#This Row],[fecha]],"mmmm"),0)</f>
        <v>Setiembre</v>
      </c>
      <c r="AB435" s="49"/>
    </row>
    <row r="436" spans="1:28" ht="24" x14ac:dyDescent="0.3">
      <c r="A436" s="2">
        <f>IF(C_Ope_001[[#This Row],[tipo_r]]="R",COUNTIFS($C$1:$C435,"R")+1,"")</f>
        <v>435</v>
      </c>
      <c r="B436" s="19" t="str">
        <f t="shared" si="55"/>
        <v>C_Ope_001</v>
      </c>
      <c r="C436" s="3" t="s">
        <v>1330</v>
      </c>
      <c r="D436" s="211">
        <v>45919</v>
      </c>
      <c r="E436" s="5" t="s">
        <v>7957</v>
      </c>
      <c r="F436" s="5" t="s">
        <v>1336</v>
      </c>
      <c r="G436" s="6" t="s">
        <v>978</v>
      </c>
      <c r="H436" s="6" t="s">
        <v>68</v>
      </c>
      <c r="I436" s="6" t="s">
        <v>6380</v>
      </c>
      <c r="J436" s="6">
        <v>406273</v>
      </c>
      <c r="K436" s="7" t="s">
        <v>7978</v>
      </c>
      <c r="L436" s="8">
        <v>25529</v>
      </c>
      <c r="M436" s="8" t="str">
        <f t="shared" si="56"/>
        <v>PEN</v>
      </c>
      <c r="N436" s="13"/>
      <c r="O436" s="13">
        <v>8</v>
      </c>
      <c r="P436" s="3">
        <f t="shared" si="46"/>
        <v>0</v>
      </c>
      <c r="Q436" s="3">
        <f t="shared" si="47"/>
        <v>8</v>
      </c>
      <c r="R436" s="3">
        <f t="shared" si="48"/>
        <v>79.000000000000028</v>
      </c>
      <c r="S436" s="24" t="s">
        <v>1334</v>
      </c>
      <c r="T436" s="24"/>
      <c r="U436" s="3"/>
      <c r="V436" s="25" t="s">
        <v>7756</v>
      </c>
      <c r="W436" s="25">
        <v>20517252558</v>
      </c>
      <c r="X436" s="25" t="str">
        <f>IFERROR(VLOOKUP(C_Ope_001[[#This Row],[nota_2]],Clientes_Proveedores[[Ruc / Dni]:[Razon Social]],2,0),"")</f>
        <v>COVISUR S.A.</v>
      </c>
      <c r="Y436" s="25" t="s">
        <v>7888</v>
      </c>
      <c r="Z436" s="25"/>
      <c r="AA436" s="3" t="str">
        <f>IF(C_Ope_001[[#This Row],[fecha]]&gt;0,TEXT(C_Ope_001[[#This Row],[fecha]],"mmmm"),0)</f>
        <v>Setiembre</v>
      </c>
      <c r="AB436" s="49"/>
    </row>
    <row r="437" spans="1:28" x14ac:dyDescent="0.3">
      <c r="A437" s="2">
        <f>IF(C_Ope_001[[#This Row],[tipo_r]]="R",COUNTIFS($C$1:$C436,"R")+1,"")</f>
        <v>436</v>
      </c>
      <c r="B437" s="19" t="str">
        <f t="shared" si="55"/>
        <v>C_Ope_001</v>
      </c>
      <c r="C437" s="3" t="s">
        <v>1330</v>
      </c>
      <c r="D437" s="211">
        <v>45919</v>
      </c>
      <c r="E437" s="5" t="s">
        <v>7957</v>
      </c>
      <c r="F437" s="5" t="s">
        <v>1336</v>
      </c>
      <c r="G437" s="6" t="s">
        <v>978</v>
      </c>
      <c r="H437" s="6" t="s">
        <v>68</v>
      </c>
      <c r="I437" s="6" t="s">
        <v>5845</v>
      </c>
      <c r="J437" s="6">
        <v>1868061</v>
      </c>
      <c r="K437" s="7" t="s">
        <v>7979</v>
      </c>
      <c r="L437" s="8">
        <v>25530</v>
      </c>
      <c r="M437" s="8" t="str">
        <f t="shared" si="56"/>
        <v>PEN</v>
      </c>
      <c r="N437" s="13"/>
      <c r="O437" s="13">
        <v>8</v>
      </c>
      <c r="P437" s="3">
        <f t="shared" si="46"/>
        <v>0</v>
      </c>
      <c r="Q437" s="3">
        <f t="shared" si="47"/>
        <v>8</v>
      </c>
      <c r="R437" s="3">
        <f t="shared" si="48"/>
        <v>71.000000000000028</v>
      </c>
      <c r="S437" s="24" t="s">
        <v>1334</v>
      </c>
      <c r="T437" s="24"/>
      <c r="U437" s="3"/>
      <c r="V437" s="25" t="s">
        <v>7756</v>
      </c>
      <c r="W437" s="25">
        <v>20517252558</v>
      </c>
      <c r="X437" s="25" t="str">
        <f>IFERROR(VLOOKUP(C_Ope_001[[#This Row],[nota_2]],Clientes_Proveedores[[Ruc / Dni]:[Razon Social]],2,0),"")</f>
        <v>COVISUR S.A.</v>
      </c>
      <c r="Y437" s="25" t="s">
        <v>7888</v>
      </c>
      <c r="Z437" s="25"/>
      <c r="AA437" s="3" t="str">
        <f>IF(C_Ope_001[[#This Row],[fecha]]&gt;0,TEXT(C_Ope_001[[#This Row],[fecha]],"mmmm"),0)</f>
        <v>Setiembre</v>
      </c>
      <c r="AB437" s="49"/>
    </row>
    <row r="438" spans="1:28" ht="36" x14ac:dyDescent="0.3">
      <c r="A438" s="2">
        <f>IF(C_Ope_001[[#This Row],[tipo_r]]="R",COUNTIFS($C$1:$C437,"R")+1,"")</f>
        <v>437</v>
      </c>
      <c r="B438" s="19" t="str">
        <f t="shared" si="55"/>
        <v>C_Ope_001</v>
      </c>
      <c r="C438" s="3" t="s">
        <v>1330</v>
      </c>
      <c r="D438" s="211">
        <v>45919</v>
      </c>
      <c r="E438" s="5" t="s">
        <v>7957</v>
      </c>
      <c r="F438" s="5" t="s">
        <v>1336</v>
      </c>
      <c r="G438" s="6" t="s">
        <v>227</v>
      </c>
      <c r="H438" s="6" t="s">
        <v>68</v>
      </c>
      <c r="I438" s="6" t="s">
        <v>1390</v>
      </c>
      <c r="J438" s="6">
        <v>137098</v>
      </c>
      <c r="K438" s="7" t="s">
        <v>7980</v>
      </c>
      <c r="L438" s="8">
        <v>25525</v>
      </c>
      <c r="M438" s="8" t="str">
        <f t="shared" si="56"/>
        <v>PEN</v>
      </c>
      <c r="N438" s="13"/>
      <c r="O438" s="13">
        <v>10</v>
      </c>
      <c r="P438" s="3">
        <f t="shared" si="46"/>
        <v>0</v>
      </c>
      <c r="Q438" s="3">
        <f t="shared" si="47"/>
        <v>10</v>
      </c>
      <c r="R438" s="3">
        <f t="shared" si="48"/>
        <v>61.000000000000028</v>
      </c>
      <c r="S438" s="24" t="s">
        <v>1334</v>
      </c>
      <c r="T438" s="24"/>
      <c r="U438" s="3"/>
      <c r="V438" s="25" t="s">
        <v>7756</v>
      </c>
      <c r="W438" s="25">
        <v>20124952850</v>
      </c>
      <c r="X438" s="25" t="str">
        <f>IFERROR(VLOOKUP(C_Ope_001[[#This Row],[nota_2]],Clientes_Proveedores[[Ruc / Dni]:[Razon Social]],2,0),"")</f>
        <v>ALIMENTOS Y SERVICIOS AGROPECUARIOS SRL.</v>
      </c>
      <c r="Y438" s="25" t="s">
        <v>5933</v>
      </c>
      <c r="Z438" s="25"/>
      <c r="AA438" s="3" t="str">
        <f>IF(C_Ope_001[[#This Row],[fecha]]&gt;0,TEXT(C_Ope_001[[#This Row],[fecha]],"mmmm"),0)</f>
        <v>Setiembre</v>
      </c>
      <c r="AB438" s="49"/>
    </row>
    <row r="439" spans="1:28" ht="36" x14ac:dyDescent="0.3">
      <c r="A439" s="2">
        <f>IF(C_Ope_001[[#This Row],[tipo_r]]="R",COUNTIFS($C$1:$C438,"R")+1,"")</f>
        <v>438</v>
      </c>
      <c r="B439" s="19" t="str">
        <f t="shared" si="55"/>
        <v>C_Ope_001</v>
      </c>
      <c r="C439" s="3" t="s">
        <v>1330</v>
      </c>
      <c r="D439" s="211">
        <v>45919</v>
      </c>
      <c r="E439" s="5" t="s">
        <v>7957</v>
      </c>
      <c r="F439" s="5" t="s">
        <v>1336</v>
      </c>
      <c r="G439" s="6" t="s">
        <v>682</v>
      </c>
      <c r="H439" s="6" t="s">
        <v>68</v>
      </c>
      <c r="I439" s="6" t="s">
        <v>1353</v>
      </c>
      <c r="J439" s="6">
        <v>17768</v>
      </c>
      <c r="K439" s="7" t="s">
        <v>7981</v>
      </c>
      <c r="L439" s="8">
        <v>25527</v>
      </c>
      <c r="M439" s="8" t="str">
        <f t="shared" si="56"/>
        <v>PEN</v>
      </c>
      <c r="N439" s="13"/>
      <c r="O439" s="13">
        <v>20</v>
      </c>
      <c r="P439" s="3">
        <f t="shared" si="46"/>
        <v>0</v>
      </c>
      <c r="Q439" s="3">
        <f t="shared" si="47"/>
        <v>20</v>
      </c>
      <c r="R439" s="3">
        <f t="shared" si="48"/>
        <v>41.000000000000028</v>
      </c>
      <c r="S439" s="24" t="s">
        <v>1334</v>
      </c>
      <c r="T439" s="24"/>
      <c r="U439" s="3"/>
      <c r="V439" s="25" t="s">
        <v>7756</v>
      </c>
      <c r="W439" s="25">
        <v>20259858934</v>
      </c>
      <c r="X439" s="25" t="str">
        <f>IFERROR(VLOOKUP(C_Ope_001[[#This Row],[nota_2]],Clientes_Proveedores[[Ruc / Dni]:[Razon Social]],2,0),"")</f>
        <v>COMERCIALIZACION Y SERVICIOS EL EDEN S.A.C.</v>
      </c>
      <c r="Y439" s="25" t="s">
        <v>5933</v>
      </c>
      <c r="Z439" s="25"/>
      <c r="AA439" s="3" t="str">
        <f>IF(C_Ope_001[[#This Row],[fecha]]&gt;0,TEXT(C_Ope_001[[#This Row],[fecha]],"mmmm"),0)</f>
        <v>Setiembre</v>
      </c>
      <c r="AB439" s="49"/>
    </row>
    <row r="440" spans="1:28" ht="24" x14ac:dyDescent="0.3">
      <c r="A440" s="2">
        <f>IF(C_Ope_001[[#This Row],[tipo_r]]="R",COUNTIFS($C$1:$C439,"R")+1,"")</f>
        <v>439</v>
      </c>
      <c r="B440" s="19" t="str">
        <f>"C_Ope_001"</f>
        <v>C_Ope_001</v>
      </c>
      <c r="C440" s="3" t="s">
        <v>1330</v>
      </c>
      <c r="D440" s="211">
        <v>45922</v>
      </c>
      <c r="E440" s="5" t="s">
        <v>3634</v>
      </c>
      <c r="F440" s="5" t="s">
        <v>1303</v>
      </c>
      <c r="G440" s="6" t="s">
        <v>1134</v>
      </c>
      <c r="H440" s="6"/>
      <c r="I440" s="6"/>
      <c r="J440" s="6"/>
      <c r="K440" s="7" t="s">
        <v>7516</v>
      </c>
      <c r="L440" s="8">
        <v>25558</v>
      </c>
      <c r="M440" s="8" t="str">
        <f>"PEN"</f>
        <v>PEN</v>
      </c>
      <c r="N440" s="13"/>
      <c r="O440" s="13">
        <v>200</v>
      </c>
      <c r="P440" s="3">
        <f t="shared" si="46"/>
        <v>200</v>
      </c>
      <c r="Q440" s="3">
        <f t="shared" si="47"/>
        <v>0</v>
      </c>
      <c r="R440" s="3">
        <f t="shared" si="48"/>
        <v>241.00000000000003</v>
      </c>
      <c r="S440" s="24" t="s">
        <v>1334</v>
      </c>
      <c r="T440" s="24" t="s">
        <v>1334</v>
      </c>
      <c r="U440" s="3"/>
      <c r="V440" s="25"/>
      <c r="W440" s="25"/>
      <c r="X440" s="25" t="str">
        <f>IFERROR(VLOOKUP(C_Ope_001[[#This Row],[nota_2]],Clientes_Proveedores[[Ruc / Dni]:[Razon Social]],2,0),"")</f>
        <v/>
      </c>
      <c r="Y440" s="25"/>
      <c r="Z440" s="25"/>
      <c r="AA440" s="3" t="str">
        <f>IF(C_Ope_001[[#This Row],[fecha]]&gt;0,TEXT(C_Ope_001[[#This Row],[fecha]],"mmmm"),0)</f>
        <v>Setiembre</v>
      </c>
      <c r="AB440" s="49"/>
    </row>
    <row r="441" spans="1:28" x14ac:dyDescent="0.3">
      <c r="A441" s="2">
        <f>IF(C_Ope_001[[#This Row],[tipo_r]]="R",COUNTIFS($C$1:$C440,"R")+1,"")</f>
        <v>440</v>
      </c>
      <c r="B441" s="19" t="str">
        <f t="shared" ref="B441:B453" si="57">"C_Ope_001"</f>
        <v>C_Ope_001</v>
      </c>
      <c r="C441" s="3" t="s">
        <v>1330</v>
      </c>
      <c r="D441" s="211">
        <v>45922</v>
      </c>
      <c r="E441" s="5" t="s">
        <v>7957</v>
      </c>
      <c r="F441" s="5" t="s">
        <v>1336</v>
      </c>
      <c r="G441" s="6" t="s">
        <v>978</v>
      </c>
      <c r="H441" s="6" t="s">
        <v>68</v>
      </c>
      <c r="I441" s="6" t="s">
        <v>6204</v>
      </c>
      <c r="J441" s="6">
        <v>1848525</v>
      </c>
      <c r="K441" s="7" t="s">
        <v>7982</v>
      </c>
      <c r="L441" s="8">
        <v>25539</v>
      </c>
      <c r="M441" s="8" t="str">
        <f t="shared" ref="M441:M453" si="58">"PEN"</f>
        <v>PEN</v>
      </c>
      <c r="N441" s="13"/>
      <c r="O441" s="13">
        <v>8</v>
      </c>
      <c r="P441" s="3">
        <f t="shared" si="46"/>
        <v>0</v>
      </c>
      <c r="Q441" s="3">
        <f t="shared" si="47"/>
        <v>8</v>
      </c>
      <c r="R441" s="3">
        <f t="shared" si="48"/>
        <v>233.00000000000003</v>
      </c>
      <c r="S441" s="24" t="s">
        <v>1334</v>
      </c>
      <c r="T441" s="24"/>
      <c r="U441" s="3"/>
      <c r="V441" s="25" t="s">
        <v>7756</v>
      </c>
      <c r="W441" s="25">
        <v>20517252558</v>
      </c>
      <c r="X441" s="25" t="str">
        <f>IFERROR(VLOOKUP(C_Ope_001[[#This Row],[nota_2]],Clientes_Proveedores[[Ruc / Dni]:[Razon Social]],2,0),"")</f>
        <v>COVISUR S.A.</v>
      </c>
      <c r="Y441" s="25" t="s">
        <v>7888</v>
      </c>
      <c r="Z441" s="25"/>
      <c r="AA441" s="3" t="str">
        <f>IF(C_Ope_001[[#This Row],[fecha]]&gt;0,TEXT(C_Ope_001[[#This Row],[fecha]],"mmmm"),0)</f>
        <v>Setiembre</v>
      </c>
      <c r="AB441" s="49"/>
    </row>
    <row r="442" spans="1:28" ht="24" x14ac:dyDescent="0.3">
      <c r="A442" s="2">
        <f>IF(C_Ope_001[[#This Row],[tipo_r]]="R",COUNTIFS($C$1:$C441,"R")+1,"")</f>
        <v>441</v>
      </c>
      <c r="B442" s="19" t="str">
        <f t="shared" si="57"/>
        <v>C_Ope_001</v>
      </c>
      <c r="C442" s="3" t="s">
        <v>1330</v>
      </c>
      <c r="D442" s="211">
        <v>45922</v>
      </c>
      <c r="E442" s="5" t="s">
        <v>7957</v>
      </c>
      <c r="F442" s="5" t="s">
        <v>1336</v>
      </c>
      <c r="G442" s="6" t="s">
        <v>978</v>
      </c>
      <c r="H442" s="6" t="s">
        <v>68</v>
      </c>
      <c r="I442" s="6" t="s">
        <v>5845</v>
      </c>
      <c r="J442" s="6">
        <v>1870755</v>
      </c>
      <c r="K442" s="7" t="s">
        <v>7983</v>
      </c>
      <c r="L442" s="8">
        <v>25557</v>
      </c>
      <c r="M442" s="8" t="str">
        <f t="shared" si="58"/>
        <v>PEN</v>
      </c>
      <c r="N442" s="13"/>
      <c r="O442" s="13">
        <v>8</v>
      </c>
      <c r="P442" s="3">
        <f t="shared" si="46"/>
        <v>0</v>
      </c>
      <c r="Q442" s="3">
        <f t="shared" si="47"/>
        <v>8</v>
      </c>
      <c r="R442" s="3">
        <f t="shared" si="48"/>
        <v>225.00000000000003</v>
      </c>
      <c r="S442" s="24" t="s">
        <v>1334</v>
      </c>
      <c r="T442" s="24"/>
      <c r="U442" s="3"/>
      <c r="V442" s="25" t="s">
        <v>7756</v>
      </c>
      <c r="W442" s="25">
        <v>20517252558</v>
      </c>
      <c r="X442" s="25" t="str">
        <f>IFERROR(VLOOKUP(C_Ope_001[[#This Row],[nota_2]],Clientes_Proveedores[[Ruc / Dni]:[Razon Social]],2,0),"")</f>
        <v>COVISUR S.A.</v>
      </c>
      <c r="Y442" s="25" t="s">
        <v>7888</v>
      </c>
      <c r="Z442" s="25"/>
      <c r="AA442" s="3" t="str">
        <f>IF(C_Ope_001[[#This Row],[fecha]]&gt;0,TEXT(C_Ope_001[[#This Row],[fecha]],"mmmm"),0)</f>
        <v>Setiembre</v>
      </c>
      <c r="AB442" s="49"/>
    </row>
    <row r="443" spans="1:28" ht="36" x14ac:dyDescent="0.3">
      <c r="A443" s="2">
        <f>IF(C_Ope_001[[#This Row],[tipo_r]]="R",COUNTIFS($C$1:$C442,"R")+1,"")</f>
        <v>442</v>
      </c>
      <c r="B443" s="19" t="str">
        <f t="shared" si="57"/>
        <v>C_Ope_001</v>
      </c>
      <c r="C443" s="3" t="s">
        <v>1330</v>
      </c>
      <c r="D443" s="211">
        <v>45922</v>
      </c>
      <c r="E443" s="5" t="s">
        <v>7957</v>
      </c>
      <c r="F443" s="5" t="s">
        <v>1336</v>
      </c>
      <c r="G443" s="6" t="s">
        <v>227</v>
      </c>
      <c r="H443" s="6" t="s">
        <v>68</v>
      </c>
      <c r="I443" s="6" t="s">
        <v>1390</v>
      </c>
      <c r="J443" s="6">
        <v>137240</v>
      </c>
      <c r="K443" s="7" t="s">
        <v>7984</v>
      </c>
      <c r="L443" s="8">
        <v>25538</v>
      </c>
      <c r="M443" s="8" t="str">
        <f t="shared" si="58"/>
        <v>PEN</v>
      </c>
      <c r="N443" s="13"/>
      <c r="O443" s="13">
        <v>10</v>
      </c>
      <c r="P443" s="3">
        <f t="shared" si="46"/>
        <v>0</v>
      </c>
      <c r="Q443" s="3">
        <f t="shared" si="47"/>
        <v>10</v>
      </c>
      <c r="R443" s="3">
        <f t="shared" si="48"/>
        <v>215.00000000000003</v>
      </c>
      <c r="S443" s="24" t="s">
        <v>1334</v>
      </c>
      <c r="T443" s="24"/>
      <c r="U443" s="3"/>
      <c r="V443" s="25" t="s">
        <v>7756</v>
      </c>
      <c r="W443" s="25">
        <v>20124952850</v>
      </c>
      <c r="X443" s="25" t="str">
        <f>IFERROR(VLOOKUP(C_Ope_001[[#This Row],[nota_2]],Clientes_Proveedores[[Ruc / Dni]:[Razon Social]],2,0),"")</f>
        <v>ALIMENTOS Y SERVICIOS AGROPECUARIOS SRL.</v>
      </c>
      <c r="Y443" s="25" t="s">
        <v>5933</v>
      </c>
      <c r="Z443" s="25"/>
      <c r="AA443" s="3" t="str">
        <f>IF(C_Ope_001[[#This Row],[fecha]]&gt;0,TEXT(C_Ope_001[[#This Row],[fecha]],"mmmm"),0)</f>
        <v>Setiembre</v>
      </c>
      <c r="AB443" s="49"/>
    </row>
    <row r="444" spans="1:28" ht="24" x14ac:dyDescent="0.3">
      <c r="A444" s="2">
        <f>IF(C_Ope_001[[#This Row],[tipo_r]]="R",COUNTIFS($C$1:$C443,"R")+1,"")</f>
        <v>443</v>
      </c>
      <c r="B444" s="19" t="str">
        <f t="shared" si="57"/>
        <v>C_Ope_001</v>
      </c>
      <c r="C444" s="3" t="s">
        <v>1330</v>
      </c>
      <c r="D444" s="211">
        <v>45922</v>
      </c>
      <c r="E444" s="5" t="s">
        <v>7957</v>
      </c>
      <c r="F444" s="5" t="s">
        <v>1336</v>
      </c>
      <c r="G444" s="6" t="s">
        <v>970</v>
      </c>
      <c r="H444" s="6" t="s">
        <v>68</v>
      </c>
      <c r="I444" s="6" t="s">
        <v>1376</v>
      </c>
      <c r="J444" s="6">
        <v>1830</v>
      </c>
      <c r="K444" s="7" t="s">
        <v>7962</v>
      </c>
      <c r="L444" s="8">
        <v>25544</v>
      </c>
      <c r="M444" s="8" t="str">
        <f t="shared" si="58"/>
        <v>PEN</v>
      </c>
      <c r="N444" s="13"/>
      <c r="O444" s="13">
        <v>30</v>
      </c>
      <c r="P444" s="3">
        <f t="shared" si="46"/>
        <v>0</v>
      </c>
      <c r="Q444" s="3">
        <f t="shared" si="47"/>
        <v>30</v>
      </c>
      <c r="R444" s="3">
        <f t="shared" si="48"/>
        <v>185.00000000000003</v>
      </c>
      <c r="S444" s="24" t="s">
        <v>1334</v>
      </c>
      <c r="T444" s="24"/>
      <c r="U444" s="3"/>
      <c r="V444" s="25" t="s">
        <v>7756</v>
      </c>
      <c r="W444" s="25">
        <v>10297207330</v>
      </c>
      <c r="X444" s="25" t="str">
        <f>IFERROR(VLOOKUP(C_Ope_001[[#This Row],[nota_2]],Clientes_Proveedores[[Ruc / Dni]:[Razon Social]],2,0),"")</f>
        <v>CRUZ HUARACHA CARMEN</v>
      </c>
      <c r="Y444" s="25" t="s">
        <v>7938</v>
      </c>
      <c r="Z444" s="25"/>
      <c r="AA444" s="3" t="str">
        <f>IF(C_Ope_001[[#This Row],[fecha]]&gt;0,TEXT(C_Ope_001[[#This Row],[fecha]],"mmmm"),0)</f>
        <v>Setiembre</v>
      </c>
      <c r="AB444" s="49"/>
    </row>
    <row r="445" spans="1:28" ht="24" x14ac:dyDescent="0.3">
      <c r="A445" s="2">
        <f>IF(C_Ope_001[[#This Row],[tipo_r]]="R",COUNTIFS($C$1:$C444,"R")+1,"")</f>
        <v>444</v>
      </c>
      <c r="B445" s="19" t="str">
        <f t="shared" si="57"/>
        <v>C_Ope_001</v>
      </c>
      <c r="C445" s="3" t="s">
        <v>1330</v>
      </c>
      <c r="D445" s="211">
        <v>45930</v>
      </c>
      <c r="E445" s="5" t="s">
        <v>7957</v>
      </c>
      <c r="F445" s="5" t="s">
        <v>1336</v>
      </c>
      <c r="G445" s="6" t="s">
        <v>978</v>
      </c>
      <c r="H445" s="6" t="s">
        <v>68</v>
      </c>
      <c r="I445" s="6" t="s">
        <v>6204</v>
      </c>
      <c r="J445" s="6">
        <v>1856416</v>
      </c>
      <c r="K445" s="7" t="s">
        <v>7985</v>
      </c>
      <c r="L445" s="8">
        <v>25631</v>
      </c>
      <c r="M445" s="8" t="str">
        <f t="shared" si="58"/>
        <v>PEN</v>
      </c>
      <c r="N445" s="13"/>
      <c r="O445" s="13">
        <v>8</v>
      </c>
      <c r="P445" s="3">
        <f t="shared" si="46"/>
        <v>0</v>
      </c>
      <c r="Q445" s="3">
        <f t="shared" si="47"/>
        <v>8</v>
      </c>
      <c r="R445" s="3">
        <f t="shared" si="48"/>
        <v>177.00000000000003</v>
      </c>
      <c r="S445" s="24" t="s">
        <v>1334</v>
      </c>
      <c r="T445" s="24"/>
      <c r="U445" s="3"/>
      <c r="V445" s="25" t="s">
        <v>7756</v>
      </c>
      <c r="W445" s="25">
        <v>20517252558</v>
      </c>
      <c r="X445" s="25" t="str">
        <f>IFERROR(VLOOKUP(C_Ope_001[[#This Row],[nota_2]],Clientes_Proveedores[[Ruc / Dni]:[Razon Social]],2,0),"")</f>
        <v>COVISUR S.A.</v>
      </c>
      <c r="Y445" s="25" t="s">
        <v>7888</v>
      </c>
      <c r="Z445" s="25"/>
      <c r="AA445" s="3" t="str">
        <f>IF(C_Ope_001[[#This Row],[fecha]]&gt;0,TEXT(C_Ope_001[[#This Row],[fecha]],"mmmm"),0)</f>
        <v>Setiembre</v>
      </c>
      <c r="AB445" s="49"/>
    </row>
    <row r="446" spans="1:28" ht="24" x14ac:dyDescent="0.3">
      <c r="A446" s="2">
        <f>IF(C_Ope_001[[#This Row],[tipo_r]]="R",COUNTIFS($C$1:$C445,"R")+1,"")</f>
        <v>445</v>
      </c>
      <c r="B446" s="19" t="str">
        <f t="shared" si="57"/>
        <v>C_Ope_001</v>
      </c>
      <c r="C446" s="3" t="s">
        <v>1330</v>
      </c>
      <c r="D446" s="211">
        <v>45930</v>
      </c>
      <c r="E446" s="5" t="s">
        <v>7957</v>
      </c>
      <c r="F446" s="5" t="s">
        <v>1336</v>
      </c>
      <c r="G446" s="6" t="s">
        <v>978</v>
      </c>
      <c r="H446" s="6" t="s">
        <v>68</v>
      </c>
      <c r="I446" s="6" t="s">
        <v>5845</v>
      </c>
      <c r="J446" s="6">
        <v>1878903</v>
      </c>
      <c r="K446" s="7" t="s">
        <v>7986</v>
      </c>
      <c r="L446" s="8">
        <v>25669</v>
      </c>
      <c r="M446" s="8" t="str">
        <f t="shared" si="58"/>
        <v>PEN</v>
      </c>
      <c r="N446" s="13"/>
      <c r="O446" s="13">
        <v>8</v>
      </c>
      <c r="P446" s="3">
        <f t="shared" si="46"/>
        <v>0</v>
      </c>
      <c r="Q446" s="3">
        <f t="shared" si="47"/>
        <v>8</v>
      </c>
      <c r="R446" s="3">
        <f t="shared" si="48"/>
        <v>169.00000000000003</v>
      </c>
      <c r="S446" s="24" t="s">
        <v>1334</v>
      </c>
      <c r="T446" s="24"/>
      <c r="U446" s="3"/>
      <c r="V446" s="25" t="s">
        <v>7756</v>
      </c>
      <c r="W446" s="25">
        <v>20517252558</v>
      </c>
      <c r="X446" s="25" t="str">
        <f>IFERROR(VLOOKUP(C_Ope_001[[#This Row],[nota_2]],Clientes_Proveedores[[Ruc / Dni]:[Razon Social]],2,0),"")</f>
        <v>COVISUR S.A.</v>
      </c>
      <c r="Y446" s="25" t="s">
        <v>7888</v>
      </c>
      <c r="Z446" s="25"/>
      <c r="AA446" s="3" t="str">
        <f>IF(C_Ope_001[[#This Row],[fecha]]&gt;0,TEXT(C_Ope_001[[#This Row],[fecha]],"mmmm"),0)</f>
        <v>Setiembre</v>
      </c>
      <c r="AB446" s="49"/>
    </row>
    <row r="447" spans="1:28" ht="36" x14ac:dyDescent="0.3">
      <c r="A447" s="2">
        <f>IF(C_Ope_001[[#This Row],[tipo_r]]="R",COUNTIFS($C$1:$C446,"R")+1,"")</f>
        <v>446</v>
      </c>
      <c r="B447" s="19" t="str">
        <f t="shared" si="57"/>
        <v>C_Ope_001</v>
      </c>
      <c r="C447" s="3" t="s">
        <v>1330</v>
      </c>
      <c r="D447" s="211">
        <v>45930</v>
      </c>
      <c r="E447" s="5" t="s">
        <v>7957</v>
      </c>
      <c r="F447" s="5" t="s">
        <v>1336</v>
      </c>
      <c r="G447" s="6" t="s">
        <v>682</v>
      </c>
      <c r="H447" s="6" t="s">
        <v>68</v>
      </c>
      <c r="I447" s="6" t="s">
        <v>1353</v>
      </c>
      <c r="J447" s="6">
        <v>17895</v>
      </c>
      <c r="K447" s="7" t="s">
        <v>7987</v>
      </c>
      <c r="L447" s="8">
        <v>25632</v>
      </c>
      <c r="M447" s="8" t="str">
        <f t="shared" si="58"/>
        <v>PEN</v>
      </c>
      <c r="N447" s="13"/>
      <c r="O447" s="13">
        <v>20</v>
      </c>
      <c r="P447" s="3">
        <f t="shared" si="46"/>
        <v>0</v>
      </c>
      <c r="Q447" s="3">
        <f t="shared" si="47"/>
        <v>20</v>
      </c>
      <c r="R447" s="3">
        <f t="shared" si="48"/>
        <v>149.00000000000003</v>
      </c>
      <c r="S447" s="24" t="s">
        <v>1334</v>
      </c>
      <c r="T447" s="24"/>
      <c r="U447" s="3"/>
      <c r="V447" s="25" t="s">
        <v>7756</v>
      </c>
      <c r="W447" s="25">
        <v>20259858934</v>
      </c>
      <c r="X447" s="25" t="str">
        <f>IFERROR(VLOOKUP(C_Ope_001[[#This Row],[nota_2]],Clientes_Proveedores[[Ruc / Dni]:[Razon Social]],2,0),"")</f>
        <v>COMERCIALIZACION Y SERVICIOS EL EDEN S.A.C.</v>
      </c>
      <c r="Y447" s="25" t="s">
        <v>5933</v>
      </c>
      <c r="Z447" s="25"/>
      <c r="AA447" s="3" t="str">
        <f>IF(C_Ope_001[[#This Row],[fecha]]&gt;0,TEXT(C_Ope_001[[#This Row],[fecha]],"mmmm"),0)</f>
        <v>Setiembre</v>
      </c>
      <c r="AB447" s="49"/>
    </row>
    <row r="448" spans="1:28" ht="36" x14ac:dyDescent="0.3">
      <c r="A448" s="2">
        <f>IF(C_Ope_001[[#This Row],[tipo_r]]="R",COUNTIFS($C$1:$C447,"R")+1,"")</f>
        <v>447</v>
      </c>
      <c r="B448" s="19" t="str">
        <f t="shared" si="57"/>
        <v>C_Ope_001</v>
      </c>
      <c r="C448" s="3" t="s">
        <v>1330</v>
      </c>
      <c r="D448" s="211">
        <v>45930</v>
      </c>
      <c r="E448" s="5" t="s">
        <v>7957</v>
      </c>
      <c r="F448" s="5" t="s">
        <v>1336</v>
      </c>
      <c r="G448" s="6" t="s">
        <v>682</v>
      </c>
      <c r="H448" s="6" t="s">
        <v>68</v>
      </c>
      <c r="I448" s="6" t="s">
        <v>1353</v>
      </c>
      <c r="J448" s="6">
        <v>17903</v>
      </c>
      <c r="K448" s="7" t="s">
        <v>7988</v>
      </c>
      <c r="L448" s="8">
        <v>25645</v>
      </c>
      <c r="M448" s="8" t="str">
        <f t="shared" si="58"/>
        <v>PEN</v>
      </c>
      <c r="N448" s="13"/>
      <c r="O448" s="13">
        <v>20</v>
      </c>
      <c r="P448" s="3">
        <f t="shared" si="46"/>
        <v>0</v>
      </c>
      <c r="Q448" s="3">
        <f t="shared" si="47"/>
        <v>20</v>
      </c>
      <c r="R448" s="3">
        <f t="shared" si="48"/>
        <v>129.00000000000003</v>
      </c>
      <c r="S448" s="24" t="s">
        <v>1334</v>
      </c>
      <c r="T448" s="24"/>
      <c r="U448" s="3"/>
      <c r="V448" s="25" t="s">
        <v>7756</v>
      </c>
      <c r="W448" s="25">
        <v>20259858934</v>
      </c>
      <c r="X448" s="25" t="str">
        <f>IFERROR(VLOOKUP(C_Ope_001[[#This Row],[nota_2]],Clientes_Proveedores[[Ruc / Dni]:[Razon Social]],2,0),"")</f>
        <v>COMERCIALIZACION Y SERVICIOS EL EDEN S.A.C.</v>
      </c>
      <c r="Y448" s="25" t="s">
        <v>5933</v>
      </c>
      <c r="Z448" s="25"/>
      <c r="AA448" s="3" t="str">
        <f>IF(C_Ope_001[[#This Row],[fecha]]&gt;0,TEXT(C_Ope_001[[#This Row],[fecha]],"mmmm"),0)</f>
        <v>Setiembre</v>
      </c>
      <c r="AB448" s="49"/>
    </row>
    <row r="449" spans="1:28" ht="36" x14ac:dyDescent="0.3">
      <c r="A449" s="2">
        <f>IF(C_Ope_001[[#This Row],[tipo_r]]="R",COUNTIFS($C$1:$C448,"R")+1,"")</f>
        <v>448</v>
      </c>
      <c r="B449" s="19" t="str">
        <f t="shared" si="57"/>
        <v>C_Ope_001</v>
      </c>
      <c r="C449" s="3" t="s">
        <v>1330</v>
      </c>
      <c r="D449" s="211">
        <v>45930</v>
      </c>
      <c r="E449" s="5" t="s">
        <v>7957</v>
      </c>
      <c r="F449" s="5" t="s">
        <v>1336</v>
      </c>
      <c r="G449" s="6" t="s">
        <v>682</v>
      </c>
      <c r="H449" s="6" t="s">
        <v>68</v>
      </c>
      <c r="I449" s="6" t="s">
        <v>1353</v>
      </c>
      <c r="J449" s="6">
        <v>17905</v>
      </c>
      <c r="K449" s="7" t="s">
        <v>7988</v>
      </c>
      <c r="L449" s="8">
        <v>25664</v>
      </c>
      <c r="M449" s="8" t="str">
        <f t="shared" si="58"/>
        <v>PEN</v>
      </c>
      <c r="N449" s="13"/>
      <c r="O449" s="13">
        <v>20</v>
      </c>
      <c r="P449" s="3">
        <f t="shared" si="46"/>
        <v>0</v>
      </c>
      <c r="Q449" s="3">
        <f t="shared" si="47"/>
        <v>20</v>
      </c>
      <c r="R449" s="3">
        <f t="shared" si="48"/>
        <v>109.00000000000003</v>
      </c>
      <c r="S449" s="24" t="s">
        <v>1334</v>
      </c>
      <c r="T449" s="24"/>
      <c r="U449" s="3"/>
      <c r="V449" s="25" t="s">
        <v>7756</v>
      </c>
      <c r="W449" s="25">
        <v>20259858934</v>
      </c>
      <c r="X449" s="25" t="str">
        <f>IFERROR(VLOOKUP(C_Ope_001[[#This Row],[nota_2]],Clientes_Proveedores[[Ruc / Dni]:[Razon Social]],2,0),"")</f>
        <v>COMERCIALIZACION Y SERVICIOS EL EDEN S.A.C.</v>
      </c>
      <c r="Y449" s="25" t="s">
        <v>5933</v>
      </c>
      <c r="Z449" s="25"/>
      <c r="AA449" s="3" t="str">
        <f>IF(C_Ope_001[[#This Row],[fecha]]&gt;0,TEXT(C_Ope_001[[#This Row],[fecha]],"mmmm"),0)</f>
        <v>Setiembre</v>
      </c>
      <c r="AB449" s="49"/>
    </row>
    <row r="450" spans="1:28" x14ac:dyDescent="0.3">
      <c r="A450" s="2">
        <f>IF(C_Ope_001[[#This Row],[tipo_r]]="R",COUNTIFS($C$1:$C449,"R")+1,"")</f>
        <v>449</v>
      </c>
      <c r="B450" s="19" t="str">
        <f t="shared" si="57"/>
        <v>C_Ope_001</v>
      </c>
      <c r="C450" s="3" t="s">
        <v>1330</v>
      </c>
      <c r="D450" s="211">
        <v>45932</v>
      </c>
      <c r="E450" s="5" t="s">
        <v>7957</v>
      </c>
      <c r="F450" s="5" t="s">
        <v>1336</v>
      </c>
      <c r="G450" s="6" t="s">
        <v>978</v>
      </c>
      <c r="H450" s="6" t="s">
        <v>68</v>
      </c>
      <c r="I450" s="6" t="s">
        <v>6380</v>
      </c>
      <c r="J450" s="6">
        <v>408950</v>
      </c>
      <c r="K450" s="7" t="s">
        <v>7989</v>
      </c>
      <c r="L450" s="8">
        <v>25686</v>
      </c>
      <c r="M450" s="8" t="str">
        <f t="shared" si="58"/>
        <v>PEN</v>
      </c>
      <c r="N450" s="13"/>
      <c r="O450" s="13">
        <v>8</v>
      </c>
      <c r="P450" s="3">
        <f t="shared" si="46"/>
        <v>0</v>
      </c>
      <c r="Q450" s="3">
        <f t="shared" si="47"/>
        <v>8</v>
      </c>
      <c r="R450" s="3">
        <f t="shared" ref="R450:R486" si="59">IFERROR(IF(F450="SALDO",P450,R449+P450-Q450),0)</f>
        <v>101.00000000000003</v>
      </c>
      <c r="S450" s="24" t="s">
        <v>1334</v>
      </c>
      <c r="T450" s="24"/>
      <c r="U450" s="3"/>
      <c r="V450" s="25" t="s">
        <v>7756</v>
      </c>
      <c r="W450" s="25">
        <v>20517252558</v>
      </c>
      <c r="X450" s="25" t="str">
        <f>IFERROR(VLOOKUP(C_Ope_001[[#This Row],[nota_2]],Clientes_Proveedores[[Ruc / Dni]:[Razon Social]],2,0),"")</f>
        <v>COVISUR S.A.</v>
      </c>
      <c r="Y450" s="25" t="s">
        <v>7888</v>
      </c>
      <c r="Z450" s="25"/>
      <c r="AA450" s="3" t="str">
        <f>IF(C_Ope_001[[#This Row],[fecha]]&gt;0,TEXT(C_Ope_001[[#This Row],[fecha]],"mmmm"),0)</f>
        <v>Octubre</v>
      </c>
      <c r="AB450" s="49"/>
    </row>
    <row r="451" spans="1:28" x14ac:dyDescent="0.3">
      <c r="A451" s="2">
        <f>IF(C_Ope_001[[#This Row],[tipo_r]]="R",COUNTIFS($C$1:$C450,"R")+1,"")</f>
        <v>450</v>
      </c>
      <c r="B451" s="19" t="str">
        <f t="shared" si="57"/>
        <v>C_Ope_001</v>
      </c>
      <c r="C451" s="3" t="s">
        <v>1330</v>
      </c>
      <c r="D451" s="211">
        <v>45932</v>
      </c>
      <c r="E451" s="5" t="s">
        <v>7957</v>
      </c>
      <c r="F451" s="5" t="s">
        <v>1336</v>
      </c>
      <c r="G451" s="6" t="s">
        <v>978</v>
      </c>
      <c r="H451" s="6" t="s">
        <v>68</v>
      </c>
      <c r="I451" s="6" t="s">
        <v>6379</v>
      </c>
      <c r="J451" s="6">
        <v>510210</v>
      </c>
      <c r="K451" s="7" t="s">
        <v>7990</v>
      </c>
      <c r="L451" s="8">
        <v>25687</v>
      </c>
      <c r="M451" s="8" t="str">
        <f t="shared" si="58"/>
        <v>PEN</v>
      </c>
      <c r="N451" s="13"/>
      <c r="O451" s="13">
        <v>8</v>
      </c>
      <c r="P451" s="3">
        <f t="shared" si="46"/>
        <v>0</v>
      </c>
      <c r="Q451" s="3">
        <f t="shared" si="47"/>
        <v>8</v>
      </c>
      <c r="R451" s="3">
        <f t="shared" si="59"/>
        <v>93.000000000000028</v>
      </c>
      <c r="S451" s="24" t="s">
        <v>1334</v>
      </c>
      <c r="T451" s="24"/>
      <c r="U451" s="3"/>
      <c r="V451" s="25" t="s">
        <v>7756</v>
      </c>
      <c r="W451" s="25">
        <v>20517252558</v>
      </c>
      <c r="X451" s="25" t="str">
        <f>IFERROR(VLOOKUP(C_Ope_001[[#This Row],[nota_2]],Clientes_Proveedores[[Ruc / Dni]:[Razon Social]],2,0),"")</f>
        <v>COVISUR S.A.</v>
      </c>
      <c r="Y451" s="25" t="s">
        <v>7888</v>
      </c>
      <c r="Z451" s="25"/>
      <c r="AA451" s="3" t="str">
        <f>IF(C_Ope_001[[#This Row],[fecha]]&gt;0,TEXT(C_Ope_001[[#This Row],[fecha]],"mmmm"),0)</f>
        <v>Octubre</v>
      </c>
      <c r="AB451" s="49"/>
    </row>
    <row r="452" spans="1:28" x14ac:dyDescent="0.3">
      <c r="A452" s="2">
        <f>IF(C_Ope_001[[#This Row],[tipo_r]]="R",COUNTIFS($C$1:$C451,"R")+1,"")</f>
        <v>451</v>
      </c>
      <c r="B452" s="19" t="str">
        <f t="shared" si="57"/>
        <v>C_Ope_001</v>
      </c>
      <c r="C452" s="3" t="s">
        <v>1330</v>
      </c>
      <c r="D452" s="211">
        <v>45932</v>
      </c>
      <c r="E452" s="5" t="s">
        <v>7957</v>
      </c>
      <c r="F452" s="5" t="s">
        <v>1336</v>
      </c>
      <c r="G452" s="6" t="s">
        <v>978</v>
      </c>
      <c r="H452" s="6" t="s">
        <v>68</v>
      </c>
      <c r="I452" s="6" t="s">
        <v>5845</v>
      </c>
      <c r="J452" s="6">
        <v>1881023</v>
      </c>
      <c r="K452" s="7" t="s">
        <v>7991</v>
      </c>
      <c r="L452" s="8">
        <v>25688</v>
      </c>
      <c r="M452" s="8" t="str">
        <f t="shared" si="58"/>
        <v>PEN</v>
      </c>
      <c r="N452" s="13"/>
      <c r="O452" s="13">
        <v>8</v>
      </c>
      <c r="P452" s="3">
        <f t="shared" si="46"/>
        <v>0</v>
      </c>
      <c r="Q452" s="3">
        <f t="shared" si="47"/>
        <v>8</v>
      </c>
      <c r="R452" s="3">
        <f t="shared" si="59"/>
        <v>85.000000000000028</v>
      </c>
      <c r="S452" s="24" t="s">
        <v>1334</v>
      </c>
      <c r="T452" s="24"/>
      <c r="U452" s="3"/>
      <c r="V452" s="25" t="s">
        <v>7756</v>
      </c>
      <c r="W452" s="25">
        <v>20517252558</v>
      </c>
      <c r="X452" s="25" t="str">
        <f>IFERROR(VLOOKUP(C_Ope_001[[#This Row],[nota_2]],Clientes_Proveedores[[Ruc / Dni]:[Razon Social]],2,0),"")</f>
        <v>COVISUR S.A.</v>
      </c>
      <c r="Y452" s="25" t="s">
        <v>7888</v>
      </c>
      <c r="Z452" s="25"/>
      <c r="AA452" s="3" t="str">
        <f>IF(C_Ope_001[[#This Row],[fecha]]&gt;0,TEXT(C_Ope_001[[#This Row],[fecha]],"mmmm"),0)</f>
        <v>Octubre</v>
      </c>
      <c r="AB452" s="49"/>
    </row>
    <row r="453" spans="1:28" ht="36" x14ac:dyDescent="0.3">
      <c r="A453" s="2">
        <f>IF(C_Ope_001[[#This Row],[tipo_r]]="R",COUNTIFS($C$1:$C452,"R")+1,"")</f>
        <v>452</v>
      </c>
      <c r="B453" s="19" t="str">
        <f t="shared" si="57"/>
        <v>C_Ope_001</v>
      </c>
      <c r="C453" s="3" t="s">
        <v>1330</v>
      </c>
      <c r="D453" s="211">
        <v>45932</v>
      </c>
      <c r="E453" s="5" t="s">
        <v>7957</v>
      </c>
      <c r="F453" s="5" t="s">
        <v>1336</v>
      </c>
      <c r="G453" s="6" t="s">
        <v>682</v>
      </c>
      <c r="H453" s="6" t="s">
        <v>68</v>
      </c>
      <c r="I453" s="6" t="s">
        <v>1353</v>
      </c>
      <c r="J453" s="6">
        <v>17930</v>
      </c>
      <c r="K453" s="7" t="s">
        <v>7992</v>
      </c>
      <c r="L453" s="8">
        <v>25682</v>
      </c>
      <c r="M453" s="8" t="str">
        <f t="shared" si="58"/>
        <v>PEN</v>
      </c>
      <c r="N453" s="13"/>
      <c r="O453" s="13">
        <v>20</v>
      </c>
      <c r="P453" s="3">
        <f t="shared" si="46"/>
        <v>0</v>
      </c>
      <c r="Q453" s="3">
        <f t="shared" si="47"/>
        <v>20</v>
      </c>
      <c r="R453" s="3">
        <f t="shared" si="59"/>
        <v>65.000000000000028</v>
      </c>
      <c r="S453" s="24" t="s">
        <v>1334</v>
      </c>
      <c r="T453" s="24"/>
      <c r="U453" s="3"/>
      <c r="V453" s="25" t="s">
        <v>7756</v>
      </c>
      <c r="W453" s="25">
        <v>20259858934</v>
      </c>
      <c r="X453" s="25" t="str">
        <f>IFERROR(VLOOKUP(C_Ope_001[[#This Row],[nota_2]],Clientes_Proveedores[[Ruc / Dni]:[Razon Social]],2,0),"")</f>
        <v>COMERCIALIZACION Y SERVICIOS EL EDEN S.A.C.</v>
      </c>
      <c r="Y453" s="25" t="s">
        <v>5933</v>
      </c>
      <c r="Z453" s="25"/>
      <c r="AA453" s="3" t="str">
        <f>IF(C_Ope_001[[#This Row],[fecha]]&gt;0,TEXT(C_Ope_001[[#This Row],[fecha]],"mmmm"),0)</f>
        <v>Octubre</v>
      </c>
      <c r="AB453" s="49"/>
    </row>
    <row r="454" spans="1:28" ht="24" x14ac:dyDescent="0.3">
      <c r="A454" s="2">
        <f>IF(C_Ope_001[[#This Row],[tipo_r]]="R",COUNTIFS($C$1:$C453,"R")+1,"")</f>
        <v>453</v>
      </c>
      <c r="B454" s="19" t="str">
        <f>"C_Ope_001"</f>
        <v>C_Ope_001</v>
      </c>
      <c r="C454" s="3" t="s">
        <v>1330</v>
      </c>
      <c r="D454" s="211">
        <v>45933</v>
      </c>
      <c r="E454" s="5" t="s">
        <v>3634</v>
      </c>
      <c r="F454" s="5" t="s">
        <v>1303</v>
      </c>
      <c r="G454" s="6" t="s">
        <v>1134</v>
      </c>
      <c r="H454" s="6"/>
      <c r="I454" s="6"/>
      <c r="J454" s="6"/>
      <c r="K454" s="7" t="s">
        <v>7516</v>
      </c>
      <c r="L454" s="8">
        <v>25924</v>
      </c>
      <c r="M454" s="8" t="str">
        <f>"PEN"</f>
        <v>PEN</v>
      </c>
      <c r="N454" s="13"/>
      <c r="O454" s="13">
        <v>150</v>
      </c>
      <c r="P454" s="3">
        <f>+IF(OR($F454="SALDO",$F454="INGRESO"),$O454,0)</f>
        <v>150</v>
      </c>
      <c r="Q454" s="3">
        <f>+IF($F454="EGRESO",$O454,0)</f>
        <v>0</v>
      </c>
      <c r="R454" s="3">
        <f t="shared" si="59"/>
        <v>215.00000000000003</v>
      </c>
      <c r="S454" s="24"/>
      <c r="T454" s="24"/>
      <c r="U454" s="3"/>
      <c r="V454" s="25"/>
      <c r="W454" s="25"/>
      <c r="X454" s="25" t="str">
        <f>IFERROR(VLOOKUP(C_Ope_001[[#This Row],[nota_2]],Clientes_Proveedores[[Ruc / Dni]:[Razon Social]],2,0),"")</f>
        <v/>
      </c>
      <c r="Y454" s="25"/>
      <c r="Z454" s="25"/>
      <c r="AA454" s="3" t="str">
        <f>IF(C_Ope_001[[#This Row],[fecha]]&gt;0,TEXT(C_Ope_001[[#This Row],[fecha]],"mmmm"),0)</f>
        <v>Octubre</v>
      </c>
      <c r="AB454" s="49"/>
    </row>
    <row r="455" spans="1:28" ht="24" x14ac:dyDescent="0.3">
      <c r="A455" s="2">
        <f>IF(C_Ope_001[[#This Row],[tipo_r]]="R",COUNTIFS($C$1:$C454,"R")+1,"")</f>
        <v>454</v>
      </c>
      <c r="B455" s="19" t="str">
        <f>"C_Ope_001"</f>
        <v>C_Ope_001</v>
      </c>
      <c r="C455" s="3" t="s">
        <v>1330</v>
      </c>
      <c r="D455" s="211">
        <v>45940</v>
      </c>
      <c r="E455" s="5" t="s">
        <v>3634</v>
      </c>
      <c r="F455" s="5" t="s">
        <v>1303</v>
      </c>
      <c r="G455" s="6" t="s">
        <v>1134</v>
      </c>
      <c r="H455" s="6"/>
      <c r="I455" s="6"/>
      <c r="J455" s="6"/>
      <c r="K455" s="7" t="s">
        <v>7516</v>
      </c>
      <c r="L455" s="8">
        <v>25745</v>
      </c>
      <c r="M455" s="8" t="str">
        <f>"PEN"</f>
        <v>PEN</v>
      </c>
      <c r="N455" s="13"/>
      <c r="O455" s="13">
        <v>120</v>
      </c>
      <c r="P455" s="3">
        <f>+IF(OR($F455="SALDO",$F455="INGRESO"),$O455,0)</f>
        <v>120</v>
      </c>
      <c r="Q455" s="3">
        <f>+IF($F455="EGRESO",$O455,0)</f>
        <v>0</v>
      </c>
      <c r="R455" s="3">
        <f t="shared" si="59"/>
        <v>335</v>
      </c>
      <c r="S455" s="24"/>
      <c r="T455" s="24"/>
      <c r="U455" s="3"/>
      <c r="V455" s="25"/>
      <c r="W455" s="25"/>
      <c r="X455" s="25" t="str">
        <f>IFERROR(VLOOKUP(C_Ope_001[[#This Row],[nota_2]],Clientes_Proveedores[[Ruc / Dni]:[Razon Social]],2,0),"")</f>
        <v/>
      </c>
      <c r="Y455" s="25"/>
      <c r="Z455" s="25"/>
      <c r="AA455" s="3" t="str">
        <f>IF(C_Ope_001[[#This Row],[fecha]]&gt;0,TEXT(C_Ope_001[[#This Row],[fecha]],"mmmm"),0)</f>
        <v>Octubre</v>
      </c>
      <c r="AB455" s="49"/>
    </row>
    <row r="456" spans="1:28" ht="24" x14ac:dyDescent="0.3">
      <c r="A456" s="2">
        <f>IF(C_Ope_001[[#This Row],[tipo_r]]="R",COUNTIFS($C$1:$C455,"R")+1,"")</f>
        <v>455</v>
      </c>
      <c r="B456" s="19" t="str">
        <f t="shared" ref="B456:B480" si="60">"C_Ope_001"</f>
        <v>C_Ope_001</v>
      </c>
      <c r="C456" s="3" t="s">
        <v>1330</v>
      </c>
      <c r="D456" s="211">
        <v>45940</v>
      </c>
      <c r="E456" s="5" t="s">
        <v>7957</v>
      </c>
      <c r="F456" s="5" t="s">
        <v>1336</v>
      </c>
      <c r="G456" s="6" t="s">
        <v>978</v>
      </c>
      <c r="H456" s="6" t="s">
        <v>68</v>
      </c>
      <c r="I456" s="6" t="s">
        <v>5688</v>
      </c>
      <c r="J456" s="6">
        <v>2505061</v>
      </c>
      <c r="K456" s="7" t="s">
        <v>7993</v>
      </c>
      <c r="L456" s="8">
        <v>25747</v>
      </c>
      <c r="M456" s="8" t="str">
        <f t="shared" ref="M456:M480" si="61">"PEN"</f>
        <v>PEN</v>
      </c>
      <c r="N456" s="13"/>
      <c r="O456" s="13">
        <v>8</v>
      </c>
      <c r="P456" s="3">
        <f t="shared" ref="P456:P480" si="62">+IF(OR($F456="SALDO",$F456="INGRESO"),$O456,0)</f>
        <v>0</v>
      </c>
      <c r="Q456" s="3">
        <f t="shared" ref="Q456:Q480" si="63">+IF($F456="EGRESO",$O456,0)</f>
        <v>8</v>
      </c>
      <c r="R456" s="3">
        <f t="shared" si="59"/>
        <v>327</v>
      </c>
      <c r="S456" s="24" t="s">
        <v>1334</v>
      </c>
      <c r="T456" s="24"/>
      <c r="U456" s="3"/>
      <c r="V456" s="25" t="s">
        <v>7756</v>
      </c>
      <c r="W456" s="25">
        <v>20517252558</v>
      </c>
      <c r="X456" s="25" t="str">
        <f>IFERROR(VLOOKUP(C_Ope_001[[#This Row],[nota_2]],Clientes_Proveedores[[Ruc / Dni]:[Razon Social]],2,0),"")</f>
        <v>COVISUR S.A.</v>
      </c>
      <c r="Y456" s="25" t="s">
        <v>7888</v>
      </c>
      <c r="Z456" s="25"/>
      <c r="AA456" s="3" t="str">
        <f>IF(C_Ope_001[[#This Row],[fecha]]&gt;0,TEXT(C_Ope_001[[#This Row],[fecha]],"mmmm"),0)</f>
        <v>Octubre</v>
      </c>
      <c r="AB456" s="49"/>
    </row>
    <row r="457" spans="1:28" ht="24" x14ac:dyDescent="0.3">
      <c r="A457" s="2">
        <f>IF(C_Ope_001[[#This Row],[tipo_r]]="R",COUNTIFS($C$1:$C456,"R")+1,"")</f>
        <v>456</v>
      </c>
      <c r="B457" s="19" t="str">
        <f t="shared" si="60"/>
        <v>C_Ope_001</v>
      </c>
      <c r="C457" s="3" t="s">
        <v>1330</v>
      </c>
      <c r="D457" s="211">
        <v>45940</v>
      </c>
      <c r="E457" s="5" t="s">
        <v>7957</v>
      </c>
      <c r="F457" s="5" t="s">
        <v>1336</v>
      </c>
      <c r="G457" s="6" t="s">
        <v>978</v>
      </c>
      <c r="H457" s="6" t="s">
        <v>68</v>
      </c>
      <c r="I457" s="6" t="s">
        <v>6245</v>
      </c>
      <c r="J457" s="6">
        <v>1045125</v>
      </c>
      <c r="K457" s="7" t="s">
        <v>7994</v>
      </c>
      <c r="L457" s="8">
        <v>25748</v>
      </c>
      <c r="M457" s="8" t="str">
        <f t="shared" si="61"/>
        <v>PEN</v>
      </c>
      <c r="N457" s="13"/>
      <c r="O457" s="13">
        <v>8</v>
      </c>
      <c r="P457" s="3">
        <f t="shared" si="62"/>
        <v>0</v>
      </c>
      <c r="Q457" s="3">
        <f t="shared" si="63"/>
        <v>8</v>
      </c>
      <c r="R457" s="3">
        <f t="shared" si="59"/>
        <v>319</v>
      </c>
      <c r="S457" s="24" t="s">
        <v>1334</v>
      </c>
      <c r="T457" s="24"/>
      <c r="U457" s="3"/>
      <c r="V457" s="25" t="s">
        <v>7756</v>
      </c>
      <c r="W457" s="25">
        <v>20517252558</v>
      </c>
      <c r="X457" s="25" t="str">
        <f>IFERROR(VLOOKUP(C_Ope_001[[#This Row],[nota_2]],Clientes_Proveedores[[Ruc / Dni]:[Razon Social]],2,0),"")</f>
        <v>COVISUR S.A.</v>
      </c>
      <c r="Y457" s="25" t="s">
        <v>7888</v>
      </c>
      <c r="Z457" s="25"/>
      <c r="AA457" s="3" t="str">
        <f>IF(C_Ope_001[[#This Row],[fecha]]&gt;0,TEXT(C_Ope_001[[#This Row],[fecha]],"mmmm"),0)</f>
        <v>Octubre</v>
      </c>
      <c r="AB457" s="49"/>
    </row>
    <row r="458" spans="1:28" ht="24" x14ac:dyDescent="0.3">
      <c r="A458" s="2">
        <f>IF(C_Ope_001[[#This Row],[tipo_r]]="R",COUNTIFS($C$1:$C457,"R")+1,"")</f>
        <v>457</v>
      </c>
      <c r="B458" s="19" t="str">
        <f t="shared" si="60"/>
        <v>C_Ope_001</v>
      </c>
      <c r="C458" s="3" t="s">
        <v>1330</v>
      </c>
      <c r="D458" s="211">
        <v>45940</v>
      </c>
      <c r="E458" s="5" t="s">
        <v>7957</v>
      </c>
      <c r="F458" s="5" t="s">
        <v>1336</v>
      </c>
      <c r="G458" s="6" t="s">
        <v>978</v>
      </c>
      <c r="H458" s="6" t="s">
        <v>68</v>
      </c>
      <c r="I458" s="6" t="s">
        <v>5845</v>
      </c>
      <c r="J458" s="6">
        <v>1888655</v>
      </c>
      <c r="K458" s="7" t="s">
        <v>7995</v>
      </c>
      <c r="L458" s="8">
        <v>25760</v>
      </c>
      <c r="M458" s="8" t="str">
        <f t="shared" si="61"/>
        <v>PEN</v>
      </c>
      <c r="N458" s="13"/>
      <c r="O458" s="13">
        <v>8</v>
      </c>
      <c r="P458" s="3">
        <f t="shared" si="62"/>
        <v>0</v>
      </c>
      <c r="Q458" s="3">
        <f t="shared" si="63"/>
        <v>8</v>
      </c>
      <c r="R458" s="3">
        <f t="shared" si="59"/>
        <v>311</v>
      </c>
      <c r="S458" s="24" t="s">
        <v>1334</v>
      </c>
      <c r="T458" s="24"/>
      <c r="U458" s="3"/>
      <c r="V458" s="25" t="s">
        <v>7756</v>
      </c>
      <c r="W458" s="25">
        <v>20517252558</v>
      </c>
      <c r="X458" s="25" t="str">
        <f>IFERROR(VLOOKUP(C_Ope_001[[#This Row],[nota_2]],Clientes_Proveedores[[Ruc / Dni]:[Razon Social]],2,0),"")</f>
        <v>COVISUR S.A.</v>
      </c>
      <c r="Y458" s="25" t="s">
        <v>7888</v>
      </c>
      <c r="Z458" s="25"/>
      <c r="AA458" s="3" t="str">
        <f>IF(C_Ope_001[[#This Row],[fecha]]&gt;0,TEXT(C_Ope_001[[#This Row],[fecha]],"mmmm"),0)</f>
        <v>Octubre</v>
      </c>
      <c r="AB458" s="49"/>
    </row>
    <row r="459" spans="1:28" ht="24" x14ac:dyDescent="0.3">
      <c r="A459" s="2">
        <f>IF(C_Ope_001[[#This Row],[tipo_r]]="R",COUNTIFS($C$1:$C458,"R")+1,"")</f>
        <v>458</v>
      </c>
      <c r="B459" s="19" t="str">
        <f t="shared" si="60"/>
        <v>C_Ope_001</v>
      </c>
      <c r="C459" s="3" t="s">
        <v>1330</v>
      </c>
      <c r="D459" s="211">
        <v>45940</v>
      </c>
      <c r="E459" s="5" t="s">
        <v>7957</v>
      </c>
      <c r="F459" s="5" t="s">
        <v>1336</v>
      </c>
      <c r="G459" s="6" t="s">
        <v>978</v>
      </c>
      <c r="H459" s="6" t="s">
        <v>68</v>
      </c>
      <c r="I459" s="6" t="s">
        <v>6380</v>
      </c>
      <c r="J459" s="6">
        <v>410607</v>
      </c>
      <c r="K459" s="7" t="s">
        <v>7995</v>
      </c>
      <c r="L459" s="8">
        <v>25761</v>
      </c>
      <c r="M459" s="8" t="str">
        <f t="shared" si="61"/>
        <v>PEN</v>
      </c>
      <c r="N459" s="13"/>
      <c r="O459" s="13">
        <v>8</v>
      </c>
      <c r="P459" s="3">
        <f t="shared" si="62"/>
        <v>0</v>
      </c>
      <c r="Q459" s="3">
        <f t="shared" si="63"/>
        <v>8</v>
      </c>
      <c r="R459" s="3">
        <f t="shared" si="59"/>
        <v>303</v>
      </c>
      <c r="S459" s="24" t="s">
        <v>1334</v>
      </c>
      <c r="T459" s="24"/>
      <c r="U459" s="3"/>
      <c r="V459" s="25" t="s">
        <v>7756</v>
      </c>
      <c r="W459" s="25">
        <v>20517252558</v>
      </c>
      <c r="X459" s="25" t="str">
        <f>IFERROR(VLOOKUP(C_Ope_001[[#This Row],[nota_2]],Clientes_Proveedores[[Ruc / Dni]:[Razon Social]],2,0),"")</f>
        <v>COVISUR S.A.</v>
      </c>
      <c r="Y459" s="25" t="s">
        <v>7888</v>
      </c>
      <c r="Z459" s="25"/>
      <c r="AA459" s="3" t="str">
        <f>IF(C_Ope_001[[#This Row],[fecha]]&gt;0,TEXT(C_Ope_001[[#This Row],[fecha]],"mmmm"),0)</f>
        <v>Octubre</v>
      </c>
      <c r="AB459" s="49"/>
    </row>
    <row r="460" spans="1:28" ht="36" x14ac:dyDescent="0.3">
      <c r="A460" s="2">
        <f>IF(C_Ope_001[[#This Row],[tipo_r]]="R",COUNTIFS($C$1:$C459,"R")+1,"")</f>
        <v>459</v>
      </c>
      <c r="B460" s="19" t="str">
        <f t="shared" si="60"/>
        <v>C_Ope_001</v>
      </c>
      <c r="C460" s="3" t="s">
        <v>1330</v>
      </c>
      <c r="D460" s="211">
        <v>45940</v>
      </c>
      <c r="E460" s="5" t="s">
        <v>7957</v>
      </c>
      <c r="F460" s="5" t="s">
        <v>1336</v>
      </c>
      <c r="G460" s="6" t="s">
        <v>227</v>
      </c>
      <c r="H460" s="6" t="s">
        <v>68</v>
      </c>
      <c r="I460" s="6" t="s">
        <v>1390</v>
      </c>
      <c r="J460" s="6">
        <v>138072</v>
      </c>
      <c r="K460" s="7" t="s">
        <v>7996</v>
      </c>
      <c r="L460" s="8">
        <v>25746</v>
      </c>
      <c r="M460" s="8" t="str">
        <f t="shared" si="61"/>
        <v>PEN</v>
      </c>
      <c r="N460" s="13"/>
      <c r="O460" s="13">
        <v>10</v>
      </c>
      <c r="P460" s="3">
        <f t="shared" si="62"/>
        <v>0</v>
      </c>
      <c r="Q460" s="3">
        <f t="shared" si="63"/>
        <v>10</v>
      </c>
      <c r="R460" s="3">
        <f>IFERROR(IF(F460="SALDO",P460,R459+P460-Q460),0)</f>
        <v>293</v>
      </c>
      <c r="S460" s="24" t="s">
        <v>1334</v>
      </c>
      <c r="T460" s="24"/>
      <c r="U460" s="3"/>
      <c r="V460" s="25" t="s">
        <v>7756</v>
      </c>
      <c r="W460" s="25">
        <v>20124952850</v>
      </c>
      <c r="X460" s="25" t="str">
        <f>IFERROR(VLOOKUP(C_Ope_001[[#This Row],[nota_2]],Clientes_Proveedores[[Ruc / Dni]:[Razon Social]],2,0),"")</f>
        <v>ALIMENTOS Y SERVICIOS AGROPECUARIOS SRL.</v>
      </c>
      <c r="Y460" s="25" t="s">
        <v>5933</v>
      </c>
      <c r="Z460" s="25"/>
      <c r="AA460" s="3" t="str">
        <f>IF(C_Ope_001[[#This Row],[fecha]]&gt;0,TEXT(C_Ope_001[[#This Row],[fecha]],"mmmm"),0)</f>
        <v>Octubre</v>
      </c>
      <c r="AB460" s="49"/>
    </row>
    <row r="461" spans="1:28" ht="24" x14ac:dyDescent="0.3">
      <c r="A461" s="2">
        <f>IF(C_Ope_001[[#This Row],[tipo_r]]="R",COUNTIFS($C$1:$C460,"R")+1,"")</f>
        <v>460</v>
      </c>
      <c r="B461" s="19" t="str">
        <f t="shared" si="60"/>
        <v>C_Ope_001</v>
      </c>
      <c r="C461" s="3" t="s">
        <v>1330</v>
      </c>
      <c r="D461" s="211">
        <v>45943</v>
      </c>
      <c r="E461" s="5" t="s">
        <v>7957</v>
      </c>
      <c r="F461" s="5" t="s">
        <v>1336</v>
      </c>
      <c r="G461" s="6" t="s">
        <v>978</v>
      </c>
      <c r="H461" s="6" t="s">
        <v>68</v>
      </c>
      <c r="I461" s="6" t="s">
        <v>5688</v>
      </c>
      <c r="J461" s="6">
        <v>2508523</v>
      </c>
      <c r="K461" s="7" t="s">
        <v>7997</v>
      </c>
      <c r="L461" s="8">
        <v>25777</v>
      </c>
      <c r="M461" s="8" t="str">
        <f t="shared" si="61"/>
        <v>PEN</v>
      </c>
      <c r="N461" s="13"/>
      <c r="O461" s="13">
        <v>8</v>
      </c>
      <c r="P461" s="3">
        <f t="shared" si="62"/>
        <v>0</v>
      </c>
      <c r="Q461" s="3">
        <f t="shared" si="63"/>
        <v>8</v>
      </c>
      <c r="R461" s="3">
        <f t="shared" si="59"/>
        <v>285</v>
      </c>
      <c r="S461" s="24" t="s">
        <v>1334</v>
      </c>
      <c r="T461" s="24"/>
      <c r="U461" s="3"/>
      <c r="V461" s="25" t="s">
        <v>7756</v>
      </c>
      <c r="W461" s="25">
        <v>20517252558</v>
      </c>
      <c r="X461" s="25" t="str">
        <f>IFERROR(VLOOKUP(C_Ope_001[[#This Row],[nota_2]],Clientes_Proveedores[[Ruc / Dni]:[Razon Social]],2,0),"")</f>
        <v>COVISUR S.A.</v>
      </c>
      <c r="Y461" s="25" t="s">
        <v>7888</v>
      </c>
      <c r="Z461" s="25"/>
      <c r="AA461" s="3" t="str">
        <f>IF(C_Ope_001[[#This Row],[fecha]]&gt;0,TEXT(C_Ope_001[[#This Row],[fecha]],"mmmm"),0)</f>
        <v>Octubre</v>
      </c>
      <c r="AB461" s="49"/>
    </row>
    <row r="462" spans="1:28" ht="24" x14ac:dyDescent="0.3">
      <c r="A462" s="2">
        <f>IF(C_Ope_001[[#This Row],[tipo_r]]="R",COUNTIFS($C$1:$C461,"R")+1,"")</f>
        <v>461</v>
      </c>
      <c r="B462" s="19" t="str">
        <f t="shared" si="60"/>
        <v>C_Ope_001</v>
      </c>
      <c r="C462" s="3" t="s">
        <v>1330</v>
      </c>
      <c r="D462" s="211">
        <v>45943</v>
      </c>
      <c r="E462" s="5" t="s">
        <v>7957</v>
      </c>
      <c r="F462" s="5" t="s">
        <v>1336</v>
      </c>
      <c r="G462" s="6" t="s">
        <v>978</v>
      </c>
      <c r="H462" s="6" t="s">
        <v>68</v>
      </c>
      <c r="I462" s="6" t="s">
        <v>5845</v>
      </c>
      <c r="J462" s="6">
        <v>1891383</v>
      </c>
      <c r="K462" s="7" t="s">
        <v>7997</v>
      </c>
      <c r="L462" s="8">
        <v>25778</v>
      </c>
      <c r="M462" s="8" t="str">
        <f t="shared" si="61"/>
        <v>PEN</v>
      </c>
      <c r="N462" s="13"/>
      <c r="O462" s="13">
        <v>8</v>
      </c>
      <c r="P462" s="3">
        <f t="shared" si="62"/>
        <v>0</v>
      </c>
      <c r="Q462" s="3">
        <f t="shared" si="63"/>
        <v>8</v>
      </c>
      <c r="R462" s="3">
        <f t="shared" si="59"/>
        <v>277</v>
      </c>
      <c r="S462" s="24" t="s">
        <v>1334</v>
      </c>
      <c r="T462" s="24"/>
      <c r="U462" s="3"/>
      <c r="V462" s="25" t="s">
        <v>7756</v>
      </c>
      <c r="W462" s="25">
        <v>20517252558</v>
      </c>
      <c r="X462" s="25" t="str">
        <f>IFERROR(VLOOKUP(C_Ope_001[[#This Row],[nota_2]],Clientes_Proveedores[[Ruc / Dni]:[Razon Social]],2,0),"")</f>
        <v>COVISUR S.A.</v>
      </c>
      <c r="Y462" s="25" t="s">
        <v>7888</v>
      </c>
      <c r="Z462" s="25"/>
      <c r="AA462" s="3" t="str">
        <f>IF(C_Ope_001[[#This Row],[fecha]]&gt;0,TEXT(C_Ope_001[[#This Row],[fecha]],"mmmm"),0)</f>
        <v>Octubre</v>
      </c>
      <c r="AB462" s="49"/>
    </row>
    <row r="463" spans="1:28" ht="36" x14ac:dyDescent="0.3">
      <c r="A463" s="2">
        <f>IF(C_Ope_001[[#This Row],[tipo_r]]="R",COUNTIFS($C$1:$C462,"R")+1,"")</f>
        <v>462</v>
      </c>
      <c r="B463" s="19" t="str">
        <f t="shared" si="60"/>
        <v>C_Ope_001</v>
      </c>
      <c r="C463" s="3" t="s">
        <v>1330</v>
      </c>
      <c r="D463" s="211">
        <v>45943</v>
      </c>
      <c r="E463" s="5" t="s">
        <v>7957</v>
      </c>
      <c r="F463" s="5" t="s">
        <v>1336</v>
      </c>
      <c r="G463" s="6" t="s">
        <v>227</v>
      </c>
      <c r="H463" s="6" t="s">
        <v>68</v>
      </c>
      <c r="I463" s="6" t="s">
        <v>1390</v>
      </c>
      <c r="J463" s="6">
        <v>138178</v>
      </c>
      <c r="K463" s="7" t="s">
        <v>7998</v>
      </c>
      <c r="L463" s="8">
        <v>25766</v>
      </c>
      <c r="M463" s="8" t="str">
        <f t="shared" si="61"/>
        <v>PEN</v>
      </c>
      <c r="N463" s="13"/>
      <c r="O463" s="13">
        <v>10</v>
      </c>
      <c r="P463" s="3">
        <f t="shared" si="62"/>
        <v>0</v>
      </c>
      <c r="Q463" s="3">
        <f t="shared" si="63"/>
        <v>10</v>
      </c>
      <c r="R463" s="3">
        <f t="shared" si="59"/>
        <v>267</v>
      </c>
      <c r="S463" s="24" t="s">
        <v>1334</v>
      </c>
      <c r="T463" s="24"/>
      <c r="U463" s="3"/>
      <c r="V463" s="25" t="s">
        <v>7756</v>
      </c>
      <c r="W463" s="25">
        <v>20124952850</v>
      </c>
      <c r="X463" s="25" t="str">
        <f>IFERROR(VLOOKUP(C_Ope_001[[#This Row],[nota_2]],Clientes_Proveedores[[Ruc / Dni]:[Razon Social]],2,0),"")</f>
        <v>ALIMENTOS Y SERVICIOS AGROPECUARIOS SRL.</v>
      </c>
      <c r="Y463" s="25" t="s">
        <v>5933</v>
      </c>
      <c r="Z463" s="25"/>
      <c r="AA463" s="3" t="str">
        <f>IF(C_Ope_001[[#This Row],[fecha]]&gt;0,TEXT(C_Ope_001[[#This Row],[fecha]],"mmmm"),0)</f>
        <v>Octubre</v>
      </c>
      <c r="AB463" s="49"/>
    </row>
    <row r="464" spans="1:28" ht="24" x14ac:dyDescent="0.3">
      <c r="A464" s="2">
        <f>IF(C_Ope_001[[#This Row],[tipo_r]]="R",COUNTIFS($C$1:$C463,"R")+1,"")</f>
        <v>463</v>
      </c>
      <c r="B464" s="19" t="str">
        <f>"C_Ope_001"</f>
        <v>C_Ope_001</v>
      </c>
      <c r="C464" s="3" t="s">
        <v>1330</v>
      </c>
      <c r="D464" s="211">
        <v>45944</v>
      </c>
      <c r="E464" s="5" t="s">
        <v>3634</v>
      </c>
      <c r="F464" s="5" t="s">
        <v>1303</v>
      </c>
      <c r="G464" s="6" t="s">
        <v>1134</v>
      </c>
      <c r="H464" s="6"/>
      <c r="I464" s="6"/>
      <c r="J464" s="6"/>
      <c r="K464" s="7" t="s">
        <v>7516</v>
      </c>
      <c r="L464" s="8">
        <v>25784</v>
      </c>
      <c r="M464" s="8" t="str">
        <f>"PEN"</f>
        <v>PEN</v>
      </c>
      <c r="N464" s="13"/>
      <c r="O464" s="13">
        <v>120</v>
      </c>
      <c r="P464" s="3">
        <f>+IF(OR($F464="SALDO",$F464="INGRESO"),$O464,0)</f>
        <v>120</v>
      </c>
      <c r="Q464" s="3">
        <f>+IF($F464="EGRESO",$O464,0)</f>
        <v>0</v>
      </c>
      <c r="R464" s="3">
        <f t="shared" si="59"/>
        <v>387</v>
      </c>
      <c r="S464" s="24"/>
      <c r="T464" s="24"/>
      <c r="U464" s="3"/>
      <c r="V464" s="25"/>
      <c r="W464" s="25"/>
      <c r="X464" s="25" t="str">
        <f>IFERROR(VLOOKUP(C_Ope_001[[#This Row],[nota_2]],Clientes_Proveedores[[Ruc / Dni]:[Razon Social]],2,0),"")</f>
        <v/>
      </c>
      <c r="Y464" s="25"/>
      <c r="Z464" s="25"/>
      <c r="AA464" s="3" t="str">
        <f>IF(C_Ope_001[[#This Row],[fecha]]&gt;0,TEXT(C_Ope_001[[#This Row],[fecha]],"mmmm"),0)</f>
        <v>Octubre</v>
      </c>
      <c r="AB464" s="49"/>
    </row>
    <row r="465" spans="1:28" ht="24" x14ac:dyDescent="0.3">
      <c r="A465" s="2">
        <f>IF(C_Ope_001[[#This Row],[tipo_r]]="R",COUNTIFS($C$1:$C464,"R")+1,"")</f>
        <v>464</v>
      </c>
      <c r="B465" s="19" t="str">
        <f t="shared" si="60"/>
        <v>C_Ope_001</v>
      </c>
      <c r="C465" s="3" t="s">
        <v>1330</v>
      </c>
      <c r="D465" s="211">
        <v>45944</v>
      </c>
      <c r="E465" s="5" t="s">
        <v>7957</v>
      </c>
      <c r="F465" s="5" t="s">
        <v>1336</v>
      </c>
      <c r="G465" s="6" t="s">
        <v>978</v>
      </c>
      <c r="H465" s="6" t="s">
        <v>68</v>
      </c>
      <c r="I465" s="6" t="s">
        <v>5688</v>
      </c>
      <c r="J465" s="6">
        <v>2510230</v>
      </c>
      <c r="K465" s="7" t="s">
        <v>7999</v>
      </c>
      <c r="L465" s="8">
        <v>25783</v>
      </c>
      <c r="M465" s="8" t="str">
        <f t="shared" si="61"/>
        <v>PEN</v>
      </c>
      <c r="N465" s="13"/>
      <c r="O465" s="13">
        <v>8</v>
      </c>
      <c r="P465" s="3">
        <f t="shared" si="62"/>
        <v>0</v>
      </c>
      <c r="Q465" s="3">
        <f t="shared" si="63"/>
        <v>8</v>
      </c>
      <c r="R465" s="3">
        <f t="shared" si="59"/>
        <v>379</v>
      </c>
      <c r="S465" s="24" t="s">
        <v>1334</v>
      </c>
      <c r="T465" s="24"/>
      <c r="U465" s="3"/>
      <c r="V465" s="25" t="s">
        <v>7756</v>
      </c>
      <c r="W465" s="25">
        <v>20517252558</v>
      </c>
      <c r="X465" s="25" t="str">
        <f>IFERROR(VLOOKUP(C_Ope_001[[#This Row],[nota_2]],Clientes_Proveedores[[Ruc / Dni]:[Razon Social]],2,0),"")</f>
        <v>COVISUR S.A.</v>
      </c>
      <c r="Y465" s="25" t="s">
        <v>7888</v>
      </c>
      <c r="Z465" s="25"/>
      <c r="AA465" s="3" t="str">
        <f>IF(C_Ope_001[[#This Row],[fecha]]&gt;0,TEXT(C_Ope_001[[#This Row],[fecha]],"mmmm"),0)</f>
        <v>Octubre</v>
      </c>
      <c r="AB465" s="49"/>
    </row>
    <row r="466" spans="1:28" ht="24" x14ac:dyDescent="0.3">
      <c r="A466" s="2">
        <f>IF(C_Ope_001[[#This Row],[tipo_r]]="R",COUNTIFS($C$1:$C465,"R")+1,"")</f>
        <v>465</v>
      </c>
      <c r="B466" s="19" t="str">
        <f t="shared" si="60"/>
        <v>C_Ope_001</v>
      </c>
      <c r="C466" s="3" t="s">
        <v>1330</v>
      </c>
      <c r="D466" s="211">
        <v>45944</v>
      </c>
      <c r="E466" s="5" t="s">
        <v>7957</v>
      </c>
      <c r="F466" s="5" t="s">
        <v>1336</v>
      </c>
      <c r="G466" s="6" t="s">
        <v>978</v>
      </c>
      <c r="H466" s="6" t="s">
        <v>68</v>
      </c>
      <c r="I466" s="6" t="s">
        <v>6203</v>
      </c>
      <c r="J466" s="6">
        <v>2212477</v>
      </c>
      <c r="K466" s="7" t="s">
        <v>8000</v>
      </c>
      <c r="L466" s="8">
        <v>25785</v>
      </c>
      <c r="M466" s="8" t="str">
        <f t="shared" si="61"/>
        <v>PEN</v>
      </c>
      <c r="N466" s="13"/>
      <c r="O466" s="13">
        <v>8</v>
      </c>
      <c r="P466" s="3">
        <f t="shared" si="62"/>
        <v>0</v>
      </c>
      <c r="Q466" s="3">
        <f t="shared" si="63"/>
        <v>8</v>
      </c>
      <c r="R466" s="3">
        <f t="shared" si="59"/>
        <v>371</v>
      </c>
      <c r="S466" s="24" t="s">
        <v>1334</v>
      </c>
      <c r="T466" s="24"/>
      <c r="U466" s="3"/>
      <c r="V466" s="25" t="s">
        <v>7756</v>
      </c>
      <c r="W466" s="25">
        <v>20517252558</v>
      </c>
      <c r="X466" s="25" t="str">
        <f>IFERROR(VLOOKUP(C_Ope_001[[#This Row],[nota_2]],Clientes_Proveedores[[Ruc / Dni]:[Razon Social]],2,0),"")</f>
        <v>COVISUR S.A.</v>
      </c>
      <c r="Y466" s="25" t="s">
        <v>7888</v>
      </c>
      <c r="Z466" s="25"/>
      <c r="AA466" s="3" t="str">
        <f>IF(C_Ope_001[[#This Row],[fecha]]&gt;0,TEXT(C_Ope_001[[#This Row],[fecha]],"mmmm"),0)</f>
        <v>Octubre</v>
      </c>
      <c r="AB466" s="49"/>
    </row>
    <row r="467" spans="1:28" ht="36" x14ac:dyDescent="0.3">
      <c r="A467" s="2">
        <f>IF(C_Ope_001[[#This Row],[tipo_r]]="R",COUNTIFS($C$1:$C466,"R")+1,"")</f>
        <v>466</v>
      </c>
      <c r="B467" s="19" t="str">
        <f t="shared" si="60"/>
        <v>C_Ope_001</v>
      </c>
      <c r="C467" s="3" t="s">
        <v>1330</v>
      </c>
      <c r="D467" s="211">
        <v>45944</v>
      </c>
      <c r="E467" s="5" t="s">
        <v>7957</v>
      </c>
      <c r="F467" s="5" t="s">
        <v>1336</v>
      </c>
      <c r="G467" s="6" t="s">
        <v>227</v>
      </c>
      <c r="H467" s="6" t="s">
        <v>68</v>
      </c>
      <c r="I467" s="6" t="s">
        <v>1374</v>
      </c>
      <c r="J467" s="6">
        <v>20306</v>
      </c>
      <c r="K467" s="7" t="s">
        <v>7937</v>
      </c>
      <c r="L467" s="8">
        <v>25788</v>
      </c>
      <c r="M467" s="8" t="str">
        <f t="shared" si="61"/>
        <v>PEN</v>
      </c>
      <c r="N467" s="13"/>
      <c r="O467" s="13">
        <v>25</v>
      </c>
      <c r="P467" s="3">
        <f t="shared" si="62"/>
        <v>0</v>
      </c>
      <c r="Q467" s="3">
        <f t="shared" si="63"/>
        <v>25</v>
      </c>
      <c r="R467" s="3">
        <f t="shared" si="59"/>
        <v>346</v>
      </c>
      <c r="S467" s="24" t="s">
        <v>1334</v>
      </c>
      <c r="T467" s="24"/>
      <c r="U467" s="3"/>
      <c r="V467" s="25" t="s">
        <v>7756</v>
      </c>
      <c r="W467" s="25">
        <v>20124952850</v>
      </c>
      <c r="X467" s="25" t="str">
        <f>IFERROR(VLOOKUP(C_Ope_001[[#This Row],[nota_2]],Clientes_Proveedores[[Ruc / Dni]:[Razon Social]],2,0),"")</f>
        <v>ALIMENTOS Y SERVICIOS AGROPECUARIOS SRL.</v>
      </c>
      <c r="Y467" s="25" t="s">
        <v>7938</v>
      </c>
      <c r="Z467" s="25"/>
      <c r="AA467" s="3" t="str">
        <f>IF(C_Ope_001[[#This Row],[fecha]]&gt;0,TEXT(C_Ope_001[[#This Row],[fecha]],"mmmm"),0)</f>
        <v>Octubre</v>
      </c>
      <c r="AB467" s="49"/>
    </row>
    <row r="468" spans="1:28" ht="24" x14ac:dyDescent="0.3">
      <c r="A468" s="2">
        <f>IF(C_Ope_001[[#This Row],[tipo_r]]="R",COUNTIFS($C$1:$C467,"R")+1,"")</f>
        <v>467</v>
      </c>
      <c r="B468" s="19" t="str">
        <f t="shared" si="60"/>
        <v>C_Ope_001</v>
      </c>
      <c r="C468" s="3" t="s">
        <v>1330</v>
      </c>
      <c r="D468" s="211">
        <v>45945</v>
      </c>
      <c r="E468" s="5" t="s">
        <v>7957</v>
      </c>
      <c r="F468" s="5" t="s">
        <v>1336</v>
      </c>
      <c r="G468" s="6" t="s">
        <v>978</v>
      </c>
      <c r="H468" s="6" t="s">
        <v>68</v>
      </c>
      <c r="I468" s="6" t="s">
        <v>6204</v>
      </c>
      <c r="J468" s="6">
        <v>1870918</v>
      </c>
      <c r="K468" s="7" t="s">
        <v>7993</v>
      </c>
      <c r="L468" s="8">
        <v>25793</v>
      </c>
      <c r="M468" s="8" t="str">
        <f t="shared" si="61"/>
        <v>PEN</v>
      </c>
      <c r="N468" s="13"/>
      <c r="O468" s="13">
        <v>8</v>
      </c>
      <c r="P468" s="3">
        <f t="shared" si="62"/>
        <v>0</v>
      </c>
      <c r="Q468" s="3">
        <f t="shared" si="63"/>
        <v>8</v>
      </c>
      <c r="R468" s="3">
        <f t="shared" si="59"/>
        <v>338</v>
      </c>
      <c r="S468" s="24" t="s">
        <v>1334</v>
      </c>
      <c r="T468" s="24"/>
      <c r="U468" s="3"/>
      <c r="V468" s="25" t="s">
        <v>7756</v>
      </c>
      <c r="W468" s="25">
        <v>20517252558</v>
      </c>
      <c r="X468" s="25" t="str">
        <f>IFERROR(VLOOKUP(C_Ope_001[[#This Row],[nota_2]],Clientes_Proveedores[[Ruc / Dni]:[Razon Social]],2,0),"")</f>
        <v>COVISUR S.A.</v>
      </c>
      <c r="Y468" s="25" t="s">
        <v>7888</v>
      </c>
      <c r="Z468" s="25"/>
      <c r="AA468" s="3" t="str">
        <f>IF(C_Ope_001[[#This Row],[fecha]]&gt;0,TEXT(C_Ope_001[[#This Row],[fecha]],"mmmm"),0)</f>
        <v>Octubre</v>
      </c>
      <c r="AB468" s="49"/>
    </row>
    <row r="469" spans="1:28" ht="24" x14ac:dyDescent="0.3">
      <c r="A469" s="2">
        <f>IF(C_Ope_001[[#This Row],[tipo_r]]="R",COUNTIFS($C$1:$C468,"R")+1,"")</f>
        <v>468</v>
      </c>
      <c r="B469" s="19" t="str">
        <f t="shared" si="60"/>
        <v>C_Ope_001</v>
      </c>
      <c r="C469" s="3" t="s">
        <v>1330</v>
      </c>
      <c r="D469" s="211">
        <v>45945</v>
      </c>
      <c r="E469" s="5" t="s">
        <v>7957</v>
      </c>
      <c r="F469" s="5" t="s">
        <v>1336</v>
      </c>
      <c r="G469" s="6" t="s">
        <v>978</v>
      </c>
      <c r="H469" s="6" t="s">
        <v>68</v>
      </c>
      <c r="I469" s="6" t="s">
        <v>6203</v>
      </c>
      <c r="J469" s="6">
        <v>2213513</v>
      </c>
      <c r="K469" s="7" t="s">
        <v>8001</v>
      </c>
      <c r="L469" s="8">
        <v>25794</v>
      </c>
      <c r="M469" s="8" t="str">
        <f t="shared" si="61"/>
        <v>PEN</v>
      </c>
      <c r="N469" s="13"/>
      <c r="O469" s="13">
        <v>8</v>
      </c>
      <c r="P469" s="3">
        <f t="shared" si="62"/>
        <v>0</v>
      </c>
      <c r="Q469" s="3">
        <f t="shared" si="63"/>
        <v>8</v>
      </c>
      <c r="R469" s="3">
        <f t="shared" si="59"/>
        <v>330</v>
      </c>
      <c r="S469" s="24" t="s">
        <v>1334</v>
      </c>
      <c r="T469" s="24"/>
      <c r="U469" s="3"/>
      <c r="V469" s="25" t="s">
        <v>7761</v>
      </c>
      <c r="W469" s="25">
        <v>20517252558</v>
      </c>
      <c r="X469" s="25" t="str">
        <f>IFERROR(VLOOKUP(C_Ope_001[[#This Row],[nota_2]],Clientes_Proveedores[[Ruc / Dni]:[Razon Social]],2,0),"")</f>
        <v>COVISUR S.A.</v>
      </c>
      <c r="Y469" s="25" t="s">
        <v>7888</v>
      </c>
      <c r="Z469" s="25"/>
      <c r="AA469" s="3" t="str">
        <f>IF(C_Ope_001[[#This Row],[fecha]]&gt;0,TEXT(C_Ope_001[[#This Row],[fecha]],"mmmm"),0)</f>
        <v>Octubre</v>
      </c>
      <c r="AB469" s="49"/>
    </row>
    <row r="470" spans="1:28" ht="36" x14ac:dyDescent="0.3">
      <c r="A470" s="2">
        <f>IF(C_Ope_001[[#This Row],[tipo_r]]="R",COUNTIFS($C$1:$C469,"R")+1,"")</f>
        <v>469</v>
      </c>
      <c r="B470" s="19" t="str">
        <f t="shared" si="60"/>
        <v>C_Ope_001</v>
      </c>
      <c r="C470" s="3" t="s">
        <v>1330</v>
      </c>
      <c r="D470" s="211">
        <v>45945</v>
      </c>
      <c r="E470" s="5" t="s">
        <v>7957</v>
      </c>
      <c r="F470" s="5" t="s">
        <v>1336</v>
      </c>
      <c r="G470" s="6" t="s">
        <v>227</v>
      </c>
      <c r="H470" s="6" t="s">
        <v>68</v>
      </c>
      <c r="I470" s="6" t="s">
        <v>1390</v>
      </c>
      <c r="J470" s="6">
        <v>138267</v>
      </c>
      <c r="K470" s="7" t="s">
        <v>8002</v>
      </c>
      <c r="L470" s="8">
        <v>25792</v>
      </c>
      <c r="M470" s="8" t="str">
        <f t="shared" si="61"/>
        <v>PEN</v>
      </c>
      <c r="N470" s="13"/>
      <c r="O470" s="13">
        <v>10</v>
      </c>
      <c r="P470" s="3">
        <f t="shared" si="62"/>
        <v>0</v>
      </c>
      <c r="Q470" s="3">
        <f t="shared" si="63"/>
        <v>10</v>
      </c>
      <c r="R470" s="3">
        <f t="shared" si="59"/>
        <v>320</v>
      </c>
      <c r="S470" s="24" t="s">
        <v>1334</v>
      </c>
      <c r="T470" s="24"/>
      <c r="U470" s="3"/>
      <c r="V470" s="25" t="s">
        <v>7756</v>
      </c>
      <c r="W470" s="25">
        <v>20124952850</v>
      </c>
      <c r="X470" s="25" t="str">
        <f>IFERROR(VLOOKUP(C_Ope_001[[#This Row],[nota_2]],Clientes_Proveedores[[Ruc / Dni]:[Razon Social]],2,0),"")</f>
        <v>ALIMENTOS Y SERVICIOS AGROPECUARIOS SRL.</v>
      </c>
      <c r="Y470" s="25" t="s">
        <v>5933</v>
      </c>
      <c r="Z470" s="25"/>
      <c r="AA470" s="3" t="str">
        <f>IF(C_Ope_001[[#This Row],[fecha]]&gt;0,TEXT(C_Ope_001[[#This Row],[fecha]],"mmmm"),0)</f>
        <v>Octubre</v>
      </c>
      <c r="AB470" s="49"/>
    </row>
    <row r="471" spans="1:28" ht="36" x14ac:dyDescent="0.3">
      <c r="A471" s="2">
        <f>IF(C_Ope_001[[#This Row],[tipo_r]]="R",COUNTIFS($C$1:$C470,"R")+1,"")</f>
        <v>470</v>
      </c>
      <c r="B471" s="19" t="str">
        <f t="shared" si="60"/>
        <v>C_Ope_001</v>
      </c>
      <c r="C471" s="3" t="s">
        <v>1330</v>
      </c>
      <c r="D471" s="211">
        <v>45946</v>
      </c>
      <c r="E471" s="5" t="s">
        <v>7957</v>
      </c>
      <c r="F471" s="5" t="s">
        <v>1336</v>
      </c>
      <c r="G471" s="6" t="s">
        <v>227</v>
      </c>
      <c r="H471" s="6" t="s">
        <v>68</v>
      </c>
      <c r="I471" s="6" t="s">
        <v>1390</v>
      </c>
      <c r="J471" s="6">
        <v>138348</v>
      </c>
      <c r="K471" s="7" t="s">
        <v>8003</v>
      </c>
      <c r="L471" s="8">
        <v>25808</v>
      </c>
      <c r="M471" s="8" t="str">
        <f t="shared" si="61"/>
        <v>PEN</v>
      </c>
      <c r="N471" s="13"/>
      <c r="O471" s="13">
        <v>10</v>
      </c>
      <c r="P471" s="3">
        <f t="shared" si="62"/>
        <v>0</v>
      </c>
      <c r="Q471" s="3">
        <f t="shared" si="63"/>
        <v>10</v>
      </c>
      <c r="R471" s="3">
        <f t="shared" si="59"/>
        <v>310</v>
      </c>
      <c r="S471" s="24" t="s">
        <v>1334</v>
      </c>
      <c r="T471" s="24"/>
      <c r="U471" s="3"/>
      <c r="V471" s="25" t="s">
        <v>7761</v>
      </c>
      <c r="W471" s="25">
        <v>20124952850</v>
      </c>
      <c r="X471" s="25" t="str">
        <f>IFERROR(VLOOKUP(C_Ope_001[[#This Row],[nota_2]],Clientes_Proveedores[[Ruc / Dni]:[Razon Social]],2,0),"")</f>
        <v>ALIMENTOS Y SERVICIOS AGROPECUARIOS SRL.</v>
      </c>
      <c r="Y471" s="25" t="s">
        <v>5933</v>
      </c>
      <c r="Z471" s="25"/>
      <c r="AA471" s="3" t="str">
        <f>IF(C_Ope_001[[#This Row],[fecha]]&gt;0,TEXT(C_Ope_001[[#This Row],[fecha]],"mmmm"),0)</f>
        <v>Octubre</v>
      </c>
      <c r="AB471" s="49"/>
    </row>
    <row r="472" spans="1:28" ht="24" x14ac:dyDescent="0.3">
      <c r="A472" s="2">
        <f>IF(C_Ope_001[[#This Row],[tipo_r]]="R",COUNTIFS($C$1:$C471,"R")+1,"")</f>
        <v>471</v>
      </c>
      <c r="B472" s="19" t="str">
        <f t="shared" si="60"/>
        <v>C_Ope_001</v>
      </c>
      <c r="C472" s="3" t="s">
        <v>1330</v>
      </c>
      <c r="D472" s="211">
        <v>45947</v>
      </c>
      <c r="E472" s="5" t="s">
        <v>7957</v>
      </c>
      <c r="F472" s="5" t="s">
        <v>1336</v>
      </c>
      <c r="G472" s="6" t="s">
        <v>978</v>
      </c>
      <c r="H472" s="6" t="s">
        <v>68</v>
      </c>
      <c r="I472" s="6" t="s">
        <v>5688</v>
      </c>
      <c r="J472" s="6">
        <v>2514192</v>
      </c>
      <c r="K472" s="7" t="s">
        <v>7993</v>
      </c>
      <c r="L472" s="8">
        <v>25819</v>
      </c>
      <c r="M472" s="8" t="str">
        <f t="shared" si="61"/>
        <v>PEN</v>
      </c>
      <c r="N472" s="13"/>
      <c r="O472" s="13">
        <v>8</v>
      </c>
      <c r="P472" s="3">
        <f t="shared" si="62"/>
        <v>0</v>
      </c>
      <c r="Q472" s="3">
        <f t="shared" si="63"/>
        <v>8</v>
      </c>
      <c r="R472" s="3">
        <f t="shared" si="59"/>
        <v>302</v>
      </c>
      <c r="S472" s="24" t="s">
        <v>1334</v>
      </c>
      <c r="T472" s="24"/>
      <c r="U472" s="3"/>
      <c r="V472" s="25" t="s">
        <v>7756</v>
      </c>
      <c r="W472" s="25">
        <v>20517252558</v>
      </c>
      <c r="X472" s="25" t="str">
        <f>IFERROR(VLOOKUP(C_Ope_001[[#This Row],[nota_2]],Clientes_Proveedores[[Ruc / Dni]:[Razon Social]],2,0),"")</f>
        <v>COVISUR S.A.</v>
      </c>
      <c r="Y472" s="25" t="s">
        <v>7888</v>
      </c>
      <c r="Z472" s="25"/>
      <c r="AA472" s="3" t="str">
        <f>IF(C_Ope_001[[#This Row],[fecha]]&gt;0,TEXT(C_Ope_001[[#This Row],[fecha]],"mmmm"),0)</f>
        <v>Octubre</v>
      </c>
      <c r="AB472" s="49"/>
    </row>
    <row r="473" spans="1:28" ht="24" x14ac:dyDescent="0.3">
      <c r="A473" s="2">
        <f>IF(C_Ope_001[[#This Row],[tipo_r]]="R",COUNTIFS($C$1:$C472,"R")+1,"")</f>
        <v>472</v>
      </c>
      <c r="B473" s="19" t="str">
        <f t="shared" si="60"/>
        <v>C_Ope_001</v>
      </c>
      <c r="C473" s="3" t="s">
        <v>1330</v>
      </c>
      <c r="D473" s="211">
        <v>45947</v>
      </c>
      <c r="E473" s="5" t="s">
        <v>7957</v>
      </c>
      <c r="F473" s="5" t="s">
        <v>1336</v>
      </c>
      <c r="G473" s="6" t="s">
        <v>978</v>
      </c>
      <c r="H473" s="6" t="s">
        <v>68</v>
      </c>
      <c r="I473" s="6" t="s">
        <v>5845</v>
      </c>
      <c r="J473" s="6">
        <v>1895854</v>
      </c>
      <c r="K473" s="7" t="s">
        <v>7993</v>
      </c>
      <c r="L473" s="8">
        <v>25824</v>
      </c>
      <c r="M473" s="8" t="str">
        <f t="shared" si="61"/>
        <v>PEN</v>
      </c>
      <c r="N473" s="13"/>
      <c r="O473" s="13">
        <v>8</v>
      </c>
      <c r="P473" s="3">
        <f t="shared" si="62"/>
        <v>0</v>
      </c>
      <c r="Q473" s="3">
        <f t="shared" si="63"/>
        <v>8</v>
      </c>
      <c r="R473" s="3">
        <f t="shared" si="59"/>
        <v>294</v>
      </c>
      <c r="S473" s="24" t="s">
        <v>1334</v>
      </c>
      <c r="T473" s="24"/>
      <c r="U473" s="3"/>
      <c r="V473" s="25" t="s">
        <v>7756</v>
      </c>
      <c r="W473" s="25">
        <v>20517252558</v>
      </c>
      <c r="X473" s="25" t="str">
        <f>IFERROR(VLOOKUP(C_Ope_001[[#This Row],[nota_2]],Clientes_Proveedores[[Ruc / Dni]:[Razon Social]],2,0),"")</f>
        <v>COVISUR S.A.</v>
      </c>
      <c r="Y473" s="25" t="s">
        <v>7888</v>
      </c>
      <c r="Z473" s="25"/>
      <c r="AA473" s="3" t="str">
        <f>IF(C_Ope_001[[#This Row],[fecha]]&gt;0,TEXT(C_Ope_001[[#This Row],[fecha]],"mmmm"),0)</f>
        <v>Octubre</v>
      </c>
      <c r="AB473" s="49"/>
    </row>
    <row r="474" spans="1:28" ht="36" x14ac:dyDescent="0.3">
      <c r="A474" s="2">
        <f>IF(C_Ope_001[[#This Row],[tipo_r]]="R",COUNTIFS($C$1:$C473,"R")+1,"")</f>
        <v>473</v>
      </c>
      <c r="B474" s="19" t="str">
        <f t="shared" si="60"/>
        <v>C_Ope_001</v>
      </c>
      <c r="C474" s="3" t="s">
        <v>1330</v>
      </c>
      <c r="D474" s="211">
        <v>45947</v>
      </c>
      <c r="E474" s="5" t="s">
        <v>7957</v>
      </c>
      <c r="F474" s="5" t="s">
        <v>1336</v>
      </c>
      <c r="G474" s="6" t="s">
        <v>227</v>
      </c>
      <c r="H474" s="6" t="s">
        <v>68</v>
      </c>
      <c r="I474" s="6" t="s">
        <v>1390</v>
      </c>
      <c r="J474" s="6">
        <v>138365</v>
      </c>
      <c r="K474" s="7" t="s">
        <v>7998</v>
      </c>
      <c r="L474" s="8">
        <v>25818</v>
      </c>
      <c r="M474" s="8" t="str">
        <f t="shared" si="61"/>
        <v>PEN</v>
      </c>
      <c r="N474" s="13"/>
      <c r="O474" s="13">
        <v>10</v>
      </c>
      <c r="P474" s="3">
        <f t="shared" si="62"/>
        <v>0</v>
      </c>
      <c r="Q474" s="3">
        <f t="shared" si="63"/>
        <v>10</v>
      </c>
      <c r="R474" s="3">
        <f t="shared" si="59"/>
        <v>284</v>
      </c>
      <c r="S474" s="24" t="s">
        <v>1334</v>
      </c>
      <c r="T474" s="24"/>
      <c r="U474" s="3"/>
      <c r="V474" s="25" t="s">
        <v>7756</v>
      </c>
      <c r="W474" s="25">
        <v>20124952850</v>
      </c>
      <c r="X474" s="25" t="str">
        <f>IFERROR(VLOOKUP(C_Ope_001[[#This Row],[nota_2]],Clientes_Proveedores[[Ruc / Dni]:[Razon Social]],2,0),"")</f>
        <v>ALIMENTOS Y SERVICIOS AGROPECUARIOS SRL.</v>
      </c>
      <c r="Y474" s="25" t="s">
        <v>5933</v>
      </c>
      <c r="Z474" s="25"/>
      <c r="AA474" s="3" t="str">
        <f>IF(C_Ope_001[[#This Row],[fecha]]&gt;0,TEXT(C_Ope_001[[#This Row],[fecha]],"mmmm"),0)</f>
        <v>Octubre</v>
      </c>
      <c r="AB474" s="49"/>
    </row>
    <row r="475" spans="1:28" ht="24" x14ac:dyDescent="0.3">
      <c r="A475" s="2">
        <f>IF(C_Ope_001[[#This Row],[tipo_r]]="R",COUNTIFS($C$1:$C474,"R")+1,"")</f>
        <v>474</v>
      </c>
      <c r="B475" s="19" t="str">
        <f t="shared" si="60"/>
        <v>C_Ope_001</v>
      </c>
      <c r="C475" s="3" t="s">
        <v>1330</v>
      </c>
      <c r="D475" s="211">
        <v>45954</v>
      </c>
      <c r="E475" s="5" t="s">
        <v>7957</v>
      </c>
      <c r="F475" s="5" t="s">
        <v>1336</v>
      </c>
      <c r="G475" s="6" t="s">
        <v>978</v>
      </c>
      <c r="H475" s="6" t="s">
        <v>68</v>
      </c>
      <c r="I475" s="6" t="s">
        <v>6204</v>
      </c>
      <c r="J475" s="6">
        <v>1879871</v>
      </c>
      <c r="K475" s="7" t="s">
        <v>7993</v>
      </c>
      <c r="L475" s="8">
        <v>25884</v>
      </c>
      <c r="M475" s="8" t="str">
        <f t="shared" si="61"/>
        <v>PEN</v>
      </c>
      <c r="N475" s="13"/>
      <c r="O475" s="13">
        <v>8</v>
      </c>
      <c r="P475" s="3">
        <f t="shared" si="62"/>
        <v>0</v>
      </c>
      <c r="Q475" s="3">
        <f t="shared" si="63"/>
        <v>8</v>
      </c>
      <c r="R475" s="3">
        <f t="shared" si="59"/>
        <v>276</v>
      </c>
      <c r="S475" s="24" t="s">
        <v>1334</v>
      </c>
      <c r="T475" s="24"/>
      <c r="U475" s="3"/>
      <c r="V475" s="25" t="s">
        <v>7756</v>
      </c>
      <c r="W475" s="25">
        <v>20517252558</v>
      </c>
      <c r="X475" s="25" t="str">
        <f>IFERROR(VLOOKUP(C_Ope_001[[#This Row],[nota_2]],Clientes_Proveedores[[Ruc / Dni]:[Razon Social]],2,0),"")</f>
        <v>COVISUR S.A.</v>
      </c>
      <c r="Y475" s="25" t="s">
        <v>7888</v>
      </c>
      <c r="Z475" s="25"/>
      <c r="AA475" s="3" t="str">
        <f>IF(C_Ope_001[[#This Row],[fecha]]&gt;0,TEXT(C_Ope_001[[#This Row],[fecha]],"mmmm"),0)</f>
        <v>Octubre</v>
      </c>
      <c r="AB475" s="49"/>
    </row>
    <row r="476" spans="1:28" x14ac:dyDescent="0.3">
      <c r="A476" s="2">
        <f>IF(C_Ope_001[[#This Row],[tipo_r]]="R",COUNTIFS($C$1:$C475,"R")+1,"")</f>
        <v>475</v>
      </c>
      <c r="B476" s="19" t="str">
        <f t="shared" si="60"/>
        <v>C_Ope_001</v>
      </c>
      <c r="C476" s="3" t="s">
        <v>1330</v>
      </c>
      <c r="D476" s="211">
        <v>45954</v>
      </c>
      <c r="E476" s="5" t="s">
        <v>7957</v>
      </c>
      <c r="F476" s="5" t="s">
        <v>1336</v>
      </c>
      <c r="G476" s="6" t="s">
        <v>978</v>
      </c>
      <c r="H476" s="6" t="s">
        <v>68</v>
      </c>
      <c r="I476" s="6" t="s">
        <v>5845</v>
      </c>
      <c r="J476" s="6">
        <v>1902747</v>
      </c>
      <c r="K476" s="7" t="s">
        <v>8004</v>
      </c>
      <c r="L476" s="8">
        <v>25911</v>
      </c>
      <c r="M476" s="8" t="str">
        <f t="shared" si="61"/>
        <v>PEN</v>
      </c>
      <c r="N476" s="13"/>
      <c r="O476" s="13">
        <v>8</v>
      </c>
      <c r="P476" s="3">
        <f t="shared" si="62"/>
        <v>0</v>
      </c>
      <c r="Q476" s="3">
        <f t="shared" si="63"/>
        <v>8</v>
      </c>
      <c r="R476" s="3">
        <f t="shared" si="59"/>
        <v>268</v>
      </c>
      <c r="S476" s="24" t="s">
        <v>1334</v>
      </c>
      <c r="T476" s="24"/>
      <c r="U476" s="3"/>
      <c r="V476" s="25" t="s">
        <v>7756</v>
      </c>
      <c r="W476" s="25">
        <v>20517252558</v>
      </c>
      <c r="X476" s="25" t="str">
        <f>IFERROR(VLOOKUP(C_Ope_001[[#This Row],[nota_2]],Clientes_Proveedores[[Ruc / Dni]:[Razon Social]],2,0),"")</f>
        <v>COVISUR S.A.</v>
      </c>
      <c r="Y476" s="25" t="s">
        <v>7888</v>
      </c>
      <c r="Z476" s="25"/>
      <c r="AA476" s="3" t="str">
        <f>IF(C_Ope_001[[#This Row],[fecha]]&gt;0,TEXT(C_Ope_001[[#This Row],[fecha]],"mmmm"),0)</f>
        <v>Octubre</v>
      </c>
      <c r="AB476" s="49"/>
    </row>
    <row r="477" spans="1:28" ht="36" x14ac:dyDescent="0.3">
      <c r="A477" s="2">
        <f>IF(C_Ope_001[[#This Row],[tipo_r]]="R",COUNTIFS($C$1:$C476,"R")+1,"")</f>
        <v>476</v>
      </c>
      <c r="B477" s="19" t="str">
        <f t="shared" si="60"/>
        <v>C_Ope_001</v>
      </c>
      <c r="C477" s="3" t="s">
        <v>1330</v>
      </c>
      <c r="D477" s="211">
        <v>45954</v>
      </c>
      <c r="E477" s="5" t="s">
        <v>7957</v>
      </c>
      <c r="F477" s="5" t="s">
        <v>1336</v>
      </c>
      <c r="G477" s="6" t="s">
        <v>227</v>
      </c>
      <c r="H477" s="6" t="s">
        <v>68</v>
      </c>
      <c r="I477" s="6" t="s">
        <v>1390</v>
      </c>
      <c r="J477" s="6">
        <v>138655</v>
      </c>
      <c r="K477" s="7" t="s">
        <v>7998</v>
      </c>
      <c r="L477" s="8">
        <v>25880</v>
      </c>
      <c r="M477" s="8" t="str">
        <f t="shared" si="61"/>
        <v>PEN</v>
      </c>
      <c r="N477" s="13"/>
      <c r="O477" s="13">
        <v>10</v>
      </c>
      <c r="P477" s="3">
        <f t="shared" si="62"/>
        <v>0</v>
      </c>
      <c r="Q477" s="3">
        <f t="shared" si="63"/>
        <v>10</v>
      </c>
      <c r="R477" s="3">
        <f t="shared" si="59"/>
        <v>258</v>
      </c>
      <c r="S477" s="24" t="s">
        <v>1334</v>
      </c>
      <c r="T477" s="24"/>
      <c r="U477" s="3"/>
      <c r="V477" s="25" t="s">
        <v>7756</v>
      </c>
      <c r="W477" s="25">
        <v>20124952850</v>
      </c>
      <c r="X477" s="25" t="str">
        <f>IFERROR(VLOOKUP(C_Ope_001[[#This Row],[nota_2]],Clientes_Proveedores[[Ruc / Dni]:[Razon Social]],2,0),"")</f>
        <v>ALIMENTOS Y SERVICIOS AGROPECUARIOS SRL.</v>
      </c>
      <c r="Y477" s="25" t="s">
        <v>5933</v>
      </c>
      <c r="Z477" s="25"/>
      <c r="AA477" s="3" t="str">
        <f>IF(C_Ope_001[[#This Row],[fecha]]&gt;0,TEXT(C_Ope_001[[#This Row],[fecha]],"mmmm"),0)</f>
        <v>Octubre</v>
      </c>
      <c r="AB477" s="49"/>
    </row>
    <row r="478" spans="1:28" ht="24" x14ac:dyDescent="0.3">
      <c r="A478" s="2">
        <f>IF(C_Ope_001[[#This Row],[tipo_r]]="R",COUNTIFS($C$1:$C477,"R")+1,"")</f>
        <v>477</v>
      </c>
      <c r="B478" s="19" t="str">
        <f t="shared" si="60"/>
        <v>C_Ope_001</v>
      </c>
      <c r="C478" s="3" t="s">
        <v>1330</v>
      </c>
      <c r="D478" s="211">
        <v>45957</v>
      </c>
      <c r="E478" s="5" t="s">
        <v>7957</v>
      </c>
      <c r="F478" s="5" t="s">
        <v>1336</v>
      </c>
      <c r="G478" s="6" t="s">
        <v>978</v>
      </c>
      <c r="H478" s="6" t="s">
        <v>68</v>
      </c>
      <c r="I478" s="6" t="s">
        <v>6204</v>
      </c>
      <c r="J478" s="6">
        <v>1882525</v>
      </c>
      <c r="K478" s="7" t="s">
        <v>7993</v>
      </c>
      <c r="L478" s="8">
        <v>25915</v>
      </c>
      <c r="M478" s="8" t="str">
        <f t="shared" si="61"/>
        <v>PEN</v>
      </c>
      <c r="N478" s="13"/>
      <c r="O478" s="13">
        <v>8</v>
      </c>
      <c r="P478" s="3">
        <f t="shared" si="62"/>
        <v>0</v>
      </c>
      <c r="Q478" s="3">
        <f t="shared" si="63"/>
        <v>8</v>
      </c>
      <c r="R478" s="3">
        <f t="shared" si="59"/>
        <v>250</v>
      </c>
      <c r="S478" s="24" t="s">
        <v>1334</v>
      </c>
      <c r="T478" s="24"/>
      <c r="U478" s="3"/>
      <c r="V478" s="25" t="s">
        <v>7756</v>
      </c>
      <c r="W478" s="25">
        <v>20517252558</v>
      </c>
      <c r="X478" s="25" t="str">
        <f>IFERROR(VLOOKUP(C_Ope_001[[#This Row],[nota_2]],Clientes_Proveedores[[Ruc / Dni]:[Razon Social]],2,0),"")</f>
        <v>COVISUR S.A.</v>
      </c>
      <c r="Y478" s="25" t="s">
        <v>7888</v>
      </c>
      <c r="Z478" s="25"/>
      <c r="AA478" s="3" t="str">
        <f>IF(C_Ope_001[[#This Row],[fecha]]&gt;0,TEXT(C_Ope_001[[#This Row],[fecha]],"mmmm"),0)</f>
        <v>Octubre</v>
      </c>
      <c r="AB478" s="49"/>
    </row>
    <row r="479" spans="1:28" ht="24" x14ac:dyDescent="0.3">
      <c r="A479" s="2">
        <f>IF(C_Ope_001[[#This Row],[tipo_r]]="R",COUNTIFS($C$1:$C478,"R")+1,"")</f>
        <v>478</v>
      </c>
      <c r="B479" s="19" t="str">
        <f t="shared" si="60"/>
        <v>C_Ope_001</v>
      </c>
      <c r="C479" s="3" t="s">
        <v>1330</v>
      </c>
      <c r="D479" s="211">
        <v>45957</v>
      </c>
      <c r="E479" s="5" t="s">
        <v>7957</v>
      </c>
      <c r="F479" s="5" t="s">
        <v>1336</v>
      </c>
      <c r="G479" s="6" t="s">
        <v>978</v>
      </c>
      <c r="H479" s="6" t="s">
        <v>68</v>
      </c>
      <c r="I479" s="6" t="s">
        <v>5845</v>
      </c>
      <c r="J479" s="6">
        <v>1905305</v>
      </c>
      <c r="K479" s="7" t="s">
        <v>7993</v>
      </c>
      <c r="L479" s="8">
        <v>25916</v>
      </c>
      <c r="M479" s="8" t="str">
        <f t="shared" si="61"/>
        <v>PEN</v>
      </c>
      <c r="N479" s="13"/>
      <c r="O479" s="13">
        <v>8</v>
      </c>
      <c r="P479" s="3">
        <f t="shared" si="62"/>
        <v>0</v>
      </c>
      <c r="Q479" s="3">
        <f t="shared" si="63"/>
        <v>8</v>
      </c>
      <c r="R479" s="3">
        <f t="shared" si="59"/>
        <v>242</v>
      </c>
      <c r="S479" s="24" t="s">
        <v>1334</v>
      </c>
      <c r="T479" s="24"/>
      <c r="U479" s="3"/>
      <c r="V479" s="25" t="s">
        <v>7756</v>
      </c>
      <c r="W479" s="25">
        <v>20517252558</v>
      </c>
      <c r="X479" s="25" t="str">
        <f>IFERROR(VLOOKUP(C_Ope_001[[#This Row],[nota_2]],Clientes_Proveedores[[Ruc / Dni]:[Razon Social]],2,0),"")</f>
        <v>COVISUR S.A.</v>
      </c>
      <c r="Y479" s="25" t="s">
        <v>7888</v>
      </c>
      <c r="Z479" s="25"/>
      <c r="AA479" s="3" t="str">
        <f>IF(C_Ope_001[[#This Row],[fecha]]&gt;0,TEXT(C_Ope_001[[#This Row],[fecha]],"mmmm"),0)</f>
        <v>Octubre</v>
      </c>
      <c r="AB479" s="49"/>
    </row>
    <row r="480" spans="1:28" ht="36" x14ac:dyDescent="0.3">
      <c r="A480" s="2">
        <f>IF(C_Ope_001[[#This Row],[tipo_r]]="R",COUNTIFS($C$1:$C479,"R")+1,"")</f>
        <v>479</v>
      </c>
      <c r="B480" s="19" t="str">
        <f t="shared" si="60"/>
        <v>C_Ope_001</v>
      </c>
      <c r="C480" s="3" t="s">
        <v>1330</v>
      </c>
      <c r="D480" s="211">
        <v>45957</v>
      </c>
      <c r="E480" s="5" t="s">
        <v>7957</v>
      </c>
      <c r="F480" s="5" t="s">
        <v>1336</v>
      </c>
      <c r="G480" s="6" t="s">
        <v>227</v>
      </c>
      <c r="H480" s="6" t="s">
        <v>68</v>
      </c>
      <c r="I480" s="6" t="s">
        <v>1390</v>
      </c>
      <c r="J480" s="6">
        <v>138778</v>
      </c>
      <c r="K480" s="7" t="s">
        <v>7998</v>
      </c>
      <c r="L480" s="8">
        <v>25912</v>
      </c>
      <c r="M480" s="8" t="str">
        <f t="shared" si="61"/>
        <v>PEN</v>
      </c>
      <c r="N480" s="13"/>
      <c r="O480" s="13">
        <v>10</v>
      </c>
      <c r="P480" s="3">
        <f t="shared" si="62"/>
        <v>0</v>
      </c>
      <c r="Q480" s="3">
        <f t="shared" si="63"/>
        <v>10</v>
      </c>
      <c r="R480" s="3">
        <f t="shared" si="59"/>
        <v>232</v>
      </c>
      <c r="S480" s="24" t="s">
        <v>1334</v>
      </c>
      <c r="T480" s="24"/>
      <c r="U480" s="3"/>
      <c r="V480" s="25" t="s">
        <v>7756</v>
      </c>
      <c r="W480" s="25">
        <v>20124952850</v>
      </c>
      <c r="X480" s="25" t="str">
        <f>IFERROR(VLOOKUP(C_Ope_001[[#This Row],[nota_2]],Clientes_Proveedores[[Ruc / Dni]:[Razon Social]],2,0),"")</f>
        <v>ALIMENTOS Y SERVICIOS AGROPECUARIOS SRL.</v>
      </c>
      <c r="Y480" s="25" t="s">
        <v>5933</v>
      </c>
      <c r="Z480" s="25"/>
      <c r="AA480" s="3" t="str">
        <f>IF(C_Ope_001[[#This Row],[fecha]]&gt;0,TEXT(C_Ope_001[[#This Row],[fecha]],"mmmm"),0)</f>
        <v>Octubre</v>
      </c>
      <c r="AB480" s="49"/>
    </row>
    <row r="481" spans="1:28" ht="24" x14ac:dyDescent="0.3">
      <c r="A481" s="2">
        <f>IF(C_Ope_001[[#This Row],[tipo_r]]="R",COUNTIFS($C$1:$C480,"R")+1,"")</f>
        <v>480</v>
      </c>
      <c r="B481" s="19" t="str">
        <f t="shared" ref="B481:B486" si="64">"C_Ope_001"</f>
        <v>C_Ope_001</v>
      </c>
      <c r="C481" s="3" t="s">
        <v>1330</v>
      </c>
      <c r="D481" s="211">
        <v>45958</v>
      </c>
      <c r="E481" s="5" t="s">
        <v>3634</v>
      </c>
      <c r="F481" s="5" t="s">
        <v>1303</v>
      </c>
      <c r="G481" s="6" t="s">
        <v>1134</v>
      </c>
      <c r="H481" s="6"/>
      <c r="I481" s="6"/>
      <c r="J481" s="6"/>
      <c r="K481" s="7" t="s">
        <v>7516</v>
      </c>
      <c r="L481" s="8">
        <v>25923</v>
      </c>
      <c r="M481" s="8" t="str">
        <f t="shared" ref="M481:M486" si="65">"PEN"</f>
        <v>PEN</v>
      </c>
      <c r="N481" s="13"/>
      <c r="O481" s="13">
        <v>120</v>
      </c>
      <c r="P481" s="3">
        <f t="shared" ref="P481:P486" si="66">+IF(OR($F481="SALDO",$F481="INGRESO"),$O481,0)</f>
        <v>120</v>
      </c>
      <c r="Q481" s="3">
        <f t="shared" ref="Q481:Q486" si="67">+IF($F481="EGRESO",$O481,0)</f>
        <v>0</v>
      </c>
      <c r="R481" s="3">
        <f t="shared" si="59"/>
        <v>352</v>
      </c>
      <c r="S481" s="24"/>
      <c r="T481" s="24"/>
      <c r="U481" s="3"/>
      <c r="V481" s="25"/>
      <c r="W481" s="25"/>
      <c r="X481" s="25" t="str">
        <f>IFERROR(VLOOKUP(C_Ope_001[[#This Row],[nota_2]],Clientes_Proveedores[[Ruc / Dni]:[Razon Social]],2,0),"")</f>
        <v/>
      </c>
      <c r="Y481" s="25"/>
      <c r="Z481" s="25"/>
      <c r="AA481" s="3" t="str">
        <f>IF(C_Ope_001[[#This Row],[fecha]]&gt;0,TEXT(C_Ope_001[[#This Row],[fecha]],"mmmm"),0)</f>
        <v>Octubre</v>
      </c>
      <c r="AB481" s="49"/>
    </row>
    <row r="482" spans="1:28" ht="24" x14ac:dyDescent="0.3">
      <c r="A482" s="2">
        <f>IF(C_Ope_001[[#This Row],[tipo_r]]="R",COUNTIFS($C$1:$C481,"R")+1,"")</f>
        <v>481</v>
      </c>
      <c r="B482" s="19" t="str">
        <f t="shared" si="64"/>
        <v>C_Ope_001</v>
      </c>
      <c r="C482" s="3" t="s">
        <v>1330</v>
      </c>
      <c r="D482" s="211">
        <v>45959</v>
      </c>
      <c r="E482" s="5" t="s">
        <v>7957</v>
      </c>
      <c r="F482" s="5" t="s">
        <v>1336</v>
      </c>
      <c r="G482" s="6" t="s">
        <v>978</v>
      </c>
      <c r="H482" s="6" t="s">
        <v>68</v>
      </c>
      <c r="I482" s="6" t="s">
        <v>5688</v>
      </c>
      <c r="J482" s="6">
        <v>2529349</v>
      </c>
      <c r="K482" s="7" t="s">
        <v>7993</v>
      </c>
      <c r="L482" s="8">
        <v>25932</v>
      </c>
      <c r="M482" s="8" t="str">
        <f t="shared" si="65"/>
        <v>PEN</v>
      </c>
      <c r="N482" s="13"/>
      <c r="O482" s="13">
        <v>8</v>
      </c>
      <c r="P482" s="3">
        <f t="shared" si="66"/>
        <v>0</v>
      </c>
      <c r="Q482" s="3">
        <f t="shared" si="67"/>
        <v>8</v>
      </c>
      <c r="R482" s="3">
        <f t="shared" si="59"/>
        <v>344</v>
      </c>
      <c r="S482" s="24" t="s">
        <v>1334</v>
      </c>
      <c r="T482" s="24"/>
      <c r="U482" s="3"/>
      <c r="V482" s="25" t="s">
        <v>7756</v>
      </c>
      <c r="W482" s="25">
        <v>20517252558</v>
      </c>
      <c r="X482" s="25" t="str">
        <f>IFERROR(VLOOKUP(C_Ope_001[[#This Row],[nota_2]],Clientes_Proveedores[[Ruc / Dni]:[Razon Social]],2,0),"")</f>
        <v>COVISUR S.A.</v>
      </c>
      <c r="Y482" s="25" t="s">
        <v>7888</v>
      </c>
      <c r="Z482" s="25"/>
      <c r="AA482" s="3" t="str">
        <f>IF(C_Ope_001[[#This Row],[fecha]]&gt;0,TEXT(C_Ope_001[[#This Row],[fecha]],"mmmm"),0)</f>
        <v>Octubre</v>
      </c>
      <c r="AB482" s="49"/>
    </row>
    <row r="483" spans="1:28" ht="24" x14ac:dyDescent="0.3">
      <c r="A483" s="222">
        <f>IF(C_Ope_001[[#This Row],[tipo_r]]="R",COUNTIFS($C$1:$C482,"R")+1,"")</f>
        <v>482</v>
      </c>
      <c r="B483" s="19" t="str">
        <f t="shared" si="64"/>
        <v>C_Ope_001</v>
      </c>
      <c r="C483" s="3" t="s">
        <v>1330</v>
      </c>
      <c r="D483" s="235">
        <v>45959</v>
      </c>
      <c r="E483" s="5" t="s">
        <v>7957</v>
      </c>
      <c r="F483" s="5" t="s">
        <v>1336</v>
      </c>
      <c r="G483" s="6" t="s">
        <v>978</v>
      </c>
      <c r="H483" s="6" t="s">
        <v>68</v>
      </c>
      <c r="I483" s="6" t="s">
        <v>5845</v>
      </c>
      <c r="J483" s="6">
        <v>1907786</v>
      </c>
      <c r="K483" s="7" t="s">
        <v>7993</v>
      </c>
      <c r="L483" s="226">
        <v>25947</v>
      </c>
      <c r="M483" s="226" t="str">
        <f t="shared" si="65"/>
        <v>PEN</v>
      </c>
      <c r="N483" s="13"/>
      <c r="O483" s="227">
        <v>8</v>
      </c>
      <c r="P483" s="228">
        <f t="shared" si="66"/>
        <v>0</v>
      </c>
      <c r="Q483" s="228">
        <f t="shared" si="67"/>
        <v>8</v>
      </c>
      <c r="R483" s="228">
        <f t="shared" si="59"/>
        <v>336</v>
      </c>
      <c r="S483" s="24" t="s">
        <v>1334</v>
      </c>
      <c r="T483" s="229"/>
      <c r="U483" s="228"/>
      <c r="V483" s="25" t="s">
        <v>7756</v>
      </c>
      <c r="W483" s="25">
        <v>20517252558</v>
      </c>
      <c r="X483" s="25" t="str">
        <f>IFERROR(VLOOKUP(C_Ope_001[[#This Row],[nota_2]],Clientes_Proveedores[[Ruc / Dni]:[Razon Social]],2,0),"")</f>
        <v>COVISUR S.A.</v>
      </c>
      <c r="Y483" s="25" t="s">
        <v>7888</v>
      </c>
      <c r="Z483" s="25"/>
      <c r="AA483" s="228" t="str">
        <f>IF(C_Ope_001[[#This Row],[fecha]]&gt;0,TEXT(C_Ope_001[[#This Row],[fecha]],"mmmm"),0)</f>
        <v>Octubre</v>
      </c>
      <c r="AB483" s="236"/>
    </row>
    <row r="484" spans="1:28" ht="36" x14ac:dyDescent="0.3">
      <c r="A484" s="222">
        <f>IF(C_Ope_001[[#This Row],[tipo_r]]="R",COUNTIFS($C$1:$C483,"R")+1,"")</f>
        <v>483</v>
      </c>
      <c r="B484" s="19" t="str">
        <f t="shared" si="64"/>
        <v>C_Ope_001</v>
      </c>
      <c r="C484" s="3" t="s">
        <v>1330</v>
      </c>
      <c r="D484" s="235">
        <v>45959</v>
      </c>
      <c r="E484" s="5" t="s">
        <v>7957</v>
      </c>
      <c r="F484" s="5" t="s">
        <v>1336</v>
      </c>
      <c r="G484" s="6" t="s">
        <v>227</v>
      </c>
      <c r="H484" s="6" t="s">
        <v>68</v>
      </c>
      <c r="I484" s="6" t="s">
        <v>1390</v>
      </c>
      <c r="J484" s="6">
        <v>138896</v>
      </c>
      <c r="K484" s="7" t="s">
        <v>7998</v>
      </c>
      <c r="L484" s="226">
        <v>25931</v>
      </c>
      <c r="M484" s="226" t="str">
        <f t="shared" si="65"/>
        <v>PEN</v>
      </c>
      <c r="N484" s="13"/>
      <c r="O484" s="227">
        <v>10</v>
      </c>
      <c r="P484" s="228">
        <f t="shared" si="66"/>
        <v>0</v>
      </c>
      <c r="Q484" s="228">
        <f t="shared" si="67"/>
        <v>10</v>
      </c>
      <c r="R484" s="228">
        <f t="shared" si="59"/>
        <v>326</v>
      </c>
      <c r="S484" s="24" t="s">
        <v>1334</v>
      </c>
      <c r="T484" s="229"/>
      <c r="U484" s="228"/>
      <c r="V484" s="25" t="s">
        <v>7756</v>
      </c>
      <c r="W484" s="25">
        <v>20124952850</v>
      </c>
      <c r="X484" s="25" t="str">
        <f>IFERROR(VLOOKUP(C_Ope_001[[#This Row],[nota_2]],Clientes_Proveedores[[Ruc / Dni]:[Razon Social]],2,0),"")</f>
        <v>ALIMENTOS Y SERVICIOS AGROPECUARIOS SRL.</v>
      </c>
      <c r="Y484" s="25" t="s">
        <v>5933</v>
      </c>
      <c r="Z484" s="25"/>
      <c r="AA484" s="228" t="str">
        <f>IF(C_Ope_001[[#This Row],[fecha]]&gt;0,TEXT(C_Ope_001[[#This Row],[fecha]],"mmmm"),0)</f>
        <v>Octubre</v>
      </c>
      <c r="AB484" s="236"/>
    </row>
    <row r="485" spans="1:28" x14ac:dyDescent="0.3">
      <c r="A485" s="222">
        <f>IF(C_Ope_001[[#This Row],[tipo_r]]="R",COUNTIFS($C$1:$C484,"R")+1,"")</f>
        <v>484</v>
      </c>
      <c r="B485" s="19" t="str">
        <f t="shared" si="64"/>
        <v>C_Ope_001</v>
      </c>
      <c r="C485" s="3" t="s">
        <v>1330</v>
      </c>
      <c r="D485" s="235">
        <v>45964</v>
      </c>
      <c r="E485" s="5" t="s">
        <v>7957</v>
      </c>
      <c r="F485" s="5" t="s">
        <v>1336</v>
      </c>
      <c r="G485" s="6" t="s">
        <v>978</v>
      </c>
      <c r="H485" s="6" t="s">
        <v>68</v>
      </c>
      <c r="I485" s="6" t="s">
        <v>5688</v>
      </c>
      <c r="J485" s="6">
        <v>2534861</v>
      </c>
      <c r="K485" s="7" t="s">
        <v>9402</v>
      </c>
      <c r="L485" s="226">
        <v>25957</v>
      </c>
      <c r="M485" s="226" t="str">
        <f t="shared" si="65"/>
        <v>PEN</v>
      </c>
      <c r="N485" s="13"/>
      <c r="O485" s="227">
        <v>5</v>
      </c>
      <c r="P485" s="228">
        <f t="shared" si="66"/>
        <v>0</v>
      </c>
      <c r="Q485" s="228">
        <f t="shared" si="67"/>
        <v>5</v>
      </c>
      <c r="R485" s="228">
        <f t="shared" si="59"/>
        <v>321</v>
      </c>
      <c r="S485" s="24" t="s">
        <v>1334</v>
      </c>
      <c r="T485" s="229"/>
      <c r="U485" s="228"/>
      <c r="V485" s="25" t="s">
        <v>7754</v>
      </c>
      <c r="W485" s="25">
        <v>20517252558</v>
      </c>
      <c r="X485" s="25" t="str">
        <f>IFERROR(VLOOKUP(C_Ope_001[[#This Row],[nota_2]],Clientes_Proveedores[[Ruc / Dni]:[Razon Social]],2,0),"")</f>
        <v>COVISUR S.A.</v>
      </c>
      <c r="Y485" s="25" t="s">
        <v>7888</v>
      </c>
      <c r="Z485" s="25"/>
      <c r="AA485" s="228" t="str">
        <f>IF(C_Ope_001[[#This Row],[fecha]]&gt;0,TEXT(C_Ope_001[[#This Row],[fecha]],"mmmm"),0)</f>
        <v>Noviembre</v>
      </c>
      <c r="AB485" s="236"/>
    </row>
    <row r="486" spans="1:28" ht="24" x14ac:dyDescent="0.3">
      <c r="A486" s="222">
        <f>IF(C_Ope_001[[#This Row],[tipo_r]]="R",COUNTIFS($C$1:$C485,"R")+1,"")</f>
        <v>485</v>
      </c>
      <c r="B486" s="19" t="str">
        <f t="shared" si="64"/>
        <v>C_Ope_001</v>
      </c>
      <c r="C486" s="3" t="s">
        <v>1330</v>
      </c>
      <c r="D486" s="235">
        <v>45964</v>
      </c>
      <c r="E486" s="5" t="s">
        <v>7957</v>
      </c>
      <c r="F486" s="5" t="s">
        <v>1336</v>
      </c>
      <c r="G486" s="6" t="s">
        <v>978</v>
      </c>
      <c r="H486" s="6" t="s">
        <v>68</v>
      </c>
      <c r="I486" s="6" t="s">
        <v>6203</v>
      </c>
      <c r="J486" s="6">
        <v>2235461</v>
      </c>
      <c r="K486" s="7" t="s">
        <v>7993</v>
      </c>
      <c r="L486" s="226">
        <v>25958</v>
      </c>
      <c r="M486" s="226" t="str">
        <f t="shared" si="65"/>
        <v>PEN</v>
      </c>
      <c r="N486" s="13"/>
      <c r="O486" s="227">
        <v>8</v>
      </c>
      <c r="P486" s="228">
        <f t="shared" si="66"/>
        <v>0</v>
      </c>
      <c r="Q486" s="228">
        <f t="shared" si="67"/>
        <v>8</v>
      </c>
      <c r="R486" s="228">
        <f t="shared" si="59"/>
        <v>313</v>
      </c>
      <c r="S486" s="24" t="s">
        <v>1334</v>
      </c>
      <c r="T486" s="229"/>
      <c r="U486" s="228"/>
      <c r="V486" s="25" t="s">
        <v>7756</v>
      </c>
      <c r="W486" s="25">
        <v>20517252558</v>
      </c>
      <c r="X486" s="25" t="str">
        <f>IFERROR(VLOOKUP(C_Ope_001[[#This Row],[nota_2]],Clientes_Proveedores[[Ruc / Dni]:[Razon Social]],2,0),"")</f>
        <v>COVISUR S.A.</v>
      </c>
      <c r="Y486" s="25" t="s">
        <v>7888</v>
      </c>
      <c r="Z486" s="25"/>
      <c r="AA486" s="228" t="str">
        <f>IF(C_Ope_001[[#This Row],[fecha]]&gt;0,TEXT(C_Ope_001[[#This Row],[fecha]],"mmmm"),0)</f>
        <v>Noviembre</v>
      </c>
      <c r="AB486" s="236"/>
    </row>
  </sheetData>
  <conditionalFormatting sqref="A2:AA487">
    <cfRule type="expression" dxfId="72" priority="1">
      <formula>$T2="OK"</formula>
    </cfRule>
    <cfRule type="expression" dxfId="71" priority="240">
      <formula>$S2="OK"</formula>
    </cfRule>
  </conditionalFormatting>
  <conditionalFormatting sqref="C292:C293">
    <cfRule type="expression" dxfId="70" priority="243">
      <formula>$C284="D"</formula>
    </cfRule>
  </conditionalFormatting>
  <dataValidations count="4">
    <dataValidation type="list" allowBlank="1" showInputMessage="1" showErrorMessage="1" sqref="G2:G486" xr:uid="{8D810397-9473-A04C-A638-3946234EF7DB}">
      <formula1>Proveedores_Clientes</formula1>
    </dataValidation>
    <dataValidation type="list" allowBlank="1" showInputMessage="1" showErrorMessage="1" sqref="H2:H486" xr:uid="{9DEE6280-7B5A-A543-BF94-1C0330EB2F66}">
      <formula1>Documentos</formula1>
    </dataValidation>
    <dataValidation type="list" allowBlank="1" showInputMessage="1" showErrorMessage="1" sqref="F2:F486" xr:uid="{3E4364F6-9FA5-9140-B762-00886060D343}">
      <formula1>"SALDO,INGRESO,EGRESO"</formula1>
    </dataValidation>
    <dataValidation type="list" allowBlank="1" showInputMessage="1" showErrorMessage="1" sqref="C2:C486" xr:uid="{4D43A60A-DB53-E74E-93FD-86EE9BCB4039}">
      <formula1>"R,D"</formula1>
    </dataValidation>
  </dataValidations>
  <printOptions horizontalCentered="1"/>
  <pageMargins left="0.11811023622047245" right="0.11811023622047245" top="0.35433070866141736" bottom="0.35433070866141736" header="0.31496062992125984" footer="0.31496062992125984"/>
  <pageSetup paperSize="9" scale="36" fitToHeight="0" orientation="landscape" r:id="rId1"/>
  <legacyDrawing r:id="rId2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39DDE-39AC-8748-B7B4-A573B32F63FC}">
  <sheetPr codeName="Hoja10">
    <tabColor rgb="FFFFC000"/>
    <pageSetUpPr fitToPage="1"/>
  </sheetPr>
  <dimension ref="A1:AB408"/>
  <sheetViews>
    <sheetView showGridLines="0" topLeftCell="L1" zoomScale="90" zoomScaleNormal="90" zoomScaleSheetLayoutView="100" workbookViewId="0">
      <selection sqref="A1:AB1"/>
    </sheetView>
  </sheetViews>
  <sheetFormatPr defaultColWidth="11.44140625" defaultRowHeight="14.4" outlineLevelCol="1" x14ac:dyDescent="0.3"/>
  <cols>
    <col min="1" max="1" width="9.44140625" bestFit="1" customWidth="1"/>
    <col min="2" max="2" width="15.44140625" bestFit="1" customWidth="1"/>
    <col min="3" max="3" width="13.44140625" bestFit="1" customWidth="1"/>
    <col min="4" max="4" width="10.6640625" bestFit="1" customWidth="1"/>
    <col min="5" max="5" width="14.33203125" customWidth="1"/>
    <col min="6" max="6" width="11.6640625" bestFit="1" customWidth="1"/>
    <col min="7" max="7" width="17" bestFit="1" customWidth="1"/>
    <col min="8" max="8" width="16" customWidth="1"/>
    <col min="9" max="9" width="10.109375" bestFit="1" customWidth="1"/>
    <col min="10" max="10" width="12.44140625" bestFit="1" customWidth="1"/>
    <col min="11" max="11" width="40.44140625" bestFit="1" customWidth="1"/>
    <col min="12" max="12" width="15" bestFit="1" customWidth="1"/>
    <col min="13" max="13" width="12.44140625" bestFit="1" customWidth="1"/>
    <col min="14" max="14" width="12.109375" bestFit="1" customWidth="1"/>
    <col min="15" max="15" width="11.44140625" bestFit="1" customWidth="1"/>
    <col min="16" max="17" width="11.33203125" bestFit="1" customWidth="1"/>
    <col min="18" max="18" width="10.88671875" bestFit="1" customWidth="1"/>
    <col min="19" max="19" width="12" bestFit="1" customWidth="1"/>
    <col min="20" max="20" width="13" bestFit="1" customWidth="1"/>
    <col min="21" max="21" width="15.88671875" bestFit="1" customWidth="1"/>
    <col min="22" max="22" width="15.88671875" customWidth="1"/>
    <col min="23" max="26" width="15.88671875" customWidth="1" outlineLevel="1"/>
    <col min="27" max="27" width="12.88671875" customWidth="1" outlineLevel="1"/>
  </cols>
  <sheetData>
    <row r="1" spans="1:28" x14ac:dyDescent="0.3">
      <c r="A1" s="263" t="s">
        <v>9536</v>
      </c>
      <c r="B1" s="263" t="s">
        <v>9537</v>
      </c>
      <c r="C1" s="263" t="s">
        <v>9563</v>
      </c>
      <c r="D1" s="263" t="s">
        <v>9539</v>
      </c>
      <c r="E1" s="263" t="s">
        <v>9540</v>
      </c>
      <c r="F1" s="263" t="s">
        <v>9541</v>
      </c>
      <c r="G1" s="263" t="s">
        <v>9542</v>
      </c>
      <c r="H1" s="263" t="s">
        <v>9543</v>
      </c>
      <c r="I1" s="263" t="s">
        <v>9544</v>
      </c>
      <c r="J1" s="263" t="s">
        <v>9545</v>
      </c>
      <c r="K1" s="263" t="s">
        <v>9546</v>
      </c>
      <c r="L1" s="263" t="s">
        <v>9565</v>
      </c>
      <c r="M1" s="263" t="s">
        <v>9548</v>
      </c>
      <c r="N1" s="263" t="s">
        <v>9549</v>
      </c>
      <c r="O1" s="263" t="s">
        <v>9550</v>
      </c>
      <c r="P1" s="263" t="s">
        <v>9551</v>
      </c>
      <c r="Q1" s="263" t="s">
        <v>9552</v>
      </c>
      <c r="R1" s="263" t="s">
        <v>9553</v>
      </c>
      <c r="S1" s="263" t="s">
        <v>9554</v>
      </c>
      <c r="T1" s="263" t="s">
        <v>9555</v>
      </c>
      <c r="U1" s="263" t="s">
        <v>9556</v>
      </c>
      <c r="V1" s="263" t="s">
        <v>9557</v>
      </c>
      <c r="W1" s="263" t="s">
        <v>9558</v>
      </c>
      <c r="X1" s="263" t="s">
        <v>9559</v>
      </c>
      <c r="Y1" s="263" t="s">
        <v>9560</v>
      </c>
      <c r="Z1" s="263" t="s">
        <v>9561</v>
      </c>
      <c r="AA1" s="263" t="s">
        <v>9562</v>
      </c>
      <c r="AB1" s="1" t="s">
        <v>9566</v>
      </c>
    </row>
    <row r="2" spans="1:28" x14ac:dyDescent="0.3">
      <c r="A2" s="2">
        <f>IF(C_Ope_002[[#This Row],[tipo_r]]="R",COUNTIFS($C$1:$C1,"R")+1,"")</f>
        <v>1</v>
      </c>
      <c r="B2" s="19" t="str">
        <f t="shared" ref="B2:B65" si="0">"C_Ope_002"</f>
        <v>C_Ope_002</v>
      </c>
      <c r="C2" s="3" t="s">
        <v>1330</v>
      </c>
      <c r="D2" s="14">
        <v>45658</v>
      </c>
      <c r="E2" s="5" t="s">
        <v>8005</v>
      </c>
      <c r="F2" s="6" t="s">
        <v>1320</v>
      </c>
      <c r="G2" s="6"/>
      <c r="H2" s="6"/>
      <c r="I2" s="6"/>
      <c r="J2" s="6"/>
      <c r="K2" s="7" t="s">
        <v>1332</v>
      </c>
      <c r="L2" s="8">
        <v>22563</v>
      </c>
      <c r="M2" s="8" t="str">
        <f t="shared" ref="M2" si="1">"PEN"</f>
        <v>PEN</v>
      </c>
      <c r="N2" s="13"/>
      <c r="O2" s="9">
        <v>110.7</v>
      </c>
      <c r="P2" s="9">
        <f t="shared" ref="P2:P65" si="2">+IF(OR($F2="SALDO",$F2="INGRESO"),$O2,0)</f>
        <v>110.7</v>
      </c>
      <c r="Q2" s="9">
        <f t="shared" ref="Q2:Q65" si="3">+IF($F2="EGRESO",$O2,0)</f>
        <v>0</v>
      </c>
      <c r="R2" s="9">
        <f t="shared" ref="R2:R65" si="4">IFERROR(IF(F2="SALDO",P2,R1+P2-Q2),0)</f>
        <v>110.7</v>
      </c>
      <c r="S2" s="24" t="s">
        <v>1334</v>
      </c>
      <c r="T2" s="24" t="s">
        <v>1334</v>
      </c>
      <c r="U2" s="15"/>
      <c r="V2" s="25" t="s">
        <v>8006</v>
      </c>
      <c r="W2" s="25"/>
      <c r="X2" s="25" t="str">
        <f>IFERROR(VLOOKUP(C_Ope_002[[#This Row],[nota_2]],Clientes_Proveedores[[Ruc / Dni]:[Razon Social]],2,0),"")</f>
        <v/>
      </c>
      <c r="Y2" s="25"/>
      <c r="Z2" s="103"/>
      <c r="AA2" s="3" t="str">
        <f>IF(C_Ope_002[[#This Row],[fecha]]&gt;0,TEXT(C_Ope_002[[#This Row],[fecha]],"mmmm"),0)</f>
        <v>Enero</v>
      </c>
      <c r="AB2" s="49"/>
    </row>
    <row r="3" spans="1:28" ht="24" x14ac:dyDescent="0.3">
      <c r="A3" s="2">
        <f>IF(C_Ope_002[[#This Row],[tipo_r]]="R",COUNTIFS($C$1:$C2,"R")+1,"")</f>
        <v>2</v>
      </c>
      <c r="B3" s="19" t="str">
        <f t="shared" si="0"/>
        <v>C_Ope_002</v>
      </c>
      <c r="C3" s="3" t="s">
        <v>1330</v>
      </c>
      <c r="D3" s="14">
        <v>45665</v>
      </c>
      <c r="E3" s="5" t="s">
        <v>7514</v>
      </c>
      <c r="F3" s="5" t="s">
        <v>1303</v>
      </c>
      <c r="G3" s="6" t="s">
        <v>829</v>
      </c>
      <c r="H3" s="6"/>
      <c r="I3" s="6"/>
      <c r="J3" s="6"/>
      <c r="K3" s="7" t="s">
        <v>7516</v>
      </c>
      <c r="L3" s="8">
        <v>22614</v>
      </c>
      <c r="M3" s="8" t="str">
        <f t="shared" ref="M3:M66" si="5">"PEN"</f>
        <v>PEN</v>
      </c>
      <c r="N3" s="13"/>
      <c r="O3" s="13">
        <v>200</v>
      </c>
      <c r="P3" s="3">
        <f t="shared" si="2"/>
        <v>200</v>
      </c>
      <c r="Q3" s="3">
        <f t="shared" si="3"/>
        <v>0</v>
      </c>
      <c r="R3" s="3">
        <f t="shared" si="4"/>
        <v>310.7</v>
      </c>
      <c r="S3" s="24" t="s">
        <v>1334</v>
      </c>
      <c r="T3" s="24" t="s">
        <v>1334</v>
      </c>
      <c r="U3" s="3"/>
      <c r="V3" s="25"/>
      <c r="W3" s="25"/>
      <c r="X3" s="25" t="str">
        <f>IFERROR(VLOOKUP(C_Ope_002[[#This Row],[nota_2]],Clientes_Proveedores[[Ruc / Dni]:[Razon Social]],2,0),"")</f>
        <v/>
      </c>
      <c r="Y3" s="25"/>
      <c r="Z3" s="103"/>
      <c r="AA3" s="3" t="str">
        <f>IF(C_Ope_002[[#This Row],[fecha]]&gt;0,TEXT(C_Ope_002[[#This Row],[fecha]],"mmmm"),0)</f>
        <v>Enero</v>
      </c>
      <c r="AB3" s="49"/>
    </row>
    <row r="4" spans="1:28" ht="24" x14ac:dyDescent="0.3">
      <c r="A4" s="2">
        <f>IF(C_Ope_002[[#This Row],[tipo_r]]="R",COUNTIFS($C$1:$C3,"R")+1,"")</f>
        <v>3</v>
      </c>
      <c r="B4" s="19" t="str">
        <f t="shared" si="0"/>
        <v>C_Ope_002</v>
      </c>
      <c r="C4" s="3" t="s">
        <v>1330</v>
      </c>
      <c r="D4" s="14">
        <v>45659</v>
      </c>
      <c r="E4" s="5" t="s">
        <v>8005</v>
      </c>
      <c r="F4" s="5" t="s">
        <v>1336</v>
      </c>
      <c r="G4" s="6" t="s">
        <v>978</v>
      </c>
      <c r="H4" s="6" t="s">
        <v>68</v>
      </c>
      <c r="I4" s="6" t="s">
        <v>6203</v>
      </c>
      <c r="J4" s="6">
        <v>1915347</v>
      </c>
      <c r="K4" s="7" t="s">
        <v>8007</v>
      </c>
      <c r="L4" s="8">
        <v>22541</v>
      </c>
      <c r="M4" s="8" t="str">
        <f t="shared" si="5"/>
        <v>PEN</v>
      </c>
      <c r="N4" s="13"/>
      <c r="O4" s="13">
        <v>12</v>
      </c>
      <c r="P4" s="3">
        <f t="shared" si="2"/>
        <v>0</v>
      </c>
      <c r="Q4" s="3">
        <f t="shared" si="3"/>
        <v>12</v>
      </c>
      <c r="R4" s="3">
        <f t="shared" si="4"/>
        <v>298.7</v>
      </c>
      <c r="S4" s="24" t="s">
        <v>1334</v>
      </c>
      <c r="T4" s="24" t="s">
        <v>1334</v>
      </c>
      <c r="U4" s="3"/>
      <c r="V4" s="25" t="s">
        <v>8006</v>
      </c>
      <c r="W4" s="25">
        <v>20517252558</v>
      </c>
      <c r="X4" s="25" t="str">
        <f>IFERROR(VLOOKUP(C_Ope_002[[#This Row],[nota_2]],Clientes_Proveedores[[Ruc / Dni]:[Razon Social]],2,0),"")</f>
        <v>COVISUR S.A.</v>
      </c>
      <c r="Y4" s="25"/>
      <c r="Z4" s="103"/>
      <c r="AA4" s="3" t="str">
        <f>IF(C_Ope_002[[#This Row],[fecha]]&gt;0,TEXT(C_Ope_002[[#This Row],[fecha]],"mmmm"),0)</f>
        <v>Enero</v>
      </c>
      <c r="AB4" s="49"/>
    </row>
    <row r="5" spans="1:28" ht="24" x14ac:dyDescent="0.3">
      <c r="A5" s="2">
        <f>IF(C_Ope_002[[#This Row],[tipo_r]]="R",COUNTIFS($C$1:$C4,"R")+1,"")</f>
        <v>4</v>
      </c>
      <c r="B5" s="19" t="str">
        <f t="shared" si="0"/>
        <v>C_Ope_002</v>
      </c>
      <c r="C5" s="3" t="s">
        <v>1330</v>
      </c>
      <c r="D5" s="14">
        <v>45660</v>
      </c>
      <c r="E5" s="5" t="s">
        <v>8005</v>
      </c>
      <c r="F5" s="5" t="s">
        <v>1336</v>
      </c>
      <c r="G5" s="6" t="s">
        <v>978</v>
      </c>
      <c r="H5" s="6" t="s">
        <v>68</v>
      </c>
      <c r="I5" s="6" t="s">
        <v>5688</v>
      </c>
      <c r="J5" s="6">
        <v>2183849</v>
      </c>
      <c r="K5" s="7" t="s">
        <v>8008</v>
      </c>
      <c r="L5" s="8">
        <v>22542</v>
      </c>
      <c r="M5" s="8" t="str">
        <f t="shared" si="5"/>
        <v>PEN</v>
      </c>
      <c r="N5" s="13"/>
      <c r="O5" s="13">
        <v>8</v>
      </c>
      <c r="P5" s="3">
        <f t="shared" si="2"/>
        <v>0</v>
      </c>
      <c r="Q5" s="3">
        <f t="shared" si="3"/>
        <v>8</v>
      </c>
      <c r="R5" s="3">
        <f t="shared" si="4"/>
        <v>290.7</v>
      </c>
      <c r="S5" s="24" t="s">
        <v>1334</v>
      </c>
      <c r="T5" s="24" t="s">
        <v>1334</v>
      </c>
      <c r="U5" s="3"/>
      <c r="V5" s="25" t="s">
        <v>7842</v>
      </c>
      <c r="W5" s="25">
        <v>20517252558</v>
      </c>
      <c r="X5" s="25" t="str">
        <f>IFERROR(VLOOKUP(C_Ope_002[[#This Row],[nota_2]],Clientes_Proveedores[[Ruc / Dni]:[Razon Social]],2,0),"")</f>
        <v>COVISUR S.A.</v>
      </c>
      <c r="Y5" s="25"/>
      <c r="Z5" s="103"/>
      <c r="AA5" s="3" t="str">
        <f>IF(C_Ope_002[[#This Row],[fecha]]&gt;0,TEXT(C_Ope_002[[#This Row],[fecha]],"mmmm"),0)</f>
        <v>Enero</v>
      </c>
      <c r="AB5" s="49"/>
    </row>
    <row r="6" spans="1:28" ht="24" x14ac:dyDescent="0.3">
      <c r="A6" s="2">
        <f>IF(C_Ope_002[[#This Row],[tipo_r]]="R",COUNTIFS($C$1:$C5,"R")+1,"")</f>
        <v>5</v>
      </c>
      <c r="B6" s="19" t="str">
        <f t="shared" si="0"/>
        <v>C_Ope_002</v>
      </c>
      <c r="C6" s="3" t="s">
        <v>1330</v>
      </c>
      <c r="D6" s="14">
        <v>45660</v>
      </c>
      <c r="E6" s="5" t="s">
        <v>8005</v>
      </c>
      <c r="F6" s="5" t="s">
        <v>1336</v>
      </c>
      <c r="G6" s="6" t="s">
        <v>978</v>
      </c>
      <c r="H6" s="6" t="s">
        <v>68</v>
      </c>
      <c r="I6" s="6" t="s">
        <v>6203</v>
      </c>
      <c r="J6" s="6">
        <v>1916268</v>
      </c>
      <c r="K6" s="7" t="s">
        <v>8008</v>
      </c>
      <c r="L6" s="8">
        <v>22543</v>
      </c>
      <c r="M6" s="8" t="str">
        <f t="shared" si="5"/>
        <v>PEN</v>
      </c>
      <c r="N6" s="13"/>
      <c r="O6" s="13">
        <v>8</v>
      </c>
      <c r="P6" s="3">
        <f t="shared" si="2"/>
        <v>0</v>
      </c>
      <c r="Q6" s="3">
        <f t="shared" si="3"/>
        <v>8</v>
      </c>
      <c r="R6" s="3">
        <f t="shared" si="4"/>
        <v>282.7</v>
      </c>
      <c r="S6" s="24" t="s">
        <v>1334</v>
      </c>
      <c r="T6" s="24" t="s">
        <v>1334</v>
      </c>
      <c r="U6" s="3"/>
      <c r="V6" s="25" t="s">
        <v>7842</v>
      </c>
      <c r="W6" s="25">
        <v>20517252558</v>
      </c>
      <c r="X6" s="25" t="str">
        <f>IFERROR(VLOOKUP(C_Ope_002[[#This Row],[nota_2]],Clientes_Proveedores[[Ruc / Dni]:[Razon Social]],2,0),"")</f>
        <v>COVISUR S.A.</v>
      </c>
      <c r="Y6" s="25"/>
      <c r="Z6" s="103"/>
      <c r="AA6" s="3" t="str">
        <f>IF(C_Ope_002[[#This Row],[fecha]]&gt;0,TEXT(C_Ope_002[[#This Row],[fecha]],"mmmm"),0)</f>
        <v>Enero</v>
      </c>
      <c r="AB6" s="49"/>
    </row>
    <row r="7" spans="1:28" ht="24" x14ac:dyDescent="0.3">
      <c r="A7" s="2">
        <f>IF(C_Ope_002[[#This Row],[tipo_r]]="R",COUNTIFS($C$1:$C6,"R")+1,"")</f>
        <v>6</v>
      </c>
      <c r="B7" s="19" t="str">
        <f t="shared" si="0"/>
        <v>C_Ope_002</v>
      </c>
      <c r="C7" s="3" t="s">
        <v>1330</v>
      </c>
      <c r="D7" s="14">
        <v>45663</v>
      </c>
      <c r="E7" s="5" t="s">
        <v>8005</v>
      </c>
      <c r="F7" s="5" t="s">
        <v>1336</v>
      </c>
      <c r="G7" s="6" t="s">
        <v>978</v>
      </c>
      <c r="H7" s="6" t="s">
        <v>68</v>
      </c>
      <c r="I7" s="6" t="s">
        <v>5845</v>
      </c>
      <c r="J7" s="6">
        <v>1642584</v>
      </c>
      <c r="K7" s="7" t="s">
        <v>8009</v>
      </c>
      <c r="L7" s="8">
        <v>22550</v>
      </c>
      <c r="M7" s="8" t="str">
        <f t="shared" si="5"/>
        <v>PEN</v>
      </c>
      <c r="N7" s="13"/>
      <c r="O7" s="13">
        <v>8</v>
      </c>
      <c r="P7" s="3">
        <f t="shared" si="2"/>
        <v>0</v>
      </c>
      <c r="Q7" s="3">
        <f t="shared" si="3"/>
        <v>8</v>
      </c>
      <c r="R7" s="3">
        <f t="shared" si="4"/>
        <v>274.7</v>
      </c>
      <c r="S7" s="24" t="s">
        <v>1334</v>
      </c>
      <c r="T7" s="24" t="s">
        <v>1334</v>
      </c>
      <c r="U7" s="3"/>
      <c r="V7" s="25" t="s">
        <v>7842</v>
      </c>
      <c r="W7" s="25">
        <v>20517252558</v>
      </c>
      <c r="X7" s="25" t="str">
        <f>IFERROR(VLOOKUP(C_Ope_002[[#This Row],[nota_2]],Clientes_Proveedores[[Ruc / Dni]:[Razon Social]],2,0),"")</f>
        <v>COVISUR S.A.</v>
      </c>
      <c r="Y7" s="25"/>
      <c r="Z7" s="103"/>
      <c r="AA7" s="3" t="str">
        <f>IF(C_Ope_002[[#This Row],[fecha]]&gt;0,TEXT(C_Ope_002[[#This Row],[fecha]],"mmmm"),0)</f>
        <v>Enero</v>
      </c>
      <c r="AB7" s="49"/>
    </row>
    <row r="8" spans="1:28" ht="24" x14ac:dyDescent="0.3">
      <c r="A8" s="2">
        <f>IF(C_Ope_002[[#This Row],[tipo_r]]="R",COUNTIFS($C$1:$C7,"R")+1,"")</f>
        <v>7</v>
      </c>
      <c r="B8" s="19" t="str">
        <f t="shared" si="0"/>
        <v>C_Ope_002</v>
      </c>
      <c r="C8" s="3" t="s">
        <v>1330</v>
      </c>
      <c r="D8" s="14">
        <v>45663</v>
      </c>
      <c r="E8" s="5" t="s">
        <v>8005</v>
      </c>
      <c r="F8" s="5" t="s">
        <v>1336</v>
      </c>
      <c r="G8" s="6" t="s">
        <v>978</v>
      </c>
      <c r="H8" s="6" t="s">
        <v>68</v>
      </c>
      <c r="I8" s="6" t="s">
        <v>5688</v>
      </c>
      <c r="J8" s="6">
        <v>2187030</v>
      </c>
      <c r="K8" s="7" t="s">
        <v>8009</v>
      </c>
      <c r="L8" s="8">
        <v>22552</v>
      </c>
      <c r="M8" s="8" t="str">
        <f t="shared" si="5"/>
        <v>PEN</v>
      </c>
      <c r="N8" s="13"/>
      <c r="O8" s="13">
        <v>8</v>
      </c>
      <c r="P8" s="3">
        <f t="shared" si="2"/>
        <v>0</v>
      </c>
      <c r="Q8" s="3">
        <f t="shared" si="3"/>
        <v>8</v>
      </c>
      <c r="R8" s="3">
        <f t="shared" si="4"/>
        <v>266.7</v>
      </c>
      <c r="S8" s="24" t="s">
        <v>1334</v>
      </c>
      <c r="T8" s="24" t="s">
        <v>1334</v>
      </c>
      <c r="U8" s="3"/>
      <c r="V8" s="25" t="s">
        <v>7842</v>
      </c>
      <c r="W8" s="25">
        <v>20517252558</v>
      </c>
      <c r="X8" s="25" t="str">
        <f>IFERROR(VLOOKUP(C_Ope_002[[#This Row],[nota_2]],Clientes_Proveedores[[Ruc / Dni]:[Razon Social]],2,0),"")</f>
        <v>COVISUR S.A.</v>
      </c>
      <c r="Y8" s="25"/>
      <c r="Z8" s="103"/>
      <c r="AA8" s="3" t="str">
        <f>IF(C_Ope_002[[#This Row],[fecha]]&gt;0,TEXT(C_Ope_002[[#This Row],[fecha]],"mmmm"),0)</f>
        <v>Enero</v>
      </c>
      <c r="AB8" s="49"/>
    </row>
    <row r="9" spans="1:28" ht="24" x14ac:dyDescent="0.3">
      <c r="A9" s="2">
        <f>IF(C_Ope_002[[#This Row],[tipo_r]]="R",COUNTIFS($C$1:$C8,"R")+1,"")</f>
        <v>8</v>
      </c>
      <c r="B9" s="19" t="str">
        <f t="shared" si="0"/>
        <v>C_Ope_002</v>
      </c>
      <c r="C9" s="3" t="s">
        <v>1330</v>
      </c>
      <c r="D9" s="14">
        <v>45665</v>
      </c>
      <c r="E9" s="5" t="s">
        <v>8005</v>
      </c>
      <c r="F9" s="5" t="s">
        <v>1336</v>
      </c>
      <c r="G9" s="6" t="s">
        <v>978</v>
      </c>
      <c r="H9" s="6" t="s">
        <v>68</v>
      </c>
      <c r="I9" s="6" t="s">
        <v>5688</v>
      </c>
      <c r="J9" s="6">
        <v>2189559</v>
      </c>
      <c r="K9" s="7" t="s">
        <v>8010</v>
      </c>
      <c r="L9" s="8">
        <v>22595</v>
      </c>
      <c r="M9" s="8" t="str">
        <f t="shared" si="5"/>
        <v>PEN</v>
      </c>
      <c r="N9" s="13"/>
      <c r="O9" s="13">
        <v>8</v>
      </c>
      <c r="P9" s="3">
        <f t="shared" si="2"/>
        <v>0</v>
      </c>
      <c r="Q9" s="3">
        <f t="shared" si="3"/>
        <v>8</v>
      </c>
      <c r="R9" s="3">
        <f t="shared" si="4"/>
        <v>258.7</v>
      </c>
      <c r="S9" s="24" t="s">
        <v>1334</v>
      </c>
      <c r="T9" s="24" t="s">
        <v>1334</v>
      </c>
      <c r="U9" s="3"/>
      <c r="V9" s="25" t="s">
        <v>7842</v>
      </c>
      <c r="W9" s="25">
        <v>20517252558</v>
      </c>
      <c r="X9" s="25" t="str">
        <f>IFERROR(VLOOKUP(C_Ope_002[[#This Row],[nota_2]],Clientes_Proveedores[[Ruc / Dni]:[Razon Social]],2,0),"")</f>
        <v>COVISUR S.A.</v>
      </c>
      <c r="Y9" s="25"/>
      <c r="Z9" s="103"/>
      <c r="AA9" s="3" t="str">
        <f>IF(C_Ope_002[[#This Row],[fecha]]&gt;0,TEXT(C_Ope_002[[#This Row],[fecha]],"mmmm"),0)</f>
        <v>Enero</v>
      </c>
      <c r="AB9" s="49"/>
    </row>
    <row r="10" spans="1:28" ht="24" x14ac:dyDescent="0.3">
      <c r="A10" s="2">
        <f>IF(C_Ope_002[[#This Row],[tipo_r]]="R",COUNTIFS($C$1:$C9,"R")+1,"")</f>
        <v>9</v>
      </c>
      <c r="B10" s="19" t="str">
        <f t="shared" si="0"/>
        <v>C_Ope_002</v>
      </c>
      <c r="C10" s="3" t="s">
        <v>1330</v>
      </c>
      <c r="D10" s="14">
        <v>45666</v>
      </c>
      <c r="E10" s="5" t="s">
        <v>8005</v>
      </c>
      <c r="F10" s="5" t="s">
        <v>1336</v>
      </c>
      <c r="G10" s="6" t="s">
        <v>978</v>
      </c>
      <c r="H10" s="6" t="s">
        <v>68</v>
      </c>
      <c r="I10" s="6" t="s">
        <v>6203</v>
      </c>
      <c r="J10" s="6">
        <v>1921967</v>
      </c>
      <c r="K10" s="7" t="s">
        <v>8011</v>
      </c>
      <c r="L10" s="8">
        <v>22597</v>
      </c>
      <c r="M10" s="8" t="str">
        <f t="shared" si="5"/>
        <v>PEN</v>
      </c>
      <c r="N10" s="13"/>
      <c r="O10" s="13">
        <v>12</v>
      </c>
      <c r="P10" s="3">
        <f t="shared" si="2"/>
        <v>0</v>
      </c>
      <c r="Q10" s="3">
        <f t="shared" si="3"/>
        <v>12</v>
      </c>
      <c r="R10" s="3">
        <f t="shared" si="4"/>
        <v>246.7</v>
      </c>
      <c r="S10" s="24" t="s">
        <v>1334</v>
      </c>
      <c r="T10" s="24" t="s">
        <v>1334</v>
      </c>
      <c r="U10" s="3"/>
      <c r="V10" s="25" t="s">
        <v>8006</v>
      </c>
      <c r="W10" s="25">
        <v>20517252558</v>
      </c>
      <c r="X10" s="25" t="str">
        <f>IFERROR(VLOOKUP(C_Ope_002[[#This Row],[nota_2]],Clientes_Proveedores[[Ruc / Dni]:[Razon Social]],2,0),"")</f>
        <v>COVISUR S.A.</v>
      </c>
      <c r="Y10" s="25"/>
      <c r="Z10" s="103"/>
      <c r="AA10" s="3" t="str">
        <f>IF(C_Ope_002[[#This Row],[fecha]]&gt;0,TEXT(C_Ope_002[[#This Row],[fecha]],"mmmm"),0)</f>
        <v>Enero</v>
      </c>
      <c r="AB10" s="49"/>
    </row>
    <row r="11" spans="1:28" ht="36" x14ac:dyDescent="0.3">
      <c r="A11" s="2">
        <f>IF(C_Ope_002[[#This Row],[tipo_r]]="R",COUNTIFS($C$1:$C10,"R")+1,"")</f>
        <v>10</v>
      </c>
      <c r="B11" s="19" t="str">
        <f t="shared" si="0"/>
        <v>C_Ope_002</v>
      </c>
      <c r="C11" s="3" t="s">
        <v>1330</v>
      </c>
      <c r="D11" s="14">
        <v>45663</v>
      </c>
      <c r="E11" s="5" t="s">
        <v>8005</v>
      </c>
      <c r="F11" s="5" t="s">
        <v>1336</v>
      </c>
      <c r="G11" s="6" t="s">
        <v>682</v>
      </c>
      <c r="H11" s="6" t="s">
        <v>68</v>
      </c>
      <c r="I11" s="6" t="s">
        <v>1353</v>
      </c>
      <c r="J11" s="6">
        <v>15258</v>
      </c>
      <c r="K11" s="7" t="s">
        <v>8012</v>
      </c>
      <c r="L11" s="8">
        <v>22554</v>
      </c>
      <c r="M11" s="8" t="str">
        <f t="shared" si="5"/>
        <v>PEN</v>
      </c>
      <c r="N11" s="13"/>
      <c r="O11" s="13">
        <v>20</v>
      </c>
      <c r="P11" s="3">
        <f t="shared" si="2"/>
        <v>0</v>
      </c>
      <c r="Q11" s="3">
        <f t="shared" si="3"/>
        <v>20</v>
      </c>
      <c r="R11" s="3">
        <f t="shared" si="4"/>
        <v>226.7</v>
      </c>
      <c r="S11" s="24" t="s">
        <v>1334</v>
      </c>
      <c r="T11" s="24" t="s">
        <v>1334</v>
      </c>
      <c r="U11" s="3"/>
      <c r="V11" s="25" t="s">
        <v>7842</v>
      </c>
      <c r="W11" s="25">
        <v>20259858934</v>
      </c>
      <c r="X11" s="25" t="str">
        <f>IFERROR(VLOOKUP(C_Ope_002[[#This Row],[nota_2]],Clientes_Proveedores[[Ruc / Dni]:[Razon Social]],2,0),"")</f>
        <v>COMERCIALIZACION Y SERVICIOS EL EDEN S.A.C.</v>
      </c>
      <c r="Y11" s="25"/>
      <c r="Z11" s="103"/>
      <c r="AA11" s="3" t="str">
        <f>IF(C_Ope_002[[#This Row],[fecha]]&gt;0,TEXT(C_Ope_002[[#This Row],[fecha]],"mmmm"),0)</f>
        <v>Enero</v>
      </c>
      <c r="AB11" s="49"/>
    </row>
    <row r="12" spans="1:28" ht="36" x14ac:dyDescent="0.3">
      <c r="A12" s="2">
        <f>IF(C_Ope_002[[#This Row],[tipo_r]]="R",COUNTIFS($C$1:$C11,"R")+1,"")</f>
        <v>11</v>
      </c>
      <c r="B12" s="19" t="str">
        <f t="shared" si="0"/>
        <v>C_Ope_002</v>
      </c>
      <c r="C12" s="3" t="s">
        <v>1330</v>
      </c>
      <c r="D12" s="14">
        <v>45664</v>
      </c>
      <c r="E12" s="5" t="s">
        <v>8005</v>
      </c>
      <c r="F12" s="5" t="s">
        <v>1336</v>
      </c>
      <c r="G12" s="6" t="s">
        <v>682</v>
      </c>
      <c r="H12" s="6" t="s">
        <v>68</v>
      </c>
      <c r="I12" s="6" t="s">
        <v>1343</v>
      </c>
      <c r="J12" s="6">
        <v>33422</v>
      </c>
      <c r="K12" s="7" t="s">
        <v>8013</v>
      </c>
      <c r="L12" s="8">
        <v>22577</v>
      </c>
      <c r="M12" s="8" t="str">
        <f t="shared" si="5"/>
        <v>PEN</v>
      </c>
      <c r="N12" s="13"/>
      <c r="O12" s="13">
        <v>10</v>
      </c>
      <c r="P12" s="3">
        <f t="shared" si="2"/>
        <v>0</v>
      </c>
      <c r="Q12" s="3">
        <f t="shared" si="3"/>
        <v>10</v>
      </c>
      <c r="R12" s="3">
        <f t="shared" si="4"/>
        <v>216.7</v>
      </c>
      <c r="S12" s="24" t="s">
        <v>1334</v>
      </c>
      <c r="T12" s="24" t="s">
        <v>1334</v>
      </c>
      <c r="U12" s="3"/>
      <c r="V12" s="25" t="s">
        <v>8006</v>
      </c>
      <c r="W12" s="25">
        <v>20259858934</v>
      </c>
      <c r="X12" s="25" t="str">
        <f>IFERROR(VLOOKUP(C_Ope_002[[#This Row],[nota_2]],Clientes_Proveedores[[Ruc / Dni]:[Razon Social]],2,0),"")</f>
        <v>COMERCIALIZACION Y SERVICIOS EL EDEN S.A.C.</v>
      </c>
      <c r="Y12" s="25"/>
      <c r="Z12" s="103"/>
      <c r="AA12" s="3" t="str">
        <f>IF(C_Ope_002[[#This Row],[fecha]]&gt;0,TEXT(C_Ope_002[[#This Row],[fecha]],"mmmm"),0)</f>
        <v>Enero</v>
      </c>
      <c r="AB12" s="49"/>
    </row>
    <row r="13" spans="1:28" ht="36" x14ac:dyDescent="0.3">
      <c r="A13" s="2">
        <f>IF(C_Ope_002[[#This Row],[tipo_r]]="R",COUNTIFS($C$1:$C12,"R")+1,"")</f>
        <v>12</v>
      </c>
      <c r="B13" s="19" t="str">
        <f t="shared" si="0"/>
        <v>C_Ope_002</v>
      </c>
      <c r="C13" s="3" t="s">
        <v>1330</v>
      </c>
      <c r="D13" s="14">
        <v>45666</v>
      </c>
      <c r="E13" s="5" t="s">
        <v>8005</v>
      </c>
      <c r="F13" s="5" t="s">
        <v>1336</v>
      </c>
      <c r="G13" s="6" t="s">
        <v>682</v>
      </c>
      <c r="H13" s="6" t="s">
        <v>68</v>
      </c>
      <c r="I13" s="6" t="s">
        <v>1343</v>
      </c>
      <c r="J13" s="6">
        <v>33446</v>
      </c>
      <c r="K13" s="7" t="s">
        <v>8014</v>
      </c>
      <c r="L13" s="8">
        <v>22599</v>
      </c>
      <c r="M13" s="8" t="str">
        <f t="shared" si="5"/>
        <v>PEN</v>
      </c>
      <c r="N13" s="13"/>
      <c r="O13" s="13">
        <v>10</v>
      </c>
      <c r="P13" s="3">
        <f t="shared" si="2"/>
        <v>0</v>
      </c>
      <c r="Q13" s="3">
        <f t="shared" si="3"/>
        <v>10</v>
      </c>
      <c r="R13" s="3">
        <f t="shared" si="4"/>
        <v>206.7</v>
      </c>
      <c r="S13" s="24" t="s">
        <v>1334</v>
      </c>
      <c r="T13" s="24" t="s">
        <v>1334</v>
      </c>
      <c r="U13" s="3"/>
      <c r="V13" s="25" t="s">
        <v>8006</v>
      </c>
      <c r="W13" s="25">
        <v>20259858934</v>
      </c>
      <c r="X13" s="25" t="str">
        <f>IFERROR(VLOOKUP(C_Ope_002[[#This Row],[nota_2]],Clientes_Proveedores[[Ruc / Dni]:[Razon Social]],2,0),"")</f>
        <v>COMERCIALIZACION Y SERVICIOS EL EDEN S.A.C.</v>
      </c>
      <c r="Y13" s="25"/>
      <c r="Z13" s="103"/>
      <c r="AA13" s="3" t="str">
        <f>IF(C_Ope_002[[#This Row],[fecha]]&gt;0,TEXT(C_Ope_002[[#This Row],[fecha]],"mmmm"),0)</f>
        <v>Enero</v>
      </c>
      <c r="AB13" s="49"/>
    </row>
    <row r="14" spans="1:28" ht="24" x14ac:dyDescent="0.3">
      <c r="A14" s="2">
        <f>IF(C_Ope_002[[#This Row],[tipo_r]]="R",COUNTIFS($C$1:$C13,"R")+1,"")</f>
        <v>13</v>
      </c>
      <c r="B14" s="19" t="str">
        <f t="shared" si="0"/>
        <v>C_Ope_002</v>
      </c>
      <c r="C14" s="3" t="s">
        <v>1330</v>
      </c>
      <c r="D14" s="14">
        <v>45659</v>
      </c>
      <c r="E14" s="5" t="s">
        <v>8005</v>
      </c>
      <c r="F14" s="5" t="s">
        <v>1336</v>
      </c>
      <c r="G14" s="6" t="s">
        <v>970</v>
      </c>
      <c r="H14" s="6" t="s">
        <v>68</v>
      </c>
      <c r="I14" s="6" t="s">
        <v>1376</v>
      </c>
      <c r="J14" s="6">
        <v>1525</v>
      </c>
      <c r="K14" s="7" t="s">
        <v>7777</v>
      </c>
      <c r="L14" s="8">
        <v>22544</v>
      </c>
      <c r="M14" s="8" t="str">
        <f t="shared" si="5"/>
        <v>PEN</v>
      </c>
      <c r="N14" s="13"/>
      <c r="O14" s="13">
        <v>60</v>
      </c>
      <c r="P14" s="3">
        <f t="shared" si="2"/>
        <v>0</v>
      </c>
      <c r="Q14" s="3">
        <f t="shared" si="3"/>
        <v>60</v>
      </c>
      <c r="R14" s="3">
        <f t="shared" si="4"/>
        <v>146.69999999999999</v>
      </c>
      <c r="S14" s="24" t="s">
        <v>1334</v>
      </c>
      <c r="T14" s="24" t="s">
        <v>1334</v>
      </c>
      <c r="U14" s="3"/>
      <c r="V14" s="25" t="s">
        <v>8006</v>
      </c>
      <c r="W14" s="25">
        <v>10297207330</v>
      </c>
      <c r="X14" s="25" t="str">
        <f>IFERROR(VLOOKUP(C_Ope_002[[#This Row],[nota_2]],Clientes_Proveedores[[Ruc / Dni]:[Razon Social]],2,0),"")</f>
        <v>CRUZ HUARACHA CARMEN</v>
      </c>
      <c r="Y14" s="25"/>
      <c r="Z14" s="103"/>
      <c r="AA14" s="3" t="str">
        <f>IF(C_Ope_002[[#This Row],[fecha]]&gt;0,TEXT(C_Ope_002[[#This Row],[fecha]],"mmmm"),0)</f>
        <v>Enero</v>
      </c>
      <c r="AB14" s="49"/>
    </row>
    <row r="15" spans="1:28" ht="24" x14ac:dyDescent="0.3">
      <c r="A15" s="2">
        <f>IF(C_Ope_002[[#This Row],[tipo_r]]="R",COUNTIFS($C$1:$C14,"R")+1,"")</f>
        <v>14</v>
      </c>
      <c r="B15" s="19" t="str">
        <f t="shared" si="0"/>
        <v>C_Ope_002</v>
      </c>
      <c r="C15" s="3" t="s">
        <v>1330</v>
      </c>
      <c r="D15" s="14">
        <v>45664</v>
      </c>
      <c r="E15" s="5" t="s">
        <v>8005</v>
      </c>
      <c r="F15" s="5" t="s">
        <v>1336</v>
      </c>
      <c r="G15" s="6" t="s">
        <v>999</v>
      </c>
      <c r="H15" s="6" t="s">
        <v>68</v>
      </c>
      <c r="I15" s="6" t="s">
        <v>1374</v>
      </c>
      <c r="J15" s="6">
        <v>15813</v>
      </c>
      <c r="K15" s="7" t="s">
        <v>7777</v>
      </c>
      <c r="L15" s="8">
        <v>22576</v>
      </c>
      <c r="M15" s="8" t="str">
        <f t="shared" si="5"/>
        <v>PEN</v>
      </c>
      <c r="N15" s="13"/>
      <c r="O15" s="13">
        <v>35</v>
      </c>
      <c r="P15" s="3">
        <f t="shared" si="2"/>
        <v>0</v>
      </c>
      <c r="Q15" s="3">
        <f t="shared" si="3"/>
        <v>35</v>
      </c>
      <c r="R15" s="3">
        <f t="shared" si="4"/>
        <v>111.69999999999999</v>
      </c>
      <c r="S15" s="24" t="s">
        <v>1334</v>
      </c>
      <c r="T15" s="24" t="s">
        <v>1334</v>
      </c>
      <c r="U15" s="3"/>
      <c r="V15" s="25" t="s">
        <v>8006</v>
      </c>
      <c r="W15" s="25">
        <v>10705628331</v>
      </c>
      <c r="X15" s="25" t="str">
        <f>IFERROR(VLOOKUP(C_Ope_002[[#This Row],[nota_2]],Clientes_Proveedores[[Ruc / Dni]:[Razon Social]],2,0),"")</f>
        <v>LARICO APAZA NANCY ROSSMARY</v>
      </c>
      <c r="Y15" s="25"/>
      <c r="Z15" s="103"/>
      <c r="AA15" s="3" t="str">
        <f>IF(C_Ope_002[[#This Row],[fecha]]&gt;0,TEXT(C_Ope_002[[#This Row],[fecha]],"mmmm"),0)</f>
        <v>Enero</v>
      </c>
      <c r="AB15" s="49"/>
    </row>
    <row r="16" spans="1:28" ht="24" x14ac:dyDescent="0.3">
      <c r="A16" s="2">
        <f>IF(C_Ope_002[[#This Row],[tipo_r]]="R",COUNTIFS($C$1:$C15,"R")+1,"")</f>
        <v>15</v>
      </c>
      <c r="B16" s="19" t="str">
        <f t="shared" si="0"/>
        <v>C_Ope_002</v>
      </c>
      <c r="C16" s="3" t="s">
        <v>1330</v>
      </c>
      <c r="D16" s="14">
        <v>45667</v>
      </c>
      <c r="E16" s="5" t="s">
        <v>8005</v>
      </c>
      <c r="F16" s="5" t="s">
        <v>1336</v>
      </c>
      <c r="G16" s="6" t="s">
        <v>999</v>
      </c>
      <c r="H16" s="6" t="s">
        <v>68</v>
      </c>
      <c r="I16" s="6" t="s">
        <v>1374</v>
      </c>
      <c r="J16" s="6">
        <v>15881</v>
      </c>
      <c r="K16" s="7" t="s">
        <v>7777</v>
      </c>
      <c r="L16" s="8">
        <v>22610</v>
      </c>
      <c r="M16" s="8" t="str">
        <f t="shared" si="5"/>
        <v>PEN</v>
      </c>
      <c r="N16" s="13"/>
      <c r="O16" s="13">
        <v>35</v>
      </c>
      <c r="P16" s="3">
        <f t="shared" si="2"/>
        <v>0</v>
      </c>
      <c r="Q16" s="3">
        <f t="shared" si="3"/>
        <v>35</v>
      </c>
      <c r="R16" s="3">
        <f t="shared" si="4"/>
        <v>76.699999999999989</v>
      </c>
      <c r="S16" s="24" t="s">
        <v>1334</v>
      </c>
      <c r="T16" s="24" t="s">
        <v>1334</v>
      </c>
      <c r="U16" s="3"/>
      <c r="V16" s="25" t="s">
        <v>8006</v>
      </c>
      <c r="W16" s="25">
        <v>10705628331</v>
      </c>
      <c r="X16" s="25" t="str">
        <f>IFERROR(VLOOKUP(C_Ope_002[[#This Row],[nota_2]],Clientes_Proveedores[[Ruc / Dni]:[Razon Social]],2,0),"")</f>
        <v>LARICO APAZA NANCY ROSSMARY</v>
      </c>
      <c r="Y16" s="25"/>
      <c r="Z16" s="103"/>
      <c r="AA16" s="3" t="str">
        <f>IF(C_Ope_002[[#This Row],[fecha]]&gt;0,TEXT(C_Ope_002[[#This Row],[fecha]],"mmmm"),0)</f>
        <v>Enero</v>
      </c>
      <c r="AB16" s="49"/>
    </row>
    <row r="17" spans="1:28" ht="24" x14ac:dyDescent="0.3">
      <c r="A17" s="2">
        <f>IF(C_Ope_002[[#This Row],[tipo_r]]="R",COUNTIFS($C$1:$C16,"R")+1,"")</f>
        <v>16</v>
      </c>
      <c r="B17" s="19" t="str">
        <f t="shared" si="0"/>
        <v>C_Ope_002</v>
      </c>
      <c r="C17" s="3" t="s">
        <v>1330</v>
      </c>
      <c r="D17" s="14">
        <v>45670</v>
      </c>
      <c r="E17" s="5" t="s">
        <v>7514</v>
      </c>
      <c r="F17" s="5" t="s">
        <v>1303</v>
      </c>
      <c r="G17" s="6" t="s">
        <v>829</v>
      </c>
      <c r="H17" s="6"/>
      <c r="I17" s="6"/>
      <c r="J17" s="6"/>
      <c r="K17" s="7" t="s">
        <v>7516</v>
      </c>
      <c r="L17" s="8">
        <v>22723</v>
      </c>
      <c r="M17" s="8" t="str">
        <f t="shared" si="5"/>
        <v>PEN</v>
      </c>
      <c r="N17" s="13"/>
      <c r="O17" s="13">
        <v>120</v>
      </c>
      <c r="P17" s="3">
        <f t="shared" si="2"/>
        <v>120</v>
      </c>
      <c r="Q17" s="3">
        <f t="shared" si="3"/>
        <v>0</v>
      </c>
      <c r="R17" s="3">
        <f t="shared" si="4"/>
        <v>196.7</v>
      </c>
      <c r="S17" s="24" t="s">
        <v>1334</v>
      </c>
      <c r="T17" s="24" t="s">
        <v>1334</v>
      </c>
      <c r="U17" s="3"/>
      <c r="V17" s="25"/>
      <c r="W17" s="25"/>
      <c r="X17" s="25" t="str">
        <f>IFERROR(VLOOKUP(C_Ope_002[[#This Row],[nota_2]],Clientes_Proveedores[[Ruc / Dni]:[Razon Social]],2,0),"")</f>
        <v/>
      </c>
      <c r="Y17" s="25"/>
      <c r="Z17" s="103"/>
      <c r="AA17" s="3" t="str">
        <f>IF(C_Ope_002[[#This Row],[fecha]]&gt;0,TEXT(C_Ope_002[[#This Row],[fecha]],"mmmm"),0)</f>
        <v>Enero</v>
      </c>
      <c r="AB17" s="49"/>
    </row>
    <row r="18" spans="1:28" ht="24" x14ac:dyDescent="0.3">
      <c r="A18" s="2">
        <f>IF(C_Ope_002[[#This Row],[tipo_r]]="R",COUNTIFS($C$1:$C17,"R")+1,"")</f>
        <v>17</v>
      </c>
      <c r="B18" s="19" t="str">
        <f t="shared" si="0"/>
        <v>C_Ope_002</v>
      </c>
      <c r="C18" s="3" t="s">
        <v>1330</v>
      </c>
      <c r="D18" s="14">
        <v>45670</v>
      </c>
      <c r="E18" s="5" t="s">
        <v>8005</v>
      </c>
      <c r="F18" s="5" t="s">
        <v>1336</v>
      </c>
      <c r="G18" s="6" t="s">
        <v>978</v>
      </c>
      <c r="H18" s="6" t="s">
        <v>68</v>
      </c>
      <c r="I18" s="6" t="s">
        <v>5688</v>
      </c>
      <c r="J18" s="6">
        <v>2194841</v>
      </c>
      <c r="K18" s="7" t="s">
        <v>8015</v>
      </c>
      <c r="L18" s="8">
        <v>22628</v>
      </c>
      <c r="M18" s="8" t="str">
        <f t="shared" si="5"/>
        <v>PEN</v>
      </c>
      <c r="N18" s="13"/>
      <c r="O18" s="13">
        <v>12</v>
      </c>
      <c r="P18" s="3">
        <f t="shared" si="2"/>
        <v>0</v>
      </c>
      <c r="Q18" s="3">
        <f t="shared" si="3"/>
        <v>12</v>
      </c>
      <c r="R18" s="3">
        <f t="shared" si="4"/>
        <v>184.7</v>
      </c>
      <c r="S18" s="24" t="s">
        <v>1334</v>
      </c>
      <c r="T18" s="24" t="s">
        <v>1334</v>
      </c>
      <c r="U18" s="3"/>
      <c r="V18" s="25" t="s">
        <v>8006</v>
      </c>
      <c r="W18" s="25">
        <v>20517252558</v>
      </c>
      <c r="X18" s="25" t="str">
        <f>IFERROR(VLOOKUP(C_Ope_002[[#This Row],[nota_2]],Clientes_Proveedores[[Ruc / Dni]:[Razon Social]],2,0),"")</f>
        <v>COVISUR S.A.</v>
      </c>
      <c r="Y18" s="25"/>
      <c r="Z18" s="103"/>
      <c r="AA18" s="3" t="str">
        <f>IF(C_Ope_002[[#This Row],[fecha]]&gt;0,TEXT(C_Ope_002[[#This Row],[fecha]],"mmmm"),0)</f>
        <v>Enero</v>
      </c>
      <c r="AB18" s="49"/>
    </row>
    <row r="19" spans="1:28" ht="24" x14ac:dyDescent="0.3">
      <c r="A19" s="2">
        <f>IF(C_Ope_002[[#This Row],[tipo_r]]="R",COUNTIFS($C$1:$C18,"R")+1,"")</f>
        <v>18</v>
      </c>
      <c r="B19" s="19" t="str">
        <f t="shared" si="0"/>
        <v>C_Ope_002</v>
      </c>
      <c r="C19" s="3" t="s">
        <v>1330</v>
      </c>
      <c r="D19" s="14">
        <v>45670</v>
      </c>
      <c r="E19" s="5" t="s">
        <v>8005</v>
      </c>
      <c r="F19" s="5" t="s">
        <v>1336</v>
      </c>
      <c r="G19" s="6" t="s">
        <v>978</v>
      </c>
      <c r="H19" s="6" t="s">
        <v>68</v>
      </c>
      <c r="I19" s="6" t="s">
        <v>6203</v>
      </c>
      <c r="J19" s="6">
        <v>1926567</v>
      </c>
      <c r="K19" s="7" t="s">
        <v>8015</v>
      </c>
      <c r="L19" s="8">
        <v>22676</v>
      </c>
      <c r="M19" s="8" t="str">
        <f t="shared" si="5"/>
        <v>PEN</v>
      </c>
      <c r="N19" s="13"/>
      <c r="O19" s="13">
        <v>12</v>
      </c>
      <c r="P19" s="3">
        <f t="shared" si="2"/>
        <v>0</v>
      </c>
      <c r="Q19" s="3">
        <f t="shared" si="3"/>
        <v>12</v>
      </c>
      <c r="R19" s="3">
        <f t="shared" si="4"/>
        <v>172.7</v>
      </c>
      <c r="S19" s="24" t="s">
        <v>1334</v>
      </c>
      <c r="T19" s="24" t="s">
        <v>1334</v>
      </c>
      <c r="U19" s="3"/>
      <c r="V19" s="25" t="s">
        <v>8006</v>
      </c>
      <c r="W19" s="25">
        <v>20517252558</v>
      </c>
      <c r="X19" s="25" t="str">
        <f>IFERROR(VLOOKUP(C_Ope_002[[#This Row],[nota_2]],Clientes_Proveedores[[Ruc / Dni]:[Razon Social]],2,0),"")</f>
        <v>COVISUR S.A.</v>
      </c>
      <c r="Y19" s="25"/>
      <c r="Z19" s="103"/>
      <c r="AA19" s="3" t="str">
        <f>IF(C_Ope_002[[#This Row],[fecha]]&gt;0,TEXT(C_Ope_002[[#This Row],[fecha]],"mmmm"),0)</f>
        <v>Enero</v>
      </c>
      <c r="AB19" s="49"/>
    </row>
    <row r="20" spans="1:28" ht="24" x14ac:dyDescent="0.3">
      <c r="A20" s="2">
        <f>IF(C_Ope_002[[#This Row],[tipo_r]]="R",COUNTIFS($C$1:$C19,"R")+1,"")</f>
        <v>19</v>
      </c>
      <c r="B20" s="19" t="str">
        <f t="shared" si="0"/>
        <v>C_Ope_002</v>
      </c>
      <c r="C20" s="3" t="s">
        <v>1330</v>
      </c>
      <c r="D20" s="14">
        <v>45672</v>
      </c>
      <c r="E20" s="5" t="s">
        <v>8005</v>
      </c>
      <c r="F20" s="5" t="s">
        <v>1336</v>
      </c>
      <c r="G20" s="6" t="s">
        <v>978</v>
      </c>
      <c r="H20" s="6" t="s">
        <v>68</v>
      </c>
      <c r="I20" s="6" t="s">
        <v>6203</v>
      </c>
      <c r="J20" s="6">
        <v>1928583</v>
      </c>
      <c r="K20" s="7" t="s">
        <v>8016</v>
      </c>
      <c r="L20" s="8">
        <v>22677</v>
      </c>
      <c r="M20" s="8" t="str">
        <f t="shared" si="5"/>
        <v>PEN</v>
      </c>
      <c r="N20" s="13"/>
      <c r="O20" s="13">
        <v>12</v>
      </c>
      <c r="P20" s="3">
        <f t="shared" si="2"/>
        <v>0</v>
      </c>
      <c r="Q20" s="3">
        <f t="shared" si="3"/>
        <v>12</v>
      </c>
      <c r="R20" s="3">
        <f t="shared" si="4"/>
        <v>160.69999999999999</v>
      </c>
      <c r="S20" s="24" t="s">
        <v>1334</v>
      </c>
      <c r="T20" s="24" t="s">
        <v>1334</v>
      </c>
      <c r="U20" s="3"/>
      <c r="V20" s="25" t="s">
        <v>8006</v>
      </c>
      <c r="W20" s="25">
        <v>20517252558</v>
      </c>
      <c r="X20" s="25" t="str">
        <f>IFERROR(VLOOKUP(C_Ope_002[[#This Row],[nota_2]],Clientes_Proveedores[[Ruc / Dni]:[Razon Social]],2,0),"")</f>
        <v>COVISUR S.A.</v>
      </c>
      <c r="Y20" s="25"/>
      <c r="Z20" s="103"/>
      <c r="AA20" s="3" t="str">
        <f>IF(C_Ope_002[[#This Row],[fecha]]&gt;0,TEXT(C_Ope_002[[#This Row],[fecha]],"mmmm"),0)</f>
        <v>Enero</v>
      </c>
      <c r="AB20" s="49"/>
    </row>
    <row r="21" spans="1:28" ht="24" x14ac:dyDescent="0.3">
      <c r="A21" s="2">
        <f>IF(C_Ope_002[[#This Row],[tipo_r]]="R",COUNTIFS($C$1:$C20,"R")+1,"")</f>
        <v>20</v>
      </c>
      <c r="B21" s="19" t="str">
        <f t="shared" si="0"/>
        <v>C_Ope_002</v>
      </c>
      <c r="C21" s="3" t="s">
        <v>1330</v>
      </c>
      <c r="D21" s="14">
        <v>45673</v>
      </c>
      <c r="E21" s="5" t="s">
        <v>8005</v>
      </c>
      <c r="F21" s="5" t="s">
        <v>1336</v>
      </c>
      <c r="G21" s="6" t="s">
        <v>978</v>
      </c>
      <c r="H21" s="6" t="s">
        <v>68</v>
      </c>
      <c r="I21" s="6" t="s">
        <v>5688</v>
      </c>
      <c r="J21" s="6">
        <v>2198812</v>
      </c>
      <c r="K21" s="7" t="s">
        <v>8017</v>
      </c>
      <c r="L21" s="8">
        <v>22678</v>
      </c>
      <c r="M21" s="8" t="str">
        <f t="shared" si="5"/>
        <v>PEN</v>
      </c>
      <c r="N21" s="13"/>
      <c r="O21" s="13">
        <v>12</v>
      </c>
      <c r="P21" s="3">
        <f t="shared" si="2"/>
        <v>0</v>
      </c>
      <c r="Q21" s="3">
        <f t="shared" si="3"/>
        <v>12</v>
      </c>
      <c r="R21" s="3">
        <f t="shared" si="4"/>
        <v>148.69999999999999</v>
      </c>
      <c r="S21" s="24" t="s">
        <v>1334</v>
      </c>
      <c r="T21" s="24" t="s">
        <v>1334</v>
      </c>
      <c r="U21" s="3"/>
      <c r="V21" s="25" t="s">
        <v>8006</v>
      </c>
      <c r="W21" s="25">
        <v>20517252558</v>
      </c>
      <c r="X21" s="25" t="str">
        <f>IFERROR(VLOOKUP(C_Ope_002[[#This Row],[nota_2]],Clientes_Proveedores[[Ruc / Dni]:[Razon Social]],2,0),"")</f>
        <v>COVISUR S.A.</v>
      </c>
      <c r="Y21" s="25"/>
      <c r="Z21" s="103"/>
      <c r="AA21" s="3" t="str">
        <f>IF(C_Ope_002[[#This Row],[fecha]]&gt;0,TEXT(C_Ope_002[[#This Row],[fecha]],"mmmm"),0)</f>
        <v>Enero</v>
      </c>
      <c r="AB21" s="49"/>
    </row>
    <row r="22" spans="1:28" ht="24" x14ac:dyDescent="0.3">
      <c r="A22" s="2">
        <f>IF(C_Ope_002[[#This Row],[tipo_r]]="R",COUNTIFS($C$1:$C21,"R")+1,"")</f>
        <v>21</v>
      </c>
      <c r="B22" s="19" t="str">
        <f t="shared" si="0"/>
        <v>C_Ope_002</v>
      </c>
      <c r="C22" s="3" t="s">
        <v>1330</v>
      </c>
      <c r="D22" s="14">
        <v>45673</v>
      </c>
      <c r="E22" s="5" t="s">
        <v>8005</v>
      </c>
      <c r="F22" s="5" t="s">
        <v>1336</v>
      </c>
      <c r="G22" s="6" t="s">
        <v>978</v>
      </c>
      <c r="H22" s="6" t="s">
        <v>68</v>
      </c>
      <c r="I22" s="6" t="s">
        <v>6203</v>
      </c>
      <c r="J22" s="6">
        <v>1929512</v>
      </c>
      <c r="K22" s="7" t="s">
        <v>8017</v>
      </c>
      <c r="L22" s="8">
        <v>22679</v>
      </c>
      <c r="M22" s="8" t="str">
        <f t="shared" si="5"/>
        <v>PEN</v>
      </c>
      <c r="N22" s="13"/>
      <c r="O22" s="13">
        <v>12</v>
      </c>
      <c r="P22" s="3">
        <f t="shared" si="2"/>
        <v>0</v>
      </c>
      <c r="Q22" s="3">
        <f t="shared" si="3"/>
        <v>12</v>
      </c>
      <c r="R22" s="3">
        <f t="shared" si="4"/>
        <v>136.69999999999999</v>
      </c>
      <c r="S22" s="24" t="s">
        <v>1334</v>
      </c>
      <c r="T22" s="24" t="s">
        <v>1334</v>
      </c>
      <c r="U22" s="3"/>
      <c r="V22" s="25" t="s">
        <v>8006</v>
      </c>
      <c r="W22" s="25">
        <v>20517252558</v>
      </c>
      <c r="X22" s="25" t="str">
        <f>IFERROR(VLOOKUP(C_Ope_002[[#This Row],[nota_2]],Clientes_Proveedores[[Ruc / Dni]:[Razon Social]],2,0),"")</f>
        <v>COVISUR S.A.</v>
      </c>
      <c r="Y22" s="25"/>
      <c r="Z22" s="103"/>
      <c r="AA22" s="3" t="str">
        <f>IF(C_Ope_002[[#This Row],[fecha]]&gt;0,TEXT(C_Ope_002[[#This Row],[fecha]],"mmmm"),0)</f>
        <v>Enero</v>
      </c>
      <c r="AB22" s="49"/>
    </row>
    <row r="23" spans="1:28" x14ac:dyDescent="0.3">
      <c r="A23" s="2">
        <f>IF(C_Ope_002[[#This Row],[tipo_r]]="R",COUNTIFS($C$1:$C22,"R")+1,"")</f>
        <v>22</v>
      </c>
      <c r="B23" s="19" t="str">
        <f t="shared" si="0"/>
        <v>C_Ope_002</v>
      </c>
      <c r="C23" s="3" t="s">
        <v>1330</v>
      </c>
      <c r="D23" s="14">
        <v>45674</v>
      </c>
      <c r="E23" s="5" t="s">
        <v>8005</v>
      </c>
      <c r="F23" s="5" t="s">
        <v>1336</v>
      </c>
      <c r="G23" s="6" t="s">
        <v>978</v>
      </c>
      <c r="H23" s="6" t="s">
        <v>68</v>
      </c>
      <c r="I23" s="6" t="s">
        <v>5688</v>
      </c>
      <c r="J23" s="6">
        <v>2199891</v>
      </c>
      <c r="K23" s="7" t="s">
        <v>8018</v>
      </c>
      <c r="L23" s="8">
        <v>22726</v>
      </c>
      <c r="M23" s="8" t="str">
        <f t="shared" si="5"/>
        <v>PEN</v>
      </c>
      <c r="N23" s="13"/>
      <c r="O23" s="13">
        <v>12</v>
      </c>
      <c r="P23" s="3">
        <f t="shared" si="2"/>
        <v>0</v>
      </c>
      <c r="Q23" s="3">
        <f t="shared" si="3"/>
        <v>12</v>
      </c>
      <c r="R23" s="3">
        <f t="shared" si="4"/>
        <v>124.69999999999999</v>
      </c>
      <c r="S23" s="24" t="s">
        <v>1334</v>
      </c>
      <c r="T23" s="24" t="s">
        <v>1334</v>
      </c>
      <c r="U23" s="3"/>
      <c r="V23" s="25" t="s">
        <v>8006</v>
      </c>
      <c r="W23" s="25">
        <v>20517252558</v>
      </c>
      <c r="X23" s="25" t="str">
        <f>IFERROR(VLOOKUP(C_Ope_002[[#This Row],[nota_2]],Clientes_Proveedores[[Ruc / Dni]:[Razon Social]],2,0),"")</f>
        <v>COVISUR S.A.</v>
      </c>
      <c r="Y23" s="25"/>
      <c r="Z23" s="103"/>
      <c r="AA23" s="3" t="str">
        <f>IF(C_Ope_002[[#This Row],[fecha]]&gt;0,TEXT(C_Ope_002[[#This Row],[fecha]],"mmmm"),0)</f>
        <v>Enero</v>
      </c>
      <c r="AB23" s="49"/>
    </row>
    <row r="24" spans="1:28" x14ac:dyDescent="0.3">
      <c r="A24" s="2">
        <f>IF(C_Ope_002[[#This Row],[tipo_r]]="R",COUNTIFS($C$1:$C23,"R")+1,"")</f>
        <v>23</v>
      </c>
      <c r="B24" s="19" t="str">
        <f t="shared" si="0"/>
        <v>C_Ope_002</v>
      </c>
      <c r="C24" s="3" t="s">
        <v>1330</v>
      </c>
      <c r="D24" s="14">
        <v>45674</v>
      </c>
      <c r="E24" s="5" t="s">
        <v>8005</v>
      </c>
      <c r="F24" s="5" t="s">
        <v>1336</v>
      </c>
      <c r="G24" s="6" t="s">
        <v>978</v>
      </c>
      <c r="H24" s="6" t="s">
        <v>68</v>
      </c>
      <c r="I24" s="6" t="s">
        <v>5845</v>
      </c>
      <c r="J24" s="6">
        <v>1652084</v>
      </c>
      <c r="K24" s="7" t="s">
        <v>8018</v>
      </c>
      <c r="L24" s="8">
        <v>22727</v>
      </c>
      <c r="M24" s="8" t="str">
        <f t="shared" si="5"/>
        <v>PEN</v>
      </c>
      <c r="N24" s="13"/>
      <c r="O24" s="13">
        <v>12</v>
      </c>
      <c r="P24" s="3">
        <f t="shared" si="2"/>
        <v>0</v>
      </c>
      <c r="Q24" s="3">
        <f t="shared" si="3"/>
        <v>12</v>
      </c>
      <c r="R24" s="3">
        <f t="shared" si="4"/>
        <v>112.69999999999999</v>
      </c>
      <c r="S24" s="24" t="s">
        <v>1334</v>
      </c>
      <c r="T24" s="24" t="s">
        <v>1334</v>
      </c>
      <c r="U24" s="3"/>
      <c r="V24" s="25" t="s">
        <v>8006</v>
      </c>
      <c r="W24" s="25">
        <v>20517252558</v>
      </c>
      <c r="X24" s="25" t="str">
        <f>IFERROR(VLOOKUP(C_Ope_002[[#This Row],[nota_2]],Clientes_Proveedores[[Ruc / Dni]:[Razon Social]],2,0),"")</f>
        <v>COVISUR S.A.</v>
      </c>
      <c r="Y24" s="25"/>
      <c r="Z24" s="103"/>
      <c r="AA24" s="3" t="str">
        <f>IF(C_Ope_002[[#This Row],[fecha]]&gt;0,TEXT(C_Ope_002[[#This Row],[fecha]],"mmmm"),0)</f>
        <v>Enero</v>
      </c>
      <c r="AB24" s="49"/>
    </row>
    <row r="25" spans="1:28" ht="24" x14ac:dyDescent="0.3">
      <c r="A25" s="2">
        <f>IF(C_Ope_002[[#This Row],[tipo_r]]="R",COUNTIFS($C$1:$C24,"R")+1,"")</f>
        <v>24</v>
      </c>
      <c r="B25" s="19" t="str">
        <f t="shared" si="0"/>
        <v>C_Ope_002</v>
      </c>
      <c r="C25" s="3" t="s">
        <v>1330</v>
      </c>
      <c r="D25" s="14">
        <v>45670</v>
      </c>
      <c r="E25" s="5" t="s">
        <v>8005</v>
      </c>
      <c r="F25" s="5" t="s">
        <v>1336</v>
      </c>
      <c r="G25" s="6" t="s">
        <v>1147</v>
      </c>
      <c r="H25" s="6" t="s">
        <v>68</v>
      </c>
      <c r="I25" s="6" t="s">
        <v>1386</v>
      </c>
      <c r="J25" s="6">
        <v>15841</v>
      </c>
      <c r="K25" s="7" t="s">
        <v>8019</v>
      </c>
      <c r="L25" s="8">
        <v>22627</v>
      </c>
      <c r="M25" s="8" t="str">
        <f t="shared" si="5"/>
        <v>PEN</v>
      </c>
      <c r="N25" s="13"/>
      <c r="O25" s="13">
        <v>24</v>
      </c>
      <c r="P25" s="3">
        <f t="shared" si="2"/>
        <v>0</v>
      </c>
      <c r="Q25" s="3">
        <f t="shared" si="3"/>
        <v>24</v>
      </c>
      <c r="R25" s="3">
        <f t="shared" si="4"/>
        <v>88.699999999999989</v>
      </c>
      <c r="S25" s="24" t="s">
        <v>1334</v>
      </c>
      <c r="T25" s="24" t="s">
        <v>1334</v>
      </c>
      <c r="U25" s="3"/>
      <c r="V25" s="25" t="s">
        <v>8006</v>
      </c>
      <c r="W25" s="25">
        <v>20162554167</v>
      </c>
      <c r="X25" s="25" t="str">
        <f>IFERROR(VLOOKUP(C_Ope_002[[#This Row],[nota_2]],Clientes_Proveedores[[Ruc / Dni]:[Razon Social]],2,0),"")</f>
        <v>AUTORIDAD AUTONOMA DE MAJES</v>
      </c>
      <c r="Y25" s="25"/>
      <c r="Z25" s="103"/>
      <c r="AA25" s="3" t="str">
        <f>IF(C_Ope_002[[#This Row],[fecha]]&gt;0,TEXT(C_Ope_002[[#This Row],[fecha]],"mmmm"),0)</f>
        <v>Enero</v>
      </c>
      <c r="AB25" s="49"/>
    </row>
    <row r="26" spans="1:28" ht="24" x14ac:dyDescent="0.3">
      <c r="A26" s="2">
        <f>IF(C_Ope_002[[#This Row],[tipo_r]]="R",COUNTIFS($C$1:$C25,"R")+1,"")</f>
        <v>25</v>
      </c>
      <c r="B26" s="19" t="str">
        <f t="shared" si="0"/>
        <v>C_Ope_002</v>
      </c>
      <c r="C26" s="3" t="s">
        <v>1330</v>
      </c>
      <c r="D26" s="14">
        <v>45674</v>
      </c>
      <c r="E26" s="5" t="s">
        <v>8005</v>
      </c>
      <c r="F26" s="5" t="s">
        <v>1336</v>
      </c>
      <c r="G26" s="6" t="s">
        <v>1147</v>
      </c>
      <c r="H26" s="6" t="s">
        <v>68</v>
      </c>
      <c r="I26" s="6" t="s">
        <v>1386</v>
      </c>
      <c r="J26" s="6">
        <v>15866</v>
      </c>
      <c r="K26" s="7" t="s">
        <v>8020</v>
      </c>
      <c r="L26" s="8">
        <v>22724</v>
      </c>
      <c r="M26" s="8" t="str">
        <f t="shared" si="5"/>
        <v>PEN</v>
      </c>
      <c r="N26" s="13"/>
      <c r="O26" s="13">
        <v>24</v>
      </c>
      <c r="P26" s="3">
        <f t="shared" si="2"/>
        <v>0</v>
      </c>
      <c r="Q26" s="3">
        <f t="shared" si="3"/>
        <v>24</v>
      </c>
      <c r="R26" s="3">
        <f t="shared" si="4"/>
        <v>64.699999999999989</v>
      </c>
      <c r="S26" s="24" t="s">
        <v>1334</v>
      </c>
      <c r="T26" s="24" t="s">
        <v>1334</v>
      </c>
      <c r="U26" s="3"/>
      <c r="V26" s="25" t="s">
        <v>8006</v>
      </c>
      <c r="W26" s="25">
        <v>20162554167</v>
      </c>
      <c r="X26" s="25" t="str">
        <f>IFERROR(VLOOKUP(C_Ope_002[[#This Row],[nota_2]],Clientes_Proveedores[[Ruc / Dni]:[Razon Social]],2,0),"")</f>
        <v>AUTORIDAD AUTONOMA DE MAJES</v>
      </c>
      <c r="Y26" s="25"/>
      <c r="Z26" s="103"/>
      <c r="AA26" s="3" t="str">
        <f>IF(C_Ope_002[[#This Row],[fecha]]&gt;0,TEXT(C_Ope_002[[#This Row],[fecha]],"mmmm"),0)</f>
        <v>Enero</v>
      </c>
      <c r="AB26" s="49"/>
    </row>
    <row r="27" spans="1:28" ht="36" x14ac:dyDescent="0.3">
      <c r="A27" s="2">
        <f>IF(C_Ope_002[[#This Row],[tipo_r]]="R",COUNTIFS($C$1:$C26,"R")+1,"")</f>
        <v>26</v>
      </c>
      <c r="B27" s="19" t="str">
        <f t="shared" si="0"/>
        <v>C_Ope_002</v>
      </c>
      <c r="C27" s="3" t="s">
        <v>1330</v>
      </c>
      <c r="D27" s="14">
        <v>45674</v>
      </c>
      <c r="E27" s="5" t="s">
        <v>8005</v>
      </c>
      <c r="F27" s="5" t="s">
        <v>1336</v>
      </c>
      <c r="G27" s="6" t="s">
        <v>227</v>
      </c>
      <c r="H27" s="6" t="s">
        <v>68</v>
      </c>
      <c r="I27" s="6" t="s">
        <v>1390</v>
      </c>
      <c r="J27" s="6">
        <v>127131</v>
      </c>
      <c r="K27" s="7" t="s">
        <v>8021</v>
      </c>
      <c r="L27" s="8">
        <v>22725</v>
      </c>
      <c r="M27" s="8" t="str">
        <f t="shared" si="5"/>
        <v>PEN</v>
      </c>
      <c r="N27" s="13"/>
      <c r="O27" s="13">
        <v>10</v>
      </c>
      <c r="P27" s="3">
        <f t="shared" si="2"/>
        <v>0</v>
      </c>
      <c r="Q27" s="3">
        <f t="shared" si="3"/>
        <v>10</v>
      </c>
      <c r="R27" s="3">
        <f t="shared" si="4"/>
        <v>54.699999999999989</v>
      </c>
      <c r="S27" s="24" t="s">
        <v>1334</v>
      </c>
      <c r="T27" s="24" t="s">
        <v>1334</v>
      </c>
      <c r="U27" s="3"/>
      <c r="V27" s="25" t="s">
        <v>8006</v>
      </c>
      <c r="W27" s="25">
        <v>20124952850</v>
      </c>
      <c r="X27" s="25" t="str">
        <f>IFERROR(VLOOKUP(C_Ope_002[[#This Row],[nota_2]],Clientes_Proveedores[[Ruc / Dni]:[Razon Social]],2,0),"")</f>
        <v>ALIMENTOS Y SERVICIOS AGROPECUARIOS SRL.</v>
      </c>
      <c r="Y27" s="25"/>
      <c r="Z27" s="103"/>
      <c r="AA27" s="3" t="str">
        <f>IF(C_Ope_002[[#This Row],[fecha]]&gt;0,TEXT(C_Ope_002[[#This Row],[fecha]],"mmmm"),0)</f>
        <v>Enero</v>
      </c>
      <c r="AB27" s="49"/>
    </row>
    <row r="28" spans="1:28" ht="24" x14ac:dyDescent="0.3">
      <c r="A28" s="2">
        <f>IF(C_Ope_002[[#This Row],[tipo_r]]="R",COUNTIFS($C$1:$C27,"R")+1,"")</f>
        <v>27</v>
      </c>
      <c r="B28" s="19" t="str">
        <f t="shared" si="0"/>
        <v>C_Ope_002</v>
      </c>
      <c r="C28" s="3" t="s">
        <v>1330</v>
      </c>
      <c r="D28" s="14">
        <v>45678</v>
      </c>
      <c r="E28" s="5" t="s">
        <v>7514</v>
      </c>
      <c r="F28" s="5" t="s">
        <v>1303</v>
      </c>
      <c r="G28" s="6" t="s">
        <v>829</v>
      </c>
      <c r="H28" s="6"/>
      <c r="I28" s="6"/>
      <c r="J28" s="6"/>
      <c r="K28" s="7" t="s">
        <v>7516</v>
      </c>
      <c r="L28" s="8">
        <v>22804</v>
      </c>
      <c r="M28" s="8" t="str">
        <f t="shared" si="5"/>
        <v>PEN</v>
      </c>
      <c r="N28" s="13"/>
      <c r="O28" s="13">
        <v>150</v>
      </c>
      <c r="P28" s="3">
        <f t="shared" si="2"/>
        <v>150</v>
      </c>
      <c r="Q28" s="3">
        <f t="shared" si="3"/>
        <v>0</v>
      </c>
      <c r="R28" s="3">
        <f t="shared" si="4"/>
        <v>204.7</v>
      </c>
      <c r="S28" s="24" t="s">
        <v>1334</v>
      </c>
      <c r="T28" s="24" t="s">
        <v>1334</v>
      </c>
      <c r="U28" s="3"/>
      <c r="V28" s="25"/>
      <c r="W28" s="25"/>
      <c r="X28" s="25" t="str">
        <f>IFERROR(VLOOKUP(C_Ope_002[[#This Row],[nota_2]],Clientes_Proveedores[[Ruc / Dni]:[Razon Social]],2,0),"")</f>
        <v/>
      </c>
      <c r="Y28" s="25"/>
      <c r="Z28" s="103"/>
      <c r="AA28" s="3" t="str">
        <f>IF(C_Ope_002[[#This Row],[fecha]]&gt;0,TEXT(C_Ope_002[[#This Row],[fecha]],"mmmm"),0)</f>
        <v>Enero</v>
      </c>
      <c r="AB28" s="49"/>
    </row>
    <row r="29" spans="1:28" ht="24" x14ac:dyDescent="0.3">
      <c r="A29" s="2">
        <f>IF(C_Ope_002[[#This Row],[tipo_r]]="R",COUNTIFS($C$1:$C28,"R")+1,"")</f>
        <v>28</v>
      </c>
      <c r="B29" s="19" t="str">
        <f t="shared" si="0"/>
        <v>C_Ope_002</v>
      </c>
      <c r="C29" s="3" t="s">
        <v>1330</v>
      </c>
      <c r="D29" s="14">
        <v>45677</v>
      </c>
      <c r="E29" s="5" t="s">
        <v>8005</v>
      </c>
      <c r="F29" s="5" t="s">
        <v>1336</v>
      </c>
      <c r="G29" s="6" t="s">
        <v>978</v>
      </c>
      <c r="H29" s="6" t="s">
        <v>68</v>
      </c>
      <c r="I29" s="6" t="s">
        <v>6203</v>
      </c>
      <c r="J29" s="6">
        <v>1934026</v>
      </c>
      <c r="K29" s="7" t="s">
        <v>8022</v>
      </c>
      <c r="L29" s="8">
        <v>22757</v>
      </c>
      <c r="M29" s="8" t="str">
        <f t="shared" si="5"/>
        <v>PEN</v>
      </c>
      <c r="N29" s="13"/>
      <c r="O29" s="13">
        <v>12</v>
      </c>
      <c r="P29" s="3">
        <f t="shared" si="2"/>
        <v>0</v>
      </c>
      <c r="Q29" s="3">
        <f t="shared" si="3"/>
        <v>12</v>
      </c>
      <c r="R29" s="3">
        <f t="shared" si="4"/>
        <v>192.7</v>
      </c>
      <c r="S29" s="24" t="s">
        <v>1334</v>
      </c>
      <c r="T29" s="24" t="s">
        <v>1334</v>
      </c>
      <c r="U29" s="3"/>
      <c r="V29" s="25" t="s">
        <v>8006</v>
      </c>
      <c r="W29" s="25">
        <v>20517252558</v>
      </c>
      <c r="X29" s="25" t="str">
        <f>IFERROR(VLOOKUP(C_Ope_002[[#This Row],[nota_2]],Clientes_Proveedores[[Ruc / Dni]:[Razon Social]],2,0),"")</f>
        <v>COVISUR S.A.</v>
      </c>
      <c r="Y29" s="25"/>
      <c r="Z29" s="103"/>
      <c r="AA29" s="3" t="str">
        <f>IF(C_Ope_002[[#This Row],[fecha]]&gt;0,TEXT(C_Ope_002[[#This Row],[fecha]],"mmmm"),0)</f>
        <v>Enero</v>
      </c>
      <c r="AB29" s="49"/>
    </row>
    <row r="30" spans="1:28" ht="24" x14ac:dyDescent="0.3">
      <c r="A30" s="2">
        <f>IF(C_Ope_002[[#This Row],[tipo_r]]="R",COUNTIFS($C$1:$C29,"R")+1,"")</f>
        <v>29</v>
      </c>
      <c r="B30" s="19" t="str">
        <f t="shared" si="0"/>
        <v>C_Ope_002</v>
      </c>
      <c r="C30" s="3" t="s">
        <v>1330</v>
      </c>
      <c r="D30" s="14">
        <v>45677</v>
      </c>
      <c r="E30" s="5" t="s">
        <v>8005</v>
      </c>
      <c r="F30" s="5" t="s">
        <v>1336</v>
      </c>
      <c r="G30" s="6" t="s">
        <v>978</v>
      </c>
      <c r="H30" s="6" t="s">
        <v>68</v>
      </c>
      <c r="I30" s="6" t="s">
        <v>6204</v>
      </c>
      <c r="J30" s="6">
        <v>1635502</v>
      </c>
      <c r="K30" s="7" t="s">
        <v>8022</v>
      </c>
      <c r="L30" s="8">
        <v>22758</v>
      </c>
      <c r="M30" s="8" t="str">
        <f t="shared" si="5"/>
        <v>PEN</v>
      </c>
      <c r="N30" s="13"/>
      <c r="O30" s="13">
        <v>12</v>
      </c>
      <c r="P30" s="3">
        <f t="shared" si="2"/>
        <v>0</v>
      </c>
      <c r="Q30" s="3">
        <f t="shared" si="3"/>
        <v>12</v>
      </c>
      <c r="R30" s="3">
        <f t="shared" si="4"/>
        <v>180.7</v>
      </c>
      <c r="S30" s="24" t="s">
        <v>1334</v>
      </c>
      <c r="T30" s="24" t="s">
        <v>1334</v>
      </c>
      <c r="U30" s="3"/>
      <c r="V30" s="25" t="s">
        <v>8006</v>
      </c>
      <c r="W30" s="25">
        <v>20517252558</v>
      </c>
      <c r="X30" s="25" t="str">
        <f>IFERROR(VLOOKUP(C_Ope_002[[#This Row],[nota_2]],Clientes_Proveedores[[Ruc / Dni]:[Razon Social]],2,0),"")</f>
        <v>COVISUR S.A.</v>
      </c>
      <c r="Y30" s="25"/>
      <c r="Z30" s="103"/>
      <c r="AA30" s="3" t="str">
        <f>IF(C_Ope_002[[#This Row],[fecha]]&gt;0,TEXT(C_Ope_002[[#This Row],[fecha]],"mmmm"),0)</f>
        <v>Enero</v>
      </c>
      <c r="AB30" s="49"/>
    </row>
    <row r="31" spans="1:28" ht="24" x14ac:dyDescent="0.3">
      <c r="A31" s="2">
        <f>IF(C_Ope_002[[#This Row],[tipo_r]]="R",COUNTIFS($C$1:$C30,"R")+1,"")</f>
        <v>30</v>
      </c>
      <c r="B31" s="19" t="str">
        <f t="shared" si="0"/>
        <v>C_Ope_002</v>
      </c>
      <c r="C31" s="3" t="s">
        <v>1330</v>
      </c>
      <c r="D31" s="14">
        <v>45678</v>
      </c>
      <c r="E31" s="5" t="s">
        <v>8005</v>
      </c>
      <c r="F31" s="5" t="s">
        <v>1336</v>
      </c>
      <c r="G31" s="6" t="s">
        <v>978</v>
      </c>
      <c r="H31" s="6" t="s">
        <v>68</v>
      </c>
      <c r="I31" s="6" t="s">
        <v>5688</v>
      </c>
      <c r="J31" s="6">
        <v>2204764</v>
      </c>
      <c r="K31" s="7" t="s">
        <v>8023</v>
      </c>
      <c r="L31" s="8">
        <v>22755</v>
      </c>
      <c r="M31" s="8" t="str">
        <f t="shared" si="5"/>
        <v>PEN</v>
      </c>
      <c r="N31" s="13"/>
      <c r="O31" s="13">
        <v>12</v>
      </c>
      <c r="P31" s="3">
        <f t="shared" si="2"/>
        <v>0</v>
      </c>
      <c r="Q31" s="3">
        <f t="shared" si="3"/>
        <v>12</v>
      </c>
      <c r="R31" s="3">
        <f t="shared" si="4"/>
        <v>168.7</v>
      </c>
      <c r="S31" s="24" t="s">
        <v>1334</v>
      </c>
      <c r="T31" s="24" t="s">
        <v>1334</v>
      </c>
      <c r="U31" s="3"/>
      <c r="V31" s="25" t="s">
        <v>8006</v>
      </c>
      <c r="W31" s="25">
        <v>20517252558</v>
      </c>
      <c r="X31" s="25" t="str">
        <f>IFERROR(VLOOKUP(C_Ope_002[[#This Row],[nota_2]],Clientes_Proveedores[[Ruc / Dni]:[Razon Social]],2,0),"")</f>
        <v>COVISUR S.A.</v>
      </c>
      <c r="Y31" s="25"/>
      <c r="Z31" s="103"/>
      <c r="AA31" s="3" t="str">
        <f>IF(C_Ope_002[[#This Row],[fecha]]&gt;0,TEXT(C_Ope_002[[#This Row],[fecha]],"mmmm"),0)</f>
        <v>Enero</v>
      </c>
      <c r="AB31" s="49"/>
    </row>
    <row r="32" spans="1:28" ht="24" x14ac:dyDescent="0.3">
      <c r="A32" s="2">
        <f>IF(C_Ope_002[[#This Row],[tipo_r]]="R",COUNTIFS($C$1:$C31,"R")+1,"")</f>
        <v>31</v>
      </c>
      <c r="B32" s="19" t="str">
        <f t="shared" si="0"/>
        <v>C_Ope_002</v>
      </c>
      <c r="C32" s="3" t="s">
        <v>1330</v>
      </c>
      <c r="D32" s="14">
        <v>45678</v>
      </c>
      <c r="E32" s="5" t="s">
        <v>8005</v>
      </c>
      <c r="F32" s="5" t="s">
        <v>1336</v>
      </c>
      <c r="G32" s="6" t="s">
        <v>978</v>
      </c>
      <c r="H32" s="6" t="s">
        <v>68</v>
      </c>
      <c r="I32" s="6" t="s">
        <v>5845</v>
      </c>
      <c r="J32" s="6">
        <v>1655450</v>
      </c>
      <c r="K32" s="7" t="s">
        <v>8023</v>
      </c>
      <c r="L32" s="8">
        <v>22756</v>
      </c>
      <c r="M32" s="8" t="str">
        <f t="shared" si="5"/>
        <v>PEN</v>
      </c>
      <c r="N32" s="13"/>
      <c r="O32" s="13">
        <v>12</v>
      </c>
      <c r="P32" s="3">
        <f t="shared" si="2"/>
        <v>0</v>
      </c>
      <c r="Q32" s="3">
        <f t="shared" si="3"/>
        <v>12</v>
      </c>
      <c r="R32" s="3">
        <f t="shared" si="4"/>
        <v>156.69999999999999</v>
      </c>
      <c r="S32" s="24" t="s">
        <v>1334</v>
      </c>
      <c r="T32" s="24" t="s">
        <v>1334</v>
      </c>
      <c r="U32" s="3"/>
      <c r="V32" s="25" t="s">
        <v>8006</v>
      </c>
      <c r="W32" s="25">
        <v>20517252558</v>
      </c>
      <c r="X32" s="25" t="str">
        <f>IFERROR(VLOOKUP(C_Ope_002[[#This Row],[nota_2]],Clientes_Proveedores[[Ruc / Dni]:[Razon Social]],2,0),"")</f>
        <v>COVISUR S.A.</v>
      </c>
      <c r="Y32" s="25"/>
      <c r="Z32" s="103"/>
      <c r="AA32" s="3" t="str">
        <f>IF(C_Ope_002[[#This Row],[fecha]]&gt;0,TEXT(C_Ope_002[[#This Row],[fecha]],"mmmm"),0)</f>
        <v>Enero</v>
      </c>
      <c r="AB32" s="49"/>
    </row>
    <row r="33" spans="1:28" ht="24" x14ac:dyDescent="0.3">
      <c r="A33" s="2">
        <f>IF(C_Ope_002[[#This Row],[tipo_r]]="R",COUNTIFS($C$1:$C32,"R")+1,"")</f>
        <v>32</v>
      </c>
      <c r="B33" s="19" t="str">
        <f t="shared" si="0"/>
        <v>C_Ope_002</v>
      </c>
      <c r="C33" s="3" t="s">
        <v>1330</v>
      </c>
      <c r="D33" s="14">
        <v>45677</v>
      </c>
      <c r="E33" s="5" t="s">
        <v>8005</v>
      </c>
      <c r="F33" s="5" t="s">
        <v>1336</v>
      </c>
      <c r="G33" s="6" t="s">
        <v>1147</v>
      </c>
      <c r="H33" s="6" t="s">
        <v>68</v>
      </c>
      <c r="I33" s="6" t="s">
        <v>1386</v>
      </c>
      <c r="J33" s="6">
        <v>15875</v>
      </c>
      <c r="K33" s="7" t="s">
        <v>8024</v>
      </c>
      <c r="L33" s="8">
        <v>22759</v>
      </c>
      <c r="M33" s="8" t="str">
        <f t="shared" si="5"/>
        <v>PEN</v>
      </c>
      <c r="N33" s="13"/>
      <c r="O33" s="13">
        <v>18</v>
      </c>
      <c r="P33" s="3">
        <f t="shared" si="2"/>
        <v>0</v>
      </c>
      <c r="Q33" s="3">
        <f t="shared" si="3"/>
        <v>18</v>
      </c>
      <c r="R33" s="3">
        <f t="shared" si="4"/>
        <v>138.69999999999999</v>
      </c>
      <c r="S33" s="24" t="s">
        <v>1334</v>
      </c>
      <c r="T33" s="24" t="s">
        <v>1334</v>
      </c>
      <c r="U33" s="3"/>
      <c r="V33" s="25" t="s">
        <v>8006</v>
      </c>
      <c r="W33" s="25">
        <v>20162554167</v>
      </c>
      <c r="X33" s="25" t="str">
        <f>IFERROR(VLOOKUP(C_Ope_002[[#This Row],[nota_2]],Clientes_Proveedores[[Ruc / Dni]:[Razon Social]],2,0),"")</f>
        <v>AUTORIDAD AUTONOMA DE MAJES</v>
      </c>
      <c r="Y33" s="25"/>
      <c r="Z33" s="103"/>
      <c r="AA33" s="3" t="str">
        <f>IF(C_Ope_002[[#This Row],[fecha]]&gt;0,TEXT(C_Ope_002[[#This Row],[fecha]],"mmmm"),0)</f>
        <v>Enero</v>
      </c>
      <c r="AB33" s="49"/>
    </row>
    <row r="34" spans="1:28" ht="36" x14ac:dyDescent="0.3">
      <c r="A34" s="2">
        <f>IF(C_Ope_002[[#This Row],[tipo_r]]="R",COUNTIFS($C$1:$C33,"R")+1,"")</f>
        <v>33</v>
      </c>
      <c r="B34" s="19" t="str">
        <f t="shared" si="0"/>
        <v>C_Ope_002</v>
      </c>
      <c r="C34" s="3" t="s">
        <v>1330</v>
      </c>
      <c r="D34" s="14">
        <v>45679</v>
      </c>
      <c r="E34" s="5" t="s">
        <v>8005</v>
      </c>
      <c r="F34" s="5" t="s">
        <v>1336</v>
      </c>
      <c r="G34" s="6" t="s">
        <v>227</v>
      </c>
      <c r="H34" s="6" t="s">
        <v>68</v>
      </c>
      <c r="I34" s="6" t="s">
        <v>1390</v>
      </c>
      <c r="J34" s="6">
        <v>127296</v>
      </c>
      <c r="K34" s="7" t="s">
        <v>8025</v>
      </c>
      <c r="L34" s="8">
        <v>22764</v>
      </c>
      <c r="M34" s="8" t="str">
        <f t="shared" si="5"/>
        <v>PEN</v>
      </c>
      <c r="N34" s="13"/>
      <c r="O34" s="13">
        <v>10</v>
      </c>
      <c r="P34" s="3">
        <f t="shared" si="2"/>
        <v>0</v>
      </c>
      <c r="Q34" s="3">
        <f t="shared" si="3"/>
        <v>10</v>
      </c>
      <c r="R34" s="3">
        <f t="shared" si="4"/>
        <v>128.69999999999999</v>
      </c>
      <c r="S34" s="24" t="s">
        <v>1334</v>
      </c>
      <c r="T34" s="24" t="s">
        <v>1334</v>
      </c>
      <c r="U34" s="3"/>
      <c r="V34" s="25" t="s">
        <v>8006</v>
      </c>
      <c r="W34" s="25">
        <v>20124952850</v>
      </c>
      <c r="X34" s="25" t="str">
        <f>IFERROR(VLOOKUP(C_Ope_002[[#This Row],[nota_2]],Clientes_Proveedores[[Ruc / Dni]:[Razon Social]],2,0),"")</f>
        <v>ALIMENTOS Y SERVICIOS AGROPECUARIOS SRL.</v>
      </c>
      <c r="Y34" s="25"/>
      <c r="Z34" s="103"/>
      <c r="AA34" s="3" t="str">
        <f>IF(C_Ope_002[[#This Row],[fecha]]&gt;0,TEXT(C_Ope_002[[#This Row],[fecha]],"mmmm"),0)</f>
        <v>Enero</v>
      </c>
      <c r="AB34" s="49"/>
    </row>
    <row r="35" spans="1:28" ht="36" x14ac:dyDescent="0.3">
      <c r="A35" s="2">
        <f>IF(C_Ope_002[[#This Row],[tipo_r]]="R",COUNTIFS($C$1:$C34,"R")+1,"")</f>
        <v>34</v>
      </c>
      <c r="B35" s="19" t="str">
        <f t="shared" si="0"/>
        <v>C_Ope_002</v>
      </c>
      <c r="C35" s="3" t="s">
        <v>1330</v>
      </c>
      <c r="D35" s="14">
        <v>45680</v>
      </c>
      <c r="E35" s="5" t="s">
        <v>8005</v>
      </c>
      <c r="F35" s="5" t="s">
        <v>1336</v>
      </c>
      <c r="G35" s="6" t="s">
        <v>227</v>
      </c>
      <c r="H35" s="6" t="s">
        <v>68</v>
      </c>
      <c r="I35" s="6" t="s">
        <v>1390</v>
      </c>
      <c r="J35" s="6">
        <v>127342</v>
      </c>
      <c r="K35" s="7" t="s">
        <v>8026</v>
      </c>
      <c r="L35" s="8">
        <v>22784</v>
      </c>
      <c r="M35" s="8" t="str">
        <f t="shared" si="5"/>
        <v>PEN</v>
      </c>
      <c r="N35" s="13"/>
      <c r="O35" s="13">
        <v>10</v>
      </c>
      <c r="P35" s="3">
        <f t="shared" si="2"/>
        <v>0</v>
      </c>
      <c r="Q35" s="3">
        <f t="shared" si="3"/>
        <v>10</v>
      </c>
      <c r="R35" s="3">
        <f t="shared" si="4"/>
        <v>118.69999999999999</v>
      </c>
      <c r="S35" s="24" t="s">
        <v>1334</v>
      </c>
      <c r="T35" s="24" t="s">
        <v>1334</v>
      </c>
      <c r="U35" s="3"/>
      <c r="V35" s="25" t="s">
        <v>8006</v>
      </c>
      <c r="W35" s="25">
        <v>20124952850</v>
      </c>
      <c r="X35" s="25" t="str">
        <f>IFERROR(VLOOKUP(C_Ope_002[[#This Row],[nota_2]],Clientes_Proveedores[[Ruc / Dni]:[Razon Social]],2,0),"")</f>
        <v>ALIMENTOS Y SERVICIOS AGROPECUARIOS SRL.</v>
      </c>
      <c r="Y35" s="25"/>
      <c r="Z35" s="103"/>
      <c r="AA35" s="3" t="str">
        <f>IF(C_Ope_002[[#This Row],[fecha]]&gt;0,TEXT(C_Ope_002[[#This Row],[fecha]],"mmmm"),0)</f>
        <v>Enero</v>
      </c>
      <c r="AB35" s="49"/>
    </row>
    <row r="36" spans="1:28" ht="36" x14ac:dyDescent="0.3">
      <c r="A36" s="2">
        <f>IF(C_Ope_002[[#This Row],[tipo_r]]="R",COUNTIFS($C$1:$C35,"R")+1,"")</f>
        <v>35</v>
      </c>
      <c r="B36" s="19" t="str">
        <f t="shared" si="0"/>
        <v>C_Ope_002</v>
      </c>
      <c r="C36" s="3" t="s">
        <v>1330</v>
      </c>
      <c r="D36" s="14">
        <v>45680</v>
      </c>
      <c r="E36" s="5" t="s">
        <v>8005</v>
      </c>
      <c r="F36" s="5" t="s">
        <v>1336</v>
      </c>
      <c r="G36" s="6" t="s">
        <v>227</v>
      </c>
      <c r="H36" s="6" t="s">
        <v>68</v>
      </c>
      <c r="I36" s="6" t="s">
        <v>1390</v>
      </c>
      <c r="J36" s="6">
        <v>127344</v>
      </c>
      <c r="K36" s="7" t="s">
        <v>8027</v>
      </c>
      <c r="L36" s="8">
        <v>22785</v>
      </c>
      <c r="M36" s="8" t="str">
        <f t="shared" si="5"/>
        <v>PEN</v>
      </c>
      <c r="N36" s="13"/>
      <c r="O36" s="13">
        <v>10</v>
      </c>
      <c r="P36" s="3">
        <f t="shared" si="2"/>
        <v>0</v>
      </c>
      <c r="Q36" s="3">
        <f t="shared" si="3"/>
        <v>10</v>
      </c>
      <c r="R36" s="3">
        <f t="shared" si="4"/>
        <v>108.69999999999999</v>
      </c>
      <c r="S36" s="24" t="s">
        <v>1334</v>
      </c>
      <c r="T36" s="24" t="s">
        <v>1334</v>
      </c>
      <c r="U36" s="3"/>
      <c r="V36" s="25" t="s">
        <v>8006</v>
      </c>
      <c r="W36" s="25">
        <v>20124952850</v>
      </c>
      <c r="X36" s="25" t="str">
        <f>IFERROR(VLOOKUP(C_Ope_002[[#This Row],[nota_2]],Clientes_Proveedores[[Ruc / Dni]:[Razon Social]],2,0),"")</f>
        <v>ALIMENTOS Y SERVICIOS AGROPECUARIOS SRL.</v>
      </c>
      <c r="Y36" s="25"/>
      <c r="Z36" s="103"/>
      <c r="AA36" s="3" t="str">
        <f>IF(C_Ope_002[[#This Row],[fecha]]&gt;0,TEXT(C_Ope_002[[#This Row],[fecha]],"mmmm"),0)</f>
        <v>Enero</v>
      </c>
      <c r="AB36" s="49"/>
    </row>
    <row r="37" spans="1:28" ht="24" x14ac:dyDescent="0.3">
      <c r="A37" s="2">
        <f>IF(C_Ope_002[[#This Row],[tipo_r]]="R",COUNTIFS($C$1:$C36,"R")+1,"")</f>
        <v>36</v>
      </c>
      <c r="B37" s="19" t="str">
        <f t="shared" si="0"/>
        <v>C_Ope_002</v>
      </c>
      <c r="C37" s="3" t="s">
        <v>1330</v>
      </c>
      <c r="D37" s="14">
        <v>45681</v>
      </c>
      <c r="E37" s="5" t="s">
        <v>8005</v>
      </c>
      <c r="F37" s="5" t="s">
        <v>1336</v>
      </c>
      <c r="G37" s="6" t="s">
        <v>1148</v>
      </c>
      <c r="H37" s="6" t="s">
        <v>68</v>
      </c>
      <c r="I37" s="6" t="s">
        <v>6378</v>
      </c>
      <c r="J37" s="6">
        <v>5032</v>
      </c>
      <c r="K37" s="7" t="s">
        <v>8028</v>
      </c>
      <c r="L37" s="8">
        <v>22786</v>
      </c>
      <c r="M37" s="8" t="str">
        <f t="shared" si="5"/>
        <v>PEN</v>
      </c>
      <c r="N37" s="13"/>
      <c r="O37" s="13">
        <v>10</v>
      </c>
      <c r="P37" s="3">
        <f t="shared" si="2"/>
        <v>0</v>
      </c>
      <c r="Q37" s="3">
        <f t="shared" si="3"/>
        <v>10</v>
      </c>
      <c r="R37" s="3">
        <f t="shared" si="4"/>
        <v>98.699999999999989</v>
      </c>
      <c r="S37" s="24" t="s">
        <v>1334</v>
      </c>
      <c r="T37" s="24" t="s">
        <v>1334</v>
      </c>
      <c r="U37" s="3"/>
      <c r="V37" s="25" t="s">
        <v>8006</v>
      </c>
      <c r="W37" s="25">
        <v>20611633972</v>
      </c>
      <c r="X37" s="25" t="str">
        <f>IFERROR(VLOOKUP(C_Ope_002[[#This Row],[nota_2]],Clientes_Proveedores[[Ruc / Dni]:[Razon Social]],2,0),"")</f>
        <v>NOVAARECY E.I.R.L.</v>
      </c>
      <c r="Y37" s="25"/>
      <c r="Z37" s="103"/>
      <c r="AA37" s="3" t="str">
        <f>IF(C_Ope_002[[#This Row],[fecha]]&gt;0,TEXT(C_Ope_002[[#This Row],[fecha]],"mmmm"),0)</f>
        <v>Enero</v>
      </c>
      <c r="AB37" s="49"/>
    </row>
    <row r="38" spans="1:28" ht="24" x14ac:dyDescent="0.3">
      <c r="A38" s="2">
        <f>IF(C_Ope_002[[#This Row],[tipo_r]]="R",COUNTIFS($C$1:$C37,"R")+1,"")</f>
        <v>37</v>
      </c>
      <c r="B38" s="19" t="str">
        <f t="shared" si="0"/>
        <v>C_Ope_002</v>
      </c>
      <c r="C38" s="3" t="s">
        <v>1330</v>
      </c>
      <c r="D38" s="14">
        <v>45684</v>
      </c>
      <c r="E38" s="5" t="s">
        <v>7514</v>
      </c>
      <c r="F38" s="5" t="s">
        <v>1303</v>
      </c>
      <c r="G38" s="6" t="s">
        <v>829</v>
      </c>
      <c r="H38" s="6"/>
      <c r="I38" s="6"/>
      <c r="J38" s="6"/>
      <c r="K38" s="7" t="s">
        <v>7516</v>
      </c>
      <c r="L38" s="8">
        <v>22855</v>
      </c>
      <c r="M38" s="8" t="str">
        <f t="shared" si="5"/>
        <v>PEN</v>
      </c>
      <c r="N38" s="13"/>
      <c r="O38" s="13">
        <v>100</v>
      </c>
      <c r="P38" s="3">
        <f t="shared" si="2"/>
        <v>100</v>
      </c>
      <c r="Q38" s="3">
        <f t="shared" si="3"/>
        <v>0</v>
      </c>
      <c r="R38" s="3">
        <f t="shared" si="4"/>
        <v>198.7</v>
      </c>
      <c r="S38" s="24" t="s">
        <v>1334</v>
      </c>
      <c r="T38" s="24" t="s">
        <v>1334</v>
      </c>
      <c r="U38" s="3"/>
      <c r="V38" s="25"/>
      <c r="W38" s="25"/>
      <c r="X38" s="25" t="str">
        <f>IFERROR(VLOOKUP(C_Ope_002[[#This Row],[nota_2]],Clientes_Proveedores[[Ruc / Dni]:[Razon Social]],2,0),"")</f>
        <v/>
      </c>
      <c r="Y38" s="25"/>
      <c r="Z38" s="103"/>
      <c r="AA38" s="3" t="str">
        <f>IF(C_Ope_002[[#This Row],[fecha]]&gt;0,TEXT(C_Ope_002[[#This Row],[fecha]],"mmmm"),0)</f>
        <v>Enero</v>
      </c>
      <c r="AB38" s="49"/>
    </row>
    <row r="39" spans="1:28" ht="24" x14ac:dyDescent="0.3">
      <c r="A39" s="2">
        <f>IF(C_Ope_002[[#This Row],[tipo_r]]="R",COUNTIFS($C$1:$C38,"R")+1,"")</f>
        <v>38</v>
      </c>
      <c r="B39" s="19" t="str">
        <f t="shared" si="0"/>
        <v>C_Ope_002</v>
      </c>
      <c r="C39" s="3" t="s">
        <v>1330</v>
      </c>
      <c r="D39" s="14">
        <v>45684</v>
      </c>
      <c r="E39" s="5" t="s">
        <v>8005</v>
      </c>
      <c r="F39" s="5" t="s">
        <v>1336</v>
      </c>
      <c r="G39" s="6" t="s">
        <v>978</v>
      </c>
      <c r="H39" s="6" t="s">
        <v>68</v>
      </c>
      <c r="I39" s="6" t="s">
        <v>6203</v>
      </c>
      <c r="J39" s="6">
        <v>1941653</v>
      </c>
      <c r="K39" s="7" t="s">
        <v>8029</v>
      </c>
      <c r="L39" s="8">
        <v>22823</v>
      </c>
      <c r="M39" s="8" t="str">
        <f t="shared" si="5"/>
        <v>PEN</v>
      </c>
      <c r="N39" s="13"/>
      <c r="O39" s="13">
        <v>12</v>
      </c>
      <c r="P39" s="3">
        <f t="shared" si="2"/>
        <v>0</v>
      </c>
      <c r="Q39" s="3">
        <f t="shared" si="3"/>
        <v>12</v>
      </c>
      <c r="R39" s="3">
        <f t="shared" si="4"/>
        <v>186.7</v>
      </c>
      <c r="S39" s="24" t="s">
        <v>1334</v>
      </c>
      <c r="T39" s="24" t="s">
        <v>1334</v>
      </c>
      <c r="U39" s="3"/>
      <c r="V39" s="25" t="s">
        <v>8006</v>
      </c>
      <c r="W39" s="25">
        <v>20517252558</v>
      </c>
      <c r="X39" s="25" t="str">
        <f>IFERROR(VLOOKUP(C_Ope_002[[#This Row],[nota_2]],Clientes_Proveedores[[Ruc / Dni]:[Razon Social]],2,0),"")</f>
        <v>COVISUR S.A.</v>
      </c>
      <c r="Y39" s="25"/>
      <c r="Z39" s="103"/>
      <c r="AA39" s="3" t="str">
        <f>IF(C_Ope_002[[#This Row],[fecha]]&gt;0,TEXT(C_Ope_002[[#This Row],[fecha]],"mmmm"),0)</f>
        <v>Enero</v>
      </c>
      <c r="AB39" s="49"/>
    </row>
    <row r="40" spans="1:28" ht="24" x14ac:dyDescent="0.3">
      <c r="A40" s="2">
        <f>IF(C_Ope_002[[#This Row],[tipo_r]]="R",COUNTIFS($C$1:$C39,"R")+1,"")</f>
        <v>39</v>
      </c>
      <c r="B40" s="19" t="str">
        <f t="shared" si="0"/>
        <v>C_Ope_002</v>
      </c>
      <c r="C40" s="3" t="s">
        <v>1330</v>
      </c>
      <c r="D40" s="14">
        <v>45684</v>
      </c>
      <c r="E40" s="5" t="s">
        <v>8005</v>
      </c>
      <c r="F40" s="5" t="s">
        <v>1336</v>
      </c>
      <c r="G40" s="6" t="s">
        <v>978</v>
      </c>
      <c r="H40" s="6" t="s">
        <v>68</v>
      </c>
      <c r="I40" s="6" t="s">
        <v>6204</v>
      </c>
      <c r="J40" s="6">
        <v>1641612</v>
      </c>
      <c r="K40" s="7" t="s">
        <v>8029</v>
      </c>
      <c r="L40" s="8">
        <v>22824</v>
      </c>
      <c r="M40" s="8" t="str">
        <f t="shared" si="5"/>
        <v>PEN</v>
      </c>
      <c r="N40" s="13"/>
      <c r="O40" s="13">
        <v>12</v>
      </c>
      <c r="P40" s="3">
        <f t="shared" si="2"/>
        <v>0</v>
      </c>
      <c r="Q40" s="3">
        <f t="shared" si="3"/>
        <v>12</v>
      </c>
      <c r="R40" s="3">
        <f t="shared" si="4"/>
        <v>174.7</v>
      </c>
      <c r="S40" s="24" t="s">
        <v>1334</v>
      </c>
      <c r="T40" s="24" t="s">
        <v>1334</v>
      </c>
      <c r="U40" s="3"/>
      <c r="V40" s="25" t="s">
        <v>8006</v>
      </c>
      <c r="W40" s="25">
        <v>20517252558</v>
      </c>
      <c r="X40" s="25" t="str">
        <f>IFERROR(VLOOKUP(C_Ope_002[[#This Row],[nota_2]],Clientes_Proveedores[[Ruc / Dni]:[Razon Social]],2,0),"")</f>
        <v>COVISUR S.A.</v>
      </c>
      <c r="Y40" s="25"/>
      <c r="Z40" s="103"/>
      <c r="AA40" s="3" t="str">
        <f>IF(C_Ope_002[[#This Row],[fecha]]&gt;0,TEXT(C_Ope_002[[#This Row],[fecha]],"mmmm"),0)</f>
        <v>Enero</v>
      </c>
      <c r="AB40" s="49"/>
    </row>
    <row r="41" spans="1:28" x14ac:dyDescent="0.3">
      <c r="A41" s="2">
        <f>IF(C_Ope_002[[#This Row],[tipo_r]]="R",COUNTIFS($C$1:$C40,"R")+1,"")</f>
        <v>40</v>
      </c>
      <c r="B41" s="19" t="str">
        <f t="shared" si="0"/>
        <v>C_Ope_002</v>
      </c>
      <c r="C41" s="3" t="s">
        <v>1330</v>
      </c>
      <c r="D41" s="14">
        <v>45687</v>
      </c>
      <c r="E41" s="5" t="s">
        <v>8005</v>
      </c>
      <c r="F41" s="5" t="s">
        <v>1336</v>
      </c>
      <c r="G41" s="6" t="s">
        <v>978</v>
      </c>
      <c r="H41" s="6" t="s">
        <v>68</v>
      </c>
      <c r="I41" s="6" t="s">
        <v>5845</v>
      </c>
      <c r="J41" s="6">
        <v>1663490</v>
      </c>
      <c r="K41" s="7" t="s">
        <v>8030</v>
      </c>
      <c r="L41" s="8">
        <v>22844</v>
      </c>
      <c r="M41" s="8" t="str">
        <f t="shared" si="5"/>
        <v>PEN</v>
      </c>
      <c r="N41" s="13"/>
      <c r="O41" s="13">
        <v>12</v>
      </c>
      <c r="P41" s="3">
        <f t="shared" si="2"/>
        <v>0</v>
      </c>
      <c r="Q41" s="3">
        <f t="shared" si="3"/>
        <v>12</v>
      </c>
      <c r="R41" s="3">
        <f t="shared" si="4"/>
        <v>162.69999999999999</v>
      </c>
      <c r="S41" s="24" t="s">
        <v>1334</v>
      </c>
      <c r="T41" s="24" t="s">
        <v>1334</v>
      </c>
      <c r="U41" s="3"/>
      <c r="V41" s="25" t="s">
        <v>8006</v>
      </c>
      <c r="W41" s="25">
        <v>20517252558</v>
      </c>
      <c r="X41" s="25" t="str">
        <f>IFERROR(VLOOKUP(C_Ope_002[[#This Row],[nota_2]],Clientes_Proveedores[[Ruc / Dni]:[Razon Social]],2,0),"")</f>
        <v>COVISUR S.A.</v>
      </c>
      <c r="Y41" s="25"/>
      <c r="Z41" s="103"/>
      <c r="AA41" s="3" t="str">
        <f>IF(C_Ope_002[[#This Row],[fecha]]&gt;0,TEXT(C_Ope_002[[#This Row],[fecha]],"mmmm"),0)</f>
        <v>Enero</v>
      </c>
      <c r="AB41" s="49"/>
    </row>
    <row r="42" spans="1:28" x14ac:dyDescent="0.3">
      <c r="A42" s="2">
        <f>IF(C_Ope_002[[#This Row],[tipo_r]]="R",COUNTIFS($C$1:$C41,"R")+1,"")</f>
        <v>41</v>
      </c>
      <c r="B42" s="19" t="str">
        <f t="shared" si="0"/>
        <v>C_Ope_002</v>
      </c>
      <c r="C42" s="3" t="s">
        <v>1330</v>
      </c>
      <c r="D42" s="14">
        <v>45687</v>
      </c>
      <c r="E42" s="5" t="s">
        <v>8005</v>
      </c>
      <c r="F42" s="5" t="s">
        <v>1336</v>
      </c>
      <c r="G42" s="6" t="s">
        <v>978</v>
      </c>
      <c r="H42" s="6" t="s">
        <v>68</v>
      </c>
      <c r="I42" s="6" t="s">
        <v>5688</v>
      </c>
      <c r="J42" s="6">
        <v>2215328</v>
      </c>
      <c r="K42" s="7" t="s">
        <v>8030</v>
      </c>
      <c r="L42" s="8">
        <v>22845</v>
      </c>
      <c r="M42" s="8" t="str">
        <f t="shared" si="5"/>
        <v>PEN</v>
      </c>
      <c r="N42" s="13"/>
      <c r="O42" s="13">
        <v>12</v>
      </c>
      <c r="P42" s="3">
        <f t="shared" si="2"/>
        <v>0</v>
      </c>
      <c r="Q42" s="3">
        <f t="shared" si="3"/>
        <v>12</v>
      </c>
      <c r="R42" s="3">
        <f t="shared" si="4"/>
        <v>150.69999999999999</v>
      </c>
      <c r="S42" s="24" t="s">
        <v>1334</v>
      </c>
      <c r="T42" s="24" t="s">
        <v>1334</v>
      </c>
      <c r="U42" s="3"/>
      <c r="V42" s="25" t="s">
        <v>8006</v>
      </c>
      <c r="W42" s="25">
        <v>20517252558</v>
      </c>
      <c r="X42" s="25" t="str">
        <f>IFERROR(VLOOKUP(C_Ope_002[[#This Row],[nota_2]],Clientes_Proveedores[[Ruc / Dni]:[Razon Social]],2,0),"")</f>
        <v>COVISUR S.A.</v>
      </c>
      <c r="Y42" s="25"/>
      <c r="Z42" s="103"/>
      <c r="AA42" s="3" t="str">
        <f>IF(C_Ope_002[[#This Row],[fecha]]&gt;0,TEXT(C_Ope_002[[#This Row],[fecha]],"mmmm"),0)</f>
        <v>Enero</v>
      </c>
      <c r="AB42" s="49"/>
    </row>
    <row r="43" spans="1:28" ht="24" x14ac:dyDescent="0.3">
      <c r="A43" s="2">
        <f>IF(C_Ope_002[[#This Row],[tipo_r]]="R",COUNTIFS($C$1:$C42,"R")+1,"")</f>
        <v>42</v>
      </c>
      <c r="B43" s="19" t="str">
        <f t="shared" si="0"/>
        <v>C_Ope_002</v>
      </c>
      <c r="C43" s="3" t="s">
        <v>1330</v>
      </c>
      <c r="D43" s="14">
        <v>45688</v>
      </c>
      <c r="E43" s="5" t="s">
        <v>8005</v>
      </c>
      <c r="F43" s="5" t="s">
        <v>1336</v>
      </c>
      <c r="G43" s="6" t="s">
        <v>978</v>
      </c>
      <c r="H43" s="6" t="s">
        <v>68</v>
      </c>
      <c r="I43" s="6" t="s">
        <v>5688</v>
      </c>
      <c r="J43" s="6">
        <v>2216553</v>
      </c>
      <c r="K43" s="7" t="s">
        <v>8031</v>
      </c>
      <c r="L43" s="8">
        <v>22853</v>
      </c>
      <c r="M43" s="8" t="str">
        <f t="shared" si="5"/>
        <v>PEN</v>
      </c>
      <c r="N43" s="13"/>
      <c r="O43" s="13">
        <v>8</v>
      </c>
      <c r="P43" s="3">
        <f t="shared" si="2"/>
        <v>0</v>
      </c>
      <c r="Q43" s="3">
        <f t="shared" si="3"/>
        <v>8</v>
      </c>
      <c r="R43" s="3">
        <f t="shared" si="4"/>
        <v>142.69999999999999</v>
      </c>
      <c r="S43" s="24" t="s">
        <v>1334</v>
      </c>
      <c r="T43" s="24" t="s">
        <v>1334</v>
      </c>
      <c r="U43" s="3"/>
      <c r="V43" s="25" t="s">
        <v>7842</v>
      </c>
      <c r="W43" s="25">
        <v>20517252558</v>
      </c>
      <c r="X43" s="25" t="str">
        <f>IFERROR(VLOOKUP(C_Ope_002[[#This Row],[nota_2]],Clientes_Proveedores[[Ruc / Dni]:[Razon Social]],2,0),"")</f>
        <v>COVISUR S.A.</v>
      </c>
      <c r="Y43" s="25"/>
      <c r="Z43" s="103"/>
      <c r="AA43" s="3" t="str">
        <f>IF(C_Ope_002[[#This Row],[fecha]]&gt;0,TEXT(C_Ope_002[[#This Row],[fecha]],"mmmm"),0)</f>
        <v>Enero</v>
      </c>
      <c r="AB43" s="49"/>
    </row>
    <row r="44" spans="1:28" ht="24" x14ac:dyDescent="0.3">
      <c r="A44" s="2">
        <f>IF(C_Ope_002[[#This Row],[tipo_r]]="R",COUNTIFS($C$1:$C43,"R")+1,"")</f>
        <v>43</v>
      </c>
      <c r="B44" s="19" t="str">
        <f t="shared" si="0"/>
        <v>C_Ope_002</v>
      </c>
      <c r="C44" s="3" t="s">
        <v>1330</v>
      </c>
      <c r="D44" s="14">
        <v>45688</v>
      </c>
      <c r="E44" s="5" t="s">
        <v>8005</v>
      </c>
      <c r="F44" s="5" t="s">
        <v>1336</v>
      </c>
      <c r="G44" s="6" t="s">
        <v>978</v>
      </c>
      <c r="H44" s="6" t="s">
        <v>68</v>
      </c>
      <c r="I44" s="6" t="s">
        <v>6203</v>
      </c>
      <c r="J44" s="6">
        <v>1945903</v>
      </c>
      <c r="K44" s="7" t="s">
        <v>8031</v>
      </c>
      <c r="L44" s="8">
        <v>22854</v>
      </c>
      <c r="M44" s="8" t="str">
        <f t="shared" si="5"/>
        <v>PEN</v>
      </c>
      <c r="N44" s="13"/>
      <c r="O44" s="13">
        <v>8</v>
      </c>
      <c r="P44" s="3">
        <f t="shared" si="2"/>
        <v>0</v>
      </c>
      <c r="Q44" s="3">
        <f t="shared" si="3"/>
        <v>8</v>
      </c>
      <c r="R44" s="3">
        <f t="shared" si="4"/>
        <v>134.69999999999999</v>
      </c>
      <c r="S44" s="24" t="s">
        <v>1334</v>
      </c>
      <c r="T44" s="24" t="s">
        <v>1334</v>
      </c>
      <c r="U44" s="3"/>
      <c r="V44" s="25" t="s">
        <v>7842</v>
      </c>
      <c r="W44" s="25">
        <v>20517252558</v>
      </c>
      <c r="X44" s="25" t="str">
        <f>IFERROR(VLOOKUP(C_Ope_002[[#This Row],[nota_2]],Clientes_Proveedores[[Ruc / Dni]:[Razon Social]],2,0),"")</f>
        <v>COVISUR S.A.</v>
      </c>
      <c r="Y44" s="25"/>
      <c r="Z44" s="103"/>
      <c r="AA44" s="3" t="str">
        <f>IF(C_Ope_002[[#This Row],[fecha]]&gt;0,TEXT(C_Ope_002[[#This Row],[fecha]],"mmmm"),0)</f>
        <v>Enero</v>
      </c>
      <c r="AB44" s="49"/>
    </row>
    <row r="45" spans="1:28" ht="24" x14ac:dyDescent="0.3">
      <c r="A45" s="2">
        <f>IF(C_Ope_002[[#This Row],[tipo_r]]="R",COUNTIFS($C$1:$C44,"R")+1,"")</f>
        <v>44</v>
      </c>
      <c r="B45" s="19" t="str">
        <f t="shared" si="0"/>
        <v>C_Ope_002</v>
      </c>
      <c r="C45" s="3" t="s">
        <v>1330</v>
      </c>
      <c r="D45" s="14">
        <v>45684</v>
      </c>
      <c r="E45" s="5" t="s">
        <v>8005</v>
      </c>
      <c r="F45" s="5" t="s">
        <v>1336</v>
      </c>
      <c r="G45" s="6" t="s">
        <v>1147</v>
      </c>
      <c r="H45" s="6" t="s">
        <v>68</v>
      </c>
      <c r="I45" s="6" t="s">
        <v>1386</v>
      </c>
      <c r="J45" s="6">
        <v>15900</v>
      </c>
      <c r="K45" s="7" t="s">
        <v>8032</v>
      </c>
      <c r="L45" s="8">
        <v>22822</v>
      </c>
      <c r="M45" s="8" t="str">
        <f t="shared" si="5"/>
        <v>PEN</v>
      </c>
      <c r="N45" s="13"/>
      <c r="O45" s="13">
        <v>24</v>
      </c>
      <c r="P45" s="3">
        <f t="shared" si="2"/>
        <v>0</v>
      </c>
      <c r="Q45" s="3">
        <f t="shared" si="3"/>
        <v>24</v>
      </c>
      <c r="R45" s="3">
        <f t="shared" si="4"/>
        <v>110.69999999999999</v>
      </c>
      <c r="S45" s="24" t="s">
        <v>1334</v>
      </c>
      <c r="T45" s="24" t="s">
        <v>1334</v>
      </c>
      <c r="U45" s="3"/>
      <c r="V45" s="25" t="s">
        <v>8006</v>
      </c>
      <c r="W45" s="25">
        <v>20162554167</v>
      </c>
      <c r="X45" s="25" t="str">
        <f>IFERROR(VLOOKUP(C_Ope_002[[#This Row],[nota_2]],Clientes_Proveedores[[Ruc / Dni]:[Razon Social]],2,0),"")</f>
        <v>AUTORIDAD AUTONOMA DE MAJES</v>
      </c>
      <c r="Y45" s="25"/>
      <c r="Z45" s="103"/>
      <c r="AA45" s="3" t="str">
        <f>IF(C_Ope_002[[#This Row],[fecha]]&gt;0,TEXT(C_Ope_002[[#This Row],[fecha]],"mmmm"),0)</f>
        <v>Enero</v>
      </c>
      <c r="AB45" s="49"/>
    </row>
    <row r="46" spans="1:28" ht="36" x14ac:dyDescent="0.3">
      <c r="A46" s="2">
        <f>IF(C_Ope_002[[#This Row],[tipo_r]]="R",COUNTIFS($C$1:$C45,"R")+1,"")</f>
        <v>45</v>
      </c>
      <c r="B46" s="19" t="str">
        <f t="shared" si="0"/>
        <v>C_Ope_002</v>
      </c>
      <c r="C46" s="3" t="s">
        <v>1330</v>
      </c>
      <c r="D46" s="14">
        <v>45685</v>
      </c>
      <c r="E46" s="5" t="s">
        <v>8005</v>
      </c>
      <c r="F46" s="5" t="s">
        <v>1336</v>
      </c>
      <c r="G46" s="6" t="s">
        <v>227</v>
      </c>
      <c r="H46" s="6" t="s">
        <v>68</v>
      </c>
      <c r="I46" s="6" t="s">
        <v>1390</v>
      </c>
      <c r="J46" s="6">
        <v>127541</v>
      </c>
      <c r="K46" s="7" t="s">
        <v>8033</v>
      </c>
      <c r="L46" s="8">
        <v>22825</v>
      </c>
      <c r="M46" s="8" t="str">
        <f t="shared" si="5"/>
        <v>PEN</v>
      </c>
      <c r="N46" s="13"/>
      <c r="O46" s="13">
        <v>10</v>
      </c>
      <c r="P46" s="3">
        <f t="shared" si="2"/>
        <v>0</v>
      </c>
      <c r="Q46" s="3">
        <f t="shared" si="3"/>
        <v>10</v>
      </c>
      <c r="R46" s="3">
        <f t="shared" si="4"/>
        <v>100.69999999999999</v>
      </c>
      <c r="S46" s="24" t="s">
        <v>1334</v>
      </c>
      <c r="T46" s="24" t="s">
        <v>1334</v>
      </c>
      <c r="U46" s="3"/>
      <c r="V46" s="25" t="s">
        <v>8006</v>
      </c>
      <c r="W46" s="25">
        <v>20124952850</v>
      </c>
      <c r="X46" s="25" t="str">
        <f>IFERROR(VLOOKUP(C_Ope_002[[#This Row],[nota_2]],Clientes_Proveedores[[Ruc / Dni]:[Razon Social]],2,0),"")</f>
        <v>ALIMENTOS Y SERVICIOS AGROPECUARIOS SRL.</v>
      </c>
      <c r="Y46" s="25"/>
      <c r="Z46" s="103"/>
      <c r="AA46" s="3" t="str">
        <f>IF(C_Ope_002[[#This Row],[fecha]]&gt;0,TEXT(C_Ope_002[[#This Row],[fecha]],"mmmm"),0)</f>
        <v>Enero</v>
      </c>
      <c r="AB46" s="49"/>
    </row>
    <row r="47" spans="1:28" ht="36" x14ac:dyDescent="0.3">
      <c r="A47" s="2">
        <f>IF(C_Ope_002[[#This Row],[tipo_r]]="R",COUNTIFS($C$1:$C46,"R")+1,"")</f>
        <v>46</v>
      </c>
      <c r="B47" s="19" t="str">
        <f t="shared" si="0"/>
        <v>C_Ope_002</v>
      </c>
      <c r="C47" s="3" t="s">
        <v>1330</v>
      </c>
      <c r="D47" s="14">
        <v>45685</v>
      </c>
      <c r="E47" s="5" t="s">
        <v>8005</v>
      </c>
      <c r="F47" s="5" t="s">
        <v>1336</v>
      </c>
      <c r="G47" s="6" t="s">
        <v>227</v>
      </c>
      <c r="H47" s="6" t="s">
        <v>68</v>
      </c>
      <c r="I47" s="6" t="s">
        <v>1390</v>
      </c>
      <c r="J47" s="6">
        <v>127537</v>
      </c>
      <c r="K47" s="7" t="s">
        <v>8033</v>
      </c>
      <c r="L47" s="8">
        <v>22826</v>
      </c>
      <c r="M47" s="8" t="str">
        <f t="shared" si="5"/>
        <v>PEN</v>
      </c>
      <c r="N47" s="13"/>
      <c r="O47" s="13">
        <v>10</v>
      </c>
      <c r="P47" s="3">
        <f t="shared" si="2"/>
        <v>0</v>
      </c>
      <c r="Q47" s="3">
        <f t="shared" si="3"/>
        <v>10</v>
      </c>
      <c r="R47" s="3">
        <f t="shared" si="4"/>
        <v>90.699999999999989</v>
      </c>
      <c r="S47" s="24" t="s">
        <v>1334</v>
      </c>
      <c r="T47" s="24" t="s">
        <v>1334</v>
      </c>
      <c r="U47" s="3"/>
      <c r="V47" s="25" t="s">
        <v>8006</v>
      </c>
      <c r="W47" s="25">
        <v>20124952850</v>
      </c>
      <c r="X47" s="25" t="str">
        <f>IFERROR(VLOOKUP(C_Ope_002[[#This Row],[nota_2]],Clientes_Proveedores[[Ruc / Dni]:[Razon Social]],2,0),"")</f>
        <v>ALIMENTOS Y SERVICIOS AGROPECUARIOS SRL.</v>
      </c>
      <c r="Y47" s="25"/>
      <c r="Z47" s="103"/>
      <c r="AA47" s="3" t="str">
        <f>IF(C_Ope_002[[#This Row],[fecha]]&gt;0,TEXT(C_Ope_002[[#This Row],[fecha]],"mmmm"),0)</f>
        <v>Enero</v>
      </c>
      <c r="AB47" s="49"/>
    </row>
    <row r="48" spans="1:28" ht="24" x14ac:dyDescent="0.3">
      <c r="A48" s="2">
        <f>IF(C_Ope_002[[#This Row],[tipo_r]]="R",COUNTIFS($C$1:$C47,"R")+1,"")</f>
        <v>47</v>
      </c>
      <c r="B48" s="19" t="str">
        <f t="shared" si="0"/>
        <v>C_Ope_002</v>
      </c>
      <c r="C48" s="3" t="s">
        <v>1330</v>
      </c>
      <c r="D48" s="14">
        <v>45687</v>
      </c>
      <c r="E48" s="5" t="s">
        <v>8005</v>
      </c>
      <c r="F48" s="5" t="s">
        <v>1336</v>
      </c>
      <c r="G48" s="6" t="s">
        <v>1147</v>
      </c>
      <c r="H48" s="6" t="s">
        <v>68</v>
      </c>
      <c r="I48" s="6" t="s">
        <v>1386</v>
      </c>
      <c r="J48" s="6">
        <v>15914</v>
      </c>
      <c r="K48" s="7" t="s">
        <v>8034</v>
      </c>
      <c r="L48" s="8">
        <v>22843</v>
      </c>
      <c r="M48" s="8" t="str">
        <f t="shared" si="5"/>
        <v>PEN</v>
      </c>
      <c r="N48" s="13"/>
      <c r="O48" s="13">
        <v>12</v>
      </c>
      <c r="P48" s="3">
        <f t="shared" si="2"/>
        <v>0</v>
      </c>
      <c r="Q48" s="3">
        <f t="shared" si="3"/>
        <v>12</v>
      </c>
      <c r="R48" s="3">
        <f t="shared" si="4"/>
        <v>78.699999999999989</v>
      </c>
      <c r="S48" s="24" t="s">
        <v>1334</v>
      </c>
      <c r="T48" s="24" t="s">
        <v>1334</v>
      </c>
      <c r="U48" s="3"/>
      <c r="V48" s="25" t="s">
        <v>8006</v>
      </c>
      <c r="W48" s="25">
        <v>20162554167</v>
      </c>
      <c r="X48" s="25" t="str">
        <f>IFERROR(VLOOKUP(C_Ope_002[[#This Row],[nota_2]],Clientes_Proveedores[[Ruc / Dni]:[Razon Social]],2,0),"")</f>
        <v>AUTORIDAD AUTONOMA DE MAJES</v>
      </c>
      <c r="Y48" s="25"/>
      <c r="Z48" s="103"/>
      <c r="AA48" s="3" t="str">
        <f>IF(C_Ope_002[[#This Row],[fecha]]&gt;0,TEXT(C_Ope_002[[#This Row],[fecha]],"mmmm"),0)</f>
        <v>Enero</v>
      </c>
      <c r="AB48" s="49"/>
    </row>
    <row r="49" spans="1:28" ht="24" x14ac:dyDescent="0.3">
      <c r="A49" s="2">
        <f>IF(C_Ope_002[[#This Row],[tipo_r]]="R",COUNTIFS($C$1:$C48,"R")+1,"")</f>
        <v>48</v>
      </c>
      <c r="B49" s="19" t="str">
        <f t="shared" si="0"/>
        <v>C_Ope_002</v>
      </c>
      <c r="C49" s="3" t="s">
        <v>1330</v>
      </c>
      <c r="D49" s="14">
        <v>45686</v>
      </c>
      <c r="E49" s="5" t="s">
        <v>8005</v>
      </c>
      <c r="F49" s="5" t="s">
        <v>1336</v>
      </c>
      <c r="G49" s="6" t="s">
        <v>999</v>
      </c>
      <c r="H49" s="6" t="s">
        <v>68</v>
      </c>
      <c r="I49" s="6" t="s">
        <v>1374</v>
      </c>
      <c r="J49" s="6">
        <v>16176</v>
      </c>
      <c r="K49" s="7" t="s">
        <v>7777</v>
      </c>
      <c r="L49" s="8">
        <v>22846</v>
      </c>
      <c r="M49" s="8" t="str">
        <f t="shared" si="5"/>
        <v>PEN</v>
      </c>
      <c r="N49" s="13"/>
      <c r="O49" s="13">
        <v>35</v>
      </c>
      <c r="P49" s="3">
        <f t="shared" si="2"/>
        <v>0</v>
      </c>
      <c r="Q49" s="3">
        <f t="shared" si="3"/>
        <v>35</v>
      </c>
      <c r="R49" s="3">
        <f t="shared" si="4"/>
        <v>43.699999999999989</v>
      </c>
      <c r="S49" s="24" t="s">
        <v>1334</v>
      </c>
      <c r="T49" s="24" t="s">
        <v>1334</v>
      </c>
      <c r="U49" s="3"/>
      <c r="V49" s="25" t="s">
        <v>8006</v>
      </c>
      <c r="W49" s="25">
        <v>10705628331</v>
      </c>
      <c r="X49" s="25" t="str">
        <f>IFERROR(VLOOKUP(C_Ope_002[[#This Row],[nota_2]],Clientes_Proveedores[[Ruc / Dni]:[Razon Social]],2,0),"")</f>
        <v>LARICO APAZA NANCY ROSSMARY</v>
      </c>
      <c r="Y49" s="25"/>
      <c r="Z49" s="103"/>
      <c r="AA49" s="3" t="str">
        <f>IF(C_Ope_002[[#This Row],[fecha]]&gt;0,TEXT(C_Ope_002[[#This Row],[fecha]],"mmmm"),0)</f>
        <v>Enero</v>
      </c>
      <c r="AB49" s="49"/>
    </row>
    <row r="50" spans="1:28" ht="24" x14ac:dyDescent="0.3">
      <c r="A50" s="2">
        <f>IF(C_Ope_002[[#This Row],[tipo_r]]="R",COUNTIFS($C$1:$C49,"R")+1,"")</f>
        <v>49</v>
      </c>
      <c r="B50" s="19" t="str">
        <f t="shared" si="0"/>
        <v>C_Ope_002</v>
      </c>
      <c r="C50" s="3" t="s">
        <v>1330</v>
      </c>
      <c r="D50" s="14">
        <v>45691</v>
      </c>
      <c r="E50" s="5" t="s">
        <v>7514</v>
      </c>
      <c r="F50" s="5" t="s">
        <v>1303</v>
      </c>
      <c r="G50" s="6" t="s">
        <v>829</v>
      </c>
      <c r="H50" s="6"/>
      <c r="I50" s="6"/>
      <c r="J50" s="6"/>
      <c r="K50" s="7" t="s">
        <v>7516</v>
      </c>
      <c r="L50" s="8">
        <v>23007</v>
      </c>
      <c r="M50" s="8" t="str">
        <f t="shared" si="5"/>
        <v>PEN</v>
      </c>
      <c r="N50" s="13"/>
      <c r="O50" s="13">
        <v>160</v>
      </c>
      <c r="P50" s="3">
        <f t="shared" si="2"/>
        <v>160</v>
      </c>
      <c r="Q50" s="3">
        <f t="shared" si="3"/>
        <v>0</v>
      </c>
      <c r="R50" s="3">
        <f t="shared" si="4"/>
        <v>203.7</v>
      </c>
      <c r="S50" s="24" t="s">
        <v>1334</v>
      </c>
      <c r="T50" s="24" t="s">
        <v>1334</v>
      </c>
      <c r="U50" s="3"/>
      <c r="V50" s="25"/>
      <c r="W50" s="25"/>
      <c r="X50" s="25" t="str">
        <f>IFERROR(VLOOKUP(C_Ope_002[[#This Row],[nota_2]],Clientes_Proveedores[[Ruc / Dni]:[Razon Social]],2,0),"")</f>
        <v/>
      </c>
      <c r="Y50" s="25"/>
      <c r="Z50" s="103"/>
      <c r="AA50" s="3" t="str">
        <f>IF(C_Ope_002[[#This Row],[fecha]]&gt;0,TEXT(C_Ope_002[[#This Row],[fecha]],"mmmm"),0)</f>
        <v>Febrero</v>
      </c>
      <c r="AB50" s="49"/>
    </row>
    <row r="51" spans="1:28" ht="24" x14ac:dyDescent="0.3">
      <c r="A51" s="2">
        <f>IF(C_Ope_002[[#This Row],[tipo_r]]="R",COUNTIFS($C$1:$C50,"R")+1,"")</f>
        <v>50</v>
      </c>
      <c r="B51" s="19" t="str">
        <f t="shared" si="0"/>
        <v>C_Ope_002</v>
      </c>
      <c r="C51" s="3" t="s">
        <v>1330</v>
      </c>
      <c r="D51" s="14">
        <v>45695</v>
      </c>
      <c r="E51" s="5" t="s">
        <v>7514</v>
      </c>
      <c r="F51" s="5" t="s">
        <v>1303</v>
      </c>
      <c r="G51" s="6" t="s">
        <v>829</v>
      </c>
      <c r="H51" s="6"/>
      <c r="I51" s="6"/>
      <c r="J51" s="6"/>
      <c r="K51" s="7" t="s">
        <v>7516</v>
      </c>
      <c r="L51" s="8">
        <v>23092</v>
      </c>
      <c r="M51" s="8" t="str">
        <f t="shared" si="5"/>
        <v>PEN</v>
      </c>
      <c r="N51" s="13"/>
      <c r="O51" s="13">
        <v>400</v>
      </c>
      <c r="P51" s="3">
        <f t="shared" si="2"/>
        <v>400</v>
      </c>
      <c r="Q51" s="3">
        <f t="shared" si="3"/>
        <v>0</v>
      </c>
      <c r="R51" s="3">
        <f t="shared" si="4"/>
        <v>603.70000000000005</v>
      </c>
      <c r="S51" s="24" t="s">
        <v>1334</v>
      </c>
      <c r="T51" s="24" t="s">
        <v>1334</v>
      </c>
      <c r="U51" s="3"/>
      <c r="V51" s="25"/>
      <c r="W51" s="25"/>
      <c r="X51" s="25" t="str">
        <f>IFERROR(VLOOKUP(C_Ope_002[[#This Row],[nota_2]],Clientes_Proveedores[[Ruc / Dni]:[Razon Social]],2,0),"")</f>
        <v/>
      </c>
      <c r="Y51" s="25"/>
      <c r="Z51" s="103"/>
      <c r="AA51" s="3" t="str">
        <f>IF(C_Ope_002[[#This Row],[fecha]]&gt;0,TEXT(C_Ope_002[[#This Row],[fecha]],"mmmm"),0)</f>
        <v>Febrero</v>
      </c>
      <c r="AB51" s="49"/>
    </row>
    <row r="52" spans="1:28" ht="24" x14ac:dyDescent="0.3">
      <c r="A52" s="2">
        <f>IF(C_Ope_002[[#This Row],[tipo_r]]="R",COUNTIFS($C$1:$C51,"R")+1,"")</f>
        <v>51</v>
      </c>
      <c r="B52" s="19" t="str">
        <f t="shared" si="0"/>
        <v>C_Ope_002</v>
      </c>
      <c r="C52" s="3" t="s">
        <v>1330</v>
      </c>
      <c r="D52" s="14">
        <v>45691</v>
      </c>
      <c r="E52" s="5" t="s">
        <v>8005</v>
      </c>
      <c r="F52" s="5" t="s">
        <v>1336</v>
      </c>
      <c r="G52" s="6" t="s">
        <v>978</v>
      </c>
      <c r="H52" s="6" t="s">
        <v>68</v>
      </c>
      <c r="I52" s="6" t="s">
        <v>5845</v>
      </c>
      <c r="J52" s="6">
        <v>1666687</v>
      </c>
      <c r="K52" s="7" t="s">
        <v>8035</v>
      </c>
      <c r="L52" s="8">
        <v>22924</v>
      </c>
      <c r="M52" s="8" t="str">
        <f t="shared" si="5"/>
        <v>PEN</v>
      </c>
      <c r="N52" s="13"/>
      <c r="O52" s="13">
        <v>8</v>
      </c>
      <c r="P52" s="3">
        <f t="shared" si="2"/>
        <v>0</v>
      </c>
      <c r="Q52" s="3">
        <f t="shared" si="3"/>
        <v>8</v>
      </c>
      <c r="R52" s="3">
        <f t="shared" si="4"/>
        <v>595.70000000000005</v>
      </c>
      <c r="S52" s="24" t="s">
        <v>1334</v>
      </c>
      <c r="T52" s="24" t="s">
        <v>1334</v>
      </c>
      <c r="U52" s="3"/>
      <c r="V52" s="25" t="s">
        <v>7842</v>
      </c>
      <c r="W52" s="25">
        <v>20517252558</v>
      </c>
      <c r="X52" s="25" t="str">
        <f>IFERROR(VLOOKUP(C_Ope_002[[#This Row],[nota_2]],Clientes_Proveedores[[Ruc / Dni]:[Razon Social]],2,0),"")</f>
        <v>COVISUR S.A.</v>
      </c>
      <c r="Y52" s="25"/>
      <c r="Z52" s="103"/>
      <c r="AA52" s="3" t="str">
        <f>IF(C_Ope_002[[#This Row],[fecha]]&gt;0,TEXT(C_Ope_002[[#This Row],[fecha]],"mmmm"),0)</f>
        <v>Febrero</v>
      </c>
      <c r="AB52" s="49"/>
    </row>
    <row r="53" spans="1:28" x14ac:dyDescent="0.3">
      <c r="A53" s="2">
        <f>IF(C_Ope_002[[#This Row],[tipo_r]]="R",COUNTIFS($C$1:$C52,"R")+1,"")</f>
        <v>52</v>
      </c>
      <c r="B53" s="19" t="str">
        <f t="shared" si="0"/>
        <v>C_Ope_002</v>
      </c>
      <c r="C53" s="3" t="s">
        <v>1330</v>
      </c>
      <c r="D53" s="14">
        <v>45691</v>
      </c>
      <c r="E53" s="5" t="s">
        <v>8005</v>
      </c>
      <c r="F53" s="5" t="s">
        <v>1336</v>
      </c>
      <c r="G53" s="6" t="s">
        <v>978</v>
      </c>
      <c r="H53" s="6" t="s">
        <v>68</v>
      </c>
      <c r="I53" s="6" t="s">
        <v>6380</v>
      </c>
      <c r="J53" s="6">
        <v>366112</v>
      </c>
      <c r="K53" s="7" t="s">
        <v>8036</v>
      </c>
      <c r="L53" s="8">
        <v>22925</v>
      </c>
      <c r="M53" s="8" t="str">
        <f t="shared" si="5"/>
        <v>PEN</v>
      </c>
      <c r="N53" s="13"/>
      <c r="O53" s="13">
        <v>8</v>
      </c>
      <c r="P53" s="3">
        <f t="shared" si="2"/>
        <v>0</v>
      </c>
      <c r="Q53" s="3">
        <f t="shared" si="3"/>
        <v>8</v>
      </c>
      <c r="R53" s="3">
        <f t="shared" si="4"/>
        <v>587.70000000000005</v>
      </c>
      <c r="S53" s="24" t="s">
        <v>1334</v>
      </c>
      <c r="T53" s="24" t="s">
        <v>1334</v>
      </c>
      <c r="U53" s="3"/>
      <c r="V53" s="25" t="s">
        <v>7842</v>
      </c>
      <c r="W53" s="25">
        <v>20517252558</v>
      </c>
      <c r="X53" s="25" t="str">
        <f>IFERROR(VLOOKUP(C_Ope_002[[#This Row],[nota_2]],Clientes_Proveedores[[Ruc / Dni]:[Razon Social]],2,0),"")</f>
        <v>COVISUR S.A.</v>
      </c>
      <c r="Y53" s="25"/>
      <c r="Z53" s="103"/>
      <c r="AA53" s="3" t="str">
        <f>IF(C_Ope_002[[#This Row],[fecha]]&gt;0,TEXT(C_Ope_002[[#This Row],[fecha]],"mmmm"),0)</f>
        <v>Febrero</v>
      </c>
      <c r="AB53" s="49"/>
    </row>
    <row r="54" spans="1:28" x14ac:dyDescent="0.3">
      <c r="A54" s="2">
        <f>IF(C_Ope_002[[#This Row],[tipo_r]]="R",COUNTIFS($C$1:$C53,"R")+1,"")</f>
        <v>53</v>
      </c>
      <c r="B54" s="19" t="str">
        <f t="shared" si="0"/>
        <v>C_Ope_002</v>
      </c>
      <c r="C54" s="3" t="s">
        <v>1330</v>
      </c>
      <c r="D54" s="14">
        <v>45691</v>
      </c>
      <c r="E54" s="5" t="s">
        <v>8005</v>
      </c>
      <c r="F54" s="5" t="s">
        <v>1336</v>
      </c>
      <c r="G54" s="6" t="s">
        <v>978</v>
      </c>
      <c r="H54" s="6" t="s">
        <v>68</v>
      </c>
      <c r="I54" s="6" t="s">
        <v>6379</v>
      </c>
      <c r="J54" s="6">
        <v>449734</v>
      </c>
      <c r="K54" s="7" t="s">
        <v>8036</v>
      </c>
      <c r="L54" s="8">
        <v>22926</v>
      </c>
      <c r="M54" s="8" t="str">
        <f t="shared" si="5"/>
        <v>PEN</v>
      </c>
      <c r="N54" s="13"/>
      <c r="O54" s="13">
        <v>8</v>
      </c>
      <c r="P54" s="3">
        <f t="shared" si="2"/>
        <v>0</v>
      </c>
      <c r="Q54" s="3">
        <f t="shared" si="3"/>
        <v>8</v>
      </c>
      <c r="R54" s="3">
        <f t="shared" si="4"/>
        <v>579.70000000000005</v>
      </c>
      <c r="S54" s="24" t="s">
        <v>1334</v>
      </c>
      <c r="T54" s="24" t="s">
        <v>1334</v>
      </c>
      <c r="U54" s="3"/>
      <c r="V54" s="25" t="s">
        <v>7842</v>
      </c>
      <c r="W54" s="25">
        <v>20517252558</v>
      </c>
      <c r="X54" s="25" t="str">
        <f>IFERROR(VLOOKUP(C_Ope_002[[#This Row],[nota_2]],Clientes_Proveedores[[Ruc / Dni]:[Razon Social]],2,0),"")</f>
        <v>COVISUR S.A.</v>
      </c>
      <c r="Y54" s="25"/>
      <c r="Z54" s="103"/>
      <c r="AA54" s="3" t="str">
        <f>IF(C_Ope_002[[#This Row],[fecha]]&gt;0,TEXT(C_Ope_002[[#This Row],[fecha]],"mmmm"),0)</f>
        <v>Febrero</v>
      </c>
      <c r="AB54" s="49"/>
    </row>
    <row r="55" spans="1:28" ht="24" x14ac:dyDescent="0.3">
      <c r="A55" s="2">
        <f>IF(C_Ope_002[[#This Row],[tipo_r]]="R",COUNTIFS($C$1:$C54,"R")+1,"")</f>
        <v>54</v>
      </c>
      <c r="B55" s="19" t="str">
        <f t="shared" si="0"/>
        <v>C_Ope_002</v>
      </c>
      <c r="C55" s="3" t="s">
        <v>1330</v>
      </c>
      <c r="D55" s="14">
        <v>45691</v>
      </c>
      <c r="E55" s="5" t="s">
        <v>8005</v>
      </c>
      <c r="F55" s="5" t="s">
        <v>1336</v>
      </c>
      <c r="G55" s="6" t="s">
        <v>978</v>
      </c>
      <c r="H55" s="6" t="s">
        <v>68</v>
      </c>
      <c r="I55" s="6" t="s">
        <v>5688</v>
      </c>
      <c r="J55" s="6">
        <v>2219665</v>
      </c>
      <c r="K55" s="7" t="s">
        <v>8035</v>
      </c>
      <c r="L55" s="8">
        <v>22927</v>
      </c>
      <c r="M55" s="8" t="str">
        <f t="shared" si="5"/>
        <v>PEN</v>
      </c>
      <c r="N55" s="13"/>
      <c r="O55" s="13">
        <v>8</v>
      </c>
      <c r="P55" s="3">
        <f t="shared" si="2"/>
        <v>0</v>
      </c>
      <c r="Q55" s="3">
        <f t="shared" si="3"/>
        <v>8</v>
      </c>
      <c r="R55" s="3">
        <f t="shared" si="4"/>
        <v>571.70000000000005</v>
      </c>
      <c r="S55" s="24" t="s">
        <v>1334</v>
      </c>
      <c r="T55" s="24" t="s">
        <v>1334</v>
      </c>
      <c r="U55" s="3"/>
      <c r="V55" s="25" t="s">
        <v>7842</v>
      </c>
      <c r="W55" s="25">
        <v>20517252558</v>
      </c>
      <c r="X55" s="25" t="str">
        <f>IFERROR(VLOOKUP(C_Ope_002[[#This Row],[nota_2]],Clientes_Proveedores[[Ruc / Dni]:[Razon Social]],2,0),"")</f>
        <v>COVISUR S.A.</v>
      </c>
      <c r="Y55" s="25"/>
      <c r="Z55" s="103"/>
      <c r="AA55" s="3" t="str">
        <f>IF(C_Ope_002[[#This Row],[fecha]]&gt;0,TEXT(C_Ope_002[[#This Row],[fecha]],"mmmm"),0)</f>
        <v>Febrero</v>
      </c>
      <c r="AB55" s="49"/>
    </row>
    <row r="56" spans="1:28" ht="24" x14ac:dyDescent="0.3">
      <c r="A56" s="2">
        <f>IF(C_Ope_002[[#This Row],[tipo_r]]="R",COUNTIFS($C$1:$C55,"R")+1,"")</f>
        <v>55</v>
      </c>
      <c r="B56" s="19" t="str">
        <f t="shared" si="0"/>
        <v>C_Ope_002</v>
      </c>
      <c r="C56" s="3" t="s">
        <v>1330</v>
      </c>
      <c r="D56" s="14">
        <v>45692</v>
      </c>
      <c r="E56" s="5" t="s">
        <v>8005</v>
      </c>
      <c r="F56" s="5" t="s">
        <v>1336</v>
      </c>
      <c r="G56" s="6" t="s">
        <v>978</v>
      </c>
      <c r="H56" s="6" t="s">
        <v>68</v>
      </c>
      <c r="I56" s="6" t="s">
        <v>6245</v>
      </c>
      <c r="J56" s="6">
        <v>916198</v>
      </c>
      <c r="K56" s="7" t="s">
        <v>7771</v>
      </c>
      <c r="L56" s="8">
        <v>22920</v>
      </c>
      <c r="M56" s="8" t="str">
        <f t="shared" si="5"/>
        <v>PEN</v>
      </c>
      <c r="N56" s="13"/>
      <c r="O56" s="13">
        <v>8</v>
      </c>
      <c r="P56" s="3">
        <f t="shared" si="2"/>
        <v>0</v>
      </c>
      <c r="Q56" s="3">
        <f t="shared" si="3"/>
        <v>8</v>
      </c>
      <c r="R56" s="3">
        <f t="shared" si="4"/>
        <v>563.70000000000005</v>
      </c>
      <c r="S56" s="24" t="s">
        <v>1334</v>
      </c>
      <c r="T56" s="24" t="s">
        <v>1334</v>
      </c>
      <c r="U56" s="3"/>
      <c r="V56" s="25" t="s">
        <v>7842</v>
      </c>
      <c r="W56" s="25">
        <v>20517252558</v>
      </c>
      <c r="X56" s="25" t="str">
        <f>IFERROR(VLOOKUP(C_Ope_002[[#This Row],[nota_2]],Clientes_Proveedores[[Ruc / Dni]:[Razon Social]],2,0),"")</f>
        <v>COVISUR S.A.</v>
      </c>
      <c r="Y56" s="25"/>
      <c r="Z56" s="103"/>
      <c r="AA56" s="3" t="str">
        <f>IF(C_Ope_002[[#This Row],[fecha]]&gt;0,TEXT(C_Ope_002[[#This Row],[fecha]],"mmmm"),0)</f>
        <v>Febrero</v>
      </c>
      <c r="AB56" s="49"/>
    </row>
    <row r="57" spans="1:28" ht="36" x14ac:dyDescent="0.3">
      <c r="A57" s="2">
        <f>IF(C_Ope_002[[#This Row],[tipo_r]]="R",COUNTIFS($C$1:$C56,"R")+1,"")</f>
        <v>56</v>
      </c>
      <c r="B57" s="19" t="str">
        <f t="shared" si="0"/>
        <v>C_Ope_002</v>
      </c>
      <c r="C57" s="3" t="s">
        <v>1330</v>
      </c>
      <c r="D57" s="14">
        <v>45692</v>
      </c>
      <c r="E57" s="5" t="s">
        <v>8005</v>
      </c>
      <c r="F57" s="5" t="s">
        <v>1336</v>
      </c>
      <c r="G57" s="6" t="s">
        <v>978</v>
      </c>
      <c r="H57" s="6" t="s">
        <v>68</v>
      </c>
      <c r="I57" s="6" t="s">
        <v>6204</v>
      </c>
      <c r="J57" s="6">
        <v>1648351</v>
      </c>
      <c r="K57" s="7" t="s">
        <v>8037</v>
      </c>
      <c r="L57" s="8">
        <v>22921</v>
      </c>
      <c r="M57" s="8" t="str">
        <f t="shared" si="5"/>
        <v>PEN</v>
      </c>
      <c r="N57" s="13"/>
      <c r="O57" s="13">
        <v>8</v>
      </c>
      <c r="P57" s="3">
        <f t="shared" si="2"/>
        <v>0</v>
      </c>
      <c r="Q57" s="3">
        <f t="shared" si="3"/>
        <v>8</v>
      </c>
      <c r="R57" s="3">
        <f t="shared" si="4"/>
        <v>555.70000000000005</v>
      </c>
      <c r="S57" s="24" t="s">
        <v>1334</v>
      </c>
      <c r="T57" s="24" t="s">
        <v>1334</v>
      </c>
      <c r="U57" s="3"/>
      <c r="V57" s="25" t="s">
        <v>7842</v>
      </c>
      <c r="W57" s="25">
        <v>20517252558</v>
      </c>
      <c r="X57" s="25" t="str">
        <f>IFERROR(VLOOKUP(C_Ope_002[[#This Row],[nota_2]],Clientes_Proveedores[[Ruc / Dni]:[Razon Social]],2,0),"")</f>
        <v>COVISUR S.A.</v>
      </c>
      <c r="Y57" s="25"/>
      <c r="Z57" s="103"/>
      <c r="AA57" s="3" t="str">
        <f>IF(C_Ope_002[[#This Row],[fecha]]&gt;0,TEXT(C_Ope_002[[#This Row],[fecha]],"mmmm"),0)</f>
        <v>Febrero</v>
      </c>
      <c r="AB57" s="49"/>
    </row>
    <row r="58" spans="1:28" ht="36" x14ac:dyDescent="0.3">
      <c r="A58" s="2">
        <f>IF(C_Ope_002[[#This Row],[tipo_r]]="R",COUNTIFS($C$1:$C57,"R")+1,"")</f>
        <v>57</v>
      </c>
      <c r="B58" s="19" t="str">
        <f t="shared" si="0"/>
        <v>C_Ope_002</v>
      </c>
      <c r="C58" s="3" t="s">
        <v>1330</v>
      </c>
      <c r="D58" s="14">
        <v>45692</v>
      </c>
      <c r="E58" s="5" t="s">
        <v>8005</v>
      </c>
      <c r="F58" s="5" t="s">
        <v>1336</v>
      </c>
      <c r="G58" s="6" t="s">
        <v>978</v>
      </c>
      <c r="H58" s="6" t="s">
        <v>68</v>
      </c>
      <c r="I58" s="6" t="s">
        <v>6203</v>
      </c>
      <c r="J58" s="6">
        <v>1949960</v>
      </c>
      <c r="K58" s="7" t="s">
        <v>8037</v>
      </c>
      <c r="L58" s="8">
        <v>22922</v>
      </c>
      <c r="M58" s="8" t="str">
        <f t="shared" si="5"/>
        <v>PEN</v>
      </c>
      <c r="N58" s="13"/>
      <c r="O58" s="13">
        <v>8</v>
      </c>
      <c r="P58" s="3">
        <f t="shared" si="2"/>
        <v>0</v>
      </c>
      <c r="Q58" s="3">
        <f t="shared" si="3"/>
        <v>8</v>
      </c>
      <c r="R58" s="3">
        <f t="shared" si="4"/>
        <v>547.70000000000005</v>
      </c>
      <c r="S58" s="24" t="s">
        <v>1334</v>
      </c>
      <c r="T58" s="24" t="s">
        <v>1334</v>
      </c>
      <c r="U58" s="3"/>
      <c r="V58" s="25" t="s">
        <v>7842</v>
      </c>
      <c r="W58" s="25">
        <v>20517252558</v>
      </c>
      <c r="X58" s="25" t="str">
        <f>IFERROR(VLOOKUP(C_Ope_002[[#This Row],[nota_2]],Clientes_Proveedores[[Ruc / Dni]:[Razon Social]],2,0),"")</f>
        <v>COVISUR S.A.</v>
      </c>
      <c r="Y58" s="25"/>
      <c r="Z58" s="103"/>
      <c r="AA58" s="3" t="str">
        <f>IF(C_Ope_002[[#This Row],[fecha]]&gt;0,TEXT(C_Ope_002[[#This Row],[fecha]],"mmmm"),0)</f>
        <v>Febrero</v>
      </c>
      <c r="AB58" s="49"/>
    </row>
    <row r="59" spans="1:28" ht="24" x14ac:dyDescent="0.3">
      <c r="A59" s="2">
        <f>IF(C_Ope_002[[#This Row],[tipo_r]]="R",COUNTIFS($C$1:$C58,"R")+1,"")</f>
        <v>58</v>
      </c>
      <c r="B59" s="19" t="str">
        <f t="shared" si="0"/>
        <v>C_Ope_002</v>
      </c>
      <c r="C59" s="3" t="s">
        <v>1330</v>
      </c>
      <c r="D59" s="14">
        <v>45692</v>
      </c>
      <c r="E59" s="5" t="s">
        <v>8005</v>
      </c>
      <c r="F59" s="5" t="s">
        <v>1336</v>
      </c>
      <c r="G59" s="6" t="s">
        <v>978</v>
      </c>
      <c r="H59" s="6" t="s">
        <v>68</v>
      </c>
      <c r="I59" s="6" t="s">
        <v>6380</v>
      </c>
      <c r="J59" s="6">
        <v>366302</v>
      </c>
      <c r="K59" s="7" t="s">
        <v>7771</v>
      </c>
      <c r="L59" s="8">
        <v>22923</v>
      </c>
      <c r="M59" s="8" t="str">
        <f t="shared" si="5"/>
        <v>PEN</v>
      </c>
      <c r="N59" s="13"/>
      <c r="O59" s="13">
        <v>8</v>
      </c>
      <c r="P59" s="3">
        <f t="shared" si="2"/>
        <v>0</v>
      </c>
      <c r="Q59" s="3">
        <f t="shared" si="3"/>
        <v>8</v>
      </c>
      <c r="R59" s="3">
        <f t="shared" si="4"/>
        <v>539.70000000000005</v>
      </c>
      <c r="S59" s="24" t="s">
        <v>1334</v>
      </c>
      <c r="T59" s="24" t="s">
        <v>1334</v>
      </c>
      <c r="U59" s="3"/>
      <c r="V59" s="25" t="s">
        <v>7842</v>
      </c>
      <c r="W59" s="25">
        <v>20517252558</v>
      </c>
      <c r="X59" s="25" t="str">
        <f>IFERROR(VLOOKUP(C_Ope_002[[#This Row],[nota_2]],Clientes_Proveedores[[Ruc / Dni]:[Razon Social]],2,0),"")</f>
        <v>COVISUR S.A.</v>
      </c>
      <c r="Y59" s="25"/>
      <c r="Z59" s="103"/>
      <c r="AA59" s="3" t="str">
        <f>IF(C_Ope_002[[#This Row],[fecha]]&gt;0,TEXT(C_Ope_002[[#This Row],[fecha]],"mmmm"),0)</f>
        <v>Febrero</v>
      </c>
      <c r="AB59" s="49"/>
    </row>
    <row r="60" spans="1:28" x14ac:dyDescent="0.3">
      <c r="A60" s="2">
        <f>IF(C_Ope_002[[#This Row],[tipo_r]]="R",COUNTIFS($C$1:$C59,"R")+1,"")</f>
        <v>59</v>
      </c>
      <c r="B60" s="19" t="str">
        <f t="shared" si="0"/>
        <v>C_Ope_002</v>
      </c>
      <c r="C60" s="3" t="s">
        <v>1330</v>
      </c>
      <c r="D60" s="14">
        <v>45693</v>
      </c>
      <c r="E60" s="5" t="s">
        <v>8005</v>
      </c>
      <c r="F60" s="5" t="s">
        <v>1336</v>
      </c>
      <c r="G60" s="6" t="s">
        <v>978</v>
      </c>
      <c r="H60" s="6" t="s">
        <v>68</v>
      </c>
      <c r="I60" s="6" t="s">
        <v>6245</v>
      </c>
      <c r="J60" s="6">
        <v>916731</v>
      </c>
      <c r="K60" s="7" t="s">
        <v>8038</v>
      </c>
      <c r="L60" s="8">
        <v>22914</v>
      </c>
      <c r="M60" s="8" t="str">
        <f t="shared" si="5"/>
        <v>PEN</v>
      </c>
      <c r="N60" s="13"/>
      <c r="O60" s="13">
        <v>8</v>
      </c>
      <c r="P60" s="3">
        <f t="shared" si="2"/>
        <v>0</v>
      </c>
      <c r="Q60" s="3">
        <f t="shared" si="3"/>
        <v>8</v>
      </c>
      <c r="R60" s="3">
        <f t="shared" si="4"/>
        <v>531.70000000000005</v>
      </c>
      <c r="S60" s="24" t="s">
        <v>1334</v>
      </c>
      <c r="T60" s="24" t="s">
        <v>1334</v>
      </c>
      <c r="U60" s="3"/>
      <c r="V60" s="25" t="s">
        <v>7842</v>
      </c>
      <c r="W60" s="25">
        <v>20517252558</v>
      </c>
      <c r="X60" s="25" t="str">
        <f>IFERROR(VLOOKUP(C_Ope_002[[#This Row],[nota_2]],Clientes_Proveedores[[Ruc / Dni]:[Razon Social]],2,0),"")</f>
        <v>COVISUR S.A.</v>
      </c>
      <c r="Y60" s="25"/>
      <c r="Z60" s="103"/>
      <c r="AA60" s="3" t="str">
        <f>IF(C_Ope_002[[#This Row],[fecha]]&gt;0,TEXT(C_Ope_002[[#This Row],[fecha]],"mmmm"),0)</f>
        <v>Febrero</v>
      </c>
      <c r="AB60" s="49"/>
    </row>
    <row r="61" spans="1:28" ht="24" x14ac:dyDescent="0.3">
      <c r="A61" s="2">
        <f>IF(C_Ope_002[[#This Row],[tipo_r]]="R",COUNTIFS($C$1:$C60,"R")+1,"")</f>
        <v>60</v>
      </c>
      <c r="B61" s="19" t="str">
        <f t="shared" si="0"/>
        <v>C_Ope_002</v>
      </c>
      <c r="C61" s="3" t="s">
        <v>1330</v>
      </c>
      <c r="D61" s="14">
        <v>45693</v>
      </c>
      <c r="E61" s="5" t="s">
        <v>8005</v>
      </c>
      <c r="F61" s="5" t="s">
        <v>1336</v>
      </c>
      <c r="G61" s="6" t="s">
        <v>978</v>
      </c>
      <c r="H61" s="6" t="s">
        <v>68</v>
      </c>
      <c r="I61" s="6" t="s">
        <v>5688</v>
      </c>
      <c r="J61" s="6">
        <v>2222140</v>
      </c>
      <c r="K61" s="7" t="s">
        <v>8039</v>
      </c>
      <c r="L61" s="8">
        <v>22915</v>
      </c>
      <c r="M61" s="8" t="str">
        <f t="shared" si="5"/>
        <v>PEN</v>
      </c>
      <c r="N61" s="13"/>
      <c r="O61" s="13">
        <v>8</v>
      </c>
      <c r="P61" s="3">
        <f t="shared" si="2"/>
        <v>0</v>
      </c>
      <c r="Q61" s="3">
        <f t="shared" si="3"/>
        <v>8</v>
      </c>
      <c r="R61" s="3">
        <f t="shared" si="4"/>
        <v>523.70000000000005</v>
      </c>
      <c r="S61" s="24" t="s">
        <v>1334</v>
      </c>
      <c r="T61" s="24" t="s">
        <v>1334</v>
      </c>
      <c r="U61" s="3"/>
      <c r="V61" s="25" t="s">
        <v>7842</v>
      </c>
      <c r="W61" s="25">
        <v>20517252558</v>
      </c>
      <c r="X61" s="25" t="str">
        <f>IFERROR(VLOOKUP(C_Ope_002[[#This Row],[nota_2]],Clientes_Proveedores[[Ruc / Dni]:[Razon Social]],2,0),"")</f>
        <v>COVISUR S.A.</v>
      </c>
      <c r="Y61" s="25"/>
      <c r="Z61" s="103"/>
      <c r="AA61" s="3" t="str">
        <f>IF(C_Ope_002[[#This Row],[fecha]]&gt;0,TEXT(C_Ope_002[[#This Row],[fecha]],"mmmm"),0)</f>
        <v>Febrero</v>
      </c>
      <c r="AB61" s="49"/>
    </row>
    <row r="62" spans="1:28" ht="24" x14ac:dyDescent="0.3">
      <c r="A62" s="2">
        <f>IF(C_Ope_002[[#This Row],[tipo_r]]="R",COUNTIFS($C$1:$C61,"R")+1,"")</f>
        <v>61</v>
      </c>
      <c r="B62" s="19" t="str">
        <f t="shared" si="0"/>
        <v>C_Ope_002</v>
      </c>
      <c r="C62" s="3" t="s">
        <v>1330</v>
      </c>
      <c r="D62" s="14">
        <v>45693</v>
      </c>
      <c r="E62" s="5" t="s">
        <v>8005</v>
      </c>
      <c r="F62" s="5" t="s">
        <v>1336</v>
      </c>
      <c r="G62" s="6" t="s">
        <v>978</v>
      </c>
      <c r="H62" s="6" t="s">
        <v>68</v>
      </c>
      <c r="I62" s="6" t="s">
        <v>5845</v>
      </c>
      <c r="J62" s="6">
        <v>1668330</v>
      </c>
      <c r="K62" s="7" t="s">
        <v>8039</v>
      </c>
      <c r="L62" s="8">
        <v>22916</v>
      </c>
      <c r="M62" s="8" t="str">
        <f t="shared" si="5"/>
        <v>PEN</v>
      </c>
      <c r="N62" s="13"/>
      <c r="O62" s="13">
        <v>8</v>
      </c>
      <c r="P62" s="3">
        <f t="shared" si="2"/>
        <v>0</v>
      </c>
      <c r="Q62" s="3">
        <f t="shared" si="3"/>
        <v>8</v>
      </c>
      <c r="R62" s="3">
        <f t="shared" si="4"/>
        <v>515.70000000000005</v>
      </c>
      <c r="S62" s="24" t="s">
        <v>1334</v>
      </c>
      <c r="T62" s="24" t="s">
        <v>1334</v>
      </c>
      <c r="U62" s="3"/>
      <c r="V62" s="25" t="s">
        <v>7842</v>
      </c>
      <c r="W62" s="25">
        <v>20517252558</v>
      </c>
      <c r="X62" s="25" t="str">
        <f>IFERROR(VLOOKUP(C_Ope_002[[#This Row],[nota_2]],Clientes_Proveedores[[Ruc / Dni]:[Razon Social]],2,0),"")</f>
        <v>COVISUR S.A.</v>
      </c>
      <c r="Y62" s="25"/>
      <c r="Z62" s="103"/>
      <c r="AA62" s="3" t="str">
        <f>IF(C_Ope_002[[#This Row],[fecha]]&gt;0,TEXT(C_Ope_002[[#This Row],[fecha]],"mmmm"),0)</f>
        <v>Febrero</v>
      </c>
      <c r="AB62" s="49"/>
    </row>
    <row r="63" spans="1:28" x14ac:dyDescent="0.3">
      <c r="A63" s="2">
        <f>IF(C_Ope_002[[#This Row],[tipo_r]]="R",COUNTIFS($C$1:$C62,"R")+1,"")</f>
        <v>62</v>
      </c>
      <c r="B63" s="19" t="str">
        <f t="shared" si="0"/>
        <v>C_Ope_002</v>
      </c>
      <c r="C63" s="3" t="s">
        <v>1330</v>
      </c>
      <c r="D63" s="14">
        <v>45693</v>
      </c>
      <c r="E63" s="5" t="s">
        <v>8005</v>
      </c>
      <c r="F63" s="5" t="s">
        <v>1336</v>
      </c>
      <c r="G63" s="6" t="s">
        <v>978</v>
      </c>
      <c r="H63" s="6" t="s">
        <v>68</v>
      </c>
      <c r="I63" s="6" t="s">
        <v>6244</v>
      </c>
      <c r="J63" s="6">
        <v>997809</v>
      </c>
      <c r="K63" s="7" t="s">
        <v>8038</v>
      </c>
      <c r="L63" s="8">
        <v>22917</v>
      </c>
      <c r="M63" s="8" t="str">
        <f t="shared" si="5"/>
        <v>PEN</v>
      </c>
      <c r="N63" s="13"/>
      <c r="O63" s="13">
        <v>8</v>
      </c>
      <c r="P63" s="3">
        <f t="shared" si="2"/>
        <v>0</v>
      </c>
      <c r="Q63" s="3">
        <f t="shared" si="3"/>
        <v>8</v>
      </c>
      <c r="R63" s="3">
        <f t="shared" si="4"/>
        <v>507.70000000000005</v>
      </c>
      <c r="S63" s="24" t="s">
        <v>1334</v>
      </c>
      <c r="T63" s="24" t="s">
        <v>1334</v>
      </c>
      <c r="U63" s="3"/>
      <c r="V63" s="25" t="s">
        <v>7842</v>
      </c>
      <c r="W63" s="25">
        <v>20517252558</v>
      </c>
      <c r="X63" s="25" t="str">
        <f>IFERROR(VLOOKUP(C_Ope_002[[#This Row],[nota_2]],Clientes_Proveedores[[Ruc / Dni]:[Razon Social]],2,0),"")</f>
        <v>COVISUR S.A.</v>
      </c>
      <c r="Y63" s="25"/>
      <c r="Z63" s="103"/>
      <c r="AA63" s="3" t="str">
        <f>IF(C_Ope_002[[#This Row],[fecha]]&gt;0,TEXT(C_Ope_002[[#This Row],[fecha]],"mmmm"),0)</f>
        <v>Febrero</v>
      </c>
      <c r="AB63" s="49"/>
    </row>
    <row r="64" spans="1:28" ht="24" x14ac:dyDescent="0.3">
      <c r="A64" s="2">
        <f>IF(C_Ope_002[[#This Row],[tipo_r]]="R",COUNTIFS($C$1:$C63,"R")+1,"")</f>
        <v>63</v>
      </c>
      <c r="B64" s="19" t="str">
        <f t="shared" si="0"/>
        <v>C_Ope_002</v>
      </c>
      <c r="C64" s="3" t="s">
        <v>1330</v>
      </c>
      <c r="D64" s="14">
        <v>45694</v>
      </c>
      <c r="E64" s="5" t="s">
        <v>8005</v>
      </c>
      <c r="F64" s="5" t="s">
        <v>1336</v>
      </c>
      <c r="G64" s="6" t="s">
        <v>978</v>
      </c>
      <c r="H64" s="6" t="s">
        <v>68</v>
      </c>
      <c r="I64" s="6" t="s">
        <v>6203</v>
      </c>
      <c r="J64" s="6">
        <v>1952125</v>
      </c>
      <c r="K64" s="7" t="s">
        <v>8040</v>
      </c>
      <c r="L64" s="8">
        <v>22910</v>
      </c>
      <c r="M64" s="8" t="str">
        <f t="shared" si="5"/>
        <v>PEN</v>
      </c>
      <c r="N64" s="13"/>
      <c r="O64" s="13">
        <v>8</v>
      </c>
      <c r="P64" s="3">
        <f t="shared" si="2"/>
        <v>0</v>
      </c>
      <c r="Q64" s="3">
        <f t="shared" si="3"/>
        <v>8</v>
      </c>
      <c r="R64" s="3">
        <f t="shared" si="4"/>
        <v>499.70000000000005</v>
      </c>
      <c r="S64" s="24" t="s">
        <v>1334</v>
      </c>
      <c r="T64" s="24" t="s">
        <v>1334</v>
      </c>
      <c r="U64" s="3"/>
      <c r="V64" s="25" t="s">
        <v>7842</v>
      </c>
      <c r="W64" s="25">
        <v>20517252558</v>
      </c>
      <c r="X64" s="25" t="str">
        <f>IFERROR(VLOOKUP(C_Ope_002[[#This Row],[nota_2]],Clientes_Proveedores[[Ruc / Dni]:[Razon Social]],2,0),"")</f>
        <v>COVISUR S.A.</v>
      </c>
      <c r="Y64" s="25"/>
      <c r="Z64" s="103"/>
      <c r="AA64" s="3" t="str">
        <f>IF(C_Ope_002[[#This Row],[fecha]]&gt;0,TEXT(C_Ope_002[[#This Row],[fecha]],"mmmm"),0)</f>
        <v>Febrero</v>
      </c>
      <c r="AB64" s="49"/>
    </row>
    <row r="65" spans="1:28" ht="24" x14ac:dyDescent="0.3">
      <c r="A65" s="2">
        <f>IF(C_Ope_002[[#This Row],[tipo_r]]="R",COUNTIFS($C$1:$C64,"R")+1,"")</f>
        <v>64</v>
      </c>
      <c r="B65" s="19" t="str">
        <f t="shared" si="0"/>
        <v>C_Ope_002</v>
      </c>
      <c r="C65" s="3" t="s">
        <v>1330</v>
      </c>
      <c r="D65" s="14">
        <v>45694</v>
      </c>
      <c r="E65" s="5" t="s">
        <v>8005</v>
      </c>
      <c r="F65" s="5" t="s">
        <v>1336</v>
      </c>
      <c r="G65" s="6" t="s">
        <v>978</v>
      </c>
      <c r="H65" s="6" t="s">
        <v>68</v>
      </c>
      <c r="I65" s="6" t="s">
        <v>6204</v>
      </c>
      <c r="J65" s="6">
        <v>1650575</v>
      </c>
      <c r="K65" s="7" t="s">
        <v>8040</v>
      </c>
      <c r="L65" s="8">
        <v>22911</v>
      </c>
      <c r="M65" s="8" t="str">
        <f t="shared" si="5"/>
        <v>PEN</v>
      </c>
      <c r="N65" s="13"/>
      <c r="O65" s="13">
        <v>8</v>
      </c>
      <c r="P65" s="3">
        <f t="shared" si="2"/>
        <v>0</v>
      </c>
      <c r="Q65" s="3">
        <f t="shared" si="3"/>
        <v>8</v>
      </c>
      <c r="R65" s="3">
        <f t="shared" si="4"/>
        <v>491.70000000000005</v>
      </c>
      <c r="S65" s="24" t="s">
        <v>1334</v>
      </c>
      <c r="T65" s="24" t="s">
        <v>1334</v>
      </c>
      <c r="U65" s="3"/>
      <c r="V65" s="25" t="s">
        <v>7842</v>
      </c>
      <c r="W65" s="25">
        <v>20517252558</v>
      </c>
      <c r="X65" s="25" t="str">
        <f>IFERROR(VLOOKUP(C_Ope_002[[#This Row],[nota_2]],Clientes_Proveedores[[Ruc / Dni]:[Razon Social]],2,0),"")</f>
        <v>COVISUR S.A.</v>
      </c>
      <c r="Y65" s="25"/>
      <c r="Z65" s="103"/>
      <c r="AA65" s="3" t="str">
        <f>IF(C_Ope_002[[#This Row],[fecha]]&gt;0,TEXT(C_Ope_002[[#This Row],[fecha]],"mmmm"),0)</f>
        <v>Febrero</v>
      </c>
      <c r="AB65" s="49"/>
    </row>
    <row r="66" spans="1:28" ht="24" x14ac:dyDescent="0.3">
      <c r="A66" s="2">
        <f>IF(C_Ope_002[[#This Row],[tipo_r]]="R",COUNTIFS($C$1:$C65,"R")+1,"")</f>
        <v>65</v>
      </c>
      <c r="B66" s="19" t="str">
        <f t="shared" ref="B66:B129" si="6">"C_Ope_002"</f>
        <v>C_Ope_002</v>
      </c>
      <c r="C66" s="3" t="s">
        <v>1330</v>
      </c>
      <c r="D66" s="14">
        <v>45694</v>
      </c>
      <c r="E66" s="5" t="s">
        <v>8005</v>
      </c>
      <c r="F66" s="5" t="s">
        <v>1336</v>
      </c>
      <c r="G66" s="6" t="s">
        <v>978</v>
      </c>
      <c r="H66" s="6" t="s">
        <v>68</v>
      </c>
      <c r="I66" s="6" t="s">
        <v>5845</v>
      </c>
      <c r="J66" s="6">
        <v>1668978</v>
      </c>
      <c r="K66" s="7" t="s">
        <v>8040</v>
      </c>
      <c r="L66" s="8">
        <v>22912</v>
      </c>
      <c r="M66" s="8" t="str">
        <f t="shared" si="5"/>
        <v>PEN</v>
      </c>
      <c r="N66" s="13"/>
      <c r="O66" s="13">
        <v>8</v>
      </c>
      <c r="P66" s="3">
        <f t="shared" ref="P66:P129" si="7">+IF(OR($F66="SALDO",$F66="INGRESO"),$O66,0)</f>
        <v>0</v>
      </c>
      <c r="Q66" s="3">
        <f t="shared" ref="Q66:Q129" si="8">+IF($F66="EGRESO",$O66,0)</f>
        <v>8</v>
      </c>
      <c r="R66" s="3">
        <f t="shared" ref="R66:R129" si="9">IFERROR(IF(F66="SALDO",P66,R65+P66-Q66),0)</f>
        <v>483.70000000000005</v>
      </c>
      <c r="S66" s="24" t="s">
        <v>1334</v>
      </c>
      <c r="T66" s="24" t="s">
        <v>1334</v>
      </c>
      <c r="U66" s="3"/>
      <c r="V66" s="25" t="s">
        <v>7842</v>
      </c>
      <c r="W66" s="25">
        <v>20517252558</v>
      </c>
      <c r="X66" s="25" t="str">
        <f>IFERROR(VLOOKUP(C_Ope_002[[#This Row],[nota_2]],Clientes_Proveedores[[Ruc / Dni]:[Razon Social]],2,0),"")</f>
        <v>COVISUR S.A.</v>
      </c>
      <c r="Y66" s="25"/>
      <c r="Z66" s="103"/>
      <c r="AA66" s="3" t="str">
        <f>IF(C_Ope_002[[#This Row],[fecha]]&gt;0,TEXT(C_Ope_002[[#This Row],[fecha]],"mmmm"),0)</f>
        <v>Febrero</v>
      </c>
      <c r="AB66" s="49"/>
    </row>
    <row r="67" spans="1:28" ht="24" x14ac:dyDescent="0.3">
      <c r="A67" s="2">
        <f>IF(C_Ope_002[[#This Row],[tipo_r]]="R",COUNTIFS($C$1:$C66,"R")+1,"")</f>
        <v>66</v>
      </c>
      <c r="B67" s="19" t="str">
        <f t="shared" si="6"/>
        <v>C_Ope_002</v>
      </c>
      <c r="C67" s="3" t="s">
        <v>1330</v>
      </c>
      <c r="D67" s="14">
        <v>45694</v>
      </c>
      <c r="E67" s="5" t="s">
        <v>8005</v>
      </c>
      <c r="F67" s="5" t="s">
        <v>1336</v>
      </c>
      <c r="G67" s="6" t="s">
        <v>978</v>
      </c>
      <c r="H67" s="6" t="s">
        <v>68</v>
      </c>
      <c r="I67" s="6" t="s">
        <v>5688</v>
      </c>
      <c r="J67" s="6">
        <v>2223560</v>
      </c>
      <c r="K67" s="7" t="s">
        <v>8040</v>
      </c>
      <c r="L67" s="8">
        <v>22913</v>
      </c>
      <c r="M67" s="8" t="str">
        <f t="shared" ref="M67:M130" si="10">"PEN"</f>
        <v>PEN</v>
      </c>
      <c r="N67" s="13"/>
      <c r="O67" s="13">
        <v>8</v>
      </c>
      <c r="P67" s="3">
        <f t="shared" si="7"/>
        <v>0</v>
      </c>
      <c r="Q67" s="3">
        <f t="shared" si="8"/>
        <v>8</v>
      </c>
      <c r="R67" s="3">
        <f t="shared" si="9"/>
        <v>475.70000000000005</v>
      </c>
      <c r="S67" s="24" t="s">
        <v>1334</v>
      </c>
      <c r="T67" s="24" t="s">
        <v>1334</v>
      </c>
      <c r="U67" s="3"/>
      <c r="V67" s="25" t="s">
        <v>7842</v>
      </c>
      <c r="W67" s="25">
        <v>20517252558</v>
      </c>
      <c r="X67" s="25" t="str">
        <f>IFERROR(VLOOKUP(C_Ope_002[[#This Row],[nota_2]],Clientes_Proveedores[[Ruc / Dni]:[Razon Social]],2,0),"")</f>
        <v>COVISUR S.A.</v>
      </c>
      <c r="Y67" s="25"/>
      <c r="Z67" s="103"/>
      <c r="AA67" s="3" t="str">
        <f>IF(C_Ope_002[[#This Row],[fecha]]&gt;0,TEXT(C_Ope_002[[#This Row],[fecha]],"mmmm"),0)</f>
        <v>Febrero</v>
      </c>
      <c r="AB67" s="49"/>
    </row>
    <row r="68" spans="1:28" ht="36" x14ac:dyDescent="0.3">
      <c r="A68" s="2">
        <f>IF(C_Ope_002[[#This Row],[tipo_r]]="R",COUNTIFS($C$1:$C67,"R")+1,"")</f>
        <v>67</v>
      </c>
      <c r="B68" s="19" t="str">
        <f t="shared" si="6"/>
        <v>C_Ope_002</v>
      </c>
      <c r="C68" s="3" t="s">
        <v>1330</v>
      </c>
      <c r="D68" s="14">
        <v>45695</v>
      </c>
      <c r="E68" s="5" t="s">
        <v>8005</v>
      </c>
      <c r="F68" s="5" t="s">
        <v>1336</v>
      </c>
      <c r="G68" s="6" t="s">
        <v>978</v>
      </c>
      <c r="H68" s="6" t="s">
        <v>68</v>
      </c>
      <c r="I68" s="6" t="s">
        <v>6203</v>
      </c>
      <c r="J68" s="6">
        <v>1953428</v>
      </c>
      <c r="K68" s="7" t="s">
        <v>8041</v>
      </c>
      <c r="L68" s="8">
        <v>22982</v>
      </c>
      <c r="M68" s="8" t="str">
        <f t="shared" si="10"/>
        <v>PEN</v>
      </c>
      <c r="N68" s="13"/>
      <c r="O68" s="13">
        <v>8</v>
      </c>
      <c r="P68" s="3">
        <f t="shared" si="7"/>
        <v>0</v>
      </c>
      <c r="Q68" s="3">
        <f t="shared" si="8"/>
        <v>8</v>
      </c>
      <c r="R68" s="3">
        <f t="shared" si="9"/>
        <v>467.70000000000005</v>
      </c>
      <c r="S68" s="24" t="s">
        <v>1334</v>
      </c>
      <c r="T68" s="24" t="s">
        <v>1334</v>
      </c>
      <c r="U68" s="3"/>
      <c r="V68" s="25" t="s">
        <v>7842</v>
      </c>
      <c r="W68" s="25">
        <v>20517252558</v>
      </c>
      <c r="X68" s="25" t="str">
        <f>IFERROR(VLOOKUP(C_Ope_002[[#This Row],[nota_2]],Clientes_Proveedores[[Ruc / Dni]:[Razon Social]],2,0),"")</f>
        <v>COVISUR S.A.</v>
      </c>
      <c r="Y68" s="25"/>
      <c r="Z68" s="103"/>
      <c r="AA68" s="3" t="str">
        <f>IF(C_Ope_002[[#This Row],[fecha]]&gt;0,TEXT(C_Ope_002[[#This Row],[fecha]],"mmmm"),0)</f>
        <v>Febrero</v>
      </c>
      <c r="AB68" s="49"/>
    </row>
    <row r="69" spans="1:28" ht="36" x14ac:dyDescent="0.3">
      <c r="A69" s="2">
        <f>IF(C_Ope_002[[#This Row],[tipo_r]]="R",COUNTIFS($C$1:$C68,"R")+1,"")</f>
        <v>68</v>
      </c>
      <c r="B69" s="19" t="str">
        <f t="shared" si="6"/>
        <v>C_Ope_002</v>
      </c>
      <c r="C69" s="3" t="s">
        <v>1330</v>
      </c>
      <c r="D69" s="14">
        <v>45695</v>
      </c>
      <c r="E69" s="5" t="s">
        <v>8005</v>
      </c>
      <c r="F69" s="5" t="s">
        <v>1336</v>
      </c>
      <c r="G69" s="6" t="s">
        <v>978</v>
      </c>
      <c r="H69" s="6" t="s">
        <v>68</v>
      </c>
      <c r="I69" s="6" t="s">
        <v>6204</v>
      </c>
      <c r="J69" s="6">
        <v>1651318</v>
      </c>
      <c r="K69" s="7" t="s">
        <v>8041</v>
      </c>
      <c r="L69" s="8">
        <v>22983</v>
      </c>
      <c r="M69" s="8" t="str">
        <f t="shared" si="10"/>
        <v>PEN</v>
      </c>
      <c r="N69" s="13"/>
      <c r="O69" s="13">
        <v>8</v>
      </c>
      <c r="P69" s="3">
        <f t="shared" si="7"/>
        <v>0</v>
      </c>
      <c r="Q69" s="3">
        <f t="shared" si="8"/>
        <v>8</v>
      </c>
      <c r="R69" s="3">
        <f t="shared" si="9"/>
        <v>459.70000000000005</v>
      </c>
      <c r="S69" s="24" t="s">
        <v>1334</v>
      </c>
      <c r="T69" s="24" t="s">
        <v>1334</v>
      </c>
      <c r="U69" s="3"/>
      <c r="V69" s="25" t="s">
        <v>7842</v>
      </c>
      <c r="W69" s="25">
        <v>20517252558</v>
      </c>
      <c r="X69" s="25" t="str">
        <f>IFERROR(VLOOKUP(C_Ope_002[[#This Row],[nota_2]],Clientes_Proveedores[[Ruc / Dni]:[Razon Social]],2,0),"")</f>
        <v>COVISUR S.A.</v>
      </c>
      <c r="Y69" s="25"/>
      <c r="Z69" s="103"/>
      <c r="AA69" s="3" t="str">
        <f>IF(C_Ope_002[[#This Row],[fecha]]&gt;0,TEXT(C_Ope_002[[#This Row],[fecha]],"mmmm"),0)</f>
        <v>Febrero</v>
      </c>
      <c r="AB69" s="49"/>
    </row>
    <row r="70" spans="1:28" ht="36" x14ac:dyDescent="0.3">
      <c r="A70" s="2">
        <f>IF(C_Ope_002[[#This Row],[tipo_r]]="R",COUNTIFS($C$1:$C69,"R")+1,"")</f>
        <v>69</v>
      </c>
      <c r="B70" s="19" t="str">
        <f t="shared" si="6"/>
        <v>C_Ope_002</v>
      </c>
      <c r="C70" s="3" t="s">
        <v>1330</v>
      </c>
      <c r="D70" s="14">
        <v>45691</v>
      </c>
      <c r="E70" s="5" t="s">
        <v>8005</v>
      </c>
      <c r="F70" s="5" t="s">
        <v>1336</v>
      </c>
      <c r="G70" s="6" t="s">
        <v>1029</v>
      </c>
      <c r="H70" s="6" t="s">
        <v>68</v>
      </c>
      <c r="I70" s="6" t="s">
        <v>1374</v>
      </c>
      <c r="J70" s="6">
        <v>16757</v>
      </c>
      <c r="K70" s="7" t="s">
        <v>8042</v>
      </c>
      <c r="L70" s="8">
        <v>22928</v>
      </c>
      <c r="M70" s="8" t="str">
        <f t="shared" si="10"/>
        <v>PEN</v>
      </c>
      <c r="N70" s="13"/>
      <c r="O70" s="13">
        <v>11</v>
      </c>
      <c r="P70" s="3">
        <f t="shared" si="7"/>
        <v>0</v>
      </c>
      <c r="Q70" s="3">
        <f t="shared" si="8"/>
        <v>11</v>
      </c>
      <c r="R70" s="3">
        <f t="shared" si="9"/>
        <v>448.70000000000005</v>
      </c>
      <c r="S70" s="24" t="s">
        <v>1334</v>
      </c>
      <c r="T70" s="24" t="s">
        <v>1334</v>
      </c>
      <c r="U70" s="3"/>
      <c r="V70" s="25" t="s">
        <v>7842</v>
      </c>
      <c r="W70" s="25">
        <v>20454058187</v>
      </c>
      <c r="X70" s="25" t="str">
        <f>IFERROR(VLOOKUP(C_Ope_002[[#This Row],[nota_2]],Clientes_Proveedores[[Ruc / Dni]:[Razon Social]],2,0),"")</f>
        <v>ZONA ESPECIAL DE DESARROLLO ZED MATARANI</v>
      </c>
      <c r="Y70" s="25"/>
      <c r="Z70" s="103"/>
      <c r="AA70" s="3" t="str">
        <f>IF(C_Ope_002[[#This Row],[fecha]]&gt;0,TEXT(C_Ope_002[[#This Row],[fecha]],"mmmm"),0)</f>
        <v>Febrero</v>
      </c>
      <c r="AB70" s="49"/>
    </row>
    <row r="71" spans="1:28" ht="36" x14ac:dyDescent="0.3">
      <c r="A71" s="2">
        <f>IF(C_Ope_002[[#This Row],[tipo_r]]="R",COUNTIFS($C$1:$C70,"R")+1,"")</f>
        <v>70</v>
      </c>
      <c r="B71" s="19" t="str">
        <f t="shared" si="6"/>
        <v>C_Ope_002</v>
      </c>
      <c r="C71" s="3" t="s">
        <v>1330</v>
      </c>
      <c r="D71" s="14">
        <v>45692</v>
      </c>
      <c r="E71" s="5" t="s">
        <v>8005</v>
      </c>
      <c r="F71" s="5" t="s">
        <v>1336</v>
      </c>
      <c r="G71" s="6" t="s">
        <v>1029</v>
      </c>
      <c r="H71" s="6" t="s">
        <v>68</v>
      </c>
      <c r="I71" s="6" t="s">
        <v>1374</v>
      </c>
      <c r="J71" s="6">
        <v>16795</v>
      </c>
      <c r="K71" s="7" t="s">
        <v>7776</v>
      </c>
      <c r="L71" s="8">
        <v>22919</v>
      </c>
      <c r="M71" s="8" t="str">
        <f t="shared" si="10"/>
        <v>PEN</v>
      </c>
      <c r="N71" s="13"/>
      <c r="O71" s="13">
        <v>11</v>
      </c>
      <c r="P71" s="3">
        <f t="shared" si="7"/>
        <v>0</v>
      </c>
      <c r="Q71" s="3">
        <f t="shared" si="8"/>
        <v>11</v>
      </c>
      <c r="R71" s="3">
        <f t="shared" si="9"/>
        <v>437.70000000000005</v>
      </c>
      <c r="S71" s="24" t="s">
        <v>1334</v>
      </c>
      <c r="T71" s="24" t="s">
        <v>1334</v>
      </c>
      <c r="U71" s="3"/>
      <c r="V71" s="25" t="s">
        <v>7842</v>
      </c>
      <c r="W71" s="25">
        <v>20454058187</v>
      </c>
      <c r="X71" s="25" t="str">
        <f>IFERROR(VLOOKUP(C_Ope_002[[#This Row],[nota_2]],Clientes_Proveedores[[Ruc / Dni]:[Razon Social]],2,0),"")</f>
        <v>ZONA ESPECIAL DE DESARROLLO ZED MATARANI</v>
      </c>
      <c r="Y71" s="25"/>
      <c r="Z71" s="103"/>
      <c r="AA71" s="3" t="str">
        <f>IF(C_Ope_002[[#This Row],[fecha]]&gt;0,TEXT(C_Ope_002[[#This Row],[fecha]],"mmmm"),0)</f>
        <v>Febrero</v>
      </c>
      <c r="AB71" s="49"/>
    </row>
    <row r="72" spans="1:28" ht="36" x14ac:dyDescent="0.3">
      <c r="A72" s="2">
        <f>IF(C_Ope_002[[#This Row],[tipo_r]]="R",COUNTIFS($C$1:$C71,"R")+1,"")</f>
        <v>71</v>
      </c>
      <c r="B72" s="19" t="str">
        <f t="shared" si="6"/>
        <v>C_Ope_002</v>
      </c>
      <c r="C72" s="3" t="s">
        <v>1330</v>
      </c>
      <c r="D72" s="14">
        <v>45693</v>
      </c>
      <c r="E72" s="5" t="s">
        <v>8005</v>
      </c>
      <c r="F72" s="5" t="s">
        <v>1336</v>
      </c>
      <c r="G72" s="6" t="s">
        <v>1029</v>
      </c>
      <c r="H72" s="6" t="s">
        <v>68</v>
      </c>
      <c r="I72" s="6" t="s">
        <v>1374</v>
      </c>
      <c r="J72" s="6">
        <v>16803</v>
      </c>
      <c r="K72" s="7" t="s">
        <v>8043</v>
      </c>
      <c r="L72" s="8">
        <v>22918</v>
      </c>
      <c r="M72" s="8" t="str">
        <f t="shared" si="10"/>
        <v>PEN</v>
      </c>
      <c r="N72" s="13"/>
      <c r="O72" s="13">
        <v>11</v>
      </c>
      <c r="P72" s="3">
        <f t="shared" si="7"/>
        <v>0</v>
      </c>
      <c r="Q72" s="3">
        <f t="shared" si="8"/>
        <v>11</v>
      </c>
      <c r="R72" s="3">
        <f t="shared" si="9"/>
        <v>426.70000000000005</v>
      </c>
      <c r="S72" s="24" t="s">
        <v>1334</v>
      </c>
      <c r="T72" s="24" t="s">
        <v>1334</v>
      </c>
      <c r="U72" s="3"/>
      <c r="V72" s="25" t="s">
        <v>7842</v>
      </c>
      <c r="W72" s="25">
        <v>20454058187</v>
      </c>
      <c r="X72" s="25" t="str">
        <f>IFERROR(VLOOKUP(C_Ope_002[[#This Row],[nota_2]],Clientes_Proveedores[[Ruc / Dni]:[Razon Social]],2,0),"")</f>
        <v>ZONA ESPECIAL DE DESARROLLO ZED MATARANI</v>
      </c>
      <c r="Y72" s="25"/>
      <c r="Z72" s="103"/>
      <c r="AA72" s="3" t="str">
        <f>IF(C_Ope_002[[#This Row],[fecha]]&gt;0,TEXT(C_Ope_002[[#This Row],[fecha]],"mmmm"),0)</f>
        <v>Febrero</v>
      </c>
      <c r="AB72" s="49"/>
    </row>
    <row r="73" spans="1:28" ht="36" x14ac:dyDescent="0.3">
      <c r="A73" s="2">
        <f>IF(C_Ope_002[[#This Row],[tipo_r]]="R",COUNTIFS($C$1:$C72,"R")+1,"")</f>
        <v>72</v>
      </c>
      <c r="B73" s="19" t="str">
        <f t="shared" si="6"/>
        <v>C_Ope_002</v>
      </c>
      <c r="C73" s="3" t="s">
        <v>1330</v>
      </c>
      <c r="D73" s="14">
        <v>45695</v>
      </c>
      <c r="E73" s="5" t="s">
        <v>8005</v>
      </c>
      <c r="F73" s="5" t="s">
        <v>1336</v>
      </c>
      <c r="G73" s="6" t="s">
        <v>682</v>
      </c>
      <c r="H73" s="6" t="s">
        <v>68</v>
      </c>
      <c r="I73" s="6" t="s">
        <v>1353</v>
      </c>
      <c r="J73" s="6">
        <v>15598</v>
      </c>
      <c r="K73" s="7" t="s">
        <v>8044</v>
      </c>
      <c r="L73" s="8">
        <v>22984</v>
      </c>
      <c r="M73" s="8" t="str">
        <f t="shared" si="10"/>
        <v>PEN</v>
      </c>
      <c r="N73" s="13"/>
      <c r="O73" s="13">
        <v>20</v>
      </c>
      <c r="P73" s="3">
        <f t="shared" si="7"/>
        <v>0</v>
      </c>
      <c r="Q73" s="3">
        <f t="shared" si="8"/>
        <v>20</v>
      </c>
      <c r="R73" s="3">
        <f t="shared" si="9"/>
        <v>406.70000000000005</v>
      </c>
      <c r="S73" s="24" t="s">
        <v>1334</v>
      </c>
      <c r="T73" s="24" t="s">
        <v>1334</v>
      </c>
      <c r="U73" s="3"/>
      <c r="V73" s="25" t="s">
        <v>7842</v>
      </c>
      <c r="W73" s="25">
        <v>20259858934</v>
      </c>
      <c r="X73" s="25" t="str">
        <f>IFERROR(VLOOKUP(C_Ope_002[[#This Row],[nota_2]],Clientes_Proveedores[[Ruc / Dni]:[Razon Social]],2,0),"")</f>
        <v>COMERCIALIZACION Y SERVICIOS EL EDEN S.A.C.</v>
      </c>
      <c r="Y73" s="25"/>
      <c r="Z73" s="103"/>
      <c r="AA73" s="3" t="str">
        <f>IF(C_Ope_002[[#This Row],[fecha]]&gt;0,TEXT(C_Ope_002[[#This Row],[fecha]],"mmmm"),0)</f>
        <v>Febrero</v>
      </c>
      <c r="AB73" s="49"/>
    </row>
    <row r="74" spans="1:28" ht="36" x14ac:dyDescent="0.3">
      <c r="A74" s="2">
        <f>IF(C_Ope_002[[#This Row],[tipo_r]]="R",COUNTIFS($C$1:$C73,"R")+1,"")</f>
        <v>73</v>
      </c>
      <c r="B74" s="19" t="str">
        <f t="shared" si="6"/>
        <v>C_Ope_002</v>
      </c>
      <c r="C74" s="3" t="s">
        <v>1330</v>
      </c>
      <c r="D74" s="14">
        <v>45695</v>
      </c>
      <c r="E74" s="5" t="s">
        <v>8005</v>
      </c>
      <c r="F74" s="5" t="s">
        <v>1336</v>
      </c>
      <c r="G74" s="6" t="s">
        <v>682</v>
      </c>
      <c r="H74" s="6" t="s">
        <v>68</v>
      </c>
      <c r="I74" s="6" t="s">
        <v>1353</v>
      </c>
      <c r="J74" s="6">
        <v>15599</v>
      </c>
      <c r="K74" s="7" t="s">
        <v>8044</v>
      </c>
      <c r="L74" s="8">
        <v>22985</v>
      </c>
      <c r="M74" s="8" t="str">
        <f t="shared" si="10"/>
        <v>PEN</v>
      </c>
      <c r="N74" s="13"/>
      <c r="O74" s="13">
        <v>20</v>
      </c>
      <c r="P74" s="3">
        <f t="shared" si="7"/>
        <v>0</v>
      </c>
      <c r="Q74" s="3">
        <f t="shared" si="8"/>
        <v>20</v>
      </c>
      <c r="R74" s="3">
        <f t="shared" si="9"/>
        <v>386.70000000000005</v>
      </c>
      <c r="S74" s="24" t="s">
        <v>1334</v>
      </c>
      <c r="T74" s="24" t="s">
        <v>1334</v>
      </c>
      <c r="U74" s="3"/>
      <c r="V74" s="25" t="s">
        <v>7842</v>
      </c>
      <c r="W74" s="25">
        <v>20259858934</v>
      </c>
      <c r="X74" s="25" t="str">
        <f>IFERROR(VLOOKUP(C_Ope_002[[#This Row],[nota_2]],Clientes_Proveedores[[Ruc / Dni]:[Razon Social]],2,0),"")</f>
        <v>COMERCIALIZACION Y SERVICIOS EL EDEN S.A.C.</v>
      </c>
      <c r="Y74" s="25"/>
      <c r="Z74" s="103"/>
      <c r="AA74" s="3" t="str">
        <f>IF(C_Ope_002[[#This Row],[fecha]]&gt;0,TEXT(C_Ope_002[[#This Row],[fecha]],"mmmm"),0)</f>
        <v>Febrero</v>
      </c>
      <c r="AB74" s="49"/>
    </row>
    <row r="75" spans="1:28" ht="36" x14ac:dyDescent="0.3">
      <c r="A75" s="2">
        <f>IF(C_Ope_002[[#This Row],[tipo_r]]="R",COUNTIFS($C$1:$C74,"R")+1,"")</f>
        <v>74</v>
      </c>
      <c r="B75" s="19" t="str">
        <f t="shared" si="6"/>
        <v>C_Ope_002</v>
      </c>
      <c r="C75" s="3" t="s">
        <v>1330</v>
      </c>
      <c r="D75" s="14">
        <v>45698</v>
      </c>
      <c r="E75" s="5" t="s">
        <v>8005</v>
      </c>
      <c r="F75" s="5" t="s">
        <v>1336</v>
      </c>
      <c r="G75" s="6" t="s">
        <v>978</v>
      </c>
      <c r="H75" s="6" t="s">
        <v>68</v>
      </c>
      <c r="I75" s="6" t="s">
        <v>5845</v>
      </c>
      <c r="J75" s="6">
        <v>1672518</v>
      </c>
      <c r="K75" s="7" t="s">
        <v>8045</v>
      </c>
      <c r="L75" s="8">
        <v>23022</v>
      </c>
      <c r="M75" s="8" t="str">
        <f t="shared" si="10"/>
        <v>PEN</v>
      </c>
      <c r="N75" s="13"/>
      <c r="O75" s="13">
        <v>8</v>
      </c>
      <c r="P75" s="3">
        <f t="shared" si="7"/>
        <v>0</v>
      </c>
      <c r="Q75" s="3">
        <f t="shared" si="8"/>
        <v>8</v>
      </c>
      <c r="R75" s="3">
        <f t="shared" si="9"/>
        <v>378.70000000000005</v>
      </c>
      <c r="S75" s="24" t="s">
        <v>1334</v>
      </c>
      <c r="T75" s="24" t="s">
        <v>1334</v>
      </c>
      <c r="U75" s="3"/>
      <c r="V75" s="25" t="s">
        <v>7842</v>
      </c>
      <c r="W75" s="25">
        <v>20517252558</v>
      </c>
      <c r="X75" s="25" t="str">
        <f>IFERROR(VLOOKUP(C_Ope_002[[#This Row],[nota_2]],Clientes_Proveedores[[Ruc / Dni]:[Razon Social]],2,0),"")</f>
        <v>COVISUR S.A.</v>
      </c>
      <c r="Y75" s="25"/>
      <c r="Z75" s="103"/>
      <c r="AA75" s="3" t="str">
        <f>IF(C_Ope_002[[#This Row],[fecha]]&gt;0,TEXT(C_Ope_002[[#This Row],[fecha]],"mmmm"),0)</f>
        <v>Febrero</v>
      </c>
      <c r="AB75" s="49"/>
    </row>
    <row r="76" spans="1:28" ht="36" x14ac:dyDescent="0.3">
      <c r="A76" s="2">
        <f>IF(C_Ope_002[[#This Row],[tipo_r]]="R",COUNTIFS($C$1:$C75,"R")+1,"")</f>
        <v>75</v>
      </c>
      <c r="B76" s="19" t="str">
        <f t="shared" si="6"/>
        <v>C_Ope_002</v>
      </c>
      <c r="C76" s="3" t="s">
        <v>1330</v>
      </c>
      <c r="D76" s="14">
        <v>45698</v>
      </c>
      <c r="E76" s="5" t="s">
        <v>8005</v>
      </c>
      <c r="F76" s="5" t="s">
        <v>1336</v>
      </c>
      <c r="G76" s="6" t="s">
        <v>978</v>
      </c>
      <c r="H76" s="6" t="s">
        <v>68</v>
      </c>
      <c r="I76" s="6" t="s">
        <v>6204</v>
      </c>
      <c r="J76" s="6">
        <v>1653353</v>
      </c>
      <c r="K76" s="7" t="s">
        <v>8045</v>
      </c>
      <c r="L76" s="8">
        <v>23023</v>
      </c>
      <c r="M76" s="8" t="str">
        <f t="shared" si="10"/>
        <v>PEN</v>
      </c>
      <c r="N76" s="13"/>
      <c r="O76" s="13">
        <v>8</v>
      </c>
      <c r="P76" s="3">
        <f t="shared" si="7"/>
        <v>0</v>
      </c>
      <c r="Q76" s="3">
        <f t="shared" si="8"/>
        <v>8</v>
      </c>
      <c r="R76" s="3">
        <f t="shared" si="9"/>
        <v>370.70000000000005</v>
      </c>
      <c r="S76" s="24" t="s">
        <v>1334</v>
      </c>
      <c r="T76" s="24" t="s">
        <v>1334</v>
      </c>
      <c r="U76" s="3"/>
      <c r="V76" s="25" t="s">
        <v>7842</v>
      </c>
      <c r="W76" s="25">
        <v>20517252558</v>
      </c>
      <c r="X76" s="25" t="str">
        <f>IFERROR(VLOOKUP(C_Ope_002[[#This Row],[nota_2]],Clientes_Proveedores[[Ruc / Dni]:[Razon Social]],2,0),"")</f>
        <v>COVISUR S.A.</v>
      </c>
      <c r="Y76" s="25"/>
      <c r="Z76" s="103"/>
      <c r="AA76" s="3" t="str">
        <f>IF(C_Ope_002[[#This Row],[fecha]]&gt;0,TEXT(C_Ope_002[[#This Row],[fecha]],"mmmm"),0)</f>
        <v>Febrero</v>
      </c>
      <c r="AB76" s="49"/>
    </row>
    <row r="77" spans="1:28" ht="24" x14ac:dyDescent="0.3">
      <c r="A77" s="2">
        <f>IF(C_Ope_002[[#This Row],[tipo_r]]="R",COUNTIFS($C$1:$C76,"R")+1,"")</f>
        <v>76</v>
      </c>
      <c r="B77" s="19" t="str">
        <f t="shared" si="6"/>
        <v>C_Ope_002</v>
      </c>
      <c r="C77" s="3" t="s">
        <v>1330</v>
      </c>
      <c r="D77" s="14">
        <v>45699</v>
      </c>
      <c r="E77" s="5" t="s">
        <v>8005</v>
      </c>
      <c r="F77" s="5" t="s">
        <v>1336</v>
      </c>
      <c r="G77" s="6" t="s">
        <v>978</v>
      </c>
      <c r="H77" s="6" t="s">
        <v>68</v>
      </c>
      <c r="I77" s="6" t="s">
        <v>6203</v>
      </c>
      <c r="J77" s="6">
        <v>1957373</v>
      </c>
      <c r="K77" s="7" t="s">
        <v>8046</v>
      </c>
      <c r="L77" s="8">
        <v>23019</v>
      </c>
      <c r="M77" s="8" t="str">
        <f t="shared" si="10"/>
        <v>PEN</v>
      </c>
      <c r="N77" s="13"/>
      <c r="O77" s="13">
        <v>8</v>
      </c>
      <c r="P77" s="3">
        <f t="shared" si="7"/>
        <v>0</v>
      </c>
      <c r="Q77" s="3">
        <f t="shared" si="8"/>
        <v>8</v>
      </c>
      <c r="R77" s="3">
        <f t="shared" si="9"/>
        <v>362.70000000000005</v>
      </c>
      <c r="S77" s="24" t="s">
        <v>1334</v>
      </c>
      <c r="T77" s="24" t="s">
        <v>1334</v>
      </c>
      <c r="U77" s="3"/>
      <c r="V77" s="25" t="s">
        <v>7842</v>
      </c>
      <c r="W77" s="25">
        <v>20517252558</v>
      </c>
      <c r="X77" s="25" t="str">
        <f>IFERROR(VLOOKUP(C_Ope_002[[#This Row],[nota_2]],Clientes_Proveedores[[Ruc / Dni]:[Razon Social]],2,0),"")</f>
        <v>COVISUR S.A.</v>
      </c>
      <c r="Y77" s="25"/>
      <c r="Z77" s="103"/>
      <c r="AA77" s="3" t="str">
        <f>IF(C_Ope_002[[#This Row],[fecha]]&gt;0,TEXT(C_Ope_002[[#This Row],[fecha]],"mmmm"),0)</f>
        <v>Febrero</v>
      </c>
      <c r="AB77" s="49"/>
    </row>
    <row r="78" spans="1:28" ht="24" x14ac:dyDescent="0.3">
      <c r="A78" s="2">
        <f>IF(C_Ope_002[[#This Row],[tipo_r]]="R",COUNTIFS($C$1:$C77,"R")+1,"")</f>
        <v>77</v>
      </c>
      <c r="B78" s="19" t="str">
        <f t="shared" si="6"/>
        <v>C_Ope_002</v>
      </c>
      <c r="C78" s="3" t="s">
        <v>1330</v>
      </c>
      <c r="D78" s="14">
        <v>45699</v>
      </c>
      <c r="E78" s="5" t="s">
        <v>8005</v>
      </c>
      <c r="F78" s="5" t="s">
        <v>1336</v>
      </c>
      <c r="G78" s="6" t="s">
        <v>978</v>
      </c>
      <c r="H78" s="6" t="s">
        <v>68</v>
      </c>
      <c r="I78" s="6" t="s">
        <v>6204</v>
      </c>
      <c r="J78" s="6">
        <v>1654161</v>
      </c>
      <c r="K78" s="7" t="s">
        <v>8046</v>
      </c>
      <c r="L78" s="8">
        <v>23020</v>
      </c>
      <c r="M78" s="8" t="str">
        <f t="shared" si="10"/>
        <v>PEN</v>
      </c>
      <c r="N78" s="13"/>
      <c r="O78" s="13">
        <v>8</v>
      </c>
      <c r="P78" s="3">
        <f t="shared" si="7"/>
        <v>0</v>
      </c>
      <c r="Q78" s="3">
        <f t="shared" si="8"/>
        <v>8</v>
      </c>
      <c r="R78" s="3">
        <f t="shared" si="9"/>
        <v>354.70000000000005</v>
      </c>
      <c r="S78" s="24" t="s">
        <v>1334</v>
      </c>
      <c r="T78" s="24" t="s">
        <v>1334</v>
      </c>
      <c r="U78" s="3"/>
      <c r="V78" s="25" t="s">
        <v>7842</v>
      </c>
      <c r="W78" s="25">
        <v>20517252558</v>
      </c>
      <c r="X78" s="25" t="str">
        <f>IFERROR(VLOOKUP(C_Ope_002[[#This Row],[nota_2]],Clientes_Proveedores[[Ruc / Dni]:[Razon Social]],2,0),"")</f>
        <v>COVISUR S.A.</v>
      </c>
      <c r="Y78" s="25"/>
      <c r="Z78" s="103"/>
      <c r="AA78" s="3" t="str">
        <f>IF(C_Ope_002[[#This Row],[fecha]]&gt;0,TEXT(C_Ope_002[[#This Row],[fecha]],"mmmm"),0)</f>
        <v>Febrero</v>
      </c>
      <c r="AB78" s="49"/>
    </row>
    <row r="79" spans="1:28" ht="24" x14ac:dyDescent="0.3">
      <c r="A79" s="2">
        <f>IF(C_Ope_002[[#This Row],[tipo_r]]="R",COUNTIFS($C$1:$C78,"R")+1,"")</f>
        <v>78</v>
      </c>
      <c r="B79" s="19" t="str">
        <f t="shared" si="6"/>
        <v>C_Ope_002</v>
      </c>
      <c r="C79" s="3" t="s">
        <v>1330</v>
      </c>
      <c r="D79" s="14">
        <v>45700</v>
      </c>
      <c r="E79" s="5" t="s">
        <v>8005</v>
      </c>
      <c r="F79" s="5" t="s">
        <v>1336</v>
      </c>
      <c r="G79" s="6" t="s">
        <v>978</v>
      </c>
      <c r="H79" s="6" t="s">
        <v>68</v>
      </c>
      <c r="I79" s="6" t="s">
        <v>6203</v>
      </c>
      <c r="J79" s="6">
        <v>1958261</v>
      </c>
      <c r="K79" s="7" t="s">
        <v>8047</v>
      </c>
      <c r="L79" s="8">
        <v>23014</v>
      </c>
      <c r="M79" s="8" t="str">
        <f t="shared" si="10"/>
        <v>PEN</v>
      </c>
      <c r="N79" s="13"/>
      <c r="O79" s="13">
        <v>8</v>
      </c>
      <c r="P79" s="3">
        <f t="shared" si="7"/>
        <v>0</v>
      </c>
      <c r="Q79" s="3">
        <f t="shared" si="8"/>
        <v>8</v>
      </c>
      <c r="R79" s="3">
        <f t="shared" si="9"/>
        <v>346.70000000000005</v>
      </c>
      <c r="S79" s="24" t="s">
        <v>1334</v>
      </c>
      <c r="T79" s="24" t="s">
        <v>1334</v>
      </c>
      <c r="U79" s="3"/>
      <c r="V79" s="25" t="s">
        <v>7842</v>
      </c>
      <c r="W79" s="25">
        <v>20517252558</v>
      </c>
      <c r="X79" s="25" t="str">
        <f>IFERROR(VLOOKUP(C_Ope_002[[#This Row],[nota_2]],Clientes_Proveedores[[Ruc / Dni]:[Razon Social]],2,0),"")</f>
        <v>COVISUR S.A.</v>
      </c>
      <c r="Y79" s="25"/>
      <c r="Z79" s="103"/>
      <c r="AA79" s="3" t="str">
        <f>IF(C_Ope_002[[#This Row],[fecha]]&gt;0,TEXT(C_Ope_002[[#This Row],[fecha]],"mmmm"),0)</f>
        <v>Febrero</v>
      </c>
      <c r="AB79" s="49"/>
    </row>
    <row r="80" spans="1:28" ht="24" x14ac:dyDescent="0.3">
      <c r="A80" s="2">
        <f>IF(C_Ope_002[[#This Row],[tipo_r]]="R",COUNTIFS($C$1:$C79,"R")+1,"")</f>
        <v>79</v>
      </c>
      <c r="B80" s="19" t="str">
        <f t="shared" si="6"/>
        <v>C_Ope_002</v>
      </c>
      <c r="C80" s="3" t="s">
        <v>1330</v>
      </c>
      <c r="D80" s="14">
        <v>45700</v>
      </c>
      <c r="E80" s="5" t="s">
        <v>8005</v>
      </c>
      <c r="F80" s="5" t="s">
        <v>1336</v>
      </c>
      <c r="G80" s="6" t="s">
        <v>978</v>
      </c>
      <c r="H80" s="6" t="s">
        <v>68</v>
      </c>
      <c r="I80" s="6" t="s">
        <v>5688</v>
      </c>
      <c r="J80" s="6">
        <v>2230246</v>
      </c>
      <c r="K80" s="7" t="s">
        <v>8047</v>
      </c>
      <c r="L80" s="8">
        <v>23015</v>
      </c>
      <c r="M80" s="8" t="str">
        <f t="shared" si="10"/>
        <v>PEN</v>
      </c>
      <c r="N80" s="13"/>
      <c r="O80" s="13">
        <v>8</v>
      </c>
      <c r="P80" s="3">
        <f t="shared" si="7"/>
        <v>0</v>
      </c>
      <c r="Q80" s="3">
        <f t="shared" si="8"/>
        <v>8</v>
      </c>
      <c r="R80" s="3">
        <f t="shared" si="9"/>
        <v>338.70000000000005</v>
      </c>
      <c r="S80" s="24" t="s">
        <v>1334</v>
      </c>
      <c r="T80" s="24" t="s">
        <v>1334</v>
      </c>
      <c r="U80" s="3"/>
      <c r="V80" s="25" t="s">
        <v>7842</v>
      </c>
      <c r="W80" s="25">
        <v>20517252558</v>
      </c>
      <c r="X80" s="25" t="str">
        <f>IFERROR(VLOOKUP(C_Ope_002[[#This Row],[nota_2]],Clientes_Proveedores[[Ruc / Dni]:[Razon Social]],2,0),"")</f>
        <v>COVISUR S.A.</v>
      </c>
      <c r="Y80" s="25"/>
      <c r="Z80" s="103"/>
      <c r="AA80" s="3" t="str">
        <f>IF(C_Ope_002[[#This Row],[fecha]]&gt;0,TEXT(C_Ope_002[[#This Row],[fecha]],"mmmm"),0)</f>
        <v>Febrero</v>
      </c>
      <c r="AB80" s="49"/>
    </row>
    <row r="81" spans="1:28" ht="24" x14ac:dyDescent="0.3">
      <c r="A81" s="2">
        <f>IF(C_Ope_002[[#This Row],[tipo_r]]="R",COUNTIFS($C$1:$C80,"R")+1,"")</f>
        <v>80</v>
      </c>
      <c r="B81" s="19" t="str">
        <f t="shared" si="6"/>
        <v>C_Ope_002</v>
      </c>
      <c r="C81" s="3" t="s">
        <v>1330</v>
      </c>
      <c r="D81" s="14">
        <v>45701</v>
      </c>
      <c r="E81" s="5" t="s">
        <v>8005</v>
      </c>
      <c r="F81" s="5" t="s">
        <v>1336</v>
      </c>
      <c r="G81" s="6" t="s">
        <v>978</v>
      </c>
      <c r="H81" s="6" t="s">
        <v>68</v>
      </c>
      <c r="I81" s="6" t="s">
        <v>6204</v>
      </c>
      <c r="J81" s="6">
        <v>1656041</v>
      </c>
      <c r="K81" s="7" t="s">
        <v>8048</v>
      </c>
      <c r="L81" s="8">
        <v>23024</v>
      </c>
      <c r="M81" s="8" t="str">
        <f t="shared" si="10"/>
        <v>PEN</v>
      </c>
      <c r="N81" s="13"/>
      <c r="O81" s="13">
        <v>8</v>
      </c>
      <c r="P81" s="3">
        <f t="shared" si="7"/>
        <v>0</v>
      </c>
      <c r="Q81" s="3">
        <f t="shared" si="8"/>
        <v>8</v>
      </c>
      <c r="R81" s="3">
        <f t="shared" si="9"/>
        <v>330.70000000000005</v>
      </c>
      <c r="S81" s="24" t="s">
        <v>1334</v>
      </c>
      <c r="T81" s="24" t="s">
        <v>1334</v>
      </c>
      <c r="U81" s="3"/>
      <c r="V81" s="25" t="s">
        <v>7842</v>
      </c>
      <c r="W81" s="25">
        <v>20517252558</v>
      </c>
      <c r="X81" s="25" t="str">
        <f>IFERROR(VLOOKUP(C_Ope_002[[#This Row],[nota_2]],Clientes_Proveedores[[Ruc / Dni]:[Razon Social]],2,0),"")</f>
        <v>COVISUR S.A.</v>
      </c>
      <c r="Y81" s="25"/>
      <c r="Z81" s="103"/>
      <c r="AA81" s="3" t="str">
        <f>IF(C_Ope_002[[#This Row],[fecha]]&gt;0,TEXT(C_Ope_002[[#This Row],[fecha]],"mmmm"),0)</f>
        <v>Febrero</v>
      </c>
      <c r="AB81" s="49"/>
    </row>
    <row r="82" spans="1:28" ht="24" x14ac:dyDescent="0.3">
      <c r="A82" s="2">
        <f>IF(C_Ope_002[[#This Row],[tipo_r]]="R",COUNTIFS($C$1:$C81,"R")+1,"")</f>
        <v>81</v>
      </c>
      <c r="B82" s="19" t="str">
        <f t="shared" si="6"/>
        <v>C_Ope_002</v>
      </c>
      <c r="C82" s="3" t="s">
        <v>1330</v>
      </c>
      <c r="D82" s="14">
        <v>45701</v>
      </c>
      <c r="E82" s="5" t="s">
        <v>8005</v>
      </c>
      <c r="F82" s="5" t="s">
        <v>1336</v>
      </c>
      <c r="G82" s="6" t="s">
        <v>978</v>
      </c>
      <c r="H82" s="6" t="s">
        <v>68</v>
      </c>
      <c r="I82" s="6" t="s">
        <v>6203</v>
      </c>
      <c r="J82" s="6">
        <v>1958954</v>
      </c>
      <c r="K82" s="7" t="s">
        <v>8048</v>
      </c>
      <c r="L82" s="8">
        <v>23025</v>
      </c>
      <c r="M82" s="8" t="str">
        <f t="shared" si="10"/>
        <v>PEN</v>
      </c>
      <c r="N82" s="13"/>
      <c r="O82" s="13">
        <v>8</v>
      </c>
      <c r="P82" s="3">
        <f t="shared" si="7"/>
        <v>0</v>
      </c>
      <c r="Q82" s="3">
        <f t="shared" si="8"/>
        <v>8</v>
      </c>
      <c r="R82" s="3">
        <f t="shared" si="9"/>
        <v>322.70000000000005</v>
      </c>
      <c r="S82" s="24" t="s">
        <v>1334</v>
      </c>
      <c r="T82" s="24" t="s">
        <v>1334</v>
      </c>
      <c r="U82" s="3"/>
      <c r="V82" s="25" t="s">
        <v>7842</v>
      </c>
      <c r="W82" s="25">
        <v>20517252558</v>
      </c>
      <c r="X82" s="25" t="str">
        <f>IFERROR(VLOOKUP(C_Ope_002[[#This Row],[nota_2]],Clientes_Proveedores[[Ruc / Dni]:[Razon Social]],2,0),"")</f>
        <v>COVISUR S.A.</v>
      </c>
      <c r="Y82" s="25"/>
      <c r="Z82" s="103"/>
      <c r="AA82" s="3" t="str">
        <f>IF(C_Ope_002[[#This Row],[fecha]]&gt;0,TEXT(C_Ope_002[[#This Row],[fecha]],"mmmm"),0)</f>
        <v>Febrero</v>
      </c>
      <c r="AB82" s="49"/>
    </row>
    <row r="83" spans="1:28" ht="24" x14ac:dyDescent="0.3">
      <c r="A83" s="2">
        <f>IF(C_Ope_002[[#This Row],[tipo_r]]="R",COUNTIFS($C$1:$C82,"R")+1,"")</f>
        <v>82</v>
      </c>
      <c r="B83" s="19" t="str">
        <f t="shared" si="6"/>
        <v>C_Ope_002</v>
      </c>
      <c r="C83" s="3" t="s">
        <v>1330</v>
      </c>
      <c r="D83" s="14">
        <v>45701</v>
      </c>
      <c r="E83" s="5" t="s">
        <v>8005</v>
      </c>
      <c r="F83" s="5" t="s">
        <v>1336</v>
      </c>
      <c r="G83" s="6" t="s">
        <v>978</v>
      </c>
      <c r="H83" s="6" t="s">
        <v>68</v>
      </c>
      <c r="I83" s="6" t="s">
        <v>6204</v>
      </c>
      <c r="J83" s="6">
        <v>1655887</v>
      </c>
      <c r="K83" s="7" t="s">
        <v>8048</v>
      </c>
      <c r="L83" s="8">
        <v>23026</v>
      </c>
      <c r="M83" s="8" t="str">
        <f t="shared" si="10"/>
        <v>PEN</v>
      </c>
      <c r="N83" s="13"/>
      <c r="O83" s="13">
        <v>8</v>
      </c>
      <c r="P83" s="3">
        <f t="shared" si="7"/>
        <v>0</v>
      </c>
      <c r="Q83" s="3">
        <f t="shared" si="8"/>
        <v>8</v>
      </c>
      <c r="R83" s="3">
        <f t="shared" si="9"/>
        <v>314.70000000000005</v>
      </c>
      <c r="S83" s="24" t="s">
        <v>1334</v>
      </c>
      <c r="T83" s="24" t="s">
        <v>1334</v>
      </c>
      <c r="U83" s="3"/>
      <c r="V83" s="25" t="s">
        <v>7842</v>
      </c>
      <c r="W83" s="25">
        <v>20517252558</v>
      </c>
      <c r="X83" s="25" t="str">
        <f>IFERROR(VLOOKUP(C_Ope_002[[#This Row],[nota_2]],Clientes_Proveedores[[Ruc / Dni]:[Razon Social]],2,0),"")</f>
        <v>COVISUR S.A.</v>
      </c>
      <c r="Y83" s="25"/>
      <c r="Z83" s="103"/>
      <c r="AA83" s="3" t="str">
        <f>IF(C_Ope_002[[#This Row],[fecha]]&gt;0,TEXT(C_Ope_002[[#This Row],[fecha]],"mmmm"),0)</f>
        <v>Febrero</v>
      </c>
      <c r="AB83" s="49"/>
    </row>
    <row r="84" spans="1:28" ht="24" x14ac:dyDescent="0.3">
      <c r="A84" s="2">
        <f>IF(C_Ope_002[[#This Row],[tipo_r]]="R",COUNTIFS($C$1:$C83,"R")+1,"")</f>
        <v>83</v>
      </c>
      <c r="B84" s="19" t="str">
        <f t="shared" si="6"/>
        <v>C_Ope_002</v>
      </c>
      <c r="C84" s="3" t="s">
        <v>1330</v>
      </c>
      <c r="D84" s="14">
        <v>45701</v>
      </c>
      <c r="E84" s="5" t="s">
        <v>8005</v>
      </c>
      <c r="F84" s="5" t="s">
        <v>1336</v>
      </c>
      <c r="G84" s="6" t="s">
        <v>978</v>
      </c>
      <c r="H84" s="6" t="s">
        <v>68</v>
      </c>
      <c r="I84" s="6" t="s">
        <v>5845</v>
      </c>
      <c r="J84" s="6">
        <v>1674849</v>
      </c>
      <c r="K84" s="7" t="s">
        <v>8048</v>
      </c>
      <c r="L84" s="8">
        <v>23066</v>
      </c>
      <c r="M84" s="8" t="str">
        <f t="shared" si="10"/>
        <v>PEN</v>
      </c>
      <c r="N84" s="13"/>
      <c r="O84" s="13">
        <v>8</v>
      </c>
      <c r="P84" s="3">
        <f t="shared" si="7"/>
        <v>0</v>
      </c>
      <c r="Q84" s="3">
        <f t="shared" si="8"/>
        <v>8</v>
      </c>
      <c r="R84" s="3">
        <f t="shared" si="9"/>
        <v>306.70000000000005</v>
      </c>
      <c r="S84" s="24" t="s">
        <v>1334</v>
      </c>
      <c r="T84" s="24" t="s">
        <v>1334</v>
      </c>
      <c r="U84" s="3"/>
      <c r="V84" s="25" t="s">
        <v>7842</v>
      </c>
      <c r="W84" s="25">
        <v>20517252558</v>
      </c>
      <c r="X84" s="25" t="str">
        <f>IFERROR(VLOOKUP(C_Ope_002[[#This Row],[nota_2]],Clientes_Proveedores[[Ruc / Dni]:[Razon Social]],2,0),"")</f>
        <v>COVISUR S.A.</v>
      </c>
      <c r="Y84" s="25"/>
      <c r="Z84" s="103"/>
      <c r="AA84" s="3" t="str">
        <f>IF(C_Ope_002[[#This Row],[fecha]]&gt;0,TEXT(C_Ope_002[[#This Row],[fecha]],"mmmm"),0)</f>
        <v>Febrero</v>
      </c>
      <c r="AB84" s="49"/>
    </row>
    <row r="85" spans="1:28" ht="36" x14ac:dyDescent="0.3">
      <c r="A85" s="2">
        <f>IF(C_Ope_002[[#This Row],[tipo_r]]="R",COUNTIFS($C$1:$C84,"R")+1,"")</f>
        <v>84</v>
      </c>
      <c r="B85" s="19" t="str">
        <f t="shared" si="6"/>
        <v>C_Ope_002</v>
      </c>
      <c r="C85" s="3" t="s">
        <v>1330</v>
      </c>
      <c r="D85" s="14">
        <v>45702</v>
      </c>
      <c r="E85" s="5" t="s">
        <v>8005</v>
      </c>
      <c r="F85" s="5" t="s">
        <v>1336</v>
      </c>
      <c r="G85" s="6" t="s">
        <v>978</v>
      </c>
      <c r="H85" s="6" t="s">
        <v>68</v>
      </c>
      <c r="I85" s="6" t="s">
        <v>6203</v>
      </c>
      <c r="J85" s="6">
        <v>1960384</v>
      </c>
      <c r="K85" s="7" t="s">
        <v>8049</v>
      </c>
      <c r="L85" s="8">
        <v>23067</v>
      </c>
      <c r="M85" s="8" t="str">
        <f t="shared" si="10"/>
        <v>PEN</v>
      </c>
      <c r="N85" s="13"/>
      <c r="O85" s="13">
        <v>8</v>
      </c>
      <c r="P85" s="3">
        <f t="shared" si="7"/>
        <v>0</v>
      </c>
      <c r="Q85" s="3">
        <f t="shared" si="8"/>
        <v>8</v>
      </c>
      <c r="R85" s="3">
        <f t="shared" si="9"/>
        <v>298.70000000000005</v>
      </c>
      <c r="S85" s="24" t="s">
        <v>1334</v>
      </c>
      <c r="T85" s="24" t="s">
        <v>1334</v>
      </c>
      <c r="U85" s="3"/>
      <c r="V85" s="25" t="s">
        <v>7842</v>
      </c>
      <c r="W85" s="25">
        <v>20517252558</v>
      </c>
      <c r="X85" s="25" t="str">
        <f>IFERROR(VLOOKUP(C_Ope_002[[#This Row],[nota_2]],Clientes_Proveedores[[Ruc / Dni]:[Razon Social]],2,0),"")</f>
        <v>COVISUR S.A.</v>
      </c>
      <c r="Y85" s="25"/>
      <c r="Z85" s="103"/>
      <c r="AA85" s="3" t="str">
        <f>IF(C_Ope_002[[#This Row],[fecha]]&gt;0,TEXT(C_Ope_002[[#This Row],[fecha]],"mmmm"),0)</f>
        <v>Febrero</v>
      </c>
      <c r="AB85" s="49"/>
    </row>
    <row r="86" spans="1:28" ht="36" x14ac:dyDescent="0.3">
      <c r="A86" s="2">
        <f>IF(C_Ope_002[[#This Row],[tipo_r]]="R",COUNTIFS($C$1:$C85,"R")+1,"")</f>
        <v>85</v>
      </c>
      <c r="B86" s="19" t="str">
        <f t="shared" si="6"/>
        <v>C_Ope_002</v>
      </c>
      <c r="C86" s="3" t="s">
        <v>1330</v>
      </c>
      <c r="D86" s="14">
        <v>45702</v>
      </c>
      <c r="E86" s="5" t="s">
        <v>8005</v>
      </c>
      <c r="F86" s="5" t="s">
        <v>1336</v>
      </c>
      <c r="G86" s="6" t="s">
        <v>978</v>
      </c>
      <c r="H86" s="6" t="s">
        <v>68</v>
      </c>
      <c r="I86" s="6" t="s">
        <v>5688</v>
      </c>
      <c r="J86" s="6">
        <v>2232571</v>
      </c>
      <c r="K86" s="7" t="s">
        <v>8049</v>
      </c>
      <c r="L86" s="8">
        <v>23068</v>
      </c>
      <c r="M86" s="8" t="str">
        <f t="shared" si="10"/>
        <v>PEN</v>
      </c>
      <c r="N86" s="13"/>
      <c r="O86" s="13">
        <v>8</v>
      </c>
      <c r="P86" s="3">
        <f t="shared" si="7"/>
        <v>0</v>
      </c>
      <c r="Q86" s="3">
        <f t="shared" si="8"/>
        <v>8</v>
      </c>
      <c r="R86" s="3">
        <f t="shared" si="9"/>
        <v>290.70000000000005</v>
      </c>
      <c r="S86" s="24" t="s">
        <v>1334</v>
      </c>
      <c r="T86" s="24" t="s">
        <v>1334</v>
      </c>
      <c r="U86" s="3"/>
      <c r="V86" s="25" t="s">
        <v>7842</v>
      </c>
      <c r="W86" s="25">
        <v>20517252558</v>
      </c>
      <c r="X86" s="25" t="str">
        <f>IFERROR(VLOOKUP(C_Ope_002[[#This Row],[nota_2]],Clientes_Proveedores[[Ruc / Dni]:[Razon Social]],2,0),"")</f>
        <v>COVISUR S.A.</v>
      </c>
      <c r="Y86" s="25"/>
      <c r="Z86" s="103"/>
      <c r="AA86" s="3" t="str">
        <f>IF(C_Ope_002[[#This Row],[fecha]]&gt;0,TEXT(C_Ope_002[[#This Row],[fecha]],"mmmm"),0)</f>
        <v>Febrero</v>
      </c>
      <c r="AB86" s="49"/>
    </row>
    <row r="87" spans="1:28" ht="36" x14ac:dyDescent="0.3">
      <c r="A87" s="2">
        <f>IF(C_Ope_002[[#This Row],[tipo_r]]="R",COUNTIFS($C$1:$C86,"R")+1,"")</f>
        <v>86</v>
      </c>
      <c r="B87" s="19" t="str">
        <f t="shared" si="6"/>
        <v>C_Ope_002</v>
      </c>
      <c r="C87" s="3" t="s">
        <v>1330</v>
      </c>
      <c r="D87" s="14">
        <v>45699</v>
      </c>
      <c r="E87" s="5" t="s">
        <v>8005</v>
      </c>
      <c r="F87" s="5" t="s">
        <v>1336</v>
      </c>
      <c r="G87" s="6" t="s">
        <v>682</v>
      </c>
      <c r="H87" s="6" t="s">
        <v>68</v>
      </c>
      <c r="I87" s="6" t="s">
        <v>1353</v>
      </c>
      <c r="J87" s="6">
        <v>15622</v>
      </c>
      <c r="K87" s="7" t="s">
        <v>8050</v>
      </c>
      <c r="L87" s="8">
        <v>23021</v>
      </c>
      <c r="M87" s="8" t="str">
        <f t="shared" si="10"/>
        <v>PEN</v>
      </c>
      <c r="N87" s="13"/>
      <c r="O87" s="13">
        <v>20</v>
      </c>
      <c r="P87" s="3">
        <f t="shared" si="7"/>
        <v>0</v>
      </c>
      <c r="Q87" s="3">
        <f t="shared" si="8"/>
        <v>20</v>
      </c>
      <c r="R87" s="3">
        <f t="shared" si="9"/>
        <v>270.70000000000005</v>
      </c>
      <c r="S87" s="24" t="s">
        <v>1334</v>
      </c>
      <c r="T87" s="24" t="s">
        <v>1334</v>
      </c>
      <c r="U87" s="3"/>
      <c r="V87" s="25" t="s">
        <v>7842</v>
      </c>
      <c r="W87" s="25">
        <v>20259858934</v>
      </c>
      <c r="X87" s="25" t="str">
        <f>IFERROR(VLOOKUP(C_Ope_002[[#This Row],[nota_2]],Clientes_Proveedores[[Ruc / Dni]:[Razon Social]],2,0),"")</f>
        <v>COMERCIALIZACION Y SERVICIOS EL EDEN S.A.C.</v>
      </c>
      <c r="Y87" s="25"/>
      <c r="Z87" s="103"/>
      <c r="AA87" s="3" t="str">
        <f>IF(C_Ope_002[[#This Row],[fecha]]&gt;0,TEXT(C_Ope_002[[#This Row],[fecha]],"mmmm"),0)</f>
        <v>Febrero</v>
      </c>
      <c r="AB87" s="49"/>
    </row>
    <row r="88" spans="1:28" ht="36" x14ac:dyDescent="0.3">
      <c r="A88" s="2">
        <f>IF(C_Ope_002[[#This Row],[tipo_r]]="R",COUNTIFS($C$1:$C87,"R")+1,"")</f>
        <v>87</v>
      </c>
      <c r="B88" s="19" t="str">
        <f t="shared" si="6"/>
        <v>C_Ope_002</v>
      </c>
      <c r="C88" s="3" t="s">
        <v>1330</v>
      </c>
      <c r="D88" s="14">
        <v>45700</v>
      </c>
      <c r="E88" s="5" t="s">
        <v>8005</v>
      </c>
      <c r="F88" s="5" t="s">
        <v>1336</v>
      </c>
      <c r="G88" s="6" t="s">
        <v>682</v>
      </c>
      <c r="H88" s="6" t="s">
        <v>68</v>
      </c>
      <c r="I88" s="6" t="s">
        <v>1353</v>
      </c>
      <c r="J88" s="6">
        <v>15627</v>
      </c>
      <c r="K88" s="7" t="s">
        <v>8051</v>
      </c>
      <c r="L88" s="8">
        <v>23016</v>
      </c>
      <c r="M88" s="8" t="str">
        <f t="shared" si="10"/>
        <v>PEN</v>
      </c>
      <c r="N88" s="13"/>
      <c r="O88" s="13">
        <v>20</v>
      </c>
      <c r="P88" s="3">
        <f t="shared" si="7"/>
        <v>0</v>
      </c>
      <c r="Q88" s="3">
        <f t="shared" si="8"/>
        <v>20</v>
      </c>
      <c r="R88" s="3">
        <f t="shared" si="9"/>
        <v>250.70000000000005</v>
      </c>
      <c r="S88" s="24" t="s">
        <v>1334</v>
      </c>
      <c r="T88" s="24" t="s">
        <v>1334</v>
      </c>
      <c r="U88" s="3"/>
      <c r="V88" s="25" t="s">
        <v>7842</v>
      </c>
      <c r="W88" s="25">
        <v>20259858934</v>
      </c>
      <c r="X88" s="25" t="str">
        <f>IFERROR(VLOOKUP(C_Ope_002[[#This Row],[nota_2]],Clientes_Proveedores[[Ruc / Dni]:[Razon Social]],2,0),"")</f>
        <v>COMERCIALIZACION Y SERVICIOS EL EDEN S.A.C.</v>
      </c>
      <c r="Y88" s="25"/>
      <c r="Z88" s="103"/>
      <c r="AA88" s="3" t="str">
        <f>IF(C_Ope_002[[#This Row],[fecha]]&gt;0,TEXT(C_Ope_002[[#This Row],[fecha]],"mmmm"),0)</f>
        <v>Febrero</v>
      </c>
      <c r="AB88" s="49"/>
    </row>
    <row r="89" spans="1:28" ht="36" x14ac:dyDescent="0.3">
      <c r="A89" s="2">
        <f>IF(C_Ope_002[[#This Row],[tipo_r]]="R",COUNTIFS($C$1:$C88,"R")+1,"")</f>
        <v>88</v>
      </c>
      <c r="B89" s="19" t="str">
        <f t="shared" si="6"/>
        <v>C_Ope_002</v>
      </c>
      <c r="C89" s="3" t="s">
        <v>1330</v>
      </c>
      <c r="D89" s="14">
        <v>45700</v>
      </c>
      <c r="E89" s="5" t="s">
        <v>8005</v>
      </c>
      <c r="F89" s="5" t="s">
        <v>1336</v>
      </c>
      <c r="G89" s="6" t="s">
        <v>682</v>
      </c>
      <c r="H89" s="6" t="s">
        <v>68</v>
      </c>
      <c r="I89" s="6" t="s">
        <v>1353</v>
      </c>
      <c r="J89" s="6">
        <v>15628</v>
      </c>
      <c r="K89" s="7" t="s">
        <v>8052</v>
      </c>
      <c r="L89" s="8">
        <v>23017</v>
      </c>
      <c r="M89" s="8" t="str">
        <f t="shared" si="10"/>
        <v>PEN</v>
      </c>
      <c r="N89" s="13"/>
      <c r="O89" s="13">
        <v>20</v>
      </c>
      <c r="P89" s="3">
        <f t="shared" si="7"/>
        <v>0</v>
      </c>
      <c r="Q89" s="3">
        <f t="shared" si="8"/>
        <v>20</v>
      </c>
      <c r="R89" s="3">
        <f t="shared" si="9"/>
        <v>230.70000000000005</v>
      </c>
      <c r="S89" s="24" t="s">
        <v>1334</v>
      </c>
      <c r="T89" s="24" t="s">
        <v>1334</v>
      </c>
      <c r="U89" s="3"/>
      <c r="V89" s="25" t="s">
        <v>7842</v>
      </c>
      <c r="W89" s="25">
        <v>20259858934</v>
      </c>
      <c r="X89" s="25" t="str">
        <f>IFERROR(VLOOKUP(C_Ope_002[[#This Row],[nota_2]],Clientes_Proveedores[[Ruc / Dni]:[Razon Social]],2,0),"")</f>
        <v>COMERCIALIZACION Y SERVICIOS EL EDEN S.A.C.</v>
      </c>
      <c r="Y89" s="25"/>
      <c r="Z89" s="103"/>
      <c r="AA89" s="3" t="str">
        <f>IF(C_Ope_002[[#This Row],[fecha]]&gt;0,TEXT(C_Ope_002[[#This Row],[fecha]],"mmmm"),0)</f>
        <v>Febrero</v>
      </c>
      <c r="AB89" s="49"/>
    </row>
    <row r="90" spans="1:28" ht="24" x14ac:dyDescent="0.3">
      <c r="A90" s="2">
        <f>IF(C_Ope_002[[#This Row],[tipo_r]]="R",COUNTIFS($C$1:$C89,"R")+1,"")</f>
        <v>89</v>
      </c>
      <c r="B90" s="19" t="str">
        <f t="shared" si="6"/>
        <v>C_Ope_002</v>
      </c>
      <c r="C90" s="3" t="s">
        <v>1330</v>
      </c>
      <c r="D90" s="14">
        <v>45700</v>
      </c>
      <c r="E90" s="5" t="s">
        <v>8005</v>
      </c>
      <c r="F90" s="5" t="s">
        <v>1336</v>
      </c>
      <c r="G90" s="6" t="s">
        <v>999</v>
      </c>
      <c r="H90" s="6" t="s">
        <v>68</v>
      </c>
      <c r="I90" s="6" t="s">
        <v>1374</v>
      </c>
      <c r="J90" s="6">
        <v>16402</v>
      </c>
      <c r="K90" s="7" t="s">
        <v>7777</v>
      </c>
      <c r="L90" s="8">
        <v>23065</v>
      </c>
      <c r="M90" s="8" t="str">
        <f t="shared" si="10"/>
        <v>PEN</v>
      </c>
      <c r="N90" s="13"/>
      <c r="O90" s="13">
        <v>25</v>
      </c>
      <c r="P90" s="3">
        <f t="shared" si="7"/>
        <v>0</v>
      </c>
      <c r="Q90" s="3">
        <f t="shared" si="8"/>
        <v>25</v>
      </c>
      <c r="R90" s="3">
        <f t="shared" si="9"/>
        <v>205.70000000000005</v>
      </c>
      <c r="S90" s="24" t="s">
        <v>1334</v>
      </c>
      <c r="T90" s="24" t="s">
        <v>1334</v>
      </c>
      <c r="U90" s="3"/>
      <c r="V90" s="25" t="s">
        <v>7842</v>
      </c>
      <c r="W90" s="25">
        <v>10705628331</v>
      </c>
      <c r="X90" s="25" t="str">
        <f>IFERROR(VLOOKUP(C_Ope_002[[#This Row],[nota_2]],Clientes_Proveedores[[Ruc / Dni]:[Razon Social]],2,0),"")</f>
        <v>LARICO APAZA NANCY ROSSMARY</v>
      </c>
      <c r="Y90" s="25"/>
      <c r="Z90" s="103"/>
      <c r="AA90" s="3" t="str">
        <f>IF(C_Ope_002[[#This Row],[fecha]]&gt;0,TEXT(C_Ope_002[[#This Row],[fecha]],"mmmm"),0)</f>
        <v>Febrero</v>
      </c>
      <c r="AB90" s="49"/>
    </row>
    <row r="91" spans="1:28" ht="24" x14ac:dyDescent="0.3">
      <c r="A91" s="2">
        <f>IF(C_Ope_002[[#This Row],[tipo_r]]="R",COUNTIFS($C$1:$C90,"R")+1,"")</f>
        <v>90</v>
      </c>
      <c r="B91" s="19" t="str">
        <f t="shared" si="6"/>
        <v>C_Ope_002</v>
      </c>
      <c r="C91" s="3" t="s">
        <v>1330</v>
      </c>
      <c r="D91" s="14">
        <v>45705</v>
      </c>
      <c r="E91" s="5" t="s">
        <v>8005</v>
      </c>
      <c r="F91" s="5" t="s">
        <v>1336</v>
      </c>
      <c r="G91" s="6" t="s">
        <v>978</v>
      </c>
      <c r="H91" s="6" t="s">
        <v>68</v>
      </c>
      <c r="I91" s="6" t="s">
        <v>6203</v>
      </c>
      <c r="J91" s="6">
        <v>1963435</v>
      </c>
      <c r="K91" s="7" t="s">
        <v>8053</v>
      </c>
      <c r="L91" s="8">
        <v>23140</v>
      </c>
      <c r="M91" s="8" t="str">
        <f t="shared" si="10"/>
        <v>PEN</v>
      </c>
      <c r="N91" s="13"/>
      <c r="O91" s="13">
        <v>8</v>
      </c>
      <c r="P91" s="3">
        <f t="shared" si="7"/>
        <v>0</v>
      </c>
      <c r="Q91" s="3">
        <f t="shared" si="8"/>
        <v>8</v>
      </c>
      <c r="R91" s="3">
        <f t="shared" si="9"/>
        <v>197.70000000000005</v>
      </c>
      <c r="S91" s="24" t="s">
        <v>1334</v>
      </c>
      <c r="T91" s="24" t="s">
        <v>1334</v>
      </c>
      <c r="U91" s="3"/>
      <c r="V91" s="25" t="s">
        <v>7842</v>
      </c>
      <c r="W91" s="25">
        <v>20517252558</v>
      </c>
      <c r="X91" s="25" t="str">
        <f>IFERROR(VLOOKUP(C_Ope_002[[#This Row],[nota_2]],Clientes_Proveedores[[Ruc / Dni]:[Razon Social]],2,0),"")</f>
        <v>COVISUR S.A.</v>
      </c>
      <c r="Y91" s="25"/>
      <c r="Z91" s="103"/>
      <c r="AA91" s="3" t="str">
        <f>IF(C_Ope_002[[#This Row],[fecha]]&gt;0,TEXT(C_Ope_002[[#This Row],[fecha]],"mmmm"),0)</f>
        <v>Febrero</v>
      </c>
      <c r="AB91" s="49"/>
    </row>
    <row r="92" spans="1:28" ht="24" x14ac:dyDescent="0.3">
      <c r="A92" s="2">
        <f>IF(C_Ope_002[[#This Row],[tipo_r]]="R",COUNTIFS($C$1:$C91,"R")+1,"")</f>
        <v>91</v>
      </c>
      <c r="B92" s="19" t="str">
        <f t="shared" si="6"/>
        <v>C_Ope_002</v>
      </c>
      <c r="C92" s="3" t="s">
        <v>1330</v>
      </c>
      <c r="D92" s="14">
        <v>45705</v>
      </c>
      <c r="E92" s="5" t="s">
        <v>8005</v>
      </c>
      <c r="F92" s="5" t="s">
        <v>1336</v>
      </c>
      <c r="G92" s="6" t="s">
        <v>978</v>
      </c>
      <c r="H92" s="6" t="s">
        <v>68</v>
      </c>
      <c r="I92" s="6" t="s">
        <v>5688</v>
      </c>
      <c r="J92" s="6">
        <v>2235606</v>
      </c>
      <c r="K92" s="7" t="s">
        <v>8053</v>
      </c>
      <c r="L92" s="8">
        <v>23141</v>
      </c>
      <c r="M92" s="8" t="str">
        <f t="shared" si="10"/>
        <v>PEN</v>
      </c>
      <c r="N92" s="13"/>
      <c r="O92" s="13">
        <v>8</v>
      </c>
      <c r="P92" s="3">
        <f t="shared" si="7"/>
        <v>0</v>
      </c>
      <c r="Q92" s="3">
        <f t="shared" si="8"/>
        <v>8</v>
      </c>
      <c r="R92" s="3">
        <f t="shared" si="9"/>
        <v>189.70000000000005</v>
      </c>
      <c r="S92" s="24" t="s">
        <v>1334</v>
      </c>
      <c r="T92" s="24" t="s">
        <v>1334</v>
      </c>
      <c r="U92" s="3"/>
      <c r="V92" s="25" t="s">
        <v>7842</v>
      </c>
      <c r="W92" s="25">
        <v>20517252558</v>
      </c>
      <c r="X92" s="25" t="str">
        <f>IFERROR(VLOOKUP(C_Ope_002[[#This Row],[nota_2]],Clientes_Proveedores[[Ruc / Dni]:[Razon Social]],2,0),"")</f>
        <v>COVISUR S.A.</v>
      </c>
      <c r="Y92" s="25"/>
      <c r="Z92" s="103"/>
      <c r="AA92" s="3" t="str">
        <f>IF(C_Ope_002[[#This Row],[fecha]]&gt;0,TEXT(C_Ope_002[[#This Row],[fecha]],"mmmm"),0)</f>
        <v>Febrero</v>
      </c>
      <c r="AB92" s="49"/>
    </row>
    <row r="93" spans="1:28" ht="24" x14ac:dyDescent="0.3">
      <c r="A93" s="2">
        <f>IF(C_Ope_002[[#This Row],[tipo_r]]="R",COUNTIFS($C$1:$C92,"R")+1,"")</f>
        <v>92</v>
      </c>
      <c r="B93" s="19" t="str">
        <f t="shared" si="6"/>
        <v>C_Ope_002</v>
      </c>
      <c r="C93" s="3" t="s">
        <v>1330</v>
      </c>
      <c r="D93" s="14">
        <v>45706</v>
      </c>
      <c r="E93" s="5" t="s">
        <v>8005</v>
      </c>
      <c r="F93" s="5" t="s">
        <v>1336</v>
      </c>
      <c r="G93" s="6" t="s">
        <v>978</v>
      </c>
      <c r="H93" s="6" t="s">
        <v>68</v>
      </c>
      <c r="I93" s="6" t="s">
        <v>5845</v>
      </c>
      <c r="J93" s="6">
        <v>1678644</v>
      </c>
      <c r="K93" s="7" t="s">
        <v>8054</v>
      </c>
      <c r="L93" s="8">
        <v>23138</v>
      </c>
      <c r="M93" s="8" t="str">
        <f t="shared" si="10"/>
        <v>PEN</v>
      </c>
      <c r="N93" s="13"/>
      <c r="O93" s="13">
        <v>8</v>
      </c>
      <c r="P93" s="3">
        <f t="shared" si="7"/>
        <v>0</v>
      </c>
      <c r="Q93" s="3">
        <f t="shared" si="8"/>
        <v>8</v>
      </c>
      <c r="R93" s="3">
        <f t="shared" si="9"/>
        <v>181.70000000000005</v>
      </c>
      <c r="S93" s="24" t="s">
        <v>1334</v>
      </c>
      <c r="T93" s="24" t="s">
        <v>1334</v>
      </c>
      <c r="U93" s="3"/>
      <c r="V93" s="25" t="s">
        <v>7842</v>
      </c>
      <c r="W93" s="25">
        <v>20517252558</v>
      </c>
      <c r="X93" s="25" t="str">
        <f>IFERROR(VLOOKUP(C_Ope_002[[#This Row],[nota_2]],Clientes_Proveedores[[Ruc / Dni]:[Razon Social]],2,0),"")</f>
        <v>COVISUR S.A.</v>
      </c>
      <c r="Y93" s="25"/>
      <c r="Z93" s="103"/>
      <c r="AA93" s="3" t="str">
        <f>IF(C_Ope_002[[#This Row],[fecha]]&gt;0,TEXT(C_Ope_002[[#This Row],[fecha]],"mmmm"),0)</f>
        <v>Febrero</v>
      </c>
      <c r="AB93" s="49"/>
    </row>
    <row r="94" spans="1:28" ht="24" x14ac:dyDescent="0.3">
      <c r="A94" s="2">
        <f>IF(C_Ope_002[[#This Row],[tipo_r]]="R",COUNTIFS($C$1:$C93,"R")+1,"")</f>
        <v>93</v>
      </c>
      <c r="B94" s="19" t="str">
        <f t="shared" si="6"/>
        <v>C_Ope_002</v>
      </c>
      <c r="C94" s="3" t="s">
        <v>1330</v>
      </c>
      <c r="D94" s="14">
        <v>45706</v>
      </c>
      <c r="E94" s="5" t="s">
        <v>8005</v>
      </c>
      <c r="F94" s="5" t="s">
        <v>1336</v>
      </c>
      <c r="G94" s="6" t="s">
        <v>978</v>
      </c>
      <c r="H94" s="6" t="s">
        <v>68</v>
      </c>
      <c r="I94" s="6" t="s">
        <v>5688</v>
      </c>
      <c r="J94" s="6">
        <v>2236823</v>
      </c>
      <c r="K94" s="7" t="s">
        <v>8054</v>
      </c>
      <c r="L94" s="8">
        <v>23139</v>
      </c>
      <c r="M94" s="8" t="str">
        <f t="shared" si="10"/>
        <v>PEN</v>
      </c>
      <c r="N94" s="13"/>
      <c r="O94" s="13">
        <v>8</v>
      </c>
      <c r="P94" s="3">
        <f t="shared" si="7"/>
        <v>0</v>
      </c>
      <c r="Q94" s="3">
        <f t="shared" si="8"/>
        <v>8</v>
      </c>
      <c r="R94" s="3">
        <f t="shared" si="9"/>
        <v>173.70000000000005</v>
      </c>
      <c r="S94" s="24" t="s">
        <v>1334</v>
      </c>
      <c r="T94" s="24" t="s">
        <v>1334</v>
      </c>
      <c r="U94" s="3"/>
      <c r="V94" s="25" t="s">
        <v>7842</v>
      </c>
      <c r="W94" s="25">
        <v>20517252558</v>
      </c>
      <c r="X94" s="25" t="str">
        <f>IFERROR(VLOOKUP(C_Ope_002[[#This Row],[nota_2]],Clientes_Proveedores[[Ruc / Dni]:[Razon Social]],2,0),"")</f>
        <v>COVISUR S.A.</v>
      </c>
      <c r="Y94" s="25"/>
      <c r="Z94" s="103"/>
      <c r="AA94" s="3" t="str">
        <f>IF(C_Ope_002[[#This Row],[fecha]]&gt;0,TEXT(C_Ope_002[[#This Row],[fecha]],"mmmm"),0)</f>
        <v>Febrero</v>
      </c>
      <c r="AB94" s="49"/>
    </row>
    <row r="95" spans="1:28" ht="36" x14ac:dyDescent="0.3">
      <c r="A95" s="2">
        <f>IF(C_Ope_002[[#This Row],[tipo_r]]="R",COUNTIFS($C$1:$C94,"R")+1,"")</f>
        <v>94</v>
      </c>
      <c r="B95" s="19" t="str">
        <f t="shared" si="6"/>
        <v>C_Ope_002</v>
      </c>
      <c r="C95" s="3" t="s">
        <v>1330</v>
      </c>
      <c r="D95" s="14">
        <v>45707</v>
      </c>
      <c r="E95" s="5" t="s">
        <v>8005</v>
      </c>
      <c r="F95" s="5" t="s">
        <v>1336</v>
      </c>
      <c r="G95" s="6" t="s">
        <v>978</v>
      </c>
      <c r="H95" s="6" t="s">
        <v>68</v>
      </c>
      <c r="I95" s="6" t="s">
        <v>6203</v>
      </c>
      <c r="J95" s="6">
        <v>1965355</v>
      </c>
      <c r="K95" s="7" t="s">
        <v>8055</v>
      </c>
      <c r="L95" s="8">
        <v>23135</v>
      </c>
      <c r="M95" s="8" t="str">
        <f t="shared" si="10"/>
        <v>PEN</v>
      </c>
      <c r="N95" s="13"/>
      <c r="O95" s="13">
        <v>8</v>
      </c>
      <c r="P95" s="3">
        <f t="shared" si="7"/>
        <v>0</v>
      </c>
      <c r="Q95" s="3">
        <f t="shared" si="8"/>
        <v>8</v>
      </c>
      <c r="R95" s="3">
        <f t="shared" si="9"/>
        <v>165.70000000000005</v>
      </c>
      <c r="S95" s="24" t="s">
        <v>1334</v>
      </c>
      <c r="T95" s="24" t="s">
        <v>1334</v>
      </c>
      <c r="U95" s="3"/>
      <c r="V95" s="25" t="s">
        <v>7842</v>
      </c>
      <c r="W95" s="25">
        <v>20517252558</v>
      </c>
      <c r="X95" s="25" t="str">
        <f>IFERROR(VLOOKUP(C_Ope_002[[#This Row],[nota_2]],Clientes_Proveedores[[Ruc / Dni]:[Razon Social]],2,0),"")</f>
        <v>COVISUR S.A.</v>
      </c>
      <c r="Y95" s="25"/>
      <c r="Z95" s="103"/>
      <c r="AA95" s="3" t="str">
        <f>IF(C_Ope_002[[#This Row],[fecha]]&gt;0,TEXT(C_Ope_002[[#This Row],[fecha]],"mmmm"),0)</f>
        <v>Febrero</v>
      </c>
      <c r="AB95" s="49"/>
    </row>
    <row r="96" spans="1:28" ht="36" x14ac:dyDescent="0.3">
      <c r="A96" s="2">
        <f>IF(C_Ope_002[[#This Row],[tipo_r]]="R",COUNTIFS($C$1:$C95,"R")+1,"")</f>
        <v>95</v>
      </c>
      <c r="B96" s="19" t="str">
        <f t="shared" si="6"/>
        <v>C_Ope_002</v>
      </c>
      <c r="C96" s="3" t="s">
        <v>1330</v>
      </c>
      <c r="D96" s="14">
        <v>45707</v>
      </c>
      <c r="E96" s="5" t="s">
        <v>8005</v>
      </c>
      <c r="F96" s="5" t="s">
        <v>1336</v>
      </c>
      <c r="G96" s="6" t="s">
        <v>978</v>
      </c>
      <c r="H96" s="6" t="s">
        <v>68</v>
      </c>
      <c r="I96" s="6" t="s">
        <v>5688</v>
      </c>
      <c r="J96" s="6">
        <v>2237991</v>
      </c>
      <c r="K96" s="7" t="s">
        <v>8055</v>
      </c>
      <c r="L96" s="8">
        <v>23136</v>
      </c>
      <c r="M96" s="8" t="str">
        <f t="shared" si="10"/>
        <v>PEN</v>
      </c>
      <c r="N96" s="13"/>
      <c r="O96" s="13">
        <v>8</v>
      </c>
      <c r="P96" s="3">
        <f t="shared" si="7"/>
        <v>0</v>
      </c>
      <c r="Q96" s="3">
        <f t="shared" si="8"/>
        <v>8</v>
      </c>
      <c r="R96" s="3">
        <f t="shared" si="9"/>
        <v>157.70000000000005</v>
      </c>
      <c r="S96" s="24" t="s">
        <v>1334</v>
      </c>
      <c r="T96" s="24" t="s">
        <v>1334</v>
      </c>
      <c r="U96" s="3"/>
      <c r="V96" s="25" t="s">
        <v>7842</v>
      </c>
      <c r="W96" s="25">
        <v>20517252558</v>
      </c>
      <c r="X96" s="25" t="str">
        <f>IFERROR(VLOOKUP(C_Ope_002[[#This Row],[nota_2]],Clientes_Proveedores[[Ruc / Dni]:[Razon Social]],2,0),"")</f>
        <v>COVISUR S.A.</v>
      </c>
      <c r="Y96" s="25"/>
      <c r="Z96" s="103"/>
      <c r="AA96" s="3" t="str">
        <f>IF(C_Ope_002[[#This Row],[fecha]]&gt;0,TEXT(C_Ope_002[[#This Row],[fecha]],"mmmm"),0)</f>
        <v>Febrero</v>
      </c>
      <c r="AB96" s="49"/>
    </row>
    <row r="97" spans="1:28" ht="24" x14ac:dyDescent="0.3">
      <c r="A97" s="2">
        <f>IF(C_Ope_002[[#This Row],[tipo_r]]="R",COUNTIFS($C$1:$C96,"R")+1,"")</f>
        <v>96</v>
      </c>
      <c r="B97" s="19" t="str">
        <f t="shared" si="6"/>
        <v>C_Ope_002</v>
      </c>
      <c r="C97" s="3" t="s">
        <v>1330</v>
      </c>
      <c r="D97" s="14">
        <v>45708</v>
      </c>
      <c r="E97" s="5" t="s">
        <v>8005</v>
      </c>
      <c r="F97" s="5" t="s">
        <v>1336</v>
      </c>
      <c r="G97" s="6" t="s">
        <v>978</v>
      </c>
      <c r="H97" s="6" t="s">
        <v>68</v>
      </c>
      <c r="I97" s="6" t="s">
        <v>6203</v>
      </c>
      <c r="J97" s="6">
        <v>1966497</v>
      </c>
      <c r="K97" s="7" t="s">
        <v>8056</v>
      </c>
      <c r="L97" s="8">
        <v>23128</v>
      </c>
      <c r="M97" s="8" t="str">
        <f t="shared" si="10"/>
        <v>PEN</v>
      </c>
      <c r="N97" s="13"/>
      <c r="O97" s="13">
        <v>8</v>
      </c>
      <c r="P97" s="3">
        <f t="shared" si="7"/>
        <v>0</v>
      </c>
      <c r="Q97" s="3">
        <f t="shared" si="8"/>
        <v>8</v>
      </c>
      <c r="R97" s="3">
        <f t="shared" si="9"/>
        <v>149.70000000000005</v>
      </c>
      <c r="S97" s="24" t="s">
        <v>1334</v>
      </c>
      <c r="T97" s="24" t="s">
        <v>1334</v>
      </c>
      <c r="U97" s="3"/>
      <c r="V97" s="25" t="s">
        <v>7842</v>
      </c>
      <c r="W97" s="25">
        <v>20517252558</v>
      </c>
      <c r="X97" s="25" t="str">
        <f>IFERROR(VLOOKUP(C_Ope_002[[#This Row],[nota_2]],Clientes_Proveedores[[Ruc / Dni]:[Razon Social]],2,0),"")</f>
        <v>COVISUR S.A.</v>
      </c>
      <c r="Y97" s="25"/>
      <c r="Z97" s="103"/>
      <c r="AA97" s="3" t="str">
        <f>IF(C_Ope_002[[#This Row],[fecha]]&gt;0,TEXT(C_Ope_002[[#This Row],[fecha]],"mmmm"),0)</f>
        <v>Febrero</v>
      </c>
      <c r="AB97" s="49"/>
    </row>
    <row r="98" spans="1:28" x14ac:dyDescent="0.3">
      <c r="A98" s="2">
        <f>IF(C_Ope_002[[#This Row],[tipo_r]]="R",COUNTIFS($C$1:$C97,"R")+1,"")</f>
        <v>97</v>
      </c>
      <c r="B98" s="19" t="str">
        <f t="shared" si="6"/>
        <v>C_Ope_002</v>
      </c>
      <c r="C98" s="3" t="s">
        <v>1330</v>
      </c>
      <c r="D98" s="14">
        <v>45708</v>
      </c>
      <c r="E98" s="5" t="s">
        <v>8005</v>
      </c>
      <c r="F98" s="5" t="s">
        <v>1336</v>
      </c>
      <c r="G98" s="6" t="s">
        <v>978</v>
      </c>
      <c r="H98" s="6" t="s">
        <v>68</v>
      </c>
      <c r="I98" s="6" t="s">
        <v>6380</v>
      </c>
      <c r="J98" s="6">
        <v>369463</v>
      </c>
      <c r="K98" s="7" t="s">
        <v>7841</v>
      </c>
      <c r="L98" s="8">
        <v>23129</v>
      </c>
      <c r="M98" s="8" t="str">
        <f t="shared" si="10"/>
        <v>PEN</v>
      </c>
      <c r="N98" s="13"/>
      <c r="O98" s="13">
        <v>8</v>
      </c>
      <c r="P98" s="3">
        <f t="shared" si="7"/>
        <v>0</v>
      </c>
      <c r="Q98" s="3">
        <f t="shared" si="8"/>
        <v>8</v>
      </c>
      <c r="R98" s="3">
        <f t="shared" si="9"/>
        <v>141.70000000000005</v>
      </c>
      <c r="S98" s="24" t="s">
        <v>1334</v>
      </c>
      <c r="T98" s="24" t="s">
        <v>1334</v>
      </c>
      <c r="U98" s="3"/>
      <c r="V98" s="25" t="s">
        <v>7842</v>
      </c>
      <c r="W98" s="25">
        <v>20517252558</v>
      </c>
      <c r="X98" s="25" t="str">
        <f>IFERROR(VLOOKUP(C_Ope_002[[#This Row],[nota_2]],Clientes_Proveedores[[Ruc / Dni]:[Razon Social]],2,0),"")</f>
        <v>COVISUR S.A.</v>
      </c>
      <c r="Y98" s="25"/>
      <c r="Z98" s="103"/>
      <c r="AA98" s="3" t="str">
        <f>IF(C_Ope_002[[#This Row],[fecha]]&gt;0,TEXT(C_Ope_002[[#This Row],[fecha]],"mmmm"),0)</f>
        <v>Febrero</v>
      </c>
      <c r="AB98" s="49"/>
    </row>
    <row r="99" spans="1:28" x14ac:dyDescent="0.3">
      <c r="A99" s="2">
        <f>IF(C_Ope_002[[#This Row],[tipo_r]]="R",COUNTIFS($C$1:$C98,"R")+1,"")</f>
        <v>98</v>
      </c>
      <c r="B99" s="19" t="str">
        <f t="shared" si="6"/>
        <v>C_Ope_002</v>
      </c>
      <c r="C99" s="3" t="s">
        <v>1330</v>
      </c>
      <c r="D99" s="14">
        <v>45708</v>
      </c>
      <c r="E99" s="5" t="s">
        <v>8005</v>
      </c>
      <c r="F99" s="5" t="s">
        <v>1336</v>
      </c>
      <c r="G99" s="6" t="s">
        <v>978</v>
      </c>
      <c r="H99" s="6" t="s">
        <v>68</v>
      </c>
      <c r="I99" s="6" t="s">
        <v>6379</v>
      </c>
      <c r="J99" s="6">
        <v>453663</v>
      </c>
      <c r="K99" s="7" t="s">
        <v>7841</v>
      </c>
      <c r="L99" s="8">
        <v>23130</v>
      </c>
      <c r="M99" s="8" t="str">
        <f t="shared" si="10"/>
        <v>PEN</v>
      </c>
      <c r="N99" s="13"/>
      <c r="O99" s="13">
        <v>8</v>
      </c>
      <c r="P99" s="3">
        <f t="shared" si="7"/>
        <v>0</v>
      </c>
      <c r="Q99" s="3">
        <f t="shared" si="8"/>
        <v>8</v>
      </c>
      <c r="R99" s="3">
        <f t="shared" si="9"/>
        <v>133.70000000000005</v>
      </c>
      <c r="S99" s="24" t="s">
        <v>1334</v>
      </c>
      <c r="T99" s="24" t="s">
        <v>1334</v>
      </c>
      <c r="U99" s="3"/>
      <c r="V99" s="25" t="s">
        <v>7842</v>
      </c>
      <c r="W99" s="25">
        <v>20517252558</v>
      </c>
      <c r="X99" s="25" t="str">
        <f>IFERROR(VLOOKUP(C_Ope_002[[#This Row],[nota_2]],Clientes_Proveedores[[Ruc / Dni]:[Razon Social]],2,0),"")</f>
        <v>COVISUR S.A.</v>
      </c>
      <c r="Y99" s="25"/>
      <c r="Z99" s="103"/>
      <c r="AA99" s="3" t="str">
        <f>IF(C_Ope_002[[#This Row],[fecha]]&gt;0,TEXT(C_Ope_002[[#This Row],[fecha]],"mmmm"),0)</f>
        <v>Febrero</v>
      </c>
      <c r="AB99" s="49"/>
    </row>
    <row r="100" spans="1:28" ht="24" x14ac:dyDescent="0.3">
      <c r="A100" s="2">
        <f>IF(C_Ope_002[[#This Row],[tipo_r]]="R",COUNTIFS($C$1:$C99,"R")+1,"")</f>
        <v>99</v>
      </c>
      <c r="B100" s="19" t="str">
        <f t="shared" si="6"/>
        <v>C_Ope_002</v>
      </c>
      <c r="C100" s="3" t="s">
        <v>1330</v>
      </c>
      <c r="D100" s="14">
        <v>45708</v>
      </c>
      <c r="E100" s="5" t="s">
        <v>8005</v>
      </c>
      <c r="F100" s="5" t="s">
        <v>1336</v>
      </c>
      <c r="G100" s="6" t="s">
        <v>978</v>
      </c>
      <c r="H100" s="6" t="s">
        <v>68</v>
      </c>
      <c r="I100" s="6" t="s">
        <v>6204</v>
      </c>
      <c r="J100" s="6">
        <v>1661192</v>
      </c>
      <c r="K100" s="7" t="s">
        <v>8056</v>
      </c>
      <c r="L100" s="8">
        <v>23131</v>
      </c>
      <c r="M100" s="8" t="str">
        <f t="shared" si="10"/>
        <v>PEN</v>
      </c>
      <c r="N100" s="13"/>
      <c r="O100" s="13">
        <v>8</v>
      </c>
      <c r="P100" s="3">
        <f t="shared" si="7"/>
        <v>0</v>
      </c>
      <c r="Q100" s="3">
        <f t="shared" si="8"/>
        <v>8</v>
      </c>
      <c r="R100" s="3">
        <f t="shared" si="9"/>
        <v>125.70000000000005</v>
      </c>
      <c r="S100" s="24" t="s">
        <v>1334</v>
      </c>
      <c r="T100" s="24" t="s">
        <v>1334</v>
      </c>
      <c r="U100" s="3"/>
      <c r="V100" s="25" t="s">
        <v>7842</v>
      </c>
      <c r="W100" s="25">
        <v>20517252558</v>
      </c>
      <c r="X100" s="25" t="str">
        <f>IFERROR(VLOOKUP(C_Ope_002[[#This Row],[nota_2]],Clientes_Proveedores[[Ruc / Dni]:[Razon Social]],2,0),"")</f>
        <v>COVISUR S.A.</v>
      </c>
      <c r="Y100" s="25"/>
      <c r="Z100" s="103"/>
      <c r="AA100" s="3" t="str">
        <f>IF(C_Ope_002[[#This Row],[fecha]]&gt;0,TEXT(C_Ope_002[[#This Row],[fecha]],"mmmm"),0)</f>
        <v>Febrero</v>
      </c>
      <c r="AB100" s="49"/>
    </row>
    <row r="101" spans="1:28" ht="36" x14ac:dyDescent="0.3">
      <c r="A101" s="2">
        <f>IF(C_Ope_002[[#This Row],[tipo_r]]="R",COUNTIFS($C$1:$C100,"R")+1,"")</f>
        <v>100</v>
      </c>
      <c r="B101" s="19" t="str">
        <f t="shared" si="6"/>
        <v>C_Ope_002</v>
      </c>
      <c r="C101" s="3" t="s">
        <v>1330</v>
      </c>
      <c r="D101" s="14">
        <v>45709</v>
      </c>
      <c r="E101" s="5" t="s">
        <v>8005</v>
      </c>
      <c r="F101" s="5" t="s">
        <v>1336</v>
      </c>
      <c r="G101" s="6" t="s">
        <v>978</v>
      </c>
      <c r="H101" s="6" t="s">
        <v>68</v>
      </c>
      <c r="I101" s="6" t="s">
        <v>6203</v>
      </c>
      <c r="J101" s="6">
        <v>1967592</v>
      </c>
      <c r="K101" s="7" t="s">
        <v>8057</v>
      </c>
      <c r="L101" s="8">
        <v>23126</v>
      </c>
      <c r="M101" s="8" t="str">
        <f t="shared" si="10"/>
        <v>PEN</v>
      </c>
      <c r="N101" s="13"/>
      <c r="O101" s="13">
        <v>8</v>
      </c>
      <c r="P101" s="3">
        <f t="shared" si="7"/>
        <v>0</v>
      </c>
      <c r="Q101" s="3">
        <f t="shared" si="8"/>
        <v>8</v>
      </c>
      <c r="R101" s="3">
        <f t="shared" si="9"/>
        <v>117.70000000000005</v>
      </c>
      <c r="S101" s="24" t="s">
        <v>1334</v>
      </c>
      <c r="T101" s="24" t="s">
        <v>1334</v>
      </c>
      <c r="U101" s="3"/>
      <c r="V101" s="25" t="s">
        <v>7842</v>
      </c>
      <c r="W101" s="25">
        <v>20517252558</v>
      </c>
      <c r="X101" s="25" t="str">
        <f>IFERROR(VLOOKUP(C_Ope_002[[#This Row],[nota_2]],Clientes_Proveedores[[Ruc / Dni]:[Razon Social]],2,0),"")</f>
        <v>COVISUR S.A.</v>
      </c>
      <c r="Y101" s="25"/>
      <c r="Z101" s="103"/>
      <c r="AA101" s="3" t="str">
        <f>IF(C_Ope_002[[#This Row],[fecha]]&gt;0,TEXT(C_Ope_002[[#This Row],[fecha]],"mmmm"),0)</f>
        <v>Febrero</v>
      </c>
      <c r="AB101" s="49"/>
    </row>
    <row r="102" spans="1:28" ht="36" x14ac:dyDescent="0.3">
      <c r="A102" s="2">
        <f>IF(C_Ope_002[[#This Row],[tipo_r]]="R",COUNTIFS($C$1:$C101,"R")+1,"")</f>
        <v>101</v>
      </c>
      <c r="B102" s="19" t="str">
        <f t="shared" si="6"/>
        <v>C_Ope_002</v>
      </c>
      <c r="C102" s="3" t="s">
        <v>1330</v>
      </c>
      <c r="D102" s="14">
        <v>45709</v>
      </c>
      <c r="E102" s="5" t="s">
        <v>8005</v>
      </c>
      <c r="F102" s="5" t="s">
        <v>1336</v>
      </c>
      <c r="G102" s="6" t="s">
        <v>978</v>
      </c>
      <c r="H102" s="6" t="s">
        <v>68</v>
      </c>
      <c r="I102" s="6" t="s">
        <v>5688</v>
      </c>
      <c r="J102" s="6">
        <v>2240429</v>
      </c>
      <c r="K102" s="7" t="s">
        <v>8057</v>
      </c>
      <c r="L102" s="8">
        <v>23127</v>
      </c>
      <c r="M102" s="8" t="str">
        <f t="shared" si="10"/>
        <v>PEN</v>
      </c>
      <c r="N102" s="13"/>
      <c r="O102" s="13">
        <v>8</v>
      </c>
      <c r="P102" s="3">
        <f t="shared" si="7"/>
        <v>0</v>
      </c>
      <c r="Q102" s="3">
        <f t="shared" si="8"/>
        <v>8</v>
      </c>
      <c r="R102" s="3">
        <f t="shared" si="9"/>
        <v>109.70000000000005</v>
      </c>
      <c r="S102" s="24" t="s">
        <v>1334</v>
      </c>
      <c r="T102" s="24" t="s">
        <v>1334</v>
      </c>
      <c r="U102" s="3"/>
      <c r="V102" s="25" t="s">
        <v>7842</v>
      </c>
      <c r="W102" s="25">
        <v>20517252558</v>
      </c>
      <c r="X102" s="25" t="str">
        <f>IFERROR(VLOOKUP(C_Ope_002[[#This Row],[nota_2]],Clientes_Proveedores[[Ruc / Dni]:[Razon Social]],2,0),"")</f>
        <v>COVISUR S.A.</v>
      </c>
      <c r="Y102" s="25"/>
      <c r="Z102" s="103"/>
      <c r="AA102" s="3" t="str">
        <f>IF(C_Ope_002[[#This Row],[fecha]]&gt;0,TEXT(C_Ope_002[[#This Row],[fecha]],"mmmm"),0)</f>
        <v>Febrero</v>
      </c>
      <c r="AB102" s="49"/>
    </row>
    <row r="103" spans="1:28" ht="36" x14ac:dyDescent="0.3">
      <c r="A103" s="2">
        <f>IF(C_Ope_002[[#This Row],[tipo_r]]="R",COUNTIFS($C$1:$C102,"R")+1,"")</f>
        <v>102</v>
      </c>
      <c r="B103" s="19" t="str">
        <f t="shared" si="6"/>
        <v>C_Ope_002</v>
      </c>
      <c r="C103" s="3" t="s">
        <v>1330</v>
      </c>
      <c r="D103" s="14">
        <v>45708</v>
      </c>
      <c r="E103" s="5" t="s">
        <v>8005</v>
      </c>
      <c r="F103" s="5" t="s">
        <v>1336</v>
      </c>
      <c r="G103" s="6" t="s">
        <v>1029</v>
      </c>
      <c r="H103" s="6" t="s">
        <v>68</v>
      </c>
      <c r="I103" s="6" t="s">
        <v>1374</v>
      </c>
      <c r="J103" s="6">
        <v>16920</v>
      </c>
      <c r="K103" s="7" t="s">
        <v>7845</v>
      </c>
      <c r="L103" s="8">
        <v>23132</v>
      </c>
      <c r="M103" s="8" t="str">
        <f t="shared" si="10"/>
        <v>PEN</v>
      </c>
      <c r="N103" s="13"/>
      <c r="O103" s="13">
        <v>11</v>
      </c>
      <c r="P103" s="3">
        <f t="shared" si="7"/>
        <v>0</v>
      </c>
      <c r="Q103" s="3">
        <f t="shared" si="8"/>
        <v>11</v>
      </c>
      <c r="R103" s="3">
        <f t="shared" si="9"/>
        <v>98.700000000000045</v>
      </c>
      <c r="S103" s="24" t="s">
        <v>1334</v>
      </c>
      <c r="T103" s="24" t="s">
        <v>1334</v>
      </c>
      <c r="U103" s="3"/>
      <c r="V103" s="25" t="s">
        <v>7842</v>
      </c>
      <c r="W103" s="25">
        <v>20454058187</v>
      </c>
      <c r="X103" s="25" t="str">
        <f>IFERROR(VLOOKUP(C_Ope_002[[#This Row],[nota_2]],Clientes_Proveedores[[Ruc / Dni]:[Razon Social]],2,0),"")</f>
        <v>ZONA ESPECIAL DE DESARROLLO ZED MATARANI</v>
      </c>
      <c r="Y103" s="25"/>
      <c r="Z103" s="103"/>
      <c r="AA103" s="3" t="str">
        <f>IF(C_Ope_002[[#This Row],[fecha]]&gt;0,TEXT(C_Ope_002[[#This Row],[fecha]],"mmmm"),0)</f>
        <v>Febrero</v>
      </c>
      <c r="AB103" s="49"/>
    </row>
    <row r="104" spans="1:28" ht="24" x14ac:dyDescent="0.3">
      <c r="A104" s="2">
        <f>IF(C_Ope_002[[#This Row],[tipo_r]]="R",COUNTIFS($C$1:$C103,"R")+1,"")</f>
        <v>103</v>
      </c>
      <c r="B104" s="19" t="str">
        <f t="shared" si="6"/>
        <v>C_Ope_002</v>
      </c>
      <c r="C104" s="3" t="s">
        <v>1330</v>
      </c>
      <c r="D104" s="14">
        <v>45713</v>
      </c>
      <c r="E104" s="5" t="s">
        <v>7514</v>
      </c>
      <c r="F104" s="5" t="s">
        <v>1303</v>
      </c>
      <c r="G104" s="6" t="s">
        <v>829</v>
      </c>
      <c r="H104" s="6"/>
      <c r="I104" s="6"/>
      <c r="J104" s="6"/>
      <c r="K104" s="7" t="s">
        <v>7516</v>
      </c>
      <c r="L104" s="8">
        <v>23269</v>
      </c>
      <c r="M104" s="8" t="str">
        <f t="shared" si="10"/>
        <v>PEN</v>
      </c>
      <c r="N104" s="13"/>
      <c r="O104" s="13">
        <v>100</v>
      </c>
      <c r="P104" s="3">
        <f t="shared" si="7"/>
        <v>100</v>
      </c>
      <c r="Q104" s="3">
        <f t="shared" si="8"/>
        <v>0</v>
      </c>
      <c r="R104" s="3">
        <f t="shared" si="9"/>
        <v>198.70000000000005</v>
      </c>
      <c r="S104" s="24" t="s">
        <v>1334</v>
      </c>
      <c r="T104" s="24" t="s">
        <v>1334</v>
      </c>
      <c r="U104" s="3"/>
      <c r="V104" s="25"/>
      <c r="W104" s="25"/>
      <c r="X104" s="25" t="str">
        <f>IFERROR(VLOOKUP(C_Ope_002[[#This Row],[nota_2]],Clientes_Proveedores[[Ruc / Dni]:[Razon Social]],2,0),"")</f>
        <v/>
      </c>
      <c r="Y104" s="25"/>
      <c r="Z104" s="103"/>
      <c r="AA104" s="3" t="str">
        <f>IF(C_Ope_002[[#This Row],[fecha]]&gt;0,TEXT(C_Ope_002[[#This Row],[fecha]],"mmmm"),0)</f>
        <v>Febrero</v>
      </c>
      <c r="AB104" s="49"/>
    </row>
    <row r="105" spans="1:28" x14ac:dyDescent="0.3">
      <c r="A105" s="2">
        <f>IF(C_Ope_002[[#This Row],[tipo_r]]="R",COUNTIFS($C$1:$C104,"R")+1,"")</f>
        <v>104</v>
      </c>
      <c r="B105" s="19" t="str">
        <f t="shared" si="6"/>
        <v>C_Ope_002</v>
      </c>
      <c r="C105" s="3" t="s">
        <v>1330</v>
      </c>
      <c r="D105" s="14">
        <v>45712</v>
      </c>
      <c r="E105" s="5" t="s">
        <v>8005</v>
      </c>
      <c r="F105" s="5" t="s">
        <v>1336</v>
      </c>
      <c r="G105" s="6" t="s">
        <v>978</v>
      </c>
      <c r="H105" s="6" t="s">
        <v>68</v>
      </c>
      <c r="I105" s="6" t="s">
        <v>6203</v>
      </c>
      <c r="J105" s="6">
        <v>1970713</v>
      </c>
      <c r="K105" s="7" t="s">
        <v>8058</v>
      </c>
      <c r="L105" s="8">
        <v>23246</v>
      </c>
      <c r="M105" s="8" t="str">
        <f t="shared" si="10"/>
        <v>PEN</v>
      </c>
      <c r="N105" s="13"/>
      <c r="O105" s="13">
        <v>8</v>
      </c>
      <c r="P105" s="3">
        <f t="shared" si="7"/>
        <v>0</v>
      </c>
      <c r="Q105" s="3">
        <f t="shared" si="8"/>
        <v>8</v>
      </c>
      <c r="R105" s="3">
        <f t="shared" si="9"/>
        <v>190.70000000000005</v>
      </c>
      <c r="S105" s="24" t="s">
        <v>1334</v>
      </c>
      <c r="T105" s="24" t="s">
        <v>1334</v>
      </c>
      <c r="U105" s="3"/>
      <c r="V105" s="25" t="s">
        <v>7842</v>
      </c>
      <c r="W105" s="25">
        <v>20517252558</v>
      </c>
      <c r="X105" s="25" t="str">
        <f>IFERROR(VLOOKUP(C_Ope_002[[#This Row],[nota_2]],Clientes_Proveedores[[Ruc / Dni]:[Razon Social]],2,0),"")</f>
        <v>COVISUR S.A.</v>
      </c>
      <c r="Y105" s="25"/>
      <c r="Z105" s="103"/>
      <c r="AA105" s="3" t="str">
        <f>IF(C_Ope_002[[#This Row],[fecha]]&gt;0,TEXT(C_Ope_002[[#This Row],[fecha]],"mmmm"),0)</f>
        <v>Febrero</v>
      </c>
      <c r="AB105" s="49"/>
    </row>
    <row r="106" spans="1:28" x14ac:dyDescent="0.3">
      <c r="A106" s="2">
        <f>IF(C_Ope_002[[#This Row],[tipo_r]]="R",COUNTIFS($C$1:$C105,"R")+1,"")</f>
        <v>105</v>
      </c>
      <c r="B106" s="19" t="str">
        <f t="shared" si="6"/>
        <v>C_Ope_002</v>
      </c>
      <c r="C106" s="3" t="s">
        <v>1330</v>
      </c>
      <c r="D106" s="14">
        <v>45712</v>
      </c>
      <c r="E106" s="5" t="s">
        <v>8005</v>
      </c>
      <c r="F106" s="5" t="s">
        <v>1336</v>
      </c>
      <c r="G106" s="6" t="s">
        <v>978</v>
      </c>
      <c r="H106" s="6" t="s">
        <v>68</v>
      </c>
      <c r="I106" s="6" t="s">
        <v>6204</v>
      </c>
      <c r="J106" s="6">
        <v>1664281</v>
      </c>
      <c r="K106" s="7" t="s">
        <v>8058</v>
      </c>
      <c r="L106" s="8">
        <v>23247</v>
      </c>
      <c r="M106" s="8" t="str">
        <f t="shared" si="10"/>
        <v>PEN</v>
      </c>
      <c r="N106" s="13"/>
      <c r="O106" s="13">
        <v>8</v>
      </c>
      <c r="P106" s="3">
        <f t="shared" si="7"/>
        <v>0</v>
      </c>
      <c r="Q106" s="3">
        <f t="shared" si="8"/>
        <v>8</v>
      </c>
      <c r="R106" s="3">
        <f t="shared" si="9"/>
        <v>182.70000000000005</v>
      </c>
      <c r="S106" s="24" t="s">
        <v>1334</v>
      </c>
      <c r="T106" s="24" t="s">
        <v>1334</v>
      </c>
      <c r="U106" s="3"/>
      <c r="V106" s="25" t="s">
        <v>7842</v>
      </c>
      <c r="W106" s="25">
        <v>20517252558</v>
      </c>
      <c r="X106" s="25" t="str">
        <f>IFERROR(VLOOKUP(C_Ope_002[[#This Row],[nota_2]],Clientes_Proveedores[[Ruc / Dni]:[Razon Social]],2,0),"")</f>
        <v>COVISUR S.A.</v>
      </c>
      <c r="Y106" s="25"/>
      <c r="Z106" s="103"/>
      <c r="AA106" s="3" t="str">
        <f>IF(C_Ope_002[[#This Row],[fecha]]&gt;0,TEXT(C_Ope_002[[#This Row],[fecha]],"mmmm"),0)</f>
        <v>Febrero</v>
      </c>
      <c r="AB106" s="49"/>
    </row>
    <row r="107" spans="1:28" x14ac:dyDescent="0.3">
      <c r="A107" s="2">
        <f>IF(C_Ope_002[[#This Row],[tipo_r]]="R",COUNTIFS($C$1:$C106,"R")+1,"")</f>
        <v>106</v>
      </c>
      <c r="B107" s="19" t="str">
        <f t="shared" si="6"/>
        <v>C_Ope_002</v>
      </c>
      <c r="C107" s="3" t="s">
        <v>1330</v>
      </c>
      <c r="D107" s="14">
        <v>45713</v>
      </c>
      <c r="E107" s="5" t="s">
        <v>8005</v>
      </c>
      <c r="F107" s="5" t="s">
        <v>1336</v>
      </c>
      <c r="G107" s="6" t="s">
        <v>978</v>
      </c>
      <c r="H107" s="6" t="s">
        <v>68</v>
      </c>
      <c r="I107" s="6" t="s">
        <v>5845</v>
      </c>
      <c r="J107" s="6">
        <v>1684367</v>
      </c>
      <c r="K107" s="7" t="s">
        <v>8059</v>
      </c>
      <c r="L107" s="8">
        <v>23244</v>
      </c>
      <c r="M107" s="8" t="str">
        <f t="shared" si="10"/>
        <v>PEN</v>
      </c>
      <c r="N107" s="13"/>
      <c r="O107" s="13">
        <v>8</v>
      </c>
      <c r="P107" s="3">
        <f t="shared" si="7"/>
        <v>0</v>
      </c>
      <c r="Q107" s="3">
        <f t="shared" si="8"/>
        <v>8</v>
      </c>
      <c r="R107" s="3">
        <f t="shared" si="9"/>
        <v>174.70000000000005</v>
      </c>
      <c r="S107" s="24" t="s">
        <v>1334</v>
      </c>
      <c r="T107" s="24" t="s">
        <v>1334</v>
      </c>
      <c r="U107" s="3"/>
      <c r="V107" s="25" t="s">
        <v>7842</v>
      </c>
      <c r="W107" s="25">
        <v>20517252558</v>
      </c>
      <c r="X107" s="25" t="str">
        <f>IFERROR(VLOOKUP(C_Ope_002[[#This Row],[nota_2]],Clientes_Proveedores[[Ruc / Dni]:[Razon Social]],2,0),"")</f>
        <v>COVISUR S.A.</v>
      </c>
      <c r="Y107" s="25"/>
      <c r="Z107" s="103"/>
      <c r="AA107" s="3" t="str">
        <f>IF(C_Ope_002[[#This Row],[fecha]]&gt;0,TEXT(C_Ope_002[[#This Row],[fecha]],"mmmm"),0)</f>
        <v>Febrero</v>
      </c>
      <c r="AB107" s="49"/>
    </row>
    <row r="108" spans="1:28" x14ac:dyDescent="0.3">
      <c r="A108" s="2">
        <f>IF(C_Ope_002[[#This Row],[tipo_r]]="R",COUNTIFS($C$1:$C107,"R")+1,"")</f>
        <v>107</v>
      </c>
      <c r="B108" s="19" t="str">
        <f t="shared" si="6"/>
        <v>C_Ope_002</v>
      </c>
      <c r="C108" s="3" t="s">
        <v>1330</v>
      </c>
      <c r="D108" s="14">
        <v>45713</v>
      </c>
      <c r="E108" s="5" t="s">
        <v>8005</v>
      </c>
      <c r="F108" s="5" t="s">
        <v>1336</v>
      </c>
      <c r="G108" s="6" t="s">
        <v>978</v>
      </c>
      <c r="H108" s="6" t="s">
        <v>68</v>
      </c>
      <c r="I108" s="6" t="s">
        <v>5688</v>
      </c>
      <c r="J108" s="6">
        <v>2244860</v>
      </c>
      <c r="K108" s="7" t="s">
        <v>8059</v>
      </c>
      <c r="L108" s="8">
        <v>23245</v>
      </c>
      <c r="M108" s="8" t="str">
        <f t="shared" si="10"/>
        <v>PEN</v>
      </c>
      <c r="N108" s="13"/>
      <c r="O108" s="13">
        <v>8</v>
      </c>
      <c r="P108" s="3">
        <f t="shared" si="7"/>
        <v>0</v>
      </c>
      <c r="Q108" s="3">
        <f t="shared" si="8"/>
        <v>8</v>
      </c>
      <c r="R108" s="3">
        <f t="shared" si="9"/>
        <v>166.70000000000005</v>
      </c>
      <c r="S108" s="24" t="s">
        <v>1334</v>
      </c>
      <c r="T108" s="24" t="s">
        <v>1334</v>
      </c>
      <c r="U108" s="3"/>
      <c r="V108" s="25" t="s">
        <v>7842</v>
      </c>
      <c r="W108" s="25">
        <v>20517252558</v>
      </c>
      <c r="X108" s="25" t="str">
        <f>IFERROR(VLOOKUP(C_Ope_002[[#This Row],[nota_2]],Clientes_Proveedores[[Ruc / Dni]:[Razon Social]],2,0),"")</f>
        <v>COVISUR S.A.</v>
      </c>
      <c r="Y108" s="25"/>
      <c r="Z108" s="103"/>
      <c r="AA108" s="3" t="str">
        <f>IF(C_Ope_002[[#This Row],[fecha]]&gt;0,TEXT(C_Ope_002[[#This Row],[fecha]],"mmmm"),0)</f>
        <v>Febrero</v>
      </c>
      <c r="AB108" s="49"/>
    </row>
    <row r="109" spans="1:28" x14ac:dyDescent="0.3">
      <c r="A109" s="2">
        <f>IF(C_Ope_002[[#This Row],[tipo_r]]="R",COUNTIFS($C$1:$C108,"R")+1,"")</f>
        <v>108</v>
      </c>
      <c r="B109" s="19" t="str">
        <f t="shared" si="6"/>
        <v>C_Ope_002</v>
      </c>
      <c r="C109" s="3" t="s">
        <v>1330</v>
      </c>
      <c r="D109" s="14">
        <v>45714</v>
      </c>
      <c r="E109" s="5" t="s">
        <v>8005</v>
      </c>
      <c r="F109" s="5" t="s">
        <v>1336</v>
      </c>
      <c r="G109" s="6" t="s">
        <v>978</v>
      </c>
      <c r="H109" s="6" t="s">
        <v>68</v>
      </c>
      <c r="I109" s="6" t="s">
        <v>5845</v>
      </c>
      <c r="J109" s="6">
        <v>1685294</v>
      </c>
      <c r="K109" s="7" t="s">
        <v>8058</v>
      </c>
      <c r="L109" s="8">
        <v>23241</v>
      </c>
      <c r="M109" s="8" t="str">
        <f t="shared" si="10"/>
        <v>PEN</v>
      </c>
      <c r="N109" s="13"/>
      <c r="O109" s="13">
        <v>8</v>
      </c>
      <c r="P109" s="3">
        <f t="shared" si="7"/>
        <v>0</v>
      </c>
      <c r="Q109" s="3">
        <f t="shared" si="8"/>
        <v>8</v>
      </c>
      <c r="R109" s="3">
        <f t="shared" si="9"/>
        <v>158.70000000000005</v>
      </c>
      <c r="S109" s="24" t="s">
        <v>1334</v>
      </c>
      <c r="T109" s="24" t="s">
        <v>1334</v>
      </c>
      <c r="U109" s="3"/>
      <c r="V109" s="25" t="s">
        <v>7842</v>
      </c>
      <c r="W109" s="25">
        <v>20517252558</v>
      </c>
      <c r="X109" s="25" t="str">
        <f>IFERROR(VLOOKUP(C_Ope_002[[#This Row],[nota_2]],Clientes_Proveedores[[Ruc / Dni]:[Razon Social]],2,0),"")</f>
        <v>COVISUR S.A.</v>
      </c>
      <c r="Y109" s="25"/>
      <c r="Z109" s="103"/>
      <c r="AA109" s="3" t="str">
        <f>IF(C_Ope_002[[#This Row],[fecha]]&gt;0,TEXT(C_Ope_002[[#This Row],[fecha]],"mmmm"),0)</f>
        <v>Febrero</v>
      </c>
      <c r="AB109" s="49"/>
    </row>
    <row r="110" spans="1:28" x14ac:dyDescent="0.3">
      <c r="A110" s="2">
        <f>IF(C_Ope_002[[#This Row],[tipo_r]]="R",COUNTIFS($C$1:$C109,"R")+1,"")</f>
        <v>109</v>
      </c>
      <c r="B110" s="19" t="str">
        <f t="shared" si="6"/>
        <v>C_Ope_002</v>
      </c>
      <c r="C110" s="3" t="s">
        <v>1330</v>
      </c>
      <c r="D110" s="14">
        <v>45714</v>
      </c>
      <c r="E110" s="5" t="s">
        <v>8005</v>
      </c>
      <c r="F110" s="5" t="s">
        <v>1336</v>
      </c>
      <c r="G110" s="6" t="s">
        <v>978</v>
      </c>
      <c r="H110" s="6" t="s">
        <v>68</v>
      </c>
      <c r="I110" s="6" t="s">
        <v>6204</v>
      </c>
      <c r="J110" s="6">
        <v>1666250</v>
      </c>
      <c r="K110" s="7" t="s">
        <v>8058</v>
      </c>
      <c r="L110" s="8">
        <v>23242</v>
      </c>
      <c r="M110" s="8" t="str">
        <f t="shared" si="10"/>
        <v>PEN</v>
      </c>
      <c r="N110" s="13"/>
      <c r="O110" s="13">
        <v>8</v>
      </c>
      <c r="P110" s="3">
        <f t="shared" si="7"/>
        <v>0</v>
      </c>
      <c r="Q110" s="3">
        <f t="shared" si="8"/>
        <v>8</v>
      </c>
      <c r="R110" s="3">
        <f t="shared" si="9"/>
        <v>150.70000000000005</v>
      </c>
      <c r="S110" s="24" t="s">
        <v>1334</v>
      </c>
      <c r="T110" s="24" t="s">
        <v>1334</v>
      </c>
      <c r="U110" s="3"/>
      <c r="V110" s="25" t="s">
        <v>7842</v>
      </c>
      <c r="W110" s="25">
        <v>20517252558</v>
      </c>
      <c r="X110" s="25" t="str">
        <f>IFERROR(VLOOKUP(C_Ope_002[[#This Row],[nota_2]],Clientes_Proveedores[[Ruc / Dni]:[Razon Social]],2,0),"")</f>
        <v>COVISUR S.A.</v>
      </c>
      <c r="Y110" s="25"/>
      <c r="Z110" s="103"/>
      <c r="AA110" s="3" t="str">
        <f>IF(C_Ope_002[[#This Row],[fecha]]&gt;0,TEXT(C_Ope_002[[#This Row],[fecha]],"mmmm"),0)</f>
        <v>Febrero</v>
      </c>
      <c r="AB110" s="49"/>
    </row>
    <row r="111" spans="1:28" x14ac:dyDescent="0.3">
      <c r="A111" s="2">
        <f>IF(C_Ope_002[[#This Row],[tipo_r]]="R",COUNTIFS($C$1:$C110,"R")+1,"")</f>
        <v>110</v>
      </c>
      <c r="B111" s="19" t="str">
        <f t="shared" si="6"/>
        <v>C_Ope_002</v>
      </c>
      <c r="C111" s="3" t="s">
        <v>1330</v>
      </c>
      <c r="D111" s="14">
        <v>45714</v>
      </c>
      <c r="E111" s="5" t="s">
        <v>8005</v>
      </c>
      <c r="F111" s="5" t="s">
        <v>1336</v>
      </c>
      <c r="G111" s="6" t="s">
        <v>978</v>
      </c>
      <c r="H111" s="6" t="s">
        <v>68</v>
      </c>
      <c r="I111" s="6" t="s">
        <v>6203</v>
      </c>
      <c r="J111" s="6">
        <v>1972589</v>
      </c>
      <c r="K111" s="7" t="s">
        <v>8058</v>
      </c>
      <c r="L111" s="8">
        <v>23243</v>
      </c>
      <c r="M111" s="8" t="str">
        <f t="shared" si="10"/>
        <v>PEN</v>
      </c>
      <c r="N111" s="13"/>
      <c r="O111" s="13">
        <v>8</v>
      </c>
      <c r="P111" s="3">
        <f t="shared" si="7"/>
        <v>0</v>
      </c>
      <c r="Q111" s="3">
        <f t="shared" si="8"/>
        <v>8</v>
      </c>
      <c r="R111" s="3">
        <f t="shared" si="9"/>
        <v>142.70000000000005</v>
      </c>
      <c r="S111" s="24" t="s">
        <v>1334</v>
      </c>
      <c r="T111" s="24" t="s">
        <v>1334</v>
      </c>
      <c r="U111" s="3"/>
      <c r="V111" s="25" t="s">
        <v>7842</v>
      </c>
      <c r="W111" s="25">
        <v>20517252558</v>
      </c>
      <c r="X111" s="25" t="str">
        <f>IFERROR(VLOOKUP(C_Ope_002[[#This Row],[nota_2]],Clientes_Proveedores[[Ruc / Dni]:[Razon Social]],2,0),"")</f>
        <v>COVISUR S.A.</v>
      </c>
      <c r="Y111" s="25"/>
      <c r="Z111" s="103"/>
      <c r="AA111" s="3" t="str">
        <f>IF(C_Ope_002[[#This Row],[fecha]]&gt;0,TEXT(C_Ope_002[[#This Row],[fecha]],"mmmm"),0)</f>
        <v>Febrero</v>
      </c>
      <c r="AB111" s="49"/>
    </row>
    <row r="112" spans="1:28" ht="24" x14ac:dyDescent="0.3">
      <c r="A112" s="2">
        <f>IF(C_Ope_002[[#This Row],[tipo_r]]="R",COUNTIFS($C$1:$C111,"R")+1,"")</f>
        <v>111</v>
      </c>
      <c r="B112" s="19" t="str">
        <f t="shared" si="6"/>
        <v>C_Ope_002</v>
      </c>
      <c r="C112" s="3" t="s">
        <v>1330</v>
      </c>
      <c r="D112" s="14">
        <v>45715</v>
      </c>
      <c r="E112" s="5" t="s">
        <v>8005</v>
      </c>
      <c r="F112" s="5" t="s">
        <v>1336</v>
      </c>
      <c r="G112" s="6" t="s">
        <v>978</v>
      </c>
      <c r="H112" s="6" t="s">
        <v>68</v>
      </c>
      <c r="I112" s="6" t="s">
        <v>5845</v>
      </c>
      <c r="J112" s="6">
        <v>1686172</v>
      </c>
      <c r="K112" s="7" t="s">
        <v>8060</v>
      </c>
      <c r="L112" s="8">
        <v>23248</v>
      </c>
      <c r="M112" s="8" t="str">
        <f t="shared" si="10"/>
        <v>PEN</v>
      </c>
      <c r="N112" s="13"/>
      <c r="O112" s="13">
        <v>8</v>
      </c>
      <c r="P112" s="3">
        <f t="shared" si="7"/>
        <v>0</v>
      </c>
      <c r="Q112" s="3">
        <f t="shared" si="8"/>
        <v>8</v>
      </c>
      <c r="R112" s="3">
        <f t="shared" si="9"/>
        <v>134.70000000000005</v>
      </c>
      <c r="S112" s="24" t="s">
        <v>1334</v>
      </c>
      <c r="T112" s="24" t="s">
        <v>1334</v>
      </c>
      <c r="U112" s="3"/>
      <c r="V112" s="25" t="s">
        <v>7842</v>
      </c>
      <c r="W112" s="25">
        <v>20517252558</v>
      </c>
      <c r="X112" s="25" t="str">
        <f>IFERROR(VLOOKUP(C_Ope_002[[#This Row],[nota_2]],Clientes_Proveedores[[Ruc / Dni]:[Razon Social]],2,0),"")</f>
        <v>COVISUR S.A.</v>
      </c>
      <c r="Y112" s="25"/>
      <c r="Z112" s="103"/>
      <c r="AA112" s="3" t="str">
        <f>IF(C_Ope_002[[#This Row],[fecha]]&gt;0,TEXT(C_Ope_002[[#This Row],[fecha]],"mmmm"),0)</f>
        <v>Febrero</v>
      </c>
      <c r="AB112" s="49"/>
    </row>
    <row r="113" spans="1:28" ht="24" x14ac:dyDescent="0.3">
      <c r="A113" s="2">
        <f>IF(C_Ope_002[[#This Row],[tipo_r]]="R",COUNTIFS($C$1:$C112,"R")+1,"")</f>
        <v>112</v>
      </c>
      <c r="B113" s="19" t="str">
        <f t="shared" si="6"/>
        <v>C_Ope_002</v>
      </c>
      <c r="C113" s="3" t="s">
        <v>1330</v>
      </c>
      <c r="D113" s="14">
        <v>45715</v>
      </c>
      <c r="E113" s="5" t="s">
        <v>8005</v>
      </c>
      <c r="F113" s="5" t="s">
        <v>1336</v>
      </c>
      <c r="G113" s="6" t="s">
        <v>978</v>
      </c>
      <c r="H113" s="6" t="s">
        <v>68</v>
      </c>
      <c r="I113" s="6" t="s">
        <v>5688</v>
      </c>
      <c r="J113" s="6">
        <v>2247462</v>
      </c>
      <c r="K113" s="7" t="s">
        <v>8060</v>
      </c>
      <c r="L113" s="8">
        <v>23249</v>
      </c>
      <c r="M113" s="8" t="str">
        <f t="shared" si="10"/>
        <v>PEN</v>
      </c>
      <c r="N113" s="13"/>
      <c r="O113" s="13">
        <v>8</v>
      </c>
      <c r="P113" s="3">
        <f t="shared" si="7"/>
        <v>0</v>
      </c>
      <c r="Q113" s="3">
        <f t="shared" si="8"/>
        <v>8</v>
      </c>
      <c r="R113" s="3">
        <f t="shared" si="9"/>
        <v>126.70000000000005</v>
      </c>
      <c r="S113" s="24" t="s">
        <v>1334</v>
      </c>
      <c r="T113" s="24" t="s">
        <v>1334</v>
      </c>
      <c r="U113" s="3"/>
      <c r="V113" s="25" t="s">
        <v>7842</v>
      </c>
      <c r="W113" s="25">
        <v>20517252558</v>
      </c>
      <c r="X113" s="25" t="str">
        <f>IFERROR(VLOOKUP(C_Ope_002[[#This Row],[nota_2]],Clientes_Proveedores[[Ruc / Dni]:[Razon Social]],2,0),"")</f>
        <v>COVISUR S.A.</v>
      </c>
      <c r="Y113" s="25"/>
      <c r="Z113" s="103"/>
      <c r="AA113" s="3" t="str">
        <f>IF(C_Ope_002[[#This Row],[fecha]]&gt;0,TEXT(C_Ope_002[[#This Row],[fecha]],"mmmm"),0)</f>
        <v>Febrero</v>
      </c>
      <c r="AB113" s="49"/>
    </row>
    <row r="114" spans="1:28" ht="24" x14ac:dyDescent="0.3">
      <c r="A114" s="2">
        <f>IF(C_Ope_002[[#This Row],[tipo_r]]="R",COUNTIFS($C$1:$C113,"R")+1,"")</f>
        <v>113</v>
      </c>
      <c r="B114" s="19" t="str">
        <f t="shared" si="6"/>
        <v>C_Ope_002</v>
      </c>
      <c r="C114" s="3" t="s">
        <v>1330</v>
      </c>
      <c r="D114" s="14">
        <v>45715</v>
      </c>
      <c r="E114" s="5" t="s">
        <v>8005</v>
      </c>
      <c r="F114" s="5" t="s">
        <v>1336</v>
      </c>
      <c r="G114" s="6" t="s">
        <v>1147</v>
      </c>
      <c r="H114" s="6" t="s">
        <v>68</v>
      </c>
      <c r="I114" s="6" t="s">
        <v>1386</v>
      </c>
      <c r="J114" s="6">
        <v>16024</v>
      </c>
      <c r="K114" s="7" t="s">
        <v>8061</v>
      </c>
      <c r="L114" s="8">
        <v>23250</v>
      </c>
      <c r="M114" s="8" t="str">
        <f t="shared" si="10"/>
        <v>PEN</v>
      </c>
      <c r="N114" s="13"/>
      <c r="O114" s="13">
        <v>18</v>
      </c>
      <c r="P114" s="3">
        <f t="shared" si="7"/>
        <v>0</v>
      </c>
      <c r="Q114" s="3">
        <f t="shared" si="8"/>
        <v>18</v>
      </c>
      <c r="R114" s="3">
        <f t="shared" si="9"/>
        <v>108.70000000000005</v>
      </c>
      <c r="S114" s="24" t="s">
        <v>1334</v>
      </c>
      <c r="T114" s="24" t="s">
        <v>1334</v>
      </c>
      <c r="U114" s="3"/>
      <c r="V114" s="25" t="s">
        <v>7842</v>
      </c>
      <c r="W114" s="25">
        <v>20162554167</v>
      </c>
      <c r="X114" s="25" t="str">
        <f>IFERROR(VLOOKUP(C_Ope_002[[#This Row],[nota_2]],Clientes_Proveedores[[Ruc / Dni]:[Razon Social]],2,0),"")</f>
        <v>AUTORIDAD AUTONOMA DE MAJES</v>
      </c>
      <c r="Y114" s="25"/>
      <c r="Z114" s="103"/>
      <c r="AA114" s="3" t="str">
        <f>IF(C_Ope_002[[#This Row],[fecha]]&gt;0,TEXT(C_Ope_002[[#This Row],[fecha]],"mmmm"),0)</f>
        <v>Febrero</v>
      </c>
      <c r="AB114" s="49"/>
    </row>
    <row r="115" spans="1:28" ht="24" x14ac:dyDescent="0.3">
      <c r="A115" s="2">
        <f>IF(C_Ope_002[[#This Row],[tipo_r]]="R",COUNTIFS($C$1:$C114,"R")+1,"")</f>
        <v>114</v>
      </c>
      <c r="B115" s="19" t="str">
        <f t="shared" si="6"/>
        <v>C_Ope_002</v>
      </c>
      <c r="C115" s="3" t="s">
        <v>1330</v>
      </c>
      <c r="D115" s="14">
        <v>45720</v>
      </c>
      <c r="E115" s="5" t="s">
        <v>7514</v>
      </c>
      <c r="F115" s="5" t="s">
        <v>1303</v>
      </c>
      <c r="G115" s="6" t="s">
        <v>829</v>
      </c>
      <c r="H115" s="6"/>
      <c r="I115" s="6"/>
      <c r="J115" s="6"/>
      <c r="K115" s="7" t="s">
        <v>7516</v>
      </c>
      <c r="L115" s="8">
        <v>23358</v>
      </c>
      <c r="M115" s="8" t="str">
        <f t="shared" si="10"/>
        <v>PEN</v>
      </c>
      <c r="N115" s="13"/>
      <c r="O115" s="13">
        <v>100</v>
      </c>
      <c r="P115" s="3">
        <f t="shared" si="7"/>
        <v>100</v>
      </c>
      <c r="Q115" s="3">
        <f t="shared" si="8"/>
        <v>0</v>
      </c>
      <c r="R115" s="3">
        <f t="shared" si="9"/>
        <v>208.70000000000005</v>
      </c>
      <c r="S115" s="24" t="s">
        <v>1334</v>
      </c>
      <c r="T115" s="24" t="s">
        <v>1334</v>
      </c>
      <c r="U115" s="3"/>
      <c r="V115" s="25"/>
      <c r="W115" s="25"/>
      <c r="X115" s="25" t="str">
        <f>IFERROR(VLOOKUP(C_Ope_002[[#This Row],[nota_2]],Clientes_Proveedores[[Ruc / Dni]:[Razon Social]],2,0),"")</f>
        <v/>
      </c>
      <c r="Y115" s="25"/>
      <c r="Z115" s="103"/>
      <c r="AA115" s="3" t="str">
        <f>IF(C_Ope_002[[#This Row],[fecha]]&gt;0,TEXT(C_Ope_002[[#This Row],[fecha]],"mmmm"),0)</f>
        <v>Marzo</v>
      </c>
      <c r="AB115" s="49"/>
    </row>
    <row r="116" spans="1:28" x14ac:dyDescent="0.3">
      <c r="A116" s="2">
        <f>IF(C_Ope_002[[#This Row],[tipo_r]]="R",COUNTIFS($C$1:$C115,"R")+1,"")</f>
        <v>115</v>
      </c>
      <c r="B116" s="19" t="str">
        <f t="shared" si="6"/>
        <v>C_Ope_002</v>
      </c>
      <c r="C116" s="3" t="s">
        <v>1330</v>
      </c>
      <c r="D116" s="14">
        <v>45719</v>
      </c>
      <c r="E116" s="5" t="s">
        <v>8005</v>
      </c>
      <c r="F116" s="5" t="s">
        <v>1336</v>
      </c>
      <c r="G116" s="6" t="s">
        <v>978</v>
      </c>
      <c r="H116" s="6" t="s">
        <v>68</v>
      </c>
      <c r="I116" s="6" t="s">
        <v>6203</v>
      </c>
      <c r="J116" s="6">
        <v>1978474</v>
      </c>
      <c r="K116" s="7" t="s">
        <v>8062</v>
      </c>
      <c r="L116" s="8">
        <v>23336</v>
      </c>
      <c r="M116" s="8" t="str">
        <f t="shared" si="10"/>
        <v>PEN</v>
      </c>
      <c r="N116" s="13"/>
      <c r="O116" s="13">
        <v>8</v>
      </c>
      <c r="P116" s="3">
        <f t="shared" si="7"/>
        <v>0</v>
      </c>
      <c r="Q116" s="3">
        <f t="shared" si="8"/>
        <v>8</v>
      </c>
      <c r="R116" s="3">
        <f t="shared" si="9"/>
        <v>200.70000000000005</v>
      </c>
      <c r="S116" s="24" t="s">
        <v>1334</v>
      </c>
      <c r="T116" s="24" t="s">
        <v>1334</v>
      </c>
      <c r="U116" s="3"/>
      <c r="V116" s="25" t="s">
        <v>7842</v>
      </c>
      <c r="W116" s="25">
        <v>20517252558</v>
      </c>
      <c r="X116" s="25" t="str">
        <f>IFERROR(VLOOKUP(C_Ope_002[[#This Row],[nota_2]],Clientes_Proveedores[[Ruc / Dni]:[Razon Social]],2,0),"")</f>
        <v>COVISUR S.A.</v>
      </c>
      <c r="Y116" s="25"/>
      <c r="Z116" s="103"/>
      <c r="AA116" s="3" t="str">
        <f>IF(C_Ope_002[[#This Row],[fecha]]&gt;0,TEXT(C_Ope_002[[#This Row],[fecha]],"mmmm"),0)</f>
        <v>Marzo</v>
      </c>
      <c r="AB116" s="49"/>
    </row>
    <row r="117" spans="1:28" x14ac:dyDescent="0.3">
      <c r="A117" s="2">
        <f>IF(C_Ope_002[[#This Row],[tipo_r]]="R",COUNTIFS($C$1:$C116,"R")+1,"")</f>
        <v>116</v>
      </c>
      <c r="B117" s="19" t="str">
        <f t="shared" si="6"/>
        <v>C_Ope_002</v>
      </c>
      <c r="C117" s="3" t="s">
        <v>1330</v>
      </c>
      <c r="D117" s="14">
        <v>45719</v>
      </c>
      <c r="E117" s="5" t="s">
        <v>8005</v>
      </c>
      <c r="F117" s="5" t="s">
        <v>1336</v>
      </c>
      <c r="G117" s="6" t="s">
        <v>978</v>
      </c>
      <c r="H117" s="6" t="s">
        <v>68</v>
      </c>
      <c r="I117" s="6" t="s">
        <v>5688</v>
      </c>
      <c r="J117" s="6">
        <v>2252091</v>
      </c>
      <c r="K117" s="7" t="s">
        <v>8062</v>
      </c>
      <c r="L117" s="8">
        <v>23337</v>
      </c>
      <c r="M117" s="8" t="str">
        <f t="shared" si="10"/>
        <v>PEN</v>
      </c>
      <c r="N117" s="13"/>
      <c r="O117" s="13">
        <v>8</v>
      </c>
      <c r="P117" s="3">
        <f t="shared" si="7"/>
        <v>0</v>
      </c>
      <c r="Q117" s="3">
        <f t="shared" si="8"/>
        <v>8</v>
      </c>
      <c r="R117" s="3">
        <f t="shared" si="9"/>
        <v>192.70000000000005</v>
      </c>
      <c r="S117" s="24" t="s">
        <v>1334</v>
      </c>
      <c r="T117" s="24" t="s">
        <v>1334</v>
      </c>
      <c r="U117" s="3"/>
      <c r="V117" s="25" t="s">
        <v>7842</v>
      </c>
      <c r="W117" s="25">
        <v>20517252558</v>
      </c>
      <c r="X117" s="25" t="str">
        <f>IFERROR(VLOOKUP(C_Ope_002[[#This Row],[nota_2]],Clientes_Proveedores[[Ruc / Dni]:[Razon Social]],2,0),"")</f>
        <v>COVISUR S.A.</v>
      </c>
      <c r="Y117" s="25"/>
      <c r="Z117" s="103"/>
      <c r="AA117" s="3" t="str">
        <f>IF(C_Ope_002[[#This Row],[fecha]]&gt;0,TEXT(C_Ope_002[[#This Row],[fecha]],"mmmm"),0)</f>
        <v>Marzo</v>
      </c>
      <c r="AB117" s="49"/>
    </row>
    <row r="118" spans="1:28" ht="36" x14ac:dyDescent="0.3">
      <c r="A118" s="2">
        <f>IF(C_Ope_002[[#This Row],[tipo_r]]="R",COUNTIFS($C$1:$C117,"R")+1,"")</f>
        <v>117</v>
      </c>
      <c r="B118" s="19" t="str">
        <f t="shared" si="6"/>
        <v>C_Ope_002</v>
      </c>
      <c r="C118" s="3" t="s">
        <v>1330</v>
      </c>
      <c r="D118" s="14">
        <v>45721</v>
      </c>
      <c r="E118" s="5" t="s">
        <v>8005</v>
      </c>
      <c r="F118" s="5" t="s">
        <v>1336</v>
      </c>
      <c r="G118" s="6" t="s">
        <v>978</v>
      </c>
      <c r="H118" s="6" t="s">
        <v>68</v>
      </c>
      <c r="I118" s="6" t="s">
        <v>6203</v>
      </c>
      <c r="J118" s="6">
        <v>1980698</v>
      </c>
      <c r="K118" s="7" t="s">
        <v>8063</v>
      </c>
      <c r="L118" s="8">
        <v>23334</v>
      </c>
      <c r="M118" s="8" t="str">
        <f t="shared" si="10"/>
        <v>PEN</v>
      </c>
      <c r="N118" s="13"/>
      <c r="O118" s="13">
        <v>8</v>
      </c>
      <c r="P118" s="3">
        <f t="shared" si="7"/>
        <v>0</v>
      </c>
      <c r="Q118" s="3">
        <f t="shared" si="8"/>
        <v>8</v>
      </c>
      <c r="R118" s="3">
        <f t="shared" si="9"/>
        <v>184.70000000000005</v>
      </c>
      <c r="S118" s="24" t="s">
        <v>1334</v>
      </c>
      <c r="T118" s="24" t="s">
        <v>1334</v>
      </c>
      <c r="U118" s="3"/>
      <c r="V118" s="25" t="s">
        <v>7842</v>
      </c>
      <c r="W118" s="25">
        <v>20517252558</v>
      </c>
      <c r="X118" s="25" t="str">
        <f>IFERROR(VLOOKUP(C_Ope_002[[#This Row],[nota_2]],Clientes_Proveedores[[Ruc / Dni]:[Razon Social]],2,0),"")</f>
        <v>COVISUR S.A.</v>
      </c>
      <c r="Y118" s="25"/>
      <c r="Z118" s="103"/>
      <c r="AA118" s="3" t="str">
        <f>IF(C_Ope_002[[#This Row],[fecha]]&gt;0,TEXT(C_Ope_002[[#This Row],[fecha]],"mmmm"),0)</f>
        <v>Marzo</v>
      </c>
      <c r="AB118" s="49"/>
    </row>
    <row r="119" spans="1:28" ht="48" x14ac:dyDescent="0.3">
      <c r="A119" s="2">
        <f>IF(C_Ope_002[[#This Row],[tipo_r]]="R",COUNTIFS($C$1:$C118,"R")+1,"")</f>
        <v>118</v>
      </c>
      <c r="B119" s="19" t="str">
        <f t="shared" si="6"/>
        <v>C_Ope_002</v>
      </c>
      <c r="C119" s="3" t="s">
        <v>1330</v>
      </c>
      <c r="D119" s="14">
        <v>45721</v>
      </c>
      <c r="E119" s="5" t="s">
        <v>8005</v>
      </c>
      <c r="F119" s="5" t="s">
        <v>1336</v>
      </c>
      <c r="G119" s="6" t="s">
        <v>978</v>
      </c>
      <c r="H119" s="6" t="s">
        <v>68</v>
      </c>
      <c r="I119" s="6" t="s">
        <v>5688</v>
      </c>
      <c r="J119" s="6">
        <v>2254456</v>
      </c>
      <c r="K119" s="7" t="s">
        <v>8064</v>
      </c>
      <c r="L119" s="8">
        <v>23335</v>
      </c>
      <c r="M119" s="8" t="str">
        <f t="shared" si="10"/>
        <v>PEN</v>
      </c>
      <c r="N119" s="13"/>
      <c r="O119" s="13">
        <v>8</v>
      </c>
      <c r="P119" s="3">
        <f t="shared" si="7"/>
        <v>0</v>
      </c>
      <c r="Q119" s="3">
        <f t="shared" si="8"/>
        <v>8</v>
      </c>
      <c r="R119" s="3">
        <f t="shared" si="9"/>
        <v>176.70000000000005</v>
      </c>
      <c r="S119" s="24" t="s">
        <v>1334</v>
      </c>
      <c r="T119" s="24" t="s">
        <v>1334</v>
      </c>
      <c r="U119" s="3"/>
      <c r="V119" s="25" t="s">
        <v>7842</v>
      </c>
      <c r="W119" s="25">
        <v>20517252558</v>
      </c>
      <c r="X119" s="25" t="str">
        <f>IFERROR(VLOOKUP(C_Ope_002[[#This Row],[nota_2]],Clientes_Proveedores[[Ruc / Dni]:[Razon Social]],2,0),"")</f>
        <v>COVISUR S.A.</v>
      </c>
      <c r="Y119" s="25"/>
      <c r="Z119" s="103"/>
      <c r="AA119" s="3" t="str">
        <f>IF(C_Ope_002[[#This Row],[fecha]]&gt;0,TEXT(C_Ope_002[[#This Row],[fecha]],"mmmm"),0)</f>
        <v>Marzo</v>
      </c>
      <c r="AB119" s="49"/>
    </row>
    <row r="120" spans="1:28" ht="24" x14ac:dyDescent="0.3">
      <c r="A120" s="2">
        <f>IF(C_Ope_002[[#This Row],[tipo_r]]="R",COUNTIFS($C$1:$C119,"R")+1,"")</f>
        <v>119</v>
      </c>
      <c r="B120" s="19" t="str">
        <f t="shared" si="6"/>
        <v>C_Ope_002</v>
      </c>
      <c r="C120" s="3" t="s">
        <v>1330</v>
      </c>
      <c r="D120" s="14">
        <v>45722</v>
      </c>
      <c r="E120" s="5" t="s">
        <v>8005</v>
      </c>
      <c r="F120" s="5" t="s">
        <v>1336</v>
      </c>
      <c r="G120" s="6" t="s">
        <v>978</v>
      </c>
      <c r="H120" s="6" t="s">
        <v>68</v>
      </c>
      <c r="I120" s="6" t="s">
        <v>5688</v>
      </c>
      <c r="J120" s="6">
        <v>2255535</v>
      </c>
      <c r="K120" s="7" t="s">
        <v>8065</v>
      </c>
      <c r="L120" s="8">
        <v>23332</v>
      </c>
      <c r="M120" s="8" t="str">
        <f t="shared" si="10"/>
        <v>PEN</v>
      </c>
      <c r="N120" s="13"/>
      <c r="O120" s="13">
        <v>8</v>
      </c>
      <c r="P120" s="3">
        <f t="shared" si="7"/>
        <v>0</v>
      </c>
      <c r="Q120" s="3">
        <f t="shared" si="8"/>
        <v>8</v>
      </c>
      <c r="R120" s="3">
        <f t="shared" si="9"/>
        <v>168.70000000000005</v>
      </c>
      <c r="S120" s="24" t="s">
        <v>1334</v>
      </c>
      <c r="T120" s="24" t="s">
        <v>1334</v>
      </c>
      <c r="U120" s="3"/>
      <c r="V120" s="25" t="s">
        <v>7842</v>
      </c>
      <c r="W120" s="25">
        <v>20517252558</v>
      </c>
      <c r="X120" s="25" t="str">
        <f>IFERROR(VLOOKUP(C_Ope_002[[#This Row],[nota_2]],Clientes_Proveedores[[Ruc / Dni]:[Razon Social]],2,0),"")</f>
        <v>COVISUR S.A.</v>
      </c>
      <c r="Y120" s="25"/>
      <c r="Z120" s="103"/>
      <c r="AA120" s="3" t="str">
        <f>IF(C_Ope_002[[#This Row],[fecha]]&gt;0,TEXT(C_Ope_002[[#This Row],[fecha]],"mmmm"),0)</f>
        <v>Marzo</v>
      </c>
      <c r="AB120" s="49"/>
    </row>
    <row r="121" spans="1:28" ht="24" x14ac:dyDescent="0.3">
      <c r="A121" s="2">
        <f>IF(C_Ope_002[[#This Row],[tipo_r]]="R",COUNTIFS($C$1:$C120,"R")+1,"")</f>
        <v>120</v>
      </c>
      <c r="B121" s="19" t="str">
        <f t="shared" si="6"/>
        <v>C_Ope_002</v>
      </c>
      <c r="C121" s="3" t="s">
        <v>1330</v>
      </c>
      <c r="D121" s="14">
        <v>45722</v>
      </c>
      <c r="E121" s="5" t="s">
        <v>8005</v>
      </c>
      <c r="F121" s="5" t="s">
        <v>1336</v>
      </c>
      <c r="G121" s="6" t="s">
        <v>978</v>
      </c>
      <c r="H121" s="6" t="s">
        <v>68</v>
      </c>
      <c r="I121" s="6" t="s">
        <v>6203</v>
      </c>
      <c r="J121" s="6">
        <v>1981677</v>
      </c>
      <c r="K121" s="7" t="s">
        <v>8065</v>
      </c>
      <c r="L121" s="8">
        <v>23333</v>
      </c>
      <c r="M121" s="8" t="str">
        <f t="shared" si="10"/>
        <v>PEN</v>
      </c>
      <c r="N121" s="13"/>
      <c r="O121" s="13">
        <v>8</v>
      </c>
      <c r="P121" s="3">
        <f t="shared" si="7"/>
        <v>0</v>
      </c>
      <c r="Q121" s="3">
        <f t="shared" si="8"/>
        <v>8</v>
      </c>
      <c r="R121" s="3">
        <f t="shared" si="9"/>
        <v>160.70000000000005</v>
      </c>
      <c r="S121" s="24" t="s">
        <v>1334</v>
      </c>
      <c r="T121" s="24" t="s">
        <v>1334</v>
      </c>
      <c r="U121" s="3"/>
      <c r="V121" s="25" t="s">
        <v>7842</v>
      </c>
      <c r="W121" s="25">
        <v>20517252558</v>
      </c>
      <c r="X121" s="25" t="str">
        <f>IFERROR(VLOOKUP(C_Ope_002[[#This Row],[nota_2]],Clientes_Proveedores[[Ruc / Dni]:[Razon Social]],2,0),"")</f>
        <v>COVISUR S.A.</v>
      </c>
      <c r="Y121" s="25"/>
      <c r="Z121" s="103"/>
      <c r="AA121" s="3" t="str">
        <f>IF(C_Ope_002[[#This Row],[fecha]]&gt;0,TEXT(C_Ope_002[[#This Row],[fecha]],"mmmm"),0)</f>
        <v>Marzo</v>
      </c>
      <c r="AB121" s="49"/>
    </row>
    <row r="122" spans="1:28" x14ac:dyDescent="0.3">
      <c r="A122" s="2">
        <f>IF(C_Ope_002[[#This Row],[tipo_r]]="R",COUNTIFS($C$1:$C121,"R")+1,"")</f>
        <v>121</v>
      </c>
      <c r="B122" s="19" t="str">
        <f t="shared" si="6"/>
        <v>C_Ope_002</v>
      </c>
      <c r="C122" s="3" t="s">
        <v>1330</v>
      </c>
      <c r="D122" s="14">
        <v>45723</v>
      </c>
      <c r="E122" s="5" t="s">
        <v>8005</v>
      </c>
      <c r="F122" s="5" t="s">
        <v>1336</v>
      </c>
      <c r="G122" s="6" t="s">
        <v>978</v>
      </c>
      <c r="H122" s="6" t="s">
        <v>68</v>
      </c>
      <c r="I122" s="6" t="s">
        <v>5688</v>
      </c>
      <c r="J122" s="6">
        <v>2256863</v>
      </c>
      <c r="K122" s="7" t="s">
        <v>8062</v>
      </c>
      <c r="L122" s="8">
        <v>23328</v>
      </c>
      <c r="M122" s="8" t="str">
        <f t="shared" si="10"/>
        <v>PEN</v>
      </c>
      <c r="N122" s="13"/>
      <c r="O122" s="13">
        <v>8</v>
      </c>
      <c r="P122" s="3">
        <f t="shared" si="7"/>
        <v>0</v>
      </c>
      <c r="Q122" s="3">
        <f t="shared" si="8"/>
        <v>8</v>
      </c>
      <c r="R122" s="3">
        <f t="shared" si="9"/>
        <v>152.70000000000005</v>
      </c>
      <c r="S122" s="24" t="s">
        <v>1334</v>
      </c>
      <c r="T122" s="24" t="s">
        <v>1334</v>
      </c>
      <c r="U122" s="3"/>
      <c r="V122" s="25" t="s">
        <v>7842</v>
      </c>
      <c r="W122" s="25">
        <v>20517252558</v>
      </c>
      <c r="X122" s="25" t="str">
        <f>IFERROR(VLOOKUP(C_Ope_002[[#This Row],[nota_2]],Clientes_Proveedores[[Ruc / Dni]:[Razon Social]],2,0),"")</f>
        <v>COVISUR S.A.</v>
      </c>
      <c r="Y122" s="25"/>
      <c r="Z122" s="103"/>
      <c r="AA122" s="3" t="str">
        <f>IF(C_Ope_002[[#This Row],[fecha]]&gt;0,TEXT(C_Ope_002[[#This Row],[fecha]],"mmmm"),0)</f>
        <v>Marzo</v>
      </c>
      <c r="AB122" s="49"/>
    </row>
    <row r="123" spans="1:28" x14ac:dyDescent="0.3">
      <c r="A123" s="2">
        <f>IF(C_Ope_002[[#This Row],[tipo_r]]="R",COUNTIFS($C$1:$C122,"R")+1,"")</f>
        <v>122</v>
      </c>
      <c r="B123" s="19" t="str">
        <f t="shared" si="6"/>
        <v>C_Ope_002</v>
      </c>
      <c r="C123" s="3" t="s">
        <v>1330</v>
      </c>
      <c r="D123" s="14">
        <v>45723</v>
      </c>
      <c r="E123" s="5" t="s">
        <v>8005</v>
      </c>
      <c r="F123" s="5" t="s">
        <v>1336</v>
      </c>
      <c r="G123" s="6" t="s">
        <v>978</v>
      </c>
      <c r="H123" s="6" t="s">
        <v>68</v>
      </c>
      <c r="I123" s="6" t="s">
        <v>6203</v>
      </c>
      <c r="J123" s="6">
        <v>1982642</v>
      </c>
      <c r="K123" s="7" t="s">
        <v>8062</v>
      </c>
      <c r="L123" s="8">
        <v>23329</v>
      </c>
      <c r="M123" s="8" t="str">
        <f t="shared" si="10"/>
        <v>PEN</v>
      </c>
      <c r="N123" s="13"/>
      <c r="O123" s="13">
        <v>8</v>
      </c>
      <c r="P123" s="3">
        <f t="shared" si="7"/>
        <v>0</v>
      </c>
      <c r="Q123" s="3">
        <f t="shared" si="8"/>
        <v>8</v>
      </c>
      <c r="R123" s="3">
        <f t="shared" si="9"/>
        <v>144.70000000000005</v>
      </c>
      <c r="S123" s="24" t="s">
        <v>1334</v>
      </c>
      <c r="T123" s="24" t="s">
        <v>1334</v>
      </c>
      <c r="U123" s="3"/>
      <c r="V123" s="25" t="s">
        <v>7842</v>
      </c>
      <c r="W123" s="25">
        <v>20517252558</v>
      </c>
      <c r="X123" s="25" t="str">
        <f>IFERROR(VLOOKUP(C_Ope_002[[#This Row],[nota_2]],Clientes_Proveedores[[Ruc / Dni]:[Razon Social]],2,0),"")</f>
        <v>COVISUR S.A.</v>
      </c>
      <c r="Y123" s="25"/>
      <c r="Z123" s="103"/>
      <c r="AA123" s="3" t="str">
        <f>IF(C_Ope_002[[#This Row],[fecha]]&gt;0,TEXT(C_Ope_002[[#This Row],[fecha]],"mmmm"),0)</f>
        <v>Marzo</v>
      </c>
      <c r="AB123" s="49"/>
    </row>
    <row r="124" spans="1:28" ht="24" x14ac:dyDescent="0.3">
      <c r="A124" s="2">
        <f>IF(C_Ope_002[[#This Row],[tipo_r]]="R",COUNTIFS($C$1:$C123,"R")+1,"")</f>
        <v>123</v>
      </c>
      <c r="B124" s="19" t="str">
        <f t="shared" si="6"/>
        <v>C_Ope_002</v>
      </c>
      <c r="C124" s="3" t="s">
        <v>1330</v>
      </c>
      <c r="D124" s="14">
        <v>45722</v>
      </c>
      <c r="E124" s="5" t="s">
        <v>8005</v>
      </c>
      <c r="F124" s="5" t="s">
        <v>1336</v>
      </c>
      <c r="G124" s="6" t="s">
        <v>1147</v>
      </c>
      <c r="H124" s="6" t="s">
        <v>68</v>
      </c>
      <c r="I124" s="6" t="s">
        <v>1386</v>
      </c>
      <c r="J124" s="6">
        <v>16051</v>
      </c>
      <c r="K124" s="7" t="s">
        <v>8066</v>
      </c>
      <c r="L124" s="8">
        <v>23331</v>
      </c>
      <c r="M124" s="8" t="str">
        <f t="shared" si="10"/>
        <v>PEN</v>
      </c>
      <c r="N124" s="13"/>
      <c r="O124" s="13">
        <v>30</v>
      </c>
      <c r="P124" s="3">
        <f t="shared" si="7"/>
        <v>0</v>
      </c>
      <c r="Q124" s="3">
        <f t="shared" si="8"/>
        <v>30</v>
      </c>
      <c r="R124" s="3">
        <f t="shared" si="9"/>
        <v>114.70000000000005</v>
      </c>
      <c r="S124" s="24" t="s">
        <v>1334</v>
      </c>
      <c r="T124" s="24" t="s">
        <v>1334</v>
      </c>
      <c r="U124" s="3"/>
      <c r="V124" s="25" t="s">
        <v>7842</v>
      </c>
      <c r="W124" s="25">
        <v>20162554167</v>
      </c>
      <c r="X124" s="25" t="str">
        <f>IFERROR(VLOOKUP(C_Ope_002[[#This Row],[nota_2]],Clientes_Proveedores[[Ruc / Dni]:[Razon Social]],2,0),"")</f>
        <v>AUTORIDAD AUTONOMA DE MAJES</v>
      </c>
      <c r="Y124" s="25"/>
      <c r="Z124" s="103"/>
      <c r="AA124" s="3" t="str">
        <f>IF(C_Ope_002[[#This Row],[fecha]]&gt;0,TEXT(C_Ope_002[[#This Row],[fecha]],"mmmm"),0)</f>
        <v>Marzo</v>
      </c>
      <c r="AB124" s="49"/>
    </row>
    <row r="125" spans="1:28" ht="24" x14ac:dyDescent="0.3">
      <c r="A125" s="2">
        <f>IF(C_Ope_002[[#This Row],[tipo_r]]="R",COUNTIFS($C$1:$C124,"R")+1,"")</f>
        <v>124</v>
      </c>
      <c r="B125" s="19" t="str">
        <f t="shared" si="6"/>
        <v>C_Ope_002</v>
      </c>
      <c r="C125" s="3" t="s">
        <v>1330</v>
      </c>
      <c r="D125" s="14">
        <v>45723</v>
      </c>
      <c r="E125" s="5" t="s">
        <v>8005</v>
      </c>
      <c r="F125" s="5" t="s">
        <v>1336</v>
      </c>
      <c r="G125" s="6" t="s">
        <v>999</v>
      </c>
      <c r="H125" s="6" t="s">
        <v>68</v>
      </c>
      <c r="I125" s="6" t="s">
        <v>1374</v>
      </c>
      <c r="J125" s="6">
        <v>16733</v>
      </c>
      <c r="K125" s="7" t="s">
        <v>8067</v>
      </c>
      <c r="L125" s="8">
        <v>23330</v>
      </c>
      <c r="M125" s="8" t="str">
        <f t="shared" si="10"/>
        <v>PEN</v>
      </c>
      <c r="N125" s="13"/>
      <c r="O125" s="13">
        <v>30</v>
      </c>
      <c r="P125" s="3">
        <f t="shared" si="7"/>
        <v>0</v>
      </c>
      <c r="Q125" s="3">
        <f t="shared" si="8"/>
        <v>30</v>
      </c>
      <c r="R125" s="3">
        <f t="shared" si="9"/>
        <v>84.700000000000045</v>
      </c>
      <c r="S125" s="24" t="s">
        <v>1334</v>
      </c>
      <c r="T125" s="24" t="s">
        <v>1334</v>
      </c>
      <c r="U125" s="3"/>
      <c r="V125" s="25" t="s">
        <v>7842</v>
      </c>
      <c r="W125" s="25">
        <v>10705628331</v>
      </c>
      <c r="X125" s="25" t="str">
        <f>IFERROR(VLOOKUP(C_Ope_002[[#This Row],[nota_2]],Clientes_Proveedores[[Ruc / Dni]:[Razon Social]],2,0),"")</f>
        <v>LARICO APAZA NANCY ROSSMARY</v>
      </c>
      <c r="Y125" s="25"/>
      <c r="Z125" s="103"/>
      <c r="AA125" s="3" t="str">
        <f>IF(C_Ope_002[[#This Row],[fecha]]&gt;0,TEXT(C_Ope_002[[#This Row],[fecha]],"mmmm"),0)</f>
        <v>Marzo</v>
      </c>
      <c r="AB125" s="49"/>
    </row>
    <row r="126" spans="1:28" ht="24" x14ac:dyDescent="0.3">
      <c r="A126" s="2">
        <f>IF(C_Ope_002[[#This Row],[tipo_r]]="R",COUNTIFS($C$1:$C125,"R")+1,"")</f>
        <v>125</v>
      </c>
      <c r="B126" s="19" t="str">
        <f t="shared" si="6"/>
        <v>C_Ope_002</v>
      </c>
      <c r="C126" s="3" t="s">
        <v>1330</v>
      </c>
      <c r="D126" s="14">
        <v>45727</v>
      </c>
      <c r="E126" s="5" t="s">
        <v>7514</v>
      </c>
      <c r="F126" s="5" t="s">
        <v>1303</v>
      </c>
      <c r="G126" s="6" t="s">
        <v>829</v>
      </c>
      <c r="H126" s="6"/>
      <c r="I126" s="6"/>
      <c r="J126" s="6"/>
      <c r="K126" s="7" t="s">
        <v>7516</v>
      </c>
      <c r="L126" s="8">
        <v>23472</v>
      </c>
      <c r="M126" s="8" t="str">
        <f t="shared" si="10"/>
        <v>PEN</v>
      </c>
      <c r="N126" s="13"/>
      <c r="O126" s="13">
        <v>120</v>
      </c>
      <c r="P126" s="3">
        <f t="shared" si="7"/>
        <v>120</v>
      </c>
      <c r="Q126" s="3">
        <f t="shared" si="8"/>
        <v>0</v>
      </c>
      <c r="R126" s="3">
        <f t="shared" si="9"/>
        <v>204.70000000000005</v>
      </c>
      <c r="S126" s="24" t="s">
        <v>1334</v>
      </c>
      <c r="T126" s="24" t="s">
        <v>1334</v>
      </c>
      <c r="U126" s="3"/>
      <c r="V126" s="25"/>
      <c r="W126" s="25"/>
      <c r="X126" s="25" t="str">
        <f>IFERROR(VLOOKUP(C_Ope_002[[#This Row],[nota_2]],Clientes_Proveedores[[Ruc / Dni]:[Razon Social]],2,0),"")</f>
        <v/>
      </c>
      <c r="Y126" s="25"/>
      <c r="Z126" s="103"/>
      <c r="AA126" s="3" t="str">
        <f>IF(C_Ope_002[[#This Row],[fecha]]&gt;0,TEXT(C_Ope_002[[#This Row],[fecha]],"mmmm"),0)</f>
        <v>Marzo</v>
      </c>
      <c r="AB126" s="49"/>
    </row>
    <row r="127" spans="1:28" ht="24" x14ac:dyDescent="0.3">
      <c r="A127" s="2">
        <f>IF(C_Ope_002[[#This Row],[tipo_r]]="R",COUNTIFS($C$1:$C126,"R")+1,"")</f>
        <v>126</v>
      </c>
      <c r="B127" s="19" t="str">
        <f t="shared" si="6"/>
        <v>C_Ope_002</v>
      </c>
      <c r="C127" s="3" t="s">
        <v>1330</v>
      </c>
      <c r="D127" s="14">
        <v>45726</v>
      </c>
      <c r="E127" s="5" t="s">
        <v>8005</v>
      </c>
      <c r="F127" s="5" t="s">
        <v>1336</v>
      </c>
      <c r="G127" s="6" t="s">
        <v>978</v>
      </c>
      <c r="H127" s="6" t="s">
        <v>68</v>
      </c>
      <c r="I127" s="6" t="s">
        <v>5845</v>
      </c>
      <c r="J127" s="6">
        <v>1695490</v>
      </c>
      <c r="K127" s="7" t="s">
        <v>8068</v>
      </c>
      <c r="L127" s="8">
        <v>23408</v>
      </c>
      <c r="M127" s="8" t="str">
        <f t="shared" si="10"/>
        <v>PEN</v>
      </c>
      <c r="N127" s="13"/>
      <c r="O127" s="13">
        <v>8</v>
      </c>
      <c r="P127" s="3">
        <f t="shared" si="7"/>
        <v>0</v>
      </c>
      <c r="Q127" s="3">
        <f t="shared" si="8"/>
        <v>8</v>
      </c>
      <c r="R127" s="3">
        <f t="shared" si="9"/>
        <v>196.70000000000005</v>
      </c>
      <c r="S127" s="24" t="s">
        <v>1334</v>
      </c>
      <c r="T127" s="24" t="s">
        <v>1334</v>
      </c>
      <c r="U127" s="3"/>
      <c r="V127" s="25" t="s">
        <v>7842</v>
      </c>
      <c r="W127" s="25">
        <v>20517252558</v>
      </c>
      <c r="X127" s="25" t="str">
        <f>IFERROR(VLOOKUP(C_Ope_002[[#This Row],[nota_2]],Clientes_Proveedores[[Ruc / Dni]:[Razon Social]],2,0),"")</f>
        <v>COVISUR S.A.</v>
      </c>
      <c r="Y127" s="25"/>
      <c r="Z127" s="103"/>
      <c r="AA127" s="3" t="str">
        <f>IF(C_Ope_002[[#This Row],[fecha]]&gt;0,TEXT(C_Ope_002[[#This Row],[fecha]],"mmmm"),0)</f>
        <v>Marzo</v>
      </c>
      <c r="AB127" s="49"/>
    </row>
    <row r="128" spans="1:28" ht="24" x14ac:dyDescent="0.3">
      <c r="A128" s="2">
        <f>IF(C_Ope_002[[#This Row],[tipo_r]]="R",COUNTIFS($C$1:$C127,"R")+1,"")</f>
        <v>127</v>
      </c>
      <c r="B128" s="19" t="str">
        <f t="shared" si="6"/>
        <v>C_Ope_002</v>
      </c>
      <c r="C128" s="3" t="s">
        <v>1330</v>
      </c>
      <c r="D128" s="14">
        <v>45726</v>
      </c>
      <c r="E128" s="5" t="s">
        <v>8005</v>
      </c>
      <c r="F128" s="5" t="s">
        <v>1336</v>
      </c>
      <c r="G128" s="6" t="s">
        <v>978</v>
      </c>
      <c r="H128" s="6" t="s">
        <v>68</v>
      </c>
      <c r="I128" s="6" t="s">
        <v>6244</v>
      </c>
      <c r="J128" s="6">
        <v>1017801</v>
      </c>
      <c r="K128" s="7" t="s">
        <v>8068</v>
      </c>
      <c r="L128" s="8">
        <v>23409</v>
      </c>
      <c r="M128" s="8" t="str">
        <f t="shared" si="10"/>
        <v>PEN</v>
      </c>
      <c r="N128" s="13"/>
      <c r="O128" s="13">
        <v>8</v>
      </c>
      <c r="P128" s="3">
        <f t="shared" si="7"/>
        <v>0</v>
      </c>
      <c r="Q128" s="3">
        <f t="shared" si="8"/>
        <v>8</v>
      </c>
      <c r="R128" s="3">
        <f t="shared" si="9"/>
        <v>188.70000000000005</v>
      </c>
      <c r="S128" s="24" t="s">
        <v>1334</v>
      </c>
      <c r="T128" s="24" t="s">
        <v>1334</v>
      </c>
      <c r="U128" s="3"/>
      <c r="V128" s="25" t="s">
        <v>7842</v>
      </c>
      <c r="W128" s="25">
        <v>20517252558</v>
      </c>
      <c r="X128" s="25" t="str">
        <f>IFERROR(VLOOKUP(C_Ope_002[[#This Row],[nota_2]],Clientes_Proveedores[[Ruc / Dni]:[Razon Social]],2,0),"")</f>
        <v>COVISUR S.A.</v>
      </c>
      <c r="Y128" s="25"/>
      <c r="Z128" s="103"/>
      <c r="AA128" s="3" t="str">
        <f>IF(C_Ope_002[[#This Row],[fecha]]&gt;0,TEXT(C_Ope_002[[#This Row],[fecha]],"mmmm"),0)</f>
        <v>Marzo</v>
      </c>
      <c r="AB128" s="49"/>
    </row>
    <row r="129" spans="1:28" ht="24" x14ac:dyDescent="0.3">
      <c r="A129" s="2">
        <f>IF(C_Ope_002[[#This Row],[tipo_r]]="R",COUNTIFS($C$1:$C128,"R")+1,"")</f>
        <v>128</v>
      </c>
      <c r="B129" s="19" t="str">
        <f t="shared" si="6"/>
        <v>C_Ope_002</v>
      </c>
      <c r="C129" s="3" t="s">
        <v>1330</v>
      </c>
      <c r="D129" s="14">
        <v>45726</v>
      </c>
      <c r="E129" s="5" t="s">
        <v>8005</v>
      </c>
      <c r="F129" s="5" t="s">
        <v>1336</v>
      </c>
      <c r="G129" s="6" t="s">
        <v>978</v>
      </c>
      <c r="H129" s="6" t="s">
        <v>68</v>
      </c>
      <c r="I129" s="6" t="s">
        <v>6379</v>
      </c>
      <c r="J129" s="6">
        <v>457521</v>
      </c>
      <c r="K129" s="7" t="s">
        <v>8068</v>
      </c>
      <c r="L129" s="8">
        <v>23410</v>
      </c>
      <c r="M129" s="8" t="str">
        <f t="shared" si="10"/>
        <v>PEN</v>
      </c>
      <c r="N129" s="13"/>
      <c r="O129" s="13">
        <v>8</v>
      </c>
      <c r="P129" s="3">
        <f t="shared" si="7"/>
        <v>0</v>
      </c>
      <c r="Q129" s="3">
        <f t="shared" si="8"/>
        <v>8</v>
      </c>
      <c r="R129" s="3">
        <f t="shared" si="9"/>
        <v>180.70000000000005</v>
      </c>
      <c r="S129" s="24" t="s">
        <v>1334</v>
      </c>
      <c r="T129" s="24" t="s">
        <v>1334</v>
      </c>
      <c r="U129" s="3"/>
      <c r="V129" s="25" t="s">
        <v>7842</v>
      </c>
      <c r="W129" s="25">
        <v>20517252558</v>
      </c>
      <c r="X129" s="25" t="str">
        <f>IFERROR(VLOOKUP(C_Ope_002[[#This Row],[nota_2]],Clientes_Proveedores[[Ruc / Dni]:[Razon Social]],2,0),"")</f>
        <v>COVISUR S.A.</v>
      </c>
      <c r="Y129" s="25"/>
      <c r="Z129" s="103"/>
      <c r="AA129" s="3" t="str">
        <f>IF(C_Ope_002[[#This Row],[fecha]]&gt;0,TEXT(C_Ope_002[[#This Row],[fecha]],"mmmm"),0)</f>
        <v>Marzo</v>
      </c>
      <c r="AB129" s="49"/>
    </row>
    <row r="130" spans="1:28" ht="24" x14ac:dyDescent="0.3">
      <c r="A130" s="2">
        <f>IF(C_Ope_002[[#This Row],[tipo_r]]="R",COUNTIFS($C$1:$C129,"R")+1,"")</f>
        <v>129</v>
      </c>
      <c r="B130" s="19" t="str">
        <f t="shared" ref="B130:B193" si="11">"C_Ope_002"</f>
        <v>C_Ope_002</v>
      </c>
      <c r="C130" s="3" t="s">
        <v>1330</v>
      </c>
      <c r="D130" s="14">
        <v>45726</v>
      </c>
      <c r="E130" s="5" t="s">
        <v>8005</v>
      </c>
      <c r="F130" s="5" t="s">
        <v>1336</v>
      </c>
      <c r="G130" s="6" t="s">
        <v>978</v>
      </c>
      <c r="H130" s="6" t="s">
        <v>68</v>
      </c>
      <c r="I130" s="6" t="s">
        <v>5688</v>
      </c>
      <c r="J130" s="6">
        <v>2259726</v>
      </c>
      <c r="K130" s="7" t="s">
        <v>8068</v>
      </c>
      <c r="L130" s="8">
        <v>23411</v>
      </c>
      <c r="M130" s="8" t="str">
        <f t="shared" si="10"/>
        <v>PEN</v>
      </c>
      <c r="N130" s="13"/>
      <c r="O130" s="13">
        <v>8</v>
      </c>
      <c r="P130" s="3">
        <f t="shared" ref="P130:P193" si="12">+IF(OR($F130="SALDO",$F130="INGRESO"),$O130,0)</f>
        <v>0</v>
      </c>
      <c r="Q130" s="3">
        <f t="shared" ref="Q130:Q193" si="13">+IF($F130="EGRESO",$O130,0)</f>
        <v>8</v>
      </c>
      <c r="R130" s="3">
        <f t="shared" ref="R130:R193" si="14">IFERROR(IF(F130="SALDO",P130,R129+P130-Q130),0)</f>
        <v>172.70000000000005</v>
      </c>
      <c r="S130" s="24" t="s">
        <v>1334</v>
      </c>
      <c r="T130" s="24" t="s">
        <v>1334</v>
      </c>
      <c r="U130" s="3"/>
      <c r="V130" s="25" t="s">
        <v>7842</v>
      </c>
      <c r="W130" s="25">
        <v>20517252558</v>
      </c>
      <c r="X130" s="25" t="str">
        <f>IFERROR(VLOOKUP(C_Ope_002[[#This Row],[nota_2]],Clientes_Proveedores[[Ruc / Dni]:[Razon Social]],2,0),"")</f>
        <v>COVISUR S.A.</v>
      </c>
      <c r="Y130" s="25"/>
      <c r="Z130" s="103"/>
      <c r="AA130" s="3" t="str">
        <f>IF(C_Ope_002[[#This Row],[fecha]]&gt;0,TEXT(C_Ope_002[[#This Row],[fecha]],"mmmm"),0)</f>
        <v>Marzo</v>
      </c>
      <c r="AB130" s="49"/>
    </row>
    <row r="131" spans="1:28" x14ac:dyDescent="0.3">
      <c r="A131" s="2">
        <f>IF(C_Ope_002[[#This Row],[tipo_r]]="R",COUNTIFS($C$1:$C130,"R")+1,"")</f>
        <v>130</v>
      </c>
      <c r="B131" s="19" t="str">
        <f t="shared" si="11"/>
        <v>C_Ope_002</v>
      </c>
      <c r="C131" s="3" t="s">
        <v>1330</v>
      </c>
      <c r="D131" s="14">
        <v>45727</v>
      </c>
      <c r="E131" s="5" t="s">
        <v>8005</v>
      </c>
      <c r="F131" s="5" t="s">
        <v>1336</v>
      </c>
      <c r="G131" s="6" t="s">
        <v>978</v>
      </c>
      <c r="H131" s="6" t="s">
        <v>68</v>
      </c>
      <c r="I131" s="6" t="s">
        <v>6203</v>
      </c>
      <c r="J131" s="6">
        <v>1986703</v>
      </c>
      <c r="K131" s="7" t="s">
        <v>8069</v>
      </c>
      <c r="L131" s="8">
        <v>23412</v>
      </c>
      <c r="M131" s="8" t="str">
        <f t="shared" ref="M131:M194" si="15">"PEN"</f>
        <v>PEN</v>
      </c>
      <c r="N131" s="13"/>
      <c r="O131" s="13">
        <v>8</v>
      </c>
      <c r="P131" s="3">
        <f t="shared" si="12"/>
        <v>0</v>
      </c>
      <c r="Q131" s="3">
        <f t="shared" si="13"/>
        <v>8</v>
      </c>
      <c r="R131" s="3">
        <f t="shared" si="14"/>
        <v>164.70000000000005</v>
      </c>
      <c r="S131" s="24" t="s">
        <v>1334</v>
      </c>
      <c r="T131" s="24" t="s">
        <v>1334</v>
      </c>
      <c r="U131" s="3"/>
      <c r="V131" s="25" t="s">
        <v>7842</v>
      </c>
      <c r="W131" s="25">
        <v>20517252558</v>
      </c>
      <c r="X131" s="25" t="str">
        <f>IFERROR(VLOOKUP(C_Ope_002[[#This Row],[nota_2]],Clientes_Proveedores[[Ruc / Dni]:[Razon Social]],2,0),"")</f>
        <v>COVISUR S.A.</v>
      </c>
      <c r="Y131" s="25"/>
      <c r="Z131" s="103"/>
      <c r="AA131" s="3" t="str">
        <f>IF(C_Ope_002[[#This Row],[fecha]]&gt;0,TEXT(C_Ope_002[[#This Row],[fecha]],"mmmm"),0)</f>
        <v>Marzo</v>
      </c>
      <c r="AB131" s="49"/>
    </row>
    <row r="132" spans="1:28" x14ac:dyDescent="0.3">
      <c r="A132" s="2">
        <f>IF(C_Ope_002[[#This Row],[tipo_r]]="R",COUNTIFS($C$1:$C131,"R")+1,"")</f>
        <v>131</v>
      </c>
      <c r="B132" s="19" t="str">
        <f t="shared" si="11"/>
        <v>C_Ope_002</v>
      </c>
      <c r="C132" s="3" t="s">
        <v>1330</v>
      </c>
      <c r="D132" s="14">
        <v>45727</v>
      </c>
      <c r="E132" s="5" t="s">
        <v>8005</v>
      </c>
      <c r="F132" s="5" t="s">
        <v>1336</v>
      </c>
      <c r="G132" s="6" t="s">
        <v>978</v>
      </c>
      <c r="H132" s="6" t="s">
        <v>68</v>
      </c>
      <c r="I132" s="6" t="s">
        <v>6204</v>
      </c>
      <c r="J132" s="6">
        <v>1676615</v>
      </c>
      <c r="K132" s="7" t="s">
        <v>8069</v>
      </c>
      <c r="L132" s="8">
        <v>23413</v>
      </c>
      <c r="M132" s="8" t="str">
        <f t="shared" si="15"/>
        <v>PEN</v>
      </c>
      <c r="N132" s="13"/>
      <c r="O132" s="13">
        <v>8</v>
      </c>
      <c r="P132" s="3">
        <f t="shared" si="12"/>
        <v>0</v>
      </c>
      <c r="Q132" s="3">
        <f t="shared" si="13"/>
        <v>8</v>
      </c>
      <c r="R132" s="3">
        <f t="shared" si="14"/>
        <v>156.70000000000005</v>
      </c>
      <c r="S132" s="24" t="s">
        <v>1334</v>
      </c>
      <c r="T132" s="24" t="s">
        <v>1334</v>
      </c>
      <c r="U132" s="3"/>
      <c r="V132" s="25" t="s">
        <v>7842</v>
      </c>
      <c r="W132" s="25">
        <v>20517252558</v>
      </c>
      <c r="X132" s="25" t="str">
        <f>IFERROR(VLOOKUP(C_Ope_002[[#This Row],[nota_2]],Clientes_Proveedores[[Ruc / Dni]:[Razon Social]],2,0),"")</f>
        <v>COVISUR S.A.</v>
      </c>
      <c r="Y132" s="25"/>
      <c r="Z132" s="103"/>
      <c r="AA132" s="3" t="str">
        <f>IF(C_Ope_002[[#This Row],[fecha]]&gt;0,TEXT(C_Ope_002[[#This Row],[fecha]],"mmmm"),0)</f>
        <v>Marzo</v>
      </c>
      <c r="AB132" s="49"/>
    </row>
    <row r="133" spans="1:28" ht="24" x14ac:dyDescent="0.3">
      <c r="A133" s="2">
        <f>IF(C_Ope_002[[#This Row],[tipo_r]]="R",COUNTIFS($C$1:$C132,"R")+1,"")</f>
        <v>132</v>
      </c>
      <c r="B133" s="19" t="str">
        <f t="shared" si="11"/>
        <v>C_Ope_002</v>
      </c>
      <c r="C133" s="3" t="s">
        <v>1330</v>
      </c>
      <c r="D133" s="14">
        <v>45728</v>
      </c>
      <c r="E133" s="5" t="s">
        <v>8005</v>
      </c>
      <c r="F133" s="5" t="s">
        <v>1336</v>
      </c>
      <c r="G133" s="6" t="s">
        <v>978</v>
      </c>
      <c r="H133" s="6" t="s">
        <v>68</v>
      </c>
      <c r="I133" s="6" t="s">
        <v>5845</v>
      </c>
      <c r="J133" s="6">
        <v>1696894</v>
      </c>
      <c r="K133" s="7" t="s">
        <v>8070</v>
      </c>
      <c r="L133" s="8">
        <v>23416</v>
      </c>
      <c r="M133" s="8" t="str">
        <f t="shared" si="15"/>
        <v>PEN</v>
      </c>
      <c r="N133" s="13"/>
      <c r="O133" s="13">
        <v>8</v>
      </c>
      <c r="P133" s="3">
        <f t="shared" si="12"/>
        <v>0</v>
      </c>
      <c r="Q133" s="3">
        <f t="shared" si="13"/>
        <v>8</v>
      </c>
      <c r="R133" s="3">
        <f t="shared" si="14"/>
        <v>148.70000000000005</v>
      </c>
      <c r="S133" s="24" t="s">
        <v>1334</v>
      </c>
      <c r="T133" s="24" t="s">
        <v>1334</v>
      </c>
      <c r="U133" s="3"/>
      <c r="V133" s="25" t="s">
        <v>7842</v>
      </c>
      <c r="W133" s="25">
        <v>20517252558</v>
      </c>
      <c r="X133" s="25" t="str">
        <f>IFERROR(VLOOKUP(C_Ope_002[[#This Row],[nota_2]],Clientes_Proveedores[[Ruc / Dni]:[Razon Social]],2,0),"")</f>
        <v>COVISUR S.A.</v>
      </c>
      <c r="Y133" s="25"/>
      <c r="Z133" s="103"/>
      <c r="AA133" s="3" t="str">
        <f>IF(C_Ope_002[[#This Row],[fecha]]&gt;0,TEXT(C_Ope_002[[#This Row],[fecha]],"mmmm"),0)</f>
        <v>Marzo</v>
      </c>
      <c r="AB133" s="49"/>
    </row>
    <row r="134" spans="1:28" ht="24" x14ac:dyDescent="0.3">
      <c r="A134" s="2">
        <f>IF(C_Ope_002[[#This Row],[tipo_r]]="R",COUNTIFS($C$1:$C133,"R")+1,"")</f>
        <v>133</v>
      </c>
      <c r="B134" s="19" t="str">
        <f t="shared" si="11"/>
        <v>C_Ope_002</v>
      </c>
      <c r="C134" s="3" t="s">
        <v>1330</v>
      </c>
      <c r="D134" s="14">
        <v>45728</v>
      </c>
      <c r="E134" s="5" t="s">
        <v>8005</v>
      </c>
      <c r="F134" s="5" t="s">
        <v>1336</v>
      </c>
      <c r="G134" s="6" t="s">
        <v>978</v>
      </c>
      <c r="H134" s="6" t="s">
        <v>68</v>
      </c>
      <c r="I134" s="6" t="s">
        <v>5688</v>
      </c>
      <c r="J134" s="6">
        <v>2262394</v>
      </c>
      <c r="K134" s="7" t="s">
        <v>8070</v>
      </c>
      <c r="L134" s="8">
        <v>23417</v>
      </c>
      <c r="M134" s="8" t="str">
        <f t="shared" si="15"/>
        <v>PEN</v>
      </c>
      <c r="N134" s="13"/>
      <c r="O134" s="13">
        <v>8</v>
      </c>
      <c r="P134" s="3">
        <f t="shared" si="12"/>
        <v>0</v>
      </c>
      <c r="Q134" s="3">
        <f t="shared" si="13"/>
        <v>8</v>
      </c>
      <c r="R134" s="3">
        <f t="shared" si="14"/>
        <v>140.70000000000005</v>
      </c>
      <c r="S134" s="24" t="s">
        <v>1334</v>
      </c>
      <c r="T134" s="24" t="s">
        <v>1334</v>
      </c>
      <c r="U134" s="3"/>
      <c r="V134" s="25" t="s">
        <v>7842</v>
      </c>
      <c r="W134" s="25">
        <v>20517252558</v>
      </c>
      <c r="X134" s="25" t="str">
        <f>IFERROR(VLOOKUP(C_Ope_002[[#This Row],[nota_2]],Clientes_Proveedores[[Ruc / Dni]:[Razon Social]],2,0),"")</f>
        <v>COVISUR S.A.</v>
      </c>
      <c r="Y134" s="25"/>
      <c r="Z134" s="103"/>
      <c r="AA134" s="3" t="str">
        <f>IF(C_Ope_002[[#This Row],[fecha]]&gt;0,TEXT(C_Ope_002[[#This Row],[fecha]],"mmmm"),0)</f>
        <v>Marzo</v>
      </c>
      <c r="AB134" s="49"/>
    </row>
    <row r="135" spans="1:28" ht="24" x14ac:dyDescent="0.3">
      <c r="A135" s="2">
        <f>IF(C_Ope_002[[#This Row],[tipo_r]]="R",COUNTIFS($C$1:$C134,"R")+1,"")</f>
        <v>134</v>
      </c>
      <c r="B135" s="19" t="str">
        <f t="shared" si="11"/>
        <v>C_Ope_002</v>
      </c>
      <c r="C135" s="3" t="s">
        <v>1330</v>
      </c>
      <c r="D135" s="14">
        <v>45730</v>
      </c>
      <c r="E135" s="5" t="s">
        <v>8005</v>
      </c>
      <c r="F135" s="5" t="s">
        <v>1336</v>
      </c>
      <c r="G135" s="6" t="s">
        <v>978</v>
      </c>
      <c r="H135" s="6" t="s">
        <v>68</v>
      </c>
      <c r="I135" s="6" t="s">
        <v>6203</v>
      </c>
      <c r="J135" s="6">
        <v>1989953</v>
      </c>
      <c r="K135" s="7" t="s">
        <v>8071</v>
      </c>
      <c r="L135" s="8">
        <v>23496</v>
      </c>
      <c r="M135" s="8" t="str">
        <f t="shared" si="15"/>
        <v>PEN</v>
      </c>
      <c r="N135" s="13"/>
      <c r="O135" s="13">
        <v>8</v>
      </c>
      <c r="P135" s="3">
        <f t="shared" si="12"/>
        <v>0</v>
      </c>
      <c r="Q135" s="3">
        <f t="shared" si="13"/>
        <v>8</v>
      </c>
      <c r="R135" s="3">
        <f t="shared" si="14"/>
        <v>132.70000000000005</v>
      </c>
      <c r="S135" s="24" t="s">
        <v>1334</v>
      </c>
      <c r="T135" s="24" t="s">
        <v>1334</v>
      </c>
      <c r="U135" s="3"/>
      <c r="V135" s="25" t="s">
        <v>8072</v>
      </c>
      <c r="W135" s="25">
        <v>20517252558</v>
      </c>
      <c r="X135" s="25" t="str">
        <f>IFERROR(VLOOKUP(C_Ope_002[[#This Row],[nota_2]],Clientes_Proveedores[[Ruc / Dni]:[Razon Social]],2,0),"")</f>
        <v>COVISUR S.A.</v>
      </c>
      <c r="Y135" s="25"/>
      <c r="Z135" s="103"/>
      <c r="AA135" s="3" t="str">
        <f>IF(C_Ope_002[[#This Row],[fecha]]&gt;0,TEXT(C_Ope_002[[#This Row],[fecha]],"mmmm"),0)</f>
        <v>Marzo</v>
      </c>
      <c r="AB135" s="49"/>
    </row>
    <row r="136" spans="1:28" ht="24" x14ac:dyDescent="0.3">
      <c r="A136" s="2">
        <f>IF(C_Ope_002[[#This Row],[tipo_r]]="R",COUNTIFS($C$1:$C135,"R")+1,"")</f>
        <v>135</v>
      </c>
      <c r="B136" s="19" t="str">
        <f t="shared" si="11"/>
        <v>C_Ope_002</v>
      </c>
      <c r="C136" s="3" t="s">
        <v>1330</v>
      </c>
      <c r="D136" s="14">
        <v>45730</v>
      </c>
      <c r="E136" s="5" t="s">
        <v>8005</v>
      </c>
      <c r="F136" s="5" t="s">
        <v>1336</v>
      </c>
      <c r="G136" s="6" t="s">
        <v>978</v>
      </c>
      <c r="H136" s="6" t="s">
        <v>68</v>
      </c>
      <c r="I136" s="6" t="s">
        <v>6244</v>
      </c>
      <c r="J136" s="6">
        <v>1020201</v>
      </c>
      <c r="K136" s="7" t="s">
        <v>8073</v>
      </c>
      <c r="L136" s="8">
        <v>23497</v>
      </c>
      <c r="M136" s="8" t="str">
        <f t="shared" si="15"/>
        <v>PEN</v>
      </c>
      <c r="N136" s="13"/>
      <c r="O136" s="13">
        <v>8</v>
      </c>
      <c r="P136" s="3">
        <f t="shared" si="12"/>
        <v>0</v>
      </c>
      <c r="Q136" s="3">
        <f t="shared" si="13"/>
        <v>8</v>
      </c>
      <c r="R136" s="3">
        <f t="shared" si="14"/>
        <v>124.70000000000005</v>
      </c>
      <c r="S136" s="24" t="s">
        <v>1334</v>
      </c>
      <c r="T136" s="24" t="s">
        <v>1334</v>
      </c>
      <c r="U136" s="3"/>
      <c r="V136" s="25" t="s">
        <v>8072</v>
      </c>
      <c r="W136" s="25">
        <v>20517252558</v>
      </c>
      <c r="X136" s="25" t="str">
        <f>IFERROR(VLOOKUP(C_Ope_002[[#This Row],[nota_2]],Clientes_Proveedores[[Ruc / Dni]:[Razon Social]],2,0),"")</f>
        <v>COVISUR S.A.</v>
      </c>
      <c r="Y136" s="25"/>
      <c r="Z136" s="103"/>
      <c r="AA136" s="3" t="str">
        <f>IF(C_Ope_002[[#This Row],[fecha]]&gt;0,TEXT(C_Ope_002[[#This Row],[fecha]],"mmmm"),0)</f>
        <v>Marzo</v>
      </c>
      <c r="AB136" s="49"/>
    </row>
    <row r="137" spans="1:28" ht="24" x14ac:dyDescent="0.3">
      <c r="A137" s="2">
        <f>IF(C_Ope_002[[#This Row],[tipo_r]]="R",COUNTIFS($C$1:$C136,"R")+1,"")</f>
        <v>136</v>
      </c>
      <c r="B137" s="19" t="str">
        <f t="shared" si="11"/>
        <v>C_Ope_002</v>
      </c>
      <c r="C137" s="3" t="s">
        <v>1330</v>
      </c>
      <c r="D137" s="14">
        <v>45730</v>
      </c>
      <c r="E137" s="5" t="s">
        <v>8005</v>
      </c>
      <c r="F137" s="5" t="s">
        <v>1336</v>
      </c>
      <c r="G137" s="6" t="s">
        <v>978</v>
      </c>
      <c r="H137" s="6" t="s">
        <v>68</v>
      </c>
      <c r="I137" s="6" t="s">
        <v>6245</v>
      </c>
      <c r="J137" s="6">
        <v>937608</v>
      </c>
      <c r="K137" s="7" t="s">
        <v>8073</v>
      </c>
      <c r="L137" s="8">
        <v>23498</v>
      </c>
      <c r="M137" s="8" t="str">
        <f t="shared" si="15"/>
        <v>PEN</v>
      </c>
      <c r="N137" s="13"/>
      <c r="O137" s="13">
        <v>8</v>
      </c>
      <c r="P137" s="3">
        <f t="shared" si="12"/>
        <v>0</v>
      </c>
      <c r="Q137" s="3">
        <f t="shared" si="13"/>
        <v>8</v>
      </c>
      <c r="R137" s="3">
        <f t="shared" si="14"/>
        <v>116.70000000000005</v>
      </c>
      <c r="S137" s="24" t="s">
        <v>1334</v>
      </c>
      <c r="T137" s="24" t="s">
        <v>1334</v>
      </c>
      <c r="U137" s="3"/>
      <c r="V137" s="25" t="s">
        <v>8072</v>
      </c>
      <c r="W137" s="25">
        <v>20517252558</v>
      </c>
      <c r="X137" s="25" t="str">
        <f>IFERROR(VLOOKUP(C_Ope_002[[#This Row],[nota_2]],Clientes_Proveedores[[Ruc / Dni]:[Razon Social]],2,0),"")</f>
        <v>COVISUR S.A.</v>
      </c>
      <c r="Y137" s="25"/>
      <c r="Z137" s="103"/>
      <c r="AA137" s="3" t="str">
        <f>IF(C_Ope_002[[#This Row],[fecha]]&gt;0,TEXT(C_Ope_002[[#This Row],[fecha]],"mmmm"),0)</f>
        <v>Marzo</v>
      </c>
      <c r="AB137" s="49"/>
    </row>
    <row r="138" spans="1:28" ht="24" x14ac:dyDescent="0.3">
      <c r="A138" s="2">
        <f>IF(C_Ope_002[[#This Row],[tipo_r]]="R",COUNTIFS($C$1:$C137,"R")+1,"")</f>
        <v>137</v>
      </c>
      <c r="B138" s="19" t="str">
        <f t="shared" si="11"/>
        <v>C_Ope_002</v>
      </c>
      <c r="C138" s="3" t="s">
        <v>1330</v>
      </c>
      <c r="D138" s="14">
        <v>45730</v>
      </c>
      <c r="E138" s="5" t="s">
        <v>8005</v>
      </c>
      <c r="F138" s="5" t="s">
        <v>1336</v>
      </c>
      <c r="G138" s="6" t="s">
        <v>978</v>
      </c>
      <c r="H138" s="6" t="s">
        <v>68</v>
      </c>
      <c r="I138" s="6" t="s">
        <v>5688</v>
      </c>
      <c r="J138" s="6">
        <v>2264532</v>
      </c>
      <c r="K138" s="7" t="s">
        <v>8071</v>
      </c>
      <c r="L138" s="8">
        <v>23499</v>
      </c>
      <c r="M138" s="8" t="str">
        <f t="shared" si="15"/>
        <v>PEN</v>
      </c>
      <c r="N138" s="13"/>
      <c r="O138" s="13">
        <v>8</v>
      </c>
      <c r="P138" s="3">
        <f t="shared" si="12"/>
        <v>0</v>
      </c>
      <c r="Q138" s="3">
        <f t="shared" si="13"/>
        <v>8</v>
      </c>
      <c r="R138" s="3">
        <f t="shared" si="14"/>
        <v>108.70000000000005</v>
      </c>
      <c r="S138" s="24" t="s">
        <v>1334</v>
      </c>
      <c r="T138" s="24" t="s">
        <v>1334</v>
      </c>
      <c r="U138" s="3"/>
      <c r="V138" s="25" t="s">
        <v>8072</v>
      </c>
      <c r="W138" s="25">
        <v>20517252558</v>
      </c>
      <c r="X138" s="25" t="str">
        <f>IFERROR(VLOOKUP(C_Ope_002[[#This Row],[nota_2]],Clientes_Proveedores[[Ruc / Dni]:[Razon Social]],2,0),"")</f>
        <v>COVISUR S.A.</v>
      </c>
      <c r="Y138" s="25"/>
      <c r="Z138" s="103"/>
      <c r="AA138" s="3" t="str">
        <f>IF(C_Ope_002[[#This Row],[fecha]]&gt;0,TEXT(C_Ope_002[[#This Row],[fecha]],"mmmm"),0)</f>
        <v>Marzo</v>
      </c>
      <c r="AB138" s="49"/>
    </row>
    <row r="139" spans="1:28" ht="36" x14ac:dyDescent="0.3">
      <c r="A139" s="2">
        <f>IF(C_Ope_002[[#This Row],[tipo_r]]="R",COUNTIFS($C$1:$C138,"R")+1,"")</f>
        <v>138</v>
      </c>
      <c r="B139" s="19" t="str">
        <f t="shared" si="11"/>
        <v>C_Ope_002</v>
      </c>
      <c r="C139" s="3" t="s">
        <v>1330</v>
      </c>
      <c r="D139" s="14">
        <v>45727</v>
      </c>
      <c r="E139" s="5" t="s">
        <v>8005</v>
      </c>
      <c r="F139" s="5" t="s">
        <v>1336</v>
      </c>
      <c r="G139" s="6" t="s">
        <v>682</v>
      </c>
      <c r="H139" s="6" t="s">
        <v>68</v>
      </c>
      <c r="I139" s="6" t="s">
        <v>1353</v>
      </c>
      <c r="J139" s="6">
        <v>15849</v>
      </c>
      <c r="K139" s="7" t="s">
        <v>8051</v>
      </c>
      <c r="L139" s="8">
        <v>23414</v>
      </c>
      <c r="M139" s="8" t="str">
        <f t="shared" si="15"/>
        <v>PEN</v>
      </c>
      <c r="N139" s="13"/>
      <c r="O139" s="13">
        <v>20</v>
      </c>
      <c r="P139" s="3">
        <f t="shared" si="12"/>
        <v>0</v>
      </c>
      <c r="Q139" s="3">
        <f t="shared" si="13"/>
        <v>20</v>
      </c>
      <c r="R139" s="3">
        <f t="shared" si="14"/>
        <v>88.700000000000045</v>
      </c>
      <c r="S139" s="24" t="s">
        <v>1334</v>
      </c>
      <c r="T139" s="24" t="s">
        <v>1334</v>
      </c>
      <c r="U139" s="3"/>
      <c r="V139" s="25" t="s">
        <v>7842</v>
      </c>
      <c r="W139" s="25">
        <v>20259858934</v>
      </c>
      <c r="X139" s="25" t="str">
        <f>IFERROR(VLOOKUP(C_Ope_002[[#This Row],[nota_2]],Clientes_Proveedores[[Ruc / Dni]:[Razon Social]],2,0),"")</f>
        <v>COMERCIALIZACION Y SERVICIOS EL EDEN S.A.C.</v>
      </c>
      <c r="Y139" s="25"/>
      <c r="Z139" s="103"/>
      <c r="AA139" s="3" t="str">
        <f>IF(C_Ope_002[[#This Row],[fecha]]&gt;0,TEXT(C_Ope_002[[#This Row],[fecha]],"mmmm"),0)</f>
        <v>Marzo</v>
      </c>
      <c r="AB139" s="49"/>
    </row>
    <row r="140" spans="1:28" ht="36" x14ac:dyDescent="0.3">
      <c r="A140" s="2">
        <f>IF(C_Ope_002[[#This Row],[tipo_r]]="R",COUNTIFS($C$1:$C139,"R")+1,"")</f>
        <v>139</v>
      </c>
      <c r="B140" s="19" t="str">
        <f t="shared" si="11"/>
        <v>C_Ope_002</v>
      </c>
      <c r="C140" s="3" t="s">
        <v>1330</v>
      </c>
      <c r="D140" s="14">
        <v>45727</v>
      </c>
      <c r="E140" s="5" t="s">
        <v>8005</v>
      </c>
      <c r="F140" s="5" t="s">
        <v>1336</v>
      </c>
      <c r="G140" s="6" t="s">
        <v>227</v>
      </c>
      <c r="H140" s="6" t="s">
        <v>68</v>
      </c>
      <c r="I140" s="6" t="s">
        <v>1390</v>
      </c>
      <c r="J140" s="6">
        <v>129204</v>
      </c>
      <c r="K140" s="7" t="s">
        <v>7765</v>
      </c>
      <c r="L140" s="8">
        <v>23415</v>
      </c>
      <c r="M140" s="8" t="str">
        <f t="shared" si="15"/>
        <v>PEN</v>
      </c>
      <c r="N140" s="13"/>
      <c r="O140" s="13">
        <v>10</v>
      </c>
      <c r="P140" s="3">
        <f t="shared" si="12"/>
        <v>0</v>
      </c>
      <c r="Q140" s="3">
        <f t="shared" si="13"/>
        <v>10</v>
      </c>
      <c r="R140" s="3">
        <f t="shared" si="14"/>
        <v>78.700000000000045</v>
      </c>
      <c r="S140" s="24" t="s">
        <v>1334</v>
      </c>
      <c r="T140" s="24" t="s">
        <v>1334</v>
      </c>
      <c r="U140" s="3"/>
      <c r="V140" s="25" t="s">
        <v>8072</v>
      </c>
      <c r="W140" s="25">
        <v>20124952850</v>
      </c>
      <c r="X140" s="25" t="str">
        <f>IFERROR(VLOOKUP(C_Ope_002[[#This Row],[nota_2]],Clientes_Proveedores[[Ruc / Dni]:[Razon Social]],2,0),"")</f>
        <v>ALIMENTOS Y SERVICIOS AGROPECUARIOS SRL.</v>
      </c>
      <c r="Y140" s="25"/>
      <c r="Z140" s="103"/>
      <c r="AA140" s="3" t="str">
        <f>IF(C_Ope_002[[#This Row],[fecha]]&gt;0,TEXT(C_Ope_002[[#This Row],[fecha]],"mmmm"),0)</f>
        <v>Marzo</v>
      </c>
      <c r="AB140" s="49"/>
    </row>
    <row r="141" spans="1:28" ht="36" x14ac:dyDescent="0.3">
      <c r="A141" s="2">
        <f>IF(C_Ope_002[[#This Row],[tipo_r]]="R",COUNTIFS($C$1:$C140,"R")+1,"")</f>
        <v>140</v>
      </c>
      <c r="B141" s="19" t="str">
        <f t="shared" si="11"/>
        <v>C_Ope_002</v>
      </c>
      <c r="C141" s="3" t="s">
        <v>1330</v>
      </c>
      <c r="D141" s="14">
        <v>45729</v>
      </c>
      <c r="E141" s="5" t="s">
        <v>8005</v>
      </c>
      <c r="F141" s="5" t="s">
        <v>1336</v>
      </c>
      <c r="G141" s="6" t="s">
        <v>227</v>
      </c>
      <c r="H141" s="6" t="s">
        <v>68</v>
      </c>
      <c r="I141" s="6" t="s">
        <v>1390</v>
      </c>
      <c r="J141" s="6">
        <v>129290</v>
      </c>
      <c r="K141" s="7" t="s">
        <v>8074</v>
      </c>
      <c r="L141" s="8">
        <v>23418</v>
      </c>
      <c r="M141" s="8" t="str">
        <f t="shared" si="15"/>
        <v>PEN</v>
      </c>
      <c r="N141" s="13"/>
      <c r="O141" s="13">
        <v>10</v>
      </c>
      <c r="P141" s="3">
        <f t="shared" si="12"/>
        <v>0</v>
      </c>
      <c r="Q141" s="3">
        <f t="shared" si="13"/>
        <v>10</v>
      </c>
      <c r="R141" s="3">
        <f t="shared" si="14"/>
        <v>68.700000000000045</v>
      </c>
      <c r="S141" s="24" t="s">
        <v>1334</v>
      </c>
      <c r="T141" s="24" t="s">
        <v>1334</v>
      </c>
      <c r="U141" s="3"/>
      <c r="V141" s="25" t="s">
        <v>7842</v>
      </c>
      <c r="W141" s="25">
        <v>20124952850</v>
      </c>
      <c r="X141" s="25" t="str">
        <f>IFERROR(VLOOKUP(C_Ope_002[[#This Row],[nota_2]],Clientes_Proveedores[[Ruc / Dni]:[Razon Social]],2,0),"")</f>
        <v>ALIMENTOS Y SERVICIOS AGROPECUARIOS SRL.</v>
      </c>
      <c r="Y141" s="25"/>
      <c r="Z141" s="103"/>
      <c r="AA141" s="3" t="str">
        <f>IF(C_Ope_002[[#This Row],[fecha]]&gt;0,TEXT(C_Ope_002[[#This Row],[fecha]],"mmmm"),0)</f>
        <v>Marzo</v>
      </c>
      <c r="AB141" s="49"/>
    </row>
    <row r="142" spans="1:28" ht="24" x14ac:dyDescent="0.3">
      <c r="A142" s="2">
        <f>IF(C_Ope_002[[#This Row],[tipo_r]]="R",COUNTIFS($C$1:$C141,"R")+1,"")</f>
        <v>141</v>
      </c>
      <c r="B142" s="19" t="str">
        <f t="shared" si="11"/>
        <v>C_Ope_002</v>
      </c>
      <c r="C142" s="3" t="s">
        <v>1330</v>
      </c>
      <c r="D142" s="14">
        <v>45749</v>
      </c>
      <c r="E142" s="5" t="s">
        <v>7514</v>
      </c>
      <c r="F142" s="5" t="s">
        <v>1303</v>
      </c>
      <c r="G142" s="6" t="s">
        <v>829</v>
      </c>
      <c r="H142" s="6"/>
      <c r="I142" s="6"/>
      <c r="J142" s="6"/>
      <c r="K142" s="7" t="s">
        <v>7516</v>
      </c>
      <c r="L142" s="8">
        <v>23840</v>
      </c>
      <c r="M142" s="8" t="str">
        <f t="shared" si="15"/>
        <v>PEN</v>
      </c>
      <c r="N142" s="13"/>
      <c r="O142" s="13">
        <v>130</v>
      </c>
      <c r="P142" s="3">
        <f t="shared" si="12"/>
        <v>130</v>
      </c>
      <c r="Q142" s="3">
        <f t="shared" si="13"/>
        <v>0</v>
      </c>
      <c r="R142" s="3">
        <f t="shared" si="14"/>
        <v>198.70000000000005</v>
      </c>
      <c r="S142" s="24" t="s">
        <v>1334</v>
      </c>
      <c r="T142" s="24" t="s">
        <v>1334</v>
      </c>
      <c r="U142" s="3"/>
      <c r="V142" s="25"/>
      <c r="W142" s="25"/>
      <c r="X142" s="25" t="str">
        <f>IFERROR(VLOOKUP(C_Ope_002[[#This Row],[nota_2]],Clientes_Proveedores[[Ruc / Dni]:[Razon Social]],2,0),"")</f>
        <v/>
      </c>
      <c r="Y142" s="25"/>
      <c r="Z142" s="103"/>
      <c r="AA142" s="3" t="str">
        <f>IF(C_Ope_002[[#This Row],[fecha]]&gt;0,TEXT(C_Ope_002[[#This Row],[fecha]],"mmmm"),0)</f>
        <v>Abril</v>
      </c>
      <c r="AB142" s="49"/>
    </row>
    <row r="143" spans="1:28" ht="24" x14ac:dyDescent="0.3">
      <c r="A143" s="2">
        <f>IF(C_Ope_002[[#This Row],[tipo_r]]="R",COUNTIFS($C$1:$C142,"R")+1,"")</f>
        <v>142</v>
      </c>
      <c r="B143" s="19" t="str">
        <f t="shared" si="11"/>
        <v>C_Ope_002</v>
      </c>
      <c r="C143" s="3" t="s">
        <v>1330</v>
      </c>
      <c r="D143" s="14">
        <v>45749</v>
      </c>
      <c r="E143" s="5" t="s">
        <v>8005</v>
      </c>
      <c r="F143" s="5" t="s">
        <v>1336</v>
      </c>
      <c r="G143" s="6" t="s">
        <v>978</v>
      </c>
      <c r="H143" s="6" t="s">
        <v>68</v>
      </c>
      <c r="I143" s="6" t="s">
        <v>6203</v>
      </c>
      <c r="J143" s="6">
        <v>2009188</v>
      </c>
      <c r="K143" s="7" t="s">
        <v>8075</v>
      </c>
      <c r="L143" s="8">
        <v>23759</v>
      </c>
      <c r="M143" s="8" t="str">
        <f t="shared" si="15"/>
        <v>PEN</v>
      </c>
      <c r="N143" s="13"/>
      <c r="O143" s="13">
        <v>8</v>
      </c>
      <c r="P143" s="3">
        <f t="shared" si="12"/>
        <v>0</v>
      </c>
      <c r="Q143" s="3">
        <f t="shared" si="13"/>
        <v>8</v>
      </c>
      <c r="R143" s="3">
        <f t="shared" si="14"/>
        <v>190.70000000000005</v>
      </c>
      <c r="S143" s="24" t="s">
        <v>1334</v>
      </c>
      <c r="T143" s="24" t="s">
        <v>1334</v>
      </c>
      <c r="U143" s="3"/>
      <c r="V143" s="25" t="s">
        <v>7842</v>
      </c>
      <c r="W143" s="25">
        <v>20517252558</v>
      </c>
      <c r="X143" s="25" t="str">
        <f>IFERROR(VLOOKUP(C_Ope_002[[#This Row],[nota_2]],Clientes_Proveedores[[Ruc / Dni]:[Razon Social]],2,0),"")</f>
        <v>COVISUR S.A.</v>
      </c>
      <c r="Y143" s="25"/>
      <c r="Z143" s="103"/>
      <c r="AA143" s="3" t="str">
        <f>IF(C_Ope_002[[#This Row],[fecha]]&gt;0,TEXT(C_Ope_002[[#This Row],[fecha]],"mmmm"),0)</f>
        <v>Abril</v>
      </c>
      <c r="AB143" s="49"/>
    </row>
    <row r="144" spans="1:28" ht="24" x14ac:dyDescent="0.3">
      <c r="A144" s="2">
        <f>IF(C_Ope_002[[#This Row],[tipo_r]]="R",COUNTIFS($C$1:$C143,"R")+1,"")</f>
        <v>143</v>
      </c>
      <c r="B144" s="19" t="str">
        <f t="shared" si="11"/>
        <v>C_Ope_002</v>
      </c>
      <c r="C144" s="3" t="s">
        <v>1330</v>
      </c>
      <c r="D144" s="14">
        <v>45757</v>
      </c>
      <c r="E144" s="5" t="s">
        <v>8005</v>
      </c>
      <c r="F144" s="5" t="s">
        <v>1336</v>
      </c>
      <c r="G144" s="6" t="s">
        <v>978</v>
      </c>
      <c r="H144" s="6" t="s">
        <v>68</v>
      </c>
      <c r="I144" s="6" t="s">
        <v>5688</v>
      </c>
      <c r="J144" s="6">
        <v>2294526</v>
      </c>
      <c r="K144" s="7" t="s">
        <v>8007</v>
      </c>
      <c r="L144" s="8">
        <v>23894</v>
      </c>
      <c r="M144" s="8" t="str">
        <f t="shared" si="15"/>
        <v>PEN</v>
      </c>
      <c r="N144" s="13"/>
      <c r="O144" s="13">
        <v>8</v>
      </c>
      <c r="P144" s="3">
        <f t="shared" si="12"/>
        <v>0</v>
      </c>
      <c r="Q144" s="3">
        <f t="shared" si="13"/>
        <v>8</v>
      </c>
      <c r="R144" s="3">
        <f t="shared" si="14"/>
        <v>182.70000000000005</v>
      </c>
      <c r="S144" s="24" t="s">
        <v>1334</v>
      </c>
      <c r="T144" s="24" t="s">
        <v>1334</v>
      </c>
      <c r="U144" s="3"/>
      <c r="V144" s="25" t="s">
        <v>7842</v>
      </c>
      <c r="W144" s="25">
        <v>20517252558</v>
      </c>
      <c r="X144" s="25" t="str">
        <f>IFERROR(VLOOKUP(C_Ope_002[[#This Row],[nota_2]],Clientes_Proveedores[[Ruc / Dni]:[Razon Social]],2,0),"")</f>
        <v>COVISUR S.A.</v>
      </c>
      <c r="Y144" s="25"/>
      <c r="Z144" s="103"/>
      <c r="AA144" s="3" t="str">
        <f>IF(C_Ope_002[[#This Row],[fecha]]&gt;0,TEXT(C_Ope_002[[#This Row],[fecha]],"mmmm"),0)</f>
        <v>Abril</v>
      </c>
      <c r="AB144" s="49"/>
    </row>
    <row r="145" spans="1:28" ht="24" x14ac:dyDescent="0.3">
      <c r="A145" s="2">
        <f>IF(C_Ope_002[[#This Row],[tipo_r]]="R",COUNTIFS($C$1:$C144,"R")+1,"")</f>
        <v>144</v>
      </c>
      <c r="B145" s="19" t="str">
        <f t="shared" si="11"/>
        <v>C_Ope_002</v>
      </c>
      <c r="C145" s="3" t="s">
        <v>1330</v>
      </c>
      <c r="D145" s="14">
        <v>45757</v>
      </c>
      <c r="E145" s="5" t="s">
        <v>8005</v>
      </c>
      <c r="F145" s="5" t="s">
        <v>1336</v>
      </c>
      <c r="G145" s="6" t="s">
        <v>978</v>
      </c>
      <c r="H145" s="6" t="s">
        <v>68</v>
      </c>
      <c r="I145" s="6" t="s">
        <v>6203</v>
      </c>
      <c r="J145" s="6">
        <v>2016901</v>
      </c>
      <c r="K145" s="7" t="s">
        <v>8007</v>
      </c>
      <c r="L145" s="8">
        <v>23895</v>
      </c>
      <c r="M145" s="8" t="str">
        <f t="shared" si="15"/>
        <v>PEN</v>
      </c>
      <c r="N145" s="13"/>
      <c r="O145" s="13">
        <v>8</v>
      </c>
      <c r="P145" s="3">
        <f t="shared" si="12"/>
        <v>0</v>
      </c>
      <c r="Q145" s="3">
        <f t="shared" si="13"/>
        <v>8</v>
      </c>
      <c r="R145" s="3">
        <f t="shared" si="14"/>
        <v>174.70000000000005</v>
      </c>
      <c r="S145" s="24" t="s">
        <v>1334</v>
      </c>
      <c r="T145" s="24" t="s">
        <v>1334</v>
      </c>
      <c r="U145" s="3"/>
      <c r="V145" s="25" t="s">
        <v>7842</v>
      </c>
      <c r="W145" s="25">
        <v>20517252558</v>
      </c>
      <c r="X145" s="25" t="str">
        <f>IFERROR(VLOOKUP(C_Ope_002[[#This Row],[nota_2]],Clientes_Proveedores[[Ruc / Dni]:[Razon Social]],2,0),"")</f>
        <v>COVISUR S.A.</v>
      </c>
      <c r="Y145" s="25"/>
      <c r="Z145" s="103"/>
      <c r="AA145" s="3" t="str">
        <f>IF(C_Ope_002[[#This Row],[fecha]]&gt;0,TEXT(C_Ope_002[[#This Row],[fecha]],"mmmm"),0)</f>
        <v>Abril</v>
      </c>
      <c r="AB145" s="49"/>
    </row>
    <row r="146" spans="1:28" ht="24" x14ac:dyDescent="0.3">
      <c r="A146" s="2">
        <f>IF(C_Ope_002[[#This Row],[tipo_r]]="R",COUNTIFS($C$1:$C145,"R")+1,"")</f>
        <v>145</v>
      </c>
      <c r="B146" s="19" t="str">
        <f t="shared" si="11"/>
        <v>C_Ope_002</v>
      </c>
      <c r="C146" s="3" t="s">
        <v>1330</v>
      </c>
      <c r="D146" s="14">
        <v>45758</v>
      </c>
      <c r="E146" s="5" t="s">
        <v>8005</v>
      </c>
      <c r="F146" s="5" t="s">
        <v>1336</v>
      </c>
      <c r="G146" s="6" t="s">
        <v>978</v>
      </c>
      <c r="H146" s="6" t="s">
        <v>68</v>
      </c>
      <c r="I146" s="6" t="s">
        <v>5688</v>
      </c>
      <c r="J146" s="6">
        <v>2295620</v>
      </c>
      <c r="K146" s="7" t="s">
        <v>8076</v>
      </c>
      <c r="L146" s="8">
        <v>23896</v>
      </c>
      <c r="M146" s="8" t="str">
        <f t="shared" si="15"/>
        <v>PEN</v>
      </c>
      <c r="N146" s="13"/>
      <c r="O146" s="13">
        <v>8</v>
      </c>
      <c r="P146" s="3">
        <f t="shared" si="12"/>
        <v>0</v>
      </c>
      <c r="Q146" s="3">
        <f t="shared" si="13"/>
        <v>8</v>
      </c>
      <c r="R146" s="3">
        <f t="shared" si="14"/>
        <v>166.70000000000005</v>
      </c>
      <c r="S146" s="24" t="s">
        <v>1334</v>
      </c>
      <c r="T146" s="24" t="s">
        <v>1334</v>
      </c>
      <c r="U146" s="3"/>
      <c r="V146" s="25" t="s">
        <v>7842</v>
      </c>
      <c r="W146" s="25">
        <v>20517252558</v>
      </c>
      <c r="X146" s="25" t="str">
        <f>IFERROR(VLOOKUP(C_Ope_002[[#This Row],[nota_2]],Clientes_Proveedores[[Ruc / Dni]:[Razon Social]],2,0),"")</f>
        <v>COVISUR S.A.</v>
      </c>
      <c r="Y146" s="25"/>
      <c r="Z146" s="103"/>
      <c r="AA146" s="3" t="str">
        <f>IF(C_Ope_002[[#This Row],[fecha]]&gt;0,TEXT(C_Ope_002[[#This Row],[fecha]],"mmmm"),0)</f>
        <v>Abril</v>
      </c>
      <c r="AB146" s="49"/>
    </row>
    <row r="147" spans="1:28" ht="24" x14ac:dyDescent="0.3">
      <c r="A147" s="2">
        <f>IF(C_Ope_002[[#This Row],[tipo_r]]="R",COUNTIFS($C$1:$C146,"R")+1,"")</f>
        <v>146</v>
      </c>
      <c r="B147" s="19" t="str">
        <f t="shared" si="11"/>
        <v>C_Ope_002</v>
      </c>
      <c r="C147" s="3" t="s">
        <v>1330</v>
      </c>
      <c r="D147" s="14">
        <v>45758</v>
      </c>
      <c r="E147" s="5" t="s">
        <v>8005</v>
      </c>
      <c r="F147" s="5" t="s">
        <v>1336</v>
      </c>
      <c r="G147" s="6" t="s">
        <v>978</v>
      </c>
      <c r="H147" s="6" t="s">
        <v>68</v>
      </c>
      <c r="I147" s="6" t="s">
        <v>5845</v>
      </c>
      <c r="J147" s="6">
        <v>1722985</v>
      </c>
      <c r="K147" s="7" t="s">
        <v>8076</v>
      </c>
      <c r="L147" s="8">
        <v>23897</v>
      </c>
      <c r="M147" s="8" t="str">
        <f t="shared" si="15"/>
        <v>PEN</v>
      </c>
      <c r="N147" s="13"/>
      <c r="O147" s="13">
        <v>8</v>
      </c>
      <c r="P147" s="3">
        <f t="shared" si="12"/>
        <v>0</v>
      </c>
      <c r="Q147" s="3">
        <f t="shared" si="13"/>
        <v>8</v>
      </c>
      <c r="R147" s="3">
        <f t="shared" si="14"/>
        <v>158.70000000000005</v>
      </c>
      <c r="S147" s="24" t="s">
        <v>1334</v>
      </c>
      <c r="T147" s="24" t="s">
        <v>1334</v>
      </c>
      <c r="U147" s="3"/>
      <c r="V147" s="25" t="s">
        <v>7842</v>
      </c>
      <c r="W147" s="25">
        <v>20517252558</v>
      </c>
      <c r="X147" s="25" t="str">
        <f>IFERROR(VLOOKUP(C_Ope_002[[#This Row],[nota_2]],Clientes_Proveedores[[Ruc / Dni]:[Razon Social]],2,0),"")</f>
        <v>COVISUR S.A.</v>
      </c>
      <c r="Y147" s="25"/>
      <c r="Z147" s="103"/>
      <c r="AA147" s="3" t="str">
        <f>IF(C_Ope_002[[#This Row],[fecha]]&gt;0,TEXT(C_Ope_002[[#This Row],[fecha]],"mmmm"),0)</f>
        <v>Abril</v>
      </c>
      <c r="AB147" s="49"/>
    </row>
    <row r="148" spans="1:28" ht="36" x14ac:dyDescent="0.3">
      <c r="A148" s="2">
        <f>IF(C_Ope_002[[#This Row],[tipo_r]]="R",COUNTIFS($C$1:$C147,"R")+1,"")</f>
        <v>147</v>
      </c>
      <c r="B148" s="19" t="str">
        <f t="shared" si="11"/>
        <v>C_Ope_002</v>
      </c>
      <c r="C148" s="3" t="s">
        <v>1330</v>
      </c>
      <c r="D148" s="14">
        <v>45768</v>
      </c>
      <c r="E148" s="5" t="s">
        <v>8005</v>
      </c>
      <c r="F148" s="5" t="s">
        <v>1336</v>
      </c>
      <c r="G148" s="6" t="s">
        <v>978</v>
      </c>
      <c r="H148" s="6" t="s">
        <v>68</v>
      </c>
      <c r="I148" s="6" t="s">
        <v>6203</v>
      </c>
      <c r="J148" s="6">
        <v>2027804</v>
      </c>
      <c r="K148" s="7" t="s">
        <v>8077</v>
      </c>
      <c r="L148" s="8">
        <v>24017</v>
      </c>
      <c r="M148" s="8" t="str">
        <f t="shared" si="15"/>
        <v>PEN</v>
      </c>
      <c r="N148" s="13"/>
      <c r="O148" s="13">
        <v>8</v>
      </c>
      <c r="P148" s="3">
        <f t="shared" si="12"/>
        <v>0</v>
      </c>
      <c r="Q148" s="3">
        <f t="shared" si="13"/>
        <v>8</v>
      </c>
      <c r="R148" s="3">
        <f t="shared" si="14"/>
        <v>150.70000000000005</v>
      </c>
      <c r="S148" s="24" t="s">
        <v>1334</v>
      </c>
      <c r="T148" s="24" t="s">
        <v>1334</v>
      </c>
      <c r="U148" s="3"/>
      <c r="V148" s="25" t="s">
        <v>7842</v>
      </c>
      <c r="W148" s="25">
        <v>20517252558</v>
      </c>
      <c r="X148" s="25" t="str">
        <f>IFERROR(VLOOKUP(C_Ope_002[[#This Row],[nota_2]],Clientes_Proveedores[[Ruc / Dni]:[Razon Social]],2,0),"")</f>
        <v>COVISUR S.A.</v>
      </c>
      <c r="Y148" s="25"/>
      <c r="Z148" s="103"/>
      <c r="AA148" s="3" t="str">
        <f>IF(C_Ope_002[[#This Row],[fecha]]&gt;0,TEXT(C_Ope_002[[#This Row],[fecha]],"mmmm"),0)</f>
        <v>Abril</v>
      </c>
      <c r="AB148" s="49"/>
    </row>
    <row r="149" spans="1:28" ht="36" x14ac:dyDescent="0.3">
      <c r="A149" s="2">
        <f>IF(C_Ope_002[[#This Row],[tipo_r]]="R",COUNTIFS($C$1:$C148,"R")+1,"")</f>
        <v>148</v>
      </c>
      <c r="B149" s="19" t="str">
        <f t="shared" si="11"/>
        <v>C_Ope_002</v>
      </c>
      <c r="C149" s="3" t="s">
        <v>1330</v>
      </c>
      <c r="D149" s="14">
        <v>45768</v>
      </c>
      <c r="E149" s="5" t="s">
        <v>8005</v>
      </c>
      <c r="F149" s="5" t="s">
        <v>1336</v>
      </c>
      <c r="G149" s="6" t="s">
        <v>978</v>
      </c>
      <c r="H149" s="6" t="s">
        <v>68</v>
      </c>
      <c r="I149" s="6" t="s">
        <v>5688</v>
      </c>
      <c r="J149" s="6">
        <v>2306049</v>
      </c>
      <c r="K149" s="7" t="s">
        <v>8077</v>
      </c>
      <c r="L149" s="8">
        <v>24018</v>
      </c>
      <c r="M149" s="8" t="str">
        <f t="shared" si="15"/>
        <v>PEN</v>
      </c>
      <c r="N149" s="13"/>
      <c r="O149" s="13">
        <v>8</v>
      </c>
      <c r="P149" s="3">
        <f t="shared" si="12"/>
        <v>0</v>
      </c>
      <c r="Q149" s="3">
        <f t="shared" si="13"/>
        <v>8</v>
      </c>
      <c r="R149" s="3">
        <f t="shared" si="14"/>
        <v>142.70000000000005</v>
      </c>
      <c r="S149" s="24" t="s">
        <v>1334</v>
      </c>
      <c r="T149" s="24" t="s">
        <v>1334</v>
      </c>
      <c r="U149" s="3"/>
      <c r="V149" s="25" t="s">
        <v>7842</v>
      </c>
      <c r="W149" s="25">
        <v>20517252558</v>
      </c>
      <c r="X149" s="25" t="str">
        <f>IFERROR(VLOOKUP(C_Ope_002[[#This Row],[nota_2]],Clientes_Proveedores[[Ruc / Dni]:[Razon Social]],2,0),"")</f>
        <v>COVISUR S.A.</v>
      </c>
      <c r="Y149" s="25"/>
      <c r="Z149" s="103"/>
      <c r="AA149" s="3" t="str">
        <f>IF(C_Ope_002[[#This Row],[fecha]]&gt;0,TEXT(C_Ope_002[[#This Row],[fecha]],"mmmm"),0)</f>
        <v>Abril</v>
      </c>
      <c r="AB149" s="49"/>
    </row>
    <row r="150" spans="1:28" ht="24" x14ac:dyDescent="0.3">
      <c r="A150" s="2">
        <f>IF(C_Ope_002[[#This Row],[tipo_r]]="R",COUNTIFS($C$1:$C149,"R")+1,"")</f>
        <v>149</v>
      </c>
      <c r="B150" s="19" t="str">
        <f t="shared" si="11"/>
        <v>C_Ope_002</v>
      </c>
      <c r="C150" s="3" t="s">
        <v>1330</v>
      </c>
      <c r="D150" s="14">
        <v>45775</v>
      </c>
      <c r="E150" s="5" t="s">
        <v>7514</v>
      </c>
      <c r="F150" s="5" t="s">
        <v>1303</v>
      </c>
      <c r="G150" s="6" t="s">
        <v>829</v>
      </c>
      <c r="H150" s="6"/>
      <c r="I150" s="6"/>
      <c r="J150" s="6"/>
      <c r="K150" s="7" t="s">
        <v>7516</v>
      </c>
      <c r="L150" s="8">
        <v>24048</v>
      </c>
      <c r="M150" s="8" t="str">
        <f t="shared" si="15"/>
        <v>PEN</v>
      </c>
      <c r="N150" s="13"/>
      <c r="O150" s="13">
        <v>40</v>
      </c>
      <c r="P150" s="3">
        <f t="shared" si="12"/>
        <v>40</v>
      </c>
      <c r="Q150" s="3">
        <f t="shared" si="13"/>
        <v>0</v>
      </c>
      <c r="R150" s="3">
        <f t="shared" si="14"/>
        <v>182.70000000000005</v>
      </c>
      <c r="S150" s="24" t="s">
        <v>1334</v>
      </c>
      <c r="T150" s="24" t="s">
        <v>1334</v>
      </c>
      <c r="U150" s="3"/>
      <c r="V150" s="25"/>
      <c r="W150" s="25"/>
      <c r="X150" s="25" t="str">
        <f>IFERROR(VLOOKUP(C_Ope_002[[#This Row],[nota_2]],Clientes_Proveedores[[Ruc / Dni]:[Razon Social]],2,0),"")</f>
        <v/>
      </c>
      <c r="Y150" s="25"/>
      <c r="Z150" s="103"/>
      <c r="AA150" s="3" t="str">
        <f>IF(C_Ope_002[[#This Row],[fecha]]&gt;0,TEXT(C_Ope_002[[#This Row],[fecha]],"mmmm"),0)</f>
        <v>Abril</v>
      </c>
      <c r="AB150" s="49"/>
    </row>
    <row r="151" spans="1:28" ht="24" x14ac:dyDescent="0.3">
      <c r="A151" s="2">
        <f>IF(C_Ope_002[[#This Row],[tipo_r]]="R",COUNTIFS($C$1:$C150,"R")+1,"")</f>
        <v>150</v>
      </c>
      <c r="B151" s="19" t="str">
        <f t="shared" si="11"/>
        <v>C_Ope_002</v>
      </c>
      <c r="C151" s="3" t="s">
        <v>1330</v>
      </c>
      <c r="D151" s="14">
        <v>45777</v>
      </c>
      <c r="E151" s="5" t="s">
        <v>7514</v>
      </c>
      <c r="F151" s="5" t="s">
        <v>1303</v>
      </c>
      <c r="G151" s="6" t="s">
        <v>829</v>
      </c>
      <c r="H151" s="6"/>
      <c r="I151" s="6"/>
      <c r="J151" s="6"/>
      <c r="K151" s="7" t="s">
        <v>7516</v>
      </c>
      <c r="L151" s="8">
        <v>24124</v>
      </c>
      <c r="M151" s="8" t="str">
        <f t="shared" si="15"/>
        <v>PEN</v>
      </c>
      <c r="N151" s="13"/>
      <c r="O151" s="13">
        <v>400</v>
      </c>
      <c r="P151" s="3">
        <f t="shared" si="12"/>
        <v>400</v>
      </c>
      <c r="Q151" s="3">
        <f t="shared" si="13"/>
        <v>0</v>
      </c>
      <c r="R151" s="3">
        <f t="shared" si="14"/>
        <v>582.70000000000005</v>
      </c>
      <c r="S151" s="24" t="s">
        <v>1334</v>
      </c>
      <c r="T151" s="24" t="s">
        <v>1334</v>
      </c>
      <c r="U151" s="3"/>
      <c r="V151" s="25"/>
      <c r="W151" s="25"/>
      <c r="X151" s="25" t="str">
        <f>IFERROR(VLOOKUP(C_Ope_002[[#This Row],[nota_2]],Clientes_Proveedores[[Ruc / Dni]:[Razon Social]],2,0),"")</f>
        <v/>
      </c>
      <c r="Y151" s="25"/>
      <c r="Z151" s="103"/>
      <c r="AA151" s="3" t="str">
        <f>IF(C_Ope_002[[#This Row],[fecha]]&gt;0,TEXT(C_Ope_002[[#This Row],[fecha]],"mmmm"),0)</f>
        <v>Abril</v>
      </c>
      <c r="AB151" s="49"/>
    </row>
    <row r="152" spans="1:28" x14ac:dyDescent="0.3">
      <c r="A152" s="2">
        <f>IF(C_Ope_002[[#This Row],[tipo_r]]="R",COUNTIFS($C$1:$C151,"R")+1,"")</f>
        <v>151</v>
      </c>
      <c r="B152" s="19" t="str">
        <f t="shared" si="11"/>
        <v>C_Ope_002</v>
      </c>
      <c r="C152" s="3" t="s">
        <v>1330</v>
      </c>
      <c r="D152" s="14">
        <v>45775</v>
      </c>
      <c r="E152" s="5" t="s">
        <v>8005</v>
      </c>
      <c r="F152" s="5" t="s">
        <v>1336</v>
      </c>
      <c r="G152" s="6" t="s">
        <v>978</v>
      </c>
      <c r="H152" s="6" t="s">
        <v>68</v>
      </c>
      <c r="I152" s="6" t="s">
        <v>6203</v>
      </c>
      <c r="J152" s="6">
        <v>2034471</v>
      </c>
      <c r="K152" s="7" t="s">
        <v>8062</v>
      </c>
      <c r="L152" s="8">
        <v>24019</v>
      </c>
      <c r="M152" s="8" t="str">
        <f t="shared" si="15"/>
        <v>PEN</v>
      </c>
      <c r="N152" s="13"/>
      <c r="O152" s="13">
        <v>8</v>
      </c>
      <c r="P152" s="3">
        <f t="shared" si="12"/>
        <v>0</v>
      </c>
      <c r="Q152" s="3">
        <f t="shared" si="13"/>
        <v>8</v>
      </c>
      <c r="R152" s="3">
        <f t="shared" si="14"/>
        <v>574.70000000000005</v>
      </c>
      <c r="S152" s="24" t="s">
        <v>1334</v>
      </c>
      <c r="T152" s="24" t="s">
        <v>1334</v>
      </c>
      <c r="U152" s="3"/>
      <c r="V152" s="25" t="s">
        <v>7842</v>
      </c>
      <c r="W152" s="25">
        <v>20517252558</v>
      </c>
      <c r="X152" s="25" t="str">
        <f>IFERROR(VLOOKUP(C_Ope_002[[#This Row],[nota_2]],Clientes_Proveedores[[Ruc / Dni]:[Razon Social]],2,0),"")</f>
        <v>COVISUR S.A.</v>
      </c>
      <c r="Y152" s="25"/>
      <c r="Z152" s="103"/>
      <c r="AA152" s="3" t="str">
        <f>IF(C_Ope_002[[#This Row],[fecha]]&gt;0,TEXT(C_Ope_002[[#This Row],[fecha]],"mmmm"),0)</f>
        <v>Abril</v>
      </c>
      <c r="AB152" s="49"/>
    </row>
    <row r="153" spans="1:28" x14ac:dyDescent="0.3">
      <c r="A153" s="2">
        <f>IF(C_Ope_002[[#This Row],[tipo_r]]="R",COUNTIFS($C$1:$C152,"R")+1,"")</f>
        <v>152</v>
      </c>
      <c r="B153" s="19" t="str">
        <f t="shared" si="11"/>
        <v>C_Ope_002</v>
      </c>
      <c r="C153" s="3" t="s">
        <v>1330</v>
      </c>
      <c r="D153" s="14">
        <v>45775</v>
      </c>
      <c r="E153" s="5" t="s">
        <v>8005</v>
      </c>
      <c r="F153" s="5" t="s">
        <v>1336</v>
      </c>
      <c r="G153" s="6" t="s">
        <v>978</v>
      </c>
      <c r="H153" s="6" t="s">
        <v>68</v>
      </c>
      <c r="I153" s="6" t="s">
        <v>6204</v>
      </c>
      <c r="J153" s="6">
        <v>1716778</v>
      </c>
      <c r="K153" s="7" t="s">
        <v>8062</v>
      </c>
      <c r="L153" s="8">
        <v>24020</v>
      </c>
      <c r="M153" s="8" t="str">
        <f t="shared" si="15"/>
        <v>PEN</v>
      </c>
      <c r="N153" s="13"/>
      <c r="O153" s="13">
        <v>8</v>
      </c>
      <c r="P153" s="3">
        <f t="shared" si="12"/>
        <v>0</v>
      </c>
      <c r="Q153" s="3">
        <f t="shared" si="13"/>
        <v>8</v>
      </c>
      <c r="R153" s="3">
        <f t="shared" si="14"/>
        <v>566.70000000000005</v>
      </c>
      <c r="S153" s="24" t="s">
        <v>1334</v>
      </c>
      <c r="T153" s="24" t="s">
        <v>1334</v>
      </c>
      <c r="U153" s="3"/>
      <c r="V153" s="25" t="s">
        <v>7842</v>
      </c>
      <c r="W153" s="25">
        <v>20517252558</v>
      </c>
      <c r="X153" s="25" t="str">
        <f>IFERROR(VLOOKUP(C_Ope_002[[#This Row],[nota_2]],Clientes_Proveedores[[Ruc / Dni]:[Razon Social]],2,0),"")</f>
        <v>COVISUR S.A.</v>
      </c>
      <c r="Y153" s="25"/>
      <c r="Z153" s="103"/>
      <c r="AA153" s="3" t="str">
        <f>IF(C_Ope_002[[#This Row],[fecha]]&gt;0,TEXT(C_Ope_002[[#This Row],[fecha]],"mmmm"),0)</f>
        <v>Abril</v>
      </c>
      <c r="AB153" s="49"/>
    </row>
    <row r="154" spans="1:28" ht="24" x14ac:dyDescent="0.3">
      <c r="A154" s="2">
        <f>IF(C_Ope_002[[#This Row],[tipo_r]]="R",COUNTIFS($C$1:$C153,"R")+1,"")</f>
        <v>153</v>
      </c>
      <c r="B154" s="19" t="str">
        <f t="shared" si="11"/>
        <v>C_Ope_002</v>
      </c>
      <c r="C154" s="3" t="s">
        <v>1330</v>
      </c>
      <c r="D154" s="14">
        <v>45776</v>
      </c>
      <c r="E154" s="5" t="s">
        <v>8005</v>
      </c>
      <c r="F154" s="5" t="s">
        <v>1336</v>
      </c>
      <c r="G154" s="6" t="s">
        <v>978</v>
      </c>
      <c r="H154" s="6" t="s">
        <v>68</v>
      </c>
      <c r="I154" s="6" t="s">
        <v>5688</v>
      </c>
      <c r="J154" s="6">
        <v>2315234</v>
      </c>
      <c r="K154" s="7" t="s">
        <v>8078</v>
      </c>
      <c r="L154" s="8">
        <v>24106</v>
      </c>
      <c r="M154" s="8" t="str">
        <f t="shared" si="15"/>
        <v>PEN</v>
      </c>
      <c r="N154" s="13"/>
      <c r="O154" s="13">
        <v>8</v>
      </c>
      <c r="P154" s="3">
        <f t="shared" si="12"/>
        <v>0</v>
      </c>
      <c r="Q154" s="3">
        <f t="shared" si="13"/>
        <v>8</v>
      </c>
      <c r="R154" s="3">
        <f t="shared" si="14"/>
        <v>558.70000000000005</v>
      </c>
      <c r="S154" s="24" t="s">
        <v>1334</v>
      </c>
      <c r="T154" s="24" t="s">
        <v>1334</v>
      </c>
      <c r="U154" s="3"/>
      <c r="V154" s="25" t="s">
        <v>7842</v>
      </c>
      <c r="W154" s="25">
        <v>20517252558</v>
      </c>
      <c r="X154" s="25" t="str">
        <f>IFERROR(VLOOKUP(C_Ope_002[[#This Row],[nota_2]],Clientes_Proveedores[[Ruc / Dni]:[Razon Social]],2,0),"")</f>
        <v>COVISUR S.A.</v>
      </c>
      <c r="Y154" s="25"/>
      <c r="Z154" s="103"/>
      <c r="AA154" s="3" t="str">
        <f>IF(C_Ope_002[[#This Row],[fecha]]&gt;0,TEXT(C_Ope_002[[#This Row],[fecha]],"mmmm"),0)</f>
        <v>Abril</v>
      </c>
      <c r="AB154" s="49"/>
    </row>
    <row r="155" spans="1:28" ht="36" x14ac:dyDescent="0.3">
      <c r="A155" s="2">
        <f>IF(C_Ope_002[[#This Row],[tipo_r]]="R",COUNTIFS($C$1:$C154,"R")+1,"")</f>
        <v>154</v>
      </c>
      <c r="B155" s="19" t="str">
        <f t="shared" si="11"/>
        <v>C_Ope_002</v>
      </c>
      <c r="C155" s="3" t="s">
        <v>1330</v>
      </c>
      <c r="D155" s="14">
        <v>45777</v>
      </c>
      <c r="E155" s="5" t="s">
        <v>8005</v>
      </c>
      <c r="F155" s="5" t="s">
        <v>1336</v>
      </c>
      <c r="G155" s="6" t="s">
        <v>978</v>
      </c>
      <c r="H155" s="6" t="s">
        <v>68</v>
      </c>
      <c r="I155" s="6" t="s">
        <v>5688</v>
      </c>
      <c r="J155" s="6">
        <v>2316097</v>
      </c>
      <c r="K155" s="7" t="s">
        <v>8079</v>
      </c>
      <c r="L155" s="8">
        <v>24107</v>
      </c>
      <c r="M155" s="8" t="str">
        <f t="shared" si="15"/>
        <v>PEN</v>
      </c>
      <c r="N155" s="13"/>
      <c r="O155" s="13">
        <v>8</v>
      </c>
      <c r="P155" s="3">
        <f t="shared" si="12"/>
        <v>0</v>
      </c>
      <c r="Q155" s="3">
        <f t="shared" si="13"/>
        <v>8</v>
      </c>
      <c r="R155" s="3">
        <f t="shared" si="14"/>
        <v>550.70000000000005</v>
      </c>
      <c r="S155" s="24" t="s">
        <v>1334</v>
      </c>
      <c r="T155" s="24" t="s">
        <v>1334</v>
      </c>
      <c r="U155" s="3"/>
      <c r="V155" s="25" t="s">
        <v>7842</v>
      </c>
      <c r="W155" s="25">
        <v>20517252558</v>
      </c>
      <c r="X155" s="25" t="str">
        <f>IFERROR(VLOOKUP(C_Ope_002[[#This Row],[nota_2]],Clientes_Proveedores[[Ruc / Dni]:[Razon Social]],2,0),"")</f>
        <v>COVISUR S.A.</v>
      </c>
      <c r="Y155" s="25"/>
      <c r="Z155" s="103"/>
      <c r="AA155" s="3" t="str">
        <f>IF(C_Ope_002[[#This Row],[fecha]]&gt;0,TEXT(C_Ope_002[[#This Row],[fecha]],"mmmm"),0)</f>
        <v>Abril</v>
      </c>
      <c r="AB155" s="49"/>
    </row>
    <row r="156" spans="1:28" ht="36" x14ac:dyDescent="0.3">
      <c r="A156" s="2">
        <f>IF(C_Ope_002[[#This Row],[tipo_r]]="R",COUNTIFS($C$1:$C155,"R")+1,"")</f>
        <v>155</v>
      </c>
      <c r="B156" s="19" t="str">
        <f t="shared" si="11"/>
        <v>C_Ope_002</v>
      </c>
      <c r="C156" s="3" t="s">
        <v>1330</v>
      </c>
      <c r="D156" s="14">
        <v>45777</v>
      </c>
      <c r="E156" s="5" t="s">
        <v>8005</v>
      </c>
      <c r="F156" s="5" t="s">
        <v>1336</v>
      </c>
      <c r="G156" s="6" t="s">
        <v>978</v>
      </c>
      <c r="H156" s="6" t="s">
        <v>68</v>
      </c>
      <c r="I156" s="6" t="s">
        <v>6203</v>
      </c>
      <c r="J156" s="6">
        <v>2036798</v>
      </c>
      <c r="K156" s="7" t="s">
        <v>8079</v>
      </c>
      <c r="L156" s="8">
        <v>24108</v>
      </c>
      <c r="M156" s="8" t="str">
        <f t="shared" si="15"/>
        <v>PEN</v>
      </c>
      <c r="N156" s="13"/>
      <c r="O156" s="13">
        <v>8</v>
      </c>
      <c r="P156" s="3">
        <f t="shared" si="12"/>
        <v>0</v>
      </c>
      <c r="Q156" s="3">
        <f t="shared" si="13"/>
        <v>8</v>
      </c>
      <c r="R156" s="3">
        <f t="shared" si="14"/>
        <v>542.70000000000005</v>
      </c>
      <c r="S156" s="24" t="s">
        <v>1334</v>
      </c>
      <c r="T156" s="24" t="s">
        <v>1334</v>
      </c>
      <c r="U156" s="3"/>
      <c r="V156" s="25" t="s">
        <v>7842</v>
      </c>
      <c r="W156" s="25">
        <v>20517252558</v>
      </c>
      <c r="X156" s="25" t="str">
        <f>IFERROR(VLOOKUP(C_Ope_002[[#This Row],[nota_2]],Clientes_Proveedores[[Ruc / Dni]:[Razon Social]],2,0),"")</f>
        <v>COVISUR S.A.</v>
      </c>
      <c r="Y156" s="25"/>
      <c r="Z156" s="103"/>
      <c r="AA156" s="3" t="str">
        <f>IF(C_Ope_002[[#This Row],[fecha]]&gt;0,TEXT(C_Ope_002[[#This Row],[fecha]],"mmmm"),0)</f>
        <v>Abril</v>
      </c>
      <c r="AB156" s="49"/>
    </row>
    <row r="157" spans="1:28" ht="24" x14ac:dyDescent="0.3">
      <c r="A157" s="2">
        <f>IF(C_Ope_002[[#This Row],[tipo_r]]="R",COUNTIFS($C$1:$C156,"R")+1,"")</f>
        <v>156</v>
      </c>
      <c r="B157" s="19" t="str">
        <f t="shared" si="11"/>
        <v>C_Ope_002</v>
      </c>
      <c r="C157" s="3" t="s">
        <v>1330</v>
      </c>
      <c r="D157" s="14">
        <v>45779</v>
      </c>
      <c r="E157" s="5" t="s">
        <v>8005</v>
      </c>
      <c r="F157" s="5" t="s">
        <v>1336</v>
      </c>
      <c r="G157" s="6" t="s">
        <v>978</v>
      </c>
      <c r="H157" s="6" t="s">
        <v>68</v>
      </c>
      <c r="I157" s="6" t="s">
        <v>5688</v>
      </c>
      <c r="J157" s="6">
        <v>2317915</v>
      </c>
      <c r="K157" s="7" t="s">
        <v>8080</v>
      </c>
      <c r="L157" s="8">
        <v>24109</v>
      </c>
      <c r="M157" s="8" t="str">
        <f t="shared" si="15"/>
        <v>PEN</v>
      </c>
      <c r="N157" s="13"/>
      <c r="O157" s="13">
        <v>8</v>
      </c>
      <c r="P157" s="3">
        <f t="shared" si="12"/>
        <v>0</v>
      </c>
      <c r="Q157" s="3">
        <f t="shared" si="13"/>
        <v>8</v>
      </c>
      <c r="R157" s="3">
        <f t="shared" si="14"/>
        <v>534.70000000000005</v>
      </c>
      <c r="S157" s="24" t="s">
        <v>1334</v>
      </c>
      <c r="T157" s="24" t="s">
        <v>1334</v>
      </c>
      <c r="U157" s="3"/>
      <c r="V157" s="25" t="s">
        <v>7842</v>
      </c>
      <c r="W157" s="25">
        <v>20517252558</v>
      </c>
      <c r="X157" s="25" t="str">
        <f>IFERROR(VLOOKUP(C_Ope_002[[#This Row],[nota_2]],Clientes_Proveedores[[Ruc / Dni]:[Razon Social]],2,0),"")</f>
        <v>COVISUR S.A.</v>
      </c>
      <c r="Y157" s="25"/>
      <c r="Z157" s="103"/>
      <c r="AA157" s="3" t="str">
        <f>IF(C_Ope_002[[#This Row],[fecha]]&gt;0,TEXT(C_Ope_002[[#This Row],[fecha]],"mmmm"),0)</f>
        <v>Mayo</v>
      </c>
      <c r="AB157" s="49"/>
    </row>
    <row r="158" spans="1:28" ht="24" x14ac:dyDescent="0.3">
      <c r="A158" s="2">
        <f>IF(C_Ope_002[[#This Row],[tipo_r]]="R",COUNTIFS($C$1:$C157,"R")+1,"")</f>
        <v>157</v>
      </c>
      <c r="B158" s="19" t="str">
        <f t="shared" si="11"/>
        <v>C_Ope_002</v>
      </c>
      <c r="C158" s="3" t="s">
        <v>1330</v>
      </c>
      <c r="D158" s="14">
        <v>45782</v>
      </c>
      <c r="E158" s="5" t="s">
        <v>8005</v>
      </c>
      <c r="F158" s="5" t="s">
        <v>1336</v>
      </c>
      <c r="G158" s="6" t="s">
        <v>978</v>
      </c>
      <c r="H158" s="6" t="s">
        <v>68</v>
      </c>
      <c r="I158" s="6" t="s">
        <v>6204</v>
      </c>
      <c r="J158" s="6">
        <v>1722326</v>
      </c>
      <c r="K158" s="7" t="s">
        <v>8081</v>
      </c>
      <c r="L158" s="8">
        <v>24143</v>
      </c>
      <c r="M158" s="8" t="str">
        <f t="shared" si="15"/>
        <v>PEN</v>
      </c>
      <c r="N158" s="13"/>
      <c r="O158" s="13">
        <v>8</v>
      </c>
      <c r="P158" s="3">
        <f t="shared" si="12"/>
        <v>0</v>
      </c>
      <c r="Q158" s="3">
        <f t="shared" si="13"/>
        <v>8</v>
      </c>
      <c r="R158" s="3">
        <f t="shared" si="14"/>
        <v>526.70000000000005</v>
      </c>
      <c r="S158" s="24" t="s">
        <v>1334</v>
      </c>
      <c r="T158" s="24" t="s">
        <v>1334</v>
      </c>
      <c r="U158" s="3"/>
      <c r="V158" s="25" t="s">
        <v>7842</v>
      </c>
      <c r="W158" s="25">
        <v>20517252558</v>
      </c>
      <c r="X158" s="25" t="str">
        <f>IFERROR(VLOOKUP(C_Ope_002[[#This Row],[nota_2]],Clientes_Proveedores[[Ruc / Dni]:[Razon Social]],2,0),"")</f>
        <v>COVISUR S.A.</v>
      </c>
      <c r="Y158" s="25"/>
      <c r="Z158" s="103"/>
      <c r="AA158" s="3" t="str">
        <f>IF(C_Ope_002[[#This Row],[fecha]]&gt;0,TEXT(C_Ope_002[[#This Row],[fecha]],"mmmm"),0)</f>
        <v>Mayo</v>
      </c>
      <c r="AB158" s="49"/>
    </row>
    <row r="159" spans="1:28" ht="24" x14ac:dyDescent="0.3">
      <c r="A159" s="2">
        <f>IF(C_Ope_002[[#This Row],[tipo_r]]="R",COUNTIFS($C$1:$C158,"R")+1,"")</f>
        <v>158</v>
      </c>
      <c r="B159" s="19" t="str">
        <f t="shared" si="11"/>
        <v>C_Ope_002</v>
      </c>
      <c r="C159" s="3" t="s">
        <v>1330</v>
      </c>
      <c r="D159" s="14">
        <v>45782</v>
      </c>
      <c r="E159" s="5" t="s">
        <v>8005</v>
      </c>
      <c r="F159" s="5" t="s">
        <v>1336</v>
      </c>
      <c r="G159" s="6" t="s">
        <v>978</v>
      </c>
      <c r="H159" s="6" t="s">
        <v>68</v>
      </c>
      <c r="I159" s="6" t="s">
        <v>6203</v>
      </c>
      <c r="J159" s="6">
        <v>2041425</v>
      </c>
      <c r="K159" s="7" t="s">
        <v>8081</v>
      </c>
      <c r="L159" s="8">
        <v>24144</v>
      </c>
      <c r="M159" s="8" t="str">
        <f t="shared" si="15"/>
        <v>PEN</v>
      </c>
      <c r="N159" s="13"/>
      <c r="O159" s="13">
        <v>8</v>
      </c>
      <c r="P159" s="3">
        <f t="shared" si="12"/>
        <v>0</v>
      </c>
      <c r="Q159" s="3">
        <f t="shared" si="13"/>
        <v>8</v>
      </c>
      <c r="R159" s="3">
        <f t="shared" si="14"/>
        <v>518.70000000000005</v>
      </c>
      <c r="S159" s="24" t="s">
        <v>1334</v>
      </c>
      <c r="T159" s="24" t="s">
        <v>1334</v>
      </c>
      <c r="U159" s="3"/>
      <c r="V159" s="25" t="s">
        <v>7842</v>
      </c>
      <c r="W159" s="25">
        <v>20517252558</v>
      </c>
      <c r="X159" s="25" t="str">
        <f>IFERROR(VLOOKUP(C_Ope_002[[#This Row],[nota_2]],Clientes_Proveedores[[Ruc / Dni]:[Razon Social]],2,0),"")</f>
        <v>COVISUR S.A.</v>
      </c>
      <c r="Y159" s="25"/>
      <c r="Z159" s="103"/>
      <c r="AA159" s="3" t="str">
        <f>IF(C_Ope_002[[#This Row],[fecha]]&gt;0,TEXT(C_Ope_002[[#This Row],[fecha]],"mmmm"),0)</f>
        <v>Mayo</v>
      </c>
      <c r="AB159" s="49"/>
    </row>
    <row r="160" spans="1:28" ht="24" x14ac:dyDescent="0.3">
      <c r="A160" s="2">
        <f>IF(C_Ope_002[[#This Row],[tipo_r]]="R",COUNTIFS($C$1:$C159,"R")+1,"")</f>
        <v>159</v>
      </c>
      <c r="B160" s="19" t="str">
        <f t="shared" si="11"/>
        <v>C_Ope_002</v>
      </c>
      <c r="C160" s="3" t="s">
        <v>1330</v>
      </c>
      <c r="D160" s="14">
        <v>45783</v>
      </c>
      <c r="E160" s="5" t="s">
        <v>8005</v>
      </c>
      <c r="F160" s="5" t="s">
        <v>1336</v>
      </c>
      <c r="G160" s="6" t="s">
        <v>978</v>
      </c>
      <c r="H160" s="6" t="s">
        <v>68</v>
      </c>
      <c r="I160" s="6" t="s">
        <v>5845</v>
      </c>
      <c r="J160" s="6">
        <v>1742862</v>
      </c>
      <c r="K160" s="7" t="s">
        <v>8082</v>
      </c>
      <c r="L160" s="8">
        <v>24145</v>
      </c>
      <c r="M160" s="8" t="str">
        <f t="shared" si="15"/>
        <v>PEN</v>
      </c>
      <c r="N160" s="13"/>
      <c r="O160" s="13">
        <v>8</v>
      </c>
      <c r="P160" s="3">
        <f t="shared" si="12"/>
        <v>0</v>
      </c>
      <c r="Q160" s="3">
        <f t="shared" si="13"/>
        <v>8</v>
      </c>
      <c r="R160" s="3">
        <f t="shared" si="14"/>
        <v>510.70000000000005</v>
      </c>
      <c r="S160" s="24" t="s">
        <v>1334</v>
      </c>
      <c r="T160" s="24" t="s">
        <v>1334</v>
      </c>
      <c r="U160" s="3"/>
      <c r="V160" s="25" t="s">
        <v>7842</v>
      </c>
      <c r="W160" s="25">
        <v>20517252558</v>
      </c>
      <c r="X160" s="25" t="str">
        <f>IFERROR(VLOOKUP(C_Ope_002[[#This Row],[nota_2]],Clientes_Proveedores[[Ruc / Dni]:[Razon Social]],2,0),"")</f>
        <v>COVISUR S.A.</v>
      </c>
      <c r="Y160" s="25"/>
      <c r="Z160" s="103"/>
      <c r="AA160" s="3" t="str">
        <f>IF(C_Ope_002[[#This Row],[fecha]]&gt;0,TEXT(C_Ope_002[[#This Row],[fecha]],"mmmm"),0)</f>
        <v>Mayo</v>
      </c>
      <c r="AB160" s="49"/>
    </row>
    <row r="161" spans="1:28" ht="24" x14ac:dyDescent="0.3">
      <c r="A161" s="2">
        <f>IF(C_Ope_002[[#This Row],[tipo_r]]="R",COUNTIFS($C$1:$C160,"R")+1,"")</f>
        <v>160</v>
      </c>
      <c r="B161" s="19" t="str">
        <f t="shared" si="11"/>
        <v>C_Ope_002</v>
      </c>
      <c r="C161" s="3" t="s">
        <v>1330</v>
      </c>
      <c r="D161" s="14">
        <v>45783</v>
      </c>
      <c r="E161" s="5" t="s">
        <v>8005</v>
      </c>
      <c r="F161" s="5" t="s">
        <v>1336</v>
      </c>
      <c r="G161" s="6" t="s">
        <v>978</v>
      </c>
      <c r="H161" s="6" t="s">
        <v>68</v>
      </c>
      <c r="I161" s="6" t="s">
        <v>5688</v>
      </c>
      <c r="J161" s="6">
        <v>2322250</v>
      </c>
      <c r="K161" s="7" t="s">
        <v>8082</v>
      </c>
      <c r="L161" s="8">
        <v>24146</v>
      </c>
      <c r="M161" s="8" t="str">
        <f t="shared" si="15"/>
        <v>PEN</v>
      </c>
      <c r="N161" s="13"/>
      <c r="O161" s="13">
        <v>8</v>
      </c>
      <c r="P161" s="3">
        <f t="shared" si="12"/>
        <v>0</v>
      </c>
      <c r="Q161" s="3">
        <f t="shared" si="13"/>
        <v>8</v>
      </c>
      <c r="R161" s="3">
        <f t="shared" si="14"/>
        <v>502.70000000000005</v>
      </c>
      <c r="S161" s="24" t="s">
        <v>1334</v>
      </c>
      <c r="T161" s="24" t="s">
        <v>1334</v>
      </c>
      <c r="U161" s="3"/>
      <c r="V161" s="25" t="s">
        <v>7842</v>
      </c>
      <c r="W161" s="25">
        <v>20517252558</v>
      </c>
      <c r="X161" s="25" t="str">
        <f>IFERROR(VLOOKUP(C_Ope_002[[#This Row],[nota_2]],Clientes_Proveedores[[Ruc / Dni]:[Razon Social]],2,0),"")</f>
        <v>COVISUR S.A.</v>
      </c>
      <c r="Y161" s="25"/>
      <c r="Z161" s="103"/>
      <c r="AA161" s="3" t="str">
        <f>IF(C_Ope_002[[#This Row],[fecha]]&gt;0,TEXT(C_Ope_002[[#This Row],[fecha]],"mmmm"),0)</f>
        <v>Mayo</v>
      </c>
      <c r="AB161" s="49"/>
    </row>
    <row r="162" spans="1:28" ht="36" x14ac:dyDescent="0.3">
      <c r="A162" s="2">
        <f>IF(C_Ope_002[[#This Row],[tipo_r]]="R",COUNTIFS($C$1:$C161,"R")+1,"")</f>
        <v>161</v>
      </c>
      <c r="B162" s="19" t="str">
        <f t="shared" si="11"/>
        <v>C_Ope_002</v>
      </c>
      <c r="C162" s="3" t="s">
        <v>1330</v>
      </c>
      <c r="D162" s="14">
        <v>45784</v>
      </c>
      <c r="E162" s="5" t="s">
        <v>8005</v>
      </c>
      <c r="F162" s="5" t="s">
        <v>1336</v>
      </c>
      <c r="G162" s="6" t="s">
        <v>978</v>
      </c>
      <c r="H162" s="6" t="s">
        <v>68</v>
      </c>
      <c r="I162" s="6" t="s">
        <v>6203</v>
      </c>
      <c r="J162" s="6">
        <v>2043407</v>
      </c>
      <c r="K162" s="7" t="s">
        <v>8083</v>
      </c>
      <c r="L162" s="8">
        <v>24147</v>
      </c>
      <c r="M162" s="8" t="str">
        <f t="shared" si="15"/>
        <v>PEN</v>
      </c>
      <c r="N162" s="13"/>
      <c r="O162" s="13">
        <v>8</v>
      </c>
      <c r="P162" s="3">
        <f t="shared" si="12"/>
        <v>0</v>
      </c>
      <c r="Q162" s="3">
        <f t="shared" si="13"/>
        <v>8</v>
      </c>
      <c r="R162" s="3">
        <f t="shared" si="14"/>
        <v>494.70000000000005</v>
      </c>
      <c r="S162" s="24" t="s">
        <v>1334</v>
      </c>
      <c r="T162" s="24" t="s">
        <v>1334</v>
      </c>
      <c r="U162" s="3"/>
      <c r="V162" s="25" t="s">
        <v>7842</v>
      </c>
      <c r="W162" s="25">
        <v>20517252558</v>
      </c>
      <c r="X162" s="25" t="str">
        <f>IFERROR(VLOOKUP(C_Ope_002[[#This Row],[nota_2]],Clientes_Proveedores[[Ruc / Dni]:[Razon Social]],2,0),"")</f>
        <v>COVISUR S.A.</v>
      </c>
      <c r="Y162" s="25"/>
      <c r="Z162" s="103"/>
      <c r="AA162" s="3" t="str">
        <f>IF(C_Ope_002[[#This Row],[fecha]]&gt;0,TEXT(C_Ope_002[[#This Row],[fecha]],"mmmm"),0)</f>
        <v>Mayo</v>
      </c>
      <c r="AB162" s="49"/>
    </row>
    <row r="163" spans="1:28" ht="36" x14ac:dyDescent="0.3">
      <c r="A163" s="2">
        <f>IF(C_Ope_002[[#This Row],[tipo_r]]="R",COUNTIFS($C$1:$C162,"R")+1,"")</f>
        <v>162</v>
      </c>
      <c r="B163" s="19" t="str">
        <f t="shared" si="11"/>
        <v>C_Ope_002</v>
      </c>
      <c r="C163" s="3" t="s">
        <v>1330</v>
      </c>
      <c r="D163" s="14">
        <v>45784</v>
      </c>
      <c r="E163" s="5" t="s">
        <v>8005</v>
      </c>
      <c r="F163" s="5" t="s">
        <v>1336</v>
      </c>
      <c r="G163" s="6" t="s">
        <v>978</v>
      </c>
      <c r="H163" s="6" t="s">
        <v>68</v>
      </c>
      <c r="I163" s="6" t="s">
        <v>5688</v>
      </c>
      <c r="J163" s="6">
        <v>2323339</v>
      </c>
      <c r="K163" s="7" t="s">
        <v>8083</v>
      </c>
      <c r="L163" s="8">
        <v>24148</v>
      </c>
      <c r="M163" s="8" t="str">
        <f t="shared" si="15"/>
        <v>PEN</v>
      </c>
      <c r="N163" s="13"/>
      <c r="O163" s="13">
        <v>8</v>
      </c>
      <c r="P163" s="3">
        <f t="shared" si="12"/>
        <v>0</v>
      </c>
      <c r="Q163" s="3">
        <f t="shared" si="13"/>
        <v>8</v>
      </c>
      <c r="R163" s="3">
        <f t="shared" si="14"/>
        <v>486.70000000000005</v>
      </c>
      <c r="S163" s="24" t="s">
        <v>1334</v>
      </c>
      <c r="T163" s="24" t="s">
        <v>1334</v>
      </c>
      <c r="U163" s="3"/>
      <c r="V163" s="25" t="s">
        <v>7842</v>
      </c>
      <c r="W163" s="25">
        <v>20517252558</v>
      </c>
      <c r="X163" s="25" t="str">
        <f>IFERROR(VLOOKUP(C_Ope_002[[#This Row],[nota_2]],Clientes_Proveedores[[Ruc / Dni]:[Razon Social]],2,0),"")</f>
        <v>COVISUR S.A.</v>
      </c>
      <c r="Y163" s="25"/>
      <c r="Z163" s="103"/>
      <c r="AA163" s="3" t="str">
        <f>IF(C_Ope_002[[#This Row],[fecha]]&gt;0,TEXT(C_Ope_002[[#This Row],[fecha]],"mmmm"),0)</f>
        <v>Mayo</v>
      </c>
      <c r="AB163" s="49"/>
    </row>
    <row r="164" spans="1:28" ht="24" x14ac:dyDescent="0.3">
      <c r="A164" s="2">
        <f>IF(C_Ope_002[[#This Row],[tipo_r]]="R",COUNTIFS($C$1:$C163,"R")+1,"")</f>
        <v>163</v>
      </c>
      <c r="B164" s="19" t="str">
        <f t="shared" si="11"/>
        <v>C_Ope_002</v>
      </c>
      <c r="C164" s="3" t="s">
        <v>1330</v>
      </c>
      <c r="D164" s="14">
        <v>45785</v>
      </c>
      <c r="E164" s="5" t="s">
        <v>8005</v>
      </c>
      <c r="F164" s="5" t="s">
        <v>1336</v>
      </c>
      <c r="G164" s="6" t="s">
        <v>978</v>
      </c>
      <c r="H164" s="6" t="s">
        <v>68</v>
      </c>
      <c r="I164" s="6" t="s">
        <v>6203</v>
      </c>
      <c r="J164" s="6">
        <v>2044578</v>
      </c>
      <c r="K164" s="7" t="s">
        <v>8084</v>
      </c>
      <c r="L164" s="8">
        <v>24159</v>
      </c>
      <c r="M164" s="8" t="str">
        <f t="shared" si="15"/>
        <v>PEN</v>
      </c>
      <c r="N164" s="13"/>
      <c r="O164" s="13">
        <v>8</v>
      </c>
      <c r="P164" s="3">
        <f t="shared" si="12"/>
        <v>0</v>
      </c>
      <c r="Q164" s="3">
        <f t="shared" si="13"/>
        <v>8</v>
      </c>
      <c r="R164" s="3">
        <f t="shared" si="14"/>
        <v>478.70000000000005</v>
      </c>
      <c r="S164" s="24" t="s">
        <v>1334</v>
      </c>
      <c r="T164" s="24" t="s">
        <v>1334</v>
      </c>
      <c r="U164" s="3"/>
      <c r="V164" s="25" t="s">
        <v>7842</v>
      </c>
      <c r="W164" s="25">
        <v>20517252558</v>
      </c>
      <c r="X164" s="25" t="str">
        <f>IFERROR(VLOOKUP(C_Ope_002[[#This Row],[nota_2]],Clientes_Proveedores[[Ruc / Dni]:[Razon Social]],2,0),"")</f>
        <v>COVISUR S.A.</v>
      </c>
      <c r="Y164" s="25"/>
      <c r="Z164" s="103"/>
      <c r="AA164" s="3" t="str">
        <f>IF(C_Ope_002[[#This Row],[fecha]]&gt;0,TEXT(C_Ope_002[[#This Row],[fecha]],"mmmm"),0)</f>
        <v>Mayo</v>
      </c>
      <c r="AB164" s="49"/>
    </row>
    <row r="165" spans="1:28" ht="24" x14ac:dyDescent="0.3">
      <c r="A165" s="2">
        <f>IF(C_Ope_002[[#This Row],[tipo_r]]="R",COUNTIFS($C$1:$C164,"R")+1,"")</f>
        <v>164</v>
      </c>
      <c r="B165" s="19" t="str">
        <f t="shared" si="11"/>
        <v>C_Ope_002</v>
      </c>
      <c r="C165" s="3" t="s">
        <v>1330</v>
      </c>
      <c r="D165" s="14">
        <v>45785</v>
      </c>
      <c r="E165" s="5" t="s">
        <v>8005</v>
      </c>
      <c r="F165" s="5" t="s">
        <v>1336</v>
      </c>
      <c r="G165" s="6" t="s">
        <v>978</v>
      </c>
      <c r="H165" s="6" t="s">
        <v>68</v>
      </c>
      <c r="I165" s="6" t="s">
        <v>5688</v>
      </c>
      <c r="J165" s="6">
        <v>2324705</v>
      </c>
      <c r="K165" s="7" t="s">
        <v>8084</v>
      </c>
      <c r="L165" s="8">
        <v>24160</v>
      </c>
      <c r="M165" s="8" t="str">
        <f t="shared" si="15"/>
        <v>PEN</v>
      </c>
      <c r="N165" s="13"/>
      <c r="O165" s="13">
        <v>8</v>
      </c>
      <c r="P165" s="3">
        <f t="shared" si="12"/>
        <v>0</v>
      </c>
      <c r="Q165" s="3">
        <f t="shared" si="13"/>
        <v>8</v>
      </c>
      <c r="R165" s="3">
        <f t="shared" si="14"/>
        <v>470.70000000000005</v>
      </c>
      <c r="S165" s="24" t="s">
        <v>1334</v>
      </c>
      <c r="T165" s="24" t="s">
        <v>1334</v>
      </c>
      <c r="U165" s="3"/>
      <c r="V165" s="25" t="s">
        <v>7842</v>
      </c>
      <c r="W165" s="25">
        <v>20517252558</v>
      </c>
      <c r="X165" s="25" t="str">
        <f>IFERROR(VLOOKUP(C_Ope_002[[#This Row],[nota_2]],Clientes_Proveedores[[Ruc / Dni]:[Razon Social]],2,0),"")</f>
        <v>COVISUR S.A.</v>
      </c>
      <c r="Y165" s="25"/>
      <c r="Z165" s="103"/>
      <c r="AA165" s="3" t="str">
        <f>IF(C_Ope_002[[#This Row],[fecha]]&gt;0,TEXT(C_Ope_002[[#This Row],[fecha]],"mmmm"),0)</f>
        <v>Mayo</v>
      </c>
      <c r="AB165" s="49"/>
    </row>
    <row r="166" spans="1:28" ht="24" x14ac:dyDescent="0.3">
      <c r="A166" s="2">
        <f>IF(C_Ope_002[[#This Row],[tipo_r]]="R",COUNTIFS($C$1:$C165,"R")+1,"")</f>
        <v>165</v>
      </c>
      <c r="B166" s="19" t="str">
        <f t="shared" si="11"/>
        <v>C_Ope_002</v>
      </c>
      <c r="C166" s="3" t="s">
        <v>1330</v>
      </c>
      <c r="D166" s="14">
        <v>45786</v>
      </c>
      <c r="E166" s="5" t="s">
        <v>8005</v>
      </c>
      <c r="F166" s="5" t="s">
        <v>1336</v>
      </c>
      <c r="G166" s="6" t="s">
        <v>978</v>
      </c>
      <c r="H166" s="6" t="s">
        <v>68</v>
      </c>
      <c r="I166" s="6" t="s">
        <v>5688</v>
      </c>
      <c r="J166" s="6">
        <v>2325675</v>
      </c>
      <c r="K166" s="7" t="s">
        <v>8085</v>
      </c>
      <c r="L166" s="8">
        <v>24162</v>
      </c>
      <c r="M166" s="8" t="str">
        <f t="shared" si="15"/>
        <v>PEN</v>
      </c>
      <c r="N166" s="13"/>
      <c r="O166" s="13">
        <v>8</v>
      </c>
      <c r="P166" s="3">
        <f t="shared" si="12"/>
        <v>0</v>
      </c>
      <c r="Q166" s="3">
        <f t="shared" si="13"/>
        <v>8</v>
      </c>
      <c r="R166" s="3">
        <f t="shared" si="14"/>
        <v>462.70000000000005</v>
      </c>
      <c r="S166" s="24" t="s">
        <v>1334</v>
      </c>
      <c r="T166" s="24" t="s">
        <v>1334</v>
      </c>
      <c r="U166" s="3"/>
      <c r="V166" s="25" t="s">
        <v>7842</v>
      </c>
      <c r="W166" s="25">
        <v>20517252558</v>
      </c>
      <c r="X166" s="25" t="str">
        <f>IFERROR(VLOOKUP(C_Ope_002[[#This Row],[nota_2]],Clientes_Proveedores[[Ruc / Dni]:[Razon Social]],2,0),"")</f>
        <v>COVISUR S.A.</v>
      </c>
      <c r="Y166" s="25"/>
      <c r="Z166" s="103"/>
      <c r="AA166" s="3" t="str">
        <f>IF(C_Ope_002[[#This Row],[fecha]]&gt;0,TEXT(C_Ope_002[[#This Row],[fecha]],"mmmm"),0)</f>
        <v>Mayo</v>
      </c>
      <c r="AB166" s="49"/>
    </row>
    <row r="167" spans="1:28" x14ac:dyDescent="0.3">
      <c r="A167" s="2">
        <f>IF(C_Ope_002[[#This Row],[tipo_r]]="R",COUNTIFS($C$1:$C166,"R")+1,"")</f>
        <v>166</v>
      </c>
      <c r="B167" s="19" t="str">
        <f t="shared" si="11"/>
        <v>C_Ope_002</v>
      </c>
      <c r="C167" s="3" t="s">
        <v>1330</v>
      </c>
      <c r="D167" s="14">
        <v>45786</v>
      </c>
      <c r="E167" s="5" t="s">
        <v>8005</v>
      </c>
      <c r="F167" s="5" t="s">
        <v>1336</v>
      </c>
      <c r="G167" s="6" t="s">
        <v>978</v>
      </c>
      <c r="H167" s="6" t="s">
        <v>68</v>
      </c>
      <c r="I167" s="6" t="s">
        <v>6379</v>
      </c>
      <c r="J167" s="6">
        <v>471990</v>
      </c>
      <c r="K167" s="7" t="s">
        <v>7841</v>
      </c>
      <c r="L167" s="8">
        <v>24163</v>
      </c>
      <c r="M167" s="8" t="str">
        <f t="shared" si="15"/>
        <v>PEN</v>
      </c>
      <c r="N167" s="13"/>
      <c r="O167" s="13">
        <v>8</v>
      </c>
      <c r="P167" s="3">
        <f t="shared" si="12"/>
        <v>0</v>
      </c>
      <c r="Q167" s="3">
        <f t="shared" si="13"/>
        <v>8</v>
      </c>
      <c r="R167" s="3">
        <f t="shared" si="14"/>
        <v>454.70000000000005</v>
      </c>
      <c r="S167" s="24" t="s">
        <v>1334</v>
      </c>
      <c r="T167" s="24" t="s">
        <v>1334</v>
      </c>
      <c r="U167" s="3"/>
      <c r="V167" s="25" t="s">
        <v>7842</v>
      </c>
      <c r="W167" s="25">
        <v>20517252558</v>
      </c>
      <c r="X167" s="25" t="str">
        <f>IFERROR(VLOOKUP(C_Ope_002[[#This Row],[nota_2]],Clientes_Proveedores[[Ruc / Dni]:[Razon Social]],2,0),"")</f>
        <v>COVISUR S.A.</v>
      </c>
      <c r="Y167" s="25"/>
      <c r="Z167" s="103"/>
      <c r="AA167" s="3" t="str">
        <f>IF(C_Ope_002[[#This Row],[fecha]]&gt;0,TEXT(C_Ope_002[[#This Row],[fecha]],"mmmm"),0)</f>
        <v>Mayo</v>
      </c>
      <c r="AB167" s="49"/>
    </row>
    <row r="168" spans="1:28" x14ac:dyDescent="0.3">
      <c r="A168" s="2">
        <f>IF(C_Ope_002[[#This Row],[tipo_r]]="R",COUNTIFS($C$1:$C167,"R")+1,"")</f>
        <v>167</v>
      </c>
      <c r="B168" s="19" t="str">
        <f t="shared" si="11"/>
        <v>C_Ope_002</v>
      </c>
      <c r="C168" s="3" t="s">
        <v>1330</v>
      </c>
      <c r="D168" s="14">
        <v>45786</v>
      </c>
      <c r="E168" s="5" t="s">
        <v>8005</v>
      </c>
      <c r="F168" s="5" t="s">
        <v>1336</v>
      </c>
      <c r="G168" s="6" t="s">
        <v>978</v>
      </c>
      <c r="H168" s="6" t="s">
        <v>68</v>
      </c>
      <c r="I168" s="6" t="s">
        <v>6244</v>
      </c>
      <c r="J168" s="6">
        <v>1052260</v>
      </c>
      <c r="K168" s="7" t="s">
        <v>7841</v>
      </c>
      <c r="L168" s="8">
        <v>24164</v>
      </c>
      <c r="M168" s="8" t="str">
        <f t="shared" si="15"/>
        <v>PEN</v>
      </c>
      <c r="N168" s="13"/>
      <c r="O168" s="13">
        <v>8</v>
      </c>
      <c r="P168" s="3">
        <f t="shared" si="12"/>
        <v>0</v>
      </c>
      <c r="Q168" s="3">
        <f t="shared" si="13"/>
        <v>8</v>
      </c>
      <c r="R168" s="3">
        <f t="shared" si="14"/>
        <v>446.70000000000005</v>
      </c>
      <c r="S168" s="24" t="s">
        <v>1334</v>
      </c>
      <c r="T168" s="24" t="s">
        <v>1334</v>
      </c>
      <c r="U168" s="3"/>
      <c r="V168" s="25" t="s">
        <v>7842</v>
      </c>
      <c r="W168" s="25">
        <v>20517252558</v>
      </c>
      <c r="X168" s="25" t="str">
        <f>IFERROR(VLOOKUP(C_Ope_002[[#This Row],[nota_2]],Clientes_Proveedores[[Ruc / Dni]:[Razon Social]],2,0),"")</f>
        <v>COVISUR S.A.</v>
      </c>
      <c r="Y168" s="25"/>
      <c r="Z168" s="103"/>
      <c r="AA168" s="3" t="str">
        <f>IF(C_Ope_002[[#This Row],[fecha]]&gt;0,TEXT(C_Ope_002[[#This Row],[fecha]],"mmmm"),0)</f>
        <v>Mayo</v>
      </c>
      <c r="AB168" s="49"/>
    </row>
    <row r="169" spans="1:28" ht="24" x14ac:dyDescent="0.3">
      <c r="A169" s="2">
        <f>IF(C_Ope_002[[#This Row],[tipo_r]]="R",COUNTIFS($C$1:$C168,"R")+1,"")</f>
        <v>168</v>
      </c>
      <c r="B169" s="19" t="str">
        <f t="shared" si="11"/>
        <v>C_Ope_002</v>
      </c>
      <c r="C169" s="3" t="s">
        <v>1330</v>
      </c>
      <c r="D169" s="14">
        <v>45786</v>
      </c>
      <c r="E169" s="5" t="s">
        <v>8005</v>
      </c>
      <c r="F169" s="5" t="s">
        <v>1336</v>
      </c>
      <c r="G169" s="6" t="s">
        <v>978</v>
      </c>
      <c r="H169" s="6" t="s">
        <v>68</v>
      </c>
      <c r="I169" s="6" t="s">
        <v>6203</v>
      </c>
      <c r="J169" s="6">
        <v>2045586</v>
      </c>
      <c r="K169" s="7" t="s">
        <v>8085</v>
      </c>
      <c r="L169" s="8">
        <v>24165</v>
      </c>
      <c r="M169" s="8" t="str">
        <f t="shared" si="15"/>
        <v>PEN</v>
      </c>
      <c r="N169" s="13"/>
      <c r="O169" s="13">
        <v>8</v>
      </c>
      <c r="P169" s="3">
        <f t="shared" si="12"/>
        <v>0</v>
      </c>
      <c r="Q169" s="3">
        <f t="shared" si="13"/>
        <v>8</v>
      </c>
      <c r="R169" s="3">
        <f t="shared" si="14"/>
        <v>438.70000000000005</v>
      </c>
      <c r="S169" s="24" t="s">
        <v>1334</v>
      </c>
      <c r="T169" s="24" t="s">
        <v>1334</v>
      </c>
      <c r="U169" s="3"/>
      <c r="V169" s="25" t="s">
        <v>7842</v>
      </c>
      <c r="W169" s="25">
        <v>20517252558</v>
      </c>
      <c r="X169" s="25" t="str">
        <f>IFERROR(VLOOKUP(C_Ope_002[[#This Row],[nota_2]],Clientes_Proveedores[[Ruc / Dni]:[Razon Social]],2,0),"")</f>
        <v>COVISUR S.A.</v>
      </c>
      <c r="Y169" s="25"/>
      <c r="Z169" s="103"/>
      <c r="AA169" s="3" t="str">
        <f>IF(C_Ope_002[[#This Row],[fecha]]&gt;0,TEXT(C_Ope_002[[#This Row],[fecha]],"mmmm"),0)</f>
        <v>Mayo</v>
      </c>
      <c r="AB169" s="49"/>
    </row>
    <row r="170" spans="1:28" ht="36" x14ac:dyDescent="0.3">
      <c r="A170" s="2">
        <f>IF(C_Ope_002[[#This Row],[tipo_r]]="R",COUNTIFS($C$1:$C169,"R")+1,"")</f>
        <v>169</v>
      </c>
      <c r="B170" s="19" t="str">
        <f t="shared" si="11"/>
        <v>C_Ope_002</v>
      </c>
      <c r="C170" s="3" t="s">
        <v>1330</v>
      </c>
      <c r="D170" s="14">
        <v>45784</v>
      </c>
      <c r="E170" s="5" t="s">
        <v>8005</v>
      </c>
      <c r="F170" s="5" t="s">
        <v>1336</v>
      </c>
      <c r="G170" s="6" t="s">
        <v>682</v>
      </c>
      <c r="H170" s="6" t="s">
        <v>68</v>
      </c>
      <c r="I170" s="6" t="s">
        <v>1353</v>
      </c>
      <c r="J170" s="6">
        <v>16325</v>
      </c>
      <c r="K170" s="7" t="s">
        <v>8051</v>
      </c>
      <c r="L170" s="8">
        <v>24150</v>
      </c>
      <c r="M170" s="8" t="str">
        <f t="shared" si="15"/>
        <v>PEN</v>
      </c>
      <c r="N170" s="13"/>
      <c r="O170" s="13">
        <v>20</v>
      </c>
      <c r="P170" s="3">
        <f t="shared" si="12"/>
        <v>0</v>
      </c>
      <c r="Q170" s="3">
        <f t="shared" si="13"/>
        <v>20</v>
      </c>
      <c r="R170" s="3">
        <f t="shared" si="14"/>
        <v>418.70000000000005</v>
      </c>
      <c r="S170" s="24" t="s">
        <v>1334</v>
      </c>
      <c r="T170" s="24" t="s">
        <v>1334</v>
      </c>
      <c r="U170" s="3"/>
      <c r="V170" s="25" t="s">
        <v>7842</v>
      </c>
      <c r="W170" s="25">
        <v>20259858934</v>
      </c>
      <c r="X170" s="25" t="str">
        <f>IFERROR(VLOOKUP(C_Ope_002[[#This Row],[nota_2]],Clientes_Proveedores[[Ruc / Dni]:[Razon Social]],2,0),"")</f>
        <v>COMERCIALIZACION Y SERVICIOS EL EDEN S.A.C.</v>
      </c>
      <c r="Y170" s="25"/>
      <c r="Z170" s="103"/>
      <c r="AA170" s="3" t="str">
        <f>IF(C_Ope_002[[#This Row],[fecha]]&gt;0,TEXT(C_Ope_002[[#This Row],[fecha]],"mmmm"),0)</f>
        <v>Mayo</v>
      </c>
      <c r="AB170" s="49"/>
    </row>
    <row r="171" spans="1:28" ht="36" x14ac:dyDescent="0.3">
      <c r="A171" s="2">
        <f>IF(C_Ope_002[[#This Row],[tipo_r]]="R",COUNTIFS($C$1:$C170,"R")+1,"")</f>
        <v>170</v>
      </c>
      <c r="B171" s="19" t="str">
        <f t="shared" si="11"/>
        <v>C_Ope_002</v>
      </c>
      <c r="C171" s="3" t="s">
        <v>1330</v>
      </c>
      <c r="D171" s="14">
        <v>45785</v>
      </c>
      <c r="E171" s="5" t="s">
        <v>8005</v>
      </c>
      <c r="F171" s="5" t="s">
        <v>1336</v>
      </c>
      <c r="G171" s="6" t="s">
        <v>682</v>
      </c>
      <c r="H171" s="6" t="s">
        <v>68</v>
      </c>
      <c r="I171" s="6" t="s">
        <v>1353</v>
      </c>
      <c r="J171" s="6">
        <v>16335</v>
      </c>
      <c r="K171" s="7" t="s">
        <v>8086</v>
      </c>
      <c r="L171" s="8">
        <v>24161</v>
      </c>
      <c r="M171" s="8" t="str">
        <f t="shared" si="15"/>
        <v>PEN</v>
      </c>
      <c r="N171" s="13"/>
      <c r="O171" s="13">
        <v>20</v>
      </c>
      <c r="P171" s="3">
        <f t="shared" si="12"/>
        <v>0</v>
      </c>
      <c r="Q171" s="3">
        <f t="shared" si="13"/>
        <v>20</v>
      </c>
      <c r="R171" s="3">
        <f t="shared" si="14"/>
        <v>398.70000000000005</v>
      </c>
      <c r="S171" s="24" t="s">
        <v>1334</v>
      </c>
      <c r="T171" s="24" t="s">
        <v>1334</v>
      </c>
      <c r="U171" s="3"/>
      <c r="V171" s="25" t="s">
        <v>7842</v>
      </c>
      <c r="W171" s="25">
        <v>20259858934</v>
      </c>
      <c r="X171" s="25" t="str">
        <f>IFERROR(VLOOKUP(C_Ope_002[[#This Row],[nota_2]],Clientes_Proveedores[[Ruc / Dni]:[Razon Social]],2,0),"")</f>
        <v>COMERCIALIZACION Y SERVICIOS EL EDEN S.A.C.</v>
      </c>
      <c r="Y171" s="25"/>
      <c r="Z171" s="103"/>
      <c r="AA171" s="3" t="str">
        <f>IF(C_Ope_002[[#This Row],[fecha]]&gt;0,TEXT(C_Ope_002[[#This Row],[fecha]],"mmmm"),0)</f>
        <v>Mayo</v>
      </c>
      <c r="AB171" s="49"/>
    </row>
    <row r="172" spans="1:28" ht="36" x14ac:dyDescent="0.3">
      <c r="A172" s="2">
        <f>IF(C_Ope_002[[#This Row],[tipo_r]]="R",COUNTIFS($C$1:$C171,"R")+1,"")</f>
        <v>171</v>
      </c>
      <c r="B172" s="19" t="str">
        <f t="shared" si="11"/>
        <v>C_Ope_002</v>
      </c>
      <c r="C172" s="3" t="s">
        <v>1330</v>
      </c>
      <c r="D172" s="14">
        <v>45786</v>
      </c>
      <c r="E172" s="5" t="s">
        <v>8005</v>
      </c>
      <c r="F172" s="5" t="s">
        <v>1336</v>
      </c>
      <c r="G172" s="6" t="s">
        <v>1029</v>
      </c>
      <c r="H172" s="6" t="s">
        <v>68</v>
      </c>
      <c r="I172" s="6" t="s">
        <v>1374</v>
      </c>
      <c r="J172" s="6">
        <v>17494</v>
      </c>
      <c r="K172" s="7" t="s">
        <v>7845</v>
      </c>
      <c r="L172" s="8">
        <v>24166</v>
      </c>
      <c r="M172" s="8" t="str">
        <f t="shared" si="15"/>
        <v>PEN</v>
      </c>
      <c r="N172" s="13"/>
      <c r="O172" s="13">
        <v>11</v>
      </c>
      <c r="P172" s="3">
        <f t="shared" si="12"/>
        <v>0</v>
      </c>
      <c r="Q172" s="3">
        <f t="shared" si="13"/>
        <v>11</v>
      </c>
      <c r="R172" s="3">
        <f t="shared" si="14"/>
        <v>387.70000000000005</v>
      </c>
      <c r="S172" s="24" t="s">
        <v>1334</v>
      </c>
      <c r="T172" s="24" t="s">
        <v>1334</v>
      </c>
      <c r="U172" s="3"/>
      <c r="V172" s="25" t="s">
        <v>7842</v>
      </c>
      <c r="W172" s="25">
        <v>20454058187</v>
      </c>
      <c r="X172" s="25" t="str">
        <f>IFERROR(VLOOKUP(C_Ope_002[[#This Row],[nota_2]],Clientes_Proveedores[[Ruc / Dni]:[Razon Social]],2,0),"")</f>
        <v>ZONA ESPECIAL DE DESARROLLO ZED MATARANI</v>
      </c>
      <c r="Y172" s="25"/>
      <c r="Z172" s="103"/>
      <c r="AA172" s="3" t="str">
        <f>IF(C_Ope_002[[#This Row],[fecha]]&gt;0,TEXT(C_Ope_002[[#This Row],[fecha]],"mmmm"),0)</f>
        <v>Mayo</v>
      </c>
      <c r="AB172" s="49"/>
    </row>
    <row r="173" spans="1:28" ht="24" x14ac:dyDescent="0.3">
      <c r="A173" s="2">
        <f>IF(C_Ope_002[[#This Row],[tipo_r]]="R",COUNTIFS($C$1:$C172,"R")+1,"")</f>
        <v>172</v>
      </c>
      <c r="B173" s="19" t="str">
        <f t="shared" si="11"/>
        <v>C_Ope_002</v>
      </c>
      <c r="C173" s="3" t="s">
        <v>1330</v>
      </c>
      <c r="D173" s="14">
        <v>45791</v>
      </c>
      <c r="E173" s="5" t="s">
        <v>7514</v>
      </c>
      <c r="F173" s="5" t="s">
        <v>1303</v>
      </c>
      <c r="G173" s="6" t="s">
        <v>829</v>
      </c>
      <c r="H173" s="6"/>
      <c r="I173" s="6"/>
      <c r="J173" s="6"/>
      <c r="K173" s="7" t="s">
        <v>7516</v>
      </c>
      <c r="L173" s="8">
        <v>24274</v>
      </c>
      <c r="M173" s="8" t="str">
        <f t="shared" si="15"/>
        <v>PEN</v>
      </c>
      <c r="N173" s="13"/>
      <c r="O173" s="13">
        <v>300</v>
      </c>
      <c r="P173" s="3">
        <f t="shared" si="12"/>
        <v>300</v>
      </c>
      <c r="Q173" s="3">
        <f t="shared" si="13"/>
        <v>0</v>
      </c>
      <c r="R173" s="3">
        <f t="shared" si="14"/>
        <v>687.7</v>
      </c>
      <c r="S173" s="24" t="s">
        <v>1334</v>
      </c>
      <c r="T173" s="24" t="s">
        <v>1334</v>
      </c>
      <c r="U173" s="3"/>
      <c r="V173" s="25"/>
      <c r="W173" s="25"/>
      <c r="X173" s="25" t="str">
        <f>IFERROR(VLOOKUP(C_Ope_002[[#This Row],[nota_2]],Clientes_Proveedores[[Ruc / Dni]:[Razon Social]],2,0),"")</f>
        <v/>
      </c>
      <c r="Y173" s="25"/>
      <c r="Z173" s="103"/>
      <c r="AA173" s="3" t="str">
        <f>IF(C_Ope_002[[#This Row],[fecha]]&gt;0,TEXT(C_Ope_002[[#This Row],[fecha]],"mmmm"),0)</f>
        <v>Mayo</v>
      </c>
      <c r="AB173" s="49"/>
    </row>
    <row r="174" spans="1:28" x14ac:dyDescent="0.3">
      <c r="A174" s="2">
        <f>IF(C_Ope_002[[#This Row],[tipo_r]]="R",COUNTIFS($C$1:$C173,"R")+1,"")</f>
        <v>173</v>
      </c>
      <c r="B174" s="19" t="str">
        <f t="shared" si="11"/>
        <v>C_Ope_002</v>
      </c>
      <c r="C174" s="3" t="s">
        <v>1330</v>
      </c>
      <c r="D174" s="14">
        <v>45789</v>
      </c>
      <c r="E174" s="5" t="s">
        <v>8005</v>
      </c>
      <c r="F174" s="5" t="s">
        <v>1336</v>
      </c>
      <c r="G174" s="6" t="s">
        <v>978</v>
      </c>
      <c r="H174" s="6" t="s">
        <v>68</v>
      </c>
      <c r="I174" s="6" t="s">
        <v>5845</v>
      </c>
      <c r="J174" s="6">
        <v>1748476</v>
      </c>
      <c r="K174" s="7" t="s">
        <v>8062</v>
      </c>
      <c r="L174" s="8">
        <v>24200</v>
      </c>
      <c r="M174" s="8" t="str">
        <f t="shared" si="15"/>
        <v>PEN</v>
      </c>
      <c r="N174" s="13"/>
      <c r="O174" s="13">
        <v>8</v>
      </c>
      <c r="P174" s="3">
        <f t="shared" si="12"/>
        <v>0</v>
      </c>
      <c r="Q174" s="3">
        <f t="shared" si="13"/>
        <v>8</v>
      </c>
      <c r="R174" s="3">
        <f t="shared" si="14"/>
        <v>679.7</v>
      </c>
      <c r="S174" s="24" t="s">
        <v>1334</v>
      </c>
      <c r="T174" s="24" t="s">
        <v>1334</v>
      </c>
      <c r="U174" s="3"/>
      <c r="V174" s="25" t="s">
        <v>7842</v>
      </c>
      <c r="W174" s="25">
        <v>20517252558</v>
      </c>
      <c r="X174" s="25" t="str">
        <f>IFERROR(VLOOKUP(C_Ope_002[[#This Row],[nota_2]],Clientes_Proveedores[[Ruc / Dni]:[Razon Social]],2,0),"")</f>
        <v>COVISUR S.A.</v>
      </c>
      <c r="Y174" s="25"/>
      <c r="Z174" s="103"/>
      <c r="AA174" s="3" t="str">
        <f>IF(C_Ope_002[[#This Row],[fecha]]&gt;0,TEXT(C_Ope_002[[#This Row],[fecha]],"mmmm"),0)</f>
        <v>Mayo</v>
      </c>
      <c r="AB174" s="49"/>
    </row>
    <row r="175" spans="1:28" ht="36" x14ac:dyDescent="0.3">
      <c r="A175" s="2">
        <f>IF(C_Ope_002[[#This Row],[tipo_r]]="R",COUNTIFS($C$1:$C174,"R")+1,"")</f>
        <v>174</v>
      </c>
      <c r="B175" s="19" t="str">
        <f t="shared" si="11"/>
        <v>C_Ope_002</v>
      </c>
      <c r="C175" s="3" t="s">
        <v>1330</v>
      </c>
      <c r="D175" s="14">
        <v>45790</v>
      </c>
      <c r="E175" s="5" t="s">
        <v>8005</v>
      </c>
      <c r="F175" s="5" t="s">
        <v>1336</v>
      </c>
      <c r="G175" s="6" t="s">
        <v>978</v>
      </c>
      <c r="H175" s="6" t="s">
        <v>68</v>
      </c>
      <c r="I175" s="6" t="s">
        <v>6203</v>
      </c>
      <c r="J175" s="6">
        <v>2049153</v>
      </c>
      <c r="K175" s="7" t="s">
        <v>8087</v>
      </c>
      <c r="L175" s="8">
        <v>24201</v>
      </c>
      <c r="M175" s="8" t="str">
        <f t="shared" si="15"/>
        <v>PEN</v>
      </c>
      <c r="N175" s="13"/>
      <c r="O175" s="13">
        <v>8</v>
      </c>
      <c r="P175" s="3">
        <f t="shared" si="12"/>
        <v>0</v>
      </c>
      <c r="Q175" s="3">
        <f t="shared" si="13"/>
        <v>8</v>
      </c>
      <c r="R175" s="3">
        <f t="shared" si="14"/>
        <v>671.7</v>
      </c>
      <c r="S175" s="24" t="s">
        <v>1334</v>
      </c>
      <c r="T175" s="24" t="s">
        <v>1334</v>
      </c>
      <c r="U175" s="3"/>
      <c r="V175" s="25" t="s">
        <v>7842</v>
      </c>
      <c r="W175" s="25">
        <v>20517252558</v>
      </c>
      <c r="X175" s="25" t="str">
        <f>IFERROR(VLOOKUP(C_Ope_002[[#This Row],[nota_2]],Clientes_Proveedores[[Ruc / Dni]:[Razon Social]],2,0),"")</f>
        <v>COVISUR S.A.</v>
      </c>
      <c r="Y175" s="25"/>
      <c r="Z175" s="103"/>
      <c r="AA175" s="3" t="str">
        <f>IF(C_Ope_002[[#This Row],[fecha]]&gt;0,TEXT(C_Ope_002[[#This Row],[fecha]],"mmmm"),0)</f>
        <v>Mayo</v>
      </c>
      <c r="AB175" s="49"/>
    </row>
    <row r="176" spans="1:28" ht="36" x14ac:dyDescent="0.3">
      <c r="A176" s="2">
        <f>IF(C_Ope_002[[#This Row],[tipo_r]]="R",COUNTIFS($C$1:$C175,"R")+1,"")</f>
        <v>175</v>
      </c>
      <c r="B176" s="19" t="str">
        <f t="shared" si="11"/>
        <v>C_Ope_002</v>
      </c>
      <c r="C176" s="3" t="s">
        <v>1330</v>
      </c>
      <c r="D176" s="14">
        <v>45790</v>
      </c>
      <c r="E176" s="5" t="s">
        <v>8005</v>
      </c>
      <c r="F176" s="5" t="s">
        <v>1336</v>
      </c>
      <c r="G176" s="6" t="s">
        <v>978</v>
      </c>
      <c r="H176" s="6" t="s">
        <v>68</v>
      </c>
      <c r="I176" s="6" t="s">
        <v>6204</v>
      </c>
      <c r="J176" s="6">
        <v>1729479</v>
      </c>
      <c r="K176" s="7" t="s">
        <v>8087</v>
      </c>
      <c r="L176" s="8">
        <v>24202</v>
      </c>
      <c r="M176" s="8" t="str">
        <f t="shared" si="15"/>
        <v>PEN</v>
      </c>
      <c r="N176" s="13"/>
      <c r="O176" s="13">
        <v>8</v>
      </c>
      <c r="P176" s="3">
        <f t="shared" si="12"/>
        <v>0</v>
      </c>
      <c r="Q176" s="3">
        <f t="shared" si="13"/>
        <v>8</v>
      </c>
      <c r="R176" s="3">
        <f t="shared" si="14"/>
        <v>663.7</v>
      </c>
      <c r="S176" s="24" t="s">
        <v>1334</v>
      </c>
      <c r="T176" s="24" t="s">
        <v>1334</v>
      </c>
      <c r="U176" s="3"/>
      <c r="V176" s="25" t="s">
        <v>7842</v>
      </c>
      <c r="W176" s="25">
        <v>20517252558</v>
      </c>
      <c r="X176" s="25" t="str">
        <f>IFERROR(VLOOKUP(C_Ope_002[[#This Row],[nota_2]],Clientes_Proveedores[[Ruc / Dni]:[Razon Social]],2,0),"")</f>
        <v>COVISUR S.A.</v>
      </c>
      <c r="Y176" s="25"/>
      <c r="Z176" s="103"/>
      <c r="AA176" s="3" t="str">
        <f>IF(C_Ope_002[[#This Row],[fecha]]&gt;0,TEXT(C_Ope_002[[#This Row],[fecha]],"mmmm"),0)</f>
        <v>Mayo</v>
      </c>
      <c r="AB176" s="49"/>
    </row>
    <row r="177" spans="1:28" ht="24" x14ac:dyDescent="0.3">
      <c r="A177" s="2">
        <f>IF(C_Ope_002[[#This Row],[tipo_r]]="R",COUNTIFS($C$1:$C176,"R")+1,"")</f>
        <v>176</v>
      </c>
      <c r="B177" s="19" t="str">
        <f t="shared" si="11"/>
        <v>C_Ope_002</v>
      </c>
      <c r="C177" s="3" t="s">
        <v>1330</v>
      </c>
      <c r="D177" s="14">
        <v>45791</v>
      </c>
      <c r="E177" s="5" t="s">
        <v>8005</v>
      </c>
      <c r="F177" s="5" t="s">
        <v>1336</v>
      </c>
      <c r="G177" s="6" t="s">
        <v>978</v>
      </c>
      <c r="H177" s="6" t="s">
        <v>68</v>
      </c>
      <c r="I177" s="6" t="s">
        <v>6203</v>
      </c>
      <c r="J177" s="6">
        <v>2050056</v>
      </c>
      <c r="K177" s="7" t="s">
        <v>8088</v>
      </c>
      <c r="L177" s="8">
        <v>24229</v>
      </c>
      <c r="M177" s="8" t="str">
        <f t="shared" si="15"/>
        <v>PEN</v>
      </c>
      <c r="N177" s="13"/>
      <c r="O177" s="13">
        <v>8</v>
      </c>
      <c r="P177" s="3">
        <f t="shared" si="12"/>
        <v>0</v>
      </c>
      <c r="Q177" s="3">
        <f t="shared" si="13"/>
        <v>8</v>
      </c>
      <c r="R177" s="3">
        <f t="shared" si="14"/>
        <v>655.7</v>
      </c>
      <c r="S177" s="24" t="s">
        <v>1334</v>
      </c>
      <c r="T177" s="24" t="s">
        <v>1334</v>
      </c>
      <c r="U177" s="3"/>
      <c r="V177" s="25" t="s">
        <v>7842</v>
      </c>
      <c r="W177" s="25">
        <v>20517252558</v>
      </c>
      <c r="X177" s="25" t="str">
        <f>IFERROR(VLOOKUP(C_Ope_002[[#This Row],[nota_2]],Clientes_Proveedores[[Ruc / Dni]:[Razon Social]],2,0),"")</f>
        <v>COVISUR S.A.</v>
      </c>
      <c r="Y177" s="25"/>
      <c r="Z177" s="103"/>
      <c r="AA177" s="3" t="str">
        <f>IF(C_Ope_002[[#This Row],[fecha]]&gt;0,TEXT(C_Ope_002[[#This Row],[fecha]],"mmmm"),0)</f>
        <v>Mayo</v>
      </c>
      <c r="AB177" s="49"/>
    </row>
    <row r="178" spans="1:28" ht="24" x14ac:dyDescent="0.3">
      <c r="A178" s="2">
        <f>IF(C_Ope_002[[#This Row],[tipo_r]]="R",COUNTIFS($C$1:$C177,"R")+1,"")</f>
        <v>177</v>
      </c>
      <c r="B178" s="19" t="str">
        <f t="shared" si="11"/>
        <v>C_Ope_002</v>
      </c>
      <c r="C178" s="3" t="s">
        <v>1330</v>
      </c>
      <c r="D178" s="14">
        <v>45791</v>
      </c>
      <c r="E178" s="5" t="s">
        <v>8005</v>
      </c>
      <c r="F178" s="5" t="s">
        <v>1336</v>
      </c>
      <c r="G178" s="6" t="s">
        <v>978</v>
      </c>
      <c r="H178" s="6" t="s">
        <v>68</v>
      </c>
      <c r="I178" s="6" t="s">
        <v>6204</v>
      </c>
      <c r="J178" s="6">
        <v>1730452</v>
      </c>
      <c r="K178" s="7" t="s">
        <v>8088</v>
      </c>
      <c r="L178" s="8">
        <v>24230</v>
      </c>
      <c r="M178" s="8" t="str">
        <f t="shared" si="15"/>
        <v>PEN</v>
      </c>
      <c r="N178" s="13"/>
      <c r="O178" s="13">
        <v>8</v>
      </c>
      <c r="P178" s="3">
        <f t="shared" si="12"/>
        <v>0</v>
      </c>
      <c r="Q178" s="3">
        <f t="shared" si="13"/>
        <v>8</v>
      </c>
      <c r="R178" s="3">
        <f t="shared" si="14"/>
        <v>647.70000000000005</v>
      </c>
      <c r="S178" s="24" t="s">
        <v>1334</v>
      </c>
      <c r="T178" s="24" t="s">
        <v>1334</v>
      </c>
      <c r="U178" s="3"/>
      <c r="V178" s="25" t="s">
        <v>7842</v>
      </c>
      <c r="W178" s="25">
        <v>20517252558</v>
      </c>
      <c r="X178" s="25" t="str">
        <f>IFERROR(VLOOKUP(C_Ope_002[[#This Row],[nota_2]],Clientes_Proveedores[[Ruc / Dni]:[Razon Social]],2,0),"")</f>
        <v>COVISUR S.A.</v>
      </c>
      <c r="Y178" s="25"/>
      <c r="Z178" s="103"/>
      <c r="AA178" s="3" t="str">
        <f>IF(C_Ope_002[[#This Row],[fecha]]&gt;0,TEXT(C_Ope_002[[#This Row],[fecha]],"mmmm"),0)</f>
        <v>Mayo</v>
      </c>
      <c r="AB178" s="49"/>
    </row>
    <row r="179" spans="1:28" ht="24" x14ac:dyDescent="0.3">
      <c r="A179" s="2">
        <f>IF(C_Ope_002[[#This Row],[tipo_r]]="R",COUNTIFS($C$1:$C178,"R")+1,"")</f>
        <v>178</v>
      </c>
      <c r="B179" s="19" t="str">
        <f t="shared" si="11"/>
        <v>C_Ope_002</v>
      </c>
      <c r="C179" s="3" t="s">
        <v>1330</v>
      </c>
      <c r="D179" s="14">
        <v>45789</v>
      </c>
      <c r="E179" s="5" t="s">
        <v>8005</v>
      </c>
      <c r="F179" s="5" t="s">
        <v>1336</v>
      </c>
      <c r="G179" s="6" t="s">
        <v>999</v>
      </c>
      <c r="H179" s="6" t="s">
        <v>68</v>
      </c>
      <c r="I179" s="6" t="s">
        <v>1374</v>
      </c>
      <c r="J179" s="6">
        <v>17656</v>
      </c>
      <c r="K179" s="7" t="s">
        <v>7777</v>
      </c>
      <c r="L179" s="8">
        <v>24199</v>
      </c>
      <c r="M179" s="8" t="str">
        <f t="shared" si="15"/>
        <v>PEN</v>
      </c>
      <c r="N179" s="13"/>
      <c r="O179" s="13">
        <v>30</v>
      </c>
      <c r="P179" s="3">
        <f t="shared" si="12"/>
        <v>0</v>
      </c>
      <c r="Q179" s="3">
        <f t="shared" si="13"/>
        <v>30</v>
      </c>
      <c r="R179" s="3">
        <f t="shared" si="14"/>
        <v>617.70000000000005</v>
      </c>
      <c r="S179" s="24" t="s">
        <v>1334</v>
      </c>
      <c r="T179" s="24" t="s">
        <v>1334</v>
      </c>
      <c r="U179" s="3"/>
      <c r="V179" s="25" t="s">
        <v>7842</v>
      </c>
      <c r="W179" s="25">
        <v>10705628331</v>
      </c>
      <c r="X179" s="25" t="str">
        <f>IFERROR(VLOOKUP(C_Ope_002[[#This Row],[nota_2]],Clientes_Proveedores[[Ruc / Dni]:[Razon Social]],2,0),"")</f>
        <v>LARICO APAZA NANCY ROSSMARY</v>
      </c>
      <c r="Y179" s="25"/>
      <c r="Z179" s="103"/>
      <c r="AA179" s="3" t="str">
        <f>IF(C_Ope_002[[#This Row],[fecha]]&gt;0,TEXT(C_Ope_002[[#This Row],[fecha]],"mmmm"),0)</f>
        <v>Mayo</v>
      </c>
      <c r="AB179" s="49"/>
    </row>
    <row r="180" spans="1:28" ht="36" x14ac:dyDescent="0.3">
      <c r="A180" s="2">
        <f>IF(C_Ope_002[[#This Row],[tipo_r]]="R",COUNTIFS($C$1:$C179,"R")+1,"")</f>
        <v>179</v>
      </c>
      <c r="B180" s="19" t="str">
        <f t="shared" si="11"/>
        <v>C_Ope_002</v>
      </c>
      <c r="C180" s="3" t="s">
        <v>1330</v>
      </c>
      <c r="D180" s="14">
        <v>45797</v>
      </c>
      <c r="E180" s="5" t="s">
        <v>8005</v>
      </c>
      <c r="F180" s="5" t="s">
        <v>1336</v>
      </c>
      <c r="G180" s="6" t="s">
        <v>227</v>
      </c>
      <c r="H180" s="6" t="s">
        <v>68</v>
      </c>
      <c r="I180" s="6" t="s">
        <v>1390</v>
      </c>
      <c r="J180" s="6">
        <v>132085</v>
      </c>
      <c r="K180" s="7" t="s">
        <v>8089</v>
      </c>
      <c r="L180" s="8">
        <v>24231</v>
      </c>
      <c r="M180" s="8" t="str">
        <f t="shared" si="15"/>
        <v>PEN</v>
      </c>
      <c r="N180" s="13"/>
      <c r="O180" s="13">
        <v>10</v>
      </c>
      <c r="P180" s="3">
        <f t="shared" si="12"/>
        <v>0</v>
      </c>
      <c r="Q180" s="3">
        <f t="shared" si="13"/>
        <v>10</v>
      </c>
      <c r="R180" s="3">
        <f t="shared" si="14"/>
        <v>607.70000000000005</v>
      </c>
      <c r="S180" s="24" t="s">
        <v>1334</v>
      </c>
      <c r="T180" s="24" t="s">
        <v>1334</v>
      </c>
      <c r="U180" s="3"/>
      <c r="V180" s="25" t="s">
        <v>7842</v>
      </c>
      <c r="W180" s="25">
        <v>20124952850</v>
      </c>
      <c r="X180" s="25" t="str">
        <f>IFERROR(VLOOKUP(C_Ope_002[[#This Row],[nota_2]],Clientes_Proveedores[[Ruc / Dni]:[Razon Social]],2,0),"")</f>
        <v>ALIMENTOS Y SERVICIOS AGROPECUARIOS SRL.</v>
      </c>
      <c r="Y180" s="25"/>
      <c r="Z180" s="103"/>
      <c r="AA180" s="3" t="str">
        <f>IF(C_Ope_002[[#This Row],[fecha]]&gt;0,TEXT(C_Ope_002[[#This Row],[fecha]],"mmmm"),0)</f>
        <v>Mayo</v>
      </c>
      <c r="AB180" s="49"/>
    </row>
    <row r="181" spans="1:28" ht="36" x14ac:dyDescent="0.3">
      <c r="A181" s="2">
        <f>IF(C_Ope_002[[#This Row],[tipo_r]]="R",COUNTIFS($C$1:$C180,"R")+1,"")</f>
        <v>180</v>
      </c>
      <c r="B181" s="19" t="str">
        <f t="shared" si="11"/>
        <v>C_Ope_002</v>
      </c>
      <c r="C181" s="3" t="s">
        <v>1330</v>
      </c>
      <c r="D181" s="14">
        <v>45814</v>
      </c>
      <c r="E181" s="5" t="s">
        <v>8005</v>
      </c>
      <c r="F181" s="5" t="s">
        <v>1336</v>
      </c>
      <c r="G181" s="6" t="s">
        <v>978</v>
      </c>
      <c r="H181" s="6" t="s">
        <v>68</v>
      </c>
      <c r="I181" s="6" t="s">
        <v>5845</v>
      </c>
      <c r="J181" s="6">
        <v>1771106</v>
      </c>
      <c r="K181" s="7" t="s">
        <v>8090</v>
      </c>
      <c r="L181" s="8">
        <v>24506</v>
      </c>
      <c r="M181" s="8" t="str">
        <f t="shared" si="15"/>
        <v>PEN</v>
      </c>
      <c r="N181" s="13"/>
      <c r="O181" s="13">
        <v>8</v>
      </c>
      <c r="P181" s="3">
        <f t="shared" si="12"/>
        <v>0</v>
      </c>
      <c r="Q181" s="3">
        <f t="shared" si="13"/>
        <v>8</v>
      </c>
      <c r="R181" s="3">
        <f t="shared" si="14"/>
        <v>599.70000000000005</v>
      </c>
      <c r="S181" s="24" t="s">
        <v>1334</v>
      </c>
      <c r="T181" s="24" t="s">
        <v>1334</v>
      </c>
      <c r="U181" s="3"/>
      <c r="V181" s="25" t="s">
        <v>7842</v>
      </c>
      <c r="W181" s="25">
        <v>20517252558</v>
      </c>
      <c r="X181" s="25" t="str">
        <f>IFERROR(VLOOKUP(C_Ope_002[[#This Row],[nota_2]],Clientes_Proveedores[[Ruc / Dni]:[Razon Social]],2,0),"")</f>
        <v>COVISUR S.A.</v>
      </c>
      <c r="Y181" s="25"/>
      <c r="Z181" s="103"/>
      <c r="AA181" s="3" t="str">
        <f>IF(C_Ope_002[[#This Row],[fecha]]&gt;0,TEXT(C_Ope_002[[#This Row],[fecha]],"mmmm"),0)</f>
        <v>Junio</v>
      </c>
      <c r="AB181" s="49"/>
    </row>
    <row r="182" spans="1:28" ht="36" x14ac:dyDescent="0.3">
      <c r="A182" s="2">
        <f>IF(C_Ope_002[[#This Row],[tipo_r]]="R",COUNTIFS($C$1:$C181,"R")+1,"")</f>
        <v>181</v>
      </c>
      <c r="B182" s="19" t="str">
        <f t="shared" si="11"/>
        <v>C_Ope_002</v>
      </c>
      <c r="C182" s="3" t="s">
        <v>1330</v>
      </c>
      <c r="D182" s="14">
        <v>45814</v>
      </c>
      <c r="E182" s="5" t="s">
        <v>8005</v>
      </c>
      <c r="F182" s="5" t="s">
        <v>1336</v>
      </c>
      <c r="G182" s="6" t="s">
        <v>978</v>
      </c>
      <c r="H182" s="6" t="s">
        <v>68</v>
      </c>
      <c r="I182" s="6" t="s">
        <v>5688</v>
      </c>
      <c r="J182" s="6">
        <v>2356987</v>
      </c>
      <c r="K182" s="7" t="s">
        <v>8090</v>
      </c>
      <c r="L182" s="8">
        <v>24507</v>
      </c>
      <c r="M182" s="8" t="str">
        <f t="shared" si="15"/>
        <v>PEN</v>
      </c>
      <c r="N182" s="13"/>
      <c r="O182" s="13">
        <v>8</v>
      </c>
      <c r="P182" s="3">
        <f t="shared" si="12"/>
        <v>0</v>
      </c>
      <c r="Q182" s="3">
        <f t="shared" si="13"/>
        <v>8</v>
      </c>
      <c r="R182" s="3">
        <f t="shared" si="14"/>
        <v>591.70000000000005</v>
      </c>
      <c r="S182" s="24" t="s">
        <v>1334</v>
      </c>
      <c r="T182" s="24" t="s">
        <v>1334</v>
      </c>
      <c r="U182" s="3"/>
      <c r="V182" s="25" t="s">
        <v>7842</v>
      </c>
      <c r="W182" s="25">
        <v>20517252558</v>
      </c>
      <c r="X182" s="25" t="str">
        <f>IFERROR(VLOOKUP(C_Ope_002[[#This Row],[nota_2]],Clientes_Proveedores[[Ruc / Dni]:[Razon Social]],2,0),"")</f>
        <v>COVISUR S.A.</v>
      </c>
      <c r="Y182" s="25"/>
      <c r="Z182" s="103"/>
      <c r="AA182" s="3" t="str">
        <f>IF(C_Ope_002[[#This Row],[fecha]]&gt;0,TEXT(C_Ope_002[[#This Row],[fecha]],"mmmm"),0)</f>
        <v>Junio</v>
      </c>
      <c r="AB182" s="49"/>
    </row>
    <row r="183" spans="1:28" ht="24" x14ac:dyDescent="0.3">
      <c r="A183" s="2">
        <f>IF(C_Ope_002[[#This Row],[tipo_r]]="R",COUNTIFS($C$1:$C182,"R")+1,"")</f>
        <v>182</v>
      </c>
      <c r="B183" s="19" t="str">
        <f t="shared" si="11"/>
        <v>C_Ope_002</v>
      </c>
      <c r="C183" s="3" t="s">
        <v>1330</v>
      </c>
      <c r="D183" s="14">
        <v>45811</v>
      </c>
      <c r="E183" s="5" t="s">
        <v>8005</v>
      </c>
      <c r="F183" s="5" t="s">
        <v>1336</v>
      </c>
      <c r="G183" s="6" t="s">
        <v>998</v>
      </c>
      <c r="H183" s="6" t="s">
        <v>68</v>
      </c>
      <c r="I183" s="6" t="s">
        <v>6378</v>
      </c>
      <c r="J183" s="6">
        <v>1157</v>
      </c>
      <c r="K183" s="7" t="s">
        <v>7815</v>
      </c>
      <c r="L183" s="8">
        <v>24505</v>
      </c>
      <c r="M183" s="8" t="str">
        <f t="shared" si="15"/>
        <v>PEN</v>
      </c>
      <c r="N183" s="13"/>
      <c r="O183" s="13">
        <v>10</v>
      </c>
      <c r="P183" s="3">
        <f t="shared" si="12"/>
        <v>0</v>
      </c>
      <c r="Q183" s="3">
        <f t="shared" si="13"/>
        <v>10</v>
      </c>
      <c r="R183" s="3">
        <f t="shared" si="14"/>
        <v>581.70000000000005</v>
      </c>
      <c r="S183" s="24" t="s">
        <v>1334</v>
      </c>
      <c r="T183" s="24" t="s">
        <v>1334</v>
      </c>
      <c r="U183" s="3"/>
      <c r="V183" s="25" t="s">
        <v>7761</v>
      </c>
      <c r="W183" s="25">
        <v>20612112500</v>
      </c>
      <c r="X183" s="25" t="str">
        <f>IFERROR(VLOOKUP(C_Ope_002[[#This Row],[nota_2]],Clientes_Proveedores[[Ruc / Dni]:[Razon Social]],2,0),"")</f>
        <v>RECICLADORA LAS LOMAS E.I.R.L.</v>
      </c>
      <c r="Y183" s="25"/>
      <c r="Z183" s="103"/>
      <c r="AA183" s="3" t="str">
        <f>IF(C_Ope_002[[#This Row],[fecha]]&gt;0,TEXT(C_Ope_002[[#This Row],[fecha]],"mmmm"),0)</f>
        <v>Junio</v>
      </c>
      <c r="AB183" s="49"/>
    </row>
    <row r="184" spans="1:28" ht="24" x14ac:dyDescent="0.3">
      <c r="A184" s="2">
        <f>IF(C_Ope_002[[#This Row],[tipo_r]]="R",COUNTIFS($C$1:$C183,"R")+1,"")</f>
        <v>183</v>
      </c>
      <c r="B184" s="19" t="str">
        <f t="shared" si="11"/>
        <v>C_Ope_002</v>
      </c>
      <c r="C184" s="3" t="s">
        <v>1330</v>
      </c>
      <c r="D184" s="14">
        <v>45817</v>
      </c>
      <c r="E184" s="5" t="s">
        <v>8005</v>
      </c>
      <c r="F184" s="5" t="s">
        <v>1336</v>
      </c>
      <c r="G184" s="6" t="s">
        <v>978</v>
      </c>
      <c r="H184" s="6" t="s">
        <v>68</v>
      </c>
      <c r="I184" s="6" t="s">
        <v>5845</v>
      </c>
      <c r="J184" s="6">
        <v>1773643</v>
      </c>
      <c r="K184" s="7" t="s">
        <v>8091</v>
      </c>
      <c r="L184" s="8">
        <v>24534</v>
      </c>
      <c r="M184" s="8" t="str">
        <f t="shared" si="15"/>
        <v>PEN</v>
      </c>
      <c r="N184" s="13"/>
      <c r="O184" s="13">
        <v>8</v>
      </c>
      <c r="P184" s="3">
        <f t="shared" si="12"/>
        <v>0</v>
      </c>
      <c r="Q184" s="3">
        <f t="shared" si="13"/>
        <v>8</v>
      </c>
      <c r="R184" s="3">
        <f t="shared" si="14"/>
        <v>573.70000000000005</v>
      </c>
      <c r="S184" s="24" t="s">
        <v>1334</v>
      </c>
      <c r="T184" s="24" t="s">
        <v>1334</v>
      </c>
      <c r="U184" s="3"/>
      <c r="V184" s="25" t="s">
        <v>7842</v>
      </c>
      <c r="W184" s="25">
        <v>20517252558</v>
      </c>
      <c r="X184" s="25" t="str">
        <f>IFERROR(VLOOKUP(C_Ope_002[[#This Row],[nota_2]],Clientes_Proveedores[[Ruc / Dni]:[Razon Social]],2,0),"")</f>
        <v>COVISUR S.A.</v>
      </c>
      <c r="Y184" s="25"/>
      <c r="Z184" s="103"/>
      <c r="AA184" s="3" t="str">
        <f>IF(C_Ope_002[[#This Row],[fecha]]&gt;0,TEXT(C_Ope_002[[#This Row],[fecha]],"mmmm"),0)</f>
        <v>Junio</v>
      </c>
      <c r="AB184" s="49"/>
    </row>
    <row r="185" spans="1:28" ht="24" x14ac:dyDescent="0.3">
      <c r="A185" s="2">
        <f>IF(C_Ope_002[[#This Row],[tipo_r]]="R",COUNTIFS($C$1:$C184,"R")+1,"")</f>
        <v>184</v>
      </c>
      <c r="B185" s="19" t="str">
        <f t="shared" si="11"/>
        <v>C_Ope_002</v>
      </c>
      <c r="C185" s="3" t="s">
        <v>1330</v>
      </c>
      <c r="D185" s="14">
        <v>45817</v>
      </c>
      <c r="E185" s="5" t="s">
        <v>8005</v>
      </c>
      <c r="F185" s="5" t="s">
        <v>1336</v>
      </c>
      <c r="G185" s="6" t="s">
        <v>978</v>
      </c>
      <c r="H185" s="6" t="s">
        <v>68</v>
      </c>
      <c r="I185" s="6" t="s">
        <v>5688</v>
      </c>
      <c r="J185" s="6">
        <v>2360157</v>
      </c>
      <c r="K185" s="7" t="s">
        <v>8091</v>
      </c>
      <c r="L185" s="8">
        <v>24535</v>
      </c>
      <c r="M185" s="8" t="str">
        <f t="shared" si="15"/>
        <v>PEN</v>
      </c>
      <c r="N185" s="13"/>
      <c r="O185" s="13">
        <v>8</v>
      </c>
      <c r="P185" s="3">
        <f t="shared" si="12"/>
        <v>0</v>
      </c>
      <c r="Q185" s="3">
        <f t="shared" si="13"/>
        <v>8</v>
      </c>
      <c r="R185" s="3">
        <f t="shared" si="14"/>
        <v>565.70000000000005</v>
      </c>
      <c r="S185" s="24" t="s">
        <v>1334</v>
      </c>
      <c r="T185" s="24" t="s">
        <v>1334</v>
      </c>
      <c r="U185" s="3"/>
      <c r="V185" s="25" t="s">
        <v>7842</v>
      </c>
      <c r="W185" s="25">
        <v>20517252558</v>
      </c>
      <c r="X185" s="25" t="str">
        <f>IFERROR(VLOOKUP(C_Ope_002[[#This Row],[nota_2]],Clientes_Proveedores[[Ruc / Dni]:[Razon Social]],2,0),"")</f>
        <v>COVISUR S.A.</v>
      </c>
      <c r="Y185" s="25"/>
      <c r="Z185" s="103"/>
      <c r="AA185" s="3" t="str">
        <f>IF(C_Ope_002[[#This Row],[fecha]]&gt;0,TEXT(C_Ope_002[[#This Row],[fecha]],"mmmm"),0)</f>
        <v>Junio</v>
      </c>
      <c r="AB185" s="49"/>
    </row>
    <row r="186" spans="1:28" x14ac:dyDescent="0.3">
      <c r="A186" s="2">
        <f>IF(C_Ope_002[[#This Row],[tipo_r]]="R",COUNTIFS($C$1:$C185,"R")+1,"")</f>
        <v>185</v>
      </c>
      <c r="B186" s="19" t="str">
        <f t="shared" si="11"/>
        <v>C_Ope_002</v>
      </c>
      <c r="C186" s="3" t="s">
        <v>1330</v>
      </c>
      <c r="D186" s="14">
        <v>45818</v>
      </c>
      <c r="E186" s="5" t="s">
        <v>8005</v>
      </c>
      <c r="F186" s="5" t="s">
        <v>1336</v>
      </c>
      <c r="G186" s="6" t="s">
        <v>978</v>
      </c>
      <c r="H186" s="6" t="s">
        <v>68</v>
      </c>
      <c r="I186" s="6" t="s">
        <v>6203</v>
      </c>
      <c r="J186" s="6">
        <v>2077542</v>
      </c>
      <c r="K186" s="7" t="s">
        <v>8092</v>
      </c>
      <c r="L186" s="8">
        <v>24536</v>
      </c>
      <c r="M186" s="8" t="str">
        <f t="shared" si="15"/>
        <v>PEN</v>
      </c>
      <c r="N186" s="13"/>
      <c r="O186" s="13">
        <v>8</v>
      </c>
      <c r="P186" s="3">
        <f t="shared" si="12"/>
        <v>0</v>
      </c>
      <c r="Q186" s="3">
        <f t="shared" si="13"/>
        <v>8</v>
      </c>
      <c r="R186" s="3">
        <f t="shared" si="14"/>
        <v>557.70000000000005</v>
      </c>
      <c r="S186" s="24" t="s">
        <v>1334</v>
      </c>
      <c r="T186" s="24" t="s">
        <v>1334</v>
      </c>
      <c r="U186" s="3"/>
      <c r="V186" s="25" t="s">
        <v>7842</v>
      </c>
      <c r="W186" s="25">
        <v>20517252558</v>
      </c>
      <c r="X186" s="25" t="str">
        <f>IFERROR(VLOOKUP(C_Ope_002[[#This Row],[nota_2]],Clientes_Proveedores[[Ruc / Dni]:[Razon Social]],2,0),"")</f>
        <v>COVISUR S.A.</v>
      </c>
      <c r="Y186" s="25"/>
      <c r="Z186" s="103"/>
      <c r="AA186" s="3" t="str">
        <f>IF(C_Ope_002[[#This Row],[fecha]]&gt;0,TEXT(C_Ope_002[[#This Row],[fecha]],"mmmm"),0)</f>
        <v>Junio</v>
      </c>
      <c r="AB186" s="49"/>
    </row>
    <row r="187" spans="1:28" x14ac:dyDescent="0.3">
      <c r="A187" s="2">
        <f>IF(C_Ope_002[[#This Row],[tipo_r]]="R",COUNTIFS($C$1:$C186,"R")+1,"")</f>
        <v>186</v>
      </c>
      <c r="B187" s="19" t="str">
        <f t="shared" si="11"/>
        <v>C_Ope_002</v>
      </c>
      <c r="C187" s="3" t="s">
        <v>1330</v>
      </c>
      <c r="D187" s="14">
        <v>45818</v>
      </c>
      <c r="E187" s="5" t="s">
        <v>8005</v>
      </c>
      <c r="F187" s="5" t="s">
        <v>1336</v>
      </c>
      <c r="G187" s="6" t="s">
        <v>978</v>
      </c>
      <c r="H187" s="6" t="s">
        <v>68</v>
      </c>
      <c r="I187" s="6" t="s">
        <v>5688</v>
      </c>
      <c r="J187" s="6">
        <v>2361629</v>
      </c>
      <c r="K187" s="7" t="s">
        <v>8092</v>
      </c>
      <c r="L187" s="8">
        <v>24537</v>
      </c>
      <c r="M187" s="8" t="str">
        <f t="shared" si="15"/>
        <v>PEN</v>
      </c>
      <c r="N187" s="13"/>
      <c r="O187" s="13">
        <v>8</v>
      </c>
      <c r="P187" s="3">
        <f t="shared" si="12"/>
        <v>0</v>
      </c>
      <c r="Q187" s="3">
        <f t="shared" si="13"/>
        <v>8</v>
      </c>
      <c r="R187" s="3">
        <f t="shared" si="14"/>
        <v>549.70000000000005</v>
      </c>
      <c r="S187" s="24" t="s">
        <v>1334</v>
      </c>
      <c r="T187" s="24" t="s">
        <v>1334</v>
      </c>
      <c r="U187" s="3"/>
      <c r="V187" s="25" t="s">
        <v>7842</v>
      </c>
      <c r="W187" s="25">
        <v>20517252558</v>
      </c>
      <c r="X187" s="25" t="str">
        <f>IFERROR(VLOOKUP(C_Ope_002[[#This Row],[nota_2]],Clientes_Proveedores[[Ruc / Dni]:[Razon Social]],2,0),"")</f>
        <v>COVISUR S.A.</v>
      </c>
      <c r="Y187" s="25"/>
      <c r="Z187" s="103"/>
      <c r="AA187" s="3" t="str">
        <f>IF(C_Ope_002[[#This Row],[fecha]]&gt;0,TEXT(C_Ope_002[[#This Row],[fecha]],"mmmm"),0)</f>
        <v>Junio</v>
      </c>
      <c r="AB187" s="49"/>
    </row>
    <row r="188" spans="1:28" x14ac:dyDescent="0.3">
      <c r="A188" s="2">
        <f>IF(C_Ope_002[[#This Row],[tipo_r]]="R",COUNTIFS($C$1:$C187,"R")+1,"")</f>
        <v>187</v>
      </c>
      <c r="B188" s="19" t="str">
        <f t="shared" si="11"/>
        <v>C_Ope_002</v>
      </c>
      <c r="C188" s="3" t="s">
        <v>1330</v>
      </c>
      <c r="D188" s="14">
        <v>45818</v>
      </c>
      <c r="E188" s="5" t="s">
        <v>8005</v>
      </c>
      <c r="F188" s="5" t="s">
        <v>1336</v>
      </c>
      <c r="G188" s="6" t="s">
        <v>978</v>
      </c>
      <c r="H188" s="6" t="s">
        <v>68</v>
      </c>
      <c r="I188" s="6" t="s">
        <v>5845</v>
      </c>
      <c r="J188" s="6">
        <v>1774271</v>
      </c>
      <c r="K188" s="7" t="s">
        <v>8092</v>
      </c>
      <c r="L188" s="8">
        <v>24538</v>
      </c>
      <c r="M188" s="8" t="str">
        <f t="shared" si="15"/>
        <v>PEN</v>
      </c>
      <c r="N188" s="13"/>
      <c r="O188" s="13">
        <v>8</v>
      </c>
      <c r="P188" s="3">
        <f t="shared" si="12"/>
        <v>0</v>
      </c>
      <c r="Q188" s="3">
        <f t="shared" si="13"/>
        <v>8</v>
      </c>
      <c r="R188" s="3">
        <f t="shared" si="14"/>
        <v>541.70000000000005</v>
      </c>
      <c r="S188" s="24" t="s">
        <v>1334</v>
      </c>
      <c r="T188" s="24" t="s">
        <v>1334</v>
      </c>
      <c r="U188" s="3"/>
      <c r="V188" s="25" t="s">
        <v>7842</v>
      </c>
      <c r="W188" s="25">
        <v>20517252558</v>
      </c>
      <c r="X188" s="25" t="str">
        <f>IFERROR(VLOOKUP(C_Ope_002[[#This Row],[nota_2]],Clientes_Proveedores[[Ruc / Dni]:[Razon Social]],2,0),"")</f>
        <v>COVISUR S.A.</v>
      </c>
      <c r="Y188" s="25"/>
      <c r="Z188" s="103"/>
      <c r="AA188" s="3" t="str">
        <f>IF(C_Ope_002[[#This Row],[fecha]]&gt;0,TEXT(C_Ope_002[[#This Row],[fecha]],"mmmm"),0)</f>
        <v>Junio</v>
      </c>
      <c r="AB188" s="49"/>
    </row>
    <row r="189" spans="1:28" x14ac:dyDescent="0.3">
      <c r="A189" s="2">
        <f>IF(C_Ope_002[[#This Row],[tipo_r]]="R",COUNTIFS($C$1:$C188,"R")+1,"")</f>
        <v>188</v>
      </c>
      <c r="B189" s="19" t="str">
        <f t="shared" si="11"/>
        <v>C_Ope_002</v>
      </c>
      <c r="C189" s="3" t="s">
        <v>1330</v>
      </c>
      <c r="D189" s="14">
        <v>45818</v>
      </c>
      <c r="E189" s="5" t="s">
        <v>8005</v>
      </c>
      <c r="F189" s="5" t="s">
        <v>1336</v>
      </c>
      <c r="G189" s="6" t="s">
        <v>978</v>
      </c>
      <c r="H189" s="6" t="s">
        <v>68</v>
      </c>
      <c r="I189" s="6" t="s">
        <v>5688</v>
      </c>
      <c r="J189" s="6">
        <v>2361341</v>
      </c>
      <c r="K189" s="7" t="s">
        <v>8092</v>
      </c>
      <c r="L189" s="8">
        <v>24539</v>
      </c>
      <c r="M189" s="8" t="str">
        <f t="shared" si="15"/>
        <v>PEN</v>
      </c>
      <c r="N189" s="13"/>
      <c r="O189" s="13">
        <v>8</v>
      </c>
      <c r="P189" s="3">
        <f t="shared" si="12"/>
        <v>0</v>
      </c>
      <c r="Q189" s="3">
        <f t="shared" si="13"/>
        <v>8</v>
      </c>
      <c r="R189" s="3">
        <f t="shared" si="14"/>
        <v>533.70000000000005</v>
      </c>
      <c r="S189" s="24" t="s">
        <v>1334</v>
      </c>
      <c r="T189" s="24" t="s">
        <v>1334</v>
      </c>
      <c r="U189" s="3"/>
      <c r="V189" s="25" t="s">
        <v>7842</v>
      </c>
      <c r="W189" s="25">
        <v>20517252558</v>
      </c>
      <c r="X189" s="25" t="str">
        <f>IFERROR(VLOOKUP(C_Ope_002[[#This Row],[nota_2]],Clientes_Proveedores[[Ruc / Dni]:[Razon Social]],2,0),"")</f>
        <v>COVISUR S.A.</v>
      </c>
      <c r="Y189" s="25"/>
      <c r="Z189" s="103"/>
      <c r="AA189" s="3" t="str">
        <f>IF(C_Ope_002[[#This Row],[fecha]]&gt;0,TEXT(C_Ope_002[[#This Row],[fecha]],"mmmm"),0)</f>
        <v>Junio</v>
      </c>
      <c r="AB189" s="49"/>
    </row>
    <row r="190" spans="1:28" ht="24" x14ac:dyDescent="0.3">
      <c r="A190" s="2">
        <f>IF(C_Ope_002[[#This Row],[tipo_r]]="R",COUNTIFS($C$1:$C189,"R")+1,"")</f>
        <v>189</v>
      </c>
      <c r="B190" s="19" t="str">
        <f t="shared" si="11"/>
        <v>C_Ope_002</v>
      </c>
      <c r="C190" s="3" t="s">
        <v>1330</v>
      </c>
      <c r="D190" s="14">
        <v>45819</v>
      </c>
      <c r="E190" s="5" t="s">
        <v>8005</v>
      </c>
      <c r="F190" s="5" t="s">
        <v>1336</v>
      </c>
      <c r="G190" s="6" t="s">
        <v>978</v>
      </c>
      <c r="H190" s="6" t="s">
        <v>68</v>
      </c>
      <c r="I190" s="6" t="s">
        <v>6203</v>
      </c>
      <c r="J190" s="6">
        <v>2078583</v>
      </c>
      <c r="K190" s="7" t="s">
        <v>8093</v>
      </c>
      <c r="L190" s="8">
        <v>24540</v>
      </c>
      <c r="M190" s="8" t="str">
        <f t="shared" si="15"/>
        <v>PEN</v>
      </c>
      <c r="N190" s="13"/>
      <c r="O190" s="13">
        <v>8</v>
      </c>
      <c r="P190" s="3">
        <f t="shared" si="12"/>
        <v>0</v>
      </c>
      <c r="Q190" s="3">
        <f t="shared" si="13"/>
        <v>8</v>
      </c>
      <c r="R190" s="3">
        <f t="shared" si="14"/>
        <v>525.70000000000005</v>
      </c>
      <c r="S190" s="24" t="s">
        <v>1334</v>
      </c>
      <c r="T190" s="24" t="s">
        <v>1334</v>
      </c>
      <c r="U190" s="3"/>
      <c r="V190" s="25" t="s">
        <v>7842</v>
      </c>
      <c r="W190" s="25">
        <v>20517252558</v>
      </c>
      <c r="X190" s="25" t="str">
        <f>IFERROR(VLOOKUP(C_Ope_002[[#This Row],[nota_2]],Clientes_Proveedores[[Ruc / Dni]:[Razon Social]],2,0),"")</f>
        <v>COVISUR S.A.</v>
      </c>
      <c r="Y190" s="25"/>
      <c r="Z190" s="103"/>
      <c r="AA190" s="3" t="str">
        <f>IF(C_Ope_002[[#This Row],[fecha]]&gt;0,TEXT(C_Ope_002[[#This Row],[fecha]],"mmmm"),0)</f>
        <v>Junio</v>
      </c>
      <c r="AB190" s="49"/>
    </row>
    <row r="191" spans="1:28" ht="24" x14ac:dyDescent="0.3">
      <c r="A191" s="2">
        <f>IF(C_Ope_002[[#This Row],[tipo_r]]="R",COUNTIFS($C$1:$C190,"R")+1,"")</f>
        <v>190</v>
      </c>
      <c r="B191" s="19" t="str">
        <f t="shared" si="11"/>
        <v>C_Ope_002</v>
      </c>
      <c r="C191" s="3" t="s">
        <v>1330</v>
      </c>
      <c r="D191" s="14">
        <v>45819</v>
      </c>
      <c r="E191" s="5" t="s">
        <v>8005</v>
      </c>
      <c r="F191" s="5" t="s">
        <v>1336</v>
      </c>
      <c r="G191" s="6" t="s">
        <v>978</v>
      </c>
      <c r="H191" s="6" t="s">
        <v>68</v>
      </c>
      <c r="I191" s="6" t="s">
        <v>5688</v>
      </c>
      <c r="J191" s="6">
        <v>2362609</v>
      </c>
      <c r="K191" s="7" t="s">
        <v>8093</v>
      </c>
      <c r="L191" s="8">
        <v>24541</v>
      </c>
      <c r="M191" s="8" t="str">
        <f t="shared" si="15"/>
        <v>PEN</v>
      </c>
      <c r="N191" s="13"/>
      <c r="O191" s="13">
        <v>8</v>
      </c>
      <c r="P191" s="3">
        <f t="shared" si="12"/>
        <v>0</v>
      </c>
      <c r="Q191" s="3">
        <f t="shared" si="13"/>
        <v>8</v>
      </c>
      <c r="R191" s="3">
        <f t="shared" si="14"/>
        <v>517.70000000000005</v>
      </c>
      <c r="S191" s="24" t="s">
        <v>1334</v>
      </c>
      <c r="T191" s="24" t="s">
        <v>1334</v>
      </c>
      <c r="U191" s="3"/>
      <c r="V191" s="25" t="s">
        <v>7842</v>
      </c>
      <c r="W191" s="25">
        <v>20517252558</v>
      </c>
      <c r="X191" s="25" t="str">
        <f>IFERROR(VLOOKUP(C_Ope_002[[#This Row],[nota_2]],Clientes_Proveedores[[Ruc / Dni]:[Razon Social]],2,0),"")</f>
        <v>COVISUR S.A.</v>
      </c>
      <c r="Y191" s="25"/>
      <c r="Z191" s="103"/>
      <c r="AA191" s="3" t="str">
        <f>IF(C_Ope_002[[#This Row],[fecha]]&gt;0,TEXT(C_Ope_002[[#This Row],[fecha]],"mmmm"),0)</f>
        <v>Junio</v>
      </c>
      <c r="AB191" s="49"/>
    </row>
    <row r="192" spans="1:28" ht="24" x14ac:dyDescent="0.3">
      <c r="A192" s="2">
        <f>IF(C_Ope_002[[#This Row],[tipo_r]]="R",COUNTIFS($C$1:$C191,"R")+1,"")</f>
        <v>191</v>
      </c>
      <c r="B192" s="19" t="str">
        <f t="shared" si="11"/>
        <v>C_Ope_002</v>
      </c>
      <c r="C192" s="3" t="s">
        <v>1330</v>
      </c>
      <c r="D192" s="14">
        <v>45820</v>
      </c>
      <c r="E192" s="5" t="s">
        <v>8005</v>
      </c>
      <c r="F192" s="5" t="s">
        <v>1336</v>
      </c>
      <c r="G192" s="6" t="s">
        <v>978</v>
      </c>
      <c r="H192" s="6" t="s">
        <v>68</v>
      </c>
      <c r="I192" s="6" t="s">
        <v>6203</v>
      </c>
      <c r="J192" s="6">
        <v>2079878</v>
      </c>
      <c r="K192" s="7" t="s">
        <v>7814</v>
      </c>
      <c r="L192" s="8">
        <v>24576</v>
      </c>
      <c r="M192" s="8" t="str">
        <f t="shared" si="15"/>
        <v>PEN</v>
      </c>
      <c r="N192" s="13"/>
      <c r="O192" s="13">
        <v>8</v>
      </c>
      <c r="P192" s="3">
        <f t="shared" si="12"/>
        <v>0</v>
      </c>
      <c r="Q192" s="3">
        <f t="shared" si="13"/>
        <v>8</v>
      </c>
      <c r="R192" s="3">
        <f t="shared" si="14"/>
        <v>509.70000000000005</v>
      </c>
      <c r="S192" s="24" t="s">
        <v>1334</v>
      </c>
      <c r="T192" s="24" t="s">
        <v>1334</v>
      </c>
      <c r="U192" s="3"/>
      <c r="V192" s="25" t="s">
        <v>7842</v>
      </c>
      <c r="W192" s="25">
        <v>20517252558</v>
      </c>
      <c r="X192" s="25" t="str">
        <f>IFERROR(VLOOKUP(C_Ope_002[[#This Row],[nota_2]],Clientes_Proveedores[[Ruc / Dni]:[Razon Social]],2,0),"")</f>
        <v>COVISUR S.A.</v>
      </c>
      <c r="Y192" s="25"/>
      <c r="Z192" s="103"/>
      <c r="AA192" s="3" t="str">
        <f>IF(C_Ope_002[[#This Row],[fecha]]&gt;0,TEXT(C_Ope_002[[#This Row],[fecha]],"mmmm"),0)</f>
        <v>Junio</v>
      </c>
      <c r="AB192" s="49"/>
    </row>
    <row r="193" spans="1:28" ht="24" x14ac:dyDescent="0.3">
      <c r="A193" s="2">
        <f>IF(C_Ope_002[[#This Row],[tipo_r]]="R",COUNTIFS($C$1:$C192,"R")+1,"")</f>
        <v>192</v>
      </c>
      <c r="B193" s="19" t="str">
        <f t="shared" si="11"/>
        <v>C_Ope_002</v>
      </c>
      <c r="C193" s="3" t="s">
        <v>1330</v>
      </c>
      <c r="D193" s="14">
        <v>45820</v>
      </c>
      <c r="E193" s="5" t="s">
        <v>8005</v>
      </c>
      <c r="F193" s="5" t="s">
        <v>1336</v>
      </c>
      <c r="G193" s="6" t="s">
        <v>978</v>
      </c>
      <c r="H193" s="6" t="s">
        <v>68</v>
      </c>
      <c r="I193" s="6" t="s">
        <v>5688</v>
      </c>
      <c r="J193" s="6">
        <v>2363758</v>
      </c>
      <c r="K193" s="7" t="s">
        <v>7814</v>
      </c>
      <c r="L193" s="8">
        <v>24577</v>
      </c>
      <c r="M193" s="8" t="str">
        <f t="shared" si="15"/>
        <v>PEN</v>
      </c>
      <c r="N193" s="13"/>
      <c r="O193" s="13">
        <v>8</v>
      </c>
      <c r="P193" s="3">
        <f t="shared" si="12"/>
        <v>0</v>
      </c>
      <c r="Q193" s="3">
        <f t="shared" si="13"/>
        <v>8</v>
      </c>
      <c r="R193" s="3">
        <f t="shared" si="14"/>
        <v>501.70000000000005</v>
      </c>
      <c r="S193" s="24" t="s">
        <v>1334</v>
      </c>
      <c r="T193" s="24" t="s">
        <v>1334</v>
      </c>
      <c r="U193" s="3"/>
      <c r="V193" s="25" t="s">
        <v>7842</v>
      </c>
      <c r="W193" s="25">
        <v>20517252558</v>
      </c>
      <c r="X193" s="25" t="str">
        <f>IFERROR(VLOOKUP(C_Ope_002[[#This Row],[nota_2]],Clientes_Proveedores[[Ruc / Dni]:[Razon Social]],2,0),"")</f>
        <v>COVISUR S.A.</v>
      </c>
      <c r="Y193" s="25"/>
      <c r="Z193" s="103"/>
      <c r="AA193" s="3" t="str">
        <f>IF(C_Ope_002[[#This Row],[fecha]]&gt;0,TEXT(C_Ope_002[[#This Row],[fecha]],"mmmm"),0)</f>
        <v>Junio</v>
      </c>
      <c r="AB193" s="49"/>
    </row>
    <row r="194" spans="1:28" ht="24" x14ac:dyDescent="0.3">
      <c r="A194" s="2">
        <f>IF(C_Ope_002[[#This Row],[tipo_r]]="R",COUNTIFS($C$1:$C193,"R")+1,"")</f>
        <v>193</v>
      </c>
      <c r="B194" s="19" t="str">
        <f t="shared" ref="B194:B219" si="16">"C_Ope_002"</f>
        <v>C_Ope_002</v>
      </c>
      <c r="C194" s="3" t="s">
        <v>1330</v>
      </c>
      <c r="D194" s="14">
        <v>45821</v>
      </c>
      <c r="E194" s="5" t="s">
        <v>8005</v>
      </c>
      <c r="F194" s="5" t="s">
        <v>1336</v>
      </c>
      <c r="G194" s="6" t="s">
        <v>978</v>
      </c>
      <c r="H194" s="6" t="s">
        <v>68</v>
      </c>
      <c r="I194" s="6" t="s">
        <v>5845</v>
      </c>
      <c r="J194" s="6">
        <v>1777760</v>
      </c>
      <c r="K194" s="7" t="s">
        <v>8094</v>
      </c>
      <c r="L194" s="8">
        <v>24578</v>
      </c>
      <c r="M194" s="8" t="str">
        <f t="shared" si="15"/>
        <v>PEN</v>
      </c>
      <c r="N194" s="13"/>
      <c r="O194" s="13">
        <v>8</v>
      </c>
      <c r="P194" s="3">
        <f t="shared" ref="P194:P236" si="17">+IF(OR($F194="SALDO",$F194="INGRESO"),$O194,0)</f>
        <v>0</v>
      </c>
      <c r="Q194" s="3">
        <f t="shared" ref="Q194:Q236" si="18">+IF($F194="EGRESO",$O194,0)</f>
        <v>8</v>
      </c>
      <c r="R194" s="3">
        <f t="shared" ref="R194:R257" si="19">IFERROR(IF(F194="SALDO",P194,R193+P194-Q194),0)</f>
        <v>493.70000000000005</v>
      </c>
      <c r="S194" s="24" t="s">
        <v>1334</v>
      </c>
      <c r="T194" s="24" t="s">
        <v>1334</v>
      </c>
      <c r="U194" s="3"/>
      <c r="V194" s="25" t="s">
        <v>7842</v>
      </c>
      <c r="W194" s="25">
        <v>20517252558</v>
      </c>
      <c r="X194" s="25" t="str">
        <f>IFERROR(VLOOKUP(C_Ope_002[[#This Row],[nota_2]],Clientes_Proveedores[[Ruc / Dni]:[Razon Social]],2,0),"")</f>
        <v>COVISUR S.A.</v>
      </c>
      <c r="Y194" s="25"/>
      <c r="Z194" s="103"/>
      <c r="AA194" s="3" t="str">
        <f>IF(C_Ope_002[[#This Row],[fecha]]&gt;0,TEXT(C_Ope_002[[#This Row],[fecha]],"mmmm"),0)</f>
        <v>Junio</v>
      </c>
      <c r="AB194" s="49"/>
    </row>
    <row r="195" spans="1:28" ht="24" x14ac:dyDescent="0.3">
      <c r="A195" s="2">
        <f>IF(C_Ope_002[[#This Row],[tipo_r]]="R",COUNTIFS($C$1:$C194,"R")+1,"")</f>
        <v>194</v>
      </c>
      <c r="B195" s="19" t="str">
        <f t="shared" si="16"/>
        <v>C_Ope_002</v>
      </c>
      <c r="C195" s="3" t="s">
        <v>1330</v>
      </c>
      <c r="D195" s="14">
        <v>45821</v>
      </c>
      <c r="E195" s="5" t="s">
        <v>8005</v>
      </c>
      <c r="F195" s="5" t="s">
        <v>1336</v>
      </c>
      <c r="G195" s="6" t="s">
        <v>978</v>
      </c>
      <c r="H195" s="6" t="s">
        <v>68</v>
      </c>
      <c r="I195" s="6" t="s">
        <v>5688</v>
      </c>
      <c r="J195" s="6">
        <v>2365082</v>
      </c>
      <c r="K195" s="7" t="s">
        <v>8094</v>
      </c>
      <c r="L195" s="8">
        <v>24579</v>
      </c>
      <c r="M195" s="8" t="str">
        <f t="shared" ref="M195:M219" si="20">"PEN"</f>
        <v>PEN</v>
      </c>
      <c r="N195" s="13"/>
      <c r="O195" s="13">
        <v>8</v>
      </c>
      <c r="P195" s="3">
        <f t="shared" si="17"/>
        <v>0</v>
      </c>
      <c r="Q195" s="3">
        <f t="shared" si="18"/>
        <v>8</v>
      </c>
      <c r="R195" s="3">
        <f t="shared" si="19"/>
        <v>485.70000000000005</v>
      </c>
      <c r="S195" s="24" t="s">
        <v>1334</v>
      </c>
      <c r="T195" s="24" t="s">
        <v>1334</v>
      </c>
      <c r="U195" s="3"/>
      <c r="V195" s="25" t="s">
        <v>7842</v>
      </c>
      <c r="W195" s="25">
        <v>20517252558</v>
      </c>
      <c r="X195" s="25" t="str">
        <f>IFERROR(VLOOKUP(C_Ope_002[[#This Row],[nota_2]],Clientes_Proveedores[[Ruc / Dni]:[Razon Social]],2,0),"")</f>
        <v>COVISUR S.A.</v>
      </c>
      <c r="Y195" s="25"/>
      <c r="Z195" s="103"/>
      <c r="AA195" s="3" t="str">
        <f>IF(C_Ope_002[[#This Row],[fecha]]&gt;0,TEXT(C_Ope_002[[#This Row],[fecha]],"mmmm"),0)</f>
        <v>Junio</v>
      </c>
      <c r="AB195" s="49"/>
    </row>
    <row r="196" spans="1:28" ht="36" x14ac:dyDescent="0.3">
      <c r="A196" s="2">
        <f>IF(C_Ope_002[[#This Row],[tipo_r]]="R",COUNTIFS($C$1:$C195,"R")+1,"")</f>
        <v>195</v>
      </c>
      <c r="B196" s="19" t="str">
        <f t="shared" si="16"/>
        <v>C_Ope_002</v>
      </c>
      <c r="C196" s="3" t="s">
        <v>1330</v>
      </c>
      <c r="D196" s="14">
        <v>45820</v>
      </c>
      <c r="E196" s="5" t="s">
        <v>8005</v>
      </c>
      <c r="F196" s="5" t="s">
        <v>1336</v>
      </c>
      <c r="G196" s="6" t="s">
        <v>682</v>
      </c>
      <c r="H196" s="6" t="s">
        <v>68</v>
      </c>
      <c r="I196" s="6" t="s">
        <v>1353</v>
      </c>
      <c r="J196" s="6">
        <v>16633</v>
      </c>
      <c r="K196" s="7" t="s">
        <v>8051</v>
      </c>
      <c r="L196" s="8">
        <v>24581</v>
      </c>
      <c r="M196" s="8" t="str">
        <f t="shared" si="20"/>
        <v>PEN</v>
      </c>
      <c r="N196" s="13"/>
      <c r="O196" s="13">
        <v>20</v>
      </c>
      <c r="P196" s="3">
        <f t="shared" si="17"/>
        <v>0</v>
      </c>
      <c r="Q196" s="3">
        <f t="shared" si="18"/>
        <v>20</v>
      </c>
      <c r="R196" s="3">
        <f t="shared" si="19"/>
        <v>465.70000000000005</v>
      </c>
      <c r="S196" s="24" t="s">
        <v>1334</v>
      </c>
      <c r="T196" s="24" t="s">
        <v>1334</v>
      </c>
      <c r="U196" s="3"/>
      <c r="V196" s="25" t="s">
        <v>7842</v>
      </c>
      <c r="W196" s="25">
        <v>20259858934</v>
      </c>
      <c r="X196" s="25" t="str">
        <f>IFERROR(VLOOKUP(C_Ope_002[[#This Row],[nota_2]],Clientes_Proveedores[[Ruc / Dni]:[Razon Social]],2,0),"")</f>
        <v>COMERCIALIZACION Y SERVICIOS EL EDEN S.A.C.</v>
      </c>
      <c r="Y196" s="25"/>
      <c r="Z196" s="103"/>
      <c r="AA196" s="3" t="str">
        <f>IF(C_Ope_002[[#This Row],[fecha]]&gt;0,TEXT(C_Ope_002[[#This Row],[fecha]],"mmmm"),0)</f>
        <v>Junio</v>
      </c>
      <c r="AB196" s="49"/>
    </row>
    <row r="197" spans="1:28" ht="36" x14ac:dyDescent="0.3">
      <c r="A197" s="2">
        <f>IF(C_Ope_002[[#This Row],[tipo_r]]="R",COUNTIFS($C$1:$C196,"R")+1,"")</f>
        <v>196</v>
      </c>
      <c r="B197" s="19" t="str">
        <f t="shared" si="16"/>
        <v>C_Ope_002</v>
      </c>
      <c r="C197" s="3" t="s">
        <v>1330</v>
      </c>
      <c r="D197" s="14">
        <v>45821</v>
      </c>
      <c r="E197" s="5" t="s">
        <v>8005</v>
      </c>
      <c r="F197" s="5" t="s">
        <v>1336</v>
      </c>
      <c r="G197" s="6" t="s">
        <v>682</v>
      </c>
      <c r="H197" s="6" t="s">
        <v>68</v>
      </c>
      <c r="I197" s="6" t="s">
        <v>1353</v>
      </c>
      <c r="J197" s="6">
        <v>16639</v>
      </c>
      <c r="K197" s="7" t="s">
        <v>8051</v>
      </c>
      <c r="L197" s="8">
        <v>24580</v>
      </c>
      <c r="M197" s="8" t="str">
        <f t="shared" si="20"/>
        <v>PEN</v>
      </c>
      <c r="N197" s="13"/>
      <c r="O197" s="13">
        <v>20</v>
      </c>
      <c r="P197" s="3">
        <f t="shared" si="17"/>
        <v>0</v>
      </c>
      <c r="Q197" s="3">
        <f t="shared" si="18"/>
        <v>20</v>
      </c>
      <c r="R197" s="3">
        <f t="shared" si="19"/>
        <v>445.70000000000005</v>
      </c>
      <c r="S197" s="24" t="s">
        <v>1334</v>
      </c>
      <c r="T197" s="24" t="s">
        <v>1334</v>
      </c>
      <c r="U197" s="3"/>
      <c r="V197" s="25" t="s">
        <v>7842</v>
      </c>
      <c r="W197" s="25">
        <v>20259858934</v>
      </c>
      <c r="X197" s="25" t="str">
        <f>IFERROR(VLOOKUP(C_Ope_002[[#This Row],[nota_2]],Clientes_Proveedores[[Ruc / Dni]:[Razon Social]],2,0),"")</f>
        <v>COMERCIALIZACION Y SERVICIOS EL EDEN S.A.C.</v>
      </c>
      <c r="Y197" s="25"/>
      <c r="Z197" s="103"/>
      <c r="AA197" s="3" t="str">
        <f>IF(C_Ope_002[[#This Row],[fecha]]&gt;0,TEXT(C_Ope_002[[#This Row],[fecha]],"mmmm"),0)</f>
        <v>Junio</v>
      </c>
      <c r="AB197" s="49"/>
    </row>
    <row r="198" spans="1:28" ht="24" x14ac:dyDescent="0.3">
      <c r="A198" s="2">
        <f>IF(C_Ope_002[[#This Row],[tipo_r]]="R",COUNTIFS($C$1:$C197,"R")+1,"")</f>
        <v>197</v>
      </c>
      <c r="B198" s="19" t="str">
        <f t="shared" si="16"/>
        <v>C_Ope_002</v>
      </c>
      <c r="C198" s="3" t="s">
        <v>1330</v>
      </c>
      <c r="D198" s="14">
        <v>45824</v>
      </c>
      <c r="E198" s="5" t="s">
        <v>8005</v>
      </c>
      <c r="F198" s="5" t="s">
        <v>1336</v>
      </c>
      <c r="G198" s="6" t="s">
        <v>978</v>
      </c>
      <c r="H198" s="6" t="s">
        <v>68</v>
      </c>
      <c r="I198" s="6" t="s">
        <v>6203</v>
      </c>
      <c r="J198" s="6">
        <v>2083991</v>
      </c>
      <c r="K198" s="7" t="s">
        <v>8095</v>
      </c>
      <c r="L198" s="8">
        <v>24601</v>
      </c>
      <c r="M198" s="8" t="str">
        <f t="shared" si="20"/>
        <v>PEN</v>
      </c>
      <c r="N198" s="13"/>
      <c r="O198" s="13">
        <v>8</v>
      </c>
      <c r="P198" s="3">
        <f t="shared" si="17"/>
        <v>0</v>
      </c>
      <c r="Q198" s="3">
        <f t="shared" si="18"/>
        <v>8</v>
      </c>
      <c r="R198" s="3">
        <f t="shared" si="19"/>
        <v>437.70000000000005</v>
      </c>
      <c r="S198" s="24" t="s">
        <v>1334</v>
      </c>
      <c r="T198" s="24" t="s">
        <v>1334</v>
      </c>
      <c r="U198" s="3"/>
      <c r="V198" s="25" t="s">
        <v>7842</v>
      </c>
      <c r="W198" s="25">
        <v>20517252558</v>
      </c>
      <c r="X198" s="25" t="str">
        <f>IFERROR(VLOOKUP(C_Ope_002[[#This Row],[nota_2]],Clientes_Proveedores[[Ruc / Dni]:[Razon Social]],2,0),"")</f>
        <v>COVISUR S.A.</v>
      </c>
      <c r="Y198" s="25"/>
      <c r="Z198" s="103"/>
      <c r="AA198" s="3" t="str">
        <f>IF(C_Ope_002[[#This Row],[fecha]]&gt;0,TEXT(C_Ope_002[[#This Row],[fecha]],"mmmm"),0)</f>
        <v>Junio</v>
      </c>
      <c r="AB198" s="49"/>
    </row>
    <row r="199" spans="1:28" ht="24" x14ac:dyDescent="0.3">
      <c r="A199" s="2">
        <f>IF(C_Ope_002[[#This Row],[tipo_r]]="R",COUNTIFS($C$1:$C198,"R")+1,"")</f>
        <v>198</v>
      </c>
      <c r="B199" s="19" t="str">
        <f t="shared" si="16"/>
        <v>C_Ope_002</v>
      </c>
      <c r="C199" s="3" t="s">
        <v>1330</v>
      </c>
      <c r="D199" s="14">
        <v>45824</v>
      </c>
      <c r="E199" s="5" t="s">
        <v>8005</v>
      </c>
      <c r="F199" s="5" t="s">
        <v>1336</v>
      </c>
      <c r="G199" s="6" t="s">
        <v>978</v>
      </c>
      <c r="H199" s="6" t="s">
        <v>68</v>
      </c>
      <c r="I199" s="6" t="s">
        <v>5688</v>
      </c>
      <c r="J199" s="6">
        <v>2368130</v>
      </c>
      <c r="K199" s="7" t="s">
        <v>8095</v>
      </c>
      <c r="L199" s="8">
        <v>24602</v>
      </c>
      <c r="M199" s="8" t="str">
        <f t="shared" si="20"/>
        <v>PEN</v>
      </c>
      <c r="N199" s="13"/>
      <c r="O199" s="13">
        <v>8</v>
      </c>
      <c r="P199" s="3">
        <f t="shared" si="17"/>
        <v>0</v>
      </c>
      <c r="Q199" s="3">
        <f t="shared" si="18"/>
        <v>8</v>
      </c>
      <c r="R199" s="3">
        <f t="shared" si="19"/>
        <v>429.70000000000005</v>
      </c>
      <c r="S199" s="24" t="s">
        <v>1334</v>
      </c>
      <c r="T199" s="24" t="s">
        <v>1334</v>
      </c>
      <c r="U199" s="3"/>
      <c r="V199" s="25" t="s">
        <v>7842</v>
      </c>
      <c r="W199" s="25">
        <v>20517252558</v>
      </c>
      <c r="X199" s="25" t="str">
        <f>IFERROR(VLOOKUP(C_Ope_002[[#This Row],[nota_2]],Clientes_Proveedores[[Ruc / Dni]:[Razon Social]],2,0),"")</f>
        <v>COVISUR S.A.</v>
      </c>
      <c r="Y199" s="25"/>
      <c r="Z199" s="103"/>
      <c r="AA199" s="3" t="str">
        <f>IF(C_Ope_002[[#This Row],[fecha]]&gt;0,TEXT(C_Ope_002[[#This Row],[fecha]],"mmmm"),0)</f>
        <v>Junio</v>
      </c>
      <c r="AB199" s="49"/>
    </row>
    <row r="200" spans="1:28" ht="24" x14ac:dyDescent="0.3">
      <c r="A200" s="2">
        <f>IF(C_Ope_002[[#This Row],[tipo_r]]="R",COUNTIFS($C$1:$C199,"R")+1,"")</f>
        <v>199</v>
      </c>
      <c r="B200" s="19" t="str">
        <f t="shared" si="16"/>
        <v>C_Ope_002</v>
      </c>
      <c r="C200" s="3" t="s">
        <v>1330</v>
      </c>
      <c r="D200" s="14">
        <v>45825</v>
      </c>
      <c r="E200" s="5" t="s">
        <v>8005</v>
      </c>
      <c r="F200" s="5" t="s">
        <v>1336</v>
      </c>
      <c r="G200" s="6" t="s">
        <v>978</v>
      </c>
      <c r="H200" s="6" t="s">
        <v>68</v>
      </c>
      <c r="I200" s="6" t="s">
        <v>6203</v>
      </c>
      <c r="J200" s="6">
        <v>2085166</v>
      </c>
      <c r="K200" s="7" t="s">
        <v>7820</v>
      </c>
      <c r="L200" s="8">
        <v>24603</v>
      </c>
      <c r="M200" s="8" t="str">
        <f t="shared" si="20"/>
        <v>PEN</v>
      </c>
      <c r="N200" s="13"/>
      <c r="O200" s="13">
        <v>8</v>
      </c>
      <c r="P200" s="3">
        <f t="shared" si="17"/>
        <v>0</v>
      </c>
      <c r="Q200" s="3">
        <f t="shared" si="18"/>
        <v>8</v>
      </c>
      <c r="R200" s="3">
        <f t="shared" si="19"/>
        <v>421.70000000000005</v>
      </c>
      <c r="S200" s="24" t="s">
        <v>1334</v>
      </c>
      <c r="T200" s="24" t="s">
        <v>1334</v>
      </c>
      <c r="U200" s="3"/>
      <c r="V200" s="25" t="s">
        <v>7842</v>
      </c>
      <c r="W200" s="25">
        <v>20517252558</v>
      </c>
      <c r="X200" s="25" t="str">
        <f>IFERROR(VLOOKUP(C_Ope_002[[#This Row],[nota_2]],Clientes_Proveedores[[Ruc / Dni]:[Razon Social]],2,0),"")</f>
        <v>COVISUR S.A.</v>
      </c>
      <c r="Y200" s="25"/>
      <c r="Z200" s="103"/>
      <c r="AA200" s="3" t="str">
        <f>IF(C_Ope_002[[#This Row],[fecha]]&gt;0,TEXT(C_Ope_002[[#This Row],[fecha]],"mmmm"),0)</f>
        <v>Junio</v>
      </c>
      <c r="AB200" s="49"/>
    </row>
    <row r="201" spans="1:28" ht="24" x14ac:dyDescent="0.3">
      <c r="A201" s="2">
        <f>IF(C_Ope_002[[#This Row],[tipo_r]]="R",COUNTIFS($C$1:$C200,"R")+1,"")</f>
        <v>200</v>
      </c>
      <c r="B201" s="19" t="str">
        <f t="shared" si="16"/>
        <v>C_Ope_002</v>
      </c>
      <c r="C201" s="3" t="s">
        <v>1330</v>
      </c>
      <c r="D201" s="14">
        <v>45825</v>
      </c>
      <c r="E201" s="5" t="s">
        <v>8005</v>
      </c>
      <c r="F201" s="5" t="s">
        <v>1336</v>
      </c>
      <c r="G201" s="6" t="s">
        <v>978</v>
      </c>
      <c r="H201" s="6" t="s">
        <v>68</v>
      </c>
      <c r="I201" s="6" t="s">
        <v>5688</v>
      </c>
      <c r="J201" s="6">
        <v>2369393</v>
      </c>
      <c r="K201" s="7" t="s">
        <v>7820</v>
      </c>
      <c r="L201" s="8">
        <v>24604</v>
      </c>
      <c r="M201" s="8" t="str">
        <f t="shared" si="20"/>
        <v>PEN</v>
      </c>
      <c r="N201" s="13"/>
      <c r="O201" s="13">
        <v>8</v>
      </c>
      <c r="P201" s="3">
        <f t="shared" si="17"/>
        <v>0</v>
      </c>
      <c r="Q201" s="3">
        <f t="shared" si="18"/>
        <v>8</v>
      </c>
      <c r="R201" s="3">
        <f t="shared" si="19"/>
        <v>413.70000000000005</v>
      </c>
      <c r="S201" s="24" t="s">
        <v>1334</v>
      </c>
      <c r="T201" s="24" t="s">
        <v>1334</v>
      </c>
      <c r="U201" s="3"/>
      <c r="V201" s="25" t="s">
        <v>7842</v>
      </c>
      <c r="W201" s="25">
        <v>20517252558</v>
      </c>
      <c r="X201" s="25" t="str">
        <f>IFERROR(VLOOKUP(C_Ope_002[[#This Row],[nota_2]],Clientes_Proveedores[[Ruc / Dni]:[Razon Social]],2,0),"")</f>
        <v>COVISUR S.A.</v>
      </c>
      <c r="Y201" s="25"/>
      <c r="Z201" s="103"/>
      <c r="AA201" s="3" t="str">
        <f>IF(C_Ope_002[[#This Row],[fecha]]&gt;0,TEXT(C_Ope_002[[#This Row],[fecha]],"mmmm"),0)</f>
        <v>Junio</v>
      </c>
      <c r="AB201" s="49"/>
    </row>
    <row r="202" spans="1:28" ht="36" x14ac:dyDescent="0.3">
      <c r="A202" s="2">
        <f>IF(C_Ope_002[[#This Row],[tipo_r]]="R",COUNTIFS($C$1:$C201,"R")+1,"")</f>
        <v>201</v>
      </c>
      <c r="B202" s="19" t="str">
        <f t="shared" si="16"/>
        <v>C_Ope_002</v>
      </c>
      <c r="C202" s="3" t="s">
        <v>1330</v>
      </c>
      <c r="D202" s="14">
        <v>45826</v>
      </c>
      <c r="E202" s="5" t="s">
        <v>8005</v>
      </c>
      <c r="F202" s="5" t="s">
        <v>1336</v>
      </c>
      <c r="G202" s="6" t="s">
        <v>978</v>
      </c>
      <c r="H202" s="6" t="s">
        <v>68</v>
      </c>
      <c r="I202" s="6" t="s">
        <v>5845</v>
      </c>
      <c r="J202" s="6">
        <v>1782190</v>
      </c>
      <c r="K202" s="7" t="s">
        <v>8096</v>
      </c>
      <c r="L202" s="8">
        <v>24605</v>
      </c>
      <c r="M202" s="8" t="str">
        <f t="shared" si="20"/>
        <v>PEN</v>
      </c>
      <c r="N202" s="13"/>
      <c r="O202" s="13">
        <v>8</v>
      </c>
      <c r="P202" s="3">
        <f t="shared" si="17"/>
        <v>0</v>
      </c>
      <c r="Q202" s="3">
        <f t="shared" si="18"/>
        <v>8</v>
      </c>
      <c r="R202" s="3">
        <f t="shared" si="19"/>
        <v>405.70000000000005</v>
      </c>
      <c r="S202" s="24" t="s">
        <v>1334</v>
      </c>
      <c r="T202" s="24" t="s">
        <v>1334</v>
      </c>
      <c r="U202" s="3"/>
      <c r="V202" s="25" t="s">
        <v>7842</v>
      </c>
      <c r="W202" s="25">
        <v>20517252558</v>
      </c>
      <c r="X202" s="25" t="str">
        <f>IFERROR(VLOOKUP(C_Ope_002[[#This Row],[nota_2]],Clientes_Proveedores[[Ruc / Dni]:[Razon Social]],2,0),"")</f>
        <v>COVISUR S.A.</v>
      </c>
      <c r="Y202" s="25"/>
      <c r="Z202" s="103"/>
      <c r="AA202" s="3" t="str">
        <f>IF(C_Ope_002[[#This Row],[fecha]]&gt;0,TEXT(C_Ope_002[[#This Row],[fecha]],"mmmm"),0)</f>
        <v>Junio</v>
      </c>
      <c r="AB202" s="49"/>
    </row>
    <row r="203" spans="1:28" ht="36" x14ac:dyDescent="0.3">
      <c r="A203" s="2">
        <f>IF(C_Ope_002[[#This Row],[tipo_r]]="R",COUNTIFS($C$1:$C202,"R")+1,"")</f>
        <v>202</v>
      </c>
      <c r="B203" s="19" t="str">
        <f t="shared" si="16"/>
        <v>C_Ope_002</v>
      </c>
      <c r="C203" s="3" t="s">
        <v>1330</v>
      </c>
      <c r="D203" s="14">
        <v>45826</v>
      </c>
      <c r="E203" s="5" t="s">
        <v>8005</v>
      </c>
      <c r="F203" s="5" t="s">
        <v>1336</v>
      </c>
      <c r="G203" s="6" t="s">
        <v>978</v>
      </c>
      <c r="H203" s="6" t="s">
        <v>68</v>
      </c>
      <c r="I203" s="6" t="s">
        <v>6204</v>
      </c>
      <c r="J203" s="6">
        <v>1761998</v>
      </c>
      <c r="K203" s="7" t="s">
        <v>8096</v>
      </c>
      <c r="L203" s="8">
        <v>24606</v>
      </c>
      <c r="M203" s="8" t="str">
        <f t="shared" si="20"/>
        <v>PEN</v>
      </c>
      <c r="N203" s="13"/>
      <c r="O203" s="13">
        <v>8</v>
      </c>
      <c r="P203" s="3">
        <f t="shared" si="17"/>
        <v>0</v>
      </c>
      <c r="Q203" s="3">
        <f t="shared" si="18"/>
        <v>8</v>
      </c>
      <c r="R203" s="3">
        <f t="shared" si="19"/>
        <v>397.70000000000005</v>
      </c>
      <c r="S203" s="24" t="s">
        <v>1334</v>
      </c>
      <c r="T203" s="24" t="s">
        <v>1334</v>
      </c>
      <c r="U203" s="3"/>
      <c r="V203" s="25" t="s">
        <v>7842</v>
      </c>
      <c r="W203" s="25">
        <v>20517252558</v>
      </c>
      <c r="X203" s="25" t="str">
        <f>IFERROR(VLOOKUP(C_Ope_002[[#This Row],[nota_2]],Clientes_Proveedores[[Ruc / Dni]:[Razon Social]],2,0),"")</f>
        <v>COVISUR S.A.</v>
      </c>
      <c r="Y203" s="25"/>
      <c r="Z203" s="103"/>
      <c r="AA203" s="3" t="str">
        <f>IF(C_Ope_002[[#This Row],[fecha]]&gt;0,TEXT(C_Ope_002[[#This Row],[fecha]],"mmmm"),0)</f>
        <v>Junio</v>
      </c>
      <c r="AB203" s="49"/>
    </row>
    <row r="204" spans="1:28" ht="24" x14ac:dyDescent="0.3">
      <c r="A204" s="2">
        <f>IF(C_Ope_002[[#This Row],[tipo_r]]="R",COUNTIFS($C$1:$C203,"R")+1,"")</f>
        <v>203</v>
      </c>
      <c r="B204" s="19" t="str">
        <f t="shared" si="16"/>
        <v>C_Ope_002</v>
      </c>
      <c r="C204" s="3" t="s">
        <v>1330</v>
      </c>
      <c r="D204" s="14">
        <v>45827</v>
      </c>
      <c r="E204" s="5" t="s">
        <v>8005</v>
      </c>
      <c r="F204" s="5" t="s">
        <v>1336</v>
      </c>
      <c r="G204" s="6" t="s">
        <v>978</v>
      </c>
      <c r="H204" s="6" t="s">
        <v>68</v>
      </c>
      <c r="I204" s="6" t="s">
        <v>5845</v>
      </c>
      <c r="J204" s="6">
        <v>1783270</v>
      </c>
      <c r="K204" s="7" t="s">
        <v>7820</v>
      </c>
      <c r="L204" s="8">
        <v>24628</v>
      </c>
      <c r="M204" s="8" t="str">
        <f t="shared" si="20"/>
        <v>PEN</v>
      </c>
      <c r="N204" s="13"/>
      <c r="O204" s="13">
        <v>8</v>
      </c>
      <c r="P204" s="3">
        <f t="shared" si="17"/>
        <v>0</v>
      </c>
      <c r="Q204" s="3">
        <f t="shared" si="18"/>
        <v>8</v>
      </c>
      <c r="R204" s="3">
        <f t="shared" si="19"/>
        <v>389.70000000000005</v>
      </c>
      <c r="S204" s="24" t="s">
        <v>1334</v>
      </c>
      <c r="T204" s="24" t="s">
        <v>1334</v>
      </c>
      <c r="U204" s="3"/>
      <c r="V204" s="25" t="s">
        <v>7842</v>
      </c>
      <c r="W204" s="25">
        <v>20517252558</v>
      </c>
      <c r="X204" s="25" t="str">
        <f>IFERROR(VLOOKUP(C_Ope_002[[#This Row],[nota_2]],Clientes_Proveedores[[Ruc / Dni]:[Razon Social]],2,0),"")</f>
        <v>COVISUR S.A.</v>
      </c>
      <c r="Y204" s="25"/>
      <c r="Z204" s="103"/>
      <c r="AA204" s="3" t="str">
        <f>IF(C_Ope_002[[#This Row],[fecha]]&gt;0,TEXT(C_Ope_002[[#This Row],[fecha]],"mmmm"),0)</f>
        <v>Junio</v>
      </c>
      <c r="AB204" s="49"/>
    </row>
    <row r="205" spans="1:28" ht="24" x14ac:dyDescent="0.3">
      <c r="A205" s="2">
        <f>IF(C_Ope_002[[#This Row],[tipo_r]]="R",COUNTIFS($C$1:$C204,"R")+1,"")</f>
        <v>204</v>
      </c>
      <c r="B205" s="19" t="str">
        <f t="shared" si="16"/>
        <v>C_Ope_002</v>
      </c>
      <c r="C205" s="3" t="s">
        <v>1330</v>
      </c>
      <c r="D205" s="14">
        <v>45827</v>
      </c>
      <c r="E205" s="5" t="s">
        <v>8005</v>
      </c>
      <c r="F205" s="5" t="s">
        <v>1336</v>
      </c>
      <c r="G205" s="6" t="s">
        <v>978</v>
      </c>
      <c r="H205" s="6" t="s">
        <v>68</v>
      </c>
      <c r="I205" s="6" t="s">
        <v>5688</v>
      </c>
      <c r="J205" s="6">
        <v>2371883</v>
      </c>
      <c r="K205" s="7" t="s">
        <v>7820</v>
      </c>
      <c r="L205" s="8">
        <v>24629</v>
      </c>
      <c r="M205" s="8" t="str">
        <f t="shared" si="20"/>
        <v>PEN</v>
      </c>
      <c r="N205" s="13"/>
      <c r="O205" s="13">
        <v>8</v>
      </c>
      <c r="P205" s="3">
        <f t="shared" si="17"/>
        <v>0</v>
      </c>
      <c r="Q205" s="3">
        <f t="shared" si="18"/>
        <v>8</v>
      </c>
      <c r="R205" s="3">
        <f t="shared" si="19"/>
        <v>381.70000000000005</v>
      </c>
      <c r="S205" s="24" t="s">
        <v>1334</v>
      </c>
      <c r="T205" s="24" t="s">
        <v>1334</v>
      </c>
      <c r="U205" s="3"/>
      <c r="V205" s="25" t="s">
        <v>7842</v>
      </c>
      <c r="W205" s="25">
        <v>20517252558</v>
      </c>
      <c r="X205" s="25" t="str">
        <f>IFERROR(VLOOKUP(C_Ope_002[[#This Row],[nota_2]],Clientes_Proveedores[[Ruc / Dni]:[Razon Social]],2,0),"")</f>
        <v>COVISUR S.A.</v>
      </c>
      <c r="Y205" s="25"/>
      <c r="Z205" s="103"/>
      <c r="AA205" s="3" t="str">
        <f>IF(C_Ope_002[[#This Row],[fecha]]&gt;0,TEXT(C_Ope_002[[#This Row],[fecha]],"mmmm"),0)</f>
        <v>Junio</v>
      </c>
      <c r="AB205" s="49"/>
    </row>
    <row r="206" spans="1:28" ht="24" x14ac:dyDescent="0.3">
      <c r="A206" s="2">
        <f>IF(C_Ope_002[[#This Row],[tipo_r]]="R",COUNTIFS($C$1:$C205,"R")+1,"")</f>
        <v>205</v>
      </c>
      <c r="B206" s="19" t="str">
        <f t="shared" si="16"/>
        <v>C_Ope_002</v>
      </c>
      <c r="C206" s="3" t="s">
        <v>1330</v>
      </c>
      <c r="D206" s="14">
        <v>45828</v>
      </c>
      <c r="E206" s="5" t="s">
        <v>8005</v>
      </c>
      <c r="F206" s="5" t="s">
        <v>1336</v>
      </c>
      <c r="G206" s="6" t="s">
        <v>978</v>
      </c>
      <c r="H206" s="6" t="s">
        <v>68</v>
      </c>
      <c r="I206" s="6" t="s">
        <v>6204</v>
      </c>
      <c r="J206" s="6">
        <v>1764012</v>
      </c>
      <c r="K206" s="7" t="s">
        <v>8097</v>
      </c>
      <c r="L206" s="8">
        <v>24632</v>
      </c>
      <c r="M206" s="8" t="str">
        <f t="shared" si="20"/>
        <v>PEN</v>
      </c>
      <c r="N206" s="13"/>
      <c r="O206" s="13">
        <v>8</v>
      </c>
      <c r="P206" s="3">
        <f t="shared" si="17"/>
        <v>0</v>
      </c>
      <c r="Q206" s="3">
        <f t="shared" si="18"/>
        <v>8</v>
      </c>
      <c r="R206" s="3">
        <f t="shared" si="19"/>
        <v>373.70000000000005</v>
      </c>
      <c r="S206" s="24" t="s">
        <v>1334</v>
      </c>
      <c r="T206" s="24" t="s">
        <v>1334</v>
      </c>
      <c r="U206" s="3"/>
      <c r="V206" s="25" t="s">
        <v>7842</v>
      </c>
      <c r="W206" s="25">
        <v>20517252558</v>
      </c>
      <c r="X206" s="25" t="str">
        <f>IFERROR(VLOOKUP(C_Ope_002[[#This Row],[nota_2]],Clientes_Proveedores[[Ruc / Dni]:[Razon Social]],2,0),"")</f>
        <v>COVISUR S.A.</v>
      </c>
      <c r="Y206" s="25"/>
      <c r="Z206" s="103"/>
      <c r="AA206" s="3" t="str">
        <f>IF(C_Ope_002[[#This Row],[fecha]]&gt;0,TEXT(C_Ope_002[[#This Row],[fecha]],"mmmm"),0)</f>
        <v>Junio</v>
      </c>
      <c r="AB206" s="49"/>
    </row>
    <row r="207" spans="1:28" ht="24" x14ac:dyDescent="0.3">
      <c r="A207" s="2">
        <f>IF(C_Ope_002[[#This Row],[tipo_r]]="R",COUNTIFS($C$1:$C206,"R")+1,"")</f>
        <v>206</v>
      </c>
      <c r="B207" s="19" t="str">
        <f t="shared" si="16"/>
        <v>C_Ope_002</v>
      </c>
      <c r="C207" s="3" t="s">
        <v>1330</v>
      </c>
      <c r="D207" s="14">
        <v>45828</v>
      </c>
      <c r="E207" s="5" t="s">
        <v>8005</v>
      </c>
      <c r="F207" s="5" t="s">
        <v>1336</v>
      </c>
      <c r="G207" s="6" t="s">
        <v>978</v>
      </c>
      <c r="H207" s="6" t="s">
        <v>68</v>
      </c>
      <c r="I207" s="6" t="s">
        <v>6203</v>
      </c>
      <c r="J207" s="6">
        <v>2088457</v>
      </c>
      <c r="K207" s="7" t="s">
        <v>8097</v>
      </c>
      <c r="L207" s="8">
        <v>24635</v>
      </c>
      <c r="M207" s="8" t="str">
        <f t="shared" si="20"/>
        <v>PEN</v>
      </c>
      <c r="N207" s="13"/>
      <c r="O207" s="13">
        <v>8</v>
      </c>
      <c r="P207" s="3">
        <f t="shared" si="17"/>
        <v>0</v>
      </c>
      <c r="Q207" s="3">
        <f t="shared" si="18"/>
        <v>8</v>
      </c>
      <c r="R207" s="3">
        <f t="shared" si="19"/>
        <v>365.70000000000005</v>
      </c>
      <c r="S207" s="24" t="s">
        <v>1334</v>
      </c>
      <c r="T207" s="24" t="s">
        <v>1334</v>
      </c>
      <c r="U207" s="3"/>
      <c r="V207" s="25" t="s">
        <v>7842</v>
      </c>
      <c r="W207" s="25">
        <v>20517252558</v>
      </c>
      <c r="X207" s="25" t="str">
        <f>IFERROR(VLOOKUP(C_Ope_002[[#This Row],[nota_2]],Clientes_Proveedores[[Ruc / Dni]:[Razon Social]],2,0),"")</f>
        <v>COVISUR S.A.</v>
      </c>
      <c r="Y207" s="25"/>
      <c r="Z207" s="103"/>
      <c r="AA207" s="3" t="str">
        <f>IF(C_Ope_002[[#This Row],[fecha]]&gt;0,TEXT(C_Ope_002[[#This Row],[fecha]],"mmmm"),0)</f>
        <v>Junio</v>
      </c>
      <c r="AB207" s="49"/>
    </row>
    <row r="208" spans="1:28" ht="36" x14ac:dyDescent="0.3">
      <c r="A208" s="2">
        <f>IF(C_Ope_002[[#This Row],[tipo_r]]="R",COUNTIFS($C$1:$C207,"R")+1,"")</f>
        <v>207</v>
      </c>
      <c r="B208" s="19" t="str">
        <f t="shared" si="16"/>
        <v>C_Ope_002</v>
      </c>
      <c r="C208" s="3" t="s">
        <v>1330</v>
      </c>
      <c r="D208" s="14">
        <v>45825</v>
      </c>
      <c r="E208" s="5" t="s">
        <v>8005</v>
      </c>
      <c r="F208" s="5" t="s">
        <v>1336</v>
      </c>
      <c r="G208" s="6" t="s">
        <v>682</v>
      </c>
      <c r="H208" s="6" t="s">
        <v>68</v>
      </c>
      <c r="I208" s="6" t="s">
        <v>1353</v>
      </c>
      <c r="J208" s="6">
        <v>16673</v>
      </c>
      <c r="K208" s="7" t="s">
        <v>8098</v>
      </c>
      <c r="L208" s="8">
        <v>24608</v>
      </c>
      <c r="M208" s="8" t="str">
        <f t="shared" si="20"/>
        <v>PEN</v>
      </c>
      <c r="N208" s="13"/>
      <c r="O208" s="13">
        <v>20</v>
      </c>
      <c r="P208" s="3">
        <f t="shared" si="17"/>
        <v>0</v>
      </c>
      <c r="Q208" s="3">
        <f t="shared" si="18"/>
        <v>20</v>
      </c>
      <c r="R208" s="3">
        <f t="shared" si="19"/>
        <v>345.70000000000005</v>
      </c>
      <c r="S208" s="24" t="s">
        <v>1334</v>
      </c>
      <c r="T208" s="24" t="s">
        <v>1334</v>
      </c>
      <c r="U208" s="3"/>
      <c r="V208" s="25" t="s">
        <v>7842</v>
      </c>
      <c r="W208" s="25">
        <v>20259858934</v>
      </c>
      <c r="X208" s="25" t="str">
        <f>IFERROR(VLOOKUP(C_Ope_002[[#This Row],[nota_2]],Clientes_Proveedores[[Ruc / Dni]:[Razon Social]],2,0),"")</f>
        <v>COMERCIALIZACION Y SERVICIOS EL EDEN S.A.C.</v>
      </c>
      <c r="Y208" s="25"/>
      <c r="Z208" s="103"/>
      <c r="AA208" s="3" t="str">
        <f>IF(C_Ope_002[[#This Row],[fecha]]&gt;0,TEXT(C_Ope_002[[#This Row],[fecha]],"mmmm"),0)</f>
        <v>Junio</v>
      </c>
      <c r="AB208" s="49"/>
    </row>
    <row r="209" spans="1:28" ht="36" x14ac:dyDescent="0.3">
      <c r="A209" s="2">
        <f>IF(C_Ope_002[[#This Row],[tipo_r]]="R",COUNTIFS($C$1:$C208,"R")+1,"")</f>
        <v>208</v>
      </c>
      <c r="B209" s="19" t="str">
        <f t="shared" si="16"/>
        <v>C_Ope_002</v>
      </c>
      <c r="C209" s="3" t="s">
        <v>1330</v>
      </c>
      <c r="D209" s="14">
        <v>45826</v>
      </c>
      <c r="E209" s="5" t="s">
        <v>8005</v>
      </c>
      <c r="F209" s="5" t="s">
        <v>1336</v>
      </c>
      <c r="G209" s="6" t="s">
        <v>682</v>
      </c>
      <c r="H209" s="6" t="s">
        <v>68</v>
      </c>
      <c r="I209" s="6" t="s">
        <v>1353</v>
      </c>
      <c r="J209" s="6">
        <v>16693</v>
      </c>
      <c r="K209" s="7" t="s">
        <v>8098</v>
      </c>
      <c r="L209" s="8">
        <v>24607</v>
      </c>
      <c r="M209" s="8" t="str">
        <f t="shared" si="20"/>
        <v>PEN</v>
      </c>
      <c r="N209" s="13"/>
      <c r="O209" s="13">
        <v>20</v>
      </c>
      <c r="P209" s="3">
        <f t="shared" si="17"/>
        <v>0</v>
      </c>
      <c r="Q209" s="3">
        <f t="shared" si="18"/>
        <v>20</v>
      </c>
      <c r="R209" s="3">
        <f t="shared" si="19"/>
        <v>325.70000000000005</v>
      </c>
      <c r="S209" s="24" t="s">
        <v>1334</v>
      </c>
      <c r="T209" s="24" t="s">
        <v>1334</v>
      </c>
      <c r="U209" s="3"/>
      <c r="V209" s="25" t="s">
        <v>7842</v>
      </c>
      <c r="W209" s="25">
        <v>20259858934</v>
      </c>
      <c r="X209" s="25" t="str">
        <f>IFERROR(VLOOKUP(C_Ope_002[[#This Row],[nota_2]],Clientes_Proveedores[[Ruc / Dni]:[Razon Social]],2,0),"")</f>
        <v>COMERCIALIZACION Y SERVICIOS EL EDEN S.A.C.</v>
      </c>
      <c r="Y209" s="25"/>
      <c r="Z209" s="103"/>
      <c r="AA209" s="3" t="str">
        <f>IF(C_Ope_002[[#This Row],[fecha]]&gt;0,TEXT(C_Ope_002[[#This Row],[fecha]],"mmmm"),0)</f>
        <v>Junio</v>
      </c>
      <c r="AB209" s="49"/>
    </row>
    <row r="210" spans="1:28" ht="36" x14ac:dyDescent="0.3">
      <c r="A210" s="2">
        <f>IF(C_Ope_002[[#This Row],[tipo_r]]="R",COUNTIFS($C$1:$C209,"R")+1,"")</f>
        <v>209</v>
      </c>
      <c r="B210" s="19" t="str">
        <f t="shared" si="16"/>
        <v>C_Ope_002</v>
      </c>
      <c r="C210" s="3" t="s">
        <v>1330</v>
      </c>
      <c r="D210" s="14">
        <v>45827</v>
      </c>
      <c r="E210" s="5" t="s">
        <v>8005</v>
      </c>
      <c r="F210" s="5" t="s">
        <v>1336</v>
      </c>
      <c r="G210" s="6" t="s">
        <v>227</v>
      </c>
      <c r="H210" s="6" t="s">
        <v>68</v>
      </c>
      <c r="I210" s="6" t="s">
        <v>1390</v>
      </c>
      <c r="J210" s="6">
        <v>133173</v>
      </c>
      <c r="K210" s="7" t="s">
        <v>8099</v>
      </c>
      <c r="L210" s="8">
        <v>24630</v>
      </c>
      <c r="M210" s="8" t="str">
        <f t="shared" si="20"/>
        <v>PEN</v>
      </c>
      <c r="N210" s="13"/>
      <c r="O210" s="13">
        <v>10</v>
      </c>
      <c r="P210" s="3">
        <f t="shared" si="17"/>
        <v>0</v>
      </c>
      <c r="Q210" s="3">
        <f t="shared" si="18"/>
        <v>10</v>
      </c>
      <c r="R210" s="3">
        <f t="shared" si="19"/>
        <v>315.70000000000005</v>
      </c>
      <c r="S210" s="24" t="s">
        <v>1334</v>
      </c>
      <c r="T210" s="24" t="s">
        <v>1334</v>
      </c>
      <c r="U210" s="3"/>
      <c r="V210" s="25" t="s">
        <v>7842</v>
      </c>
      <c r="W210" s="25">
        <v>20124952850</v>
      </c>
      <c r="X210" s="25" t="str">
        <f>IFERROR(VLOOKUP(C_Ope_002[[#This Row],[nota_2]],Clientes_Proveedores[[Ruc / Dni]:[Razon Social]],2,0),"")</f>
        <v>ALIMENTOS Y SERVICIOS AGROPECUARIOS SRL.</v>
      </c>
      <c r="Y210" s="25"/>
      <c r="Z210" s="103"/>
      <c r="AA210" s="3" t="str">
        <f>IF(C_Ope_002[[#This Row],[fecha]]&gt;0,TEXT(C_Ope_002[[#This Row],[fecha]],"mmmm"),0)</f>
        <v>Junio</v>
      </c>
      <c r="AB210" s="49"/>
    </row>
    <row r="211" spans="1:28" ht="36" x14ac:dyDescent="0.3">
      <c r="A211" s="2">
        <f>IF(C_Ope_002[[#This Row],[tipo_r]]="R",COUNTIFS($C$1:$C210,"R")+1,"")</f>
        <v>210</v>
      </c>
      <c r="B211" s="19" t="str">
        <f t="shared" si="16"/>
        <v>C_Ope_002</v>
      </c>
      <c r="C211" s="3" t="s">
        <v>1330</v>
      </c>
      <c r="D211" s="14">
        <v>45828</v>
      </c>
      <c r="E211" s="5" t="s">
        <v>8005</v>
      </c>
      <c r="F211" s="5" t="s">
        <v>1336</v>
      </c>
      <c r="G211" s="6" t="s">
        <v>227</v>
      </c>
      <c r="H211" s="6" t="s">
        <v>68</v>
      </c>
      <c r="I211" s="6" t="s">
        <v>1390</v>
      </c>
      <c r="J211" s="6">
        <v>133222</v>
      </c>
      <c r="K211" s="7" t="s">
        <v>8099</v>
      </c>
      <c r="L211" s="8">
        <v>24631</v>
      </c>
      <c r="M211" s="8" t="str">
        <f t="shared" si="20"/>
        <v>PEN</v>
      </c>
      <c r="N211" s="13"/>
      <c r="O211" s="13">
        <v>10</v>
      </c>
      <c r="P211" s="3">
        <f t="shared" si="17"/>
        <v>0</v>
      </c>
      <c r="Q211" s="3">
        <f t="shared" si="18"/>
        <v>10</v>
      </c>
      <c r="R211" s="3">
        <f t="shared" si="19"/>
        <v>305.70000000000005</v>
      </c>
      <c r="S211" s="24" t="s">
        <v>1334</v>
      </c>
      <c r="T211" s="24" t="s">
        <v>1334</v>
      </c>
      <c r="U211" s="3"/>
      <c r="V211" s="25" t="s">
        <v>7842</v>
      </c>
      <c r="W211" s="25">
        <v>20124952850</v>
      </c>
      <c r="X211" s="25" t="str">
        <f>IFERROR(VLOOKUP(C_Ope_002[[#This Row],[nota_2]],Clientes_Proveedores[[Ruc / Dni]:[Razon Social]],2,0),"")</f>
        <v>ALIMENTOS Y SERVICIOS AGROPECUARIOS SRL.</v>
      </c>
      <c r="Y211" s="25"/>
      <c r="Z211" s="103"/>
      <c r="AA211" s="3" t="str">
        <f>IF(C_Ope_002[[#This Row],[fecha]]&gt;0,TEXT(C_Ope_002[[#This Row],[fecha]],"mmmm"),0)</f>
        <v>Junio</v>
      </c>
      <c r="AB211" s="49"/>
    </row>
    <row r="212" spans="1:28" x14ac:dyDescent="0.3">
      <c r="A212" s="2">
        <f>IF(C_Ope_002[[#This Row],[tipo_r]]="R",COUNTIFS($C$1:$C211,"R")+1,"")</f>
        <v>211</v>
      </c>
      <c r="B212" s="19" t="str">
        <f t="shared" si="16"/>
        <v>C_Ope_002</v>
      </c>
      <c r="C212" s="3" t="s">
        <v>1330</v>
      </c>
      <c r="D212" s="14">
        <v>45831</v>
      </c>
      <c r="E212" s="5" t="s">
        <v>8005</v>
      </c>
      <c r="F212" s="5" t="s">
        <v>1336</v>
      </c>
      <c r="G212" s="6" t="s">
        <v>978</v>
      </c>
      <c r="H212" s="6" t="s">
        <v>68</v>
      </c>
      <c r="I212" s="6" t="s">
        <v>5688</v>
      </c>
      <c r="J212" s="6">
        <v>2376263</v>
      </c>
      <c r="K212" s="7" t="s">
        <v>8062</v>
      </c>
      <c r="L212" s="8">
        <v>24735</v>
      </c>
      <c r="M212" s="8" t="str">
        <f t="shared" si="20"/>
        <v>PEN</v>
      </c>
      <c r="N212" s="13"/>
      <c r="O212" s="13">
        <v>8</v>
      </c>
      <c r="P212" s="3">
        <f t="shared" si="17"/>
        <v>0</v>
      </c>
      <c r="Q212" s="3">
        <f t="shared" si="18"/>
        <v>8</v>
      </c>
      <c r="R212" s="3">
        <f t="shared" si="19"/>
        <v>297.70000000000005</v>
      </c>
      <c r="S212" s="24" t="s">
        <v>1334</v>
      </c>
      <c r="T212" s="24" t="s">
        <v>1334</v>
      </c>
      <c r="U212" s="3"/>
      <c r="V212" s="25" t="s">
        <v>7842</v>
      </c>
      <c r="W212" s="25">
        <v>20517252558</v>
      </c>
      <c r="X212" s="25" t="str">
        <f>IFERROR(VLOOKUP(C_Ope_002[[#This Row],[nota_2]],Clientes_Proveedores[[Ruc / Dni]:[Razon Social]],2,0),"")</f>
        <v>COVISUR S.A.</v>
      </c>
      <c r="Y212" s="25"/>
      <c r="Z212" s="103"/>
      <c r="AA212" s="3" t="str">
        <f>IF(C_Ope_002[[#This Row],[fecha]]&gt;0,TEXT(C_Ope_002[[#This Row],[fecha]],"mmmm"),0)</f>
        <v>Junio</v>
      </c>
      <c r="AB212" s="49"/>
    </row>
    <row r="213" spans="1:28" ht="36" x14ac:dyDescent="0.3">
      <c r="A213" s="2">
        <f>IF(C_Ope_002[[#This Row],[tipo_r]]="R",COUNTIFS($C$1:$C212,"R")+1,"")</f>
        <v>212</v>
      </c>
      <c r="B213" s="19" t="str">
        <f t="shared" si="16"/>
        <v>C_Ope_002</v>
      </c>
      <c r="C213" s="3" t="s">
        <v>1330</v>
      </c>
      <c r="D213" s="14">
        <v>45834</v>
      </c>
      <c r="E213" s="5" t="s">
        <v>8005</v>
      </c>
      <c r="F213" s="5" t="s">
        <v>1336</v>
      </c>
      <c r="G213" s="6" t="s">
        <v>978</v>
      </c>
      <c r="H213" s="6" t="s">
        <v>68</v>
      </c>
      <c r="I213" s="6" t="s">
        <v>6203</v>
      </c>
      <c r="J213" s="6">
        <v>2094717</v>
      </c>
      <c r="K213" s="7" t="s">
        <v>8100</v>
      </c>
      <c r="L213" s="8">
        <v>24737</v>
      </c>
      <c r="M213" s="8" t="str">
        <f t="shared" si="20"/>
        <v>PEN</v>
      </c>
      <c r="N213" s="13"/>
      <c r="O213" s="13">
        <v>8</v>
      </c>
      <c r="P213" s="3">
        <f t="shared" si="17"/>
        <v>0</v>
      </c>
      <c r="Q213" s="3">
        <f t="shared" si="18"/>
        <v>8</v>
      </c>
      <c r="R213" s="3">
        <f t="shared" si="19"/>
        <v>289.70000000000005</v>
      </c>
      <c r="S213" s="24" t="s">
        <v>1334</v>
      </c>
      <c r="T213" s="24" t="s">
        <v>1334</v>
      </c>
      <c r="U213" s="3"/>
      <c r="V213" s="25" t="s">
        <v>7842</v>
      </c>
      <c r="W213" s="25">
        <v>20517252558</v>
      </c>
      <c r="X213" s="25" t="str">
        <f>IFERROR(VLOOKUP(C_Ope_002[[#This Row],[nota_2]],Clientes_Proveedores[[Ruc / Dni]:[Razon Social]],2,0),"")</f>
        <v>COVISUR S.A.</v>
      </c>
      <c r="Y213" s="25"/>
      <c r="Z213" s="103"/>
      <c r="AA213" s="3" t="str">
        <f>IF(C_Ope_002[[#This Row],[fecha]]&gt;0,TEXT(C_Ope_002[[#This Row],[fecha]],"mmmm"),0)</f>
        <v>Junio</v>
      </c>
      <c r="AB213" s="49"/>
    </row>
    <row r="214" spans="1:28" ht="36" x14ac:dyDescent="0.3">
      <c r="A214" s="2">
        <f>IF(C_Ope_002[[#This Row],[tipo_r]]="R",COUNTIFS($C$1:$C213,"R")+1,"")</f>
        <v>213</v>
      </c>
      <c r="B214" s="19" t="str">
        <f t="shared" si="16"/>
        <v>C_Ope_002</v>
      </c>
      <c r="C214" s="3" t="s">
        <v>1330</v>
      </c>
      <c r="D214" s="14">
        <v>45835</v>
      </c>
      <c r="E214" s="5" t="s">
        <v>8005</v>
      </c>
      <c r="F214" s="5" t="s">
        <v>1336</v>
      </c>
      <c r="G214" s="6" t="s">
        <v>978</v>
      </c>
      <c r="H214" s="6" t="s">
        <v>68</v>
      </c>
      <c r="I214" s="6" t="s">
        <v>5688</v>
      </c>
      <c r="J214" s="6">
        <v>2381263</v>
      </c>
      <c r="K214" s="7" t="s">
        <v>8101</v>
      </c>
      <c r="L214" s="8">
        <v>24738</v>
      </c>
      <c r="M214" s="8" t="str">
        <f t="shared" si="20"/>
        <v>PEN</v>
      </c>
      <c r="N214" s="13"/>
      <c r="O214" s="13">
        <v>8</v>
      </c>
      <c r="P214" s="3">
        <f t="shared" si="17"/>
        <v>0</v>
      </c>
      <c r="Q214" s="3">
        <f t="shared" si="18"/>
        <v>8</v>
      </c>
      <c r="R214" s="3">
        <f t="shared" si="19"/>
        <v>281.70000000000005</v>
      </c>
      <c r="S214" s="24" t="s">
        <v>1334</v>
      </c>
      <c r="T214" s="24" t="s">
        <v>1334</v>
      </c>
      <c r="U214" s="3"/>
      <c r="V214" s="25" t="s">
        <v>7842</v>
      </c>
      <c r="W214" s="25">
        <v>20517252558</v>
      </c>
      <c r="X214" s="25" t="str">
        <f>IFERROR(VLOOKUP(C_Ope_002[[#This Row],[nota_2]],Clientes_Proveedores[[Ruc / Dni]:[Razon Social]],2,0),"")</f>
        <v>COVISUR S.A.</v>
      </c>
      <c r="Y214" s="25"/>
      <c r="Z214" s="103"/>
      <c r="AA214" s="3" t="str">
        <f>IF(C_Ope_002[[#This Row],[fecha]]&gt;0,TEXT(C_Ope_002[[#This Row],[fecha]],"mmmm"),0)</f>
        <v>Junio</v>
      </c>
      <c r="AB214" s="49"/>
    </row>
    <row r="215" spans="1:28" ht="36" x14ac:dyDescent="0.3">
      <c r="A215" s="2">
        <f>IF(C_Ope_002[[#This Row],[tipo_r]]="R",COUNTIFS($C$1:$C214,"R")+1,"")</f>
        <v>214</v>
      </c>
      <c r="B215" s="19" t="str">
        <f t="shared" si="16"/>
        <v>C_Ope_002</v>
      </c>
      <c r="C215" s="3" t="s">
        <v>1330</v>
      </c>
      <c r="D215" s="14">
        <v>45835</v>
      </c>
      <c r="E215" s="5" t="s">
        <v>8005</v>
      </c>
      <c r="F215" s="5" t="s">
        <v>1336</v>
      </c>
      <c r="G215" s="6" t="s">
        <v>978</v>
      </c>
      <c r="H215" s="6" t="s">
        <v>68</v>
      </c>
      <c r="I215" s="6" t="s">
        <v>6203</v>
      </c>
      <c r="J215" s="6">
        <v>2095899</v>
      </c>
      <c r="K215" s="7" t="s">
        <v>8101</v>
      </c>
      <c r="L215" s="8">
        <v>24739</v>
      </c>
      <c r="M215" s="8" t="str">
        <f t="shared" si="20"/>
        <v>PEN</v>
      </c>
      <c r="N215" s="13"/>
      <c r="O215" s="13">
        <v>8</v>
      </c>
      <c r="P215" s="3">
        <f t="shared" si="17"/>
        <v>0</v>
      </c>
      <c r="Q215" s="3">
        <f t="shared" si="18"/>
        <v>8</v>
      </c>
      <c r="R215" s="3">
        <f t="shared" si="19"/>
        <v>273.70000000000005</v>
      </c>
      <c r="S215" s="24" t="s">
        <v>1334</v>
      </c>
      <c r="T215" s="24" t="s">
        <v>1334</v>
      </c>
      <c r="U215" s="3"/>
      <c r="V215" s="25" t="s">
        <v>7842</v>
      </c>
      <c r="W215" s="25">
        <v>20517252558</v>
      </c>
      <c r="X215" s="25" t="str">
        <f>IFERROR(VLOOKUP(C_Ope_002[[#This Row],[nota_2]],Clientes_Proveedores[[Ruc / Dni]:[Razon Social]],2,0),"")</f>
        <v>COVISUR S.A.</v>
      </c>
      <c r="Y215" s="25"/>
      <c r="Z215" s="103"/>
      <c r="AA215" s="3" t="str">
        <f>IF(C_Ope_002[[#This Row],[fecha]]&gt;0,TEXT(C_Ope_002[[#This Row],[fecha]],"mmmm"),0)</f>
        <v>Junio</v>
      </c>
      <c r="AB215" s="49"/>
    </row>
    <row r="216" spans="1:28" ht="36" x14ac:dyDescent="0.3">
      <c r="A216" s="2">
        <f>IF(C_Ope_002[[#This Row],[tipo_r]]="R",COUNTIFS($C$1:$C215,"R")+1,"")</f>
        <v>215</v>
      </c>
      <c r="B216" s="19" t="str">
        <f t="shared" si="16"/>
        <v>C_Ope_002</v>
      </c>
      <c r="C216" s="3" t="s">
        <v>1330</v>
      </c>
      <c r="D216" s="14">
        <v>45838</v>
      </c>
      <c r="E216" s="5" t="s">
        <v>8005</v>
      </c>
      <c r="F216" s="5" t="s">
        <v>1336</v>
      </c>
      <c r="G216" s="6" t="s">
        <v>978</v>
      </c>
      <c r="H216" s="6" t="s">
        <v>68</v>
      </c>
      <c r="I216" s="6" t="s">
        <v>5688</v>
      </c>
      <c r="J216" s="6">
        <v>2384256</v>
      </c>
      <c r="K216" s="7" t="s">
        <v>8102</v>
      </c>
      <c r="L216" s="8">
        <v>24743</v>
      </c>
      <c r="M216" s="8" t="str">
        <f t="shared" si="20"/>
        <v>PEN</v>
      </c>
      <c r="N216" s="13"/>
      <c r="O216" s="13">
        <v>8</v>
      </c>
      <c r="P216" s="3">
        <f t="shared" si="17"/>
        <v>0</v>
      </c>
      <c r="Q216" s="3">
        <f t="shared" si="18"/>
        <v>8</v>
      </c>
      <c r="R216" s="3">
        <f t="shared" si="19"/>
        <v>265.70000000000005</v>
      </c>
      <c r="S216" s="24" t="s">
        <v>1334</v>
      </c>
      <c r="T216" s="24" t="s">
        <v>1334</v>
      </c>
      <c r="U216" s="3"/>
      <c r="V216" s="25" t="s">
        <v>7842</v>
      </c>
      <c r="W216" s="25">
        <v>20517252558</v>
      </c>
      <c r="X216" s="25" t="str">
        <f>IFERROR(VLOOKUP(C_Ope_002[[#This Row],[nota_2]],Clientes_Proveedores[[Ruc / Dni]:[Razon Social]],2,0),"")</f>
        <v>COVISUR S.A.</v>
      </c>
      <c r="Y216" s="25"/>
      <c r="Z216" s="103"/>
      <c r="AA216" s="3" t="str">
        <f>IF(C_Ope_002[[#This Row],[fecha]]&gt;0,TEXT(C_Ope_002[[#This Row],[fecha]],"mmmm"),0)</f>
        <v>Junio</v>
      </c>
      <c r="AB216" s="49"/>
    </row>
    <row r="217" spans="1:28" ht="36" x14ac:dyDescent="0.3">
      <c r="A217" s="2">
        <f>IF(C_Ope_002[[#This Row],[tipo_r]]="R",COUNTIFS($C$1:$C216,"R")+1,"")</f>
        <v>216</v>
      </c>
      <c r="B217" s="19" t="str">
        <f t="shared" si="16"/>
        <v>C_Ope_002</v>
      </c>
      <c r="C217" s="3" t="s">
        <v>1330</v>
      </c>
      <c r="D217" s="14">
        <v>45838</v>
      </c>
      <c r="E217" s="5" t="s">
        <v>8005</v>
      </c>
      <c r="F217" s="5" t="s">
        <v>1336</v>
      </c>
      <c r="G217" s="6" t="s">
        <v>978</v>
      </c>
      <c r="H217" s="6" t="s">
        <v>68</v>
      </c>
      <c r="I217" s="6" t="s">
        <v>6203</v>
      </c>
      <c r="J217" s="6">
        <v>2098923</v>
      </c>
      <c r="K217" s="7" t="s">
        <v>8102</v>
      </c>
      <c r="L217" s="8">
        <v>24749</v>
      </c>
      <c r="M217" s="8" t="str">
        <f t="shared" si="20"/>
        <v>PEN</v>
      </c>
      <c r="N217" s="13"/>
      <c r="O217" s="13">
        <v>8</v>
      </c>
      <c r="P217" s="3">
        <f t="shared" si="17"/>
        <v>0</v>
      </c>
      <c r="Q217" s="3">
        <f t="shared" si="18"/>
        <v>8</v>
      </c>
      <c r="R217" s="3">
        <f t="shared" si="19"/>
        <v>257.70000000000005</v>
      </c>
      <c r="S217" s="24" t="s">
        <v>1334</v>
      </c>
      <c r="T217" s="24" t="s">
        <v>1334</v>
      </c>
      <c r="U217" s="3"/>
      <c r="V217" s="25" t="s">
        <v>7842</v>
      </c>
      <c r="W217" s="25">
        <v>20517252558</v>
      </c>
      <c r="X217" s="25" t="str">
        <f>IFERROR(VLOOKUP(C_Ope_002[[#This Row],[nota_2]],Clientes_Proveedores[[Ruc / Dni]:[Razon Social]],2,0),"")</f>
        <v>COVISUR S.A.</v>
      </c>
      <c r="Y217" s="25"/>
      <c r="Z217" s="103"/>
      <c r="AA217" s="3" t="str">
        <f>IF(C_Ope_002[[#This Row],[fecha]]&gt;0,TEXT(C_Ope_002[[#This Row],[fecha]],"mmmm"),0)</f>
        <v>Junio</v>
      </c>
      <c r="AB217" s="49"/>
    </row>
    <row r="218" spans="1:28" ht="36" x14ac:dyDescent="0.3">
      <c r="A218" s="2">
        <f>IF(C_Ope_002[[#This Row],[tipo_r]]="R",COUNTIFS($C$1:$C217,"R")+1,"")</f>
        <v>217</v>
      </c>
      <c r="B218" s="19" t="str">
        <f t="shared" si="16"/>
        <v>C_Ope_002</v>
      </c>
      <c r="C218" s="3" t="s">
        <v>1330</v>
      </c>
      <c r="D218" s="14">
        <v>45831</v>
      </c>
      <c r="E218" s="5" t="s">
        <v>8005</v>
      </c>
      <c r="F218" s="5" t="s">
        <v>1336</v>
      </c>
      <c r="G218" s="6" t="s">
        <v>227</v>
      </c>
      <c r="H218" s="6" t="s">
        <v>68</v>
      </c>
      <c r="I218" s="6" t="s">
        <v>1390</v>
      </c>
      <c r="J218" s="6">
        <v>133347</v>
      </c>
      <c r="K218" s="7" t="s">
        <v>7765</v>
      </c>
      <c r="L218" s="8">
        <v>24736</v>
      </c>
      <c r="M218" s="8" t="str">
        <f t="shared" si="20"/>
        <v>PEN</v>
      </c>
      <c r="N218" s="13"/>
      <c r="O218" s="13">
        <v>10</v>
      </c>
      <c r="P218" s="3">
        <f t="shared" si="17"/>
        <v>0</v>
      </c>
      <c r="Q218" s="3">
        <f t="shared" si="18"/>
        <v>10</v>
      </c>
      <c r="R218" s="3">
        <f t="shared" si="19"/>
        <v>247.70000000000005</v>
      </c>
      <c r="S218" s="24" t="s">
        <v>1334</v>
      </c>
      <c r="T218" s="24" t="s">
        <v>1334</v>
      </c>
      <c r="U218" s="3"/>
      <c r="V218" s="25" t="s">
        <v>7842</v>
      </c>
      <c r="W218" s="25">
        <v>20124952850</v>
      </c>
      <c r="X218" s="25" t="str">
        <f>IFERROR(VLOOKUP(C_Ope_002[[#This Row],[nota_2]],Clientes_Proveedores[[Ruc / Dni]:[Razon Social]],2,0),"")</f>
        <v>ALIMENTOS Y SERVICIOS AGROPECUARIOS SRL.</v>
      </c>
      <c r="Y218" s="25"/>
      <c r="Z218" s="103"/>
      <c r="AA218" s="3" t="str">
        <f>IF(C_Ope_002[[#This Row],[fecha]]&gt;0,TEXT(C_Ope_002[[#This Row],[fecha]],"mmmm"),0)</f>
        <v>Junio</v>
      </c>
      <c r="AB218" s="49"/>
    </row>
    <row r="219" spans="1:28" ht="36" x14ac:dyDescent="0.3">
      <c r="A219" s="2">
        <f>IF(C_Ope_002[[#This Row],[tipo_r]]="R",COUNTIFS($C$1:$C218,"R")+1,"")</f>
        <v>218</v>
      </c>
      <c r="B219" s="19" t="str">
        <f t="shared" si="16"/>
        <v>C_Ope_002</v>
      </c>
      <c r="C219" s="3" t="s">
        <v>1330</v>
      </c>
      <c r="D219" s="14">
        <v>45838</v>
      </c>
      <c r="E219" s="5" t="s">
        <v>8005</v>
      </c>
      <c r="F219" s="5" t="s">
        <v>1336</v>
      </c>
      <c r="G219" s="6" t="s">
        <v>227</v>
      </c>
      <c r="H219" s="6" t="s">
        <v>68</v>
      </c>
      <c r="I219" s="6" t="s">
        <v>1390</v>
      </c>
      <c r="J219" s="6">
        <v>133625</v>
      </c>
      <c r="K219" s="7" t="s">
        <v>7765</v>
      </c>
      <c r="L219" s="8">
        <v>24742</v>
      </c>
      <c r="M219" s="8" t="str">
        <f t="shared" si="20"/>
        <v>PEN</v>
      </c>
      <c r="N219" s="13"/>
      <c r="O219" s="13">
        <v>10</v>
      </c>
      <c r="P219" s="3">
        <f t="shared" si="17"/>
        <v>0</v>
      </c>
      <c r="Q219" s="3">
        <f t="shared" si="18"/>
        <v>10</v>
      </c>
      <c r="R219" s="3">
        <f t="shared" si="19"/>
        <v>237.70000000000005</v>
      </c>
      <c r="S219" s="24" t="s">
        <v>1334</v>
      </c>
      <c r="T219" s="24" t="s">
        <v>1334</v>
      </c>
      <c r="U219" s="3"/>
      <c r="V219" s="25" t="s">
        <v>7842</v>
      </c>
      <c r="W219" s="25">
        <v>20124952850</v>
      </c>
      <c r="X219" s="25" t="str">
        <f>IFERROR(VLOOKUP(C_Ope_002[[#This Row],[nota_2]],Clientes_Proveedores[[Ruc / Dni]:[Razon Social]],2,0),"")</f>
        <v>ALIMENTOS Y SERVICIOS AGROPECUARIOS SRL.</v>
      </c>
      <c r="Y219" s="25"/>
      <c r="Z219" s="103"/>
      <c r="AA219" s="3" t="str">
        <f>IF(C_Ope_002[[#This Row],[fecha]]&gt;0,TEXT(C_Ope_002[[#This Row],[fecha]],"mmmm"),0)</f>
        <v>Junio</v>
      </c>
      <c r="AB219" s="49"/>
    </row>
    <row r="220" spans="1:28" x14ac:dyDescent="0.3">
      <c r="A220" s="2">
        <f>IF(C_Ope_002[[#This Row],[tipo_r]]="R",COUNTIFS($C$1:$C219,"R")+1,"")</f>
        <v>219</v>
      </c>
      <c r="B220" s="19" t="str">
        <f t="shared" ref="B220:B224" si="21">"C_Ope_002"</f>
        <v>C_Ope_002</v>
      </c>
      <c r="C220" s="3" t="s">
        <v>1330</v>
      </c>
      <c r="D220" s="14">
        <v>45840</v>
      </c>
      <c r="E220" s="5" t="s">
        <v>8005</v>
      </c>
      <c r="F220" s="5" t="s">
        <v>1336</v>
      </c>
      <c r="G220" s="6" t="s">
        <v>978</v>
      </c>
      <c r="H220" s="6" t="s">
        <v>68</v>
      </c>
      <c r="I220" s="6" t="s">
        <v>6204</v>
      </c>
      <c r="J220" s="6">
        <v>1774898</v>
      </c>
      <c r="K220" s="7" t="s">
        <v>8103</v>
      </c>
      <c r="L220" s="8">
        <v>24802</v>
      </c>
      <c r="M220" s="8" t="str">
        <f t="shared" ref="M220:M224" si="22">"PEN"</f>
        <v>PEN</v>
      </c>
      <c r="N220" s="13"/>
      <c r="O220" s="13">
        <v>8</v>
      </c>
      <c r="P220" s="3">
        <f t="shared" si="17"/>
        <v>0</v>
      </c>
      <c r="Q220" s="3">
        <f t="shared" si="18"/>
        <v>8</v>
      </c>
      <c r="R220" s="3">
        <f t="shared" si="19"/>
        <v>229.70000000000005</v>
      </c>
      <c r="S220" s="24" t="s">
        <v>1334</v>
      </c>
      <c r="T220" s="24" t="s">
        <v>1334</v>
      </c>
      <c r="U220" s="3"/>
      <c r="V220" s="25" t="s">
        <v>7842</v>
      </c>
      <c r="W220" s="25">
        <v>20517252558</v>
      </c>
      <c r="X220" s="25" t="str">
        <f>IFERROR(VLOOKUP(C_Ope_002[[#This Row],[nota_2]],Clientes_Proveedores[[Ruc / Dni]:[Razon Social]],2,0),"")</f>
        <v>COVISUR S.A.</v>
      </c>
      <c r="Y220" s="25"/>
      <c r="Z220" s="103"/>
      <c r="AA220" s="3" t="str">
        <f>IF(C_Ope_002[[#This Row],[fecha]]&gt;0,TEXT(C_Ope_002[[#This Row],[fecha]],"mmmm"),0)</f>
        <v>Julio</v>
      </c>
      <c r="AB220" s="49"/>
    </row>
    <row r="221" spans="1:28" x14ac:dyDescent="0.3">
      <c r="A221" s="2">
        <f>IF(C_Ope_002[[#This Row],[tipo_r]]="R",COUNTIFS($C$1:$C220,"R")+1,"")</f>
        <v>220</v>
      </c>
      <c r="B221" s="19" t="str">
        <f t="shared" si="21"/>
        <v>C_Ope_002</v>
      </c>
      <c r="C221" s="3" t="s">
        <v>1330</v>
      </c>
      <c r="D221" s="14">
        <v>45840</v>
      </c>
      <c r="E221" s="5" t="s">
        <v>8005</v>
      </c>
      <c r="F221" s="5" t="s">
        <v>1336</v>
      </c>
      <c r="G221" s="6" t="s">
        <v>978</v>
      </c>
      <c r="H221" s="6" t="s">
        <v>68</v>
      </c>
      <c r="I221" s="6" t="s">
        <v>6203</v>
      </c>
      <c r="J221" s="6">
        <v>2100874</v>
      </c>
      <c r="K221" s="7" t="s">
        <v>8103</v>
      </c>
      <c r="L221" s="8">
        <v>24803</v>
      </c>
      <c r="M221" s="8" t="str">
        <f t="shared" si="22"/>
        <v>PEN</v>
      </c>
      <c r="N221" s="13"/>
      <c r="O221" s="13">
        <v>8</v>
      </c>
      <c r="P221" s="3">
        <f t="shared" si="17"/>
        <v>0</v>
      </c>
      <c r="Q221" s="3">
        <f t="shared" si="18"/>
        <v>8</v>
      </c>
      <c r="R221" s="3">
        <f t="shared" si="19"/>
        <v>221.70000000000005</v>
      </c>
      <c r="S221" s="24" t="s">
        <v>1334</v>
      </c>
      <c r="T221" s="24" t="s">
        <v>1334</v>
      </c>
      <c r="U221" s="3"/>
      <c r="V221" s="25" t="s">
        <v>7842</v>
      </c>
      <c r="W221" s="25">
        <v>20517252558</v>
      </c>
      <c r="X221" s="25" t="str">
        <f>IFERROR(VLOOKUP(C_Ope_002[[#This Row],[nota_2]],Clientes_Proveedores[[Ruc / Dni]:[Razon Social]],2,0),"")</f>
        <v>COVISUR S.A.</v>
      </c>
      <c r="Y221" s="25"/>
      <c r="Z221" s="103"/>
      <c r="AA221" s="3" t="str">
        <f>IF(C_Ope_002[[#This Row],[fecha]]&gt;0,TEXT(C_Ope_002[[#This Row],[fecha]],"mmmm"),0)</f>
        <v>Julio</v>
      </c>
      <c r="AB221" s="49"/>
    </row>
    <row r="222" spans="1:28" ht="24" x14ac:dyDescent="0.3">
      <c r="A222" s="2">
        <f>IF(C_Ope_002[[#This Row],[tipo_r]]="R",COUNTIFS($C$1:$C221,"R")+1,"")</f>
        <v>221</v>
      </c>
      <c r="B222" s="19" t="str">
        <f t="shared" si="21"/>
        <v>C_Ope_002</v>
      </c>
      <c r="C222" s="3" t="s">
        <v>1330</v>
      </c>
      <c r="D222" s="14">
        <v>45841</v>
      </c>
      <c r="E222" s="5" t="s">
        <v>8005</v>
      </c>
      <c r="F222" s="5" t="s">
        <v>1336</v>
      </c>
      <c r="G222" s="6" t="s">
        <v>978</v>
      </c>
      <c r="H222" s="6" t="s">
        <v>68</v>
      </c>
      <c r="I222" s="6" t="s">
        <v>6204</v>
      </c>
      <c r="J222" s="6">
        <v>1775700</v>
      </c>
      <c r="K222" s="7" t="s">
        <v>8104</v>
      </c>
      <c r="L222" s="8">
        <v>24804</v>
      </c>
      <c r="M222" s="8" t="str">
        <f t="shared" si="22"/>
        <v>PEN</v>
      </c>
      <c r="N222" s="13"/>
      <c r="O222" s="13">
        <v>8</v>
      </c>
      <c r="P222" s="3">
        <f t="shared" si="17"/>
        <v>0</v>
      </c>
      <c r="Q222" s="3">
        <f t="shared" si="18"/>
        <v>8</v>
      </c>
      <c r="R222" s="3">
        <f t="shared" si="19"/>
        <v>213.70000000000005</v>
      </c>
      <c r="S222" s="24" t="s">
        <v>1334</v>
      </c>
      <c r="T222" s="24" t="s">
        <v>1334</v>
      </c>
      <c r="U222" s="3"/>
      <c r="V222" s="25" t="s">
        <v>7842</v>
      </c>
      <c r="W222" s="25">
        <v>20517252558</v>
      </c>
      <c r="X222" s="25" t="str">
        <f>IFERROR(VLOOKUP(C_Ope_002[[#This Row],[nota_2]],Clientes_Proveedores[[Ruc / Dni]:[Razon Social]],2,0),"")</f>
        <v>COVISUR S.A.</v>
      </c>
      <c r="Y222" s="25"/>
      <c r="Z222" s="103"/>
      <c r="AA222" s="3" t="str">
        <f>IF(C_Ope_002[[#This Row],[fecha]]&gt;0,TEXT(C_Ope_002[[#This Row],[fecha]],"mmmm"),0)</f>
        <v>Julio</v>
      </c>
      <c r="AB222" s="49"/>
    </row>
    <row r="223" spans="1:28" x14ac:dyDescent="0.3">
      <c r="A223" s="2">
        <f>IF(C_Ope_002[[#This Row],[tipo_r]]="R",COUNTIFS($C$1:$C222,"R")+1,"")</f>
        <v>222</v>
      </c>
      <c r="B223" s="19" t="str">
        <f t="shared" si="21"/>
        <v>C_Ope_002</v>
      </c>
      <c r="C223" s="3" t="s">
        <v>1330</v>
      </c>
      <c r="D223" s="14">
        <v>45841</v>
      </c>
      <c r="E223" s="5" t="s">
        <v>8005</v>
      </c>
      <c r="F223" s="5" t="s">
        <v>1336</v>
      </c>
      <c r="G223" s="6" t="s">
        <v>978</v>
      </c>
      <c r="H223" s="6" t="s">
        <v>68</v>
      </c>
      <c r="I223" s="6" t="s">
        <v>6203</v>
      </c>
      <c r="J223" s="6">
        <v>2101734</v>
      </c>
      <c r="K223" s="7" t="s">
        <v>8105</v>
      </c>
      <c r="L223" s="8">
        <v>24805</v>
      </c>
      <c r="M223" s="8" t="str">
        <f t="shared" si="22"/>
        <v>PEN</v>
      </c>
      <c r="N223" s="13"/>
      <c r="O223" s="13">
        <v>8</v>
      </c>
      <c r="P223" s="3">
        <f t="shared" si="17"/>
        <v>0</v>
      </c>
      <c r="Q223" s="3">
        <f t="shared" si="18"/>
        <v>8</v>
      </c>
      <c r="R223" s="3">
        <f t="shared" si="19"/>
        <v>205.70000000000005</v>
      </c>
      <c r="S223" s="24" t="s">
        <v>1334</v>
      </c>
      <c r="T223" s="24" t="s">
        <v>1334</v>
      </c>
      <c r="U223" s="3"/>
      <c r="V223" s="25" t="s">
        <v>7756</v>
      </c>
      <c r="W223" s="25">
        <v>20517252558</v>
      </c>
      <c r="X223" s="25" t="str">
        <f>IFERROR(VLOOKUP(C_Ope_002[[#This Row],[nota_2]],Clientes_Proveedores[[Ruc / Dni]:[Razon Social]],2,0),"")</f>
        <v>COVISUR S.A.</v>
      </c>
      <c r="Y223" s="25"/>
      <c r="Z223" s="103"/>
      <c r="AA223" s="3" t="str">
        <f>IF(C_Ope_002[[#This Row],[fecha]]&gt;0,TEXT(C_Ope_002[[#This Row],[fecha]],"mmmm"),0)</f>
        <v>Julio</v>
      </c>
      <c r="AB223" s="49"/>
    </row>
    <row r="224" spans="1:28" x14ac:dyDescent="0.3">
      <c r="A224" s="2">
        <f>IF(C_Ope_002[[#This Row],[tipo_r]]="R",COUNTIFS($C$1:$C223,"R")+1,"")</f>
        <v>223</v>
      </c>
      <c r="B224" s="19" t="str">
        <f t="shared" si="21"/>
        <v>C_Ope_002</v>
      </c>
      <c r="C224" s="3" t="s">
        <v>1330</v>
      </c>
      <c r="D224" s="14">
        <v>45842</v>
      </c>
      <c r="E224" s="5" t="s">
        <v>8005</v>
      </c>
      <c r="F224" s="5" t="s">
        <v>1336</v>
      </c>
      <c r="G224" s="6" t="s">
        <v>978</v>
      </c>
      <c r="H224" s="6" t="s">
        <v>68</v>
      </c>
      <c r="I224" s="6" t="s">
        <v>5845</v>
      </c>
      <c r="J224" s="6">
        <v>1796430</v>
      </c>
      <c r="K224" s="7" t="s">
        <v>8103</v>
      </c>
      <c r="L224" s="8">
        <v>24806</v>
      </c>
      <c r="M224" s="8" t="str">
        <f t="shared" si="22"/>
        <v>PEN</v>
      </c>
      <c r="N224" s="13"/>
      <c r="O224" s="13">
        <v>8</v>
      </c>
      <c r="P224" s="3">
        <f t="shared" si="17"/>
        <v>0</v>
      </c>
      <c r="Q224" s="3">
        <f t="shared" si="18"/>
        <v>8</v>
      </c>
      <c r="R224" s="3">
        <f t="shared" si="19"/>
        <v>197.70000000000005</v>
      </c>
      <c r="S224" s="24" t="s">
        <v>1334</v>
      </c>
      <c r="T224" s="24" t="s">
        <v>1334</v>
      </c>
      <c r="U224" s="3"/>
      <c r="V224" s="25" t="s">
        <v>7842</v>
      </c>
      <c r="W224" s="25">
        <v>20517252558</v>
      </c>
      <c r="X224" s="25" t="str">
        <f>IFERROR(VLOOKUP(C_Ope_002[[#This Row],[nota_2]],Clientes_Proveedores[[Ruc / Dni]:[Razon Social]],2,0),"")</f>
        <v>COVISUR S.A.</v>
      </c>
      <c r="Y224" s="25"/>
      <c r="Z224" s="103"/>
      <c r="AA224" s="3" t="str">
        <f>IF(C_Ope_002[[#This Row],[fecha]]&gt;0,TEXT(C_Ope_002[[#This Row],[fecha]],"mmmm"),0)</f>
        <v>Julio</v>
      </c>
      <c r="AB224" s="49"/>
    </row>
    <row r="225" spans="1:28" ht="36" x14ac:dyDescent="0.3">
      <c r="A225" s="2">
        <f>IF(C_Ope_002[[#This Row],[tipo_r]]="R",COUNTIFS($C$1:$C224,"R")+1,"")</f>
        <v>224</v>
      </c>
      <c r="B225" s="19" t="str">
        <f>"C_Ope_002"</f>
        <v>C_Ope_002</v>
      </c>
      <c r="C225" s="3" t="s">
        <v>1330</v>
      </c>
      <c r="D225" s="14">
        <v>45842</v>
      </c>
      <c r="E225" s="5" t="s">
        <v>8005</v>
      </c>
      <c r="F225" s="5" t="s">
        <v>1336</v>
      </c>
      <c r="G225" s="6" t="s">
        <v>227</v>
      </c>
      <c r="H225" s="6" t="s">
        <v>68</v>
      </c>
      <c r="I225" s="6" t="s">
        <v>1390</v>
      </c>
      <c r="J225" s="6">
        <v>133813</v>
      </c>
      <c r="K225" s="7" t="s">
        <v>8106</v>
      </c>
      <c r="L225" s="8">
        <v>24807</v>
      </c>
      <c r="M225" s="8" t="str">
        <f>"PEN"</f>
        <v>PEN</v>
      </c>
      <c r="N225" s="13"/>
      <c r="O225" s="13">
        <v>10</v>
      </c>
      <c r="P225" s="3">
        <f t="shared" si="17"/>
        <v>0</v>
      </c>
      <c r="Q225" s="3">
        <f t="shared" si="18"/>
        <v>10</v>
      </c>
      <c r="R225" s="3">
        <f t="shared" si="19"/>
        <v>187.70000000000005</v>
      </c>
      <c r="S225" s="24" t="s">
        <v>1334</v>
      </c>
      <c r="T225" s="24" t="s">
        <v>1334</v>
      </c>
      <c r="U225" s="3"/>
      <c r="V225" s="25" t="s">
        <v>7842</v>
      </c>
      <c r="W225" s="25">
        <v>20124952850</v>
      </c>
      <c r="X225" s="25" t="str">
        <f>IFERROR(VLOOKUP(C_Ope_002[[#This Row],[nota_2]],Clientes_Proveedores[[Ruc / Dni]:[Razon Social]],2,0),"")</f>
        <v>ALIMENTOS Y SERVICIOS AGROPECUARIOS SRL.</v>
      </c>
      <c r="Y225" s="25"/>
      <c r="Z225" s="103"/>
      <c r="AA225" s="3" t="str">
        <f>IF(C_Ope_002[[#This Row],[fecha]]&gt;0,TEXT(C_Ope_002[[#This Row],[fecha]],"mmmm"),0)</f>
        <v>Julio</v>
      </c>
      <c r="AB225" s="49"/>
    </row>
    <row r="226" spans="1:28" x14ac:dyDescent="0.3">
      <c r="A226" s="2">
        <f>IF(C_Ope_002[[#This Row],[tipo_r]]="R",COUNTIFS($C$1:$C225,"R")+1,"")</f>
        <v>225</v>
      </c>
      <c r="B226" s="19" t="str">
        <f t="shared" ref="B226:B236" si="23">"C_Ope_002"</f>
        <v>C_Ope_002</v>
      </c>
      <c r="C226" s="3" t="s">
        <v>1330</v>
      </c>
      <c r="D226" s="14">
        <v>45845</v>
      </c>
      <c r="E226" s="5" t="s">
        <v>8005</v>
      </c>
      <c r="F226" s="5" t="s">
        <v>1336</v>
      </c>
      <c r="G226" s="6" t="s">
        <v>978</v>
      </c>
      <c r="H226" s="6" t="s">
        <v>68</v>
      </c>
      <c r="I226" s="6" t="s">
        <v>5845</v>
      </c>
      <c r="J226" s="6">
        <v>1798353</v>
      </c>
      <c r="K226" s="7" t="s">
        <v>8107</v>
      </c>
      <c r="L226" s="8">
        <v>24856</v>
      </c>
      <c r="M226" s="8" t="str">
        <f t="shared" ref="M226:M236" si="24">"PEN"</f>
        <v>PEN</v>
      </c>
      <c r="N226" s="13"/>
      <c r="O226" s="13">
        <v>8</v>
      </c>
      <c r="P226" s="3">
        <f t="shared" si="17"/>
        <v>0</v>
      </c>
      <c r="Q226" s="3">
        <f t="shared" si="18"/>
        <v>8</v>
      </c>
      <c r="R226" s="3">
        <f t="shared" si="19"/>
        <v>179.70000000000005</v>
      </c>
      <c r="S226" s="24" t="s">
        <v>1334</v>
      </c>
      <c r="T226" s="24" t="s">
        <v>1334</v>
      </c>
      <c r="U226" s="3"/>
      <c r="V226" s="25" t="s">
        <v>7842</v>
      </c>
      <c r="W226" s="25">
        <v>20517252558</v>
      </c>
      <c r="X226" s="25" t="str">
        <f>IFERROR(VLOOKUP(C_Ope_002[[#This Row],[nota_2]],Clientes_Proveedores[[Ruc / Dni]:[Razon Social]],2,0),"")</f>
        <v>COVISUR S.A.</v>
      </c>
      <c r="Y226" s="25"/>
      <c r="Z226" s="103"/>
      <c r="AA226" s="3" t="str">
        <f>IF(C_Ope_002[[#This Row],[fecha]]&gt;0,TEXT(C_Ope_002[[#This Row],[fecha]],"mmmm"),0)</f>
        <v>Julio</v>
      </c>
      <c r="AB226" s="49"/>
    </row>
    <row r="227" spans="1:28" x14ac:dyDescent="0.3">
      <c r="A227" s="2">
        <f>IF(C_Ope_002[[#This Row],[tipo_r]]="R",COUNTIFS($C$1:$C226,"R")+1,"")</f>
        <v>226</v>
      </c>
      <c r="B227" s="19" t="str">
        <f t="shared" si="23"/>
        <v>C_Ope_002</v>
      </c>
      <c r="C227" s="3" t="s">
        <v>1330</v>
      </c>
      <c r="D227" s="14">
        <v>45845</v>
      </c>
      <c r="E227" s="5" t="s">
        <v>8005</v>
      </c>
      <c r="F227" s="5" t="s">
        <v>1336</v>
      </c>
      <c r="G227" s="6" t="s">
        <v>978</v>
      </c>
      <c r="H227" s="6" t="s">
        <v>68</v>
      </c>
      <c r="I227" s="6" t="s">
        <v>6204</v>
      </c>
      <c r="J227" s="6">
        <v>1778329</v>
      </c>
      <c r="K227" s="7" t="s">
        <v>8107</v>
      </c>
      <c r="L227" s="8">
        <v>24857</v>
      </c>
      <c r="M227" s="8" t="str">
        <f t="shared" si="24"/>
        <v>PEN</v>
      </c>
      <c r="N227" s="13"/>
      <c r="O227" s="13">
        <v>8</v>
      </c>
      <c r="P227" s="3">
        <f t="shared" si="17"/>
        <v>0</v>
      </c>
      <c r="Q227" s="3">
        <f t="shared" si="18"/>
        <v>8</v>
      </c>
      <c r="R227" s="3">
        <f t="shared" si="19"/>
        <v>171.70000000000005</v>
      </c>
      <c r="S227" s="24" t="s">
        <v>1334</v>
      </c>
      <c r="T227" s="24" t="s">
        <v>1334</v>
      </c>
      <c r="U227" s="3"/>
      <c r="V227" s="25" t="s">
        <v>7842</v>
      </c>
      <c r="W227" s="25">
        <v>20517252558</v>
      </c>
      <c r="X227" s="25" t="str">
        <f>IFERROR(VLOOKUP(C_Ope_002[[#This Row],[nota_2]],Clientes_Proveedores[[Ruc / Dni]:[Razon Social]],2,0),"")</f>
        <v>COVISUR S.A.</v>
      </c>
      <c r="Y227" s="25"/>
      <c r="Z227" s="103"/>
      <c r="AA227" s="3" t="str">
        <f>IF(C_Ope_002[[#This Row],[fecha]]&gt;0,TEXT(C_Ope_002[[#This Row],[fecha]],"mmmm"),0)</f>
        <v>Julio</v>
      </c>
      <c r="AB227" s="49"/>
    </row>
    <row r="228" spans="1:28" ht="24" x14ac:dyDescent="0.3">
      <c r="A228" s="2">
        <f>IF(C_Ope_002[[#This Row],[tipo_r]]="R",COUNTIFS($C$1:$C227,"R")+1,"")</f>
        <v>227</v>
      </c>
      <c r="B228" s="19" t="str">
        <f t="shared" si="23"/>
        <v>C_Ope_002</v>
      </c>
      <c r="C228" s="3" t="s">
        <v>1330</v>
      </c>
      <c r="D228" s="14">
        <v>45846</v>
      </c>
      <c r="E228" s="5" t="s">
        <v>8005</v>
      </c>
      <c r="F228" s="5" t="s">
        <v>1336</v>
      </c>
      <c r="G228" s="6" t="s">
        <v>978</v>
      </c>
      <c r="H228" s="6" t="s">
        <v>68</v>
      </c>
      <c r="I228" s="6" t="s">
        <v>6203</v>
      </c>
      <c r="J228" s="6">
        <v>2105666</v>
      </c>
      <c r="K228" s="7" t="s">
        <v>8108</v>
      </c>
      <c r="L228" s="8">
        <v>24858</v>
      </c>
      <c r="M228" s="8" t="str">
        <f t="shared" si="24"/>
        <v>PEN</v>
      </c>
      <c r="N228" s="13"/>
      <c r="O228" s="13">
        <v>8</v>
      </c>
      <c r="P228" s="3">
        <f t="shared" si="17"/>
        <v>0</v>
      </c>
      <c r="Q228" s="3">
        <f t="shared" si="18"/>
        <v>8</v>
      </c>
      <c r="R228" s="3">
        <f t="shared" si="19"/>
        <v>163.70000000000005</v>
      </c>
      <c r="S228" s="24" t="s">
        <v>1334</v>
      </c>
      <c r="T228" s="24" t="s">
        <v>1334</v>
      </c>
      <c r="U228" s="3"/>
      <c r="V228" s="25" t="s">
        <v>7842</v>
      </c>
      <c r="W228" s="25">
        <v>20517252558</v>
      </c>
      <c r="X228" s="25" t="str">
        <f>IFERROR(VLOOKUP(C_Ope_002[[#This Row],[nota_2]],Clientes_Proveedores[[Ruc / Dni]:[Razon Social]],2,0),"")</f>
        <v>COVISUR S.A.</v>
      </c>
      <c r="Y228" s="25"/>
      <c r="Z228" s="103"/>
      <c r="AA228" s="3" t="str">
        <f>IF(C_Ope_002[[#This Row],[fecha]]&gt;0,TEXT(C_Ope_002[[#This Row],[fecha]],"mmmm"),0)</f>
        <v>Julio</v>
      </c>
      <c r="AB228" s="49"/>
    </row>
    <row r="229" spans="1:28" ht="24" x14ac:dyDescent="0.3">
      <c r="A229" s="2">
        <f>IF(C_Ope_002[[#This Row],[tipo_r]]="R",COUNTIFS($C$1:$C228,"R")+1,"")</f>
        <v>228</v>
      </c>
      <c r="B229" s="19" t="str">
        <f t="shared" si="23"/>
        <v>C_Ope_002</v>
      </c>
      <c r="C229" s="3" t="s">
        <v>1330</v>
      </c>
      <c r="D229" s="14">
        <v>45846</v>
      </c>
      <c r="E229" s="5" t="s">
        <v>8005</v>
      </c>
      <c r="F229" s="5" t="s">
        <v>1336</v>
      </c>
      <c r="G229" s="6" t="s">
        <v>978</v>
      </c>
      <c r="H229" s="6" t="s">
        <v>68</v>
      </c>
      <c r="I229" s="6" t="s">
        <v>6204</v>
      </c>
      <c r="J229" s="6">
        <v>1779251</v>
      </c>
      <c r="K229" s="7" t="s">
        <v>8109</v>
      </c>
      <c r="L229" s="8">
        <v>24859</v>
      </c>
      <c r="M229" s="8" t="str">
        <f t="shared" si="24"/>
        <v>PEN</v>
      </c>
      <c r="N229" s="13"/>
      <c r="O229" s="13">
        <v>8</v>
      </c>
      <c r="P229" s="3">
        <f t="shared" si="17"/>
        <v>0</v>
      </c>
      <c r="Q229" s="3">
        <f t="shared" si="18"/>
        <v>8</v>
      </c>
      <c r="R229" s="3">
        <f t="shared" si="19"/>
        <v>155.70000000000005</v>
      </c>
      <c r="S229" s="24" t="s">
        <v>1334</v>
      </c>
      <c r="T229" s="24" t="s">
        <v>1334</v>
      </c>
      <c r="U229" s="3"/>
      <c r="V229" s="25" t="s">
        <v>7842</v>
      </c>
      <c r="W229" s="25">
        <v>20517252558</v>
      </c>
      <c r="X229" s="25" t="str">
        <f>IFERROR(VLOOKUP(C_Ope_002[[#This Row],[nota_2]],Clientes_Proveedores[[Ruc / Dni]:[Razon Social]],2,0),"")</f>
        <v>COVISUR S.A.</v>
      </c>
      <c r="Y229" s="25"/>
      <c r="Z229" s="103"/>
      <c r="AA229" s="3" t="str">
        <f>IF(C_Ope_002[[#This Row],[fecha]]&gt;0,TEXT(C_Ope_002[[#This Row],[fecha]],"mmmm"),0)</f>
        <v>Julio</v>
      </c>
      <c r="AB229" s="49"/>
    </row>
    <row r="230" spans="1:28" x14ac:dyDescent="0.3">
      <c r="A230" s="2">
        <f>IF(C_Ope_002[[#This Row],[tipo_r]]="R",COUNTIFS($C$1:$C229,"R")+1,"")</f>
        <v>229</v>
      </c>
      <c r="B230" s="19" t="str">
        <f t="shared" si="23"/>
        <v>C_Ope_002</v>
      </c>
      <c r="C230" s="3" t="s">
        <v>1330</v>
      </c>
      <c r="D230" s="14">
        <v>45847</v>
      </c>
      <c r="E230" s="5" t="s">
        <v>8005</v>
      </c>
      <c r="F230" s="5" t="s">
        <v>1336</v>
      </c>
      <c r="G230" s="6" t="s">
        <v>978</v>
      </c>
      <c r="H230" s="6" t="s">
        <v>68</v>
      </c>
      <c r="I230" s="6" t="s">
        <v>6203</v>
      </c>
      <c r="J230" s="6">
        <v>2106483</v>
      </c>
      <c r="K230" s="7" t="s">
        <v>8107</v>
      </c>
      <c r="L230" s="8">
        <v>24860</v>
      </c>
      <c r="M230" s="8" t="str">
        <f t="shared" si="24"/>
        <v>PEN</v>
      </c>
      <c r="N230" s="13"/>
      <c r="O230" s="13">
        <v>8</v>
      </c>
      <c r="P230" s="3">
        <f t="shared" si="17"/>
        <v>0</v>
      </c>
      <c r="Q230" s="3">
        <f t="shared" si="18"/>
        <v>8</v>
      </c>
      <c r="R230" s="3">
        <f t="shared" si="19"/>
        <v>147.70000000000005</v>
      </c>
      <c r="S230" s="24" t="s">
        <v>1334</v>
      </c>
      <c r="T230" s="24" t="s">
        <v>1334</v>
      </c>
      <c r="U230" s="3"/>
      <c r="V230" s="25" t="s">
        <v>7842</v>
      </c>
      <c r="W230" s="25">
        <v>20517252558</v>
      </c>
      <c r="X230" s="25" t="str">
        <f>IFERROR(VLOOKUP(C_Ope_002[[#This Row],[nota_2]],Clientes_Proveedores[[Ruc / Dni]:[Razon Social]],2,0),"")</f>
        <v>COVISUR S.A.</v>
      </c>
      <c r="Y230" s="25"/>
      <c r="Z230" s="103"/>
      <c r="AA230" s="3" t="str">
        <f>IF(C_Ope_002[[#This Row],[fecha]]&gt;0,TEXT(C_Ope_002[[#This Row],[fecha]],"mmmm"),0)</f>
        <v>Julio</v>
      </c>
      <c r="AB230" s="49"/>
    </row>
    <row r="231" spans="1:28" ht="24" x14ac:dyDescent="0.3">
      <c r="A231" s="2">
        <f>IF(C_Ope_002[[#This Row],[tipo_r]]="R",COUNTIFS($C$1:$C230,"R")+1,"")</f>
        <v>230</v>
      </c>
      <c r="B231" s="19" t="str">
        <f t="shared" si="23"/>
        <v>C_Ope_002</v>
      </c>
      <c r="C231" s="3" t="s">
        <v>1330</v>
      </c>
      <c r="D231" s="14">
        <v>45847</v>
      </c>
      <c r="E231" s="5" t="s">
        <v>8005</v>
      </c>
      <c r="F231" s="5" t="s">
        <v>1336</v>
      </c>
      <c r="G231" s="6" t="s">
        <v>978</v>
      </c>
      <c r="H231" s="6" t="s">
        <v>68</v>
      </c>
      <c r="I231" s="6" t="s">
        <v>5688</v>
      </c>
      <c r="J231" s="6">
        <v>2392943</v>
      </c>
      <c r="K231" s="7" t="s">
        <v>8109</v>
      </c>
      <c r="L231" s="8">
        <v>24861</v>
      </c>
      <c r="M231" s="8" t="str">
        <f t="shared" si="24"/>
        <v>PEN</v>
      </c>
      <c r="N231" s="13"/>
      <c r="O231" s="13">
        <v>8</v>
      </c>
      <c r="P231" s="3">
        <f t="shared" si="17"/>
        <v>0</v>
      </c>
      <c r="Q231" s="3">
        <f t="shared" si="18"/>
        <v>8</v>
      </c>
      <c r="R231" s="3">
        <f t="shared" si="19"/>
        <v>139.70000000000005</v>
      </c>
      <c r="S231" s="24" t="s">
        <v>1334</v>
      </c>
      <c r="T231" s="24" t="s">
        <v>1334</v>
      </c>
      <c r="U231" s="3"/>
      <c r="V231" s="25" t="s">
        <v>7842</v>
      </c>
      <c r="W231" s="25">
        <v>20517252558</v>
      </c>
      <c r="X231" s="25" t="str">
        <f>IFERROR(VLOOKUP(C_Ope_002[[#This Row],[nota_2]],Clientes_Proveedores[[Ruc / Dni]:[Razon Social]],2,0),"")</f>
        <v>COVISUR S.A.</v>
      </c>
      <c r="Y231" s="25"/>
      <c r="Z231" s="103"/>
      <c r="AA231" s="3" t="str">
        <f>IF(C_Ope_002[[#This Row],[fecha]]&gt;0,TEXT(C_Ope_002[[#This Row],[fecha]],"mmmm"),0)</f>
        <v>Julio</v>
      </c>
      <c r="AB231" s="49"/>
    </row>
    <row r="232" spans="1:28" ht="24" x14ac:dyDescent="0.3">
      <c r="A232" s="2">
        <f>IF(C_Ope_002[[#This Row],[tipo_r]]="R",COUNTIFS($C$1:$C231,"R")+1,"")</f>
        <v>231</v>
      </c>
      <c r="B232" s="19" t="str">
        <f t="shared" si="23"/>
        <v>C_Ope_002</v>
      </c>
      <c r="C232" s="3" t="s">
        <v>1330</v>
      </c>
      <c r="D232" s="14">
        <v>45848</v>
      </c>
      <c r="E232" s="5" t="s">
        <v>8005</v>
      </c>
      <c r="F232" s="5" t="s">
        <v>1336</v>
      </c>
      <c r="G232" s="6" t="s">
        <v>978</v>
      </c>
      <c r="H232" s="6" t="s">
        <v>68</v>
      </c>
      <c r="I232" s="6" t="s">
        <v>6203</v>
      </c>
      <c r="J232" s="6">
        <v>2107338</v>
      </c>
      <c r="K232" s="7" t="s">
        <v>8110</v>
      </c>
      <c r="L232" s="8">
        <v>24862</v>
      </c>
      <c r="M232" s="8" t="str">
        <f t="shared" si="24"/>
        <v>PEN</v>
      </c>
      <c r="N232" s="13"/>
      <c r="O232" s="13">
        <v>8</v>
      </c>
      <c r="P232" s="3">
        <f t="shared" si="17"/>
        <v>0</v>
      </c>
      <c r="Q232" s="3">
        <f t="shared" si="18"/>
        <v>8</v>
      </c>
      <c r="R232" s="3">
        <f t="shared" si="19"/>
        <v>131.70000000000005</v>
      </c>
      <c r="S232" s="24" t="s">
        <v>1334</v>
      </c>
      <c r="T232" s="24" t="s">
        <v>1334</v>
      </c>
      <c r="U232" s="3"/>
      <c r="V232" s="25" t="s">
        <v>7756</v>
      </c>
      <c r="W232" s="25">
        <v>20517252558</v>
      </c>
      <c r="X232" s="25" t="str">
        <f>IFERROR(VLOOKUP(C_Ope_002[[#This Row],[nota_2]],Clientes_Proveedores[[Ruc / Dni]:[Razon Social]],2,0),"")</f>
        <v>COVISUR S.A.</v>
      </c>
      <c r="Y232" s="25"/>
      <c r="Z232" s="103"/>
      <c r="AA232" s="3" t="str">
        <f>IF(C_Ope_002[[#This Row],[fecha]]&gt;0,TEXT(C_Ope_002[[#This Row],[fecha]],"mmmm"),0)</f>
        <v>Julio</v>
      </c>
      <c r="AB232" s="49"/>
    </row>
    <row r="233" spans="1:28" ht="24" x14ac:dyDescent="0.3">
      <c r="A233" s="2">
        <f>IF(C_Ope_002[[#This Row],[tipo_r]]="R",COUNTIFS($C$1:$C232,"R")+1,"")</f>
        <v>232</v>
      </c>
      <c r="B233" s="19" t="str">
        <f t="shared" si="23"/>
        <v>C_Ope_002</v>
      </c>
      <c r="C233" s="3" t="s">
        <v>1330</v>
      </c>
      <c r="D233" s="14">
        <v>45848</v>
      </c>
      <c r="E233" s="5" t="s">
        <v>8005</v>
      </c>
      <c r="F233" s="5" t="s">
        <v>1336</v>
      </c>
      <c r="G233" s="6" t="s">
        <v>978</v>
      </c>
      <c r="H233" s="6" t="s">
        <v>68</v>
      </c>
      <c r="I233" s="6" t="s">
        <v>6244</v>
      </c>
      <c r="J233" s="6">
        <v>1087675</v>
      </c>
      <c r="K233" s="7" t="s">
        <v>8111</v>
      </c>
      <c r="L233" s="8">
        <v>24863</v>
      </c>
      <c r="M233" s="8" t="str">
        <f t="shared" si="24"/>
        <v>PEN</v>
      </c>
      <c r="N233" s="13"/>
      <c r="O233" s="13">
        <v>8</v>
      </c>
      <c r="P233" s="3">
        <f t="shared" si="17"/>
        <v>0</v>
      </c>
      <c r="Q233" s="3">
        <f t="shared" si="18"/>
        <v>8</v>
      </c>
      <c r="R233" s="3">
        <f t="shared" si="19"/>
        <v>123.70000000000005</v>
      </c>
      <c r="S233" s="24" t="s">
        <v>1334</v>
      </c>
      <c r="T233" s="24" t="s">
        <v>1334</v>
      </c>
      <c r="U233" s="3"/>
      <c r="V233" s="25" t="s">
        <v>7756</v>
      </c>
      <c r="W233" s="25">
        <v>20517252558</v>
      </c>
      <c r="X233" s="25" t="str">
        <f>IFERROR(VLOOKUP(C_Ope_002[[#This Row],[nota_2]],Clientes_Proveedores[[Ruc / Dni]:[Razon Social]],2,0),"")</f>
        <v>COVISUR S.A.</v>
      </c>
      <c r="Y233" s="25"/>
      <c r="Z233" s="103"/>
      <c r="AA233" s="3" t="str">
        <f>IF(C_Ope_002[[#This Row],[fecha]]&gt;0,TEXT(C_Ope_002[[#This Row],[fecha]],"mmmm"),0)</f>
        <v>Julio</v>
      </c>
      <c r="AB233" s="49"/>
    </row>
    <row r="234" spans="1:28" ht="24" x14ac:dyDescent="0.3">
      <c r="A234" s="2">
        <f>IF(C_Ope_002[[#This Row],[tipo_r]]="R",COUNTIFS($C$1:$C233,"R")+1,"")</f>
        <v>233</v>
      </c>
      <c r="B234" s="19" t="str">
        <f t="shared" si="23"/>
        <v>C_Ope_002</v>
      </c>
      <c r="C234" s="3" t="s">
        <v>1330</v>
      </c>
      <c r="D234" s="14">
        <v>45848</v>
      </c>
      <c r="E234" s="5" t="s">
        <v>8005</v>
      </c>
      <c r="F234" s="5" t="s">
        <v>1336</v>
      </c>
      <c r="G234" s="6" t="s">
        <v>978</v>
      </c>
      <c r="H234" s="6" t="s">
        <v>68</v>
      </c>
      <c r="I234" s="6" t="s">
        <v>6204</v>
      </c>
      <c r="J234" s="6">
        <v>1780588</v>
      </c>
      <c r="K234" s="7" t="s">
        <v>8110</v>
      </c>
      <c r="L234" s="8">
        <v>24864</v>
      </c>
      <c r="M234" s="8" t="str">
        <f t="shared" si="24"/>
        <v>PEN</v>
      </c>
      <c r="N234" s="13">
        <v>-3</v>
      </c>
      <c r="O234" s="13">
        <v>8</v>
      </c>
      <c r="P234" s="3">
        <f t="shared" si="17"/>
        <v>0</v>
      </c>
      <c r="Q234" s="3">
        <f t="shared" si="18"/>
        <v>8</v>
      </c>
      <c r="R234" s="3">
        <f t="shared" si="19"/>
        <v>115.70000000000005</v>
      </c>
      <c r="S234" s="24" t="s">
        <v>1334</v>
      </c>
      <c r="T234" s="24" t="s">
        <v>1334</v>
      </c>
      <c r="U234" s="3"/>
      <c r="V234" s="25" t="s">
        <v>7756</v>
      </c>
      <c r="W234" s="25">
        <v>20517252558</v>
      </c>
      <c r="X234" s="25" t="str">
        <f>IFERROR(VLOOKUP(C_Ope_002[[#This Row],[nota_2]],Clientes_Proveedores[[Ruc / Dni]:[Razon Social]],2,0),"")</f>
        <v>COVISUR S.A.</v>
      </c>
      <c r="Y234" s="25"/>
      <c r="Z234" s="103"/>
      <c r="AA234" s="3" t="str">
        <f>IF(C_Ope_002[[#This Row],[fecha]]&gt;0,TEXT(C_Ope_002[[#This Row],[fecha]],"mmmm"),0)</f>
        <v>Julio</v>
      </c>
      <c r="AB234" s="49"/>
    </row>
    <row r="235" spans="1:28" ht="24" x14ac:dyDescent="0.3">
      <c r="A235" s="2">
        <f>IF(C_Ope_002[[#This Row],[tipo_r]]="R",COUNTIFS($C$1:$C234,"R")+1,"")</f>
        <v>234</v>
      </c>
      <c r="B235" s="19" t="str">
        <f t="shared" si="23"/>
        <v>C_Ope_002</v>
      </c>
      <c r="C235" s="3" t="s">
        <v>1330</v>
      </c>
      <c r="D235" s="14">
        <v>45848</v>
      </c>
      <c r="E235" s="5" t="s">
        <v>8005</v>
      </c>
      <c r="F235" s="5" t="s">
        <v>1336</v>
      </c>
      <c r="G235" s="6" t="s">
        <v>978</v>
      </c>
      <c r="H235" s="6" t="s">
        <v>68</v>
      </c>
      <c r="I235" s="6" t="s">
        <v>6245</v>
      </c>
      <c r="J235" s="6">
        <v>995172</v>
      </c>
      <c r="K235" s="7" t="s">
        <v>8110</v>
      </c>
      <c r="L235" s="8">
        <v>24865</v>
      </c>
      <c r="M235" s="8" t="str">
        <f t="shared" si="24"/>
        <v>PEN</v>
      </c>
      <c r="N235" s="13"/>
      <c r="O235" s="13">
        <v>8</v>
      </c>
      <c r="P235" s="3">
        <f t="shared" si="17"/>
        <v>0</v>
      </c>
      <c r="Q235" s="3">
        <f t="shared" si="18"/>
        <v>8</v>
      </c>
      <c r="R235" s="3">
        <f t="shared" si="19"/>
        <v>107.70000000000005</v>
      </c>
      <c r="S235" s="24" t="s">
        <v>1334</v>
      </c>
      <c r="T235" s="24" t="s">
        <v>1334</v>
      </c>
      <c r="U235" s="3"/>
      <c r="V235" s="25" t="s">
        <v>7756</v>
      </c>
      <c r="W235" s="25">
        <v>20517252558</v>
      </c>
      <c r="X235" s="25" t="str">
        <f>IFERROR(VLOOKUP(C_Ope_002[[#This Row],[nota_2]],Clientes_Proveedores[[Ruc / Dni]:[Razon Social]],2,0),"")</f>
        <v>COVISUR S.A.</v>
      </c>
      <c r="Y235" s="25"/>
      <c r="Z235" s="103"/>
      <c r="AA235" s="3" t="str">
        <f>IF(C_Ope_002[[#This Row],[fecha]]&gt;0,TEXT(C_Ope_002[[#This Row],[fecha]],"mmmm"),0)</f>
        <v>Julio</v>
      </c>
      <c r="AB235" s="49"/>
    </row>
    <row r="236" spans="1:28" x14ac:dyDescent="0.3">
      <c r="A236" s="2">
        <f>IF(C_Ope_002[[#This Row],[tipo_r]]="R",COUNTIFS($C$1:$C235,"R")+1,"")</f>
        <v>235</v>
      </c>
      <c r="B236" s="19" t="str">
        <f t="shared" si="23"/>
        <v>C_Ope_002</v>
      </c>
      <c r="C236" s="3" t="s">
        <v>1330</v>
      </c>
      <c r="D236" s="14">
        <v>45849</v>
      </c>
      <c r="E236" s="5" t="s">
        <v>8005</v>
      </c>
      <c r="F236" s="5" t="s">
        <v>1336</v>
      </c>
      <c r="G236" s="6" t="s">
        <v>978</v>
      </c>
      <c r="H236" s="6" t="s">
        <v>68</v>
      </c>
      <c r="I236" s="6" t="s">
        <v>5845</v>
      </c>
      <c r="J236" s="6">
        <v>1801089</v>
      </c>
      <c r="K236" s="7" t="s">
        <v>8107</v>
      </c>
      <c r="L236" s="8">
        <v>24880</v>
      </c>
      <c r="M236" s="8" t="str">
        <f t="shared" si="24"/>
        <v>PEN</v>
      </c>
      <c r="N236" s="13"/>
      <c r="O236" s="13">
        <v>8</v>
      </c>
      <c r="P236" s="3">
        <f t="shared" si="17"/>
        <v>0</v>
      </c>
      <c r="Q236" s="3">
        <f t="shared" si="18"/>
        <v>8</v>
      </c>
      <c r="R236" s="3">
        <f t="shared" si="19"/>
        <v>99.700000000000045</v>
      </c>
      <c r="S236" s="24" t="s">
        <v>1334</v>
      </c>
      <c r="T236" s="24" t="s">
        <v>1334</v>
      </c>
      <c r="U236" s="3"/>
      <c r="V236" s="25" t="s">
        <v>7842</v>
      </c>
      <c r="W236" s="25">
        <v>20517252558</v>
      </c>
      <c r="X236" s="25" t="str">
        <f>IFERROR(VLOOKUP(C_Ope_002[[#This Row],[nota_2]],Clientes_Proveedores[[Ruc / Dni]:[Razon Social]],2,0),"")</f>
        <v>COVISUR S.A.</v>
      </c>
      <c r="Y236" s="25"/>
      <c r="Z236" s="103"/>
      <c r="AA236" s="3" t="str">
        <f>IF(C_Ope_002[[#This Row],[fecha]]&gt;0,TEXT(C_Ope_002[[#This Row],[fecha]],"mmmm"),0)</f>
        <v>Julio</v>
      </c>
      <c r="AB236" s="49"/>
    </row>
    <row r="237" spans="1:28" x14ac:dyDescent="0.3">
      <c r="A237" s="2">
        <f>IF(C_Ope_002[[#This Row],[tipo_r]]="R",COUNTIFS($C$1:$C236,"R")+1,"")</f>
        <v>236</v>
      </c>
      <c r="B237" s="19" t="str">
        <f t="shared" ref="B237:B252" si="25">"C_Ope_002"</f>
        <v>C_Ope_002</v>
      </c>
      <c r="C237" s="3" t="s">
        <v>1330</v>
      </c>
      <c r="D237" s="14">
        <v>45852</v>
      </c>
      <c r="E237" s="5" t="s">
        <v>8005</v>
      </c>
      <c r="F237" s="5" t="s">
        <v>1336</v>
      </c>
      <c r="G237" s="6" t="s">
        <v>978</v>
      </c>
      <c r="H237" s="6" t="s">
        <v>68</v>
      </c>
      <c r="I237" s="6" t="s">
        <v>5845</v>
      </c>
      <c r="J237" s="6">
        <v>1803483</v>
      </c>
      <c r="K237" s="7" t="s">
        <v>8107</v>
      </c>
      <c r="L237" s="8">
        <v>24900</v>
      </c>
      <c r="M237" s="8" t="str">
        <f t="shared" ref="M237:M252" si="26">"PEN"</f>
        <v>PEN</v>
      </c>
      <c r="N237" s="13"/>
      <c r="O237" s="13">
        <v>8</v>
      </c>
      <c r="P237" s="3">
        <f t="shared" ref="P237:P252" si="27">+IF(OR($F237="SALDO",$F237="INGRESO"),$O237,0)</f>
        <v>0</v>
      </c>
      <c r="Q237" s="3">
        <f t="shared" ref="Q237:Q252" si="28">+IF($F237="EGRESO",$O237,0)</f>
        <v>8</v>
      </c>
      <c r="R237" s="3">
        <f t="shared" si="19"/>
        <v>91.700000000000045</v>
      </c>
      <c r="S237" s="24" t="s">
        <v>1334</v>
      </c>
      <c r="T237" s="24" t="s">
        <v>1334</v>
      </c>
      <c r="U237" s="3"/>
      <c r="V237" s="25" t="s">
        <v>7842</v>
      </c>
      <c r="W237" s="25">
        <v>20517252558</v>
      </c>
      <c r="X237" s="25" t="str">
        <f>IFERROR(VLOOKUP(C_Ope_002[[#This Row],[nota_2]],Clientes_Proveedores[[Ruc / Dni]:[Razon Social]],2,0),"")</f>
        <v>COVISUR S.A.</v>
      </c>
      <c r="Y237" s="25" t="s">
        <v>7888</v>
      </c>
      <c r="Z237" s="103"/>
      <c r="AA237" s="3" t="str">
        <f>IF(C_Ope_002[[#This Row],[fecha]]&gt;0,TEXT(C_Ope_002[[#This Row],[fecha]],"mmmm"),0)</f>
        <v>Julio</v>
      </c>
      <c r="AB237" s="49"/>
    </row>
    <row r="238" spans="1:28" x14ac:dyDescent="0.3">
      <c r="A238" s="2">
        <f>IF(C_Ope_002[[#This Row],[tipo_r]]="R",COUNTIFS($C$1:$C237,"R")+1,"")</f>
        <v>237</v>
      </c>
      <c r="B238" s="19" t="str">
        <f t="shared" si="25"/>
        <v>C_Ope_002</v>
      </c>
      <c r="C238" s="3" t="s">
        <v>1330</v>
      </c>
      <c r="D238" s="14">
        <v>45852</v>
      </c>
      <c r="E238" s="5" t="s">
        <v>8005</v>
      </c>
      <c r="F238" s="5" t="s">
        <v>1336</v>
      </c>
      <c r="G238" s="6" t="s">
        <v>978</v>
      </c>
      <c r="H238" s="6" t="s">
        <v>68</v>
      </c>
      <c r="I238" s="6" t="s">
        <v>5688</v>
      </c>
      <c r="J238" s="6">
        <v>2397280</v>
      </c>
      <c r="K238" s="7" t="s">
        <v>8107</v>
      </c>
      <c r="L238" s="8">
        <v>24901</v>
      </c>
      <c r="M238" s="8" t="str">
        <f t="shared" si="26"/>
        <v>PEN</v>
      </c>
      <c r="N238" s="13"/>
      <c r="O238" s="13">
        <v>8</v>
      </c>
      <c r="P238" s="3">
        <f t="shared" si="27"/>
        <v>0</v>
      </c>
      <c r="Q238" s="3">
        <f t="shared" si="28"/>
        <v>8</v>
      </c>
      <c r="R238" s="3">
        <f t="shared" si="19"/>
        <v>83.700000000000045</v>
      </c>
      <c r="S238" s="24" t="s">
        <v>1334</v>
      </c>
      <c r="T238" s="24" t="s">
        <v>1334</v>
      </c>
      <c r="U238" s="3"/>
      <c r="V238" s="25" t="s">
        <v>7842</v>
      </c>
      <c r="W238" s="25">
        <v>20517252558</v>
      </c>
      <c r="X238" s="25" t="str">
        <f>IFERROR(VLOOKUP(C_Ope_002[[#This Row],[nota_2]],Clientes_Proveedores[[Ruc / Dni]:[Razon Social]],2,0),"")</f>
        <v>COVISUR S.A.</v>
      </c>
      <c r="Y238" s="25" t="s">
        <v>7888</v>
      </c>
      <c r="Z238" s="103"/>
      <c r="AA238" s="3" t="str">
        <f>IF(C_Ope_002[[#This Row],[fecha]]&gt;0,TEXT(C_Ope_002[[#This Row],[fecha]],"mmmm"),0)</f>
        <v>Julio</v>
      </c>
      <c r="AB238" s="49"/>
    </row>
    <row r="239" spans="1:28" x14ac:dyDescent="0.3">
      <c r="A239" s="2">
        <f>IF(C_Ope_002[[#This Row],[tipo_r]]="R",COUNTIFS($C$1:$C238,"R")+1,"")</f>
        <v>238</v>
      </c>
      <c r="B239" s="19" t="str">
        <f t="shared" si="25"/>
        <v>C_Ope_002</v>
      </c>
      <c r="C239" s="3" t="s">
        <v>1330</v>
      </c>
      <c r="D239" s="14">
        <v>45853</v>
      </c>
      <c r="E239" s="5" t="s">
        <v>8005</v>
      </c>
      <c r="F239" s="5" t="s">
        <v>1336</v>
      </c>
      <c r="G239" s="6" t="s">
        <v>978</v>
      </c>
      <c r="H239" s="6" t="s">
        <v>68</v>
      </c>
      <c r="I239" s="6" t="s">
        <v>5688</v>
      </c>
      <c r="J239" s="6">
        <v>2398509</v>
      </c>
      <c r="K239" s="7" t="s">
        <v>8112</v>
      </c>
      <c r="L239" s="8">
        <v>24902</v>
      </c>
      <c r="M239" s="8" t="str">
        <f t="shared" si="26"/>
        <v>PEN</v>
      </c>
      <c r="N239" s="13"/>
      <c r="O239" s="13">
        <v>8</v>
      </c>
      <c r="P239" s="3">
        <f t="shared" si="27"/>
        <v>0</v>
      </c>
      <c r="Q239" s="3">
        <f t="shared" si="28"/>
        <v>8</v>
      </c>
      <c r="R239" s="3">
        <f t="shared" si="19"/>
        <v>75.700000000000045</v>
      </c>
      <c r="S239" s="24" t="s">
        <v>1334</v>
      </c>
      <c r="T239" s="24" t="s">
        <v>1334</v>
      </c>
      <c r="U239" s="3"/>
      <c r="V239" s="25" t="s">
        <v>7842</v>
      </c>
      <c r="W239" s="25">
        <v>20517252558</v>
      </c>
      <c r="X239" s="25" t="str">
        <f>IFERROR(VLOOKUP(C_Ope_002[[#This Row],[nota_2]],Clientes_Proveedores[[Ruc / Dni]:[Razon Social]],2,0),"")</f>
        <v>COVISUR S.A.</v>
      </c>
      <c r="Y239" s="25" t="s">
        <v>7888</v>
      </c>
      <c r="Z239" s="103"/>
      <c r="AA239" s="3" t="str">
        <f>IF(C_Ope_002[[#This Row],[fecha]]&gt;0,TEXT(C_Ope_002[[#This Row],[fecha]],"mmmm"),0)</f>
        <v>Julio</v>
      </c>
      <c r="AB239" s="49"/>
    </row>
    <row r="240" spans="1:28" x14ac:dyDescent="0.3">
      <c r="A240" s="2">
        <f>IF(C_Ope_002[[#This Row],[tipo_r]]="R",COUNTIFS($C$1:$C239,"R")+1,"")</f>
        <v>239</v>
      </c>
      <c r="B240" s="19" t="str">
        <f t="shared" si="25"/>
        <v>C_Ope_002</v>
      </c>
      <c r="C240" s="3" t="s">
        <v>1330</v>
      </c>
      <c r="D240" s="14">
        <v>45853</v>
      </c>
      <c r="E240" s="5" t="s">
        <v>8005</v>
      </c>
      <c r="F240" s="5" t="s">
        <v>1336</v>
      </c>
      <c r="G240" s="6" t="s">
        <v>978</v>
      </c>
      <c r="H240" s="6" t="s">
        <v>68</v>
      </c>
      <c r="I240" s="6" t="s">
        <v>6203</v>
      </c>
      <c r="J240" s="6">
        <v>2111741</v>
      </c>
      <c r="K240" s="7" t="s">
        <v>8113</v>
      </c>
      <c r="L240" s="8">
        <v>24903</v>
      </c>
      <c r="M240" s="8" t="str">
        <f t="shared" si="26"/>
        <v>PEN</v>
      </c>
      <c r="N240" s="13"/>
      <c r="O240" s="13">
        <v>8</v>
      </c>
      <c r="P240" s="3">
        <f t="shared" si="27"/>
        <v>0</v>
      </c>
      <c r="Q240" s="3">
        <f t="shared" si="28"/>
        <v>8</v>
      </c>
      <c r="R240" s="3">
        <f t="shared" si="19"/>
        <v>67.700000000000045</v>
      </c>
      <c r="S240" s="24" t="s">
        <v>1334</v>
      </c>
      <c r="T240" s="24" t="s">
        <v>1334</v>
      </c>
      <c r="U240" s="3"/>
      <c r="V240" s="25" t="s">
        <v>7842</v>
      </c>
      <c r="W240" s="25">
        <v>20517252558</v>
      </c>
      <c r="X240" s="25" t="str">
        <f>IFERROR(VLOOKUP(C_Ope_002[[#This Row],[nota_2]],Clientes_Proveedores[[Ruc / Dni]:[Razon Social]],2,0),"")</f>
        <v>COVISUR S.A.</v>
      </c>
      <c r="Y240" s="25" t="s">
        <v>7888</v>
      </c>
      <c r="Z240" s="103"/>
      <c r="AA240" s="3" t="str">
        <f>IF(C_Ope_002[[#This Row],[fecha]]&gt;0,TEXT(C_Ope_002[[#This Row],[fecha]],"mmmm"),0)</f>
        <v>Julio</v>
      </c>
      <c r="AB240" s="49"/>
    </row>
    <row r="241" spans="1:28" ht="36" x14ac:dyDescent="0.3">
      <c r="A241" s="2">
        <f>IF(C_Ope_002[[#This Row],[tipo_r]]="R",COUNTIFS($C$1:$C240,"R")+1,"")</f>
        <v>240</v>
      </c>
      <c r="B241" s="19" t="str">
        <f t="shared" si="25"/>
        <v>C_Ope_002</v>
      </c>
      <c r="C241" s="3" t="s">
        <v>1330</v>
      </c>
      <c r="D241" s="14">
        <v>45853</v>
      </c>
      <c r="E241" s="5" t="s">
        <v>8005</v>
      </c>
      <c r="F241" s="5" t="s">
        <v>1336</v>
      </c>
      <c r="G241" s="6" t="s">
        <v>227</v>
      </c>
      <c r="H241" s="6" t="s">
        <v>68</v>
      </c>
      <c r="I241" s="6" t="s">
        <v>1390</v>
      </c>
      <c r="J241" s="6">
        <v>134173</v>
      </c>
      <c r="K241" s="7" t="s">
        <v>8114</v>
      </c>
      <c r="L241" s="8">
        <v>24904</v>
      </c>
      <c r="M241" s="8" t="str">
        <f t="shared" si="26"/>
        <v>PEN</v>
      </c>
      <c r="N241" s="13"/>
      <c r="O241" s="13">
        <v>10</v>
      </c>
      <c r="P241" s="3">
        <f t="shared" si="27"/>
        <v>0</v>
      </c>
      <c r="Q241" s="3">
        <f t="shared" si="28"/>
        <v>10</v>
      </c>
      <c r="R241" s="3">
        <f t="shared" si="19"/>
        <v>57.700000000000045</v>
      </c>
      <c r="S241" s="24" t="s">
        <v>1334</v>
      </c>
      <c r="T241" s="24" t="s">
        <v>1334</v>
      </c>
      <c r="U241" s="3"/>
      <c r="V241" s="25" t="s">
        <v>7842</v>
      </c>
      <c r="W241" s="25">
        <v>20124952850</v>
      </c>
      <c r="X241" s="25" t="str">
        <f>IFERROR(VLOOKUP(C_Ope_002[[#This Row],[nota_2]],Clientes_Proveedores[[Ruc / Dni]:[Razon Social]],2,0),"")</f>
        <v>ALIMENTOS Y SERVICIOS AGROPECUARIOS SRL.</v>
      </c>
      <c r="Y241" s="25" t="s">
        <v>5933</v>
      </c>
      <c r="Z241" s="103"/>
      <c r="AA241" s="3" t="str">
        <f>IF(C_Ope_002[[#This Row],[fecha]]&gt;0,TEXT(C_Ope_002[[#This Row],[fecha]],"mmmm"),0)</f>
        <v>Julio</v>
      </c>
      <c r="AB241" s="49"/>
    </row>
    <row r="242" spans="1:28" ht="36" x14ac:dyDescent="0.3">
      <c r="A242" s="2">
        <f>IF(C_Ope_002[[#This Row],[tipo_r]]="R",COUNTIFS($C$1:$C241,"R")+1,"")</f>
        <v>241</v>
      </c>
      <c r="B242" s="19" t="str">
        <f t="shared" si="25"/>
        <v>C_Ope_002</v>
      </c>
      <c r="C242" s="3" t="s">
        <v>1330</v>
      </c>
      <c r="D242" s="14">
        <v>45853</v>
      </c>
      <c r="E242" s="5" t="s">
        <v>8005</v>
      </c>
      <c r="F242" s="5" t="s">
        <v>1336</v>
      </c>
      <c r="G242" s="6" t="s">
        <v>227</v>
      </c>
      <c r="H242" s="6" t="s">
        <v>68</v>
      </c>
      <c r="I242" s="6" t="s">
        <v>1390</v>
      </c>
      <c r="J242" s="6">
        <v>134205</v>
      </c>
      <c r="K242" s="7" t="s">
        <v>8114</v>
      </c>
      <c r="L242" s="8">
        <v>24905</v>
      </c>
      <c r="M242" s="8" t="str">
        <f t="shared" si="26"/>
        <v>PEN</v>
      </c>
      <c r="N242" s="13"/>
      <c r="O242" s="13">
        <v>10</v>
      </c>
      <c r="P242" s="3">
        <f t="shared" si="27"/>
        <v>0</v>
      </c>
      <c r="Q242" s="3">
        <f t="shared" si="28"/>
        <v>10</v>
      </c>
      <c r="R242" s="3">
        <f t="shared" si="19"/>
        <v>47.700000000000045</v>
      </c>
      <c r="S242" s="24" t="s">
        <v>1334</v>
      </c>
      <c r="T242" s="24" t="s">
        <v>1334</v>
      </c>
      <c r="U242" s="3"/>
      <c r="V242" s="25" t="s">
        <v>7842</v>
      </c>
      <c r="W242" s="25">
        <v>20124952850</v>
      </c>
      <c r="X242" s="25" t="str">
        <f>IFERROR(VLOOKUP(C_Ope_002[[#This Row],[nota_2]],Clientes_Proveedores[[Ruc / Dni]:[Razon Social]],2,0),"")</f>
        <v>ALIMENTOS Y SERVICIOS AGROPECUARIOS SRL.</v>
      </c>
      <c r="Y242" s="25" t="s">
        <v>5933</v>
      </c>
      <c r="Z242" s="103"/>
      <c r="AA242" s="3" t="str">
        <f>IF(C_Ope_002[[#This Row],[fecha]]&gt;0,TEXT(C_Ope_002[[#This Row],[fecha]],"mmmm"),0)</f>
        <v>Julio</v>
      </c>
      <c r="AB242" s="49"/>
    </row>
    <row r="243" spans="1:28" ht="36" x14ac:dyDescent="0.3">
      <c r="A243" s="2">
        <f>IF(C_Ope_002[[#This Row],[tipo_r]]="R",COUNTIFS($C$1:$C242,"R")+1,"")</f>
        <v>242</v>
      </c>
      <c r="B243" s="19" t="str">
        <f t="shared" si="25"/>
        <v>C_Ope_002</v>
      </c>
      <c r="C243" s="3" t="s">
        <v>1330</v>
      </c>
      <c r="D243" s="14">
        <v>45854</v>
      </c>
      <c r="E243" s="5" t="s">
        <v>8005</v>
      </c>
      <c r="F243" s="5" t="s">
        <v>1336</v>
      </c>
      <c r="G243" s="6" t="s">
        <v>227</v>
      </c>
      <c r="H243" s="6" t="s">
        <v>68</v>
      </c>
      <c r="I243" s="6" t="s">
        <v>1390</v>
      </c>
      <c r="J243" s="6">
        <v>134222</v>
      </c>
      <c r="K243" s="7" t="s">
        <v>8115</v>
      </c>
      <c r="L243" s="8">
        <v>24906</v>
      </c>
      <c r="M243" s="8" t="str">
        <f t="shared" si="26"/>
        <v>PEN</v>
      </c>
      <c r="N243" s="13"/>
      <c r="O243" s="13">
        <v>10</v>
      </c>
      <c r="P243" s="3">
        <f t="shared" si="27"/>
        <v>0</v>
      </c>
      <c r="Q243" s="3">
        <f t="shared" si="28"/>
        <v>10</v>
      </c>
      <c r="R243" s="3">
        <f t="shared" si="19"/>
        <v>37.700000000000045</v>
      </c>
      <c r="S243" s="24" t="s">
        <v>1334</v>
      </c>
      <c r="T243" s="24" t="s">
        <v>1334</v>
      </c>
      <c r="U243" s="3"/>
      <c r="V243" s="25" t="s">
        <v>7842</v>
      </c>
      <c r="W243" s="25">
        <v>20124952850</v>
      </c>
      <c r="X243" s="25" t="str">
        <f>IFERROR(VLOOKUP(C_Ope_002[[#This Row],[nota_2]],Clientes_Proveedores[[Ruc / Dni]:[Razon Social]],2,0),"")</f>
        <v>ALIMENTOS Y SERVICIOS AGROPECUARIOS SRL.</v>
      </c>
      <c r="Y243" s="25" t="s">
        <v>5933</v>
      </c>
      <c r="Z243" s="103"/>
      <c r="AA243" s="3" t="str">
        <f>IF(C_Ope_002[[#This Row],[fecha]]&gt;0,TEXT(C_Ope_002[[#This Row],[fecha]],"mmmm"),0)</f>
        <v>Julio</v>
      </c>
      <c r="AB243" s="49"/>
    </row>
    <row r="244" spans="1:28" ht="24" x14ac:dyDescent="0.3">
      <c r="A244" s="2">
        <f>IF(C_Ope_002[[#This Row],[tipo_r]]="R",COUNTIFS($C$1:$C243,"R")+1,"")</f>
        <v>243</v>
      </c>
      <c r="B244" s="19" t="str">
        <f t="shared" si="25"/>
        <v>C_Ope_002</v>
      </c>
      <c r="C244" s="3" t="s">
        <v>1330</v>
      </c>
      <c r="D244" s="14">
        <v>45854</v>
      </c>
      <c r="E244" s="5" t="s">
        <v>8005</v>
      </c>
      <c r="F244" s="5" t="s">
        <v>1336</v>
      </c>
      <c r="G244" s="6" t="s">
        <v>978</v>
      </c>
      <c r="H244" s="6" t="s">
        <v>68</v>
      </c>
      <c r="I244" s="6" t="s">
        <v>6244</v>
      </c>
      <c r="J244" s="6">
        <v>1091268</v>
      </c>
      <c r="K244" s="7" t="s">
        <v>8116</v>
      </c>
      <c r="L244" s="8">
        <v>24907</v>
      </c>
      <c r="M244" s="8" t="str">
        <f t="shared" si="26"/>
        <v>PEN</v>
      </c>
      <c r="N244" s="13"/>
      <c r="O244" s="13">
        <v>8</v>
      </c>
      <c r="P244" s="3">
        <f t="shared" si="27"/>
        <v>0</v>
      </c>
      <c r="Q244" s="3">
        <f t="shared" si="28"/>
        <v>8</v>
      </c>
      <c r="R244" s="3">
        <f t="shared" si="19"/>
        <v>29.700000000000045</v>
      </c>
      <c r="S244" s="24" t="s">
        <v>1334</v>
      </c>
      <c r="T244" s="24" t="s">
        <v>1334</v>
      </c>
      <c r="U244" s="3"/>
      <c r="V244" s="25" t="s">
        <v>7756</v>
      </c>
      <c r="W244" s="25">
        <v>20517252558</v>
      </c>
      <c r="X244" s="25" t="str">
        <f>IFERROR(VLOOKUP(C_Ope_002[[#This Row],[nota_2]],Clientes_Proveedores[[Ruc / Dni]:[Razon Social]],2,0),"")</f>
        <v>COVISUR S.A.</v>
      </c>
      <c r="Y244" s="25" t="s">
        <v>7888</v>
      </c>
      <c r="Z244" s="103"/>
      <c r="AA244" s="3" t="str">
        <f>IF(C_Ope_002[[#This Row],[fecha]]&gt;0,TEXT(C_Ope_002[[#This Row],[fecha]],"mmmm"),0)</f>
        <v>Julio</v>
      </c>
      <c r="AB244" s="49"/>
    </row>
    <row r="245" spans="1:28" ht="24" x14ac:dyDescent="0.3">
      <c r="A245" s="2">
        <f>IF(C_Ope_002[[#This Row],[tipo_r]]="R",COUNTIFS($C$1:$C244,"R")+1,"")</f>
        <v>244</v>
      </c>
      <c r="B245" s="19" t="str">
        <f t="shared" si="25"/>
        <v>C_Ope_002</v>
      </c>
      <c r="C245" s="3" t="s">
        <v>1330</v>
      </c>
      <c r="D245" s="14">
        <v>45854</v>
      </c>
      <c r="E245" s="5" t="s">
        <v>8005</v>
      </c>
      <c r="F245" s="5" t="s">
        <v>1336</v>
      </c>
      <c r="G245" s="6" t="s">
        <v>978</v>
      </c>
      <c r="H245" s="6" t="s">
        <v>68</v>
      </c>
      <c r="I245" s="6" t="s">
        <v>6203</v>
      </c>
      <c r="J245" s="6">
        <v>2112931</v>
      </c>
      <c r="K245" s="7" t="s">
        <v>8117</v>
      </c>
      <c r="L245" s="8">
        <v>24909</v>
      </c>
      <c r="M245" s="8" t="str">
        <f t="shared" si="26"/>
        <v>PEN</v>
      </c>
      <c r="N245" s="13"/>
      <c r="O245" s="13">
        <v>8</v>
      </c>
      <c r="P245" s="3">
        <f t="shared" si="27"/>
        <v>0</v>
      </c>
      <c r="Q245" s="3">
        <f t="shared" si="28"/>
        <v>8</v>
      </c>
      <c r="R245" s="3">
        <f t="shared" si="19"/>
        <v>21.700000000000045</v>
      </c>
      <c r="S245" s="24" t="s">
        <v>1334</v>
      </c>
      <c r="T245" s="24" t="s">
        <v>1334</v>
      </c>
      <c r="U245" s="3"/>
      <c r="V245" s="25" t="s">
        <v>7756</v>
      </c>
      <c r="W245" s="25">
        <v>20517252558</v>
      </c>
      <c r="X245" s="25" t="str">
        <f>IFERROR(VLOOKUP(C_Ope_002[[#This Row],[nota_2]],Clientes_Proveedores[[Ruc / Dni]:[Razon Social]],2,0),"")</f>
        <v>COVISUR S.A.</v>
      </c>
      <c r="Y245" s="25" t="s">
        <v>7888</v>
      </c>
      <c r="Z245" s="103"/>
      <c r="AA245" s="3" t="str">
        <f>IF(C_Ope_002[[#This Row],[fecha]]&gt;0,TEXT(C_Ope_002[[#This Row],[fecha]],"mmmm"),0)</f>
        <v>Julio</v>
      </c>
      <c r="AB245" s="49"/>
    </row>
    <row r="246" spans="1:28" ht="24" x14ac:dyDescent="0.3">
      <c r="A246" s="2">
        <f>IF(C_Ope_002[[#This Row],[tipo_r]]="R",COUNTIFS($C$1:$C245,"R")+1,"")</f>
        <v>245</v>
      </c>
      <c r="B246" s="19" t="str">
        <f t="shared" si="25"/>
        <v>C_Ope_002</v>
      </c>
      <c r="C246" s="3" t="s">
        <v>1330</v>
      </c>
      <c r="D246" s="14">
        <v>45854</v>
      </c>
      <c r="E246" s="5" t="s">
        <v>8005</v>
      </c>
      <c r="F246" s="5" t="s">
        <v>1336</v>
      </c>
      <c r="G246" s="6" t="s">
        <v>978</v>
      </c>
      <c r="H246" s="6" t="s">
        <v>68</v>
      </c>
      <c r="I246" s="6" t="s">
        <v>6245</v>
      </c>
      <c r="J246" s="6">
        <v>998301</v>
      </c>
      <c r="K246" s="7" t="s">
        <v>8116</v>
      </c>
      <c r="L246" s="8">
        <v>24910</v>
      </c>
      <c r="M246" s="8" t="str">
        <f t="shared" si="26"/>
        <v>PEN</v>
      </c>
      <c r="N246" s="13"/>
      <c r="O246" s="13">
        <v>8</v>
      </c>
      <c r="P246" s="3">
        <f t="shared" si="27"/>
        <v>0</v>
      </c>
      <c r="Q246" s="3">
        <f t="shared" si="28"/>
        <v>8</v>
      </c>
      <c r="R246" s="3">
        <f t="shared" si="19"/>
        <v>13.700000000000045</v>
      </c>
      <c r="S246" s="24" t="s">
        <v>1334</v>
      </c>
      <c r="T246" s="24" t="s">
        <v>1334</v>
      </c>
      <c r="U246" s="3"/>
      <c r="V246" s="25" t="s">
        <v>7756</v>
      </c>
      <c r="W246" s="25">
        <v>20517252558</v>
      </c>
      <c r="X246" s="25" t="str">
        <f>IFERROR(VLOOKUP(C_Ope_002[[#This Row],[nota_2]],Clientes_Proveedores[[Ruc / Dni]:[Razon Social]],2,0),"")</f>
        <v>COVISUR S.A.</v>
      </c>
      <c r="Y246" s="25" t="s">
        <v>7888</v>
      </c>
      <c r="Z246" s="103"/>
      <c r="AA246" s="3" t="str">
        <f>IF(C_Ope_002[[#This Row],[fecha]]&gt;0,TEXT(C_Ope_002[[#This Row],[fecha]],"mmmm"),0)</f>
        <v>Julio</v>
      </c>
      <c r="AB246" s="49"/>
    </row>
    <row r="247" spans="1:28" ht="24" x14ac:dyDescent="0.3">
      <c r="A247" s="2">
        <f>IF(C_Ope_002[[#This Row],[tipo_r]]="R",COUNTIFS($C$1:$C246,"R")+1,"")</f>
        <v>246</v>
      </c>
      <c r="B247" s="19" t="str">
        <f t="shared" si="25"/>
        <v>C_Ope_002</v>
      </c>
      <c r="C247" s="3" t="s">
        <v>1330</v>
      </c>
      <c r="D247" s="14">
        <v>45854</v>
      </c>
      <c r="E247" s="5" t="s">
        <v>8005</v>
      </c>
      <c r="F247" s="5" t="s">
        <v>1336</v>
      </c>
      <c r="G247" s="6" t="s">
        <v>978</v>
      </c>
      <c r="H247" s="6" t="s">
        <v>68</v>
      </c>
      <c r="I247" s="6" t="s">
        <v>5688</v>
      </c>
      <c r="J247" s="6">
        <v>2399520</v>
      </c>
      <c r="K247" s="7" t="s">
        <v>8117</v>
      </c>
      <c r="L247" s="8">
        <v>24911</v>
      </c>
      <c r="M247" s="8" t="str">
        <f t="shared" si="26"/>
        <v>PEN</v>
      </c>
      <c r="N247" s="13"/>
      <c r="O247" s="13">
        <v>8</v>
      </c>
      <c r="P247" s="3">
        <f t="shared" si="27"/>
        <v>0</v>
      </c>
      <c r="Q247" s="3">
        <f t="shared" si="28"/>
        <v>8</v>
      </c>
      <c r="R247" s="3">
        <f t="shared" si="19"/>
        <v>5.7000000000000455</v>
      </c>
      <c r="S247" s="24" t="s">
        <v>1334</v>
      </c>
      <c r="T247" s="24" t="s">
        <v>1334</v>
      </c>
      <c r="U247" s="3"/>
      <c r="V247" s="25" t="s">
        <v>7756</v>
      </c>
      <c r="W247" s="25">
        <v>20517252558</v>
      </c>
      <c r="X247" s="25" t="str">
        <f>IFERROR(VLOOKUP(C_Ope_002[[#This Row],[nota_2]],Clientes_Proveedores[[Ruc / Dni]:[Razon Social]],2,0),"")</f>
        <v>COVISUR S.A.</v>
      </c>
      <c r="Y247" s="25" t="s">
        <v>7888</v>
      </c>
      <c r="Z247" s="103"/>
      <c r="AA247" s="3" t="str">
        <f>IF(C_Ope_002[[#This Row],[fecha]]&gt;0,TEXT(C_Ope_002[[#This Row],[fecha]],"mmmm"),0)</f>
        <v>Julio</v>
      </c>
      <c r="AB247" s="49"/>
    </row>
    <row r="248" spans="1:28" x14ac:dyDescent="0.3">
      <c r="A248" s="2">
        <f>IF(C_Ope_002[[#This Row],[tipo_r]]="R",COUNTIFS($C$1:$C247,"R")+1,"")</f>
        <v>247</v>
      </c>
      <c r="B248" s="19" t="str">
        <f t="shared" si="25"/>
        <v>C_Ope_002</v>
      </c>
      <c r="C248" s="3" t="s">
        <v>1330</v>
      </c>
      <c r="D248" s="14">
        <v>45856</v>
      </c>
      <c r="E248" s="5" t="s">
        <v>8005</v>
      </c>
      <c r="F248" s="5" t="s">
        <v>1336</v>
      </c>
      <c r="G248" s="6" t="s">
        <v>978</v>
      </c>
      <c r="H248" s="6" t="s">
        <v>68</v>
      </c>
      <c r="I248" s="6" t="s">
        <v>6244</v>
      </c>
      <c r="J248" s="6">
        <v>1092546</v>
      </c>
      <c r="K248" s="7" t="s">
        <v>8118</v>
      </c>
      <c r="L248" s="8">
        <v>24938</v>
      </c>
      <c r="M248" s="8" t="str">
        <f t="shared" si="26"/>
        <v>PEN</v>
      </c>
      <c r="N248" s="13"/>
      <c r="O248" s="13">
        <v>8</v>
      </c>
      <c r="P248" s="3">
        <f t="shared" si="27"/>
        <v>0</v>
      </c>
      <c r="Q248" s="3">
        <f t="shared" si="28"/>
        <v>8</v>
      </c>
      <c r="R248" s="3">
        <f t="shared" si="19"/>
        <v>-2.2999999999999545</v>
      </c>
      <c r="S248" s="24" t="s">
        <v>1334</v>
      </c>
      <c r="T248" s="24" t="s">
        <v>1334</v>
      </c>
      <c r="U248" s="3"/>
      <c r="V248" s="25" t="s">
        <v>8119</v>
      </c>
      <c r="W248" s="25">
        <v>20517252558</v>
      </c>
      <c r="X248" s="25" t="str">
        <f>IFERROR(VLOOKUP(C_Ope_002[[#This Row],[nota_2]],Clientes_Proveedores[[Ruc / Dni]:[Razon Social]],2,0),"")</f>
        <v>COVISUR S.A.</v>
      </c>
      <c r="Y248" s="25" t="s">
        <v>7888</v>
      </c>
      <c r="Z248" s="103"/>
      <c r="AA248" s="3" t="str">
        <f>IF(C_Ope_002[[#This Row],[fecha]]&gt;0,TEXT(C_Ope_002[[#This Row],[fecha]],"mmmm"),0)</f>
        <v>Julio</v>
      </c>
      <c r="AB248" s="49"/>
    </row>
    <row r="249" spans="1:28" x14ac:dyDescent="0.3">
      <c r="A249" s="2">
        <f>IF(C_Ope_002[[#This Row],[tipo_r]]="R",COUNTIFS($C$1:$C248,"R")+1,"")</f>
        <v>248</v>
      </c>
      <c r="B249" s="19" t="str">
        <f t="shared" si="25"/>
        <v>C_Ope_002</v>
      </c>
      <c r="C249" s="3" t="s">
        <v>1330</v>
      </c>
      <c r="D249" s="14">
        <v>45856</v>
      </c>
      <c r="E249" s="5" t="s">
        <v>8005</v>
      </c>
      <c r="F249" s="5" t="s">
        <v>1336</v>
      </c>
      <c r="G249" s="6" t="s">
        <v>978</v>
      </c>
      <c r="H249" s="6" t="s">
        <v>68</v>
      </c>
      <c r="I249" s="6" t="s">
        <v>6245</v>
      </c>
      <c r="J249" s="6">
        <v>999567</v>
      </c>
      <c r="K249" s="7" t="s">
        <v>8120</v>
      </c>
      <c r="L249" s="8">
        <v>24941</v>
      </c>
      <c r="M249" s="8" t="str">
        <f t="shared" si="26"/>
        <v>PEN</v>
      </c>
      <c r="N249" s="13"/>
      <c r="O249" s="13">
        <v>8</v>
      </c>
      <c r="P249" s="3">
        <f t="shared" si="27"/>
        <v>0</v>
      </c>
      <c r="Q249" s="3">
        <f t="shared" si="28"/>
        <v>8</v>
      </c>
      <c r="R249" s="3">
        <f t="shared" si="19"/>
        <v>-10.299999999999955</v>
      </c>
      <c r="S249" s="24" t="s">
        <v>1334</v>
      </c>
      <c r="T249" s="24" t="s">
        <v>1334</v>
      </c>
      <c r="U249" s="3"/>
      <c r="V249" s="25" t="s">
        <v>8119</v>
      </c>
      <c r="W249" s="25">
        <v>20517252558</v>
      </c>
      <c r="X249" s="25" t="str">
        <f>IFERROR(VLOOKUP(C_Ope_002[[#This Row],[nota_2]],Clientes_Proveedores[[Ruc / Dni]:[Razon Social]],2,0),"")</f>
        <v>COVISUR S.A.</v>
      </c>
      <c r="Y249" s="25" t="s">
        <v>7888</v>
      </c>
      <c r="Z249" s="103"/>
      <c r="AA249" s="3" t="str">
        <f>IF(C_Ope_002[[#This Row],[fecha]]&gt;0,TEXT(C_Ope_002[[#This Row],[fecha]],"mmmm"),0)</f>
        <v>Julio</v>
      </c>
      <c r="AB249" s="49"/>
    </row>
    <row r="250" spans="1:28" x14ac:dyDescent="0.3">
      <c r="A250" s="2">
        <f>IF(C_Ope_002[[#This Row],[tipo_r]]="R",COUNTIFS($C$1:$C249,"R")+1,"")</f>
        <v>249</v>
      </c>
      <c r="B250" s="19" t="str">
        <f t="shared" si="25"/>
        <v>C_Ope_002</v>
      </c>
      <c r="C250" s="3" t="s">
        <v>1330</v>
      </c>
      <c r="D250" s="14">
        <v>45856</v>
      </c>
      <c r="E250" s="5" t="s">
        <v>8005</v>
      </c>
      <c r="F250" s="5" t="s">
        <v>1336</v>
      </c>
      <c r="G250" s="6" t="s">
        <v>978</v>
      </c>
      <c r="H250" s="6" t="s">
        <v>68</v>
      </c>
      <c r="I250" s="6" t="s">
        <v>5845</v>
      </c>
      <c r="J250" s="6">
        <v>1807462</v>
      </c>
      <c r="K250" s="7" t="s">
        <v>8107</v>
      </c>
      <c r="L250" s="8">
        <v>24960</v>
      </c>
      <c r="M250" s="8" t="str">
        <f t="shared" si="26"/>
        <v>PEN</v>
      </c>
      <c r="N250" s="13"/>
      <c r="O250" s="13">
        <v>8</v>
      </c>
      <c r="P250" s="3">
        <f t="shared" si="27"/>
        <v>0</v>
      </c>
      <c r="Q250" s="3">
        <f t="shared" si="28"/>
        <v>8</v>
      </c>
      <c r="R250" s="3">
        <f t="shared" si="19"/>
        <v>-18.299999999999955</v>
      </c>
      <c r="S250" s="24" t="s">
        <v>1334</v>
      </c>
      <c r="T250" s="24" t="s">
        <v>1334</v>
      </c>
      <c r="U250" s="3"/>
      <c r="V250" s="25" t="s">
        <v>7842</v>
      </c>
      <c r="W250" s="25">
        <v>20517252558</v>
      </c>
      <c r="X250" s="25" t="str">
        <f>IFERROR(VLOOKUP(C_Ope_002[[#This Row],[nota_2]],Clientes_Proveedores[[Ruc / Dni]:[Razon Social]],2,0),"")</f>
        <v>COVISUR S.A.</v>
      </c>
      <c r="Y250" s="25" t="s">
        <v>7888</v>
      </c>
      <c r="Z250" s="103"/>
      <c r="AA250" s="3" t="str">
        <f>IF(C_Ope_002[[#This Row],[fecha]]&gt;0,TEXT(C_Ope_002[[#This Row],[fecha]],"mmmm"),0)</f>
        <v>Julio</v>
      </c>
      <c r="AB250" s="49"/>
    </row>
    <row r="251" spans="1:28" ht="36" x14ac:dyDescent="0.3">
      <c r="A251" s="2">
        <f>IF(C_Ope_002[[#This Row],[tipo_r]]="R",COUNTIFS($C$1:$C250,"R")+1,"")</f>
        <v>250</v>
      </c>
      <c r="B251" s="19" t="str">
        <f t="shared" si="25"/>
        <v>C_Ope_002</v>
      </c>
      <c r="C251" s="3" t="s">
        <v>1330</v>
      </c>
      <c r="D251" s="14">
        <v>45856</v>
      </c>
      <c r="E251" s="5" t="s">
        <v>8005</v>
      </c>
      <c r="F251" s="5" t="s">
        <v>1336</v>
      </c>
      <c r="G251" s="6" t="s">
        <v>1029</v>
      </c>
      <c r="H251" s="6" t="s">
        <v>68</v>
      </c>
      <c r="I251" s="6" t="s">
        <v>1374</v>
      </c>
      <c r="J251" s="6">
        <v>17979</v>
      </c>
      <c r="K251" s="7" t="s">
        <v>8121</v>
      </c>
      <c r="L251" s="8">
        <v>24936</v>
      </c>
      <c r="M251" s="8" t="str">
        <f t="shared" si="26"/>
        <v>PEN</v>
      </c>
      <c r="N251" s="13"/>
      <c r="O251" s="13">
        <v>11</v>
      </c>
      <c r="P251" s="3">
        <f t="shared" si="27"/>
        <v>0</v>
      </c>
      <c r="Q251" s="3">
        <f t="shared" si="28"/>
        <v>11</v>
      </c>
      <c r="R251" s="3">
        <f t="shared" si="19"/>
        <v>-29.299999999999955</v>
      </c>
      <c r="S251" s="24" t="s">
        <v>1334</v>
      </c>
      <c r="T251" s="24" t="s">
        <v>1334</v>
      </c>
      <c r="U251" s="3"/>
      <c r="V251" s="25" t="s">
        <v>8119</v>
      </c>
      <c r="W251" s="25">
        <v>20454058187</v>
      </c>
      <c r="X251" s="25" t="str">
        <f>IFERROR(VLOOKUP(C_Ope_002[[#This Row],[nota_2]],Clientes_Proveedores[[Ruc / Dni]:[Razon Social]],2,0),"")</f>
        <v>ZONA ESPECIAL DE DESARROLLO ZED MATARANI</v>
      </c>
      <c r="Y251" s="25" t="s">
        <v>5933</v>
      </c>
      <c r="Z251" s="103"/>
      <c r="AA251" s="3" t="str">
        <f>IF(C_Ope_002[[#This Row],[fecha]]&gt;0,TEXT(C_Ope_002[[#This Row],[fecha]],"mmmm"),0)</f>
        <v>Julio</v>
      </c>
      <c r="AB251" s="49"/>
    </row>
    <row r="252" spans="1:28" ht="36" x14ac:dyDescent="0.3">
      <c r="A252" s="2">
        <f>IF(C_Ope_002[[#This Row],[tipo_r]]="R",COUNTIFS($C$1:$C251,"R")+1,"")</f>
        <v>251</v>
      </c>
      <c r="B252" s="19" t="str">
        <f t="shared" si="25"/>
        <v>C_Ope_002</v>
      </c>
      <c r="C252" s="3" t="s">
        <v>1330</v>
      </c>
      <c r="D252" s="14">
        <v>45856</v>
      </c>
      <c r="E252" s="5" t="s">
        <v>8005</v>
      </c>
      <c r="F252" s="5" t="s">
        <v>1336</v>
      </c>
      <c r="G252" s="6" t="s">
        <v>1029</v>
      </c>
      <c r="H252" s="6" t="s">
        <v>68</v>
      </c>
      <c r="I252" s="6" t="s">
        <v>1374</v>
      </c>
      <c r="J252" s="6">
        <v>17978</v>
      </c>
      <c r="K252" s="7" t="s">
        <v>8122</v>
      </c>
      <c r="L252" s="8">
        <v>24937</v>
      </c>
      <c r="M252" s="8" t="str">
        <f t="shared" si="26"/>
        <v>PEN</v>
      </c>
      <c r="N252" s="13"/>
      <c r="O252" s="13">
        <v>11</v>
      </c>
      <c r="P252" s="3">
        <f t="shared" si="27"/>
        <v>0</v>
      </c>
      <c r="Q252" s="3">
        <f t="shared" si="28"/>
        <v>11</v>
      </c>
      <c r="R252" s="3">
        <f t="shared" si="19"/>
        <v>-40.299999999999955</v>
      </c>
      <c r="S252" s="24" t="s">
        <v>1334</v>
      </c>
      <c r="T252" s="24" t="s">
        <v>1334</v>
      </c>
      <c r="U252" s="3"/>
      <c r="V252" s="25" t="s">
        <v>8119</v>
      </c>
      <c r="W252" s="25">
        <v>20454058187</v>
      </c>
      <c r="X252" s="25" t="str">
        <f>IFERROR(VLOOKUP(C_Ope_002[[#This Row],[nota_2]],Clientes_Proveedores[[Ruc / Dni]:[Razon Social]],2,0),"")</f>
        <v>ZONA ESPECIAL DE DESARROLLO ZED MATARANI</v>
      </c>
      <c r="Y252" s="25" t="s">
        <v>5933</v>
      </c>
      <c r="Z252" s="103"/>
      <c r="AA252" s="3" t="str">
        <f>IF(C_Ope_002[[#This Row],[fecha]]&gt;0,TEXT(C_Ope_002[[#This Row],[fecha]],"mmmm"),0)</f>
        <v>Julio</v>
      </c>
      <c r="AB252" s="49"/>
    </row>
    <row r="253" spans="1:28" ht="24" x14ac:dyDescent="0.3">
      <c r="A253" s="2">
        <f>IF(C_Ope_002[[#This Row],[tipo_r]]="R",COUNTIFS($C$1:$C252,"R")+1,"")</f>
        <v>252</v>
      </c>
      <c r="B253" s="19" t="str">
        <f>"C_Ope_002"</f>
        <v>C_Ope_002</v>
      </c>
      <c r="C253" s="3" t="s">
        <v>1330</v>
      </c>
      <c r="D253" s="14">
        <v>45859</v>
      </c>
      <c r="E253" s="5" t="s">
        <v>3634</v>
      </c>
      <c r="F253" s="5" t="s">
        <v>1303</v>
      </c>
      <c r="G253" s="6" t="s">
        <v>829</v>
      </c>
      <c r="H253" s="6"/>
      <c r="I253" s="6"/>
      <c r="J253" s="6"/>
      <c r="K253" s="7" t="s">
        <v>7516</v>
      </c>
      <c r="L253" s="8">
        <v>25090</v>
      </c>
      <c r="M253" s="8" t="str">
        <f>"PEN"</f>
        <v>PEN</v>
      </c>
      <c r="N253" s="13"/>
      <c r="O253" s="13">
        <v>150</v>
      </c>
      <c r="P253" s="3">
        <f>+IF(OR($F253="SALDO",$F253="INGRESO"),$O253,0)</f>
        <v>150</v>
      </c>
      <c r="Q253" s="3">
        <f>+IF($F253="EGRESO",$O253,0)</f>
        <v>0</v>
      </c>
      <c r="R253" s="3">
        <f t="shared" si="19"/>
        <v>109.70000000000005</v>
      </c>
      <c r="S253" s="24" t="s">
        <v>1334</v>
      </c>
      <c r="T253" s="24" t="s">
        <v>1334</v>
      </c>
      <c r="U253" s="3"/>
      <c r="V253" s="25"/>
      <c r="W253" s="25"/>
      <c r="X253" s="25" t="str">
        <f>IFERROR(VLOOKUP(C_Ope_002[[#This Row],[nota_2]],Clientes_Proveedores[[Ruc / Dni]:[Razon Social]],2,0),"")</f>
        <v/>
      </c>
      <c r="Y253" s="25"/>
      <c r="Z253" s="103"/>
      <c r="AA253" s="3" t="str">
        <f>IF(C_Ope_002[[#This Row],[fecha]]&gt;0,TEXT(C_Ope_002[[#This Row],[fecha]],"mmmm"),0)</f>
        <v>Julio</v>
      </c>
      <c r="AB253" s="49"/>
    </row>
    <row r="254" spans="1:28" x14ac:dyDescent="0.3">
      <c r="A254" s="2">
        <f>IF(C_Ope_002[[#This Row],[tipo_r]]="R",COUNTIFS($C$1:$C253,"R")+1,"")</f>
        <v>253</v>
      </c>
      <c r="B254" s="19" t="str">
        <f t="shared" ref="B254:B256" si="29">"C_Ope_002"</f>
        <v>C_Ope_002</v>
      </c>
      <c r="C254" s="3" t="s">
        <v>1330</v>
      </c>
      <c r="D254" s="14">
        <v>45859</v>
      </c>
      <c r="E254" s="5" t="s">
        <v>8005</v>
      </c>
      <c r="F254" s="5" t="s">
        <v>1336</v>
      </c>
      <c r="G254" s="6" t="s">
        <v>978</v>
      </c>
      <c r="H254" s="6" t="s">
        <v>68</v>
      </c>
      <c r="I254" s="6" t="s">
        <v>5688</v>
      </c>
      <c r="J254" s="6">
        <v>2405741</v>
      </c>
      <c r="K254" s="7" t="s">
        <v>8107</v>
      </c>
      <c r="L254" s="8">
        <v>24961</v>
      </c>
      <c r="M254" s="8" t="str">
        <f t="shared" ref="M254:M256" si="30">"PEN"</f>
        <v>PEN</v>
      </c>
      <c r="N254" s="13"/>
      <c r="O254" s="13">
        <v>8</v>
      </c>
      <c r="P254" s="3">
        <f t="shared" ref="P254:P256" si="31">+IF(OR($F254="SALDO",$F254="INGRESO"),$O254,0)</f>
        <v>0</v>
      </c>
      <c r="Q254" s="3">
        <f t="shared" ref="Q254:Q256" si="32">+IF($F254="EGRESO",$O254,0)</f>
        <v>8</v>
      </c>
      <c r="R254" s="3">
        <f t="shared" si="19"/>
        <v>101.70000000000005</v>
      </c>
      <c r="S254" s="24" t="s">
        <v>1334</v>
      </c>
      <c r="T254" s="24" t="s">
        <v>1334</v>
      </c>
      <c r="U254" s="3"/>
      <c r="V254" s="25" t="s">
        <v>7842</v>
      </c>
      <c r="W254" s="25">
        <v>20517252558</v>
      </c>
      <c r="X254" s="25" t="str">
        <f>IFERROR(VLOOKUP(C_Ope_002[[#This Row],[nota_2]],Clientes_Proveedores[[Ruc / Dni]:[Razon Social]],2,0),"")</f>
        <v>COVISUR S.A.</v>
      </c>
      <c r="Y254" s="25" t="s">
        <v>7888</v>
      </c>
      <c r="Z254" s="103"/>
      <c r="AA254" s="3" t="str">
        <f>IF(C_Ope_002[[#This Row],[fecha]]&gt;0,TEXT(C_Ope_002[[#This Row],[fecha]],"mmmm"),0)</f>
        <v>Julio</v>
      </c>
      <c r="AB254" s="49"/>
    </row>
    <row r="255" spans="1:28" x14ac:dyDescent="0.3">
      <c r="A255" s="2">
        <f>IF(C_Ope_002[[#This Row],[tipo_r]]="R",COUNTIFS($C$1:$C254,"R")+1,"")</f>
        <v>254</v>
      </c>
      <c r="B255" s="19" t="str">
        <f t="shared" si="29"/>
        <v>C_Ope_002</v>
      </c>
      <c r="C255" s="3" t="s">
        <v>1330</v>
      </c>
      <c r="D255" s="14">
        <v>45859</v>
      </c>
      <c r="E255" s="5" t="s">
        <v>8005</v>
      </c>
      <c r="F255" s="5" t="s">
        <v>1336</v>
      </c>
      <c r="G255" s="6" t="s">
        <v>978</v>
      </c>
      <c r="H255" s="6" t="s">
        <v>68</v>
      </c>
      <c r="I255" s="6" t="s">
        <v>5845</v>
      </c>
      <c r="J255" s="6">
        <v>1810313</v>
      </c>
      <c r="K255" s="7" t="s">
        <v>8123</v>
      </c>
      <c r="L255" s="8">
        <v>24963</v>
      </c>
      <c r="M255" s="8" t="str">
        <f t="shared" si="30"/>
        <v>PEN</v>
      </c>
      <c r="N255" s="13"/>
      <c r="O255" s="13">
        <v>8</v>
      </c>
      <c r="P255" s="3">
        <f t="shared" si="31"/>
        <v>0</v>
      </c>
      <c r="Q255" s="3">
        <f t="shared" si="32"/>
        <v>8</v>
      </c>
      <c r="R255" s="3">
        <f t="shared" si="19"/>
        <v>93.700000000000045</v>
      </c>
      <c r="S255" s="24" t="s">
        <v>1334</v>
      </c>
      <c r="T255" s="24" t="s">
        <v>1334</v>
      </c>
      <c r="U255" s="3"/>
      <c r="V255" s="25" t="s">
        <v>7842</v>
      </c>
      <c r="W255" s="25">
        <v>20517252558</v>
      </c>
      <c r="X255" s="25" t="str">
        <f>IFERROR(VLOOKUP(C_Ope_002[[#This Row],[nota_2]],Clientes_Proveedores[[Ruc / Dni]:[Razon Social]],2,0),"")</f>
        <v>COVISUR S.A.</v>
      </c>
      <c r="Y255" s="25" t="s">
        <v>7888</v>
      </c>
      <c r="Z255" s="103"/>
      <c r="AA255" s="3" t="str">
        <f>IF(C_Ope_002[[#This Row],[fecha]]&gt;0,TEXT(C_Ope_002[[#This Row],[fecha]],"mmmm"),0)</f>
        <v>Julio</v>
      </c>
      <c r="AB255" s="49"/>
    </row>
    <row r="256" spans="1:28" ht="36" x14ac:dyDescent="0.3">
      <c r="A256" s="2">
        <f>IF(C_Ope_002[[#This Row],[tipo_r]]="R",COUNTIFS($C$1:$C255,"R")+1,"")</f>
        <v>255</v>
      </c>
      <c r="B256" s="19" t="str">
        <f t="shared" si="29"/>
        <v>C_Ope_002</v>
      </c>
      <c r="C256" s="3" t="s">
        <v>1330</v>
      </c>
      <c r="D256" s="14">
        <v>45859</v>
      </c>
      <c r="E256" s="5" t="s">
        <v>8005</v>
      </c>
      <c r="F256" s="5" t="s">
        <v>1336</v>
      </c>
      <c r="G256" s="6" t="s">
        <v>682</v>
      </c>
      <c r="H256" s="6" t="s">
        <v>68</v>
      </c>
      <c r="I256" s="6" t="s">
        <v>1353</v>
      </c>
      <c r="J256" s="6">
        <v>17052</v>
      </c>
      <c r="K256" s="7" t="s">
        <v>8124</v>
      </c>
      <c r="L256" s="8">
        <v>24964</v>
      </c>
      <c r="M256" s="8" t="str">
        <f t="shared" si="30"/>
        <v>PEN</v>
      </c>
      <c r="N256" s="13"/>
      <c r="O256" s="13">
        <v>20</v>
      </c>
      <c r="P256" s="3">
        <f t="shared" si="31"/>
        <v>0</v>
      </c>
      <c r="Q256" s="3">
        <f t="shared" si="32"/>
        <v>20</v>
      </c>
      <c r="R256" s="13">
        <f t="shared" si="19"/>
        <v>73.700000000000045</v>
      </c>
      <c r="S256" s="24" t="s">
        <v>1334</v>
      </c>
      <c r="T256" s="24" t="s">
        <v>1334</v>
      </c>
      <c r="U256" s="3"/>
      <c r="V256" s="25" t="s">
        <v>7842</v>
      </c>
      <c r="W256" s="25">
        <v>20259858934</v>
      </c>
      <c r="X256" s="25" t="str">
        <f>IFERROR(VLOOKUP(C_Ope_002[[#This Row],[nota_2]],Clientes_Proveedores[[Ruc / Dni]:[Razon Social]],2,0),"")</f>
        <v>COMERCIALIZACION Y SERVICIOS EL EDEN S.A.C.</v>
      </c>
      <c r="Y256" s="25" t="s">
        <v>5933</v>
      </c>
      <c r="Z256" s="103"/>
      <c r="AA256" s="3" t="str">
        <f>IF(C_Ope_002[[#This Row],[fecha]]&gt;0,TEXT(C_Ope_002[[#This Row],[fecha]],"mmmm"),0)</f>
        <v>Julio</v>
      </c>
      <c r="AB256" s="49"/>
    </row>
    <row r="257" spans="1:28" x14ac:dyDescent="0.3">
      <c r="A257" s="2">
        <f>IF(C_Ope_002[[#This Row],[tipo_r]]="R",COUNTIFS($C$1:$C256,"R")+1,"")</f>
        <v>256</v>
      </c>
      <c r="B257" s="19" t="str">
        <f>"C_Ope_002"</f>
        <v>C_Ope_002</v>
      </c>
      <c r="C257" s="3" t="s">
        <v>1330</v>
      </c>
      <c r="D257" s="14">
        <v>45875</v>
      </c>
      <c r="E257" s="5" t="s">
        <v>8005</v>
      </c>
      <c r="F257" s="5" t="s">
        <v>1336</v>
      </c>
      <c r="G257" s="6"/>
      <c r="H257" s="6"/>
      <c r="I257" s="6"/>
      <c r="J257" s="6"/>
      <c r="K257" s="7" t="s">
        <v>7742</v>
      </c>
      <c r="L257" s="8">
        <v>1990639</v>
      </c>
      <c r="M257" s="8" t="str">
        <f>"PEN"</f>
        <v>PEN</v>
      </c>
      <c r="N257" s="13"/>
      <c r="O257" s="13">
        <v>73.7</v>
      </c>
      <c r="P257" s="3">
        <f>+IF(OR($F257="SALDO",$F257="INGRESO"),$O257,0)</f>
        <v>0</v>
      </c>
      <c r="Q257" s="3">
        <f>+IF($F257="EGRESO",$O257,0)</f>
        <v>73.7</v>
      </c>
      <c r="R257" s="3">
        <f t="shared" si="19"/>
        <v>4.2632564145606011E-14</v>
      </c>
      <c r="S257" s="24" t="s">
        <v>1334</v>
      </c>
      <c r="T257" s="24" t="s">
        <v>1334</v>
      </c>
      <c r="U257" s="3"/>
      <c r="V257" s="25"/>
      <c r="W257" s="25"/>
      <c r="X257" s="25" t="str">
        <f>IFERROR(VLOOKUP(C_Ope_002[[#This Row],[nota_2]],Clientes_Proveedores[[Ruc / Dni]:[Razon Social]],2,0),"")</f>
        <v/>
      </c>
      <c r="Y257" s="25"/>
      <c r="Z257" s="103"/>
      <c r="AA257" s="3" t="str">
        <f>IF(C_Ope_002[[#This Row],[fecha]]&gt;0,TEXT(C_Ope_002[[#This Row],[fecha]],"mmmm"),0)</f>
        <v>Agosto</v>
      </c>
      <c r="AB257" s="49"/>
    </row>
    <row r="258" spans="1:28" ht="24" x14ac:dyDescent="0.3">
      <c r="A258" s="2">
        <f>IF(C_Ope_002[[#This Row],[tipo_r]]="R",COUNTIFS($C$1:$C257,"R")+1,"")</f>
        <v>257</v>
      </c>
      <c r="B258" s="19" t="str">
        <f>"C_Ope_002"</f>
        <v>C_Ope_002</v>
      </c>
      <c r="C258" s="3" t="s">
        <v>1330</v>
      </c>
      <c r="D258" s="14">
        <v>45876</v>
      </c>
      <c r="E258" s="5" t="s">
        <v>8125</v>
      </c>
      <c r="F258" s="5" t="s">
        <v>1336</v>
      </c>
      <c r="G258" s="6" t="s">
        <v>978</v>
      </c>
      <c r="H258" s="6" t="s">
        <v>68</v>
      </c>
      <c r="I258" s="6" t="s">
        <v>5688</v>
      </c>
      <c r="J258" s="6">
        <v>2425952</v>
      </c>
      <c r="K258" s="7" t="s">
        <v>8126</v>
      </c>
      <c r="L258" s="8">
        <v>25126</v>
      </c>
      <c r="M258" s="8" t="str">
        <f>"PEN"</f>
        <v>PEN</v>
      </c>
      <c r="N258" s="13"/>
      <c r="O258" s="13">
        <v>8</v>
      </c>
      <c r="P258" s="3">
        <f>+IF(OR($F258="SALDO",$F258="INGRESO"),$O258,0)</f>
        <v>0</v>
      </c>
      <c r="Q258" s="3">
        <f>+IF($F258="EGRESO",$O258,0)</f>
        <v>8</v>
      </c>
      <c r="R258" s="3">
        <f t="shared" ref="R258:R321" si="33">IFERROR(IF(F258="SALDO",P258,R257+P258-Q258),0)</f>
        <v>-7.9999999999999574</v>
      </c>
      <c r="S258" s="24" t="s">
        <v>1334</v>
      </c>
      <c r="T258" s="24" t="s">
        <v>1334</v>
      </c>
      <c r="U258" s="3"/>
      <c r="V258" s="25" t="s">
        <v>7756</v>
      </c>
      <c r="W258" s="25">
        <v>20517252558</v>
      </c>
      <c r="X258" s="25" t="str">
        <f>IFERROR(VLOOKUP(C_Ope_002[[#This Row],[nota_2]],Clientes_Proveedores[[Ruc / Dni]:[Razon Social]],2,0),"")</f>
        <v>COVISUR S.A.</v>
      </c>
      <c r="Y258" s="25" t="s">
        <v>7888</v>
      </c>
      <c r="Z258" s="103"/>
      <c r="AA258" s="3" t="str">
        <f>IF(C_Ope_002[[#This Row],[fecha]]&gt;0,TEXT(C_Ope_002[[#This Row],[fecha]],"mmmm"),0)</f>
        <v>Agosto</v>
      </c>
      <c r="AB258" s="49"/>
    </row>
    <row r="259" spans="1:28" ht="24" x14ac:dyDescent="0.3">
      <c r="A259" s="2">
        <f>IF(C_Ope_002[[#This Row],[tipo_r]]="R",COUNTIFS($C$1:$C258,"R")+1,"")</f>
        <v>258</v>
      </c>
      <c r="B259" s="19" t="str">
        <f>"C_Ope_002"</f>
        <v>C_Ope_002</v>
      </c>
      <c r="C259" s="3" t="s">
        <v>1330</v>
      </c>
      <c r="D259" s="14">
        <v>45876</v>
      </c>
      <c r="E259" s="5" t="s">
        <v>8125</v>
      </c>
      <c r="F259" s="5" t="s">
        <v>1336</v>
      </c>
      <c r="G259" s="6" t="s">
        <v>978</v>
      </c>
      <c r="H259" s="6" t="s">
        <v>68</v>
      </c>
      <c r="I259" s="6" t="s">
        <v>6203</v>
      </c>
      <c r="J259" s="6">
        <v>2136668</v>
      </c>
      <c r="K259" s="7" t="s">
        <v>8127</v>
      </c>
      <c r="L259" s="8">
        <v>25127</v>
      </c>
      <c r="M259" s="8" t="str">
        <f>"PEN"</f>
        <v>PEN</v>
      </c>
      <c r="N259" s="13"/>
      <c r="O259" s="13">
        <v>8</v>
      </c>
      <c r="P259" s="3">
        <f>+IF(OR($F259="SALDO",$F259="INGRESO"),$O259,0)</f>
        <v>0</v>
      </c>
      <c r="Q259" s="3">
        <f>+IF($F259="EGRESO",$O259,0)</f>
        <v>8</v>
      </c>
      <c r="R259" s="3">
        <f t="shared" si="33"/>
        <v>-15.999999999999957</v>
      </c>
      <c r="S259" s="24" t="s">
        <v>1334</v>
      </c>
      <c r="T259" s="24" t="s">
        <v>1334</v>
      </c>
      <c r="U259" s="3"/>
      <c r="V259" s="25" t="s">
        <v>7756</v>
      </c>
      <c r="W259" s="25">
        <v>20517252558</v>
      </c>
      <c r="X259" s="25" t="str">
        <f>IFERROR(VLOOKUP(C_Ope_002[[#This Row],[nota_2]],Clientes_Proveedores[[Ruc / Dni]:[Razon Social]],2,0),"")</f>
        <v>COVISUR S.A.</v>
      </c>
      <c r="Y259" s="25" t="s">
        <v>7888</v>
      </c>
      <c r="Z259" s="103"/>
      <c r="AA259" s="3" t="str">
        <f>IF(C_Ope_002[[#This Row],[fecha]]&gt;0,TEXT(C_Ope_002[[#This Row],[fecha]],"mmmm"),0)</f>
        <v>Agosto</v>
      </c>
      <c r="AB259" s="49"/>
    </row>
    <row r="260" spans="1:28" ht="36" x14ac:dyDescent="0.3">
      <c r="A260" s="2">
        <f>IF(C_Ope_002[[#This Row],[tipo_r]]="R",COUNTIFS($C$1:$C259,"R")+1,"")</f>
        <v>259</v>
      </c>
      <c r="B260" s="19" t="str">
        <f>"C_Ope_002"</f>
        <v>C_Ope_002</v>
      </c>
      <c r="C260" s="3" t="s">
        <v>1330</v>
      </c>
      <c r="D260" s="14">
        <v>45876</v>
      </c>
      <c r="E260" s="5" t="s">
        <v>8125</v>
      </c>
      <c r="F260" s="5" t="s">
        <v>1336</v>
      </c>
      <c r="G260" s="6" t="s">
        <v>227</v>
      </c>
      <c r="H260" s="6" t="s">
        <v>68</v>
      </c>
      <c r="I260" s="6" t="s">
        <v>1390</v>
      </c>
      <c r="J260" s="6">
        <v>135219</v>
      </c>
      <c r="K260" s="7" t="s">
        <v>8128</v>
      </c>
      <c r="L260" s="8">
        <v>25128</v>
      </c>
      <c r="M260" s="8" t="str">
        <f>"PEN"</f>
        <v>PEN</v>
      </c>
      <c r="N260" s="13"/>
      <c r="O260" s="13">
        <v>10</v>
      </c>
      <c r="P260" s="3">
        <f>+IF(OR($F260="SALDO",$F260="INGRESO"),$O260,0)</f>
        <v>0</v>
      </c>
      <c r="Q260" s="3">
        <f>+IF($F260="EGRESO",$O260,0)</f>
        <v>10</v>
      </c>
      <c r="R260" s="3">
        <f t="shared" si="33"/>
        <v>-25.999999999999957</v>
      </c>
      <c r="S260" s="24" t="s">
        <v>1334</v>
      </c>
      <c r="T260" s="24" t="s">
        <v>1334</v>
      </c>
      <c r="U260" s="3"/>
      <c r="V260" s="25" t="s">
        <v>7756</v>
      </c>
      <c r="W260" s="25">
        <v>20124952850</v>
      </c>
      <c r="X260" s="25" t="str">
        <f>IFERROR(VLOOKUP(C_Ope_002[[#This Row],[nota_2]],Clientes_Proveedores[[Ruc / Dni]:[Razon Social]],2,0),"")</f>
        <v>ALIMENTOS Y SERVICIOS AGROPECUARIOS SRL.</v>
      </c>
      <c r="Y260" s="25" t="s">
        <v>5933</v>
      </c>
      <c r="Z260" s="103"/>
      <c r="AA260" s="3" t="str">
        <f>IF(C_Ope_002[[#This Row],[fecha]]&gt;0,TEXT(C_Ope_002[[#This Row],[fecha]],"mmmm"),0)</f>
        <v>Agosto</v>
      </c>
      <c r="AB260" s="49"/>
    </row>
    <row r="261" spans="1:28" x14ac:dyDescent="0.3">
      <c r="A261" s="2">
        <f>IF(C_Ope_002[[#This Row],[tipo_r]]="R",COUNTIFS($C$1:$C260,"R")+1,"")</f>
        <v>260</v>
      </c>
      <c r="B261" s="19" t="str">
        <f>"C_Ope_002"</f>
        <v>C_Ope_002</v>
      </c>
      <c r="C261" s="3" t="s">
        <v>1330</v>
      </c>
      <c r="D261" s="14">
        <v>45877</v>
      </c>
      <c r="E261" s="5" t="s">
        <v>3634</v>
      </c>
      <c r="F261" s="5" t="s">
        <v>1303</v>
      </c>
      <c r="G261" s="6" t="s">
        <v>798</v>
      </c>
      <c r="H261" s="6"/>
      <c r="I261" s="6"/>
      <c r="J261" s="6"/>
      <c r="K261" s="7" t="s">
        <v>7516</v>
      </c>
      <c r="L261" s="8">
        <v>25122</v>
      </c>
      <c r="M261" s="8" t="str">
        <f>"PEN"</f>
        <v>PEN</v>
      </c>
      <c r="N261" s="13"/>
      <c r="O261" s="13">
        <v>150</v>
      </c>
      <c r="P261" s="3">
        <f>+IF(OR($F261="SALDO",$F261="INGRESO"),$O261,0)</f>
        <v>150</v>
      </c>
      <c r="Q261" s="3">
        <f>+IF($F261="EGRESO",$O261,0)</f>
        <v>0</v>
      </c>
      <c r="R261" s="3">
        <f t="shared" si="33"/>
        <v>124.00000000000004</v>
      </c>
      <c r="S261" s="24" t="s">
        <v>1334</v>
      </c>
      <c r="T261" s="24" t="s">
        <v>1334</v>
      </c>
      <c r="U261" s="3"/>
      <c r="V261" s="25"/>
      <c r="W261" s="25"/>
      <c r="X261" s="25" t="str">
        <f>IFERROR(VLOOKUP(C_Ope_002[[#This Row],[nota_2]],Clientes_Proveedores[[Ruc / Dni]:[Razon Social]],2,0),"")</f>
        <v/>
      </c>
      <c r="Y261" s="25"/>
      <c r="Z261" s="103"/>
      <c r="AA261" s="3" t="str">
        <f>IF(C_Ope_002[[#This Row],[fecha]]&gt;0,TEXT(C_Ope_002[[#This Row],[fecha]],"mmmm"),0)</f>
        <v>Agosto</v>
      </c>
      <c r="AB261" s="49"/>
    </row>
    <row r="262" spans="1:28" x14ac:dyDescent="0.3">
      <c r="A262" s="2">
        <f>IF(C_Ope_002[[#This Row],[tipo_r]]="R",COUNTIFS($C$1:$C261,"R")+1,"")</f>
        <v>261</v>
      </c>
      <c r="B262" s="19" t="str">
        <f t="shared" ref="B262:B268" si="34">"C_Ope_002"</f>
        <v>C_Ope_002</v>
      </c>
      <c r="C262" s="3" t="s">
        <v>1330</v>
      </c>
      <c r="D262" s="14">
        <v>45877</v>
      </c>
      <c r="E262" s="5" t="s">
        <v>8125</v>
      </c>
      <c r="F262" s="5" t="s">
        <v>1336</v>
      </c>
      <c r="G262" s="6" t="s">
        <v>978</v>
      </c>
      <c r="H262" s="6" t="s">
        <v>68</v>
      </c>
      <c r="I262" s="6" t="s">
        <v>5688</v>
      </c>
      <c r="J262" s="6">
        <v>2427203</v>
      </c>
      <c r="K262" s="7" t="s">
        <v>8129</v>
      </c>
      <c r="L262" s="8">
        <v>25129</v>
      </c>
      <c r="M262" s="8" t="str">
        <f t="shared" ref="M262:M268" si="35">"PEN"</f>
        <v>PEN</v>
      </c>
      <c r="N262" s="13"/>
      <c r="O262" s="13">
        <v>8</v>
      </c>
      <c r="P262" s="3">
        <f t="shared" ref="P262:P268" si="36">+IF(OR($F262="SALDO",$F262="INGRESO"),$O262,0)</f>
        <v>0</v>
      </c>
      <c r="Q262" s="3">
        <f t="shared" ref="Q262:Q268" si="37">+IF($F262="EGRESO",$O262,0)</f>
        <v>8</v>
      </c>
      <c r="R262" s="3">
        <f t="shared" si="33"/>
        <v>116.00000000000004</v>
      </c>
      <c r="S262" s="24" t="s">
        <v>1334</v>
      </c>
      <c r="T262" s="24" t="s">
        <v>1334</v>
      </c>
      <c r="U262" s="3"/>
      <c r="V262" s="25" t="s">
        <v>7756</v>
      </c>
      <c r="W262" s="25">
        <v>20517252558</v>
      </c>
      <c r="X262" s="25" t="str">
        <f>IFERROR(VLOOKUP(C_Ope_002[[#This Row],[nota_2]],Clientes_Proveedores[[Ruc / Dni]:[Razon Social]],2,0),"")</f>
        <v>COVISUR S.A.</v>
      </c>
      <c r="Y262" s="25" t="s">
        <v>7888</v>
      </c>
      <c r="Z262" s="103"/>
      <c r="AA262" s="3" t="str">
        <f>IF(C_Ope_002[[#This Row],[fecha]]&gt;0,TEXT(C_Ope_002[[#This Row],[fecha]],"mmmm"),0)</f>
        <v>Agosto</v>
      </c>
      <c r="AB262" s="49"/>
    </row>
    <row r="263" spans="1:28" ht="24" x14ac:dyDescent="0.3">
      <c r="A263" s="2">
        <f>IF(C_Ope_002[[#This Row],[tipo_r]]="R",COUNTIFS($C$1:$C262,"R")+1,"")</f>
        <v>262</v>
      </c>
      <c r="B263" s="19" t="str">
        <f t="shared" si="34"/>
        <v>C_Ope_002</v>
      </c>
      <c r="C263" s="3" t="s">
        <v>1330</v>
      </c>
      <c r="D263" s="14">
        <v>45877</v>
      </c>
      <c r="E263" s="5" t="s">
        <v>8125</v>
      </c>
      <c r="F263" s="5" t="s">
        <v>1336</v>
      </c>
      <c r="G263" s="6" t="s">
        <v>978</v>
      </c>
      <c r="H263" s="6" t="s">
        <v>68</v>
      </c>
      <c r="I263" s="6" t="s">
        <v>6203</v>
      </c>
      <c r="J263" s="6">
        <v>2138002</v>
      </c>
      <c r="K263" s="7" t="s">
        <v>8130</v>
      </c>
      <c r="L263" s="8">
        <v>25131</v>
      </c>
      <c r="M263" s="8" t="str">
        <f t="shared" si="35"/>
        <v>PEN</v>
      </c>
      <c r="N263" s="13"/>
      <c r="O263" s="13">
        <v>8</v>
      </c>
      <c r="P263" s="3">
        <f t="shared" si="36"/>
        <v>0</v>
      </c>
      <c r="Q263" s="3">
        <f t="shared" si="37"/>
        <v>8</v>
      </c>
      <c r="R263" s="3">
        <f t="shared" si="33"/>
        <v>108.00000000000004</v>
      </c>
      <c r="S263" s="24" t="s">
        <v>1334</v>
      </c>
      <c r="T263" s="24" t="s">
        <v>1334</v>
      </c>
      <c r="U263" s="3"/>
      <c r="V263" s="25" t="s">
        <v>7756</v>
      </c>
      <c r="W263" s="25">
        <v>20517252558</v>
      </c>
      <c r="X263" s="25" t="str">
        <f>IFERROR(VLOOKUP(C_Ope_002[[#This Row],[nota_2]],Clientes_Proveedores[[Ruc / Dni]:[Razon Social]],2,0),"")</f>
        <v>COVISUR S.A.</v>
      </c>
      <c r="Y263" s="25" t="s">
        <v>7888</v>
      </c>
      <c r="Z263" s="103"/>
      <c r="AA263" s="3" t="str">
        <f>IF(C_Ope_002[[#This Row],[fecha]]&gt;0,TEXT(C_Ope_002[[#This Row],[fecha]],"mmmm"),0)</f>
        <v>Agosto</v>
      </c>
      <c r="AB263" s="49"/>
    </row>
    <row r="264" spans="1:28" ht="36" x14ac:dyDescent="0.3">
      <c r="A264" s="2">
        <f>IF(C_Ope_002[[#This Row],[tipo_r]]="R",COUNTIFS($C$1:$C263,"R")+1,"")</f>
        <v>263</v>
      </c>
      <c r="B264" s="19" t="str">
        <f t="shared" si="34"/>
        <v>C_Ope_002</v>
      </c>
      <c r="C264" s="3" t="s">
        <v>1330</v>
      </c>
      <c r="D264" s="14">
        <v>45877</v>
      </c>
      <c r="E264" s="5" t="s">
        <v>8125</v>
      </c>
      <c r="F264" s="5" t="s">
        <v>1336</v>
      </c>
      <c r="G264" s="6" t="s">
        <v>227</v>
      </c>
      <c r="H264" s="6" t="s">
        <v>68</v>
      </c>
      <c r="I264" s="6" t="s">
        <v>1390</v>
      </c>
      <c r="J264" s="6">
        <v>135225</v>
      </c>
      <c r="K264" s="7" t="s">
        <v>8131</v>
      </c>
      <c r="L264" s="8">
        <v>25130</v>
      </c>
      <c r="M264" s="8" t="str">
        <f t="shared" si="35"/>
        <v>PEN</v>
      </c>
      <c r="N264" s="13"/>
      <c r="O264" s="13">
        <v>10</v>
      </c>
      <c r="P264" s="3">
        <f t="shared" si="36"/>
        <v>0</v>
      </c>
      <c r="Q264" s="3">
        <f t="shared" si="37"/>
        <v>10</v>
      </c>
      <c r="R264" s="3">
        <f t="shared" si="33"/>
        <v>98.000000000000043</v>
      </c>
      <c r="S264" s="24" t="s">
        <v>1334</v>
      </c>
      <c r="T264" s="24" t="s">
        <v>1334</v>
      </c>
      <c r="U264" s="3"/>
      <c r="V264" s="25" t="s">
        <v>7756</v>
      </c>
      <c r="W264" s="25">
        <v>20124952850</v>
      </c>
      <c r="X264" s="25" t="str">
        <f>IFERROR(VLOOKUP(C_Ope_002[[#This Row],[nota_2]],Clientes_Proveedores[[Ruc / Dni]:[Razon Social]],2,0),"")</f>
        <v>ALIMENTOS Y SERVICIOS AGROPECUARIOS SRL.</v>
      </c>
      <c r="Y264" s="25" t="s">
        <v>5933</v>
      </c>
      <c r="Z264" s="103"/>
      <c r="AA264" s="3" t="str">
        <f>IF(C_Ope_002[[#This Row],[fecha]]&gt;0,TEXT(C_Ope_002[[#This Row],[fecha]],"mmmm"),0)</f>
        <v>Agosto</v>
      </c>
      <c r="AB264" s="49"/>
    </row>
    <row r="265" spans="1:28" x14ac:dyDescent="0.3">
      <c r="A265" s="2">
        <f>IF(C_Ope_002[[#This Row],[tipo_r]]="R",COUNTIFS($C$1:$C264,"R")+1,"")</f>
        <v>264</v>
      </c>
      <c r="B265" s="19" t="str">
        <f t="shared" si="34"/>
        <v>C_Ope_002</v>
      </c>
      <c r="C265" s="3" t="s">
        <v>1330</v>
      </c>
      <c r="D265" s="14">
        <v>45880</v>
      </c>
      <c r="E265" s="5" t="s">
        <v>8125</v>
      </c>
      <c r="F265" s="5" t="s">
        <v>1336</v>
      </c>
      <c r="G265" s="6" t="s">
        <v>978</v>
      </c>
      <c r="H265" s="6" t="s">
        <v>68</v>
      </c>
      <c r="I265" s="6" t="s">
        <v>5688</v>
      </c>
      <c r="J265" s="6">
        <v>2430689</v>
      </c>
      <c r="K265" s="7" t="s">
        <v>8132</v>
      </c>
      <c r="L265" s="8">
        <v>25132</v>
      </c>
      <c r="M265" s="8" t="str">
        <f t="shared" si="35"/>
        <v>PEN</v>
      </c>
      <c r="N265" s="13"/>
      <c r="O265" s="13">
        <v>8</v>
      </c>
      <c r="P265" s="3">
        <f t="shared" si="36"/>
        <v>0</v>
      </c>
      <c r="Q265" s="3">
        <f t="shared" si="37"/>
        <v>8</v>
      </c>
      <c r="R265" s="3">
        <f t="shared" si="33"/>
        <v>90.000000000000043</v>
      </c>
      <c r="S265" s="24" t="s">
        <v>1334</v>
      </c>
      <c r="T265" s="24" t="s">
        <v>1334</v>
      </c>
      <c r="U265" s="3"/>
      <c r="V265" s="25" t="s">
        <v>7756</v>
      </c>
      <c r="W265" s="25">
        <v>20517252558</v>
      </c>
      <c r="X265" s="25" t="str">
        <f>IFERROR(VLOOKUP(C_Ope_002[[#This Row],[nota_2]],Clientes_Proveedores[[Ruc / Dni]:[Razon Social]],2,0),"")</f>
        <v>COVISUR S.A.</v>
      </c>
      <c r="Y265" s="25" t="s">
        <v>7888</v>
      </c>
      <c r="Z265" s="103"/>
      <c r="AA265" s="3" t="str">
        <f>IF(C_Ope_002[[#This Row],[fecha]]&gt;0,TEXT(C_Ope_002[[#This Row],[fecha]],"mmmm"),0)</f>
        <v>Agosto</v>
      </c>
      <c r="AB265" s="49"/>
    </row>
    <row r="266" spans="1:28" x14ac:dyDescent="0.3">
      <c r="A266" s="2">
        <f>IF(C_Ope_002[[#This Row],[tipo_r]]="R",COUNTIFS($C$1:$C265,"R")+1,"")</f>
        <v>265</v>
      </c>
      <c r="B266" s="19" t="str">
        <f t="shared" si="34"/>
        <v>C_Ope_002</v>
      </c>
      <c r="C266" s="3" t="s">
        <v>1330</v>
      </c>
      <c r="D266" s="14">
        <v>45880</v>
      </c>
      <c r="E266" s="5" t="s">
        <v>8125</v>
      </c>
      <c r="F266" s="5" t="s">
        <v>1336</v>
      </c>
      <c r="G266" s="6" t="s">
        <v>978</v>
      </c>
      <c r="H266" s="6" t="s">
        <v>68</v>
      </c>
      <c r="I266" s="6" t="s">
        <v>6203</v>
      </c>
      <c r="J266" s="6">
        <v>2141150</v>
      </c>
      <c r="K266" s="7" t="s">
        <v>8133</v>
      </c>
      <c r="L266" s="8">
        <v>25134</v>
      </c>
      <c r="M266" s="8" t="str">
        <f t="shared" si="35"/>
        <v>PEN</v>
      </c>
      <c r="N266" s="13"/>
      <c r="O266" s="13">
        <v>8</v>
      </c>
      <c r="P266" s="3">
        <f t="shared" si="36"/>
        <v>0</v>
      </c>
      <c r="Q266" s="3">
        <f t="shared" si="37"/>
        <v>8</v>
      </c>
      <c r="R266" s="3">
        <f t="shared" si="33"/>
        <v>82.000000000000043</v>
      </c>
      <c r="S266" s="24" t="s">
        <v>1334</v>
      </c>
      <c r="T266" s="24" t="s">
        <v>1334</v>
      </c>
      <c r="U266" s="3"/>
      <c r="V266" s="25" t="s">
        <v>7756</v>
      </c>
      <c r="W266" s="25">
        <v>20517252558</v>
      </c>
      <c r="X266" s="25" t="str">
        <f>IFERROR(VLOOKUP(C_Ope_002[[#This Row],[nota_2]],Clientes_Proveedores[[Ruc / Dni]:[Razon Social]],2,0),"")</f>
        <v>COVISUR S.A.</v>
      </c>
      <c r="Y266" s="25" t="s">
        <v>7888</v>
      </c>
      <c r="Z266" s="103"/>
      <c r="AA266" s="3" t="str">
        <f>IF(C_Ope_002[[#This Row],[fecha]]&gt;0,TEXT(C_Ope_002[[#This Row],[fecha]],"mmmm"),0)</f>
        <v>Agosto</v>
      </c>
      <c r="AB266" s="49"/>
    </row>
    <row r="267" spans="1:28" ht="36" x14ac:dyDescent="0.3">
      <c r="A267" s="2">
        <f>IF(C_Ope_002[[#This Row],[tipo_r]]="R",COUNTIFS($C$1:$C266,"R")+1,"")</f>
        <v>266</v>
      </c>
      <c r="B267" s="19" t="str">
        <f>"C_Ope_002"</f>
        <v>C_Ope_002</v>
      </c>
      <c r="C267" s="3" t="s">
        <v>1330</v>
      </c>
      <c r="D267" s="14">
        <v>45880</v>
      </c>
      <c r="E267" s="5" t="s">
        <v>8125</v>
      </c>
      <c r="F267" s="5" t="s">
        <v>1336</v>
      </c>
      <c r="G267" s="6" t="s">
        <v>682</v>
      </c>
      <c r="H267" s="6" t="s">
        <v>68</v>
      </c>
      <c r="I267" s="6" t="s">
        <v>1353</v>
      </c>
      <c r="J267" s="6">
        <v>17299</v>
      </c>
      <c r="K267" s="7" t="s">
        <v>8134</v>
      </c>
      <c r="L267" s="8">
        <v>25133</v>
      </c>
      <c r="M267" s="8" t="str">
        <f t="shared" si="35"/>
        <v>PEN</v>
      </c>
      <c r="N267" s="13"/>
      <c r="O267" s="13">
        <v>20</v>
      </c>
      <c r="P267" s="3">
        <f t="shared" si="36"/>
        <v>0</v>
      </c>
      <c r="Q267" s="3">
        <f t="shared" si="37"/>
        <v>20</v>
      </c>
      <c r="R267" s="3">
        <f t="shared" si="33"/>
        <v>62.000000000000043</v>
      </c>
      <c r="S267" s="24" t="s">
        <v>1334</v>
      </c>
      <c r="T267" s="24" t="s">
        <v>1334</v>
      </c>
      <c r="U267" s="3"/>
      <c r="V267" s="25" t="s">
        <v>7756</v>
      </c>
      <c r="W267" s="25">
        <v>20259858934</v>
      </c>
      <c r="X267" s="25" t="str">
        <f>IFERROR(VLOOKUP(C_Ope_002[[#This Row],[nota_2]],Clientes_Proveedores[[Ruc / Dni]:[Razon Social]],2,0),"")</f>
        <v>COMERCIALIZACION Y SERVICIOS EL EDEN S.A.C.</v>
      </c>
      <c r="Y267" s="25" t="s">
        <v>5933</v>
      </c>
      <c r="Z267" s="103"/>
      <c r="AA267" s="3" t="str">
        <f>IF(C_Ope_002[[#This Row],[fecha]]&gt;0,TEXT(C_Ope_002[[#This Row],[fecha]],"mmmm"),0)</f>
        <v>Agosto</v>
      </c>
      <c r="AB267" s="49"/>
    </row>
    <row r="268" spans="1:28" ht="24" x14ac:dyDescent="0.3">
      <c r="A268" s="2">
        <f>IF(C_Ope_002[[#This Row],[tipo_r]]="R",COUNTIFS($C$1:$C267,"R")+1,"")</f>
        <v>267</v>
      </c>
      <c r="B268" s="19" t="str">
        <f t="shared" si="34"/>
        <v>C_Ope_002</v>
      </c>
      <c r="C268" s="3" t="s">
        <v>1330</v>
      </c>
      <c r="D268" s="14">
        <v>45880</v>
      </c>
      <c r="E268" s="5" t="s">
        <v>8125</v>
      </c>
      <c r="F268" s="5" t="s">
        <v>1336</v>
      </c>
      <c r="G268" s="6" t="s">
        <v>998</v>
      </c>
      <c r="H268" s="6" t="s">
        <v>68</v>
      </c>
      <c r="I268" s="6" t="s">
        <v>6378</v>
      </c>
      <c r="J268" s="6">
        <v>2109</v>
      </c>
      <c r="K268" s="7" t="s">
        <v>8135</v>
      </c>
      <c r="L268" s="8">
        <v>25135</v>
      </c>
      <c r="M268" s="8" t="str">
        <f t="shared" si="35"/>
        <v>PEN</v>
      </c>
      <c r="N268" s="13"/>
      <c r="O268" s="13">
        <v>10</v>
      </c>
      <c r="P268" s="3">
        <f t="shared" si="36"/>
        <v>0</v>
      </c>
      <c r="Q268" s="3">
        <f t="shared" si="37"/>
        <v>10</v>
      </c>
      <c r="R268" s="3">
        <f t="shared" si="33"/>
        <v>52.000000000000043</v>
      </c>
      <c r="S268" s="24" t="s">
        <v>1334</v>
      </c>
      <c r="T268" s="24" t="s">
        <v>1334</v>
      </c>
      <c r="U268" s="3"/>
      <c r="V268" s="25" t="s">
        <v>7756</v>
      </c>
      <c r="W268" s="25">
        <v>20612112500</v>
      </c>
      <c r="X268" s="25" t="str">
        <f>IFERROR(VLOOKUP(C_Ope_002[[#This Row],[nota_2]],Clientes_Proveedores[[Ruc / Dni]:[Razon Social]],2,0),"")</f>
        <v>RECICLADORA LAS LOMAS E.I.R.L.</v>
      </c>
      <c r="Y268" s="25" t="s">
        <v>5933</v>
      </c>
      <c r="Z268" s="103"/>
      <c r="AA268" s="3" t="str">
        <f>IF(C_Ope_002[[#This Row],[fecha]]&gt;0,TEXT(C_Ope_002[[#This Row],[fecha]],"mmmm"),0)</f>
        <v>Agosto</v>
      </c>
      <c r="AB268" s="49"/>
    </row>
    <row r="269" spans="1:28" ht="24" x14ac:dyDescent="0.3">
      <c r="A269" s="2">
        <f>IF(C_Ope_002[[#This Row],[tipo_r]]="R",COUNTIFS($C$1:$C268,"R")+1,"")</f>
        <v>268</v>
      </c>
      <c r="B269" s="19" t="str">
        <f>"C_Ope_002"</f>
        <v>C_Ope_002</v>
      </c>
      <c r="C269" s="3" t="s">
        <v>1330</v>
      </c>
      <c r="D269" s="14">
        <v>45880</v>
      </c>
      <c r="E269" s="5" t="s">
        <v>8125</v>
      </c>
      <c r="F269" s="5" t="s">
        <v>1336</v>
      </c>
      <c r="G269" s="6" t="s">
        <v>1009</v>
      </c>
      <c r="H269" s="6" t="s">
        <v>126</v>
      </c>
      <c r="I269" s="6"/>
      <c r="J269" s="6">
        <v>25319</v>
      </c>
      <c r="K269" s="7" t="s">
        <v>8136</v>
      </c>
      <c r="L269" s="8">
        <v>25319</v>
      </c>
      <c r="M269" s="8" t="str">
        <f>"PEN"</f>
        <v>PEN</v>
      </c>
      <c r="N269" s="13"/>
      <c r="O269" s="13">
        <v>10</v>
      </c>
      <c r="P269" s="3">
        <f>+IF(OR($F269="SALDO",$F269="INGRESO"),$O269,0)</f>
        <v>0</v>
      </c>
      <c r="Q269" s="3">
        <f>+IF($F269="EGRESO",$O269,0)</f>
        <v>10</v>
      </c>
      <c r="R269" s="3">
        <f t="shared" si="33"/>
        <v>42.000000000000043</v>
      </c>
      <c r="S269" s="24" t="s">
        <v>1334</v>
      </c>
      <c r="T269" s="24" t="s">
        <v>1334</v>
      </c>
      <c r="U269" s="3"/>
      <c r="V269" s="25" t="s">
        <v>7756</v>
      </c>
      <c r="W269" s="25"/>
      <c r="X269" s="25" t="str">
        <f>IFERROR(VLOOKUP(C_Ope_002[[#This Row],[nota_2]],Clientes_Proveedores[[Ruc / Dni]:[Razon Social]],2,0),"")</f>
        <v/>
      </c>
      <c r="Y269" s="25" t="s">
        <v>5933</v>
      </c>
      <c r="Z269" s="103"/>
      <c r="AA269" s="3" t="str">
        <f>IF(C_Ope_002[[#This Row],[fecha]]&gt;0,TEXT(C_Ope_002[[#This Row],[fecha]],"mmmm"),0)</f>
        <v>Agosto</v>
      </c>
      <c r="AB269" s="49"/>
    </row>
    <row r="270" spans="1:28" ht="36" x14ac:dyDescent="0.3">
      <c r="A270" s="2">
        <f>IF(C_Ope_002[[#This Row],[tipo_r]]="R",COUNTIFS($C$1:$C269,"R")+1,"")</f>
        <v>269</v>
      </c>
      <c r="B270" s="19" t="str">
        <f t="shared" ref="B270:B283" si="38">"C_Ope_002"</f>
        <v>C_Ope_002</v>
      </c>
      <c r="C270" s="3" t="s">
        <v>1330</v>
      </c>
      <c r="D270" s="14">
        <v>45883</v>
      </c>
      <c r="E270" s="5" t="s">
        <v>8125</v>
      </c>
      <c r="F270" s="5" t="s">
        <v>1336</v>
      </c>
      <c r="G270" s="6" t="s">
        <v>978</v>
      </c>
      <c r="H270" s="6" t="s">
        <v>68</v>
      </c>
      <c r="I270" s="6" t="s">
        <v>6203</v>
      </c>
      <c r="J270" s="6">
        <v>2144735</v>
      </c>
      <c r="K270" s="7" t="s">
        <v>8137</v>
      </c>
      <c r="L270" s="8">
        <v>25188</v>
      </c>
      <c r="M270" s="8" t="str">
        <f t="shared" ref="M270:M283" si="39">"PEN"</f>
        <v>PEN</v>
      </c>
      <c r="N270" s="13"/>
      <c r="O270" s="13">
        <v>8</v>
      </c>
      <c r="P270" s="3">
        <f t="shared" ref="P270:P283" si="40">+IF(OR($F270="SALDO",$F270="INGRESO"),$O270,0)</f>
        <v>0</v>
      </c>
      <c r="Q270" s="3">
        <f t="shared" ref="Q270:Q283" si="41">+IF($F270="EGRESO",$O270,0)</f>
        <v>8</v>
      </c>
      <c r="R270" s="3">
        <f t="shared" si="33"/>
        <v>34.000000000000043</v>
      </c>
      <c r="S270" s="24" t="s">
        <v>1334</v>
      </c>
      <c r="T270" s="24" t="s">
        <v>1334</v>
      </c>
      <c r="U270" s="3"/>
      <c r="V270" s="25" t="s">
        <v>7761</v>
      </c>
      <c r="W270" s="25">
        <v>20517252558</v>
      </c>
      <c r="X270" s="25" t="str">
        <f>IFERROR(VLOOKUP(C_Ope_002[[#This Row],[nota_2]],Clientes_Proveedores[[Ruc / Dni]:[Razon Social]],2,0),"")</f>
        <v>COVISUR S.A.</v>
      </c>
      <c r="Y270" s="25" t="s">
        <v>7888</v>
      </c>
      <c r="Z270" s="103"/>
      <c r="AA270" s="3" t="str">
        <f>IF(C_Ope_002[[#This Row],[fecha]]&gt;0,TEXT(C_Ope_002[[#This Row],[fecha]],"mmmm"),0)</f>
        <v>Agosto</v>
      </c>
      <c r="AB270" s="49"/>
    </row>
    <row r="271" spans="1:28" ht="36" x14ac:dyDescent="0.3">
      <c r="A271" s="2">
        <f>IF(C_Ope_002[[#This Row],[tipo_r]]="R",COUNTIFS($C$1:$C270,"R")+1,"")</f>
        <v>270</v>
      </c>
      <c r="B271" s="19" t="str">
        <f t="shared" si="38"/>
        <v>C_Ope_002</v>
      </c>
      <c r="C271" s="3" t="s">
        <v>1330</v>
      </c>
      <c r="D271" s="14">
        <v>45883</v>
      </c>
      <c r="E271" s="5" t="s">
        <v>8125</v>
      </c>
      <c r="F271" s="5" t="s">
        <v>1336</v>
      </c>
      <c r="G271" s="6" t="s">
        <v>227</v>
      </c>
      <c r="H271" s="6" t="s">
        <v>68</v>
      </c>
      <c r="I271" s="6" t="s">
        <v>1390</v>
      </c>
      <c r="J271" s="6">
        <v>135507</v>
      </c>
      <c r="K271" s="7" t="s">
        <v>8138</v>
      </c>
      <c r="L271" s="8">
        <v>25189</v>
      </c>
      <c r="M271" s="8" t="str">
        <f t="shared" si="39"/>
        <v>PEN</v>
      </c>
      <c r="N271" s="13"/>
      <c r="O271" s="13">
        <v>10</v>
      </c>
      <c r="P271" s="3">
        <f t="shared" si="40"/>
        <v>0</v>
      </c>
      <c r="Q271" s="3">
        <f t="shared" si="41"/>
        <v>10</v>
      </c>
      <c r="R271" s="3">
        <f t="shared" si="33"/>
        <v>24.000000000000043</v>
      </c>
      <c r="S271" s="24" t="s">
        <v>1334</v>
      </c>
      <c r="T271" s="24" t="s">
        <v>1334</v>
      </c>
      <c r="U271" s="3"/>
      <c r="V271" s="25" t="s">
        <v>7761</v>
      </c>
      <c r="W271" s="25">
        <v>20124952850</v>
      </c>
      <c r="X271" s="25" t="str">
        <f>IFERROR(VLOOKUP(C_Ope_002[[#This Row],[nota_2]],Clientes_Proveedores[[Ruc / Dni]:[Razon Social]],2,0),"")</f>
        <v>ALIMENTOS Y SERVICIOS AGROPECUARIOS SRL.</v>
      </c>
      <c r="Y271" s="25" t="s">
        <v>5933</v>
      </c>
      <c r="Z271" s="103"/>
      <c r="AA271" s="3" t="str">
        <f>IF(C_Ope_002[[#This Row],[fecha]]&gt;0,TEXT(C_Ope_002[[#This Row],[fecha]],"mmmm"),0)</f>
        <v>Agosto</v>
      </c>
      <c r="AB271" s="49"/>
    </row>
    <row r="272" spans="1:28" ht="24" x14ac:dyDescent="0.3">
      <c r="A272" s="2">
        <f>IF(C_Ope_002[[#This Row],[tipo_r]]="R",COUNTIFS($C$1:$C271,"R")+1,"")</f>
        <v>271</v>
      </c>
      <c r="B272" s="19" t="str">
        <f t="shared" si="38"/>
        <v>C_Ope_002</v>
      </c>
      <c r="C272" s="3" t="s">
        <v>1330</v>
      </c>
      <c r="D272" s="14">
        <v>45887</v>
      </c>
      <c r="E272" s="5" t="s">
        <v>8125</v>
      </c>
      <c r="F272" s="5" t="s">
        <v>1336</v>
      </c>
      <c r="G272" s="6" t="s">
        <v>978</v>
      </c>
      <c r="H272" s="6" t="s">
        <v>68</v>
      </c>
      <c r="I272" s="6" t="s">
        <v>6203</v>
      </c>
      <c r="J272" s="6">
        <v>2148948</v>
      </c>
      <c r="K272" s="7" t="s">
        <v>8139</v>
      </c>
      <c r="L272" s="8">
        <v>25187</v>
      </c>
      <c r="M272" s="8" t="str">
        <f t="shared" si="39"/>
        <v>PEN</v>
      </c>
      <c r="N272" s="13"/>
      <c r="O272" s="13">
        <v>8</v>
      </c>
      <c r="P272" s="3">
        <f t="shared" si="40"/>
        <v>0</v>
      </c>
      <c r="Q272" s="3">
        <f t="shared" si="41"/>
        <v>8</v>
      </c>
      <c r="R272" s="3">
        <f t="shared" si="33"/>
        <v>16.000000000000043</v>
      </c>
      <c r="S272" s="24" t="s">
        <v>1334</v>
      </c>
      <c r="T272" s="24" t="s">
        <v>1334</v>
      </c>
      <c r="U272" s="3"/>
      <c r="V272" s="25" t="s">
        <v>7842</v>
      </c>
      <c r="W272" s="25">
        <v>20517252558</v>
      </c>
      <c r="X272" s="25" t="str">
        <f>IFERROR(VLOOKUP(C_Ope_002[[#This Row],[nota_2]],Clientes_Proveedores[[Ruc / Dni]:[Razon Social]],2,0),"")</f>
        <v>COVISUR S.A.</v>
      </c>
      <c r="Y272" s="25" t="s">
        <v>7888</v>
      </c>
      <c r="Z272" s="103"/>
      <c r="AA272" s="3" t="str">
        <f>IF(C_Ope_002[[#This Row],[fecha]]&gt;0,TEXT(C_Ope_002[[#This Row],[fecha]],"mmmm"),0)</f>
        <v>Agosto</v>
      </c>
      <c r="AB272" s="49"/>
    </row>
    <row r="273" spans="1:28" ht="24" x14ac:dyDescent="0.3">
      <c r="A273" s="2">
        <f>IF(C_Ope_002[[#This Row],[tipo_r]]="R",COUNTIFS($C$1:$C272,"R")+1,"")</f>
        <v>272</v>
      </c>
      <c r="B273" s="19" t="str">
        <f t="shared" si="38"/>
        <v>C_Ope_002</v>
      </c>
      <c r="C273" s="3" t="s">
        <v>1330</v>
      </c>
      <c r="D273" s="14">
        <v>45887</v>
      </c>
      <c r="E273" s="5" t="s">
        <v>8125</v>
      </c>
      <c r="F273" s="5" t="s">
        <v>1336</v>
      </c>
      <c r="G273" s="6" t="s">
        <v>999</v>
      </c>
      <c r="H273" s="6" t="s">
        <v>68</v>
      </c>
      <c r="I273" s="6" t="s">
        <v>1374</v>
      </c>
      <c r="J273" s="6">
        <v>19265</v>
      </c>
      <c r="K273" s="7" t="s">
        <v>8140</v>
      </c>
      <c r="L273" s="8">
        <v>25218</v>
      </c>
      <c r="M273" s="8" t="str">
        <f t="shared" si="39"/>
        <v>PEN</v>
      </c>
      <c r="N273" s="13"/>
      <c r="O273" s="13">
        <v>25</v>
      </c>
      <c r="P273" s="3">
        <f t="shared" si="40"/>
        <v>0</v>
      </c>
      <c r="Q273" s="3">
        <f t="shared" si="41"/>
        <v>25</v>
      </c>
      <c r="R273" s="3">
        <f t="shared" si="33"/>
        <v>-8.9999999999999574</v>
      </c>
      <c r="S273" s="24" t="s">
        <v>1334</v>
      </c>
      <c r="T273" s="24" t="s">
        <v>1334</v>
      </c>
      <c r="U273" s="3"/>
      <c r="V273" s="25" t="s">
        <v>7842</v>
      </c>
      <c r="W273" s="25">
        <v>10705628331</v>
      </c>
      <c r="X273" s="25" t="str">
        <f>IFERROR(VLOOKUP(C_Ope_002[[#This Row],[nota_2]],Clientes_Proveedores[[Ruc / Dni]:[Razon Social]],2,0),"")</f>
        <v>LARICO APAZA NANCY ROSSMARY</v>
      </c>
      <c r="Y273" s="25" t="s">
        <v>7938</v>
      </c>
      <c r="Z273" s="103"/>
      <c r="AA273" s="3" t="str">
        <f>IF(C_Ope_002[[#This Row],[fecha]]&gt;0,TEXT(C_Ope_002[[#This Row],[fecha]],"mmmm"),0)</f>
        <v>Agosto</v>
      </c>
      <c r="AB273" s="49"/>
    </row>
    <row r="274" spans="1:28" x14ac:dyDescent="0.3">
      <c r="A274" s="2">
        <f>IF(C_Ope_002[[#This Row],[tipo_r]]="R",COUNTIFS($C$1:$C273,"R")+1,"")</f>
        <v>273</v>
      </c>
      <c r="B274" s="19" t="str">
        <f>"C_Ope_002"</f>
        <v>C_Ope_002</v>
      </c>
      <c r="C274" s="3" t="s">
        <v>1330</v>
      </c>
      <c r="D274" s="14">
        <v>45890</v>
      </c>
      <c r="E274" s="5" t="s">
        <v>3634</v>
      </c>
      <c r="F274" s="5" t="s">
        <v>1303</v>
      </c>
      <c r="G274" s="6" t="s">
        <v>798</v>
      </c>
      <c r="H274" s="6"/>
      <c r="I274" s="6"/>
      <c r="J274" s="6"/>
      <c r="K274" s="7" t="s">
        <v>7516</v>
      </c>
      <c r="L274" s="8">
        <v>25263</v>
      </c>
      <c r="M274" s="8" t="str">
        <f>"PEN"</f>
        <v>PEN</v>
      </c>
      <c r="N274" s="13"/>
      <c r="O274" s="13">
        <v>150</v>
      </c>
      <c r="P274" s="3">
        <f>+IF(OR($F274="SALDO",$F274="INGRESO"),$O274,0)</f>
        <v>150</v>
      </c>
      <c r="Q274" s="3">
        <f>+IF($F274="EGRESO",$O274,0)</f>
        <v>0</v>
      </c>
      <c r="R274" s="3">
        <f t="shared" si="33"/>
        <v>141.00000000000006</v>
      </c>
      <c r="S274" s="24" t="s">
        <v>1334</v>
      </c>
      <c r="T274" s="24" t="s">
        <v>1334</v>
      </c>
      <c r="U274" s="3"/>
      <c r="V274" s="25"/>
      <c r="W274" s="25"/>
      <c r="X274" s="25" t="str">
        <f>IFERROR(VLOOKUP(C_Ope_002[[#This Row],[nota_2]],Clientes_Proveedores[[Ruc / Dni]:[Razon Social]],2,0),"")</f>
        <v/>
      </c>
      <c r="Y274" s="25"/>
      <c r="Z274" s="103"/>
      <c r="AA274" s="3" t="str">
        <f>IF(C_Ope_002[[#This Row],[fecha]]&gt;0,TEXT(C_Ope_002[[#This Row],[fecha]],"mmmm"),0)</f>
        <v>Agosto</v>
      </c>
      <c r="AB274" s="49"/>
    </row>
    <row r="275" spans="1:28" ht="24" x14ac:dyDescent="0.3">
      <c r="A275" s="2">
        <f>IF(C_Ope_002[[#This Row],[tipo_r]]="R",COUNTIFS($C$1:$C274,"R")+1,"")</f>
        <v>274</v>
      </c>
      <c r="B275" s="19" t="str">
        <f t="shared" si="38"/>
        <v>C_Ope_002</v>
      </c>
      <c r="C275" s="3" t="s">
        <v>1330</v>
      </c>
      <c r="D275" s="14">
        <v>45890</v>
      </c>
      <c r="E275" s="5" t="s">
        <v>8125</v>
      </c>
      <c r="F275" s="5" t="s">
        <v>1336</v>
      </c>
      <c r="G275" s="6" t="s">
        <v>978</v>
      </c>
      <c r="H275" s="6" t="s">
        <v>68</v>
      </c>
      <c r="I275" s="6" t="s">
        <v>6204</v>
      </c>
      <c r="J275" s="6">
        <v>1818145</v>
      </c>
      <c r="K275" s="7" t="s">
        <v>8141</v>
      </c>
      <c r="L275" s="8">
        <v>25230</v>
      </c>
      <c r="M275" s="8" t="str">
        <f t="shared" si="39"/>
        <v>PEN</v>
      </c>
      <c r="N275" s="13"/>
      <c r="O275" s="13">
        <v>8</v>
      </c>
      <c r="P275" s="3">
        <f t="shared" si="40"/>
        <v>0</v>
      </c>
      <c r="Q275" s="3">
        <f t="shared" si="41"/>
        <v>8</v>
      </c>
      <c r="R275" s="3">
        <f t="shared" si="33"/>
        <v>133.00000000000006</v>
      </c>
      <c r="S275" s="24" t="s">
        <v>1334</v>
      </c>
      <c r="T275" s="24" t="s">
        <v>1334</v>
      </c>
      <c r="U275" s="3"/>
      <c r="V275" s="25" t="s">
        <v>7842</v>
      </c>
      <c r="W275" s="25">
        <v>20517252558</v>
      </c>
      <c r="X275" s="25" t="str">
        <f>IFERROR(VLOOKUP(C_Ope_002[[#This Row],[nota_2]],Clientes_Proveedores[[Ruc / Dni]:[Razon Social]],2,0),"")</f>
        <v>COVISUR S.A.</v>
      </c>
      <c r="Y275" s="25" t="s">
        <v>7888</v>
      </c>
      <c r="Z275" s="103"/>
      <c r="AA275" s="3" t="str">
        <f>IF(C_Ope_002[[#This Row],[fecha]]&gt;0,TEXT(C_Ope_002[[#This Row],[fecha]],"mmmm"),0)</f>
        <v>Agosto</v>
      </c>
      <c r="AB275" s="49"/>
    </row>
    <row r="276" spans="1:28" ht="24" x14ac:dyDescent="0.3">
      <c r="A276" s="2">
        <f>IF(C_Ope_002[[#This Row],[tipo_r]]="R",COUNTIFS($C$1:$C275,"R")+1,"")</f>
        <v>275</v>
      </c>
      <c r="B276" s="19" t="str">
        <f t="shared" si="38"/>
        <v>C_Ope_002</v>
      </c>
      <c r="C276" s="3" t="s">
        <v>1330</v>
      </c>
      <c r="D276" s="14">
        <v>45890</v>
      </c>
      <c r="E276" s="5" t="s">
        <v>8125</v>
      </c>
      <c r="F276" s="5" t="s">
        <v>1336</v>
      </c>
      <c r="G276" s="6" t="s">
        <v>978</v>
      </c>
      <c r="H276" s="6" t="s">
        <v>68</v>
      </c>
      <c r="I276" s="6" t="s">
        <v>5845</v>
      </c>
      <c r="J276" s="6">
        <v>1839057</v>
      </c>
      <c r="K276" s="7" t="s">
        <v>8141</v>
      </c>
      <c r="L276" s="8">
        <v>25231</v>
      </c>
      <c r="M276" s="8" t="str">
        <f t="shared" si="39"/>
        <v>PEN</v>
      </c>
      <c r="N276" s="13"/>
      <c r="O276" s="13">
        <v>8</v>
      </c>
      <c r="P276" s="3">
        <f t="shared" si="40"/>
        <v>0</v>
      </c>
      <c r="Q276" s="3">
        <f t="shared" si="41"/>
        <v>8</v>
      </c>
      <c r="R276" s="3">
        <f t="shared" si="33"/>
        <v>125.00000000000006</v>
      </c>
      <c r="S276" s="24" t="s">
        <v>1334</v>
      </c>
      <c r="T276" s="24" t="s">
        <v>1334</v>
      </c>
      <c r="U276" s="3"/>
      <c r="V276" s="25" t="s">
        <v>7842</v>
      </c>
      <c r="W276" s="25">
        <v>20517252558</v>
      </c>
      <c r="X276" s="25" t="str">
        <f>IFERROR(VLOOKUP(C_Ope_002[[#This Row],[nota_2]],Clientes_Proveedores[[Ruc / Dni]:[Razon Social]],2,0),"")</f>
        <v>COVISUR S.A.</v>
      </c>
      <c r="Y276" s="25" t="s">
        <v>7888</v>
      </c>
      <c r="Z276" s="103"/>
      <c r="AA276" s="3" t="str">
        <f>IF(C_Ope_002[[#This Row],[fecha]]&gt;0,TEXT(C_Ope_002[[#This Row],[fecha]],"mmmm"),0)</f>
        <v>Agosto</v>
      </c>
      <c r="AB276" s="49"/>
    </row>
    <row r="277" spans="1:28" ht="24" x14ac:dyDescent="0.3">
      <c r="A277" s="2">
        <f>IF(C_Ope_002[[#This Row],[tipo_r]]="R",COUNTIFS($C$1:$C276,"R")+1,"")</f>
        <v>276</v>
      </c>
      <c r="B277" s="19" t="str">
        <f t="shared" si="38"/>
        <v>C_Ope_002</v>
      </c>
      <c r="C277" s="3" t="s">
        <v>1330</v>
      </c>
      <c r="D277" s="14">
        <v>45891</v>
      </c>
      <c r="E277" s="5" t="s">
        <v>8125</v>
      </c>
      <c r="F277" s="5" t="s">
        <v>1336</v>
      </c>
      <c r="G277" s="6" t="s">
        <v>978</v>
      </c>
      <c r="H277" s="6" t="s">
        <v>68</v>
      </c>
      <c r="I277" s="6" t="s">
        <v>5845</v>
      </c>
      <c r="J277" s="6">
        <v>1840102</v>
      </c>
      <c r="K277" s="7" t="s">
        <v>8141</v>
      </c>
      <c r="L277" s="8">
        <v>25254</v>
      </c>
      <c r="M277" s="8" t="str">
        <f t="shared" si="39"/>
        <v>PEN</v>
      </c>
      <c r="N277" s="13"/>
      <c r="O277" s="13">
        <v>8</v>
      </c>
      <c r="P277" s="3">
        <f t="shared" si="40"/>
        <v>0</v>
      </c>
      <c r="Q277" s="3">
        <f t="shared" si="41"/>
        <v>8</v>
      </c>
      <c r="R277" s="3">
        <f t="shared" si="33"/>
        <v>117.00000000000006</v>
      </c>
      <c r="S277" s="24" t="s">
        <v>1334</v>
      </c>
      <c r="T277" s="24" t="s">
        <v>1334</v>
      </c>
      <c r="U277" s="3"/>
      <c r="V277" s="25" t="s">
        <v>7842</v>
      </c>
      <c r="W277" s="25">
        <v>20517252558</v>
      </c>
      <c r="X277" s="25" t="str">
        <f>IFERROR(VLOOKUP(C_Ope_002[[#This Row],[nota_2]],Clientes_Proveedores[[Ruc / Dni]:[Razon Social]],2,0),"")</f>
        <v>COVISUR S.A.</v>
      </c>
      <c r="Y277" s="25" t="s">
        <v>7888</v>
      </c>
      <c r="Z277" s="103"/>
      <c r="AA277" s="3" t="str">
        <f>IF(C_Ope_002[[#This Row],[fecha]]&gt;0,TEXT(C_Ope_002[[#This Row],[fecha]],"mmmm"),0)</f>
        <v>Agosto</v>
      </c>
      <c r="AB277" s="49"/>
    </row>
    <row r="278" spans="1:28" ht="24" x14ac:dyDescent="0.3">
      <c r="A278" s="2">
        <f>IF(C_Ope_002[[#This Row],[tipo_r]]="R",COUNTIFS($C$1:$C277,"R")+1,"")</f>
        <v>277</v>
      </c>
      <c r="B278" s="19" t="str">
        <f t="shared" si="38"/>
        <v>C_Ope_002</v>
      </c>
      <c r="C278" s="3" t="s">
        <v>1330</v>
      </c>
      <c r="D278" s="14">
        <v>45894</v>
      </c>
      <c r="E278" s="5" t="s">
        <v>8125</v>
      </c>
      <c r="F278" s="5" t="s">
        <v>1336</v>
      </c>
      <c r="G278" s="6" t="s">
        <v>978</v>
      </c>
      <c r="H278" s="6" t="s">
        <v>68</v>
      </c>
      <c r="I278" s="6" t="s">
        <v>6203</v>
      </c>
      <c r="J278" s="6">
        <v>2156725</v>
      </c>
      <c r="K278" s="7" t="s">
        <v>8142</v>
      </c>
      <c r="L278" s="8">
        <v>25261</v>
      </c>
      <c r="M278" s="8" t="str">
        <f t="shared" si="39"/>
        <v>PEN</v>
      </c>
      <c r="N278" s="13"/>
      <c r="O278" s="13">
        <v>12</v>
      </c>
      <c r="P278" s="3">
        <f t="shared" si="40"/>
        <v>0</v>
      </c>
      <c r="Q278" s="3">
        <f t="shared" si="41"/>
        <v>12</v>
      </c>
      <c r="R278" s="3">
        <f t="shared" si="33"/>
        <v>105.00000000000006</v>
      </c>
      <c r="S278" s="24" t="s">
        <v>1334</v>
      </c>
      <c r="T278" s="24" t="s">
        <v>1334</v>
      </c>
      <c r="U278" s="3"/>
      <c r="V278" s="25" t="s">
        <v>8006</v>
      </c>
      <c r="W278" s="25">
        <v>20517252558</v>
      </c>
      <c r="X278" s="25" t="str">
        <f>IFERROR(VLOOKUP(C_Ope_002[[#This Row],[nota_2]],Clientes_Proveedores[[Ruc / Dni]:[Razon Social]],2,0),"")</f>
        <v>COVISUR S.A.</v>
      </c>
      <c r="Y278" s="25" t="s">
        <v>7888</v>
      </c>
      <c r="Z278" s="103"/>
      <c r="AA278" s="3" t="str">
        <f>IF(C_Ope_002[[#This Row],[fecha]]&gt;0,TEXT(C_Ope_002[[#This Row],[fecha]],"mmmm"),0)</f>
        <v>Agosto</v>
      </c>
      <c r="AB278" s="49"/>
    </row>
    <row r="279" spans="1:28" ht="24" x14ac:dyDescent="0.3">
      <c r="A279" s="2">
        <f>IF(C_Ope_002[[#This Row],[tipo_r]]="R",COUNTIFS($C$1:$C278,"R")+1,"")</f>
        <v>278</v>
      </c>
      <c r="B279" s="19" t="str">
        <f t="shared" si="38"/>
        <v>C_Ope_002</v>
      </c>
      <c r="C279" s="3" t="s">
        <v>1330</v>
      </c>
      <c r="D279" s="14">
        <v>45894</v>
      </c>
      <c r="E279" s="5" t="s">
        <v>8125</v>
      </c>
      <c r="F279" s="5" t="s">
        <v>1336</v>
      </c>
      <c r="G279" s="6" t="s">
        <v>978</v>
      </c>
      <c r="H279" s="6" t="s">
        <v>68</v>
      </c>
      <c r="I279" s="6" t="s">
        <v>5688</v>
      </c>
      <c r="J279" s="6">
        <v>2448025</v>
      </c>
      <c r="K279" s="7" t="s">
        <v>8142</v>
      </c>
      <c r="L279" s="8">
        <v>25262</v>
      </c>
      <c r="M279" s="8" t="str">
        <f t="shared" si="39"/>
        <v>PEN</v>
      </c>
      <c r="N279" s="13"/>
      <c r="O279" s="13">
        <v>12</v>
      </c>
      <c r="P279" s="3">
        <f t="shared" si="40"/>
        <v>0</v>
      </c>
      <c r="Q279" s="3">
        <f t="shared" si="41"/>
        <v>12</v>
      </c>
      <c r="R279" s="3">
        <f t="shared" si="33"/>
        <v>93.000000000000057</v>
      </c>
      <c r="S279" s="24" t="s">
        <v>1334</v>
      </c>
      <c r="T279" s="24" t="s">
        <v>1334</v>
      </c>
      <c r="U279" s="3"/>
      <c r="V279" s="25" t="s">
        <v>8006</v>
      </c>
      <c r="W279" s="25">
        <v>20517252558</v>
      </c>
      <c r="X279" s="25" t="str">
        <f>IFERROR(VLOOKUP(C_Ope_002[[#This Row],[nota_2]],Clientes_Proveedores[[Ruc / Dni]:[Razon Social]],2,0),"")</f>
        <v>COVISUR S.A.</v>
      </c>
      <c r="Y279" s="25" t="s">
        <v>7888</v>
      </c>
      <c r="Z279" s="103"/>
      <c r="AA279" s="3" t="str">
        <f>IF(C_Ope_002[[#This Row],[fecha]]&gt;0,TEXT(C_Ope_002[[#This Row],[fecha]],"mmmm"),0)</f>
        <v>Agosto</v>
      </c>
      <c r="AB279" s="49"/>
    </row>
    <row r="280" spans="1:28" ht="36" x14ac:dyDescent="0.3">
      <c r="A280" s="2">
        <f>IF(C_Ope_002[[#This Row],[tipo_r]]="R",COUNTIFS($C$1:$C279,"R")+1,"")</f>
        <v>279</v>
      </c>
      <c r="B280" s="19" t="str">
        <f t="shared" si="38"/>
        <v>C_Ope_002</v>
      </c>
      <c r="C280" s="3" t="s">
        <v>1330</v>
      </c>
      <c r="D280" s="14">
        <v>45896</v>
      </c>
      <c r="E280" s="5" t="s">
        <v>8125</v>
      </c>
      <c r="F280" s="5" t="s">
        <v>1336</v>
      </c>
      <c r="G280" s="6" t="s">
        <v>227</v>
      </c>
      <c r="H280" s="6" t="s">
        <v>68</v>
      </c>
      <c r="I280" s="6" t="s">
        <v>1390</v>
      </c>
      <c r="J280" s="6">
        <v>136101</v>
      </c>
      <c r="K280" s="7" t="s">
        <v>8143</v>
      </c>
      <c r="L280" s="8">
        <v>25286</v>
      </c>
      <c r="M280" s="8" t="str">
        <f t="shared" si="39"/>
        <v>PEN</v>
      </c>
      <c r="N280" s="13"/>
      <c r="O280" s="13">
        <v>10</v>
      </c>
      <c r="P280" s="3">
        <f t="shared" si="40"/>
        <v>0</v>
      </c>
      <c r="Q280" s="3">
        <f t="shared" si="41"/>
        <v>10</v>
      </c>
      <c r="R280" s="3">
        <f t="shared" si="33"/>
        <v>83.000000000000057</v>
      </c>
      <c r="S280" s="24" t="s">
        <v>1334</v>
      </c>
      <c r="T280" s="24"/>
      <c r="U280" s="3"/>
      <c r="V280" s="25" t="s">
        <v>8006</v>
      </c>
      <c r="W280" s="25">
        <v>20124952850</v>
      </c>
      <c r="X280" s="25" t="str">
        <f>IFERROR(VLOOKUP(C_Ope_002[[#This Row],[nota_2]],Clientes_Proveedores[[Ruc / Dni]:[Razon Social]],2,0),"")</f>
        <v>ALIMENTOS Y SERVICIOS AGROPECUARIOS SRL.</v>
      </c>
      <c r="Y280" s="25" t="s">
        <v>5933</v>
      </c>
      <c r="Z280" s="103"/>
      <c r="AA280" s="3" t="str">
        <f>IF(C_Ope_002[[#This Row],[fecha]]&gt;0,TEXT(C_Ope_002[[#This Row],[fecha]],"mmmm"),0)</f>
        <v>Agosto</v>
      </c>
      <c r="AB280" s="49"/>
    </row>
    <row r="281" spans="1:28" ht="36" x14ac:dyDescent="0.3">
      <c r="A281" s="2">
        <f>IF(C_Ope_002[[#This Row],[tipo_r]]="R",COUNTIFS($C$1:$C280,"R")+1,"")</f>
        <v>280</v>
      </c>
      <c r="B281" s="19" t="str">
        <f t="shared" si="38"/>
        <v>C_Ope_002</v>
      </c>
      <c r="C281" s="3" t="s">
        <v>1330</v>
      </c>
      <c r="D281" s="14">
        <v>45896</v>
      </c>
      <c r="E281" s="5" t="s">
        <v>8125</v>
      </c>
      <c r="F281" s="5" t="s">
        <v>1336</v>
      </c>
      <c r="G281" s="6" t="s">
        <v>227</v>
      </c>
      <c r="H281" s="6" t="s">
        <v>68</v>
      </c>
      <c r="I281" s="6" t="s">
        <v>1390</v>
      </c>
      <c r="J281" s="6">
        <v>136104</v>
      </c>
      <c r="K281" s="7" t="s">
        <v>8143</v>
      </c>
      <c r="L281" s="8">
        <v>25287</v>
      </c>
      <c r="M281" s="8" t="str">
        <f t="shared" si="39"/>
        <v>PEN</v>
      </c>
      <c r="N281" s="13"/>
      <c r="O281" s="13">
        <v>10</v>
      </c>
      <c r="P281" s="3">
        <f t="shared" si="40"/>
        <v>0</v>
      </c>
      <c r="Q281" s="3">
        <f t="shared" si="41"/>
        <v>10</v>
      </c>
      <c r="R281" s="3">
        <f t="shared" si="33"/>
        <v>73.000000000000057</v>
      </c>
      <c r="S281" s="24" t="s">
        <v>1334</v>
      </c>
      <c r="T281" s="24"/>
      <c r="U281" s="3"/>
      <c r="V281" s="25" t="s">
        <v>8006</v>
      </c>
      <c r="W281" s="25">
        <v>20124952850</v>
      </c>
      <c r="X281" s="25" t="str">
        <f>IFERROR(VLOOKUP(C_Ope_002[[#This Row],[nota_2]],Clientes_Proveedores[[Ruc / Dni]:[Razon Social]],2,0),"")</f>
        <v>ALIMENTOS Y SERVICIOS AGROPECUARIOS SRL.</v>
      </c>
      <c r="Y281" s="25" t="s">
        <v>5933</v>
      </c>
      <c r="Z281" s="103"/>
      <c r="AA281" s="3" t="str">
        <f>IF(C_Ope_002[[#This Row],[fecha]]&gt;0,TEXT(C_Ope_002[[#This Row],[fecha]],"mmmm"),0)</f>
        <v>Agosto</v>
      </c>
      <c r="AB281" s="49"/>
    </row>
    <row r="282" spans="1:28" ht="24" x14ac:dyDescent="0.3">
      <c r="A282" s="2">
        <f>IF(C_Ope_002[[#This Row],[tipo_r]]="R",COUNTIFS($C$1:$C281,"R")+1,"")</f>
        <v>281</v>
      </c>
      <c r="B282" s="19" t="str">
        <f t="shared" si="38"/>
        <v>C_Ope_002</v>
      </c>
      <c r="C282" s="3" t="s">
        <v>1330</v>
      </c>
      <c r="D282" s="14">
        <v>45898</v>
      </c>
      <c r="E282" s="5" t="s">
        <v>8125</v>
      </c>
      <c r="F282" s="5" t="s">
        <v>1336</v>
      </c>
      <c r="G282" s="6" t="s">
        <v>978</v>
      </c>
      <c r="H282" s="6" t="s">
        <v>68</v>
      </c>
      <c r="I282" s="6" t="s">
        <v>6204</v>
      </c>
      <c r="J282" s="6">
        <v>1825745</v>
      </c>
      <c r="K282" s="7" t="s">
        <v>8142</v>
      </c>
      <c r="L282" s="8">
        <v>25318</v>
      </c>
      <c r="M282" s="8" t="str">
        <f t="shared" si="39"/>
        <v>PEN</v>
      </c>
      <c r="N282" s="13"/>
      <c r="O282" s="13">
        <v>8</v>
      </c>
      <c r="P282" s="3">
        <f t="shared" si="40"/>
        <v>0</v>
      </c>
      <c r="Q282" s="3">
        <f t="shared" si="41"/>
        <v>8</v>
      </c>
      <c r="R282" s="3">
        <f t="shared" si="33"/>
        <v>65.000000000000057</v>
      </c>
      <c r="S282" s="24" t="s">
        <v>1334</v>
      </c>
      <c r="T282" s="24"/>
      <c r="U282" s="3"/>
      <c r="V282" s="25" t="s">
        <v>7756</v>
      </c>
      <c r="W282" s="25">
        <v>20517252558</v>
      </c>
      <c r="X282" s="25" t="str">
        <f>IFERROR(VLOOKUP(C_Ope_002[[#This Row],[nota_2]],Clientes_Proveedores[[Ruc / Dni]:[Razon Social]],2,0),"")</f>
        <v>COVISUR S.A.</v>
      </c>
      <c r="Y282" s="25" t="s">
        <v>7888</v>
      </c>
      <c r="Z282" s="103"/>
      <c r="AA282" s="3" t="str">
        <f>IF(C_Ope_002[[#This Row],[fecha]]&gt;0,TEXT(C_Ope_002[[#This Row],[fecha]],"mmmm"),0)</f>
        <v>Agosto</v>
      </c>
      <c r="AB282" s="49"/>
    </row>
    <row r="283" spans="1:28" ht="36" x14ac:dyDescent="0.3">
      <c r="A283" s="2">
        <f>IF(C_Ope_002[[#This Row],[tipo_r]]="R",COUNTIFS($C$1:$C282,"R")+1,"")</f>
        <v>282</v>
      </c>
      <c r="B283" s="19" t="str">
        <f t="shared" si="38"/>
        <v>C_Ope_002</v>
      </c>
      <c r="C283" s="3" t="s">
        <v>1330</v>
      </c>
      <c r="D283" s="14">
        <v>45898</v>
      </c>
      <c r="E283" s="5" t="s">
        <v>8125</v>
      </c>
      <c r="F283" s="5" t="s">
        <v>1336</v>
      </c>
      <c r="G283" s="6" t="s">
        <v>227</v>
      </c>
      <c r="H283" s="6" t="s">
        <v>68</v>
      </c>
      <c r="I283" s="6" t="s">
        <v>1390</v>
      </c>
      <c r="J283" s="6">
        <v>136190</v>
      </c>
      <c r="K283" s="7" t="s">
        <v>8144</v>
      </c>
      <c r="L283" s="8">
        <v>25320</v>
      </c>
      <c r="M283" s="8" t="str">
        <f t="shared" si="39"/>
        <v>PEN</v>
      </c>
      <c r="N283" s="13"/>
      <c r="O283" s="13">
        <v>10</v>
      </c>
      <c r="P283" s="3">
        <f t="shared" si="40"/>
        <v>0</v>
      </c>
      <c r="Q283" s="3">
        <f t="shared" si="41"/>
        <v>10</v>
      </c>
      <c r="R283" s="3">
        <f t="shared" si="33"/>
        <v>55.000000000000057</v>
      </c>
      <c r="S283" s="24" t="s">
        <v>1334</v>
      </c>
      <c r="T283" s="24"/>
      <c r="U283" s="3"/>
      <c r="V283" s="25" t="s">
        <v>7756</v>
      </c>
      <c r="W283" s="25">
        <v>20124952850</v>
      </c>
      <c r="X283" s="25" t="str">
        <f>IFERROR(VLOOKUP(C_Ope_002[[#This Row],[nota_2]],Clientes_Proveedores[[Ruc / Dni]:[Razon Social]],2,0),"")</f>
        <v>ALIMENTOS Y SERVICIOS AGROPECUARIOS SRL.</v>
      </c>
      <c r="Y283" s="25" t="s">
        <v>5933</v>
      </c>
      <c r="Z283" s="103"/>
      <c r="AA283" s="3" t="str">
        <f>IF(C_Ope_002[[#This Row],[fecha]]&gt;0,TEXT(C_Ope_002[[#This Row],[fecha]],"mmmm"),0)</f>
        <v>Agosto</v>
      </c>
      <c r="AB283" s="49"/>
    </row>
    <row r="284" spans="1:28" x14ac:dyDescent="0.3">
      <c r="A284" s="2">
        <f>IF(C_Ope_002[[#This Row],[tipo_r]]="R",COUNTIFS($C$1:$C283,"R")+1,"")</f>
        <v>283</v>
      </c>
      <c r="B284" s="19" t="str">
        <f>"C_Ope_002"</f>
        <v>C_Ope_002</v>
      </c>
      <c r="C284" s="3" t="s">
        <v>1330</v>
      </c>
      <c r="D284" s="14">
        <v>45901</v>
      </c>
      <c r="E284" s="5" t="s">
        <v>3634</v>
      </c>
      <c r="F284" s="5" t="s">
        <v>1303</v>
      </c>
      <c r="G284" s="6" t="s">
        <v>798</v>
      </c>
      <c r="H284" s="6"/>
      <c r="I284" s="6"/>
      <c r="J284" s="6"/>
      <c r="K284" s="7" t="s">
        <v>7516</v>
      </c>
      <c r="L284" s="8">
        <v>25329</v>
      </c>
      <c r="M284" s="8" t="str">
        <f>"PEN"</f>
        <v>PEN</v>
      </c>
      <c r="N284" s="13"/>
      <c r="O284" s="13">
        <v>120</v>
      </c>
      <c r="P284" s="3">
        <f>+IF(OR($F284="SALDO",$F284="INGRESO"),$O284,0)</f>
        <v>120</v>
      </c>
      <c r="Q284" s="3">
        <f>+IF($F284="EGRESO",$O284,0)</f>
        <v>0</v>
      </c>
      <c r="R284" s="3">
        <f t="shared" si="33"/>
        <v>175.00000000000006</v>
      </c>
      <c r="S284" s="24" t="s">
        <v>1334</v>
      </c>
      <c r="T284" s="24" t="s">
        <v>1334</v>
      </c>
      <c r="U284" s="3"/>
      <c r="V284" s="25"/>
      <c r="W284" s="25"/>
      <c r="X284" s="25" t="str">
        <f>IFERROR(VLOOKUP(C_Ope_002[[#This Row],[nota_2]],Clientes_Proveedores[[Ruc / Dni]:[Razon Social]],2,0),"")</f>
        <v/>
      </c>
      <c r="Y284" s="25"/>
      <c r="Z284" s="103"/>
      <c r="AA284" s="3" t="str">
        <f>IF(C_Ope_002[[#This Row],[fecha]]&gt;0,TEXT(C_Ope_002[[#This Row],[fecha]],"mmmm"),0)</f>
        <v>Setiembre</v>
      </c>
      <c r="AB284" s="49"/>
    </row>
    <row r="285" spans="1:28" ht="24" x14ac:dyDescent="0.3">
      <c r="A285" s="2">
        <f>IF(C_Ope_002[[#This Row],[tipo_r]]="R",COUNTIFS($C$1:$C284,"R")+1,"")</f>
        <v>284</v>
      </c>
      <c r="B285" s="19" t="str">
        <f t="shared" ref="B285:B306" si="42">"C_Ope_002"</f>
        <v>C_Ope_002</v>
      </c>
      <c r="C285" s="3" t="s">
        <v>1330</v>
      </c>
      <c r="D285" s="14">
        <v>45901</v>
      </c>
      <c r="E285" s="5" t="s">
        <v>8125</v>
      </c>
      <c r="F285" s="5" t="s">
        <v>1336</v>
      </c>
      <c r="G285" s="6" t="s">
        <v>978</v>
      </c>
      <c r="H285" s="6" t="s">
        <v>68</v>
      </c>
      <c r="I285" s="6" t="s">
        <v>6379</v>
      </c>
      <c r="J285" s="6">
        <v>501363</v>
      </c>
      <c r="K285" s="7" t="s">
        <v>8142</v>
      </c>
      <c r="L285" s="8">
        <v>25327</v>
      </c>
      <c r="M285" s="8" t="str">
        <f t="shared" ref="M285:M306" si="43">"PEN"</f>
        <v>PEN</v>
      </c>
      <c r="N285" s="13"/>
      <c r="O285" s="13">
        <v>8</v>
      </c>
      <c r="P285" s="3">
        <f t="shared" ref="P285:P306" si="44">+IF(OR($F285="SALDO",$F285="INGRESO"),$O285,0)</f>
        <v>0</v>
      </c>
      <c r="Q285" s="3">
        <f t="shared" ref="Q285:Q306" si="45">+IF($F285="EGRESO",$O285,0)</f>
        <v>8</v>
      </c>
      <c r="R285" s="3">
        <f t="shared" si="33"/>
        <v>167.00000000000006</v>
      </c>
      <c r="S285" s="24" t="s">
        <v>1334</v>
      </c>
      <c r="T285" s="24"/>
      <c r="U285" s="3"/>
      <c r="V285" s="25" t="s">
        <v>7756</v>
      </c>
      <c r="W285" s="25">
        <v>20517252558</v>
      </c>
      <c r="X285" s="25" t="str">
        <f>IFERROR(VLOOKUP(C_Ope_002[[#This Row],[nota_2]],Clientes_Proveedores[[Ruc / Dni]:[Razon Social]],2,0),"")</f>
        <v>COVISUR S.A.</v>
      </c>
      <c r="Y285" s="25" t="s">
        <v>7888</v>
      </c>
      <c r="Z285" s="103"/>
      <c r="AA285" s="3" t="str">
        <f>IF(C_Ope_002[[#This Row],[fecha]]&gt;0,TEXT(C_Ope_002[[#This Row],[fecha]],"mmmm"),0)</f>
        <v>Setiembre</v>
      </c>
      <c r="AB285" s="49"/>
    </row>
    <row r="286" spans="1:28" ht="24" x14ac:dyDescent="0.3">
      <c r="A286" s="2">
        <f>IF(C_Ope_002[[#This Row],[tipo_r]]="R",COUNTIFS($C$1:$C285,"R")+1,"")</f>
        <v>285</v>
      </c>
      <c r="B286" s="19" t="str">
        <f t="shared" si="42"/>
        <v>C_Ope_002</v>
      </c>
      <c r="C286" s="3" t="s">
        <v>1330</v>
      </c>
      <c r="D286" s="14">
        <v>45901</v>
      </c>
      <c r="E286" s="5" t="s">
        <v>8125</v>
      </c>
      <c r="F286" s="5" t="s">
        <v>1336</v>
      </c>
      <c r="G286" s="6" t="s">
        <v>978</v>
      </c>
      <c r="H286" s="6" t="s">
        <v>68</v>
      </c>
      <c r="I286" s="6" t="s">
        <v>6204</v>
      </c>
      <c r="J286" s="6">
        <v>1828122</v>
      </c>
      <c r="K286" s="7" t="s">
        <v>8145</v>
      </c>
      <c r="L286" s="8">
        <v>25328</v>
      </c>
      <c r="M286" s="8" t="str">
        <f t="shared" si="43"/>
        <v>PEN</v>
      </c>
      <c r="N286" s="13"/>
      <c r="O286" s="13">
        <v>8</v>
      </c>
      <c r="P286" s="3">
        <f t="shared" si="44"/>
        <v>0</v>
      </c>
      <c r="Q286" s="3">
        <f t="shared" si="45"/>
        <v>8</v>
      </c>
      <c r="R286" s="3">
        <f t="shared" si="33"/>
        <v>159.00000000000006</v>
      </c>
      <c r="S286" s="24" t="s">
        <v>1334</v>
      </c>
      <c r="T286" s="24"/>
      <c r="U286" s="3"/>
      <c r="V286" s="25" t="s">
        <v>7756</v>
      </c>
      <c r="W286" s="25">
        <v>20517252558</v>
      </c>
      <c r="X286" s="25" t="str">
        <f>IFERROR(VLOOKUP(C_Ope_002[[#This Row],[nota_2]],Clientes_Proveedores[[Ruc / Dni]:[Razon Social]],2,0),"")</f>
        <v>COVISUR S.A.</v>
      </c>
      <c r="Y286" s="25" t="s">
        <v>7888</v>
      </c>
      <c r="Z286" s="103"/>
      <c r="AA286" s="3" t="str">
        <f>IF(C_Ope_002[[#This Row],[fecha]]&gt;0,TEXT(C_Ope_002[[#This Row],[fecha]],"mmmm"),0)</f>
        <v>Setiembre</v>
      </c>
      <c r="AB286" s="49"/>
    </row>
    <row r="287" spans="1:28" ht="24" x14ac:dyDescent="0.3">
      <c r="A287" s="2">
        <f>IF(C_Ope_002[[#This Row],[tipo_r]]="R",COUNTIFS($C$1:$C286,"R")+1,"")</f>
        <v>286</v>
      </c>
      <c r="B287" s="19" t="str">
        <f t="shared" si="42"/>
        <v>C_Ope_002</v>
      </c>
      <c r="C287" s="3" t="s">
        <v>1330</v>
      </c>
      <c r="D287" s="14">
        <v>45901</v>
      </c>
      <c r="E287" s="5" t="s">
        <v>8125</v>
      </c>
      <c r="F287" s="5" t="s">
        <v>1336</v>
      </c>
      <c r="G287" s="6" t="s">
        <v>978</v>
      </c>
      <c r="H287" s="6" t="s">
        <v>68</v>
      </c>
      <c r="I287" s="6" t="s">
        <v>6203</v>
      </c>
      <c r="J287" s="6">
        <v>2164521</v>
      </c>
      <c r="K287" s="7" t="s">
        <v>8146</v>
      </c>
      <c r="L287" s="8">
        <v>25343</v>
      </c>
      <c r="M287" s="8" t="str">
        <f t="shared" si="43"/>
        <v>PEN</v>
      </c>
      <c r="N287" s="13"/>
      <c r="O287" s="13">
        <v>8</v>
      </c>
      <c r="P287" s="3">
        <f t="shared" si="44"/>
        <v>0</v>
      </c>
      <c r="Q287" s="3">
        <f t="shared" si="45"/>
        <v>8</v>
      </c>
      <c r="R287" s="3">
        <f t="shared" si="33"/>
        <v>151.00000000000006</v>
      </c>
      <c r="S287" s="24" t="s">
        <v>1334</v>
      </c>
      <c r="T287" s="24"/>
      <c r="U287" s="3"/>
      <c r="V287" s="25" t="s">
        <v>7756</v>
      </c>
      <c r="W287" s="25">
        <v>20517252558</v>
      </c>
      <c r="X287" s="25" t="str">
        <f>IFERROR(VLOOKUP(C_Ope_002[[#This Row],[nota_2]],Clientes_Proveedores[[Ruc / Dni]:[Razon Social]],2,0),"")</f>
        <v>COVISUR S.A.</v>
      </c>
      <c r="Y287" s="25" t="s">
        <v>7888</v>
      </c>
      <c r="Z287" s="103"/>
      <c r="AA287" s="3" t="str">
        <f>IF(C_Ope_002[[#This Row],[fecha]]&gt;0,TEXT(C_Ope_002[[#This Row],[fecha]],"mmmm"),0)</f>
        <v>Setiembre</v>
      </c>
      <c r="AB287" s="49"/>
    </row>
    <row r="288" spans="1:28" ht="24" x14ac:dyDescent="0.3">
      <c r="A288" s="2">
        <f>IF(C_Ope_002[[#This Row],[tipo_r]]="R",COUNTIFS($C$1:$C287,"R")+1,"")</f>
        <v>287</v>
      </c>
      <c r="B288" s="19" t="str">
        <f t="shared" si="42"/>
        <v>C_Ope_002</v>
      </c>
      <c r="C288" s="3" t="s">
        <v>1330</v>
      </c>
      <c r="D288" s="14">
        <v>45901</v>
      </c>
      <c r="E288" s="5" t="s">
        <v>8125</v>
      </c>
      <c r="F288" s="5" t="s">
        <v>1336</v>
      </c>
      <c r="G288" s="6" t="s">
        <v>978</v>
      </c>
      <c r="H288" s="6" t="s">
        <v>68</v>
      </c>
      <c r="I288" s="6" t="s">
        <v>6244</v>
      </c>
      <c r="J288" s="6">
        <v>1119150</v>
      </c>
      <c r="K288" s="7" t="s">
        <v>8146</v>
      </c>
      <c r="L288" s="8">
        <v>25344</v>
      </c>
      <c r="M288" s="8" t="str">
        <f t="shared" si="43"/>
        <v>PEN</v>
      </c>
      <c r="N288" s="13"/>
      <c r="O288" s="13">
        <v>8</v>
      </c>
      <c r="P288" s="3">
        <f t="shared" si="44"/>
        <v>0</v>
      </c>
      <c r="Q288" s="3">
        <f t="shared" si="45"/>
        <v>8</v>
      </c>
      <c r="R288" s="3">
        <f t="shared" si="33"/>
        <v>143.00000000000006</v>
      </c>
      <c r="S288" s="24" t="s">
        <v>1334</v>
      </c>
      <c r="T288" s="24"/>
      <c r="U288" s="3"/>
      <c r="V288" s="25" t="s">
        <v>7756</v>
      </c>
      <c r="W288" s="25">
        <v>20517252558</v>
      </c>
      <c r="X288" s="25" t="str">
        <f>IFERROR(VLOOKUP(C_Ope_002[[#This Row],[nota_2]],Clientes_Proveedores[[Ruc / Dni]:[Razon Social]],2,0),"")</f>
        <v>COVISUR S.A.</v>
      </c>
      <c r="Y288" s="25" t="s">
        <v>7888</v>
      </c>
      <c r="Z288" s="103"/>
      <c r="AA288" s="3" t="str">
        <f>IF(C_Ope_002[[#This Row],[fecha]]&gt;0,TEXT(C_Ope_002[[#This Row],[fecha]],"mmmm"),0)</f>
        <v>Setiembre</v>
      </c>
      <c r="AB288" s="49"/>
    </row>
    <row r="289" spans="1:28" ht="36" x14ac:dyDescent="0.3">
      <c r="A289" s="2">
        <f>IF(C_Ope_002[[#This Row],[tipo_r]]="R",COUNTIFS($C$1:$C288,"R")+1,"")</f>
        <v>288</v>
      </c>
      <c r="B289" s="19" t="str">
        <f t="shared" si="42"/>
        <v>C_Ope_002</v>
      </c>
      <c r="C289" s="3" t="s">
        <v>1330</v>
      </c>
      <c r="D289" s="14">
        <v>45901</v>
      </c>
      <c r="E289" s="5" t="s">
        <v>8125</v>
      </c>
      <c r="F289" s="5" t="s">
        <v>1336</v>
      </c>
      <c r="G289" s="6" t="s">
        <v>227</v>
      </c>
      <c r="H289" s="6" t="s">
        <v>68</v>
      </c>
      <c r="I289" s="6" t="s">
        <v>1390</v>
      </c>
      <c r="J289" s="6">
        <v>136299</v>
      </c>
      <c r="K289" s="7" t="s">
        <v>8144</v>
      </c>
      <c r="L289" s="8">
        <v>25326</v>
      </c>
      <c r="M289" s="8" t="str">
        <f t="shared" si="43"/>
        <v>PEN</v>
      </c>
      <c r="N289" s="13"/>
      <c r="O289" s="13">
        <v>10</v>
      </c>
      <c r="P289" s="3">
        <f t="shared" si="44"/>
        <v>0</v>
      </c>
      <c r="Q289" s="3">
        <f t="shared" si="45"/>
        <v>10</v>
      </c>
      <c r="R289" s="3">
        <f t="shared" si="33"/>
        <v>133.00000000000006</v>
      </c>
      <c r="S289" s="24" t="s">
        <v>1334</v>
      </c>
      <c r="T289" s="24"/>
      <c r="U289" s="3"/>
      <c r="V289" s="25" t="s">
        <v>7756</v>
      </c>
      <c r="W289" s="25">
        <v>20124952850</v>
      </c>
      <c r="X289" s="25" t="str">
        <f>IFERROR(VLOOKUP(C_Ope_002[[#This Row],[nota_2]],Clientes_Proveedores[[Ruc / Dni]:[Razon Social]],2,0),"")</f>
        <v>ALIMENTOS Y SERVICIOS AGROPECUARIOS SRL.</v>
      </c>
      <c r="Y289" s="25" t="s">
        <v>5933</v>
      </c>
      <c r="Z289" s="103"/>
      <c r="AA289" s="3" t="str">
        <f>IF(C_Ope_002[[#This Row],[fecha]]&gt;0,TEXT(C_Ope_002[[#This Row],[fecha]],"mmmm"),0)</f>
        <v>Setiembre</v>
      </c>
      <c r="AB289" s="49"/>
    </row>
    <row r="290" spans="1:28" ht="36" x14ac:dyDescent="0.3">
      <c r="A290" s="2">
        <f>IF(C_Ope_002[[#This Row],[tipo_r]]="R",COUNTIFS($C$1:$C289,"R")+1,"")</f>
        <v>289</v>
      </c>
      <c r="B290" s="19" t="str">
        <f t="shared" si="42"/>
        <v>C_Ope_002</v>
      </c>
      <c r="C290" s="3" t="s">
        <v>1330</v>
      </c>
      <c r="D290" s="14">
        <v>45901</v>
      </c>
      <c r="E290" s="5" t="s">
        <v>8125</v>
      </c>
      <c r="F290" s="5" t="s">
        <v>1336</v>
      </c>
      <c r="G290" s="6" t="s">
        <v>1029</v>
      </c>
      <c r="H290" s="6" t="s">
        <v>68</v>
      </c>
      <c r="I290" s="6" t="s">
        <v>1374</v>
      </c>
      <c r="J290" s="6">
        <v>18298</v>
      </c>
      <c r="K290" s="7" t="s">
        <v>8147</v>
      </c>
      <c r="L290" s="8">
        <v>25330</v>
      </c>
      <c r="M290" s="8" t="str">
        <f t="shared" si="43"/>
        <v>PEN</v>
      </c>
      <c r="N290" s="13"/>
      <c r="O290" s="13">
        <v>22</v>
      </c>
      <c r="P290" s="3">
        <f t="shared" si="44"/>
        <v>0</v>
      </c>
      <c r="Q290" s="3">
        <f t="shared" si="45"/>
        <v>22</v>
      </c>
      <c r="R290" s="3">
        <f t="shared" si="33"/>
        <v>111.00000000000006</v>
      </c>
      <c r="S290" s="24" t="s">
        <v>1334</v>
      </c>
      <c r="T290" s="24"/>
      <c r="U290" s="3"/>
      <c r="V290" s="25" t="s">
        <v>7756</v>
      </c>
      <c r="W290" s="25">
        <v>20454058187</v>
      </c>
      <c r="X290" s="25" t="str">
        <f>IFERROR(VLOOKUP(C_Ope_002[[#This Row],[nota_2]],Clientes_Proveedores[[Ruc / Dni]:[Razon Social]],2,0),"")</f>
        <v>ZONA ESPECIAL DE DESARROLLO ZED MATARANI</v>
      </c>
      <c r="Y290" s="25" t="s">
        <v>5933</v>
      </c>
      <c r="Z290" s="103"/>
      <c r="AA290" s="3" t="str">
        <f>IF(C_Ope_002[[#This Row],[fecha]]&gt;0,TEXT(C_Ope_002[[#This Row],[fecha]],"mmmm"),0)</f>
        <v>Setiembre</v>
      </c>
      <c r="AB290" s="49"/>
    </row>
    <row r="291" spans="1:28" x14ac:dyDescent="0.3">
      <c r="A291" s="2">
        <f>IF(C_Ope_002[[#This Row],[tipo_r]]="R",COUNTIFS($C$1:$C290,"R")+1,"")</f>
        <v>290</v>
      </c>
      <c r="B291" s="19" t="str">
        <f t="shared" si="42"/>
        <v>C_Ope_002</v>
      </c>
      <c r="C291" s="3" t="s">
        <v>1330</v>
      </c>
      <c r="D291" s="14">
        <v>45902</v>
      </c>
      <c r="E291" s="5" t="s">
        <v>8125</v>
      </c>
      <c r="F291" s="5" t="s">
        <v>1336</v>
      </c>
      <c r="G291" s="6" t="s">
        <v>978</v>
      </c>
      <c r="H291" s="6" t="s">
        <v>68</v>
      </c>
      <c r="I291" s="6" t="s">
        <v>6204</v>
      </c>
      <c r="J291" s="6">
        <v>1829206</v>
      </c>
      <c r="K291" s="7" t="s">
        <v>8148</v>
      </c>
      <c r="L291" s="8">
        <v>25360</v>
      </c>
      <c r="M291" s="8" t="str">
        <f t="shared" si="43"/>
        <v>PEN</v>
      </c>
      <c r="N291" s="13"/>
      <c r="O291" s="13">
        <v>8</v>
      </c>
      <c r="P291" s="3">
        <f t="shared" si="44"/>
        <v>0</v>
      </c>
      <c r="Q291" s="3">
        <f t="shared" si="45"/>
        <v>8</v>
      </c>
      <c r="R291" s="3">
        <f t="shared" si="33"/>
        <v>103.00000000000006</v>
      </c>
      <c r="S291" s="24" t="s">
        <v>1334</v>
      </c>
      <c r="T291" s="24"/>
      <c r="U291" s="3"/>
      <c r="V291" s="25" t="s">
        <v>7756</v>
      </c>
      <c r="W291" s="25">
        <v>20517252558</v>
      </c>
      <c r="X291" s="25" t="str">
        <f>IFERROR(VLOOKUP(C_Ope_002[[#This Row],[nota_2]],Clientes_Proveedores[[Ruc / Dni]:[Razon Social]],2,0),"")</f>
        <v>COVISUR S.A.</v>
      </c>
      <c r="Y291" s="25" t="s">
        <v>7888</v>
      </c>
      <c r="Z291" s="103"/>
      <c r="AA291" s="3" t="str">
        <f>IF(C_Ope_002[[#This Row],[fecha]]&gt;0,TEXT(C_Ope_002[[#This Row],[fecha]],"mmmm"),0)</f>
        <v>Setiembre</v>
      </c>
      <c r="AB291" s="49"/>
    </row>
    <row r="292" spans="1:28" x14ac:dyDescent="0.3">
      <c r="A292" s="2">
        <f>IF(C_Ope_002[[#This Row],[tipo_r]]="R",COUNTIFS($C$1:$C291,"R")+1,"")</f>
        <v>291</v>
      </c>
      <c r="B292" s="19" t="str">
        <f t="shared" si="42"/>
        <v>C_Ope_002</v>
      </c>
      <c r="C292" s="3" t="s">
        <v>1330</v>
      </c>
      <c r="D292" s="14">
        <v>45902</v>
      </c>
      <c r="E292" s="5" t="s">
        <v>8125</v>
      </c>
      <c r="F292" s="5" t="s">
        <v>1336</v>
      </c>
      <c r="G292" s="6" t="s">
        <v>978</v>
      </c>
      <c r="H292" s="6" t="s">
        <v>68</v>
      </c>
      <c r="I292" s="6" t="s">
        <v>5845</v>
      </c>
      <c r="J292" s="6">
        <v>1850576</v>
      </c>
      <c r="K292" s="7" t="s">
        <v>8148</v>
      </c>
      <c r="L292" s="8">
        <v>25363</v>
      </c>
      <c r="M292" s="8" t="str">
        <f t="shared" si="43"/>
        <v>PEN</v>
      </c>
      <c r="N292" s="13"/>
      <c r="O292" s="13">
        <v>8</v>
      </c>
      <c r="P292" s="3">
        <f t="shared" si="44"/>
        <v>0</v>
      </c>
      <c r="Q292" s="3">
        <f t="shared" si="45"/>
        <v>8</v>
      </c>
      <c r="R292" s="3">
        <f t="shared" si="33"/>
        <v>95.000000000000057</v>
      </c>
      <c r="S292" s="24" t="s">
        <v>1334</v>
      </c>
      <c r="T292" s="24"/>
      <c r="U292" s="3"/>
      <c r="V292" s="25" t="s">
        <v>7756</v>
      </c>
      <c r="W292" s="25">
        <v>20517252558</v>
      </c>
      <c r="X292" s="25" t="str">
        <f>IFERROR(VLOOKUP(C_Ope_002[[#This Row],[nota_2]],Clientes_Proveedores[[Ruc / Dni]:[Razon Social]],2,0),"")</f>
        <v>COVISUR S.A.</v>
      </c>
      <c r="Y292" s="25" t="s">
        <v>7888</v>
      </c>
      <c r="Z292" s="103"/>
      <c r="AA292" s="3" t="str">
        <f>IF(C_Ope_002[[#This Row],[fecha]]&gt;0,TEXT(C_Ope_002[[#This Row],[fecha]],"mmmm"),0)</f>
        <v>Setiembre</v>
      </c>
      <c r="AB292" s="49"/>
    </row>
    <row r="293" spans="1:28" ht="36" x14ac:dyDescent="0.3">
      <c r="A293" s="2">
        <f>IF(C_Ope_002[[#This Row],[tipo_r]]="R",COUNTIFS($C$1:$C292,"R")+1,"")</f>
        <v>292</v>
      </c>
      <c r="B293" s="19" t="str">
        <f t="shared" si="42"/>
        <v>C_Ope_002</v>
      </c>
      <c r="C293" s="3" t="s">
        <v>1330</v>
      </c>
      <c r="D293" s="14">
        <v>45902</v>
      </c>
      <c r="E293" s="5" t="s">
        <v>8125</v>
      </c>
      <c r="F293" s="5" t="s">
        <v>1336</v>
      </c>
      <c r="G293" s="6" t="s">
        <v>682</v>
      </c>
      <c r="H293" s="6" t="s">
        <v>68</v>
      </c>
      <c r="I293" s="6" t="s">
        <v>1353</v>
      </c>
      <c r="J293" s="6">
        <v>17572</v>
      </c>
      <c r="K293" s="7" t="s">
        <v>8149</v>
      </c>
      <c r="L293" s="8">
        <v>25364</v>
      </c>
      <c r="M293" s="8" t="str">
        <f t="shared" si="43"/>
        <v>PEN</v>
      </c>
      <c r="N293" s="13"/>
      <c r="O293" s="13">
        <v>20</v>
      </c>
      <c r="P293" s="3">
        <f t="shared" si="44"/>
        <v>0</v>
      </c>
      <c r="Q293" s="3">
        <f t="shared" si="45"/>
        <v>20</v>
      </c>
      <c r="R293" s="3">
        <f t="shared" si="33"/>
        <v>75.000000000000057</v>
      </c>
      <c r="S293" s="24" t="s">
        <v>1334</v>
      </c>
      <c r="T293" s="24"/>
      <c r="U293" s="3"/>
      <c r="V293" s="25" t="s">
        <v>7756</v>
      </c>
      <c r="W293" s="25">
        <v>20259858934</v>
      </c>
      <c r="X293" s="25" t="str">
        <f>IFERROR(VLOOKUP(C_Ope_002[[#This Row],[nota_2]],Clientes_Proveedores[[Ruc / Dni]:[Razon Social]],2,0),"")</f>
        <v>COMERCIALIZACION Y SERVICIOS EL EDEN S.A.C.</v>
      </c>
      <c r="Y293" s="25" t="s">
        <v>5933</v>
      </c>
      <c r="Z293" s="103"/>
      <c r="AA293" s="3" t="str">
        <f>IF(C_Ope_002[[#This Row],[fecha]]&gt;0,TEXT(C_Ope_002[[#This Row],[fecha]],"mmmm"),0)</f>
        <v>Setiembre</v>
      </c>
      <c r="AB293" s="49"/>
    </row>
    <row r="294" spans="1:28" x14ac:dyDescent="0.3">
      <c r="A294" s="2">
        <f>IF(C_Ope_002[[#This Row],[tipo_r]]="R",COUNTIFS($C$1:$C293,"R")+1,"")</f>
        <v>293</v>
      </c>
      <c r="B294" s="19" t="str">
        <f t="shared" si="42"/>
        <v>C_Ope_002</v>
      </c>
      <c r="C294" s="3" t="s">
        <v>1330</v>
      </c>
      <c r="D294" s="14">
        <v>45903</v>
      </c>
      <c r="E294" s="5" t="s">
        <v>8125</v>
      </c>
      <c r="F294" s="5" t="s">
        <v>1336</v>
      </c>
      <c r="G294" s="6" t="s">
        <v>978</v>
      </c>
      <c r="H294" s="6" t="s">
        <v>68</v>
      </c>
      <c r="I294" s="6" t="s">
        <v>6204</v>
      </c>
      <c r="J294" s="6">
        <v>1830275</v>
      </c>
      <c r="K294" s="7" t="s">
        <v>8150</v>
      </c>
      <c r="L294" s="8">
        <v>25366</v>
      </c>
      <c r="M294" s="8" t="str">
        <f t="shared" si="43"/>
        <v>PEN</v>
      </c>
      <c r="N294" s="13"/>
      <c r="O294" s="13">
        <v>8</v>
      </c>
      <c r="P294" s="3">
        <f t="shared" si="44"/>
        <v>0</v>
      </c>
      <c r="Q294" s="3">
        <f t="shared" si="45"/>
        <v>8</v>
      </c>
      <c r="R294" s="3">
        <f t="shared" si="33"/>
        <v>67.000000000000057</v>
      </c>
      <c r="S294" s="24" t="s">
        <v>1334</v>
      </c>
      <c r="T294" s="24"/>
      <c r="U294" s="3"/>
      <c r="V294" s="25" t="s">
        <v>7756</v>
      </c>
      <c r="W294" s="25">
        <v>20517252558</v>
      </c>
      <c r="X294" s="25" t="str">
        <f>IFERROR(VLOOKUP(C_Ope_002[[#This Row],[nota_2]],Clientes_Proveedores[[Ruc / Dni]:[Razon Social]],2,0),"")</f>
        <v>COVISUR S.A.</v>
      </c>
      <c r="Y294" s="25" t="s">
        <v>7888</v>
      </c>
      <c r="Z294" s="103"/>
      <c r="AA294" s="3" t="str">
        <f>IF(C_Ope_002[[#This Row],[fecha]]&gt;0,TEXT(C_Ope_002[[#This Row],[fecha]],"mmmm"),0)</f>
        <v>Setiembre</v>
      </c>
      <c r="AB294" s="49"/>
    </row>
    <row r="295" spans="1:28" x14ac:dyDescent="0.3">
      <c r="A295" s="2">
        <f>IF(C_Ope_002[[#This Row],[tipo_r]]="R",COUNTIFS($C$1:$C294,"R")+1,"")</f>
        <v>294</v>
      </c>
      <c r="B295" s="19" t="str">
        <f t="shared" si="42"/>
        <v>C_Ope_002</v>
      </c>
      <c r="C295" s="3" t="s">
        <v>1330</v>
      </c>
      <c r="D295" s="14">
        <v>45903</v>
      </c>
      <c r="E295" s="5" t="s">
        <v>8125</v>
      </c>
      <c r="F295" s="5" t="s">
        <v>1336</v>
      </c>
      <c r="G295" s="6" t="s">
        <v>978</v>
      </c>
      <c r="H295" s="6" t="s">
        <v>68</v>
      </c>
      <c r="I295" s="6" t="s">
        <v>5845</v>
      </c>
      <c r="J295" s="6">
        <v>1851472</v>
      </c>
      <c r="K295" s="7" t="s">
        <v>8151</v>
      </c>
      <c r="L295" s="8">
        <v>25371</v>
      </c>
      <c r="M295" s="8" t="str">
        <f t="shared" si="43"/>
        <v>PEN</v>
      </c>
      <c r="N295" s="13"/>
      <c r="O295" s="13">
        <v>8</v>
      </c>
      <c r="P295" s="3">
        <f t="shared" si="44"/>
        <v>0</v>
      </c>
      <c r="Q295" s="3">
        <f t="shared" si="45"/>
        <v>8</v>
      </c>
      <c r="R295" s="3">
        <f t="shared" si="33"/>
        <v>59.000000000000057</v>
      </c>
      <c r="S295" s="24" t="s">
        <v>1334</v>
      </c>
      <c r="T295" s="24"/>
      <c r="U295" s="3"/>
      <c r="V295" s="25" t="s">
        <v>7756</v>
      </c>
      <c r="W295" s="25">
        <v>20517252558</v>
      </c>
      <c r="X295" s="25" t="str">
        <f>IFERROR(VLOOKUP(C_Ope_002[[#This Row],[nota_2]],Clientes_Proveedores[[Ruc / Dni]:[Razon Social]],2,0),"")</f>
        <v>COVISUR S.A.</v>
      </c>
      <c r="Y295" s="25" t="s">
        <v>7888</v>
      </c>
      <c r="Z295" s="103"/>
      <c r="AA295" s="3" t="str">
        <f>IF(C_Ope_002[[#This Row],[fecha]]&gt;0,TEXT(C_Ope_002[[#This Row],[fecha]],"mmmm"),0)</f>
        <v>Setiembre</v>
      </c>
      <c r="AB295" s="49"/>
    </row>
    <row r="296" spans="1:28" ht="36" x14ac:dyDescent="0.3">
      <c r="A296" s="2">
        <f>IF(C_Ope_002[[#This Row],[tipo_r]]="R",COUNTIFS($C$1:$C295,"R")+1,"")</f>
        <v>295</v>
      </c>
      <c r="B296" s="19" t="str">
        <f t="shared" si="42"/>
        <v>C_Ope_002</v>
      </c>
      <c r="C296" s="3" t="s">
        <v>1330</v>
      </c>
      <c r="D296" s="14">
        <v>45903</v>
      </c>
      <c r="E296" s="5" t="s">
        <v>8125</v>
      </c>
      <c r="F296" s="5" t="s">
        <v>1336</v>
      </c>
      <c r="G296" s="6" t="s">
        <v>227</v>
      </c>
      <c r="H296" s="6" t="s">
        <v>68</v>
      </c>
      <c r="I296" s="6" t="s">
        <v>1390</v>
      </c>
      <c r="J296" s="6">
        <v>136407</v>
      </c>
      <c r="K296" s="7" t="s">
        <v>8152</v>
      </c>
      <c r="L296" s="8">
        <v>25365</v>
      </c>
      <c r="M296" s="8" t="str">
        <f t="shared" si="43"/>
        <v>PEN</v>
      </c>
      <c r="N296" s="13"/>
      <c r="O296" s="13">
        <v>10</v>
      </c>
      <c r="P296" s="3">
        <f t="shared" si="44"/>
        <v>0</v>
      </c>
      <c r="Q296" s="3">
        <f t="shared" si="45"/>
        <v>10</v>
      </c>
      <c r="R296" s="3">
        <f t="shared" si="33"/>
        <v>49.000000000000057</v>
      </c>
      <c r="S296" s="24" t="s">
        <v>1334</v>
      </c>
      <c r="T296" s="24"/>
      <c r="U296" s="3"/>
      <c r="V296" s="25" t="s">
        <v>7756</v>
      </c>
      <c r="W296" s="25">
        <v>20124952850</v>
      </c>
      <c r="X296" s="25" t="str">
        <f>IFERROR(VLOOKUP(C_Ope_002[[#This Row],[nota_2]],Clientes_Proveedores[[Ruc / Dni]:[Razon Social]],2,0),"")</f>
        <v>ALIMENTOS Y SERVICIOS AGROPECUARIOS SRL.</v>
      </c>
      <c r="Y296" s="25" t="s">
        <v>5933</v>
      </c>
      <c r="Z296" s="103"/>
      <c r="AA296" s="3" t="str">
        <f>IF(C_Ope_002[[#This Row],[fecha]]&gt;0,TEXT(C_Ope_002[[#This Row],[fecha]],"mmmm"),0)</f>
        <v>Setiembre</v>
      </c>
      <c r="AB296" s="49"/>
    </row>
    <row r="297" spans="1:28" x14ac:dyDescent="0.3">
      <c r="A297" s="2">
        <f>IF(C_Ope_002[[#This Row],[tipo_r]]="R",COUNTIFS($C$1:$C296,"R")+1,"")</f>
        <v>296</v>
      </c>
      <c r="B297" s="19" t="str">
        <f t="shared" si="42"/>
        <v>C_Ope_002</v>
      </c>
      <c r="C297" s="3" t="s">
        <v>1330</v>
      </c>
      <c r="D297" s="14">
        <v>45904</v>
      </c>
      <c r="E297" s="5" t="s">
        <v>8125</v>
      </c>
      <c r="F297" s="5" t="s">
        <v>1336</v>
      </c>
      <c r="G297" s="6" t="s">
        <v>978</v>
      </c>
      <c r="H297" s="6" t="s">
        <v>68</v>
      </c>
      <c r="I297" s="6" t="s">
        <v>5688</v>
      </c>
      <c r="J297" s="6">
        <v>2460346</v>
      </c>
      <c r="K297" s="7" t="s">
        <v>8151</v>
      </c>
      <c r="L297" s="8">
        <v>25398</v>
      </c>
      <c r="M297" s="8" t="str">
        <f t="shared" si="43"/>
        <v>PEN</v>
      </c>
      <c r="N297" s="13"/>
      <c r="O297" s="13">
        <v>8</v>
      </c>
      <c r="P297" s="3">
        <f t="shared" si="44"/>
        <v>0</v>
      </c>
      <c r="Q297" s="3">
        <f t="shared" si="45"/>
        <v>8</v>
      </c>
      <c r="R297" s="3">
        <f t="shared" si="33"/>
        <v>41.000000000000057</v>
      </c>
      <c r="S297" s="24" t="s">
        <v>1334</v>
      </c>
      <c r="T297" s="24"/>
      <c r="U297" s="3"/>
      <c r="V297" s="25" t="s">
        <v>7756</v>
      </c>
      <c r="W297" s="25">
        <v>20517252558</v>
      </c>
      <c r="X297" s="25" t="str">
        <f>IFERROR(VLOOKUP(C_Ope_002[[#This Row],[nota_2]],Clientes_Proveedores[[Ruc / Dni]:[Razon Social]],2,0),"")</f>
        <v>COVISUR S.A.</v>
      </c>
      <c r="Y297" s="25" t="s">
        <v>7888</v>
      </c>
      <c r="Z297" s="103"/>
      <c r="AA297" s="3" t="str">
        <f>IF(C_Ope_002[[#This Row],[fecha]]&gt;0,TEXT(C_Ope_002[[#This Row],[fecha]],"mmmm"),0)</f>
        <v>Setiembre</v>
      </c>
      <c r="AB297" s="49"/>
    </row>
    <row r="298" spans="1:28" x14ac:dyDescent="0.3">
      <c r="A298" s="2">
        <f>IF(C_Ope_002[[#This Row],[tipo_r]]="R",COUNTIFS($C$1:$C297,"R")+1,"")</f>
        <v>297</v>
      </c>
      <c r="B298" s="19" t="str">
        <f t="shared" si="42"/>
        <v>C_Ope_002</v>
      </c>
      <c r="C298" s="3" t="s">
        <v>1330</v>
      </c>
      <c r="D298" s="14">
        <v>45904</v>
      </c>
      <c r="E298" s="5" t="s">
        <v>8125</v>
      </c>
      <c r="F298" s="5" t="s">
        <v>1336</v>
      </c>
      <c r="G298" s="6" t="s">
        <v>978</v>
      </c>
      <c r="H298" s="6" t="s">
        <v>68</v>
      </c>
      <c r="I298" s="6" t="s">
        <v>5845</v>
      </c>
      <c r="J298" s="6">
        <v>18522727</v>
      </c>
      <c r="K298" s="7" t="s">
        <v>8151</v>
      </c>
      <c r="L298" s="8">
        <v>25399</v>
      </c>
      <c r="M298" s="8" t="str">
        <f t="shared" si="43"/>
        <v>PEN</v>
      </c>
      <c r="N298" s="13"/>
      <c r="O298" s="13">
        <v>8</v>
      </c>
      <c r="P298" s="3">
        <f t="shared" si="44"/>
        <v>0</v>
      </c>
      <c r="Q298" s="3">
        <f t="shared" si="45"/>
        <v>8</v>
      </c>
      <c r="R298" s="3">
        <f t="shared" si="33"/>
        <v>33.000000000000057</v>
      </c>
      <c r="S298" s="24" t="s">
        <v>1334</v>
      </c>
      <c r="T298" s="24"/>
      <c r="U298" s="3"/>
      <c r="V298" s="25" t="s">
        <v>7756</v>
      </c>
      <c r="W298" s="25">
        <v>20517252558</v>
      </c>
      <c r="X298" s="25" t="str">
        <f>IFERROR(VLOOKUP(C_Ope_002[[#This Row],[nota_2]],Clientes_Proveedores[[Ruc / Dni]:[Razon Social]],2,0),"")</f>
        <v>COVISUR S.A.</v>
      </c>
      <c r="Y298" s="25" t="s">
        <v>7888</v>
      </c>
      <c r="Z298" s="103"/>
      <c r="AA298" s="3" t="str">
        <f>IF(C_Ope_002[[#This Row],[fecha]]&gt;0,TEXT(C_Ope_002[[#This Row],[fecha]],"mmmm"),0)</f>
        <v>Setiembre</v>
      </c>
      <c r="AB298" s="49"/>
    </row>
    <row r="299" spans="1:28" x14ac:dyDescent="0.3">
      <c r="A299" s="2">
        <f>IF(C_Ope_002[[#This Row],[tipo_r]]="R",COUNTIFS($C$1:$C298,"R")+1,"")</f>
        <v>298</v>
      </c>
      <c r="B299" s="19" t="str">
        <f t="shared" si="42"/>
        <v>C_Ope_002</v>
      </c>
      <c r="C299" s="3" t="s">
        <v>1330</v>
      </c>
      <c r="D299" s="14">
        <v>45905</v>
      </c>
      <c r="E299" s="5" t="s">
        <v>8125</v>
      </c>
      <c r="F299" s="5" t="s">
        <v>1336</v>
      </c>
      <c r="G299" s="6" t="s">
        <v>978</v>
      </c>
      <c r="H299" s="6" t="s">
        <v>68</v>
      </c>
      <c r="I299" s="6" t="s">
        <v>5688</v>
      </c>
      <c r="J299" s="6">
        <v>2461233</v>
      </c>
      <c r="K299" s="7" t="s">
        <v>8151</v>
      </c>
      <c r="L299" s="8">
        <v>25400</v>
      </c>
      <c r="M299" s="8" t="str">
        <f t="shared" si="43"/>
        <v>PEN</v>
      </c>
      <c r="N299" s="13"/>
      <c r="O299" s="13">
        <v>8</v>
      </c>
      <c r="P299" s="3">
        <f t="shared" si="44"/>
        <v>0</v>
      </c>
      <c r="Q299" s="3">
        <f t="shared" si="45"/>
        <v>8</v>
      </c>
      <c r="R299" s="3">
        <f t="shared" si="33"/>
        <v>25.000000000000057</v>
      </c>
      <c r="S299" s="24" t="s">
        <v>1334</v>
      </c>
      <c r="T299" s="24"/>
      <c r="U299" s="3"/>
      <c r="V299" s="25" t="s">
        <v>7756</v>
      </c>
      <c r="W299" s="25">
        <v>20517252558</v>
      </c>
      <c r="X299" s="25" t="str">
        <f>IFERROR(VLOOKUP(C_Ope_002[[#This Row],[nota_2]],Clientes_Proveedores[[Ruc / Dni]:[Razon Social]],2,0),"")</f>
        <v>COVISUR S.A.</v>
      </c>
      <c r="Y299" s="25" t="s">
        <v>7888</v>
      </c>
      <c r="Z299" s="103"/>
      <c r="AA299" s="3" t="str">
        <f>IF(C_Ope_002[[#This Row],[fecha]]&gt;0,TEXT(C_Ope_002[[#This Row],[fecha]],"mmmm"),0)</f>
        <v>Setiembre</v>
      </c>
      <c r="AB299" s="49"/>
    </row>
    <row r="300" spans="1:28" x14ac:dyDescent="0.3">
      <c r="A300" s="2">
        <f>IF(C_Ope_002[[#This Row],[tipo_r]]="R",COUNTIFS($C$1:$C299,"R")+1,"")</f>
        <v>299</v>
      </c>
      <c r="B300" s="19" t="str">
        <f t="shared" si="42"/>
        <v>C_Ope_002</v>
      </c>
      <c r="C300" s="3" t="s">
        <v>1330</v>
      </c>
      <c r="D300" s="14">
        <v>45905</v>
      </c>
      <c r="E300" s="5" t="s">
        <v>8125</v>
      </c>
      <c r="F300" s="5" t="s">
        <v>1336</v>
      </c>
      <c r="G300" s="6" t="s">
        <v>978</v>
      </c>
      <c r="H300" s="6" t="s">
        <v>68</v>
      </c>
      <c r="I300" s="6" t="s">
        <v>6244</v>
      </c>
      <c r="J300" s="6">
        <v>1121798</v>
      </c>
      <c r="K300" s="7" t="s">
        <v>8153</v>
      </c>
      <c r="L300" s="8">
        <v>25416</v>
      </c>
      <c r="M300" s="8" t="str">
        <f t="shared" si="43"/>
        <v>PEN</v>
      </c>
      <c r="N300" s="13"/>
      <c r="O300" s="13">
        <v>8</v>
      </c>
      <c r="P300" s="3">
        <f t="shared" si="44"/>
        <v>0</v>
      </c>
      <c r="Q300" s="3">
        <f t="shared" si="45"/>
        <v>8</v>
      </c>
      <c r="R300" s="3">
        <f t="shared" si="33"/>
        <v>17.000000000000057</v>
      </c>
      <c r="S300" s="24" t="s">
        <v>1334</v>
      </c>
      <c r="T300" s="24"/>
      <c r="U300" s="3"/>
      <c r="V300" s="25" t="s">
        <v>7756</v>
      </c>
      <c r="W300" s="25">
        <v>20517252558</v>
      </c>
      <c r="X300" s="25" t="str">
        <f>IFERROR(VLOOKUP(C_Ope_002[[#This Row],[nota_2]],Clientes_Proveedores[[Ruc / Dni]:[Razon Social]],2,0),"")</f>
        <v>COVISUR S.A.</v>
      </c>
      <c r="Y300" s="25" t="s">
        <v>7888</v>
      </c>
      <c r="Z300" s="103"/>
      <c r="AA300" s="3" t="str">
        <f>IF(C_Ope_002[[#This Row],[fecha]]&gt;0,TEXT(C_Ope_002[[#This Row],[fecha]],"mmmm"),0)</f>
        <v>Setiembre</v>
      </c>
      <c r="AB300" s="49"/>
    </row>
    <row r="301" spans="1:28" x14ac:dyDescent="0.3">
      <c r="A301" s="2">
        <f>IF(C_Ope_002[[#This Row],[tipo_r]]="R",COUNTIFS($C$1:$C300,"R")+1,"")</f>
        <v>300</v>
      </c>
      <c r="B301" s="19" t="str">
        <f t="shared" si="42"/>
        <v>C_Ope_002</v>
      </c>
      <c r="C301" s="3" t="s">
        <v>1330</v>
      </c>
      <c r="D301" s="14">
        <v>45905</v>
      </c>
      <c r="E301" s="5" t="s">
        <v>8125</v>
      </c>
      <c r="F301" s="5" t="s">
        <v>1336</v>
      </c>
      <c r="G301" s="6" t="s">
        <v>978</v>
      </c>
      <c r="H301" s="6" t="s">
        <v>68</v>
      </c>
      <c r="I301" s="6" t="s">
        <v>6379</v>
      </c>
      <c r="J301" s="6">
        <v>502543</v>
      </c>
      <c r="K301" s="7" t="s">
        <v>8153</v>
      </c>
      <c r="L301" s="8">
        <v>25417</v>
      </c>
      <c r="M301" s="8" t="str">
        <f t="shared" si="43"/>
        <v>PEN</v>
      </c>
      <c r="N301" s="13"/>
      <c r="O301" s="13">
        <v>8</v>
      </c>
      <c r="P301" s="3">
        <f t="shared" si="44"/>
        <v>0</v>
      </c>
      <c r="Q301" s="3">
        <f t="shared" si="45"/>
        <v>8</v>
      </c>
      <c r="R301" s="3">
        <f t="shared" si="33"/>
        <v>9.0000000000000568</v>
      </c>
      <c r="S301" s="24" t="s">
        <v>1334</v>
      </c>
      <c r="T301" s="24"/>
      <c r="U301" s="3"/>
      <c r="V301" s="25" t="s">
        <v>7756</v>
      </c>
      <c r="W301" s="25">
        <v>20517252558</v>
      </c>
      <c r="X301" s="25" t="str">
        <f>IFERROR(VLOOKUP(C_Ope_002[[#This Row],[nota_2]],Clientes_Proveedores[[Ruc / Dni]:[Razon Social]],2,0),"")</f>
        <v>COVISUR S.A.</v>
      </c>
      <c r="Y301" s="25" t="s">
        <v>7888</v>
      </c>
      <c r="Z301" s="103"/>
      <c r="AA301" s="3" t="str">
        <f>IF(C_Ope_002[[#This Row],[fecha]]&gt;0,TEXT(C_Ope_002[[#This Row],[fecha]],"mmmm"),0)</f>
        <v>Setiembre</v>
      </c>
      <c r="AB301" s="49"/>
    </row>
    <row r="302" spans="1:28" x14ac:dyDescent="0.3">
      <c r="A302" s="2">
        <f>IF(C_Ope_002[[#This Row],[tipo_r]]="R",COUNTIFS($C$1:$C301,"R")+1,"")</f>
        <v>301</v>
      </c>
      <c r="B302" s="19" t="str">
        <f t="shared" si="42"/>
        <v>C_Ope_002</v>
      </c>
      <c r="C302" s="3" t="s">
        <v>1330</v>
      </c>
      <c r="D302" s="14">
        <v>45905</v>
      </c>
      <c r="E302" s="5" t="s">
        <v>8125</v>
      </c>
      <c r="F302" s="5" t="s">
        <v>1336</v>
      </c>
      <c r="G302" s="6" t="s">
        <v>978</v>
      </c>
      <c r="H302" s="6" t="s">
        <v>68</v>
      </c>
      <c r="I302" s="6" t="s">
        <v>6379</v>
      </c>
      <c r="J302" s="6">
        <v>1853941</v>
      </c>
      <c r="K302" s="7" t="s">
        <v>8153</v>
      </c>
      <c r="L302" s="8">
        <v>25418</v>
      </c>
      <c r="M302" s="8" t="str">
        <f t="shared" si="43"/>
        <v>PEN</v>
      </c>
      <c r="N302" s="13"/>
      <c r="O302" s="13">
        <v>8</v>
      </c>
      <c r="P302" s="3">
        <f t="shared" si="44"/>
        <v>0</v>
      </c>
      <c r="Q302" s="3">
        <f t="shared" si="45"/>
        <v>8</v>
      </c>
      <c r="R302" s="3">
        <f t="shared" si="33"/>
        <v>1.0000000000000568</v>
      </c>
      <c r="S302" s="24" t="s">
        <v>1334</v>
      </c>
      <c r="T302" s="24"/>
      <c r="U302" s="3"/>
      <c r="V302" s="25" t="s">
        <v>7756</v>
      </c>
      <c r="W302" s="25">
        <v>20517252558</v>
      </c>
      <c r="X302" s="25" t="str">
        <f>IFERROR(VLOOKUP(C_Ope_002[[#This Row],[nota_2]],Clientes_Proveedores[[Ruc / Dni]:[Razon Social]],2,0),"")</f>
        <v>COVISUR S.A.</v>
      </c>
      <c r="Y302" s="25" t="s">
        <v>7888</v>
      </c>
      <c r="Z302" s="103"/>
      <c r="AA302" s="3" t="str">
        <f>IF(C_Ope_002[[#This Row],[fecha]]&gt;0,TEXT(C_Ope_002[[#This Row],[fecha]],"mmmm"),0)</f>
        <v>Setiembre</v>
      </c>
      <c r="AB302" s="49"/>
    </row>
    <row r="303" spans="1:28" ht="36" x14ac:dyDescent="0.3">
      <c r="A303" s="2">
        <f>IF(C_Ope_002[[#This Row],[tipo_r]]="R",COUNTIFS($C$1:$C302,"R")+1,"")</f>
        <v>302</v>
      </c>
      <c r="B303" s="19" t="str">
        <f t="shared" si="42"/>
        <v>C_Ope_002</v>
      </c>
      <c r="C303" s="3" t="s">
        <v>1330</v>
      </c>
      <c r="D303" s="14">
        <v>45908</v>
      </c>
      <c r="E303" s="5" t="s">
        <v>8125</v>
      </c>
      <c r="F303" s="5" t="s">
        <v>1336</v>
      </c>
      <c r="G303" s="6" t="s">
        <v>227</v>
      </c>
      <c r="H303" s="6" t="s">
        <v>68</v>
      </c>
      <c r="I303" s="6" t="s">
        <v>1390</v>
      </c>
      <c r="J303" s="6">
        <v>136637</v>
      </c>
      <c r="K303" s="7" t="s">
        <v>8152</v>
      </c>
      <c r="L303" s="8">
        <v>25419</v>
      </c>
      <c r="M303" s="8" t="str">
        <f t="shared" si="43"/>
        <v>PEN</v>
      </c>
      <c r="N303" s="13"/>
      <c r="O303" s="13">
        <v>10</v>
      </c>
      <c r="P303" s="3">
        <f t="shared" si="44"/>
        <v>0</v>
      </c>
      <c r="Q303" s="3">
        <f t="shared" si="45"/>
        <v>10</v>
      </c>
      <c r="R303" s="3">
        <f t="shared" si="33"/>
        <v>-8.9999999999999432</v>
      </c>
      <c r="S303" s="24" t="s">
        <v>1334</v>
      </c>
      <c r="T303" s="24"/>
      <c r="U303" s="3"/>
      <c r="V303" s="25" t="s">
        <v>7756</v>
      </c>
      <c r="W303" s="25">
        <v>20124952850</v>
      </c>
      <c r="X303" s="25" t="str">
        <f>IFERROR(VLOOKUP(C_Ope_002[[#This Row],[nota_2]],Clientes_Proveedores[[Ruc / Dni]:[Razon Social]],2,0),"")</f>
        <v>ALIMENTOS Y SERVICIOS AGROPECUARIOS SRL.</v>
      </c>
      <c r="Y303" s="25" t="s">
        <v>5933</v>
      </c>
      <c r="Z303" s="103"/>
      <c r="AA303" s="3" t="str">
        <f>IF(C_Ope_002[[#This Row],[fecha]]&gt;0,TEXT(C_Ope_002[[#This Row],[fecha]],"mmmm"),0)</f>
        <v>Setiembre</v>
      </c>
      <c r="AB303" s="49"/>
    </row>
    <row r="304" spans="1:28" x14ac:dyDescent="0.3">
      <c r="A304" s="2">
        <f>IF(C_Ope_002[[#This Row],[tipo_r]]="R",COUNTIFS($C$1:$C303,"R")+1,"")</f>
        <v>303</v>
      </c>
      <c r="B304" s="19" t="str">
        <f>"C_Ope_002"</f>
        <v>C_Ope_002</v>
      </c>
      <c r="C304" s="3" t="s">
        <v>1330</v>
      </c>
      <c r="D304" s="14">
        <v>45909</v>
      </c>
      <c r="E304" s="5" t="s">
        <v>3634</v>
      </c>
      <c r="F304" s="5" t="s">
        <v>1303</v>
      </c>
      <c r="G304" s="6" t="s">
        <v>798</v>
      </c>
      <c r="H304" s="6"/>
      <c r="I304" s="6"/>
      <c r="J304" s="6"/>
      <c r="K304" s="7" t="s">
        <v>7516</v>
      </c>
      <c r="L304" s="8">
        <v>25422</v>
      </c>
      <c r="M304" s="8" t="str">
        <f>"PEN"</f>
        <v>PEN</v>
      </c>
      <c r="N304" s="13"/>
      <c r="O304" s="13">
        <v>150</v>
      </c>
      <c r="P304" s="3">
        <f>+IF(OR($F304="SALDO",$F304="INGRESO"),$O304,0)</f>
        <v>150</v>
      </c>
      <c r="Q304" s="3">
        <f>+IF($F304="EGRESO",$O304,0)</f>
        <v>0</v>
      </c>
      <c r="R304" s="3">
        <f t="shared" si="33"/>
        <v>141.00000000000006</v>
      </c>
      <c r="S304" s="24" t="s">
        <v>1334</v>
      </c>
      <c r="T304" s="24" t="s">
        <v>1334</v>
      </c>
      <c r="U304" s="3"/>
      <c r="V304" s="25"/>
      <c r="W304" s="25"/>
      <c r="X304" s="25" t="str">
        <f>IFERROR(VLOOKUP(C_Ope_002[[#This Row],[nota_2]],Clientes_Proveedores[[Ruc / Dni]:[Razon Social]],2,0),"")</f>
        <v/>
      </c>
      <c r="Y304" s="25"/>
      <c r="Z304" s="103"/>
      <c r="AA304" s="3" t="str">
        <f>IF(C_Ope_002[[#This Row],[fecha]]&gt;0,TEXT(C_Ope_002[[#This Row],[fecha]],"mmmm"),0)</f>
        <v>Setiembre</v>
      </c>
      <c r="AB304" s="49"/>
    </row>
    <row r="305" spans="1:28" x14ac:dyDescent="0.3">
      <c r="A305" s="2">
        <f>IF(C_Ope_002[[#This Row],[tipo_r]]="R",COUNTIFS($C$1:$C304,"R")+1,"")</f>
        <v>304</v>
      </c>
      <c r="B305" s="19" t="str">
        <f t="shared" si="42"/>
        <v>C_Ope_002</v>
      </c>
      <c r="C305" s="3" t="s">
        <v>1330</v>
      </c>
      <c r="D305" s="14">
        <v>45910</v>
      </c>
      <c r="E305" s="5" t="s">
        <v>8125</v>
      </c>
      <c r="F305" s="5" t="s">
        <v>1336</v>
      </c>
      <c r="G305" s="6" t="s">
        <v>978</v>
      </c>
      <c r="H305" s="6" t="s">
        <v>68</v>
      </c>
      <c r="I305" s="6" t="s">
        <v>5845</v>
      </c>
      <c r="J305" s="6">
        <v>1858501</v>
      </c>
      <c r="K305" s="7" t="s">
        <v>8154</v>
      </c>
      <c r="L305" s="8">
        <v>25432</v>
      </c>
      <c r="M305" s="8" t="str">
        <f t="shared" si="43"/>
        <v>PEN</v>
      </c>
      <c r="N305" s="13"/>
      <c r="O305" s="13">
        <v>5</v>
      </c>
      <c r="P305" s="3">
        <f t="shared" si="44"/>
        <v>0</v>
      </c>
      <c r="Q305" s="3">
        <f t="shared" si="45"/>
        <v>5</v>
      </c>
      <c r="R305" s="3">
        <f t="shared" si="33"/>
        <v>136.00000000000006</v>
      </c>
      <c r="S305" s="24" t="s">
        <v>1334</v>
      </c>
      <c r="T305" s="24"/>
      <c r="U305" s="3"/>
      <c r="V305" s="25" t="s">
        <v>7754</v>
      </c>
      <c r="W305" s="25">
        <v>20517252558</v>
      </c>
      <c r="X305" s="25" t="str">
        <f>IFERROR(VLOOKUP(C_Ope_002[[#This Row],[nota_2]],Clientes_Proveedores[[Ruc / Dni]:[Razon Social]],2,0),"")</f>
        <v>COVISUR S.A.</v>
      </c>
      <c r="Y305" s="25" t="s">
        <v>7888</v>
      </c>
      <c r="Z305" s="103"/>
      <c r="AA305" s="3" t="str">
        <f>IF(C_Ope_002[[#This Row],[fecha]]&gt;0,TEXT(C_Ope_002[[#This Row],[fecha]],"mmmm"),0)</f>
        <v>Setiembre</v>
      </c>
      <c r="AB305" s="49"/>
    </row>
    <row r="306" spans="1:28" x14ac:dyDescent="0.3">
      <c r="A306" s="2">
        <f>IF(C_Ope_002[[#This Row],[tipo_r]]="R",COUNTIFS($C$1:$C305,"R")+1,"")</f>
        <v>305</v>
      </c>
      <c r="B306" s="19" t="str">
        <f t="shared" si="42"/>
        <v>C_Ope_002</v>
      </c>
      <c r="C306" s="3" t="s">
        <v>1330</v>
      </c>
      <c r="D306" s="14">
        <v>45910</v>
      </c>
      <c r="E306" s="5" t="s">
        <v>8125</v>
      </c>
      <c r="F306" s="5" t="s">
        <v>1336</v>
      </c>
      <c r="G306" s="6" t="s">
        <v>978</v>
      </c>
      <c r="H306" s="6" t="s">
        <v>68</v>
      </c>
      <c r="I306" s="6" t="s">
        <v>6203</v>
      </c>
      <c r="J306" s="6">
        <v>2173255</v>
      </c>
      <c r="K306" s="7" t="s">
        <v>8154</v>
      </c>
      <c r="L306" s="8">
        <v>25433</v>
      </c>
      <c r="M306" s="8" t="str">
        <f t="shared" si="43"/>
        <v>PEN</v>
      </c>
      <c r="N306" s="13"/>
      <c r="O306" s="13">
        <v>5</v>
      </c>
      <c r="P306" s="3">
        <f t="shared" si="44"/>
        <v>0</v>
      </c>
      <c r="Q306" s="3">
        <f t="shared" si="45"/>
        <v>5</v>
      </c>
      <c r="R306" s="3">
        <f t="shared" si="33"/>
        <v>131.00000000000006</v>
      </c>
      <c r="S306" s="24" t="s">
        <v>1334</v>
      </c>
      <c r="T306" s="24"/>
      <c r="U306" s="3"/>
      <c r="V306" s="25" t="s">
        <v>7754</v>
      </c>
      <c r="W306" s="25">
        <v>20517252558</v>
      </c>
      <c r="X306" s="25" t="str">
        <f>IFERROR(VLOOKUP(C_Ope_002[[#This Row],[nota_2]],Clientes_Proveedores[[Ruc / Dni]:[Razon Social]],2,0),"")</f>
        <v>COVISUR S.A.</v>
      </c>
      <c r="Y306" s="25" t="s">
        <v>7888</v>
      </c>
      <c r="Z306" s="103"/>
      <c r="AA306" s="3" t="str">
        <f>IF(C_Ope_002[[#This Row],[fecha]]&gt;0,TEXT(C_Ope_002[[#This Row],[fecha]],"mmmm"),0)</f>
        <v>Setiembre</v>
      </c>
      <c r="AB306" s="49"/>
    </row>
    <row r="307" spans="1:28" x14ac:dyDescent="0.3">
      <c r="A307" s="2">
        <f>IF(C_Ope_002[[#This Row],[tipo_r]]="R",COUNTIFS($C$1:$C306,"R")+1,"")</f>
        <v>306</v>
      </c>
      <c r="B307" s="19" t="str">
        <f>"C_Ope_002"</f>
        <v>C_Ope_002</v>
      </c>
      <c r="C307" s="3" t="s">
        <v>1330</v>
      </c>
      <c r="D307" s="14">
        <v>45911</v>
      </c>
      <c r="E307" s="5" t="s">
        <v>8125</v>
      </c>
      <c r="F307" s="5" t="s">
        <v>1336</v>
      </c>
      <c r="G307" s="6" t="s">
        <v>978</v>
      </c>
      <c r="H307" s="6" t="s">
        <v>68</v>
      </c>
      <c r="I307" s="6" t="s">
        <v>5845</v>
      </c>
      <c r="J307" s="6">
        <v>1859423</v>
      </c>
      <c r="K307" s="7" t="s">
        <v>8155</v>
      </c>
      <c r="L307" s="8">
        <v>25439</v>
      </c>
      <c r="M307" s="8" t="str">
        <f>"PEN"</f>
        <v>PEN</v>
      </c>
      <c r="N307" s="13"/>
      <c r="O307" s="13">
        <v>5</v>
      </c>
      <c r="P307" s="3">
        <f>+IF(OR($F307="SALDO",$F307="INGRESO"),$O307,0)</f>
        <v>0</v>
      </c>
      <c r="Q307" s="3">
        <f>+IF($F307="EGRESO",$O307,0)</f>
        <v>5</v>
      </c>
      <c r="R307" s="3">
        <f t="shared" si="33"/>
        <v>126.00000000000006</v>
      </c>
      <c r="S307" s="24" t="s">
        <v>1334</v>
      </c>
      <c r="T307" s="24"/>
      <c r="U307" s="3"/>
      <c r="V307" s="25" t="s">
        <v>7754</v>
      </c>
      <c r="W307" s="25">
        <v>20517252558</v>
      </c>
      <c r="X307" s="25" t="str">
        <f>IFERROR(VLOOKUP(C_Ope_002[[#This Row],[nota_2]],Clientes_Proveedores[[Ruc / Dni]:[Razon Social]],2,0),"")</f>
        <v>COVISUR S.A.</v>
      </c>
      <c r="Y307" s="25" t="s">
        <v>7888</v>
      </c>
      <c r="Z307" s="103"/>
      <c r="AA307" s="3" t="str">
        <f>IF(C_Ope_002[[#This Row],[fecha]]&gt;0,TEXT(C_Ope_002[[#This Row],[fecha]],"mmmm"),0)</f>
        <v>Setiembre</v>
      </c>
      <c r="AB307" s="49"/>
    </row>
    <row r="308" spans="1:28" ht="24" x14ac:dyDescent="0.3">
      <c r="A308" s="2">
        <f>IF(C_Ope_002[[#This Row],[tipo_r]]="R",COUNTIFS($C$1:$C307,"R")+1,"")</f>
        <v>307</v>
      </c>
      <c r="B308" s="19" t="str">
        <f t="shared" ref="B308:B315" si="46">"C_Ope_002"</f>
        <v>C_Ope_002</v>
      </c>
      <c r="C308" s="3" t="s">
        <v>1330</v>
      </c>
      <c r="D308" s="14">
        <v>45912</v>
      </c>
      <c r="E308" s="5" t="s">
        <v>8125</v>
      </c>
      <c r="F308" s="5" t="s">
        <v>1336</v>
      </c>
      <c r="G308" s="6" t="s">
        <v>978</v>
      </c>
      <c r="H308" s="6" t="s">
        <v>68</v>
      </c>
      <c r="I308" s="6" t="s">
        <v>6203</v>
      </c>
      <c r="J308" s="6">
        <v>2177031</v>
      </c>
      <c r="K308" s="7" t="s">
        <v>8156</v>
      </c>
      <c r="L308" s="8">
        <v>25455</v>
      </c>
      <c r="M308" s="8" t="str">
        <f t="shared" ref="M308:M315" si="47">"PEN"</f>
        <v>PEN</v>
      </c>
      <c r="N308" s="13"/>
      <c r="O308" s="13">
        <v>8</v>
      </c>
      <c r="P308" s="3">
        <f t="shared" ref="P308:P315" si="48">+IF(OR($F308="SALDO",$F308="INGRESO"),$O308,0)</f>
        <v>0</v>
      </c>
      <c r="Q308" s="3">
        <f t="shared" ref="Q308:Q313" si="49">+IF($F308="EGRESO",$O308,0)</f>
        <v>8</v>
      </c>
      <c r="R308" s="3">
        <f t="shared" si="33"/>
        <v>118.00000000000006</v>
      </c>
      <c r="S308" s="24" t="s">
        <v>1334</v>
      </c>
      <c r="T308" s="24"/>
      <c r="U308" s="3"/>
      <c r="V308" s="25" t="s">
        <v>7756</v>
      </c>
      <c r="W308" s="25">
        <v>20517252558</v>
      </c>
      <c r="X308" s="25" t="str">
        <f>IFERROR(VLOOKUP(C_Ope_002[[#This Row],[nota_2]],Clientes_Proveedores[[Ruc / Dni]:[Razon Social]],2,0),"")</f>
        <v>COVISUR S.A.</v>
      </c>
      <c r="Y308" s="25" t="s">
        <v>7888</v>
      </c>
      <c r="Z308" s="25"/>
      <c r="AA308" s="3" t="str">
        <f>IF(C_Ope_002[[#This Row],[fecha]]&gt;0,TEXT(C_Ope_002[[#This Row],[fecha]],"mmmm"),0)</f>
        <v>Setiembre</v>
      </c>
      <c r="AB308" s="49"/>
    </row>
    <row r="309" spans="1:28" ht="24" x14ac:dyDescent="0.3">
      <c r="A309" s="2">
        <f>IF(C_Ope_002[[#This Row],[tipo_r]]="R",COUNTIFS($C$1:$C308,"R")+1,"")</f>
        <v>308</v>
      </c>
      <c r="B309" s="19" t="str">
        <f t="shared" si="46"/>
        <v>C_Ope_002</v>
      </c>
      <c r="C309" s="3" t="s">
        <v>1330</v>
      </c>
      <c r="D309" s="14">
        <v>45912</v>
      </c>
      <c r="E309" s="5" t="s">
        <v>8125</v>
      </c>
      <c r="F309" s="5" t="s">
        <v>1336</v>
      </c>
      <c r="G309" s="6" t="s">
        <v>978</v>
      </c>
      <c r="H309" s="6" t="s">
        <v>68</v>
      </c>
      <c r="I309" s="6" t="s">
        <v>5688</v>
      </c>
      <c r="J309" s="6">
        <v>2470087</v>
      </c>
      <c r="K309" s="7" t="s">
        <v>8156</v>
      </c>
      <c r="L309" s="8">
        <v>25461</v>
      </c>
      <c r="M309" s="8" t="str">
        <f t="shared" si="47"/>
        <v>PEN</v>
      </c>
      <c r="N309" s="13"/>
      <c r="O309" s="13">
        <v>8</v>
      </c>
      <c r="P309" s="3">
        <f t="shared" si="48"/>
        <v>0</v>
      </c>
      <c r="Q309" s="3">
        <f t="shared" si="49"/>
        <v>8</v>
      </c>
      <c r="R309" s="3">
        <f t="shared" si="33"/>
        <v>110.00000000000006</v>
      </c>
      <c r="S309" s="24" t="s">
        <v>1334</v>
      </c>
      <c r="T309" s="24"/>
      <c r="U309" s="3"/>
      <c r="V309" s="25" t="s">
        <v>7756</v>
      </c>
      <c r="W309" s="25">
        <v>20517252558</v>
      </c>
      <c r="X309" s="25" t="str">
        <f>IFERROR(VLOOKUP(C_Ope_002[[#This Row],[nota_2]],Clientes_Proveedores[[Ruc / Dni]:[Razon Social]],2,0),"")</f>
        <v>COVISUR S.A.</v>
      </c>
      <c r="Y309" s="25" t="s">
        <v>7888</v>
      </c>
      <c r="Z309" s="25"/>
      <c r="AA309" s="3" t="str">
        <f>IF(C_Ope_002[[#This Row],[fecha]]&gt;0,TEXT(C_Ope_002[[#This Row],[fecha]],"mmmm"),0)</f>
        <v>Setiembre</v>
      </c>
      <c r="AB309" s="49"/>
    </row>
    <row r="310" spans="1:28" ht="36" x14ac:dyDescent="0.3">
      <c r="A310" s="2">
        <f>IF(C_Ope_002[[#This Row],[tipo_r]]="R",COUNTIFS($C$1:$C309,"R")+1,"")</f>
        <v>309</v>
      </c>
      <c r="B310" s="19" t="str">
        <f t="shared" si="46"/>
        <v>C_Ope_002</v>
      </c>
      <c r="C310" s="3" t="s">
        <v>1330</v>
      </c>
      <c r="D310" s="14">
        <v>45912</v>
      </c>
      <c r="E310" s="5" t="s">
        <v>8125</v>
      </c>
      <c r="F310" s="5" t="s">
        <v>1336</v>
      </c>
      <c r="G310" s="6" t="s">
        <v>682</v>
      </c>
      <c r="H310" s="6" t="s">
        <v>68</v>
      </c>
      <c r="I310" s="6" t="s">
        <v>1353</v>
      </c>
      <c r="J310" s="6">
        <v>17683</v>
      </c>
      <c r="K310" s="7" t="s">
        <v>8157</v>
      </c>
      <c r="L310" s="8">
        <v>25452</v>
      </c>
      <c r="M310" s="8" t="str">
        <f t="shared" si="47"/>
        <v>PEN</v>
      </c>
      <c r="N310" s="13"/>
      <c r="O310" s="13">
        <v>10</v>
      </c>
      <c r="P310" s="3">
        <f t="shared" si="48"/>
        <v>0</v>
      </c>
      <c r="Q310" s="3">
        <f t="shared" si="49"/>
        <v>10</v>
      </c>
      <c r="R310" s="3">
        <f t="shared" si="33"/>
        <v>100.00000000000006</v>
      </c>
      <c r="S310" s="24" t="s">
        <v>1334</v>
      </c>
      <c r="T310" s="24"/>
      <c r="U310" s="3"/>
      <c r="V310" s="25" t="s">
        <v>7756</v>
      </c>
      <c r="W310" s="25">
        <v>20259858934</v>
      </c>
      <c r="X310" s="25" t="str">
        <f>IFERROR(VLOOKUP(C_Ope_002[[#This Row],[nota_2]],Clientes_Proveedores[[Ruc / Dni]:[Razon Social]],2,0),"")</f>
        <v>COMERCIALIZACION Y SERVICIOS EL EDEN S.A.C.</v>
      </c>
      <c r="Y310" s="25" t="s">
        <v>5933</v>
      </c>
      <c r="Z310" s="25"/>
      <c r="AA310" s="3" t="str">
        <f>IF(C_Ope_002[[#This Row],[fecha]]&gt;0,TEXT(C_Ope_002[[#This Row],[fecha]],"mmmm"),0)</f>
        <v>Setiembre</v>
      </c>
      <c r="AB310" s="49"/>
    </row>
    <row r="311" spans="1:28" ht="36" x14ac:dyDescent="0.3">
      <c r="A311" s="2">
        <f>IF(C_Ope_002[[#This Row],[tipo_r]]="R",COUNTIFS($C$1:$C310,"R")+1,"")</f>
        <v>310</v>
      </c>
      <c r="B311" s="19" t="str">
        <f t="shared" si="46"/>
        <v>C_Ope_002</v>
      </c>
      <c r="C311" s="3" t="s">
        <v>1330</v>
      </c>
      <c r="D311" s="14">
        <v>45912</v>
      </c>
      <c r="E311" s="5" t="s">
        <v>8125</v>
      </c>
      <c r="F311" s="5" t="s">
        <v>1336</v>
      </c>
      <c r="G311" s="6" t="s">
        <v>682</v>
      </c>
      <c r="H311" s="6" t="s">
        <v>68</v>
      </c>
      <c r="I311" s="6" t="s">
        <v>1353</v>
      </c>
      <c r="J311" s="6">
        <v>17686</v>
      </c>
      <c r="K311" s="7" t="s">
        <v>8157</v>
      </c>
      <c r="L311" s="8">
        <v>25453</v>
      </c>
      <c r="M311" s="8" t="str">
        <f t="shared" si="47"/>
        <v>PEN</v>
      </c>
      <c r="N311" s="13"/>
      <c r="O311" s="13">
        <v>10</v>
      </c>
      <c r="P311" s="3">
        <f t="shared" si="48"/>
        <v>0</v>
      </c>
      <c r="Q311" s="3">
        <f t="shared" si="49"/>
        <v>10</v>
      </c>
      <c r="R311" s="3">
        <f t="shared" si="33"/>
        <v>90.000000000000057</v>
      </c>
      <c r="S311" s="24" t="s">
        <v>1334</v>
      </c>
      <c r="T311" s="24"/>
      <c r="U311" s="3"/>
      <c r="V311" s="25" t="s">
        <v>7756</v>
      </c>
      <c r="W311" s="25">
        <v>20259858934</v>
      </c>
      <c r="X311" s="25" t="str">
        <f>IFERROR(VLOOKUP(C_Ope_002[[#This Row],[nota_2]],Clientes_Proveedores[[Ruc / Dni]:[Razon Social]],2,0),"")</f>
        <v>COMERCIALIZACION Y SERVICIOS EL EDEN S.A.C.</v>
      </c>
      <c r="Y311" s="25" t="s">
        <v>5933</v>
      </c>
      <c r="Z311" s="25"/>
      <c r="AA311" s="3" t="str">
        <f>IF(C_Ope_002[[#This Row],[fecha]]&gt;0,TEXT(C_Ope_002[[#This Row],[fecha]],"mmmm"),0)</f>
        <v>Setiembre</v>
      </c>
      <c r="AB311" s="49"/>
    </row>
    <row r="312" spans="1:28" ht="36" x14ac:dyDescent="0.3">
      <c r="A312" s="2">
        <f>IF(C_Ope_002[[#This Row],[tipo_r]]="R",COUNTIFS($C$1:$C311,"R")+1,"")</f>
        <v>311</v>
      </c>
      <c r="B312" s="19" t="str">
        <f t="shared" si="46"/>
        <v>C_Ope_002</v>
      </c>
      <c r="C312" s="3" t="s">
        <v>1330</v>
      </c>
      <c r="D312" s="14">
        <v>45912</v>
      </c>
      <c r="E312" s="5" t="s">
        <v>8125</v>
      </c>
      <c r="F312" s="5" t="s">
        <v>1336</v>
      </c>
      <c r="G312" s="6" t="s">
        <v>682</v>
      </c>
      <c r="H312" s="6" t="s">
        <v>68</v>
      </c>
      <c r="I312" s="6" t="s">
        <v>1353</v>
      </c>
      <c r="J312" s="6">
        <v>17687</v>
      </c>
      <c r="K312" s="7" t="s">
        <v>8157</v>
      </c>
      <c r="L312" s="8">
        <v>25454</v>
      </c>
      <c r="M312" s="8" t="str">
        <f t="shared" si="47"/>
        <v>PEN</v>
      </c>
      <c r="N312" s="13"/>
      <c r="O312" s="13">
        <v>20</v>
      </c>
      <c r="P312" s="3">
        <f t="shared" si="48"/>
        <v>0</v>
      </c>
      <c r="Q312" s="3">
        <f t="shared" si="49"/>
        <v>20</v>
      </c>
      <c r="R312" s="3">
        <f t="shared" si="33"/>
        <v>70.000000000000057</v>
      </c>
      <c r="S312" s="24" t="s">
        <v>1334</v>
      </c>
      <c r="T312" s="24"/>
      <c r="U312" s="3"/>
      <c r="V312" s="25" t="s">
        <v>7756</v>
      </c>
      <c r="W312" s="25">
        <v>20259858934</v>
      </c>
      <c r="X312" s="25" t="str">
        <f>IFERROR(VLOOKUP(C_Ope_002[[#This Row],[nota_2]],Clientes_Proveedores[[Ruc / Dni]:[Razon Social]],2,0),"")</f>
        <v>COMERCIALIZACION Y SERVICIOS EL EDEN S.A.C.</v>
      </c>
      <c r="Y312" s="25" t="s">
        <v>5933</v>
      </c>
      <c r="Z312" s="25"/>
      <c r="AA312" s="3" t="str">
        <f>IF(C_Ope_002[[#This Row],[fecha]]&gt;0,TEXT(C_Ope_002[[#This Row],[fecha]],"mmmm"),0)</f>
        <v>Setiembre</v>
      </c>
      <c r="AB312" s="49"/>
    </row>
    <row r="313" spans="1:28" ht="24" x14ac:dyDescent="0.3">
      <c r="A313" s="2">
        <f>IF(C_Ope_002[[#This Row],[tipo_r]]="R",COUNTIFS($C$1:$C312,"R")+1,"")</f>
        <v>312</v>
      </c>
      <c r="B313" s="19" t="str">
        <f t="shared" si="46"/>
        <v>C_Ope_002</v>
      </c>
      <c r="C313" s="3" t="s">
        <v>1330</v>
      </c>
      <c r="D313" s="14">
        <v>45915</v>
      </c>
      <c r="E313" s="5" t="s">
        <v>8125</v>
      </c>
      <c r="F313" s="5" t="s">
        <v>1336</v>
      </c>
      <c r="G313" s="6" t="s">
        <v>978</v>
      </c>
      <c r="H313" s="6" t="s">
        <v>68</v>
      </c>
      <c r="I313" s="6" t="s">
        <v>5688</v>
      </c>
      <c r="J313" s="6">
        <v>2473437</v>
      </c>
      <c r="K313" s="7" t="s">
        <v>8158</v>
      </c>
      <c r="L313" s="8">
        <v>25457</v>
      </c>
      <c r="M313" s="8" t="str">
        <f t="shared" si="47"/>
        <v>PEN</v>
      </c>
      <c r="N313" s="13"/>
      <c r="O313" s="13">
        <v>8</v>
      </c>
      <c r="P313" s="3">
        <f t="shared" si="48"/>
        <v>0</v>
      </c>
      <c r="Q313" s="3">
        <f t="shared" si="49"/>
        <v>8</v>
      </c>
      <c r="R313" s="3">
        <f t="shared" si="33"/>
        <v>62.000000000000057</v>
      </c>
      <c r="S313" s="24" t="s">
        <v>1334</v>
      </c>
      <c r="T313" s="24"/>
      <c r="U313" s="3"/>
      <c r="V313" s="25" t="s">
        <v>7842</v>
      </c>
      <c r="W313" s="25">
        <v>20517252558</v>
      </c>
      <c r="X313" s="25" t="str">
        <f>IFERROR(VLOOKUP(C_Ope_002[[#This Row],[nota_2]],Clientes_Proveedores[[Ruc / Dni]:[Razon Social]],2,0),"")</f>
        <v>COVISUR S.A.</v>
      </c>
      <c r="Y313" s="25" t="s">
        <v>7888</v>
      </c>
      <c r="Z313" s="25"/>
      <c r="AA313" s="3" t="str">
        <f>IF(C_Ope_002[[#This Row],[fecha]]&gt;0,TEXT(C_Ope_002[[#This Row],[fecha]],"mmmm"),0)</f>
        <v>Setiembre</v>
      </c>
      <c r="AB313" s="49"/>
    </row>
    <row r="314" spans="1:28" ht="24" x14ac:dyDescent="0.3">
      <c r="A314" s="2">
        <f>IF(C_Ope_002[[#This Row],[tipo_r]]="R",COUNTIFS($C$1:$C313,"R")+1,"")</f>
        <v>313</v>
      </c>
      <c r="B314" s="19" t="str">
        <f t="shared" si="46"/>
        <v>C_Ope_002</v>
      </c>
      <c r="C314" s="3" t="s">
        <v>1330</v>
      </c>
      <c r="D314" s="14">
        <v>45915</v>
      </c>
      <c r="E314" s="5" t="s">
        <v>8125</v>
      </c>
      <c r="F314" s="5" t="s">
        <v>1336</v>
      </c>
      <c r="G314" s="6" t="s">
        <v>978</v>
      </c>
      <c r="H314" s="6" t="s">
        <v>68</v>
      </c>
      <c r="I314" s="6" t="s">
        <v>6203</v>
      </c>
      <c r="J314" s="6">
        <v>2179991</v>
      </c>
      <c r="K314" s="7" t="s">
        <v>8158</v>
      </c>
      <c r="L314" s="8">
        <v>25458</v>
      </c>
      <c r="M314" s="8" t="str">
        <f t="shared" si="47"/>
        <v>PEN</v>
      </c>
      <c r="N314" s="13"/>
      <c r="O314" s="13">
        <v>8</v>
      </c>
      <c r="P314" s="3">
        <f t="shared" si="48"/>
        <v>0</v>
      </c>
      <c r="Q314" s="3">
        <f>+IF($F314="EGRESO",$O314,0)</f>
        <v>8</v>
      </c>
      <c r="R314" s="3">
        <f t="shared" si="33"/>
        <v>54.000000000000057</v>
      </c>
      <c r="S314" s="24" t="s">
        <v>1334</v>
      </c>
      <c r="T314" s="24"/>
      <c r="U314" s="3"/>
      <c r="V314" s="25" t="s">
        <v>7842</v>
      </c>
      <c r="W314" s="25">
        <v>20517252558</v>
      </c>
      <c r="X314" s="25" t="str">
        <f>IFERROR(VLOOKUP(C_Ope_002[[#This Row],[nota_2]],Clientes_Proveedores[[Ruc / Dni]:[Razon Social]],2,0),"")</f>
        <v>COVISUR S.A.</v>
      </c>
      <c r="Y314" s="25" t="s">
        <v>7888</v>
      </c>
      <c r="Z314" s="25"/>
      <c r="AA314" s="3" t="str">
        <f>IF(C_Ope_002[[#This Row],[fecha]]&gt;0,TEXT(C_Ope_002[[#This Row],[fecha]],"mmmm"),0)</f>
        <v>Setiembre</v>
      </c>
      <c r="AB314" s="49"/>
    </row>
    <row r="315" spans="1:28" ht="36" x14ac:dyDescent="0.3">
      <c r="A315" s="2">
        <f>IF(C_Ope_002[[#This Row],[tipo_r]]="R",COUNTIFS($C$1:$C314,"R")+1,"")</f>
        <v>314</v>
      </c>
      <c r="B315" s="19" t="str">
        <f t="shared" si="46"/>
        <v>C_Ope_002</v>
      </c>
      <c r="C315" s="3" t="s">
        <v>1330</v>
      </c>
      <c r="D315" s="14">
        <v>45915</v>
      </c>
      <c r="E315" s="5" t="s">
        <v>8125</v>
      </c>
      <c r="F315" s="5" t="s">
        <v>1336</v>
      </c>
      <c r="G315" s="6" t="s">
        <v>682</v>
      </c>
      <c r="H315" s="6" t="s">
        <v>68</v>
      </c>
      <c r="I315" s="6" t="s">
        <v>1353</v>
      </c>
      <c r="J315" s="6">
        <v>17714</v>
      </c>
      <c r="K315" s="7" t="s">
        <v>8159</v>
      </c>
      <c r="L315" s="8">
        <v>25456</v>
      </c>
      <c r="M315" s="8" t="str">
        <f t="shared" si="47"/>
        <v>PEN</v>
      </c>
      <c r="N315" s="13"/>
      <c r="O315" s="13">
        <v>20</v>
      </c>
      <c r="P315" s="3">
        <f t="shared" si="48"/>
        <v>0</v>
      </c>
      <c r="Q315" s="3">
        <f>+IF($F315="EGRESO",$O315,0)</f>
        <v>20</v>
      </c>
      <c r="R315" s="3">
        <f t="shared" si="33"/>
        <v>34.000000000000057</v>
      </c>
      <c r="S315" s="24" t="s">
        <v>1334</v>
      </c>
      <c r="T315" s="24"/>
      <c r="U315" s="3"/>
      <c r="V315" s="25" t="s">
        <v>7842</v>
      </c>
      <c r="W315" s="25">
        <v>20259858934</v>
      </c>
      <c r="X315" s="25" t="str">
        <f>IFERROR(VLOOKUP(C_Ope_002[[#This Row],[nota_2]],Clientes_Proveedores[[Ruc / Dni]:[Razon Social]],2,0),"")</f>
        <v>COMERCIALIZACION Y SERVICIOS EL EDEN S.A.C.</v>
      </c>
      <c r="Y315" s="25" t="s">
        <v>5933</v>
      </c>
      <c r="Z315" s="25"/>
      <c r="AA315" s="3" t="str">
        <f>IF(C_Ope_002[[#This Row],[fecha]]&gt;0,TEXT(C_Ope_002[[#This Row],[fecha]],"mmmm"),0)</f>
        <v>Setiembre</v>
      </c>
      <c r="AB315" s="49"/>
    </row>
    <row r="316" spans="1:28" x14ac:dyDescent="0.3">
      <c r="A316" s="2">
        <f>IF(C_Ope_002[[#This Row],[tipo_r]]="R",COUNTIFS($C$1:$C315,"R")+1,"")</f>
        <v>315</v>
      </c>
      <c r="B316" s="19" t="str">
        <f>"C_Ope_002"</f>
        <v>C_Ope_002</v>
      </c>
      <c r="C316" s="3" t="s">
        <v>1330</v>
      </c>
      <c r="D316" s="14">
        <v>45916</v>
      </c>
      <c r="E316" s="5" t="s">
        <v>3634</v>
      </c>
      <c r="F316" s="5" t="s">
        <v>1303</v>
      </c>
      <c r="G316" s="6" t="s">
        <v>798</v>
      </c>
      <c r="H316" s="6"/>
      <c r="I316" s="6"/>
      <c r="J316" s="6"/>
      <c r="K316" s="7" t="s">
        <v>7516</v>
      </c>
      <c r="L316" s="8">
        <v>25473</v>
      </c>
      <c r="M316" s="8" t="str">
        <f>"PEN"</f>
        <v>PEN</v>
      </c>
      <c r="N316" s="13"/>
      <c r="O316" s="13">
        <v>150</v>
      </c>
      <c r="P316" s="3">
        <f>+IF(OR($F316="SALDO",$F316="INGRESO"),$O316,0)</f>
        <v>150</v>
      </c>
      <c r="Q316" s="3">
        <f>+IF($F316="EGRESO",$O316,0)</f>
        <v>0</v>
      </c>
      <c r="R316" s="3">
        <f t="shared" si="33"/>
        <v>184.00000000000006</v>
      </c>
      <c r="S316" s="24" t="s">
        <v>1334</v>
      </c>
      <c r="T316" s="24" t="s">
        <v>1334</v>
      </c>
      <c r="U316" s="3"/>
      <c r="V316" s="25"/>
      <c r="W316" s="25"/>
      <c r="X316" s="25" t="str">
        <f>IFERROR(VLOOKUP(C_Ope_002[[#This Row],[nota_2]],Clientes_Proveedores[[Ruc / Dni]:[Razon Social]],2,0),"")</f>
        <v/>
      </c>
      <c r="Y316" s="25"/>
      <c r="Z316" s="25"/>
      <c r="AA316" s="3" t="str">
        <f>IF(C_Ope_002[[#This Row],[fecha]]&gt;0,TEXT(C_Ope_002[[#This Row],[fecha]],"mmmm"),0)</f>
        <v>Setiembre</v>
      </c>
      <c r="AB316" s="49"/>
    </row>
    <row r="317" spans="1:28" ht="24" x14ac:dyDescent="0.3">
      <c r="A317" s="2">
        <f>IF(C_Ope_002[[#This Row],[tipo_r]]="R",COUNTIFS($C$1:$C316,"R")+1,"")</f>
        <v>316</v>
      </c>
      <c r="B317" s="19" t="str">
        <f t="shared" ref="B317:B341" si="50">"C_Ope_002"</f>
        <v>C_Ope_002</v>
      </c>
      <c r="C317" s="13" t="s">
        <v>1330</v>
      </c>
      <c r="D317" s="14">
        <v>45916</v>
      </c>
      <c r="E317" s="5" t="s">
        <v>8125</v>
      </c>
      <c r="F317" s="5" t="s">
        <v>1336</v>
      </c>
      <c r="G317" s="6" t="s">
        <v>978</v>
      </c>
      <c r="H317" s="6" t="s">
        <v>68</v>
      </c>
      <c r="I317" s="6" t="s">
        <v>5845</v>
      </c>
      <c r="J317" s="6">
        <v>1864614</v>
      </c>
      <c r="K317" s="7" t="s">
        <v>8160</v>
      </c>
      <c r="L317" s="8">
        <v>25471</v>
      </c>
      <c r="M317" s="8" t="str">
        <f t="shared" ref="M317:M341" si="51">"PEN"</f>
        <v>PEN</v>
      </c>
      <c r="N317" s="13"/>
      <c r="O317" s="13">
        <v>8</v>
      </c>
      <c r="P317" s="3">
        <f t="shared" ref="P317:P341" si="52">+IF(OR($F317="SALDO",$F317="INGRESO"),$O317,0)</f>
        <v>0</v>
      </c>
      <c r="Q317" s="3">
        <f t="shared" ref="Q317:Q341" si="53">+IF($F317="EGRESO",$O317,0)</f>
        <v>8</v>
      </c>
      <c r="R317" s="3">
        <f t="shared" si="33"/>
        <v>176.00000000000006</v>
      </c>
      <c r="S317" s="24" t="s">
        <v>1334</v>
      </c>
      <c r="T317" s="24"/>
      <c r="U317" s="3"/>
      <c r="V317" s="25" t="s">
        <v>7756</v>
      </c>
      <c r="W317" s="25">
        <v>20517252558</v>
      </c>
      <c r="X317" s="25" t="str">
        <f>IFERROR(VLOOKUP(C_Ope_002[[#This Row],[nota_2]],Clientes_Proveedores[[Ruc / Dni]:[Razon Social]],2,0),"")</f>
        <v>COVISUR S.A.</v>
      </c>
      <c r="Y317" s="25" t="s">
        <v>7888</v>
      </c>
      <c r="Z317" s="25"/>
      <c r="AA317" s="3" t="str">
        <f>IF(C_Ope_002[[#This Row],[fecha]]&gt;0,TEXT(C_Ope_002[[#This Row],[fecha]],"mmmm"),0)</f>
        <v>Setiembre</v>
      </c>
      <c r="AB317" s="49"/>
    </row>
    <row r="318" spans="1:28" ht="24" x14ac:dyDescent="0.3">
      <c r="A318" s="2">
        <f>IF(C_Ope_002[[#This Row],[tipo_r]]="R",COUNTIFS($C$1:$C317,"R")+1,"")</f>
        <v>317</v>
      </c>
      <c r="B318" s="19" t="str">
        <f t="shared" si="50"/>
        <v>C_Ope_002</v>
      </c>
      <c r="C318" s="13" t="s">
        <v>1330</v>
      </c>
      <c r="D318" s="14">
        <v>45916</v>
      </c>
      <c r="E318" s="5" t="s">
        <v>8125</v>
      </c>
      <c r="F318" s="5" t="s">
        <v>1336</v>
      </c>
      <c r="G318" s="6" t="s">
        <v>978</v>
      </c>
      <c r="H318" s="6" t="s">
        <v>68</v>
      </c>
      <c r="I318" s="6" t="s">
        <v>5688</v>
      </c>
      <c r="J318" s="6">
        <v>2475294</v>
      </c>
      <c r="K318" s="7" t="s">
        <v>8160</v>
      </c>
      <c r="L318" s="8">
        <v>25472</v>
      </c>
      <c r="M318" s="8" t="str">
        <f t="shared" si="51"/>
        <v>PEN</v>
      </c>
      <c r="N318" s="13"/>
      <c r="O318" s="13">
        <v>8</v>
      </c>
      <c r="P318" s="3">
        <f t="shared" si="52"/>
        <v>0</v>
      </c>
      <c r="Q318" s="3">
        <f t="shared" si="53"/>
        <v>8</v>
      </c>
      <c r="R318" s="3">
        <f t="shared" si="33"/>
        <v>168.00000000000006</v>
      </c>
      <c r="S318" s="24" t="s">
        <v>1334</v>
      </c>
      <c r="T318" s="24"/>
      <c r="U318" s="3"/>
      <c r="V318" s="25" t="s">
        <v>7756</v>
      </c>
      <c r="W318" s="25">
        <v>20517252558</v>
      </c>
      <c r="X318" s="25" t="str">
        <f>IFERROR(VLOOKUP(C_Ope_002[[#This Row],[nota_2]],Clientes_Proveedores[[Ruc / Dni]:[Razon Social]],2,0),"")</f>
        <v>COVISUR S.A.</v>
      </c>
      <c r="Y318" s="25" t="s">
        <v>7888</v>
      </c>
      <c r="Z318" s="25"/>
      <c r="AA318" s="3" t="str">
        <f>IF(C_Ope_002[[#This Row],[fecha]]&gt;0,TEXT(C_Ope_002[[#This Row],[fecha]],"mmmm"),0)</f>
        <v>Setiembre</v>
      </c>
      <c r="AB318" s="49"/>
    </row>
    <row r="319" spans="1:28" ht="36" x14ac:dyDescent="0.3">
      <c r="A319" s="2">
        <f>IF(C_Ope_002[[#This Row],[tipo_r]]="R",COUNTIFS($C$1:$C318,"R")+1,"")</f>
        <v>318</v>
      </c>
      <c r="B319" s="19" t="str">
        <f t="shared" si="50"/>
        <v>C_Ope_002</v>
      </c>
      <c r="C319" s="13" t="s">
        <v>1330</v>
      </c>
      <c r="D319" s="14">
        <v>45916</v>
      </c>
      <c r="E319" s="5" t="s">
        <v>8125</v>
      </c>
      <c r="F319" s="5" t="s">
        <v>1336</v>
      </c>
      <c r="G319" s="6" t="s">
        <v>227</v>
      </c>
      <c r="H319" s="6" t="s">
        <v>68</v>
      </c>
      <c r="I319" s="6" t="s">
        <v>1390</v>
      </c>
      <c r="J319" s="6">
        <v>136976</v>
      </c>
      <c r="K319" s="7" t="s">
        <v>8161</v>
      </c>
      <c r="L319" s="8">
        <v>25470</v>
      </c>
      <c r="M319" s="8" t="str">
        <f t="shared" si="51"/>
        <v>PEN</v>
      </c>
      <c r="N319" s="13"/>
      <c r="O319" s="13">
        <v>10</v>
      </c>
      <c r="P319" s="3">
        <f t="shared" si="52"/>
        <v>0</v>
      </c>
      <c r="Q319" s="3">
        <f t="shared" si="53"/>
        <v>10</v>
      </c>
      <c r="R319" s="3">
        <f t="shared" si="33"/>
        <v>158.00000000000006</v>
      </c>
      <c r="S319" s="24" t="s">
        <v>1334</v>
      </c>
      <c r="T319" s="24"/>
      <c r="U319" s="3"/>
      <c r="V319" s="25" t="s">
        <v>7756</v>
      </c>
      <c r="W319" s="25">
        <v>20124952850</v>
      </c>
      <c r="X319" s="25" t="str">
        <f>IFERROR(VLOOKUP(C_Ope_002[[#This Row],[nota_2]],Clientes_Proveedores[[Ruc / Dni]:[Razon Social]],2,0),"")</f>
        <v>ALIMENTOS Y SERVICIOS AGROPECUARIOS SRL.</v>
      </c>
      <c r="Y319" s="25" t="s">
        <v>5933</v>
      </c>
      <c r="Z319" s="25"/>
      <c r="AA319" s="3" t="str">
        <f>IF(C_Ope_002[[#This Row],[fecha]]&gt;0,TEXT(C_Ope_002[[#This Row],[fecha]],"mmmm"),0)</f>
        <v>Setiembre</v>
      </c>
      <c r="AB319" s="49"/>
    </row>
    <row r="320" spans="1:28" x14ac:dyDescent="0.3">
      <c r="A320" s="2">
        <f>IF(C_Ope_002[[#This Row],[tipo_r]]="R",COUNTIFS($C$1:$C319,"R")+1,"")</f>
        <v>319</v>
      </c>
      <c r="B320" s="19" t="str">
        <f t="shared" si="50"/>
        <v>C_Ope_002</v>
      </c>
      <c r="C320" s="13" t="s">
        <v>1330</v>
      </c>
      <c r="D320" s="14">
        <v>45917</v>
      </c>
      <c r="E320" s="5" t="s">
        <v>8125</v>
      </c>
      <c r="F320" s="5" t="s">
        <v>1336</v>
      </c>
      <c r="G320" s="6" t="s">
        <v>978</v>
      </c>
      <c r="H320" s="6" t="s">
        <v>68</v>
      </c>
      <c r="I320" s="6" t="s">
        <v>5688</v>
      </c>
      <c r="J320" s="6">
        <v>2476163</v>
      </c>
      <c r="K320" s="7" t="s">
        <v>8162</v>
      </c>
      <c r="L320" s="8">
        <v>25496</v>
      </c>
      <c r="M320" s="8" t="str">
        <f t="shared" si="51"/>
        <v>PEN</v>
      </c>
      <c r="N320" s="13"/>
      <c r="O320" s="13">
        <v>8</v>
      </c>
      <c r="P320" s="3">
        <f t="shared" si="52"/>
        <v>0</v>
      </c>
      <c r="Q320" s="3">
        <f t="shared" si="53"/>
        <v>8</v>
      </c>
      <c r="R320" s="3">
        <f t="shared" si="33"/>
        <v>150.00000000000006</v>
      </c>
      <c r="S320" s="24" t="s">
        <v>1334</v>
      </c>
      <c r="T320" s="24"/>
      <c r="U320" s="3"/>
      <c r="V320" s="25" t="s">
        <v>7842</v>
      </c>
      <c r="W320" s="25">
        <v>20517252558</v>
      </c>
      <c r="X320" s="25" t="str">
        <f>IFERROR(VLOOKUP(C_Ope_002[[#This Row],[nota_2]],Clientes_Proveedores[[Ruc / Dni]:[Razon Social]],2,0),"")</f>
        <v>COVISUR S.A.</v>
      </c>
      <c r="Y320" s="25" t="s">
        <v>7888</v>
      </c>
      <c r="Z320" s="25"/>
      <c r="AA320" s="3" t="str">
        <f>IF(C_Ope_002[[#This Row],[fecha]]&gt;0,TEXT(C_Ope_002[[#This Row],[fecha]],"mmmm"),0)</f>
        <v>Setiembre</v>
      </c>
      <c r="AB320" s="49"/>
    </row>
    <row r="321" spans="1:28" x14ac:dyDescent="0.3">
      <c r="A321" s="2">
        <f>IF(C_Ope_002[[#This Row],[tipo_r]]="R",COUNTIFS($C$1:$C320,"R")+1,"")</f>
        <v>320</v>
      </c>
      <c r="B321" s="19" t="str">
        <f t="shared" si="50"/>
        <v>C_Ope_002</v>
      </c>
      <c r="C321" s="13" t="s">
        <v>1330</v>
      </c>
      <c r="D321" s="14">
        <v>45917</v>
      </c>
      <c r="E321" s="5" t="s">
        <v>8125</v>
      </c>
      <c r="F321" s="5" t="s">
        <v>1336</v>
      </c>
      <c r="G321" s="6" t="s">
        <v>978</v>
      </c>
      <c r="H321" s="6" t="s">
        <v>68</v>
      </c>
      <c r="I321" s="6" t="s">
        <v>5845</v>
      </c>
      <c r="J321" s="6">
        <v>1865739</v>
      </c>
      <c r="K321" s="7" t="s">
        <v>8163</v>
      </c>
      <c r="L321" s="8">
        <v>25517</v>
      </c>
      <c r="M321" s="8" t="str">
        <f t="shared" si="51"/>
        <v>PEN</v>
      </c>
      <c r="N321" s="13"/>
      <c r="O321" s="13">
        <v>8</v>
      </c>
      <c r="P321" s="3">
        <f t="shared" si="52"/>
        <v>0</v>
      </c>
      <c r="Q321" s="3">
        <f t="shared" si="53"/>
        <v>8</v>
      </c>
      <c r="R321" s="3">
        <f t="shared" si="33"/>
        <v>142.00000000000006</v>
      </c>
      <c r="S321" s="24" t="s">
        <v>1334</v>
      </c>
      <c r="T321" s="24"/>
      <c r="U321" s="3"/>
      <c r="V321" s="25" t="s">
        <v>7842</v>
      </c>
      <c r="W321" s="25">
        <v>20517252558</v>
      </c>
      <c r="X321" s="25" t="str">
        <f>IFERROR(VLOOKUP(C_Ope_002[[#This Row],[nota_2]],Clientes_Proveedores[[Ruc / Dni]:[Razon Social]],2,0),"")</f>
        <v>COVISUR S.A.</v>
      </c>
      <c r="Y321" s="25" t="s">
        <v>7888</v>
      </c>
      <c r="Z321" s="25"/>
      <c r="AA321" s="3" t="str">
        <f>IF(C_Ope_002[[#This Row],[fecha]]&gt;0,TEXT(C_Ope_002[[#This Row],[fecha]],"mmmm"),0)</f>
        <v>Setiembre</v>
      </c>
      <c r="AB321" s="49"/>
    </row>
    <row r="322" spans="1:28" ht="36" x14ac:dyDescent="0.3">
      <c r="A322" s="2">
        <f>IF(C_Ope_002[[#This Row],[tipo_r]]="R",COUNTIFS($C$1:$C321,"R")+1,"")</f>
        <v>321</v>
      </c>
      <c r="B322" s="19" t="str">
        <f t="shared" si="50"/>
        <v>C_Ope_002</v>
      </c>
      <c r="C322" s="13" t="s">
        <v>1330</v>
      </c>
      <c r="D322" s="14">
        <v>45917</v>
      </c>
      <c r="E322" s="5" t="s">
        <v>8125</v>
      </c>
      <c r="F322" s="5" t="s">
        <v>1336</v>
      </c>
      <c r="G322" s="6" t="s">
        <v>682</v>
      </c>
      <c r="H322" s="6" t="s">
        <v>68</v>
      </c>
      <c r="I322" s="6" t="s">
        <v>1353</v>
      </c>
      <c r="J322" s="6">
        <v>17741</v>
      </c>
      <c r="K322" s="7" t="s">
        <v>8164</v>
      </c>
      <c r="L322" s="8">
        <v>25495</v>
      </c>
      <c r="M322" s="8" t="str">
        <f t="shared" si="51"/>
        <v>PEN</v>
      </c>
      <c r="N322" s="13"/>
      <c r="O322" s="13">
        <v>20</v>
      </c>
      <c r="P322" s="3">
        <f t="shared" si="52"/>
        <v>0</v>
      </c>
      <c r="Q322" s="3">
        <f t="shared" si="53"/>
        <v>20</v>
      </c>
      <c r="R322" s="3">
        <f t="shared" ref="R322:R385" si="54">IFERROR(IF(F322="SALDO",P322,R321+P322-Q322),0)</f>
        <v>122.00000000000006</v>
      </c>
      <c r="S322" s="24" t="s">
        <v>1334</v>
      </c>
      <c r="T322" s="24"/>
      <c r="U322" s="3"/>
      <c r="V322" s="25" t="s">
        <v>7842</v>
      </c>
      <c r="W322" s="25">
        <v>20259858934</v>
      </c>
      <c r="X322" s="25" t="str">
        <f>IFERROR(VLOOKUP(C_Ope_002[[#This Row],[nota_2]],Clientes_Proveedores[[Ruc / Dni]:[Razon Social]],2,0),"")</f>
        <v>COMERCIALIZACION Y SERVICIOS EL EDEN S.A.C.</v>
      </c>
      <c r="Y322" s="25" t="s">
        <v>5933</v>
      </c>
      <c r="Z322" s="25"/>
      <c r="AA322" s="3" t="str">
        <f>IF(C_Ope_002[[#This Row],[fecha]]&gt;0,TEXT(C_Ope_002[[#This Row],[fecha]],"mmmm"),0)</f>
        <v>Setiembre</v>
      </c>
      <c r="AB322" s="49"/>
    </row>
    <row r="323" spans="1:28" x14ac:dyDescent="0.3">
      <c r="A323" s="2">
        <f>IF(C_Ope_002[[#This Row],[tipo_r]]="R",COUNTIFS($C$1:$C322,"R")+1,"")</f>
        <v>322</v>
      </c>
      <c r="B323" s="19" t="str">
        <f t="shared" si="50"/>
        <v>C_Ope_002</v>
      </c>
      <c r="C323" s="13" t="s">
        <v>1330</v>
      </c>
      <c r="D323" s="14">
        <v>45918</v>
      </c>
      <c r="E323" s="5" t="s">
        <v>8125</v>
      </c>
      <c r="F323" s="5" t="s">
        <v>1336</v>
      </c>
      <c r="G323" s="6" t="s">
        <v>978</v>
      </c>
      <c r="H323" s="6" t="s">
        <v>68</v>
      </c>
      <c r="I323" s="6" t="s">
        <v>5688</v>
      </c>
      <c r="J323" s="6">
        <v>2477630</v>
      </c>
      <c r="K323" s="7" t="s">
        <v>8163</v>
      </c>
      <c r="L323" s="8">
        <v>25516</v>
      </c>
      <c r="M323" s="8" t="str">
        <f t="shared" si="51"/>
        <v>PEN</v>
      </c>
      <c r="N323" s="13"/>
      <c r="O323" s="13">
        <v>8</v>
      </c>
      <c r="P323" s="3">
        <f t="shared" si="52"/>
        <v>0</v>
      </c>
      <c r="Q323" s="3">
        <f t="shared" si="53"/>
        <v>8</v>
      </c>
      <c r="R323" s="3">
        <f t="shared" si="54"/>
        <v>114.00000000000006</v>
      </c>
      <c r="S323" s="24" t="s">
        <v>1334</v>
      </c>
      <c r="T323" s="24"/>
      <c r="U323" s="3"/>
      <c r="V323" s="25" t="s">
        <v>7756</v>
      </c>
      <c r="W323" s="25">
        <v>20517252558</v>
      </c>
      <c r="X323" s="25" t="str">
        <f>IFERROR(VLOOKUP(C_Ope_002[[#This Row],[nota_2]],Clientes_Proveedores[[Ruc / Dni]:[Razon Social]],2,0),"")</f>
        <v>COVISUR S.A.</v>
      </c>
      <c r="Y323" s="25" t="s">
        <v>7888</v>
      </c>
      <c r="Z323" s="25"/>
      <c r="AA323" s="3" t="str">
        <f>IF(C_Ope_002[[#This Row],[fecha]]&gt;0,TEXT(C_Ope_002[[#This Row],[fecha]],"mmmm"),0)</f>
        <v>Setiembre</v>
      </c>
      <c r="AB323" s="49"/>
    </row>
    <row r="324" spans="1:28" ht="24" x14ac:dyDescent="0.3">
      <c r="A324" s="2">
        <f>IF(C_Ope_002[[#This Row],[tipo_r]]="R",COUNTIFS($C$1:$C323,"R")+1,"")</f>
        <v>323</v>
      </c>
      <c r="B324" s="19" t="str">
        <f t="shared" si="50"/>
        <v>C_Ope_002</v>
      </c>
      <c r="C324" s="13" t="s">
        <v>1330</v>
      </c>
      <c r="D324" s="14">
        <v>45918</v>
      </c>
      <c r="E324" s="5" t="s">
        <v>8125</v>
      </c>
      <c r="F324" s="5" t="s">
        <v>1336</v>
      </c>
      <c r="G324" s="6" t="s">
        <v>978</v>
      </c>
      <c r="H324" s="6" t="s">
        <v>68</v>
      </c>
      <c r="I324" s="6" t="s">
        <v>6203</v>
      </c>
      <c r="J324" s="6">
        <v>2183347</v>
      </c>
      <c r="K324" s="7" t="s">
        <v>8165</v>
      </c>
      <c r="L324" s="8">
        <v>25520</v>
      </c>
      <c r="M324" s="8" t="str">
        <f t="shared" si="51"/>
        <v>PEN</v>
      </c>
      <c r="N324" s="13"/>
      <c r="O324" s="13">
        <v>8</v>
      </c>
      <c r="P324" s="3">
        <f t="shared" si="52"/>
        <v>0</v>
      </c>
      <c r="Q324" s="3">
        <f t="shared" si="53"/>
        <v>8</v>
      </c>
      <c r="R324" s="3">
        <f t="shared" si="54"/>
        <v>106.00000000000006</v>
      </c>
      <c r="S324" s="24" t="s">
        <v>1334</v>
      </c>
      <c r="T324" s="24"/>
      <c r="U324" s="3"/>
      <c r="V324" s="25" t="s">
        <v>7756</v>
      </c>
      <c r="W324" s="25">
        <v>20517252558</v>
      </c>
      <c r="X324" s="25" t="str">
        <f>IFERROR(VLOOKUP(C_Ope_002[[#This Row],[nota_2]],Clientes_Proveedores[[Ruc / Dni]:[Razon Social]],2,0),"")</f>
        <v>COVISUR S.A.</v>
      </c>
      <c r="Y324" s="25" t="s">
        <v>7888</v>
      </c>
      <c r="Z324" s="25"/>
      <c r="AA324" s="3" t="str">
        <f>IF(C_Ope_002[[#This Row],[fecha]]&gt;0,TEXT(C_Ope_002[[#This Row],[fecha]],"mmmm"),0)</f>
        <v>Setiembre</v>
      </c>
      <c r="AB324" s="49"/>
    </row>
    <row r="325" spans="1:28" ht="36" x14ac:dyDescent="0.3">
      <c r="A325" s="2">
        <f>IF(C_Ope_002[[#This Row],[tipo_r]]="R",COUNTIFS($C$1:$C324,"R")+1,"")</f>
        <v>324</v>
      </c>
      <c r="B325" s="19" t="str">
        <f t="shared" si="50"/>
        <v>C_Ope_002</v>
      </c>
      <c r="C325" s="13" t="s">
        <v>1330</v>
      </c>
      <c r="D325" s="14">
        <v>45918</v>
      </c>
      <c r="E325" s="5" t="s">
        <v>8125</v>
      </c>
      <c r="F325" s="5" t="s">
        <v>1336</v>
      </c>
      <c r="G325" s="6" t="s">
        <v>682</v>
      </c>
      <c r="H325" s="6" t="s">
        <v>68</v>
      </c>
      <c r="I325" s="6" t="s">
        <v>1353</v>
      </c>
      <c r="J325" s="6">
        <v>17753</v>
      </c>
      <c r="K325" s="7" t="s">
        <v>8166</v>
      </c>
      <c r="L325" s="8">
        <v>25518</v>
      </c>
      <c r="M325" s="8" t="str">
        <f t="shared" si="51"/>
        <v>PEN</v>
      </c>
      <c r="N325" s="13"/>
      <c r="O325" s="13">
        <v>20</v>
      </c>
      <c r="P325" s="3">
        <f t="shared" si="52"/>
        <v>0</v>
      </c>
      <c r="Q325" s="3">
        <f t="shared" si="53"/>
        <v>20</v>
      </c>
      <c r="R325" s="3">
        <f t="shared" si="54"/>
        <v>86.000000000000057</v>
      </c>
      <c r="S325" s="24" t="s">
        <v>1334</v>
      </c>
      <c r="T325" s="24"/>
      <c r="U325" s="3"/>
      <c r="V325" s="25" t="s">
        <v>7756</v>
      </c>
      <c r="W325" s="25">
        <v>20259858934</v>
      </c>
      <c r="X325" s="25" t="str">
        <f>IFERROR(VLOOKUP(C_Ope_002[[#This Row],[nota_2]],Clientes_Proveedores[[Ruc / Dni]:[Razon Social]],2,0),"")</f>
        <v>COMERCIALIZACION Y SERVICIOS EL EDEN S.A.C.</v>
      </c>
      <c r="Y325" s="25" t="s">
        <v>5933</v>
      </c>
      <c r="Z325" s="25"/>
      <c r="AA325" s="3" t="str">
        <f>IF(C_Ope_002[[#This Row],[fecha]]&gt;0,TEXT(C_Ope_002[[#This Row],[fecha]],"mmmm"),0)</f>
        <v>Setiembre</v>
      </c>
      <c r="AB325" s="49"/>
    </row>
    <row r="326" spans="1:28" ht="24" x14ac:dyDescent="0.3">
      <c r="A326" s="2">
        <f>IF(C_Ope_002[[#This Row],[tipo_r]]="R",COUNTIFS($C$1:$C325,"R")+1,"")</f>
        <v>325</v>
      </c>
      <c r="B326" s="19" t="str">
        <f t="shared" si="50"/>
        <v>C_Ope_002</v>
      </c>
      <c r="C326" s="13" t="s">
        <v>1330</v>
      </c>
      <c r="D326" s="14">
        <v>45919</v>
      </c>
      <c r="E326" s="5" t="s">
        <v>8125</v>
      </c>
      <c r="F326" s="5" t="s">
        <v>1336</v>
      </c>
      <c r="G326" s="6" t="s">
        <v>978</v>
      </c>
      <c r="H326" s="6" t="s">
        <v>68</v>
      </c>
      <c r="I326" s="6" t="s">
        <v>5688</v>
      </c>
      <c r="J326" s="6">
        <v>2478754</v>
      </c>
      <c r="K326" s="7" t="s">
        <v>8167</v>
      </c>
      <c r="L326" s="8">
        <v>25532</v>
      </c>
      <c r="M326" s="8" t="str">
        <f t="shared" si="51"/>
        <v>PEN</v>
      </c>
      <c r="N326" s="13"/>
      <c r="O326" s="13">
        <v>8</v>
      </c>
      <c r="P326" s="3">
        <f t="shared" si="52"/>
        <v>0</v>
      </c>
      <c r="Q326" s="3">
        <f t="shared" si="53"/>
        <v>8</v>
      </c>
      <c r="R326" s="3">
        <f t="shared" si="54"/>
        <v>78.000000000000057</v>
      </c>
      <c r="S326" s="24" t="s">
        <v>1334</v>
      </c>
      <c r="T326" s="24"/>
      <c r="U326" s="3"/>
      <c r="V326" s="25" t="s">
        <v>7842</v>
      </c>
      <c r="W326" s="25">
        <v>20517252558</v>
      </c>
      <c r="X326" s="25" t="str">
        <f>IFERROR(VLOOKUP(C_Ope_002[[#This Row],[nota_2]],Clientes_Proveedores[[Ruc / Dni]:[Razon Social]],2,0),"")</f>
        <v>COVISUR S.A.</v>
      </c>
      <c r="Y326" s="25" t="s">
        <v>7888</v>
      </c>
      <c r="Z326" s="25"/>
      <c r="AA326" s="3" t="str">
        <f>IF(C_Ope_002[[#This Row],[fecha]]&gt;0,TEXT(C_Ope_002[[#This Row],[fecha]],"mmmm"),0)</f>
        <v>Setiembre</v>
      </c>
      <c r="AB326" s="49"/>
    </row>
    <row r="327" spans="1:28" x14ac:dyDescent="0.3">
      <c r="A327" s="2">
        <f>IF(C_Ope_002[[#This Row],[tipo_r]]="R",COUNTIFS($C$1:$C326,"R")+1,"")</f>
        <v>326</v>
      </c>
      <c r="B327" s="19" t="str">
        <f t="shared" si="50"/>
        <v>C_Ope_002</v>
      </c>
      <c r="C327" s="13" t="s">
        <v>1330</v>
      </c>
      <c r="D327" s="14">
        <v>45919</v>
      </c>
      <c r="E327" s="5" t="s">
        <v>8125</v>
      </c>
      <c r="F327" s="5" t="s">
        <v>1336</v>
      </c>
      <c r="G327" s="6" t="s">
        <v>978</v>
      </c>
      <c r="H327" s="6" t="s">
        <v>68</v>
      </c>
      <c r="I327" s="6" t="s">
        <v>5845</v>
      </c>
      <c r="J327" s="6">
        <v>1868073</v>
      </c>
      <c r="K327" s="7" t="s">
        <v>8168</v>
      </c>
      <c r="L327" s="8">
        <v>25533</v>
      </c>
      <c r="M327" s="8" t="str">
        <f t="shared" si="51"/>
        <v>PEN</v>
      </c>
      <c r="N327" s="13"/>
      <c r="O327" s="13">
        <v>8</v>
      </c>
      <c r="P327" s="3">
        <f t="shared" si="52"/>
        <v>0</v>
      </c>
      <c r="Q327" s="3">
        <f t="shared" si="53"/>
        <v>8</v>
      </c>
      <c r="R327" s="3">
        <f t="shared" si="54"/>
        <v>70.000000000000057</v>
      </c>
      <c r="S327" s="24" t="s">
        <v>1334</v>
      </c>
      <c r="T327" s="24"/>
      <c r="U327" s="3"/>
      <c r="V327" s="25" t="s">
        <v>7842</v>
      </c>
      <c r="W327" s="25">
        <v>20517252558</v>
      </c>
      <c r="X327" s="25" t="str">
        <f>IFERROR(VLOOKUP(C_Ope_002[[#This Row],[nota_2]],Clientes_Proveedores[[Ruc / Dni]:[Razon Social]],2,0),"")</f>
        <v>COVISUR S.A.</v>
      </c>
      <c r="Y327" s="25" t="s">
        <v>7888</v>
      </c>
      <c r="Z327" s="25"/>
      <c r="AA327" s="3" t="str">
        <f>IF(C_Ope_002[[#This Row],[fecha]]&gt;0,TEXT(C_Ope_002[[#This Row],[fecha]],"mmmm"),0)</f>
        <v>Setiembre</v>
      </c>
      <c r="AB327" s="49"/>
    </row>
    <row r="328" spans="1:28" ht="36" x14ac:dyDescent="0.3">
      <c r="A328" s="2">
        <f>IF(C_Ope_002[[#This Row],[tipo_r]]="R",COUNTIFS($C$1:$C327,"R")+1,"")</f>
        <v>327</v>
      </c>
      <c r="B328" s="19" t="str">
        <f t="shared" si="50"/>
        <v>C_Ope_002</v>
      </c>
      <c r="C328" s="13" t="s">
        <v>1330</v>
      </c>
      <c r="D328" s="14">
        <v>45919</v>
      </c>
      <c r="E328" s="5" t="s">
        <v>8125</v>
      </c>
      <c r="F328" s="5" t="s">
        <v>1336</v>
      </c>
      <c r="G328" s="6" t="s">
        <v>682</v>
      </c>
      <c r="H328" s="6" t="s">
        <v>68</v>
      </c>
      <c r="I328" s="6" t="s">
        <v>1353</v>
      </c>
      <c r="J328" s="6">
        <v>17765</v>
      </c>
      <c r="K328" s="7" t="s">
        <v>8169</v>
      </c>
      <c r="L328" s="8">
        <v>25531</v>
      </c>
      <c r="M328" s="8" t="str">
        <f t="shared" si="51"/>
        <v>PEN</v>
      </c>
      <c r="N328" s="13"/>
      <c r="O328" s="13">
        <v>8</v>
      </c>
      <c r="P328" s="3">
        <f t="shared" si="52"/>
        <v>0</v>
      </c>
      <c r="Q328" s="3">
        <f t="shared" si="53"/>
        <v>8</v>
      </c>
      <c r="R328" s="3">
        <f t="shared" si="54"/>
        <v>62.000000000000057</v>
      </c>
      <c r="S328" s="24" t="s">
        <v>1334</v>
      </c>
      <c r="T328" s="24"/>
      <c r="U328" s="3"/>
      <c r="V328" s="25" t="s">
        <v>7842</v>
      </c>
      <c r="W328" s="25">
        <v>20259858934</v>
      </c>
      <c r="X328" s="25" t="str">
        <f>IFERROR(VLOOKUP(C_Ope_002[[#This Row],[nota_2]],Clientes_Proveedores[[Ruc / Dni]:[Razon Social]],2,0),"")</f>
        <v>COMERCIALIZACION Y SERVICIOS EL EDEN S.A.C.</v>
      </c>
      <c r="Y328" s="25" t="s">
        <v>5933</v>
      </c>
      <c r="Z328" s="25"/>
      <c r="AA328" s="3" t="str">
        <f>IF(C_Ope_002[[#This Row],[fecha]]&gt;0,TEXT(C_Ope_002[[#This Row],[fecha]],"mmmm"),0)</f>
        <v>Setiembre</v>
      </c>
      <c r="AB328" s="49"/>
    </row>
    <row r="329" spans="1:28" x14ac:dyDescent="0.3">
      <c r="A329" s="2">
        <f>IF(C_Ope_002[[#This Row],[tipo_r]]="R",COUNTIFS($C$1:$C328,"R")+1,"")</f>
        <v>328</v>
      </c>
      <c r="B329" s="19" t="str">
        <f>"C_Ope_002"</f>
        <v>C_Ope_002</v>
      </c>
      <c r="C329" s="13" t="s">
        <v>1330</v>
      </c>
      <c r="D329" s="14">
        <v>45922</v>
      </c>
      <c r="E329" s="5" t="s">
        <v>3634</v>
      </c>
      <c r="F329" s="5" t="s">
        <v>1303</v>
      </c>
      <c r="G329" s="6" t="s">
        <v>798</v>
      </c>
      <c r="H329" s="6"/>
      <c r="I329" s="6"/>
      <c r="J329" s="6"/>
      <c r="K329" s="7" t="s">
        <v>7516</v>
      </c>
      <c r="L329" s="8">
        <v>25564</v>
      </c>
      <c r="M329" s="8" t="str">
        <f>"PEN"</f>
        <v>PEN</v>
      </c>
      <c r="N329" s="13"/>
      <c r="O329" s="13">
        <v>150</v>
      </c>
      <c r="P329" s="3">
        <f>+IF(OR($F329="SALDO",$F329="INGRESO"),$O329,0)</f>
        <v>150</v>
      </c>
      <c r="Q329" s="3">
        <f>+IF($F329="EGRESO",$O329,0)</f>
        <v>0</v>
      </c>
      <c r="R329" s="3">
        <f t="shared" si="54"/>
        <v>212.00000000000006</v>
      </c>
      <c r="S329" s="24" t="s">
        <v>1334</v>
      </c>
      <c r="T329" s="24" t="s">
        <v>1334</v>
      </c>
      <c r="U329" s="3"/>
      <c r="V329" s="25"/>
      <c r="W329" s="25"/>
      <c r="X329" s="25" t="str">
        <f>IFERROR(VLOOKUP(C_Ope_002[[#This Row],[nota_2]],Clientes_Proveedores[[Ruc / Dni]:[Razon Social]],2,0),"")</f>
        <v/>
      </c>
      <c r="Y329" s="25"/>
      <c r="Z329" s="25"/>
      <c r="AA329" s="3" t="str">
        <f>IF(C_Ope_002[[#This Row],[fecha]]&gt;0,TEXT(C_Ope_002[[#This Row],[fecha]],"mmmm"),0)</f>
        <v>Setiembre</v>
      </c>
      <c r="AB329" s="49"/>
    </row>
    <row r="330" spans="1:28" ht="24" x14ac:dyDescent="0.3">
      <c r="A330" s="2">
        <f>IF(C_Ope_002[[#This Row],[tipo_r]]="R",COUNTIFS($C$1:$C329,"R")+1,"")</f>
        <v>329</v>
      </c>
      <c r="B330" s="19" t="str">
        <f t="shared" si="50"/>
        <v>C_Ope_002</v>
      </c>
      <c r="C330" s="13" t="s">
        <v>1330</v>
      </c>
      <c r="D330" s="14">
        <v>45922</v>
      </c>
      <c r="E330" s="5" t="s">
        <v>8125</v>
      </c>
      <c r="F330" s="5" t="s">
        <v>1336</v>
      </c>
      <c r="G330" s="6" t="s">
        <v>978</v>
      </c>
      <c r="H330" s="6" t="s">
        <v>68</v>
      </c>
      <c r="I330" s="6" t="s">
        <v>5845</v>
      </c>
      <c r="J330" s="6">
        <v>1870836</v>
      </c>
      <c r="K330" s="7" t="s">
        <v>8170</v>
      </c>
      <c r="L330" s="8">
        <v>25561</v>
      </c>
      <c r="M330" s="8" t="str">
        <f t="shared" si="51"/>
        <v>PEN</v>
      </c>
      <c r="N330" s="13"/>
      <c r="O330" s="13">
        <v>8</v>
      </c>
      <c r="P330" s="3">
        <f t="shared" si="52"/>
        <v>0</v>
      </c>
      <c r="Q330" s="3">
        <f t="shared" si="53"/>
        <v>8</v>
      </c>
      <c r="R330" s="3">
        <f t="shared" si="54"/>
        <v>204.00000000000006</v>
      </c>
      <c r="S330" s="24" t="s">
        <v>1334</v>
      </c>
      <c r="T330" s="24"/>
      <c r="U330" s="3"/>
      <c r="V330" s="25" t="s">
        <v>7842</v>
      </c>
      <c r="W330" s="25">
        <v>20517252558</v>
      </c>
      <c r="X330" s="25" t="str">
        <f>IFERROR(VLOOKUP(C_Ope_002[[#This Row],[nota_2]],Clientes_Proveedores[[Ruc / Dni]:[Razon Social]],2,0),"")</f>
        <v>COVISUR S.A.</v>
      </c>
      <c r="Y330" s="25" t="s">
        <v>7888</v>
      </c>
      <c r="Z330" s="25"/>
      <c r="AA330" s="3" t="str">
        <f>IF(C_Ope_002[[#This Row],[fecha]]&gt;0,TEXT(C_Ope_002[[#This Row],[fecha]],"mmmm"),0)</f>
        <v>Setiembre</v>
      </c>
      <c r="AB330" s="49"/>
    </row>
    <row r="331" spans="1:28" ht="24" x14ac:dyDescent="0.3">
      <c r="A331" s="2">
        <f>IF(C_Ope_002[[#This Row],[tipo_r]]="R",COUNTIFS($C$1:$C330,"R")+1,"")</f>
        <v>330</v>
      </c>
      <c r="B331" s="19" t="str">
        <f t="shared" si="50"/>
        <v>C_Ope_002</v>
      </c>
      <c r="C331" s="13" t="s">
        <v>1330</v>
      </c>
      <c r="D331" s="14">
        <v>45922</v>
      </c>
      <c r="E331" s="5" t="s">
        <v>8125</v>
      </c>
      <c r="F331" s="5" t="s">
        <v>1336</v>
      </c>
      <c r="G331" s="6" t="s">
        <v>978</v>
      </c>
      <c r="H331" s="6" t="s">
        <v>68</v>
      </c>
      <c r="I331" s="6" t="s">
        <v>5688</v>
      </c>
      <c r="J331" s="6">
        <v>2482437</v>
      </c>
      <c r="K331" s="7" t="s">
        <v>8170</v>
      </c>
      <c r="L331" s="8">
        <v>25562</v>
      </c>
      <c r="M331" s="8" t="str">
        <f t="shared" si="51"/>
        <v>PEN</v>
      </c>
      <c r="N331" s="13"/>
      <c r="O331" s="13">
        <v>8</v>
      </c>
      <c r="P331" s="3">
        <f t="shared" si="52"/>
        <v>0</v>
      </c>
      <c r="Q331" s="3">
        <f t="shared" si="53"/>
        <v>8</v>
      </c>
      <c r="R331" s="3">
        <f t="shared" si="54"/>
        <v>196.00000000000006</v>
      </c>
      <c r="S331" s="24" t="s">
        <v>1334</v>
      </c>
      <c r="T331" s="24"/>
      <c r="U331" s="3"/>
      <c r="V331" s="25" t="s">
        <v>7842</v>
      </c>
      <c r="W331" s="25">
        <v>20517252558</v>
      </c>
      <c r="X331" s="25" t="str">
        <f>IFERROR(VLOOKUP(C_Ope_002[[#This Row],[nota_2]],Clientes_Proveedores[[Ruc / Dni]:[Razon Social]],2,0),"")</f>
        <v>COVISUR S.A.</v>
      </c>
      <c r="Y331" s="25" t="s">
        <v>7888</v>
      </c>
      <c r="Z331" s="25"/>
      <c r="AA331" s="3" t="str">
        <f>IF(C_Ope_002[[#This Row],[fecha]]&gt;0,TEXT(C_Ope_002[[#This Row],[fecha]],"mmmm"),0)</f>
        <v>Setiembre</v>
      </c>
      <c r="AB331" s="49"/>
    </row>
    <row r="332" spans="1:28" ht="36" x14ac:dyDescent="0.3">
      <c r="A332" s="2">
        <f>IF(C_Ope_002[[#This Row],[tipo_r]]="R",COUNTIFS($C$1:$C331,"R")+1,"")</f>
        <v>331</v>
      </c>
      <c r="B332" s="19" t="str">
        <f t="shared" si="50"/>
        <v>C_Ope_002</v>
      </c>
      <c r="C332" s="13" t="s">
        <v>1330</v>
      </c>
      <c r="D332" s="14">
        <v>45922</v>
      </c>
      <c r="E332" s="5" t="s">
        <v>8125</v>
      </c>
      <c r="F332" s="5" t="s">
        <v>1336</v>
      </c>
      <c r="G332" s="6" t="s">
        <v>682</v>
      </c>
      <c r="H332" s="6" t="s">
        <v>68</v>
      </c>
      <c r="I332" s="6" t="s">
        <v>1353</v>
      </c>
      <c r="J332" s="6">
        <v>17795</v>
      </c>
      <c r="K332" s="7" t="s">
        <v>8171</v>
      </c>
      <c r="L332" s="8">
        <v>25563</v>
      </c>
      <c r="M332" s="8" t="str">
        <f t="shared" si="51"/>
        <v>PEN</v>
      </c>
      <c r="N332" s="13"/>
      <c r="O332" s="13">
        <v>20</v>
      </c>
      <c r="P332" s="3">
        <f t="shared" si="52"/>
        <v>0</v>
      </c>
      <c r="Q332" s="3">
        <f t="shared" si="53"/>
        <v>20</v>
      </c>
      <c r="R332" s="3">
        <f t="shared" si="54"/>
        <v>176.00000000000006</v>
      </c>
      <c r="S332" s="24" t="s">
        <v>1334</v>
      </c>
      <c r="T332" s="24"/>
      <c r="U332" s="3"/>
      <c r="V332" s="25" t="s">
        <v>7842</v>
      </c>
      <c r="W332" s="25">
        <v>20259858934</v>
      </c>
      <c r="X332" s="25" t="str">
        <f>IFERROR(VLOOKUP(C_Ope_002[[#This Row],[nota_2]],Clientes_Proveedores[[Ruc / Dni]:[Razon Social]],2,0),"")</f>
        <v>COMERCIALIZACION Y SERVICIOS EL EDEN S.A.C.</v>
      </c>
      <c r="Y332" s="25" t="s">
        <v>5933</v>
      </c>
      <c r="Z332" s="25"/>
      <c r="AA332" s="3" t="str">
        <f>IF(C_Ope_002[[#This Row],[fecha]]&gt;0,TEXT(C_Ope_002[[#This Row],[fecha]],"mmmm"),0)</f>
        <v>Setiembre</v>
      </c>
      <c r="AB332" s="49"/>
    </row>
    <row r="333" spans="1:28" ht="24" x14ac:dyDescent="0.3">
      <c r="A333" s="2">
        <f>IF(C_Ope_002[[#This Row],[tipo_r]]="R",COUNTIFS($C$1:$C332,"R")+1,"")</f>
        <v>332</v>
      </c>
      <c r="B333" s="19" t="str">
        <f t="shared" si="50"/>
        <v>C_Ope_002</v>
      </c>
      <c r="C333" s="13" t="s">
        <v>1330</v>
      </c>
      <c r="D333" s="14">
        <v>45923</v>
      </c>
      <c r="E333" s="5" t="s">
        <v>8125</v>
      </c>
      <c r="F333" s="5" t="s">
        <v>1336</v>
      </c>
      <c r="G333" s="6" t="s">
        <v>978</v>
      </c>
      <c r="H333" s="6" t="s">
        <v>68</v>
      </c>
      <c r="I333" s="6" t="s">
        <v>6203</v>
      </c>
      <c r="J333" s="6">
        <v>2188733</v>
      </c>
      <c r="K333" s="7" t="s">
        <v>8172</v>
      </c>
      <c r="L333" s="8">
        <v>25577</v>
      </c>
      <c r="M333" s="8" t="str">
        <f t="shared" si="51"/>
        <v>PEN</v>
      </c>
      <c r="N333" s="13"/>
      <c r="O333" s="13">
        <v>8</v>
      </c>
      <c r="P333" s="3">
        <f t="shared" si="52"/>
        <v>0</v>
      </c>
      <c r="Q333" s="3">
        <f t="shared" si="53"/>
        <v>8</v>
      </c>
      <c r="R333" s="3">
        <f t="shared" si="54"/>
        <v>168.00000000000006</v>
      </c>
      <c r="S333" s="24" t="s">
        <v>1334</v>
      </c>
      <c r="T333" s="24"/>
      <c r="U333" s="3"/>
      <c r="V333" s="25" t="s">
        <v>7842</v>
      </c>
      <c r="W333" s="25">
        <v>20517252558</v>
      </c>
      <c r="X333" s="25" t="str">
        <f>IFERROR(VLOOKUP(C_Ope_002[[#This Row],[nota_2]],Clientes_Proveedores[[Ruc / Dni]:[Razon Social]],2,0),"")</f>
        <v>COVISUR S.A.</v>
      </c>
      <c r="Y333" s="25" t="s">
        <v>7888</v>
      </c>
      <c r="Z333" s="25"/>
      <c r="AA333" s="3" t="str">
        <f>IF(C_Ope_002[[#This Row],[fecha]]&gt;0,TEXT(C_Ope_002[[#This Row],[fecha]],"mmmm"),0)</f>
        <v>Setiembre</v>
      </c>
      <c r="AB333" s="49"/>
    </row>
    <row r="334" spans="1:28" ht="24" x14ac:dyDescent="0.3">
      <c r="A334" s="2">
        <f>IF(C_Ope_002[[#This Row],[tipo_r]]="R",COUNTIFS($C$1:$C333,"R")+1,"")</f>
        <v>333</v>
      </c>
      <c r="B334" s="19" t="str">
        <f t="shared" si="50"/>
        <v>C_Ope_002</v>
      </c>
      <c r="C334" s="13" t="s">
        <v>1330</v>
      </c>
      <c r="D334" s="14">
        <v>45923</v>
      </c>
      <c r="E334" s="5" t="s">
        <v>8125</v>
      </c>
      <c r="F334" s="5" t="s">
        <v>1336</v>
      </c>
      <c r="G334" s="6" t="s">
        <v>978</v>
      </c>
      <c r="H334" s="6" t="s">
        <v>68</v>
      </c>
      <c r="I334" s="6" t="s">
        <v>5688</v>
      </c>
      <c r="J334" s="6">
        <v>2483870</v>
      </c>
      <c r="K334" s="7" t="s">
        <v>8172</v>
      </c>
      <c r="L334" s="8">
        <v>25579</v>
      </c>
      <c r="M334" s="8" t="str">
        <f t="shared" si="51"/>
        <v>PEN</v>
      </c>
      <c r="N334" s="13"/>
      <c r="O334" s="13">
        <v>8</v>
      </c>
      <c r="P334" s="3">
        <f t="shared" si="52"/>
        <v>0</v>
      </c>
      <c r="Q334" s="3">
        <f t="shared" si="53"/>
        <v>8</v>
      </c>
      <c r="R334" s="3">
        <f t="shared" si="54"/>
        <v>160.00000000000006</v>
      </c>
      <c r="S334" s="24" t="s">
        <v>1334</v>
      </c>
      <c r="T334" s="24"/>
      <c r="U334" s="3"/>
      <c r="V334" s="25" t="s">
        <v>7842</v>
      </c>
      <c r="W334" s="25">
        <v>20517252558</v>
      </c>
      <c r="X334" s="25" t="str">
        <f>IFERROR(VLOOKUP(C_Ope_002[[#This Row],[nota_2]],Clientes_Proveedores[[Ruc / Dni]:[Razon Social]],2,0),"")</f>
        <v>COVISUR S.A.</v>
      </c>
      <c r="Y334" s="25" t="s">
        <v>7888</v>
      </c>
      <c r="Z334" s="25"/>
      <c r="AA334" s="3" t="str">
        <f>IF(C_Ope_002[[#This Row],[fecha]]&gt;0,TEXT(C_Ope_002[[#This Row],[fecha]],"mmmm"),0)</f>
        <v>Setiembre</v>
      </c>
      <c r="AB334" s="49"/>
    </row>
    <row r="335" spans="1:28" ht="36" x14ac:dyDescent="0.3">
      <c r="A335" s="2">
        <f>IF(C_Ope_002[[#This Row],[tipo_r]]="R",COUNTIFS($C$1:$C334,"R")+1,"")</f>
        <v>334</v>
      </c>
      <c r="B335" s="19" t="str">
        <f t="shared" si="50"/>
        <v>C_Ope_002</v>
      </c>
      <c r="C335" s="13" t="s">
        <v>1330</v>
      </c>
      <c r="D335" s="14">
        <v>45923</v>
      </c>
      <c r="E335" s="5" t="s">
        <v>8125</v>
      </c>
      <c r="F335" s="5" t="s">
        <v>1336</v>
      </c>
      <c r="G335" s="6" t="s">
        <v>227</v>
      </c>
      <c r="H335" s="6" t="s">
        <v>68</v>
      </c>
      <c r="I335" s="6" t="s">
        <v>1390</v>
      </c>
      <c r="J335" s="6">
        <v>137319</v>
      </c>
      <c r="K335" s="7" t="s">
        <v>8173</v>
      </c>
      <c r="L335" s="8">
        <v>25578</v>
      </c>
      <c r="M335" s="8" t="str">
        <f t="shared" si="51"/>
        <v>PEN</v>
      </c>
      <c r="N335" s="13"/>
      <c r="O335" s="13">
        <v>10</v>
      </c>
      <c r="P335" s="3">
        <f t="shared" si="52"/>
        <v>0</v>
      </c>
      <c r="Q335" s="3">
        <f t="shared" si="53"/>
        <v>10</v>
      </c>
      <c r="R335" s="3">
        <f t="shared" si="54"/>
        <v>150.00000000000006</v>
      </c>
      <c r="S335" s="24" t="s">
        <v>1334</v>
      </c>
      <c r="T335" s="24"/>
      <c r="U335" s="3"/>
      <c r="V335" s="25" t="s">
        <v>7842</v>
      </c>
      <c r="W335" s="25">
        <v>20124952850</v>
      </c>
      <c r="X335" s="25" t="str">
        <f>IFERROR(VLOOKUP(C_Ope_002[[#This Row],[nota_2]],Clientes_Proveedores[[Ruc / Dni]:[Razon Social]],2,0),"")</f>
        <v>ALIMENTOS Y SERVICIOS AGROPECUARIOS SRL.</v>
      </c>
      <c r="Y335" s="25" t="s">
        <v>5933</v>
      </c>
      <c r="Z335" s="25"/>
      <c r="AA335" s="3" t="str">
        <f>IF(C_Ope_002[[#This Row],[fecha]]&gt;0,TEXT(C_Ope_002[[#This Row],[fecha]],"mmmm"),0)</f>
        <v>Setiembre</v>
      </c>
      <c r="AB335" s="49"/>
    </row>
    <row r="336" spans="1:28" ht="24" x14ac:dyDescent="0.3">
      <c r="A336" s="2">
        <f>IF(C_Ope_002[[#This Row],[tipo_r]]="R",COUNTIFS($C$1:$C335,"R")+1,"")</f>
        <v>335</v>
      </c>
      <c r="B336" s="19" t="str">
        <f t="shared" si="50"/>
        <v>C_Ope_002</v>
      </c>
      <c r="C336" s="13" t="s">
        <v>1330</v>
      </c>
      <c r="D336" s="14">
        <v>45924</v>
      </c>
      <c r="E336" s="5" t="s">
        <v>8125</v>
      </c>
      <c r="F336" s="5" t="s">
        <v>1336</v>
      </c>
      <c r="G336" s="6" t="s">
        <v>978</v>
      </c>
      <c r="H336" s="6" t="s">
        <v>68</v>
      </c>
      <c r="I336" s="6" t="s">
        <v>5688</v>
      </c>
      <c r="J336" s="6">
        <v>2484890</v>
      </c>
      <c r="K336" s="7" t="s">
        <v>8174</v>
      </c>
      <c r="L336" s="8">
        <v>25594</v>
      </c>
      <c r="M336" s="8" t="str">
        <f t="shared" si="51"/>
        <v>PEN</v>
      </c>
      <c r="N336" s="13"/>
      <c r="O336" s="13">
        <v>8</v>
      </c>
      <c r="P336" s="3">
        <f t="shared" si="52"/>
        <v>0</v>
      </c>
      <c r="Q336" s="3">
        <f t="shared" si="53"/>
        <v>8</v>
      </c>
      <c r="R336" s="3">
        <f t="shared" si="54"/>
        <v>142.00000000000006</v>
      </c>
      <c r="S336" s="24" t="s">
        <v>1334</v>
      </c>
      <c r="T336" s="24"/>
      <c r="U336" s="3"/>
      <c r="V336" s="25" t="s">
        <v>7842</v>
      </c>
      <c r="W336" s="25">
        <v>20517252558</v>
      </c>
      <c r="X336" s="25" t="str">
        <f>IFERROR(VLOOKUP(C_Ope_002[[#This Row],[nota_2]],Clientes_Proveedores[[Ruc / Dni]:[Razon Social]],2,0),"")</f>
        <v>COVISUR S.A.</v>
      </c>
      <c r="Y336" s="25" t="s">
        <v>7888</v>
      </c>
      <c r="Z336" s="25"/>
      <c r="AA336" s="3" t="str">
        <f>IF(C_Ope_002[[#This Row],[fecha]]&gt;0,TEXT(C_Ope_002[[#This Row],[fecha]],"mmmm"),0)</f>
        <v>Setiembre</v>
      </c>
      <c r="AB336" s="49"/>
    </row>
    <row r="337" spans="1:28" ht="36" x14ac:dyDescent="0.3">
      <c r="A337" s="2">
        <f>IF(C_Ope_002[[#This Row],[tipo_r]]="R",COUNTIFS($C$1:$C336,"R")+1,"")</f>
        <v>336</v>
      </c>
      <c r="B337" s="19" t="str">
        <f t="shared" si="50"/>
        <v>C_Ope_002</v>
      </c>
      <c r="C337" s="13" t="s">
        <v>1330</v>
      </c>
      <c r="D337" s="14">
        <v>45924</v>
      </c>
      <c r="E337" s="5" t="s">
        <v>8125</v>
      </c>
      <c r="F337" s="5" t="s">
        <v>1336</v>
      </c>
      <c r="G337" s="6" t="s">
        <v>682</v>
      </c>
      <c r="H337" s="6" t="s">
        <v>68</v>
      </c>
      <c r="I337" s="6" t="s">
        <v>1353</v>
      </c>
      <c r="J337" s="6">
        <v>17827</v>
      </c>
      <c r="K337" s="7" t="s">
        <v>8175</v>
      </c>
      <c r="L337" s="8">
        <v>25574</v>
      </c>
      <c r="M337" s="8" t="str">
        <f t="shared" si="51"/>
        <v>PEN</v>
      </c>
      <c r="N337" s="13"/>
      <c r="O337" s="13">
        <v>20</v>
      </c>
      <c r="P337" s="3">
        <f t="shared" si="52"/>
        <v>0</v>
      </c>
      <c r="Q337" s="3">
        <f t="shared" si="53"/>
        <v>20</v>
      </c>
      <c r="R337" s="3">
        <f t="shared" si="54"/>
        <v>122.00000000000006</v>
      </c>
      <c r="S337" s="24" t="s">
        <v>1334</v>
      </c>
      <c r="T337" s="24"/>
      <c r="U337" s="3"/>
      <c r="V337" s="25" t="s">
        <v>7842</v>
      </c>
      <c r="W337" s="25">
        <v>20259858934</v>
      </c>
      <c r="X337" s="25" t="str">
        <f>IFERROR(VLOOKUP(C_Ope_002[[#This Row],[nota_2]],Clientes_Proveedores[[Ruc / Dni]:[Razon Social]],2,0),"")</f>
        <v>COMERCIALIZACION Y SERVICIOS EL EDEN S.A.C.</v>
      </c>
      <c r="Y337" s="25" t="s">
        <v>5933</v>
      </c>
      <c r="Z337" s="25"/>
      <c r="AA337" s="3" t="str">
        <f>IF(C_Ope_002[[#This Row],[fecha]]&gt;0,TEXT(C_Ope_002[[#This Row],[fecha]],"mmmm"),0)</f>
        <v>Setiembre</v>
      </c>
      <c r="AB337" s="49"/>
    </row>
    <row r="338" spans="1:28" ht="36" x14ac:dyDescent="0.3">
      <c r="A338" s="2">
        <f>IF(C_Ope_002[[#This Row],[tipo_r]]="R",COUNTIFS($C$1:$C337,"R")+1,"")</f>
        <v>337</v>
      </c>
      <c r="B338" s="19" t="str">
        <f t="shared" si="50"/>
        <v>C_Ope_002</v>
      </c>
      <c r="C338" s="13" t="s">
        <v>1330</v>
      </c>
      <c r="D338" s="14">
        <v>45924</v>
      </c>
      <c r="E338" s="5" t="s">
        <v>8125</v>
      </c>
      <c r="F338" s="5" t="s">
        <v>1336</v>
      </c>
      <c r="G338" s="6" t="s">
        <v>682</v>
      </c>
      <c r="H338" s="6" t="s">
        <v>68</v>
      </c>
      <c r="I338" s="6" t="s">
        <v>1353</v>
      </c>
      <c r="J338" s="6">
        <v>17821</v>
      </c>
      <c r="K338" s="7" t="s">
        <v>8175</v>
      </c>
      <c r="L338" s="8">
        <v>25575</v>
      </c>
      <c r="M338" s="8" t="str">
        <f t="shared" si="51"/>
        <v>PEN</v>
      </c>
      <c r="N338" s="13"/>
      <c r="O338" s="13">
        <v>20</v>
      </c>
      <c r="P338" s="3">
        <f t="shared" si="52"/>
        <v>0</v>
      </c>
      <c r="Q338" s="3">
        <f t="shared" si="53"/>
        <v>20</v>
      </c>
      <c r="R338" s="3">
        <f t="shared" si="54"/>
        <v>102.00000000000006</v>
      </c>
      <c r="S338" s="24" t="s">
        <v>1334</v>
      </c>
      <c r="T338" s="24"/>
      <c r="U338" s="3"/>
      <c r="V338" s="25" t="s">
        <v>7842</v>
      </c>
      <c r="W338" s="25">
        <v>20259858934</v>
      </c>
      <c r="X338" s="25" t="str">
        <f>IFERROR(VLOOKUP(C_Ope_002[[#This Row],[nota_2]],Clientes_Proveedores[[Ruc / Dni]:[Razon Social]],2,0),"")</f>
        <v>COMERCIALIZACION Y SERVICIOS EL EDEN S.A.C.</v>
      </c>
      <c r="Y338" s="25" t="s">
        <v>5933</v>
      </c>
      <c r="Z338" s="25"/>
      <c r="AA338" s="3" t="str">
        <f>IF(C_Ope_002[[#This Row],[fecha]]&gt;0,TEXT(C_Ope_002[[#This Row],[fecha]],"mmmm"),0)</f>
        <v>Setiembre</v>
      </c>
      <c r="AB338" s="49"/>
    </row>
    <row r="339" spans="1:28" ht="24" x14ac:dyDescent="0.3">
      <c r="A339" s="2">
        <f>IF(C_Ope_002[[#This Row],[tipo_r]]="R",COUNTIFS($C$1:$C338,"R")+1,"")</f>
        <v>338</v>
      </c>
      <c r="B339" s="19" t="str">
        <f t="shared" si="50"/>
        <v>C_Ope_002</v>
      </c>
      <c r="C339" s="13" t="s">
        <v>1330</v>
      </c>
      <c r="D339" s="14">
        <v>45925</v>
      </c>
      <c r="E339" s="5" t="s">
        <v>8125</v>
      </c>
      <c r="F339" s="5" t="s">
        <v>1336</v>
      </c>
      <c r="G339" s="6" t="s">
        <v>978</v>
      </c>
      <c r="H339" s="6" t="s">
        <v>68</v>
      </c>
      <c r="I339" s="6" t="s">
        <v>5688</v>
      </c>
      <c r="J339" s="6">
        <v>2486275</v>
      </c>
      <c r="K339" s="7" t="s">
        <v>8176</v>
      </c>
      <c r="L339" s="8">
        <v>25580</v>
      </c>
      <c r="M339" s="8" t="str">
        <f t="shared" si="51"/>
        <v>PEN</v>
      </c>
      <c r="N339" s="13"/>
      <c r="O339" s="13">
        <v>8</v>
      </c>
      <c r="P339" s="3">
        <f t="shared" si="52"/>
        <v>0</v>
      </c>
      <c r="Q339" s="3">
        <f t="shared" si="53"/>
        <v>8</v>
      </c>
      <c r="R339" s="3">
        <f t="shared" si="54"/>
        <v>94.000000000000057</v>
      </c>
      <c r="S339" s="24" t="s">
        <v>1334</v>
      </c>
      <c r="T339" s="24"/>
      <c r="U339" s="3"/>
      <c r="V339" s="25" t="s">
        <v>7842</v>
      </c>
      <c r="W339" s="25">
        <v>20517252558</v>
      </c>
      <c r="X339" s="25" t="str">
        <f>IFERROR(VLOOKUP(C_Ope_002[[#This Row],[nota_2]],Clientes_Proveedores[[Ruc / Dni]:[Razon Social]],2,0),"")</f>
        <v>COVISUR S.A.</v>
      </c>
      <c r="Y339" s="25" t="s">
        <v>7888</v>
      </c>
      <c r="Z339" s="25"/>
      <c r="AA339" s="3" t="str">
        <f>IF(C_Ope_002[[#This Row],[fecha]]&gt;0,TEXT(C_Ope_002[[#This Row],[fecha]],"mmmm"),0)</f>
        <v>Setiembre</v>
      </c>
      <c r="AB339" s="49"/>
    </row>
    <row r="340" spans="1:28" ht="24" x14ac:dyDescent="0.3">
      <c r="A340" s="2">
        <f>IF(C_Ope_002[[#This Row],[tipo_r]]="R",COUNTIFS($C$1:$C339,"R")+1,"")</f>
        <v>339</v>
      </c>
      <c r="B340" s="19" t="str">
        <f t="shared" si="50"/>
        <v>C_Ope_002</v>
      </c>
      <c r="C340" s="13" t="s">
        <v>1330</v>
      </c>
      <c r="D340" s="14">
        <v>45925</v>
      </c>
      <c r="E340" s="5" t="s">
        <v>8125</v>
      </c>
      <c r="F340" s="5" t="s">
        <v>1336</v>
      </c>
      <c r="G340" s="6" t="s">
        <v>978</v>
      </c>
      <c r="H340" s="6" t="s">
        <v>68</v>
      </c>
      <c r="I340" s="6" t="s">
        <v>5845</v>
      </c>
      <c r="J340" s="6">
        <v>1873689</v>
      </c>
      <c r="K340" s="7" t="s">
        <v>8176</v>
      </c>
      <c r="L340" s="8">
        <v>25587</v>
      </c>
      <c r="M340" s="8" t="str">
        <f t="shared" si="51"/>
        <v>PEN</v>
      </c>
      <c r="N340" s="13"/>
      <c r="O340" s="13">
        <v>8</v>
      </c>
      <c r="P340" s="3">
        <f t="shared" si="52"/>
        <v>0</v>
      </c>
      <c r="Q340" s="3">
        <f t="shared" si="53"/>
        <v>8</v>
      </c>
      <c r="R340" s="3">
        <f t="shared" si="54"/>
        <v>86.000000000000057</v>
      </c>
      <c r="S340" s="24" t="s">
        <v>1334</v>
      </c>
      <c r="T340" s="24"/>
      <c r="U340" s="3"/>
      <c r="V340" s="25" t="s">
        <v>7842</v>
      </c>
      <c r="W340" s="25">
        <v>20517252558</v>
      </c>
      <c r="X340" s="25" t="str">
        <f>IFERROR(VLOOKUP(C_Ope_002[[#This Row],[nota_2]],Clientes_Proveedores[[Ruc / Dni]:[Razon Social]],2,0),"")</f>
        <v>COVISUR S.A.</v>
      </c>
      <c r="Y340" s="25" t="s">
        <v>7888</v>
      </c>
      <c r="Z340" s="25"/>
      <c r="AA340" s="3" t="str">
        <f>IF(C_Ope_002[[#This Row],[fecha]]&gt;0,TEXT(C_Ope_002[[#This Row],[fecha]],"mmmm"),0)</f>
        <v>Setiembre</v>
      </c>
      <c r="AB340" s="49"/>
    </row>
    <row r="341" spans="1:28" ht="36" x14ac:dyDescent="0.3">
      <c r="A341" s="2">
        <f>IF(C_Ope_002[[#This Row],[tipo_r]]="R",COUNTIFS($C$1:$C340,"R")+1,"")</f>
        <v>340</v>
      </c>
      <c r="B341" s="19" t="str">
        <f t="shared" si="50"/>
        <v>C_Ope_002</v>
      </c>
      <c r="C341" s="13" t="s">
        <v>1330</v>
      </c>
      <c r="D341" s="14">
        <v>45925</v>
      </c>
      <c r="E341" s="5" t="s">
        <v>8125</v>
      </c>
      <c r="F341" s="5" t="s">
        <v>1336</v>
      </c>
      <c r="G341" s="6" t="s">
        <v>682</v>
      </c>
      <c r="H341" s="6" t="s">
        <v>68</v>
      </c>
      <c r="I341" s="6" t="s">
        <v>1353</v>
      </c>
      <c r="J341" s="6">
        <v>17839</v>
      </c>
      <c r="K341" s="7" t="s">
        <v>8175</v>
      </c>
      <c r="L341" s="8">
        <v>25581</v>
      </c>
      <c r="M341" s="8" t="str">
        <f t="shared" si="51"/>
        <v>PEN</v>
      </c>
      <c r="N341" s="13"/>
      <c r="O341" s="13">
        <v>20</v>
      </c>
      <c r="P341" s="3">
        <f t="shared" si="52"/>
        <v>0</v>
      </c>
      <c r="Q341" s="3">
        <f t="shared" si="53"/>
        <v>20</v>
      </c>
      <c r="R341" s="3">
        <f t="shared" si="54"/>
        <v>66.000000000000057</v>
      </c>
      <c r="S341" s="24" t="s">
        <v>1334</v>
      </c>
      <c r="T341" s="24"/>
      <c r="U341" s="3"/>
      <c r="V341" s="25" t="s">
        <v>7842</v>
      </c>
      <c r="W341" s="25">
        <v>20259858934</v>
      </c>
      <c r="X341" s="25" t="str">
        <f>IFERROR(VLOOKUP(C_Ope_002[[#This Row],[nota_2]],Clientes_Proveedores[[Ruc / Dni]:[Razon Social]],2,0),"")</f>
        <v>COMERCIALIZACION Y SERVICIOS EL EDEN S.A.C.</v>
      </c>
      <c r="Y341" s="25" t="s">
        <v>5933</v>
      </c>
      <c r="Z341" s="25"/>
      <c r="AA341" s="3" t="str">
        <f>IF(C_Ope_002[[#This Row],[fecha]]&gt;0,TEXT(C_Ope_002[[#This Row],[fecha]],"mmmm"),0)</f>
        <v>Setiembre</v>
      </c>
      <c r="AB341" s="49"/>
    </row>
    <row r="342" spans="1:28" x14ac:dyDescent="0.3">
      <c r="A342" s="2">
        <f>IF(C_Ope_002[[#This Row],[tipo_r]]="R",COUNTIFS($C$1:$C341,"R")+1,"")</f>
        <v>341</v>
      </c>
      <c r="B342" s="19" t="str">
        <f>"C_Ope_002"</f>
        <v>C_Ope_002</v>
      </c>
      <c r="C342" s="13" t="s">
        <v>1330</v>
      </c>
      <c r="D342" s="14">
        <v>45926</v>
      </c>
      <c r="E342" s="5" t="s">
        <v>3634</v>
      </c>
      <c r="F342" s="5" t="s">
        <v>1303</v>
      </c>
      <c r="G342" s="6" t="s">
        <v>798</v>
      </c>
      <c r="H342" s="6"/>
      <c r="I342" s="6"/>
      <c r="J342" s="6"/>
      <c r="K342" s="7" t="s">
        <v>7516</v>
      </c>
      <c r="L342" s="8">
        <v>25625</v>
      </c>
      <c r="M342" s="8" t="str">
        <f>"PEN"</f>
        <v>PEN</v>
      </c>
      <c r="N342" s="13"/>
      <c r="O342" s="13">
        <v>120</v>
      </c>
      <c r="P342" s="3">
        <f>+IF(OR($F342="SALDO",$F342="INGRESO"),$O342,0)</f>
        <v>120</v>
      </c>
      <c r="Q342" s="3">
        <f>+IF($F342="EGRESO",$O342,0)</f>
        <v>0</v>
      </c>
      <c r="R342" s="3">
        <f t="shared" si="54"/>
        <v>186.00000000000006</v>
      </c>
      <c r="S342" s="24" t="s">
        <v>1334</v>
      </c>
      <c r="T342" s="24" t="s">
        <v>1334</v>
      </c>
      <c r="U342" s="3"/>
      <c r="V342" s="25"/>
      <c r="W342" s="25"/>
      <c r="X342" s="25" t="str">
        <f>IFERROR(VLOOKUP(C_Ope_002[[#This Row],[nota_2]],Clientes_Proveedores[[Ruc / Dni]:[Razon Social]],2,0),"")</f>
        <v/>
      </c>
      <c r="Y342" s="25"/>
      <c r="Z342" s="25"/>
      <c r="AA342" s="3" t="str">
        <f>IF(C_Ope_002[[#This Row],[fecha]]&gt;0,TEXT(C_Ope_002[[#This Row],[fecha]],"mmmm"),0)</f>
        <v>Setiembre</v>
      </c>
      <c r="AB342" s="49"/>
    </row>
    <row r="343" spans="1:28" ht="24" x14ac:dyDescent="0.3">
      <c r="A343" s="2">
        <f>IF(C_Ope_002[[#This Row],[tipo_r]]="R",COUNTIFS($C$1:$C342,"R")+1,"")</f>
        <v>342</v>
      </c>
      <c r="B343" s="19" t="str">
        <f t="shared" ref="B343:B366" si="55">"C_Ope_002"</f>
        <v>C_Ope_002</v>
      </c>
      <c r="C343" s="13" t="s">
        <v>1330</v>
      </c>
      <c r="D343" s="14">
        <v>45926</v>
      </c>
      <c r="E343" s="5" t="s">
        <v>8125</v>
      </c>
      <c r="F343" s="5" t="s">
        <v>1336</v>
      </c>
      <c r="G343" s="6" t="s">
        <v>978</v>
      </c>
      <c r="H343" s="6" t="s">
        <v>68</v>
      </c>
      <c r="I343" s="6" t="s">
        <v>5688</v>
      </c>
      <c r="J343" s="6">
        <v>2487625</v>
      </c>
      <c r="K343" s="7" t="s">
        <v>8177</v>
      </c>
      <c r="L343" s="8">
        <v>25593</v>
      </c>
      <c r="M343" s="8" t="str">
        <f t="shared" ref="M343:M366" si="56">"PEN"</f>
        <v>PEN</v>
      </c>
      <c r="N343" s="13"/>
      <c r="O343" s="13">
        <v>8</v>
      </c>
      <c r="P343" s="3">
        <f t="shared" ref="P343:P366" si="57">+IF(OR($F343="SALDO",$F343="INGRESO"),$O343,0)</f>
        <v>0</v>
      </c>
      <c r="Q343" s="3">
        <f t="shared" ref="Q343:Q366" si="58">+IF($F343="EGRESO",$O343,0)</f>
        <v>8</v>
      </c>
      <c r="R343" s="3">
        <f t="shared" si="54"/>
        <v>178.00000000000006</v>
      </c>
      <c r="S343" s="24" t="s">
        <v>1334</v>
      </c>
      <c r="T343" s="24"/>
      <c r="U343" s="3"/>
      <c r="V343" s="25" t="s">
        <v>7842</v>
      </c>
      <c r="W343" s="25">
        <v>20517252558</v>
      </c>
      <c r="X343" s="25" t="str">
        <f>IFERROR(VLOOKUP(C_Ope_002[[#This Row],[nota_2]],Clientes_Proveedores[[Ruc / Dni]:[Razon Social]],2,0),"")</f>
        <v>COVISUR S.A.</v>
      </c>
      <c r="Y343" s="25" t="s">
        <v>7888</v>
      </c>
      <c r="Z343" s="25"/>
      <c r="AA343" s="3" t="str">
        <f>IF(C_Ope_002[[#This Row],[fecha]]&gt;0,TEXT(C_Ope_002[[#This Row],[fecha]],"mmmm"),0)</f>
        <v>Setiembre</v>
      </c>
      <c r="AB343" s="49"/>
    </row>
    <row r="344" spans="1:28" ht="36" x14ac:dyDescent="0.3">
      <c r="A344" s="2">
        <f>IF(C_Ope_002[[#This Row],[tipo_r]]="R",COUNTIFS($C$1:$C343,"R")+1,"")</f>
        <v>343</v>
      </c>
      <c r="B344" s="19" t="str">
        <f t="shared" si="55"/>
        <v>C_Ope_002</v>
      </c>
      <c r="C344" s="13" t="s">
        <v>1330</v>
      </c>
      <c r="D344" s="14">
        <v>45926</v>
      </c>
      <c r="E344" s="5" t="s">
        <v>8125</v>
      </c>
      <c r="F344" s="5" t="s">
        <v>1336</v>
      </c>
      <c r="G344" s="6" t="s">
        <v>682</v>
      </c>
      <c r="H344" s="6" t="s">
        <v>68</v>
      </c>
      <c r="I344" s="6" t="s">
        <v>1353</v>
      </c>
      <c r="J344" s="6">
        <v>17851</v>
      </c>
      <c r="K344" s="7" t="s">
        <v>8175</v>
      </c>
      <c r="L344" s="8">
        <v>25592</v>
      </c>
      <c r="M344" s="8" t="str">
        <f t="shared" si="56"/>
        <v>PEN</v>
      </c>
      <c r="N344" s="13"/>
      <c r="O344" s="13">
        <v>20</v>
      </c>
      <c r="P344" s="3">
        <f t="shared" si="57"/>
        <v>0</v>
      </c>
      <c r="Q344" s="3">
        <f t="shared" si="58"/>
        <v>20</v>
      </c>
      <c r="R344" s="3">
        <f t="shared" si="54"/>
        <v>158.00000000000006</v>
      </c>
      <c r="S344" s="24" t="s">
        <v>1334</v>
      </c>
      <c r="T344" s="24"/>
      <c r="U344" s="3"/>
      <c r="V344" s="25" t="s">
        <v>7842</v>
      </c>
      <c r="W344" s="25">
        <v>20259858934</v>
      </c>
      <c r="X344" s="25" t="str">
        <f>IFERROR(VLOOKUP(C_Ope_002[[#This Row],[nota_2]],Clientes_Proveedores[[Ruc / Dni]:[Razon Social]],2,0),"")</f>
        <v>COMERCIALIZACION Y SERVICIOS EL EDEN S.A.C.</v>
      </c>
      <c r="Y344" s="25" t="s">
        <v>5933</v>
      </c>
      <c r="Z344" s="25"/>
      <c r="AA344" s="3" t="str">
        <f>IF(C_Ope_002[[#This Row],[fecha]]&gt;0,TEXT(C_Ope_002[[#This Row],[fecha]],"mmmm"),0)</f>
        <v>Setiembre</v>
      </c>
      <c r="AB344" s="49"/>
    </row>
    <row r="345" spans="1:28" ht="36" x14ac:dyDescent="0.3">
      <c r="A345" s="2">
        <f>IF(C_Ope_002[[#This Row],[tipo_r]]="R",COUNTIFS($C$1:$C344,"R")+1,"")</f>
        <v>344</v>
      </c>
      <c r="B345" s="19" t="str">
        <f t="shared" si="55"/>
        <v>C_Ope_002</v>
      </c>
      <c r="C345" s="13" t="s">
        <v>1330</v>
      </c>
      <c r="D345" s="14">
        <v>45926</v>
      </c>
      <c r="E345" s="5" t="s">
        <v>8125</v>
      </c>
      <c r="F345" s="5" t="s">
        <v>1336</v>
      </c>
      <c r="G345" s="6" t="s">
        <v>682</v>
      </c>
      <c r="H345" s="6" t="s">
        <v>68</v>
      </c>
      <c r="I345" s="6" t="s">
        <v>1353</v>
      </c>
      <c r="J345" s="6">
        <v>17862</v>
      </c>
      <c r="K345" s="7" t="s">
        <v>8178</v>
      </c>
      <c r="L345" s="8">
        <v>25624</v>
      </c>
      <c r="M345" s="8" t="str">
        <f t="shared" si="56"/>
        <v>PEN</v>
      </c>
      <c r="N345" s="13"/>
      <c r="O345" s="13">
        <v>20</v>
      </c>
      <c r="P345" s="3">
        <f t="shared" si="57"/>
        <v>0</v>
      </c>
      <c r="Q345" s="3">
        <f t="shared" si="58"/>
        <v>20</v>
      </c>
      <c r="R345" s="3">
        <f t="shared" si="54"/>
        <v>138.00000000000006</v>
      </c>
      <c r="S345" s="24" t="s">
        <v>1334</v>
      </c>
      <c r="T345" s="24"/>
      <c r="U345" s="3"/>
      <c r="V345" s="25" t="s">
        <v>7842</v>
      </c>
      <c r="W345" s="25">
        <v>20259858934</v>
      </c>
      <c r="X345" s="25" t="str">
        <f>IFERROR(VLOOKUP(C_Ope_002[[#This Row],[nota_2]],Clientes_Proveedores[[Ruc / Dni]:[Razon Social]],2,0),"")</f>
        <v>COMERCIALIZACION Y SERVICIOS EL EDEN S.A.C.</v>
      </c>
      <c r="Y345" s="25" t="s">
        <v>5933</v>
      </c>
      <c r="Z345" s="25"/>
      <c r="AA345" s="3" t="str">
        <f>IF(C_Ope_002[[#This Row],[fecha]]&gt;0,TEXT(C_Ope_002[[#This Row],[fecha]],"mmmm"),0)</f>
        <v>Setiembre</v>
      </c>
      <c r="AB345" s="49"/>
    </row>
    <row r="346" spans="1:28" ht="24" x14ac:dyDescent="0.3">
      <c r="A346" s="2">
        <f>IF(C_Ope_002[[#This Row],[tipo_r]]="R",COUNTIFS($C$1:$C345,"R")+1,"")</f>
        <v>345</v>
      </c>
      <c r="B346" s="19" t="str">
        <f t="shared" si="55"/>
        <v>C_Ope_002</v>
      </c>
      <c r="C346" s="13" t="s">
        <v>1330</v>
      </c>
      <c r="D346" s="14">
        <v>45929</v>
      </c>
      <c r="E346" s="5" t="s">
        <v>8125</v>
      </c>
      <c r="F346" s="5" t="s">
        <v>1336</v>
      </c>
      <c r="G346" s="6" t="s">
        <v>978</v>
      </c>
      <c r="H346" s="6" t="s">
        <v>68</v>
      </c>
      <c r="I346" s="6" t="s">
        <v>6203</v>
      </c>
      <c r="J346" s="6">
        <v>2195783</v>
      </c>
      <c r="K346" s="7" t="s">
        <v>8177</v>
      </c>
      <c r="L346" s="8">
        <v>25620</v>
      </c>
      <c r="M346" s="8" t="str">
        <f t="shared" si="56"/>
        <v>PEN</v>
      </c>
      <c r="N346" s="13"/>
      <c r="O346" s="13">
        <v>8</v>
      </c>
      <c r="P346" s="3">
        <f t="shared" si="57"/>
        <v>0</v>
      </c>
      <c r="Q346" s="3">
        <f t="shared" si="58"/>
        <v>8</v>
      </c>
      <c r="R346" s="3">
        <f t="shared" si="54"/>
        <v>130.00000000000006</v>
      </c>
      <c r="S346" s="24" t="s">
        <v>1334</v>
      </c>
      <c r="T346" s="24"/>
      <c r="U346" s="3"/>
      <c r="V346" s="25" t="s">
        <v>7842</v>
      </c>
      <c r="W346" s="25">
        <v>20517252558</v>
      </c>
      <c r="X346" s="25" t="str">
        <f>IFERROR(VLOOKUP(C_Ope_002[[#This Row],[nota_2]],Clientes_Proveedores[[Ruc / Dni]:[Razon Social]],2,0),"")</f>
        <v>COVISUR S.A.</v>
      </c>
      <c r="Y346" s="25" t="s">
        <v>7888</v>
      </c>
      <c r="Z346" s="25"/>
      <c r="AA346" s="3" t="str">
        <f>IF(C_Ope_002[[#This Row],[fecha]]&gt;0,TEXT(C_Ope_002[[#This Row],[fecha]],"mmmm"),0)</f>
        <v>Setiembre</v>
      </c>
      <c r="AB346" s="49"/>
    </row>
    <row r="347" spans="1:28" ht="24" x14ac:dyDescent="0.3">
      <c r="A347" s="2">
        <f>IF(C_Ope_002[[#This Row],[tipo_r]]="R",COUNTIFS($C$1:$C346,"R")+1,"")</f>
        <v>346</v>
      </c>
      <c r="B347" s="19" t="str">
        <f t="shared" si="55"/>
        <v>C_Ope_002</v>
      </c>
      <c r="C347" s="13" t="s">
        <v>1330</v>
      </c>
      <c r="D347" s="14">
        <v>45929</v>
      </c>
      <c r="E347" s="5" t="s">
        <v>8125</v>
      </c>
      <c r="F347" s="5" t="s">
        <v>1336</v>
      </c>
      <c r="G347" s="6" t="s">
        <v>978</v>
      </c>
      <c r="H347" s="6" t="s">
        <v>68</v>
      </c>
      <c r="I347" s="6" t="s">
        <v>5688</v>
      </c>
      <c r="J347" s="6">
        <v>2491116</v>
      </c>
      <c r="K347" s="7" t="s">
        <v>8177</v>
      </c>
      <c r="L347" s="8">
        <v>25621</v>
      </c>
      <c r="M347" s="8" t="str">
        <f t="shared" si="56"/>
        <v>PEN</v>
      </c>
      <c r="N347" s="13"/>
      <c r="O347" s="13">
        <v>8</v>
      </c>
      <c r="P347" s="3">
        <f t="shared" si="57"/>
        <v>0</v>
      </c>
      <c r="Q347" s="3">
        <f t="shared" si="58"/>
        <v>8</v>
      </c>
      <c r="R347" s="3">
        <f t="shared" si="54"/>
        <v>122.00000000000006</v>
      </c>
      <c r="S347" s="24" t="s">
        <v>1334</v>
      </c>
      <c r="T347" s="24"/>
      <c r="U347" s="3"/>
      <c r="V347" s="25" t="s">
        <v>7842</v>
      </c>
      <c r="W347" s="25">
        <v>20517252558</v>
      </c>
      <c r="X347" s="25" t="str">
        <f>IFERROR(VLOOKUP(C_Ope_002[[#This Row],[nota_2]],Clientes_Proveedores[[Ruc / Dni]:[Razon Social]],2,0),"")</f>
        <v>COVISUR S.A.</v>
      </c>
      <c r="Y347" s="25" t="s">
        <v>7888</v>
      </c>
      <c r="Z347" s="25"/>
      <c r="AA347" s="3" t="str">
        <f>IF(C_Ope_002[[#This Row],[fecha]]&gt;0,TEXT(C_Ope_002[[#This Row],[fecha]],"mmmm"),0)</f>
        <v>Setiembre</v>
      </c>
      <c r="AB347" s="49"/>
    </row>
    <row r="348" spans="1:28" ht="36" x14ac:dyDescent="0.3">
      <c r="A348" s="2">
        <f>IF(C_Ope_002[[#This Row],[tipo_r]]="R",COUNTIFS($C$1:$C347,"R")+1,"")</f>
        <v>347</v>
      </c>
      <c r="B348" s="19" t="str">
        <f t="shared" si="55"/>
        <v>C_Ope_002</v>
      </c>
      <c r="C348" s="13" t="s">
        <v>1330</v>
      </c>
      <c r="D348" s="14">
        <v>45929</v>
      </c>
      <c r="E348" s="5" t="s">
        <v>8125</v>
      </c>
      <c r="F348" s="5" t="s">
        <v>1336</v>
      </c>
      <c r="G348" s="6" t="s">
        <v>682</v>
      </c>
      <c r="H348" s="6" t="s">
        <v>68</v>
      </c>
      <c r="I348" s="6" t="s">
        <v>1353</v>
      </c>
      <c r="J348" s="6">
        <v>17880</v>
      </c>
      <c r="K348" s="7" t="s">
        <v>8178</v>
      </c>
      <c r="L348" s="8">
        <v>25623</v>
      </c>
      <c r="M348" s="8" t="str">
        <f t="shared" si="56"/>
        <v>PEN</v>
      </c>
      <c r="N348" s="13"/>
      <c r="O348" s="13">
        <v>20</v>
      </c>
      <c r="P348" s="3">
        <f t="shared" si="57"/>
        <v>0</v>
      </c>
      <c r="Q348" s="3">
        <f t="shared" si="58"/>
        <v>20</v>
      </c>
      <c r="R348" s="3">
        <f t="shared" si="54"/>
        <v>102.00000000000006</v>
      </c>
      <c r="S348" s="24" t="s">
        <v>1334</v>
      </c>
      <c r="T348" s="24"/>
      <c r="U348" s="3"/>
      <c r="V348" s="25" t="s">
        <v>7842</v>
      </c>
      <c r="W348" s="25">
        <v>20259858934</v>
      </c>
      <c r="X348" s="25" t="str">
        <f>IFERROR(VLOOKUP(C_Ope_002[[#This Row],[nota_2]],Clientes_Proveedores[[Ruc / Dni]:[Razon Social]],2,0),"")</f>
        <v>COMERCIALIZACION Y SERVICIOS EL EDEN S.A.C.</v>
      </c>
      <c r="Y348" s="25" t="s">
        <v>5933</v>
      </c>
      <c r="Z348" s="25"/>
      <c r="AA348" s="3" t="str">
        <f>IF(C_Ope_002[[#This Row],[fecha]]&gt;0,TEXT(C_Ope_002[[#This Row],[fecha]],"mmmm"),0)</f>
        <v>Setiembre</v>
      </c>
      <c r="AB348" s="49"/>
    </row>
    <row r="349" spans="1:28" ht="24" x14ac:dyDescent="0.3">
      <c r="A349" s="2">
        <f>IF(C_Ope_002[[#This Row],[tipo_r]]="R",COUNTIFS($C$1:$C348,"R")+1,"")</f>
        <v>348</v>
      </c>
      <c r="B349" s="19" t="str">
        <f t="shared" si="55"/>
        <v>C_Ope_002</v>
      </c>
      <c r="C349" s="13" t="s">
        <v>1330</v>
      </c>
      <c r="D349" s="14">
        <v>45930</v>
      </c>
      <c r="E349" s="5" t="s">
        <v>8125</v>
      </c>
      <c r="F349" s="5" t="s">
        <v>1336</v>
      </c>
      <c r="G349" s="6" t="s">
        <v>978</v>
      </c>
      <c r="H349" s="6" t="s">
        <v>68</v>
      </c>
      <c r="I349" s="6" t="s">
        <v>5845</v>
      </c>
      <c r="J349" s="6">
        <v>1878876</v>
      </c>
      <c r="K349" s="7" t="s">
        <v>8177</v>
      </c>
      <c r="L349" s="8">
        <v>25667</v>
      </c>
      <c r="M349" s="8" t="str">
        <f t="shared" si="56"/>
        <v>PEN</v>
      </c>
      <c r="N349" s="13"/>
      <c r="O349" s="13">
        <v>8</v>
      </c>
      <c r="P349" s="3">
        <f t="shared" si="57"/>
        <v>0</v>
      </c>
      <c r="Q349" s="3">
        <f t="shared" si="58"/>
        <v>8</v>
      </c>
      <c r="R349" s="3">
        <f t="shared" si="54"/>
        <v>94.000000000000057</v>
      </c>
      <c r="S349" s="24" t="s">
        <v>1334</v>
      </c>
      <c r="T349" s="24"/>
      <c r="U349" s="3"/>
      <c r="V349" s="25" t="s">
        <v>7842</v>
      </c>
      <c r="W349" s="25">
        <v>20517252558</v>
      </c>
      <c r="X349" s="25" t="str">
        <f>IFERROR(VLOOKUP(C_Ope_002[[#This Row],[nota_2]],Clientes_Proveedores[[Ruc / Dni]:[Razon Social]],2,0),"")</f>
        <v>COVISUR S.A.</v>
      </c>
      <c r="Y349" s="25" t="s">
        <v>7888</v>
      </c>
      <c r="Z349" s="25"/>
      <c r="AA349" s="3" t="str">
        <f>IF(C_Ope_002[[#This Row],[fecha]]&gt;0,TEXT(C_Ope_002[[#This Row],[fecha]],"mmmm"),0)</f>
        <v>Setiembre</v>
      </c>
      <c r="AB349" s="49"/>
    </row>
    <row r="350" spans="1:28" ht="24" x14ac:dyDescent="0.3">
      <c r="A350" s="2">
        <f>IF(C_Ope_002[[#This Row],[tipo_r]]="R",COUNTIFS($C$1:$C349,"R")+1,"")</f>
        <v>349</v>
      </c>
      <c r="B350" s="19" t="str">
        <f t="shared" si="55"/>
        <v>C_Ope_002</v>
      </c>
      <c r="C350" s="13" t="s">
        <v>1330</v>
      </c>
      <c r="D350" s="14">
        <v>45930</v>
      </c>
      <c r="E350" s="5" t="s">
        <v>8125</v>
      </c>
      <c r="F350" s="5" t="s">
        <v>1336</v>
      </c>
      <c r="G350" s="6" t="s">
        <v>978</v>
      </c>
      <c r="H350" s="6" t="s">
        <v>68</v>
      </c>
      <c r="I350" s="6" t="s">
        <v>6204</v>
      </c>
      <c r="J350" s="6">
        <v>1856394</v>
      </c>
      <c r="K350" s="7" t="s">
        <v>8177</v>
      </c>
      <c r="L350" s="8">
        <v>25668</v>
      </c>
      <c r="M350" s="8" t="str">
        <f t="shared" si="56"/>
        <v>PEN</v>
      </c>
      <c r="N350" s="13"/>
      <c r="O350" s="13">
        <v>8</v>
      </c>
      <c r="P350" s="3">
        <f t="shared" si="57"/>
        <v>0</v>
      </c>
      <c r="Q350" s="3">
        <f t="shared" si="58"/>
        <v>8</v>
      </c>
      <c r="R350" s="3">
        <f t="shared" si="54"/>
        <v>86.000000000000057</v>
      </c>
      <c r="S350" s="24" t="s">
        <v>1334</v>
      </c>
      <c r="T350" s="24"/>
      <c r="U350" s="3"/>
      <c r="V350" s="25" t="s">
        <v>7842</v>
      </c>
      <c r="W350" s="25">
        <v>20517252558</v>
      </c>
      <c r="X350" s="25" t="str">
        <f>IFERROR(VLOOKUP(C_Ope_002[[#This Row],[nota_2]],Clientes_Proveedores[[Ruc / Dni]:[Razon Social]],2,0),"")</f>
        <v>COVISUR S.A.</v>
      </c>
      <c r="Y350" s="25" t="s">
        <v>7888</v>
      </c>
      <c r="Z350" s="25"/>
      <c r="AA350" s="3" t="str">
        <f>IF(C_Ope_002[[#This Row],[fecha]]&gt;0,TEXT(C_Ope_002[[#This Row],[fecha]],"mmmm"),0)</f>
        <v>Setiembre</v>
      </c>
      <c r="AB350" s="49"/>
    </row>
    <row r="351" spans="1:28" ht="36" x14ac:dyDescent="0.3">
      <c r="A351" s="2">
        <f>IF(C_Ope_002[[#This Row],[tipo_r]]="R",COUNTIFS($C$1:$C350,"R")+1,"")</f>
        <v>350</v>
      </c>
      <c r="B351" s="19" t="str">
        <f t="shared" si="55"/>
        <v>C_Ope_002</v>
      </c>
      <c r="C351" s="13" t="s">
        <v>1330</v>
      </c>
      <c r="D351" s="14">
        <v>45930</v>
      </c>
      <c r="E351" s="5" t="s">
        <v>8125</v>
      </c>
      <c r="F351" s="5" t="s">
        <v>1336</v>
      </c>
      <c r="G351" s="6" t="s">
        <v>682</v>
      </c>
      <c r="H351" s="6" t="s">
        <v>68</v>
      </c>
      <c r="I351" s="6" t="s">
        <v>1353</v>
      </c>
      <c r="J351" s="6">
        <v>17902</v>
      </c>
      <c r="K351" s="7" t="s">
        <v>8178</v>
      </c>
      <c r="L351" s="8">
        <v>25665</v>
      </c>
      <c r="M351" s="8" t="str">
        <f t="shared" si="56"/>
        <v>PEN</v>
      </c>
      <c r="N351" s="13"/>
      <c r="O351" s="13">
        <v>20</v>
      </c>
      <c r="P351" s="3">
        <f t="shared" si="57"/>
        <v>0</v>
      </c>
      <c r="Q351" s="3">
        <f t="shared" si="58"/>
        <v>20</v>
      </c>
      <c r="R351" s="3">
        <f t="shared" si="54"/>
        <v>66.000000000000057</v>
      </c>
      <c r="S351" s="24" t="s">
        <v>1334</v>
      </c>
      <c r="T351" s="24"/>
      <c r="U351" s="3"/>
      <c r="V351" s="25" t="s">
        <v>7842</v>
      </c>
      <c r="W351" s="25">
        <v>20259858934</v>
      </c>
      <c r="X351" s="25" t="str">
        <f>IFERROR(VLOOKUP(C_Ope_002[[#This Row],[nota_2]],Clientes_Proveedores[[Ruc / Dni]:[Razon Social]],2,0),"")</f>
        <v>COMERCIALIZACION Y SERVICIOS EL EDEN S.A.C.</v>
      </c>
      <c r="Y351" s="25" t="s">
        <v>5933</v>
      </c>
      <c r="Z351" s="25"/>
      <c r="AA351" s="3" t="str">
        <f>IF(C_Ope_002[[#This Row],[fecha]]&gt;0,TEXT(C_Ope_002[[#This Row],[fecha]],"mmmm"),0)</f>
        <v>Setiembre</v>
      </c>
      <c r="AB351" s="49"/>
    </row>
    <row r="352" spans="1:28" ht="36" x14ac:dyDescent="0.3">
      <c r="A352" s="2">
        <f>IF(C_Ope_002[[#This Row],[tipo_r]]="R",COUNTIFS($C$1:$C351,"R")+1,"")</f>
        <v>351</v>
      </c>
      <c r="B352" s="19" t="str">
        <f t="shared" si="55"/>
        <v>C_Ope_002</v>
      </c>
      <c r="C352" s="13" t="s">
        <v>1330</v>
      </c>
      <c r="D352" s="14">
        <v>45930</v>
      </c>
      <c r="E352" s="5" t="s">
        <v>8125</v>
      </c>
      <c r="F352" s="5" t="s">
        <v>1336</v>
      </c>
      <c r="G352" s="6" t="s">
        <v>682</v>
      </c>
      <c r="H352" s="6" t="s">
        <v>68</v>
      </c>
      <c r="I352" s="6" t="s">
        <v>1353</v>
      </c>
      <c r="J352" s="6">
        <v>17893</v>
      </c>
      <c r="K352" s="7" t="s">
        <v>8178</v>
      </c>
      <c r="L352" s="8">
        <v>25666</v>
      </c>
      <c r="M352" s="8" t="str">
        <f t="shared" si="56"/>
        <v>PEN</v>
      </c>
      <c r="N352" s="13"/>
      <c r="O352" s="13">
        <v>20</v>
      </c>
      <c r="P352" s="3">
        <f t="shared" si="57"/>
        <v>0</v>
      </c>
      <c r="Q352" s="3">
        <f t="shared" si="58"/>
        <v>20</v>
      </c>
      <c r="R352" s="3">
        <f t="shared" si="54"/>
        <v>46.000000000000057</v>
      </c>
      <c r="S352" s="24" t="s">
        <v>1334</v>
      </c>
      <c r="T352" s="24"/>
      <c r="U352" s="3"/>
      <c r="V352" s="25" t="s">
        <v>7842</v>
      </c>
      <c r="W352" s="25">
        <v>20259858934</v>
      </c>
      <c r="X352" s="25" t="str">
        <f>IFERROR(VLOOKUP(C_Ope_002[[#This Row],[nota_2]],Clientes_Proveedores[[Ruc / Dni]:[Razon Social]],2,0),"")</f>
        <v>COMERCIALIZACION Y SERVICIOS EL EDEN S.A.C.</v>
      </c>
      <c r="Y352" s="25" t="s">
        <v>5933</v>
      </c>
      <c r="Z352" s="25"/>
      <c r="AA352" s="3" t="str">
        <f>IF(C_Ope_002[[#This Row],[fecha]]&gt;0,TEXT(C_Ope_002[[#This Row],[fecha]],"mmmm"),0)</f>
        <v>Setiembre</v>
      </c>
      <c r="AB352" s="49"/>
    </row>
    <row r="353" spans="1:28" x14ac:dyDescent="0.3">
      <c r="A353" s="2">
        <f>IF(C_Ope_002[[#This Row],[tipo_r]]="R",COUNTIFS($C$1:$C352,"R")+1,"")</f>
        <v>352</v>
      </c>
      <c r="B353" s="19" t="str">
        <f>"C_Ope_002"</f>
        <v>C_Ope_002</v>
      </c>
      <c r="C353" s="13" t="s">
        <v>1330</v>
      </c>
      <c r="D353" s="14">
        <v>45931</v>
      </c>
      <c r="E353" s="5" t="s">
        <v>3634</v>
      </c>
      <c r="F353" s="5" t="s">
        <v>1303</v>
      </c>
      <c r="G353" s="6" t="s">
        <v>798</v>
      </c>
      <c r="H353" s="6"/>
      <c r="I353" s="6"/>
      <c r="J353" s="6"/>
      <c r="K353" s="7" t="s">
        <v>7516</v>
      </c>
      <c r="L353" s="8">
        <v>25681</v>
      </c>
      <c r="M353" s="8" t="str">
        <f>"PEN"</f>
        <v>PEN</v>
      </c>
      <c r="N353" s="13"/>
      <c r="O353" s="13">
        <v>150</v>
      </c>
      <c r="P353" s="3">
        <f>+IF(OR($F353="SALDO",$F353="INGRESO"),$O353,0)</f>
        <v>150</v>
      </c>
      <c r="Q353" s="3">
        <f>+IF($F353="EGRESO",$O353,0)</f>
        <v>0</v>
      </c>
      <c r="R353" s="3">
        <f t="shared" si="54"/>
        <v>196.00000000000006</v>
      </c>
      <c r="S353" s="24" t="s">
        <v>1334</v>
      </c>
      <c r="T353" s="24" t="s">
        <v>1334</v>
      </c>
      <c r="U353" s="3"/>
      <c r="V353" s="25"/>
      <c r="W353" s="25"/>
      <c r="X353" s="25" t="str">
        <f>IFERROR(VLOOKUP(C_Ope_002[[#This Row],[nota_2]],Clientes_Proveedores[[Ruc / Dni]:[Razon Social]],2,0),"")</f>
        <v/>
      </c>
      <c r="Y353" s="25"/>
      <c r="Z353" s="25"/>
      <c r="AA353" s="3" t="str">
        <f>IF(C_Ope_002[[#This Row],[fecha]]&gt;0,TEXT(C_Ope_002[[#This Row],[fecha]],"mmmm"),0)</f>
        <v>Octubre</v>
      </c>
      <c r="AB353" s="49"/>
    </row>
    <row r="354" spans="1:28" ht="24" x14ac:dyDescent="0.3">
      <c r="A354" s="2">
        <f>IF(C_Ope_002[[#This Row],[tipo_r]]="R",COUNTIFS($C$1:$C353,"R")+1,"")</f>
        <v>353</v>
      </c>
      <c r="B354" s="19" t="str">
        <f t="shared" si="55"/>
        <v>C_Ope_002</v>
      </c>
      <c r="C354" s="13" t="s">
        <v>1330</v>
      </c>
      <c r="D354" s="14">
        <v>45931</v>
      </c>
      <c r="E354" s="5" t="s">
        <v>8125</v>
      </c>
      <c r="F354" s="5" t="s">
        <v>1336</v>
      </c>
      <c r="G354" s="6" t="s">
        <v>978</v>
      </c>
      <c r="H354" s="6" t="s">
        <v>68</v>
      </c>
      <c r="I354" s="6" t="s">
        <v>5845</v>
      </c>
      <c r="J354" s="6">
        <v>1879889</v>
      </c>
      <c r="K354" s="7" t="s">
        <v>8179</v>
      </c>
      <c r="L354" s="8">
        <v>25679</v>
      </c>
      <c r="M354" s="8" t="str">
        <f t="shared" si="56"/>
        <v>PEN</v>
      </c>
      <c r="N354" s="13"/>
      <c r="O354" s="13">
        <v>8</v>
      </c>
      <c r="P354" s="3">
        <f t="shared" si="57"/>
        <v>0</v>
      </c>
      <c r="Q354" s="3">
        <f t="shared" si="58"/>
        <v>8</v>
      </c>
      <c r="R354" s="3">
        <f t="shared" si="54"/>
        <v>188.00000000000006</v>
      </c>
      <c r="S354" s="24" t="s">
        <v>1334</v>
      </c>
      <c r="T354" s="24"/>
      <c r="U354" s="3"/>
      <c r="V354" s="25" t="s">
        <v>7842</v>
      </c>
      <c r="W354" s="25">
        <v>20517252558</v>
      </c>
      <c r="X354" s="25" t="str">
        <f>IFERROR(VLOOKUP(C_Ope_002[[#This Row],[nota_2]],Clientes_Proveedores[[Ruc / Dni]:[Razon Social]],2,0),"")</f>
        <v>COVISUR S.A.</v>
      </c>
      <c r="Y354" s="25" t="s">
        <v>7888</v>
      </c>
      <c r="Z354" s="25"/>
      <c r="AA354" s="3" t="str">
        <f>IF(C_Ope_002[[#This Row],[fecha]]&gt;0,TEXT(C_Ope_002[[#This Row],[fecha]],"mmmm"),0)</f>
        <v>Octubre</v>
      </c>
      <c r="AB354" s="49"/>
    </row>
    <row r="355" spans="1:28" ht="24" x14ac:dyDescent="0.3">
      <c r="A355" s="2">
        <f>IF(C_Ope_002[[#This Row],[tipo_r]]="R",COUNTIFS($C$1:$C354,"R")+1,"")</f>
        <v>354</v>
      </c>
      <c r="B355" s="19" t="str">
        <f t="shared" si="55"/>
        <v>C_Ope_002</v>
      </c>
      <c r="C355" s="13" t="s">
        <v>1330</v>
      </c>
      <c r="D355" s="14">
        <v>45932</v>
      </c>
      <c r="E355" s="5" t="s">
        <v>8125</v>
      </c>
      <c r="F355" s="5" t="s">
        <v>1336</v>
      </c>
      <c r="G355" s="6" t="s">
        <v>978</v>
      </c>
      <c r="H355" s="6" t="s">
        <v>68</v>
      </c>
      <c r="I355" s="6" t="s">
        <v>6204</v>
      </c>
      <c r="J355" s="6">
        <v>1857621</v>
      </c>
      <c r="K355" s="7" t="s">
        <v>8179</v>
      </c>
      <c r="L355" s="8">
        <v>25680</v>
      </c>
      <c r="M355" s="8" t="str">
        <f t="shared" si="56"/>
        <v>PEN</v>
      </c>
      <c r="N355" s="13"/>
      <c r="O355" s="13">
        <v>8</v>
      </c>
      <c r="P355" s="3">
        <f t="shared" si="57"/>
        <v>0</v>
      </c>
      <c r="Q355" s="3">
        <f t="shared" si="58"/>
        <v>8</v>
      </c>
      <c r="R355" s="3">
        <f t="shared" si="54"/>
        <v>180.00000000000006</v>
      </c>
      <c r="S355" s="24" t="s">
        <v>1334</v>
      </c>
      <c r="T355" s="24"/>
      <c r="U355" s="3"/>
      <c r="V355" s="25" t="s">
        <v>7842</v>
      </c>
      <c r="W355" s="25">
        <v>20517252558</v>
      </c>
      <c r="X355" s="25" t="str">
        <f>IFERROR(VLOOKUP(C_Ope_002[[#This Row],[nota_2]],Clientes_Proveedores[[Ruc / Dni]:[Razon Social]],2,0),"")</f>
        <v>COVISUR S.A.</v>
      </c>
      <c r="Y355" s="25" t="s">
        <v>7888</v>
      </c>
      <c r="Z355" s="25"/>
      <c r="AA355" s="3" t="str">
        <f>IF(C_Ope_002[[#This Row],[fecha]]&gt;0,TEXT(C_Ope_002[[#This Row],[fecha]],"mmmm"),0)</f>
        <v>Octubre</v>
      </c>
      <c r="AB355" s="49"/>
    </row>
    <row r="356" spans="1:28" ht="24" x14ac:dyDescent="0.3">
      <c r="A356" s="2">
        <f>IF(C_Ope_002[[#This Row],[tipo_r]]="R",COUNTIFS($C$1:$C355,"R")+1,"")</f>
        <v>355</v>
      </c>
      <c r="B356" s="19" t="str">
        <f t="shared" si="55"/>
        <v>C_Ope_002</v>
      </c>
      <c r="C356" s="13" t="s">
        <v>1330</v>
      </c>
      <c r="D356" s="14">
        <v>45932</v>
      </c>
      <c r="E356" s="5" t="s">
        <v>8125</v>
      </c>
      <c r="F356" s="5" t="s">
        <v>1336</v>
      </c>
      <c r="G356" s="6" t="s">
        <v>978</v>
      </c>
      <c r="H356" s="6" t="s">
        <v>68</v>
      </c>
      <c r="I356" s="6" t="s">
        <v>5845</v>
      </c>
      <c r="J356" s="6">
        <v>1880899</v>
      </c>
      <c r="K356" s="7" t="s">
        <v>8179</v>
      </c>
      <c r="L356" s="8">
        <v>25690</v>
      </c>
      <c r="M356" s="8" t="str">
        <f t="shared" si="56"/>
        <v>PEN</v>
      </c>
      <c r="N356" s="13"/>
      <c r="O356" s="13">
        <v>8</v>
      </c>
      <c r="P356" s="3">
        <f t="shared" si="57"/>
        <v>0</v>
      </c>
      <c r="Q356" s="3">
        <f t="shared" si="58"/>
        <v>8</v>
      </c>
      <c r="R356" s="3">
        <f t="shared" si="54"/>
        <v>172.00000000000006</v>
      </c>
      <c r="S356" s="24" t="s">
        <v>1334</v>
      </c>
      <c r="T356" s="24"/>
      <c r="U356" s="3"/>
      <c r="V356" s="25" t="s">
        <v>7842</v>
      </c>
      <c r="W356" s="25">
        <v>20517252558</v>
      </c>
      <c r="X356" s="25" t="str">
        <f>IFERROR(VLOOKUP(C_Ope_002[[#This Row],[nota_2]],Clientes_Proveedores[[Ruc / Dni]:[Razon Social]],2,0),"")</f>
        <v>COVISUR S.A.</v>
      </c>
      <c r="Y356" s="25" t="s">
        <v>7888</v>
      </c>
      <c r="Z356" s="25"/>
      <c r="AA356" s="3" t="str">
        <f>IF(C_Ope_002[[#This Row],[fecha]]&gt;0,TEXT(C_Ope_002[[#This Row],[fecha]],"mmmm"),0)</f>
        <v>Octubre</v>
      </c>
      <c r="AB356" s="49"/>
    </row>
    <row r="357" spans="1:28" ht="36" x14ac:dyDescent="0.3">
      <c r="A357" s="2">
        <f>IF(C_Ope_002[[#This Row],[tipo_r]]="R",COUNTIFS($C$1:$C356,"R")+1,"")</f>
        <v>356</v>
      </c>
      <c r="B357" s="19" t="str">
        <f t="shared" si="55"/>
        <v>C_Ope_002</v>
      </c>
      <c r="C357" s="13" t="s">
        <v>1330</v>
      </c>
      <c r="D357" s="14">
        <v>45932</v>
      </c>
      <c r="E357" s="5" t="s">
        <v>8125</v>
      </c>
      <c r="F357" s="5" t="s">
        <v>1336</v>
      </c>
      <c r="G357" s="6" t="s">
        <v>682</v>
      </c>
      <c r="H357" s="6" t="s">
        <v>68</v>
      </c>
      <c r="I357" s="6" t="s">
        <v>1353</v>
      </c>
      <c r="J357" s="6">
        <v>17933</v>
      </c>
      <c r="K357" s="7" t="s">
        <v>8180</v>
      </c>
      <c r="L357" s="8">
        <v>25689</v>
      </c>
      <c r="M357" s="8" t="str">
        <f t="shared" si="56"/>
        <v>PEN</v>
      </c>
      <c r="N357" s="13"/>
      <c r="O357" s="13">
        <v>20</v>
      </c>
      <c r="P357" s="3">
        <f t="shared" si="57"/>
        <v>0</v>
      </c>
      <c r="Q357" s="3">
        <f t="shared" si="58"/>
        <v>20</v>
      </c>
      <c r="R357" s="3">
        <f t="shared" si="54"/>
        <v>152.00000000000006</v>
      </c>
      <c r="S357" s="24" t="s">
        <v>1334</v>
      </c>
      <c r="T357" s="24"/>
      <c r="U357" s="3"/>
      <c r="V357" s="25" t="s">
        <v>7842</v>
      </c>
      <c r="W357" s="25">
        <v>20259858934</v>
      </c>
      <c r="X357" s="25" t="str">
        <f>IFERROR(VLOOKUP(C_Ope_002[[#This Row],[nota_2]],Clientes_Proveedores[[Ruc / Dni]:[Razon Social]],2,0),"")</f>
        <v>COMERCIALIZACION Y SERVICIOS EL EDEN S.A.C.</v>
      </c>
      <c r="Y357" s="25" t="s">
        <v>5933</v>
      </c>
      <c r="Z357" s="25"/>
      <c r="AA357" s="3" t="str">
        <f>IF(C_Ope_002[[#This Row],[fecha]]&gt;0,TEXT(C_Ope_002[[#This Row],[fecha]],"mmmm"),0)</f>
        <v>Octubre</v>
      </c>
      <c r="AB357" s="49"/>
    </row>
    <row r="358" spans="1:28" ht="24" x14ac:dyDescent="0.3">
      <c r="A358" s="2">
        <f>IF(C_Ope_002[[#This Row],[tipo_r]]="R",COUNTIFS($C$1:$C357,"R")+1,"")</f>
        <v>357</v>
      </c>
      <c r="B358" s="19" t="str">
        <f t="shared" si="55"/>
        <v>C_Ope_002</v>
      </c>
      <c r="C358" s="13" t="s">
        <v>1330</v>
      </c>
      <c r="D358" s="14">
        <v>45933</v>
      </c>
      <c r="E358" s="5" t="s">
        <v>8125</v>
      </c>
      <c r="F358" s="5" t="s">
        <v>1336</v>
      </c>
      <c r="G358" s="6" t="s">
        <v>978</v>
      </c>
      <c r="H358" s="6" t="s">
        <v>68</v>
      </c>
      <c r="I358" s="6" t="s">
        <v>6203</v>
      </c>
      <c r="J358" s="6">
        <v>2200513</v>
      </c>
      <c r="K358" s="7" t="s">
        <v>8179</v>
      </c>
      <c r="L358" s="8">
        <v>25706</v>
      </c>
      <c r="M358" s="8" t="str">
        <f t="shared" si="56"/>
        <v>PEN</v>
      </c>
      <c r="N358" s="13"/>
      <c r="O358" s="13">
        <v>8</v>
      </c>
      <c r="P358" s="3">
        <f t="shared" si="57"/>
        <v>0</v>
      </c>
      <c r="Q358" s="3">
        <f t="shared" si="58"/>
        <v>8</v>
      </c>
      <c r="R358" s="3">
        <f t="shared" si="54"/>
        <v>144.00000000000006</v>
      </c>
      <c r="S358" s="24" t="s">
        <v>1334</v>
      </c>
      <c r="T358" s="24"/>
      <c r="U358" s="3"/>
      <c r="V358" s="25" t="s">
        <v>7842</v>
      </c>
      <c r="W358" s="25">
        <v>20517252558</v>
      </c>
      <c r="X358" s="25" t="str">
        <f>IFERROR(VLOOKUP(C_Ope_002[[#This Row],[nota_2]],Clientes_Proveedores[[Ruc / Dni]:[Razon Social]],2,0),"")</f>
        <v>COVISUR S.A.</v>
      </c>
      <c r="Y358" s="25" t="s">
        <v>7888</v>
      </c>
      <c r="Z358" s="25"/>
      <c r="AA358" s="3" t="str">
        <f>IF(C_Ope_002[[#This Row],[fecha]]&gt;0,TEXT(C_Ope_002[[#This Row],[fecha]],"mmmm"),0)</f>
        <v>Octubre</v>
      </c>
      <c r="AB358" s="49"/>
    </row>
    <row r="359" spans="1:28" ht="24" x14ac:dyDescent="0.3">
      <c r="A359" s="2">
        <f>IF(C_Ope_002[[#This Row],[tipo_r]]="R",COUNTIFS($C$1:$C358,"R")+1,"")</f>
        <v>358</v>
      </c>
      <c r="B359" s="19" t="str">
        <f t="shared" si="55"/>
        <v>C_Ope_002</v>
      </c>
      <c r="C359" s="13" t="s">
        <v>1330</v>
      </c>
      <c r="D359" s="14">
        <v>45936</v>
      </c>
      <c r="E359" s="5" t="s">
        <v>8125</v>
      </c>
      <c r="F359" s="5" t="s">
        <v>1336</v>
      </c>
      <c r="G359" s="6" t="s">
        <v>978</v>
      </c>
      <c r="H359" s="6" t="s">
        <v>68</v>
      </c>
      <c r="I359" s="6" t="s">
        <v>5688</v>
      </c>
      <c r="J359" s="6">
        <v>2499864</v>
      </c>
      <c r="K359" s="7" t="s">
        <v>8179</v>
      </c>
      <c r="L359" s="8">
        <v>25709</v>
      </c>
      <c r="M359" s="8" t="str">
        <f t="shared" si="56"/>
        <v>PEN</v>
      </c>
      <c r="N359" s="13"/>
      <c r="O359" s="13">
        <v>8</v>
      </c>
      <c r="P359" s="3">
        <f t="shared" si="57"/>
        <v>0</v>
      </c>
      <c r="Q359" s="3">
        <f t="shared" si="58"/>
        <v>8</v>
      </c>
      <c r="R359" s="3">
        <f t="shared" si="54"/>
        <v>136.00000000000006</v>
      </c>
      <c r="S359" s="24" t="s">
        <v>1334</v>
      </c>
      <c r="T359" s="24"/>
      <c r="U359" s="3"/>
      <c r="V359" s="25" t="s">
        <v>7842</v>
      </c>
      <c r="W359" s="25">
        <v>20517252558</v>
      </c>
      <c r="X359" s="25" t="str">
        <f>IFERROR(VLOOKUP(C_Ope_002[[#This Row],[nota_2]],Clientes_Proveedores[[Ruc / Dni]:[Razon Social]],2,0),"")</f>
        <v>COVISUR S.A.</v>
      </c>
      <c r="Y359" s="25" t="s">
        <v>7888</v>
      </c>
      <c r="Z359" s="25"/>
      <c r="AA359" s="3" t="str">
        <f>IF(C_Ope_002[[#This Row],[fecha]]&gt;0,TEXT(C_Ope_002[[#This Row],[fecha]],"mmmm"),0)</f>
        <v>Octubre</v>
      </c>
      <c r="AB359" s="49"/>
    </row>
    <row r="360" spans="1:28" ht="24" x14ac:dyDescent="0.3">
      <c r="A360" s="2">
        <f>IF(C_Ope_002[[#This Row],[tipo_r]]="R",COUNTIFS($C$1:$C359,"R")+1,"")</f>
        <v>359</v>
      </c>
      <c r="B360" s="19" t="str">
        <f t="shared" si="55"/>
        <v>C_Ope_002</v>
      </c>
      <c r="C360" s="13" t="s">
        <v>1330</v>
      </c>
      <c r="D360" s="14">
        <v>45936</v>
      </c>
      <c r="E360" s="5" t="s">
        <v>8125</v>
      </c>
      <c r="F360" s="5" t="s">
        <v>1336</v>
      </c>
      <c r="G360" s="6" t="s">
        <v>978</v>
      </c>
      <c r="H360" s="6" t="s">
        <v>68</v>
      </c>
      <c r="I360" s="6" t="s">
        <v>5845</v>
      </c>
      <c r="J360" s="6">
        <v>1884682</v>
      </c>
      <c r="K360" s="7" t="s">
        <v>8179</v>
      </c>
      <c r="L360" s="8">
        <v>25719</v>
      </c>
      <c r="M360" s="8" t="str">
        <f t="shared" si="56"/>
        <v>PEN</v>
      </c>
      <c r="N360" s="13"/>
      <c r="O360" s="13">
        <v>8</v>
      </c>
      <c r="P360" s="3">
        <f t="shared" si="57"/>
        <v>0</v>
      </c>
      <c r="Q360" s="3">
        <f t="shared" si="58"/>
        <v>8</v>
      </c>
      <c r="R360" s="3">
        <f t="shared" si="54"/>
        <v>128.00000000000006</v>
      </c>
      <c r="S360" s="24" t="s">
        <v>1334</v>
      </c>
      <c r="T360" s="24"/>
      <c r="U360" s="3"/>
      <c r="V360" s="25" t="s">
        <v>7842</v>
      </c>
      <c r="W360" s="25">
        <v>20517252558</v>
      </c>
      <c r="X360" s="25" t="str">
        <f>IFERROR(VLOOKUP(C_Ope_002[[#This Row],[nota_2]],Clientes_Proveedores[[Ruc / Dni]:[Razon Social]],2,0),"")</f>
        <v>COVISUR S.A.</v>
      </c>
      <c r="Y360" s="25" t="s">
        <v>7888</v>
      </c>
      <c r="Z360" s="25"/>
      <c r="AA360" s="3" t="str">
        <f>IF(C_Ope_002[[#This Row],[fecha]]&gt;0,TEXT(C_Ope_002[[#This Row],[fecha]],"mmmm"),0)</f>
        <v>Octubre</v>
      </c>
      <c r="AB360" s="49"/>
    </row>
    <row r="361" spans="1:28" ht="36" x14ac:dyDescent="0.3">
      <c r="A361" s="2">
        <f>IF(C_Ope_002[[#This Row],[tipo_r]]="R",COUNTIFS($C$1:$C360,"R")+1,"")</f>
        <v>360</v>
      </c>
      <c r="B361" s="19" t="str">
        <f t="shared" si="55"/>
        <v>C_Ope_002</v>
      </c>
      <c r="C361" s="13" t="s">
        <v>1330</v>
      </c>
      <c r="D361" s="14">
        <v>45936</v>
      </c>
      <c r="E361" s="5" t="s">
        <v>8125</v>
      </c>
      <c r="F361" s="5" t="s">
        <v>1336</v>
      </c>
      <c r="G361" s="6" t="s">
        <v>682</v>
      </c>
      <c r="H361" s="6" t="s">
        <v>68</v>
      </c>
      <c r="I361" s="6" t="s">
        <v>1353</v>
      </c>
      <c r="J361" s="6">
        <v>17970</v>
      </c>
      <c r="K361" s="7" t="s">
        <v>8181</v>
      </c>
      <c r="L361" s="8">
        <v>25708</v>
      </c>
      <c r="M361" s="8" t="str">
        <f t="shared" si="56"/>
        <v>PEN</v>
      </c>
      <c r="N361" s="13"/>
      <c r="O361" s="13">
        <v>20</v>
      </c>
      <c r="P361" s="3">
        <f t="shared" si="57"/>
        <v>0</v>
      </c>
      <c r="Q361" s="3">
        <f t="shared" si="58"/>
        <v>20</v>
      </c>
      <c r="R361" s="3">
        <f t="shared" si="54"/>
        <v>108.00000000000006</v>
      </c>
      <c r="S361" s="24" t="s">
        <v>1334</v>
      </c>
      <c r="T361" s="24"/>
      <c r="U361" s="3"/>
      <c r="V361" s="25" t="s">
        <v>7842</v>
      </c>
      <c r="W361" s="25">
        <v>20259858934</v>
      </c>
      <c r="X361" s="25" t="str">
        <f>IFERROR(VLOOKUP(C_Ope_002[[#This Row],[nota_2]],Clientes_Proveedores[[Ruc / Dni]:[Razon Social]],2,0),"")</f>
        <v>COMERCIALIZACION Y SERVICIOS EL EDEN S.A.C.</v>
      </c>
      <c r="Y361" s="25" t="s">
        <v>5933</v>
      </c>
      <c r="Z361" s="25"/>
      <c r="AA361" s="3" t="str">
        <f>IF(C_Ope_002[[#This Row],[fecha]]&gt;0,TEXT(C_Ope_002[[#This Row],[fecha]],"mmmm"),0)</f>
        <v>Octubre</v>
      </c>
      <c r="AB361" s="49"/>
    </row>
    <row r="362" spans="1:28" ht="36" x14ac:dyDescent="0.3">
      <c r="A362" s="2">
        <f>IF(C_Ope_002[[#This Row],[tipo_r]]="R",COUNTIFS($C$1:$C361,"R")+1,"")</f>
        <v>361</v>
      </c>
      <c r="B362" s="19" t="str">
        <f t="shared" si="55"/>
        <v>C_Ope_002</v>
      </c>
      <c r="C362" s="13" t="s">
        <v>1330</v>
      </c>
      <c r="D362" s="14">
        <v>45936</v>
      </c>
      <c r="E362" s="5" t="s">
        <v>8125</v>
      </c>
      <c r="F362" s="5" t="s">
        <v>1336</v>
      </c>
      <c r="G362" s="6" t="s">
        <v>682</v>
      </c>
      <c r="H362" s="6" t="s">
        <v>68</v>
      </c>
      <c r="I362" s="6" t="s">
        <v>1353</v>
      </c>
      <c r="J362" s="6">
        <v>17974</v>
      </c>
      <c r="K362" s="7" t="s">
        <v>8182</v>
      </c>
      <c r="L362" s="8">
        <v>25713</v>
      </c>
      <c r="M362" s="8" t="str">
        <f t="shared" si="56"/>
        <v>PEN</v>
      </c>
      <c r="N362" s="13"/>
      <c r="O362" s="13">
        <v>20</v>
      </c>
      <c r="P362" s="3">
        <f t="shared" si="57"/>
        <v>0</v>
      </c>
      <c r="Q362" s="3">
        <f t="shared" si="58"/>
        <v>20</v>
      </c>
      <c r="R362" s="3">
        <f t="shared" si="54"/>
        <v>88.000000000000057</v>
      </c>
      <c r="S362" s="24" t="s">
        <v>1334</v>
      </c>
      <c r="T362" s="24"/>
      <c r="U362" s="3"/>
      <c r="V362" s="25" t="s">
        <v>7842</v>
      </c>
      <c r="W362" s="25">
        <v>20259858934</v>
      </c>
      <c r="X362" s="25" t="str">
        <f>IFERROR(VLOOKUP(C_Ope_002[[#This Row],[nota_2]],Clientes_Proveedores[[Ruc / Dni]:[Razon Social]],2,0),"")</f>
        <v>COMERCIALIZACION Y SERVICIOS EL EDEN S.A.C.</v>
      </c>
      <c r="Y362" s="25" t="s">
        <v>5933</v>
      </c>
      <c r="Z362" s="25"/>
      <c r="AA362" s="3" t="str">
        <f>IF(C_Ope_002[[#This Row],[fecha]]&gt;0,TEXT(C_Ope_002[[#This Row],[fecha]],"mmmm"),0)</f>
        <v>Octubre</v>
      </c>
      <c r="AB362" s="49"/>
    </row>
    <row r="363" spans="1:28" ht="36" x14ac:dyDescent="0.3">
      <c r="A363" s="2">
        <f>IF(C_Ope_002[[#This Row],[tipo_r]]="R",COUNTIFS($C$1:$C362,"R")+1,"")</f>
        <v>362</v>
      </c>
      <c r="B363" s="19" t="str">
        <f>"C_Ope_002"</f>
        <v>C_Ope_002</v>
      </c>
      <c r="C363" s="13" t="s">
        <v>1330</v>
      </c>
      <c r="D363" s="14">
        <v>45937</v>
      </c>
      <c r="E363" s="5" t="s">
        <v>8125</v>
      </c>
      <c r="F363" s="5" t="s">
        <v>1336</v>
      </c>
      <c r="G363" s="6" t="s">
        <v>682</v>
      </c>
      <c r="H363" s="6" t="s">
        <v>68</v>
      </c>
      <c r="I363" s="6" t="s">
        <v>1353</v>
      </c>
      <c r="J363" s="6">
        <v>17987</v>
      </c>
      <c r="K363" s="7" t="s">
        <v>9413</v>
      </c>
      <c r="L363" s="8">
        <v>25791</v>
      </c>
      <c r="M363" s="8" t="str">
        <f>"PEN"</f>
        <v>PEN</v>
      </c>
      <c r="N363" s="13"/>
      <c r="O363" s="13">
        <v>20</v>
      </c>
      <c r="P363" s="3">
        <f>+IF(OR($F363="SALDO",$F363="INGRESO"),$O363,0)</f>
        <v>0</v>
      </c>
      <c r="Q363" s="3">
        <f>+IF($F363="EGRESO",$O363,0)</f>
        <v>20</v>
      </c>
      <c r="R363" s="3">
        <f t="shared" si="54"/>
        <v>68.000000000000057</v>
      </c>
      <c r="S363" s="24" t="s">
        <v>1334</v>
      </c>
      <c r="T363" s="24"/>
      <c r="U363" s="3"/>
      <c r="V363" s="25" t="s">
        <v>7842</v>
      </c>
      <c r="W363" s="25">
        <v>20259858934</v>
      </c>
      <c r="X363" s="25" t="str">
        <f>IFERROR(VLOOKUP(C_Ope_002[[#This Row],[nota_2]],Clientes_Proveedores[[Ruc / Dni]:[Razon Social]],2,0),"")</f>
        <v>COMERCIALIZACION Y SERVICIOS EL EDEN S.A.C.</v>
      </c>
      <c r="Y363" s="25" t="s">
        <v>5933</v>
      </c>
      <c r="Z363" s="25"/>
      <c r="AA363" s="3" t="str">
        <f>IF(C_Ope_002[[#This Row],[fecha]]&gt;0,TEXT(C_Ope_002[[#This Row],[fecha]],"mmmm"),0)</f>
        <v>Octubre</v>
      </c>
      <c r="AB363" s="49"/>
    </row>
    <row r="364" spans="1:28" ht="24" x14ac:dyDescent="0.3">
      <c r="A364" s="2">
        <f>IF(C_Ope_002[[#This Row],[tipo_r]]="R",COUNTIFS($C$1:$C363,"R")+1,"")</f>
        <v>363</v>
      </c>
      <c r="B364" s="19" t="str">
        <f t="shared" si="55"/>
        <v>C_Ope_002</v>
      </c>
      <c r="C364" s="13" t="s">
        <v>1330</v>
      </c>
      <c r="D364" s="14">
        <v>45937</v>
      </c>
      <c r="E364" s="5" t="s">
        <v>8125</v>
      </c>
      <c r="F364" s="5" t="s">
        <v>1336</v>
      </c>
      <c r="G364" s="6" t="s">
        <v>1253</v>
      </c>
      <c r="H364" s="6" t="s">
        <v>68</v>
      </c>
      <c r="I364" s="6" t="s">
        <v>1376</v>
      </c>
      <c r="J364" s="6">
        <v>643</v>
      </c>
      <c r="K364" s="7" t="s">
        <v>8183</v>
      </c>
      <c r="L364" s="8">
        <v>25729</v>
      </c>
      <c r="M364" s="8" t="str">
        <f t="shared" si="56"/>
        <v>PEN</v>
      </c>
      <c r="N364" s="13"/>
      <c r="O364" s="13">
        <v>20</v>
      </c>
      <c r="P364" s="3">
        <f t="shared" si="57"/>
        <v>0</v>
      </c>
      <c r="Q364" s="3">
        <f t="shared" si="58"/>
        <v>20</v>
      </c>
      <c r="R364" s="3">
        <f t="shared" si="54"/>
        <v>48.000000000000057</v>
      </c>
      <c r="S364" s="24" t="s">
        <v>1334</v>
      </c>
      <c r="T364" s="24"/>
      <c r="U364" s="3"/>
      <c r="V364" s="25" t="s">
        <v>7756</v>
      </c>
      <c r="W364" s="25">
        <v>10414394944</v>
      </c>
      <c r="X364" s="25" t="str">
        <f>IFERROR(VLOOKUP(C_Ope_002[[#This Row],[nota_2]],Clientes_Proveedores[[Ruc / Dni]:[Razon Social]],2,0),"")</f>
        <v>RODRIGUEZ CRUZ RICHARD MANUEL</v>
      </c>
      <c r="Y364" s="25" t="s">
        <v>5933</v>
      </c>
      <c r="Z364" s="25"/>
      <c r="AA364" s="3" t="str">
        <f>IF(C_Ope_002[[#This Row],[fecha]]&gt;0,TEXT(C_Ope_002[[#This Row],[fecha]],"mmmm"),0)</f>
        <v>Octubre</v>
      </c>
      <c r="AB364" s="49"/>
    </row>
    <row r="365" spans="1:28" x14ac:dyDescent="0.3">
      <c r="A365" s="2">
        <f>IF(C_Ope_002[[#This Row],[tipo_r]]="R",COUNTIFS($C$1:$C364,"R")+1,"")</f>
        <v>364</v>
      </c>
      <c r="B365" s="19" t="str">
        <f>"C_Ope_002"</f>
        <v>C_Ope_002</v>
      </c>
      <c r="C365" s="13" t="s">
        <v>1330</v>
      </c>
      <c r="D365" s="14">
        <v>45939</v>
      </c>
      <c r="E365" s="5" t="s">
        <v>3634</v>
      </c>
      <c r="F365" s="5" t="s">
        <v>1303</v>
      </c>
      <c r="G365" s="6" t="s">
        <v>798</v>
      </c>
      <c r="H365" s="6"/>
      <c r="I365" s="6"/>
      <c r="J365" s="6"/>
      <c r="K365" s="7" t="s">
        <v>7516</v>
      </c>
      <c r="L365" s="8">
        <v>25744</v>
      </c>
      <c r="M365" s="8" t="str">
        <f>"PEN"</f>
        <v>PEN</v>
      </c>
      <c r="N365" s="13"/>
      <c r="O365" s="13">
        <v>120</v>
      </c>
      <c r="P365" s="3">
        <f>+IF(OR($F365="SALDO",$F365="INGRESO"),$O365,0)</f>
        <v>120</v>
      </c>
      <c r="Q365" s="3">
        <f>+IF($F365="EGRESO",$O365,0)</f>
        <v>0</v>
      </c>
      <c r="R365" s="3">
        <f t="shared" si="54"/>
        <v>168.00000000000006</v>
      </c>
      <c r="S365" s="24"/>
      <c r="T365" s="24"/>
      <c r="U365" s="3"/>
      <c r="V365" s="25"/>
      <c r="W365" s="25"/>
      <c r="X365" s="25" t="str">
        <f>IFERROR(VLOOKUP(C_Ope_002[[#This Row],[nota_2]],Clientes_Proveedores[[Ruc / Dni]:[Razon Social]],2,0),"")</f>
        <v/>
      </c>
      <c r="Y365" s="25"/>
      <c r="Z365" s="25"/>
      <c r="AA365" s="3" t="str">
        <f>IF(C_Ope_002[[#This Row],[fecha]]&gt;0,TEXT(C_Ope_002[[#This Row],[fecha]],"mmmm"),0)</f>
        <v>Octubre</v>
      </c>
      <c r="AB365" s="49"/>
    </row>
    <row r="366" spans="1:28" ht="36" x14ac:dyDescent="0.3">
      <c r="A366" s="2">
        <f>IF(C_Ope_002[[#This Row],[tipo_r]]="R",COUNTIFS($C$1:$C365,"R")+1,"")</f>
        <v>365</v>
      </c>
      <c r="B366" s="19" t="str">
        <f t="shared" si="55"/>
        <v>C_Ope_002</v>
      </c>
      <c r="C366" s="13" t="s">
        <v>1330</v>
      </c>
      <c r="D366" s="14">
        <v>45939</v>
      </c>
      <c r="E366" s="5" t="s">
        <v>8125</v>
      </c>
      <c r="F366" s="5" t="s">
        <v>1336</v>
      </c>
      <c r="G366" s="6" t="s">
        <v>227</v>
      </c>
      <c r="H366" s="6" t="s">
        <v>68</v>
      </c>
      <c r="I366" s="6" t="s">
        <v>1390</v>
      </c>
      <c r="J366" s="6">
        <v>138017</v>
      </c>
      <c r="K366" s="7" t="s">
        <v>8184</v>
      </c>
      <c r="L366" s="8">
        <v>25728</v>
      </c>
      <c r="M366" s="8" t="str">
        <f t="shared" si="56"/>
        <v>PEN</v>
      </c>
      <c r="N366" s="13"/>
      <c r="O366" s="13">
        <v>5</v>
      </c>
      <c r="P366" s="3">
        <f t="shared" si="57"/>
        <v>0</v>
      </c>
      <c r="Q366" s="3">
        <f t="shared" si="58"/>
        <v>5</v>
      </c>
      <c r="R366" s="3">
        <f t="shared" si="54"/>
        <v>163.00000000000006</v>
      </c>
      <c r="S366" s="24" t="s">
        <v>1334</v>
      </c>
      <c r="T366" s="24"/>
      <c r="U366" s="3"/>
      <c r="V366" s="25" t="s">
        <v>7756</v>
      </c>
      <c r="W366" s="25">
        <v>20124952850</v>
      </c>
      <c r="X366" s="25" t="str">
        <f>IFERROR(VLOOKUP(C_Ope_002[[#This Row],[nota_2]],Clientes_Proveedores[[Ruc / Dni]:[Razon Social]],2,0),"")</f>
        <v>ALIMENTOS Y SERVICIOS AGROPECUARIOS SRL.</v>
      </c>
      <c r="Y366" s="25" t="s">
        <v>5933</v>
      </c>
      <c r="Z366" s="25"/>
      <c r="AA366" s="3" t="str">
        <f>IF(C_Ope_002[[#This Row],[fecha]]&gt;0,TEXT(C_Ope_002[[#This Row],[fecha]],"mmmm"),0)</f>
        <v>Octubre</v>
      </c>
      <c r="AB366" s="49"/>
    </row>
    <row r="367" spans="1:28" ht="24" x14ac:dyDescent="0.3">
      <c r="A367" s="2">
        <f>IF(C_Ope_002[[#This Row],[tipo_r]]="R",COUNTIFS($C$1:$C366,"R")+1,"")</f>
        <v>366</v>
      </c>
      <c r="B367" s="19" t="str">
        <f>"C_Ope_002"</f>
        <v>C_Ope_002</v>
      </c>
      <c r="C367" s="13" t="s">
        <v>1330</v>
      </c>
      <c r="D367" s="14">
        <v>45939</v>
      </c>
      <c r="E367" s="5" t="s">
        <v>8125</v>
      </c>
      <c r="F367" s="5" t="s">
        <v>1336</v>
      </c>
      <c r="G367" s="6" t="s">
        <v>978</v>
      </c>
      <c r="H367" s="6" t="s">
        <v>68</v>
      </c>
      <c r="I367" s="6" t="s">
        <v>6203</v>
      </c>
      <c r="J367" s="6">
        <v>2206591</v>
      </c>
      <c r="K367" s="7" t="s">
        <v>8185</v>
      </c>
      <c r="L367" s="8">
        <v>25732</v>
      </c>
      <c r="M367" s="8" t="str">
        <f>"PEN"</f>
        <v>PEN</v>
      </c>
      <c r="N367" s="13"/>
      <c r="O367" s="13">
        <v>8</v>
      </c>
      <c r="P367" s="3">
        <f>+IF(OR($F367="SALDO",$F367="INGRESO"),$O367,0)</f>
        <v>0</v>
      </c>
      <c r="Q367" s="3">
        <f>+IF($F367="EGRESO",$O367,0)</f>
        <v>8</v>
      </c>
      <c r="R367" s="3">
        <f t="shared" si="54"/>
        <v>155.00000000000006</v>
      </c>
      <c r="S367" s="24" t="s">
        <v>1334</v>
      </c>
      <c r="T367" s="24"/>
      <c r="U367" s="3"/>
      <c r="V367" s="25" t="s">
        <v>7756</v>
      </c>
      <c r="W367" s="25">
        <v>20517252558</v>
      </c>
      <c r="X367" s="25" t="str">
        <f>IFERROR(VLOOKUP(C_Ope_002[[#This Row],[nota_2]],Clientes_Proveedores[[Ruc / Dni]:[Razon Social]],2,0),"")</f>
        <v>COVISUR S.A.</v>
      </c>
      <c r="Y367" s="25" t="s">
        <v>7888</v>
      </c>
      <c r="Z367" s="25"/>
      <c r="AA367" s="3" t="str">
        <f>IF(C_Ope_002[[#This Row],[fecha]]&gt;0,TEXT(C_Ope_002[[#This Row],[fecha]],"mmmm"),0)</f>
        <v>Octubre</v>
      </c>
      <c r="AB367" s="49"/>
    </row>
    <row r="368" spans="1:28" ht="24" x14ac:dyDescent="0.3">
      <c r="A368" s="2">
        <f>IF(C_Ope_002[[#This Row],[tipo_r]]="R",COUNTIFS($C$1:$C367,"R")+1,"")</f>
        <v>367</v>
      </c>
      <c r="B368" s="19" t="str">
        <f>"C_Ope_002"</f>
        <v>C_Ope_002</v>
      </c>
      <c r="C368" s="13" t="s">
        <v>1330</v>
      </c>
      <c r="D368" s="14">
        <v>45939</v>
      </c>
      <c r="E368" s="5" t="s">
        <v>8125</v>
      </c>
      <c r="F368" s="5" t="s">
        <v>1336</v>
      </c>
      <c r="G368" s="6" t="s">
        <v>978</v>
      </c>
      <c r="H368" s="6" t="s">
        <v>68</v>
      </c>
      <c r="I368" s="6" t="s">
        <v>5688</v>
      </c>
      <c r="J368" s="6">
        <v>2503749</v>
      </c>
      <c r="K368" s="7" t="s">
        <v>8186</v>
      </c>
      <c r="L368" s="8">
        <v>25733</v>
      </c>
      <c r="M368" s="8" t="str">
        <f>"PEN"</f>
        <v>PEN</v>
      </c>
      <c r="N368" s="13"/>
      <c r="O368" s="13">
        <v>8</v>
      </c>
      <c r="P368" s="3">
        <f>+IF(OR($F368="SALDO",$F368="INGRESO"),$O368,0)</f>
        <v>0</v>
      </c>
      <c r="Q368" s="3">
        <f>+IF($F368="EGRESO",$O368,0)</f>
        <v>8</v>
      </c>
      <c r="R368" s="3">
        <f t="shared" si="54"/>
        <v>147.00000000000006</v>
      </c>
      <c r="S368" s="24" t="s">
        <v>1334</v>
      </c>
      <c r="T368" s="24"/>
      <c r="U368" s="3"/>
      <c r="V368" s="25" t="s">
        <v>7756</v>
      </c>
      <c r="W368" s="25">
        <v>20517252558</v>
      </c>
      <c r="X368" s="25" t="str">
        <f>IFERROR(VLOOKUP(C_Ope_002[[#This Row],[nota_2]],Clientes_Proveedores[[Ruc / Dni]:[Razon Social]],2,0),"")</f>
        <v>COVISUR S.A.</v>
      </c>
      <c r="Y368" s="25" t="s">
        <v>7888</v>
      </c>
      <c r="Z368" s="25"/>
      <c r="AA368" s="3" t="str">
        <f>IF(C_Ope_002[[#This Row],[fecha]]&gt;0,TEXT(C_Ope_002[[#This Row],[fecha]],"mmmm"),0)</f>
        <v>Octubre</v>
      </c>
      <c r="AB368" s="49"/>
    </row>
    <row r="369" spans="1:28" ht="24" x14ac:dyDescent="0.3">
      <c r="A369" s="2">
        <f>IF(C_Ope_002[[#This Row],[tipo_r]]="R",COUNTIFS($C$1:$C368,"R")+1,"")</f>
        <v>368</v>
      </c>
      <c r="B369" s="19" t="str">
        <f t="shared" ref="B369:B397" si="59">"C_Ope_002"</f>
        <v>C_Ope_002</v>
      </c>
      <c r="C369" s="13" t="s">
        <v>1330</v>
      </c>
      <c r="D369" s="14">
        <v>45940</v>
      </c>
      <c r="E369" s="5" t="s">
        <v>8125</v>
      </c>
      <c r="F369" s="5" t="s">
        <v>1336</v>
      </c>
      <c r="G369" s="6" t="s">
        <v>978</v>
      </c>
      <c r="H369" s="6" t="s">
        <v>68</v>
      </c>
      <c r="I369" s="6" t="s">
        <v>5688</v>
      </c>
      <c r="J369" s="6">
        <v>2505666</v>
      </c>
      <c r="K369" s="7" t="s">
        <v>8187</v>
      </c>
      <c r="L369" s="8">
        <v>25763</v>
      </c>
      <c r="M369" s="8" t="str">
        <f t="shared" ref="M369:M397" si="60">"PEN"</f>
        <v>PEN</v>
      </c>
      <c r="N369" s="13"/>
      <c r="O369" s="13">
        <v>8</v>
      </c>
      <c r="P369" s="3">
        <f t="shared" ref="P369:P397" si="61">+IF(OR($F369="SALDO",$F369="INGRESO"),$O369,0)</f>
        <v>0</v>
      </c>
      <c r="Q369" s="3">
        <f t="shared" ref="Q369:Q397" si="62">+IF($F369="EGRESO",$O369,0)</f>
        <v>8</v>
      </c>
      <c r="R369" s="3">
        <f t="shared" si="54"/>
        <v>139.00000000000006</v>
      </c>
      <c r="S369" s="24" t="s">
        <v>1334</v>
      </c>
      <c r="T369" s="24"/>
      <c r="U369" s="3"/>
      <c r="V369" s="209" t="s">
        <v>7761</v>
      </c>
      <c r="W369" s="1">
        <v>20517252558</v>
      </c>
      <c r="X369" s="25" t="str">
        <f>IFERROR(VLOOKUP(C_Ope_002[[#This Row],[nota_2]],Clientes_Proveedores[[Ruc / Dni]:[Razon Social]],2,0),"")</f>
        <v>COVISUR S.A.</v>
      </c>
      <c r="Y369" s="25" t="s">
        <v>7888</v>
      </c>
      <c r="Z369" s="25"/>
      <c r="AA369" s="3" t="str">
        <f>IF(C_Ope_002[[#This Row],[fecha]]&gt;0,TEXT(C_Ope_002[[#This Row],[fecha]],"mmmm"),0)</f>
        <v>Octubre</v>
      </c>
      <c r="AB369" s="49"/>
    </row>
    <row r="370" spans="1:28" ht="24" x14ac:dyDescent="0.3">
      <c r="A370" s="2">
        <f>IF(C_Ope_002[[#This Row],[tipo_r]]="R",COUNTIFS($C$1:$C369,"R")+1,"")</f>
        <v>369</v>
      </c>
      <c r="B370" s="19" t="str">
        <f t="shared" si="59"/>
        <v>C_Ope_002</v>
      </c>
      <c r="C370" s="13" t="s">
        <v>1330</v>
      </c>
      <c r="D370" s="14">
        <v>45940</v>
      </c>
      <c r="E370" s="5" t="s">
        <v>8125</v>
      </c>
      <c r="F370" s="5" t="s">
        <v>1336</v>
      </c>
      <c r="G370" s="6" t="s">
        <v>978</v>
      </c>
      <c r="H370" s="6" t="s">
        <v>68</v>
      </c>
      <c r="I370" s="6" t="s">
        <v>5845</v>
      </c>
      <c r="J370" s="6">
        <v>1888690</v>
      </c>
      <c r="K370" s="7" t="s">
        <v>8187</v>
      </c>
      <c r="L370" s="8">
        <v>25764</v>
      </c>
      <c r="M370" s="8" t="str">
        <f t="shared" si="60"/>
        <v>PEN</v>
      </c>
      <c r="N370" s="13"/>
      <c r="O370" s="13">
        <v>8</v>
      </c>
      <c r="P370" s="3">
        <f t="shared" si="61"/>
        <v>0</v>
      </c>
      <c r="Q370" s="3">
        <f t="shared" si="62"/>
        <v>8</v>
      </c>
      <c r="R370" s="3">
        <f t="shared" si="54"/>
        <v>131.00000000000006</v>
      </c>
      <c r="S370" s="24" t="s">
        <v>1334</v>
      </c>
      <c r="T370" s="24"/>
      <c r="U370" s="3"/>
      <c r="V370" s="209" t="s">
        <v>7761</v>
      </c>
      <c r="W370" s="1">
        <v>20517252558</v>
      </c>
      <c r="X370" s="25" t="str">
        <f>IFERROR(VLOOKUP(C_Ope_002[[#This Row],[nota_2]],Clientes_Proveedores[[Ruc / Dni]:[Razon Social]],2,0),"")</f>
        <v>COVISUR S.A.</v>
      </c>
      <c r="Y370" s="25" t="s">
        <v>7888</v>
      </c>
      <c r="Z370" s="25"/>
      <c r="AA370" s="3" t="str">
        <f>IF(C_Ope_002[[#This Row],[fecha]]&gt;0,TEXT(C_Ope_002[[#This Row],[fecha]],"mmmm"),0)</f>
        <v>Octubre</v>
      </c>
      <c r="AB370" s="49"/>
    </row>
    <row r="371" spans="1:28" ht="24" x14ac:dyDescent="0.3">
      <c r="A371" s="2">
        <f>IF(C_Ope_002[[#This Row],[tipo_r]]="R",COUNTIFS($C$1:$C370,"R")+1,"")</f>
        <v>370</v>
      </c>
      <c r="B371" s="19" t="str">
        <f t="shared" si="59"/>
        <v>C_Ope_002</v>
      </c>
      <c r="C371" s="13" t="s">
        <v>1330</v>
      </c>
      <c r="D371" s="14">
        <v>45943</v>
      </c>
      <c r="E371" s="5" t="s">
        <v>8125</v>
      </c>
      <c r="F371" s="5" t="s">
        <v>1336</v>
      </c>
      <c r="G371" s="6" t="s">
        <v>978</v>
      </c>
      <c r="H371" s="6" t="s">
        <v>68</v>
      </c>
      <c r="I371" s="6" t="s">
        <v>5845</v>
      </c>
      <c r="J371" s="6">
        <v>1891145</v>
      </c>
      <c r="K371" s="7" t="s">
        <v>8188</v>
      </c>
      <c r="L371" s="8">
        <v>25768</v>
      </c>
      <c r="M371" s="8" t="str">
        <f t="shared" si="60"/>
        <v>PEN</v>
      </c>
      <c r="N371" s="13"/>
      <c r="O371" s="13">
        <v>8</v>
      </c>
      <c r="P371" s="3">
        <f t="shared" si="61"/>
        <v>0</v>
      </c>
      <c r="Q371" s="3">
        <f t="shared" si="62"/>
        <v>8</v>
      </c>
      <c r="R371" s="3">
        <f t="shared" si="54"/>
        <v>123.00000000000006</v>
      </c>
      <c r="S371" s="24" t="s">
        <v>1334</v>
      </c>
      <c r="T371" s="24"/>
      <c r="U371" s="3"/>
      <c r="V371" s="209" t="s">
        <v>7761</v>
      </c>
      <c r="W371" s="1">
        <v>20517252558</v>
      </c>
      <c r="X371" s="25" t="str">
        <f>IFERROR(VLOOKUP(C_Ope_002[[#This Row],[nota_2]],Clientes_Proveedores[[Ruc / Dni]:[Razon Social]],2,0),"")</f>
        <v>COVISUR S.A.</v>
      </c>
      <c r="Y371" s="25" t="s">
        <v>7888</v>
      </c>
      <c r="Z371" s="25"/>
      <c r="AA371" s="3" t="str">
        <f>IF(C_Ope_002[[#This Row],[fecha]]&gt;0,TEXT(C_Ope_002[[#This Row],[fecha]],"mmmm"),0)</f>
        <v>Octubre</v>
      </c>
      <c r="AB371" s="49"/>
    </row>
    <row r="372" spans="1:28" ht="24" x14ac:dyDescent="0.3">
      <c r="A372" s="2">
        <f>IF(C_Ope_002[[#This Row],[tipo_r]]="R",COUNTIFS($C$1:$C371,"R")+1,"")</f>
        <v>371</v>
      </c>
      <c r="B372" s="19" t="str">
        <f t="shared" si="59"/>
        <v>C_Ope_002</v>
      </c>
      <c r="C372" s="13" t="s">
        <v>1330</v>
      </c>
      <c r="D372" s="14">
        <v>45943</v>
      </c>
      <c r="E372" s="5" t="s">
        <v>8125</v>
      </c>
      <c r="F372" s="5" t="s">
        <v>1336</v>
      </c>
      <c r="G372" s="6" t="s">
        <v>978</v>
      </c>
      <c r="H372" s="6" t="s">
        <v>68</v>
      </c>
      <c r="I372" s="6" t="s">
        <v>5688</v>
      </c>
      <c r="J372" s="6">
        <v>2508713</v>
      </c>
      <c r="K372" s="7" t="s">
        <v>8189</v>
      </c>
      <c r="L372" s="8">
        <v>25769</v>
      </c>
      <c r="M372" s="8" t="str">
        <f t="shared" si="60"/>
        <v>PEN</v>
      </c>
      <c r="N372" s="13"/>
      <c r="O372" s="13">
        <v>8</v>
      </c>
      <c r="P372" s="3">
        <f t="shared" si="61"/>
        <v>0</v>
      </c>
      <c r="Q372" s="3">
        <f t="shared" si="62"/>
        <v>8</v>
      </c>
      <c r="R372" s="3">
        <f t="shared" si="54"/>
        <v>115.00000000000006</v>
      </c>
      <c r="S372" s="24" t="s">
        <v>1334</v>
      </c>
      <c r="T372" s="24"/>
      <c r="U372" s="3"/>
      <c r="V372" s="209" t="s">
        <v>7761</v>
      </c>
      <c r="W372" s="1">
        <v>20517252558</v>
      </c>
      <c r="X372" s="25" t="str">
        <f>IFERROR(VLOOKUP(C_Ope_002[[#This Row],[nota_2]],Clientes_Proveedores[[Ruc / Dni]:[Razon Social]],2,0),"")</f>
        <v>COVISUR S.A.</v>
      </c>
      <c r="Y372" s="25" t="s">
        <v>7888</v>
      </c>
      <c r="Z372" s="25"/>
      <c r="AA372" s="3" t="str">
        <f>IF(C_Ope_002[[#This Row],[fecha]]&gt;0,TEXT(C_Ope_002[[#This Row],[fecha]],"mmmm"),0)</f>
        <v>Octubre</v>
      </c>
      <c r="AB372" s="49"/>
    </row>
    <row r="373" spans="1:28" ht="24" x14ac:dyDescent="0.3">
      <c r="A373" s="2">
        <f>IF(C_Ope_002[[#This Row],[tipo_r]]="R",COUNTIFS($C$1:$C372,"R")+1,"")</f>
        <v>372</v>
      </c>
      <c r="B373" s="19" t="str">
        <f t="shared" si="59"/>
        <v>C_Ope_002</v>
      </c>
      <c r="C373" s="13" t="s">
        <v>1330</v>
      </c>
      <c r="D373" s="14">
        <v>45944</v>
      </c>
      <c r="E373" s="5" t="s">
        <v>8125</v>
      </c>
      <c r="F373" s="5" t="s">
        <v>1336</v>
      </c>
      <c r="G373" s="6" t="s">
        <v>978</v>
      </c>
      <c r="H373" s="6" t="s">
        <v>68</v>
      </c>
      <c r="I373" s="6" t="s">
        <v>5688</v>
      </c>
      <c r="J373" s="6">
        <v>2510327</v>
      </c>
      <c r="K373" s="7" t="s">
        <v>8190</v>
      </c>
      <c r="L373" s="8">
        <v>25790</v>
      </c>
      <c r="M373" s="8" t="str">
        <f t="shared" si="60"/>
        <v>PEN</v>
      </c>
      <c r="N373" s="13"/>
      <c r="O373" s="13">
        <v>8</v>
      </c>
      <c r="P373" s="3">
        <f t="shared" si="61"/>
        <v>0</v>
      </c>
      <c r="Q373" s="3">
        <f t="shared" si="62"/>
        <v>8</v>
      </c>
      <c r="R373" s="3">
        <f t="shared" si="54"/>
        <v>107.00000000000006</v>
      </c>
      <c r="S373" s="24" t="s">
        <v>1334</v>
      </c>
      <c r="T373" s="24"/>
      <c r="U373" s="3"/>
      <c r="V373" s="209" t="s">
        <v>7761</v>
      </c>
      <c r="W373" s="1">
        <v>20517252558</v>
      </c>
      <c r="X373" s="25" t="str">
        <f>IFERROR(VLOOKUP(C_Ope_002[[#This Row],[nota_2]],Clientes_Proveedores[[Ruc / Dni]:[Razon Social]],2,0),"")</f>
        <v>COVISUR S.A.</v>
      </c>
      <c r="Y373" s="25" t="s">
        <v>7888</v>
      </c>
      <c r="Z373" s="25"/>
      <c r="AA373" s="3" t="str">
        <f>IF(C_Ope_002[[#This Row],[fecha]]&gt;0,TEXT(C_Ope_002[[#This Row],[fecha]],"mmmm"),0)</f>
        <v>Octubre</v>
      </c>
      <c r="AB373" s="49"/>
    </row>
    <row r="374" spans="1:28" ht="36" x14ac:dyDescent="0.3">
      <c r="A374" s="2">
        <f>IF(C_Ope_002[[#This Row],[tipo_r]]="R",COUNTIFS($C$1:$C373,"R")+1,"")</f>
        <v>373</v>
      </c>
      <c r="B374" s="19" t="str">
        <f t="shared" si="59"/>
        <v>C_Ope_002</v>
      </c>
      <c r="C374" s="13" t="s">
        <v>1330</v>
      </c>
      <c r="D374" s="14">
        <v>45944</v>
      </c>
      <c r="E374" s="5" t="s">
        <v>8125</v>
      </c>
      <c r="F374" s="5" t="s">
        <v>1336</v>
      </c>
      <c r="G374" s="6" t="s">
        <v>227</v>
      </c>
      <c r="H374" s="6" t="s">
        <v>68</v>
      </c>
      <c r="I374" s="6" t="s">
        <v>1390</v>
      </c>
      <c r="J374" s="6">
        <v>138233</v>
      </c>
      <c r="K374" s="7" t="s">
        <v>8191</v>
      </c>
      <c r="L374" s="8">
        <v>25779</v>
      </c>
      <c r="M374" s="8" t="str">
        <f t="shared" si="60"/>
        <v>PEN</v>
      </c>
      <c r="N374" s="13"/>
      <c r="O374" s="13">
        <v>10</v>
      </c>
      <c r="P374" s="3">
        <f t="shared" si="61"/>
        <v>0</v>
      </c>
      <c r="Q374" s="3">
        <f t="shared" si="62"/>
        <v>10</v>
      </c>
      <c r="R374" s="3">
        <f t="shared" si="54"/>
        <v>97.000000000000057</v>
      </c>
      <c r="S374" s="24" t="s">
        <v>1334</v>
      </c>
      <c r="T374" s="24"/>
      <c r="U374" s="3"/>
      <c r="V374" s="209" t="s">
        <v>7761</v>
      </c>
      <c r="W374" s="1">
        <v>20124952850</v>
      </c>
      <c r="X374" s="25" t="str">
        <f>IFERROR(VLOOKUP(C_Ope_002[[#This Row],[nota_2]],Clientes_Proveedores[[Ruc / Dni]:[Razon Social]],2,0),"")</f>
        <v>ALIMENTOS Y SERVICIOS AGROPECUARIOS SRL.</v>
      </c>
      <c r="Y374" s="25" t="s">
        <v>5933</v>
      </c>
      <c r="Z374" s="25"/>
      <c r="AA374" s="3" t="str">
        <f>IF(C_Ope_002[[#This Row],[fecha]]&gt;0,TEXT(C_Ope_002[[#This Row],[fecha]],"mmmm"),0)</f>
        <v>Octubre</v>
      </c>
      <c r="AB374" s="49"/>
    </row>
    <row r="375" spans="1:28" ht="36" x14ac:dyDescent="0.3">
      <c r="A375" s="2">
        <f>IF(C_Ope_002[[#This Row],[tipo_r]]="R",COUNTIFS($C$1:$C374,"R")+1,"")</f>
        <v>374</v>
      </c>
      <c r="B375" s="19" t="str">
        <f t="shared" si="59"/>
        <v>C_Ope_002</v>
      </c>
      <c r="C375" s="13" t="s">
        <v>1330</v>
      </c>
      <c r="D375" s="14">
        <v>45944</v>
      </c>
      <c r="E375" s="5" t="s">
        <v>8125</v>
      </c>
      <c r="F375" s="5" t="s">
        <v>1336</v>
      </c>
      <c r="G375" s="6" t="s">
        <v>227</v>
      </c>
      <c r="H375" s="6" t="s">
        <v>68</v>
      </c>
      <c r="I375" s="6" t="s">
        <v>1390</v>
      </c>
      <c r="J375" s="6">
        <v>138247</v>
      </c>
      <c r="K375" s="7" t="s">
        <v>8192</v>
      </c>
      <c r="L375" s="8">
        <v>25780</v>
      </c>
      <c r="M375" s="8" t="str">
        <f t="shared" si="60"/>
        <v>PEN</v>
      </c>
      <c r="N375" s="13"/>
      <c r="O375" s="13">
        <v>10</v>
      </c>
      <c r="P375" s="3">
        <f t="shared" si="61"/>
        <v>0</v>
      </c>
      <c r="Q375" s="3">
        <f t="shared" si="62"/>
        <v>10</v>
      </c>
      <c r="R375" s="3">
        <f t="shared" si="54"/>
        <v>87.000000000000057</v>
      </c>
      <c r="S375" s="24" t="s">
        <v>1334</v>
      </c>
      <c r="T375" s="24"/>
      <c r="U375" s="3"/>
      <c r="V375" s="209" t="s">
        <v>7761</v>
      </c>
      <c r="W375" s="1">
        <v>20124952850</v>
      </c>
      <c r="X375" s="25" t="str">
        <f>IFERROR(VLOOKUP(C_Ope_002[[#This Row],[nota_2]],Clientes_Proveedores[[Ruc / Dni]:[Razon Social]],2,0),"")</f>
        <v>ALIMENTOS Y SERVICIOS AGROPECUARIOS SRL.</v>
      </c>
      <c r="Y375" s="25" t="s">
        <v>5933</v>
      </c>
      <c r="Z375" s="25"/>
      <c r="AA375" s="3" t="str">
        <f>IF(C_Ope_002[[#This Row],[fecha]]&gt;0,TEXT(C_Ope_002[[#This Row],[fecha]],"mmmm"),0)</f>
        <v>Octubre</v>
      </c>
      <c r="AB375" s="49"/>
    </row>
    <row r="376" spans="1:28" ht="36" x14ac:dyDescent="0.3">
      <c r="A376" s="2">
        <f>IF(C_Ope_002[[#This Row],[tipo_r]]="R",COUNTIFS($C$1:$C375,"R")+1,"")</f>
        <v>375</v>
      </c>
      <c r="B376" s="19" t="str">
        <f t="shared" si="59"/>
        <v>C_Ope_002</v>
      </c>
      <c r="C376" s="13" t="s">
        <v>1330</v>
      </c>
      <c r="D376" s="14">
        <v>45944</v>
      </c>
      <c r="E376" s="5" t="s">
        <v>8125</v>
      </c>
      <c r="F376" s="5" t="s">
        <v>1336</v>
      </c>
      <c r="G376" s="6" t="s">
        <v>682</v>
      </c>
      <c r="H376" s="6" t="s">
        <v>68</v>
      </c>
      <c r="I376" s="6" t="s">
        <v>1353</v>
      </c>
      <c r="J376" s="6">
        <v>18072</v>
      </c>
      <c r="K376" s="7" t="s">
        <v>8193</v>
      </c>
      <c r="L376" s="8">
        <v>25789</v>
      </c>
      <c r="M376" s="8" t="str">
        <f t="shared" si="60"/>
        <v>PEN</v>
      </c>
      <c r="N376" s="13"/>
      <c r="O376" s="13">
        <v>20</v>
      </c>
      <c r="P376" s="3">
        <f t="shared" si="61"/>
        <v>0</v>
      </c>
      <c r="Q376" s="3">
        <f t="shared" si="62"/>
        <v>20</v>
      </c>
      <c r="R376" s="3">
        <f t="shared" si="54"/>
        <v>67.000000000000057</v>
      </c>
      <c r="S376" s="24" t="s">
        <v>1334</v>
      </c>
      <c r="T376" s="24"/>
      <c r="U376" s="3"/>
      <c r="V376" s="209" t="s">
        <v>7761</v>
      </c>
      <c r="W376" s="1">
        <v>20259858934</v>
      </c>
      <c r="X376" s="25" t="str">
        <f>IFERROR(VLOOKUP(C_Ope_002[[#This Row],[nota_2]],Clientes_Proveedores[[Ruc / Dni]:[Razon Social]],2,0),"")</f>
        <v>COMERCIALIZACION Y SERVICIOS EL EDEN S.A.C.</v>
      </c>
      <c r="Y376" s="25" t="s">
        <v>5933</v>
      </c>
      <c r="Z376" s="25"/>
      <c r="AA376" s="3" t="str">
        <f>IF(C_Ope_002[[#This Row],[fecha]]&gt;0,TEXT(C_Ope_002[[#This Row],[fecha]],"mmmm"),0)</f>
        <v>Octubre</v>
      </c>
      <c r="AB376" s="49"/>
    </row>
    <row r="377" spans="1:28" x14ac:dyDescent="0.3">
      <c r="A377" s="2">
        <f>IF(C_Ope_002[[#This Row],[tipo_r]]="R",COUNTIFS($C$1:$C376,"R")+1,"")</f>
        <v>376</v>
      </c>
      <c r="B377" s="19" t="str">
        <f t="shared" si="59"/>
        <v>C_Ope_002</v>
      </c>
      <c r="C377" s="13" t="s">
        <v>1330</v>
      </c>
      <c r="D377" s="14">
        <v>45945</v>
      </c>
      <c r="E377" s="5" t="s">
        <v>8125</v>
      </c>
      <c r="F377" s="5" t="s">
        <v>1336</v>
      </c>
      <c r="G377" s="6" t="s">
        <v>978</v>
      </c>
      <c r="H377" s="6" t="s">
        <v>68</v>
      </c>
      <c r="I377" s="6" t="s">
        <v>5688</v>
      </c>
      <c r="J377" s="6">
        <v>2511436</v>
      </c>
      <c r="K377" s="7" t="s">
        <v>8194</v>
      </c>
      <c r="L377" s="8">
        <v>25799</v>
      </c>
      <c r="M377" s="8" t="str">
        <f t="shared" si="60"/>
        <v>PEN</v>
      </c>
      <c r="N377" s="13"/>
      <c r="O377" s="13">
        <v>8</v>
      </c>
      <c r="P377" s="3">
        <f t="shared" si="61"/>
        <v>0</v>
      </c>
      <c r="Q377" s="3">
        <f t="shared" si="62"/>
        <v>8</v>
      </c>
      <c r="R377" s="3">
        <f t="shared" si="54"/>
        <v>59.000000000000057</v>
      </c>
      <c r="S377" s="24" t="s">
        <v>1334</v>
      </c>
      <c r="T377" s="24"/>
      <c r="U377" s="3"/>
      <c r="V377" s="209" t="s">
        <v>7761</v>
      </c>
      <c r="W377" s="1">
        <v>20517252558</v>
      </c>
      <c r="X377" s="25" t="str">
        <f>IFERROR(VLOOKUP(C_Ope_002[[#This Row],[nota_2]],Clientes_Proveedores[[Ruc / Dni]:[Razon Social]],2,0),"")</f>
        <v>COVISUR S.A.</v>
      </c>
      <c r="Y377" s="25" t="s">
        <v>7888</v>
      </c>
      <c r="Z377" s="25"/>
      <c r="AA377" s="3" t="str">
        <f>IF(C_Ope_002[[#This Row],[fecha]]&gt;0,TEXT(C_Ope_002[[#This Row],[fecha]],"mmmm"),0)</f>
        <v>Octubre</v>
      </c>
      <c r="AB377" s="49"/>
    </row>
    <row r="378" spans="1:28" ht="24" x14ac:dyDescent="0.3">
      <c r="A378" s="2">
        <f>IF(C_Ope_002[[#This Row],[tipo_r]]="R",COUNTIFS($C$1:$C377,"R")+1,"")</f>
        <v>377</v>
      </c>
      <c r="B378" s="19" t="str">
        <f t="shared" si="59"/>
        <v>C_Ope_002</v>
      </c>
      <c r="C378" s="13" t="s">
        <v>1330</v>
      </c>
      <c r="D378" s="14">
        <v>45945</v>
      </c>
      <c r="E378" s="5" t="s">
        <v>8125</v>
      </c>
      <c r="F378" s="5" t="s">
        <v>1336</v>
      </c>
      <c r="G378" s="6" t="s">
        <v>978</v>
      </c>
      <c r="H378" s="6" t="s">
        <v>68</v>
      </c>
      <c r="I378" s="6" t="s">
        <v>5845</v>
      </c>
      <c r="J378" s="6">
        <v>1893429</v>
      </c>
      <c r="K378" s="7" t="s">
        <v>8195</v>
      </c>
      <c r="L378" s="8">
        <v>25800</v>
      </c>
      <c r="M378" s="8" t="str">
        <f t="shared" si="60"/>
        <v>PEN</v>
      </c>
      <c r="N378" s="13"/>
      <c r="O378" s="13">
        <v>8</v>
      </c>
      <c r="P378" s="3">
        <f t="shared" si="61"/>
        <v>0</v>
      </c>
      <c r="Q378" s="3">
        <f t="shared" si="62"/>
        <v>8</v>
      </c>
      <c r="R378" s="3">
        <f t="shared" si="54"/>
        <v>51.000000000000057</v>
      </c>
      <c r="S378" s="24" t="s">
        <v>1334</v>
      </c>
      <c r="T378" s="24"/>
      <c r="U378" s="3"/>
      <c r="V378" s="25" t="s">
        <v>7756</v>
      </c>
      <c r="W378" s="1">
        <v>20517252558</v>
      </c>
      <c r="X378" s="25" t="str">
        <f>IFERROR(VLOOKUP(C_Ope_002[[#This Row],[nota_2]],Clientes_Proveedores[[Ruc / Dni]:[Razon Social]],2,0),"")</f>
        <v>COVISUR S.A.</v>
      </c>
      <c r="Y378" s="25" t="s">
        <v>7888</v>
      </c>
      <c r="Z378" s="25"/>
      <c r="AA378" s="3" t="str">
        <f>IF(C_Ope_002[[#This Row],[fecha]]&gt;0,TEXT(C_Ope_002[[#This Row],[fecha]],"mmmm"),0)</f>
        <v>Octubre</v>
      </c>
      <c r="AB378" s="49"/>
    </row>
    <row r="379" spans="1:28" x14ac:dyDescent="0.3">
      <c r="A379" s="2">
        <f>IF(C_Ope_002[[#This Row],[tipo_r]]="R",COUNTIFS($C$1:$C378,"R")+1,"")</f>
        <v>378</v>
      </c>
      <c r="B379" s="19" t="str">
        <f>"C_Ope_002"</f>
        <v>C_Ope_002</v>
      </c>
      <c r="C379" s="13" t="s">
        <v>1330</v>
      </c>
      <c r="D379" s="14">
        <v>45946</v>
      </c>
      <c r="E379" s="5" t="s">
        <v>3634</v>
      </c>
      <c r="F379" s="5" t="s">
        <v>1303</v>
      </c>
      <c r="G379" s="6" t="s">
        <v>798</v>
      </c>
      <c r="H379" s="6"/>
      <c r="I379" s="6"/>
      <c r="J379" s="6"/>
      <c r="K379" s="7" t="s">
        <v>7516</v>
      </c>
      <c r="L379" s="8">
        <v>25828</v>
      </c>
      <c r="M379" s="8" t="str">
        <f>"PEN"</f>
        <v>PEN</v>
      </c>
      <c r="N379" s="13"/>
      <c r="O379" s="13">
        <v>120</v>
      </c>
      <c r="P379" s="3">
        <f>+IF(OR($F379="SALDO",$F379="INGRESO"),$O379,0)</f>
        <v>120</v>
      </c>
      <c r="Q379" s="3">
        <f>+IF($F379="EGRESO",$O379,0)</f>
        <v>0</v>
      </c>
      <c r="R379" s="3">
        <f t="shared" si="54"/>
        <v>171.00000000000006</v>
      </c>
      <c r="S379" s="24"/>
      <c r="T379" s="24"/>
      <c r="U379" s="3"/>
      <c r="V379" s="25"/>
      <c r="W379" s="1"/>
      <c r="X379" s="25" t="str">
        <f>IFERROR(VLOOKUP(C_Ope_002[[#This Row],[nota_2]],Clientes_Proveedores[[Ruc / Dni]:[Razon Social]],2,0),"")</f>
        <v/>
      </c>
      <c r="Y379" s="25"/>
      <c r="Z379" s="25"/>
      <c r="AA379" s="3" t="str">
        <f>IF(C_Ope_002[[#This Row],[fecha]]&gt;0,TEXT(C_Ope_002[[#This Row],[fecha]],"mmmm"),0)</f>
        <v>Octubre</v>
      </c>
      <c r="AB379" s="49"/>
    </row>
    <row r="380" spans="1:28" ht="24" x14ac:dyDescent="0.3">
      <c r="A380" s="2">
        <f>IF(C_Ope_002[[#This Row],[tipo_r]]="R",COUNTIFS($C$1:$C379,"R")+1,"")</f>
        <v>379</v>
      </c>
      <c r="B380" s="19" t="str">
        <f t="shared" si="59"/>
        <v>C_Ope_002</v>
      </c>
      <c r="C380" s="13" t="s">
        <v>1330</v>
      </c>
      <c r="D380" s="14">
        <v>45946</v>
      </c>
      <c r="E380" s="5" t="s">
        <v>8125</v>
      </c>
      <c r="F380" s="5" t="s">
        <v>1336</v>
      </c>
      <c r="G380" s="6" t="s">
        <v>978</v>
      </c>
      <c r="H380" s="6" t="s">
        <v>68</v>
      </c>
      <c r="I380" s="6" t="s">
        <v>5688</v>
      </c>
      <c r="J380" s="6">
        <v>2512923</v>
      </c>
      <c r="K380" s="7" t="s">
        <v>8196</v>
      </c>
      <c r="L380" s="8">
        <v>25807</v>
      </c>
      <c r="M380" s="8" t="str">
        <f t="shared" si="60"/>
        <v>PEN</v>
      </c>
      <c r="N380" s="13"/>
      <c r="O380" s="13">
        <v>8</v>
      </c>
      <c r="P380" s="3">
        <f t="shared" si="61"/>
        <v>0</v>
      </c>
      <c r="Q380" s="3">
        <f t="shared" si="62"/>
        <v>8</v>
      </c>
      <c r="R380" s="3">
        <f t="shared" si="54"/>
        <v>163.00000000000006</v>
      </c>
      <c r="S380" s="24" t="s">
        <v>1334</v>
      </c>
      <c r="T380" s="24"/>
      <c r="U380" s="3"/>
      <c r="V380" s="25" t="s">
        <v>7756</v>
      </c>
      <c r="W380" s="1">
        <v>20517252558</v>
      </c>
      <c r="X380" s="25" t="str">
        <f>IFERROR(VLOOKUP(C_Ope_002[[#This Row],[nota_2]],Clientes_Proveedores[[Ruc / Dni]:[Razon Social]],2,0),"")</f>
        <v>COVISUR S.A.</v>
      </c>
      <c r="Y380" s="25" t="s">
        <v>7888</v>
      </c>
      <c r="Z380" s="25"/>
      <c r="AA380" s="3" t="str">
        <f>IF(C_Ope_002[[#This Row],[fecha]]&gt;0,TEXT(C_Ope_002[[#This Row],[fecha]],"mmmm"),0)</f>
        <v>Octubre</v>
      </c>
      <c r="AB380" s="49"/>
    </row>
    <row r="381" spans="1:28" ht="24" x14ac:dyDescent="0.3">
      <c r="A381" s="2">
        <f>IF(C_Ope_002[[#This Row],[tipo_r]]="R",COUNTIFS($C$1:$C380,"R")+1,"")</f>
        <v>380</v>
      </c>
      <c r="B381" s="19" t="str">
        <f t="shared" si="59"/>
        <v>C_Ope_002</v>
      </c>
      <c r="C381" s="13" t="s">
        <v>1330</v>
      </c>
      <c r="D381" s="14">
        <v>45946</v>
      </c>
      <c r="E381" s="5" t="s">
        <v>8125</v>
      </c>
      <c r="F381" s="5" t="s">
        <v>1336</v>
      </c>
      <c r="G381" s="6" t="s">
        <v>978</v>
      </c>
      <c r="H381" s="6" t="s">
        <v>68</v>
      </c>
      <c r="I381" s="6" t="s">
        <v>5845</v>
      </c>
      <c r="J381" s="6">
        <v>1894454</v>
      </c>
      <c r="K381" s="7" t="s">
        <v>8196</v>
      </c>
      <c r="L381" s="8">
        <v>25809</v>
      </c>
      <c r="M381" s="8" t="str">
        <f t="shared" si="60"/>
        <v>PEN</v>
      </c>
      <c r="N381" s="13"/>
      <c r="O381" s="13">
        <v>8</v>
      </c>
      <c r="P381" s="3">
        <f t="shared" si="61"/>
        <v>0</v>
      </c>
      <c r="Q381" s="3">
        <f t="shared" si="62"/>
        <v>8</v>
      </c>
      <c r="R381" s="3">
        <f t="shared" si="54"/>
        <v>155.00000000000006</v>
      </c>
      <c r="S381" s="24" t="s">
        <v>1334</v>
      </c>
      <c r="T381" s="24"/>
      <c r="U381" s="3"/>
      <c r="V381" s="25" t="s">
        <v>7756</v>
      </c>
      <c r="W381" s="1">
        <v>20517252558</v>
      </c>
      <c r="X381" s="25" t="str">
        <f>IFERROR(VLOOKUP(C_Ope_002[[#This Row],[nota_2]],Clientes_Proveedores[[Ruc / Dni]:[Razon Social]],2,0),"")</f>
        <v>COVISUR S.A.</v>
      </c>
      <c r="Y381" s="25" t="s">
        <v>7888</v>
      </c>
      <c r="Z381" s="25"/>
      <c r="AA381" s="3" t="str">
        <f>IF(C_Ope_002[[#This Row],[fecha]]&gt;0,TEXT(C_Ope_002[[#This Row],[fecha]],"mmmm"),0)</f>
        <v>Octubre</v>
      </c>
      <c r="AB381" s="49"/>
    </row>
    <row r="382" spans="1:28" ht="36" x14ac:dyDescent="0.3">
      <c r="A382" s="2">
        <f>IF(C_Ope_002[[#This Row],[tipo_r]]="R",COUNTIFS($C$1:$C381,"R")+1,"")</f>
        <v>381</v>
      </c>
      <c r="B382" s="19" t="str">
        <f t="shared" si="59"/>
        <v>C_Ope_002</v>
      </c>
      <c r="C382" s="13" t="s">
        <v>1330</v>
      </c>
      <c r="D382" s="14">
        <v>45946</v>
      </c>
      <c r="E382" s="5" t="s">
        <v>8125</v>
      </c>
      <c r="F382" s="5" t="s">
        <v>1336</v>
      </c>
      <c r="G382" s="6" t="s">
        <v>227</v>
      </c>
      <c r="H382" s="6" t="s">
        <v>68</v>
      </c>
      <c r="I382" s="6" t="s">
        <v>1390</v>
      </c>
      <c r="J382" s="6">
        <v>138315</v>
      </c>
      <c r="K382" s="7" t="s">
        <v>8197</v>
      </c>
      <c r="L382" s="8">
        <v>25801</v>
      </c>
      <c r="M382" s="8" t="str">
        <f t="shared" si="60"/>
        <v>PEN</v>
      </c>
      <c r="N382" s="13"/>
      <c r="O382" s="13">
        <v>10</v>
      </c>
      <c r="P382" s="3">
        <f t="shared" si="61"/>
        <v>0</v>
      </c>
      <c r="Q382" s="3">
        <f t="shared" si="62"/>
        <v>10</v>
      </c>
      <c r="R382" s="3">
        <f t="shared" si="54"/>
        <v>145.00000000000006</v>
      </c>
      <c r="S382" s="24" t="s">
        <v>1334</v>
      </c>
      <c r="T382" s="24"/>
      <c r="U382" s="3"/>
      <c r="V382" s="25" t="s">
        <v>7756</v>
      </c>
      <c r="W382" s="1">
        <v>20124952850</v>
      </c>
      <c r="X382" s="25" t="str">
        <f>IFERROR(VLOOKUP(C_Ope_002[[#This Row],[nota_2]],Clientes_Proveedores[[Ruc / Dni]:[Razon Social]],2,0),"")</f>
        <v>ALIMENTOS Y SERVICIOS AGROPECUARIOS SRL.</v>
      </c>
      <c r="Y382" s="25" t="s">
        <v>5933</v>
      </c>
      <c r="Z382" s="25"/>
      <c r="AA382" s="3" t="str">
        <f>IF(C_Ope_002[[#This Row],[fecha]]&gt;0,TEXT(C_Ope_002[[#This Row],[fecha]],"mmmm"),0)</f>
        <v>Octubre</v>
      </c>
      <c r="AB382" s="49"/>
    </row>
    <row r="383" spans="1:28" ht="36" x14ac:dyDescent="0.3">
      <c r="A383" s="2">
        <f>IF(C_Ope_002[[#This Row],[tipo_r]]="R",COUNTIFS($C$1:$C382,"R")+1,"")</f>
        <v>382</v>
      </c>
      <c r="B383" s="19" t="str">
        <f t="shared" si="59"/>
        <v>C_Ope_002</v>
      </c>
      <c r="C383" s="13" t="s">
        <v>1330</v>
      </c>
      <c r="D383" s="14">
        <v>45946</v>
      </c>
      <c r="E383" s="5" t="s">
        <v>8125</v>
      </c>
      <c r="F383" s="5" t="s">
        <v>1336</v>
      </c>
      <c r="G383" s="6" t="s">
        <v>227</v>
      </c>
      <c r="H383" s="6" t="s">
        <v>68</v>
      </c>
      <c r="I383" s="6" t="s">
        <v>1390</v>
      </c>
      <c r="J383" s="6">
        <v>138325</v>
      </c>
      <c r="K383" s="7" t="s">
        <v>8198</v>
      </c>
      <c r="L383" s="8">
        <v>25802</v>
      </c>
      <c r="M383" s="8" t="str">
        <f t="shared" si="60"/>
        <v>PEN</v>
      </c>
      <c r="N383" s="13"/>
      <c r="O383" s="13">
        <v>10</v>
      </c>
      <c r="P383" s="3">
        <f t="shared" si="61"/>
        <v>0</v>
      </c>
      <c r="Q383" s="3">
        <f t="shared" si="62"/>
        <v>10</v>
      </c>
      <c r="R383" s="3">
        <f t="shared" si="54"/>
        <v>135.00000000000006</v>
      </c>
      <c r="S383" s="24" t="s">
        <v>1334</v>
      </c>
      <c r="T383" s="24"/>
      <c r="U383" s="3"/>
      <c r="V383" s="25" t="s">
        <v>7756</v>
      </c>
      <c r="W383" s="1">
        <v>20124952850</v>
      </c>
      <c r="X383" s="25" t="str">
        <f>IFERROR(VLOOKUP(C_Ope_002[[#This Row],[nota_2]],Clientes_Proveedores[[Ruc / Dni]:[Razon Social]],2,0),"")</f>
        <v>ALIMENTOS Y SERVICIOS AGROPECUARIOS SRL.</v>
      </c>
      <c r="Y383" s="25" t="s">
        <v>5933</v>
      </c>
      <c r="Z383" s="25"/>
      <c r="AA383" s="3" t="str">
        <f>IF(C_Ope_002[[#This Row],[fecha]]&gt;0,TEXT(C_Ope_002[[#This Row],[fecha]],"mmmm"),0)</f>
        <v>Octubre</v>
      </c>
      <c r="AB383" s="49"/>
    </row>
    <row r="384" spans="1:28" ht="24" x14ac:dyDescent="0.3">
      <c r="A384" s="2">
        <f>IF(C_Ope_002[[#This Row],[tipo_r]]="R",COUNTIFS($C$1:$C383,"R")+1,"")</f>
        <v>383</v>
      </c>
      <c r="B384" s="19" t="str">
        <f t="shared" si="59"/>
        <v>C_Ope_002</v>
      </c>
      <c r="C384" s="13" t="s">
        <v>1330</v>
      </c>
      <c r="D384" s="14">
        <v>45947</v>
      </c>
      <c r="E384" s="5" t="s">
        <v>8125</v>
      </c>
      <c r="F384" s="5" t="s">
        <v>1336</v>
      </c>
      <c r="G384" s="6" t="s">
        <v>978</v>
      </c>
      <c r="H384" s="6" t="s">
        <v>68</v>
      </c>
      <c r="I384" s="6" t="s">
        <v>5688</v>
      </c>
      <c r="J384" s="6">
        <v>2514390</v>
      </c>
      <c r="K384" s="7" t="s">
        <v>8199</v>
      </c>
      <c r="L384" s="8">
        <v>25825</v>
      </c>
      <c r="M384" s="8" t="str">
        <f t="shared" si="60"/>
        <v>PEN</v>
      </c>
      <c r="N384" s="13"/>
      <c r="O384" s="13">
        <v>8</v>
      </c>
      <c r="P384" s="3">
        <f t="shared" si="61"/>
        <v>0</v>
      </c>
      <c r="Q384" s="3">
        <f t="shared" si="62"/>
        <v>8</v>
      </c>
      <c r="R384" s="3">
        <f t="shared" si="54"/>
        <v>127.00000000000006</v>
      </c>
      <c r="S384" s="24" t="s">
        <v>1334</v>
      </c>
      <c r="T384" s="24"/>
      <c r="U384" s="3"/>
      <c r="V384" s="25" t="s">
        <v>8200</v>
      </c>
      <c r="W384" s="1">
        <v>20517252558</v>
      </c>
      <c r="X384" s="25" t="str">
        <f>IFERROR(VLOOKUP(C_Ope_002[[#This Row],[nota_2]],Clientes_Proveedores[[Ruc / Dni]:[Razon Social]],2,0),"")</f>
        <v>COVISUR S.A.</v>
      </c>
      <c r="Y384" s="25" t="s">
        <v>7888</v>
      </c>
      <c r="Z384" s="25"/>
      <c r="AA384" s="3" t="str">
        <f>IF(C_Ope_002[[#This Row],[fecha]]&gt;0,TEXT(C_Ope_002[[#This Row],[fecha]],"mmmm"),0)</f>
        <v>Octubre</v>
      </c>
      <c r="AB384" s="49"/>
    </row>
    <row r="385" spans="1:28" ht="24" x14ac:dyDescent="0.3">
      <c r="A385" s="2">
        <f>IF(C_Ope_002[[#This Row],[tipo_r]]="R",COUNTIFS($C$1:$C384,"R")+1,"")</f>
        <v>384</v>
      </c>
      <c r="B385" s="19" t="str">
        <f t="shared" si="59"/>
        <v>C_Ope_002</v>
      </c>
      <c r="C385" s="13" t="s">
        <v>1330</v>
      </c>
      <c r="D385" s="14">
        <v>45947</v>
      </c>
      <c r="E385" s="5" t="s">
        <v>8125</v>
      </c>
      <c r="F385" s="5" t="s">
        <v>1336</v>
      </c>
      <c r="G385" s="6" t="s">
        <v>978</v>
      </c>
      <c r="H385" s="6" t="s">
        <v>68</v>
      </c>
      <c r="I385" s="6" t="s">
        <v>5845</v>
      </c>
      <c r="J385" s="6">
        <v>1895857</v>
      </c>
      <c r="K385" s="7" t="s">
        <v>8199</v>
      </c>
      <c r="L385" s="8">
        <v>25847</v>
      </c>
      <c r="M385" s="8" t="str">
        <f t="shared" si="60"/>
        <v>PEN</v>
      </c>
      <c r="N385" s="13"/>
      <c r="O385" s="13">
        <v>8</v>
      </c>
      <c r="P385" s="3">
        <f t="shared" si="61"/>
        <v>0</v>
      </c>
      <c r="Q385" s="3">
        <f t="shared" si="62"/>
        <v>8</v>
      </c>
      <c r="R385" s="3">
        <f t="shared" si="54"/>
        <v>119.00000000000006</v>
      </c>
      <c r="S385" s="24" t="s">
        <v>1334</v>
      </c>
      <c r="T385" s="24"/>
      <c r="U385" s="3"/>
      <c r="V385" s="25" t="s">
        <v>8200</v>
      </c>
      <c r="W385" s="1">
        <v>20517252558</v>
      </c>
      <c r="X385" s="25" t="str">
        <f>IFERROR(VLOOKUP(C_Ope_002[[#This Row],[nota_2]],Clientes_Proveedores[[Ruc / Dni]:[Razon Social]],2,0),"")</f>
        <v>COVISUR S.A.</v>
      </c>
      <c r="Y385" s="25" t="s">
        <v>7888</v>
      </c>
      <c r="Z385" s="25"/>
      <c r="AA385" s="3" t="str">
        <f>IF(C_Ope_002[[#This Row],[fecha]]&gt;0,TEXT(C_Ope_002[[#This Row],[fecha]],"mmmm"),0)</f>
        <v>Octubre</v>
      </c>
      <c r="AB385" s="49"/>
    </row>
    <row r="386" spans="1:28" ht="24" x14ac:dyDescent="0.3">
      <c r="A386" s="2">
        <f>IF(C_Ope_002[[#This Row],[tipo_r]]="R",COUNTIFS($C$1:$C385,"R")+1,"")</f>
        <v>385</v>
      </c>
      <c r="B386" s="19" t="str">
        <f t="shared" si="59"/>
        <v>C_Ope_002</v>
      </c>
      <c r="C386" s="13" t="s">
        <v>1330</v>
      </c>
      <c r="D386" s="14">
        <v>45950</v>
      </c>
      <c r="E386" s="5" t="s">
        <v>8125</v>
      </c>
      <c r="F386" s="5" t="s">
        <v>1336</v>
      </c>
      <c r="G386" s="6" t="s">
        <v>978</v>
      </c>
      <c r="H386" s="6" t="s">
        <v>68</v>
      </c>
      <c r="I386" s="6" t="s">
        <v>5845</v>
      </c>
      <c r="J386" s="6">
        <v>1898456</v>
      </c>
      <c r="K386" s="7" t="s">
        <v>8196</v>
      </c>
      <c r="L386" s="8">
        <v>25838</v>
      </c>
      <c r="M386" s="8" t="str">
        <f t="shared" si="60"/>
        <v>PEN</v>
      </c>
      <c r="N386" s="13"/>
      <c r="O386" s="13">
        <v>8</v>
      </c>
      <c r="P386" s="3">
        <f t="shared" si="61"/>
        <v>0</v>
      </c>
      <c r="Q386" s="3">
        <f t="shared" si="62"/>
        <v>8</v>
      </c>
      <c r="R386" s="3">
        <f t="shared" ref="R386:R408" si="63">IFERROR(IF(F386="SALDO",P386,R385+P386-Q386),0)</f>
        <v>111.00000000000006</v>
      </c>
      <c r="S386" s="24" t="s">
        <v>1334</v>
      </c>
      <c r="T386" s="24"/>
      <c r="U386" s="3"/>
      <c r="V386" s="25" t="s">
        <v>8200</v>
      </c>
      <c r="W386" s="1">
        <v>20517252558</v>
      </c>
      <c r="X386" s="25" t="str">
        <f>IFERROR(VLOOKUP(C_Ope_002[[#This Row],[nota_2]],Clientes_Proveedores[[Ruc / Dni]:[Razon Social]],2,0),"")</f>
        <v>COVISUR S.A.</v>
      </c>
      <c r="Y386" s="25" t="s">
        <v>7888</v>
      </c>
      <c r="Z386" s="25"/>
      <c r="AA386" s="3" t="str">
        <f>IF(C_Ope_002[[#This Row],[fecha]]&gt;0,TEXT(C_Ope_002[[#This Row],[fecha]],"mmmm"),0)</f>
        <v>Octubre</v>
      </c>
      <c r="AB386" s="49"/>
    </row>
    <row r="387" spans="1:28" ht="24" x14ac:dyDescent="0.3">
      <c r="A387" s="2">
        <f>IF(C_Ope_002[[#This Row],[tipo_r]]="R",COUNTIFS($C$1:$C386,"R")+1,"")</f>
        <v>386</v>
      </c>
      <c r="B387" s="19" t="str">
        <f t="shared" si="59"/>
        <v>C_Ope_002</v>
      </c>
      <c r="C387" s="13" t="s">
        <v>1330</v>
      </c>
      <c r="D387" s="14">
        <v>45950</v>
      </c>
      <c r="E387" s="5" t="s">
        <v>8125</v>
      </c>
      <c r="F387" s="5" t="s">
        <v>1336</v>
      </c>
      <c r="G387" s="6" t="s">
        <v>978</v>
      </c>
      <c r="H387" s="6" t="s">
        <v>68</v>
      </c>
      <c r="I387" s="6" t="s">
        <v>5688</v>
      </c>
      <c r="J387" s="6">
        <v>2518014</v>
      </c>
      <c r="K387" s="7" t="s">
        <v>8196</v>
      </c>
      <c r="L387" s="8">
        <v>25839</v>
      </c>
      <c r="M387" s="8" t="str">
        <f t="shared" si="60"/>
        <v>PEN</v>
      </c>
      <c r="N387" s="13"/>
      <c r="O387" s="13">
        <v>8</v>
      </c>
      <c r="P387" s="3">
        <f t="shared" si="61"/>
        <v>0</v>
      </c>
      <c r="Q387" s="3">
        <f t="shared" si="62"/>
        <v>8</v>
      </c>
      <c r="R387" s="3">
        <f t="shared" si="63"/>
        <v>103.00000000000006</v>
      </c>
      <c r="S387" s="24" t="s">
        <v>1334</v>
      </c>
      <c r="T387" s="24"/>
      <c r="U387" s="3"/>
      <c r="V387" s="25" t="s">
        <v>8200</v>
      </c>
      <c r="W387" s="1">
        <v>20517252558</v>
      </c>
      <c r="X387" s="25" t="str">
        <f>IFERROR(VLOOKUP(C_Ope_002[[#This Row],[nota_2]],Clientes_Proveedores[[Ruc / Dni]:[Razon Social]],2,0),"")</f>
        <v>COVISUR S.A.</v>
      </c>
      <c r="Y387" s="25" t="s">
        <v>7888</v>
      </c>
      <c r="Z387" s="25"/>
      <c r="AA387" s="3" t="str">
        <f>IF(C_Ope_002[[#This Row],[fecha]]&gt;0,TEXT(C_Ope_002[[#This Row],[fecha]],"mmmm"),0)</f>
        <v>Octubre</v>
      </c>
      <c r="AB387" s="49"/>
    </row>
    <row r="388" spans="1:28" ht="24" x14ac:dyDescent="0.3">
      <c r="A388" s="2">
        <f>IF(C_Ope_002[[#This Row],[tipo_r]]="R",COUNTIFS($C$1:$C387,"R")+1,"")</f>
        <v>387</v>
      </c>
      <c r="B388" s="19" t="str">
        <f t="shared" si="59"/>
        <v>C_Ope_002</v>
      </c>
      <c r="C388" s="13" t="s">
        <v>1330</v>
      </c>
      <c r="D388" s="14">
        <v>45951</v>
      </c>
      <c r="E388" s="5" t="s">
        <v>8125</v>
      </c>
      <c r="F388" s="5" t="s">
        <v>1336</v>
      </c>
      <c r="G388" s="6" t="s">
        <v>978</v>
      </c>
      <c r="H388" s="6" t="s">
        <v>68</v>
      </c>
      <c r="I388" s="6" t="s">
        <v>5688</v>
      </c>
      <c r="J388" s="6">
        <v>2519250</v>
      </c>
      <c r="K388" s="7" t="s">
        <v>8201</v>
      </c>
      <c r="L388" s="8">
        <v>25849</v>
      </c>
      <c r="M388" s="8" t="str">
        <f t="shared" si="60"/>
        <v>PEN</v>
      </c>
      <c r="N388" s="13"/>
      <c r="O388" s="13">
        <v>8</v>
      </c>
      <c r="P388" s="3">
        <f t="shared" si="61"/>
        <v>0</v>
      </c>
      <c r="Q388" s="3">
        <f t="shared" si="62"/>
        <v>8</v>
      </c>
      <c r="R388" s="3">
        <f t="shared" si="63"/>
        <v>95.000000000000057</v>
      </c>
      <c r="S388" s="24" t="s">
        <v>1334</v>
      </c>
      <c r="T388" s="24"/>
      <c r="U388" s="3"/>
      <c r="V388" s="25" t="s">
        <v>8200</v>
      </c>
      <c r="W388" s="1">
        <v>20517252558</v>
      </c>
      <c r="X388" s="25" t="str">
        <f>IFERROR(VLOOKUP(C_Ope_002[[#This Row],[nota_2]],Clientes_Proveedores[[Ruc / Dni]:[Razon Social]],2,0),"")</f>
        <v>COVISUR S.A.</v>
      </c>
      <c r="Y388" s="25" t="s">
        <v>7888</v>
      </c>
      <c r="Z388" s="25"/>
      <c r="AA388" s="3" t="str">
        <f>IF(C_Ope_002[[#This Row],[fecha]]&gt;0,TEXT(C_Ope_002[[#This Row],[fecha]],"mmmm"),0)</f>
        <v>Octubre</v>
      </c>
      <c r="AB388" s="49"/>
    </row>
    <row r="389" spans="1:28" ht="24" x14ac:dyDescent="0.3">
      <c r="A389" s="2">
        <f>IF(C_Ope_002[[#This Row],[tipo_r]]="R",COUNTIFS($C$1:$C388,"R")+1,"")</f>
        <v>388</v>
      </c>
      <c r="B389" s="19" t="str">
        <f t="shared" si="59"/>
        <v>C_Ope_002</v>
      </c>
      <c r="C389" s="13" t="s">
        <v>1330</v>
      </c>
      <c r="D389" s="14">
        <v>45951</v>
      </c>
      <c r="E389" s="5" t="s">
        <v>8125</v>
      </c>
      <c r="F389" s="5" t="s">
        <v>1336</v>
      </c>
      <c r="G389" s="6" t="s">
        <v>978</v>
      </c>
      <c r="H389" s="6" t="s">
        <v>68</v>
      </c>
      <c r="I389" s="6" t="s">
        <v>6203</v>
      </c>
      <c r="J389" s="6">
        <v>2220606</v>
      </c>
      <c r="K389" s="7" t="s">
        <v>8201</v>
      </c>
      <c r="L389" s="8">
        <v>25850</v>
      </c>
      <c r="M389" s="8" t="str">
        <f t="shared" si="60"/>
        <v>PEN</v>
      </c>
      <c r="N389" s="13"/>
      <c r="O389" s="13">
        <v>8</v>
      </c>
      <c r="P389" s="3">
        <f t="shared" si="61"/>
        <v>0</v>
      </c>
      <c r="Q389" s="3">
        <f t="shared" si="62"/>
        <v>8</v>
      </c>
      <c r="R389" s="3">
        <f t="shared" si="63"/>
        <v>87.000000000000057</v>
      </c>
      <c r="S389" s="24" t="s">
        <v>1334</v>
      </c>
      <c r="T389" s="24"/>
      <c r="U389" s="3"/>
      <c r="V389" s="25" t="s">
        <v>8200</v>
      </c>
      <c r="W389" s="1">
        <v>20517252558</v>
      </c>
      <c r="X389" s="25" t="str">
        <f>IFERROR(VLOOKUP(C_Ope_002[[#This Row],[nota_2]],Clientes_Proveedores[[Ruc / Dni]:[Razon Social]],2,0),"")</f>
        <v>COVISUR S.A.</v>
      </c>
      <c r="Y389" s="25" t="s">
        <v>7888</v>
      </c>
      <c r="Z389" s="25"/>
      <c r="AA389" s="3" t="str">
        <f>IF(C_Ope_002[[#This Row],[fecha]]&gt;0,TEXT(C_Ope_002[[#This Row],[fecha]],"mmmm"),0)</f>
        <v>Octubre</v>
      </c>
      <c r="AB389" s="49"/>
    </row>
    <row r="390" spans="1:28" x14ac:dyDescent="0.3">
      <c r="A390" s="2">
        <f>IF(C_Ope_002[[#This Row],[tipo_r]]="R",COUNTIFS($C$1:$C389,"R")+1,"")</f>
        <v>389</v>
      </c>
      <c r="B390" s="19" t="str">
        <f>"C_Ope_002"</f>
        <v>C_Ope_002</v>
      </c>
      <c r="C390" s="13" t="s">
        <v>1330</v>
      </c>
      <c r="D390" s="14">
        <v>45952</v>
      </c>
      <c r="E390" s="5" t="s">
        <v>3634</v>
      </c>
      <c r="F390" s="5" t="s">
        <v>1303</v>
      </c>
      <c r="G390" s="6" t="s">
        <v>798</v>
      </c>
      <c r="H390" s="6"/>
      <c r="I390" s="6"/>
      <c r="J390" s="6"/>
      <c r="K390" s="7" t="s">
        <v>7516</v>
      </c>
      <c r="L390" s="8">
        <v>25883</v>
      </c>
      <c r="M390" s="8" t="str">
        <f>"PEN"</f>
        <v>PEN</v>
      </c>
      <c r="N390" s="13"/>
      <c r="O390" s="13">
        <v>120</v>
      </c>
      <c r="P390" s="3">
        <f>+IF(OR($F390="SALDO",$F390="INGRESO"),$O390,0)</f>
        <v>120</v>
      </c>
      <c r="Q390" s="3">
        <f>+IF($F390="EGRESO",$O390,0)</f>
        <v>0</v>
      </c>
      <c r="R390" s="3">
        <f t="shared" si="63"/>
        <v>207.00000000000006</v>
      </c>
      <c r="S390" s="24"/>
      <c r="T390" s="24"/>
      <c r="U390" s="3"/>
      <c r="V390" s="25"/>
      <c r="W390" s="1"/>
      <c r="X390" s="25" t="str">
        <f>IFERROR(VLOOKUP(C_Ope_002[[#This Row],[nota_2]],Clientes_Proveedores[[Ruc / Dni]:[Razon Social]],2,0),"")</f>
        <v/>
      </c>
      <c r="Y390" s="25"/>
      <c r="Z390" s="25"/>
      <c r="AA390" s="3" t="str">
        <f>IF(C_Ope_002[[#This Row],[fecha]]&gt;0,TEXT(C_Ope_002[[#This Row],[fecha]],"mmmm"),0)</f>
        <v>Octubre</v>
      </c>
      <c r="AB390" s="49"/>
    </row>
    <row r="391" spans="1:28" ht="24" x14ac:dyDescent="0.3">
      <c r="A391" s="2">
        <f>IF(C_Ope_002[[#This Row],[tipo_r]]="R",COUNTIFS($C$1:$C390,"R")+1,"")</f>
        <v>390</v>
      </c>
      <c r="B391" s="19" t="str">
        <f t="shared" si="59"/>
        <v>C_Ope_002</v>
      </c>
      <c r="C391" s="13" t="s">
        <v>1330</v>
      </c>
      <c r="D391" s="14">
        <v>45952</v>
      </c>
      <c r="E391" s="5" t="s">
        <v>8125</v>
      </c>
      <c r="F391" s="5" t="s">
        <v>1336</v>
      </c>
      <c r="G391" s="6" t="s">
        <v>978</v>
      </c>
      <c r="H391" s="6" t="s">
        <v>68</v>
      </c>
      <c r="I391" s="6" t="s">
        <v>5688</v>
      </c>
      <c r="J391" s="6">
        <v>2520545</v>
      </c>
      <c r="K391" s="7" t="s">
        <v>8202</v>
      </c>
      <c r="L391" s="8">
        <v>25865</v>
      </c>
      <c r="M391" s="8" t="str">
        <f t="shared" si="60"/>
        <v>PEN</v>
      </c>
      <c r="N391" s="13"/>
      <c r="O391" s="13">
        <v>8</v>
      </c>
      <c r="P391" s="3">
        <f t="shared" si="61"/>
        <v>0</v>
      </c>
      <c r="Q391" s="3">
        <f t="shared" si="62"/>
        <v>8</v>
      </c>
      <c r="R391" s="3">
        <f t="shared" si="63"/>
        <v>199.00000000000006</v>
      </c>
      <c r="S391" s="24" t="s">
        <v>1334</v>
      </c>
      <c r="T391" s="24"/>
      <c r="U391" s="3"/>
      <c r="V391" s="25" t="s">
        <v>8200</v>
      </c>
      <c r="W391" s="1">
        <v>20517252558</v>
      </c>
      <c r="X391" s="25" t="str">
        <f>IFERROR(VLOOKUP(C_Ope_002[[#This Row],[nota_2]],Clientes_Proveedores[[Ruc / Dni]:[Razon Social]],2,0),"")</f>
        <v>COVISUR S.A.</v>
      </c>
      <c r="Y391" s="25" t="s">
        <v>7888</v>
      </c>
      <c r="Z391" s="25"/>
      <c r="AA391" s="3" t="str">
        <f>IF(C_Ope_002[[#This Row],[fecha]]&gt;0,TEXT(C_Ope_002[[#This Row],[fecha]],"mmmm"),0)</f>
        <v>Octubre</v>
      </c>
      <c r="AB391" s="49"/>
    </row>
    <row r="392" spans="1:28" ht="24" x14ac:dyDescent="0.3">
      <c r="A392" s="2">
        <f>IF(C_Ope_002[[#This Row],[tipo_r]]="R",COUNTIFS($C$1:$C391,"R")+1,"")</f>
        <v>391</v>
      </c>
      <c r="B392" s="19" t="str">
        <f t="shared" si="59"/>
        <v>C_Ope_002</v>
      </c>
      <c r="C392" s="13" t="s">
        <v>1330</v>
      </c>
      <c r="D392" s="14">
        <v>45952</v>
      </c>
      <c r="E392" s="5" t="s">
        <v>8125</v>
      </c>
      <c r="F392" s="5" t="s">
        <v>1336</v>
      </c>
      <c r="G392" s="6" t="s">
        <v>978</v>
      </c>
      <c r="H392" s="6" t="s">
        <v>68</v>
      </c>
      <c r="I392" s="6" t="s">
        <v>6203</v>
      </c>
      <c r="J392" s="6">
        <v>2221926</v>
      </c>
      <c r="K392" s="7" t="s">
        <v>8202</v>
      </c>
      <c r="L392" s="8">
        <v>25866</v>
      </c>
      <c r="M392" s="8" t="str">
        <f t="shared" si="60"/>
        <v>PEN</v>
      </c>
      <c r="N392" s="13"/>
      <c r="O392" s="13">
        <v>8</v>
      </c>
      <c r="P392" s="3">
        <f t="shared" si="61"/>
        <v>0</v>
      </c>
      <c r="Q392" s="3">
        <f t="shared" si="62"/>
        <v>8</v>
      </c>
      <c r="R392" s="3">
        <f t="shared" si="63"/>
        <v>191.00000000000006</v>
      </c>
      <c r="S392" s="24" t="s">
        <v>1334</v>
      </c>
      <c r="T392" s="24"/>
      <c r="U392" s="3"/>
      <c r="V392" s="25" t="s">
        <v>8200</v>
      </c>
      <c r="W392" s="1">
        <v>20517252558</v>
      </c>
      <c r="X392" s="25" t="str">
        <f>IFERROR(VLOOKUP(C_Ope_002[[#This Row],[nota_2]],Clientes_Proveedores[[Ruc / Dni]:[Razon Social]],2,0),"")</f>
        <v>COVISUR S.A.</v>
      </c>
      <c r="Y392" s="25" t="s">
        <v>7888</v>
      </c>
      <c r="Z392" s="25"/>
      <c r="AA392" s="3" t="str">
        <f>IF(C_Ope_002[[#This Row],[fecha]]&gt;0,TEXT(C_Ope_002[[#This Row],[fecha]],"mmmm"),0)</f>
        <v>Octubre</v>
      </c>
      <c r="AB392" s="49"/>
    </row>
    <row r="393" spans="1:28" ht="24" x14ac:dyDescent="0.3">
      <c r="A393" s="2">
        <f>IF(C_Ope_002[[#This Row],[tipo_r]]="R",COUNTIFS($C$1:$C392,"R")+1,"")</f>
        <v>392</v>
      </c>
      <c r="B393" s="19" t="str">
        <f t="shared" si="59"/>
        <v>C_Ope_002</v>
      </c>
      <c r="C393" s="13" t="s">
        <v>1330</v>
      </c>
      <c r="D393" s="14">
        <v>45952</v>
      </c>
      <c r="E393" s="5" t="s">
        <v>8125</v>
      </c>
      <c r="F393" s="5" t="s">
        <v>1336</v>
      </c>
      <c r="G393" s="6" t="s">
        <v>1253</v>
      </c>
      <c r="H393" s="6" t="s">
        <v>68</v>
      </c>
      <c r="I393" s="6" t="s">
        <v>1376</v>
      </c>
      <c r="J393" s="6">
        <v>652</v>
      </c>
      <c r="K393" s="7" t="s">
        <v>8203</v>
      </c>
      <c r="L393" s="8">
        <v>25867</v>
      </c>
      <c r="M393" s="8" t="str">
        <f t="shared" si="60"/>
        <v>PEN</v>
      </c>
      <c r="N393" s="13"/>
      <c r="O393" s="13">
        <v>20</v>
      </c>
      <c r="P393" s="3">
        <f t="shared" si="61"/>
        <v>0</v>
      </c>
      <c r="Q393" s="3">
        <f t="shared" si="62"/>
        <v>20</v>
      </c>
      <c r="R393" s="3">
        <f t="shared" si="63"/>
        <v>171.00000000000006</v>
      </c>
      <c r="S393" s="24" t="s">
        <v>1334</v>
      </c>
      <c r="T393" s="24"/>
      <c r="U393" s="3"/>
      <c r="V393" s="25" t="s">
        <v>8200</v>
      </c>
      <c r="W393" s="1">
        <v>10414394944</v>
      </c>
      <c r="X393" s="25" t="str">
        <f>IFERROR(VLOOKUP(C_Ope_002[[#This Row],[nota_2]],Clientes_Proveedores[[Ruc / Dni]:[Razon Social]],2,0),"")</f>
        <v>RODRIGUEZ CRUZ RICHARD MANUEL</v>
      </c>
      <c r="Y393" s="25" t="s">
        <v>5933</v>
      </c>
      <c r="Z393" s="25"/>
      <c r="AA393" s="3" t="str">
        <f>IF(C_Ope_002[[#This Row],[fecha]]&gt;0,TEXT(C_Ope_002[[#This Row],[fecha]],"mmmm"),0)</f>
        <v>Octubre</v>
      </c>
      <c r="AB393" s="49"/>
    </row>
    <row r="394" spans="1:28" x14ac:dyDescent="0.3">
      <c r="A394" s="2">
        <f>IF(C_Ope_002[[#This Row],[tipo_r]]="R",COUNTIFS($C$1:$C393,"R")+1,"")</f>
        <v>393</v>
      </c>
      <c r="B394" s="19" t="str">
        <f t="shared" si="59"/>
        <v>C_Ope_002</v>
      </c>
      <c r="C394" s="13" t="s">
        <v>1330</v>
      </c>
      <c r="D394" s="14">
        <v>45953</v>
      </c>
      <c r="E394" s="5" t="s">
        <v>8125</v>
      </c>
      <c r="F394" s="5" t="s">
        <v>1336</v>
      </c>
      <c r="G394" s="6" t="s">
        <v>978</v>
      </c>
      <c r="H394" s="6" t="s">
        <v>68</v>
      </c>
      <c r="I394" s="6" t="s">
        <v>5845</v>
      </c>
      <c r="J394" s="6">
        <v>1901690</v>
      </c>
      <c r="K394" s="7" t="s">
        <v>8204</v>
      </c>
      <c r="L394" s="8">
        <v>25881</v>
      </c>
      <c r="M394" s="8" t="str">
        <f t="shared" si="60"/>
        <v>PEN</v>
      </c>
      <c r="N394" s="13"/>
      <c r="O394" s="13">
        <v>8</v>
      </c>
      <c r="P394" s="3">
        <f t="shared" si="61"/>
        <v>0</v>
      </c>
      <c r="Q394" s="3">
        <f t="shared" si="62"/>
        <v>8</v>
      </c>
      <c r="R394" s="3">
        <f t="shared" si="63"/>
        <v>163.00000000000006</v>
      </c>
      <c r="S394" s="24" t="s">
        <v>1334</v>
      </c>
      <c r="T394" s="24"/>
      <c r="U394" s="3"/>
      <c r="V394" s="25" t="s">
        <v>8200</v>
      </c>
      <c r="W394" s="1">
        <v>20517252558</v>
      </c>
      <c r="X394" s="25" t="str">
        <f>IFERROR(VLOOKUP(C_Ope_002[[#This Row],[nota_2]],Clientes_Proveedores[[Ruc / Dni]:[Razon Social]],2,0),"")</f>
        <v>COVISUR S.A.</v>
      </c>
      <c r="Y394" s="25" t="s">
        <v>7888</v>
      </c>
      <c r="Z394" s="25"/>
      <c r="AA394" s="3" t="str">
        <f>IF(C_Ope_002[[#This Row],[fecha]]&gt;0,TEXT(C_Ope_002[[#This Row],[fecha]],"mmmm"),0)</f>
        <v>Octubre</v>
      </c>
      <c r="AB394" s="49"/>
    </row>
    <row r="395" spans="1:28" x14ac:dyDescent="0.3">
      <c r="A395" s="2">
        <f>IF(C_Ope_002[[#This Row],[tipo_r]]="R",COUNTIFS($C$1:$C394,"R")+1,"")</f>
        <v>394</v>
      </c>
      <c r="B395" s="19" t="str">
        <f t="shared" si="59"/>
        <v>C_Ope_002</v>
      </c>
      <c r="C395" s="13" t="s">
        <v>1330</v>
      </c>
      <c r="D395" s="14">
        <v>45953</v>
      </c>
      <c r="E395" s="5" t="s">
        <v>8125</v>
      </c>
      <c r="F395" s="5" t="s">
        <v>1336</v>
      </c>
      <c r="G395" s="6" t="s">
        <v>978</v>
      </c>
      <c r="H395" s="6" t="s">
        <v>68</v>
      </c>
      <c r="I395" s="6" t="s">
        <v>5688</v>
      </c>
      <c r="J395" s="6">
        <v>2521843</v>
      </c>
      <c r="K395" s="7" t="s">
        <v>8204</v>
      </c>
      <c r="L395" s="8">
        <v>25882</v>
      </c>
      <c r="M395" s="8" t="str">
        <f t="shared" si="60"/>
        <v>PEN</v>
      </c>
      <c r="N395" s="13"/>
      <c r="O395" s="13">
        <v>8</v>
      </c>
      <c r="P395" s="3">
        <f t="shared" si="61"/>
        <v>0</v>
      </c>
      <c r="Q395" s="3">
        <f t="shared" si="62"/>
        <v>8</v>
      </c>
      <c r="R395" s="3">
        <f t="shared" si="63"/>
        <v>155.00000000000006</v>
      </c>
      <c r="S395" s="24" t="s">
        <v>1334</v>
      </c>
      <c r="T395" s="24"/>
      <c r="U395" s="3"/>
      <c r="V395" s="25" t="s">
        <v>8200</v>
      </c>
      <c r="W395" s="1">
        <v>20517252558</v>
      </c>
      <c r="X395" s="25" t="str">
        <f>IFERROR(VLOOKUP(C_Ope_002[[#This Row],[nota_2]],Clientes_Proveedores[[Ruc / Dni]:[Razon Social]],2,0),"")</f>
        <v>COVISUR S.A.</v>
      </c>
      <c r="Y395" s="25" t="s">
        <v>7888</v>
      </c>
      <c r="Z395" s="25"/>
      <c r="AA395" s="3" t="str">
        <f>IF(C_Ope_002[[#This Row],[fecha]]&gt;0,TEXT(C_Ope_002[[#This Row],[fecha]],"mmmm"),0)</f>
        <v>Octubre</v>
      </c>
      <c r="AB395" s="49"/>
    </row>
    <row r="396" spans="1:28" ht="36" x14ac:dyDescent="0.3">
      <c r="A396" s="2">
        <f>IF(C_Ope_002[[#This Row],[tipo_r]]="R",COUNTIFS($C$1:$C395,"R")+1,"")</f>
        <v>395</v>
      </c>
      <c r="B396" s="19" t="str">
        <f t="shared" si="59"/>
        <v>C_Ope_002</v>
      </c>
      <c r="C396" s="13" t="s">
        <v>1330</v>
      </c>
      <c r="D396" s="14">
        <v>45953</v>
      </c>
      <c r="E396" s="5" t="s">
        <v>8125</v>
      </c>
      <c r="F396" s="5" t="s">
        <v>1336</v>
      </c>
      <c r="G396" s="6" t="s">
        <v>682</v>
      </c>
      <c r="H396" s="6" t="s">
        <v>68</v>
      </c>
      <c r="I396" s="6" t="s">
        <v>1353</v>
      </c>
      <c r="J396" s="6">
        <v>18175</v>
      </c>
      <c r="K396" s="7" t="s">
        <v>8205</v>
      </c>
      <c r="L396" s="8">
        <v>25878</v>
      </c>
      <c r="M396" s="8" t="str">
        <f t="shared" si="60"/>
        <v>PEN</v>
      </c>
      <c r="N396" s="13"/>
      <c r="O396" s="13">
        <v>20</v>
      </c>
      <c r="P396" s="3">
        <f t="shared" si="61"/>
        <v>0</v>
      </c>
      <c r="Q396" s="3">
        <f t="shared" si="62"/>
        <v>20</v>
      </c>
      <c r="R396" s="3">
        <f t="shared" si="63"/>
        <v>135.00000000000006</v>
      </c>
      <c r="S396" s="24" t="s">
        <v>1334</v>
      </c>
      <c r="T396" s="24"/>
      <c r="U396" s="3"/>
      <c r="V396" s="25" t="s">
        <v>8200</v>
      </c>
      <c r="W396" s="1">
        <v>20259858934</v>
      </c>
      <c r="X396" s="25" t="str">
        <f>IFERROR(VLOOKUP(C_Ope_002[[#This Row],[nota_2]],Clientes_Proveedores[[Ruc / Dni]:[Razon Social]],2,0),"")</f>
        <v>COMERCIALIZACION Y SERVICIOS EL EDEN S.A.C.</v>
      </c>
      <c r="Y396" s="25" t="s">
        <v>5933</v>
      </c>
      <c r="Z396" s="25"/>
      <c r="AA396" s="3" t="str">
        <f>IF(C_Ope_002[[#This Row],[fecha]]&gt;0,TEXT(C_Ope_002[[#This Row],[fecha]],"mmmm"),0)</f>
        <v>Octubre</v>
      </c>
      <c r="AB396" s="49"/>
    </row>
    <row r="397" spans="1:28" ht="36" x14ac:dyDescent="0.3">
      <c r="A397" s="2">
        <f>IF(C_Ope_002[[#This Row],[tipo_r]]="R",COUNTIFS($C$1:$C396,"R")+1,"")</f>
        <v>396</v>
      </c>
      <c r="B397" s="19" t="str">
        <f t="shared" si="59"/>
        <v>C_Ope_002</v>
      </c>
      <c r="C397" s="13" t="s">
        <v>1330</v>
      </c>
      <c r="D397" s="14">
        <v>45953</v>
      </c>
      <c r="E397" s="5" t="s">
        <v>8125</v>
      </c>
      <c r="F397" s="5" t="s">
        <v>1336</v>
      </c>
      <c r="G397" s="6" t="s">
        <v>682</v>
      </c>
      <c r="H397" s="6" t="s">
        <v>68</v>
      </c>
      <c r="I397" s="6" t="s">
        <v>1353</v>
      </c>
      <c r="J397" s="6">
        <v>18180</v>
      </c>
      <c r="K397" s="7" t="s">
        <v>8205</v>
      </c>
      <c r="L397" s="8">
        <v>25879</v>
      </c>
      <c r="M397" s="8" t="str">
        <f t="shared" si="60"/>
        <v>PEN</v>
      </c>
      <c r="N397" s="13"/>
      <c r="O397" s="13">
        <v>20</v>
      </c>
      <c r="P397" s="3">
        <f t="shared" si="61"/>
        <v>0</v>
      </c>
      <c r="Q397" s="3">
        <f t="shared" si="62"/>
        <v>20</v>
      </c>
      <c r="R397" s="3">
        <f t="shared" si="63"/>
        <v>115.00000000000006</v>
      </c>
      <c r="S397" s="24" t="s">
        <v>1334</v>
      </c>
      <c r="T397" s="24"/>
      <c r="U397" s="3"/>
      <c r="V397" s="25" t="s">
        <v>8200</v>
      </c>
      <c r="W397" s="1">
        <v>20259858934</v>
      </c>
      <c r="X397" s="25" t="str">
        <f>IFERROR(VLOOKUP(C_Ope_002[[#This Row],[nota_2]],Clientes_Proveedores[[Ruc / Dni]:[Razon Social]],2,0),"")</f>
        <v>COMERCIALIZACION Y SERVICIOS EL EDEN S.A.C.</v>
      </c>
      <c r="Y397" s="25" t="s">
        <v>5933</v>
      </c>
      <c r="Z397" s="25"/>
      <c r="AA397" s="3" t="str">
        <f>IF(C_Ope_002[[#This Row],[fecha]]&gt;0,TEXT(C_Ope_002[[#This Row],[fecha]],"mmmm"),0)</f>
        <v>Octubre</v>
      </c>
      <c r="AB397" s="49"/>
    </row>
    <row r="398" spans="1:28" x14ac:dyDescent="0.3">
      <c r="A398" s="2">
        <f>IF(C_Ope_002[[#This Row],[tipo_r]]="R",COUNTIFS($C$1:$C397,"R")+1,"")</f>
        <v>397</v>
      </c>
      <c r="B398" s="19" t="str">
        <f>"C_Ope_002"</f>
        <v>C_Ope_002</v>
      </c>
      <c r="C398" s="13" t="s">
        <v>1330</v>
      </c>
      <c r="D398" s="14">
        <v>45957</v>
      </c>
      <c r="E398" s="5" t="s">
        <v>3634</v>
      </c>
      <c r="F398" s="5" t="s">
        <v>1303</v>
      </c>
      <c r="G398" s="6" t="s">
        <v>798</v>
      </c>
      <c r="H398" s="6"/>
      <c r="I398" s="6"/>
      <c r="J398" s="6"/>
      <c r="K398" s="7" t="s">
        <v>7516</v>
      </c>
      <c r="L398" s="8">
        <v>25935</v>
      </c>
      <c r="M398" s="8" t="str">
        <f>"PEN"</f>
        <v>PEN</v>
      </c>
      <c r="N398" s="13"/>
      <c r="O398" s="13">
        <v>120</v>
      </c>
      <c r="P398" s="3">
        <f>+IF(OR($F398="SALDO",$F398="INGRESO"),$O398,0)</f>
        <v>120</v>
      </c>
      <c r="Q398" s="3">
        <f>+IF($F398="EGRESO",$O398,0)</f>
        <v>0</v>
      </c>
      <c r="R398" s="3">
        <f t="shared" si="63"/>
        <v>235.00000000000006</v>
      </c>
      <c r="S398" s="24"/>
      <c r="T398" s="24"/>
      <c r="U398" s="3"/>
      <c r="V398" s="25"/>
      <c r="W398" s="1"/>
      <c r="X398" s="25" t="str">
        <f>IFERROR(VLOOKUP(C_Ope_002[[#This Row],[nota_2]],Clientes_Proveedores[[Ruc / Dni]:[Razon Social]],2,0),"")</f>
        <v/>
      </c>
      <c r="Y398" s="25"/>
      <c r="Z398" s="25"/>
      <c r="AA398" s="3" t="str">
        <f>IF(C_Ope_002[[#This Row],[fecha]]&gt;0,TEXT(C_Ope_002[[#This Row],[fecha]],"mmmm"),0)</f>
        <v>Octubre</v>
      </c>
      <c r="AB398" s="49"/>
    </row>
    <row r="399" spans="1:28" ht="24" x14ac:dyDescent="0.3">
      <c r="A399" s="2">
        <f>IF(C_Ope_002[[#This Row],[tipo_r]]="R",COUNTIFS($C$1:$C398,"R")+1,"")</f>
        <v>398</v>
      </c>
      <c r="B399" s="19" t="str">
        <f t="shared" ref="B399:B408" si="64">"C_Ope_002"</f>
        <v>C_Ope_002</v>
      </c>
      <c r="C399" s="13" t="s">
        <v>1330</v>
      </c>
      <c r="D399" s="14">
        <v>45957</v>
      </c>
      <c r="E399" s="5" t="s">
        <v>8125</v>
      </c>
      <c r="F399" s="5" t="s">
        <v>1336</v>
      </c>
      <c r="G399" s="6" t="s">
        <v>978</v>
      </c>
      <c r="H399" s="6" t="s">
        <v>68</v>
      </c>
      <c r="I399" s="6" t="s">
        <v>5688</v>
      </c>
      <c r="J399" s="6">
        <v>2526687</v>
      </c>
      <c r="K399" s="7" t="s">
        <v>9404</v>
      </c>
      <c r="L399" s="8">
        <v>25921</v>
      </c>
      <c r="M399" s="8" t="str">
        <f t="shared" ref="M399:M408" si="65">"PEN"</f>
        <v>PEN</v>
      </c>
      <c r="N399" s="13"/>
      <c r="O399" s="13">
        <v>8</v>
      </c>
      <c r="P399" s="3">
        <f t="shared" ref="P399:P408" si="66">+IF(OR($F399="SALDO",$F399="INGRESO"),$O399,0)</f>
        <v>0</v>
      </c>
      <c r="Q399" s="3">
        <f t="shared" ref="Q399:Q408" si="67">+IF($F399="EGRESO",$O399,0)</f>
        <v>8</v>
      </c>
      <c r="R399" s="3">
        <f t="shared" si="63"/>
        <v>227.00000000000006</v>
      </c>
      <c r="S399" s="24" t="s">
        <v>1334</v>
      </c>
      <c r="T399" s="24"/>
      <c r="U399" s="3"/>
      <c r="V399" s="25" t="s">
        <v>8200</v>
      </c>
      <c r="W399" s="25">
        <v>20517252558</v>
      </c>
      <c r="X399" s="25" t="str">
        <f>IFERROR(VLOOKUP(C_Ope_002[[#This Row],[nota_2]],Clientes_Proveedores[[Ruc / Dni]:[Razon Social]],2,0),"")</f>
        <v>COVISUR S.A.</v>
      </c>
      <c r="Y399" s="25" t="s">
        <v>7888</v>
      </c>
      <c r="Z399" s="25"/>
      <c r="AA399" s="3" t="str">
        <f>IF(C_Ope_002[[#This Row],[fecha]]&gt;0,TEXT(C_Ope_002[[#This Row],[fecha]],"mmmm"),0)</f>
        <v>Octubre</v>
      </c>
      <c r="AB399" s="49"/>
    </row>
    <row r="400" spans="1:28" ht="24" x14ac:dyDescent="0.3">
      <c r="A400" s="2">
        <f>IF(C_Ope_002[[#This Row],[tipo_r]]="R",COUNTIFS($C$1:$C399,"R")+1,"")</f>
        <v>399</v>
      </c>
      <c r="B400" s="19" t="str">
        <f t="shared" si="64"/>
        <v>C_Ope_002</v>
      </c>
      <c r="C400" s="13" t="s">
        <v>1330</v>
      </c>
      <c r="D400" s="14">
        <v>45957</v>
      </c>
      <c r="E400" s="5" t="s">
        <v>8125</v>
      </c>
      <c r="F400" s="5" t="s">
        <v>1336</v>
      </c>
      <c r="G400" s="6" t="s">
        <v>978</v>
      </c>
      <c r="H400" s="6" t="s">
        <v>68</v>
      </c>
      <c r="I400" s="6" t="s">
        <v>1353</v>
      </c>
      <c r="J400" s="6">
        <v>18231</v>
      </c>
      <c r="K400" s="7" t="s">
        <v>9405</v>
      </c>
      <c r="L400" s="8">
        <v>25920</v>
      </c>
      <c r="M400" s="8" t="str">
        <f t="shared" si="65"/>
        <v>PEN</v>
      </c>
      <c r="N400" s="13"/>
      <c r="O400" s="13">
        <v>20</v>
      </c>
      <c r="P400" s="3">
        <f t="shared" si="66"/>
        <v>0</v>
      </c>
      <c r="Q400" s="3">
        <f t="shared" si="67"/>
        <v>20</v>
      </c>
      <c r="R400" s="3">
        <f t="shared" si="63"/>
        <v>207.00000000000006</v>
      </c>
      <c r="S400" s="24" t="s">
        <v>1334</v>
      </c>
      <c r="T400" s="24"/>
      <c r="U400" s="3"/>
      <c r="V400" s="25" t="s">
        <v>8200</v>
      </c>
      <c r="W400" s="25">
        <v>20517252558</v>
      </c>
      <c r="X400" s="25" t="str">
        <f>IFERROR(VLOOKUP(C_Ope_002[[#This Row],[nota_2]],Clientes_Proveedores[[Ruc / Dni]:[Razon Social]],2,0),"")</f>
        <v>COVISUR S.A.</v>
      </c>
      <c r="Y400" s="25" t="s">
        <v>5933</v>
      </c>
      <c r="Z400" s="25"/>
      <c r="AA400" s="3" t="str">
        <f>IF(C_Ope_002[[#This Row],[fecha]]&gt;0,TEXT(C_Ope_002[[#This Row],[fecha]],"mmmm"),0)</f>
        <v>Octubre</v>
      </c>
      <c r="AB400" s="49"/>
    </row>
    <row r="401" spans="1:28" ht="24" x14ac:dyDescent="0.3">
      <c r="A401" s="2">
        <f>IF(C_Ope_002[[#This Row],[tipo_r]]="R",COUNTIFS($C$1:$C400,"R")+1,"")</f>
        <v>400</v>
      </c>
      <c r="B401" s="19" t="str">
        <f t="shared" si="64"/>
        <v>C_Ope_002</v>
      </c>
      <c r="C401" s="13" t="s">
        <v>1330</v>
      </c>
      <c r="D401" s="14">
        <v>45958</v>
      </c>
      <c r="E401" s="5" t="s">
        <v>8125</v>
      </c>
      <c r="F401" s="5" t="s">
        <v>1336</v>
      </c>
      <c r="G401" s="6" t="s">
        <v>978</v>
      </c>
      <c r="H401" s="6" t="s">
        <v>68</v>
      </c>
      <c r="I401" s="6" t="s">
        <v>5845</v>
      </c>
      <c r="J401" s="6">
        <v>1906870</v>
      </c>
      <c r="K401" s="7" t="s">
        <v>9406</v>
      </c>
      <c r="L401" s="8">
        <v>25933</v>
      </c>
      <c r="M401" s="8" t="str">
        <f t="shared" si="65"/>
        <v>PEN</v>
      </c>
      <c r="N401" s="13"/>
      <c r="O401" s="13">
        <v>8</v>
      </c>
      <c r="P401" s="3">
        <f t="shared" si="66"/>
        <v>0</v>
      </c>
      <c r="Q401" s="3">
        <f t="shared" si="67"/>
        <v>8</v>
      </c>
      <c r="R401" s="3">
        <f t="shared" si="63"/>
        <v>199.00000000000006</v>
      </c>
      <c r="S401" s="24" t="s">
        <v>1334</v>
      </c>
      <c r="T401" s="24"/>
      <c r="U401" s="3"/>
      <c r="V401" s="25" t="s">
        <v>8200</v>
      </c>
      <c r="W401" s="25">
        <v>20517252558</v>
      </c>
      <c r="X401" s="25" t="str">
        <f>IFERROR(VLOOKUP(C_Ope_002[[#This Row],[nota_2]],Clientes_Proveedores[[Ruc / Dni]:[Razon Social]],2,0),"")</f>
        <v>COVISUR S.A.</v>
      </c>
      <c r="Y401" s="25" t="s">
        <v>7888</v>
      </c>
      <c r="Z401" s="25"/>
      <c r="AA401" s="3" t="str">
        <f>IF(C_Ope_002[[#This Row],[fecha]]&gt;0,TEXT(C_Ope_002[[#This Row],[fecha]],"mmmm"),0)</f>
        <v>Octubre</v>
      </c>
      <c r="AB401" s="49"/>
    </row>
    <row r="402" spans="1:28" ht="24" x14ac:dyDescent="0.3">
      <c r="A402" s="2">
        <f>IF(C_Ope_002[[#This Row],[tipo_r]]="R",COUNTIFS($C$1:$C401,"R")+1,"")</f>
        <v>401</v>
      </c>
      <c r="B402" s="19" t="str">
        <f t="shared" si="64"/>
        <v>C_Ope_002</v>
      </c>
      <c r="C402" s="13" t="s">
        <v>1330</v>
      </c>
      <c r="D402" s="14">
        <v>45958</v>
      </c>
      <c r="E402" s="5" t="s">
        <v>8125</v>
      </c>
      <c r="F402" s="5" t="s">
        <v>1336</v>
      </c>
      <c r="G402" s="6" t="s">
        <v>978</v>
      </c>
      <c r="H402" s="6" t="s">
        <v>68</v>
      </c>
      <c r="I402" s="6" t="s">
        <v>5688</v>
      </c>
      <c r="J402" s="6">
        <v>2528008</v>
      </c>
      <c r="K402" s="7" t="s">
        <v>9406</v>
      </c>
      <c r="L402" s="8">
        <v>25934</v>
      </c>
      <c r="M402" s="8" t="str">
        <f t="shared" si="65"/>
        <v>PEN</v>
      </c>
      <c r="N402" s="13"/>
      <c r="O402" s="13">
        <v>8</v>
      </c>
      <c r="P402" s="3">
        <f t="shared" si="66"/>
        <v>0</v>
      </c>
      <c r="Q402" s="3">
        <f t="shared" si="67"/>
        <v>8</v>
      </c>
      <c r="R402" s="3">
        <f t="shared" si="63"/>
        <v>191.00000000000006</v>
      </c>
      <c r="S402" s="24" t="s">
        <v>1334</v>
      </c>
      <c r="T402" s="24"/>
      <c r="U402" s="3"/>
      <c r="V402" s="25" t="s">
        <v>8200</v>
      </c>
      <c r="W402" s="25">
        <v>20517252558</v>
      </c>
      <c r="X402" s="25" t="str">
        <f>IFERROR(VLOOKUP(C_Ope_002[[#This Row],[nota_2]],Clientes_Proveedores[[Ruc / Dni]:[Razon Social]],2,0),"")</f>
        <v>COVISUR S.A.</v>
      </c>
      <c r="Y402" s="25" t="s">
        <v>7888</v>
      </c>
      <c r="Z402" s="25"/>
      <c r="AA402" s="3" t="str">
        <f>IF(C_Ope_002[[#This Row],[fecha]]&gt;0,TEXT(C_Ope_002[[#This Row],[fecha]],"mmmm"),0)</f>
        <v>Octubre</v>
      </c>
      <c r="AB402" s="49"/>
    </row>
    <row r="403" spans="1:28" ht="36" x14ac:dyDescent="0.3">
      <c r="A403" s="2">
        <f>IF(C_Ope_002[[#This Row],[tipo_r]]="R",COUNTIFS($C$1:$C402,"R")+1,"")</f>
        <v>402</v>
      </c>
      <c r="B403" s="19" t="str">
        <f t="shared" si="64"/>
        <v>C_Ope_002</v>
      </c>
      <c r="C403" s="13" t="s">
        <v>1330</v>
      </c>
      <c r="D403" s="14">
        <v>45958</v>
      </c>
      <c r="E403" s="5" t="s">
        <v>8125</v>
      </c>
      <c r="F403" s="5" t="s">
        <v>1336</v>
      </c>
      <c r="G403" s="6" t="s">
        <v>682</v>
      </c>
      <c r="H403" s="6" t="s">
        <v>68</v>
      </c>
      <c r="I403" s="6" t="s">
        <v>1390</v>
      </c>
      <c r="J403" s="6">
        <v>138836</v>
      </c>
      <c r="K403" s="7" t="s">
        <v>9407</v>
      </c>
      <c r="L403" s="8">
        <v>25922</v>
      </c>
      <c r="M403" s="8" t="str">
        <f t="shared" si="65"/>
        <v>PEN</v>
      </c>
      <c r="N403" s="13"/>
      <c r="O403" s="13">
        <v>10</v>
      </c>
      <c r="P403" s="3">
        <f t="shared" si="66"/>
        <v>0</v>
      </c>
      <c r="Q403" s="3">
        <f t="shared" si="67"/>
        <v>10</v>
      </c>
      <c r="R403" s="3">
        <f t="shared" si="63"/>
        <v>181.00000000000006</v>
      </c>
      <c r="S403" s="24" t="s">
        <v>1334</v>
      </c>
      <c r="T403" s="24"/>
      <c r="U403" s="3"/>
      <c r="V403" s="25" t="s">
        <v>8200</v>
      </c>
      <c r="W403" s="25">
        <v>20259858934</v>
      </c>
      <c r="X403" s="25" t="str">
        <f>IFERROR(VLOOKUP(C_Ope_002[[#This Row],[nota_2]],Clientes_Proveedores[[Ruc / Dni]:[Razon Social]],2,0),"")</f>
        <v>COMERCIALIZACION Y SERVICIOS EL EDEN S.A.C.</v>
      </c>
      <c r="Y403" s="25" t="s">
        <v>5933</v>
      </c>
      <c r="Z403" s="25"/>
      <c r="AA403" s="3" t="str">
        <f>IF(C_Ope_002[[#This Row],[fecha]]&gt;0,TEXT(C_Ope_002[[#This Row],[fecha]],"mmmm"),0)</f>
        <v>Octubre</v>
      </c>
      <c r="AB403" s="49"/>
    </row>
    <row r="404" spans="1:28" ht="24" x14ac:dyDescent="0.3">
      <c r="A404" s="2">
        <f>IF(C_Ope_002[[#This Row],[tipo_r]]="R",COUNTIFS($C$1:$C403,"R")+1,"")</f>
        <v>403</v>
      </c>
      <c r="B404" s="19" t="str">
        <f t="shared" si="64"/>
        <v>C_Ope_002</v>
      </c>
      <c r="C404" s="13" t="s">
        <v>1330</v>
      </c>
      <c r="D404" s="14">
        <v>45960</v>
      </c>
      <c r="E404" s="5" t="s">
        <v>8125</v>
      </c>
      <c r="F404" s="5" t="s">
        <v>1336</v>
      </c>
      <c r="G404" s="6" t="s">
        <v>978</v>
      </c>
      <c r="H404" s="6" t="s">
        <v>68</v>
      </c>
      <c r="I404" s="6" t="s">
        <v>5688</v>
      </c>
      <c r="J404" s="6">
        <v>2530706</v>
      </c>
      <c r="K404" s="7" t="s">
        <v>9408</v>
      </c>
      <c r="L404" s="8">
        <v>25950</v>
      </c>
      <c r="M404" s="8" t="str">
        <f t="shared" si="65"/>
        <v>PEN</v>
      </c>
      <c r="N404" s="13"/>
      <c r="O404" s="13">
        <v>8</v>
      </c>
      <c r="P404" s="3">
        <f t="shared" si="66"/>
        <v>0</v>
      </c>
      <c r="Q404" s="3">
        <f t="shared" si="67"/>
        <v>8</v>
      </c>
      <c r="R404" s="3">
        <f t="shared" si="63"/>
        <v>173.00000000000006</v>
      </c>
      <c r="S404" s="24" t="s">
        <v>1334</v>
      </c>
      <c r="T404" s="24"/>
      <c r="U404" s="3"/>
      <c r="V404" s="25" t="s">
        <v>8200</v>
      </c>
      <c r="W404" s="25">
        <v>20517252558</v>
      </c>
      <c r="X404" s="25" t="str">
        <f>IFERROR(VLOOKUP(C_Ope_002[[#This Row],[nota_2]],Clientes_Proveedores[[Ruc / Dni]:[Razon Social]],2,0),"")</f>
        <v>COVISUR S.A.</v>
      </c>
      <c r="Y404" s="25" t="s">
        <v>7888</v>
      </c>
      <c r="Z404" s="25"/>
      <c r="AA404" s="3" t="str">
        <f>IF(C_Ope_002[[#This Row],[fecha]]&gt;0,TEXT(C_Ope_002[[#This Row],[fecha]],"mmmm"),0)</f>
        <v>Octubre</v>
      </c>
      <c r="AB404" s="49"/>
    </row>
    <row r="405" spans="1:28" ht="24" x14ac:dyDescent="0.3">
      <c r="A405" s="2">
        <f>IF(C_Ope_002[[#This Row],[tipo_r]]="R",COUNTIFS($C$1:$C404,"R")+1,"")</f>
        <v>404</v>
      </c>
      <c r="B405" s="19" t="str">
        <f t="shared" si="64"/>
        <v>C_Ope_002</v>
      </c>
      <c r="C405" s="13" t="s">
        <v>1330</v>
      </c>
      <c r="D405" s="14">
        <v>45960</v>
      </c>
      <c r="E405" s="5" t="s">
        <v>8125</v>
      </c>
      <c r="F405" s="5" t="s">
        <v>1336</v>
      </c>
      <c r="G405" s="6" t="s">
        <v>978</v>
      </c>
      <c r="H405" s="6" t="s">
        <v>68</v>
      </c>
      <c r="I405" s="6" t="s">
        <v>6203</v>
      </c>
      <c r="J405" s="6">
        <v>2231233</v>
      </c>
      <c r="K405" s="7" t="s">
        <v>9408</v>
      </c>
      <c r="L405" s="8">
        <v>25951</v>
      </c>
      <c r="M405" s="8" t="str">
        <f t="shared" si="65"/>
        <v>PEN</v>
      </c>
      <c r="N405" s="13"/>
      <c r="O405" s="13">
        <v>8</v>
      </c>
      <c r="P405" s="3">
        <f t="shared" si="66"/>
        <v>0</v>
      </c>
      <c r="Q405" s="3">
        <f t="shared" si="67"/>
        <v>8</v>
      </c>
      <c r="R405" s="3">
        <f t="shared" si="63"/>
        <v>165.00000000000006</v>
      </c>
      <c r="S405" s="24" t="s">
        <v>1334</v>
      </c>
      <c r="T405" s="24"/>
      <c r="U405" s="3"/>
      <c r="V405" s="25" t="s">
        <v>8200</v>
      </c>
      <c r="W405" s="25">
        <v>20517252558</v>
      </c>
      <c r="X405" s="25" t="str">
        <f>IFERROR(VLOOKUP(C_Ope_002[[#This Row],[nota_2]],Clientes_Proveedores[[Ruc / Dni]:[Razon Social]],2,0),"")</f>
        <v>COVISUR S.A.</v>
      </c>
      <c r="Y405" s="25" t="s">
        <v>7888</v>
      </c>
      <c r="Z405" s="25"/>
      <c r="AA405" s="3" t="str">
        <f>IF(C_Ope_002[[#This Row],[fecha]]&gt;0,TEXT(C_Ope_002[[#This Row],[fecha]],"mmmm"),0)</f>
        <v>Octubre</v>
      </c>
      <c r="AB405" s="49"/>
    </row>
    <row r="406" spans="1:28" ht="36" x14ac:dyDescent="0.3">
      <c r="A406" s="2">
        <f>IF(C_Ope_002[[#This Row],[tipo_r]]="R",COUNTIFS($C$1:$C405,"R")+1,"")</f>
        <v>405</v>
      </c>
      <c r="B406" s="19" t="str">
        <f t="shared" si="64"/>
        <v>C_Ope_002</v>
      </c>
      <c r="C406" s="13" t="s">
        <v>1330</v>
      </c>
      <c r="D406" s="14">
        <v>45961</v>
      </c>
      <c r="E406" s="5" t="s">
        <v>8125</v>
      </c>
      <c r="F406" s="5" t="s">
        <v>1336</v>
      </c>
      <c r="G406" s="6" t="s">
        <v>682</v>
      </c>
      <c r="H406" s="6" t="s">
        <v>68</v>
      </c>
      <c r="I406" s="6" t="s">
        <v>6378</v>
      </c>
      <c r="J406" s="6">
        <v>258</v>
      </c>
      <c r="K406" s="7" t="s">
        <v>9409</v>
      </c>
      <c r="L406" s="8">
        <v>25952</v>
      </c>
      <c r="M406" s="8" t="str">
        <f t="shared" si="65"/>
        <v>PEN</v>
      </c>
      <c r="N406" s="13"/>
      <c r="O406" s="13">
        <v>5</v>
      </c>
      <c r="P406" s="3">
        <f t="shared" si="66"/>
        <v>0</v>
      </c>
      <c r="Q406" s="3">
        <f t="shared" si="67"/>
        <v>5</v>
      </c>
      <c r="R406" s="3">
        <f t="shared" si="63"/>
        <v>160.00000000000006</v>
      </c>
      <c r="S406" s="24" t="s">
        <v>1334</v>
      </c>
      <c r="T406" s="24"/>
      <c r="U406" s="3"/>
      <c r="V406" s="25" t="s">
        <v>8200</v>
      </c>
      <c r="W406" s="25">
        <v>20259858934</v>
      </c>
      <c r="X406" s="25" t="str">
        <f>IFERROR(VLOOKUP(C_Ope_002[[#This Row],[nota_2]],Clientes_Proveedores[[Ruc / Dni]:[Razon Social]],2,0),"")</f>
        <v>COMERCIALIZACION Y SERVICIOS EL EDEN S.A.C.</v>
      </c>
      <c r="Y406" s="25" t="s">
        <v>5933</v>
      </c>
      <c r="Z406" s="25"/>
      <c r="AA406" s="3" t="str">
        <f>IF(C_Ope_002[[#This Row],[fecha]]&gt;0,TEXT(C_Ope_002[[#This Row],[fecha]],"mmmm"),0)</f>
        <v>Octubre</v>
      </c>
      <c r="AB406" s="49"/>
    </row>
    <row r="407" spans="1:28" ht="24" x14ac:dyDescent="0.3">
      <c r="A407" s="2">
        <f>IF(C_Ope_002[[#This Row],[tipo_r]]="R",COUNTIFS($C$1:$C406,"R")+1,"")</f>
        <v>406</v>
      </c>
      <c r="B407" s="19" t="str">
        <f t="shared" si="64"/>
        <v>C_Ope_002</v>
      </c>
      <c r="C407" s="13" t="s">
        <v>1330</v>
      </c>
      <c r="D407" s="14">
        <v>45964</v>
      </c>
      <c r="E407" s="5" t="s">
        <v>8125</v>
      </c>
      <c r="F407" s="5" t="s">
        <v>1336</v>
      </c>
      <c r="G407" s="6" t="s">
        <v>978</v>
      </c>
      <c r="H407" s="6" t="s">
        <v>68</v>
      </c>
      <c r="I407" s="6" t="s">
        <v>5688</v>
      </c>
      <c r="J407" s="6">
        <v>2535188</v>
      </c>
      <c r="K407" s="7" t="s">
        <v>8196</v>
      </c>
      <c r="L407" s="8">
        <v>25955</v>
      </c>
      <c r="M407" s="8" t="str">
        <f t="shared" si="65"/>
        <v>PEN</v>
      </c>
      <c r="N407" s="13"/>
      <c r="O407" s="13">
        <v>8</v>
      </c>
      <c r="P407" s="3">
        <f t="shared" si="66"/>
        <v>0</v>
      </c>
      <c r="Q407" s="3">
        <f t="shared" si="67"/>
        <v>8</v>
      </c>
      <c r="R407" s="3">
        <f t="shared" si="63"/>
        <v>152.00000000000006</v>
      </c>
      <c r="S407" s="24" t="s">
        <v>1334</v>
      </c>
      <c r="T407" s="24"/>
      <c r="U407" s="3"/>
      <c r="V407" s="25" t="s">
        <v>7756</v>
      </c>
      <c r="W407" s="25">
        <v>20517252558</v>
      </c>
      <c r="X407" s="25" t="str">
        <f>IFERROR(VLOOKUP(C_Ope_002[[#This Row],[nota_2]],Clientes_Proveedores[[Ruc / Dni]:[Razon Social]],2,0),"")</f>
        <v>COVISUR S.A.</v>
      </c>
      <c r="Y407" s="25" t="s">
        <v>7888</v>
      </c>
      <c r="Z407" s="25"/>
      <c r="AA407" s="3" t="str">
        <f>IF(C_Ope_002[[#This Row],[fecha]]&gt;0,TEXT(C_Ope_002[[#This Row],[fecha]],"mmmm"),0)</f>
        <v>Noviembre</v>
      </c>
      <c r="AB407" s="49"/>
    </row>
    <row r="408" spans="1:28" ht="36" x14ac:dyDescent="0.3">
      <c r="A408" s="2">
        <f>IF(C_Ope_002[[#This Row],[tipo_r]]="R",COUNTIFS($C$1:$C407,"R")+1,"")</f>
        <v>407</v>
      </c>
      <c r="B408" s="19" t="str">
        <f t="shared" si="64"/>
        <v>C_Ope_002</v>
      </c>
      <c r="C408" s="13" t="s">
        <v>1330</v>
      </c>
      <c r="D408" s="14">
        <v>45964</v>
      </c>
      <c r="E408" s="5" t="s">
        <v>8125</v>
      </c>
      <c r="F408" s="5" t="s">
        <v>1336</v>
      </c>
      <c r="G408" s="6" t="s">
        <v>227</v>
      </c>
      <c r="H408" s="6" t="s">
        <v>68</v>
      </c>
      <c r="I408" s="6" t="s">
        <v>1390</v>
      </c>
      <c r="J408" s="6">
        <v>139105</v>
      </c>
      <c r="K408" s="7" t="s">
        <v>8197</v>
      </c>
      <c r="L408" s="8">
        <v>25954</v>
      </c>
      <c r="M408" s="8" t="str">
        <f t="shared" si="65"/>
        <v>PEN</v>
      </c>
      <c r="N408" s="13"/>
      <c r="O408" s="13">
        <v>10</v>
      </c>
      <c r="P408" s="3">
        <f t="shared" si="66"/>
        <v>0</v>
      </c>
      <c r="Q408" s="3">
        <f t="shared" si="67"/>
        <v>10</v>
      </c>
      <c r="R408" s="3">
        <f t="shared" si="63"/>
        <v>142.00000000000006</v>
      </c>
      <c r="S408" s="24" t="s">
        <v>1334</v>
      </c>
      <c r="T408" s="24"/>
      <c r="U408" s="3"/>
      <c r="V408" s="25" t="s">
        <v>7756</v>
      </c>
      <c r="W408" s="25">
        <v>20124952850</v>
      </c>
      <c r="X408" s="25" t="str">
        <f>IFERROR(VLOOKUP(C_Ope_002[[#This Row],[nota_2]],Clientes_Proveedores[[Ruc / Dni]:[Razon Social]],2,0),"")</f>
        <v>ALIMENTOS Y SERVICIOS AGROPECUARIOS SRL.</v>
      </c>
      <c r="Y408" s="25" t="s">
        <v>5933</v>
      </c>
      <c r="Z408" s="25"/>
      <c r="AA408" s="3" t="str">
        <f>IF(C_Ope_002[[#This Row],[fecha]]&gt;0,TEXT(C_Ope_002[[#This Row],[fecha]],"mmmm"),0)</f>
        <v>Noviembre</v>
      </c>
      <c r="AB408" s="49"/>
    </row>
  </sheetData>
  <conditionalFormatting sqref="A2:AB1048576">
    <cfRule type="expression" dxfId="69" priority="252">
      <formula>$T2="OK"</formula>
    </cfRule>
    <cfRule type="expression" dxfId="68" priority="253">
      <formula>$S2="OK"</formula>
    </cfRule>
    <cfRule type="expression" dxfId="67" priority="254">
      <formula>$C2="D"</formula>
    </cfRule>
  </conditionalFormatting>
  <dataValidations count="4">
    <dataValidation type="list" allowBlank="1" showInputMessage="1" showErrorMessage="1" sqref="G2:G408" xr:uid="{031AB2C7-D0F9-2F42-A13E-A0516AC8F8C9}">
      <formula1>Proveedores_Clientes</formula1>
    </dataValidation>
    <dataValidation type="list" allowBlank="1" showInputMessage="1" showErrorMessage="1" sqref="H2:H408" xr:uid="{68BFA48E-A8EE-9445-81B1-40DFE11A90B6}">
      <formula1>Documentos</formula1>
    </dataValidation>
    <dataValidation type="list" allowBlank="1" showInputMessage="1" showErrorMessage="1" sqref="F2:F408" xr:uid="{08DF87BD-7B64-AF4B-93D1-41E6CEE4BDCB}">
      <formula1>"SALDO,INGRESO,EGRESO"</formula1>
    </dataValidation>
    <dataValidation type="list" allowBlank="1" showInputMessage="1" showErrorMessage="1" sqref="C2:C408" xr:uid="{4A23511C-B388-D849-8B9F-74DD4096B63B}">
      <formula1>"R,D"</formula1>
    </dataValidation>
  </dataValidations>
  <printOptions horizontalCentered="1"/>
  <pageMargins left="0.11811023622047245" right="0.11811023622047245" top="0.35433070866141736" bottom="0.35433070866141736" header="0.31496062992125984" footer="0.31496062992125984"/>
  <pageSetup paperSize="9" scale="36" fitToHeight="0" orientation="landscape"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CF26E-50F1-824C-A454-DFFCEB0DCFB7}">
  <sheetPr codeName="Hoja11">
    <tabColor rgb="FFFFC000"/>
    <pageSetUpPr fitToPage="1"/>
  </sheetPr>
  <dimension ref="A1:AB388"/>
  <sheetViews>
    <sheetView showGridLines="0" zoomScale="90" zoomScaleNormal="90" zoomScaleSheetLayoutView="100" workbookViewId="0">
      <selection sqref="A1:AB1"/>
    </sheetView>
  </sheetViews>
  <sheetFormatPr defaultColWidth="11.44140625" defaultRowHeight="14.4" outlineLevelCol="1" x14ac:dyDescent="0.3"/>
  <cols>
    <col min="1" max="1" width="9.44140625" bestFit="1" customWidth="1"/>
    <col min="2" max="2" width="15.44140625" bestFit="1" customWidth="1"/>
    <col min="3" max="3" width="13.44140625" bestFit="1" customWidth="1"/>
    <col min="4" max="4" width="10.6640625" bestFit="1" customWidth="1"/>
    <col min="5" max="5" width="14.33203125" customWidth="1"/>
    <col min="6" max="6" width="11.6640625" bestFit="1" customWidth="1"/>
    <col min="7" max="7" width="17" bestFit="1" customWidth="1"/>
    <col min="8" max="8" width="16" customWidth="1"/>
    <col min="9" max="9" width="10.109375" bestFit="1" customWidth="1"/>
    <col min="10" max="10" width="12.44140625" bestFit="1" customWidth="1"/>
    <col min="11" max="11" width="40.44140625" bestFit="1" customWidth="1"/>
    <col min="12" max="12" width="15" bestFit="1" customWidth="1"/>
    <col min="13" max="13" width="12.44140625" bestFit="1" customWidth="1"/>
    <col min="14" max="14" width="12.109375" bestFit="1" customWidth="1"/>
    <col min="15" max="15" width="11.44140625" bestFit="1" customWidth="1"/>
    <col min="16" max="17" width="11.33203125" bestFit="1" customWidth="1"/>
    <col min="18" max="18" width="10.88671875" bestFit="1" customWidth="1"/>
    <col min="19" max="19" width="12" bestFit="1" customWidth="1"/>
    <col min="20" max="20" width="13" bestFit="1" customWidth="1"/>
    <col min="21" max="21" width="15.88671875" bestFit="1" customWidth="1"/>
    <col min="22" max="22" width="15.88671875" customWidth="1"/>
    <col min="23" max="26" width="15.88671875" customWidth="1" outlineLevel="1"/>
    <col min="27" max="27" width="12.88671875" customWidth="1" outlineLevel="1"/>
  </cols>
  <sheetData>
    <row r="1" spans="1:28" x14ac:dyDescent="0.3">
      <c r="A1" s="263" t="s">
        <v>9536</v>
      </c>
      <c r="B1" s="263" t="s">
        <v>9537</v>
      </c>
      <c r="C1" s="263" t="s">
        <v>9563</v>
      </c>
      <c r="D1" s="263" t="s">
        <v>9539</v>
      </c>
      <c r="E1" s="263" t="s">
        <v>9540</v>
      </c>
      <c r="F1" s="263" t="s">
        <v>9541</v>
      </c>
      <c r="G1" s="263" t="s">
        <v>9542</v>
      </c>
      <c r="H1" s="263" t="s">
        <v>9543</v>
      </c>
      <c r="I1" s="263" t="s">
        <v>9544</v>
      </c>
      <c r="J1" s="263" t="s">
        <v>9545</v>
      </c>
      <c r="K1" s="263" t="s">
        <v>9546</v>
      </c>
      <c r="L1" s="263" t="s">
        <v>9565</v>
      </c>
      <c r="M1" s="263" t="s">
        <v>9548</v>
      </c>
      <c r="N1" s="263" t="s">
        <v>9549</v>
      </c>
      <c r="O1" s="263" t="s">
        <v>9550</v>
      </c>
      <c r="P1" s="263" t="s">
        <v>9551</v>
      </c>
      <c r="Q1" s="263" t="s">
        <v>9552</v>
      </c>
      <c r="R1" s="263" t="s">
        <v>9553</v>
      </c>
      <c r="S1" s="263" t="s">
        <v>9554</v>
      </c>
      <c r="T1" s="263" t="s">
        <v>9555</v>
      </c>
      <c r="U1" s="263" t="s">
        <v>9556</v>
      </c>
      <c r="V1" s="263" t="s">
        <v>9557</v>
      </c>
      <c r="W1" s="263" t="s">
        <v>9558</v>
      </c>
      <c r="X1" s="263" t="s">
        <v>9559</v>
      </c>
      <c r="Y1" s="263" t="s">
        <v>9560</v>
      </c>
      <c r="Z1" s="263" t="s">
        <v>9561</v>
      </c>
      <c r="AA1" s="263" t="s">
        <v>9562</v>
      </c>
      <c r="AB1" s="1" t="s">
        <v>9566</v>
      </c>
    </row>
    <row r="2" spans="1:28" x14ac:dyDescent="0.3">
      <c r="A2" s="2">
        <f>IF(C_Ope_003[[#This Row],[tipo_r]]="R",COUNTIFS($C$1:$C1,"R")+1,"")</f>
        <v>1</v>
      </c>
      <c r="B2" s="19" t="str">
        <f>"C_Ope_003"</f>
        <v>C_Ope_003</v>
      </c>
      <c r="C2" s="3" t="s">
        <v>1330</v>
      </c>
      <c r="D2" s="14">
        <v>45658</v>
      </c>
      <c r="E2" s="5" t="s">
        <v>5595</v>
      </c>
      <c r="F2" s="6" t="s">
        <v>1320</v>
      </c>
      <c r="G2" s="6"/>
      <c r="H2" s="6"/>
      <c r="I2" s="6"/>
      <c r="J2" s="6"/>
      <c r="K2" s="7" t="s">
        <v>1332</v>
      </c>
      <c r="L2" s="8">
        <v>22816</v>
      </c>
      <c r="M2" s="8" t="str">
        <f t="shared" ref="M2" si="0">"PEN"</f>
        <v>PEN</v>
      </c>
      <c r="N2" s="13"/>
      <c r="O2" s="9">
        <v>187.65</v>
      </c>
      <c r="P2" s="9">
        <f t="shared" ref="P2:P65" si="1">+IF(OR($F2="SALDO",$F2="INGRESO"),$O2,0)</f>
        <v>187.65</v>
      </c>
      <c r="Q2" s="9">
        <f t="shared" ref="Q2:Q65" si="2">+IF($F2="EGRESO",$O2,0)</f>
        <v>0</v>
      </c>
      <c r="R2" s="9">
        <f t="shared" ref="R2:R65" si="3">IFERROR(IF(F2="SALDO",P2,R1+P2-Q2),0)</f>
        <v>187.65</v>
      </c>
      <c r="S2" s="24" t="s">
        <v>1334</v>
      </c>
      <c r="T2" s="24" t="s">
        <v>1334</v>
      </c>
      <c r="U2" s="15"/>
      <c r="V2" s="25" t="s">
        <v>8006</v>
      </c>
      <c r="W2" s="25"/>
      <c r="X2" s="25" t="str">
        <f>IFERROR(VLOOKUP(C_Ope_003[[#This Row],[nota_2]],Clientes_Proveedores[[Ruc / Dni]:[Razon Social]],2,0),"")</f>
        <v/>
      </c>
      <c r="Y2" s="25"/>
      <c r="Z2" s="103"/>
      <c r="AA2" s="3" t="str">
        <f>IF(C_Ope_003[[#This Row],[fecha]]&gt;0,TEXT(C_Ope_003[[#This Row],[fecha]],"mmmm"),0)</f>
        <v>Enero</v>
      </c>
      <c r="AB2" s="49"/>
    </row>
    <row r="3" spans="1:28" x14ac:dyDescent="0.3">
      <c r="A3" s="2">
        <f>IF(C_Ope_003[[#This Row],[tipo_r]]="R",COUNTIFS($C$1:$C2,"R")+1,"")</f>
        <v>2</v>
      </c>
      <c r="B3" s="19" t="str">
        <f t="shared" ref="B3:B66" si="4">"C_Ope_003"</f>
        <v>C_Ope_003</v>
      </c>
      <c r="C3" s="3" t="s">
        <v>1330</v>
      </c>
      <c r="D3" s="14">
        <v>45691</v>
      </c>
      <c r="E3" s="5" t="s">
        <v>7514</v>
      </c>
      <c r="F3" s="5" t="s">
        <v>1303</v>
      </c>
      <c r="G3" s="6"/>
      <c r="H3" s="6"/>
      <c r="I3" s="6"/>
      <c r="J3" s="6"/>
      <c r="K3" s="7" t="s">
        <v>8206</v>
      </c>
      <c r="L3" s="8">
        <v>22870</v>
      </c>
      <c r="M3" s="8" t="str">
        <f t="shared" ref="M3:M66" si="5">"PEN"</f>
        <v>PEN</v>
      </c>
      <c r="N3" s="13"/>
      <c r="O3" s="13">
        <v>800</v>
      </c>
      <c r="P3" s="3">
        <f t="shared" si="1"/>
        <v>800</v>
      </c>
      <c r="Q3" s="3">
        <f t="shared" si="2"/>
        <v>0</v>
      </c>
      <c r="R3" s="3">
        <f t="shared" si="3"/>
        <v>987.65</v>
      </c>
      <c r="S3" s="24" t="s">
        <v>1334</v>
      </c>
      <c r="T3" s="24" t="s">
        <v>1334</v>
      </c>
      <c r="U3" s="3"/>
      <c r="V3" s="25"/>
      <c r="W3" s="25"/>
      <c r="X3" s="25" t="str">
        <f>IFERROR(VLOOKUP(C_Ope_003[[#This Row],[nota_2]],Clientes_Proveedores[[Ruc / Dni]:[Razon Social]],2,0),"")</f>
        <v/>
      </c>
      <c r="Y3" s="25"/>
      <c r="Z3" s="103"/>
      <c r="AA3" s="3" t="str">
        <f>IF(C_Ope_003[[#This Row],[fecha]]&gt;0,TEXT(C_Ope_003[[#This Row],[fecha]],"mmmm"),0)</f>
        <v>Febrero</v>
      </c>
      <c r="AB3" s="49"/>
    </row>
    <row r="4" spans="1:28" x14ac:dyDescent="0.3">
      <c r="A4" s="2">
        <f>IF(C_Ope_003[[#This Row],[tipo_r]]="R",COUNTIFS($C$1:$C3,"R")+1,"")</f>
        <v>3</v>
      </c>
      <c r="B4" s="19" t="str">
        <f t="shared" si="4"/>
        <v>C_Ope_003</v>
      </c>
      <c r="C4" s="3" t="s">
        <v>1330</v>
      </c>
      <c r="D4" s="14">
        <v>45695</v>
      </c>
      <c r="E4" s="5" t="s">
        <v>7514</v>
      </c>
      <c r="F4" s="5" t="s">
        <v>1303</v>
      </c>
      <c r="G4" s="6"/>
      <c r="H4" s="6"/>
      <c r="I4" s="6"/>
      <c r="J4" s="6"/>
      <c r="K4" s="7" t="s">
        <v>8206</v>
      </c>
      <c r="L4" s="8">
        <v>22969</v>
      </c>
      <c r="M4" s="8" t="str">
        <f t="shared" si="5"/>
        <v>PEN</v>
      </c>
      <c r="N4" s="13"/>
      <c r="O4" s="13">
        <v>300</v>
      </c>
      <c r="P4" s="3">
        <f t="shared" si="1"/>
        <v>300</v>
      </c>
      <c r="Q4" s="3">
        <f t="shared" si="2"/>
        <v>0</v>
      </c>
      <c r="R4" s="3">
        <f t="shared" si="3"/>
        <v>1287.6500000000001</v>
      </c>
      <c r="S4" s="24" t="s">
        <v>1334</v>
      </c>
      <c r="T4" s="24" t="s">
        <v>1334</v>
      </c>
      <c r="U4" s="3"/>
      <c r="V4" s="25"/>
      <c r="W4" s="25"/>
      <c r="X4" s="25" t="str">
        <f>IFERROR(VLOOKUP(C_Ope_003[[#This Row],[nota_2]],Clientes_Proveedores[[Ruc / Dni]:[Razon Social]],2,0),"")</f>
        <v/>
      </c>
      <c r="Y4" s="25"/>
      <c r="Z4" s="103"/>
      <c r="AA4" s="3" t="str">
        <f>IF(C_Ope_003[[#This Row],[fecha]]&gt;0,TEXT(C_Ope_003[[#This Row],[fecha]],"mmmm"),0)</f>
        <v>Febrero</v>
      </c>
      <c r="AB4" s="49"/>
    </row>
    <row r="5" spans="1:28" x14ac:dyDescent="0.3">
      <c r="A5" s="2">
        <f>IF(C_Ope_003[[#This Row],[tipo_r]]="R",COUNTIFS($C$1:$C4,"R")+1,"")</f>
        <v>4</v>
      </c>
      <c r="B5" s="19" t="str">
        <f t="shared" si="4"/>
        <v>C_Ope_003</v>
      </c>
      <c r="C5" s="3" t="s">
        <v>1330</v>
      </c>
      <c r="D5" s="14">
        <v>45695</v>
      </c>
      <c r="E5" s="5" t="s">
        <v>7514</v>
      </c>
      <c r="F5" s="5" t="s">
        <v>1303</v>
      </c>
      <c r="G5" s="6"/>
      <c r="H5" s="6"/>
      <c r="I5" s="6"/>
      <c r="J5" s="6"/>
      <c r="K5" s="7" t="s">
        <v>7516</v>
      </c>
      <c r="L5" s="8">
        <v>22970</v>
      </c>
      <c r="M5" s="8" t="str">
        <f t="shared" si="5"/>
        <v>PEN</v>
      </c>
      <c r="N5" s="13"/>
      <c r="O5" s="13">
        <v>400</v>
      </c>
      <c r="P5" s="3">
        <f t="shared" si="1"/>
        <v>400</v>
      </c>
      <c r="Q5" s="3">
        <f t="shared" si="2"/>
        <v>0</v>
      </c>
      <c r="R5" s="3">
        <f t="shared" si="3"/>
        <v>1687.65</v>
      </c>
      <c r="S5" s="24" t="s">
        <v>1334</v>
      </c>
      <c r="T5" s="24" t="s">
        <v>1334</v>
      </c>
      <c r="U5" s="3"/>
      <c r="V5" s="25"/>
      <c r="W5" s="25"/>
      <c r="X5" s="25" t="str">
        <f>IFERROR(VLOOKUP(C_Ope_003[[#This Row],[nota_2]],Clientes_Proveedores[[Ruc / Dni]:[Razon Social]],2,0),"")</f>
        <v/>
      </c>
      <c r="Y5" s="25"/>
      <c r="Z5" s="103"/>
      <c r="AA5" s="3" t="str">
        <f>IF(C_Ope_003[[#This Row],[fecha]]&gt;0,TEXT(C_Ope_003[[#This Row],[fecha]],"mmmm"),0)</f>
        <v>Febrero</v>
      </c>
      <c r="AB5" s="49"/>
    </row>
    <row r="6" spans="1:28" ht="36" x14ac:dyDescent="0.3">
      <c r="A6" s="2">
        <f>IF(C_Ope_003[[#This Row],[tipo_r]]="R",COUNTIFS($C$1:$C5,"R")+1,"")</f>
        <v>5</v>
      </c>
      <c r="B6" s="19" t="str">
        <f t="shared" si="4"/>
        <v>C_Ope_003</v>
      </c>
      <c r="C6" s="3" t="s">
        <v>1330</v>
      </c>
      <c r="D6" s="14">
        <v>45692</v>
      </c>
      <c r="E6" s="5" t="s">
        <v>5595</v>
      </c>
      <c r="F6" s="5" t="s">
        <v>1336</v>
      </c>
      <c r="G6" s="6" t="s">
        <v>1006</v>
      </c>
      <c r="H6" s="6" t="s">
        <v>68</v>
      </c>
      <c r="I6" s="6" t="s">
        <v>8207</v>
      </c>
      <c r="J6" s="6">
        <v>512900</v>
      </c>
      <c r="K6" s="7" t="s">
        <v>8208</v>
      </c>
      <c r="L6" s="8">
        <v>22897</v>
      </c>
      <c r="M6" s="8" t="str">
        <f t="shared" si="5"/>
        <v>PEN</v>
      </c>
      <c r="N6" s="13"/>
      <c r="O6" s="13">
        <v>23.6</v>
      </c>
      <c r="P6" s="3">
        <f t="shared" si="1"/>
        <v>0</v>
      </c>
      <c r="Q6" s="3">
        <f t="shared" si="2"/>
        <v>23.6</v>
      </c>
      <c r="R6" s="3">
        <f t="shared" si="3"/>
        <v>1664.0500000000002</v>
      </c>
      <c r="S6" s="24" t="s">
        <v>1334</v>
      </c>
      <c r="T6" s="24" t="s">
        <v>1334</v>
      </c>
      <c r="U6" s="3"/>
      <c r="V6" s="25" t="s">
        <v>8006</v>
      </c>
      <c r="W6" s="25">
        <v>20550033519</v>
      </c>
      <c r="X6" s="25" t="str">
        <f>IFERROR(VLOOKUP(C_Ope_003[[#This Row],[nota_2]],Clientes_Proveedores[[Ruc / Dni]:[Razon Social]],2,0),"")</f>
        <v>CONCESIONARIA PERUANA DE VIAS-COVINCA S.A.</v>
      </c>
      <c r="Y6" s="25"/>
      <c r="Z6" s="103"/>
      <c r="AA6" s="3" t="str">
        <f>IF(C_Ope_003[[#This Row],[fecha]]&gt;0,TEXT(C_Ope_003[[#This Row],[fecha]],"mmmm"),0)</f>
        <v>Febrero</v>
      </c>
      <c r="AB6" s="49"/>
    </row>
    <row r="7" spans="1:28" ht="24" x14ac:dyDescent="0.3">
      <c r="A7" s="2">
        <f>IF(C_Ope_003[[#This Row],[tipo_r]]="R",COUNTIFS($C$1:$C6,"R")+1,"")</f>
        <v>6</v>
      </c>
      <c r="B7" s="19" t="str">
        <f t="shared" si="4"/>
        <v>C_Ope_003</v>
      </c>
      <c r="C7" s="3" t="s">
        <v>1330</v>
      </c>
      <c r="D7" s="14">
        <v>45693</v>
      </c>
      <c r="E7" s="5" t="s">
        <v>5595</v>
      </c>
      <c r="F7" s="5" t="s">
        <v>1336</v>
      </c>
      <c r="G7" s="6" t="s">
        <v>1041</v>
      </c>
      <c r="H7" s="6" t="s">
        <v>68</v>
      </c>
      <c r="I7" s="6" t="s">
        <v>8209</v>
      </c>
      <c r="J7" s="6">
        <v>2666207</v>
      </c>
      <c r="K7" s="7" t="s">
        <v>8210</v>
      </c>
      <c r="L7" s="8">
        <v>22903</v>
      </c>
      <c r="M7" s="8" t="str">
        <f t="shared" si="5"/>
        <v>PEN</v>
      </c>
      <c r="N7" s="13"/>
      <c r="O7" s="13">
        <v>56.4</v>
      </c>
      <c r="P7" s="3">
        <f t="shared" si="1"/>
        <v>0</v>
      </c>
      <c r="Q7" s="3">
        <f t="shared" si="2"/>
        <v>56.4</v>
      </c>
      <c r="R7" s="3">
        <f t="shared" si="3"/>
        <v>1607.65</v>
      </c>
      <c r="S7" s="24" t="s">
        <v>1334</v>
      </c>
      <c r="T7" s="24" t="s">
        <v>1334</v>
      </c>
      <c r="U7" s="3"/>
      <c r="V7" s="25" t="s">
        <v>8006</v>
      </c>
      <c r="W7" s="25">
        <v>20511465061</v>
      </c>
      <c r="X7" s="25" t="str">
        <f>IFERROR(VLOOKUP(C_Ope_003[[#This Row],[nota_2]],Clientes_Proveedores[[Ruc / Dni]:[Razon Social]],2,0),"")</f>
        <v>CONCESIONARIA VIAL DEL PERU S.A</v>
      </c>
      <c r="Y7" s="25"/>
      <c r="Z7" s="103"/>
      <c r="AA7" s="3" t="str">
        <f>IF(C_Ope_003[[#This Row],[fecha]]&gt;0,TEXT(C_Ope_003[[#This Row],[fecha]],"mmmm"),0)</f>
        <v>Febrero</v>
      </c>
      <c r="AB7" s="49"/>
    </row>
    <row r="8" spans="1:28" ht="24" x14ac:dyDescent="0.3">
      <c r="A8" s="2">
        <f>IF(C_Ope_003[[#This Row],[tipo_r]]="R",COUNTIFS($C$1:$C7,"R")+1,"")</f>
        <v>7</v>
      </c>
      <c r="B8" s="19" t="str">
        <f t="shared" si="4"/>
        <v>C_Ope_003</v>
      </c>
      <c r="C8" s="3" t="s">
        <v>1330</v>
      </c>
      <c r="D8" s="14">
        <v>45694</v>
      </c>
      <c r="E8" s="5" t="s">
        <v>5595</v>
      </c>
      <c r="F8" s="5" t="s">
        <v>1336</v>
      </c>
      <c r="G8" s="6" t="s">
        <v>979</v>
      </c>
      <c r="H8" s="6" t="s">
        <v>68</v>
      </c>
      <c r="I8" s="6" t="s">
        <v>8211</v>
      </c>
      <c r="J8" s="6">
        <v>2910924</v>
      </c>
      <c r="K8" s="7" t="s">
        <v>8212</v>
      </c>
      <c r="L8" s="8">
        <v>22937</v>
      </c>
      <c r="M8" s="8" t="str">
        <f t="shared" si="5"/>
        <v>PEN</v>
      </c>
      <c r="N8" s="13"/>
      <c r="O8" s="13">
        <v>22.5</v>
      </c>
      <c r="P8" s="3">
        <f t="shared" si="1"/>
        <v>0</v>
      </c>
      <c r="Q8" s="3">
        <f t="shared" si="2"/>
        <v>22.5</v>
      </c>
      <c r="R8" s="3">
        <f t="shared" si="3"/>
        <v>1585.15</v>
      </c>
      <c r="S8" s="24" t="s">
        <v>1334</v>
      </c>
      <c r="T8" s="24" t="s">
        <v>1334</v>
      </c>
      <c r="U8" s="3"/>
      <c r="V8" s="25" t="s">
        <v>8006</v>
      </c>
      <c r="W8" s="25">
        <v>20550372640</v>
      </c>
      <c r="X8" s="25" t="str">
        <f>IFERROR(VLOOKUP(C_Ope_003[[#This Row],[nota_2]],Clientes_Proveedores[[Ruc / Dni]:[Razon Social]],2,0),"")</f>
        <v>RUTAS DE LIMA S.A.C.</v>
      </c>
      <c r="Y8" s="25"/>
      <c r="Z8" s="103"/>
      <c r="AA8" s="3" t="str">
        <f>IF(C_Ope_003[[#This Row],[fecha]]&gt;0,TEXT(C_Ope_003[[#This Row],[fecha]],"mmmm"),0)</f>
        <v>Febrero</v>
      </c>
      <c r="AB8" s="49"/>
    </row>
    <row r="9" spans="1:28" ht="36" x14ac:dyDescent="0.3">
      <c r="A9" s="2">
        <f>IF(C_Ope_003[[#This Row],[tipo_r]]="R",COUNTIFS($C$1:$C8,"R")+1,"")</f>
        <v>8</v>
      </c>
      <c r="B9" s="19" t="str">
        <f t="shared" si="4"/>
        <v>C_Ope_003</v>
      </c>
      <c r="C9" s="3" t="s">
        <v>1330</v>
      </c>
      <c r="D9" s="14">
        <v>45692</v>
      </c>
      <c r="E9" s="5" t="s">
        <v>5595</v>
      </c>
      <c r="F9" s="5" t="s">
        <v>1336</v>
      </c>
      <c r="G9" s="6" t="s">
        <v>682</v>
      </c>
      <c r="H9" s="6" t="s">
        <v>68</v>
      </c>
      <c r="I9" s="6" t="s">
        <v>1353</v>
      </c>
      <c r="J9" s="6">
        <v>15588</v>
      </c>
      <c r="K9" s="7" t="s">
        <v>8213</v>
      </c>
      <c r="L9" s="8">
        <v>22871</v>
      </c>
      <c r="M9" s="8" t="str">
        <f t="shared" si="5"/>
        <v>PEN</v>
      </c>
      <c r="N9" s="13"/>
      <c r="O9" s="13">
        <v>20</v>
      </c>
      <c r="P9" s="3">
        <f t="shared" si="1"/>
        <v>0</v>
      </c>
      <c r="Q9" s="3">
        <f t="shared" si="2"/>
        <v>20</v>
      </c>
      <c r="R9" s="3">
        <f t="shared" si="3"/>
        <v>1565.15</v>
      </c>
      <c r="S9" s="24" t="s">
        <v>1334</v>
      </c>
      <c r="T9" s="24" t="s">
        <v>1334</v>
      </c>
      <c r="U9" s="3"/>
      <c r="V9" s="25" t="s">
        <v>8006</v>
      </c>
      <c r="W9" s="25">
        <v>20259858934</v>
      </c>
      <c r="X9" s="25" t="str">
        <f>IFERROR(VLOOKUP(C_Ope_003[[#This Row],[nota_2]],Clientes_Proveedores[[Ruc / Dni]:[Razon Social]],2,0),"")</f>
        <v>COMERCIALIZACION Y SERVICIOS EL EDEN S.A.C.</v>
      </c>
      <c r="Y9" s="25"/>
      <c r="Z9" s="103"/>
      <c r="AA9" s="3" t="str">
        <f>IF(C_Ope_003[[#This Row],[fecha]]&gt;0,TEXT(C_Ope_003[[#This Row],[fecha]],"mmmm"),0)</f>
        <v>Febrero</v>
      </c>
      <c r="AB9" s="49"/>
    </row>
    <row r="10" spans="1:28" ht="36" x14ac:dyDescent="0.3">
      <c r="A10" s="2">
        <f>IF(C_Ope_003[[#This Row],[tipo_r]]="R",COUNTIFS($C$1:$C9,"R")+1,"")</f>
        <v>9</v>
      </c>
      <c r="B10" s="19" t="str">
        <f t="shared" si="4"/>
        <v>C_Ope_003</v>
      </c>
      <c r="C10" s="3" t="s">
        <v>1330</v>
      </c>
      <c r="D10" s="14">
        <v>45692</v>
      </c>
      <c r="E10" s="5" t="s">
        <v>5595</v>
      </c>
      <c r="F10" s="5" t="s">
        <v>1336</v>
      </c>
      <c r="G10" s="6" t="s">
        <v>1150</v>
      </c>
      <c r="H10" s="6" t="s">
        <v>75</v>
      </c>
      <c r="I10" s="6">
        <v>2</v>
      </c>
      <c r="J10" s="6">
        <v>367</v>
      </c>
      <c r="K10" s="7" t="s">
        <v>8214</v>
      </c>
      <c r="L10" s="8">
        <v>22876</v>
      </c>
      <c r="M10" s="8" t="str">
        <f t="shared" si="5"/>
        <v>PEN</v>
      </c>
      <c r="N10" s="13"/>
      <c r="O10" s="13">
        <v>110</v>
      </c>
      <c r="P10" s="3">
        <f t="shared" si="1"/>
        <v>0</v>
      </c>
      <c r="Q10" s="3">
        <f t="shared" si="2"/>
        <v>110</v>
      </c>
      <c r="R10" s="3">
        <f t="shared" si="3"/>
        <v>1455.15</v>
      </c>
      <c r="S10" s="24" t="s">
        <v>1334</v>
      </c>
      <c r="T10" s="24" t="s">
        <v>1334</v>
      </c>
      <c r="U10" s="3"/>
      <c r="V10" s="25" t="s">
        <v>8006</v>
      </c>
      <c r="W10" s="25">
        <v>10070118110</v>
      </c>
      <c r="X10" s="25" t="str">
        <f>IFERROR(VLOOKUP(C_Ope_003[[#This Row],[nota_2]],Clientes_Proveedores[[Ruc / Dni]:[Razon Social]],2,0),"")</f>
        <v>CASTAÑEDA PACHECO VDA DE VILLALBA ZOILA MARCELA</v>
      </c>
      <c r="Y10" s="25"/>
      <c r="Z10" s="103"/>
      <c r="AA10" s="3" t="str">
        <f>IF(C_Ope_003[[#This Row],[fecha]]&gt;0,TEXT(C_Ope_003[[#This Row],[fecha]],"mmmm"),0)</f>
        <v>Febrero</v>
      </c>
      <c r="AB10" s="49"/>
    </row>
    <row r="11" spans="1:28" ht="48" x14ac:dyDescent="0.3">
      <c r="A11" s="2">
        <f>IF(C_Ope_003[[#This Row],[tipo_r]]="R",COUNTIFS($C$1:$C10,"R")+1,"")</f>
        <v>10</v>
      </c>
      <c r="B11" s="19" t="str">
        <f t="shared" si="4"/>
        <v>C_Ope_003</v>
      </c>
      <c r="C11" s="3" t="s">
        <v>1330</v>
      </c>
      <c r="D11" s="14">
        <v>45692</v>
      </c>
      <c r="E11" s="5" t="s">
        <v>5595</v>
      </c>
      <c r="F11" s="5" t="s">
        <v>1336</v>
      </c>
      <c r="G11" s="6" t="s">
        <v>1151</v>
      </c>
      <c r="H11" s="6" t="s">
        <v>75</v>
      </c>
      <c r="I11" s="6">
        <v>1</v>
      </c>
      <c r="J11" s="6">
        <v>144</v>
      </c>
      <c r="K11" s="7" t="s">
        <v>8215</v>
      </c>
      <c r="L11" s="8">
        <v>22896</v>
      </c>
      <c r="M11" s="8" t="str">
        <f t="shared" si="5"/>
        <v>PEN</v>
      </c>
      <c r="N11" s="13">
        <v>6</v>
      </c>
      <c r="O11" s="13">
        <v>24</v>
      </c>
      <c r="P11" s="3">
        <f t="shared" si="1"/>
        <v>0</v>
      </c>
      <c r="Q11" s="3">
        <f t="shared" si="2"/>
        <v>24</v>
      </c>
      <c r="R11" s="3">
        <f t="shared" si="3"/>
        <v>1431.15</v>
      </c>
      <c r="S11" s="24" t="s">
        <v>1334</v>
      </c>
      <c r="T11" s="24" t="s">
        <v>1334</v>
      </c>
      <c r="U11" s="156" t="s">
        <v>8216</v>
      </c>
      <c r="V11" s="25" t="s">
        <v>8006</v>
      </c>
      <c r="W11" s="25">
        <v>10737031409</v>
      </c>
      <c r="X11" s="25" t="str">
        <f>IFERROR(VLOOKUP(C_Ope_003[[#This Row],[nota_2]],Clientes_Proveedores[[Ruc / Dni]:[Razon Social]],2,0),"")</f>
        <v>CALDERON GONZA ROSMERY</v>
      </c>
      <c r="Y11" s="25"/>
      <c r="Z11" s="103"/>
      <c r="AA11" s="3" t="str">
        <f>IF(C_Ope_003[[#This Row],[fecha]]&gt;0,TEXT(C_Ope_003[[#This Row],[fecha]],"mmmm"),0)</f>
        <v>Febrero</v>
      </c>
      <c r="AB11" s="49"/>
    </row>
    <row r="12" spans="1:28" ht="48" x14ac:dyDescent="0.3">
      <c r="A12" s="2">
        <f>IF(C_Ope_003[[#This Row],[tipo_r]]="R",COUNTIFS($C$1:$C11,"R")+1,"")</f>
        <v>11</v>
      </c>
      <c r="B12" s="19" t="str">
        <f t="shared" si="4"/>
        <v>C_Ope_003</v>
      </c>
      <c r="C12" s="3" t="s">
        <v>1330</v>
      </c>
      <c r="D12" s="14">
        <v>45693</v>
      </c>
      <c r="E12" s="5" t="s">
        <v>5595</v>
      </c>
      <c r="F12" s="5" t="s">
        <v>1336</v>
      </c>
      <c r="G12" s="6" t="s">
        <v>1152</v>
      </c>
      <c r="H12" s="6" t="s">
        <v>75</v>
      </c>
      <c r="I12" s="6">
        <v>1</v>
      </c>
      <c r="J12" s="6">
        <v>40379</v>
      </c>
      <c r="K12" s="7" t="s">
        <v>8217</v>
      </c>
      <c r="L12" s="8">
        <v>22898</v>
      </c>
      <c r="M12" s="8" t="str">
        <f t="shared" si="5"/>
        <v>PEN</v>
      </c>
      <c r="N12" s="13">
        <v>6</v>
      </c>
      <c r="O12" s="13">
        <v>24</v>
      </c>
      <c r="P12" s="3">
        <f t="shared" si="1"/>
        <v>0</v>
      </c>
      <c r="Q12" s="3">
        <f t="shared" si="2"/>
        <v>24</v>
      </c>
      <c r="R12" s="3">
        <f t="shared" si="3"/>
        <v>1407.15</v>
      </c>
      <c r="S12" s="24" t="s">
        <v>1334</v>
      </c>
      <c r="T12" s="24" t="s">
        <v>1334</v>
      </c>
      <c r="U12" s="156" t="s">
        <v>8216</v>
      </c>
      <c r="V12" s="25" t="s">
        <v>8006</v>
      </c>
      <c r="W12" s="25">
        <v>10425076081</v>
      </c>
      <c r="X12" s="25" t="str">
        <f>IFERROR(VLOOKUP(C_Ope_003[[#This Row],[nota_2]],Clientes_Proveedores[[Ruc / Dni]:[Razon Social]],2,0),"")</f>
        <v>ENRIQUEZ ZUBIZARRETA BIRSHA MADAI</v>
      </c>
      <c r="Y12" s="25"/>
      <c r="Z12" s="103"/>
      <c r="AA12" s="3" t="str">
        <f>IF(C_Ope_003[[#This Row],[fecha]]&gt;0,TEXT(C_Ope_003[[#This Row],[fecha]],"mmmm"),0)</f>
        <v>Febrero</v>
      </c>
      <c r="AB12" s="49"/>
    </row>
    <row r="13" spans="1:28" ht="24" x14ac:dyDescent="0.3">
      <c r="A13" s="2">
        <f>IF(C_Ope_003[[#This Row],[tipo_r]]="R",COUNTIFS($C$1:$C12,"R")+1,"")</f>
        <v>12</v>
      </c>
      <c r="B13" s="19" t="str">
        <f t="shared" si="4"/>
        <v>C_Ope_003</v>
      </c>
      <c r="C13" s="3" t="s">
        <v>1330</v>
      </c>
      <c r="D13" s="14">
        <v>45693</v>
      </c>
      <c r="E13" s="5" t="s">
        <v>5595</v>
      </c>
      <c r="F13" s="5" t="s">
        <v>1336</v>
      </c>
      <c r="G13" s="6" t="s">
        <v>1153</v>
      </c>
      <c r="H13" s="6" t="s">
        <v>68</v>
      </c>
      <c r="I13" s="6" t="s">
        <v>1374</v>
      </c>
      <c r="J13" s="6">
        <v>22858</v>
      </c>
      <c r="K13" s="7" t="s">
        <v>8218</v>
      </c>
      <c r="L13" s="8">
        <v>22899</v>
      </c>
      <c r="M13" s="8" t="str">
        <f t="shared" si="5"/>
        <v>PEN</v>
      </c>
      <c r="N13" s="13"/>
      <c r="O13" s="13">
        <v>30</v>
      </c>
      <c r="P13" s="3">
        <f t="shared" si="1"/>
        <v>0</v>
      </c>
      <c r="Q13" s="3">
        <f t="shared" si="2"/>
        <v>30</v>
      </c>
      <c r="R13" s="3">
        <f t="shared" si="3"/>
        <v>1377.15</v>
      </c>
      <c r="S13" s="24" t="s">
        <v>1334</v>
      </c>
      <c r="T13" s="24" t="s">
        <v>1334</v>
      </c>
      <c r="U13" s="3"/>
      <c r="V13" s="25" t="s">
        <v>8006</v>
      </c>
      <c r="W13" s="25">
        <v>10221866202</v>
      </c>
      <c r="X13" s="25" t="str">
        <f>IFERROR(VLOOKUP(C_Ope_003[[#This Row],[nota_2]],Clientes_Proveedores[[Ruc / Dni]:[Razon Social]],2,0),"")</f>
        <v>CRUZ RAYMUNDO ERNESTINA FELICINDA</v>
      </c>
      <c r="Y13" s="25"/>
      <c r="Z13" s="103"/>
      <c r="AA13" s="3" t="str">
        <f>IF(C_Ope_003[[#This Row],[fecha]]&gt;0,TEXT(C_Ope_003[[#This Row],[fecha]],"mmmm"),0)</f>
        <v>Febrero</v>
      </c>
      <c r="AB13" s="49"/>
    </row>
    <row r="14" spans="1:28" ht="48" x14ac:dyDescent="0.3">
      <c r="A14" s="2">
        <f>IF(C_Ope_003[[#This Row],[tipo_r]]="R",COUNTIFS($C$1:$C13,"R")+1,"")</f>
        <v>13</v>
      </c>
      <c r="B14" s="19" t="str">
        <f t="shared" si="4"/>
        <v>C_Ope_003</v>
      </c>
      <c r="C14" s="3" t="s">
        <v>1330</v>
      </c>
      <c r="D14" s="14">
        <v>45693</v>
      </c>
      <c r="E14" s="5" t="s">
        <v>5595</v>
      </c>
      <c r="F14" s="5" t="s">
        <v>1336</v>
      </c>
      <c r="G14" s="6" t="s">
        <v>1154</v>
      </c>
      <c r="H14" s="6" t="s">
        <v>75</v>
      </c>
      <c r="I14" s="6">
        <v>2</v>
      </c>
      <c r="J14" s="6">
        <v>527</v>
      </c>
      <c r="K14" s="7" t="s">
        <v>8219</v>
      </c>
      <c r="L14" s="8">
        <v>22900</v>
      </c>
      <c r="M14" s="8" t="str">
        <f t="shared" si="5"/>
        <v>PEN</v>
      </c>
      <c r="N14" s="13">
        <v>6</v>
      </c>
      <c r="O14" s="13">
        <v>24</v>
      </c>
      <c r="P14" s="3">
        <f t="shared" si="1"/>
        <v>0</v>
      </c>
      <c r="Q14" s="3">
        <f t="shared" si="2"/>
        <v>24</v>
      </c>
      <c r="R14" s="3">
        <f t="shared" si="3"/>
        <v>1353.15</v>
      </c>
      <c r="S14" s="24" t="s">
        <v>1334</v>
      </c>
      <c r="T14" s="24" t="s">
        <v>1334</v>
      </c>
      <c r="U14" s="156" t="s">
        <v>8216</v>
      </c>
      <c r="V14" s="25" t="s">
        <v>8006</v>
      </c>
      <c r="W14" s="25">
        <v>10154278538</v>
      </c>
      <c r="X14" s="25" t="str">
        <f>IFERROR(VLOOKUP(C_Ope_003[[#This Row],[nota_2]],Clientes_Proveedores[[Ruc / Dni]:[Razon Social]],2,0),"")</f>
        <v>SANCHEZ VENTURA GUSTAVO</v>
      </c>
      <c r="Y14" s="25"/>
      <c r="Z14" s="103"/>
      <c r="AA14" s="3" t="str">
        <f>IF(C_Ope_003[[#This Row],[fecha]]&gt;0,TEXT(C_Ope_003[[#This Row],[fecha]],"mmmm"),0)</f>
        <v>Febrero</v>
      </c>
      <c r="AB14" s="49"/>
    </row>
    <row r="15" spans="1:28" ht="24" x14ac:dyDescent="0.3">
      <c r="A15" s="2">
        <f>IF(C_Ope_003[[#This Row],[tipo_r]]="R",COUNTIFS($C$1:$C14,"R")+1,"")</f>
        <v>14</v>
      </c>
      <c r="B15" s="19" t="str">
        <f t="shared" si="4"/>
        <v>C_Ope_003</v>
      </c>
      <c r="C15" s="3" t="s">
        <v>1330</v>
      </c>
      <c r="D15" s="14">
        <v>45693</v>
      </c>
      <c r="E15" s="5" t="s">
        <v>5595</v>
      </c>
      <c r="F15" s="5" t="s">
        <v>1336</v>
      </c>
      <c r="G15" s="6" t="s">
        <v>1046</v>
      </c>
      <c r="H15" s="6" t="s">
        <v>75</v>
      </c>
      <c r="I15" s="6">
        <v>1</v>
      </c>
      <c r="J15" s="6">
        <v>56731</v>
      </c>
      <c r="K15" s="7" t="s">
        <v>8220</v>
      </c>
      <c r="L15" s="8">
        <v>22901</v>
      </c>
      <c r="M15" s="8" t="str">
        <f t="shared" si="5"/>
        <v>PEN</v>
      </c>
      <c r="N15" s="13"/>
      <c r="O15" s="13">
        <v>10</v>
      </c>
      <c r="P15" s="3">
        <f t="shared" si="1"/>
        <v>0</v>
      </c>
      <c r="Q15" s="3">
        <f t="shared" si="2"/>
        <v>10</v>
      </c>
      <c r="R15" s="3">
        <f t="shared" si="3"/>
        <v>1343.15</v>
      </c>
      <c r="S15" s="24" t="s">
        <v>1334</v>
      </c>
      <c r="T15" s="24" t="s">
        <v>1334</v>
      </c>
      <c r="U15" s="3"/>
      <c r="V15" s="25" t="s">
        <v>8006</v>
      </c>
      <c r="W15" s="25">
        <v>10154270642</v>
      </c>
      <c r="X15" s="25" t="str">
        <f>IFERROR(VLOOKUP(C_Ope_003[[#This Row],[nota_2]],Clientes_Proveedores[[Ruc / Dni]:[Razon Social]],2,0),"")</f>
        <v>HURTADO HUAMAN CARMINA AUDELIA</v>
      </c>
      <c r="Y15" s="25"/>
      <c r="Z15" s="103"/>
      <c r="AA15" s="3" t="str">
        <f>IF(C_Ope_003[[#This Row],[fecha]]&gt;0,TEXT(C_Ope_003[[#This Row],[fecha]],"mmmm"),0)</f>
        <v>Febrero</v>
      </c>
      <c r="AB15" s="49"/>
    </row>
    <row r="16" spans="1:28" ht="36" x14ac:dyDescent="0.3">
      <c r="A16" s="2">
        <f>IF(C_Ope_003[[#This Row],[tipo_r]]="R",COUNTIFS($C$1:$C15,"R")+1,"")</f>
        <v>15</v>
      </c>
      <c r="B16" s="19" t="str">
        <f t="shared" si="4"/>
        <v>C_Ope_003</v>
      </c>
      <c r="C16" s="3" t="s">
        <v>1330</v>
      </c>
      <c r="D16" s="14">
        <v>45693</v>
      </c>
      <c r="E16" s="5" t="s">
        <v>5595</v>
      </c>
      <c r="F16" s="5" t="s">
        <v>1336</v>
      </c>
      <c r="G16" s="6" t="s">
        <v>1155</v>
      </c>
      <c r="H16" s="6" t="s">
        <v>75</v>
      </c>
      <c r="I16" s="6">
        <v>1</v>
      </c>
      <c r="J16" s="6">
        <v>611</v>
      </c>
      <c r="K16" s="7" t="s">
        <v>8221</v>
      </c>
      <c r="L16" s="8">
        <v>22902</v>
      </c>
      <c r="M16" s="8" t="str">
        <f t="shared" si="5"/>
        <v>PEN</v>
      </c>
      <c r="N16" s="13"/>
      <c r="O16" s="13">
        <v>100</v>
      </c>
      <c r="P16" s="3">
        <f t="shared" si="1"/>
        <v>0</v>
      </c>
      <c r="Q16" s="3">
        <f t="shared" si="2"/>
        <v>100</v>
      </c>
      <c r="R16" s="3">
        <f t="shared" si="3"/>
        <v>1243.1500000000001</v>
      </c>
      <c r="S16" s="24" t="s">
        <v>1334</v>
      </c>
      <c r="T16" s="24" t="s">
        <v>1334</v>
      </c>
      <c r="U16" s="3"/>
      <c r="V16" s="25" t="s">
        <v>8006</v>
      </c>
      <c r="W16" s="25">
        <v>10153696000</v>
      </c>
      <c r="X16" s="25" t="str">
        <f>IFERROR(VLOOKUP(C_Ope_003[[#This Row],[nota_2]],Clientes_Proveedores[[Ruc / Dni]:[Razon Social]],2,0),"")</f>
        <v>CHUMPITAZ AYALA PAULINA ALEJANDRINA</v>
      </c>
      <c r="Y16" s="25"/>
      <c r="Z16" s="103"/>
      <c r="AA16" s="3" t="str">
        <f>IF(C_Ope_003[[#This Row],[fecha]]&gt;0,TEXT(C_Ope_003[[#This Row],[fecha]],"mmmm"),0)</f>
        <v>Febrero</v>
      </c>
      <c r="AB16" s="49"/>
    </row>
    <row r="17" spans="1:28" x14ac:dyDescent="0.3">
      <c r="A17" s="2">
        <f>IF(C_Ope_003[[#This Row],[tipo_r]]="R",COUNTIFS($C$1:$C16,"R")+1,"")</f>
        <v>16</v>
      </c>
      <c r="B17" s="19" t="str">
        <f t="shared" si="4"/>
        <v>C_Ope_003</v>
      </c>
      <c r="C17" s="3" t="s">
        <v>1330</v>
      </c>
      <c r="D17" s="14">
        <v>45694</v>
      </c>
      <c r="E17" s="5" t="s">
        <v>5595</v>
      </c>
      <c r="F17" s="5" t="s">
        <v>1336</v>
      </c>
      <c r="G17" s="6"/>
      <c r="H17" s="6" t="s">
        <v>126</v>
      </c>
      <c r="I17" s="6"/>
      <c r="J17" s="6"/>
      <c r="K17" s="7" t="s">
        <v>8222</v>
      </c>
      <c r="L17" s="8">
        <v>22934</v>
      </c>
      <c r="M17" s="8" t="str">
        <f t="shared" si="5"/>
        <v>PEN</v>
      </c>
      <c r="N17" s="13"/>
      <c r="O17" s="13">
        <v>24</v>
      </c>
      <c r="P17" s="3">
        <f t="shared" si="1"/>
        <v>0</v>
      </c>
      <c r="Q17" s="3">
        <f t="shared" si="2"/>
        <v>24</v>
      </c>
      <c r="R17" s="3">
        <f t="shared" si="3"/>
        <v>1219.1500000000001</v>
      </c>
      <c r="S17" s="24" t="s">
        <v>1334</v>
      </c>
      <c r="T17" s="24" t="s">
        <v>1334</v>
      </c>
      <c r="U17" s="3"/>
      <c r="V17" s="25" t="s">
        <v>8006</v>
      </c>
      <c r="W17" s="25"/>
      <c r="X17" s="25" t="str">
        <f>IFERROR(VLOOKUP(C_Ope_003[[#This Row],[nota_2]],Clientes_Proveedores[[Ruc / Dni]:[Razon Social]],2,0),"")</f>
        <v/>
      </c>
      <c r="Y17" s="25"/>
      <c r="Z17" s="103"/>
      <c r="AA17" s="3" t="str">
        <f>IF(C_Ope_003[[#This Row],[fecha]]&gt;0,TEXT(C_Ope_003[[#This Row],[fecha]],"mmmm"),0)</f>
        <v>Febrero</v>
      </c>
      <c r="AB17" s="49"/>
    </row>
    <row r="18" spans="1:28" ht="24" x14ac:dyDescent="0.3">
      <c r="A18" s="2">
        <f>IF(C_Ope_003[[#This Row],[tipo_r]]="R",COUNTIFS($C$1:$C17,"R")+1,"")</f>
        <v>17</v>
      </c>
      <c r="B18" s="19" t="str">
        <f t="shared" si="4"/>
        <v>C_Ope_003</v>
      </c>
      <c r="C18" s="3" t="s">
        <v>1330</v>
      </c>
      <c r="D18" s="14">
        <v>45694</v>
      </c>
      <c r="E18" s="5" t="s">
        <v>5595</v>
      </c>
      <c r="F18" s="5" t="s">
        <v>1336</v>
      </c>
      <c r="G18" s="6" t="s">
        <v>1156</v>
      </c>
      <c r="H18" s="6" t="s">
        <v>75</v>
      </c>
      <c r="I18" s="6">
        <v>1</v>
      </c>
      <c r="J18" s="6">
        <v>431</v>
      </c>
      <c r="K18" s="7" t="s">
        <v>8223</v>
      </c>
      <c r="L18" s="8">
        <v>22935</v>
      </c>
      <c r="M18" s="8" t="str">
        <f t="shared" si="5"/>
        <v>PEN</v>
      </c>
      <c r="N18" s="13"/>
      <c r="O18" s="13">
        <v>30</v>
      </c>
      <c r="P18" s="3">
        <f t="shared" si="1"/>
        <v>0</v>
      </c>
      <c r="Q18" s="3">
        <f t="shared" si="2"/>
        <v>30</v>
      </c>
      <c r="R18" s="3">
        <f t="shared" si="3"/>
        <v>1189.1500000000001</v>
      </c>
      <c r="S18" s="24" t="s">
        <v>1334</v>
      </c>
      <c r="T18" s="24" t="s">
        <v>1334</v>
      </c>
      <c r="U18" s="3"/>
      <c r="V18" s="25" t="s">
        <v>8006</v>
      </c>
      <c r="W18" s="25">
        <v>10435753120</v>
      </c>
      <c r="X18" s="25" t="str">
        <f>IFERROR(VLOOKUP(C_Ope_003[[#This Row],[nota_2]],Clientes_Proveedores[[Ruc / Dni]:[Razon Social]],2,0),"")</f>
        <v>DELGADO HUANCA NEILA</v>
      </c>
      <c r="Y18" s="25"/>
      <c r="Z18" s="103"/>
      <c r="AA18" s="3" t="str">
        <f>IF(C_Ope_003[[#This Row],[fecha]]&gt;0,TEXT(C_Ope_003[[#This Row],[fecha]],"mmmm"),0)</f>
        <v>Febrero</v>
      </c>
      <c r="AB18" s="49"/>
    </row>
    <row r="19" spans="1:28" x14ac:dyDescent="0.3">
      <c r="A19" s="2">
        <f>IF(C_Ope_003[[#This Row],[tipo_r]]="R",COUNTIFS($C$1:$C18,"R")+1,"")</f>
        <v>18</v>
      </c>
      <c r="B19" s="19" t="str">
        <f t="shared" si="4"/>
        <v>C_Ope_003</v>
      </c>
      <c r="C19" s="3" t="s">
        <v>1330</v>
      </c>
      <c r="D19" s="14">
        <v>45694</v>
      </c>
      <c r="E19" s="5" t="s">
        <v>5595</v>
      </c>
      <c r="F19" s="5" t="s">
        <v>1336</v>
      </c>
      <c r="G19" s="6"/>
      <c r="H19" s="6" t="s">
        <v>126</v>
      </c>
      <c r="I19" s="6"/>
      <c r="J19" s="6"/>
      <c r="K19" s="7" t="s">
        <v>8224</v>
      </c>
      <c r="L19" s="8">
        <v>22936</v>
      </c>
      <c r="M19" s="8" t="str">
        <f t="shared" si="5"/>
        <v>PEN</v>
      </c>
      <c r="N19" s="13"/>
      <c r="O19" s="13">
        <v>24</v>
      </c>
      <c r="P19" s="3">
        <f t="shared" si="1"/>
        <v>0</v>
      </c>
      <c r="Q19" s="3">
        <f t="shared" si="2"/>
        <v>24</v>
      </c>
      <c r="R19" s="3">
        <f t="shared" si="3"/>
        <v>1165.1500000000001</v>
      </c>
      <c r="S19" s="24" t="s">
        <v>1334</v>
      </c>
      <c r="T19" s="24" t="s">
        <v>1334</v>
      </c>
      <c r="U19" s="3"/>
      <c r="V19" s="25" t="s">
        <v>8006</v>
      </c>
      <c r="W19" s="25"/>
      <c r="X19" s="25" t="str">
        <f>IFERROR(VLOOKUP(C_Ope_003[[#This Row],[nota_2]],Clientes_Proveedores[[Ruc / Dni]:[Razon Social]],2,0),"")</f>
        <v/>
      </c>
      <c r="Y19" s="25"/>
      <c r="Z19" s="103"/>
      <c r="AA19" s="3" t="str">
        <f>IF(C_Ope_003[[#This Row],[fecha]]&gt;0,TEXT(C_Ope_003[[#This Row],[fecha]],"mmmm"),0)</f>
        <v>Febrero</v>
      </c>
      <c r="AB19" s="49"/>
    </row>
    <row r="20" spans="1:28" x14ac:dyDescent="0.3">
      <c r="A20" s="2">
        <f>IF(C_Ope_003[[#This Row],[tipo_r]]="R",COUNTIFS($C$1:$C19,"R")+1,"")</f>
        <v>19</v>
      </c>
      <c r="B20" s="19" t="str">
        <f t="shared" si="4"/>
        <v>C_Ope_003</v>
      </c>
      <c r="C20" s="3" t="s">
        <v>1330</v>
      </c>
      <c r="D20" s="14">
        <v>45695</v>
      </c>
      <c r="E20" s="5" t="s">
        <v>5595</v>
      </c>
      <c r="F20" s="5" t="s">
        <v>1336</v>
      </c>
      <c r="G20" s="6"/>
      <c r="H20" s="6" t="s">
        <v>126</v>
      </c>
      <c r="I20" s="6"/>
      <c r="J20" s="6"/>
      <c r="K20" s="7" t="s">
        <v>8225</v>
      </c>
      <c r="L20" s="8">
        <v>22959</v>
      </c>
      <c r="M20" s="8" t="str">
        <f t="shared" si="5"/>
        <v>PEN</v>
      </c>
      <c r="N20" s="13"/>
      <c r="O20" s="13">
        <v>16</v>
      </c>
      <c r="P20" s="3">
        <f t="shared" si="1"/>
        <v>0</v>
      </c>
      <c r="Q20" s="3">
        <f t="shared" si="2"/>
        <v>16</v>
      </c>
      <c r="R20" s="3">
        <f t="shared" si="3"/>
        <v>1149.1500000000001</v>
      </c>
      <c r="S20" s="24" t="s">
        <v>1334</v>
      </c>
      <c r="T20" s="24" t="s">
        <v>1334</v>
      </c>
      <c r="U20" s="3"/>
      <c r="V20" s="25" t="s">
        <v>8006</v>
      </c>
      <c r="W20" s="25"/>
      <c r="X20" s="25" t="str">
        <f>IFERROR(VLOOKUP(C_Ope_003[[#This Row],[nota_2]],Clientes_Proveedores[[Ruc / Dni]:[Razon Social]],2,0),"")</f>
        <v/>
      </c>
      <c r="Y20" s="25"/>
      <c r="Z20" s="103"/>
      <c r="AA20" s="3" t="str">
        <f>IF(C_Ope_003[[#This Row],[fecha]]&gt;0,TEXT(C_Ope_003[[#This Row],[fecha]],"mmmm"),0)</f>
        <v>Febrero</v>
      </c>
      <c r="AB20" s="49"/>
    </row>
    <row r="21" spans="1:28" ht="24" x14ac:dyDescent="0.3">
      <c r="A21" s="2">
        <f>IF(C_Ope_003[[#This Row],[tipo_r]]="R",COUNTIFS($C$1:$C20,"R")+1,"")</f>
        <v>20</v>
      </c>
      <c r="B21" s="19" t="str">
        <f t="shared" si="4"/>
        <v>C_Ope_003</v>
      </c>
      <c r="C21" s="3" t="s">
        <v>1330</v>
      </c>
      <c r="D21" s="14">
        <v>45695</v>
      </c>
      <c r="E21" s="5" t="s">
        <v>5595</v>
      </c>
      <c r="F21" s="5" t="s">
        <v>1336</v>
      </c>
      <c r="G21" s="6" t="s">
        <v>1131</v>
      </c>
      <c r="H21" s="6" t="s">
        <v>75</v>
      </c>
      <c r="I21" s="6">
        <v>1</v>
      </c>
      <c r="J21" s="6">
        <v>686</v>
      </c>
      <c r="K21" s="7" t="s">
        <v>8226</v>
      </c>
      <c r="L21" s="8">
        <v>22960</v>
      </c>
      <c r="M21" s="8" t="str">
        <f t="shared" si="5"/>
        <v>PEN</v>
      </c>
      <c r="N21" s="13"/>
      <c r="O21" s="13">
        <v>24</v>
      </c>
      <c r="P21" s="3">
        <f t="shared" si="1"/>
        <v>0</v>
      </c>
      <c r="Q21" s="3">
        <f t="shared" si="2"/>
        <v>24</v>
      </c>
      <c r="R21" s="3">
        <f t="shared" si="3"/>
        <v>1125.1500000000001</v>
      </c>
      <c r="S21" s="24" t="s">
        <v>1334</v>
      </c>
      <c r="T21" s="24" t="s">
        <v>1334</v>
      </c>
      <c r="U21" s="3"/>
      <c r="V21" s="25" t="s">
        <v>8006</v>
      </c>
      <c r="W21" s="25">
        <v>10440693577</v>
      </c>
      <c r="X21" s="25" t="str">
        <f>IFERROR(VLOOKUP(C_Ope_003[[#This Row],[nota_2]],Clientes_Proveedores[[Ruc / Dni]:[Razon Social]],2,0),"")</f>
        <v>GUADALUPE VEGA ROSA ALVINA</v>
      </c>
      <c r="Y21" s="25"/>
      <c r="Z21" s="103"/>
      <c r="AA21" s="3" t="str">
        <f>IF(C_Ope_003[[#This Row],[fecha]]&gt;0,TEXT(C_Ope_003[[#This Row],[fecha]],"mmmm"),0)</f>
        <v>Febrero</v>
      </c>
      <c r="AB21" s="49"/>
    </row>
    <row r="22" spans="1:28" x14ac:dyDescent="0.3">
      <c r="A22" s="2">
        <f>IF(C_Ope_003[[#This Row],[tipo_r]]="R",COUNTIFS($C$1:$C21,"R")+1,"")</f>
        <v>21</v>
      </c>
      <c r="B22" s="19" t="str">
        <f t="shared" si="4"/>
        <v>C_Ope_003</v>
      </c>
      <c r="C22" s="3" t="s">
        <v>1330</v>
      </c>
      <c r="D22" s="14">
        <v>45695</v>
      </c>
      <c r="E22" s="5" t="s">
        <v>5595</v>
      </c>
      <c r="F22" s="5" t="s">
        <v>1336</v>
      </c>
      <c r="G22" s="6"/>
      <c r="H22" s="6" t="s">
        <v>126</v>
      </c>
      <c r="I22" s="6"/>
      <c r="J22" s="6"/>
      <c r="K22" s="7" t="s">
        <v>8227</v>
      </c>
      <c r="L22" s="8">
        <v>22961</v>
      </c>
      <c r="M22" s="8" t="str">
        <f t="shared" si="5"/>
        <v>PEN</v>
      </c>
      <c r="N22" s="13"/>
      <c r="O22" s="13">
        <v>20</v>
      </c>
      <c r="P22" s="3">
        <f t="shared" si="1"/>
        <v>0</v>
      </c>
      <c r="Q22" s="3">
        <f t="shared" si="2"/>
        <v>20</v>
      </c>
      <c r="R22" s="3">
        <f t="shared" si="3"/>
        <v>1105.1500000000001</v>
      </c>
      <c r="S22" s="24" t="s">
        <v>1334</v>
      </c>
      <c r="T22" s="24" t="s">
        <v>1334</v>
      </c>
      <c r="U22" s="3"/>
      <c r="V22" s="25" t="s">
        <v>8006</v>
      </c>
      <c r="W22" s="25"/>
      <c r="X22" s="25" t="str">
        <f>IFERROR(VLOOKUP(C_Ope_003[[#This Row],[nota_2]],Clientes_Proveedores[[Ruc / Dni]:[Razon Social]],2,0),"")</f>
        <v/>
      </c>
      <c r="Y22" s="25"/>
      <c r="Z22" s="103"/>
      <c r="AA22" s="3" t="str">
        <f>IF(C_Ope_003[[#This Row],[fecha]]&gt;0,TEXT(C_Ope_003[[#This Row],[fecha]],"mmmm"),0)</f>
        <v>Febrero</v>
      </c>
      <c r="AB22" s="49"/>
    </row>
    <row r="23" spans="1:28" ht="24" x14ac:dyDescent="0.3">
      <c r="A23" s="2">
        <f>IF(C_Ope_003[[#This Row],[tipo_r]]="R",COUNTIFS($C$1:$C22,"R")+1,"")</f>
        <v>22</v>
      </c>
      <c r="B23" s="19" t="str">
        <f t="shared" si="4"/>
        <v>C_Ope_003</v>
      </c>
      <c r="C23" s="3" t="s">
        <v>1330</v>
      </c>
      <c r="D23" s="14">
        <v>45695</v>
      </c>
      <c r="E23" s="5" t="s">
        <v>5595</v>
      </c>
      <c r="F23" s="5" t="s">
        <v>1336</v>
      </c>
      <c r="G23" s="6" t="s">
        <v>735</v>
      </c>
      <c r="H23" s="6" t="s">
        <v>68</v>
      </c>
      <c r="I23" s="6" t="s">
        <v>3078</v>
      </c>
      <c r="J23" s="6">
        <v>39280</v>
      </c>
      <c r="K23" s="7" t="s">
        <v>7777</v>
      </c>
      <c r="L23" s="8">
        <v>22962</v>
      </c>
      <c r="M23" s="8" t="str">
        <f t="shared" si="5"/>
        <v>PEN</v>
      </c>
      <c r="N23" s="13"/>
      <c r="O23" s="13">
        <v>65</v>
      </c>
      <c r="P23" s="3">
        <f t="shared" si="1"/>
        <v>0</v>
      </c>
      <c r="Q23" s="3">
        <f t="shared" si="2"/>
        <v>65</v>
      </c>
      <c r="R23" s="3">
        <f t="shared" si="3"/>
        <v>1040.1500000000001</v>
      </c>
      <c r="S23" s="24" t="s">
        <v>1334</v>
      </c>
      <c r="T23" s="24" t="s">
        <v>1334</v>
      </c>
      <c r="U23" s="3"/>
      <c r="V23" s="25" t="s">
        <v>8006</v>
      </c>
      <c r="W23" s="25">
        <v>20514148539</v>
      </c>
      <c r="X23" s="25" t="str">
        <f>IFERROR(VLOOKUP(C_Ope_003[[#This Row],[nota_2]],Clientes_Proveedores[[Ruc / Dni]:[Razon Social]],2,0),"")</f>
        <v>NEGOCIACIONES ABBYCORP E.I.R.L.</v>
      </c>
      <c r="Y23" s="25"/>
      <c r="Z23" s="103"/>
      <c r="AA23" s="3" t="str">
        <f>IF(C_Ope_003[[#This Row],[fecha]]&gt;0,TEXT(C_Ope_003[[#This Row],[fecha]],"mmmm"),0)</f>
        <v>Febrero</v>
      </c>
      <c r="AB23" s="49"/>
    </row>
    <row r="24" spans="1:28" x14ac:dyDescent="0.3">
      <c r="A24" s="2">
        <f>IF(C_Ope_003[[#This Row],[tipo_r]]="R",COUNTIFS($C$1:$C23,"R")+1,"")</f>
        <v>23</v>
      </c>
      <c r="B24" s="19" t="str">
        <f t="shared" si="4"/>
        <v>C_Ope_003</v>
      </c>
      <c r="C24" s="3" t="s">
        <v>1330</v>
      </c>
      <c r="D24" s="14">
        <v>45696</v>
      </c>
      <c r="E24" s="5" t="s">
        <v>5595</v>
      </c>
      <c r="F24" s="5" t="s">
        <v>1336</v>
      </c>
      <c r="G24" s="6"/>
      <c r="H24" s="6" t="s">
        <v>126</v>
      </c>
      <c r="I24" s="6"/>
      <c r="J24" s="6"/>
      <c r="K24" s="7" t="s">
        <v>8228</v>
      </c>
      <c r="L24" s="8">
        <v>22963</v>
      </c>
      <c r="M24" s="8" t="str">
        <f t="shared" si="5"/>
        <v>PEN</v>
      </c>
      <c r="N24" s="13"/>
      <c r="O24" s="13">
        <v>16</v>
      </c>
      <c r="P24" s="3">
        <f t="shared" si="1"/>
        <v>0</v>
      </c>
      <c r="Q24" s="3">
        <f t="shared" si="2"/>
        <v>16</v>
      </c>
      <c r="R24" s="3">
        <f t="shared" si="3"/>
        <v>1024.1500000000001</v>
      </c>
      <c r="S24" s="24" t="s">
        <v>1334</v>
      </c>
      <c r="T24" s="24" t="s">
        <v>1334</v>
      </c>
      <c r="U24" s="3"/>
      <c r="V24" s="25" t="s">
        <v>8006</v>
      </c>
      <c r="W24" s="25"/>
      <c r="X24" s="25" t="str">
        <f>IFERROR(VLOOKUP(C_Ope_003[[#This Row],[nota_2]],Clientes_Proveedores[[Ruc / Dni]:[Razon Social]],2,0),"")</f>
        <v/>
      </c>
      <c r="Y24" s="25"/>
      <c r="Z24" s="103"/>
      <c r="AA24" s="3" t="str">
        <f>IF(C_Ope_003[[#This Row],[fecha]]&gt;0,TEXT(C_Ope_003[[#This Row],[fecha]],"mmmm"),0)</f>
        <v>Febrero</v>
      </c>
      <c r="AB24" s="49"/>
    </row>
    <row r="25" spans="1:28" x14ac:dyDescent="0.3">
      <c r="A25" s="2">
        <f>IF(C_Ope_003[[#This Row],[tipo_r]]="R",COUNTIFS($C$1:$C24,"R")+1,"")</f>
        <v>24</v>
      </c>
      <c r="B25" s="19" t="str">
        <f t="shared" si="4"/>
        <v>C_Ope_003</v>
      </c>
      <c r="C25" s="3" t="s">
        <v>1330</v>
      </c>
      <c r="D25" s="14">
        <v>45696</v>
      </c>
      <c r="E25" s="5" t="s">
        <v>5595</v>
      </c>
      <c r="F25" s="5" t="s">
        <v>1336</v>
      </c>
      <c r="G25" s="6"/>
      <c r="H25" s="6" t="s">
        <v>126</v>
      </c>
      <c r="I25" s="6"/>
      <c r="J25" s="6"/>
      <c r="K25" s="7" t="s">
        <v>8229</v>
      </c>
      <c r="L25" s="8">
        <v>22964</v>
      </c>
      <c r="M25" s="8" t="str">
        <f t="shared" si="5"/>
        <v>PEN</v>
      </c>
      <c r="N25" s="13"/>
      <c r="O25" s="13">
        <v>24</v>
      </c>
      <c r="P25" s="3">
        <f t="shared" si="1"/>
        <v>0</v>
      </c>
      <c r="Q25" s="3">
        <f t="shared" si="2"/>
        <v>24</v>
      </c>
      <c r="R25" s="3">
        <f t="shared" si="3"/>
        <v>1000.1500000000001</v>
      </c>
      <c r="S25" s="24" t="s">
        <v>1334</v>
      </c>
      <c r="T25" s="24" t="s">
        <v>1334</v>
      </c>
      <c r="U25" s="3"/>
      <c r="V25" s="25" t="s">
        <v>8006</v>
      </c>
      <c r="W25" s="25"/>
      <c r="X25" s="25" t="str">
        <f>IFERROR(VLOOKUP(C_Ope_003[[#This Row],[nota_2]],Clientes_Proveedores[[Ruc / Dni]:[Razon Social]],2,0),"")</f>
        <v/>
      </c>
      <c r="Y25" s="25"/>
      <c r="Z25" s="103"/>
      <c r="AA25" s="3" t="str">
        <f>IF(C_Ope_003[[#This Row],[fecha]]&gt;0,TEXT(C_Ope_003[[#This Row],[fecha]],"mmmm"),0)</f>
        <v>Febrero</v>
      </c>
      <c r="AB25" s="49"/>
    </row>
    <row r="26" spans="1:28" x14ac:dyDescent="0.3">
      <c r="A26" s="2">
        <f>IF(C_Ope_003[[#This Row],[tipo_r]]="R",COUNTIFS($C$1:$C25,"R")+1,"")</f>
        <v>25</v>
      </c>
      <c r="B26" s="19" t="str">
        <f t="shared" si="4"/>
        <v>C_Ope_003</v>
      </c>
      <c r="C26" s="3" t="s">
        <v>1330</v>
      </c>
      <c r="D26" s="14">
        <v>45696</v>
      </c>
      <c r="E26" s="5" t="s">
        <v>5595</v>
      </c>
      <c r="F26" s="5" t="s">
        <v>1336</v>
      </c>
      <c r="G26" s="6"/>
      <c r="H26" s="6" t="s">
        <v>126</v>
      </c>
      <c r="I26" s="6"/>
      <c r="J26" s="6"/>
      <c r="K26" s="7" t="s">
        <v>8230</v>
      </c>
      <c r="L26" s="8">
        <v>22965</v>
      </c>
      <c r="M26" s="8" t="str">
        <f t="shared" si="5"/>
        <v>PEN</v>
      </c>
      <c r="N26" s="13"/>
      <c r="O26" s="13">
        <v>20</v>
      </c>
      <c r="P26" s="3">
        <f t="shared" si="1"/>
        <v>0</v>
      </c>
      <c r="Q26" s="3">
        <f t="shared" si="2"/>
        <v>20</v>
      </c>
      <c r="R26" s="3">
        <f t="shared" si="3"/>
        <v>980.15000000000009</v>
      </c>
      <c r="S26" s="24" t="s">
        <v>1334</v>
      </c>
      <c r="T26" s="24" t="s">
        <v>1334</v>
      </c>
      <c r="U26" s="3"/>
      <c r="V26" s="25" t="s">
        <v>8006</v>
      </c>
      <c r="W26" s="25"/>
      <c r="X26" s="25" t="str">
        <f>IFERROR(VLOOKUP(C_Ope_003[[#This Row],[nota_2]],Clientes_Proveedores[[Ruc / Dni]:[Razon Social]],2,0),"")</f>
        <v/>
      </c>
      <c r="Y26" s="25"/>
      <c r="Z26" s="103"/>
      <c r="AA26" s="3" t="str">
        <f>IF(C_Ope_003[[#This Row],[fecha]]&gt;0,TEXT(C_Ope_003[[#This Row],[fecha]],"mmmm"),0)</f>
        <v>Febrero</v>
      </c>
      <c r="AB26" s="49"/>
    </row>
    <row r="27" spans="1:28" x14ac:dyDescent="0.3">
      <c r="A27" s="2">
        <f>IF(C_Ope_003[[#This Row],[tipo_r]]="R",COUNTIFS($C$1:$C26,"R")+1,"")</f>
        <v>26</v>
      </c>
      <c r="B27" s="19" t="str">
        <f t="shared" si="4"/>
        <v>C_Ope_003</v>
      </c>
      <c r="C27" s="3" t="s">
        <v>1330</v>
      </c>
      <c r="D27" s="14">
        <v>45697</v>
      </c>
      <c r="E27" s="5" t="s">
        <v>5595</v>
      </c>
      <c r="F27" s="5" t="s">
        <v>1336</v>
      </c>
      <c r="G27" s="6"/>
      <c r="H27" s="6" t="s">
        <v>126</v>
      </c>
      <c r="I27" s="6"/>
      <c r="J27" s="6"/>
      <c r="K27" s="7" t="s">
        <v>8225</v>
      </c>
      <c r="L27" s="8">
        <v>22966</v>
      </c>
      <c r="M27" s="8" t="str">
        <f t="shared" si="5"/>
        <v>PEN</v>
      </c>
      <c r="N27" s="13"/>
      <c r="O27" s="13">
        <v>16</v>
      </c>
      <c r="P27" s="3">
        <f t="shared" si="1"/>
        <v>0</v>
      </c>
      <c r="Q27" s="3">
        <f t="shared" si="2"/>
        <v>16</v>
      </c>
      <c r="R27" s="3">
        <f t="shared" si="3"/>
        <v>964.15000000000009</v>
      </c>
      <c r="S27" s="24" t="s">
        <v>1334</v>
      </c>
      <c r="T27" s="24" t="s">
        <v>1334</v>
      </c>
      <c r="U27" s="3"/>
      <c r="V27" s="25" t="s">
        <v>8006</v>
      </c>
      <c r="W27" s="25"/>
      <c r="X27" s="25" t="str">
        <f>IFERROR(VLOOKUP(C_Ope_003[[#This Row],[nota_2]],Clientes_Proveedores[[Ruc / Dni]:[Razon Social]],2,0),"")</f>
        <v/>
      </c>
      <c r="Y27" s="25"/>
      <c r="Z27" s="103"/>
      <c r="AA27" s="3" t="str">
        <f>IF(C_Ope_003[[#This Row],[fecha]]&gt;0,TEXT(C_Ope_003[[#This Row],[fecha]],"mmmm"),0)</f>
        <v>Febrero</v>
      </c>
      <c r="AB27" s="49"/>
    </row>
    <row r="28" spans="1:28" x14ac:dyDescent="0.3">
      <c r="A28" s="2">
        <f>IF(C_Ope_003[[#This Row],[tipo_r]]="R",COUNTIFS($C$1:$C27,"R")+1,"")</f>
        <v>27</v>
      </c>
      <c r="B28" s="19" t="str">
        <f t="shared" si="4"/>
        <v>C_Ope_003</v>
      </c>
      <c r="C28" s="3" t="s">
        <v>1330</v>
      </c>
      <c r="D28" s="14">
        <v>45697</v>
      </c>
      <c r="E28" s="5" t="s">
        <v>5595</v>
      </c>
      <c r="F28" s="5" t="s">
        <v>1336</v>
      </c>
      <c r="G28" s="6"/>
      <c r="H28" s="6" t="s">
        <v>126</v>
      </c>
      <c r="I28" s="6"/>
      <c r="J28" s="6"/>
      <c r="K28" s="7" t="s">
        <v>8218</v>
      </c>
      <c r="L28" s="8">
        <v>22967</v>
      </c>
      <c r="M28" s="8" t="str">
        <f t="shared" si="5"/>
        <v>PEN</v>
      </c>
      <c r="N28" s="13"/>
      <c r="O28" s="13">
        <v>24</v>
      </c>
      <c r="P28" s="3">
        <f t="shared" si="1"/>
        <v>0</v>
      </c>
      <c r="Q28" s="3">
        <f t="shared" si="2"/>
        <v>24</v>
      </c>
      <c r="R28" s="3">
        <f t="shared" si="3"/>
        <v>940.15000000000009</v>
      </c>
      <c r="S28" s="24" t="s">
        <v>1334</v>
      </c>
      <c r="T28" s="24" t="s">
        <v>1334</v>
      </c>
      <c r="U28" s="3"/>
      <c r="V28" s="25" t="s">
        <v>8006</v>
      </c>
      <c r="W28" s="25"/>
      <c r="X28" s="25" t="str">
        <f>IFERROR(VLOOKUP(C_Ope_003[[#This Row],[nota_2]],Clientes_Proveedores[[Ruc / Dni]:[Razon Social]],2,0),"")</f>
        <v/>
      </c>
      <c r="Y28" s="25"/>
      <c r="Z28" s="103"/>
      <c r="AA28" s="3" t="str">
        <f>IF(C_Ope_003[[#This Row],[fecha]]&gt;0,TEXT(C_Ope_003[[#This Row],[fecha]],"mmmm"),0)</f>
        <v>Febrero</v>
      </c>
      <c r="AB28" s="49"/>
    </row>
    <row r="29" spans="1:28" x14ac:dyDescent="0.3">
      <c r="A29" s="2">
        <f>IF(C_Ope_003[[#This Row],[tipo_r]]="R",COUNTIFS($C$1:$C28,"R")+1,"")</f>
        <v>28</v>
      </c>
      <c r="B29" s="19" t="str">
        <f t="shared" si="4"/>
        <v>C_Ope_003</v>
      </c>
      <c r="C29" s="3" t="s">
        <v>1330</v>
      </c>
      <c r="D29" s="14">
        <v>45697</v>
      </c>
      <c r="E29" s="5" t="s">
        <v>5595</v>
      </c>
      <c r="F29" s="5" t="s">
        <v>1336</v>
      </c>
      <c r="G29" s="6"/>
      <c r="H29" s="6" t="s">
        <v>126</v>
      </c>
      <c r="I29" s="6"/>
      <c r="J29" s="6"/>
      <c r="K29" s="7" t="s">
        <v>8231</v>
      </c>
      <c r="L29" s="8">
        <v>22968</v>
      </c>
      <c r="M29" s="8" t="str">
        <f t="shared" si="5"/>
        <v>PEN</v>
      </c>
      <c r="N29" s="13"/>
      <c r="O29" s="13">
        <v>20</v>
      </c>
      <c r="P29" s="3">
        <f t="shared" si="1"/>
        <v>0</v>
      </c>
      <c r="Q29" s="3">
        <f t="shared" si="2"/>
        <v>20</v>
      </c>
      <c r="R29" s="3">
        <f t="shared" si="3"/>
        <v>920.15000000000009</v>
      </c>
      <c r="S29" s="24" t="s">
        <v>1334</v>
      </c>
      <c r="T29" s="24" t="s">
        <v>1334</v>
      </c>
      <c r="U29" s="3"/>
      <c r="V29" s="25" t="s">
        <v>8006</v>
      </c>
      <c r="W29" s="25"/>
      <c r="X29" s="25" t="str">
        <f>IFERROR(VLOOKUP(C_Ope_003[[#This Row],[nota_2]],Clientes_Proveedores[[Ruc / Dni]:[Razon Social]],2,0),"")</f>
        <v/>
      </c>
      <c r="Y29" s="25"/>
      <c r="Z29" s="103"/>
      <c r="AA29" s="3" t="str">
        <f>IF(C_Ope_003[[#This Row],[fecha]]&gt;0,TEXT(C_Ope_003[[#This Row],[fecha]],"mmmm"),0)</f>
        <v>Febrero</v>
      </c>
      <c r="AB29" s="49"/>
    </row>
    <row r="30" spans="1:28" x14ac:dyDescent="0.3">
      <c r="A30" s="2">
        <f>IF(C_Ope_003[[#This Row],[tipo_r]]="R",COUNTIFS($C$1:$C29,"R")+1,"")</f>
        <v>29</v>
      </c>
      <c r="B30" s="19" t="str">
        <f t="shared" si="4"/>
        <v>C_Ope_003</v>
      </c>
      <c r="C30" s="3" t="s">
        <v>1330</v>
      </c>
      <c r="D30" s="14">
        <v>45698</v>
      </c>
      <c r="E30" s="5" t="s">
        <v>5595</v>
      </c>
      <c r="F30" s="5" t="s">
        <v>1336</v>
      </c>
      <c r="G30" s="6" t="s">
        <v>1128</v>
      </c>
      <c r="H30" s="6" t="s">
        <v>68</v>
      </c>
      <c r="I30" s="6" t="s">
        <v>8232</v>
      </c>
      <c r="J30" s="6">
        <v>4364957</v>
      </c>
      <c r="K30" s="7" t="s">
        <v>8233</v>
      </c>
      <c r="L30" s="8">
        <v>22977</v>
      </c>
      <c r="M30" s="8" t="str">
        <f t="shared" si="5"/>
        <v>PEN</v>
      </c>
      <c r="N30" s="13"/>
      <c r="O30" s="13">
        <v>19.8</v>
      </c>
      <c r="P30" s="3">
        <f t="shared" si="1"/>
        <v>0</v>
      </c>
      <c r="Q30" s="3">
        <f t="shared" si="2"/>
        <v>19.8</v>
      </c>
      <c r="R30" s="3">
        <f t="shared" si="3"/>
        <v>900.35000000000014</v>
      </c>
      <c r="S30" s="24" t="s">
        <v>1334</v>
      </c>
      <c r="T30" s="24" t="s">
        <v>1334</v>
      </c>
      <c r="U30" s="3"/>
      <c r="V30" s="25" t="s">
        <v>8006</v>
      </c>
      <c r="W30" s="25">
        <v>20523621212</v>
      </c>
      <c r="X30" s="25" t="str">
        <f>IFERROR(VLOOKUP(C_Ope_003[[#This Row],[nota_2]],Clientes_Proveedores[[Ruc / Dni]:[Razon Social]],2,0),"")</f>
        <v>LIMA EXPRESA S.A.C.</v>
      </c>
      <c r="Y30" s="25"/>
      <c r="Z30" s="103"/>
      <c r="AA30" s="3" t="str">
        <f>IF(C_Ope_003[[#This Row],[fecha]]&gt;0,TEXT(C_Ope_003[[#This Row],[fecha]],"mmmm"),0)</f>
        <v>Febrero</v>
      </c>
      <c r="AB30" s="49"/>
    </row>
    <row r="31" spans="1:28" ht="24" x14ac:dyDescent="0.3">
      <c r="A31" s="2">
        <f>IF(C_Ope_003[[#This Row],[tipo_r]]="R",COUNTIFS($C$1:$C30,"R")+1,"")</f>
        <v>30</v>
      </c>
      <c r="B31" s="19" t="str">
        <f t="shared" si="4"/>
        <v>C_Ope_003</v>
      </c>
      <c r="C31" s="3" t="s">
        <v>1330</v>
      </c>
      <c r="D31" s="14">
        <v>45698</v>
      </c>
      <c r="E31" s="5" t="s">
        <v>5595</v>
      </c>
      <c r="F31" s="5" t="s">
        <v>1336</v>
      </c>
      <c r="G31" s="6" t="s">
        <v>979</v>
      </c>
      <c r="H31" s="6" t="s">
        <v>68</v>
      </c>
      <c r="I31" s="6" t="s">
        <v>8234</v>
      </c>
      <c r="J31" s="6">
        <v>2569821</v>
      </c>
      <c r="K31" s="7" t="s">
        <v>8235</v>
      </c>
      <c r="L31" s="8">
        <v>22978</v>
      </c>
      <c r="M31" s="8" t="str">
        <f t="shared" si="5"/>
        <v>PEN</v>
      </c>
      <c r="N31" s="13"/>
      <c r="O31" s="13">
        <v>22.5</v>
      </c>
      <c r="P31" s="3">
        <f t="shared" si="1"/>
        <v>0</v>
      </c>
      <c r="Q31" s="3">
        <f t="shared" si="2"/>
        <v>22.5</v>
      </c>
      <c r="R31" s="3">
        <f t="shared" si="3"/>
        <v>877.85000000000014</v>
      </c>
      <c r="S31" s="24" t="s">
        <v>1334</v>
      </c>
      <c r="T31" s="24" t="s">
        <v>1334</v>
      </c>
      <c r="U31" s="3"/>
      <c r="V31" s="25" t="s">
        <v>8006</v>
      </c>
      <c r="W31" s="25">
        <v>20550372640</v>
      </c>
      <c r="X31" s="25" t="str">
        <f>IFERROR(VLOOKUP(C_Ope_003[[#This Row],[nota_2]],Clientes_Proveedores[[Ruc / Dni]:[Razon Social]],2,0),"")</f>
        <v>RUTAS DE LIMA S.A.C.</v>
      </c>
      <c r="Y31" s="25"/>
      <c r="Z31" s="103"/>
      <c r="AA31" s="3" t="str">
        <f>IF(C_Ope_003[[#This Row],[fecha]]&gt;0,TEXT(C_Ope_003[[#This Row],[fecha]],"mmmm"),0)</f>
        <v>Febrero</v>
      </c>
      <c r="AB31" s="49"/>
    </row>
    <row r="32" spans="1:28" ht="24" x14ac:dyDescent="0.3">
      <c r="A32" s="2">
        <f>IF(C_Ope_003[[#This Row],[tipo_r]]="R",COUNTIFS($C$1:$C31,"R")+1,"")</f>
        <v>31</v>
      </c>
      <c r="B32" s="19" t="str">
        <f t="shared" si="4"/>
        <v>C_Ope_003</v>
      </c>
      <c r="C32" s="3" t="s">
        <v>1330</v>
      </c>
      <c r="D32" s="14">
        <v>45698</v>
      </c>
      <c r="E32" s="5" t="s">
        <v>5595</v>
      </c>
      <c r="F32" s="5" t="s">
        <v>1336</v>
      </c>
      <c r="G32" s="6" t="s">
        <v>1041</v>
      </c>
      <c r="H32" s="6" t="s">
        <v>68</v>
      </c>
      <c r="I32" s="6" t="s">
        <v>8236</v>
      </c>
      <c r="J32" s="6">
        <v>2109628</v>
      </c>
      <c r="K32" s="7" t="s">
        <v>8237</v>
      </c>
      <c r="L32" s="8">
        <v>22979</v>
      </c>
      <c r="M32" s="8" t="str">
        <f t="shared" si="5"/>
        <v>PEN</v>
      </c>
      <c r="N32" s="13"/>
      <c r="O32" s="13">
        <v>56.4</v>
      </c>
      <c r="P32" s="3">
        <f t="shared" si="1"/>
        <v>0</v>
      </c>
      <c r="Q32" s="3">
        <f t="shared" si="2"/>
        <v>56.4</v>
      </c>
      <c r="R32" s="3">
        <f t="shared" si="3"/>
        <v>821.45000000000016</v>
      </c>
      <c r="S32" s="24" t="s">
        <v>1334</v>
      </c>
      <c r="T32" s="24" t="s">
        <v>1334</v>
      </c>
      <c r="U32" s="3"/>
      <c r="V32" s="25" t="s">
        <v>8006</v>
      </c>
      <c r="W32" s="25">
        <v>20511465061</v>
      </c>
      <c r="X32" s="25" t="str">
        <f>IFERROR(VLOOKUP(C_Ope_003[[#This Row],[nota_2]],Clientes_Proveedores[[Ruc / Dni]:[Razon Social]],2,0),"")</f>
        <v>CONCESIONARIA VIAL DEL PERU S.A</v>
      </c>
      <c r="Y32" s="25"/>
      <c r="Z32" s="103"/>
      <c r="AA32" s="3" t="str">
        <f>IF(C_Ope_003[[#This Row],[fecha]]&gt;0,TEXT(C_Ope_003[[#This Row],[fecha]],"mmmm"),0)</f>
        <v>Febrero</v>
      </c>
      <c r="AB32" s="49"/>
    </row>
    <row r="33" spans="1:28" ht="24" x14ac:dyDescent="0.3">
      <c r="A33" s="2">
        <f>IF(C_Ope_003[[#This Row],[tipo_r]]="R",COUNTIFS($C$1:$C32,"R")+1,"")</f>
        <v>32</v>
      </c>
      <c r="B33" s="19" t="str">
        <f t="shared" si="4"/>
        <v>C_Ope_003</v>
      </c>
      <c r="C33" s="3" t="s">
        <v>1330</v>
      </c>
      <c r="D33" s="14">
        <v>45698</v>
      </c>
      <c r="E33" s="5" t="s">
        <v>5595</v>
      </c>
      <c r="F33" s="5" t="s">
        <v>1336</v>
      </c>
      <c r="G33" s="6" t="s">
        <v>1041</v>
      </c>
      <c r="H33" s="6" t="s">
        <v>68</v>
      </c>
      <c r="I33" s="6" t="s">
        <v>8238</v>
      </c>
      <c r="J33" s="6">
        <v>2397559</v>
      </c>
      <c r="K33" s="7" t="s">
        <v>8239</v>
      </c>
      <c r="L33" s="8">
        <v>22980</v>
      </c>
      <c r="M33" s="8" t="str">
        <f t="shared" si="5"/>
        <v>PEN</v>
      </c>
      <c r="N33" s="13"/>
      <c r="O33" s="13">
        <v>56.4</v>
      </c>
      <c r="P33" s="3">
        <f t="shared" si="1"/>
        <v>0</v>
      </c>
      <c r="Q33" s="3">
        <f t="shared" si="2"/>
        <v>56.4</v>
      </c>
      <c r="R33" s="3">
        <f t="shared" si="3"/>
        <v>765.05000000000018</v>
      </c>
      <c r="S33" s="24" t="s">
        <v>1334</v>
      </c>
      <c r="T33" s="24" t="s">
        <v>1334</v>
      </c>
      <c r="U33" s="3"/>
      <c r="V33" s="25" t="s">
        <v>8006</v>
      </c>
      <c r="W33" s="25">
        <v>20511465061</v>
      </c>
      <c r="X33" s="25" t="str">
        <f>IFERROR(VLOOKUP(C_Ope_003[[#This Row],[nota_2]],Clientes_Proveedores[[Ruc / Dni]:[Razon Social]],2,0),"")</f>
        <v>CONCESIONARIA VIAL DEL PERU S.A</v>
      </c>
      <c r="Y33" s="25"/>
      <c r="Z33" s="103"/>
      <c r="AA33" s="3" t="str">
        <f>IF(C_Ope_003[[#This Row],[fecha]]&gt;0,TEXT(C_Ope_003[[#This Row],[fecha]],"mmmm"),0)</f>
        <v>Febrero</v>
      </c>
      <c r="AB33" s="49"/>
    </row>
    <row r="34" spans="1:28" ht="36" x14ac:dyDescent="0.3">
      <c r="A34" s="2">
        <f>IF(C_Ope_003[[#This Row],[tipo_r]]="R",COUNTIFS($C$1:$C33,"R")+1,"")</f>
        <v>33</v>
      </c>
      <c r="B34" s="19" t="str">
        <f t="shared" si="4"/>
        <v>C_Ope_003</v>
      </c>
      <c r="C34" s="3" t="s">
        <v>1330</v>
      </c>
      <c r="D34" s="14">
        <v>45698</v>
      </c>
      <c r="E34" s="5" t="s">
        <v>5595</v>
      </c>
      <c r="F34" s="5" t="s">
        <v>1336</v>
      </c>
      <c r="G34" s="6" t="s">
        <v>1042</v>
      </c>
      <c r="H34" s="6" t="s">
        <v>98</v>
      </c>
      <c r="I34" s="6" t="s">
        <v>8240</v>
      </c>
      <c r="J34" s="6" t="s">
        <v>8241</v>
      </c>
      <c r="K34" s="7" t="s">
        <v>8242</v>
      </c>
      <c r="L34" s="8">
        <v>22981</v>
      </c>
      <c r="M34" s="8" t="str">
        <f t="shared" si="5"/>
        <v>PEN</v>
      </c>
      <c r="N34" s="13"/>
      <c r="O34" s="13">
        <v>19.5</v>
      </c>
      <c r="P34" s="3">
        <f t="shared" si="1"/>
        <v>0</v>
      </c>
      <c r="Q34" s="3">
        <f t="shared" si="2"/>
        <v>19.5</v>
      </c>
      <c r="R34" s="3">
        <f t="shared" si="3"/>
        <v>745.55000000000018</v>
      </c>
      <c r="S34" s="24" t="s">
        <v>1334</v>
      </c>
      <c r="T34" s="24" t="s">
        <v>1334</v>
      </c>
      <c r="U34" s="3"/>
      <c r="V34" s="25" t="s">
        <v>8006</v>
      </c>
      <c r="W34" s="25">
        <v>20503503639</v>
      </c>
      <c r="X34" s="25" t="str">
        <f>IFERROR(VLOOKUP(C_Ope_003[[#This Row],[nota_2]],Clientes_Proveedores[[Ruc / Dni]:[Razon Social]],2,0),"")</f>
        <v>PROVIAS NACIONAL</v>
      </c>
      <c r="Y34" s="25"/>
      <c r="Z34" s="103"/>
      <c r="AA34" s="3" t="str">
        <f>IF(C_Ope_003[[#This Row],[fecha]]&gt;0,TEXT(C_Ope_003[[#This Row],[fecha]],"mmmm"),0)</f>
        <v>Febrero</v>
      </c>
      <c r="AB34" s="49"/>
    </row>
    <row r="35" spans="1:28" ht="36" x14ac:dyDescent="0.3">
      <c r="A35" s="2">
        <f>IF(C_Ope_003[[#This Row],[tipo_r]]="R",COUNTIFS($C$1:$C34,"R")+1,"")</f>
        <v>34</v>
      </c>
      <c r="B35" s="19" t="str">
        <f t="shared" si="4"/>
        <v>C_Ope_003</v>
      </c>
      <c r="C35" s="3" t="s">
        <v>1330</v>
      </c>
      <c r="D35" s="14">
        <v>45698</v>
      </c>
      <c r="E35" s="5" t="s">
        <v>5595</v>
      </c>
      <c r="F35" s="5" t="s">
        <v>1336</v>
      </c>
      <c r="G35" s="6" t="s">
        <v>1042</v>
      </c>
      <c r="H35" s="6" t="s">
        <v>98</v>
      </c>
      <c r="I35" s="6" t="s">
        <v>8243</v>
      </c>
      <c r="J35" s="6" t="s">
        <v>8244</v>
      </c>
      <c r="K35" s="7" t="s">
        <v>8245</v>
      </c>
      <c r="L35" s="8">
        <v>22986</v>
      </c>
      <c r="M35" s="8" t="str">
        <f t="shared" si="5"/>
        <v>PEN</v>
      </c>
      <c r="N35" s="13"/>
      <c r="O35" s="13">
        <v>19.5</v>
      </c>
      <c r="P35" s="3">
        <f t="shared" si="1"/>
        <v>0</v>
      </c>
      <c r="Q35" s="3">
        <f t="shared" si="2"/>
        <v>19.5</v>
      </c>
      <c r="R35" s="3">
        <f t="shared" si="3"/>
        <v>726.05000000000018</v>
      </c>
      <c r="S35" s="24" t="s">
        <v>1334</v>
      </c>
      <c r="T35" s="24" t="s">
        <v>1334</v>
      </c>
      <c r="U35" s="3"/>
      <c r="V35" s="25" t="s">
        <v>8006</v>
      </c>
      <c r="W35" s="25">
        <v>20503503639</v>
      </c>
      <c r="X35" s="25" t="str">
        <f>IFERROR(VLOOKUP(C_Ope_003[[#This Row],[nota_2]],Clientes_Proveedores[[Ruc / Dni]:[Razon Social]],2,0),"")</f>
        <v>PROVIAS NACIONAL</v>
      </c>
      <c r="Y35" s="25"/>
      <c r="Z35" s="103"/>
      <c r="AA35" s="3" t="str">
        <f>IF(C_Ope_003[[#This Row],[fecha]]&gt;0,TEXT(C_Ope_003[[#This Row],[fecha]],"mmmm"),0)</f>
        <v>Febrero</v>
      </c>
      <c r="AB35" s="49"/>
    </row>
    <row r="36" spans="1:28" ht="36" x14ac:dyDescent="0.3">
      <c r="A36" s="2">
        <f>IF(C_Ope_003[[#This Row],[tipo_r]]="R",COUNTIFS($C$1:$C35,"R")+1,"")</f>
        <v>35</v>
      </c>
      <c r="B36" s="19" t="str">
        <f t="shared" si="4"/>
        <v>C_Ope_003</v>
      </c>
      <c r="C36" s="3" t="s">
        <v>1330</v>
      </c>
      <c r="D36" s="14">
        <v>45699</v>
      </c>
      <c r="E36" s="5" t="s">
        <v>5595</v>
      </c>
      <c r="F36" s="5" t="s">
        <v>1336</v>
      </c>
      <c r="G36" s="6" t="s">
        <v>1042</v>
      </c>
      <c r="H36" s="6" t="s">
        <v>98</v>
      </c>
      <c r="I36" s="20">
        <v>351</v>
      </c>
      <c r="J36" s="6">
        <v>97333</v>
      </c>
      <c r="K36" s="7" t="s">
        <v>8246</v>
      </c>
      <c r="L36" s="8">
        <v>23000</v>
      </c>
      <c r="M36" s="8" t="str">
        <f t="shared" si="5"/>
        <v>PEN</v>
      </c>
      <c r="N36" s="13"/>
      <c r="O36" s="13">
        <v>19.5</v>
      </c>
      <c r="P36" s="3">
        <f t="shared" si="1"/>
        <v>0</v>
      </c>
      <c r="Q36" s="3">
        <f t="shared" si="2"/>
        <v>19.5</v>
      </c>
      <c r="R36" s="3">
        <f t="shared" si="3"/>
        <v>706.55000000000018</v>
      </c>
      <c r="S36" s="24" t="s">
        <v>1334</v>
      </c>
      <c r="T36" s="24" t="s">
        <v>1334</v>
      </c>
      <c r="U36" s="3"/>
      <c r="V36" s="25" t="s">
        <v>8006</v>
      </c>
      <c r="W36" s="25">
        <v>20503503639</v>
      </c>
      <c r="X36" s="25" t="str">
        <f>IFERROR(VLOOKUP(C_Ope_003[[#This Row],[nota_2]],Clientes_Proveedores[[Ruc / Dni]:[Razon Social]],2,0),"")</f>
        <v>PROVIAS NACIONAL</v>
      </c>
      <c r="Y36" s="25"/>
      <c r="Z36" s="103"/>
      <c r="AA36" s="3" t="str">
        <f>IF(C_Ope_003[[#This Row],[fecha]]&gt;0,TEXT(C_Ope_003[[#This Row],[fecha]],"mmmm"),0)</f>
        <v>Febrero</v>
      </c>
      <c r="AB36" s="49"/>
    </row>
    <row r="37" spans="1:28" ht="36" x14ac:dyDescent="0.3">
      <c r="A37" s="2">
        <f>IF(C_Ope_003[[#This Row],[tipo_r]]="R",COUNTIFS($C$1:$C36,"R")+1,"")</f>
        <v>36</v>
      </c>
      <c r="B37" s="19" t="str">
        <f t="shared" si="4"/>
        <v>C_Ope_003</v>
      </c>
      <c r="C37" s="3" t="s">
        <v>1330</v>
      </c>
      <c r="D37" s="14">
        <v>45699</v>
      </c>
      <c r="E37" s="5" t="s">
        <v>5595</v>
      </c>
      <c r="F37" s="5" t="s">
        <v>1336</v>
      </c>
      <c r="G37" s="6" t="s">
        <v>1006</v>
      </c>
      <c r="H37" s="6" t="s">
        <v>68</v>
      </c>
      <c r="I37" s="6" t="s">
        <v>2912</v>
      </c>
      <c r="J37" s="6">
        <v>679344</v>
      </c>
      <c r="K37" s="7" t="s">
        <v>8247</v>
      </c>
      <c r="L37" s="8">
        <v>23082</v>
      </c>
      <c r="M37" s="8" t="str">
        <f t="shared" si="5"/>
        <v>PEN</v>
      </c>
      <c r="N37" s="13"/>
      <c r="O37" s="13">
        <v>23.6</v>
      </c>
      <c r="P37" s="3">
        <f t="shared" si="1"/>
        <v>0</v>
      </c>
      <c r="Q37" s="3">
        <f t="shared" si="2"/>
        <v>23.6</v>
      </c>
      <c r="R37" s="3">
        <f t="shared" si="3"/>
        <v>682.95000000000016</v>
      </c>
      <c r="S37" s="24" t="s">
        <v>1334</v>
      </c>
      <c r="T37" s="24" t="s">
        <v>1334</v>
      </c>
      <c r="U37" s="3"/>
      <c r="V37" s="25" t="s">
        <v>8006</v>
      </c>
      <c r="W37" s="25">
        <v>20550033519</v>
      </c>
      <c r="X37" s="25" t="str">
        <f>IFERROR(VLOOKUP(C_Ope_003[[#This Row],[nota_2]],Clientes_Proveedores[[Ruc / Dni]:[Razon Social]],2,0),"")</f>
        <v>CONCESIONARIA PERUANA DE VIAS-COVINCA S.A.</v>
      </c>
      <c r="Y37" s="25"/>
      <c r="Z37" s="103"/>
      <c r="AA37" s="3" t="str">
        <f>IF(C_Ope_003[[#This Row],[fecha]]&gt;0,TEXT(C_Ope_003[[#This Row],[fecha]],"mmmm"),0)</f>
        <v>Febrero</v>
      </c>
      <c r="AB37" s="49"/>
    </row>
    <row r="38" spans="1:28" x14ac:dyDescent="0.3">
      <c r="A38" s="2">
        <f>IF(C_Ope_003[[#This Row],[tipo_r]]="R",COUNTIFS($C$1:$C37,"R")+1,"")</f>
        <v>37</v>
      </c>
      <c r="B38" s="19" t="str">
        <f t="shared" si="4"/>
        <v>C_Ope_003</v>
      </c>
      <c r="C38" s="3" t="s">
        <v>1330</v>
      </c>
      <c r="D38" s="14">
        <v>45698</v>
      </c>
      <c r="E38" s="5" t="s">
        <v>5595</v>
      </c>
      <c r="F38" s="5" t="s">
        <v>1336</v>
      </c>
      <c r="G38" s="6"/>
      <c r="H38" s="6" t="s">
        <v>126</v>
      </c>
      <c r="I38" s="6"/>
      <c r="J38" s="6"/>
      <c r="K38" s="7" t="s">
        <v>8228</v>
      </c>
      <c r="L38" s="8">
        <v>22972</v>
      </c>
      <c r="M38" s="8" t="str">
        <f t="shared" si="5"/>
        <v>PEN</v>
      </c>
      <c r="N38" s="13"/>
      <c r="O38" s="13">
        <v>16</v>
      </c>
      <c r="P38" s="3">
        <f t="shared" si="1"/>
        <v>0</v>
      </c>
      <c r="Q38" s="3">
        <f t="shared" si="2"/>
        <v>16</v>
      </c>
      <c r="R38" s="3">
        <f t="shared" si="3"/>
        <v>666.95000000000016</v>
      </c>
      <c r="S38" s="24" t="s">
        <v>1334</v>
      </c>
      <c r="T38" s="24" t="s">
        <v>1334</v>
      </c>
      <c r="U38" s="3"/>
      <c r="V38" s="25" t="s">
        <v>8006</v>
      </c>
      <c r="W38" s="25"/>
      <c r="X38" s="25" t="str">
        <f>IFERROR(VLOOKUP(C_Ope_003[[#This Row],[nota_2]],Clientes_Proveedores[[Ruc / Dni]:[Razon Social]],2,0),"")</f>
        <v/>
      </c>
      <c r="Y38" s="25"/>
      <c r="Z38" s="103"/>
      <c r="AA38" s="3" t="str">
        <f>IF(C_Ope_003[[#This Row],[fecha]]&gt;0,TEXT(C_Ope_003[[#This Row],[fecha]],"mmmm"),0)</f>
        <v>Febrero</v>
      </c>
      <c r="AB38" s="49"/>
    </row>
    <row r="39" spans="1:28" x14ac:dyDescent="0.3">
      <c r="A39" s="2">
        <f>IF(C_Ope_003[[#This Row],[tipo_r]]="R",COUNTIFS($C$1:$C38,"R")+1,"")</f>
        <v>38</v>
      </c>
      <c r="B39" s="19" t="str">
        <f t="shared" si="4"/>
        <v>C_Ope_003</v>
      </c>
      <c r="C39" s="3" t="s">
        <v>1330</v>
      </c>
      <c r="D39" s="14">
        <v>45698</v>
      </c>
      <c r="E39" s="5" t="s">
        <v>5595</v>
      </c>
      <c r="F39" s="5" t="s">
        <v>1336</v>
      </c>
      <c r="G39" s="6"/>
      <c r="H39" s="6" t="s">
        <v>126</v>
      </c>
      <c r="I39" s="6"/>
      <c r="J39" s="6"/>
      <c r="K39" s="7" t="s">
        <v>8248</v>
      </c>
      <c r="L39" s="8">
        <v>22973</v>
      </c>
      <c r="M39" s="8" t="str">
        <f t="shared" si="5"/>
        <v>PEN</v>
      </c>
      <c r="N39" s="13"/>
      <c r="O39" s="13">
        <v>30</v>
      </c>
      <c r="P39" s="3">
        <f t="shared" si="1"/>
        <v>0</v>
      </c>
      <c r="Q39" s="3">
        <f t="shared" si="2"/>
        <v>30</v>
      </c>
      <c r="R39" s="3">
        <f t="shared" si="3"/>
        <v>636.95000000000016</v>
      </c>
      <c r="S39" s="24" t="s">
        <v>1334</v>
      </c>
      <c r="T39" s="24" t="s">
        <v>1334</v>
      </c>
      <c r="U39" s="3"/>
      <c r="V39" s="25" t="s">
        <v>8006</v>
      </c>
      <c r="W39" s="25"/>
      <c r="X39" s="25" t="str">
        <f>IFERROR(VLOOKUP(C_Ope_003[[#This Row],[nota_2]],Clientes_Proveedores[[Ruc / Dni]:[Razon Social]],2,0),"")</f>
        <v/>
      </c>
      <c r="Y39" s="25"/>
      <c r="Z39" s="103"/>
      <c r="AA39" s="3" t="str">
        <f>IF(C_Ope_003[[#This Row],[fecha]]&gt;0,TEXT(C_Ope_003[[#This Row],[fecha]],"mmmm"),0)</f>
        <v>Febrero</v>
      </c>
      <c r="AB39" s="49"/>
    </row>
    <row r="40" spans="1:28" ht="24" x14ac:dyDescent="0.3">
      <c r="A40" s="2">
        <f>IF(C_Ope_003[[#This Row],[tipo_r]]="R",COUNTIFS($C$1:$C39,"R")+1,"")</f>
        <v>39</v>
      </c>
      <c r="B40" s="19" t="str">
        <f t="shared" si="4"/>
        <v>C_Ope_003</v>
      </c>
      <c r="C40" s="3" t="s">
        <v>1330</v>
      </c>
      <c r="D40" s="14">
        <v>45698</v>
      </c>
      <c r="E40" s="5" t="s">
        <v>5595</v>
      </c>
      <c r="F40" s="5" t="s">
        <v>1336</v>
      </c>
      <c r="G40" s="6" t="s">
        <v>1047</v>
      </c>
      <c r="H40" s="6" t="s">
        <v>68</v>
      </c>
      <c r="I40" s="6" t="s">
        <v>1374</v>
      </c>
      <c r="J40" s="6">
        <v>58694</v>
      </c>
      <c r="K40" s="7" t="s">
        <v>8249</v>
      </c>
      <c r="L40" s="8">
        <v>22976</v>
      </c>
      <c r="M40" s="8" t="str">
        <f t="shared" si="5"/>
        <v>PEN</v>
      </c>
      <c r="N40" s="13"/>
      <c r="O40" s="13">
        <v>66</v>
      </c>
      <c r="P40" s="3">
        <f t="shared" si="1"/>
        <v>0</v>
      </c>
      <c r="Q40" s="3">
        <f t="shared" si="2"/>
        <v>66</v>
      </c>
      <c r="R40" s="3">
        <f t="shared" si="3"/>
        <v>570.95000000000016</v>
      </c>
      <c r="S40" s="24" t="s">
        <v>1334</v>
      </c>
      <c r="T40" s="24" t="s">
        <v>1334</v>
      </c>
      <c r="U40" s="3"/>
      <c r="V40" s="25" t="s">
        <v>8006</v>
      </c>
      <c r="W40" s="25">
        <v>20552302932</v>
      </c>
      <c r="X40" s="25" t="str">
        <f>IFERROR(VLOOKUP(C_Ope_003[[#This Row],[nota_2]],Clientes_Proveedores[[Ruc / Dni]:[Razon Social]],2,0),"")</f>
        <v>PERUVIAN GROUP FREDAL S.A.C</v>
      </c>
      <c r="Y40" s="25"/>
      <c r="Z40" s="103"/>
      <c r="AA40" s="3" t="str">
        <f>IF(C_Ope_003[[#This Row],[fecha]]&gt;0,TEXT(C_Ope_003[[#This Row],[fecha]],"mmmm"),0)</f>
        <v>Febrero</v>
      </c>
      <c r="AB40" s="49"/>
    </row>
    <row r="41" spans="1:28" ht="48" x14ac:dyDescent="0.3">
      <c r="A41" s="2">
        <f>IF(C_Ope_003[[#This Row],[tipo_r]]="R",COUNTIFS($C$1:$C40,"R")+1,"")</f>
        <v>40</v>
      </c>
      <c r="B41" s="19" t="str">
        <f t="shared" si="4"/>
        <v>C_Ope_003</v>
      </c>
      <c r="C41" s="3" t="s">
        <v>1330</v>
      </c>
      <c r="D41" s="14">
        <v>45698</v>
      </c>
      <c r="E41" s="5" t="s">
        <v>5595</v>
      </c>
      <c r="F41" s="5" t="s">
        <v>1336</v>
      </c>
      <c r="G41" s="6" t="s">
        <v>1157</v>
      </c>
      <c r="H41" s="6" t="s">
        <v>75</v>
      </c>
      <c r="I41" s="6">
        <v>1</v>
      </c>
      <c r="J41" s="6">
        <v>664</v>
      </c>
      <c r="K41" s="7" t="s">
        <v>8250</v>
      </c>
      <c r="L41" s="8">
        <v>22987</v>
      </c>
      <c r="M41" s="8" t="str">
        <f t="shared" si="5"/>
        <v>PEN</v>
      </c>
      <c r="N41" s="13">
        <v>25</v>
      </c>
      <c r="O41" s="13">
        <v>24</v>
      </c>
      <c r="P41" s="3">
        <f t="shared" si="1"/>
        <v>0</v>
      </c>
      <c r="Q41" s="3">
        <f t="shared" si="2"/>
        <v>24</v>
      </c>
      <c r="R41" s="3">
        <f t="shared" si="3"/>
        <v>546.95000000000016</v>
      </c>
      <c r="S41" s="24" t="s">
        <v>1334</v>
      </c>
      <c r="T41" s="24" t="s">
        <v>1334</v>
      </c>
      <c r="U41" s="156" t="s">
        <v>8216</v>
      </c>
      <c r="V41" s="25" t="s">
        <v>8006</v>
      </c>
      <c r="W41" s="25">
        <v>10478638740</v>
      </c>
      <c r="X41" s="25" t="str">
        <f>IFERROR(VLOOKUP(C_Ope_003[[#This Row],[nota_2]],Clientes_Proveedores[[Ruc / Dni]:[Razon Social]],2,0),"")</f>
        <v>SULLCA CURI JENNY MARGOT</v>
      </c>
      <c r="Y41" s="25"/>
      <c r="Z41" s="103"/>
      <c r="AA41" s="3" t="str">
        <f>IF(C_Ope_003[[#This Row],[fecha]]&gt;0,TEXT(C_Ope_003[[#This Row],[fecha]],"mmmm"),0)</f>
        <v>Febrero</v>
      </c>
      <c r="AB41" s="49"/>
    </row>
    <row r="42" spans="1:28" ht="24" x14ac:dyDescent="0.3">
      <c r="A42" s="2">
        <f>IF(C_Ope_003[[#This Row],[tipo_r]]="R",COUNTIFS($C$1:$C41,"R")+1,"")</f>
        <v>41</v>
      </c>
      <c r="B42" s="19" t="str">
        <f t="shared" si="4"/>
        <v>C_Ope_003</v>
      </c>
      <c r="C42" s="3" t="s">
        <v>1330</v>
      </c>
      <c r="D42" s="14">
        <v>45698</v>
      </c>
      <c r="E42" s="5" t="s">
        <v>5595</v>
      </c>
      <c r="F42" s="5" t="s">
        <v>1336</v>
      </c>
      <c r="G42" s="6" t="s">
        <v>1158</v>
      </c>
      <c r="H42" s="6"/>
      <c r="I42" s="6" t="s">
        <v>1376</v>
      </c>
      <c r="J42" s="6">
        <v>3091</v>
      </c>
      <c r="K42" s="7" t="s">
        <v>8251</v>
      </c>
      <c r="L42" s="8">
        <v>22988</v>
      </c>
      <c r="M42" s="8" t="str">
        <f t="shared" si="5"/>
        <v>PEN</v>
      </c>
      <c r="N42" s="13"/>
      <c r="O42" s="13">
        <v>110</v>
      </c>
      <c r="P42" s="3">
        <f t="shared" si="1"/>
        <v>0</v>
      </c>
      <c r="Q42" s="3">
        <f t="shared" si="2"/>
        <v>110</v>
      </c>
      <c r="R42" s="3">
        <f t="shared" si="3"/>
        <v>436.95000000000016</v>
      </c>
      <c r="S42" s="24" t="s">
        <v>1334</v>
      </c>
      <c r="T42" s="24" t="s">
        <v>1334</v>
      </c>
      <c r="U42" s="3"/>
      <c r="V42" s="25" t="s">
        <v>8006</v>
      </c>
      <c r="W42" s="25">
        <v>10304926061</v>
      </c>
      <c r="X42" s="25" t="str">
        <f>IFERROR(VLOOKUP(C_Ope_003[[#This Row],[nota_2]],Clientes_Proveedores[[Ruc / Dni]:[Razon Social]],2,0),"")</f>
        <v>VINA MELGAREJO CONSORCIO LAZARO</v>
      </c>
      <c r="Y42" s="25"/>
      <c r="Z42" s="103"/>
      <c r="AA42" s="3" t="str">
        <f>IF(C_Ope_003[[#This Row],[fecha]]&gt;0,TEXT(C_Ope_003[[#This Row],[fecha]],"mmmm"),0)</f>
        <v>Febrero</v>
      </c>
      <c r="AB42" s="49"/>
    </row>
    <row r="43" spans="1:28" x14ac:dyDescent="0.3">
      <c r="A43" s="2">
        <f>IF(C_Ope_003[[#This Row],[tipo_r]]="R",COUNTIFS($C$1:$C42,"R")+1,"")</f>
        <v>42</v>
      </c>
      <c r="B43" s="19" t="str">
        <f t="shared" si="4"/>
        <v>C_Ope_003</v>
      </c>
      <c r="C43" s="3" t="s">
        <v>1330</v>
      </c>
      <c r="D43" s="14">
        <v>45698</v>
      </c>
      <c r="E43" s="5" t="s">
        <v>5595</v>
      </c>
      <c r="F43" s="5" t="s">
        <v>1336</v>
      </c>
      <c r="G43" s="6"/>
      <c r="H43" s="6" t="s">
        <v>126</v>
      </c>
      <c r="I43" s="6"/>
      <c r="J43" s="6"/>
      <c r="K43" s="7" t="s">
        <v>8252</v>
      </c>
      <c r="L43" s="8">
        <v>22989</v>
      </c>
      <c r="M43" s="8" t="str">
        <f t="shared" si="5"/>
        <v>PEN</v>
      </c>
      <c r="N43" s="13"/>
      <c r="O43" s="13">
        <v>10</v>
      </c>
      <c r="P43" s="3">
        <f t="shared" si="1"/>
        <v>0</v>
      </c>
      <c r="Q43" s="3">
        <f t="shared" si="2"/>
        <v>10</v>
      </c>
      <c r="R43" s="3">
        <f t="shared" si="3"/>
        <v>426.95000000000016</v>
      </c>
      <c r="S43" s="24" t="s">
        <v>1334</v>
      </c>
      <c r="T43" s="24" t="s">
        <v>1334</v>
      </c>
      <c r="U43" s="3"/>
      <c r="V43" s="25" t="s">
        <v>8006</v>
      </c>
      <c r="W43" s="25"/>
      <c r="X43" s="25" t="str">
        <f>IFERROR(VLOOKUP(C_Ope_003[[#This Row],[nota_2]],Clientes_Proveedores[[Ruc / Dni]:[Razon Social]],2,0),"")</f>
        <v/>
      </c>
      <c r="Y43" s="25"/>
      <c r="Z43" s="103"/>
      <c r="AA43" s="3" t="str">
        <f>IF(C_Ope_003[[#This Row],[fecha]]&gt;0,TEXT(C_Ope_003[[#This Row],[fecha]],"mmmm"),0)</f>
        <v>Febrero</v>
      </c>
      <c r="AB43" s="49"/>
    </row>
    <row r="44" spans="1:28" ht="48" x14ac:dyDescent="0.3">
      <c r="A44" s="2">
        <f>IF(C_Ope_003[[#This Row],[tipo_r]]="R",COUNTIFS($C$1:$C43,"R")+1,"")</f>
        <v>43</v>
      </c>
      <c r="B44" s="19" t="str">
        <f t="shared" si="4"/>
        <v>C_Ope_003</v>
      </c>
      <c r="C44" s="3" t="s">
        <v>1330</v>
      </c>
      <c r="D44" s="14">
        <v>45699</v>
      </c>
      <c r="E44" s="5" t="s">
        <v>5595</v>
      </c>
      <c r="F44" s="5" t="s">
        <v>1336</v>
      </c>
      <c r="G44" s="6" t="s">
        <v>1159</v>
      </c>
      <c r="H44" s="6" t="s">
        <v>68</v>
      </c>
      <c r="I44" s="6" t="s">
        <v>1374</v>
      </c>
      <c r="J44" s="6">
        <v>3914</v>
      </c>
      <c r="K44" s="7" t="s">
        <v>8217</v>
      </c>
      <c r="L44" s="8">
        <v>22998</v>
      </c>
      <c r="M44" s="8" t="str">
        <f t="shared" si="5"/>
        <v>PEN</v>
      </c>
      <c r="N44" s="13">
        <v>24</v>
      </c>
      <c r="O44" s="13">
        <v>24</v>
      </c>
      <c r="P44" s="3">
        <f t="shared" si="1"/>
        <v>0</v>
      </c>
      <c r="Q44" s="3">
        <f t="shared" si="2"/>
        <v>24</v>
      </c>
      <c r="R44" s="3">
        <f t="shared" si="3"/>
        <v>402.95000000000016</v>
      </c>
      <c r="S44" s="24" t="s">
        <v>1334</v>
      </c>
      <c r="T44" s="24" t="s">
        <v>1334</v>
      </c>
      <c r="U44" s="156" t="s">
        <v>8216</v>
      </c>
      <c r="V44" s="25" t="s">
        <v>8006</v>
      </c>
      <c r="W44" s="25">
        <v>10485464021</v>
      </c>
      <c r="X44" s="25" t="str">
        <f>IFERROR(VLOOKUP(C_Ope_003[[#This Row],[nota_2]],Clientes_Proveedores[[Ruc / Dni]:[Razon Social]],2,0),"")</f>
        <v>ARROYO MELCHOR JANY DEYSI</v>
      </c>
      <c r="Y44" s="25"/>
      <c r="Z44" s="103"/>
      <c r="AA44" s="3" t="str">
        <f>IF(C_Ope_003[[#This Row],[fecha]]&gt;0,TEXT(C_Ope_003[[#This Row],[fecha]],"mmmm"),0)</f>
        <v>Febrero</v>
      </c>
      <c r="AB44" s="49"/>
    </row>
    <row r="45" spans="1:28" x14ac:dyDescent="0.3">
      <c r="A45" s="2">
        <f>IF(C_Ope_003[[#This Row],[tipo_r]]="R",COUNTIFS($C$1:$C44,"R")+1,"")</f>
        <v>44</v>
      </c>
      <c r="B45" s="19" t="str">
        <f t="shared" si="4"/>
        <v>C_Ope_003</v>
      </c>
      <c r="C45" s="3" t="s">
        <v>1330</v>
      </c>
      <c r="D45" s="14">
        <v>45699</v>
      </c>
      <c r="E45" s="5" t="s">
        <v>5595</v>
      </c>
      <c r="F45" s="5" t="s">
        <v>1336</v>
      </c>
      <c r="G45" s="6"/>
      <c r="H45" s="6" t="s">
        <v>126</v>
      </c>
      <c r="I45" s="6"/>
      <c r="J45" s="6"/>
      <c r="K45" s="7" t="s">
        <v>8253</v>
      </c>
      <c r="L45" s="8">
        <v>22999</v>
      </c>
      <c r="M45" s="8" t="str">
        <f t="shared" si="5"/>
        <v>PEN</v>
      </c>
      <c r="N45" s="13"/>
      <c r="O45" s="13">
        <v>30</v>
      </c>
      <c r="P45" s="3">
        <f t="shared" si="1"/>
        <v>0</v>
      </c>
      <c r="Q45" s="3">
        <f t="shared" si="2"/>
        <v>30</v>
      </c>
      <c r="R45" s="3">
        <f t="shared" si="3"/>
        <v>372.95000000000016</v>
      </c>
      <c r="S45" s="24" t="s">
        <v>1334</v>
      </c>
      <c r="T45" s="24" t="s">
        <v>1334</v>
      </c>
      <c r="U45" s="3"/>
      <c r="V45" s="25" t="s">
        <v>8006</v>
      </c>
      <c r="W45" s="25"/>
      <c r="X45" s="25" t="str">
        <f>IFERROR(VLOOKUP(C_Ope_003[[#This Row],[nota_2]],Clientes_Proveedores[[Ruc / Dni]:[Razon Social]],2,0),"")</f>
        <v/>
      </c>
      <c r="Y45" s="25"/>
      <c r="Z45" s="103"/>
      <c r="AA45" s="3" t="str">
        <f>IF(C_Ope_003[[#This Row],[fecha]]&gt;0,TEXT(C_Ope_003[[#This Row],[fecha]],"mmmm"),0)</f>
        <v>Febrero</v>
      </c>
      <c r="AB45" s="49"/>
    </row>
    <row r="46" spans="1:28" x14ac:dyDescent="0.3">
      <c r="A46" s="2">
        <f>IF(C_Ope_003[[#This Row],[tipo_r]]="R",COUNTIFS($C$1:$C45,"R")+1,"")</f>
        <v>45</v>
      </c>
      <c r="B46" s="19" t="str">
        <f t="shared" si="4"/>
        <v>C_Ope_003</v>
      </c>
      <c r="C46" s="3" t="s">
        <v>1330</v>
      </c>
      <c r="D46" s="14">
        <v>45707</v>
      </c>
      <c r="E46" s="5" t="s">
        <v>7514</v>
      </c>
      <c r="F46" s="5" t="s">
        <v>1303</v>
      </c>
      <c r="G46" s="6"/>
      <c r="H46" s="6"/>
      <c r="I46" s="6"/>
      <c r="J46" s="6"/>
      <c r="K46" s="7" t="s">
        <v>7516</v>
      </c>
      <c r="L46" s="8">
        <v>23107</v>
      </c>
      <c r="M46" s="8" t="str">
        <f t="shared" si="5"/>
        <v>PEN</v>
      </c>
      <c r="N46" s="13"/>
      <c r="O46" s="13">
        <v>1000</v>
      </c>
      <c r="P46" s="3">
        <f t="shared" si="1"/>
        <v>1000</v>
      </c>
      <c r="Q46" s="3">
        <f t="shared" si="2"/>
        <v>0</v>
      </c>
      <c r="R46" s="3">
        <f t="shared" si="3"/>
        <v>1372.9500000000003</v>
      </c>
      <c r="S46" s="24" t="s">
        <v>1334</v>
      </c>
      <c r="T46" s="24" t="s">
        <v>1334</v>
      </c>
      <c r="U46" s="3"/>
      <c r="V46" s="25"/>
      <c r="W46" s="25"/>
      <c r="X46" s="25" t="str">
        <f>IFERROR(VLOOKUP(C_Ope_003[[#This Row],[nota_2]],Clientes_Proveedores[[Ruc / Dni]:[Razon Social]],2,0),"")</f>
        <v/>
      </c>
      <c r="Y46" s="25"/>
      <c r="Z46" s="103"/>
      <c r="AA46" s="3" t="str">
        <f>IF(C_Ope_003[[#This Row],[fecha]]&gt;0,TEXT(C_Ope_003[[#This Row],[fecha]],"mmmm"),0)</f>
        <v>Febrero</v>
      </c>
      <c r="AB46" s="49"/>
    </row>
    <row r="47" spans="1:28" ht="24" x14ac:dyDescent="0.3">
      <c r="A47" s="2">
        <f>IF(C_Ope_003[[#This Row],[tipo_r]]="R",COUNTIFS($C$1:$C46,"R")+1,"")</f>
        <v>46</v>
      </c>
      <c r="B47" s="19" t="str">
        <f t="shared" si="4"/>
        <v>C_Ope_003</v>
      </c>
      <c r="C47" s="3" t="s">
        <v>1330</v>
      </c>
      <c r="D47" s="14">
        <v>45708</v>
      </c>
      <c r="E47" s="5" t="s">
        <v>5595</v>
      </c>
      <c r="F47" s="5" t="s">
        <v>1336</v>
      </c>
      <c r="G47" s="6" t="s">
        <v>978</v>
      </c>
      <c r="H47" s="6" t="s">
        <v>68</v>
      </c>
      <c r="I47" s="6" t="s">
        <v>5688</v>
      </c>
      <c r="J47" s="6">
        <v>2238985</v>
      </c>
      <c r="K47" s="7" t="s">
        <v>8254</v>
      </c>
      <c r="L47" s="8">
        <v>23111</v>
      </c>
      <c r="M47" s="8" t="str">
        <f t="shared" si="5"/>
        <v>PEN</v>
      </c>
      <c r="N47" s="13"/>
      <c r="O47" s="13">
        <v>12</v>
      </c>
      <c r="P47" s="3">
        <f t="shared" si="1"/>
        <v>0</v>
      </c>
      <c r="Q47" s="3">
        <f t="shared" si="2"/>
        <v>12</v>
      </c>
      <c r="R47" s="3">
        <f t="shared" si="3"/>
        <v>1360.9500000000003</v>
      </c>
      <c r="S47" s="24" t="s">
        <v>1334</v>
      </c>
      <c r="T47" s="24" t="s">
        <v>1334</v>
      </c>
      <c r="U47" s="3"/>
      <c r="V47" s="25" t="s">
        <v>8006</v>
      </c>
      <c r="W47" s="25">
        <v>20517252558</v>
      </c>
      <c r="X47" s="25" t="str">
        <f>IFERROR(VLOOKUP(C_Ope_003[[#This Row],[nota_2]],Clientes_Proveedores[[Ruc / Dni]:[Razon Social]],2,0),"")</f>
        <v>COVISUR S.A.</v>
      </c>
      <c r="Y47" s="25"/>
      <c r="Z47" s="103"/>
      <c r="AA47" s="3" t="str">
        <f>IF(C_Ope_003[[#This Row],[fecha]]&gt;0,TEXT(C_Ope_003[[#This Row],[fecha]],"mmmm"),0)</f>
        <v>Febrero</v>
      </c>
      <c r="AB47" s="49"/>
    </row>
    <row r="48" spans="1:28" ht="36" x14ac:dyDescent="0.3">
      <c r="A48" s="2">
        <f>IF(C_Ope_003[[#This Row],[tipo_r]]="R",COUNTIFS($C$1:$C47,"R")+1,"")</f>
        <v>47</v>
      </c>
      <c r="B48" s="19" t="str">
        <f t="shared" si="4"/>
        <v>C_Ope_003</v>
      </c>
      <c r="C48" s="3" t="s">
        <v>1330</v>
      </c>
      <c r="D48" s="14">
        <v>45708</v>
      </c>
      <c r="E48" s="5" t="s">
        <v>5595</v>
      </c>
      <c r="F48" s="5" t="s">
        <v>1336</v>
      </c>
      <c r="G48" s="6" t="s">
        <v>1006</v>
      </c>
      <c r="H48" s="6" t="s">
        <v>68</v>
      </c>
      <c r="I48" s="6" t="s">
        <v>8207</v>
      </c>
      <c r="J48" s="6">
        <v>523939</v>
      </c>
      <c r="K48" s="7" t="s">
        <v>8208</v>
      </c>
      <c r="L48" s="8">
        <v>23114</v>
      </c>
      <c r="M48" s="8" t="str">
        <f t="shared" si="5"/>
        <v>PEN</v>
      </c>
      <c r="N48" s="13"/>
      <c r="O48" s="13">
        <v>23.6</v>
      </c>
      <c r="P48" s="3">
        <f t="shared" si="1"/>
        <v>0</v>
      </c>
      <c r="Q48" s="3">
        <f t="shared" si="2"/>
        <v>23.6</v>
      </c>
      <c r="R48" s="3">
        <f t="shared" si="3"/>
        <v>1337.3500000000004</v>
      </c>
      <c r="S48" s="24" t="s">
        <v>1334</v>
      </c>
      <c r="T48" s="24" t="s">
        <v>1334</v>
      </c>
      <c r="U48" s="3"/>
      <c r="V48" s="25" t="s">
        <v>8006</v>
      </c>
      <c r="W48" s="25">
        <v>20550033519</v>
      </c>
      <c r="X48" s="25" t="str">
        <f>IFERROR(VLOOKUP(C_Ope_003[[#This Row],[nota_2]],Clientes_Proveedores[[Ruc / Dni]:[Razon Social]],2,0),"")</f>
        <v>CONCESIONARIA PERUANA DE VIAS-COVINCA S.A.</v>
      </c>
      <c r="Y48" s="25"/>
      <c r="Z48" s="103"/>
      <c r="AA48" s="3" t="str">
        <f>IF(C_Ope_003[[#This Row],[fecha]]&gt;0,TEXT(C_Ope_003[[#This Row],[fecha]],"mmmm"),0)</f>
        <v>Febrero</v>
      </c>
      <c r="AB48" s="49"/>
    </row>
    <row r="49" spans="1:28" ht="24" x14ac:dyDescent="0.3">
      <c r="A49" s="2">
        <f>IF(C_Ope_003[[#This Row],[tipo_r]]="R",COUNTIFS($C$1:$C48,"R")+1,"")</f>
        <v>48</v>
      </c>
      <c r="B49" s="19" t="str">
        <f t="shared" si="4"/>
        <v>C_Ope_003</v>
      </c>
      <c r="C49" s="3" t="s">
        <v>1330</v>
      </c>
      <c r="D49" s="14">
        <v>45709</v>
      </c>
      <c r="E49" s="5" t="s">
        <v>5595</v>
      </c>
      <c r="F49" s="5" t="s">
        <v>1336</v>
      </c>
      <c r="G49" s="6" t="s">
        <v>1041</v>
      </c>
      <c r="H49" s="6" t="s">
        <v>68</v>
      </c>
      <c r="I49" s="6" t="s">
        <v>8255</v>
      </c>
      <c r="J49" s="6">
        <v>2771743</v>
      </c>
      <c r="K49" s="7" t="s">
        <v>8210</v>
      </c>
      <c r="L49" s="8">
        <v>23115</v>
      </c>
      <c r="M49" s="8" t="str">
        <f t="shared" si="5"/>
        <v>PEN</v>
      </c>
      <c r="N49" s="13"/>
      <c r="O49" s="13">
        <v>58.2</v>
      </c>
      <c r="P49" s="3">
        <f t="shared" si="1"/>
        <v>0</v>
      </c>
      <c r="Q49" s="3">
        <f t="shared" si="2"/>
        <v>58.2</v>
      </c>
      <c r="R49" s="3">
        <f t="shared" si="3"/>
        <v>1279.1500000000003</v>
      </c>
      <c r="S49" s="24" t="s">
        <v>1334</v>
      </c>
      <c r="T49" s="24" t="s">
        <v>1334</v>
      </c>
      <c r="U49" s="3"/>
      <c r="V49" s="25" t="s">
        <v>8006</v>
      </c>
      <c r="W49" s="25">
        <v>20511465061</v>
      </c>
      <c r="X49" s="25" t="str">
        <f>IFERROR(VLOOKUP(C_Ope_003[[#This Row],[nota_2]],Clientes_Proveedores[[Ruc / Dni]:[Razon Social]],2,0),"")</f>
        <v>CONCESIONARIA VIAL DEL PERU S.A</v>
      </c>
      <c r="Y49" s="25"/>
      <c r="Z49" s="103"/>
      <c r="AA49" s="3" t="str">
        <f>IF(C_Ope_003[[#This Row],[fecha]]&gt;0,TEXT(C_Ope_003[[#This Row],[fecha]],"mmmm"),0)</f>
        <v>Febrero</v>
      </c>
      <c r="AB49" s="49"/>
    </row>
    <row r="50" spans="1:28" x14ac:dyDescent="0.3">
      <c r="A50" s="2">
        <f>IF(C_Ope_003[[#This Row],[tipo_r]]="R",COUNTIFS($C$1:$C49,"R")+1,"")</f>
        <v>49</v>
      </c>
      <c r="B50" s="19" t="str">
        <f t="shared" si="4"/>
        <v>C_Ope_003</v>
      </c>
      <c r="C50" s="3" t="s">
        <v>1330</v>
      </c>
      <c r="D50" s="14">
        <v>45709</v>
      </c>
      <c r="E50" s="5" t="s">
        <v>5595</v>
      </c>
      <c r="F50" s="5" t="s">
        <v>1336</v>
      </c>
      <c r="G50" s="6" t="s">
        <v>979</v>
      </c>
      <c r="H50" s="6" t="s">
        <v>68</v>
      </c>
      <c r="I50" s="6" t="s">
        <v>8256</v>
      </c>
      <c r="J50" s="6">
        <v>565024</v>
      </c>
      <c r="K50" s="7" t="s">
        <v>8257</v>
      </c>
      <c r="L50" s="8">
        <v>23146</v>
      </c>
      <c r="M50" s="8" t="str">
        <f t="shared" si="5"/>
        <v>PEN</v>
      </c>
      <c r="N50" s="13"/>
      <c r="O50" s="13">
        <v>22.5</v>
      </c>
      <c r="P50" s="3">
        <f t="shared" si="1"/>
        <v>0</v>
      </c>
      <c r="Q50" s="3">
        <f t="shared" si="2"/>
        <v>22.5</v>
      </c>
      <c r="R50" s="3">
        <f t="shared" si="3"/>
        <v>1256.6500000000003</v>
      </c>
      <c r="S50" s="24" t="s">
        <v>1334</v>
      </c>
      <c r="T50" s="24" t="s">
        <v>1334</v>
      </c>
      <c r="U50" s="3"/>
      <c r="V50" s="25" t="s">
        <v>8006</v>
      </c>
      <c r="W50" s="25">
        <v>20550372640</v>
      </c>
      <c r="X50" s="25" t="str">
        <f>IFERROR(VLOOKUP(C_Ope_003[[#This Row],[nota_2]],Clientes_Proveedores[[Ruc / Dni]:[Razon Social]],2,0),"")</f>
        <v>RUTAS DE LIMA S.A.C.</v>
      </c>
      <c r="Y50" s="25"/>
      <c r="Z50" s="103"/>
      <c r="AA50" s="3" t="str">
        <f>IF(C_Ope_003[[#This Row],[fecha]]&gt;0,TEXT(C_Ope_003[[#This Row],[fecha]],"mmmm"),0)</f>
        <v>Febrero</v>
      </c>
      <c r="AB50" s="49"/>
    </row>
    <row r="51" spans="1:28" ht="24" x14ac:dyDescent="0.3">
      <c r="A51" s="2">
        <f>IF(C_Ope_003[[#This Row],[tipo_r]]="R",COUNTIFS($C$1:$C50,"R")+1,"")</f>
        <v>50</v>
      </c>
      <c r="B51" s="19" t="str">
        <f t="shared" si="4"/>
        <v>C_Ope_003</v>
      </c>
      <c r="C51" s="3" t="s">
        <v>1330</v>
      </c>
      <c r="D51" s="14">
        <v>45708</v>
      </c>
      <c r="E51" s="5" t="s">
        <v>5595</v>
      </c>
      <c r="F51" s="5" t="s">
        <v>1336</v>
      </c>
      <c r="G51" s="6" t="s">
        <v>1162</v>
      </c>
      <c r="H51" s="6" t="s">
        <v>75</v>
      </c>
      <c r="I51" s="6">
        <v>2</v>
      </c>
      <c r="J51" s="6">
        <v>13670</v>
      </c>
      <c r="K51" s="7" t="s">
        <v>8258</v>
      </c>
      <c r="L51" s="8">
        <v>23108</v>
      </c>
      <c r="M51" s="8" t="str">
        <f t="shared" si="5"/>
        <v>PEN</v>
      </c>
      <c r="N51" s="13"/>
      <c r="O51" s="13">
        <v>24</v>
      </c>
      <c r="P51" s="3">
        <f t="shared" si="1"/>
        <v>0</v>
      </c>
      <c r="Q51" s="3">
        <f t="shared" si="2"/>
        <v>24</v>
      </c>
      <c r="R51" s="3">
        <f t="shared" si="3"/>
        <v>1232.6500000000003</v>
      </c>
      <c r="S51" s="24" t="s">
        <v>1334</v>
      </c>
      <c r="T51" s="24" t="s">
        <v>1334</v>
      </c>
      <c r="U51" s="3"/>
      <c r="V51" s="25" t="s">
        <v>8006</v>
      </c>
      <c r="W51" s="25">
        <v>10296654341</v>
      </c>
      <c r="X51" s="25" t="str">
        <f>IFERROR(VLOOKUP(C_Ope_003[[#This Row],[nota_2]],Clientes_Proveedores[[Ruc / Dni]:[Razon Social]],2,0),"")</f>
        <v>BARZAYA MOLLO TERESA</v>
      </c>
      <c r="Y51" s="25"/>
      <c r="Z51" s="103"/>
      <c r="AA51" s="3" t="str">
        <f>IF(C_Ope_003[[#This Row],[fecha]]&gt;0,TEXT(C_Ope_003[[#This Row],[fecha]],"mmmm"),0)</f>
        <v>Febrero</v>
      </c>
      <c r="AB51" s="49"/>
    </row>
    <row r="52" spans="1:28" ht="24" x14ac:dyDescent="0.3">
      <c r="A52" s="2">
        <f>IF(C_Ope_003[[#This Row],[tipo_r]]="R",COUNTIFS($C$1:$C51,"R")+1,"")</f>
        <v>51</v>
      </c>
      <c r="B52" s="19" t="str">
        <f t="shared" si="4"/>
        <v>C_Ope_003</v>
      </c>
      <c r="C52" s="3" t="s">
        <v>1330</v>
      </c>
      <c r="D52" s="14">
        <v>45708</v>
      </c>
      <c r="E52" s="5" t="s">
        <v>5595</v>
      </c>
      <c r="F52" s="5" t="s">
        <v>1336</v>
      </c>
      <c r="G52" s="6" t="s">
        <v>1045</v>
      </c>
      <c r="H52" s="6" t="s">
        <v>75</v>
      </c>
      <c r="I52" s="6">
        <v>1</v>
      </c>
      <c r="J52" s="6">
        <v>5215</v>
      </c>
      <c r="K52" s="7" t="s">
        <v>8259</v>
      </c>
      <c r="L52" s="8">
        <v>23109</v>
      </c>
      <c r="M52" s="8" t="str">
        <f t="shared" si="5"/>
        <v>PEN</v>
      </c>
      <c r="N52" s="13"/>
      <c r="O52" s="13">
        <v>30</v>
      </c>
      <c r="P52" s="3">
        <f t="shared" si="1"/>
        <v>0</v>
      </c>
      <c r="Q52" s="3">
        <f t="shared" si="2"/>
        <v>30</v>
      </c>
      <c r="R52" s="3">
        <f t="shared" si="3"/>
        <v>1202.6500000000003</v>
      </c>
      <c r="S52" s="24" t="s">
        <v>1334</v>
      </c>
      <c r="T52" s="24" t="s">
        <v>1334</v>
      </c>
      <c r="U52" s="3"/>
      <c r="V52" s="25" t="s">
        <v>8006</v>
      </c>
      <c r="W52" s="25">
        <v>10438189560</v>
      </c>
      <c r="X52" s="25" t="str">
        <f>IFERROR(VLOOKUP(C_Ope_003[[#This Row],[nota_2]],Clientes_Proveedores[[Ruc / Dni]:[Razon Social]],2,0),"")</f>
        <v>MOROCCO HUANCA DORIS</v>
      </c>
      <c r="Y52" s="25"/>
      <c r="Z52" s="103"/>
      <c r="AA52" s="3" t="str">
        <f>IF(C_Ope_003[[#This Row],[fecha]]&gt;0,TEXT(C_Ope_003[[#This Row],[fecha]],"mmmm"),0)</f>
        <v>Febrero</v>
      </c>
      <c r="AB52" s="49"/>
    </row>
    <row r="53" spans="1:28" ht="48" x14ac:dyDescent="0.3">
      <c r="A53" s="2">
        <f>IF(C_Ope_003[[#This Row],[tipo_r]]="R",COUNTIFS($C$1:$C52,"R")+1,"")</f>
        <v>52</v>
      </c>
      <c r="B53" s="19" t="str">
        <f t="shared" si="4"/>
        <v>C_Ope_003</v>
      </c>
      <c r="C53" s="3" t="s">
        <v>1330</v>
      </c>
      <c r="D53" s="14">
        <v>45708</v>
      </c>
      <c r="E53" s="5" t="s">
        <v>5595</v>
      </c>
      <c r="F53" s="5" t="s">
        <v>1336</v>
      </c>
      <c r="G53" s="6" t="s">
        <v>1160</v>
      </c>
      <c r="H53" s="6" t="s">
        <v>75</v>
      </c>
      <c r="I53" s="6">
        <v>1</v>
      </c>
      <c r="J53" s="6">
        <v>4933</v>
      </c>
      <c r="K53" s="7" t="s">
        <v>8260</v>
      </c>
      <c r="L53" s="8">
        <v>23110</v>
      </c>
      <c r="M53" s="8" t="str">
        <f t="shared" si="5"/>
        <v>PEN</v>
      </c>
      <c r="N53" s="13">
        <v>6</v>
      </c>
      <c r="O53" s="13">
        <v>24</v>
      </c>
      <c r="P53" s="3">
        <f t="shared" si="1"/>
        <v>0</v>
      </c>
      <c r="Q53" s="3">
        <f t="shared" si="2"/>
        <v>24</v>
      </c>
      <c r="R53" s="3">
        <f t="shared" si="3"/>
        <v>1178.6500000000003</v>
      </c>
      <c r="S53" s="24" t="s">
        <v>1334</v>
      </c>
      <c r="T53" s="24" t="s">
        <v>1334</v>
      </c>
      <c r="U53" s="156" t="s">
        <v>8216</v>
      </c>
      <c r="V53" s="25" t="s">
        <v>8006</v>
      </c>
      <c r="W53" s="25">
        <v>10702717901</v>
      </c>
      <c r="X53" s="25" t="str">
        <f>IFERROR(VLOOKUP(C_Ope_003[[#This Row],[nota_2]],Clientes_Proveedores[[Ruc / Dni]:[Razon Social]],2,0),"")</f>
        <v>DELGADO TAIPE ROSA ATENAS</v>
      </c>
      <c r="Y53" s="25"/>
      <c r="Z53" s="103"/>
      <c r="AA53" s="3" t="str">
        <f>IF(C_Ope_003[[#This Row],[fecha]]&gt;0,TEXT(C_Ope_003[[#This Row],[fecha]],"mmmm"),0)</f>
        <v>Febrero</v>
      </c>
      <c r="AB53" s="49"/>
    </row>
    <row r="54" spans="1:28" ht="36" x14ac:dyDescent="0.3">
      <c r="A54" s="2">
        <f>IF(C_Ope_003[[#This Row],[tipo_r]]="R",COUNTIFS($C$1:$C53,"R")+1,"")</f>
        <v>53</v>
      </c>
      <c r="B54" s="19" t="str">
        <f t="shared" si="4"/>
        <v>C_Ope_003</v>
      </c>
      <c r="C54" s="3" t="s">
        <v>1330</v>
      </c>
      <c r="D54" s="14">
        <v>45708</v>
      </c>
      <c r="E54" s="5" t="s">
        <v>5595</v>
      </c>
      <c r="F54" s="5" t="s">
        <v>1336</v>
      </c>
      <c r="G54" s="6" t="s">
        <v>1161</v>
      </c>
      <c r="H54" s="6" t="s">
        <v>68</v>
      </c>
      <c r="I54" s="6" t="s">
        <v>1376</v>
      </c>
      <c r="J54" s="6">
        <v>641</v>
      </c>
      <c r="K54" s="7" t="s">
        <v>8261</v>
      </c>
      <c r="L54" s="8">
        <v>23118</v>
      </c>
      <c r="M54" s="8" t="str">
        <f t="shared" si="5"/>
        <v>PEN</v>
      </c>
      <c r="N54" s="13">
        <v>10</v>
      </c>
      <c r="O54" s="13">
        <v>100</v>
      </c>
      <c r="P54" s="3">
        <f t="shared" si="1"/>
        <v>0</v>
      </c>
      <c r="Q54" s="3">
        <f t="shared" si="2"/>
        <v>100</v>
      </c>
      <c r="R54" s="3">
        <f t="shared" si="3"/>
        <v>1078.6500000000003</v>
      </c>
      <c r="S54" s="24" t="s">
        <v>1334</v>
      </c>
      <c r="T54" s="24" t="s">
        <v>1334</v>
      </c>
      <c r="U54" s="3"/>
      <c r="V54" s="25" t="s">
        <v>8006</v>
      </c>
      <c r="W54" s="25">
        <v>20604568235</v>
      </c>
      <c r="X54" s="25" t="str">
        <f>IFERROR(VLOOKUP(C_Ope_003[[#This Row],[nota_2]],Clientes_Proveedores[[Ruc / Dni]:[Razon Social]],2,0),"")</f>
        <v>VALLE DEL SONDONDO EXPEDITIONS E.I.R.L</v>
      </c>
      <c r="Y54" s="25"/>
      <c r="Z54" s="103"/>
      <c r="AA54" s="3" t="str">
        <f>IF(C_Ope_003[[#This Row],[fecha]]&gt;0,TEXT(C_Ope_003[[#This Row],[fecha]],"mmmm"),0)</f>
        <v>Febrero</v>
      </c>
      <c r="AB54" s="49"/>
    </row>
    <row r="55" spans="1:28" ht="36" x14ac:dyDescent="0.3">
      <c r="A55" s="2">
        <f>IF(C_Ope_003[[#This Row],[tipo_r]]="R",COUNTIFS($C$1:$C54,"R")+1,"")</f>
        <v>54</v>
      </c>
      <c r="B55" s="19" t="str">
        <f t="shared" si="4"/>
        <v>C_Ope_003</v>
      </c>
      <c r="C55" s="3" t="s">
        <v>1330</v>
      </c>
      <c r="D55" s="14">
        <v>45708</v>
      </c>
      <c r="E55" s="5" t="s">
        <v>5595</v>
      </c>
      <c r="F55" s="5" t="s">
        <v>1336</v>
      </c>
      <c r="G55" s="6" t="s">
        <v>1161</v>
      </c>
      <c r="H55" s="6" t="s">
        <v>68</v>
      </c>
      <c r="I55" s="6" t="s">
        <v>1376</v>
      </c>
      <c r="J55" s="6">
        <v>641</v>
      </c>
      <c r="K55" s="7" t="s">
        <v>8262</v>
      </c>
      <c r="L55" s="8">
        <v>23119</v>
      </c>
      <c r="M55" s="8" t="str">
        <f t="shared" si="5"/>
        <v>PEN</v>
      </c>
      <c r="N55" s="13">
        <v>100</v>
      </c>
      <c r="O55" s="13">
        <v>10</v>
      </c>
      <c r="P55" s="3">
        <f t="shared" si="1"/>
        <v>0</v>
      </c>
      <c r="Q55" s="3">
        <f t="shared" si="2"/>
        <v>10</v>
      </c>
      <c r="R55" s="3">
        <f t="shared" si="3"/>
        <v>1068.6500000000003</v>
      </c>
      <c r="S55" s="24" t="s">
        <v>1334</v>
      </c>
      <c r="T55" s="24" t="s">
        <v>1334</v>
      </c>
      <c r="U55" s="3"/>
      <c r="V55" s="25" t="s">
        <v>8006</v>
      </c>
      <c r="W55" s="25">
        <v>20604568235</v>
      </c>
      <c r="X55" s="25" t="str">
        <f>IFERROR(VLOOKUP(C_Ope_003[[#This Row],[nota_2]],Clientes_Proveedores[[Ruc / Dni]:[Razon Social]],2,0),"")</f>
        <v>VALLE DEL SONDONDO EXPEDITIONS E.I.R.L</v>
      </c>
      <c r="Y55" s="25"/>
      <c r="Z55" s="103"/>
      <c r="AA55" s="3" t="str">
        <f>IF(C_Ope_003[[#This Row],[fecha]]&gt;0,TEXT(C_Ope_003[[#This Row],[fecha]],"mmmm"),0)</f>
        <v>Febrero</v>
      </c>
      <c r="AB55" s="49"/>
    </row>
    <row r="56" spans="1:28" x14ac:dyDescent="0.3">
      <c r="A56" s="2">
        <f>IF(C_Ope_003[[#This Row],[tipo_r]]="R",COUNTIFS($C$1:$C55,"R")+1,"")</f>
        <v>55</v>
      </c>
      <c r="B56" s="19" t="str">
        <f t="shared" si="4"/>
        <v>C_Ope_003</v>
      </c>
      <c r="C56" s="3" t="s">
        <v>1330</v>
      </c>
      <c r="D56" s="14">
        <v>45709</v>
      </c>
      <c r="E56" s="5" t="s">
        <v>5595</v>
      </c>
      <c r="F56" s="5" t="s">
        <v>1336</v>
      </c>
      <c r="G56" s="6"/>
      <c r="H56" s="6" t="s">
        <v>126</v>
      </c>
      <c r="I56" s="6"/>
      <c r="J56" s="6"/>
      <c r="K56" s="7" t="s">
        <v>8225</v>
      </c>
      <c r="L56" s="8">
        <v>23142</v>
      </c>
      <c r="M56" s="8" t="str">
        <f t="shared" si="5"/>
        <v>PEN</v>
      </c>
      <c r="N56" s="13"/>
      <c r="O56" s="13">
        <v>24</v>
      </c>
      <c r="P56" s="3">
        <f t="shared" si="1"/>
        <v>0</v>
      </c>
      <c r="Q56" s="3">
        <f t="shared" si="2"/>
        <v>24</v>
      </c>
      <c r="R56" s="3">
        <f t="shared" si="3"/>
        <v>1044.6500000000003</v>
      </c>
      <c r="S56" s="24" t="s">
        <v>1334</v>
      </c>
      <c r="T56" s="24" t="s">
        <v>1334</v>
      </c>
      <c r="U56" s="3"/>
      <c r="V56" s="25" t="s">
        <v>8006</v>
      </c>
      <c r="W56" s="25"/>
      <c r="X56" s="25" t="str">
        <f>IFERROR(VLOOKUP(C_Ope_003[[#This Row],[nota_2]],Clientes_Proveedores[[Ruc / Dni]:[Razon Social]],2,0),"")</f>
        <v/>
      </c>
      <c r="Y56" s="25"/>
      <c r="Z56" s="103"/>
      <c r="AA56" s="3" t="str">
        <f>IF(C_Ope_003[[#This Row],[fecha]]&gt;0,TEXT(C_Ope_003[[#This Row],[fecha]],"mmmm"),0)</f>
        <v>Febrero</v>
      </c>
      <c r="AB56" s="49"/>
    </row>
    <row r="57" spans="1:28" ht="48" x14ac:dyDescent="0.3">
      <c r="A57" s="2">
        <f>IF(C_Ope_003[[#This Row],[tipo_r]]="R",COUNTIFS($C$1:$C56,"R")+1,"")</f>
        <v>56</v>
      </c>
      <c r="B57" s="19" t="str">
        <f t="shared" si="4"/>
        <v>C_Ope_003</v>
      </c>
      <c r="C57" s="3" t="s">
        <v>1330</v>
      </c>
      <c r="D57" s="14">
        <v>45708</v>
      </c>
      <c r="E57" s="5" t="s">
        <v>5595</v>
      </c>
      <c r="F57" s="5" t="s">
        <v>1336</v>
      </c>
      <c r="G57" s="6" t="s">
        <v>1156</v>
      </c>
      <c r="H57" s="6" t="s">
        <v>75</v>
      </c>
      <c r="I57" s="6">
        <v>1</v>
      </c>
      <c r="J57" s="6">
        <v>467</v>
      </c>
      <c r="K57" s="7" t="s">
        <v>8263</v>
      </c>
      <c r="L57" s="8">
        <v>23143</v>
      </c>
      <c r="M57" s="8" t="str">
        <f t="shared" si="5"/>
        <v>PEN</v>
      </c>
      <c r="N57" s="13">
        <v>2.2000000000000002</v>
      </c>
      <c r="O57" s="13">
        <v>30</v>
      </c>
      <c r="P57" s="3">
        <f t="shared" si="1"/>
        <v>0</v>
      </c>
      <c r="Q57" s="3">
        <f t="shared" si="2"/>
        <v>30</v>
      </c>
      <c r="R57" s="3">
        <f t="shared" si="3"/>
        <v>1014.6500000000003</v>
      </c>
      <c r="S57" s="24" t="s">
        <v>1334</v>
      </c>
      <c r="T57" s="24" t="s">
        <v>1334</v>
      </c>
      <c r="U57" s="156" t="s">
        <v>8216</v>
      </c>
      <c r="V57" s="25" t="s">
        <v>8006</v>
      </c>
      <c r="W57" s="25">
        <v>10435753120</v>
      </c>
      <c r="X57" s="25" t="str">
        <f>IFERROR(VLOOKUP(C_Ope_003[[#This Row],[nota_2]],Clientes_Proveedores[[Ruc / Dni]:[Razon Social]],2,0),"")</f>
        <v>DELGADO HUANCA NEILA</v>
      </c>
      <c r="Y57" s="25"/>
      <c r="Z57" s="103"/>
      <c r="AA57" s="3" t="str">
        <f>IF(C_Ope_003[[#This Row],[fecha]]&gt;0,TEXT(C_Ope_003[[#This Row],[fecha]],"mmmm"),0)</f>
        <v>Febrero</v>
      </c>
      <c r="AB57" s="49"/>
    </row>
    <row r="58" spans="1:28" x14ac:dyDescent="0.3">
      <c r="A58" s="2">
        <f>IF(C_Ope_003[[#This Row],[tipo_r]]="R",COUNTIFS($C$1:$C57,"R")+1,"")</f>
        <v>57</v>
      </c>
      <c r="B58" s="19" t="str">
        <f t="shared" si="4"/>
        <v>C_Ope_003</v>
      </c>
      <c r="C58" s="3" t="s">
        <v>1330</v>
      </c>
      <c r="D58" s="14">
        <v>45709</v>
      </c>
      <c r="E58" s="5" t="s">
        <v>5595</v>
      </c>
      <c r="F58" s="5" t="s">
        <v>1336</v>
      </c>
      <c r="G58" s="6"/>
      <c r="H58" s="6" t="s">
        <v>126</v>
      </c>
      <c r="I58" s="6"/>
      <c r="J58" s="6"/>
      <c r="K58" s="7" t="s">
        <v>8227</v>
      </c>
      <c r="L58" s="8">
        <v>23144</v>
      </c>
      <c r="M58" s="8" t="str">
        <f t="shared" si="5"/>
        <v>PEN</v>
      </c>
      <c r="N58" s="13"/>
      <c r="O58" s="13">
        <v>20</v>
      </c>
      <c r="P58" s="3">
        <f t="shared" si="1"/>
        <v>0</v>
      </c>
      <c r="Q58" s="3">
        <f t="shared" si="2"/>
        <v>20</v>
      </c>
      <c r="R58" s="3">
        <f t="shared" si="3"/>
        <v>994.65000000000032</v>
      </c>
      <c r="S58" s="24" t="s">
        <v>1334</v>
      </c>
      <c r="T58" s="24" t="s">
        <v>1334</v>
      </c>
      <c r="U58" s="3"/>
      <c r="V58" s="25" t="s">
        <v>8006</v>
      </c>
      <c r="W58" s="25"/>
      <c r="X58" s="25" t="str">
        <f>IFERROR(VLOOKUP(C_Ope_003[[#This Row],[nota_2]],Clientes_Proveedores[[Ruc / Dni]:[Razon Social]],2,0),"")</f>
        <v/>
      </c>
      <c r="Y58" s="25"/>
      <c r="Z58" s="103"/>
      <c r="AA58" s="3" t="str">
        <f>IF(C_Ope_003[[#This Row],[fecha]]&gt;0,TEXT(C_Ope_003[[#This Row],[fecha]],"mmmm"),0)</f>
        <v>Febrero</v>
      </c>
      <c r="AB58" s="49"/>
    </row>
    <row r="59" spans="1:28" ht="24" x14ac:dyDescent="0.3">
      <c r="A59" s="2">
        <f>IF(C_Ope_003[[#This Row],[tipo_r]]="R",COUNTIFS($C$1:$C58,"R")+1,"")</f>
        <v>58</v>
      </c>
      <c r="B59" s="19" t="str">
        <f t="shared" si="4"/>
        <v>C_Ope_003</v>
      </c>
      <c r="C59" s="3" t="s">
        <v>1330</v>
      </c>
      <c r="D59" s="14">
        <v>45709</v>
      </c>
      <c r="E59" s="5" t="s">
        <v>5595</v>
      </c>
      <c r="F59" s="5" t="s">
        <v>1336</v>
      </c>
      <c r="G59" s="6" t="s">
        <v>1046</v>
      </c>
      <c r="H59" s="6" t="s">
        <v>75</v>
      </c>
      <c r="I59" s="6">
        <v>1</v>
      </c>
      <c r="J59" s="6">
        <v>57230</v>
      </c>
      <c r="K59" s="7" t="s">
        <v>7777</v>
      </c>
      <c r="L59" s="8">
        <v>23145</v>
      </c>
      <c r="M59" s="8" t="str">
        <f t="shared" si="5"/>
        <v>PEN</v>
      </c>
      <c r="N59" s="13"/>
      <c r="O59" s="13">
        <v>60</v>
      </c>
      <c r="P59" s="3">
        <f t="shared" si="1"/>
        <v>0</v>
      </c>
      <c r="Q59" s="3">
        <f t="shared" si="2"/>
        <v>60</v>
      </c>
      <c r="R59" s="3">
        <f t="shared" si="3"/>
        <v>934.65000000000032</v>
      </c>
      <c r="S59" s="24" t="s">
        <v>1334</v>
      </c>
      <c r="T59" s="24" t="s">
        <v>1334</v>
      </c>
      <c r="U59" s="3"/>
      <c r="V59" s="25" t="s">
        <v>8006</v>
      </c>
      <c r="W59" s="25">
        <v>10154270642</v>
      </c>
      <c r="X59" s="25" t="str">
        <f>IFERROR(VLOOKUP(C_Ope_003[[#This Row],[nota_2]],Clientes_Proveedores[[Ruc / Dni]:[Razon Social]],2,0),"")</f>
        <v>HURTADO HUAMAN CARMINA AUDELIA</v>
      </c>
      <c r="Y59" s="25"/>
      <c r="Z59" s="103"/>
      <c r="AA59" s="3" t="str">
        <f>IF(C_Ope_003[[#This Row],[fecha]]&gt;0,TEXT(C_Ope_003[[#This Row],[fecha]],"mmmm"),0)</f>
        <v>Febrero</v>
      </c>
      <c r="AB59" s="49"/>
    </row>
    <row r="60" spans="1:28" x14ac:dyDescent="0.3">
      <c r="A60" s="2">
        <f>IF(C_Ope_003[[#This Row],[tipo_r]]="R",COUNTIFS($C$1:$C59,"R")+1,"")</f>
        <v>59</v>
      </c>
      <c r="B60" s="19" t="str">
        <f t="shared" si="4"/>
        <v>C_Ope_003</v>
      </c>
      <c r="C60" s="3" t="s">
        <v>1330</v>
      </c>
      <c r="D60" s="14">
        <v>45710</v>
      </c>
      <c r="E60" s="5" t="s">
        <v>5595</v>
      </c>
      <c r="F60" s="5" t="s">
        <v>1336</v>
      </c>
      <c r="G60" s="6"/>
      <c r="H60" s="6" t="s">
        <v>126</v>
      </c>
      <c r="I60" s="6"/>
      <c r="J60" s="6"/>
      <c r="K60" s="7" t="s">
        <v>8228</v>
      </c>
      <c r="L60" s="8">
        <v>23148</v>
      </c>
      <c r="M60" s="8" t="str">
        <f t="shared" si="5"/>
        <v>PEN</v>
      </c>
      <c r="N60" s="13"/>
      <c r="O60" s="13">
        <v>16</v>
      </c>
      <c r="P60" s="3">
        <f t="shared" si="1"/>
        <v>0</v>
      </c>
      <c r="Q60" s="3">
        <f t="shared" si="2"/>
        <v>16</v>
      </c>
      <c r="R60" s="3">
        <f t="shared" si="3"/>
        <v>918.65000000000032</v>
      </c>
      <c r="S60" s="24" t="s">
        <v>1334</v>
      </c>
      <c r="T60" s="24" t="s">
        <v>1334</v>
      </c>
      <c r="U60" s="3"/>
      <c r="V60" s="25" t="s">
        <v>8006</v>
      </c>
      <c r="W60" s="25"/>
      <c r="X60" s="25" t="str">
        <f>IFERROR(VLOOKUP(C_Ope_003[[#This Row],[nota_2]],Clientes_Proveedores[[Ruc / Dni]:[Razon Social]],2,0),"")</f>
        <v/>
      </c>
      <c r="Y60" s="25"/>
      <c r="Z60" s="103"/>
      <c r="AA60" s="3" t="str">
        <f>IF(C_Ope_003[[#This Row],[fecha]]&gt;0,TEXT(C_Ope_003[[#This Row],[fecha]],"mmmm"),0)</f>
        <v>Febrero</v>
      </c>
      <c r="AB60" s="49"/>
    </row>
    <row r="61" spans="1:28" x14ac:dyDescent="0.3">
      <c r="A61" s="2">
        <f>IF(C_Ope_003[[#This Row],[tipo_r]]="R",COUNTIFS($C$1:$C60,"R")+1,"")</f>
        <v>60</v>
      </c>
      <c r="B61" s="19" t="str">
        <f t="shared" si="4"/>
        <v>C_Ope_003</v>
      </c>
      <c r="C61" s="3" t="s">
        <v>1330</v>
      </c>
      <c r="D61" s="14">
        <v>45710</v>
      </c>
      <c r="E61" s="5" t="s">
        <v>5595</v>
      </c>
      <c r="F61" s="5" t="s">
        <v>1336</v>
      </c>
      <c r="G61" s="6"/>
      <c r="H61" s="6" t="s">
        <v>126</v>
      </c>
      <c r="I61" s="6"/>
      <c r="J61" s="6"/>
      <c r="K61" s="7" t="s">
        <v>8229</v>
      </c>
      <c r="L61" s="8">
        <v>23149</v>
      </c>
      <c r="M61" s="8" t="str">
        <f t="shared" si="5"/>
        <v>PEN</v>
      </c>
      <c r="N61" s="13"/>
      <c r="O61" s="13">
        <v>24</v>
      </c>
      <c r="P61" s="3">
        <f t="shared" si="1"/>
        <v>0</v>
      </c>
      <c r="Q61" s="3">
        <f t="shared" si="2"/>
        <v>24</v>
      </c>
      <c r="R61" s="3">
        <f t="shared" si="3"/>
        <v>894.65000000000032</v>
      </c>
      <c r="S61" s="24" t="s">
        <v>1334</v>
      </c>
      <c r="T61" s="24" t="s">
        <v>1334</v>
      </c>
      <c r="U61" s="3"/>
      <c r="V61" s="25" t="s">
        <v>8006</v>
      </c>
      <c r="W61" s="25"/>
      <c r="X61" s="25" t="str">
        <f>IFERROR(VLOOKUP(C_Ope_003[[#This Row],[nota_2]],Clientes_Proveedores[[Ruc / Dni]:[Razon Social]],2,0),"")</f>
        <v/>
      </c>
      <c r="Y61" s="25"/>
      <c r="Z61" s="103"/>
      <c r="AA61" s="3" t="str">
        <f>IF(C_Ope_003[[#This Row],[fecha]]&gt;0,TEXT(C_Ope_003[[#This Row],[fecha]],"mmmm"),0)</f>
        <v>Febrero</v>
      </c>
      <c r="AB61" s="49"/>
    </row>
    <row r="62" spans="1:28" x14ac:dyDescent="0.3">
      <c r="A62" s="2">
        <f>IF(C_Ope_003[[#This Row],[tipo_r]]="R",COUNTIFS($C$1:$C61,"R")+1,"")</f>
        <v>61</v>
      </c>
      <c r="B62" s="19" t="str">
        <f t="shared" si="4"/>
        <v>C_Ope_003</v>
      </c>
      <c r="C62" s="3" t="s">
        <v>1330</v>
      </c>
      <c r="D62" s="14">
        <v>45710</v>
      </c>
      <c r="E62" s="5" t="s">
        <v>5595</v>
      </c>
      <c r="F62" s="5" t="s">
        <v>1336</v>
      </c>
      <c r="G62" s="6"/>
      <c r="H62" s="6" t="s">
        <v>126</v>
      </c>
      <c r="I62" s="6"/>
      <c r="J62" s="6"/>
      <c r="K62" s="7" t="s">
        <v>8227</v>
      </c>
      <c r="L62" s="8">
        <v>23150</v>
      </c>
      <c r="M62" s="8" t="str">
        <f t="shared" si="5"/>
        <v>PEN</v>
      </c>
      <c r="N62" s="13"/>
      <c r="O62" s="13">
        <v>20</v>
      </c>
      <c r="P62" s="3">
        <f t="shared" si="1"/>
        <v>0</v>
      </c>
      <c r="Q62" s="3">
        <f t="shared" si="2"/>
        <v>20</v>
      </c>
      <c r="R62" s="3">
        <f t="shared" si="3"/>
        <v>874.65000000000032</v>
      </c>
      <c r="S62" s="24" t="s">
        <v>1334</v>
      </c>
      <c r="T62" s="24" t="s">
        <v>1334</v>
      </c>
      <c r="U62" s="3"/>
      <c r="V62" s="25" t="s">
        <v>8006</v>
      </c>
      <c r="W62" s="25"/>
      <c r="X62" s="25" t="str">
        <f>IFERROR(VLOOKUP(C_Ope_003[[#This Row],[nota_2]],Clientes_Proveedores[[Ruc / Dni]:[Razon Social]],2,0),"")</f>
        <v/>
      </c>
      <c r="Y62" s="25"/>
      <c r="Z62" s="103"/>
      <c r="AA62" s="3" t="str">
        <f>IF(C_Ope_003[[#This Row],[fecha]]&gt;0,TEXT(C_Ope_003[[#This Row],[fecha]],"mmmm"),0)</f>
        <v>Febrero</v>
      </c>
      <c r="AB62" s="49"/>
    </row>
    <row r="63" spans="1:28" x14ac:dyDescent="0.3">
      <c r="A63" s="2">
        <f>IF(C_Ope_003[[#This Row],[tipo_r]]="R",COUNTIFS($C$1:$C62,"R")+1,"")</f>
        <v>62</v>
      </c>
      <c r="B63" s="19" t="str">
        <f t="shared" si="4"/>
        <v>C_Ope_003</v>
      </c>
      <c r="C63" s="3" t="s">
        <v>1330</v>
      </c>
      <c r="D63" s="14">
        <v>45711</v>
      </c>
      <c r="E63" s="5" t="s">
        <v>5595</v>
      </c>
      <c r="F63" s="5" t="s">
        <v>1336</v>
      </c>
      <c r="G63" s="6"/>
      <c r="H63" s="6" t="s">
        <v>126</v>
      </c>
      <c r="I63" s="6"/>
      <c r="J63" s="6"/>
      <c r="K63" s="7" t="s">
        <v>8228</v>
      </c>
      <c r="L63" s="8">
        <v>23151</v>
      </c>
      <c r="M63" s="8" t="str">
        <f t="shared" si="5"/>
        <v>PEN</v>
      </c>
      <c r="N63" s="13"/>
      <c r="O63" s="13">
        <v>16</v>
      </c>
      <c r="P63" s="3">
        <f t="shared" si="1"/>
        <v>0</v>
      </c>
      <c r="Q63" s="3">
        <f t="shared" si="2"/>
        <v>16</v>
      </c>
      <c r="R63" s="3">
        <f t="shared" si="3"/>
        <v>858.65000000000032</v>
      </c>
      <c r="S63" s="24" t="s">
        <v>1334</v>
      </c>
      <c r="T63" s="24" t="s">
        <v>1334</v>
      </c>
      <c r="U63" s="3"/>
      <c r="V63" s="25" t="s">
        <v>8006</v>
      </c>
      <c r="W63" s="25"/>
      <c r="X63" s="25" t="str">
        <f>IFERROR(VLOOKUP(C_Ope_003[[#This Row],[nota_2]],Clientes_Proveedores[[Ruc / Dni]:[Razon Social]],2,0),"")</f>
        <v/>
      </c>
      <c r="Y63" s="25"/>
      <c r="Z63" s="103"/>
      <c r="AA63" s="3" t="str">
        <f>IF(C_Ope_003[[#This Row],[fecha]]&gt;0,TEXT(C_Ope_003[[#This Row],[fecha]],"mmmm"),0)</f>
        <v>Febrero</v>
      </c>
      <c r="AB63" s="49"/>
    </row>
    <row r="64" spans="1:28" x14ac:dyDescent="0.3">
      <c r="A64" s="2">
        <f>IF(C_Ope_003[[#This Row],[tipo_r]]="R",COUNTIFS($C$1:$C63,"R")+1,"")</f>
        <v>63</v>
      </c>
      <c r="B64" s="19" t="str">
        <f t="shared" si="4"/>
        <v>C_Ope_003</v>
      </c>
      <c r="C64" s="3" t="s">
        <v>1330</v>
      </c>
      <c r="D64" s="14">
        <v>45711</v>
      </c>
      <c r="E64" s="5" t="s">
        <v>5595</v>
      </c>
      <c r="F64" s="5" t="s">
        <v>1336</v>
      </c>
      <c r="G64" s="6"/>
      <c r="H64" s="6" t="s">
        <v>126</v>
      </c>
      <c r="I64" s="6"/>
      <c r="J64" s="6"/>
      <c r="K64" s="7" t="s">
        <v>8229</v>
      </c>
      <c r="L64" s="8">
        <v>23152</v>
      </c>
      <c r="M64" s="8" t="str">
        <f t="shared" si="5"/>
        <v>PEN</v>
      </c>
      <c r="N64" s="13"/>
      <c r="O64" s="13">
        <v>24</v>
      </c>
      <c r="P64" s="3">
        <f t="shared" si="1"/>
        <v>0</v>
      </c>
      <c r="Q64" s="3">
        <f t="shared" si="2"/>
        <v>24</v>
      </c>
      <c r="R64" s="3">
        <f t="shared" si="3"/>
        <v>834.65000000000032</v>
      </c>
      <c r="S64" s="24" t="s">
        <v>1334</v>
      </c>
      <c r="T64" s="24" t="s">
        <v>1334</v>
      </c>
      <c r="U64" s="3"/>
      <c r="V64" s="25" t="s">
        <v>8006</v>
      </c>
      <c r="W64" s="25"/>
      <c r="X64" s="25" t="str">
        <f>IFERROR(VLOOKUP(C_Ope_003[[#This Row],[nota_2]],Clientes_Proveedores[[Ruc / Dni]:[Razon Social]],2,0),"")</f>
        <v/>
      </c>
      <c r="Y64" s="25"/>
      <c r="Z64" s="103"/>
      <c r="AA64" s="3" t="str">
        <f>IF(C_Ope_003[[#This Row],[fecha]]&gt;0,TEXT(C_Ope_003[[#This Row],[fecha]],"mmmm"),0)</f>
        <v>Febrero</v>
      </c>
      <c r="AB64" s="49"/>
    </row>
    <row r="65" spans="1:28" x14ac:dyDescent="0.3">
      <c r="A65" s="2">
        <f>IF(C_Ope_003[[#This Row],[tipo_r]]="R",COUNTIFS($C$1:$C64,"R")+1,"")</f>
        <v>64</v>
      </c>
      <c r="B65" s="19" t="str">
        <f t="shared" si="4"/>
        <v>C_Ope_003</v>
      </c>
      <c r="C65" s="3" t="s">
        <v>1330</v>
      </c>
      <c r="D65" s="14">
        <v>45711</v>
      </c>
      <c r="E65" s="5" t="s">
        <v>5595</v>
      </c>
      <c r="F65" s="5" t="s">
        <v>1336</v>
      </c>
      <c r="G65" s="6"/>
      <c r="H65" s="6" t="s">
        <v>126</v>
      </c>
      <c r="I65" s="6"/>
      <c r="J65" s="6"/>
      <c r="K65" s="7" t="s">
        <v>8227</v>
      </c>
      <c r="L65" s="8">
        <v>23153</v>
      </c>
      <c r="M65" s="8" t="str">
        <f t="shared" si="5"/>
        <v>PEN</v>
      </c>
      <c r="N65" s="13"/>
      <c r="O65" s="13">
        <v>20</v>
      </c>
      <c r="P65" s="3">
        <f t="shared" si="1"/>
        <v>0</v>
      </c>
      <c r="Q65" s="3">
        <f t="shared" si="2"/>
        <v>20</v>
      </c>
      <c r="R65" s="3">
        <f t="shared" si="3"/>
        <v>814.65000000000032</v>
      </c>
      <c r="S65" s="24" t="s">
        <v>1334</v>
      </c>
      <c r="T65" s="24" t="s">
        <v>1334</v>
      </c>
      <c r="U65" s="3"/>
      <c r="V65" s="25" t="s">
        <v>8006</v>
      </c>
      <c r="W65" s="25"/>
      <c r="X65" s="25" t="str">
        <f>IFERROR(VLOOKUP(C_Ope_003[[#This Row],[nota_2]],Clientes_Proveedores[[Ruc / Dni]:[Razon Social]],2,0),"")</f>
        <v/>
      </c>
      <c r="Y65" s="25"/>
      <c r="Z65" s="103"/>
      <c r="AA65" s="3" t="str">
        <f>IF(C_Ope_003[[#This Row],[fecha]]&gt;0,TEXT(C_Ope_003[[#This Row],[fecha]],"mmmm"),0)</f>
        <v>Febrero</v>
      </c>
      <c r="AB65" s="49"/>
    </row>
    <row r="66" spans="1:28" ht="24" x14ac:dyDescent="0.3">
      <c r="A66" s="2">
        <f>IF(C_Ope_003[[#This Row],[tipo_r]]="R",COUNTIFS($C$1:$C65,"R")+1,"")</f>
        <v>65</v>
      </c>
      <c r="B66" s="19" t="str">
        <f t="shared" si="4"/>
        <v>C_Ope_003</v>
      </c>
      <c r="C66" s="3" t="s">
        <v>1330</v>
      </c>
      <c r="D66" s="14">
        <v>45712</v>
      </c>
      <c r="E66" s="5" t="s">
        <v>5595</v>
      </c>
      <c r="F66" s="5" t="s">
        <v>1336</v>
      </c>
      <c r="G66" s="6" t="s">
        <v>1128</v>
      </c>
      <c r="H66" s="6" t="s">
        <v>68</v>
      </c>
      <c r="I66" s="6" t="s">
        <v>8232</v>
      </c>
      <c r="J66" s="6">
        <v>4384068</v>
      </c>
      <c r="K66" s="7" t="s">
        <v>8264</v>
      </c>
      <c r="L66" s="8">
        <v>23183</v>
      </c>
      <c r="M66" s="8" t="str">
        <f t="shared" si="5"/>
        <v>PEN</v>
      </c>
      <c r="N66" s="13"/>
      <c r="O66" s="13">
        <v>19.8</v>
      </c>
      <c r="P66" s="3">
        <f t="shared" ref="P66:P129" si="6">+IF(OR($F66="SALDO",$F66="INGRESO"),$O66,0)</f>
        <v>0</v>
      </c>
      <c r="Q66" s="3">
        <f t="shared" ref="Q66:Q129" si="7">+IF($F66="EGRESO",$O66,0)</f>
        <v>19.8</v>
      </c>
      <c r="R66" s="3">
        <f t="shared" ref="R66:R129" si="8">IFERROR(IF(F66="SALDO",P66,R65+P66-Q66),0)</f>
        <v>794.85000000000036</v>
      </c>
      <c r="S66" s="24" t="s">
        <v>1334</v>
      </c>
      <c r="T66" s="24" t="s">
        <v>1334</v>
      </c>
      <c r="U66" s="3"/>
      <c r="V66" s="25" t="s">
        <v>8006</v>
      </c>
      <c r="W66" s="25">
        <v>20523621212</v>
      </c>
      <c r="X66" s="25" t="str">
        <f>IFERROR(VLOOKUP(C_Ope_003[[#This Row],[nota_2]],Clientes_Proveedores[[Ruc / Dni]:[Razon Social]],2,0),"")</f>
        <v>LIMA EXPRESA S.A.C.</v>
      </c>
      <c r="Y66" s="25"/>
      <c r="Z66" s="103"/>
      <c r="AA66" s="3" t="str">
        <f>IF(C_Ope_003[[#This Row],[fecha]]&gt;0,TEXT(C_Ope_003[[#This Row],[fecha]],"mmmm"),0)</f>
        <v>Febrero</v>
      </c>
      <c r="AB66" s="49"/>
    </row>
    <row r="67" spans="1:28" ht="24" x14ac:dyDescent="0.3">
      <c r="A67" s="2">
        <f>IF(C_Ope_003[[#This Row],[tipo_r]]="R",COUNTIFS($C$1:$C66,"R")+1,"")</f>
        <v>66</v>
      </c>
      <c r="B67" s="19" t="str">
        <f t="shared" ref="B67:B130" si="9">"C_Ope_003"</f>
        <v>C_Ope_003</v>
      </c>
      <c r="C67" s="3" t="s">
        <v>1330</v>
      </c>
      <c r="D67" s="14">
        <v>45712</v>
      </c>
      <c r="E67" s="5" t="s">
        <v>5595</v>
      </c>
      <c r="F67" s="5" t="s">
        <v>1336</v>
      </c>
      <c r="G67" s="6" t="s">
        <v>979</v>
      </c>
      <c r="H67" s="6" t="s">
        <v>68</v>
      </c>
      <c r="I67" s="6" t="s">
        <v>6389</v>
      </c>
      <c r="J67" s="6">
        <v>3656051</v>
      </c>
      <c r="K67" s="7" t="s">
        <v>8265</v>
      </c>
      <c r="L67" s="8">
        <v>23184</v>
      </c>
      <c r="M67" s="8" t="str">
        <f t="shared" ref="M67:M130" si="10">"PEN"</f>
        <v>PEN</v>
      </c>
      <c r="N67" s="13"/>
      <c r="O67" s="13">
        <v>22.5</v>
      </c>
      <c r="P67" s="3">
        <f t="shared" si="6"/>
        <v>0</v>
      </c>
      <c r="Q67" s="3">
        <f t="shared" si="7"/>
        <v>22.5</v>
      </c>
      <c r="R67" s="3">
        <f t="shared" si="8"/>
        <v>772.35000000000036</v>
      </c>
      <c r="S67" s="24" t="s">
        <v>1334</v>
      </c>
      <c r="T67" s="24" t="s">
        <v>1334</v>
      </c>
      <c r="U67" s="3"/>
      <c r="V67" s="25" t="s">
        <v>8006</v>
      </c>
      <c r="W67" s="25">
        <v>20550372640</v>
      </c>
      <c r="X67" s="25" t="str">
        <f>IFERROR(VLOOKUP(C_Ope_003[[#This Row],[nota_2]],Clientes_Proveedores[[Ruc / Dni]:[Razon Social]],2,0),"")</f>
        <v>RUTAS DE LIMA S.A.C.</v>
      </c>
      <c r="Y67" s="25"/>
      <c r="Z67" s="103"/>
      <c r="AA67" s="3" t="str">
        <f>IF(C_Ope_003[[#This Row],[fecha]]&gt;0,TEXT(C_Ope_003[[#This Row],[fecha]],"mmmm"),0)</f>
        <v>Febrero</v>
      </c>
      <c r="AB67" s="49"/>
    </row>
    <row r="68" spans="1:28" ht="24" x14ac:dyDescent="0.3">
      <c r="A68" s="2">
        <f>IF(C_Ope_003[[#This Row],[tipo_r]]="R",COUNTIFS($C$1:$C67,"R")+1,"")</f>
        <v>67</v>
      </c>
      <c r="B68" s="19" t="str">
        <f t="shared" si="9"/>
        <v>C_Ope_003</v>
      </c>
      <c r="C68" s="3" t="s">
        <v>1330</v>
      </c>
      <c r="D68" s="14">
        <v>45712</v>
      </c>
      <c r="E68" s="5" t="s">
        <v>5595</v>
      </c>
      <c r="F68" s="5" t="s">
        <v>1336</v>
      </c>
      <c r="G68" s="6" t="s">
        <v>1041</v>
      </c>
      <c r="H68" s="6" t="s">
        <v>68</v>
      </c>
      <c r="I68" s="6" t="s">
        <v>8236</v>
      </c>
      <c r="J68" s="6">
        <v>2122539</v>
      </c>
      <c r="K68" s="7" t="s">
        <v>8266</v>
      </c>
      <c r="L68" s="8">
        <v>23185</v>
      </c>
      <c r="M68" s="8" t="str">
        <f t="shared" si="10"/>
        <v>PEN</v>
      </c>
      <c r="N68" s="13"/>
      <c r="O68" s="13">
        <v>58.2</v>
      </c>
      <c r="P68" s="3">
        <f t="shared" si="6"/>
        <v>0</v>
      </c>
      <c r="Q68" s="3">
        <f t="shared" si="7"/>
        <v>58.2</v>
      </c>
      <c r="R68" s="3">
        <f t="shared" si="8"/>
        <v>714.15000000000032</v>
      </c>
      <c r="S68" s="24" t="s">
        <v>1334</v>
      </c>
      <c r="T68" s="24" t="s">
        <v>1334</v>
      </c>
      <c r="U68" s="3"/>
      <c r="V68" s="25" t="s">
        <v>8006</v>
      </c>
      <c r="W68" s="25">
        <v>20511465061</v>
      </c>
      <c r="X68" s="25" t="str">
        <f>IFERROR(VLOOKUP(C_Ope_003[[#This Row],[nota_2]],Clientes_Proveedores[[Ruc / Dni]:[Razon Social]],2,0),"")</f>
        <v>CONCESIONARIA VIAL DEL PERU S.A</v>
      </c>
      <c r="Y68" s="25"/>
      <c r="Z68" s="103"/>
      <c r="AA68" s="3" t="str">
        <f>IF(C_Ope_003[[#This Row],[fecha]]&gt;0,TEXT(C_Ope_003[[#This Row],[fecha]],"mmmm"),0)</f>
        <v>Febrero</v>
      </c>
      <c r="AB68" s="49"/>
    </row>
    <row r="69" spans="1:28" ht="24" x14ac:dyDescent="0.3">
      <c r="A69" s="2">
        <f>IF(C_Ope_003[[#This Row],[tipo_r]]="R",COUNTIFS($C$1:$C68,"R")+1,"")</f>
        <v>68</v>
      </c>
      <c r="B69" s="19" t="str">
        <f t="shared" si="9"/>
        <v>C_Ope_003</v>
      </c>
      <c r="C69" s="3" t="s">
        <v>1330</v>
      </c>
      <c r="D69" s="14">
        <v>45712</v>
      </c>
      <c r="E69" s="5" t="s">
        <v>5595</v>
      </c>
      <c r="F69" s="5" t="s">
        <v>1336</v>
      </c>
      <c r="G69" s="6" t="s">
        <v>1041</v>
      </c>
      <c r="H69" s="6" t="s">
        <v>68</v>
      </c>
      <c r="I69" s="6" t="s">
        <v>3212</v>
      </c>
      <c r="J69" s="6">
        <v>2070494</v>
      </c>
      <c r="K69" s="7" t="s">
        <v>8267</v>
      </c>
      <c r="L69" s="8">
        <v>23186</v>
      </c>
      <c r="M69" s="8" t="str">
        <f t="shared" si="10"/>
        <v>PEN</v>
      </c>
      <c r="N69" s="13"/>
      <c r="O69" s="13">
        <v>58.2</v>
      </c>
      <c r="P69" s="3">
        <f t="shared" si="6"/>
        <v>0</v>
      </c>
      <c r="Q69" s="3">
        <f t="shared" si="7"/>
        <v>58.2</v>
      </c>
      <c r="R69" s="3">
        <f t="shared" si="8"/>
        <v>655.95000000000027</v>
      </c>
      <c r="S69" s="24" t="s">
        <v>1334</v>
      </c>
      <c r="T69" s="24" t="s">
        <v>1334</v>
      </c>
      <c r="U69" s="3"/>
      <c r="V69" s="25" t="s">
        <v>8006</v>
      </c>
      <c r="W69" s="25">
        <v>20511465061</v>
      </c>
      <c r="X69" s="25" t="str">
        <f>IFERROR(VLOOKUP(C_Ope_003[[#This Row],[nota_2]],Clientes_Proveedores[[Ruc / Dni]:[Razon Social]],2,0),"")</f>
        <v>CONCESIONARIA VIAL DEL PERU S.A</v>
      </c>
      <c r="Y69" s="25"/>
      <c r="Z69" s="103"/>
      <c r="AA69" s="3" t="str">
        <f>IF(C_Ope_003[[#This Row],[fecha]]&gt;0,TEXT(C_Ope_003[[#This Row],[fecha]],"mmmm"),0)</f>
        <v>Febrero</v>
      </c>
      <c r="AB69" s="49"/>
    </row>
    <row r="70" spans="1:28" ht="36" x14ac:dyDescent="0.3">
      <c r="A70" s="2">
        <f>IF(C_Ope_003[[#This Row],[tipo_r]]="R",COUNTIFS($C$1:$C69,"R")+1,"")</f>
        <v>69</v>
      </c>
      <c r="B70" s="19" t="str">
        <f t="shared" si="9"/>
        <v>C_Ope_003</v>
      </c>
      <c r="C70" s="3" t="s">
        <v>1330</v>
      </c>
      <c r="D70" s="14">
        <v>45713</v>
      </c>
      <c r="E70" s="5" t="s">
        <v>5595</v>
      </c>
      <c r="F70" s="5" t="s">
        <v>1336</v>
      </c>
      <c r="G70" s="6" t="s">
        <v>1042</v>
      </c>
      <c r="H70" s="6" t="s">
        <v>98</v>
      </c>
      <c r="I70" s="6" t="s">
        <v>8268</v>
      </c>
      <c r="J70" s="6">
        <v>325010150</v>
      </c>
      <c r="K70" s="7" t="s">
        <v>8269</v>
      </c>
      <c r="L70" s="8">
        <v>23202</v>
      </c>
      <c r="M70" s="8" t="str">
        <f t="shared" si="10"/>
        <v>PEN</v>
      </c>
      <c r="N70" s="13"/>
      <c r="O70" s="13">
        <v>19.5</v>
      </c>
      <c r="P70" s="3">
        <f t="shared" si="6"/>
        <v>0</v>
      </c>
      <c r="Q70" s="3">
        <f t="shared" si="7"/>
        <v>19.5</v>
      </c>
      <c r="R70" s="3">
        <f t="shared" si="8"/>
        <v>636.45000000000027</v>
      </c>
      <c r="S70" s="24" t="s">
        <v>1334</v>
      </c>
      <c r="T70" s="24" t="s">
        <v>1334</v>
      </c>
      <c r="U70" s="3"/>
      <c r="V70" s="25" t="s">
        <v>8006</v>
      </c>
      <c r="W70" s="25">
        <v>20503503639</v>
      </c>
      <c r="X70" s="25" t="str">
        <f>IFERROR(VLOOKUP(C_Ope_003[[#This Row],[nota_2]],Clientes_Proveedores[[Ruc / Dni]:[Razon Social]],2,0),"")</f>
        <v>PROVIAS NACIONAL</v>
      </c>
      <c r="Y70" s="25"/>
      <c r="Z70" s="103"/>
      <c r="AA70" s="3" t="str">
        <f>IF(C_Ope_003[[#This Row],[fecha]]&gt;0,TEXT(C_Ope_003[[#This Row],[fecha]],"mmmm"),0)</f>
        <v>Febrero</v>
      </c>
      <c r="AB70" s="49"/>
    </row>
    <row r="71" spans="1:28" x14ac:dyDescent="0.3">
      <c r="A71" s="2">
        <f>IF(C_Ope_003[[#This Row],[tipo_r]]="R",COUNTIFS($C$1:$C70,"R")+1,"")</f>
        <v>70</v>
      </c>
      <c r="B71" s="19" t="str">
        <f t="shared" si="9"/>
        <v>C_Ope_003</v>
      </c>
      <c r="C71" s="3" t="s">
        <v>1330</v>
      </c>
      <c r="D71" s="14">
        <v>45713</v>
      </c>
      <c r="E71" s="5" t="s">
        <v>5595</v>
      </c>
      <c r="F71" s="5" t="s">
        <v>1336</v>
      </c>
      <c r="G71" s="6" t="s">
        <v>1042</v>
      </c>
      <c r="H71" s="6"/>
      <c r="I71" s="6" t="s">
        <v>8270</v>
      </c>
      <c r="J71" s="6">
        <v>325011746</v>
      </c>
      <c r="K71" s="7" t="s">
        <v>8271</v>
      </c>
      <c r="L71" s="8">
        <v>23203</v>
      </c>
      <c r="M71" s="8" t="str">
        <f t="shared" si="10"/>
        <v>PEN</v>
      </c>
      <c r="N71" s="13"/>
      <c r="O71" s="13">
        <v>19.5</v>
      </c>
      <c r="P71" s="3">
        <f t="shared" si="6"/>
        <v>0</v>
      </c>
      <c r="Q71" s="3">
        <f t="shared" si="7"/>
        <v>19.5</v>
      </c>
      <c r="R71" s="3">
        <f t="shared" si="8"/>
        <v>616.95000000000027</v>
      </c>
      <c r="S71" s="24" t="s">
        <v>1334</v>
      </c>
      <c r="T71" s="24" t="s">
        <v>1334</v>
      </c>
      <c r="U71" s="3"/>
      <c r="V71" s="25" t="s">
        <v>8006</v>
      </c>
      <c r="W71" s="25">
        <v>20503503639</v>
      </c>
      <c r="X71" s="25" t="str">
        <f>IFERROR(VLOOKUP(C_Ope_003[[#This Row],[nota_2]],Clientes_Proveedores[[Ruc / Dni]:[Razon Social]],2,0),"")</f>
        <v>PROVIAS NACIONAL</v>
      </c>
      <c r="Y71" s="25"/>
      <c r="Z71" s="103"/>
      <c r="AA71" s="3" t="str">
        <f>IF(C_Ope_003[[#This Row],[fecha]]&gt;0,TEXT(C_Ope_003[[#This Row],[fecha]],"mmmm"),0)</f>
        <v>Febrero</v>
      </c>
      <c r="AB71" s="49"/>
    </row>
    <row r="72" spans="1:28" ht="36" x14ac:dyDescent="0.3">
      <c r="A72" s="2">
        <f>IF(C_Ope_003[[#This Row],[tipo_r]]="R",COUNTIFS($C$1:$C71,"R")+1,"")</f>
        <v>71</v>
      </c>
      <c r="B72" s="19" t="str">
        <f t="shared" si="9"/>
        <v>C_Ope_003</v>
      </c>
      <c r="C72" s="3" t="s">
        <v>1330</v>
      </c>
      <c r="D72" s="14">
        <v>45713</v>
      </c>
      <c r="E72" s="5" t="s">
        <v>5595</v>
      </c>
      <c r="F72" s="5" t="s">
        <v>1336</v>
      </c>
      <c r="G72" s="6" t="s">
        <v>1042</v>
      </c>
      <c r="H72" s="6" t="s">
        <v>98</v>
      </c>
      <c r="I72" s="6" t="s">
        <v>8272</v>
      </c>
      <c r="J72" s="6">
        <v>325010566</v>
      </c>
      <c r="K72" s="7" t="s">
        <v>8273</v>
      </c>
      <c r="L72" s="8">
        <v>23204</v>
      </c>
      <c r="M72" s="8" t="str">
        <f t="shared" si="10"/>
        <v>PEN</v>
      </c>
      <c r="N72" s="13"/>
      <c r="O72" s="13">
        <v>19.5</v>
      </c>
      <c r="P72" s="3">
        <f t="shared" si="6"/>
        <v>0</v>
      </c>
      <c r="Q72" s="3">
        <f t="shared" si="7"/>
        <v>19.5</v>
      </c>
      <c r="R72" s="3">
        <f t="shared" si="8"/>
        <v>597.45000000000027</v>
      </c>
      <c r="S72" s="24" t="s">
        <v>1334</v>
      </c>
      <c r="T72" s="24" t="s">
        <v>1334</v>
      </c>
      <c r="U72" s="3"/>
      <c r="V72" s="25" t="s">
        <v>8006</v>
      </c>
      <c r="W72" s="25">
        <v>20503503639</v>
      </c>
      <c r="X72" s="25" t="str">
        <f>IFERROR(VLOOKUP(C_Ope_003[[#This Row],[nota_2]],Clientes_Proveedores[[Ruc / Dni]:[Razon Social]],2,0),"")</f>
        <v>PROVIAS NACIONAL</v>
      </c>
      <c r="Y72" s="25"/>
      <c r="Z72" s="103"/>
      <c r="AA72" s="3" t="str">
        <f>IF(C_Ope_003[[#This Row],[fecha]]&gt;0,TEXT(C_Ope_003[[#This Row],[fecha]],"mmmm"),0)</f>
        <v>Febrero</v>
      </c>
      <c r="AB72" s="49"/>
    </row>
    <row r="73" spans="1:28" ht="36" x14ac:dyDescent="0.3">
      <c r="A73" s="2">
        <f>IF(C_Ope_003[[#This Row],[tipo_r]]="R",COUNTIFS($C$1:$C72,"R")+1,"")</f>
        <v>72</v>
      </c>
      <c r="B73" s="19" t="str">
        <f t="shared" si="9"/>
        <v>C_Ope_003</v>
      </c>
      <c r="C73" s="3" t="s">
        <v>1330</v>
      </c>
      <c r="D73" s="14">
        <v>45713</v>
      </c>
      <c r="E73" s="5" t="s">
        <v>5595</v>
      </c>
      <c r="F73" s="5" t="s">
        <v>1336</v>
      </c>
      <c r="G73" s="6" t="s">
        <v>1006</v>
      </c>
      <c r="H73" s="6" t="s">
        <v>68</v>
      </c>
      <c r="I73" s="6" t="s">
        <v>2912</v>
      </c>
      <c r="J73" s="6">
        <v>690419</v>
      </c>
      <c r="K73" s="7" t="s">
        <v>8274</v>
      </c>
      <c r="L73" s="8">
        <v>23205</v>
      </c>
      <c r="M73" s="8" t="str">
        <f t="shared" si="10"/>
        <v>PEN</v>
      </c>
      <c r="N73" s="13"/>
      <c r="O73" s="13">
        <v>23.6</v>
      </c>
      <c r="P73" s="3">
        <f t="shared" si="6"/>
        <v>0</v>
      </c>
      <c r="Q73" s="3">
        <f t="shared" si="7"/>
        <v>23.6</v>
      </c>
      <c r="R73" s="3">
        <f t="shared" si="8"/>
        <v>573.85000000000025</v>
      </c>
      <c r="S73" s="24" t="s">
        <v>1334</v>
      </c>
      <c r="T73" s="24" t="s">
        <v>1334</v>
      </c>
      <c r="U73" s="3"/>
      <c r="V73" s="25" t="s">
        <v>8006</v>
      </c>
      <c r="W73" s="25">
        <v>20550033519</v>
      </c>
      <c r="X73" s="25" t="str">
        <f>IFERROR(VLOOKUP(C_Ope_003[[#This Row],[nota_2]],Clientes_Proveedores[[Ruc / Dni]:[Razon Social]],2,0),"")</f>
        <v>CONCESIONARIA PERUANA DE VIAS-COVINCA S.A.</v>
      </c>
      <c r="Y73" s="25"/>
      <c r="Z73" s="103"/>
      <c r="AA73" s="3" t="str">
        <f>IF(C_Ope_003[[#This Row],[fecha]]&gt;0,TEXT(C_Ope_003[[#This Row],[fecha]],"mmmm"),0)</f>
        <v>Febrero</v>
      </c>
      <c r="AB73" s="49"/>
    </row>
    <row r="74" spans="1:28" ht="24" x14ac:dyDescent="0.3">
      <c r="A74" s="2">
        <f>IF(C_Ope_003[[#This Row],[tipo_r]]="R",COUNTIFS($C$1:$C73,"R")+1,"")</f>
        <v>73</v>
      </c>
      <c r="B74" s="19" t="str">
        <f t="shared" si="9"/>
        <v>C_Ope_003</v>
      </c>
      <c r="C74" s="3" t="s">
        <v>1330</v>
      </c>
      <c r="D74" s="14">
        <v>45714</v>
      </c>
      <c r="E74" s="5" t="s">
        <v>5595</v>
      </c>
      <c r="F74" s="5" t="s">
        <v>1336</v>
      </c>
      <c r="G74" s="6" t="s">
        <v>979</v>
      </c>
      <c r="H74" s="6" t="s">
        <v>68</v>
      </c>
      <c r="I74" s="6" t="s">
        <v>8275</v>
      </c>
      <c r="J74" s="6">
        <v>617413</v>
      </c>
      <c r="K74" s="7" t="s">
        <v>8276</v>
      </c>
      <c r="L74" s="8">
        <v>23217</v>
      </c>
      <c r="M74" s="8" t="str">
        <f t="shared" si="10"/>
        <v>PEN</v>
      </c>
      <c r="N74" s="13"/>
      <c r="O74" s="13">
        <v>15</v>
      </c>
      <c r="P74" s="3">
        <f t="shared" si="6"/>
        <v>0</v>
      </c>
      <c r="Q74" s="3">
        <f t="shared" si="7"/>
        <v>15</v>
      </c>
      <c r="R74" s="3">
        <f t="shared" si="8"/>
        <v>558.85000000000025</v>
      </c>
      <c r="S74" s="24" t="s">
        <v>1334</v>
      </c>
      <c r="T74" s="24" t="s">
        <v>1334</v>
      </c>
      <c r="U74" s="3"/>
      <c r="V74" s="25" t="s">
        <v>8277</v>
      </c>
      <c r="W74" s="25">
        <v>20550372640</v>
      </c>
      <c r="X74" s="25" t="str">
        <f>IFERROR(VLOOKUP(C_Ope_003[[#This Row],[nota_2]],Clientes_Proveedores[[Ruc / Dni]:[Razon Social]],2,0),"")</f>
        <v>RUTAS DE LIMA S.A.C.</v>
      </c>
      <c r="Y74" s="25"/>
      <c r="Z74" s="103"/>
      <c r="AA74" s="3" t="str">
        <f>IF(C_Ope_003[[#This Row],[fecha]]&gt;0,TEXT(C_Ope_003[[#This Row],[fecha]],"mmmm"),0)</f>
        <v>Febrero</v>
      </c>
      <c r="AB74" s="49"/>
    </row>
    <row r="75" spans="1:28" ht="24" x14ac:dyDescent="0.3">
      <c r="A75" s="2">
        <f>IF(C_Ope_003[[#This Row],[tipo_r]]="R",COUNTIFS($C$1:$C74,"R")+1,"")</f>
        <v>74</v>
      </c>
      <c r="B75" s="19" t="str">
        <f t="shared" si="9"/>
        <v>C_Ope_003</v>
      </c>
      <c r="C75" s="3" t="s">
        <v>1330</v>
      </c>
      <c r="D75" s="14">
        <v>45714</v>
      </c>
      <c r="E75" s="5" t="s">
        <v>5595</v>
      </c>
      <c r="F75" s="5" t="s">
        <v>1336</v>
      </c>
      <c r="G75" s="6" t="s">
        <v>979</v>
      </c>
      <c r="H75" s="6" t="s">
        <v>68</v>
      </c>
      <c r="I75" s="6" t="s">
        <v>8234</v>
      </c>
      <c r="J75" s="6">
        <v>2583746</v>
      </c>
      <c r="K75" s="7" t="s">
        <v>8278</v>
      </c>
      <c r="L75" s="8">
        <v>23218</v>
      </c>
      <c r="M75" s="8" t="str">
        <f t="shared" si="10"/>
        <v>PEN</v>
      </c>
      <c r="N75" s="13"/>
      <c r="O75" s="13">
        <v>15</v>
      </c>
      <c r="P75" s="3">
        <f t="shared" si="6"/>
        <v>0</v>
      </c>
      <c r="Q75" s="3">
        <f t="shared" si="7"/>
        <v>15</v>
      </c>
      <c r="R75" s="3">
        <f t="shared" si="8"/>
        <v>543.85000000000025</v>
      </c>
      <c r="S75" s="24" t="s">
        <v>1334</v>
      </c>
      <c r="T75" s="24" t="s">
        <v>1334</v>
      </c>
      <c r="U75" s="3"/>
      <c r="V75" s="25" t="s">
        <v>8277</v>
      </c>
      <c r="W75" s="25">
        <v>20550372640</v>
      </c>
      <c r="X75" s="25" t="str">
        <f>IFERROR(VLOOKUP(C_Ope_003[[#This Row],[nota_2]],Clientes_Proveedores[[Ruc / Dni]:[Razon Social]],2,0),"")</f>
        <v>RUTAS DE LIMA S.A.C.</v>
      </c>
      <c r="Y75" s="25"/>
      <c r="Z75" s="103"/>
      <c r="AA75" s="3" t="str">
        <f>IF(C_Ope_003[[#This Row],[fecha]]&gt;0,TEXT(C_Ope_003[[#This Row],[fecha]],"mmmm"),0)</f>
        <v>Febrero</v>
      </c>
      <c r="AB75" s="49"/>
    </row>
    <row r="76" spans="1:28" ht="24" x14ac:dyDescent="0.3">
      <c r="A76" s="2">
        <f>IF(C_Ope_003[[#This Row],[tipo_r]]="R",COUNTIFS($C$1:$C75,"R")+1,"")</f>
        <v>75</v>
      </c>
      <c r="B76" s="19" t="str">
        <f t="shared" si="9"/>
        <v>C_Ope_003</v>
      </c>
      <c r="C76" s="3" t="s">
        <v>1330</v>
      </c>
      <c r="D76" s="14">
        <v>45712</v>
      </c>
      <c r="E76" s="5" t="s">
        <v>5595</v>
      </c>
      <c r="F76" s="5" t="s">
        <v>1336</v>
      </c>
      <c r="G76" s="6" t="s">
        <v>1047</v>
      </c>
      <c r="H76" s="6" t="s">
        <v>68</v>
      </c>
      <c r="I76" s="6" t="s">
        <v>1374</v>
      </c>
      <c r="J76" s="6">
        <v>58985</v>
      </c>
      <c r="K76" s="7" t="s">
        <v>8249</v>
      </c>
      <c r="L76" s="8">
        <v>23164</v>
      </c>
      <c r="M76" s="8" t="str">
        <f t="shared" si="10"/>
        <v>PEN</v>
      </c>
      <c r="N76" s="13"/>
      <c r="O76" s="13">
        <v>66</v>
      </c>
      <c r="P76" s="3">
        <f t="shared" si="6"/>
        <v>0</v>
      </c>
      <c r="Q76" s="3">
        <f t="shared" si="7"/>
        <v>66</v>
      </c>
      <c r="R76" s="3">
        <f t="shared" si="8"/>
        <v>477.85000000000025</v>
      </c>
      <c r="S76" s="24" t="s">
        <v>1334</v>
      </c>
      <c r="T76" s="24" t="s">
        <v>1334</v>
      </c>
      <c r="U76" s="3"/>
      <c r="V76" s="25" t="s">
        <v>8006</v>
      </c>
      <c r="W76" s="25">
        <v>20552302932</v>
      </c>
      <c r="X76" s="25" t="str">
        <f>IFERROR(VLOOKUP(C_Ope_003[[#This Row],[nota_2]],Clientes_Proveedores[[Ruc / Dni]:[Razon Social]],2,0),"")</f>
        <v>PERUVIAN GROUP FREDAL S.A.C</v>
      </c>
      <c r="Y76" s="25"/>
      <c r="Z76" s="103"/>
      <c r="AA76" s="3" t="str">
        <f>IF(C_Ope_003[[#This Row],[fecha]]&gt;0,TEXT(C_Ope_003[[#This Row],[fecha]],"mmmm"),0)</f>
        <v>Febrero</v>
      </c>
      <c r="AB76" s="49"/>
    </row>
    <row r="77" spans="1:28" x14ac:dyDescent="0.3">
      <c r="A77" s="2">
        <f>IF(C_Ope_003[[#This Row],[tipo_r]]="R",COUNTIFS($C$1:$C76,"R")+1,"")</f>
        <v>76</v>
      </c>
      <c r="B77" s="19" t="str">
        <f t="shared" si="9"/>
        <v>C_Ope_003</v>
      </c>
      <c r="C77" s="3" t="s">
        <v>1330</v>
      </c>
      <c r="D77" s="14">
        <v>45712</v>
      </c>
      <c r="E77" s="5" t="s">
        <v>5595</v>
      </c>
      <c r="F77" s="5" t="s">
        <v>1336</v>
      </c>
      <c r="G77" s="6"/>
      <c r="H77" s="6" t="s">
        <v>126</v>
      </c>
      <c r="I77" s="6"/>
      <c r="J77" s="6"/>
      <c r="K77" s="7" t="s">
        <v>8228</v>
      </c>
      <c r="L77" s="8">
        <v>23165</v>
      </c>
      <c r="M77" s="8" t="str">
        <f t="shared" si="10"/>
        <v>PEN</v>
      </c>
      <c r="N77" s="13"/>
      <c r="O77" s="13">
        <v>16</v>
      </c>
      <c r="P77" s="3">
        <f t="shared" si="6"/>
        <v>0</v>
      </c>
      <c r="Q77" s="3">
        <f t="shared" si="7"/>
        <v>16</v>
      </c>
      <c r="R77" s="3">
        <f t="shared" si="8"/>
        <v>461.85000000000025</v>
      </c>
      <c r="S77" s="24" t="s">
        <v>1334</v>
      </c>
      <c r="T77" s="24" t="s">
        <v>1334</v>
      </c>
      <c r="U77" s="3"/>
      <c r="V77" s="25" t="s">
        <v>8006</v>
      </c>
      <c r="W77" s="25"/>
      <c r="X77" s="25" t="str">
        <f>IFERROR(VLOOKUP(C_Ope_003[[#This Row],[nota_2]],Clientes_Proveedores[[Ruc / Dni]:[Razon Social]],2,0),"")</f>
        <v/>
      </c>
      <c r="Y77" s="25"/>
      <c r="Z77" s="103"/>
      <c r="AA77" s="3" t="str">
        <f>IF(C_Ope_003[[#This Row],[fecha]]&gt;0,TEXT(C_Ope_003[[#This Row],[fecha]],"mmmm"),0)</f>
        <v>Febrero</v>
      </c>
      <c r="AB77" s="49"/>
    </row>
    <row r="78" spans="1:28" ht="24" x14ac:dyDescent="0.3">
      <c r="A78" s="2">
        <f>IF(C_Ope_003[[#This Row],[tipo_r]]="R",COUNTIFS($C$1:$C77,"R")+1,"")</f>
        <v>77</v>
      </c>
      <c r="B78" s="19" t="str">
        <f t="shared" si="9"/>
        <v>C_Ope_003</v>
      </c>
      <c r="C78" s="3" t="s">
        <v>1330</v>
      </c>
      <c r="D78" s="14">
        <v>45712</v>
      </c>
      <c r="E78" s="5" t="s">
        <v>5595</v>
      </c>
      <c r="F78" s="5" t="s">
        <v>1336</v>
      </c>
      <c r="G78" s="6" t="s">
        <v>1131</v>
      </c>
      <c r="H78" s="6" t="s">
        <v>75</v>
      </c>
      <c r="I78" s="6">
        <v>1</v>
      </c>
      <c r="J78" s="6">
        <v>406</v>
      </c>
      <c r="K78" s="7" t="s">
        <v>8229</v>
      </c>
      <c r="L78" s="8">
        <v>23166</v>
      </c>
      <c r="M78" s="8" t="str">
        <f t="shared" si="10"/>
        <v>PEN</v>
      </c>
      <c r="N78" s="13"/>
      <c r="O78" s="13">
        <v>24</v>
      </c>
      <c r="P78" s="3">
        <f t="shared" si="6"/>
        <v>0</v>
      </c>
      <c r="Q78" s="3">
        <f t="shared" si="7"/>
        <v>24</v>
      </c>
      <c r="R78" s="3">
        <f t="shared" si="8"/>
        <v>437.85000000000025</v>
      </c>
      <c r="S78" s="24" t="s">
        <v>1334</v>
      </c>
      <c r="T78" s="24" t="s">
        <v>1334</v>
      </c>
      <c r="U78" s="3"/>
      <c r="V78" s="25" t="s">
        <v>8006</v>
      </c>
      <c r="W78" s="25">
        <v>10440693577</v>
      </c>
      <c r="X78" s="25" t="str">
        <f>IFERROR(VLOOKUP(C_Ope_003[[#This Row],[nota_2]],Clientes_Proveedores[[Ruc / Dni]:[Razon Social]],2,0),"")</f>
        <v>GUADALUPE VEGA ROSA ALVINA</v>
      </c>
      <c r="Y78" s="25"/>
      <c r="Z78" s="103"/>
      <c r="AA78" s="3" t="str">
        <f>IF(C_Ope_003[[#This Row],[fecha]]&gt;0,TEXT(C_Ope_003[[#This Row],[fecha]],"mmmm"),0)</f>
        <v>Febrero</v>
      </c>
      <c r="AB78" s="49"/>
    </row>
    <row r="79" spans="1:28" x14ac:dyDescent="0.3">
      <c r="A79" s="2">
        <f>IF(C_Ope_003[[#This Row],[tipo_r]]="R",COUNTIFS($C$1:$C78,"R")+1,"")</f>
        <v>78</v>
      </c>
      <c r="B79" s="19" t="str">
        <f t="shared" si="9"/>
        <v>C_Ope_003</v>
      </c>
      <c r="C79" s="3" t="s">
        <v>1330</v>
      </c>
      <c r="D79" s="14">
        <v>45712</v>
      </c>
      <c r="E79" s="5" t="s">
        <v>5595</v>
      </c>
      <c r="F79" s="5" t="s">
        <v>1336</v>
      </c>
      <c r="G79" s="6"/>
      <c r="H79" s="6" t="s">
        <v>126</v>
      </c>
      <c r="I79" s="6"/>
      <c r="J79" s="6"/>
      <c r="K79" s="7" t="s">
        <v>8279</v>
      </c>
      <c r="L79" s="8">
        <v>23181</v>
      </c>
      <c r="M79" s="8" t="str">
        <f t="shared" si="10"/>
        <v>PEN</v>
      </c>
      <c r="N79" s="13"/>
      <c r="O79" s="13">
        <v>10</v>
      </c>
      <c r="P79" s="3">
        <f t="shared" si="6"/>
        <v>0</v>
      </c>
      <c r="Q79" s="3">
        <f t="shared" si="7"/>
        <v>10</v>
      </c>
      <c r="R79" s="3">
        <f t="shared" si="8"/>
        <v>427.85000000000025</v>
      </c>
      <c r="S79" s="24" t="s">
        <v>1334</v>
      </c>
      <c r="T79" s="24" t="s">
        <v>1334</v>
      </c>
      <c r="U79" s="3"/>
      <c r="V79" s="25" t="s">
        <v>8006</v>
      </c>
      <c r="W79" s="25"/>
      <c r="X79" s="25" t="str">
        <f>IFERROR(VLOOKUP(C_Ope_003[[#This Row],[nota_2]],Clientes_Proveedores[[Ruc / Dni]:[Razon Social]],2,0),"")</f>
        <v/>
      </c>
      <c r="Y79" s="25"/>
      <c r="Z79" s="103"/>
      <c r="AA79" s="3" t="str">
        <f>IF(C_Ope_003[[#This Row],[fecha]]&gt;0,TEXT(C_Ope_003[[#This Row],[fecha]],"mmmm"),0)</f>
        <v>Febrero</v>
      </c>
      <c r="AB79" s="49"/>
    </row>
    <row r="80" spans="1:28" ht="24" x14ac:dyDescent="0.3">
      <c r="A80" s="2">
        <f>IF(C_Ope_003[[#This Row],[tipo_r]]="R",COUNTIFS($C$1:$C79,"R")+1,"")</f>
        <v>79</v>
      </c>
      <c r="B80" s="19" t="str">
        <f t="shared" si="9"/>
        <v>C_Ope_003</v>
      </c>
      <c r="C80" s="3" t="s">
        <v>1330</v>
      </c>
      <c r="D80" s="14">
        <v>45712</v>
      </c>
      <c r="E80" s="5" t="s">
        <v>5595</v>
      </c>
      <c r="F80" s="5" t="s">
        <v>1336</v>
      </c>
      <c r="G80" s="6" t="s">
        <v>1163</v>
      </c>
      <c r="H80" s="6" t="s">
        <v>75</v>
      </c>
      <c r="I80" s="6">
        <v>1</v>
      </c>
      <c r="J80" s="6">
        <v>1935</v>
      </c>
      <c r="K80" s="7" t="s">
        <v>8280</v>
      </c>
      <c r="L80" s="8">
        <v>23182</v>
      </c>
      <c r="M80" s="8" t="str">
        <f t="shared" si="10"/>
        <v>PEN</v>
      </c>
      <c r="N80" s="13"/>
      <c r="O80" s="13">
        <v>12</v>
      </c>
      <c r="P80" s="3">
        <f t="shared" si="6"/>
        <v>0</v>
      </c>
      <c r="Q80" s="3">
        <f t="shared" si="7"/>
        <v>12</v>
      </c>
      <c r="R80" s="3">
        <f t="shared" si="8"/>
        <v>415.85000000000025</v>
      </c>
      <c r="S80" s="24" t="s">
        <v>1334</v>
      </c>
      <c r="T80" s="24" t="s">
        <v>1334</v>
      </c>
      <c r="U80" s="3"/>
      <c r="V80" s="25" t="s">
        <v>8006</v>
      </c>
      <c r="W80" s="25">
        <v>10718102389</v>
      </c>
      <c r="X80" s="25" t="str">
        <f>IFERROR(VLOOKUP(C_Ope_003[[#This Row],[nota_2]],Clientes_Proveedores[[Ruc / Dni]:[Razon Social]],2,0),"")</f>
        <v>OJEDA CENTENO JAZMINE ESTEFANI</v>
      </c>
      <c r="Y80" s="25"/>
      <c r="Z80" s="103"/>
      <c r="AA80" s="3" t="str">
        <f>IF(C_Ope_003[[#This Row],[fecha]]&gt;0,TEXT(C_Ope_003[[#This Row],[fecha]],"mmmm"),0)</f>
        <v>Febrero</v>
      </c>
      <c r="AB80" s="49"/>
    </row>
    <row r="81" spans="1:28" ht="24" x14ac:dyDescent="0.3">
      <c r="A81" s="2">
        <f>IF(C_Ope_003[[#This Row],[tipo_r]]="R",COUNTIFS($C$1:$C80,"R")+1,"")</f>
        <v>80</v>
      </c>
      <c r="B81" s="19" t="str">
        <f t="shared" si="9"/>
        <v>C_Ope_003</v>
      </c>
      <c r="C81" s="3" t="s">
        <v>1330</v>
      </c>
      <c r="D81" s="14">
        <v>45712</v>
      </c>
      <c r="E81" s="5" t="s">
        <v>5595</v>
      </c>
      <c r="F81" s="5" t="s">
        <v>1336</v>
      </c>
      <c r="G81" s="6" t="s">
        <v>1164</v>
      </c>
      <c r="H81" s="6" t="s">
        <v>68</v>
      </c>
      <c r="I81" s="6" t="s">
        <v>1376</v>
      </c>
      <c r="J81" s="6">
        <v>7367</v>
      </c>
      <c r="K81" s="7" t="s">
        <v>8281</v>
      </c>
      <c r="L81" s="8">
        <v>23187</v>
      </c>
      <c r="M81" s="8" t="str">
        <f t="shared" si="10"/>
        <v>PEN</v>
      </c>
      <c r="N81" s="13"/>
      <c r="O81" s="13">
        <v>60</v>
      </c>
      <c r="P81" s="3">
        <f t="shared" si="6"/>
        <v>0</v>
      </c>
      <c r="Q81" s="3">
        <f t="shared" si="7"/>
        <v>60</v>
      </c>
      <c r="R81" s="3">
        <f t="shared" si="8"/>
        <v>355.85000000000025</v>
      </c>
      <c r="S81" s="24" t="s">
        <v>1334</v>
      </c>
      <c r="T81" s="24" t="s">
        <v>1334</v>
      </c>
      <c r="U81" s="3"/>
      <c r="V81" s="25" t="s">
        <v>8006</v>
      </c>
      <c r="W81" s="25">
        <v>10103616811</v>
      </c>
      <c r="X81" s="25" t="str">
        <f>IFERROR(VLOOKUP(C_Ope_003[[#This Row],[nota_2]],Clientes_Proveedores[[Ruc / Dni]:[Razon Social]],2,0),"")</f>
        <v>CRUZ RAYMUNDO EUSEBIO</v>
      </c>
      <c r="Y81" s="25"/>
      <c r="Z81" s="103"/>
      <c r="AA81" s="3" t="str">
        <f>IF(C_Ope_003[[#This Row],[fecha]]&gt;0,TEXT(C_Ope_003[[#This Row],[fecha]],"mmmm"),0)</f>
        <v>Febrero</v>
      </c>
      <c r="AB81" s="49"/>
    </row>
    <row r="82" spans="1:28" x14ac:dyDescent="0.3">
      <c r="A82" s="2">
        <f>IF(C_Ope_003[[#This Row],[tipo_r]]="R",COUNTIFS($C$1:$C81,"R")+1,"")</f>
        <v>81</v>
      </c>
      <c r="B82" s="19" t="str">
        <f t="shared" si="9"/>
        <v>C_Ope_003</v>
      </c>
      <c r="C82" s="3" t="s">
        <v>1330</v>
      </c>
      <c r="D82" s="14">
        <v>45713</v>
      </c>
      <c r="E82" s="5" t="s">
        <v>5595</v>
      </c>
      <c r="F82" s="5" t="s">
        <v>1336</v>
      </c>
      <c r="G82" s="6"/>
      <c r="H82" s="6" t="s">
        <v>126</v>
      </c>
      <c r="I82" s="6"/>
      <c r="J82" s="6"/>
      <c r="K82" s="7" t="s">
        <v>8282</v>
      </c>
      <c r="L82" s="8">
        <v>23197</v>
      </c>
      <c r="M82" s="8" t="str">
        <f t="shared" si="10"/>
        <v>PEN</v>
      </c>
      <c r="N82" s="13"/>
      <c r="O82" s="13">
        <v>8</v>
      </c>
      <c r="P82" s="3">
        <f t="shared" si="6"/>
        <v>0</v>
      </c>
      <c r="Q82" s="3">
        <f t="shared" si="7"/>
        <v>8</v>
      </c>
      <c r="R82" s="3">
        <f t="shared" si="8"/>
        <v>347.85000000000025</v>
      </c>
      <c r="S82" s="24" t="s">
        <v>1334</v>
      </c>
      <c r="T82" s="24" t="s">
        <v>1334</v>
      </c>
      <c r="U82" s="3"/>
      <c r="V82" s="25"/>
      <c r="W82" s="25"/>
      <c r="X82" s="25" t="str">
        <f>IFERROR(VLOOKUP(C_Ope_003[[#This Row],[nota_2]],Clientes_Proveedores[[Ruc / Dni]:[Razon Social]],2,0),"")</f>
        <v/>
      </c>
      <c r="Y82" s="25"/>
      <c r="Z82" s="103"/>
      <c r="AA82" s="3" t="str">
        <f>IF(C_Ope_003[[#This Row],[fecha]]&gt;0,TEXT(C_Ope_003[[#This Row],[fecha]],"mmmm"),0)</f>
        <v>Febrero</v>
      </c>
      <c r="AB82" s="49"/>
    </row>
    <row r="83" spans="1:28" ht="24" x14ac:dyDescent="0.3">
      <c r="A83" s="2">
        <f>IF(C_Ope_003[[#This Row],[tipo_r]]="R",COUNTIFS($C$1:$C82,"R")+1,"")</f>
        <v>82</v>
      </c>
      <c r="B83" s="19" t="str">
        <f t="shared" si="9"/>
        <v>C_Ope_003</v>
      </c>
      <c r="C83" s="3" t="s">
        <v>1330</v>
      </c>
      <c r="D83" s="14">
        <v>45713</v>
      </c>
      <c r="E83" s="5" t="s">
        <v>5595</v>
      </c>
      <c r="F83" s="5" t="s">
        <v>1336</v>
      </c>
      <c r="G83" s="6" t="s">
        <v>1131</v>
      </c>
      <c r="H83" s="6" t="s">
        <v>75</v>
      </c>
      <c r="I83" s="6">
        <v>1</v>
      </c>
      <c r="J83" s="6">
        <v>408</v>
      </c>
      <c r="K83" s="7" t="s">
        <v>8283</v>
      </c>
      <c r="L83" s="8">
        <v>23198</v>
      </c>
      <c r="M83" s="8" t="str">
        <f t="shared" si="10"/>
        <v>PEN</v>
      </c>
      <c r="N83" s="13"/>
      <c r="O83" s="13">
        <v>12</v>
      </c>
      <c r="P83" s="3">
        <f t="shared" si="6"/>
        <v>0</v>
      </c>
      <c r="Q83" s="3">
        <f t="shared" si="7"/>
        <v>12</v>
      </c>
      <c r="R83" s="3">
        <f t="shared" si="8"/>
        <v>335.85000000000025</v>
      </c>
      <c r="S83" s="24" t="s">
        <v>1334</v>
      </c>
      <c r="T83" s="24" t="s">
        <v>1334</v>
      </c>
      <c r="U83" s="3"/>
      <c r="V83" s="25"/>
      <c r="W83" s="25">
        <v>10440693577</v>
      </c>
      <c r="X83" s="25" t="str">
        <f>IFERROR(VLOOKUP(C_Ope_003[[#This Row],[nota_2]],Clientes_Proveedores[[Ruc / Dni]:[Razon Social]],2,0),"")</f>
        <v>GUADALUPE VEGA ROSA ALVINA</v>
      </c>
      <c r="Y83" s="25"/>
      <c r="Z83" s="103"/>
      <c r="AA83" s="3" t="str">
        <f>IF(C_Ope_003[[#This Row],[fecha]]&gt;0,TEXT(C_Ope_003[[#This Row],[fecha]],"mmmm"),0)</f>
        <v>Febrero</v>
      </c>
      <c r="AB83" s="49"/>
    </row>
    <row r="84" spans="1:28" x14ac:dyDescent="0.3">
      <c r="A84" s="2">
        <f>IF(C_Ope_003[[#This Row],[tipo_r]]="R",COUNTIFS($C$1:$C83,"R")+1,"")</f>
        <v>83</v>
      </c>
      <c r="B84" s="19" t="str">
        <f t="shared" si="9"/>
        <v>C_Ope_003</v>
      </c>
      <c r="C84" s="3" t="s">
        <v>1330</v>
      </c>
      <c r="D84" s="14">
        <v>45713</v>
      </c>
      <c r="E84" s="5" t="s">
        <v>5595</v>
      </c>
      <c r="F84" s="5" t="s">
        <v>1336</v>
      </c>
      <c r="G84" s="6"/>
      <c r="H84" s="6" t="s">
        <v>126</v>
      </c>
      <c r="I84" s="6"/>
      <c r="J84" s="6"/>
      <c r="K84" s="7" t="s">
        <v>8284</v>
      </c>
      <c r="L84" s="8">
        <v>23199</v>
      </c>
      <c r="M84" s="8" t="str">
        <f t="shared" si="10"/>
        <v>PEN</v>
      </c>
      <c r="N84" s="13"/>
      <c r="O84" s="13">
        <v>10</v>
      </c>
      <c r="P84" s="3">
        <f t="shared" si="6"/>
        <v>0</v>
      </c>
      <c r="Q84" s="3">
        <f t="shared" si="7"/>
        <v>10</v>
      </c>
      <c r="R84" s="3">
        <f t="shared" si="8"/>
        <v>325.85000000000025</v>
      </c>
      <c r="S84" s="24" t="s">
        <v>1334</v>
      </c>
      <c r="T84" s="24" t="s">
        <v>1334</v>
      </c>
      <c r="U84" s="3"/>
      <c r="V84" s="25"/>
      <c r="W84" s="25"/>
      <c r="X84" s="25" t="str">
        <f>IFERROR(VLOOKUP(C_Ope_003[[#This Row],[nota_2]],Clientes_Proveedores[[Ruc / Dni]:[Razon Social]],2,0),"")</f>
        <v/>
      </c>
      <c r="Y84" s="25"/>
      <c r="Z84" s="103"/>
      <c r="AA84" s="3" t="str">
        <f>IF(C_Ope_003[[#This Row],[fecha]]&gt;0,TEXT(C_Ope_003[[#This Row],[fecha]],"mmmm"),0)</f>
        <v>Febrero</v>
      </c>
      <c r="AB84" s="49"/>
    </row>
    <row r="85" spans="1:28" ht="24" x14ac:dyDescent="0.3">
      <c r="A85" s="2">
        <f>IF(C_Ope_003[[#This Row],[tipo_r]]="R",COUNTIFS($C$1:$C84,"R")+1,"")</f>
        <v>84</v>
      </c>
      <c r="B85" s="19" t="str">
        <f t="shared" si="9"/>
        <v>C_Ope_003</v>
      </c>
      <c r="C85" s="3" t="s">
        <v>1330</v>
      </c>
      <c r="D85" s="14">
        <v>45713</v>
      </c>
      <c r="E85" s="5" t="s">
        <v>5595</v>
      </c>
      <c r="F85" s="5" t="s">
        <v>1336</v>
      </c>
      <c r="G85" s="6" t="s">
        <v>1165</v>
      </c>
      <c r="H85" s="6" t="s">
        <v>75</v>
      </c>
      <c r="I85" s="6" t="s">
        <v>6248</v>
      </c>
      <c r="J85" s="6">
        <v>111</v>
      </c>
      <c r="K85" s="7" t="s">
        <v>8285</v>
      </c>
      <c r="L85" s="8">
        <v>23200</v>
      </c>
      <c r="M85" s="8" t="str">
        <f t="shared" si="10"/>
        <v>PEN</v>
      </c>
      <c r="N85" s="13"/>
      <c r="O85" s="13">
        <v>12</v>
      </c>
      <c r="P85" s="3">
        <f t="shared" si="6"/>
        <v>0</v>
      </c>
      <c r="Q85" s="3">
        <f t="shared" si="7"/>
        <v>12</v>
      </c>
      <c r="R85" s="3">
        <f t="shared" si="8"/>
        <v>313.85000000000025</v>
      </c>
      <c r="S85" s="24" t="s">
        <v>1334</v>
      </c>
      <c r="T85" s="24" t="s">
        <v>1334</v>
      </c>
      <c r="U85" s="3"/>
      <c r="V85" s="25" t="s">
        <v>8006</v>
      </c>
      <c r="W85" s="25">
        <v>10417626048</v>
      </c>
      <c r="X85" s="25" t="str">
        <f>IFERROR(VLOOKUP(C_Ope_003[[#This Row],[nota_2]],Clientes_Proveedores[[Ruc / Dni]:[Razon Social]],2,0),"")</f>
        <v>NAVARRO MONTOYA ROXANA ROSALY</v>
      </c>
      <c r="Y85" s="25"/>
      <c r="Z85" s="103"/>
      <c r="AA85" s="3" t="str">
        <f>IF(C_Ope_003[[#This Row],[fecha]]&gt;0,TEXT(C_Ope_003[[#This Row],[fecha]],"mmmm"),0)</f>
        <v>Febrero</v>
      </c>
      <c r="AB85" s="49"/>
    </row>
    <row r="86" spans="1:28" ht="24" x14ac:dyDescent="0.3">
      <c r="A86" s="2">
        <f>IF(C_Ope_003[[#This Row],[tipo_r]]="R",COUNTIFS($C$1:$C85,"R")+1,"")</f>
        <v>85</v>
      </c>
      <c r="B86" s="19" t="str">
        <f t="shared" si="9"/>
        <v>C_Ope_003</v>
      </c>
      <c r="C86" s="3" t="s">
        <v>1330</v>
      </c>
      <c r="D86" s="14">
        <v>45713</v>
      </c>
      <c r="E86" s="5" t="s">
        <v>5595</v>
      </c>
      <c r="F86" s="5" t="s">
        <v>1336</v>
      </c>
      <c r="G86" s="6" t="s">
        <v>1166</v>
      </c>
      <c r="H86" s="6" t="s">
        <v>75</v>
      </c>
      <c r="I86" s="6">
        <v>4</v>
      </c>
      <c r="J86" s="6">
        <v>3642</v>
      </c>
      <c r="K86" s="7" t="s">
        <v>8286</v>
      </c>
      <c r="L86" s="8">
        <v>23201</v>
      </c>
      <c r="M86" s="8" t="str">
        <f t="shared" si="10"/>
        <v>PEN</v>
      </c>
      <c r="N86" s="13"/>
      <c r="O86" s="13">
        <v>15</v>
      </c>
      <c r="P86" s="3">
        <f t="shared" si="6"/>
        <v>0</v>
      </c>
      <c r="Q86" s="3">
        <f t="shared" si="7"/>
        <v>15</v>
      </c>
      <c r="R86" s="3">
        <f t="shared" si="8"/>
        <v>298.85000000000025</v>
      </c>
      <c r="S86" s="24" t="s">
        <v>1334</v>
      </c>
      <c r="T86" s="24" t="s">
        <v>1334</v>
      </c>
      <c r="U86" s="3"/>
      <c r="V86" s="25" t="s">
        <v>8006</v>
      </c>
      <c r="W86" s="25">
        <v>10247160847</v>
      </c>
      <c r="X86" s="25" t="str">
        <f>IFERROR(VLOOKUP(C_Ope_003[[#This Row],[nota_2]],Clientes_Proveedores[[Ruc / Dni]:[Razon Social]],2,0),"")</f>
        <v>HILARIO DE HUAITA JUANA CORINA</v>
      </c>
      <c r="Y86" s="25"/>
      <c r="Z86" s="103"/>
      <c r="AA86" s="3" t="str">
        <f>IF(C_Ope_003[[#This Row],[fecha]]&gt;0,TEXT(C_Ope_003[[#This Row],[fecha]],"mmmm"),0)</f>
        <v>Febrero</v>
      </c>
      <c r="AB86" s="49"/>
    </row>
    <row r="87" spans="1:28" x14ac:dyDescent="0.3">
      <c r="A87" s="2">
        <f>IF(C_Ope_003[[#This Row],[tipo_r]]="R",COUNTIFS($C$1:$C86,"R")+1,"")</f>
        <v>86</v>
      </c>
      <c r="B87" s="19" t="str">
        <f t="shared" si="9"/>
        <v>C_Ope_003</v>
      </c>
      <c r="C87" s="3" t="s">
        <v>1330</v>
      </c>
      <c r="D87" s="14">
        <v>45714</v>
      </c>
      <c r="E87" s="5" t="s">
        <v>5595</v>
      </c>
      <c r="F87" s="5" t="s">
        <v>1336</v>
      </c>
      <c r="G87" s="6"/>
      <c r="H87" s="6" t="s">
        <v>126</v>
      </c>
      <c r="I87" s="6"/>
      <c r="J87" s="6"/>
      <c r="K87" s="7" t="s">
        <v>8287</v>
      </c>
      <c r="L87" s="8">
        <v>23214</v>
      </c>
      <c r="M87" s="8" t="str">
        <f t="shared" si="10"/>
        <v>PEN</v>
      </c>
      <c r="N87" s="13"/>
      <c r="O87" s="13">
        <v>8</v>
      </c>
      <c r="P87" s="3">
        <f t="shared" si="6"/>
        <v>0</v>
      </c>
      <c r="Q87" s="3">
        <f t="shared" si="7"/>
        <v>8</v>
      </c>
      <c r="R87" s="3">
        <f t="shared" si="8"/>
        <v>290.85000000000025</v>
      </c>
      <c r="S87" s="24" t="s">
        <v>1334</v>
      </c>
      <c r="T87" s="24" t="s">
        <v>1334</v>
      </c>
      <c r="U87" s="3"/>
      <c r="V87" s="25"/>
      <c r="W87" s="25"/>
      <c r="X87" s="25" t="str">
        <f>IFERROR(VLOOKUP(C_Ope_003[[#This Row],[nota_2]],Clientes_Proveedores[[Ruc / Dni]:[Razon Social]],2,0),"")</f>
        <v/>
      </c>
      <c r="Y87" s="25"/>
      <c r="Z87" s="103"/>
      <c r="AA87" s="3" t="str">
        <f>IF(C_Ope_003[[#This Row],[fecha]]&gt;0,TEXT(C_Ope_003[[#This Row],[fecha]],"mmmm"),0)</f>
        <v>Febrero</v>
      </c>
      <c r="AB87" s="49"/>
    </row>
    <row r="88" spans="1:28" ht="24" x14ac:dyDescent="0.3">
      <c r="A88" s="2">
        <f>IF(C_Ope_003[[#This Row],[tipo_r]]="R",COUNTIFS($C$1:$C87,"R")+1,"")</f>
        <v>87</v>
      </c>
      <c r="B88" s="19" t="str">
        <f t="shared" si="9"/>
        <v>C_Ope_003</v>
      </c>
      <c r="C88" s="3" t="s">
        <v>1330</v>
      </c>
      <c r="D88" s="14">
        <v>45714</v>
      </c>
      <c r="E88" s="5" t="s">
        <v>5595</v>
      </c>
      <c r="F88" s="5" t="s">
        <v>1336</v>
      </c>
      <c r="G88" s="6" t="s">
        <v>1131</v>
      </c>
      <c r="H88" s="6" t="s">
        <v>75</v>
      </c>
      <c r="I88" s="6">
        <v>1</v>
      </c>
      <c r="J88" s="6">
        <v>410</v>
      </c>
      <c r="K88" s="7" t="s">
        <v>8283</v>
      </c>
      <c r="L88" s="8">
        <v>23215</v>
      </c>
      <c r="M88" s="8" t="str">
        <f t="shared" si="10"/>
        <v>PEN</v>
      </c>
      <c r="N88" s="13"/>
      <c r="O88" s="13">
        <v>12</v>
      </c>
      <c r="P88" s="3">
        <f t="shared" si="6"/>
        <v>0</v>
      </c>
      <c r="Q88" s="3">
        <f t="shared" si="7"/>
        <v>12</v>
      </c>
      <c r="R88" s="3">
        <f t="shared" si="8"/>
        <v>278.85000000000025</v>
      </c>
      <c r="S88" s="24" t="s">
        <v>1334</v>
      </c>
      <c r="T88" s="24" t="s">
        <v>1334</v>
      </c>
      <c r="U88" s="3"/>
      <c r="V88" s="25"/>
      <c r="W88" s="25">
        <v>10440693577</v>
      </c>
      <c r="X88" s="25" t="str">
        <f>IFERROR(VLOOKUP(C_Ope_003[[#This Row],[nota_2]],Clientes_Proveedores[[Ruc / Dni]:[Razon Social]],2,0),"")</f>
        <v>GUADALUPE VEGA ROSA ALVINA</v>
      </c>
      <c r="Y88" s="25"/>
      <c r="Z88" s="103"/>
      <c r="AA88" s="3" t="str">
        <f>IF(C_Ope_003[[#This Row],[fecha]]&gt;0,TEXT(C_Ope_003[[#This Row],[fecha]],"mmmm"),0)</f>
        <v>Febrero</v>
      </c>
      <c r="AB88" s="49"/>
    </row>
    <row r="89" spans="1:28" x14ac:dyDescent="0.3">
      <c r="A89" s="2">
        <f>IF(C_Ope_003[[#This Row],[tipo_r]]="R",COUNTIFS($C$1:$C88,"R")+1,"")</f>
        <v>88</v>
      </c>
      <c r="B89" s="19" t="str">
        <f t="shared" si="9"/>
        <v>C_Ope_003</v>
      </c>
      <c r="C89" s="3" t="s">
        <v>1330</v>
      </c>
      <c r="D89" s="14">
        <v>45714</v>
      </c>
      <c r="E89" s="5" t="s">
        <v>5595</v>
      </c>
      <c r="F89" s="5" t="s">
        <v>1336</v>
      </c>
      <c r="G89" s="6"/>
      <c r="H89" s="6" t="s">
        <v>126</v>
      </c>
      <c r="I89" s="6"/>
      <c r="J89" s="6"/>
      <c r="K89" s="7" t="s">
        <v>8279</v>
      </c>
      <c r="L89" s="8">
        <v>23216</v>
      </c>
      <c r="M89" s="8" t="str">
        <f t="shared" si="10"/>
        <v>PEN</v>
      </c>
      <c r="N89" s="13"/>
      <c r="O89" s="13">
        <v>10</v>
      </c>
      <c r="P89" s="3">
        <f t="shared" si="6"/>
        <v>0</v>
      </c>
      <c r="Q89" s="3">
        <f t="shared" si="7"/>
        <v>10</v>
      </c>
      <c r="R89" s="3">
        <f t="shared" si="8"/>
        <v>268.85000000000025</v>
      </c>
      <c r="S89" s="24" t="s">
        <v>1334</v>
      </c>
      <c r="T89" s="24" t="s">
        <v>1334</v>
      </c>
      <c r="U89" s="3"/>
      <c r="V89" s="25"/>
      <c r="W89" s="25"/>
      <c r="X89" s="25" t="str">
        <f>IFERROR(VLOOKUP(C_Ope_003[[#This Row],[nota_2]],Clientes_Proveedores[[Ruc / Dni]:[Razon Social]],2,0),"")</f>
        <v/>
      </c>
      <c r="Y89" s="25"/>
      <c r="Z89" s="103"/>
      <c r="AA89" s="3" t="str">
        <f>IF(C_Ope_003[[#This Row],[fecha]]&gt;0,TEXT(C_Ope_003[[#This Row],[fecha]],"mmmm"),0)</f>
        <v>Febrero</v>
      </c>
      <c r="AB89" s="49"/>
    </row>
    <row r="90" spans="1:28" x14ac:dyDescent="0.3">
      <c r="A90" s="2">
        <f>IF(C_Ope_003[[#This Row],[tipo_r]]="R",COUNTIFS($C$1:$C89,"R")+1,"")</f>
        <v>89</v>
      </c>
      <c r="B90" s="19" t="str">
        <f t="shared" si="9"/>
        <v>C_Ope_003</v>
      </c>
      <c r="C90" s="3" t="s">
        <v>1330</v>
      </c>
      <c r="D90" s="14">
        <v>45715</v>
      </c>
      <c r="E90" s="5" t="s">
        <v>5595</v>
      </c>
      <c r="F90" s="5" t="s">
        <v>1336</v>
      </c>
      <c r="G90" s="6"/>
      <c r="H90" s="6" t="s">
        <v>126</v>
      </c>
      <c r="I90" s="6"/>
      <c r="J90" s="6"/>
      <c r="K90" s="7" t="s">
        <v>8282</v>
      </c>
      <c r="L90" s="8">
        <v>23231</v>
      </c>
      <c r="M90" s="8" t="str">
        <f t="shared" si="10"/>
        <v>PEN</v>
      </c>
      <c r="N90" s="13"/>
      <c r="O90" s="13">
        <v>8</v>
      </c>
      <c r="P90" s="3">
        <f t="shared" si="6"/>
        <v>0</v>
      </c>
      <c r="Q90" s="3">
        <f t="shared" si="7"/>
        <v>8</v>
      </c>
      <c r="R90" s="3">
        <f t="shared" si="8"/>
        <v>260.85000000000025</v>
      </c>
      <c r="S90" s="24" t="s">
        <v>1334</v>
      </c>
      <c r="T90" s="24" t="s">
        <v>1334</v>
      </c>
      <c r="U90" s="3"/>
      <c r="V90" s="25"/>
      <c r="W90" s="25"/>
      <c r="X90" s="25" t="str">
        <f>IFERROR(VLOOKUP(C_Ope_003[[#This Row],[nota_2]],Clientes_Proveedores[[Ruc / Dni]:[Razon Social]],2,0),"")</f>
        <v/>
      </c>
      <c r="Y90" s="25"/>
      <c r="Z90" s="103"/>
      <c r="AA90" s="3" t="str">
        <f>IF(C_Ope_003[[#This Row],[fecha]]&gt;0,TEXT(C_Ope_003[[#This Row],[fecha]],"mmmm"),0)</f>
        <v>Febrero</v>
      </c>
      <c r="AB90" s="49"/>
    </row>
    <row r="91" spans="1:28" x14ac:dyDescent="0.3">
      <c r="A91" s="2">
        <f>IF(C_Ope_003[[#This Row],[tipo_r]]="R",COUNTIFS($C$1:$C90,"R")+1,"")</f>
        <v>90</v>
      </c>
      <c r="B91" s="19" t="str">
        <f t="shared" si="9"/>
        <v>C_Ope_003</v>
      </c>
      <c r="C91" s="3" t="s">
        <v>1330</v>
      </c>
      <c r="D91" s="14">
        <v>45715</v>
      </c>
      <c r="E91" s="5" t="s">
        <v>5595</v>
      </c>
      <c r="F91" s="5" t="s">
        <v>1336</v>
      </c>
      <c r="G91" s="6"/>
      <c r="H91" s="6" t="s">
        <v>126</v>
      </c>
      <c r="I91" s="6"/>
      <c r="J91" s="6"/>
      <c r="K91" s="7" t="s">
        <v>8288</v>
      </c>
      <c r="L91" s="8">
        <v>23232</v>
      </c>
      <c r="M91" s="8" t="str">
        <f t="shared" si="10"/>
        <v>PEN</v>
      </c>
      <c r="N91" s="13"/>
      <c r="O91" s="13">
        <v>15</v>
      </c>
      <c r="P91" s="3">
        <f t="shared" si="6"/>
        <v>0</v>
      </c>
      <c r="Q91" s="3">
        <f t="shared" si="7"/>
        <v>15</v>
      </c>
      <c r="R91" s="3">
        <f t="shared" si="8"/>
        <v>245.85000000000025</v>
      </c>
      <c r="S91" s="24" t="s">
        <v>1334</v>
      </c>
      <c r="T91" s="24" t="s">
        <v>1334</v>
      </c>
      <c r="U91" s="3"/>
      <c r="V91" s="25"/>
      <c r="W91" s="25"/>
      <c r="X91" s="25" t="str">
        <f>IFERROR(VLOOKUP(C_Ope_003[[#This Row],[nota_2]],Clientes_Proveedores[[Ruc / Dni]:[Razon Social]],2,0),"")</f>
        <v/>
      </c>
      <c r="Y91" s="25"/>
      <c r="Z91" s="103"/>
      <c r="AA91" s="3" t="str">
        <f>IF(C_Ope_003[[#This Row],[fecha]]&gt;0,TEXT(C_Ope_003[[#This Row],[fecha]],"mmmm"),0)</f>
        <v>Febrero</v>
      </c>
      <c r="AB91" s="49"/>
    </row>
    <row r="92" spans="1:28" x14ac:dyDescent="0.3">
      <c r="A92" s="2">
        <f>IF(C_Ope_003[[#This Row],[tipo_r]]="R",COUNTIFS($C$1:$C91,"R")+1,"")</f>
        <v>91</v>
      </c>
      <c r="B92" s="19" t="str">
        <f t="shared" si="9"/>
        <v>C_Ope_003</v>
      </c>
      <c r="C92" s="3" t="s">
        <v>1330</v>
      </c>
      <c r="D92" s="14">
        <v>45715</v>
      </c>
      <c r="E92" s="5" t="s">
        <v>5595</v>
      </c>
      <c r="F92" s="5" t="s">
        <v>1336</v>
      </c>
      <c r="G92" s="6"/>
      <c r="H92" s="6" t="s">
        <v>126</v>
      </c>
      <c r="I92" s="6"/>
      <c r="J92" s="6"/>
      <c r="K92" s="7" t="s">
        <v>8289</v>
      </c>
      <c r="L92" s="8">
        <v>23233</v>
      </c>
      <c r="M92" s="8" t="str">
        <f t="shared" si="10"/>
        <v>PEN</v>
      </c>
      <c r="N92" s="13"/>
      <c r="O92" s="13">
        <v>12</v>
      </c>
      <c r="P92" s="3">
        <f t="shared" si="6"/>
        <v>0</v>
      </c>
      <c r="Q92" s="3">
        <f t="shared" si="7"/>
        <v>12</v>
      </c>
      <c r="R92" s="3">
        <f t="shared" si="8"/>
        <v>233.85000000000025</v>
      </c>
      <c r="S92" s="24" t="s">
        <v>1334</v>
      </c>
      <c r="T92" s="24" t="s">
        <v>1334</v>
      </c>
      <c r="U92" s="3"/>
      <c r="V92" s="25"/>
      <c r="W92" s="25"/>
      <c r="X92" s="25" t="str">
        <f>IFERROR(VLOOKUP(C_Ope_003[[#This Row],[nota_2]],Clientes_Proveedores[[Ruc / Dni]:[Razon Social]],2,0),"")</f>
        <v/>
      </c>
      <c r="Y92" s="25"/>
      <c r="Z92" s="103"/>
      <c r="AA92" s="3" t="str">
        <f>IF(C_Ope_003[[#This Row],[fecha]]&gt;0,TEXT(C_Ope_003[[#This Row],[fecha]],"mmmm"),0)</f>
        <v>Febrero</v>
      </c>
      <c r="AB92" s="49"/>
    </row>
    <row r="93" spans="1:28" ht="24" x14ac:dyDescent="0.3">
      <c r="A93" s="2">
        <f>IF(C_Ope_003[[#This Row],[tipo_r]]="R",COUNTIFS($C$1:$C92,"R")+1,"")</f>
        <v>92</v>
      </c>
      <c r="B93" s="19" t="str">
        <f t="shared" si="9"/>
        <v>C_Ope_003</v>
      </c>
      <c r="C93" s="3" t="s">
        <v>1330</v>
      </c>
      <c r="D93" s="14">
        <v>45716</v>
      </c>
      <c r="E93" s="5" t="s">
        <v>5595</v>
      </c>
      <c r="F93" s="5" t="s">
        <v>1336</v>
      </c>
      <c r="G93" s="6" t="s">
        <v>1167</v>
      </c>
      <c r="H93" s="6" t="s">
        <v>68</v>
      </c>
      <c r="I93" s="6" t="s">
        <v>3302</v>
      </c>
      <c r="J93" s="6">
        <v>328</v>
      </c>
      <c r="K93" s="7" t="s">
        <v>8290</v>
      </c>
      <c r="L93" s="8">
        <v>23270</v>
      </c>
      <c r="M93" s="8" t="str">
        <f t="shared" si="10"/>
        <v>PEN</v>
      </c>
      <c r="N93" s="13">
        <v>13</v>
      </c>
      <c r="O93" s="13">
        <v>12</v>
      </c>
      <c r="P93" s="3">
        <f t="shared" si="6"/>
        <v>0</v>
      </c>
      <c r="Q93" s="3">
        <f t="shared" si="7"/>
        <v>12</v>
      </c>
      <c r="R93" s="3">
        <f t="shared" si="8"/>
        <v>221.85000000000025</v>
      </c>
      <c r="S93" s="24" t="s">
        <v>1334</v>
      </c>
      <c r="T93" s="24" t="s">
        <v>1334</v>
      </c>
      <c r="U93" s="3"/>
      <c r="V93" s="25"/>
      <c r="W93" s="25">
        <v>10413662422</v>
      </c>
      <c r="X93" s="25" t="str">
        <f>IFERROR(VLOOKUP(C_Ope_003[[#This Row],[nota_2]],Clientes_Proveedores[[Ruc / Dni]:[Razon Social]],2,0),"")</f>
        <v>QUISPE DEMANUEL CARLA LIZET</v>
      </c>
      <c r="Y93" s="25"/>
      <c r="Z93" s="103"/>
      <c r="AA93" s="3" t="str">
        <f>IF(C_Ope_003[[#This Row],[fecha]]&gt;0,TEXT(C_Ope_003[[#This Row],[fecha]],"mmmm"),0)</f>
        <v>Febrero</v>
      </c>
      <c r="AB93" s="49"/>
    </row>
    <row r="94" spans="1:28" x14ac:dyDescent="0.3">
      <c r="A94" s="2">
        <f>IF(C_Ope_003[[#This Row],[tipo_r]]="R",COUNTIFS($C$1:$C93,"R")+1,"")</f>
        <v>93</v>
      </c>
      <c r="B94" s="19" t="str">
        <f t="shared" si="9"/>
        <v>C_Ope_003</v>
      </c>
      <c r="C94" s="3" t="s">
        <v>1330</v>
      </c>
      <c r="D94" s="14">
        <v>45716</v>
      </c>
      <c r="E94" s="5" t="s">
        <v>5595</v>
      </c>
      <c r="F94" s="5" t="s">
        <v>1336</v>
      </c>
      <c r="G94" s="6"/>
      <c r="H94" s="6" t="s">
        <v>126</v>
      </c>
      <c r="I94" s="6"/>
      <c r="J94" s="6"/>
      <c r="K94" s="7" t="s">
        <v>8291</v>
      </c>
      <c r="L94" s="8">
        <v>23271</v>
      </c>
      <c r="M94" s="8" t="str">
        <f t="shared" si="10"/>
        <v>PEN</v>
      </c>
      <c r="N94" s="13"/>
      <c r="O94" s="13">
        <v>15</v>
      </c>
      <c r="P94" s="3">
        <f t="shared" si="6"/>
        <v>0</v>
      </c>
      <c r="Q94" s="3">
        <f t="shared" si="7"/>
        <v>15</v>
      </c>
      <c r="R94" s="3">
        <f t="shared" si="8"/>
        <v>206.85000000000025</v>
      </c>
      <c r="S94" s="24" t="s">
        <v>1334</v>
      </c>
      <c r="T94" s="24" t="s">
        <v>1334</v>
      </c>
      <c r="U94" s="3"/>
      <c r="V94" s="25"/>
      <c r="W94" s="25"/>
      <c r="X94" s="25" t="str">
        <f>IFERROR(VLOOKUP(C_Ope_003[[#This Row],[nota_2]],Clientes_Proveedores[[Ruc / Dni]:[Razon Social]],2,0),"")</f>
        <v/>
      </c>
      <c r="Y94" s="25"/>
      <c r="Z94" s="103"/>
      <c r="AA94" s="3" t="str">
        <f>IF(C_Ope_003[[#This Row],[fecha]]&gt;0,TEXT(C_Ope_003[[#This Row],[fecha]],"mmmm"),0)</f>
        <v>Febrero</v>
      </c>
      <c r="AB94" s="49"/>
    </row>
    <row r="95" spans="1:28" ht="24" x14ac:dyDescent="0.3">
      <c r="A95" s="2">
        <f>IF(C_Ope_003[[#This Row],[tipo_r]]="R",COUNTIFS($C$1:$C94,"R")+1,"")</f>
        <v>94</v>
      </c>
      <c r="B95" s="19" t="str">
        <f t="shared" si="9"/>
        <v>C_Ope_003</v>
      </c>
      <c r="C95" s="3" t="s">
        <v>1330</v>
      </c>
      <c r="D95" s="14">
        <v>45720</v>
      </c>
      <c r="E95" s="5" t="s">
        <v>5595</v>
      </c>
      <c r="F95" s="5" t="s">
        <v>1336</v>
      </c>
      <c r="G95" s="6" t="s">
        <v>998</v>
      </c>
      <c r="H95" s="6" t="s">
        <v>68</v>
      </c>
      <c r="I95" s="6" t="s">
        <v>6378</v>
      </c>
      <c r="J95" s="6">
        <v>61</v>
      </c>
      <c r="K95" s="7" t="s">
        <v>8292</v>
      </c>
      <c r="L95" s="8">
        <v>23283</v>
      </c>
      <c r="M95" s="8" t="str">
        <f t="shared" si="10"/>
        <v>PEN</v>
      </c>
      <c r="N95" s="13"/>
      <c r="O95" s="13">
        <v>10</v>
      </c>
      <c r="P95" s="3">
        <f t="shared" si="6"/>
        <v>0</v>
      </c>
      <c r="Q95" s="3">
        <f t="shared" si="7"/>
        <v>10</v>
      </c>
      <c r="R95" s="3">
        <f t="shared" si="8"/>
        <v>196.85000000000025</v>
      </c>
      <c r="S95" s="24" t="s">
        <v>1334</v>
      </c>
      <c r="T95" s="24" t="s">
        <v>1334</v>
      </c>
      <c r="U95" s="3"/>
      <c r="V95" s="25" t="s">
        <v>7761</v>
      </c>
      <c r="W95" s="25">
        <v>20612112500</v>
      </c>
      <c r="X95" s="25" t="str">
        <f>IFERROR(VLOOKUP(C_Ope_003[[#This Row],[nota_2]],Clientes_Proveedores[[Ruc / Dni]:[Razon Social]],2,0),"")</f>
        <v>RECICLADORA LAS LOMAS E.I.R.L.</v>
      </c>
      <c r="Y95" s="25"/>
      <c r="Z95" s="103"/>
      <c r="AA95" s="3" t="str">
        <f>IF(C_Ope_003[[#This Row],[fecha]]&gt;0,TEXT(C_Ope_003[[#This Row],[fecha]],"mmmm"),0)</f>
        <v>Marzo</v>
      </c>
      <c r="AB95" s="49"/>
    </row>
    <row r="96" spans="1:28" ht="24" x14ac:dyDescent="0.3">
      <c r="A96" s="2">
        <f>IF(C_Ope_003[[#This Row],[tipo_r]]="R",COUNTIFS($C$1:$C95,"R")+1,"")</f>
        <v>95</v>
      </c>
      <c r="B96" s="19" t="str">
        <f t="shared" si="9"/>
        <v>C_Ope_003</v>
      </c>
      <c r="C96" s="3" t="s">
        <v>1330</v>
      </c>
      <c r="D96" s="14">
        <v>45727</v>
      </c>
      <c r="E96" s="5" t="s">
        <v>5595</v>
      </c>
      <c r="F96" s="5" t="s">
        <v>1336</v>
      </c>
      <c r="G96" s="6" t="s">
        <v>978</v>
      </c>
      <c r="H96" s="6" t="s">
        <v>68</v>
      </c>
      <c r="I96" s="6" t="s">
        <v>6204</v>
      </c>
      <c r="J96" s="6">
        <v>1676638</v>
      </c>
      <c r="K96" s="7" t="s">
        <v>8293</v>
      </c>
      <c r="L96" s="8">
        <v>23372</v>
      </c>
      <c r="M96" s="8" t="str">
        <f t="shared" si="10"/>
        <v>PEN</v>
      </c>
      <c r="N96" s="13"/>
      <c r="O96" s="13">
        <v>12</v>
      </c>
      <c r="P96" s="3">
        <f t="shared" si="6"/>
        <v>0</v>
      </c>
      <c r="Q96" s="3">
        <f t="shared" si="7"/>
        <v>12</v>
      </c>
      <c r="R96" s="3">
        <f t="shared" si="8"/>
        <v>184.85000000000025</v>
      </c>
      <c r="S96" s="24" t="s">
        <v>1334</v>
      </c>
      <c r="T96" s="24" t="s">
        <v>1334</v>
      </c>
      <c r="U96" s="3"/>
      <c r="V96" s="25" t="s">
        <v>8006</v>
      </c>
      <c r="W96" s="25">
        <v>20517252558</v>
      </c>
      <c r="X96" s="25" t="str">
        <f>IFERROR(VLOOKUP(C_Ope_003[[#This Row],[nota_2]],Clientes_Proveedores[[Ruc / Dni]:[Razon Social]],2,0),"")</f>
        <v>COVISUR S.A.</v>
      </c>
      <c r="Y96" s="25"/>
      <c r="Z96" s="103"/>
      <c r="AA96" s="3" t="str">
        <f>IF(C_Ope_003[[#This Row],[fecha]]&gt;0,TEXT(C_Ope_003[[#This Row],[fecha]],"mmmm"),0)</f>
        <v>Marzo</v>
      </c>
      <c r="AB96" s="49"/>
    </row>
    <row r="97" spans="1:28" ht="24" x14ac:dyDescent="0.3">
      <c r="A97" s="2">
        <f>IF(C_Ope_003[[#This Row],[tipo_r]]="R",COUNTIFS($C$1:$C96,"R")+1,"")</f>
        <v>96</v>
      </c>
      <c r="B97" s="19" t="str">
        <f t="shared" si="9"/>
        <v>C_Ope_003</v>
      </c>
      <c r="C97" s="3" t="s">
        <v>1330</v>
      </c>
      <c r="D97" s="14">
        <v>45727</v>
      </c>
      <c r="E97" s="5" t="s">
        <v>5595</v>
      </c>
      <c r="F97" s="5" t="s">
        <v>1336</v>
      </c>
      <c r="G97" s="6" t="s">
        <v>978</v>
      </c>
      <c r="H97" s="6" t="s">
        <v>68</v>
      </c>
      <c r="I97" s="6" t="s">
        <v>5845</v>
      </c>
      <c r="J97" s="6">
        <v>1695927</v>
      </c>
      <c r="K97" s="7" t="s">
        <v>8293</v>
      </c>
      <c r="L97" s="8">
        <v>23374</v>
      </c>
      <c r="M97" s="8" t="str">
        <f t="shared" si="10"/>
        <v>PEN</v>
      </c>
      <c r="N97" s="13"/>
      <c r="O97" s="13">
        <v>12</v>
      </c>
      <c r="P97" s="3">
        <f t="shared" si="6"/>
        <v>0</v>
      </c>
      <c r="Q97" s="3">
        <f t="shared" si="7"/>
        <v>12</v>
      </c>
      <c r="R97" s="3">
        <f t="shared" si="8"/>
        <v>172.85000000000025</v>
      </c>
      <c r="S97" s="24" t="s">
        <v>1334</v>
      </c>
      <c r="T97" s="24" t="s">
        <v>1334</v>
      </c>
      <c r="U97" s="3"/>
      <c r="V97" s="25" t="s">
        <v>8006</v>
      </c>
      <c r="W97" s="25">
        <v>20517252558</v>
      </c>
      <c r="X97" s="25" t="str">
        <f>IFERROR(VLOOKUP(C_Ope_003[[#This Row],[nota_2]],Clientes_Proveedores[[Ruc / Dni]:[Razon Social]],2,0),"")</f>
        <v>COVISUR S.A.</v>
      </c>
      <c r="Y97" s="25"/>
      <c r="Z97" s="103"/>
      <c r="AA97" s="3" t="str">
        <f>IF(C_Ope_003[[#This Row],[fecha]]&gt;0,TEXT(C_Ope_003[[#This Row],[fecha]],"mmmm"),0)</f>
        <v>Marzo</v>
      </c>
      <c r="AB97" s="49"/>
    </row>
    <row r="98" spans="1:28" x14ac:dyDescent="0.3">
      <c r="A98" s="2">
        <f>IF(C_Ope_003[[#This Row],[tipo_r]]="R",COUNTIFS($C$1:$C97,"R")+1,"")</f>
        <v>97</v>
      </c>
      <c r="B98" s="19" t="str">
        <f t="shared" si="9"/>
        <v>C_Ope_003</v>
      </c>
      <c r="C98" s="3" t="s">
        <v>1330</v>
      </c>
      <c r="D98" s="14">
        <v>45733</v>
      </c>
      <c r="E98" s="5" t="s">
        <v>7514</v>
      </c>
      <c r="F98" s="5" t="s">
        <v>1303</v>
      </c>
      <c r="G98" s="6"/>
      <c r="H98" s="6"/>
      <c r="I98" s="6"/>
      <c r="J98" s="6"/>
      <c r="K98" s="7" t="s">
        <v>7516</v>
      </c>
      <c r="L98" s="8">
        <v>23502</v>
      </c>
      <c r="M98" s="8" t="str">
        <f t="shared" si="10"/>
        <v>PEN</v>
      </c>
      <c r="N98" s="13"/>
      <c r="O98" s="13">
        <v>30</v>
      </c>
      <c r="P98" s="3">
        <f t="shared" si="6"/>
        <v>30</v>
      </c>
      <c r="Q98" s="3">
        <f t="shared" si="7"/>
        <v>0</v>
      </c>
      <c r="R98" s="3">
        <f t="shared" si="8"/>
        <v>202.85000000000025</v>
      </c>
      <c r="S98" s="24" t="s">
        <v>1334</v>
      </c>
      <c r="T98" s="24" t="s">
        <v>1334</v>
      </c>
      <c r="U98" s="3"/>
      <c r="V98" s="25"/>
      <c r="W98" s="25"/>
      <c r="X98" s="25" t="str">
        <f>IFERROR(VLOOKUP(C_Ope_003[[#This Row],[nota_2]],Clientes_Proveedores[[Ruc / Dni]:[Razon Social]],2,0),"")</f>
        <v/>
      </c>
      <c r="Y98" s="25"/>
      <c r="Z98" s="103"/>
      <c r="AA98" s="3" t="str">
        <f>IF(C_Ope_003[[#This Row],[fecha]]&gt;0,TEXT(C_Ope_003[[#This Row],[fecha]],"mmmm"),0)</f>
        <v>Marzo</v>
      </c>
      <c r="AB98" s="49"/>
    </row>
    <row r="99" spans="1:28" x14ac:dyDescent="0.3">
      <c r="A99" s="2">
        <f>IF(C_Ope_003[[#This Row],[tipo_r]]="R",COUNTIFS($C$1:$C98,"R")+1,"")</f>
        <v>98</v>
      </c>
      <c r="B99" s="19" t="str">
        <f t="shared" si="9"/>
        <v>C_Ope_003</v>
      </c>
      <c r="C99" s="3" t="s">
        <v>1330</v>
      </c>
      <c r="D99" s="14">
        <v>45733</v>
      </c>
      <c r="E99" s="5" t="s">
        <v>5595</v>
      </c>
      <c r="F99" s="5" t="s">
        <v>1336</v>
      </c>
      <c r="G99" s="6" t="s">
        <v>978</v>
      </c>
      <c r="H99" s="6" t="s">
        <v>68</v>
      </c>
      <c r="I99" s="6" t="s">
        <v>5845</v>
      </c>
      <c r="J99" s="6">
        <v>1700808</v>
      </c>
      <c r="K99" s="7" t="s">
        <v>8294</v>
      </c>
      <c r="L99" s="8">
        <v>23442</v>
      </c>
      <c r="M99" s="8" t="str">
        <f t="shared" si="10"/>
        <v>PEN</v>
      </c>
      <c r="N99" s="13"/>
      <c r="O99" s="13">
        <v>12</v>
      </c>
      <c r="P99" s="3">
        <f t="shared" si="6"/>
        <v>0</v>
      </c>
      <c r="Q99" s="3">
        <f t="shared" si="7"/>
        <v>12</v>
      </c>
      <c r="R99" s="3">
        <f t="shared" si="8"/>
        <v>190.85000000000025</v>
      </c>
      <c r="S99" s="24" t="s">
        <v>1334</v>
      </c>
      <c r="T99" s="24" t="s">
        <v>1334</v>
      </c>
      <c r="U99" s="3"/>
      <c r="V99" s="25" t="s">
        <v>8006</v>
      </c>
      <c r="W99" s="25">
        <v>20517252558</v>
      </c>
      <c r="X99" s="25" t="str">
        <f>IFERROR(VLOOKUP(C_Ope_003[[#This Row],[nota_2]],Clientes_Proveedores[[Ruc / Dni]:[Razon Social]],2,0),"")</f>
        <v>COVISUR S.A.</v>
      </c>
      <c r="Y99" s="25"/>
      <c r="Z99" s="103"/>
      <c r="AA99" s="3" t="str">
        <f>IF(C_Ope_003[[#This Row],[fecha]]&gt;0,TEXT(C_Ope_003[[#This Row],[fecha]],"mmmm"),0)</f>
        <v>Marzo</v>
      </c>
      <c r="AB99" s="49"/>
    </row>
    <row r="100" spans="1:28" ht="36" x14ac:dyDescent="0.3">
      <c r="A100" s="2">
        <f>IF(C_Ope_003[[#This Row],[tipo_r]]="R",COUNTIFS($C$1:$C99,"R")+1,"")</f>
        <v>99</v>
      </c>
      <c r="B100" s="19" t="str">
        <f t="shared" si="9"/>
        <v>C_Ope_003</v>
      </c>
      <c r="C100" s="3" t="s">
        <v>1330</v>
      </c>
      <c r="D100" s="14">
        <v>45733</v>
      </c>
      <c r="E100" s="5" t="s">
        <v>5595</v>
      </c>
      <c r="F100" s="5" t="s">
        <v>1336</v>
      </c>
      <c r="G100" s="6" t="s">
        <v>978</v>
      </c>
      <c r="H100" s="6" t="s">
        <v>68</v>
      </c>
      <c r="I100" s="6" t="s">
        <v>5688</v>
      </c>
      <c r="J100" s="6">
        <v>2267797</v>
      </c>
      <c r="K100" s="7" t="s">
        <v>8295</v>
      </c>
      <c r="L100" s="8">
        <v>23459</v>
      </c>
      <c r="M100" s="8" t="str">
        <f t="shared" si="10"/>
        <v>PEN</v>
      </c>
      <c r="N100" s="13"/>
      <c r="O100" s="13">
        <v>8</v>
      </c>
      <c r="P100" s="3">
        <f t="shared" si="6"/>
        <v>0</v>
      </c>
      <c r="Q100" s="3">
        <f t="shared" si="7"/>
        <v>8</v>
      </c>
      <c r="R100" s="3">
        <f t="shared" si="8"/>
        <v>182.85000000000025</v>
      </c>
      <c r="S100" s="24" t="s">
        <v>1334</v>
      </c>
      <c r="T100" s="24" t="s">
        <v>1334</v>
      </c>
      <c r="U100" s="3"/>
      <c r="V100" s="25" t="s">
        <v>7842</v>
      </c>
      <c r="W100" s="25">
        <v>20517252558</v>
      </c>
      <c r="X100" s="25" t="str">
        <f>IFERROR(VLOOKUP(C_Ope_003[[#This Row],[nota_2]],Clientes_Proveedores[[Ruc / Dni]:[Razon Social]],2,0),"")</f>
        <v>COVISUR S.A.</v>
      </c>
      <c r="Y100" s="25"/>
      <c r="Z100" s="103"/>
      <c r="AA100" s="3" t="str">
        <f>IF(C_Ope_003[[#This Row],[fecha]]&gt;0,TEXT(C_Ope_003[[#This Row],[fecha]],"mmmm"),0)</f>
        <v>Marzo</v>
      </c>
      <c r="AB100" s="49"/>
    </row>
    <row r="101" spans="1:28" ht="24" x14ac:dyDescent="0.3">
      <c r="A101" s="2">
        <f>IF(C_Ope_003[[#This Row],[tipo_r]]="R",COUNTIFS($C$1:$C100,"R")+1,"")</f>
        <v>100</v>
      </c>
      <c r="B101" s="19" t="str">
        <f t="shared" si="9"/>
        <v>C_Ope_003</v>
      </c>
      <c r="C101" s="3" t="s">
        <v>1330</v>
      </c>
      <c r="D101" s="14">
        <v>45736</v>
      </c>
      <c r="E101" s="5" t="s">
        <v>5595</v>
      </c>
      <c r="F101" s="5" t="s">
        <v>1336</v>
      </c>
      <c r="G101" s="6" t="s">
        <v>978</v>
      </c>
      <c r="H101" s="6" t="s">
        <v>68</v>
      </c>
      <c r="I101" s="6" t="s">
        <v>5845</v>
      </c>
      <c r="J101" s="6">
        <v>1703577</v>
      </c>
      <c r="K101" s="7" t="s">
        <v>8296</v>
      </c>
      <c r="L101" s="8">
        <v>23543</v>
      </c>
      <c r="M101" s="8" t="str">
        <f t="shared" si="10"/>
        <v>PEN</v>
      </c>
      <c r="N101" s="13"/>
      <c r="O101" s="13">
        <v>12</v>
      </c>
      <c r="P101" s="3">
        <f t="shared" si="6"/>
        <v>0</v>
      </c>
      <c r="Q101" s="3">
        <f t="shared" si="7"/>
        <v>12</v>
      </c>
      <c r="R101" s="3">
        <f t="shared" si="8"/>
        <v>170.85000000000025</v>
      </c>
      <c r="S101" s="24" t="s">
        <v>1334</v>
      </c>
      <c r="T101" s="24" t="s">
        <v>1334</v>
      </c>
      <c r="U101" s="3"/>
      <c r="V101" s="25" t="s">
        <v>8006</v>
      </c>
      <c r="W101" s="25">
        <v>20517252558</v>
      </c>
      <c r="X101" s="25" t="str">
        <f>IFERROR(VLOOKUP(C_Ope_003[[#This Row],[nota_2]],Clientes_Proveedores[[Ruc / Dni]:[Razon Social]],2,0),"")</f>
        <v>COVISUR S.A.</v>
      </c>
      <c r="Y101" s="25"/>
      <c r="Z101" s="103"/>
      <c r="AA101" s="3" t="str">
        <f>IF(C_Ope_003[[#This Row],[fecha]]&gt;0,TEXT(C_Ope_003[[#This Row],[fecha]],"mmmm"),0)</f>
        <v>Marzo</v>
      </c>
      <c r="AB101" s="49"/>
    </row>
    <row r="102" spans="1:28" ht="36" x14ac:dyDescent="0.3">
      <c r="A102" s="2">
        <f>IF(C_Ope_003[[#This Row],[tipo_r]]="R",COUNTIFS($C$1:$C101,"R")+1,"")</f>
        <v>101</v>
      </c>
      <c r="B102" s="19" t="str">
        <f t="shared" si="9"/>
        <v>C_Ope_003</v>
      </c>
      <c r="C102" s="3" t="s">
        <v>1330</v>
      </c>
      <c r="D102" s="14">
        <v>45735</v>
      </c>
      <c r="E102" s="5" t="s">
        <v>5595</v>
      </c>
      <c r="F102" s="5" t="s">
        <v>1336</v>
      </c>
      <c r="G102" s="6" t="s">
        <v>682</v>
      </c>
      <c r="H102" s="6" t="s">
        <v>68</v>
      </c>
      <c r="I102" s="6" t="s">
        <v>1353</v>
      </c>
      <c r="J102" s="6">
        <v>15903</v>
      </c>
      <c r="K102" s="7" t="s">
        <v>8297</v>
      </c>
      <c r="L102" s="8">
        <v>23503</v>
      </c>
      <c r="M102" s="8" t="str">
        <f t="shared" si="10"/>
        <v>PEN</v>
      </c>
      <c r="N102" s="13"/>
      <c r="O102" s="13">
        <v>20</v>
      </c>
      <c r="P102" s="3">
        <f t="shared" si="6"/>
        <v>0</v>
      </c>
      <c r="Q102" s="3">
        <f t="shared" si="7"/>
        <v>20</v>
      </c>
      <c r="R102" s="3">
        <f t="shared" si="8"/>
        <v>150.85000000000025</v>
      </c>
      <c r="S102" s="24" t="s">
        <v>1334</v>
      </c>
      <c r="T102" s="24" t="s">
        <v>1334</v>
      </c>
      <c r="U102" s="3"/>
      <c r="V102" s="25" t="s">
        <v>7761</v>
      </c>
      <c r="W102" s="25">
        <v>20259858934</v>
      </c>
      <c r="X102" s="25" t="str">
        <f>IFERROR(VLOOKUP(C_Ope_003[[#This Row],[nota_2]],Clientes_Proveedores[[Ruc / Dni]:[Razon Social]],2,0),"")</f>
        <v>COMERCIALIZACION Y SERVICIOS EL EDEN S.A.C.</v>
      </c>
      <c r="Y102" s="25"/>
      <c r="Z102" s="103"/>
      <c r="AA102" s="3" t="str">
        <f>IF(C_Ope_003[[#This Row],[fecha]]&gt;0,TEXT(C_Ope_003[[#This Row],[fecha]],"mmmm"),0)</f>
        <v>Marzo</v>
      </c>
      <c r="AB102" s="49"/>
    </row>
    <row r="103" spans="1:28" x14ac:dyDescent="0.3">
      <c r="A103" s="2">
        <f>IF(C_Ope_003[[#This Row],[tipo_r]]="R",COUNTIFS($C$1:$C102,"R")+1,"")</f>
        <v>102</v>
      </c>
      <c r="B103" s="19" t="str">
        <f t="shared" si="9"/>
        <v>C_Ope_003</v>
      </c>
      <c r="C103" s="3" t="s">
        <v>1330</v>
      </c>
      <c r="D103" s="14">
        <v>45740</v>
      </c>
      <c r="E103" s="5" t="s">
        <v>7514</v>
      </c>
      <c r="F103" s="5" t="s">
        <v>1303</v>
      </c>
      <c r="G103" s="6"/>
      <c r="H103" s="6"/>
      <c r="I103" s="6"/>
      <c r="J103" s="6"/>
      <c r="K103" s="7" t="s">
        <v>7516</v>
      </c>
      <c r="L103" s="8">
        <v>23578</v>
      </c>
      <c r="M103" s="8" t="str">
        <f t="shared" si="10"/>
        <v>PEN</v>
      </c>
      <c r="N103" s="13"/>
      <c r="O103" s="13">
        <v>50</v>
      </c>
      <c r="P103" s="3">
        <f t="shared" si="6"/>
        <v>50</v>
      </c>
      <c r="Q103" s="3">
        <f t="shared" si="7"/>
        <v>0</v>
      </c>
      <c r="R103" s="3">
        <f t="shared" si="8"/>
        <v>200.85000000000025</v>
      </c>
      <c r="S103" s="24" t="s">
        <v>1334</v>
      </c>
      <c r="T103" s="24" t="s">
        <v>1334</v>
      </c>
      <c r="U103" s="3"/>
      <c r="V103" s="25"/>
      <c r="W103" s="25"/>
      <c r="X103" s="25" t="str">
        <f>IFERROR(VLOOKUP(C_Ope_003[[#This Row],[nota_2]],Clientes_Proveedores[[Ruc / Dni]:[Razon Social]],2,0),"")</f>
        <v/>
      </c>
      <c r="Y103" s="25"/>
      <c r="Z103" s="103"/>
      <c r="AA103" s="3" t="str">
        <f>IF(C_Ope_003[[#This Row],[fecha]]&gt;0,TEXT(C_Ope_003[[#This Row],[fecha]],"mmmm"),0)</f>
        <v>Marzo</v>
      </c>
      <c r="AB103" s="49"/>
    </row>
    <row r="104" spans="1:28" x14ac:dyDescent="0.3">
      <c r="A104" s="2">
        <f>IF(C_Ope_003[[#This Row],[tipo_r]]="R",COUNTIFS($C$1:$C103,"R")+1,"")</f>
        <v>103</v>
      </c>
      <c r="B104" s="19" t="str">
        <f t="shared" si="9"/>
        <v>C_Ope_003</v>
      </c>
      <c r="C104" s="3" t="s">
        <v>1330</v>
      </c>
      <c r="D104" s="14">
        <v>45740</v>
      </c>
      <c r="E104" s="5" t="s">
        <v>5595</v>
      </c>
      <c r="F104" s="5" t="s">
        <v>1336</v>
      </c>
      <c r="G104" s="6" t="s">
        <v>978</v>
      </c>
      <c r="H104" s="6" t="s">
        <v>68</v>
      </c>
      <c r="I104" s="6" t="s">
        <v>6380</v>
      </c>
      <c r="J104" s="6">
        <v>375568</v>
      </c>
      <c r="K104" s="7" t="s">
        <v>8298</v>
      </c>
      <c r="L104" s="8">
        <v>23573</v>
      </c>
      <c r="M104" s="8" t="str">
        <f t="shared" si="10"/>
        <v>PEN</v>
      </c>
      <c r="N104" s="13"/>
      <c r="O104" s="13">
        <v>8</v>
      </c>
      <c r="P104" s="3">
        <f t="shared" si="6"/>
        <v>0</v>
      </c>
      <c r="Q104" s="3">
        <f t="shared" si="7"/>
        <v>8</v>
      </c>
      <c r="R104" s="3">
        <f t="shared" si="8"/>
        <v>192.85000000000025</v>
      </c>
      <c r="S104" s="24" t="s">
        <v>1334</v>
      </c>
      <c r="T104" s="24" t="s">
        <v>1334</v>
      </c>
      <c r="U104" s="3"/>
      <c r="V104" s="25" t="s">
        <v>7842</v>
      </c>
      <c r="W104" s="25">
        <v>20517252558</v>
      </c>
      <c r="X104" s="25" t="str">
        <f>IFERROR(VLOOKUP(C_Ope_003[[#This Row],[nota_2]],Clientes_Proveedores[[Ruc / Dni]:[Razon Social]],2,0),"")</f>
        <v>COVISUR S.A.</v>
      </c>
      <c r="Y104" s="25"/>
      <c r="Z104" s="103"/>
      <c r="AA104" s="3" t="str">
        <f>IF(C_Ope_003[[#This Row],[fecha]]&gt;0,TEXT(C_Ope_003[[#This Row],[fecha]],"mmmm"),0)</f>
        <v>Marzo</v>
      </c>
      <c r="AB104" s="49"/>
    </row>
    <row r="105" spans="1:28" x14ac:dyDescent="0.3">
      <c r="A105" s="2">
        <f>IF(C_Ope_003[[#This Row],[tipo_r]]="R",COUNTIFS($C$1:$C104,"R")+1,"")</f>
        <v>104</v>
      </c>
      <c r="B105" s="19" t="str">
        <f t="shared" si="9"/>
        <v>C_Ope_003</v>
      </c>
      <c r="C105" s="3" t="s">
        <v>1330</v>
      </c>
      <c r="D105" s="14">
        <v>45740</v>
      </c>
      <c r="E105" s="5" t="s">
        <v>5595</v>
      </c>
      <c r="F105" s="5" t="s">
        <v>1336</v>
      </c>
      <c r="G105" s="6" t="s">
        <v>978</v>
      </c>
      <c r="H105" s="6" t="s">
        <v>68</v>
      </c>
      <c r="I105" s="6" t="s">
        <v>6245</v>
      </c>
      <c r="J105" s="6">
        <v>943154</v>
      </c>
      <c r="K105" s="7" t="s">
        <v>8298</v>
      </c>
      <c r="L105" s="8">
        <v>23574</v>
      </c>
      <c r="M105" s="8" t="str">
        <f t="shared" si="10"/>
        <v>PEN</v>
      </c>
      <c r="N105" s="13"/>
      <c r="O105" s="13">
        <v>8</v>
      </c>
      <c r="P105" s="3">
        <f t="shared" si="6"/>
        <v>0</v>
      </c>
      <c r="Q105" s="3">
        <f t="shared" si="7"/>
        <v>8</v>
      </c>
      <c r="R105" s="3">
        <f t="shared" si="8"/>
        <v>184.85000000000025</v>
      </c>
      <c r="S105" s="24" t="s">
        <v>1334</v>
      </c>
      <c r="T105" s="24" t="s">
        <v>1334</v>
      </c>
      <c r="U105" s="3"/>
      <c r="V105" s="25" t="s">
        <v>7842</v>
      </c>
      <c r="W105" s="25">
        <v>20517252558</v>
      </c>
      <c r="X105" s="25" t="str">
        <f>IFERROR(VLOOKUP(C_Ope_003[[#This Row],[nota_2]],Clientes_Proveedores[[Ruc / Dni]:[Razon Social]],2,0),"")</f>
        <v>COVISUR S.A.</v>
      </c>
      <c r="Y105" s="25"/>
      <c r="Z105" s="103"/>
      <c r="AA105" s="3" t="str">
        <f>IF(C_Ope_003[[#This Row],[fecha]]&gt;0,TEXT(C_Ope_003[[#This Row],[fecha]],"mmmm"),0)</f>
        <v>Marzo</v>
      </c>
      <c r="AB105" s="49"/>
    </row>
    <row r="106" spans="1:28" ht="36" x14ac:dyDescent="0.3">
      <c r="A106" s="2">
        <f>IF(C_Ope_003[[#This Row],[tipo_r]]="R",COUNTIFS($C$1:$C105,"R")+1,"")</f>
        <v>105</v>
      </c>
      <c r="B106" s="19" t="str">
        <f t="shared" si="9"/>
        <v>C_Ope_003</v>
      </c>
      <c r="C106" s="3" t="s">
        <v>1330</v>
      </c>
      <c r="D106" s="14">
        <v>45740</v>
      </c>
      <c r="E106" s="5" t="s">
        <v>5595</v>
      </c>
      <c r="F106" s="5" t="s">
        <v>1336</v>
      </c>
      <c r="G106" s="6" t="s">
        <v>1029</v>
      </c>
      <c r="H106" s="6" t="s">
        <v>68</v>
      </c>
      <c r="I106" s="6" t="s">
        <v>1374</v>
      </c>
      <c r="J106" s="6">
        <v>17144</v>
      </c>
      <c r="K106" s="7" t="s">
        <v>8299</v>
      </c>
      <c r="L106" s="8">
        <v>23576</v>
      </c>
      <c r="M106" s="8" t="str">
        <f t="shared" si="10"/>
        <v>PEN</v>
      </c>
      <c r="N106" s="13"/>
      <c r="O106" s="13">
        <v>11</v>
      </c>
      <c r="P106" s="3">
        <f t="shared" si="6"/>
        <v>0</v>
      </c>
      <c r="Q106" s="3">
        <f t="shared" si="7"/>
        <v>11</v>
      </c>
      <c r="R106" s="3">
        <f t="shared" si="8"/>
        <v>173.85000000000025</v>
      </c>
      <c r="S106" s="24" t="s">
        <v>1334</v>
      </c>
      <c r="T106" s="24" t="s">
        <v>1334</v>
      </c>
      <c r="U106" s="3"/>
      <c r="V106" s="25" t="s">
        <v>7842</v>
      </c>
      <c r="W106" s="25">
        <v>20454058187</v>
      </c>
      <c r="X106" s="25" t="str">
        <f>IFERROR(VLOOKUP(C_Ope_003[[#This Row],[nota_2]],Clientes_Proveedores[[Ruc / Dni]:[Razon Social]],2,0),"")</f>
        <v>ZONA ESPECIAL DE DESARROLLO ZED MATARANI</v>
      </c>
      <c r="Y106" s="25"/>
      <c r="Z106" s="103"/>
      <c r="AA106" s="3" t="str">
        <f>IF(C_Ope_003[[#This Row],[fecha]]&gt;0,TEXT(C_Ope_003[[#This Row],[fecha]],"mmmm"),0)</f>
        <v>Marzo</v>
      </c>
      <c r="AB106" s="49"/>
    </row>
    <row r="107" spans="1:28" ht="36" x14ac:dyDescent="0.3">
      <c r="A107" s="2">
        <f>IF(C_Ope_003[[#This Row],[tipo_r]]="R",COUNTIFS($C$1:$C106,"R")+1,"")</f>
        <v>106</v>
      </c>
      <c r="B107" s="19" t="str">
        <f t="shared" si="9"/>
        <v>C_Ope_003</v>
      </c>
      <c r="C107" s="3" t="s">
        <v>1330</v>
      </c>
      <c r="D107" s="14">
        <v>45744</v>
      </c>
      <c r="E107" s="5" t="s">
        <v>5595</v>
      </c>
      <c r="F107" s="5" t="s">
        <v>1336</v>
      </c>
      <c r="G107" s="6" t="s">
        <v>682</v>
      </c>
      <c r="H107" s="6" t="s">
        <v>68</v>
      </c>
      <c r="I107" s="6" t="s">
        <v>1353</v>
      </c>
      <c r="J107" s="6">
        <v>15977</v>
      </c>
      <c r="K107" s="7" t="s">
        <v>8300</v>
      </c>
      <c r="L107" s="8">
        <v>23641</v>
      </c>
      <c r="M107" s="8" t="str">
        <f t="shared" si="10"/>
        <v>PEN</v>
      </c>
      <c r="N107" s="13"/>
      <c r="O107" s="13">
        <v>20</v>
      </c>
      <c r="P107" s="3">
        <f t="shared" si="6"/>
        <v>0</v>
      </c>
      <c r="Q107" s="3">
        <f t="shared" si="7"/>
        <v>20</v>
      </c>
      <c r="R107" s="3">
        <f t="shared" si="8"/>
        <v>153.85000000000025</v>
      </c>
      <c r="S107" s="24" t="s">
        <v>1334</v>
      </c>
      <c r="T107" s="24" t="s">
        <v>1334</v>
      </c>
      <c r="U107" s="3"/>
      <c r="V107" s="25" t="s">
        <v>7842</v>
      </c>
      <c r="W107" s="25">
        <v>20259858934</v>
      </c>
      <c r="X107" s="25" t="str">
        <f>IFERROR(VLOOKUP(C_Ope_003[[#This Row],[nota_2]],Clientes_Proveedores[[Ruc / Dni]:[Razon Social]],2,0),"")</f>
        <v>COMERCIALIZACION Y SERVICIOS EL EDEN S.A.C.</v>
      </c>
      <c r="Y107" s="25"/>
      <c r="Z107" s="103"/>
      <c r="AA107" s="3" t="str">
        <f>IF(C_Ope_003[[#This Row],[fecha]]&gt;0,TEXT(C_Ope_003[[#This Row],[fecha]],"mmmm"),0)</f>
        <v>Marzo</v>
      </c>
      <c r="AB107" s="49"/>
    </row>
    <row r="108" spans="1:28" ht="36" x14ac:dyDescent="0.3">
      <c r="A108" s="2">
        <f>IF(C_Ope_003[[#This Row],[tipo_r]]="R",COUNTIFS($C$1:$C107,"R")+1,"")</f>
        <v>107</v>
      </c>
      <c r="B108" s="19" t="str">
        <f t="shared" si="9"/>
        <v>C_Ope_003</v>
      </c>
      <c r="C108" s="3" t="s">
        <v>1330</v>
      </c>
      <c r="D108" s="14">
        <v>45744</v>
      </c>
      <c r="E108" s="5" t="s">
        <v>5595</v>
      </c>
      <c r="F108" s="5" t="s">
        <v>1336</v>
      </c>
      <c r="G108" s="6" t="s">
        <v>682</v>
      </c>
      <c r="H108" s="6" t="s">
        <v>68</v>
      </c>
      <c r="I108" s="6" t="s">
        <v>1353</v>
      </c>
      <c r="J108" s="6">
        <v>15982</v>
      </c>
      <c r="K108" s="7" t="s">
        <v>8301</v>
      </c>
      <c r="L108" s="8">
        <v>23642</v>
      </c>
      <c r="M108" s="8" t="str">
        <f t="shared" si="10"/>
        <v>PEN</v>
      </c>
      <c r="N108" s="13"/>
      <c r="O108" s="13">
        <v>20</v>
      </c>
      <c r="P108" s="3">
        <f t="shared" si="6"/>
        <v>0</v>
      </c>
      <c r="Q108" s="3">
        <f t="shared" si="7"/>
        <v>20</v>
      </c>
      <c r="R108" s="3">
        <f t="shared" si="8"/>
        <v>133.85000000000025</v>
      </c>
      <c r="S108" s="24" t="s">
        <v>1334</v>
      </c>
      <c r="T108" s="24" t="s">
        <v>1334</v>
      </c>
      <c r="U108" s="3"/>
      <c r="V108" s="25" t="s">
        <v>7842</v>
      </c>
      <c r="W108" s="25">
        <v>20259858934</v>
      </c>
      <c r="X108" s="25" t="str">
        <f>IFERROR(VLOOKUP(C_Ope_003[[#This Row],[nota_2]],Clientes_Proveedores[[Ruc / Dni]:[Razon Social]],2,0),"")</f>
        <v>COMERCIALIZACION Y SERVICIOS EL EDEN S.A.C.</v>
      </c>
      <c r="Y108" s="25"/>
      <c r="Z108" s="103"/>
      <c r="AA108" s="3" t="str">
        <f>IF(C_Ope_003[[#This Row],[fecha]]&gt;0,TEXT(C_Ope_003[[#This Row],[fecha]],"mmmm"),0)</f>
        <v>Marzo</v>
      </c>
      <c r="AB108" s="49"/>
    </row>
    <row r="109" spans="1:28" ht="24" x14ac:dyDescent="0.3">
      <c r="A109" s="2">
        <f>IF(C_Ope_003[[#This Row],[tipo_r]]="R",COUNTIFS($C$1:$C108,"R")+1,"")</f>
        <v>108</v>
      </c>
      <c r="B109" s="19" t="str">
        <f t="shared" si="9"/>
        <v>C_Ope_003</v>
      </c>
      <c r="C109" s="3" t="s">
        <v>1330</v>
      </c>
      <c r="D109" s="14">
        <v>45747</v>
      </c>
      <c r="E109" s="5" t="s">
        <v>5595</v>
      </c>
      <c r="F109" s="5" t="s">
        <v>1336</v>
      </c>
      <c r="G109" s="6" t="s">
        <v>1147</v>
      </c>
      <c r="H109" s="6" t="s">
        <v>68</v>
      </c>
      <c r="I109" s="6" t="s">
        <v>1386</v>
      </c>
      <c r="J109" s="6">
        <v>16160</v>
      </c>
      <c r="K109" s="7" t="s">
        <v>8302</v>
      </c>
      <c r="L109" s="8">
        <v>23718</v>
      </c>
      <c r="M109" s="8" t="str">
        <f t="shared" si="10"/>
        <v>PEN</v>
      </c>
      <c r="N109" s="13"/>
      <c r="O109" s="13">
        <v>12</v>
      </c>
      <c r="P109" s="3">
        <f t="shared" si="6"/>
        <v>0</v>
      </c>
      <c r="Q109" s="3">
        <f t="shared" si="7"/>
        <v>12</v>
      </c>
      <c r="R109" s="3">
        <f t="shared" si="8"/>
        <v>121.85000000000025</v>
      </c>
      <c r="S109" s="24" t="s">
        <v>1334</v>
      </c>
      <c r="T109" s="24" t="s">
        <v>1334</v>
      </c>
      <c r="U109" s="3"/>
      <c r="V109" s="25" t="s">
        <v>7842</v>
      </c>
      <c r="W109" s="25">
        <v>20162554167</v>
      </c>
      <c r="X109" s="25" t="str">
        <f>IFERROR(VLOOKUP(C_Ope_003[[#This Row],[nota_2]],Clientes_Proveedores[[Ruc / Dni]:[Razon Social]],2,0),"")</f>
        <v>AUTORIDAD AUTONOMA DE MAJES</v>
      </c>
      <c r="Y109" s="25"/>
      <c r="Z109" s="103"/>
      <c r="AA109" s="3" t="str">
        <f>IF(C_Ope_003[[#This Row],[fecha]]&gt;0,TEXT(C_Ope_003[[#This Row],[fecha]],"mmmm"),0)</f>
        <v>Marzo</v>
      </c>
      <c r="AB109" s="49"/>
    </row>
    <row r="110" spans="1:28" ht="24" x14ac:dyDescent="0.3">
      <c r="A110" s="2">
        <f>IF(C_Ope_003[[#This Row],[tipo_r]]="R",COUNTIFS($C$1:$C109,"R")+1,"")</f>
        <v>109</v>
      </c>
      <c r="B110" s="19" t="str">
        <f t="shared" si="9"/>
        <v>C_Ope_003</v>
      </c>
      <c r="C110" s="3" t="s">
        <v>1330</v>
      </c>
      <c r="D110" s="14">
        <v>45744</v>
      </c>
      <c r="E110" s="5" t="s">
        <v>5595</v>
      </c>
      <c r="F110" s="5" t="s">
        <v>1336</v>
      </c>
      <c r="G110" s="6" t="s">
        <v>1121</v>
      </c>
      <c r="H110" s="6" t="s">
        <v>75</v>
      </c>
      <c r="I110" s="6">
        <v>1</v>
      </c>
      <c r="J110" s="6">
        <v>206</v>
      </c>
      <c r="K110" s="7" t="s">
        <v>8067</v>
      </c>
      <c r="L110" s="8">
        <v>23643</v>
      </c>
      <c r="M110" s="8" t="str">
        <f t="shared" si="10"/>
        <v>PEN</v>
      </c>
      <c r="N110" s="13"/>
      <c r="O110" s="13">
        <v>40</v>
      </c>
      <c r="P110" s="3">
        <f t="shared" si="6"/>
        <v>0</v>
      </c>
      <c r="Q110" s="3">
        <f t="shared" si="7"/>
        <v>40</v>
      </c>
      <c r="R110" s="3">
        <f t="shared" si="8"/>
        <v>81.85000000000025</v>
      </c>
      <c r="S110" s="24" t="s">
        <v>1334</v>
      </c>
      <c r="T110" s="24" t="s">
        <v>1334</v>
      </c>
      <c r="U110" s="3"/>
      <c r="V110" s="25" t="s">
        <v>7842</v>
      </c>
      <c r="W110" s="25">
        <v>10735413185</v>
      </c>
      <c r="X110" s="25" t="str">
        <f>IFERROR(VLOOKUP(C_Ope_003[[#This Row],[nota_2]],Clientes_Proveedores[[Ruc / Dni]:[Razon Social]],2,0),"")</f>
        <v>ROMERO AROCUTIPA BRIGIDA MARGOTT</v>
      </c>
      <c r="Y110" s="25"/>
      <c r="Z110" s="103"/>
      <c r="AA110" s="3" t="str">
        <f>IF(C_Ope_003[[#This Row],[fecha]]&gt;0,TEXT(C_Ope_003[[#This Row],[fecha]],"mmmm"),0)</f>
        <v>Marzo</v>
      </c>
      <c r="AB110" s="49"/>
    </row>
    <row r="111" spans="1:28" x14ac:dyDescent="0.3">
      <c r="A111" s="2">
        <f>IF(C_Ope_003[[#This Row],[tipo_r]]="R",COUNTIFS($C$1:$C110,"R")+1,"")</f>
        <v>110</v>
      </c>
      <c r="B111" s="19" t="str">
        <f t="shared" si="9"/>
        <v>C_Ope_003</v>
      </c>
      <c r="C111" s="3" t="s">
        <v>1330</v>
      </c>
      <c r="D111" s="14">
        <v>45749</v>
      </c>
      <c r="E111" s="5" t="s">
        <v>7514</v>
      </c>
      <c r="F111" s="5" t="s">
        <v>1303</v>
      </c>
      <c r="G111" s="6"/>
      <c r="H111" s="6"/>
      <c r="I111" s="6"/>
      <c r="J111" s="6"/>
      <c r="K111" s="7" t="s">
        <v>7516</v>
      </c>
      <c r="L111" s="8">
        <v>23748</v>
      </c>
      <c r="M111" s="8" t="str">
        <f t="shared" si="10"/>
        <v>PEN</v>
      </c>
      <c r="N111" s="13"/>
      <c r="O111" s="13">
        <v>120</v>
      </c>
      <c r="P111" s="3">
        <f t="shared" si="6"/>
        <v>120</v>
      </c>
      <c r="Q111" s="3">
        <f t="shared" si="7"/>
        <v>0</v>
      </c>
      <c r="R111" s="3">
        <f t="shared" si="8"/>
        <v>201.85000000000025</v>
      </c>
      <c r="S111" s="24" t="s">
        <v>1334</v>
      </c>
      <c r="T111" s="24" t="s">
        <v>1334</v>
      </c>
      <c r="U111" s="3"/>
      <c r="V111" s="25"/>
      <c r="W111" s="25"/>
      <c r="X111" s="25" t="str">
        <f>IFERROR(VLOOKUP(C_Ope_003[[#This Row],[nota_2]],Clientes_Proveedores[[Ruc / Dni]:[Razon Social]],2,0),"")</f>
        <v/>
      </c>
      <c r="Y111" s="25"/>
      <c r="Z111" s="103"/>
      <c r="AA111" s="3" t="str">
        <f>IF(C_Ope_003[[#This Row],[fecha]]&gt;0,TEXT(C_Ope_003[[#This Row],[fecha]],"mmmm"),0)</f>
        <v>Abril</v>
      </c>
      <c r="AB111" s="49"/>
    </row>
    <row r="112" spans="1:28" ht="24" x14ac:dyDescent="0.3">
      <c r="A112" s="2">
        <f>IF(C_Ope_003[[#This Row],[tipo_r]]="R",COUNTIFS($C$1:$C111,"R")+1,"")</f>
        <v>111</v>
      </c>
      <c r="B112" s="19" t="str">
        <f t="shared" si="9"/>
        <v>C_Ope_003</v>
      </c>
      <c r="C112" s="3" t="s">
        <v>1330</v>
      </c>
      <c r="D112" s="14">
        <v>45748</v>
      </c>
      <c r="E112" s="5" t="s">
        <v>5595</v>
      </c>
      <c r="F112" s="5" t="s">
        <v>1336</v>
      </c>
      <c r="G112" s="6" t="s">
        <v>1147</v>
      </c>
      <c r="H112" s="6" t="s">
        <v>68</v>
      </c>
      <c r="I112" s="6" t="s">
        <v>1386</v>
      </c>
      <c r="J112" s="6">
        <v>16167</v>
      </c>
      <c r="K112" s="7" t="s">
        <v>8302</v>
      </c>
      <c r="L112" s="8">
        <v>23719</v>
      </c>
      <c r="M112" s="8" t="str">
        <f t="shared" si="10"/>
        <v>PEN</v>
      </c>
      <c r="N112" s="13"/>
      <c r="O112" s="13">
        <v>12</v>
      </c>
      <c r="P112" s="3">
        <f t="shared" si="6"/>
        <v>0</v>
      </c>
      <c r="Q112" s="3">
        <f t="shared" si="7"/>
        <v>12</v>
      </c>
      <c r="R112" s="3">
        <f t="shared" si="8"/>
        <v>189.85000000000025</v>
      </c>
      <c r="S112" s="24" t="s">
        <v>1334</v>
      </c>
      <c r="T112" s="24" t="s">
        <v>1334</v>
      </c>
      <c r="U112" s="3"/>
      <c r="V112" s="25" t="s">
        <v>7842</v>
      </c>
      <c r="W112" s="25">
        <v>20162554167</v>
      </c>
      <c r="X112" s="25" t="str">
        <f>IFERROR(VLOOKUP(C_Ope_003[[#This Row],[nota_2]],Clientes_Proveedores[[Ruc / Dni]:[Razon Social]],2,0),"")</f>
        <v>AUTORIDAD AUTONOMA DE MAJES</v>
      </c>
      <c r="Y112" s="25"/>
      <c r="Z112" s="103"/>
      <c r="AA112" s="3" t="str">
        <f>IF(C_Ope_003[[#This Row],[fecha]]&gt;0,TEXT(C_Ope_003[[#This Row],[fecha]],"mmmm"),0)</f>
        <v>Abril</v>
      </c>
      <c r="AB112" s="49"/>
    </row>
    <row r="113" spans="1:28" ht="36" x14ac:dyDescent="0.3">
      <c r="A113" s="2">
        <f>IF(C_Ope_003[[#This Row],[tipo_r]]="R",COUNTIFS($C$1:$C112,"R")+1,"")</f>
        <v>112</v>
      </c>
      <c r="B113" s="19" t="str">
        <f t="shared" si="9"/>
        <v>C_Ope_003</v>
      </c>
      <c r="C113" s="3" t="s">
        <v>1330</v>
      </c>
      <c r="D113" s="14">
        <v>45751</v>
      </c>
      <c r="E113" s="5" t="s">
        <v>5595</v>
      </c>
      <c r="F113" s="5" t="s">
        <v>1336</v>
      </c>
      <c r="G113" s="6" t="s">
        <v>227</v>
      </c>
      <c r="H113" s="6" t="s">
        <v>68</v>
      </c>
      <c r="I113" s="6" t="s">
        <v>1390</v>
      </c>
      <c r="J113" s="6">
        <v>130177</v>
      </c>
      <c r="K113" s="7" t="s">
        <v>8303</v>
      </c>
      <c r="L113" s="8">
        <v>23744</v>
      </c>
      <c r="M113" s="8" t="str">
        <f t="shared" si="10"/>
        <v>PEN</v>
      </c>
      <c r="N113" s="13"/>
      <c r="O113" s="13">
        <v>10</v>
      </c>
      <c r="P113" s="3">
        <f t="shared" si="6"/>
        <v>0</v>
      </c>
      <c r="Q113" s="3">
        <f t="shared" si="7"/>
        <v>10</v>
      </c>
      <c r="R113" s="3">
        <f t="shared" si="8"/>
        <v>179.85000000000025</v>
      </c>
      <c r="S113" s="24" t="s">
        <v>1334</v>
      </c>
      <c r="T113" s="24" t="s">
        <v>1334</v>
      </c>
      <c r="U113" s="3"/>
      <c r="V113" s="25" t="s">
        <v>7842</v>
      </c>
      <c r="W113" s="25">
        <v>20124952850</v>
      </c>
      <c r="X113" s="25" t="str">
        <f>IFERROR(VLOOKUP(C_Ope_003[[#This Row],[nota_2]],Clientes_Proveedores[[Ruc / Dni]:[Razon Social]],2,0),"")</f>
        <v>ALIMENTOS Y SERVICIOS AGROPECUARIOS SRL.</v>
      </c>
      <c r="Y113" s="25"/>
      <c r="Z113" s="103"/>
      <c r="AA113" s="3" t="str">
        <f>IF(C_Ope_003[[#This Row],[fecha]]&gt;0,TEXT(C_Ope_003[[#This Row],[fecha]],"mmmm"),0)</f>
        <v>Abril</v>
      </c>
      <c r="AB113" s="49"/>
    </row>
    <row r="114" spans="1:28" ht="24" x14ac:dyDescent="0.3">
      <c r="A114" s="2">
        <f>IF(C_Ope_003[[#This Row],[tipo_r]]="R",COUNTIFS($C$1:$C113,"R")+1,"")</f>
        <v>113</v>
      </c>
      <c r="B114" s="19" t="str">
        <f t="shared" si="9"/>
        <v>C_Ope_003</v>
      </c>
      <c r="C114" s="3" t="s">
        <v>1330</v>
      </c>
      <c r="D114" s="14">
        <v>45748</v>
      </c>
      <c r="E114" s="5" t="s">
        <v>5595</v>
      </c>
      <c r="F114" s="5" t="s">
        <v>1336</v>
      </c>
      <c r="G114" s="6" t="s">
        <v>1168</v>
      </c>
      <c r="H114" s="6" t="s">
        <v>68</v>
      </c>
      <c r="I114" s="6" t="s">
        <v>1374</v>
      </c>
      <c r="J114" s="6">
        <v>1640</v>
      </c>
      <c r="K114" s="7" t="s">
        <v>7777</v>
      </c>
      <c r="L114" s="8">
        <v>23720</v>
      </c>
      <c r="M114" s="8" t="str">
        <f t="shared" si="10"/>
        <v>PEN</v>
      </c>
      <c r="N114" s="13"/>
      <c r="O114" s="13">
        <v>50</v>
      </c>
      <c r="P114" s="3">
        <f t="shared" si="6"/>
        <v>0</v>
      </c>
      <c r="Q114" s="3">
        <f t="shared" si="7"/>
        <v>50</v>
      </c>
      <c r="R114" s="3">
        <f t="shared" si="8"/>
        <v>129.85000000000025</v>
      </c>
      <c r="S114" s="24" t="s">
        <v>1334</v>
      </c>
      <c r="T114" s="24" t="s">
        <v>1334</v>
      </c>
      <c r="U114" s="3"/>
      <c r="V114" s="25" t="s">
        <v>7842</v>
      </c>
      <c r="W114" s="25">
        <v>10296416423</v>
      </c>
      <c r="X114" s="25" t="str">
        <f>IFERROR(VLOOKUP(C_Ope_003[[#This Row],[nota_2]],Clientes_Proveedores[[Ruc / Dni]:[Razon Social]],2,0),"")</f>
        <v>FLORES SIAS EDWIN EDWARDS</v>
      </c>
      <c r="Y114" s="25"/>
      <c r="Z114" s="103"/>
      <c r="AA114" s="3" t="str">
        <f>IF(C_Ope_003[[#This Row],[fecha]]&gt;0,TEXT(C_Ope_003[[#This Row],[fecha]],"mmmm"),0)</f>
        <v>Abril</v>
      </c>
      <c r="AB114" s="49"/>
    </row>
    <row r="115" spans="1:28" x14ac:dyDescent="0.3">
      <c r="A115" s="2">
        <f>IF(C_Ope_003[[#This Row],[tipo_r]]="R",COUNTIFS($C$1:$C114,"R")+1,"")</f>
        <v>114</v>
      </c>
      <c r="B115" s="19" t="str">
        <f t="shared" si="9"/>
        <v>C_Ope_003</v>
      </c>
      <c r="C115" s="3" t="s">
        <v>1330</v>
      </c>
      <c r="D115" s="14">
        <v>45748</v>
      </c>
      <c r="E115" s="5" t="s">
        <v>5595</v>
      </c>
      <c r="F115" s="5" t="s">
        <v>1336</v>
      </c>
      <c r="G115" s="6"/>
      <c r="H115" s="6" t="s">
        <v>68</v>
      </c>
      <c r="I115" s="6" t="s">
        <v>1374</v>
      </c>
      <c r="J115" s="6">
        <v>1639</v>
      </c>
      <c r="K115" s="7" t="s">
        <v>7777</v>
      </c>
      <c r="L115" s="8">
        <v>23745</v>
      </c>
      <c r="M115" s="8" t="str">
        <f t="shared" si="10"/>
        <v>PEN</v>
      </c>
      <c r="N115" s="13"/>
      <c r="O115" s="13">
        <v>0</v>
      </c>
      <c r="P115" s="3">
        <f t="shared" si="6"/>
        <v>0</v>
      </c>
      <c r="Q115" s="3">
        <f t="shared" si="7"/>
        <v>0</v>
      </c>
      <c r="R115" s="3">
        <f t="shared" si="8"/>
        <v>129.85000000000025</v>
      </c>
      <c r="S115" s="24" t="s">
        <v>1334</v>
      </c>
      <c r="T115" s="24" t="s">
        <v>1334</v>
      </c>
      <c r="U115" s="3"/>
      <c r="V115" s="25" t="s">
        <v>7842</v>
      </c>
      <c r="W115" s="25"/>
      <c r="X115" s="25" t="str">
        <f>IFERROR(VLOOKUP(C_Ope_003[[#This Row],[nota_2]],Clientes_Proveedores[[Ruc / Dni]:[Razon Social]],2,0),"")</f>
        <v/>
      </c>
      <c r="Y115" s="25"/>
      <c r="Z115" s="103"/>
      <c r="AA115" s="3" t="str">
        <f>IF(C_Ope_003[[#This Row],[fecha]]&gt;0,TEXT(C_Ope_003[[#This Row],[fecha]],"mmmm"),0)</f>
        <v>Abril</v>
      </c>
      <c r="AB115" s="49"/>
    </row>
    <row r="116" spans="1:28" x14ac:dyDescent="0.3">
      <c r="A116" s="2">
        <f>IF(C_Ope_003[[#This Row],[tipo_r]]="R",COUNTIFS($C$1:$C115,"R")+1,"")</f>
        <v>115</v>
      </c>
      <c r="B116" s="19" t="str">
        <f t="shared" si="9"/>
        <v>C_Ope_003</v>
      </c>
      <c r="C116" s="3" t="s">
        <v>1330</v>
      </c>
      <c r="D116" s="14">
        <v>45755</v>
      </c>
      <c r="E116" s="5" t="s">
        <v>7514</v>
      </c>
      <c r="F116" s="5" t="s">
        <v>1303</v>
      </c>
      <c r="G116" s="6"/>
      <c r="H116" s="6"/>
      <c r="I116" s="6"/>
      <c r="J116" s="6"/>
      <c r="K116" s="7" t="s">
        <v>7516</v>
      </c>
      <c r="L116" s="8">
        <v>23781</v>
      </c>
      <c r="M116" s="8" t="str">
        <f t="shared" si="10"/>
        <v>PEN</v>
      </c>
      <c r="N116" s="13"/>
      <c r="O116" s="13">
        <v>120</v>
      </c>
      <c r="P116" s="3">
        <f t="shared" si="6"/>
        <v>120</v>
      </c>
      <c r="Q116" s="3">
        <f t="shared" si="7"/>
        <v>0</v>
      </c>
      <c r="R116" s="3">
        <f t="shared" si="8"/>
        <v>249.85000000000025</v>
      </c>
      <c r="S116" s="24" t="s">
        <v>1334</v>
      </c>
      <c r="T116" s="24" t="s">
        <v>1334</v>
      </c>
      <c r="U116" s="3"/>
      <c r="V116" s="25"/>
      <c r="W116" s="25"/>
      <c r="X116" s="25" t="str">
        <f>IFERROR(VLOOKUP(C_Ope_003[[#This Row],[nota_2]],Clientes_Proveedores[[Ruc / Dni]:[Razon Social]],2,0),"")</f>
        <v/>
      </c>
      <c r="Y116" s="25"/>
      <c r="Z116" s="103"/>
      <c r="AA116" s="3" t="str">
        <f>IF(C_Ope_003[[#This Row],[fecha]]&gt;0,TEXT(C_Ope_003[[#This Row],[fecha]],"mmmm"),0)</f>
        <v>Abril</v>
      </c>
      <c r="AB116" s="49"/>
    </row>
    <row r="117" spans="1:28" ht="36" x14ac:dyDescent="0.3">
      <c r="A117" s="2">
        <f>IF(C_Ope_003[[#This Row],[tipo_r]]="R",COUNTIFS($C$1:$C116,"R")+1,"")</f>
        <v>116</v>
      </c>
      <c r="B117" s="19" t="str">
        <f t="shared" si="9"/>
        <v>C_Ope_003</v>
      </c>
      <c r="C117" s="3" t="s">
        <v>1330</v>
      </c>
      <c r="D117" s="14">
        <v>45755</v>
      </c>
      <c r="E117" s="5" t="s">
        <v>5595</v>
      </c>
      <c r="F117" s="5" t="s">
        <v>1336</v>
      </c>
      <c r="G117" s="6" t="s">
        <v>682</v>
      </c>
      <c r="H117" s="6" t="s">
        <v>68</v>
      </c>
      <c r="I117" s="6" t="s">
        <v>1353</v>
      </c>
      <c r="J117" s="6">
        <v>16072</v>
      </c>
      <c r="K117" s="7" t="s">
        <v>8304</v>
      </c>
      <c r="L117" s="8">
        <v>23782</v>
      </c>
      <c r="M117" s="8" t="str">
        <f t="shared" si="10"/>
        <v>PEN</v>
      </c>
      <c r="N117" s="13"/>
      <c r="O117" s="13">
        <v>20</v>
      </c>
      <c r="P117" s="3">
        <f t="shared" si="6"/>
        <v>0</v>
      </c>
      <c r="Q117" s="3">
        <f t="shared" si="7"/>
        <v>20</v>
      </c>
      <c r="R117" s="3">
        <f t="shared" si="8"/>
        <v>229.85000000000025</v>
      </c>
      <c r="S117" s="24" t="s">
        <v>1334</v>
      </c>
      <c r="T117" s="24" t="s">
        <v>1334</v>
      </c>
      <c r="U117" s="3"/>
      <c r="V117" s="25" t="s">
        <v>7842</v>
      </c>
      <c r="W117" s="25">
        <v>20259858934</v>
      </c>
      <c r="X117" s="25" t="str">
        <f>IFERROR(VLOOKUP(C_Ope_003[[#This Row],[nota_2]],Clientes_Proveedores[[Ruc / Dni]:[Razon Social]],2,0),"")</f>
        <v>COMERCIALIZACION Y SERVICIOS EL EDEN S.A.C.</v>
      </c>
      <c r="Y117" s="25"/>
      <c r="Z117" s="103"/>
      <c r="AA117" s="3" t="str">
        <f>IF(C_Ope_003[[#This Row],[fecha]]&gt;0,TEXT(C_Ope_003[[#This Row],[fecha]],"mmmm"),0)</f>
        <v>Abril</v>
      </c>
      <c r="AB117" s="49"/>
    </row>
    <row r="118" spans="1:28" ht="24" x14ac:dyDescent="0.3">
      <c r="A118" s="2">
        <f>IF(C_Ope_003[[#This Row],[tipo_r]]="R",COUNTIFS($C$1:$C117,"R")+1,"")</f>
        <v>117</v>
      </c>
      <c r="B118" s="19" t="str">
        <f t="shared" si="9"/>
        <v>C_Ope_003</v>
      </c>
      <c r="C118" s="3" t="s">
        <v>1330</v>
      </c>
      <c r="D118" s="14">
        <v>45755</v>
      </c>
      <c r="E118" s="5" t="s">
        <v>5595</v>
      </c>
      <c r="F118" s="5" t="s">
        <v>1336</v>
      </c>
      <c r="G118" s="6"/>
      <c r="H118" s="6" t="s">
        <v>68</v>
      </c>
      <c r="I118" s="6" t="s">
        <v>1353</v>
      </c>
      <c r="J118" s="6">
        <v>16072</v>
      </c>
      <c r="K118" s="7" t="s">
        <v>8304</v>
      </c>
      <c r="L118" s="8">
        <v>23783</v>
      </c>
      <c r="M118" s="8" t="str">
        <f t="shared" si="10"/>
        <v>PEN</v>
      </c>
      <c r="N118" s="13"/>
      <c r="O118" s="13">
        <v>0</v>
      </c>
      <c r="P118" s="3">
        <f t="shared" si="6"/>
        <v>0</v>
      </c>
      <c r="Q118" s="3">
        <f t="shared" si="7"/>
        <v>0</v>
      </c>
      <c r="R118" s="3">
        <f t="shared" si="8"/>
        <v>229.85000000000025</v>
      </c>
      <c r="S118" s="24" t="s">
        <v>1334</v>
      </c>
      <c r="T118" s="24" t="s">
        <v>1334</v>
      </c>
      <c r="U118" s="3"/>
      <c r="V118" s="25" t="s">
        <v>7842</v>
      </c>
      <c r="W118" s="25"/>
      <c r="X118" s="25" t="str">
        <f>IFERROR(VLOOKUP(C_Ope_003[[#This Row],[nota_2]],Clientes_Proveedores[[Ruc / Dni]:[Razon Social]],2,0),"")</f>
        <v/>
      </c>
      <c r="Y118" s="25"/>
      <c r="Z118" s="103"/>
      <c r="AA118" s="3" t="str">
        <f>IF(C_Ope_003[[#This Row],[fecha]]&gt;0,TEXT(C_Ope_003[[#This Row],[fecha]],"mmmm"),0)</f>
        <v>Abril</v>
      </c>
      <c r="AB118" s="49"/>
    </row>
    <row r="119" spans="1:28" ht="36" x14ac:dyDescent="0.3">
      <c r="A119" s="2">
        <f>IF(C_Ope_003[[#This Row],[tipo_r]]="R",COUNTIFS($C$1:$C118,"R")+1,"")</f>
        <v>118</v>
      </c>
      <c r="B119" s="19" t="str">
        <f t="shared" si="9"/>
        <v>C_Ope_003</v>
      </c>
      <c r="C119" s="3" t="s">
        <v>1330</v>
      </c>
      <c r="D119" s="14">
        <v>45755</v>
      </c>
      <c r="E119" s="5" t="s">
        <v>5595</v>
      </c>
      <c r="F119" s="5" t="s">
        <v>1336</v>
      </c>
      <c r="G119" s="6" t="s">
        <v>682</v>
      </c>
      <c r="H119" s="6" t="s">
        <v>68</v>
      </c>
      <c r="I119" s="6" t="s">
        <v>1353</v>
      </c>
      <c r="J119" s="6">
        <v>16077</v>
      </c>
      <c r="K119" s="7" t="s">
        <v>8305</v>
      </c>
      <c r="L119" s="8">
        <v>23784</v>
      </c>
      <c r="M119" s="8" t="str">
        <f t="shared" si="10"/>
        <v>PEN</v>
      </c>
      <c r="N119" s="13"/>
      <c r="O119" s="13">
        <v>20</v>
      </c>
      <c r="P119" s="3">
        <f t="shared" si="6"/>
        <v>0</v>
      </c>
      <c r="Q119" s="3">
        <f t="shared" si="7"/>
        <v>20</v>
      </c>
      <c r="R119" s="3">
        <f t="shared" si="8"/>
        <v>209.85000000000025</v>
      </c>
      <c r="S119" s="24" t="s">
        <v>1334</v>
      </c>
      <c r="T119" s="24" t="s">
        <v>1334</v>
      </c>
      <c r="U119" s="3"/>
      <c r="V119" s="25" t="s">
        <v>7842</v>
      </c>
      <c r="W119" s="25">
        <v>20259858934</v>
      </c>
      <c r="X119" s="25" t="str">
        <f>IFERROR(VLOOKUP(C_Ope_003[[#This Row],[nota_2]],Clientes_Proveedores[[Ruc / Dni]:[Razon Social]],2,0),"")</f>
        <v>COMERCIALIZACION Y SERVICIOS EL EDEN S.A.C.</v>
      </c>
      <c r="Y119" s="25"/>
      <c r="Z119" s="103"/>
      <c r="AA119" s="3" t="str">
        <f>IF(C_Ope_003[[#This Row],[fecha]]&gt;0,TEXT(C_Ope_003[[#This Row],[fecha]],"mmmm"),0)</f>
        <v>Abril</v>
      </c>
      <c r="AB119" s="49"/>
    </row>
    <row r="120" spans="1:28" ht="36" x14ac:dyDescent="0.3">
      <c r="A120" s="2">
        <f>IF(C_Ope_003[[#This Row],[tipo_r]]="R",COUNTIFS($C$1:$C119,"R")+1,"")</f>
        <v>119</v>
      </c>
      <c r="B120" s="19" t="str">
        <f t="shared" si="9"/>
        <v>C_Ope_003</v>
      </c>
      <c r="C120" s="3" t="s">
        <v>1330</v>
      </c>
      <c r="D120" s="14">
        <v>45758</v>
      </c>
      <c r="E120" s="5" t="s">
        <v>5595</v>
      </c>
      <c r="F120" s="5" t="s">
        <v>1336</v>
      </c>
      <c r="G120" s="6" t="s">
        <v>682</v>
      </c>
      <c r="H120" s="6" t="s">
        <v>68</v>
      </c>
      <c r="I120" s="6" t="s">
        <v>1353</v>
      </c>
      <c r="J120" s="6">
        <v>16095</v>
      </c>
      <c r="K120" s="7" t="s">
        <v>8306</v>
      </c>
      <c r="L120" s="8">
        <v>23824</v>
      </c>
      <c r="M120" s="8" t="str">
        <f t="shared" si="10"/>
        <v>PEN</v>
      </c>
      <c r="N120" s="13"/>
      <c r="O120" s="13">
        <v>20</v>
      </c>
      <c r="P120" s="3">
        <f t="shared" si="6"/>
        <v>0</v>
      </c>
      <c r="Q120" s="3">
        <f t="shared" si="7"/>
        <v>20</v>
      </c>
      <c r="R120" s="3">
        <f t="shared" si="8"/>
        <v>189.85000000000025</v>
      </c>
      <c r="S120" s="24" t="s">
        <v>1334</v>
      </c>
      <c r="T120" s="24" t="s">
        <v>1334</v>
      </c>
      <c r="U120" s="3"/>
      <c r="V120" s="25" t="s">
        <v>8006</v>
      </c>
      <c r="W120" s="25">
        <v>20259858934</v>
      </c>
      <c r="X120" s="25" t="str">
        <f>IFERROR(VLOOKUP(C_Ope_003[[#This Row],[nota_2]],Clientes_Proveedores[[Ruc / Dni]:[Razon Social]],2,0),"")</f>
        <v>COMERCIALIZACION Y SERVICIOS EL EDEN S.A.C.</v>
      </c>
      <c r="Y120" s="25"/>
      <c r="Z120" s="103"/>
      <c r="AA120" s="3" t="str">
        <f>IF(C_Ope_003[[#This Row],[fecha]]&gt;0,TEXT(C_Ope_003[[#This Row],[fecha]],"mmmm"),0)</f>
        <v>Abril</v>
      </c>
      <c r="AB120" s="49"/>
    </row>
    <row r="121" spans="1:28" ht="24" x14ac:dyDescent="0.3">
      <c r="A121" s="2">
        <f>IF(C_Ope_003[[#This Row],[tipo_r]]="R",COUNTIFS($C$1:$C120,"R")+1,"")</f>
        <v>120</v>
      </c>
      <c r="B121" s="19" t="str">
        <f t="shared" si="9"/>
        <v>C_Ope_003</v>
      </c>
      <c r="C121" s="3" t="s">
        <v>1330</v>
      </c>
      <c r="D121" s="14">
        <v>45758</v>
      </c>
      <c r="E121" s="5" t="s">
        <v>5595</v>
      </c>
      <c r="F121" s="5" t="s">
        <v>1336</v>
      </c>
      <c r="G121" s="6" t="s">
        <v>1098</v>
      </c>
      <c r="H121" s="6" t="s">
        <v>75</v>
      </c>
      <c r="I121" s="6">
        <v>1</v>
      </c>
      <c r="J121" s="6">
        <v>2227</v>
      </c>
      <c r="K121" s="7" t="s">
        <v>7777</v>
      </c>
      <c r="L121" s="8">
        <v>23829</v>
      </c>
      <c r="M121" s="8" t="str">
        <f t="shared" si="10"/>
        <v>PEN</v>
      </c>
      <c r="N121" s="13"/>
      <c r="O121" s="13">
        <v>50</v>
      </c>
      <c r="P121" s="3">
        <f t="shared" si="6"/>
        <v>0</v>
      </c>
      <c r="Q121" s="3">
        <f t="shared" si="7"/>
        <v>50</v>
      </c>
      <c r="R121" s="3">
        <f t="shared" si="8"/>
        <v>139.85000000000025</v>
      </c>
      <c r="S121" s="24" t="s">
        <v>1334</v>
      </c>
      <c r="T121" s="24" t="s">
        <v>1334</v>
      </c>
      <c r="U121" s="3"/>
      <c r="V121" s="25" t="s">
        <v>8006</v>
      </c>
      <c r="W121" s="25">
        <v>10460411195</v>
      </c>
      <c r="X121" s="25" t="str">
        <f>IFERROR(VLOOKUP(C_Ope_003[[#This Row],[nota_2]],Clientes_Proveedores[[Ruc / Dni]:[Razon Social]],2,0),"")</f>
        <v>ROMERO CAMA ROXANA</v>
      </c>
      <c r="Y121" s="25"/>
      <c r="Z121" s="103"/>
      <c r="AA121" s="3" t="str">
        <f>IF(C_Ope_003[[#This Row],[fecha]]&gt;0,TEXT(C_Ope_003[[#This Row],[fecha]],"mmmm"),0)</f>
        <v>Abril</v>
      </c>
      <c r="AB121" s="49"/>
    </row>
    <row r="122" spans="1:28" x14ac:dyDescent="0.3">
      <c r="A122" s="2">
        <f>IF(C_Ope_003[[#This Row],[tipo_r]]="R",COUNTIFS($C$1:$C121,"R")+1,"")</f>
        <v>121</v>
      </c>
      <c r="B122" s="19" t="str">
        <f t="shared" si="9"/>
        <v>C_Ope_003</v>
      </c>
      <c r="C122" s="3" t="s">
        <v>1330</v>
      </c>
      <c r="D122" s="14">
        <v>45761</v>
      </c>
      <c r="E122" s="5" t="s">
        <v>7514</v>
      </c>
      <c r="F122" s="5" t="s">
        <v>1303</v>
      </c>
      <c r="G122" s="6"/>
      <c r="H122" s="6"/>
      <c r="I122" s="6"/>
      <c r="J122" s="6"/>
      <c r="K122" s="7" t="s">
        <v>7516</v>
      </c>
      <c r="L122" s="8">
        <v>23844</v>
      </c>
      <c r="M122" s="8" t="str">
        <f t="shared" si="10"/>
        <v>PEN</v>
      </c>
      <c r="N122" s="13"/>
      <c r="O122" s="13">
        <v>900</v>
      </c>
      <c r="P122" s="3">
        <f t="shared" si="6"/>
        <v>900</v>
      </c>
      <c r="Q122" s="3">
        <f t="shared" si="7"/>
        <v>0</v>
      </c>
      <c r="R122" s="3">
        <f t="shared" si="8"/>
        <v>1039.8500000000004</v>
      </c>
      <c r="S122" s="24" t="s">
        <v>1334</v>
      </c>
      <c r="T122" s="24" t="s">
        <v>1334</v>
      </c>
      <c r="U122" s="3"/>
      <c r="V122" s="25"/>
      <c r="W122" s="25"/>
      <c r="X122" s="25" t="str">
        <f>IFERROR(VLOOKUP(C_Ope_003[[#This Row],[nota_2]],Clientes_Proveedores[[Ruc / Dni]:[Razon Social]],2,0),"")</f>
        <v/>
      </c>
      <c r="Y122" s="25"/>
      <c r="Z122" s="103"/>
      <c r="AA122" s="3" t="str">
        <f>IF(C_Ope_003[[#This Row],[fecha]]&gt;0,TEXT(C_Ope_003[[#This Row],[fecha]],"mmmm"),0)</f>
        <v>Abril</v>
      </c>
      <c r="AB122" s="49"/>
    </row>
    <row r="123" spans="1:28" ht="24" x14ac:dyDescent="0.3">
      <c r="A123" s="2">
        <f>IF(C_Ope_003[[#This Row],[tipo_r]]="R",COUNTIFS($C$1:$C122,"R")+1,"")</f>
        <v>122</v>
      </c>
      <c r="B123" s="19" t="str">
        <f t="shared" si="9"/>
        <v>C_Ope_003</v>
      </c>
      <c r="C123" s="3" t="s">
        <v>1330</v>
      </c>
      <c r="D123" s="14">
        <v>45761</v>
      </c>
      <c r="E123" s="5" t="s">
        <v>5595</v>
      </c>
      <c r="F123" s="5" t="s">
        <v>1336</v>
      </c>
      <c r="G123" s="6" t="s">
        <v>978</v>
      </c>
      <c r="H123" s="6" t="s">
        <v>68</v>
      </c>
      <c r="I123" s="6" t="s">
        <v>6203</v>
      </c>
      <c r="J123" s="6">
        <v>2020536</v>
      </c>
      <c r="K123" s="7" t="s">
        <v>8307</v>
      </c>
      <c r="L123" s="8">
        <v>23843</v>
      </c>
      <c r="M123" s="8" t="str">
        <f t="shared" si="10"/>
        <v>PEN</v>
      </c>
      <c r="N123" s="13"/>
      <c r="O123" s="13">
        <v>12</v>
      </c>
      <c r="P123" s="3">
        <f t="shared" si="6"/>
        <v>0</v>
      </c>
      <c r="Q123" s="3">
        <f t="shared" si="7"/>
        <v>12</v>
      </c>
      <c r="R123" s="3">
        <f t="shared" si="8"/>
        <v>1027.8500000000004</v>
      </c>
      <c r="S123" s="24" t="s">
        <v>1334</v>
      </c>
      <c r="T123" s="24" t="s">
        <v>1334</v>
      </c>
      <c r="U123" s="3"/>
      <c r="V123" s="25" t="s">
        <v>8006</v>
      </c>
      <c r="W123" s="25">
        <v>20517252558</v>
      </c>
      <c r="X123" s="25" t="str">
        <f>IFERROR(VLOOKUP(C_Ope_003[[#This Row],[nota_2]],Clientes_Proveedores[[Ruc / Dni]:[Razon Social]],2,0),"")</f>
        <v>COVISUR S.A.</v>
      </c>
      <c r="Y123" s="25"/>
      <c r="Z123" s="103"/>
      <c r="AA123" s="3" t="str">
        <f>IF(C_Ope_003[[#This Row],[fecha]]&gt;0,TEXT(C_Ope_003[[#This Row],[fecha]],"mmmm"),0)</f>
        <v>Abril</v>
      </c>
      <c r="AB123" s="49"/>
    </row>
    <row r="124" spans="1:28" ht="24" x14ac:dyDescent="0.3">
      <c r="A124" s="2">
        <f>IF(C_Ope_003[[#This Row],[tipo_r]]="R",COUNTIFS($C$1:$C123,"R")+1,"")</f>
        <v>123</v>
      </c>
      <c r="B124" s="19" t="str">
        <f t="shared" si="9"/>
        <v>C_Ope_003</v>
      </c>
      <c r="C124" s="3" t="s">
        <v>1330</v>
      </c>
      <c r="D124" s="14">
        <v>45761</v>
      </c>
      <c r="E124" s="5" t="s">
        <v>5595</v>
      </c>
      <c r="F124" s="5" t="s">
        <v>1336</v>
      </c>
      <c r="G124" s="6" t="s">
        <v>978</v>
      </c>
      <c r="H124" s="6" t="s">
        <v>68</v>
      </c>
      <c r="I124" s="6" t="s">
        <v>6204</v>
      </c>
      <c r="J124" s="6">
        <v>1706025</v>
      </c>
      <c r="K124" s="7" t="s">
        <v>8307</v>
      </c>
      <c r="L124" s="8">
        <v>23856</v>
      </c>
      <c r="M124" s="8" t="str">
        <f t="shared" si="10"/>
        <v>PEN</v>
      </c>
      <c r="N124" s="13"/>
      <c r="O124" s="13">
        <v>12</v>
      </c>
      <c r="P124" s="3">
        <f t="shared" si="6"/>
        <v>0</v>
      </c>
      <c r="Q124" s="3">
        <f t="shared" si="7"/>
        <v>12</v>
      </c>
      <c r="R124" s="3">
        <f t="shared" si="8"/>
        <v>1015.8500000000004</v>
      </c>
      <c r="S124" s="24" t="s">
        <v>1334</v>
      </c>
      <c r="T124" s="24" t="s">
        <v>1334</v>
      </c>
      <c r="U124" s="3"/>
      <c r="V124" s="25" t="s">
        <v>8006</v>
      </c>
      <c r="W124" s="25">
        <v>20517252558</v>
      </c>
      <c r="X124" s="25" t="str">
        <f>IFERROR(VLOOKUP(C_Ope_003[[#This Row],[nota_2]],Clientes_Proveedores[[Ruc / Dni]:[Razon Social]],2,0),"")</f>
        <v>COVISUR S.A.</v>
      </c>
      <c r="Y124" s="25"/>
      <c r="Z124" s="103"/>
      <c r="AA124" s="3" t="str">
        <f>IF(C_Ope_003[[#This Row],[fecha]]&gt;0,TEXT(C_Ope_003[[#This Row],[fecha]],"mmmm"),0)</f>
        <v>Abril</v>
      </c>
      <c r="AB124" s="49"/>
    </row>
    <row r="125" spans="1:28" ht="36" x14ac:dyDescent="0.3">
      <c r="A125" s="2">
        <f>IF(C_Ope_003[[#This Row],[tipo_r]]="R",COUNTIFS($C$1:$C124,"R")+1,"")</f>
        <v>124</v>
      </c>
      <c r="B125" s="19" t="str">
        <f t="shared" si="9"/>
        <v>C_Ope_003</v>
      </c>
      <c r="C125" s="3" t="s">
        <v>1330</v>
      </c>
      <c r="D125" s="14">
        <v>45761</v>
      </c>
      <c r="E125" s="5" t="s">
        <v>5595</v>
      </c>
      <c r="F125" s="5" t="s">
        <v>1336</v>
      </c>
      <c r="G125" s="6" t="s">
        <v>1006</v>
      </c>
      <c r="H125" s="6" t="s">
        <v>68</v>
      </c>
      <c r="I125" s="6" t="s">
        <v>8207</v>
      </c>
      <c r="J125" s="6">
        <v>565181</v>
      </c>
      <c r="K125" s="7" t="s">
        <v>8308</v>
      </c>
      <c r="L125" s="8">
        <v>23857</v>
      </c>
      <c r="M125" s="8" t="str">
        <f t="shared" si="10"/>
        <v>PEN</v>
      </c>
      <c r="N125" s="13"/>
      <c r="O125" s="13">
        <v>23.6</v>
      </c>
      <c r="P125" s="3">
        <f t="shared" si="6"/>
        <v>0</v>
      </c>
      <c r="Q125" s="3">
        <f t="shared" si="7"/>
        <v>23.6</v>
      </c>
      <c r="R125" s="3">
        <f t="shared" si="8"/>
        <v>992.25000000000034</v>
      </c>
      <c r="S125" s="24" t="s">
        <v>1334</v>
      </c>
      <c r="T125" s="24" t="s">
        <v>1334</v>
      </c>
      <c r="U125" s="3"/>
      <c r="V125" s="25" t="s">
        <v>8006</v>
      </c>
      <c r="W125" s="25">
        <v>20550033519</v>
      </c>
      <c r="X125" s="25" t="str">
        <f>IFERROR(VLOOKUP(C_Ope_003[[#This Row],[nota_2]],Clientes_Proveedores[[Ruc / Dni]:[Razon Social]],2,0),"")</f>
        <v>CONCESIONARIA PERUANA DE VIAS-COVINCA S.A.</v>
      </c>
      <c r="Y125" s="25"/>
      <c r="Z125" s="103"/>
      <c r="AA125" s="3" t="str">
        <f>IF(C_Ope_003[[#This Row],[fecha]]&gt;0,TEXT(C_Ope_003[[#This Row],[fecha]],"mmmm"),0)</f>
        <v>Abril</v>
      </c>
      <c r="AB125" s="49"/>
    </row>
    <row r="126" spans="1:28" ht="24" x14ac:dyDescent="0.3">
      <c r="A126" s="2">
        <f>IF(C_Ope_003[[#This Row],[tipo_r]]="R",COUNTIFS($C$1:$C125,"R")+1,"")</f>
        <v>125</v>
      </c>
      <c r="B126" s="19" t="str">
        <f t="shared" si="9"/>
        <v>C_Ope_003</v>
      </c>
      <c r="C126" s="3" t="s">
        <v>1330</v>
      </c>
      <c r="D126" s="14">
        <v>45762</v>
      </c>
      <c r="E126" s="5" t="s">
        <v>5595</v>
      </c>
      <c r="F126" s="5" t="s">
        <v>1336</v>
      </c>
      <c r="G126" s="6" t="s">
        <v>1041</v>
      </c>
      <c r="H126" s="6" t="s">
        <v>68</v>
      </c>
      <c r="I126" s="6" t="s">
        <v>8255</v>
      </c>
      <c r="J126" s="6">
        <v>2824792</v>
      </c>
      <c r="K126" s="7" t="s">
        <v>8309</v>
      </c>
      <c r="L126" s="8">
        <v>23883</v>
      </c>
      <c r="M126" s="8" t="str">
        <f t="shared" si="10"/>
        <v>PEN</v>
      </c>
      <c r="N126" s="13"/>
      <c r="O126" s="13">
        <v>58.2</v>
      </c>
      <c r="P126" s="3">
        <f t="shared" si="6"/>
        <v>0</v>
      </c>
      <c r="Q126" s="3">
        <f t="shared" si="7"/>
        <v>58.2</v>
      </c>
      <c r="R126" s="3">
        <f t="shared" si="8"/>
        <v>934.0500000000003</v>
      </c>
      <c r="S126" s="24" t="s">
        <v>1334</v>
      </c>
      <c r="T126" s="24" t="s">
        <v>1334</v>
      </c>
      <c r="U126" s="3"/>
      <c r="V126" s="25" t="s">
        <v>8006</v>
      </c>
      <c r="W126" s="25">
        <v>20511465061</v>
      </c>
      <c r="X126" s="25" t="str">
        <f>IFERROR(VLOOKUP(C_Ope_003[[#This Row],[nota_2]],Clientes_Proveedores[[Ruc / Dni]:[Razon Social]],2,0),"")</f>
        <v>CONCESIONARIA VIAL DEL PERU S.A</v>
      </c>
      <c r="Y126" s="25"/>
      <c r="Z126" s="103"/>
      <c r="AA126" s="3" t="str">
        <f>IF(C_Ope_003[[#This Row],[fecha]]&gt;0,TEXT(C_Ope_003[[#This Row],[fecha]],"mmmm"),0)</f>
        <v>Abril</v>
      </c>
      <c r="AB126" s="49"/>
    </row>
    <row r="127" spans="1:28" ht="24" x14ac:dyDescent="0.3">
      <c r="A127" s="2">
        <f>IF(C_Ope_003[[#This Row],[tipo_r]]="R",COUNTIFS($C$1:$C126,"R")+1,"")</f>
        <v>126</v>
      </c>
      <c r="B127" s="19" t="str">
        <f t="shared" si="9"/>
        <v>C_Ope_003</v>
      </c>
      <c r="C127" s="3" t="s">
        <v>1330</v>
      </c>
      <c r="D127" s="14">
        <v>45762</v>
      </c>
      <c r="E127" s="5" t="s">
        <v>5595</v>
      </c>
      <c r="F127" s="5" t="s">
        <v>1336</v>
      </c>
      <c r="G127" s="6" t="s">
        <v>979</v>
      </c>
      <c r="H127" s="6" t="s">
        <v>68</v>
      </c>
      <c r="I127" s="6" t="s">
        <v>8211</v>
      </c>
      <c r="J127" s="6">
        <v>2973577</v>
      </c>
      <c r="K127" s="7" t="s">
        <v>8310</v>
      </c>
      <c r="L127" s="8">
        <v>23884</v>
      </c>
      <c r="M127" s="8" t="str">
        <f t="shared" si="10"/>
        <v>PEN</v>
      </c>
      <c r="N127" s="13"/>
      <c r="O127" s="13">
        <v>22.5</v>
      </c>
      <c r="P127" s="3">
        <f t="shared" si="6"/>
        <v>0</v>
      </c>
      <c r="Q127" s="3">
        <f t="shared" si="7"/>
        <v>22.5</v>
      </c>
      <c r="R127" s="3">
        <f t="shared" si="8"/>
        <v>911.5500000000003</v>
      </c>
      <c r="S127" s="24" t="s">
        <v>1334</v>
      </c>
      <c r="T127" s="24" t="s">
        <v>1334</v>
      </c>
      <c r="U127" s="3"/>
      <c r="V127" s="25" t="s">
        <v>8006</v>
      </c>
      <c r="W127" s="25">
        <v>20550372640</v>
      </c>
      <c r="X127" s="25" t="str">
        <f>IFERROR(VLOOKUP(C_Ope_003[[#This Row],[nota_2]],Clientes_Proveedores[[Ruc / Dni]:[Razon Social]],2,0),"")</f>
        <v>RUTAS DE LIMA S.A.C.</v>
      </c>
      <c r="Y127" s="25"/>
      <c r="Z127" s="103"/>
      <c r="AA127" s="3" t="str">
        <f>IF(C_Ope_003[[#This Row],[fecha]]&gt;0,TEXT(C_Ope_003[[#This Row],[fecha]],"mmmm"),0)</f>
        <v>Abril</v>
      </c>
      <c r="AB127" s="49"/>
    </row>
    <row r="128" spans="1:28" ht="24" x14ac:dyDescent="0.3">
      <c r="A128" s="2">
        <f>IF(C_Ope_003[[#This Row],[tipo_r]]="R",COUNTIFS($C$1:$C127,"R")+1,"")</f>
        <v>127</v>
      </c>
      <c r="B128" s="19" t="str">
        <f t="shared" si="9"/>
        <v>C_Ope_003</v>
      </c>
      <c r="C128" s="3" t="s">
        <v>1330</v>
      </c>
      <c r="D128" s="14">
        <v>45763</v>
      </c>
      <c r="E128" s="5" t="s">
        <v>5595</v>
      </c>
      <c r="F128" s="5" t="s">
        <v>1336</v>
      </c>
      <c r="G128" s="6" t="s">
        <v>1128</v>
      </c>
      <c r="H128" s="6" t="s">
        <v>68</v>
      </c>
      <c r="I128" s="6" t="s">
        <v>8311</v>
      </c>
      <c r="J128" s="6">
        <v>3980516</v>
      </c>
      <c r="K128" s="7" t="s">
        <v>8312</v>
      </c>
      <c r="L128" s="8">
        <v>23906</v>
      </c>
      <c r="M128" s="8" t="str">
        <f t="shared" si="10"/>
        <v>PEN</v>
      </c>
      <c r="N128" s="13"/>
      <c r="O128" s="13">
        <v>19.8</v>
      </c>
      <c r="P128" s="3">
        <f t="shared" si="6"/>
        <v>0</v>
      </c>
      <c r="Q128" s="3">
        <f t="shared" si="7"/>
        <v>19.8</v>
      </c>
      <c r="R128" s="3">
        <f t="shared" si="8"/>
        <v>891.75000000000034</v>
      </c>
      <c r="S128" s="24" t="s">
        <v>1334</v>
      </c>
      <c r="T128" s="24" t="s">
        <v>1334</v>
      </c>
      <c r="U128" s="3"/>
      <c r="V128" s="25" t="s">
        <v>8006</v>
      </c>
      <c r="W128" s="25">
        <v>20523621212</v>
      </c>
      <c r="X128" s="25" t="str">
        <f>IFERROR(VLOOKUP(C_Ope_003[[#This Row],[nota_2]],Clientes_Proveedores[[Ruc / Dni]:[Razon Social]],2,0),"")</f>
        <v>LIMA EXPRESA S.A.C.</v>
      </c>
      <c r="Y128" s="25"/>
      <c r="Z128" s="103"/>
      <c r="AA128" s="3" t="str">
        <f>IF(C_Ope_003[[#This Row],[fecha]]&gt;0,TEXT(C_Ope_003[[#This Row],[fecha]],"mmmm"),0)</f>
        <v>Abril</v>
      </c>
      <c r="AB128" s="49"/>
    </row>
    <row r="129" spans="1:28" x14ac:dyDescent="0.3">
      <c r="A129" s="2">
        <f>IF(C_Ope_003[[#This Row],[tipo_r]]="R",COUNTIFS($C$1:$C128,"R")+1,"")</f>
        <v>128</v>
      </c>
      <c r="B129" s="19" t="str">
        <f t="shared" si="9"/>
        <v>C_Ope_003</v>
      </c>
      <c r="C129" s="3" t="s">
        <v>1330</v>
      </c>
      <c r="D129" s="14">
        <v>45764</v>
      </c>
      <c r="E129" s="5" t="s">
        <v>5595</v>
      </c>
      <c r="F129" s="5" t="s">
        <v>1336</v>
      </c>
      <c r="G129" s="6" t="s">
        <v>1128</v>
      </c>
      <c r="H129" s="6" t="s">
        <v>68</v>
      </c>
      <c r="I129" s="6" t="s">
        <v>8313</v>
      </c>
      <c r="J129" s="6">
        <v>4718512</v>
      </c>
      <c r="K129" s="7" t="s">
        <v>8314</v>
      </c>
      <c r="L129" s="8">
        <v>23915</v>
      </c>
      <c r="M129" s="8" t="str">
        <f t="shared" si="10"/>
        <v>PEN</v>
      </c>
      <c r="N129" s="13"/>
      <c r="O129" s="13">
        <v>19.8</v>
      </c>
      <c r="P129" s="3">
        <f t="shared" si="6"/>
        <v>0</v>
      </c>
      <c r="Q129" s="3">
        <f t="shared" si="7"/>
        <v>19.8</v>
      </c>
      <c r="R129" s="3">
        <f t="shared" si="8"/>
        <v>871.95000000000039</v>
      </c>
      <c r="S129" s="24" t="s">
        <v>1334</v>
      </c>
      <c r="T129" s="24" t="s">
        <v>1334</v>
      </c>
      <c r="U129" s="3"/>
      <c r="V129" s="25" t="s">
        <v>8006</v>
      </c>
      <c r="W129" s="25">
        <v>20523621212</v>
      </c>
      <c r="X129" s="25" t="str">
        <f>IFERROR(VLOOKUP(C_Ope_003[[#This Row],[nota_2]],Clientes_Proveedores[[Ruc / Dni]:[Razon Social]],2,0),"")</f>
        <v>LIMA EXPRESA S.A.C.</v>
      </c>
      <c r="Y129" s="25"/>
      <c r="Z129" s="103"/>
      <c r="AA129" s="3" t="str">
        <f>IF(C_Ope_003[[#This Row],[fecha]]&gt;0,TEXT(C_Ope_003[[#This Row],[fecha]],"mmmm"),0)</f>
        <v>Abril</v>
      </c>
      <c r="AB129" s="49"/>
    </row>
    <row r="130" spans="1:28" ht="24" x14ac:dyDescent="0.3">
      <c r="A130" s="2">
        <f>IF(C_Ope_003[[#This Row],[tipo_r]]="R",COUNTIFS($C$1:$C129,"R")+1,"")</f>
        <v>129</v>
      </c>
      <c r="B130" s="19" t="str">
        <f t="shared" si="9"/>
        <v>C_Ope_003</v>
      </c>
      <c r="C130" s="3" t="s">
        <v>1330</v>
      </c>
      <c r="D130" s="14">
        <v>45764</v>
      </c>
      <c r="E130" s="5" t="s">
        <v>5595</v>
      </c>
      <c r="F130" s="5" t="s">
        <v>1336</v>
      </c>
      <c r="G130" s="6" t="s">
        <v>979</v>
      </c>
      <c r="H130" s="6" t="s">
        <v>68</v>
      </c>
      <c r="I130" s="6" t="s">
        <v>6389</v>
      </c>
      <c r="J130" s="6">
        <v>3710312</v>
      </c>
      <c r="K130" s="7" t="s">
        <v>8315</v>
      </c>
      <c r="L130" s="8">
        <v>23916</v>
      </c>
      <c r="M130" s="8" t="str">
        <f t="shared" si="10"/>
        <v>PEN</v>
      </c>
      <c r="N130" s="13"/>
      <c r="O130" s="13">
        <v>22.5</v>
      </c>
      <c r="P130" s="3">
        <f t="shared" ref="P130:P193" si="11">+IF(OR($F130="SALDO",$F130="INGRESO"),$O130,0)</f>
        <v>0</v>
      </c>
      <c r="Q130" s="3">
        <f t="shared" ref="Q130:Q193" si="12">+IF($F130="EGRESO",$O130,0)</f>
        <v>22.5</v>
      </c>
      <c r="R130" s="3">
        <f t="shared" ref="R130:R193" si="13">IFERROR(IF(F130="SALDO",P130,R129+P130-Q130),0)</f>
        <v>849.45000000000039</v>
      </c>
      <c r="S130" s="24" t="s">
        <v>1334</v>
      </c>
      <c r="T130" s="24" t="s">
        <v>1334</v>
      </c>
      <c r="U130" s="3"/>
      <c r="V130" s="25" t="s">
        <v>8006</v>
      </c>
      <c r="W130" s="25">
        <v>20550372640</v>
      </c>
      <c r="X130" s="25" t="str">
        <f>IFERROR(VLOOKUP(C_Ope_003[[#This Row],[nota_2]],Clientes_Proveedores[[Ruc / Dni]:[Razon Social]],2,0),"")</f>
        <v>RUTAS DE LIMA S.A.C.</v>
      </c>
      <c r="Y130" s="25"/>
      <c r="Z130" s="103"/>
      <c r="AA130" s="3" t="str">
        <f>IF(C_Ope_003[[#This Row],[fecha]]&gt;0,TEXT(C_Ope_003[[#This Row],[fecha]],"mmmm"),0)</f>
        <v>Abril</v>
      </c>
      <c r="AB130" s="49"/>
    </row>
    <row r="131" spans="1:28" ht="24" x14ac:dyDescent="0.3">
      <c r="A131" s="2">
        <f>IF(C_Ope_003[[#This Row],[tipo_r]]="R",COUNTIFS($C$1:$C130,"R")+1,"")</f>
        <v>130</v>
      </c>
      <c r="B131" s="19" t="str">
        <f t="shared" ref="B131:B194" si="14">"C_Ope_003"</f>
        <v>C_Ope_003</v>
      </c>
      <c r="C131" s="3" t="s">
        <v>1330</v>
      </c>
      <c r="D131" s="14">
        <v>45764</v>
      </c>
      <c r="E131" s="5" t="s">
        <v>5595</v>
      </c>
      <c r="F131" s="5" t="s">
        <v>1336</v>
      </c>
      <c r="G131" s="6" t="s">
        <v>1041</v>
      </c>
      <c r="H131" s="6" t="s">
        <v>68</v>
      </c>
      <c r="I131" s="6" t="s">
        <v>8236</v>
      </c>
      <c r="J131" s="6">
        <v>2163879</v>
      </c>
      <c r="K131" s="7" t="s">
        <v>8316</v>
      </c>
      <c r="L131" s="8">
        <v>23917</v>
      </c>
      <c r="M131" s="8" t="str">
        <f t="shared" ref="M131:M194" si="15">"PEN"</f>
        <v>PEN</v>
      </c>
      <c r="N131" s="13"/>
      <c r="O131" s="13">
        <v>58.2</v>
      </c>
      <c r="P131" s="3">
        <f t="shared" si="11"/>
        <v>0</v>
      </c>
      <c r="Q131" s="3">
        <f t="shared" si="12"/>
        <v>58.2</v>
      </c>
      <c r="R131" s="3">
        <f t="shared" si="13"/>
        <v>791.25000000000034</v>
      </c>
      <c r="S131" s="24" t="s">
        <v>1334</v>
      </c>
      <c r="T131" s="24" t="s">
        <v>1334</v>
      </c>
      <c r="U131" s="3"/>
      <c r="V131" s="25" t="s">
        <v>8006</v>
      </c>
      <c r="W131" s="25">
        <v>20511465061</v>
      </c>
      <c r="X131" s="25" t="str">
        <f>IFERROR(VLOOKUP(C_Ope_003[[#This Row],[nota_2]],Clientes_Proveedores[[Ruc / Dni]:[Razon Social]],2,0),"")</f>
        <v>CONCESIONARIA VIAL DEL PERU S.A</v>
      </c>
      <c r="Y131" s="25"/>
      <c r="Z131" s="103"/>
      <c r="AA131" s="3" t="str">
        <f>IF(C_Ope_003[[#This Row],[fecha]]&gt;0,TEXT(C_Ope_003[[#This Row],[fecha]],"mmmm"),0)</f>
        <v>Abril</v>
      </c>
      <c r="AB131" s="49"/>
    </row>
    <row r="132" spans="1:28" ht="24" x14ac:dyDescent="0.3">
      <c r="A132" s="2">
        <f>IF(C_Ope_003[[#This Row],[tipo_r]]="R",COUNTIFS($C$1:$C131,"R")+1,"")</f>
        <v>131</v>
      </c>
      <c r="B132" s="19" t="str">
        <f t="shared" si="14"/>
        <v>C_Ope_003</v>
      </c>
      <c r="C132" s="3" t="s">
        <v>1330</v>
      </c>
      <c r="D132" s="14">
        <v>45764</v>
      </c>
      <c r="E132" s="5" t="s">
        <v>5595</v>
      </c>
      <c r="F132" s="5" t="s">
        <v>1336</v>
      </c>
      <c r="G132" s="6" t="s">
        <v>1041</v>
      </c>
      <c r="H132" s="6" t="s">
        <v>68</v>
      </c>
      <c r="I132" s="6" t="s">
        <v>8317</v>
      </c>
      <c r="J132" s="6">
        <v>346554</v>
      </c>
      <c r="K132" s="7" t="s">
        <v>8318</v>
      </c>
      <c r="L132" s="8">
        <v>23918</v>
      </c>
      <c r="M132" s="8" t="str">
        <f t="shared" si="15"/>
        <v>PEN</v>
      </c>
      <c r="N132" s="13"/>
      <c r="O132" s="13">
        <v>58.2</v>
      </c>
      <c r="P132" s="3">
        <f t="shared" si="11"/>
        <v>0</v>
      </c>
      <c r="Q132" s="3">
        <f t="shared" si="12"/>
        <v>58.2</v>
      </c>
      <c r="R132" s="3">
        <f t="shared" si="13"/>
        <v>733.0500000000003</v>
      </c>
      <c r="S132" s="24" t="s">
        <v>1334</v>
      </c>
      <c r="T132" s="24" t="s">
        <v>1334</v>
      </c>
      <c r="U132" s="3"/>
      <c r="V132" s="25" t="s">
        <v>8006</v>
      </c>
      <c r="W132" s="25">
        <v>20511465061</v>
      </c>
      <c r="X132" s="25" t="str">
        <f>IFERROR(VLOOKUP(C_Ope_003[[#This Row],[nota_2]],Clientes_Proveedores[[Ruc / Dni]:[Razon Social]],2,0),"")</f>
        <v>CONCESIONARIA VIAL DEL PERU S.A</v>
      </c>
      <c r="Y132" s="25"/>
      <c r="Z132" s="103"/>
      <c r="AA132" s="3" t="str">
        <f>IF(C_Ope_003[[#This Row],[fecha]]&gt;0,TEXT(C_Ope_003[[#This Row],[fecha]],"mmmm"),0)</f>
        <v>Abril</v>
      </c>
      <c r="AB132" s="49"/>
    </row>
    <row r="133" spans="1:28" x14ac:dyDescent="0.3">
      <c r="A133" s="2">
        <f>IF(C_Ope_003[[#This Row],[tipo_r]]="R",COUNTIFS($C$1:$C132,"R")+1,"")</f>
        <v>132</v>
      </c>
      <c r="B133" s="19" t="str">
        <f t="shared" si="14"/>
        <v>C_Ope_003</v>
      </c>
      <c r="C133" s="3" t="s">
        <v>1330</v>
      </c>
      <c r="D133" s="14">
        <v>45765</v>
      </c>
      <c r="E133" s="5" t="s">
        <v>5595</v>
      </c>
      <c r="F133" s="5" t="s">
        <v>1336</v>
      </c>
      <c r="G133" s="6" t="s">
        <v>1042</v>
      </c>
      <c r="H133" s="6"/>
      <c r="I133" s="6" t="s">
        <v>8319</v>
      </c>
      <c r="J133" s="6">
        <v>325020716</v>
      </c>
      <c r="K133" s="7" t="s">
        <v>8320</v>
      </c>
      <c r="L133" s="8">
        <v>23923</v>
      </c>
      <c r="M133" s="8" t="str">
        <f t="shared" si="15"/>
        <v>PEN</v>
      </c>
      <c r="N133" s="13"/>
      <c r="O133" s="13">
        <v>19.5</v>
      </c>
      <c r="P133" s="3">
        <f t="shared" si="11"/>
        <v>0</v>
      </c>
      <c r="Q133" s="3">
        <f t="shared" si="12"/>
        <v>19.5</v>
      </c>
      <c r="R133" s="3">
        <f t="shared" si="13"/>
        <v>713.5500000000003</v>
      </c>
      <c r="S133" s="24" t="s">
        <v>1334</v>
      </c>
      <c r="T133" s="24" t="s">
        <v>1334</v>
      </c>
      <c r="U133" s="3"/>
      <c r="V133" s="25" t="s">
        <v>8006</v>
      </c>
      <c r="W133" s="25">
        <v>20503503639</v>
      </c>
      <c r="X133" s="25" t="str">
        <f>IFERROR(VLOOKUP(C_Ope_003[[#This Row],[nota_2]],Clientes_Proveedores[[Ruc / Dni]:[Razon Social]],2,0),"")</f>
        <v>PROVIAS NACIONAL</v>
      </c>
      <c r="Y133" s="25"/>
      <c r="Z133" s="103"/>
      <c r="AA133" s="3" t="str">
        <f>IF(C_Ope_003[[#This Row],[fecha]]&gt;0,TEXT(C_Ope_003[[#This Row],[fecha]],"mmmm"),0)</f>
        <v>Abril</v>
      </c>
      <c r="AB133" s="49"/>
    </row>
    <row r="134" spans="1:28" x14ac:dyDescent="0.3">
      <c r="A134" s="2">
        <f>IF(C_Ope_003[[#This Row],[tipo_r]]="R",COUNTIFS($C$1:$C133,"R")+1,"")</f>
        <v>133</v>
      </c>
      <c r="B134" s="19" t="str">
        <f t="shared" si="14"/>
        <v>C_Ope_003</v>
      </c>
      <c r="C134" s="3" t="s">
        <v>1330</v>
      </c>
      <c r="D134" s="14">
        <v>45765</v>
      </c>
      <c r="E134" s="5" t="s">
        <v>5595</v>
      </c>
      <c r="F134" s="5" t="s">
        <v>1336</v>
      </c>
      <c r="G134" s="6" t="s">
        <v>1042</v>
      </c>
      <c r="H134" s="6"/>
      <c r="I134" s="6" t="s">
        <v>8270</v>
      </c>
      <c r="J134" s="6">
        <v>325022804</v>
      </c>
      <c r="K134" s="7" t="s">
        <v>8321</v>
      </c>
      <c r="L134" s="8">
        <v>23924</v>
      </c>
      <c r="M134" s="8" t="str">
        <f t="shared" si="15"/>
        <v>PEN</v>
      </c>
      <c r="N134" s="13"/>
      <c r="O134" s="13">
        <v>19.5</v>
      </c>
      <c r="P134" s="3">
        <f t="shared" si="11"/>
        <v>0</v>
      </c>
      <c r="Q134" s="3">
        <f t="shared" si="12"/>
        <v>19.5</v>
      </c>
      <c r="R134" s="3">
        <f t="shared" si="13"/>
        <v>694.0500000000003</v>
      </c>
      <c r="S134" s="24" t="s">
        <v>1334</v>
      </c>
      <c r="T134" s="24" t="s">
        <v>1334</v>
      </c>
      <c r="U134" s="3"/>
      <c r="V134" s="25" t="s">
        <v>8006</v>
      </c>
      <c r="W134" s="25">
        <v>20503503639</v>
      </c>
      <c r="X134" s="25" t="str">
        <f>IFERROR(VLOOKUP(C_Ope_003[[#This Row],[nota_2]],Clientes_Proveedores[[Ruc / Dni]:[Razon Social]],2,0),"")</f>
        <v>PROVIAS NACIONAL</v>
      </c>
      <c r="Y134" s="25"/>
      <c r="Z134" s="103"/>
      <c r="AA134" s="3" t="str">
        <f>IF(C_Ope_003[[#This Row],[fecha]]&gt;0,TEXT(C_Ope_003[[#This Row],[fecha]],"mmmm"),0)</f>
        <v>Abril</v>
      </c>
      <c r="AB134" s="49"/>
    </row>
    <row r="135" spans="1:28" x14ac:dyDescent="0.3">
      <c r="A135" s="2">
        <f>IF(C_Ope_003[[#This Row],[tipo_r]]="R",COUNTIFS($C$1:$C134,"R")+1,"")</f>
        <v>134</v>
      </c>
      <c r="B135" s="19" t="str">
        <f t="shared" si="14"/>
        <v>C_Ope_003</v>
      </c>
      <c r="C135" s="3" t="s">
        <v>1330</v>
      </c>
      <c r="D135" s="14">
        <v>45765</v>
      </c>
      <c r="E135" s="5" t="s">
        <v>5595</v>
      </c>
      <c r="F135" s="5" t="s">
        <v>1336</v>
      </c>
      <c r="G135" s="6" t="s">
        <v>1042</v>
      </c>
      <c r="H135" s="6"/>
      <c r="I135" s="6" t="s">
        <v>8322</v>
      </c>
      <c r="J135" s="6">
        <v>325020580</v>
      </c>
      <c r="K135" s="7" t="s">
        <v>8323</v>
      </c>
      <c r="L135" s="8">
        <v>23925</v>
      </c>
      <c r="M135" s="8" t="str">
        <f t="shared" si="15"/>
        <v>PEN</v>
      </c>
      <c r="N135" s="13"/>
      <c r="O135" s="13">
        <v>19.5</v>
      </c>
      <c r="P135" s="3">
        <f t="shared" si="11"/>
        <v>0</v>
      </c>
      <c r="Q135" s="3">
        <f t="shared" si="12"/>
        <v>19.5</v>
      </c>
      <c r="R135" s="3">
        <f t="shared" si="13"/>
        <v>674.5500000000003</v>
      </c>
      <c r="S135" s="24" t="s">
        <v>1334</v>
      </c>
      <c r="T135" s="24" t="s">
        <v>1334</v>
      </c>
      <c r="U135" s="3"/>
      <c r="V135" s="25" t="s">
        <v>8006</v>
      </c>
      <c r="W135" s="25">
        <v>20503503639</v>
      </c>
      <c r="X135" s="25" t="str">
        <f>IFERROR(VLOOKUP(C_Ope_003[[#This Row],[nota_2]],Clientes_Proveedores[[Ruc / Dni]:[Razon Social]],2,0),"")</f>
        <v>PROVIAS NACIONAL</v>
      </c>
      <c r="Y135" s="25"/>
      <c r="Z135" s="103"/>
      <c r="AA135" s="3" t="str">
        <f>IF(C_Ope_003[[#This Row],[fecha]]&gt;0,TEXT(C_Ope_003[[#This Row],[fecha]],"mmmm"),0)</f>
        <v>Abril</v>
      </c>
      <c r="AB135" s="49"/>
    </row>
    <row r="136" spans="1:28" ht="36" x14ac:dyDescent="0.3">
      <c r="A136" s="2">
        <f>IF(C_Ope_003[[#This Row],[tipo_r]]="R",COUNTIFS($C$1:$C135,"R")+1,"")</f>
        <v>135</v>
      </c>
      <c r="B136" s="19" t="str">
        <f t="shared" si="14"/>
        <v>C_Ope_003</v>
      </c>
      <c r="C136" s="3" t="s">
        <v>1330</v>
      </c>
      <c r="D136" s="14">
        <v>45765</v>
      </c>
      <c r="E136" s="5" t="s">
        <v>5595</v>
      </c>
      <c r="F136" s="5" t="s">
        <v>1336</v>
      </c>
      <c r="G136" s="6" t="s">
        <v>1006</v>
      </c>
      <c r="H136" s="6" t="s">
        <v>68</v>
      </c>
      <c r="I136" s="6" t="s">
        <v>2912</v>
      </c>
      <c r="J136" s="6">
        <v>733047</v>
      </c>
      <c r="K136" s="7" t="s">
        <v>8324</v>
      </c>
      <c r="L136" s="8">
        <v>23926</v>
      </c>
      <c r="M136" s="8" t="str">
        <f t="shared" si="15"/>
        <v>PEN</v>
      </c>
      <c r="N136" s="13"/>
      <c r="O136" s="13">
        <v>23.6</v>
      </c>
      <c r="P136" s="3">
        <f t="shared" si="11"/>
        <v>0</v>
      </c>
      <c r="Q136" s="3">
        <f t="shared" si="12"/>
        <v>23.6</v>
      </c>
      <c r="R136" s="3">
        <f t="shared" si="13"/>
        <v>650.95000000000027</v>
      </c>
      <c r="S136" s="24" t="s">
        <v>1334</v>
      </c>
      <c r="T136" s="24" t="s">
        <v>1334</v>
      </c>
      <c r="U136" s="3"/>
      <c r="V136" s="25" t="s">
        <v>8006</v>
      </c>
      <c r="W136" s="25">
        <v>20550033519</v>
      </c>
      <c r="X136" s="25" t="str">
        <f>IFERROR(VLOOKUP(C_Ope_003[[#This Row],[nota_2]],Clientes_Proveedores[[Ruc / Dni]:[Razon Social]],2,0),"")</f>
        <v>CONCESIONARIA PERUANA DE VIAS-COVINCA S.A.</v>
      </c>
      <c r="Y136" s="25"/>
      <c r="Z136" s="103"/>
      <c r="AA136" s="3" t="str">
        <f>IF(C_Ope_003[[#This Row],[fecha]]&gt;0,TEXT(C_Ope_003[[#This Row],[fecha]],"mmmm"),0)</f>
        <v>Abril</v>
      </c>
      <c r="AB136" s="49"/>
    </row>
    <row r="137" spans="1:28" x14ac:dyDescent="0.3">
      <c r="A137" s="2">
        <f>IF(C_Ope_003[[#This Row],[tipo_r]]="R",COUNTIFS($C$1:$C136,"R")+1,"")</f>
        <v>136</v>
      </c>
      <c r="B137" s="19" t="str">
        <f t="shared" si="14"/>
        <v>C_Ope_003</v>
      </c>
      <c r="C137" s="3" t="s">
        <v>1330</v>
      </c>
      <c r="D137" s="14">
        <v>45761</v>
      </c>
      <c r="E137" s="5" t="s">
        <v>5595</v>
      </c>
      <c r="F137" s="5" t="s">
        <v>1336</v>
      </c>
      <c r="G137" s="6"/>
      <c r="H137" s="6" t="s">
        <v>126</v>
      </c>
      <c r="I137" s="6"/>
      <c r="J137" s="6"/>
      <c r="K137" s="7" t="s">
        <v>8325</v>
      </c>
      <c r="L137" s="8">
        <v>23858</v>
      </c>
      <c r="M137" s="8" t="str">
        <f t="shared" si="15"/>
        <v>PEN</v>
      </c>
      <c r="N137" s="13"/>
      <c r="O137" s="13">
        <v>12</v>
      </c>
      <c r="P137" s="3">
        <f t="shared" si="11"/>
        <v>0</v>
      </c>
      <c r="Q137" s="3">
        <f t="shared" si="12"/>
        <v>12</v>
      </c>
      <c r="R137" s="3">
        <f t="shared" si="13"/>
        <v>638.95000000000027</v>
      </c>
      <c r="S137" s="24" t="s">
        <v>1334</v>
      </c>
      <c r="T137" s="24" t="s">
        <v>1334</v>
      </c>
      <c r="U137" s="3"/>
      <c r="V137" s="25" t="s">
        <v>8006</v>
      </c>
      <c r="W137" s="25"/>
      <c r="X137" s="25" t="str">
        <f>IFERROR(VLOOKUP(C_Ope_003[[#This Row],[nota_2]],Clientes_Proveedores[[Ruc / Dni]:[Razon Social]],2,0),"")</f>
        <v/>
      </c>
      <c r="Y137" s="25"/>
      <c r="Z137" s="103"/>
      <c r="AA137" s="3" t="str">
        <f>IF(C_Ope_003[[#This Row],[fecha]]&gt;0,TEXT(C_Ope_003[[#This Row],[fecha]],"mmmm"),0)</f>
        <v>Abril</v>
      </c>
      <c r="AB137" s="49"/>
    </row>
    <row r="138" spans="1:28" x14ac:dyDescent="0.3">
      <c r="A138" s="2">
        <f>IF(C_Ope_003[[#This Row],[tipo_r]]="R",COUNTIFS($C$1:$C137,"R")+1,"")</f>
        <v>137</v>
      </c>
      <c r="B138" s="19" t="str">
        <f t="shared" si="14"/>
        <v>C_Ope_003</v>
      </c>
      <c r="C138" s="3" t="s">
        <v>1330</v>
      </c>
      <c r="D138" s="14">
        <v>45761</v>
      </c>
      <c r="E138" s="5" t="s">
        <v>5595</v>
      </c>
      <c r="F138" s="5" t="s">
        <v>1336</v>
      </c>
      <c r="G138" s="6"/>
      <c r="H138" s="6" t="s">
        <v>126</v>
      </c>
      <c r="I138" s="6"/>
      <c r="J138" s="6"/>
      <c r="K138" s="7" t="s">
        <v>8326</v>
      </c>
      <c r="L138" s="8">
        <v>23859</v>
      </c>
      <c r="M138" s="8" t="str">
        <f t="shared" si="15"/>
        <v>PEN</v>
      </c>
      <c r="N138" s="13"/>
      <c r="O138" s="13">
        <v>50</v>
      </c>
      <c r="P138" s="3">
        <f t="shared" si="11"/>
        <v>0</v>
      </c>
      <c r="Q138" s="3">
        <f t="shared" si="12"/>
        <v>50</v>
      </c>
      <c r="R138" s="3">
        <f t="shared" si="13"/>
        <v>588.95000000000027</v>
      </c>
      <c r="S138" s="24" t="s">
        <v>1334</v>
      </c>
      <c r="T138" s="24" t="s">
        <v>1334</v>
      </c>
      <c r="U138" s="3"/>
      <c r="V138" s="25" t="s">
        <v>8006</v>
      </c>
      <c r="W138" s="25"/>
      <c r="X138" s="25" t="str">
        <f>IFERROR(VLOOKUP(C_Ope_003[[#This Row],[nota_2]],Clientes_Proveedores[[Ruc / Dni]:[Razon Social]],2,0),"")</f>
        <v/>
      </c>
      <c r="Y138" s="25"/>
      <c r="Z138" s="103"/>
      <c r="AA138" s="3" t="str">
        <f>IF(C_Ope_003[[#This Row],[fecha]]&gt;0,TEXT(C_Ope_003[[#This Row],[fecha]],"mmmm"),0)</f>
        <v>Abril</v>
      </c>
      <c r="AB138" s="49"/>
    </row>
    <row r="139" spans="1:28" x14ac:dyDescent="0.3">
      <c r="A139" s="2">
        <f>IF(C_Ope_003[[#This Row],[tipo_r]]="R",COUNTIFS($C$1:$C138,"R")+1,"")</f>
        <v>138</v>
      </c>
      <c r="B139" s="19" t="str">
        <f t="shared" si="14"/>
        <v>C_Ope_003</v>
      </c>
      <c r="C139" s="3" t="s">
        <v>1330</v>
      </c>
      <c r="D139" s="14">
        <v>45761</v>
      </c>
      <c r="E139" s="5" t="s">
        <v>5595</v>
      </c>
      <c r="F139" s="5" t="s">
        <v>1336</v>
      </c>
      <c r="G139" s="6"/>
      <c r="H139" s="6" t="s">
        <v>126</v>
      </c>
      <c r="I139" s="6"/>
      <c r="J139" s="6"/>
      <c r="K139" s="7" t="s">
        <v>8327</v>
      </c>
      <c r="L139" s="8">
        <v>23860</v>
      </c>
      <c r="M139" s="8" t="str">
        <f t="shared" si="15"/>
        <v>PEN</v>
      </c>
      <c r="N139" s="13"/>
      <c r="O139" s="13">
        <v>10</v>
      </c>
      <c r="P139" s="3">
        <f t="shared" si="11"/>
        <v>0</v>
      </c>
      <c r="Q139" s="3">
        <f t="shared" si="12"/>
        <v>10</v>
      </c>
      <c r="R139" s="3">
        <f t="shared" si="13"/>
        <v>578.95000000000027</v>
      </c>
      <c r="S139" s="24" t="s">
        <v>1334</v>
      </c>
      <c r="T139" s="24" t="s">
        <v>1334</v>
      </c>
      <c r="U139" s="3"/>
      <c r="V139" s="25" t="s">
        <v>8006</v>
      </c>
      <c r="W139" s="25"/>
      <c r="X139" s="25" t="str">
        <f>IFERROR(VLOOKUP(C_Ope_003[[#This Row],[nota_2]],Clientes_Proveedores[[Ruc / Dni]:[Razon Social]],2,0),"")</f>
        <v/>
      </c>
      <c r="Y139" s="25"/>
      <c r="Z139" s="103"/>
      <c r="AA139" s="3" t="str">
        <f>IF(C_Ope_003[[#This Row],[fecha]]&gt;0,TEXT(C_Ope_003[[#This Row],[fecha]],"mmmm"),0)</f>
        <v>Abril</v>
      </c>
      <c r="AB139" s="49"/>
    </row>
    <row r="140" spans="1:28" x14ac:dyDescent="0.3">
      <c r="A140" s="2">
        <f>IF(C_Ope_003[[#This Row],[tipo_r]]="R",COUNTIFS($C$1:$C139,"R")+1,"")</f>
        <v>139</v>
      </c>
      <c r="B140" s="19" t="str">
        <f t="shared" si="14"/>
        <v>C_Ope_003</v>
      </c>
      <c r="C140" s="3" t="s">
        <v>1330</v>
      </c>
      <c r="D140" s="14">
        <v>45762</v>
      </c>
      <c r="E140" s="5" t="s">
        <v>5595</v>
      </c>
      <c r="F140" s="5" t="s">
        <v>1336</v>
      </c>
      <c r="G140" s="6"/>
      <c r="H140" s="6" t="s">
        <v>126</v>
      </c>
      <c r="I140" s="6"/>
      <c r="J140" s="6"/>
      <c r="K140" s="7" t="s">
        <v>8328</v>
      </c>
      <c r="L140" s="8">
        <v>23880</v>
      </c>
      <c r="M140" s="8" t="str">
        <f t="shared" si="15"/>
        <v>PEN</v>
      </c>
      <c r="N140" s="13"/>
      <c r="O140" s="13">
        <v>12</v>
      </c>
      <c r="P140" s="3">
        <f t="shared" si="11"/>
        <v>0</v>
      </c>
      <c r="Q140" s="3">
        <f t="shared" si="12"/>
        <v>12</v>
      </c>
      <c r="R140" s="3">
        <f t="shared" si="13"/>
        <v>566.95000000000027</v>
      </c>
      <c r="S140" s="24" t="s">
        <v>1334</v>
      </c>
      <c r="T140" s="24" t="s">
        <v>1334</v>
      </c>
      <c r="U140" s="3"/>
      <c r="V140" s="25" t="s">
        <v>8006</v>
      </c>
      <c r="W140" s="25"/>
      <c r="X140" s="25" t="str">
        <f>IFERROR(VLOOKUP(C_Ope_003[[#This Row],[nota_2]],Clientes_Proveedores[[Ruc / Dni]:[Razon Social]],2,0),"")</f>
        <v/>
      </c>
      <c r="Y140" s="25"/>
      <c r="Z140" s="103"/>
      <c r="AA140" s="3" t="str">
        <f>IF(C_Ope_003[[#This Row],[fecha]]&gt;0,TEXT(C_Ope_003[[#This Row],[fecha]],"mmmm"),0)</f>
        <v>Abril</v>
      </c>
      <c r="AB140" s="49"/>
    </row>
    <row r="141" spans="1:28" ht="24" x14ac:dyDescent="0.3">
      <c r="A141" s="2">
        <f>IF(C_Ope_003[[#This Row],[tipo_r]]="R",COUNTIFS($C$1:$C140,"R")+1,"")</f>
        <v>140</v>
      </c>
      <c r="B141" s="19" t="str">
        <f t="shared" si="14"/>
        <v>C_Ope_003</v>
      </c>
      <c r="C141" s="3" t="s">
        <v>1330</v>
      </c>
      <c r="D141" s="14">
        <v>45762</v>
      </c>
      <c r="E141" s="5" t="s">
        <v>5595</v>
      </c>
      <c r="F141" s="5" t="s">
        <v>1336</v>
      </c>
      <c r="G141" s="6" t="s">
        <v>1169</v>
      </c>
      <c r="H141" s="6" t="s">
        <v>75</v>
      </c>
      <c r="I141" s="6">
        <v>1</v>
      </c>
      <c r="J141" s="6">
        <v>215</v>
      </c>
      <c r="K141" s="7" t="s">
        <v>8329</v>
      </c>
      <c r="L141" s="8">
        <v>23881</v>
      </c>
      <c r="M141" s="8" t="str">
        <f t="shared" si="15"/>
        <v>PEN</v>
      </c>
      <c r="N141" s="13"/>
      <c r="O141" s="13">
        <v>15</v>
      </c>
      <c r="P141" s="3">
        <f t="shared" si="11"/>
        <v>0</v>
      </c>
      <c r="Q141" s="3">
        <f t="shared" si="12"/>
        <v>15</v>
      </c>
      <c r="R141" s="3">
        <f t="shared" si="13"/>
        <v>551.95000000000027</v>
      </c>
      <c r="S141" s="24" t="s">
        <v>1334</v>
      </c>
      <c r="T141" s="24" t="s">
        <v>1334</v>
      </c>
      <c r="U141" s="3"/>
      <c r="V141" s="25" t="s">
        <v>8006</v>
      </c>
      <c r="W141" s="25">
        <v>10220978554</v>
      </c>
      <c r="X141" s="25" t="str">
        <f>IFERROR(VLOOKUP(C_Ope_003[[#This Row],[nota_2]],Clientes_Proveedores[[Ruc / Dni]:[Razon Social]],2,0),"")</f>
        <v>MARTINEZ OSCURIMA MIGUEL ANGEL</v>
      </c>
      <c r="Y141" s="25"/>
      <c r="Z141" s="103"/>
      <c r="AA141" s="3" t="str">
        <f>IF(C_Ope_003[[#This Row],[fecha]]&gt;0,TEXT(C_Ope_003[[#This Row],[fecha]],"mmmm"),0)</f>
        <v>Abril</v>
      </c>
      <c r="AB141" s="49"/>
    </row>
    <row r="142" spans="1:28" x14ac:dyDescent="0.3">
      <c r="A142" s="2">
        <f>IF(C_Ope_003[[#This Row],[tipo_r]]="R",COUNTIFS($C$1:$C141,"R")+1,"")</f>
        <v>141</v>
      </c>
      <c r="B142" s="19" t="str">
        <f t="shared" si="14"/>
        <v>C_Ope_003</v>
      </c>
      <c r="C142" s="3" t="s">
        <v>1330</v>
      </c>
      <c r="D142" s="14">
        <v>45762</v>
      </c>
      <c r="E142" s="5" t="s">
        <v>5595</v>
      </c>
      <c r="F142" s="5" t="s">
        <v>1336</v>
      </c>
      <c r="G142" s="6"/>
      <c r="H142" s="6" t="s">
        <v>126</v>
      </c>
      <c r="I142" s="6"/>
      <c r="J142" s="6"/>
      <c r="K142" s="7" t="s">
        <v>8330</v>
      </c>
      <c r="L142" s="8">
        <v>23882</v>
      </c>
      <c r="M142" s="8" t="str">
        <f t="shared" si="15"/>
        <v>PEN</v>
      </c>
      <c r="N142" s="13"/>
      <c r="O142" s="13">
        <v>12</v>
      </c>
      <c r="P142" s="3">
        <f t="shared" si="11"/>
        <v>0</v>
      </c>
      <c r="Q142" s="3">
        <f t="shared" si="12"/>
        <v>12</v>
      </c>
      <c r="R142" s="3">
        <f t="shared" si="13"/>
        <v>539.95000000000027</v>
      </c>
      <c r="S142" s="24" t="s">
        <v>1334</v>
      </c>
      <c r="T142" s="24" t="s">
        <v>1334</v>
      </c>
      <c r="U142" s="3"/>
      <c r="V142" s="25" t="s">
        <v>8006</v>
      </c>
      <c r="W142" s="25"/>
      <c r="X142" s="25" t="str">
        <f>IFERROR(VLOOKUP(C_Ope_003[[#This Row],[nota_2]],Clientes_Proveedores[[Ruc / Dni]:[Razon Social]],2,0),"")</f>
        <v/>
      </c>
      <c r="Y142" s="25"/>
      <c r="Z142" s="103"/>
      <c r="AA142" s="3" t="str">
        <f>IF(C_Ope_003[[#This Row],[fecha]]&gt;0,TEXT(C_Ope_003[[#This Row],[fecha]],"mmmm"),0)</f>
        <v>Abril</v>
      </c>
      <c r="AB142" s="49"/>
    </row>
    <row r="143" spans="1:28" x14ac:dyDescent="0.3">
      <c r="A143" s="2">
        <f>IF(C_Ope_003[[#This Row],[tipo_r]]="R",COUNTIFS($C$1:$C142,"R")+1,"")</f>
        <v>142</v>
      </c>
      <c r="B143" s="19" t="str">
        <f t="shared" si="14"/>
        <v>C_Ope_003</v>
      </c>
      <c r="C143" s="3" t="s">
        <v>1330</v>
      </c>
      <c r="D143" s="14">
        <v>45762</v>
      </c>
      <c r="E143" s="5" t="s">
        <v>5595</v>
      </c>
      <c r="F143" s="5" t="s">
        <v>1336</v>
      </c>
      <c r="G143" s="6"/>
      <c r="H143" s="6" t="s">
        <v>126</v>
      </c>
      <c r="I143" s="6"/>
      <c r="J143" s="6"/>
      <c r="K143" s="7" t="s">
        <v>8331</v>
      </c>
      <c r="L143" s="8">
        <v>23885</v>
      </c>
      <c r="M143" s="8" t="str">
        <f t="shared" si="15"/>
        <v>PEN</v>
      </c>
      <c r="N143" s="13"/>
      <c r="O143" s="13">
        <v>50</v>
      </c>
      <c r="P143" s="3">
        <f t="shared" si="11"/>
        <v>0</v>
      </c>
      <c r="Q143" s="3">
        <f t="shared" si="12"/>
        <v>50</v>
      </c>
      <c r="R143" s="3">
        <f t="shared" si="13"/>
        <v>489.95000000000027</v>
      </c>
      <c r="S143" s="24" t="s">
        <v>1334</v>
      </c>
      <c r="T143" s="24" t="s">
        <v>1334</v>
      </c>
      <c r="U143" s="3"/>
      <c r="V143" s="25" t="s">
        <v>8006</v>
      </c>
      <c r="W143" s="25"/>
      <c r="X143" s="25" t="str">
        <f>IFERROR(VLOOKUP(C_Ope_003[[#This Row],[nota_2]],Clientes_Proveedores[[Ruc / Dni]:[Razon Social]],2,0),"")</f>
        <v/>
      </c>
      <c r="Y143" s="25"/>
      <c r="Z143" s="103"/>
      <c r="AA143" s="3" t="str">
        <f>IF(C_Ope_003[[#This Row],[fecha]]&gt;0,TEXT(C_Ope_003[[#This Row],[fecha]],"mmmm"),0)</f>
        <v>Abril</v>
      </c>
      <c r="AB143" s="49"/>
    </row>
    <row r="144" spans="1:28" ht="24" x14ac:dyDescent="0.3">
      <c r="A144" s="2">
        <f>IF(C_Ope_003[[#This Row],[tipo_r]]="R",COUNTIFS($C$1:$C143,"R")+1,"")</f>
        <v>143</v>
      </c>
      <c r="B144" s="19" t="str">
        <f t="shared" si="14"/>
        <v>C_Ope_003</v>
      </c>
      <c r="C144" s="3" t="s">
        <v>1330</v>
      </c>
      <c r="D144" s="14">
        <v>45763</v>
      </c>
      <c r="E144" s="5" t="s">
        <v>5595</v>
      </c>
      <c r="F144" s="5" t="s">
        <v>1336</v>
      </c>
      <c r="G144" s="6" t="s">
        <v>1170</v>
      </c>
      <c r="H144" s="6" t="s">
        <v>68</v>
      </c>
      <c r="I144" s="6" t="s">
        <v>1374</v>
      </c>
      <c r="J144" s="6">
        <v>91</v>
      </c>
      <c r="K144" s="7" t="s">
        <v>8332</v>
      </c>
      <c r="L144" s="8">
        <v>23886</v>
      </c>
      <c r="M144" s="8" t="str">
        <f t="shared" si="15"/>
        <v>PEN</v>
      </c>
      <c r="N144" s="13"/>
      <c r="O144" s="13">
        <v>20</v>
      </c>
      <c r="P144" s="3">
        <f t="shared" si="11"/>
        <v>0</v>
      </c>
      <c r="Q144" s="3">
        <f t="shared" si="12"/>
        <v>20</v>
      </c>
      <c r="R144" s="3">
        <f t="shared" si="13"/>
        <v>469.95000000000027</v>
      </c>
      <c r="S144" s="24" t="s">
        <v>1334</v>
      </c>
      <c r="T144" s="24" t="s">
        <v>1334</v>
      </c>
      <c r="U144" s="3"/>
      <c r="V144" s="25" t="s">
        <v>8006</v>
      </c>
      <c r="W144" s="25">
        <v>10094964780</v>
      </c>
      <c r="X144" s="25" t="str">
        <f>IFERROR(VLOOKUP(C_Ope_003[[#This Row],[nota_2]],Clientes_Proveedores[[Ruc / Dni]:[Razon Social]],2,0),"")</f>
        <v>COLAN CANALES OSCAR</v>
      </c>
      <c r="Y144" s="25"/>
      <c r="Z144" s="103"/>
      <c r="AA144" s="3" t="str">
        <f>IF(C_Ope_003[[#This Row],[fecha]]&gt;0,TEXT(C_Ope_003[[#This Row],[fecha]],"mmmm"),0)</f>
        <v>Abril</v>
      </c>
      <c r="AB144" s="49"/>
    </row>
    <row r="145" spans="1:28" x14ac:dyDescent="0.3">
      <c r="A145" s="2">
        <f>IF(C_Ope_003[[#This Row],[tipo_r]]="R",COUNTIFS($C$1:$C144,"R")+1,"")</f>
        <v>144</v>
      </c>
      <c r="B145" s="19" t="str">
        <f t="shared" si="14"/>
        <v>C_Ope_003</v>
      </c>
      <c r="C145" s="3" t="s">
        <v>1330</v>
      </c>
      <c r="D145" s="14">
        <v>45763</v>
      </c>
      <c r="E145" s="5" t="s">
        <v>5595</v>
      </c>
      <c r="F145" s="5" t="s">
        <v>1336</v>
      </c>
      <c r="G145" s="6"/>
      <c r="H145" s="6" t="s">
        <v>126</v>
      </c>
      <c r="I145" s="6"/>
      <c r="J145" s="6"/>
      <c r="K145" s="7" t="s">
        <v>8333</v>
      </c>
      <c r="L145" s="8">
        <v>23903</v>
      </c>
      <c r="M145" s="8" t="str">
        <f t="shared" si="15"/>
        <v>PEN</v>
      </c>
      <c r="N145" s="13"/>
      <c r="O145" s="13">
        <v>12</v>
      </c>
      <c r="P145" s="3">
        <f t="shared" si="11"/>
        <v>0</v>
      </c>
      <c r="Q145" s="3">
        <f t="shared" si="12"/>
        <v>12</v>
      </c>
      <c r="R145" s="3">
        <f t="shared" si="13"/>
        <v>457.95000000000027</v>
      </c>
      <c r="S145" s="24" t="s">
        <v>1334</v>
      </c>
      <c r="T145" s="24" t="s">
        <v>1334</v>
      </c>
      <c r="U145" s="3"/>
      <c r="V145" s="25" t="s">
        <v>8006</v>
      </c>
      <c r="W145" s="25"/>
      <c r="X145" s="25" t="str">
        <f>IFERROR(VLOOKUP(C_Ope_003[[#This Row],[nota_2]],Clientes_Proveedores[[Ruc / Dni]:[Razon Social]],2,0),"")</f>
        <v/>
      </c>
      <c r="Y145" s="25"/>
      <c r="Z145" s="103"/>
      <c r="AA145" s="3" t="str">
        <f>IF(C_Ope_003[[#This Row],[fecha]]&gt;0,TEXT(C_Ope_003[[#This Row],[fecha]],"mmmm"),0)</f>
        <v>Abril</v>
      </c>
      <c r="AB145" s="49"/>
    </row>
    <row r="146" spans="1:28" x14ac:dyDescent="0.3">
      <c r="A146" s="2">
        <f>IF(C_Ope_003[[#This Row],[tipo_r]]="R",COUNTIFS($C$1:$C145,"R")+1,"")</f>
        <v>145</v>
      </c>
      <c r="B146" s="19" t="str">
        <f t="shared" si="14"/>
        <v>C_Ope_003</v>
      </c>
      <c r="C146" s="3" t="s">
        <v>1330</v>
      </c>
      <c r="D146" s="14">
        <v>45763</v>
      </c>
      <c r="E146" s="5" t="s">
        <v>5595</v>
      </c>
      <c r="F146" s="5" t="s">
        <v>1336</v>
      </c>
      <c r="G146" s="6"/>
      <c r="H146" s="6" t="s">
        <v>126</v>
      </c>
      <c r="I146" s="6"/>
      <c r="J146" s="6"/>
      <c r="K146" s="7" t="s">
        <v>8334</v>
      </c>
      <c r="L146" s="8">
        <v>23904</v>
      </c>
      <c r="M146" s="8" t="str">
        <f t="shared" si="15"/>
        <v>PEN</v>
      </c>
      <c r="N146" s="13"/>
      <c r="O146" s="13">
        <v>15</v>
      </c>
      <c r="P146" s="3">
        <f t="shared" si="11"/>
        <v>0</v>
      </c>
      <c r="Q146" s="3">
        <f t="shared" si="12"/>
        <v>15</v>
      </c>
      <c r="R146" s="3">
        <f t="shared" si="13"/>
        <v>442.95000000000027</v>
      </c>
      <c r="S146" s="24" t="s">
        <v>1334</v>
      </c>
      <c r="T146" s="24" t="s">
        <v>1334</v>
      </c>
      <c r="U146" s="3"/>
      <c r="V146" s="25" t="s">
        <v>8006</v>
      </c>
      <c r="W146" s="25"/>
      <c r="X146" s="25" t="str">
        <f>IFERROR(VLOOKUP(C_Ope_003[[#This Row],[nota_2]],Clientes_Proveedores[[Ruc / Dni]:[Razon Social]],2,0),"")</f>
        <v/>
      </c>
      <c r="Y146" s="25"/>
      <c r="Z146" s="103"/>
      <c r="AA146" s="3" t="str">
        <f>IF(C_Ope_003[[#This Row],[fecha]]&gt;0,TEXT(C_Ope_003[[#This Row],[fecha]],"mmmm"),0)</f>
        <v>Abril</v>
      </c>
      <c r="AB146" s="49"/>
    </row>
    <row r="147" spans="1:28" x14ac:dyDescent="0.3">
      <c r="A147" s="2">
        <f>IF(C_Ope_003[[#This Row],[tipo_r]]="R",COUNTIFS($C$1:$C146,"R")+1,"")</f>
        <v>146</v>
      </c>
      <c r="B147" s="19" t="str">
        <f t="shared" si="14"/>
        <v>C_Ope_003</v>
      </c>
      <c r="C147" s="3" t="s">
        <v>1330</v>
      </c>
      <c r="D147" s="14">
        <v>45763</v>
      </c>
      <c r="E147" s="5" t="s">
        <v>5595</v>
      </c>
      <c r="F147" s="5" t="s">
        <v>1336</v>
      </c>
      <c r="G147" s="6"/>
      <c r="H147" s="6" t="s">
        <v>126</v>
      </c>
      <c r="I147" s="6"/>
      <c r="J147" s="6"/>
      <c r="K147" s="7" t="s">
        <v>8335</v>
      </c>
      <c r="L147" s="8">
        <v>23905</v>
      </c>
      <c r="M147" s="8" t="str">
        <f t="shared" si="15"/>
        <v>PEN</v>
      </c>
      <c r="N147" s="13"/>
      <c r="O147" s="13">
        <v>10</v>
      </c>
      <c r="P147" s="3">
        <f t="shared" si="11"/>
        <v>0</v>
      </c>
      <c r="Q147" s="3">
        <f t="shared" si="12"/>
        <v>10</v>
      </c>
      <c r="R147" s="3">
        <f t="shared" si="13"/>
        <v>432.95000000000027</v>
      </c>
      <c r="S147" s="24" t="s">
        <v>1334</v>
      </c>
      <c r="T147" s="24" t="s">
        <v>1334</v>
      </c>
      <c r="U147" s="3"/>
      <c r="V147" s="25" t="s">
        <v>8006</v>
      </c>
      <c r="W147" s="25"/>
      <c r="X147" s="25" t="str">
        <f>IFERROR(VLOOKUP(C_Ope_003[[#This Row],[nota_2]],Clientes_Proveedores[[Ruc / Dni]:[Razon Social]],2,0),"")</f>
        <v/>
      </c>
      <c r="Y147" s="25"/>
      <c r="Z147" s="103"/>
      <c r="AA147" s="3" t="str">
        <f>IF(C_Ope_003[[#This Row],[fecha]]&gt;0,TEXT(C_Ope_003[[#This Row],[fecha]],"mmmm"),0)</f>
        <v>Abril</v>
      </c>
      <c r="AB147" s="49"/>
    </row>
    <row r="148" spans="1:28" x14ac:dyDescent="0.3">
      <c r="A148" s="2">
        <f>IF(C_Ope_003[[#This Row],[tipo_r]]="R",COUNTIFS($C$1:$C147,"R")+1,"")</f>
        <v>147</v>
      </c>
      <c r="B148" s="19" t="str">
        <f t="shared" si="14"/>
        <v>C_Ope_003</v>
      </c>
      <c r="C148" s="3" t="s">
        <v>1330</v>
      </c>
      <c r="D148" s="14">
        <v>45764</v>
      </c>
      <c r="E148" s="5" t="s">
        <v>5595</v>
      </c>
      <c r="F148" s="5" t="s">
        <v>1336</v>
      </c>
      <c r="G148" s="6"/>
      <c r="H148" s="6" t="s">
        <v>126</v>
      </c>
      <c r="I148" s="6"/>
      <c r="J148" s="6"/>
      <c r="K148" s="7" t="s">
        <v>8336</v>
      </c>
      <c r="L148" s="8">
        <v>23911</v>
      </c>
      <c r="M148" s="8" t="str">
        <f t="shared" si="15"/>
        <v>PEN</v>
      </c>
      <c r="N148" s="13"/>
      <c r="O148" s="13">
        <v>8</v>
      </c>
      <c r="P148" s="3">
        <f t="shared" si="11"/>
        <v>0</v>
      </c>
      <c r="Q148" s="3">
        <f t="shared" si="12"/>
        <v>8</v>
      </c>
      <c r="R148" s="3">
        <f t="shared" si="13"/>
        <v>424.95000000000027</v>
      </c>
      <c r="S148" s="24" t="s">
        <v>1334</v>
      </c>
      <c r="T148" s="24" t="s">
        <v>1334</v>
      </c>
      <c r="U148" s="3"/>
      <c r="V148" s="25" t="s">
        <v>8006</v>
      </c>
      <c r="W148" s="25"/>
      <c r="X148" s="25" t="str">
        <f>IFERROR(VLOOKUP(C_Ope_003[[#This Row],[nota_2]],Clientes_Proveedores[[Ruc / Dni]:[Razon Social]],2,0),"")</f>
        <v/>
      </c>
      <c r="Y148" s="25"/>
      <c r="Z148" s="103"/>
      <c r="AA148" s="3" t="str">
        <f>IF(C_Ope_003[[#This Row],[fecha]]&gt;0,TEXT(C_Ope_003[[#This Row],[fecha]],"mmmm"),0)</f>
        <v>Abril</v>
      </c>
      <c r="AB148" s="49"/>
    </row>
    <row r="149" spans="1:28" x14ac:dyDescent="0.3">
      <c r="A149" s="2">
        <f>IF(C_Ope_003[[#This Row],[tipo_r]]="R",COUNTIFS($C$1:$C148,"R")+1,"")</f>
        <v>148</v>
      </c>
      <c r="B149" s="19" t="str">
        <f t="shared" si="14"/>
        <v>C_Ope_003</v>
      </c>
      <c r="C149" s="3" t="s">
        <v>1330</v>
      </c>
      <c r="D149" s="14">
        <v>45764</v>
      </c>
      <c r="E149" s="5" t="s">
        <v>5595</v>
      </c>
      <c r="F149" s="5" t="s">
        <v>1336</v>
      </c>
      <c r="G149" s="6"/>
      <c r="H149" s="6" t="s">
        <v>126</v>
      </c>
      <c r="I149" s="6"/>
      <c r="J149" s="6"/>
      <c r="K149" s="7" t="s">
        <v>8337</v>
      </c>
      <c r="L149" s="8">
        <v>23912</v>
      </c>
      <c r="M149" s="8" t="str">
        <f t="shared" si="15"/>
        <v>PEN</v>
      </c>
      <c r="N149" s="13"/>
      <c r="O149" s="13">
        <v>15</v>
      </c>
      <c r="P149" s="3">
        <f t="shared" si="11"/>
        <v>0</v>
      </c>
      <c r="Q149" s="3">
        <f t="shared" si="12"/>
        <v>15</v>
      </c>
      <c r="R149" s="3">
        <f t="shared" si="13"/>
        <v>409.95000000000027</v>
      </c>
      <c r="S149" s="24" t="s">
        <v>1334</v>
      </c>
      <c r="T149" s="24" t="s">
        <v>1334</v>
      </c>
      <c r="U149" s="3"/>
      <c r="V149" s="25" t="s">
        <v>8006</v>
      </c>
      <c r="W149" s="25"/>
      <c r="X149" s="25" t="str">
        <f>IFERROR(VLOOKUP(C_Ope_003[[#This Row],[nota_2]],Clientes_Proveedores[[Ruc / Dni]:[Razon Social]],2,0),"")</f>
        <v/>
      </c>
      <c r="Y149" s="25"/>
      <c r="Z149" s="103"/>
      <c r="AA149" s="3" t="str">
        <f>IF(C_Ope_003[[#This Row],[fecha]]&gt;0,TEXT(C_Ope_003[[#This Row],[fecha]],"mmmm"),0)</f>
        <v>Abril</v>
      </c>
      <c r="AB149" s="49"/>
    </row>
    <row r="150" spans="1:28" x14ac:dyDescent="0.3">
      <c r="A150" s="2">
        <f>IF(C_Ope_003[[#This Row],[tipo_r]]="R",COUNTIFS($C$1:$C149,"R")+1,"")</f>
        <v>149</v>
      </c>
      <c r="B150" s="19" t="str">
        <f t="shared" si="14"/>
        <v>C_Ope_003</v>
      </c>
      <c r="C150" s="3" t="s">
        <v>1330</v>
      </c>
      <c r="D150" s="14">
        <v>45764</v>
      </c>
      <c r="E150" s="5" t="s">
        <v>5595</v>
      </c>
      <c r="F150" s="5" t="s">
        <v>1336</v>
      </c>
      <c r="G150" s="6"/>
      <c r="H150" s="6" t="s">
        <v>126</v>
      </c>
      <c r="I150" s="6"/>
      <c r="J150" s="6"/>
      <c r="K150" s="7" t="s">
        <v>8338</v>
      </c>
      <c r="L150" s="8">
        <v>23913</v>
      </c>
      <c r="M150" s="8" t="str">
        <f t="shared" si="15"/>
        <v>PEN</v>
      </c>
      <c r="N150" s="13"/>
      <c r="O150" s="13">
        <v>12</v>
      </c>
      <c r="P150" s="3">
        <f t="shared" si="11"/>
        <v>0</v>
      </c>
      <c r="Q150" s="3">
        <f t="shared" si="12"/>
        <v>12</v>
      </c>
      <c r="R150" s="3">
        <f t="shared" si="13"/>
        <v>397.95000000000027</v>
      </c>
      <c r="S150" s="24" t="s">
        <v>1334</v>
      </c>
      <c r="T150" s="24" t="s">
        <v>1334</v>
      </c>
      <c r="U150" s="3"/>
      <c r="V150" s="25" t="s">
        <v>8006</v>
      </c>
      <c r="W150" s="25"/>
      <c r="X150" s="25" t="str">
        <f>IFERROR(VLOOKUP(C_Ope_003[[#This Row],[nota_2]],Clientes_Proveedores[[Ruc / Dni]:[Razon Social]],2,0),"")</f>
        <v/>
      </c>
      <c r="Y150" s="25"/>
      <c r="Z150" s="103"/>
      <c r="AA150" s="3" t="str">
        <f>IF(C_Ope_003[[#This Row],[fecha]]&gt;0,TEXT(C_Ope_003[[#This Row],[fecha]],"mmmm"),0)</f>
        <v>Abril</v>
      </c>
      <c r="AB150" s="49"/>
    </row>
    <row r="151" spans="1:28" ht="24" x14ac:dyDescent="0.3">
      <c r="A151" s="2">
        <f>IF(C_Ope_003[[#This Row],[tipo_r]]="R",COUNTIFS($C$1:$C150,"R")+1,"")</f>
        <v>150</v>
      </c>
      <c r="B151" s="19" t="str">
        <f t="shared" si="14"/>
        <v>C_Ope_003</v>
      </c>
      <c r="C151" s="3" t="s">
        <v>1330</v>
      </c>
      <c r="D151" s="14">
        <v>45764</v>
      </c>
      <c r="E151" s="5" t="s">
        <v>5595</v>
      </c>
      <c r="F151" s="5" t="s">
        <v>1336</v>
      </c>
      <c r="G151" s="6" t="s">
        <v>1047</v>
      </c>
      <c r="H151" s="6" t="s">
        <v>68</v>
      </c>
      <c r="I151" s="6" t="s">
        <v>1374</v>
      </c>
      <c r="J151" s="6">
        <v>59953</v>
      </c>
      <c r="K151" s="7" t="s">
        <v>8249</v>
      </c>
      <c r="L151" s="8">
        <v>23914</v>
      </c>
      <c r="M151" s="8" t="str">
        <f t="shared" si="15"/>
        <v>PEN</v>
      </c>
      <c r="N151" s="13"/>
      <c r="O151" s="13">
        <v>18</v>
      </c>
      <c r="P151" s="3">
        <f t="shared" si="11"/>
        <v>0</v>
      </c>
      <c r="Q151" s="3">
        <f t="shared" si="12"/>
        <v>18</v>
      </c>
      <c r="R151" s="3">
        <f t="shared" si="13"/>
        <v>379.95000000000027</v>
      </c>
      <c r="S151" s="24" t="s">
        <v>1334</v>
      </c>
      <c r="T151" s="24" t="s">
        <v>1334</v>
      </c>
      <c r="U151" s="3"/>
      <c r="V151" s="25" t="s">
        <v>8006</v>
      </c>
      <c r="W151" s="25">
        <v>20552302932</v>
      </c>
      <c r="X151" s="25" t="str">
        <f>IFERROR(VLOOKUP(C_Ope_003[[#This Row],[nota_2]],Clientes_Proveedores[[Ruc / Dni]:[Razon Social]],2,0),"")</f>
        <v>PERUVIAN GROUP FREDAL S.A.C</v>
      </c>
      <c r="Y151" s="25"/>
      <c r="Z151" s="103"/>
      <c r="AA151" s="3" t="str">
        <f>IF(C_Ope_003[[#This Row],[fecha]]&gt;0,TEXT(C_Ope_003[[#This Row],[fecha]],"mmmm"),0)</f>
        <v>Abril</v>
      </c>
      <c r="AB151" s="49"/>
    </row>
    <row r="152" spans="1:28" ht="24" x14ac:dyDescent="0.3">
      <c r="A152" s="2">
        <f>IF(C_Ope_003[[#This Row],[tipo_r]]="R",COUNTIFS($C$1:$C151,"R")+1,"")</f>
        <v>151</v>
      </c>
      <c r="B152" s="19" t="str">
        <f t="shared" si="14"/>
        <v>C_Ope_003</v>
      </c>
      <c r="C152" s="3" t="s">
        <v>1330</v>
      </c>
      <c r="D152" s="14">
        <v>45764</v>
      </c>
      <c r="E152" s="5" t="s">
        <v>5595</v>
      </c>
      <c r="F152" s="5" t="s">
        <v>1336</v>
      </c>
      <c r="G152" s="6" t="s">
        <v>1164</v>
      </c>
      <c r="H152" s="6" t="s">
        <v>68</v>
      </c>
      <c r="I152" s="6" t="s">
        <v>1376</v>
      </c>
      <c r="J152" s="6">
        <v>7638</v>
      </c>
      <c r="K152" s="7" t="s">
        <v>8339</v>
      </c>
      <c r="L152" s="8">
        <v>23919</v>
      </c>
      <c r="M152" s="8" t="str">
        <f t="shared" si="15"/>
        <v>PEN</v>
      </c>
      <c r="N152" s="13">
        <v>20</v>
      </c>
      <c r="O152" s="13">
        <v>50</v>
      </c>
      <c r="P152" s="3">
        <f t="shared" si="11"/>
        <v>0</v>
      </c>
      <c r="Q152" s="3">
        <f t="shared" si="12"/>
        <v>50</v>
      </c>
      <c r="R152" s="3">
        <f t="shared" si="13"/>
        <v>329.95000000000027</v>
      </c>
      <c r="S152" s="24" t="s">
        <v>1334</v>
      </c>
      <c r="T152" s="24" t="s">
        <v>1334</v>
      </c>
      <c r="U152" s="3"/>
      <c r="V152" s="25" t="s">
        <v>8006</v>
      </c>
      <c r="W152" s="25">
        <v>10103616811</v>
      </c>
      <c r="X152" s="25" t="str">
        <f>IFERROR(VLOOKUP(C_Ope_003[[#This Row],[nota_2]],Clientes_Proveedores[[Ruc / Dni]:[Razon Social]],2,0),"")</f>
        <v>CRUZ RAYMUNDO EUSEBIO</v>
      </c>
      <c r="Y152" s="25"/>
      <c r="Z152" s="103"/>
      <c r="AA152" s="3" t="str">
        <f>IF(C_Ope_003[[#This Row],[fecha]]&gt;0,TEXT(C_Ope_003[[#This Row],[fecha]],"mmmm"),0)</f>
        <v>Abril</v>
      </c>
      <c r="AB152" s="49"/>
    </row>
    <row r="153" spans="1:28" ht="24" x14ac:dyDescent="0.3">
      <c r="A153" s="2">
        <f>IF(C_Ope_003[[#This Row],[tipo_r]]="R",COUNTIFS($C$1:$C152,"R")+1,"")</f>
        <v>152</v>
      </c>
      <c r="B153" s="19" t="str">
        <f t="shared" si="14"/>
        <v>C_Ope_003</v>
      </c>
      <c r="C153" s="3" t="s">
        <v>1330</v>
      </c>
      <c r="D153" s="14">
        <v>45764</v>
      </c>
      <c r="E153" s="5" t="s">
        <v>5595</v>
      </c>
      <c r="F153" s="5" t="s">
        <v>1336</v>
      </c>
      <c r="G153" s="6" t="s">
        <v>1164</v>
      </c>
      <c r="H153" s="6" t="s">
        <v>68</v>
      </c>
      <c r="I153" s="6" t="s">
        <v>1376</v>
      </c>
      <c r="J153" s="6">
        <v>7638</v>
      </c>
      <c r="K153" s="7" t="s">
        <v>8340</v>
      </c>
      <c r="L153" s="8">
        <v>23947</v>
      </c>
      <c r="M153" s="8" t="str">
        <f t="shared" si="15"/>
        <v>PEN</v>
      </c>
      <c r="N153" s="13">
        <v>50</v>
      </c>
      <c r="O153" s="13">
        <v>20</v>
      </c>
      <c r="P153" s="3">
        <f t="shared" si="11"/>
        <v>0</v>
      </c>
      <c r="Q153" s="3">
        <f t="shared" si="12"/>
        <v>20</v>
      </c>
      <c r="R153" s="3">
        <f t="shared" si="13"/>
        <v>309.95000000000027</v>
      </c>
      <c r="S153" s="24" t="s">
        <v>1334</v>
      </c>
      <c r="T153" s="24" t="s">
        <v>1334</v>
      </c>
      <c r="U153" s="3"/>
      <c r="V153" s="25" t="s">
        <v>8006</v>
      </c>
      <c r="W153" s="25">
        <v>10103616811</v>
      </c>
      <c r="X153" s="25" t="str">
        <f>IFERROR(VLOOKUP(C_Ope_003[[#This Row],[nota_2]],Clientes_Proveedores[[Ruc / Dni]:[Razon Social]],2,0),"")</f>
        <v>CRUZ RAYMUNDO EUSEBIO</v>
      </c>
      <c r="Y153" s="25"/>
      <c r="Z153" s="103"/>
      <c r="AA153" s="3" t="str">
        <f>IF(C_Ope_003[[#This Row],[fecha]]&gt;0,TEXT(C_Ope_003[[#This Row],[fecha]],"mmmm"),0)</f>
        <v>Abril</v>
      </c>
      <c r="AB153" s="49"/>
    </row>
    <row r="154" spans="1:28" x14ac:dyDescent="0.3">
      <c r="A154" s="2">
        <f>IF(C_Ope_003[[#This Row],[tipo_r]]="R",COUNTIFS($C$1:$C153,"R")+1,"")</f>
        <v>153</v>
      </c>
      <c r="B154" s="19" t="str">
        <f t="shared" si="14"/>
        <v>C_Ope_003</v>
      </c>
      <c r="C154" s="3" t="s">
        <v>1330</v>
      </c>
      <c r="D154" s="14">
        <v>45765</v>
      </c>
      <c r="E154" s="5" t="s">
        <v>5595</v>
      </c>
      <c r="F154" s="5" t="s">
        <v>1336</v>
      </c>
      <c r="G154" s="6"/>
      <c r="H154" s="6" t="s">
        <v>126</v>
      </c>
      <c r="I154" s="6"/>
      <c r="J154" s="6"/>
      <c r="K154" s="7" t="s">
        <v>8341</v>
      </c>
      <c r="L154" s="8">
        <v>23920</v>
      </c>
      <c r="M154" s="8" t="str">
        <f t="shared" si="15"/>
        <v>PEN</v>
      </c>
      <c r="N154" s="13"/>
      <c r="O154" s="13">
        <v>12</v>
      </c>
      <c r="P154" s="3">
        <f t="shared" si="11"/>
        <v>0</v>
      </c>
      <c r="Q154" s="3">
        <f t="shared" si="12"/>
        <v>12</v>
      </c>
      <c r="R154" s="3">
        <f t="shared" si="13"/>
        <v>297.95000000000027</v>
      </c>
      <c r="S154" s="24" t="s">
        <v>1334</v>
      </c>
      <c r="T154" s="24" t="s">
        <v>1334</v>
      </c>
      <c r="U154" s="3"/>
      <c r="V154" s="25" t="s">
        <v>8006</v>
      </c>
      <c r="W154" s="25"/>
      <c r="X154" s="25" t="str">
        <f>IFERROR(VLOOKUP(C_Ope_003[[#This Row],[nota_2]],Clientes_Proveedores[[Ruc / Dni]:[Razon Social]],2,0),"")</f>
        <v/>
      </c>
      <c r="Y154" s="25"/>
      <c r="Z154" s="103"/>
      <c r="AA154" s="3" t="str">
        <f>IF(C_Ope_003[[#This Row],[fecha]]&gt;0,TEXT(C_Ope_003[[#This Row],[fecha]],"mmmm"),0)</f>
        <v>Abril</v>
      </c>
      <c r="AB154" s="49"/>
    </row>
    <row r="155" spans="1:28" ht="24" x14ac:dyDescent="0.3">
      <c r="A155" s="2">
        <f>IF(C_Ope_003[[#This Row],[tipo_r]]="R",COUNTIFS($C$1:$C154,"R")+1,"")</f>
        <v>154</v>
      </c>
      <c r="B155" s="19" t="str">
        <f t="shared" si="14"/>
        <v>C_Ope_003</v>
      </c>
      <c r="C155" s="3" t="s">
        <v>1330</v>
      </c>
      <c r="D155" s="14">
        <v>45765</v>
      </c>
      <c r="E155" s="5" t="s">
        <v>5595</v>
      </c>
      <c r="F155" s="5" t="s">
        <v>1336</v>
      </c>
      <c r="G155" s="6" t="s">
        <v>1171</v>
      </c>
      <c r="H155" s="6" t="s">
        <v>75</v>
      </c>
      <c r="I155" s="6">
        <v>1</v>
      </c>
      <c r="J155" s="6">
        <v>2942</v>
      </c>
      <c r="K155" s="7" t="s">
        <v>8342</v>
      </c>
      <c r="L155" s="8">
        <v>23921</v>
      </c>
      <c r="M155" s="8" t="str">
        <f t="shared" si="15"/>
        <v>PEN</v>
      </c>
      <c r="N155" s="13"/>
      <c r="O155" s="13">
        <v>15</v>
      </c>
      <c r="P155" s="3">
        <f t="shared" si="11"/>
        <v>0</v>
      </c>
      <c r="Q155" s="3">
        <f t="shared" si="12"/>
        <v>15</v>
      </c>
      <c r="R155" s="3">
        <f t="shared" si="13"/>
        <v>282.95000000000027</v>
      </c>
      <c r="S155" s="24" t="s">
        <v>1334</v>
      </c>
      <c r="T155" s="24" t="s">
        <v>1334</v>
      </c>
      <c r="U155" s="3"/>
      <c r="V155" s="25" t="s">
        <v>8006</v>
      </c>
      <c r="W155" s="25">
        <v>10408535285</v>
      </c>
      <c r="X155" s="25" t="str">
        <f>IFERROR(VLOOKUP(C_Ope_003[[#This Row],[nota_2]],Clientes_Proveedores[[Ruc / Dni]:[Razon Social]],2,0),"")</f>
        <v>VILCA JARA ENMA GUISELI</v>
      </c>
      <c r="Y155" s="25"/>
      <c r="Z155" s="103"/>
      <c r="AA155" s="3" t="str">
        <f>IF(C_Ope_003[[#This Row],[fecha]]&gt;0,TEXT(C_Ope_003[[#This Row],[fecha]],"mmmm"),0)</f>
        <v>Abril</v>
      </c>
      <c r="AB155" s="49"/>
    </row>
    <row r="156" spans="1:28" x14ac:dyDescent="0.3">
      <c r="A156" s="2">
        <f>IF(C_Ope_003[[#This Row],[tipo_r]]="R",COUNTIFS($C$1:$C155,"R")+1,"")</f>
        <v>155</v>
      </c>
      <c r="B156" s="19" t="str">
        <f t="shared" si="14"/>
        <v>C_Ope_003</v>
      </c>
      <c r="C156" s="3" t="s">
        <v>1330</v>
      </c>
      <c r="D156" s="14">
        <v>45765</v>
      </c>
      <c r="E156" s="5" t="s">
        <v>5595</v>
      </c>
      <c r="F156" s="5" t="s">
        <v>1336</v>
      </c>
      <c r="G156" s="6"/>
      <c r="H156" s="6" t="s">
        <v>126</v>
      </c>
      <c r="I156" s="6"/>
      <c r="J156" s="6"/>
      <c r="K156" s="7" t="s">
        <v>8343</v>
      </c>
      <c r="L156" s="8">
        <v>23922</v>
      </c>
      <c r="M156" s="8" t="str">
        <f t="shared" si="15"/>
        <v>PEN</v>
      </c>
      <c r="N156" s="13"/>
      <c r="O156" s="13">
        <v>12</v>
      </c>
      <c r="P156" s="3">
        <f t="shared" si="11"/>
        <v>0</v>
      </c>
      <c r="Q156" s="3">
        <f t="shared" si="12"/>
        <v>12</v>
      </c>
      <c r="R156" s="3">
        <f t="shared" si="13"/>
        <v>270.95000000000027</v>
      </c>
      <c r="S156" s="24" t="s">
        <v>1334</v>
      </c>
      <c r="T156" s="24" t="s">
        <v>1334</v>
      </c>
      <c r="U156" s="3"/>
      <c r="V156" s="25" t="s">
        <v>8006</v>
      </c>
      <c r="W156" s="25"/>
      <c r="X156" s="25" t="str">
        <f>IFERROR(VLOOKUP(C_Ope_003[[#This Row],[nota_2]],Clientes_Proveedores[[Ruc / Dni]:[Razon Social]],2,0),"")</f>
        <v/>
      </c>
      <c r="Y156" s="25"/>
      <c r="Z156" s="103"/>
      <c r="AA156" s="3" t="str">
        <f>IF(C_Ope_003[[#This Row],[fecha]]&gt;0,TEXT(C_Ope_003[[#This Row],[fecha]],"mmmm"),0)</f>
        <v>Abril</v>
      </c>
      <c r="AB156" s="49"/>
    </row>
    <row r="157" spans="1:28" ht="36" x14ac:dyDescent="0.3">
      <c r="A157" s="2">
        <f>IF(C_Ope_003[[#This Row],[tipo_r]]="R",COUNTIFS($C$1:$C156,"R")+1,"")</f>
        <v>156</v>
      </c>
      <c r="B157" s="19" t="str">
        <f t="shared" si="14"/>
        <v>C_Ope_003</v>
      </c>
      <c r="C157" s="3" t="s">
        <v>1330</v>
      </c>
      <c r="D157" s="14">
        <v>45772</v>
      </c>
      <c r="E157" s="5" t="s">
        <v>5595</v>
      </c>
      <c r="F157" s="5" t="s">
        <v>1336</v>
      </c>
      <c r="G157" s="6" t="s">
        <v>682</v>
      </c>
      <c r="H157" s="6" t="s">
        <v>68</v>
      </c>
      <c r="I157" s="6" t="s">
        <v>1343</v>
      </c>
      <c r="J157" s="6">
        <v>34470</v>
      </c>
      <c r="K157" s="7" t="s">
        <v>8344</v>
      </c>
      <c r="L157" s="8">
        <v>23989</v>
      </c>
      <c r="M157" s="8" t="str">
        <f t="shared" si="15"/>
        <v>PEN</v>
      </c>
      <c r="N157" s="13"/>
      <c r="O157" s="13">
        <v>10</v>
      </c>
      <c r="P157" s="3">
        <f t="shared" si="11"/>
        <v>0</v>
      </c>
      <c r="Q157" s="3">
        <f t="shared" si="12"/>
        <v>10</v>
      </c>
      <c r="R157" s="3">
        <f t="shared" si="13"/>
        <v>260.95000000000027</v>
      </c>
      <c r="S157" s="24" t="s">
        <v>1334</v>
      </c>
      <c r="T157" s="24" t="s">
        <v>1334</v>
      </c>
      <c r="U157" s="3"/>
      <c r="V157" s="25" t="s">
        <v>8006</v>
      </c>
      <c r="W157" s="25">
        <v>20259858934</v>
      </c>
      <c r="X157" s="25" t="str">
        <f>IFERROR(VLOOKUP(C_Ope_003[[#This Row],[nota_2]],Clientes_Proveedores[[Ruc / Dni]:[Razon Social]],2,0),"")</f>
        <v>COMERCIALIZACION Y SERVICIOS EL EDEN S.A.C.</v>
      </c>
      <c r="Y157" s="25"/>
      <c r="Z157" s="103"/>
      <c r="AA157" s="3" t="str">
        <f>IF(C_Ope_003[[#This Row],[fecha]]&gt;0,TEXT(C_Ope_003[[#This Row],[fecha]],"mmmm"),0)</f>
        <v>Abril</v>
      </c>
      <c r="AB157" s="49"/>
    </row>
    <row r="158" spans="1:28" x14ac:dyDescent="0.3">
      <c r="A158" s="2">
        <f>IF(C_Ope_003[[#This Row],[tipo_r]]="R",COUNTIFS($C$1:$C157,"R")+1,"")</f>
        <v>157</v>
      </c>
      <c r="B158" s="19" t="str">
        <f t="shared" si="14"/>
        <v>C_Ope_003</v>
      </c>
      <c r="C158" s="3" t="s">
        <v>1330</v>
      </c>
      <c r="D158" s="14">
        <v>45761</v>
      </c>
      <c r="E158" s="5" t="s">
        <v>7514</v>
      </c>
      <c r="F158" s="5" t="s">
        <v>1303</v>
      </c>
      <c r="G158" s="6"/>
      <c r="H158" s="6"/>
      <c r="I158" s="6"/>
      <c r="J158" s="6"/>
      <c r="K158" s="7" t="s">
        <v>7516</v>
      </c>
      <c r="L158" s="8">
        <v>24097</v>
      </c>
      <c r="M158" s="8" t="str">
        <f t="shared" si="15"/>
        <v>PEN</v>
      </c>
      <c r="N158" s="13"/>
      <c r="O158" s="13">
        <v>400</v>
      </c>
      <c r="P158" s="3">
        <f t="shared" si="11"/>
        <v>400</v>
      </c>
      <c r="Q158" s="3">
        <f t="shared" si="12"/>
        <v>0</v>
      </c>
      <c r="R158" s="3">
        <f t="shared" si="13"/>
        <v>660.95000000000027</v>
      </c>
      <c r="S158" s="24" t="s">
        <v>1334</v>
      </c>
      <c r="T158" s="24" t="s">
        <v>1334</v>
      </c>
      <c r="U158" s="3"/>
      <c r="V158" s="25"/>
      <c r="W158" s="25"/>
      <c r="X158" s="25" t="str">
        <f>IFERROR(VLOOKUP(C_Ope_003[[#This Row],[nota_2]],Clientes_Proveedores[[Ruc / Dni]:[Razon Social]],2,0),"")</f>
        <v/>
      </c>
      <c r="Y158" s="25"/>
      <c r="Z158" s="103"/>
      <c r="AA158" s="3" t="str">
        <f>IF(C_Ope_003[[#This Row],[fecha]]&gt;0,TEXT(C_Ope_003[[#This Row],[fecha]],"mmmm"),0)</f>
        <v>Abril</v>
      </c>
      <c r="AB158" s="49"/>
    </row>
    <row r="159" spans="1:28" ht="24" x14ac:dyDescent="0.3">
      <c r="A159" s="2">
        <f>IF(C_Ope_003[[#This Row],[tipo_r]]="R",COUNTIFS($C$1:$C158,"R")+1,"")</f>
        <v>158</v>
      </c>
      <c r="B159" s="19" t="str">
        <f t="shared" si="14"/>
        <v>C_Ope_003</v>
      </c>
      <c r="C159" s="3" t="s">
        <v>1330</v>
      </c>
      <c r="D159" s="14">
        <v>45800</v>
      </c>
      <c r="E159" s="5" t="s">
        <v>5595</v>
      </c>
      <c r="F159" s="5" t="s">
        <v>1336</v>
      </c>
      <c r="G159" s="6" t="s">
        <v>978</v>
      </c>
      <c r="H159" s="6" t="s">
        <v>68</v>
      </c>
      <c r="I159" s="6" t="s">
        <v>5688</v>
      </c>
      <c r="J159" s="6">
        <v>2341499</v>
      </c>
      <c r="K159" s="7" t="s">
        <v>8345</v>
      </c>
      <c r="L159" s="8">
        <v>24303</v>
      </c>
      <c r="M159" s="8" t="str">
        <f t="shared" si="15"/>
        <v>PEN</v>
      </c>
      <c r="N159" s="13"/>
      <c r="O159" s="13">
        <v>8</v>
      </c>
      <c r="P159" s="3">
        <f t="shared" si="11"/>
        <v>0</v>
      </c>
      <c r="Q159" s="3">
        <f t="shared" si="12"/>
        <v>8</v>
      </c>
      <c r="R159" s="3">
        <f t="shared" si="13"/>
        <v>652.95000000000027</v>
      </c>
      <c r="S159" s="24" t="s">
        <v>1334</v>
      </c>
      <c r="T159" s="24" t="s">
        <v>1334</v>
      </c>
      <c r="U159" s="3"/>
      <c r="V159" s="25" t="s">
        <v>7842</v>
      </c>
      <c r="W159" s="25">
        <v>20517252558</v>
      </c>
      <c r="X159" s="25" t="str">
        <f>IFERROR(VLOOKUP(C_Ope_003[[#This Row],[nota_2]],Clientes_Proveedores[[Ruc / Dni]:[Razon Social]],2,0),"")</f>
        <v>COVISUR S.A.</v>
      </c>
      <c r="Y159" s="25"/>
      <c r="Z159" s="103"/>
      <c r="AA159" s="3" t="str">
        <f>IF(C_Ope_003[[#This Row],[fecha]]&gt;0,TEXT(C_Ope_003[[#This Row],[fecha]],"mmmm"),0)</f>
        <v>Mayo</v>
      </c>
      <c r="AB159" s="49"/>
    </row>
    <row r="160" spans="1:28" ht="24" x14ac:dyDescent="0.3">
      <c r="A160" s="2">
        <f>IF(C_Ope_003[[#This Row],[tipo_r]]="R",COUNTIFS($C$1:$C159,"R")+1,"")</f>
        <v>159</v>
      </c>
      <c r="B160" s="19" t="str">
        <f t="shared" si="14"/>
        <v>C_Ope_003</v>
      </c>
      <c r="C160" s="3" t="s">
        <v>1330</v>
      </c>
      <c r="D160" s="14">
        <v>45800</v>
      </c>
      <c r="E160" s="5" t="s">
        <v>5595</v>
      </c>
      <c r="F160" s="5" t="s">
        <v>1336</v>
      </c>
      <c r="G160" s="6" t="s">
        <v>978</v>
      </c>
      <c r="H160" s="6" t="s">
        <v>68</v>
      </c>
      <c r="I160" s="6" t="s">
        <v>5845</v>
      </c>
      <c r="J160" s="6">
        <v>1758114</v>
      </c>
      <c r="K160" s="7" t="s">
        <v>8345</v>
      </c>
      <c r="L160" s="8">
        <v>24304</v>
      </c>
      <c r="M160" s="8" t="str">
        <f t="shared" si="15"/>
        <v>PEN</v>
      </c>
      <c r="N160" s="13"/>
      <c r="O160" s="13">
        <v>8</v>
      </c>
      <c r="P160" s="3">
        <f t="shared" si="11"/>
        <v>0</v>
      </c>
      <c r="Q160" s="3">
        <f t="shared" si="12"/>
        <v>8</v>
      </c>
      <c r="R160" s="3">
        <f t="shared" si="13"/>
        <v>644.95000000000027</v>
      </c>
      <c r="S160" s="24" t="s">
        <v>1334</v>
      </c>
      <c r="T160" s="24" t="s">
        <v>1334</v>
      </c>
      <c r="U160" s="3"/>
      <c r="V160" s="25" t="s">
        <v>7842</v>
      </c>
      <c r="W160" s="25">
        <v>20517252558</v>
      </c>
      <c r="X160" s="25" t="str">
        <f>IFERROR(VLOOKUP(C_Ope_003[[#This Row],[nota_2]],Clientes_Proveedores[[Ruc / Dni]:[Razon Social]],2,0),"")</f>
        <v>COVISUR S.A.</v>
      </c>
      <c r="Y160" s="25"/>
      <c r="Z160" s="103"/>
      <c r="AA160" s="3" t="str">
        <f>IF(C_Ope_003[[#This Row],[fecha]]&gt;0,TEXT(C_Ope_003[[#This Row],[fecha]],"mmmm"),0)</f>
        <v>Mayo</v>
      </c>
      <c r="AB160" s="49"/>
    </row>
    <row r="161" spans="1:28" x14ac:dyDescent="0.3">
      <c r="A161" s="2">
        <f>IF(C_Ope_003[[#This Row],[tipo_r]]="R",COUNTIFS($C$1:$C160,"R")+1,"")</f>
        <v>160</v>
      </c>
      <c r="B161" s="19" t="str">
        <f t="shared" si="14"/>
        <v>C_Ope_003</v>
      </c>
      <c r="C161" s="3" t="s">
        <v>1330</v>
      </c>
      <c r="D161" s="14">
        <v>45804</v>
      </c>
      <c r="E161" s="5" t="s">
        <v>7514</v>
      </c>
      <c r="F161" s="5" t="s">
        <v>1303</v>
      </c>
      <c r="G161" s="6"/>
      <c r="H161" s="6"/>
      <c r="I161" s="6"/>
      <c r="J161" s="6"/>
      <c r="K161" s="7" t="s">
        <v>7516</v>
      </c>
      <c r="L161" s="8">
        <v>24336</v>
      </c>
      <c r="M161" s="8" t="str">
        <f t="shared" si="15"/>
        <v>PEN</v>
      </c>
      <c r="N161" s="13"/>
      <c r="O161" s="13">
        <v>400</v>
      </c>
      <c r="P161" s="3">
        <f t="shared" si="11"/>
        <v>400</v>
      </c>
      <c r="Q161" s="3">
        <f t="shared" si="12"/>
        <v>0</v>
      </c>
      <c r="R161" s="3">
        <f t="shared" si="13"/>
        <v>1044.9500000000003</v>
      </c>
      <c r="S161" s="24" t="s">
        <v>1334</v>
      </c>
      <c r="T161" s="24" t="s">
        <v>1334</v>
      </c>
      <c r="U161" s="3"/>
      <c r="V161" s="25"/>
      <c r="W161" s="25"/>
      <c r="X161" s="25" t="str">
        <f>IFERROR(VLOOKUP(C_Ope_003[[#This Row],[nota_2]],Clientes_Proveedores[[Ruc / Dni]:[Razon Social]],2,0),"")</f>
        <v/>
      </c>
      <c r="Y161" s="25"/>
      <c r="Z161" s="103"/>
      <c r="AA161" s="3" t="str">
        <f>IF(C_Ope_003[[#This Row],[fecha]]&gt;0,TEXT(C_Ope_003[[#This Row],[fecha]],"mmmm"),0)</f>
        <v>Mayo</v>
      </c>
      <c r="AB161" s="49"/>
    </row>
    <row r="162" spans="1:28" ht="24" x14ac:dyDescent="0.3">
      <c r="A162" s="2">
        <f>IF(C_Ope_003[[#This Row],[tipo_r]]="R",COUNTIFS($C$1:$C161,"R")+1,"")</f>
        <v>161</v>
      </c>
      <c r="B162" s="19" t="str">
        <f t="shared" si="14"/>
        <v>C_Ope_003</v>
      </c>
      <c r="C162" s="3" t="s">
        <v>1330</v>
      </c>
      <c r="D162" s="14">
        <v>45803</v>
      </c>
      <c r="E162" s="5" t="s">
        <v>5595</v>
      </c>
      <c r="F162" s="5" t="s">
        <v>1336</v>
      </c>
      <c r="G162" s="6" t="s">
        <v>978</v>
      </c>
      <c r="H162" s="6" t="s">
        <v>68</v>
      </c>
      <c r="I162" s="6" t="s">
        <v>6204</v>
      </c>
      <c r="J162" s="6">
        <v>1741098</v>
      </c>
      <c r="K162" s="7" t="s">
        <v>8307</v>
      </c>
      <c r="L162" s="8">
        <v>24309</v>
      </c>
      <c r="M162" s="8" t="str">
        <f t="shared" si="15"/>
        <v>PEN</v>
      </c>
      <c r="N162" s="13"/>
      <c r="O162" s="13">
        <v>12</v>
      </c>
      <c r="P162" s="3">
        <f t="shared" si="11"/>
        <v>0</v>
      </c>
      <c r="Q162" s="3">
        <f t="shared" si="12"/>
        <v>12</v>
      </c>
      <c r="R162" s="3">
        <f t="shared" si="13"/>
        <v>1032.9500000000003</v>
      </c>
      <c r="S162" s="24" t="s">
        <v>1334</v>
      </c>
      <c r="T162" s="24" t="s">
        <v>1334</v>
      </c>
      <c r="U162" s="3"/>
      <c r="V162" s="25" t="s">
        <v>8006</v>
      </c>
      <c r="W162" s="25">
        <v>20517252558</v>
      </c>
      <c r="X162" s="25" t="str">
        <f>IFERROR(VLOOKUP(C_Ope_003[[#This Row],[nota_2]],Clientes_Proveedores[[Ruc / Dni]:[Razon Social]],2,0),"")</f>
        <v>COVISUR S.A.</v>
      </c>
      <c r="Y162" s="25"/>
      <c r="Z162" s="103"/>
      <c r="AA162" s="3" t="str">
        <f>IF(C_Ope_003[[#This Row],[fecha]]&gt;0,TEXT(C_Ope_003[[#This Row],[fecha]],"mmmm"),0)</f>
        <v>Mayo</v>
      </c>
      <c r="AB162" s="49"/>
    </row>
    <row r="163" spans="1:28" ht="36" x14ac:dyDescent="0.3">
      <c r="A163" s="2">
        <f>IF(C_Ope_003[[#This Row],[tipo_r]]="R",COUNTIFS($C$1:$C162,"R")+1,"")</f>
        <v>162</v>
      </c>
      <c r="B163" s="19" t="str">
        <f t="shared" si="14"/>
        <v>C_Ope_003</v>
      </c>
      <c r="C163" s="3" t="s">
        <v>1330</v>
      </c>
      <c r="D163" s="14">
        <v>45803</v>
      </c>
      <c r="E163" s="5" t="s">
        <v>5595</v>
      </c>
      <c r="F163" s="5" t="s">
        <v>1336</v>
      </c>
      <c r="G163" s="6" t="s">
        <v>1006</v>
      </c>
      <c r="H163" s="6" t="s">
        <v>68</v>
      </c>
      <c r="I163" s="6" t="s">
        <v>8346</v>
      </c>
      <c r="J163" s="6">
        <v>315185</v>
      </c>
      <c r="K163" s="7" t="s">
        <v>8308</v>
      </c>
      <c r="L163" s="8">
        <v>24310</v>
      </c>
      <c r="M163" s="8" t="str">
        <f t="shared" si="15"/>
        <v>PEN</v>
      </c>
      <c r="N163" s="13"/>
      <c r="O163" s="13">
        <v>23.6</v>
      </c>
      <c r="P163" s="3">
        <f t="shared" si="11"/>
        <v>0</v>
      </c>
      <c r="Q163" s="3">
        <f t="shared" si="12"/>
        <v>23.6</v>
      </c>
      <c r="R163" s="3">
        <f t="shared" si="13"/>
        <v>1009.3500000000003</v>
      </c>
      <c r="S163" s="24" t="s">
        <v>1334</v>
      </c>
      <c r="T163" s="24" t="s">
        <v>1334</v>
      </c>
      <c r="U163" s="3"/>
      <c r="V163" s="25" t="s">
        <v>8006</v>
      </c>
      <c r="W163" s="25">
        <v>20550033519</v>
      </c>
      <c r="X163" s="25" t="str">
        <f>IFERROR(VLOOKUP(C_Ope_003[[#This Row],[nota_2]],Clientes_Proveedores[[Ruc / Dni]:[Razon Social]],2,0),"")</f>
        <v>CONCESIONARIA PERUANA DE VIAS-COVINCA S.A.</v>
      </c>
      <c r="Y163" s="25"/>
      <c r="Z163" s="103"/>
      <c r="AA163" s="3" t="str">
        <f>IF(C_Ope_003[[#This Row],[fecha]]&gt;0,TEXT(C_Ope_003[[#This Row],[fecha]],"mmmm"),0)</f>
        <v>Mayo</v>
      </c>
      <c r="AB163" s="49"/>
    </row>
    <row r="164" spans="1:28" ht="24" x14ac:dyDescent="0.3">
      <c r="A164" s="2">
        <f>IF(C_Ope_003[[#This Row],[tipo_r]]="R",COUNTIFS($C$1:$C163,"R")+1,"")</f>
        <v>163</v>
      </c>
      <c r="B164" s="19" t="str">
        <f t="shared" si="14"/>
        <v>C_Ope_003</v>
      </c>
      <c r="C164" s="3" t="s">
        <v>1330</v>
      </c>
      <c r="D164" s="14">
        <v>45804</v>
      </c>
      <c r="E164" s="5" t="s">
        <v>5595</v>
      </c>
      <c r="F164" s="5" t="s">
        <v>1336</v>
      </c>
      <c r="G164" s="6" t="s">
        <v>1041</v>
      </c>
      <c r="H164" s="6" t="s">
        <v>68</v>
      </c>
      <c r="I164" s="6" t="s">
        <v>8255</v>
      </c>
      <c r="J164" s="6">
        <v>2865110</v>
      </c>
      <c r="K164" s="7" t="s">
        <v>8347</v>
      </c>
      <c r="L164" s="8">
        <v>24313</v>
      </c>
      <c r="M164" s="8" t="str">
        <f t="shared" si="15"/>
        <v>PEN</v>
      </c>
      <c r="N164" s="13"/>
      <c r="O164" s="13">
        <v>58.2</v>
      </c>
      <c r="P164" s="3">
        <f t="shared" si="11"/>
        <v>0</v>
      </c>
      <c r="Q164" s="3">
        <f t="shared" si="12"/>
        <v>58.2</v>
      </c>
      <c r="R164" s="3">
        <f t="shared" si="13"/>
        <v>951.1500000000002</v>
      </c>
      <c r="S164" s="24" t="s">
        <v>1334</v>
      </c>
      <c r="T164" s="24" t="s">
        <v>1334</v>
      </c>
      <c r="U164" s="3"/>
      <c r="V164" s="25" t="s">
        <v>8006</v>
      </c>
      <c r="W164" s="25">
        <v>20511465061</v>
      </c>
      <c r="X164" s="25" t="str">
        <f>IFERROR(VLOOKUP(C_Ope_003[[#This Row],[nota_2]],Clientes_Proveedores[[Ruc / Dni]:[Razon Social]],2,0),"")</f>
        <v>CONCESIONARIA VIAL DEL PERU S.A</v>
      </c>
      <c r="Y164" s="25"/>
      <c r="Z164" s="103"/>
      <c r="AA164" s="3" t="str">
        <f>IF(C_Ope_003[[#This Row],[fecha]]&gt;0,TEXT(C_Ope_003[[#This Row],[fecha]],"mmmm"),0)</f>
        <v>Mayo</v>
      </c>
      <c r="AB164" s="49"/>
    </row>
    <row r="165" spans="1:28" ht="24" x14ac:dyDescent="0.3">
      <c r="A165" s="2">
        <f>IF(C_Ope_003[[#This Row],[tipo_r]]="R",COUNTIFS($C$1:$C164,"R")+1,"")</f>
        <v>164</v>
      </c>
      <c r="B165" s="19" t="str">
        <f t="shared" si="14"/>
        <v>C_Ope_003</v>
      </c>
      <c r="C165" s="3" t="s">
        <v>1330</v>
      </c>
      <c r="D165" s="14">
        <v>45804</v>
      </c>
      <c r="E165" s="5" t="s">
        <v>5595</v>
      </c>
      <c r="F165" s="5" t="s">
        <v>1336</v>
      </c>
      <c r="G165" s="6" t="s">
        <v>979</v>
      </c>
      <c r="H165" s="6" t="s">
        <v>68</v>
      </c>
      <c r="I165" s="6" t="s">
        <v>8211</v>
      </c>
      <c r="J165" s="6">
        <v>3010259</v>
      </c>
      <c r="K165" s="7" t="s">
        <v>8348</v>
      </c>
      <c r="L165" s="8">
        <v>24314</v>
      </c>
      <c r="M165" s="8" t="str">
        <f t="shared" si="15"/>
        <v>PEN</v>
      </c>
      <c r="N165" s="13"/>
      <c r="O165" s="13">
        <v>22.5</v>
      </c>
      <c r="P165" s="3">
        <f t="shared" si="11"/>
        <v>0</v>
      </c>
      <c r="Q165" s="3">
        <f t="shared" si="12"/>
        <v>22.5</v>
      </c>
      <c r="R165" s="3">
        <f t="shared" si="13"/>
        <v>928.6500000000002</v>
      </c>
      <c r="S165" s="24" t="s">
        <v>1334</v>
      </c>
      <c r="T165" s="24" t="s">
        <v>1334</v>
      </c>
      <c r="U165" s="3"/>
      <c r="V165" s="25" t="s">
        <v>8006</v>
      </c>
      <c r="W165" s="25">
        <v>20550372640</v>
      </c>
      <c r="X165" s="25" t="str">
        <f>IFERROR(VLOOKUP(C_Ope_003[[#This Row],[nota_2]],Clientes_Proveedores[[Ruc / Dni]:[Razon Social]],2,0),"")</f>
        <v>RUTAS DE LIMA S.A.C.</v>
      </c>
      <c r="Y165" s="25"/>
      <c r="Z165" s="103"/>
      <c r="AA165" s="3" t="str">
        <f>IF(C_Ope_003[[#This Row],[fecha]]&gt;0,TEXT(C_Ope_003[[#This Row],[fecha]],"mmmm"),0)</f>
        <v>Mayo</v>
      </c>
      <c r="AB165" s="49"/>
    </row>
    <row r="166" spans="1:28" ht="24" x14ac:dyDescent="0.3">
      <c r="A166" s="2">
        <f>IF(C_Ope_003[[#This Row],[tipo_r]]="R",COUNTIFS($C$1:$C165,"R")+1,"")</f>
        <v>165</v>
      </c>
      <c r="B166" s="19" t="str">
        <f t="shared" si="14"/>
        <v>C_Ope_003</v>
      </c>
      <c r="C166" s="3" t="s">
        <v>1330</v>
      </c>
      <c r="D166" s="14">
        <v>45804</v>
      </c>
      <c r="E166" s="5" t="s">
        <v>5595</v>
      </c>
      <c r="F166" s="5" t="s">
        <v>1336</v>
      </c>
      <c r="G166" s="6" t="s">
        <v>1128</v>
      </c>
      <c r="H166" s="6" t="s">
        <v>68</v>
      </c>
      <c r="I166" s="6" t="s">
        <v>8311</v>
      </c>
      <c r="J166" s="6">
        <v>4020752</v>
      </c>
      <c r="K166" s="7" t="s">
        <v>8349</v>
      </c>
      <c r="L166" s="8">
        <v>24315</v>
      </c>
      <c r="M166" s="8" t="str">
        <f t="shared" si="15"/>
        <v>PEN</v>
      </c>
      <c r="N166" s="13"/>
      <c r="O166" s="13">
        <v>19.8</v>
      </c>
      <c r="P166" s="3">
        <f t="shared" si="11"/>
        <v>0</v>
      </c>
      <c r="Q166" s="3">
        <f t="shared" si="12"/>
        <v>19.8</v>
      </c>
      <c r="R166" s="3">
        <f t="shared" si="13"/>
        <v>908.85000000000025</v>
      </c>
      <c r="S166" s="24" t="s">
        <v>1334</v>
      </c>
      <c r="T166" s="24" t="s">
        <v>1334</v>
      </c>
      <c r="U166" s="3"/>
      <c r="V166" s="25" t="s">
        <v>8006</v>
      </c>
      <c r="W166" s="25">
        <v>20523621212</v>
      </c>
      <c r="X166" s="25" t="str">
        <f>IFERROR(VLOOKUP(C_Ope_003[[#This Row],[nota_2]],Clientes_Proveedores[[Ruc / Dni]:[Razon Social]],2,0),"")</f>
        <v>LIMA EXPRESA S.A.C.</v>
      </c>
      <c r="Y166" s="25"/>
      <c r="Z166" s="103"/>
      <c r="AA166" s="3" t="str">
        <f>IF(C_Ope_003[[#This Row],[fecha]]&gt;0,TEXT(C_Ope_003[[#This Row],[fecha]],"mmmm"),0)</f>
        <v>Mayo</v>
      </c>
      <c r="AB166" s="49"/>
    </row>
    <row r="167" spans="1:28" x14ac:dyDescent="0.3">
      <c r="A167" s="2">
        <f>IF(C_Ope_003[[#This Row],[tipo_r]]="R",COUNTIFS($C$1:$C166,"R")+1,"")</f>
        <v>166</v>
      </c>
      <c r="B167" s="19" t="str">
        <f t="shared" si="14"/>
        <v>C_Ope_003</v>
      </c>
      <c r="C167" s="3" t="s">
        <v>1330</v>
      </c>
      <c r="D167" s="14">
        <v>45804</v>
      </c>
      <c r="E167" s="5" t="s">
        <v>5595</v>
      </c>
      <c r="F167" s="5" t="s">
        <v>1336</v>
      </c>
      <c r="G167" s="6" t="s">
        <v>1128</v>
      </c>
      <c r="H167" s="6" t="s">
        <v>68</v>
      </c>
      <c r="I167" s="6" t="s">
        <v>1390</v>
      </c>
      <c r="J167" s="6">
        <v>701570</v>
      </c>
      <c r="K167" s="7" t="s">
        <v>8314</v>
      </c>
      <c r="L167" s="8">
        <v>24321</v>
      </c>
      <c r="M167" s="8" t="str">
        <f t="shared" si="15"/>
        <v>PEN</v>
      </c>
      <c r="N167" s="13"/>
      <c r="O167" s="13">
        <v>19.8</v>
      </c>
      <c r="P167" s="3">
        <f t="shared" si="11"/>
        <v>0</v>
      </c>
      <c r="Q167" s="3">
        <f t="shared" si="12"/>
        <v>19.8</v>
      </c>
      <c r="R167" s="3">
        <f t="shared" si="13"/>
        <v>889.0500000000003</v>
      </c>
      <c r="S167" s="24" t="s">
        <v>1334</v>
      </c>
      <c r="T167" s="24" t="s">
        <v>1334</v>
      </c>
      <c r="U167" s="3"/>
      <c r="V167" s="25" t="s">
        <v>8006</v>
      </c>
      <c r="W167" s="25">
        <v>20523621212</v>
      </c>
      <c r="X167" s="25" t="str">
        <f>IFERROR(VLOOKUP(C_Ope_003[[#This Row],[nota_2]],Clientes_Proveedores[[Ruc / Dni]:[Razon Social]],2,0),"")</f>
        <v>LIMA EXPRESA S.A.C.</v>
      </c>
      <c r="Y167" s="25"/>
      <c r="Z167" s="103"/>
      <c r="AA167" s="3" t="str">
        <f>IF(C_Ope_003[[#This Row],[fecha]]&gt;0,TEXT(C_Ope_003[[#This Row],[fecha]],"mmmm"),0)</f>
        <v>Mayo</v>
      </c>
      <c r="AB167" s="49"/>
    </row>
    <row r="168" spans="1:28" ht="24" x14ac:dyDescent="0.3">
      <c r="A168" s="2">
        <f>IF(C_Ope_003[[#This Row],[tipo_r]]="R",COUNTIFS($C$1:$C167,"R")+1,"")</f>
        <v>167</v>
      </c>
      <c r="B168" s="19" t="str">
        <f t="shared" si="14"/>
        <v>C_Ope_003</v>
      </c>
      <c r="C168" s="3" t="s">
        <v>1330</v>
      </c>
      <c r="D168" s="14">
        <v>45804</v>
      </c>
      <c r="E168" s="5" t="s">
        <v>5595</v>
      </c>
      <c r="F168" s="5" t="s">
        <v>1336</v>
      </c>
      <c r="G168" s="6" t="s">
        <v>979</v>
      </c>
      <c r="H168" s="6" t="s">
        <v>68</v>
      </c>
      <c r="I168" s="6" t="s">
        <v>8234</v>
      </c>
      <c r="J168" s="6">
        <v>2658123</v>
      </c>
      <c r="K168" s="7" t="s">
        <v>8350</v>
      </c>
      <c r="L168" s="8">
        <v>24325</v>
      </c>
      <c r="M168" s="8" t="str">
        <f t="shared" si="15"/>
        <v>PEN</v>
      </c>
      <c r="N168" s="13"/>
      <c r="O168" s="13">
        <v>22.5</v>
      </c>
      <c r="P168" s="3">
        <f t="shared" si="11"/>
        <v>0</v>
      </c>
      <c r="Q168" s="3">
        <f t="shared" si="12"/>
        <v>22.5</v>
      </c>
      <c r="R168" s="3">
        <f t="shared" si="13"/>
        <v>866.5500000000003</v>
      </c>
      <c r="S168" s="24" t="s">
        <v>1334</v>
      </c>
      <c r="T168" s="24" t="s">
        <v>1334</v>
      </c>
      <c r="U168" s="3"/>
      <c r="V168" s="25" t="s">
        <v>8006</v>
      </c>
      <c r="W168" s="25">
        <v>20550372640</v>
      </c>
      <c r="X168" s="25" t="str">
        <f>IFERROR(VLOOKUP(C_Ope_003[[#This Row],[nota_2]],Clientes_Proveedores[[Ruc / Dni]:[Razon Social]],2,0),"")</f>
        <v>RUTAS DE LIMA S.A.C.</v>
      </c>
      <c r="Y168" s="25"/>
      <c r="Z168" s="103"/>
      <c r="AA168" s="3" t="str">
        <f>IF(C_Ope_003[[#This Row],[fecha]]&gt;0,TEXT(C_Ope_003[[#This Row],[fecha]],"mmmm"),0)</f>
        <v>Mayo</v>
      </c>
      <c r="AB168" s="49"/>
    </row>
    <row r="169" spans="1:28" ht="24" x14ac:dyDescent="0.3">
      <c r="A169" s="2">
        <f>IF(C_Ope_003[[#This Row],[tipo_r]]="R",COUNTIFS($C$1:$C168,"R")+1,"")</f>
        <v>168</v>
      </c>
      <c r="B169" s="19" t="str">
        <f t="shared" si="14"/>
        <v>C_Ope_003</v>
      </c>
      <c r="C169" s="3" t="s">
        <v>1330</v>
      </c>
      <c r="D169" s="14">
        <v>45804</v>
      </c>
      <c r="E169" s="5" t="s">
        <v>5595</v>
      </c>
      <c r="F169" s="5" t="s">
        <v>1336</v>
      </c>
      <c r="G169" s="6" t="s">
        <v>1041</v>
      </c>
      <c r="H169" s="6" t="s">
        <v>68</v>
      </c>
      <c r="I169" s="6" t="s">
        <v>8351</v>
      </c>
      <c r="J169" s="6">
        <v>1639841</v>
      </c>
      <c r="K169" s="7" t="s">
        <v>8316</v>
      </c>
      <c r="L169" s="8">
        <v>24327</v>
      </c>
      <c r="M169" s="8" t="str">
        <f t="shared" si="15"/>
        <v>PEN</v>
      </c>
      <c r="N169" s="13"/>
      <c r="O169" s="13">
        <v>58.2</v>
      </c>
      <c r="P169" s="3">
        <f t="shared" si="11"/>
        <v>0</v>
      </c>
      <c r="Q169" s="3">
        <f t="shared" si="12"/>
        <v>58.2</v>
      </c>
      <c r="R169" s="3">
        <f t="shared" si="13"/>
        <v>808.35000000000025</v>
      </c>
      <c r="S169" s="24" t="s">
        <v>1334</v>
      </c>
      <c r="T169" s="24" t="s">
        <v>1334</v>
      </c>
      <c r="U169" s="3"/>
      <c r="V169" s="25" t="s">
        <v>8006</v>
      </c>
      <c r="W169" s="25">
        <v>20511465061</v>
      </c>
      <c r="X169" s="25" t="str">
        <f>IFERROR(VLOOKUP(C_Ope_003[[#This Row],[nota_2]],Clientes_Proveedores[[Ruc / Dni]:[Razon Social]],2,0),"")</f>
        <v>CONCESIONARIA VIAL DEL PERU S.A</v>
      </c>
      <c r="Y169" s="25"/>
      <c r="Z169" s="103"/>
      <c r="AA169" s="3" t="str">
        <f>IF(C_Ope_003[[#This Row],[fecha]]&gt;0,TEXT(C_Ope_003[[#This Row],[fecha]],"mmmm"),0)</f>
        <v>Mayo</v>
      </c>
      <c r="AB169" s="49"/>
    </row>
    <row r="170" spans="1:28" ht="24" x14ac:dyDescent="0.3">
      <c r="A170" s="2">
        <f>IF(C_Ope_003[[#This Row],[tipo_r]]="R",COUNTIFS($C$1:$C169,"R")+1,"")</f>
        <v>169</v>
      </c>
      <c r="B170" s="19" t="str">
        <f t="shared" si="14"/>
        <v>C_Ope_003</v>
      </c>
      <c r="C170" s="3" t="s">
        <v>1330</v>
      </c>
      <c r="D170" s="14">
        <v>45805</v>
      </c>
      <c r="E170" s="5" t="s">
        <v>5595</v>
      </c>
      <c r="F170" s="5" t="s">
        <v>1336</v>
      </c>
      <c r="G170" s="6" t="s">
        <v>1041</v>
      </c>
      <c r="H170" s="6" t="s">
        <v>68</v>
      </c>
      <c r="I170" s="6" t="s">
        <v>8352</v>
      </c>
      <c r="J170" s="6">
        <v>1157224</v>
      </c>
      <c r="K170" s="7" t="s">
        <v>8318</v>
      </c>
      <c r="L170" s="8">
        <v>24326</v>
      </c>
      <c r="M170" s="8" t="str">
        <f t="shared" si="15"/>
        <v>PEN</v>
      </c>
      <c r="N170" s="13"/>
      <c r="O170" s="13">
        <v>58.2</v>
      </c>
      <c r="P170" s="3">
        <f t="shared" si="11"/>
        <v>0</v>
      </c>
      <c r="Q170" s="3">
        <f t="shared" si="12"/>
        <v>58.2</v>
      </c>
      <c r="R170" s="3">
        <f t="shared" si="13"/>
        <v>750.1500000000002</v>
      </c>
      <c r="S170" s="24" t="s">
        <v>1334</v>
      </c>
      <c r="T170" s="24" t="s">
        <v>1334</v>
      </c>
      <c r="U170" s="3"/>
      <c r="V170" s="25" t="s">
        <v>8006</v>
      </c>
      <c r="W170" s="25">
        <v>20511465061</v>
      </c>
      <c r="X170" s="25" t="str">
        <f>IFERROR(VLOOKUP(C_Ope_003[[#This Row],[nota_2]],Clientes_Proveedores[[Ruc / Dni]:[Razon Social]],2,0),"")</f>
        <v>CONCESIONARIA VIAL DEL PERU S.A</v>
      </c>
      <c r="Y170" s="25"/>
      <c r="Z170" s="103"/>
      <c r="AA170" s="3" t="str">
        <f>IF(C_Ope_003[[#This Row],[fecha]]&gt;0,TEXT(C_Ope_003[[#This Row],[fecha]],"mmmm"),0)</f>
        <v>Mayo</v>
      </c>
      <c r="AB170" s="49"/>
    </row>
    <row r="171" spans="1:28" ht="36" x14ac:dyDescent="0.3">
      <c r="A171" s="2">
        <f>IF(C_Ope_003[[#This Row],[tipo_r]]="R",COUNTIFS($C$1:$C170,"R")+1,"")</f>
        <v>170</v>
      </c>
      <c r="B171" s="19" t="str">
        <f t="shared" si="14"/>
        <v>C_Ope_003</v>
      </c>
      <c r="C171" s="3" t="s">
        <v>1330</v>
      </c>
      <c r="D171" s="14">
        <v>45805</v>
      </c>
      <c r="E171" s="5" t="s">
        <v>5595</v>
      </c>
      <c r="F171" s="5" t="s">
        <v>1336</v>
      </c>
      <c r="G171" s="6" t="s">
        <v>1042</v>
      </c>
      <c r="H171" s="6" t="s">
        <v>98</v>
      </c>
      <c r="I171" s="6" t="s">
        <v>8353</v>
      </c>
      <c r="J171" s="6">
        <v>325027882</v>
      </c>
      <c r="K171" s="7" t="s">
        <v>8323</v>
      </c>
      <c r="L171" s="8">
        <v>24328</v>
      </c>
      <c r="M171" s="8" t="str">
        <f t="shared" si="15"/>
        <v>PEN</v>
      </c>
      <c r="N171" s="13"/>
      <c r="O171" s="13">
        <v>19.5</v>
      </c>
      <c r="P171" s="3">
        <f t="shared" si="11"/>
        <v>0</v>
      </c>
      <c r="Q171" s="3">
        <f t="shared" si="12"/>
        <v>19.5</v>
      </c>
      <c r="R171" s="3">
        <f t="shared" si="13"/>
        <v>730.6500000000002</v>
      </c>
      <c r="S171" s="24" t="s">
        <v>1334</v>
      </c>
      <c r="T171" s="24" t="s">
        <v>1334</v>
      </c>
      <c r="U171" s="3"/>
      <c r="V171" s="25" t="s">
        <v>8006</v>
      </c>
      <c r="W171" s="25">
        <v>20503503639</v>
      </c>
      <c r="X171" s="25" t="str">
        <f>IFERROR(VLOOKUP(C_Ope_003[[#This Row],[nota_2]],Clientes_Proveedores[[Ruc / Dni]:[Razon Social]],2,0),"")</f>
        <v>PROVIAS NACIONAL</v>
      </c>
      <c r="Y171" s="25"/>
      <c r="Z171" s="103"/>
      <c r="AA171" s="3" t="str">
        <f>IF(C_Ope_003[[#This Row],[fecha]]&gt;0,TEXT(C_Ope_003[[#This Row],[fecha]],"mmmm"),0)</f>
        <v>Mayo</v>
      </c>
      <c r="AB171" s="49"/>
    </row>
    <row r="172" spans="1:28" ht="36" x14ac:dyDescent="0.3">
      <c r="A172" s="2">
        <f>IF(C_Ope_003[[#This Row],[tipo_r]]="R",COUNTIFS($C$1:$C171,"R")+1,"")</f>
        <v>171</v>
      </c>
      <c r="B172" s="19" t="str">
        <f t="shared" si="14"/>
        <v>C_Ope_003</v>
      </c>
      <c r="C172" s="3" t="s">
        <v>1330</v>
      </c>
      <c r="D172" s="14">
        <v>45805</v>
      </c>
      <c r="E172" s="5" t="s">
        <v>5595</v>
      </c>
      <c r="F172" s="5" t="s">
        <v>1336</v>
      </c>
      <c r="G172" s="6" t="s">
        <v>1042</v>
      </c>
      <c r="H172" s="6" t="s">
        <v>98</v>
      </c>
      <c r="I172" s="6" t="s">
        <v>8270</v>
      </c>
      <c r="J172" s="6">
        <v>325031159</v>
      </c>
      <c r="K172" s="7" t="s">
        <v>8321</v>
      </c>
      <c r="L172" s="8">
        <v>24329</v>
      </c>
      <c r="M172" s="8" t="str">
        <f t="shared" si="15"/>
        <v>PEN</v>
      </c>
      <c r="N172" s="13"/>
      <c r="O172" s="13">
        <v>19.5</v>
      </c>
      <c r="P172" s="3">
        <f t="shared" si="11"/>
        <v>0</v>
      </c>
      <c r="Q172" s="3">
        <f t="shared" si="12"/>
        <v>19.5</v>
      </c>
      <c r="R172" s="3">
        <f t="shared" si="13"/>
        <v>711.1500000000002</v>
      </c>
      <c r="S172" s="24" t="s">
        <v>1334</v>
      </c>
      <c r="T172" s="24" t="s">
        <v>1334</v>
      </c>
      <c r="U172" s="3"/>
      <c r="V172" s="25" t="s">
        <v>8006</v>
      </c>
      <c r="W172" s="25">
        <v>20503503639</v>
      </c>
      <c r="X172" s="25" t="str">
        <f>IFERROR(VLOOKUP(C_Ope_003[[#This Row],[nota_2]],Clientes_Proveedores[[Ruc / Dni]:[Razon Social]],2,0),"")</f>
        <v>PROVIAS NACIONAL</v>
      </c>
      <c r="Y172" s="25"/>
      <c r="Z172" s="103"/>
      <c r="AA172" s="3" t="str">
        <f>IF(C_Ope_003[[#This Row],[fecha]]&gt;0,TEXT(C_Ope_003[[#This Row],[fecha]],"mmmm"),0)</f>
        <v>Mayo</v>
      </c>
      <c r="AB172" s="49"/>
    </row>
    <row r="173" spans="1:28" ht="36" x14ac:dyDescent="0.3">
      <c r="A173" s="2">
        <f>IF(C_Ope_003[[#This Row],[tipo_r]]="R",COUNTIFS($C$1:$C172,"R")+1,"")</f>
        <v>172</v>
      </c>
      <c r="B173" s="19" t="str">
        <f t="shared" si="14"/>
        <v>C_Ope_003</v>
      </c>
      <c r="C173" s="3" t="s">
        <v>1330</v>
      </c>
      <c r="D173" s="14">
        <v>45805</v>
      </c>
      <c r="E173" s="5" t="s">
        <v>5595</v>
      </c>
      <c r="F173" s="5" t="s">
        <v>1336</v>
      </c>
      <c r="G173" s="6" t="s">
        <v>1042</v>
      </c>
      <c r="H173" s="6" t="s">
        <v>98</v>
      </c>
      <c r="I173" s="6" t="s">
        <v>8319</v>
      </c>
      <c r="J173" s="6">
        <v>325028506</v>
      </c>
      <c r="K173" s="7" t="s">
        <v>8320</v>
      </c>
      <c r="L173" s="8">
        <v>24330</v>
      </c>
      <c r="M173" s="8" t="str">
        <f t="shared" si="15"/>
        <v>PEN</v>
      </c>
      <c r="N173" s="13"/>
      <c r="O173" s="13">
        <v>19.5</v>
      </c>
      <c r="P173" s="3">
        <f t="shared" si="11"/>
        <v>0</v>
      </c>
      <c r="Q173" s="3">
        <f t="shared" si="12"/>
        <v>19.5</v>
      </c>
      <c r="R173" s="3">
        <f t="shared" si="13"/>
        <v>691.6500000000002</v>
      </c>
      <c r="S173" s="24" t="s">
        <v>1334</v>
      </c>
      <c r="T173" s="24" t="s">
        <v>1334</v>
      </c>
      <c r="U173" s="3"/>
      <c r="V173" s="25" t="s">
        <v>8006</v>
      </c>
      <c r="W173" s="25">
        <v>20503503639</v>
      </c>
      <c r="X173" s="25" t="str">
        <f>IFERROR(VLOOKUP(C_Ope_003[[#This Row],[nota_2]],Clientes_Proveedores[[Ruc / Dni]:[Razon Social]],2,0),"")</f>
        <v>PROVIAS NACIONAL</v>
      </c>
      <c r="Y173" s="25"/>
      <c r="Z173" s="103"/>
      <c r="AA173" s="3" t="str">
        <f>IF(C_Ope_003[[#This Row],[fecha]]&gt;0,TEXT(C_Ope_003[[#This Row],[fecha]],"mmmm"),0)</f>
        <v>Mayo</v>
      </c>
      <c r="AB173" s="49"/>
    </row>
    <row r="174" spans="1:28" ht="36" x14ac:dyDescent="0.3">
      <c r="A174" s="2">
        <f>IF(C_Ope_003[[#This Row],[tipo_r]]="R",COUNTIFS($C$1:$C173,"R")+1,"")</f>
        <v>173</v>
      </c>
      <c r="B174" s="19" t="str">
        <f t="shared" si="14"/>
        <v>C_Ope_003</v>
      </c>
      <c r="C174" s="3" t="s">
        <v>1330</v>
      </c>
      <c r="D174" s="14">
        <v>45805</v>
      </c>
      <c r="E174" s="5" t="s">
        <v>5595</v>
      </c>
      <c r="F174" s="5" t="s">
        <v>1336</v>
      </c>
      <c r="G174" s="6" t="s">
        <v>1006</v>
      </c>
      <c r="H174" s="6" t="s">
        <v>68</v>
      </c>
      <c r="I174" s="6" t="s">
        <v>2912</v>
      </c>
      <c r="J174" s="6">
        <v>764935</v>
      </c>
      <c r="K174" s="7" t="s">
        <v>8354</v>
      </c>
      <c r="L174" s="8">
        <v>24331</v>
      </c>
      <c r="M174" s="8" t="str">
        <f t="shared" si="15"/>
        <v>PEN</v>
      </c>
      <c r="N174" s="13"/>
      <c r="O174" s="13">
        <v>23.6</v>
      </c>
      <c r="P174" s="3">
        <f t="shared" si="11"/>
        <v>0</v>
      </c>
      <c r="Q174" s="3">
        <f t="shared" si="12"/>
        <v>23.6</v>
      </c>
      <c r="R174" s="3">
        <f t="shared" si="13"/>
        <v>668.05000000000018</v>
      </c>
      <c r="S174" s="24" t="s">
        <v>1334</v>
      </c>
      <c r="T174" s="24" t="s">
        <v>1334</v>
      </c>
      <c r="U174" s="3"/>
      <c r="V174" s="25" t="s">
        <v>8006</v>
      </c>
      <c r="W174" s="25">
        <v>20550033519</v>
      </c>
      <c r="X174" s="25" t="str">
        <f>IFERROR(VLOOKUP(C_Ope_003[[#This Row],[nota_2]],Clientes_Proveedores[[Ruc / Dni]:[Razon Social]],2,0),"")</f>
        <v>CONCESIONARIA PERUANA DE VIAS-COVINCA S.A.</v>
      </c>
      <c r="Y174" s="25"/>
      <c r="Z174" s="103"/>
      <c r="AA174" s="3" t="str">
        <f>IF(C_Ope_003[[#This Row],[fecha]]&gt;0,TEXT(C_Ope_003[[#This Row],[fecha]],"mmmm"),0)</f>
        <v>Mayo</v>
      </c>
      <c r="AB174" s="49"/>
    </row>
    <row r="175" spans="1:28" ht="24" x14ac:dyDescent="0.3">
      <c r="A175" s="2">
        <f>IF(C_Ope_003[[#This Row],[tipo_r]]="R",COUNTIFS($C$1:$C174,"R")+1,"")</f>
        <v>174</v>
      </c>
      <c r="B175" s="19" t="str">
        <f t="shared" si="14"/>
        <v>C_Ope_003</v>
      </c>
      <c r="C175" s="3" t="s">
        <v>1330</v>
      </c>
      <c r="D175" s="14">
        <v>45807</v>
      </c>
      <c r="E175" s="5" t="s">
        <v>5595</v>
      </c>
      <c r="F175" s="5" t="s">
        <v>1336</v>
      </c>
      <c r="G175" s="6" t="s">
        <v>978</v>
      </c>
      <c r="H175" s="6" t="s">
        <v>68</v>
      </c>
      <c r="I175" s="6" t="s">
        <v>5845</v>
      </c>
      <c r="J175" s="6">
        <v>1764674</v>
      </c>
      <c r="K175" s="7" t="s">
        <v>8355</v>
      </c>
      <c r="L175" s="8">
        <v>24370</v>
      </c>
      <c r="M175" s="8" t="str">
        <f t="shared" si="15"/>
        <v>PEN</v>
      </c>
      <c r="N175" s="13"/>
      <c r="O175" s="13">
        <v>12</v>
      </c>
      <c r="P175" s="3">
        <f t="shared" si="11"/>
        <v>0</v>
      </c>
      <c r="Q175" s="3">
        <f t="shared" si="12"/>
        <v>12</v>
      </c>
      <c r="R175" s="3">
        <f t="shared" si="13"/>
        <v>656.05000000000018</v>
      </c>
      <c r="S175" s="24" t="s">
        <v>1334</v>
      </c>
      <c r="T175" s="24" t="s">
        <v>1334</v>
      </c>
      <c r="U175" s="3"/>
      <c r="V175" s="25" t="s">
        <v>8006</v>
      </c>
      <c r="W175" s="25">
        <v>20517252558</v>
      </c>
      <c r="X175" s="25" t="str">
        <f>IFERROR(VLOOKUP(C_Ope_003[[#This Row],[nota_2]],Clientes_Proveedores[[Ruc / Dni]:[Razon Social]],2,0),"")</f>
        <v>COVISUR S.A.</v>
      </c>
      <c r="Y175" s="25"/>
      <c r="Z175" s="103"/>
      <c r="AA175" s="3" t="str">
        <f>IF(C_Ope_003[[#This Row],[fecha]]&gt;0,TEXT(C_Ope_003[[#This Row],[fecha]],"mmmm"),0)</f>
        <v>Mayo</v>
      </c>
      <c r="AB175" s="49"/>
    </row>
    <row r="176" spans="1:28" x14ac:dyDescent="0.3">
      <c r="A176" s="2">
        <f>IF(C_Ope_003[[#This Row],[tipo_r]]="R",COUNTIFS($C$1:$C175,"R")+1,"")</f>
        <v>175</v>
      </c>
      <c r="B176" s="19" t="str">
        <f t="shared" si="14"/>
        <v>C_Ope_003</v>
      </c>
      <c r="C176" s="3" t="s">
        <v>1330</v>
      </c>
      <c r="D176" s="14">
        <v>45803</v>
      </c>
      <c r="E176" s="5" t="s">
        <v>5595</v>
      </c>
      <c r="F176" s="5" t="s">
        <v>1336</v>
      </c>
      <c r="G176" s="6"/>
      <c r="H176" s="6" t="s">
        <v>126</v>
      </c>
      <c r="I176" s="6"/>
      <c r="J176" s="6"/>
      <c r="K176" s="7" t="s">
        <v>8356</v>
      </c>
      <c r="L176" s="8">
        <v>24307</v>
      </c>
      <c r="M176" s="8" t="str">
        <f t="shared" si="15"/>
        <v>PEN</v>
      </c>
      <c r="N176" s="13"/>
      <c r="O176" s="13">
        <v>30</v>
      </c>
      <c r="P176" s="3">
        <f t="shared" si="11"/>
        <v>0</v>
      </c>
      <c r="Q176" s="3">
        <f t="shared" si="12"/>
        <v>30</v>
      </c>
      <c r="R176" s="3">
        <f t="shared" si="13"/>
        <v>626.05000000000018</v>
      </c>
      <c r="S176" s="24" t="s">
        <v>1334</v>
      </c>
      <c r="T176" s="24" t="s">
        <v>1334</v>
      </c>
      <c r="U176" s="3"/>
      <c r="V176" s="25" t="s">
        <v>8006</v>
      </c>
      <c r="W176" s="25"/>
      <c r="X176" s="25" t="str">
        <f>IFERROR(VLOOKUP(C_Ope_003[[#This Row],[nota_2]],Clientes_Proveedores[[Ruc / Dni]:[Razon Social]],2,0),"")</f>
        <v/>
      </c>
      <c r="Y176" s="25"/>
      <c r="Z176" s="103"/>
      <c r="AA176" s="3" t="str">
        <f>IF(C_Ope_003[[#This Row],[fecha]]&gt;0,TEXT(C_Ope_003[[#This Row],[fecha]],"mmmm"),0)</f>
        <v>Mayo</v>
      </c>
      <c r="AB176" s="49"/>
    </row>
    <row r="177" spans="1:28" x14ac:dyDescent="0.3">
      <c r="A177" s="2">
        <f>IF(C_Ope_003[[#This Row],[tipo_r]]="R",COUNTIFS($C$1:$C176,"R")+1,"")</f>
        <v>176</v>
      </c>
      <c r="B177" s="19" t="str">
        <f t="shared" si="14"/>
        <v>C_Ope_003</v>
      </c>
      <c r="C177" s="3" t="s">
        <v>1330</v>
      </c>
      <c r="D177" s="14">
        <v>45803</v>
      </c>
      <c r="E177" s="5" t="s">
        <v>5595</v>
      </c>
      <c r="F177" s="5" t="s">
        <v>1336</v>
      </c>
      <c r="G177" s="6"/>
      <c r="H177" s="6" t="s">
        <v>126</v>
      </c>
      <c r="I177" s="6"/>
      <c r="J177" s="6"/>
      <c r="K177" s="7" t="s">
        <v>8357</v>
      </c>
      <c r="L177" s="8">
        <v>24308</v>
      </c>
      <c r="M177" s="8" t="str">
        <f t="shared" si="15"/>
        <v>PEN</v>
      </c>
      <c r="N177" s="13"/>
      <c r="O177" s="13">
        <v>24</v>
      </c>
      <c r="P177" s="3">
        <f t="shared" si="11"/>
        <v>0</v>
      </c>
      <c r="Q177" s="3">
        <f t="shared" si="12"/>
        <v>24</v>
      </c>
      <c r="R177" s="3">
        <f t="shared" si="13"/>
        <v>602.05000000000018</v>
      </c>
      <c r="S177" s="24" t="s">
        <v>1334</v>
      </c>
      <c r="T177" s="24" t="s">
        <v>1334</v>
      </c>
      <c r="U177" s="3"/>
      <c r="V177" s="25" t="s">
        <v>8006</v>
      </c>
      <c r="W177" s="25"/>
      <c r="X177" s="25" t="str">
        <f>IFERROR(VLOOKUP(C_Ope_003[[#This Row],[nota_2]],Clientes_Proveedores[[Ruc / Dni]:[Razon Social]],2,0),"")</f>
        <v/>
      </c>
      <c r="Y177" s="25"/>
      <c r="Z177" s="103"/>
      <c r="AA177" s="3" t="str">
        <f>IF(C_Ope_003[[#This Row],[fecha]]&gt;0,TEXT(C_Ope_003[[#This Row],[fecha]],"mmmm"),0)</f>
        <v>Mayo</v>
      </c>
      <c r="AB177" s="49"/>
    </row>
    <row r="178" spans="1:28" x14ac:dyDescent="0.3">
      <c r="A178" s="2">
        <f>IF(C_Ope_003[[#This Row],[tipo_r]]="R",COUNTIFS($C$1:$C177,"R")+1,"")</f>
        <v>177</v>
      </c>
      <c r="B178" s="19" t="str">
        <f t="shared" si="14"/>
        <v>C_Ope_003</v>
      </c>
      <c r="C178" s="3" t="s">
        <v>1330</v>
      </c>
      <c r="D178" s="14">
        <v>45804</v>
      </c>
      <c r="E178" s="5" t="s">
        <v>5595</v>
      </c>
      <c r="F178" s="5" t="s">
        <v>1336</v>
      </c>
      <c r="G178" s="6"/>
      <c r="H178" s="6" t="s">
        <v>126</v>
      </c>
      <c r="I178" s="6"/>
      <c r="J178" s="6"/>
      <c r="K178" s="7" t="s">
        <v>8358</v>
      </c>
      <c r="L178" s="8">
        <v>24322</v>
      </c>
      <c r="M178" s="8" t="str">
        <f t="shared" si="15"/>
        <v>PEN</v>
      </c>
      <c r="N178" s="13"/>
      <c r="O178" s="13">
        <v>24</v>
      </c>
      <c r="P178" s="3">
        <f t="shared" si="11"/>
        <v>0</v>
      </c>
      <c r="Q178" s="3">
        <f t="shared" si="12"/>
        <v>24</v>
      </c>
      <c r="R178" s="3">
        <f t="shared" si="13"/>
        <v>578.05000000000018</v>
      </c>
      <c r="S178" s="24" t="s">
        <v>1334</v>
      </c>
      <c r="T178" s="24" t="s">
        <v>1334</v>
      </c>
      <c r="U178" s="3"/>
      <c r="V178" s="25" t="s">
        <v>8006</v>
      </c>
      <c r="W178" s="25"/>
      <c r="X178" s="25" t="str">
        <f>IFERROR(VLOOKUP(C_Ope_003[[#This Row],[nota_2]],Clientes_Proveedores[[Ruc / Dni]:[Razon Social]],2,0),"")</f>
        <v/>
      </c>
      <c r="Y178" s="25"/>
      <c r="Z178" s="103"/>
      <c r="AA178" s="3" t="str">
        <f>IF(C_Ope_003[[#This Row],[fecha]]&gt;0,TEXT(C_Ope_003[[#This Row],[fecha]],"mmmm"),0)</f>
        <v>Mayo</v>
      </c>
      <c r="AB178" s="49"/>
    </row>
    <row r="179" spans="1:28" ht="24" x14ac:dyDescent="0.3">
      <c r="A179" s="2">
        <f>IF(C_Ope_003[[#This Row],[tipo_r]]="R",COUNTIFS($C$1:$C178,"R")+1,"")</f>
        <v>178</v>
      </c>
      <c r="B179" s="19" t="str">
        <f t="shared" si="14"/>
        <v>C_Ope_003</v>
      </c>
      <c r="C179" s="3" t="s">
        <v>1330</v>
      </c>
      <c r="D179" s="14">
        <v>45804</v>
      </c>
      <c r="E179" s="5" t="s">
        <v>5595</v>
      </c>
      <c r="F179" s="5" t="s">
        <v>1336</v>
      </c>
      <c r="G179" s="6" t="s">
        <v>1131</v>
      </c>
      <c r="H179" s="6" t="s">
        <v>75</v>
      </c>
      <c r="I179" s="6">
        <v>1</v>
      </c>
      <c r="J179" s="6">
        <v>482</v>
      </c>
      <c r="K179" s="7" t="s">
        <v>8359</v>
      </c>
      <c r="L179" s="8">
        <v>24323</v>
      </c>
      <c r="M179" s="8" t="str">
        <f t="shared" si="15"/>
        <v>PEN</v>
      </c>
      <c r="N179" s="13"/>
      <c r="O179" s="13">
        <v>30</v>
      </c>
      <c r="P179" s="3">
        <f t="shared" si="11"/>
        <v>0</v>
      </c>
      <c r="Q179" s="3">
        <f t="shared" si="12"/>
        <v>30</v>
      </c>
      <c r="R179" s="3">
        <f t="shared" si="13"/>
        <v>548.05000000000018</v>
      </c>
      <c r="S179" s="24" t="s">
        <v>1334</v>
      </c>
      <c r="T179" s="24" t="s">
        <v>1334</v>
      </c>
      <c r="U179" s="3"/>
      <c r="V179" s="25" t="s">
        <v>8006</v>
      </c>
      <c r="W179" s="25">
        <v>10440693577</v>
      </c>
      <c r="X179" s="25" t="str">
        <f>IFERROR(VLOOKUP(C_Ope_003[[#This Row],[nota_2]],Clientes_Proveedores[[Ruc / Dni]:[Razon Social]],2,0),"")</f>
        <v>GUADALUPE VEGA ROSA ALVINA</v>
      </c>
      <c r="Y179" s="25"/>
      <c r="Z179" s="103"/>
      <c r="AA179" s="3" t="str">
        <f>IF(C_Ope_003[[#This Row],[fecha]]&gt;0,TEXT(C_Ope_003[[#This Row],[fecha]],"mmmm"),0)</f>
        <v>Mayo</v>
      </c>
      <c r="AB179" s="49"/>
    </row>
    <row r="180" spans="1:28" x14ac:dyDescent="0.3">
      <c r="A180" s="2">
        <f>IF(C_Ope_003[[#This Row],[tipo_r]]="R",COUNTIFS($C$1:$C179,"R")+1,"")</f>
        <v>179</v>
      </c>
      <c r="B180" s="19" t="str">
        <f t="shared" si="14"/>
        <v>C_Ope_003</v>
      </c>
      <c r="C180" s="3" t="s">
        <v>1330</v>
      </c>
      <c r="D180" s="14">
        <v>45804</v>
      </c>
      <c r="E180" s="5" t="s">
        <v>5595</v>
      </c>
      <c r="F180" s="5" t="s">
        <v>1336</v>
      </c>
      <c r="G180" s="6"/>
      <c r="H180" s="6" t="s">
        <v>126</v>
      </c>
      <c r="I180" s="6"/>
      <c r="J180" s="6"/>
      <c r="K180" s="7" t="s">
        <v>8224</v>
      </c>
      <c r="L180" s="8">
        <v>24324</v>
      </c>
      <c r="M180" s="8" t="str">
        <f t="shared" si="15"/>
        <v>PEN</v>
      </c>
      <c r="N180" s="13"/>
      <c r="O180" s="13">
        <v>24</v>
      </c>
      <c r="P180" s="3">
        <f t="shared" si="11"/>
        <v>0</v>
      </c>
      <c r="Q180" s="3">
        <f t="shared" si="12"/>
        <v>24</v>
      </c>
      <c r="R180" s="3">
        <f t="shared" si="13"/>
        <v>524.05000000000018</v>
      </c>
      <c r="S180" s="24" t="s">
        <v>1334</v>
      </c>
      <c r="T180" s="24" t="s">
        <v>1334</v>
      </c>
      <c r="U180" s="3"/>
      <c r="V180" s="25" t="s">
        <v>8006</v>
      </c>
      <c r="W180" s="25"/>
      <c r="X180" s="25" t="str">
        <f>IFERROR(VLOOKUP(C_Ope_003[[#This Row],[nota_2]],Clientes_Proveedores[[Ruc / Dni]:[Razon Social]],2,0),"")</f>
        <v/>
      </c>
      <c r="Y180" s="25"/>
      <c r="Z180" s="103"/>
      <c r="AA180" s="3" t="str">
        <f>IF(C_Ope_003[[#This Row],[fecha]]&gt;0,TEXT(C_Ope_003[[#This Row],[fecha]],"mmmm"),0)</f>
        <v>Mayo</v>
      </c>
      <c r="AB180" s="49"/>
    </row>
    <row r="181" spans="1:28" x14ac:dyDescent="0.3">
      <c r="A181" s="2">
        <f>IF(C_Ope_003[[#This Row],[tipo_r]]="R",COUNTIFS($C$1:$C180,"R")+1,"")</f>
        <v>180</v>
      </c>
      <c r="B181" s="19" t="str">
        <f t="shared" si="14"/>
        <v>C_Ope_003</v>
      </c>
      <c r="C181" s="3" t="s">
        <v>1330</v>
      </c>
      <c r="D181" s="14">
        <v>45805</v>
      </c>
      <c r="E181" s="5" t="s">
        <v>5595</v>
      </c>
      <c r="F181" s="5" t="s">
        <v>1336</v>
      </c>
      <c r="G181" s="6"/>
      <c r="H181" s="6" t="s">
        <v>126</v>
      </c>
      <c r="I181" s="6"/>
      <c r="J181" s="6"/>
      <c r="K181" s="7" t="s">
        <v>8360</v>
      </c>
      <c r="L181" s="8">
        <v>24332</v>
      </c>
      <c r="M181" s="8" t="str">
        <f t="shared" si="15"/>
        <v>PEN</v>
      </c>
      <c r="N181" s="13"/>
      <c r="O181" s="13">
        <v>24</v>
      </c>
      <c r="P181" s="3">
        <f t="shared" si="11"/>
        <v>0</v>
      </c>
      <c r="Q181" s="3">
        <f t="shared" si="12"/>
        <v>24</v>
      </c>
      <c r="R181" s="3">
        <f t="shared" si="13"/>
        <v>500.05000000000018</v>
      </c>
      <c r="S181" s="24" t="s">
        <v>1334</v>
      </c>
      <c r="T181" s="24" t="s">
        <v>1334</v>
      </c>
      <c r="U181" s="3"/>
      <c r="V181" s="25" t="s">
        <v>8006</v>
      </c>
      <c r="W181" s="25"/>
      <c r="X181" s="25" t="str">
        <f>IFERROR(VLOOKUP(C_Ope_003[[#This Row],[nota_2]],Clientes_Proveedores[[Ruc / Dni]:[Razon Social]],2,0),"")</f>
        <v/>
      </c>
      <c r="Y181" s="25"/>
      <c r="Z181" s="103"/>
      <c r="AA181" s="3" t="str">
        <f>IF(C_Ope_003[[#This Row],[fecha]]&gt;0,TEXT(C_Ope_003[[#This Row],[fecha]],"mmmm"),0)</f>
        <v>Mayo</v>
      </c>
      <c r="AB181" s="49"/>
    </row>
    <row r="182" spans="1:28" x14ac:dyDescent="0.3">
      <c r="A182" s="2">
        <f>IF(C_Ope_003[[#This Row],[tipo_r]]="R",COUNTIFS($C$1:$C181,"R")+1,"")</f>
        <v>181</v>
      </c>
      <c r="B182" s="19" t="str">
        <f t="shared" si="14"/>
        <v>C_Ope_003</v>
      </c>
      <c r="C182" s="3" t="s">
        <v>1330</v>
      </c>
      <c r="D182" s="14">
        <v>45805</v>
      </c>
      <c r="E182" s="5" t="s">
        <v>5595</v>
      </c>
      <c r="F182" s="5" t="s">
        <v>1336</v>
      </c>
      <c r="G182" s="6"/>
      <c r="H182" s="6" t="s">
        <v>126</v>
      </c>
      <c r="I182" s="6"/>
      <c r="J182" s="6"/>
      <c r="K182" s="7" t="s">
        <v>8361</v>
      </c>
      <c r="L182" s="8">
        <v>24333</v>
      </c>
      <c r="M182" s="8" t="str">
        <f t="shared" si="15"/>
        <v>PEN</v>
      </c>
      <c r="N182" s="13"/>
      <c r="O182" s="13">
        <v>30</v>
      </c>
      <c r="P182" s="3">
        <f t="shared" si="11"/>
        <v>0</v>
      </c>
      <c r="Q182" s="3">
        <f t="shared" si="12"/>
        <v>30</v>
      </c>
      <c r="R182" s="3">
        <f t="shared" si="13"/>
        <v>470.05000000000018</v>
      </c>
      <c r="S182" s="24" t="s">
        <v>1334</v>
      </c>
      <c r="T182" s="24" t="s">
        <v>1334</v>
      </c>
      <c r="U182" s="3"/>
      <c r="V182" s="25" t="s">
        <v>8006</v>
      </c>
      <c r="W182" s="25"/>
      <c r="X182" s="25" t="str">
        <f>IFERROR(VLOOKUP(C_Ope_003[[#This Row],[nota_2]],Clientes_Proveedores[[Ruc / Dni]:[Razon Social]],2,0),"")</f>
        <v/>
      </c>
      <c r="Y182" s="25"/>
      <c r="Z182" s="103"/>
      <c r="AA182" s="3" t="str">
        <f>IF(C_Ope_003[[#This Row],[fecha]]&gt;0,TEXT(C_Ope_003[[#This Row],[fecha]],"mmmm"),0)</f>
        <v>Mayo</v>
      </c>
      <c r="AB182" s="49"/>
    </row>
    <row r="183" spans="1:28" x14ac:dyDescent="0.3">
      <c r="A183" s="2">
        <f>IF(C_Ope_003[[#This Row],[tipo_r]]="R",COUNTIFS($C$1:$C182,"R")+1,"")</f>
        <v>182</v>
      </c>
      <c r="B183" s="19" t="str">
        <f t="shared" si="14"/>
        <v>C_Ope_003</v>
      </c>
      <c r="C183" s="3" t="s">
        <v>1330</v>
      </c>
      <c r="D183" s="14">
        <v>45806</v>
      </c>
      <c r="E183" s="5" t="s">
        <v>5595</v>
      </c>
      <c r="F183" s="5" t="s">
        <v>1336</v>
      </c>
      <c r="G183" s="6"/>
      <c r="H183" s="6" t="s">
        <v>126</v>
      </c>
      <c r="I183" s="6"/>
      <c r="J183" s="6"/>
      <c r="K183" s="7" t="s">
        <v>7777</v>
      </c>
      <c r="L183" s="8">
        <v>24369</v>
      </c>
      <c r="M183" s="8" t="str">
        <f t="shared" si="15"/>
        <v>PEN</v>
      </c>
      <c r="N183" s="13"/>
      <c r="O183" s="13">
        <v>60</v>
      </c>
      <c r="P183" s="3">
        <f t="shared" si="11"/>
        <v>0</v>
      </c>
      <c r="Q183" s="3">
        <f t="shared" si="12"/>
        <v>60</v>
      </c>
      <c r="R183" s="3">
        <f t="shared" si="13"/>
        <v>410.05000000000018</v>
      </c>
      <c r="S183" s="24" t="s">
        <v>1334</v>
      </c>
      <c r="T183" s="24" t="s">
        <v>1334</v>
      </c>
      <c r="U183" s="3"/>
      <c r="V183" s="25" t="s">
        <v>8006</v>
      </c>
      <c r="W183" s="25"/>
      <c r="X183" s="25" t="str">
        <f>IFERROR(VLOOKUP(C_Ope_003[[#This Row],[nota_2]],Clientes_Proveedores[[Ruc / Dni]:[Razon Social]],2,0),"")</f>
        <v/>
      </c>
      <c r="Y183" s="25"/>
      <c r="Z183" s="103"/>
      <c r="AA183" s="3" t="str">
        <f>IF(C_Ope_003[[#This Row],[fecha]]&gt;0,TEXT(C_Ope_003[[#This Row],[fecha]],"mmmm"),0)</f>
        <v>Mayo</v>
      </c>
      <c r="AB183" s="49"/>
    </row>
    <row r="184" spans="1:28" x14ac:dyDescent="0.3">
      <c r="A184" s="2">
        <f>IF(C_Ope_003[[#This Row],[tipo_r]]="R",COUNTIFS($C$1:$C183,"R")+1,"")</f>
        <v>183</v>
      </c>
      <c r="B184" s="19" t="str">
        <f t="shared" si="14"/>
        <v>C_Ope_003</v>
      </c>
      <c r="C184" s="3" t="s">
        <v>1330</v>
      </c>
      <c r="D184" s="14">
        <v>45812</v>
      </c>
      <c r="E184" s="5" t="s">
        <v>7514</v>
      </c>
      <c r="F184" s="5" t="s">
        <v>1303</v>
      </c>
      <c r="G184" s="6"/>
      <c r="H184" s="6"/>
      <c r="I184" s="6"/>
      <c r="J184" s="6"/>
      <c r="K184" s="7" t="s">
        <v>7516</v>
      </c>
      <c r="L184" s="8">
        <v>24449</v>
      </c>
      <c r="M184" s="8" t="str">
        <f t="shared" si="15"/>
        <v>PEN</v>
      </c>
      <c r="N184" s="13"/>
      <c r="O184" s="13">
        <v>500</v>
      </c>
      <c r="P184" s="3">
        <f t="shared" si="11"/>
        <v>500</v>
      </c>
      <c r="Q184" s="3">
        <f t="shared" si="12"/>
        <v>0</v>
      </c>
      <c r="R184" s="3">
        <f t="shared" si="13"/>
        <v>910.05000000000018</v>
      </c>
      <c r="S184" s="24" t="s">
        <v>1334</v>
      </c>
      <c r="T184" s="24" t="s">
        <v>1334</v>
      </c>
      <c r="U184" s="3"/>
      <c r="V184" s="25"/>
      <c r="W184" s="25"/>
      <c r="X184" s="25" t="str">
        <f>IFERROR(VLOOKUP(C_Ope_003[[#This Row],[nota_2]],Clientes_Proveedores[[Ruc / Dni]:[Razon Social]],2,0),"")</f>
        <v/>
      </c>
      <c r="Y184" s="25"/>
      <c r="Z184" s="103"/>
      <c r="AA184" s="3" t="str">
        <f>IF(C_Ope_003[[#This Row],[fecha]]&gt;0,TEXT(C_Ope_003[[#This Row],[fecha]],"mmmm"),0)</f>
        <v>Junio</v>
      </c>
      <c r="AB184" s="49"/>
    </row>
    <row r="185" spans="1:28" ht="36" x14ac:dyDescent="0.3">
      <c r="A185" s="2">
        <f>IF(C_Ope_003[[#This Row],[tipo_r]]="R",COUNTIFS($C$1:$C184,"R")+1,"")</f>
        <v>184</v>
      </c>
      <c r="B185" s="19" t="str">
        <f t="shared" si="14"/>
        <v>C_Ope_003</v>
      </c>
      <c r="C185" s="3" t="s">
        <v>1330</v>
      </c>
      <c r="D185" s="14">
        <v>45812</v>
      </c>
      <c r="E185" s="5" t="s">
        <v>5595</v>
      </c>
      <c r="F185" s="5" t="s">
        <v>1336</v>
      </c>
      <c r="G185" s="6" t="s">
        <v>1006</v>
      </c>
      <c r="H185" s="6" t="s">
        <v>68</v>
      </c>
      <c r="I185" s="6" t="s">
        <v>8207</v>
      </c>
      <c r="J185" s="6">
        <v>604479</v>
      </c>
      <c r="K185" s="7" t="s">
        <v>8208</v>
      </c>
      <c r="L185" s="8">
        <v>24452</v>
      </c>
      <c r="M185" s="8" t="str">
        <f t="shared" si="15"/>
        <v>PEN</v>
      </c>
      <c r="N185" s="13"/>
      <c r="O185" s="13">
        <v>23.6</v>
      </c>
      <c r="P185" s="3">
        <f t="shared" si="11"/>
        <v>0</v>
      </c>
      <c r="Q185" s="3">
        <f t="shared" si="12"/>
        <v>23.6</v>
      </c>
      <c r="R185" s="3">
        <f t="shared" si="13"/>
        <v>886.45000000000016</v>
      </c>
      <c r="S185" s="24" t="s">
        <v>1334</v>
      </c>
      <c r="T185" s="24" t="s">
        <v>1334</v>
      </c>
      <c r="U185" s="3"/>
      <c r="V185" s="25" t="s">
        <v>8006</v>
      </c>
      <c r="W185" s="25">
        <v>20550033519</v>
      </c>
      <c r="X185" s="25" t="str">
        <f>IFERROR(VLOOKUP(C_Ope_003[[#This Row],[nota_2]],Clientes_Proveedores[[Ruc / Dni]:[Razon Social]],2,0),"")</f>
        <v>CONCESIONARIA PERUANA DE VIAS-COVINCA S.A.</v>
      </c>
      <c r="Y185" s="25"/>
      <c r="Z185" s="103"/>
      <c r="AA185" s="3" t="str">
        <f>IF(C_Ope_003[[#This Row],[fecha]]&gt;0,TEXT(C_Ope_003[[#This Row],[fecha]],"mmmm"),0)</f>
        <v>Junio</v>
      </c>
      <c r="AB185" s="49"/>
    </row>
    <row r="186" spans="1:28" ht="24" x14ac:dyDescent="0.3">
      <c r="A186" s="2">
        <f>IF(C_Ope_003[[#This Row],[tipo_r]]="R",COUNTIFS($C$1:$C185,"R")+1,"")</f>
        <v>185</v>
      </c>
      <c r="B186" s="19" t="str">
        <f t="shared" si="14"/>
        <v>C_Ope_003</v>
      </c>
      <c r="C186" s="3" t="s">
        <v>1330</v>
      </c>
      <c r="D186" s="14">
        <v>45813</v>
      </c>
      <c r="E186" s="5" t="s">
        <v>5595</v>
      </c>
      <c r="F186" s="5" t="s">
        <v>1336</v>
      </c>
      <c r="G186" s="6" t="s">
        <v>1041</v>
      </c>
      <c r="H186" s="6" t="s">
        <v>68</v>
      </c>
      <c r="I186" s="6" t="s">
        <v>8255</v>
      </c>
      <c r="J186" s="6">
        <v>2874740</v>
      </c>
      <c r="K186" s="7" t="s">
        <v>8210</v>
      </c>
      <c r="L186" s="8">
        <v>24463</v>
      </c>
      <c r="M186" s="8" t="str">
        <f t="shared" si="15"/>
        <v>PEN</v>
      </c>
      <c r="N186" s="13"/>
      <c r="O186" s="13">
        <v>58.2</v>
      </c>
      <c r="P186" s="3">
        <f t="shared" si="11"/>
        <v>0</v>
      </c>
      <c r="Q186" s="3">
        <f t="shared" si="12"/>
        <v>58.2</v>
      </c>
      <c r="R186" s="3">
        <f t="shared" si="13"/>
        <v>828.25000000000011</v>
      </c>
      <c r="S186" s="24" t="s">
        <v>1334</v>
      </c>
      <c r="T186" s="24" t="s">
        <v>1334</v>
      </c>
      <c r="U186" s="3"/>
      <c r="V186" s="25" t="s">
        <v>8006</v>
      </c>
      <c r="W186" s="25">
        <v>20511465061</v>
      </c>
      <c r="X186" s="25" t="str">
        <f>IFERROR(VLOOKUP(C_Ope_003[[#This Row],[nota_2]],Clientes_Proveedores[[Ruc / Dni]:[Razon Social]],2,0),"")</f>
        <v>CONCESIONARIA VIAL DEL PERU S.A</v>
      </c>
      <c r="Y186" s="25"/>
      <c r="Z186" s="103"/>
      <c r="AA186" s="3" t="str">
        <f>IF(C_Ope_003[[#This Row],[fecha]]&gt;0,TEXT(C_Ope_003[[#This Row],[fecha]],"mmmm"),0)</f>
        <v>Junio</v>
      </c>
      <c r="AB186" s="49"/>
    </row>
    <row r="187" spans="1:28" ht="24" x14ac:dyDescent="0.3">
      <c r="A187" s="2">
        <f>IF(C_Ope_003[[#This Row],[tipo_r]]="R",COUNTIFS($C$1:$C186,"R")+1,"")</f>
        <v>186</v>
      </c>
      <c r="B187" s="19" t="str">
        <f t="shared" si="14"/>
        <v>C_Ope_003</v>
      </c>
      <c r="C187" s="3" t="s">
        <v>1330</v>
      </c>
      <c r="D187" s="14">
        <v>45814</v>
      </c>
      <c r="E187" s="5" t="s">
        <v>5595</v>
      </c>
      <c r="F187" s="5" t="s">
        <v>1336</v>
      </c>
      <c r="G187" s="6" t="s">
        <v>979</v>
      </c>
      <c r="H187" s="6" t="s">
        <v>68</v>
      </c>
      <c r="I187" s="6" t="s">
        <v>8362</v>
      </c>
      <c r="J187" s="6">
        <v>2281580</v>
      </c>
      <c r="K187" s="7" t="s">
        <v>8363</v>
      </c>
      <c r="L187" s="8">
        <v>24476</v>
      </c>
      <c r="M187" s="8" t="str">
        <f t="shared" si="15"/>
        <v>PEN</v>
      </c>
      <c r="N187" s="13"/>
      <c r="O187" s="13">
        <v>22.5</v>
      </c>
      <c r="P187" s="3">
        <f t="shared" si="11"/>
        <v>0</v>
      </c>
      <c r="Q187" s="3">
        <f t="shared" si="12"/>
        <v>22.5</v>
      </c>
      <c r="R187" s="3">
        <f t="shared" si="13"/>
        <v>805.75000000000011</v>
      </c>
      <c r="S187" s="24" t="s">
        <v>1334</v>
      </c>
      <c r="T187" s="24" t="s">
        <v>1334</v>
      </c>
      <c r="U187" s="3"/>
      <c r="V187" s="25" t="s">
        <v>8006</v>
      </c>
      <c r="W187" s="25">
        <v>20550372640</v>
      </c>
      <c r="X187" s="25" t="str">
        <f>IFERROR(VLOOKUP(C_Ope_003[[#This Row],[nota_2]],Clientes_Proveedores[[Ruc / Dni]:[Razon Social]],2,0),"")</f>
        <v>RUTAS DE LIMA S.A.C.</v>
      </c>
      <c r="Y187" s="25"/>
      <c r="Z187" s="103"/>
      <c r="AA187" s="3" t="str">
        <f>IF(C_Ope_003[[#This Row],[fecha]]&gt;0,TEXT(C_Ope_003[[#This Row],[fecha]],"mmmm"),0)</f>
        <v>Junio</v>
      </c>
      <c r="AB187" s="49"/>
    </row>
    <row r="188" spans="1:28" ht="24" x14ac:dyDescent="0.3">
      <c r="A188" s="2">
        <f>IF(C_Ope_003[[#This Row],[tipo_r]]="R",COUNTIFS($C$1:$C187,"R")+1,"")</f>
        <v>187</v>
      </c>
      <c r="B188" s="19" t="str">
        <f t="shared" si="14"/>
        <v>C_Ope_003</v>
      </c>
      <c r="C188" s="3" t="s">
        <v>1330</v>
      </c>
      <c r="D188" s="14">
        <v>45815</v>
      </c>
      <c r="E188" s="5" t="s">
        <v>5595</v>
      </c>
      <c r="F188" s="5" t="s">
        <v>1336</v>
      </c>
      <c r="G188" s="6" t="s">
        <v>979</v>
      </c>
      <c r="H188" s="6" t="s">
        <v>68</v>
      </c>
      <c r="I188" s="6" t="s">
        <v>8234</v>
      </c>
      <c r="J188" s="6">
        <v>2668429</v>
      </c>
      <c r="K188" s="7" t="s">
        <v>8364</v>
      </c>
      <c r="L188" s="8">
        <v>24480</v>
      </c>
      <c r="M188" s="8" t="str">
        <f t="shared" si="15"/>
        <v>PEN</v>
      </c>
      <c r="N188" s="13"/>
      <c r="O188" s="13">
        <v>22.5</v>
      </c>
      <c r="P188" s="3">
        <f t="shared" si="11"/>
        <v>0</v>
      </c>
      <c r="Q188" s="3">
        <f t="shared" si="12"/>
        <v>22.5</v>
      </c>
      <c r="R188" s="3">
        <f t="shared" si="13"/>
        <v>783.25000000000011</v>
      </c>
      <c r="S188" s="24" t="s">
        <v>1334</v>
      </c>
      <c r="T188" s="24" t="s">
        <v>1334</v>
      </c>
      <c r="U188" s="3"/>
      <c r="V188" s="25" t="s">
        <v>8006</v>
      </c>
      <c r="W188" s="25">
        <v>20550372640</v>
      </c>
      <c r="X188" s="25" t="str">
        <f>IFERROR(VLOOKUP(C_Ope_003[[#This Row],[nota_2]],Clientes_Proveedores[[Ruc / Dni]:[Razon Social]],2,0),"")</f>
        <v>RUTAS DE LIMA S.A.C.</v>
      </c>
      <c r="Y188" s="25"/>
      <c r="Z188" s="103"/>
      <c r="AA188" s="3" t="str">
        <f>IF(C_Ope_003[[#This Row],[fecha]]&gt;0,TEXT(C_Ope_003[[#This Row],[fecha]],"mmmm"),0)</f>
        <v>Junio</v>
      </c>
      <c r="AB188" s="49"/>
    </row>
    <row r="189" spans="1:28" ht="24" x14ac:dyDescent="0.3">
      <c r="A189" s="2">
        <f>IF(C_Ope_003[[#This Row],[tipo_r]]="R",COUNTIFS($C$1:$C188,"R")+1,"")</f>
        <v>188</v>
      </c>
      <c r="B189" s="19" t="str">
        <f t="shared" si="14"/>
        <v>C_Ope_003</v>
      </c>
      <c r="C189" s="3" t="s">
        <v>1330</v>
      </c>
      <c r="D189" s="14">
        <v>45815</v>
      </c>
      <c r="E189" s="5" t="s">
        <v>5595</v>
      </c>
      <c r="F189" s="5" t="s">
        <v>1336</v>
      </c>
      <c r="G189" s="6" t="s">
        <v>1041</v>
      </c>
      <c r="H189" s="6" t="s">
        <v>68</v>
      </c>
      <c r="I189" s="6" t="s">
        <v>8236</v>
      </c>
      <c r="J189" s="6">
        <v>2203923</v>
      </c>
      <c r="K189" s="7" t="s">
        <v>8365</v>
      </c>
      <c r="L189" s="8">
        <v>24481</v>
      </c>
      <c r="M189" s="8" t="str">
        <f t="shared" si="15"/>
        <v>PEN</v>
      </c>
      <c r="N189" s="13"/>
      <c r="O189" s="13">
        <v>58.2</v>
      </c>
      <c r="P189" s="3">
        <f t="shared" si="11"/>
        <v>0</v>
      </c>
      <c r="Q189" s="3">
        <f t="shared" si="12"/>
        <v>58.2</v>
      </c>
      <c r="R189" s="3">
        <f t="shared" si="13"/>
        <v>725.05000000000007</v>
      </c>
      <c r="S189" s="24" t="s">
        <v>1334</v>
      </c>
      <c r="T189" s="24" t="s">
        <v>1334</v>
      </c>
      <c r="U189" s="3"/>
      <c r="V189" s="25" t="s">
        <v>8006</v>
      </c>
      <c r="W189" s="25">
        <v>20511465061</v>
      </c>
      <c r="X189" s="25" t="str">
        <f>IFERROR(VLOOKUP(C_Ope_003[[#This Row],[nota_2]],Clientes_Proveedores[[Ruc / Dni]:[Razon Social]],2,0),"")</f>
        <v>CONCESIONARIA VIAL DEL PERU S.A</v>
      </c>
      <c r="Y189" s="25"/>
      <c r="Z189" s="103"/>
      <c r="AA189" s="3" t="str">
        <f>IF(C_Ope_003[[#This Row],[fecha]]&gt;0,TEXT(C_Ope_003[[#This Row],[fecha]],"mmmm"),0)</f>
        <v>Junio</v>
      </c>
      <c r="AB189" s="49"/>
    </row>
    <row r="190" spans="1:28" ht="24" x14ac:dyDescent="0.3">
      <c r="A190" s="2">
        <f>IF(C_Ope_003[[#This Row],[tipo_r]]="R",COUNTIFS($C$1:$C189,"R")+1,"")</f>
        <v>189</v>
      </c>
      <c r="B190" s="19" t="str">
        <f t="shared" si="14"/>
        <v>C_Ope_003</v>
      </c>
      <c r="C190" s="3" t="s">
        <v>1330</v>
      </c>
      <c r="D190" s="14">
        <v>45816</v>
      </c>
      <c r="E190" s="5" t="s">
        <v>5595</v>
      </c>
      <c r="F190" s="5" t="s">
        <v>1336</v>
      </c>
      <c r="G190" s="6" t="s">
        <v>1041</v>
      </c>
      <c r="H190" s="6" t="s">
        <v>68</v>
      </c>
      <c r="I190" s="6" t="s">
        <v>3212</v>
      </c>
      <c r="J190" s="6">
        <v>2153527</v>
      </c>
      <c r="K190" s="7" t="s">
        <v>8366</v>
      </c>
      <c r="L190" s="8">
        <v>24489</v>
      </c>
      <c r="M190" s="8" t="str">
        <f t="shared" si="15"/>
        <v>PEN</v>
      </c>
      <c r="N190" s="13"/>
      <c r="O190" s="13">
        <v>58.2</v>
      </c>
      <c r="P190" s="3">
        <f t="shared" si="11"/>
        <v>0</v>
      </c>
      <c r="Q190" s="3">
        <f t="shared" si="12"/>
        <v>58.2</v>
      </c>
      <c r="R190" s="3">
        <f t="shared" si="13"/>
        <v>666.85</v>
      </c>
      <c r="S190" s="24" t="s">
        <v>1334</v>
      </c>
      <c r="T190" s="24" t="s">
        <v>1334</v>
      </c>
      <c r="U190" s="3"/>
      <c r="V190" s="25" t="s">
        <v>8006</v>
      </c>
      <c r="W190" s="25">
        <v>20511465061</v>
      </c>
      <c r="X190" s="25" t="str">
        <f>IFERROR(VLOOKUP(C_Ope_003[[#This Row],[nota_2]],Clientes_Proveedores[[Ruc / Dni]:[Razon Social]],2,0),"")</f>
        <v>CONCESIONARIA VIAL DEL PERU S.A</v>
      </c>
      <c r="Y190" s="25"/>
      <c r="Z190" s="103"/>
      <c r="AA190" s="3" t="str">
        <f>IF(C_Ope_003[[#This Row],[fecha]]&gt;0,TEXT(C_Ope_003[[#This Row],[fecha]],"mmmm"),0)</f>
        <v>Junio</v>
      </c>
      <c r="AB190" s="49"/>
    </row>
    <row r="191" spans="1:28" ht="36" x14ac:dyDescent="0.3">
      <c r="A191" s="2">
        <f>IF(C_Ope_003[[#This Row],[tipo_r]]="R",COUNTIFS($C$1:$C190,"R")+1,"")</f>
        <v>190</v>
      </c>
      <c r="B191" s="19" t="str">
        <f t="shared" si="14"/>
        <v>C_Ope_003</v>
      </c>
      <c r="C191" s="3" t="s">
        <v>1330</v>
      </c>
      <c r="D191" s="14">
        <v>45816</v>
      </c>
      <c r="E191" s="5" t="s">
        <v>5595</v>
      </c>
      <c r="F191" s="5" t="s">
        <v>1336</v>
      </c>
      <c r="G191" s="6" t="s">
        <v>1042</v>
      </c>
      <c r="H191" s="6" t="s">
        <v>98</v>
      </c>
      <c r="I191" s="6" t="s">
        <v>8319</v>
      </c>
      <c r="J191" s="6">
        <v>325030850</v>
      </c>
      <c r="K191" s="7" t="s">
        <v>8367</v>
      </c>
      <c r="L191" s="8">
        <v>24490</v>
      </c>
      <c r="M191" s="8" t="str">
        <f t="shared" si="15"/>
        <v>PEN</v>
      </c>
      <c r="N191" s="13"/>
      <c r="O191" s="13">
        <v>19.5</v>
      </c>
      <c r="P191" s="3">
        <f t="shared" si="11"/>
        <v>0</v>
      </c>
      <c r="Q191" s="3">
        <f t="shared" si="12"/>
        <v>19.5</v>
      </c>
      <c r="R191" s="3">
        <f t="shared" si="13"/>
        <v>647.35</v>
      </c>
      <c r="S191" s="24" t="s">
        <v>1334</v>
      </c>
      <c r="T191" s="24" t="s">
        <v>1334</v>
      </c>
      <c r="U191" s="3"/>
      <c r="V191" s="25" t="s">
        <v>8006</v>
      </c>
      <c r="W191" s="25">
        <v>20503503639</v>
      </c>
      <c r="X191" s="25" t="str">
        <f>IFERROR(VLOOKUP(C_Ope_003[[#This Row],[nota_2]],Clientes_Proveedores[[Ruc / Dni]:[Razon Social]],2,0),"")</f>
        <v>PROVIAS NACIONAL</v>
      </c>
      <c r="Y191" s="25"/>
      <c r="Z191" s="103"/>
      <c r="AA191" s="3" t="str">
        <f>IF(C_Ope_003[[#This Row],[fecha]]&gt;0,TEXT(C_Ope_003[[#This Row],[fecha]],"mmmm"),0)</f>
        <v>Junio</v>
      </c>
      <c r="AB191" s="49"/>
    </row>
    <row r="192" spans="1:28" ht="36" x14ac:dyDescent="0.3">
      <c r="A192" s="2">
        <f>IF(C_Ope_003[[#This Row],[tipo_r]]="R",COUNTIFS($C$1:$C191,"R")+1,"")</f>
        <v>191</v>
      </c>
      <c r="B192" s="19" t="str">
        <f t="shared" si="14"/>
        <v>C_Ope_003</v>
      </c>
      <c r="C192" s="3" t="s">
        <v>1330</v>
      </c>
      <c r="D192" s="14">
        <v>45816</v>
      </c>
      <c r="E192" s="5" t="s">
        <v>5595</v>
      </c>
      <c r="F192" s="5" t="s">
        <v>1336</v>
      </c>
      <c r="G192" s="6" t="s">
        <v>1042</v>
      </c>
      <c r="H192" s="6" t="s">
        <v>98</v>
      </c>
      <c r="I192" s="6" t="s">
        <v>8270</v>
      </c>
      <c r="J192" s="6">
        <v>325033609</v>
      </c>
      <c r="K192" s="7" t="s">
        <v>8368</v>
      </c>
      <c r="L192" s="8">
        <v>24491</v>
      </c>
      <c r="M192" s="8" t="str">
        <f t="shared" si="15"/>
        <v>PEN</v>
      </c>
      <c r="N192" s="13"/>
      <c r="O192" s="13">
        <v>19.5</v>
      </c>
      <c r="P192" s="3">
        <f t="shared" si="11"/>
        <v>0</v>
      </c>
      <c r="Q192" s="3">
        <f t="shared" si="12"/>
        <v>19.5</v>
      </c>
      <c r="R192" s="3">
        <f t="shared" si="13"/>
        <v>627.85</v>
      </c>
      <c r="S192" s="24" t="s">
        <v>1334</v>
      </c>
      <c r="T192" s="24" t="s">
        <v>1334</v>
      </c>
      <c r="U192" s="3"/>
      <c r="V192" s="25" t="s">
        <v>8006</v>
      </c>
      <c r="W192" s="25">
        <v>20503503639</v>
      </c>
      <c r="X192" s="25" t="str">
        <f>IFERROR(VLOOKUP(C_Ope_003[[#This Row],[nota_2]],Clientes_Proveedores[[Ruc / Dni]:[Razon Social]],2,0),"")</f>
        <v>PROVIAS NACIONAL</v>
      </c>
      <c r="Y192" s="25"/>
      <c r="Z192" s="103"/>
      <c r="AA192" s="3" t="str">
        <f>IF(C_Ope_003[[#This Row],[fecha]]&gt;0,TEXT(C_Ope_003[[#This Row],[fecha]],"mmmm"),0)</f>
        <v>Junio</v>
      </c>
      <c r="AB192" s="49"/>
    </row>
    <row r="193" spans="1:28" ht="36" x14ac:dyDescent="0.3">
      <c r="A193" s="2">
        <f>IF(C_Ope_003[[#This Row],[tipo_r]]="R",COUNTIFS($C$1:$C192,"R")+1,"")</f>
        <v>192</v>
      </c>
      <c r="B193" s="19" t="str">
        <f t="shared" si="14"/>
        <v>C_Ope_003</v>
      </c>
      <c r="C193" s="3" t="s">
        <v>1330</v>
      </c>
      <c r="D193" s="14">
        <v>45816</v>
      </c>
      <c r="E193" s="5" t="s">
        <v>5595</v>
      </c>
      <c r="F193" s="5" t="s">
        <v>1336</v>
      </c>
      <c r="G193" s="6" t="s">
        <v>1042</v>
      </c>
      <c r="H193" s="6" t="s">
        <v>98</v>
      </c>
      <c r="I193" s="6" t="s">
        <v>8353</v>
      </c>
      <c r="J193" s="6">
        <v>325029943</v>
      </c>
      <c r="K193" s="7" t="s">
        <v>8369</v>
      </c>
      <c r="L193" s="8">
        <v>24492</v>
      </c>
      <c r="M193" s="8" t="str">
        <f t="shared" si="15"/>
        <v>PEN</v>
      </c>
      <c r="N193" s="13"/>
      <c r="O193" s="13">
        <v>19.5</v>
      </c>
      <c r="P193" s="3">
        <f t="shared" si="11"/>
        <v>0</v>
      </c>
      <c r="Q193" s="3">
        <f t="shared" si="12"/>
        <v>19.5</v>
      </c>
      <c r="R193" s="3">
        <f t="shared" si="13"/>
        <v>608.35</v>
      </c>
      <c r="S193" s="24" t="s">
        <v>1334</v>
      </c>
      <c r="T193" s="24" t="s">
        <v>1334</v>
      </c>
      <c r="U193" s="3"/>
      <c r="V193" s="25" t="s">
        <v>8006</v>
      </c>
      <c r="W193" s="25">
        <v>20503503639</v>
      </c>
      <c r="X193" s="25" t="str">
        <f>IFERROR(VLOOKUP(C_Ope_003[[#This Row],[nota_2]],Clientes_Proveedores[[Ruc / Dni]:[Razon Social]],2,0),"")</f>
        <v>PROVIAS NACIONAL</v>
      </c>
      <c r="Y193" s="25"/>
      <c r="Z193" s="103"/>
      <c r="AA193" s="3" t="str">
        <f>IF(C_Ope_003[[#This Row],[fecha]]&gt;0,TEXT(C_Ope_003[[#This Row],[fecha]],"mmmm"),0)</f>
        <v>Junio</v>
      </c>
      <c r="AB193" s="49"/>
    </row>
    <row r="194" spans="1:28" ht="36" x14ac:dyDescent="0.3">
      <c r="A194" s="2">
        <f>IF(C_Ope_003[[#This Row],[tipo_r]]="R",COUNTIFS($C$1:$C193,"R")+1,"")</f>
        <v>193</v>
      </c>
      <c r="B194" s="19" t="str">
        <f t="shared" si="14"/>
        <v>C_Ope_003</v>
      </c>
      <c r="C194" s="3" t="s">
        <v>1330</v>
      </c>
      <c r="D194" s="14">
        <v>45816</v>
      </c>
      <c r="E194" s="5" t="s">
        <v>5595</v>
      </c>
      <c r="F194" s="5" t="s">
        <v>1336</v>
      </c>
      <c r="G194" s="6" t="s">
        <v>1006</v>
      </c>
      <c r="H194" s="6" t="s">
        <v>68</v>
      </c>
      <c r="I194" s="6" t="s">
        <v>2912</v>
      </c>
      <c r="J194" s="6">
        <v>774194</v>
      </c>
      <c r="K194" s="7" t="s">
        <v>8370</v>
      </c>
      <c r="L194" s="8">
        <v>24493</v>
      </c>
      <c r="M194" s="8" t="str">
        <f t="shared" si="15"/>
        <v>PEN</v>
      </c>
      <c r="N194" s="13"/>
      <c r="O194" s="13">
        <v>23.6</v>
      </c>
      <c r="P194" s="3">
        <f t="shared" ref="P194:P233" si="16">+IF(OR($F194="SALDO",$F194="INGRESO"),$O194,0)</f>
        <v>0</v>
      </c>
      <c r="Q194" s="3">
        <f t="shared" ref="Q194:Q233" si="17">+IF($F194="EGRESO",$O194,0)</f>
        <v>23.6</v>
      </c>
      <c r="R194" s="3">
        <f t="shared" ref="R194:R257" si="18">IFERROR(IF(F194="SALDO",P194,R193+P194-Q194),0)</f>
        <v>584.75</v>
      </c>
      <c r="S194" s="24" t="s">
        <v>1334</v>
      </c>
      <c r="T194" s="24" t="s">
        <v>1334</v>
      </c>
      <c r="U194" s="3"/>
      <c r="V194" s="25" t="s">
        <v>8006</v>
      </c>
      <c r="W194" s="25">
        <v>20550033519</v>
      </c>
      <c r="X194" s="25" t="str">
        <f>IFERROR(VLOOKUP(C_Ope_003[[#This Row],[nota_2]],Clientes_Proveedores[[Ruc / Dni]:[Razon Social]],2,0),"")</f>
        <v>CONCESIONARIA PERUANA DE VIAS-COVINCA S.A.</v>
      </c>
      <c r="Y194" s="25"/>
      <c r="Z194" s="103"/>
      <c r="AA194" s="3" t="str">
        <f>IF(C_Ope_003[[#This Row],[fecha]]&gt;0,TEXT(C_Ope_003[[#This Row],[fecha]],"mmmm"),0)</f>
        <v>Junio</v>
      </c>
      <c r="AB194" s="49"/>
    </row>
    <row r="195" spans="1:28" ht="36" x14ac:dyDescent="0.3">
      <c r="A195" s="2">
        <f>IF(C_Ope_003[[#This Row],[tipo_r]]="R",COUNTIFS($C$1:$C194,"R")+1,"")</f>
        <v>194</v>
      </c>
      <c r="B195" s="19" t="str">
        <f t="shared" ref="B195:B233" si="19">"C_Ope_003"</f>
        <v>C_Ope_003</v>
      </c>
      <c r="C195" s="3" t="s">
        <v>1330</v>
      </c>
      <c r="D195" s="14">
        <v>45810</v>
      </c>
      <c r="E195" s="5" t="s">
        <v>5595</v>
      </c>
      <c r="F195" s="5" t="s">
        <v>1336</v>
      </c>
      <c r="G195" s="6" t="s">
        <v>227</v>
      </c>
      <c r="H195" s="6" t="s">
        <v>68</v>
      </c>
      <c r="I195" s="6" t="s">
        <v>1390</v>
      </c>
      <c r="J195" s="6">
        <v>132626</v>
      </c>
      <c r="K195" s="7" t="s">
        <v>8371</v>
      </c>
      <c r="L195" s="8">
        <v>24414</v>
      </c>
      <c r="M195" s="8" t="str">
        <f t="shared" ref="M195:M233" si="20">"PEN"</f>
        <v>PEN</v>
      </c>
      <c r="N195" s="13"/>
      <c r="O195" s="13">
        <v>10</v>
      </c>
      <c r="P195" s="3">
        <f t="shared" si="16"/>
        <v>0</v>
      </c>
      <c r="Q195" s="3">
        <f t="shared" si="17"/>
        <v>10</v>
      </c>
      <c r="R195" s="3">
        <f t="shared" si="18"/>
        <v>574.75</v>
      </c>
      <c r="S195" s="24" t="s">
        <v>1334</v>
      </c>
      <c r="T195" s="24" t="s">
        <v>1334</v>
      </c>
      <c r="U195" s="3"/>
      <c r="V195" s="25" t="s">
        <v>8006</v>
      </c>
      <c r="W195" s="25">
        <v>20124952850</v>
      </c>
      <c r="X195" s="25" t="str">
        <f>IFERROR(VLOOKUP(C_Ope_003[[#This Row],[nota_2]],Clientes_Proveedores[[Ruc / Dni]:[Razon Social]],2,0),"")</f>
        <v>ALIMENTOS Y SERVICIOS AGROPECUARIOS SRL.</v>
      </c>
      <c r="Y195" s="25"/>
      <c r="Z195" s="103"/>
      <c r="AA195" s="3" t="str">
        <f>IF(C_Ope_003[[#This Row],[fecha]]&gt;0,TEXT(C_Ope_003[[#This Row],[fecha]],"mmmm"),0)</f>
        <v>Junio</v>
      </c>
      <c r="AB195" s="49"/>
    </row>
    <row r="196" spans="1:28" ht="36" x14ac:dyDescent="0.3">
      <c r="A196" s="2">
        <f>IF(C_Ope_003[[#This Row],[tipo_r]]="R",COUNTIFS($C$1:$C195,"R")+1,"")</f>
        <v>195</v>
      </c>
      <c r="B196" s="19" t="str">
        <f t="shared" si="19"/>
        <v>C_Ope_003</v>
      </c>
      <c r="C196" s="3" t="s">
        <v>1330</v>
      </c>
      <c r="D196" s="14">
        <v>45810</v>
      </c>
      <c r="E196" s="5" t="s">
        <v>5595</v>
      </c>
      <c r="F196" s="5" t="s">
        <v>1336</v>
      </c>
      <c r="G196" s="6" t="s">
        <v>227</v>
      </c>
      <c r="H196" s="6" t="s">
        <v>68</v>
      </c>
      <c r="I196" s="6" t="s">
        <v>1390</v>
      </c>
      <c r="J196" s="6">
        <v>132631</v>
      </c>
      <c r="K196" s="7" t="s">
        <v>8372</v>
      </c>
      <c r="L196" s="8">
        <v>24415</v>
      </c>
      <c r="M196" s="8" t="str">
        <f t="shared" si="20"/>
        <v>PEN</v>
      </c>
      <c r="N196" s="13"/>
      <c r="O196" s="13">
        <v>10</v>
      </c>
      <c r="P196" s="3">
        <f t="shared" si="16"/>
        <v>0</v>
      </c>
      <c r="Q196" s="3">
        <f t="shared" si="17"/>
        <v>10</v>
      </c>
      <c r="R196" s="3">
        <f t="shared" si="18"/>
        <v>564.75</v>
      </c>
      <c r="S196" s="24" t="s">
        <v>1334</v>
      </c>
      <c r="T196" s="24" t="s">
        <v>1334</v>
      </c>
      <c r="U196" s="3"/>
      <c r="V196" s="25" t="s">
        <v>8006</v>
      </c>
      <c r="W196" s="25">
        <v>20124952850</v>
      </c>
      <c r="X196" s="25" t="str">
        <f>IFERROR(VLOOKUP(C_Ope_003[[#This Row],[nota_2]],Clientes_Proveedores[[Ruc / Dni]:[Razon Social]],2,0),"")</f>
        <v>ALIMENTOS Y SERVICIOS AGROPECUARIOS SRL.</v>
      </c>
      <c r="Y196" s="25"/>
      <c r="Z196" s="103"/>
      <c r="AA196" s="3" t="str">
        <f>IF(C_Ope_003[[#This Row],[fecha]]&gt;0,TEXT(C_Ope_003[[#This Row],[fecha]],"mmmm"),0)</f>
        <v>Junio</v>
      </c>
      <c r="AB196" s="49"/>
    </row>
    <row r="197" spans="1:28" ht="36" x14ac:dyDescent="0.3">
      <c r="A197" s="2">
        <f>IF(C_Ope_003[[#This Row],[tipo_r]]="R",COUNTIFS($C$1:$C196,"R")+1,"")</f>
        <v>196</v>
      </c>
      <c r="B197" s="19" t="str">
        <f t="shared" si="19"/>
        <v>C_Ope_003</v>
      </c>
      <c r="C197" s="3" t="s">
        <v>1330</v>
      </c>
      <c r="D197" s="14">
        <v>45810</v>
      </c>
      <c r="E197" s="5" t="s">
        <v>5595</v>
      </c>
      <c r="F197" s="5" t="s">
        <v>1336</v>
      </c>
      <c r="G197" s="6" t="s">
        <v>227</v>
      </c>
      <c r="H197" s="6" t="s">
        <v>68</v>
      </c>
      <c r="I197" s="6" t="s">
        <v>1390</v>
      </c>
      <c r="J197" s="6">
        <v>132625</v>
      </c>
      <c r="K197" s="7" t="s">
        <v>8373</v>
      </c>
      <c r="L197" s="8">
        <v>24416</v>
      </c>
      <c r="M197" s="8" t="str">
        <f t="shared" si="20"/>
        <v>PEN</v>
      </c>
      <c r="N197" s="13"/>
      <c r="O197" s="13">
        <v>10</v>
      </c>
      <c r="P197" s="3">
        <f t="shared" si="16"/>
        <v>0</v>
      </c>
      <c r="Q197" s="3">
        <f t="shared" si="17"/>
        <v>10</v>
      </c>
      <c r="R197" s="3">
        <f t="shared" si="18"/>
        <v>554.75</v>
      </c>
      <c r="S197" s="24" t="s">
        <v>1334</v>
      </c>
      <c r="T197" s="24" t="s">
        <v>1334</v>
      </c>
      <c r="U197" s="3"/>
      <c r="V197" s="25" t="s">
        <v>8006</v>
      </c>
      <c r="W197" s="25">
        <v>20124952850</v>
      </c>
      <c r="X197" s="25" t="str">
        <f>IFERROR(VLOOKUP(C_Ope_003[[#This Row],[nota_2]],Clientes_Proveedores[[Ruc / Dni]:[Razon Social]],2,0),"")</f>
        <v>ALIMENTOS Y SERVICIOS AGROPECUARIOS SRL.</v>
      </c>
      <c r="Y197" s="25"/>
      <c r="Z197" s="103"/>
      <c r="AA197" s="3" t="str">
        <f>IF(C_Ope_003[[#This Row],[fecha]]&gt;0,TEXT(C_Ope_003[[#This Row],[fecha]],"mmmm"),0)</f>
        <v>Junio</v>
      </c>
      <c r="AB197" s="49"/>
    </row>
    <row r="198" spans="1:28" x14ac:dyDescent="0.3">
      <c r="A198" s="2">
        <f>IF(C_Ope_003[[#This Row],[tipo_r]]="R",COUNTIFS($C$1:$C197,"R")+1,"")</f>
        <v>197</v>
      </c>
      <c r="B198" s="19" t="str">
        <f t="shared" si="19"/>
        <v>C_Ope_003</v>
      </c>
      <c r="C198" s="3" t="s">
        <v>1330</v>
      </c>
      <c r="D198" s="14">
        <v>45812</v>
      </c>
      <c r="E198" s="5" t="s">
        <v>5595</v>
      </c>
      <c r="F198" s="5" t="s">
        <v>1336</v>
      </c>
      <c r="G198" s="6"/>
      <c r="H198" s="6" t="s">
        <v>126</v>
      </c>
      <c r="I198" s="6"/>
      <c r="J198" s="6"/>
      <c r="K198" s="7" t="s">
        <v>8374</v>
      </c>
      <c r="L198" s="8">
        <v>24450</v>
      </c>
      <c r="M198" s="8" t="str">
        <f t="shared" si="20"/>
        <v>PEN</v>
      </c>
      <c r="N198" s="13"/>
      <c r="O198" s="13">
        <v>15</v>
      </c>
      <c r="P198" s="3">
        <f t="shared" si="16"/>
        <v>0</v>
      </c>
      <c r="Q198" s="3">
        <f t="shared" si="17"/>
        <v>15</v>
      </c>
      <c r="R198" s="3">
        <f t="shared" si="18"/>
        <v>539.75</v>
      </c>
      <c r="S198" s="24" t="s">
        <v>1334</v>
      </c>
      <c r="T198" s="24" t="s">
        <v>1334</v>
      </c>
      <c r="U198" s="3"/>
      <c r="V198" s="25" t="s">
        <v>8006</v>
      </c>
      <c r="W198" s="25"/>
      <c r="X198" s="25" t="str">
        <f>IFERROR(VLOOKUP(C_Ope_003[[#This Row],[nota_2]],Clientes_Proveedores[[Ruc / Dni]:[Razon Social]],2,0),"")</f>
        <v/>
      </c>
      <c r="Y198" s="25"/>
      <c r="Z198" s="103"/>
      <c r="AA198" s="3" t="str">
        <f>IF(C_Ope_003[[#This Row],[fecha]]&gt;0,TEXT(C_Ope_003[[#This Row],[fecha]],"mmmm"),0)</f>
        <v>Junio</v>
      </c>
      <c r="AB198" s="49"/>
    </row>
    <row r="199" spans="1:28" x14ac:dyDescent="0.3">
      <c r="A199" s="2">
        <f>IF(C_Ope_003[[#This Row],[tipo_r]]="R",COUNTIFS($C$1:$C198,"R")+1,"")</f>
        <v>198</v>
      </c>
      <c r="B199" s="19" t="str">
        <f t="shared" si="19"/>
        <v>C_Ope_003</v>
      </c>
      <c r="C199" s="3" t="s">
        <v>1330</v>
      </c>
      <c r="D199" s="14">
        <v>45812</v>
      </c>
      <c r="E199" s="5" t="s">
        <v>5595</v>
      </c>
      <c r="F199" s="5" t="s">
        <v>1336</v>
      </c>
      <c r="G199" s="6"/>
      <c r="H199" s="6" t="s">
        <v>126</v>
      </c>
      <c r="I199" s="6"/>
      <c r="J199" s="6"/>
      <c r="K199" s="7" t="s">
        <v>8375</v>
      </c>
      <c r="L199" s="8">
        <v>24451</v>
      </c>
      <c r="M199" s="8" t="str">
        <f t="shared" si="20"/>
        <v>PEN</v>
      </c>
      <c r="N199" s="13"/>
      <c r="O199" s="13">
        <v>12</v>
      </c>
      <c r="P199" s="3">
        <f t="shared" si="16"/>
        <v>0</v>
      </c>
      <c r="Q199" s="3">
        <f t="shared" si="17"/>
        <v>12</v>
      </c>
      <c r="R199" s="3">
        <f t="shared" si="18"/>
        <v>527.75</v>
      </c>
      <c r="S199" s="24" t="s">
        <v>1334</v>
      </c>
      <c r="T199" s="24" t="s">
        <v>1334</v>
      </c>
      <c r="U199" s="3"/>
      <c r="V199" s="25" t="s">
        <v>8006</v>
      </c>
      <c r="W199" s="25"/>
      <c r="X199" s="25" t="str">
        <f>IFERROR(VLOOKUP(C_Ope_003[[#This Row],[nota_2]],Clientes_Proveedores[[Ruc / Dni]:[Razon Social]],2,0),"")</f>
        <v/>
      </c>
      <c r="Y199" s="25"/>
      <c r="Z199" s="103"/>
      <c r="AA199" s="3" t="str">
        <f>IF(C_Ope_003[[#This Row],[fecha]]&gt;0,TEXT(C_Ope_003[[#This Row],[fecha]],"mmmm"),0)</f>
        <v>Junio</v>
      </c>
      <c r="AB199" s="49"/>
    </row>
    <row r="200" spans="1:28" x14ac:dyDescent="0.3">
      <c r="A200" s="2">
        <f>IF(C_Ope_003[[#This Row],[tipo_r]]="R",COUNTIFS($C$1:$C199,"R")+1,"")</f>
        <v>199</v>
      </c>
      <c r="B200" s="19" t="str">
        <f t="shared" si="19"/>
        <v>C_Ope_003</v>
      </c>
      <c r="C200" s="3" t="s">
        <v>1330</v>
      </c>
      <c r="D200" s="14">
        <v>45812</v>
      </c>
      <c r="E200" s="5" t="s">
        <v>5595</v>
      </c>
      <c r="F200" s="5" t="s">
        <v>1336</v>
      </c>
      <c r="G200" s="6"/>
      <c r="H200" s="6" t="s">
        <v>126</v>
      </c>
      <c r="I200" s="6"/>
      <c r="J200" s="6"/>
      <c r="K200" s="7" t="s">
        <v>8376</v>
      </c>
      <c r="L200" s="8">
        <v>24453</v>
      </c>
      <c r="M200" s="8" t="str">
        <f t="shared" si="20"/>
        <v>PEN</v>
      </c>
      <c r="N200" s="13"/>
      <c r="O200" s="13">
        <v>50</v>
      </c>
      <c r="P200" s="3">
        <f t="shared" si="16"/>
        <v>0</v>
      </c>
      <c r="Q200" s="3">
        <f t="shared" si="17"/>
        <v>50</v>
      </c>
      <c r="R200" s="3">
        <f t="shared" si="18"/>
        <v>477.75</v>
      </c>
      <c r="S200" s="24" t="s">
        <v>1334</v>
      </c>
      <c r="T200" s="24" t="s">
        <v>1334</v>
      </c>
      <c r="U200" s="3"/>
      <c r="V200" s="25" t="s">
        <v>8006</v>
      </c>
      <c r="W200" s="25"/>
      <c r="X200" s="25" t="str">
        <f>IFERROR(VLOOKUP(C_Ope_003[[#This Row],[nota_2]],Clientes_Proveedores[[Ruc / Dni]:[Razon Social]],2,0),"")</f>
        <v/>
      </c>
      <c r="Y200" s="25"/>
      <c r="Z200" s="103"/>
      <c r="AA200" s="3" t="str">
        <f>IF(C_Ope_003[[#This Row],[fecha]]&gt;0,TEXT(C_Ope_003[[#This Row],[fecha]],"mmmm"),0)</f>
        <v>Junio</v>
      </c>
      <c r="AB200" s="49"/>
    </row>
    <row r="201" spans="1:28" x14ac:dyDescent="0.3">
      <c r="A201" s="2">
        <f>IF(C_Ope_003[[#This Row],[tipo_r]]="R",COUNTIFS($C$1:$C200,"R")+1,"")</f>
        <v>200</v>
      </c>
      <c r="B201" s="19" t="str">
        <f t="shared" si="19"/>
        <v>C_Ope_003</v>
      </c>
      <c r="C201" s="3" t="s">
        <v>1330</v>
      </c>
      <c r="D201" s="14">
        <v>45812</v>
      </c>
      <c r="E201" s="5" t="s">
        <v>5595</v>
      </c>
      <c r="F201" s="5" t="s">
        <v>1336</v>
      </c>
      <c r="G201" s="6"/>
      <c r="H201" s="6" t="s">
        <v>126</v>
      </c>
      <c r="I201" s="6"/>
      <c r="J201" s="6"/>
      <c r="K201" s="7" t="s">
        <v>8377</v>
      </c>
      <c r="L201" s="8">
        <v>24454</v>
      </c>
      <c r="M201" s="8" t="str">
        <f t="shared" si="20"/>
        <v>PEN</v>
      </c>
      <c r="N201" s="13"/>
      <c r="O201" s="13">
        <v>15</v>
      </c>
      <c r="P201" s="3">
        <f t="shared" si="16"/>
        <v>0</v>
      </c>
      <c r="Q201" s="3">
        <f t="shared" si="17"/>
        <v>15</v>
      </c>
      <c r="R201" s="3">
        <f t="shared" si="18"/>
        <v>462.75</v>
      </c>
      <c r="S201" s="24" t="s">
        <v>1334</v>
      </c>
      <c r="T201" s="24" t="s">
        <v>1334</v>
      </c>
      <c r="U201" s="3"/>
      <c r="V201" s="25" t="s">
        <v>8006</v>
      </c>
      <c r="W201" s="25"/>
      <c r="X201" s="25" t="str">
        <f>IFERROR(VLOOKUP(C_Ope_003[[#This Row],[nota_2]],Clientes_Proveedores[[Ruc / Dni]:[Razon Social]],2,0),"")</f>
        <v/>
      </c>
      <c r="Y201" s="25"/>
      <c r="Z201" s="103"/>
      <c r="AA201" s="3" t="str">
        <f>IF(C_Ope_003[[#This Row],[fecha]]&gt;0,TEXT(C_Ope_003[[#This Row],[fecha]],"mmmm"),0)</f>
        <v>Junio</v>
      </c>
      <c r="AB201" s="49"/>
    </row>
    <row r="202" spans="1:28" ht="48" x14ac:dyDescent="0.3">
      <c r="A202" s="2">
        <f>IF(C_Ope_003[[#This Row],[tipo_r]]="R",COUNTIFS($C$1:$C201,"R")+1,"")</f>
        <v>201</v>
      </c>
      <c r="B202" s="19" t="str">
        <f t="shared" si="19"/>
        <v>C_Ope_003</v>
      </c>
      <c r="C202" s="3" t="s">
        <v>1330</v>
      </c>
      <c r="D202" s="14">
        <v>45813</v>
      </c>
      <c r="E202" s="5" t="s">
        <v>5595</v>
      </c>
      <c r="F202" s="5" t="s">
        <v>1336</v>
      </c>
      <c r="G202" s="6" t="s">
        <v>1130</v>
      </c>
      <c r="H202" s="6" t="s">
        <v>75</v>
      </c>
      <c r="I202" s="6">
        <v>3</v>
      </c>
      <c r="J202" s="6">
        <v>34526</v>
      </c>
      <c r="K202" s="7" t="s">
        <v>8378</v>
      </c>
      <c r="L202" s="8">
        <v>24457</v>
      </c>
      <c r="M202" s="8" t="str">
        <f t="shared" si="20"/>
        <v>PEN</v>
      </c>
      <c r="N202" s="13">
        <v>3</v>
      </c>
      <c r="O202" s="13">
        <v>12</v>
      </c>
      <c r="P202" s="3">
        <f t="shared" si="16"/>
        <v>0</v>
      </c>
      <c r="Q202" s="3">
        <f t="shared" si="17"/>
        <v>12</v>
      </c>
      <c r="R202" s="3">
        <f t="shared" si="18"/>
        <v>450.75</v>
      </c>
      <c r="S202" s="24" t="s">
        <v>1334</v>
      </c>
      <c r="T202" s="24" t="s">
        <v>1334</v>
      </c>
      <c r="U202" s="156" t="s">
        <v>8216</v>
      </c>
      <c r="V202" s="25" t="s">
        <v>8006</v>
      </c>
      <c r="W202" s="25">
        <v>10215629193</v>
      </c>
      <c r="X202" s="25" t="str">
        <f>IFERROR(VLOOKUP(C_Ope_003[[#This Row],[nota_2]],Clientes_Proveedores[[Ruc / Dni]:[Razon Social]],2,0),"")</f>
        <v>LAVADO OCHOA JAIME ANDRES</v>
      </c>
      <c r="Y202" s="25"/>
      <c r="Z202" s="103"/>
      <c r="AA202" s="3" t="str">
        <f>IF(C_Ope_003[[#This Row],[fecha]]&gt;0,TEXT(C_Ope_003[[#This Row],[fecha]],"mmmm"),0)</f>
        <v>Junio</v>
      </c>
      <c r="AB202" s="49"/>
    </row>
    <row r="203" spans="1:28" x14ac:dyDescent="0.3">
      <c r="A203" s="2">
        <f>IF(C_Ope_003[[#This Row],[tipo_r]]="R",COUNTIFS($C$1:$C202,"R")+1,"")</f>
        <v>202</v>
      </c>
      <c r="B203" s="19" t="str">
        <f t="shared" si="19"/>
        <v>C_Ope_003</v>
      </c>
      <c r="C203" s="3" t="s">
        <v>1330</v>
      </c>
      <c r="D203" s="14">
        <v>45813</v>
      </c>
      <c r="E203" s="5" t="s">
        <v>5595</v>
      </c>
      <c r="F203" s="5" t="s">
        <v>1336</v>
      </c>
      <c r="G203" s="6"/>
      <c r="H203" s="6" t="s">
        <v>75</v>
      </c>
      <c r="I203" s="6">
        <v>3</v>
      </c>
      <c r="J203" s="6">
        <v>34526</v>
      </c>
      <c r="K203" s="7" t="s">
        <v>8378</v>
      </c>
      <c r="L203" s="8">
        <v>24458</v>
      </c>
      <c r="M203" s="8" t="str">
        <f t="shared" si="20"/>
        <v>PEN</v>
      </c>
      <c r="N203" s="13"/>
      <c r="O203" s="13">
        <v>0</v>
      </c>
      <c r="P203" s="3">
        <f t="shared" si="16"/>
        <v>0</v>
      </c>
      <c r="Q203" s="3">
        <f t="shared" si="17"/>
        <v>0</v>
      </c>
      <c r="R203" s="3">
        <f t="shared" si="18"/>
        <v>450.75</v>
      </c>
      <c r="S203" s="24" t="s">
        <v>1334</v>
      </c>
      <c r="T203" s="24" t="s">
        <v>1334</v>
      </c>
      <c r="U203" s="3"/>
      <c r="V203" s="25" t="s">
        <v>8006</v>
      </c>
      <c r="W203" s="25"/>
      <c r="X203" s="25" t="str">
        <f>IFERROR(VLOOKUP(C_Ope_003[[#This Row],[nota_2]],Clientes_Proveedores[[Ruc / Dni]:[Razon Social]],2,0),"")</f>
        <v/>
      </c>
      <c r="Y203" s="25"/>
      <c r="Z203" s="103"/>
      <c r="AA203" s="3" t="str">
        <f>IF(C_Ope_003[[#This Row],[fecha]]&gt;0,TEXT(C_Ope_003[[#This Row],[fecha]],"mmmm"),0)</f>
        <v>Junio</v>
      </c>
      <c r="AB203" s="49"/>
    </row>
    <row r="204" spans="1:28" ht="24" x14ac:dyDescent="0.3">
      <c r="A204" s="2">
        <f>IF(C_Ope_003[[#This Row],[tipo_r]]="R",COUNTIFS($C$1:$C203,"R")+1,"")</f>
        <v>203</v>
      </c>
      <c r="B204" s="19" t="str">
        <f t="shared" si="19"/>
        <v>C_Ope_003</v>
      </c>
      <c r="C204" s="3" t="s">
        <v>1330</v>
      </c>
      <c r="D204" s="14">
        <v>45813</v>
      </c>
      <c r="E204" s="5" t="s">
        <v>5595</v>
      </c>
      <c r="F204" s="5" t="s">
        <v>1336</v>
      </c>
      <c r="G204" s="6" t="s">
        <v>1156</v>
      </c>
      <c r="H204" s="6" t="s">
        <v>75</v>
      </c>
      <c r="I204" s="6">
        <v>1</v>
      </c>
      <c r="J204" s="6">
        <v>731</v>
      </c>
      <c r="K204" s="7" t="s">
        <v>8379</v>
      </c>
      <c r="L204" s="8">
        <v>24459</v>
      </c>
      <c r="M204" s="8" t="str">
        <f t="shared" si="20"/>
        <v>PEN</v>
      </c>
      <c r="N204" s="13"/>
      <c r="O204" s="13">
        <v>15</v>
      </c>
      <c r="P204" s="3">
        <f t="shared" si="16"/>
        <v>0</v>
      </c>
      <c r="Q204" s="3">
        <f t="shared" si="17"/>
        <v>15</v>
      </c>
      <c r="R204" s="3">
        <f t="shared" si="18"/>
        <v>435.75</v>
      </c>
      <c r="S204" s="24" t="s">
        <v>1334</v>
      </c>
      <c r="T204" s="24" t="s">
        <v>1334</v>
      </c>
      <c r="U204" s="3"/>
      <c r="V204" s="25" t="s">
        <v>8006</v>
      </c>
      <c r="W204" s="25">
        <v>10435753120</v>
      </c>
      <c r="X204" s="25" t="str">
        <f>IFERROR(VLOOKUP(C_Ope_003[[#This Row],[nota_2]],Clientes_Proveedores[[Ruc / Dni]:[Razon Social]],2,0),"")</f>
        <v>DELGADO HUANCA NEILA</v>
      </c>
      <c r="Y204" s="25"/>
      <c r="Z204" s="103"/>
      <c r="AA204" s="3" t="str">
        <f>IF(C_Ope_003[[#This Row],[fecha]]&gt;0,TEXT(C_Ope_003[[#This Row],[fecha]],"mmmm"),0)</f>
        <v>Junio</v>
      </c>
      <c r="AB204" s="49"/>
    </row>
    <row r="205" spans="1:28" x14ac:dyDescent="0.3">
      <c r="A205" s="2">
        <f>IF(C_Ope_003[[#This Row],[tipo_r]]="R",COUNTIFS($C$1:$C204,"R")+1,"")</f>
        <v>204</v>
      </c>
      <c r="B205" s="19" t="str">
        <f t="shared" si="19"/>
        <v>C_Ope_003</v>
      </c>
      <c r="C205" s="3" t="s">
        <v>1330</v>
      </c>
      <c r="D205" s="14">
        <v>45813</v>
      </c>
      <c r="E205" s="5" t="s">
        <v>5595</v>
      </c>
      <c r="F205" s="5" t="s">
        <v>1336</v>
      </c>
      <c r="G205" s="6"/>
      <c r="H205" s="6" t="s">
        <v>126</v>
      </c>
      <c r="I205" s="6"/>
      <c r="J205" s="6"/>
      <c r="K205" s="7" t="s">
        <v>8380</v>
      </c>
      <c r="L205" s="8">
        <v>24460</v>
      </c>
      <c r="M205" s="8" t="str">
        <f t="shared" si="20"/>
        <v>PEN</v>
      </c>
      <c r="N205" s="13"/>
      <c r="O205" s="13">
        <v>12</v>
      </c>
      <c r="P205" s="3">
        <f t="shared" si="16"/>
        <v>0</v>
      </c>
      <c r="Q205" s="3">
        <f t="shared" si="17"/>
        <v>12</v>
      </c>
      <c r="R205" s="3">
        <f t="shared" si="18"/>
        <v>423.75</v>
      </c>
      <c r="S205" s="24" t="s">
        <v>1334</v>
      </c>
      <c r="T205" s="24" t="s">
        <v>1334</v>
      </c>
      <c r="U205" s="3"/>
      <c r="V205" s="25" t="s">
        <v>8006</v>
      </c>
      <c r="W205" s="25"/>
      <c r="X205" s="25" t="str">
        <f>IFERROR(VLOOKUP(C_Ope_003[[#This Row],[nota_2]],Clientes_Proveedores[[Ruc / Dni]:[Razon Social]],2,0),"")</f>
        <v/>
      </c>
      <c r="Y205" s="25"/>
      <c r="Z205" s="103"/>
      <c r="AA205" s="3" t="str">
        <f>IF(C_Ope_003[[#This Row],[fecha]]&gt;0,TEXT(C_Ope_003[[#This Row],[fecha]],"mmmm"),0)</f>
        <v>Junio</v>
      </c>
      <c r="AB205" s="49"/>
    </row>
    <row r="206" spans="1:28" x14ac:dyDescent="0.3">
      <c r="A206" s="2">
        <f>IF(C_Ope_003[[#This Row],[tipo_r]]="R",COUNTIFS($C$1:$C205,"R")+1,"")</f>
        <v>205</v>
      </c>
      <c r="B206" s="19" t="str">
        <f t="shared" si="19"/>
        <v>C_Ope_003</v>
      </c>
      <c r="C206" s="3" t="s">
        <v>1330</v>
      </c>
      <c r="D206" s="14">
        <v>45813</v>
      </c>
      <c r="E206" s="5" t="s">
        <v>5595</v>
      </c>
      <c r="F206" s="5" t="s">
        <v>1336</v>
      </c>
      <c r="G206" s="6" t="s">
        <v>1172</v>
      </c>
      <c r="H206" s="6" t="s">
        <v>68</v>
      </c>
      <c r="I206" s="6" t="s">
        <v>1376</v>
      </c>
      <c r="J206" s="6">
        <v>171</v>
      </c>
      <c r="K206" s="7" t="s">
        <v>8221</v>
      </c>
      <c r="L206" s="8">
        <v>24461</v>
      </c>
      <c r="M206" s="8" t="str">
        <f t="shared" si="20"/>
        <v>PEN</v>
      </c>
      <c r="N206" s="13">
        <v>20</v>
      </c>
      <c r="O206" s="13">
        <v>50</v>
      </c>
      <c r="P206" s="3">
        <f t="shared" si="16"/>
        <v>0</v>
      </c>
      <c r="Q206" s="3">
        <f t="shared" si="17"/>
        <v>50</v>
      </c>
      <c r="R206" s="3">
        <f t="shared" si="18"/>
        <v>373.75</v>
      </c>
      <c r="S206" s="24" t="s">
        <v>1334</v>
      </c>
      <c r="T206" s="24" t="s">
        <v>1334</v>
      </c>
      <c r="U206" s="3"/>
      <c r="V206" s="25" t="s">
        <v>8006</v>
      </c>
      <c r="W206" s="25">
        <v>20611670151</v>
      </c>
      <c r="X206" s="25" t="str">
        <f>IFERROR(VLOOKUP(C_Ope_003[[#This Row],[nota_2]],Clientes_Proveedores[[Ruc / Dni]:[Razon Social]],2,0),"")</f>
        <v>C &amp; D PADMOT E.I.R.L.</v>
      </c>
      <c r="Y206" s="25"/>
      <c r="Z206" s="103"/>
      <c r="AA206" s="3" t="str">
        <f>IF(C_Ope_003[[#This Row],[fecha]]&gt;0,TEXT(C_Ope_003[[#This Row],[fecha]],"mmmm"),0)</f>
        <v>Junio</v>
      </c>
      <c r="AB206" s="49"/>
    </row>
    <row r="207" spans="1:28" x14ac:dyDescent="0.3">
      <c r="A207" s="2">
        <f>IF(C_Ope_003[[#This Row],[tipo_r]]="R",COUNTIFS($C$1:$C206,"R")+1,"")</f>
        <v>206</v>
      </c>
      <c r="B207" s="19" t="str">
        <f t="shared" si="19"/>
        <v>C_Ope_003</v>
      </c>
      <c r="C207" s="3" t="s">
        <v>1330</v>
      </c>
      <c r="D207" s="14">
        <v>45813</v>
      </c>
      <c r="E207" s="5" t="s">
        <v>5595</v>
      </c>
      <c r="F207" s="5" t="s">
        <v>1336</v>
      </c>
      <c r="G207" s="6" t="s">
        <v>1172</v>
      </c>
      <c r="H207" s="6" t="s">
        <v>68</v>
      </c>
      <c r="I207" s="6" t="s">
        <v>1376</v>
      </c>
      <c r="J207" s="6">
        <v>171</v>
      </c>
      <c r="K207" s="7" t="s">
        <v>8220</v>
      </c>
      <c r="L207" s="8">
        <v>24462</v>
      </c>
      <c r="M207" s="8" t="str">
        <f t="shared" si="20"/>
        <v>PEN</v>
      </c>
      <c r="N207" s="13">
        <v>50</v>
      </c>
      <c r="O207" s="13">
        <v>20</v>
      </c>
      <c r="P207" s="3">
        <f t="shared" si="16"/>
        <v>0</v>
      </c>
      <c r="Q207" s="3">
        <f t="shared" si="17"/>
        <v>20</v>
      </c>
      <c r="R207" s="3">
        <f t="shared" si="18"/>
        <v>353.75</v>
      </c>
      <c r="S207" s="24" t="s">
        <v>1334</v>
      </c>
      <c r="T207" s="24" t="s">
        <v>1334</v>
      </c>
      <c r="U207" s="3"/>
      <c r="V207" s="25" t="s">
        <v>8006</v>
      </c>
      <c r="W207" s="25">
        <v>20611670151</v>
      </c>
      <c r="X207" s="25" t="str">
        <f>IFERROR(VLOOKUP(C_Ope_003[[#This Row],[nota_2]],Clientes_Proveedores[[Ruc / Dni]:[Razon Social]],2,0),"")</f>
        <v>C &amp; D PADMOT E.I.R.L.</v>
      </c>
      <c r="Y207" s="25"/>
      <c r="Z207" s="103"/>
      <c r="AA207" s="3" t="str">
        <f>IF(C_Ope_003[[#This Row],[fecha]]&gt;0,TEXT(C_Ope_003[[#This Row],[fecha]],"mmmm"),0)</f>
        <v>Junio</v>
      </c>
      <c r="AB207" s="49"/>
    </row>
    <row r="208" spans="1:28" x14ac:dyDescent="0.3">
      <c r="A208" s="2">
        <f>IF(C_Ope_003[[#This Row],[tipo_r]]="R",COUNTIFS($C$1:$C207,"R")+1,"")</f>
        <v>207</v>
      </c>
      <c r="B208" s="19" t="str">
        <f t="shared" si="19"/>
        <v>C_Ope_003</v>
      </c>
      <c r="C208" s="3" t="s">
        <v>1330</v>
      </c>
      <c r="D208" s="14">
        <v>45814</v>
      </c>
      <c r="E208" s="5" t="s">
        <v>5595</v>
      </c>
      <c r="F208" s="5" t="s">
        <v>1336</v>
      </c>
      <c r="G208" s="6"/>
      <c r="H208" s="6" t="s">
        <v>126</v>
      </c>
      <c r="I208" s="6"/>
      <c r="J208" s="6"/>
      <c r="K208" s="7" t="s">
        <v>8381</v>
      </c>
      <c r="L208" s="8">
        <v>24473</v>
      </c>
      <c r="M208" s="8" t="str">
        <f t="shared" si="20"/>
        <v>PEN</v>
      </c>
      <c r="N208" s="13"/>
      <c r="O208" s="13">
        <v>12</v>
      </c>
      <c r="P208" s="3">
        <f t="shared" si="16"/>
        <v>0</v>
      </c>
      <c r="Q208" s="3">
        <f t="shared" si="17"/>
        <v>12</v>
      </c>
      <c r="R208" s="3">
        <f t="shared" si="18"/>
        <v>341.75</v>
      </c>
      <c r="S208" s="24" t="s">
        <v>1334</v>
      </c>
      <c r="T208" s="24" t="s">
        <v>1334</v>
      </c>
      <c r="U208" s="3"/>
      <c r="V208" s="25" t="s">
        <v>8006</v>
      </c>
      <c r="W208" s="25"/>
      <c r="X208" s="25" t="str">
        <f>IFERROR(VLOOKUP(C_Ope_003[[#This Row],[nota_2]],Clientes_Proveedores[[Ruc / Dni]:[Razon Social]],2,0),"")</f>
        <v/>
      </c>
      <c r="Y208" s="25"/>
      <c r="Z208" s="103"/>
      <c r="AA208" s="3" t="str">
        <f>IF(C_Ope_003[[#This Row],[fecha]]&gt;0,TEXT(C_Ope_003[[#This Row],[fecha]],"mmmm"),0)</f>
        <v>Junio</v>
      </c>
      <c r="AB208" s="49"/>
    </row>
    <row r="209" spans="1:28" ht="24" x14ac:dyDescent="0.3">
      <c r="A209" s="2">
        <f>IF(C_Ope_003[[#This Row],[tipo_r]]="R",COUNTIFS($C$1:$C208,"R")+1,"")</f>
        <v>208</v>
      </c>
      <c r="B209" s="19" t="str">
        <f t="shared" si="19"/>
        <v>C_Ope_003</v>
      </c>
      <c r="C209" s="3" t="s">
        <v>1330</v>
      </c>
      <c r="D209" s="14">
        <v>45814</v>
      </c>
      <c r="E209" s="5" t="s">
        <v>5595</v>
      </c>
      <c r="F209" s="5" t="s">
        <v>1336</v>
      </c>
      <c r="G209" s="6" t="s">
        <v>1156</v>
      </c>
      <c r="H209" s="6" t="s">
        <v>75</v>
      </c>
      <c r="I209" s="6">
        <v>1</v>
      </c>
      <c r="J209" s="6">
        <v>735</v>
      </c>
      <c r="K209" s="7" t="s">
        <v>8379</v>
      </c>
      <c r="L209" s="8">
        <v>24474</v>
      </c>
      <c r="M209" s="8" t="str">
        <f t="shared" si="20"/>
        <v>PEN</v>
      </c>
      <c r="N209" s="13">
        <v>15</v>
      </c>
      <c r="O209" s="13">
        <v>15</v>
      </c>
      <c r="P209" s="3">
        <f t="shared" si="16"/>
        <v>0</v>
      </c>
      <c r="Q209" s="3">
        <f t="shared" si="17"/>
        <v>15</v>
      </c>
      <c r="R209" s="3">
        <f t="shared" si="18"/>
        <v>326.75</v>
      </c>
      <c r="S209" s="24" t="s">
        <v>1334</v>
      </c>
      <c r="T209" s="24" t="s">
        <v>1334</v>
      </c>
      <c r="U209" s="3"/>
      <c r="V209" s="25" t="s">
        <v>8006</v>
      </c>
      <c r="W209" s="25">
        <v>10435753120</v>
      </c>
      <c r="X209" s="25" t="str">
        <f>IFERROR(VLOOKUP(C_Ope_003[[#This Row],[nota_2]],Clientes_Proveedores[[Ruc / Dni]:[Razon Social]],2,0),"")</f>
        <v>DELGADO HUANCA NEILA</v>
      </c>
      <c r="Y209" s="25"/>
      <c r="Z209" s="103"/>
      <c r="AA209" s="3" t="str">
        <f>IF(C_Ope_003[[#This Row],[fecha]]&gt;0,TEXT(C_Ope_003[[#This Row],[fecha]],"mmmm"),0)</f>
        <v>Junio</v>
      </c>
      <c r="AB209" s="49"/>
    </row>
    <row r="210" spans="1:28" x14ac:dyDescent="0.3">
      <c r="A210" s="2">
        <f>IF(C_Ope_003[[#This Row],[tipo_r]]="R",COUNTIFS($C$1:$C209,"R")+1,"")</f>
        <v>209</v>
      </c>
      <c r="B210" s="19" t="str">
        <f t="shared" si="19"/>
        <v>C_Ope_003</v>
      </c>
      <c r="C210" s="3" t="s">
        <v>1330</v>
      </c>
      <c r="D210" s="14">
        <v>45814</v>
      </c>
      <c r="E210" s="5" t="s">
        <v>5595</v>
      </c>
      <c r="F210" s="5" t="s">
        <v>1336</v>
      </c>
      <c r="G210" s="6"/>
      <c r="H210" s="6" t="s">
        <v>126</v>
      </c>
      <c r="I210" s="6"/>
      <c r="J210" s="6"/>
      <c r="K210" s="7" t="s">
        <v>8382</v>
      </c>
      <c r="L210" s="8">
        <v>24475</v>
      </c>
      <c r="M210" s="8" t="str">
        <f t="shared" si="20"/>
        <v>PEN</v>
      </c>
      <c r="N210" s="13"/>
      <c r="O210" s="13">
        <v>10</v>
      </c>
      <c r="P210" s="3">
        <f t="shared" si="16"/>
        <v>0</v>
      </c>
      <c r="Q210" s="3">
        <f t="shared" si="17"/>
        <v>10</v>
      </c>
      <c r="R210" s="3">
        <f t="shared" si="18"/>
        <v>316.75</v>
      </c>
      <c r="S210" s="24" t="s">
        <v>1334</v>
      </c>
      <c r="T210" s="24" t="s">
        <v>1334</v>
      </c>
      <c r="U210" s="3"/>
      <c r="V210" s="25" t="s">
        <v>8006</v>
      </c>
      <c r="W210" s="25"/>
      <c r="X210" s="25" t="str">
        <f>IFERROR(VLOOKUP(C_Ope_003[[#This Row],[nota_2]],Clientes_Proveedores[[Ruc / Dni]:[Razon Social]],2,0),"")</f>
        <v/>
      </c>
      <c r="Y210" s="25"/>
      <c r="Z210" s="103"/>
      <c r="AA210" s="3" t="str">
        <f>IF(C_Ope_003[[#This Row],[fecha]]&gt;0,TEXT(C_Ope_003[[#This Row],[fecha]],"mmmm"),0)</f>
        <v>Junio</v>
      </c>
      <c r="AB210" s="49"/>
    </row>
    <row r="211" spans="1:28" x14ac:dyDescent="0.3">
      <c r="A211" s="2">
        <f>IF(C_Ope_003[[#This Row],[tipo_r]]="R",COUNTIFS($C$1:$C210,"R")+1,"")</f>
        <v>210</v>
      </c>
      <c r="B211" s="19" t="str">
        <f t="shared" si="19"/>
        <v>C_Ope_003</v>
      </c>
      <c r="C211" s="3" t="s">
        <v>1330</v>
      </c>
      <c r="D211" s="14">
        <v>45815</v>
      </c>
      <c r="E211" s="5" t="s">
        <v>5595</v>
      </c>
      <c r="F211" s="5" t="s">
        <v>1336</v>
      </c>
      <c r="G211" s="6"/>
      <c r="H211" s="6" t="s">
        <v>126</v>
      </c>
      <c r="I211" s="6"/>
      <c r="J211" s="6"/>
      <c r="K211" s="7" t="s">
        <v>8336</v>
      </c>
      <c r="L211" s="8">
        <v>24477</v>
      </c>
      <c r="M211" s="8" t="str">
        <f t="shared" si="20"/>
        <v>PEN</v>
      </c>
      <c r="N211" s="13"/>
      <c r="O211" s="13">
        <v>8</v>
      </c>
      <c r="P211" s="3">
        <f t="shared" si="16"/>
        <v>0</v>
      </c>
      <c r="Q211" s="3">
        <f t="shared" si="17"/>
        <v>8</v>
      </c>
      <c r="R211" s="3">
        <f t="shared" si="18"/>
        <v>308.75</v>
      </c>
      <c r="S211" s="24" t="s">
        <v>1334</v>
      </c>
      <c r="T211" s="24" t="s">
        <v>1334</v>
      </c>
      <c r="U211" s="3"/>
      <c r="V211" s="25" t="s">
        <v>8006</v>
      </c>
      <c r="W211" s="25"/>
      <c r="X211" s="25" t="str">
        <f>IFERROR(VLOOKUP(C_Ope_003[[#This Row],[nota_2]],Clientes_Proveedores[[Ruc / Dni]:[Razon Social]],2,0),"")</f>
        <v/>
      </c>
      <c r="Y211" s="25"/>
      <c r="Z211" s="103"/>
      <c r="AA211" s="3" t="str">
        <f>IF(C_Ope_003[[#This Row],[fecha]]&gt;0,TEXT(C_Ope_003[[#This Row],[fecha]],"mmmm"),0)</f>
        <v>Junio</v>
      </c>
      <c r="AB211" s="49"/>
    </row>
    <row r="212" spans="1:28" x14ac:dyDescent="0.3">
      <c r="A212" s="2">
        <f>IF(C_Ope_003[[#This Row],[tipo_r]]="R",COUNTIFS($C$1:$C211,"R")+1,"")</f>
        <v>211</v>
      </c>
      <c r="B212" s="19" t="str">
        <f t="shared" si="19"/>
        <v>C_Ope_003</v>
      </c>
      <c r="C212" s="3" t="s">
        <v>1330</v>
      </c>
      <c r="D212" s="14">
        <v>45815</v>
      </c>
      <c r="E212" s="5" t="s">
        <v>5595</v>
      </c>
      <c r="F212" s="5" t="s">
        <v>1336</v>
      </c>
      <c r="G212" s="6"/>
      <c r="H212" s="6" t="s">
        <v>126</v>
      </c>
      <c r="I212" s="6"/>
      <c r="J212" s="6"/>
      <c r="K212" s="7" t="s">
        <v>8383</v>
      </c>
      <c r="L212" s="8">
        <v>24478</v>
      </c>
      <c r="M212" s="8" t="str">
        <f t="shared" si="20"/>
        <v>PEN</v>
      </c>
      <c r="N212" s="13"/>
      <c r="O212" s="13">
        <v>12</v>
      </c>
      <c r="P212" s="3">
        <f t="shared" si="16"/>
        <v>0</v>
      </c>
      <c r="Q212" s="3">
        <f t="shared" si="17"/>
        <v>12</v>
      </c>
      <c r="R212" s="3">
        <f t="shared" si="18"/>
        <v>296.75</v>
      </c>
      <c r="S212" s="24" t="s">
        <v>1334</v>
      </c>
      <c r="T212" s="24" t="s">
        <v>1334</v>
      </c>
      <c r="U212" s="3"/>
      <c r="V212" s="25" t="s">
        <v>8006</v>
      </c>
      <c r="W212" s="25"/>
      <c r="X212" s="25" t="str">
        <f>IFERROR(VLOOKUP(C_Ope_003[[#This Row],[nota_2]],Clientes_Proveedores[[Ruc / Dni]:[Razon Social]],2,0),"")</f>
        <v/>
      </c>
      <c r="Y212" s="25"/>
      <c r="Z212" s="103"/>
      <c r="AA212" s="3" t="str">
        <f>IF(C_Ope_003[[#This Row],[fecha]]&gt;0,TEXT(C_Ope_003[[#This Row],[fecha]],"mmmm"),0)</f>
        <v>Junio</v>
      </c>
      <c r="AB212" s="49"/>
    </row>
    <row r="213" spans="1:28" x14ac:dyDescent="0.3">
      <c r="A213" s="2">
        <f>IF(C_Ope_003[[#This Row],[tipo_r]]="R",COUNTIFS($C$1:$C212,"R")+1,"")</f>
        <v>212</v>
      </c>
      <c r="B213" s="19" t="str">
        <f t="shared" si="19"/>
        <v>C_Ope_003</v>
      </c>
      <c r="C213" s="3" t="s">
        <v>1330</v>
      </c>
      <c r="D213" s="14">
        <v>45815</v>
      </c>
      <c r="E213" s="5" t="s">
        <v>5595</v>
      </c>
      <c r="F213" s="5" t="s">
        <v>1336</v>
      </c>
      <c r="G213" s="6"/>
      <c r="H213" s="6" t="s">
        <v>126</v>
      </c>
      <c r="I213" s="6"/>
      <c r="J213" s="6"/>
      <c r="K213" s="7" t="s">
        <v>8330</v>
      </c>
      <c r="L213" s="8">
        <v>24479</v>
      </c>
      <c r="M213" s="8" t="str">
        <f t="shared" si="20"/>
        <v>PEN</v>
      </c>
      <c r="N213" s="13"/>
      <c r="O213" s="13">
        <v>12</v>
      </c>
      <c r="P213" s="3">
        <f t="shared" si="16"/>
        <v>0</v>
      </c>
      <c r="Q213" s="3">
        <f t="shared" si="17"/>
        <v>12</v>
      </c>
      <c r="R213" s="3">
        <f t="shared" si="18"/>
        <v>284.75</v>
      </c>
      <c r="S213" s="24" t="s">
        <v>1334</v>
      </c>
      <c r="T213" s="24" t="s">
        <v>1334</v>
      </c>
      <c r="U213" s="3"/>
      <c r="V213" s="25" t="s">
        <v>8006</v>
      </c>
      <c r="W213" s="25"/>
      <c r="X213" s="25" t="str">
        <f>IFERROR(VLOOKUP(C_Ope_003[[#This Row],[nota_2]],Clientes_Proveedores[[Ruc / Dni]:[Razon Social]],2,0),"")</f>
        <v/>
      </c>
      <c r="Y213" s="25"/>
      <c r="Z213" s="103"/>
      <c r="AA213" s="3" t="str">
        <f>IF(C_Ope_003[[#This Row],[fecha]]&gt;0,TEXT(C_Ope_003[[#This Row],[fecha]],"mmmm"),0)</f>
        <v>Junio</v>
      </c>
      <c r="AB213" s="49"/>
    </row>
    <row r="214" spans="1:28" x14ac:dyDescent="0.3">
      <c r="A214" s="2">
        <f>IF(C_Ope_003[[#This Row],[tipo_r]]="R",COUNTIFS($C$1:$C213,"R")+1,"")</f>
        <v>213</v>
      </c>
      <c r="B214" s="19" t="str">
        <f t="shared" si="19"/>
        <v>C_Ope_003</v>
      </c>
      <c r="C214" s="3" t="s">
        <v>1330</v>
      </c>
      <c r="D214" s="14">
        <v>45815</v>
      </c>
      <c r="E214" s="5" t="s">
        <v>5595</v>
      </c>
      <c r="F214" s="5" t="s">
        <v>1336</v>
      </c>
      <c r="G214" s="6"/>
      <c r="H214" s="6" t="s">
        <v>126</v>
      </c>
      <c r="I214" s="6"/>
      <c r="J214" s="6"/>
      <c r="K214" s="7" t="s">
        <v>8249</v>
      </c>
      <c r="L214" s="8">
        <v>24482</v>
      </c>
      <c r="M214" s="8" t="str">
        <f t="shared" si="20"/>
        <v>PEN</v>
      </c>
      <c r="N214" s="13"/>
      <c r="O214" s="13">
        <v>36</v>
      </c>
      <c r="P214" s="3">
        <f t="shared" si="16"/>
        <v>0</v>
      </c>
      <c r="Q214" s="3">
        <f t="shared" si="17"/>
        <v>36</v>
      </c>
      <c r="R214" s="3">
        <f t="shared" si="18"/>
        <v>248.75</v>
      </c>
      <c r="S214" s="24" t="s">
        <v>1334</v>
      </c>
      <c r="T214" s="24" t="s">
        <v>1334</v>
      </c>
      <c r="U214" s="3"/>
      <c r="V214" s="25" t="s">
        <v>8006</v>
      </c>
      <c r="W214" s="25"/>
      <c r="X214" s="25" t="str">
        <f>IFERROR(VLOOKUP(C_Ope_003[[#This Row],[nota_2]],Clientes_Proveedores[[Ruc / Dni]:[Razon Social]],2,0),"")</f>
        <v/>
      </c>
      <c r="Y214" s="25"/>
      <c r="Z214" s="103"/>
      <c r="AA214" s="3" t="str">
        <f>IF(C_Ope_003[[#This Row],[fecha]]&gt;0,TEXT(C_Ope_003[[#This Row],[fecha]],"mmmm"),0)</f>
        <v>Junio</v>
      </c>
      <c r="AB214" s="49"/>
    </row>
    <row r="215" spans="1:28" x14ac:dyDescent="0.3">
      <c r="A215" s="2">
        <f>IF(C_Ope_003[[#This Row],[tipo_r]]="R",COUNTIFS($C$1:$C214,"R")+1,"")</f>
        <v>214</v>
      </c>
      <c r="B215" s="19" t="str">
        <f t="shared" si="19"/>
        <v>C_Ope_003</v>
      </c>
      <c r="C215" s="3" t="s">
        <v>1330</v>
      </c>
      <c r="D215" s="14">
        <v>45816</v>
      </c>
      <c r="E215" s="5" t="s">
        <v>5595</v>
      </c>
      <c r="F215" s="5" t="s">
        <v>1336</v>
      </c>
      <c r="G215" s="6"/>
      <c r="H215" s="6" t="s">
        <v>126</v>
      </c>
      <c r="I215" s="6"/>
      <c r="J215" s="6"/>
      <c r="K215" s="7" t="s">
        <v>8384</v>
      </c>
      <c r="L215" s="8">
        <v>24484</v>
      </c>
      <c r="M215" s="8" t="str">
        <f t="shared" si="20"/>
        <v>PEN</v>
      </c>
      <c r="N215" s="13"/>
      <c r="O215" s="13">
        <v>50</v>
      </c>
      <c r="P215" s="3">
        <f t="shared" si="16"/>
        <v>0</v>
      </c>
      <c r="Q215" s="3">
        <f t="shared" si="17"/>
        <v>50</v>
      </c>
      <c r="R215" s="3">
        <f t="shared" si="18"/>
        <v>198.75</v>
      </c>
      <c r="S215" s="24" t="s">
        <v>1334</v>
      </c>
      <c r="T215" s="24" t="s">
        <v>1334</v>
      </c>
      <c r="U215" s="3"/>
      <c r="V215" s="25" t="s">
        <v>8006</v>
      </c>
      <c r="W215" s="25"/>
      <c r="X215" s="25" t="str">
        <f>IFERROR(VLOOKUP(C_Ope_003[[#This Row],[nota_2]],Clientes_Proveedores[[Ruc / Dni]:[Razon Social]],2,0),"")</f>
        <v/>
      </c>
      <c r="Y215" s="25"/>
      <c r="Z215" s="103"/>
      <c r="AA215" s="3" t="str">
        <f>IF(C_Ope_003[[#This Row],[fecha]]&gt;0,TEXT(C_Ope_003[[#This Row],[fecha]],"mmmm"),0)</f>
        <v>Junio</v>
      </c>
      <c r="AB215" s="49"/>
    </row>
    <row r="216" spans="1:28" x14ac:dyDescent="0.3">
      <c r="A216" s="2">
        <f>IF(C_Ope_003[[#This Row],[tipo_r]]="R",COUNTIFS($C$1:$C215,"R")+1,"")</f>
        <v>215</v>
      </c>
      <c r="B216" s="19" t="str">
        <f t="shared" si="19"/>
        <v>C_Ope_003</v>
      </c>
      <c r="C216" s="3" t="s">
        <v>1330</v>
      </c>
      <c r="D216" s="14">
        <v>45816</v>
      </c>
      <c r="E216" s="5" t="s">
        <v>5595</v>
      </c>
      <c r="F216" s="5" t="s">
        <v>1336</v>
      </c>
      <c r="G216" s="6"/>
      <c r="H216" s="6" t="s">
        <v>126</v>
      </c>
      <c r="I216" s="6"/>
      <c r="J216" s="6"/>
      <c r="K216" s="7" t="s">
        <v>8385</v>
      </c>
      <c r="L216" s="8">
        <v>24485</v>
      </c>
      <c r="M216" s="8" t="str">
        <f t="shared" si="20"/>
        <v>PEN</v>
      </c>
      <c r="N216" s="13"/>
      <c r="O216" s="13">
        <v>15</v>
      </c>
      <c r="P216" s="3">
        <f t="shared" si="16"/>
        <v>0</v>
      </c>
      <c r="Q216" s="3">
        <f t="shared" si="17"/>
        <v>15</v>
      </c>
      <c r="R216" s="3">
        <f t="shared" si="18"/>
        <v>183.75</v>
      </c>
      <c r="S216" s="24" t="s">
        <v>1334</v>
      </c>
      <c r="T216" s="24" t="s">
        <v>1334</v>
      </c>
      <c r="U216" s="3"/>
      <c r="V216" s="25" t="s">
        <v>8006</v>
      </c>
      <c r="W216" s="25"/>
      <c r="X216" s="25" t="str">
        <f>IFERROR(VLOOKUP(C_Ope_003[[#This Row],[nota_2]],Clientes_Proveedores[[Ruc / Dni]:[Razon Social]],2,0),"")</f>
        <v/>
      </c>
      <c r="Y216" s="25"/>
      <c r="Z216" s="103"/>
      <c r="AA216" s="3" t="str">
        <f>IF(C_Ope_003[[#This Row],[fecha]]&gt;0,TEXT(C_Ope_003[[#This Row],[fecha]],"mmmm"),0)</f>
        <v>Junio</v>
      </c>
      <c r="AB216" s="49"/>
    </row>
    <row r="217" spans="1:28" x14ac:dyDescent="0.3">
      <c r="A217" s="2">
        <f>IF(C_Ope_003[[#This Row],[tipo_r]]="R",COUNTIFS($C$1:$C216,"R")+1,"")</f>
        <v>216</v>
      </c>
      <c r="B217" s="19" t="str">
        <f t="shared" si="19"/>
        <v>C_Ope_003</v>
      </c>
      <c r="C217" s="3" t="s">
        <v>1330</v>
      </c>
      <c r="D217" s="14">
        <v>45816</v>
      </c>
      <c r="E217" s="5" t="s">
        <v>5595</v>
      </c>
      <c r="F217" s="5" t="s">
        <v>1336</v>
      </c>
      <c r="G217" s="6"/>
      <c r="H217" s="6" t="s">
        <v>126</v>
      </c>
      <c r="I217" s="6"/>
      <c r="J217" s="6"/>
      <c r="K217" s="7" t="s">
        <v>8378</v>
      </c>
      <c r="L217" s="8">
        <v>24486</v>
      </c>
      <c r="M217" s="8" t="str">
        <f t="shared" si="20"/>
        <v>PEN</v>
      </c>
      <c r="N217" s="13"/>
      <c r="O217" s="13">
        <v>12</v>
      </c>
      <c r="P217" s="3">
        <f t="shared" si="16"/>
        <v>0</v>
      </c>
      <c r="Q217" s="3">
        <f t="shared" si="17"/>
        <v>12</v>
      </c>
      <c r="R217" s="3">
        <f t="shared" si="18"/>
        <v>171.75</v>
      </c>
      <c r="S217" s="24" t="s">
        <v>1334</v>
      </c>
      <c r="T217" s="24" t="s">
        <v>1334</v>
      </c>
      <c r="U217" s="3"/>
      <c r="V217" s="25" t="s">
        <v>8006</v>
      </c>
      <c r="W217" s="25"/>
      <c r="X217" s="25" t="str">
        <f>IFERROR(VLOOKUP(C_Ope_003[[#This Row],[nota_2]],Clientes_Proveedores[[Ruc / Dni]:[Razon Social]],2,0),"")</f>
        <v/>
      </c>
      <c r="Y217" s="25"/>
      <c r="Z217" s="103"/>
      <c r="AA217" s="3" t="str">
        <f>IF(C_Ope_003[[#This Row],[fecha]]&gt;0,TEXT(C_Ope_003[[#This Row],[fecha]],"mmmm"),0)</f>
        <v>Junio</v>
      </c>
      <c r="AB217" s="49"/>
    </row>
    <row r="218" spans="1:28" x14ac:dyDescent="0.3">
      <c r="A218" s="2">
        <f>IF(C_Ope_003[[#This Row],[tipo_r]]="R",COUNTIFS($C$1:$C217,"R")+1,"")</f>
        <v>217</v>
      </c>
      <c r="B218" s="19" t="str">
        <f t="shared" si="19"/>
        <v>C_Ope_003</v>
      </c>
      <c r="C218" s="3" t="s">
        <v>1330</v>
      </c>
      <c r="D218" s="14">
        <v>45816</v>
      </c>
      <c r="E218" s="5" t="s">
        <v>5595</v>
      </c>
      <c r="F218" s="5" t="s">
        <v>1336</v>
      </c>
      <c r="G218" s="6"/>
      <c r="H218" s="6" t="s">
        <v>126</v>
      </c>
      <c r="I218" s="6"/>
      <c r="J218" s="6"/>
      <c r="K218" s="7" t="s">
        <v>8386</v>
      </c>
      <c r="L218" s="8">
        <v>24487</v>
      </c>
      <c r="M218" s="8" t="str">
        <f t="shared" si="20"/>
        <v>PEN</v>
      </c>
      <c r="N218" s="13"/>
      <c r="O218" s="13">
        <v>15</v>
      </c>
      <c r="P218" s="3">
        <f t="shared" si="16"/>
        <v>0</v>
      </c>
      <c r="Q218" s="3">
        <f t="shared" si="17"/>
        <v>15</v>
      </c>
      <c r="R218" s="3">
        <f t="shared" si="18"/>
        <v>156.75</v>
      </c>
      <c r="S218" s="24" t="s">
        <v>1334</v>
      </c>
      <c r="T218" s="24" t="s">
        <v>1334</v>
      </c>
      <c r="U218" s="3"/>
      <c r="V218" s="25" t="s">
        <v>8006</v>
      </c>
      <c r="W218" s="25"/>
      <c r="X218" s="25" t="str">
        <f>IFERROR(VLOOKUP(C_Ope_003[[#This Row],[nota_2]],Clientes_Proveedores[[Ruc / Dni]:[Razon Social]],2,0),"")</f>
        <v/>
      </c>
      <c r="Y218" s="25"/>
      <c r="Z218" s="103"/>
      <c r="AA218" s="3" t="str">
        <f>IF(C_Ope_003[[#This Row],[fecha]]&gt;0,TEXT(C_Ope_003[[#This Row],[fecha]],"mmmm"),0)</f>
        <v>Junio</v>
      </c>
      <c r="AB218" s="49"/>
    </row>
    <row r="219" spans="1:28" x14ac:dyDescent="0.3">
      <c r="A219" s="2">
        <f>IF(C_Ope_003[[#This Row],[tipo_r]]="R",COUNTIFS($C$1:$C218,"R")+1,"")</f>
        <v>218</v>
      </c>
      <c r="B219" s="19" t="str">
        <f t="shared" si="19"/>
        <v>C_Ope_003</v>
      </c>
      <c r="C219" s="3" t="s">
        <v>1330</v>
      </c>
      <c r="D219" s="14">
        <v>45816</v>
      </c>
      <c r="E219" s="5" t="s">
        <v>5595</v>
      </c>
      <c r="F219" s="5" t="s">
        <v>1336</v>
      </c>
      <c r="G219" s="6"/>
      <c r="H219" s="6" t="s">
        <v>126</v>
      </c>
      <c r="I219" s="6"/>
      <c r="J219" s="6"/>
      <c r="K219" s="7" t="s">
        <v>8387</v>
      </c>
      <c r="L219" s="8">
        <v>24488</v>
      </c>
      <c r="M219" s="8" t="str">
        <f t="shared" si="20"/>
        <v>PEN</v>
      </c>
      <c r="N219" s="13"/>
      <c r="O219" s="13">
        <v>12</v>
      </c>
      <c r="P219" s="3">
        <f t="shared" si="16"/>
        <v>0</v>
      </c>
      <c r="Q219" s="3">
        <f t="shared" si="17"/>
        <v>12</v>
      </c>
      <c r="R219" s="3">
        <f t="shared" si="18"/>
        <v>144.75</v>
      </c>
      <c r="S219" s="24" t="s">
        <v>1334</v>
      </c>
      <c r="T219" s="24" t="s">
        <v>1334</v>
      </c>
      <c r="U219" s="3"/>
      <c r="V219" s="25" t="s">
        <v>8006</v>
      </c>
      <c r="W219" s="25"/>
      <c r="X219" s="25" t="str">
        <f>IFERROR(VLOOKUP(C_Ope_003[[#This Row],[nota_2]],Clientes_Proveedores[[Ruc / Dni]:[Razon Social]],2,0),"")</f>
        <v/>
      </c>
      <c r="Y219" s="25"/>
      <c r="Z219" s="103"/>
      <c r="AA219" s="3" t="str">
        <f>IF(C_Ope_003[[#This Row],[fecha]]&gt;0,TEXT(C_Ope_003[[#This Row],[fecha]],"mmmm"),0)</f>
        <v>Junio</v>
      </c>
      <c r="AB219" s="49"/>
    </row>
    <row r="220" spans="1:28" x14ac:dyDescent="0.3">
      <c r="A220" s="2">
        <f>IF(C_Ope_003[[#This Row],[tipo_r]]="R",COUNTIFS($C$1:$C219,"R")+1,"")</f>
        <v>219</v>
      </c>
      <c r="B220" s="19" t="str">
        <f t="shared" si="19"/>
        <v>C_Ope_003</v>
      </c>
      <c r="C220" s="3" t="s">
        <v>1330</v>
      </c>
      <c r="D220" s="14">
        <v>45817</v>
      </c>
      <c r="E220" s="5" t="s">
        <v>7514</v>
      </c>
      <c r="F220" s="5" t="s">
        <v>1303</v>
      </c>
      <c r="G220" s="6"/>
      <c r="H220" s="6"/>
      <c r="I220" s="6"/>
      <c r="J220" s="6"/>
      <c r="K220" s="7" t="s">
        <v>7516</v>
      </c>
      <c r="L220" s="8">
        <v>24503</v>
      </c>
      <c r="M220" s="8" t="str">
        <f t="shared" si="20"/>
        <v>PEN</v>
      </c>
      <c r="N220" s="13"/>
      <c r="O220" s="13">
        <v>60</v>
      </c>
      <c r="P220" s="3">
        <f t="shared" si="16"/>
        <v>60</v>
      </c>
      <c r="Q220" s="3">
        <f t="shared" si="17"/>
        <v>0</v>
      </c>
      <c r="R220" s="3">
        <f t="shared" si="18"/>
        <v>204.75</v>
      </c>
      <c r="S220" s="24" t="s">
        <v>1334</v>
      </c>
      <c r="T220" s="24" t="s">
        <v>1334</v>
      </c>
      <c r="U220" s="3"/>
      <c r="V220" s="25"/>
      <c r="W220" s="25"/>
      <c r="X220" s="25" t="str">
        <f>IFERROR(VLOOKUP(C_Ope_003[[#This Row],[nota_2]],Clientes_Proveedores[[Ruc / Dni]:[Razon Social]],2,0),"")</f>
        <v/>
      </c>
      <c r="Y220" s="25"/>
      <c r="Z220" s="103"/>
      <c r="AA220" s="3" t="str">
        <f>IF(C_Ope_003[[#This Row],[fecha]]&gt;0,TEXT(C_Ope_003[[#This Row],[fecha]],"mmmm"),0)</f>
        <v>Junio</v>
      </c>
      <c r="AB220" s="49"/>
    </row>
    <row r="221" spans="1:28" ht="24" x14ac:dyDescent="0.3">
      <c r="A221" s="2">
        <f>IF(C_Ope_003[[#This Row],[tipo_r]]="R",COUNTIFS($C$1:$C220,"R")+1,"")</f>
        <v>220</v>
      </c>
      <c r="B221" s="19" t="str">
        <f t="shared" si="19"/>
        <v>C_Ope_003</v>
      </c>
      <c r="C221" s="3" t="s">
        <v>1330</v>
      </c>
      <c r="D221" s="14">
        <v>45817</v>
      </c>
      <c r="E221" s="5" t="s">
        <v>5595</v>
      </c>
      <c r="F221" s="5" t="s">
        <v>1336</v>
      </c>
      <c r="G221" s="6" t="s">
        <v>978</v>
      </c>
      <c r="H221" s="6" t="s">
        <v>68</v>
      </c>
      <c r="I221" s="6" t="s">
        <v>5845</v>
      </c>
      <c r="J221" s="6">
        <v>1773203</v>
      </c>
      <c r="K221" s="7" t="s">
        <v>8388</v>
      </c>
      <c r="L221" s="8">
        <v>24495</v>
      </c>
      <c r="M221" s="8" t="str">
        <f t="shared" si="20"/>
        <v>PEN</v>
      </c>
      <c r="N221" s="13"/>
      <c r="O221" s="13">
        <v>12</v>
      </c>
      <c r="P221" s="3">
        <f t="shared" si="16"/>
        <v>0</v>
      </c>
      <c r="Q221" s="3">
        <f t="shared" si="17"/>
        <v>12</v>
      </c>
      <c r="R221" s="3">
        <f t="shared" si="18"/>
        <v>192.75</v>
      </c>
      <c r="S221" s="24" t="s">
        <v>1334</v>
      </c>
      <c r="T221" s="24" t="s">
        <v>1334</v>
      </c>
      <c r="U221" s="3"/>
      <c r="V221" s="25" t="s">
        <v>8006</v>
      </c>
      <c r="W221" s="25">
        <v>20517252558</v>
      </c>
      <c r="X221" s="25" t="str">
        <f>IFERROR(VLOOKUP(C_Ope_003[[#This Row],[nota_2]],Clientes_Proveedores[[Ruc / Dni]:[Razon Social]],2,0),"")</f>
        <v>COVISUR S.A.</v>
      </c>
      <c r="Y221" s="25"/>
      <c r="Z221" s="103"/>
      <c r="AA221" s="3" t="str">
        <f>IF(C_Ope_003[[#This Row],[fecha]]&gt;0,TEXT(C_Ope_003[[#This Row],[fecha]],"mmmm"),0)</f>
        <v>Junio</v>
      </c>
      <c r="AB221" s="49"/>
    </row>
    <row r="222" spans="1:28" ht="24" x14ac:dyDescent="0.3">
      <c r="A222" s="2">
        <f>IF(C_Ope_003[[#This Row],[tipo_r]]="R",COUNTIFS($C$1:$C221,"R")+1,"")</f>
        <v>221</v>
      </c>
      <c r="B222" s="19" t="str">
        <f t="shared" si="19"/>
        <v>C_Ope_003</v>
      </c>
      <c r="C222" s="3" t="s">
        <v>1330</v>
      </c>
      <c r="D222" s="14">
        <v>45817</v>
      </c>
      <c r="E222" s="5" t="s">
        <v>5595</v>
      </c>
      <c r="F222" s="5" t="s">
        <v>1336</v>
      </c>
      <c r="G222" s="6" t="s">
        <v>978</v>
      </c>
      <c r="H222" s="6" t="s">
        <v>68</v>
      </c>
      <c r="I222" s="6" t="s">
        <v>6204</v>
      </c>
      <c r="J222" s="6">
        <v>1754186</v>
      </c>
      <c r="K222" s="7" t="s">
        <v>8388</v>
      </c>
      <c r="L222" s="8">
        <v>24509</v>
      </c>
      <c r="M222" s="8" t="str">
        <f t="shared" si="20"/>
        <v>PEN</v>
      </c>
      <c r="N222" s="13"/>
      <c r="O222" s="13">
        <v>12</v>
      </c>
      <c r="P222" s="3">
        <f t="shared" si="16"/>
        <v>0</v>
      </c>
      <c r="Q222" s="3">
        <f t="shared" si="17"/>
        <v>12</v>
      </c>
      <c r="R222" s="3">
        <f t="shared" si="18"/>
        <v>180.75</v>
      </c>
      <c r="S222" s="24" t="s">
        <v>1334</v>
      </c>
      <c r="T222" s="24" t="s">
        <v>1334</v>
      </c>
      <c r="U222" s="3"/>
      <c r="V222" s="25" t="s">
        <v>8006</v>
      </c>
      <c r="W222" s="25">
        <v>20517252558</v>
      </c>
      <c r="X222" s="25" t="str">
        <f>IFERROR(VLOOKUP(C_Ope_003[[#This Row],[nota_2]],Clientes_Proveedores[[Ruc / Dni]:[Razon Social]],2,0),"")</f>
        <v>COVISUR S.A.</v>
      </c>
      <c r="Y222" s="25"/>
      <c r="Z222" s="103"/>
      <c r="AA222" s="3" t="str">
        <f>IF(C_Ope_003[[#This Row],[fecha]]&gt;0,TEXT(C_Ope_003[[#This Row],[fecha]],"mmmm"),0)</f>
        <v>Junio</v>
      </c>
      <c r="AB222" s="49"/>
    </row>
    <row r="223" spans="1:28" ht="24" x14ac:dyDescent="0.3">
      <c r="A223" s="2">
        <f>IF(C_Ope_003[[#This Row],[tipo_r]]="R",COUNTIFS($C$1:$C222,"R")+1,"")</f>
        <v>222</v>
      </c>
      <c r="B223" s="19" t="str">
        <f t="shared" si="19"/>
        <v>C_Ope_003</v>
      </c>
      <c r="C223" s="3" t="s">
        <v>1330</v>
      </c>
      <c r="D223" s="14">
        <v>45818</v>
      </c>
      <c r="E223" s="5" t="s">
        <v>5595</v>
      </c>
      <c r="F223" s="5" t="s">
        <v>1336</v>
      </c>
      <c r="G223" s="6" t="s">
        <v>978</v>
      </c>
      <c r="H223" s="6" t="s">
        <v>68</v>
      </c>
      <c r="I223" s="6" t="s">
        <v>6379</v>
      </c>
      <c r="J223" s="6">
        <v>479968</v>
      </c>
      <c r="K223" s="7" t="s">
        <v>8389</v>
      </c>
      <c r="L223" s="8">
        <v>24518</v>
      </c>
      <c r="M223" s="8" t="str">
        <f t="shared" si="20"/>
        <v>PEN</v>
      </c>
      <c r="N223" s="13"/>
      <c r="O223" s="13">
        <v>12</v>
      </c>
      <c r="P223" s="3">
        <f t="shared" si="16"/>
        <v>0</v>
      </c>
      <c r="Q223" s="3">
        <f t="shared" si="17"/>
        <v>12</v>
      </c>
      <c r="R223" s="3">
        <f t="shared" si="18"/>
        <v>168.75</v>
      </c>
      <c r="S223" s="24" t="s">
        <v>1334</v>
      </c>
      <c r="T223" s="24" t="s">
        <v>1334</v>
      </c>
      <c r="U223" s="3"/>
      <c r="V223" s="25" t="s">
        <v>8006</v>
      </c>
      <c r="W223" s="25">
        <v>20517252558</v>
      </c>
      <c r="X223" s="25" t="str">
        <f>IFERROR(VLOOKUP(C_Ope_003[[#This Row],[nota_2]],Clientes_Proveedores[[Ruc / Dni]:[Razon Social]],2,0),"")</f>
        <v>COVISUR S.A.</v>
      </c>
      <c r="Y223" s="25"/>
      <c r="Z223" s="103"/>
      <c r="AA223" s="3" t="str">
        <f>IF(C_Ope_003[[#This Row],[fecha]]&gt;0,TEXT(C_Ope_003[[#This Row],[fecha]],"mmmm"),0)</f>
        <v>Junio</v>
      </c>
      <c r="AB223" s="49"/>
    </row>
    <row r="224" spans="1:28" ht="24" x14ac:dyDescent="0.3">
      <c r="A224" s="2">
        <f>IF(C_Ope_003[[#This Row],[tipo_r]]="R",COUNTIFS($C$1:$C223,"R")+1,"")</f>
        <v>223</v>
      </c>
      <c r="B224" s="19" t="str">
        <f t="shared" si="19"/>
        <v>C_Ope_003</v>
      </c>
      <c r="C224" s="3" t="s">
        <v>1330</v>
      </c>
      <c r="D224" s="14">
        <v>45818</v>
      </c>
      <c r="E224" s="5" t="s">
        <v>5595</v>
      </c>
      <c r="F224" s="5" t="s">
        <v>1336</v>
      </c>
      <c r="G224" s="6" t="s">
        <v>978</v>
      </c>
      <c r="H224" s="6" t="s">
        <v>68</v>
      </c>
      <c r="I224" s="6" t="s">
        <v>6244</v>
      </c>
      <c r="J224" s="6">
        <v>1070749</v>
      </c>
      <c r="K224" s="7" t="s">
        <v>8389</v>
      </c>
      <c r="L224" s="8">
        <v>24519</v>
      </c>
      <c r="M224" s="8" t="str">
        <f t="shared" si="20"/>
        <v>PEN</v>
      </c>
      <c r="N224" s="13"/>
      <c r="O224" s="13">
        <v>12</v>
      </c>
      <c r="P224" s="3">
        <f t="shared" si="16"/>
        <v>0</v>
      </c>
      <c r="Q224" s="3">
        <f t="shared" si="17"/>
        <v>12</v>
      </c>
      <c r="R224" s="3">
        <f t="shared" si="18"/>
        <v>156.75</v>
      </c>
      <c r="S224" s="24" t="s">
        <v>1334</v>
      </c>
      <c r="T224" s="24" t="s">
        <v>1334</v>
      </c>
      <c r="U224" s="3"/>
      <c r="V224" s="25" t="s">
        <v>8006</v>
      </c>
      <c r="W224" s="25">
        <v>20517252558</v>
      </c>
      <c r="X224" s="25" t="str">
        <f>IFERROR(VLOOKUP(C_Ope_003[[#This Row],[nota_2]],Clientes_Proveedores[[Ruc / Dni]:[Razon Social]],2,0),"")</f>
        <v>COVISUR S.A.</v>
      </c>
      <c r="Y224" s="25"/>
      <c r="Z224" s="103"/>
      <c r="AA224" s="3" t="str">
        <f>IF(C_Ope_003[[#This Row],[fecha]]&gt;0,TEXT(C_Ope_003[[#This Row],[fecha]],"mmmm"),0)</f>
        <v>Junio</v>
      </c>
      <c r="AB224" s="49"/>
    </row>
    <row r="225" spans="1:28" ht="24" x14ac:dyDescent="0.3">
      <c r="A225" s="2">
        <f>IF(C_Ope_003[[#This Row],[tipo_r]]="R",COUNTIFS($C$1:$C224,"R")+1,"")</f>
        <v>224</v>
      </c>
      <c r="B225" s="19" t="str">
        <f t="shared" si="19"/>
        <v>C_Ope_003</v>
      </c>
      <c r="C225" s="3" t="s">
        <v>1330</v>
      </c>
      <c r="D225" s="14">
        <v>45819</v>
      </c>
      <c r="E225" s="5" t="s">
        <v>5595</v>
      </c>
      <c r="F225" s="5" t="s">
        <v>1336</v>
      </c>
      <c r="G225" s="6" t="s">
        <v>978</v>
      </c>
      <c r="H225" s="6" t="s">
        <v>68</v>
      </c>
      <c r="I225" s="6" t="s">
        <v>6203</v>
      </c>
      <c r="J225" s="6">
        <v>2078138</v>
      </c>
      <c r="K225" s="7" t="s">
        <v>8390</v>
      </c>
      <c r="L225" s="8">
        <v>24545</v>
      </c>
      <c r="M225" s="8" t="str">
        <f t="shared" si="20"/>
        <v>PEN</v>
      </c>
      <c r="N225" s="13"/>
      <c r="O225" s="13">
        <v>12</v>
      </c>
      <c r="P225" s="3">
        <f t="shared" si="16"/>
        <v>0</v>
      </c>
      <c r="Q225" s="3">
        <f t="shared" si="17"/>
        <v>12</v>
      </c>
      <c r="R225" s="3">
        <f t="shared" si="18"/>
        <v>144.75</v>
      </c>
      <c r="S225" s="24" t="s">
        <v>1334</v>
      </c>
      <c r="T225" s="24" t="s">
        <v>1334</v>
      </c>
      <c r="U225" s="3"/>
      <c r="V225" s="25" t="s">
        <v>8006</v>
      </c>
      <c r="W225" s="25">
        <v>20517252558</v>
      </c>
      <c r="X225" s="25" t="str">
        <f>IFERROR(VLOOKUP(C_Ope_003[[#This Row],[nota_2]],Clientes_Proveedores[[Ruc / Dni]:[Razon Social]],2,0),"")</f>
        <v>COVISUR S.A.</v>
      </c>
      <c r="Y225" s="25"/>
      <c r="Z225" s="103"/>
      <c r="AA225" s="3" t="str">
        <f>IF(C_Ope_003[[#This Row],[fecha]]&gt;0,TEXT(C_Ope_003[[#This Row],[fecha]],"mmmm"),0)</f>
        <v>Junio</v>
      </c>
      <c r="AB225" s="49"/>
    </row>
    <row r="226" spans="1:28" x14ac:dyDescent="0.3">
      <c r="A226" s="2">
        <f>IF(C_Ope_003[[#This Row],[tipo_r]]="R",COUNTIFS($C$1:$C225,"R")+1,"")</f>
        <v>225</v>
      </c>
      <c r="B226" s="19" t="str">
        <f t="shared" si="19"/>
        <v>C_Ope_003</v>
      </c>
      <c r="C226" s="3" t="s">
        <v>1330</v>
      </c>
      <c r="D226" s="14">
        <v>45826</v>
      </c>
      <c r="E226" s="5" t="s">
        <v>7514</v>
      </c>
      <c r="F226" s="5" t="s">
        <v>1303</v>
      </c>
      <c r="G226" s="6"/>
      <c r="H226" s="6"/>
      <c r="I226" s="6"/>
      <c r="J226" s="6"/>
      <c r="K226" s="7" t="s">
        <v>7516</v>
      </c>
      <c r="L226" s="8">
        <v>24653</v>
      </c>
      <c r="M226" s="8" t="str">
        <f t="shared" si="20"/>
        <v>PEN</v>
      </c>
      <c r="N226" s="13"/>
      <c r="O226" s="13">
        <v>50</v>
      </c>
      <c r="P226" s="3">
        <f t="shared" si="16"/>
        <v>50</v>
      </c>
      <c r="Q226" s="3">
        <f t="shared" si="17"/>
        <v>0</v>
      </c>
      <c r="R226" s="3">
        <f t="shared" si="18"/>
        <v>194.75</v>
      </c>
      <c r="S226" s="24" t="s">
        <v>1334</v>
      </c>
      <c r="T226" s="24" t="s">
        <v>1334</v>
      </c>
      <c r="U226" s="3"/>
      <c r="V226" s="25"/>
      <c r="W226" s="25"/>
      <c r="X226" s="25" t="str">
        <f>IFERROR(VLOOKUP(C_Ope_003[[#This Row],[nota_2]],Clientes_Proveedores[[Ruc / Dni]:[Razon Social]],2,0),"")</f>
        <v/>
      </c>
      <c r="Y226" s="25"/>
      <c r="Z226" s="103"/>
      <c r="AA226" s="3" t="str">
        <f>IF(C_Ope_003[[#This Row],[fecha]]&gt;0,TEXT(C_Ope_003[[#This Row],[fecha]],"mmmm"),0)</f>
        <v>Junio</v>
      </c>
      <c r="AB226" s="49"/>
    </row>
    <row r="227" spans="1:28" ht="24" x14ac:dyDescent="0.3">
      <c r="A227" s="2">
        <f>IF(C_Ope_003[[#This Row],[tipo_r]]="R",COUNTIFS($C$1:$C226,"R")+1,"")</f>
        <v>226</v>
      </c>
      <c r="B227" s="19" t="str">
        <f t="shared" si="19"/>
        <v>C_Ope_003</v>
      </c>
      <c r="C227" s="3" t="s">
        <v>1330</v>
      </c>
      <c r="D227" s="14">
        <v>45832</v>
      </c>
      <c r="E227" s="5" t="s">
        <v>5595</v>
      </c>
      <c r="F227" s="5" t="s">
        <v>1336</v>
      </c>
      <c r="G227" s="6" t="s">
        <v>978</v>
      </c>
      <c r="H227" s="6" t="s">
        <v>68</v>
      </c>
      <c r="I227" s="6" t="s">
        <v>6203</v>
      </c>
      <c r="J227" s="6">
        <v>2092409</v>
      </c>
      <c r="K227" s="7" t="s">
        <v>8391</v>
      </c>
      <c r="L227" s="8">
        <v>24661</v>
      </c>
      <c r="M227" s="8" t="str">
        <f t="shared" si="20"/>
        <v>PEN</v>
      </c>
      <c r="N227" s="13"/>
      <c r="O227" s="13">
        <v>8</v>
      </c>
      <c r="P227" s="3">
        <f t="shared" si="16"/>
        <v>0</v>
      </c>
      <c r="Q227" s="3">
        <f t="shared" si="17"/>
        <v>8</v>
      </c>
      <c r="R227" s="3">
        <f t="shared" si="18"/>
        <v>186.75</v>
      </c>
      <c r="S227" s="24" t="s">
        <v>1334</v>
      </c>
      <c r="T227" s="24" t="s">
        <v>1334</v>
      </c>
      <c r="U227" s="3"/>
      <c r="V227" s="25" t="s">
        <v>7842</v>
      </c>
      <c r="W227" s="25">
        <v>20517252558</v>
      </c>
      <c r="X227" s="25" t="str">
        <f>IFERROR(VLOOKUP(C_Ope_003[[#This Row],[nota_2]],Clientes_Proveedores[[Ruc / Dni]:[Razon Social]],2,0),"")</f>
        <v>COVISUR S.A.</v>
      </c>
      <c r="Y227" s="25"/>
      <c r="Z227" s="103"/>
      <c r="AA227" s="3" t="str">
        <f>IF(C_Ope_003[[#This Row],[fecha]]&gt;0,TEXT(C_Ope_003[[#This Row],[fecha]],"mmmm"),0)</f>
        <v>Junio</v>
      </c>
      <c r="AB227" s="49"/>
    </row>
    <row r="228" spans="1:28" ht="24" x14ac:dyDescent="0.3">
      <c r="A228" s="2">
        <f>IF(C_Ope_003[[#This Row],[tipo_r]]="R",COUNTIFS($C$1:$C227,"R")+1,"")</f>
        <v>227</v>
      </c>
      <c r="B228" s="19" t="str">
        <f t="shared" si="19"/>
        <v>C_Ope_003</v>
      </c>
      <c r="C228" s="3" t="s">
        <v>1330</v>
      </c>
      <c r="D228" s="14">
        <v>45832</v>
      </c>
      <c r="E228" s="5" t="s">
        <v>5595</v>
      </c>
      <c r="F228" s="5" t="s">
        <v>1336</v>
      </c>
      <c r="G228" s="6" t="s">
        <v>978</v>
      </c>
      <c r="H228" s="6" t="s">
        <v>68</v>
      </c>
      <c r="I228" s="6" t="s">
        <v>6204</v>
      </c>
      <c r="J228" s="6">
        <v>1768103</v>
      </c>
      <c r="K228" s="7" t="s">
        <v>8391</v>
      </c>
      <c r="L228" s="8">
        <v>24662</v>
      </c>
      <c r="M228" s="8" t="str">
        <f t="shared" si="20"/>
        <v>PEN</v>
      </c>
      <c r="N228" s="13"/>
      <c r="O228" s="13">
        <v>8</v>
      </c>
      <c r="P228" s="3">
        <f t="shared" si="16"/>
        <v>0</v>
      </c>
      <c r="Q228" s="3">
        <f t="shared" si="17"/>
        <v>8</v>
      </c>
      <c r="R228" s="3">
        <f t="shared" si="18"/>
        <v>178.75</v>
      </c>
      <c r="S228" s="24" t="s">
        <v>1334</v>
      </c>
      <c r="T228" s="24" t="s">
        <v>1334</v>
      </c>
      <c r="U228" s="3"/>
      <c r="V228" s="25" t="s">
        <v>7842</v>
      </c>
      <c r="W228" s="25">
        <v>20517252558</v>
      </c>
      <c r="X228" s="25" t="str">
        <f>IFERROR(VLOOKUP(C_Ope_003[[#This Row],[nota_2]],Clientes_Proveedores[[Ruc / Dni]:[Razon Social]],2,0),"")</f>
        <v>COVISUR S.A.</v>
      </c>
      <c r="Y228" s="25"/>
      <c r="Z228" s="103"/>
      <c r="AA228" s="3" t="str">
        <f>IF(C_Ope_003[[#This Row],[fecha]]&gt;0,TEXT(C_Ope_003[[#This Row],[fecha]],"mmmm"),0)</f>
        <v>Junio</v>
      </c>
      <c r="AB228" s="49"/>
    </row>
    <row r="229" spans="1:28" ht="36" x14ac:dyDescent="0.3">
      <c r="A229" s="2">
        <f>IF(C_Ope_003[[#This Row],[tipo_r]]="R",COUNTIFS($C$1:$C228,"R")+1,"")</f>
        <v>228</v>
      </c>
      <c r="B229" s="19" t="str">
        <f t="shared" si="19"/>
        <v>C_Ope_003</v>
      </c>
      <c r="C229" s="3" t="s">
        <v>1330</v>
      </c>
      <c r="D229" s="14">
        <v>45832</v>
      </c>
      <c r="E229" s="5" t="s">
        <v>5595</v>
      </c>
      <c r="F229" s="5" t="s">
        <v>1336</v>
      </c>
      <c r="G229" s="6" t="s">
        <v>682</v>
      </c>
      <c r="H229" s="6" t="s">
        <v>68</v>
      </c>
      <c r="I229" s="6" t="s">
        <v>1353</v>
      </c>
      <c r="J229" s="6">
        <v>16735</v>
      </c>
      <c r="K229" s="7" t="s">
        <v>8392</v>
      </c>
      <c r="L229" s="8">
        <v>24660</v>
      </c>
      <c r="M229" s="8" t="str">
        <f t="shared" si="20"/>
        <v>PEN</v>
      </c>
      <c r="N229" s="13"/>
      <c r="O229" s="13">
        <v>20</v>
      </c>
      <c r="P229" s="3">
        <f t="shared" si="16"/>
        <v>0</v>
      </c>
      <c r="Q229" s="3">
        <f t="shared" si="17"/>
        <v>20</v>
      </c>
      <c r="R229" s="3">
        <f t="shared" si="18"/>
        <v>158.75</v>
      </c>
      <c r="S229" s="24" t="s">
        <v>1334</v>
      </c>
      <c r="T229" s="24" t="s">
        <v>1334</v>
      </c>
      <c r="U229" s="3"/>
      <c r="V229" s="25" t="s">
        <v>7842</v>
      </c>
      <c r="W229" s="25">
        <v>20259858934</v>
      </c>
      <c r="X229" s="25" t="str">
        <f>IFERROR(VLOOKUP(C_Ope_003[[#This Row],[nota_2]],Clientes_Proveedores[[Ruc / Dni]:[Razon Social]],2,0),"")</f>
        <v>COMERCIALIZACION Y SERVICIOS EL EDEN S.A.C.</v>
      </c>
      <c r="Y229" s="25"/>
      <c r="Z229" s="103"/>
      <c r="AA229" s="3" t="str">
        <f>IF(C_Ope_003[[#This Row],[fecha]]&gt;0,TEXT(C_Ope_003[[#This Row],[fecha]],"mmmm"),0)</f>
        <v>Junio</v>
      </c>
      <c r="AB229" s="49"/>
    </row>
    <row r="230" spans="1:28" ht="36" x14ac:dyDescent="0.3">
      <c r="A230" s="2">
        <f>IF(C_Ope_003[[#This Row],[tipo_r]]="R",COUNTIFS($C$1:$C229,"R")+1,"")</f>
        <v>229</v>
      </c>
      <c r="B230" s="19" t="str">
        <f t="shared" si="19"/>
        <v>C_Ope_003</v>
      </c>
      <c r="C230" s="3" t="s">
        <v>1330</v>
      </c>
      <c r="D230" s="14">
        <v>45833</v>
      </c>
      <c r="E230" s="5" t="s">
        <v>5595</v>
      </c>
      <c r="F230" s="5" t="s">
        <v>1336</v>
      </c>
      <c r="G230" s="6" t="s">
        <v>682</v>
      </c>
      <c r="H230" s="6" t="s">
        <v>68</v>
      </c>
      <c r="I230" s="6" t="s">
        <v>1353</v>
      </c>
      <c r="J230" s="6">
        <v>16746</v>
      </c>
      <c r="K230" s="7" t="s">
        <v>8393</v>
      </c>
      <c r="L230" s="8">
        <v>24692</v>
      </c>
      <c r="M230" s="8" t="str">
        <f t="shared" si="20"/>
        <v>PEN</v>
      </c>
      <c r="N230" s="13"/>
      <c r="O230" s="13">
        <v>20</v>
      </c>
      <c r="P230" s="3">
        <f t="shared" si="16"/>
        <v>0</v>
      </c>
      <c r="Q230" s="3">
        <f t="shared" si="17"/>
        <v>20</v>
      </c>
      <c r="R230" s="3">
        <f t="shared" si="18"/>
        <v>138.75</v>
      </c>
      <c r="S230" s="24" t="s">
        <v>1334</v>
      </c>
      <c r="T230" s="24" t="s">
        <v>1334</v>
      </c>
      <c r="U230" s="3"/>
      <c r="V230" s="25" t="s">
        <v>7842</v>
      </c>
      <c r="W230" s="25">
        <v>20259858934</v>
      </c>
      <c r="X230" s="25" t="str">
        <f>IFERROR(VLOOKUP(C_Ope_003[[#This Row],[nota_2]],Clientes_Proveedores[[Ruc / Dni]:[Razon Social]],2,0),"")</f>
        <v>COMERCIALIZACION Y SERVICIOS EL EDEN S.A.C.</v>
      </c>
      <c r="Y230" s="25"/>
      <c r="Z230" s="103"/>
      <c r="AA230" s="3" t="str">
        <f>IF(C_Ope_003[[#This Row],[fecha]]&gt;0,TEXT(C_Ope_003[[#This Row],[fecha]],"mmmm"),0)</f>
        <v>Junio</v>
      </c>
      <c r="AB230" s="49"/>
    </row>
    <row r="231" spans="1:28" ht="36" x14ac:dyDescent="0.3">
      <c r="A231" s="2">
        <f>IF(C_Ope_003[[#This Row],[tipo_r]]="R",COUNTIFS($C$1:$C230,"R")+1,"")</f>
        <v>230</v>
      </c>
      <c r="B231" s="19" t="str">
        <f t="shared" si="19"/>
        <v>C_Ope_003</v>
      </c>
      <c r="C231" s="3" t="s">
        <v>1330</v>
      </c>
      <c r="D231" s="14">
        <v>45834</v>
      </c>
      <c r="E231" s="5" t="s">
        <v>5595</v>
      </c>
      <c r="F231" s="5" t="s">
        <v>1336</v>
      </c>
      <c r="G231" s="6" t="s">
        <v>682</v>
      </c>
      <c r="H231" s="6" t="s">
        <v>68</v>
      </c>
      <c r="I231" s="6" t="s">
        <v>1353</v>
      </c>
      <c r="J231" s="6">
        <v>16769</v>
      </c>
      <c r="K231" s="7" t="s">
        <v>8304</v>
      </c>
      <c r="L231" s="8">
        <v>24753</v>
      </c>
      <c r="M231" s="8" t="str">
        <f t="shared" si="20"/>
        <v>PEN</v>
      </c>
      <c r="N231" s="13"/>
      <c r="O231" s="13">
        <v>20</v>
      </c>
      <c r="P231" s="3">
        <f t="shared" si="16"/>
        <v>0</v>
      </c>
      <c r="Q231" s="3">
        <f t="shared" si="17"/>
        <v>20</v>
      </c>
      <c r="R231" s="3">
        <f t="shared" si="18"/>
        <v>118.75</v>
      </c>
      <c r="S231" s="24" t="s">
        <v>1334</v>
      </c>
      <c r="T231" s="24" t="s">
        <v>1334</v>
      </c>
      <c r="U231" s="3"/>
      <c r="V231" s="25" t="s">
        <v>7842</v>
      </c>
      <c r="W231" s="25">
        <v>20259858934</v>
      </c>
      <c r="X231" s="25" t="str">
        <f>IFERROR(VLOOKUP(C_Ope_003[[#This Row],[nota_2]],Clientes_Proveedores[[Ruc / Dni]:[Razon Social]],2,0),"")</f>
        <v>COMERCIALIZACION Y SERVICIOS EL EDEN S.A.C.</v>
      </c>
      <c r="Y231" s="25"/>
      <c r="Z231" s="103"/>
      <c r="AA231" s="3" t="str">
        <f>IF(C_Ope_003[[#This Row],[fecha]]&gt;0,TEXT(C_Ope_003[[#This Row],[fecha]],"mmmm"),0)</f>
        <v>Junio</v>
      </c>
      <c r="AB231" s="49"/>
    </row>
    <row r="232" spans="1:28" ht="24" x14ac:dyDescent="0.3">
      <c r="A232" s="2">
        <f>IF(C_Ope_003[[#This Row],[tipo_r]]="R",COUNTIFS($C$1:$C231,"R")+1,"")</f>
        <v>231</v>
      </c>
      <c r="B232" s="19" t="str">
        <f t="shared" si="19"/>
        <v>C_Ope_003</v>
      </c>
      <c r="C232" s="3" t="s">
        <v>1330</v>
      </c>
      <c r="D232" s="14">
        <v>45831</v>
      </c>
      <c r="E232" s="5" t="s">
        <v>5595</v>
      </c>
      <c r="F232" s="5" t="s">
        <v>1336</v>
      </c>
      <c r="G232" s="6" t="s">
        <v>1168</v>
      </c>
      <c r="H232" s="6" t="s">
        <v>68</v>
      </c>
      <c r="I232" s="6" t="s">
        <v>1374</v>
      </c>
      <c r="J232" s="6">
        <v>1793</v>
      </c>
      <c r="K232" s="7" t="s">
        <v>7777</v>
      </c>
      <c r="L232" s="8">
        <v>24652</v>
      </c>
      <c r="M232" s="8" t="str">
        <f t="shared" si="20"/>
        <v>PEN</v>
      </c>
      <c r="N232" s="13"/>
      <c r="O232" s="13">
        <v>30</v>
      </c>
      <c r="P232" s="3">
        <f t="shared" si="16"/>
        <v>0</v>
      </c>
      <c r="Q232" s="3">
        <f t="shared" si="17"/>
        <v>30</v>
      </c>
      <c r="R232" s="3">
        <f t="shared" si="18"/>
        <v>88.75</v>
      </c>
      <c r="S232" s="24" t="s">
        <v>1334</v>
      </c>
      <c r="T232" s="24" t="s">
        <v>1334</v>
      </c>
      <c r="U232" s="3"/>
      <c r="V232" s="25" t="s">
        <v>7842</v>
      </c>
      <c r="W232" s="25">
        <v>10296416423</v>
      </c>
      <c r="X232" s="25" t="str">
        <f>IFERROR(VLOOKUP(C_Ope_003[[#This Row],[nota_2]],Clientes_Proveedores[[Ruc / Dni]:[Razon Social]],2,0),"")</f>
        <v>FLORES SIAS EDWIN EDWARDS</v>
      </c>
      <c r="Y232" s="25"/>
      <c r="Z232" s="103"/>
      <c r="AA232" s="3" t="str">
        <f>IF(C_Ope_003[[#This Row],[fecha]]&gt;0,TEXT(C_Ope_003[[#This Row],[fecha]],"mmmm"),0)</f>
        <v>Junio</v>
      </c>
      <c r="AB232" s="49"/>
    </row>
    <row r="233" spans="1:28" x14ac:dyDescent="0.3">
      <c r="A233" s="2">
        <f>IF(C_Ope_003[[#This Row],[tipo_r]]="R",COUNTIFS($C$1:$C232,"R")+1,"")</f>
        <v>232</v>
      </c>
      <c r="B233" s="19" t="str">
        <f t="shared" si="19"/>
        <v>C_Ope_003</v>
      </c>
      <c r="C233" s="3" t="s">
        <v>1330</v>
      </c>
      <c r="D233" s="14">
        <v>45839</v>
      </c>
      <c r="E233" s="5" t="s">
        <v>7514</v>
      </c>
      <c r="F233" s="5" t="s">
        <v>1303</v>
      </c>
      <c r="G233" s="6"/>
      <c r="H233" s="6"/>
      <c r="I233" s="6"/>
      <c r="J233" s="6"/>
      <c r="K233" s="7" t="s">
        <v>7516</v>
      </c>
      <c r="L233" s="8"/>
      <c r="M233" s="8" t="str">
        <f t="shared" si="20"/>
        <v>PEN</v>
      </c>
      <c r="N233" s="13"/>
      <c r="O233" s="13">
        <v>110</v>
      </c>
      <c r="P233" s="3">
        <f t="shared" si="16"/>
        <v>110</v>
      </c>
      <c r="Q233" s="3">
        <f t="shared" si="17"/>
        <v>0</v>
      </c>
      <c r="R233" s="3">
        <f t="shared" si="18"/>
        <v>198.75</v>
      </c>
      <c r="S233" s="24" t="s">
        <v>1334</v>
      </c>
      <c r="T233" s="24" t="s">
        <v>1334</v>
      </c>
      <c r="U233" s="3"/>
      <c r="V233" s="25"/>
      <c r="W233" s="25"/>
      <c r="X233" s="25" t="str">
        <f>IFERROR(VLOOKUP(C_Ope_003[[#This Row],[nota_2]],Clientes_Proveedores[[Ruc / Dni]:[Razon Social]],2,0),"")</f>
        <v/>
      </c>
      <c r="Y233" s="25"/>
      <c r="Z233" s="103"/>
      <c r="AA233" s="3" t="str">
        <f>IF(C_Ope_003[[#This Row],[fecha]]&gt;0,TEXT(C_Ope_003[[#This Row],[fecha]],"mmmm"),0)</f>
        <v>Julio</v>
      </c>
      <c r="AB233" s="49"/>
    </row>
    <row r="234" spans="1:28" ht="24" x14ac:dyDescent="0.3">
      <c r="A234" s="2">
        <f>IF(C_Ope_003[[#This Row],[tipo_r]]="R",COUNTIFS($C$1:$C233,"R")+1,"")</f>
        <v>233</v>
      </c>
      <c r="B234" s="19" t="str">
        <f t="shared" ref="B234:B242" si="21">"C_Ope_003"</f>
        <v>C_Ope_003</v>
      </c>
      <c r="C234" s="3" t="s">
        <v>1330</v>
      </c>
      <c r="D234" s="14">
        <v>45848</v>
      </c>
      <c r="E234" s="5" t="s">
        <v>5595</v>
      </c>
      <c r="F234" s="5" t="s">
        <v>1336</v>
      </c>
      <c r="G234" s="6" t="s">
        <v>978</v>
      </c>
      <c r="H234" s="6" t="s">
        <v>68</v>
      </c>
      <c r="I234" s="6" t="s">
        <v>5688</v>
      </c>
      <c r="J234" s="6">
        <v>2393776</v>
      </c>
      <c r="K234" s="7" t="s">
        <v>8394</v>
      </c>
      <c r="L234" s="8">
        <v>24842</v>
      </c>
      <c r="M234" s="8" t="str">
        <f t="shared" ref="M234:M242" si="22">"PEN"</f>
        <v>PEN</v>
      </c>
      <c r="N234" s="13"/>
      <c r="O234" s="13">
        <v>8</v>
      </c>
      <c r="P234" s="3">
        <f t="shared" ref="P234:P242" si="23">+IF(OR($F234="SALDO",$F234="INGRESO"),$O234,0)</f>
        <v>0</v>
      </c>
      <c r="Q234" s="3">
        <f t="shared" ref="Q234:Q242" si="24">+IF($F234="EGRESO",$O234,0)</f>
        <v>8</v>
      </c>
      <c r="R234" s="3">
        <f t="shared" si="18"/>
        <v>190.75</v>
      </c>
      <c r="S234" s="24" t="s">
        <v>1334</v>
      </c>
      <c r="T234" s="24" t="s">
        <v>1334</v>
      </c>
      <c r="U234" s="3"/>
      <c r="V234" s="25" t="s">
        <v>7842</v>
      </c>
      <c r="W234" s="25">
        <v>20517252558</v>
      </c>
      <c r="X234" s="25" t="str">
        <f>IFERROR(VLOOKUP(C_Ope_003[[#This Row],[nota_2]],Clientes_Proveedores[[Ruc / Dni]:[Razon Social]],2,0),"")</f>
        <v>COVISUR S.A.</v>
      </c>
      <c r="Y234" s="25" t="s">
        <v>7888</v>
      </c>
      <c r="Z234" s="103"/>
      <c r="AA234" s="3" t="str">
        <f>IF(C_Ope_003[[#This Row],[fecha]]&gt;0,TEXT(C_Ope_003[[#This Row],[fecha]],"mmmm"),0)</f>
        <v>Julio</v>
      </c>
      <c r="AB234" s="49"/>
    </row>
    <row r="235" spans="1:28" ht="24" x14ac:dyDescent="0.3">
      <c r="A235" s="2">
        <f>IF(C_Ope_003[[#This Row],[tipo_r]]="R",COUNTIFS($C$1:$C234,"R")+1,"")</f>
        <v>234</v>
      </c>
      <c r="B235" s="19" t="str">
        <f t="shared" si="21"/>
        <v>C_Ope_003</v>
      </c>
      <c r="C235" s="3" t="s">
        <v>1330</v>
      </c>
      <c r="D235" s="14">
        <v>45848</v>
      </c>
      <c r="E235" s="5" t="s">
        <v>5595</v>
      </c>
      <c r="F235" s="5" t="s">
        <v>1336</v>
      </c>
      <c r="G235" s="6" t="s">
        <v>978</v>
      </c>
      <c r="H235" s="6" t="s">
        <v>68</v>
      </c>
      <c r="I235" s="6" t="s">
        <v>6379</v>
      </c>
      <c r="J235" s="6">
        <v>487477</v>
      </c>
      <c r="K235" s="7" t="s">
        <v>8395</v>
      </c>
      <c r="L235" s="8">
        <v>24844</v>
      </c>
      <c r="M235" s="8" t="str">
        <f t="shared" si="22"/>
        <v>PEN</v>
      </c>
      <c r="N235" s="13"/>
      <c r="O235" s="13">
        <v>8</v>
      </c>
      <c r="P235" s="3">
        <f t="shared" si="23"/>
        <v>0</v>
      </c>
      <c r="Q235" s="3">
        <f t="shared" si="24"/>
        <v>8</v>
      </c>
      <c r="R235" s="3">
        <f t="shared" si="18"/>
        <v>182.75</v>
      </c>
      <c r="S235" s="24" t="s">
        <v>1334</v>
      </c>
      <c r="T235" s="24" t="s">
        <v>1334</v>
      </c>
      <c r="U235" s="3"/>
      <c r="V235" s="25" t="s">
        <v>7842</v>
      </c>
      <c r="W235" s="25">
        <v>20517252558</v>
      </c>
      <c r="X235" s="25" t="str">
        <f>IFERROR(VLOOKUP(C_Ope_003[[#This Row],[nota_2]],Clientes_Proveedores[[Ruc / Dni]:[Razon Social]],2,0),"")</f>
        <v>COVISUR S.A.</v>
      </c>
      <c r="Y235" s="25" t="s">
        <v>7888</v>
      </c>
      <c r="Z235" s="103"/>
      <c r="AA235" s="3" t="str">
        <f>IF(C_Ope_003[[#This Row],[fecha]]&gt;0,TEXT(C_Ope_003[[#This Row],[fecha]],"mmmm"),0)</f>
        <v>Julio</v>
      </c>
      <c r="AB235" s="49"/>
    </row>
    <row r="236" spans="1:28" ht="24" x14ac:dyDescent="0.3">
      <c r="A236" s="2">
        <f>IF(C_Ope_003[[#This Row],[tipo_r]]="R",COUNTIFS($C$1:$C235,"R")+1,"")</f>
        <v>235</v>
      </c>
      <c r="B236" s="19" t="str">
        <f t="shared" si="21"/>
        <v>C_Ope_003</v>
      </c>
      <c r="C236" s="3" t="s">
        <v>1330</v>
      </c>
      <c r="D236" s="14">
        <v>45848</v>
      </c>
      <c r="E236" s="5" t="s">
        <v>5595</v>
      </c>
      <c r="F236" s="5" t="s">
        <v>1336</v>
      </c>
      <c r="G236" s="6" t="s">
        <v>978</v>
      </c>
      <c r="H236" s="6" t="s">
        <v>68</v>
      </c>
      <c r="I236" s="6" t="s">
        <v>6244</v>
      </c>
      <c r="J236" s="6">
        <v>1087851</v>
      </c>
      <c r="K236" s="7" t="s">
        <v>8395</v>
      </c>
      <c r="L236" s="8">
        <v>24846</v>
      </c>
      <c r="M236" s="8" t="str">
        <f t="shared" si="22"/>
        <v>PEN</v>
      </c>
      <c r="N236" s="13"/>
      <c r="O236" s="13">
        <v>8</v>
      </c>
      <c r="P236" s="3">
        <f t="shared" si="23"/>
        <v>0</v>
      </c>
      <c r="Q236" s="3">
        <f t="shared" si="24"/>
        <v>8</v>
      </c>
      <c r="R236" s="3">
        <f t="shared" si="18"/>
        <v>174.75</v>
      </c>
      <c r="S236" s="24" t="s">
        <v>1334</v>
      </c>
      <c r="T236" s="24" t="s">
        <v>1334</v>
      </c>
      <c r="U236" s="3"/>
      <c r="V236" s="25" t="s">
        <v>7842</v>
      </c>
      <c r="W236" s="25">
        <v>20517252558</v>
      </c>
      <c r="X236" s="25" t="str">
        <f>IFERROR(VLOOKUP(C_Ope_003[[#This Row],[nota_2]],Clientes_Proveedores[[Ruc / Dni]:[Razon Social]],2,0),"")</f>
        <v>COVISUR S.A.</v>
      </c>
      <c r="Y236" s="25" t="s">
        <v>7888</v>
      </c>
      <c r="Z236" s="103"/>
      <c r="AA236" s="3" t="str">
        <f>IF(C_Ope_003[[#This Row],[fecha]]&gt;0,TEXT(C_Ope_003[[#This Row],[fecha]],"mmmm"),0)</f>
        <v>Julio</v>
      </c>
      <c r="AB236" s="49"/>
    </row>
    <row r="237" spans="1:28" ht="36" x14ac:dyDescent="0.3">
      <c r="A237" s="2">
        <f>IF(C_Ope_003[[#This Row],[tipo_r]]="R",COUNTIFS($C$1:$C236,"R")+1,"")</f>
        <v>236</v>
      </c>
      <c r="B237" s="19" t="str">
        <f t="shared" si="21"/>
        <v>C_Ope_003</v>
      </c>
      <c r="C237" s="3" t="s">
        <v>1330</v>
      </c>
      <c r="D237" s="14">
        <v>45848</v>
      </c>
      <c r="E237" s="5" t="s">
        <v>5595</v>
      </c>
      <c r="F237" s="5" t="s">
        <v>1336</v>
      </c>
      <c r="G237" s="6" t="s">
        <v>1029</v>
      </c>
      <c r="H237" s="6" t="s">
        <v>68</v>
      </c>
      <c r="I237" s="6" t="s">
        <v>1374</v>
      </c>
      <c r="J237" s="6">
        <v>17923</v>
      </c>
      <c r="K237" s="7" t="s">
        <v>8396</v>
      </c>
      <c r="L237" s="8">
        <v>24849</v>
      </c>
      <c r="M237" s="8" t="str">
        <f t="shared" si="22"/>
        <v>PEN</v>
      </c>
      <c r="N237" s="13"/>
      <c r="O237" s="13">
        <v>11</v>
      </c>
      <c r="P237" s="3">
        <f t="shared" si="23"/>
        <v>0</v>
      </c>
      <c r="Q237" s="3">
        <f t="shared" si="24"/>
        <v>11</v>
      </c>
      <c r="R237" s="3">
        <f t="shared" si="18"/>
        <v>163.75</v>
      </c>
      <c r="S237" s="24" t="s">
        <v>1334</v>
      </c>
      <c r="T237" s="24" t="s">
        <v>1334</v>
      </c>
      <c r="U237" s="3"/>
      <c r="V237" s="25" t="s">
        <v>7842</v>
      </c>
      <c r="W237" s="25">
        <v>20454058187</v>
      </c>
      <c r="X237" s="25" t="str">
        <f>IFERROR(VLOOKUP(C_Ope_003[[#This Row],[nota_2]],Clientes_Proveedores[[Ruc / Dni]:[Razon Social]],2,0),"")</f>
        <v>ZONA ESPECIAL DE DESARROLLO ZED MATARANI</v>
      </c>
      <c r="Y237" s="25" t="s">
        <v>5933</v>
      </c>
      <c r="Z237" s="103"/>
      <c r="AA237" s="3" t="str">
        <f>IF(C_Ope_003[[#This Row],[fecha]]&gt;0,TEXT(C_Ope_003[[#This Row],[fecha]],"mmmm"),0)</f>
        <v>Julio</v>
      </c>
      <c r="AB237" s="49"/>
    </row>
    <row r="238" spans="1:28" ht="36" x14ac:dyDescent="0.3">
      <c r="A238" s="2">
        <f>IF(C_Ope_003[[#This Row],[tipo_r]]="R",COUNTIFS($C$1:$C237,"R")+1,"")</f>
        <v>237</v>
      </c>
      <c r="B238" s="19" t="str">
        <f t="shared" si="21"/>
        <v>C_Ope_003</v>
      </c>
      <c r="C238" s="3" t="s">
        <v>1330</v>
      </c>
      <c r="D238" s="14">
        <v>45848</v>
      </c>
      <c r="E238" s="5" t="s">
        <v>5595</v>
      </c>
      <c r="F238" s="5" t="s">
        <v>1336</v>
      </c>
      <c r="G238" s="6" t="s">
        <v>1029</v>
      </c>
      <c r="H238" s="6" t="s">
        <v>68</v>
      </c>
      <c r="I238" s="6" t="s">
        <v>1374</v>
      </c>
      <c r="J238" s="6">
        <v>17924</v>
      </c>
      <c r="K238" s="7" t="s">
        <v>8396</v>
      </c>
      <c r="L238" s="8">
        <v>24850</v>
      </c>
      <c r="M238" s="8" t="str">
        <f t="shared" si="22"/>
        <v>PEN</v>
      </c>
      <c r="N238" s="13"/>
      <c r="O238" s="13">
        <v>22</v>
      </c>
      <c r="P238" s="3">
        <f t="shared" si="23"/>
        <v>0</v>
      </c>
      <c r="Q238" s="3">
        <f t="shared" si="24"/>
        <v>22</v>
      </c>
      <c r="R238" s="3">
        <f t="shared" si="18"/>
        <v>141.75</v>
      </c>
      <c r="S238" s="24" t="s">
        <v>1334</v>
      </c>
      <c r="T238" s="24" t="s">
        <v>1334</v>
      </c>
      <c r="U238" s="3"/>
      <c r="V238" s="25" t="s">
        <v>7842</v>
      </c>
      <c r="W238" s="25">
        <v>20454058187</v>
      </c>
      <c r="X238" s="25" t="str">
        <f>IFERROR(VLOOKUP(C_Ope_003[[#This Row],[nota_2]],Clientes_Proveedores[[Ruc / Dni]:[Razon Social]],2,0),"")</f>
        <v>ZONA ESPECIAL DE DESARROLLO ZED MATARANI</v>
      </c>
      <c r="Y238" s="25" t="s">
        <v>5933</v>
      </c>
      <c r="Z238" s="103"/>
      <c r="AA238" s="3" t="str">
        <f>IF(C_Ope_003[[#This Row],[fecha]]&gt;0,TEXT(C_Ope_003[[#This Row],[fecha]],"mmmm"),0)</f>
        <v>Julio</v>
      </c>
      <c r="AB238" s="49"/>
    </row>
    <row r="239" spans="1:28" x14ac:dyDescent="0.3">
      <c r="A239" s="2">
        <f>IF(C_Ope_003[[#This Row],[tipo_r]]="R",COUNTIFS($C$1:$C238,"R")+1,"")</f>
        <v>238</v>
      </c>
      <c r="B239" s="19" t="str">
        <f t="shared" si="21"/>
        <v>C_Ope_003</v>
      </c>
      <c r="C239" s="3" t="s">
        <v>1330</v>
      </c>
      <c r="D239" s="14">
        <v>45855</v>
      </c>
      <c r="E239" s="5" t="s">
        <v>5595</v>
      </c>
      <c r="F239" s="5" t="s">
        <v>1336</v>
      </c>
      <c r="G239" s="6" t="s">
        <v>978</v>
      </c>
      <c r="H239" s="6" t="s">
        <v>68</v>
      </c>
      <c r="I239" s="6" t="s">
        <v>5688</v>
      </c>
      <c r="J239" s="6">
        <v>2401478</v>
      </c>
      <c r="K239" s="7" t="s">
        <v>8397</v>
      </c>
      <c r="L239" s="8">
        <v>24913</v>
      </c>
      <c r="M239" s="8" t="str">
        <f t="shared" si="22"/>
        <v>PEN</v>
      </c>
      <c r="N239" s="13"/>
      <c r="O239" s="13">
        <v>8</v>
      </c>
      <c r="P239" s="3">
        <f t="shared" si="23"/>
        <v>0</v>
      </c>
      <c r="Q239" s="3">
        <f t="shared" si="24"/>
        <v>8</v>
      </c>
      <c r="R239" s="3">
        <f t="shared" si="18"/>
        <v>133.75</v>
      </c>
      <c r="S239" s="24" t="s">
        <v>1334</v>
      </c>
      <c r="T239" s="24" t="s">
        <v>1334</v>
      </c>
      <c r="U239" s="3"/>
      <c r="V239" s="25" t="s">
        <v>7842</v>
      </c>
      <c r="W239" s="25">
        <v>20517252558</v>
      </c>
      <c r="X239" s="25" t="str">
        <f>IFERROR(VLOOKUP(C_Ope_003[[#This Row],[nota_2]],Clientes_Proveedores[[Ruc / Dni]:[Razon Social]],2,0),"")</f>
        <v>COVISUR S.A.</v>
      </c>
      <c r="Y239" s="25" t="s">
        <v>7888</v>
      </c>
      <c r="Z239" s="103"/>
      <c r="AA239" s="3" t="str">
        <f>IF(C_Ope_003[[#This Row],[fecha]]&gt;0,TEXT(C_Ope_003[[#This Row],[fecha]],"mmmm"),0)</f>
        <v>Julio</v>
      </c>
      <c r="AB239" s="49"/>
    </row>
    <row r="240" spans="1:28" ht="36" x14ac:dyDescent="0.3">
      <c r="A240" s="2">
        <f>IF(C_Ope_003[[#This Row],[tipo_r]]="R",COUNTIFS($C$1:$C239,"R")+1,"")</f>
        <v>239</v>
      </c>
      <c r="B240" s="19" t="str">
        <f t="shared" si="21"/>
        <v>C_Ope_003</v>
      </c>
      <c r="C240" s="3" t="s">
        <v>1330</v>
      </c>
      <c r="D240" s="14">
        <v>45859</v>
      </c>
      <c r="E240" s="5" t="s">
        <v>5595</v>
      </c>
      <c r="F240" s="5" t="s">
        <v>1336</v>
      </c>
      <c r="G240" s="6" t="s">
        <v>682</v>
      </c>
      <c r="H240" s="6" t="s">
        <v>68</v>
      </c>
      <c r="I240" s="6" t="s">
        <v>1353</v>
      </c>
      <c r="J240" s="6">
        <v>17050</v>
      </c>
      <c r="K240" s="7" t="s">
        <v>8398</v>
      </c>
      <c r="L240" s="8">
        <v>24962</v>
      </c>
      <c r="M240" s="8" t="str">
        <f t="shared" si="22"/>
        <v>PEN</v>
      </c>
      <c r="N240" s="13"/>
      <c r="O240" s="13">
        <v>20</v>
      </c>
      <c r="P240" s="3">
        <f t="shared" si="23"/>
        <v>0</v>
      </c>
      <c r="Q240" s="3">
        <f t="shared" si="24"/>
        <v>20</v>
      </c>
      <c r="R240" s="3">
        <f t="shared" si="18"/>
        <v>113.75</v>
      </c>
      <c r="S240" s="24" t="s">
        <v>1334</v>
      </c>
      <c r="T240" s="24" t="s">
        <v>1334</v>
      </c>
      <c r="U240" s="3"/>
      <c r="V240" s="25" t="s">
        <v>7756</v>
      </c>
      <c r="W240" s="25">
        <v>20259858934</v>
      </c>
      <c r="X240" s="25" t="str">
        <f>IFERROR(VLOOKUP(C_Ope_003[[#This Row],[nota_2]],Clientes_Proveedores[[Ruc / Dni]:[Razon Social]],2,0),"")</f>
        <v>COMERCIALIZACION Y SERVICIOS EL EDEN S.A.C.</v>
      </c>
      <c r="Y240" s="25" t="s">
        <v>5933</v>
      </c>
      <c r="Z240" s="103"/>
      <c r="AA240" s="3" t="str">
        <f>IF(C_Ope_003[[#This Row],[fecha]]&gt;0,TEXT(C_Ope_003[[#This Row],[fecha]],"mmmm"),0)</f>
        <v>Julio</v>
      </c>
      <c r="AB240" s="49"/>
    </row>
    <row r="241" spans="1:28" ht="36" x14ac:dyDescent="0.3">
      <c r="A241" s="2">
        <f>IF(C_Ope_003[[#This Row],[tipo_r]]="R",COUNTIFS($C$1:$C240,"R")+1,"")</f>
        <v>240</v>
      </c>
      <c r="B241" s="19" t="str">
        <f t="shared" si="21"/>
        <v>C_Ope_003</v>
      </c>
      <c r="C241" s="3" t="s">
        <v>1330</v>
      </c>
      <c r="D241" s="14">
        <v>45860</v>
      </c>
      <c r="E241" s="5" t="s">
        <v>5595</v>
      </c>
      <c r="F241" s="5" t="s">
        <v>1336</v>
      </c>
      <c r="G241" s="6" t="s">
        <v>682</v>
      </c>
      <c r="H241" s="6" t="s">
        <v>68</v>
      </c>
      <c r="I241" s="6" t="s">
        <v>1353</v>
      </c>
      <c r="J241" s="6">
        <v>17076</v>
      </c>
      <c r="K241" s="7" t="s">
        <v>8399</v>
      </c>
      <c r="L241" s="8">
        <v>25002</v>
      </c>
      <c r="M241" s="8" t="str">
        <f t="shared" si="22"/>
        <v>PEN</v>
      </c>
      <c r="N241" s="13"/>
      <c r="O241" s="13">
        <v>10</v>
      </c>
      <c r="P241" s="3">
        <f t="shared" si="23"/>
        <v>0</v>
      </c>
      <c r="Q241" s="3">
        <f t="shared" si="24"/>
        <v>10</v>
      </c>
      <c r="R241" s="3">
        <f t="shared" si="18"/>
        <v>103.75</v>
      </c>
      <c r="S241" s="24" t="s">
        <v>1334</v>
      </c>
      <c r="T241" s="24" t="s">
        <v>1334</v>
      </c>
      <c r="U241" s="3"/>
      <c r="V241" s="25" t="s">
        <v>7842</v>
      </c>
      <c r="W241" s="25">
        <v>20259858934</v>
      </c>
      <c r="X241" s="25" t="str">
        <f>IFERROR(VLOOKUP(C_Ope_003[[#This Row],[nota_2]],Clientes_Proveedores[[Ruc / Dni]:[Razon Social]],2,0),"")</f>
        <v>COMERCIALIZACION Y SERVICIOS EL EDEN S.A.C.</v>
      </c>
      <c r="Y241" s="25" t="s">
        <v>5933</v>
      </c>
      <c r="Z241" s="103"/>
      <c r="AA241" s="3" t="str">
        <f>IF(C_Ope_003[[#This Row],[fecha]]&gt;0,TEXT(C_Ope_003[[#This Row],[fecha]],"mmmm"),0)</f>
        <v>Julio</v>
      </c>
      <c r="AB241" s="49"/>
    </row>
    <row r="242" spans="1:28" ht="36" x14ac:dyDescent="0.3">
      <c r="A242" s="2">
        <f>IF(C_Ope_003[[#This Row],[tipo_r]]="R",COUNTIFS($C$1:$C241,"R")+1,"")</f>
        <v>241</v>
      </c>
      <c r="B242" s="19" t="str">
        <f t="shared" si="21"/>
        <v>C_Ope_003</v>
      </c>
      <c r="C242" s="3" t="s">
        <v>1330</v>
      </c>
      <c r="D242" s="14">
        <v>45862</v>
      </c>
      <c r="E242" s="5" t="s">
        <v>5595</v>
      </c>
      <c r="F242" s="5" t="s">
        <v>1336</v>
      </c>
      <c r="G242" s="6" t="s">
        <v>682</v>
      </c>
      <c r="H242" s="6" t="s">
        <v>68</v>
      </c>
      <c r="I242" s="6" t="s">
        <v>1353</v>
      </c>
      <c r="J242" s="6">
        <v>17090</v>
      </c>
      <c r="K242" s="7" t="s">
        <v>8399</v>
      </c>
      <c r="L242" s="8">
        <v>25009</v>
      </c>
      <c r="M242" s="8" t="str">
        <f t="shared" si="22"/>
        <v>PEN</v>
      </c>
      <c r="N242" s="13"/>
      <c r="O242" s="13">
        <v>10</v>
      </c>
      <c r="P242" s="3">
        <f t="shared" si="23"/>
        <v>0</v>
      </c>
      <c r="Q242" s="3">
        <f t="shared" si="24"/>
        <v>10</v>
      </c>
      <c r="R242" s="3">
        <f t="shared" si="18"/>
        <v>93.75</v>
      </c>
      <c r="S242" s="24" t="s">
        <v>1334</v>
      </c>
      <c r="T242" s="24" t="s">
        <v>1334</v>
      </c>
      <c r="U242" s="3"/>
      <c r="V242" s="25" t="s">
        <v>7842</v>
      </c>
      <c r="W242" s="25">
        <v>20259858934</v>
      </c>
      <c r="X242" s="25" t="str">
        <f>IFERROR(VLOOKUP(C_Ope_003[[#This Row],[nota_2]],Clientes_Proveedores[[Ruc / Dni]:[Razon Social]],2,0),"")</f>
        <v>COMERCIALIZACION Y SERVICIOS EL EDEN S.A.C.</v>
      </c>
      <c r="Y242" s="25" t="s">
        <v>5933</v>
      </c>
      <c r="Z242" s="103"/>
      <c r="AA242" s="3" t="str">
        <f>IF(C_Ope_003[[#This Row],[fecha]]&gt;0,TEXT(C_Ope_003[[#This Row],[fecha]],"mmmm"),0)</f>
        <v>Julio</v>
      </c>
      <c r="AB242" s="49"/>
    </row>
    <row r="243" spans="1:28" ht="24" x14ac:dyDescent="0.3">
      <c r="A243" s="2">
        <f>IF(C_Ope_003[[#This Row],[tipo_r]]="R",COUNTIFS($C$1:$C242,"R")+1,"")</f>
        <v>242</v>
      </c>
      <c r="B243" s="19" t="str">
        <f t="shared" ref="B243:B253" si="25">"C_Ope_003"</f>
        <v>C_Ope_003</v>
      </c>
      <c r="C243" s="3" t="s">
        <v>1330</v>
      </c>
      <c r="D243" s="14">
        <v>45863</v>
      </c>
      <c r="E243" s="5" t="s">
        <v>5595</v>
      </c>
      <c r="F243" s="5" t="s">
        <v>1336</v>
      </c>
      <c r="G243" s="6" t="s">
        <v>456</v>
      </c>
      <c r="H243" s="6" t="s">
        <v>68</v>
      </c>
      <c r="I243" s="6" t="s">
        <v>1374</v>
      </c>
      <c r="J243" s="6">
        <v>307</v>
      </c>
      <c r="K243" s="7" t="s">
        <v>7777</v>
      </c>
      <c r="L243" s="8">
        <v>25014</v>
      </c>
      <c r="M243" s="8" t="str">
        <f t="shared" ref="M243:M253" si="26">"PEN"</f>
        <v>PEN</v>
      </c>
      <c r="N243" s="13"/>
      <c r="O243" s="13">
        <v>30</v>
      </c>
      <c r="P243" s="3">
        <f t="shared" ref="P243:P253" si="27">+IF(OR($F243="SALDO",$F243="INGRESO"),$O243,0)</f>
        <v>0</v>
      </c>
      <c r="Q243" s="3">
        <f t="shared" ref="Q243:Q253" si="28">+IF($F243="EGRESO",$O243,0)</f>
        <v>30</v>
      </c>
      <c r="R243" s="3">
        <f t="shared" si="18"/>
        <v>63.75</v>
      </c>
      <c r="S243" s="24" t="s">
        <v>1334</v>
      </c>
      <c r="T243" s="24" t="s">
        <v>1334</v>
      </c>
      <c r="U243" s="3"/>
      <c r="V243" s="25" t="s">
        <v>7842</v>
      </c>
      <c r="W243" s="25">
        <v>20600910010</v>
      </c>
      <c r="X243" s="25" t="str">
        <f>IFERROR(VLOOKUP(C_Ope_003[[#This Row],[nota_2]],Clientes_Proveedores[[Ruc / Dni]:[Razon Social]],2,0),"")</f>
        <v>SAN FRANCISCO JR SAC</v>
      </c>
      <c r="Y243" s="25" t="s">
        <v>7938</v>
      </c>
      <c r="Z243" s="103"/>
      <c r="AA243" s="3" t="str">
        <f>IF(C_Ope_003[[#This Row],[fecha]]&gt;0,TEXT(C_Ope_003[[#This Row],[fecha]],"mmmm"),0)</f>
        <v>Julio</v>
      </c>
      <c r="AB243" s="49"/>
    </row>
    <row r="244" spans="1:28" ht="36" x14ac:dyDescent="0.3">
      <c r="A244" s="2">
        <f>IF(C_Ope_003[[#This Row],[tipo_r]]="R",COUNTIFS($C$1:$C243,"R")+1,"")</f>
        <v>243</v>
      </c>
      <c r="B244" s="19" t="str">
        <f t="shared" si="25"/>
        <v>C_Ope_003</v>
      </c>
      <c r="C244" s="3" t="s">
        <v>1330</v>
      </c>
      <c r="D244" s="14">
        <v>45868</v>
      </c>
      <c r="E244" s="5" t="s">
        <v>5595</v>
      </c>
      <c r="F244" s="5" t="s">
        <v>1336</v>
      </c>
      <c r="G244" s="6" t="s">
        <v>682</v>
      </c>
      <c r="H244" s="6" t="s">
        <v>68</v>
      </c>
      <c r="I244" s="6" t="s">
        <v>1353</v>
      </c>
      <c r="J244" s="6">
        <v>17156</v>
      </c>
      <c r="K244" s="7" t="s">
        <v>8400</v>
      </c>
      <c r="L244" s="8">
        <v>25043</v>
      </c>
      <c r="M244" s="8" t="str">
        <f t="shared" si="26"/>
        <v>PEN</v>
      </c>
      <c r="N244" s="13"/>
      <c r="O244" s="13">
        <v>20</v>
      </c>
      <c r="P244" s="3">
        <f t="shared" si="27"/>
        <v>0</v>
      </c>
      <c r="Q244" s="3">
        <f t="shared" si="28"/>
        <v>20</v>
      </c>
      <c r="R244" s="3">
        <f t="shared" si="18"/>
        <v>43.75</v>
      </c>
      <c r="S244" s="24" t="s">
        <v>1334</v>
      </c>
      <c r="T244" s="24" t="s">
        <v>1334</v>
      </c>
      <c r="U244" s="3"/>
      <c r="V244" s="25" t="s">
        <v>7842</v>
      </c>
      <c r="W244" s="25">
        <v>20259858934</v>
      </c>
      <c r="X244" s="25" t="str">
        <f>IFERROR(VLOOKUP(C_Ope_003[[#This Row],[nota_2]],Clientes_Proveedores[[Ruc / Dni]:[Razon Social]],2,0),"")</f>
        <v>COMERCIALIZACION Y SERVICIOS EL EDEN S.A.C.</v>
      </c>
      <c r="Y244" s="25" t="s">
        <v>5933</v>
      </c>
      <c r="Z244" s="103"/>
      <c r="AA244" s="3" t="str">
        <f>IF(C_Ope_003[[#This Row],[fecha]]&gt;0,TEXT(C_Ope_003[[#This Row],[fecha]],"mmmm"),0)</f>
        <v>Julio</v>
      </c>
      <c r="AB244" s="49"/>
    </row>
    <row r="245" spans="1:28" ht="36" x14ac:dyDescent="0.3">
      <c r="A245" s="2">
        <f>IF(C_Ope_003[[#This Row],[tipo_r]]="R",COUNTIFS($C$1:$C244,"R")+1,"")</f>
        <v>244</v>
      </c>
      <c r="B245" s="19" t="str">
        <f t="shared" si="25"/>
        <v>C_Ope_003</v>
      </c>
      <c r="C245" s="3" t="s">
        <v>1330</v>
      </c>
      <c r="D245" s="14">
        <v>45869</v>
      </c>
      <c r="E245" s="5" t="s">
        <v>5595</v>
      </c>
      <c r="F245" s="5" t="s">
        <v>1336</v>
      </c>
      <c r="G245" s="6" t="s">
        <v>682</v>
      </c>
      <c r="H245" s="6" t="s">
        <v>68</v>
      </c>
      <c r="I245" s="6" t="s">
        <v>1353</v>
      </c>
      <c r="J245" s="6">
        <v>17165</v>
      </c>
      <c r="K245" s="7" t="s">
        <v>8401</v>
      </c>
      <c r="L245" s="8">
        <v>25044</v>
      </c>
      <c r="M245" s="8" t="str">
        <f t="shared" si="26"/>
        <v>PEN</v>
      </c>
      <c r="N245" s="13"/>
      <c r="O245" s="13">
        <v>20</v>
      </c>
      <c r="P245" s="3">
        <f t="shared" si="27"/>
        <v>0</v>
      </c>
      <c r="Q245" s="3">
        <f t="shared" si="28"/>
        <v>20</v>
      </c>
      <c r="R245" s="3">
        <f t="shared" si="18"/>
        <v>23.75</v>
      </c>
      <c r="S245" s="24" t="s">
        <v>1334</v>
      </c>
      <c r="T245" s="24" t="s">
        <v>1334</v>
      </c>
      <c r="U245" s="3"/>
      <c r="V245" s="25" t="s">
        <v>7842</v>
      </c>
      <c r="W245" s="25">
        <v>20259858934</v>
      </c>
      <c r="X245" s="25" t="str">
        <f>IFERROR(VLOOKUP(C_Ope_003[[#This Row],[nota_2]],Clientes_Proveedores[[Ruc / Dni]:[Razon Social]],2,0),"")</f>
        <v>COMERCIALIZACION Y SERVICIOS EL EDEN S.A.C.</v>
      </c>
      <c r="Y245" s="25" t="s">
        <v>5933</v>
      </c>
      <c r="Z245" s="103"/>
      <c r="AA245" s="3" t="str">
        <f>IF(C_Ope_003[[#This Row],[fecha]]&gt;0,TEXT(C_Ope_003[[#This Row],[fecha]],"mmmm"),0)</f>
        <v>Julio</v>
      </c>
      <c r="AB245" s="49"/>
    </row>
    <row r="246" spans="1:28" x14ac:dyDescent="0.3">
      <c r="A246" s="2">
        <f>IF(C_Ope_003[[#This Row],[tipo_r]]="R",COUNTIFS($C$1:$C245,"R")+1,"")</f>
        <v>245</v>
      </c>
      <c r="B246" s="19" t="str">
        <f t="shared" si="25"/>
        <v>C_Ope_003</v>
      </c>
      <c r="C246" s="3" t="s">
        <v>1330</v>
      </c>
      <c r="D246" s="14">
        <v>45870</v>
      </c>
      <c r="E246" s="5" t="s">
        <v>5595</v>
      </c>
      <c r="F246" s="5" t="s">
        <v>1336</v>
      </c>
      <c r="G246" s="6" t="s">
        <v>978</v>
      </c>
      <c r="H246" s="6" t="s">
        <v>68</v>
      </c>
      <c r="I246" s="6" t="s">
        <v>6204</v>
      </c>
      <c r="J246" s="6">
        <v>1799996</v>
      </c>
      <c r="K246" s="7" t="s">
        <v>8402</v>
      </c>
      <c r="L246" s="8">
        <v>25046</v>
      </c>
      <c r="M246" s="8" t="str">
        <f t="shared" si="26"/>
        <v>PEN</v>
      </c>
      <c r="N246" s="13"/>
      <c r="O246" s="13">
        <v>12</v>
      </c>
      <c r="P246" s="3">
        <f t="shared" si="27"/>
        <v>0</v>
      </c>
      <c r="Q246" s="3">
        <f t="shared" si="28"/>
        <v>12</v>
      </c>
      <c r="R246" s="3">
        <f t="shared" si="18"/>
        <v>11.75</v>
      </c>
      <c r="S246" s="24" t="s">
        <v>1334</v>
      </c>
      <c r="T246" s="24" t="s">
        <v>1334</v>
      </c>
      <c r="U246" s="3"/>
      <c r="V246" s="25" t="s">
        <v>8006</v>
      </c>
      <c r="W246" s="25">
        <v>20517252558</v>
      </c>
      <c r="X246" s="25" t="str">
        <f>IFERROR(VLOOKUP(C_Ope_003[[#This Row],[nota_2]],Clientes_Proveedores[[Ruc / Dni]:[Razon Social]],2,0),"")</f>
        <v>COVISUR S.A.</v>
      </c>
      <c r="Y246" s="25" t="s">
        <v>7888</v>
      </c>
      <c r="Z246" s="103"/>
      <c r="AA246" s="3" t="str">
        <f>IF(C_Ope_003[[#This Row],[fecha]]&gt;0,TEXT(C_Ope_003[[#This Row],[fecha]],"mmmm"),0)</f>
        <v>Agosto</v>
      </c>
      <c r="AB246" s="49"/>
    </row>
    <row r="247" spans="1:28" x14ac:dyDescent="0.3">
      <c r="A247" s="2">
        <f>IF(C_Ope_003[[#This Row],[tipo_r]]="R",COUNTIFS($C$1:$C246,"R")+1,"")</f>
        <v>246</v>
      </c>
      <c r="B247" s="19" t="str">
        <f>"C_Ope_003"</f>
        <v>C_Ope_003</v>
      </c>
      <c r="C247" s="3" t="s">
        <v>1330</v>
      </c>
      <c r="D247" s="14">
        <v>45873</v>
      </c>
      <c r="E247" s="5" t="s">
        <v>3634</v>
      </c>
      <c r="F247" s="5" t="s">
        <v>1303</v>
      </c>
      <c r="G247" s="6"/>
      <c r="H247" s="6"/>
      <c r="I247" s="6"/>
      <c r="J247" s="6"/>
      <c r="K247" s="7" t="s">
        <v>7516</v>
      </c>
      <c r="L247" s="8">
        <v>25079</v>
      </c>
      <c r="M247" s="8" t="str">
        <f>"PEN"</f>
        <v>PEN</v>
      </c>
      <c r="N247" s="13"/>
      <c r="O247" s="13">
        <v>140</v>
      </c>
      <c r="P247" s="3">
        <f>+IF(OR($F247="SALDO",$F247="INGRESO"),$O247,0)</f>
        <v>140</v>
      </c>
      <c r="Q247" s="3">
        <f>+IF($F247="EGRESO",$O247,0)</f>
        <v>0</v>
      </c>
      <c r="R247" s="3">
        <f t="shared" si="18"/>
        <v>151.75</v>
      </c>
      <c r="S247" s="24" t="s">
        <v>1334</v>
      </c>
      <c r="T247" s="24" t="s">
        <v>1334</v>
      </c>
      <c r="U247" s="3"/>
      <c r="V247" s="25"/>
      <c r="W247" s="25"/>
      <c r="X247" s="25" t="str">
        <f>IFERROR(VLOOKUP(C_Ope_003[[#This Row],[nota_2]],Clientes_Proveedores[[Ruc / Dni]:[Razon Social]],2,0),"")</f>
        <v/>
      </c>
      <c r="Y247" s="25"/>
      <c r="Z247" s="103"/>
      <c r="AA247" s="3" t="str">
        <f>IF(C_Ope_003[[#This Row],[fecha]]&gt;0,TEXT(C_Ope_003[[#This Row],[fecha]],"mmmm"),0)</f>
        <v>Agosto</v>
      </c>
      <c r="AB247" s="49"/>
    </row>
    <row r="248" spans="1:28" ht="24" x14ac:dyDescent="0.3">
      <c r="A248" s="2">
        <f>IF(C_Ope_003[[#This Row],[tipo_r]]="R",COUNTIFS($C$1:$C247,"R")+1,"")</f>
        <v>247</v>
      </c>
      <c r="B248" s="19" t="str">
        <f t="shared" si="25"/>
        <v>C_Ope_003</v>
      </c>
      <c r="C248" s="3" t="s">
        <v>1330</v>
      </c>
      <c r="D248" s="14">
        <v>45873</v>
      </c>
      <c r="E248" s="5" t="s">
        <v>5595</v>
      </c>
      <c r="F248" s="5" t="s">
        <v>1336</v>
      </c>
      <c r="G248" s="6" t="s">
        <v>978</v>
      </c>
      <c r="H248" s="6" t="s">
        <v>68</v>
      </c>
      <c r="I248" s="6" t="s">
        <v>6203</v>
      </c>
      <c r="J248" s="6">
        <v>2133054</v>
      </c>
      <c r="K248" s="7" t="s">
        <v>8403</v>
      </c>
      <c r="L248" s="8">
        <v>25064</v>
      </c>
      <c r="M248" s="8" t="str">
        <f t="shared" si="26"/>
        <v>PEN</v>
      </c>
      <c r="N248" s="13"/>
      <c r="O248" s="13">
        <v>12</v>
      </c>
      <c r="P248" s="3">
        <f t="shared" si="27"/>
        <v>0</v>
      </c>
      <c r="Q248" s="3">
        <f t="shared" si="28"/>
        <v>12</v>
      </c>
      <c r="R248" s="3">
        <f t="shared" si="18"/>
        <v>139.75</v>
      </c>
      <c r="S248" s="24" t="s">
        <v>1334</v>
      </c>
      <c r="T248" s="24" t="s">
        <v>1334</v>
      </c>
      <c r="U248" s="3"/>
      <c r="V248" s="25" t="s">
        <v>8006</v>
      </c>
      <c r="W248" s="25">
        <v>20517252558</v>
      </c>
      <c r="X248" s="25" t="str">
        <f>IFERROR(VLOOKUP(C_Ope_003[[#This Row],[nota_2]],Clientes_Proveedores[[Ruc / Dni]:[Razon Social]],2,0),"")</f>
        <v>COVISUR S.A.</v>
      </c>
      <c r="Y248" s="25" t="s">
        <v>7888</v>
      </c>
      <c r="Z248" s="103"/>
      <c r="AA248" s="3" t="str">
        <f>IF(C_Ope_003[[#This Row],[fecha]]&gt;0,TEXT(C_Ope_003[[#This Row],[fecha]],"mmmm"),0)</f>
        <v>Agosto</v>
      </c>
      <c r="AB248" s="49"/>
    </row>
    <row r="249" spans="1:28" x14ac:dyDescent="0.3">
      <c r="A249" s="2">
        <f>IF(C_Ope_003[[#This Row],[tipo_r]]="R",COUNTIFS($C$1:$C248,"R")+1,"")</f>
        <v>248</v>
      </c>
      <c r="B249" s="19" t="str">
        <f t="shared" si="25"/>
        <v>C_Ope_003</v>
      </c>
      <c r="C249" s="3" t="s">
        <v>1330</v>
      </c>
      <c r="D249" s="14">
        <v>45873</v>
      </c>
      <c r="E249" s="5" t="s">
        <v>5595</v>
      </c>
      <c r="F249" s="5" t="s">
        <v>1336</v>
      </c>
      <c r="G249" s="6" t="s">
        <v>978</v>
      </c>
      <c r="H249" s="6" t="s">
        <v>68</v>
      </c>
      <c r="I249" s="6" t="s">
        <v>5688</v>
      </c>
      <c r="J249" s="6">
        <v>2422670</v>
      </c>
      <c r="K249" s="7" t="s">
        <v>8404</v>
      </c>
      <c r="L249" s="8">
        <v>25078</v>
      </c>
      <c r="M249" s="8" t="str">
        <f t="shared" si="26"/>
        <v>PEN</v>
      </c>
      <c r="N249" s="13"/>
      <c r="O249" s="13">
        <v>12</v>
      </c>
      <c r="P249" s="3">
        <f t="shared" si="27"/>
        <v>0</v>
      </c>
      <c r="Q249" s="3">
        <f t="shared" si="28"/>
        <v>12</v>
      </c>
      <c r="R249" s="3">
        <f t="shared" si="18"/>
        <v>127.75</v>
      </c>
      <c r="S249" s="24" t="s">
        <v>1334</v>
      </c>
      <c r="T249" s="24" t="s">
        <v>1334</v>
      </c>
      <c r="U249" s="3"/>
      <c r="V249" s="25" t="s">
        <v>8006</v>
      </c>
      <c r="W249" s="25">
        <v>20517252558</v>
      </c>
      <c r="X249" s="25" t="str">
        <f>IFERROR(VLOOKUP(C_Ope_003[[#This Row],[nota_2]],Clientes_Proveedores[[Ruc / Dni]:[Razon Social]],2,0),"")</f>
        <v>COVISUR S.A.</v>
      </c>
      <c r="Y249" s="25" t="s">
        <v>7888</v>
      </c>
      <c r="Z249" s="103"/>
      <c r="AA249" s="3" t="str">
        <f>IF(C_Ope_003[[#This Row],[fecha]]&gt;0,TEXT(C_Ope_003[[#This Row],[fecha]],"mmmm"),0)</f>
        <v>Agosto</v>
      </c>
      <c r="AB249" s="49"/>
    </row>
    <row r="250" spans="1:28" ht="24" x14ac:dyDescent="0.3">
      <c r="A250" s="2">
        <f>IF(C_Ope_003[[#This Row],[tipo_r]]="R",COUNTIFS($C$1:$C249,"R")+1,"")</f>
        <v>249</v>
      </c>
      <c r="B250" s="19" t="str">
        <f t="shared" si="25"/>
        <v>C_Ope_003</v>
      </c>
      <c r="C250" s="3" t="s">
        <v>1330</v>
      </c>
      <c r="D250" s="14">
        <v>45874</v>
      </c>
      <c r="E250" s="5" t="s">
        <v>5595</v>
      </c>
      <c r="F250" s="5" t="s">
        <v>1336</v>
      </c>
      <c r="G250" s="6" t="s">
        <v>978</v>
      </c>
      <c r="H250" s="6" t="s">
        <v>68</v>
      </c>
      <c r="I250" s="6" t="s">
        <v>6203</v>
      </c>
      <c r="J250" s="6">
        <v>2134105</v>
      </c>
      <c r="K250" s="7" t="s">
        <v>8405</v>
      </c>
      <c r="L250" s="8">
        <v>25093</v>
      </c>
      <c r="M250" s="8" t="str">
        <f t="shared" si="26"/>
        <v>PEN</v>
      </c>
      <c r="N250" s="13"/>
      <c r="O250" s="13">
        <v>12</v>
      </c>
      <c r="P250" s="3">
        <f t="shared" si="27"/>
        <v>0</v>
      </c>
      <c r="Q250" s="3">
        <f t="shared" si="28"/>
        <v>12</v>
      </c>
      <c r="R250" s="3">
        <f t="shared" si="18"/>
        <v>115.75</v>
      </c>
      <c r="S250" s="24" t="s">
        <v>1334</v>
      </c>
      <c r="T250" s="24" t="s">
        <v>1334</v>
      </c>
      <c r="U250" s="3"/>
      <c r="V250" s="25" t="s">
        <v>8006</v>
      </c>
      <c r="W250" s="25">
        <v>20517252558</v>
      </c>
      <c r="X250" s="25" t="str">
        <f>IFERROR(VLOOKUP(C_Ope_003[[#This Row],[nota_2]],Clientes_Proveedores[[Ruc / Dni]:[Razon Social]],2,0),"")</f>
        <v>COVISUR S.A.</v>
      </c>
      <c r="Y250" s="25" t="s">
        <v>7888</v>
      </c>
      <c r="Z250" s="103"/>
      <c r="AA250" s="3" t="str">
        <f>IF(C_Ope_003[[#This Row],[fecha]]&gt;0,TEXT(C_Ope_003[[#This Row],[fecha]],"mmmm"),0)</f>
        <v>Agosto</v>
      </c>
      <c r="AB250" s="49"/>
    </row>
    <row r="251" spans="1:28" x14ac:dyDescent="0.3">
      <c r="A251" s="2">
        <f>IF(C_Ope_003[[#This Row],[tipo_r]]="R",COUNTIFS($C$1:$C250,"R")+1,"")</f>
        <v>250</v>
      </c>
      <c r="B251" s="19" t="str">
        <f t="shared" si="25"/>
        <v>C_Ope_003</v>
      </c>
      <c r="C251" s="3" t="s">
        <v>1330</v>
      </c>
      <c r="D251" s="14">
        <v>45877</v>
      </c>
      <c r="E251" s="5" t="s">
        <v>5595</v>
      </c>
      <c r="F251" s="5" t="s">
        <v>1336</v>
      </c>
      <c r="G251" s="6" t="s">
        <v>978</v>
      </c>
      <c r="H251" s="6" t="s">
        <v>68</v>
      </c>
      <c r="I251" s="6" t="s">
        <v>5688</v>
      </c>
      <c r="J251" s="6">
        <v>2427754</v>
      </c>
      <c r="K251" s="7" t="s">
        <v>8406</v>
      </c>
      <c r="L251" s="8">
        <v>25115</v>
      </c>
      <c r="M251" s="8" t="str">
        <f t="shared" si="26"/>
        <v>PEN</v>
      </c>
      <c r="N251" s="13"/>
      <c r="O251" s="13">
        <v>12</v>
      </c>
      <c r="P251" s="3">
        <f t="shared" si="27"/>
        <v>0</v>
      </c>
      <c r="Q251" s="3">
        <f t="shared" si="28"/>
        <v>12</v>
      </c>
      <c r="R251" s="3">
        <f t="shared" si="18"/>
        <v>103.75</v>
      </c>
      <c r="S251" s="24" t="s">
        <v>1334</v>
      </c>
      <c r="T251" s="24" t="s">
        <v>1334</v>
      </c>
      <c r="U251" s="3"/>
      <c r="V251" s="25" t="s">
        <v>8006</v>
      </c>
      <c r="W251" s="25">
        <v>20517252558</v>
      </c>
      <c r="X251" s="25" t="str">
        <f>IFERROR(VLOOKUP(C_Ope_003[[#This Row],[nota_2]],Clientes_Proveedores[[Ruc / Dni]:[Razon Social]],2,0),"")</f>
        <v>COVISUR S.A.</v>
      </c>
      <c r="Y251" s="25" t="s">
        <v>7888</v>
      </c>
      <c r="Z251" s="103"/>
      <c r="AA251" s="3" t="str">
        <f>IF(C_Ope_003[[#This Row],[fecha]]&gt;0,TEXT(C_Ope_003[[#This Row],[fecha]],"mmmm"),0)</f>
        <v>Agosto</v>
      </c>
      <c r="AB251" s="49"/>
    </row>
    <row r="252" spans="1:28" ht="24" x14ac:dyDescent="0.3">
      <c r="A252" s="2">
        <f>IF(C_Ope_003[[#This Row],[tipo_r]]="R",COUNTIFS($C$1:$C251,"R")+1,"")</f>
        <v>251</v>
      </c>
      <c r="B252" s="19" t="str">
        <f>"C_Ope_003"</f>
        <v>C_Ope_003</v>
      </c>
      <c r="C252" s="3" t="s">
        <v>1330</v>
      </c>
      <c r="D252" s="14">
        <v>45877</v>
      </c>
      <c r="E252" s="5" t="s">
        <v>5595</v>
      </c>
      <c r="F252" s="5" t="s">
        <v>1336</v>
      </c>
      <c r="G252" s="6" t="s">
        <v>1121</v>
      </c>
      <c r="H252" s="6" t="s">
        <v>75</v>
      </c>
      <c r="I252" s="6">
        <v>1</v>
      </c>
      <c r="J252" s="6">
        <v>439</v>
      </c>
      <c r="K252" s="7" t="s">
        <v>8407</v>
      </c>
      <c r="L252" s="8">
        <v>25204</v>
      </c>
      <c r="M252" s="8" t="str">
        <f>"PEN"</f>
        <v>PEN</v>
      </c>
      <c r="N252" s="13"/>
      <c r="O252" s="13">
        <v>50</v>
      </c>
      <c r="P252" s="3">
        <f>+IF(OR($F252="SALDO",$F252="INGRESO"),$O252,0)</f>
        <v>0</v>
      </c>
      <c r="Q252" s="3">
        <f>+IF($F252="EGRESO",$O252,0)</f>
        <v>50</v>
      </c>
      <c r="R252" s="3">
        <f t="shared" si="18"/>
        <v>53.75</v>
      </c>
      <c r="S252" s="24" t="s">
        <v>1334</v>
      </c>
      <c r="T252" s="24" t="s">
        <v>1334</v>
      </c>
      <c r="U252" s="3"/>
      <c r="V252" s="25" t="s">
        <v>8006</v>
      </c>
      <c r="W252" s="25">
        <v>10735413185</v>
      </c>
      <c r="X252" s="25" t="str">
        <f>IFERROR(VLOOKUP(C_Ope_003[[#This Row],[nota_2]],Clientes_Proveedores[[Ruc / Dni]:[Razon Social]],2,0),"")</f>
        <v>ROMERO AROCUTIPA BRIGIDA MARGOTT</v>
      </c>
      <c r="Y252" s="25" t="s">
        <v>7938</v>
      </c>
      <c r="Z252" s="103"/>
      <c r="AA252" s="3" t="str">
        <f>IF(C_Ope_003[[#This Row],[fecha]]&gt;0,TEXT(C_Ope_003[[#This Row],[fecha]],"mmmm"),0)</f>
        <v>Agosto</v>
      </c>
      <c r="AB252" s="49"/>
    </row>
    <row r="253" spans="1:28" x14ac:dyDescent="0.3">
      <c r="A253" s="2">
        <f>IF(C_Ope_003[[#This Row],[tipo_r]]="R",COUNTIFS($C$1:$C252,"R")+1,"")</f>
        <v>252</v>
      </c>
      <c r="B253" s="19" t="str">
        <f t="shared" si="25"/>
        <v>C_Ope_003</v>
      </c>
      <c r="C253" s="3" t="s">
        <v>1330</v>
      </c>
      <c r="D253" s="14">
        <v>45880</v>
      </c>
      <c r="E253" s="5" t="s">
        <v>5595</v>
      </c>
      <c r="F253" s="5" t="s">
        <v>1336</v>
      </c>
      <c r="G253" s="6" t="s">
        <v>978</v>
      </c>
      <c r="H253" s="6" t="s">
        <v>68</v>
      </c>
      <c r="I253" s="6" t="s">
        <v>5845</v>
      </c>
      <c r="J253" s="6">
        <v>1828780</v>
      </c>
      <c r="K253" s="7" t="s">
        <v>8408</v>
      </c>
      <c r="L253" s="8">
        <v>25116</v>
      </c>
      <c r="M253" s="8" t="str">
        <f t="shared" si="26"/>
        <v>PEN</v>
      </c>
      <c r="N253" s="13"/>
      <c r="O253" s="13">
        <v>12</v>
      </c>
      <c r="P253" s="3">
        <f t="shared" si="27"/>
        <v>0</v>
      </c>
      <c r="Q253" s="3">
        <f t="shared" si="28"/>
        <v>12</v>
      </c>
      <c r="R253" s="3">
        <f t="shared" si="18"/>
        <v>41.75</v>
      </c>
      <c r="S253" s="24" t="s">
        <v>1334</v>
      </c>
      <c r="T253" s="24" t="s">
        <v>1334</v>
      </c>
      <c r="U253" s="3"/>
      <c r="V253" s="25" t="s">
        <v>8006</v>
      </c>
      <c r="W253" s="25">
        <v>20517252558</v>
      </c>
      <c r="X253" s="25" t="str">
        <f>IFERROR(VLOOKUP(C_Ope_003[[#This Row],[nota_2]],Clientes_Proveedores[[Ruc / Dni]:[Razon Social]],2,0),"")</f>
        <v>COVISUR S.A.</v>
      </c>
      <c r="Y253" s="25" t="s">
        <v>7888</v>
      </c>
      <c r="Z253" s="103"/>
      <c r="AA253" s="3" t="str">
        <f>IF(C_Ope_003[[#This Row],[fecha]]&gt;0,TEXT(C_Ope_003[[#This Row],[fecha]],"mmmm"),0)</f>
        <v>Agosto</v>
      </c>
      <c r="AB253" s="49"/>
    </row>
    <row r="254" spans="1:28" x14ac:dyDescent="0.3">
      <c r="A254" s="2">
        <f>IF(C_Ope_003[[#This Row],[tipo_r]]="R",COUNTIFS($C$1:$C253,"R")+1,"")</f>
        <v>253</v>
      </c>
      <c r="B254" s="19" t="str">
        <f>"C_Ope_003"</f>
        <v>C_Ope_003</v>
      </c>
      <c r="C254" s="3" t="s">
        <v>1330</v>
      </c>
      <c r="D254" s="14">
        <v>45880</v>
      </c>
      <c r="E254" s="5" t="s">
        <v>3634</v>
      </c>
      <c r="F254" s="5" t="s">
        <v>1303</v>
      </c>
      <c r="G254" s="6"/>
      <c r="H254" s="6"/>
      <c r="I254" s="6"/>
      <c r="J254" s="6"/>
      <c r="K254" s="7" t="s">
        <v>7516</v>
      </c>
      <c r="L254" s="8">
        <v>25167</v>
      </c>
      <c r="M254" s="8" t="str">
        <f>"PEN"</f>
        <v>PEN</v>
      </c>
      <c r="N254" s="13"/>
      <c r="O254" s="13">
        <v>100</v>
      </c>
      <c r="P254" s="3">
        <f>+IF(OR($F254="SALDO",$F254="INGRESO"),$O254,0)</f>
        <v>100</v>
      </c>
      <c r="Q254" s="3">
        <f>+IF($F254="EGRESO",$O254,0)</f>
        <v>0</v>
      </c>
      <c r="R254" s="3">
        <f t="shared" si="18"/>
        <v>141.75</v>
      </c>
      <c r="S254" s="24" t="s">
        <v>1334</v>
      </c>
      <c r="T254" s="24" t="s">
        <v>1334</v>
      </c>
      <c r="U254" s="3"/>
      <c r="V254" s="25"/>
      <c r="W254" s="25"/>
      <c r="X254" s="25" t="str">
        <f>IFERROR(VLOOKUP(C_Ope_003[[#This Row],[nota_2]],Clientes_Proveedores[[Ruc / Dni]:[Razon Social]],2,0),"")</f>
        <v/>
      </c>
      <c r="Y254" s="25"/>
      <c r="Z254" s="103"/>
      <c r="AA254" s="3" t="str">
        <f>IF(C_Ope_003[[#This Row],[fecha]]&gt;0,TEXT(C_Ope_003[[#This Row],[fecha]],"mmmm"),0)</f>
        <v>Agosto</v>
      </c>
      <c r="AB254" s="49"/>
    </row>
    <row r="255" spans="1:28" x14ac:dyDescent="0.3">
      <c r="A255" s="2">
        <f>IF(C_Ope_003[[#This Row],[tipo_r]]="R",COUNTIFS($C$1:$C254,"R")+1,"")</f>
        <v>254</v>
      </c>
      <c r="B255" s="19" t="str">
        <f t="shared" ref="B255:B264" si="29">"C_Ope_003"</f>
        <v>C_Ope_003</v>
      </c>
      <c r="C255" s="3" t="s">
        <v>1330</v>
      </c>
      <c r="D255" s="14">
        <v>45881</v>
      </c>
      <c r="E255" s="5" t="s">
        <v>5595</v>
      </c>
      <c r="F255" s="5" t="s">
        <v>1336</v>
      </c>
      <c r="G255" s="6" t="s">
        <v>978</v>
      </c>
      <c r="H255" s="6" t="s">
        <v>68</v>
      </c>
      <c r="I255" s="6" t="s">
        <v>5688</v>
      </c>
      <c r="J255" s="6">
        <v>2432733</v>
      </c>
      <c r="K255" s="7" t="s">
        <v>8409</v>
      </c>
      <c r="L255" s="8">
        <v>25150</v>
      </c>
      <c r="M255" s="8" t="str">
        <f t="shared" ref="M255:M264" si="30">"PEN"</f>
        <v>PEN</v>
      </c>
      <c r="N255" s="13"/>
      <c r="O255" s="13">
        <v>12</v>
      </c>
      <c r="P255" s="3">
        <f t="shared" ref="P255:P264" si="31">+IF(OR($F255="SALDO",$F255="INGRESO"),$O255,0)</f>
        <v>0</v>
      </c>
      <c r="Q255" s="3">
        <f t="shared" ref="Q255:Q264" si="32">+IF($F255="EGRESO",$O255,0)</f>
        <v>12</v>
      </c>
      <c r="R255" s="3">
        <f t="shared" si="18"/>
        <v>129.75</v>
      </c>
      <c r="S255" s="24" t="s">
        <v>1334</v>
      </c>
      <c r="T255" s="24" t="s">
        <v>1334</v>
      </c>
      <c r="U255" s="3"/>
      <c r="V255" s="25" t="s">
        <v>8006</v>
      </c>
      <c r="W255" s="25">
        <v>20517252558</v>
      </c>
      <c r="X255" s="25" t="str">
        <f>IFERROR(VLOOKUP(C_Ope_003[[#This Row],[nota_2]],Clientes_Proveedores[[Ruc / Dni]:[Razon Social]],2,0),"")</f>
        <v>COVISUR S.A.</v>
      </c>
      <c r="Y255" s="25" t="s">
        <v>7888</v>
      </c>
      <c r="Z255" s="103"/>
      <c r="AA255" s="3" t="str">
        <f>IF(C_Ope_003[[#This Row],[fecha]]&gt;0,TEXT(C_Ope_003[[#This Row],[fecha]],"mmmm"),0)</f>
        <v>Agosto</v>
      </c>
      <c r="AB255" s="49"/>
    </row>
    <row r="256" spans="1:28" ht="36" x14ac:dyDescent="0.3">
      <c r="A256" s="2">
        <f>IF(C_Ope_003[[#This Row],[tipo_r]]="R",COUNTIFS($C$1:$C255,"R")+1,"")</f>
        <v>255</v>
      </c>
      <c r="B256" s="19" t="str">
        <f t="shared" si="29"/>
        <v>C_Ope_003</v>
      </c>
      <c r="C256" s="3" t="s">
        <v>1330</v>
      </c>
      <c r="D256" s="14">
        <v>45883</v>
      </c>
      <c r="E256" s="5" t="s">
        <v>5595</v>
      </c>
      <c r="F256" s="5" t="s">
        <v>1336</v>
      </c>
      <c r="G256" s="6" t="s">
        <v>682</v>
      </c>
      <c r="H256" s="6" t="s">
        <v>68</v>
      </c>
      <c r="I256" s="6" t="s">
        <v>1353</v>
      </c>
      <c r="J256" s="6">
        <v>17334</v>
      </c>
      <c r="K256" s="7" t="s">
        <v>8410</v>
      </c>
      <c r="L256" s="8">
        <v>25162</v>
      </c>
      <c r="M256" s="8" t="str">
        <f t="shared" si="30"/>
        <v>PEN</v>
      </c>
      <c r="N256" s="13"/>
      <c r="O256" s="13">
        <v>20</v>
      </c>
      <c r="P256" s="3">
        <f t="shared" si="31"/>
        <v>0</v>
      </c>
      <c r="Q256" s="3">
        <f t="shared" si="32"/>
        <v>20</v>
      </c>
      <c r="R256" s="3">
        <f t="shared" si="18"/>
        <v>109.75</v>
      </c>
      <c r="S256" s="24" t="s">
        <v>1334</v>
      </c>
      <c r="T256" s="24" t="s">
        <v>1334</v>
      </c>
      <c r="U256" s="3"/>
      <c r="V256" s="25" t="s">
        <v>8006</v>
      </c>
      <c r="W256" s="25">
        <v>20259858934</v>
      </c>
      <c r="X256" s="25" t="str">
        <f>IFERROR(VLOOKUP(C_Ope_003[[#This Row],[nota_2]],Clientes_Proveedores[[Ruc / Dni]:[Razon Social]],2,0),"")</f>
        <v>COMERCIALIZACION Y SERVICIOS EL EDEN S.A.C.</v>
      </c>
      <c r="Y256" s="25" t="s">
        <v>5933</v>
      </c>
      <c r="Z256" s="103"/>
      <c r="AA256" s="3" t="str">
        <f>IF(C_Ope_003[[#This Row],[fecha]]&gt;0,TEXT(C_Ope_003[[#This Row],[fecha]],"mmmm"),0)</f>
        <v>Agosto</v>
      </c>
      <c r="AB256" s="49"/>
    </row>
    <row r="257" spans="1:28" ht="24" x14ac:dyDescent="0.3">
      <c r="A257" s="2">
        <f>IF(C_Ope_003[[#This Row],[tipo_r]]="R",COUNTIFS($C$1:$C256,"R")+1,"")</f>
        <v>256</v>
      </c>
      <c r="B257" s="19" t="str">
        <f t="shared" si="29"/>
        <v>C_Ope_003</v>
      </c>
      <c r="C257" s="3" t="s">
        <v>1330</v>
      </c>
      <c r="D257" s="14">
        <v>45883</v>
      </c>
      <c r="E257" s="5" t="s">
        <v>5595</v>
      </c>
      <c r="F257" s="5" t="s">
        <v>1336</v>
      </c>
      <c r="G257" s="6" t="s">
        <v>1098</v>
      </c>
      <c r="H257" s="6" t="s">
        <v>75</v>
      </c>
      <c r="I257" s="6">
        <v>1</v>
      </c>
      <c r="J257" s="6">
        <v>2598</v>
      </c>
      <c r="K257" s="7" t="s">
        <v>8407</v>
      </c>
      <c r="L257" s="8">
        <v>25163</v>
      </c>
      <c r="M257" s="8" t="str">
        <f t="shared" si="30"/>
        <v>PEN</v>
      </c>
      <c r="N257" s="13"/>
      <c r="O257" s="13">
        <v>50</v>
      </c>
      <c r="P257" s="3">
        <f t="shared" si="31"/>
        <v>0</v>
      </c>
      <c r="Q257" s="3">
        <f t="shared" si="32"/>
        <v>50</v>
      </c>
      <c r="R257" s="3">
        <f t="shared" si="18"/>
        <v>59.75</v>
      </c>
      <c r="S257" s="24" t="s">
        <v>1334</v>
      </c>
      <c r="T257" s="24" t="s">
        <v>1334</v>
      </c>
      <c r="U257" s="3"/>
      <c r="V257" s="25" t="s">
        <v>8006</v>
      </c>
      <c r="W257" s="25">
        <v>10460411195</v>
      </c>
      <c r="X257" s="25" t="str">
        <f>IFERROR(VLOOKUP(C_Ope_003[[#This Row],[nota_2]],Clientes_Proveedores[[Ruc / Dni]:[Razon Social]],2,0),"")</f>
        <v>ROMERO CAMA ROXANA</v>
      </c>
      <c r="Y257" s="25" t="s">
        <v>7938</v>
      </c>
      <c r="Z257" s="103"/>
      <c r="AA257" s="3" t="str">
        <f>IF(C_Ope_003[[#This Row],[fecha]]&gt;0,TEXT(C_Ope_003[[#This Row],[fecha]],"mmmm"),0)</f>
        <v>Agosto</v>
      </c>
      <c r="AB257" s="49"/>
    </row>
    <row r="258" spans="1:28" x14ac:dyDescent="0.3">
      <c r="A258" s="2">
        <f>IF(C_Ope_003[[#This Row],[tipo_r]]="R",COUNTIFS($C$1:$C257,"R")+1,"")</f>
        <v>257</v>
      </c>
      <c r="B258" s="19" t="str">
        <f t="shared" si="29"/>
        <v>C_Ope_003</v>
      </c>
      <c r="C258" s="3" t="s">
        <v>1330</v>
      </c>
      <c r="D258" s="14">
        <v>45888</v>
      </c>
      <c r="E258" s="5" t="s">
        <v>5595</v>
      </c>
      <c r="F258" s="5" t="s">
        <v>1336</v>
      </c>
      <c r="G258" s="6" t="s">
        <v>978</v>
      </c>
      <c r="H258" s="6" t="s">
        <v>68</v>
      </c>
      <c r="I258" s="6" t="s">
        <v>5845</v>
      </c>
      <c r="J258" s="6">
        <v>1836488</v>
      </c>
      <c r="K258" s="7" t="s">
        <v>8411</v>
      </c>
      <c r="L258" s="8">
        <v>25185</v>
      </c>
      <c r="M258" s="8" t="str">
        <f t="shared" si="30"/>
        <v>PEN</v>
      </c>
      <c r="N258" s="13"/>
      <c r="O258" s="13">
        <v>12</v>
      </c>
      <c r="P258" s="3">
        <f t="shared" si="31"/>
        <v>0</v>
      </c>
      <c r="Q258" s="3">
        <f t="shared" si="32"/>
        <v>12</v>
      </c>
      <c r="R258" s="3">
        <f t="shared" ref="R258:R321" si="33">IFERROR(IF(F258="SALDO",P258,R257+P258-Q258),0)</f>
        <v>47.75</v>
      </c>
      <c r="S258" s="24" t="s">
        <v>1334</v>
      </c>
      <c r="T258" s="24" t="s">
        <v>1334</v>
      </c>
      <c r="U258" s="3"/>
      <c r="V258" s="25" t="s">
        <v>8006</v>
      </c>
      <c r="W258" s="25">
        <v>20517252558</v>
      </c>
      <c r="X258" s="25" t="str">
        <f>IFERROR(VLOOKUP(C_Ope_003[[#This Row],[nota_2]],Clientes_Proveedores[[Ruc / Dni]:[Razon Social]],2,0),"")</f>
        <v>COVISUR S.A.</v>
      </c>
      <c r="Y258" s="25" t="s">
        <v>7888</v>
      </c>
      <c r="Z258" s="103"/>
      <c r="AA258" s="3" t="str">
        <f>IF(C_Ope_003[[#This Row],[fecha]]&gt;0,TEXT(C_Ope_003[[#This Row],[fecha]],"mmmm"),0)</f>
        <v>Agosto</v>
      </c>
      <c r="AB258" s="49"/>
    </row>
    <row r="259" spans="1:28" x14ac:dyDescent="0.3">
      <c r="A259" s="2">
        <f>IF(C_Ope_003[[#This Row],[tipo_r]]="R",COUNTIFS($C$1:$C258,"R")+1,"")</f>
        <v>258</v>
      </c>
      <c r="B259" s="19" t="str">
        <f t="shared" si="29"/>
        <v>C_Ope_003</v>
      </c>
      <c r="C259" s="3" t="s">
        <v>1330</v>
      </c>
      <c r="D259" s="14">
        <v>45890</v>
      </c>
      <c r="E259" s="5" t="s">
        <v>5595</v>
      </c>
      <c r="F259" s="5" t="s">
        <v>1336</v>
      </c>
      <c r="G259" s="6" t="s">
        <v>978</v>
      </c>
      <c r="H259" s="6" t="s">
        <v>68</v>
      </c>
      <c r="I259" s="6" t="s">
        <v>5688</v>
      </c>
      <c r="J259" s="6">
        <v>2443783</v>
      </c>
      <c r="K259" s="7" t="s">
        <v>8412</v>
      </c>
      <c r="L259" s="8">
        <v>25225</v>
      </c>
      <c r="M259" s="8" t="str">
        <f t="shared" si="30"/>
        <v>PEN</v>
      </c>
      <c r="N259" s="13"/>
      <c r="O259" s="13">
        <v>12</v>
      </c>
      <c r="P259" s="3">
        <f t="shared" si="31"/>
        <v>0</v>
      </c>
      <c r="Q259" s="3">
        <f t="shared" si="32"/>
        <v>12</v>
      </c>
      <c r="R259" s="3">
        <f t="shared" si="33"/>
        <v>35.75</v>
      </c>
      <c r="S259" s="24" t="s">
        <v>1334</v>
      </c>
      <c r="T259" s="24" t="s">
        <v>1334</v>
      </c>
      <c r="U259" s="3"/>
      <c r="V259" s="25" t="s">
        <v>8006</v>
      </c>
      <c r="W259" s="25">
        <v>20517252558</v>
      </c>
      <c r="X259" s="25" t="str">
        <f>IFERROR(VLOOKUP(C_Ope_003[[#This Row],[nota_2]],Clientes_Proveedores[[Ruc / Dni]:[Razon Social]],2,0),"")</f>
        <v>COVISUR S.A.</v>
      </c>
      <c r="Y259" s="25" t="s">
        <v>7888</v>
      </c>
      <c r="Z259" s="103"/>
      <c r="AA259" s="3" t="str">
        <f>IF(C_Ope_003[[#This Row],[fecha]]&gt;0,TEXT(C_Ope_003[[#This Row],[fecha]],"mmmm"),0)</f>
        <v>Agosto</v>
      </c>
      <c r="AB259" s="49"/>
    </row>
    <row r="260" spans="1:28" ht="36" x14ac:dyDescent="0.3">
      <c r="A260" s="2">
        <f>IF(C_Ope_003[[#This Row],[tipo_r]]="R",COUNTIFS($C$1:$C259,"R")+1,"")</f>
        <v>259</v>
      </c>
      <c r="B260" s="19" t="str">
        <f t="shared" si="29"/>
        <v>C_Ope_003</v>
      </c>
      <c r="C260" s="3" t="s">
        <v>1330</v>
      </c>
      <c r="D260" s="14">
        <v>45890</v>
      </c>
      <c r="E260" s="5" t="s">
        <v>5595</v>
      </c>
      <c r="F260" s="5" t="s">
        <v>1336</v>
      </c>
      <c r="G260" s="6" t="s">
        <v>227</v>
      </c>
      <c r="H260" s="6" t="s">
        <v>68</v>
      </c>
      <c r="I260" s="6" t="s">
        <v>1390</v>
      </c>
      <c r="J260" s="6">
        <v>135829</v>
      </c>
      <c r="K260" s="7" t="s">
        <v>8413</v>
      </c>
      <c r="L260" s="8">
        <v>25223</v>
      </c>
      <c r="M260" s="8" t="str">
        <f t="shared" si="30"/>
        <v>PEN</v>
      </c>
      <c r="N260" s="13"/>
      <c r="O260" s="13">
        <v>10</v>
      </c>
      <c r="P260" s="3">
        <f t="shared" si="31"/>
        <v>0</v>
      </c>
      <c r="Q260" s="3">
        <f t="shared" si="32"/>
        <v>10</v>
      </c>
      <c r="R260" s="3">
        <f t="shared" si="33"/>
        <v>25.75</v>
      </c>
      <c r="S260" s="24" t="s">
        <v>1334</v>
      </c>
      <c r="T260" s="24" t="s">
        <v>1334</v>
      </c>
      <c r="U260" s="3"/>
      <c r="V260" s="25" t="s">
        <v>8006</v>
      </c>
      <c r="W260" s="25">
        <v>20124952850</v>
      </c>
      <c r="X260" s="25" t="str">
        <f>IFERROR(VLOOKUP(C_Ope_003[[#This Row],[nota_2]],Clientes_Proveedores[[Ruc / Dni]:[Razon Social]],2,0),"")</f>
        <v>ALIMENTOS Y SERVICIOS AGROPECUARIOS SRL.</v>
      </c>
      <c r="Y260" s="25" t="s">
        <v>5933</v>
      </c>
      <c r="Z260" s="103"/>
      <c r="AA260" s="3" t="str">
        <f>IF(C_Ope_003[[#This Row],[fecha]]&gt;0,TEXT(C_Ope_003[[#This Row],[fecha]],"mmmm"),0)</f>
        <v>Agosto</v>
      </c>
      <c r="AB260" s="49"/>
    </row>
    <row r="261" spans="1:28" ht="36" x14ac:dyDescent="0.3">
      <c r="A261" s="2">
        <f>IF(C_Ope_003[[#This Row],[tipo_r]]="R",COUNTIFS($C$1:$C260,"R")+1,"")</f>
        <v>260</v>
      </c>
      <c r="B261" s="19" t="str">
        <f t="shared" si="29"/>
        <v>C_Ope_003</v>
      </c>
      <c r="C261" s="3" t="s">
        <v>1330</v>
      </c>
      <c r="D261" s="14">
        <v>45890</v>
      </c>
      <c r="E261" s="5" t="s">
        <v>5595</v>
      </c>
      <c r="F261" s="5" t="s">
        <v>1336</v>
      </c>
      <c r="G261" s="6" t="s">
        <v>227</v>
      </c>
      <c r="H261" s="6" t="s">
        <v>68</v>
      </c>
      <c r="I261" s="6" t="s">
        <v>1390</v>
      </c>
      <c r="J261" s="6">
        <v>135830</v>
      </c>
      <c r="K261" s="7" t="s">
        <v>8414</v>
      </c>
      <c r="L261" s="8">
        <v>25224</v>
      </c>
      <c r="M261" s="8" t="str">
        <f t="shared" si="30"/>
        <v>PEN</v>
      </c>
      <c r="N261" s="13"/>
      <c r="O261" s="13">
        <v>10</v>
      </c>
      <c r="P261" s="3">
        <f t="shared" si="31"/>
        <v>0</v>
      </c>
      <c r="Q261" s="3">
        <f t="shared" si="32"/>
        <v>10</v>
      </c>
      <c r="R261" s="3">
        <f t="shared" si="33"/>
        <v>15.75</v>
      </c>
      <c r="S261" s="24" t="s">
        <v>1334</v>
      </c>
      <c r="T261" s="24" t="s">
        <v>1334</v>
      </c>
      <c r="U261" s="3"/>
      <c r="V261" s="25" t="s">
        <v>8006</v>
      </c>
      <c r="W261" s="25">
        <v>20124952850</v>
      </c>
      <c r="X261" s="25" t="str">
        <f>IFERROR(VLOOKUP(C_Ope_003[[#This Row],[nota_2]],Clientes_Proveedores[[Ruc / Dni]:[Razon Social]],2,0),"")</f>
        <v>ALIMENTOS Y SERVICIOS AGROPECUARIOS SRL.</v>
      </c>
      <c r="Y261" s="25" t="s">
        <v>5933</v>
      </c>
      <c r="Z261" s="103"/>
      <c r="AA261" s="3" t="str">
        <f>IF(C_Ope_003[[#This Row],[fecha]]&gt;0,TEXT(C_Ope_003[[#This Row],[fecha]],"mmmm"),0)</f>
        <v>Agosto</v>
      </c>
      <c r="AB261" s="49"/>
    </row>
    <row r="262" spans="1:28" ht="24" x14ac:dyDescent="0.3">
      <c r="A262" s="2">
        <f>IF(C_Ope_003[[#This Row],[tipo_r]]="R",COUNTIFS($C$1:$C261,"R")+1,"")</f>
        <v>261</v>
      </c>
      <c r="B262" s="19" t="str">
        <f t="shared" si="29"/>
        <v>C_Ope_003</v>
      </c>
      <c r="C262" s="3" t="s">
        <v>1330</v>
      </c>
      <c r="D262" s="14">
        <v>45891</v>
      </c>
      <c r="E262" s="5" t="s">
        <v>5595</v>
      </c>
      <c r="F262" s="5" t="s">
        <v>1336</v>
      </c>
      <c r="G262" s="6" t="s">
        <v>978</v>
      </c>
      <c r="H262" s="6" t="s">
        <v>68</v>
      </c>
      <c r="I262" s="6" t="s">
        <v>5845</v>
      </c>
      <c r="J262" s="6">
        <v>1839791</v>
      </c>
      <c r="K262" s="7" t="s">
        <v>8415</v>
      </c>
      <c r="L262" s="8">
        <v>25233</v>
      </c>
      <c r="M262" s="8" t="str">
        <f t="shared" si="30"/>
        <v>PEN</v>
      </c>
      <c r="N262" s="13"/>
      <c r="O262" s="13">
        <v>12</v>
      </c>
      <c r="P262" s="3">
        <f t="shared" si="31"/>
        <v>0</v>
      </c>
      <c r="Q262" s="3">
        <f t="shared" si="32"/>
        <v>12</v>
      </c>
      <c r="R262" s="3">
        <f t="shared" si="33"/>
        <v>3.75</v>
      </c>
      <c r="S262" s="24" t="s">
        <v>1334</v>
      </c>
      <c r="T262" s="24" t="s">
        <v>1334</v>
      </c>
      <c r="U262" s="3"/>
      <c r="V262" s="25" t="s">
        <v>8006</v>
      </c>
      <c r="W262" s="25">
        <v>20517252558</v>
      </c>
      <c r="X262" s="25" t="str">
        <f>IFERROR(VLOOKUP(C_Ope_003[[#This Row],[nota_2]],Clientes_Proveedores[[Ruc / Dni]:[Razon Social]],2,0),"")</f>
        <v>COVISUR S.A.</v>
      </c>
      <c r="Y262" s="25" t="s">
        <v>7888</v>
      </c>
      <c r="Z262" s="103"/>
      <c r="AA262" s="3" t="str">
        <f>IF(C_Ope_003[[#This Row],[fecha]]&gt;0,TEXT(C_Ope_003[[#This Row],[fecha]],"mmmm"),0)</f>
        <v>Agosto</v>
      </c>
      <c r="AB262" s="49"/>
    </row>
    <row r="263" spans="1:28" x14ac:dyDescent="0.3">
      <c r="A263" s="2">
        <f>IF(C_Ope_003[[#This Row],[tipo_r]]="R",COUNTIFS($C$1:$C262,"R")+1,"")</f>
        <v>262</v>
      </c>
      <c r="B263" s="19" t="str">
        <f t="shared" si="29"/>
        <v>C_Ope_003</v>
      </c>
      <c r="C263" s="3" t="s">
        <v>1330</v>
      </c>
      <c r="D263" s="14">
        <v>45891</v>
      </c>
      <c r="E263" s="5" t="s">
        <v>5595</v>
      </c>
      <c r="F263" s="5" t="s">
        <v>1336</v>
      </c>
      <c r="G263" s="6" t="s">
        <v>978</v>
      </c>
      <c r="H263" s="6" t="s">
        <v>68</v>
      </c>
      <c r="I263" s="6" t="s">
        <v>6204</v>
      </c>
      <c r="J263" s="6">
        <v>1819437</v>
      </c>
      <c r="K263" s="7" t="s">
        <v>8416</v>
      </c>
      <c r="L263" s="8">
        <v>25239</v>
      </c>
      <c r="M263" s="8" t="str">
        <f t="shared" si="30"/>
        <v>PEN</v>
      </c>
      <c r="N263" s="13"/>
      <c r="O263" s="13">
        <v>12</v>
      </c>
      <c r="P263" s="3">
        <f t="shared" si="31"/>
        <v>0</v>
      </c>
      <c r="Q263" s="3">
        <f t="shared" si="32"/>
        <v>12</v>
      </c>
      <c r="R263" s="3">
        <f t="shared" si="33"/>
        <v>-8.25</v>
      </c>
      <c r="S263" s="24" t="s">
        <v>1334</v>
      </c>
      <c r="T263" s="24" t="s">
        <v>1334</v>
      </c>
      <c r="U263" s="3"/>
      <c r="V263" s="25" t="s">
        <v>8006</v>
      </c>
      <c r="W263" s="25">
        <v>20517252558</v>
      </c>
      <c r="X263" s="25" t="str">
        <f>IFERROR(VLOOKUP(C_Ope_003[[#This Row],[nota_2]],Clientes_Proveedores[[Ruc / Dni]:[Razon Social]],2,0),"")</f>
        <v>COVISUR S.A.</v>
      </c>
      <c r="Y263" s="25" t="s">
        <v>7888</v>
      </c>
      <c r="Z263" s="103"/>
      <c r="AA263" s="3" t="str">
        <f>IF(C_Ope_003[[#This Row],[fecha]]&gt;0,TEXT(C_Ope_003[[#This Row],[fecha]],"mmmm"),0)</f>
        <v>Agosto</v>
      </c>
      <c r="AB263" s="49"/>
    </row>
    <row r="264" spans="1:28" x14ac:dyDescent="0.3">
      <c r="A264" s="2">
        <f>IF(C_Ope_003[[#This Row],[tipo_r]]="R",COUNTIFS($C$1:$C263,"R")+1,"")</f>
        <v>263</v>
      </c>
      <c r="B264" s="19" t="str">
        <f t="shared" si="29"/>
        <v>C_Ope_003</v>
      </c>
      <c r="C264" s="3" t="s">
        <v>1330</v>
      </c>
      <c r="D264" s="14">
        <v>45891</v>
      </c>
      <c r="E264" s="5" t="s">
        <v>5595</v>
      </c>
      <c r="F264" s="5" t="s">
        <v>1336</v>
      </c>
      <c r="G264" s="6" t="s">
        <v>978</v>
      </c>
      <c r="H264" s="6" t="s">
        <v>68</v>
      </c>
      <c r="I264" s="6" t="s">
        <v>6203</v>
      </c>
      <c r="J264" s="6">
        <v>2153404</v>
      </c>
      <c r="K264" s="7" t="s">
        <v>8416</v>
      </c>
      <c r="L264" s="8">
        <v>25240</v>
      </c>
      <c r="M264" s="8" t="str">
        <f t="shared" si="30"/>
        <v>PEN</v>
      </c>
      <c r="N264" s="13"/>
      <c r="O264" s="13">
        <v>12</v>
      </c>
      <c r="P264" s="3">
        <f t="shared" si="31"/>
        <v>0</v>
      </c>
      <c r="Q264" s="3">
        <f t="shared" si="32"/>
        <v>12</v>
      </c>
      <c r="R264" s="3">
        <f t="shared" si="33"/>
        <v>-20.25</v>
      </c>
      <c r="S264" s="24" t="s">
        <v>1334</v>
      </c>
      <c r="T264" s="24" t="s">
        <v>1334</v>
      </c>
      <c r="U264" s="3"/>
      <c r="V264" s="25" t="s">
        <v>8006</v>
      </c>
      <c r="W264" s="25">
        <v>20517252558</v>
      </c>
      <c r="X264" s="25" t="str">
        <f>IFERROR(VLOOKUP(C_Ope_003[[#This Row],[nota_2]],Clientes_Proveedores[[Ruc / Dni]:[Razon Social]],2,0),"")</f>
        <v>COVISUR S.A.</v>
      </c>
      <c r="Y264" s="25" t="s">
        <v>7888</v>
      </c>
      <c r="Z264" s="103"/>
      <c r="AA264" s="3" t="str">
        <f>IF(C_Ope_003[[#This Row],[fecha]]&gt;0,TEXT(C_Ope_003[[#This Row],[fecha]],"mmmm"),0)</f>
        <v>Agosto</v>
      </c>
      <c r="AB264" s="49"/>
    </row>
    <row r="265" spans="1:28" ht="24" x14ac:dyDescent="0.3">
      <c r="A265" s="2">
        <f>IF(C_Ope_003[[#This Row],[tipo_r]]="R",COUNTIFS($C$1:$C264,"R")+1,"")</f>
        <v>264</v>
      </c>
      <c r="B265" s="19" t="str">
        <f t="shared" ref="B265:B279" si="34">"C_Ope_003"</f>
        <v>C_Ope_003</v>
      </c>
      <c r="C265" s="3" t="s">
        <v>1330</v>
      </c>
      <c r="D265" s="14">
        <v>45891</v>
      </c>
      <c r="E265" s="5" t="s">
        <v>5595</v>
      </c>
      <c r="F265" s="5" t="s">
        <v>1336</v>
      </c>
      <c r="G265" s="6" t="s">
        <v>978</v>
      </c>
      <c r="H265" s="6" t="s">
        <v>68</v>
      </c>
      <c r="I265" s="6" t="s">
        <v>6204</v>
      </c>
      <c r="J265" s="6">
        <v>1819669</v>
      </c>
      <c r="K265" s="7" t="s">
        <v>8417</v>
      </c>
      <c r="L265" s="8">
        <v>25241</v>
      </c>
      <c r="M265" s="8" t="str">
        <f t="shared" ref="M265:M279" si="35">"PEN"</f>
        <v>PEN</v>
      </c>
      <c r="N265" s="13"/>
      <c r="O265" s="13">
        <v>8</v>
      </c>
      <c r="P265" s="3">
        <f t="shared" ref="P265:P279" si="36">+IF(OR($F265="SALDO",$F265="INGRESO"),$O265,0)</f>
        <v>0</v>
      </c>
      <c r="Q265" s="3">
        <f t="shared" ref="Q265:Q279" si="37">+IF($F265="EGRESO",$O265,0)</f>
        <v>8</v>
      </c>
      <c r="R265" s="3">
        <f t="shared" si="33"/>
        <v>-28.25</v>
      </c>
      <c r="S265" s="24" t="s">
        <v>1334</v>
      </c>
      <c r="T265" s="24" t="s">
        <v>1334</v>
      </c>
      <c r="U265" s="3"/>
      <c r="V265" s="25" t="s">
        <v>7842</v>
      </c>
      <c r="W265" s="25">
        <v>20517252558</v>
      </c>
      <c r="X265" s="25" t="str">
        <f>IFERROR(VLOOKUP(C_Ope_003[[#This Row],[nota_2]],Clientes_Proveedores[[Ruc / Dni]:[Razon Social]],2,0),"")</f>
        <v>COVISUR S.A.</v>
      </c>
      <c r="Y265" s="25" t="s">
        <v>7888</v>
      </c>
      <c r="Z265" s="103"/>
      <c r="AA265" s="3" t="str">
        <f>IF(C_Ope_003[[#This Row],[fecha]]&gt;0,TEXT(C_Ope_003[[#This Row],[fecha]],"mmmm"),0)</f>
        <v>Agosto</v>
      </c>
      <c r="AB265" s="49"/>
    </row>
    <row r="266" spans="1:28" x14ac:dyDescent="0.3">
      <c r="A266" s="2">
        <f>IF(C_Ope_003[[#This Row],[tipo_r]]="R",COUNTIFS($C$1:$C265,"R")+1,"")</f>
        <v>265</v>
      </c>
      <c r="B266" s="19" t="str">
        <f t="shared" si="34"/>
        <v>C_Ope_003</v>
      </c>
      <c r="C266" s="3" t="s">
        <v>1330</v>
      </c>
      <c r="D266" s="14">
        <v>45894</v>
      </c>
      <c r="E266" s="5" t="s">
        <v>5595</v>
      </c>
      <c r="F266" s="5" t="s">
        <v>1336</v>
      </c>
      <c r="G266" s="6" t="s">
        <v>978</v>
      </c>
      <c r="H266" s="6" t="s">
        <v>68</v>
      </c>
      <c r="I266" s="6" t="s">
        <v>6379</v>
      </c>
      <c r="J266" s="6">
        <v>499362</v>
      </c>
      <c r="K266" s="7" t="s">
        <v>8418</v>
      </c>
      <c r="L266" s="8">
        <v>25264</v>
      </c>
      <c r="M266" s="8" t="str">
        <f t="shared" si="35"/>
        <v>PEN</v>
      </c>
      <c r="N266" s="13"/>
      <c r="O266" s="13">
        <v>8</v>
      </c>
      <c r="P266" s="3">
        <f t="shared" si="36"/>
        <v>0</v>
      </c>
      <c r="Q266" s="3">
        <f t="shared" si="37"/>
        <v>8</v>
      </c>
      <c r="R266" s="3">
        <f t="shared" si="33"/>
        <v>-36.25</v>
      </c>
      <c r="S266" s="24" t="s">
        <v>1334</v>
      </c>
      <c r="T266" s="24" t="s">
        <v>1334</v>
      </c>
      <c r="U266" s="3"/>
      <c r="V266" s="25" t="s">
        <v>7842</v>
      </c>
      <c r="W266" s="25">
        <v>20517252558</v>
      </c>
      <c r="X266" s="25" t="str">
        <f>IFERROR(VLOOKUP(C_Ope_003[[#This Row],[nota_2]],Clientes_Proveedores[[Ruc / Dni]:[Razon Social]],2,0),"")</f>
        <v>COVISUR S.A.</v>
      </c>
      <c r="Y266" s="25" t="s">
        <v>7888</v>
      </c>
      <c r="Z266" s="103"/>
      <c r="AA266" s="3" t="str">
        <f>IF(C_Ope_003[[#This Row],[fecha]]&gt;0,TEXT(C_Ope_003[[#This Row],[fecha]],"mmmm"),0)</f>
        <v>Agosto</v>
      </c>
      <c r="AB266" s="49"/>
    </row>
    <row r="267" spans="1:28" x14ac:dyDescent="0.3">
      <c r="A267" s="2">
        <f>IF(C_Ope_003[[#This Row],[tipo_r]]="R",COUNTIFS($C$1:$C266,"R")+1,"")</f>
        <v>266</v>
      </c>
      <c r="B267" s="19" t="str">
        <f t="shared" si="34"/>
        <v>C_Ope_003</v>
      </c>
      <c r="C267" s="3" t="s">
        <v>1330</v>
      </c>
      <c r="D267" s="14">
        <v>45894</v>
      </c>
      <c r="E267" s="5" t="s">
        <v>5595</v>
      </c>
      <c r="F267" s="5" t="s">
        <v>1336</v>
      </c>
      <c r="G267" s="6" t="s">
        <v>978</v>
      </c>
      <c r="H267" s="6" t="s">
        <v>68</v>
      </c>
      <c r="I267" s="6" t="s">
        <v>6380</v>
      </c>
      <c r="J267" s="6">
        <v>401033</v>
      </c>
      <c r="K267" s="7" t="s">
        <v>8418</v>
      </c>
      <c r="L267" s="8">
        <v>25265</v>
      </c>
      <c r="M267" s="8" t="str">
        <f t="shared" si="35"/>
        <v>PEN</v>
      </c>
      <c r="N267" s="13"/>
      <c r="O267" s="13">
        <v>8</v>
      </c>
      <c r="P267" s="3">
        <f t="shared" si="36"/>
        <v>0</v>
      </c>
      <c r="Q267" s="3">
        <f t="shared" si="37"/>
        <v>8</v>
      </c>
      <c r="R267" s="3">
        <f t="shared" si="33"/>
        <v>-44.25</v>
      </c>
      <c r="S267" s="24" t="s">
        <v>1334</v>
      </c>
      <c r="T267" s="24" t="s">
        <v>1334</v>
      </c>
      <c r="U267" s="3"/>
      <c r="V267" s="25" t="s">
        <v>7842</v>
      </c>
      <c r="W267" s="25">
        <v>20517252558</v>
      </c>
      <c r="X267" s="25" t="str">
        <f>IFERROR(VLOOKUP(C_Ope_003[[#This Row],[nota_2]],Clientes_Proveedores[[Ruc / Dni]:[Razon Social]],2,0),"")</f>
        <v>COVISUR S.A.</v>
      </c>
      <c r="Y267" s="25" t="s">
        <v>7888</v>
      </c>
      <c r="Z267" s="103"/>
      <c r="AA267" s="3" t="str">
        <f>IF(C_Ope_003[[#This Row],[fecha]]&gt;0,TEXT(C_Ope_003[[#This Row],[fecha]],"mmmm"),0)</f>
        <v>Agosto</v>
      </c>
      <c r="AB267" s="49"/>
    </row>
    <row r="268" spans="1:28" ht="36" x14ac:dyDescent="0.3">
      <c r="A268" s="2">
        <f>IF(C_Ope_003[[#This Row],[tipo_r]]="R",COUNTIFS($C$1:$C267,"R")+1,"")</f>
        <v>267</v>
      </c>
      <c r="B268" s="19" t="str">
        <f t="shared" si="34"/>
        <v>C_Ope_003</v>
      </c>
      <c r="C268" s="3" t="s">
        <v>1330</v>
      </c>
      <c r="D268" s="14">
        <v>45894</v>
      </c>
      <c r="E268" s="5" t="s">
        <v>5595</v>
      </c>
      <c r="F268" s="5" t="s">
        <v>1336</v>
      </c>
      <c r="G268" s="6" t="s">
        <v>1029</v>
      </c>
      <c r="H268" s="6" t="s">
        <v>68</v>
      </c>
      <c r="I268" s="6" t="s">
        <v>1374</v>
      </c>
      <c r="J268" s="6">
        <v>18237</v>
      </c>
      <c r="K268" s="7" t="s">
        <v>8418</v>
      </c>
      <c r="L268" s="8">
        <v>25266</v>
      </c>
      <c r="M268" s="8" t="str">
        <f t="shared" si="35"/>
        <v>PEN</v>
      </c>
      <c r="N268" s="13"/>
      <c r="O268" s="13">
        <v>11</v>
      </c>
      <c r="P268" s="3">
        <f t="shared" si="36"/>
        <v>0</v>
      </c>
      <c r="Q268" s="3">
        <f t="shared" si="37"/>
        <v>11</v>
      </c>
      <c r="R268" s="3">
        <f t="shared" si="33"/>
        <v>-55.25</v>
      </c>
      <c r="S268" s="24" t="s">
        <v>1334</v>
      </c>
      <c r="T268" s="24" t="s">
        <v>1334</v>
      </c>
      <c r="U268" s="3"/>
      <c r="V268" s="25" t="s">
        <v>7842</v>
      </c>
      <c r="W268" s="25">
        <v>20454058187</v>
      </c>
      <c r="X268" s="25" t="str">
        <f>IFERROR(VLOOKUP(C_Ope_003[[#This Row],[nota_2]],Clientes_Proveedores[[Ruc / Dni]:[Razon Social]],2,0),"")</f>
        <v>ZONA ESPECIAL DE DESARROLLO ZED MATARANI</v>
      </c>
      <c r="Y268" s="25" t="s">
        <v>5933</v>
      </c>
      <c r="Z268" s="103"/>
      <c r="AA268" s="3" t="str">
        <f>IF(C_Ope_003[[#This Row],[fecha]]&gt;0,TEXT(C_Ope_003[[#This Row],[fecha]],"mmmm"),0)</f>
        <v>Agosto</v>
      </c>
      <c r="AB268" s="49"/>
    </row>
    <row r="269" spans="1:28" x14ac:dyDescent="0.3">
      <c r="A269" s="2">
        <f>IF(C_Ope_003[[#This Row],[tipo_r]]="R",COUNTIFS($C$1:$C268,"R")+1,"")</f>
        <v>268</v>
      </c>
      <c r="B269" s="19" t="str">
        <f>"C_Ope_003"</f>
        <v>C_Ope_003</v>
      </c>
      <c r="C269" s="3" t="s">
        <v>1330</v>
      </c>
      <c r="D269" s="14">
        <v>45895</v>
      </c>
      <c r="E269" s="5" t="s">
        <v>3634</v>
      </c>
      <c r="F269" s="5" t="s">
        <v>1303</v>
      </c>
      <c r="G269" s="6"/>
      <c r="H269" s="6"/>
      <c r="I269" s="6"/>
      <c r="J269" s="6"/>
      <c r="K269" s="7" t="s">
        <v>7516</v>
      </c>
      <c r="L269" s="8">
        <v>25280</v>
      </c>
      <c r="M269" s="8" t="str">
        <f>"PEN"</f>
        <v>PEN</v>
      </c>
      <c r="N269" s="13"/>
      <c r="O269" s="13">
        <v>120</v>
      </c>
      <c r="P269" s="3">
        <f>+IF(OR($F269="SALDO",$F269="INGRESO"),$O269,0)</f>
        <v>120</v>
      </c>
      <c r="Q269" s="3">
        <f>+IF($F269="EGRESO",$O269,0)</f>
        <v>0</v>
      </c>
      <c r="R269" s="3">
        <f t="shared" si="33"/>
        <v>64.75</v>
      </c>
      <c r="S269" s="24" t="s">
        <v>1334</v>
      </c>
      <c r="T269" s="24" t="s">
        <v>1334</v>
      </c>
      <c r="U269" s="3"/>
      <c r="V269" s="25"/>
      <c r="W269" s="25"/>
      <c r="X269" s="25" t="str">
        <f>IFERROR(VLOOKUP(C_Ope_003[[#This Row],[nota_2]],Clientes_Proveedores[[Ruc / Dni]:[Razon Social]],2,0),"")</f>
        <v/>
      </c>
      <c r="Y269" s="25"/>
      <c r="Z269" s="103"/>
      <c r="AA269" s="3" t="str">
        <f>IF(C_Ope_003[[#This Row],[fecha]]&gt;0,TEXT(C_Ope_003[[#This Row],[fecha]],"mmmm"),0)</f>
        <v>Agosto</v>
      </c>
      <c r="AB269" s="49"/>
    </row>
    <row r="270" spans="1:28" ht="36" x14ac:dyDescent="0.3">
      <c r="A270" s="2">
        <f>IF(C_Ope_003[[#This Row],[tipo_r]]="R",COUNTIFS($C$1:$C269,"R")+1,"")</f>
        <v>269</v>
      </c>
      <c r="B270" s="19" t="str">
        <f t="shared" si="34"/>
        <v>C_Ope_003</v>
      </c>
      <c r="C270" s="3" t="s">
        <v>1330</v>
      </c>
      <c r="D270" s="14">
        <v>45895</v>
      </c>
      <c r="E270" s="5" t="s">
        <v>5595</v>
      </c>
      <c r="F270" s="5" t="s">
        <v>1336</v>
      </c>
      <c r="G270" s="6" t="s">
        <v>682</v>
      </c>
      <c r="H270" s="6" t="s">
        <v>68</v>
      </c>
      <c r="I270" s="6" t="s">
        <v>1353</v>
      </c>
      <c r="J270" s="6">
        <v>17492</v>
      </c>
      <c r="K270" s="7" t="s">
        <v>8419</v>
      </c>
      <c r="L270" s="8">
        <v>25267</v>
      </c>
      <c r="M270" s="8" t="str">
        <f t="shared" si="35"/>
        <v>PEN</v>
      </c>
      <c r="N270" s="13"/>
      <c r="O270" s="13">
        <v>20</v>
      </c>
      <c r="P270" s="3">
        <f t="shared" si="36"/>
        <v>0</v>
      </c>
      <c r="Q270" s="3">
        <f t="shared" si="37"/>
        <v>20</v>
      </c>
      <c r="R270" s="3">
        <f t="shared" si="33"/>
        <v>44.75</v>
      </c>
      <c r="S270" s="24" t="s">
        <v>1334</v>
      </c>
      <c r="T270" s="24" t="s">
        <v>1334</v>
      </c>
      <c r="U270" s="3"/>
      <c r="V270" s="25" t="s">
        <v>7842</v>
      </c>
      <c r="W270" s="25">
        <v>20259858934</v>
      </c>
      <c r="X270" s="25" t="str">
        <f>IFERROR(VLOOKUP(C_Ope_003[[#This Row],[nota_2]],Clientes_Proveedores[[Ruc / Dni]:[Razon Social]],2,0),"")</f>
        <v>COMERCIALIZACION Y SERVICIOS EL EDEN S.A.C.</v>
      </c>
      <c r="Y270" s="25" t="s">
        <v>5933</v>
      </c>
      <c r="Z270" s="103"/>
      <c r="AA270" s="3" t="str">
        <f>IF(C_Ope_003[[#This Row],[fecha]]&gt;0,TEXT(C_Ope_003[[#This Row],[fecha]],"mmmm"),0)</f>
        <v>Agosto</v>
      </c>
      <c r="AB270" s="49"/>
    </row>
    <row r="271" spans="1:28" ht="36" x14ac:dyDescent="0.3">
      <c r="A271" s="2">
        <f>IF(C_Ope_003[[#This Row],[tipo_r]]="R",COUNTIFS($C$1:$C270,"R")+1,"")</f>
        <v>270</v>
      </c>
      <c r="B271" s="19" t="str">
        <f t="shared" si="34"/>
        <v>C_Ope_003</v>
      </c>
      <c r="C271" s="13" t="s">
        <v>1330</v>
      </c>
      <c r="D271" s="14">
        <v>45896</v>
      </c>
      <c r="E271" s="5" t="s">
        <v>5595</v>
      </c>
      <c r="F271" s="5" t="s">
        <v>1336</v>
      </c>
      <c r="G271" s="6" t="s">
        <v>1029</v>
      </c>
      <c r="H271" s="6" t="s">
        <v>68</v>
      </c>
      <c r="I271" s="6" t="s">
        <v>1374</v>
      </c>
      <c r="J271" s="6">
        <v>18243</v>
      </c>
      <c r="K271" s="7" t="s">
        <v>8420</v>
      </c>
      <c r="L271" s="8">
        <v>25293</v>
      </c>
      <c r="M271" s="8" t="str">
        <f t="shared" si="35"/>
        <v>PEN</v>
      </c>
      <c r="N271" s="13"/>
      <c r="O271" s="13">
        <v>11</v>
      </c>
      <c r="P271" s="3">
        <f t="shared" si="36"/>
        <v>0</v>
      </c>
      <c r="Q271" s="3">
        <f t="shared" si="37"/>
        <v>11</v>
      </c>
      <c r="R271" s="3">
        <f t="shared" si="33"/>
        <v>33.75</v>
      </c>
      <c r="S271" s="24" t="s">
        <v>1334</v>
      </c>
      <c r="T271" s="24"/>
      <c r="U271" s="3"/>
      <c r="V271" s="25" t="s">
        <v>7842</v>
      </c>
      <c r="W271" s="25">
        <v>20454058187</v>
      </c>
      <c r="X271" s="25" t="str">
        <f>IFERROR(VLOOKUP(C_Ope_003[[#This Row],[nota_2]],Clientes_Proveedores[[Ruc / Dni]:[Razon Social]],2,0),"")</f>
        <v>ZONA ESPECIAL DE DESARROLLO ZED MATARANI</v>
      </c>
      <c r="Y271" s="25" t="s">
        <v>5933</v>
      </c>
      <c r="Z271" s="103"/>
      <c r="AA271" s="3" t="str">
        <f>IF(C_Ope_003[[#This Row],[fecha]]&gt;0,TEXT(C_Ope_003[[#This Row],[fecha]],"mmmm"),0)</f>
        <v>Agosto</v>
      </c>
      <c r="AB271" s="49"/>
    </row>
    <row r="272" spans="1:28" x14ac:dyDescent="0.3">
      <c r="A272" s="2">
        <f>IF(C_Ope_003[[#This Row],[tipo_r]]="R",COUNTIFS($C$1:$C271,"R")+1,"")</f>
        <v>271</v>
      </c>
      <c r="B272" s="19" t="str">
        <f>"C_Ope_003"</f>
        <v>C_Ope_003</v>
      </c>
      <c r="C272" s="13" t="s">
        <v>1330</v>
      </c>
      <c r="D272" s="14">
        <v>45896</v>
      </c>
      <c r="E272" s="5" t="s">
        <v>5595</v>
      </c>
      <c r="F272" s="5" t="s">
        <v>1336</v>
      </c>
      <c r="G272" s="6" t="s">
        <v>978</v>
      </c>
      <c r="H272" s="6" t="s">
        <v>68</v>
      </c>
      <c r="I272" s="6" t="s">
        <v>6204</v>
      </c>
      <c r="J272" s="6">
        <v>499855</v>
      </c>
      <c r="K272" s="7" t="s">
        <v>8421</v>
      </c>
      <c r="L272" s="8">
        <v>25345</v>
      </c>
      <c r="M272" s="8" t="str">
        <f>"PEN"</f>
        <v>PEN</v>
      </c>
      <c r="N272" s="13"/>
      <c r="O272" s="13">
        <v>8</v>
      </c>
      <c r="P272" s="3">
        <f>+IF(OR($F272="SALDO",$F272="INGRESO"),$O272,0)</f>
        <v>0</v>
      </c>
      <c r="Q272" s="3">
        <f>+IF($F272="EGRESO",$O272,0)</f>
        <v>8</v>
      </c>
      <c r="R272" s="3">
        <f t="shared" si="33"/>
        <v>25.75</v>
      </c>
      <c r="S272" s="24" t="s">
        <v>1334</v>
      </c>
      <c r="T272" s="24"/>
      <c r="U272" s="3"/>
      <c r="V272" s="25" t="s">
        <v>7842</v>
      </c>
      <c r="W272" s="25">
        <v>20517252558</v>
      </c>
      <c r="X272" s="25" t="str">
        <f>IFERROR(VLOOKUP(C_Ope_003[[#This Row],[nota_2]],Clientes_Proveedores[[Ruc / Dni]:[Razon Social]],2,0),"")</f>
        <v>COVISUR S.A.</v>
      </c>
      <c r="Y272" s="25" t="s">
        <v>7888</v>
      </c>
      <c r="Z272" s="103"/>
      <c r="AA272" s="3" t="str">
        <f>IF(C_Ope_003[[#This Row],[fecha]]&gt;0,TEXT(C_Ope_003[[#This Row],[fecha]],"mmmm"),0)</f>
        <v>Agosto</v>
      </c>
      <c r="AB272" s="49"/>
    </row>
    <row r="273" spans="1:28" x14ac:dyDescent="0.3">
      <c r="A273" s="2">
        <f>IF(C_Ope_003[[#This Row],[tipo_r]]="R",COUNTIFS($C$1:$C272,"R")+1,"")</f>
        <v>272</v>
      </c>
      <c r="B273" s="19" t="str">
        <f>"C_Ope_003"</f>
        <v>C_Ope_003</v>
      </c>
      <c r="C273" s="3" t="s">
        <v>1330</v>
      </c>
      <c r="D273" s="14">
        <v>45896</v>
      </c>
      <c r="E273" s="5" t="s">
        <v>5595</v>
      </c>
      <c r="F273" s="5" t="s">
        <v>1336</v>
      </c>
      <c r="G273" s="6" t="s">
        <v>978</v>
      </c>
      <c r="H273" s="6" t="s">
        <v>68</v>
      </c>
      <c r="I273" s="6" t="s">
        <v>6203</v>
      </c>
      <c r="J273" s="6">
        <v>1115890</v>
      </c>
      <c r="K273" s="7" t="s">
        <v>8421</v>
      </c>
      <c r="L273" s="8">
        <v>25346</v>
      </c>
      <c r="M273" s="8" t="str">
        <f>"PEN"</f>
        <v>PEN</v>
      </c>
      <c r="N273" s="13"/>
      <c r="O273" s="13">
        <v>8</v>
      </c>
      <c r="P273" s="3">
        <f>+IF(OR($F273="SALDO",$F273="INGRESO"),$O273,0)</f>
        <v>0</v>
      </c>
      <c r="Q273" s="3">
        <f>+IF($F273="EGRESO",$O273,0)</f>
        <v>8</v>
      </c>
      <c r="R273" s="3">
        <f t="shared" si="33"/>
        <v>17.75</v>
      </c>
      <c r="S273" s="24" t="s">
        <v>1334</v>
      </c>
      <c r="T273" s="24"/>
      <c r="U273" s="3"/>
      <c r="V273" s="25" t="s">
        <v>7842</v>
      </c>
      <c r="W273" s="25">
        <v>20517252558</v>
      </c>
      <c r="X273" s="25" t="str">
        <f>IFERROR(VLOOKUP(C_Ope_003[[#This Row],[nota_2]],Clientes_Proveedores[[Ruc / Dni]:[Razon Social]],2,0),"")</f>
        <v>COVISUR S.A.</v>
      </c>
      <c r="Y273" s="25" t="s">
        <v>7888</v>
      </c>
      <c r="Z273" s="103"/>
      <c r="AA273" s="3" t="str">
        <f>IF(C_Ope_003[[#This Row],[fecha]]&gt;0,TEXT(C_Ope_003[[#This Row],[fecha]],"mmmm"),0)</f>
        <v>Agosto</v>
      </c>
      <c r="AB273" s="49"/>
    </row>
    <row r="274" spans="1:28" x14ac:dyDescent="0.3">
      <c r="A274" s="2">
        <f>IF(C_Ope_003[[#This Row],[tipo_r]]="R",COUNTIFS($C$1:$C273,"R")+1,"")</f>
        <v>273</v>
      </c>
      <c r="B274" s="19" t="str">
        <f t="shared" si="34"/>
        <v>C_Ope_003</v>
      </c>
      <c r="C274" s="3" t="s">
        <v>1330</v>
      </c>
      <c r="D274" s="14">
        <v>45897</v>
      </c>
      <c r="E274" s="5" t="s">
        <v>5595</v>
      </c>
      <c r="F274" s="5" t="s">
        <v>1336</v>
      </c>
      <c r="G274" s="6" t="s">
        <v>978</v>
      </c>
      <c r="H274" s="6" t="s">
        <v>68</v>
      </c>
      <c r="I274" s="6" t="s">
        <v>5688</v>
      </c>
      <c r="J274" s="6">
        <v>2451506</v>
      </c>
      <c r="K274" s="7" t="s">
        <v>8422</v>
      </c>
      <c r="L274" s="8">
        <v>25294</v>
      </c>
      <c r="M274" s="8" t="str">
        <f t="shared" si="35"/>
        <v>PEN</v>
      </c>
      <c r="N274" s="13"/>
      <c r="O274" s="13">
        <v>12</v>
      </c>
      <c r="P274" s="3">
        <f t="shared" si="36"/>
        <v>0</v>
      </c>
      <c r="Q274" s="3">
        <f t="shared" si="37"/>
        <v>12</v>
      </c>
      <c r="R274" s="3">
        <f t="shared" si="33"/>
        <v>5.75</v>
      </c>
      <c r="S274" s="24" t="s">
        <v>1334</v>
      </c>
      <c r="T274" s="24"/>
      <c r="U274" s="3"/>
      <c r="V274" s="25" t="s">
        <v>8006</v>
      </c>
      <c r="W274" s="25">
        <v>20517252558</v>
      </c>
      <c r="X274" s="25" t="str">
        <f>IFERROR(VLOOKUP(C_Ope_003[[#This Row],[nota_2]],Clientes_Proveedores[[Ruc / Dni]:[Razon Social]],2,0),"")</f>
        <v>COVISUR S.A.</v>
      </c>
      <c r="Y274" s="25" t="s">
        <v>7888</v>
      </c>
      <c r="Z274" s="103"/>
      <c r="AA274" s="3" t="str">
        <f>IF(C_Ope_003[[#This Row],[fecha]]&gt;0,TEXT(C_Ope_003[[#This Row],[fecha]],"mmmm"),0)</f>
        <v>Agosto</v>
      </c>
      <c r="AB274" s="49"/>
    </row>
    <row r="275" spans="1:28" x14ac:dyDescent="0.3">
      <c r="A275" s="2">
        <f>IF(C_Ope_003[[#This Row],[tipo_r]]="R",COUNTIFS($C$1:$C274,"R")+1,"")</f>
        <v>274</v>
      </c>
      <c r="B275" s="19" t="str">
        <f>"C_Ope_003"</f>
        <v>C_Ope_003</v>
      </c>
      <c r="C275" s="3" t="s">
        <v>1330</v>
      </c>
      <c r="D275" s="14">
        <v>45898</v>
      </c>
      <c r="E275" s="5" t="s">
        <v>3634</v>
      </c>
      <c r="F275" s="5" t="s">
        <v>1303</v>
      </c>
      <c r="G275" s="6"/>
      <c r="H275" s="6"/>
      <c r="I275" s="6"/>
      <c r="J275" s="6"/>
      <c r="K275" s="7" t="s">
        <v>7516</v>
      </c>
      <c r="L275" s="8">
        <v>25312</v>
      </c>
      <c r="M275" s="8" t="str">
        <f>"PEN"</f>
        <v>PEN</v>
      </c>
      <c r="N275" s="13"/>
      <c r="O275" s="13">
        <v>150</v>
      </c>
      <c r="P275" s="3">
        <f>+IF(OR($F275="SALDO",$F275="INGRESO"),$O275,0)</f>
        <v>150</v>
      </c>
      <c r="Q275" s="3">
        <f>+IF($F275="EGRESO",$O275,0)</f>
        <v>0</v>
      </c>
      <c r="R275" s="3">
        <f t="shared" si="33"/>
        <v>155.75</v>
      </c>
      <c r="S275" s="24" t="s">
        <v>1334</v>
      </c>
      <c r="T275" s="24" t="s">
        <v>1334</v>
      </c>
      <c r="U275" s="3"/>
      <c r="V275" s="25"/>
      <c r="W275" s="25"/>
      <c r="X275" s="25" t="str">
        <f>IFERROR(VLOOKUP(C_Ope_003[[#This Row],[nota_2]],Clientes_Proveedores[[Ruc / Dni]:[Razon Social]],2,0),"")</f>
        <v/>
      </c>
      <c r="Y275" s="25"/>
      <c r="Z275" s="103"/>
      <c r="AA275" s="3" t="str">
        <f>IF(C_Ope_003[[#This Row],[fecha]]&gt;0,TEXT(C_Ope_003[[#This Row],[fecha]],"mmmm"),0)</f>
        <v>Agosto</v>
      </c>
      <c r="AB275" s="49"/>
    </row>
    <row r="276" spans="1:28" x14ac:dyDescent="0.3">
      <c r="A276" s="2">
        <f>IF(C_Ope_003[[#This Row],[tipo_r]]="R",COUNTIFS($C$1:$C275,"R")+1,"")</f>
        <v>275</v>
      </c>
      <c r="B276" s="19" t="str">
        <f t="shared" si="34"/>
        <v>C_Ope_003</v>
      </c>
      <c r="C276" s="3" t="s">
        <v>1330</v>
      </c>
      <c r="D276" s="14">
        <v>45898</v>
      </c>
      <c r="E276" s="5" t="s">
        <v>5595</v>
      </c>
      <c r="F276" s="5" t="s">
        <v>1336</v>
      </c>
      <c r="G276" s="6" t="s">
        <v>978</v>
      </c>
      <c r="H276" s="6" t="s">
        <v>68</v>
      </c>
      <c r="I276" s="6" t="s">
        <v>6203</v>
      </c>
      <c r="J276" s="6">
        <v>2160728</v>
      </c>
      <c r="K276" s="7" t="s">
        <v>8423</v>
      </c>
      <c r="L276" s="8">
        <v>25304</v>
      </c>
      <c r="M276" s="8" t="str">
        <f t="shared" si="35"/>
        <v>PEN</v>
      </c>
      <c r="N276" s="13"/>
      <c r="O276" s="13">
        <v>12</v>
      </c>
      <c r="P276" s="3">
        <f t="shared" si="36"/>
        <v>0</v>
      </c>
      <c r="Q276" s="3">
        <f t="shared" si="37"/>
        <v>12</v>
      </c>
      <c r="R276" s="3">
        <f t="shared" si="33"/>
        <v>143.75</v>
      </c>
      <c r="S276" s="24" t="s">
        <v>1334</v>
      </c>
      <c r="T276" s="24"/>
      <c r="U276" s="3"/>
      <c r="V276" s="25" t="s">
        <v>8006</v>
      </c>
      <c r="W276" s="25">
        <v>20517252558</v>
      </c>
      <c r="X276" s="25" t="str">
        <f>IFERROR(VLOOKUP(C_Ope_003[[#This Row],[nota_2]],Clientes_Proveedores[[Ruc / Dni]:[Razon Social]],2,0),"")</f>
        <v>COVISUR S.A.</v>
      </c>
      <c r="Y276" s="25" t="s">
        <v>7888</v>
      </c>
      <c r="Z276" s="103"/>
      <c r="AA276" s="3" t="str">
        <f>IF(C_Ope_003[[#This Row],[fecha]]&gt;0,TEXT(C_Ope_003[[#This Row],[fecha]],"mmmm"),0)</f>
        <v>Agosto</v>
      </c>
      <c r="AB276" s="49"/>
    </row>
    <row r="277" spans="1:28" x14ac:dyDescent="0.3">
      <c r="A277" s="2">
        <f>IF(C_Ope_003[[#This Row],[tipo_r]]="R",COUNTIFS($C$1:$C276,"R")+1,"")</f>
        <v>276</v>
      </c>
      <c r="B277" s="19" t="str">
        <f t="shared" si="34"/>
        <v>C_Ope_003</v>
      </c>
      <c r="C277" s="3" t="s">
        <v>1330</v>
      </c>
      <c r="D277" s="14">
        <v>45898</v>
      </c>
      <c r="E277" s="5" t="s">
        <v>5595</v>
      </c>
      <c r="F277" s="5" t="s">
        <v>1336</v>
      </c>
      <c r="G277" s="6" t="s">
        <v>978</v>
      </c>
      <c r="H277" s="6" t="s">
        <v>68</v>
      </c>
      <c r="I277" s="6" t="s">
        <v>5688</v>
      </c>
      <c r="J277" s="6">
        <v>2453245</v>
      </c>
      <c r="K277" s="7" t="s">
        <v>8424</v>
      </c>
      <c r="L277" s="8">
        <v>25310</v>
      </c>
      <c r="M277" s="8" t="str">
        <f t="shared" si="35"/>
        <v>PEN</v>
      </c>
      <c r="N277" s="13"/>
      <c r="O277" s="13">
        <v>12</v>
      </c>
      <c r="P277" s="3">
        <f t="shared" si="36"/>
        <v>0</v>
      </c>
      <c r="Q277" s="3">
        <f t="shared" si="37"/>
        <v>12</v>
      </c>
      <c r="R277" s="3">
        <f t="shared" si="33"/>
        <v>131.75</v>
      </c>
      <c r="S277" s="24" t="s">
        <v>1334</v>
      </c>
      <c r="T277" s="24"/>
      <c r="U277" s="3"/>
      <c r="V277" s="25" t="s">
        <v>8006</v>
      </c>
      <c r="W277" s="25">
        <v>20517252558</v>
      </c>
      <c r="X277" s="25" t="str">
        <f>IFERROR(VLOOKUP(C_Ope_003[[#This Row],[nota_2]],Clientes_Proveedores[[Ruc / Dni]:[Razon Social]],2,0),"")</f>
        <v>COVISUR S.A.</v>
      </c>
      <c r="Y277" s="25" t="s">
        <v>7888</v>
      </c>
      <c r="Z277" s="103"/>
      <c r="AA277" s="3" t="str">
        <f>IF(C_Ope_003[[#This Row],[fecha]]&gt;0,TEXT(C_Ope_003[[#This Row],[fecha]],"mmmm"),0)</f>
        <v>Agosto</v>
      </c>
      <c r="AB277" s="49"/>
    </row>
    <row r="278" spans="1:28" ht="36" x14ac:dyDescent="0.3">
      <c r="A278" s="2">
        <f>IF(C_Ope_003[[#This Row],[tipo_r]]="R",COUNTIFS($C$1:$C277,"R")+1,"")</f>
        <v>277</v>
      </c>
      <c r="B278" s="19" t="str">
        <f t="shared" si="34"/>
        <v>C_Ope_003</v>
      </c>
      <c r="C278" s="3" t="s">
        <v>1330</v>
      </c>
      <c r="D278" s="14">
        <v>45898</v>
      </c>
      <c r="E278" s="5" t="s">
        <v>5595</v>
      </c>
      <c r="F278" s="5" t="s">
        <v>1336</v>
      </c>
      <c r="G278" s="6" t="s">
        <v>227</v>
      </c>
      <c r="H278" s="6" t="s">
        <v>68</v>
      </c>
      <c r="I278" s="6" t="s">
        <v>1390</v>
      </c>
      <c r="J278" s="6">
        <v>136209</v>
      </c>
      <c r="K278" s="7" t="s">
        <v>8425</v>
      </c>
      <c r="L278" s="8">
        <v>25311</v>
      </c>
      <c r="M278" s="8" t="str">
        <f t="shared" si="35"/>
        <v>PEN</v>
      </c>
      <c r="N278" s="13"/>
      <c r="O278" s="13">
        <v>10</v>
      </c>
      <c r="P278" s="3">
        <f t="shared" si="36"/>
        <v>0</v>
      </c>
      <c r="Q278" s="3">
        <f t="shared" si="37"/>
        <v>10</v>
      </c>
      <c r="R278" s="3">
        <f t="shared" si="33"/>
        <v>121.75</v>
      </c>
      <c r="S278" s="24" t="s">
        <v>1334</v>
      </c>
      <c r="T278" s="24"/>
      <c r="U278" s="3"/>
      <c r="V278" s="25" t="s">
        <v>8006</v>
      </c>
      <c r="W278" s="25">
        <v>20124952850</v>
      </c>
      <c r="X278" s="25" t="str">
        <f>IFERROR(VLOOKUP(C_Ope_003[[#This Row],[nota_2]],Clientes_Proveedores[[Ruc / Dni]:[Razon Social]],2,0),"")</f>
        <v>ALIMENTOS Y SERVICIOS AGROPECUARIOS SRL.</v>
      </c>
      <c r="Y278" s="25" t="s">
        <v>5933</v>
      </c>
      <c r="Z278" s="103"/>
      <c r="AA278" s="3" t="str">
        <f>IF(C_Ope_003[[#This Row],[fecha]]&gt;0,TEXT(C_Ope_003[[#This Row],[fecha]],"mmmm"),0)</f>
        <v>Agosto</v>
      </c>
      <c r="AB278" s="49"/>
    </row>
    <row r="279" spans="1:28" ht="24" x14ac:dyDescent="0.3">
      <c r="A279" s="2">
        <f>IF(C_Ope_003[[#This Row],[tipo_r]]="R",COUNTIFS($C$1:$C278,"R")+1,"")</f>
        <v>278</v>
      </c>
      <c r="B279" s="19" t="str">
        <f t="shared" si="34"/>
        <v>C_Ope_003</v>
      </c>
      <c r="C279" s="3" t="s">
        <v>1330</v>
      </c>
      <c r="D279" s="14">
        <v>45899</v>
      </c>
      <c r="E279" s="5" t="s">
        <v>5595</v>
      </c>
      <c r="F279" s="5" t="s">
        <v>1336</v>
      </c>
      <c r="G279" s="6" t="s">
        <v>978</v>
      </c>
      <c r="H279" s="6" t="s">
        <v>68</v>
      </c>
      <c r="I279" s="6" t="s">
        <v>6203</v>
      </c>
      <c r="J279" s="6">
        <v>2162563</v>
      </c>
      <c r="K279" s="7" t="s">
        <v>8426</v>
      </c>
      <c r="L279" s="8">
        <v>25324</v>
      </c>
      <c r="M279" s="8" t="str">
        <f t="shared" si="35"/>
        <v>PEN</v>
      </c>
      <c r="N279" s="13"/>
      <c r="O279" s="13">
        <v>12</v>
      </c>
      <c r="P279" s="3">
        <f t="shared" si="36"/>
        <v>0</v>
      </c>
      <c r="Q279" s="3">
        <f t="shared" si="37"/>
        <v>12</v>
      </c>
      <c r="R279" s="3">
        <f t="shared" si="33"/>
        <v>109.75</v>
      </c>
      <c r="S279" s="24" t="s">
        <v>1334</v>
      </c>
      <c r="T279" s="24"/>
      <c r="U279" s="3"/>
      <c r="V279" s="25" t="s">
        <v>8006</v>
      </c>
      <c r="W279" s="25">
        <v>20517252558</v>
      </c>
      <c r="X279" s="25" t="str">
        <f>IFERROR(VLOOKUP(C_Ope_003[[#This Row],[nota_2]],Clientes_Proveedores[[Ruc / Dni]:[Razon Social]],2,0),"")</f>
        <v>COVISUR S.A.</v>
      </c>
      <c r="Y279" s="25" t="s">
        <v>7888</v>
      </c>
      <c r="Z279" s="103"/>
      <c r="AA279" s="3" t="str">
        <f>IF(C_Ope_003[[#This Row],[fecha]]&gt;0,TEXT(C_Ope_003[[#This Row],[fecha]],"mmmm"),0)</f>
        <v>Agosto</v>
      </c>
      <c r="AB279" s="49"/>
    </row>
    <row r="280" spans="1:28" x14ac:dyDescent="0.3">
      <c r="A280" s="2">
        <f>IF(C_Ope_003[[#This Row],[tipo_r]]="R",COUNTIFS($C$1:$C279,"R")+1,"")</f>
        <v>279</v>
      </c>
      <c r="B280" s="19" t="str">
        <f>"C_Ope_003"</f>
        <v>C_Ope_003</v>
      </c>
      <c r="C280" s="3" t="s">
        <v>1330</v>
      </c>
      <c r="D280" s="14">
        <v>45901</v>
      </c>
      <c r="E280" s="5" t="s">
        <v>3634</v>
      </c>
      <c r="F280" s="5" t="s">
        <v>1303</v>
      </c>
      <c r="G280" s="6"/>
      <c r="H280" s="6"/>
      <c r="I280" s="6"/>
      <c r="J280" s="6"/>
      <c r="K280" s="7" t="s">
        <v>7516</v>
      </c>
      <c r="L280" s="8">
        <v>25338</v>
      </c>
      <c r="M280" s="8" t="str">
        <f>"PEN"</f>
        <v>PEN</v>
      </c>
      <c r="N280" s="13"/>
      <c r="O280" s="13">
        <v>600</v>
      </c>
      <c r="P280" s="3">
        <f>+IF(OR($F280="SALDO",$F280="INGRESO"),$O280,0)</f>
        <v>600</v>
      </c>
      <c r="Q280" s="3">
        <f>+IF($F280="EGRESO",$O280,0)</f>
        <v>0</v>
      </c>
      <c r="R280" s="3">
        <f t="shared" si="33"/>
        <v>709.75</v>
      </c>
      <c r="S280" s="24" t="s">
        <v>1334</v>
      </c>
      <c r="T280" s="24" t="s">
        <v>1334</v>
      </c>
      <c r="U280" s="3"/>
      <c r="V280" s="25"/>
      <c r="W280" s="25"/>
      <c r="X280" s="25" t="str">
        <f>IFERROR(VLOOKUP(C_Ope_003[[#This Row],[nota_2]],Clientes_Proveedores[[Ruc / Dni]:[Razon Social]],2,0),"")</f>
        <v/>
      </c>
      <c r="Y280" s="25"/>
      <c r="Z280" s="103"/>
      <c r="AA280" s="3" t="str">
        <f>IF(C_Ope_003[[#This Row],[fecha]]&gt;0,TEXT(C_Ope_003[[#This Row],[fecha]],"mmmm"),0)</f>
        <v>Setiembre</v>
      </c>
      <c r="AB280" s="49"/>
    </row>
    <row r="281" spans="1:28" x14ac:dyDescent="0.3">
      <c r="A281" s="2">
        <f>IF(C_Ope_003[[#This Row],[tipo_r]]="R",COUNTIFS($C$1:$C280,"R")+1,"")</f>
        <v>280</v>
      </c>
      <c r="B281" s="19" t="str">
        <f t="shared" ref="B281:B313" si="38">"C_Ope_003"</f>
        <v>C_Ope_003</v>
      </c>
      <c r="C281" s="3" t="s">
        <v>1330</v>
      </c>
      <c r="D281" s="14">
        <v>45901</v>
      </c>
      <c r="E281" s="5" t="s">
        <v>5595</v>
      </c>
      <c r="F281" s="5" t="s">
        <v>1336</v>
      </c>
      <c r="G281" s="6" t="s">
        <v>978</v>
      </c>
      <c r="H281" s="6" t="s">
        <v>68</v>
      </c>
      <c r="I281" s="6" t="s">
        <v>6204</v>
      </c>
      <c r="J281" s="6">
        <v>1826441</v>
      </c>
      <c r="K281" s="7" t="s">
        <v>8427</v>
      </c>
      <c r="L281" s="8">
        <v>25335</v>
      </c>
      <c r="M281" s="8" t="str">
        <f t="shared" ref="M281:M313" si="39">"PEN"</f>
        <v>PEN</v>
      </c>
      <c r="N281" s="13"/>
      <c r="O281" s="13">
        <v>12</v>
      </c>
      <c r="P281" s="3">
        <f t="shared" ref="P281:P313" si="40">+IF(OR($F281="SALDO",$F281="INGRESO"),$O281,0)</f>
        <v>0</v>
      </c>
      <c r="Q281" s="3">
        <f t="shared" ref="Q281:Q313" si="41">+IF($F281="EGRESO",$O281,0)</f>
        <v>12</v>
      </c>
      <c r="R281" s="3">
        <f t="shared" si="33"/>
        <v>697.75</v>
      </c>
      <c r="S281" s="24" t="s">
        <v>1334</v>
      </c>
      <c r="T281" s="24"/>
      <c r="U281" s="3"/>
      <c r="V281" s="25" t="s">
        <v>8006</v>
      </c>
      <c r="W281" s="25">
        <v>20517252558</v>
      </c>
      <c r="X281" s="25" t="str">
        <f>IFERROR(VLOOKUP(C_Ope_003[[#This Row],[nota_2]],Clientes_Proveedores[[Ruc / Dni]:[Razon Social]],2,0),"")</f>
        <v>COVISUR S.A.</v>
      </c>
      <c r="Y281" s="25" t="s">
        <v>7888</v>
      </c>
      <c r="Z281" s="103"/>
      <c r="AA281" s="3" t="str">
        <f>IF(C_Ope_003[[#This Row],[fecha]]&gt;0,TEXT(C_Ope_003[[#This Row],[fecha]],"mmmm"),0)</f>
        <v>Setiembre</v>
      </c>
      <c r="AB281" s="49"/>
    </row>
    <row r="282" spans="1:28" ht="36" x14ac:dyDescent="0.3">
      <c r="A282" s="2">
        <f>IF(C_Ope_003[[#This Row],[tipo_r]]="R",COUNTIFS($C$1:$C281,"R")+1,"")</f>
        <v>281</v>
      </c>
      <c r="B282" s="19" t="str">
        <f t="shared" si="38"/>
        <v>C_Ope_003</v>
      </c>
      <c r="C282" s="3" t="s">
        <v>1330</v>
      </c>
      <c r="D282" s="14">
        <v>45901</v>
      </c>
      <c r="E282" s="5" t="s">
        <v>5595</v>
      </c>
      <c r="F282" s="5" t="s">
        <v>1336</v>
      </c>
      <c r="G282" s="6" t="s">
        <v>1006</v>
      </c>
      <c r="H282" s="6" t="s">
        <v>68</v>
      </c>
      <c r="I282" s="6" t="s">
        <v>8207</v>
      </c>
      <c r="J282" s="6">
        <v>671220</v>
      </c>
      <c r="K282" s="7" t="s">
        <v>8428</v>
      </c>
      <c r="L282" s="8">
        <v>25336</v>
      </c>
      <c r="M282" s="8" t="str">
        <f t="shared" si="39"/>
        <v>PEN</v>
      </c>
      <c r="N282" s="13"/>
      <c r="O282" s="13">
        <v>23.6</v>
      </c>
      <c r="P282" s="3">
        <f t="shared" si="40"/>
        <v>0</v>
      </c>
      <c r="Q282" s="3">
        <f t="shared" si="41"/>
        <v>23.6</v>
      </c>
      <c r="R282" s="3">
        <f t="shared" si="33"/>
        <v>674.15</v>
      </c>
      <c r="S282" s="24" t="s">
        <v>1334</v>
      </c>
      <c r="T282" s="24"/>
      <c r="U282" s="3"/>
      <c r="V282" s="25" t="s">
        <v>8006</v>
      </c>
      <c r="W282" s="25">
        <v>20550033519</v>
      </c>
      <c r="X282" s="25" t="str">
        <f>IFERROR(VLOOKUP(C_Ope_003[[#This Row],[nota_2]],Clientes_Proveedores[[Ruc / Dni]:[Razon Social]],2,0),"")</f>
        <v>CONCESIONARIA PERUANA DE VIAS-COVINCA S.A.</v>
      </c>
      <c r="Y282" s="25" t="s">
        <v>7888</v>
      </c>
      <c r="Z282" s="103"/>
      <c r="AA282" s="3" t="str">
        <f>IF(C_Ope_003[[#This Row],[fecha]]&gt;0,TEXT(C_Ope_003[[#This Row],[fecha]],"mmmm"),0)</f>
        <v>Setiembre</v>
      </c>
      <c r="AB282" s="49"/>
    </row>
    <row r="283" spans="1:28" x14ac:dyDescent="0.3">
      <c r="A283" s="2">
        <f>IF(C_Ope_003[[#This Row],[tipo_r]]="R",COUNTIFS($C$1:$C282,"R")+1,"")</f>
        <v>282</v>
      </c>
      <c r="B283" s="19" t="str">
        <f t="shared" si="38"/>
        <v>C_Ope_003</v>
      </c>
      <c r="C283" s="3" t="s">
        <v>1330</v>
      </c>
      <c r="D283" s="14">
        <v>45901</v>
      </c>
      <c r="E283" s="5" t="s">
        <v>5595</v>
      </c>
      <c r="F283" s="5" t="s">
        <v>1336</v>
      </c>
      <c r="G283" s="6" t="s">
        <v>1009</v>
      </c>
      <c r="H283" s="6" t="s">
        <v>126</v>
      </c>
      <c r="I283" s="6"/>
      <c r="J283" s="6">
        <v>25333</v>
      </c>
      <c r="K283" s="7" t="s">
        <v>8429</v>
      </c>
      <c r="L283" s="8">
        <v>25333</v>
      </c>
      <c r="M283" s="8" t="str">
        <f t="shared" si="39"/>
        <v>PEN</v>
      </c>
      <c r="N283" s="13"/>
      <c r="O283" s="13">
        <v>15</v>
      </c>
      <c r="P283" s="3">
        <f t="shared" si="40"/>
        <v>0</v>
      </c>
      <c r="Q283" s="3">
        <f t="shared" si="41"/>
        <v>15</v>
      </c>
      <c r="R283" s="3">
        <f t="shared" si="33"/>
        <v>659.15</v>
      </c>
      <c r="S283" s="24" t="s">
        <v>1334</v>
      </c>
      <c r="T283" s="24"/>
      <c r="U283" s="3"/>
      <c r="V283" s="25" t="s">
        <v>8006</v>
      </c>
      <c r="W283" s="25"/>
      <c r="X283" s="25" t="str">
        <f>IFERROR(VLOOKUP(C_Ope_003[[#This Row],[nota_2]],Clientes_Proveedores[[Ruc / Dni]:[Razon Social]],2,0),"")</f>
        <v/>
      </c>
      <c r="Y283" s="25" t="s">
        <v>8430</v>
      </c>
      <c r="Z283" s="103"/>
      <c r="AA283" s="3" t="str">
        <f>IF(C_Ope_003[[#This Row],[fecha]]&gt;0,TEXT(C_Ope_003[[#This Row],[fecha]],"mmmm"),0)</f>
        <v>Setiembre</v>
      </c>
      <c r="AB283" s="49"/>
    </row>
    <row r="284" spans="1:28" x14ac:dyDescent="0.3">
      <c r="A284" s="2">
        <f>IF(C_Ope_003[[#This Row],[tipo_r]]="R",COUNTIFS($C$1:$C283,"R")+1,"")</f>
        <v>283</v>
      </c>
      <c r="B284" s="19" t="str">
        <f t="shared" si="38"/>
        <v>C_Ope_003</v>
      </c>
      <c r="C284" s="3" t="s">
        <v>1330</v>
      </c>
      <c r="D284" s="14">
        <v>45901</v>
      </c>
      <c r="E284" s="5" t="s">
        <v>5595</v>
      </c>
      <c r="F284" s="5" t="s">
        <v>1336</v>
      </c>
      <c r="G284" s="6" t="s">
        <v>1009</v>
      </c>
      <c r="H284" s="6" t="s">
        <v>126</v>
      </c>
      <c r="I284" s="6"/>
      <c r="J284" s="6">
        <v>25334</v>
      </c>
      <c r="K284" s="7" t="s">
        <v>8431</v>
      </c>
      <c r="L284" s="8">
        <v>25334</v>
      </c>
      <c r="M284" s="8" t="str">
        <f t="shared" si="39"/>
        <v>PEN</v>
      </c>
      <c r="N284" s="13"/>
      <c r="O284" s="13">
        <v>12</v>
      </c>
      <c r="P284" s="3">
        <f t="shared" si="40"/>
        <v>0</v>
      </c>
      <c r="Q284" s="3">
        <f t="shared" si="41"/>
        <v>12</v>
      </c>
      <c r="R284" s="3">
        <f t="shared" si="33"/>
        <v>647.15</v>
      </c>
      <c r="S284" s="24" t="s">
        <v>1334</v>
      </c>
      <c r="T284" s="24"/>
      <c r="U284" s="3"/>
      <c r="V284" s="25" t="s">
        <v>8006</v>
      </c>
      <c r="W284" s="25"/>
      <c r="X284" s="25" t="str">
        <f>IFERROR(VLOOKUP(C_Ope_003[[#This Row],[nota_2]],Clientes_Proveedores[[Ruc / Dni]:[Razon Social]],2,0),"")</f>
        <v/>
      </c>
      <c r="Y284" s="25" t="s">
        <v>8430</v>
      </c>
      <c r="Z284" s="103"/>
      <c r="AA284" s="3" t="str">
        <f>IF(C_Ope_003[[#This Row],[fecha]]&gt;0,TEXT(C_Ope_003[[#This Row],[fecha]],"mmmm"),0)</f>
        <v>Setiembre</v>
      </c>
      <c r="AB284" s="49"/>
    </row>
    <row r="285" spans="1:28" ht="24" x14ac:dyDescent="0.3">
      <c r="A285" s="2">
        <f>IF(C_Ope_003[[#This Row],[tipo_r]]="R",COUNTIFS($C$1:$C284,"R")+1,"")</f>
        <v>284</v>
      </c>
      <c r="B285" s="19" t="str">
        <f t="shared" si="38"/>
        <v>C_Ope_003</v>
      </c>
      <c r="C285" s="3" t="s">
        <v>1330</v>
      </c>
      <c r="D285" s="14">
        <v>45901</v>
      </c>
      <c r="E285" s="5" t="s">
        <v>5595</v>
      </c>
      <c r="F285" s="5" t="s">
        <v>1336</v>
      </c>
      <c r="G285" s="6" t="s">
        <v>1129</v>
      </c>
      <c r="H285" s="6" t="s">
        <v>75</v>
      </c>
      <c r="I285" s="6">
        <v>1</v>
      </c>
      <c r="J285" s="6">
        <v>667</v>
      </c>
      <c r="K285" s="7" t="s">
        <v>8432</v>
      </c>
      <c r="L285" s="8">
        <v>25337</v>
      </c>
      <c r="M285" s="8" t="str">
        <f t="shared" si="39"/>
        <v>PEN</v>
      </c>
      <c r="N285" s="13"/>
      <c r="O285" s="13">
        <v>70</v>
      </c>
      <c r="P285" s="3">
        <f t="shared" si="40"/>
        <v>0</v>
      </c>
      <c r="Q285" s="3">
        <f t="shared" si="41"/>
        <v>70</v>
      </c>
      <c r="R285" s="3">
        <f t="shared" si="33"/>
        <v>577.15</v>
      </c>
      <c r="S285" s="24" t="s">
        <v>1334</v>
      </c>
      <c r="T285" s="24"/>
      <c r="U285" s="3"/>
      <c r="V285" s="25" t="s">
        <v>8006</v>
      </c>
      <c r="W285" s="25">
        <v>10304221271</v>
      </c>
      <c r="X285" s="25" t="str">
        <f>IFERROR(VLOOKUP(C_Ope_003[[#This Row],[nota_2]],Clientes_Proveedores[[Ruc / Dni]:[Razon Social]],2,0),"")</f>
        <v>MENDOZA JUSTO YNES ERODITA</v>
      </c>
      <c r="Y285" s="25" t="s">
        <v>7910</v>
      </c>
      <c r="Z285" s="103"/>
      <c r="AA285" s="3" t="str">
        <f>IF(C_Ope_003[[#This Row],[fecha]]&gt;0,TEXT(C_Ope_003[[#This Row],[fecha]],"mmmm"),0)</f>
        <v>Setiembre</v>
      </c>
      <c r="AB285" s="49"/>
    </row>
    <row r="286" spans="1:28" ht="24" x14ac:dyDescent="0.3">
      <c r="A286" s="2">
        <f>IF(C_Ope_003[[#This Row],[tipo_r]]="R",COUNTIFS($C$1:$C285,"R")+1,"")</f>
        <v>285</v>
      </c>
      <c r="B286" s="19" t="str">
        <f t="shared" si="38"/>
        <v>C_Ope_003</v>
      </c>
      <c r="C286" s="3" t="s">
        <v>1330</v>
      </c>
      <c r="D286" s="14">
        <v>45902</v>
      </c>
      <c r="E286" s="5" t="s">
        <v>5595</v>
      </c>
      <c r="F286" s="5" t="s">
        <v>1336</v>
      </c>
      <c r="G286" s="6" t="s">
        <v>1041</v>
      </c>
      <c r="H286" s="6" t="s">
        <v>68</v>
      </c>
      <c r="I286" s="6" t="s">
        <v>8209</v>
      </c>
      <c r="J286" s="6">
        <v>2883693</v>
      </c>
      <c r="K286" s="7" t="s">
        <v>8433</v>
      </c>
      <c r="L286" s="8">
        <v>25355</v>
      </c>
      <c r="M286" s="8" t="str">
        <f t="shared" si="39"/>
        <v>PEN</v>
      </c>
      <c r="N286" s="13"/>
      <c r="O286" s="13">
        <v>58.2</v>
      </c>
      <c r="P286" s="3">
        <f t="shared" si="40"/>
        <v>0</v>
      </c>
      <c r="Q286" s="3">
        <f t="shared" si="41"/>
        <v>58.2</v>
      </c>
      <c r="R286" s="3">
        <f t="shared" si="33"/>
        <v>518.94999999999993</v>
      </c>
      <c r="S286" s="24" t="s">
        <v>1334</v>
      </c>
      <c r="T286" s="24"/>
      <c r="U286" s="3"/>
      <c r="V286" s="25" t="s">
        <v>8006</v>
      </c>
      <c r="W286" s="25">
        <v>20511465061</v>
      </c>
      <c r="X286" s="25" t="str">
        <f>IFERROR(VLOOKUP(C_Ope_003[[#This Row],[nota_2]],Clientes_Proveedores[[Ruc / Dni]:[Razon Social]],2,0),"")</f>
        <v>CONCESIONARIA VIAL DEL PERU S.A</v>
      </c>
      <c r="Y286" s="25" t="s">
        <v>7888</v>
      </c>
      <c r="Z286" s="103"/>
      <c r="AA286" s="3" t="str">
        <f>IF(C_Ope_003[[#This Row],[fecha]]&gt;0,TEXT(C_Ope_003[[#This Row],[fecha]],"mmmm"),0)</f>
        <v>Setiembre</v>
      </c>
      <c r="AB286" s="49"/>
    </row>
    <row r="287" spans="1:28" x14ac:dyDescent="0.3">
      <c r="A287" s="2">
        <f>IF(C_Ope_003[[#This Row],[tipo_r]]="R",COUNTIFS($C$1:$C286,"R")+1,"")</f>
        <v>286</v>
      </c>
      <c r="B287" s="19" t="str">
        <f t="shared" si="38"/>
        <v>C_Ope_003</v>
      </c>
      <c r="C287" s="3" t="s">
        <v>1330</v>
      </c>
      <c r="D287" s="14">
        <v>45902</v>
      </c>
      <c r="E287" s="5" t="s">
        <v>5595</v>
      </c>
      <c r="F287" s="5" t="s">
        <v>1336</v>
      </c>
      <c r="G287" s="6" t="s">
        <v>979</v>
      </c>
      <c r="H287" s="6" t="s">
        <v>68</v>
      </c>
      <c r="I287" s="6" t="s">
        <v>8434</v>
      </c>
      <c r="J287" s="6">
        <v>3812573</v>
      </c>
      <c r="K287" s="7" t="s">
        <v>8435</v>
      </c>
      <c r="L287" s="8">
        <v>25356</v>
      </c>
      <c r="M287" s="8" t="str">
        <f t="shared" si="39"/>
        <v>PEN</v>
      </c>
      <c r="N287" s="13"/>
      <c r="O287" s="13">
        <v>22.5</v>
      </c>
      <c r="P287" s="3">
        <f t="shared" si="40"/>
        <v>0</v>
      </c>
      <c r="Q287" s="3">
        <f t="shared" si="41"/>
        <v>22.5</v>
      </c>
      <c r="R287" s="3">
        <f t="shared" si="33"/>
        <v>496.44999999999993</v>
      </c>
      <c r="S287" s="24" t="s">
        <v>1334</v>
      </c>
      <c r="T287" s="24"/>
      <c r="U287" s="3"/>
      <c r="V287" s="25" t="s">
        <v>8006</v>
      </c>
      <c r="W287" s="25">
        <v>20550372640</v>
      </c>
      <c r="X287" s="25" t="str">
        <f>IFERROR(VLOOKUP(C_Ope_003[[#This Row],[nota_2]],Clientes_Proveedores[[Ruc / Dni]:[Razon Social]],2,0),"")</f>
        <v>RUTAS DE LIMA S.A.C.</v>
      </c>
      <c r="Y287" s="25" t="s">
        <v>7888</v>
      </c>
      <c r="Z287" s="103"/>
      <c r="AA287" s="3" t="str">
        <f>IF(C_Ope_003[[#This Row],[fecha]]&gt;0,TEXT(C_Ope_003[[#This Row],[fecha]],"mmmm"),0)</f>
        <v>Setiembre</v>
      </c>
      <c r="AB287" s="49"/>
    </row>
    <row r="288" spans="1:28" x14ac:dyDescent="0.3">
      <c r="A288" s="2">
        <f>IF(C_Ope_003[[#This Row],[tipo_r]]="R",COUNTIFS($C$1:$C287,"R")+1,"")</f>
        <v>287</v>
      </c>
      <c r="B288" s="19" t="str">
        <f t="shared" si="38"/>
        <v>C_Ope_003</v>
      </c>
      <c r="C288" s="3" t="s">
        <v>1330</v>
      </c>
      <c r="D288" s="14">
        <v>45902</v>
      </c>
      <c r="E288" s="5" t="s">
        <v>5595</v>
      </c>
      <c r="F288" s="5" t="s">
        <v>1336</v>
      </c>
      <c r="G288" s="6" t="s">
        <v>1009</v>
      </c>
      <c r="H288" s="6" t="s">
        <v>126</v>
      </c>
      <c r="I288" s="6"/>
      <c r="J288" s="6">
        <v>25352</v>
      </c>
      <c r="K288" s="7" t="s">
        <v>8436</v>
      </c>
      <c r="L288" s="8">
        <v>25352</v>
      </c>
      <c r="M288" s="8" t="str">
        <f t="shared" si="39"/>
        <v>PEN</v>
      </c>
      <c r="N288" s="13"/>
      <c r="O288" s="13">
        <v>10</v>
      </c>
      <c r="P288" s="3">
        <f t="shared" si="40"/>
        <v>0</v>
      </c>
      <c r="Q288" s="3">
        <f t="shared" si="41"/>
        <v>10</v>
      </c>
      <c r="R288" s="3">
        <f t="shared" si="33"/>
        <v>486.44999999999993</v>
      </c>
      <c r="S288" s="24" t="s">
        <v>1334</v>
      </c>
      <c r="T288" s="24"/>
      <c r="U288" s="3"/>
      <c r="V288" s="25" t="s">
        <v>8006</v>
      </c>
      <c r="W288" s="25"/>
      <c r="X288" s="25" t="str">
        <f>IFERROR(VLOOKUP(C_Ope_003[[#This Row],[nota_2]],Clientes_Proveedores[[Ruc / Dni]:[Razon Social]],2,0),"")</f>
        <v/>
      </c>
      <c r="Y288" s="25" t="s">
        <v>8430</v>
      </c>
      <c r="Z288" s="103"/>
      <c r="AA288" s="3" t="str">
        <f>IF(C_Ope_003[[#This Row],[fecha]]&gt;0,TEXT(C_Ope_003[[#This Row],[fecha]],"mmmm"),0)</f>
        <v>Setiembre</v>
      </c>
      <c r="AB288" s="49"/>
    </row>
    <row r="289" spans="1:28" ht="24" x14ac:dyDescent="0.3">
      <c r="A289" s="2">
        <f>IF(C_Ope_003[[#This Row],[tipo_r]]="R",COUNTIFS($C$1:$C288,"R")+1,"")</f>
        <v>288</v>
      </c>
      <c r="B289" s="19" t="str">
        <f t="shared" si="38"/>
        <v>C_Ope_003</v>
      </c>
      <c r="C289" s="3" t="s">
        <v>1330</v>
      </c>
      <c r="D289" s="14">
        <v>45902</v>
      </c>
      <c r="E289" s="5" t="s">
        <v>5595</v>
      </c>
      <c r="F289" s="5" t="s">
        <v>1336</v>
      </c>
      <c r="G289" s="6" t="s">
        <v>1130</v>
      </c>
      <c r="H289" s="6" t="s">
        <v>75</v>
      </c>
      <c r="I289" s="6">
        <v>3</v>
      </c>
      <c r="J289" s="6">
        <v>35137</v>
      </c>
      <c r="K289" s="7" t="s">
        <v>8437</v>
      </c>
      <c r="L289" s="8">
        <v>25353</v>
      </c>
      <c r="M289" s="8" t="str">
        <f t="shared" si="39"/>
        <v>PEN</v>
      </c>
      <c r="N289" s="13"/>
      <c r="O289" s="13">
        <v>15</v>
      </c>
      <c r="P289" s="3">
        <f t="shared" si="40"/>
        <v>0</v>
      </c>
      <c r="Q289" s="3">
        <f t="shared" si="41"/>
        <v>15</v>
      </c>
      <c r="R289" s="3">
        <f t="shared" si="33"/>
        <v>471.44999999999993</v>
      </c>
      <c r="S289" s="24" t="s">
        <v>1334</v>
      </c>
      <c r="T289" s="24"/>
      <c r="U289" s="3"/>
      <c r="V289" s="25" t="s">
        <v>8006</v>
      </c>
      <c r="W289" s="25">
        <v>10215629193</v>
      </c>
      <c r="X289" s="25" t="str">
        <f>IFERROR(VLOOKUP(C_Ope_003[[#This Row],[nota_2]],Clientes_Proveedores[[Ruc / Dni]:[Razon Social]],2,0),"")</f>
        <v>LAVADO OCHOA JAIME ANDRES</v>
      </c>
      <c r="Y289" s="25" t="s">
        <v>8430</v>
      </c>
      <c r="Z289" s="103"/>
      <c r="AA289" s="3" t="str">
        <f>IF(C_Ope_003[[#This Row],[fecha]]&gt;0,TEXT(C_Ope_003[[#This Row],[fecha]],"mmmm"),0)</f>
        <v>Setiembre</v>
      </c>
      <c r="AB289" s="49"/>
    </row>
    <row r="290" spans="1:28" x14ac:dyDescent="0.3">
      <c r="A290" s="2">
        <f>IF(C_Ope_003[[#This Row],[tipo_r]]="R",COUNTIFS($C$1:$C289,"R")+1,"")</f>
        <v>289</v>
      </c>
      <c r="B290" s="19" t="str">
        <f t="shared" si="38"/>
        <v>C_Ope_003</v>
      </c>
      <c r="C290" s="3" t="s">
        <v>1330</v>
      </c>
      <c r="D290" s="14">
        <v>45902</v>
      </c>
      <c r="E290" s="5" t="s">
        <v>5595</v>
      </c>
      <c r="F290" s="5" t="s">
        <v>1336</v>
      </c>
      <c r="G290" s="6" t="s">
        <v>1009</v>
      </c>
      <c r="H290" s="6" t="s">
        <v>126</v>
      </c>
      <c r="I290" s="6"/>
      <c r="J290" s="8">
        <v>25354</v>
      </c>
      <c r="K290" s="7" t="s">
        <v>8438</v>
      </c>
      <c r="L290" s="8">
        <v>25354</v>
      </c>
      <c r="M290" s="8" t="str">
        <f t="shared" si="39"/>
        <v>PEN</v>
      </c>
      <c r="N290" s="13"/>
      <c r="O290" s="13">
        <v>12</v>
      </c>
      <c r="P290" s="3">
        <f t="shared" si="40"/>
        <v>0</v>
      </c>
      <c r="Q290" s="3">
        <f t="shared" si="41"/>
        <v>12</v>
      </c>
      <c r="R290" s="3">
        <f t="shared" si="33"/>
        <v>459.44999999999993</v>
      </c>
      <c r="S290" s="24" t="s">
        <v>1334</v>
      </c>
      <c r="T290" s="24"/>
      <c r="U290" s="3"/>
      <c r="V290" s="25" t="s">
        <v>8006</v>
      </c>
      <c r="W290" s="25"/>
      <c r="X290" s="25" t="str">
        <f>IFERROR(VLOOKUP(C_Ope_003[[#This Row],[nota_2]],Clientes_Proveedores[[Ruc / Dni]:[Razon Social]],2,0),"")</f>
        <v/>
      </c>
      <c r="Y290" s="25" t="s">
        <v>8430</v>
      </c>
      <c r="Z290" s="103"/>
      <c r="AA290" s="3" t="str">
        <f>IF(C_Ope_003[[#This Row],[fecha]]&gt;0,TEXT(C_Ope_003[[#This Row],[fecha]],"mmmm"),0)</f>
        <v>Setiembre</v>
      </c>
      <c r="AB290" s="49"/>
    </row>
    <row r="291" spans="1:28" x14ac:dyDescent="0.3">
      <c r="A291" s="2">
        <f>IF(C_Ope_003[[#This Row],[tipo_r]]="R",COUNTIFS($C$1:$C290,"R")+1,"")</f>
        <v>290</v>
      </c>
      <c r="B291" s="19" t="str">
        <f t="shared" si="38"/>
        <v>C_Ope_003</v>
      </c>
      <c r="C291" s="3" t="s">
        <v>1330</v>
      </c>
      <c r="D291" s="14">
        <v>45902</v>
      </c>
      <c r="E291" s="5" t="s">
        <v>5595</v>
      </c>
      <c r="F291" s="5" t="s">
        <v>1336</v>
      </c>
      <c r="G291" s="6" t="s">
        <v>1009</v>
      </c>
      <c r="H291" s="6" t="s">
        <v>126</v>
      </c>
      <c r="I291" s="6"/>
      <c r="J291" s="8">
        <v>25357</v>
      </c>
      <c r="K291" s="7" t="s">
        <v>8439</v>
      </c>
      <c r="L291" s="8">
        <v>25357</v>
      </c>
      <c r="M291" s="8" t="str">
        <f t="shared" si="39"/>
        <v>PEN</v>
      </c>
      <c r="N291" s="13"/>
      <c r="O291" s="13">
        <v>50</v>
      </c>
      <c r="P291" s="3">
        <f t="shared" si="40"/>
        <v>0</v>
      </c>
      <c r="Q291" s="3">
        <f t="shared" si="41"/>
        <v>50</v>
      </c>
      <c r="R291" s="3">
        <f t="shared" si="33"/>
        <v>409.44999999999993</v>
      </c>
      <c r="S291" s="24" t="s">
        <v>1334</v>
      </c>
      <c r="T291" s="24"/>
      <c r="U291" s="3"/>
      <c r="V291" s="25" t="s">
        <v>8006</v>
      </c>
      <c r="W291" s="25"/>
      <c r="X291" s="25" t="str">
        <f>IFERROR(VLOOKUP(C_Ope_003[[#This Row],[nota_2]],Clientes_Proveedores[[Ruc / Dni]:[Razon Social]],2,0),"")</f>
        <v/>
      </c>
      <c r="Y291" s="25" t="s">
        <v>7910</v>
      </c>
      <c r="Z291" s="103"/>
      <c r="AA291" s="3" t="str">
        <f>IF(C_Ope_003[[#This Row],[fecha]]&gt;0,TEXT(C_Ope_003[[#This Row],[fecha]],"mmmm"),0)</f>
        <v>Setiembre</v>
      </c>
      <c r="AB291" s="49"/>
    </row>
    <row r="292" spans="1:28" x14ac:dyDescent="0.3">
      <c r="A292" s="2">
        <f>IF(C_Ope_003[[#This Row],[tipo_r]]="R",COUNTIFS($C$1:$C291,"R")+1,"")</f>
        <v>291</v>
      </c>
      <c r="B292" s="19" t="str">
        <f t="shared" si="38"/>
        <v>C_Ope_003</v>
      </c>
      <c r="C292" s="3" t="s">
        <v>1330</v>
      </c>
      <c r="D292" s="14">
        <v>45902</v>
      </c>
      <c r="E292" s="5" t="s">
        <v>5595</v>
      </c>
      <c r="F292" s="5" t="s">
        <v>1336</v>
      </c>
      <c r="G292" s="6" t="s">
        <v>1009</v>
      </c>
      <c r="H292" s="6" t="s">
        <v>126</v>
      </c>
      <c r="I292" s="6"/>
      <c r="J292" s="8">
        <v>25358</v>
      </c>
      <c r="K292" s="7" t="s">
        <v>8440</v>
      </c>
      <c r="L292" s="8">
        <v>25358</v>
      </c>
      <c r="M292" s="8" t="str">
        <f t="shared" si="39"/>
        <v>PEN</v>
      </c>
      <c r="N292" s="13"/>
      <c r="O292" s="13">
        <v>20</v>
      </c>
      <c r="P292" s="3">
        <f t="shared" si="40"/>
        <v>0</v>
      </c>
      <c r="Q292" s="3">
        <f t="shared" si="41"/>
        <v>20</v>
      </c>
      <c r="R292" s="3">
        <f t="shared" si="33"/>
        <v>389.44999999999993</v>
      </c>
      <c r="S292" s="24" t="s">
        <v>1334</v>
      </c>
      <c r="T292" s="24"/>
      <c r="U292" s="3"/>
      <c r="V292" s="25" t="s">
        <v>8006</v>
      </c>
      <c r="W292" s="25"/>
      <c r="X292" s="25" t="str">
        <f>IFERROR(VLOOKUP(C_Ope_003[[#This Row],[nota_2]],Clientes_Proveedores[[Ruc / Dni]:[Razon Social]],2,0),"")</f>
        <v/>
      </c>
      <c r="Y292" s="25" t="s">
        <v>8441</v>
      </c>
      <c r="Z292" s="103"/>
      <c r="AA292" s="3" t="str">
        <f>IF(C_Ope_003[[#This Row],[fecha]]&gt;0,TEXT(C_Ope_003[[#This Row],[fecha]],"mmmm"),0)</f>
        <v>Setiembre</v>
      </c>
      <c r="AB292" s="49"/>
    </row>
    <row r="293" spans="1:28" ht="24" x14ac:dyDescent="0.3">
      <c r="A293" s="2">
        <f>IF(C_Ope_003[[#This Row],[tipo_r]]="R",COUNTIFS($C$1:$C292,"R")+1,"")</f>
        <v>292</v>
      </c>
      <c r="B293" s="19" t="str">
        <f t="shared" si="38"/>
        <v>C_Ope_003</v>
      </c>
      <c r="C293" s="3" t="s">
        <v>1330</v>
      </c>
      <c r="D293" s="14">
        <v>45903</v>
      </c>
      <c r="E293" s="5" t="s">
        <v>5595</v>
      </c>
      <c r="F293" s="5" t="s">
        <v>1336</v>
      </c>
      <c r="G293" s="6" t="s">
        <v>979</v>
      </c>
      <c r="H293" s="6" t="s">
        <v>68</v>
      </c>
      <c r="I293" s="6" t="s">
        <v>6389</v>
      </c>
      <c r="J293" s="6">
        <v>3861657</v>
      </c>
      <c r="K293" s="7" t="s">
        <v>8442</v>
      </c>
      <c r="L293" s="8">
        <v>25376</v>
      </c>
      <c r="M293" s="8" t="str">
        <f t="shared" si="39"/>
        <v>PEN</v>
      </c>
      <c r="N293" s="13"/>
      <c r="O293" s="13">
        <v>22.5</v>
      </c>
      <c r="P293" s="3">
        <f t="shared" si="40"/>
        <v>0</v>
      </c>
      <c r="Q293" s="3">
        <f t="shared" si="41"/>
        <v>22.5</v>
      </c>
      <c r="R293" s="3">
        <f t="shared" si="33"/>
        <v>366.94999999999993</v>
      </c>
      <c r="S293" s="24" t="s">
        <v>1334</v>
      </c>
      <c r="T293" s="24"/>
      <c r="U293" s="3"/>
      <c r="V293" s="25" t="s">
        <v>8006</v>
      </c>
      <c r="W293" s="25">
        <v>20550372640</v>
      </c>
      <c r="X293" s="25" t="str">
        <f>IFERROR(VLOOKUP(C_Ope_003[[#This Row],[nota_2]],Clientes_Proveedores[[Ruc / Dni]:[Razon Social]],2,0),"")</f>
        <v>RUTAS DE LIMA S.A.C.</v>
      </c>
      <c r="Y293" s="25" t="s">
        <v>7888</v>
      </c>
      <c r="Z293" s="103"/>
      <c r="AA293" s="3" t="str">
        <f>IF(C_Ope_003[[#This Row],[fecha]]&gt;0,TEXT(C_Ope_003[[#This Row],[fecha]],"mmmm"),0)</f>
        <v>Setiembre</v>
      </c>
      <c r="AB293" s="49"/>
    </row>
    <row r="294" spans="1:28" ht="24" x14ac:dyDescent="0.3">
      <c r="A294" s="2">
        <f>IF(C_Ope_003[[#This Row],[tipo_r]]="R",COUNTIFS($C$1:$C293,"R")+1,"")</f>
        <v>293</v>
      </c>
      <c r="B294" s="19" t="str">
        <f t="shared" si="38"/>
        <v>C_Ope_003</v>
      </c>
      <c r="C294" s="3" t="s">
        <v>1330</v>
      </c>
      <c r="D294" s="14">
        <v>45903</v>
      </c>
      <c r="E294" s="5" t="s">
        <v>5595</v>
      </c>
      <c r="F294" s="5" t="s">
        <v>1336</v>
      </c>
      <c r="G294" s="6" t="s">
        <v>1128</v>
      </c>
      <c r="H294" s="6" t="s">
        <v>68</v>
      </c>
      <c r="I294" s="6" t="s">
        <v>1390</v>
      </c>
      <c r="J294" s="6">
        <v>750754</v>
      </c>
      <c r="K294" s="7" t="s">
        <v>8443</v>
      </c>
      <c r="L294" s="8">
        <v>25377</v>
      </c>
      <c r="M294" s="8" t="str">
        <f t="shared" si="39"/>
        <v>PEN</v>
      </c>
      <c r="N294" s="13"/>
      <c r="O294" s="13">
        <v>19.8</v>
      </c>
      <c r="P294" s="3">
        <f t="shared" si="40"/>
        <v>0</v>
      </c>
      <c r="Q294" s="3">
        <f t="shared" si="41"/>
        <v>19.8</v>
      </c>
      <c r="R294" s="3">
        <f t="shared" si="33"/>
        <v>347.14999999999992</v>
      </c>
      <c r="S294" s="24" t="s">
        <v>1334</v>
      </c>
      <c r="T294" s="24"/>
      <c r="U294" s="3"/>
      <c r="V294" s="25" t="s">
        <v>8006</v>
      </c>
      <c r="W294" s="25">
        <v>20523621212</v>
      </c>
      <c r="X294" s="25" t="str">
        <f>IFERROR(VLOOKUP(C_Ope_003[[#This Row],[nota_2]],Clientes_Proveedores[[Ruc / Dni]:[Razon Social]],2,0),"")</f>
        <v>LIMA EXPRESA S.A.C.</v>
      </c>
      <c r="Y294" s="25" t="s">
        <v>7888</v>
      </c>
      <c r="Z294" s="103"/>
      <c r="AA294" s="3" t="str">
        <f>IF(C_Ope_003[[#This Row],[fecha]]&gt;0,TEXT(C_Ope_003[[#This Row],[fecha]],"mmmm"),0)</f>
        <v>Setiembre</v>
      </c>
      <c r="AB294" s="49"/>
    </row>
    <row r="295" spans="1:28" ht="24" x14ac:dyDescent="0.3">
      <c r="A295" s="2">
        <f>IF(C_Ope_003[[#This Row],[tipo_r]]="R",COUNTIFS($C$1:$C294,"R")+1,"")</f>
        <v>294</v>
      </c>
      <c r="B295" s="19" t="str">
        <f t="shared" si="38"/>
        <v>C_Ope_003</v>
      </c>
      <c r="C295" s="3" t="s">
        <v>1330</v>
      </c>
      <c r="D295" s="14">
        <v>45903</v>
      </c>
      <c r="E295" s="5" t="s">
        <v>5595</v>
      </c>
      <c r="F295" s="5" t="s">
        <v>1336</v>
      </c>
      <c r="G295" s="6" t="s">
        <v>1128</v>
      </c>
      <c r="H295" s="6" t="s">
        <v>68</v>
      </c>
      <c r="I295" s="6" t="s">
        <v>8444</v>
      </c>
      <c r="J295" s="6">
        <v>1729164</v>
      </c>
      <c r="K295" s="7" t="s">
        <v>8443</v>
      </c>
      <c r="L295" s="8">
        <v>25378</v>
      </c>
      <c r="M295" s="8" t="str">
        <f t="shared" si="39"/>
        <v>PEN</v>
      </c>
      <c r="N295" s="13"/>
      <c r="O295" s="13">
        <v>19.8</v>
      </c>
      <c r="P295" s="3">
        <f t="shared" si="40"/>
        <v>0</v>
      </c>
      <c r="Q295" s="3">
        <f t="shared" si="41"/>
        <v>19.8</v>
      </c>
      <c r="R295" s="3">
        <f t="shared" si="33"/>
        <v>327.34999999999991</v>
      </c>
      <c r="S295" s="24" t="s">
        <v>1334</v>
      </c>
      <c r="T295" s="24"/>
      <c r="U295" s="3"/>
      <c r="V295" s="25" t="s">
        <v>8006</v>
      </c>
      <c r="W295" s="25">
        <v>20523621212</v>
      </c>
      <c r="X295" s="25" t="str">
        <f>IFERROR(VLOOKUP(C_Ope_003[[#This Row],[nota_2]],Clientes_Proveedores[[Ruc / Dni]:[Razon Social]],2,0),"")</f>
        <v>LIMA EXPRESA S.A.C.</v>
      </c>
      <c r="Y295" s="25" t="s">
        <v>7888</v>
      </c>
      <c r="Z295" s="103"/>
      <c r="AA295" s="3" t="str">
        <f>IF(C_Ope_003[[#This Row],[fecha]]&gt;0,TEXT(C_Ope_003[[#This Row],[fecha]],"mmmm"),0)</f>
        <v>Setiembre</v>
      </c>
      <c r="AB295" s="49"/>
    </row>
    <row r="296" spans="1:28" ht="24" x14ac:dyDescent="0.3">
      <c r="A296" s="2">
        <f>IF(C_Ope_003[[#This Row],[tipo_r]]="R",COUNTIFS($C$1:$C295,"R")+1,"")</f>
        <v>295</v>
      </c>
      <c r="B296" s="19" t="str">
        <f t="shared" si="38"/>
        <v>C_Ope_003</v>
      </c>
      <c r="C296" s="3" t="s">
        <v>1330</v>
      </c>
      <c r="D296" s="14">
        <v>45903</v>
      </c>
      <c r="E296" s="5" t="s">
        <v>5595</v>
      </c>
      <c r="F296" s="5" t="s">
        <v>1336</v>
      </c>
      <c r="G296" s="6" t="s">
        <v>1128</v>
      </c>
      <c r="H296" s="6" t="s">
        <v>68</v>
      </c>
      <c r="I296" s="6" t="s">
        <v>8445</v>
      </c>
      <c r="J296" s="6">
        <v>5241297</v>
      </c>
      <c r="K296" s="7" t="s">
        <v>8443</v>
      </c>
      <c r="L296" s="8">
        <v>25379</v>
      </c>
      <c r="M296" s="8" t="str">
        <f t="shared" si="39"/>
        <v>PEN</v>
      </c>
      <c r="N296" s="13"/>
      <c r="O296" s="13">
        <v>19.8</v>
      </c>
      <c r="P296" s="3">
        <f t="shared" si="40"/>
        <v>0</v>
      </c>
      <c r="Q296" s="3">
        <f t="shared" si="41"/>
        <v>19.8</v>
      </c>
      <c r="R296" s="3">
        <f t="shared" si="33"/>
        <v>307.5499999999999</v>
      </c>
      <c r="S296" s="24" t="s">
        <v>1334</v>
      </c>
      <c r="T296" s="24"/>
      <c r="U296" s="3"/>
      <c r="V296" s="25" t="s">
        <v>8006</v>
      </c>
      <c r="W296" s="25">
        <v>20523621212</v>
      </c>
      <c r="X296" s="25" t="str">
        <f>IFERROR(VLOOKUP(C_Ope_003[[#This Row],[nota_2]],Clientes_Proveedores[[Ruc / Dni]:[Razon Social]],2,0),"")</f>
        <v>LIMA EXPRESA S.A.C.</v>
      </c>
      <c r="Y296" s="25" t="s">
        <v>7888</v>
      </c>
      <c r="Z296" s="103"/>
      <c r="AA296" s="3" t="str">
        <f>IF(C_Ope_003[[#This Row],[fecha]]&gt;0,TEXT(C_Ope_003[[#This Row],[fecha]],"mmmm"),0)</f>
        <v>Setiembre</v>
      </c>
      <c r="AB296" s="49"/>
    </row>
    <row r="297" spans="1:28" ht="24" x14ac:dyDescent="0.3">
      <c r="A297" s="2">
        <f>IF(C_Ope_003[[#This Row],[tipo_r]]="R",COUNTIFS($C$1:$C296,"R")+1,"")</f>
        <v>296</v>
      </c>
      <c r="B297" s="19" t="str">
        <f t="shared" si="38"/>
        <v>C_Ope_003</v>
      </c>
      <c r="C297" s="3" t="s">
        <v>1330</v>
      </c>
      <c r="D297" s="14">
        <v>45903</v>
      </c>
      <c r="E297" s="5" t="s">
        <v>5595</v>
      </c>
      <c r="F297" s="5" t="s">
        <v>1336</v>
      </c>
      <c r="G297" s="6" t="s">
        <v>1041</v>
      </c>
      <c r="H297" s="6" t="s">
        <v>68</v>
      </c>
      <c r="I297" s="6" t="s">
        <v>8351</v>
      </c>
      <c r="J297" s="6">
        <v>1703253</v>
      </c>
      <c r="K297" s="7" t="s">
        <v>8446</v>
      </c>
      <c r="L297" s="8">
        <v>25380</v>
      </c>
      <c r="M297" s="8" t="str">
        <f t="shared" si="39"/>
        <v>PEN</v>
      </c>
      <c r="N297" s="13"/>
      <c r="O297" s="13">
        <v>58.2</v>
      </c>
      <c r="P297" s="3">
        <f t="shared" si="40"/>
        <v>0</v>
      </c>
      <c r="Q297" s="3">
        <f t="shared" si="41"/>
        <v>58.2</v>
      </c>
      <c r="R297" s="3">
        <f t="shared" si="33"/>
        <v>249.34999999999991</v>
      </c>
      <c r="S297" s="24" t="s">
        <v>1334</v>
      </c>
      <c r="T297" s="24"/>
      <c r="U297" s="3"/>
      <c r="V297" s="25" t="s">
        <v>8006</v>
      </c>
      <c r="W297" s="25">
        <v>20511465061</v>
      </c>
      <c r="X297" s="25" t="str">
        <f>IFERROR(VLOOKUP(C_Ope_003[[#This Row],[nota_2]],Clientes_Proveedores[[Ruc / Dni]:[Razon Social]],2,0),"")</f>
        <v>CONCESIONARIA VIAL DEL PERU S.A</v>
      </c>
      <c r="Y297" s="25" t="s">
        <v>7888</v>
      </c>
      <c r="Z297" s="103"/>
      <c r="AA297" s="3" t="str">
        <f>IF(C_Ope_003[[#This Row],[fecha]]&gt;0,TEXT(C_Ope_003[[#This Row],[fecha]],"mmmm"),0)</f>
        <v>Setiembre</v>
      </c>
      <c r="AB297" s="49"/>
    </row>
    <row r="298" spans="1:28" x14ac:dyDescent="0.3">
      <c r="A298" s="2">
        <f>IF(C_Ope_003[[#This Row],[tipo_r]]="R",COUNTIFS($C$1:$C297,"R")+1,"")</f>
        <v>297</v>
      </c>
      <c r="B298" s="19" t="str">
        <f t="shared" si="38"/>
        <v>C_Ope_003</v>
      </c>
      <c r="C298" s="3" t="s">
        <v>1330</v>
      </c>
      <c r="D298" s="14">
        <v>45903</v>
      </c>
      <c r="E298" s="5" t="s">
        <v>5595</v>
      </c>
      <c r="F298" s="5" t="s">
        <v>1336</v>
      </c>
      <c r="G298" s="6" t="s">
        <v>1009</v>
      </c>
      <c r="H298" s="6" t="s">
        <v>126</v>
      </c>
      <c r="I298" s="6"/>
      <c r="J298" s="8">
        <v>25373</v>
      </c>
      <c r="K298" s="7" t="s">
        <v>8447</v>
      </c>
      <c r="L298" s="8">
        <v>25373</v>
      </c>
      <c r="M298" s="8" t="str">
        <f t="shared" si="39"/>
        <v>PEN</v>
      </c>
      <c r="N298" s="13"/>
      <c r="O298" s="13">
        <v>10</v>
      </c>
      <c r="P298" s="3">
        <f t="shared" si="40"/>
        <v>0</v>
      </c>
      <c r="Q298" s="3">
        <f t="shared" si="41"/>
        <v>10</v>
      </c>
      <c r="R298" s="3">
        <f t="shared" si="33"/>
        <v>239.34999999999991</v>
      </c>
      <c r="S298" s="24" t="s">
        <v>1334</v>
      </c>
      <c r="T298" s="24"/>
      <c r="U298" s="3"/>
      <c r="V298" s="25" t="s">
        <v>8006</v>
      </c>
      <c r="W298" s="25"/>
      <c r="X298" s="25" t="str">
        <f>IFERROR(VLOOKUP(C_Ope_003[[#This Row],[nota_2]],Clientes_Proveedores[[Ruc / Dni]:[Razon Social]],2,0),"")</f>
        <v/>
      </c>
      <c r="Y298" s="25" t="s">
        <v>8430</v>
      </c>
      <c r="Z298" s="103"/>
      <c r="AA298" s="3" t="str">
        <f>IF(C_Ope_003[[#This Row],[fecha]]&gt;0,TEXT(C_Ope_003[[#This Row],[fecha]],"mmmm"),0)</f>
        <v>Setiembre</v>
      </c>
      <c r="AB298" s="49"/>
    </row>
    <row r="299" spans="1:28" ht="24" x14ac:dyDescent="0.3">
      <c r="A299" s="2">
        <f>IF(C_Ope_003[[#This Row],[tipo_r]]="R",COUNTIFS($C$1:$C298,"R")+1,"")</f>
        <v>298</v>
      </c>
      <c r="B299" s="19" t="str">
        <f t="shared" si="38"/>
        <v>C_Ope_003</v>
      </c>
      <c r="C299" s="3" t="s">
        <v>1330</v>
      </c>
      <c r="D299" s="14">
        <v>45903</v>
      </c>
      <c r="E299" s="5" t="s">
        <v>5595</v>
      </c>
      <c r="F299" s="5" t="s">
        <v>1336</v>
      </c>
      <c r="G299" s="6" t="s">
        <v>1131</v>
      </c>
      <c r="H299" s="6" t="s">
        <v>75</v>
      </c>
      <c r="I299" s="6">
        <v>1</v>
      </c>
      <c r="J299" s="6">
        <v>520</v>
      </c>
      <c r="K299" s="7" t="s">
        <v>8448</v>
      </c>
      <c r="L299" s="8">
        <v>25374</v>
      </c>
      <c r="M299" s="8" t="str">
        <f t="shared" si="39"/>
        <v>PEN</v>
      </c>
      <c r="N299" s="13"/>
      <c r="O299" s="13">
        <v>15</v>
      </c>
      <c r="P299" s="3">
        <f t="shared" si="40"/>
        <v>0</v>
      </c>
      <c r="Q299" s="3">
        <f t="shared" si="41"/>
        <v>15</v>
      </c>
      <c r="R299" s="3">
        <f t="shared" si="33"/>
        <v>224.34999999999991</v>
      </c>
      <c r="S299" s="24" t="s">
        <v>1334</v>
      </c>
      <c r="T299" s="24"/>
      <c r="U299" s="3"/>
      <c r="V299" s="25" t="s">
        <v>8006</v>
      </c>
      <c r="W299" s="25">
        <v>10440693577</v>
      </c>
      <c r="X299" s="25" t="str">
        <f>IFERROR(VLOOKUP(C_Ope_003[[#This Row],[nota_2]],Clientes_Proveedores[[Ruc / Dni]:[Razon Social]],2,0),"")</f>
        <v>GUADALUPE VEGA ROSA ALVINA</v>
      </c>
      <c r="Y299" s="25" t="s">
        <v>8430</v>
      </c>
      <c r="Z299" s="103"/>
      <c r="AA299" s="3" t="str">
        <f>IF(C_Ope_003[[#This Row],[fecha]]&gt;0,TEXT(C_Ope_003[[#This Row],[fecha]],"mmmm"),0)</f>
        <v>Setiembre</v>
      </c>
      <c r="AB299" s="49"/>
    </row>
    <row r="300" spans="1:28" x14ac:dyDescent="0.3">
      <c r="A300" s="2">
        <f>IF(C_Ope_003[[#This Row],[tipo_r]]="R",COUNTIFS($C$1:$C299,"R")+1,"")</f>
        <v>299</v>
      </c>
      <c r="B300" s="19" t="str">
        <f t="shared" si="38"/>
        <v>C_Ope_003</v>
      </c>
      <c r="C300" s="3" t="s">
        <v>1330</v>
      </c>
      <c r="D300" s="14">
        <v>45903</v>
      </c>
      <c r="E300" s="5" t="s">
        <v>5595</v>
      </c>
      <c r="F300" s="5" t="s">
        <v>1336</v>
      </c>
      <c r="G300" s="6" t="s">
        <v>1009</v>
      </c>
      <c r="H300" s="6" t="s">
        <v>126</v>
      </c>
      <c r="I300" s="6"/>
      <c r="J300" s="8">
        <v>25375</v>
      </c>
      <c r="K300" s="7" t="s">
        <v>8449</v>
      </c>
      <c r="L300" s="8">
        <v>25375</v>
      </c>
      <c r="M300" s="8" t="str">
        <f t="shared" si="39"/>
        <v>PEN</v>
      </c>
      <c r="N300" s="13"/>
      <c r="O300" s="13">
        <v>12</v>
      </c>
      <c r="P300" s="3">
        <f t="shared" si="40"/>
        <v>0</v>
      </c>
      <c r="Q300" s="3">
        <f t="shared" si="41"/>
        <v>12</v>
      </c>
      <c r="R300" s="3">
        <f t="shared" si="33"/>
        <v>212.34999999999991</v>
      </c>
      <c r="S300" s="24" t="s">
        <v>1334</v>
      </c>
      <c r="T300" s="24"/>
      <c r="U300" s="3"/>
      <c r="V300" s="25" t="s">
        <v>8006</v>
      </c>
      <c r="W300" s="25"/>
      <c r="X300" s="25" t="str">
        <f>IFERROR(VLOOKUP(C_Ope_003[[#This Row],[nota_2]],Clientes_Proveedores[[Ruc / Dni]:[Razon Social]],2,0),"")</f>
        <v/>
      </c>
      <c r="Y300" s="25" t="s">
        <v>8430</v>
      </c>
      <c r="Z300" s="103"/>
      <c r="AA300" s="3" t="str">
        <f>IF(C_Ope_003[[#This Row],[fecha]]&gt;0,TEXT(C_Ope_003[[#This Row],[fecha]],"mmmm"),0)</f>
        <v>Setiembre</v>
      </c>
      <c r="AB300" s="49"/>
    </row>
    <row r="301" spans="1:28" ht="24" x14ac:dyDescent="0.3">
      <c r="A301" s="2">
        <f>IF(C_Ope_003[[#This Row],[tipo_r]]="R",COUNTIFS($C$1:$C300,"R")+1,"")</f>
        <v>300</v>
      </c>
      <c r="B301" s="19" t="str">
        <f t="shared" si="38"/>
        <v>C_Ope_003</v>
      </c>
      <c r="C301" s="3" t="s">
        <v>1330</v>
      </c>
      <c r="D301" s="14">
        <v>45903</v>
      </c>
      <c r="E301" s="5" t="s">
        <v>5595</v>
      </c>
      <c r="F301" s="5" t="s">
        <v>1336</v>
      </c>
      <c r="G301" s="6" t="s">
        <v>1132</v>
      </c>
      <c r="H301" s="6" t="s">
        <v>68</v>
      </c>
      <c r="I301" s="6" t="s">
        <v>1376</v>
      </c>
      <c r="J301" s="6">
        <v>1623</v>
      </c>
      <c r="K301" s="7" t="s">
        <v>8450</v>
      </c>
      <c r="L301" s="8">
        <v>25381</v>
      </c>
      <c r="M301" s="8" t="str">
        <f t="shared" si="39"/>
        <v>PEN</v>
      </c>
      <c r="N301" s="13"/>
      <c r="O301" s="13">
        <v>70</v>
      </c>
      <c r="P301" s="3">
        <f t="shared" si="40"/>
        <v>0</v>
      </c>
      <c r="Q301" s="3">
        <f t="shared" si="41"/>
        <v>70</v>
      </c>
      <c r="R301" s="3">
        <f t="shared" si="33"/>
        <v>142.34999999999991</v>
      </c>
      <c r="S301" s="24" t="s">
        <v>1334</v>
      </c>
      <c r="T301" s="24"/>
      <c r="U301" s="3"/>
      <c r="V301" s="25" t="s">
        <v>8006</v>
      </c>
      <c r="W301" s="25">
        <v>10218664615</v>
      </c>
      <c r="X301" s="25" t="str">
        <f>IFERROR(VLOOKUP(C_Ope_003[[#This Row],[nota_2]],Clientes_Proveedores[[Ruc / Dni]:[Razon Social]],2,0),"")</f>
        <v>DE LA CRUZ AVALOS BALTAZAR</v>
      </c>
      <c r="Y301" s="25" t="s">
        <v>7910</v>
      </c>
      <c r="Z301" s="103"/>
      <c r="AA301" s="3" t="str">
        <f>IF(C_Ope_003[[#This Row],[fecha]]&gt;0,TEXT(C_Ope_003[[#This Row],[fecha]],"mmmm"),0)</f>
        <v>Setiembre</v>
      </c>
      <c r="AB301" s="49"/>
    </row>
    <row r="302" spans="1:28" ht="24" x14ac:dyDescent="0.3">
      <c r="A302" s="2">
        <f>IF(C_Ope_003[[#This Row],[tipo_r]]="R",COUNTIFS($C$1:$C301,"R")+1,"")</f>
        <v>301</v>
      </c>
      <c r="B302" s="19" t="str">
        <f t="shared" si="38"/>
        <v>C_Ope_003</v>
      </c>
      <c r="C302" s="3" t="s">
        <v>1330</v>
      </c>
      <c r="D302" s="14">
        <v>45904</v>
      </c>
      <c r="E302" s="5" t="s">
        <v>5595</v>
      </c>
      <c r="F302" s="5" t="s">
        <v>1336</v>
      </c>
      <c r="G302" s="6" t="s">
        <v>1041</v>
      </c>
      <c r="H302" s="6" t="s">
        <v>68</v>
      </c>
      <c r="I302" s="6" t="s">
        <v>3212</v>
      </c>
      <c r="J302" s="6">
        <v>2224868</v>
      </c>
      <c r="K302" s="7" t="s">
        <v>8451</v>
      </c>
      <c r="L302" s="8">
        <v>25391</v>
      </c>
      <c r="M302" s="8" t="str">
        <f t="shared" si="39"/>
        <v>PEN</v>
      </c>
      <c r="N302" s="13"/>
      <c r="O302" s="13">
        <v>58.2</v>
      </c>
      <c r="P302" s="3">
        <f t="shared" si="40"/>
        <v>0</v>
      </c>
      <c r="Q302" s="3">
        <f t="shared" si="41"/>
        <v>58.2</v>
      </c>
      <c r="R302" s="3">
        <f t="shared" si="33"/>
        <v>84.149999999999906</v>
      </c>
      <c r="S302" s="24" t="s">
        <v>1334</v>
      </c>
      <c r="T302" s="24"/>
      <c r="U302" s="3"/>
      <c r="V302" s="25" t="s">
        <v>8006</v>
      </c>
      <c r="W302" s="25">
        <v>20511465061</v>
      </c>
      <c r="X302" s="25" t="str">
        <f>IFERROR(VLOOKUP(C_Ope_003[[#This Row],[nota_2]],Clientes_Proveedores[[Ruc / Dni]:[Razon Social]],2,0),"")</f>
        <v>CONCESIONARIA VIAL DEL PERU S.A</v>
      </c>
      <c r="Y302" s="25" t="s">
        <v>7888</v>
      </c>
      <c r="Z302" s="103"/>
      <c r="AA302" s="3" t="str">
        <f>IF(C_Ope_003[[#This Row],[fecha]]&gt;0,TEXT(C_Ope_003[[#This Row],[fecha]],"mmmm"),0)</f>
        <v>Setiembre</v>
      </c>
      <c r="AB302" s="49"/>
    </row>
    <row r="303" spans="1:28" ht="36" x14ac:dyDescent="0.3">
      <c r="A303" s="2">
        <f>IF(C_Ope_003[[#This Row],[tipo_r]]="R",COUNTIFS($C$1:$C302,"R")+1,"")</f>
        <v>302</v>
      </c>
      <c r="B303" s="19" t="str">
        <f t="shared" si="38"/>
        <v>C_Ope_003</v>
      </c>
      <c r="C303" s="3" t="s">
        <v>1330</v>
      </c>
      <c r="D303" s="14">
        <v>45904</v>
      </c>
      <c r="E303" s="5" t="s">
        <v>5595</v>
      </c>
      <c r="F303" s="5" t="s">
        <v>1336</v>
      </c>
      <c r="G303" s="6" t="s">
        <v>1042</v>
      </c>
      <c r="H303" s="6" t="s">
        <v>98</v>
      </c>
      <c r="I303" s="6" t="s">
        <v>8319</v>
      </c>
      <c r="J303" s="6">
        <v>325047582</v>
      </c>
      <c r="K303" s="7" t="s">
        <v>8452</v>
      </c>
      <c r="L303" s="8">
        <v>25392</v>
      </c>
      <c r="M303" s="8" t="str">
        <f t="shared" si="39"/>
        <v>PEN</v>
      </c>
      <c r="N303" s="13"/>
      <c r="O303" s="13">
        <v>19.5</v>
      </c>
      <c r="P303" s="3">
        <f t="shared" si="40"/>
        <v>0</v>
      </c>
      <c r="Q303" s="3">
        <f t="shared" si="41"/>
        <v>19.5</v>
      </c>
      <c r="R303" s="3">
        <f t="shared" si="33"/>
        <v>64.649999999999906</v>
      </c>
      <c r="S303" s="24" t="s">
        <v>1334</v>
      </c>
      <c r="T303" s="24"/>
      <c r="U303" s="3"/>
      <c r="V303" s="25" t="s">
        <v>8006</v>
      </c>
      <c r="W303" s="25">
        <v>20503503639</v>
      </c>
      <c r="X303" s="25" t="str">
        <f>IFERROR(VLOOKUP(C_Ope_003[[#This Row],[nota_2]],Clientes_Proveedores[[Ruc / Dni]:[Razon Social]],2,0),"")</f>
        <v>PROVIAS NACIONAL</v>
      </c>
      <c r="Y303" s="25" t="s">
        <v>7888</v>
      </c>
      <c r="Z303" s="103"/>
      <c r="AA303" s="3" t="str">
        <f>IF(C_Ope_003[[#This Row],[fecha]]&gt;0,TEXT(C_Ope_003[[#This Row],[fecha]],"mmmm"),0)</f>
        <v>Setiembre</v>
      </c>
      <c r="AB303" s="49"/>
    </row>
    <row r="304" spans="1:28" ht="36" x14ac:dyDescent="0.3">
      <c r="A304" s="2">
        <f>IF(C_Ope_003[[#This Row],[tipo_r]]="R",COUNTIFS($C$1:$C303,"R")+1,"")</f>
        <v>303</v>
      </c>
      <c r="B304" s="19" t="str">
        <f t="shared" si="38"/>
        <v>C_Ope_003</v>
      </c>
      <c r="C304" s="3" t="s">
        <v>1330</v>
      </c>
      <c r="D304" s="14">
        <v>45904</v>
      </c>
      <c r="E304" s="5" t="s">
        <v>5595</v>
      </c>
      <c r="F304" s="5" t="s">
        <v>1336</v>
      </c>
      <c r="G304" s="6" t="s">
        <v>1042</v>
      </c>
      <c r="H304" s="6" t="s">
        <v>98</v>
      </c>
      <c r="I304" s="6" t="s">
        <v>8270</v>
      </c>
      <c r="J304" s="6">
        <v>325051680</v>
      </c>
      <c r="K304" s="7" t="s">
        <v>8453</v>
      </c>
      <c r="L304" s="8">
        <v>25393</v>
      </c>
      <c r="M304" s="8" t="str">
        <f t="shared" si="39"/>
        <v>PEN</v>
      </c>
      <c r="N304" s="13"/>
      <c r="O304" s="13">
        <v>19.5</v>
      </c>
      <c r="P304" s="3">
        <f t="shared" si="40"/>
        <v>0</v>
      </c>
      <c r="Q304" s="3">
        <f t="shared" si="41"/>
        <v>19.5</v>
      </c>
      <c r="R304" s="3">
        <f t="shared" si="33"/>
        <v>45.149999999999906</v>
      </c>
      <c r="S304" s="24" t="s">
        <v>1334</v>
      </c>
      <c r="T304" s="24"/>
      <c r="U304" s="3"/>
      <c r="V304" s="25" t="s">
        <v>8006</v>
      </c>
      <c r="W304" s="25">
        <v>20503503639</v>
      </c>
      <c r="X304" s="25" t="str">
        <f>IFERROR(VLOOKUP(C_Ope_003[[#This Row],[nota_2]],Clientes_Proveedores[[Ruc / Dni]:[Razon Social]],2,0),"")</f>
        <v>PROVIAS NACIONAL</v>
      </c>
      <c r="Y304" s="25" t="s">
        <v>7888</v>
      </c>
      <c r="Z304" s="103"/>
      <c r="AA304" s="3" t="str">
        <f>IF(C_Ope_003[[#This Row],[fecha]]&gt;0,TEXT(C_Ope_003[[#This Row],[fecha]],"mmmm"),0)</f>
        <v>Setiembre</v>
      </c>
      <c r="AB304" s="49"/>
    </row>
    <row r="305" spans="1:28" x14ac:dyDescent="0.3">
      <c r="A305" s="2">
        <f>IF(C_Ope_003[[#This Row],[tipo_r]]="R",COUNTIFS($C$1:$C304,"R")+1,"")</f>
        <v>304</v>
      </c>
      <c r="B305" s="19" t="str">
        <f t="shared" si="38"/>
        <v>C_Ope_003</v>
      </c>
      <c r="C305" s="3" t="s">
        <v>1330</v>
      </c>
      <c r="D305" s="14">
        <v>45904</v>
      </c>
      <c r="E305" s="5" t="s">
        <v>5595</v>
      </c>
      <c r="F305" s="5" t="s">
        <v>1336</v>
      </c>
      <c r="G305" s="6" t="s">
        <v>1009</v>
      </c>
      <c r="H305" s="6" t="s">
        <v>126</v>
      </c>
      <c r="I305" s="6"/>
      <c r="J305" s="8">
        <v>25388</v>
      </c>
      <c r="K305" s="7" t="s">
        <v>8454</v>
      </c>
      <c r="L305" s="8">
        <v>25388</v>
      </c>
      <c r="M305" s="8" t="str">
        <f t="shared" si="39"/>
        <v>PEN</v>
      </c>
      <c r="N305" s="13"/>
      <c r="O305" s="13">
        <v>10</v>
      </c>
      <c r="P305" s="3">
        <f t="shared" si="40"/>
        <v>0</v>
      </c>
      <c r="Q305" s="3">
        <f t="shared" si="41"/>
        <v>10</v>
      </c>
      <c r="R305" s="3">
        <f t="shared" si="33"/>
        <v>35.149999999999906</v>
      </c>
      <c r="S305" s="24" t="s">
        <v>1334</v>
      </c>
      <c r="T305" s="24"/>
      <c r="U305" s="3"/>
      <c r="V305" s="25" t="s">
        <v>8006</v>
      </c>
      <c r="W305" s="25"/>
      <c r="X305" s="25" t="str">
        <f>IFERROR(VLOOKUP(C_Ope_003[[#This Row],[nota_2]],Clientes_Proveedores[[Ruc / Dni]:[Razon Social]],2,0),"")</f>
        <v/>
      </c>
      <c r="Y305" s="25" t="s">
        <v>8430</v>
      </c>
      <c r="Z305" s="103"/>
      <c r="AA305" s="3" t="str">
        <f>IF(C_Ope_003[[#This Row],[fecha]]&gt;0,TEXT(C_Ope_003[[#This Row],[fecha]],"mmmm"),0)</f>
        <v>Setiembre</v>
      </c>
      <c r="AB305" s="49"/>
    </row>
    <row r="306" spans="1:28" x14ac:dyDescent="0.3">
      <c r="A306" s="2">
        <f>IF(C_Ope_003[[#This Row],[tipo_r]]="R",COUNTIFS($C$1:$C305,"R")+1,"")</f>
        <v>305</v>
      </c>
      <c r="B306" s="19" t="str">
        <f t="shared" si="38"/>
        <v>C_Ope_003</v>
      </c>
      <c r="C306" s="3" t="s">
        <v>1330</v>
      </c>
      <c r="D306" s="14">
        <v>45904</v>
      </c>
      <c r="E306" s="5" t="s">
        <v>5595</v>
      </c>
      <c r="F306" s="5" t="s">
        <v>1336</v>
      </c>
      <c r="G306" s="6" t="s">
        <v>1009</v>
      </c>
      <c r="H306" s="6" t="s">
        <v>126</v>
      </c>
      <c r="I306" s="6"/>
      <c r="J306" s="8">
        <v>25389</v>
      </c>
      <c r="K306" s="7" t="s">
        <v>8455</v>
      </c>
      <c r="L306" s="8">
        <v>25389</v>
      </c>
      <c r="M306" s="8" t="str">
        <f t="shared" si="39"/>
        <v>PEN</v>
      </c>
      <c r="N306" s="13"/>
      <c r="O306" s="13">
        <v>15</v>
      </c>
      <c r="P306" s="3">
        <f t="shared" si="40"/>
        <v>0</v>
      </c>
      <c r="Q306" s="3">
        <f t="shared" si="41"/>
        <v>15</v>
      </c>
      <c r="R306" s="3">
        <f t="shared" si="33"/>
        <v>20.149999999999906</v>
      </c>
      <c r="S306" s="24" t="s">
        <v>1334</v>
      </c>
      <c r="T306" s="24"/>
      <c r="U306" s="3"/>
      <c r="V306" s="25" t="s">
        <v>8006</v>
      </c>
      <c r="W306" s="25"/>
      <c r="X306" s="25" t="str">
        <f>IFERROR(VLOOKUP(C_Ope_003[[#This Row],[nota_2]],Clientes_Proveedores[[Ruc / Dni]:[Razon Social]],2,0),"")</f>
        <v/>
      </c>
      <c r="Y306" s="25" t="s">
        <v>8430</v>
      </c>
      <c r="Z306" s="103"/>
      <c r="AA306" s="3" t="str">
        <f>IF(C_Ope_003[[#This Row],[fecha]]&gt;0,TEXT(C_Ope_003[[#This Row],[fecha]],"mmmm"),0)</f>
        <v>Setiembre</v>
      </c>
      <c r="AB306" s="49"/>
    </row>
    <row r="307" spans="1:28" x14ac:dyDescent="0.3">
      <c r="A307" s="2">
        <f>IF(C_Ope_003[[#This Row],[tipo_r]]="R",COUNTIFS($C$1:$C306,"R")+1,"")</f>
        <v>306</v>
      </c>
      <c r="B307" s="19" t="str">
        <f t="shared" si="38"/>
        <v>C_Ope_003</v>
      </c>
      <c r="C307" s="3" t="s">
        <v>1330</v>
      </c>
      <c r="D307" s="14">
        <v>45904</v>
      </c>
      <c r="E307" s="5" t="s">
        <v>5595</v>
      </c>
      <c r="F307" s="5" t="s">
        <v>1336</v>
      </c>
      <c r="G307" s="6" t="s">
        <v>1009</v>
      </c>
      <c r="H307" s="6" t="s">
        <v>126</v>
      </c>
      <c r="I307" s="6"/>
      <c r="J307" s="8">
        <v>25390</v>
      </c>
      <c r="K307" s="7" t="s">
        <v>8456</v>
      </c>
      <c r="L307" s="8">
        <v>25390</v>
      </c>
      <c r="M307" s="8" t="str">
        <f t="shared" si="39"/>
        <v>PEN</v>
      </c>
      <c r="N307" s="13"/>
      <c r="O307" s="13">
        <v>12</v>
      </c>
      <c r="P307" s="3">
        <f t="shared" si="40"/>
        <v>0</v>
      </c>
      <c r="Q307" s="3">
        <f t="shared" si="41"/>
        <v>12</v>
      </c>
      <c r="R307" s="3">
        <f t="shared" si="33"/>
        <v>8.1499999999999062</v>
      </c>
      <c r="S307" s="24" t="s">
        <v>1334</v>
      </c>
      <c r="T307" s="24"/>
      <c r="U307" s="3"/>
      <c r="V307" s="25" t="s">
        <v>8006</v>
      </c>
      <c r="W307" s="25"/>
      <c r="X307" s="25" t="str">
        <f>IFERROR(VLOOKUP(C_Ope_003[[#This Row],[nota_2]],Clientes_Proveedores[[Ruc / Dni]:[Razon Social]],2,0),"")</f>
        <v/>
      </c>
      <c r="Y307" s="25" t="s">
        <v>8430</v>
      </c>
      <c r="Z307" s="103"/>
      <c r="AA307" s="3" t="str">
        <f>IF(C_Ope_003[[#This Row],[fecha]]&gt;0,TEXT(C_Ope_003[[#This Row],[fecha]],"mmmm"),0)</f>
        <v>Setiembre</v>
      </c>
      <c r="AB307" s="49"/>
    </row>
    <row r="308" spans="1:28" x14ac:dyDescent="0.3">
      <c r="A308" s="2">
        <f>IF(C_Ope_003[[#This Row],[tipo_r]]="R",COUNTIFS($C$1:$C307,"R")+1,"")</f>
        <v>307</v>
      </c>
      <c r="B308" s="19" t="str">
        <f>"C_Ope_003"</f>
        <v>C_Ope_003</v>
      </c>
      <c r="C308" s="3" t="s">
        <v>1330</v>
      </c>
      <c r="D308" s="14">
        <v>45905</v>
      </c>
      <c r="E308" s="5" t="s">
        <v>3634</v>
      </c>
      <c r="F308" s="5" t="s">
        <v>1303</v>
      </c>
      <c r="G308" s="6"/>
      <c r="H308" s="6"/>
      <c r="I308" s="6"/>
      <c r="J308" s="8"/>
      <c r="K308" s="7" t="s">
        <v>7516</v>
      </c>
      <c r="L308" s="8">
        <v>25405</v>
      </c>
      <c r="M308" s="8" t="str">
        <f>"PEN"</f>
        <v>PEN</v>
      </c>
      <c r="N308" s="13"/>
      <c r="O308" s="13">
        <v>400</v>
      </c>
      <c r="P308" s="3">
        <f>+IF(OR($F308="SALDO",$F308="INGRESO"),$O308,0)</f>
        <v>400</v>
      </c>
      <c r="Q308" s="3">
        <f>+IF($F308="EGRESO",$O308,0)</f>
        <v>0</v>
      </c>
      <c r="R308" s="3">
        <f t="shared" si="33"/>
        <v>408.14999999999992</v>
      </c>
      <c r="S308" s="24" t="s">
        <v>1334</v>
      </c>
      <c r="T308" s="24" t="s">
        <v>1334</v>
      </c>
      <c r="U308" s="3"/>
      <c r="V308" s="25"/>
      <c r="W308" s="25"/>
      <c r="X308" s="25" t="str">
        <f>IFERROR(VLOOKUP(C_Ope_003[[#This Row],[nota_2]],Clientes_Proveedores[[Ruc / Dni]:[Razon Social]],2,0),"")</f>
        <v/>
      </c>
      <c r="Y308" s="25"/>
      <c r="Z308" s="103"/>
      <c r="AA308" s="3" t="str">
        <f>IF(C_Ope_003[[#This Row],[fecha]]&gt;0,TEXT(C_Ope_003[[#This Row],[fecha]],"mmmm"),0)</f>
        <v>Setiembre</v>
      </c>
      <c r="AB308" s="49"/>
    </row>
    <row r="309" spans="1:28" ht="36" x14ac:dyDescent="0.3">
      <c r="A309" s="2">
        <f>IF(C_Ope_003[[#This Row],[tipo_r]]="R",COUNTIFS($C$1:$C308,"R")+1,"")</f>
        <v>308</v>
      </c>
      <c r="B309" s="19" t="str">
        <f t="shared" si="38"/>
        <v>C_Ope_003</v>
      </c>
      <c r="C309" s="3" t="s">
        <v>1330</v>
      </c>
      <c r="D309" s="14">
        <v>45905</v>
      </c>
      <c r="E309" s="5" t="s">
        <v>5595</v>
      </c>
      <c r="F309" s="5" t="s">
        <v>1336</v>
      </c>
      <c r="G309" s="6" t="s">
        <v>1042</v>
      </c>
      <c r="H309" s="6" t="s">
        <v>98</v>
      </c>
      <c r="I309" s="6" t="s">
        <v>8353</v>
      </c>
      <c r="J309" s="6">
        <v>325046136</v>
      </c>
      <c r="K309" s="7" t="s">
        <v>8457</v>
      </c>
      <c r="L309" s="8">
        <v>25408</v>
      </c>
      <c r="M309" s="8" t="str">
        <f t="shared" si="39"/>
        <v>PEN</v>
      </c>
      <c r="N309" s="13"/>
      <c r="O309" s="13">
        <v>19.5</v>
      </c>
      <c r="P309" s="3">
        <f t="shared" si="40"/>
        <v>0</v>
      </c>
      <c r="Q309" s="3">
        <f t="shared" si="41"/>
        <v>19.5</v>
      </c>
      <c r="R309" s="3">
        <f t="shared" si="33"/>
        <v>388.64999999999992</v>
      </c>
      <c r="S309" s="24" t="s">
        <v>1334</v>
      </c>
      <c r="T309" s="24"/>
      <c r="U309" s="3"/>
      <c r="V309" s="25" t="s">
        <v>8006</v>
      </c>
      <c r="W309" s="25">
        <v>20503503639</v>
      </c>
      <c r="X309" s="25" t="str">
        <f>IFERROR(VLOOKUP(C_Ope_003[[#This Row],[nota_2]],Clientes_Proveedores[[Ruc / Dni]:[Razon Social]],2,0),"")</f>
        <v>PROVIAS NACIONAL</v>
      </c>
      <c r="Y309" s="25" t="s">
        <v>7888</v>
      </c>
      <c r="Z309" s="103"/>
      <c r="AA309" s="3" t="str">
        <f>IF(C_Ope_003[[#This Row],[fecha]]&gt;0,TEXT(C_Ope_003[[#This Row],[fecha]],"mmmm"),0)</f>
        <v>Setiembre</v>
      </c>
      <c r="AB309" s="49"/>
    </row>
    <row r="310" spans="1:28" ht="36" x14ac:dyDescent="0.3">
      <c r="A310" s="2">
        <f>IF(C_Ope_003[[#This Row],[tipo_r]]="R",COUNTIFS($C$1:$C309,"R")+1,"")</f>
        <v>309</v>
      </c>
      <c r="B310" s="19" t="str">
        <f t="shared" si="38"/>
        <v>C_Ope_003</v>
      </c>
      <c r="C310" s="3" t="s">
        <v>1330</v>
      </c>
      <c r="D310" s="14">
        <v>45905</v>
      </c>
      <c r="E310" s="5" t="s">
        <v>5595</v>
      </c>
      <c r="F310" s="5" t="s">
        <v>1336</v>
      </c>
      <c r="G310" s="6" t="s">
        <v>1006</v>
      </c>
      <c r="H310" s="6" t="s">
        <v>68</v>
      </c>
      <c r="I310" s="6" t="s">
        <v>2912</v>
      </c>
      <c r="J310" s="6">
        <v>843193</v>
      </c>
      <c r="K310" s="7" t="s">
        <v>8458</v>
      </c>
      <c r="L310" s="8">
        <v>25409</v>
      </c>
      <c r="M310" s="8" t="str">
        <f t="shared" si="39"/>
        <v>PEN</v>
      </c>
      <c r="N310" s="13"/>
      <c r="O310" s="13">
        <v>23.6</v>
      </c>
      <c r="P310" s="3">
        <f t="shared" si="40"/>
        <v>0</v>
      </c>
      <c r="Q310" s="3">
        <f t="shared" si="41"/>
        <v>23.6</v>
      </c>
      <c r="R310" s="3">
        <f t="shared" si="33"/>
        <v>365.0499999999999</v>
      </c>
      <c r="S310" s="24" t="s">
        <v>1334</v>
      </c>
      <c r="T310" s="24"/>
      <c r="U310" s="3"/>
      <c r="V310" s="25" t="s">
        <v>8006</v>
      </c>
      <c r="W310" s="25">
        <v>20550033519</v>
      </c>
      <c r="X310" s="25" t="str">
        <f>IFERROR(VLOOKUP(C_Ope_003[[#This Row],[nota_2]],Clientes_Proveedores[[Ruc / Dni]:[Razon Social]],2,0),"")</f>
        <v>CONCESIONARIA PERUANA DE VIAS-COVINCA S.A.</v>
      </c>
      <c r="Y310" s="25" t="s">
        <v>7888</v>
      </c>
      <c r="Z310" s="103"/>
      <c r="AA310" s="3" t="str">
        <f>IF(C_Ope_003[[#This Row],[fecha]]&gt;0,TEXT(C_Ope_003[[#This Row],[fecha]],"mmmm"),0)</f>
        <v>Setiembre</v>
      </c>
      <c r="AB310" s="49"/>
    </row>
    <row r="311" spans="1:28" ht="24" x14ac:dyDescent="0.3">
      <c r="A311" s="2">
        <f>IF(C_Ope_003[[#This Row],[tipo_r]]="R",COUNTIFS($C$1:$C310,"R")+1,"")</f>
        <v>310</v>
      </c>
      <c r="B311" s="19" t="str">
        <f t="shared" si="38"/>
        <v>C_Ope_003</v>
      </c>
      <c r="C311" s="3" t="s">
        <v>1330</v>
      </c>
      <c r="D311" s="14">
        <v>45905</v>
      </c>
      <c r="E311" s="5" t="s">
        <v>5595</v>
      </c>
      <c r="F311" s="5" t="s">
        <v>1336</v>
      </c>
      <c r="G311" s="6" t="s">
        <v>1129</v>
      </c>
      <c r="H311" s="6" t="s">
        <v>75</v>
      </c>
      <c r="I311" s="6">
        <v>1</v>
      </c>
      <c r="J311" s="6">
        <v>669</v>
      </c>
      <c r="K311" s="7" t="s">
        <v>8459</v>
      </c>
      <c r="L311" s="8">
        <v>25402</v>
      </c>
      <c r="M311" s="8" t="str">
        <f t="shared" si="39"/>
        <v>PEN</v>
      </c>
      <c r="N311" s="13"/>
      <c r="O311" s="13">
        <v>70</v>
      </c>
      <c r="P311" s="3">
        <f t="shared" si="40"/>
        <v>0</v>
      </c>
      <c r="Q311" s="3">
        <f t="shared" si="41"/>
        <v>70</v>
      </c>
      <c r="R311" s="3">
        <f t="shared" si="33"/>
        <v>295.0499999999999</v>
      </c>
      <c r="S311" s="24" t="s">
        <v>1334</v>
      </c>
      <c r="T311" s="24"/>
      <c r="U311" s="3"/>
      <c r="V311" s="25" t="s">
        <v>8006</v>
      </c>
      <c r="W311" s="25">
        <v>10304221271</v>
      </c>
      <c r="X311" s="25" t="str">
        <f>IFERROR(VLOOKUP(C_Ope_003[[#This Row],[nota_2]],Clientes_Proveedores[[Ruc / Dni]:[Razon Social]],2,0),"")</f>
        <v>MENDOZA JUSTO YNES ERODITA</v>
      </c>
      <c r="Y311" s="25" t="s">
        <v>7910</v>
      </c>
      <c r="Z311" s="103"/>
      <c r="AA311" s="3" t="str">
        <f>IF(C_Ope_003[[#This Row],[fecha]]&gt;0,TEXT(C_Ope_003[[#This Row],[fecha]],"mmmm"),0)</f>
        <v>Setiembre</v>
      </c>
      <c r="AB311" s="49"/>
    </row>
    <row r="312" spans="1:28" x14ac:dyDescent="0.3">
      <c r="A312" s="2">
        <f>IF(C_Ope_003[[#This Row],[tipo_r]]="R",COUNTIFS($C$1:$C311,"R")+1,"")</f>
        <v>311</v>
      </c>
      <c r="B312" s="19" t="str">
        <f t="shared" si="38"/>
        <v>C_Ope_003</v>
      </c>
      <c r="C312" s="3" t="s">
        <v>1330</v>
      </c>
      <c r="D312" s="14">
        <v>45905</v>
      </c>
      <c r="E312" s="5" t="s">
        <v>5595</v>
      </c>
      <c r="F312" s="5" t="s">
        <v>1336</v>
      </c>
      <c r="G312" s="6" t="s">
        <v>1009</v>
      </c>
      <c r="H312" s="6" t="s">
        <v>126</v>
      </c>
      <c r="I312" s="6"/>
      <c r="J312" s="8">
        <v>25403</v>
      </c>
      <c r="K312" s="7" t="s">
        <v>8460</v>
      </c>
      <c r="L312" s="8">
        <v>25403</v>
      </c>
      <c r="M312" s="8" t="str">
        <f t="shared" si="39"/>
        <v>PEN</v>
      </c>
      <c r="N312" s="13"/>
      <c r="O312" s="13">
        <v>10</v>
      </c>
      <c r="P312" s="3">
        <f t="shared" si="40"/>
        <v>0</v>
      </c>
      <c r="Q312" s="3">
        <f t="shared" si="41"/>
        <v>10</v>
      </c>
      <c r="R312" s="3">
        <f t="shared" si="33"/>
        <v>285.0499999999999</v>
      </c>
      <c r="S312" s="24" t="s">
        <v>1334</v>
      </c>
      <c r="T312" s="24"/>
      <c r="U312" s="3"/>
      <c r="V312" s="25" t="s">
        <v>8006</v>
      </c>
      <c r="W312" s="25"/>
      <c r="X312" s="25" t="str">
        <f>IFERROR(VLOOKUP(C_Ope_003[[#This Row],[nota_2]],Clientes_Proveedores[[Ruc / Dni]:[Razon Social]],2,0),"")</f>
        <v/>
      </c>
      <c r="Y312" s="25" t="s">
        <v>8430</v>
      </c>
      <c r="Z312" s="103"/>
      <c r="AA312" s="3" t="str">
        <f>IF(C_Ope_003[[#This Row],[fecha]]&gt;0,TEXT(C_Ope_003[[#This Row],[fecha]],"mmmm"),0)</f>
        <v>Setiembre</v>
      </c>
      <c r="AB312" s="49"/>
    </row>
    <row r="313" spans="1:28" x14ac:dyDescent="0.3">
      <c r="A313" s="2">
        <f>IF(C_Ope_003[[#This Row],[tipo_r]]="R",COUNTIFS($C$1:$C312,"R")+1,"")</f>
        <v>312</v>
      </c>
      <c r="B313" s="19" t="str">
        <f t="shared" si="38"/>
        <v>C_Ope_003</v>
      </c>
      <c r="C313" s="3" t="s">
        <v>1330</v>
      </c>
      <c r="D313" s="14">
        <v>45905</v>
      </c>
      <c r="E313" s="5" t="s">
        <v>5595</v>
      </c>
      <c r="F313" s="5" t="s">
        <v>1336</v>
      </c>
      <c r="G313" s="6" t="s">
        <v>1009</v>
      </c>
      <c r="H313" s="6" t="s">
        <v>126</v>
      </c>
      <c r="I313" s="6"/>
      <c r="J313" s="8">
        <v>25404</v>
      </c>
      <c r="K313" s="7" t="s">
        <v>8429</v>
      </c>
      <c r="L313" s="8">
        <v>25404</v>
      </c>
      <c r="M313" s="8" t="str">
        <f t="shared" si="39"/>
        <v>PEN</v>
      </c>
      <c r="N313" s="13"/>
      <c r="O313" s="13">
        <v>15</v>
      </c>
      <c r="P313" s="3">
        <f t="shared" si="40"/>
        <v>0</v>
      </c>
      <c r="Q313" s="3">
        <f t="shared" si="41"/>
        <v>15</v>
      </c>
      <c r="R313" s="3">
        <f t="shared" si="33"/>
        <v>270.0499999999999</v>
      </c>
      <c r="S313" s="24" t="s">
        <v>1334</v>
      </c>
      <c r="T313" s="24"/>
      <c r="U313" s="3"/>
      <c r="V313" s="25" t="s">
        <v>8006</v>
      </c>
      <c r="W313" s="25"/>
      <c r="X313" s="25" t="str">
        <f>IFERROR(VLOOKUP(C_Ope_003[[#This Row],[nota_2]],Clientes_Proveedores[[Ruc / Dni]:[Razon Social]],2,0),"")</f>
        <v/>
      </c>
      <c r="Y313" s="25" t="s">
        <v>8430</v>
      </c>
      <c r="Z313" s="103"/>
      <c r="AA313" s="3" t="str">
        <f>IF(C_Ope_003[[#This Row],[fecha]]&gt;0,TEXT(C_Ope_003[[#This Row],[fecha]],"mmmm"),0)</f>
        <v>Setiembre</v>
      </c>
      <c r="AB313" s="49"/>
    </row>
    <row r="314" spans="1:28" x14ac:dyDescent="0.3">
      <c r="A314" s="2">
        <f>IF(C_Ope_003[[#This Row],[tipo_r]]="R",COUNTIFS($C$1:$C313,"R")+1,"")</f>
        <v>313</v>
      </c>
      <c r="B314" s="19" t="str">
        <f>"C_Ope_003"</f>
        <v>C_Ope_003</v>
      </c>
      <c r="C314" s="3" t="s">
        <v>1330</v>
      </c>
      <c r="D314" s="14">
        <v>45907</v>
      </c>
      <c r="E314" s="5" t="s">
        <v>5595</v>
      </c>
      <c r="F314" s="5" t="s">
        <v>1336</v>
      </c>
      <c r="G314" s="6" t="s">
        <v>978</v>
      </c>
      <c r="H314" s="6" t="s">
        <v>68</v>
      </c>
      <c r="I314" s="6" t="s">
        <v>6203</v>
      </c>
      <c r="J314" s="6">
        <v>2170864</v>
      </c>
      <c r="K314" s="7" t="s">
        <v>8461</v>
      </c>
      <c r="L314" s="8">
        <v>25427</v>
      </c>
      <c r="M314" s="8" t="str">
        <f>"PEN"</f>
        <v>PEN</v>
      </c>
      <c r="N314" s="13"/>
      <c r="O314" s="13">
        <v>12</v>
      </c>
      <c r="P314" s="3">
        <f>+IF(OR($F314="SALDO",$F314="INGRESO"),$O314,0)</f>
        <v>0</v>
      </c>
      <c r="Q314" s="3">
        <f>+IF($F314="EGRESO",$O314,0)</f>
        <v>12</v>
      </c>
      <c r="R314" s="3">
        <f t="shared" si="33"/>
        <v>258.0499999999999</v>
      </c>
      <c r="S314" s="24" t="s">
        <v>1334</v>
      </c>
      <c r="T314" s="24"/>
      <c r="U314" s="3"/>
      <c r="V314" s="25" t="s">
        <v>8006</v>
      </c>
      <c r="W314" s="25">
        <v>20517252558</v>
      </c>
      <c r="X314" s="25" t="str">
        <f>IFERROR(VLOOKUP(C_Ope_003[[#This Row],[nota_2]],Clientes_Proveedores[[Ruc / Dni]:[Razon Social]],2,0),"")</f>
        <v>COVISUR S.A.</v>
      </c>
      <c r="Y314" s="25" t="s">
        <v>7888</v>
      </c>
      <c r="Z314" s="103"/>
      <c r="AA314" s="3" t="str">
        <f>IF(C_Ope_003[[#This Row],[fecha]]&gt;0,TEXT(C_Ope_003[[#This Row],[fecha]],"mmmm"),0)</f>
        <v>Setiembre</v>
      </c>
      <c r="AB314" s="49"/>
    </row>
    <row r="315" spans="1:28" x14ac:dyDescent="0.3">
      <c r="A315" s="2">
        <f>IF(C_Ope_003[[#This Row],[tipo_r]]="R",COUNTIFS($C$1:$C314,"R")+1,"")</f>
        <v>314</v>
      </c>
      <c r="B315" s="19" t="str">
        <f>"C_Ope_003"</f>
        <v>C_Ope_003</v>
      </c>
      <c r="C315" s="3" t="s">
        <v>1330</v>
      </c>
      <c r="D315" s="14">
        <v>45923</v>
      </c>
      <c r="E315" s="5" t="s">
        <v>5595</v>
      </c>
      <c r="F315" s="5" t="s">
        <v>1336</v>
      </c>
      <c r="G315" s="6" t="s">
        <v>978</v>
      </c>
      <c r="H315" s="6" t="s">
        <v>68</v>
      </c>
      <c r="I315" s="6" t="s">
        <v>6204</v>
      </c>
      <c r="J315" s="6">
        <v>1850188</v>
      </c>
      <c r="K315" s="7" t="s">
        <v>8462</v>
      </c>
      <c r="L315" s="8">
        <v>25595</v>
      </c>
      <c r="M315" s="8" t="str">
        <f>"PEN"</f>
        <v>PEN</v>
      </c>
      <c r="N315" s="13"/>
      <c r="O315" s="13">
        <v>8</v>
      </c>
      <c r="P315" s="3">
        <f>+IF(OR($F315="SALDO",$F315="INGRESO"),$O315,0)</f>
        <v>0</v>
      </c>
      <c r="Q315" s="3">
        <f>+IF($F315="EGRESO",$O315,0)</f>
        <v>8</v>
      </c>
      <c r="R315" s="3">
        <f t="shared" si="33"/>
        <v>250.0499999999999</v>
      </c>
      <c r="S315" s="24" t="s">
        <v>1334</v>
      </c>
      <c r="T315" s="24"/>
      <c r="U315" s="3"/>
      <c r="V315" s="25" t="s">
        <v>8200</v>
      </c>
      <c r="W315" s="25">
        <v>20517252558</v>
      </c>
      <c r="X315" s="25" t="str">
        <f>IFERROR(VLOOKUP(C_Ope_003[[#This Row],[nota_2]],Clientes_Proveedores[[Ruc / Dni]:[Razon Social]],2,0),"")</f>
        <v>COVISUR S.A.</v>
      </c>
      <c r="Y315" s="25" t="s">
        <v>7888</v>
      </c>
      <c r="Z315" s="25"/>
      <c r="AA315" s="3" t="str">
        <f>IF(C_Ope_003[[#This Row],[fecha]]&gt;0,TEXT(C_Ope_003[[#This Row],[fecha]],"mmmm"),0)</f>
        <v>Setiembre</v>
      </c>
      <c r="AB315" s="49"/>
    </row>
    <row r="316" spans="1:28" x14ac:dyDescent="0.3">
      <c r="A316" s="2">
        <f>IF(C_Ope_003[[#This Row],[tipo_r]]="R",COUNTIFS($C$1:$C315,"R")+1,"")</f>
        <v>315</v>
      </c>
      <c r="B316" s="19" t="str">
        <f t="shared" ref="B316:B322" si="42">"C_Ope_003"</f>
        <v>C_Ope_003</v>
      </c>
      <c r="C316" s="3" t="s">
        <v>1330</v>
      </c>
      <c r="D316" s="14">
        <v>45923</v>
      </c>
      <c r="E316" s="5" t="s">
        <v>5595</v>
      </c>
      <c r="F316" s="5" t="s">
        <v>1336</v>
      </c>
      <c r="G316" s="6" t="s">
        <v>978</v>
      </c>
      <c r="H316" s="6" t="s">
        <v>68</v>
      </c>
      <c r="I316" s="6" t="s">
        <v>6203</v>
      </c>
      <c r="J316" s="6">
        <v>2188452</v>
      </c>
      <c r="K316" s="7" t="s">
        <v>8462</v>
      </c>
      <c r="L316" s="8">
        <v>25596</v>
      </c>
      <c r="M316" s="8" t="str">
        <f t="shared" ref="M316:M322" si="43">"PEN"</f>
        <v>PEN</v>
      </c>
      <c r="N316" s="13"/>
      <c r="O316" s="13">
        <v>8</v>
      </c>
      <c r="P316" s="3">
        <f t="shared" ref="P316:P322" si="44">+IF(OR($F316="SALDO",$F316="INGRESO"),$O316,0)</f>
        <v>0</v>
      </c>
      <c r="Q316" s="3">
        <f t="shared" ref="Q316:Q322" si="45">+IF($F316="EGRESO",$O316,0)</f>
        <v>8</v>
      </c>
      <c r="R316" s="3">
        <f t="shared" si="33"/>
        <v>242.0499999999999</v>
      </c>
      <c r="S316" s="24" t="s">
        <v>1334</v>
      </c>
      <c r="T316" s="24"/>
      <c r="U316" s="3"/>
      <c r="V316" s="25" t="s">
        <v>8200</v>
      </c>
      <c r="W316" s="25">
        <v>20517252558</v>
      </c>
      <c r="X316" s="25" t="str">
        <f>IFERROR(VLOOKUP(C_Ope_003[[#This Row],[nota_2]],Clientes_Proveedores[[Ruc / Dni]:[Razon Social]],2,0),"")</f>
        <v>COVISUR S.A.</v>
      </c>
      <c r="Y316" s="25" t="s">
        <v>7888</v>
      </c>
      <c r="Z316" s="25"/>
      <c r="AA316" s="3" t="str">
        <f>IF(C_Ope_003[[#This Row],[fecha]]&gt;0,TEXT(C_Ope_003[[#This Row],[fecha]],"mmmm"),0)</f>
        <v>Setiembre</v>
      </c>
      <c r="AB316" s="49"/>
    </row>
    <row r="317" spans="1:28" x14ac:dyDescent="0.3">
      <c r="A317" s="2">
        <f>IF(C_Ope_003[[#This Row],[tipo_r]]="R",COUNTIFS($C$1:$C316,"R")+1,"")</f>
        <v>316</v>
      </c>
      <c r="B317" s="19" t="str">
        <f t="shared" si="42"/>
        <v>C_Ope_003</v>
      </c>
      <c r="C317" s="3" t="s">
        <v>1330</v>
      </c>
      <c r="D317" s="14">
        <v>45925</v>
      </c>
      <c r="E317" s="5" t="s">
        <v>5595</v>
      </c>
      <c r="F317" s="5" t="s">
        <v>1336</v>
      </c>
      <c r="G317" s="6" t="s">
        <v>978</v>
      </c>
      <c r="H317" s="6" t="s">
        <v>68</v>
      </c>
      <c r="I317" s="6" t="s">
        <v>6203</v>
      </c>
      <c r="J317" s="6">
        <v>2190700</v>
      </c>
      <c r="K317" s="7" t="s">
        <v>8462</v>
      </c>
      <c r="L317" s="8">
        <v>25597</v>
      </c>
      <c r="M317" s="8" t="str">
        <f t="shared" si="43"/>
        <v>PEN</v>
      </c>
      <c r="N317" s="13"/>
      <c r="O317" s="13">
        <v>8</v>
      </c>
      <c r="P317" s="3">
        <f t="shared" si="44"/>
        <v>0</v>
      </c>
      <c r="Q317" s="3">
        <f t="shared" si="45"/>
        <v>8</v>
      </c>
      <c r="R317" s="3">
        <f t="shared" si="33"/>
        <v>234.0499999999999</v>
      </c>
      <c r="S317" s="24" t="s">
        <v>1334</v>
      </c>
      <c r="T317" s="24"/>
      <c r="U317" s="3"/>
      <c r="V317" s="25" t="s">
        <v>8200</v>
      </c>
      <c r="W317" s="25">
        <v>20517252558</v>
      </c>
      <c r="X317" s="25" t="str">
        <f>IFERROR(VLOOKUP(C_Ope_003[[#This Row],[nota_2]],Clientes_Proveedores[[Ruc / Dni]:[Razon Social]],2,0),"")</f>
        <v>COVISUR S.A.</v>
      </c>
      <c r="Y317" s="25" t="s">
        <v>7888</v>
      </c>
      <c r="Z317" s="25"/>
      <c r="AA317" s="3" t="str">
        <f>IF(C_Ope_003[[#This Row],[fecha]]&gt;0,TEXT(C_Ope_003[[#This Row],[fecha]],"mmmm"),0)</f>
        <v>Setiembre</v>
      </c>
      <c r="AB317" s="49"/>
    </row>
    <row r="318" spans="1:28" x14ac:dyDescent="0.3">
      <c r="A318" s="2">
        <f>IF(C_Ope_003[[#This Row],[tipo_r]]="R",COUNTIFS($C$1:$C317,"R")+1,"")</f>
        <v>317</v>
      </c>
      <c r="B318" s="19" t="str">
        <f t="shared" si="42"/>
        <v>C_Ope_003</v>
      </c>
      <c r="C318" s="3" t="s">
        <v>1330</v>
      </c>
      <c r="D318" s="14">
        <v>45925</v>
      </c>
      <c r="E318" s="5" t="s">
        <v>5595</v>
      </c>
      <c r="F318" s="5" t="s">
        <v>1336</v>
      </c>
      <c r="G318" s="6" t="s">
        <v>978</v>
      </c>
      <c r="H318" s="6" t="s">
        <v>68</v>
      </c>
      <c r="I318" s="6" t="s">
        <v>6204</v>
      </c>
      <c r="J318" s="6">
        <v>1852293</v>
      </c>
      <c r="K318" s="7" t="s">
        <v>8462</v>
      </c>
      <c r="L318" s="8">
        <v>25600</v>
      </c>
      <c r="M318" s="8" t="str">
        <f t="shared" si="43"/>
        <v>PEN</v>
      </c>
      <c r="N318" s="13"/>
      <c r="O318" s="13">
        <v>8</v>
      </c>
      <c r="P318" s="3">
        <f t="shared" si="44"/>
        <v>0</v>
      </c>
      <c r="Q318" s="3">
        <f t="shared" si="45"/>
        <v>8</v>
      </c>
      <c r="R318" s="3">
        <f t="shared" si="33"/>
        <v>226.0499999999999</v>
      </c>
      <c r="S318" s="24" t="s">
        <v>1334</v>
      </c>
      <c r="T318" s="24"/>
      <c r="U318" s="3"/>
      <c r="V318" s="25" t="s">
        <v>8200</v>
      </c>
      <c r="W318" s="25">
        <v>20517252558</v>
      </c>
      <c r="X318" s="25" t="str">
        <f>IFERROR(VLOOKUP(C_Ope_003[[#This Row],[nota_2]],Clientes_Proveedores[[Ruc / Dni]:[Razon Social]],2,0),"")</f>
        <v>COVISUR S.A.</v>
      </c>
      <c r="Y318" s="25" t="s">
        <v>7888</v>
      </c>
      <c r="Z318" s="25"/>
      <c r="AA318" s="3" t="str">
        <f>IF(C_Ope_003[[#This Row],[fecha]]&gt;0,TEXT(C_Ope_003[[#This Row],[fecha]],"mmmm"),0)</f>
        <v>Setiembre</v>
      </c>
      <c r="AB318" s="49"/>
    </row>
    <row r="319" spans="1:28" x14ac:dyDescent="0.3">
      <c r="A319" s="2">
        <f>IF(C_Ope_003[[#This Row],[tipo_r]]="R",COUNTIFS($C$1:$C318,"R")+1,"")</f>
        <v>318</v>
      </c>
      <c r="B319" s="19" t="str">
        <f t="shared" si="42"/>
        <v>C_Ope_003</v>
      </c>
      <c r="C319" s="3" t="s">
        <v>1330</v>
      </c>
      <c r="D319" s="14">
        <v>45929</v>
      </c>
      <c r="E319" s="5" t="s">
        <v>5595</v>
      </c>
      <c r="F319" s="5" t="s">
        <v>1336</v>
      </c>
      <c r="G319" s="6" t="s">
        <v>978</v>
      </c>
      <c r="H319" s="6" t="s">
        <v>68</v>
      </c>
      <c r="I319" s="6" t="s">
        <v>6203</v>
      </c>
      <c r="J319" s="6">
        <v>2195564</v>
      </c>
      <c r="K319" s="7" t="s">
        <v>8463</v>
      </c>
      <c r="L319" s="8">
        <v>25670</v>
      </c>
      <c r="M319" s="8" t="str">
        <f t="shared" si="43"/>
        <v>PEN</v>
      </c>
      <c r="N319" s="13"/>
      <c r="O319" s="13">
        <v>8</v>
      </c>
      <c r="P319" s="3">
        <f t="shared" si="44"/>
        <v>0</v>
      </c>
      <c r="Q319" s="3">
        <f t="shared" si="45"/>
        <v>8</v>
      </c>
      <c r="R319" s="3">
        <f t="shared" si="33"/>
        <v>218.0499999999999</v>
      </c>
      <c r="S319" s="24" t="s">
        <v>1334</v>
      </c>
      <c r="T319" s="24"/>
      <c r="U319" s="3"/>
      <c r="V319" s="25" t="s">
        <v>8200</v>
      </c>
      <c r="W319" s="25">
        <v>20517252558</v>
      </c>
      <c r="X319" s="25" t="str">
        <f>IFERROR(VLOOKUP(C_Ope_003[[#This Row],[nota_2]],Clientes_Proveedores[[Ruc / Dni]:[Razon Social]],2,0),"")</f>
        <v>COVISUR S.A.</v>
      </c>
      <c r="Y319" s="25" t="s">
        <v>7888</v>
      </c>
      <c r="Z319" s="25"/>
      <c r="AA319" s="3" t="str">
        <f>IF(C_Ope_003[[#This Row],[fecha]]&gt;0,TEXT(C_Ope_003[[#This Row],[fecha]],"mmmm"),0)</f>
        <v>Setiembre</v>
      </c>
      <c r="AB319" s="49"/>
    </row>
    <row r="320" spans="1:28" x14ac:dyDescent="0.3">
      <c r="A320" s="2">
        <f>IF(C_Ope_003[[#This Row],[tipo_r]]="R",COUNTIFS($C$1:$C319,"R")+1,"")</f>
        <v>319</v>
      </c>
      <c r="B320" s="19" t="str">
        <f t="shared" si="42"/>
        <v>C_Ope_003</v>
      </c>
      <c r="C320" s="3" t="s">
        <v>1330</v>
      </c>
      <c r="D320" s="14">
        <v>45929</v>
      </c>
      <c r="E320" s="5" t="s">
        <v>5595</v>
      </c>
      <c r="F320" s="5" t="s">
        <v>1336</v>
      </c>
      <c r="G320" s="6" t="s">
        <v>978</v>
      </c>
      <c r="H320" s="6" t="s">
        <v>68</v>
      </c>
      <c r="I320" s="6" t="s">
        <v>5688</v>
      </c>
      <c r="J320" s="6">
        <v>2491790</v>
      </c>
      <c r="K320" s="7" t="s">
        <v>8151</v>
      </c>
      <c r="L320" s="8">
        <v>25671</v>
      </c>
      <c r="M320" s="8" t="str">
        <f t="shared" si="43"/>
        <v>PEN</v>
      </c>
      <c r="N320" s="13"/>
      <c r="O320" s="13">
        <v>8</v>
      </c>
      <c r="P320" s="3">
        <f t="shared" si="44"/>
        <v>0</v>
      </c>
      <c r="Q320" s="3">
        <f t="shared" si="45"/>
        <v>8</v>
      </c>
      <c r="R320" s="3">
        <f t="shared" si="33"/>
        <v>210.0499999999999</v>
      </c>
      <c r="S320" s="24" t="s">
        <v>1334</v>
      </c>
      <c r="T320" s="24"/>
      <c r="U320" s="3"/>
      <c r="V320" s="25" t="s">
        <v>8200</v>
      </c>
      <c r="W320" s="25">
        <v>20517252558</v>
      </c>
      <c r="X320" s="25" t="str">
        <f>IFERROR(VLOOKUP(C_Ope_003[[#This Row],[nota_2]],Clientes_Proveedores[[Ruc / Dni]:[Razon Social]],2,0),"")</f>
        <v>COVISUR S.A.</v>
      </c>
      <c r="Y320" s="25" t="s">
        <v>7888</v>
      </c>
      <c r="Z320" s="25"/>
      <c r="AA320" s="3" t="str">
        <f>IF(C_Ope_003[[#This Row],[fecha]]&gt;0,TEXT(C_Ope_003[[#This Row],[fecha]],"mmmm"),0)</f>
        <v>Setiembre</v>
      </c>
      <c r="AB320" s="49"/>
    </row>
    <row r="321" spans="1:28" x14ac:dyDescent="0.3">
      <c r="A321" s="2">
        <f>IF(C_Ope_003[[#This Row],[tipo_r]]="R",COUNTIFS($C$1:$C320,"R")+1,"")</f>
        <v>320</v>
      </c>
      <c r="B321" s="19" t="str">
        <f t="shared" si="42"/>
        <v>C_Ope_003</v>
      </c>
      <c r="C321" s="3" t="s">
        <v>1330</v>
      </c>
      <c r="D321" s="14">
        <v>45931</v>
      </c>
      <c r="E321" s="5" t="s">
        <v>5595</v>
      </c>
      <c r="F321" s="5" t="s">
        <v>1336</v>
      </c>
      <c r="G321" s="6" t="s">
        <v>978</v>
      </c>
      <c r="H321" s="6" t="s">
        <v>68</v>
      </c>
      <c r="I321" s="6" t="s">
        <v>6204</v>
      </c>
      <c r="J321" s="6">
        <v>1858223</v>
      </c>
      <c r="K321" s="7" t="s">
        <v>8464</v>
      </c>
      <c r="L321" s="8">
        <v>25678</v>
      </c>
      <c r="M321" s="8" t="str">
        <f t="shared" si="43"/>
        <v>PEN</v>
      </c>
      <c r="N321" s="13"/>
      <c r="O321" s="13">
        <v>8</v>
      </c>
      <c r="P321" s="3">
        <f t="shared" si="44"/>
        <v>0</v>
      </c>
      <c r="Q321" s="3">
        <f t="shared" si="45"/>
        <v>8</v>
      </c>
      <c r="R321" s="3">
        <f t="shared" si="33"/>
        <v>202.0499999999999</v>
      </c>
      <c r="S321" s="24" t="s">
        <v>1334</v>
      </c>
      <c r="T321" s="24"/>
      <c r="U321" s="3"/>
      <c r="V321" s="25" t="s">
        <v>8200</v>
      </c>
      <c r="W321" s="25">
        <v>20517252558</v>
      </c>
      <c r="X321" s="25" t="str">
        <f>IFERROR(VLOOKUP(C_Ope_003[[#This Row],[nota_2]],Clientes_Proveedores[[Ruc / Dni]:[Razon Social]],2,0),"")</f>
        <v>COVISUR S.A.</v>
      </c>
      <c r="Y321" s="25" t="s">
        <v>7888</v>
      </c>
      <c r="Z321" s="25"/>
      <c r="AA321" s="3" t="str">
        <f>IF(C_Ope_003[[#This Row],[fecha]]&gt;0,TEXT(C_Ope_003[[#This Row],[fecha]],"mmmm"),0)</f>
        <v>Octubre</v>
      </c>
      <c r="AB321" s="49"/>
    </row>
    <row r="322" spans="1:28" ht="36" x14ac:dyDescent="0.3">
      <c r="A322" s="2">
        <f>IF(C_Ope_003[[#This Row],[tipo_r]]="R",COUNTIFS($C$1:$C321,"R")+1,"")</f>
        <v>321</v>
      </c>
      <c r="B322" s="19" t="str">
        <f t="shared" si="42"/>
        <v>C_Ope_003</v>
      </c>
      <c r="C322" s="3" t="s">
        <v>1330</v>
      </c>
      <c r="D322" s="14">
        <v>45932</v>
      </c>
      <c r="E322" s="5" t="s">
        <v>5595</v>
      </c>
      <c r="F322" s="5" t="s">
        <v>1336</v>
      </c>
      <c r="G322" s="6" t="s">
        <v>682</v>
      </c>
      <c r="H322" s="6" t="s">
        <v>68</v>
      </c>
      <c r="I322" s="6" t="s">
        <v>1353</v>
      </c>
      <c r="J322" s="6">
        <v>17931</v>
      </c>
      <c r="K322" s="7" t="s">
        <v>8465</v>
      </c>
      <c r="L322" s="8">
        <v>25685</v>
      </c>
      <c r="M322" s="8" t="str">
        <f t="shared" si="43"/>
        <v>PEN</v>
      </c>
      <c r="N322" s="13"/>
      <c r="O322" s="13">
        <v>20</v>
      </c>
      <c r="P322" s="3">
        <f t="shared" si="44"/>
        <v>0</v>
      </c>
      <c r="Q322" s="3">
        <f t="shared" si="45"/>
        <v>20</v>
      </c>
      <c r="R322" s="3">
        <f t="shared" ref="R322:R385" si="46">IFERROR(IF(F322="SALDO",P322,R321+P322-Q322),0)</f>
        <v>182.0499999999999</v>
      </c>
      <c r="S322" s="24" t="s">
        <v>1334</v>
      </c>
      <c r="T322" s="24"/>
      <c r="U322" s="3"/>
      <c r="V322" s="25" t="s">
        <v>8200</v>
      </c>
      <c r="W322" s="25">
        <v>20259858934</v>
      </c>
      <c r="X322" s="25" t="str">
        <f>IFERROR(VLOOKUP(C_Ope_003[[#This Row],[nota_2]],Clientes_Proveedores[[Ruc / Dni]:[Razon Social]],2,0),"")</f>
        <v>COMERCIALIZACION Y SERVICIOS EL EDEN S.A.C.</v>
      </c>
      <c r="Y322" s="25" t="s">
        <v>5933</v>
      </c>
      <c r="Z322" s="25"/>
      <c r="AA322" s="3" t="str">
        <f>IF(C_Ope_003[[#This Row],[fecha]]&gt;0,TEXT(C_Ope_003[[#This Row],[fecha]],"mmmm"),0)</f>
        <v>Octubre</v>
      </c>
      <c r="AB322" s="49"/>
    </row>
    <row r="323" spans="1:28" x14ac:dyDescent="0.3">
      <c r="A323" s="2">
        <f>IF(C_Ope_003[[#This Row],[tipo_r]]="R",COUNTIFS($C$1:$C322,"R")+1,"")</f>
        <v>322</v>
      </c>
      <c r="B323" s="19" t="str">
        <f>"C_Ope_003"</f>
        <v>C_Ope_003</v>
      </c>
      <c r="C323" s="3" t="s">
        <v>1330</v>
      </c>
      <c r="D323" s="14">
        <v>45933</v>
      </c>
      <c r="E323" s="5" t="s">
        <v>3634</v>
      </c>
      <c r="F323" s="5" t="s">
        <v>1303</v>
      </c>
      <c r="G323" s="6"/>
      <c r="H323" s="6"/>
      <c r="I323" s="6"/>
      <c r="J323" s="8"/>
      <c r="K323" s="7" t="s">
        <v>7516</v>
      </c>
      <c r="L323" s="8">
        <v>25697</v>
      </c>
      <c r="M323" s="8" t="str">
        <f>"PEN"</f>
        <v>PEN</v>
      </c>
      <c r="N323" s="13"/>
      <c r="O323" s="13">
        <v>500</v>
      </c>
      <c r="P323" s="3">
        <f>+IF(OR($F323="SALDO",$F323="INGRESO"),$O323,0)</f>
        <v>500</v>
      </c>
      <c r="Q323" s="3">
        <f>+IF($F323="EGRESO",$O323,0)</f>
        <v>0</v>
      </c>
      <c r="R323" s="3">
        <f t="shared" si="46"/>
        <v>682.05</v>
      </c>
      <c r="S323" s="24"/>
      <c r="T323" s="24"/>
      <c r="U323" s="3"/>
      <c r="V323" s="25"/>
      <c r="W323" s="25"/>
      <c r="X323" s="25" t="str">
        <f>IFERROR(VLOOKUP(C_Ope_003[[#This Row],[nota_2]],Clientes_Proveedores[[Ruc / Dni]:[Razon Social]],2,0),"")</f>
        <v/>
      </c>
      <c r="Y323" s="25"/>
      <c r="Z323" s="25"/>
      <c r="AA323" s="3" t="str">
        <f>IF(C_Ope_003[[#This Row],[fecha]]&gt;0,TEXT(C_Ope_003[[#This Row],[fecha]],"mmmm"),0)</f>
        <v>Octubre</v>
      </c>
      <c r="AB323" s="49"/>
    </row>
    <row r="324" spans="1:28" x14ac:dyDescent="0.3">
      <c r="A324" s="2">
        <f>IF(C_Ope_003[[#This Row],[tipo_r]]="R",COUNTIFS($C$1:$C323,"R")+1,"")</f>
        <v>323</v>
      </c>
      <c r="B324" s="19" t="str">
        <f t="shared" ref="B324:B355" si="47">"C_Ope_003"</f>
        <v>C_Ope_003</v>
      </c>
      <c r="C324" s="3" t="s">
        <v>1330</v>
      </c>
      <c r="D324" s="14">
        <v>45933</v>
      </c>
      <c r="E324" s="5" t="s">
        <v>5595</v>
      </c>
      <c r="F324" s="5" t="s">
        <v>1336</v>
      </c>
      <c r="G324" s="6" t="s">
        <v>978</v>
      </c>
      <c r="H324" s="6" t="s">
        <v>68</v>
      </c>
      <c r="I324" s="6" t="s">
        <v>6244</v>
      </c>
      <c r="J324" s="6">
        <v>1139817</v>
      </c>
      <c r="K324" s="7" t="s">
        <v>9414</v>
      </c>
      <c r="L324" s="8">
        <v>25698</v>
      </c>
      <c r="M324" s="8" t="str">
        <f t="shared" ref="M324:M355" si="48">"PEN"</f>
        <v>PEN</v>
      </c>
      <c r="N324" s="13"/>
      <c r="O324" s="13">
        <v>8</v>
      </c>
      <c r="P324" s="3">
        <f t="shared" ref="P324:P355" si="49">+IF(OR($F324="SALDO",$F324="INGRESO"),$O324,0)</f>
        <v>0</v>
      </c>
      <c r="Q324" s="3">
        <f t="shared" ref="Q324:Q355" si="50">+IF($F324="EGRESO",$O324,0)</f>
        <v>8</v>
      </c>
      <c r="R324" s="3">
        <f t="shared" si="46"/>
        <v>674.05</v>
      </c>
      <c r="S324" s="24" t="s">
        <v>1334</v>
      </c>
      <c r="T324" s="24"/>
      <c r="U324" s="3"/>
      <c r="V324" s="25" t="s">
        <v>8200</v>
      </c>
      <c r="W324" s="25">
        <v>20517252558</v>
      </c>
      <c r="X324" s="25" t="str">
        <f>IFERROR(VLOOKUP(C_Ope_003[[#This Row],[nota_2]],Clientes_Proveedores[[Ruc / Dni]:[Razon Social]],2,0),"")</f>
        <v>COVISUR S.A.</v>
      </c>
      <c r="Y324" s="25" t="s">
        <v>7888</v>
      </c>
      <c r="Z324" s="25"/>
      <c r="AA324" s="3" t="str">
        <f>IF(C_Ope_003[[#This Row],[fecha]]&gt;0,TEXT(C_Ope_003[[#This Row],[fecha]],"mmmm"),0)</f>
        <v>Octubre</v>
      </c>
      <c r="AB324" s="49"/>
    </row>
    <row r="325" spans="1:28" x14ac:dyDescent="0.3">
      <c r="A325" s="2">
        <f>IF(C_Ope_003[[#This Row],[tipo_r]]="R",COUNTIFS($C$1:$C324,"R")+1,"")</f>
        <v>324</v>
      </c>
      <c r="B325" s="19" t="str">
        <f t="shared" si="47"/>
        <v>C_Ope_003</v>
      </c>
      <c r="C325" s="3" t="s">
        <v>1330</v>
      </c>
      <c r="D325" s="14">
        <v>45933</v>
      </c>
      <c r="E325" s="5" t="s">
        <v>5595</v>
      </c>
      <c r="F325" s="5" t="s">
        <v>1336</v>
      </c>
      <c r="G325" s="6" t="s">
        <v>978</v>
      </c>
      <c r="H325" s="6" t="s">
        <v>68</v>
      </c>
      <c r="I325" s="6" t="s">
        <v>6245</v>
      </c>
      <c r="J325" s="6">
        <v>1040871</v>
      </c>
      <c r="K325" s="7" t="s">
        <v>9414</v>
      </c>
      <c r="L325" s="8">
        <v>25699</v>
      </c>
      <c r="M325" s="8" t="str">
        <f t="shared" si="48"/>
        <v>PEN</v>
      </c>
      <c r="N325" s="13"/>
      <c r="O325" s="13">
        <v>8</v>
      </c>
      <c r="P325" s="3">
        <f t="shared" si="49"/>
        <v>0</v>
      </c>
      <c r="Q325" s="3">
        <f t="shared" si="50"/>
        <v>8</v>
      </c>
      <c r="R325" s="3">
        <f t="shared" si="46"/>
        <v>666.05</v>
      </c>
      <c r="S325" s="24" t="s">
        <v>1334</v>
      </c>
      <c r="T325" s="24"/>
      <c r="U325" s="3"/>
      <c r="V325" s="25" t="s">
        <v>8200</v>
      </c>
      <c r="W325" s="25">
        <v>20517252558</v>
      </c>
      <c r="X325" s="25" t="str">
        <f>IFERROR(VLOOKUP(C_Ope_003[[#This Row],[nota_2]],Clientes_Proveedores[[Ruc / Dni]:[Razon Social]],2,0),"")</f>
        <v>COVISUR S.A.</v>
      </c>
      <c r="Y325" s="25" t="s">
        <v>7888</v>
      </c>
      <c r="Z325" s="25"/>
      <c r="AA325" s="3" t="str">
        <f>IF(C_Ope_003[[#This Row],[fecha]]&gt;0,TEXT(C_Ope_003[[#This Row],[fecha]],"mmmm"),0)</f>
        <v>Octubre</v>
      </c>
      <c r="AB325" s="49"/>
    </row>
    <row r="326" spans="1:28" ht="36" x14ac:dyDescent="0.3">
      <c r="A326" s="2">
        <f>IF(C_Ope_003[[#This Row],[tipo_r]]="R",COUNTIFS($C$1:$C325,"R")+1,"")</f>
        <v>325</v>
      </c>
      <c r="B326" s="19" t="str">
        <f t="shared" si="47"/>
        <v>C_Ope_003</v>
      </c>
      <c r="C326" s="3" t="s">
        <v>1330</v>
      </c>
      <c r="D326" s="14">
        <v>45933</v>
      </c>
      <c r="E326" s="5" t="s">
        <v>5595</v>
      </c>
      <c r="F326" s="5" t="s">
        <v>1336</v>
      </c>
      <c r="G326" s="6" t="s">
        <v>1029</v>
      </c>
      <c r="H326" s="6" t="s">
        <v>68</v>
      </c>
      <c r="I326" s="6" t="s">
        <v>1374</v>
      </c>
      <c r="J326" s="6">
        <v>18513</v>
      </c>
      <c r="K326" s="7" t="s">
        <v>9415</v>
      </c>
      <c r="L326" s="8">
        <v>25700</v>
      </c>
      <c r="M326" s="8" t="str">
        <f t="shared" si="48"/>
        <v>PEN</v>
      </c>
      <c r="N326" s="13"/>
      <c r="O326" s="13">
        <v>22</v>
      </c>
      <c r="P326" s="3">
        <f t="shared" si="49"/>
        <v>0</v>
      </c>
      <c r="Q326" s="3">
        <f t="shared" si="50"/>
        <v>22</v>
      </c>
      <c r="R326" s="3">
        <f t="shared" si="46"/>
        <v>644.04999999999995</v>
      </c>
      <c r="S326" s="24" t="s">
        <v>1334</v>
      </c>
      <c r="T326" s="24"/>
      <c r="U326" s="3"/>
      <c r="V326" s="25" t="s">
        <v>8200</v>
      </c>
      <c r="W326" s="25">
        <v>20454058187</v>
      </c>
      <c r="X326" s="25" t="str">
        <f>IFERROR(VLOOKUP(C_Ope_003[[#This Row],[nota_2]],Clientes_Proveedores[[Ruc / Dni]:[Razon Social]],2,0),"")</f>
        <v>ZONA ESPECIAL DE DESARROLLO ZED MATARANI</v>
      </c>
      <c r="Y326" s="25" t="s">
        <v>5933</v>
      </c>
      <c r="Z326" s="25"/>
      <c r="AA326" s="3" t="str">
        <f>IF(C_Ope_003[[#This Row],[fecha]]&gt;0,TEXT(C_Ope_003[[#This Row],[fecha]],"mmmm"),0)</f>
        <v>Octubre</v>
      </c>
      <c r="AB326" s="49"/>
    </row>
    <row r="327" spans="1:28" ht="48" x14ac:dyDescent="0.3">
      <c r="A327" s="2">
        <f>IF(C_Ope_003[[#This Row],[tipo_r]]="R",COUNTIFS($C$1:$C326,"R")+1,"")</f>
        <v>326</v>
      </c>
      <c r="B327" s="19" t="str">
        <f t="shared" si="47"/>
        <v>C_Ope_003</v>
      </c>
      <c r="C327" s="3" t="s">
        <v>1330</v>
      </c>
      <c r="D327" s="14">
        <v>45933</v>
      </c>
      <c r="E327" s="5" t="s">
        <v>5595</v>
      </c>
      <c r="F327" s="5" t="s">
        <v>1336</v>
      </c>
      <c r="G327" s="6" t="s">
        <v>9468</v>
      </c>
      <c r="H327" s="6" t="s">
        <v>68</v>
      </c>
      <c r="I327" s="6" t="s">
        <v>9456</v>
      </c>
      <c r="J327" s="6">
        <v>1781</v>
      </c>
      <c r="K327" s="7" t="s">
        <v>9416</v>
      </c>
      <c r="L327" s="8">
        <v>25701</v>
      </c>
      <c r="M327" s="8" t="str">
        <f t="shared" si="48"/>
        <v>PEN</v>
      </c>
      <c r="N327" s="13"/>
      <c r="O327" s="13">
        <v>110</v>
      </c>
      <c r="P327" s="3">
        <f t="shared" si="49"/>
        <v>0</v>
      </c>
      <c r="Q327" s="3">
        <f t="shared" si="50"/>
        <v>110</v>
      </c>
      <c r="R327" s="3">
        <f t="shared" si="46"/>
        <v>534.04999999999995</v>
      </c>
      <c r="S327" s="24" t="s">
        <v>1334</v>
      </c>
      <c r="T327" s="24"/>
      <c r="U327" s="3"/>
      <c r="V327" s="25"/>
      <c r="W327" s="25">
        <v>20534857153</v>
      </c>
      <c r="X327" s="25" t="str">
        <f>IFERROR(VLOOKUP(C_Ope_003[[#This Row],[nota_2]],Clientes_Proveedores[[Ruc / Dni]:[Razon Social]],2,0),"")</f>
        <v>EMPRESA DE TRANSPORTES MOQUEGUA TURISMO S.R.L.</v>
      </c>
      <c r="Y327" s="25" t="s">
        <v>9462</v>
      </c>
      <c r="Z327" s="25"/>
      <c r="AA327" s="3" t="str">
        <f>IF(C_Ope_003[[#This Row],[fecha]]&gt;0,TEXT(C_Ope_003[[#This Row],[fecha]],"mmmm"),0)</f>
        <v>Octubre</v>
      </c>
      <c r="AB327" s="49"/>
    </row>
    <row r="328" spans="1:28" x14ac:dyDescent="0.3">
      <c r="A328" s="2">
        <f>IF(C_Ope_003[[#This Row],[tipo_r]]="R",COUNTIFS($C$1:$C327,"R")+1,"")</f>
        <v>327</v>
      </c>
      <c r="B328" s="19" t="str">
        <f t="shared" si="47"/>
        <v>C_Ope_003</v>
      </c>
      <c r="C328" s="3" t="s">
        <v>1330</v>
      </c>
      <c r="D328" s="14">
        <v>45935</v>
      </c>
      <c r="E328" s="5" t="s">
        <v>5595</v>
      </c>
      <c r="F328" s="5" t="s">
        <v>1336</v>
      </c>
      <c r="G328" s="6" t="s">
        <v>1009</v>
      </c>
      <c r="H328" s="6" t="s">
        <v>126</v>
      </c>
      <c r="I328" s="6"/>
      <c r="J328" s="8">
        <v>25710</v>
      </c>
      <c r="K328" s="7" t="s">
        <v>9417</v>
      </c>
      <c r="L328" s="8">
        <v>25710</v>
      </c>
      <c r="M328" s="8" t="str">
        <f t="shared" si="48"/>
        <v>PEN</v>
      </c>
      <c r="N328" s="13"/>
      <c r="O328" s="13">
        <v>15</v>
      </c>
      <c r="P328" s="3">
        <f t="shared" si="49"/>
        <v>0</v>
      </c>
      <c r="Q328" s="3">
        <f t="shared" si="50"/>
        <v>15</v>
      </c>
      <c r="R328" s="3">
        <f t="shared" si="46"/>
        <v>519.04999999999995</v>
      </c>
      <c r="S328" s="24" t="s">
        <v>1334</v>
      </c>
      <c r="T328" s="24"/>
      <c r="U328" s="3"/>
      <c r="V328" s="25"/>
      <c r="W328" s="25"/>
      <c r="X328" s="25" t="str">
        <f>IFERROR(VLOOKUP(C_Ope_003[[#This Row],[nota_2]],Clientes_Proveedores[[Ruc / Dni]:[Razon Social]],2,0),"")</f>
        <v/>
      </c>
      <c r="Y328" s="25" t="s">
        <v>8430</v>
      </c>
      <c r="Z328" s="25"/>
      <c r="AA328" s="3" t="str">
        <f>IF(C_Ope_003[[#This Row],[fecha]]&gt;0,TEXT(C_Ope_003[[#This Row],[fecha]],"mmmm"),0)</f>
        <v>Octubre</v>
      </c>
      <c r="AB328" s="49"/>
    </row>
    <row r="329" spans="1:28" x14ac:dyDescent="0.3">
      <c r="A329" s="2">
        <f>IF(C_Ope_003[[#This Row],[tipo_r]]="R",COUNTIFS($C$1:$C328,"R")+1,"")</f>
        <v>328</v>
      </c>
      <c r="B329" s="19" t="str">
        <f t="shared" si="47"/>
        <v>C_Ope_003</v>
      </c>
      <c r="C329" s="3" t="s">
        <v>1330</v>
      </c>
      <c r="D329" s="14">
        <v>45936</v>
      </c>
      <c r="E329" s="5" t="s">
        <v>5595</v>
      </c>
      <c r="F329" s="5" t="s">
        <v>1336</v>
      </c>
      <c r="G329" s="6" t="s">
        <v>1009</v>
      </c>
      <c r="H329" s="6" t="s">
        <v>126</v>
      </c>
      <c r="I329" s="6"/>
      <c r="J329" s="8">
        <v>25712</v>
      </c>
      <c r="K329" s="7" t="s">
        <v>9418</v>
      </c>
      <c r="L329" s="8">
        <v>25712</v>
      </c>
      <c r="M329" s="8" t="str">
        <f t="shared" si="48"/>
        <v>PEN</v>
      </c>
      <c r="N329" s="13"/>
      <c r="O329" s="13">
        <v>12</v>
      </c>
      <c r="P329" s="3">
        <f t="shared" si="49"/>
        <v>0</v>
      </c>
      <c r="Q329" s="3">
        <f t="shared" si="50"/>
        <v>12</v>
      </c>
      <c r="R329" s="3">
        <f t="shared" si="46"/>
        <v>507.04999999999995</v>
      </c>
      <c r="S329" s="24" t="s">
        <v>1334</v>
      </c>
      <c r="T329" s="24"/>
      <c r="U329" s="3"/>
      <c r="V329" s="25"/>
      <c r="W329" s="25"/>
      <c r="X329" s="25" t="str">
        <f>IFERROR(VLOOKUP(C_Ope_003[[#This Row],[nota_2]],Clientes_Proveedores[[Ruc / Dni]:[Razon Social]],2,0),"")</f>
        <v/>
      </c>
      <c r="Y329" s="25" t="s">
        <v>8430</v>
      </c>
      <c r="Z329" s="25"/>
      <c r="AA329" s="3" t="str">
        <f>IF(C_Ope_003[[#This Row],[fecha]]&gt;0,TEXT(C_Ope_003[[#This Row],[fecha]],"mmmm"),0)</f>
        <v>Octubre</v>
      </c>
      <c r="AB329" s="49"/>
    </row>
    <row r="330" spans="1:28" x14ac:dyDescent="0.3">
      <c r="A330" s="2">
        <f>IF(C_Ope_003[[#This Row],[tipo_r]]="R",COUNTIFS($C$1:$C329,"R")+1,"")</f>
        <v>329</v>
      </c>
      <c r="B330" s="19" t="str">
        <f t="shared" si="47"/>
        <v>C_Ope_003</v>
      </c>
      <c r="C330" s="3" t="s">
        <v>1330</v>
      </c>
      <c r="D330" s="14">
        <v>45936</v>
      </c>
      <c r="E330" s="5" t="s">
        <v>5595</v>
      </c>
      <c r="F330" s="5" t="s">
        <v>1336</v>
      </c>
      <c r="G330" s="6" t="s">
        <v>1009</v>
      </c>
      <c r="H330" s="6" t="s">
        <v>126</v>
      </c>
      <c r="I330" s="6"/>
      <c r="J330" s="8">
        <v>25714</v>
      </c>
      <c r="K330" s="7" t="s">
        <v>9419</v>
      </c>
      <c r="L330" s="8">
        <v>25714</v>
      </c>
      <c r="M330" s="8" t="str">
        <f t="shared" si="48"/>
        <v>PEN</v>
      </c>
      <c r="N330" s="13"/>
      <c r="O330" s="13">
        <v>12</v>
      </c>
      <c r="P330" s="3">
        <f t="shared" si="49"/>
        <v>0</v>
      </c>
      <c r="Q330" s="3">
        <f t="shared" si="50"/>
        <v>12</v>
      </c>
      <c r="R330" s="3">
        <f t="shared" si="46"/>
        <v>495.04999999999995</v>
      </c>
      <c r="S330" s="24" t="s">
        <v>1334</v>
      </c>
      <c r="T330" s="24"/>
      <c r="U330" s="3"/>
      <c r="V330" s="25"/>
      <c r="W330" s="25"/>
      <c r="X330" s="25" t="str">
        <f>IFERROR(VLOOKUP(C_Ope_003[[#This Row],[nota_2]],Clientes_Proveedores[[Ruc / Dni]:[Razon Social]],2,0),"")</f>
        <v/>
      </c>
      <c r="Y330" s="25" t="s">
        <v>8430</v>
      </c>
      <c r="Z330" s="25"/>
      <c r="AA330" s="3" t="str">
        <f>IF(C_Ope_003[[#This Row],[fecha]]&gt;0,TEXT(C_Ope_003[[#This Row],[fecha]],"mmmm"),0)</f>
        <v>Octubre</v>
      </c>
      <c r="AB330" s="49"/>
    </row>
    <row r="331" spans="1:28" x14ac:dyDescent="0.3">
      <c r="A331" s="2">
        <f>IF(C_Ope_003[[#This Row],[tipo_r]]="R",COUNTIFS($C$1:$C330,"R")+1,"")</f>
        <v>330</v>
      </c>
      <c r="B331" s="19" t="str">
        <f t="shared" si="47"/>
        <v>C_Ope_003</v>
      </c>
      <c r="C331" s="3" t="s">
        <v>1330</v>
      </c>
      <c r="D331" s="14">
        <v>45936</v>
      </c>
      <c r="E331" s="5" t="s">
        <v>5595</v>
      </c>
      <c r="F331" s="5" t="s">
        <v>1336</v>
      </c>
      <c r="G331" s="6" t="s">
        <v>1009</v>
      </c>
      <c r="H331" s="6" t="s">
        <v>126</v>
      </c>
      <c r="I331" s="6"/>
      <c r="J331" s="8">
        <v>25715</v>
      </c>
      <c r="K331" s="7" t="s">
        <v>9420</v>
      </c>
      <c r="L331" s="8">
        <v>25715</v>
      </c>
      <c r="M331" s="8" t="str">
        <f t="shared" si="48"/>
        <v>PEN</v>
      </c>
      <c r="N331" s="13"/>
      <c r="O331" s="13">
        <v>10</v>
      </c>
      <c r="P331" s="3">
        <f t="shared" si="49"/>
        <v>0</v>
      </c>
      <c r="Q331" s="3">
        <f t="shared" si="50"/>
        <v>10</v>
      </c>
      <c r="R331" s="3">
        <f t="shared" si="46"/>
        <v>485.04999999999995</v>
      </c>
      <c r="S331" s="24" t="s">
        <v>1334</v>
      </c>
      <c r="T331" s="24"/>
      <c r="U331" s="3"/>
      <c r="V331" s="25"/>
      <c r="W331" s="25"/>
      <c r="X331" s="25" t="str">
        <f>IFERROR(VLOOKUP(C_Ope_003[[#This Row],[nota_2]],Clientes_Proveedores[[Ruc / Dni]:[Razon Social]],2,0),"")</f>
        <v/>
      </c>
      <c r="Y331" s="25" t="s">
        <v>8430</v>
      </c>
      <c r="Z331" s="25"/>
      <c r="AA331" s="3" t="str">
        <f>IF(C_Ope_003[[#This Row],[fecha]]&gt;0,TEXT(C_Ope_003[[#This Row],[fecha]],"mmmm"),0)</f>
        <v>Octubre</v>
      </c>
      <c r="AB331" s="49"/>
    </row>
    <row r="332" spans="1:28" ht="24" x14ac:dyDescent="0.3">
      <c r="A332" s="2">
        <f>IF(C_Ope_003[[#This Row],[tipo_r]]="R",COUNTIFS($C$1:$C331,"R")+1,"")</f>
        <v>331</v>
      </c>
      <c r="B332" s="19" t="str">
        <f t="shared" si="47"/>
        <v>C_Ope_003</v>
      </c>
      <c r="C332" s="3" t="s">
        <v>1330</v>
      </c>
      <c r="D332" s="14">
        <v>45937</v>
      </c>
      <c r="E332" s="5" t="s">
        <v>5595</v>
      </c>
      <c r="F332" s="5" t="s">
        <v>1336</v>
      </c>
      <c r="G332" s="6" t="s">
        <v>979</v>
      </c>
      <c r="H332" s="6" t="s">
        <v>68</v>
      </c>
      <c r="I332" s="6" t="s">
        <v>8209</v>
      </c>
      <c r="J332" s="6">
        <v>631941</v>
      </c>
      <c r="K332" s="7" t="s">
        <v>9421</v>
      </c>
      <c r="L332" s="8">
        <v>25725</v>
      </c>
      <c r="M332" s="8" t="str">
        <f t="shared" si="48"/>
        <v>PEN</v>
      </c>
      <c r="N332" s="13"/>
      <c r="O332" s="13">
        <v>15</v>
      </c>
      <c r="P332" s="3">
        <f t="shared" si="49"/>
        <v>0</v>
      </c>
      <c r="Q332" s="3">
        <f t="shared" si="50"/>
        <v>15</v>
      </c>
      <c r="R332" s="3">
        <f t="shared" si="46"/>
        <v>470.04999999999995</v>
      </c>
      <c r="S332" s="24" t="s">
        <v>1334</v>
      </c>
      <c r="T332" s="24"/>
      <c r="U332" s="3"/>
      <c r="V332" s="25" t="s">
        <v>8277</v>
      </c>
      <c r="W332" s="25">
        <v>20550372640</v>
      </c>
      <c r="X332" s="25" t="str">
        <f>IFERROR(VLOOKUP(C_Ope_003[[#This Row],[nota_2]],Clientes_Proveedores[[Ruc / Dni]:[Razon Social]],2,0),"")</f>
        <v>RUTAS DE LIMA S.A.C.</v>
      </c>
      <c r="Y332" s="25" t="s">
        <v>7888</v>
      </c>
      <c r="Z332" s="25"/>
      <c r="AA332" s="3" t="str">
        <f>IF(C_Ope_003[[#This Row],[fecha]]&gt;0,TEXT(C_Ope_003[[#This Row],[fecha]],"mmmm"),0)</f>
        <v>Octubre</v>
      </c>
      <c r="AB332" s="49"/>
    </row>
    <row r="333" spans="1:28" x14ac:dyDescent="0.3">
      <c r="A333" s="2">
        <f>IF(C_Ope_003[[#This Row],[tipo_r]]="R",COUNTIFS($C$1:$C332,"R")+1,"")</f>
        <v>332</v>
      </c>
      <c r="B333" s="19" t="str">
        <f t="shared" si="47"/>
        <v>C_Ope_003</v>
      </c>
      <c r="C333" s="3" t="s">
        <v>1330</v>
      </c>
      <c r="D333" s="14">
        <v>45937</v>
      </c>
      <c r="E333" s="5" t="s">
        <v>5595</v>
      </c>
      <c r="F333" s="5" t="s">
        <v>1336</v>
      </c>
      <c r="G333" s="6" t="s">
        <v>979</v>
      </c>
      <c r="H333" s="6" t="s">
        <v>68</v>
      </c>
      <c r="I333" s="6" t="s">
        <v>8211</v>
      </c>
      <c r="J333" s="6">
        <v>3136825</v>
      </c>
      <c r="K333" s="7" t="s">
        <v>9422</v>
      </c>
      <c r="L333" s="8">
        <v>25726</v>
      </c>
      <c r="M333" s="8" t="str">
        <f t="shared" si="48"/>
        <v>PEN</v>
      </c>
      <c r="N333" s="13"/>
      <c r="O333" s="13">
        <v>15</v>
      </c>
      <c r="P333" s="3">
        <f t="shared" si="49"/>
        <v>0</v>
      </c>
      <c r="Q333" s="3">
        <f t="shared" si="50"/>
        <v>15</v>
      </c>
      <c r="R333" s="3">
        <f t="shared" si="46"/>
        <v>455.04999999999995</v>
      </c>
      <c r="S333" s="24" t="s">
        <v>1334</v>
      </c>
      <c r="T333" s="24"/>
      <c r="U333" s="3"/>
      <c r="V333" s="25" t="s">
        <v>8277</v>
      </c>
      <c r="W333" s="25">
        <v>20550372640</v>
      </c>
      <c r="X333" s="25" t="str">
        <f>IFERROR(VLOOKUP(C_Ope_003[[#This Row],[nota_2]],Clientes_Proveedores[[Ruc / Dni]:[Razon Social]],2,0),"")</f>
        <v>RUTAS DE LIMA S.A.C.</v>
      </c>
      <c r="Y333" s="25" t="s">
        <v>7888</v>
      </c>
      <c r="Z333" s="25"/>
      <c r="AA333" s="3" t="str">
        <f>IF(C_Ope_003[[#This Row],[fecha]]&gt;0,TEXT(C_Ope_003[[#This Row],[fecha]],"mmmm"),0)</f>
        <v>Octubre</v>
      </c>
      <c r="AB333" s="49"/>
    </row>
    <row r="334" spans="1:28" x14ac:dyDescent="0.3">
      <c r="A334" s="2">
        <f>IF(C_Ope_003[[#This Row],[tipo_r]]="R",COUNTIFS($C$1:$C333,"R")+1,"")</f>
        <v>333</v>
      </c>
      <c r="B334" s="19" t="str">
        <f t="shared" si="47"/>
        <v>C_Ope_003</v>
      </c>
      <c r="C334" s="3" t="s">
        <v>1330</v>
      </c>
      <c r="D334" s="14">
        <v>45937</v>
      </c>
      <c r="E334" s="5" t="s">
        <v>5595</v>
      </c>
      <c r="F334" s="5" t="s">
        <v>1336</v>
      </c>
      <c r="G334" s="6" t="s">
        <v>1009</v>
      </c>
      <c r="H334" s="6" t="s">
        <v>126</v>
      </c>
      <c r="I334" s="6"/>
      <c r="J334" s="8">
        <v>25721</v>
      </c>
      <c r="K334" s="7" t="s">
        <v>9423</v>
      </c>
      <c r="L334" s="8">
        <v>25721</v>
      </c>
      <c r="M334" s="8" t="str">
        <f t="shared" si="48"/>
        <v>PEN</v>
      </c>
      <c r="N334" s="13"/>
      <c r="O334" s="13">
        <v>8</v>
      </c>
      <c r="P334" s="3">
        <f t="shared" si="49"/>
        <v>0</v>
      </c>
      <c r="Q334" s="3">
        <f t="shared" si="50"/>
        <v>8</v>
      </c>
      <c r="R334" s="3">
        <f t="shared" si="46"/>
        <v>447.04999999999995</v>
      </c>
      <c r="S334" s="24" t="s">
        <v>1334</v>
      </c>
      <c r="T334" s="24"/>
      <c r="U334" s="3"/>
      <c r="V334" s="25"/>
      <c r="W334" s="25"/>
      <c r="X334" s="25" t="str">
        <f>IFERROR(VLOOKUP(C_Ope_003[[#This Row],[nota_2]],Clientes_Proveedores[[Ruc / Dni]:[Razon Social]],2,0),"")</f>
        <v/>
      </c>
      <c r="Y334" s="25" t="s">
        <v>8430</v>
      </c>
      <c r="Z334" s="25"/>
      <c r="AA334" s="3" t="str">
        <f>IF(C_Ope_003[[#This Row],[fecha]]&gt;0,TEXT(C_Ope_003[[#This Row],[fecha]],"mmmm"),0)</f>
        <v>Octubre</v>
      </c>
      <c r="AB334" s="49"/>
    </row>
    <row r="335" spans="1:28" x14ac:dyDescent="0.3">
      <c r="A335" s="2">
        <f>IF(C_Ope_003[[#This Row],[tipo_r]]="R",COUNTIFS($C$1:$C334,"R")+1,"")</f>
        <v>334</v>
      </c>
      <c r="B335" s="19" t="str">
        <f t="shared" si="47"/>
        <v>C_Ope_003</v>
      </c>
      <c r="C335" s="3" t="s">
        <v>1330</v>
      </c>
      <c r="D335" s="14">
        <v>45937</v>
      </c>
      <c r="E335" s="5" t="s">
        <v>5595</v>
      </c>
      <c r="F335" s="5" t="s">
        <v>1336</v>
      </c>
      <c r="G335" s="6" t="s">
        <v>1009</v>
      </c>
      <c r="H335" s="6" t="s">
        <v>126</v>
      </c>
      <c r="I335" s="6"/>
      <c r="J335" s="8">
        <v>25722</v>
      </c>
      <c r="K335" s="7" t="s">
        <v>9424</v>
      </c>
      <c r="L335" s="8">
        <v>25722</v>
      </c>
      <c r="M335" s="8" t="str">
        <f t="shared" si="48"/>
        <v>PEN</v>
      </c>
      <c r="N335" s="13"/>
      <c r="O335" s="13">
        <v>12</v>
      </c>
      <c r="P335" s="3">
        <f t="shared" si="49"/>
        <v>0</v>
      </c>
      <c r="Q335" s="3">
        <f t="shared" si="50"/>
        <v>12</v>
      </c>
      <c r="R335" s="3">
        <f t="shared" si="46"/>
        <v>435.04999999999995</v>
      </c>
      <c r="S335" s="24" t="s">
        <v>1334</v>
      </c>
      <c r="T335" s="24"/>
      <c r="U335" s="3"/>
      <c r="V335" s="25"/>
      <c r="W335" s="25"/>
      <c r="X335" s="25" t="str">
        <f>IFERROR(VLOOKUP(C_Ope_003[[#This Row],[nota_2]],Clientes_Proveedores[[Ruc / Dni]:[Razon Social]],2,0),"")</f>
        <v/>
      </c>
      <c r="Y335" s="25" t="s">
        <v>8430</v>
      </c>
      <c r="Z335" s="25"/>
      <c r="AA335" s="3" t="str">
        <f>IF(C_Ope_003[[#This Row],[fecha]]&gt;0,TEXT(C_Ope_003[[#This Row],[fecha]],"mmmm"),0)</f>
        <v>Octubre</v>
      </c>
      <c r="AB335" s="49"/>
    </row>
    <row r="336" spans="1:28" x14ac:dyDescent="0.3">
      <c r="A336" s="2">
        <f>IF(C_Ope_003[[#This Row],[tipo_r]]="R",COUNTIFS($C$1:$C335,"R")+1,"")</f>
        <v>335</v>
      </c>
      <c r="B336" s="19" t="str">
        <f t="shared" si="47"/>
        <v>C_Ope_003</v>
      </c>
      <c r="C336" s="3" t="s">
        <v>1330</v>
      </c>
      <c r="D336" s="14">
        <v>45937</v>
      </c>
      <c r="E336" s="5" t="s">
        <v>5595</v>
      </c>
      <c r="F336" s="5" t="s">
        <v>1336</v>
      </c>
      <c r="G336" s="6" t="s">
        <v>1009</v>
      </c>
      <c r="H336" s="6" t="s">
        <v>126</v>
      </c>
      <c r="I336" s="6"/>
      <c r="J336" s="8">
        <v>25723</v>
      </c>
      <c r="K336" s="7" t="s">
        <v>9425</v>
      </c>
      <c r="L336" s="8">
        <v>25723</v>
      </c>
      <c r="M336" s="8" t="str">
        <f t="shared" si="48"/>
        <v>PEN</v>
      </c>
      <c r="N336" s="13"/>
      <c r="O336" s="13">
        <v>10</v>
      </c>
      <c r="P336" s="3">
        <f t="shared" si="49"/>
        <v>0</v>
      </c>
      <c r="Q336" s="3">
        <f t="shared" si="50"/>
        <v>10</v>
      </c>
      <c r="R336" s="3">
        <f t="shared" si="46"/>
        <v>425.04999999999995</v>
      </c>
      <c r="S336" s="24" t="s">
        <v>1334</v>
      </c>
      <c r="T336" s="24"/>
      <c r="U336" s="3"/>
      <c r="V336" s="25"/>
      <c r="W336" s="25"/>
      <c r="X336" s="25" t="str">
        <f>IFERROR(VLOOKUP(C_Ope_003[[#This Row],[nota_2]],Clientes_Proveedores[[Ruc / Dni]:[Razon Social]],2,0),"")</f>
        <v/>
      </c>
      <c r="Y336" s="25" t="s">
        <v>8430</v>
      </c>
      <c r="Z336" s="25"/>
      <c r="AA336" s="3" t="str">
        <f>IF(C_Ope_003[[#This Row],[fecha]]&gt;0,TEXT(C_Ope_003[[#This Row],[fecha]],"mmmm"),0)</f>
        <v>Octubre</v>
      </c>
      <c r="AB336" s="49"/>
    </row>
    <row r="337" spans="1:28" x14ac:dyDescent="0.3">
      <c r="A337" s="2">
        <f>IF(C_Ope_003[[#This Row],[tipo_r]]="R",COUNTIFS($C$1:$C336,"R")+1,"")</f>
        <v>336</v>
      </c>
      <c r="B337" s="19" t="str">
        <f t="shared" si="47"/>
        <v>C_Ope_003</v>
      </c>
      <c r="C337" s="3" t="s">
        <v>1330</v>
      </c>
      <c r="D337" s="14">
        <v>45938</v>
      </c>
      <c r="E337" s="5" t="s">
        <v>5595</v>
      </c>
      <c r="F337" s="5" t="s">
        <v>1336</v>
      </c>
      <c r="G337" s="6" t="s">
        <v>1009</v>
      </c>
      <c r="H337" s="6" t="s">
        <v>126</v>
      </c>
      <c r="I337" s="6"/>
      <c r="J337" s="8">
        <v>25735</v>
      </c>
      <c r="K337" s="7" t="s">
        <v>9423</v>
      </c>
      <c r="L337" s="8">
        <v>25735</v>
      </c>
      <c r="M337" s="8" t="str">
        <f t="shared" si="48"/>
        <v>PEN</v>
      </c>
      <c r="N337" s="13"/>
      <c r="O337" s="13">
        <v>8</v>
      </c>
      <c r="P337" s="3">
        <f t="shared" si="49"/>
        <v>0</v>
      </c>
      <c r="Q337" s="3">
        <f t="shared" si="50"/>
        <v>8</v>
      </c>
      <c r="R337" s="3">
        <f t="shared" si="46"/>
        <v>417.04999999999995</v>
      </c>
      <c r="S337" s="24" t="s">
        <v>1334</v>
      </c>
      <c r="T337" s="24"/>
      <c r="U337" s="3"/>
      <c r="V337" s="25"/>
      <c r="W337" s="25"/>
      <c r="X337" s="25" t="str">
        <f>IFERROR(VLOOKUP(C_Ope_003[[#This Row],[nota_2]],Clientes_Proveedores[[Ruc / Dni]:[Razon Social]],2,0),"")</f>
        <v/>
      </c>
      <c r="Y337" s="25" t="s">
        <v>8430</v>
      </c>
      <c r="Z337" s="25"/>
      <c r="AA337" s="3" t="str">
        <f>IF(C_Ope_003[[#This Row],[fecha]]&gt;0,TEXT(C_Ope_003[[#This Row],[fecha]],"mmmm"),0)</f>
        <v>Octubre</v>
      </c>
      <c r="AB337" s="49"/>
    </row>
    <row r="338" spans="1:28" x14ac:dyDescent="0.3">
      <c r="A338" s="2">
        <f>IF(C_Ope_003[[#This Row],[tipo_r]]="R",COUNTIFS($C$1:$C337,"R")+1,"")</f>
        <v>337</v>
      </c>
      <c r="B338" s="19" t="str">
        <f t="shared" si="47"/>
        <v>C_Ope_003</v>
      </c>
      <c r="C338" s="3" t="s">
        <v>1330</v>
      </c>
      <c r="D338" s="14">
        <v>45938</v>
      </c>
      <c r="E338" s="5" t="s">
        <v>5595</v>
      </c>
      <c r="F338" s="5" t="s">
        <v>1336</v>
      </c>
      <c r="G338" s="6" t="s">
        <v>1009</v>
      </c>
      <c r="H338" s="6" t="s">
        <v>126</v>
      </c>
      <c r="I338" s="6"/>
      <c r="J338" s="8">
        <v>25736</v>
      </c>
      <c r="K338" s="7" t="s">
        <v>9424</v>
      </c>
      <c r="L338" s="8">
        <v>25736</v>
      </c>
      <c r="M338" s="8" t="str">
        <f t="shared" si="48"/>
        <v>PEN</v>
      </c>
      <c r="N338" s="13"/>
      <c r="O338" s="13">
        <v>12</v>
      </c>
      <c r="P338" s="3">
        <f t="shared" si="49"/>
        <v>0</v>
      </c>
      <c r="Q338" s="3">
        <f t="shared" si="50"/>
        <v>12</v>
      </c>
      <c r="R338" s="3">
        <f t="shared" si="46"/>
        <v>405.04999999999995</v>
      </c>
      <c r="S338" s="24" t="s">
        <v>1334</v>
      </c>
      <c r="T338" s="24"/>
      <c r="U338" s="3"/>
      <c r="V338" s="25"/>
      <c r="W338" s="25"/>
      <c r="X338" s="25" t="str">
        <f>IFERROR(VLOOKUP(C_Ope_003[[#This Row],[nota_2]],Clientes_Proveedores[[Ruc / Dni]:[Razon Social]],2,0),"")</f>
        <v/>
      </c>
      <c r="Y338" s="25" t="s">
        <v>8430</v>
      </c>
      <c r="Z338" s="25"/>
      <c r="AA338" s="3" t="str">
        <f>IF(C_Ope_003[[#This Row],[fecha]]&gt;0,TEXT(C_Ope_003[[#This Row],[fecha]],"mmmm"),0)</f>
        <v>Octubre</v>
      </c>
      <c r="AB338" s="49"/>
    </row>
    <row r="339" spans="1:28" x14ac:dyDescent="0.3">
      <c r="A339" s="2">
        <f>IF(C_Ope_003[[#This Row],[tipo_r]]="R",COUNTIFS($C$1:$C338,"R")+1,"")</f>
        <v>338</v>
      </c>
      <c r="B339" s="19" t="str">
        <f t="shared" si="47"/>
        <v>C_Ope_003</v>
      </c>
      <c r="C339" s="3" t="s">
        <v>1330</v>
      </c>
      <c r="D339" s="14">
        <v>45938</v>
      </c>
      <c r="E339" s="5" t="s">
        <v>5595</v>
      </c>
      <c r="F339" s="5" t="s">
        <v>1336</v>
      </c>
      <c r="G339" s="6" t="s">
        <v>1009</v>
      </c>
      <c r="H339" s="6" t="s">
        <v>126</v>
      </c>
      <c r="I339" s="6"/>
      <c r="J339" s="8">
        <v>25737</v>
      </c>
      <c r="K339" s="7" t="s">
        <v>9425</v>
      </c>
      <c r="L339" s="8">
        <v>25737</v>
      </c>
      <c r="M339" s="8" t="str">
        <f t="shared" si="48"/>
        <v>PEN</v>
      </c>
      <c r="N339" s="13"/>
      <c r="O339" s="13">
        <v>10</v>
      </c>
      <c r="P339" s="3">
        <f t="shared" si="49"/>
        <v>0</v>
      </c>
      <c r="Q339" s="3">
        <f t="shared" si="50"/>
        <v>10</v>
      </c>
      <c r="R339" s="3">
        <f t="shared" si="46"/>
        <v>395.04999999999995</v>
      </c>
      <c r="S339" s="24" t="s">
        <v>1334</v>
      </c>
      <c r="T339" s="24"/>
      <c r="U339" s="3"/>
      <c r="V339" s="25"/>
      <c r="W339" s="25"/>
      <c r="X339" s="25" t="str">
        <f>IFERROR(VLOOKUP(C_Ope_003[[#This Row],[nota_2]],Clientes_Proveedores[[Ruc / Dni]:[Razon Social]],2,0),"")</f>
        <v/>
      </c>
      <c r="Y339" s="25" t="s">
        <v>8430</v>
      </c>
      <c r="Z339" s="25"/>
      <c r="AA339" s="3" t="str">
        <f>IF(C_Ope_003[[#This Row],[fecha]]&gt;0,TEXT(C_Ope_003[[#This Row],[fecha]],"mmmm"),0)</f>
        <v>Octubre</v>
      </c>
      <c r="AB339" s="49"/>
    </row>
    <row r="340" spans="1:28" x14ac:dyDescent="0.3">
      <c r="A340" s="2">
        <f>IF(C_Ope_003[[#This Row],[tipo_r]]="R",COUNTIFS($C$1:$C339,"R")+1,"")</f>
        <v>339</v>
      </c>
      <c r="B340" s="19" t="str">
        <f t="shared" si="47"/>
        <v>C_Ope_003</v>
      </c>
      <c r="C340" s="3" t="s">
        <v>1330</v>
      </c>
      <c r="D340" s="14">
        <v>45939</v>
      </c>
      <c r="E340" s="5" t="s">
        <v>5595</v>
      </c>
      <c r="F340" s="5" t="s">
        <v>1336</v>
      </c>
      <c r="G340" s="6" t="s">
        <v>1009</v>
      </c>
      <c r="H340" s="6" t="s">
        <v>126</v>
      </c>
      <c r="I340" s="6"/>
      <c r="J340" s="8">
        <v>25738</v>
      </c>
      <c r="K340" s="7" t="s">
        <v>9423</v>
      </c>
      <c r="L340" s="8">
        <v>25738</v>
      </c>
      <c r="M340" s="8" t="str">
        <f t="shared" si="48"/>
        <v>PEN</v>
      </c>
      <c r="N340" s="13"/>
      <c r="O340" s="13">
        <v>8</v>
      </c>
      <c r="P340" s="3">
        <f t="shared" si="49"/>
        <v>0</v>
      </c>
      <c r="Q340" s="3">
        <f t="shared" si="50"/>
        <v>8</v>
      </c>
      <c r="R340" s="3">
        <f t="shared" si="46"/>
        <v>387.04999999999995</v>
      </c>
      <c r="S340" s="24" t="s">
        <v>1334</v>
      </c>
      <c r="T340" s="24"/>
      <c r="U340" s="3"/>
      <c r="V340" s="25"/>
      <c r="W340" s="25"/>
      <c r="X340" s="25" t="str">
        <f>IFERROR(VLOOKUP(C_Ope_003[[#This Row],[nota_2]],Clientes_Proveedores[[Ruc / Dni]:[Razon Social]],2,0),"")</f>
        <v/>
      </c>
      <c r="Y340" s="25" t="s">
        <v>8430</v>
      </c>
      <c r="Z340" s="25"/>
      <c r="AA340" s="3" t="str">
        <f>IF(C_Ope_003[[#This Row],[fecha]]&gt;0,TEXT(C_Ope_003[[#This Row],[fecha]],"mmmm"),0)</f>
        <v>Octubre</v>
      </c>
      <c r="AB340" s="49"/>
    </row>
    <row r="341" spans="1:28" x14ac:dyDescent="0.3">
      <c r="A341" s="2">
        <f>IF(C_Ope_003[[#This Row],[tipo_r]]="R",COUNTIFS($C$1:$C340,"R")+1,"")</f>
        <v>340</v>
      </c>
      <c r="B341" s="19" t="str">
        <f t="shared" si="47"/>
        <v>C_Ope_003</v>
      </c>
      <c r="C341" s="3" t="s">
        <v>1330</v>
      </c>
      <c r="D341" s="14">
        <v>45939</v>
      </c>
      <c r="E341" s="5" t="s">
        <v>5595</v>
      </c>
      <c r="F341" s="5" t="s">
        <v>1336</v>
      </c>
      <c r="G341" s="6" t="s">
        <v>1009</v>
      </c>
      <c r="H341" s="6" t="s">
        <v>126</v>
      </c>
      <c r="I341" s="6"/>
      <c r="J341" s="8">
        <v>25739</v>
      </c>
      <c r="K341" s="7" t="s">
        <v>9426</v>
      </c>
      <c r="L341" s="8">
        <v>25739</v>
      </c>
      <c r="M341" s="8" t="str">
        <f t="shared" si="48"/>
        <v>PEN</v>
      </c>
      <c r="N341" s="13"/>
      <c r="O341" s="13">
        <v>12</v>
      </c>
      <c r="P341" s="3">
        <f t="shared" si="49"/>
        <v>0</v>
      </c>
      <c r="Q341" s="3">
        <f t="shared" si="50"/>
        <v>12</v>
      </c>
      <c r="R341" s="3">
        <f t="shared" si="46"/>
        <v>375.04999999999995</v>
      </c>
      <c r="S341" s="24" t="s">
        <v>1334</v>
      </c>
      <c r="T341" s="24"/>
      <c r="U341" s="3"/>
      <c r="V341" s="25"/>
      <c r="W341" s="25"/>
      <c r="X341" s="25" t="str">
        <f>IFERROR(VLOOKUP(C_Ope_003[[#This Row],[nota_2]],Clientes_Proveedores[[Ruc / Dni]:[Razon Social]],2,0),"")</f>
        <v/>
      </c>
      <c r="Y341" s="25" t="s">
        <v>8430</v>
      </c>
      <c r="Z341" s="25"/>
      <c r="AA341" s="3" t="str">
        <f>IF(C_Ope_003[[#This Row],[fecha]]&gt;0,TEXT(C_Ope_003[[#This Row],[fecha]],"mmmm"),0)</f>
        <v>Octubre</v>
      </c>
      <c r="AB341" s="49"/>
    </row>
    <row r="342" spans="1:28" x14ac:dyDescent="0.3">
      <c r="A342" s="2">
        <f>IF(C_Ope_003[[#This Row],[tipo_r]]="R",COUNTIFS($C$1:$C341,"R")+1,"")</f>
        <v>341</v>
      </c>
      <c r="B342" s="19" t="str">
        <f t="shared" si="47"/>
        <v>C_Ope_003</v>
      </c>
      <c r="C342" s="3" t="s">
        <v>1330</v>
      </c>
      <c r="D342" s="14">
        <v>45939</v>
      </c>
      <c r="E342" s="5" t="s">
        <v>5595</v>
      </c>
      <c r="F342" s="5" t="s">
        <v>1336</v>
      </c>
      <c r="G342" s="6" t="s">
        <v>1009</v>
      </c>
      <c r="H342" s="6" t="s">
        <v>126</v>
      </c>
      <c r="I342" s="6"/>
      <c r="J342" s="8">
        <v>25740</v>
      </c>
      <c r="K342" s="7" t="s">
        <v>9425</v>
      </c>
      <c r="L342" s="8">
        <v>25740</v>
      </c>
      <c r="M342" s="8" t="str">
        <f t="shared" si="48"/>
        <v>PEN</v>
      </c>
      <c r="N342" s="13"/>
      <c r="O342" s="13">
        <v>10</v>
      </c>
      <c r="P342" s="3">
        <f t="shared" si="49"/>
        <v>0</v>
      </c>
      <c r="Q342" s="3">
        <f t="shared" si="50"/>
        <v>10</v>
      </c>
      <c r="R342" s="3">
        <f t="shared" si="46"/>
        <v>365.04999999999995</v>
      </c>
      <c r="S342" s="24" t="s">
        <v>1334</v>
      </c>
      <c r="T342" s="24"/>
      <c r="U342" s="3"/>
      <c r="V342" s="25"/>
      <c r="W342" s="25"/>
      <c r="X342" s="25" t="str">
        <f>IFERROR(VLOOKUP(C_Ope_003[[#This Row],[nota_2]],Clientes_Proveedores[[Ruc / Dni]:[Razon Social]],2,0),"")</f>
        <v/>
      </c>
      <c r="Y342" s="25" t="s">
        <v>8430</v>
      </c>
      <c r="Z342" s="25"/>
      <c r="AA342" s="3" t="str">
        <f>IF(C_Ope_003[[#This Row],[fecha]]&gt;0,TEXT(C_Ope_003[[#This Row],[fecha]],"mmmm"),0)</f>
        <v>Octubre</v>
      </c>
      <c r="AB342" s="49"/>
    </row>
    <row r="343" spans="1:28" x14ac:dyDescent="0.3">
      <c r="A343" s="2">
        <f>IF(C_Ope_003[[#This Row],[tipo_r]]="R",COUNTIFS($C$1:$C342,"R")+1,"")</f>
        <v>342</v>
      </c>
      <c r="B343" s="19" t="str">
        <f t="shared" si="47"/>
        <v>C_Ope_003</v>
      </c>
      <c r="C343" s="3" t="s">
        <v>1330</v>
      </c>
      <c r="D343" s="14">
        <v>45940</v>
      </c>
      <c r="E343" s="5" t="s">
        <v>5595</v>
      </c>
      <c r="F343" s="5" t="s">
        <v>1336</v>
      </c>
      <c r="G343" s="6" t="s">
        <v>1009</v>
      </c>
      <c r="H343" s="6" t="s">
        <v>126</v>
      </c>
      <c r="I343" s="6"/>
      <c r="J343" s="8">
        <v>25756</v>
      </c>
      <c r="K343" s="7" t="s">
        <v>9423</v>
      </c>
      <c r="L343" s="8">
        <v>25756</v>
      </c>
      <c r="M343" s="8" t="str">
        <f t="shared" si="48"/>
        <v>PEN</v>
      </c>
      <c r="N343" s="13"/>
      <c r="O343" s="13">
        <v>8</v>
      </c>
      <c r="P343" s="3">
        <f t="shared" si="49"/>
        <v>0</v>
      </c>
      <c r="Q343" s="3">
        <f t="shared" si="50"/>
        <v>8</v>
      </c>
      <c r="R343" s="3">
        <f t="shared" si="46"/>
        <v>357.04999999999995</v>
      </c>
      <c r="S343" s="24" t="s">
        <v>1334</v>
      </c>
      <c r="T343" s="24"/>
      <c r="U343" s="3"/>
      <c r="V343" s="25"/>
      <c r="W343" s="25"/>
      <c r="X343" s="25" t="str">
        <f>IFERROR(VLOOKUP(C_Ope_003[[#This Row],[nota_2]],Clientes_Proveedores[[Ruc / Dni]:[Razon Social]],2,0),"")</f>
        <v/>
      </c>
      <c r="Y343" s="25" t="s">
        <v>8430</v>
      </c>
      <c r="Z343" s="25"/>
      <c r="AA343" s="3" t="str">
        <f>IF(C_Ope_003[[#This Row],[fecha]]&gt;0,TEXT(C_Ope_003[[#This Row],[fecha]],"mmmm"),0)</f>
        <v>Octubre</v>
      </c>
      <c r="AB343" s="49"/>
    </row>
    <row r="344" spans="1:28" x14ac:dyDescent="0.3">
      <c r="A344" s="2">
        <f>IF(C_Ope_003[[#This Row],[tipo_r]]="R",COUNTIFS($C$1:$C343,"R")+1,"")</f>
        <v>343</v>
      </c>
      <c r="B344" s="19" t="str">
        <f t="shared" si="47"/>
        <v>C_Ope_003</v>
      </c>
      <c r="C344" s="3" t="s">
        <v>1330</v>
      </c>
      <c r="D344" s="14">
        <v>45940</v>
      </c>
      <c r="E344" s="5" t="s">
        <v>5595</v>
      </c>
      <c r="F344" s="5" t="s">
        <v>1336</v>
      </c>
      <c r="G344" s="6" t="s">
        <v>1009</v>
      </c>
      <c r="H344" s="6" t="s">
        <v>126</v>
      </c>
      <c r="I344" s="6"/>
      <c r="J344" s="8">
        <v>25757</v>
      </c>
      <c r="K344" s="7" t="s">
        <v>9424</v>
      </c>
      <c r="L344" s="8">
        <v>25757</v>
      </c>
      <c r="M344" s="8" t="str">
        <f t="shared" si="48"/>
        <v>PEN</v>
      </c>
      <c r="N344" s="13"/>
      <c r="O344" s="13">
        <v>12</v>
      </c>
      <c r="P344" s="3">
        <f t="shared" si="49"/>
        <v>0</v>
      </c>
      <c r="Q344" s="3">
        <f t="shared" si="50"/>
        <v>12</v>
      </c>
      <c r="R344" s="3">
        <f t="shared" si="46"/>
        <v>345.04999999999995</v>
      </c>
      <c r="S344" s="24" t="s">
        <v>1334</v>
      </c>
      <c r="T344" s="24"/>
      <c r="U344" s="3"/>
      <c r="V344" s="25"/>
      <c r="W344" s="25"/>
      <c r="X344" s="25" t="str">
        <f>IFERROR(VLOOKUP(C_Ope_003[[#This Row],[nota_2]],Clientes_Proveedores[[Ruc / Dni]:[Razon Social]],2,0),"")</f>
        <v/>
      </c>
      <c r="Y344" s="25" t="s">
        <v>8430</v>
      </c>
      <c r="Z344" s="25"/>
      <c r="AA344" s="3" t="str">
        <f>IF(C_Ope_003[[#This Row],[fecha]]&gt;0,TEXT(C_Ope_003[[#This Row],[fecha]],"mmmm"),0)</f>
        <v>Octubre</v>
      </c>
      <c r="AB344" s="49"/>
    </row>
    <row r="345" spans="1:28" x14ac:dyDescent="0.3">
      <c r="A345" s="2">
        <f>IF(C_Ope_003[[#This Row],[tipo_r]]="R",COUNTIFS($C$1:$C344,"R")+1,"")</f>
        <v>344</v>
      </c>
      <c r="B345" s="19" t="str">
        <f t="shared" si="47"/>
        <v>C_Ope_003</v>
      </c>
      <c r="C345" s="3" t="s">
        <v>1330</v>
      </c>
      <c r="D345" s="14">
        <v>45940</v>
      </c>
      <c r="E345" s="5" t="s">
        <v>5595</v>
      </c>
      <c r="F345" s="5" t="s">
        <v>1336</v>
      </c>
      <c r="G345" s="6" t="s">
        <v>1009</v>
      </c>
      <c r="H345" s="6" t="s">
        <v>126</v>
      </c>
      <c r="I345" s="6"/>
      <c r="J345" s="8">
        <v>25758</v>
      </c>
      <c r="K345" s="7" t="s">
        <v>9427</v>
      </c>
      <c r="L345" s="8">
        <v>25758</v>
      </c>
      <c r="M345" s="8" t="str">
        <f t="shared" si="48"/>
        <v>PEN</v>
      </c>
      <c r="N345" s="13"/>
      <c r="O345" s="13">
        <v>10</v>
      </c>
      <c r="P345" s="3">
        <f t="shared" si="49"/>
        <v>0</v>
      </c>
      <c r="Q345" s="3">
        <f t="shared" si="50"/>
        <v>10</v>
      </c>
      <c r="R345" s="3">
        <f t="shared" si="46"/>
        <v>335.04999999999995</v>
      </c>
      <c r="S345" s="24" t="s">
        <v>1334</v>
      </c>
      <c r="T345" s="24"/>
      <c r="U345" s="3"/>
      <c r="V345" s="25"/>
      <c r="W345" s="25"/>
      <c r="X345" s="25" t="str">
        <f>IFERROR(VLOOKUP(C_Ope_003[[#This Row],[nota_2]],Clientes_Proveedores[[Ruc / Dni]:[Razon Social]],2,0),"")</f>
        <v/>
      </c>
      <c r="Y345" s="25" t="s">
        <v>8430</v>
      </c>
      <c r="Z345" s="25"/>
      <c r="AA345" s="3" t="str">
        <f>IF(C_Ope_003[[#This Row],[fecha]]&gt;0,TEXT(C_Ope_003[[#This Row],[fecha]],"mmmm"),0)</f>
        <v>Octubre</v>
      </c>
      <c r="AB345" s="49"/>
    </row>
    <row r="346" spans="1:28" ht="24" x14ac:dyDescent="0.3">
      <c r="A346" s="2">
        <f>IF(C_Ope_003[[#This Row],[tipo_r]]="R",COUNTIFS($C$1:$C345,"R")+1,"")</f>
        <v>345</v>
      </c>
      <c r="B346" s="19" t="str">
        <f t="shared" si="47"/>
        <v>C_Ope_003</v>
      </c>
      <c r="C346" s="3" t="s">
        <v>1330</v>
      </c>
      <c r="D346" s="14">
        <v>45940</v>
      </c>
      <c r="E346" s="5" t="s">
        <v>5595</v>
      </c>
      <c r="F346" s="5" t="s">
        <v>1336</v>
      </c>
      <c r="G346" s="6" t="s">
        <v>735</v>
      </c>
      <c r="H346" s="6" t="s">
        <v>68</v>
      </c>
      <c r="I346" s="6" t="s">
        <v>3078</v>
      </c>
      <c r="J346" s="6">
        <v>43747</v>
      </c>
      <c r="K346" s="7" t="s">
        <v>9428</v>
      </c>
      <c r="L346" s="8">
        <v>25759</v>
      </c>
      <c r="M346" s="8" t="str">
        <f t="shared" si="48"/>
        <v>PEN</v>
      </c>
      <c r="N346" s="13"/>
      <c r="O346" s="13">
        <v>55</v>
      </c>
      <c r="P346" s="3">
        <f t="shared" si="49"/>
        <v>0</v>
      </c>
      <c r="Q346" s="3">
        <f t="shared" si="50"/>
        <v>55</v>
      </c>
      <c r="R346" s="3">
        <f t="shared" si="46"/>
        <v>280.04999999999995</v>
      </c>
      <c r="S346" s="24" t="s">
        <v>1334</v>
      </c>
      <c r="T346" s="24"/>
      <c r="U346" s="3"/>
      <c r="V346" s="25" t="s">
        <v>8277</v>
      </c>
      <c r="W346" s="25">
        <v>20514148539</v>
      </c>
      <c r="X346" s="25" t="str">
        <f>IFERROR(VLOOKUP(C_Ope_003[[#This Row],[nota_2]],Clientes_Proveedores[[Ruc / Dni]:[Razon Social]],2,0),"")</f>
        <v>NEGOCIACIONES ABBYCORP E.I.R.L.</v>
      </c>
      <c r="Y346" s="25" t="s">
        <v>7938</v>
      </c>
      <c r="Z346" s="25"/>
      <c r="AA346" s="3" t="str">
        <f>IF(C_Ope_003[[#This Row],[fecha]]&gt;0,TEXT(C_Ope_003[[#This Row],[fecha]],"mmmm"),0)</f>
        <v>Octubre</v>
      </c>
      <c r="AB346" s="49"/>
    </row>
    <row r="347" spans="1:28" x14ac:dyDescent="0.3">
      <c r="A347" s="2">
        <f>IF(C_Ope_003[[#This Row],[tipo_r]]="R",COUNTIFS($C$1:$C346,"R")+1,"")</f>
        <v>346</v>
      </c>
      <c r="B347" s="19" t="str">
        <f t="shared" si="47"/>
        <v>C_Ope_003</v>
      </c>
      <c r="C347" s="3" t="s">
        <v>1330</v>
      </c>
      <c r="D347" s="14">
        <v>45941</v>
      </c>
      <c r="E347" s="5" t="s">
        <v>5595</v>
      </c>
      <c r="F347" s="5" t="s">
        <v>1336</v>
      </c>
      <c r="G347" s="6" t="s">
        <v>1009</v>
      </c>
      <c r="H347" s="6" t="s">
        <v>126</v>
      </c>
      <c r="I347" s="6"/>
      <c r="J347" s="8">
        <v>25771</v>
      </c>
      <c r="K347" s="7" t="s">
        <v>9429</v>
      </c>
      <c r="L347" s="8">
        <v>25771</v>
      </c>
      <c r="M347" s="8" t="str">
        <f t="shared" si="48"/>
        <v>PEN</v>
      </c>
      <c r="N347" s="13"/>
      <c r="O347" s="13">
        <v>15</v>
      </c>
      <c r="P347" s="3">
        <f t="shared" si="49"/>
        <v>0</v>
      </c>
      <c r="Q347" s="3">
        <f t="shared" si="50"/>
        <v>15</v>
      </c>
      <c r="R347" s="3">
        <f t="shared" si="46"/>
        <v>265.04999999999995</v>
      </c>
      <c r="S347" s="24" t="s">
        <v>1334</v>
      </c>
      <c r="T347" s="24"/>
      <c r="U347" s="3"/>
      <c r="V347" s="25"/>
      <c r="W347" s="25"/>
      <c r="X347" s="25" t="str">
        <f>IFERROR(VLOOKUP(C_Ope_003[[#This Row],[nota_2]],Clientes_Proveedores[[Ruc / Dni]:[Razon Social]],2,0),"")</f>
        <v/>
      </c>
      <c r="Y347" s="25" t="s">
        <v>8430</v>
      </c>
      <c r="Z347" s="25"/>
      <c r="AA347" s="3" t="str">
        <f>IF(C_Ope_003[[#This Row],[fecha]]&gt;0,TEXT(C_Ope_003[[#This Row],[fecha]],"mmmm"),0)</f>
        <v>Octubre</v>
      </c>
      <c r="AB347" s="49"/>
    </row>
    <row r="348" spans="1:28" x14ac:dyDescent="0.3">
      <c r="A348" s="2">
        <f>IF(C_Ope_003[[#This Row],[tipo_r]]="R",COUNTIFS($C$1:$C347,"R")+1,"")</f>
        <v>347</v>
      </c>
      <c r="B348" s="19" t="str">
        <f t="shared" si="47"/>
        <v>C_Ope_003</v>
      </c>
      <c r="C348" s="3" t="s">
        <v>1330</v>
      </c>
      <c r="D348" s="14">
        <v>45941</v>
      </c>
      <c r="E348" s="5" t="s">
        <v>5595</v>
      </c>
      <c r="F348" s="5" t="s">
        <v>1336</v>
      </c>
      <c r="G348" s="6" t="s">
        <v>1009</v>
      </c>
      <c r="H348" s="6" t="s">
        <v>126</v>
      </c>
      <c r="I348" s="6"/>
      <c r="J348" s="8">
        <v>25971</v>
      </c>
      <c r="K348" s="7" t="s">
        <v>9430</v>
      </c>
      <c r="L348" s="8">
        <v>25971</v>
      </c>
      <c r="M348" s="8" t="str">
        <f t="shared" si="48"/>
        <v>PEN</v>
      </c>
      <c r="N348" s="13"/>
      <c r="O348" s="13">
        <v>20</v>
      </c>
      <c r="P348" s="3">
        <f t="shared" si="49"/>
        <v>0</v>
      </c>
      <c r="Q348" s="3">
        <f t="shared" si="50"/>
        <v>20</v>
      </c>
      <c r="R348" s="3">
        <f t="shared" si="46"/>
        <v>245.04999999999995</v>
      </c>
      <c r="S348" s="24" t="s">
        <v>1334</v>
      </c>
      <c r="T348" s="24"/>
      <c r="U348" s="3"/>
      <c r="V348" s="25"/>
      <c r="W348" s="25"/>
      <c r="X348" s="25" t="str">
        <f>IFERROR(VLOOKUP(C_Ope_003[[#This Row],[nota_2]],Clientes_Proveedores[[Ruc / Dni]:[Razon Social]],2,0),"")</f>
        <v/>
      </c>
      <c r="Y348" s="25" t="s">
        <v>8430</v>
      </c>
      <c r="Z348" s="25"/>
      <c r="AA348" s="3" t="str">
        <f>IF(C_Ope_003[[#This Row],[fecha]]&gt;0,TEXT(C_Ope_003[[#This Row],[fecha]],"mmmm"),0)</f>
        <v>Octubre</v>
      </c>
      <c r="AB348" s="49"/>
    </row>
    <row r="349" spans="1:28" x14ac:dyDescent="0.3">
      <c r="A349" s="2">
        <f>IF(C_Ope_003[[#This Row],[tipo_r]]="R",COUNTIFS($C$1:$C348,"R")+1,"")</f>
        <v>348</v>
      </c>
      <c r="B349" s="19" t="str">
        <f t="shared" si="47"/>
        <v>C_Ope_003</v>
      </c>
      <c r="C349" s="3" t="s">
        <v>1330</v>
      </c>
      <c r="D349" s="14">
        <v>45942</v>
      </c>
      <c r="E349" s="5" t="s">
        <v>5595</v>
      </c>
      <c r="F349" s="5" t="s">
        <v>1336</v>
      </c>
      <c r="G349" s="6" t="s">
        <v>1009</v>
      </c>
      <c r="H349" s="6" t="s">
        <v>126</v>
      </c>
      <c r="I349" s="6"/>
      <c r="J349" s="8">
        <v>25772</v>
      </c>
      <c r="K349" s="7" t="s">
        <v>9431</v>
      </c>
      <c r="L349" s="8">
        <v>25772</v>
      </c>
      <c r="M349" s="8" t="str">
        <f t="shared" si="48"/>
        <v>PEN</v>
      </c>
      <c r="N349" s="13"/>
      <c r="O349" s="13">
        <v>15</v>
      </c>
      <c r="P349" s="3">
        <f t="shared" si="49"/>
        <v>0</v>
      </c>
      <c r="Q349" s="3">
        <f t="shared" si="50"/>
        <v>15</v>
      </c>
      <c r="R349" s="3">
        <f t="shared" si="46"/>
        <v>230.04999999999995</v>
      </c>
      <c r="S349" s="24" t="s">
        <v>1334</v>
      </c>
      <c r="T349" s="24"/>
      <c r="U349" s="3"/>
      <c r="V349" s="25"/>
      <c r="W349" s="25"/>
      <c r="X349" s="25" t="str">
        <f>IFERROR(VLOOKUP(C_Ope_003[[#This Row],[nota_2]],Clientes_Proveedores[[Ruc / Dni]:[Razon Social]],2,0),"")</f>
        <v/>
      </c>
      <c r="Y349" s="25" t="s">
        <v>8430</v>
      </c>
      <c r="Z349" s="25"/>
      <c r="AA349" s="3" t="str">
        <f>IF(C_Ope_003[[#This Row],[fecha]]&gt;0,TEXT(C_Ope_003[[#This Row],[fecha]],"mmmm"),0)</f>
        <v>Octubre</v>
      </c>
      <c r="AB349" s="49"/>
    </row>
    <row r="350" spans="1:28" x14ac:dyDescent="0.3">
      <c r="A350" s="2">
        <f>IF(C_Ope_003[[#This Row],[tipo_r]]="R",COUNTIFS($C$1:$C349,"R")+1,"")</f>
        <v>349</v>
      </c>
      <c r="B350" s="19" t="str">
        <f t="shared" si="47"/>
        <v>C_Ope_003</v>
      </c>
      <c r="C350" s="3" t="s">
        <v>1330</v>
      </c>
      <c r="D350" s="14">
        <v>45942</v>
      </c>
      <c r="E350" s="5" t="s">
        <v>5595</v>
      </c>
      <c r="F350" s="5" t="s">
        <v>1336</v>
      </c>
      <c r="G350" s="6" t="s">
        <v>1009</v>
      </c>
      <c r="H350" s="6" t="s">
        <v>126</v>
      </c>
      <c r="I350" s="6"/>
      <c r="J350" s="8">
        <v>25972</v>
      </c>
      <c r="K350" s="7" t="s">
        <v>9430</v>
      </c>
      <c r="L350" s="8">
        <v>25972</v>
      </c>
      <c r="M350" s="8" t="str">
        <f t="shared" si="48"/>
        <v>PEN</v>
      </c>
      <c r="N350" s="13"/>
      <c r="O350" s="13">
        <v>20</v>
      </c>
      <c r="P350" s="3">
        <f t="shared" si="49"/>
        <v>0</v>
      </c>
      <c r="Q350" s="3">
        <f t="shared" si="50"/>
        <v>20</v>
      </c>
      <c r="R350" s="3">
        <f t="shared" si="46"/>
        <v>210.04999999999995</v>
      </c>
      <c r="S350" s="24" t="s">
        <v>1334</v>
      </c>
      <c r="T350" s="24"/>
      <c r="U350" s="3"/>
      <c r="V350" s="25"/>
      <c r="W350" s="25"/>
      <c r="X350" s="25" t="str">
        <f>IFERROR(VLOOKUP(C_Ope_003[[#This Row],[nota_2]],Clientes_Proveedores[[Ruc / Dni]:[Razon Social]],2,0),"")</f>
        <v/>
      </c>
      <c r="Y350" s="25" t="s">
        <v>8430</v>
      </c>
      <c r="Z350" s="25"/>
      <c r="AA350" s="3" t="str">
        <f>IF(C_Ope_003[[#This Row],[fecha]]&gt;0,TEXT(C_Ope_003[[#This Row],[fecha]],"mmmm"),0)</f>
        <v>Octubre</v>
      </c>
      <c r="AB350" s="49"/>
    </row>
    <row r="351" spans="1:28" ht="24" x14ac:dyDescent="0.3">
      <c r="A351" s="2">
        <f>IF(C_Ope_003[[#This Row],[tipo_r]]="R",COUNTIFS($C$1:$C350,"R")+1,"")</f>
        <v>350</v>
      </c>
      <c r="B351" s="19" t="str">
        <f t="shared" si="47"/>
        <v>C_Ope_003</v>
      </c>
      <c r="C351" s="3" t="s">
        <v>1330</v>
      </c>
      <c r="D351" s="14">
        <v>45943</v>
      </c>
      <c r="E351" s="5" t="s">
        <v>5595</v>
      </c>
      <c r="F351" s="5" t="s">
        <v>1336</v>
      </c>
      <c r="G351" s="6" t="s">
        <v>979</v>
      </c>
      <c r="H351" s="6" t="s">
        <v>68</v>
      </c>
      <c r="I351" s="6" t="s">
        <v>6204</v>
      </c>
      <c r="J351" s="6">
        <v>3548987</v>
      </c>
      <c r="K351" s="7" t="s">
        <v>9432</v>
      </c>
      <c r="L351" s="8">
        <v>25774</v>
      </c>
      <c r="M351" s="8" t="str">
        <f t="shared" si="48"/>
        <v>PEN</v>
      </c>
      <c r="N351" s="13"/>
      <c r="O351" s="13">
        <v>15</v>
      </c>
      <c r="P351" s="3">
        <f t="shared" si="49"/>
        <v>0</v>
      </c>
      <c r="Q351" s="3">
        <f t="shared" si="50"/>
        <v>15</v>
      </c>
      <c r="R351" s="3">
        <f t="shared" si="46"/>
        <v>195.04999999999995</v>
      </c>
      <c r="S351" s="24" t="s">
        <v>1334</v>
      </c>
      <c r="T351" s="24"/>
      <c r="U351" s="3"/>
      <c r="V351" s="25" t="s">
        <v>8277</v>
      </c>
      <c r="W351" s="25">
        <v>20550372640</v>
      </c>
      <c r="X351" s="25" t="str">
        <f>IFERROR(VLOOKUP(C_Ope_003[[#This Row],[nota_2]],Clientes_Proveedores[[Ruc / Dni]:[Razon Social]],2,0),"")</f>
        <v>RUTAS DE LIMA S.A.C.</v>
      </c>
      <c r="Y351" s="25" t="s">
        <v>7888</v>
      </c>
      <c r="Z351" s="25"/>
      <c r="AA351" s="3" t="str">
        <f>IF(C_Ope_003[[#This Row],[fecha]]&gt;0,TEXT(C_Ope_003[[#This Row],[fecha]],"mmmm"),0)</f>
        <v>Octubre</v>
      </c>
      <c r="AB351" s="49"/>
    </row>
    <row r="352" spans="1:28" ht="24" x14ac:dyDescent="0.3">
      <c r="A352" s="2">
        <f>IF(C_Ope_003[[#This Row],[tipo_r]]="R",COUNTIFS($C$1:$C351,"R")+1,"")</f>
        <v>351</v>
      </c>
      <c r="B352" s="19" t="str">
        <f t="shared" si="47"/>
        <v>C_Ope_003</v>
      </c>
      <c r="C352" s="3" t="s">
        <v>1330</v>
      </c>
      <c r="D352" s="14">
        <v>45943</v>
      </c>
      <c r="E352" s="5" t="s">
        <v>5595</v>
      </c>
      <c r="F352" s="5" t="s">
        <v>1336</v>
      </c>
      <c r="G352" s="6" t="s">
        <v>979</v>
      </c>
      <c r="H352" s="6" t="s">
        <v>68</v>
      </c>
      <c r="I352" s="6" t="s">
        <v>8256</v>
      </c>
      <c r="J352" s="6">
        <v>642929</v>
      </c>
      <c r="K352" s="7" t="s">
        <v>9433</v>
      </c>
      <c r="L352" s="8">
        <v>25775</v>
      </c>
      <c r="M352" s="8" t="str">
        <f t="shared" si="48"/>
        <v>PEN</v>
      </c>
      <c r="N352" s="13"/>
      <c r="O352" s="13">
        <v>15</v>
      </c>
      <c r="P352" s="3">
        <f t="shared" si="49"/>
        <v>0</v>
      </c>
      <c r="Q352" s="3">
        <f t="shared" si="50"/>
        <v>15</v>
      </c>
      <c r="R352" s="3">
        <f t="shared" si="46"/>
        <v>180.04999999999995</v>
      </c>
      <c r="S352" s="24" t="s">
        <v>1334</v>
      </c>
      <c r="T352" s="24"/>
      <c r="U352" s="3"/>
      <c r="V352" s="25" t="s">
        <v>8277</v>
      </c>
      <c r="W352" s="25">
        <v>20550372640</v>
      </c>
      <c r="X352" s="25" t="str">
        <f>IFERROR(VLOOKUP(C_Ope_003[[#This Row],[nota_2]],Clientes_Proveedores[[Ruc / Dni]:[Razon Social]],2,0),"")</f>
        <v>RUTAS DE LIMA S.A.C.</v>
      </c>
      <c r="Y352" s="25" t="s">
        <v>7888</v>
      </c>
      <c r="Z352" s="25"/>
      <c r="AA352" s="3" t="str">
        <f>IF(C_Ope_003[[#This Row],[fecha]]&gt;0,TEXT(C_Ope_003[[#This Row],[fecha]],"mmmm"),0)</f>
        <v>Octubre</v>
      </c>
      <c r="AB352" s="49"/>
    </row>
    <row r="353" spans="1:28" ht="24" x14ac:dyDescent="0.3">
      <c r="A353" s="2">
        <f>IF(C_Ope_003[[#This Row],[tipo_r]]="R",COUNTIFS($C$1:$C352,"R")+1,"")</f>
        <v>352</v>
      </c>
      <c r="B353" s="19" t="str">
        <f t="shared" si="47"/>
        <v>C_Ope_003</v>
      </c>
      <c r="C353" s="3" t="s">
        <v>1330</v>
      </c>
      <c r="D353" s="14">
        <v>45943</v>
      </c>
      <c r="E353" s="5" t="s">
        <v>5595</v>
      </c>
      <c r="F353" s="5" t="s">
        <v>1336</v>
      </c>
      <c r="G353" s="6" t="s">
        <v>1009</v>
      </c>
      <c r="H353" s="6" t="s">
        <v>126</v>
      </c>
      <c r="I353" s="6"/>
      <c r="J353" s="8">
        <v>25773</v>
      </c>
      <c r="K353" s="7" t="s">
        <v>9434</v>
      </c>
      <c r="L353" s="8">
        <v>25773</v>
      </c>
      <c r="M353" s="8" t="str">
        <f t="shared" si="48"/>
        <v>PEN</v>
      </c>
      <c r="N353" s="13"/>
      <c r="O353" s="13">
        <v>30</v>
      </c>
      <c r="P353" s="3">
        <f t="shared" si="49"/>
        <v>0</v>
      </c>
      <c r="Q353" s="3">
        <f t="shared" si="50"/>
        <v>30</v>
      </c>
      <c r="R353" s="3">
        <f t="shared" si="46"/>
        <v>150.04999999999995</v>
      </c>
      <c r="S353" s="24" t="s">
        <v>1334</v>
      </c>
      <c r="T353" s="24"/>
      <c r="U353" s="3"/>
      <c r="V353" s="25"/>
      <c r="W353" s="25"/>
      <c r="X353" s="25" t="str">
        <f>IFERROR(VLOOKUP(C_Ope_003[[#This Row],[nota_2]],Clientes_Proveedores[[Ruc / Dni]:[Razon Social]],2,0),"")</f>
        <v/>
      </c>
      <c r="Y353" s="25" t="s">
        <v>8430</v>
      </c>
      <c r="Z353" s="25"/>
      <c r="AA353" s="3" t="str">
        <f>IF(C_Ope_003[[#This Row],[fecha]]&gt;0,TEXT(C_Ope_003[[#This Row],[fecha]],"mmmm"),0)</f>
        <v>Octubre</v>
      </c>
      <c r="AB353" s="49"/>
    </row>
    <row r="354" spans="1:28" ht="24" x14ac:dyDescent="0.3">
      <c r="A354" s="2">
        <f>IF(C_Ope_003[[#This Row],[tipo_r]]="R",COUNTIFS($C$1:$C353,"R")+1,"")</f>
        <v>353</v>
      </c>
      <c r="B354" s="19" t="str">
        <f t="shared" si="47"/>
        <v>C_Ope_003</v>
      </c>
      <c r="C354" s="3" t="s">
        <v>1330</v>
      </c>
      <c r="D354" s="14">
        <v>45944</v>
      </c>
      <c r="E354" s="5" t="s">
        <v>5595</v>
      </c>
      <c r="F354" s="5" t="s">
        <v>1336</v>
      </c>
      <c r="G354" s="6" t="s">
        <v>1009</v>
      </c>
      <c r="H354" s="6" t="s">
        <v>126</v>
      </c>
      <c r="I354" s="6"/>
      <c r="J354" s="8">
        <v>25786</v>
      </c>
      <c r="K354" s="7" t="s">
        <v>9435</v>
      </c>
      <c r="L354" s="8">
        <v>25786</v>
      </c>
      <c r="M354" s="8" t="str">
        <f t="shared" si="48"/>
        <v>PEN</v>
      </c>
      <c r="N354" s="13"/>
      <c r="O354" s="13">
        <v>30</v>
      </c>
      <c r="P354" s="3">
        <f t="shared" si="49"/>
        <v>0</v>
      </c>
      <c r="Q354" s="3">
        <f t="shared" si="50"/>
        <v>30</v>
      </c>
      <c r="R354" s="3">
        <f t="shared" si="46"/>
        <v>120.04999999999995</v>
      </c>
      <c r="S354" s="24" t="s">
        <v>1334</v>
      </c>
      <c r="T354" s="24"/>
      <c r="U354" s="3"/>
      <c r="V354" s="25"/>
      <c r="W354" s="25"/>
      <c r="X354" s="25" t="str">
        <f>IFERROR(VLOOKUP(C_Ope_003[[#This Row],[nota_2]],Clientes_Proveedores[[Ruc / Dni]:[Razon Social]],2,0),"")</f>
        <v/>
      </c>
      <c r="Y354" s="25" t="s">
        <v>8430</v>
      </c>
      <c r="Z354" s="25"/>
      <c r="AA354" s="3" t="str">
        <f>IF(C_Ope_003[[#This Row],[fecha]]&gt;0,TEXT(C_Ope_003[[#This Row],[fecha]],"mmmm"),0)</f>
        <v>Octubre</v>
      </c>
      <c r="AB354" s="49"/>
    </row>
    <row r="355" spans="1:28" ht="24" x14ac:dyDescent="0.3">
      <c r="A355" s="2">
        <f>IF(C_Ope_003[[#This Row],[tipo_r]]="R",COUNTIFS($C$1:$C354,"R")+1,"")</f>
        <v>354</v>
      </c>
      <c r="B355" s="19" t="str">
        <f t="shared" si="47"/>
        <v>C_Ope_003</v>
      </c>
      <c r="C355" s="3" t="s">
        <v>1330</v>
      </c>
      <c r="D355" s="14">
        <v>45945</v>
      </c>
      <c r="E355" s="5" t="s">
        <v>5595</v>
      </c>
      <c r="F355" s="5" t="s">
        <v>1336</v>
      </c>
      <c r="G355" s="6" t="s">
        <v>979</v>
      </c>
      <c r="H355" s="6" t="s">
        <v>68</v>
      </c>
      <c r="I355" s="6" t="s">
        <v>8483</v>
      </c>
      <c r="J355" s="6">
        <v>2559633</v>
      </c>
      <c r="K355" s="7" t="s">
        <v>9436</v>
      </c>
      <c r="L355" s="8">
        <v>25796</v>
      </c>
      <c r="M355" s="8" t="str">
        <f t="shared" si="48"/>
        <v>PEN</v>
      </c>
      <c r="N355" s="13"/>
      <c r="O355" s="13">
        <v>15</v>
      </c>
      <c r="P355" s="3">
        <f t="shared" si="49"/>
        <v>0</v>
      </c>
      <c r="Q355" s="3">
        <f t="shared" si="50"/>
        <v>15</v>
      </c>
      <c r="R355" s="3">
        <f t="shared" si="46"/>
        <v>105.04999999999995</v>
      </c>
      <c r="S355" s="24" t="s">
        <v>1334</v>
      </c>
      <c r="T355" s="24"/>
      <c r="U355" s="3"/>
      <c r="V355" s="25" t="s">
        <v>8277</v>
      </c>
      <c r="W355" s="25">
        <v>20550372640</v>
      </c>
      <c r="X355" s="25" t="str">
        <f>IFERROR(VLOOKUP(C_Ope_003[[#This Row],[nota_2]],Clientes_Proveedores[[Ruc / Dni]:[Razon Social]],2,0),"")</f>
        <v>RUTAS DE LIMA S.A.C.</v>
      </c>
      <c r="Y355" s="25" t="s">
        <v>7888</v>
      </c>
      <c r="Z355" s="25"/>
      <c r="AA355" s="3" t="str">
        <f>IF(C_Ope_003[[#This Row],[fecha]]&gt;0,TEXT(C_Ope_003[[#This Row],[fecha]],"mmmm"),0)</f>
        <v>Octubre</v>
      </c>
      <c r="AB355" s="49"/>
    </row>
    <row r="356" spans="1:28" ht="24" x14ac:dyDescent="0.3">
      <c r="A356" s="2">
        <f>IF(C_Ope_003[[#This Row],[tipo_r]]="R",COUNTIFS($C$1:$C355,"R")+1,"")</f>
        <v>355</v>
      </c>
      <c r="B356" s="19" t="str">
        <f t="shared" ref="B356:B388" si="51">"C_Ope_003"</f>
        <v>C_Ope_003</v>
      </c>
      <c r="C356" s="3" t="s">
        <v>1330</v>
      </c>
      <c r="D356" s="14">
        <v>45945</v>
      </c>
      <c r="E356" s="5" t="s">
        <v>5595</v>
      </c>
      <c r="F356" s="5" t="s">
        <v>1336</v>
      </c>
      <c r="G356" s="6" t="s">
        <v>979</v>
      </c>
      <c r="H356" s="6" t="s">
        <v>68</v>
      </c>
      <c r="I356" s="6" t="s">
        <v>8434</v>
      </c>
      <c r="J356" s="6">
        <v>3856095</v>
      </c>
      <c r="K356" s="7" t="s">
        <v>9437</v>
      </c>
      <c r="L356" s="8">
        <v>25797</v>
      </c>
      <c r="M356" s="8" t="str">
        <f t="shared" ref="M356:M388" si="52">"PEN"</f>
        <v>PEN</v>
      </c>
      <c r="N356" s="13"/>
      <c r="O356" s="13">
        <v>15</v>
      </c>
      <c r="P356" s="3">
        <f t="shared" ref="P356:P388" si="53">+IF(OR($F356="SALDO",$F356="INGRESO"),$O356,0)</f>
        <v>0</v>
      </c>
      <c r="Q356" s="3">
        <f t="shared" ref="Q356:Q388" si="54">+IF($F356="EGRESO",$O356,0)</f>
        <v>15</v>
      </c>
      <c r="R356" s="3">
        <f t="shared" si="46"/>
        <v>90.049999999999955</v>
      </c>
      <c r="S356" s="24" t="s">
        <v>1334</v>
      </c>
      <c r="T356" s="24"/>
      <c r="U356" s="3"/>
      <c r="V356" s="25" t="s">
        <v>8277</v>
      </c>
      <c r="W356" s="25">
        <v>20550372640</v>
      </c>
      <c r="X356" s="25" t="str">
        <f>IFERROR(VLOOKUP(C_Ope_003[[#This Row],[nota_2]],Clientes_Proveedores[[Ruc / Dni]:[Razon Social]],2,0),"")</f>
        <v>RUTAS DE LIMA S.A.C.</v>
      </c>
      <c r="Y356" s="25" t="s">
        <v>7888</v>
      </c>
      <c r="Z356" s="25"/>
      <c r="AA356" s="3" t="str">
        <f>IF(C_Ope_003[[#This Row],[fecha]]&gt;0,TEXT(C_Ope_003[[#This Row],[fecha]],"mmmm"),0)</f>
        <v>Octubre</v>
      </c>
      <c r="AB356" s="49"/>
    </row>
    <row r="357" spans="1:28" ht="24" x14ac:dyDescent="0.3">
      <c r="A357" s="2">
        <f>IF(C_Ope_003[[#This Row],[tipo_r]]="R",COUNTIFS($C$1:$C356,"R")+1,"")</f>
        <v>356</v>
      </c>
      <c r="B357" s="19" t="str">
        <f t="shared" si="51"/>
        <v>C_Ope_003</v>
      </c>
      <c r="C357" s="3" t="s">
        <v>1330</v>
      </c>
      <c r="D357" s="14">
        <v>45945</v>
      </c>
      <c r="E357" s="5" t="s">
        <v>5595</v>
      </c>
      <c r="F357" s="5" t="s">
        <v>1336</v>
      </c>
      <c r="G357" s="6" t="s">
        <v>1009</v>
      </c>
      <c r="H357" s="6" t="s">
        <v>126</v>
      </c>
      <c r="I357" s="6"/>
      <c r="J357" s="8">
        <v>25795</v>
      </c>
      <c r="K357" s="7" t="s">
        <v>9438</v>
      </c>
      <c r="L357" s="8">
        <v>25795</v>
      </c>
      <c r="M357" s="8" t="str">
        <f t="shared" si="52"/>
        <v>PEN</v>
      </c>
      <c r="N357" s="13"/>
      <c r="O357" s="13">
        <v>30</v>
      </c>
      <c r="P357" s="3">
        <f t="shared" si="53"/>
        <v>0</v>
      </c>
      <c r="Q357" s="3">
        <f t="shared" si="54"/>
        <v>30</v>
      </c>
      <c r="R357" s="3">
        <f t="shared" si="46"/>
        <v>60.049999999999955</v>
      </c>
      <c r="S357" s="24" t="s">
        <v>1334</v>
      </c>
      <c r="T357" s="24"/>
      <c r="U357" s="3"/>
      <c r="V357" s="25"/>
      <c r="W357" s="25"/>
      <c r="X357" s="25" t="str">
        <f>IFERROR(VLOOKUP(C_Ope_003[[#This Row],[nota_2]],Clientes_Proveedores[[Ruc / Dni]:[Razon Social]],2,0),"")</f>
        <v/>
      </c>
      <c r="Y357" s="25" t="s">
        <v>8430</v>
      </c>
      <c r="Z357" s="25"/>
      <c r="AA357" s="3" t="str">
        <f>IF(C_Ope_003[[#This Row],[fecha]]&gt;0,TEXT(C_Ope_003[[#This Row],[fecha]],"mmmm"),0)</f>
        <v>Octubre</v>
      </c>
      <c r="AB357" s="49"/>
    </row>
    <row r="358" spans="1:28" x14ac:dyDescent="0.3">
      <c r="A358" s="2">
        <f>IF(C_Ope_003[[#This Row],[tipo_r]]="R",COUNTIFS($C$1:$C357,"R")+1,"")</f>
        <v>357</v>
      </c>
      <c r="B358" s="19" t="str">
        <f>"C_Ope_003"</f>
        <v>C_Ope_003</v>
      </c>
      <c r="C358" s="3" t="s">
        <v>1330</v>
      </c>
      <c r="D358" s="14">
        <v>45946</v>
      </c>
      <c r="E358" s="5" t="s">
        <v>3634</v>
      </c>
      <c r="F358" s="5" t="s">
        <v>1303</v>
      </c>
      <c r="G358" s="6"/>
      <c r="H358" s="6"/>
      <c r="I358" s="6"/>
      <c r="J358" s="8"/>
      <c r="K358" s="7" t="s">
        <v>7516</v>
      </c>
      <c r="L358" s="8">
        <v>25814</v>
      </c>
      <c r="M358" s="8" t="str">
        <f>"PEN"</f>
        <v>PEN</v>
      </c>
      <c r="N358" s="13"/>
      <c r="O358" s="13">
        <v>400</v>
      </c>
      <c r="P358" s="3">
        <f>+IF(OR($F358="SALDO",$F358="INGRESO"),$O358,0)</f>
        <v>400</v>
      </c>
      <c r="Q358" s="3">
        <f>+IF($F358="EGRESO",$O358,0)</f>
        <v>0</v>
      </c>
      <c r="R358" s="3">
        <f t="shared" si="46"/>
        <v>460.04999999999995</v>
      </c>
      <c r="S358" s="24"/>
      <c r="T358" s="24"/>
      <c r="U358" s="3"/>
      <c r="V358" s="25"/>
      <c r="W358" s="25"/>
      <c r="X358" s="25" t="str">
        <f>IFERROR(VLOOKUP(C_Ope_003[[#This Row],[nota_2]],Clientes_Proveedores[[Ruc / Dni]:[Razon Social]],2,0),"")</f>
        <v/>
      </c>
      <c r="Y358" s="25"/>
      <c r="Z358" s="25"/>
      <c r="AA358" s="3" t="str">
        <f>IF(C_Ope_003[[#This Row],[fecha]]&gt;0,TEXT(C_Ope_003[[#This Row],[fecha]],"mmmm"),0)</f>
        <v>Octubre</v>
      </c>
      <c r="AB358" s="49"/>
    </row>
    <row r="359" spans="1:28" ht="24" x14ac:dyDescent="0.3">
      <c r="A359" s="2">
        <f>IF(C_Ope_003[[#This Row],[tipo_r]]="R",COUNTIFS($C$1:$C358,"R")+1,"")</f>
        <v>358</v>
      </c>
      <c r="B359" s="19" t="str">
        <f t="shared" si="51"/>
        <v>C_Ope_003</v>
      </c>
      <c r="C359" s="3" t="s">
        <v>1330</v>
      </c>
      <c r="D359" s="14">
        <v>45946</v>
      </c>
      <c r="E359" s="5" t="s">
        <v>5595</v>
      </c>
      <c r="F359" s="5" t="s">
        <v>1336</v>
      </c>
      <c r="G359" s="6" t="s">
        <v>979</v>
      </c>
      <c r="H359" s="6" t="s">
        <v>68</v>
      </c>
      <c r="I359" s="6" t="s">
        <v>8211</v>
      </c>
      <c r="J359" s="6">
        <v>3144578</v>
      </c>
      <c r="K359" s="7" t="s">
        <v>9439</v>
      </c>
      <c r="L359" s="8">
        <v>25815</v>
      </c>
      <c r="M359" s="8" t="str">
        <f t="shared" si="52"/>
        <v>PEN</v>
      </c>
      <c r="N359" s="13"/>
      <c r="O359" s="13">
        <v>15</v>
      </c>
      <c r="P359" s="3">
        <f t="shared" si="53"/>
        <v>0</v>
      </c>
      <c r="Q359" s="3">
        <f t="shared" si="54"/>
        <v>15</v>
      </c>
      <c r="R359" s="3">
        <f t="shared" si="46"/>
        <v>445.04999999999995</v>
      </c>
      <c r="S359" s="24" t="s">
        <v>1334</v>
      </c>
      <c r="T359" s="24"/>
      <c r="U359" s="3"/>
      <c r="V359" s="25" t="s">
        <v>8277</v>
      </c>
      <c r="W359" s="25">
        <v>20550372640</v>
      </c>
      <c r="X359" s="25" t="str">
        <f>IFERROR(VLOOKUP(C_Ope_003[[#This Row],[nota_2]],Clientes_Proveedores[[Ruc / Dni]:[Razon Social]],2,0),"")</f>
        <v>RUTAS DE LIMA S.A.C.</v>
      </c>
      <c r="Y359" s="25" t="s">
        <v>7888</v>
      </c>
      <c r="Z359" s="25"/>
      <c r="AA359" s="3" t="str">
        <f>IF(C_Ope_003[[#This Row],[fecha]]&gt;0,TEXT(C_Ope_003[[#This Row],[fecha]],"mmmm"),0)</f>
        <v>Octubre</v>
      </c>
      <c r="AB359" s="49"/>
    </row>
    <row r="360" spans="1:28" ht="24" x14ac:dyDescent="0.3">
      <c r="A360" s="2">
        <f>IF(C_Ope_003[[#This Row],[tipo_r]]="R",COUNTIFS($C$1:$C359,"R")+1,"")</f>
        <v>359</v>
      </c>
      <c r="B360" s="19" t="str">
        <f t="shared" si="51"/>
        <v>C_Ope_003</v>
      </c>
      <c r="C360" s="3" t="s">
        <v>1330</v>
      </c>
      <c r="D360" s="14">
        <v>45946</v>
      </c>
      <c r="E360" s="5" t="s">
        <v>5595</v>
      </c>
      <c r="F360" s="5" t="s">
        <v>1336</v>
      </c>
      <c r="G360" s="6" t="s">
        <v>979</v>
      </c>
      <c r="H360" s="6" t="s">
        <v>68</v>
      </c>
      <c r="I360" s="6" t="s">
        <v>8467</v>
      </c>
      <c r="J360" s="6">
        <v>1722039</v>
      </c>
      <c r="K360" s="7" t="s">
        <v>9440</v>
      </c>
      <c r="L360" s="8">
        <v>25816</v>
      </c>
      <c r="M360" s="8" t="str">
        <f t="shared" si="52"/>
        <v>PEN</v>
      </c>
      <c r="N360" s="13"/>
      <c r="O360" s="13">
        <v>15</v>
      </c>
      <c r="P360" s="3">
        <f t="shared" si="53"/>
        <v>0</v>
      </c>
      <c r="Q360" s="3">
        <f t="shared" si="54"/>
        <v>15</v>
      </c>
      <c r="R360" s="3">
        <f t="shared" si="46"/>
        <v>430.04999999999995</v>
      </c>
      <c r="S360" s="24" t="s">
        <v>1334</v>
      </c>
      <c r="T360" s="24"/>
      <c r="U360" s="3"/>
      <c r="V360" s="25" t="s">
        <v>8277</v>
      </c>
      <c r="W360" s="25">
        <v>20550372640</v>
      </c>
      <c r="X360" s="25" t="str">
        <f>IFERROR(VLOOKUP(C_Ope_003[[#This Row],[nota_2]],Clientes_Proveedores[[Ruc / Dni]:[Razon Social]],2,0),"")</f>
        <v>RUTAS DE LIMA S.A.C.</v>
      </c>
      <c r="Y360" s="25" t="s">
        <v>7888</v>
      </c>
      <c r="Z360" s="25"/>
      <c r="AA360" s="3" t="str">
        <f>IF(C_Ope_003[[#This Row],[fecha]]&gt;0,TEXT(C_Ope_003[[#This Row],[fecha]],"mmmm"),0)</f>
        <v>Octubre</v>
      </c>
      <c r="AB360" s="49"/>
    </row>
    <row r="361" spans="1:28" ht="24" x14ac:dyDescent="0.3">
      <c r="A361" s="2">
        <f>IF(C_Ope_003[[#This Row],[tipo_r]]="R",COUNTIFS($C$1:$C360,"R")+1,"")</f>
        <v>360</v>
      </c>
      <c r="B361" s="19" t="str">
        <f t="shared" si="51"/>
        <v>C_Ope_003</v>
      </c>
      <c r="C361" s="3" t="s">
        <v>1330</v>
      </c>
      <c r="D361" s="14">
        <v>45946</v>
      </c>
      <c r="E361" s="5" t="s">
        <v>5595</v>
      </c>
      <c r="F361" s="5" t="s">
        <v>1336</v>
      </c>
      <c r="G361" s="6" t="s">
        <v>1174</v>
      </c>
      <c r="H361" s="6" t="s">
        <v>68</v>
      </c>
      <c r="I361" s="6" t="s">
        <v>2081</v>
      </c>
      <c r="J361" s="6">
        <v>13766</v>
      </c>
      <c r="K361" s="7" t="s">
        <v>9441</v>
      </c>
      <c r="L361" s="8">
        <v>25804</v>
      </c>
      <c r="M361" s="8" t="str">
        <f t="shared" si="52"/>
        <v>PEN</v>
      </c>
      <c r="N361" s="13"/>
      <c r="O361" s="13">
        <v>15</v>
      </c>
      <c r="P361" s="3">
        <f t="shared" si="53"/>
        <v>0</v>
      </c>
      <c r="Q361" s="3">
        <f t="shared" si="54"/>
        <v>15</v>
      </c>
      <c r="R361" s="3">
        <f t="shared" si="46"/>
        <v>415.04999999999995</v>
      </c>
      <c r="S361" s="24" t="s">
        <v>1334</v>
      </c>
      <c r="T361" s="24"/>
      <c r="U361" s="3"/>
      <c r="V361" s="25" t="s">
        <v>8277</v>
      </c>
      <c r="W361" s="25">
        <v>10100525998</v>
      </c>
      <c r="X361" s="25" t="str">
        <f>IFERROR(VLOOKUP(C_Ope_003[[#This Row],[nota_2]],Clientes_Proveedores[[Ruc / Dni]:[Razon Social]],2,0),"")</f>
        <v>TORRES CARDENAS CARLOS ANTONIO</v>
      </c>
      <c r="Y361" s="25" t="s">
        <v>5933</v>
      </c>
      <c r="Z361" s="25"/>
      <c r="AA361" s="3" t="str">
        <f>IF(C_Ope_003[[#This Row],[fecha]]&gt;0,TEXT(C_Ope_003[[#This Row],[fecha]],"mmmm"),0)</f>
        <v>Octubre</v>
      </c>
      <c r="AB361" s="49"/>
    </row>
    <row r="362" spans="1:28" ht="24" x14ac:dyDescent="0.3">
      <c r="A362" s="2">
        <f>IF(C_Ope_003[[#This Row],[tipo_r]]="R",COUNTIFS($C$1:$C361,"R")+1,"")</f>
        <v>361</v>
      </c>
      <c r="B362" s="19" t="str">
        <f t="shared" si="51"/>
        <v>C_Ope_003</v>
      </c>
      <c r="C362" s="3" t="s">
        <v>1330</v>
      </c>
      <c r="D362" s="14">
        <v>45946</v>
      </c>
      <c r="E362" s="5" t="s">
        <v>5595</v>
      </c>
      <c r="F362" s="5" t="s">
        <v>1336</v>
      </c>
      <c r="G362" s="6" t="s">
        <v>1174</v>
      </c>
      <c r="H362" s="6" t="s">
        <v>68</v>
      </c>
      <c r="I362" s="6" t="s">
        <v>2081</v>
      </c>
      <c r="J362" s="6">
        <v>13764</v>
      </c>
      <c r="K362" s="7" t="s">
        <v>9441</v>
      </c>
      <c r="L362" s="8">
        <v>25805</v>
      </c>
      <c r="M362" s="8" t="str">
        <f t="shared" si="52"/>
        <v>PEN</v>
      </c>
      <c r="N362" s="13"/>
      <c r="O362" s="13">
        <v>15</v>
      </c>
      <c r="P362" s="3">
        <f t="shared" si="53"/>
        <v>0</v>
      </c>
      <c r="Q362" s="3">
        <f t="shared" si="54"/>
        <v>15</v>
      </c>
      <c r="R362" s="3">
        <f t="shared" si="46"/>
        <v>400.04999999999995</v>
      </c>
      <c r="S362" s="24" t="s">
        <v>1334</v>
      </c>
      <c r="T362" s="24"/>
      <c r="U362" s="3"/>
      <c r="V362" s="25" t="s">
        <v>8277</v>
      </c>
      <c r="W362" s="25">
        <v>10100525998</v>
      </c>
      <c r="X362" s="25" t="str">
        <f>IFERROR(VLOOKUP(C_Ope_003[[#This Row],[nota_2]],Clientes_Proveedores[[Ruc / Dni]:[Razon Social]],2,0),"")</f>
        <v>TORRES CARDENAS CARLOS ANTONIO</v>
      </c>
      <c r="Y362" s="25" t="s">
        <v>5933</v>
      </c>
      <c r="Z362" s="25"/>
      <c r="AA362" s="3" t="str">
        <f>IF(C_Ope_003[[#This Row],[fecha]]&gt;0,TEXT(C_Ope_003[[#This Row],[fecha]],"mmmm"),0)</f>
        <v>Octubre</v>
      </c>
      <c r="AB362" s="49"/>
    </row>
    <row r="363" spans="1:28" ht="24" x14ac:dyDescent="0.3">
      <c r="A363" s="2">
        <f>IF(C_Ope_003[[#This Row],[tipo_r]]="R",COUNTIFS($C$1:$C362,"R")+1,"")</f>
        <v>362</v>
      </c>
      <c r="B363" s="19" t="str">
        <f t="shared" si="51"/>
        <v>C_Ope_003</v>
      </c>
      <c r="C363" s="3" t="s">
        <v>1330</v>
      </c>
      <c r="D363" s="14">
        <v>45946</v>
      </c>
      <c r="E363" s="5" t="s">
        <v>5595</v>
      </c>
      <c r="F363" s="5" t="s">
        <v>1336</v>
      </c>
      <c r="G363" s="6" t="s">
        <v>1174</v>
      </c>
      <c r="H363" s="6" t="s">
        <v>68</v>
      </c>
      <c r="I363" s="6" t="s">
        <v>2081</v>
      </c>
      <c r="J363" s="6">
        <v>13761</v>
      </c>
      <c r="K363" s="7" t="s">
        <v>9441</v>
      </c>
      <c r="L363" s="8">
        <v>25806</v>
      </c>
      <c r="M363" s="8" t="str">
        <f t="shared" si="52"/>
        <v>PEN</v>
      </c>
      <c r="N363" s="13"/>
      <c r="O363" s="13">
        <v>15</v>
      </c>
      <c r="P363" s="3">
        <f t="shared" si="53"/>
        <v>0</v>
      </c>
      <c r="Q363" s="3">
        <f t="shared" si="54"/>
        <v>15</v>
      </c>
      <c r="R363" s="3">
        <f t="shared" si="46"/>
        <v>385.04999999999995</v>
      </c>
      <c r="S363" s="24" t="s">
        <v>1334</v>
      </c>
      <c r="T363" s="24"/>
      <c r="U363" s="3"/>
      <c r="V363" s="25" t="s">
        <v>8277</v>
      </c>
      <c r="W363" s="25">
        <v>10100525998</v>
      </c>
      <c r="X363" s="25" t="str">
        <f>IFERROR(VLOOKUP(C_Ope_003[[#This Row],[nota_2]],Clientes_Proveedores[[Ruc / Dni]:[Razon Social]],2,0),"")</f>
        <v>TORRES CARDENAS CARLOS ANTONIO</v>
      </c>
      <c r="Y363" s="25" t="s">
        <v>5933</v>
      </c>
      <c r="Z363" s="25"/>
      <c r="AA363" s="3" t="str">
        <f>IF(C_Ope_003[[#This Row],[fecha]]&gt;0,TEXT(C_Ope_003[[#This Row],[fecha]],"mmmm"),0)</f>
        <v>Octubre</v>
      </c>
      <c r="AB363" s="49"/>
    </row>
    <row r="364" spans="1:28" ht="24" x14ac:dyDescent="0.3">
      <c r="A364" s="2">
        <f>IF(C_Ope_003[[#This Row],[tipo_r]]="R",COUNTIFS($C$1:$C363,"R")+1,"")</f>
        <v>363</v>
      </c>
      <c r="B364" s="19" t="str">
        <f t="shared" si="51"/>
        <v>C_Ope_003</v>
      </c>
      <c r="C364" s="3" t="s">
        <v>1330</v>
      </c>
      <c r="D364" s="14">
        <v>45946</v>
      </c>
      <c r="E364" s="5" t="s">
        <v>5595</v>
      </c>
      <c r="F364" s="5" t="s">
        <v>1336</v>
      </c>
      <c r="G364" s="6" t="s">
        <v>1009</v>
      </c>
      <c r="H364" s="6" t="s">
        <v>126</v>
      </c>
      <c r="I364" s="6"/>
      <c r="J364" s="8">
        <v>25803</v>
      </c>
      <c r="K364" s="7" t="s">
        <v>9442</v>
      </c>
      <c r="L364" s="8">
        <v>25803</v>
      </c>
      <c r="M364" s="8" t="str">
        <f t="shared" si="52"/>
        <v>PEN</v>
      </c>
      <c r="N364" s="13"/>
      <c r="O364" s="13">
        <v>30</v>
      </c>
      <c r="P364" s="3">
        <f t="shared" si="53"/>
        <v>0</v>
      </c>
      <c r="Q364" s="3">
        <f t="shared" si="54"/>
        <v>30</v>
      </c>
      <c r="R364" s="3">
        <f t="shared" si="46"/>
        <v>355.04999999999995</v>
      </c>
      <c r="S364" s="24" t="s">
        <v>1334</v>
      </c>
      <c r="T364" s="24"/>
      <c r="U364" s="3"/>
      <c r="V364" s="25"/>
      <c r="W364" s="25"/>
      <c r="X364" s="25" t="str">
        <f>IFERROR(VLOOKUP(C_Ope_003[[#This Row],[nota_2]],Clientes_Proveedores[[Ruc / Dni]:[Razon Social]],2,0),"")</f>
        <v/>
      </c>
      <c r="Y364" s="25" t="s">
        <v>8430</v>
      </c>
      <c r="Z364" s="25"/>
      <c r="AA364" s="3" t="str">
        <f>IF(C_Ope_003[[#This Row],[fecha]]&gt;0,TEXT(C_Ope_003[[#This Row],[fecha]],"mmmm"),0)</f>
        <v>Octubre</v>
      </c>
      <c r="AB364" s="49"/>
    </row>
    <row r="365" spans="1:28" ht="24" x14ac:dyDescent="0.3">
      <c r="A365" s="2">
        <f>IF(C_Ope_003[[#This Row],[tipo_r]]="R",COUNTIFS($C$1:$C364,"R")+1,"")</f>
        <v>364</v>
      </c>
      <c r="B365" s="19" t="str">
        <f t="shared" si="51"/>
        <v>C_Ope_003</v>
      </c>
      <c r="C365" s="3" t="s">
        <v>1330</v>
      </c>
      <c r="D365" s="14">
        <v>45947</v>
      </c>
      <c r="E365" s="5" t="s">
        <v>5595</v>
      </c>
      <c r="F365" s="5" t="s">
        <v>1336</v>
      </c>
      <c r="G365" s="6" t="s">
        <v>735</v>
      </c>
      <c r="H365" s="6" t="s">
        <v>68</v>
      </c>
      <c r="I365" s="6" t="s">
        <v>3078</v>
      </c>
      <c r="J365" s="6">
        <v>43885</v>
      </c>
      <c r="K365" s="7" t="s">
        <v>8640</v>
      </c>
      <c r="L365" s="8">
        <v>25820</v>
      </c>
      <c r="M365" s="8" t="str">
        <f t="shared" si="52"/>
        <v>PEN</v>
      </c>
      <c r="N365" s="13"/>
      <c r="O365" s="13">
        <v>55</v>
      </c>
      <c r="P365" s="3">
        <f t="shared" si="53"/>
        <v>0</v>
      </c>
      <c r="Q365" s="3">
        <f t="shared" si="54"/>
        <v>55</v>
      </c>
      <c r="R365" s="3">
        <f t="shared" si="46"/>
        <v>300.04999999999995</v>
      </c>
      <c r="S365" s="24" t="s">
        <v>1334</v>
      </c>
      <c r="T365" s="24"/>
      <c r="U365" s="3"/>
      <c r="V365" s="25" t="s">
        <v>8277</v>
      </c>
      <c r="W365" s="25">
        <v>20514148539</v>
      </c>
      <c r="X365" s="25" t="str">
        <f>IFERROR(VLOOKUP(C_Ope_003[[#This Row],[nota_2]],Clientes_Proveedores[[Ruc / Dni]:[Razon Social]],2,0),"")</f>
        <v>NEGOCIACIONES ABBYCORP E.I.R.L.</v>
      </c>
      <c r="Y365" s="25" t="s">
        <v>7938</v>
      </c>
      <c r="Z365" s="25"/>
      <c r="AA365" s="3" t="str">
        <f>IF(C_Ope_003[[#This Row],[fecha]]&gt;0,TEXT(C_Ope_003[[#This Row],[fecha]],"mmmm"),0)</f>
        <v>Octubre</v>
      </c>
      <c r="AB365" s="49"/>
    </row>
    <row r="366" spans="1:28" ht="24" x14ac:dyDescent="0.3">
      <c r="A366" s="2">
        <f>IF(C_Ope_003[[#This Row],[tipo_r]]="R",COUNTIFS($C$1:$C365,"R")+1,"")</f>
        <v>365</v>
      </c>
      <c r="B366" s="19" t="str">
        <f t="shared" si="51"/>
        <v>C_Ope_003</v>
      </c>
      <c r="C366" s="3" t="s">
        <v>1330</v>
      </c>
      <c r="D366" s="14">
        <v>45947</v>
      </c>
      <c r="E366" s="5" t="s">
        <v>5595</v>
      </c>
      <c r="F366" s="5" t="s">
        <v>1336</v>
      </c>
      <c r="G366" s="6" t="s">
        <v>1009</v>
      </c>
      <c r="H366" s="6" t="s">
        <v>126</v>
      </c>
      <c r="I366" s="6"/>
      <c r="J366" s="8">
        <v>25821</v>
      </c>
      <c r="K366" s="7" t="s">
        <v>9438</v>
      </c>
      <c r="L366" s="8">
        <v>25821</v>
      </c>
      <c r="M366" s="8" t="str">
        <f t="shared" si="52"/>
        <v>PEN</v>
      </c>
      <c r="N366" s="13"/>
      <c r="O366" s="13">
        <v>30</v>
      </c>
      <c r="P366" s="3">
        <f t="shared" si="53"/>
        <v>0</v>
      </c>
      <c r="Q366" s="3">
        <f t="shared" si="54"/>
        <v>30</v>
      </c>
      <c r="R366" s="3">
        <f t="shared" si="46"/>
        <v>270.04999999999995</v>
      </c>
      <c r="S366" s="24" t="s">
        <v>1334</v>
      </c>
      <c r="T366" s="24"/>
      <c r="U366" s="3"/>
      <c r="V366" s="25"/>
      <c r="W366" s="25"/>
      <c r="X366" s="25" t="str">
        <f>IFERROR(VLOOKUP(C_Ope_003[[#This Row],[nota_2]],Clientes_Proveedores[[Ruc / Dni]:[Razon Social]],2,0),"")</f>
        <v/>
      </c>
      <c r="Y366" s="25" t="s">
        <v>8430</v>
      </c>
      <c r="Z366" s="25"/>
      <c r="AA366" s="3" t="str">
        <f>IF(C_Ope_003[[#This Row],[fecha]]&gt;0,TEXT(C_Ope_003[[#This Row],[fecha]],"mmmm"),0)</f>
        <v>Octubre</v>
      </c>
      <c r="AB366" s="49"/>
    </row>
    <row r="367" spans="1:28" x14ac:dyDescent="0.3">
      <c r="A367" s="2">
        <f>IF(C_Ope_003[[#This Row],[tipo_r]]="R",COUNTIFS($C$1:$C366,"R")+1,"")</f>
        <v>366</v>
      </c>
      <c r="B367" s="19" t="str">
        <f t="shared" si="51"/>
        <v>C_Ope_003</v>
      </c>
      <c r="C367" s="3" t="s">
        <v>1330</v>
      </c>
      <c r="D367" s="14">
        <v>45948</v>
      </c>
      <c r="E367" s="5" t="s">
        <v>5595</v>
      </c>
      <c r="F367" s="5" t="s">
        <v>1336</v>
      </c>
      <c r="G367" s="6" t="s">
        <v>1009</v>
      </c>
      <c r="H367" s="6" t="s">
        <v>126</v>
      </c>
      <c r="I367" s="6"/>
      <c r="J367" s="8">
        <v>25829</v>
      </c>
      <c r="K367" s="7" t="s">
        <v>9431</v>
      </c>
      <c r="L367" s="8">
        <v>25829</v>
      </c>
      <c r="M367" s="8" t="str">
        <f t="shared" si="52"/>
        <v>PEN</v>
      </c>
      <c r="N367" s="13"/>
      <c r="O367" s="13">
        <v>15</v>
      </c>
      <c r="P367" s="3">
        <f t="shared" si="53"/>
        <v>0</v>
      </c>
      <c r="Q367" s="3">
        <f t="shared" si="54"/>
        <v>15</v>
      </c>
      <c r="R367" s="3">
        <f t="shared" si="46"/>
        <v>255.04999999999995</v>
      </c>
      <c r="S367" s="24" t="s">
        <v>1334</v>
      </c>
      <c r="T367" s="24"/>
      <c r="U367" s="3"/>
      <c r="V367" s="25"/>
      <c r="W367" s="25"/>
      <c r="X367" s="25" t="str">
        <f>IFERROR(VLOOKUP(C_Ope_003[[#This Row],[nota_2]],Clientes_Proveedores[[Ruc / Dni]:[Razon Social]],2,0),"")</f>
        <v/>
      </c>
      <c r="Y367" s="25" t="s">
        <v>8430</v>
      </c>
      <c r="Z367" s="25"/>
      <c r="AA367" s="3" t="str">
        <f>IF(C_Ope_003[[#This Row],[fecha]]&gt;0,TEXT(C_Ope_003[[#This Row],[fecha]],"mmmm"),0)</f>
        <v>Octubre</v>
      </c>
      <c r="AB367" s="49"/>
    </row>
    <row r="368" spans="1:28" x14ac:dyDescent="0.3">
      <c r="A368" s="2">
        <f>IF(C_Ope_003[[#This Row],[tipo_r]]="R",COUNTIFS($C$1:$C367,"R")+1,"")</f>
        <v>367</v>
      </c>
      <c r="B368" s="19" t="str">
        <f t="shared" si="51"/>
        <v>C_Ope_003</v>
      </c>
      <c r="C368" s="3" t="s">
        <v>1330</v>
      </c>
      <c r="D368" s="14">
        <v>45948</v>
      </c>
      <c r="E368" s="5" t="s">
        <v>5595</v>
      </c>
      <c r="F368" s="5" t="s">
        <v>1336</v>
      </c>
      <c r="G368" s="6" t="s">
        <v>1009</v>
      </c>
      <c r="H368" s="6" t="s">
        <v>126</v>
      </c>
      <c r="I368" s="6"/>
      <c r="J368" s="8">
        <v>25973</v>
      </c>
      <c r="K368" s="7" t="s">
        <v>9430</v>
      </c>
      <c r="L368" s="8">
        <v>25973</v>
      </c>
      <c r="M368" s="8" t="str">
        <f t="shared" si="52"/>
        <v>PEN</v>
      </c>
      <c r="N368" s="13"/>
      <c r="O368" s="13">
        <v>20</v>
      </c>
      <c r="P368" s="3">
        <f t="shared" si="53"/>
        <v>0</v>
      </c>
      <c r="Q368" s="3">
        <f t="shared" si="54"/>
        <v>20</v>
      </c>
      <c r="R368" s="3">
        <f t="shared" si="46"/>
        <v>235.04999999999995</v>
      </c>
      <c r="S368" s="24" t="s">
        <v>1334</v>
      </c>
      <c r="T368" s="24"/>
      <c r="U368" s="3"/>
      <c r="V368" s="25"/>
      <c r="W368" s="25"/>
      <c r="X368" s="25" t="str">
        <f>IFERROR(VLOOKUP(C_Ope_003[[#This Row],[nota_2]],Clientes_Proveedores[[Ruc / Dni]:[Razon Social]],2,0),"")</f>
        <v/>
      </c>
      <c r="Y368" s="25" t="s">
        <v>8430</v>
      </c>
      <c r="Z368" s="25"/>
      <c r="AA368" s="3" t="str">
        <f>IF(C_Ope_003[[#This Row],[fecha]]&gt;0,TEXT(C_Ope_003[[#This Row],[fecha]],"mmmm"),0)</f>
        <v>Octubre</v>
      </c>
      <c r="AB368" s="49"/>
    </row>
    <row r="369" spans="1:28" x14ac:dyDescent="0.3">
      <c r="A369" s="2">
        <f>IF(C_Ope_003[[#This Row],[tipo_r]]="R",COUNTIFS($C$1:$C368,"R")+1,"")</f>
        <v>368</v>
      </c>
      <c r="B369" s="19" t="str">
        <f t="shared" si="51"/>
        <v>C_Ope_003</v>
      </c>
      <c r="C369" s="3" t="s">
        <v>1330</v>
      </c>
      <c r="D369" s="14">
        <v>45949</v>
      </c>
      <c r="E369" s="5" t="s">
        <v>5595</v>
      </c>
      <c r="F369" s="5" t="s">
        <v>1336</v>
      </c>
      <c r="G369" s="6" t="s">
        <v>1009</v>
      </c>
      <c r="H369" s="6" t="s">
        <v>126</v>
      </c>
      <c r="I369" s="6"/>
      <c r="J369" s="8">
        <v>25830</v>
      </c>
      <c r="K369" s="7" t="s">
        <v>9431</v>
      </c>
      <c r="L369" s="8">
        <v>25830</v>
      </c>
      <c r="M369" s="8" t="str">
        <f t="shared" si="52"/>
        <v>PEN</v>
      </c>
      <c r="N369" s="13"/>
      <c r="O369" s="13">
        <v>15</v>
      </c>
      <c r="P369" s="3">
        <f t="shared" si="53"/>
        <v>0</v>
      </c>
      <c r="Q369" s="3">
        <f t="shared" si="54"/>
        <v>15</v>
      </c>
      <c r="R369" s="3">
        <f t="shared" si="46"/>
        <v>220.04999999999995</v>
      </c>
      <c r="S369" s="24" t="s">
        <v>1334</v>
      </c>
      <c r="T369" s="24"/>
      <c r="U369" s="3"/>
      <c r="V369" s="25"/>
      <c r="W369" s="25"/>
      <c r="X369" s="25" t="str">
        <f>IFERROR(VLOOKUP(C_Ope_003[[#This Row],[nota_2]],Clientes_Proveedores[[Ruc / Dni]:[Razon Social]],2,0),"")</f>
        <v/>
      </c>
      <c r="Y369" s="25" t="s">
        <v>8430</v>
      </c>
      <c r="Z369" s="25"/>
      <c r="AA369" s="3" t="str">
        <f>IF(C_Ope_003[[#This Row],[fecha]]&gt;0,TEXT(C_Ope_003[[#This Row],[fecha]],"mmmm"),0)</f>
        <v>Octubre</v>
      </c>
      <c r="AB369" s="49"/>
    </row>
    <row r="370" spans="1:28" x14ac:dyDescent="0.3">
      <c r="A370" s="2">
        <f>IF(C_Ope_003[[#This Row],[tipo_r]]="R",COUNTIFS($C$1:$C369,"R")+1,"")</f>
        <v>369</v>
      </c>
      <c r="B370" s="19" t="str">
        <f t="shared" si="51"/>
        <v>C_Ope_003</v>
      </c>
      <c r="C370" s="3" t="s">
        <v>1330</v>
      </c>
      <c r="D370" s="14">
        <v>45949</v>
      </c>
      <c r="E370" s="5" t="s">
        <v>5595</v>
      </c>
      <c r="F370" s="5" t="s">
        <v>1336</v>
      </c>
      <c r="G370" s="6" t="s">
        <v>1009</v>
      </c>
      <c r="H370" s="6" t="s">
        <v>126</v>
      </c>
      <c r="I370" s="6"/>
      <c r="J370" s="8">
        <v>25974</v>
      </c>
      <c r="K370" s="7" t="s">
        <v>9430</v>
      </c>
      <c r="L370" s="8">
        <v>25974</v>
      </c>
      <c r="M370" s="8" t="str">
        <f t="shared" si="52"/>
        <v>PEN</v>
      </c>
      <c r="N370" s="13"/>
      <c r="O370" s="13">
        <v>20</v>
      </c>
      <c r="P370" s="3">
        <f t="shared" si="53"/>
        <v>0</v>
      </c>
      <c r="Q370" s="3">
        <f t="shared" si="54"/>
        <v>20</v>
      </c>
      <c r="R370" s="3">
        <f t="shared" si="46"/>
        <v>200.04999999999995</v>
      </c>
      <c r="S370" s="24" t="s">
        <v>1334</v>
      </c>
      <c r="T370" s="24"/>
      <c r="U370" s="3"/>
      <c r="V370" s="25"/>
      <c r="W370" s="25"/>
      <c r="X370" s="25" t="str">
        <f>IFERROR(VLOOKUP(C_Ope_003[[#This Row],[nota_2]],Clientes_Proveedores[[Ruc / Dni]:[Razon Social]],2,0),"")</f>
        <v/>
      </c>
      <c r="Y370" s="25" t="s">
        <v>8430</v>
      </c>
      <c r="Z370" s="25"/>
      <c r="AA370" s="3" t="str">
        <f>IF(C_Ope_003[[#This Row],[fecha]]&gt;0,TEXT(C_Ope_003[[#This Row],[fecha]],"mmmm"),0)</f>
        <v>Octubre</v>
      </c>
      <c r="AB370" s="49"/>
    </row>
    <row r="371" spans="1:28" ht="24" x14ac:dyDescent="0.3">
      <c r="A371" s="2">
        <f>IF(C_Ope_003[[#This Row],[tipo_r]]="R",COUNTIFS($C$1:$C370,"R")+1,"")</f>
        <v>370</v>
      </c>
      <c r="B371" s="19" t="str">
        <f t="shared" si="51"/>
        <v>C_Ope_003</v>
      </c>
      <c r="C371" s="3" t="s">
        <v>1330</v>
      </c>
      <c r="D371" s="14">
        <v>45950</v>
      </c>
      <c r="E371" s="5" t="s">
        <v>5595</v>
      </c>
      <c r="F371" s="5" t="s">
        <v>1336</v>
      </c>
      <c r="G371" s="6" t="s">
        <v>1009</v>
      </c>
      <c r="H371" s="6" t="s">
        <v>126</v>
      </c>
      <c r="I371" s="6"/>
      <c r="J371" s="8">
        <v>25831</v>
      </c>
      <c r="K371" s="7" t="s">
        <v>9443</v>
      </c>
      <c r="L371" s="8">
        <v>25831</v>
      </c>
      <c r="M371" s="8" t="str">
        <f t="shared" si="52"/>
        <v>PEN</v>
      </c>
      <c r="N371" s="13"/>
      <c r="O371" s="13">
        <v>30</v>
      </c>
      <c r="P371" s="3">
        <f t="shared" si="53"/>
        <v>0</v>
      </c>
      <c r="Q371" s="3">
        <f t="shared" si="54"/>
        <v>30</v>
      </c>
      <c r="R371" s="3">
        <f t="shared" si="46"/>
        <v>170.04999999999995</v>
      </c>
      <c r="S371" s="24" t="s">
        <v>1334</v>
      </c>
      <c r="T371" s="24"/>
      <c r="U371" s="3"/>
      <c r="V371" s="25"/>
      <c r="W371" s="25"/>
      <c r="X371" s="25" t="str">
        <f>IFERROR(VLOOKUP(C_Ope_003[[#This Row],[nota_2]],Clientes_Proveedores[[Ruc / Dni]:[Razon Social]],2,0),"")</f>
        <v/>
      </c>
      <c r="Y371" s="25" t="s">
        <v>8430</v>
      </c>
      <c r="Z371" s="25"/>
      <c r="AA371" s="3" t="str">
        <f>IF(C_Ope_003[[#This Row],[fecha]]&gt;0,TEXT(C_Ope_003[[#This Row],[fecha]],"mmmm"),0)</f>
        <v>Octubre</v>
      </c>
      <c r="AB371" s="49"/>
    </row>
    <row r="372" spans="1:28" x14ac:dyDescent="0.3">
      <c r="A372" s="2">
        <f>IF(C_Ope_003[[#This Row],[tipo_r]]="R",COUNTIFS($C$1:$C371,"R")+1,"")</f>
        <v>371</v>
      </c>
      <c r="B372" s="19" t="str">
        <f t="shared" si="51"/>
        <v>C_Ope_003</v>
      </c>
      <c r="C372" s="3" t="s">
        <v>1330</v>
      </c>
      <c r="D372" s="14">
        <v>45951</v>
      </c>
      <c r="E372" s="5" t="s">
        <v>5595</v>
      </c>
      <c r="F372" s="5" t="s">
        <v>1336</v>
      </c>
      <c r="G372" s="6" t="s">
        <v>1009</v>
      </c>
      <c r="H372" s="6" t="s">
        <v>126</v>
      </c>
      <c r="I372" s="6"/>
      <c r="J372" s="8">
        <v>25851</v>
      </c>
      <c r="K372" s="7" t="s">
        <v>9444</v>
      </c>
      <c r="L372" s="8">
        <v>25851</v>
      </c>
      <c r="M372" s="8" t="str">
        <f t="shared" si="52"/>
        <v>PEN</v>
      </c>
      <c r="N372" s="13"/>
      <c r="O372" s="13">
        <v>35</v>
      </c>
      <c r="P372" s="3">
        <f t="shared" si="53"/>
        <v>0</v>
      </c>
      <c r="Q372" s="3">
        <f t="shared" si="54"/>
        <v>35</v>
      </c>
      <c r="R372" s="3">
        <f t="shared" si="46"/>
        <v>135.04999999999995</v>
      </c>
      <c r="S372" s="24" t="s">
        <v>1334</v>
      </c>
      <c r="T372" s="24"/>
      <c r="U372" s="3"/>
      <c r="V372" s="25"/>
      <c r="W372" s="25"/>
      <c r="X372" s="25" t="str">
        <f>IFERROR(VLOOKUP(C_Ope_003[[#This Row],[nota_2]],Clientes_Proveedores[[Ruc / Dni]:[Razon Social]],2,0),"")</f>
        <v/>
      </c>
      <c r="Y372" s="25" t="s">
        <v>8430</v>
      </c>
      <c r="Z372" s="25"/>
      <c r="AA372" s="3" t="str">
        <f>IF(C_Ope_003[[#This Row],[fecha]]&gt;0,TEXT(C_Ope_003[[#This Row],[fecha]],"mmmm"),0)</f>
        <v>Octubre</v>
      </c>
      <c r="AB372" s="49"/>
    </row>
    <row r="373" spans="1:28" ht="48" x14ac:dyDescent="0.3">
      <c r="A373" s="2">
        <f>IF(C_Ope_003[[#This Row],[tipo_r]]="R",COUNTIFS($C$1:$C372,"R")+1,"")</f>
        <v>372</v>
      </c>
      <c r="B373" s="19" t="str">
        <f t="shared" si="51"/>
        <v>C_Ope_003</v>
      </c>
      <c r="C373" s="3" t="s">
        <v>1330</v>
      </c>
      <c r="D373" s="14">
        <v>45951</v>
      </c>
      <c r="E373" s="5" t="s">
        <v>5595</v>
      </c>
      <c r="F373" s="5" t="s">
        <v>1336</v>
      </c>
      <c r="G373" s="6" t="s">
        <v>9467</v>
      </c>
      <c r="H373" s="6" t="s">
        <v>68</v>
      </c>
      <c r="I373" s="6" t="s">
        <v>9337</v>
      </c>
      <c r="J373" s="6">
        <v>3800</v>
      </c>
      <c r="K373" s="7" t="s">
        <v>9445</v>
      </c>
      <c r="L373" s="8">
        <v>25853</v>
      </c>
      <c r="M373" s="8" t="str">
        <f t="shared" si="52"/>
        <v>PEN</v>
      </c>
      <c r="N373" s="13"/>
      <c r="O373" s="13">
        <v>100</v>
      </c>
      <c r="P373" s="3">
        <f t="shared" si="53"/>
        <v>0</v>
      </c>
      <c r="Q373" s="3">
        <f t="shared" si="54"/>
        <v>100</v>
      </c>
      <c r="R373" s="3">
        <f t="shared" si="46"/>
        <v>35.049999999999955</v>
      </c>
      <c r="S373" s="24" t="s">
        <v>1334</v>
      </c>
      <c r="T373" s="24"/>
      <c r="U373" s="3"/>
      <c r="V373" s="25"/>
      <c r="W373" s="25">
        <v>20600352840</v>
      </c>
      <c r="X373" s="25" t="str">
        <f>IFERROR(VLOOKUP(C_Ope_003[[#This Row],[nota_2]],Clientes_Proveedores[[Ruc / Dni]:[Razon Social]],2,0),"")</f>
        <v>EMPRESA DE TRANSPORTES TERRESTRES ISSA S.A.C.</v>
      </c>
      <c r="Y373" s="25" t="s">
        <v>9462</v>
      </c>
      <c r="Z373" s="25"/>
      <c r="AA373" s="3" t="str">
        <f>IF(C_Ope_003[[#This Row],[fecha]]&gt;0,TEXT(C_Ope_003[[#This Row],[fecha]],"mmmm"),0)</f>
        <v>Octubre</v>
      </c>
      <c r="AB373" s="49"/>
    </row>
    <row r="374" spans="1:28" ht="48" x14ac:dyDescent="0.3">
      <c r="A374" s="2">
        <f>IF(C_Ope_003[[#This Row],[tipo_r]]="R",COUNTIFS($C$1:$C373,"R")+1,"")</f>
        <v>373</v>
      </c>
      <c r="B374" s="19" t="str">
        <f t="shared" si="51"/>
        <v>C_Ope_003</v>
      </c>
      <c r="C374" s="3" t="s">
        <v>1330</v>
      </c>
      <c r="D374" s="14">
        <v>45951</v>
      </c>
      <c r="E374" s="5" t="s">
        <v>5595</v>
      </c>
      <c r="F374" s="5" t="s">
        <v>1336</v>
      </c>
      <c r="G374" s="6" t="s">
        <v>9467</v>
      </c>
      <c r="H374" s="6" t="s">
        <v>68</v>
      </c>
      <c r="I374" s="6" t="s">
        <v>9457</v>
      </c>
      <c r="J374" s="6">
        <v>107</v>
      </c>
      <c r="K374" s="7" t="s">
        <v>9446</v>
      </c>
      <c r="L374" s="8">
        <v>25863</v>
      </c>
      <c r="M374" s="8" t="str">
        <f t="shared" si="52"/>
        <v>PEN</v>
      </c>
      <c r="N374" s="13"/>
      <c r="O374" s="13">
        <v>50</v>
      </c>
      <c r="P374" s="3">
        <f t="shared" si="53"/>
        <v>0</v>
      </c>
      <c r="Q374" s="3">
        <f t="shared" si="54"/>
        <v>50</v>
      </c>
      <c r="R374" s="3">
        <f t="shared" si="46"/>
        <v>-14.950000000000045</v>
      </c>
      <c r="S374" s="24" t="s">
        <v>1334</v>
      </c>
      <c r="T374" s="24"/>
      <c r="U374" s="3"/>
      <c r="V374" s="25"/>
      <c r="W374" s="25">
        <v>20600352840</v>
      </c>
      <c r="X374" s="25" t="str">
        <f>IFERROR(VLOOKUP(C_Ope_003[[#This Row],[nota_2]],Clientes_Proveedores[[Ruc / Dni]:[Razon Social]],2,0),"")</f>
        <v>EMPRESA DE TRANSPORTES TERRESTRES ISSA S.A.C.</v>
      </c>
      <c r="Y374" s="25" t="s">
        <v>9462</v>
      </c>
      <c r="Z374" s="25"/>
      <c r="AA374" s="3" t="str">
        <f>IF(C_Ope_003[[#This Row],[fecha]]&gt;0,TEXT(C_Ope_003[[#This Row],[fecha]],"mmmm"),0)</f>
        <v>Octubre</v>
      </c>
      <c r="AB374" s="49"/>
    </row>
    <row r="375" spans="1:28" x14ac:dyDescent="0.3">
      <c r="A375" s="2">
        <f>IF(C_Ope_003[[#This Row],[tipo_r]]="R",COUNTIFS($C$1:$C374,"R")+1,"")</f>
        <v>374</v>
      </c>
      <c r="B375" s="19" t="str">
        <f>"C_Ope_003"</f>
        <v>C_Ope_003</v>
      </c>
      <c r="C375" s="3" t="s">
        <v>1330</v>
      </c>
      <c r="D375" s="14">
        <v>45952</v>
      </c>
      <c r="E375" s="5" t="s">
        <v>3634</v>
      </c>
      <c r="F375" s="5" t="s">
        <v>1303</v>
      </c>
      <c r="G375" s="6"/>
      <c r="H375" s="6"/>
      <c r="I375" s="6"/>
      <c r="J375" s="8"/>
      <c r="K375" s="7" t="s">
        <v>7516</v>
      </c>
      <c r="L375" s="8">
        <v>25860</v>
      </c>
      <c r="M375" s="8" t="str">
        <f>"PEN"</f>
        <v>PEN</v>
      </c>
      <c r="N375" s="13"/>
      <c r="O375" s="13">
        <v>120</v>
      </c>
      <c r="P375" s="3">
        <f>+IF(OR($F375="SALDO",$F375="INGRESO"),$O375,0)</f>
        <v>120</v>
      </c>
      <c r="Q375" s="3">
        <f>+IF($F375="EGRESO",$O375,0)</f>
        <v>0</v>
      </c>
      <c r="R375" s="3">
        <f t="shared" si="46"/>
        <v>105.04999999999995</v>
      </c>
      <c r="S375" s="24"/>
      <c r="T375" s="24"/>
      <c r="U375" s="3"/>
      <c r="V375" s="25"/>
      <c r="W375" s="25"/>
      <c r="X375" s="25" t="str">
        <f>IFERROR(VLOOKUP(C_Ope_003[[#This Row],[nota_2]],Clientes_Proveedores[[Ruc / Dni]:[Razon Social]],2,0),"")</f>
        <v/>
      </c>
      <c r="Y375" s="25"/>
      <c r="Z375" s="25"/>
      <c r="AA375" s="3" t="str">
        <f>IF(C_Ope_003[[#This Row],[fecha]]&gt;0,TEXT(C_Ope_003[[#This Row],[fecha]],"mmmm"),0)</f>
        <v>Octubre</v>
      </c>
      <c r="AB375" s="49"/>
    </row>
    <row r="376" spans="1:28" x14ac:dyDescent="0.3">
      <c r="A376" s="2">
        <f>IF(C_Ope_003[[#This Row],[tipo_r]]="R",COUNTIFS($C$1:$C375,"R")+1,"")</f>
        <v>375</v>
      </c>
      <c r="B376" s="19" t="str">
        <f t="shared" si="51"/>
        <v>C_Ope_003</v>
      </c>
      <c r="C376" s="3" t="s">
        <v>1330</v>
      </c>
      <c r="D376" s="14">
        <v>45952</v>
      </c>
      <c r="E376" s="5" t="s">
        <v>5595</v>
      </c>
      <c r="F376" s="5" t="s">
        <v>1336</v>
      </c>
      <c r="G376" s="6" t="s">
        <v>1009</v>
      </c>
      <c r="H376" s="6" t="s">
        <v>126</v>
      </c>
      <c r="I376" s="6"/>
      <c r="J376" s="8">
        <v>25861</v>
      </c>
      <c r="K376" s="7" t="s">
        <v>9447</v>
      </c>
      <c r="L376" s="8">
        <v>25861</v>
      </c>
      <c r="M376" s="8" t="str">
        <f t="shared" si="52"/>
        <v>PEN</v>
      </c>
      <c r="N376" s="13"/>
      <c r="O376" s="13">
        <v>12</v>
      </c>
      <c r="P376" s="3">
        <f t="shared" si="53"/>
        <v>0</v>
      </c>
      <c r="Q376" s="3">
        <f t="shared" si="54"/>
        <v>12</v>
      </c>
      <c r="R376" s="3">
        <f t="shared" si="46"/>
        <v>93.049999999999955</v>
      </c>
      <c r="S376" s="24" t="s">
        <v>1334</v>
      </c>
      <c r="T376" s="24"/>
      <c r="U376" s="3"/>
      <c r="V376" s="25"/>
      <c r="W376" s="25"/>
      <c r="X376" s="25" t="str">
        <f>IFERROR(VLOOKUP(C_Ope_003[[#This Row],[nota_2]],Clientes_Proveedores[[Ruc / Dni]:[Razon Social]],2,0),"")</f>
        <v/>
      </c>
      <c r="Y376" s="25" t="s">
        <v>8430</v>
      </c>
      <c r="Z376" s="25"/>
      <c r="AA376" s="3" t="str">
        <f>IF(C_Ope_003[[#This Row],[fecha]]&gt;0,TEXT(C_Ope_003[[#This Row],[fecha]],"mmmm"),0)</f>
        <v>Octubre</v>
      </c>
      <c r="AB376" s="49"/>
    </row>
    <row r="377" spans="1:28" x14ac:dyDescent="0.3">
      <c r="A377" s="2">
        <f>IF(C_Ope_003[[#This Row],[tipo_r]]="R",COUNTIFS($C$1:$C376,"R")+1,"")</f>
        <v>376</v>
      </c>
      <c r="B377" s="19" t="str">
        <f t="shared" si="51"/>
        <v>C_Ope_003</v>
      </c>
      <c r="C377" s="3" t="s">
        <v>1330</v>
      </c>
      <c r="D377" s="14">
        <v>45952</v>
      </c>
      <c r="E377" s="5" t="s">
        <v>5595</v>
      </c>
      <c r="F377" s="5" t="s">
        <v>1336</v>
      </c>
      <c r="G377" s="6" t="s">
        <v>1009</v>
      </c>
      <c r="H377" s="6" t="s">
        <v>126</v>
      </c>
      <c r="I377" s="6"/>
      <c r="J377" s="8">
        <v>25862</v>
      </c>
      <c r="K377" s="7" t="s">
        <v>9448</v>
      </c>
      <c r="L377" s="8">
        <v>25862</v>
      </c>
      <c r="M377" s="8" t="str">
        <f t="shared" si="52"/>
        <v>PEN</v>
      </c>
      <c r="N377" s="13"/>
      <c r="O377" s="13">
        <v>15</v>
      </c>
      <c r="P377" s="3">
        <f t="shared" si="53"/>
        <v>0</v>
      </c>
      <c r="Q377" s="3">
        <f t="shared" si="54"/>
        <v>15</v>
      </c>
      <c r="R377" s="3">
        <f t="shared" si="46"/>
        <v>78.049999999999955</v>
      </c>
      <c r="S377" s="24" t="s">
        <v>1334</v>
      </c>
      <c r="T377" s="24"/>
      <c r="U377" s="3"/>
      <c r="V377" s="25"/>
      <c r="W377" s="25"/>
      <c r="X377" s="25" t="str">
        <f>IFERROR(VLOOKUP(C_Ope_003[[#This Row],[nota_2]],Clientes_Proveedores[[Ruc / Dni]:[Razon Social]],2,0),"")</f>
        <v/>
      </c>
      <c r="Y377" s="25" t="s">
        <v>8430</v>
      </c>
      <c r="Z377" s="25"/>
      <c r="AA377" s="3" t="str">
        <f>IF(C_Ope_003[[#This Row],[fecha]]&gt;0,TEXT(C_Ope_003[[#This Row],[fecha]],"mmmm"),0)</f>
        <v>Octubre</v>
      </c>
      <c r="AB377" s="49"/>
    </row>
    <row r="378" spans="1:28" x14ac:dyDescent="0.3">
      <c r="A378" s="2">
        <f>IF(C_Ope_003[[#This Row],[tipo_r]]="R",COUNTIFS($C$1:$C377,"R")+1,"")</f>
        <v>377</v>
      </c>
      <c r="B378" s="19" t="str">
        <f t="shared" si="51"/>
        <v>C_Ope_003</v>
      </c>
      <c r="C378" s="3" t="s">
        <v>1330</v>
      </c>
      <c r="D378" s="14">
        <v>45953</v>
      </c>
      <c r="E378" s="5" t="s">
        <v>5595</v>
      </c>
      <c r="F378" s="5" t="s">
        <v>1336</v>
      </c>
      <c r="G378" s="6" t="s">
        <v>978</v>
      </c>
      <c r="H378" s="6" t="s">
        <v>68</v>
      </c>
      <c r="I378" s="6" t="s">
        <v>9458</v>
      </c>
      <c r="J378" s="6">
        <v>1153449</v>
      </c>
      <c r="K378" s="7" t="s">
        <v>9449</v>
      </c>
      <c r="L378" s="8">
        <v>25872</v>
      </c>
      <c r="M378" s="8" t="str">
        <f t="shared" si="52"/>
        <v>PEN</v>
      </c>
      <c r="N378" s="13"/>
      <c r="O378" s="13">
        <v>8</v>
      </c>
      <c r="P378" s="3">
        <f t="shared" si="53"/>
        <v>0</v>
      </c>
      <c r="Q378" s="3">
        <f t="shared" si="54"/>
        <v>8</v>
      </c>
      <c r="R378" s="3">
        <f t="shared" si="46"/>
        <v>70.049999999999955</v>
      </c>
      <c r="S378" s="24" t="s">
        <v>1334</v>
      </c>
      <c r="T378" s="24"/>
      <c r="U378" s="3"/>
      <c r="V378" s="25" t="s">
        <v>7842</v>
      </c>
      <c r="W378" s="25">
        <v>20517252558</v>
      </c>
      <c r="X378" s="25" t="str">
        <f>IFERROR(VLOOKUP(C_Ope_003[[#This Row],[nota_2]],Clientes_Proveedores[[Ruc / Dni]:[Razon Social]],2,0),"")</f>
        <v>COVISUR S.A.</v>
      </c>
      <c r="Y378" s="25" t="s">
        <v>7888</v>
      </c>
      <c r="Z378" s="25"/>
      <c r="AA378" s="3" t="str">
        <f>IF(C_Ope_003[[#This Row],[fecha]]&gt;0,TEXT(C_Ope_003[[#This Row],[fecha]],"mmmm"),0)</f>
        <v>Octubre</v>
      </c>
      <c r="AB378" s="49"/>
    </row>
    <row r="379" spans="1:28" x14ac:dyDescent="0.3">
      <c r="A379" s="2">
        <f>IF(C_Ope_003[[#This Row],[tipo_r]]="R",COUNTIFS($C$1:$C378,"R")+1,"")</f>
        <v>378</v>
      </c>
      <c r="B379" s="19" t="str">
        <f t="shared" si="51"/>
        <v>C_Ope_003</v>
      </c>
      <c r="C379" s="3" t="s">
        <v>1330</v>
      </c>
      <c r="D379" s="14">
        <v>45953</v>
      </c>
      <c r="E379" s="5" t="s">
        <v>5595</v>
      </c>
      <c r="F379" s="5" t="s">
        <v>1336</v>
      </c>
      <c r="G379" s="6" t="s">
        <v>978</v>
      </c>
      <c r="H379" s="6" t="s">
        <v>68</v>
      </c>
      <c r="I379" s="6" t="s">
        <v>9459</v>
      </c>
      <c r="J379" s="6">
        <v>516350</v>
      </c>
      <c r="K379" s="7" t="s">
        <v>9449</v>
      </c>
      <c r="L379" s="8">
        <v>25873</v>
      </c>
      <c r="M379" s="8" t="str">
        <f t="shared" si="52"/>
        <v>PEN</v>
      </c>
      <c r="N379" s="13"/>
      <c r="O379" s="13">
        <v>8</v>
      </c>
      <c r="P379" s="3">
        <f t="shared" si="53"/>
        <v>0</v>
      </c>
      <c r="Q379" s="3">
        <f t="shared" si="54"/>
        <v>8</v>
      </c>
      <c r="R379" s="3">
        <f t="shared" si="46"/>
        <v>62.049999999999955</v>
      </c>
      <c r="S379" s="24" t="s">
        <v>1334</v>
      </c>
      <c r="T379" s="24"/>
      <c r="U379" s="3"/>
      <c r="V379" s="25" t="s">
        <v>7842</v>
      </c>
      <c r="W379" s="25">
        <v>20517252558</v>
      </c>
      <c r="X379" s="25" t="str">
        <f>IFERROR(VLOOKUP(C_Ope_003[[#This Row],[nota_2]],Clientes_Proveedores[[Ruc / Dni]:[Razon Social]],2,0),"")</f>
        <v>COVISUR S.A.</v>
      </c>
      <c r="Y379" s="25" t="s">
        <v>7888</v>
      </c>
      <c r="Z379" s="25"/>
      <c r="AA379" s="3" t="str">
        <f>IF(C_Ope_003[[#This Row],[fecha]]&gt;0,TEXT(C_Ope_003[[#This Row],[fecha]],"mmmm"),0)</f>
        <v>Octubre</v>
      </c>
      <c r="AB379" s="49"/>
    </row>
    <row r="380" spans="1:28" ht="36" x14ac:dyDescent="0.3">
      <c r="A380" s="2">
        <f>IF(C_Ope_003[[#This Row],[tipo_r]]="R",COUNTIFS($C$1:$C379,"R")+1,"")</f>
        <v>379</v>
      </c>
      <c r="B380" s="19" t="str">
        <f t="shared" si="51"/>
        <v>C_Ope_003</v>
      </c>
      <c r="C380" s="3" t="s">
        <v>1330</v>
      </c>
      <c r="D380" s="14">
        <v>45953</v>
      </c>
      <c r="E380" s="5" t="s">
        <v>5595</v>
      </c>
      <c r="F380" s="5" t="s">
        <v>1336</v>
      </c>
      <c r="G380" s="6" t="s">
        <v>1029</v>
      </c>
      <c r="H380" s="6" t="s">
        <v>68</v>
      </c>
      <c r="I380" s="6" t="s">
        <v>9460</v>
      </c>
      <c r="J380" s="6">
        <v>18659</v>
      </c>
      <c r="K380" s="7" t="s">
        <v>9450</v>
      </c>
      <c r="L380" s="8">
        <v>25874</v>
      </c>
      <c r="M380" s="8" t="str">
        <f t="shared" si="52"/>
        <v>PEN</v>
      </c>
      <c r="N380" s="13"/>
      <c r="O380" s="13">
        <v>22</v>
      </c>
      <c r="P380" s="3">
        <f t="shared" si="53"/>
        <v>0</v>
      </c>
      <c r="Q380" s="3">
        <f t="shared" si="54"/>
        <v>22</v>
      </c>
      <c r="R380" s="3">
        <f t="shared" si="46"/>
        <v>40.049999999999955</v>
      </c>
      <c r="S380" s="24" t="s">
        <v>1334</v>
      </c>
      <c r="T380" s="24"/>
      <c r="U380" s="3"/>
      <c r="V380" s="25" t="s">
        <v>7842</v>
      </c>
      <c r="W380" s="25">
        <v>20454058187</v>
      </c>
      <c r="X380" s="25" t="str">
        <f>IFERROR(VLOOKUP(C_Ope_003[[#This Row],[nota_2]],Clientes_Proveedores[[Ruc / Dni]:[Razon Social]],2,0),"")</f>
        <v>ZONA ESPECIAL DE DESARROLLO ZED MATARANI</v>
      </c>
      <c r="Y380" s="25" t="s">
        <v>5933</v>
      </c>
      <c r="Z380" s="25"/>
      <c r="AA380" s="3" t="str">
        <f>IF(C_Ope_003[[#This Row],[fecha]]&gt;0,TEXT(C_Ope_003[[#This Row],[fecha]],"mmmm"),0)</f>
        <v>Octubre</v>
      </c>
      <c r="AB380" s="49"/>
    </row>
    <row r="381" spans="1:28" ht="36" x14ac:dyDescent="0.3">
      <c r="A381" s="2">
        <f>IF(C_Ope_003[[#This Row],[tipo_r]]="R",COUNTIFS($C$1:$C380,"R")+1,"")</f>
        <v>380</v>
      </c>
      <c r="B381" s="19" t="str">
        <f t="shared" si="51"/>
        <v>C_Ope_003</v>
      </c>
      <c r="C381" s="3" t="s">
        <v>1330</v>
      </c>
      <c r="D381" s="14">
        <v>45953</v>
      </c>
      <c r="E381" s="5" t="s">
        <v>5595</v>
      </c>
      <c r="F381" s="5" t="s">
        <v>1336</v>
      </c>
      <c r="G381" s="6" t="s">
        <v>682</v>
      </c>
      <c r="H381" s="6" t="s">
        <v>68</v>
      </c>
      <c r="I381" s="6" t="s">
        <v>9461</v>
      </c>
      <c r="J381" s="6">
        <v>18182</v>
      </c>
      <c r="K381" s="7" t="s">
        <v>9451</v>
      </c>
      <c r="L381" s="8">
        <v>25876</v>
      </c>
      <c r="M381" s="8" t="str">
        <f t="shared" si="52"/>
        <v>PEN</v>
      </c>
      <c r="N381" s="13"/>
      <c r="O381" s="13">
        <v>20</v>
      </c>
      <c r="P381" s="3">
        <f t="shared" si="53"/>
        <v>0</v>
      </c>
      <c r="Q381" s="3">
        <f t="shared" si="54"/>
        <v>20</v>
      </c>
      <c r="R381" s="3">
        <f t="shared" si="46"/>
        <v>20.049999999999955</v>
      </c>
      <c r="S381" s="24" t="s">
        <v>1334</v>
      </c>
      <c r="T381" s="24"/>
      <c r="U381" s="3"/>
      <c r="V381" s="25" t="s">
        <v>7842</v>
      </c>
      <c r="W381" s="25">
        <v>20259858934</v>
      </c>
      <c r="X381" s="25" t="str">
        <f>IFERROR(VLOOKUP(C_Ope_003[[#This Row],[nota_2]],Clientes_Proveedores[[Ruc / Dni]:[Razon Social]],2,0),"")</f>
        <v>COMERCIALIZACION Y SERVICIOS EL EDEN S.A.C.</v>
      </c>
      <c r="Y381" s="25" t="s">
        <v>5933</v>
      </c>
      <c r="Z381" s="25"/>
      <c r="AA381" s="3" t="str">
        <f>IF(C_Ope_003[[#This Row],[fecha]]&gt;0,TEXT(C_Ope_003[[#This Row],[fecha]],"mmmm"),0)</f>
        <v>Octubre</v>
      </c>
      <c r="AB381" s="49"/>
    </row>
    <row r="382" spans="1:28" ht="36" x14ac:dyDescent="0.3">
      <c r="A382" s="2">
        <f>IF(C_Ope_003[[#This Row],[tipo_r]]="R",COUNTIFS($C$1:$C381,"R")+1,"")</f>
        <v>381</v>
      </c>
      <c r="B382" s="19" t="str">
        <f t="shared" si="51"/>
        <v>C_Ope_003</v>
      </c>
      <c r="C382" s="3" t="s">
        <v>1330</v>
      </c>
      <c r="D382" s="14">
        <v>45953</v>
      </c>
      <c r="E382" s="5" t="s">
        <v>5595</v>
      </c>
      <c r="F382" s="5" t="s">
        <v>1336</v>
      </c>
      <c r="G382" s="6" t="s">
        <v>682</v>
      </c>
      <c r="H382" s="6" t="s">
        <v>68</v>
      </c>
      <c r="I382" s="6" t="s">
        <v>9461</v>
      </c>
      <c r="J382" s="6">
        <v>18187</v>
      </c>
      <c r="K382" s="7" t="s">
        <v>9452</v>
      </c>
      <c r="L382" s="8">
        <v>25877</v>
      </c>
      <c r="M382" s="8" t="str">
        <f t="shared" si="52"/>
        <v>PEN</v>
      </c>
      <c r="N382" s="13"/>
      <c r="O382" s="13">
        <v>20</v>
      </c>
      <c r="P382" s="3">
        <f t="shared" si="53"/>
        <v>0</v>
      </c>
      <c r="Q382" s="3">
        <f t="shared" si="54"/>
        <v>20</v>
      </c>
      <c r="R382" s="3">
        <f t="shared" si="46"/>
        <v>4.9999999999954525E-2</v>
      </c>
      <c r="S382" s="24" t="s">
        <v>1334</v>
      </c>
      <c r="T382" s="24"/>
      <c r="U382" s="3"/>
      <c r="V382" s="25" t="s">
        <v>7842</v>
      </c>
      <c r="W382" s="25">
        <v>20259858934</v>
      </c>
      <c r="X382" s="25" t="str">
        <f>IFERROR(VLOOKUP(C_Ope_003[[#This Row],[nota_2]],Clientes_Proveedores[[Ruc / Dni]:[Razon Social]],2,0),"")</f>
        <v>COMERCIALIZACION Y SERVICIOS EL EDEN S.A.C.</v>
      </c>
      <c r="Y382" s="25" t="s">
        <v>5933</v>
      </c>
      <c r="Z382" s="25"/>
      <c r="AA382" s="3" t="str">
        <f>IF(C_Ope_003[[#This Row],[fecha]]&gt;0,TEXT(C_Ope_003[[#This Row],[fecha]],"mmmm"),0)</f>
        <v>Octubre</v>
      </c>
      <c r="AB382" s="49"/>
    </row>
    <row r="383" spans="1:28" x14ac:dyDescent="0.3">
      <c r="A383" s="2">
        <f>IF(C_Ope_003[[#This Row],[tipo_r]]="R",COUNTIFS($C$1:$C382,"R")+1,"")</f>
        <v>382</v>
      </c>
      <c r="B383" s="19" t="str">
        <f>"C_Ope_003"</f>
        <v>C_Ope_003</v>
      </c>
      <c r="C383" s="3" t="s">
        <v>1330</v>
      </c>
      <c r="D383" s="14">
        <v>45954</v>
      </c>
      <c r="E383" s="5" t="s">
        <v>3634</v>
      </c>
      <c r="F383" s="5" t="s">
        <v>1303</v>
      </c>
      <c r="G383" s="6"/>
      <c r="H383" s="6"/>
      <c r="I383" s="6"/>
      <c r="J383" s="8"/>
      <c r="K383" s="7" t="s">
        <v>7516</v>
      </c>
      <c r="L383" s="8">
        <v>25885</v>
      </c>
      <c r="M383" s="8" t="str">
        <f>"PEN"</f>
        <v>PEN</v>
      </c>
      <c r="N383" s="13"/>
      <c r="O383" s="13">
        <v>150</v>
      </c>
      <c r="P383" s="3">
        <f>+IF(OR($F383="SALDO",$F383="INGRESO"),$O383,0)</f>
        <v>150</v>
      </c>
      <c r="Q383" s="3">
        <f>+IF($F383="EGRESO",$O383,0)</f>
        <v>0</v>
      </c>
      <c r="R383" s="3">
        <f t="shared" si="46"/>
        <v>150.04999999999995</v>
      </c>
      <c r="S383" s="24"/>
      <c r="T383" s="24"/>
      <c r="U383" s="3"/>
      <c r="V383" s="25"/>
      <c r="W383" s="25"/>
      <c r="X383" s="25" t="str">
        <f>IFERROR(VLOOKUP(C_Ope_003[[#This Row],[nota_2]],Clientes_Proveedores[[Ruc / Dni]:[Razon Social]],2,0),"")</f>
        <v/>
      </c>
      <c r="Y383" s="25"/>
      <c r="Z383" s="25"/>
      <c r="AA383" s="3" t="str">
        <f>IF(C_Ope_003[[#This Row],[fecha]]&gt;0,TEXT(C_Ope_003[[#This Row],[fecha]],"mmmm"),0)</f>
        <v>Octubre</v>
      </c>
      <c r="AB383" s="49"/>
    </row>
    <row r="384" spans="1:28" ht="24" x14ac:dyDescent="0.3">
      <c r="A384" s="2">
        <f>IF(C_Ope_003[[#This Row],[tipo_r]]="R",COUNTIFS($C$1:$C383,"R")+1,"")</f>
        <v>383</v>
      </c>
      <c r="B384" s="19" t="str">
        <f t="shared" si="51"/>
        <v>C_Ope_003</v>
      </c>
      <c r="C384" s="3" t="s">
        <v>1330</v>
      </c>
      <c r="D384" s="14">
        <v>45954</v>
      </c>
      <c r="E384" s="5" t="s">
        <v>5595</v>
      </c>
      <c r="F384" s="5" t="s">
        <v>1336</v>
      </c>
      <c r="G384" s="6" t="s">
        <v>1098</v>
      </c>
      <c r="H384" s="6" t="s">
        <v>68</v>
      </c>
      <c r="I384" s="6">
        <v>1</v>
      </c>
      <c r="J384" s="6">
        <v>2748</v>
      </c>
      <c r="K384" s="7" t="s">
        <v>8640</v>
      </c>
      <c r="L384" s="8">
        <v>25904</v>
      </c>
      <c r="M384" s="8" t="str">
        <f t="shared" si="52"/>
        <v>PEN</v>
      </c>
      <c r="N384" s="13"/>
      <c r="O384" s="13">
        <v>30</v>
      </c>
      <c r="P384" s="3">
        <f t="shared" si="53"/>
        <v>0</v>
      </c>
      <c r="Q384" s="3">
        <f t="shared" si="54"/>
        <v>30</v>
      </c>
      <c r="R384" s="3">
        <f t="shared" si="46"/>
        <v>120.04999999999995</v>
      </c>
      <c r="S384" s="24" t="s">
        <v>1334</v>
      </c>
      <c r="T384" s="24"/>
      <c r="U384" s="3"/>
      <c r="V384" s="25" t="s">
        <v>7842</v>
      </c>
      <c r="W384" s="25">
        <v>10460411195</v>
      </c>
      <c r="X384" s="25" t="str">
        <f>IFERROR(VLOOKUP(C_Ope_003[[#This Row],[nota_2]],Clientes_Proveedores[[Ruc / Dni]:[Razon Social]],2,0),"")</f>
        <v>ROMERO CAMA ROXANA</v>
      </c>
      <c r="Y384" s="25" t="s">
        <v>7938</v>
      </c>
      <c r="Z384" s="25"/>
      <c r="AA384" s="3" t="str">
        <f>IF(C_Ope_003[[#This Row],[fecha]]&gt;0,TEXT(C_Ope_003[[#This Row],[fecha]],"mmmm"),0)</f>
        <v>Octubre</v>
      </c>
      <c r="AB384" s="49"/>
    </row>
    <row r="385" spans="1:28" x14ac:dyDescent="0.3">
      <c r="A385" s="2">
        <f>IF(C_Ope_003[[#This Row],[tipo_r]]="R",COUNTIFS($C$1:$C384,"R")+1,"")</f>
        <v>384</v>
      </c>
      <c r="B385" s="19" t="str">
        <f t="shared" si="51"/>
        <v>C_Ope_003</v>
      </c>
      <c r="C385" s="3" t="s">
        <v>1330</v>
      </c>
      <c r="D385" s="14">
        <v>45958</v>
      </c>
      <c r="E385" s="5" t="s">
        <v>5595</v>
      </c>
      <c r="F385" s="5" t="s">
        <v>1336</v>
      </c>
      <c r="G385" s="6" t="s">
        <v>978</v>
      </c>
      <c r="H385" s="6" t="s">
        <v>68</v>
      </c>
      <c r="I385" s="6" t="s">
        <v>6379</v>
      </c>
      <c r="J385" s="6">
        <v>517701</v>
      </c>
      <c r="K385" s="7" t="s">
        <v>9453</v>
      </c>
      <c r="L385" s="8">
        <v>25929</v>
      </c>
      <c r="M385" s="8" t="str">
        <f t="shared" si="52"/>
        <v>PEN</v>
      </c>
      <c r="N385" s="13"/>
      <c r="O385" s="13">
        <v>8</v>
      </c>
      <c r="P385" s="3">
        <f t="shared" si="53"/>
        <v>0</v>
      </c>
      <c r="Q385" s="3">
        <f t="shared" si="54"/>
        <v>8</v>
      </c>
      <c r="R385" s="3">
        <f t="shared" si="46"/>
        <v>112.04999999999995</v>
      </c>
      <c r="S385" s="24" t="s">
        <v>1334</v>
      </c>
      <c r="T385" s="24"/>
      <c r="U385" s="3"/>
      <c r="V385" s="25" t="s">
        <v>7842</v>
      </c>
      <c r="W385" s="25">
        <v>20517252558</v>
      </c>
      <c r="X385" s="25" t="str">
        <f>IFERROR(VLOOKUP(C_Ope_003[[#This Row],[nota_2]],Clientes_Proveedores[[Ruc / Dni]:[Razon Social]],2,0),"")</f>
        <v>COVISUR S.A.</v>
      </c>
      <c r="Y385" s="25" t="s">
        <v>7888</v>
      </c>
      <c r="Z385" s="25"/>
      <c r="AA385" s="3" t="str">
        <f>IF(C_Ope_003[[#This Row],[fecha]]&gt;0,TEXT(C_Ope_003[[#This Row],[fecha]],"mmmm"),0)</f>
        <v>Octubre</v>
      </c>
      <c r="AB385" s="49"/>
    </row>
    <row r="386" spans="1:28" x14ac:dyDescent="0.3">
      <c r="A386" s="2">
        <f>IF(C_Ope_003[[#This Row],[tipo_r]]="R",COUNTIFS($C$1:$C385,"R")+1,"")</f>
        <v>385</v>
      </c>
      <c r="B386" s="19" t="str">
        <f t="shared" si="51"/>
        <v>C_Ope_003</v>
      </c>
      <c r="C386" s="3" t="s">
        <v>1330</v>
      </c>
      <c r="D386" s="14">
        <v>45958</v>
      </c>
      <c r="E386" s="5" t="s">
        <v>5595</v>
      </c>
      <c r="F386" s="5" t="s">
        <v>1336</v>
      </c>
      <c r="G386" s="6" t="s">
        <v>978</v>
      </c>
      <c r="H386" s="6" t="s">
        <v>68</v>
      </c>
      <c r="I386" s="6" t="s">
        <v>6380</v>
      </c>
      <c r="J386" s="6">
        <v>414923</v>
      </c>
      <c r="K386" s="7" t="s">
        <v>9453</v>
      </c>
      <c r="L386" s="8">
        <v>25930</v>
      </c>
      <c r="M386" s="8" t="str">
        <f t="shared" si="52"/>
        <v>PEN</v>
      </c>
      <c r="N386" s="13"/>
      <c r="O386" s="13">
        <v>8</v>
      </c>
      <c r="P386" s="3">
        <f t="shared" si="53"/>
        <v>0</v>
      </c>
      <c r="Q386" s="3">
        <f t="shared" si="54"/>
        <v>8</v>
      </c>
      <c r="R386" s="3">
        <f t="shared" ref="R386:R388" si="55">IFERROR(IF(F386="SALDO",P386,R385+P386-Q386),0)</f>
        <v>104.04999999999995</v>
      </c>
      <c r="S386" s="24" t="s">
        <v>1334</v>
      </c>
      <c r="T386" s="24"/>
      <c r="U386" s="3"/>
      <c r="V386" s="25" t="s">
        <v>7842</v>
      </c>
      <c r="W386" s="25">
        <v>20517252558</v>
      </c>
      <c r="X386" s="25" t="str">
        <f>IFERROR(VLOOKUP(C_Ope_003[[#This Row],[nota_2]],Clientes_Proveedores[[Ruc / Dni]:[Razon Social]],2,0),"")</f>
        <v>COVISUR S.A.</v>
      </c>
      <c r="Y386" s="25" t="s">
        <v>7888</v>
      </c>
      <c r="Z386" s="25"/>
      <c r="AA386" s="3" t="str">
        <f>IF(C_Ope_003[[#This Row],[fecha]]&gt;0,TEXT(C_Ope_003[[#This Row],[fecha]],"mmmm"),0)</f>
        <v>Octubre</v>
      </c>
      <c r="AB386" s="49"/>
    </row>
    <row r="387" spans="1:28" ht="24" x14ac:dyDescent="0.3">
      <c r="A387" s="2">
        <f>IF(C_Ope_003[[#This Row],[tipo_r]]="R",COUNTIFS($C$1:$C386,"R")+1,"")</f>
        <v>386</v>
      </c>
      <c r="B387" s="19" t="str">
        <f t="shared" si="51"/>
        <v>C_Ope_003</v>
      </c>
      <c r="C387" s="3" t="s">
        <v>1330</v>
      </c>
      <c r="D387" s="14">
        <v>45960</v>
      </c>
      <c r="E387" s="5" t="s">
        <v>5595</v>
      </c>
      <c r="F387" s="5" t="s">
        <v>1336</v>
      </c>
      <c r="G387" s="6" t="s">
        <v>978</v>
      </c>
      <c r="H387" s="6" t="s">
        <v>68</v>
      </c>
      <c r="I387" s="6" t="s">
        <v>5845</v>
      </c>
      <c r="J387" s="6">
        <v>1908400</v>
      </c>
      <c r="K387" s="7" t="s">
        <v>9454</v>
      </c>
      <c r="L387" s="8">
        <v>25940</v>
      </c>
      <c r="M387" s="8" t="str">
        <f t="shared" si="52"/>
        <v>PEN</v>
      </c>
      <c r="N387" s="13"/>
      <c r="O387" s="13">
        <v>8</v>
      </c>
      <c r="P387" s="3">
        <f t="shared" si="53"/>
        <v>0</v>
      </c>
      <c r="Q387" s="3">
        <f t="shared" si="54"/>
        <v>8</v>
      </c>
      <c r="R387" s="3">
        <f t="shared" si="55"/>
        <v>96.049999999999955</v>
      </c>
      <c r="S387" s="24" t="s">
        <v>1334</v>
      </c>
      <c r="T387" s="24"/>
      <c r="U387" s="3"/>
      <c r="V387" s="25" t="s">
        <v>7842</v>
      </c>
      <c r="W387" s="25">
        <v>20517252558</v>
      </c>
      <c r="X387" s="25" t="str">
        <f>IFERROR(VLOOKUP(C_Ope_003[[#This Row],[nota_2]],Clientes_Proveedores[[Ruc / Dni]:[Razon Social]],2,0),"")</f>
        <v>COVISUR S.A.</v>
      </c>
      <c r="Y387" s="25" t="s">
        <v>7888</v>
      </c>
      <c r="Z387" s="25"/>
      <c r="AA387" s="3" t="str">
        <f>IF(C_Ope_003[[#This Row],[fecha]]&gt;0,TEXT(C_Ope_003[[#This Row],[fecha]],"mmmm"),0)</f>
        <v>Octubre</v>
      </c>
      <c r="AB387" s="49"/>
    </row>
    <row r="388" spans="1:28" ht="24" x14ac:dyDescent="0.3">
      <c r="A388" s="2">
        <f>IF(C_Ope_003[[#This Row],[tipo_r]]="R",COUNTIFS($C$1:$C387,"R")+1,"")</f>
        <v>387</v>
      </c>
      <c r="B388" s="19" t="str">
        <f t="shared" si="51"/>
        <v>C_Ope_003</v>
      </c>
      <c r="C388" s="3" t="s">
        <v>1330</v>
      </c>
      <c r="D388" s="14">
        <v>45960</v>
      </c>
      <c r="E388" s="5" t="s">
        <v>5595</v>
      </c>
      <c r="F388" s="5" t="s">
        <v>1336</v>
      </c>
      <c r="G388" s="6" t="s">
        <v>978</v>
      </c>
      <c r="H388" s="6" t="s">
        <v>68</v>
      </c>
      <c r="I388" s="6" t="s">
        <v>6204</v>
      </c>
      <c r="J388" s="6">
        <v>1886664</v>
      </c>
      <c r="K388" s="7" t="s">
        <v>9455</v>
      </c>
      <c r="L388" s="8">
        <v>25945</v>
      </c>
      <c r="M388" s="8" t="str">
        <f t="shared" si="52"/>
        <v>PEN</v>
      </c>
      <c r="N388" s="13"/>
      <c r="O388" s="13">
        <v>8</v>
      </c>
      <c r="P388" s="3">
        <f t="shared" si="53"/>
        <v>0</v>
      </c>
      <c r="Q388" s="3">
        <f t="shared" si="54"/>
        <v>8</v>
      </c>
      <c r="R388" s="3">
        <f t="shared" si="55"/>
        <v>88.049999999999955</v>
      </c>
      <c r="S388" s="24" t="s">
        <v>1334</v>
      </c>
      <c r="T388" s="24"/>
      <c r="U388" s="3"/>
      <c r="V388" s="25" t="s">
        <v>7842</v>
      </c>
      <c r="W388" s="25">
        <v>20517252558</v>
      </c>
      <c r="X388" s="25" t="str">
        <f>IFERROR(VLOOKUP(C_Ope_003[[#This Row],[nota_2]],Clientes_Proveedores[[Ruc / Dni]:[Razon Social]],2,0),"")</f>
        <v>COVISUR S.A.</v>
      </c>
      <c r="Y388" s="25" t="s">
        <v>7888</v>
      </c>
      <c r="Z388" s="25"/>
      <c r="AA388" s="3" t="str">
        <f>IF(C_Ope_003[[#This Row],[fecha]]&gt;0,TEXT(C_Ope_003[[#This Row],[fecha]],"mmmm"),0)</f>
        <v>Octubre</v>
      </c>
      <c r="AB388" s="49"/>
    </row>
  </sheetData>
  <conditionalFormatting sqref="A2:AA388">
    <cfRule type="expression" dxfId="66" priority="247">
      <formula>$T2="OK"</formula>
    </cfRule>
    <cfRule type="expression" dxfId="65" priority="248">
      <formula>$S2="OK"</formula>
    </cfRule>
    <cfRule type="expression" dxfId="64" priority="249">
      <formula>$C2="D"</formula>
    </cfRule>
  </conditionalFormatting>
  <dataValidations count="4">
    <dataValidation type="list" allowBlank="1" showInputMessage="1" showErrorMessage="1" sqref="G2:G388" xr:uid="{10FFEB84-1DAF-564E-9E3C-E933C3C2A4FA}">
      <formula1>Proveedores_Clientes</formula1>
    </dataValidation>
    <dataValidation type="list" allowBlank="1" showInputMessage="1" showErrorMessage="1" sqref="H2:H388" xr:uid="{EEBB2EBC-0A27-F24E-B0F7-D4F704E4661B}">
      <formula1>Documentos</formula1>
    </dataValidation>
    <dataValidation type="list" allowBlank="1" showInputMessage="1" showErrorMessage="1" sqref="F2:F388" xr:uid="{77670C53-223D-7144-97C8-812E8A4A6ED0}">
      <formula1>"SALDO,INGRESO,EGRESO"</formula1>
    </dataValidation>
    <dataValidation type="list" allowBlank="1" showInputMessage="1" showErrorMessage="1" sqref="C2:C388" xr:uid="{B8D332E7-2D1D-9141-98A9-04AD13982FCB}">
      <formula1>"R,D"</formula1>
    </dataValidation>
  </dataValidations>
  <printOptions horizontalCentered="1"/>
  <pageMargins left="0.11811023622047245" right="0.11811023622047245" top="0.35433070866141736" bottom="0.35433070866141736" header="0.31496062992125984" footer="0.31496062992125984"/>
  <pageSetup paperSize="9" scale="37" fitToHeight="0" orientation="landscape"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A3716-C5A3-49BA-9070-DBA0B771B18F}">
  <sheetPr codeName="Hoja13">
    <tabColor rgb="FFFFC000"/>
    <pageSetUpPr fitToPage="1"/>
  </sheetPr>
  <dimension ref="A1:AB254"/>
  <sheetViews>
    <sheetView showGridLines="0" zoomScaleNormal="100" zoomScaleSheetLayoutView="100" workbookViewId="0">
      <selection sqref="A1:AB1"/>
    </sheetView>
  </sheetViews>
  <sheetFormatPr defaultColWidth="11.44140625" defaultRowHeight="14.4" outlineLevelCol="1" x14ac:dyDescent="0.3"/>
  <cols>
    <col min="1" max="1" width="9.44140625" bestFit="1" customWidth="1"/>
    <col min="2" max="2" width="15.44140625" bestFit="1" customWidth="1"/>
    <col min="3" max="3" width="13.44140625" bestFit="1" customWidth="1"/>
    <col min="4" max="4" width="10.6640625" bestFit="1" customWidth="1"/>
    <col min="5" max="5" width="14.33203125" customWidth="1"/>
    <col min="6" max="6" width="11.6640625" bestFit="1" customWidth="1"/>
    <col min="7" max="7" width="17" bestFit="1" customWidth="1"/>
    <col min="8" max="8" width="16" customWidth="1"/>
    <col min="9" max="9" width="10.109375" bestFit="1" customWidth="1"/>
    <col min="10" max="10" width="12.44140625" bestFit="1" customWidth="1"/>
    <col min="11" max="11" width="40.44140625" bestFit="1" customWidth="1"/>
    <col min="12" max="12" width="15" bestFit="1" customWidth="1"/>
    <col min="13" max="13" width="12.44140625" bestFit="1" customWidth="1"/>
    <col min="14" max="14" width="12.109375" bestFit="1" customWidth="1"/>
    <col min="15" max="15" width="11.44140625" bestFit="1" customWidth="1"/>
    <col min="16" max="17" width="11.33203125" bestFit="1" customWidth="1"/>
    <col min="18" max="18" width="10.88671875" bestFit="1" customWidth="1"/>
    <col min="19" max="19" width="12" bestFit="1" customWidth="1"/>
    <col min="20" max="20" width="13" bestFit="1" customWidth="1"/>
    <col min="21" max="21" width="15.88671875" bestFit="1" customWidth="1"/>
    <col min="22" max="22" width="15.88671875" customWidth="1"/>
    <col min="23" max="26" width="15.88671875" customWidth="1" outlineLevel="1"/>
    <col min="27" max="27" width="12.88671875" customWidth="1" outlineLevel="1"/>
  </cols>
  <sheetData>
    <row r="1" spans="1:28" x14ac:dyDescent="0.3">
      <c r="A1" s="263" t="s">
        <v>9536</v>
      </c>
      <c r="B1" s="263" t="s">
        <v>9537</v>
      </c>
      <c r="C1" s="263" t="s">
        <v>9563</v>
      </c>
      <c r="D1" s="263" t="s">
        <v>9539</v>
      </c>
      <c r="E1" s="263" t="s">
        <v>9540</v>
      </c>
      <c r="F1" s="263" t="s">
        <v>9541</v>
      </c>
      <c r="G1" s="263" t="s">
        <v>9542</v>
      </c>
      <c r="H1" s="263" t="s">
        <v>9543</v>
      </c>
      <c r="I1" s="263" t="s">
        <v>9544</v>
      </c>
      <c r="J1" s="263" t="s">
        <v>9545</v>
      </c>
      <c r="K1" s="263" t="s">
        <v>9546</v>
      </c>
      <c r="L1" s="263" t="s">
        <v>9565</v>
      </c>
      <c r="M1" s="263" t="s">
        <v>9548</v>
      </c>
      <c r="N1" s="263" t="s">
        <v>9549</v>
      </c>
      <c r="O1" s="263" t="s">
        <v>9550</v>
      </c>
      <c r="P1" s="263" t="s">
        <v>9551</v>
      </c>
      <c r="Q1" s="263" t="s">
        <v>9552</v>
      </c>
      <c r="R1" s="263" t="s">
        <v>9553</v>
      </c>
      <c r="S1" s="263" t="s">
        <v>9554</v>
      </c>
      <c r="T1" s="263" t="s">
        <v>9555</v>
      </c>
      <c r="U1" s="263" t="s">
        <v>9556</v>
      </c>
      <c r="V1" s="263" t="s">
        <v>9557</v>
      </c>
      <c r="W1" s="263" t="s">
        <v>9558</v>
      </c>
      <c r="X1" s="263" t="s">
        <v>9559</v>
      </c>
      <c r="Y1" s="263" t="s">
        <v>9560</v>
      </c>
      <c r="Z1" s="263" t="s">
        <v>9561</v>
      </c>
      <c r="AA1" s="263" t="s">
        <v>9562</v>
      </c>
      <c r="AB1" s="1" t="s">
        <v>9566</v>
      </c>
    </row>
    <row r="2" spans="1:28" x14ac:dyDescent="0.3">
      <c r="A2" s="2">
        <f>IF(C_Ope_004[[#This Row],[tipo_r]]="R",COUNTIFS($C$1:$C1,"R")+1,"")</f>
        <v>1</v>
      </c>
      <c r="B2" s="19" t="str">
        <f>"C_Ope_004"</f>
        <v>C_Ope_004</v>
      </c>
      <c r="C2" s="3" t="s">
        <v>1330</v>
      </c>
      <c r="D2" s="4">
        <v>45658</v>
      </c>
      <c r="E2" s="5" t="s">
        <v>8466</v>
      </c>
      <c r="F2" s="6" t="s">
        <v>1320</v>
      </c>
      <c r="G2" s="6"/>
      <c r="H2" s="6"/>
      <c r="I2" s="6"/>
      <c r="J2" s="6"/>
      <c r="K2" s="7" t="s">
        <v>1332</v>
      </c>
      <c r="L2" s="8">
        <v>22574</v>
      </c>
      <c r="M2" s="8" t="str">
        <f t="shared" ref="M2:M33" si="0">"PEN"</f>
        <v>PEN</v>
      </c>
      <c r="N2" s="13"/>
      <c r="O2" s="9">
        <v>35.99</v>
      </c>
      <c r="P2" s="9">
        <f t="shared" ref="P2:P65" si="1">+IF(OR($F2="SALDO",$F2="INGRESO"),$O2,0)</f>
        <v>35.99</v>
      </c>
      <c r="Q2" s="9">
        <f t="shared" ref="Q2:Q65" si="2">+IF($F2="EGRESO",$O2,0)</f>
        <v>0</v>
      </c>
      <c r="R2" s="9">
        <f t="shared" ref="R2:R65" si="3">IFERROR(IF(F2="SALDO",P2,R1+P2-Q2),0)</f>
        <v>35.99</v>
      </c>
      <c r="S2" s="24" t="s">
        <v>1334</v>
      </c>
      <c r="T2" s="24" t="s">
        <v>1334</v>
      </c>
      <c r="U2" s="15"/>
      <c r="V2" s="25" t="s">
        <v>8277</v>
      </c>
      <c r="W2" s="25"/>
      <c r="X2" s="25" t="str">
        <f>IFERROR(VLOOKUP(C_Ope_004[[#This Row],[nota_2]],Clientes_Proveedores[[Ruc / Dni]:[Razon Social]],2,0),"")</f>
        <v/>
      </c>
      <c r="Y2" s="25"/>
      <c r="Z2" s="103"/>
      <c r="AA2" s="3" t="str">
        <f>IF(C_Ope_004[[#This Row],[fecha]]&gt;0,TEXT(C_Ope_004[[#This Row],[fecha]],"mmmm"),0)</f>
        <v>Enero</v>
      </c>
      <c r="AB2" s="49"/>
    </row>
    <row r="3" spans="1:28" x14ac:dyDescent="0.3">
      <c r="A3" s="2">
        <f>IF(C_Ope_004[[#This Row],[tipo_r]]="R",COUNTIFS($C$1:$C2,"R")+1,"")</f>
        <v>2</v>
      </c>
      <c r="B3" s="19" t="str">
        <f t="shared" ref="B3:B34" si="4">"C_Ope_004"</f>
        <v>C_Ope_004</v>
      </c>
      <c r="C3" s="3" t="s">
        <v>1330</v>
      </c>
      <c r="D3" s="14">
        <v>45660</v>
      </c>
      <c r="E3" s="5" t="s">
        <v>7514</v>
      </c>
      <c r="F3" s="5" t="s">
        <v>1303</v>
      </c>
      <c r="G3" s="6" t="s">
        <v>876</v>
      </c>
      <c r="H3" s="6"/>
      <c r="I3" s="6"/>
      <c r="J3" s="6"/>
      <c r="K3" s="7" t="s">
        <v>7516</v>
      </c>
      <c r="L3" s="8">
        <v>22608</v>
      </c>
      <c r="M3" s="8" t="str">
        <f t="shared" si="0"/>
        <v>PEN</v>
      </c>
      <c r="N3" s="13"/>
      <c r="O3" s="13">
        <v>160</v>
      </c>
      <c r="P3" s="3">
        <f t="shared" si="1"/>
        <v>160</v>
      </c>
      <c r="Q3" s="3">
        <f t="shared" si="2"/>
        <v>0</v>
      </c>
      <c r="R3" s="3">
        <f t="shared" si="3"/>
        <v>195.99</v>
      </c>
      <c r="S3" s="24" t="s">
        <v>1334</v>
      </c>
      <c r="T3" s="24" t="s">
        <v>1334</v>
      </c>
      <c r="U3" s="3"/>
      <c r="V3" s="25"/>
      <c r="W3" s="25"/>
      <c r="X3" s="25" t="str">
        <f>IFERROR(VLOOKUP(C_Ope_004[[#This Row],[nota_2]],Clientes_Proveedores[[Ruc / Dni]:[Razon Social]],2,0),"")</f>
        <v/>
      </c>
      <c r="Y3" s="25"/>
      <c r="Z3" s="103"/>
      <c r="AA3" s="3" t="str">
        <f>IF(C_Ope_004[[#This Row],[fecha]]&gt;0,TEXT(C_Ope_004[[#This Row],[fecha]],"mmmm"),0)</f>
        <v>Enero</v>
      </c>
      <c r="AB3" s="49"/>
    </row>
    <row r="4" spans="1:28" ht="24" x14ac:dyDescent="0.3">
      <c r="A4" s="2">
        <f>IF(C_Ope_004[[#This Row],[tipo_r]]="R",COUNTIFS($C$1:$C3,"R")+1,"")</f>
        <v>3</v>
      </c>
      <c r="B4" s="19" t="str">
        <f t="shared" si="4"/>
        <v>C_Ope_004</v>
      </c>
      <c r="C4" s="3" t="s">
        <v>1330</v>
      </c>
      <c r="D4" s="14">
        <v>45659</v>
      </c>
      <c r="E4" s="5" t="s">
        <v>8466</v>
      </c>
      <c r="F4" s="5" t="s">
        <v>1336</v>
      </c>
      <c r="G4" s="6" t="s">
        <v>979</v>
      </c>
      <c r="H4" s="6" t="s">
        <v>68</v>
      </c>
      <c r="I4" s="6" t="s">
        <v>6204</v>
      </c>
      <c r="J4" s="6">
        <v>3260710</v>
      </c>
      <c r="K4" s="7" t="s">
        <v>8278</v>
      </c>
      <c r="L4" s="8">
        <v>22517</v>
      </c>
      <c r="M4" s="8" t="str">
        <f t="shared" si="0"/>
        <v>PEN</v>
      </c>
      <c r="N4" s="13"/>
      <c r="O4" s="13">
        <v>15</v>
      </c>
      <c r="P4" s="3">
        <f t="shared" si="1"/>
        <v>0</v>
      </c>
      <c r="Q4" s="3">
        <f t="shared" si="2"/>
        <v>15</v>
      </c>
      <c r="R4" s="3">
        <f t="shared" si="3"/>
        <v>180.99</v>
      </c>
      <c r="S4" s="24" t="s">
        <v>1334</v>
      </c>
      <c r="T4" s="24" t="s">
        <v>1334</v>
      </c>
      <c r="U4" s="3"/>
      <c r="V4" s="25" t="s">
        <v>8277</v>
      </c>
      <c r="W4" s="25">
        <v>20550372640</v>
      </c>
      <c r="X4" s="25" t="str">
        <f>IFERROR(VLOOKUP(C_Ope_004[[#This Row],[nota_2]],Clientes_Proveedores[[Ruc / Dni]:[Razon Social]],2,0),"")</f>
        <v>RUTAS DE LIMA S.A.C.</v>
      </c>
      <c r="Y4" s="25"/>
      <c r="Z4" s="103"/>
      <c r="AA4" s="3" t="str">
        <f>IF(C_Ope_004[[#This Row],[fecha]]&gt;0,TEXT(C_Ope_004[[#This Row],[fecha]],"mmmm"),0)</f>
        <v>Enero</v>
      </c>
      <c r="AB4" s="49"/>
    </row>
    <row r="5" spans="1:28" ht="24" x14ac:dyDescent="0.3">
      <c r="A5" s="2">
        <f>IF(C_Ope_004[[#This Row],[tipo_r]]="R",COUNTIFS($C$1:$C4,"R")+1,"")</f>
        <v>4</v>
      </c>
      <c r="B5" s="19" t="str">
        <f t="shared" si="4"/>
        <v>C_Ope_004</v>
      </c>
      <c r="C5" s="3" t="s">
        <v>1330</v>
      </c>
      <c r="D5" s="14">
        <v>45659</v>
      </c>
      <c r="E5" s="5" t="s">
        <v>8466</v>
      </c>
      <c r="F5" s="5" t="s">
        <v>1336</v>
      </c>
      <c r="G5" s="6" t="s">
        <v>979</v>
      </c>
      <c r="H5" s="6" t="s">
        <v>68</v>
      </c>
      <c r="I5" s="6" t="s">
        <v>8434</v>
      </c>
      <c r="J5" s="6">
        <v>3574668</v>
      </c>
      <c r="K5" s="7" t="s">
        <v>8276</v>
      </c>
      <c r="L5" s="8">
        <v>22533</v>
      </c>
      <c r="M5" s="8" t="str">
        <f t="shared" si="0"/>
        <v>PEN</v>
      </c>
      <c r="N5" s="13"/>
      <c r="O5" s="13">
        <v>15</v>
      </c>
      <c r="P5" s="3">
        <f t="shared" si="1"/>
        <v>0</v>
      </c>
      <c r="Q5" s="3">
        <f t="shared" si="2"/>
        <v>15</v>
      </c>
      <c r="R5" s="3">
        <f t="shared" si="3"/>
        <v>165.99</v>
      </c>
      <c r="S5" s="24" t="s">
        <v>1334</v>
      </c>
      <c r="T5" s="24" t="s">
        <v>1334</v>
      </c>
      <c r="U5" s="3"/>
      <c r="V5" s="25" t="s">
        <v>8277</v>
      </c>
      <c r="W5" s="25">
        <v>20550372640</v>
      </c>
      <c r="X5" s="25" t="str">
        <f>IFERROR(VLOOKUP(C_Ope_004[[#This Row],[nota_2]],Clientes_Proveedores[[Ruc / Dni]:[Razon Social]],2,0),"")</f>
        <v>RUTAS DE LIMA S.A.C.</v>
      </c>
      <c r="Y5" s="25"/>
      <c r="Z5" s="103"/>
      <c r="AA5" s="3" t="str">
        <f>IF(C_Ope_004[[#This Row],[fecha]]&gt;0,TEXT(C_Ope_004[[#This Row],[fecha]],"mmmm"),0)</f>
        <v>Enero</v>
      </c>
      <c r="AB5" s="49"/>
    </row>
    <row r="6" spans="1:28" ht="24" x14ac:dyDescent="0.3">
      <c r="A6" s="2">
        <f>IF(C_Ope_004[[#This Row],[tipo_r]]="R",COUNTIFS($C$1:$C5,"R")+1,"")</f>
        <v>5</v>
      </c>
      <c r="B6" s="19" t="str">
        <f t="shared" si="4"/>
        <v>C_Ope_004</v>
      </c>
      <c r="C6" s="3" t="s">
        <v>1330</v>
      </c>
      <c r="D6" s="14">
        <v>45660</v>
      </c>
      <c r="E6" s="5" t="s">
        <v>8466</v>
      </c>
      <c r="F6" s="5" t="s">
        <v>1336</v>
      </c>
      <c r="G6" s="6" t="s">
        <v>979</v>
      </c>
      <c r="H6" s="6" t="s">
        <v>68</v>
      </c>
      <c r="I6" s="6" t="s">
        <v>8467</v>
      </c>
      <c r="J6" s="6">
        <v>1530691</v>
      </c>
      <c r="K6" s="7" t="s">
        <v>8278</v>
      </c>
      <c r="L6" s="8">
        <v>22564</v>
      </c>
      <c r="M6" s="8" t="str">
        <f t="shared" si="0"/>
        <v>PEN</v>
      </c>
      <c r="N6" s="13"/>
      <c r="O6" s="13">
        <v>15</v>
      </c>
      <c r="P6" s="3">
        <f t="shared" si="1"/>
        <v>0</v>
      </c>
      <c r="Q6" s="3">
        <f t="shared" si="2"/>
        <v>15</v>
      </c>
      <c r="R6" s="3">
        <f t="shared" si="3"/>
        <v>150.99</v>
      </c>
      <c r="S6" s="24" t="s">
        <v>1334</v>
      </c>
      <c r="T6" s="24" t="s">
        <v>1334</v>
      </c>
      <c r="U6" s="3"/>
      <c r="V6" s="25" t="s">
        <v>8277</v>
      </c>
      <c r="W6" s="25">
        <v>20550372640</v>
      </c>
      <c r="X6" s="25" t="str">
        <f>IFERROR(VLOOKUP(C_Ope_004[[#This Row],[nota_2]],Clientes_Proveedores[[Ruc / Dni]:[Razon Social]],2,0),"")</f>
        <v>RUTAS DE LIMA S.A.C.</v>
      </c>
      <c r="Y6" s="25"/>
      <c r="Z6" s="103"/>
      <c r="AA6" s="3" t="str">
        <f>IF(C_Ope_004[[#This Row],[fecha]]&gt;0,TEXT(C_Ope_004[[#This Row],[fecha]],"mmmm"),0)</f>
        <v>Enero</v>
      </c>
      <c r="AB6" s="49"/>
    </row>
    <row r="7" spans="1:28" ht="24" x14ac:dyDescent="0.3">
      <c r="A7" s="2">
        <f>IF(C_Ope_004[[#This Row],[tipo_r]]="R",COUNTIFS($C$1:$C6,"R")+1,"")</f>
        <v>6</v>
      </c>
      <c r="B7" s="19" t="str">
        <f t="shared" si="4"/>
        <v>C_Ope_004</v>
      </c>
      <c r="C7" s="3" t="s">
        <v>1330</v>
      </c>
      <c r="D7" s="14">
        <v>45660</v>
      </c>
      <c r="E7" s="5" t="s">
        <v>8466</v>
      </c>
      <c r="F7" s="5" t="s">
        <v>1336</v>
      </c>
      <c r="G7" s="6" t="s">
        <v>979</v>
      </c>
      <c r="H7" s="6" t="s">
        <v>68</v>
      </c>
      <c r="I7" s="6" t="s">
        <v>8468</v>
      </c>
      <c r="J7" s="6">
        <v>3034130</v>
      </c>
      <c r="K7" s="7" t="s">
        <v>8276</v>
      </c>
      <c r="L7" s="8">
        <v>22565</v>
      </c>
      <c r="M7" s="8" t="str">
        <f t="shared" si="0"/>
        <v>PEN</v>
      </c>
      <c r="N7" s="13"/>
      <c r="O7" s="13">
        <v>15</v>
      </c>
      <c r="P7" s="3">
        <f t="shared" si="1"/>
        <v>0</v>
      </c>
      <c r="Q7" s="3">
        <f t="shared" si="2"/>
        <v>15</v>
      </c>
      <c r="R7" s="3">
        <f t="shared" si="3"/>
        <v>135.99</v>
      </c>
      <c r="S7" s="24" t="s">
        <v>1334</v>
      </c>
      <c r="T7" s="24" t="s">
        <v>1334</v>
      </c>
      <c r="U7" s="3"/>
      <c r="V7" s="25" t="s">
        <v>8277</v>
      </c>
      <c r="W7" s="25">
        <v>20550372640</v>
      </c>
      <c r="X7" s="25" t="str">
        <f>IFERROR(VLOOKUP(C_Ope_004[[#This Row],[nota_2]],Clientes_Proveedores[[Ruc / Dni]:[Razon Social]],2,0),"")</f>
        <v>RUTAS DE LIMA S.A.C.</v>
      </c>
      <c r="Y7" s="25"/>
      <c r="Z7" s="103"/>
      <c r="AA7" s="3" t="str">
        <f>IF(C_Ope_004[[#This Row],[fecha]]&gt;0,TEXT(C_Ope_004[[#This Row],[fecha]],"mmmm"),0)</f>
        <v>Enero</v>
      </c>
      <c r="AB7" s="49"/>
    </row>
    <row r="8" spans="1:28" ht="24" x14ac:dyDescent="0.3">
      <c r="A8" s="2">
        <f>IF(C_Ope_004[[#This Row],[tipo_r]]="R",COUNTIFS($C$1:$C7,"R")+1,"")</f>
        <v>7</v>
      </c>
      <c r="B8" s="19" t="str">
        <f t="shared" si="4"/>
        <v>C_Ope_004</v>
      </c>
      <c r="C8" s="3" t="s">
        <v>1330</v>
      </c>
      <c r="D8" s="14">
        <v>45664</v>
      </c>
      <c r="E8" s="5" t="s">
        <v>8466</v>
      </c>
      <c r="F8" s="5" t="s">
        <v>1336</v>
      </c>
      <c r="G8" s="6" t="s">
        <v>979</v>
      </c>
      <c r="H8" s="6" t="s">
        <v>68</v>
      </c>
      <c r="I8" s="6" t="s">
        <v>8234</v>
      </c>
      <c r="J8" s="6">
        <v>2540278</v>
      </c>
      <c r="K8" s="7" t="s">
        <v>8469</v>
      </c>
      <c r="L8" s="8">
        <v>22566</v>
      </c>
      <c r="M8" s="8" t="str">
        <f t="shared" si="0"/>
        <v>PEN</v>
      </c>
      <c r="N8" s="13"/>
      <c r="O8" s="13">
        <v>15</v>
      </c>
      <c r="P8" s="3">
        <f t="shared" si="1"/>
        <v>0</v>
      </c>
      <c r="Q8" s="3">
        <f t="shared" si="2"/>
        <v>15</v>
      </c>
      <c r="R8" s="3">
        <f t="shared" si="3"/>
        <v>120.99000000000001</v>
      </c>
      <c r="S8" s="24" t="s">
        <v>1334</v>
      </c>
      <c r="T8" s="24" t="s">
        <v>1334</v>
      </c>
      <c r="U8" s="3"/>
      <c r="V8" s="25" t="s">
        <v>8277</v>
      </c>
      <c r="W8" s="25">
        <v>20550372640</v>
      </c>
      <c r="X8" s="25" t="str">
        <f>IFERROR(VLOOKUP(C_Ope_004[[#This Row],[nota_2]],Clientes_Proveedores[[Ruc / Dni]:[Razon Social]],2,0),"")</f>
        <v>RUTAS DE LIMA S.A.C.</v>
      </c>
      <c r="Y8" s="25"/>
      <c r="Z8" s="103"/>
      <c r="AA8" s="3" t="str">
        <f>IF(C_Ope_004[[#This Row],[fecha]]&gt;0,TEXT(C_Ope_004[[#This Row],[fecha]],"mmmm"),0)</f>
        <v>Enero</v>
      </c>
      <c r="AB8" s="49"/>
    </row>
    <row r="9" spans="1:28" ht="24" x14ac:dyDescent="0.3">
      <c r="A9" s="2">
        <f>IF(C_Ope_004[[#This Row],[tipo_r]]="R",COUNTIFS($C$1:$C8,"R")+1,"")</f>
        <v>8</v>
      </c>
      <c r="B9" s="19" t="str">
        <f t="shared" si="4"/>
        <v>C_Ope_004</v>
      </c>
      <c r="C9" s="3" t="s">
        <v>1330</v>
      </c>
      <c r="D9" s="14">
        <v>45664</v>
      </c>
      <c r="E9" s="5" t="s">
        <v>8466</v>
      </c>
      <c r="F9" s="5" t="s">
        <v>1336</v>
      </c>
      <c r="G9" s="6" t="s">
        <v>979</v>
      </c>
      <c r="H9" s="6" t="s">
        <v>68</v>
      </c>
      <c r="I9" s="6" t="s">
        <v>8468</v>
      </c>
      <c r="J9" s="6">
        <v>3037861</v>
      </c>
      <c r="K9" s="7" t="s">
        <v>8470</v>
      </c>
      <c r="L9" s="8">
        <v>22572</v>
      </c>
      <c r="M9" s="8" t="str">
        <f t="shared" si="0"/>
        <v>PEN</v>
      </c>
      <c r="N9" s="13"/>
      <c r="O9" s="13">
        <v>15</v>
      </c>
      <c r="P9" s="3">
        <f t="shared" si="1"/>
        <v>0</v>
      </c>
      <c r="Q9" s="3">
        <f t="shared" si="2"/>
        <v>15</v>
      </c>
      <c r="R9" s="3">
        <f t="shared" si="3"/>
        <v>105.99000000000001</v>
      </c>
      <c r="S9" s="24" t="s">
        <v>1334</v>
      </c>
      <c r="T9" s="24" t="s">
        <v>1334</v>
      </c>
      <c r="U9" s="3"/>
      <c r="V9" s="25" t="s">
        <v>8277</v>
      </c>
      <c r="W9" s="25">
        <v>20550372640</v>
      </c>
      <c r="X9" s="25" t="str">
        <f>IFERROR(VLOOKUP(C_Ope_004[[#This Row],[nota_2]],Clientes_Proveedores[[Ruc / Dni]:[Razon Social]],2,0),"")</f>
        <v>RUTAS DE LIMA S.A.C.</v>
      </c>
      <c r="Y9" s="25"/>
      <c r="Z9" s="103"/>
      <c r="AA9" s="3" t="str">
        <f>IF(C_Ope_004[[#This Row],[fecha]]&gt;0,TEXT(C_Ope_004[[#This Row],[fecha]],"mmmm"),0)</f>
        <v>Enero</v>
      </c>
      <c r="AB9" s="49"/>
    </row>
    <row r="10" spans="1:28" ht="24" x14ac:dyDescent="0.3">
      <c r="A10" s="2">
        <f>IF(C_Ope_004[[#This Row],[tipo_r]]="R",COUNTIFS($C$1:$C9,"R")+1,"")</f>
        <v>9</v>
      </c>
      <c r="B10" s="19" t="str">
        <f t="shared" si="4"/>
        <v>C_Ope_004</v>
      </c>
      <c r="C10" s="3" t="s">
        <v>1330</v>
      </c>
      <c r="D10" s="14">
        <v>45666</v>
      </c>
      <c r="E10" s="5" t="s">
        <v>8466</v>
      </c>
      <c r="F10" s="5" t="s">
        <v>1336</v>
      </c>
      <c r="G10" s="6" t="s">
        <v>979</v>
      </c>
      <c r="H10" s="6" t="s">
        <v>68</v>
      </c>
      <c r="I10" s="6" t="s">
        <v>8234</v>
      </c>
      <c r="J10" s="6">
        <v>2542133</v>
      </c>
      <c r="K10" s="7" t="s">
        <v>8469</v>
      </c>
      <c r="L10" s="8">
        <v>22605</v>
      </c>
      <c r="M10" s="8" t="str">
        <f t="shared" si="0"/>
        <v>PEN</v>
      </c>
      <c r="N10" s="13"/>
      <c r="O10" s="13">
        <v>15</v>
      </c>
      <c r="P10" s="3">
        <f t="shared" si="1"/>
        <v>0</v>
      </c>
      <c r="Q10" s="3">
        <f t="shared" si="2"/>
        <v>15</v>
      </c>
      <c r="R10" s="3">
        <f t="shared" si="3"/>
        <v>90.990000000000009</v>
      </c>
      <c r="S10" s="24" t="s">
        <v>1334</v>
      </c>
      <c r="T10" s="24" t="s">
        <v>1334</v>
      </c>
      <c r="U10" s="3"/>
      <c r="V10" s="25" t="s">
        <v>8277</v>
      </c>
      <c r="W10" s="25">
        <v>20550372640</v>
      </c>
      <c r="X10" s="25" t="str">
        <f>IFERROR(VLOOKUP(C_Ope_004[[#This Row],[nota_2]],Clientes_Proveedores[[Ruc / Dni]:[Razon Social]],2,0),"")</f>
        <v>RUTAS DE LIMA S.A.C.</v>
      </c>
      <c r="Y10" s="25"/>
      <c r="Z10" s="103"/>
      <c r="AA10" s="3" t="str">
        <f>IF(C_Ope_004[[#This Row],[fecha]]&gt;0,TEXT(C_Ope_004[[#This Row],[fecha]],"mmmm"),0)</f>
        <v>Enero</v>
      </c>
      <c r="AB10" s="49"/>
    </row>
    <row r="11" spans="1:28" ht="24" x14ac:dyDescent="0.3">
      <c r="A11" s="2">
        <f>IF(C_Ope_004[[#This Row],[tipo_r]]="R",COUNTIFS($C$1:$C10,"R")+1,"")</f>
        <v>10</v>
      </c>
      <c r="B11" s="19" t="str">
        <f t="shared" si="4"/>
        <v>C_Ope_004</v>
      </c>
      <c r="C11" s="3" t="s">
        <v>1330</v>
      </c>
      <c r="D11" s="14">
        <v>45666</v>
      </c>
      <c r="E11" s="5" t="s">
        <v>8466</v>
      </c>
      <c r="F11" s="5" t="s">
        <v>1336</v>
      </c>
      <c r="G11" s="6" t="s">
        <v>979</v>
      </c>
      <c r="H11" s="6" t="s">
        <v>68</v>
      </c>
      <c r="I11" s="6" t="s">
        <v>8468</v>
      </c>
      <c r="J11" s="6">
        <v>3039362</v>
      </c>
      <c r="K11" s="7" t="s">
        <v>8470</v>
      </c>
      <c r="L11" s="8">
        <v>22606</v>
      </c>
      <c r="M11" s="8" t="str">
        <f t="shared" si="0"/>
        <v>PEN</v>
      </c>
      <c r="N11" s="13"/>
      <c r="O11" s="13">
        <v>15</v>
      </c>
      <c r="P11" s="3">
        <f t="shared" si="1"/>
        <v>0</v>
      </c>
      <c r="Q11" s="3">
        <f t="shared" si="2"/>
        <v>15</v>
      </c>
      <c r="R11" s="3">
        <f t="shared" si="3"/>
        <v>75.990000000000009</v>
      </c>
      <c r="S11" s="24" t="s">
        <v>1334</v>
      </c>
      <c r="T11" s="24" t="s">
        <v>1334</v>
      </c>
      <c r="U11" s="3"/>
      <c r="V11" s="25" t="s">
        <v>8277</v>
      </c>
      <c r="W11" s="25">
        <v>20550372640</v>
      </c>
      <c r="X11" s="25" t="str">
        <f>IFERROR(VLOOKUP(C_Ope_004[[#This Row],[nota_2]],Clientes_Proveedores[[Ruc / Dni]:[Razon Social]],2,0),"")</f>
        <v>RUTAS DE LIMA S.A.C.</v>
      </c>
      <c r="Y11" s="25"/>
      <c r="Z11" s="103"/>
      <c r="AA11" s="3" t="str">
        <f>IF(C_Ope_004[[#This Row],[fecha]]&gt;0,TEXT(C_Ope_004[[#This Row],[fecha]],"mmmm"),0)</f>
        <v>Enero</v>
      </c>
      <c r="AB11" s="49"/>
    </row>
    <row r="12" spans="1:28" x14ac:dyDescent="0.3">
      <c r="A12" s="2">
        <f>IF(C_Ope_004[[#This Row],[tipo_r]]="R",COUNTIFS($C$1:$C11,"R")+1,"")</f>
        <v>11</v>
      </c>
      <c r="B12" s="19" t="str">
        <f t="shared" si="4"/>
        <v>C_Ope_004</v>
      </c>
      <c r="C12" s="3" t="s">
        <v>1330</v>
      </c>
      <c r="D12" s="14">
        <v>45670</v>
      </c>
      <c r="E12" s="5" t="s">
        <v>7514</v>
      </c>
      <c r="F12" s="5" t="s">
        <v>1303</v>
      </c>
      <c r="G12" s="6" t="s">
        <v>876</v>
      </c>
      <c r="H12" s="6"/>
      <c r="I12" s="6"/>
      <c r="J12" s="6"/>
      <c r="K12" s="7" t="s">
        <v>7516</v>
      </c>
      <c r="L12" s="8">
        <v>22667</v>
      </c>
      <c r="M12" s="8" t="str">
        <f t="shared" si="0"/>
        <v>PEN</v>
      </c>
      <c r="N12" s="13"/>
      <c r="O12" s="13">
        <v>120</v>
      </c>
      <c r="P12" s="3">
        <f t="shared" si="1"/>
        <v>120</v>
      </c>
      <c r="Q12" s="3">
        <f t="shared" si="2"/>
        <v>0</v>
      </c>
      <c r="R12" s="3">
        <f t="shared" si="3"/>
        <v>195.99</v>
      </c>
      <c r="S12" s="24" t="s">
        <v>1334</v>
      </c>
      <c r="T12" s="24" t="s">
        <v>1334</v>
      </c>
      <c r="U12" s="3"/>
      <c r="V12" s="25"/>
      <c r="W12" s="25"/>
      <c r="X12" s="25" t="str">
        <f>IFERROR(VLOOKUP(C_Ope_004[[#This Row],[nota_2]],Clientes_Proveedores[[Ruc / Dni]:[Razon Social]],2,0),"")</f>
        <v/>
      </c>
      <c r="Y12" s="25"/>
      <c r="Z12" s="103"/>
      <c r="AA12" s="3" t="str">
        <f>IF(C_Ope_004[[#This Row],[fecha]]&gt;0,TEXT(C_Ope_004[[#This Row],[fecha]],"mmmm"),0)</f>
        <v>Enero</v>
      </c>
      <c r="AB12" s="49"/>
    </row>
    <row r="13" spans="1:28" ht="24" x14ac:dyDescent="0.3">
      <c r="A13" s="2">
        <f>IF(C_Ope_004[[#This Row],[tipo_r]]="R",COUNTIFS($C$1:$C12,"R")+1,"")</f>
        <v>12</v>
      </c>
      <c r="B13" s="19" t="str">
        <f t="shared" si="4"/>
        <v>C_Ope_004</v>
      </c>
      <c r="C13" s="3" t="s">
        <v>1330</v>
      </c>
      <c r="D13" s="14">
        <v>45670</v>
      </c>
      <c r="E13" s="5" t="s">
        <v>8466</v>
      </c>
      <c r="F13" s="5" t="s">
        <v>1336</v>
      </c>
      <c r="G13" s="6" t="s">
        <v>979</v>
      </c>
      <c r="H13" s="6" t="s">
        <v>68</v>
      </c>
      <c r="I13" s="6" t="s">
        <v>8468</v>
      </c>
      <c r="J13" s="6">
        <v>3043070</v>
      </c>
      <c r="K13" s="7" t="s">
        <v>8276</v>
      </c>
      <c r="L13" s="8">
        <v>22652</v>
      </c>
      <c r="M13" s="8" t="str">
        <f t="shared" si="0"/>
        <v>PEN</v>
      </c>
      <c r="N13" s="13"/>
      <c r="O13" s="13">
        <v>15</v>
      </c>
      <c r="P13" s="3">
        <f t="shared" si="1"/>
        <v>0</v>
      </c>
      <c r="Q13" s="3">
        <f t="shared" si="2"/>
        <v>15</v>
      </c>
      <c r="R13" s="3">
        <f t="shared" si="3"/>
        <v>180.99</v>
      </c>
      <c r="S13" s="24" t="s">
        <v>1334</v>
      </c>
      <c r="T13" s="24" t="s">
        <v>1334</v>
      </c>
      <c r="U13" s="3"/>
      <c r="V13" s="25" t="s">
        <v>8277</v>
      </c>
      <c r="W13" s="25">
        <v>20550372640</v>
      </c>
      <c r="X13" s="25" t="str">
        <f>IFERROR(VLOOKUP(C_Ope_004[[#This Row],[nota_2]],Clientes_Proveedores[[Ruc / Dni]:[Razon Social]],2,0),"")</f>
        <v>RUTAS DE LIMA S.A.C.</v>
      </c>
      <c r="Y13" s="25"/>
      <c r="Z13" s="103"/>
      <c r="AA13" s="3" t="str">
        <f>IF(C_Ope_004[[#This Row],[fecha]]&gt;0,TEXT(C_Ope_004[[#This Row],[fecha]],"mmmm"),0)</f>
        <v>Enero</v>
      </c>
      <c r="AB13" s="49"/>
    </row>
    <row r="14" spans="1:28" ht="24" x14ac:dyDescent="0.3">
      <c r="A14" s="2">
        <f>IF(C_Ope_004[[#This Row],[tipo_r]]="R",COUNTIFS($C$1:$C13,"R")+1,"")</f>
        <v>13</v>
      </c>
      <c r="B14" s="19" t="str">
        <f t="shared" si="4"/>
        <v>C_Ope_004</v>
      </c>
      <c r="C14" s="3" t="s">
        <v>1330</v>
      </c>
      <c r="D14" s="14">
        <v>45671</v>
      </c>
      <c r="E14" s="5" t="s">
        <v>8466</v>
      </c>
      <c r="F14" s="5" t="s">
        <v>1336</v>
      </c>
      <c r="G14" s="6" t="s">
        <v>979</v>
      </c>
      <c r="H14" s="6" t="s">
        <v>68</v>
      </c>
      <c r="I14" s="6" t="s">
        <v>8234</v>
      </c>
      <c r="J14" s="6">
        <v>2545958</v>
      </c>
      <c r="K14" s="7" t="s">
        <v>8278</v>
      </c>
      <c r="L14" s="8">
        <v>22653</v>
      </c>
      <c r="M14" s="8" t="str">
        <f t="shared" si="0"/>
        <v>PEN</v>
      </c>
      <c r="N14" s="13"/>
      <c r="O14" s="13">
        <v>15</v>
      </c>
      <c r="P14" s="3">
        <f t="shared" si="1"/>
        <v>0</v>
      </c>
      <c r="Q14" s="3">
        <f t="shared" si="2"/>
        <v>15</v>
      </c>
      <c r="R14" s="3">
        <f t="shared" si="3"/>
        <v>165.99</v>
      </c>
      <c r="S14" s="24" t="s">
        <v>1334</v>
      </c>
      <c r="T14" s="24" t="s">
        <v>1334</v>
      </c>
      <c r="U14" s="3"/>
      <c r="V14" s="25" t="s">
        <v>8277</v>
      </c>
      <c r="W14" s="25">
        <v>20550372640</v>
      </c>
      <c r="X14" s="25" t="str">
        <f>IFERROR(VLOOKUP(C_Ope_004[[#This Row],[nota_2]],Clientes_Proveedores[[Ruc / Dni]:[Razon Social]],2,0),"")</f>
        <v>RUTAS DE LIMA S.A.C.</v>
      </c>
      <c r="Y14" s="25"/>
      <c r="Z14" s="103"/>
      <c r="AA14" s="3" t="str">
        <f>IF(C_Ope_004[[#This Row],[fecha]]&gt;0,TEXT(C_Ope_004[[#This Row],[fecha]],"mmmm"),0)</f>
        <v>Enero</v>
      </c>
      <c r="AB14" s="49"/>
    </row>
    <row r="15" spans="1:28" ht="24" x14ac:dyDescent="0.3">
      <c r="A15" s="2">
        <f>IF(C_Ope_004[[#This Row],[tipo_r]]="R",COUNTIFS($C$1:$C14,"R")+1,"")</f>
        <v>14</v>
      </c>
      <c r="B15" s="19" t="str">
        <f t="shared" si="4"/>
        <v>C_Ope_004</v>
      </c>
      <c r="C15" s="3" t="s">
        <v>1330</v>
      </c>
      <c r="D15" s="14">
        <v>45671</v>
      </c>
      <c r="E15" s="5" t="s">
        <v>8466</v>
      </c>
      <c r="F15" s="5" t="s">
        <v>1336</v>
      </c>
      <c r="G15" s="6" t="s">
        <v>979</v>
      </c>
      <c r="H15" s="6" t="s">
        <v>68</v>
      </c>
      <c r="I15" s="6" t="s">
        <v>8211</v>
      </c>
      <c r="J15" s="6">
        <v>2889452</v>
      </c>
      <c r="K15" s="7" t="s">
        <v>8276</v>
      </c>
      <c r="L15" s="8">
        <v>22654</v>
      </c>
      <c r="M15" s="8" t="str">
        <f t="shared" si="0"/>
        <v>PEN</v>
      </c>
      <c r="N15" s="13"/>
      <c r="O15" s="13">
        <v>15</v>
      </c>
      <c r="P15" s="3">
        <f t="shared" si="1"/>
        <v>0</v>
      </c>
      <c r="Q15" s="3">
        <f t="shared" si="2"/>
        <v>15</v>
      </c>
      <c r="R15" s="3">
        <f t="shared" si="3"/>
        <v>150.99</v>
      </c>
      <c r="S15" s="24" t="s">
        <v>1334</v>
      </c>
      <c r="T15" s="24" t="s">
        <v>1334</v>
      </c>
      <c r="U15" s="3"/>
      <c r="V15" s="25" t="s">
        <v>8277</v>
      </c>
      <c r="W15" s="25">
        <v>20550372640</v>
      </c>
      <c r="X15" s="25" t="str">
        <f>IFERROR(VLOOKUP(C_Ope_004[[#This Row],[nota_2]],Clientes_Proveedores[[Ruc / Dni]:[Razon Social]],2,0),"")</f>
        <v>RUTAS DE LIMA S.A.C.</v>
      </c>
      <c r="Y15" s="25"/>
      <c r="Z15" s="103"/>
      <c r="AA15" s="3" t="str">
        <f>IF(C_Ope_004[[#This Row],[fecha]]&gt;0,TEXT(C_Ope_004[[#This Row],[fecha]],"mmmm"),0)</f>
        <v>Enero</v>
      </c>
      <c r="AB15" s="49"/>
    </row>
    <row r="16" spans="1:28" ht="24" x14ac:dyDescent="0.3">
      <c r="A16" s="2">
        <f>IF(C_Ope_004[[#This Row],[tipo_r]]="R",COUNTIFS($C$1:$C15,"R")+1,"")</f>
        <v>15</v>
      </c>
      <c r="B16" s="19" t="str">
        <f t="shared" si="4"/>
        <v>C_Ope_004</v>
      </c>
      <c r="C16" s="3" t="s">
        <v>1330</v>
      </c>
      <c r="D16" s="14">
        <v>45672</v>
      </c>
      <c r="E16" s="5" t="s">
        <v>8466</v>
      </c>
      <c r="F16" s="5" t="s">
        <v>1336</v>
      </c>
      <c r="G16" s="6" t="s">
        <v>979</v>
      </c>
      <c r="H16" s="6" t="s">
        <v>68</v>
      </c>
      <c r="I16" s="6" t="s">
        <v>8234</v>
      </c>
      <c r="J16" s="6">
        <v>2547262</v>
      </c>
      <c r="K16" s="7" t="s">
        <v>8471</v>
      </c>
      <c r="L16" s="8">
        <v>22665</v>
      </c>
      <c r="M16" s="8" t="str">
        <f t="shared" si="0"/>
        <v>PEN</v>
      </c>
      <c r="N16" s="13"/>
      <c r="O16" s="13">
        <v>15</v>
      </c>
      <c r="P16" s="3">
        <f t="shared" si="1"/>
        <v>0</v>
      </c>
      <c r="Q16" s="3">
        <f t="shared" si="2"/>
        <v>15</v>
      </c>
      <c r="R16" s="3">
        <f t="shared" si="3"/>
        <v>135.99</v>
      </c>
      <c r="S16" s="24" t="s">
        <v>1334</v>
      </c>
      <c r="T16" s="24" t="s">
        <v>1334</v>
      </c>
      <c r="U16" s="3"/>
      <c r="V16" s="25" t="s">
        <v>8277</v>
      </c>
      <c r="W16" s="25">
        <v>20550372640</v>
      </c>
      <c r="X16" s="25" t="str">
        <f>IFERROR(VLOOKUP(C_Ope_004[[#This Row],[nota_2]],Clientes_Proveedores[[Ruc / Dni]:[Razon Social]],2,0),"")</f>
        <v>RUTAS DE LIMA S.A.C.</v>
      </c>
      <c r="Y16" s="25"/>
      <c r="Z16" s="103"/>
      <c r="AA16" s="3" t="str">
        <f>IF(C_Ope_004[[#This Row],[fecha]]&gt;0,TEXT(C_Ope_004[[#This Row],[fecha]],"mmmm"),0)</f>
        <v>Enero</v>
      </c>
      <c r="AB16" s="49"/>
    </row>
    <row r="17" spans="1:28" ht="24" x14ac:dyDescent="0.3">
      <c r="A17" s="2">
        <f>IF(C_Ope_004[[#This Row],[tipo_r]]="R",COUNTIFS($C$1:$C16,"R")+1,"")</f>
        <v>16</v>
      </c>
      <c r="B17" s="19" t="str">
        <f t="shared" si="4"/>
        <v>C_Ope_004</v>
      </c>
      <c r="C17" s="3" t="s">
        <v>1330</v>
      </c>
      <c r="D17" s="14">
        <v>45672</v>
      </c>
      <c r="E17" s="5" t="s">
        <v>8466</v>
      </c>
      <c r="F17" s="5" t="s">
        <v>1336</v>
      </c>
      <c r="G17" s="6" t="s">
        <v>979</v>
      </c>
      <c r="H17" s="6" t="s">
        <v>68</v>
      </c>
      <c r="I17" s="6" t="s">
        <v>8256</v>
      </c>
      <c r="J17" s="6">
        <v>557046</v>
      </c>
      <c r="K17" s="7" t="s">
        <v>8472</v>
      </c>
      <c r="L17" s="8">
        <v>22666</v>
      </c>
      <c r="M17" s="8" t="str">
        <f t="shared" si="0"/>
        <v>PEN</v>
      </c>
      <c r="N17" s="13"/>
      <c r="O17" s="13">
        <v>15</v>
      </c>
      <c r="P17" s="3">
        <f t="shared" si="1"/>
        <v>0</v>
      </c>
      <c r="Q17" s="3">
        <f t="shared" si="2"/>
        <v>15</v>
      </c>
      <c r="R17" s="3">
        <f t="shared" si="3"/>
        <v>120.99000000000001</v>
      </c>
      <c r="S17" s="24" t="s">
        <v>1334</v>
      </c>
      <c r="T17" s="24" t="s">
        <v>1334</v>
      </c>
      <c r="U17" s="3"/>
      <c r="V17" s="25" t="s">
        <v>8277</v>
      </c>
      <c r="W17" s="25">
        <v>20550372640</v>
      </c>
      <c r="X17" s="25" t="str">
        <f>IFERROR(VLOOKUP(C_Ope_004[[#This Row],[nota_2]],Clientes_Proveedores[[Ruc / Dni]:[Razon Social]],2,0),"")</f>
        <v>RUTAS DE LIMA S.A.C.</v>
      </c>
      <c r="Y17" s="25"/>
      <c r="Z17" s="103"/>
      <c r="AA17" s="3" t="str">
        <f>IF(C_Ope_004[[#This Row],[fecha]]&gt;0,TEXT(C_Ope_004[[#This Row],[fecha]],"mmmm"),0)</f>
        <v>Enero</v>
      </c>
      <c r="AB17" s="49"/>
    </row>
    <row r="18" spans="1:28" ht="24" x14ac:dyDescent="0.3">
      <c r="A18" s="2">
        <f>IF(C_Ope_004[[#This Row],[tipo_r]]="R",COUNTIFS($C$1:$C17,"R")+1,"")</f>
        <v>17</v>
      </c>
      <c r="B18" s="19" t="str">
        <f t="shared" si="4"/>
        <v>C_Ope_004</v>
      </c>
      <c r="C18" s="3" t="s">
        <v>1330</v>
      </c>
      <c r="D18" s="14">
        <v>45673</v>
      </c>
      <c r="E18" s="5" t="s">
        <v>8466</v>
      </c>
      <c r="F18" s="5" t="s">
        <v>1336</v>
      </c>
      <c r="G18" s="6" t="s">
        <v>979</v>
      </c>
      <c r="H18" s="6" t="s">
        <v>68</v>
      </c>
      <c r="I18" s="6" t="s">
        <v>8467</v>
      </c>
      <c r="J18" s="6">
        <v>1538992</v>
      </c>
      <c r="K18" s="7" t="s">
        <v>8278</v>
      </c>
      <c r="L18" s="8">
        <v>22717</v>
      </c>
      <c r="M18" s="8" t="str">
        <f t="shared" si="0"/>
        <v>PEN</v>
      </c>
      <c r="N18" s="13"/>
      <c r="O18" s="13">
        <v>15</v>
      </c>
      <c r="P18" s="3">
        <f t="shared" si="1"/>
        <v>0</v>
      </c>
      <c r="Q18" s="3">
        <f t="shared" si="2"/>
        <v>15</v>
      </c>
      <c r="R18" s="3">
        <f t="shared" si="3"/>
        <v>105.99000000000001</v>
      </c>
      <c r="S18" s="24" t="s">
        <v>1334</v>
      </c>
      <c r="T18" s="24" t="s">
        <v>1334</v>
      </c>
      <c r="U18" s="3"/>
      <c r="V18" s="25" t="s">
        <v>8277</v>
      </c>
      <c r="W18" s="25">
        <v>20550372640</v>
      </c>
      <c r="X18" s="25" t="str">
        <f>IFERROR(VLOOKUP(C_Ope_004[[#This Row],[nota_2]],Clientes_Proveedores[[Ruc / Dni]:[Razon Social]],2,0),"")</f>
        <v>RUTAS DE LIMA S.A.C.</v>
      </c>
      <c r="Y18" s="25"/>
      <c r="Z18" s="103"/>
      <c r="AA18" s="3" t="str">
        <f>IF(C_Ope_004[[#This Row],[fecha]]&gt;0,TEXT(C_Ope_004[[#This Row],[fecha]],"mmmm"),0)</f>
        <v>Enero</v>
      </c>
      <c r="AB18" s="49"/>
    </row>
    <row r="19" spans="1:28" ht="24" x14ac:dyDescent="0.3">
      <c r="A19" s="2">
        <f>IF(C_Ope_004[[#This Row],[tipo_r]]="R",COUNTIFS($C$1:$C18,"R")+1,"")</f>
        <v>18</v>
      </c>
      <c r="B19" s="19" t="str">
        <f t="shared" si="4"/>
        <v>C_Ope_004</v>
      </c>
      <c r="C19" s="3" t="s">
        <v>1330</v>
      </c>
      <c r="D19" s="14">
        <v>45673</v>
      </c>
      <c r="E19" s="5" t="s">
        <v>8466</v>
      </c>
      <c r="F19" s="5" t="s">
        <v>1336</v>
      </c>
      <c r="G19" s="6" t="s">
        <v>979</v>
      </c>
      <c r="H19" s="6" t="s">
        <v>68</v>
      </c>
      <c r="I19" s="6" t="s">
        <v>8211</v>
      </c>
      <c r="J19" s="6">
        <v>2891282</v>
      </c>
      <c r="K19" s="7" t="s">
        <v>8276</v>
      </c>
      <c r="L19" s="8">
        <v>22718</v>
      </c>
      <c r="M19" s="8" t="str">
        <f t="shared" si="0"/>
        <v>PEN</v>
      </c>
      <c r="N19" s="13"/>
      <c r="O19" s="13">
        <v>15</v>
      </c>
      <c r="P19" s="3">
        <f t="shared" si="1"/>
        <v>0</v>
      </c>
      <c r="Q19" s="3">
        <f t="shared" si="2"/>
        <v>15</v>
      </c>
      <c r="R19" s="3">
        <f t="shared" si="3"/>
        <v>90.990000000000009</v>
      </c>
      <c r="S19" s="24" t="s">
        <v>1334</v>
      </c>
      <c r="T19" s="24" t="s">
        <v>1334</v>
      </c>
      <c r="U19" s="3"/>
      <c r="V19" s="25" t="s">
        <v>8277</v>
      </c>
      <c r="W19" s="25">
        <v>20550372640</v>
      </c>
      <c r="X19" s="25" t="str">
        <f>IFERROR(VLOOKUP(C_Ope_004[[#This Row],[nota_2]],Clientes_Proveedores[[Ruc / Dni]:[Razon Social]],2,0),"")</f>
        <v>RUTAS DE LIMA S.A.C.</v>
      </c>
      <c r="Y19" s="25"/>
      <c r="Z19" s="103"/>
      <c r="AA19" s="3" t="str">
        <f>IF(C_Ope_004[[#This Row],[fecha]]&gt;0,TEXT(C_Ope_004[[#This Row],[fecha]],"mmmm"),0)</f>
        <v>Enero</v>
      </c>
      <c r="AB19" s="49"/>
    </row>
    <row r="20" spans="1:28" ht="24" x14ac:dyDescent="0.3">
      <c r="A20" s="2">
        <f>IF(C_Ope_004[[#This Row],[tipo_r]]="R",COUNTIFS($C$1:$C19,"R")+1,"")</f>
        <v>19</v>
      </c>
      <c r="B20" s="19" t="str">
        <f t="shared" si="4"/>
        <v>C_Ope_004</v>
      </c>
      <c r="C20" s="3" t="s">
        <v>1330</v>
      </c>
      <c r="D20" s="14">
        <v>45674</v>
      </c>
      <c r="E20" s="5" t="s">
        <v>8466</v>
      </c>
      <c r="F20" s="5" t="s">
        <v>1336</v>
      </c>
      <c r="G20" s="6" t="s">
        <v>735</v>
      </c>
      <c r="H20" s="6" t="s">
        <v>68</v>
      </c>
      <c r="I20" s="6" t="s">
        <v>3078</v>
      </c>
      <c r="J20" s="6">
        <v>38874</v>
      </c>
      <c r="K20" s="7" t="s">
        <v>8473</v>
      </c>
      <c r="L20" s="8">
        <v>22719</v>
      </c>
      <c r="M20" s="8" t="str">
        <f t="shared" si="0"/>
        <v>PEN</v>
      </c>
      <c r="N20" s="13"/>
      <c r="O20" s="13">
        <v>55</v>
      </c>
      <c r="P20" s="3">
        <f t="shared" si="1"/>
        <v>0</v>
      </c>
      <c r="Q20" s="3">
        <f t="shared" si="2"/>
        <v>55</v>
      </c>
      <c r="R20" s="3">
        <f t="shared" si="3"/>
        <v>35.990000000000009</v>
      </c>
      <c r="S20" s="24" t="s">
        <v>1334</v>
      </c>
      <c r="T20" s="24" t="s">
        <v>1334</v>
      </c>
      <c r="U20" s="3"/>
      <c r="V20" s="25" t="s">
        <v>8277</v>
      </c>
      <c r="W20" s="25">
        <v>20514148539</v>
      </c>
      <c r="X20" s="25" t="str">
        <f>IFERROR(VLOOKUP(C_Ope_004[[#This Row],[nota_2]],Clientes_Proveedores[[Ruc / Dni]:[Razon Social]],2,0),"")</f>
        <v>NEGOCIACIONES ABBYCORP E.I.R.L.</v>
      </c>
      <c r="Y20" s="25"/>
      <c r="Z20" s="103"/>
      <c r="AA20" s="3" t="str">
        <f>IF(C_Ope_004[[#This Row],[fecha]]&gt;0,TEXT(C_Ope_004[[#This Row],[fecha]],"mmmm"),0)</f>
        <v>Enero</v>
      </c>
      <c r="AB20" s="49"/>
    </row>
    <row r="21" spans="1:28" x14ac:dyDescent="0.3">
      <c r="A21" s="2">
        <f>IF(C_Ope_004[[#This Row],[tipo_r]]="R",COUNTIFS($C$1:$C20,"R")+1,"")</f>
        <v>20</v>
      </c>
      <c r="B21" s="19" t="str">
        <f t="shared" si="4"/>
        <v>C_Ope_004</v>
      </c>
      <c r="C21" s="3" t="s">
        <v>1330</v>
      </c>
      <c r="D21" s="14">
        <v>45678</v>
      </c>
      <c r="E21" s="5" t="s">
        <v>7514</v>
      </c>
      <c r="F21" s="5" t="s">
        <v>1303</v>
      </c>
      <c r="G21" s="6" t="s">
        <v>876</v>
      </c>
      <c r="H21" s="6"/>
      <c r="I21" s="6"/>
      <c r="J21" s="6"/>
      <c r="K21" s="7" t="s">
        <v>7516</v>
      </c>
      <c r="L21" s="8">
        <v>22740</v>
      </c>
      <c r="M21" s="8" t="str">
        <f t="shared" si="0"/>
        <v>PEN</v>
      </c>
      <c r="N21" s="13"/>
      <c r="O21" s="13">
        <v>170</v>
      </c>
      <c r="P21" s="3">
        <f t="shared" si="1"/>
        <v>170</v>
      </c>
      <c r="Q21" s="3">
        <f t="shared" si="2"/>
        <v>0</v>
      </c>
      <c r="R21" s="3">
        <f t="shared" si="3"/>
        <v>205.99</v>
      </c>
      <c r="S21" s="24" t="s">
        <v>1334</v>
      </c>
      <c r="T21" s="24" t="s">
        <v>1334</v>
      </c>
      <c r="U21" s="3"/>
      <c r="V21" s="25"/>
      <c r="W21" s="25"/>
      <c r="X21" s="25" t="str">
        <f>IFERROR(VLOOKUP(C_Ope_004[[#This Row],[nota_2]],Clientes_Proveedores[[Ruc / Dni]:[Razon Social]],2,0),"")</f>
        <v/>
      </c>
      <c r="Y21" s="25"/>
      <c r="Z21" s="103"/>
      <c r="AA21" s="3" t="str">
        <f>IF(C_Ope_004[[#This Row],[fecha]]&gt;0,TEXT(C_Ope_004[[#This Row],[fecha]],"mmmm"),0)</f>
        <v>Enero</v>
      </c>
      <c r="AB21" s="49"/>
    </row>
    <row r="22" spans="1:28" ht="24" x14ac:dyDescent="0.3">
      <c r="A22" s="2">
        <f>IF(C_Ope_004[[#This Row],[tipo_r]]="R",COUNTIFS($C$1:$C21,"R")+1,"")</f>
        <v>21</v>
      </c>
      <c r="B22" s="19" t="str">
        <f t="shared" si="4"/>
        <v>C_Ope_004</v>
      </c>
      <c r="C22" s="3" t="s">
        <v>1330</v>
      </c>
      <c r="D22" s="14">
        <v>45678</v>
      </c>
      <c r="E22" s="5" t="s">
        <v>8466</v>
      </c>
      <c r="F22" s="5" t="s">
        <v>1336</v>
      </c>
      <c r="G22" s="6" t="s">
        <v>979</v>
      </c>
      <c r="H22" s="6" t="s">
        <v>68</v>
      </c>
      <c r="I22" s="6" t="s">
        <v>8209</v>
      </c>
      <c r="J22" s="6">
        <v>551674</v>
      </c>
      <c r="K22" s="7" t="s">
        <v>8471</v>
      </c>
      <c r="L22" s="8">
        <v>22768</v>
      </c>
      <c r="M22" s="8" t="str">
        <f t="shared" si="0"/>
        <v>PEN</v>
      </c>
      <c r="N22" s="13"/>
      <c r="O22" s="13">
        <v>15</v>
      </c>
      <c r="P22" s="3">
        <f t="shared" si="1"/>
        <v>0</v>
      </c>
      <c r="Q22" s="3">
        <f t="shared" si="2"/>
        <v>15</v>
      </c>
      <c r="R22" s="3">
        <f t="shared" si="3"/>
        <v>190.99</v>
      </c>
      <c r="S22" s="24" t="s">
        <v>1334</v>
      </c>
      <c r="T22" s="24" t="s">
        <v>1334</v>
      </c>
      <c r="U22" s="3"/>
      <c r="V22" s="25" t="s">
        <v>8277</v>
      </c>
      <c r="W22" s="25">
        <v>20550372640</v>
      </c>
      <c r="X22" s="25" t="str">
        <f>IFERROR(VLOOKUP(C_Ope_004[[#This Row],[nota_2]],Clientes_Proveedores[[Ruc / Dni]:[Razon Social]],2,0),"")</f>
        <v>RUTAS DE LIMA S.A.C.</v>
      </c>
      <c r="Y22" s="25"/>
      <c r="Z22" s="103"/>
      <c r="AA22" s="3" t="str">
        <f>IF(C_Ope_004[[#This Row],[fecha]]&gt;0,TEXT(C_Ope_004[[#This Row],[fecha]],"mmmm"),0)</f>
        <v>Enero</v>
      </c>
      <c r="AB22" s="49"/>
    </row>
    <row r="23" spans="1:28" ht="24" x14ac:dyDescent="0.3">
      <c r="A23" s="2">
        <f>IF(C_Ope_004[[#This Row],[tipo_r]]="R",COUNTIFS($C$1:$C22,"R")+1,"")</f>
        <v>22</v>
      </c>
      <c r="B23" s="19" t="str">
        <f t="shared" si="4"/>
        <v>C_Ope_004</v>
      </c>
      <c r="C23" s="3" t="s">
        <v>1330</v>
      </c>
      <c r="D23" s="14">
        <v>45678</v>
      </c>
      <c r="E23" s="5" t="s">
        <v>8466</v>
      </c>
      <c r="F23" s="5" t="s">
        <v>1336</v>
      </c>
      <c r="G23" s="6" t="s">
        <v>979</v>
      </c>
      <c r="H23" s="6" t="s">
        <v>68</v>
      </c>
      <c r="I23" s="6" t="s">
        <v>8211</v>
      </c>
      <c r="J23" s="6">
        <v>2895860</v>
      </c>
      <c r="K23" s="7" t="s">
        <v>8472</v>
      </c>
      <c r="L23" s="8">
        <v>22769</v>
      </c>
      <c r="M23" s="8" t="str">
        <f t="shared" si="0"/>
        <v>PEN</v>
      </c>
      <c r="N23" s="13"/>
      <c r="O23" s="13">
        <v>15</v>
      </c>
      <c r="P23" s="3">
        <f t="shared" si="1"/>
        <v>0</v>
      </c>
      <c r="Q23" s="3">
        <f t="shared" si="2"/>
        <v>15</v>
      </c>
      <c r="R23" s="3">
        <f t="shared" si="3"/>
        <v>175.99</v>
      </c>
      <c r="S23" s="24" t="s">
        <v>1334</v>
      </c>
      <c r="T23" s="24" t="s">
        <v>1334</v>
      </c>
      <c r="U23" s="3"/>
      <c r="V23" s="25" t="s">
        <v>8277</v>
      </c>
      <c r="W23" s="25">
        <v>20550372640</v>
      </c>
      <c r="X23" s="25" t="str">
        <f>IFERROR(VLOOKUP(C_Ope_004[[#This Row],[nota_2]],Clientes_Proveedores[[Ruc / Dni]:[Razon Social]],2,0),"")</f>
        <v>RUTAS DE LIMA S.A.C.</v>
      </c>
      <c r="Y23" s="25"/>
      <c r="Z23" s="103"/>
      <c r="AA23" s="3" t="str">
        <f>IF(C_Ope_004[[#This Row],[fecha]]&gt;0,TEXT(C_Ope_004[[#This Row],[fecha]],"mmmm"),0)</f>
        <v>Enero</v>
      </c>
      <c r="AB23" s="49"/>
    </row>
    <row r="24" spans="1:28" ht="24" x14ac:dyDescent="0.3">
      <c r="A24" s="2">
        <f>IF(C_Ope_004[[#This Row],[tipo_r]]="R",COUNTIFS($C$1:$C23,"R")+1,"")</f>
        <v>23</v>
      </c>
      <c r="B24" s="19" t="str">
        <f t="shared" si="4"/>
        <v>C_Ope_004</v>
      </c>
      <c r="C24" s="3" t="s">
        <v>1330</v>
      </c>
      <c r="D24" s="14">
        <v>45679</v>
      </c>
      <c r="E24" s="5" t="s">
        <v>8466</v>
      </c>
      <c r="F24" s="5" t="s">
        <v>1336</v>
      </c>
      <c r="G24" s="6" t="s">
        <v>979</v>
      </c>
      <c r="H24" s="6" t="s">
        <v>68</v>
      </c>
      <c r="I24" s="6" t="s">
        <v>8474</v>
      </c>
      <c r="J24" s="6">
        <v>605914</v>
      </c>
      <c r="K24" s="7" t="s">
        <v>8471</v>
      </c>
      <c r="L24" s="8">
        <v>22770</v>
      </c>
      <c r="M24" s="8" t="str">
        <f t="shared" si="0"/>
        <v>PEN</v>
      </c>
      <c r="N24" s="13"/>
      <c r="O24" s="13">
        <v>15</v>
      </c>
      <c r="P24" s="3">
        <f t="shared" si="1"/>
        <v>0</v>
      </c>
      <c r="Q24" s="3">
        <f t="shared" si="2"/>
        <v>15</v>
      </c>
      <c r="R24" s="3">
        <f t="shared" si="3"/>
        <v>160.99</v>
      </c>
      <c r="S24" s="24" t="s">
        <v>1334</v>
      </c>
      <c r="T24" s="24" t="s">
        <v>1334</v>
      </c>
      <c r="U24" s="3"/>
      <c r="V24" s="25" t="s">
        <v>8277</v>
      </c>
      <c r="W24" s="25">
        <v>20550372640</v>
      </c>
      <c r="X24" s="25" t="str">
        <f>IFERROR(VLOOKUP(C_Ope_004[[#This Row],[nota_2]],Clientes_Proveedores[[Ruc / Dni]:[Razon Social]],2,0),"")</f>
        <v>RUTAS DE LIMA S.A.C.</v>
      </c>
      <c r="Y24" s="25"/>
      <c r="Z24" s="103"/>
      <c r="AA24" s="3" t="str">
        <f>IF(C_Ope_004[[#This Row],[fecha]]&gt;0,TEXT(C_Ope_004[[#This Row],[fecha]],"mmmm"),0)</f>
        <v>Enero</v>
      </c>
      <c r="AB24" s="49"/>
    </row>
    <row r="25" spans="1:28" ht="24" x14ac:dyDescent="0.3">
      <c r="A25" s="2">
        <f>IF(C_Ope_004[[#This Row],[tipo_r]]="R",COUNTIFS($C$1:$C24,"R")+1,"")</f>
        <v>24</v>
      </c>
      <c r="B25" s="19" t="str">
        <f t="shared" si="4"/>
        <v>C_Ope_004</v>
      </c>
      <c r="C25" s="3" t="s">
        <v>1330</v>
      </c>
      <c r="D25" s="14">
        <v>45679</v>
      </c>
      <c r="E25" s="5" t="s">
        <v>8466</v>
      </c>
      <c r="F25" s="5" t="s">
        <v>1336</v>
      </c>
      <c r="G25" s="6" t="s">
        <v>979</v>
      </c>
      <c r="H25" s="6" t="s">
        <v>68</v>
      </c>
      <c r="I25" s="6" t="s">
        <v>8211</v>
      </c>
      <c r="J25" s="6">
        <v>2896665</v>
      </c>
      <c r="K25" s="7" t="s">
        <v>8472</v>
      </c>
      <c r="L25" s="8">
        <v>22771</v>
      </c>
      <c r="M25" s="8" t="str">
        <f t="shared" si="0"/>
        <v>PEN</v>
      </c>
      <c r="N25" s="13"/>
      <c r="O25" s="13">
        <v>15</v>
      </c>
      <c r="P25" s="3">
        <f t="shared" si="1"/>
        <v>0</v>
      </c>
      <c r="Q25" s="3">
        <f t="shared" si="2"/>
        <v>15</v>
      </c>
      <c r="R25" s="3">
        <f t="shared" si="3"/>
        <v>145.99</v>
      </c>
      <c r="S25" s="24" t="s">
        <v>1334</v>
      </c>
      <c r="T25" s="24" t="s">
        <v>1334</v>
      </c>
      <c r="U25" s="3"/>
      <c r="V25" s="25" t="s">
        <v>8277</v>
      </c>
      <c r="W25" s="25">
        <v>20550372640</v>
      </c>
      <c r="X25" s="25" t="str">
        <f>IFERROR(VLOOKUP(C_Ope_004[[#This Row],[nota_2]],Clientes_Proveedores[[Ruc / Dni]:[Razon Social]],2,0),"")</f>
        <v>RUTAS DE LIMA S.A.C.</v>
      </c>
      <c r="Y25" s="25"/>
      <c r="Z25" s="103"/>
      <c r="AA25" s="3" t="str">
        <f>IF(C_Ope_004[[#This Row],[fecha]]&gt;0,TEXT(C_Ope_004[[#This Row],[fecha]],"mmmm"),0)</f>
        <v>Enero</v>
      </c>
      <c r="AB25" s="49"/>
    </row>
    <row r="26" spans="1:28" ht="24" x14ac:dyDescent="0.3">
      <c r="A26" s="2">
        <f>IF(C_Ope_004[[#This Row],[tipo_r]]="R",COUNTIFS($C$1:$C25,"R")+1,"")</f>
        <v>25</v>
      </c>
      <c r="B26" s="19" t="str">
        <f t="shared" si="4"/>
        <v>C_Ope_004</v>
      </c>
      <c r="C26" s="3" t="s">
        <v>1330</v>
      </c>
      <c r="D26" s="14">
        <v>45680</v>
      </c>
      <c r="E26" s="5" t="s">
        <v>8466</v>
      </c>
      <c r="F26" s="5" t="s">
        <v>1336</v>
      </c>
      <c r="G26" s="6" t="s">
        <v>979</v>
      </c>
      <c r="H26" s="6" t="s">
        <v>68</v>
      </c>
      <c r="I26" s="6" t="s">
        <v>8474</v>
      </c>
      <c r="J26" s="6">
        <v>606183</v>
      </c>
      <c r="K26" s="7" t="s">
        <v>8471</v>
      </c>
      <c r="L26" s="8">
        <v>22780</v>
      </c>
      <c r="M26" s="8" t="str">
        <f t="shared" si="0"/>
        <v>PEN</v>
      </c>
      <c r="N26" s="13"/>
      <c r="O26" s="13">
        <v>15</v>
      </c>
      <c r="P26" s="3">
        <f t="shared" si="1"/>
        <v>0</v>
      </c>
      <c r="Q26" s="3">
        <f t="shared" si="2"/>
        <v>15</v>
      </c>
      <c r="R26" s="3">
        <f t="shared" si="3"/>
        <v>130.99</v>
      </c>
      <c r="S26" s="24" t="s">
        <v>1334</v>
      </c>
      <c r="T26" s="24" t="s">
        <v>1334</v>
      </c>
      <c r="U26" s="3"/>
      <c r="V26" s="25" t="s">
        <v>8277</v>
      </c>
      <c r="W26" s="25">
        <v>20550372640</v>
      </c>
      <c r="X26" s="25" t="str">
        <f>IFERROR(VLOOKUP(C_Ope_004[[#This Row],[nota_2]],Clientes_Proveedores[[Ruc / Dni]:[Razon Social]],2,0),"")</f>
        <v>RUTAS DE LIMA S.A.C.</v>
      </c>
      <c r="Y26" s="25"/>
      <c r="Z26" s="103"/>
      <c r="AA26" s="3" t="str">
        <f>IF(C_Ope_004[[#This Row],[fecha]]&gt;0,TEXT(C_Ope_004[[#This Row],[fecha]],"mmmm"),0)</f>
        <v>Enero</v>
      </c>
      <c r="AB26" s="49"/>
    </row>
    <row r="27" spans="1:28" ht="24" x14ac:dyDescent="0.3">
      <c r="A27" s="2">
        <f>IF(C_Ope_004[[#This Row],[tipo_r]]="R",COUNTIFS($C$1:$C26,"R")+1,"")</f>
        <v>26</v>
      </c>
      <c r="B27" s="19" t="str">
        <f t="shared" si="4"/>
        <v>C_Ope_004</v>
      </c>
      <c r="C27" s="3" t="s">
        <v>1330</v>
      </c>
      <c r="D27" s="14">
        <v>45680</v>
      </c>
      <c r="E27" s="5" t="s">
        <v>8466</v>
      </c>
      <c r="F27" s="5" t="s">
        <v>1336</v>
      </c>
      <c r="G27" s="6" t="s">
        <v>979</v>
      </c>
      <c r="H27" s="6" t="s">
        <v>68</v>
      </c>
      <c r="I27" s="6" t="s">
        <v>8211</v>
      </c>
      <c r="J27" s="6">
        <v>2897787</v>
      </c>
      <c r="K27" s="7" t="s">
        <v>8472</v>
      </c>
      <c r="L27" s="8">
        <v>22781</v>
      </c>
      <c r="M27" s="8" t="str">
        <f t="shared" si="0"/>
        <v>PEN</v>
      </c>
      <c r="N27" s="13"/>
      <c r="O27" s="13">
        <v>15</v>
      </c>
      <c r="P27" s="3">
        <f t="shared" si="1"/>
        <v>0</v>
      </c>
      <c r="Q27" s="3">
        <f t="shared" si="2"/>
        <v>15</v>
      </c>
      <c r="R27" s="3">
        <f t="shared" si="3"/>
        <v>115.99000000000001</v>
      </c>
      <c r="S27" s="24" t="s">
        <v>1334</v>
      </c>
      <c r="T27" s="24" t="s">
        <v>1334</v>
      </c>
      <c r="U27" s="3"/>
      <c r="V27" s="25" t="s">
        <v>8277</v>
      </c>
      <c r="W27" s="25">
        <v>20550372640</v>
      </c>
      <c r="X27" s="25" t="str">
        <f>IFERROR(VLOOKUP(C_Ope_004[[#This Row],[nota_2]],Clientes_Proveedores[[Ruc / Dni]:[Razon Social]],2,0),"")</f>
        <v>RUTAS DE LIMA S.A.C.</v>
      </c>
      <c r="Y27" s="25"/>
      <c r="Z27" s="103"/>
      <c r="AA27" s="3" t="str">
        <f>IF(C_Ope_004[[#This Row],[fecha]]&gt;0,TEXT(C_Ope_004[[#This Row],[fecha]],"mmmm"),0)</f>
        <v>Enero</v>
      </c>
      <c r="AB27" s="49"/>
    </row>
    <row r="28" spans="1:28" x14ac:dyDescent="0.3">
      <c r="A28" s="2">
        <f>IF(C_Ope_004[[#This Row],[tipo_r]]="R",COUNTIFS($C$1:$C27,"R")+1,"")</f>
        <v>27</v>
      </c>
      <c r="B28" s="19" t="str">
        <f t="shared" si="4"/>
        <v>C_Ope_004</v>
      </c>
      <c r="C28" s="3" t="s">
        <v>1330</v>
      </c>
      <c r="D28" s="14">
        <v>45684</v>
      </c>
      <c r="E28" s="5" t="s">
        <v>7514</v>
      </c>
      <c r="F28" s="5" t="s">
        <v>1303</v>
      </c>
      <c r="G28" s="6" t="s">
        <v>876</v>
      </c>
      <c r="H28" s="6"/>
      <c r="I28" s="6"/>
      <c r="J28" s="6"/>
      <c r="K28" s="7" t="s">
        <v>7516</v>
      </c>
      <c r="L28" s="8">
        <v>22832</v>
      </c>
      <c r="M28" s="8" t="str">
        <f t="shared" si="0"/>
        <v>PEN</v>
      </c>
      <c r="N28" s="13"/>
      <c r="O28" s="13">
        <v>80</v>
      </c>
      <c r="P28" s="3">
        <f t="shared" si="1"/>
        <v>80</v>
      </c>
      <c r="Q28" s="3">
        <f t="shared" si="2"/>
        <v>0</v>
      </c>
      <c r="R28" s="3">
        <f t="shared" si="3"/>
        <v>195.99</v>
      </c>
      <c r="S28" s="24" t="s">
        <v>1334</v>
      </c>
      <c r="T28" s="24" t="s">
        <v>1334</v>
      </c>
      <c r="U28" s="3"/>
      <c r="V28" s="25"/>
      <c r="W28" s="25"/>
      <c r="X28" s="25" t="str">
        <f>IFERROR(VLOOKUP(C_Ope_004[[#This Row],[nota_2]],Clientes_Proveedores[[Ruc / Dni]:[Razon Social]],2,0),"")</f>
        <v/>
      </c>
      <c r="Y28" s="25"/>
      <c r="Z28" s="103"/>
      <c r="AA28" s="3" t="str">
        <f>IF(C_Ope_004[[#This Row],[fecha]]&gt;0,TEXT(C_Ope_004[[#This Row],[fecha]],"mmmm"),0)</f>
        <v>Enero</v>
      </c>
      <c r="AB28" s="49"/>
    </row>
    <row r="29" spans="1:28" ht="24" x14ac:dyDescent="0.3">
      <c r="A29" s="2">
        <f>IF(C_Ope_004[[#This Row],[tipo_r]]="R",COUNTIFS($C$1:$C28,"R")+1,"")</f>
        <v>28</v>
      </c>
      <c r="B29" s="19" t="str">
        <f t="shared" si="4"/>
        <v>C_Ope_004</v>
      </c>
      <c r="C29" s="3" t="s">
        <v>1330</v>
      </c>
      <c r="D29" s="14">
        <v>45684</v>
      </c>
      <c r="E29" s="5" t="s">
        <v>8466</v>
      </c>
      <c r="F29" s="5" t="s">
        <v>1336</v>
      </c>
      <c r="G29" s="6" t="s">
        <v>979</v>
      </c>
      <c r="H29" s="6" t="s">
        <v>68</v>
      </c>
      <c r="I29" s="6" t="s">
        <v>8209</v>
      </c>
      <c r="J29" s="6">
        <v>553448</v>
      </c>
      <c r="K29" s="7" t="s">
        <v>8471</v>
      </c>
      <c r="L29" s="8">
        <v>22827</v>
      </c>
      <c r="M29" s="8" t="str">
        <f t="shared" si="0"/>
        <v>PEN</v>
      </c>
      <c r="N29" s="13"/>
      <c r="O29" s="13">
        <v>15</v>
      </c>
      <c r="P29" s="3">
        <f t="shared" si="1"/>
        <v>0</v>
      </c>
      <c r="Q29" s="3">
        <f t="shared" si="2"/>
        <v>15</v>
      </c>
      <c r="R29" s="3">
        <f t="shared" si="3"/>
        <v>180.99</v>
      </c>
      <c r="S29" s="24" t="s">
        <v>1334</v>
      </c>
      <c r="T29" s="24" t="s">
        <v>1334</v>
      </c>
      <c r="U29" s="3"/>
      <c r="V29" s="25" t="s">
        <v>8277</v>
      </c>
      <c r="W29" s="25">
        <v>20550372640</v>
      </c>
      <c r="X29" s="25" t="str">
        <f>IFERROR(VLOOKUP(C_Ope_004[[#This Row],[nota_2]],Clientes_Proveedores[[Ruc / Dni]:[Razon Social]],2,0),"")</f>
        <v>RUTAS DE LIMA S.A.C.</v>
      </c>
      <c r="Y29" s="25"/>
      <c r="Z29" s="103"/>
      <c r="AA29" s="3" t="str">
        <f>IF(C_Ope_004[[#This Row],[fecha]]&gt;0,TEXT(C_Ope_004[[#This Row],[fecha]],"mmmm"),0)</f>
        <v>Enero</v>
      </c>
      <c r="AB29" s="49"/>
    </row>
    <row r="30" spans="1:28" ht="24" x14ac:dyDescent="0.3">
      <c r="A30" s="2">
        <f>IF(C_Ope_004[[#This Row],[tipo_r]]="R",COUNTIFS($C$1:$C29,"R")+1,"")</f>
        <v>29</v>
      </c>
      <c r="B30" s="19" t="str">
        <f t="shared" si="4"/>
        <v>C_Ope_004</v>
      </c>
      <c r="C30" s="3" t="s">
        <v>1330</v>
      </c>
      <c r="D30" s="14">
        <v>45684</v>
      </c>
      <c r="E30" s="5" t="s">
        <v>8466</v>
      </c>
      <c r="F30" s="5" t="s">
        <v>1336</v>
      </c>
      <c r="G30" s="6" t="s">
        <v>979</v>
      </c>
      <c r="H30" s="6" t="s">
        <v>68</v>
      </c>
      <c r="I30" s="6" t="s">
        <v>8434</v>
      </c>
      <c r="J30" s="6">
        <v>3600699</v>
      </c>
      <c r="K30" s="7" t="s">
        <v>8472</v>
      </c>
      <c r="L30" s="8">
        <v>22828</v>
      </c>
      <c r="M30" s="8" t="str">
        <f t="shared" si="0"/>
        <v>PEN</v>
      </c>
      <c r="N30" s="13"/>
      <c r="O30" s="13">
        <v>15</v>
      </c>
      <c r="P30" s="3">
        <f t="shared" si="1"/>
        <v>0</v>
      </c>
      <c r="Q30" s="3">
        <f t="shared" si="2"/>
        <v>15</v>
      </c>
      <c r="R30" s="3">
        <f t="shared" si="3"/>
        <v>165.99</v>
      </c>
      <c r="S30" s="24" t="s">
        <v>1334</v>
      </c>
      <c r="T30" s="24" t="s">
        <v>1334</v>
      </c>
      <c r="U30" s="3"/>
      <c r="V30" s="25" t="s">
        <v>8277</v>
      </c>
      <c r="W30" s="25">
        <v>20550372640</v>
      </c>
      <c r="X30" s="25" t="str">
        <f>IFERROR(VLOOKUP(C_Ope_004[[#This Row],[nota_2]],Clientes_Proveedores[[Ruc / Dni]:[Razon Social]],2,0),"")</f>
        <v>RUTAS DE LIMA S.A.C.</v>
      </c>
      <c r="Y30" s="25"/>
      <c r="Z30" s="103"/>
      <c r="AA30" s="3" t="str">
        <f>IF(C_Ope_004[[#This Row],[fecha]]&gt;0,TEXT(C_Ope_004[[#This Row],[fecha]],"mmmm"),0)</f>
        <v>Enero</v>
      </c>
      <c r="AB30" s="49"/>
    </row>
    <row r="31" spans="1:28" ht="24" x14ac:dyDescent="0.3">
      <c r="A31" s="2">
        <f>IF(C_Ope_004[[#This Row],[tipo_r]]="R",COUNTIFS($C$1:$C30,"R")+1,"")</f>
        <v>30</v>
      </c>
      <c r="B31" s="19" t="str">
        <f t="shared" si="4"/>
        <v>C_Ope_004</v>
      </c>
      <c r="C31" s="3" t="s">
        <v>1330</v>
      </c>
      <c r="D31" s="14">
        <v>45685</v>
      </c>
      <c r="E31" s="5" t="s">
        <v>8466</v>
      </c>
      <c r="F31" s="5" t="s">
        <v>1336</v>
      </c>
      <c r="G31" s="6" t="s">
        <v>979</v>
      </c>
      <c r="H31" s="6" t="s">
        <v>68</v>
      </c>
      <c r="I31" s="6" t="s">
        <v>6204</v>
      </c>
      <c r="J31" s="6">
        <v>3286699</v>
      </c>
      <c r="K31" s="7" t="s">
        <v>8471</v>
      </c>
      <c r="L31" s="8">
        <v>22829</v>
      </c>
      <c r="M31" s="8" t="str">
        <f t="shared" si="0"/>
        <v>PEN</v>
      </c>
      <c r="N31" s="13"/>
      <c r="O31" s="13">
        <v>15</v>
      </c>
      <c r="P31" s="3">
        <f t="shared" si="1"/>
        <v>0</v>
      </c>
      <c r="Q31" s="3">
        <f t="shared" si="2"/>
        <v>15</v>
      </c>
      <c r="R31" s="3">
        <f t="shared" si="3"/>
        <v>150.99</v>
      </c>
      <c r="S31" s="24" t="s">
        <v>1334</v>
      </c>
      <c r="T31" s="24" t="s">
        <v>1334</v>
      </c>
      <c r="U31" s="3"/>
      <c r="V31" s="25" t="s">
        <v>8277</v>
      </c>
      <c r="W31" s="25">
        <v>20550372640</v>
      </c>
      <c r="X31" s="25" t="str">
        <f>IFERROR(VLOOKUP(C_Ope_004[[#This Row],[nota_2]],Clientes_Proveedores[[Ruc / Dni]:[Razon Social]],2,0),"")</f>
        <v>RUTAS DE LIMA S.A.C.</v>
      </c>
      <c r="Y31" s="25"/>
      <c r="Z31" s="103"/>
      <c r="AA31" s="3" t="str">
        <f>IF(C_Ope_004[[#This Row],[fecha]]&gt;0,TEXT(C_Ope_004[[#This Row],[fecha]],"mmmm"),0)</f>
        <v>Enero</v>
      </c>
      <c r="AB31" s="49"/>
    </row>
    <row r="32" spans="1:28" ht="24" x14ac:dyDescent="0.3">
      <c r="A32" s="2">
        <f>IF(C_Ope_004[[#This Row],[tipo_r]]="R",COUNTIFS($C$1:$C31,"R")+1,"")</f>
        <v>31</v>
      </c>
      <c r="B32" s="19" t="str">
        <f t="shared" si="4"/>
        <v>C_Ope_004</v>
      </c>
      <c r="C32" s="3" t="s">
        <v>1330</v>
      </c>
      <c r="D32" s="14">
        <v>45685</v>
      </c>
      <c r="E32" s="5" t="s">
        <v>8466</v>
      </c>
      <c r="F32" s="5" t="s">
        <v>1336</v>
      </c>
      <c r="G32" s="6" t="s">
        <v>979</v>
      </c>
      <c r="H32" s="6" t="s">
        <v>68</v>
      </c>
      <c r="I32" s="6" t="s">
        <v>8434</v>
      </c>
      <c r="J32" s="6">
        <v>3602017</v>
      </c>
      <c r="K32" s="7" t="s">
        <v>8472</v>
      </c>
      <c r="L32" s="8">
        <v>22830</v>
      </c>
      <c r="M32" s="8" t="str">
        <f t="shared" si="0"/>
        <v>PEN</v>
      </c>
      <c r="N32" s="13"/>
      <c r="O32" s="13">
        <v>15</v>
      </c>
      <c r="P32" s="3">
        <f t="shared" si="1"/>
        <v>0</v>
      </c>
      <c r="Q32" s="3">
        <f t="shared" si="2"/>
        <v>15</v>
      </c>
      <c r="R32" s="3">
        <f t="shared" si="3"/>
        <v>135.99</v>
      </c>
      <c r="S32" s="24" t="s">
        <v>1334</v>
      </c>
      <c r="T32" s="24" t="s">
        <v>1334</v>
      </c>
      <c r="U32" s="3"/>
      <c r="V32" s="25" t="s">
        <v>8277</v>
      </c>
      <c r="W32" s="25">
        <v>20550372640</v>
      </c>
      <c r="X32" s="25" t="str">
        <f>IFERROR(VLOOKUP(C_Ope_004[[#This Row],[nota_2]],Clientes_Proveedores[[Ruc / Dni]:[Razon Social]],2,0),"")</f>
        <v>RUTAS DE LIMA S.A.C.</v>
      </c>
      <c r="Y32" s="25"/>
      <c r="Z32" s="103"/>
      <c r="AA32" s="3" t="str">
        <f>IF(C_Ope_004[[#This Row],[fecha]]&gt;0,TEXT(C_Ope_004[[#This Row],[fecha]],"mmmm"),0)</f>
        <v>Enero</v>
      </c>
      <c r="AB32" s="49"/>
    </row>
    <row r="33" spans="1:28" ht="24" x14ac:dyDescent="0.3">
      <c r="A33" s="2">
        <f>IF(C_Ope_004[[#This Row],[tipo_r]]="R",COUNTIFS($C$1:$C32,"R")+1,"")</f>
        <v>32</v>
      </c>
      <c r="B33" s="19" t="str">
        <f t="shared" si="4"/>
        <v>C_Ope_004</v>
      </c>
      <c r="C33" s="3" t="s">
        <v>1330</v>
      </c>
      <c r="D33" s="14">
        <v>45686</v>
      </c>
      <c r="E33" s="5" t="s">
        <v>8466</v>
      </c>
      <c r="F33" s="5" t="s">
        <v>1336</v>
      </c>
      <c r="G33" s="6" t="s">
        <v>979</v>
      </c>
      <c r="H33" s="6" t="s">
        <v>68</v>
      </c>
      <c r="I33" s="6" t="s">
        <v>8467</v>
      </c>
      <c r="J33" s="6">
        <v>1547378</v>
      </c>
      <c r="K33" s="7" t="s">
        <v>8278</v>
      </c>
      <c r="L33" s="8">
        <v>22847</v>
      </c>
      <c r="M33" s="8" t="str">
        <f t="shared" si="0"/>
        <v>PEN</v>
      </c>
      <c r="N33" s="13"/>
      <c r="O33" s="13">
        <v>15</v>
      </c>
      <c r="P33" s="3">
        <f t="shared" si="1"/>
        <v>0</v>
      </c>
      <c r="Q33" s="3">
        <f t="shared" si="2"/>
        <v>15</v>
      </c>
      <c r="R33" s="3">
        <f t="shared" si="3"/>
        <v>120.99000000000001</v>
      </c>
      <c r="S33" s="24" t="s">
        <v>1334</v>
      </c>
      <c r="T33" s="24" t="s">
        <v>1334</v>
      </c>
      <c r="U33" s="3"/>
      <c r="V33" s="25" t="s">
        <v>8277</v>
      </c>
      <c r="W33" s="25">
        <v>20550372640</v>
      </c>
      <c r="X33" s="25" t="str">
        <f>IFERROR(VLOOKUP(C_Ope_004[[#This Row],[nota_2]],Clientes_Proveedores[[Ruc / Dni]:[Razon Social]],2,0),"")</f>
        <v>RUTAS DE LIMA S.A.C.</v>
      </c>
      <c r="Y33" s="25"/>
      <c r="Z33" s="103"/>
      <c r="AA33" s="3" t="str">
        <f>IF(C_Ope_004[[#This Row],[fecha]]&gt;0,TEXT(C_Ope_004[[#This Row],[fecha]],"mmmm"),0)</f>
        <v>Enero</v>
      </c>
      <c r="AB33" s="49"/>
    </row>
    <row r="34" spans="1:28" ht="24" x14ac:dyDescent="0.3">
      <c r="A34" s="2">
        <f>IF(C_Ope_004[[#This Row],[tipo_r]]="R",COUNTIFS($C$1:$C33,"R")+1,"")</f>
        <v>33</v>
      </c>
      <c r="B34" s="19" t="str">
        <f t="shared" si="4"/>
        <v>C_Ope_004</v>
      </c>
      <c r="C34" s="3" t="s">
        <v>1330</v>
      </c>
      <c r="D34" s="14">
        <v>45686</v>
      </c>
      <c r="E34" s="5" t="s">
        <v>8466</v>
      </c>
      <c r="F34" s="5" t="s">
        <v>1336</v>
      </c>
      <c r="G34" s="6" t="s">
        <v>979</v>
      </c>
      <c r="H34" s="6" t="s">
        <v>68</v>
      </c>
      <c r="I34" s="6" t="s">
        <v>8211</v>
      </c>
      <c r="J34" s="6">
        <v>2903118</v>
      </c>
      <c r="K34" s="7" t="s">
        <v>8276</v>
      </c>
      <c r="L34" s="8">
        <v>22848</v>
      </c>
      <c r="M34" s="8" t="str">
        <f t="shared" ref="M34:M65" si="5">"PEN"</f>
        <v>PEN</v>
      </c>
      <c r="N34" s="13"/>
      <c r="O34" s="13">
        <v>15</v>
      </c>
      <c r="P34" s="3">
        <f t="shared" si="1"/>
        <v>0</v>
      </c>
      <c r="Q34" s="3">
        <f t="shared" si="2"/>
        <v>15</v>
      </c>
      <c r="R34" s="3">
        <f t="shared" si="3"/>
        <v>105.99000000000001</v>
      </c>
      <c r="S34" s="24" t="s">
        <v>1334</v>
      </c>
      <c r="T34" s="24" t="s">
        <v>1334</v>
      </c>
      <c r="U34" s="3"/>
      <c r="V34" s="25" t="s">
        <v>8277</v>
      </c>
      <c r="W34" s="25">
        <v>20550372640</v>
      </c>
      <c r="X34" s="25" t="str">
        <f>IFERROR(VLOOKUP(C_Ope_004[[#This Row],[nota_2]],Clientes_Proveedores[[Ruc / Dni]:[Razon Social]],2,0),"")</f>
        <v>RUTAS DE LIMA S.A.C.</v>
      </c>
      <c r="Y34" s="25"/>
      <c r="Z34" s="103"/>
      <c r="AA34" s="3" t="str">
        <f>IF(C_Ope_004[[#This Row],[fecha]]&gt;0,TEXT(C_Ope_004[[#This Row],[fecha]],"mmmm"),0)</f>
        <v>Enero</v>
      </c>
      <c r="AB34" s="49"/>
    </row>
    <row r="35" spans="1:28" ht="24" x14ac:dyDescent="0.3">
      <c r="A35" s="2">
        <f>IF(C_Ope_004[[#This Row],[tipo_r]]="R",COUNTIFS($C$1:$C34,"R")+1,"")</f>
        <v>34</v>
      </c>
      <c r="B35" s="19" t="str">
        <f t="shared" ref="B35:B66" si="6">"C_Ope_004"</f>
        <v>C_Ope_004</v>
      </c>
      <c r="C35" s="3" t="s">
        <v>1330</v>
      </c>
      <c r="D35" s="14">
        <v>45686</v>
      </c>
      <c r="E35" s="5" t="s">
        <v>8466</v>
      </c>
      <c r="F35" s="5" t="s">
        <v>1336</v>
      </c>
      <c r="G35" s="6"/>
      <c r="H35" s="6" t="s">
        <v>68</v>
      </c>
      <c r="I35" s="6" t="s">
        <v>8211</v>
      </c>
      <c r="J35" s="6">
        <v>2903118</v>
      </c>
      <c r="K35" s="7" t="s">
        <v>8276</v>
      </c>
      <c r="L35" s="8">
        <v>22849</v>
      </c>
      <c r="M35" s="8" t="str">
        <f t="shared" si="5"/>
        <v>PEN</v>
      </c>
      <c r="N35" s="13"/>
      <c r="O35" s="13">
        <v>0</v>
      </c>
      <c r="P35" s="3">
        <f t="shared" si="1"/>
        <v>0</v>
      </c>
      <c r="Q35" s="3">
        <f t="shared" si="2"/>
        <v>0</v>
      </c>
      <c r="R35" s="3">
        <f t="shared" si="3"/>
        <v>105.99000000000001</v>
      </c>
      <c r="S35" s="24" t="s">
        <v>1334</v>
      </c>
      <c r="T35" s="24" t="s">
        <v>1334</v>
      </c>
      <c r="U35" s="3"/>
      <c r="V35" s="25" t="s">
        <v>8277</v>
      </c>
      <c r="W35" s="25"/>
      <c r="X35" s="25" t="str">
        <f>IFERROR(VLOOKUP(C_Ope_004[[#This Row],[nota_2]],Clientes_Proveedores[[Ruc / Dni]:[Razon Social]],2,0),"")</f>
        <v/>
      </c>
      <c r="Y35" s="25"/>
      <c r="Z35" s="103"/>
      <c r="AA35" s="3" t="str">
        <f>IF(C_Ope_004[[#This Row],[fecha]]&gt;0,TEXT(C_Ope_004[[#This Row],[fecha]],"mmmm"),0)</f>
        <v>Enero</v>
      </c>
      <c r="AB35" s="49"/>
    </row>
    <row r="36" spans="1:28" ht="24" x14ac:dyDescent="0.3">
      <c r="A36" s="2">
        <f>IF(C_Ope_004[[#This Row],[tipo_r]]="R",COUNTIFS($C$1:$C35,"R")+1,"")</f>
        <v>35</v>
      </c>
      <c r="B36" s="19" t="str">
        <f t="shared" si="6"/>
        <v>C_Ope_004</v>
      </c>
      <c r="C36" s="3" t="s">
        <v>1330</v>
      </c>
      <c r="D36" s="14">
        <v>45684</v>
      </c>
      <c r="E36" s="5" t="s">
        <v>8466</v>
      </c>
      <c r="F36" s="5" t="s">
        <v>1336</v>
      </c>
      <c r="G36" s="6" t="s">
        <v>735</v>
      </c>
      <c r="H36" s="6" t="s">
        <v>68</v>
      </c>
      <c r="I36" s="6" t="s">
        <v>3078</v>
      </c>
      <c r="J36" s="6">
        <v>39085</v>
      </c>
      <c r="K36" s="7" t="s">
        <v>8473</v>
      </c>
      <c r="L36" s="8">
        <v>22831</v>
      </c>
      <c r="M36" s="8" t="str">
        <f t="shared" si="5"/>
        <v>PEN</v>
      </c>
      <c r="N36" s="13"/>
      <c r="O36" s="13">
        <v>55</v>
      </c>
      <c r="P36" s="3">
        <f t="shared" si="1"/>
        <v>0</v>
      </c>
      <c r="Q36" s="3">
        <f t="shared" si="2"/>
        <v>55</v>
      </c>
      <c r="R36" s="3">
        <f t="shared" si="3"/>
        <v>50.990000000000009</v>
      </c>
      <c r="S36" s="24" t="s">
        <v>1334</v>
      </c>
      <c r="T36" s="24" t="s">
        <v>1334</v>
      </c>
      <c r="U36" s="3"/>
      <c r="V36" s="25" t="s">
        <v>8277</v>
      </c>
      <c r="W36" s="25">
        <v>20514148539</v>
      </c>
      <c r="X36" s="25" t="str">
        <f>IFERROR(VLOOKUP(C_Ope_004[[#This Row],[nota_2]],Clientes_Proveedores[[Ruc / Dni]:[Razon Social]],2,0),"")</f>
        <v>NEGOCIACIONES ABBYCORP E.I.R.L.</v>
      </c>
      <c r="Y36" s="25"/>
      <c r="Z36" s="103"/>
      <c r="AA36" s="3" t="str">
        <f>IF(C_Ope_004[[#This Row],[fecha]]&gt;0,TEXT(C_Ope_004[[#This Row],[fecha]],"mmmm"),0)</f>
        <v>Enero</v>
      </c>
      <c r="AB36" s="49"/>
    </row>
    <row r="37" spans="1:28" x14ac:dyDescent="0.3">
      <c r="A37" s="2">
        <f>IF(C_Ope_004[[#This Row],[tipo_r]]="R",COUNTIFS($C$1:$C36,"R")+1,"")</f>
        <v>36</v>
      </c>
      <c r="B37" s="19" t="str">
        <f t="shared" si="6"/>
        <v>C_Ope_004</v>
      </c>
      <c r="C37" s="3" t="s">
        <v>1330</v>
      </c>
      <c r="D37" s="14">
        <v>45691</v>
      </c>
      <c r="E37" s="5" t="s">
        <v>7514</v>
      </c>
      <c r="F37" s="5" t="s">
        <v>1303</v>
      </c>
      <c r="G37" s="6" t="s">
        <v>876</v>
      </c>
      <c r="H37" s="6"/>
      <c r="I37" s="6"/>
      <c r="J37" s="6"/>
      <c r="K37" s="7" t="s">
        <v>8475</v>
      </c>
      <c r="L37" s="8">
        <v>22881</v>
      </c>
      <c r="M37" s="8" t="str">
        <f t="shared" si="5"/>
        <v>PEN</v>
      </c>
      <c r="N37" s="13"/>
      <c r="O37" s="13">
        <v>150</v>
      </c>
      <c r="P37" s="3">
        <f t="shared" si="1"/>
        <v>150</v>
      </c>
      <c r="Q37" s="3">
        <f t="shared" si="2"/>
        <v>0</v>
      </c>
      <c r="R37" s="3">
        <f t="shared" si="3"/>
        <v>200.99</v>
      </c>
      <c r="S37" s="24" t="s">
        <v>1334</v>
      </c>
      <c r="T37" s="24" t="s">
        <v>1334</v>
      </c>
      <c r="U37" s="3"/>
      <c r="V37" s="25"/>
      <c r="W37" s="25"/>
      <c r="X37" s="25" t="str">
        <f>IFERROR(VLOOKUP(C_Ope_004[[#This Row],[nota_2]],Clientes_Proveedores[[Ruc / Dni]:[Razon Social]],2,0),"")</f>
        <v/>
      </c>
      <c r="Y37" s="25"/>
      <c r="Z37" s="103"/>
      <c r="AA37" s="3" t="str">
        <f>IF(C_Ope_004[[#This Row],[fecha]]&gt;0,TEXT(C_Ope_004[[#This Row],[fecha]],"mmmm"),0)</f>
        <v>Febrero</v>
      </c>
      <c r="AB37" s="49"/>
    </row>
    <row r="38" spans="1:28" x14ac:dyDescent="0.3">
      <c r="A38" s="2">
        <f>IF(C_Ope_004[[#This Row],[tipo_r]]="R",COUNTIFS($C$1:$C37,"R")+1,"")</f>
        <v>37</v>
      </c>
      <c r="B38" s="19" t="str">
        <f t="shared" si="6"/>
        <v>C_Ope_004</v>
      </c>
      <c r="C38" s="3" t="s">
        <v>1330</v>
      </c>
      <c r="D38" s="14">
        <v>45695</v>
      </c>
      <c r="E38" s="5" t="s">
        <v>7514</v>
      </c>
      <c r="F38" s="5" t="s">
        <v>1303</v>
      </c>
      <c r="G38" s="6" t="s">
        <v>876</v>
      </c>
      <c r="H38" s="6"/>
      <c r="I38" s="6"/>
      <c r="J38" s="6"/>
      <c r="K38" s="7" t="s">
        <v>8475</v>
      </c>
      <c r="L38" s="8">
        <v>23069</v>
      </c>
      <c r="M38" s="8" t="str">
        <f t="shared" si="5"/>
        <v>PEN</v>
      </c>
      <c r="N38" s="13"/>
      <c r="O38" s="13">
        <v>400</v>
      </c>
      <c r="P38" s="3">
        <f t="shared" si="1"/>
        <v>400</v>
      </c>
      <c r="Q38" s="3">
        <f t="shared" si="2"/>
        <v>0</v>
      </c>
      <c r="R38" s="3">
        <f t="shared" si="3"/>
        <v>600.99</v>
      </c>
      <c r="S38" s="24" t="s">
        <v>1334</v>
      </c>
      <c r="T38" s="24" t="s">
        <v>1334</v>
      </c>
      <c r="U38" s="3"/>
      <c r="V38" s="25"/>
      <c r="W38" s="25"/>
      <c r="X38" s="25" t="str">
        <f>IFERROR(VLOOKUP(C_Ope_004[[#This Row],[nota_2]],Clientes_Proveedores[[Ruc / Dni]:[Razon Social]],2,0),"")</f>
        <v/>
      </c>
      <c r="Y38" s="25"/>
      <c r="Z38" s="103"/>
      <c r="AA38" s="3" t="str">
        <f>IF(C_Ope_004[[#This Row],[fecha]]&gt;0,TEXT(C_Ope_004[[#This Row],[fecha]],"mmmm"),0)</f>
        <v>Febrero</v>
      </c>
      <c r="AB38" s="49"/>
    </row>
    <row r="39" spans="1:28" ht="24" x14ac:dyDescent="0.3">
      <c r="A39" s="2">
        <f>IF(C_Ope_004[[#This Row],[tipo_r]]="R",COUNTIFS($C$1:$C38,"R")+1,"")</f>
        <v>38</v>
      </c>
      <c r="B39" s="19" t="str">
        <f t="shared" si="6"/>
        <v>C_Ope_004</v>
      </c>
      <c r="C39" s="3" t="s">
        <v>1330</v>
      </c>
      <c r="D39" s="14">
        <v>45691</v>
      </c>
      <c r="E39" s="5" t="s">
        <v>8466</v>
      </c>
      <c r="F39" s="5" t="s">
        <v>1336</v>
      </c>
      <c r="G39" s="6" t="s">
        <v>979</v>
      </c>
      <c r="H39" s="6" t="s">
        <v>68</v>
      </c>
      <c r="I39" s="6" t="s">
        <v>8209</v>
      </c>
      <c r="J39" s="6">
        <v>555530</v>
      </c>
      <c r="K39" s="7" t="s">
        <v>8471</v>
      </c>
      <c r="L39" s="8">
        <v>22877</v>
      </c>
      <c r="M39" s="8" t="str">
        <f t="shared" si="5"/>
        <v>PEN</v>
      </c>
      <c r="N39" s="13"/>
      <c r="O39" s="13">
        <v>15</v>
      </c>
      <c r="P39" s="3">
        <f t="shared" si="1"/>
        <v>0</v>
      </c>
      <c r="Q39" s="3">
        <f t="shared" si="2"/>
        <v>15</v>
      </c>
      <c r="R39" s="3">
        <f t="shared" si="3"/>
        <v>585.99</v>
      </c>
      <c r="S39" s="24" t="s">
        <v>1334</v>
      </c>
      <c r="T39" s="24" t="s">
        <v>1334</v>
      </c>
      <c r="U39" s="3"/>
      <c r="V39" s="25" t="s">
        <v>8277</v>
      </c>
      <c r="W39" s="25">
        <v>20550372640</v>
      </c>
      <c r="X39" s="25" t="str">
        <f>IFERROR(VLOOKUP(C_Ope_004[[#This Row],[nota_2]],Clientes_Proveedores[[Ruc / Dni]:[Razon Social]],2,0),"")</f>
        <v>RUTAS DE LIMA S.A.C.</v>
      </c>
      <c r="Y39" s="25"/>
      <c r="Z39" s="103"/>
      <c r="AA39" s="3" t="str">
        <f>IF(C_Ope_004[[#This Row],[fecha]]&gt;0,TEXT(C_Ope_004[[#This Row],[fecha]],"mmmm"),0)</f>
        <v>Febrero</v>
      </c>
      <c r="AB39" s="49"/>
    </row>
    <row r="40" spans="1:28" ht="24" x14ac:dyDescent="0.3">
      <c r="A40" s="2">
        <f>IF(C_Ope_004[[#This Row],[tipo_r]]="R",COUNTIFS($C$1:$C39,"R")+1,"")</f>
        <v>39</v>
      </c>
      <c r="B40" s="19" t="str">
        <f t="shared" si="6"/>
        <v>C_Ope_004</v>
      </c>
      <c r="C40" s="3" t="s">
        <v>1330</v>
      </c>
      <c r="D40" s="14">
        <v>45691</v>
      </c>
      <c r="E40" s="5" t="s">
        <v>8466</v>
      </c>
      <c r="F40" s="5" t="s">
        <v>1336</v>
      </c>
      <c r="G40" s="6" t="s">
        <v>979</v>
      </c>
      <c r="H40" s="6" t="s">
        <v>68</v>
      </c>
      <c r="I40" s="6" t="s">
        <v>8468</v>
      </c>
      <c r="J40" s="6">
        <v>3061336</v>
      </c>
      <c r="K40" s="7" t="s">
        <v>8472</v>
      </c>
      <c r="L40" s="8">
        <v>22878</v>
      </c>
      <c r="M40" s="8" t="str">
        <f t="shared" si="5"/>
        <v>PEN</v>
      </c>
      <c r="N40" s="13"/>
      <c r="O40" s="13">
        <v>15</v>
      </c>
      <c r="P40" s="3">
        <f t="shared" si="1"/>
        <v>0</v>
      </c>
      <c r="Q40" s="3">
        <f t="shared" si="2"/>
        <v>15</v>
      </c>
      <c r="R40" s="3">
        <f t="shared" si="3"/>
        <v>570.99</v>
      </c>
      <c r="S40" s="24" t="s">
        <v>1334</v>
      </c>
      <c r="T40" s="24" t="s">
        <v>1334</v>
      </c>
      <c r="U40" s="3"/>
      <c r="V40" s="25" t="s">
        <v>8277</v>
      </c>
      <c r="W40" s="25">
        <v>20550372640</v>
      </c>
      <c r="X40" s="25" t="str">
        <f>IFERROR(VLOOKUP(C_Ope_004[[#This Row],[nota_2]],Clientes_Proveedores[[Ruc / Dni]:[Razon Social]],2,0),"")</f>
        <v>RUTAS DE LIMA S.A.C.</v>
      </c>
      <c r="Y40" s="25"/>
      <c r="Z40" s="103"/>
      <c r="AA40" s="3" t="str">
        <f>IF(C_Ope_004[[#This Row],[fecha]]&gt;0,TEXT(C_Ope_004[[#This Row],[fecha]],"mmmm"),0)</f>
        <v>Febrero</v>
      </c>
      <c r="AB40" s="49"/>
    </row>
    <row r="41" spans="1:28" ht="24" x14ac:dyDescent="0.3">
      <c r="A41" s="2">
        <f>IF(C_Ope_004[[#This Row],[tipo_r]]="R",COUNTIFS($C$1:$C40,"R")+1,"")</f>
        <v>40</v>
      </c>
      <c r="B41" s="19" t="str">
        <f t="shared" si="6"/>
        <v>C_Ope_004</v>
      </c>
      <c r="C41" s="3" t="s">
        <v>1330</v>
      </c>
      <c r="D41" s="14">
        <v>45693</v>
      </c>
      <c r="E41" s="5" t="s">
        <v>8466</v>
      </c>
      <c r="F41" s="5" t="s">
        <v>1336</v>
      </c>
      <c r="G41" s="6" t="s">
        <v>979</v>
      </c>
      <c r="H41" s="6" t="s">
        <v>68</v>
      </c>
      <c r="I41" s="6" t="s">
        <v>6204</v>
      </c>
      <c r="J41" s="6">
        <v>3294787</v>
      </c>
      <c r="K41" s="7" t="s">
        <v>8278</v>
      </c>
      <c r="L41" s="8">
        <v>22906</v>
      </c>
      <c r="M41" s="8" t="str">
        <f t="shared" si="5"/>
        <v>PEN</v>
      </c>
      <c r="N41" s="13"/>
      <c r="O41" s="13">
        <v>15</v>
      </c>
      <c r="P41" s="3">
        <f t="shared" si="1"/>
        <v>0</v>
      </c>
      <c r="Q41" s="3">
        <f t="shared" si="2"/>
        <v>15</v>
      </c>
      <c r="R41" s="3">
        <f t="shared" si="3"/>
        <v>555.99</v>
      </c>
      <c r="S41" s="24" t="s">
        <v>1334</v>
      </c>
      <c r="T41" s="24" t="s">
        <v>1334</v>
      </c>
      <c r="U41" s="3"/>
      <c r="V41" s="25" t="s">
        <v>8277</v>
      </c>
      <c r="W41" s="25">
        <v>20550372640</v>
      </c>
      <c r="X41" s="25" t="str">
        <f>IFERROR(VLOOKUP(C_Ope_004[[#This Row],[nota_2]],Clientes_Proveedores[[Ruc / Dni]:[Razon Social]],2,0),"")</f>
        <v>RUTAS DE LIMA S.A.C.</v>
      </c>
      <c r="Y41" s="25"/>
      <c r="Z41" s="103"/>
      <c r="AA41" s="3" t="str">
        <f>IF(C_Ope_004[[#This Row],[fecha]]&gt;0,TEXT(C_Ope_004[[#This Row],[fecha]],"mmmm"),0)</f>
        <v>Febrero</v>
      </c>
      <c r="AB41" s="49"/>
    </row>
    <row r="42" spans="1:28" ht="24" x14ac:dyDescent="0.3">
      <c r="A42" s="2">
        <f>IF(C_Ope_004[[#This Row],[tipo_r]]="R",COUNTIFS($C$1:$C41,"R")+1,"")</f>
        <v>41</v>
      </c>
      <c r="B42" s="19" t="str">
        <f t="shared" si="6"/>
        <v>C_Ope_004</v>
      </c>
      <c r="C42" s="3" t="s">
        <v>1330</v>
      </c>
      <c r="D42" s="14">
        <v>45693</v>
      </c>
      <c r="E42" s="5" t="s">
        <v>8466</v>
      </c>
      <c r="F42" s="5" t="s">
        <v>1336</v>
      </c>
      <c r="G42" s="6" t="s">
        <v>979</v>
      </c>
      <c r="H42" s="6" t="s">
        <v>68</v>
      </c>
      <c r="I42" s="6" t="s">
        <v>8434</v>
      </c>
      <c r="J42" s="6">
        <v>3610448</v>
      </c>
      <c r="K42" s="7" t="s">
        <v>8276</v>
      </c>
      <c r="L42" s="8">
        <v>22907</v>
      </c>
      <c r="M42" s="8" t="str">
        <f t="shared" si="5"/>
        <v>PEN</v>
      </c>
      <c r="N42" s="13"/>
      <c r="O42" s="13">
        <v>15</v>
      </c>
      <c r="P42" s="3">
        <f t="shared" si="1"/>
        <v>0</v>
      </c>
      <c r="Q42" s="3">
        <f t="shared" si="2"/>
        <v>15</v>
      </c>
      <c r="R42" s="3">
        <f t="shared" si="3"/>
        <v>540.99</v>
      </c>
      <c r="S42" s="24" t="s">
        <v>1334</v>
      </c>
      <c r="T42" s="24" t="s">
        <v>1334</v>
      </c>
      <c r="U42" s="3"/>
      <c r="V42" s="25" t="s">
        <v>8277</v>
      </c>
      <c r="W42" s="25">
        <v>20550372640</v>
      </c>
      <c r="X42" s="25" t="str">
        <f>IFERROR(VLOOKUP(C_Ope_004[[#This Row],[nota_2]],Clientes_Proveedores[[Ruc / Dni]:[Razon Social]],2,0),"")</f>
        <v>RUTAS DE LIMA S.A.C.</v>
      </c>
      <c r="Y42" s="25"/>
      <c r="Z42" s="103"/>
      <c r="AA42" s="3" t="str">
        <f>IF(C_Ope_004[[#This Row],[fecha]]&gt;0,TEXT(C_Ope_004[[#This Row],[fecha]],"mmmm"),0)</f>
        <v>Febrero</v>
      </c>
      <c r="AB42" s="49"/>
    </row>
    <row r="43" spans="1:28" ht="24" x14ac:dyDescent="0.3">
      <c r="A43" s="2">
        <f>IF(C_Ope_004[[#This Row],[tipo_r]]="R",COUNTIFS($C$1:$C42,"R")+1,"")</f>
        <v>42</v>
      </c>
      <c r="B43" s="19" t="str">
        <f t="shared" si="6"/>
        <v>C_Ope_004</v>
      </c>
      <c r="C43" s="3" t="s">
        <v>1330</v>
      </c>
      <c r="D43" s="14">
        <v>45692</v>
      </c>
      <c r="E43" s="5" t="s">
        <v>8466</v>
      </c>
      <c r="F43" s="5" t="s">
        <v>1336</v>
      </c>
      <c r="G43" s="6" t="s">
        <v>735</v>
      </c>
      <c r="H43" s="6" t="s">
        <v>68</v>
      </c>
      <c r="I43" s="6" t="s">
        <v>3078</v>
      </c>
      <c r="J43" s="6">
        <v>39236</v>
      </c>
      <c r="K43" s="7" t="s">
        <v>8476</v>
      </c>
      <c r="L43" s="8">
        <v>22879</v>
      </c>
      <c r="M43" s="8" t="str">
        <f t="shared" si="5"/>
        <v>PEN</v>
      </c>
      <c r="N43" s="13"/>
      <c r="O43" s="13">
        <v>55</v>
      </c>
      <c r="P43" s="3">
        <f t="shared" si="1"/>
        <v>0</v>
      </c>
      <c r="Q43" s="3">
        <f t="shared" si="2"/>
        <v>55</v>
      </c>
      <c r="R43" s="3">
        <f t="shared" si="3"/>
        <v>485.99</v>
      </c>
      <c r="S43" s="24" t="s">
        <v>1334</v>
      </c>
      <c r="T43" s="24" t="s">
        <v>1334</v>
      </c>
      <c r="U43" s="3"/>
      <c r="V43" s="25" t="s">
        <v>8277</v>
      </c>
      <c r="W43" s="25">
        <v>20514148539</v>
      </c>
      <c r="X43" s="25" t="str">
        <f>IFERROR(VLOOKUP(C_Ope_004[[#This Row],[nota_2]],Clientes_Proveedores[[Ruc / Dni]:[Razon Social]],2,0),"")</f>
        <v>NEGOCIACIONES ABBYCORP E.I.R.L.</v>
      </c>
      <c r="Y43" s="25"/>
      <c r="Z43" s="103"/>
      <c r="AA43" s="3" t="str">
        <f>IF(C_Ope_004[[#This Row],[fecha]]&gt;0,TEXT(C_Ope_004[[#This Row],[fecha]],"mmmm"),0)</f>
        <v>Febrero</v>
      </c>
      <c r="AB43" s="49"/>
    </row>
    <row r="44" spans="1:28" ht="24" x14ac:dyDescent="0.3">
      <c r="A44" s="2">
        <f>IF(C_Ope_004[[#This Row],[tipo_r]]="R",COUNTIFS($C$1:$C43,"R")+1,"")</f>
        <v>43</v>
      </c>
      <c r="B44" s="19" t="str">
        <f t="shared" si="6"/>
        <v>C_Ope_004</v>
      </c>
      <c r="C44" s="3" t="s">
        <v>1330</v>
      </c>
      <c r="D44" s="14">
        <v>45698</v>
      </c>
      <c r="E44" s="5" t="s">
        <v>8466</v>
      </c>
      <c r="F44" s="5" t="s">
        <v>1336</v>
      </c>
      <c r="G44" s="6" t="s">
        <v>979</v>
      </c>
      <c r="H44" s="6" t="s">
        <v>68</v>
      </c>
      <c r="I44" s="6" t="s">
        <v>5627</v>
      </c>
      <c r="J44" s="6">
        <v>1115353</v>
      </c>
      <c r="K44" s="7" t="s">
        <v>8278</v>
      </c>
      <c r="L44" s="8">
        <v>23038</v>
      </c>
      <c r="M44" s="8" t="str">
        <f t="shared" si="5"/>
        <v>PEN</v>
      </c>
      <c r="N44" s="13"/>
      <c r="O44" s="13">
        <v>15</v>
      </c>
      <c r="P44" s="3">
        <f t="shared" si="1"/>
        <v>0</v>
      </c>
      <c r="Q44" s="3">
        <f t="shared" si="2"/>
        <v>15</v>
      </c>
      <c r="R44" s="3">
        <f t="shared" si="3"/>
        <v>470.99</v>
      </c>
      <c r="S44" s="24" t="s">
        <v>1334</v>
      </c>
      <c r="T44" s="24" t="s">
        <v>1334</v>
      </c>
      <c r="U44" s="3"/>
      <c r="V44" s="25" t="s">
        <v>8277</v>
      </c>
      <c r="W44" s="25">
        <v>20550372640</v>
      </c>
      <c r="X44" s="25" t="str">
        <f>IFERROR(VLOOKUP(C_Ope_004[[#This Row],[nota_2]],Clientes_Proveedores[[Ruc / Dni]:[Razon Social]],2,0),"")</f>
        <v>RUTAS DE LIMA S.A.C.</v>
      </c>
      <c r="Y44" s="25"/>
      <c r="Z44" s="103"/>
      <c r="AA44" s="3" t="str">
        <f>IF(C_Ope_004[[#This Row],[fecha]]&gt;0,TEXT(C_Ope_004[[#This Row],[fecha]],"mmmm"),0)</f>
        <v>Febrero</v>
      </c>
      <c r="AB44" s="49"/>
    </row>
    <row r="45" spans="1:28" ht="24" x14ac:dyDescent="0.3">
      <c r="A45" s="2">
        <f>IF(C_Ope_004[[#This Row],[tipo_r]]="R",COUNTIFS($C$1:$C44,"R")+1,"")</f>
        <v>44</v>
      </c>
      <c r="B45" s="19" t="str">
        <f t="shared" si="6"/>
        <v>C_Ope_004</v>
      </c>
      <c r="C45" s="3" t="s">
        <v>1330</v>
      </c>
      <c r="D45" s="14">
        <v>45698</v>
      </c>
      <c r="E45" s="5" t="s">
        <v>8466</v>
      </c>
      <c r="F45" s="5" t="s">
        <v>1336</v>
      </c>
      <c r="G45" s="6" t="s">
        <v>979</v>
      </c>
      <c r="H45" s="6" t="s">
        <v>68</v>
      </c>
      <c r="I45" s="6" t="s">
        <v>8211</v>
      </c>
      <c r="J45" s="6">
        <v>2914672</v>
      </c>
      <c r="K45" s="7" t="s">
        <v>8276</v>
      </c>
      <c r="L45" s="8">
        <v>23039</v>
      </c>
      <c r="M45" s="8" t="str">
        <f t="shared" si="5"/>
        <v>PEN</v>
      </c>
      <c r="N45" s="13"/>
      <c r="O45" s="13">
        <v>15</v>
      </c>
      <c r="P45" s="3">
        <f t="shared" si="1"/>
        <v>0</v>
      </c>
      <c r="Q45" s="3">
        <f t="shared" si="2"/>
        <v>15</v>
      </c>
      <c r="R45" s="3">
        <f t="shared" si="3"/>
        <v>455.99</v>
      </c>
      <c r="S45" s="24" t="s">
        <v>1334</v>
      </c>
      <c r="T45" s="24" t="s">
        <v>1334</v>
      </c>
      <c r="U45" s="3"/>
      <c r="V45" s="25" t="s">
        <v>8277</v>
      </c>
      <c r="W45" s="25">
        <v>20550372640</v>
      </c>
      <c r="X45" s="25" t="str">
        <f>IFERROR(VLOOKUP(C_Ope_004[[#This Row],[nota_2]],Clientes_Proveedores[[Ruc / Dni]:[Razon Social]],2,0),"")</f>
        <v>RUTAS DE LIMA S.A.C.</v>
      </c>
      <c r="Y45" s="25"/>
      <c r="Z45" s="103"/>
      <c r="AA45" s="3" t="str">
        <f>IF(C_Ope_004[[#This Row],[fecha]]&gt;0,TEXT(C_Ope_004[[#This Row],[fecha]],"mmmm"),0)</f>
        <v>Febrero</v>
      </c>
      <c r="AB45" s="49"/>
    </row>
    <row r="46" spans="1:28" ht="24" x14ac:dyDescent="0.3">
      <c r="A46" s="2">
        <f>IF(C_Ope_004[[#This Row],[tipo_r]]="R",COUNTIFS($C$1:$C45,"R")+1,"")</f>
        <v>45</v>
      </c>
      <c r="B46" s="19" t="str">
        <f t="shared" si="6"/>
        <v>C_Ope_004</v>
      </c>
      <c r="C46" s="3" t="s">
        <v>1330</v>
      </c>
      <c r="D46" s="14">
        <v>45700</v>
      </c>
      <c r="E46" s="5" t="s">
        <v>8466</v>
      </c>
      <c r="F46" s="5" t="s">
        <v>1336</v>
      </c>
      <c r="G46" s="6" t="s">
        <v>979</v>
      </c>
      <c r="H46" s="6" t="s">
        <v>68</v>
      </c>
      <c r="I46" s="6" t="s">
        <v>8211</v>
      </c>
      <c r="J46" s="6">
        <v>2916586</v>
      </c>
      <c r="K46" s="7" t="s">
        <v>8472</v>
      </c>
      <c r="L46" s="8">
        <v>23040</v>
      </c>
      <c r="M46" s="8" t="str">
        <f t="shared" si="5"/>
        <v>PEN</v>
      </c>
      <c r="N46" s="13"/>
      <c r="O46" s="13">
        <v>15</v>
      </c>
      <c r="P46" s="3">
        <f t="shared" si="1"/>
        <v>0</v>
      </c>
      <c r="Q46" s="3">
        <f t="shared" si="2"/>
        <v>15</v>
      </c>
      <c r="R46" s="3">
        <f t="shared" si="3"/>
        <v>440.99</v>
      </c>
      <c r="S46" s="24" t="s">
        <v>1334</v>
      </c>
      <c r="T46" s="24" t="s">
        <v>1334</v>
      </c>
      <c r="U46" s="3"/>
      <c r="V46" s="25" t="s">
        <v>8277</v>
      </c>
      <c r="W46" s="25">
        <v>20550372640</v>
      </c>
      <c r="X46" s="25" t="str">
        <f>IFERROR(VLOOKUP(C_Ope_004[[#This Row],[nota_2]],Clientes_Proveedores[[Ruc / Dni]:[Razon Social]],2,0),"")</f>
        <v>RUTAS DE LIMA S.A.C.</v>
      </c>
      <c r="Y46" s="25"/>
      <c r="Z46" s="103"/>
      <c r="AA46" s="3" t="str">
        <f>IF(C_Ope_004[[#This Row],[fecha]]&gt;0,TEXT(C_Ope_004[[#This Row],[fecha]],"mmmm"),0)</f>
        <v>Febrero</v>
      </c>
      <c r="AB46" s="49"/>
    </row>
    <row r="47" spans="1:28" ht="24" x14ac:dyDescent="0.3">
      <c r="A47" s="2">
        <f>IF(C_Ope_004[[#This Row],[tipo_r]]="R",COUNTIFS($C$1:$C46,"R")+1,"")</f>
        <v>46</v>
      </c>
      <c r="B47" s="19" t="str">
        <f t="shared" si="6"/>
        <v>C_Ope_004</v>
      </c>
      <c r="C47" s="3" t="s">
        <v>1330</v>
      </c>
      <c r="D47" s="14">
        <v>45700</v>
      </c>
      <c r="E47" s="5" t="s">
        <v>8466</v>
      </c>
      <c r="F47" s="5" t="s">
        <v>1336</v>
      </c>
      <c r="G47" s="6" t="s">
        <v>979</v>
      </c>
      <c r="H47" s="6" t="s">
        <v>68</v>
      </c>
      <c r="I47" s="6" t="s">
        <v>8467</v>
      </c>
      <c r="J47" s="6">
        <v>1557160</v>
      </c>
      <c r="K47" s="7" t="s">
        <v>8471</v>
      </c>
      <c r="L47" s="8">
        <v>23041</v>
      </c>
      <c r="M47" s="8" t="str">
        <f t="shared" si="5"/>
        <v>PEN</v>
      </c>
      <c r="N47" s="13"/>
      <c r="O47" s="13">
        <v>15</v>
      </c>
      <c r="P47" s="3">
        <f t="shared" si="1"/>
        <v>0</v>
      </c>
      <c r="Q47" s="3">
        <f t="shared" si="2"/>
        <v>15</v>
      </c>
      <c r="R47" s="3">
        <f t="shared" si="3"/>
        <v>425.99</v>
      </c>
      <c r="S47" s="24" t="s">
        <v>1334</v>
      </c>
      <c r="T47" s="24" t="s">
        <v>1334</v>
      </c>
      <c r="U47" s="3"/>
      <c r="V47" s="25" t="s">
        <v>8277</v>
      </c>
      <c r="W47" s="25">
        <v>20550372640</v>
      </c>
      <c r="X47" s="25" t="str">
        <f>IFERROR(VLOOKUP(C_Ope_004[[#This Row],[nota_2]],Clientes_Proveedores[[Ruc / Dni]:[Razon Social]],2,0),"")</f>
        <v>RUTAS DE LIMA S.A.C.</v>
      </c>
      <c r="Y47" s="25"/>
      <c r="Z47" s="103"/>
      <c r="AA47" s="3" t="str">
        <f>IF(C_Ope_004[[#This Row],[fecha]]&gt;0,TEXT(C_Ope_004[[#This Row],[fecha]],"mmmm"),0)</f>
        <v>Febrero</v>
      </c>
      <c r="AB47" s="49"/>
    </row>
    <row r="48" spans="1:28" ht="24" x14ac:dyDescent="0.3">
      <c r="A48" s="2">
        <f>IF(C_Ope_004[[#This Row],[tipo_r]]="R",COUNTIFS($C$1:$C47,"R")+1,"")</f>
        <v>47</v>
      </c>
      <c r="B48" s="19" t="str">
        <f t="shared" si="6"/>
        <v>C_Ope_004</v>
      </c>
      <c r="C48" s="3" t="s">
        <v>1330</v>
      </c>
      <c r="D48" s="14">
        <v>45701</v>
      </c>
      <c r="E48" s="5" t="s">
        <v>8466</v>
      </c>
      <c r="F48" s="5" t="s">
        <v>1336</v>
      </c>
      <c r="G48" s="6" t="s">
        <v>979</v>
      </c>
      <c r="H48" s="6" t="s">
        <v>68</v>
      </c>
      <c r="I48" s="6" t="s">
        <v>8209</v>
      </c>
      <c r="J48" s="6">
        <v>559018</v>
      </c>
      <c r="K48" s="7" t="s">
        <v>8278</v>
      </c>
      <c r="L48" s="8">
        <v>23042</v>
      </c>
      <c r="M48" s="8" t="str">
        <f t="shared" si="5"/>
        <v>PEN</v>
      </c>
      <c r="N48" s="13"/>
      <c r="O48" s="13">
        <v>15</v>
      </c>
      <c r="P48" s="3">
        <f t="shared" si="1"/>
        <v>0</v>
      </c>
      <c r="Q48" s="3">
        <f t="shared" si="2"/>
        <v>15</v>
      </c>
      <c r="R48" s="3">
        <f t="shared" si="3"/>
        <v>410.99</v>
      </c>
      <c r="S48" s="24" t="s">
        <v>1334</v>
      </c>
      <c r="T48" s="24" t="s">
        <v>1334</v>
      </c>
      <c r="U48" s="3"/>
      <c r="V48" s="25" t="s">
        <v>8277</v>
      </c>
      <c r="W48" s="25">
        <v>20550372640</v>
      </c>
      <c r="X48" s="25" t="str">
        <f>IFERROR(VLOOKUP(C_Ope_004[[#This Row],[nota_2]],Clientes_Proveedores[[Ruc / Dni]:[Razon Social]],2,0),"")</f>
        <v>RUTAS DE LIMA S.A.C.</v>
      </c>
      <c r="Y48" s="25"/>
      <c r="Z48" s="103"/>
      <c r="AA48" s="3" t="str">
        <f>IF(C_Ope_004[[#This Row],[fecha]]&gt;0,TEXT(C_Ope_004[[#This Row],[fecha]],"mmmm"),0)</f>
        <v>Febrero</v>
      </c>
      <c r="AB48" s="49"/>
    </row>
    <row r="49" spans="1:28" ht="24" x14ac:dyDescent="0.3">
      <c r="A49" s="2">
        <f>IF(C_Ope_004[[#This Row],[tipo_r]]="R",COUNTIFS($C$1:$C48,"R")+1,"")</f>
        <v>48</v>
      </c>
      <c r="B49" s="19" t="str">
        <f t="shared" si="6"/>
        <v>C_Ope_004</v>
      </c>
      <c r="C49" s="3" t="s">
        <v>1330</v>
      </c>
      <c r="D49" s="14">
        <v>45701</v>
      </c>
      <c r="E49" s="5" t="s">
        <v>8466</v>
      </c>
      <c r="F49" s="5" t="s">
        <v>1336</v>
      </c>
      <c r="G49" s="6" t="s">
        <v>979</v>
      </c>
      <c r="H49" s="6" t="s">
        <v>68</v>
      </c>
      <c r="I49" s="6" t="s">
        <v>8211</v>
      </c>
      <c r="J49" s="6">
        <v>2917508</v>
      </c>
      <c r="K49" s="7" t="s">
        <v>8276</v>
      </c>
      <c r="L49" s="8">
        <v>23043</v>
      </c>
      <c r="M49" s="8" t="str">
        <f t="shared" si="5"/>
        <v>PEN</v>
      </c>
      <c r="N49" s="13"/>
      <c r="O49" s="13">
        <v>15</v>
      </c>
      <c r="P49" s="3">
        <f t="shared" si="1"/>
        <v>0</v>
      </c>
      <c r="Q49" s="3">
        <f t="shared" si="2"/>
        <v>15</v>
      </c>
      <c r="R49" s="3">
        <f t="shared" si="3"/>
        <v>395.99</v>
      </c>
      <c r="S49" s="24" t="s">
        <v>1334</v>
      </c>
      <c r="T49" s="24" t="s">
        <v>1334</v>
      </c>
      <c r="U49" s="3"/>
      <c r="V49" s="25" t="s">
        <v>8277</v>
      </c>
      <c r="W49" s="25">
        <v>20550372640</v>
      </c>
      <c r="X49" s="25" t="str">
        <f>IFERROR(VLOOKUP(C_Ope_004[[#This Row],[nota_2]],Clientes_Proveedores[[Ruc / Dni]:[Razon Social]],2,0),"")</f>
        <v>RUTAS DE LIMA S.A.C.</v>
      </c>
      <c r="Y49" s="25"/>
      <c r="Z49" s="103"/>
      <c r="AA49" s="3" t="str">
        <f>IF(C_Ope_004[[#This Row],[fecha]]&gt;0,TEXT(C_Ope_004[[#This Row],[fecha]],"mmmm"),0)</f>
        <v>Febrero</v>
      </c>
      <c r="AB49" s="49"/>
    </row>
    <row r="50" spans="1:28" ht="24" x14ac:dyDescent="0.3">
      <c r="A50" s="2">
        <f>IF(C_Ope_004[[#This Row],[tipo_r]]="R",COUNTIFS($C$1:$C49,"R")+1,"")</f>
        <v>49</v>
      </c>
      <c r="B50" s="19" t="str">
        <f t="shared" si="6"/>
        <v>C_Ope_004</v>
      </c>
      <c r="C50" s="3" t="s">
        <v>1330</v>
      </c>
      <c r="D50" s="14">
        <v>45702</v>
      </c>
      <c r="E50" s="5" t="s">
        <v>8466</v>
      </c>
      <c r="F50" s="5" t="s">
        <v>1336</v>
      </c>
      <c r="G50" s="6" t="s">
        <v>735</v>
      </c>
      <c r="H50" s="6" t="s">
        <v>68</v>
      </c>
      <c r="I50" s="6" t="s">
        <v>3078</v>
      </c>
      <c r="J50" s="6">
        <v>39430</v>
      </c>
      <c r="K50" s="7" t="s">
        <v>8473</v>
      </c>
      <c r="L50" s="8">
        <v>23083</v>
      </c>
      <c r="M50" s="8" t="str">
        <f t="shared" si="5"/>
        <v>PEN</v>
      </c>
      <c r="N50" s="13"/>
      <c r="O50" s="13">
        <v>55</v>
      </c>
      <c r="P50" s="3">
        <f t="shared" si="1"/>
        <v>0</v>
      </c>
      <c r="Q50" s="3">
        <f t="shared" si="2"/>
        <v>55</v>
      </c>
      <c r="R50" s="3">
        <f t="shared" si="3"/>
        <v>340.99</v>
      </c>
      <c r="S50" s="24" t="s">
        <v>1334</v>
      </c>
      <c r="T50" s="24" t="s">
        <v>1334</v>
      </c>
      <c r="U50" s="3"/>
      <c r="V50" s="25" t="s">
        <v>8277</v>
      </c>
      <c r="W50" s="25">
        <v>20514148539</v>
      </c>
      <c r="X50" s="25" t="str">
        <f>IFERROR(VLOOKUP(C_Ope_004[[#This Row],[nota_2]],Clientes_Proveedores[[Ruc / Dni]:[Razon Social]],2,0),"")</f>
        <v>NEGOCIACIONES ABBYCORP E.I.R.L.</v>
      </c>
      <c r="Y50" s="25"/>
      <c r="Z50" s="103"/>
      <c r="AA50" s="3" t="str">
        <f>IF(C_Ope_004[[#This Row],[fecha]]&gt;0,TEXT(C_Ope_004[[#This Row],[fecha]],"mmmm"),0)</f>
        <v>Febrero</v>
      </c>
      <c r="AB50" s="49"/>
    </row>
    <row r="51" spans="1:28" ht="24" x14ac:dyDescent="0.3">
      <c r="A51" s="2">
        <f>IF(C_Ope_004[[#This Row],[tipo_r]]="R",COUNTIFS($C$1:$C50,"R")+1,"")</f>
        <v>50</v>
      </c>
      <c r="B51" s="19" t="str">
        <f t="shared" si="6"/>
        <v>C_Ope_004</v>
      </c>
      <c r="C51" s="3" t="s">
        <v>1330</v>
      </c>
      <c r="D51" s="14">
        <v>45706</v>
      </c>
      <c r="E51" s="5" t="s">
        <v>8466</v>
      </c>
      <c r="F51" s="5" t="s">
        <v>1336</v>
      </c>
      <c r="G51" s="6" t="s">
        <v>979</v>
      </c>
      <c r="H51" s="6" t="s">
        <v>68</v>
      </c>
      <c r="I51" s="6" t="s">
        <v>8467</v>
      </c>
      <c r="J51" s="6">
        <v>1560826</v>
      </c>
      <c r="K51" s="7" t="s">
        <v>8471</v>
      </c>
      <c r="L51" s="8">
        <v>23084</v>
      </c>
      <c r="M51" s="8" t="str">
        <f t="shared" si="5"/>
        <v>PEN</v>
      </c>
      <c r="N51" s="13"/>
      <c r="O51" s="13">
        <v>15</v>
      </c>
      <c r="P51" s="3">
        <f t="shared" si="1"/>
        <v>0</v>
      </c>
      <c r="Q51" s="3">
        <f t="shared" si="2"/>
        <v>15</v>
      </c>
      <c r="R51" s="3">
        <f t="shared" si="3"/>
        <v>325.99</v>
      </c>
      <c r="S51" s="24" t="s">
        <v>1334</v>
      </c>
      <c r="T51" s="24" t="s">
        <v>1334</v>
      </c>
      <c r="U51" s="3"/>
      <c r="V51" s="25" t="s">
        <v>8277</v>
      </c>
      <c r="W51" s="25">
        <v>20550372640</v>
      </c>
      <c r="X51" s="25" t="str">
        <f>IFERROR(VLOOKUP(C_Ope_004[[#This Row],[nota_2]],Clientes_Proveedores[[Ruc / Dni]:[Razon Social]],2,0),"")</f>
        <v>RUTAS DE LIMA S.A.C.</v>
      </c>
      <c r="Y51" s="25"/>
      <c r="Z51" s="103"/>
      <c r="AA51" s="3" t="str">
        <f>IF(C_Ope_004[[#This Row],[fecha]]&gt;0,TEXT(C_Ope_004[[#This Row],[fecha]],"mmmm"),0)</f>
        <v>Febrero</v>
      </c>
      <c r="AB51" s="49"/>
    </row>
    <row r="52" spans="1:28" ht="24" x14ac:dyDescent="0.3">
      <c r="A52" s="2">
        <f>IF(C_Ope_004[[#This Row],[tipo_r]]="R",COUNTIFS($C$1:$C51,"R")+1,"")</f>
        <v>51</v>
      </c>
      <c r="B52" s="19" t="str">
        <f t="shared" si="6"/>
        <v>C_Ope_004</v>
      </c>
      <c r="C52" s="3" t="s">
        <v>1330</v>
      </c>
      <c r="D52" s="14">
        <v>45706</v>
      </c>
      <c r="E52" s="5" t="s">
        <v>8466</v>
      </c>
      <c r="F52" s="5" t="s">
        <v>1336</v>
      </c>
      <c r="G52" s="6" t="s">
        <v>979</v>
      </c>
      <c r="H52" s="6" t="s">
        <v>68</v>
      </c>
      <c r="I52" s="6" t="s">
        <v>8434</v>
      </c>
      <c r="J52" s="6">
        <v>3623790</v>
      </c>
      <c r="K52" s="7" t="s">
        <v>8472</v>
      </c>
      <c r="L52" s="8">
        <v>23085</v>
      </c>
      <c r="M52" s="8" t="str">
        <f t="shared" si="5"/>
        <v>PEN</v>
      </c>
      <c r="N52" s="13"/>
      <c r="O52" s="13">
        <v>15</v>
      </c>
      <c r="P52" s="3">
        <f t="shared" si="1"/>
        <v>0</v>
      </c>
      <c r="Q52" s="3">
        <f t="shared" si="2"/>
        <v>15</v>
      </c>
      <c r="R52" s="3">
        <f t="shared" si="3"/>
        <v>310.99</v>
      </c>
      <c r="S52" s="24" t="s">
        <v>1334</v>
      </c>
      <c r="T52" s="24" t="s">
        <v>1334</v>
      </c>
      <c r="U52" s="3"/>
      <c r="V52" s="25" t="s">
        <v>8277</v>
      </c>
      <c r="W52" s="25">
        <v>20550372640</v>
      </c>
      <c r="X52" s="25" t="str">
        <f>IFERROR(VLOOKUP(C_Ope_004[[#This Row],[nota_2]],Clientes_Proveedores[[Ruc / Dni]:[Razon Social]],2,0),"")</f>
        <v>RUTAS DE LIMA S.A.C.</v>
      </c>
      <c r="Y52" s="25"/>
      <c r="Z52" s="103"/>
      <c r="AA52" s="3" t="str">
        <f>IF(C_Ope_004[[#This Row],[fecha]]&gt;0,TEXT(C_Ope_004[[#This Row],[fecha]],"mmmm"),0)</f>
        <v>Febrero</v>
      </c>
      <c r="AB52" s="49"/>
    </row>
    <row r="53" spans="1:28" ht="24" x14ac:dyDescent="0.3">
      <c r="A53" s="2">
        <f>IF(C_Ope_004[[#This Row],[tipo_r]]="R",COUNTIFS($C$1:$C52,"R")+1,"")</f>
        <v>52</v>
      </c>
      <c r="B53" s="19" t="str">
        <f t="shared" si="6"/>
        <v>C_Ope_004</v>
      </c>
      <c r="C53" s="3" t="s">
        <v>1330</v>
      </c>
      <c r="D53" s="14">
        <v>45707</v>
      </c>
      <c r="E53" s="5" t="s">
        <v>8466</v>
      </c>
      <c r="F53" s="5" t="s">
        <v>1336</v>
      </c>
      <c r="G53" s="6" t="s">
        <v>979</v>
      </c>
      <c r="H53" s="6" t="s">
        <v>68</v>
      </c>
      <c r="I53" s="6" t="s">
        <v>8477</v>
      </c>
      <c r="J53" s="6">
        <v>1194244</v>
      </c>
      <c r="K53" s="7" t="s">
        <v>8478</v>
      </c>
      <c r="L53" s="8">
        <v>23086</v>
      </c>
      <c r="M53" s="8" t="str">
        <f t="shared" si="5"/>
        <v>PEN</v>
      </c>
      <c r="N53" s="13"/>
      <c r="O53" s="13">
        <v>15</v>
      </c>
      <c r="P53" s="3">
        <f t="shared" si="1"/>
        <v>0</v>
      </c>
      <c r="Q53" s="3">
        <f t="shared" si="2"/>
        <v>15</v>
      </c>
      <c r="R53" s="3">
        <f t="shared" si="3"/>
        <v>295.99</v>
      </c>
      <c r="S53" s="24" t="s">
        <v>1334</v>
      </c>
      <c r="T53" s="24" t="s">
        <v>1334</v>
      </c>
      <c r="U53" s="3"/>
      <c r="V53" s="25" t="s">
        <v>8277</v>
      </c>
      <c r="W53" s="25">
        <v>20550372640</v>
      </c>
      <c r="X53" s="25" t="str">
        <f>IFERROR(VLOOKUP(C_Ope_004[[#This Row],[nota_2]],Clientes_Proveedores[[Ruc / Dni]:[Razon Social]],2,0),"")</f>
        <v>RUTAS DE LIMA S.A.C.</v>
      </c>
      <c r="Y53" s="25"/>
      <c r="Z53" s="103"/>
      <c r="AA53" s="3" t="str">
        <f>IF(C_Ope_004[[#This Row],[fecha]]&gt;0,TEXT(C_Ope_004[[#This Row],[fecha]],"mmmm"),0)</f>
        <v>Febrero</v>
      </c>
      <c r="AB53" s="49"/>
    </row>
    <row r="54" spans="1:28" ht="24" x14ac:dyDescent="0.3">
      <c r="A54" s="2">
        <f>IF(C_Ope_004[[#This Row],[tipo_r]]="R",COUNTIFS($C$1:$C53,"R")+1,"")</f>
        <v>53</v>
      </c>
      <c r="B54" s="19" t="str">
        <f t="shared" si="6"/>
        <v>C_Ope_004</v>
      </c>
      <c r="C54" s="3" t="s">
        <v>1330</v>
      </c>
      <c r="D54" s="14">
        <v>45707</v>
      </c>
      <c r="E54" s="5" t="s">
        <v>8466</v>
      </c>
      <c r="F54" s="5" t="s">
        <v>1336</v>
      </c>
      <c r="G54" s="6" t="s">
        <v>979</v>
      </c>
      <c r="H54" s="6" t="s">
        <v>68</v>
      </c>
      <c r="I54" s="6" t="s">
        <v>8434</v>
      </c>
      <c r="J54" s="6">
        <v>3624563</v>
      </c>
      <c r="K54" s="7" t="s">
        <v>8479</v>
      </c>
      <c r="L54" s="8">
        <v>23087</v>
      </c>
      <c r="M54" s="8" t="str">
        <f t="shared" si="5"/>
        <v>PEN</v>
      </c>
      <c r="N54" s="13"/>
      <c r="O54" s="13">
        <v>15</v>
      </c>
      <c r="P54" s="3">
        <f t="shared" si="1"/>
        <v>0</v>
      </c>
      <c r="Q54" s="3">
        <f t="shared" si="2"/>
        <v>15</v>
      </c>
      <c r="R54" s="3">
        <f t="shared" si="3"/>
        <v>280.99</v>
      </c>
      <c r="S54" s="24" t="s">
        <v>1334</v>
      </c>
      <c r="T54" s="24" t="s">
        <v>1334</v>
      </c>
      <c r="U54" s="3"/>
      <c r="V54" s="25" t="s">
        <v>8277</v>
      </c>
      <c r="W54" s="25">
        <v>20550372640</v>
      </c>
      <c r="X54" s="25" t="str">
        <f>IFERROR(VLOOKUP(C_Ope_004[[#This Row],[nota_2]],Clientes_Proveedores[[Ruc / Dni]:[Razon Social]],2,0),"")</f>
        <v>RUTAS DE LIMA S.A.C.</v>
      </c>
      <c r="Y54" s="25"/>
      <c r="Z54" s="103"/>
      <c r="AA54" s="3" t="str">
        <f>IF(C_Ope_004[[#This Row],[fecha]]&gt;0,TEXT(C_Ope_004[[#This Row],[fecha]],"mmmm"),0)</f>
        <v>Febrero</v>
      </c>
      <c r="AB54" s="49"/>
    </row>
    <row r="55" spans="1:28" ht="24" x14ac:dyDescent="0.3">
      <c r="A55" s="2">
        <f>IF(C_Ope_004[[#This Row],[tipo_r]]="R",COUNTIFS($C$1:$C54,"R")+1,"")</f>
        <v>54</v>
      </c>
      <c r="B55" s="19" t="str">
        <f t="shared" si="6"/>
        <v>C_Ope_004</v>
      </c>
      <c r="C55" s="3" t="s">
        <v>1330</v>
      </c>
      <c r="D55" s="14">
        <v>45715</v>
      </c>
      <c r="E55" s="5" t="s">
        <v>8466</v>
      </c>
      <c r="F55" s="5" t="s">
        <v>1336</v>
      </c>
      <c r="G55" s="6" t="s">
        <v>979</v>
      </c>
      <c r="H55" s="6" t="s">
        <v>68</v>
      </c>
      <c r="I55" s="6" t="s">
        <v>8209</v>
      </c>
      <c r="J55" s="6">
        <v>564451</v>
      </c>
      <c r="K55" s="7" t="s">
        <v>8471</v>
      </c>
      <c r="L55" s="8">
        <v>23265</v>
      </c>
      <c r="M55" s="8" t="str">
        <f t="shared" si="5"/>
        <v>PEN</v>
      </c>
      <c r="N55" s="13"/>
      <c r="O55" s="13">
        <v>15</v>
      </c>
      <c r="P55" s="3">
        <f t="shared" si="1"/>
        <v>0</v>
      </c>
      <c r="Q55" s="3">
        <f t="shared" si="2"/>
        <v>15</v>
      </c>
      <c r="R55" s="3">
        <f t="shared" si="3"/>
        <v>265.99</v>
      </c>
      <c r="S55" s="24" t="s">
        <v>1334</v>
      </c>
      <c r="T55" s="24" t="s">
        <v>1334</v>
      </c>
      <c r="U55" s="3"/>
      <c r="V55" s="25" t="s">
        <v>8277</v>
      </c>
      <c r="W55" s="25">
        <v>20550372640</v>
      </c>
      <c r="X55" s="25" t="str">
        <f>IFERROR(VLOOKUP(C_Ope_004[[#This Row],[nota_2]],Clientes_Proveedores[[Ruc / Dni]:[Razon Social]],2,0),"")</f>
        <v>RUTAS DE LIMA S.A.C.</v>
      </c>
      <c r="Y55" s="25"/>
      <c r="Z55" s="103"/>
      <c r="AA55" s="3" t="str">
        <f>IF(C_Ope_004[[#This Row],[fecha]]&gt;0,TEXT(C_Ope_004[[#This Row],[fecha]],"mmmm"),0)</f>
        <v>Febrero</v>
      </c>
      <c r="AB55" s="49"/>
    </row>
    <row r="56" spans="1:28" ht="24" x14ac:dyDescent="0.3">
      <c r="A56" s="2">
        <f>IF(C_Ope_004[[#This Row],[tipo_r]]="R",COUNTIFS($C$1:$C55,"R")+1,"")</f>
        <v>55</v>
      </c>
      <c r="B56" s="19" t="str">
        <f t="shared" si="6"/>
        <v>C_Ope_004</v>
      </c>
      <c r="C56" s="3" t="s">
        <v>1330</v>
      </c>
      <c r="D56" s="14">
        <v>45715</v>
      </c>
      <c r="E56" s="5" t="s">
        <v>8466</v>
      </c>
      <c r="F56" s="5" t="s">
        <v>1336</v>
      </c>
      <c r="G56" s="6" t="s">
        <v>979</v>
      </c>
      <c r="H56" s="6" t="s">
        <v>68</v>
      </c>
      <c r="I56" s="6" t="s">
        <v>8211</v>
      </c>
      <c r="J56" s="6">
        <v>2931316</v>
      </c>
      <c r="K56" s="7" t="s">
        <v>8472</v>
      </c>
      <c r="L56" s="8">
        <v>23266</v>
      </c>
      <c r="M56" s="8" t="str">
        <f t="shared" si="5"/>
        <v>PEN</v>
      </c>
      <c r="N56" s="13"/>
      <c r="O56" s="13">
        <v>15</v>
      </c>
      <c r="P56" s="3">
        <f t="shared" si="1"/>
        <v>0</v>
      </c>
      <c r="Q56" s="3">
        <f t="shared" si="2"/>
        <v>15</v>
      </c>
      <c r="R56" s="3">
        <f t="shared" si="3"/>
        <v>250.99</v>
      </c>
      <c r="S56" s="24" t="s">
        <v>1334</v>
      </c>
      <c r="T56" s="24" t="s">
        <v>1334</v>
      </c>
      <c r="U56" s="3"/>
      <c r="V56" s="25" t="s">
        <v>8277</v>
      </c>
      <c r="W56" s="25">
        <v>20550372640</v>
      </c>
      <c r="X56" s="25" t="str">
        <f>IFERROR(VLOOKUP(C_Ope_004[[#This Row],[nota_2]],Clientes_Proveedores[[Ruc / Dni]:[Razon Social]],2,0),"")</f>
        <v>RUTAS DE LIMA S.A.C.</v>
      </c>
      <c r="Y56" s="25"/>
      <c r="Z56" s="103"/>
      <c r="AA56" s="3" t="str">
        <f>IF(C_Ope_004[[#This Row],[fecha]]&gt;0,TEXT(C_Ope_004[[#This Row],[fecha]],"mmmm"),0)</f>
        <v>Febrero</v>
      </c>
      <c r="AB56" s="49"/>
    </row>
    <row r="57" spans="1:28" ht="24" x14ac:dyDescent="0.3">
      <c r="A57" s="2">
        <f>IF(C_Ope_004[[#This Row],[tipo_r]]="R",COUNTIFS($C$1:$C56,"R")+1,"")</f>
        <v>56</v>
      </c>
      <c r="B57" s="19" t="str">
        <f t="shared" si="6"/>
        <v>C_Ope_004</v>
      </c>
      <c r="C57" s="3" t="s">
        <v>1330</v>
      </c>
      <c r="D57" s="14">
        <v>45716</v>
      </c>
      <c r="E57" s="5" t="s">
        <v>8466</v>
      </c>
      <c r="F57" s="5" t="s">
        <v>1336</v>
      </c>
      <c r="G57" s="6" t="s">
        <v>979</v>
      </c>
      <c r="H57" s="6" t="s">
        <v>68</v>
      </c>
      <c r="I57" s="6" t="s">
        <v>8234</v>
      </c>
      <c r="J57" s="6">
        <v>2585546</v>
      </c>
      <c r="K57" s="7" t="s">
        <v>8278</v>
      </c>
      <c r="L57" s="8">
        <v>23263</v>
      </c>
      <c r="M57" s="8" t="str">
        <f t="shared" si="5"/>
        <v>PEN</v>
      </c>
      <c r="N57" s="13"/>
      <c r="O57" s="13">
        <v>15</v>
      </c>
      <c r="P57" s="3">
        <f t="shared" si="1"/>
        <v>0</v>
      </c>
      <c r="Q57" s="3">
        <f t="shared" si="2"/>
        <v>15</v>
      </c>
      <c r="R57" s="3">
        <f t="shared" si="3"/>
        <v>235.99</v>
      </c>
      <c r="S57" s="24" t="s">
        <v>1334</v>
      </c>
      <c r="T57" s="24" t="s">
        <v>1334</v>
      </c>
      <c r="U57" s="3"/>
      <c r="V57" s="25" t="s">
        <v>8277</v>
      </c>
      <c r="W57" s="25">
        <v>20550372640</v>
      </c>
      <c r="X57" s="25" t="str">
        <f>IFERROR(VLOOKUP(C_Ope_004[[#This Row],[nota_2]],Clientes_Proveedores[[Ruc / Dni]:[Razon Social]],2,0),"")</f>
        <v>RUTAS DE LIMA S.A.C.</v>
      </c>
      <c r="Y57" s="25"/>
      <c r="Z57" s="103"/>
      <c r="AA57" s="3" t="str">
        <f>IF(C_Ope_004[[#This Row],[fecha]]&gt;0,TEXT(C_Ope_004[[#This Row],[fecha]],"mmmm"),0)</f>
        <v>Febrero</v>
      </c>
      <c r="AB57" s="49"/>
    </row>
    <row r="58" spans="1:28" ht="24" x14ac:dyDescent="0.3">
      <c r="A58" s="2">
        <f>IF(C_Ope_004[[#This Row],[tipo_r]]="R",COUNTIFS($C$1:$C57,"R")+1,"")</f>
        <v>57</v>
      </c>
      <c r="B58" s="19" t="str">
        <f t="shared" si="6"/>
        <v>C_Ope_004</v>
      </c>
      <c r="C58" s="3" t="s">
        <v>1330</v>
      </c>
      <c r="D58" s="14">
        <v>45716</v>
      </c>
      <c r="E58" s="5" t="s">
        <v>8466</v>
      </c>
      <c r="F58" s="5" t="s">
        <v>1336</v>
      </c>
      <c r="G58" s="6" t="s">
        <v>979</v>
      </c>
      <c r="H58" s="6" t="s">
        <v>68</v>
      </c>
      <c r="I58" s="6" t="s">
        <v>8480</v>
      </c>
      <c r="J58" s="6">
        <v>1500378</v>
      </c>
      <c r="K58" s="7" t="s">
        <v>8276</v>
      </c>
      <c r="L58" s="8">
        <v>23264</v>
      </c>
      <c r="M58" s="8" t="str">
        <f t="shared" si="5"/>
        <v>PEN</v>
      </c>
      <c r="N58" s="13"/>
      <c r="O58" s="13">
        <v>15</v>
      </c>
      <c r="P58" s="3">
        <f t="shared" si="1"/>
        <v>0</v>
      </c>
      <c r="Q58" s="3">
        <f t="shared" si="2"/>
        <v>15</v>
      </c>
      <c r="R58" s="3">
        <f t="shared" si="3"/>
        <v>220.99</v>
      </c>
      <c r="S58" s="24" t="s">
        <v>1334</v>
      </c>
      <c r="T58" s="24" t="s">
        <v>1334</v>
      </c>
      <c r="U58" s="3"/>
      <c r="V58" s="25" t="s">
        <v>8277</v>
      </c>
      <c r="W58" s="25">
        <v>20550372640</v>
      </c>
      <c r="X58" s="25" t="str">
        <f>IFERROR(VLOOKUP(C_Ope_004[[#This Row],[nota_2]],Clientes_Proveedores[[Ruc / Dni]:[Razon Social]],2,0),"")</f>
        <v>RUTAS DE LIMA S.A.C.</v>
      </c>
      <c r="Y58" s="25"/>
      <c r="Z58" s="103"/>
      <c r="AA58" s="3" t="str">
        <f>IF(C_Ope_004[[#This Row],[fecha]]&gt;0,TEXT(C_Ope_004[[#This Row],[fecha]],"mmmm"),0)</f>
        <v>Febrero</v>
      </c>
      <c r="AB58" s="49"/>
    </row>
    <row r="59" spans="1:28" ht="24" x14ac:dyDescent="0.3">
      <c r="A59" s="2">
        <f>IF(C_Ope_004[[#This Row],[tipo_r]]="R",COUNTIFS($C$1:$C58,"R")+1,"")</f>
        <v>58</v>
      </c>
      <c r="B59" s="19" t="str">
        <f t="shared" si="6"/>
        <v>C_Ope_004</v>
      </c>
      <c r="C59" s="3" t="s">
        <v>1330</v>
      </c>
      <c r="D59" s="14">
        <v>45715</v>
      </c>
      <c r="E59" s="5" t="s">
        <v>8466</v>
      </c>
      <c r="F59" s="5" t="s">
        <v>1336</v>
      </c>
      <c r="G59" s="6" t="s">
        <v>1173</v>
      </c>
      <c r="H59" s="6" t="s">
        <v>68</v>
      </c>
      <c r="I59" s="6" t="s">
        <v>1376</v>
      </c>
      <c r="J59" s="6">
        <v>9</v>
      </c>
      <c r="K59" s="7" t="s">
        <v>8481</v>
      </c>
      <c r="L59" s="8">
        <v>23262</v>
      </c>
      <c r="M59" s="8" t="str">
        <f t="shared" si="5"/>
        <v>PEN</v>
      </c>
      <c r="N59" s="13"/>
      <c r="O59" s="13">
        <v>15</v>
      </c>
      <c r="P59" s="3">
        <f t="shared" si="1"/>
        <v>0</v>
      </c>
      <c r="Q59" s="3">
        <f t="shared" si="2"/>
        <v>15</v>
      </c>
      <c r="R59" s="3">
        <f t="shared" si="3"/>
        <v>205.99</v>
      </c>
      <c r="S59" s="24" t="s">
        <v>1334</v>
      </c>
      <c r="T59" s="24" t="s">
        <v>1334</v>
      </c>
      <c r="U59" s="3"/>
      <c r="V59" s="25" t="s">
        <v>8277</v>
      </c>
      <c r="W59" s="25">
        <v>20610821091</v>
      </c>
      <c r="X59" s="25" t="str">
        <f>IFERROR(VLOOKUP(C_Ope_004[[#This Row],[nota_2]],Clientes_Proveedores[[Ruc / Dni]:[Razon Social]],2,0),"")</f>
        <v>BALANZA JOSFEL S.A.C.</v>
      </c>
      <c r="Y59" s="25"/>
      <c r="Z59" s="103"/>
      <c r="AA59" s="3" t="str">
        <f>IF(C_Ope_004[[#This Row],[fecha]]&gt;0,TEXT(C_Ope_004[[#This Row],[fecha]],"mmmm"),0)</f>
        <v>Febrero</v>
      </c>
      <c r="AB59" s="49"/>
    </row>
    <row r="60" spans="1:28" ht="24" x14ac:dyDescent="0.3">
      <c r="A60" s="2">
        <f>IF(C_Ope_004[[#This Row],[tipo_r]]="R",COUNTIFS($C$1:$C59,"R")+1,"")</f>
        <v>59</v>
      </c>
      <c r="B60" s="19" t="str">
        <f t="shared" si="6"/>
        <v>C_Ope_004</v>
      </c>
      <c r="C60" s="3" t="s">
        <v>1330</v>
      </c>
      <c r="D60" s="14">
        <v>45712</v>
      </c>
      <c r="E60" s="5" t="s">
        <v>8466</v>
      </c>
      <c r="F60" s="5" t="s">
        <v>1336</v>
      </c>
      <c r="G60" s="6" t="s">
        <v>735</v>
      </c>
      <c r="H60" s="6" t="s">
        <v>68</v>
      </c>
      <c r="I60" s="6" t="s">
        <v>3078</v>
      </c>
      <c r="J60" s="6">
        <v>39599</v>
      </c>
      <c r="K60" s="7" t="s">
        <v>8473</v>
      </c>
      <c r="L60" s="8">
        <v>23222</v>
      </c>
      <c r="M60" s="8" t="str">
        <f t="shared" si="5"/>
        <v>PEN</v>
      </c>
      <c r="N60" s="13"/>
      <c r="O60" s="13">
        <v>50</v>
      </c>
      <c r="P60" s="3">
        <f t="shared" si="1"/>
        <v>0</v>
      </c>
      <c r="Q60" s="3">
        <f t="shared" si="2"/>
        <v>50</v>
      </c>
      <c r="R60" s="3">
        <f t="shared" si="3"/>
        <v>155.99</v>
      </c>
      <c r="S60" s="24" t="s">
        <v>1334</v>
      </c>
      <c r="T60" s="24" t="s">
        <v>1334</v>
      </c>
      <c r="U60" s="3"/>
      <c r="V60" s="25" t="s">
        <v>8277</v>
      </c>
      <c r="W60" s="25">
        <v>20514148539</v>
      </c>
      <c r="X60" s="25" t="str">
        <f>IFERROR(VLOOKUP(C_Ope_004[[#This Row],[nota_2]],Clientes_Proveedores[[Ruc / Dni]:[Razon Social]],2,0),"")</f>
        <v>NEGOCIACIONES ABBYCORP E.I.R.L.</v>
      </c>
      <c r="Y60" s="25"/>
      <c r="Z60" s="103"/>
      <c r="AA60" s="3" t="str">
        <f>IF(C_Ope_004[[#This Row],[fecha]]&gt;0,TEXT(C_Ope_004[[#This Row],[fecha]],"mmmm"),0)</f>
        <v>Febrero</v>
      </c>
      <c r="AB60" s="49"/>
    </row>
    <row r="61" spans="1:28" x14ac:dyDescent="0.3">
      <c r="A61" s="2">
        <f>IF(C_Ope_004[[#This Row],[tipo_r]]="R",COUNTIFS($C$1:$C60,"R")+1,"")</f>
        <v>60</v>
      </c>
      <c r="B61" s="19" t="str">
        <f t="shared" si="6"/>
        <v>C_Ope_004</v>
      </c>
      <c r="C61" s="3" t="s">
        <v>1330</v>
      </c>
      <c r="D61" s="14">
        <v>45720</v>
      </c>
      <c r="E61" s="5" t="s">
        <v>7514</v>
      </c>
      <c r="F61" s="5" t="s">
        <v>1303</v>
      </c>
      <c r="G61" s="6" t="s">
        <v>876</v>
      </c>
      <c r="H61" s="6"/>
      <c r="I61" s="6"/>
      <c r="J61" s="6"/>
      <c r="K61" s="7" t="s">
        <v>8475</v>
      </c>
      <c r="L61" s="8">
        <v>23305</v>
      </c>
      <c r="M61" s="8" t="str">
        <f t="shared" si="5"/>
        <v>PEN</v>
      </c>
      <c r="N61" s="13"/>
      <c r="O61" s="13">
        <v>50</v>
      </c>
      <c r="P61" s="3">
        <f t="shared" si="1"/>
        <v>50</v>
      </c>
      <c r="Q61" s="3">
        <f t="shared" si="2"/>
        <v>0</v>
      </c>
      <c r="R61" s="3">
        <f t="shared" si="3"/>
        <v>205.99</v>
      </c>
      <c r="S61" s="24" t="s">
        <v>1334</v>
      </c>
      <c r="T61" s="24" t="s">
        <v>1334</v>
      </c>
      <c r="U61" s="3"/>
      <c r="V61" s="25"/>
      <c r="W61" s="25"/>
      <c r="X61" s="25" t="str">
        <f>IFERROR(VLOOKUP(C_Ope_004[[#This Row],[nota_2]],Clientes_Proveedores[[Ruc / Dni]:[Razon Social]],2,0),"")</f>
        <v/>
      </c>
      <c r="Y61" s="25"/>
      <c r="Z61" s="103"/>
      <c r="AA61" s="3" t="str">
        <f>IF(C_Ope_004[[#This Row],[fecha]]&gt;0,TEXT(C_Ope_004[[#This Row],[fecha]],"mmmm"),0)</f>
        <v>Marzo</v>
      </c>
      <c r="AB61" s="49"/>
    </row>
    <row r="62" spans="1:28" ht="24" x14ac:dyDescent="0.3">
      <c r="A62" s="2">
        <f>IF(C_Ope_004[[#This Row],[tipo_r]]="R",COUNTIFS($C$1:$C61,"R")+1,"")</f>
        <v>61</v>
      </c>
      <c r="B62" s="19" t="str">
        <f t="shared" si="6"/>
        <v>C_Ope_004</v>
      </c>
      <c r="C62" s="3" t="s">
        <v>1330</v>
      </c>
      <c r="D62" s="14">
        <v>45721</v>
      </c>
      <c r="E62" s="5" t="s">
        <v>8466</v>
      </c>
      <c r="F62" s="5" t="s">
        <v>1336</v>
      </c>
      <c r="G62" s="6" t="s">
        <v>979</v>
      </c>
      <c r="H62" s="6" t="s">
        <v>68</v>
      </c>
      <c r="I62" s="6" t="s">
        <v>5627</v>
      </c>
      <c r="J62" s="6">
        <v>1125954</v>
      </c>
      <c r="K62" s="7" t="s">
        <v>8471</v>
      </c>
      <c r="L62" s="8">
        <v>23301</v>
      </c>
      <c r="M62" s="8" t="str">
        <f t="shared" si="5"/>
        <v>PEN</v>
      </c>
      <c r="N62" s="13"/>
      <c r="O62" s="13">
        <v>15</v>
      </c>
      <c r="P62" s="3">
        <f t="shared" si="1"/>
        <v>0</v>
      </c>
      <c r="Q62" s="3">
        <f t="shared" si="2"/>
        <v>15</v>
      </c>
      <c r="R62" s="3">
        <f t="shared" si="3"/>
        <v>190.99</v>
      </c>
      <c r="S62" s="24" t="s">
        <v>1334</v>
      </c>
      <c r="T62" s="24" t="s">
        <v>1334</v>
      </c>
      <c r="U62" s="3"/>
      <c r="V62" s="25" t="s">
        <v>8277</v>
      </c>
      <c r="W62" s="25">
        <v>20550372640</v>
      </c>
      <c r="X62" s="25" t="str">
        <f>IFERROR(VLOOKUP(C_Ope_004[[#This Row],[nota_2]],Clientes_Proveedores[[Ruc / Dni]:[Razon Social]],2,0),"")</f>
        <v>RUTAS DE LIMA S.A.C.</v>
      </c>
      <c r="Y62" s="25"/>
      <c r="Z62" s="103"/>
      <c r="AA62" s="3" t="str">
        <f>IF(C_Ope_004[[#This Row],[fecha]]&gt;0,TEXT(C_Ope_004[[#This Row],[fecha]],"mmmm"),0)</f>
        <v>Marzo</v>
      </c>
      <c r="AB62" s="49"/>
    </row>
    <row r="63" spans="1:28" ht="24" x14ac:dyDescent="0.3">
      <c r="A63" s="2">
        <f>IF(C_Ope_004[[#This Row],[tipo_r]]="R",COUNTIFS($C$1:$C62,"R")+1,"")</f>
        <v>62</v>
      </c>
      <c r="B63" s="19" t="str">
        <f t="shared" si="6"/>
        <v>C_Ope_004</v>
      </c>
      <c r="C63" s="3" t="s">
        <v>1330</v>
      </c>
      <c r="D63" s="14">
        <v>45721</v>
      </c>
      <c r="E63" s="5" t="s">
        <v>8466</v>
      </c>
      <c r="F63" s="5" t="s">
        <v>1336</v>
      </c>
      <c r="G63" s="6" t="s">
        <v>979</v>
      </c>
      <c r="H63" s="6" t="s">
        <v>68</v>
      </c>
      <c r="I63" s="6" t="s">
        <v>8434</v>
      </c>
      <c r="J63" s="6">
        <v>3638811</v>
      </c>
      <c r="K63" s="7" t="s">
        <v>8472</v>
      </c>
      <c r="L63" s="8">
        <v>23302</v>
      </c>
      <c r="M63" s="8" t="str">
        <f t="shared" si="5"/>
        <v>PEN</v>
      </c>
      <c r="N63" s="13"/>
      <c r="O63" s="13">
        <v>15</v>
      </c>
      <c r="P63" s="3">
        <f t="shared" si="1"/>
        <v>0</v>
      </c>
      <c r="Q63" s="3">
        <f t="shared" si="2"/>
        <v>15</v>
      </c>
      <c r="R63" s="3">
        <f t="shared" si="3"/>
        <v>175.99</v>
      </c>
      <c r="S63" s="24" t="s">
        <v>1334</v>
      </c>
      <c r="T63" s="24" t="s">
        <v>1334</v>
      </c>
      <c r="U63" s="3"/>
      <c r="V63" s="25" t="s">
        <v>8277</v>
      </c>
      <c r="W63" s="25">
        <v>20550372640</v>
      </c>
      <c r="X63" s="25" t="str">
        <f>IFERROR(VLOOKUP(C_Ope_004[[#This Row],[nota_2]],Clientes_Proveedores[[Ruc / Dni]:[Razon Social]],2,0),"")</f>
        <v>RUTAS DE LIMA S.A.C.</v>
      </c>
      <c r="Y63" s="25"/>
      <c r="Z63" s="103"/>
      <c r="AA63" s="3" t="str">
        <f>IF(C_Ope_004[[#This Row],[fecha]]&gt;0,TEXT(C_Ope_004[[#This Row],[fecha]],"mmmm"),0)</f>
        <v>Marzo</v>
      </c>
      <c r="AB63" s="49"/>
    </row>
    <row r="64" spans="1:28" ht="24" x14ac:dyDescent="0.3">
      <c r="A64" s="2">
        <f>IF(C_Ope_004[[#This Row],[tipo_r]]="R",COUNTIFS($C$1:$C63,"R")+1,"")</f>
        <v>63</v>
      </c>
      <c r="B64" s="19" t="str">
        <f t="shared" si="6"/>
        <v>C_Ope_004</v>
      </c>
      <c r="C64" s="3" t="s">
        <v>1330</v>
      </c>
      <c r="D64" s="14">
        <v>45722</v>
      </c>
      <c r="E64" s="5" t="s">
        <v>8466</v>
      </c>
      <c r="F64" s="5" t="s">
        <v>1336</v>
      </c>
      <c r="G64" s="6" t="s">
        <v>979</v>
      </c>
      <c r="H64" s="6" t="s">
        <v>68</v>
      </c>
      <c r="I64" s="6" t="s">
        <v>8209</v>
      </c>
      <c r="J64" s="6">
        <v>566418</v>
      </c>
      <c r="K64" s="7" t="s">
        <v>8278</v>
      </c>
      <c r="L64" s="8">
        <v>23312</v>
      </c>
      <c r="M64" s="8" t="str">
        <f t="shared" si="5"/>
        <v>PEN</v>
      </c>
      <c r="N64" s="13"/>
      <c r="O64" s="13">
        <v>15</v>
      </c>
      <c r="P64" s="3">
        <f t="shared" si="1"/>
        <v>0</v>
      </c>
      <c r="Q64" s="3">
        <f t="shared" si="2"/>
        <v>15</v>
      </c>
      <c r="R64" s="3">
        <f t="shared" si="3"/>
        <v>160.99</v>
      </c>
      <c r="S64" s="24" t="s">
        <v>1334</v>
      </c>
      <c r="T64" s="24" t="s">
        <v>1334</v>
      </c>
      <c r="U64" s="3"/>
      <c r="V64" s="25" t="s">
        <v>8277</v>
      </c>
      <c r="W64" s="25">
        <v>20550372640</v>
      </c>
      <c r="X64" s="25" t="str">
        <f>IFERROR(VLOOKUP(C_Ope_004[[#This Row],[nota_2]],Clientes_Proveedores[[Ruc / Dni]:[Razon Social]],2,0),"")</f>
        <v>RUTAS DE LIMA S.A.C.</v>
      </c>
      <c r="Y64" s="25"/>
      <c r="Z64" s="103"/>
      <c r="AA64" s="3" t="str">
        <f>IF(C_Ope_004[[#This Row],[fecha]]&gt;0,TEXT(C_Ope_004[[#This Row],[fecha]],"mmmm"),0)</f>
        <v>Marzo</v>
      </c>
      <c r="AB64" s="49"/>
    </row>
    <row r="65" spans="1:28" ht="24" x14ac:dyDescent="0.3">
      <c r="A65" s="2">
        <f>IF(C_Ope_004[[#This Row],[tipo_r]]="R",COUNTIFS($C$1:$C64,"R")+1,"")</f>
        <v>64</v>
      </c>
      <c r="B65" s="19" t="str">
        <f t="shared" si="6"/>
        <v>C_Ope_004</v>
      </c>
      <c r="C65" s="3" t="s">
        <v>1330</v>
      </c>
      <c r="D65" s="14">
        <v>45722</v>
      </c>
      <c r="E65" s="5" t="s">
        <v>8466</v>
      </c>
      <c r="F65" s="5" t="s">
        <v>1336</v>
      </c>
      <c r="G65" s="6" t="s">
        <v>979</v>
      </c>
      <c r="H65" s="6" t="s">
        <v>68</v>
      </c>
      <c r="I65" s="6" t="s">
        <v>8468</v>
      </c>
      <c r="J65" s="6">
        <v>3088830</v>
      </c>
      <c r="K65" s="7" t="s">
        <v>8276</v>
      </c>
      <c r="L65" s="8">
        <v>23313</v>
      </c>
      <c r="M65" s="8" t="str">
        <f t="shared" si="5"/>
        <v>PEN</v>
      </c>
      <c r="N65" s="13"/>
      <c r="O65" s="13">
        <v>15</v>
      </c>
      <c r="P65" s="3">
        <f t="shared" si="1"/>
        <v>0</v>
      </c>
      <c r="Q65" s="3">
        <f t="shared" si="2"/>
        <v>15</v>
      </c>
      <c r="R65" s="3">
        <f t="shared" si="3"/>
        <v>145.99</v>
      </c>
      <c r="S65" s="24" t="s">
        <v>1334</v>
      </c>
      <c r="T65" s="24" t="s">
        <v>1334</v>
      </c>
      <c r="U65" s="3"/>
      <c r="V65" s="25" t="s">
        <v>8277</v>
      </c>
      <c r="W65" s="25">
        <v>20550372640</v>
      </c>
      <c r="X65" s="25" t="str">
        <f>IFERROR(VLOOKUP(C_Ope_004[[#This Row],[nota_2]],Clientes_Proveedores[[Ruc / Dni]:[Razon Social]],2,0),"")</f>
        <v>RUTAS DE LIMA S.A.C.</v>
      </c>
      <c r="Y65" s="25"/>
      <c r="Z65" s="103"/>
      <c r="AA65" s="3" t="str">
        <f>IF(C_Ope_004[[#This Row],[fecha]]&gt;0,TEXT(C_Ope_004[[#This Row],[fecha]],"mmmm"),0)</f>
        <v>Marzo</v>
      </c>
      <c r="AB65" s="49"/>
    </row>
    <row r="66" spans="1:28" ht="24" x14ac:dyDescent="0.3">
      <c r="A66" s="2">
        <f>IF(C_Ope_004[[#This Row],[tipo_r]]="R",COUNTIFS($C$1:$C65,"R")+1,"")</f>
        <v>65</v>
      </c>
      <c r="B66" s="19" t="str">
        <f t="shared" si="6"/>
        <v>C_Ope_004</v>
      </c>
      <c r="C66" s="3" t="s">
        <v>1330</v>
      </c>
      <c r="D66" s="14">
        <v>45719</v>
      </c>
      <c r="E66" s="5" t="s">
        <v>8466</v>
      </c>
      <c r="F66" s="5" t="s">
        <v>1336</v>
      </c>
      <c r="G66" s="6" t="s">
        <v>735</v>
      </c>
      <c r="H66" s="6" t="s">
        <v>68</v>
      </c>
      <c r="I66" s="6" t="s">
        <v>3078</v>
      </c>
      <c r="J66" s="6">
        <v>39734</v>
      </c>
      <c r="K66" s="7" t="s">
        <v>8482</v>
      </c>
      <c r="L66" s="8">
        <v>23275</v>
      </c>
      <c r="M66" s="8" t="str">
        <f t="shared" ref="M66:M97" si="7">"PEN"</f>
        <v>PEN</v>
      </c>
      <c r="N66" s="13"/>
      <c r="O66" s="13">
        <v>55</v>
      </c>
      <c r="P66" s="3">
        <f t="shared" ref="P66:P129" si="8">+IF(OR($F66="SALDO",$F66="INGRESO"),$O66,0)</f>
        <v>0</v>
      </c>
      <c r="Q66" s="3">
        <f t="shared" ref="Q66:Q129" si="9">+IF($F66="EGRESO",$O66,0)</f>
        <v>55</v>
      </c>
      <c r="R66" s="3">
        <f t="shared" ref="R66:R129" si="10">IFERROR(IF(F66="SALDO",P66,R65+P66-Q66),0)</f>
        <v>90.990000000000009</v>
      </c>
      <c r="S66" s="24" t="s">
        <v>1334</v>
      </c>
      <c r="T66" s="24" t="s">
        <v>1334</v>
      </c>
      <c r="U66" s="3"/>
      <c r="V66" s="25" t="s">
        <v>8277</v>
      </c>
      <c r="W66" s="25">
        <v>20514148539</v>
      </c>
      <c r="X66" s="25" t="str">
        <f>IFERROR(VLOOKUP(C_Ope_004[[#This Row],[nota_2]],Clientes_Proveedores[[Ruc / Dni]:[Razon Social]],2,0),"")</f>
        <v>NEGOCIACIONES ABBYCORP E.I.R.L.</v>
      </c>
      <c r="Y66" s="25"/>
      <c r="Z66" s="103"/>
      <c r="AA66" s="3" t="str">
        <f>IF(C_Ope_004[[#This Row],[fecha]]&gt;0,TEXT(C_Ope_004[[#This Row],[fecha]],"mmmm"),0)</f>
        <v>Marzo</v>
      </c>
      <c r="AB66" s="49"/>
    </row>
    <row r="67" spans="1:28" x14ac:dyDescent="0.3">
      <c r="A67" s="2">
        <f>IF(C_Ope_004[[#This Row],[tipo_r]]="R",COUNTIFS($C$1:$C66,"R")+1,"")</f>
        <v>66</v>
      </c>
      <c r="B67" s="19" t="str">
        <f t="shared" ref="B67:B98" si="11">"C_Ope_004"</f>
        <v>C_Ope_004</v>
      </c>
      <c r="C67" s="3" t="s">
        <v>1330</v>
      </c>
      <c r="D67" s="14">
        <v>45727</v>
      </c>
      <c r="E67" s="5" t="s">
        <v>7514</v>
      </c>
      <c r="F67" s="5" t="s">
        <v>1303</v>
      </c>
      <c r="G67" s="6" t="s">
        <v>876</v>
      </c>
      <c r="H67" s="6"/>
      <c r="I67" s="6"/>
      <c r="J67" s="6"/>
      <c r="K67" s="7" t="s">
        <v>8475</v>
      </c>
      <c r="L67" s="8">
        <v>23403</v>
      </c>
      <c r="M67" s="8" t="str">
        <f t="shared" si="7"/>
        <v>PEN</v>
      </c>
      <c r="N67" s="13"/>
      <c r="O67" s="13">
        <v>110</v>
      </c>
      <c r="P67" s="3">
        <f t="shared" si="8"/>
        <v>110</v>
      </c>
      <c r="Q67" s="3">
        <f t="shared" si="9"/>
        <v>0</v>
      </c>
      <c r="R67" s="3">
        <f t="shared" si="10"/>
        <v>200.99</v>
      </c>
      <c r="S67" s="24" t="s">
        <v>1334</v>
      </c>
      <c r="T67" s="24" t="s">
        <v>1334</v>
      </c>
      <c r="U67" s="3"/>
      <c r="V67" s="25"/>
      <c r="W67" s="25"/>
      <c r="X67" s="25" t="str">
        <f>IFERROR(VLOOKUP(C_Ope_004[[#This Row],[nota_2]],Clientes_Proveedores[[Ruc / Dni]:[Razon Social]],2,0),"")</f>
        <v/>
      </c>
      <c r="Y67" s="25"/>
      <c r="Z67" s="103"/>
      <c r="AA67" s="3" t="str">
        <f>IF(C_Ope_004[[#This Row],[fecha]]&gt;0,TEXT(C_Ope_004[[#This Row],[fecha]],"mmmm"),0)</f>
        <v>Marzo</v>
      </c>
      <c r="AB67" s="49"/>
    </row>
    <row r="68" spans="1:28" ht="24" x14ac:dyDescent="0.3">
      <c r="A68" s="2">
        <f>IF(C_Ope_004[[#This Row],[tipo_r]]="R",COUNTIFS($C$1:$C67,"R")+1,"")</f>
        <v>67</v>
      </c>
      <c r="B68" s="19" t="str">
        <f t="shared" si="11"/>
        <v>C_Ope_004</v>
      </c>
      <c r="C68" s="3" t="s">
        <v>1330</v>
      </c>
      <c r="D68" s="14">
        <v>45728</v>
      </c>
      <c r="E68" s="5" t="s">
        <v>8466</v>
      </c>
      <c r="F68" s="5" t="s">
        <v>1336</v>
      </c>
      <c r="G68" s="6" t="s">
        <v>979</v>
      </c>
      <c r="H68" s="6" t="s">
        <v>68</v>
      </c>
      <c r="I68" s="6" t="s">
        <v>8474</v>
      </c>
      <c r="J68" s="6">
        <v>621876</v>
      </c>
      <c r="K68" s="7" t="s">
        <v>8471</v>
      </c>
      <c r="L68" s="8">
        <v>23406</v>
      </c>
      <c r="M68" s="8" t="str">
        <f t="shared" si="7"/>
        <v>PEN</v>
      </c>
      <c r="N68" s="13"/>
      <c r="O68" s="13">
        <v>15</v>
      </c>
      <c r="P68" s="3">
        <f t="shared" si="8"/>
        <v>0</v>
      </c>
      <c r="Q68" s="3">
        <f t="shared" si="9"/>
        <v>15</v>
      </c>
      <c r="R68" s="3">
        <f t="shared" si="10"/>
        <v>185.99</v>
      </c>
      <c r="S68" s="24" t="s">
        <v>1334</v>
      </c>
      <c r="T68" s="24" t="s">
        <v>1334</v>
      </c>
      <c r="U68" s="3"/>
      <c r="V68" s="25" t="s">
        <v>8277</v>
      </c>
      <c r="W68" s="25">
        <v>20550372640</v>
      </c>
      <c r="X68" s="25" t="str">
        <f>IFERROR(VLOOKUP(C_Ope_004[[#This Row],[nota_2]],Clientes_Proveedores[[Ruc / Dni]:[Razon Social]],2,0),"")</f>
        <v>RUTAS DE LIMA S.A.C.</v>
      </c>
      <c r="Y68" s="25"/>
      <c r="Z68" s="103"/>
      <c r="AA68" s="3" t="str">
        <f>IF(C_Ope_004[[#This Row],[fecha]]&gt;0,TEXT(C_Ope_004[[#This Row],[fecha]],"mmmm"),0)</f>
        <v>Marzo</v>
      </c>
      <c r="AB68" s="49"/>
    </row>
    <row r="69" spans="1:28" ht="24" x14ac:dyDescent="0.3">
      <c r="A69" s="2">
        <f>IF(C_Ope_004[[#This Row],[tipo_r]]="R",COUNTIFS($C$1:$C68,"R")+1,"")</f>
        <v>68</v>
      </c>
      <c r="B69" s="19" t="str">
        <f t="shared" si="11"/>
        <v>C_Ope_004</v>
      </c>
      <c r="C69" s="3" t="s">
        <v>1330</v>
      </c>
      <c r="D69" s="14">
        <v>45728</v>
      </c>
      <c r="E69" s="5" t="s">
        <v>8466</v>
      </c>
      <c r="F69" s="5" t="s">
        <v>1336</v>
      </c>
      <c r="G69" s="6" t="s">
        <v>979</v>
      </c>
      <c r="H69" s="6" t="s">
        <v>68</v>
      </c>
      <c r="I69" s="6" t="s">
        <v>8434</v>
      </c>
      <c r="J69" s="6">
        <v>3645901</v>
      </c>
      <c r="K69" s="7" t="s">
        <v>8472</v>
      </c>
      <c r="L69" s="8">
        <v>23407</v>
      </c>
      <c r="M69" s="8" t="str">
        <f t="shared" si="7"/>
        <v>PEN</v>
      </c>
      <c r="N69" s="13"/>
      <c r="O69" s="13">
        <v>15</v>
      </c>
      <c r="P69" s="3">
        <f t="shared" si="8"/>
        <v>0</v>
      </c>
      <c r="Q69" s="3">
        <f t="shared" si="9"/>
        <v>15</v>
      </c>
      <c r="R69" s="3">
        <f t="shared" si="10"/>
        <v>170.99</v>
      </c>
      <c r="S69" s="24" t="s">
        <v>1334</v>
      </c>
      <c r="T69" s="24" t="s">
        <v>1334</v>
      </c>
      <c r="U69" s="3"/>
      <c r="V69" s="25" t="s">
        <v>8277</v>
      </c>
      <c r="W69" s="25">
        <v>20550372640</v>
      </c>
      <c r="X69" s="25" t="str">
        <f>IFERROR(VLOOKUP(C_Ope_004[[#This Row],[nota_2]],Clientes_Proveedores[[Ruc / Dni]:[Razon Social]],2,0),"")</f>
        <v>RUTAS DE LIMA S.A.C.</v>
      </c>
      <c r="Y69" s="25"/>
      <c r="Z69" s="103"/>
      <c r="AA69" s="3" t="str">
        <f>IF(C_Ope_004[[#This Row],[fecha]]&gt;0,TEXT(C_Ope_004[[#This Row],[fecha]],"mmmm"),0)</f>
        <v>Marzo</v>
      </c>
      <c r="AB69" s="49"/>
    </row>
    <row r="70" spans="1:28" ht="24" x14ac:dyDescent="0.3">
      <c r="A70" s="2">
        <f>IF(C_Ope_004[[#This Row],[tipo_r]]="R",COUNTIFS($C$1:$C69,"R")+1,"")</f>
        <v>69</v>
      </c>
      <c r="B70" s="19" t="str">
        <f t="shared" si="11"/>
        <v>C_Ope_004</v>
      </c>
      <c r="C70" s="3" t="s">
        <v>1330</v>
      </c>
      <c r="D70" s="14">
        <v>45729</v>
      </c>
      <c r="E70" s="5" t="s">
        <v>8466</v>
      </c>
      <c r="F70" s="5" t="s">
        <v>1336</v>
      </c>
      <c r="G70" s="6" t="s">
        <v>979</v>
      </c>
      <c r="H70" s="6" t="s">
        <v>68</v>
      </c>
      <c r="I70" s="6" t="s">
        <v>8234</v>
      </c>
      <c r="J70" s="6">
        <v>2596695</v>
      </c>
      <c r="K70" s="7" t="s">
        <v>8278</v>
      </c>
      <c r="L70" s="8">
        <v>23430</v>
      </c>
      <c r="M70" s="8" t="str">
        <f t="shared" si="7"/>
        <v>PEN</v>
      </c>
      <c r="N70" s="13"/>
      <c r="O70" s="13">
        <v>15</v>
      </c>
      <c r="P70" s="3">
        <f t="shared" si="8"/>
        <v>0</v>
      </c>
      <c r="Q70" s="3">
        <f t="shared" si="9"/>
        <v>15</v>
      </c>
      <c r="R70" s="3">
        <f t="shared" si="10"/>
        <v>155.99</v>
      </c>
      <c r="S70" s="24" t="s">
        <v>1334</v>
      </c>
      <c r="T70" s="24" t="s">
        <v>1334</v>
      </c>
      <c r="U70" s="3"/>
      <c r="V70" s="25" t="s">
        <v>8277</v>
      </c>
      <c r="W70" s="25">
        <v>20550372640</v>
      </c>
      <c r="X70" s="25" t="str">
        <f>IFERROR(VLOOKUP(C_Ope_004[[#This Row],[nota_2]],Clientes_Proveedores[[Ruc / Dni]:[Razon Social]],2,0),"")</f>
        <v>RUTAS DE LIMA S.A.C.</v>
      </c>
      <c r="Y70" s="25"/>
      <c r="Z70" s="103"/>
      <c r="AA70" s="3" t="str">
        <f>IF(C_Ope_004[[#This Row],[fecha]]&gt;0,TEXT(C_Ope_004[[#This Row],[fecha]],"mmmm"),0)</f>
        <v>Marzo</v>
      </c>
      <c r="AB70" s="49"/>
    </row>
    <row r="71" spans="1:28" ht="24" x14ac:dyDescent="0.3">
      <c r="A71" s="2">
        <f>IF(C_Ope_004[[#This Row],[tipo_r]]="R",COUNTIFS($C$1:$C70,"R")+1,"")</f>
        <v>70</v>
      </c>
      <c r="B71" s="19" t="str">
        <f t="shared" si="11"/>
        <v>C_Ope_004</v>
      </c>
      <c r="C71" s="3" t="s">
        <v>1330</v>
      </c>
      <c r="D71" s="14">
        <v>45729</v>
      </c>
      <c r="E71" s="5" t="s">
        <v>8466</v>
      </c>
      <c r="F71" s="5" t="s">
        <v>1336</v>
      </c>
      <c r="G71" s="6" t="s">
        <v>979</v>
      </c>
      <c r="H71" s="6" t="s">
        <v>68</v>
      </c>
      <c r="I71" s="6" t="s">
        <v>8256</v>
      </c>
      <c r="J71" s="6">
        <v>569794</v>
      </c>
      <c r="K71" s="7" t="s">
        <v>8276</v>
      </c>
      <c r="L71" s="8">
        <v>23431</v>
      </c>
      <c r="M71" s="8" t="str">
        <f t="shared" si="7"/>
        <v>PEN</v>
      </c>
      <c r="N71" s="13"/>
      <c r="O71" s="13">
        <v>15</v>
      </c>
      <c r="P71" s="3">
        <f t="shared" si="8"/>
        <v>0</v>
      </c>
      <c r="Q71" s="3">
        <f t="shared" si="9"/>
        <v>15</v>
      </c>
      <c r="R71" s="3">
        <f t="shared" si="10"/>
        <v>140.99</v>
      </c>
      <c r="S71" s="24" t="s">
        <v>1334</v>
      </c>
      <c r="T71" s="24" t="s">
        <v>1334</v>
      </c>
      <c r="U71" s="3"/>
      <c r="V71" s="25" t="s">
        <v>8277</v>
      </c>
      <c r="W71" s="25">
        <v>20550372640</v>
      </c>
      <c r="X71" s="25" t="str">
        <f>IFERROR(VLOOKUP(C_Ope_004[[#This Row],[nota_2]],Clientes_Proveedores[[Ruc / Dni]:[Razon Social]],2,0),"")</f>
        <v>RUTAS DE LIMA S.A.C.</v>
      </c>
      <c r="Y71" s="25"/>
      <c r="Z71" s="103"/>
      <c r="AA71" s="3" t="str">
        <f>IF(C_Ope_004[[#This Row],[fecha]]&gt;0,TEXT(C_Ope_004[[#This Row],[fecha]],"mmmm"),0)</f>
        <v>Marzo</v>
      </c>
      <c r="AB71" s="49"/>
    </row>
    <row r="72" spans="1:28" ht="24" x14ac:dyDescent="0.3">
      <c r="A72" s="2">
        <f>IF(C_Ope_004[[#This Row],[tipo_r]]="R",COUNTIFS($C$1:$C71,"R")+1,"")</f>
        <v>71</v>
      </c>
      <c r="B72" s="19" t="str">
        <f t="shared" si="11"/>
        <v>C_Ope_004</v>
      </c>
      <c r="C72" s="3" t="s">
        <v>1330</v>
      </c>
      <c r="D72" s="14">
        <v>45730</v>
      </c>
      <c r="E72" s="5" t="s">
        <v>8466</v>
      </c>
      <c r="F72" s="5" t="s">
        <v>1336</v>
      </c>
      <c r="G72" s="6" t="s">
        <v>979</v>
      </c>
      <c r="H72" s="6" t="s">
        <v>68</v>
      </c>
      <c r="I72" s="6" t="s">
        <v>8209</v>
      </c>
      <c r="J72" s="6">
        <v>568956</v>
      </c>
      <c r="K72" s="7" t="s">
        <v>8471</v>
      </c>
      <c r="L72" s="8">
        <v>23461</v>
      </c>
      <c r="M72" s="8" t="str">
        <f t="shared" si="7"/>
        <v>PEN</v>
      </c>
      <c r="N72" s="13"/>
      <c r="O72" s="13">
        <v>15</v>
      </c>
      <c r="P72" s="3">
        <f t="shared" si="8"/>
        <v>0</v>
      </c>
      <c r="Q72" s="3">
        <f t="shared" si="9"/>
        <v>15</v>
      </c>
      <c r="R72" s="3">
        <f t="shared" si="10"/>
        <v>125.99000000000001</v>
      </c>
      <c r="S72" s="24" t="s">
        <v>1334</v>
      </c>
      <c r="T72" s="24" t="s">
        <v>1334</v>
      </c>
      <c r="U72" s="3"/>
      <c r="V72" s="25" t="s">
        <v>8277</v>
      </c>
      <c r="W72" s="25">
        <v>20550372640</v>
      </c>
      <c r="X72" s="25" t="str">
        <f>IFERROR(VLOOKUP(C_Ope_004[[#This Row],[nota_2]],Clientes_Proveedores[[Ruc / Dni]:[Razon Social]],2,0),"")</f>
        <v>RUTAS DE LIMA S.A.C.</v>
      </c>
      <c r="Y72" s="25"/>
      <c r="Z72" s="103"/>
      <c r="AA72" s="3" t="str">
        <f>IF(C_Ope_004[[#This Row],[fecha]]&gt;0,TEXT(C_Ope_004[[#This Row],[fecha]],"mmmm"),0)</f>
        <v>Marzo</v>
      </c>
      <c r="AB72" s="49"/>
    </row>
    <row r="73" spans="1:28" ht="24" x14ac:dyDescent="0.3">
      <c r="A73" s="2">
        <f>IF(C_Ope_004[[#This Row],[tipo_r]]="R",COUNTIFS($C$1:$C72,"R")+1,"")</f>
        <v>72</v>
      </c>
      <c r="B73" s="19" t="str">
        <f t="shared" si="11"/>
        <v>C_Ope_004</v>
      </c>
      <c r="C73" s="3" t="s">
        <v>1330</v>
      </c>
      <c r="D73" s="14">
        <v>45730</v>
      </c>
      <c r="E73" s="5" t="s">
        <v>8466</v>
      </c>
      <c r="F73" s="5" t="s">
        <v>1336</v>
      </c>
      <c r="G73" s="6" t="s">
        <v>979</v>
      </c>
      <c r="H73" s="6" t="s">
        <v>68</v>
      </c>
      <c r="I73" s="6" t="s">
        <v>8362</v>
      </c>
      <c r="J73" s="6">
        <v>2220582</v>
      </c>
      <c r="K73" s="7" t="s">
        <v>8472</v>
      </c>
      <c r="L73" s="8">
        <v>23462</v>
      </c>
      <c r="M73" s="8" t="str">
        <f t="shared" si="7"/>
        <v>PEN</v>
      </c>
      <c r="N73" s="13"/>
      <c r="O73" s="13">
        <v>15</v>
      </c>
      <c r="P73" s="3">
        <f t="shared" si="8"/>
        <v>0</v>
      </c>
      <c r="Q73" s="3">
        <f t="shared" si="9"/>
        <v>15</v>
      </c>
      <c r="R73" s="3">
        <f t="shared" si="10"/>
        <v>110.99000000000001</v>
      </c>
      <c r="S73" s="24" t="s">
        <v>1334</v>
      </c>
      <c r="T73" s="24" t="s">
        <v>1334</v>
      </c>
      <c r="U73" s="3"/>
      <c r="V73" s="25" t="s">
        <v>8277</v>
      </c>
      <c r="W73" s="25">
        <v>20550372640</v>
      </c>
      <c r="X73" s="25" t="str">
        <f>IFERROR(VLOOKUP(C_Ope_004[[#This Row],[nota_2]],Clientes_Proveedores[[Ruc / Dni]:[Razon Social]],2,0),"")</f>
        <v>RUTAS DE LIMA S.A.C.</v>
      </c>
      <c r="Y73" s="25"/>
      <c r="Z73" s="103"/>
      <c r="AA73" s="3" t="str">
        <f>IF(C_Ope_004[[#This Row],[fecha]]&gt;0,TEXT(C_Ope_004[[#This Row],[fecha]],"mmmm"),0)</f>
        <v>Marzo</v>
      </c>
      <c r="AB73" s="49"/>
    </row>
    <row r="74" spans="1:28" ht="24" x14ac:dyDescent="0.3">
      <c r="A74" s="2">
        <f>IF(C_Ope_004[[#This Row],[tipo_r]]="R",COUNTIFS($C$1:$C73,"R")+1,"")</f>
        <v>73</v>
      </c>
      <c r="B74" s="19" t="str">
        <f t="shared" si="11"/>
        <v>C_Ope_004</v>
      </c>
      <c r="C74" s="3" t="s">
        <v>1330</v>
      </c>
      <c r="D74" s="14">
        <v>45727</v>
      </c>
      <c r="E74" s="5" t="s">
        <v>8466</v>
      </c>
      <c r="F74" s="5" t="s">
        <v>1336</v>
      </c>
      <c r="G74" s="6" t="s">
        <v>735</v>
      </c>
      <c r="H74" s="6" t="s">
        <v>68</v>
      </c>
      <c r="I74" s="6" t="s">
        <v>3078</v>
      </c>
      <c r="J74" s="6">
        <v>39886</v>
      </c>
      <c r="K74" s="7" t="s">
        <v>8473</v>
      </c>
      <c r="L74" s="8">
        <v>23385</v>
      </c>
      <c r="M74" s="8" t="str">
        <f t="shared" si="7"/>
        <v>PEN</v>
      </c>
      <c r="N74" s="13"/>
      <c r="O74" s="13">
        <v>55</v>
      </c>
      <c r="P74" s="3">
        <f t="shared" si="8"/>
        <v>0</v>
      </c>
      <c r="Q74" s="3">
        <f t="shared" si="9"/>
        <v>55</v>
      </c>
      <c r="R74" s="3">
        <f t="shared" si="10"/>
        <v>55.990000000000009</v>
      </c>
      <c r="S74" s="24" t="s">
        <v>1334</v>
      </c>
      <c r="T74" s="24" t="s">
        <v>1334</v>
      </c>
      <c r="U74" s="3"/>
      <c r="V74" s="25" t="s">
        <v>8277</v>
      </c>
      <c r="W74" s="25">
        <v>20514148539</v>
      </c>
      <c r="X74" s="25" t="str">
        <f>IFERROR(VLOOKUP(C_Ope_004[[#This Row],[nota_2]],Clientes_Proveedores[[Ruc / Dni]:[Razon Social]],2,0),"")</f>
        <v>NEGOCIACIONES ABBYCORP E.I.R.L.</v>
      </c>
      <c r="Y74" s="25"/>
      <c r="Z74" s="103"/>
      <c r="AA74" s="3" t="str">
        <f>IF(C_Ope_004[[#This Row],[fecha]]&gt;0,TEXT(C_Ope_004[[#This Row],[fecha]],"mmmm"),0)</f>
        <v>Marzo</v>
      </c>
      <c r="AB74" s="49"/>
    </row>
    <row r="75" spans="1:28" x14ac:dyDescent="0.3">
      <c r="A75" s="2">
        <f>IF(C_Ope_004[[#This Row],[tipo_r]]="R",COUNTIFS($C$1:$C74,"R")+1,"")</f>
        <v>74</v>
      </c>
      <c r="B75" s="19" t="str">
        <f t="shared" si="11"/>
        <v>C_Ope_004</v>
      </c>
      <c r="C75" s="3" t="s">
        <v>1330</v>
      </c>
      <c r="D75" s="14">
        <v>45734</v>
      </c>
      <c r="E75" s="5" t="s">
        <v>7514</v>
      </c>
      <c r="F75" s="5" t="s">
        <v>1303</v>
      </c>
      <c r="G75" s="6" t="s">
        <v>876</v>
      </c>
      <c r="H75" s="6"/>
      <c r="I75" s="6"/>
      <c r="J75" s="6"/>
      <c r="K75" s="7" t="s">
        <v>8475</v>
      </c>
      <c r="L75" s="8">
        <v>23491</v>
      </c>
      <c r="M75" s="8" t="str">
        <f t="shared" si="7"/>
        <v>PEN</v>
      </c>
      <c r="N75" s="13"/>
      <c r="O75" s="13">
        <v>150</v>
      </c>
      <c r="P75" s="3">
        <f t="shared" si="8"/>
        <v>150</v>
      </c>
      <c r="Q75" s="3">
        <f t="shared" si="9"/>
        <v>0</v>
      </c>
      <c r="R75" s="3">
        <f t="shared" si="10"/>
        <v>205.99</v>
      </c>
      <c r="S75" s="24" t="s">
        <v>1334</v>
      </c>
      <c r="T75" s="24" t="s">
        <v>1334</v>
      </c>
      <c r="U75" s="3"/>
      <c r="V75" s="25"/>
      <c r="W75" s="25"/>
      <c r="X75" s="25" t="str">
        <f>IFERROR(VLOOKUP(C_Ope_004[[#This Row],[nota_2]],Clientes_Proveedores[[Ruc / Dni]:[Razon Social]],2,0),"")</f>
        <v/>
      </c>
      <c r="Y75" s="25"/>
      <c r="Z75" s="103"/>
      <c r="AA75" s="3" t="str">
        <f>IF(C_Ope_004[[#This Row],[fecha]]&gt;0,TEXT(C_Ope_004[[#This Row],[fecha]],"mmmm"),0)</f>
        <v>Marzo</v>
      </c>
      <c r="AB75" s="49"/>
    </row>
    <row r="76" spans="1:28" x14ac:dyDescent="0.3">
      <c r="A76" s="2">
        <f>IF(C_Ope_004[[#This Row],[tipo_r]]="R",COUNTIFS($C$1:$C75,"R")+1,"")</f>
        <v>75</v>
      </c>
      <c r="B76" s="19" t="str">
        <f t="shared" si="11"/>
        <v>C_Ope_004</v>
      </c>
      <c r="C76" s="3" t="s">
        <v>1330</v>
      </c>
      <c r="D76" s="14">
        <v>45737</v>
      </c>
      <c r="E76" s="5" t="s">
        <v>7514</v>
      </c>
      <c r="F76" s="5" t="s">
        <v>1303</v>
      </c>
      <c r="G76" s="6" t="s">
        <v>876</v>
      </c>
      <c r="H76" s="6"/>
      <c r="I76" s="6"/>
      <c r="J76" s="6"/>
      <c r="K76" s="7" t="s">
        <v>8475</v>
      </c>
      <c r="L76" s="8">
        <v>23614</v>
      </c>
      <c r="M76" s="8" t="str">
        <f t="shared" si="7"/>
        <v>PEN</v>
      </c>
      <c r="N76" s="13"/>
      <c r="O76" s="13">
        <v>200</v>
      </c>
      <c r="P76" s="3">
        <f t="shared" si="8"/>
        <v>200</v>
      </c>
      <c r="Q76" s="3">
        <f t="shared" si="9"/>
        <v>0</v>
      </c>
      <c r="R76" s="3">
        <f t="shared" si="10"/>
        <v>405.99</v>
      </c>
      <c r="S76" s="24" t="s">
        <v>1334</v>
      </c>
      <c r="T76" s="24" t="s">
        <v>1334</v>
      </c>
      <c r="U76" s="3"/>
      <c r="V76" s="25"/>
      <c r="W76" s="25"/>
      <c r="X76" s="25" t="str">
        <f>IFERROR(VLOOKUP(C_Ope_004[[#This Row],[nota_2]],Clientes_Proveedores[[Ruc / Dni]:[Razon Social]],2,0),"")</f>
        <v/>
      </c>
      <c r="Y76" s="25"/>
      <c r="Z76" s="103"/>
      <c r="AA76" s="3" t="str">
        <f>IF(C_Ope_004[[#This Row],[fecha]]&gt;0,TEXT(C_Ope_004[[#This Row],[fecha]],"mmmm"),0)</f>
        <v>Marzo</v>
      </c>
      <c r="AB76" s="49"/>
    </row>
    <row r="77" spans="1:28" ht="24" x14ac:dyDescent="0.3">
      <c r="A77" s="2">
        <f>IF(C_Ope_004[[#This Row],[tipo_r]]="R",COUNTIFS($C$1:$C76,"R")+1,"")</f>
        <v>76</v>
      </c>
      <c r="B77" s="19" t="str">
        <f t="shared" si="11"/>
        <v>C_Ope_004</v>
      </c>
      <c r="C77" s="3" t="s">
        <v>1330</v>
      </c>
      <c r="D77" s="14">
        <v>45733</v>
      </c>
      <c r="E77" s="5" t="s">
        <v>8466</v>
      </c>
      <c r="F77" s="5" t="s">
        <v>1336</v>
      </c>
      <c r="G77" s="6" t="s">
        <v>979</v>
      </c>
      <c r="H77" s="6" t="s">
        <v>68</v>
      </c>
      <c r="I77" s="6" t="s">
        <v>8209</v>
      </c>
      <c r="J77" s="6">
        <v>569772</v>
      </c>
      <c r="K77" s="7" t="s">
        <v>8278</v>
      </c>
      <c r="L77" s="8">
        <v>23463</v>
      </c>
      <c r="M77" s="8" t="str">
        <f t="shared" si="7"/>
        <v>PEN</v>
      </c>
      <c r="N77" s="13"/>
      <c r="O77" s="13">
        <v>15</v>
      </c>
      <c r="P77" s="3">
        <f t="shared" si="8"/>
        <v>0</v>
      </c>
      <c r="Q77" s="3">
        <f t="shared" si="9"/>
        <v>15</v>
      </c>
      <c r="R77" s="3">
        <f t="shared" si="10"/>
        <v>390.99</v>
      </c>
      <c r="S77" s="24" t="s">
        <v>1334</v>
      </c>
      <c r="T77" s="24" t="s">
        <v>1334</v>
      </c>
      <c r="U77" s="3"/>
      <c r="V77" s="25" t="s">
        <v>8277</v>
      </c>
      <c r="W77" s="25">
        <v>20550372640</v>
      </c>
      <c r="X77" s="25" t="str">
        <f>IFERROR(VLOOKUP(C_Ope_004[[#This Row],[nota_2]],Clientes_Proveedores[[Ruc / Dni]:[Razon Social]],2,0),"")</f>
        <v>RUTAS DE LIMA S.A.C.</v>
      </c>
      <c r="Y77" s="25"/>
      <c r="Z77" s="103"/>
      <c r="AA77" s="3" t="str">
        <f>IF(C_Ope_004[[#This Row],[fecha]]&gt;0,TEXT(C_Ope_004[[#This Row],[fecha]],"mmmm"),0)</f>
        <v>Marzo</v>
      </c>
      <c r="AB77" s="49"/>
    </row>
    <row r="78" spans="1:28" ht="24" x14ac:dyDescent="0.3">
      <c r="A78" s="2">
        <f>IF(C_Ope_004[[#This Row],[tipo_r]]="R",COUNTIFS($C$1:$C77,"R")+1,"")</f>
        <v>77</v>
      </c>
      <c r="B78" s="19" t="str">
        <f t="shared" si="11"/>
        <v>C_Ope_004</v>
      </c>
      <c r="C78" s="3" t="s">
        <v>1330</v>
      </c>
      <c r="D78" s="14">
        <v>45733</v>
      </c>
      <c r="E78" s="5" t="s">
        <v>8466</v>
      </c>
      <c r="F78" s="5" t="s">
        <v>1336</v>
      </c>
      <c r="G78" s="6" t="s">
        <v>979</v>
      </c>
      <c r="H78" s="6" t="s">
        <v>68</v>
      </c>
      <c r="I78" s="6" t="s">
        <v>8362</v>
      </c>
      <c r="J78" s="6">
        <v>2222350</v>
      </c>
      <c r="K78" s="7" t="s">
        <v>8276</v>
      </c>
      <c r="L78" s="8">
        <v>23464</v>
      </c>
      <c r="M78" s="8" t="str">
        <f t="shared" si="7"/>
        <v>PEN</v>
      </c>
      <c r="N78" s="13"/>
      <c r="O78" s="13">
        <v>15</v>
      </c>
      <c r="P78" s="3">
        <f t="shared" si="8"/>
        <v>0</v>
      </c>
      <c r="Q78" s="3">
        <f t="shared" si="9"/>
        <v>15</v>
      </c>
      <c r="R78" s="3">
        <f t="shared" si="10"/>
        <v>375.99</v>
      </c>
      <c r="S78" s="24" t="s">
        <v>1334</v>
      </c>
      <c r="T78" s="24" t="s">
        <v>1334</v>
      </c>
      <c r="U78" s="3"/>
      <c r="V78" s="25" t="s">
        <v>8277</v>
      </c>
      <c r="W78" s="25">
        <v>20550372640</v>
      </c>
      <c r="X78" s="25" t="str">
        <f>IFERROR(VLOOKUP(C_Ope_004[[#This Row],[nota_2]],Clientes_Proveedores[[Ruc / Dni]:[Razon Social]],2,0),"")</f>
        <v>RUTAS DE LIMA S.A.C.</v>
      </c>
      <c r="Y78" s="25"/>
      <c r="Z78" s="103"/>
      <c r="AA78" s="3" t="str">
        <f>IF(C_Ope_004[[#This Row],[fecha]]&gt;0,TEXT(C_Ope_004[[#This Row],[fecha]],"mmmm"),0)</f>
        <v>Marzo</v>
      </c>
      <c r="AB78" s="49"/>
    </row>
    <row r="79" spans="1:28" ht="24" x14ac:dyDescent="0.3">
      <c r="A79" s="2">
        <f>IF(C_Ope_004[[#This Row],[tipo_r]]="R",COUNTIFS($C$1:$C78,"R")+1,"")</f>
        <v>78</v>
      </c>
      <c r="B79" s="19" t="str">
        <f t="shared" si="11"/>
        <v>C_Ope_004</v>
      </c>
      <c r="C79" s="3" t="s">
        <v>1330</v>
      </c>
      <c r="D79" s="14">
        <v>45734</v>
      </c>
      <c r="E79" s="5" t="s">
        <v>8466</v>
      </c>
      <c r="F79" s="5" t="s">
        <v>1336</v>
      </c>
      <c r="G79" s="6" t="s">
        <v>979</v>
      </c>
      <c r="H79" s="6" t="s">
        <v>68</v>
      </c>
      <c r="I79" s="6" t="s">
        <v>8234</v>
      </c>
      <c r="J79" s="6">
        <v>2600482</v>
      </c>
      <c r="K79" s="7" t="s">
        <v>8278</v>
      </c>
      <c r="L79" s="8">
        <v>23488</v>
      </c>
      <c r="M79" s="8" t="str">
        <f t="shared" si="7"/>
        <v>PEN</v>
      </c>
      <c r="N79" s="13"/>
      <c r="O79" s="13">
        <v>15</v>
      </c>
      <c r="P79" s="3">
        <f t="shared" si="8"/>
        <v>0</v>
      </c>
      <c r="Q79" s="3">
        <f t="shared" si="9"/>
        <v>15</v>
      </c>
      <c r="R79" s="3">
        <f t="shared" si="10"/>
        <v>360.99</v>
      </c>
      <c r="S79" s="24" t="s">
        <v>1334</v>
      </c>
      <c r="T79" s="24" t="s">
        <v>1334</v>
      </c>
      <c r="U79" s="3"/>
      <c r="V79" s="25" t="s">
        <v>8277</v>
      </c>
      <c r="W79" s="25">
        <v>20550372640</v>
      </c>
      <c r="X79" s="25" t="str">
        <f>IFERROR(VLOOKUP(C_Ope_004[[#This Row],[nota_2]],Clientes_Proveedores[[Ruc / Dni]:[Razon Social]],2,0),"")</f>
        <v>RUTAS DE LIMA S.A.C.</v>
      </c>
      <c r="Y79" s="25"/>
      <c r="Z79" s="103"/>
      <c r="AA79" s="3" t="str">
        <f>IF(C_Ope_004[[#This Row],[fecha]]&gt;0,TEXT(C_Ope_004[[#This Row],[fecha]],"mmmm"),0)</f>
        <v>Marzo</v>
      </c>
      <c r="AB79" s="49"/>
    </row>
    <row r="80" spans="1:28" ht="24" x14ac:dyDescent="0.3">
      <c r="A80" s="2">
        <f>IF(C_Ope_004[[#This Row],[tipo_r]]="R",COUNTIFS($C$1:$C79,"R")+1,"")</f>
        <v>79</v>
      </c>
      <c r="B80" s="19" t="str">
        <f t="shared" si="11"/>
        <v>C_Ope_004</v>
      </c>
      <c r="C80" s="3" t="s">
        <v>1330</v>
      </c>
      <c r="D80" s="14">
        <v>45734</v>
      </c>
      <c r="E80" s="5" t="s">
        <v>8466</v>
      </c>
      <c r="F80" s="5" t="s">
        <v>1336</v>
      </c>
      <c r="G80" s="6" t="s">
        <v>979</v>
      </c>
      <c r="H80" s="6" t="s">
        <v>68</v>
      </c>
      <c r="I80" s="6" t="s">
        <v>8480</v>
      </c>
      <c r="J80" s="6">
        <v>1509421</v>
      </c>
      <c r="K80" s="7" t="s">
        <v>8276</v>
      </c>
      <c r="L80" s="8">
        <v>23489</v>
      </c>
      <c r="M80" s="8" t="str">
        <f t="shared" si="7"/>
        <v>PEN</v>
      </c>
      <c r="N80" s="13"/>
      <c r="O80" s="13">
        <v>15</v>
      </c>
      <c r="P80" s="3">
        <f t="shared" si="8"/>
        <v>0</v>
      </c>
      <c r="Q80" s="3">
        <f t="shared" si="9"/>
        <v>15</v>
      </c>
      <c r="R80" s="3">
        <f t="shared" si="10"/>
        <v>345.99</v>
      </c>
      <c r="S80" s="24" t="s">
        <v>1334</v>
      </c>
      <c r="T80" s="24" t="s">
        <v>1334</v>
      </c>
      <c r="U80" s="3"/>
      <c r="V80" s="25" t="s">
        <v>8277</v>
      </c>
      <c r="W80" s="25">
        <v>20550372640</v>
      </c>
      <c r="X80" s="25" t="str">
        <f>IFERROR(VLOOKUP(C_Ope_004[[#This Row],[nota_2]],Clientes_Proveedores[[Ruc / Dni]:[Razon Social]],2,0),"")</f>
        <v>RUTAS DE LIMA S.A.C.</v>
      </c>
      <c r="Y80" s="25"/>
      <c r="Z80" s="103"/>
      <c r="AA80" s="3" t="str">
        <f>IF(C_Ope_004[[#This Row],[fecha]]&gt;0,TEXT(C_Ope_004[[#This Row],[fecha]],"mmmm"),0)</f>
        <v>Marzo</v>
      </c>
      <c r="AB80" s="49"/>
    </row>
    <row r="81" spans="1:28" ht="24" x14ac:dyDescent="0.3">
      <c r="A81" s="2">
        <f>IF(C_Ope_004[[#This Row],[tipo_r]]="R",COUNTIFS($C$1:$C80,"R")+1,"")</f>
        <v>80</v>
      </c>
      <c r="B81" s="19" t="str">
        <f t="shared" si="11"/>
        <v>C_Ope_004</v>
      </c>
      <c r="C81" s="3" t="s">
        <v>1330</v>
      </c>
      <c r="D81" s="14">
        <v>45735</v>
      </c>
      <c r="E81" s="5" t="s">
        <v>8466</v>
      </c>
      <c r="F81" s="5" t="s">
        <v>1336</v>
      </c>
      <c r="G81" s="6" t="s">
        <v>979</v>
      </c>
      <c r="H81" s="6" t="s">
        <v>68</v>
      </c>
      <c r="I81" s="6" t="s">
        <v>8209</v>
      </c>
      <c r="J81" s="6">
        <v>570642</v>
      </c>
      <c r="K81" s="7" t="s">
        <v>8278</v>
      </c>
      <c r="L81" s="8">
        <v>23523</v>
      </c>
      <c r="M81" s="8" t="str">
        <f t="shared" si="7"/>
        <v>PEN</v>
      </c>
      <c r="N81" s="13"/>
      <c r="O81" s="13">
        <v>15</v>
      </c>
      <c r="P81" s="3">
        <f t="shared" si="8"/>
        <v>0</v>
      </c>
      <c r="Q81" s="3">
        <f t="shared" si="9"/>
        <v>15</v>
      </c>
      <c r="R81" s="3">
        <f t="shared" si="10"/>
        <v>330.99</v>
      </c>
      <c r="S81" s="24" t="s">
        <v>1334</v>
      </c>
      <c r="T81" s="24" t="s">
        <v>1334</v>
      </c>
      <c r="U81" s="3"/>
      <c r="V81" s="25" t="s">
        <v>8277</v>
      </c>
      <c r="W81" s="25">
        <v>20550372640</v>
      </c>
      <c r="X81" s="25" t="str">
        <f>IFERROR(VLOOKUP(C_Ope_004[[#This Row],[nota_2]],Clientes_Proveedores[[Ruc / Dni]:[Razon Social]],2,0),"")</f>
        <v>RUTAS DE LIMA S.A.C.</v>
      </c>
      <c r="Y81" s="25"/>
      <c r="Z81" s="103"/>
      <c r="AA81" s="3" t="str">
        <f>IF(C_Ope_004[[#This Row],[fecha]]&gt;0,TEXT(C_Ope_004[[#This Row],[fecha]],"mmmm"),0)</f>
        <v>Marzo</v>
      </c>
      <c r="AB81" s="49"/>
    </row>
    <row r="82" spans="1:28" ht="24" x14ac:dyDescent="0.3">
      <c r="A82" s="2">
        <f>IF(C_Ope_004[[#This Row],[tipo_r]]="R",COUNTIFS($C$1:$C81,"R")+1,"")</f>
        <v>81</v>
      </c>
      <c r="B82" s="19" t="str">
        <f t="shared" si="11"/>
        <v>C_Ope_004</v>
      </c>
      <c r="C82" s="3" t="s">
        <v>1330</v>
      </c>
      <c r="D82" s="14">
        <v>45735</v>
      </c>
      <c r="E82" s="5" t="s">
        <v>8466</v>
      </c>
      <c r="F82" s="5" t="s">
        <v>1336</v>
      </c>
      <c r="G82" s="6" t="s">
        <v>979</v>
      </c>
      <c r="H82" s="6" t="s">
        <v>68</v>
      </c>
      <c r="I82" s="6" t="s">
        <v>8434</v>
      </c>
      <c r="J82" s="6">
        <v>3652956</v>
      </c>
      <c r="K82" s="7" t="s">
        <v>8276</v>
      </c>
      <c r="L82" s="8">
        <v>23524</v>
      </c>
      <c r="M82" s="8" t="str">
        <f t="shared" si="7"/>
        <v>PEN</v>
      </c>
      <c r="N82" s="13"/>
      <c r="O82" s="13">
        <v>15</v>
      </c>
      <c r="P82" s="3">
        <f t="shared" si="8"/>
        <v>0</v>
      </c>
      <c r="Q82" s="3">
        <f t="shared" si="9"/>
        <v>15</v>
      </c>
      <c r="R82" s="3">
        <f t="shared" si="10"/>
        <v>315.99</v>
      </c>
      <c r="S82" s="24" t="s">
        <v>1334</v>
      </c>
      <c r="T82" s="24" t="s">
        <v>1334</v>
      </c>
      <c r="U82" s="3"/>
      <c r="V82" s="25" t="s">
        <v>8277</v>
      </c>
      <c r="W82" s="25">
        <v>20550372640</v>
      </c>
      <c r="X82" s="25" t="str">
        <f>IFERROR(VLOOKUP(C_Ope_004[[#This Row],[nota_2]],Clientes_Proveedores[[Ruc / Dni]:[Razon Social]],2,0),"")</f>
        <v>RUTAS DE LIMA S.A.C.</v>
      </c>
      <c r="Y82" s="25"/>
      <c r="Z82" s="103"/>
      <c r="AA82" s="3" t="str">
        <f>IF(C_Ope_004[[#This Row],[fecha]]&gt;0,TEXT(C_Ope_004[[#This Row],[fecha]],"mmmm"),0)</f>
        <v>Marzo</v>
      </c>
      <c r="AB82" s="49"/>
    </row>
    <row r="83" spans="1:28" ht="24" x14ac:dyDescent="0.3">
      <c r="A83" s="2">
        <f>IF(C_Ope_004[[#This Row],[tipo_r]]="R",COUNTIFS($C$1:$C82,"R")+1,"")</f>
        <v>82</v>
      </c>
      <c r="B83" s="19" t="str">
        <f t="shared" si="11"/>
        <v>C_Ope_004</v>
      </c>
      <c r="C83" s="3" t="s">
        <v>1330</v>
      </c>
      <c r="D83" s="14">
        <v>45736</v>
      </c>
      <c r="E83" s="5" t="s">
        <v>8466</v>
      </c>
      <c r="F83" s="5" t="s">
        <v>1336</v>
      </c>
      <c r="G83" s="6" t="s">
        <v>979</v>
      </c>
      <c r="H83" s="6" t="s">
        <v>68</v>
      </c>
      <c r="I83" s="6" t="s">
        <v>8483</v>
      </c>
      <c r="J83" s="6">
        <v>2309467</v>
      </c>
      <c r="K83" s="7" t="s">
        <v>8278</v>
      </c>
      <c r="L83" s="8">
        <v>23538</v>
      </c>
      <c r="M83" s="8" t="str">
        <f t="shared" si="7"/>
        <v>PEN</v>
      </c>
      <c r="N83" s="13"/>
      <c r="O83" s="13">
        <v>15</v>
      </c>
      <c r="P83" s="3">
        <f t="shared" si="8"/>
        <v>0</v>
      </c>
      <c r="Q83" s="3">
        <f t="shared" si="9"/>
        <v>15</v>
      </c>
      <c r="R83" s="3">
        <f t="shared" si="10"/>
        <v>300.99</v>
      </c>
      <c r="S83" s="24" t="s">
        <v>1334</v>
      </c>
      <c r="T83" s="24" t="s">
        <v>1334</v>
      </c>
      <c r="U83" s="3"/>
      <c r="V83" s="25" t="s">
        <v>8277</v>
      </c>
      <c r="W83" s="25">
        <v>20550372640</v>
      </c>
      <c r="X83" s="25" t="str">
        <f>IFERROR(VLOOKUP(C_Ope_004[[#This Row],[nota_2]],Clientes_Proveedores[[Ruc / Dni]:[Razon Social]],2,0),"")</f>
        <v>RUTAS DE LIMA S.A.C.</v>
      </c>
      <c r="Y83" s="25"/>
      <c r="Z83" s="103"/>
      <c r="AA83" s="3" t="str">
        <f>IF(C_Ope_004[[#This Row],[fecha]]&gt;0,TEXT(C_Ope_004[[#This Row],[fecha]],"mmmm"),0)</f>
        <v>Marzo</v>
      </c>
      <c r="AB83" s="49"/>
    </row>
    <row r="84" spans="1:28" ht="24" x14ac:dyDescent="0.3">
      <c r="A84" s="2">
        <f>IF(C_Ope_004[[#This Row],[tipo_r]]="R",COUNTIFS($C$1:$C83,"R")+1,"")</f>
        <v>83</v>
      </c>
      <c r="B84" s="19" t="str">
        <f t="shared" si="11"/>
        <v>C_Ope_004</v>
      </c>
      <c r="C84" s="3" t="s">
        <v>1330</v>
      </c>
      <c r="D84" s="14">
        <v>45736</v>
      </c>
      <c r="E84" s="5" t="s">
        <v>8466</v>
      </c>
      <c r="F84" s="5" t="s">
        <v>1336</v>
      </c>
      <c r="G84" s="6" t="s">
        <v>979</v>
      </c>
      <c r="H84" s="6" t="s">
        <v>68</v>
      </c>
      <c r="I84" s="6" t="s">
        <v>8362</v>
      </c>
      <c r="J84" s="6">
        <v>2225066</v>
      </c>
      <c r="K84" s="7" t="s">
        <v>8276</v>
      </c>
      <c r="L84" s="8">
        <v>23539</v>
      </c>
      <c r="M84" s="8" t="str">
        <f t="shared" si="7"/>
        <v>PEN</v>
      </c>
      <c r="N84" s="13"/>
      <c r="O84" s="13">
        <v>15</v>
      </c>
      <c r="P84" s="3">
        <f t="shared" si="8"/>
        <v>0</v>
      </c>
      <c r="Q84" s="3">
        <f t="shared" si="9"/>
        <v>15</v>
      </c>
      <c r="R84" s="3">
        <f t="shared" si="10"/>
        <v>285.99</v>
      </c>
      <c r="S84" s="24" t="s">
        <v>1334</v>
      </c>
      <c r="T84" s="24" t="s">
        <v>1334</v>
      </c>
      <c r="U84" s="3"/>
      <c r="V84" s="25" t="s">
        <v>8277</v>
      </c>
      <c r="W84" s="25">
        <v>20550372640</v>
      </c>
      <c r="X84" s="25" t="str">
        <f>IFERROR(VLOOKUP(C_Ope_004[[#This Row],[nota_2]],Clientes_Proveedores[[Ruc / Dni]:[Razon Social]],2,0),"")</f>
        <v>RUTAS DE LIMA S.A.C.</v>
      </c>
      <c r="Y84" s="25"/>
      <c r="Z84" s="103"/>
      <c r="AA84" s="3" t="str">
        <f>IF(C_Ope_004[[#This Row],[fecha]]&gt;0,TEXT(C_Ope_004[[#This Row],[fecha]],"mmmm"),0)</f>
        <v>Marzo</v>
      </c>
      <c r="AB84" s="49"/>
    </row>
    <row r="85" spans="1:28" ht="24" x14ac:dyDescent="0.3">
      <c r="A85" s="2">
        <f>IF(C_Ope_004[[#This Row],[tipo_r]]="R",COUNTIFS($C$1:$C84,"R")+1,"")</f>
        <v>84</v>
      </c>
      <c r="B85" s="19" t="str">
        <f t="shared" si="11"/>
        <v>C_Ope_004</v>
      </c>
      <c r="C85" s="3" t="s">
        <v>1330</v>
      </c>
      <c r="D85" s="14">
        <v>45734</v>
      </c>
      <c r="E85" s="5" t="s">
        <v>8466</v>
      </c>
      <c r="F85" s="5" t="s">
        <v>1336</v>
      </c>
      <c r="G85" s="6" t="s">
        <v>1174</v>
      </c>
      <c r="H85" s="6" t="s">
        <v>68</v>
      </c>
      <c r="I85" s="6" t="s">
        <v>2081</v>
      </c>
      <c r="J85" s="6">
        <v>11487</v>
      </c>
      <c r="K85" s="7" t="s">
        <v>8484</v>
      </c>
      <c r="L85" s="8">
        <v>23487</v>
      </c>
      <c r="M85" s="8" t="str">
        <f t="shared" si="7"/>
        <v>PEN</v>
      </c>
      <c r="N85" s="13"/>
      <c r="O85" s="13">
        <v>15</v>
      </c>
      <c r="P85" s="3">
        <f t="shared" si="8"/>
        <v>0</v>
      </c>
      <c r="Q85" s="3">
        <f t="shared" si="9"/>
        <v>15</v>
      </c>
      <c r="R85" s="3">
        <f t="shared" si="10"/>
        <v>270.99</v>
      </c>
      <c r="S85" s="24" t="s">
        <v>1334</v>
      </c>
      <c r="T85" s="24" t="s">
        <v>1334</v>
      </c>
      <c r="U85" s="3"/>
      <c r="V85" s="25" t="s">
        <v>8277</v>
      </c>
      <c r="W85" s="25">
        <v>10100525998</v>
      </c>
      <c r="X85" s="25" t="str">
        <f>IFERROR(VLOOKUP(C_Ope_004[[#This Row],[nota_2]],Clientes_Proveedores[[Ruc / Dni]:[Razon Social]],2,0),"")</f>
        <v>TORRES CARDENAS CARLOS ANTONIO</v>
      </c>
      <c r="Y85" s="25"/>
      <c r="Z85" s="103"/>
      <c r="AA85" s="3" t="str">
        <f>IF(C_Ope_004[[#This Row],[fecha]]&gt;0,TEXT(C_Ope_004[[#This Row],[fecha]],"mmmm"),0)</f>
        <v>Marzo</v>
      </c>
      <c r="AB85" s="49"/>
    </row>
    <row r="86" spans="1:28" ht="24" x14ac:dyDescent="0.3">
      <c r="A86" s="2">
        <f>IF(C_Ope_004[[#This Row],[tipo_r]]="R",COUNTIFS($C$1:$C85,"R")+1,"")</f>
        <v>85</v>
      </c>
      <c r="B86" s="19" t="str">
        <f t="shared" si="11"/>
        <v>C_Ope_004</v>
      </c>
      <c r="C86" s="3" t="s">
        <v>1330</v>
      </c>
      <c r="D86" s="14">
        <v>45734</v>
      </c>
      <c r="E86" s="5" t="s">
        <v>8466</v>
      </c>
      <c r="F86" s="5" t="s">
        <v>1336</v>
      </c>
      <c r="G86" s="6" t="s">
        <v>735</v>
      </c>
      <c r="H86" s="6" t="s">
        <v>68</v>
      </c>
      <c r="I86" s="6" t="s">
        <v>3078</v>
      </c>
      <c r="J86" s="6">
        <v>40022</v>
      </c>
      <c r="K86" s="7" t="s">
        <v>8485</v>
      </c>
      <c r="L86" s="8">
        <v>23490</v>
      </c>
      <c r="M86" s="8" t="str">
        <f t="shared" si="7"/>
        <v>PEN</v>
      </c>
      <c r="N86" s="13"/>
      <c r="O86" s="13">
        <v>55</v>
      </c>
      <c r="P86" s="3">
        <f t="shared" si="8"/>
        <v>0</v>
      </c>
      <c r="Q86" s="3">
        <f t="shared" si="9"/>
        <v>55</v>
      </c>
      <c r="R86" s="3">
        <f t="shared" si="10"/>
        <v>215.99</v>
      </c>
      <c r="S86" s="24" t="s">
        <v>1334</v>
      </c>
      <c r="T86" s="24" t="s">
        <v>1334</v>
      </c>
      <c r="U86" s="3"/>
      <c r="V86" s="25" t="s">
        <v>8277</v>
      </c>
      <c r="W86" s="25">
        <v>20514148539</v>
      </c>
      <c r="X86" s="25" t="str">
        <f>IFERROR(VLOOKUP(C_Ope_004[[#This Row],[nota_2]],Clientes_Proveedores[[Ruc / Dni]:[Razon Social]],2,0),"")</f>
        <v>NEGOCIACIONES ABBYCORP E.I.R.L.</v>
      </c>
      <c r="Y86" s="25"/>
      <c r="Z86" s="103"/>
      <c r="AA86" s="3" t="str">
        <f>IF(C_Ope_004[[#This Row],[fecha]]&gt;0,TEXT(C_Ope_004[[#This Row],[fecha]],"mmmm"),0)</f>
        <v>Marzo</v>
      </c>
      <c r="AB86" s="49"/>
    </row>
    <row r="87" spans="1:28" ht="24" x14ac:dyDescent="0.3">
      <c r="A87" s="2">
        <f>IF(C_Ope_004[[#This Row],[tipo_r]]="R",COUNTIFS($C$1:$C86,"R")+1,"")</f>
        <v>86</v>
      </c>
      <c r="B87" s="19" t="str">
        <f t="shared" si="11"/>
        <v>C_Ope_004</v>
      </c>
      <c r="C87" s="3" t="s">
        <v>1330</v>
      </c>
      <c r="D87" s="14">
        <v>45737</v>
      </c>
      <c r="E87" s="5" t="s">
        <v>8466</v>
      </c>
      <c r="F87" s="5" t="s">
        <v>1336</v>
      </c>
      <c r="G87" s="6" t="s">
        <v>735</v>
      </c>
      <c r="H87" s="6" t="s">
        <v>68</v>
      </c>
      <c r="I87" s="6" t="s">
        <v>3078</v>
      </c>
      <c r="J87" s="6">
        <v>40084</v>
      </c>
      <c r="K87" s="7" t="s">
        <v>8485</v>
      </c>
      <c r="L87" s="8">
        <v>23547</v>
      </c>
      <c r="M87" s="8" t="str">
        <f t="shared" si="7"/>
        <v>PEN</v>
      </c>
      <c r="N87" s="13"/>
      <c r="O87" s="13">
        <v>55</v>
      </c>
      <c r="P87" s="3">
        <f t="shared" si="8"/>
        <v>0</v>
      </c>
      <c r="Q87" s="3">
        <f t="shared" si="9"/>
        <v>55</v>
      </c>
      <c r="R87" s="3">
        <f t="shared" si="10"/>
        <v>160.99</v>
      </c>
      <c r="S87" s="24" t="s">
        <v>1334</v>
      </c>
      <c r="T87" s="24" t="s">
        <v>1334</v>
      </c>
      <c r="U87" s="3"/>
      <c r="V87" s="25" t="s">
        <v>8277</v>
      </c>
      <c r="W87" s="25">
        <v>20514148539</v>
      </c>
      <c r="X87" s="25" t="str">
        <f>IFERROR(VLOOKUP(C_Ope_004[[#This Row],[nota_2]],Clientes_Proveedores[[Ruc / Dni]:[Razon Social]],2,0),"")</f>
        <v>NEGOCIACIONES ABBYCORP E.I.R.L.</v>
      </c>
      <c r="Y87" s="25"/>
      <c r="Z87" s="103"/>
      <c r="AA87" s="3" t="str">
        <f>IF(C_Ope_004[[#This Row],[fecha]]&gt;0,TEXT(C_Ope_004[[#This Row],[fecha]],"mmmm"),0)</f>
        <v>Marzo</v>
      </c>
      <c r="AB87" s="49"/>
    </row>
    <row r="88" spans="1:28" x14ac:dyDescent="0.3">
      <c r="A88" s="2">
        <f>IF(C_Ope_004[[#This Row],[tipo_r]]="R",COUNTIFS($C$1:$C87,"R")+1,"")</f>
        <v>87</v>
      </c>
      <c r="B88" s="19" t="str">
        <f t="shared" si="11"/>
        <v>C_Ope_004</v>
      </c>
      <c r="C88" s="3" t="s">
        <v>1330</v>
      </c>
      <c r="D88" s="14">
        <v>45740</v>
      </c>
      <c r="E88" s="5" t="s">
        <v>7514</v>
      </c>
      <c r="F88" s="5" t="s">
        <v>1303</v>
      </c>
      <c r="G88" s="6" t="s">
        <v>876</v>
      </c>
      <c r="H88" s="6"/>
      <c r="I88" s="6"/>
      <c r="J88" s="6"/>
      <c r="K88" s="7" t="s">
        <v>7628</v>
      </c>
      <c r="L88" s="8">
        <v>23615</v>
      </c>
      <c r="M88" s="8" t="str">
        <f t="shared" si="7"/>
        <v>PEN</v>
      </c>
      <c r="N88" s="13"/>
      <c r="O88" s="13">
        <v>900</v>
      </c>
      <c r="P88" s="3">
        <f t="shared" si="8"/>
        <v>900</v>
      </c>
      <c r="Q88" s="3">
        <f t="shared" si="9"/>
        <v>0</v>
      </c>
      <c r="R88" s="3">
        <f t="shared" si="10"/>
        <v>1060.99</v>
      </c>
      <c r="S88" s="24" t="s">
        <v>1334</v>
      </c>
      <c r="T88" s="24" t="s">
        <v>1334</v>
      </c>
      <c r="U88" s="3"/>
      <c r="V88" s="25"/>
      <c r="W88" s="25"/>
      <c r="X88" s="25" t="str">
        <f>IFERROR(VLOOKUP(C_Ope_004[[#This Row],[nota_2]],Clientes_Proveedores[[Ruc / Dni]:[Razon Social]],2,0),"")</f>
        <v/>
      </c>
      <c r="Y88" s="25"/>
      <c r="Z88" s="103"/>
      <c r="AA88" s="3" t="str">
        <f>IF(C_Ope_004[[#This Row],[fecha]]&gt;0,TEXT(C_Ope_004[[#This Row],[fecha]],"mmmm"),0)</f>
        <v>Marzo</v>
      </c>
      <c r="AB88" s="49"/>
    </row>
    <row r="89" spans="1:28" x14ac:dyDescent="0.3">
      <c r="A89" s="2">
        <f>IF(C_Ope_004[[#This Row],[tipo_r]]="R",COUNTIFS($C$1:$C88,"R")+1,"")</f>
        <v>88</v>
      </c>
      <c r="B89" s="19" t="str">
        <f t="shared" si="11"/>
        <v>C_Ope_004</v>
      </c>
      <c r="C89" s="3" t="s">
        <v>1330</v>
      </c>
      <c r="D89" s="14">
        <v>45747</v>
      </c>
      <c r="E89" s="5" t="s">
        <v>7514</v>
      </c>
      <c r="F89" s="5" t="s">
        <v>1303</v>
      </c>
      <c r="G89" s="6" t="s">
        <v>876</v>
      </c>
      <c r="H89" s="6"/>
      <c r="I89" s="6"/>
      <c r="J89" s="6"/>
      <c r="K89" s="7" t="s">
        <v>8475</v>
      </c>
      <c r="L89" s="8">
        <v>23686</v>
      </c>
      <c r="M89" s="8" t="str">
        <f t="shared" si="7"/>
        <v>PEN</v>
      </c>
      <c r="N89" s="13"/>
      <c r="O89" s="13">
        <v>140</v>
      </c>
      <c r="P89" s="3">
        <f t="shared" si="8"/>
        <v>140</v>
      </c>
      <c r="Q89" s="3">
        <f t="shared" si="9"/>
        <v>0</v>
      </c>
      <c r="R89" s="3">
        <f t="shared" si="10"/>
        <v>1200.99</v>
      </c>
      <c r="S89" s="24" t="s">
        <v>1334</v>
      </c>
      <c r="T89" s="24" t="s">
        <v>1334</v>
      </c>
      <c r="U89" s="3"/>
      <c r="V89" s="25"/>
      <c r="W89" s="25"/>
      <c r="X89" s="25" t="str">
        <f>IFERROR(VLOOKUP(C_Ope_004[[#This Row],[nota_2]],Clientes_Proveedores[[Ruc / Dni]:[Razon Social]],2,0),"")</f>
        <v/>
      </c>
      <c r="Y89" s="25"/>
      <c r="Z89" s="103"/>
      <c r="AA89" s="3" t="str">
        <f>IF(C_Ope_004[[#This Row],[fecha]]&gt;0,TEXT(C_Ope_004[[#This Row],[fecha]],"mmmm"),0)</f>
        <v>Marzo</v>
      </c>
      <c r="AB89" s="49"/>
    </row>
    <row r="90" spans="1:28" ht="24" x14ac:dyDescent="0.3">
      <c r="A90" s="2">
        <f>IF(C_Ope_004[[#This Row],[tipo_r]]="R",COUNTIFS($C$1:$C89,"R")+1,"")</f>
        <v>89</v>
      </c>
      <c r="B90" s="19" t="str">
        <f t="shared" si="11"/>
        <v>C_Ope_004</v>
      </c>
      <c r="C90" s="3" t="s">
        <v>1330</v>
      </c>
      <c r="D90" s="14">
        <v>45742</v>
      </c>
      <c r="E90" s="5" t="s">
        <v>8466</v>
      </c>
      <c r="F90" s="5" t="s">
        <v>1336</v>
      </c>
      <c r="G90" s="6" t="s">
        <v>1175</v>
      </c>
      <c r="H90" s="6" t="s">
        <v>68</v>
      </c>
      <c r="I90" s="6" t="s">
        <v>1841</v>
      </c>
      <c r="J90" s="6">
        <v>60324</v>
      </c>
      <c r="K90" s="7" t="s">
        <v>8486</v>
      </c>
      <c r="L90" s="8">
        <v>23682</v>
      </c>
      <c r="M90" s="8" t="str">
        <f t="shared" si="7"/>
        <v>PEN</v>
      </c>
      <c r="N90" s="13"/>
      <c r="O90" s="13">
        <v>300</v>
      </c>
      <c r="P90" s="3">
        <f t="shared" si="8"/>
        <v>0</v>
      </c>
      <c r="Q90" s="3">
        <f t="shared" si="9"/>
        <v>300</v>
      </c>
      <c r="R90" s="3">
        <f t="shared" si="10"/>
        <v>900.99</v>
      </c>
      <c r="S90" s="24" t="s">
        <v>1334</v>
      </c>
      <c r="T90" s="24" t="s">
        <v>1334</v>
      </c>
      <c r="U90" s="3"/>
      <c r="V90" s="25" t="s">
        <v>8277</v>
      </c>
      <c r="W90" s="25">
        <v>20452772087</v>
      </c>
      <c r="X90" s="25" t="str">
        <f>IFERROR(VLOOKUP(C_Ope_004[[#This Row],[nota_2]],Clientes_Proveedores[[Ruc / Dni]:[Razon Social]],2,0),"")</f>
        <v>SERVICENTRO GARLUFAK E.I.R.L.</v>
      </c>
      <c r="Y90" s="25"/>
      <c r="Z90" s="103"/>
      <c r="AA90" s="3" t="str">
        <f>IF(C_Ope_004[[#This Row],[fecha]]&gt;0,TEXT(C_Ope_004[[#This Row],[fecha]],"mmmm"),0)</f>
        <v>Marzo</v>
      </c>
      <c r="AB90" s="49"/>
    </row>
    <row r="91" spans="1:28" ht="24" x14ac:dyDescent="0.3">
      <c r="A91" s="2">
        <f>IF(C_Ope_004[[#This Row],[tipo_r]]="R",COUNTIFS($C$1:$C90,"R")+1,"")</f>
        <v>90</v>
      </c>
      <c r="B91" s="19" t="str">
        <f t="shared" si="11"/>
        <v>C_Ope_004</v>
      </c>
      <c r="C91" s="3" t="s">
        <v>1330</v>
      </c>
      <c r="D91" s="14">
        <v>45740</v>
      </c>
      <c r="E91" s="5" t="s">
        <v>8466</v>
      </c>
      <c r="F91" s="5" t="s">
        <v>1336</v>
      </c>
      <c r="G91" s="6" t="s">
        <v>979</v>
      </c>
      <c r="H91" s="6" t="s">
        <v>68</v>
      </c>
      <c r="I91" s="6" t="s">
        <v>5627</v>
      </c>
      <c r="J91" s="6">
        <v>1134646</v>
      </c>
      <c r="K91" s="7" t="s">
        <v>8471</v>
      </c>
      <c r="L91" s="8">
        <v>23616</v>
      </c>
      <c r="M91" s="8" t="str">
        <f t="shared" si="7"/>
        <v>PEN</v>
      </c>
      <c r="N91" s="13"/>
      <c r="O91" s="13">
        <v>15</v>
      </c>
      <c r="P91" s="3">
        <f t="shared" si="8"/>
        <v>0</v>
      </c>
      <c r="Q91" s="3">
        <f t="shared" si="9"/>
        <v>15</v>
      </c>
      <c r="R91" s="3">
        <f t="shared" si="10"/>
        <v>885.99</v>
      </c>
      <c r="S91" s="24" t="s">
        <v>1334</v>
      </c>
      <c r="T91" s="24" t="s">
        <v>1334</v>
      </c>
      <c r="U91" s="3"/>
      <c r="V91" s="25" t="s">
        <v>8277</v>
      </c>
      <c r="W91" s="25">
        <v>20550372640</v>
      </c>
      <c r="X91" s="25" t="str">
        <f>IFERROR(VLOOKUP(C_Ope_004[[#This Row],[nota_2]],Clientes_Proveedores[[Ruc / Dni]:[Razon Social]],2,0),"")</f>
        <v>RUTAS DE LIMA S.A.C.</v>
      </c>
      <c r="Y91" s="25"/>
      <c r="Z91" s="103"/>
      <c r="AA91" s="3" t="str">
        <f>IF(C_Ope_004[[#This Row],[fecha]]&gt;0,TEXT(C_Ope_004[[#This Row],[fecha]],"mmmm"),0)</f>
        <v>Marzo</v>
      </c>
      <c r="AB91" s="49"/>
    </row>
    <row r="92" spans="1:28" ht="24" x14ac:dyDescent="0.3">
      <c r="A92" s="2">
        <f>IF(C_Ope_004[[#This Row],[tipo_r]]="R",COUNTIFS($C$1:$C91,"R")+1,"")</f>
        <v>91</v>
      </c>
      <c r="B92" s="19" t="str">
        <f t="shared" si="11"/>
        <v>C_Ope_004</v>
      </c>
      <c r="C92" s="3" t="s">
        <v>1330</v>
      </c>
      <c r="D92" s="14">
        <v>45740</v>
      </c>
      <c r="E92" s="5" t="s">
        <v>8466</v>
      </c>
      <c r="F92" s="5" t="s">
        <v>1336</v>
      </c>
      <c r="G92" s="6" t="s">
        <v>979</v>
      </c>
      <c r="H92" s="6" t="s">
        <v>68</v>
      </c>
      <c r="I92" s="6" t="s">
        <v>8211</v>
      </c>
      <c r="J92" s="6">
        <v>2953212</v>
      </c>
      <c r="K92" s="7" t="s">
        <v>8487</v>
      </c>
      <c r="L92" s="8">
        <v>23663</v>
      </c>
      <c r="M92" s="8" t="str">
        <f t="shared" si="7"/>
        <v>PEN</v>
      </c>
      <c r="N92" s="13"/>
      <c r="O92" s="13">
        <v>15</v>
      </c>
      <c r="P92" s="3">
        <f t="shared" si="8"/>
        <v>0</v>
      </c>
      <c r="Q92" s="3">
        <f t="shared" si="9"/>
        <v>15</v>
      </c>
      <c r="R92" s="3">
        <f t="shared" si="10"/>
        <v>870.99</v>
      </c>
      <c r="S92" s="24" t="s">
        <v>1334</v>
      </c>
      <c r="T92" s="24" t="s">
        <v>1334</v>
      </c>
      <c r="U92" s="3"/>
      <c r="V92" s="25" t="s">
        <v>8277</v>
      </c>
      <c r="W92" s="25">
        <v>20550372640</v>
      </c>
      <c r="X92" s="25" t="str">
        <f>IFERROR(VLOOKUP(C_Ope_004[[#This Row],[nota_2]],Clientes_Proveedores[[Ruc / Dni]:[Razon Social]],2,0),"")</f>
        <v>RUTAS DE LIMA S.A.C.</v>
      </c>
      <c r="Y92" s="25"/>
      <c r="Z92" s="103"/>
      <c r="AA92" s="3" t="str">
        <f>IF(C_Ope_004[[#This Row],[fecha]]&gt;0,TEXT(C_Ope_004[[#This Row],[fecha]],"mmmm"),0)</f>
        <v>Marzo</v>
      </c>
      <c r="AB92" s="49"/>
    </row>
    <row r="93" spans="1:28" ht="24" x14ac:dyDescent="0.3">
      <c r="A93" s="2">
        <f>IF(C_Ope_004[[#This Row],[tipo_r]]="R",COUNTIFS($C$1:$C92,"R")+1,"")</f>
        <v>92</v>
      </c>
      <c r="B93" s="19" t="str">
        <f t="shared" si="11"/>
        <v>C_Ope_004</v>
      </c>
      <c r="C93" s="3" t="s">
        <v>1330</v>
      </c>
      <c r="D93" s="14">
        <v>45741</v>
      </c>
      <c r="E93" s="5" t="s">
        <v>8466</v>
      </c>
      <c r="F93" s="5" t="s">
        <v>1336</v>
      </c>
      <c r="G93" s="6" t="s">
        <v>979</v>
      </c>
      <c r="H93" s="6" t="s">
        <v>68</v>
      </c>
      <c r="I93" s="6" t="s">
        <v>8483</v>
      </c>
      <c r="J93" s="6">
        <v>2314635</v>
      </c>
      <c r="K93" s="7" t="s">
        <v>8488</v>
      </c>
      <c r="L93" s="8">
        <v>23664</v>
      </c>
      <c r="M93" s="8" t="str">
        <f t="shared" si="7"/>
        <v>PEN</v>
      </c>
      <c r="N93" s="13"/>
      <c r="O93" s="13">
        <v>15</v>
      </c>
      <c r="P93" s="3">
        <f t="shared" si="8"/>
        <v>0</v>
      </c>
      <c r="Q93" s="3">
        <f t="shared" si="9"/>
        <v>15</v>
      </c>
      <c r="R93" s="3">
        <f t="shared" si="10"/>
        <v>855.99</v>
      </c>
      <c r="S93" s="24" t="s">
        <v>1334</v>
      </c>
      <c r="T93" s="24" t="s">
        <v>1334</v>
      </c>
      <c r="U93" s="3"/>
      <c r="V93" s="25" t="s">
        <v>8277</v>
      </c>
      <c r="W93" s="25">
        <v>20550372640</v>
      </c>
      <c r="X93" s="25" t="str">
        <f>IFERROR(VLOOKUP(C_Ope_004[[#This Row],[nota_2]],Clientes_Proveedores[[Ruc / Dni]:[Razon Social]],2,0),"")</f>
        <v>RUTAS DE LIMA S.A.C.</v>
      </c>
      <c r="Y93" s="25"/>
      <c r="Z93" s="103"/>
      <c r="AA93" s="3" t="str">
        <f>IF(C_Ope_004[[#This Row],[fecha]]&gt;0,TEXT(C_Ope_004[[#This Row],[fecha]],"mmmm"),0)</f>
        <v>Marzo</v>
      </c>
      <c r="AB93" s="49"/>
    </row>
    <row r="94" spans="1:28" ht="24" x14ac:dyDescent="0.3">
      <c r="A94" s="2">
        <f>IF(C_Ope_004[[#This Row],[tipo_r]]="R",COUNTIFS($C$1:$C93,"R")+1,"")</f>
        <v>93</v>
      </c>
      <c r="B94" s="19" t="str">
        <f t="shared" si="11"/>
        <v>C_Ope_004</v>
      </c>
      <c r="C94" s="3" t="s">
        <v>1330</v>
      </c>
      <c r="D94" s="14">
        <v>45741</v>
      </c>
      <c r="E94" s="5" t="s">
        <v>8466</v>
      </c>
      <c r="F94" s="5" t="s">
        <v>1336</v>
      </c>
      <c r="G94" s="6" t="s">
        <v>1041</v>
      </c>
      <c r="H94" s="6" t="s">
        <v>68</v>
      </c>
      <c r="I94" s="6" t="s">
        <v>8236</v>
      </c>
      <c r="J94" s="6">
        <v>2144771</v>
      </c>
      <c r="K94" s="7" t="s">
        <v>8489</v>
      </c>
      <c r="L94" s="8">
        <v>23666</v>
      </c>
      <c r="M94" s="8" t="str">
        <f t="shared" si="7"/>
        <v>PEN</v>
      </c>
      <c r="N94" s="13"/>
      <c r="O94" s="13">
        <v>38.799999999999997</v>
      </c>
      <c r="P94" s="3">
        <f t="shared" si="8"/>
        <v>0</v>
      </c>
      <c r="Q94" s="3">
        <f t="shared" si="9"/>
        <v>38.799999999999997</v>
      </c>
      <c r="R94" s="3">
        <f t="shared" si="10"/>
        <v>817.19</v>
      </c>
      <c r="S94" s="24" t="s">
        <v>1334</v>
      </c>
      <c r="T94" s="24" t="s">
        <v>1334</v>
      </c>
      <c r="U94" s="3"/>
      <c r="V94" s="25" t="s">
        <v>8277</v>
      </c>
      <c r="W94" s="25">
        <v>20511465061</v>
      </c>
      <c r="X94" s="25" t="str">
        <f>IFERROR(VLOOKUP(C_Ope_004[[#This Row],[nota_2]],Clientes_Proveedores[[Ruc / Dni]:[Razon Social]],2,0),"")</f>
        <v>CONCESIONARIA VIAL DEL PERU S.A</v>
      </c>
      <c r="Y94" s="25"/>
      <c r="Z94" s="103"/>
      <c r="AA94" s="3" t="str">
        <f>IF(C_Ope_004[[#This Row],[fecha]]&gt;0,TEXT(C_Ope_004[[#This Row],[fecha]],"mmmm"),0)</f>
        <v>Marzo</v>
      </c>
      <c r="AB94" s="49"/>
    </row>
    <row r="95" spans="1:28" ht="24" x14ac:dyDescent="0.3">
      <c r="A95" s="2">
        <f>IF(C_Ope_004[[#This Row],[tipo_r]]="R",COUNTIFS($C$1:$C94,"R")+1,"")</f>
        <v>94</v>
      </c>
      <c r="B95" s="19" t="str">
        <f t="shared" si="11"/>
        <v>C_Ope_004</v>
      </c>
      <c r="C95" s="3" t="s">
        <v>1330</v>
      </c>
      <c r="D95" s="14">
        <v>45743</v>
      </c>
      <c r="E95" s="5" t="s">
        <v>8466</v>
      </c>
      <c r="F95" s="5" t="s">
        <v>1336</v>
      </c>
      <c r="G95" s="6" t="s">
        <v>979</v>
      </c>
      <c r="H95" s="6" t="s">
        <v>68</v>
      </c>
      <c r="I95" s="6" t="s">
        <v>8362</v>
      </c>
      <c r="J95" s="6">
        <v>2230466</v>
      </c>
      <c r="K95" s="7" t="s">
        <v>8490</v>
      </c>
      <c r="L95" s="8">
        <v>23665</v>
      </c>
      <c r="M95" s="8" t="str">
        <f t="shared" si="7"/>
        <v>PEN</v>
      </c>
      <c r="N95" s="13"/>
      <c r="O95" s="13">
        <v>15</v>
      </c>
      <c r="P95" s="3">
        <f t="shared" si="8"/>
        <v>0</v>
      </c>
      <c r="Q95" s="3">
        <f t="shared" si="9"/>
        <v>15</v>
      </c>
      <c r="R95" s="3">
        <f t="shared" si="10"/>
        <v>802.19</v>
      </c>
      <c r="S95" s="24" t="s">
        <v>1334</v>
      </c>
      <c r="T95" s="24" t="s">
        <v>1334</v>
      </c>
      <c r="U95" s="3"/>
      <c r="V95" s="25" t="s">
        <v>8277</v>
      </c>
      <c r="W95" s="25">
        <v>20550372640</v>
      </c>
      <c r="X95" s="25" t="str">
        <f>IFERROR(VLOOKUP(C_Ope_004[[#This Row],[nota_2]],Clientes_Proveedores[[Ruc / Dni]:[Razon Social]],2,0),"")</f>
        <v>RUTAS DE LIMA S.A.C.</v>
      </c>
      <c r="Y95" s="25"/>
      <c r="Z95" s="103"/>
      <c r="AA95" s="3" t="str">
        <f>IF(C_Ope_004[[#This Row],[fecha]]&gt;0,TEXT(C_Ope_004[[#This Row],[fecha]],"mmmm"),0)</f>
        <v>Marzo</v>
      </c>
      <c r="AB95" s="49"/>
    </row>
    <row r="96" spans="1:28" ht="24" x14ac:dyDescent="0.3">
      <c r="A96" s="2">
        <f>IF(C_Ope_004[[#This Row],[tipo_r]]="R",COUNTIFS($C$1:$C95,"R")+1,"")</f>
        <v>95</v>
      </c>
      <c r="B96" s="19" t="str">
        <f t="shared" si="11"/>
        <v>C_Ope_004</v>
      </c>
      <c r="C96" s="3" t="s">
        <v>1330</v>
      </c>
      <c r="D96" s="14">
        <v>45743</v>
      </c>
      <c r="E96" s="5" t="s">
        <v>8466</v>
      </c>
      <c r="F96" s="5" t="s">
        <v>1336</v>
      </c>
      <c r="G96" s="6" t="s">
        <v>1041</v>
      </c>
      <c r="H96" s="6" t="s">
        <v>68</v>
      </c>
      <c r="I96" s="6" t="s">
        <v>8255</v>
      </c>
      <c r="J96" s="6">
        <v>2804610</v>
      </c>
      <c r="K96" s="7" t="s">
        <v>8491</v>
      </c>
      <c r="L96" s="8">
        <v>23667</v>
      </c>
      <c r="M96" s="8" t="str">
        <f t="shared" si="7"/>
        <v>PEN</v>
      </c>
      <c r="N96" s="13"/>
      <c r="O96" s="13">
        <v>38.799999999999997</v>
      </c>
      <c r="P96" s="3">
        <f t="shared" si="8"/>
        <v>0</v>
      </c>
      <c r="Q96" s="3">
        <f t="shared" si="9"/>
        <v>38.799999999999997</v>
      </c>
      <c r="R96" s="3">
        <f t="shared" si="10"/>
        <v>763.3900000000001</v>
      </c>
      <c r="S96" s="24" t="s">
        <v>1334</v>
      </c>
      <c r="T96" s="24" t="s">
        <v>1334</v>
      </c>
      <c r="U96" s="3"/>
      <c r="V96" s="25" t="s">
        <v>8277</v>
      </c>
      <c r="W96" s="25">
        <v>20511465061</v>
      </c>
      <c r="X96" s="25" t="str">
        <f>IFERROR(VLOOKUP(C_Ope_004[[#This Row],[nota_2]],Clientes_Proveedores[[Ruc / Dni]:[Razon Social]],2,0),"")</f>
        <v>CONCESIONARIA VIAL DEL PERU S.A</v>
      </c>
      <c r="Y96" s="25"/>
      <c r="Z96" s="103"/>
      <c r="AA96" s="3" t="str">
        <f>IF(C_Ope_004[[#This Row],[fecha]]&gt;0,TEXT(C_Ope_004[[#This Row],[fecha]],"mmmm"),0)</f>
        <v>Marzo</v>
      </c>
      <c r="AB96" s="49"/>
    </row>
    <row r="97" spans="1:28" ht="24" x14ac:dyDescent="0.3">
      <c r="A97" s="2">
        <f>IF(C_Ope_004[[#This Row],[tipo_r]]="R",COUNTIFS($C$1:$C96,"R")+1,"")</f>
        <v>96</v>
      </c>
      <c r="B97" s="19" t="str">
        <f t="shared" si="11"/>
        <v>C_Ope_004</v>
      </c>
      <c r="C97" s="3" t="s">
        <v>1330</v>
      </c>
      <c r="D97" s="14">
        <v>45747</v>
      </c>
      <c r="E97" s="5" t="s">
        <v>8466</v>
      </c>
      <c r="F97" s="5" t="s">
        <v>1336</v>
      </c>
      <c r="G97" s="6" t="s">
        <v>979</v>
      </c>
      <c r="H97" s="6" t="s">
        <v>68</v>
      </c>
      <c r="I97" s="6" t="s">
        <v>5627</v>
      </c>
      <c r="J97" s="6">
        <v>1137892</v>
      </c>
      <c r="K97" s="7" t="s">
        <v>8278</v>
      </c>
      <c r="L97" s="8">
        <v>23699</v>
      </c>
      <c r="M97" s="8" t="str">
        <f t="shared" si="7"/>
        <v>PEN</v>
      </c>
      <c r="N97" s="13"/>
      <c r="O97" s="13">
        <v>15</v>
      </c>
      <c r="P97" s="3">
        <f t="shared" si="8"/>
        <v>0</v>
      </c>
      <c r="Q97" s="3">
        <f t="shared" si="9"/>
        <v>15</v>
      </c>
      <c r="R97" s="3">
        <f t="shared" si="10"/>
        <v>748.3900000000001</v>
      </c>
      <c r="S97" s="24" t="s">
        <v>1334</v>
      </c>
      <c r="T97" s="24" t="s">
        <v>1334</v>
      </c>
      <c r="U97" s="3"/>
      <c r="V97" s="25" t="s">
        <v>8277</v>
      </c>
      <c r="W97" s="25">
        <v>20550372640</v>
      </c>
      <c r="X97" s="25" t="str">
        <f>IFERROR(VLOOKUP(C_Ope_004[[#This Row],[nota_2]],Clientes_Proveedores[[Ruc / Dni]:[Razon Social]],2,0),"")</f>
        <v>RUTAS DE LIMA S.A.C.</v>
      </c>
      <c r="Y97" s="25"/>
      <c r="Z97" s="103"/>
      <c r="AA97" s="3" t="str">
        <f>IF(C_Ope_004[[#This Row],[fecha]]&gt;0,TEXT(C_Ope_004[[#This Row],[fecha]],"mmmm"),0)</f>
        <v>Marzo</v>
      </c>
      <c r="AB97" s="49"/>
    </row>
    <row r="98" spans="1:28" ht="24" x14ac:dyDescent="0.3">
      <c r="A98" s="2">
        <f>IF(C_Ope_004[[#This Row],[tipo_r]]="R",COUNTIFS($C$1:$C97,"R")+1,"")</f>
        <v>97</v>
      </c>
      <c r="B98" s="19" t="str">
        <f t="shared" si="11"/>
        <v>C_Ope_004</v>
      </c>
      <c r="C98" s="3" t="s">
        <v>1330</v>
      </c>
      <c r="D98" s="14">
        <v>45747</v>
      </c>
      <c r="E98" s="5" t="s">
        <v>8466</v>
      </c>
      <c r="F98" s="5" t="s">
        <v>1336</v>
      </c>
      <c r="G98" s="6" t="s">
        <v>979</v>
      </c>
      <c r="H98" s="6" t="s">
        <v>68</v>
      </c>
      <c r="I98" s="6" t="s">
        <v>8492</v>
      </c>
      <c r="J98" s="6">
        <v>1032193</v>
      </c>
      <c r="K98" s="7" t="s">
        <v>8276</v>
      </c>
      <c r="L98" s="8">
        <v>23701</v>
      </c>
      <c r="M98" s="8" t="str">
        <f t="shared" ref="M98:M129" si="12">"PEN"</f>
        <v>PEN</v>
      </c>
      <c r="N98" s="13"/>
      <c r="O98" s="13">
        <v>15</v>
      </c>
      <c r="P98" s="3">
        <f t="shared" si="8"/>
        <v>0</v>
      </c>
      <c r="Q98" s="3">
        <f t="shared" si="9"/>
        <v>15</v>
      </c>
      <c r="R98" s="3">
        <f t="shared" si="10"/>
        <v>733.3900000000001</v>
      </c>
      <c r="S98" s="24" t="s">
        <v>1334</v>
      </c>
      <c r="T98" s="24" t="s">
        <v>1334</v>
      </c>
      <c r="U98" s="3"/>
      <c r="V98" s="25" t="s">
        <v>8277</v>
      </c>
      <c r="W98" s="25">
        <v>20550372640</v>
      </c>
      <c r="X98" s="25" t="str">
        <f>IFERROR(VLOOKUP(C_Ope_004[[#This Row],[nota_2]],Clientes_Proveedores[[Ruc / Dni]:[Razon Social]],2,0),"")</f>
        <v>RUTAS DE LIMA S.A.C.</v>
      </c>
      <c r="Y98" s="25"/>
      <c r="Z98" s="103"/>
      <c r="AA98" s="3" t="str">
        <f>IF(C_Ope_004[[#This Row],[fecha]]&gt;0,TEXT(C_Ope_004[[#This Row],[fecha]],"mmmm"),0)</f>
        <v>Marzo</v>
      </c>
      <c r="AB98" s="49"/>
    </row>
    <row r="99" spans="1:28" ht="24" x14ac:dyDescent="0.3">
      <c r="A99" s="2">
        <f>IF(C_Ope_004[[#This Row],[tipo_r]]="R",COUNTIFS($C$1:$C98,"R")+1,"")</f>
        <v>98</v>
      </c>
      <c r="B99" s="19" t="str">
        <f t="shared" ref="B99:B130" si="13">"C_Ope_004"</f>
        <v>C_Ope_004</v>
      </c>
      <c r="C99" s="3" t="s">
        <v>1330</v>
      </c>
      <c r="D99" s="14">
        <v>45741</v>
      </c>
      <c r="E99" s="5" t="s">
        <v>8466</v>
      </c>
      <c r="F99" s="5" t="s">
        <v>1336</v>
      </c>
      <c r="G99" s="6" t="s">
        <v>1176</v>
      </c>
      <c r="H99" s="6" t="s">
        <v>75</v>
      </c>
      <c r="I99" s="6">
        <v>2</v>
      </c>
      <c r="J99" s="6">
        <v>7520</v>
      </c>
      <c r="K99" s="7" t="s">
        <v>8493</v>
      </c>
      <c r="L99" s="8">
        <v>23670</v>
      </c>
      <c r="M99" s="8" t="str">
        <f t="shared" si="12"/>
        <v>PEN</v>
      </c>
      <c r="N99" s="13"/>
      <c r="O99" s="13">
        <v>90</v>
      </c>
      <c r="P99" s="3">
        <f t="shared" si="8"/>
        <v>0</v>
      </c>
      <c r="Q99" s="3">
        <f t="shared" si="9"/>
        <v>90</v>
      </c>
      <c r="R99" s="3">
        <f t="shared" si="10"/>
        <v>643.3900000000001</v>
      </c>
      <c r="S99" s="24" t="s">
        <v>1334</v>
      </c>
      <c r="T99" s="24" t="s">
        <v>1334</v>
      </c>
      <c r="U99" s="3"/>
      <c r="V99" s="25"/>
      <c r="W99" s="25">
        <v>10200986194</v>
      </c>
      <c r="X99" s="25" t="str">
        <f>IFERROR(VLOOKUP(C_Ope_004[[#This Row],[nota_2]],Clientes_Proveedores[[Ruc / Dni]:[Razon Social]],2,0),"")</f>
        <v>PACHECO RODRIGUEZ LIBERIO</v>
      </c>
      <c r="Y99" s="25"/>
      <c r="Z99" s="103"/>
      <c r="AA99" s="3" t="str">
        <f>IF(C_Ope_004[[#This Row],[fecha]]&gt;0,TEXT(C_Ope_004[[#This Row],[fecha]],"mmmm"),0)</f>
        <v>Marzo</v>
      </c>
      <c r="AB99" s="49"/>
    </row>
    <row r="100" spans="1:28" x14ac:dyDescent="0.3">
      <c r="A100" s="2">
        <f>IF(C_Ope_004[[#This Row],[tipo_r]]="R",COUNTIFS($C$1:$C99,"R")+1,"")</f>
        <v>99</v>
      </c>
      <c r="B100" s="19" t="str">
        <f t="shared" si="13"/>
        <v>C_Ope_004</v>
      </c>
      <c r="C100" s="3" t="s">
        <v>1330</v>
      </c>
      <c r="D100" s="14">
        <v>45741</v>
      </c>
      <c r="E100" s="5" t="s">
        <v>8466</v>
      </c>
      <c r="F100" s="5" t="s">
        <v>1336</v>
      </c>
      <c r="G100" s="6"/>
      <c r="H100" s="6" t="s">
        <v>126</v>
      </c>
      <c r="I100" s="6"/>
      <c r="J100" s="6"/>
      <c r="K100" s="7" t="s">
        <v>8225</v>
      </c>
      <c r="L100" s="8">
        <v>23672</v>
      </c>
      <c r="M100" s="8" t="str">
        <f t="shared" si="12"/>
        <v>PEN</v>
      </c>
      <c r="N100" s="13"/>
      <c r="O100" s="13">
        <v>24</v>
      </c>
      <c r="P100" s="3">
        <f t="shared" si="8"/>
        <v>0</v>
      </c>
      <c r="Q100" s="3">
        <f t="shared" si="9"/>
        <v>24</v>
      </c>
      <c r="R100" s="3">
        <f t="shared" si="10"/>
        <v>619.3900000000001</v>
      </c>
      <c r="S100" s="24" t="s">
        <v>1334</v>
      </c>
      <c r="T100" s="24" t="s">
        <v>1334</v>
      </c>
      <c r="U100" s="3"/>
      <c r="V100" s="25" t="s">
        <v>8277</v>
      </c>
      <c r="W100" s="25"/>
      <c r="X100" s="25" t="str">
        <f>IFERROR(VLOOKUP(C_Ope_004[[#This Row],[nota_2]],Clientes_Proveedores[[Ruc / Dni]:[Razon Social]],2,0),"")</f>
        <v/>
      </c>
      <c r="Y100" s="25"/>
      <c r="Z100" s="103"/>
      <c r="AA100" s="3" t="str">
        <f>IF(C_Ope_004[[#This Row],[fecha]]&gt;0,TEXT(C_Ope_004[[#This Row],[fecha]],"mmmm"),0)</f>
        <v>Marzo</v>
      </c>
      <c r="AB100" s="49"/>
    </row>
    <row r="101" spans="1:28" x14ac:dyDescent="0.3">
      <c r="A101" s="2">
        <f>IF(C_Ope_004[[#This Row],[tipo_r]]="R",COUNTIFS($C$1:$C100,"R")+1,"")</f>
        <v>100</v>
      </c>
      <c r="B101" s="19" t="str">
        <f t="shared" si="13"/>
        <v>C_Ope_004</v>
      </c>
      <c r="C101" s="3" t="s">
        <v>1330</v>
      </c>
      <c r="D101" s="14">
        <v>45741</v>
      </c>
      <c r="E101" s="5" t="s">
        <v>8466</v>
      </c>
      <c r="F101" s="5" t="s">
        <v>1336</v>
      </c>
      <c r="G101" s="6"/>
      <c r="H101" s="6" t="s">
        <v>126</v>
      </c>
      <c r="I101" s="6"/>
      <c r="J101" s="6"/>
      <c r="K101" s="7" t="s">
        <v>8218</v>
      </c>
      <c r="L101" s="8">
        <v>23673</v>
      </c>
      <c r="M101" s="8" t="str">
        <f t="shared" si="12"/>
        <v>PEN</v>
      </c>
      <c r="N101" s="13"/>
      <c r="O101" s="13">
        <v>30</v>
      </c>
      <c r="P101" s="3">
        <f t="shared" si="8"/>
        <v>0</v>
      </c>
      <c r="Q101" s="3">
        <f t="shared" si="9"/>
        <v>30</v>
      </c>
      <c r="R101" s="3">
        <f t="shared" si="10"/>
        <v>589.3900000000001</v>
      </c>
      <c r="S101" s="24" t="s">
        <v>1334</v>
      </c>
      <c r="T101" s="24" t="s">
        <v>1334</v>
      </c>
      <c r="U101" s="3"/>
      <c r="V101" s="25" t="s">
        <v>8277</v>
      </c>
      <c r="W101" s="25"/>
      <c r="X101" s="25" t="str">
        <f>IFERROR(VLOOKUP(C_Ope_004[[#This Row],[nota_2]],Clientes_Proveedores[[Ruc / Dni]:[Razon Social]],2,0),"")</f>
        <v/>
      </c>
      <c r="Y101" s="25"/>
      <c r="Z101" s="103"/>
      <c r="AA101" s="3" t="str">
        <f>IF(C_Ope_004[[#This Row],[fecha]]&gt;0,TEXT(C_Ope_004[[#This Row],[fecha]],"mmmm"),0)</f>
        <v>Marzo</v>
      </c>
      <c r="AB101" s="49"/>
    </row>
    <row r="102" spans="1:28" x14ac:dyDescent="0.3">
      <c r="A102" s="2">
        <f>IF(C_Ope_004[[#This Row],[tipo_r]]="R",COUNTIFS($C$1:$C101,"R")+1,"")</f>
        <v>101</v>
      </c>
      <c r="B102" s="19" t="str">
        <f t="shared" si="13"/>
        <v>C_Ope_004</v>
      </c>
      <c r="C102" s="3" t="s">
        <v>1330</v>
      </c>
      <c r="D102" s="14">
        <v>45741</v>
      </c>
      <c r="E102" s="5" t="s">
        <v>8466</v>
      </c>
      <c r="F102" s="5" t="s">
        <v>1336</v>
      </c>
      <c r="G102" s="6"/>
      <c r="H102" s="6" t="s">
        <v>126</v>
      </c>
      <c r="I102" s="6"/>
      <c r="J102" s="6"/>
      <c r="K102" s="7" t="s">
        <v>8231</v>
      </c>
      <c r="L102" s="8">
        <v>23674</v>
      </c>
      <c r="M102" s="8" t="str">
        <f t="shared" si="12"/>
        <v>PEN</v>
      </c>
      <c r="N102" s="13"/>
      <c r="O102" s="13">
        <v>24</v>
      </c>
      <c r="P102" s="3">
        <f t="shared" si="8"/>
        <v>0</v>
      </c>
      <c r="Q102" s="3">
        <f t="shared" si="9"/>
        <v>24</v>
      </c>
      <c r="R102" s="3">
        <f t="shared" si="10"/>
        <v>565.3900000000001</v>
      </c>
      <c r="S102" s="24" t="s">
        <v>1334</v>
      </c>
      <c r="T102" s="24" t="s">
        <v>1334</v>
      </c>
      <c r="U102" s="3"/>
      <c r="V102" s="25" t="s">
        <v>8277</v>
      </c>
      <c r="W102" s="25"/>
      <c r="X102" s="25" t="str">
        <f>IFERROR(VLOOKUP(C_Ope_004[[#This Row],[nota_2]],Clientes_Proveedores[[Ruc / Dni]:[Razon Social]],2,0),"")</f>
        <v/>
      </c>
      <c r="Y102" s="25"/>
      <c r="Z102" s="103"/>
      <c r="AA102" s="3" t="str">
        <f>IF(C_Ope_004[[#This Row],[fecha]]&gt;0,TEXT(C_Ope_004[[#This Row],[fecha]],"mmmm"),0)</f>
        <v>Marzo</v>
      </c>
      <c r="AB102" s="49"/>
    </row>
    <row r="103" spans="1:28" ht="36" x14ac:dyDescent="0.3">
      <c r="A103" s="2">
        <f>IF(C_Ope_004[[#This Row],[tipo_r]]="R",COUNTIFS($C$1:$C102,"R")+1,"")</f>
        <v>102</v>
      </c>
      <c r="B103" s="19" t="str">
        <f t="shared" si="13"/>
        <v>C_Ope_004</v>
      </c>
      <c r="C103" s="3" t="s">
        <v>1330</v>
      </c>
      <c r="D103" s="14">
        <v>45742</v>
      </c>
      <c r="E103" s="5" t="s">
        <v>8466</v>
      </c>
      <c r="F103" s="5" t="s">
        <v>1336</v>
      </c>
      <c r="G103" s="6" t="s">
        <v>1177</v>
      </c>
      <c r="H103" s="6" t="s">
        <v>68</v>
      </c>
      <c r="I103" s="6" t="s">
        <v>8494</v>
      </c>
      <c r="J103" s="6">
        <v>7729</v>
      </c>
      <c r="K103" s="7" t="s">
        <v>8495</v>
      </c>
      <c r="L103" s="8">
        <v>23668</v>
      </c>
      <c r="M103" s="8" t="str">
        <f t="shared" si="12"/>
        <v>PEN</v>
      </c>
      <c r="N103" s="13"/>
      <c r="O103" s="13">
        <v>20</v>
      </c>
      <c r="P103" s="3">
        <f t="shared" si="8"/>
        <v>0</v>
      </c>
      <c r="Q103" s="3">
        <f t="shared" si="9"/>
        <v>20</v>
      </c>
      <c r="R103" s="3">
        <f t="shared" si="10"/>
        <v>545.3900000000001</v>
      </c>
      <c r="S103" s="24" t="s">
        <v>1334</v>
      </c>
      <c r="T103" s="24" t="s">
        <v>1334</v>
      </c>
      <c r="U103" s="3"/>
      <c r="V103" s="25" t="s">
        <v>8277</v>
      </c>
      <c r="W103" s="25">
        <v>20603381697</v>
      </c>
      <c r="X103" s="25" t="str">
        <f>IFERROR(VLOOKUP(C_Ope_004[[#This Row],[nota_2]],Clientes_Proveedores[[Ruc / Dni]:[Razon Social]],2,0),"")</f>
        <v>INVERSIONES URBANISTICAS OPERADORA S.A.</v>
      </c>
      <c r="Y103" s="25"/>
      <c r="Z103" s="103"/>
      <c r="AA103" s="3" t="str">
        <f>IF(C_Ope_004[[#This Row],[fecha]]&gt;0,TEXT(C_Ope_004[[#This Row],[fecha]],"mmmm"),0)</f>
        <v>Marzo</v>
      </c>
      <c r="AB103" s="49"/>
    </row>
    <row r="104" spans="1:28" ht="24" x14ac:dyDescent="0.3">
      <c r="A104" s="2">
        <f>IF(C_Ope_004[[#This Row],[tipo_r]]="R",COUNTIFS($C$1:$C103,"R")+1,"")</f>
        <v>103</v>
      </c>
      <c r="B104" s="19" t="str">
        <f t="shared" si="13"/>
        <v>C_Ope_004</v>
      </c>
      <c r="C104" s="3" t="s">
        <v>1330</v>
      </c>
      <c r="D104" s="14">
        <v>45742</v>
      </c>
      <c r="E104" s="5" t="s">
        <v>8466</v>
      </c>
      <c r="F104" s="5" t="s">
        <v>1336</v>
      </c>
      <c r="G104" s="6" t="s">
        <v>1178</v>
      </c>
      <c r="H104" s="6" t="s">
        <v>75</v>
      </c>
      <c r="I104" s="6">
        <v>1</v>
      </c>
      <c r="J104" s="6">
        <v>172</v>
      </c>
      <c r="K104" s="7" t="s">
        <v>8496</v>
      </c>
      <c r="L104" s="8">
        <v>23669</v>
      </c>
      <c r="M104" s="8" t="str">
        <f t="shared" si="12"/>
        <v>PEN</v>
      </c>
      <c r="N104" s="13"/>
      <c r="O104" s="13">
        <v>45</v>
      </c>
      <c r="P104" s="3">
        <f t="shared" si="8"/>
        <v>0</v>
      </c>
      <c r="Q104" s="3">
        <f t="shared" si="9"/>
        <v>45</v>
      </c>
      <c r="R104" s="3">
        <f t="shared" si="10"/>
        <v>500.3900000000001</v>
      </c>
      <c r="S104" s="24" t="s">
        <v>1334</v>
      </c>
      <c r="T104" s="24" t="s">
        <v>1334</v>
      </c>
      <c r="U104" s="3"/>
      <c r="V104" s="25" t="s">
        <v>8277</v>
      </c>
      <c r="W104" s="25">
        <v>10763811064</v>
      </c>
      <c r="X104" s="25" t="str">
        <f>IFERROR(VLOOKUP(C_Ope_004[[#This Row],[nota_2]],Clientes_Proveedores[[Ruc / Dni]:[Razon Social]],2,0),"")</f>
        <v>QUISPE CHAVEZ FRIOLERA JIMENA</v>
      </c>
      <c r="Y104" s="25"/>
      <c r="Z104" s="103"/>
      <c r="AA104" s="3" t="str">
        <f>IF(C_Ope_004[[#This Row],[fecha]]&gt;0,TEXT(C_Ope_004[[#This Row],[fecha]],"mmmm"),0)</f>
        <v>Marzo</v>
      </c>
      <c r="AB104" s="49"/>
    </row>
    <row r="105" spans="1:28" ht="24" x14ac:dyDescent="0.3">
      <c r="A105" s="2">
        <f>IF(C_Ope_004[[#This Row],[tipo_r]]="R",COUNTIFS($C$1:$C104,"R")+1,"")</f>
        <v>104</v>
      </c>
      <c r="B105" s="19" t="str">
        <f t="shared" si="13"/>
        <v>C_Ope_004</v>
      </c>
      <c r="C105" s="3" t="s">
        <v>1330</v>
      </c>
      <c r="D105" s="14">
        <v>45742</v>
      </c>
      <c r="E105" s="5" t="s">
        <v>8466</v>
      </c>
      <c r="F105" s="5" t="s">
        <v>1336</v>
      </c>
      <c r="G105" s="6" t="s">
        <v>1179</v>
      </c>
      <c r="H105" s="6" t="s">
        <v>75</v>
      </c>
      <c r="I105" s="6">
        <v>1</v>
      </c>
      <c r="J105" s="6">
        <v>469</v>
      </c>
      <c r="K105" s="7" t="s">
        <v>8497</v>
      </c>
      <c r="L105" s="8">
        <v>23671</v>
      </c>
      <c r="M105" s="8" t="str">
        <f t="shared" si="12"/>
        <v>PEN</v>
      </c>
      <c r="N105" s="13">
        <v>20</v>
      </c>
      <c r="O105" s="13">
        <v>100</v>
      </c>
      <c r="P105" s="3">
        <f t="shared" si="8"/>
        <v>0</v>
      </c>
      <c r="Q105" s="3">
        <f t="shared" si="9"/>
        <v>100</v>
      </c>
      <c r="R105" s="3">
        <f t="shared" si="10"/>
        <v>400.3900000000001</v>
      </c>
      <c r="S105" s="24" t="s">
        <v>1334</v>
      </c>
      <c r="T105" s="24" t="s">
        <v>1334</v>
      </c>
      <c r="U105" s="3"/>
      <c r="V105" s="25" t="s">
        <v>8277</v>
      </c>
      <c r="W105" s="25">
        <v>10405340483</v>
      </c>
      <c r="X105" s="25" t="str">
        <f>IFERROR(VLOOKUP(C_Ope_004[[#This Row],[nota_2]],Clientes_Proveedores[[Ruc / Dni]:[Razon Social]],2,0),"")</f>
        <v>PARIONA JAYO CARMEN ROSA</v>
      </c>
      <c r="Y105" s="25"/>
      <c r="Z105" s="103"/>
      <c r="AA105" s="3" t="str">
        <f>IF(C_Ope_004[[#This Row],[fecha]]&gt;0,TEXT(C_Ope_004[[#This Row],[fecha]],"mmmm"),0)</f>
        <v>Marzo</v>
      </c>
      <c r="AB105" s="49"/>
    </row>
    <row r="106" spans="1:28" x14ac:dyDescent="0.3">
      <c r="A106" s="2">
        <f>IF(C_Ope_004[[#This Row],[tipo_r]]="R",COUNTIFS($C$1:$C105,"R")+1,"")</f>
        <v>105</v>
      </c>
      <c r="B106" s="19" t="str">
        <f t="shared" si="13"/>
        <v>C_Ope_004</v>
      </c>
      <c r="C106" s="3" t="s">
        <v>1330</v>
      </c>
      <c r="D106" s="14">
        <v>45742</v>
      </c>
      <c r="E106" s="5" t="s">
        <v>8466</v>
      </c>
      <c r="F106" s="5" t="s">
        <v>1336</v>
      </c>
      <c r="G106" s="6"/>
      <c r="H106" s="6" t="s">
        <v>126</v>
      </c>
      <c r="I106" s="6"/>
      <c r="J106" s="6"/>
      <c r="K106" s="7" t="s">
        <v>8225</v>
      </c>
      <c r="L106" s="8">
        <v>23675</v>
      </c>
      <c r="M106" s="8" t="str">
        <f t="shared" si="12"/>
        <v>PEN</v>
      </c>
      <c r="N106" s="13"/>
      <c r="O106" s="13">
        <v>24</v>
      </c>
      <c r="P106" s="3">
        <f t="shared" si="8"/>
        <v>0</v>
      </c>
      <c r="Q106" s="3">
        <f t="shared" si="9"/>
        <v>24</v>
      </c>
      <c r="R106" s="3">
        <f t="shared" si="10"/>
        <v>376.3900000000001</v>
      </c>
      <c r="S106" s="24" t="s">
        <v>1334</v>
      </c>
      <c r="T106" s="24" t="s">
        <v>1334</v>
      </c>
      <c r="U106" s="3"/>
      <c r="V106" s="25" t="s">
        <v>8277</v>
      </c>
      <c r="W106" s="25"/>
      <c r="X106" s="25" t="str">
        <f>IFERROR(VLOOKUP(C_Ope_004[[#This Row],[nota_2]],Clientes_Proveedores[[Ruc / Dni]:[Razon Social]],2,0),"")</f>
        <v/>
      </c>
      <c r="Y106" s="25"/>
      <c r="Z106" s="103"/>
      <c r="AA106" s="3" t="str">
        <f>IF(C_Ope_004[[#This Row],[fecha]]&gt;0,TEXT(C_Ope_004[[#This Row],[fecha]],"mmmm"),0)</f>
        <v>Marzo</v>
      </c>
      <c r="AB106" s="49"/>
    </row>
    <row r="107" spans="1:28" x14ac:dyDescent="0.3">
      <c r="A107" s="2">
        <f>IF(C_Ope_004[[#This Row],[tipo_r]]="R",COUNTIFS($C$1:$C106,"R")+1,"")</f>
        <v>106</v>
      </c>
      <c r="B107" s="19" t="str">
        <f t="shared" si="13"/>
        <v>C_Ope_004</v>
      </c>
      <c r="C107" s="3" t="s">
        <v>1330</v>
      </c>
      <c r="D107" s="14">
        <v>45742</v>
      </c>
      <c r="E107" s="5" t="s">
        <v>8466</v>
      </c>
      <c r="F107" s="5" t="s">
        <v>1336</v>
      </c>
      <c r="G107" s="6"/>
      <c r="H107" s="6" t="s">
        <v>126</v>
      </c>
      <c r="I107" s="6"/>
      <c r="J107" s="6"/>
      <c r="K107" s="7" t="s">
        <v>8218</v>
      </c>
      <c r="L107" s="8">
        <v>23676</v>
      </c>
      <c r="M107" s="8" t="str">
        <f t="shared" si="12"/>
        <v>PEN</v>
      </c>
      <c r="N107" s="13"/>
      <c r="O107" s="13">
        <v>30</v>
      </c>
      <c r="P107" s="3">
        <f t="shared" si="8"/>
        <v>0</v>
      </c>
      <c r="Q107" s="3">
        <f t="shared" si="9"/>
        <v>30</v>
      </c>
      <c r="R107" s="3">
        <f t="shared" si="10"/>
        <v>346.3900000000001</v>
      </c>
      <c r="S107" s="24" t="s">
        <v>1334</v>
      </c>
      <c r="T107" s="24" t="s">
        <v>1334</v>
      </c>
      <c r="U107" s="3"/>
      <c r="V107" s="25" t="s">
        <v>8277</v>
      </c>
      <c r="W107" s="25"/>
      <c r="X107" s="25" t="str">
        <f>IFERROR(VLOOKUP(C_Ope_004[[#This Row],[nota_2]],Clientes_Proveedores[[Ruc / Dni]:[Razon Social]],2,0),"")</f>
        <v/>
      </c>
      <c r="Y107" s="25"/>
      <c r="Z107" s="103"/>
      <c r="AA107" s="3" t="str">
        <f>IF(C_Ope_004[[#This Row],[fecha]]&gt;0,TEXT(C_Ope_004[[#This Row],[fecha]],"mmmm"),0)</f>
        <v>Marzo</v>
      </c>
      <c r="AB107" s="49"/>
    </row>
    <row r="108" spans="1:28" x14ac:dyDescent="0.3">
      <c r="A108" s="2">
        <f>IF(C_Ope_004[[#This Row],[tipo_r]]="R",COUNTIFS($C$1:$C107,"R")+1,"")</f>
        <v>107</v>
      </c>
      <c r="B108" s="19" t="str">
        <f t="shared" si="13"/>
        <v>C_Ope_004</v>
      </c>
      <c r="C108" s="3" t="s">
        <v>1330</v>
      </c>
      <c r="D108" s="14">
        <v>45742</v>
      </c>
      <c r="E108" s="5" t="s">
        <v>8466</v>
      </c>
      <c r="F108" s="5" t="s">
        <v>1336</v>
      </c>
      <c r="G108" s="6"/>
      <c r="H108" s="6" t="s">
        <v>126</v>
      </c>
      <c r="I108" s="6"/>
      <c r="J108" s="6"/>
      <c r="K108" s="7" t="s">
        <v>8231</v>
      </c>
      <c r="L108" s="8">
        <v>23677</v>
      </c>
      <c r="M108" s="8" t="str">
        <f t="shared" si="12"/>
        <v>PEN</v>
      </c>
      <c r="N108" s="13"/>
      <c r="O108" s="13">
        <v>24</v>
      </c>
      <c r="P108" s="3">
        <f t="shared" si="8"/>
        <v>0</v>
      </c>
      <c r="Q108" s="3">
        <f t="shared" si="9"/>
        <v>24</v>
      </c>
      <c r="R108" s="3">
        <f t="shared" si="10"/>
        <v>322.3900000000001</v>
      </c>
      <c r="S108" s="24" t="s">
        <v>1334</v>
      </c>
      <c r="T108" s="24" t="s">
        <v>1334</v>
      </c>
      <c r="U108" s="3"/>
      <c r="V108" s="25" t="s">
        <v>8277</v>
      </c>
      <c r="W108" s="25"/>
      <c r="X108" s="25" t="str">
        <f>IFERROR(VLOOKUP(C_Ope_004[[#This Row],[nota_2]],Clientes_Proveedores[[Ruc / Dni]:[Razon Social]],2,0),"")</f>
        <v/>
      </c>
      <c r="Y108" s="25"/>
      <c r="Z108" s="103"/>
      <c r="AA108" s="3" t="str">
        <f>IF(C_Ope_004[[#This Row],[fecha]]&gt;0,TEXT(C_Ope_004[[#This Row],[fecha]],"mmmm"),0)</f>
        <v>Marzo</v>
      </c>
      <c r="AB108" s="49"/>
    </row>
    <row r="109" spans="1:28" ht="24" x14ac:dyDescent="0.3">
      <c r="A109" s="2">
        <f>IF(C_Ope_004[[#This Row],[tipo_r]]="R",COUNTIFS($C$1:$C108,"R")+1,"")</f>
        <v>108</v>
      </c>
      <c r="B109" s="19" t="str">
        <f t="shared" si="13"/>
        <v>C_Ope_004</v>
      </c>
      <c r="C109" s="3" t="s">
        <v>1330</v>
      </c>
      <c r="D109" s="14">
        <v>45742</v>
      </c>
      <c r="E109" s="5" t="s">
        <v>8466</v>
      </c>
      <c r="F109" s="5" t="s">
        <v>1336</v>
      </c>
      <c r="G109" s="6" t="s">
        <v>1179</v>
      </c>
      <c r="H109" s="6" t="s">
        <v>75</v>
      </c>
      <c r="I109" s="6">
        <v>1</v>
      </c>
      <c r="J109" s="6">
        <v>469</v>
      </c>
      <c r="K109" s="7" t="s">
        <v>8498</v>
      </c>
      <c r="L109" s="8">
        <v>23709</v>
      </c>
      <c r="M109" s="8" t="str">
        <f t="shared" si="12"/>
        <v>PEN</v>
      </c>
      <c r="N109" s="13">
        <v>100</v>
      </c>
      <c r="O109" s="13">
        <v>20</v>
      </c>
      <c r="P109" s="3">
        <f t="shared" si="8"/>
        <v>0</v>
      </c>
      <c r="Q109" s="3">
        <f t="shared" si="9"/>
        <v>20</v>
      </c>
      <c r="R109" s="3">
        <f t="shared" si="10"/>
        <v>302.3900000000001</v>
      </c>
      <c r="S109" s="24" t="s">
        <v>1334</v>
      </c>
      <c r="T109" s="24" t="s">
        <v>1334</v>
      </c>
      <c r="U109" s="3"/>
      <c r="V109" s="25" t="s">
        <v>8277</v>
      </c>
      <c r="W109" s="25">
        <v>10405340483</v>
      </c>
      <c r="X109" s="25" t="str">
        <f>IFERROR(VLOOKUP(C_Ope_004[[#This Row],[nota_2]],Clientes_Proveedores[[Ruc / Dni]:[Razon Social]],2,0),"")</f>
        <v>PARIONA JAYO CARMEN ROSA</v>
      </c>
      <c r="Y109" s="25"/>
      <c r="Z109" s="103"/>
      <c r="AA109" s="3" t="str">
        <f>IF(C_Ope_004[[#This Row],[fecha]]&gt;0,TEXT(C_Ope_004[[#This Row],[fecha]],"mmmm"),0)</f>
        <v>Marzo</v>
      </c>
      <c r="AB109" s="49"/>
    </row>
    <row r="110" spans="1:28" x14ac:dyDescent="0.3">
      <c r="A110" s="2">
        <f>IF(C_Ope_004[[#This Row],[tipo_r]]="R",COUNTIFS($C$1:$C109,"R")+1,"")</f>
        <v>109</v>
      </c>
      <c r="B110" s="19" t="str">
        <f t="shared" si="13"/>
        <v>C_Ope_004</v>
      </c>
      <c r="C110" s="3" t="s">
        <v>1330</v>
      </c>
      <c r="D110" s="14">
        <v>45743</v>
      </c>
      <c r="E110" s="5" t="s">
        <v>8466</v>
      </c>
      <c r="F110" s="5" t="s">
        <v>1336</v>
      </c>
      <c r="G110" s="6"/>
      <c r="H110" s="6" t="s">
        <v>126</v>
      </c>
      <c r="I110" s="6"/>
      <c r="J110" s="6"/>
      <c r="K110" s="7" t="s">
        <v>8225</v>
      </c>
      <c r="L110" s="8">
        <v>23678</v>
      </c>
      <c r="M110" s="8" t="str">
        <f t="shared" si="12"/>
        <v>PEN</v>
      </c>
      <c r="N110" s="13"/>
      <c r="O110" s="13">
        <v>24</v>
      </c>
      <c r="P110" s="3">
        <f t="shared" si="8"/>
        <v>0</v>
      </c>
      <c r="Q110" s="3">
        <f t="shared" si="9"/>
        <v>24</v>
      </c>
      <c r="R110" s="3">
        <f t="shared" si="10"/>
        <v>278.3900000000001</v>
      </c>
      <c r="S110" s="24" t="s">
        <v>1334</v>
      </c>
      <c r="T110" s="24" t="s">
        <v>1334</v>
      </c>
      <c r="U110" s="3"/>
      <c r="V110" s="25" t="s">
        <v>8277</v>
      </c>
      <c r="W110" s="25"/>
      <c r="X110" s="25" t="str">
        <f>IFERROR(VLOOKUP(C_Ope_004[[#This Row],[nota_2]],Clientes_Proveedores[[Ruc / Dni]:[Razon Social]],2,0),"")</f>
        <v/>
      </c>
      <c r="Y110" s="25"/>
      <c r="Z110" s="103"/>
      <c r="AA110" s="3" t="str">
        <f>IF(C_Ope_004[[#This Row],[fecha]]&gt;0,TEXT(C_Ope_004[[#This Row],[fecha]],"mmmm"),0)</f>
        <v>Marzo</v>
      </c>
      <c r="AB110" s="49"/>
    </row>
    <row r="111" spans="1:28" x14ac:dyDescent="0.3">
      <c r="A111" s="2">
        <f>IF(C_Ope_004[[#This Row],[tipo_r]]="R",COUNTIFS($C$1:$C110,"R")+1,"")</f>
        <v>110</v>
      </c>
      <c r="B111" s="19" t="str">
        <f t="shared" si="13"/>
        <v>C_Ope_004</v>
      </c>
      <c r="C111" s="3" t="s">
        <v>1330</v>
      </c>
      <c r="D111" s="14">
        <v>45743</v>
      </c>
      <c r="E111" s="5" t="s">
        <v>8466</v>
      </c>
      <c r="F111" s="5" t="s">
        <v>1336</v>
      </c>
      <c r="G111" s="6"/>
      <c r="H111" s="6" t="s">
        <v>126</v>
      </c>
      <c r="I111" s="6"/>
      <c r="J111" s="6"/>
      <c r="K111" s="7" t="s">
        <v>8218</v>
      </c>
      <c r="L111" s="8">
        <v>23679</v>
      </c>
      <c r="M111" s="8" t="str">
        <f t="shared" si="12"/>
        <v>PEN</v>
      </c>
      <c r="N111" s="13"/>
      <c r="O111" s="13">
        <v>30</v>
      </c>
      <c r="P111" s="3">
        <f t="shared" si="8"/>
        <v>0</v>
      </c>
      <c r="Q111" s="3">
        <f t="shared" si="9"/>
        <v>30</v>
      </c>
      <c r="R111" s="3">
        <f t="shared" si="10"/>
        <v>248.3900000000001</v>
      </c>
      <c r="S111" s="24" t="s">
        <v>1334</v>
      </c>
      <c r="T111" s="24" t="s">
        <v>1334</v>
      </c>
      <c r="U111" s="3"/>
      <c r="V111" s="25" t="s">
        <v>8277</v>
      </c>
      <c r="W111" s="25"/>
      <c r="X111" s="25" t="str">
        <f>IFERROR(VLOOKUP(C_Ope_004[[#This Row],[nota_2]],Clientes_Proveedores[[Ruc / Dni]:[Razon Social]],2,0),"")</f>
        <v/>
      </c>
      <c r="Y111" s="25"/>
      <c r="Z111" s="103"/>
      <c r="AA111" s="3" t="str">
        <f>IF(C_Ope_004[[#This Row],[fecha]]&gt;0,TEXT(C_Ope_004[[#This Row],[fecha]],"mmmm"),0)</f>
        <v>Marzo</v>
      </c>
      <c r="AB111" s="49"/>
    </row>
    <row r="112" spans="1:28" x14ac:dyDescent="0.3">
      <c r="A112" s="2">
        <f>IF(C_Ope_004[[#This Row],[tipo_r]]="R",COUNTIFS($C$1:$C111,"R")+1,"")</f>
        <v>111</v>
      </c>
      <c r="B112" s="19" t="str">
        <f t="shared" si="13"/>
        <v>C_Ope_004</v>
      </c>
      <c r="C112" s="3" t="s">
        <v>1330</v>
      </c>
      <c r="D112" s="14">
        <v>45743</v>
      </c>
      <c r="E112" s="5" t="s">
        <v>8466</v>
      </c>
      <c r="F112" s="5" t="s">
        <v>1336</v>
      </c>
      <c r="G112" s="6"/>
      <c r="H112" s="6" t="s">
        <v>126</v>
      </c>
      <c r="I112" s="6"/>
      <c r="J112" s="6"/>
      <c r="K112" s="7" t="s">
        <v>8231</v>
      </c>
      <c r="L112" s="8">
        <v>23680</v>
      </c>
      <c r="M112" s="8" t="str">
        <f t="shared" si="12"/>
        <v>PEN</v>
      </c>
      <c r="N112" s="13"/>
      <c r="O112" s="13">
        <v>24</v>
      </c>
      <c r="P112" s="3">
        <f t="shared" si="8"/>
        <v>0</v>
      </c>
      <c r="Q112" s="3">
        <f t="shared" si="9"/>
        <v>24</v>
      </c>
      <c r="R112" s="3">
        <f t="shared" si="10"/>
        <v>224.3900000000001</v>
      </c>
      <c r="S112" s="24" t="s">
        <v>1334</v>
      </c>
      <c r="T112" s="24" t="s">
        <v>1334</v>
      </c>
      <c r="U112" s="3"/>
      <c r="V112" s="25" t="s">
        <v>8277</v>
      </c>
      <c r="W112" s="25"/>
      <c r="X112" s="25" t="str">
        <f>IFERROR(VLOOKUP(C_Ope_004[[#This Row],[nota_2]],Clientes_Proveedores[[Ruc / Dni]:[Razon Social]],2,0),"")</f>
        <v/>
      </c>
      <c r="Y112" s="25"/>
      <c r="Z112" s="103"/>
      <c r="AA112" s="3" t="str">
        <f>IF(C_Ope_004[[#This Row],[fecha]]&gt;0,TEXT(C_Ope_004[[#This Row],[fecha]],"mmmm"),0)</f>
        <v>Marzo</v>
      </c>
      <c r="AB112" s="49"/>
    </row>
    <row r="113" spans="1:28" ht="24" x14ac:dyDescent="0.3">
      <c r="A113" s="2">
        <f>IF(C_Ope_004[[#This Row],[tipo_r]]="R",COUNTIFS($C$1:$C112,"R")+1,"")</f>
        <v>112</v>
      </c>
      <c r="B113" s="19" t="str">
        <f t="shared" si="13"/>
        <v>C_Ope_004</v>
      </c>
      <c r="C113" s="3" t="s">
        <v>1330</v>
      </c>
      <c r="D113" s="14">
        <v>45744</v>
      </c>
      <c r="E113" s="5" t="s">
        <v>8466</v>
      </c>
      <c r="F113" s="5" t="s">
        <v>1336</v>
      </c>
      <c r="G113" s="6" t="s">
        <v>735</v>
      </c>
      <c r="H113" s="6" t="s">
        <v>68</v>
      </c>
      <c r="I113" s="6" t="s">
        <v>3078</v>
      </c>
      <c r="J113" s="6">
        <v>40211</v>
      </c>
      <c r="K113" s="7" t="s">
        <v>8473</v>
      </c>
      <c r="L113" s="8">
        <v>23681</v>
      </c>
      <c r="M113" s="8" t="str">
        <f t="shared" si="12"/>
        <v>PEN</v>
      </c>
      <c r="N113" s="13"/>
      <c r="O113" s="13">
        <v>55</v>
      </c>
      <c r="P113" s="3">
        <f t="shared" si="8"/>
        <v>0</v>
      </c>
      <c r="Q113" s="3">
        <f t="shared" si="9"/>
        <v>55</v>
      </c>
      <c r="R113" s="3">
        <f t="shared" si="10"/>
        <v>169.3900000000001</v>
      </c>
      <c r="S113" s="24" t="s">
        <v>1334</v>
      </c>
      <c r="T113" s="24" t="s">
        <v>1334</v>
      </c>
      <c r="U113" s="3"/>
      <c r="V113" s="25" t="s">
        <v>8277</v>
      </c>
      <c r="W113" s="25">
        <v>20514148539</v>
      </c>
      <c r="X113" s="25" t="str">
        <f>IFERROR(VLOOKUP(C_Ope_004[[#This Row],[nota_2]],Clientes_Proveedores[[Ruc / Dni]:[Razon Social]],2,0),"")</f>
        <v>NEGOCIACIONES ABBYCORP E.I.R.L.</v>
      </c>
      <c r="Y113" s="25"/>
      <c r="Z113" s="103"/>
      <c r="AA113" s="3" t="str">
        <f>IF(C_Ope_004[[#This Row],[fecha]]&gt;0,TEXT(C_Ope_004[[#This Row],[fecha]],"mmmm"),0)</f>
        <v>Marzo</v>
      </c>
      <c r="AB113" s="49"/>
    </row>
    <row r="114" spans="1:28" ht="24" x14ac:dyDescent="0.3">
      <c r="A114" s="2">
        <f>IF(C_Ope_004[[#This Row],[tipo_r]]="R",COUNTIFS($C$1:$C113,"R")+1,"")</f>
        <v>113</v>
      </c>
      <c r="B114" s="19" t="str">
        <f t="shared" si="13"/>
        <v>C_Ope_004</v>
      </c>
      <c r="C114" s="3" t="s">
        <v>1330</v>
      </c>
      <c r="D114" s="14">
        <v>45748</v>
      </c>
      <c r="E114" s="5" t="s">
        <v>8466</v>
      </c>
      <c r="F114" s="5" t="s">
        <v>1336</v>
      </c>
      <c r="G114" s="6" t="s">
        <v>979</v>
      </c>
      <c r="H114" s="6" t="s">
        <v>68</v>
      </c>
      <c r="I114" s="6" t="s">
        <v>6204</v>
      </c>
      <c r="J114" s="6">
        <v>3346909</v>
      </c>
      <c r="K114" s="7" t="s">
        <v>8471</v>
      </c>
      <c r="L114" s="8">
        <v>23716</v>
      </c>
      <c r="M114" s="8" t="str">
        <f t="shared" si="12"/>
        <v>PEN</v>
      </c>
      <c r="N114" s="13"/>
      <c r="O114" s="13">
        <v>15</v>
      </c>
      <c r="P114" s="3">
        <f t="shared" si="8"/>
        <v>0</v>
      </c>
      <c r="Q114" s="3">
        <f t="shared" si="9"/>
        <v>15</v>
      </c>
      <c r="R114" s="3">
        <f t="shared" si="10"/>
        <v>154.3900000000001</v>
      </c>
      <c r="S114" s="24" t="s">
        <v>1334</v>
      </c>
      <c r="T114" s="24" t="s">
        <v>1334</v>
      </c>
      <c r="U114" s="3"/>
      <c r="V114" s="25" t="s">
        <v>8277</v>
      </c>
      <c r="W114" s="25">
        <v>20550372640</v>
      </c>
      <c r="X114" s="25" t="str">
        <f>IFERROR(VLOOKUP(C_Ope_004[[#This Row],[nota_2]],Clientes_Proveedores[[Ruc / Dni]:[Razon Social]],2,0),"")</f>
        <v>RUTAS DE LIMA S.A.C.</v>
      </c>
      <c r="Y114" s="25"/>
      <c r="Z114" s="103"/>
      <c r="AA114" s="3" t="str">
        <f>IF(C_Ope_004[[#This Row],[fecha]]&gt;0,TEXT(C_Ope_004[[#This Row],[fecha]],"mmmm"),0)</f>
        <v>Abril</v>
      </c>
      <c r="AB114" s="49"/>
    </row>
    <row r="115" spans="1:28" ht="24" x14ac:dyDescent="0.3">
      <c r="A115" s="2">
        <f>IF(C_Ope_004[[#This Row],[tipo_r]]="R",COUNTIFS($C$1:$C114,"R")+1,"")</f>
        <v>114</v>
      </c>
      <c r="B115" s="19" t="str">
        <f t="shared" si="13"/>
        <v>C_Ope_004</v>
      </c>
      <c r="C115" s="3" t="s">
        <v>1330</v>
      </c>
      <c r="D115" s="14">
        <v>45748</v>
      </c>
      <c r="E115" s="5" t="s">
        <v>8466</v>
      </c>
      <c r="F115" s="5" t="s">
        <v>1336</v>
      </c>
      <c r="G115" s="6" t="s">
        <v>979</v>
      </c>
      <c r="H115" s="6" t="s">
        <v>68</v>
      </c>
      <c r="I115" s="6" t="s">
        <v>8211</v>
      </c>
      <c r="J115" s="6">
        <v>2960324</v>
      </c>
      <c r="K115" s="7" t="s">
        <v>8487</v>
      </c>
      <c r="L115" s="8">
        <v>23717</v>
      </c>
      <c r="M115" s="8" t="str">
        <f t="shared" si="12"/>
        <v>PEN</v>
      </c>
      <c r="N115" s="13"/>
      <c r="O115" s="13">
        <v>15</v>
      </c>
      <c r="P115" s="3">
        <f t="shared" si="8"/>
        <v>0</v>
      </c>
      <c r="Q115" s="3">
        <f t="shared" si="9"/>
        <v>15</v>
      </c>
      <c r="R115" s="3">
        <f t="shared" si="10"/>
        <v>139.3900000000001</v>
      </c>
      <c r="S115" s="24" t="s">
        <v>1334</v>
      </c>
      <c r="T115" s="24" t="s">
        <v>1334</v>
      </c>
      <c r="U115" s="3"/>
      <c r="V115" s="25" t="s">
        <v>8277</v>
      </c>
      <c r="W115" s="25">
        <v>20550372640</v>
      </c>
      <c r="X115" s="25" t="str">
        <f>IFERROR(VLOOKUP(C_Ope_004[[#This Row],[nota_2]],Clientes_Proveedores[[Ruc / Dni]:[Razon Social]],2,0),"")</f>
        <v>RUTAS DE LIMA S.A.C.</v>
      </c>
      <c r="Y115" s="25"/>
      <c r="Z115" s="103"/>
      <c r="AA115" s="3" t="str">
        <f>IF(C_Ope_004[[#This Row],[fecha]]&gt;0,TEXT(C_Ope_004[[#This Row],[fecha]],"mmmm"),0)</f>
        <v>Abril</v>
      </c>
      <c r="AB115" s="49"/>
    </row>
    <row r="116" spans="1:28" ht="24" x14ac:dyDescent="0.3">
      <c r="A116" s="2">
        <f>IF(C_Ope_004[[#This Row],[tipo_r]]="R",COUNTIFS($C$1:$C115,"R")+1,"")</f>
        <v>115</v>
      </c>
      <c r="B116" s="19" t="str">
        <f t="shared" si="13"/>
        <v>C_Ope_004</v>
      </c>
      <c r="C116" s="3" t="s">
        <v>1330</v>
      </c>
      <c r="D116" s="14">
        <v>45749</v>
      </c>
      <c r="E116" s="5" t="s">
        <v>8466</v>
      </c>
      <c r="F116" s="5" t="s">
        <v>1336</v>
      </c>
      <c r="G116" s="6" t="s">
        <v>979</v>
      </c>
      <c r="H116" s="6" t="s">
        <v>68</v>
      </c>
      <c r="I116" s="6" t="s">
        <v>6389</v>
      </c>
      <c r="J116" s="6">
        <v>3694704</v>
      </c>
      <c r="K116" s="7" t="s">
        <v>8278</v>
      </c>
      <c r="L116" s="8">
        <v>23734</v>
      </c>
      <c r="M116" s="8" t="str">
        <f t="shared" si="12"/>
        <v>PEN</v>
      </c>
      <c r="N116" s="13"/>
      <c r="O116" s="13">
        <v>15</v>
      </c>
      <c r="P116" s="3">
        <f t="shared" si="8"/>
        <v>0</v>
      </c>
      <c r="Q116" s="3">
        <f t="shared" si="9"/>
        <v>15</v>
      </c>
      <c r="R116" s="3">
        <f t="shared" si="10"/>
        <v>124.3900000000001</v>
      </c>
      <c r="S116" s="24" t="s">
        <v>1334</v>
      </c>
      <c r="T116" s="24" t="s">
        <v>1334</v>
      </c>
      <c r="U116" s="3"/>
      <c r="V116" s="25" t="s">
        <v>8277</v>
      </c>
      <c r="W116" s="25">
        <v>20550372640</v>
      </c>
      <c r="X116" s="25" t="str">
        <f>IFERROR(VLOOKUP(C_Ope_004[[#This Row],[nota_2]],Clientes_Proveedores[[Ruc / Dni]:[Razon Social]],2,0),"")</f>
        <v>RUTAS DE LIMA S.A.C.</v>
      </c>
      <c r="Y116" s="25"/>
      <c r="Z116" s="103"/>
      <c r="AA116" s="3" t="str">
        <f>IF(C_Ope_004[[#This Row],[fecha]]&gt;0,TEXT(C_Ope_004[[#This Row],[fecha]],"mmmm"),0)</f>
        <v>Abril</v>
      </c>
      <c r="AB116" s="49"/>
    </row>
    <row r="117" spans="1:28" ht="24" x14ac:dyDescent="0.3">
      <c r="A117" s="2">
        <f>IF(C_Ope_004[[#This Row],[tipo_r]]="R",COUNTIFS($C$1:$C116,"R")+1,"")</f>
        <v>116</v>
      </c>
      <c r="B117" s="19" t="str">
        <f t="shared" si="13"/>
        <v>C_Ope_004</v>
      </c>
      <c r="C117" s="3" t="s">
        <v>1330</v>
      </c>
      <c r="D117" s="14">
        <v>45749</v>
      </c>
      <c r="E117" s="5" t="s">
        <v>8466</v>
      </c>
      <c r="F117" s="5" t="s">
        <v>1336</v>
      </c>
      <c r="G117" s="6" t="s">
        <v>979</v>
      </c>
      <c r="H117" s="6" t="s">
        <v>68</v>
      </c>
      <c r="I117" s="6" t="s">
        <v>8211</v>
      </c>
      <c r="J117" s="6">
        <v>2961603</v>
      </c>
      <c r="K117" s="7" t="s">
        <v>8276</v>
      </c>
      <c r="L117" s="8">
        <v>23735</v>
      </c>
      <c r="M117" s="8" t="str">
        <f t="shared" si="12"/>
        <v>PEN</v>
      </c>
      <c r="N117" s="13"/>
      <c r="O117" s="13">
        <v>15</v>
      </c>
      <c r="P117" s="3">
        <f t="shared" si="8"/>
        <v>0</v>
      </c>
      <c r="Q117" s="3">
        <f t="shared" si="9"/>
        <v>15</v>
      </c>
      <c r="R117" s="3">
        <f t="shared" si="10"/>
        <v>109.3900000000001</v>
      </c>
      <c r="S117" s="24" t="s">
        <v>1334</v>
      </c>
      <c r="T117" s="24" t="s">
        <v>1334</v>
      </c>
      <c r="U117" s="3"/>
      <c r="V117" s="25" t="s">
        <v>8277</v>
      </c>
      <c r="W117" s="25">
        <v>20550372640</v>
      </c>
      <c r="X117" s="25" t="str">
        <f>IFERROR(VLOOKUP(C_Ope_004[[#This Row],[nota_2]],Clientes_Proveedores[[Ruc / Dni]:[Razon Social]],2,0),"")</f>
        <v>RUTAS DE LIMA S.A.C.</v>
      </c>
      <c r="Y117" s="25"/>
      <c r="Z117" s="103"/>
      <c r="AA117" s="3" t="str">
        <f>IF(C_Ope_004[[#This Row],[fecha]]&gt;0,TEXT(C_Ope_004[[#This Row],[fecha]],"mmmm"),0)</f>
        <v>Abril</v>
      </c>
      <c r="AB117" s="49"/>
    </row>
    <row r="118" spans="1:28" x14ac:dyDescent="0.3">
      <c r="A118" s="2">
        <f>IF(C_Ope_004[[#This Row],[tipo_r]]="R",COUNTIFS($C$1:$C117,"R")+1,"")</f>
        <v>117</v>
      </c>
      <c r="B118" s="19" t="str">
        <f t="shared" si="13"/>
        <v>C_Ope_004</v>
      </c>
      <c r="C118" s="3" t="s">
        <v>1330</v>
      </c>
      <c r="D118" s="14">
        <v>45755</v>
      </c>
      <c r="E118" s="5" t="s">
        <v>7514</v>
      </c>
      <c r="F118" s="5" t="s">
        <v>1303</v>
      </c>
      <c r="G118" s="6" t="s">
        <v>876</v>
      </c>
      <c r="H118" s="6"/>
      <c r="I118" s="6"/>
      <c r="J118" s="6"/>
      <c r="K118" s="7" t="s">
        <v>8475</v>
      </c>
      <c r="L118" s="8">
        <v>23841</v>
      </c>
      <c r="M118" s="8" t="str">
        <f t="shared" si="12"/>
        <v>PEN</v>
      </c>
      <c r="N118" s="13"/>
      <c r="O118" s="13">
        <v>100</v>
      </c>
      <c r="P118" s="3">
        <f t="shared" si="8"/>
        <v>100</v>
      </c>
      <c r="Q118" s="3">
        <f t="shared" si="9"/>
        <v>0</v>
      </c>
      <c r="R118" s="3">
        <f t="shared" si="10"/>
        <v>209.3900000000001</v>
      </c>
      <c r="S118" s="24" t="s">
        <v>1334</v>
      </c>
      <c r="T118" s="24" t="s">
        <v>1334</v>
      </c>
      <c r="U118" s="3"/>
      <c r="V118" s="25"/>
      <c r="W118" s="25"/>
      <c r="X118" s="25" t="str">
        <f>IFERROR(VLOOKUP(C_Ope_004[[#This Row],[nota_2]],Clientes_Proveedores[[Ruc / Dni]:[Razon Social]],2,0),"")</f>
        <v/>
      </c>
      <c r="Y118" s="25"/>
      <c r="Z118" s="103"/>
      <c r="AA118" s="3" t="str">
        <f>IF(C_Ope_004[[#This Row],[fecha]]&gt;0,TEXT(C_Ope_004[[#This Row],[fecha]],"mmmm"),0)</f>
        <v>Abril</v>
      </c>
      <c r="AB118" s="49"/>
    </row>
    <row r="119" spans="1:28" ht="24" x14ac:dyDescent="0.3">
      <c r="A119" s="2">
        <f>IF(C_Ope_004[[#This Row],[tipo_r]]="R",COUNTIFS($C$1:$C118,"R")+1,"")</f>
        <v>118</v>
      </c>
      <c r="B119" s="19" t="str">
        <f t="shared" si="13"/>
        <v>C_Ope_004</v>
      </c>
      <c r="C119" s="3" t="s">
        <v>1330</v>
      </c>
      <c r="D119" s="14">
        <v>45761</v>
      </c>
      <c r="E119" s="5" t="s">
        <v>8466</v>
      </c>
      <c r="F119" s="5" t="s">
        <v>1336</v>
      </c>
      <c r="G119" s="6" t="s">
        <v>979</v>
      </c>
      <c r="H119" s="6" t="s">
        <v>68</v>
      </c>
      <c r="I119" s="6" t="s">
        <v>5627</v>
      </c>
      <c r="J119" s="6">
        <v>1143004</v>
      </c>
      <c r="K119" s="7" t="s">
        <v>8471</v>
      </c>
      <c r="L119" s="8">
        <v>23929</v>
      </c>
      <c r="M119" s="8" t="str">
        <f t="shared" si="12"/>
        <v>PEN</v>
      </c>
      <c r="N119" s="13"/>
      <c r="O119" s="13">
        <v>15</v>
      </c>
      <c r="P119" s="3">
        <f t="shared" si="8"/>
        <v>0</v>
      </c>
      <c r="Q119" s="3">
        <f t="shared" si="9"/>
        <v>15</v>
      </c>
      <c r="R119" s="3">
        <f t="shared" si="10"/>
        <v>194.3900000000001</v>
      </c>
      <c r="S119" s="24" t="s">
        <v>1334</v>
      </c>
      <c r="T119" s="24" t="s">
        <v>1334</v>
      </c>
      <c r="U119" s="3"/>
      <c r="V119" s="25" t="s">
        <v>8277</v>
      </c>
      <c r="W119" s="25">
        <v>20550372640</v>
      </c>
      <c r="X119" s="25" t="str">
        <f>IFERROR(VLOOKUP(C_Ope_004[[#This Row],[nota_2]],Clientes_Proveedores[[Ruc / Dni]:[Razon Social]],2,0),"")</f>
        <v>RUTAS DE LIMA S.A.C.</v>
      </c>
      <c r="Y119" s="25"/>
      <c r="Z119" s="103"/>
      <c r="AA119" s="3" t="str">
        <f>IF(C_Ope_004[[#This Row],[fecha]]&gt;0,TEXT(C_Ope_004[[#This Row],[fecha]],"mmmm"),0)</f>
        <v>Abril</v>
      </c>
      <c r="AB119" s="49"/>
    </row>
    <row r="120" spans="1:28" ht="24" x14ac:dyDescent="0.3">
      <c r="A120" s="2">
        <f>IF(C_Ope_004[[#This Row],[tipo_r]]="R",COUNTIFS($C$1:$C119,"R")+1,"")</f>
        <v>119</v>
      </c>
      <c r="B120" s="19" t="str">
        <f t="shared" si="13"/>
        <v>C_Ope_004</v>
      </c>
      <c r="C120" s="3" t="s">
        <v>1330</v>
      </c>
      <c r="D120" s="14">
        <v>45761</v>
      </c>
      <c r="E120" s="5" t="s">
        <v>8466</v>
      </c>
      <c r="F120" s="5" t="s">
        <v>1336</v>
      </c>
      <c r="G120" s="6" t="s">
        <v>979</v>
      </c>
      <c r="H120" s="6" t="s">
        <v>68</v>
      </c>
      <c r="I120" s="6" t="s">
        <v>8480</v>
      </c>
      <c r="J120" s="6">
        <v>1524588</v>
      </c>
      <c r="K120" s="7" t="s">
        <v>8487</v>
      </c>
      <c r="L120" s="8">
        <v>23930</v>
      </c>
      <c r="M120" s="8" t="str">
        <f t="shared" si="12"/>
        <v>PEN</v>
      </c>
      <c r="N120" s="13"/>
      <c r="O120" s="13">
        <v>15</v>
      </c>
      <c r="P120" s="3">
        <f t="shared" si="8"/>
        <v>0</v>
      </c>
      <c r="Q120" s="3">
        <f t="shared" si="9"/>
        <v>15</v>
      </c>
      <c r="R120" s="3">
        <f t="shared" si="10"/>
        <v>179.3900000000001</v>
      </c>
      <c r="S120" s="24" t="s">
        <v>1334</v>
      </c>
      <c r="T120" s="24" t="s">
        <v>1334</v>
      </c>
      <c r="U120" s="3"/>
      <c r="V120" s="25" t="s">
        <v>8277</v>
      </c>
      <c r="W120" s="25">
        <v>20550372640</v>
      </c>
      <c r="X120" s="25" t="str">
        <f>IFERROR(VLOOKUP(C_Ope_004[[#This Row],[nota_2]],Clientes_Proveedores[[Ruc / Dni]:[Razon Social]],2,0),"")</f>
        <v>RUTAS DE LIMA S.A.C.</v>
      </c>
      <c r="Y120" s="25"/>
      <c r="Z120" s="103"/>
      <c r="AA120" s="3" t="str">
        <f>IF(C_Ope_004[[#This Row],[fecha]]&gt;0,TEXT(C_Ope_004[[#This Row],[fecha]],"mmmm"),0)</f>
        <v>Abril</v>
      </c>
      <c r="AB120" s="49"/>
    </row>
    <row r="121" spans="1:28" ht="24" x14ac:dyDescent="0.3">
      <c r="A121" s="2">
        <f>IF(C_Ope_004[[#This Row],[tipo_r]]="R",COUNTIFS($C$1:$C120,"R")+1,"")</f>
        <v>120</v>
      </c>
      <c r="B121" s="19" t="str">
        <f t="shared" si="13"/>
        <v>C_Ope_004</v>
      </c>
      <c r="C121" s="3" t="s">
        <v>1330</v>
      </c>
      <c r="D121" s="14">
        <v>45762</v>
      </c>
      <c r="E121" s="5" t="s">
        <v>8466</v>
      </c>
      <c r="F121" s="5" t="s">
        <v>1336</v>
      </c>
      <c r="G121" s="6" t="s">
        <v>979</v>
      </c>
      <c r="H121" s="6" t="s">
        <v>68</v>
      </c>
      <c r="I121" s="6" t="s">
        <v>8477</v>
      </c>
      <c r="J121" s="6">
        <v>1222953</v>
      </c>
      <c r="K121" s="7" t="s">
        <v>8471</v>
      </c>
      <c r="L121" s="8">
        <v>23931</v>
      </c>
      <c r="M121" s="8" t="str">
        <f t="shared" si="12"/>
        <v>PEN</v>
      </c>
      <c r="N121" s="13"/>
      <c r="O121" s="13">
        <v>15</v>
      </c>
      <c r="P121" s="3">
        <f t="shared" si="8"/>
        <v>0</v>
      </c>
      <c r="Q121" s="3">
        <f t="shared" si="9"/>
        <v>15</v>
      </c>
      <c r="R121" s="3">
        <f t="shared" si="10"/>
        <v>164.3900000000001</v>
      </c>
      <c r="S121" s="24" t="s">
        <v>1334</v>
      </c>
      <c r="T121" s="24" t="s">
        <v>1334</v>
      </c>
      <c r="U121" s="3"/>
      <c r="V121" s="25" t="s">
        <v>8277</v>
      </c>
      <c r="W121" s="25">
        <v>20550372640</v>
      </c>
      <c r="X121" s="25" t="str">
        <f>IFERROR(VLOOKUP(C_Ope_004[[#This Row],[nota_2]],Clientes_Proveedores[[Ruc / Dni]:[Razon Social]],2,0),"")</f>
        <v>RUTAS DE LIMA S.A.C.</v>
      </c>
      <c r="Y121" s="25"/>
      <c r="Z121" s="103"/>
      <c r="AA121" s="3" t="str">
        <f>IF(C_Ope_004[[#This Row],[fecha]]&gt;0,TEXT(C_Ope_004[[#This Row],[fecha]],"mmmm"),0)</f>
        <v>Abril</v>
      </c>
      <c r="AB121" s="49"/>
    </row>
    <row r="122" spans="1:28" ht="24" x14ac:dyDescent="0.3">
      <c r="A122" s="2">
        <f>IF(C_Ope_004[[#This Row],[tipo_r]]="R",COUNTIFS($C$1:$C121,"R")+1,"")</f>
        <v>121</v>
      </c>
      <c r="B122" s="19" t="str">
        <f t="shared" si="13"/>
        <v>C_Ope_004</v>
      </c>
      <c r="C122" s="3" t="s">
        <v>1330</v>
      </c>
      <c r="D122" s="14">
        <v>45762</v>
      </c>
      <c r="E122" s="5" t="s">
        <v>8466</v>
      </c>
      <c r="F122" s="5" t="s">
        <v>1336</v>
      </c>
      <c r="G122" s="6" t="s">
        <v>979</v>
      </c>
      <c r="H122" s="6" t="s">
        <v>68</v>
      </c>
      <c r="I122" s="6" t="s">
        <v>8211</v>
      </c>
      <c r="J122" s="6">
        <v>2973416</v>
      </c>
      <c r="K122" s="7" t="s">
        <v>8487</v>
      </c>
      <c r="L122" s="8">
        <v>23932</v>
      </c>
      <c r="M122" s="8" t="str">
        <f t="shared" si="12"/>
        <v>PEN</v>
      </c>
      <c r="N122" s="13"/>
      <c r="O122" s="13">
        <v>15</v>
      </c>
      <c r="P122" s="3">
        <f t="shared" si="8"/>
        <v>0</v>
      </c>
      <c r="Q122" s="3">
        <f t="shared" si="9"/>
        <v>15</v>
      </c>
      <c r="R122" s="3">
        <f t="shared" si="10"/>
        <v>149.3900000000001</v>
      </c>
      <c r="S122" s="24" t="s">
        <v>1334</v>
      </c>
      <c r="T122" s="24" t="s">
        <v>1334</v>
      </c>
      <c r="U122" s="3"/>
      <c r="V122" s="25" t="s">
        <v>8277</v>
      </c>
      <c r="W122" s="25">
        <v>20550372640</v>
      </c>
      <c r="X122" s="25" t="str">
        <f>IFERROR(VLOOKUP(C_Ope_004[[#This Row],[nota_2]],Clientes_Proveedores[[Ruc / Dni]:[Razon Social]],2,0),"")</f>
        <v>RUTAS DE LIMA S.A.C.</v>
      </c>
      <c r="Y122" s="25"/>
      <c r="Z122" s="103"/>
      <c r="AA122" s="3" t="str">
        <f>IF(C_Ope_004[[#This Row],[fecha]]&gt;0,TEXT(C_Ope_004[[#This Row],[fecha]],"mmmm"),0)</f>
        <v>Abril</v>
      </c>
      <c r="AB122" s="49"/>
    </row>
    <row r="123" spans="1:28" ht="24" x14ac:dyDescent="0.3">
      <c r="A123" s="2">
        <f>IF(C_Ope_004[[#This Row],[tipo_r]]="R",COUNTIFS($C$1:$C122,"R")+1,"")</f>
        <v>122</v>
      </c>
      <c r="B123" s="19" t="str">
        <f t="shared" si="13"/>
        <v>C_Ope_004</v>
      </c>
      <c r="C123" s="3" t="s">
        <v>1330</v>
      </c>
      <c r="D123" s="14">
        <v>45763</v>
      </c>
      <c r="E123" s="5" t="s">
        <v>8466</v>
      </c>
      <c r="F123" s="5" t="s">
        <v>1336</v>
      </c>
      <c r="G123" s="6" t="s">
        <v>735</v>
      </c>
      <c r="H123" s="6" t="s">
        <v>68</v>
      </c>
      <c r="I123" s="6" t="s">
        <v>3078</v>
      </c>
      <c r="J123" s="6">
        <v>40569</v>
      </c>
      <c r="K123" s="7" t="s">
        <v>8499</v>
      </c>
      <c r="L123" s="8">
        <v>23933</v>
      </c>
      <c r="M123" s="8" t="str">
        <f t="shared" si="12"/>
        <v>PEN</v>
      </c>
      <c r="N123" s="13"/>
      <c r="O123" s="13">
        <v>55</v>
      </c>
      <c r="P123" s="3">
        <f t="shared" si="8"/>
        <v>0</v>
      </c>
      <c r="Q123" s="3">
        <f t="shared" si="9"/>
        <v>55</v>
      </c>
      <c r="R123" s="3">
        <f t="shared" si="10"/>
        <v>94.3900000000001</v>
      </c>
      <c r="S123" s="24" t="s">
        <v>1334</v>
      </c>
      <c r="T123" s="24" t="s">
        <v>1334</v>
      </c>
      <c r="U123" s="3"/>
      <c r="V123" s="25" t="s">
        <v>8277</v>
      </c>
      <c r="W123" s="25">
        <v>20514148539</v>
      </c>
      <c r="X123" s="25" t="str">
        <f>IFERROR(VLOOKUP(C_Ope_004[[#This Row],[nota_2]],Clientes_Proveedores[[Ruc / Dni]:[Razon Social]],2,0),"")</f>
        <v>NEGOCIACIONES ABBYCORP E.I.R.L.</v>
      </c>
      <c r="Y123" s="25"/>
      <c r="Z123" s="103"/>
      <c r="AA123" s="3" t="str">
        <f>IF(C_Ope_004[[#This Row],[fecha]]&gt;0,TEXT(C_Ope_004[[#This Row],[fecha]],"mmmm"),0)</f>
        <v>Abril</v>
      </c>
      <c r="AB123" s="49"/>
    </row>
    <row r="124" spans="1:28" x14ac:dyDescent="0.3">
      <c r="A124" s="2">
        <f>IF(C_Ope_004[[#This Row],[tipo_r]]="R",COUNTIFS($C$1:$C123,"R")+1,"")</f>
        <v>123</v>
      </c>
      <c r="B124" s="19" t="str">
        <f t="shared" si="13"/>
        <v>C_Ope_004</v>
      </c>
      <c r="C124" s="3" t="s">
        <v>1330</v>
      </c>
      <c r="D124" s="14">
        <v>45769</v>
      </c>
      <c r="E124" s="5" t="s">
        <v>7514</v>
      </c>
      <c r="F124" s="5" t="s">
        <v>1303</v>
      </c>
      <c r="G124" s="6" t="s">
        <v>876</v>
      </c>
      <c r="H124" s="6"/>
      <c r="I124" s="6"/>
      <c r="J124" s="6"/>
      <c r="K124" s="7" t="s">
        <v>8475</v>
      </c>
      <c r="L124" s="8">
        <v>23999</v>
      </c>
      <c r="M124" s="8" t="str">
        <f t="shared" si="12"/>
        <v>PEN</v>
      </c>
      <c r="N124" s="13"/>
      <c r="O124" s="13">
        <v>110</v>
      </c>
      <c r="P124" s="3">
        <f t="shared" si="8"/>
        <v>110</v>
      </c>
      <c r="Q124" s="3">
        <f t="shared" si="9"/>
        <v>0</v>
      </c>
      <c r="R124" s="3">
        <f t="shared" si="10"/>
        <v>204.3900000000001</v>
      </c>
      <c r="S124" s="24" t="s">
        <v>1334</v>
      </c>
      <c r="T124" s="24" t="s">
        <v>1334</v>
      </c>
      <c r="U124" s="3"/>
      <c r="V124" s="25"/>
      <c r="W124" s="25"/>
      <c r="X124" s="25" t="str">
        <f>IFERROR(VLOOKUP(C_Ope_004[[#This Row],[nota_2]],Clientes_Proveedores[[Ruc / Dni]:[Razon Social]],2,0),"")</f>
        <v/>
      </c>
      <c r="Y124" s="25"/>
      <c r="Z124" s="103"/>
      <c r="AA124" s="3" t="str">
        <f>IF(C_Ope_004[[#This Row],[fecha]]&gt;0,TEXT(C_Ope_004[[#This Row],[fecha]],"mmmm"),0)</f>
        <v>Abril</v>
      </c>
      <c r="AB124" s="49"/>
    </row>
    <row r="125" spans="1:28" ht="24" x14ac:dyDescent="0.3">
      <c r="A125" s="2">
        <f>IF(C_Ope_004[[#This Row],[tipo_r]]="R",COUNTIFS($C$1:$C124,"R")+1,"")</f>
        <v>124</v>
      </c>
      <c r="B125" s="19" t="str">
        <f t="shared" si="13"/>
        <v>C_Ope_004</v>
      </c>
      <c r="C125" s="3" t="s">
        <v>1330</v>
      </c>
      <c r="D125" s="14">
        <v>45768</v>
      </c>
      <c r="E125" s="5" t="s">
        <v>8466</v>
      </c>
      <c r="F125" s="5" t="s">
        <v>1336</v>
      </c>
      <c r="G125" s="6" t="s">
        <v>979</v>
      </c>
      <c r="H125" s="6" t="s">
        <v>68</v>
      </c>
      <c r="I125" s="6" t="s">
        <v>8474</v>
      </c>
      <c r="J125" s="6">
        <v>633047</v>
      </c>
      <c r="K125" s="7" t="s">
        <v>8278</v>
      </c>
      <c r="L125" s="8">
        <v>24000</v>
      </c>
      <c r="M125" s="8" t="str">
        <f t="shared" si="12"/>
        <v>PEN</v>
      </c>
      <c r="N125" s="13"/>
      <c r="O125" s="13">
        <v>15</v>
      </c>
      <c r="P125" s="3">
        <f t="shared" si="8"/>
        <v>0</v>
      </c>
      <c r="Q125" s="3">
        <f t="shared" si="9"/>
        <v>15</v>
      </c>
      <c r="R125" s="3">
        <f t="shared" si="10"/>
        <v>189.3900000000001</v>
      </c>
      <c r="S125" s="24" t="s">
        <v>1334</v>
      </c>
      <c r="T125" s="24" t="s">
        <v>1334</v>
      </c>
      <c r="U125" s="3"/>
      <c r="V125" s="25" t="s">
        <v>8277</v>
      </c>
      <c r="W125" s="25">
        <v>20550372640</v>
      </c>
      <c r="X125" s="25" t="str">
        <f>IFERROR(VLOOKUP(C_Ope_004[[#This Row],[nota_2]],Clientes_Proveedores[[Ruc / Dni]:[Razon Social]],2,0),"")</f>
        <v>RUTAS DE LIMA S.A.C.</v>
      </c>
      <c r="Y125" s="25"/>
      <c r="Z125" s="103"/>
      <c r="AA125" s="3" t="str">
        <f>IF(C_Ope_004[[#This Row],[fecha]]&gt;0,TEXT(C_Ope_004[[#This Row],[fecha]],"mmmm"),0)</f>
        <v>Abril</v>
      </c>
      <c r="AB125" s="49"/>
    </row>
    <row r="126" spans="1:28" ht="24" x14ac:dyDescent="0.3">
      <c r="A126" s="2">
        <f>IF(C_Ope_004[[#This Row],[tipo_r]]="R",COUNTIFS($C$1:$C125,"R")+1,"")</f>
        <v>125</v>
      </c>
      <c r="B126" s="19" t="str">
        <f t="shared" si="13"/>
        <v>C_Ope_004</v>
      </c>
      <c r="C126" s="3" t="s">
        <v>1330</v>
      </c>
      <c r="D126" s="14">
        <v>45768</v>
      </c>
      <c r="E126" s="5" t="s">
        <v>8466</v>
      </c>
      <c r="F126" s="5" t="s">
        <v>1336</v>
      </c>
      <c r="G126" s="6" t="s">
        <v>979</v>
      </c>
      <c r="H126" s="6" t="s">
        <v>68</v>
      </c>
      <c r="I126" s="6" t="s">
        <v>8434</v>
      </c>
      <c r="J126" s="6">
        <v>3683669</v>
      </c>
      <c r="K126" s="7" t="s">
        <v>8276</v>
      </c>
      <c r="L126" s="8">
        <v>24001</v>
      </c>
      <c r="M126" s="8" t="str">
        <f t="shared" si="12"/>
        <v>PEN</v>
      </c>
      <c r="N126" s="13"/>
      <c r="O126" s="13">
        <v>15</v>
      </c>
      <c r="P126" s="3">
        <f t="shared" si="8"/>
        <v>0</v>
      </c>
      <c r="Q126" s="3">
        <f t="shared" si="9"/>
        <v>15</v>
      </c>
      <c r="R126" s="3">
        <f t="shared" si="10"/>
        <v>174.3900000000001</v>
      </c>
      <c r="S126" s="24" t="s">
        <v>1334</v>
      </c>
      <c r="T126" s="24" t="s">
        <v>1334</v>
      </c>
      <c r="U126" s="3"/>
      <c r="V126" s="25" t="s">
        <v>8277</v>
      </c>
      <c r="W126" s="25">
        <v>20550372640</v>
      </c>
      <c r="X126" s="25" t="str">
        <f>IFERROR(VLOOKUP(C_Ope_004[[#This Row],[nota_2]],Clientes_Proveedores[[Ruc / Dni]:[Razon Social]],2,0),"")</f>
        <v>RUTAS DE LIMA S.A.C.</v>
      </c>
      <c r="Y126" s="25"/>
      <c r="Z126" s="103"/>
      <c r="AA126" s="3" t="str">
        <f>IF(C_Ope_004[[#This Row],[fecha]]&gt;0,TEXT(C_Ope_004[[#This Row],[fecha]],"mmmm"),0)</f>
        <v>Abril</v>
      </c>
      <c r="AB126" s="49"/>
    </row>
    <row r="127" spans="1:28" ht="24" x14ac:dyDescent="0.3">
      <c r="A127" s="2">
        <f>IF(C_Ope_004[[#This Row],[tipo_r]]="R",COUNTIFS($C$1:$C126,"R")+1,"")</f>
        <v>126</v>
      </c>
      <c r="B127" s="19" t="str">
        <f t="shared" si="13"/>
        <v>C_Ope_004</v>
      </c>
      <c r="C127" s="3" t="s">
        <v>1330</v>
      </c>
      <c r="D127" s="14">
        <v>45771</v>
      </c>
      <c r="E127" s="5" t="s">
        <v>8466</v>
      </c>
      <c r="F127" s="5" t="s">
        <v>1336</v>
      </c>
      <c r="G127" s="6" t="s">
        <v>979</v>
      </c>
      <c r="H127" s="6" t="s">
        <v>68</v>
      </c>
      <c r="I127" s="6" t="s">
        <v>8483</v>
      </c>
      <c r="J127" s="6">
        <v>2347587</v>
      </c>
      <c r="K127" s="7" t="s">
        <v>8471</v>
      </c>
      <c r="L127" s="8">
        <v>24002</v>
      </c>
      <c r="M127" s="8" t="str">
        <f t="shared" si="12"/>
        <v>PEN</v>
      </c>
      <c r="N127" s="13"/>
      <c r="O127" s="13">
        <v>15</v>
      </c>
      <c r="P127" s="3">
        <f t="shared" si="8"/>
        <v>0</v>
      </c>
      <c r="Q127" s="3">
        <f t="shared" si="9"/>
        <v>15</v>
      </c>
      <c r="R127" s="3">
        <f t="shared" si="10"/>
        <v>159.3900000000001</v>
      </c>
      <c r="S127" s="24" t="s">
        <v>1334</v>
      </c>
      <c r="T127" s="24" t="s">
        <v>1334</v>
      </c>
      <c r="U127" s="3"/>
      <c r="V127" s="25" t="s">
        <v>8277</v>
      </c>
      <c r="W127" s="25">
        <v>20550372640</v>
      </c>
      <c r="X127" s="25" t="str">
        <f>IFERROR(VLOOKUP(C_Ope_004[[#This Row],[nota_2]],Clientes_Proveedores[[Ruc / Dni]:[Razon Social]],2,0),"")</f>
        <v>RUTAS DE LIMA S.A.C.</v>
      </c>
      <c r="Y127" s="25"/>
      <c r="Z127" s="103"/>
      <c r="AA127" s="3" t="str">
        <f>IF(C_Ope_004[[#This Row],[fecha]]&gt;0,TEXT(C_Ope_004[[#This Row],[fecha]],"mmmm"),0)</f>
        <v>Abril</v>
      </c>
      <c r="AB127" s="49"/>
    </row>
    <row r="128" spans="1:28" ht="24" x14ac:dyDescent="0.3">
      <c r="A128" s="2">
        <f>IF(C_Ope_004[[#This Row],[tipo_r]]="R",COUNTIFS($C$1:$C127,"R")+1,"")</f>
        <v>127</v>
      </c>
      <c r="B128" s="19" t="str">
        <f t="shared" si="13"/>
        <v>C_Ope_004</v>
      </c>
      <c r="C128" s="3" t="s">
        <v>1330</v>
      </c>
      <c r="D128" s="14">
        <v>45771</v>
      </c>
      <c r="E128" s="5" t="s">
        <v>8466</v>
      </c>
      <c r="F128" s="5" t="s">
        <v>1336</v>
      </c>
      <c r="G128" s="6" t="s">
        <v>979</v>
      </c>
      <c r="H128" s="6" t="s">
        <v>68</v>
      </c>
      <c r="I128" s="6" t="s">
        <v>8256</v>
      </c>
      <c r="J128" s="6">
        <v>580306</v>
      </c>
      <c r="K128" s="7" t="s">
        <v>8487</v>
      </c>
      <c r="L128" s="8">
        <v>24003</v>
      </c>
      <c r="M128" s="8" t="str">
        <f t="shared" si="12"/>
        <v>PEN</v>
      </c>
      <c r="N128" s="13"/>
      <c r="O128" s="13">
        <v>15</v>
      </c>
      <c r="P128" s="3">
        <f t="shared" si="8"/>
        <v>0</v>
      </c>
      <c r="Q128" s="3">
        <f t="shared" si="9"/>
        <v>15</v>
      </c>
      <c r="R128" s="3">
        <f t="shared" si="10"/>
        <v>144.3900000000001</v>
      </c>
      <c r="S128" s="24" t="s">
        <v>1334</v>
      </c>
      <c r="T128" s="24" t="s">
        <v>1334</v>
      </c>
      <c r="U128" s="3"/>
      <c r="V128" s="25" t="s">
        <v>8277</v>
      </c>
      <c r="W128" s="25">
        <v>20550372640</v>
      </c>
      <c r="X128" s="25" t="str">
        <f>IFERROR(VLOOKUP(C_Ope_004[[#This Row],[nota_2]],Clientes_Proveedores[[Ruc / Dni]:[Razon Social]],2,0),"")</f>
        <v>RUTAS DE LIMA S.A.C.</v>
      </c>
      <c r="Y128" s="25"/>
      <c r="Z128" s="103"/>
      <c r="AA128" s="3" t="str">
        <f>IF(C_Ope_004[[#This Row],[fecha]]&gt;0,TEXT(C_Ope_004[[#This Row],[fecha]],"mmmm"),0)</f>
        <v>Abril</v>
      </c>
      <c r="AB128" s="49"/>
    </row>
    <row r="129" spans="1:28" ht="24" x14ac:dyDescent="0.3">
      <c r="A129" s="2">
        <f>IF(C_Ope_004[[#This Row],[tipo_r]]="R",COUNTIFS($C$1:$C128,"R")+1,"")</f>
        <v>128</v>
      </c>
      <c r="B129" s="19" t="str">
        <f t="shared" si="13"/>
        <v>C_Ope_004</v>
      </c>
      <c r="C129" s="3" t="s">
        <v>1330</v>
      </c>
      <c r="D129" s="14">
        <v>45772</v>
      </c>
      <c r="E129" s="5" t="s">
        <v>8466</v>
      </c>
      <c r="F129" s="5" t="s">
        <v>1336</v>
      </c>
      <c r="G129" s="6" t="s">
        <v>979</v>
      </c>
      <c r="H129" s="6" t="s">
        <v>68</v>
      </c>
      <c r="I129" s="6" t="s">
        <v>8477</v>
      </c>
      <c r="J129" s="6">
        <v>1227104</v>
      </c>
      <c r="K129" s="7" t="s">
        <v>8471</v>
      </c>
      <c r="L129" s="8">
        <v>24008</v>
      </c>
      <c r="M129" s="8" t="str">
        <f t="shared" si="12"/>
        <v>PEN</v>
      </c>
      <c r="N129" s="13"/>
      <c r="O129" s="13">
        <v>15</v>
      </c>
      <c r="P129" s="3">
        <f t="shared" si="8"/>
        <v>0</v>
      </c>
      <c r="Q129" s="3">
        <f t="shared" si="9"/>
        <v>15</v>
      </c>
      <c r="R129" s="3">
        <f t="shared" si="10"/>
        <v>129.3900000000001</v>
      </c>
      <c r="S129" s="24" t="s">
        <v>1334</v>
      </c>
      <c r="T129" s="24" t="s">
        <v>1334</v>
      </c>
      <c r="U129" s="3"/>
      <c r="V129" s="25" t="s">
        <v>8277</v>
      </c>
      <c r="W129" s="25">
        <v>20550372640</v>
      </c>
      <c r="X129" s="25" t="str">
        <f>IFERROR(VLOOKUP(C_Ope_004[[#This Row],[nota_2]],Clientes_Proveedores[[Ruc / Dni]:[Razon Social]],2,0),"")</f>
        <v>RUTAS DE LIMA S.A.C.</v>
      </c>
      <c r="Y129" s="25"/>
      <c r="Z129" s="103"/>
      <c r="AA129" s="3" t="str">
        <f>IF(C_Ope_004[[#This Row],[fecha]]&gt;0,TEXT(C_Ope_004[[#This Row],[fecha]],"mmmm"),0)</f>
        <v>Abril</v>
      </c>
      <c r="AB129" s="49"/>
    </row>
    <row r="130" spans="1:28" ht="24" x14ac:dyDescent="0.3">
      <c r="A130" s="2">
        <f>IF(C_Ope_004[[#This Row],[tipo_r]]="R",COUNTIFS($C$1:$C129,"R")+1,"")</f>
        <v>129</v>
      </c>
      <c r="B130" s="19" t="str">
        <f t="shared" si="13"/>
        <v>C_Ope_004</v>
      </c>
      <c r="C130" s="3" t="s">
        <v>1330</v>
      </c>
      <c r="D130" s="14">
        <v>45772</v>
      </c>
      <c r="E130" s="5" t="s">
        <v>8466</v>
      </c>
      <c r="F130" s="5" t="s">
        <v>1336</v>
      </c>
      <c r="G130" s="6" t="s">
        <v>979</v>
      </c>
      <c r="H130" s="6" t="s">
        <v>68</v>
      </c>
      <c r="I130" s="6" t="s">
        <v>8362</v>
      </c>
      <c r="J130" s="6">
        <v>2250231</v>
      </c>
      <c r="K130" s="7" t="s">
        <v>8487</v>
      </c>
      <c r="L130" s="8">
        <v>24009</v>
      </c>
      <c r="M130" s="8" t="str">
        <f t="shared" ref="M130:M161" si="14">"PEN"</f>
        <v>PEN</v>
      </c>
      <c r="N130" s="13"/>
      <c r="O130" s="13">
        <v>15</v>
      </c>
      <c r="P130" s="3">
        <f t="shared" ref="P130:P193" si="15">+IF(OR($F130="SALDO",$F130="INGRESO"),$O130,0)</f>
        <v>0</v>
      </c>
      <c r="Q130" s="3">
        <f t="shared" ref="Q130:Q193" si="16">+IF($F130="EGRESO",$O130,0)</f>
        <v>15</v>
      </c>
      <c r="R130" s="3">
        <f t="shared" ref="R130:R193" si="17">IFERROR(IF(F130="SALDO",P130,R129+P130-Q130),0)</f>
        <v>114.3900000000001</v>
      </c>
      <c r="S130" s="24" t="s">
        <v>1334</v>
      </c>
      <c r="T130" s="24" t="s">
        <v>1334</v>
      </c>
      <c r="U130" s="3"/>
      <c r="V130" s="25" t="s">
        <v>8277</v>
      </c>
      <c r="W130" s="25">
        <v>20550372640</v>
      </c>
      <c r="X130" s="25" t="str">
        <f>IFERROR(VLOOKUP(C_Ope_004[[#This Row],[nota_2]],Clientes_Proveedores[[Ruc / Dni]:[Razon Social]],2,0),"")</f>
        <v>RUTAS DE LIMA S.A.C.</v>
      </c>
      <c r="Y130" s="25"/>
      <c r="Z130" s="103"/>
      <c r="AA130" s="3" t="str">
        <f>IF(C_Ope_004[[#This Row],[fecha]]&gt;0,TEXT(C_Ope_004[[#This Row],[fecha]],"mmmm"),0)</f>
        <v>Abril</v>
      </c>
      <c r="AB130" s="49"/>
    </row>
    <row r="131" spans="1:28" ht="24" x14ac:dyDescent="0.3">
      <c r="A131" s="2">
        <f>IF(C_Ope_004[[#This Row],[tipo_r]]="R",COUNTIFS($C$1:$C130,"R")+1,"")</f>
        <v>130</v>
      </c>
      <c r="B131" s="19" t="str">
        <f t="shared" ref="B131:B162" si="18">"C_Ope_004"</f>
        <v>C_Ope_004</v>
      </c>
      <c r="C131" s="3" t="s">
        <v>1330</v>
      </c>
      <c r="D131" s="14">
        <v>45772</v>
      </c>
      <c r="E131" s="5" t="s">
        <v>8466</v>
      </c>
      <c r="F131" s="5" t="s">
        <v>1336</v>
      </c>
      <c r="G131" s="6" t="s">
        <v>735</v>
      </c>
      <c r="H131" s="6" t="s">
        <v>68</v>
      </c>
      <c r="I131" s="6" t="s">
        <v>3078</v>
      </c>
      <c r="J131" s="6">
        <v>40707</v>
      </c>
      <c r="K131" s="7" t="s">
        <v>8500</v>
      </c>
      <c r="L131" s="8">
        <v>24007</v>
      </c>
      <c r="M131" s="8" t="str">
        <f t="shared" si="14"/>
        <v>PEN</v>
      </c>
      <c r="N131" s="13"/>
      <c r="O131" s="13">
        <v>55</v>
      </c>
      <c r="P131" s="3">
        <f t="shared" si="15"/>
        <v>0</v>
      </c>
      <c r="Q131" s="3">
        <f t="shared" si="16"/>
        <v>55</v>
      </c>
      <c r="R131" s="3">
        <f t="shared" si="17"/>
        <v>59.3900000000001</v>
      </c>
      <c r="S131" s="24" t="s">
        <v>1334</v>
      </c>
      <c r="T131" s="24" t="s">
        <v>1334</v>
      </c>
      <c r="U131" s="3"/>
      <c r="V131" s="25" t="s">
        <v>8277</v>
      </c>
      <c r="W131" s="25">
        <v>20514148539</v>
      </c>
      <c r="X131" s="25" t="str">
        <f>IFERROR(VLOOKUP(C_Ope_004[[#This Row],[nota_2]],Clientes_Proveedores[[Ruc / Dni]:[Razon Social]],2,0),"")</f>
        <v>NEGOCIACIONES ABBYCORP E.I.R.L.</v>
      </c>
      <c r="Y131" s="25"/>
      <c r="Z131" s="103"/>
      <c r="AA131" s="3" t="str">
        <f>IF(C_Ope_004[[#This Row],[fecha]]&gt;0,TEXT(C_Ope_004[[#This Row],[fecha]],"mmmm"),0)</f>
        <v>Abril</v>
      </c>
      <c r="AB131" s="49"/>
    </row>
    <row r="132" spans="1:28" x14ac:dyDescent="0.3">
      <c r="A132" s="2">
        <f>IF(C_Ope_004[[#This Row],[tipo_r]]="R",COUNTIFS($C$1:$C131,"R")+1,"")</f>
        <v>131</v>
      </c>
      <c r="B132" s="19" t="str">
        <f t="shared" si="18"/>
        <v>C_Ope_004</v>
      </c>
      <c r="C132" s="3" t="s">
        <v>1330</v>
      </c>
      <c r="D132" s="14">
        <v>45775</v>
      </c>
      <c r="E132" s="5" t="s">
        <v>7514</v>
      </c>
      <c r="F132" s="5" t="s">
        <v>1303</v>
      </c>
      <c r="G132" s="6" t="s">
        <v>876</v>
      </c>
      <c r="H132" s="6"/>
      <c r="I132" s="6"/>
      <c r="J132" s="6"/>
      <c r="K132" s="7" t="s">
        <v>8475</v>
      </c>
      <c r="L132" s="8">
        <v>24058</v>
      </c>
      <c r="M132" s="8" t="str">
        <f t="shared" si="14"/>
        <v>PEN</v>
      </c>
      <c r="N132" s="13"/>
      <c r="O132" s="13">
        <v>140</v>
      </c>
      <c r="P132" s="3">
        <f t="shared" si="15"/>
        <v>140</v>
      </c>
      <c r="Q132" s="3">
        <f t="shared" si="16"/>
        <v>0</v>
      </c>
      <c r="R132" s="3">
        <f t="shared" si="17"/>
        <v>199.3900000000001</v>
      </c>
      <c r="S132" s="24" t="s">
        <v>1334</v>
      </c>
      <c r="T132" s="24" t="s">
        <v>1334</v>
      </c>
      <c r="U132" s="3"/>
      <c r="V132" s="25"/>
      <c r="W132" s="25"/>
      <c r="X132" s="25" t="str">
        <f>IFERROR(VLOOKUP(C_Ope_004[[#This Row],[nota_2]],Clientes_Proveedores[[Ruc / Dni]:[Razon Social]],2,0),"")</f>
        <v/>
      </c>
      <c r="Y132" s="25"/>
      <c r="Z132" s="103"/>
      <c r="AA132" s="3" t="str">
        <f>IF(C_Ope_004[[#This Row],[fecha]]&gt;0,TEXT(C_Ope_004[[#This Row],[fecha]],"mmmm"),0)</f>
        <v>Abril</v>
      </c>
      <c r="AB132" s="49"/>
    </row>
    <row r="133" spans="1:28" x14ac:dyDescent="0.3">
      <c r="A133" s="2">
        <f>IF(C_Ope_004[[#This Row],[tipo_r]]="R",COUNTIFS($C$1:$C132,"R")+1,"")</f>
        <v>132</v>
      </c>
      <c r="B133" s="19" t="str">
        <f t="shared" si="18"/>
        <v>C_Ope_004</v>
      </c>
      <c r="C133" s="3" t="s">
        <v>1330</v>
      </c>
      <c r="D133" s="14">
        <v>45777</v>
      </c>
      <c r="E133" s="5" t="s">
        <v>7514</v>
      </c>
      <c r="F133" s="5" t="s">
        <v>1303</v>
      </c>
      <c r="G133" s="6" t="s">
        <v>876</v>
      </c>
      <c r="H133" s="6"/>
      <c r="I133" s="6"/>
      <c r="J133" s="6"/>
      <c r="K133" s="7" t="s">
        <v>8475</v>
      </c>
      <c r="L133" s="8">
        <v>24099</v>
      </c>
      <c r="M133" s="8" t="str">
        <f t="shared" si="14"/>
        <v>PEN</v>
      </c>
      <c r="N133" s="13"/>
      <c r="O133" s="13">
        <v>400</v>
      </c>
      <c r="P133" s="3">
        <f t="shared" si="15"/>
        <v>400</v>
      </c>
      <c r="Q133" s="3">
        <f t="shared" si="16"/>
        <v>0</v>
      </c>
      <c r="R133" s="3">
        <f t="shared" si="17"/>
        <v>599.3900000000001</v>
      </c>
      <c r="S133" s="24" t="s">
        <v>1334</v>
      </c>
      <c r="T133" s="24" t="s">
        <v>1334</v>
      </c>
      <c r="U133" s="3"/>
      <c r="V133" s="25"/>
      <c r="W133" s="25"/>
      <c r="X133" s="25" t="str">
        <f>IFERROR(VLOOKUP(C_Ope_004[[#This Row],[nota_2]],Clientes_Proveedores[[Ruc / Dni]:[Razon Social]],2,0),"")</f>
        <v/>
      </c>
      <c r="Y133" s="25"/>
      <c r="Z133" s="103"/>
      <c r="AA133" s="3" t="str">
        <f>IF(C_Ope_004[[#This Row],[fecha]]&gt;0,TEXT(C_Ope_004[[#This Row],[fecha]],"mmmm"),0)</f>
        <v>Abril</v>
      </c>
      <c r="AB133" s="49"/>
    </row>
    <row r="134" spans="1:28" ht="24" x14ac:dyDescent="0.3">
      <c r="A134" s="2">
        <f>IF(C_Ope_004[[#This Row],[tipo_r]]="R",COUNTIFS($C$1:$C133,"R")+1,"")</f>
        <v>133</v>
      </c>
      <c r="B134" s="19" t="str">
        <f t="shared" si="18"/>
        <v>C_Ope_004</v>
      </c>
      <c r="C134" s="3" t="s">
        <v>1330</v>
      </c>
      <c r="D134" s="14">
        <v>45779</v>
      </c>
      <c r="E134" s="5" t="s">
        <v>8466</v>
      </c>
      <c r="F134" s="5" t="s">
        <v>1336</v>
      </c>
      <c r="G134" s="6" t="s">
        <v>979</v>
      </c>
      <c r="H134" s="6" t="s">
        <v>68</v>
      </c>
      <c r="I134" s="6" t="s">
        <v>8474</v>
      </c>
      <c r="J134" s="6">
        <v>636538</v>
      </c>
      <c r="K134" s="7" t="s">
        <v>8278</v>
      </c>
      <c r="L134" s="8">
        <v>24100</v>
      </c>
      <c r="M134" s="8" t="str">
        <f t="shared" si="14"/>
        <v>PEN</v>
      </c>
      <c r="N134" s="13"/>
      <c r="O134" s="13">
        <v>15</v>
      </c>
      <c r="P134" s="3">
        <f t="shared" si="15"/>
        <v>0</v>
      </c>
      <c r="Q134" s="3">
        <f t="shared" si="16"/>
        <v>15</v>
      </c>
      <c r="R134" s="3">
        <f t="shared" si="17"/>
        <v>584.3900000000001</v>
      </c>
      <c r="S134" s="24" t="s">
        <v>1334</v>
      </c>
      <c r="T134" s="24" t="s">
        <v>1334</v>
      </c>
      <c r="U134" s="3"/>
      <c r="V134" s="25" t="s">
        <v>8277</v>
      </c>
      <c r="W134" s="25">
        <v>20550372640</v>
      </c>
      <c r="X134" s="25" t="str">
        <f>IFERROR(VLOOKUP(C_Ope_004[[#This Row],[nota_2]],Clientes_Proveedores[[Ruc / Dni]:[Razon Social]],2,0),"")</f>
        <v>RUTAS DE LIMA S.A.C.</v>
      </c>
      <c r="Y134" s="25"/>
      <c r="Z134" s="103"/>
      <c r="AA134" s="3" t="str">
        <f>IF(C_Ope_004[[#This Row],[fecha]]&gt;0,TEXT(C_Ope_004[[#This Row],[fecha]],"mmmm"),0)</f>
        <v>Mayo</v>
      </c>
      <c r="AB134" s="49"/>
    </row>
    <row r="135" spans="1:28" ht="24" x14ac:dyDescent="0.3">
      <c r="A135" s="2">
        <f>IF(C_Ope_004[[#This Row],[tipo_r]]="R",COUNTIFS($C$1:$C134,"R")+1,"")</f>
        <v>134</v>
      </c>
      <c r="B135" s="19" t="str">
        <f t="shared" si="18"/>
        <v>C_Ope_004</v>
      </c>
      <c r="C135" s="3" t="s">
        <v>1330</v>
      </c>
      <c r="D135" s="14">
        <v>45779</v>
      </c>
      <c r="E135" s="5" t="s">
        <v>8466</v>
      </c>
      <c r="F135" s="5" t="s">
        <v>1336</v>
      </c>
      <c r="G135" s="6" t="s">
        <v>979</v>
      </c>
      <c r="H135" s="6" t="s">
        <v>68</v>
      </c>
      <c r="I135" s="6" t="s">
        <v>8211</v>
      </c>
      <c r="J135" s="6">
        <v>2988079</v>
      </c>
      <c r="K135" s="7" t="s">
        <v>8276</v>
      </c>
      <c r="L135" s="8">
        <v>24101</v>
      </c>
      <c r="M135" s="8" t="str">
        <f t="shared" si="14"/>
        <v>PEN</v>
      </c>
      <c r="N135" s="13"/>
      <c r="O135" s="13">
        <v>15</v>
      </c>
      <c r="P135" s="3">
        <f t="shared" si="15"/>
        <v>0</v>
      </c>
      <c r="Q135" s="3">
        <f t="shared" si="16"/>
        <v>15</v>
      </c>
      <c r="R135" s="3">
        <f t="shared" si="17"/>
        <v>569.3900000000001</v>
      </c>
      <c r="S135" s="24" t="s">
        <v>1334</v>
      </c>
      <c r="T135" s="24" t="s">
        <v>1334</v>
      </c>
      <c r="U135" s="3"/>
      <c r="V135" s="25" t="s">
        <v>8277</v>
      </c>
      <c r="W135" s="25">
        <v>20550372640</v>
      </c>
      <c r="X135" s="25" t="str">
        <f>IFERROR(VLOOKUP(C_Ope_004[[#This Row],[nota_2]],Clientes_Proveedores[[Ruc / Dni]:[Razon Social]],2,0),"")</f>
        <v>RUTAS DE LIMA S.A.C.</v>
      </c>
      <c r="Y135" s="25"/>
      <c r="Z135" s="103"/>
      <c r="AA135" s="3" t="str">
        <f>IF(C_Ope_004[[#This Row],[fecha]]&gt;0,TEXT(C_Ope_004[[#This Row],[fecha]],"mmmm"),0)</f>
        <v>Mayo</v>
      </c>
      <c r="AB135" s="49"/>
    </row>
    <row r="136" spans="1:28" ht="24" x14ac:dyDescent="0.3">
      <c r="A136" s="2">
        <f>IF(C_Ope_004[[#This Row],[tipo_r]]="R",COUNTIFS($C$1:$C135,"R")+1,"")</f>
        <v>135</v>
      </c>
      <c r="B136" s="19" t="str">
        <f t="shared" si="18"/>
        <v>C_Ope_004</v>
      </c>
      <c r="C136" s="3" t="s">
        <v>1330</v>
      </c>
      <c r="D136" s="14">
        <v>45785</v>
      </c>
      <c r="E136" s="5" t="s">
        <v>8466</v>
      </c>
      <c r="F136" s="5" t="s">
        <v>1336</v>
      </c>
      <c r="G136" s="6" t="s">
        <v>979</v>
      </c>
      <c r="H136" s="6" t="s">
        <v>68</v>
      </c>
      <c r="I136" s="6" t="s">
        <v>5627</v>
      </c>
      <c r="J136" s="6">
        <v>1151498</v>
      </c>
      <c r="K136" s="7" t="s">
        <v>8471</v>
      </c>
      <c r="L136" s="8">
        <v>24141</v>
      </c>
      <c r="M136" s="8" t="str">
        <f t="shared" si="14"/>
        <v>PEN</v>
      </c>
      <c r="N136" s="13"/>
      <c r="O136" s="13">
        <v>15</v>
      </c>
      <c r="P136" s="3">
        <f t="shared" si="15"/>
        <v>0</v>
      </c>
      <c r="Q136" s="3">
        <f t="shared" si="16"/>
        <v>15</v>
      </c>
      <c r="R136" s="3">
        <f t="shared" si="17"/>
        <v>554.3900000000001</v>
      </c>
      <c r="S136" s="24" t="s">
        <v>1334</v>
      </c>
      <c r="T136" s="24" t="s">
        <v>1334</v>
      </c>
      <c r="U136" s="3"/>
      <c r="V136" s="25" t="s">
        <v>8277</v>
      </c>
      <c r="W136" s="25">
        <v>20550372640</v>
      </c>
      <c r="X136" s="25" t="str">
        <f>IFERROR(VLOOKUP(C_Ope_004[[#This Row],[nota_2]],Clientes_Proveedores[[Ruc / Dni]:[Razon Social]],2,0),"")</f>
        <v>RUTAS DE LIMA S.A.C.</v>
      </c>
      <c r="Y136" s="25"/>
      <c r="Z136" s="103"/>
      <c r="AA136" s="3" t="str">
        <f>IF(C_Ope_004[[#This Row],[fecha]]&gt;0,TEXT(C_Ope_004[[#This Row],[fecha]],"mmmm"),0)</f>
        <v>Mayo</v>
      </c>
      <c r="AB136" s="49"/>
    </row>
    <row r="137" spans="1:28" ht="24" x14ac:dyDescent="0.3">
      <c r="A137" s="2">
        <f>IF(C_Ope_004[[#This Row],[tipo_r]]="R",COUNTIFS($C$1:$C136,"R")+1,"")</f>
        <v>136</v>
      </c>
      <c r="B137" s="19" t="str">
        <f t="shared" si="18"/>
        <v>C_Ope_004</v>
      </c>
      <c r="C137" s="3" t="s">
        <v>1330</v>
      </c>
      <c r="D137" s="14">
        <v>45785</v>
      </c>
      <c r="E137" s="5" t="s">
        <v>8466</v>
      </c>
      <c r="F137" s="5" t="s">
        <v>1336</v>
      </c>
      <c r="G137" s="6" t="s">
        <v>979</v>
      </c>
      <c r="H137" s="6" t="s">
        <v>68</v>
      </c>
      <c r="I137" s="6" t="s">
        <v>8468</v>
      </c>
      <c r="J137" s="6">
        <v>3139064</v>
      </c>
      <c r="K137" s="7" t="s">
        <v>8487</v>
      </c>
      <c r="L137" s="8">
        <v>24142</v>
      </c>
      <c r="M137" s="8" t="str">
        <f t="shared" si="14"/>
        <v>PEN</v>
      </c>
      <c r="N137" s="13"/>
      <c r="O137" s="13">
        <v>15</v>
      </c>
      <c r="P137" s="3">
        <f t="shared" si="15"/>
        <v>0</v>
      </c>
      <c r="Q137" s="3">
        <f t="shared" si="16"/>
        <v>15</v>
      </c>
      <c r="R137" s="3">
        <f t="shared" si="17"/>
        <v>539.3900000000001</v>
      </c>
      <c r="S137" s="24" t="s">
        <v>1334</v>
      </c>
      <c r="T137" s="24" t="s">
        <v>1334</v>
      </c>
      <c r="U137" s="3"/>
      <c r="V137" s="25" t="s">
        <v>8277</v>
      </c>
      <c r="W137" s="25">
        <v>20550372640</v>
      </c>
      <c r="X137" s="25" t="str">
        <f>IFERROR(VLOOKUP(C_Ope_004[[#This Row],[nota_2]],Clientes_Proveedores[[Ruc / Dni]:[Razon Social]],2,0),"")</f>
        <v>RUTAS DE LIMA S.A.C.</v>
      </c>
      <c r="Y137" s="25"/>
      <c r="Z137" s="103"/>
      <c r="AA137" s="3" t="str">
        <f>IF(C_Ope_004[[#This Row],[fecha]]&gt;0,TEXT(C_Ope_004[[#This Row],[fecha]],"mmmm"),0)</f>
        <v>Mayo</v>
      </c>
      <c r="AB137" s="49"/>
    </row>
    <row r="138" spans="1:28" ht="24" x14ac:dyDescent="0.3">
      <c r="A138" s="2">
        <f>IF(C_Ope_004[[#This Row],[tipo_r]]="R",COUNTIFS($C$1:$C137,"R")+1,"")</f>
        <v>137</v>
      </c>
      <c r="B138" s="19" t="str">
        <f t="shared" si="18"/>
        <v>C_Ope_004</v>
      </c>
      <c r="C138" s="3" t="s">
        <v>1330</v>
      </c>
      <c r="D138" s="14">
        <v>45786</v>
      </c>
      <c r="E138" s="5" t="s">
        <v>8466</v>
      </c>
      <c r="F138" s="5" t="s">
        <v>1336</v>
      </c>
      <c r="G138" s="6" t="s">
        <v>979</v>
      </c>
      <c r="H138" s="6" t="s">
        <v>68</v>
      </c>
      <c r="I138" s="6" t="s">
        <v>8501</v>
      </c>
      <c r="J138" s="6">
        <v>2157545</v>
      </c>
      <c r="K138" s="7" t="s">
        <v>8278</v>
      </c>
      <c r="L138" s="8">
        <v>24169</v>
      </c>
      <c r="M138" s="8" t="str">
        <f t="shared" si="14"/>
        <v>PEN</v>
      </c>
      <c r="N138" s="13"/>
      <c r="O138" s="13">
        <v>15</v>
      </c>
      <c r="P138" s="3">
        <f t="shared" si="15"/>
        <v>0</v>
      </c>
      <c r="Q138" s="3">
        <f t="shared" si="16"/>
        <v>15</v>
      </c>
      <c r="R138" s="3">
        <f t="shared" si="17"/>
        <v>524.3900000000001</v>
      </c>
      <c r="S138" s="24" t="s">
        <v>1334</v>
      </c>
      <c r="T138" s="24" t="s">
        <v>1334</v>
      </c>
      <c r="U138" s="3"/>
      <c r="V138" s="25" t="s">
        <v>8277</v>
      </c>
      <c r="W138" s="25">
        <v>20550372640</v>
      </c>
      <c r="X138" s="25" t="str">
        <f>IFERROR(VLOOKUP(C_Ope_004[[#This Row],[nota_2]],Clientes_Proveedores[[Ruc / Dni]:[Razon Social]],2,0),"")</f>
        <v>RUTAS DE LIMA S.A.C.</v>
      </c>
      <c r="Y138" s="25"/>
      <c r="Z138" s="103"/>
      <c r="AA138" s="3" t="str">
        <f>IF(C_Ope_004[[#This Row],[fecha]]&gt;0,TEXT(C_Ope_004[[#This Row],[fecha]],"mmmm"),0)</f>
        <v>Mayo</v>
      </c>
      <c r="AB138" s="49"/>
    </row>
    <row r="139" spans="1:28" ht="24" x14ac:dyDescent="0.3">
      <c r="A139" s="2">
        <f>IF(C_Ope_004[[#This Row],[tipo_r]]="R",COUNTIFS($C$1:$C138,"R")+1,"")</f>
        <v>138</v>
      </c>
      <c r="B139" s="19" t="str">
        <f t="shared" si="18"/>
        <v>C_Ope_004</v>
      </c>
      <c r="C139" s="3" t="s">
        <v>1330</v>
      </c>
      <c r="D139" s="14">
        <v>45786</v>
      </c>
      <c r="E139" s="5" t="s">
        <v>8466</v>
      </c>
      <c r="F139" s="5" t="s">
        <v>1336</v>
      </c>
      <c r="G139" s="6" t="s">
        <v>979</v>
      </c>
      <c r="H139" s="6" t="s">
        <v>68</v>
      </c>
      <c r="I139" s="6" t="s">
        <v>8362</v>
      </c>
      <c r="J139" s="6">
        <v>2260328</v>
      </c>
      <c r="K139" s="7" t="s">
        <v>8276</v>
      </c>
      <c r="L139" s="8">
        <v>24170</v>
      </c>
      <c r="M139" s="8" t="str">
        <f t="shared" si="14"/>
        <v>PEN</v>
      </c>
      <c r="N139" s="13"/>
      <c r="O139" s="13">
        <v>15</v>
      </c>
      <c r="P139" s="3">
        <f t="shared" si="15"/>
        <v>0</v>
      </c>
      <c r="Q139" s="3">
        <f t="shared" si="16"/>
        <v>15</v>
      </c>
      <c r="R139" s="3">
        <f t="shared" si="17"/>
        <v>509.3900000000001</v>
      </c>
      <c r="S139" s="24" t="s">
        <v>1334</v>
      </c>
      <c r="T139" s="24" t="s">
        <v>1334</v>
      </c>
      <c r="U139" s="3"/>
      <c r="V139" s="25" t="s">
        <v>8277</v>
      </c>
      <c r="W139" s="25">
        <v>20550372640</v>
      </c>
      <c r="X139" s="25" t="str">
        <f>IFERROR(VLOOKUP(C_Ope_004[[#This Row],[nota_2]],Clientes_Proveedores[[Ruc / Dni]:[Razon Social]],2,0),"")</f>
        <v>RUTAS DE LIMA S.A.C.</v>
      </c>
      <c r="Y139" s="25"/>
      <c r="Z139" s="103"/>
      <c r="AA139" s="3" t="str">
        <f>IF(C_Ope_004[[#This Row],[fecha]]&gt;0,TEXT(C_Ope_004[[#This Row],[fecha]],"mmmm"),0)</f>
        <v>Mayo</v>
      </c>
      <c r="AB139" s="49"/>
    </row>
    <row r="140" spans="1:28" x14ac:dyDescent="0.3">
      <c r="A140" s="2">
        <f>IF(C_Ope_004[[#This Row],[tipo_r]]="R",COUNTIFS($C$1:$C139,"R")+1,"")</f>
        <v>139</v>
      </c>
      <c r="B140" s="19" t="str">
        <f t="shared" si="18"/>
        <v>C_Ope_004</v>
      </c>
      <c r="C140" s="3" t="s">
        <v>1330</v>
      </c>
      <c r="D140" s="14">
        <v>45791</v>
      </c>
      <c r="E140" s="5" t="s">
        <v>7514</v>
      </c>
      <c r="F140" s="5" t="s">
        <v>1303</v>
      </c>
      <c r="G140" s="6" t="s">
        <v>876</v>
      </c>
      <c r="H140" s="6"/>
      <c r="I140" s="6"/>
      <c r="J140" s="6"/>
      <c r="K140" s="7" t="s">
        <v>8475</v>
      </c>
      <c r="L140" s="8">
        <v>24279</v>
      </c>
      <c r="M140" s="8" t="str">
        <f t="shared" si="14"/>
        <v>PEN</v>
      </c>
      <c r="N140" s="13"/>
      <c r="O140" s="13">
        <v>200</v>
      </c>
      <c r="P140" s="3">
        <f t="shared" si="15"/>
        <v>200</v>
      </c>
      <c r="Q140" s="3">
        <f t="shared" si="16"/>
        <v>0</v>
      </c>
      <c r="R140" s="3">
        <f t="shared" si="17"/>
        <v>709.3900000000001</v>
      </c>
      <c r="S140" s="24" t="s">
        <v>1334</v>
      </c>
      <c r="T140" s="24" t="s">
        <v>1334</v>
      </c>
      <c r="U140" s="3"/>
      <c r="V140" s="25"/>
      <c r="W140" s="25"/>
      <c r="X140" s="25" t="str">
        <f>IFERROR(VLOOKUP(C_Ope_004[[#This Row],[nota_2]],Clientes_Proveedores[[Ruc / Dni]:[Razon Social]],2,0),"")</f>
        <v/>
      </c>
      <c r="Y140" s="25"/>
      <c r="Z140" s="103"/>
      <c r="AA140" s="3" t="str">
        <f>IF(C_Ope_004[[#This Row],[fecha]]&gt;0,TEXT(C_Ope_004[[#This Row],[fecha]],"mmmm"),0)</f>
        <v>Mayo</v>
      </c>
      <c r="AB140" s="49"/>
    </row>
    <row r="141" spans="1:28" ht="24" x14ac:dyDescent="0.3">
      <c r="A141" s="2">
        <f>IF(C_Ope_004[[#This Row],[tipo_r]]="R",COUNTIFS($C$1:$C140,"R")+1,"")</f>
        <v>140</v>
      </c>
      <c r="B141" s="19" t="str">
        <f t="shared" si="18"/>
        <v>C_Ope_004</v>
      </c>
      <c r="C141" s="3" t="s">
        <v>1330</v>
      </c>
      <c r="D141" s="14">
        <v>45790</v>
      </c>
      <c r="E141" s="5" t="s">
        <v>8466</v>
      </c>
      <c r="F141" s="5" t="s">
        <v>1336</v>
      </c>
      <c r="G141" s="6" t="s">
        <v>979</v>
      </c>
      <c r="H141" s="6" t="s">
        <v>68</v>
      </c>
      <c r="I141" s="6" t="s">
        <v>8501</v>
      </c>
      <c r="J141" s="6">
        <v>2159600</v>
      </c>
      <c r="K141" s="7" t="s">
        <v>8471</v>
      </c>
      <c r="L141" s="8">
        <v>24206</v>
      </c>
      <c r="M141" s="8" t="str">
        <f t="shared" si="14"/>
        <v>PEN</v>
      </c>
      <c r="N141" s="13"/>
      <c r="O141" s="13">
        <v>15</v>
      </c>
      <c r="P141" s="3">
        <f t="shared" si="15"/>
        <v>0</v>
      </c>
      <c r="Q141" s="3">
        <f t="shared" si="16"/>
        <v>15</v>
      </c>
      <c r="R141" s="3">
        <f t="shared" si="17"/>
        <v>694.3900000000001</v>
      </c>
      <c r="S141" s="24" t="s">
        <v>1334</v>
      </c>
      <c r="T141" s="24" t="s">
        <v>1334</v>
      </c>
      <c r="U141" s="3"/>
      <c r="V141" s="25" t="s">
        <v>8277</v>
      </c>
      <c r="W141" s="25">
        <v>20550372640</v>
      </c>
      <c r="X141" s="25" t="str">
        <f>IFERROR(VLOOKUP(C_Ope_004[[#This Row],[nota_2]],Clientes_Proveedores[[Ruc / Dni]:[Razon Social]],2,0),"")</f>
        <v>RUTAS DE LIMA S.A.C.</v>
      </c>
      <c r="Y141" s="25"/>
      <c r="Z141" s="103"/>
      <c r="AA141" s="3" t="str">
        <f>IF(C_Ope_004[[#This Row],[fecha]]&gt;0,TEXT(C_Ope_004[[#This Row],[fecha]],"mmmm"),0)</f>
        <v>Mayo</v>
      </c>
      <c r="AB141" s="49"/>
    </row>
    <row r="142" spans="1:28" ht="24" x14ac:dyDescent="0.3">
      <c r="A142" s="2">
        <f>IF(C_Ope_004[[#This Row],[tipo_r]]="R",COUNTIFS($C$1:$C141,"R")+1,"")</f>
        <v>141</v>
      </c>
      <c r="B142" s="19" t="str">
        <f t="shared" si="18"/>
        <v>C_Ope_004</v>
      </c>
      <c r="C142" s="3" t="s">
        <v>1330</v>
      </c>
      <c r="D142" s="14">
        <v>45790</v>
      </c>
      <c r="E142" s="5" t="s">
        <v>8466</v>
      </c>
      <c r="F142" s="5" t="s">
        <v>1336</v>
      </c>
      <c r="G142" s="6" t="s">
        <v>979</v>
      </c>
      <c r="H142" s="6" t="s">
        <v>68</v>
      </c>
      <c r="I142" s="6" t="s">
        <v>8434</v>
      </c>
      <c r="J142" s="6">
        <v>3702309</v>
      </c>
      <c r="K142" s="7" t="s">
        <v>8487</v>
      </c>
      <c r="L142" s="8">
        <v>24207</v>
      </c>
      <c r="M142" s="8" t="str">
        <f t="shared" si="14"/>
        <v>PEN</v>
      </c>
      <c r="N142" s="13"/>
      <c r="O142" s="13">
        <v>15</v>
      </c>
      <c r="P142" s="3">
        <f t="shared" si="15"/>
        <v>0</v>
      </c>
      <c r="Q142" s="3">
        <f t="shared" si="16"/>
        <v>15</v>
      </c>
      <c r="R142" s="3">
        <f t="shared" si="17"/>
        <v>679.3900000000001</v>
      </c>
      <c r="S142" s="24" t="s">
        <v>1334</v>
      </c>
      <c r="T142" s="24" t="s">
        <v>1334</v>
      </c>
      <c r="U142" s="3"/>
      <c r="V142" s="25" t="s">
        <v>8277</v>
      </c>
      <c r="W142" s="25">
        <v>20550372640</v>
      </c>
      <c r="X142" s="25" t="str">
        <f>IFERROR(VLOOKUP(C_Ope_004[[#This Row],[nota_2]],Clientes_Proveedores[[Ruc / Dni]:[Razon Social]],2,0),"")</f>
        <v>RUTAS DE LIMA S.A.C.</v>
      </c>
      <c r="Y142" s="25"/>
      <c r="Z142" s="103"/>
      <c r="AA142" s="3" t="str">
        <f>IF(C_Ope_004[[#This Row],[fecha]]&gt;0,TEXT(C_Ope_004[[#This Row],[fecha]],"mmmm"),0)</f>
        <v>Mayo</v>
      </c>
      <c r="AB142" s="49"/>
    </row>
    <row r="143" spans="1:28" ht="24" x14ac:dyDescent="0.3">
      <c r="A143" s="2">
        <f>IF(C_Ope_004[[#This Row],[tipo_r]]="R",COUNTIFS($C$1:$C142,"R")+1,"")</f>
        <v>142</v>
      </c>
      <c r="B143" s="19" t="str">
        <f t="shared" si="18"/>
        <v>C_Ope_004</v>
      </c>
      <c r="C143" s="3" t="s">
        <v>1330</v>
      </c>
      <c r="D143" s="14">
        <v>45793</v>
      </c>
      <c r="E143" s="5" t="s">
        <v>8466</v>
      </c>
      <c r="F143" s="5" t="s">
        <v>1336</v>
      </c>
      <c r="G143" s="6" t="s">
        <v>979</v>
      </c>
      <c r="H143" s="6" t="s">
        <v>68</v>
      </c>
      <c r="I143" s="6" t="s">
        <v>8474</v>
      </c>
      <c r="J143" s="6">
        <v>638772</v>
      </c>
      <c r="K143" s="7" t="s">
        <v>8471</v>
      </c>
      <c r="L143" s="8">
        <v>24215</v>
      </c>
      <c r="M143" s="8" t="str">
        <f t="shared" si="14"/>
        <v>PEN</v>
      </c>
      <c r="N143" s="13"/>
      <c r="O143" s="13">
        <v>15</v>
      </c>
      <c r="P143" s="3">
        <f t="shared" si="15"/>
        <v>0</v>
      </c>
      <c r="Q143" s="3">
        <f t="shared" si="16"/>
        <v>15</v>
      </c>
      <c r="R143" s="3">
        <f t="shared" si="17"/>
        <v>664.3900000000001</v>
      </c>
      <c r="S143" s="24" t="s">
        <v>1334</v>
      </c>
      <c r="T143" s="24" t="s">
        <v>1334</v>
      </c>
      <c r="U143" s="3"/>
      <c r="V143" s="25" t="s">
        <v>8277</v>
      </c>
      <c r="W143" s="25">
        <v>20550372640</v>
      </c>
      <c r="X143" s="25" t="str">
        <f>IFERROR(VLOOKUP(C_Ope_004[[#This Row],[nota_2]],Clientes_Proveedores[[Ruc / Dni]:[Razon Social]],2,0),"")</f>
        <v>RUTAS DE LIMA S.A.C.</v>
      </c>
      <c r="Y143" s="25"/>
      <c r="Z143" s="103"/>
      <c r="AA143" s="3" t="str">
        <f>IF(C_Ope_004[[#This Row],[fecha]]&gt;0,TEXT(C_Ope_004[[#This Row],[fecha]],"mmmm"),0)</f>
        <v>Mayo</v>
      </c>
      <c r="AB143" s="49"/>
    </row>
    <row r="144" spans="1:28" ht="24" x14ac:dyDescent="0.3">
      <c r="A144" s="2">
        <f>IF(C_Ope_004[[#This Row],[tipo_r]]="R",COUNTIFS($C$1:$C143,"R")+1,"")</f>
        <v>143</v>
      </c>
      <c r="B144" s="19" t="str">
        <f t="shared" si="18"/>
        <v>C_Ope_004</v>
      </c>
      <c r="C144" s="3" t="s">
        <v>1330</v>
      </c>
      <c r="D144" s="14">
        <v>45793</v>
      </c>
      <c r="E144" s="5" t="s">
        <v>8466</v>
      </c>
      <c r="F144" s="5" t="s">
        <v>1336</v>
      </c>
      <c r="G144" s="6" t="s">
        <v>979</v>
      </c>
      <c r="H144" s="6" t="s">
        <v>68</v>
      </c>
      <c r="I144" s="6" t="s">
        <v>8468</v>
      </c>
      <c r="J144" s="6">
        <v>3144259</v>
      </c>
      <c r="K144" s="7" t="s">
        <v>8487</v>
      </c>
      <c r="L144" s="8">
        <v>24216</v>
      </c>
      <c r="M144" s="8" t="str">
        <f t="shared" si="14"/>
        <v>PEN</v>
      </c>
      <c r="N144" s="13"/>
      <c r="O144" s="13">
        <v>15</v>
      </c>
      <c r="P144" s="3">
        <f t="shared" si="15"/>
        <v>0</v>
      </c>
      <c r="Q144" s="3">
        <f t="shared" si="16"/>
        <v>15</v>
      </c>
      <c r="R144" s="3">
        <f t="shared" si="17"/>
        <v>649.3900000000001</v>
      </c>
      <c r="S144" s="24" t="s">
        <v>1334</v>
      </c>
      <c r="T144" s="24" t="s">
        <v>1334</v>
      </c>
      <c r="U144" s="3"/>
      <c r="V144" s="25" t="s">
        <v>8277</v>
      </c>
      <c r="W144" s="25">
        <v>20550372640</v>
      </c>
      <c r="X144" s="25" t="str">
        <f>IFERROR(VLOOKUP(C_Ope_004[[#This Row],[nota_2]],Clientes_Proveedores[[Ruc / Dni]:[Razon Social]],2,0),"")</f>
        <v>RUTAS DE LIMA S.A.C.</v>
      </c>
      <c r="Y144" s="25"/>
      <c r="Z144" s="103"/>
      <c r="AA144" s="3" t="str">
        <f>IF(C_Ope_004[[#This Row],[fecha]]&gt;0,TEXT(C_Ope_004[[#This Row],[fecha]],"mmmm"),0)</f>
        <v>Mayo</v>
      </c>
      <c r="AB144" s="49"/>
    </row>
    <row r="145" spans="1:28" ht="24" x14ac:dyDescent="0.3">
      <c r="A145" s="2">
        <f>IF(C_Ope_004[[#This Row],[tipo_r]]="R",COUNTIFS($C$1:$C144,"R")+1,"")</f>
        <v>144</v>
      </c>
      <c r="B145" s="19" t="str">
        <f t="shared" si="18"/>
        <v>C_Ope_004</v>
      </c>
      <c r="C145" s="3" t="s">
        <v>1330</v>
      </c>
      <c r="D145" s="14">
        <v>45789</v>
      </c>
      <c r="E145" s="5" t="s">
        <v>8466</v>
      </c>
      <c r="F145" s="5" t="s">
        <v>1336</v>
      </c>
      <c r="G145" s="6" t="s">
        <v>735</v>
      </c>
      <c r="H145" s="6" t="s">
        <v>68</v>
      </c>
      <c r="I145" s="6" t="s">
        <v>3078</v>
      </c>
      <c r="J145" s="6">
        <v>40995</v>
      </c>
      <c r="K145" s="7" t="s">
        <v>8485</v>
      </c>
      <c r="L145" s="8">
        <v>24193</v>
      </c>
      <c r="M145" s="8" t="str">
        <f t="shared" si="14"/>
        <v>PEN</v>
      </c>
      <c r="N145" s="13"/>
      <c r="O145" s="13">
        <v>40</v>
      </c>
      <c r="P145" s="3">
        <f t="shared" si="15"/>
        <v>0</v>
      </c>
      <c r="Q145" s="3">
        <f t="shared" si="16"/>
        <v>40</v>
      </c>
      <c r="R145" s="3">
        <f t="shared" si="17"/>
        <v>609.3900000000001</v>
      </c>
      <c r="S145" s="24" t="s">
        <v>1334</v>
      </c>
      <c r="T145" s="24" t="s">
        <v>1334</v>
      </c>
      <c r="U145" s="3"/>
      <c r="V145" s="25" t="s">
        <v>8277</v>
      </c>
      <c r="W145" s="25">
        <v>20514148539</v>
      </c>
      <c r="X145" s="25" t="str">
        <f>IFERROR(VLOOKUP(C_Ope_004[[#This Row],[nota_2]],Clientes_Proveedores[[Ruc / Dni]:[Razon Social]],2,0),"")</f>
        <v>NEGOCIACIONES ABBYCORP E.I.R.L.</v>
      </c>
      <c r="Y145" s="25"/>
      <c r="Z145" s="103"/>
      <c r="AA145" s="3" t="str">
        <f>IF(C_Ope_004[[#This Row],[fecha]]&gt;0,TEXT(C_Ope_004[[#This Row],[fecha]],"mmmm"),0)</f>
        <v>Mayo</v>
      </c>
      <c r="AB145" s="49"/>
    </row>
    <row r="146" spans="1:28" ht="24" x14ac:dyDescent="0.3">
      <c r="A146" s="2">
        <f>IF(C_Ope_004[[#This Row],[tipo_r]]="R",COUNTIFS($C$1:$C145,"R")+1,"")</f>
        <v>145</v>
      </c>
      <c r="B146" s="19" t="str">
        <f t="shared" si="18"/>
        <v>C_Ope_004</v>
      </c>
      <c r="C146" s="3" t="s">
        <v>1330</v>
      </c>
      <c r="D146" s="14">
        <v>45796</v>
      </c>
      <c r="E146" s="5" t="s">
        <v>8466</v>
      </c>
      <c r="F146" s="5" t="s">
        <v>1336</v>
      </c>
      <c r="G146" s="6" t="s">
        <v>979</v>
      </c>
      <c r="H146" s="6" t="s">
        <v>68</v>
      </c>
      <c r="I146" s="6" t="s">
        <v>8477</v>
      </c>
      <c r="J146" s="6">
        <v>1236558</v>
      </c>
      <c r="K146" s="7" t="s">
        <v>8278</v>
      </c>
      <c r="L146" s="8">
        <v>24233</v>
      </c>
      <c r="M146" s="8" t="str">
        <f t="shared" si="14"/>
        <v>PEN</v>
      </c>
      <c r="N146" s="13"/>
      <c r="O146" s="13">
        <v>15</v>
      </c>
      <c r="P146" s="3">
        <f t="shared" si="15"/>
        <v>0</v>
      </c>
      <c r="Q146" s="3">
        <f t="shared" si="16"/>
        <v>15</v>
      </c>
      <c r="R146" s="3">
        <f t="shared" si="17"/>
        <v>594.3900000000001</v>
      </c>
      <c r="S146" s="24" t="s">
        <v>1334</v>
      </c>
      <c r="T146" s="24" t="s">
        <v>1334</v>
      </c>
      <c r="U146" s="3"/>
      <c r="V146" s="25" t="s">
        <v>8277</v>
      </c>
      <c r="W146" s="25">
        <v>20550372640</v>
      </c>
      <c r="X146" s="25" t="str">
        <f>IFERROR(VLOOKUP(C_Ope_004[[#This Row],[nota_2]],Clientes_Proveedores[[Ruc / Dni]:[Razon Social]],2,0),"")</f>
        <v>RUTAS DE LIMA S.A.C.</v>
      </c>
      <c r="Y146" s="25"/>
      <c r="Z146" s="103"/>
      <c r="AA146" s="3" t="str">
        <f>IF(C_Ope_004[[#This Row],[fecha]]&gt;0,TEXT(C_Ope_004[[#This Row],[fecha]],"mmmm"),0)</f>
        <v>Mayo</v>
      </c>
      <c r="AB146" s="49"/>
    </row>
    <row r="147" spans="1:28" ht="24" x14ac:dyDescent="0.3">
      <c r="A147" s="2">
        <f>IF(C_Ope_004[[#This Row],[tipo_r]]="R",COUNTIFS($C$1:$C146,"R")+1,"")</f>
        <v>146</v>
      </c>
      <c r="B147" s="19" t="str">
        <f t="shared" si="18"/>
        <v>C_Ope_004</v>
      </c>
      <c r="C147" s="3" t="s">
        <v>1330</v>
      </c>
      <c r="D147" s="14">
        <v>45796</v>
      </c>
      <c r="E147" s="5" t="s">
        <v>8466</v>
      </c>
      <c r="F147" s="5" t="s">
        <v>1336</v>
      </c>
      <c r="G147" s="6" t="s">
        <v>979</v>
      </c>
      <c r="H147" s="6" t="s">
        <v>68</v>
      </c>
      <c r="I147" s="6" t="s">
        <v>8468</v>
      </c>
      <c r="J147" s="6">
        <v>3146641</v>
      </c>
      <c r="K147" s="7" t="s">
        <v>8276</v>
      </c>
      <c r="L147" s="8">
        <v>24234</v>
      </c>
      <c r="M147" s="8" t="str">
        <f t="shared" si="14"/>
        <v>PEN</v>
      </c>
      <c r="N147" s="13"/>
      <c r="O147" s="13">
        <v>15</v>
      </c>
      <c r="P147" s="3">
        <f t="shared" si="15"/>
        <v>0</v>
      </c>
      <c r="Q147" s="3">
        <f t="shared" si="16"/>
        <v>15</v>
      </c>
      <c r="R147" s="3">
        <f t="shared" si="17"/>
        <v>579.3900000000001</v>
      </c>
      <c r="S147" s="24" t="s">
        <v>1334</v>
      </c>
      <c r="T147" s="24" t="s">
        <v>1334</v>
      </c>
      <c r="U147" s="3"/>
      <c r="V147" s="25" t="s">
        <v>8277</v>
      </c>
      <c r="W147" s="25">
        <v>20550372640</v>
      </c>
      <c r="X147" s="25" t="str">
        <f>IFERROR(VLOOKUP(C_Ope_004[[#This Row],[nota_2]],Clientes_Proveedores[[Ruc / Dni]:[Razon Social]],2,0),"")</f>
        <v>RUTAS DE LIMA S.A.C.</v>
      </c>
      <c r="Y147" s="25"/>
      <c r="Z147" s="103"/>
      <c r="AA147" s="3" t="str">
        <f>IF(C_Ope_004[[#This Row],[fecha]]&gt;0,TEXT(C_Ope_004[[#This Row],[fecha]],"mmmm"),0)</f>
        <v>Mayo</v>
      </c>
      <c r="AB147" s="49"/>
    </row>
    <row r="148" spans="1:28" ht="24" x14ac:dyDescent="0.3">
      <c r="A148" s="2">
        <f>IF(C_Ope_004[[#This Row],[tipo_r]]="R",COUNTIFS($C$1:$C147,"R")+1,"")</f>
        <v>147</v>
      </c>
      <c r="B148" s="19" t="str">
        <f t="shared" si="18"/>
        <v>C_Ope_004</v>
      </c>
      <c r="C148" s="3" t="s">
        <v>1330</v>
      </c>
      <c r="D148" s="14">
        <v>45798</v>
      </c>
      <c r="E148" s="5" t="s">
        <v>8466</v>
      </c>
      <c r="F148" s="5" t="s">
        <v>1336</v>
      </c>
      <c r="G148" s="6" t="s">
        <v>979</v>
      </c>
      <c r="H148" s="6" t="s">
        <v>68</v>
      </c>
      <c r="I148" s="6" t="s">
        <v>6389</v>
      </c>
      <c r="J148" s="6">
        <v>3744139</v>
      </c>
      <c r="K148" s="7" t="s">
        <v>8471</v>
      </c>
      <c r="L148" s="8">
        <v>24235</v>
      </c>
      <c r="M148" s="8" t="str">
        <f t="shared" si="14"/>
        <v>PEN</v>
      </c>
      <c r="N148" s="13"/>
      <c r="O148" s="13">
        <v>15</v>
      </c>
      <c r="P148" s="3">
        <f t="shared" si="15"/>
        <v>0</v>
      </c>
      <c r="Q148" s="3">
        <f t="shared" si="16"/>
        <v>15</v>
      </c>
      <c r="R148" s="3">
        <f t="shared" si="17"/>
        <v>564.3900000000001</v>
      </c>
      <c r="S148" s="24" t="s">
        <v>1334</v>
      </c>
      <c r="T148" s="24" t="s">
        <v>1334</v>
      </c>
      <c r="U148" s="3"/>
      <c r="V148" s="25" t="s">
        <v>8277</v>
      </c>
      <c r="W148" s="25">
        <v>20550372640</v>
      </c>
      <c r="X148" s="25" t="str">
        <f>IFERROR(VLOOKUP(C_Ope_004[[#This Row],[nota_2]],Clientes_Proveedores[[Ruc / Dni]:[Razon Social]],2,0),"")</f>
        <v>RUTAS DE LIMA S.A.C.</v>
      </c>
      <c r="Y148" s="25"/>
      <c r="Z148" s="103"/>
      <c r="AA148" s="3" t="str">
        <f>IF(C_Ope_004[[#This Row],[fecha]]&gt;0,TEXT(C_Ope_004[[#This Row],[fecha]],"mmmm"),0)</f>
        <v>Mayo</v>
      </c>
      <c r="AB148" s="49"/>
    </row>
    <row r="149" spans="1:28" ht="24" x14ac:dyDescent="0.3">
      <c r="A149" s="2">
        <f>IF(C_Ope_004[[#This Row],[tipo_r]]="R",COUNTIFS($C$1:$C148,"R")+1,"")</f>
        <v>148</v>
      </c>
      <c r="B149" s="19" t="str">
        <f t="shared" si="18"/>
        <v>C_Ope_004</v>
      </c>
      <c r="C149" s="3" t="s">
        <v>1330</v>
      </c>
      <c r="D149" s="14">
        <v>45798</v>
      </c>
      <c r="E149" s="5" t="s">
        <v>8466</v>
      </c>
      <c r="F149" s="5" t="s">
        <v>1336</v>
      </c>
      <c r="G149" s="6" t="s">
        <v>979</v>
      </c>
      <c r="H149" s="6" t="s">
        <v>68</v>
      </c>
      <c r="I149" s="6" t="s">
        <v>8256</v>
      </c>
      <c r="J149" s="6">
        <v>586004</v>
      </c>
      <c r="K149" s="7" t="s">
        <v>8487</v>
      </c>
      <c r="L149" s="8">
        <v>24238</v>
      </c>
      <c r="M149" s="8" t="str">
        <f t="shared" si="14"/>
        <v>PEN</v>
      </c>
      <c r="N149" s="13"/>
      <c r="O149" s="13">
        <v>15</v>
      </c>
      <c r="P149" s="3">
        <f t="shared" si="15"/>
        <v>0</v>
      </c>
      <c r="Q149" s="3">
        <f t="shared" si="16"/>
        <v>15</v>
      </c>
      <c r="R149" s="3">
        <f t="shared" si="17"/>
        <v>549.3900000000001</v>
      </c>
      <c r="S149" s="24" t="s">
        <v>1334</v>
      </c>
      <c r="T149" s="24" t="s">
        <v>1334</v>
      </c>
      <c r="U149" s="3"/>
      <c r="V149" s="25" t="s">
        <v>8277</v>
      </c>
      <c r="W149" s="25">
        <v>20550372640</v>
      </c>
      <c r="X149" s="25" t="str">
        <f>IFERROR(VLOOKUP(C_Ope_004[[#This Row],[nota_2]],Clientes_Proveedores[[Ruc / Dni]:[Razon Social]],2,0),"")</f>
        <v>RUTAS DE LIMA S.A.C.</v>
      </c>
      <c r="Y149" s="25"/>
      <c r="Z149" s="103"/>
      <c r="AA149" s="3" t="str">
        <f>IF(C_Ope_004[[#This Row],[fecha]]&gt;0,TEXT(C_Ope_004[[#This Row],[fecha]],"mmmm"),0)</f>
        <v>Mayo</v>
      </c>
      <c r="AB149" s="49"/>
    </row>
    <row r="150" spans="1:28" ht="24" x14ac:dyDescent="0.3">
      <c r="A150" s="2">
        <f>IF(C_Ope_004[[#This Row],[tipo_r]]="R",COUNTIFS($C$1:$C149,"R")+1,"")</f>
        <v>149</v>
      </c>
      <c r="B150" s="19" t="str">
        <f t="shared" si="18"/>
        <v>C_Ope_004</v>
      </c>
      <c r="C150" s="3" t="s">
        <v>1330</v>
      </c>
      <c r="D150" s="14">
        <v>45803</v>
      </c>
      <c r="E150" s="5" t="s">
        <v>8466</v>
      </c>
      <c r="F150" s="5" t="s">
        <v>1336</v>
      </c>
      <c r="G150" s="6" t="s">
        <v>979</v>
      </c>
      <c r="H150" s="6" t="s">
        <v>68</v>
      </c>
      <c r="I150" s="6" t="s">
        <v>6203</v>
      </c>
      <c r="J150" s="6">
        <v>2195054</v>
      </c>
      <c r="K150" s="7" t="s">
        <v>8471</v>
      </c>
      <c r="L150" s="8">
        <v>24353</v>
      </c>
      <c r="M150" s="8" t="str">
        <f t="shared" si="14"/>
        <v>PEN</v>
      </c>
      <c r="N150" s="13"/>
      <c r="O150" s="13">
        <v>15</v>
      </c>
      <c r="P150" s="3">
        <f t="shared" si="15"/>
        <v>0</v>
      </c>
      <c r="Q150" s="3">
        <f t="shared" si="16"/>
        <v>15</v>
      </c>
      <c r="R150" s="3">
        <f t="shared" si="17"/>
        <v>534.3900000000001</v>
      </c>
      <c r="S150" s="24" t="s">
        <v>1334</v>
      </c>
      <c r="T150" s="24" t="s">
        <v>1334</v>
      </c>
      <c r="U150" s="3"/>
      <c r="V150" s="25" t="s">
        <v>8277</v>
      </c>
      <c r="W150" s="25">
        <v>20550372640</v>
      </c>
      <c r="X150" s="25" t="str">
        <f>IFERROR(VLOOKUP(C_Ope_004[[#This Row],[nota_2]],Clientes_Proveedores[[Ruc / Dni]:[Razon Social]],2,0),"")</f>
        <v>RUTAS DE LIMA S.A.C.</v>
      </c>
      <c r="Y150" s="25"/>
      <c r="Z150" s="103"/>
      <c r="AA150" s="3" t="str">
        <f>IF(C_Ope_004[[#This Row],[fecha]]&gt;0,TEXT(C_Ope_004[[#This Row],[fecha]],"mmmm"),0)</f>
        <v>Mayo</v>
      </c>
      <c r="AB150" s="49"/>
    </row>
    <row r="151" spans="1:28" ht="24" x14ac:dyDescent="0.3">
      <c r="A151" s="2">
        <f>IF(C_Ope_004[[#This Row],[tipo_r]]="R",COUNTIFS($C$1:$C150,"R")+1,"")</f>
        <v>150</v>
      </c>
      <c r="B151" s="19" t="str">
        <f t="shared" si="18"/>
        <v>C_Ope_004</v>
      </c>
      <c r="C151" s="3" t="s">
        <v>1330</v>
      </c>
      <c r="D151" s="14">
        <v>45803</v>
      </c>
      <c r="E151" s="5" t="s">
        <v>8466</v>
      </c>
      <c r="F151" s="5" t="s">
        <v>1336</v>
      </c>
      <c r="G151" s="6" t="s">
        <v>979</v>
      </c>
      <c r="H151" s="6" t="s">
        <v>68</v>
      </c>
      <c r="I151" s="6" t="s">
        <v>8434</v>
      </c>
      <c r="J151" s="6">
        <v>3714602</v>
      </c>
      <c r="K151" s="7" t="s">
        <v>8487</v>
      </c>
      <c r="L151" s="8">
        <v>24354</v>
      </c>
      <c r="M151" s="8" t="str">
        <f t="shared" si="14"/>
        <v>PEN</v>
      </c>
      <c r="N151" s="13"/>
      <c r="O151" s="13">
        <v>15</v>
      </c>
      <c r="P151" s="3">
        <f t="shared" si="15"/>
        <v>0</v>
      </c>
      <c r="Q151" s="3">
        <f t="shared" si="16"/>
        <v>15</v>
      </c>
      <c r="R151" s="3">
        <f t="shared" si="17"/>
        <v>519.3900000000001</v>
      </c>
      <c r="S151" s="24" t="s">
        <v>1334</v>
      </c>
      <c r="T151" s="24" t="s">
        <v>1334</v>
      </c>
      <c r="U151" s="3"/>
      <c r="V151" s="25" t="s">
        <v>8277</v>
      </c>
      <c r="W151" s="25">
        <v>20550372640</v>
      </c>
      <c r="X151" s="25" t="str">
        <f>IFERROR(VLOOKUP(C_Ope_004[[#This Row],[nota_2]],Clientes_Proveedores[[Ruc / Dni]:[Razon Social]],2,0),"")</f>
        <v>RUTAS DE LIMA S.A.C.</v>
      </c>
      <c r="Y151" s="25"/>
      <c r="Z151" s="103"/>
      <c r="AA151" s="3" t="str">
        <f>IF(C_Ope_004[[#This Row],[fecha]]&gt;0,TEXT(C_Ope_004[[#This Row],[fecha]],"mmmm"),0)</f>
        <v>Mayo</v>
      </c>
      <c r="AB151" s="49"/>
    </row>
    <row r="152" spans="1:28" ht="24" x14ac:dyDescent="0.3">
      <c r="A152" s="2">
        <f>IF(C_Ope_004[[#This Row],[tipo_r]]="R",COUNTIFS($C$1:$C151,"R")+1,"")</f>
        <v>151</v>
      </c>
      <c r="B152" s="19" t="str">
        <f t="shared" si="18"/>
        <v>C_Ope_004</v>
      </c>
      <c r="C152" s="3" t="s">
        <v>1330</v>
      </c>
      <c r="D152" s="14">
        <v>45806</v>
      </c>
      <c r="E152" s="5" t="s">
        <v>8466</v>
      </c>
      <c r="F152" s="5" t="s">
        <v>1336</v>
      </c>
      <c r="G152" s="6" t="s">
        <v>979</v>
      </c>
      <c r="H152" s="6" t="s">
        <v>68</v>
      </c>
      <c r="I152" s="6" t="s">
        <v>5627</v>
      </c>
      <c r="J152" s="6">
        <v>1158992</v>
      </c>
      <c r="K152" s="7" t="s">
        <v>8471</v>
      </c>
      <c r="L152" s="8">
        <v>24355</v>
      </c>
      <c r="M152" s="8" t="str">
        <f t="shared" si="14"/>
        <v>PEN</v>
      </c>
      <c r="N152" s="13"/>
      <c r="O152" s="13">
        <v>15</v>
      </c>
      <c r="P152" s="3">
        <f t="shared" si="15"/>
        <v>0</v>
      </c>
      <c r="Q152" s="3">
        <f t="shared" si="16"/>
        <v>15</v>
      </c>
      <c r="R152" s="3">
        <f t="shared" si="17"/>
        <v>504.3900000000001</v>
      </c>
      <c r="S152" s="24" t="s">
        <v>1334</v>
      </c>
      <c r="T152" s="24" t="s">
        <v>1334</v>
      </c>
      <c r="U152" s="3"/>
      <c r="V152" s="25" t="s">
        <v>8277</v>
      </c>
      <c r="W152" s="25">
        <v>20550372640</v>
      </c>
      <c r="X152" s="25" t="str">
        <f>IFERROR(VLOOKUP(C_Ope_004[[#This Row],[nota_2]],Clientes_Proveedores[[Ruc / Dni]:[Razon Social]],2,0),"")</f>
        <v>RUTAS DE LIMA S.A.C.</v>
      </c>
      <c r="Y152" s="25"/>
      <c r="Z152" s="103"/>
      <c r="AA152" s="3" t="str">
        <f>IF(C_Ope_004[[#This Row],[fecha]]&gt;0,TEXT(C_Ope_004[[#This Row],[fecha]],"mmmm"),0)</f>
        <v>Mayo</v>
      </c>
      <c r="AB152" s="49"/>
    </row>
    <row r="153" spans="1:28" ht="24" x14ac:dyDescent="0.3">
      <c r="A153" s="2">
        <f>IF(C_Ope_004[[#This Row],[tipo_r]]="R",COUNTIFS($C$1:$C152,"R")+1,"")</f>
        <v>152</v>
      </c>
      <c r="B153" s="19" t="str">
        <f t="shared" si="18"/>
        <v>C_Ope_004</v>
      </c>
      <c r="C153" s="3" t="s">
        <v>1330</v>
      </c>
      <c r="D153" s="14">
        <v>45806</v>
      </c>
      <c r="E153" s="5" t="s">
        <v>8466</v>
      </c>
      <c r="F153" s="5" t="s">
        <v>1336</v>
      </c>
      <c r="G153" s="6" t="s">
        <v>979</v>
      </c>
      <c r="H153" s="6" t="s">
        <v>68</v>
      </c>
      <c r="I153" s="6" t="s">
        <v>8480</v>
      </c>
      <c r="J153" s="6">
        <v>1550770</v>
      </c>
      <c r="K153" s="7" t="s">
        <v>8487</v>
      </c>
      <c r="L153" s="8">
        <v>24356</v>
      </c>
      <c r="M153" s="8" t="str">
        <f t="shared" si="14"/>
        <v>PEN</v>
      </c>
      <c r="N153" s="13"/>
      <c r="O153" s="13">
        <v>15</v>
      </c>
      <c r="P153" s="3">
        <f t="shared" si="15"/>
        <v>0</v>
      </c>
      <c r="Q153" s="3">
        <f t="shared" si="16"/>
        <v>15</v>
      </c>
      <c r="R153" s="3">
        <f t="shared" si="17"/>
        <v>489.3900000000001</v>
      </c>
      <c r="S153" s="24" t="s">
        <v>1334</v>
      </c>
      <c r="T153" s="24" t="s">
        <v>1334</v>
      </c>
      <c r="U153" s="3"/>
      <c r="V153" s="25" t="s">
        <v>8277</v>
      </c>
      <c r="W153" s="25">
        <v>20550372640</v>
      </c>
      <c r="X153" s="25" t="str">
        <f>IFERROR(VLOOKUP(C_Ope_004[[#This Row],[nota_2]],Clientes_Proveedores[[Ruc / Dni]:[Razon Social]],2,0),"")</f>
        <v>RUTAS DE LIMA S.A.C.</v>
      </c>
      <c r="Y153" s="25"/>
      <c r="Z153" s="103"/>
      <c r="AA153" s="3" t="str">
        <f>IF(C_Ope_004[[#This Row],[fecha]]&gt;0,TEXT(C_Ope_004[[#This Row],[fecha]],"mmmm"),0)</f>
        <v>Mayo</v>
      </c>
      <c r="AB153" s="49"/>
    </row>
    <row r="154" spans="1:28" ht="24" x14ac:dyDescent="0.3">
      <c r="A154" s="2">
        <f>IF(C_Ope_004[[#This Row],[tipo_r]]="R",COUNTIFS($C$1:$C153,"R")+1,"")</f>
        <v>153</v>
      </c>
      <c r="B154" s="19" t="str">
        <f t="shared" si="18"/>
        <v>C_Ope_004</v>
      </c>
      <c r="C154" s="3" t="s">
        <v>1330</v>
      </c>
      <c r="D154" s="14">
        <v>45807</v>
      </c>
      <c r="E154" s="5" t="s">
        <v>8466</v>
      </c>
      <c r="F154" s="5" t="s">
        <v>1336</v>
      </c>
      <c r="G154" s="6" t="s">
        <v>735</v>
      </c>
      <c r="H154" s="6" t="s">
        <v>68</v>
      </c>
      <c r="I154" s="6" t="s">
        <v>3078</v>
      </c>
      <c r="J154" s="6">
        <v>41324</v>
      </c>
      <c r="K154" s="7" t="s">
        <v>8485</v>
      </c>
      <c r="L154" s="8">
        <v>24366</v>
      </c>
      <c r="M154" s="8" t="str">
        <f t="shared" si="14"/>
        <v>PEN</v>
      </c>
      <c r="N154" s="13"/>
      <c r="O154" s="13">
        <v>55</v>
      </c>
      <c r="P154" s="3">
        <f t="shared" si="15"/>
        <v>0</v>
      </c>
      <c r="Q154" s="3">
        <f t="shared" si="16"/>
        <v>55</v>
      </c>
      <c r="R154" s="3">
        <f t="shared" si="17"/>
        <v>434.3900000000001</v>
      </c>
      <c r="S154" s="24" t="s">
        <v>1334</v>
      </c>
      <c r="T154" s="24" t="s">
        <v>1334</v>
      </c>
      <c r="U154" s="3"/>
      <c r="V154" s="25" t="s">
        <v>8277</v>
      </c>
      <c r="W154" s="25">
        <v>20514148539</v>
      </c>
      <c r="X154" s="25" t="str">
        <f>IFERROR(VLOOKUP(C_Ope_004[[#This Row],[nota_2]],Clientes_Proveedores[[Ruc / Dni]:[Razon Social]],2,0),"")</f>
        <v>NEGOCIACIONES ABBYCORP E.I.R.L.</v>
      </c>
      <c r="Y154" s="25"/>
      <c r="Z154" s="103"/>
      <c r="AA154" s="3" t="str">
        <f>IF(C_Ope_004[[#This Row],[fecha]]&gt;0,TEXT(C_Ope_004[[#This Row],[fecha]],"mmmm"),0)</f>
        <v>Mayo</v>
      </c>
      <c r="AB154" s="49"/>
    </row>
    <row r="155" spans="1:28" ht="24" x14ac:dyDescent="0.3">
      <c r="A155" s="2">
        <f>IF(C_Ope_004[[#This Row],[tipo_r]]="R",COUNTIFS($C$1:$C154,"R")+1,"")</f>
        <v>154</v>
      </c>
      <c r="B155" s="19" t="str">
        <f t="shared" si="18"/>
        <v>C_Ope_004</v>
      </c>
      <c r="C155" s="3" t="s">
        <v>1330</v>
      </c>
      <c r="D155" s="14">
        <v>45811</v>
      </c>
      <c r="E155" s="5" t="s">
        <v>8466</v>
      </c>
      <c r="F155" s="5" t="s">
        <v>1336</v>
      </c>
      <c r="G155" s="6" t="s">
        <v>979</v>
      </c>
      <c r="H155" s="6" t="s">
        <v>68</v>
      </c>
      <c r="I155" s="6" t="s">
        <v>8477</v>
      </c>
      <c r="J155" s="6">
        <v>1245176</v>
      </c>
      <c r="K155" s="7" t="s">
        <v>8278</v>
      </c>
      <c r="L155" s="8">
        <v>24465</v>
      </c>
      <c r="M155" s="8" t="str">
        <f t="shared" si="14"/>
        <v>PEN</v>
      </c>
      <c r="N155" s="13"/>
      <c r="O155" s="13">
        <v>15</v>
      </c>
      <c r="P155" s="3">
        <f t="shared" si="15"/>
        <v>0</v>
      </c>
      <c r="Q155" s="3">
        <f t="shared" si="16"/>
        <v>15</v>
      </c>
      <c r="R155" s="3">
        <f t="shared" si="17"/>
        <v>419.3900000000001</v>
      </c>
      <c r="S155" s="24" t="s">
        <v>1334</v>
      </c>
      <c r="T155" s="24" t="s">
        <v>1334</v>
      </c>
      <c r="U155" s="3"/>
      <c r="V155" s="25" t="s">
        <v>8277</v>
      </c>
      <c r="W155" s="25">
        <v>20550372640</v>
      </c>
      <c r="X155" s="25" t="str">
        <f>IFERROR(VLOOKUP(C_Ope_004[[#This Row],[nota_2]],Clientes_Proveedores[[Ruc / Dni]:[Razon Social]],2,0),"")</f>
        <v>RUTAS DE LIMA S.A.C.</v>
      </c>
      <c r="Y155" s="25"/>
      <c r="Z155" s="103"/>
      <c r="AA155" s="3" t="str">
        <f>IF(C_Ope_004[[#This Row],[fecha]]&gt;0,TEXT(C_Ope_004[[#This Row],[fecha]],"mmmm"),0)</f>
        <v>Junio</v>
      </c>
      <c r="AB155" s="49"/>
    </row>
    <row r="156" spans="1:28" ht="24" x14ac:dyDescent="0.3">
      <c r="A156" s="2">
        <f>IF(C_Ope_004[[#This Row],[tipo_r]]="R",COUNTIFS($C$1:$C155,"R")+1,"")</f>
        <v>155</v>
      </c>
      <c r="B156" s="19" t="str">
        <f t="shared" si="18"/>
        <v>C_Ope_004</v>
      </c>
      <c r="C156" s="3" t="s">
        <v>1330</v>
      </c>
      <c r="D156" s="14">
        <v>45811</v>
      </c>
      <c r="E156" s="5" t="s">
        <v>8466</v>
      </c>
      <c r="F156" s="5" t="s">
        <v>1336</v>
      </c>
      <c r="G156" s="6" t="s">
        <v>979</v>
      </c>
      <c r="H156" s="6" t="s">
        <v>68</v>
      </c>
      <c r="I156" s="6" t="s">
        <v>8362</v>
      </c>
      <c r="J156" s="6">
        <v>2278917</v>
      </c>
      <c r="K156" s="7" t="s">
        <v>8276</v>
      </c>
      <c r="L156" s="8">
        <v>24466</v>
      </c>
      <c r="M156" s="8" t="str">
        <f t="shared" si="14"/>
        <v>PEN</v>
      </c>
      <c r="N156" s="13"/>
      <c r="O156" s="13">
        <v>15</v>
      </c>
      <c r="P156" s="3">
        <f t="shared" si="15"/>
        <v>0</v>
      </c>
      <c r="Q156" s="3">
        <f t="shared" si="16"/>
        <v>15</v>
      </c>
      <c r="R156" s="3">
        <f t="shared" si="17"/>
        <v>404.3900000000001</v>
      </c>
      <c r="S156" s="24" t="s">
        <v>1334</v>
      </c>
      <c r="T156" s="24" t="s">
        <v>1334</v>
      </c>
      <c r="U156" s="3"/>
      <c r="V156" s="25" t="s">
        <v>8277</v>
      </c>
      <c r="W156" s="25">
        <v>20550372640</v>
      </c>
      <c r="X156" s="25" t="str">
        <f>IFERROR(VLOOKUP(C_Ope_004[[#This Row],[nota_2]],Clientes_Proveedores[[Ruc / Dni]:[Razon Social]],2,0),"")</f>
        <v>RUTAS DE LIMA S.A.C.</v>
      </c>
      <c r="Y156" s="25"/>
      <c r="Z156" s="103"/>
      <c r="AA156" s="3" t="str">
        <f>IF(C_Ope_004[[#This Row],[fecha]]&gt;0,TEXT(C_Ope_004[[#This Row],[fecha]],"mmmm"),0)</f>
        <v>Junio</v>
      </c>
      <c r="AB156" s="49"/>
    </row>
    <row r="157" spans="1:28" ht="24" x14ac:dyDescent="0.3">
      <c r="A157" s="2">
        <f>IF(C_Ope_004[[#This Row],[tipo_r]]="R",COUNTIFS($C$1:$C156,"R")+1,"")</f>
        <v>156</v>
      </c>
      <c r="B157" s="19" t="str">
        <f t="shared" si="18"/>
        <v>C_Ope_004</v>
      </c>
      <c r="C157" s="3" t="s">
        <v>1330</v>
      </c>
      <c r="D157" s="14">
        <v>45813</v>
      </c>
      <c r="E157" s="5" t="s">
        <v>8466</v>
      </c>
      <c r="F157" s="5" t="s">
        <v>1336</v>
      </c>
      <c r="G157" s="6" t="s">
        <v>979</v>
      </c>
      <c r="H157" s="6" t="s">
        <v>68</v>
      </c>
      <c r="I157" s="6" t="s">
        <v>5627</v>
      </c>
      <c r="J157" s="6">
        <v>1162433</v>
      </c>
      <c r="K157" s="7" t="s">
        <v>8278</v>
      </c>
      <c r="L157" s="8">
        <v>24467</v>
      </c>
      <c r="M157" s="8" t="str">
        <f t="shared" si="14"/>
        <v>PEN</v>
      </c>
      <c r="N157" s="13"/>
      <c r="O157" s="13">
        <v>15</v>
      </c>
      <c r="P157" s="3">
        <f t="shared" si="15"/>
        <v>0</v>
      </c>
      <c r="Q157" s="3">
        <f t="shared" si="16"/>
        <v>15</v>
      </c>
      <c r="R157" s="3">
        <f t="shared" si="17"/>
        <v>389.3900000000001</v>
      </c>
      <c r="S157" s="24" t="s">
        <v>1334</v>
      </c>
      <c r="T157" s="24" t="s">
        <v>1334</v>
      </c>
      <c r="U157" s="3"/>
      <c r="V157" s="25" t="s">
        <v>8277</v>
      </c>
      <c r="W157" s="25">
        <v>20550372640</v>
      </c>
      <c r="X157" s="25" t="str">
        <f>IFERROR(VLOOKUP(C_Ope_004[[#This Row],[nota_2]],Clientes_Proveedores[[Ruc / Dni]:[Razon Social]],2,0),"")</f>
        <v>RUTAS DE LIMA S.A.C.</v>
      </c>
      <c r="Y157" s="25"/>
      <c r="Z157" s="103"/>
      <c r="AA157" s="3" t="str">
        <f>IF(C_Ope_004[[#This Row],[fecha]]&gt;0,TEXT(C_Ope_004[[#This Row],[fecha]],"mmmm"),0)</f>
        <v>Junio</v>
      </c>
      <c r="AB157" s="49"/>
    </row>
    <row r="158" spans="1:28" ht="24" x14ac:dyDescent="0.3">
      <c r="A158" s="2">
        <f>IF(C_Ope_004[[#This Row],[tipo_r]]="R",COUNTIFS($C$1:$C157,"R")+1,"")</f>
        <v>157</v>
      </c>
      <c r="B158" s="19" t="str">
        <f t="shared" si="18"/>
        <v>C_Ope_004</v>
      </c>
      <c r="C158" s="3" t="s">
        <v>1330</v>
      </c>
      <c r="D158" s="14">
        <v>45813</v>
      </c>
      <c r="E158" s="5" t="s">
        <v>8466</v>
      </c>
      <c r="F158" s="5" t="s">
        <v>1336</v>
      </c>
      <c r="G158" s="6" t="s">
        <v>979</v>
      </c>
      <c r="H158" s="6" t="s">
        <v>68</v>
      </c>
      <c r="I158" s="6" t="s">
        <v>8211</v>
      </c>
      <c r="J158" s="6">
        <v>3019863</v>
      </c>
      <c r="K158" s="7" t="s">
        <v>8276</v>
      </c>
      <c r="L158" s="8">
        <v>24468</v>
      </c>
      <c r="M158" s="8" t="str">
        <f t="shared" si="14"/>
        <v>PEN</v>
      </c>
      <c r="N158" s="13"/>
      <c r="O158" s="13">
        <v>15</v>
      </c>
      <c r="P158" s="3">
        <f t="shared" si="15"/>
        <v>0</v>
      </c>
      <c r="Q158" s="3">
        <f t="shared" si="16"/>
        <v>15</v>
      </c>
      <c r="R158" s="3">
        <f t="shared" si="17"/>
        <v>374.3900000000001</v>
      </c>
      <c r="S158" s="24" t="s">
        <v>1334</v>
      </c>
      <c r="T158" s="24" t="s">
        <v>1334</v>
      </c>
      <c r="U158" s="3"/>
      <c r="V158" s="25" t="s">
        <v>8277</v>
      </c>
      <c r="W158" s="25">
        <v>20550372640</v>
      </c>
      <c r="X158" s="25" t="str">
        <f>IFERROR(VLOOKUP(C_Ope_004[[#This Row],[nota_2]],Clientes_Proveedores[[Ruc / Dni]:[Razon Social]],2,0),"")</f>
        <v>RUTAS DE LIMA S.A.C.</v>
      </c>
      <c r="Y158" s="25"/>
      <c r="Z158" s="103"/>
      <c r="AA158" s="3" t="str">
        <f>IF(C_Ope_004[[#This Row],[fecha]]&gt;0,TEXT(C_Ope_004[[#This Row],[fecha]],"mmmm"),0)</f>
        <v>Junio</v>
      </c>
      <c r="AB158" s="49"/>
    </row>
    <row r="159" spans="1:28" ht="24" x14ac:dyDescent="0.3">
      <c r="A159" s="2">
        <f>IF(C_Ope_004[[#This Row],[tipo_r]]="R",COUNTIFS($C$1:$C158,"R")+1,"")</f>
        <v>158</v>
      </c>
      <c r="B159" s="19" t="str">
        <f t="shared" si="18"/>
        <v>C_Ope_004</v>
      </c>
      <c r="C159" s="3" t="s">
        <v>1330</v>
      </c>
      <c r="D159" s="14">
        <v>45817</v>
      </c>
      <c r="E159" s="5" t="s">
        <v>8466</v>
      </c>
      <c r="F159" s="5" t="s">
        <v>1336</v>
      </c>
      <c r="G159" s="6" t="s">
        <v>979</v>
      </c>
      <c r="H159" s="6" t="s">
        <v>68</v>
      </c>
      <c r="I159" s="6" t="s">
        <v>8434</v>
      </c>
      <c r="J159" s="6">
        <v>3728467</v>
      </c>
      <c r="K159" s="7" t="s">
        <v>8276</v>
      </c>
      <c r="L159" s="8">
        <v>24558</v>
      </c>
      <c r="M159" s="8" t="str">
        <f t="shared" si="14"/>
        <v>PEN</v>
      </c>
      <c r="N159" s="13"/>
      <c r="O159" s="13">
        <v>15</v>
      </c>
      <c r="P159" s="3">
        <f t="shared" si="15"/>
        <v>0</v>
      </c>
      <c r="Q159" s="3">
        <f t="shared" si="16"/>
        <v>15</v>
      </c>
      <c r="R159" s="3">
        <f t="shared" si="17"/>
        <v>359.3900000000001</v>
      </c>
      <c r="S159" s="24" t="s">
        <v>1334</v>
      </c>
      <c r="T159" s="24" t="s">
        <v>1334</v>
      </c>
      <c r="U159" s="3"/>
      <c r="V159" s="25" t="s">
        <v>8277</v>
      </c>
      <c r="W159" s="25">
        <v>20550372640</v>
      </c>
      <c r="X159" s="25" t="str">
        <f>IFERROR(VLOOKUP(C_Ope_004[[#This Row],[nota_2]],Clientes_Proveedores[[Ruc / Dni]:[Razon Social]],2,0),"")</f>
        <v>RUTAS DE LIMA S.A.C.</v>
      </c>
      <c r="Y159" s="25"/>
      <c r="Z159" s="103"/>
      <c r="AA159" s="3" t="str">
        <f>IF(C_Ope_004[[#This Row],[fecha]]&gt;0,TEXT(C_Ope_004[[#This Row],[fecha]],"mmmm"),0)</f>
        <v>Junio</v>
      </c>
      <c r="AB159" s="49"/>
    </row>
    <row r="160" spans="1:28" ht="24" x14ac:dyDescent="0.3">
      <c r="A160" s="2">
        <f>IF(C_Ope_004[[#This Row],[tipo_r]]="R",COUNTIFS($C$1:$C159,"R")+1,"")</f>
        <v>159</v>
      </c>
      <c r="B160" s="19" t="str">
        <f t="shared" si="18"/>
        <v>C_Ope_004</v>
      </c>
      <c r="C160" s="3" t="s">
        <v>1330</v>
      </c>
      <c r="D160" s="14">
        <v>45817</v>
      </c>
      <c r="E160" s="5" t="s">
        <v>8466</v>
      </c>
      <c r="F160" s="5" t="s">
        <v>1336</v>
      </c>
      <c r="G160" s="6" t="s">
        <v>979</v>
      </c>
      <c r="H160" s="6" t="s">
        <v>68</v>
      </c>
      <c r="I160" s="6" t="s">
        <v>8474</v>
      </c>
      <c r="J160" s="6">
        <v>645342</v>
      </c>
      <c r="K160" s="7" t="s">
        <v>8278</v>
      </c>
      <c r="L160" s="8">
        <v>24559</v>
      </c>
      <c r="M160" s="8" t="str">
        <f t="shared" si="14"/>
        <v>PEN</v>
      </c>
      <c r="N160" s="13"/>
      <c r="O160" s="13">
        <v>15</v>
      </c>
      <c r="P160" s="3">
        <f t="shared" si="15"/>
        <v>0</v>
      </c>
      <c r="Q160" s="3">
        <f t="shared" si="16"/>
        <v>15</v>
      </c>
      <c r="R160" s="3">
        <f t="shared" si="17"/>
        <v>344.3900000000001</v>
      </c>
      <c r="S160" s="24" t="s">
        <v>1334</v>
      </c>
      <c r="T160" s="24" t="s">
        <v>1334</v>
      </c>
      <c r="U160" s="3"/>
      <c r="V160" s="25" t="s">
        <v>8277</v>
      </c>
      <c r="W160" s="25">
        <v>20550372640</v>
      </c>
      <c r="X160" s="25" t="str">
        <f>IFERROR(VLOOKUP(C_Ope_004[[#This Row],[nota_2]],Clientes_Proveedores[[Ruc / Dni]:[Razon Social]],2,0),"")</f>
        <v>RUTAS DE LIMA S.A.C.</v>
      </c>
      <c r="Y160" s="25"/>
      <c r="Z160" s="103"/>
      <c r="AA160" s="3" t="str">
        <f>IF(C_Ope_004[[#This Row],[fecha]]&gt;0,TEXT(C_Ope_004[[#This Row],[fecha]],"mmmm"),0)</f>
        <v>Junio</v>
      </c>
      <c r="AB160" s="49"/>
    </row>
    <row r="161" spans="1:28" ht="24" x14ac:dyDescent="0.3">
      <c r="A161" s="2">
        <f>IF(C_Ope_004[[#This Row],[tipo_r]]="R",COUNTIFS($C$1:$C160,"R")+1,"")</f>
        <v>160</v>
      </c>
      <c r="B161" s="19" t="str">
        <f t="shared" si="18"/>
        <v>C_Ope_004</v>
      </c>
      <c r="C161" s="3" t="s">
        <v>1330</v>
      </c>
      <c r="D161" s="14">
        <v>45818</v>
      </c>
      <c r="E161" s="5" t="s">
        <v>8466</v>
      </c>
      <c r="F161" s="5" t="s">
        <v>1336</v>
      </c>
      <c r="G161" s="6" t="s">
        <v>979</v>
      </c>
      <c r="H161" s="6" t="s">
        <v>68</v>
      </c>
      <c r="I161" s="6" t="s">
        <v>8256</v>
      </c>
      <c r="J161" s="6">
        <v>592673</v>
      </c>
      <c r="K161" s="7" t="s">
        <v>8276</v>
      </c>
      <c r="L161" s="8">
        <v>24560</v>
      </c>
      <c r="M161" s="8" t="str">
        <f t="shared" si="14"/>
        <v>PEN</v>
      </c>
      <c r="N161" s="13"/>
      <c r="O161" s="13">
        <v>15</v>
      </c>
      <c r="P161" s="3">
        <f t="shared" si="15"/>
        <v>0</v>
      </c>
      <c r="Q161" s="3">
        <f t="shared" si="16"/>
        <v>15</v>
      </c>
      <c r="R161" s="3">
        <f t="shared" si="17"/>
        <v>329.3900000000001</v>
      </c>
      <c r="S161" s="24" t="s">
        <v>1334</v>
      </c>
      <c r="T161" s="24" t="s">
        <v>1334</v>
      </c>
      <c r="U161" s="3"/>
      <c r="V161" s="25" t="s">
        <v>8277</v>
      </c>
      <c r="W161" s="25">
        <v>20550372640</v>
      </c>
      <c r="X161" s="25" t="str">
        <f>IFERROR(VLOOKUP(C_Ope_004[[#This Row],[nota_2]],Clientes_Proveedores[[Ruc / Dni]:[Razon Social]],2,0),"")</f>
        <v>RUTAS DE LIMA S.A.C.</v>
      </c>
      <c r="Y161" s="25"/>
      <c r="Z161" s="103"/>
      <c r="AA161" s="3" t="str">
        <f>IF(C_Ope_004[[#This Row],[fecha]]&gt;0,TEXT(C_Ope_004[[#This Row],[fecha]],"mmmm"),0)</f>
        <v>Junio</v>
      </c>
      <c r="AB161" s="49"/>
    </row>
    <row r="162" spans="1:28" ht="24" x14ac:dyDescent="0.3">
      <c r="A162" s="2">
        <f>IF(C_Ope_004[[#This Row],[tipo_r]]="R",COUNTIFS($C$1:$C161,"R")+1,"")</f>
        <v>161</v>
      </c>
      <c r="B162" s="19" t="str">
        <f t="shared" si="18"/>
        <v>C_Ope_004</v>
      </c>
      <c r="C162" s="3" t="s">
        <v>1330</v>
      </c>
      <c r="D162" s="14">
        <v>45818</v>
      </c>
      <c r="E162" s="5" t="s">
        <v>8466</v>
      </c>
      <c r="F162" s="5" t="s">
        <v>1336</v>
      </c>
      <c r="G162" s="6" t="s">
        <v>979</v>
      </c>
      <c r="H162" s="6" t="s">
        <v>68</v>
      </c>
      <c r="I162" s="6" t="s">
        <v>8234</v>
      </c>
      <c r="J162" s="6">
        <v>2670444</v>
      </c>
      <c r="K162" s="7" t="s">
        <v>8278</v>
      </c>
      <c r="L162" s="8">
        <v>24561</v>
      </c>
      <c r="M162" s="8" t="str">
        <f t="shared" ref="M162:M199" si="19">"PEN"</f>
        <v>PEN</v>
      </c>
      <c r="N162" s="13"/>
      <c r="O162" s="13">
        <v>15</v>
      </c>
      <c r="P162" s="3">
        <f t="shared" si="15"/>
        <v>0</v>
      </c>
      <c r="Q162" s="3">
        <f t="shared" si="16"/>
        <v>15</v>
      </c>
      <c r="R162" s="3">
        <f t="shared" si="17"/>
        <v>314.3900000000001</v>
      </c>
      <c r="S162" s="24" t="s">
        <v>1334</v>
      </c>
      <c r="T162" s="24" t="s">
        <v>1334</v>
      </c>
      <c r="U162" s="3"/>
      <c r="V162" s="25" t="s">
        <v>8277</v>
      </c>
      <c r="W162" s="25">
        <v>20550372640</v>
      </c>
      <c r="X162" s="25" t="str">
        <f>IFERROR(VLOOKUP(C_Ope_004[[#This Row],[nota_2]],Clientes_Proveedores[[Ruc / Dni]:[Razon Social]],2,0),"")</f>
        <v>RUTAS DE LIMA S.A.C.</v>
      </c>
      <c r="Y162" s="25"/>
      <c r="Z162" s="103"/>
      <c r="AA162" s="3" t="str">
        <f>IF(C_Ope_004[[#This Row],[fecha]]&gt;0,TEXT(C_Ope_004[[#This Row],[fecha]],"mmmm"),0)</f>
        <v>Junio</v>
      </c>
      <c r="AB162" s="49"/>
    </row>
    <row r="163" spans="1:28" ht="24" x14ac:dyDescent="0.3">
      <c r="A163" s="2">
        <f>IF(C_Ope_004[[#This Row],[tipo_r]]="R",COUNTIFS($C$1:$C162,"R")+1,"")</f>
        <v>162</v>
      </c>
      <c r="B163" s="19" t="str">
        <f t="shared" ref="B163:B184" si="20">"C_Ope_004"</f>
        <v>C_Ope_004</v>
      </c>
      <c r="C163" s="3" t="s">
        <v>1330</v>
      </c>
      <c r="D163" s="14">
        <v>45820</v>
      </c>
      <c r="E163" s="5" t="s">
        <v>8466</v>
      </c>
      <c r="F163" s="5" t="s">
        <v>1336</v>
      </c>
      <c r="G163" s="6" t="s">
        <v>979</v>
      </c>
      <c r="H163" s="6" t="s">
        <v>68</v>
      </c>
      <c r="I163" s="6" t="s">
        <v>8211</v>
      </c>
      <c r="J163" s="6">
        <v>3026311</v>
      </c>
      <c r="K163" s="7" t="s">
        <v>8487</v>
      </c>
      <c r="L163" s="8">
        <v>24562</v>
      </c>
      <c r="M163" s="8" t="str">
        <f t="shared" si="19"/>
        <v>PEN</v>
      </c>
      <c r="N163" s="13"/>
      <c r="O163" s="13">
        <v>15</v>
      </c>
      <c r="P163" s="3">
        <f t="shared" si="15"/>
        <v>0</v>
      </c>
      <c r="Q163" s="3">
        <f t="shared" si="16"/>
        <v>15</v>
      </c>
      <c r="R163" s="3">
        <f t="shared" si="17"/>
        <v>299.3900000000001</v>
      </c>
      <c r="S163" s="24" t="s">
        <v>1334</v>
      </c>
      <c r="T163" s="24" t="s">
        <v>1334</v>
      </c>
      <c r="U163" s="3"/>
      <c r="V163" s="25" t="s">
        <v>8277</v>
      </c>
      <c r="W163" s="25">
        <v>20550372640</v>
      </c>
      <c r="X163" s="25" t="str">
        <f>IFERROR(VLOOKUP(C_Ope_004[[#This Row],[nota_2]],Clientes_Proveedores[[Ruc / Dni]:[Razon Social]],2,0),"")</f>
        <v>RUTAS DE LIMA S.A.C.</v>
      </c>
      <c r="Y163" s="25"/>
      <c r="Z163" s="103"/>
      <c r="AA163" s="3" t="str">
        <f>IF(C_Ope_004[[#This Row],[fecha]]&gt;0,TEXT(C_Ope_004[[#This Row],[fecha]],"mmmm"),0)</f>
        <v>Junio</v>
      </c>
      <c r="AB163" s="49"/>
    </row>
    <row r="164" spans="1:28" ht="24" x14ac:dyDescent="0.3">
      <c r="A164" s="2">
        <f>IF(C_Ope_004[[#This Row],[tipo_r]]="R",COUNTIFS($C$1:$C163,"R")+1,"")</f>
        <v>163</v>
      </c>
      <c r="B164" s="19" t="str">
        <f t="shared" si="20"/>
        <v>C_Ope_004</v>
      </c>
      <c r="C164" s="3" t="s">
        <v>1330</v>
      </c>
      <c r="D164" s="14">
        <v>45820</v>
      </c>
      <c r="E164" s="5" t="s">
        <v>8466</v>
      </c>
      <c r="F164" s="5" t="s">
        <v>1336</v>
      </c>
      <c r="G164" s="6" t="s">
        <v>979</v>
      </c>
      <c r="H164" s="6" t="s">
        <v>68</v>
      </c>
      <c r="I164" s="6" t="s">
        <v>8502</v>
      </c>
      <c r="J164" s="6">
        <v>1968965</v>
      </c>
      <c r="K164" s="7" t="s">
        <v>8471</v>
      </c>
      <c r="L164" s="8">
        <v>24563</v>
      </c>
      <c r="M164" s="8" t="str">
        <f t="shared" si="19"/>
        <v>PEN</v>
      </c>
      <c r="N164" s="13"/>
      <c r="O164" s="13">
        <v>15</v>
      </c>
      <c r="P164" s="3">
        <f t="shared" si="15"/>
        <v>0</v>
      </c>
      <c r="Q164" s="3">
        <f t="shared" si="16"/>
        <v>15</v>
      </c>
      <c r="R164" s="3">
        <f t="shared" si="17"/>
        <v>284.3900000000001</v>
      </c>
      <c r="S164" s="24" t="s">
        <v>1334</v>
      </c>
      <c r="T164" s="24" t="s">
        <v>1334</v>
      </c>
      <c r="U164" s="3"/>
      <c r="V164" s="25" t="s">
        <v>8277</v>
      </c>
      <c r="W164" s="25">
        <v>20550372640</v>
      </c>
      <c r="X164" s="25" t="str">
        <f>IFERROR(VLOOKUP(C_Ope_004[[#This Row],[nota_2]],Clientes_Proveedores[[Ruc / Dni]:[Razon Social]],2,0),"")</f>
        <v>RUTAS DE LIMA S.A.C.</v>
      </c>
      <c r="Y164" s="25"/>
      <c r="Z164" s="103"/>
      <c r="AA164" s="3" t="str">
        <f>IF(C_Ope_004[[#This Row],[fecha]]&gt;0,TEXT(C_Ope_004[[#This Row],[fecha]],"mmmm"),0)</f>
        <v>Junio</v>
      </c>
      <c r="AB164" s="49"/>
    </row>
    <row r="165" spans="1:28" ht="24" x14ac:dyDescent="0.3">
      <c r="A165" s="2">
        <f>IF(C_Ope_004[[#This Row],[tipo_r]]="R",COUNTIFS($C$1:$C164,"R")+1,"")</f>
        <v>164</v>
      </c>
      <c r="B165" s="19" t="str">
        <f t="shared" si="20"/>
        <v>C_Ope_004</v>
      </c>
      <c r="C165" s="3" t="s">
        <v>1330</v>
      </c>
      <c r="D165" s="14">
        <v>45821</v>
      </c>
      <c r="E165" s="5" t="s">
        <v>8466</v>
      </c>
      <c r="F165" s="5" t="s">
        <v>1336</v>
      </c>
      <c r="G165" s="6" t="s">
        <v>979</v>
      </c>
      <c r="H165" s="6" t="s">
        <v>68</v>
      </c>
      <c r="I165" s="6" t="s">
        <v>8474</v>
      </c>
      <c r="J165" s="6">
        <v>646487</v>
      </c>
      <c r="K165" s="7" t="s">
        <v>8278</v>
      </c>
      <c r="L165" s="8">
        <v>24571</v>
      </c>
      <c r="M165" s="8" t="str">
        <f t="shared" si="19"/>
        <v>PEN</v>
      </c>
      <c r="N165" s="13"/>
      <c r="O165" s="13">
        <v>15</v>
      </c>
      <c r="P165" s="3">
        <f t="shared" si="15"/>
        <v>0</v>
      </c>
      <c r="Q165" s="3">
        <f t="shared" si="16"/>
        <v>15</v>
      </c>
      <c r="R165" s="3">
        <f t="shared" si="17"/>
        <v>269.3900000000001</v>
      </c>
      <c r="S165" s="24" t="s">
        <v>1334</v>
      </c>
      <c r="T165" s="24" t="s">
        <v>1334</v>
      </c>
      <c r="U165" s="3"/>
      <c r="V165" s="25" t="s">
        <v>8277</v>
      </c>
      <c r="W165" s="25">
        <v>20550372640</v>
      </c>
      <c r="X165" s="25" t="str">
        <f>IFERROR(VLOOKUP(C_Ope_004[[#This Row],[nota_2]],Clientes_Proveedores[[Ruc / Dni]:[Razon Social]],2,0),"")</f>
        <v>RUTAS DE LIMA S.A.C.</v>
      </c>
      <c r="Y165" s="25"/>
      <c r="Z165" s="103"/>
      <c r="AA165" s="3" t="str">
        <f>IF(C_Ope_004[[#This Row],[fecha]]&gt;0,TEXT(C_Ope_004[[#This Row],[fecha]],"mmmm"),0)</f>
        <v>Junio</v>
      </c>
      <c r="AB165" s="49"/>
    </row>
    <row r="166" spans="1:28" ht="24" x14ac:dyDescent="0.3">
      <c r="A166" s="2">
        <f>IF(C_Ope_004[[#This Row],[tipo_r]]="R",COUNTIFS($C$1:$C165,"R")+1,"")</f>
        <v>165</v>
      </c>
      <c r="B166" s="19" t="str">
        <f t="shared" si="20"/>
        <v>C_Ope_004</v>
      </c>
      <c r="C166" s="3" t="s">
        <v>1330</v>
      </c>
      <c r="D166" s="14">
        <v>45821</v>
      </c>
      <c r="E166" s="5" t="s">
        <v>8466</v>
      </c>
      <c r="F166" s="5" t="s">
        <v>1336</v>
      </c>
      <c r="G166" s="6" t="s">
        <v>979</v>
      </c>
      <c r="H166" s="6" t="s">
        <v>68</v>
      </c>
      <c r="I166" s="6" t="s">
        <v>8256</v>
      </c>
      <c r="J166" s="6">
        <v>594139</v>
      </c>
      <c r="K166" s="7" t="s">
        <v>8276</v>
      </c>
      <c r="L166" s="8">
        <v>24572</v>
      </c>
      <c r="M166" s="8" t="str">
        <f t="shared" si="19"/>
        <v>PEN</v>
      </c>
      <c r="N166" s="13"/>
      <c r="O166" s="13">
        <v>15</v>
      </c>
      <c r="P166" s="3">
        <f t="shared" si="15"/>
        <v>0</v>
      </c>
      <c r="Q166" s="3">
        <f t="shared" si="16"/>
        <v>15</v>
      </c>
      <c r="R166" s="3">
        <f t="shared" si="17"/>
        <v>254.3900000000001</v>
      </c>
      <c r="S166" s="24" t="s">
        <v>1334</v>
      </c>
      <c r="T166" s="24" t="s">
        <v>1334</v>
      </c>
      <c r="U166" s="3"/>
      <c r="V166" s="25" t="s">
        <v>8277</v>
      </c>
      <c r="W166" s="25">
        <v>20550372640</v>
      </c>
      <c r="X166" s="25" t="str">
        <f>IFERROR(VLOOKUP(C_Ope_004[[#This Row],[nota_2]],Clientes_Proveedores[[Ruc / Dni]:[Razon Social]],2,0),"")</f>
        <v>RUTAS DE LIMA S.A.C.</v>
      </c>
      <c r="Y166" s="25"/>
      <c r="Z166" s="103"/>
      <c r="AA166" s="3" t="str">
        <f>IF(C_Ope_004[[#This Row],[fecha]]&gt;0,TEXT(C_Ope_004[[#This Row],[fecha]],"mmmm"),0)</f>
        <v>Junio</v>
      </c>
      <c r="AB166" s="49"/>
    </row>
    <row r="167" spans="1:28" ht="24" x14ac:dyDescent="0.3">
      <c r="A167" s="2">
        <f>IF(C_Ope_004[[#This Row],[tipo_r]]="R",COUNTIFS($C$1:$C166,"R")+1,"")</f>
        <v>166</v>
      </c>
      <c r="B167" s="19" t="str">
        <f t="shared" si="20"/>
        <v>C_Ope_004</v>
      </c>
      <c r="C167" s="3" t="s">
        <v>1330</v>
      </c>
      <c r="D167" s="14">
        <v>45817</v>
      </c>
      <c r="E167" s="5" t="s">
        <v>8466</v>
      </c>
      <c r="F167" s="5" t="s">
        <v>1336</v>
      </c>
      <c r="G167" s="6" t="s">
        <v>1072</v>
      </c>
      <c r="H167" s="6" t="s">
        <v>68</v>
      </c>
      <c r="I167" s="6" t="s">
        <v>1374</v>
      </c>
      <c r="J167" s="6">
        <v>7402</v>
      </c>
      <c r="K167" s="7" t="s">
        <v>8503</v>
      </c>
      <c r="L167" s="8">
        <v>24564</v>
      </c>
      <c r="M167" s="8" t="str">
        <f t="shared" si="19"/>
        <v>PEN</v>
      </c>
      <c r="N167" s="13"/>
      <c r="O167" s="13">
        <v>13</v>
      </c>
      <c r="P167" s="3">
        <f t="shared" si="15"/>
        <v>0</v>
      </c>
      <c r="Q167" s="3">
        <f t="shared" si="16"/>
        <v>13</v>
      </c>
      <c r="R167" s="3">
        <f t="shared" si="17"/>
        <v>241.3900000000001</v>
      </c>
      <c r="S167" s="24" t="s">
        <v>1334</v>
      </c>
      <c r="T167" s="24" t="s">
        <v>1334</v>
      </c>
      <c r="U167" s="3"/>
      <c r="V167" s="25" t="s">
        <v>8277</v>
      </c>
      <c r="W167" s="25">
        <v>10773382439</v>
      </c>
      <c r="X167" s="25" t="str">
        <f>IFERROR(VLOOKUP(C_Ope_004[[#This Row],[nota_2]],Clientes_Proveedores[[Ruc / Dni]:[Razon Social]],2,0),"")</f>
        <v>PAUCAR PRADO ALEXIS LORENZO</v>
      </c>
      <c r="Y167" s="25"/>
      <c r="Z167" s="103"/>
      <c r="AA167" s="3" t="str">
        <f>IF(C_Ope_004[[#This Row],[fecha]]&gt;0,TEXT(C_Ope_004[[#This Row],[fecha]],"mmmm"),0)</f>
        <v>Junio</v>
      </c>
      <c r="AB167" s="49"/>
    </row>
    <row r="168" spans="1:28" ht="24" x14ac:dyDescent="0.3">
      <c r="A168" s="2">
        <f>IF(C_Ope_004[[#This Row],[tipo_r]]="R",COUNTIFS($C$1:$C167,"R")+1,"")</f>
        <v>167</v>
      </c>
      <c r="B168" s="19" t="str">
        <f t="shared" si="20"/>
        <v>C_Ope_004</v>
      </c>
      <c r="C168" s="3" t="s">
        <v>1330</v>
      </c>
      <c r="D168" s="14">
        <v>45817</v>
      </c>
      <c r="E168" s="5" t="s">
        <v>8466</v>
      </c>
      <c r="F168" s="5" t="s">
        <v>1336</v>
      </c>
      <c r="G168" s="6" t="s">
        <v>1072</v>
      </c>
      <c r="H168" s="6" t="s">
        <v>68</v>
      </c>
      <c r="I168" s="6" t="s">
        <v>1374</v>
      </c>
      <c r="J168" s="6">
        <v>7400</v>
      </c>
      <c r="K168" s="7" t="s">
        <v>8503</v>
      </c>
      <c r="L168" s="8">
        <v>24565</v>
      </c>
      <c r="M168" s="8" t="str">
        <f t="shared" si="19"/>
        <v>PEN</v>
      </c>
      <c r="N168" s="13"/>
      <c r="O168" s="13">
        <v>13</v>
      </c>
      <c r="P168" s="3">
        <f t="shared" si="15"/>
        <v>0</v>
      </c>
      <c r="Q168" s="3">
        <f t="shared" si="16"/>
        <v>13</v>
      </c>
      <c r="R168" s="3">
        <f t="shared" si="17"/>
        <v>228.3900000000001</v>
      </c>
      <c r="S168" s="24" t="s">
        <v>1334</v>
      </c>
      <c r="T168" s="24" t="s">
        <v>1334</v>
      </c>
      <c r="U168" s="3"/>
      <c r="V168" s="25" t="s">
        <v>8277</v>
      </c>
      <c r="W168" s="25">
        <v>10773382439</v>
      </c>
      <c r="X168" s="25" t="str">
        <f>IFERROR(VLOOKUP(C_Ope_004[[#This Row],[nota_2]],Clientes_Proveedores[[Ruc / Dni]:[Razon Social]],2,0),"")</f>
        <v>PAUCAR PRADO ALEXIS LORENZO</v>
      </c>
      <c r="Y168" s="25"/>
      <c r="Z168" s="103"/>
      <c r="AA168" s="3" t="str">
        <f>IF(C_Ope_004[[#This Row],[fecha]]&gt;0,TEXT(C_Ope_004[[#This Row],[fecha]],"mmmm"),0)</f>
        <v>Junio</v>
      </c>
      <c r="AB168" s="49"/>
    </row>
    <row r="169" spans="1:28" ht="24" x14ac:dyDescent="0.3">
      <c r="A169" s="2">
        <f>IF(C_Ope_004[[#This Row],[tipo_r]]="R",COUNTIFS($C$1:$C168,"R")+1,"")</f>
        <v>168</v>
      </c>
      <c r="B169" s="19" t="str">
        <f t="shared" si="20"/>
        <v>C_Ope_004</v>
      </c>
      <c r="C169" s="3" t="s">
        <v>1330</v>
      </c>
      <c r="D169" s="14">
        <v>45817</v>
      </c>
      <c r="E169" s="5" t="s">
        <v>8466</v>
      </c>
      <c r="F169" s="5" t="s">
        <v>1336</v>
      </c>
      <c r="G169" s="6" t="s">
        <v>1072</v>
      </c>
      <c r="H169" s="6" t="s">
        <v>68</v>
      </c>
      <c r="I169" s="6" t="s">
        <v>1374</v>
      </c>
      <c r="J169" s="6">
        <v>7399</v>
      </c>
      <c r="K169" s="7" t="s">
        <v>8503</v>
      </c>
      <c r="L169" s="8">
        <v>24566</v>
      </c>
      <c r="M169" s="8" t="str">
        <f t="shared" si="19"/>
        <v>PEN</v>
      </c>
      <c r="N169" s="13"/>
      <c r="O169" s="13">
        <v>13</v>
      </c>
      <c r="P169" s="3">
        <f t="shared" si="15"/>
        <v>0</v>
      </c>
      <c r="Q169" s="3">
        <f t="shared" si="16"/>
        <v>13</v>
      </c>
      <c r="R169" s="3">
        <f t="shared" si="17"/>
        <v>215.3900000000001</v>
      </c>
      <c r="S169" s="24" t="s">
        <v>1334</v>
      </c>
      <c r="T169" s="24" t="s">
        <v>1334</v>
      </c>
      <c r="U169" s="3"/>
      <c r="V169" s="25" t="s">
        <v>8277</v>
      </c>
      <c r="W169" s="25">
        <v>10773382439</v>
      </c>
      <c r="X169" s="25" t="str">
        <f>IFERROR(VLOOKUP(C_Ope_004[[#This Row],[nota_2]],Clientes_Proveedores[[Ruc / Dni]:[Razon Social]],2,0),"")</f>
        <v>PAUCAR PRADO ALEXIS LORENZO</v>
      </c>
      <c r="Y169" s="25"/>
      <c r="Z169" s="103"/>
      <c r="AA169" s="3" t="str">
        <f>IF(C_Ope_004[[#This Row],[fecha]]&gt;0,TEXT(C_Ope_004[[#This Row],[fecha]],"mmmm"),0)</f>
        <v>Junio</v>
      </c>
      <c r="AB169" s="49"/>
    </row>
    <row r="170" spans="1:28" ht="24" x14ac:dyDescent="0.3">
      <c r="A170" s="2">
        <f>IF(C_Ope_004[[#This Row],[tipo_r]]="R",COUNTIFS($C$1:$C169,"R")+1,"")</f>
        <v>169</v>
      </c>
      <c r="B170" s="19" t="str">
        <f t="shared" si="20"/>
        <v>C_Ope_004</v>
      </c>
      <c r="C170" s="3" t="s">
        <v>1330</v>
      </c>
      <c r="D170" s="14">
        <v>45821</v>
      </c>
      <c r="E170" s="5" t="s">
        <v>8466</v>
      </c>
      <c r="F170" s="5" t="s">
        <v>1336</v>
      </c>
      <c r="G170" s="6" t="s">
        <v>1072</v>
      </c>
      <c r="H170" s="6" t="s">
        <v>68</v>
      </c>
      <c r="I170" s="6" t="s">
        <v>1374</v>
      </c>
      <c r="J170" s="6">
        <v>7445</v>
      </c>
      <c r="K170" s="7" t="s">
        <v>8503</v>
      </c>
      <c r="L170" s="8">
        <v>24573</v>
      </c>
      <c r="M170" s="8" t="str">
        <f t="shared" si="19"/>
        <v>PEN</v>
      </c>
      <c r="N170" s="13"/>
      <c r="O170" s="13">
        <v>13</v>
      </c>
      <c r="P170" s="3">
        <f t="shared" si="15"/>
        <v>0</v>
      </c>
      <c r="Q170" s="3">
        <f t="shared" si="16"/>
        <v>13</v>
      </c>
      <c r="R170" s="3">
        <f t="shared" si="17"/>
        <v>202.3900000000001</v>
      </c>
      <c r="S170" s="24" t="s">
        <v>1334</v>
      </c>
      <c r="T170" s="24" t="s">
        <v>1334</v>
      </c>
      <c r="U170" s="3"/>
      <c r="V170" s="25" t="s">
        <v>8277</v>
      </c>
      <c r="W170" s="25">
        <v>10773382439</v>
      </c>
      <c r="X170" s="25" t="str">
        <f>IFERROR(VLOOKUP(C_Ope_004[[#This Row],[nota_2]],Clientes_Proveedores[[Ruc / Dni]:[Razon Social]],2,0),"")</f>
        <v>PAUCAR PRADO ALEXIS LORENZO</v>
      </c>
      <c r="Y170" s="25"/>
      <c r="Z170" s="103"/>
      <c r="AA170" s="3" t="str">
        <f>IF(C_Ope_004[[#This Row],[fecha]]&gt;0,TEXT(C_Ope_004[[#This Row],[fecha]],"mmmm"),0)</f>
        <v>Junio</v>
      </c>
      <c r="AB170" s="49"/>
    </row>
    <row r="171" spans="1:28" ht="24" x14ac:dyDescent="0.3">
      <c r="A171" s="2">
        <f>IF(C_Ope_004[[#This Row],[tipo_r]]="R",COUNTIFS($C$1:$C170,"R")+1,"")</f>
        <v>170</v>
      </c>
      <c r="B171" s="19" t="str">
        <f t="shared" si="20"/>
        <v>C_Ope_004</v>
      </c>
      <c r="C171" s="3" t="s">
        <v>1330</v>
      </c>
      <c r="D171" s="14">
        <v>45825</v>
      </c>
      <c r="E171" s="5" t="s">
        <v>8466</v>
      </c>
      <c r="F171" s="5" t="s">
        <v>1336</v>
      </c>
      <c r="G171" s="6" t="s">
        <v>979</v>
      </c>
      <c r="H171" s="6" t="s">
        <v>68</v>
      </c>
      <c r="I171" s="6" t="s">
        <v>8501</v>
      </c>
      <c r="J171" s="6">
        <v>2181902</v>
      </c>
      <c r="K171" s="7" t="s">
        <v>8278</v>
      </c>
      <c r="L171" s="8">
        <v>24619</v>
      </c>
      <c r="M171" s="8" t="str">
        <f t="shared" si="19"/>
        <v>PEN</v>
      </c>
      <c r="N171" s="13"/>
      <c r="O171" s="13">
        <v>15</v>
      </c>
      <c r="P171" s="3">
        <f t="shared" si="15"/>
        <v>0</v>
      </c>
      <c r="Q171" s="3">
        <f t="shared" si="16"/>
        <v>15</v>
      </c>
      <c r="R171" s="3">
        <f t="shared" si="17"/>
        <v>187.3900000000001</v>
      </c>
      <c r="S171" s="24" t="s">
        <v>1334</v>
      </c>
      <c r="T171" s="24" t="s">
        <v>1334</v>
      </c>
      <c r="U171" s="3"/>
      <c r="V171" s="25" t="s">
        <v>8277</v>
      </c>
      <c r="W171" s="25">
        <v>20550372640</v>
      </c>
      <c r="X171" s="25" t="str">
        <f>IFERROR(VLOOKUP(C_Ope_004[[#This Row],[nota_2]],Clientes_Proveedores[[Ruc / Dni]:[Razon Social]],2,0),"")</f>
        <v>RUTAS DE LIMA S.A.C.</v>
      </c>
      <c r="Y171" s="25"/>
      <c r="Z171" s="103"/>
      <c r="AA171" s="3" t="str">
        <f>IF(C_Ope_004[[#This Row],[fecha]]&gt;0,TEXT(C_Ope_004[[#This Row],[fecha]],"mmmm"),0)</f>
        <v>Junio</v>
      </c>
      <c r="AB171" s="49"/>
    </row>
    <row r="172" spans="1:28" ht="24" x14ac:dyDescent="0.3">
      <c r="A172" s="2">
        <f>IF(C_Ope_004[[#This Row],[tipo_r]]="R",COUNTIFS($C$1:$C171,"R")+1,"")</f>
        <v>171</v>
      </c>
      <c r="B172" s="19" t="str">
        <f t="shared" si="20"/>
        <v>C_Ope_004</v>
      </c>
      <c r="C172" s="3" t="s">
        <v>1330</v>
      </c>
      <c r="D172" s="14">
        <v>45825</v>
      </c>
      <c r="E172" s="5" t="s">
        <v>8466</v>
      </c>
      <c r="F172" s="5" t="s">
        <v>1336</v>
      </c>
      <c r="G172" s="6" t="s">
        <v>979</v>
      </c>
      <c r="H172" s="6" t="s">
        <v>68</v>
      </c>
      <c r="I172" s="6" t="s">
        <v>8256</v>
      </c>
      <c r="J172" s="6">
        <v>595539</v>
      </c>
      <c r="K172" s="7" t="s">
        <v>8276</v>
      </c>
      <c r="L172" s="8">
        <v>24620</v>
      </c>
      <c r="M172" s="8" t="str">
        <f t="shared" si="19"/>
        <v>PEN</v>
      </c>
      <c r="N172" s="13"/>
      <c r="O172" s="13">
        <v>15</v>
      </c>
      <c r="P172" s="3">
        <f t="shared" si="15"/>
        <v>0</v>
      </c>
      <c r="Q172" s="3">
        <f t="shared" si="16"/>
        <v>15</v>
      </c>
      <c r="R172" s="3">
        <f t="shared" si="17"/>
        <v>172.3900000000001</v>
      </c>
      <c r="S172" s="24" t="s">
        <v>1334</v>
      </c>
      <c r="T172" s="24" t="s">
        <v>1334</v>
      </c>
      <c r="U172" s="3"/>
      <c r="V172" s="25" t="s">
        <v>8277</v>
      </c>
      <c r="W172" s="25">
        <v>20550372640</v>
      </c>
      <c r="X172" s="25" t="str">
        <f>IFERROR(VLOOKUP(C_Ope_004[[#This Row],[nota_2]],Clientes_Proveedores[[Ruc / Dni]:[Razon Social]],2,0),"")</f>
        <v>RUTAS DE LIMA S.A.C.</v>
      </c>
      <c r="Y172" s="25"/>
      <c r="Z172" s="103"/>
      <c r="AA172" s="3" t="str">
        <f>IF(C_Ope_004[[#This Row],[fecha]]&gt;0,TEXT(C_Ope_004[[#This Row],[fecha]],"mmmm"),0)</f>
        <v>Junio</v>
      </c>
      <c r="AB172" s="49"/>
    </row>
    <row r="173" spans="1:28" ht="24" x14ac:dyDescent="0.3">
      <c r="A173" s="2">
        <f>IF(C_Ope_004[[#This Row],[tipo_r]]="R",COUNTIFS($C$1:$C172,"R")+1,"")</f>
        <v>172</v>
      </c>
      <c r="B173" s="19" t="str">
        <f t="shared" si="20"/>
        <v>C_Ope_004</v>
      </c>
      <c r="C173" s="3" t="s">
        <v>1330</v>
      </c>
      <c r="D173" s="14">
        <v>45827</v>
      </c>
      <c r="E173" s="5" t="s">
        <v>8466</v>
      </c>
      <c r="F173" s="5" t="s">
        <v>1336</v>
      </c>
      <c r="G173" s="6" t="s">
        <v>979</v>
      </c>
      <c r="H173" s="6" t="s">
        <v>68</v>
      </c>
      <c r="I173" s="6" t="s">
        <v>8209</v>
      </c>
      <c r="J173" s="6">
        <v>595322</v>
      </c>
      <c r="K173" s="7" t="s">
        <v>8278</v>
      </c>
      <c r="L173" s="8">
        <v>24621</v>
      </c>
      <c r="M173" s="8" t="str">
        <f t="shared" si="19"/>
        <v>PEN</v>
      </c>
      <c r="N173" s="13"/>
      <c r="O173" s="13">
        <v>15</v>
      </c>
      <c r="P173" s="3">
        <f t="shared" si="15"/>
        <v>0</v>
      </c>
      <c r="Q173" s="3">
        <f t="shared" si="16"/>
        <v>15</v>
      </c>
      <c r="R173" s="3">
        <f t="shared" si="17"/>
        <v>157.3900000000001</v>
      </c>
      <c r="S173" s="24" t="s">
        <v>1334</v>
      </c>
      <c r="T173" s="24" t="s">
        <v>1334</v>
      </c>
      <c r="U173" s="3"/>
      <c r="V173" s="25" t="s">
        <v>8277</v>
      </c>
      <c r="W173" s="25">
        <v>20550372640</v>
      </c>
      <c r="X173" s="25" t="str">
        <f>IFERROR(VLOOKUP(C_Ope_004[[#This Row],[nota_2]],Clientes_Proveedores[[Ruc / Dni]:[Razon Social]],2,0),"")</f>
        <v>RUTAS DE LIMA S.A.C.</v>
      </c>
      <c r="Y173" s="25"/>
      <c r="Z173" s="103"/>
      <c r="AA173" s="3" t="str">
        <f>IF(C_Ope_004[[#This Row],[fecha]]&gt;0,TEXT(C_Ope_004[[#This Row],[fecha]],"mmmm"),0)</f>
        <v>Junio</v>
      </c>
      <c r="AB173" s="49"/>
    </row>
    <row r="174" spans="1:28" ht="24" x14ac:dyDescent="0.3">
      <c r="A174" s="2">
        <f>IF(C_Ope_004[[#This Row],[tipo_r]]="R",COUNTIFS($C$1:$C173,"R")+1,"")</f>
        <v>173</v>
      </c>
      <c r="B174" s="19" t="str">
        <f t="shared" si="20"/>
        <v>C_Ope_004</v>
      </c>
      <c r="C174" s="3" t="s">
        <v>1330</v>
      </c>
      <c r="D174" s="14">
        <v>45827</v>
      </c>
      <c r="E174" s="5" t="s">
        <v>8466</v>
      </c>
      <c r="F174" s="5" t="s">
        <v>1336</v>
      </c>
      <c r="G174" s="6" t="s">
        <v>979</v>
      </c>
      <c r="H174" s="6" t="s">
        <v>68</v>
      </c>
      <c r="I174" s="6" t="s">
        <v>8211</v>
      </c>
      <c r="J174" s="6">
        <v>3033026</v>
      </c>
      <c r="K174" s="7" t="s">
        <v>8276</v>
      </c>
      <c r="L174" s="8">
        <v>24622</v>
      </c>
      <c r="M174" s="8" t="str">
        <f t="shared" si="19"/>
        <v>PEN</v>
      </c>
      <c r="N174" s="13"/>
      <c r="O174" s="13">
        <v>15</v>
      </c>
      <c r="P174" s="3">
        <f t="shared" si="15"/>
        <v>0</v>
      </c>
      <c r="Q174" s="3">
        <f t="shared" si="16"/>
        <v>15</v>
      </c>
      <c r="R174" s="3">
        <f t="shared" si="17"/>
        <v>142.3900000000001</v>
      </c>
      <c r="S174" s="24" t="s">
        <v>1334</v>
      </c>
      <c r="T174" s="24" t="s">
        <v>1334</v>
      </c>
      <c r="U174" s="3"/>
      <c r="V174" s="25" t="s">
        <v>8277</v>
      </c>
      <c r="W174" s="25">
        <v>20550372640</v>
      </c>
      <c r="X174" s="25" t="str">
        <f>IFERROR(VLOOKUP(C_Ope_004[[#This Row],[nota_2]],Clientes_Proveedores[[Ruc / Dni]:[Razon Social]],2,0),"")</f>
        <v>RUTAS DE LIMA S.A.C.</v>
      </c>
      <c r="Y174" s="25"/>
      <c r="Z174" s="103"/>
      <c r="AA174" s="3" t="str">
        <f>IF(C_Ope_004[[#This Row],[fecha]]&gt;0,TEXT(C_Ope_004[[#This Row],[fecha]],"mmmm"),0)</f>
        <v>Junio</v>
      </c>
      <c r="AB174" s="49"/>
    </row>
    <row r="175" spans="1:28" ht="24" x14ac:dyDescent="0.3">
      <c r="A175" s="2">
        <f>IF(C_Ope_004[[#This Row],[tipo_r]]="R",COUNTIFS($C$1:$C174,"R")+1,"")</f>
        <v>174</v>
      </c>
      <c r="B175" s="19" t="str">
        <f t="shared" si="20"/>
        <v>C_Ope_004</v>
      </c>
      <c r="C175" s="3" t="s">
        <v>1330</v>
      </c>
      <c r="D175" s="14">
        <v>45828</v>
      </c>
      <c r="E175" s="5" t="s">
        <v>8466</v>
      </c>
      <c r="F175" s="5" t="s">
        <v>1336</v>
      </c>
      <c r="G175" s="6" t="s">
        <v>979</v>
      </c>
      <c r="H175" s="6" t="s">
        <v>68</v>
      </c>
      <c r="I175" s="6" t="s">
        <v>8209</v>
      </c>
      <c r="J175" s="6">
        <v>595855</v>
      </c>
      <c r="K175" s="7" t="s">
        <v>8278</v>
      </c>
      <c r="L175" s="8">
        <v>24643</v>
      </c>
      <c r="M175" s="8" t="str">
        <f t="shared" si="19"/>
        <v>PEN</v>
      </c>
      <c r="N175" s="13"/>
      <c r="O175" s="13">
        <v>15</v>
      </c>
      <c r="P175" s="3">
        <f t="shared" si="15"/>
        <v>0</v>
      </c>
      <c r="Q175" s="3">
        <f t="shared" si="16"/>
        <v>15</v>
      </c>
      <c r="R175" s="3">
        <f t="shared" si="17"/>
        <v>127.3900000000001</v>
      </c>
      <c r="S175" s="24" t="s">
        <v>1334</v>
      </c>
      <c r="T175" s="24" t="s">
        <v>1334</v>
      </c>
      <c r="U175" s="3"/>
      <c r="V175" s="25" t="s">
        <v>8277</v>
      </c>
      <c r="W175" s="25">
        <v>20550372640</v>
      </c>
      <c r="X175" s="25" t="str">
        <f>IFERROR(VLOOKUP(C_Ope_004[[#This Row],[nota_2]],Clientes_Proveedores[[Ruc / Dni]:[Razon Social]],2,0),"")</f>
        <v>RUTAS DE LIMA S.A.C.</v>
      </c>
      <c r="Y175" s="25"/>
      <c r="Z175" s="103"/>
      <c r="AA175" s="3" t="str">
        <f>IF(C_Ope_004[[#This Row],[fecha]]&gt;0,TEXT(C_Ope_004[[#This Row],[fecha]],"mmmm"),0)</f>
        <v>Junio</v>
      </c>
      <c r="AB175" s="49"/>
    </row>
    <row r="176" spans="1:28" ht="24" x14ac:dyDescent="0.3">
      <c r="A176" s="2">
        <f>IF(C_Ope_004[[#This Row],[tipo_r]]="R",COUNTIFS($C$1:$C175,"R")+1,"")</f>
        <v>175</v>
      </c>
      <c r="B176" s="19" t="str">
        <f t="shared" si="20"/>
        <v>C_Ope_004</v>
      </c>
      <c r="C176" s="3" t="s">
        <v>1330</v>
      </c>
      <c r="D176" s="14">
        <v>45828</v>
      </c>
      <c r="E176" s="5" t="s">
        <v>8466</v>
      </c>
      <c r="F176" s="5" t="s">
        <v>1336</v>
      </c>
      <c r="G176" s="6" t="s">
        <v>979</v>
      </c>
      <c r="H176" s="6" t="s">
        <v>68</v>
      </c>
      <c r="I176" s="6" t="s">
        <v>8468</v>
      </c>
      <c r="J176" s="6">
        <v>3166451</v>
      </c>
      <c r="K176" s="7" t="s">
        <v>8276</v>
      </c>
      <c r="L176" s="8">
        <v>24644</v>
      </c>
      <c r="M176" s="8" t="str">
        <f t="shared" si="19"/>
        <v>PEN</v>
      </c>
      <c r="N176" s="13"/>
      <c r="O176" s="13">
        <v>15</v>
      </c>
      <c r="P176" s="3">
        <f t="shared" si="15"/>
        <v>0</v>
      </c>
      <c r="Q176" s="3">
        <f t="shared" si="16"/>
        <v>15</v>
      </c>
      <c r="R176" s="3">
        <f t="shared" si="17"/>
        <v>112.3900000000001</v>
      </c>
      <c r="S176" s="24" t="s">
        <v>1334</v>
      </c>
      <c r="T176" s="24" t="s">
        <v>1334</v>
      </c>
      <c r="U176" s="3"/>
      <c r="V176" s="25" t="s">
        <v>8277</v>
      </c>
      <c r="W176" s="25">
        <v>20550372640</v>
      </c>
      <c r="X176" s="25" t="str">
        <f>IFERROR(VLOOKUP(C_Ope_004[[#This Row],[nota_2]],Clientes_Proveedores[[Ruc / Dni]:[Razon Social]],2,0),"")</f>
        <v>RUTAS DE LIMA S.A.C.</v>
      </c>
      <c r="Y176" s="25"/>
      <c r="Z176" s="103"/>
      <c r="AA176" s="3" t="str">
        <f>IF(C_Ope_004[[#This Row],[fecha]]&gt;0,TEXT(C_Ope_004[[#This Row],[fecha]],"mmmm"),0)</f>
        <v>Junio</v>
      </c>
      <c r="AB176" s="49"/>
    </row>
    <row r="177" spans="1:28" x14ac:dyDescent="0.3">
      <c r="A177" s="2">
        <f>IF(C_Ope_004[[#This Row],[tipo_r]]="R",COUNTIFS($C$1:$C176,"R")+1,"")</f>
        <v>176</v>
      </c>
      <c r="B177" s="19" t="str">
        <f t="shared" si="20"/>
        <v>C_Ope_004</v>
      </c>
      <c r="C177" s="3" t="s">
        <v>1330</v>
      </c>
      <c r="D177" s="14">
        <v>45831</v>
      </c>
      <c r="E177" s="5" t="s">
        <v>7514</v>
      </c>
      <c r="F177" s="5" t="s">
        <v>1303</v>
      </c>
      <c r="G177" s="6" t="s">
        <v>876</v>
      </c>
      <c r="H177" s="6"/>
      <c r="I177" s="6"/>
      <c r="J177" s="6"/>
      <c r="K177" s="7" t="s">
        <v>8475</v>
      </c>
      <c r="L177" s="8">
        <v>24654</v>
      </c>
      <c r="M177" s="8" t="str">
        <f t="shared" si="19"/>
        <v>PEN</v>
      </c>
      <c r="N177" s="13"/>
      <c r="O177" s="13">
        <v>90</v>
      </c>
      <c r="P177" s="3">
        <f t="shared" si="15"/>
        <v>90</v>
      </c>
      <c r="Q177" s="3">
        <f t="shared" si="16"/>
        <v>0</v>
      </c>
      <c r="R177" s="3">
        <f t="shared" si="17"/>
        <v>202.3900000000001</v>
      </c>
      <c r="S177" s="24" t="s">
        <v>1334</v>
      </c>
      <c r="T177" s="24" t="s">
        <v>1334</v>
      </c>
      <c r="U177" s="3"/>
      <c r="V177" s="25"/>
      <c r="W177" s="25"/>
      <c r="X177" s="25" t="str">
        <f>IFERROR(VLOOKUP(C_Ope_004[[#This Row],[nota_2]],Clientes_Proveedores[[Ruc / Dni]:[Razon Social]],2,0),"")</f>
        <v/>
      </c>
      <c r="Y177" s="25"/>
      <c r="Z177" s="103"/>
      <c r="AA177" s="3" t="str">
        <f>IF(C_Ope_004[[#This Row],[fecha]]&gt;0,TEXT(C_Ope_004[[#This Row],[fecha]],"mmmm"),0)</f>
        <v>Junio</v>
      </c>
      <c r="AB177" s="49"/>
    </row>
    <row r="178" spans="1:28" x14ac:dyDescent="0.3">
      <c r="A178" s="2">
        <f>IF(C_Ope_004[[#This Row],[tipo_r]]="R",COUNTIFS($C$1:$C177,"R")+1,"")</f>
        <v>177</v>
      </c>
      <c r="B178" s="19" t="str">
        <f t="shared" si="20"/>
        <v>C_Ope_004</v>
      </c>
      <c r="C178" s="3" t="s">
        <v>1330</v>
      </c>
      <c r="D178" s="14">
        <v>45832</v>
      </c>
      <c r="E178" s="5" t="s">
        <v>7514</v>
      </c>
      <c r="F178" s="5" t="s">
        <v>1303</v>
      </c>
      <c r="G178" s="6" t="s">
        <v>876</v>
      </c>
      <c r="H178" s="6"/>
      <c r="I178" s="6"/>
      <c r="J178" s="6"/>
      <c r="K178" s="7" t="s">
        <v>8475</v>
      </c>
      <c r="L178" s="8">
        <v>24685</v>
      </c>
      <c r="M178" s="8" t="str">
        <f t="shared" si="19"/>
        <v>PEN</v>
      </c>
      <c r="N178" s="13"/>
      <c r="O178" s="13">
        <v>100</v>
      </c>
      <c r="P178" s="3">
        <f t="shared" si="15"/>
        <v>100</v>
      </c>
      <c r="Q178" s="3">
        <f t="shared" si="16"/>
        <v>0</v>
      </c>
      <c r="R178" s="3">
        <f t="shared" si="17"/>
        <v>302.3900000000001</v>
      </c>
      <c r="S178" s="24" t="s">
        <v>1334</v>
      </c>
      <c r="T178" s="24" t="s">
        <v>1334</v>
      </c>
      <c r="U178" s="3"/>
      <c r="V178" s="25"/>
      <c r="W178" s="25"/>
      <c r="X178" s="25" t="str">
        <f>IFERROR(VLOOKUP(C_Ope_004[[#This Row],[nota_2]],Clientes_Proveedores[[Ruc / Dni]:[Razon Social]],2,0),"")</f>
        <v/>
      </c>
      <c r="Y178" s="25"/>
      <c r="Z178" s="103"/>
      <c r="AA178" s="3" t="str">
        <f>IF(C_Ope_004[[#This Row],[fecha]]&gt;0,TEXT(C_Ope_004[[#This Row],[fecha]],"mmmm"),0)</f>
        <v>Junio</v>
      </c>
      <c r="AB178" s="49"/>
    </row>
    <row r="179" spans="1:28" ht="24" x14ac:dyDescent="0.3">
      <c r="A179" s="2">
        <f>IF(C_Ope_004[[#This Row],[tipo_r]]="R",COUNTIFS($C$1:$C178,"R")+1,"")</f>
        <v>178</v>
      </c>
      <c r="B179" s="19" t="str">
        <f t="shared" si="20"/>
        <v>C_Ope_004</v>
      </c>
      <c r="C179" s="3" t="s">
        <v>1330</v>
      </c>
      <c r="D179" s="14">
        <v>45831</v>
      </c>
      <c r="E179" s="5" t="s">
        <v>8466</v>
      </c>
      <c r="F179" s="5" t="s">
        <v>1336</v>
      </c>
      <c r="G179" s="6" t="s">
        <v>979</v>
      </c>
      <c r="H179" s="6" t="s">
        <v>68</v>
      </c>
      <c r="I179" s="6" t="s">
        <v>8477</v>
      </c>
      <c r="J179" s="6">
        <v>1256930</v>
      </c>
      <c r="K179" s="7" t="s">
        <v>8278</v>
      </c>
      <c r="L179" s="8">
        <v>24655</v>
      </c>
      <c r="M179" s="8" t="str">
        <f t="shared" si="19"/>
        <v>PEN</v>
      </c>
      <c r="N179" s="13"/>
      <c r="O179" s="13">
        <v>15</v>
      </c>
      <c r="P179" s="3">
        <f t="shared" si="15"/>
        <v>0</v>
      </c>
      <c r="Q179" s="3">
        <f t="shared" si="16"/>
        <v>15</v>
      </c>
      <c r="R179" s="3">
        <f t="shared" si="17"/>
        <v>287.3900000000001</v>
      </c>
      <c r="S179" s="24" t="s">
        <v>1334</v>
      </c>
      <c r="T179" s="24" t="s">
        <v>1334</v>
      </c>
      <c r="U179" s="3"/>
      <c r="V179" s="25" t="s">
        <v>8277</v>
      </c>
      <c r="W179" s="25">
        <v>20550372640</v>
      </c>
      <c r="X179" s="25" t="str">
        <f>IFERROR(VLOOKUP(C_Ope_004[[#This Row],[nota_2]],Clientes_Proveedores[[Ruc / Dni]:[Razon Social]],2,0),"")</f>
        <v>RUTAS DE LIMA S.A.C.</v>
      </c>
      <c r="Y179" s="25"/>
      <c r="Z179" s="103"/>
      <c r="AA179" s="3" t="str">
        <f>IF(C_Ope_004[[#This Row],[fecha]]&gt;0,TEXT(C_Ope_004[[#This Row],[fecha]],"mmmm"),0)</f>
        <v>Junio</v>
      </c>
      <c r="AB179" s="49"/>
    </row>
    <row r="180" spans="1:28" ht="24" x14ac:dyDescent="0.3">
      <c r="A180" s="2">
        <f>IF(C_Ope_004[[#This Row],[tipo_r]]="R",COUNTIFS($C$1:$C179,"R")+1,"")</f>
        <v>179</v>
      </c>
      <c r="B180" s="19" t="str">
        <f t="shared" si="20"/>
        <v>C_Ope_004</v>
      </c>
      <c r="C180" s="3" t="s">
        <v>1330</v>
      </c>
      <c r="D180" s="14">
        <v>45831</v>
      </c>
      <c r="E180" s="5" t="s">
        <v>8466</v>
      </c>
      <c r="F180" s="5" t="s">
        <v>1336</v>
      </c>
      <c r="G180" s="6" t="s">
        <v>979</v>
      </c>
      <c r="H180" s="6" t="s">
        <v>68</v>
      </c>
      <c r="I180" s="6" t="s">
        <v>8434</v>
      </c>
      <c r="J180" s="6">
        <v>3742614</v>
      </c>
      <c r="K180" s="7" t="s">
        <v>8276</v>
      </c>
      <c r="L180" s="8">
        <v>24656</v>
      </c>
      <c r="M180" s="8" t="str">
        <f t="shared" si="19"/>
        <v>PEN</v>
      </c>
      <c r="N180" s="13"/>
      <c r="O180" s="13">
        <v>15</v>
      </c>
      <c r="P180" s="3">
        <f t="shared" si="15"/>
        <v>0</v>
      </c>
      <c r="Q180" s="3">
        <f t="shared" si="16"/>
        <v>15</v>
      </c>
      <c r="R180" s="3">
        <f t="shared" si="17"/>
        <v>272.3900000000001</v>
      </c>
      <c r="S180" s="24" t="s">
        <v>1334</v>
      </c>
      <c r="T180" s="24" t="s">
        <v>1334</v>
      </c>
      <c r="U180" s="3"/>
      <c r="V180" s="25" t="s">
        <v>8277</v>
      </c>
      <c r="W180" s="25">
        <v>20550372640</v>
      </c>
      <c r="X180" s="25" t="str">
        <f>IFERROR(VLOOKUP(C_Ope_004[[#This Row],[nota_2]],Clientes_Proveedores[[Ruc / Dni]:[Razon Social]],2,0),"")</f>
        <v>RUTAS DE LIMA S.A.C.</v>
      </c>
      <c r="Y180" s="25"/>
      <c r="Z180" s="103"/>
      <c r="AA180" s="3" t="str">
        <f>IF(C_Ope_004[[#This Row],[fecha]]&gt;0,TEXT(C_Ope_004[[#This Row],[fecha]],"mmmm"),0)</f>
        <v>Junio</v>
      </c>
      <c r="AB180" s="49"/>
    </row>
    <row r="181" spans="1:28" ht="24" x14ac:dyDescent="0.3">
      <c r="A181" s="2">
        <f>IF(C_Ope_004[[#This Row],[tipo_r]]="R",COUNTIFS($C$1:$C180,"R")+1,"")</f>
        <v>180</v>
      </c>
      <c r="B181" s="19" t="str">
        <f t="shared" si="20"/>
        <v>C_Ope_004</v>
      </c>
      <c r="C181" s="3" t="s">
        <v>1330</v>
      </c>
      <c r="D181" s="14">
        <v>45832</v>
      </c>
      <c r="E181" s="5" t="s">
        <v>8466</v>
      </c>
      <c r="F181" s="5" t="s">
        <v>1336</v>
      </c>
      <c r="G181" s="6" t="s">
        <v>979</v>
      </c>
      <c r="H181" s="6" t="s">
        <v>68</v>
      </c>
      <c r="I181" s="6" t="s">
        <v>8502</v>
      </c>
      <c r="J181" s="6">
        <v>1977176</v>
      </c>
      <c r="K181" s="7" t="s">
        <v>8471</v>
      </c>
      <c r="L181" s="8">
        <v>24658</v>
      </c>
      <c r="M181" s="8" t="str">
        <f t="shared" si="19"/>
        <v>PEN</v>
      </c>
      <c r="N181" s="13"/>
      <c r="O181" s="13">
        <v>15</v>
      </c>
      <c r="P181" s="3">
        <f t="shared" si="15"/>
        <v>0</v>
      </c>
      <c r="Q181" s="3">
        <f t="shared" si="16"/>
        <v>15</v>
      </c>
      <c r="R181" s="3">
        <f t="shared" si="17"/>
        <v>257.3900000000001</v>
      </c>
      <c r="S181" s="24" t="s">
        <v>1334</v>
      </c>
      <c r="T181" s="24" t="s">
        <v>1334</v>
      </c>
      <c r="U181" s="3"/>
      <c r="V181" s="25" t="s">
        <v>8277</v>
      </c>
      <c r="W181" s="25">
        <v>20550372640</v>
      </c>
      <c r="X181" s="25" t="str">
        <f>IFERROR(VLOOKUP(C_Ope_004[[#This Row],[nota_2]],Clientes_Proveedores[[Ruc / Dni]:[Razon Social]],2,0),"")</f>
        <v>RUTAS DE LIMA S.A.C.</v>
      </c>
      <c r="Y181" s="25"/>
      <c r="Z181" s="103"/>
      <c r="AA181" s="3" t="str">
        <f>IF(C_Ope_004[[#This Row],[fecha]]&gt;0,TEXT(C_Ope_004[[#This Row],[fecha]],"mmmm"),0)</f>
        <v>Junio</v>
      </c>
      <c r="AB181" s="49"/>
    </row>
    <row r="182" spans="1:28" ht="24" x14ac:dyDescent="0.3">
      <c r="A182" s="2">
        <f>IF(C_Ope_004[[#This Row],[tipo_r]]="R",COUNTIFS($C$1:$C181,"R")+1,"")</f>
        <v>181</v>
      </c>
      <c r="B182" s="19" t="str">
        <f t="shared" si="20"/>
        <v>C_Ope_004</v>
      </c>
      <c r="C182" s="3" t="s">
        <v>1330</v>
      </c>
      <c r="D182" s="14">
        <v>45832</v>
      </c>
      <c r="E182" s="5" t="s">
        <v>8466</v>
      </c>
      <c r="F182" s="5" t="s">
        <v>1336</v>
      </c>
      <c r="G182" s="6" t="s">
        <v>979</v>
      </c>
      <c r="H182" s="6" t="s">
        <v>68</v>
      </c>
      <c r="I182" s="6" t="s">
        <v>8434</v>
      </c>
      <c r="J182" s="6">
        <v>3743611</v>
      </c>
      <c r="K182" s="7" t="s">
        <v>8487</v>
      </c>
      <c r="L182" s="8">
        <v>24679</v>
      </c>
      <c r="M182" s="8" t="str">
        <f t="shared" si="19"/>
        <v>PEN</v>
      </c>
      <c r="N182" s="13"/>
      <c r="O182" s="13">
        <v>15</v>
      </c>
      <c r="P182" s="3">
        <f t="shared" si="15"/>
        <v>0</v>
      </c>
      <c r="Q182" s="3">
        <f t="shared" si="16"/>
        <v>15</v>
      </c>
      <c r="R182" s="3">
        <f t="shared" si="17"/>
        <v>242.3900000000001</v>
      </c>
      <c r="S182" s="24" t="s">
        <v>1334</v>
      </c>
      <c r="T182" s="24" t="s">
        <v>1334</v>
      </c>
      <c r="U182" s="3"/>
      <c r="V182" s="25" t="s">
        <v>8277</v>
      </c>
      <c r="W182" s="25">
        <v>20550372640</v>
      </c>
      <c r="X182" s="25" t="str">
        <f>IFERROR(VLOOKUP(C_Ope_004[[#This Row],[nota_2]],Clientes_Proveedores[[Ruc / Dni]:[Razon Social]],2,0),"")</f>
        <v>RUTAS DE LIMA S.A.C.</v>
      </c>
      <c r="Y182" s="25"/>
      <c r="Z182" s="103"/>
      <c r="AA182" s="3" t="str">
        <f>IF(C_Ope_004[[#This Row],[fecha]]&gt;0,TEXT(C_Ope_004[[#This Row],[fecha]],"mmmm"),0)</f>
        <v>Junio</v>
      </c>
      <c r="AB182" s="49"/>
    </row>
    <row r="183" spans="1:28" ht="24" x14ac:dyDescent="0.3">
      <c r="A183" s="2">
        <f>IF(C_Ope_004[[#This Row],[tipo_r]]="R",COUNTIFS($C$1:$C182,"R")+1,"")</f>
        <v>182</v>
      </c>
      <c r="B183" s="19" t="str">
        <f t="shared" si="20"/>
        <v>C_Ope_004</v>
      </c>
      <c r="C183" s="3" t="s">
        <v>1330</v>
      </c>
      <c r="D183" s="14">
        <v>45838</v>
      </c>
      <c r="E183" s="5" t="s">
        <v>8466</v>
      </c>
      <c r="F183" s="5" t="s">
        <v>1336</v>
      </c>
      <c r="G183" s="6" t="s">
        <v>979</v>
      </c>
      <c r="H183" s="6" t="s">
        <v>68</v>
      </c>
      <c r="I183" s="6" t="s">
        <v>5627</v>
      </c>
      <c r="J183" s="6">
        <v>1172243</v>
      </c>
      <c r="K183" s="7" t="s">
        <v>8471</v>
      </c>
      <c r="L183" s="8">
        <v>24750</v>
      </c>
      <c r="M183" s="8" t="str">
        <f t="shared" si="19"/>
        <v>PEN</v>
      </c>
      <c r="N183" s="13"/>
      <c r="O183" s="13">
        <v>15</v>
      </c>
      <c r="P183" s="3">
        <f t="shared" si="15"/>
        <v>0</v>
      </c>
      <c r="Q183" s="3">
        <f t="shared" si="16"/>
        <v>15</v>
      </c>
      <c r="R183" s="3">
        <f t="shared" si="17"/>
        <v>227.3900000000001</v>
      </c>
      <c r="S183" s="24" t="s">
        <v>1334</v>
      </c>
      <c r="T183" s="24" t="s">
        <v>1334</v>
      </c>
      <c r="U183" s="3"/>
      <c r="V183" s="25" t="s">
        <v>8277</v>
      </c>
      <c r="W183" s="25">
        <v>20550372640</v>
      </c>
      <c r="X183" s="25" t="str">
        <f>IFERROR(VLOOKUP(C_Ope_004[[#This Row],[nota_2]],Clientes_Proveedores[[Ruc / Dni]:[Razon Social]],2,0),"")</f>
        <v>RUTAS DE LIMA S.A.C.</v>
      </c>
      <c r="Y183" s="25"/>
      <c r="Z183" s="103"/>
      <c r="AA183" s="3" t="str">
        <f>IF(C_Ope_004[[#This Row],[fecha]]&gt;0,TEXT(C_Ope_004[[#This Row],[fecha]],"mmmm"),0)</f>
        <v>Junio</v>
      </c>
      <c r="AB183" s="49"/>
    </row>
    <row r="184" spans="1:28" ht="24" x14ac:dyDescent="0.3">
      <c r="A184" s="2">
        <f>IF(C_Ope_004[[#This Row],[tipo_r]]="R",COUNTIFS($C$1:$C183,"R")+1,"")</f>
        <v>183</v>
      </c>
      <c r="B184" s="19" t="str">
        <f t="shared" si="20"/>
        <v>C_Ope_004</v>
      </c>
      <c r="C184" s="3" t="s">
        <v>1330</v>
      </c>
      <c r="D184" s="14">
        <v>45838</v>
      </c>
      <c r="E184" s="5" t="s">
        <v>8466</v>
      </c>
      <c r="F184" s="5" t="s">
        <v>1336</v>
      </c>
      <c r="G184" s="6" t="s">
        <v>979</v>
      </c>
      <c r="H184" s="6" t="s">
        <v>68</v>
      </c>
      <c r="I184" s="6" t="s">
        <v>8480</v>
      </c>
      <c r="J184" s="6">
        <v>1570248</v>
      </c>
      <c r="K184" s="7" t="s">
        <v>8487</v>
      </c>
      <c r="L184" s="8">
        <v>24751</v>
      </c>
      <c r="M184" s="8" t="str">
        <f t="shared" si="19"/>
        <v>PEN</v>
      </c>
      <c r="N184" s="13"/>
      <c r="O184" s="13">
        <v>15</v>
      </c>
      <c r="P184" s="3">
        <f t="shared" si="15"/>
        <v>0</v>
      </c>
      <c r="Q184" s="3">
        <f t="shared" si="16"/>
        <v>15</v>
      </c>
      <c r="R184" s="3">
        <f t="shared" si="17"/>
        <v>212.3900000000001</v>
      </c>
      <c r="S184" s="24" t="s">
        <v>1334</v>
      </c>
      <c r="T184" s="24" t="s">
        <v>1334</v>
      </c>
      <c r="U184" s="3"/>
      <c r="V184" s="25" t="s">
        <v>8277</v>
      </c>
      <c r="W184" s="25">
        <v>20550372640</v>
      </c>
      <c r="X184" s="25" t="str">
        <f>IFERROR(VLOOKUP(C_Ope_004[[#This Row],[nota_2]],Clientes_Proveedores[[Ruc / Dni]:[Razon Social]],2,0),"")</f>
        <v>RUTAS DE LIMA S.A.C.</v>
      </c>
      <c r="Y184" s="25"/>
      <c r="Z184" s="103"/>
      <c r="AA184" s="3" t="str">
        <f>IF(C_Ope_004[[#This Row],[fecha]]&gt;0,TEXT(C_Ope_004[[#This Row],[fecha]],"mmmm"),0)</f>
        <v>Junio</v>
      </c>
      <c r="AB184" s="49"/>
    </row>
    <row r="185" spans="1:28" x14ac:dyDescent="0.3">
      <c r="A185" s="2">
        <f>IF(C_Ope_004[[#This Row],[tipo_r]]="R",COUNTIFS($C$1:$C184,"R")+1,"")</f>
        <v>184</v>
      </c>
      <c r="B185" s="19" t="str">
        <f t="shared" ref="B185:B186" si="21">"C_Ope_004"</f>
        <v>C_Ope_004</v>
      </c>
      <c r="C185" s="3" t="s">
        <v>1330</v>
      </c>
      <c r="D185" s="14">
        <v>45842</v>
      </c>
      <c r="E185" s="5" t="s">
        <v>8466</v>
      </c>
      <c r="F185" s="5" t="s">
        <v>1336</v>
      </c>
      <c r="G185" s="6" t="s">
        <v>979</v>
      </c>
      <c r="H185" s="6" t="s">
        <v>68</v>
      </c>
      <c r="I185" s="6" t="s">
        <v>8474</v>
      </c>
      <c r="J185" s="6">
        <v>651684</v>
      </c>
      <c r="K185" s="7" t="s">
        <v>8504</v>
      </c>
      <c r="L185" s="8">
        <v>24789</v>
      </c>
      <c r="M185" s="8" t="str">
        <f t="shared" si="19"/>
        <v>PEN</v>
      </c>
      <c r="N185" s="13"/>
      <c r="O185" s="13">
        <v>15</v>
      </c>
      <c r="P185" s="3">
        <f t="shared" si="15"/>
        <v>0</v>
      </c>
      <c r="Q185" s="3">
        <f t="shared" si="16"/>
        <v>15</v>
      </c>
      <c r="R185" s="3">
        <f t="shared" si="17"/>
        <v>197.3900000000001</v>
      </c>
      <c r="S185" s="24" t="s">
        <v>1334</v>
      </c>
      <c r="T185" s="24" t="s">
        <v>1334</v>
      </c>
      <c r="U185" s="3"/>
      <c r="V185" s="25" t="s">
        <v>8277</v>
      </c>
      <c r="W185" s="25">
        <v>20550372640</v>
      </c>
      <c r="X185" s="25" t="str">
        <f>IFERROR(VLOOKUP(C_Ope_004[[#This Row],[nota_2]],Clientes_Proveedores[[Ruc / Dni]:[Razon Social]],2,0),"")</f>
        <v>RUTAS DE LIMA S.A.C.</v>
      </c>
      <c r="Y185" s="25"/>
      <c r="Z185" s="103"/>
      <c r="AA185" s="3" t="str">
        <f>IF(C_Ope_004[[#This Row],[fecha]]&gt;0,TEXT(C_Ope_004[[#This Row],[fecha]],"mmmm"),0)</f>
        <v>Julio</v>
      </c>
      <c r="AB185" s="49"/>
    </row>
    <row r="186" spans="1:28" x14ac:dyDescent="0.3">
      <c r="A186" s="2">
        <f>IF(C_Ope_004[[#This Row],[tipo_r]]="R",COUNTIFS($C$1:$C185,"R")+1,"")</f>
        <v>185</v>
      </c>
      <c r="B186" s="19" t="str">
        <f t="shared" si="21"/>
        <v>C_Ope_004</v>
      </c>
      <c r="C186" s="3" t="s">
        <v>1330</v>
      </c>
      <c r="D186" s="14">
        <v>45842</v>
      </c>
      <c r="E186" s="5" t="s">
        <v>8466</v>
      </c>
      <c r="F186" s="5" t="s">
        <v>1336</v>
      </c>
      <c r="G186" s="6" t="s">
        <v>979</v>
      </c>
      <c r="H186" s="6" t="s">
        <v>68</v>
      </c>
      <c r="I186" s="6" t="s">
        <v>8468</v>
      </c>
      <c r="J186" s="6">
        <v>3175453</v>
      </c>
      <c r="K186" s="7" t="s">
        <v>8505</v>
      </c>
      <c r="L186" s="8">
        <v>24790</v>
      </c>
      <c r="M186" s="8" t="str">
        <f t="shared" si="19"/>
        <v>PEN</v>
      </c>
      <c r="N186" s="13"/>
      <c r="O186" s="13">
        <v>15</v>
      </c>
      <c r="P186" s="3">
        <f t="shared" si="15"/>
        <v>0</v>
      </c>
      <c r="Q186" s="3">
        <f t="shared" si="16"/>
        <v>15</v>
      </c>
      <c r="R186" s="3">
        <f t="shared" si="17"/>
        <v>182.3900000000001</v>
      </c>
      <c r="S186" s="24" t="s">
        <v>1334</v>
      </c>
      <c r="T186" s="24" t="s">
        <v>1334</v>
      </c>
      <c r="U186" s="3"/>
      <c r="V186" s="25" t="s">
        <v>8277</v>
      </c>
      <c r="W186" s="25">
        <v>20550372640</v>
      </c>
      <c r="X186" s="25" t="str">
        <f>IFERROR(VLOOKUP(C_Ope_004[[#This Row],[nota_2]],Clientes_Proveedores[[Ruc / Dni]:[Razon Social]],2,0),"")</f>
        <v>RUTAS DE LIMA S.A.C.</v>
      </c>
      <c r="Y186" s="25"/>
      <c r="Z186" s="103"/>
      <c r="AA186" s="3" t="str">
        <f>IF(C_Ope_004[[#This Row],[fecha]]&gt;0,TEXT(C_Ope_004[[#This Row],[fecha]],"mmmm"),0)</f>
        <v>Julio</v>
      </c>
      <c r="AB186" s="49"/>
    </row>
    <row r="187" spans="1:28" ht="24" x14ac:dyDescent="0.3">
      <c r="A187" s="2">
        <f>IF(C_Ope_004[[#This Row],[tipo_r]]="R",COUNTIFS($C$1:$C186,"R")+1,"")</f>
        <v>186</v>
      </c>
      <c r="B187" s="19" t="str">
        <f>"C_Ope_004"</f>
        <v>C_Ope_004</v>
      </c>
      <c r="C187" s="3" t="s">
        <v>1330</v>
      </c>
      <c r="D187" s="14">
        <v>45842</v>
      </c>
      <c r="E187" s="5" t="s">
        <v>8466</v>
      </c>
      <c r="F187" s="5" t="s">
        <v>1336</v>
      </c>
      <c r="G187" s="6" t="s">
        <v>735</v>
      </c>
      <c r="H187" s="6" t="s">
        <v>68</v>
      </c>
      <c r="I187" s="6" t="s">
        <v>3078</v>
      </c>
      <c r="J187" s="6">
        <v>41945</v>
      </c>
      <c r="K187" s="7" t="s">
        <v>8506</v>
      </c>
      <c r="L187" s="8">
        <v>24791</v>
      </c>
      <c r="M187" s="8" t="str">
        <f t="shared" si="19"/>
        <v>PEN</v>
      </c>
      <c r="N187" s="13"/>
      <c r="O187" s="13">
        <v>55</v>
      </c>
      <c r="P187" s="3">
        <f t="shared" si="15"/>
        <v>0</v>
      </c>
      <c r="Q187" s="3">
        <f t="shared" si="16"/>
        <v>55</v>
      </c>
      <c r="R187" s="3">
        <f t="shared" si="17"/>
        <v>127.3900000000001</v>
      </c>
      <c r="S187" s="24" t="s">
        <v>1334</v>
      </c>
      <c r="T187" s="24" t="s">
        <v>1334</v>
      </c>
      <c r="U187" s="3"/>
      <c r="V187" s="25" t="s">
        <v>8277</v>
      </c>
      <c r="W187" s="25">
        <v>20514148539</v>
      </c>
      <c r="X187" s="25" t="str">
        <f>IFERROR(VLOOKUP(C_Ope_004[[#This Row],[nota_2]],Clientes_Proveedores[[Ruc / Dni]:[Razon Social]],2,0),"")</f>
        <v>NEGOCIACIONES ABBYCORP E.I.R.L.</v>
      </c>
      <c r="Y187" s="25"/>
      <c r="Z187" s="103"/>
      <c r="AA187" s="3" t="str">
        <f>IF(C_Ope_004[[#This Row],[fecha]]&gt;0,TEXT(C_Ope_004[[#This Row],[fecha]],"mmmm"),0)</f>
        <v>Julio</v>
      </c>
      <c r="AB187" s="49"/>
    </row>
    <row r="188" spans="1:28" x14ac:dyDescent="0.3">
      <c r="A188" s="2">
        <f>IF(C_Ope_004[[#This Row],[tipo_r]]="R",COUNTIFS($C$1:$C187,"R")+1,"")</f>
        <v>187</v>
      </c>
      <c r="B188" s="19" t="str">
        <f t="shared" ref="B188:B193" si="22">"C_Ope_004"</f>
        <v>C_Ope_004</v>
      </c>
      <c r="C188" s="3" t="s">
        <v>1330</v>
      </c>
      <c r="D188" s="14">
        <v>45845</v>
      </c>
      <c r="E188" s="5" t="s">
        <v>8466</v>
      </c>
      <c r="F188" s="5" t="s">
        <v>1336</v>
      </c>
      <c r="G188" s="6" t="s">
        <v>979</v>
      </c>
      <c r="H188" s="6" t="s">
        <v>68</v>
      </c>
      <c r="I188" s="6" t="s">
        <v>8483</v>
      </c>
      <c r="J188" s="6">
        <v>2435404</v>
      </c>
      <c r="K188" s="7" t="s">
        <v>8507</v>
      </c>
      <c r="L188" s="8">
        <v>24814</v>
      </c>
      <c r="M188" s="8" t="str">
        <f t="shared" si="19"/>
        <v>PEN</v>
      </c>
      <c r="N188" s="13"/>
      <c r="O188" s="13">
        <v>15</v>
      </c>
      <c r="P188" s="3">
        <f t="shared" si="15"/>
        <v>0</v>
      </c>
      <c r="Q188" s="3">
        <f t="shared" si="16"/>
        <v>15</v>
      </c>
      <c r="R188" s="3">
        <f t="shared" si="17"/>
        <v>112.3900000000001</v>
      </c>
      <c r="S188" s="24" t="s">
        <v>1334</v>
      </c>
      <c r="T188" s="24" t="s">
        <v>1334</v>
      </c>
      <c r="U188" s="3"/>
      <c r="V188" s="25" t="s">
        <v>8277</v>
      </c>
      <c r="W188" s="25">
        <v>20550372640</v>
      </c>
      <c r="X188" s="25" t="str">
        <f>IFERROR(VLOOKUP(C_Ope_004[[#This Row],[nota_2]],Clientes_Proveedores[[Ruc / Dni]:[Razon Social]],2,0),"")</f>
        <v>RUTAS DE LIMA S.A.C.</v>
      </c>
      <c r="Y188" s="25"/>
      <c r="Z188" s="103"/>
      <c r="AA188" s="3" t="str">
        <f>IF(C_Ope_004[[#This Row],[fecha]]&gt;0,TEXT(C_Ope_004[[#This Row],[fecha]],"mmmm"),0)</f>
        <v>Julio</v>
      </c>
      <c r="AB188" s="49"/>
    </row>
    <row r="189" spans="1:28" x14ac:dyDescent="0.3">
      <c r="A189" s="2">
        <f>IF(C_Ope_004[[#This Row],[tipo_r]]="R",COUNTIFS($C$1:$C188,"R")+1,"")</f>
        <v>188</v>
      </c>
      <c r="B189" s="19" t="str">
        <f t="shared" si="22"/>
        <v>C_Ope_004</v>
      </c>
      <c r="C189" s="3" t="s">
        <v>1330</v>
      </c>
      <c r="D189" s="14">
        <v>45845</v>
      </c>
      <c r="E189" s="5" t="s">
        <v>8466</v>
      </c>
      <c r="F189" s="5" t="s">
        <v>1336</v>
      </c>
      <c r="G189" s="6" t="s">
        <v>979</v>
      </c>
      <c r="H189" s="6" t="s">
        <v>68</v>
      </c>
      <c r="I189" s="6" t="s">
        <v>8211</v>
      </c>
      <c r="J189" s="6">
        <v>3049444</v>
      </c>
      <c r="K189" s="7" t="s">
        <v>8508</v>
      </c>
      <c r="L189" s="8">
        <v>24815</v>
      </c>
      <c r="M189" s="8" t="str">
        <f t="shared" si="19"/>
        <v>PEN</v>
      </c>
      <c r="N189" s="13"/>
      <c r="O189" s="13">
        <v>15</v>
      </c>
      <c r="P189" s="3">
        <f t="shared" si="15"/>
        <v>0</v>
      </c>
      <c r="Q189" s="3">
        <f t="shared" si="16"/>
        <v>15</v>
      </c>
      <c r="R189" s="3">
        <f t="shared" si="17"/>
        <v>97.3900000000001</v>
      </c>
      <c r="S189" s="24" t="s">
        <v>1334</v>
      </c>
      <c r="T189" s="24" t="s">
        <v>1334</v>
      </c>
      <c r="U189" s="3"/>
      <c r="V189" s="25" t="s">
        <v>8277</v>
      </c>
      <c r="W189" s="25">
        <v>20550372640</v>
      </c>
      <c r="X189" s="25" t="str">
        <f>IFERROR(VLOOKUP(C_Ope_004[[#This Row],[nota_2]],Clientes_Proveedores[[Ruc / Dni]:[Razon Social]],2,0),"")</f>
        <v>RUTAS DE LIMA S.A.C.</v>
      </c>
      <c r="Y189" s="25"/>
      <c r="Z189" s="103"/>
      <c r="AA189" s="3" t="str">
        <f>IF(C_Ope_004[[#This Row],[fecha]]&gt;0,TEXT(C_Ope_004[[#This Row],[fecha]],"mmmm"),0)</f>
        <v>Julio</v>
      </c>
      <c r="AB189" s="49"/>
    </row>
    <row r="190" spans="1:28" ht="24" x14ac:dyDescent="0.3">
      <c r="A190" s="2">
        <f>IF(C_Ope_004[[#This Row],[tipo_r]]="R",COUNTIFS($C$1:$C189,"R")+1,"")</f>
        <v>189</v>
      </c>
      <c r="B190" s="19" t="str">
        <f t="shared" si="22"/>
        <v>C_Ope_004</v>
      </c>
      <c r="C190" s="3" t="s">
        <v>1330</v>
      </c>
      <c r="D190" s="14">
        <v>45847</v>
      </c>
      <c r="E190" s="5" t="s">
        <v>8466</v>
      </c>
      <c r="F190" s="5" t="s">
        <v>1336</v>
      </c>
      <c r="G190" s="6" t="s">
        <v>979</v>
      </c>
      <c r="H190" s="6" t="s">
        <v>68</v>
      </c>
      <c r="I190" s="6" t="s">
        <v>8502</v>
      </c>
      <c r="J190" s="6">
        <v>1987722</v>
      </c>
      <c r="K190" s="7" t="s">
        <v>8509</v>
      </c>
      <c r="L190" s="8">
        <v>24826</v>
      </c>
      <c r="M190" s="8" t="str">
        <f t="shared" si="19"/>
        <v>PEN</v>
      </c>
      <c r="N190" s="13"/>
      <c r="O190" s="13">
        <v>15</v>
      </c>
      <c r="P190" s="3">
        <f t="shared" si="15"/>
        <v>0</v>
      </c>
      <c r="Q190" s="3">
        <f t="shared" si="16"/>
        <v>15</v>
      </c>
      <c r="R190" s="3">
        <f t="shared" si="17"/>
        <v>82.3900000000001</v>
      </c>
      <c r="S190" s="24" t="s">
        <v>1334</v>
      </c>
      <c r="T190" s="24" t="s">
        <v>1334</v>
      </c>
      <c r="U190" s="3"/>
      <c r="V190" s="25" t="s">
        <v>8277</v>
      </c>
      <c r="W190" s="25">
        <v>20550372640</v>
      </c>
      <c r="X190" s="25" t="str">
        <f>IFERROR(VLOOKUP(C_Ope_004[[#This Row],[nota_2]],Clientes_Proveedores[[Ruc / Dni]:[Razon Social]],2,0),"")</f>
        <v>RUTAS DE LIMA S.A.C.</v>
      </c>
      <c r="Y190" s="25"/>
      <c r="Z190" s="103"/>
      <c r="AA190" s="3" t="str">
        <f>IF(C_Ope_004[[#This Row],[fecha]]&gt;0,TEXT(C_Ope_004[[#This Row],[fecha]],"mmmm"),0)</f>
        <v>Julio</v>
      </c>
      <c r="AB190" s="49"/>
    </row>
    <row r="191" spans="1:28" x14ac:dyDescent="0.3">
      <c r="A191" s="2">
        <f>IF(C_Ope_004[[#This Row],[tipo_r]]="R",COUNTIFS($C$1:$C190,"R")+1,"")</f>
        <v>190</v>
      </c>
      <c r="B191" s="19" t="str">
        <f t="shared" si="22"/>
        <v>C_Ope_004</v>
      </c>
      <c r="C191" s="3" t="s">
        <v>1330</v>
      </c>
      <c r="D191" s="14">
        <v>45847</v>
      </c>
      <c r="E191" s="5" t="s">
        <v>8466</v>
      </c>
      <c r="F191" s="5" t="s">
        <v>1336</v>
      </c>
      <c r="G191" s="6" t="s">
        <v>979</v>
      </c>
      <c r="H191" s="6" t="s">
        <v>68</v>
      </c>
      <c r="I191" s="6" t="s">
        <v>8434</v>
      </c>
      <c r="J191" s="6">
        <v>3758626</v>
      </c>
      <c r="K191" s="7" t="s">
        <v>8510</v>
      </c>
      <c r="L191" s="8">
        <v>24838</v>
      </c>
      <c r="M191" s="8" t="str">
        <f t="shared" si="19"/>
        <v>PEN</v>
      </c>
      <c r="N191" s="13"/>
      <c r="O191" s="13">
        <v>15</v>
      </c>
      <c r="P191" s="3">
        <f t="shared" si="15"/>
        <v>0</v>
      </c>
      <c r="Q191" s="3">
        <f t="shared" si="16"/>
        <v>15</v>
      </c>
      <c r="R191" s="3">
        <f t="shared" si="17"/>
        <v>67.3900000000001</v>
      </c>
      <c r="S191" s="24" t="s">
        <v>1334</v>
      </c>
      <c r="T191" s="24" t="s">
        <v>1334</v>
      </c>
      <c r="U191" s="3"/>
      <c r="V191" s="25" t="s">
        <v>8277</v>
      </c>
      <c r="W191" s="25">
        <v>20550372640</v>
      </c>
      <c r="X191" s="25" t="str">
        <f>IFERROR(VLOOKUP(C_Ope_004[[#This Row],[nota_2]],Clientes_Proveedores[[Ruc / Dni]:[Razon Social]],2,0),"")</f>
        <v>RUTAS DE LIMA S.A.C.</v>
      </c>
      <c r="Y191" s="25"/>
      <c r="Z191" s="103"/>
      <c r="AA191" s="3" t="str">
        <f>IF(C_Ope_004[[#This Row],[fecha]]&gt;0,TEXT(C_Ope_004[[#This Row],[fecha]],"mmmm"),0)</f>
        <v>Julio</v>
      </c>
      <c r="AB191" s="49"/>
    </row>
    <row r="192" spans="1:28" x14ac:dyDescent="0.3">
      <c r="A192" s="2">
        <f>IF(C_Ope_004[[#This Row],[tipo_r]]="R",COUNTIFS($C$1:$C191,"R")+1,"")</f>
        <v>191</v>
      </c>
      <c r="B192" s="19" t="str">
        <f t="shared" si="22"/>
        <v>C_Ope_004</v>
      </c>
      <c r="C192" s="3" t="s">
        <v>1330</v>
      </c>
      <c r="D192" s="14">
        <v>45848</v>
      </c>
      <c r="E192" s="5" t="s">
        <v>8466</v>
      </c>
      <c r="F192" s="5" t="s">
        <v>1336</v>
      </c>
      <c r="G192" s="6" t="s">
        <v>979</v>
      </c>
      <c r="H192" s="6" t="s">
        <v>68</v>
      </c>
      <c r="I192" s="6" t="s">
        <v>8474</v>
      </c>
      <c r="J192" s="6">
        <v>653632</v>
      </c>
      <c r="K192" s="7" t="s">
        <v>8507</v>
      </c>
      <c r="L192" s="8">
        <v>24853</v>
      </c>
      <c r="M192" s="8" t="str">
        <f t="shared" si="19"/>
        <v>PEN</v>
      </c>
      <c r="N192" s="13"/>
      <c r="O192" s="13">
        <v>15</v>
      </c>
      <c r="P192" s="3">
        <f t="shared" si="15"/>
        <v>0</v>
      </c>
      <c r="Q192" s="3">
        <f t="shared" si="16"/>
        <v>15</v>
      </c>
      <c r="R192" s="3">
        <f t="shared" si="17"/>
        <v>52.3900000000001</v>
      </c>
      <c r="S192" s="24" t="s">
        <v>1334</v>
      </c>
      <c r="T192" s="24" t="s">
        <v>1334</v>
      </c>
      <c r="U192" s="3"/>
      <c r="V192" s="25" t="s">
        <v>8277</v>
      </c>
      <c r="W192" s="25">
        <v>20550372640</v>
      </c>
      <c r="X192" s="25" t="str">
        <f>IFERROR(VLOOKUP(C_Ope_004[[#This Row],[nota_2]],Clientes_Proveedores[[Ruc / Dni]:[Razon Social]],2,0),"")</f>
        <v>RUTAS DE LIMA S.A.C.</v>
      </c>
      <c r="Y192" s="25"/>
      <c r="Z192" s="103"/>
      <c r="AA192" s="3" t="str">
        <f>IF(C_Ope_004[[#This Row],[fecha]]&gt;0,TEXT(C_Ope_004[[#This Row],[fecha]],"mmmm"),0)</f>
        <v>Julio</v>
      </c>
      <c r="AB192" s="49"/>
    </row>
    <row r="193" spans="1:28" x14ac:dyDescent="0.3">
      <c r="A193" s="2">
        <f>IF(C_Ope_004[[#This Row],[tipo_r]]="R",COUNTIFS($C$1:$C192,"R")+1,"")</f>
        <v>192</v>
      </c>
      <c r="B193" s="19" t="str">
        <f t="shared" si="22"/>
        <v>C_Ope_004</v>
      </c>
      <c r="C193" s="3" t="s">
        <v>1330</v>
      </c>
      <c r="D193" s="14">
        <v>45848</v>
      </c>
      <c r="E193" s="5" t="s">
        <v>8466</v>
      </c>
      <c r="F193" s="5" t="s">
        <v>1336</v>
      </c>
      <c r="G193" s="6" t="s">
        <v>979</v>
      </c>
      <c r="H193" s="6" t="s">
        <v>68</v>
      </c>
      <c r="I193" s="6" t="s">
        <v>8468</v>
      </c>
      <c r="J193" s="6">
        <v>3180602</v>
      </c>
      <c r="K193" s="7" t="s">
        <v>8508</v>
      </c>
      <c r="L193" s="8">
        <v>24854</v>
      </c>
      <c r="M193" s="8" t="str">
        <f t="shared" si="19"/>
        <v>PEN</v>
      </c>
      <c r="N193" s="13"/>
      <c r="O193" s="13">
        <v>15</v>
      </c>
      <c r="P193" s="3">
        <f t="shared" si="15"/>
        <v>0</v>
      </c>
      <c r="Q193" s="3">
        <f t="shared" si="16"/>
        <v>15</v>
      </c>
      <c r="R193" s="3">
        <f t="shared" si="17"/>
        <v>37.3900000000001</v>
      </c>
      <c r="S193" s="24" t="s">
        <v>1334</v>
      </c>
      <c r="T193" s="24" t="s">
        <v>1334</v>
      </c>
      <c r="U193" s="3"/>
      <c r="V193" s="25" t="s">
        <v>8277</v>
      </c>
      <c r="W193" s="25">
        <v>20550372640</v>
      </c>
      <c r="X193" s="25" t="str">
        <f>IFERROR(VLOOKUP(C_Ope_004[[#This Row],[nota_2]],Clientes_Proveedores[[Ruc / Dni]:[Razon Social]],2,0),"")</f>
        <v>RUTAS DE LIMA S.A.C.</v>
      </c>
      <c r="Y193" s="25"/>
      <c r="Z193" s="103"/>
      <c r="AA193" s="3" t="str">
        <f>IF(C_Ope_004[[#This Row],[fecha]]&gt;0,TEXT(C_Ope_004[[#This Row],[fecha]],"mmmm"),0)</f>
        <v>Julio</v>
      </c>
      <c r="AB193" s="49"/>
    </row>
    <row r="194" spans="1:28" x14ac:dyDescent="0.3">
      <c r="A194" s="2">
        <f>IF(C_Ope_004[[#This Row],[tipo_r]]="R",COUNTIFS($C$1:$C193,"R")+1,"")</f>
        <v>193</v>
      </c>
      <c r="B194" s="19" t="str">
        <f>"C_Ope_004"</f>
        <v>C_Ope_004</v>
      </c>
      <c r="C194" s="3" t="s">
        <v>1330</v>
      </c>
      <c r="D194" s="14">
        <v>45849</v>
      </c>
      <c r="E194" s="5" t="s">
        <v>3634</v>
      </c>
      <c r="F194" s="5" t="s">
        <v>1303</v>
      </c>
      <c r="G194" s="6" t="s">
        <v>876</v>
      </c>
      <c r="H194" s="6"/>
      <c r="I194" s="6"/>
      <c r="J194" s="6"/>
      <c r="K194" s="7" t="s">
        <v>8475</v>
      </c>
      <c r="L194" s="8">
        <v>24876</v>
      </c>
      <c r="M194" s="8" t="str">
        <f>"PEN"</f>
        <v>PEN</v>
      </c>
      <c r="N194" s="13"/>
      <c r="O194" s="13">
        <v>100</v>
      </c>
      <c r="P194" s="3">
        <f t="shared" ref="P194:P235" si="23">+IF(OR($F194="SALDO",$F194="INGRESO"),$O194,0)</f>
        <v>100</v>
      </c>
      <c r="Q194" s="3">
        <f t="shared" ref="Q194:Q235" si="24">+IF($F194="EGRESO",$O194,0)</f>
        <v>0</v>
      </c>
      <c r="R194" s="3">
        <f t="shared" ref="R194:R254" si="25">IFERROR(IF(F194="SALDO",P194,R193+P194-Q194),0)</f>
        <v>137.3900000000001</v>
      </c>
      <c r="S194" s="24" t="s">
        <v>1334</v>
      </c>
      <c r="T194" s="24" t="s">
        <v>1334</v>
      </c>
      <c r="U194" s="3"/>
      <c r="V194" s="25"/>
      <c r="W194" s="25"/>
      <c r="X194" s="25" t="str">
        <f>IFERROR(VLOOKUP(C_Ope_004[[#This Row],[nota_2]],Clientes_Proveedores[[Ruc / Dni]:[Razon Social]],2,0),"")</f>
        <v/>
      </c>
      <c r="Y194" s="25"/>
      <c r="Z194" s="103"/>
      <c r="AA194" s="3" t="str">
        <f>IF(C_Ope_004[[#This Row],[fecha]]&gt;0,TEXT(C_Ope_004[[#This Row],[fecha]],"mmmm"),0)</f>
        <v>Julio</v>
      </c>
      <c r="AB194" s="49"/>
    </row>
    <row r="195" spans="1:28" ht="24" x14ac:dyDescent="0.3">
      <c r="A195" s="2">
        <f>IF(C_Ope_004[[#This Row],[tipo_r]]="R",COUNTIFS($C$1:$C194,"R")+1,"")</f>
        <v>194</v>
      </c>
      <c r="B195" s="19" t="str">
        <f t="shared" ref="B195:B200" si="26">"C_Ope_004"</f>
        <v>C_Ope_004</v>
      </c>
      <c r="C195" s="3" t="s">
        <v>1330</v>
      </c>
      <c r="D195" s="14">
        <v>45849</v>
      </c>
      <c r="E195" s="5" t="s">
        <v>8466</v>
      </c>
      <c r="F195" s="5" t="s">
        <v>1336</v>
      </c>
      <c r="G195" s="6" t="s">
        <v>735</v>
      </c>
      <c r="H195" s="6" t="s">
        <v>68</v>
      </c>
      <c r="I195" s="6" t="s">
        <v>3078</v>
      </c>
      <c r="J195" s="6">
        <v>42073</v>
      </c>
      <c r="K195" s="7" t="s">
        <v>8506</v>
      </c>
      <c r="L195" s="8">
        <v>24875</v>
      </c>
      <c r="M195" s="8" t="str">
        <f t="shared" si="19"/>
        <v>PEN</v>
      </c>
      <c r="N195" s="13"/>
      <c r="O195" s="13">
        <v>55</v>
      </c>
      <c r="P195" s="3">
        <f t="shared" si="23"/>
        <v>0</v>
      </c>
      <c r="Q195" s="3">
        <f t="shared" si="24"/>
        <v>55</v>
      </c>
      <c r="R195" s="3">
        <f t="shared" si="25"/>
        <v>82.3900000000001</v>
      </c>
      <c r="S195" s="24" t="s">
        <v>1334</v>
      </c>
      <c r="T195" s="24" t="s">
        <v>1334</v>
      </c>
      <c r="U195" s="3"/>
      <c r="V195" s="25" t="s">
        <v>8277</v>
      </c>
      <c r="W195" s="25">
        <v>20514148539</v>
      </c>
      <c r="X195" s="25" t="str">
        <f>IFERROR(VLOOKUP(C_Ope_004[[#This Row],[nota_2]],Clientes_Proveedores[[Ruc / Dni]:[Razon Social]],2,0),"")</f>
        <v>NEGOCIACIONES ABBYCORP E.I.R.L.</v>
      </c>
      <c r="Y195" s="25"/>
      <c r="Z195" s="103"/>
      <c r="AA195" s="3" t="str">
        <f>IF(C_Ope_004[[#This Row],[fecha]]&gt;0,TEXT(C_Ope_004[[#This Row],[fecha]],"mmmm"),0)</f>
        <v>Julio</v>
      </c>
      <c r="AB195" s="49"/>
    </row>
    <row r="196" spans="1:28" ht="24" x14ac:dyDescent="0.3">
      <c r="A196" s="2">
        <f>IF(C_Ope_004[[#This Row],[tipo_r]]="R",COUNTIFS($C$1:$C195,"R")+1,"")</f>
        <v>195</v>
      </c>
      <c r="B196" s="19" t="str">
        <f t="shared" si="26"/>
        <v>C_Ope_004</v>
      </c>
      <c r="C196" s="3" t="s">
        <v>1330</v>
      </c>
      <c r="D196" s="14">
        <v>45852</v>
      </c>
      <c r="E196" s="5" t="s">
        <v>8466</v>
      </c>
      <c r="F196" s="5" t="s">
        <v>1336</v>
      </c>
      <c r="G196" s="6" t="s">
        <v>979</v>
      </c>
      <c r="H196" s="6" t="s">
        <v>68</v>
      </c>
      <c r="I196" s="6" t="s">
        <v>5627</v>
      </c>
      <c r="J196" s="6">
        <v>1177382</v>
      </c>
      <c r="K196" s="7" t="s">
        <v>8511</v>
      </c>
      <c r="L196" s="8">
        <v>24925</v>
      </c>
      <c r="M196" s="8" t="str">
        <f t="shared" si="19"/>
        <v>PEN</v>
      </c>
      <c r="N196" s="13"/>
      <c r="O196" s="13">
        <v>15</v>
      </c>
      <c r="P196" s="3">
        <f t="shared" si="23"/>
        <v>0</v>
      </c>
      <c r="Q196" s="3">
        <f t="shared" si="24"/>
        <v>15</v>
      </c>
      <c r="R196" s="3">
        <f t="shared" si="25"/>
        <v>67.3900000000001</v>
      </c>
      <c r="S196" s="24" t="s">
        <v>1334</v>
      </c>
      <c r="T196" s="24" t="s">
        <v>1334</v>
      </c>
      <c r="U196" s="3"/>
      <c r="V196" s="25" t="s">
        <v>8277</v>
      </c>
      <c r="W196" s="25">
        <v>20550372640</v>
      </c>
      <c r="X196" s="25" t="str">
        <f>IFERROR(VLOOKUP(C_Ope_004[[#This Row],[nota_2]],Clientes_Proveedores[[Ruc / Dni]:[Razon Social]],2,0),"")</f>
        <v>RUTAS DE LIMA S.A.C.</v>
      </c>
      <c r="Y196" s="25"/>
      <c r="Z196" s="103"/>
      <c r="AA196" s="3" t="str">
        <f>IF(C_Ope_004[[#This Row],[fecha]]&gt;0,TEXT(C_Ope_004[[#This Row],[fecha]],"mmmm"),0)</f>
        <v>Julio</v>
      </c>
      <c r="AB196" s="49"/>
    </row>
    <row r="197" spans="1:28" x14ac:dyDescent="0.3">
      <c r="A197" s="2">
        <f>IF(C_Ope_004[[#This Row],[tipo_r]]="R",COUNTIFS($C$1:$C196,"R")+1,"")</f>
        <v>196</v>
      </c>
      <c r="B197" s="19" t="str">
        <f t="shared" si="26"/>
        <v>C_Ope_004</v>
      </c>
      <c r="C197" s="3" t="s">
        <v>1330</v>
      </c>
      <c r="D197" s="14">
        <v>45852</v>
      </c>
      <c r="E197" s="5" t="s">
        <v>8466</v>
      </c>
      <c r="F197" s="5" t="s">
        <v>1336</v>
      </c>
      <c r="G197" s="6" t="s">
        <v>979</v>
      </c>
      <c r="H197" s="6" t="s">
        <v>68</v>
      </c>
      <c r="I197" s="6" t="s">
        <v>8434</v>
      </c>
      <c r="J197" s="6">
        <v>3763706</v>
      </c>
      <c r="K197" s="7" t="s">
        <v>8512</v>
      </c>
      <c r="L197" s="8">
        <v>24926</v>
      </c>
      <c r="M197" s="8" t="str">
        <f t="shared" si="19"/>
        <v>PEN</v>
      </c>
      <c r="N197" s="13"/>
      <c r="O197" s="13">
        <v>15</v>
      </c>
      <c r="P197" s="3">
        <f t="shared" si="23"/>
        <v>0</v>
      </c>
      <c r="Q197" s="3">
        <f t="shared" si="24"/>
        <v>15</v>
      </c>
      <c r="R197" s="3">
        <f t="shared" si="25"/>
        <v>52.3900000000001</v>
      </c>
      <c r="S197" s="24" t="s">
        <v>1334</v>
      </c>
      <c r="T197" s="24" t="s">
        <v>1334</v>
      </c>
      <c r="U197" s="3"/>
      <c r="V197" s="25" t="s">
        <v>8277</v>
      </c>
      <c r="W197" s="25">
        <v>20550372640</v>
      </c>
      <c r="X197" s="25" t="str">
        <f>IFERROR(VLOOKUP(C_Ope_004[[#This Row],[nota_2]],Clientes_Proveedores[[Ruc / Dni]:[Razon Social]],2,0),"")</f>
        <v>RUTAS DE LIMA S.A.C.</v>
      </c>
      <c r="Y197" s="25"/>
      <c r="Z197" s="103"/>
      <c r="AA197" s="3" t="str">
        <f>IF(C_Ope_004[[#This Row],[fecha]]&gt;0,TEXT(C_Ope_004[[#This Row],[fecha]],"mmmm"),0)</f>
        <v>Julio</v>
      </c>
      <c r="AB197" s="49"/>
    </row>
    <row r="198" spans="1:28" ht="24" x14ac:dyDescent="0.3">
      <c r="A198" s="2">
        <f>IF(C_Ope_004[[#This Row],[tipo_r]]="R",COUNTIFS($C$1:$C197,"R")+1,"")</f>
        <v>197</v>
      </c>
      <c r="B198" s="19" t="str">
        <f t="shared" si="26"/>
        <v>C_Ope_004</v>
      </c>
      <c r="C198" s="3" t="s">
        <v>1330</v>
      </c>
      <c r="D198" s="14">
        <v>45855</v>
      </c>
      <c r="E198" s="5" t="s">
        <v>8466</v>
      </c>
      <c r="F198" s="5" t="s">
        <v>1336</v>
      </c>
      <c r="G198" s="6" t="s">
        <v>979</v>
      </c>
      <c r="H198" s="6" t="s">
        <v>68</v>
      </c>
      <c r="I198" s="6" t="s">
        <v>8474</v>
      </c>
      <c r="J198" s="6">
        <v>654842</v>
      </c>
      <c r="K198" s="7" t="s">
        <v>8513</v>
      </c>
      <c r="L198" s="8">
        <v>24927</v>
      </c>
      <c r="M198" s="8" t="str">
        <f t="shared" si="19"/>
        <v>PEN</v>
      </c>
      <c r="N198" s="13"/>
      <c r="O198" s="13">
        <v>15</v>
      </c>
      <c r="P198" s="3">
        <f t="shared" si="23"/>
        <v>0</v>
      </c>
      <c r="Q198" s="3">
        <f t="shared" si="24"/>
        <v>15</v>
      </c>
      <c r="R198" s="3">
        <f t="shared" si="25"/>
        <v>37.3900000000001</v>
      </c>
      <c r="S198" s="24" t="s">
        <v>1334</v>
      </c>
      <c r="T198" s="24" t="s">
        <v>1334</v>
      </c>
      <c r="U198" s="3"/>
      <c r="V198" s="25" t="s">
        <v>8277</v>
      </c>
      <c r="W198" s="25">
        <v>20550372640</v>
      </c>
      <c r="X198" s="25" t="str">
        <f>IFERROR(VLOOKUP(C_Ope_004[[#This Row],[nota_2]],Clientes_Proveedores[[Ruc / Dni]:[Razon Social]],2,0),"")</f>
        <v>RUTAS DE LIMA S.A.C.</v>
      </c>
      <c r="Y198" s="25"/>
      <c r="Z198" s="103"/>
      <c r="AA198" s="3" t="str">
        <f>IF(C_Ope_004[[#This Row],[fecha]]&gt;0,TEXT(C_Ope_004[[#This Row],[fecha]],"mmmm"),0)</f>
        <v>Julio</v>
      </c>
      <c r="AB198" s="49"/>
    </row>
    <row r="199" spans="1:28" ht="24" x14ac:dyDescent="0.3">
      <c r="A199" s="2">
        <f>IF(C_Ope_004[[#This Row],[tipo_r]]="R",COUNTIFS($C$1:$C198,"R")+1,"")</f>
        <v>198</v>
      </c>
      <c r="B199" s="19" t="str">
        <f t="shared" si="26"/>
        <v>C_Ope_004</v>
      </c>
      <c r="C199" s="3" t="s">
        <v>1330</v>
      </c>
      <c r="D199" s="14">
        <v>45855</v>
      </c>
      <c r="E199" s="5" t="s">
        <v>8466</v>
      </c>
      <c r="F199" s="5" t="s">
        <v>1336</v>
      </c>
      <c r="G199" s="6" t="s">
        <v>979</v>
      </c>
      <c r="H199" s="6" t="s">
        <v>68</v>
      </c>
      <c r="I199" s="6" t="s">
        <v>8362</v>
      </c>
      <c r="J199" s="6">
        <v>2312152</v>
      </c>
      <c r="K199" s="7" t="s">
        <v>8514</v>
      </c>
      <c r="L199" s="8">
        <v>24928</v>
      </c>
      <c r="M199" s="8" t="str">
        <f t="shared" si="19"/>
        <v>PEN</v>
      </c>
      <c r="N199" s="13"/>
      <c r="O199" s="13">
        <v>15</v>
      </c>
      <c r="P199" s="3">
        <f t="shared" si="23"/>
        <v>0</v>
      </c>
      <c r="Q199" s="3">
        <f t="shared" si="24"/>
        <v>15</v>
      </c>
      <c r="R199" s="3">
        <f t="shared" si="25"/>
        <v>22.3900000000001</v>
      </c>
      <c r="S199" s="24" t="s">
        <v>1334</v>
      </c>
      <c r="T199" s="24" t="s">
        <v>1334</v>
      </c>
      <c r="U199" s="3"/>
      <c r="V199" s="25" t="s">
        <v>8277</v>
      </c>
      <c r="W199" s="25">
        <v>20550372640</v>
      </c>
      <c r="X199" s="25" t="str">
        <f>IFERROR(VLOOKUP(C_Ope_004[[#This Row],[nota_2]],Clientes_Proveedores[[Ruc / Dni]:[Razon Social]],2,0),"")</f>
        <v>RUTAS DE LIMA S.A.C.</v>
      </c>
      <c r="Y199" s="25"/>
      <c r="Z199" s="103"/>
      <c r="AA199" s="3" t="str">
        <f>IF(C_Ope_004[[#This Row],[fecha]]&gt;0,TEXT(C_Ope_004[[#This Row],[fecha]],"mmmm"),0)</f>
        <v>Julio</v>
      </c>
      <c r="AB199" s="49"/>
    </row>
    <row r="200" spans="1:28" x14ac:dyDescent="0.3">
      <c r="A200" s="2">
        <f>IF(C_Ope_004[[#This Row],[tipo_r]]="R",COUNTIFS($C$1:$C199,"R")+1,"")</f>
        <v>199</v>
      </c>
      <c r="B200" s="19" t="str">
        <f t="shared" si="26"/>
        <v>C_Ope_004</v>
      </c>
      <c r="C200" s="3" t="s">
        <v>1330</v>
      </c>
      <c r="D200" s="14">
        <v>45856</v>
      </c>
      <c r="E200" s="5" t="s">
        <v>3634</v>
      </c>
      <c r="F200" s="5" t="s">
        <v>1303</v>
      </c>
      <c r="G200" s="6" t="s">
        <v>876</v>
      </c>
      <c r="H200" s="6"/>
      <c r="I200" s="6"/>
      <c r="J200" s="6"/>
      <c r="K200" s="7" t="s">
        <v>8475</v>
      </c>
      <c r="L200" s="8">
        <v>24940</v>
      </c>
      <c r="M200" s="8" t="str">
        <f>"PEN"</f>
        <v>PEN</v>
      </c>
      <c r="N200" s="13"/>
      <c r="O200" s="13">
        <v>100</v>
      </c>
      <c r="P200" s="3">
        <f t="shared" si="23"/>
        <v>100</v>
      </c>
      <c r="Q200" s="3">
        <f t="shared" si="24"/>
        <v>0</v>
      </c>
      <c r="R200" s="3">
        <f t="shared" si="25"/>
        <v>122.3900000000001</v>
      </c>
      <c r="S200" s="24" t="s">
        <v>1334</v>
      </c>
      <c r="T200" s="24" t="s">
        <v>1334</v>
      </c>
      <c r="U200" s="3"/>
      <c r="V200" s="25"/>
      <c r="W200" s="25"/>
      <c r="X200" s="25" t="str">
        <f>IFERROR(VLOOKUP(C_Ope_004[[#This Row],[nota_2]],Clientes_Proveedores[[Ruc / Dni]:[Razon Social]],2,0),"")</f>
        <v/>
      </c>
      <c r="Y200" s="25"/>
      <c r="Z200" s="103"/>
      <c r="AA200" s="3" t="str">
        <f>IF(C_Ope_004[[#This Row],[fecha]]&gt;0,TEXT(C_Ope_004[[#This Row],[fecha]],"mmmm"),0)</f>
        <v>Julio</v>
      </c>
      <c r="AB200" s="49"/>
    </row>
    <row r="201" spans="1:28" ht="24" x14ac:dyDescent="0.3">
      <c r="A201" s="2">
        <f>IF(C_Ope_004[[#This Row],[tipo_r]]="R",COUNTIFS($C$1:$C200,"R")+1,"")</f>
        <v>200</v>
      </c>
      <c r="B201" s="19" t="str">
        <f t="shared" ref="B201:B218" si="27">"C_Ope_004"</f>
        <v>C_Ope_004</v>
      </c>
      <c r="C201" s="3" t="s">
        <v>1330</v>
      </c>
      <c r="D201" s="14">
        <v>45856</v>
      </c>
      <c r="E201" s="5" t="s">
        <v>8466</v>
      </c>
      <c r="F201" s="5" t="s">
        <v>1336</v>
      </c>
      <c r="G201" s="6" t="s">
        <v>735</v>
      </c>
      <c r="H201" s="6" t="s">
        <v>68</v>
      </c>
      <c r="I201" s="6" t="s">
        <v>3078</v>
      </c>
      <c r="J201" s="6">
        <v>42210</v>
      </c>
      <c r="K201" s="7" t="s">
        <v>8506</v>
      </c>
      <c r="L201" s="8">
        <v>24939</v>
      </c>
      <c r="M201" s="8" t="str">
        <f t="shared" ref="M201:M218" si="28">"PEN"</f>
        <v>PEN</v>
      </c>
      <c r="N201" s="13"/>
      <c r="O201" s="13">
        <v>55</v>
      </c>
      <c r="P201" s="3">
        <f t="shared" si="23"/>
        <v>0</v>
      </c>
      <c r="Q201" s="3">
        <f t="shared" si="24"/>
        <v>55</v>
      </c>
      <c r="R201" s="3">
        <f t="shared" si="25"/>
        <v>67.3900000000001</v>
      </c>
      <c r="S201" s="24" t="s">
        <v>1334</v>
      </c>
      <c r="T201" s="24" t="s">
        <v>1334</v>
      </c>
      <c r="U201" s="3"/>
      <c r="V201" s="25" t="s">
        <v>8277</v>
      </c>
      <c r="W201" s="25">
        <v>20514148539</v>
      </c>
      <c r="X201" s="25" t="str">
        <f>IFERROR(VLOOKUP(C_Ope_004[[#This Row],[nota_2]],Clientes_Proveedores[[Ruc / Dni]:[Razon Social]],2,0),"")</f>
        <v>NEGOCIACIONES ABBYCORP E.I.R.L.</v>
      </c>
      <c r="Y201" s="25" t="s">
        <v>7938</v>
      </c>
      <c r="Z201" s="103"/>
      <c r="AA201" s="3" t="str">
        <f>IF(C_Ope_004[[#This Row],[fecha]]&gt;0,TEXT(C_Ope_004[[#This Row],[fecha]],"mmmm"),0)</f>
        <v>Julio</v>
      </c>
      <c r="AB201" s="49"/>
    </row>
    <row r="202" spans="1:28" x14ac:dyDescent="0.3">
      <c r="A202" s="2">
        <f>IF(C_Ope_004[[#This Row],[tipo_r]]="R",COUNTIFS($C$1:$C201,"R")+1,"")</f>
        <v>201</v>
      </c>
      <c r="B202" s="19" t="str">
        <f t="shared" si="27"/>
        <v>C_Ope_004</v>
      </c>
      <c r="C202" s="3" t="s">
        <v>1330</v>
      </c>
      <c r="D202" s="14">
        <v>45859</v>
      </c>
      <c r="E202" s="5" t="s">
        <v>8466</v>
      </c>
      <c r="F202" s="5" t="s">
        <v>1336</v>
      </c>
      <c r="G202" s="6" t="s">
        <v>979</v>
      </c>
      <c r="H202" s="6" t="s">
        <v>68</v>
      </c>
      <c r="I202" s="6" t="s">
        <v>8502</v>
      </c>
      <c r="J202" s="6">
        <v>1995670</v>
      </c>
      <c r="K202" s="7" t="s">
        <v>8515</v>
      </c>
      <c r="L202" s="8">
        <v>24988</v>
      </c>
      <c r="M202" s="8" t="str">
        <f t="shared" si="28"/>
        <v>PEN</v>
      </c>
      <c r="N202" s="13"/>
      <c r="O202" s="13">
        <v>15</v>
      </c>
      <c r="P202" s="3">
        <f t="shared" si="23"/>
        <v>0</v>
      </c>
      <c r="Q202" s="3">
        <f t="shared" si="24"/>
        <v>15</v>
      </c>
      <c r="R202" s="3">
        <f t="shared" si="25"/>
        <v>52.3900000000001</v>
      </c>
      <c r="S202" s="24" t="s">
        <v>1334</v>
      </c>
      <c r="T202" s="24" t="s">
        <v>1334</v>
      </c>
      <c r="U202" s="3"/>
      <c r="V202" s="25" t="s">
        <v>8277</v>
      </c>
      <c r="W202" s="25">
        <v>20550372640</v>
      </c>
      <c r="X202" s="25" t="str">
        <f>IFERROR(VLOOKUP(C_Ope_004[[#This Row],[nota_2]],Clientes_Proveedores[[Ruc / Dni]:[Razon Social]],2,0),"")</f>
        <v>RUTAS DE LIMA S.A.C.</v>
      </c>
      <c r="Y202" s="25" t="s">
        <v>7888</v>
      </c>
      <c r="Z202" s="103"/>
      <c r="AA202" s="3" t="str">
        <f>IF(C_Ope_004[[#This Row],[fecha]]&gt;0,TEXT(C_Ope_004[[#This Row],[fecha]],"mmmm"),0)</f>
        <v>Julio</v>
      </c>
      <c r="AB202" s="49"/>
    </row>
    <row r="203" spans="1:28" x14ac:dyDescent="0.3">
      <c r="A203" s="2">
        <f>IF(C_Ope_004[[#This Row],[tipo_r]]="R",COUNTIFS($C$1:$C202,"R")+1,"")</f>
        <v>202</v>
      </c>
      <c r="B203" s="19" t="str">
        <f t="shared" si="27"/>
        <v>C_Ope_004</v>
      </c>
      <c r="C203" s="3" t="s">
        <v>1330</v>
      </c>
      <c r="D203" s="14">
        <v>45859</v>
      </c>
      <c r="E203" s="5" t="s">
        <v>8466</v>
      </c>
      <c r="F203" s="5" t="s">
        <v>1336</v>
      </c>
      <c r="G203" s="6" t="s">
        <v>979</v>
      </c>
      <c r="H203" s="6" t="s">
        <v>68</v>
      </c>
      <c r="I203" s="6" t="s">
        <v>8434</v>
      </c>
      <c r="J203" s="6">
        <v>3771726</v>
      </c>
      <c r="K203" s="7" t="s">
        <v>8516</v>
      </c>
      <c r="L203" s="8">
        <v>24989</v>
      </c>
      <c r="M203" s="8" t="str">
        <f t="shared" si="28"/>
        <v>PEN</v>
      </c>
      <c r="N203" s="13"/>
      <c r="O203" s="13">
        <v>15</v>
      </c>
      <c r="P203" s="3">
        <f t="shared" si="23"/>
        <v>0</v>
      </c>
      <c r="Q203" s="3">
        <f t="shared" si="24"/>
        <v>15</v>
      </c>
      <c r="R203" s="3">
        <f t="shared" si="25"/>
        <v>37.3900000000001</v>
      </c>
      <c r="S203" s="24" t="s">
        <v>1334</v>
      </c>
      <c r="T203" s="24" t="s">
        <v>1334</v>
      </c>
      <c r="U203" s="3"/>
      <c r="V203" s="25" t="s">
        <v>8277</v>
      </c>
      <c r="W203" s="25">
        <v>20550372640</v>
      </c>
      <c r="X203" s="25" t="str">
        <f>IFERROR(VLOOKUP(C_Ope_004[[#This Row],[nota_2]],Clientes_Proveedores[[Ruc / Dni]:[Razon Social]],2,0),"")</f>
        <v>RUTAS DE LIMA S.A.C.</v>
      </c>
      <c r="Y203" s="25" t="s">
        <v>7888</v>
      </c>
      <c r="Z203" s="103"/>
      <c r="AA203" s="3" t="str">
        <f>IF(C_Ope_004[[#This Row],[fecha]]&gt;0,TEXT(C_Ope_004[[#This Row],[fecha]],"mmmm"),0)</f>
        <v>Julio</v>
      </c>
      <c r="AB203" s="49"/>
    </row>
    <row r="204" spans="1:28" x14ac:dyDescent="0.3">
      <c r="A204" s="2">
        <f>IF(C_Ope_004[[#This Row],[tipo_r]]="R",COUNTIFS($C$1:$C203,"R")+1,"")</f>
        <v>203</v>
      </c>
      <c r="B204" s="19" t="str">
        <f>"C_Ope_004"</f>
        <v>C_Ope_004</v>
      </c>
      <c r="C204" s="3" t="s">
        <v>1330</v>
      </c>
      <c r="D204" s="14">
        <v>45863</v>
      </c>
      <c r="E204" s="5" t="s">
        <v>3634</v>
      </c>
      <c r="F204" s="5" t="s">
        <v>1303</v>
      </c>
      <c r="G204" s="6" t="s">
        <v>876</v>
      </c>
      <c r="H204" s="6"/>
      <c r="I204" s="6"/>
      <c r="J204" s="6"/>
      <c r="K204" s="7" t="s">
        <v>8475</v>
      </c>
      <c r="L204" s="8">
        <v>25037</v>
      </c>
      <c r="M204" s="8" t="str">
        <f>"PEN"</f>
        <v>PEN</v>
      </c>
      <c r="N204" s="13"/>
      <c r="O204" s="13">
        <v>150</v>
      </c>
      <c r="P204" s="3">
        <f t="shared" si="23"/>
        <v>150</v>
      </c>
      <c r="Q204" s="3">
        <f t="shared" si="24"/>
        <v>0</v>
      </c>
      <c r="R204" s="3">
        <f t="shared" si="25"/>
        <v>187.3900000000001</v>
      </c>
      <c r="S204" s="24" t="s">
        <v>1334</v>
      </c>
      <c r="T204" s="24" t="s">
        <v>1334</v>
      </c>
      <c r="U204" s="3"/>
      <c r="V204" s="25"/>
      <c r="W204" s="25"/>
      <c r="X204" s="25" t="str">
        <f>IFERROR(VLOOKUP(C_Ope_004[[#This Row],[nota_2]],Clientes_Proveedores[[Ruc / Dni]:[Razon Social]],2,0),"")</f>
        <v/>
      </c>
      <c r="Y204" s="25"/>
      <c r="Z204" s="103"/>
      <c r="AA204" s="3" t="str">
        <f>IF(C_Ope_004[[#This Row],[fecha]]&gt;0,TEXT(C_Ope_004[[#This Row],[fecha]],"mmmm"),0)</f>
        <v>Julio</v>
      </c>
      <c r="AB204" s="49"/>
    </row>
    <row r="205" spans="1:28" x14ac:dyDescent="0.3">
      <c r="A205" s="2">
        <f>IF(C_Ope_004[[#This Row],[tipo_r]]="R",COUNTIFS($C$1:$C204,"R")+1,"")</f>
        <v>204</v>
      </c>
      <c r="B205" s="19" t="str">
        <f>"C_Ope_004"</f>
        <v>C_Ope_004</v>
      </c>
      <c r="C205" s="3" t="s">
        <v>1330</v>
      </c>
      <c r="D205" s="14">
        <v>45863</v>
      </c>
      <c r="E205" s="5" t="s">
        <v>8466</v>
      </c>
      <c r="F205" s="5" t="s">
        <v>1336</v>
      </c>
      <c r="G205" s="6" t="s">
        <v>979</v>
      </c>
      <c r="H205" s="6" t="s">
        <v>68</v>
      </c>
      <c r="I205" s="6" t="s">
        <v>8467</v>
      </c>
      <c r="J205" s="6">
        <v>1665602</v>
      </c>
      <c r="K205" s="7" t="s">
        <v>8504</v>
      </c>
      <c r="L205" s="8">
        <v>25201</v>
      </c>
      <c r="M205" s="8" t="str">
        <f>"PEN"</f>
        <v>PEN</v>
      </c>
      <c r="N205" s="13"/>
      <c r="O205" s="13">
        <v>15</v>
      </c>
      <c r="P205" s="3">
        <f t="shared" si="23"/>
        <v>0</v>
      </c>
      <c r="Q205" s="3">
        <f t="shared" si="24"/>
        <v>15</v>
      </c>
      <c r="R205" s="3">
        <f t="shared" si="25"/>
        <v>172.3900000000001</v>
      </c>
      <c r="S205" s="24" t="s">
        <v>1334</v>
      </c>
      <c r="T205" s="24" t="s">
        <v>1334</v>
      </c>
      <c r="U205" s="3"/>
      <c r="V205" s="25" t="s">
        <v>8277</v>
      </c>
      <c r="W205" s="25">
        <v>20550372640</v>
      </c>
      <c r="X205" s="25" t="str">
        <f>IFERROR(VLOOKUP(C_Ope_004[[#This Row],[nota_2]],Clientes_Proveedores[[Ruc / Dni]:[Razon Social]],2,0),"")</f>
        <v>RUTAS DE LIMA S.A.C.</v>
      </c>
      <c r="Y205" s="25" t="s">
        <v>7888</v>
      </c>
      <c r="Z205" s="103"/>
      <c r="AA205" s="3" t="str">
        <f>IF(C_Ope_004[[#This Row],[fecha]]&gt;0,TEXT(C_Ope_004[[#This Row],[fecha]],"mmmm"),0)</f>
        <v>Julio</v>
      </c>
      <c r="AB205" s="49"/>
    </row>
    <row r="206" spans="1:28" x14ac:dyDescent="0.3">
      <c r="A206" s="2">
        <f>IF(C_Ope_004[[#This Row],[tipo_r]]="R",COUNTIFS($C$1:$C205,"R")+1,"")</f>
        <v>205</v>
      </c>
      <c r="B206" s="19" t="str">
        <f>"C_Ope_004"</f>
        <v>C_Ope_004</v>
      </c>
      <c r="C206" s="3" t="s">
        <v>1330</v>
      </c>
      <c r="D206" s="14">
        <v>45863</v>
      </c>
      <c r="E206" s="5" t="s">
        <v>8466</v>
      </c>
      <c r="F206" s="5" t="s">
        <v>1336</v>
      </c>
      <c r="G206" s="6" t="s">
        <v>979</v>
      </c>
      <c r="H206" s="6" t="s">
        <v>68</v>
      </c>
      <c r="I206" s="6" t="s">
        <v>8434</v>
      </c>
      <c r="J206" s="6">
        <v>3775877</v>
      </c>
      <c r="K206" s="7" t="s">
        <v>8505</v>
      </c>
      <c r="L206" s="8">
        <v>25202</v>
      </c>
      <c r="M206" s="8" t="str">
        <f>"PEN"</f>
        <v>PEN</v>
      </c>
      <c r="N206" s="13"/>
      <c r="O206" s="13">
        <v>15</v>
      </c>
      <c r="P206" s="3">
        <f t="shared" si="23"/>
        <v>0</v>
      </c>
      <c r="Q206" s="3">
        <f t="shared" si="24"/>
        <v>15</v>
      </c>
      <c r="R206" s="3">
        <f t="shared" si="25"/>
        <v>157.3900000000001</v>
      </c>
      <c r="S206" s="24" t="s">
        <v>1334</v>
      </c>
      <c r="T206" s="24" t="s">
        <v>1334</v>
      </c>
      <c r="U206" s="3"/>
      <c r="V206" s="25" t="s">
        <v>8277</v>
      </c>
      <c r="W206" s="25">
        <v>20550372640</v>
      </c>
      <c r="X206" s="25" t="str">
        <f>IFERROR(VLOOKUP(C_Ope_004[[#This Row],[nota_2]],Clientes_Proveedores[[Ruc / Dni]:[Razon Social]],2,0),"")</f>
        <v>RUTAS DE LIMA S.A.C.</v>
      </c>
      <c r="Y206" s="25" t="s">
        <v>7888</v>
      </c>
      <c r="Z206" s="103"/>
      <c r="AA206" s="3" t="str">
        <f>IF(C_Ope_004[[#This Row],[fecha]]&gt;0,TEXT(C_Ope_004[[#This Row],[fecha]],"mmmm"),0)</f>
        <v>Julio</v>
      </c>
      <c r="AB206" s="49"/>
    </row>
    <row r="207" spans="1:28" ht="24" x14ac:dyDescent="0.3">
      <c r="A207" s="2">
        <f>IF(C_Ope_004[[#This Row],[tipo_r]]="R",COUNTIFS($C$1:$C206,"R")+1,"")</f>
        <v>206</v>
      </c>
      <c r="B207" s="19" t="str">
        <f t="shared" si="27"/>
        <v>C_Ope_004</v>
      </c>
      <c r="C207" s="3" t="s">
        <v>1330</v>
      </c>
      <c r="D207" s="14">
        <v>45868</v>
      </c>
      <c r="E207" s="5" t="s">
        <v>8466</v>
      </c>
      <c r="F207" s="5" t="s">
        <v>1336</v>
      </c>
      <c r="G207" s="6" t="s">
        <v>735</v>
      </c>
      <c r="H207" s="6" t="s">
        <v>68</v>
      </c>
      <c r="I207" s="6" t="s">
        <v>3078</v>
      </c>
      <c r="J207" s="6">
        <v>42420</v>
      </c>
      <c r="K207" s="7" t="s">
        <v>8517</v>
      </c>
      <c r="L207" s="8">
        <v>25040</v>
      </c>
      <c r="M207" s="8" t="str">
        <f t="shared" si="28"/>
        <v>PEN</v>
      </c>
      <c r="N207" s="13"/>
      <c r="O207" s="13">
        <v>55</v>
      </c>
      <c r="P207" s="3">
        <f t="shared" si="23"/>
        <v>0</v>
      </c>
      <c r="Q207" s="3">
        <f t="shared" si="24"/>
        <v>55</v>
      </c>
      <c r="R207" s="3">
        <f t="shared" si="25"/>
        <v>102.3900000000001</v>
      </c>
      <c r="S207" s="24" t="s">
        <v>1334</v>
      </c>
      <c r="T207" s="24" t="s">
        <v>1334</v>
      </c>
      <c r="U207" s="3"/>
      <c r="V207" s="25" t="s">
        <v>8277</v>
      </c>
      <c r="W207" s="25">
        <v>20514148539</v>
      </c>
      <c r="X207" s="25" t="str">
        <f>IFERROR(VLOOKUP(C_Ope_004[[#This Row],[nota_2]],Clientes_Proveedores[[Ruc / Dni]:[Razon Social]],2,0),"")</f>
        <v>NEGOCIACIONES ABBYCORP E.I.R.L.</v>
      </c>
      <c r="Y207" s="25" t="s">
        <v>7938</v>
      </c>
      <c r="Z207" s="103"/>
      <c r="AA207" s="3" t="str">
        <f>IF(C_Ope_004[[#This Row],[fecha]]&gt;0,TEXT(C_Ope_004[[#This Row],[fecha]],"mmmm"),0)</f>
        <v>Julio</v>
      </c>
      <c r="AB207" s="49"/>
    </row>
    <row r="208" spans="1:28" x14ac:dyDescent="0.3">
      <c r="A208" s="2">
        <f>IF(C_Ope_004[[#This Row],[tipo_r]]="R",COUNTIFS($C$1:$C207,"R")+1,"")</f>
        <v>207</v>
      </c>
      <c r="B208" s="19" t="str">
        <f t="shared" si="27"/>
        <v>C_Ope_004</v>
      </c>
      <c r="C208" s="3" t="s">
        <v>1330</v>
      </c>
      <c r="D208" s="14">
        <v>45870</v>
      </c>
      <c r="E208" s="5" t="s">
        <v>8466</v>
      </c>
      <c r="F208" s="5" t="s">
        <v>1336</v>
      </c>
      <c r="G208" s="6" t="s">
        <v>979</v>
      </c>
      <c r="H208" s="6" t="s">
        <v>68</v>
      </c>
      <c r="I208" s="6" t="s">
        <v>5627</v>
      </c>
      <c r="J208" s="6">
        <v>1184261</v>
      </c>
      <c r="K208" s="7" t="s">
        <v>8504</v>
      </c>
      <c r="L208" s="8">
        <v>25062</v>
      </c>
      <c r="M208" s="8" t="str">
        <f t="shared" si="28"/>
        <v>PEN</v>
      </c>
      <c r="N208" s="13"/>
      <c r="O208" s="13">
        <v>15</v>
      </c>
      <c r="P208" s="3">
        <f t="shared" si="23"/>
        <v>0</v>
      </c>
      <c r="Q208" s="3">
        <f t="shared" si="24"/>
        <v>15</v>
      </c>
      <c r="R208" s="3">
        <f t="shared" si="25"/>
        <v>87.3900000000001</v>
      </c>
      <c r="S208" s="24" t="s">
        <v>1334</v>
      </c>
      <c r="T208" s="24" t="s">
        <v>1334</v>
      </c>
      <c r="U208" s="3"/>
      <c r="V208" s="25" t="s">
        <v>8277</v>
      </c>
      <c r="W208" s="25">
        <v>20550372640</v>
      </c>
      <c r="X208" s="25" t="str">
        <f>IFERROR(VLOOKUP(C_Ope_004[[#This Row],[nota_2]],Clientes_Proveedores[[Ruc / Dni]:[Razon Social]],2,0),"")</f>
        <v>RUTAS DE LIMA S.A.C.</v>
      </c>
      <c r="Y208" s="25" t="s">
        <v>7888</v>
      </c>
      <c r="Z208" s="103"/>
      <c r="AA208" s="3" t="str">
        <f>IF(C_Ope_004[[#This Row],[fecha]]&gt;0,TEXT(C_Ope_004[[#This Row],[fecha]],"mmmm"),0)</f>
        <v>Agosto</v>
      </c>
      <c r="AB208" s="49"/>
    </row>
    <row r="209" spans="1:28" x14ac:dyDescent="0.3">
      <c r="A209" s="2">
        <f>IF(C_Ope_004[[#This Row],[tipo_r]]="R",COUNTIFS($C$1:$C208,"R")+1,"")</f>
        <v>208</v>
      </c>
      <c r="B209" s="19" t="str">
        <f t="shared" si="27"/>
        <v>C_Ope_004</v>
      </c>
      <c r="C209" s="3" t="s">
        <v>1330</v>
      </c>
      <c r="D209" s="14">
        <v>45870</v>
      </c>
      <c r="E209" s="5" t="s">
        <v>8466</v>
      </c>
      <c r="F209" s="5" t="s">
        <v>1336</v>
      </c>
      <c r="G209" s="6" t="s">
        <v>979</v>
      </c>
      <c r="H209" s="6" t="s">
        <v>68</v>
      </c>
      <c r="I209" s="6" t="s">
        <v>8256</v>
      </c>
      <c r="J209" s="6">
        <v>609731</v>
      </c>
      <c r="K209" s="7" t="s">
        <v>8518</v>
      </c>
      <c r="L209" s="8">
        <v>25063</v>
      </c>
      <c r="M209" s="8" t="str">
        <f t="shared" si="28"/>
        <v>PEN</v>
      </c>
      <c r="N209" s="13"/>
      <c r="O209" s="13">
        <v>15</v>
      </c>
      <c r="P209" s="3">
        <f t="shared" si="23"/>
        <v>0</v>
      </c>
      <c r="Q209" s="3">
        <f t="shared" si="24"/>
        <v>15</v>
      </c>
      <c r="R209" s="3">
        <f t="shared" si="25"/>
        <v>72.3900000000001</v>
      </c>
      <c r="S209" s="24" t="s">
        <v>1334</v>
      </c>
      <c r="T209" s="24" t="s">
        <v>1334</v>
      </c>
      <c r="U209" s="3"/>
      <c r="V209" s="25" t="s">
        <v>8277</v>
      </c>
      <c r="W209" s="25">
        <v>20550372640</v>
      </c>
      <c r="X209" s="25" t="str">
        <f>IFERROR(VLOOKUP(C_Ope_004[[#This Row],[nota_2]],Clientes_Proveedores[[Ruc / Dni]:[Razon Social]],2,0),"")</f>
        <v>RUTAS DE LIMA S.A.C.</v>
      </c>
      <c r="Y209" s="25" t="s">
        <v>7888</v>
      </c>
      <c r="Z209" s="103"/>
      <c r="AA209" s="3" t="str">
        <f>IF(C_Ope_004[[#This Row],[fecha]]&gt;0,TEXT(C_Ope_004[[#This Row],[fecha]],"mmmm"),0)</f>
        <v>Agosto</v>
      </c>
      <c r="AB209" s="49"/>
    </row>
    <row r="210" spans="1:28" x14ac:dyDescent="0.3">
      <c r="A210" s="2">
        <f>IF(C_Ope_004[[#This Row],[tipo_r]]="R",COUNTIFS($C$1:$C209,"R")+1,"")</f>
        <v>209</v>
      </c>
      <c r="B210" s="19" t="str">
        <f t="shared" si="27"/>
        <v>C_Ope_004</v>
      </c>
      <c r="C210" s="3" t="s">
        <v>1330</v>
      </c>
      <c r="D210" s="14">
        <v>45873</v>
      </c>
      <c r="E210" s="5" t="s">
        <v>8466</v>
      </c>
      <c r="F210" s="5" t="s">
        <v>1336</v>
      </c>
      <c r="G210" s="6" t="s">
        <v>979</v>
      </c>
      <c r="H210" s="6" t="s">
        <v>68</v>
      </c>
      <c r="I210" s="6" t="s">
        <v>8502</v>
      </c>
      <c r="J210" s="6">
        <v>2003536</v>
      </c>
      <c r="K210" s="7" t="s">
        <v>8519</v>
      </c>
      <c r="L210" s="8">
        <v>25065</v>
      </c>
      <c r="M210" s="8" t="str">
        <f t="shared" si="28"/>
        <v>PEN</v>
      </c>
      <c r="N210" s="13"/>
      <c r="O210" s="13">
        <v>15</v>
      </c>
      <c r="P210" s="3">
        <f t="shared" si="23"/>
        <v>0</v>
      </c>
      <c r="Q210" s="3">
        <f t="shared" si="24"/>
        <v>15</v>
      </c>
      <c r="R210" s="3">
        <f t="shared" si="25"/>
        <v>57.3900000000001</v>
      </c>
      <c r="S210" s="24" t="s">
        <v>1334</v>
      </c>
      <c r="T210" s="24" t="s">
        <v>1334</v>
      </c>
      <c r="U210" s="3"/>
      <c r="V210" s="25" t="s">
        <v>8277</v>
      </c>
      <c r="W210" s="25">
        <v>20550372640</v>
      </c>
      <c r="X210" s="25" t="str">
        <f>IFERROR(VLOOKUP(C_Ope_004[[#This Row],[nota_2]],Clientes_Proveedores[[Ruc / Dni]:[Razon Social]],2,0),"")</f>
        <v>RUTAS DE LIMA S.A.C.</v>
      </c>
      <c r="Y210" s="25" t="s">
        <v>7888</v>
      </c>
      <c r="Z210" s="103"/>
      <c r="AA210" s="3" t="str">
        <f>IF(C_Ope_004[[#This Row],[fecha]]&gt;0,TEXT(C_Ope_004[[#This Row],[fecha]],"mmmm"),0)</f>
        <v>Agosto</v>
      </c>
      <c r="AB210" s="49"/>
    </row>
    <row r="211" spans="1:28" x14ac:dyDescent="0.3">
      <c r="A211" s="2">
        <f>IF(C_Ope_004[[#This Row],[tipo_r]]="R",COUNTIFS($C$1:$C210,"R")+1,"")</f>
        <v>210</v>
      </c>
      <c r="B211" s="19" t="str">
        <f t="shared" si="27"/>
        <v>C_Ope_004</v>
      </c>
      <c r="C211" s="3" t="s">
        <v>1330</v>
      </c>
      <c r="D211" s="14">
        <v>45873</v>
      </c>
      <c r="E211" s="5" t="s">
        <v>8466</v>
      </c>
      <c r="F211" s="5" t="s">
        <v>1336</v>
      </c>
      <c r="G211" s="6" t="s">
        <v>979</v>
      </c>
      <c r="H211" s="6" t="s">
        <v>68</v>
      </c>
      <c r="I211" s="6" t="s">
        <v>8468</v>
      </c>
      <c r="J211" s="6">
        <v>3200171</v>
      </c>
      <c r="K211" s="7" t="s">
        <v>8519</v>
      </c>
      <c r="L211" s="8">
        <v>25072</v>
      </c>
      <c r="M211" s="8" t="str">
        <f t="shared" si="28"/>
        <v>PEN</v>
      </c>
      <c r="N211" s="13"/>
      <c r="O211" s="13">
        <v>15</v>
      </c>
      <c r="P211" s="3">
        <f t="shared" si="23"/>
        <v>0</v>
      </c>
      <c r="Q211" s="3">
        <f t="shared" si="24"/>
        <v>15</v>
      </c>
      <c r="R211" s="3">
        <f t="shared" si="25"/>
        <v>42.3900000000001</v>
      </c>
      <c r="S211" s="24" t="s">
        <v>1334</v>
      </c>
      <c r="T211" s="24" t="s">
        <v>1334</v>
      </c>
      <c r="U211" s="3"/>
      <c r="V211" s="25" t="s">
        <v>8277</v>
      </c>
      <c r="W211" s="25">
        <v>20550372640</v>
      </c>
      <c r="X211" s="25" t="str">
        <f>IFERROR(VLOOKUP(C_Ope_004[[#This Row],[nota_2]],Clientes_Proveedores[[Ruc / Dni]:[Razon Social]],2,0),"")</f>
        <v>RUTAS DE LIMA S.A.C.</v>
      </c>
      <c r="Y211" s="25" t="s">
        <v>7888</v>
      </c>
      <c r="Z211" s="103"/>
      <c r="AA211" s="3" t="str">
        <f>IF(C_Ope_004[[#This Row],[fecha]]&gt;0,TEXT(C_Ope_004[[#This Row],[fecha]],"mmmm"),0)</f>
        <v>Agosto</v>
      </c>
      <c r="AB211" s="49"/>
    </row>
    <row r="212" spans="1:28" ht="24" x14ac:dyDescent="0.3">
      <c r="A212" s="2">
        <f>IF(C_Ope_004[[#This Row],[tipo_r]]="R",COUNTIFS($C$1:$C211,"R")+1,"")</f>
        <v>211</v>
      </c>
      <c r="B212" s="19" t="str">
        <f t="shared" si="27"/>
        <v>C_Ope_004</v>
      </c>
      <c r="C212" s="3" t="s">
        <v>1330</v>
      </c>
      <c r="D212" s="14">
        <v>45873</v>
      </c>
      <c r="E212" s="5" t="s">
        <v>8466</v>
      </c>
      <c r="F212" s="5" t="s">
        <v>1336</v>
      </c>
      <c r="G212" s="6" t="s">
        <v>1072</v>
      </c>
      <c r="H212" s="6" t="s">
        <v>68</v>
      </c>
      <c r="I212" s="6" t="s">
        <v>1374</v>
      </c>
      <c r="J212" s="6">
        <v>7699</v>
      </c>
      <c r="K212" s="7" t="s">
        <v>8520</v>
      </c>
      <c r="L212" s="8">
        <v>25074</v>
      </c>
      <c r="M212" s="8" t="str">
        <f t="shared" si="28"/>
        <v>PEN</v>
      </c>
      <c r="N212" s="13"/>
      <c r="O212" s="13">
        <v>13</v>
      </c>
      <c r="P212" s="3">
        <f t="shared" si="23"/>
        <v>0</v>
      </c>
      <c r="Q212" s="3">
        <f t="shared" si="24"/>
        <v>13</v>
      </c>
      <c r="R212" s="3">
        <f t="shared" si="25"/>
        <v>29.3900000000001</v>
      </c>
      <c r="S212" s="24" t="s">
        <v>1334</v>
      </c>
      <c r="T212" s="24" t="s">
        <v>1334</v>
      </c>
      <c r="U212" s="3"/>
      <c r="V212" s="25" t="s">
        <v>8277</v>
      </c>
      <c r="W212" s="25">
        <v>10773382439</v>
      </c>
      <c r="X212" s="25" t="str">
        <f>IFERROR(VLOOKUP(C_Ope_004[[#This Row],[nota_2]],Clientes_Proveedores[[Ruc / Dni]:[Razon Social]],2,0),"")</f>
        <v>PAUCAR PRADO ALEXIS LORENZO</v>
      </c>
      <c r="Y212" s="25" t="s">
        <v>5933</v>
      </c>
      <c r="Z212" s="103"/>
      <c r="AA212" s="3" t="str">
        <f>IF(C_Ope_004[[#This Row],[fecha]]&gt;0,TEXT(C_Ope_004[[#This Row],[fecha]],"mmmm"),0)</f>
        <v>Agosto</v>
      </c>
      <c r="AB212" s="49"/>
    </row>
    <row r="213" spans="1:28" ht="24" x14ac:dyDescent="0.3">
      <c r="A213" s="2">
        <f>IF(C_Ope_004[[#This Row],[tipo_r]]="R",COUNTIFS($C$1:$C212,"R")+1,"")</f>
        <v>212</v>
      </c>
      <c r="B213" s="19" t="str">
        <f t="shared" si="27"/>
        <v>C_Ope_004</v>
      </c>
      <c r="C213" s="3" t="s">
        <v>1330</v>
      </c>
      <c r="D213" s="14">
        <v>45873</v>
      </c>
      <c r="E213" s="5" t="s">
        <v>8466</v>
      </c>
      <c r="F213" s="5" t="s">
        <v>1336</v>
      </c>
      <c r="G213" s="6" t="s">
        <v>735</v>
      </c>
      <c r="H213" s="6" t="s">
        <v>68</v>
      </c>
      <c r="I213" s="6" t="s">
        <v>3078</v>
      </c>
      <c r="J213" s="6">
        <v>42505</v>
      </c>
      <c r="K213" s="7" t="s">
        <v>8521</v>
      </c>
      <c r="L213" s="8">
        <v>25077</v>
      </c>
      <c r="M213" s="8" t="str">
        <f t="shared" si="28"/>
        <v>PEN</v>
      </c>
      <c r="N213" s="13"/>
      <c r="O213" s="13">
        <v>55</v>
      </c>
      <c r="P213" s="3">
        <f t="shared" si="23"/>
        <v>0</v>
      </c>
      <c r="Q213" s="3">
        <f t="shared" si="24"/>
        <v>55</v>
      </c>
      <c r="R213" s="3">
        <f t="shared" si="25"/>
        <v>-25.6099999999999</v>
      </c>
      <c r="S213" s="24" t="s">
        <v>1334</v>
      </c>
      <c r="T213" s="24" t="s">
        <v>1334</v>
      </c>
      <c r="U213" s="3"/>
      <c r="V213" s="25" t="s">
        <v>8277</v>
      </c>
      <c r="W213" s="25">
        <v>20514148539</v>
      </c>
      <c r="X213" s="25" t="str">
        <f>IFERROR(VLOOKUP(C_Ope_004[[#This Row],[nota_2]],Clientes_Proveedores[[Ruc / Dni]:[Razon Social]],2,0),"")</f>
        <v>NEGOCIACIONES ABBYCORP E.I.R.L.</v>
      </c>
      <c r="Y213" s="25" t="s">
        <v>7938</v>
      </c>
      <c r="Z213" s="103"/>
      <c r="AA213" s="3" t="str">
        <f>IF(C_Ope_004[[#This Row],[fecha]]&gt;0,TEXT(C_Ope_004[[#This Row],[fecha]],"mmmm"),0)</f>
        <v>Agosto</v>
      </c>
      <c r="AB213" s="49"/>
    </row>
    <row r="214" spans="1:28" x14ac:dyDescent="0.3">
      <c r="A214" s="2">
        <f>IF(C_Ope_004[[#This Row],[tipo_r]]="R",COUNTIFS($C$1:$C213,"R")+1,"")</f>
        <v>213</v>
      </c>
      <c r="B214" s="19" t="str">
        <f>"C_Ope_004"</f>
        <v>C_Ope_004</v>
      </c>
      <c r="C214" s="3" t="s">
        <v>1330</v>
      </c>
      <c r="D214" s="14">
        <v>45874</v>
      </c>
      <c r="E214" s="5" t="s">
        <v>3634</v>
      </c>
      <c r="F214" s="5" t="s">
        <v>1303</v>
      </c>
      <c r="G214" s="6" t="s">
        <v>876</v>
      </c>
      <c r="H214" s="6"/>
      <c r="I214" s="6"/>
      <c r="J214" s="6"/>
      <c r="K214" s="7" t="s">
        <v>8475</v>
      </c>
      <c r="L214" s="8">
        <v>25095</v>
      </c>
      <c r="M214" s="8" t="str">
        <f>"PEN"</f>
        <v>PEN</v>
      </c>
      <c r="N214" s="13"/>
      <c r="O214" s="13">
        <v>150</v>
      </c>
      <c r="P214" s="3">
        <f t="shared" si="23"/>
        <v>150</v>
      </c>
      <c r="Q214" s="3">
        <f t="shared" si="24"/>
        <v>0</v>
      </c>
      <c r="R214" s="3">
        <f t="shared" si="25"/>
        <v>124.3900000000001</v>
      </c>
      <c r="S214" s="24" t="s">
        <v>1334</v>
      </c>
      <c r="T214" s="24" t="s">
        <v>1334</v>
      </c>
      <c r="U214" s="3"/>
      <c r="V214" s="25"/>
      <c r="W214" s="25"/>
      <c r="X214" s="25" t="str">
        <f>IFERROR(VLOOKUP(C_Ope_004[[#This Row],[nota_2]],Clientes_Proveedores[[Ruc / Dni]:[Razon Social]],2,0),"")</f>
        <v/>
      </c>
      <c r="Y214" s="25"/>
      <c r="Z214" s="103"/>
      <c r="AA214" s="3" t="str">
        <f>IF(C_Ope_004[[#This Row],[fecha]]&gt;0,TEXT(C_Ope_004[[#This Row],[fecha]],"mmmm"),0)</f>
        <v>Agosto</v>
      </c>
      <c r="AB214" s="49"/>
    </row>
    <row r="215" spans="1:28" x14ac:dyDescent="0.3">
      <c r="A215" s="2">
        <f>IF(C_Ope_004[[#This Row],[tipo_r]]="R",COUNTIFS($C$1:$C214,"R")+1,"")</f>
        <v>214</v>
      </c>
      <c r="B215" s="19" t="str">
        <f t="shared" si="27"/>
        <v>C_Ope_004</v>
      </c>
      <c r="C215" s="3" t="s">
        <v>1330</v>
      </c>
      <c r="D215" s="14">
        <v>45874</v>
      </c>
      <c r="E215" s="5" t="s">
        <v>8466</v>
      </c>
      <c r="F215" s="5" t="s">
        <v>1336</v>
      </c>
      <c r="G215" s="6" t="s">
        <v>979</v>
      </c>
      <c r="H215" s="6" t="s">
        <v>68</v>
      </c>
      <c r="I215" s="6" t="s">
        <v>8474</v>
      </c>
      <c r="J215" s="6">
        <v>658300</v>
      </c>
      <c r="K215" s="7" t="s">
        <v>8522</v>
      </c>
      <c r="L215" s="8">
        <v>25084</v>
      </c>
      <c r="M215" s="8" t="str">
        <f t="shared" si="28"/>
        <v>PEN</v>
      </c>
      <c r="N215" s="13"/>
      <c r="O215" s="13">
        <v>15</v>
      </c>
      <c r="P215" s="3">
        <f t="shared" si="23"/>
        <v>0</v>
      </c>
      <c r="Q215" s="3">
        <f t="shared" si="24"/>
        <v>15</v>
      </c>
      <c r="R215" s="13">
        <f t="shared" si="25"/>
        <v>109.3900000000001</v>
      </c>
      <c r="S215" s="24" t="s">
        <v>1334</v>
      </c>
      <c r="T215" s="24" t="s">
        <v>1334</v>
      </c>
      <c r="U215" s="3"/>
      <c r="V215" s="25" t="s">
        <v>8277</v>
      </c>
      <c r="W215" s="25">
        <v>20550372640</v>
      </c>
      <c r="X215" s="25" t="str">
        <f>IFERROR(VLOOKUP(C_Ope_004[[#This Row],[nota_2]],Clientes_Proveedores[[Ruc / Dni]:[Razon Social]],2,0),"")</f>
        <v>RUTAS DE LIMA S.A.C.</v>
      </c>
      <c r="Y215" s="25" t="s">
        <v>7888</v>
      </c>
      <c r="Z215" s="103"/>
      <c r="AA215" s="3" t="str">
        <f>IF(C_Ope_004[[#This Row],[fecha]]&gt;0,TEXT(C_Ope_004[[#This Row],[fecha]],"mmmm"),0)</f>
        <v>Agosto</v>
      </c>
      <c r="AB215" s="49"/>
    </row>
    <row r="216" spans="1:28" x14ac:dyDescent="0.3">
      <c r="A216" s="2">
        <f>IF(C_Ope_004[[#This Row],[tipo_r]]="R",COUNTIFS($C$1:$C215,"R")+1,"")</f>
        <v>215</v>
      </c>
      <c r="B216" s="19" t="str">
        <f t="shared" si="27"/>
        <v>C_Ope_004</v>
      </c>
      <c r="C216" s="3" t="s">
        <v>1330</v>
      </c>
      <c r="D216" s="14">
        <v>45874</v>
      </c>
      <c r="E216" s="5" t="s">
        <v>8466</v>
      </c>
      <c r="F216" s="5" t="s">
        <v>1336</v>
      </c>
      <c r="G216" s="6" t="s">
        <v>979</v>
      </c>
      <c r="H216" s="6" t="s">
        <v>68</v>
      </c>
      <c r="I216" s="6" t="s">
        <v>8468</v>
      </c>
      <c r="J216" s="6">
        <v>3201295</v>
      </c>
      <c r="K216" s="7" t="s">
        <v>8523</v>
      </c>
      <c r="L216" s="8">
        <v>25094</v>
      </c>
      <c r="M216" s="8" t="str">
        <f t="shared" si="28"/>
        <v>PEN</v>
      </c>
      <c r="N216" s="13"/>
      <c r="O216" s="13">
        <v>15</v>
      </c>
      <c r="P216" s="3">
        <f t="shared" si="23"/>
        <v>0</v>
      </c>
      <c r="Q216" s="3">
        <f t="shared" si="24"/>
        <v>15</v>
      </c>
      <c r="R216" s="13">
        <f t="shared" si="25"/>
        <v>94.3900000000001</v>
      </c>
      <c r="S216" s="24" t="s">
        <v>1334</v>
      </c>
      <c r="T216" s="24" t="s">
        <v>1334</v>
      </c>
      <c r="U216" s="3"/>
      <c r="V216" s="25" t="s">
        <v>8277</v>
      </c>
      <c r="W216" s="25">
        <v>20550372640</v>
      </c>
      <c r="X216" s="25" t="str">
        <f>IFERROR(VLOOKUP(C_Ope_004[[#This Row],[nota_2]],Clientes_Proveedores[[Ruc / Dni]:[Razon Social]],2,0),"")</f>
        <v>RUTAS DE LIMA S.A.C.</v>
      </c>
      <c r="Y216" s="25" t="s">
        <v>7888</v>
      </c>
      <c r="Z216" s="103"/>
      <c r="AA216" s="3" t="str">
        <f>IF(C_Ope_004[[#This Row],[fecha]]&gt;0,TEXT(C_Ope_004[[#This Row],[fecha]],"mmmm"),0)</f>
        <v>Agosto</v>
      </c>
      <c r="AB216" s="49"/>
    </row>
    <row r="217" spans="1:28" x14ac:dyDescent="0.3">
      <c r="A217" s="2">
        <f>IF(C_Ope_004[[#This Row],[tipo_r]]="R",COUNTIFS($C$1:$C216,"R")+1,"")</f>
        <v>216</v>
      </c>
      <c r="B217" s="19" t="str">
        <f t="shared" si="27"/>
        <v>C_Ope_004</v>
      </c>
      <c r="C217" s="3" t="s">
        <v>1330</v>
      </c>
      <c r="D217" s="14">
        <v>45876</v>
      </c>
      <c r="E217" s="5" t="s">
        <v>8466</v>
      </c>
      <c r="F217" s="5" t="s">
        <v>1336</v>
      </c>
      <c r="G217" s="6" t="s">
        <v>979</v>
      </c>
      <c r="H217" s="6" t="s">
        <v>68</v>
      </c>
      <c r="I217" s="6" t="s">
        <v>5627</v>
      </c>
      <c r="J217" s="6">
        <v>1186401</v>
      </c>
      <c r="K217" s="7" t="s">
        <v>8504</v>
      </c>
      <c r="L217" s="8">
        <v>25136</v>
      </c>
      <c r="M217" s="8" t="str">
        <f t="shared" si="28"/>
        <v>PEN</v>
      </c>
      <c r="N217" s="13"/>
      <c r="O217" s="13">
        <v>15</v>
      </c>
      <c r="P217" s="3">
        <f t="shared" si="23"/>
        <v>0</v>
      </c>
      <c r="Q217" s="3">
        <f t="shared" si="24"/>
        <v>15</v>
      </c>
      <c r="R217" s="13">
        <f t="shared" si="25"/>
        <v>79.3900000000001</v>
      </c>
      <c r="S217" s="24" t="s">
        <v>1334</v>
      </c>
      <c r="T217" s="24" t="s">
        <v>1334</v>
      </c>
      <c r="U217" s="3"/>
      <c r="V217" s="25" t="s">
        <v>8277</v>
      </c>
      <c r="W217" s="25">
        <v>20550372640</v>
      </c>
      <c r="X217" s="25" t="str">
        <f>IFERROR(VLOOKUP(C_Ope_004[[#This Row],[nota_2]],Clientes_Proveedores[[Ruc / Dni]:[Razon Social]],2,0),"")</f>
        <v>RUTAS DE LIMA S.A.C.</v>
      </c>
      <c r="Y217" s="25" t="s">
        <v>7888</v>
      </c>
      <c r="Z217" s="103"/>
      <c r="AA217" s="3" t="str">
        <f>IF(C_Ope_004[[#This Row],[fecha]]&gt;0,TEXT(C_Ope_004[[#This Row],[fecha]],"mmmm"),0)</f>
        <v>Agosto</v>
      </c>
      <c r="AB217" s="49"/>
    </row>
    <row r="218" spans="1:28" x14ac:dyDescent="0.3">
      <c r="A218" s="2">
        <f>IF(C_Ope_004[[#This Row],[tipo_r]]="R",COUNTIFS($C$1:$C217,"R")+1,"")</f>
        <v>217</v>
      </c>
      <c r="B218" s="19" t="str">
        <f t="shared" si="27"/>
        <v>C_Ope_004</v>
      </c>
      <c r="C218" s="3" t="s">
        <v>1330</v>
      </c>
      <c r="D218" s="14">
        <v>45876</v>
      </c>
      <c r="E218" s="5" t="s">
        <v>8466</v>
      </c>
      <c r="F218" s="5" t="s">
        <v>1336</v>
      </c>
      <c r="G218" s="6" t="s">
        <v>979</v>
      </c>
      <c r="H218" s="6" t="s">
        <v>68</v>
      </c>
      <c r="I218" s="6" t="s">
        <v>8211</v>
      </c>
      <c r="J218" s="6">
        <v>3078270</v>
      </c>
      <c r="K218" s="7" t="s">
        <v>8518</v>
      </c>
      <c r="L218" s="8">
        <v>25137</v>
      </c>
      <c r="M218" s="8" t="str">
        <f t="shared" si="28"/>
        <v>PEN</v>
      </c>
      <c r="N218" s="13"/>
      <c r="O218" s="13">
        <v>15</v>
      </c>
      <c r="P218" s="3">
        <f t="shared" si="23"/>
        <v>0</v>
      </c>
      <c r="Q218" s="3">
        <f t="shared" si="24"/>
        <v>15</v>
      </c>
      <c r="R218" s="13">
        <f t="shared" si="25"/>
        <v>64.3900000000001</v>
      </c>
      <c r="S218" s="24" t="s">
        <v>1334</v>
      </c>
      <c r="T218" s="24" t="s">
        <v>1334</v>
      </c>
      <c r="U218" s="3"/>
      <c r="V218" s="25" t="s">
        <v>8277</v>
      </c>
      <c r="W218" s="25">
        <v>20550372640</v>
      </c>
      <c r="X218" s="25" t="str">
        <f>IFERROR(VLOOKUP(C_Ope_004[[#This Row],[nota_2]],Clientes_Proveedores[[Ruc / Dni]:[Razon Social]],2,0),"")</f>
        <v>RUTAS DE LIMA S.A.C.</v>
      </c>
      <c r="Y218" s="25" t="s">
        <v>7888</v>
      </c>
      <c r="Z218" s="103"/>
      <c r="AA218" s="3" t="str">
        <f>IF(C_Ope_004[[#This Row],[fecha]]&gt;0,TEXT(C_Ope_004[[#This Row],[fecha]],"mmmm"),0)</f>
        <v>Agosto</v>
      </c>
      <c r="AB218" s="49"/>
    </row>
    <row r="219" spans="1:28" x14ac:dyDescent="0.3">
      <c r="A219" s="16">
        <f>IF(C_Ope_004[[#This Row],[tipo_r]]="R",COUNTIFS($C$1:$C218,"R")+1,"")</f>
        <v>218</v>
      </c>
      <c r="B219" s="19" t="str">
        <f>"C_Ope_004"</f>
        <v>C_Ope_004</v>
      </c>
      <c r="C219" s="3" t="s">
        <v>1330</v>
      </c>
      <c r="D219" s="14">
        <v>45877</v>
      </c>
      <c r="E219" s="5" t="s">
        <v>8466</v>
      </c>
      <c r="F219" s="5" t="s">
        <v>1336</v>
      </c>
      <c r="G219" s="6" t="s">
        <v>979</v>
      </c>
      <c r="H219" s="6" t="s">
        <v>68</v>
      </c>
      <c r="I219" s="6" t="s">
        <v>8502</v>
      </c>
      <c r="J219" s="6">
        <v>2007003</v>
      </c>
      <c r="K219" s="7" t="s">
        <v>8515</v>
      </c>
      <c r="L219" s="8">
        <v>25138</v>
      </c>
      <c r="M219" s="8" t="str">
        <f>"PEN"</f>
        <v>PEN</v>
      </c>
      <c r="N219" s="13"/>
      <c r="O219" s="13">
        <v>15</v>
      </c>
      <c r="P219" s="3">
        <f t="shared" si="23"/>
        <v>0</v>
      </c>
      <c r="Q219" s="3">
        <f t="shared" si="24"/>
        <v>15</v>
      </c>
      <c r="R219" s="3">
        <f t="shared" si="25"/>
        <v>49.3900000000001</v>
      </c>
      <c r="S219" s="24" t="s">
        <v>1334</v>
      </c>
      <c r="T219" s="24" t="s">
        <v>1334</v>
      </c>
      <c r="U219" s="3"/>
      <c r="V219" s="25" t="s">
        <v>8277</v>
      </c>
      <c r="W219" s="25">
        <v>20550372640</v>
      </c>
      <c r="X219" s="25" t="str">
        <f>IFERROR(VLOOKUP(C_Ope_004[[#This Row],[nota_2]],Clientes_Proveedores[[Ruc / Dni]:[Razon Social]],2,0),"")</f>
        <v>RUTAS DE LIMA S.A.C.</v>
      </c>
      <c r="Y219" s="25" t="s">
        <v>7888</v>
      </c>
      <c r="Z219" s="103"/>
      <c r="AA219" s="3" t="str">
        <f>IF(C_Ope_004[[#This Row],[fecha]]&gt;0,TEXT(C_Ope_004[[#This Row],[fecha]],"mmmm"),0)</f>
        <v>Agosto</v>
      </c>
      <c r="AB219" s="49"/>
    </row>
    <row r="220" spans="1:28" x14ac:dyDescent="0.3">
      <c r="A220" s="16">
        <f>IF(C_Ope_004[[#This Row],[tipo_r]]="R",COUNTIFS($C$1:$C219,"R")+1,"")</f>
        <v>219</v>
      </c>
      <c r="B220" s="19" t="str">
        <f>"C_Ope_004"</f>
        <v>C_Ope_004</v>
      </c>
      <c r="C220" s="3" t="s">
        <v>1330</v>
      </c>
      <c r="D220" s="14">
        <v>45877</v>
      </c>
      <c r="E220" s="5" t="s">
        <v>8466</v>
      </c>
      <c r="F220" s="5" t="s">
        <v>1336</v>
      </c>
      <c r="G220" s="6" t="s">
        <v>979</v>
      </c>
      <c r="H220" s="6" t="s">
        <v>68</v>
      </c>
      <c r="I220" s="6" t="s">
        <v>8256</v>
      </c>
      <c r="J220" s="6">
        <v>612240</v>
      </c>
      <c r="K220" s="7" t="s">
        <v>8516</v>
      </c>
      <c r="L220" s="8">
        <v>25139</v>
      </c>
      <c r="M220" s="8" t="str">
        <f>"PEN"</f>
        <v>PEN</v>
      </c>
      <c r="N220" s="13"/>
      <c r="O220" s="13">
        <v>15</v>
      </c>
      <c r="P220" s="3">
        <f t="shared" si="23"/>
        <v>0</v>
      </c>
      <c r="Q220" s="3">
        <f t="shared" si="24"/>
        <v>15</v>
      </c>
      <c r="R220" s="3">
        <f t="shared" si="25"/>
        <v>34.3900000000001</v>
      </c>
      <c r="S220" s="24" t="s">
        <v>1334</v>
      </c>
      <c r="T220" s="24" t="s">
        <v>1334</v>
      </c>
      <c r="U220" s="3"/>
      <c r="V220" s="25" t="s">
        <v>8277</v>
      </c>
      <c r="W220" s="25">
        <v>20550372640</v>
      </c>
      <c r="X220" s="25" t="str">
        <f>IFERROR(VLOOKUP(C_Ope_004[[#This Row],[nota_2]],Clientes_Proveedores[[Ruc / Dni]:[Razon Social]],2,0),"")</f>
        <v>RUTAS DE LIMA S.A.C.</v>
      </c>
      <c r="Y220" s="25" t="s">
        <v>7888</v>
      </c>
      <c r="Z220" s="103"/>
      <c r="AA220" s="3" t="str">
        <f>IF(C_Ope_004[[#This Row],[fecha]]&gt;0,TEXT(C_Ope_004[[#This Row],[fecha]],"mmmm"),0)</f>
        <v>Agosto</v>
      </c>
      <c r="AB220" s="49"/>
    </row>
    <row r="221" spans="1:28" x14ac:dyDescent="0.3">
      <c r="A221" s="16">
        <f>IF(C_Ope_004[[#This Row],[tipo_r]]="R",COUNTIFS($C$1:$C220,"R")+1,"")</f>
        <v>220</v>
      </c>
      <c r="B221" s="19" t="str">
        <f t="shared" ref="B221:B226" si="29">"C_Ope_004"</f>
        <v>C_Ope_004</v>
      </c>
      <c r="C221" s="13" t="s">
        <v>1330</v>
      </c>
      <c r="D221" s="14">
        <v>45881</v>
      </c>
      <c r="E221" s="5" t="s">
        <v>8466</v>
      </c>
      <c r="F221" s="5" t="s">
        <v>1336</v>
      </c>
      <c r="G221" s="6" t="s">
        <v>979</v>
      </c>
      <c r="H221" s="6" t="s">
        <v>68</v>
      </c>
      <c r="I221" s="6" t="s">
        <v>5627</v>
      </c>
      <c r="J221" s="6">
        <v>1188228</v>
      </c>
      <c r="K221" s="7" t="s">
        <v>8515</v>
      </c>
      <c r="L221" s="8">
        <v>25165</v>
      </c>
      <c r="M221" s="8" t="str">
        <f t="shared" ref="M221:M226" si="30">"PEN"</f>
        <v>PEN</v>
      </c>
      <c r="N221" s="13"/>
      <c r="O221" s="13">
        <v>15</v>
      </c>
      <c r="P221" s="3">
        <f t="shared" si="23"/>
        <v>0</v>
      </c>
      <c r="Q221" s="3">
        <f t="shared" si="24"/>
        <v>15</v>
      </c>
      <c r="R221" s="13">
        <f t="shared" si="25"/>
        <v>19.3900000000001</v>
      </c>
      <c r="S221" s="24" t="s">
        <v>1334</v>
      </c>
      <c r="T221" s="24" t="s">
        <v>1334</v>
      </c>
      <c r="U221" s="3"/>
      <c r="V221" s="25" t="s">
        <v>8277</v>
      </c>
      <c r="W221" s="25">
        <v>20550372640</v>
      </c>
      <c r="X221" s="25" t="str">
        <f>IFERROR(VLOOKUP(C_Ope_004[[#This Row],[nota_2]],Clientes_Proveedores[[Ruc / Dni]:[Razon Social]],2,0),"")</f>
        <v>RUTAS DE LIMA S.A.C.</v>
      </c>
      <c r="Y221" s="25" t="s">
        <v>7888</v>
      </c>
      <c r="Z221" s="103"/>
      <c r="AA221" s="3" t="str">
        <f>IF(C_Ope_004[[#This Row],[fecha]]&gt;0,TEXT(C_Ope_004[[#This Row],[fecha]],"mmmm"),0)</f>
        <v>Agosto</v>
      </c>
      <c r="AB221" s="49"/>
    </row>
    <row r="222" spans="1:28" x14ac:dyDescent="0.3">
      <c r="A222" s="16">
        <f>IF(C_Ope_004[[#This Row],[tipo_r]]="R",COUNTIFS($C$1:$C221,"R")+1,"")</f>
        <v>221</v>
      </c>
      <c r="B222" s="19" t="str">
        <f t="shared" si="29"/>
        <v>C_Ope_004</v>
      </c>
      <c r="C222" s="13" t="s">
        <v>1330</v>
      </c>
      <c r="D222" s="14">
        <v>45881</v>
      </c>
      <c r="E222" s="5" t="s">
        <v>8466</v>
      </c>
      <c r="F222" s="5" t="s">
        <v>1336</v>
      </c>
      <c r="G222" s="6" t="s">
        <v>979</v>
      </c>
      <c r="H222" s="6" t="s">
        <v>68</v>
      </c>
      <c r="I222" s="6" t="s">
        <v>8362</v>
      </c>
      <c r="J222" s="6">
        <v>2332364</v>
      </c>
      <c r="K222" s="7" t="s">
        <v>8524</v>
      </c>
      <c r="L222" s="8">
        <v>25166</v>
      </c>
      <c r="M222" s="8" t="str">
        <f t="shared" si="30"/>
        <v>PEN</v>
      </c>
      <c r="N222" s="13"/>
      <c r="O222" s="13">
        <v>15</v>
      </c>
      <c r="P222" s="3">
        <f t="shared" si="23"/>
        <v>0</v>
      </c>
      <c r="Q222" s="3">
        <f t="shared" si="24"/>
        <v>15</v>
      </c>
      <c r="R222" s="13">
        <f t="shared" si="25"/>
        <v>4.3900000000001</v>
      </c>
      <c r="S222" s="24" t="s">
        <v>1334</v>
      </c>
      <c r="T222" s="24" t="s">
        <v>1334</v>
      </c>
      <c r="U222" s="3"/>
      <c r="V222" s="25" t="s">
        <v>8277</v>
      </c>
      <c r="W222" s="25">
        <v>20550372640</v>
      </c>
      <c r="X222" s="25" t="str">
        <f>IFERROR(VLOOKUP(C_Ope_004[[#This Row],[nota_2]],Clientes_Proveedores[[Ruc / Dni]:[Razon Social]],2,0),"")</f>
        <v>RUTAS DE LIMA S.A.C.</v>
      </c>
      <c r="Y222" s="25" t="s">
        <v>7888</v>
      </c>
      <c r="Z222" s="103"/>
      <c r="AA222" s="3" t="str">
        <f>IF(C_Ope_004[[#This Row],[fecha]]&gt;0,TEXT(C_Ope_004[[#This Row],[fecha]],"mmmm"),0)</f>
        <v>Agosto</v>
      </c>
      <c r="AB222" s="49"/>
    </row>
    <row r="223" spans="1:28" x14ac:dyDescent="0.3">
      <c r="A223" s="16">
        <f>IF(C_Ope_004[[#This Row],[tipo_r]]="R",COUNTIFS($C$1:$C222,"R")+1,"")</f>
        <v>222</v>
      </c>
      <c r="B223" s="19" t="str">
        <f>"C_Ope_004"</f>
        <v>C_Ope_004</v>
      </c>
      <c r="C223" s="3" t="s">
        <v>1330</v>
      </c>
      <c r="D223" s="14">
        <v>45888</v>
      </c>
      <c r="E223" s="5" t="s">
        <v>3634</v>
      </c>
      <c r="F223" s="5" t="s">
        <v>1303</v>
      </c>
      <c r="G223" s="6" t="s">
        <v>876</v>
      </c>
      <c r="H223" s="6"/>
      <c r="I223" s="6"/>
      <c r="J223" s="6"/>
      <c r="K223" s="7" t="s">
        <v>8475</v>
      </c>
      <c r="L223" s="8">
        <v>25203</v>
      </c>
      <c r="M223" s="8" t="str">
        <f>"PEN"</f>
        <v>PEN</v>
      </c>
      <c r="N223" s="13"/>
      <c r="O223" s="13">
        <v>150</v>
      </c>
      <c r="P223" s="3">
        <f t="shared" si="23"/>
        <v>150</v>
      </c>
      <c r="Q223" s="3">
        <f t="shared" si="24"/>
        <v>0</v>
      </c>
      <c r="R223" s="13">
        <f t="shared" si="25"/>
        <v>154.3900000000001</v>
      </c>
      <c r="S223" s="24" t="s">
        <v>1334</v>
      </c>
      <c r="T223" s="24" t="s">
        <v>1334</v>
      </c>
      <c r="U223" s="3"/>
      <c r="V223" s="25"/>
      <c r="W223" s="25"/>
      <c r="X223" s="25" t="str">
        <f>IFERROR(VLOOKUP(C_Ope_004[[#This Row],[nota_2]],Clientes_Proveedores[[Ruc / Dni]:[Razon Social]],2,0),"")</f>
        <v/>
      </c>
      <c r="Y223" s="25"/>
      <c r="Z223" s="103"/>
      <c r="AA223" s="3" t="str">
        <f>IF(C_Ope_004[[#This Row],[fecha]]&gt;0,TEXT(C_Ope_004[[#This Row],[fecha]],"mmmm"),0)</f>
        <v>Agosto</v>
      </c>
      <c r="AB223" s="49"/>
    </row>
    <row r="224" spans="1:28" ht="24" x14ac:dyDescent="0.3">
      <c r="A224" s="16">
        <f>IF(C_Ope_004[[#This Row],[tipo_r]]="R",COUNTIFS($C$1:$C223,"R")+1,"")</f>
        <v>223</v>
      </c>
      <c r="B224" s="19" t="str">
        <f t="shared" si="29"/>
        <v>C_Ope_004</v>
      </c>
      <c r="C224" s="13" t="s">
        <v>1330</v>
      </c>
      <c r="D224" s="14">
        <v>45888</v>
      </c>
      <c r="E224" s="5" t="s">
        <v>8466</v>
      </c>
      <c r="F224" s="5" t="s">
        <v>1336</v>
      </c>
      <c r="G224" s="6" t="s">
        <v>735</v>
      </c>
      <c r="H224" s="6" t="s">
        <v>68</v>
      </c>
      <c r="I224" s="6" t="s">
        <v>3078</v>
      </c>
      <c r="J224" s="6">
        <v>42801</v>
      </c>
      <c r="K224" s="7" t="s">
        <v>8525</v>
      </c>
      <c r="L224" s="8">
        <v>25200</v>
      </c>
      <c r="M224" s="8" t="str">
        <f t="shared" si="30"/>
        <v>PEN</v>
      </c>
      <c r="N224" s="13"/>
      <c r="O224" s="13">
        <v>55</v>
      </c>
      <c r="P224" s="3">
        <f t="shared" si="23"/>
        <v>0</v>
      </c>
      <c r="Q224" s="3">
        <f t="shared" si="24"/>
        <v>55</v>
      </c>
      <c r="R224" s="13">
        <f t="shared" si="25"/>
        <v>99.3900000000001</v>
      </c>
      <c r="S224" s="24" t="s">
        <v>1334</v>
      </c>
      <c r="T224" s="24" t="s">
        <v>1334</v>
      </c>
      <c r="U224" s="3"/>
      <c r="V224" s="25" t="s">
        <v>8277</v>
      </c>
      <c r="W224" s="25">
        <v>20514148539</v>
      </c>
      <c r="X224" s="25" t="str">
        <f>IFERROR(VLOOKUP(C_Ope_004[[#This Row],[nota_2]],Clientes_Proveedores[[Ruc / Dni]:[Razon Social]],2,0),"")</f>
        <v>NEGOCIACIONES ABBYCORP E.I.R.L.</v>
      </c>
      <c r="Y224" s="25" t="s">
        <v>7938</v>
      </c>
      <c r="Z224" s="103"/>
      <c r="AA224" s="3" t="str">
        <f>IF(C_Ope_004[[#This Row],[fecha]]&gt;0,TEXT(C_Ope_004[[#This Row],[fecha]],"mmmm"),0)</f>
        <v>Agosto</v>
      </c>
      <c r="AB224" s="49"/>
    </row>
    <row r="225" spans="1:28" x14ac:dyDescent="0.3">
      <c r="A225" s="16">
        <f>IF(C_Ope_004[[#This Row],[tipo_r]]="R",COUNTIFS($C$1:$C224,"R")+1,"")</f>
        <v>224</v>
      </c>
      <c r="B225" s="19" t="str">
        <f t="shared" si="29"/>
        <v>C_Ope_004</v>
      </c>
      <c r="C225" s="13" t="s">
        <v>1330</v>
      </c>
      <c r="D225" s="14">
        <v>45890</v>
      </c>
      <c r="E225" s="5" t="s">
        <v>8466</v>
      </c>
      <c r="F225" s="5" t="s">
        <v>1336</v>
      </c>
      <c r="G225" s="6" t="s">
        <v>979</v>
      </c>
      <c r="H225" s="6" t="s">
        <v>68</v>
      </c>
      <c r="I225" s="6" t="s">
        <v>8502</v>
      </c>
      <c r="J225" s="6">
        <v>2016842</v>
      </c>
      <c r="K225" s="7" t="s">
        <v>8504</v>
      </c>
      <c r="L225" s="8">
        <v>25234</v>
      </c>
      <c r="M225" s="8" t="str">
        <f t="shared" si="30"/>
        <v>PEN</v>
      </c>
      <c r="N225" s="13"/>
      <c r="O225" s="13">
        <v>15</v>
      </c>
      <c r="P225" s="3">
        <f t="shared" si="23"/>
        <v>0</v>
      </c>
      <c r="Q225" s="3">
        <f t="shared" si="24"/>
        <v>15</v>
      </c>
      <c r="R225" s="13">
        <f t="shared" si="25"/>
        <v>84.3900000000001</v>
      </c>
      <c r="S225" s="24" t="s">
        <v>1334</v>
      </c>
      <c r="T225" s="24" t="s">
        <v>1334</v>
      </c>
      <c r="U225" s="3"/>
      <c r="V225" s="25" t="s">
        <v>8277</v>
      </c>
      <c r="W225" s="25">
        <v>20550372640</v>
      </c>
      <c r="X225" s="25" t="str">
        <f>IFERROR(VLOOKUP(C_Ope_004[[#This Row],[nota_2]],Clientes_Proveedores[[Ruc / Dni]:[Razon Social]],2,0),"")</f>
        <v>RUTAS DE LIMA S.A.C.</v>
      </c>
      <c r="Y225" s="25" t="s">
        <v>7888</v>
      </c>
      <c r="Z225" s="103"/>
      <c r="AA225" s="3" t="str">
        <f>IF(C_Ope_004[[#This Row],[fecha]]&gt;0,TEXT(C_Ope_004[[#This Row],[fecha]],"mmmm"),0)</f>
        <v>Agosto</v>
      </c>
      <c r="AB225" s="49"/>
    </row>
    <row r="226" spans="1:28" x14ac:dyDescent="0.3">
      <c r="A226" s="16">
        <f>IF(C_Ope_004[[#This Row],[tipo_r]]="R",COUNTIFS($C$1:$C225,"R")+1,"")</f>
        <v>225</v>
      </c>
      <c r="B226" s="19" t="str">
        <f t="shared" si="29"/>
        <v>C_Ope_004</v>
      </c>
      <c r="C226" s="13" t="s">
        <v>1330</v>
      </c>
      <c r="D226" s="14">
        <v>45890</v>
      </c>
      <c r="E226" s="5" t="s">
        <v>8466</v>
      </c>
      <c r="F226" s="5" t="s">
        <v>1336</v>
      </c>
      <c r="G226" s="6" t="s">
        <v>979</v>
      </c>
      <c r="H226" s="6" t="s">
        <v>68</v>
      </c>
      <c r="I226" s="6" t="s">
        <v>8434</v>
      </c>
      <c r="J226" s="6">
        <v>3801852</v>
      </c>
      <c r="K226" s="7" t="s">
        <v>8505</v>
      </c>
      <c r="L226" s="8">
        <v>25235</v>
      </c>
      <c r="M226" s="8" t="str">
        <f t="shared" si="30"/>
        <v>PEN</v>
      </c>
      <c r="N226" s="13"/>
      <c r="O226" s="13">
        <v>15</v>
      </c>
      <c r="P226" s="3">
        <f t="shared" si="23"/>
        <v>0</v>
      </c>
      <c r="Q226" s="3">
        <f t="shared" si="24"/>
        <v>15</v>
      </c>
      <c r="R226" s="13">
        <f t="shared" si="25"/>
        <v>69.3900000000001</v>
      </c>
      <c r="S226" s="24" t="s">
        <v>1334</v>
      </c>
      <c r="T226" s="24" t="s">
        <v>1334</v>
      </c>
      <c r="U226" s="3"/>
      <c r="V226" s="25" t="s">
        <v>8277</v>
      </c>
      <c r="W226" s="25">
        <v>20550372640</v>
      </c>
      <c r="X226" s="25" t="str">
        <f>IFERROR(VLOOKUP(C_Ope_004[[#This Row],[nota_2]],Clientes_Proveedores[[Ruc / Dni]:[Razon Social]],2,0),"")</f>
        <v>RUTAS DE LIMA S.A.C.</v>
      </c>
      <c r="Y226" s="25" t="s">
        <v>7888</v>
      </c>
      <c r="Z226" s="103"/>
      <c r="AA226" s="3" t="str">
        <f>IF(C_Ope_004[[#This Row],[fecha]]&gt;0,TEXT(C_Ope_004[[#This Row],[fecha]],"mmmm"),0)</f>
        <v>Agosto</v>
      </c>
      <c r="AB226" s="49"/>
    </row>
    <row r="227" spans="1:28" x14ac:dyDescent="0.3">
      <c r="A227" s="2">
        <f>IF(C_Ope_004[[#This Row],[tipo_r]]="R",COUNTIFS($C$1:$C226,"R")+1,"")</f>
        <v>226</v>
      </c>
      <c r="B227" s="19" t="str">
        <f t="shared" ref="B227:B235" si="31">"C_Ope_004"</f>
        <v>C_Ope_004</v>
      </c>
      <c r="C227" s="3" t="s">
        <v>1330</v>
      </c>
      <c r="D227" s="14">
        <v>45894</v>
      </c>
      <c r="E227" s="5" t="s">
        <v>8466</v>
      </c>
      <c r="F227" s="5" t="s">
        <v>1336</v>
      </c>
      <c r="G227" s="6" t="s">
        <v>979</v>
      </c>
      <c r="H227" s="6" t="s">
        <v>68</v>
      </c>
      <c r="I227" s="6" t="s">
        <v>8502</v>
      </c>
      <c r="J227" s="6">
        <v>2019123</v>
      </c>
      <c r="K227" s="7" t="s">
        <v>8526</v>
      </c>
      <c r="L227" s="8">
        <v>25255</v>
      </c>
      <c r="M227" s="8" t="str">
        <f t="shared" ref="M227:M235" si="32">"PEN"</f>
        <v>PEN</v>
      </c>
      <c r="N227" s="13"/>
      <c r="O227" s="13">
        <v>15</v>
      </c>
      <c r="P227" s="3">
        <f t="shared" si="23"/>
        <v>0</v>
      </c>
      <c r="Q227" s="3">
        <f t="shared" si="24"/>
        <v>15</v>
      </c>
      <c r="R227" s="3">
        <f t="shared" si="25"/>
        <v>54.3900000000001</v>
      </c>
      <c r="S227" s="24" t="s">
        <v>1334</v>
      </c>
      <c r="T227" s="24" t="s">
        <v>1334</v>
      </c>
      <c r="U227" s="3"/>
      <c r="V227" s="25" t="s">
        <v>8277</v>
      </c>
      <c r="W227" s="25">
        <v>20550372640</v>
      </c>
      <c r="X227" s="25" t="str">
        <f>IFERROR(VLOOKUP(C_Ope_004[[#This Row],[nota_2]],Clientes_Proveedores[[Ruc / Dni]:[Razon Social]],2,0),"")</f>
        <v>RUTAS DE LIMA S.A.C.</v>
      </c>
      <c r="Y227" s="25" t="s">
        <v>7888</v>
      </c>
      <c r="Z227" s="103"/>
      <c r="AA227" s="3" t="str">
        <f>IF(C_Ope_004[[#This Row],[fecha]]&gt;0,TEXT(C_Ope_004[[#This Row],[fecha]],"mmmm"),0)</f>
        <v>Agosto</v>
      </c>
      <c r="AB227" s="49"/>
    </row>
    <row r="228" spans="1:28" x14ac:dyDescent="0.3">
      <c r="A228" s="2">
        <f>IF(C_Ope_004[[#This Row],[tipo_r]]="R",COUNTIFS($C$1:$C227,"R")+1,"")</f>
        <v>227</v>
      </c>
      <c r="B228" s="19" t="str">
        <f>"C_Ope_004"</f>
        <v>C_Ope_004</v>
      </c>
      <c r="C228" s="3" t="s">
        <v>1330</v>
      </c>
      <c r="D228" s="14">
        <v>45895</v>
      </c>
      <c r="E228" s="5" t="s">
        <v>3634</v>
      </c>
      <c r="F228" s="5" t="s">
        <v>1303</v>
      </c>
      <c r="G228" s="6" t="s">
        <v>876</v>
      </c>
      <c r="H228" s="6"/>
      <c r="I228" s="6"/>
      <c r="J228" s="6"/>
      <c r="K228" s="7" t="s">
        <v>8475</v>
      </c>
      <c r="L228" s="8">
        <v>25273</v>
      </c>
      <c r="M228" s="8" t="str">
        <f>"PEN"</f>
        <v>PEN</v>
      </c>
      <c r="N228" s="13"/>
      <c r="O228" s="13">
        <v>100</v>
      </c>
      <c r="P228" s="3">
        <f t="shared" si="23"/>
        <v>100</v>
      </c>
      <c r="Q228" s="3">
        <f t="shared" si="24"/>
        <v>0</v>
      </c>
      <c r="R228" s="3">
        <f t="shared" si="25"/>
        <v>154.3900000000001</v>
      </c>
      <c r="S228" s="24" t="s">
        <v>1334</v>
      </c>
      <c r="T228" s="24" t="s">
        <v>1334</v>
      </c>
      <c r="U228" s="3"/>
      <c r="V228" s="25"/>
      <c r="W228" s="25"/>
      <c r="X228" s="25" t="str">
        <f>IFERROR(VLOOKUP(C_Ope_004[[#This Row],[nota_2]],Clientes_Proveedores[[Ruc / Dni]:[Razon Social]],2,0),"")</f>
        <v/>
      </c>
      <c r="Y228" s="25"/>
      <c r="Z228" s="103"/>
      <c r="AA228" s="3" t="str">
        <f>IF(C_Ope_004[[#This Row],[fecha]]&gt;0,TEXT(C_Ope_004[[#This Row],[fecha]],"mmmm"),0)</f>
        <v>Agosto</v>
      </c>
      <c r="AB228" s="49"/>
    </row>
    <row r="229" spans="1:28" x14ac:dyDescent="0.3">
      <c r="A229" s="2">
        <f>IF(C_Ope_004[[#This Row],[tipo_r]]="R",COUNTIFS($C$1:$C228,"R")+1,"")</f>
        <v>228</v>
      </c>
      <c r="B229" s="19" t="str">
        <f t="shared" si="31"/>
        <v>C_Ope_004</v>
      </c>
      <c r="C229" s="3" t="s">
        <v>1330</v>
      </c>
      <c r="D229" s="14">
        <v>45895</v>
      </c>
      <c r="E229" s="5" t="s">
        <v>8466</v>
      </c>
      <c r="F229" s="5" t="s">
        <v>1336</v>
      </c>
      <c r="G229" s="6" t="s">
        <v>979</v>
      </c>
      <c r="H229" s="6" t="s">
        <v>68</v>
      </c>
      <c r="I229" s="6" t="s">
        <v>8468</v>
      </c>
      <c r="J229" s="6">
        <v>3217535</v>
      </c>
      <c r="K229" s="7" t="s">
        <v>8516</v>
      </c>
      <c r="L229" s="8">
        <v>25270</v>
      </c>
      <c r="M229" s="8" t="str">
        <f t="shared" si="32"/>
        <v>PEN</v>
      </c>
      <c r="N229" s="13"/>
      <c r="O229" s="13">
        <v>15</v>
      </c>
      <c r="P229" s="3">
        <f t="shared" si="23"/>
        <v>0</v>
      </c>
      <c r="Q229" s="3">
        <f t="shared" si="24"/>
        <v>15</v>
      </c>
      <c r="R229" s="3">
        <f t="shared" si="25"/>
        <v>139.3900000000001</v>
      </c>
      <c r="S229" s="24" t="s">
        <v>1334</v>
      </c>
      <c r="T229" s="24" t="s">
        <v>1334</v>
      </c>
      <c r="U229" s="3"/>
      <c r="V229" s="25" t="s">
        <v>8277</v>
      </c>
      <c r="W229" s="25">
        <v>20550372640</v>
      </c>
      <c r="X229" s="25" t="str">
        <f>IFERROR(VLOOKUP(C_Ope_004[[#This Row],[nota_2]],Clientes_Proveedores[[Ruc / Dni]:[Razon Social]],2,0),"")</f>
        <v>RUTAS DE LIMA S.A.C.</v>
      </c>
      <c r="Y229" s="25" t="s">
        <v>7888</v>
      </c>
      <c r="Z229" s="103"/>
      <c r="AA229" s="3" t="str">
        <f>IF(C_Ope_004[[#This Row],[fecha]]&gt;0,TEXT(C_Ope_004[[#This Row],[fecha]],"mmmm"),0)</f>
        <v>Agosto</v>
      </c>
      <c r="AB229" s="49"/>
    </row>
    <row r="230" spans="1:28" x14ac:dyDescent="0.3">
      <c r="A230" s="2">
        <f>IF(C_Ope_004[[#This Row],[tipo_r]]="R",COUNTIFS($C$1:$C229,"R")+1,"")</f>
        <v>229</v>
      </c>
      <c r="B230" s="19" t="str">
        <f t="shared" si="31"/>
        <v>C_Ope_004</v>
      </c>
      <c r="C230" s="3" t="s">
        <v>1330</v>
      </c>
      <c r="D230" s="14">
        <v>45895</v>
      </c>
      <c r="E230" s="5" t="s">
        <v>8466</v>
      </c>
      <c r="F230" s="5" t="s">
        <v>1336</v>
      </c>
      <c r="G230" s="6" t="s">
        <v>979</v>
      </c>
      <c r="H230" s="6" t="s">
        <v>68</v>
      </c>
      <c r="I230" s="6" t="s">
        <v>6389</v>
      </c>
      <c r="J230" s="6">
        <v>3851742</v>
      </c>
      <c r="K230" s="7" t="s">
        <v>8515</v>
      </c>
      <c r="L230" s="8">
        <v>25271</v>
      </c>
      <c r="M230" s="8" t="str">
        <f t="shared" si="32"/>
        <v>PEN</v>
      </c>
      <c r="N230" s="13"/>
      <c r="O230" s="13">
        <v>15</v>
      </c>
      <c r="P230" s="3">
        <f t="shared" si="23"/>
        <v>0</v>
      </c>
      <c r="Q230" s="3">
        <f t="shared" si="24"/>
        <v>15</v>
      </c>
      <c r="R230" s="3">
        <f t="shared" si="25"/>
        <v>124.3900000000001</v>
      </c>
      <c r="S230" s="24" t="s">
        <v>1334</v>
      </c>
      <c r="T230" s="24" t="s">
        <v>1334</v>
      </c>
      <c r="U230" s="3"/>
      <c r="V230" s="25" t="s">
        <v>8277</v>
      </c>
      <c r="W230" s="25">
        <v>20550372640</v>
      </c>
      <c r="X230" s="25" t="str">
        <f>IFERROR(VLOOKUP(C_Ope_004[[#This Row],[nota_2]],Clientes_Proveedores[[Ruc / Dni]:[Razon Social]],2,0),"")</f>
        <v>RUTAS DE LIMA S.A.C.</v>
      </c>
      <c r="Y230" s="25" t="s">
        <v>7888</v>
      </c>
      <c r="Z230" s="103"/>
      <c r="AA230" s="3" t="str">
        <f>IF(C_Ope_004[[#This Row],[fecha]]&gt;0,TEXT(C_Ope_004[[#This Row],[fecha]],"mmmm"),0)</f>
        <v>Agosto</v>
      </c>
      <c r="AB230" s="49"/>
    </row>
    <row r="231" spans="1:28" x14ac:dyDescent="0.3">
      <c r="A231" s="2">
        <f>IF(C_Ope_004[[#This Row],[tipo_r]]="R",COUNTIFS($C$1:$C230,"R")+1,"")</f>
        <v>230</v>
      </c>
      <c r="B231" s="19" t="str">
        <f t="shared" si="31"/>
        <v>C_Ope_004</v>
      </c>
      <c r="C231" s="3" t="s">
        <v>1330</v>
      </c>
      <c r="D231" s="14">
        <v>45895</v>
      </c>
      <c r="E231" s="5" t="s">
        <v>8466</v>
      </c>
      <c r="F231" s="5" t="s">
        <v>1336</v>
      </c>
      <c r="G231" s="6" t="s">
        <v>979</v>
      </c>
      <c r="H231" s="6" t="s">
        <v>68</v>
      </c>
      <c r="I231" s="6" t="s">
        <v>8468</v>
      </c>
      <c r="J231" s="6">
        <v>3217536</v>
      </c>
      <c r="K231" s="7" t="s">
        <v>8516</v>
      </c>
      <c r="L231" s="8">
        <v>25272</v>
      </c>
      <c r="M231" s="8" t="str">
        <f t="shared" si="32"/>
        <v>PEN</v>
      </c>
      <c r="N231" s="13"/>
      <c r="O231" s="13">
        <v>15</v>
      </c>
      <c r="P231" s="3">
        <f t="shared" si="23"/>
        <v>0</v>
      </c>
      <c r="Q231" s="3">
        <f t="shared" si="24"/>
        <v>15</v>
      </c>
      <c r="R231" s="3">
        <f t="shared" si="25"/>
        <v>109.3900000000001</v>
      </c>
      <c r="S231" s="24" t="s">
        <v>1334</v>
      </c>
      <c r="T231" s="24" t="s">
        <v>1334</v>
      </c>
      <c r="U231" s="3"/>
      <c r="V231" s="25" t="s">
        <v>8277</v>
      </c>
      <c r="W231" s="25">
        <v>20550372640</v>
      </c>
      <c r="X231" s="25" t="str">
        <f>IFERROR(VLOOKUP(C_Ope_004[[#This Row],[nota_2]],Clientes_Proveedores[[Ruc / Dni]:[Razon Social]],2,0),"")</f>
        <v>RUTAS DE LIMA S.A.C.</v>
      </c>
      <c r="Y231" s="25" t="s">
        <v>7888</v>
      </c>
      <c r="Z231" s="103"/>
      <c r="AA231" s="3" t="str">
        <f>IF(C_Ope_004[[#This Row],[fecha]]&gt;0,TEXT(C_Ope_004[[#This Row],[fecha]],"mmmm"),0)</f>
        <v>Agosto</v>
      </c>
      <c r="AB231" s="49"/>
    </row>
    <row r="232" spans="1:28" x14ac:dyDescent="0.3">
      <c r="A232" s="2">
        <f>IF(C_Ope_004[[#This Row],[tipo_r]]="R",COUNTIFS($C$1:$C231,"R")+1,"")</f>
        <v>231</v>
      </c>
      <c r="B232" s="19" t="str">
        <f t="shared" si="31"/>
        <v>C_Ope_004</v>
      </c>
      <c r="C232" s="3" t="s">
        <v>1330</v>
      </c>
      <c r="D232" s="14">
        <v>45897</v>
      </c>
      <c r="E232" s="5" t="s">
        <v>8466</v>
      </c>
      <c r="F232" s="5" t="s">
        <v>1336</v>
      </c>
      <c r="G232" s="6" t="s">
        <v>979</v>
      </c>
      <c r="H232" s="6" t="s">
        <v>68</v>
      </c>
      <c r="I232" s="6" t="s">
        <v>6204</v>
      </c>
      <c r="J232" s="6">
        <v>3500577</v>
      </c>
      <c r="K232" s="7" t="s">
        <v>8504</v>
      </c>
      <c r="L232" s="8">
        <v>25288</v>
      </c>
      <c r="M232" s="8" t="str">
        <f t="shared" si="32"/>
        <v>PEN</v>
      </c>
      <c r="N232" s="13"/>
      <c r="O232" s="13">
        <v>15</v>
      </c>
      <c r="P232" s="3">
        <f t="shared" si="23"/>
        <v>0</v>
      </c>
      <c r="Q232" s="3">
        <f t="shared" si="24"/>
        <v>15</v>
      </c>
      <c r="R232" s="3">
        <f t="shared" si="25"/>
        <v>94.3900000000001</v>
      </c>
      <c r="S232" s="24" t="s">
        <v>1334</v>
      </c>
      <c r="T232" s="24"/>
      <c r="U232" s="3"/>
      <c r="V232" s="25" t="s">
        <v>8277</v>
      </c>
      <c r="W232" s="25">
        <v>20550372640</v>
      </c>
      <c r="X232" s="25" t="str">
        <f>IFERROR(VLOOKUP(C_Ope_004[[#This Row],[nota_2]],Clientes_Proveedores[[Ruc / Dni]:[Razon Social]],2,0),"")</f>
        <v>RUTAS DE LIMA S.A.C.</v>
      </c>
      <c r="Y232" s="25" t="s">
        <v>7888</v>
      </c>
      <c r="Z232" s="103"/>
      <c r="AA232" s="3" t="str">
        <f>IF(C_Ope_004[[#This Row],[fecha]]&gt;0,TEXT(C_Ope_004[[#This Row],[fecha]],"mmmm"),0)</f>
        <v>Agosto</v>
      </c>
      <c r="AB232" s="49"/>
    </row>
    <row r="233" spans="1:28" x14ac:dyDescent="0.3">
      <c r="A233" s="2">
        <f>IF(C_Ope_004[[#This Row],[tipo_r]]="R",COUNTIFS($C$1:$C232,"R")+1,"")</f>
        <v>232</v>
      </c>
      <c r="B233" s="19" t="str">
        <f t="shared" si="31"/>
        <v>C_Ope_004</v>
      </c>
      <c r="C233" s="3" t="s">
        <v>1330</v>
      </c>
      <c r="D233" s="14">
        <v>45897</v>
      </c>
      <c r="E233" s="5" t="s">
        <v>8466</v>
      </c>
      <c r="F233" s="5" t="s">
        <v>1336</v>
      </c>
      <c r="G233" s="6" t="s">
        <v>979</v>
      </c>
      <c r="H233" s="6" t="s">
        <v>68</v>
      </c>
      <c r="I233" s="6" t="s">
        <v>8256</v>
      </c>
      <c r="J233" s="6">
        <v>618812</v>
      </c>
      <c r="K233" s="7" t="s">
        <v>8518</v>
      </c>
      <c r="L233" s="8">
        <v>25290</v>
      </c>
      <c r="M233" s="8" t="str">
        <f t="shared" si="32"/>
        <v>PEN</v>
      </c>
      <c r="N233" s="13"/>
      <c r="O233" s="13">
        <v>15</v>
      </c>
      <c r="P233" s="3">
        <f t="shared" si="23"/>
        <v>0</v>
      </c>
      <c r="Q233" s="3">
        <f t="shared" si="24"/>
        <v>15</v>
      </c>
      <c r="R233" s="3">
        <f t="shared" si="25"/>
        <v>79.3900000000001</v>
      </c>
      <c r="S233" s="24" t="s">
        <v>1334</v>
      </c>
      <c r="T233" s="24"/>
      <c r="U233" s="3"/>
      <c r="V233" s="25" t="s">
        <v>8277</v>
      </c>
      <c r="W233" s="25">
        <v>20550372640</v>
      </c>
      <c r="X233" s="25" t="str">
        <f>IFERROR(VLOOKUP(C_Ope_004[[#This Row],[nota_2]],Clientes_Proveedores[[Ruc / Dni]:[Razon Social]],2,0),"")</f>
        <v>RUTAS DE LIMA S.A.C.</v>
      </c>
      <c r="Y233" s="25" t="s">
        <v>7888</v>
      </c>
      <c r="Z233" s="103"/>
      <c r="AA233" s="3" t="str">
        <f>IF(C_Ope_004[[#This Row],[fecha]]&gt;0,TEXT(C_Ope_004[[#This Row],[fecha]],"mmmm"),0)</f>
        <v>Agosto</v>
      </c>
      <c r="AB233" s="49"/>
    </row>
    <row r="234" spans="1:28" x14ac:dyDescent="0.3">
      <c r="A234" s="2">
        <f>IF(C_Ope_004[[#This Row],[tipo_r]]="R",COUNTIFS($C$1:$C233,"R")+1,"")</f>
        <v>233</v>
      </c>
      <c r="B234" s="19" t="str">
        <f t="shared" si="31"/>
        <v>C_Ope_004</v>
      </c>
      <c r="C234" s="3" t="s">
        <v>1330</v>
      </c>
      <c r="D234" s="14">
        <v>45898</v>
      </c>
      <c r="E234" s="5" t="s">
        <v>8466</v>
      </c>
      <c r="F234" s="5" t="s">
        <v>1336</v>
      </c>
      <c r="G234" s="6" t="s">
        <v>979</v>
      </c>
      <c r="H234" s="6" t="s">
        <v>68</v>
      </c>
      <c r="I234" s="6" t="s">
        <v>6389</v>
      </c>
      <c r="J234" s="6">
        <v>3856042</v>
      </c>
      <c r="K234" s="7" t="s">
        <v>8522</v>
      </c>
      <c r="L234" s="8">
        <v>25305</v>
      </c>
      <c r="M234" s="8" t="str">
        <f t="shared" si="32"/>
        <v>PEN</v>
      </c>
      <c r="N234" s="13"/>
      <c r="O234" s="13">
        <v>15</v>
      </c>
      <c r="P234" s="3">
        <f t="shared" si="23"/>
        <v>0</v>
      </c>
      <c r="Q234" s="3">
        <f t="shared" si="24"/>
        <v>15</v>
      </c>
      <c r="R234" s="3">
        <f t="shared" si="25"/>
        <v>64.3900000000001</v>
      </c>
      <c r="S234" s="24" t="s">
        <v>1334</v>
      </c>
      <c r="T234" s="24"/>
      <c r="U234" s="3"/>
      <c r="V234" s="25" t="s">
        <v>8277</v>
      </c>
      <c r="W234" s="25">
        <v>20550372640</v>
      </c>
      <c r="X234" s="25" t="str">
        <f>IFERROR(VLOOKUP(C_Ope_004[[#This Row],[nota_2]],Clientes_Proveedores[[Ruc / Dni]:[Razon Social]],2,0),"")</f>
        <v>RUTAS DE LIMA S.A.C.</v>
      </c>
      <c r="Y234" s="25" t="s">
        <v>7888</v>
      </c>
      <c r="Z234" s="103"/>
      <c r="AA234" s="3" t="str">
        <f>IF(C_Ope_004[[#This Row],[fecha]]&gt;0,TEXT(C_Ope_004[[#This Row],[fecha]],"mmmm"),0)</f>
        <v>Agosto</v>
      </c>
      <c r="AB234" s="49"/>
    </row>
    <row r="235" spans="1:28" x14ac:dyDescent="0.3">
      <c r="A235" s="2">
        <f>IF(C_Ope_004[[#This Row],[tipo_r]]="R",COUNTIFS($C$1:$C234,"R")+1,"")</f>
        <v>234</v>
      </c>
      <c r="B235" s="19" t="str">
        <f t="shared" si="31"/>
        <v>C_Ope_004</v>
      </c>
      <c r="C235" s="3" t="s">
        <v>1330</v>
      </c>
      <c r="D235" s="14">
        <v>45898</v>
      </c>
      <c r="E235" s="5" t="s">
        <v>8466</v>
      </c>
      <c r="F235" s="5" t="s">
        <v>1336</v>
      </c>
      <c r="G235" s="6" t="s">
        <v>979</v>
      </c>
      <c r="H235" s="6" t="s">
        <v>68</v>
      </c>
      <c r="I235" s="6" t="s">
        <v>8468</v>
      </c>
      <c r="J235" s="6">
        <v>3220266</v>
      </c>
      <c r="K235" s="7" t="s">
        <v>8527</v>
      </c>
      <c r="L235" s="8">
        <v>25307</v>
      </c>
      <c r="M235" s="8" t="str">
        <f t="shared" si="32"/>
        <v>PEN</v>
      </c>
      <c r="N235" s="13"/>
      <c r="O235" s="13">
        <v>15</v>
      </c>
      <c r="P235" s="3">
        <f t="shared" si="23"/>
        <v>0</v>
      </c>
      <c r="Q235" s="3">
        <f t="shared" si="24"/>
        <v>15</v>
      </c>
      <c r="R235" s="3">
        <f t="shared" si="25"/>
        <v>49.3900000000001</v>
      </c>
      <c r="S235" s="24" t="s">
        <v>1334</v>
      </c>
      <c r="T235" s="24"/>
      <c r="U235" s="3"/>
      <c r="V235" s="25" t="s">
        <v>8277</v>
      </c>
      <c r="W235" s="25">
        <v>20550372640</v>
      </c>
      <c r="X235" s="25" t="str">
        <f>IFERROR(VLOOKUP(C_Ope_004[[#This Row],[nota_2]],Clientes_Proveedores[[Ruc / Dni]:[Razon Social]],2,0),"")</f>
        <v>RUTAS DE LIMA S.A.C.</v>
      </c>
      <c r="Y235" s="25" t="s">
        <v>7888</v>
      </c>
      <c r="Z235" s="103"/>
      <c r="AA235" s="3" t="str">
        <f>IF(C_Ope_004[[#This Row],[fecha]]&gt;0,TEXT(C_Ope_004[[#This Row],[fecha]],"mmmm"),0)</f>
        <v>Agosto</v>
      </c>
      <c r="AB235" s="49"/>
    </row>
    <row r="236" spans="1:28" x14ac:dyDescent="0.3">
      <c r="A236" s="2">
        <f>IF(C_Ope_004[[#This Row],[tipo_r]]="R",COUNTIFS($C$1:$C235,"R")+1,"")</f>
        <v>235</v>
      </c>
      <c r="B236" s="19" t="str">
        <f>"C_Ope_004"</f>
        <v>C_Ope_004</v>
      </c>
      <c r="C236" s="3" t="s">
        <v>1330</v>
      </c>
      <c r="D236" s="14">
        <v>45902</v>
      </c>
      <c r="E236" s="5" t="s">
        <v>3634</v>
      </c>
      <c r="F236" s="5" t="s">
        <v>1303</v>
      </c>
      <c r="G236" s="6" t="s">
        <v>876</v>
      </c>
      <c r="H236" s="6"/>
      <c r="I236" s="6"/>
      <c r="J236" s="6"/>
      <c r="K236" s="7" t="s">
        <v>8475</v>
      </c>
      <c r="L236" s="8">
        <v>25350</v>
      </c>
      <c r="M236" s="8" t="str">
        <f>"PEN"</f>
        <v>PEN</v>
      </c>
      <c r="N236" s="13"/>
      <c r="O236" s="13">
        <v>150</v>
      </c>
      <c r="P236" s="3">
        <f>+IF(OR($F236="SALDO",$F236="INGRESO"),$O236,0)</f>
        <v>150</v>
      </c>
      <c r="Q236" s="3">
        <f>+IF($F236="EGRESO",$O236,0)</f>
        <v>0</v>
      </c>
      <c r="R236" s="3">
        <f t="shared" si="25"/>
        <v>199.3900000000001</v>
      </c>
      <c r="S236" s="24" t="s">
        <v>1334</v>
      </c>
      <c r="T236" s="24" t="s">
        <v>1334</v>
      </c>
      <c r="U236" s="3"/>
      <c r="V236" s="25"/>
      <c r="W236" s="25"/>
      <c r="X236" s="25" t="str">
        <f>IFERROR(VLOOKUP(C_Ope_004[[#This Row],[nota_2]],Clientes_Proveedores[[Ruc / Dni]:[Razon Social]],2,0),"")</f>
        <v/>
      </c>
      <c r="Y236" s="25"/>
      <c r="Z236" s="25"/>
      <c r="AA236" s="3" t="str">
        <f>IF(C_Ope_004[[#This Row],[fecha]]&gt;0,TEXT(C_Ope_004[[#This Row],[fecha]],"mmmm"),0)</f>
        <v>Setiembre</v>
      </c>
      <c r="AB236" s="49"/>
    </row>
    <row r="237" spans="1:28" x14ac:dyDescent="0.3">
      <c r="A237" s="2">
        <f>IF(C_Ope_004[[#This Row],[tipo_r]]="R",COUNTIFS($C$1:$C236,"R")+1,"")</f>
        <v>236</v>
      </c>
      <c r="B237" s="19" t="str">
        <f t="shared" ref="B237:B254" si="33">"C_Ope_004"</f>
        <v>C_Ope_004</v>
      </c>
      <c r="C237" s="3" t="s">
        <v>1330</v>
      </c>
      <c r="D237" s="14">
        <v>45902</v>
      </c>
      <c r="E237" s="5" t="s">
        <v>8466</v>
      </c>
      <c r="F237" s="5" t="s">
        <v>1336</v>
      </c>
      <c r="G237" s="6" t="s">
        <v>979</v>
      </c>
      <c r="H237" s="6" t="s">
        <v>68</v>
      </c>
      <c r="I237" s="6" t="s">
        <v>8502</v>
      </c>
      <c r="J237" s="6">
        <v>2025053</v>
      </c>
      <c r="K237" s="7" t="s">
        <v>8519</v>
      </c>
      <c r="L237" s="8">
        <v>25349</v>
      </c>
      <c r="M237" s="8" t="str">
        <f t="shared" ref="M237:M254" si="34">"PEN"</f>
        <v>PEN</v>
      </c>
      <c r="N237" s="13"/>
      <c r="O237" s="13">
        <v>15</v>
      </c>
      <c r="P237" s="3">
        <f t="shared" ref="P237:P254" si="35">+IF(OR($F237="SALDO",$F237="INGRESO"),$O237,0)</f>
        <v>0</v>
      </c>
      <c r="Q237" s="3">
        <f t="shared" ref="Q237:Q254" si="36">+IF($F237="EGRESO",$O237,0)</f>
        <v>15</v>
      </c>
      <c r="R237" s="3">
        <f t="shared" si="25"/>
        <v>184.3900000000001</v>
      </c>
      <c r="S237" s="24" t="s">
        <v>1334</v>
      </c>
      <c r="T237" s="24"/>
      <c r="U237" s="3"/>
      <c r="V237" s="25" t="s">
        <v>8277</v>
      </c>
      <c r="W237" s="25">
        <v>20550372640</v>
      </c>
      <c r="X237" s="25" t="str">
        <f>IFERROR(VLOOKUP(C_Ope_004[[#This Row],[nota_2]],Clientes_Proveedores[[Ruc / Dni]:[Razon Social]],2,0),"")</f>
        <v>RUTAS DE LIMA S.A.C.</v>
      </c>
      <c r="Y237" s="25" t="s">
        <v>7888</v>
      </c>
      <c r="Z237" s="25"/>
      <c r="AA237" s="3" t="str">
        <f>IF(C_Ope_004[[#This Row],[fecha]]&gt;0,TEXT(C_Ope_004[[#This Row],[fecha]],"mmmm"),0)</f>
        <v>Setiembre</v>
      </c>
      <c r="AB237" s="49"/>
    </row>
    <row r="238" spans="1:28" x14ac:dyDescent="0.3">
      <c r="A238" s="2">
        <f>IF(C_Ope_004[[#This Row],[tipo_r]]="R",COUNTIFS($C$1:$C237,"R")+1,"")</f>
        <v>237</v>
      </c>
      <c r="B238" s="19" t="str">
        <f t="shared" si="33"/>
        <v>C_Ope_004</v>
      </c>
      <c r="C238" s="3" t="s">
        <v>1330</v>
      </c>
      <c r="D238" s="14">
        <v>45902</v>
      </c>
      <c r="E238" s="5" t="s">
        <v>8466</v>
      </c>
      <c r="F238" s="5" t="s">
        <v>1336</v>
      </c>
      <c r="G238" s="6" t="s">
        <v>979</v>
      </c>
      <c r="H238" s="6" t="s">
        <v>68</v>
      </c>
      <c r="I238" s="6" t="s">
        <v>8211</v>
      </c>
      <c r="J238" s="6">
        <v>3102224</v>
      </c>
      <c r="K238" s="7" t="s">
        <v>8528</v>
      </c>
      <c r="L238" s="8">
        <v>25351</v>
      </c>
      <c r="M238" s="8" t="str">
        <f t="shared" si="34"/>
        <v>PEN</v>
      </c>
      <c r="N238" s="13"/>
      <c r="O238" s="13">
        <v>15</v>
      </c>
      <c r="P238" s="3">
        <f t="shared" si="35"/>
        <v>0</v>
      </c>
      <c r="Q238" s="3">
        <f t="shared" si="36"/>
        <v>15</v>
      </c>
      <c r="R238" s="3">
        <f t="shared" si="25"/>
        <v>169.3900000000001</v>
      </c>
      <c r="S238" s="24" t="s">
        <v>1334</v>
      </c>
      <c r="T238" s="24"/>
      <c r="U238" s="3"/>
      <c r="V238" s="25" t="s">
        <v>8277</v>
      </c>
      <c r="W238" s="25">
        <v>20550372640</v>
      </c>
      <c r="X238" s="25" t="str">
        <f>IFERROR(VLOOKUP(C_Ope_004[[#This Row],[nota_2]],Clientes_Proveedores[[Ruc / Dni]:[Razon Social]],2,0),"")</f>
        <v>RUTAS DE LIMA S.A.C.</v>
      </c>
      <c r="Y238" s="25" t="s">
        <v>7888</v>
      </c>
      <c r="Z238" s="25"/>
      <c r="AA238" s="3" t="str">
        <f>IF(C_Ope_004[[#This Row],[fecha]]&gt;0,TEXT(C_Ope_004[[#This Row],[fecha]],"mmmm"),0)</f>
        <v>Setiembre</v>
      </c>
      <c r="AB238" s="49"/>
    </row>
    <row r="239" spans="1:28" ht="24" x14ac:dyDescent="0.3">
      <c r="A239" s="2">
        <f>IF(C_Ope_004[[#This Row],[tipo_r]]="R",COUNTIFS($C$1:$C238,"R")+1,"")</f>
        <v>238</v>
      </c>
      <c r="B239" s="19" t="str">
        <f t="shared" si="33"/>
        <v>C_Ope_004</v>
      </c>
      <c r="C239" s="3" t="s">
        <v>1330</v>
      </c>
      <c r="D239" s="14">
        <v>45903</v>
      </c>
      <c r="E239" s="5" t="s">
        <v>8466</v>
      </c>
      <c r="F239" s="5" t="s">
        <v>1336</v>
      </c>
      <c r="G239" s="6" t="s">
        <v>735</v>
      </c>
      <c r="H239" s="6" t="s">
        <v>68</v>
      </c>
      <c r="I239" s="6" t="s">
        <v>3078</v>
      </c>
      <c r="J239" s="6">
        <v>43066</v>
      </c>
      <c r="K239" s="7" t="s">
        <v>8529</v>
      </c>
      <c r="L239" s="8">
        <v>25396</v>
      </c>
      <c r="M239" s="8" t="str">
        <f t="shared" si="34"/>
        <v>PEN</v>
      </c>
      <c r="N239" s="13"/>
      <c r="O239" s="13">
        <v>55</v>
      </c>
      <c r="P239" s="3">
        <f t="shared" si="35"/>
        <v>0</v>
      </c>
      <c r="Q239" s="3">
        <f t="shared" si="36"/>
        <v>55</v>
      </c>
      <c r="R239" s="3">
        <f t="shared" si="25"/>
        <v>114.3900000000001</v>
      </c>
      <c r="S239" s="24" t="s">
        <v>1334</v>
      </c>
      <c r="T239" s="24"/>
      <c r="U239" s="3"/>
      <c r="V239" s="25" t="s">
        <v>8277</v>
      </c>
      <c r="W239" s="25">
        <v>20514148539</v>
      </c>
      <c r="X239" s="25" t="str">
        <f>IFERROR(VLOOKUP(C_Ope_004[[#This Row],[nota_2]],Clientes_Proveedores[[Ruc / Dni]:[Razon Social]],2,0),"")</f>
        <v>NEGOCIACIONES ABBYCORP E.I.R.L.</v>
      </c>
      <c r="Y239" s="25" t="s">
        <v>7938</v>
      </c>
      <c r="Z239" s="25"/>
      <c r="AA239" s="3" t="str">
        <f>IF(C_Ope_004[[#This Row],[fecha]]&gt;0,TEXT(C_Ope_004[[#This Row],[fecha]],"mmmm"),0)</f>
        <v>Setiembre</v>
      </c>
      <c r="AB239" s="49"/>
    </row>
    <row r="240" spans="1:28" x14ac:dyDescent="0.3">
      <c r="A240" s="2">
        <f>IF(C_Ope_004[[#This Row],[tipo_r]]="R",COUNTIFS($C$1:$C239,"R")+1,"")</f>
        <v>239</v>
      </c>
      <c r="B240" s="19" t="str">
        <f t="shared" si="33"/>
        <v>C_Ope_004</v>
      </c>
      <c r="C240" s="3" t="s">
        <v>1330</v>
      </c>
      <c r="D240" s="14">
        <v>45904</v>
      </c>
      <c r="E240" s="5" t="s">
        <v>8466</v>
      </c>
      <c r="F240" s="5" t="s">
        <v>1336</v>
      </c>
      <c r="G240" s="6" t="s">
        <v>979</v>
      </c>
      <c r="H240" s="6" t="s">
        <v>68</v>
      </c>
      <c r="I240" s="6" t="s">
        <v>8468</v>
      </c>
      <c r="J240" s="6">
        <v>3225095</v>
      </c>
      <c r="K240" s="7" t="s">
        <v>8516</v>
      </c>
      <c r="L240" s="8">
        <v>25394</v>
      </c>
      <c r="M240" s="8" t="str">
        <f t="shared" si="34"/>
        <v>PEN</v>
      </c>
      <c r="N240" s="13"/>
      <c r="O240" s="13">
        <v>15</v>
      </c>
      <c r="P240" s="3">
        <f t="shared" si="35"/>
        <v>0</v>
      </c>
      <c r="Q240" s="3">
        <f t="shared" si="36"/>
        <v>15</v>
      </c>
      <c r="R240" s="3">
        <f t="shared" si="25"/>
        <v>99.3900000000001</v>
      </c>
      <c r="S240" s="24" t="s">
        <v>1334</v>
      </c>
      <c r="T240" s="24"/>
      <c r="U240" s="3"/>
      <c r="V240" s="25" t="s">
        <v>8277</v>
      </c>
      <c r="W240" s="25">
        <v>20550372640</v>
      </c>
      <c r="X240" s="25" t="str">
        <f>IFERROR(VLOOKUP(C_Ope_004[[#This Row],[nota_2]],Clientes_Proveedores[[Ruc / Dni]:[Razon Social]],2,0),"")</f>
        <v>RUTAS DE LIMA S.A.C.</v>
      </c>
      <c r="Y240" s="25" t="s">
        <v>7888</v>
      </c>
      <c r="Z240" s="25"/>
      <c r="AA240" s="3" t="str">
        <f>IF(C_Ope_004[[#This Row],[fecha]]&gt;0,TEXT(C_Ope_004[[#This Row],[fecha]],"mmmm"),0)</f>
        <v>Setiembre</v>
      </c>
      <c r="AB240" s="49"/>
    </row>
    <row r="241" spans="1:28" x14ac:dyDescent="0.3">
      <c r="A241" s="2">
        <f>IF(C_Ope_004[[#This Row],[tipo_r]]="R",COUNTIFS($C$1:$C240,"R")+1,"")</f>
        <v>240</v>
      </c>
      <c r="B241" s="19" t="str">
        <f t="shared" si="33"/>
        <v>C_Ope_004</v>
      </c>
      <c r="C241" s="3" t="s">
        <v>1330</v>
      </c>
      <c r="D241" s="14">
        <v>45904</v>
      </c>
      <c r="E241" s="5" t="s">
        <v>8466</v>
      </c>
      <c r="F241" s="5" t="s">
        <v>1336</v>
      </c>
      <c r="G241" s="6" t="s">
        <v>979</v>
      </c>
      <c r="H241" s="6" t="s">
        <v>68</v>
      </c>
      <c r="I241" s="6" t="s">
        <v>5627</v>
      </c>
      <c r="J241" s="6">
        <v>1197238</v>
      </c>
      <c r="K241" s="7" t="s">
        <v>8515</v>
      </c>
      <c r="L241" s="8">
        <v>25395</v>
      </c>
      <c r="M241" s="8" t="str">
        <f t="shared" si="34"/>
        <v>PEN</v>
      </c>
      <c r="N241" s="13"/>
      <c r="O241" s="13">
        <v>15</v>
      </c>
      <c r="P241" s="3">
        <f t="shared" si="35"/>
        <v>0</v>
      </c>
      <c r="Q241" s="3">
        <f t="shared" si="36"/>
        <v>15</v>
      </c>
      <c r="R241" s="3">
        <f t="shared" si="25"/>
        <v>84.3900000000001</v>
      </c>
      <c r="S241" s="24" t="s">
        <v>1334</v>
      </c>
      <c r="T241" s="24"/>
      <c r="U241" s="3"/>
      <c r="V241" s="25" t="s">
        <v>8277</v>
      </c>
      <c r="W241" s="25">
        <v>20550372640</v>
      </c>
      <c r="X241" s="25" t="str">
        <f>IFERROR(VLOOKUP(C_Ope_004[[#This Row],[nota_2]],Clientes_Proveedores[[Ruc / Dni]:[Razon Social]],2,0),"")</f>
        <v>RUTAS DE LIMA S.A.C.</v>
      </c>
      <c r="Y241" s="25" t="s">
        <v>7888</v>
      </c>
      <c r="Z241" s="25"/>
      <c r="AA241" s="3" t="str">
        <f>IF(C_Ope_004[[#This Row],[fecha]]&gt;0,TEXT(C_Ope_004[[#This Row],[fecha]],"mmmm"),0)</f>
        <v>Setiembre</v>
      </c>
      <c r="AB241" s="49"/>
    </row>
    <row r="242" spans="1:28" x14ac:dyDescent="0.3">
      <c r="A242" s="2">
        <f>IF(C_Ope_004[[#This Row],[tipo_r]]="R",COUNTIFS($C$1:$C241,"R")+1,"")</f>
        <v>241</v>
      </c>
      <c r="B242" s="19" t="str">
        <f t="shared" si="33"/>
        <v>C_Ope_004</v>
      </c>
      <c r="C242" s="3" t="s">
        <v>1330</v>
      </c>
      <c r="D242" s="14">
        <v>45905</v>
      </c>
      <c r="E242" s="5" t="s">
        <v>8466</v>
      </c>
      <c r="F242" s="5" t="s">
        <v>1336</v>
      </c>
      <c r="G242" s="6" t="s">
        <v>979</v>
      </c>
      <c r="H242" s="6" t="s">
        <v>68</v>
      </c>
      <c r="I242" s="6" t="s">
        <v>5627</v>
      </c>
      <c r="J242" s="6">
        <v>1197629</v>
      </c>
      <c r="K242" s="7" t="s">
        <v>8530</v>
      </c>
      <c r="L242" s="8">
        <v>25401</v>
      </c>
      <c r="M242" s="8" t="str">
        <f t="shared" si="34"/>
        <v>PEN</v>
      </c>
      <c r="N242" s="13"/>
      <c r="O242" s="13">
        <v>15</v>
      </c>
      <c r="P242" s="3">
        <f t="shared" si="35"/>
        <v>0</v>
      </c>
      <c r="Q242" s="3">
        <f t="shared" si="36"/>
        <v>15</v>
      </c>
      <c r="R242" s="3">
        <f t="shared" si="25"/>
        <v>69.3900000000001</v>
      </c>
      <c r="S242" s="24" t="s">
        <v>1334</v>
      </c>
      <c r="T242" s="24"/>
      <c r="U242" s="3"/>
      <c r="V242" s="25" t="s">
        <v>8277</v>
      </c>
      <c r="W242" s="25">
        <v>20550372640</v>
      </c>
      <c r="X242" s="25" t="str">
        <f>IFERROR(VLOOKUP(C_Ope_004[[#This Row],[nota_2]],Clientes_Proveedores[[Ruc / Dni]:[Razon Social]],2,0),"")</f>
        <v>RUTAS DE LIMA S.A.C.</v>
      </c>
      <c r="Y242" s="25" t="s">
        <v>7888</v>
      </c>
      <c r="Z242" s="25"/>
      <c r="AA242" s="3" t="str">
        <f>IF(C_Ope_004[[#This Row],[fecha]]&gt;0,TEXT(C_Ope_004[[#This Row],[fecha]],"mmmm"),0)</f>
        <v>Setiembre</v>
      </c>
      <c r="AB242" s="49"/>
    </row>
    <row r="243" spans="1:28" x14ac:dyDescent="0.3">
      <c r="A243" s="2">
        <f>IF(C_Ope_004[[#This Row],[tipo_r]]="R",COUNTIFS($C$1:$C242,"R")+1,"")</f>
        <v>242</v>
      </c>
      <c r="B243" s="19" t="str">
        <f t="shared" si="33"/>
        <v>C_Ope_004</v>
      </c>
      <c r="C243" s="3" t="s">
        <v>1330</v>
      </c>
      <c r="D243" s="14">
        <v>45905</v>
      </c>
      <c r="E243" s="5" t="s">
        <v>8466</v>
      </c>
      <c r="F243" s="5" t="s">
        <v>1336</v>
      </c>
      <c r="G243" s="6" t="s">
        <v>979</v>
      </c>
      <c r="H243" s="6" t="s">
        <v>68</v>
      </c>
      <c r="I243" s="6" t="s">
        <v>8256</v>
      </c>
      <c r="J243" s="6">
        <v>621974</v>
      </c>
      <c r="K243" s="7" t="s">
        <v>8531</v>
      </c>
      <c r="L243" s="8">
        <v>25407</v>
      </c>
      <c r="M243" s="8" t="str">
        <f t="shared" si="34"/>
        <v>PEN</v>
      </c>
      <c r="N243" s="13"/>
      <c r="O243" s="13">
        <v>15</v>
      </c>
      <c r="P243" s="3">
        <f t="shared" si="35"/>
        <v>0</v>
      </c>
      <c r="Q243" s="3">
        <f t="shared" si="36"/>
        <v>15</v>
      </c>
      <c r="R243" s="3">
        <f t="shared" si="25"/>
        <v>54.3900000000001</v>
      </c>
      <c r="S243" s="24" t="s">
        <v>1334</v>
      </c>
      <c r="T243" s="24"/>
      <c r="U243" s="3"/>
      <c r="V243" s="25" t="s">
        <v>8277</v>
      </c>
      <c r="W243" s="25">
        <v>20550372640</v>
      </c>
      <c r="X243" s="25" t="str">
        <f>IFERROR(VLOOKUP(C_Ope_004[[#This Row],[nota_2]],Clientes_Proveedores[[Ruc / Dni]:[Razon Social]],2,0),"")</f>
        <v>RUTAS DE LIMA S.A.C.</v>
      </c>
      <c r="Y243" s="25" t="s">
        <v>7888</v>
      </c>
      <c r="Z243" s="25"/>
      <c r="AA243" s="3" t="str">
        <f>IF(C_Ope_004[[#This Row],[fecha]]&gt;0,TEXT(C_Ope_004[[#This Row],[fecha]],"mmmm"),0)</f>
        <v>Setiembre</v>
      </c>
      <c r="AB243" s="49"/>
    </row>
    <row r="244" spans="1:28" x14ac:dyDescent="0.3">
      <c r="A244" s="2">
        <f>IF(C_Ope_004[[#This Row],[tipo_r]]="R",COUNTIFS($C$1:$C243,"R")+1,"")</f>
        <v>243</v>
      </c>
      <c r="B244" s="19" t="str">
        <f>"C_Ope_004"</f>
        <v>C_Ope_004</v>
      </c>
      <c r="C244" s="3" t="s">
        <v>1330</v>
      </c>
      <c r="D244" s="14">
        <v>45909</v>
      </c>
      <c r="E244" s="5" t="s">
        <v>3634</v>
      </c>
      <c r="F244" s="5" t="s">
        <v>1303</v>
      </c>
      <c r="G244" s="6" t="s">
        <v>876</v>
      </c>
      <c r="H244" s="6"/>
      <c r="I244" s="6"/>
      <c r="J244" s="6"/>
      <c r="K244" s="7" t="s">
        <v>8475</v>
      </c>
      <c r="L244" s="8">
        <v>25507</v>
      </c>
      <c r="M244" s="8" t="str">
        <f>"PEN"</f>
        <v>PEN</v>
      </c>
      <c r="N244" s="13"/>
      <c r="O244" s="13">
        <v>100</v>
      </c>
      <c r="P244" s="3">
        <f>+IF(OR($F244="SALDO",$F244="INGRESO"),$O244,0)</f>
        <v>100</v>
      </c>
      <c r="Q244" s="3">
        <f>+IF($F244="EGRESO",$O244,0)</f>
        <v>0</v>
      </c>
      <c r="R244" s="3">
        <f t="shared" si="25"/>
        <v>154.3900000000001</v>
      </c>
      <c r="S244" s="24" t="s">
        <v>1334</v>
      </c>
      <c r="T244" s="24" t="s">
        <v>1334</v>
      </c>
      <c r="U244" s="3"/>
      <c r="V244" s="25"/>
      <c r="W244" s="25"/>
      <c r="X244" s="25" t="str">
        <f>IFERROR(VLOOKUP(C_Ope_004[[#This Row],[nota_2]],Clientes_Proveedores[[Ruc / Dni]:[Razon Social]],2,0),"")</f>
        <v/>
      </c>
      <c r="Y244" s="25"/>
      <c r="Z244" s="25"/>
      <c r="AA244" s="3" t="str">
        <f>IF(C_Ope_004[[#This Row],[fecha]]&gt;0,TEXT(C_Ope_004[[#This Row],[fecha]],"mmmm"),0)</f>
        <v>Setiembre</v>
      </c>
      <c r="AB244" s="49"/>
    </row>
    <row r="245" spans="1:28" x14ac:dyDescent="0.3">
      <c r="A245" s="2">
        <f>IF(C_Ope_004[[#This Row],[tipo_r]]="R",COUNTIFS($C$1:$C244,"R")+1,"")</f>
        <v>244</v>
      </c>
      <c r="B245" s="19" t="str">
        <f t="shared" si="33"/>
        <v>C_Ope_004</v>
      </c>
      <c r="C245" s="3" t="s">
        <v>1330</v>
      </c>
      <c r="D245" s="14">
        <v>45909</v>
      </c>
      <c r="E245" s="5" t="s">
        <v>8466</v>
      </c>
      <c r="F245" s="5" t="s">
        <v>1336</v>
      </c>
      <c r="G245" s="6" t="s">
        <v>979</v>
      </c>
      <c r="H245" s="6" t="s">
        <v>68</v>
      </c>
      <c r="I245" s="6" t="s">
        <v>6389</v>
      </c>
      <c r="J245" s="6">
        <v>3868347</v>
      </c>
      <c r="K245" s="7" t="s">
        <v>8522</v>
      </c>
      <c r="L245" s="8">
        <v>25421</v>
      </c>
      <c r="M245" s="8" t="str">
        <f t="shared" si="34"/>
        <v>PEN</v>
      </c>
      <c r="N245" s="13"/>
      <c r="O245" s="13">
        <v>15</v>
      </c>
      <c r="P245" s="3">
        <f t="shared" si="35"/>
        <v>0</v>
      </c>
      <c r="Q245" s="3">
        <f t="shared" si="36"/>
        <v>15</v>
      </c>
      <c r="R245" s="3">
        <f t="shared" si="25"/>
        <v>139.3900000000001</v>
      </c>
      <c r="S245" s="24" t="s">
        <v>1334</v>
      </c>
      <c r="T245" s="24"/>
      <c r="U245" s="3"/>
      <c r="V245" s="25" t="s">
        <v>8277</v>
      </c>
      <c r="W245" s="25">
        <v>20550372640</v>
      </c>
      <c r="X245" s="25" t="str">
        <f>IFERROR(VLOOKUP(C_Ope_004[[#This Row],[nota_2]],Clientes_Proveedores[[Ruc / Dni]:[Razon Social]],2,0),"")</f>
        <v>RUTAS DE LIMA S.A.C.</v>
      </c>
      <c r="Y245" s="25" t="s">
        <v>7888</v>
      </c>
      <c r="Z245" s="25"/>
      <c r="AA245" s="3" t="str">
        <f>IF(C_Ope_004[[#This Row],[fecha]]&gt;0,TEXT(C_Ope_004[[#This Row],[fecha]],"mmmm"),0)</f>
        <v>Setiembre</v>
      </c>
      <c r="AB245" s="49"/>
    </row>
    <row r="246" spans="1:28" x14ac:dyDescent="0.3">
      <c r="A246" s="2">
        <f>IF(C_Ope_004[[#This Row],[tipo_r]]="R",COUNTIFS($C$1:$C245,"R")+1,"")</f>
        <v>245</v>
      </c>
      <c r="B246" s="19" t="str">
        <f t="shared" si="33"/>
        <v>C_Ope_004</v>
      </c>
      <c r="C246" s="3" t="s">
        <v>1330</v>
      </c>
      <c r="D246" s="14">
        <v>45909</v>
      </c>
      <c r="E246" s="5" t="s">
        <v>8466</v>
      </c>
      <c r="F246" s="5" t="s">
        <v>1336</v>
      </c>
      <c r="G246" s="6" t="s">
        <v>979</v>
      </c>
      <c r="H246" s="6" t="s">
        <v>68</v>
      </c>
      <c r="I246" s="6" t="s">
        <v>8211</v>
      </c>
      <c r="J246" s="6">
        <v>3108906</v>
      </c>
      <c r="K246" s="7" t="s">
        <v>8532</v>
      </c>
      <c r="L246" s="8">
        <v>25423</v>
      </c>
      <c r="M246" s="8" t="str">
        <f t="shared" si="34"/>
        <v>PEN</v>
      </c>
      <c r="N246" s="13"/>
      <c r="O246" s="13">
        <v>15</v>
      </c>
      <c r="P246" s="3">
        <f t="shared" si="35"/>
        <v>0</v>
      </c>
      <c r="Q246" s="3">
        <f t="shared" si="36"/>
        <v>15</v>
      </c>
      <c r="R246" s="3">
        <f t="shared" si="25"/>
        <v>124.3900000000001</v>
      </c>
      <c r="S246" s="24" t="s">
        <v>1334</v>
      </c>
      <c r="T246" s="24"/>
      <c r="U246" s="3"/>
      <c r="V246" s="25" t="s">
        <v>8277</v>
      </c>
      <c r="W246" s="25">
        <v>20550372640</v>
      </c>
      <c r="X246" s="25" t="str">
        <f>IFERROR(VLOOKUP(C_Ope_004[[#This Row],[nota_2]],Clientes_Proveedores[[Ruc / Dni]:[Razon Social]],2,0),"")</f>
        <v>RUTAS DE LIMA S.A.C.</v>
      </c>
      <c r="Y246" s="25" t="s">
        <v>7888</v>
      </c>
      <c r="Z246" s="25"/>
      <c r="AA246" s="3" t="str">
        <f>IF(C_Ope_004[[#This Row],[fecha]]&gt;0,TEXT(C_Ope_004[[#This Row],[fecha]],"mmmm"),0)</f>
        <v>Setiembre</v>
      </c>
      <c r="AB246" s="49"/>
    </row>
    <row r="247" spans="1:28" x14ac:dyDescent="0.3">
      <c r="A247" s="2">
        <f>IF(C_Ope_004[[#This Row],[tipo_r]]="R",COUNTIFS($C$1:$C246,"R")+1,"")</f>
        <v>246</v>
      </c>
      <c r="B247" s="19" t="str">
        <f t="shared" si="33"/>
        <v>C_Ope_004</v>
      </c>
      <c r="C247" s="3" t="s">
        <v>1330</v>
      </c>
      <c r="D247" s="14">
        <v>45911</v>
      </c>
      <c r="E247" s="5" t="s">
        <v>8466</v>
      </c>
      <c r="F247" s="5" t="s">
        <v>1336</v>
      </c>
      <c r="G247" s="6" t="s">
        <v>979</v>
      </c>
      <c r="H247" s="6" t="s">
        <v>68</v>
      </c>
      <c r="I247" s="6" t="s">
        <v>8477</v>
      </c>
      <c r="J247" s="6">
        <v>1301609</v>
      </c>
      <c r="K247" s="7" t="s">
        <v>8504</v>
      </c>
      <c r="L247" s="8">
        <v>25459</v>
      </c>
      <c r="M247" s="8" t="str">
        <f t="shared" si="34"/>
        <v>PEN</v>
      </c>
      <c r="N247" s="13"/>
      <c r="O247" s="13">
        <v>15</v>
      </c>
      <c r="P247" s="3">
        <f t="shared" si="35"/>
        <v>0</v>
      </c>
      <c r="Q247" s="3">
        <f t="shared" si="36"/>
        <v>15</v>
      </c>
      <c r="R247" s="3">
        <f t="shared" si="25"/>
        <v>109.3900000000001</v>
      </c>
      <c r="S247" s="24" t="s">
        <v>1334</v>
      </c>
      <c r="T247" s="24"/>
      <c r="U247" s="3"/>
      <c r="V247" s="25" t="s">
        <v>8277</v>
      </c>
      <c r="W247" s="25">
        <v>20550372640</v>
      </c>
      <c r="X247" s="25" t="str">
        <f>IFERROR(VLOOKUP(C_Ope_004[[#This Row],[nota_2]],Clientes_Proveedores[[Ruc / Dni]:[Razon Social]],2,0),"")</f>
        <v>RUTAS DE LIMA S.A.C.</v>
      </c>
      <c r="Y247" s="25" t="s">
        <v>7888</v>
      </c>
      <c r="Z247" s="25"/>
      <c r="AA247" s="3" t="str">
        <f>IF(C_Ope_004[[#This Row],[fecha]]&gt;0,TEXT(C_Ope_004[[#This Row],[fecha]],"mmmm"),0)</f>
        <v>Setiembre</v>
      </c>
      <c r="AB247" s="49"/>
    </row>
    <row r="248" spans="1:28" x14ac:dyDescent="0.3">
      <c r="A248" s="2">
        <f>IF(C_Ope_004[[#This Row],[tipo_r]]="R",COUNTIFS($C$1:$C247,"R")+1,"")</f>
        <v>247</v>
      </c>
      <c r="B248" s="19" t="str">
        <f t="shared" si="33"/>
        <v>C_Ope_004</v>
      </c>
      <c r="C248" s="3" t="s">
        <v>1330</v>
      </c>
      <c r="D248" s="14">
        <v>45911</v>
      </c>
      <c r="E248" s="5" t="s">
        <v>8466</v>
      </c>
      <c r="F248" s="5" t="s">
        <v>1336</v>
      </c>
      <c r="G248" s="6" t="s">
        <v>979</v>
      </c>
      <c r="H248" s="6" t="s">
        <v>68</v>
      </c>
      <c r="I248" s="6" t="s">
        <v>8434</v>
      </c>
      <c r="J248" s="6">
        <v>3821632</v>
      </c>
      <c r="K248" s="7" t="s">
        <v>8518</v>
      </c>
      <c r="L248" s="8">
        <v>25460</v>
      </c>
      <c r="M248" s="8" t="str">
        <f t="shared" si="34"/>
        <v>PEN</v>
      </c>
      <c r="N248" s="13"/>
      <c r="O248" s="13">
        <v>15</v>
      </c>
      <c r="P248" s="3">
        <f t="shared" si="35"/>
        <v>0</v>
      </c>
      <c r="Q248" s="3">
        <f t="shared" si="36"/>
        <v>15</v>
      </c>
      <c r="R248" s="3">
        <f t="shared" si="25"/>
        <v>94.3900000000001</v>
      </c>
      <c r="S248" s="24" t="s">
        <v>1334</v>
      </c>
      <c r="T248" s="24"/>
      <c r="U248" s="3"/>
      <c r="V248" s="25" t="s">
        <v>8277</v>
      </c>
      <c r="W248" s="25">
        <v>20550372640</v>
      </c>
      <c r="X248" s="25" t="str">
        <f>IFERROR(VLOOKUP(C_Ope_004[[#This Row],[nota_2]],Clientes_Proveedores[[Ruc / Dni]:[Razon Social]],2,0),"")</f>
        <v>RUTAS DE LIMA S.A.C.</v>
      </c>
      <c r="Y248" s="25" t="s">
        <v>7888</v>
      </c>
      <c r="Z248" s="25"/>
      <c r="AA248" s="3" t="str">
        <f>IF(C_Ope_004[[#This Row],[fecha]]&gt;0,TEXT(C_Ope_004[[#This Row],[fecha]],"mmmm"),0)</f>
        <v>Setiembre</v>
      </c>
      <c r="AB248" s="49"/>
    </row>
    <row r="249" spans="1:28" x14ac:dyDescent="0.3">
      <c r="A249" s="2">
        <f>IF(C_Ope_004[[#This Row],[tipo_r]]="R",COUNTIFS($C$1:$C248,"R")+1,"")</f>
        <v>248</v>
      </c>
      <c r="B249" s="19" t="str">
        <f t="shared" si="33"/>
        <v>C_Ope_004</v>
      </c>
      <c r="C249" s="3" t="s">
        <v>1330</v>
      </c>
      <c r="D249" s="14">
        <v>45916</v>
      </c>
      <c r="E249" s="5" t="s">
        <v>8466</v>
      </c>
      <c r="F249" s="5" t="s">
        <v>1336</v>
      </c>
      <c r="G249" s="6" t="s">
        <v>979</v>
      </c>
      <c r="H249" s="6" t="s">
        <v>68</v>
      </c>
      <c r="I249" s="6" t="s">
        <v>8533</v>
      </c>
      <c r="J249" s="6">
        <v>3521094</v>
      </c>
      <c r="K249" s="7" t="s">
        <v>8522</v>
      </c>
      <c r="L249" s="8">
        <v>25464</v>
      </c>
      <c r="M249" s="8" t="str">
        <f t="shared" si="34"/>
        <v>PEN</v>
      </c>
      <c r="N249" s="13"/>
      <c r="O249" s="13">
        <v>15</v>
      </c>
      <c r="P249" s="3">
        <f t="shared" si="35"/>
        <v>0</v>
      </c>
      <c r="Q249" s="3">
        <f t="shared" si="36"/>
        <v>15</v>
      </c>
      <c r="R249" s="3">
        <f t="shared" si="25"/>
        <v>79.3900000000001</v>
      </c>
      <c r="S249" s="24" t="s">
        <v>1334</v>
      </c>
      <c r="T249" s="24"/>
      <c r="U249" s="3"/>
      <c r="V249" s="25" t="s">
        <v>8277</v>
      </c>
      <c r="W249" s="25">
        <v>20550372640</v>
      </c>
      <c r="X249" s="25" t="str">
        <f>IFERROR(VLOOKUP(C_Ope_004[[#This Row],[nota_2]],Clientes_Proveedores[[Ruc / Dni]:[Razon Social]],2,0),"")</f>
        <v>RUTAS DE LIMA S.A.C.</v>
      </c>
      <c r="Y249" s="25" t="s">
        <v>7888</v>
      </c>
      <c r="Z249" s="25"/>
      <c r="AA249" s="3" t="str">
        <f>IF(C_Ope_004[[#This Row],[fecha]]&gt;0,TEXT(C_Ope_004[[#This Row],[fecha]],"mmmm"),0)</f>
        <v>Setiembre</v>
      </c>
      <c r="AB249" s="49"/>
    </row>
    <row r="250" spans="1:28" x14ac:dyDescent="0.3">
      <c r="A250" s="2">
        <f>IF(C_Ope_004[[#This Row],[tipo_r]]="R",COUNTIFS($C$1:$C249,"R")+1,"")</f>
        <v>249</v>
      </c>
      <c r="B250" s="19" t="str">
        <f t="shared" si="33"/>
        <v>C_Ope_004</v>
      </c>
      <c r="C250" s="3" t="s">
        <v>1330</v>
      </c>
      <c r="D250" s="14">
        <v>45916</v>
      </c>
      <c r="E250" s="5" t="s">
        <v>8466</v>
      </c>
      <c r="F250" s="5" t="s">
        <v>1336</v>
      </c>
      <c r="G250" s="6" t="s">
        <v>979</v>
      </c>
      <c r="H250" s="6" t="s">
        <v>68</v>
      </c>
      <c r="I250" s="6" t="s">
        <v>8434</v>
      </c>
      <c r="J250" s="6">
        <v>3826837</v>
      </c>
      <c r="K250" s="7" t="s">
        <v>8516</v>
      </c>
      <c r="L250" s="8">
        <v>25504</v>
      </c>
      <c r="M250" s="8" t="str">
        <f t="shared" si="34"/>
        <v>PEN</v>
      </c>
      <c r="N250" s="13"/>
      <c r="O250" s="13">
        <v>15</v>
      </c>
      <c r="P250" s="3">
        <f t="shared" si="35"/>
        <v>0</v>
      </c>
      <c r="Q250" s="3">
        <f t="shared" si="36"/>
        <v>15</v>
      </c>
      <c r="R250" s="3">
        <f t="shared" si="25"/>
        <v>64.3900000000001</v>
      </c>
      <c r="S250" s="24" t="s">
        <v>1334</v>
      </c>
      <c r="T250" s="24"/>
      <c r="U250" s="3"/>
      <c r="V250" s="25" t="s">
        <v>8277</v>
      </c>
      <c r="W250" s="25">
        <v>20550372640</v>
      </c>
      <c r="X250" s="25" t="str">
        <f>IFERROR(VLOOKUP(C_Ope_004[[#This Row],[nota_2]],Clientes_Proveedores[[Ruc / Dni]:[Razon Social]],2,0),"")</f>
        <v>RUTAS DE LIMA S.A.C.</v>
      </c>
      <c r="Y250" s="25" t="s">
        <v>7888</v>
      </c>
      <c r="Z250" s="25"/>
      <c r="AA250" s="3" t="str">
        <f>IF(C_Ope_004[[#This Row],[fecha]]&gt;0,TEXT(C_Ope_004[[#This Row],[fecha]],"mmmm"),0)</f>
        <v>Setiembre</v>
      </c>
      <c r="AB250" s="49"/>
    </row>
    <row r="251" spans="1:28" ht="24" x14ac:dyDescent="0.3">
      <c r="A251" s="2">
        <f>IF(C_Ope_004[[#This Row],[tipo_r]]="R",COUNTIFS($C$1:$C250,"R")+1,"")</f>
        <v>250</v>
      </c>
      <c r="B251" s="19" t="str">
        <f t="shared" si="33"/>
        <v>C_Ope_004</v>
      </c>
      <c r="C251" s="3" t="s">
        <v>1330</v>
      </c>
      <c r="D251" s="14">
        <v>45917</v>
      </c>
      <c r="E251" s="5" t="s">
        <v>8466</v>
      </c>
      <c r="F251" s="5" t="s">
        <v>1336</v>
      </c>
      <c r="G251" s="6" t="s">
        <v>735</v>
      </c>
      <c r="H251" s="6" t="s">
        <v>68</v>
      </c>
      <c r="I251" s="6" t="s">
        <v>3078</v>
      </c>
      <c r="J251" s="6">
        <v>43316</v>
      </c>
      <c r="K251" s="7" t="s">
        <v>8534</v>
      </c>
      <c r="L251" s="8">
        <v>25505</v>
      </c>
      <c r="M251" s="8" t="str">
        <f t="shared" si="34"/>
        <v>PEN</v>
      </c>
      <c r="N251" s="13"/>
      <c r="O251" s="13">
        <v>55</v>
      </c>
      <c r="P251" s="3">
        <f t="shared" si="35"/>
        <v>0</v>
      </c>
      <c r="Q251" s="3">
        <f t="shared" si="36"/>
        <v>55</v>
      </c>
      <c r="R251" s="3">
        <f t="shared" si="25"/>
        <v>9.3900000000001</v>
      </c>
      <c r="S251" s="24" t="s">
        <v>1334</v>
      </c>
      <c r="T251" s="24"/>
      <c r="U251" s="3"/>
      <c r="V251" s="25" t="s">
        <v>8277</v>
      </c>
      <c r="W251" s="25">
        <v>20514148539</v>
      </c>
      <c r="X251" s="25" t="str">
        <f>IFERROR(VLOOKUP(C_Ope_004[[#This Row],[nota_2]],Clientes_Proveedores[[Ruc / Dni]:[Razon Social]],2,0),"")</f>
        <v>NEGOCIACIONES ABBYCORP E.I.R.L.</v>
      </c>
      <c r="Y251" s="25" t="s">
        <v>7938</v>
      </c>
      <c r="Z251" s="25"/>
      <c r="AA251" s="3" t="str">
        <f>IF(C_Ope_004[[#This Row],[fecha]]&gt;0,TEXT(C_Ope_004[[#This Row],[fecha]],"mmmm"),0)</f>
        <v>Setiembre</v>
      </c>
      <c r="AB251" s="49"/>
    </row>
    <row r="252" spans="1:28" x14ac:dyDescent="0.3">
      <c r="A252" s="2">
        <f>IF(C_Ope_004[[#This Row],[tipo_r]]="R",COUNTIFS($C$1:$C251,"R")+1,"")</f>
        <v>251</v>
      </c>
      <c r="B252" s="19" t="str">
        <f>"C_Ope_004"</f>
        <v>C_Ope_004</v>
      </c>
      <c r="C252" s="3" t="s">
        <v>1330</v>
      </c>
      <c r="D252" s="14">
        <v>45918</v>
      </c>
      <c r="E252" s="5" t="s">
        <v>3634</v>
      </c>
      <c r="F252" s="5" t="s">
        <v>1303</v>
      </c>
      <c r="G252" s="6" t="s">
        <v>876</v>
      </c>
      <c r="H252" s="6"/>
      <c r="I252" s="6"/>
      <c r="J252" s="6"/>
      <c r="K252" s="7" t="s">
        <v>8475</v>
      </c>
      <c r="L252" s="8">
        <v>25524</v>
      </c>
      <c r="M252" s="8" t="str">
        <f>"PEN"</f>
        <v>PEN</v>
      </c>
      <c r="N252" s="13"/>
      <c r="O252" s="13">
        <v>200</v>
      </c>
      <c r="P252" s="3">
        <f>+IF(OR($F252="SALDO",$F252="INGRESO"),$O252,0)</f>
        <v>200</v>
      </c>
      <c r="Q252" s="3">
        <f>+IF($F252="EGRESO",$O252,0)</f>
        <v>0</v>
      </c>
      <c r="R252" s="3">
        <f t="shared" si="25"/>
        <v>209.3900000000001</v>
      </c>
      <c r="S252" s="24" t="s">
        <v>1334</v>
      </c>
      <c r="T252" s="24" t="s">
        <v>1334</v>
      </c>
      <c r="U252" s="3"/>
      <c r="V252" s="25"/>
      <c r="W252" s="25"/>
      <c r="X252" s="25" t="str">
        <f>IFERROR(VLOOKUP(C_Ope_004[[#This Row],[nota_2]],Clientes_Proveedores[[Ruc / Dni]:[Razon Social]],2,0),"")</f>
        <v/>
      </c>
      <c r="Y252" s="25"/>
      <c r="Z252" s="25"/>
      <c r="AA252" s="3" t="str">
        <f>IF(C_Ope_004[[#This Row],[fecha]]&gt;0,TEXT(C_Ope_004[[#This Row],[fecha]],"mmmm"),0)</f>
        <v>Setiembre</v>
      </c>
      <c r="AB252" s="49"/>
    </row>
    <row r="253" spans="1:28" x14ac:dyDescent="0.3">
      <c r="A253" s="2">
        <f>IF(C_Ope_004[[#This Row],[tipo_r]]="R",COUNTIFS($C$1:$C252,"R")+1,"")</f>
        <v>252</v>
      </c>
      <c r="B253" s="19" t="str">
        <f t="shared" si="33"/>
        <v>C_Ope_004</v>
      </c>
      <c r="C253" s="3" t="s">
        <v>1330</v>
      </c>
      <c r="D253" s="14">
        <v>45918</v>
      </c>
      <c r="E253" s="5" t="s">
        <v>8466</v>
      </c>
      <c r="F253" s="5" t="s">
        <v>1336</v>
      </c>
      <c r="G253" s="6" t="s">
        <v>979</v>
      </c>
      <c r="H253" s="6" t="s">
        <v>68</v>
      </c>
      <c r="I253" s="6" t="s">
        <v>6204</v>
      </c>
      <c r="J253" s="6">
        <v>3523564</v>
      </c>
      <c r="K253" s="7" t="s">
        <v>8504</v>
      </c>
      <c r="L253" s="8">
        <v>25522</v>
      </c>
      <c r="M253" s="8" t="str">
        <f t="shared" si="34"/>
        <v>PEN</v>
      </c>
      <c r="N253" s="13"/>
      <c r="O253" s="13">
        <v>15</v>
      </c>
      <c r="P253" s="3">
        <f t="shared" si="35"/>
        <v>0</v>
      </c>
      <c r="Q253" s="3">
        <f t="shared" si="36"/>
        <v>15</v>
      </c>
      <c r="R253" s="3">
        <f t="shared" si="25"/>
        <v>194.3900000000001</v>
      </c>
      <c r="S253" s="24" t="s">
        <v>1334</v>
      </c>
      <c r="T253" s="24"/>
      <c r="U253" s="3"/>
      <c r="V253" s="25" t="s">
        <v>8277</v>
      </c>
      <c r="W253" s="25">
        <v>20550372640</v>
      </c>
      <c r="X253" s="25" t="str">
        <f>IFERROR(VLOOKUP(C_Ope_004[[#This Row],[nota_2]],Clientes_Proveedores[[Ruc / Dni]:[Razon Social]],2,0),"")</f>
        <v>RUTAS DE LIMA S.A.C.</v>
      </c>
      <c r="Y253" s="25" t="s">
        <v>7888</v>
      </c>
      <c r="Z253" s="25"/>
      <c r="AA253" s="3" t="str">
        <f>IF(C_Ope_004[[#This Row],[fecha]]&gt;0,TEXT(C_Ope_004[[#This Row],[fecha]],"mmmm"),0)</f>
        <v>Setiembre</v>
      </c>
      <c r="AB253" s="49"/>
    </row>
    <row r="254" spans="1:28" x14ac:dyDescent="0.3">
      <c r="A254" s="2">
        <f>IF(C_Ope_004[[#This Row],[tipo_r]]="R",COUNTIFS($C$1:$C253,"R")+1,"")</f>
        <v>253</v>
      </c>
      <c r="B254" s="19" t="str">
        <f t="shared" si="33"/>
        <v>C_Ope_004</v>
      </c>
      <c r="C254" s="3" t="s">
        <v>1330</v>
      </c>
      <c r="D254" s="14">
        <v>45918</v>
      </c>
      <c r="E254" s="5" t="s">
        <v>8466</v>
      </c>
      <c r="F254" s="5" t="s">
        <v>1336</v>
      </c>
      <c r="G254" s="6" t="s">
        <v>979</v>
      </c>
      <c r="H254" s="6" t="s">
        <v>68</v>
      </c>
      <c r="I254" s="6" t="s">
        <v>8468</v>
      </c>
      <c r="J254" s="6">
        <v>3233978</v>
      </c>
      <c r="K254" s="7" t="s">
        <v>8516</v>
      </c>
      <c r="L254" s="8">
        <v>25523</v>
      </c>
      <c r="M254" s="8" t="str">
        <f t="shared" si="34"/>
        <v>PEN</v>
      </c>
      <c r="N254" s="13"/>
      <c r="O254" s="13">
        <v>15</v>
      </c>
      <c r="P254" s="3">
        <f t="shared" si="35"/>
        <v>0</v>
      </c>
      <c r="Q254" s="3">
        <f t="shared" si="36"/>
        <v>15</v>
      </c>
      <c r="R254" s="3">
        <f t="shared" si="25"/>
        <v>179.3900000000001</v>
      </c>
      <c r="S254" s="24" t="s">
        <v>1334</v>
      </c>
      <c r="T254" s="24"/>
      <c r="U254" s="3"/>
      <c r="V254" s="25" t="s">
        <v>8277</v>
      </c>
      <c r="W254" s="25">
        <v>20550372640</v>
      </c>
      <c r="X254" s="25" t="str">
        <f>IFERROR(VLOOKUP(C_Ope_004[[#This Row],[nota_2]],Clientes_Proveedores[[Ruc / Dni]:[Razon Social]],2,0),"")</f>
        <v>RUTAS DE LIMA S.A.C.</v>
      </c>
      <c r="Y254" s="25" t="s">
        <v>7888</v>
      </c>
      <c r="Z254" s="25"/>
      <c r="AA254" s="3" t="str">
        <f>IF(C_Ope_004[[#This Row],[fecha]]&gt;0,TEXT(C_Ope_004[[#This Row],[fecha]],"mmmm"),0)</f>
        <v>Setiembre</v>
      </c>
      <c r="AB254" s="49"/>
    </row>
  </sheetData>
  <conditionalFormatting sqref="A2:AA254">
    <cfRule type="expression" dxfId="63" priority="1">
      <formula>$T2="OK"</formula>
    </cfRule>
    <cfRule type="expression" dxfId="62" priority="252">
      <formula>$S2="OK"</formula>
    </cfRule>
  </conditionalFormatting>
  <dataValidations count="4">
    <dataValidation type="list" allowBlank="1" showInputMessage="1" showErrorMessage="1" sqref="H2:H254" xr:uid="{82C6082C-E301-4A10-A57E-1B4626909650}">
      <formula1>Documentos</formula1>
    </dataValidation>
    <dataValidation type="list" allowBlank="1" showInputMessage="1" showErrorMessage="1" sqref="F2:F254" xr:uid="{E5D44DD5-4262-4164-8C6B-D8A67FB499A8}">
      <formula1>"SALDO,INGRESO,EGRESO"</formula1>
    </dataValidation>
    <dataValidation type="list" allowBlank="1" showInputMessage="1" showErrorMessage="1" sqref="C2:C254" xr:uid="{D4859EE9-E92A-4645-B8EA-AFAC960A6E2F}">
      <formula1>"R,D"</formula1>
    </dataValidation>
    <dataValidation type="list" allowBlank="1" showInputMessage="1" showErrorMessage="1" sqref="G2:G254" xr:uid="{5E22AAAA-7656-40BB-977C-38D82DD6889F}">
      <formula1>Proveedores_Clientes</formula1>
    </dataValidation>
  </dataValidations>
  <printOptions horizontalCentered="1"/>
  <pageMargins left="0.11811023622047245" right="0.11811023622047245" top="0.35433070866141736" bottom="0.35433070866141736" header="0.31496062992125984" footer="0.31496062992125984"/>
  <pageSetup paperSize="9" scale="43" fitToHeight="0" orientation="landscape"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0BCBF-9F2E-49C7-9193-832E5C386B33}">
  <sheetPr codeName="Hoja14">
    <tabColor rgb="FFFFC000"/>
    <pageSetUpPr fitToPage="1"/>
  </sheetPr>
  <dimension ref="A1:AB531"/>
  <sheetViews>
    <sheetView showGridLines="0" topLeftCell="L1" zoomScale="90" zoomScaleNormal="90" zoomScaleSheetLayoutView="100" workbookViewId="0">
      <selection sqref="A1:AB1"/>
    </sheetView>
  </sheetViews>
  <sheetFormatPr defaultColWidth="11.44140625" defaultRowHeight="14.4" outlineLevelCol="1" x14ac:dyDescent="0.3"/>
  <cols>
    <col min="1" max="1" width="9.44140625" bestFit="1" customWidth="1"/>
    <col min="2" max="2" width="15.44140625" bestFit="1" customWidth="1"/>
    <col min="3" max="3" width="13.44140625" bestFit="1" customWidth="1"/>
    <col min="4" max="4" width="10.6640625" bestFit="1" customWidth="1"/>
    <col min="5" max="5" width="14.33203125" customWidth="1"/>
    <col min="6" max="6" width="11.6640625" bestFit="1" customWidth="1"/>
    <col min="7" max="7" width="17" bestFit="1" customWidth="1"/>
    <col min="8" max="8" width="16" customWidth="1"/>
    <col min="9" max="9" width="10.109375" bestFit="1" customWidth="1"/>
    <col min="10" max="10" width="12.44140625" bestFit="1" customWidth="1"/>
    <col min="11" max="11" width="40.44140625" bestFit="1" customWidth="1"/>
    <col min="12" max="12" width="15" bestFit="1" customWidth="1"/>
    <col min="13" max="13" width="12.44140625" bestFit="1" customWidth="1"/>
    <col min="14" max="14" width="12.109375" bestFit="1" customWidth="1"/>
    <col min="15" max="15" width="11.44140625" bestFit="1" customWidth="1"/>
    <col min="16" max="17" width="11.33203125" bestFit="1" customWidth="1"/>
    <col min="18" max="18" width="10.88671875" bestFit="1" customWidth="1"/>
    <col min="19" max="19" width="12" bestFit="1" customWidth="1"/>
    <col min="20" max="20" width="13" bestFit="1" customWidth="1"/>
    <col min="21" max="21" width="15.88671875" bestFit="1" customWidth="1"/>
    <col min="22" max="22" width="15.88671875" customWidth="1"/>
    <col min="23" max="26" width="15.88671875" customWidth="1" outlineLevel="1"/>
    <col min="27" max="27" width="12.88671875" customWidth="1" outlineLevel="1"/>
  </cols>
  <sheetData>
    <row r="1" spans="1:28" x14ac:dyDescent="0.3">
      <c r="A1" s="263" t="s">
        <v>9536</v>
      </c>
      <c r="B1" s="263" t="s">
        <v>9537</v>
      </c>
      <c r="C1" s="263" t="s">
        <v>9563</v>
      </c>
      <c r="D1" s="263" t="s">
        <v>9539</v>
      </c>
      <c r="E1" s="263" t="s">
        <v>9540</v>
      </c>
      <c r="F1" s="263" t="s">
        <v>9541</v>
      </c>
      <c r="G1" s="263" t="s">
        <v>9542</v>
      </c>
      <c r="H1" s="263" t="s">
        <v>9543</v>
      </c>
      <c r="I1" s="263" t="s">
        <v>9544</v>
      </c>
      <c r="J1" s="263" t="s">
        <v>9545</v>
      </c>
      <c r="K1" s="263" t="s">
        <v>9546</v>
      </c>
      <c r="L1" s="263" t="s">
        <v>9565</v>
      </c>
      <c r="M1" s="263" t="s">
        <v>9548</v>
      </c>
      <c r="N1" s="263" t="s">
        <v>9549</v>
      </c>
      <c r="O1" s="263" t="s">
        <v>9550</v>
      </c>
      <c r="P1" s="263" t="s">
        <v>9551</v>
      </c>
      <c r="Q1" s="263" t="s">
        <v>9552</v>
      </c>
      <c r="R1" s="263" t="s">
        <v>9553</v>
      </c>
      <c r="S1" s="263" t="s">
        <v>9554</v>
      </c>
      <c r="T1" s="263" t="s">
        <v>9555</v>
      </c>
      <c r="U1" s="263" t="s">
        <v>9556</v>
      </c>
      <c r="V1" s="263" t="s">
        <v>9557</v>
      </c>
      <c r="W1" s="263" t="s">
        <v>9558</v>
      </c>
      <c r="X1" s="263" t="s">
        <v>9559</v>
      </c>
      <c r="Y1" s="263" t="s">
        <v>9560</v>
      </c>
      <c r="Z1" s="263" t="s">
        <v>9561</v>
      </c>
      <c r="AA1" s="263" t="s">
        <v>9562</v>
      </c>
      <c r="AB1" s="1" t="s">
        <v>9566</v>
      </c>
    </row>
    <row r="2" spans="1:28" x14ac:dyDescent="0.3">
      <c r="A2" s="2">
        <f>IF(C_Ope_005[[#This Row],[tipo_r]]="R",COUNTIFS($C$1:$C1,"R")+1,"")</f>
        <v>1</v>
      </c>
      <c r="B2" s="19" t="str">
        <f>"C_Ope_005"</f>
        <v>C_Ope_005</v>
      </c>
      <c r="C2" s="3" t="s">
        <v>1330</v>
      </c>
      <c r="D2" s="4">
        <v>45658</v>
      </c>
      <c r="E2" s="5" t="s">
        <v>8535</v>
      </c>
      <c r="F2" s="6" t="s">
        <v>1320</v>
      </c>
      <c r="G2" s="6"/>
      <c r="H2" s="6"/>
      <c r="I2" s="6"/>
      <c r="J2" s="6"/>
      <c r="K2" s="7" t="s">
        <v>1332</v>
      </c>
      <c r="L2" s="8">
        <v>22570</v>
      </c>
      <c r="M2" s="8" t="str">
        <f t="shared" ref="M2" si="0">"PEN"</f>
        <v>PEN</v>
      </c>
      <c r="N2" s="13"/>
      <c r="O2" s="9">
        <v>155.1</v>
      </c>
      <c r="P2" s="9">
        <f t="shared" ref="P2:P65" si="1">+IF(OR($F2="SALDO",$F2="INGRESO"),$O2,0)</f>
        <v>155.1</v>
      </c>
      <c r="Q2" s="9">
        <f t="shared" ref="Q2:Q65" si="2">+IF($F2="EGRESO",$O2,0)</f>
        <v>0</v>
      </c>
      <c r="R2" s="9">
        <f t="shared" ref="R2:R65" si="3">IFERROR(IF(F2="SALDO",P2,R1+P2-Q2),0)</f>
        <v>155.1</v>
      </c>
      <c r="S2" s="24" t="s">
        <v>1334</v>
      </c>
      <c r="T2" s="24" t="s">
        <v>1334</v>
      </c>
      <c r="U2" s="15"/>
      <c r="V2" s="25" t="s">
        <v>7761</v>
      </c>
      <c r="W2" s="25"/>
      <c r="X2" s="25" t="str">
        <f>IFERROR(VLOOKUP(C_Ope_005[[#This Row],[nota_2]],Clientes_Proveedores[[Ruc / Dni]:[Razon Social]],2,0),"")</f>
        <v/>
      </c>
      <c r="Y2" s="25"/>
      <c r="Z2" s="103"/>
      <c r="AA2" s="3" t="str">
        <f>IF(C_Ope_005[[#This Row],[fecha]]&gt;0,TEXT(C_Ope_005[[#This Row],[fecha]],"mmmm"),0)</f>
        <v>Enero</v>
      </c>
      <c r="AB2" s="49"/>
    </row>
    <row r="3" spans="1:28" ht="24" x14ac:dyDescent="0.3">
      <c r="A3" s="2">
        <f>IF(C_Ope_005[[#This Row],[tipo_r]]="R",COUNTIFS($C$1:$C2,"R")+1,"")</f>
        <v>2</v>
      </c>
      <c r="B3" s="19" t="str">
        <f t="shared" ref="B3:B66" si="4">"C_Ope_005"</f>
        <v>C_Ope_005</v>
      </c>
      <c r="C3" s="3" t="s">
        <v>1330</v>
      </c>
      <c r="D3" s="14">
        <v>45660</v>
      </c>
      <c r="E3" s="5" t="s">
        <v>8535</v>
      </c>
      <c r="F3" s="5" t="s">
        <v>1336</v>
      </c>
      <c r="G3" s="6" t="s">
        <v>978</v>
      </c>
      <c r="H3" s="6" t="s">
        <v>68</v>
      </c>
      <c r="I3" s="6" t="s">
        <v>5845</v>
      </c>
      <c r="J3" s="6">
        <v>1640422</v>
      </c>
      <c r="K3" s="7" t="s">
        <v>8536</v>
      </c>
      <c r="L3" s="8">
        <v>22546</v>
      </c>
      <c r="M3" s="8" t="str">
        <f t="shared" ref="M3:M66" si="5">"PEN"</f>
        <v>PEN</v>
      </c>
      <c r="N3" s="13"/>
      <c r="O3" s="13">
        <v>8</v>
      </c>
      <c r="P3" s="3">
        <f t="shared" si="1"/>
        <v>0</v>
      </c>
      <c r="Q3" s="3">
        <f t="shared" si="2"/>
        <v>8</v>
      </c>
      <c r="R3" s="3">
        <f t="shared" si="3"/>
        <v>147.1</v>
      </c>
      <c r="S3" s="24" t="s">
        <v>1334</v>
      </c>
      <c r="T3" s="24" t="s">
        <v>1334</v>
      </c>
      <c r="U3" s="3"/>
      <c r="V3" s="25" t="s">
        <v>7761</v>
      </c>
      <c r="W3" s="25">
        <v>20517252558</v>
      </c>
      <c r="X3" s="25" t="str">
        <f>IFERROR(VLOOKUP(C_Ope_005[[#This Row],[nota_2]],Clientes_Proveedores[[Ruc / Dni]:[Razon Social]],2,0),"")</f>
        <v>COVISUR S.A.</v>
      </c>
      <c r="Y3" s="25"/>
      <c r="Z3" s="103"/>
      <c r="AA3" s="3" t="str">
        <f>IF(C_Ope_005[[#This Row],[fecha]]&gt;0,TEXT(C_Ope_005[[#This Row],[fecha]],"mmmm"),0)</f>
        <v>Enero</v>
      </c>
      <c r="AB3" s="49"/>
    </row>
    <row r="4" spans="1:28" ht="24" x14ac:dyDescent="0.3">
      <c r="A4" s="2">
        <f>IF(C_Ope_005[[#This Row],[tipo_r]]="R",COUNTIFS($C$1:$C3,"R")+1,"")</f>
        <v>3</v>
      </c>
      <c r="B4" s="19" t="str">
        <f t="shared" si="4"/>
        <v>C_Ope_005</v>
      </c>
      <c r="C4" s="3" t="s">
        <v>1330</v>
      </c>
      <c r="D4" s="14">
        <v>45660</v>
      </c>
      <c r="E4" s="5" t="s">
        <v>8535</v>
      </c>
      <c r="F4" s="5" t="s">
        <v>1336</v>
      </c>
      <c r="G4" s="6" t="s">
        <v>978</v>
      </c>
      <c r="H4" s="6" t="s">
        <v>68</v>
      </c>
      <c r="I4" s="6" t="s">
        <v>5688</v>
      </c>
      <c r="J4" s="6">
        <v>2183883</v>
      </c>
      <c r="K4" s="7" t="s">
        <v>8536</v>
      </c>
      <c r="L4" s="8">
        <v>22547</v>
      </c>
      <c r="M4" s="8" t="str">
        <f t="shared" si="5"/>
        <v>PEN</v>
      </c>
      <c r="N4" s="13"/>
      <c r="O4" s="13">
        <v>8</v>
      </c>
      <c r="P4" s="3">
        <f t="shared" si="1"/>
        <v>0</v>
      </c>
      <c r="Q4" s="3">
        <f t="shared" si="2"/>
        <v>8</v>
      </c>
      <c r="R4" s="3">
        <f t="shared" si="3"/>
        <v>139.1</v>
      </c>
      <c r="S4" s="24" t="s">
        <v>1334</v>
      </c>
      <c r="T4" s="24" t="s">
        <v>1334</v>
      </c>
      <c r="U4" s="3"/>
      <c r="V4" s="25" t="s">
        <v>7761</v>
      </c>
      <c r="W4" s="25">
        <v>20517252558</v>
      </c>
      <c r="X4" s="25" t="str">
        <f>IFERROR(VLOOKUP(C_Ope_005[[#This Row],[nota_2]],Clientes_Proveedores[[Ruc / Dni]:[Razon Social]],2,0),"")</f>
        <v>COVISUR S.A.</v>
      </c>
      <c r="Y4" s="25"/>
      <c r="Z4" s="103"/>
      <c r="AA4" s="3" t="str">
        <f>IF(C_Ope_005[[#This Row],[fecha]]&gt;0,TEXT(C_Ope_005[[#This Row],[fecha]],"mmmm"),0)</f>
        <v>Enero</v>
      </c>
      <c r="AB4" s="49"/>
    </row>
    <row r="5" spans="1:28" ht="24" x14ac:dyDescent="0.3">
      <c r="A5" s="2">
        <f>IF(C_Ope_005[[#This Row],[tipo_r]]="R",COUNTIFS($C$1:$C4,"R")+1,"")</f>
        <v>4</v>
      </c>
      <c r="B5" s="19" t="str">
        <f t="shared" si="4"/>
        <v>C_Ope_005</v>
      </c>
      <c r="C5" s="3" t="s">
        <v>1330</v>
      </c>
      <c r="D5" s="14">
        <v>45664</v>
      </c>
      <c r="E5" s="5" t="s">
        <v>8535</v>
      </c>
      <c r="F5" s="5" t="s">
        <v>1336</v>
      </c>
      <c r="G5" s="6" t="s">
        <v>978</v>
      </c>
      <c r="H5" s="6" t="s">
        <v>68</v>
      </c>
      <c r="I5" s="6" t="s">
        <v>5688</v>
      </c>
      <c r="J5" s="6">
        <v>2188303</v>
      </c>
      <c r="K5" s="7" t="s">
        <v>8537</v>
      </c>
      <c r="L5" s="8">
        <v>22567</v>
      </c>
      <c r="M5" s="8" t="str">
        <f t="shared" si="5"/>
        <v>PEN</v>
      </c>
      <c r="N5" s="13"/>
      <c r="O5" s="13">
        <v>8</v>
      </c>
      <c r="P5" s="3">
        <f t="shared" si="1"/>
        <v>0</v>
      </c>
      <c r="Q5" s="3">
        <f t="shared" si="2"/>
        <v>8</v>
      </c>
      <c r="R5" s="3">
        <f t="shared" si="3"/>
        <v>131.1</v>
      </c>
      <c r="S5" s="24" t="s">
        <v>1334</v>
      </c>
      <c r="T5" s="24" t="s">
        <v>1334</v>
      </c>
      <c r="U5" s="3"/>
      <c r="V5" s="25" t="s">
        <v>7761</v>
      </c>
      <c r="W5" s="25">
        <v>20517252558</v>
      </c>
      <c r="X5" s="25" t="str">
        <f>IFERROR(VLOOKUP(C_Ope_005[[#This Row],[nota_2]],Clientes_Proveedores[[Ruc / Dni]:[Razon Social]],2,0),"")</f>
        <v>COVISUR S.A.</v>
      </c>
      <c r="Y5" s="25"/>
      <c r="Z5" s="103"/>
      <c r="AA5" s="3" t="str">
        <f>IF(C_Ope_005[[#This Row],[fecha]]&gt;0,TEXT(C_Ope_005[[#This Row],[fecha]],"mmmm"),0)</f>
        <v>Enero</v>
      </c>
      <c r="AB5" s="49"/>
    </row>
    <row r="6" spans="1:28" ht="24" x14ac:dyDescent="0.3">
      <c r="A6" s="2">
        <f>IF(C_Ope_005[[#This Row],[tipo_r]]="R",COUNTIFS($C$1:$C5,"R")+1,"")</f>
        <v>5</v>
      </c>
      <c r="B6" s="19" t="str">
        <f t="shared" si="4"/>
        <v>C_Ope_005</v>
      </c>
      <c r="C6" s="3" t="s">
        <v>1330</v>
      </c>
      <c r="D6" s="14">
        <v>45664</v>
      </c>
      <c r="E6" s="5" t="s">
        <v>8535</v>
      </c>
      <c r="F6" s="5" t="s">
        <v>1336</v>
      </c>
      <c r="G6" s="6" t="s">
        <v>978</v>
      </c>
      <c r="H6" s="6" t="s">
        <v>68</v>
      </c>
      <c r="I6" s="6" t="s">
        <v>6379</v>
      </c>
      <c r="J6" s="6">
        <v>443735</v>
      </c>
      <c r="K6" s="7" t="s">
        <v>8538</v>
      </c>
      <c r="L6" s="8">
        <v>22568</v>
      </c>
      <c r="M6" s="8" t="str">
        <f t="shared" si="5"/>
        <v>PEN</v>
      </c>
      <c r="N6" s="13"/>
      <c r="O6" s="13">
        <v>8</v>
      </c>
      <c r="P6" s="3">
        <f t="shared" si="1"/>
        <v>0</v>
      </c>
      <c r="Q6" s="3">
        <f t="shared" si="2"/>
        <v>8</v>
      </c>
      <c r="R6" s="3">
        <f t="shared" si="3"/>
        <v>123.1</v>
      </c>
      <c r="S6" s="24" t="s">
        <v>1334</v>
      </c>
      <c r="T6" s="24" t="s">
        <v>1334</v>
      </c>
      <c r="U6" s="3"/>
      <c r="V6" s="25" t="s">
        <v>7761</v>
      </c>
      <c r="W6" s="25">
        <v>20517252558</v>
      </c>
      <c r="X6" s="25" t="str">
        <f>IFERROR(VLOOKUP(C_Ope_005[[#This Row],[nota_2]],Clientes_Proveedores[[Ruc / Dni]:[Razon Social]],2,0),"")</f>
        <v>COVISUR S.A.</v>
      </c>
      <c r="Y6" s="25"/>
      <c r="Z6" s="103"/>
      <c r="AA6" s="3" t="str">
        <f>IF(C_Ope_005[[#This Row],[fecha]]&gt;0,TEXT(C_Ope_005[[#This Row],[fecha]],"mmmm"),0)</f>
        <v>Enero</v>
      </c>
      <c r="AB6" s="49"/>
    </row>
    <row r="7" spans="1:28" ht="24" x14ac:dyDescent="0.3">
      <c r="A7" s="2">
        <f>IF(C_Ope_005[[#This Row],[tipo_r]]="R",COUNTIFS($C$1:$C6,"R")+1,"")</f>
        <v>6</v>
      </c>
      <c r="B7" s="19" t="str">
        <f t="shared" si="4"/>
        <v>C_Ope_005</v>
      </c>
      <c r="C7" s="3" t="s">
        <v>1330</v>
      </c>
      <c r="D7" s="14">
        <v>45664</v>
      </c>
      <c r="E7" s="5" t="s">
        <v>8535</v>
      </c>
      <c r="F7" s="5" t="s">
        <v>1336</v>
      </c>
      <c r="G7" s="6" t="s">
        <v>978</v>
      </c>
      <c r="H7" s="6" t="s">
        <v>68</v>
      </c>
      <c r="I7" s="6" t="s">
        <v>6380</v>
      </c>
      <c r="J7" s="6">
        <v>360841</v>
      </c>
      <c r="K7" s="7" t="s">
        <v>8538</v>
      </c>
      <c r="L7" s="8">
        <v>22578</v>
      </c>
      <c r="M7" s="8" t="str">
        <f t="shared" si="5"/>
        <v>PEN</v>
      </c>
      <c r="N7" s="13"/>
      <c r="O7" s="13">
        <v>8</v>
      </c>
      <c r="P7" s="3">
        <f t="shared" si="1"/>
        <v>0</v>
      </c>
      <c r="Q7" s="3">
        <f t="shared" si="2"/>
        <v>8</v>
      </c>
      <c r="R7" s="3">
        <f t="shared" si="3"/>
        <v>115.1</v>
      </c>
      <c r="S7" s="24" t="s">
        <v>1334</v>
      </c>
      <c r="T7" s="24" t="s">
        <v>1334</v>
      </c>
      <c r="U7" s="3"/>
      <c r="V7" s="25" t="s">
        <v>7761</v>
      </c>
      <c r="W7" s="25">
        <v>20517252558</v>
      </c>
      <c r="X7" s="25" t="str">
        <f>IFERROR(VLOOKUP(C_Ope_005[[#This Row],[nota_2]],Clientes_Proveedores[[Ruc / Dni]:[Razon Social]],2,0),"")</f>
        <v>COVISUR S.A.</v>
      </c>
      <c r="Y7" s="25"/>
      <c r="Z7" s="103"/>
      <c r="AA7" s="3" t="str">
        <f>IF(C_Ope_005[[#This Row],[fecha]]&gt;0,TEXT(C_Ope_005[[#This Row],[fecha]],"mmmm"),0)</f>
        <v>Enero</v>
      </c>
      <c r="AB7" s="49"/>
    </row>
    <row r="8" spans="1:28" ht="24" x14ac:dyDescent="0.3">
      <c r="A8" s="2">
        <f>IF(C_Ope_005[[#This Row],[tipo_r]]="R",COUNTIFS($C$1:$C7,"R")+1,"")</f>
        <v>7</v>
      </c>
      <c r="B8" s="19" t="str">
        <f t="shared" si="4"/>
        <v>C_Ope_005</v>
      </c>
      <c r="C8" s="3" t="s">
        <v>1330</v>
      </c>
      <c r="D8" s="14">
        <v>45664</v>
      </c>
      <c r="E8" s="5" t="s">
        <v>8535</v>
      </c>
      <c r="F8" s="5" t="s">
        <v>1336</v>
      </c>
      <c r="G8" s="6" t="s">
        <v>978</v>
      </c>
      <c r="H8" s="6" t="s">
        <v>68</v>
      </c>
      <c r="I8" s="6" t="s">
        <v>5845</v>
      </c>
      <c r="J8" s="6">
        <v>1643542</v>
      </c>
      <c r="K8" s="7" t="s">
        <v>8537</v>
      </c>
      <c r="L8" s="8">
        <v>22579</v>
      </c>
      <c r="M8" s="8" t="str">
        <f t="shared" si="5"/>
        <v>PEN</v>
      </c>
      <c r="N8" s="13"/>
      <c r="O8" s="13">
        <v>8</v>
      </c>
      <c r="P8" s="3">
        <f t="shared" si="1"/>
        <v>0</v>
      </c>
      <c r="Q8" s="3">
        <f t="shared" si="2"/>
        <v>8</v>
      </c>
      <c r="R8" s="3">
        <f t="shared" si="3"/>
        <v>107.1</v>
      </c>
      <c r="S8" s="24" t="s">
        <v>1334</v>
      </c>
      <c r="T8" s="24" t="s">
        <v>1334</v>
      </c>
      <c r="U8" s="3"/>
      <c r="V8" s="25" t="s">
        <v>7761</v>
      </c>
      <c r="W8" s="25">
        <v>20517252558</v>
      </c>
      <c r="X8" s="25" t="str">
        <f>IFERROR(VLOOKUP(C_Ope_005[[#This Row],[nota_2]],Clientes_Proveedores[[Ruc / Dni]:[Razon Social]],2,0),"")</f>
        <v>COVISUR S.A.</v>
      </c>
      <c r="Y8" s="25"/>
      <c r="Z8" s="103"/>
      <c r="AA8" s="3" t="str">
        <f>IF(C_Ope_005[[#This Row],[fecha]]&gt;0,TEXT(C_Ope_005[[#This Row],[fecha]],"mmmm"),0)</f>
        <v>Enero</v>
      </c>
      <c r="AB8" s="49"/>
    </row>
    <row r="9" spans="1:28" ht="36" x14ac:dyDescent="0.3">
      <c r="A9" s="2">
        <f>IF(C_Ope_005[[#This Row],[tipo_r]]="R",COUNTIFS($C$1:$C8,"R")+1,"")</f>
        <v>8</v>
      </c>
      <c r="B9" s="19" t="str">
        <f t="shared" si="4"/>
        <v>C_Ope_005</v>
      </c>
      <c r="C9" s="3" t="s">
        <v>1330</v>
      </c>
      <c r="D9" s="14">
        <v>45666</v>
      </c>
      <c r="E9" s="5" t="s">
        <v>8535</v>
      </c>
      <c r="F9" s="5" t="s">
        <v>1336</v>
      </c>
      <c r="G9" s="6" t="s">
        <v>978</v>
      </c>
      <c r="H9" s="6" t="s">
        <v>68</v>
      </c>
      <c r="I9" s="6" t="s">
        <v>6204</v>
      </c>
      <c r="J9" s="6">
        <v>1626503</v>
      </c>
      <c r="K9" s="7" t="s">
        <v>8539</v>
      </c>
      <c r="L9" s="8">
        <v>22603</v>
      </c>
      <c r="M9" s="8" t="str">
        <f t="shared" si="5"/>
        <v>PEN</v>
      </c>
      <c r="N9" s="13"/>
      <c r="O9" s="13">
        <v>5</v>
      </c>
      <c r="P9" s="3">
        <f t="shared" si="1"/>
        <v>0</v>
      </c>
      <c r="Q9" s="3">
        <f t="shared" si="2"/>
        <v>5</v>
      </c>
      <c r="R9" s="3">
        <f t="shared" si="3"/>
        <v>102.1</v>
      </c>
      <c r="S9" s="24" t="s">
        <v>1334</v>
      </c>
      <c r="T9" s="24" t="s">
        <v>1334</v>
      </c>
      <c r="U9" s="3"/>
      <c r="V9" s="25" t="s">
        <v>7756</v>
      </c>
      <c r="W9" s="25">
        <v>20517252558</v>
      </c>
      <c r="X9" s="25" t="str">
        <f>IFERROR(VLOOKUP(C_Ope_005[[#This Row],[nota_2]],Clientes_Proveedores[[Ruc / Dni]:[Razon Social]],2,0),"")</f>
        <v>COVISUR S.A.</v>
      </c>
      <c r="Y9" s="25"/>
      <c r="Z9" s="103"/>
      <c r="AA9" s="3" t="str">
        <f>IF(C_Ope_005[[#This Row],[fecha]]&gt;0,TEXT(C_Ope_005[[#This Row],[fecha]],"mmmm"),0)</f>
        <v>Enero</v>
      </c>
      <c r="AB9" s="49"/>
    </row>
    <row r="10" spans="1:28" ht="36" x14ac:dyDescent="0.3">
      <c r="A10" s="2">
        <f>IF(C_Ope_005[[#This Row],[tipo_r]]="R",COUNTIFS($C$1:$C9,"R")+1,"")</f>
        <v>9</v>
      </c>
      <c r="B10" s="19" t="str">
        <f t="shared" si="4"/>
        <v>C_Ope_005</v>
      </c>
      <c r="C10" s="3" t="s">
        <v>1330</v>
      </c>
      <c r="D10" s="14">
        <v>45666</v>
      </c>
      <c r="E10" s="5" t="s">
        <v>8535</v>
      </c>
      <c r="F10" s="5" t="s">
        <v>1336</v>
      </c>
      <c r="G10" s="6" t="s">
        <v>978</v>
      </c>
      <c r="H10" s="6" t="s">
        <v>68</v>
      </c>
      <c r="I10" s="6" t="s">
        <v>6203</v>
      </c>
      <c r="J10" s="6">
        <v>1922313</v>
      </c>
      <c r="K10" s="7" t="s">
        <v>8539</v>
      </c>
      <c r="L10" s="8">
        <v>22604</v>
      </c>
      <c r="M10" s="8" t="str">
        <f t="shared" si="5"/>
        <v>PEN</v>
      </c>
      <c r="N10" s="13"/>
      <c r="O10" s="13">
        <v>5</v>
      </c>
      <c r="P10" s="3">
        <f t="shared" si="1"/>
        <v>0</v>
      </c>
      <c r="Q10" s="3">
        <f t="shared" si="2"/>
        <v>5</v>
      </c>
      <c r="R10" s="3">
        <f t="shared" si="3"/>
        <v>97.1</v>
      </c>
      <c r="S10" s="24" t="s">
        <v>1334</v>
      </c>
      <c r="T10" s="24" t="s">
        <v>1334</v>
      </c>
      <c r="U10" s="3"/>
      <c r="V10" s="25" t="s">
        <v>7756</v>
      </c>
      <c r="W10" s="25">
        <v>20517252558</v>
      </c>
      <c r="X10" s="25" t="str">
        <f>IFERROR(VLOOKUP(C_Ope_005[[#This Row],[nota_2]],Clientes_Proveedores[[Ruc / Dni]:[Razon Social]],2,0),"")</f>
        <v>COVISUR S.A.</v>
      </c>
      <c r="Y10" s="25"/>
      <c r="Z10" s="103"/>
      <c r="AA10" s="3" t="str">
        <f>IF(C_Ope_005[[#This Row],[fecha]]&gt;0,TEXT(C_Ope_005[[#This Row],[fecha]],"mmmm"),0)</f>
        <v>Enero</v>
      </c>
      <c r="AB10" s="49"/>
    </row>
    <row r="11" spans="1:28" ht="24" x14ac:dyDescent="0.3">
      <c r="A11" s="2">
        <f>IF(C_Ope_005[[#This Row],[tipo_r]]="R",COUNTIFS($C$1:$C10,"R")+1,"")</f>
        <v>10</v>
      </c>
      <c r="B11" s="19" t="str">
        <f t="shared" si="4"/>
        <v>C_Ope_005</v>
      </c>
      <c r="C11" s="3" t="s">
        <v>1330</v>
      </c>
      <c r="D11" s="14">
        <v>45667</v>
      </c>
      <c r="E11" s="5" t="s">
        <v>8535</v>
      </c>
      <c r="F11" s="5" t="s">
        <v>1336</v>
      </c>
      <c r="G11" s="6" t="s">
        <v>978</v>
      </c>
      <c r="H11" s="6" t="s">
        <v>68</v>
      </c>
      <c r="I11" s="6" t="s">
        <v>6204</v>
      </c>
      <c r="J11" s="6">
        <v>1627509</v>
      </c>
      <c r="K11" s="7" t="s">
        <v>8540</v>
      </c>
      <c r="L11" s="8">
        <v>22616</v>
      </c>
      <c r="M11" s="8" t="str">
        <f t="shared" si="5"/>
        <v>PEN</v>
      </c>
      <c r="N11" s="13"/>
      <c r="O11" s="13">
        <v>8</v>
      </c>
      <c r="P11" s="3">
        <f t="shared" si="1"/>
        <v>0</v>
      </c>
      <c r="Q11" s="3">
        <f t="shared" si="2"/>
        <v>8</v>
      </c>
      <c r="R11" s="3">
        <f t="shared" si="3"/>
        <v>89.1</v>
      </c>
      <c r="S11" s="24" t="s">
        <v>1334</v>
      </c>
      <c r="T11" s="24" t="s">
        <v>1334</v>
      </c>
      <c r="U11" s="3"/>
      <c r="V11" s="25" t="s">
        <v>7842</v>
      </c>
      <c r="W11" s="25">
        <v>20517252558</v>
      </c>
      <c r="X11" s="25" t="str">
        <f>IFERROR(VLOOKUP(C_Ope_005[[#This Row],[nota_2]],Clientes_Proveedores[[Ruc / Dni]:[Razon Social]],2,0),"")</f>
        <v>COVISUR S.A.</v>
      </c>
      <c r="Y11" s="25"/>
      <c r="Z11" s="103"/>
      <c r="AA11" s="3" t="str">
        <f>IF(C_Ope_005[[#This Row],[fecha]]&gt;0,TEXT(C_Ope_005[[#This Row],[fecha]],"mmmm"),0)</f>
        <v>Enero</v>
      </c>
      <c r="AB11" s="49"/>
    </row>
    <row r="12" spans="1:28" ht="24" x14ac:dyDescent="0.3">
      <c r="A12" s="2">
        <f>IF(C_Ope_005[[#This Row],[tipo_r]]="R",COUNTIFS($C$1:$C11,"R")+1,"")</f>
        <v>11</v>
      </c>
      <c r="B12" s="19" t="str">
        <f t="shared" si="4"/>
        <v>C_Ope_005</v>
      </c>
      <c r="C12" s="3" t="s">
        <v>1330</v>
      </c>
      <c r="D12" s="14">
        <v>45667</v>
      </c>
      <c r="E12" s="5" t="s">
        <v>8535</v>
      </c>
      <c r="F12" s="5" t="s">
        <v>1336</v>
      </c>
      <c r="G12" s="6" t="s">
        <v>978</v>
      </c>
      <c r="H12" s="6" t="s">
        <v>68</v>
      </c>
      <c r="I12" s="6" t="s">
        <v>5845</v>
      </c>
      <c r="J12" s="6">
        <v>1645966</v>
      </c>
      <c r="K12" s="7" t="s">
        <v>8540</v>
      </c>
      <c r="L12" s="8">
        <v>22617</v>
      </c>
      <c r="M12" s="8" t="str">
        <f t="shared" si="5"/>
        <v>PEN</v>
      </c>
      <c r="N12" s="13"/>
      <c r="O12" s="13">
        <v>8</v>
      </c>
      <c r="P12" s="3">
        <f t="shared" si="1"/>
        <v>0</v>
      </c>
      <c r="Q12" s="3">
        <f t="shared" si="2"/>
        <v>8</v>
      </c>
      <c r="R12" s="3">
        <f t="shared" si="3"/>
        <v>81.099999999999994</v>
      </c>
      <c r="S12" s="24" t="s">
        <v>1334</v>
      </c>
      <c r="T12" s="24" t="s">
        <v>1334</v>
      </c>
      <c r="U12" s="3"/>
      <c r="V12" s="25" t="s">
        <v>7842</v>
      </c>
      <c r="W12" s="25">
        <v>20517252558</v>
      </c>
      <c r="X12" s="25" t="str">
        <f>IFERROR(VLOOKUP(C_Ope_005[[#This Row],[nota_2]],Clientes_Proveedores[[Ruc / Dni]:[Razon Social]],2,0),"")</f>
        <v>COVISUR S.A.</v>
      </c>
      <c r="Y12" s="25"/>
      <c r="Z12" s="103"/>
      <c r="AA12" s="3" t="str">
        <f>IF(C_Ope_005[[#This Row],[fecha]]&gt;0,TEXT(C_Ope_005[[#This Row],[fecha]],"mmmm"),0)</f>
        <v>Enero</v>
      </c>
      <c r="AB12" s="49"/>
    </row>
    <row r="13" spans="1:28" ht="36" x14ac:dyDescent="0.3">
      <c r="A13" s="2">
        <f>IF(C_Ope_005[[#This Row],[tipo_r]]="R",COUNTIFS($C$1:$C12,"R")+1,"")</f>
        <v>12</v>
      </c>
      <c r="B13" s="19" t="str">
        <f t="shared" si="4"/>
        <v>C_Ope_005</v>
      </c>
      <c r="C13" s="3" t="s">
        <v>1330</v>
      </c>
      <c r="D13" s="14">
        <v>45659</v>
      </c>
      <c r="E13" s="5" t="s">
        <v>8535</v>
      </c>
      <c r="F13" s="5" t="s">
        <v>1336</v>
      </c>
      <c r="G13" s="6" t="s">
        <v>227</v>
      </c>
      <c r="H13" s="6" t="s">
        <v>68</v>
      </c>
      <c r="I13" s="6" t="s">
        <v>1390</v>
      </c>
      <c r="J13" s="6">
        <v>126310</v>
      </c>
      <c r="K13" s="7" t="s">
        <v>8541</v>
      </c>
      <c r="L13" s="8">
        <v>22525</v>
      </c>
      <c r="M13" s="8" t="str">
        <f t="shared" si="5"/>
        <v>PEN</v>
      </c>
      <c r="N13" s="13"/>
      <c r="O13" s="13">
        <v>10</v>
      </c>
      <c r="P13" s="3">
        <f t="shared" si="1"/>
        <v>0</v>
      </c>
      <c r="Q13" s="3">
        <f t="shared" si="2"/>
        <v>10</v>
      </c>
      <c r="R13" s="3">
        <f t="shared" si="3"/>
        <v>71.099999999999994</v>
      </c>
      <c r="S13" s="24" t="s">
        <v>1334</v>
      </c>
      <c r="T13" s="24" t="s">
        <v>1334</v>
      </c>
      <c r="U13" s="3"/>
      <c r="V13" s="25" t="s">
        <v>7761</v>
      </c>
      <c r="W13" s="25">
        <v>20124952850</v>
      </c>
      <c r="X13" s="25" t="str">
        <f>IFERROR(VLOOKUP(C_Ope_005[[#This Row],[nota_2]],Clientes_Proveedores[[Ruc / Dni]:[Razon Social]],2,0),"")</f>
        <v>ALIMENTOS Y SERVICIOS AGROPECUARIOS SRL.</v>
      </c>
      <c r="Y13" s="25"/>
      <c r="Z13" s="103"/>
      <c r="AA13" s="3" t="str">
        <f>IF(C_Ope_005[[#This Row],[fecha]]&gt;0,TEXT(C_Ope_005[[#This Row],[fecha]],"mmmm"),0)</f>
        <v>Enero</v>
      </c>
      <c r="AB13" s="49"/>
    </row>
    <row r="14" spans="1:28" ht="36" x14ac:dyDescent="0.3">
      <c r="A14" s="2">
        <f>IF(C_Ope_005[[#This Row],[tipo_r]]="R",COUNTIFS($C$1:$C13,"R")+1,"")</f>
        <v>13</v>
      </c>
      <c r="B14" s="19" t="str">
        <f t="shared" si="4"/>
        <v>C_Ope_005</v>
      </c>
      <c r="C14" s="3" t="s">
        <v>1330</v>
      </c>
      <c r="D14" s="14">
        <v>45659</v>
      </c>
      <c r="E14" s="5" t="s">
        <v>8535</v>
      </c>
      <c r="F14" s="5" t="s">
        <v>1336</v>
      </c>
      <c r="G14" s="6" t="s">
        <v>227</v>
      </c>
      <c r="H14" s="6" t="s">
        <v>68</v>
      </c>
      <c r="I14" s="6" t="s">
        <v>1390</v>
      </c>
      <c r="J14" s="6">
        <v>126315</v>
      </c>
      <c r="K14" s="7" t="s">
        <v>8542</v>
      </c>
      <c r="L14" s="8">
        <v>22526</v>
      </c>
      <c r="M14" s="8" t="str">
        <f t="shared" si="5"/>
        <v>PEN</v>
      </c>
      <c r="N14" s="13"/>
      <c r="O14" s="13">
        <v>10</v>
      </c>
      <c r="P14" s="3">
        <f t="shared" si="1"/>
        <v>0</v>
      </c>
      <c r="Q14" s="3">
        <f t="shared" si="2"/>
        <v>10</v>
      </c>
      <c r="R14" s="3">
        <f t="shared" si="3"/>
        <v>61.099999999999994</v>
      </c>
      <c r="S14" s="24" t="s">
        <v>1334</v>
      </c>
      <c r="T14" s="24" t="s">
        <v>1334</v>
      </c>
      <c r="U14" s="3"/>
      <c r="V14" s="25" t="s">
        <v>7761</v>
      </c>
      <c r="W14" s="25">
        <v>20124952850</v>
      </c>
      <c r="X14" s="25" t="str">
        <f>IFERROR(VLOOKUP(C_Ope_005[[#This Row],[nota_2]],Clientes_Proveedores[[Ruc / Dni]:[Razon Social]],2,0),"")</f>
        <v>ALIMENTOS Y SERVICIOS AGROPECUARIOS SRL.</v>
      </c>
      <c r="Y14" s="25"/>
      <c r="Z14" s="103"/>
      <c r="AA14" s="3" t="str">
        <f>IF(C_Ope_005[[#This Row],[fecha]]&gt;0,TEXT(C_Ope_005[[#This Row],[fecha]],"mmmm"),0)</f>
        <v>Enero</v>
      </c>
      <c r="AB14" s="49"/>
    </row>
    <row r="15" spans="1:28" ht="36" x14ac:dyDescent="0.3">
      <c r="A15" s="2">
        <f>IF(C_Ope_005[[#This Row],[tipo_r]]="R",COUNTIFS($C$1:$C14,"R")+1,"")</f>
        <v>14</v>
      </c>
      <c r="B15" s="19" t="str">
        <f t="shared" si="4"/>
        <v>C_Ope_005</v>
      </c>
      <c r="C15" s="3" t="s">
        <v>1330</v>
      </c>
      <c r="D15" s="14">
        <v>45660</v>
      </c>
      <c r="E15" s="5" t="s">
        <v>8535</v>
      </c>
      <c r="F15" s="5" t="s">
        <v>1336</v>
      </c>
      <c r="G15" s="6" t="s">
        <v>227</v>
      </c>
      <c r="H15" s="6" t="s">
        <v>68</v>
      </c>
      <c r="I15" s="6" t="s">
        <v>1390</v>
      </c>
      <c r="J15" s="6">
        <v>126385</v>
      </c>
      <c r="K15" s="7" t="s">
        <v>8543</v>
      </c>
      <c r="L15" s="8">
        <v>22548</v>
      </c>
      <c r="M15" s="8" t="str">
        <f t="shared" si="5"/>
        <v>PEN</v>
      </c>
      <c r="N15" s="13"/>
      <c r="O15" s="13">
        <v>10</v>
      </c>
      <c r="P15" s="3">
        <f t="shared" si="1"/>
        <v>0</v>
      </c>
      <c r="Q15" s="3">
        <f t="shared" si="2"/>
        <v>10</v>
      </c>
      <c r="R15" s="3">
        <f t="shared" si="3"/>
        <v>51.099999999999994</v>
      </c>
      <c r="S15" s="24" t="s">
        <v>1334</v>
      </c>
      <c r="T15" s="24" t="s">
        <v>1334</v>
      </c>
      <c r="U15" s="3"/>
      <c r="V15" s="25" t="s">
        <v>7761</v>
      </c>
      <c r="W15" s="25">
        <v>20124952850</v>
      </c>
      <c r="X15" s="25" t="str">
        <f>IFERROR(VLOOKUP(C_Ope_005[[#This Row],[nota_2]],Clientes_Proveedores[[Ruc / Dni]:[Razon Social]],2,0),"")</f>
        <v>ALIMENTOS Y SERVICIOS AGROPECUARIOS SRL.</v>
      </c>
      <c r="Y15" s="25"/>
      <c r="Z15" s="103"/>
      <c r="AA15" s="3" t="str">
        <f>IF(C_Ope_005[[#This Row],[fecha]]&gt;0,TEXT(C_Ope_005[[#This Row],[fecha]],"mmmm"),0)</f>
        <v>Enero</v>
      </c>
      <c r="AB15" s="49"/>
    </row>
    <row r="16" spans="1:28" ht="36" x14ac:dyDescent="0.3">
      <c r="A16" s="2">
        <f>IF(C_Ope_005[[#This Row],[tipo_r]]="R",COUNTIFS($C$1:$C15,"R")+1,"")</f>
        <v>15</v>
      </c>
      <c r="B16" s="19" t="str">
        <f t="shared" si="4"/>
        <v>C_Ope_005</v>
      </c>
      <c r="C16" s="3" t="s">
        <v>1330</v>
      </c>
      <c r="D16" s="14">
        <v>45663</v>
      </c>
      <c r="E16" s="5" t="s">
        <v>8535</v>
      </c>
      <c r="F16" s="5" t="s">
        <v>1336</v>
      </c>
      <c r="G16" s="6" t="s">
        <v>227</v>
      </c>
      <c r="H16" s="6" t="s">
        <v>68</v>
      </c>
      <c r="I16" s="6" t="s">
        <v>1390</v>
      </c>
      <c r="J16" s="6">
        <v>126477</v>
      </c>
      <c r="K16" s="7" t="s">
        <v>7765</v>
      </c>
      <c r="L16" s="8">
        <v>22555</v>
      </c>
      <c r="M16" s="8" t="str">
        <f t="shared" si="5"/>
        <v>PEN</v>
      </c>
      <c r="N16" s="13"/>
      <c r="O16" s="13">
        <v>10</v>
      </c>
      <c r="P16" s="3">
        <f t="shared" si="1"/>
        <v>0</v>
      </c>
      <c r="Q16" s="3">
        <f t="shared" si="2"/>
        <v>10</v>
      </c>
      <c r="R16" s="3">
        <f t="shared" si="3"/>
        <v>41.099999999999994</v>
      </c>
      <c r="S16" s="24" t="s">
        <v>1334</v>
      </c>
      <c r="T16" s="24" t="s">
        <v>1334</v>
      </c>
      <c r="U16" s="3"/>
      <c r="V16" s="25" t="s">
        <v>8072</v>
      </c>
      <c r="W16" s="25">
        <v>20124952850</v>
      </c>
      <c r="X16" s="25" t="str">
        <f>IFERROR(VLOOKUP(C_Ope_005[[#This Row],[nota_2]],Clientes_Proveedores[[Ruc / Dni]:[Razon Social]],2,0),"")</f>
        <v>ALIMENTOS Y SERVICIOS AGROPECUARIOS SRL.</v>
      </c>
      <c r="Y16" s="25"/>
      <c r="Z16" s="103"/>
      <c r="AA16" s="3" t="str">
        <f>IF(C_Ope_005[[#This Row],[fecha]]&gt;0,TEXT(C_Ope_005[[#This Row],[fecha]],"mmmm"),0)</f>
        <v>Enero</v>
      </c>
      <c r="AB16" s="49"/>
    </row>
    <row r="17" spans="1:28" ht="36" x14ac:dyDescent="0.3">
      <c r="A17" s="2">
        <f>IF(C_Ope_005[[#This Row],[tipo_r]]="R",COUNTIFS($C$1:$C16,"R")+1,"")</f>
        <v>16</v>
      </c>
      <c r="B17" s="19" t="str">
        <f t="shared" si="4"/>
        <v>C_Ope_005</v>
      </c>
      <c r="C17" s="3" t="s">
        <v>1330</v>
      </c>
      <c r="D17" s="14">
        <v>45663</v>
      </c>
      <c r="E17" s="5" t="s">
        <v>8535</v>
      </c>
      <c r="F17" s="5" t="s">
        <v>1336</v>
      </c>
      <c r="G17" s="6" t="s">
        <v>227</v>
      </c>
      <c r="H17" s="6" t="s">
        <v>68</v>
      </c>
      <c r="I17" s="6" t="s">
        <v>1390</v>
      </c>
      <c r="J17" s="6">
        <v>126507</v>
      </c>
      <c r="K17" s="7" t="s">
        <v>8544</v>
      </c>
      <c r="L17" s="8">
        <v>22556</v>
      </c>
      <c r="M17" s="8" t="str">
        <f t="shared" si="5"/>
        <v>PEN</v>
      </c>
      <c r="N17" s="13"/>
      <c r="O17" s="13">
        <v>10</v>
      </c>
      <c r="P17" s="3">
        <f t="shared" si="1"/>
        <v>0</v>
      </c>
      <c r="Q17" s="3">
        <f t="shared" si="2"/>
        <v>10</v>
      </c>
      <c r="R17" s="3">
        <f t="shared" si="3"/>
        <v>31.099999999999994</v>
      </c>
      <c r="S17" s="24" t="s">
        <v>1334</v>
      </c>
      <c r="T17" s="24" t="s">
        <v>1334</v>
      </c>
      <c r="U17" s="3"/>
      <c r="V17" s="25" t="s">
        <v>7761</v>
      </c>
      <c r="W17" s="25">
        <v>20124952850</v>
      </c>
      <c r="X17" s="25" t="str">
        <f>IFERROR(VLOOKUP(C_Ope_005[[#This Row],[nota_2]],Clientes_Proveedores[[Ruc / Dni]:[Razon Social]],2,0),"")</f>
        <v>ALIMENTOS Y SERVICIOS AGROPECUARIOS SRL.</v>
      </c>
      <c r="Y17" s="25"/>
      <c r="Z17" s="103"/>
      <c r="AA17" s="3" t="str">
        <f>IF(C_Ope_005[[#This Row],[fecha]]&gt;0,TEXT(C_Ope_005[[#This Row],[fecha]],"mmmm"),0)</f>
        <v>Enero</v>
      </c>
      <c r="AB17" s="49"/>
    </row>
    <row r="18" spans="1:28" x14ac:dyDescent="0.3">
      <c r="A18" s="2">
        <f>IF(C_Ope_005[[#This Row],[tipo_r]]="R",COUNTIFS($C$1:$C17,"R")+1,"")</f>
        <v>17</v>
      </c>
      <c r="B18" s="19" t="str">
        <f t="shared" si="4"/>
        <v>C_Ope_005</v>
      </c>
      <c r="C18" s="3" t="s">
        <v>1330</v>
      </c>
      <c r="D18" s="14">
        <v>45663</v>
      </c>
      <c r="E18" s="5" t="s">
        <v>8535</v>
      </c>
      <c r="F18" s="5" t="s">
        <v>1336</v>
      </c>
      <c r="G18" s="6" t="s">
        <v>1148</v>
      </c>
      <c r="H18" s="6" t="s">
        <v>68</v>
      </c>
      <c r="I18" s="6" t="s">
        <v>6378</v>
      </c>
      <c r="J18" s="6">
        <v>4869</v>
      </c>
      <c r="K18" s="7" t="s">
        <v>7774</v>
      </c>
      <c r="L18" s="8">
        <v>22557</v>
      </c>
      <c r="M18" s="8" t="str">
        <f t="shared" si="5"/>
        <v>PEN</v>
      </c>
      <c r="N18" s="13"/>
      <c r="O18" s="13">
        <v>10</v>
      </c>
      <c r="P18" s="3">
        <f t="shared" si="1"/>
        <v>0</v>
      </c>
      <c r="Q18" s="3">
        <f t="shared" si="2"/>
        <v>10</v>
      </c>
      <c r="R18" s="3">
        <f t="shared" si="3"/>
        <v>21.099999999999994</v>
      </c>
      <c r="S18" s="24" t="s">
        <v>1334</v>
      </c>
      <c r="T18" s="24" t="s">
        <v>1334</v>
      </c>
      <c r="U18" s="3"/>
      <c r="V18" s="25" t="s">
        <v>7761</v>
      </c>
      <c r="W18" s="25">
        <v>20611633972</v>
      </c>
      <c r="X18" s="25" t="str">
        <f>IFERROR(VLOOKUP(C_Ope_005[[#This Row],[nota_2]],Clientes_Proveedores[[Ruc / Dni]:[Razon Social]],2,0),"")</f>
        <v>NOVAARECY E.I.R.L.</v>
      </c>
      <c r="Y18" s="25"/>
      <c r="Z18" s="103"/>
      <c r="AA18" s="3" t="str">
        <f>IF(C_Ope_005[[#This Row],[fecha]]&gt;0,TEXT(C_Ope_005[[#This Row],[fecha]],"mmmm"),0)</f>
        <v>Enero</v>
      </c>
      <c r="AB18" s="49"/>
    </row>
    <row r="19" spans="1:28" x14ac:dyDescent="0.3">
      <c r="A19" s="2">
        <f>IF(C_Ope_005[[#This Row],[tipo_r]]="R",COUNTIFS($C$1:$C18,"R")+1,"")</f>
        <v>18</v>
      </c>
      <c r="B19" s="19" t="str">
        <f t="shared" si="4"/>
        <v>C_Ope_005</v>
      </c>
      <c r="C19" s="3" t="s">
        <v>1330</v>
      </c>
      <c r="D19" s="14">
        <v>45663</v>
      </c>
      <c r="E19" s="5" t="s">
        <v>8535</v>
      </c>
      <c r="F19" s="5" t="s">
        <v>1336</v>
      </c>
      <c r="G19" s="6" t="s">
        <v>1148</v>
      </c>
      <c r="H19" s="6" t="s">
        <v>68</v>
      </c>
      <c r="I19" s="6" t="s">
        <v>6378</v>
      </c>
      <c r="J19" s="6">
        <v>4879</v>
      </c>
      <c r="K19" s="7" t="s">
        <v>8545</v>
      </c>
      <c r="L19" s="8">
        <v>22558</v>
      </c>
      <c r="M19" s="8" t="str">
        <f t="shared" si="5"/>
        <v>PEN</v>
      </c>
      <c r="N19" s="13"/>
      <c r="O19" s="13">
        <v>10</v>
      </c>
      <c r="P19" s="3">
        <f t="shared" si="1"/>
        <v>0</v>
      </c>
      <c r="Q19" s="3">
        <f t="shared" si="2"/>
        <v>10</v>
      </c>
      <c r="R19" s="3">
        <f t="shared" si="3"/>
        <v>11.099999999999994</v>
      </c>
      <c r="S19" s="24" t="s">
        <v>1334</v>
      </c>
      <c r="T19" s="24" t="s">
        <v>1334</v>
      </c>
      <c r="U19" s="3"/>
      <c r="V19" s="25" t="s">
        <v>7761</v>
      </c>
      <c r="W19" s="25">
        <v>20611633972</v>
      </c>
      <c r="X19" s="25" t="str">
        <f>IFERROR(VLOOKUP(C_Ope_005[[#This Row],[nota_2]],Clientes_Proveedores[[Ruc / Dni]:[Razon Social]],2,0),"")</f>
        <v>NOVAARECY E.I.R.L.</v>
      </c>
      <c r="Y19" s="25"/>
      <c r="Z19" s="103"/>
      <c r="AA19" s="3" t="str">
        <f>IF(C_Ope_005[[#This Row],[fecha]]&gt;0,TEXT(C_Ope_005[[#This Row],[fecha]],"mmmm"),0)</f>
        <v>Enero</v>
      </c>
      <c r="AB19" s="49"/>
    </row>
    <row r="20" spans="1:28" ht="36" x14ac:dyDescent="0.3">
      <c r="A20" s="2">
        <f>IF(C_Ope_005[[#This Row],[tipo_r]]="R",COUNTIFS($C$1:$C19,"R")+1,"")</f>
        <v>19</v>
      </c>
      <c r="B20" s="19" t="str">
        <f t="shared" si="4"/>
        <v>C_Ope_005</v>
      </c>
      <c r="C20" s="3" t="s">
        <v>1330</v>
      </c>
      <c r="D20" s="14">
        <v>45664</v>
      </c>
      <c r="E20" s="5" t="s">
        <v>8535</v>
      </c>
      <c r="F20" s="5" t="s">
        <v>1336</v>
      </c>
      <c r="G20" s="6" t="s">
        <v>1029</v>
      </c>
      <c r="H20" s="6" t="s">
        <v>68</v>
      </c>
      <c r="I20" s="6" t="s">
        <v>1374</v>
      </c>
      <c r="J20" s="6">
        <v>16590</v>
      </c>
      <c r="K20" s="7" t="s">
        <v>8546</v>
      </c>
      <c r="L20" s="8">
        <v>22569</v>
      </c>
      <c r="M20" s="8" t="str">
        <f t="shared" si="5"/>
        <v>PEN</v>
      </c>
      <c r="N20" s="13"/>
      <c r="O20" s="13">
        <v>11</v>
      </c>
      <c r="P20" s="3">
        <f t="shared" si="1"/>
        <v>0</v>
      </c>
      <c r="Q20" s="3">
        <f t="shared" si="2"/>
        <v>11</v>
      </c>
      <c r="R20" s="3">
        <f t="shared" si="3"/>
        <v>9.9999999999994316E-2</v>
      </c>
      <c r="S20" s="24" t="s">
        <v>1334</v>
      </c>
      <c r="T20" s="24" t="s">
        <v>1334</v>
      </c>
      <c r="U20" s="3"/>
      <c r="V20" s="25" t="s">
        <v>7761</v>
      </c>
      <c r="W20" s="25">
        <v>20454058187</v>
      </c>
      <c r="X20" s="25" t="str">
        <f>IFERROR(VLOOKUP(C_Ope_005[[#This Row],[nota_2]],Clientes_Proveedores[[Ruc / Dni]:[Razon Social]],2,0),"")</f>
        <v>ZONA ESPECIAL DE DESARROLLO ZED MATARANI</v>
      </c>
      <c r="Y20" s="25"/>
      <c r="Z20" s="103"/>
      <c r="AA20" s="3" t="str">
        <f>IF(C_Ope_005[[#This Row],[fecha]]&gt;0,TEXT(C_Ope_005[[#This Row],[fecha]],"mmmm"),0)</f>
        <v>Enero</v>
      </c>
      <c r="AB20" s="49"/>
    </row>
    <row r="21" spans="1:28" ht="36" x14ac:dyDescent="0.3">
      <c r="A21" s="2">
        <f>IF(C_Ope_005[[#This Row],[tipo_r]]="R",COUNTIFS($C$1:$C20,"R")+1,"")</f>
        <v>20</v>
      </c>
      <c r="B21" s="19" t="str">
        <f t="shared" si="4"/>
        <v>C_Ope_005</v>
      </c>
      <c r="C21" s="3" t="s">
        <v>1330</v>
      </c>
      <c r="D21" s="14">
        <v>45664</v>
      </c>
      <c r="E21" s="5" t="s">
        <v>8535</v>
      </c>
      <c r="F21" s="5" t="s">
        <v>1336</v>
      </c>
      <c r="G21" s="6" t="s">
        <v>1029</v>
      </c>
      <c r="H21" s="6" t="s">
        <v>68</v>
      </c>
      <c r="I21" s="6" t="s">
        <v>1374</v>
      </c>
      <c r="J21" s="6">
        <v>16596</v>
      </c>
      <c r="K21" s="7" t="s">
        <v>8547</v>
      </c>
      <c r="L21" s="8">
        <v>22580</v>
      </c>
      <c r="M21" s="8" t="str">
        <f t="shared" si="5"/>
        <v>PEN</v>
      </c>
      <c r="N21" s="13"/>
      <c r="O21" s="13">
        <v>11</v>
      </c>
      <c r="P21" s="3">
        <f t="shared" si="1"/>
        <v>0</v>
      </c>
      <c r="Q21" s="3">
        <f t="shared" si="2"/>
        <v>11</v>
      </c>
      <c r="R21" s="3">
        <f t="shared" si="3"/>
        <v>-10.900000000000006</v>
      </c>
      <c r="S21" s="24" t="s">
        <v>1334</v>
      </c>
      <c r="T21" s="24" t="s">
        <v>1334</v>
      </c>
      <c r="U21" s="3"/>
      <c r="V21" s="25" t="s">
        <v>7761</v>
      </c>
      <c r="W21" s="25">
        <v>20454058187</v>
      </c>
      <c r="X21" s="25" t="str">
        <f>IFERROR(VLOOKUP(C_Ope_005[[#This Row],[nota_2]],Clientes_Proveedores[[Ruc / Dni]:[Razon Social]],2,0),"")</f>
        <v>ZONA ESPECIAL DE DESARROLLO ZED MATARANI</v>
      </c>
      <c r="Y21" s="25"/>
      <c r="Z21" s="103"/>
      <c r="AA21" s="3" t="str">
        <f>IF(C_Ope_005[[#This Row],[fecha]]&gt;0,TEXT(C_Ope_005[[#This Row],[fecha]],"mmmm"),0)</f>
        <v>Enero</v>
      </c>
      <c r="AB21" s="49"/>
    </row>
    <row r="22" spans="1:28" ht="36" x14ac:dyDescent="0.3">
      <c r="A22" s="2">
        <f>IF(C_Ope_005[[#This Row],[tipo_r]]="R",COUNTIFS($C$1:$C21,"R")+1,"")</f>
        <v>21</v>
      </c>
      <c r="B22" s="19" t="str">
        <f t="shared" si="4"/>
        <v>C_Ope_005</v>
      </c>
      <c r="C22" s="3" t="s">
        <v>1330</v>
      </c>
      <c r="D22" s="14">
        <v>45665</v>
      </c>
      <c r="E22" s="5" t="s">
        <v>8535</v>
      </c>
      <c r="F22" s="5" t="s">
        <v>1336</v>
      </c>
      <c r="G22" s="6" t="s">
        <v>227</v>
      </c>
      <c r="H22" s="6" t="s">
        <v>68</v>
      </c>
      <c r="I22" s="6" t="s">
        <v>1390</v>
      </c>
      <c r="J22" s="6">
        <v>126595</v>
      </c>
      <c r="K22" s="7" t="s">
        <v>8548</v>
      </c>
      <c r="L22" s="8">
        <v>22588</v>
      </c>
      <c r="M22" s="8" t="str">
        <f t="shared" si="5"/>
        <v>PEN</v>
      </c>
      <c r="N22" s="13"/>
      <c r="O22" s="13">
        <v>10</v>
      </c>
      <c r="P22" s="3">
        <f t="shared" si="1"/>
        <v>0</v>
      </c>
      <c r="Q22" s="3">
        <f t="shared" si="2"/>
        <v>10</v>
      </c>
      <c r="R22" s="3">
        <f t="shared" si="3"/>
        <v>-20.900000000000006</v>
      </c>
      <c r="S22" s="24" t="s">
        <v>1334</v>
      </c>
      <c r="T22" s="24" t="s">
        <v>1334</v>
      </c>
      <c r="U22" s="3"/>
      <c r="V22" s="25" t="s">
        <v>7761</v>
      </c>
      <c r="W22" s="25">
        <v>20124952850</v>
      </c>
      <c r="X22" s="25" t="str">
        <f>IFERROR(VLOOKUP(C_Ope_005[[#This Row],[nota_2]],Clientes_Proveedores[[Ruc / Dni]:[Razon Social]],2,0),"")</f>
        <v>ALIMENTOS Y SERVICIOS AGROPECUARIOS SRL.</v>
      </c>
      <c r="Y22" s="25"/>
      <c r="Z22" s="103"/>
      <c r="AA22" s="3" t="str">
        <f>IF(C_Ope_005[[#This Row],[fecha]]&gt;0,TEXT(C_Ope_005[[#This Row],[fecha]],"mmmm"),0)</f>
        <v>Enero</v>
      </c>
      <c r="AB22" s="49"/>
    </row>
    <row r="23" spans="1:28" ht="24" x14ac:dyDescent="0.3">
      <c r="A23" s="2">
        <f>IF(C_Ope_005[[#This Row],[tipo_r]]="R",COUNTIFS($C$1:$C22,"R")+1,"")</f>
        <v>22</v>
      </c>
      <c r="B23" s="19" t="str">
        <f t="shared" si="4"/>
        <v>C_Ope_005</v>
      </c>
      <c r="C23" s="3" t="s">
        <v>1330</v>
      </c>
      <c r="D23" s="14">
        <v>45670</v>
      </c>
      <c r="E23" s="5" t="s">
        <v>7514</v>
      </c>
      <c r="F23" s="5" t="s">
        <v>1303</v>
      </c>
      <c r="G23" s="6" t="s">
        <v>957</v>
      </c>
      <c r="H23" s="6"/>
      <c r="I23" s="6"/>
      <c r="J23" s="6"/>
      <c r="K23" s="7" t="s">
        <v>7516</v>
      </c>
      <c r="L23" s="8">
        <v>22621</v>
      </c>
      <c r="M23" s="8" t="str">
        <f t="shared" si="5"/>
        <v>PEN</v>
      </c>
      <c r="N23" s="13"/>
      <c r="O23" s="13">
        <v>220</v>
      </c>
      <c r="P23" s="3">
        <f t="shared" si="1"/>
        <v>220</v>
      </c>
      <c r="Q23" s="3">
        <f t="shared" si="2"/>
        <v>0</v>
      </c>
      <c r="R23" s="3">
        <f t="shared" si="3"/>
        <v>199.1</v>
      </c>
      <c r="S23" s="24" t="s">
        <v>1334</v>
      </c>
      <c r="T23" s="24" t="s">
        <v>1334</v>
      </c>
      <c r="U23" s="3"/>
      <c r="V23" s="25"/>
      <c r="W23" s="25"/>
      <c r="X23" s="25" t="str">
        <f>IFERROR(VLOOKUP(C_Ope_005[[#This Row],[nota_2]],Clientes_Proveedores[[Ruc / Dni]:[Razon Social]],2,0),"")</f>
        <v/>
      </c>
      <c r="Y23" s="25"/>
      <c r="Z23" s="103"/>
      <c r="AA23" s="3" t="str">
        <f>IF(C_Ope_005[[#This Row],[fecha]]&gt;0,TEXT(C_Ope_005[[#This Row],[fecha]],"mmmm"),0)</f>
        <v>Enero</v>
      </c>
      <c r="AB23" s="49"/>
    </row>
    <row r="24" spans="1:28" ht="24" x14ac:dyDescent="0.3">
      <c r="A24" s="2">
        <f>IF(C_Ope_005[[#This Row],[tipo_r]]="R",COUNTIFS($C$1:$C23,"R")+1,"")</f>
        <v>23</v>
      </c>
      <c r="B24" s="19" t="str">
        <f t="shared" si="4"/>
        <v>C_Ope_005</v>
      </c>
      <c r="C24" s="3" t="s">
        <v>1330</v>
      </c>
      <c r="D24" s="14">
        <v>45671</v>
      </c>
      <c r="E24" s="5" t="s">
        <v>7514</v>
      </c>
      <c r="F24" s="5" t="s">
        <v>1303</v>
      </c>
      <c r="G24" s="6" t="s">
        <v>957</v>
      </c>
      <c r="H24" s="6"/>
      <c r="I24" s="6"/>
      <c r="J24" s="6"/>
      <c r="K24" s="7" t="s">
        <v>8549</v>
      </c>
      <c r="L24" s="8">
        <v>22647</v>
      </c>
      <c r="M24" s="8" t="str">
        <f t="shared" si="5"/>
        <v>PEN</v>
      </c>
      <c r="N24" s="13"/>
      <c r="O24" s="13">
        <v>700</v>
      </c>
      <c r="P24" s="3">
        <f t="shared" si="1"/>
        <v>700</v>
      </c>
      <c r="Q24" s="3">
        <f t="shared" si="2"/>
        <v>0</v>
      </c>
      <c r="R24" s="3">
        <f t="shared" si="3"/>
        <v>899.1</v>
      </c>
      <c r="S24" s="24" t="s">
        <v>1334</v>
      </c>
      <c r="T24" s="24" t="s">
        <v>1334</v>
      </c>
      <c r="U24" s="3"/>
      <c r="V24" s="25"/>
      <c r="W24" s="25"/>
      <c r="X24" s="25" t="str">
        <f>IFERROR(VLOOKUP(C_Ope_005[[#This Row],[nota_2]],Clientes_Proveedores[[Ruc / Dni]:[Razon Social]],2,0),"")</f>
        <v/>
      </c>
      <c r="Y24" s="25"/>
      <c r="Z24" s="103"/>
      <c r="AA24" s="3" t="str">
        <f>IF(C_Ope_005[[#This Row],[fecha]]&gt;0,TEXT(C_Ope_005[[#This Row],[fecha]],"mmmm"),0)</f>
        <v>Enero</v>
      </c>
      <c r="AB24" s="49"/>
    </row>
    <row r="25" spans="1:28" ht="24" x14ac:dyDescent="0.3">
      <c r="A25" s="2">
        <f>IF(C_Ope_005[[#This Row],[tipo_r]]="R",COUNTIFS($C$1:$C24,"R")+1,"")</f>
        <v>24</v>
      </c>
      <c r="B25" s="19" t="str">
        <f t="shared" si="4"/>
        <v>C_Ope_005</v>
      </c>
      <c r="C25" s="3" t="s">
        <v>1330</v>
      </c>
      <c r="D25" s="14">
        <v>45673</v>
      </c>
      <c r="E25" s="5" t="s">
        <v>8535</v>
      </c>
      <c r="F25" s="5" t="s">
        <v>1336</v>
      </c>
      <c r="G25" s="6" t="s">
        <v>1063</v>
      </c>
      <c r="H25" s="6" t="s">
        <v>68</v>
      </c>
      <c r="I25" s="6" t="s">
        <v>1374</v>
      </c>
      <c r="J25" s="6">
        <v>42932</v>
      </c>
      <c r="K25" s="7" t="s">
        <v>8550</v>
      </c>
      <c r="L25" s="8">
        <v>22681</v>
      </c>
      <c r="M25" s="8" t="str">
        <f t="shared" si="5"/>
        <v>PEN</v>
      </c>
      <c r="N25" s="13"/>
      <c r="O25" s="13">
        <v>150</v>
      </c>
      <c r="P25" s="3">
        <f t="shared" si="1"/>
        <v>0</v>
      </c>
      <c r="Q25" s="3">
        <f t="shared" si="2"/>
        <v>150</v>
      </c>
      <c r="R25" s="3">
        <f t="shared" si="3"/>
        <v>749.1</v>
      </c>
      <c r="S25" s="24" t="s">
        <v>1334</v>
      </c>
      <c r="T25" s="24" t="s">
        <v>1334</v>
      </c>
      <c r="U25" s="3"/>
      <c r="V25" s="25" t="s">
        <v>7761</v>
      </c>
      <c r="W25" s="25">
        <v>20485592556</v>
      </c>
      <c r="X25" s="25" t="str">
        <f>IFERROR(VLOOKUP(C_Ope_005[[#This Row],[nota_2]],Clientes_Proveedores[[Ruc / Dni]:[Razon Social]],2,0),"")</f>
        <v>SERVICENTRO SANTA MARTHA E.I.R.LTDA.</v>
      </c>
      <c r="Y25" s="25"/>
      <c r="Z25" s="103"/>
      <c r="AA25" s="3" t="str">
        <f>IF(C_Ope_005[[#This Row],[fecha]]&gt;0,TEXT(C_Ope_005[[#This Row],[fecha]],"mmmm"),0)</f>
        <v>Enero</v>
      </c>
      <c r="AB25" s="49"/>
    </row>
    <row r="26" spans="1:28" ht="36" x14ac:dyDescent="0.3">
      <c r="A26" s="2">
        <f>IF(C_Ope_005[[#This Row],[tipo_r]]="R",COUNTIFS($C$1:$C25,"R")+1,"")</f>
        <v>25</v>
      </c>
      <c r="B26" s="19" t="str">
        <f t="shared" si="4"/>
        <v>C_Ope_005</v>
      </c>
      <c r="C26" s="3" t="s">
        <v>1330</v>
      </c>
      <c r="D26" s="14">
        <v>45670</v>
      </c>
      <c r="E26" s="5" t="s">
        <v>8535</v>
      </c>
      <c r="F26" s="5" t="s">
        <v>1336</v>
      </c>
      <c r="G26" s="6" t="s">
        <v>978</v>
      </c>
      <c r="H26" s="6" t="s">
        <v>68</v>
      </c>
      <c r="I26" s="6" t="s">
        <v>5688</v>
      </c>
      <c r="J26" s="6">
        <v>2194926</v>
      </c>
      <c r="K26" s="7" t="s">
        <v>8551</v>
      </c>
      <c r="L26" s="8">
        <v>22619</v>
      </c>
      <c r="M26" s="8" t="str">
        <f t="shared" si="5"/>
        <v>PEN</v>
      </c>
      <c r="N26" s="13"/>
      <c r="O26" s="13">
        <v>8</v>
      </c>
      <c r="P26" s="3">
        <f t="shared" si="1"/>
        <v>0</v>
      </c>
      <c r="Q26" s="3">
        <f t="shared" si="2"/>
        <v>8</v>
      </c>
      <c r="R26" s="3">
        <f t="shared" si="3"/>
        <v>741.1</v>
      </c>
      <c r="S26" s="24" t="s">
        <v>1334</v>
      </c>
      <c r="T26" s="24" t="s">
        <v>1334</v>
      </c>
      <c r="U26" s="3"/>
      <c r="V26" s="25" t="s">
        <v>7761</v>
      </c>
      <c r="W26" s="25">
        <v>20517252558</v>
      </c>
      <c r="X26" s="25" t="str">
        <f>IFERROR(VLOOKUP(C_Ope_005[[#This Row],[nota_2]],Clientes_Proveedores[[Ruc / Dni]:[Razon Social]],2,0),"")</f>
        <v>COVISUR S.A.</v>
      </c>
      <c r="Y26" s="25"/>
      <c r="Z26" s="103"/>
      <c r="AA26" s="3" t="str">
        <f>IF(C_Ope_005[[#This Row],[fecha]]&gt;0,TEXT(C_Ope_005[[#This Row],[fecha]],"mmmm"),0)</f>
        <v>Enero</v>
      </c>
      <c r="AB26" s="49"/>
    </row>
    <row r="27" spans="1:28" ht="36" x14ac:dyDescent="0.3">
      <c r="A27" s="2">
        <f>IF(C_Ope_005[[#This Row],[tipo_r]]="R",COUNTIFS($C$1:$C26,"R")+1,"")</f>
        <v>26</v>
      </c>
      <c r="B27" s="19" t="str">
        <f t="shared" si="4"/>
        <v>C_Ope_005</v>
      </c>
      <c r="C27" s="3" t="s">
        <v>1330</v>
      </c>
      <c r="D27" s="14">
        <v>45670</v>
      </c>
      <c r="E27" s="5" t="s">
        <v>8535</v>
      </c>
      <c r="F27" s="5" t="s">
        <v>1336</v>
      </c>
      <c r="G27" s="6" t="s">
        <v>978</v>
      </c>
      <c r="H27" s="6" t="s">
        <v>68</v>
      </c>
      <c r="I27" s="6" t="s">
        <v>6203</v>
      </c>
      <c r="J27" s="6">
        <v>1926388</v>
      </c>
      <c r="K27" s="7" t="s">
        <v>8551</v>
      </c>
      <c r="L27" s="8">
        <v>22625</v>
      </c>
      <c r="M27" s="8" t="str">
        <f t="shared" si="5"/>
        <v>PEN</v>
      </c>
      <c r="N27" s="13"/>
      <c r="O27" s="13">
        <v>8</v>
      </c>
      <c r="P27" s="3">
        <f t="shared" si="1"/>
        <v>0</v>
      </c>
      <c r="Q27" s="3">
        <f t="shared" si="2"/>
        <v>8</v>
      </c>
      <c r="R27" s="3">
        <f t="shared" si="3"/>
        <v>733.1</v>
      </c>
      <c r="S27" s="24" t="s">
        <v>1334</v>
      </c>
      <c r="T27" s="24" t="s">
        <v>1334</v>
      </c>
      <c r="U27" s="3"/>
      <c r="V27" s="25" t="s">
        <v>7761</v>
      </c>
      <c r="W27" s="25">
        <v>20517252558</v>
      </c>
      <c r="X27" s="25" t="str">
        <f>IFERROR(VLOOKUP(C_Ope_005[[#This Row],[nota_2]],Clientes_Proveedores[[Ruc / Dni]:[Razon Social]],2,0),"")</f>
        <v>COVISUR S.A.</v>
      </c>
      <c r="Y27" s="25"/>
      <c r="Z27" s="103"/>
      <c r="AA27" s="3" t="str">
        <f>IF(C_Ope_005[[#This Row],[fecha]]&gt;0,TEXT(C_Ope_005[[#This Row],[fecha]],"mmmm"),0)</f>
        <v>Enero</v>
      </c>
      <c r="AB27" s="49"/>
    </row>
    <row r="28" spans="1:28" ht="24" x14ac:dyDescent="0.3">
      <c r="A28" s="2">
        <f>IF(C_Ope_005[[#This Row],[tipo_r]]="R",COUNTIFS($C$1:$C27,"R")+1,"")</f>
        <v>27</v>
      </c>
      <c r="B28" s="19" t="str">
        <f t="shared" si="4"/>
        <v>C_Ope_005</v>
      </c>
      <c r="C28" s="3" t="s">
        <v>1330</v>
      </c>
      <c r="D28" s="14">
        <v>45671</v>
      </c>
      <c r="E28" s="5" t="s">
        <v>8535</v>
      </c>
      <c r="F28" s="5" t="s">
        <v>1336</v>
      </c>
      <c r="G28" s="6" t="s">
        <v>978</v>
      </c>
      <c r="H28" s="6" t="s">
        <v>68</v>
      </c>
      <c r="I28" s="6" t="s">
        <v>8552</v>
      </c>
      <c r="J28" s="6">
        <v>1686581</v>
      </c>
      <c r="K28" s="7" t="s">
        <v>8553</v>
      </c>
      <c r="L28" s="8">
        <v>22648</v>
      </c>
      <c r="M28" s="8" t="str">
        <f t="shared" si="5"/>
        <v>PEN</v>
      </c>
      <c r="N28" s="13"/>
      <c r="O28" s="13">
        <v>7.7</v>
      </c>
      <c r="P28" s="3">
        <f t="shared" si="1"/>
        <v>0</v>
      </c>
      <c r="Q28" s="3">
        <f t="shared" si="2"/>
        <v>7.7</v>
      </c>
      <c r="R28" s="3">
        <f t="shared" si="3"/>
        <v>725.4</v>
      </c>
      <c r="S28" s="24" t="s">
        <v>1334</v>
      </c>
      <c r="T28" s="24" t="s">
        <v>1334</v>
      </c>
      <c r="U28" s="3"/>
      <c r="V28" s="25" t="s">
        <v>7761</v>
      </c>
      <c r="W28" s="25">
        <v>20517252558</v>
      </c>
      <c r="X28" s="25" t="str">
        <f>IFERROR(VLOOKUP(C_Ope_005[[#This Row],[nota_2]],Clientes_Proveedores[[Ruc / Dni]:[Razon Social]],2,0),"")</f>
        <v>COVISUR S.A.</v>
      </c>
      <c r="Y28" s="25"/>
      <c r="Z28" s="103"/>
      <c r="AA28" s="3" t="str">
        <f>IF(C_Ope_005[[#This Row],[fecha]]&gt;0,TEXT(C_Ope_005[[#This Row],[fecha]],"mmmm"),0)</f>
        <v>Enero</v>
      </c>
      <c r="AB28" s="49"/>
    </row>
    <row r="29" spans="1:28" ht="24" x14ac:dyDescent="0.3">
      <c r="A29" s="2">
        <f>IF(C_Ope_005[[#This Row],[tipo_r]]="R",COUNTIFS($C$1:$C28,"R")+1,"")</f>
        <v>28</v>
      </c>
      <c r="B29" s="19" t="str">
        <f t="shared" si="4"/>
        <v>C_Ope_005</v>
      </c>
      <c r="C29" s="3" t="s">
        <v>1330</v>
      </c>
      <c r="D29" s="14">
        <v>45672</v>
      </c>
      <c r="E29" s="5" t="s">
        <v>8535</v>
      </c>
      <c r="F29" s="5" t="s">
        <v>1336</v>
      </c>
      <c r="G29" s="6" t="s">
        <v>1036</v>
      </c>
      <c r="H29" s="6" t="s">
        <v>68</v>
      </c>
      <c r="I29" s="6" t="s">
        <v>8554</v>
      </c>
      <c r="J29" s="6">
        <v>581920</v>
      </c>
      <c r="K29" s="7" t="s">
        <v>8555</v>
      </c>
      <c r="L29" s="8">
        <v>22658</v>
      </c>
      <c r="M29" s="8" t="str">
        <f t="shared" si="5"/>
        <v>PEN</v>
      </c>
      <c r="N29" s="13"/>
      <c r="O29" s="13">
        <v>7.7</v>
      </c>
      <c r="P29" s="3">
        <f t="shared" si="1"/>
        <v>0</v>
      </c>
      <c r="Q29" s="3">
        <f t="shared" si="2"/>
        <v>7.7</v>
      </c>
      <c r="R29" s="3">
        <f t="shared" si="3"/>
        <v>717.69999999999993</v>
      </c>
      <c r="S29" s="24" t="s">
        <v>1334</v>
      </c>
      <c r="T29" s="24" t="s">
        <v>1334</v>
      </c>
      <c r="U29" s="3"/>
      <c r="V29" s="25" t="s">
        <v>7761</v>
      </c>
      <c r="W29" s="25">
        <v>20517216241</v>
      </c>
      <c r="X29" s="25" t="str">
        <f>IFERROR(VLOOKUP(C_Ope_005[[#This Row],[nota_2]],Clientes_Proveedores[[Ruc / Dni]:[Razon Social]],2,0),"")</f>
        <v>CARRETERA ANDINA DEL SUR S.A.C.</v>
      </c>
      <c r="Y29" s="25"/>
      <c r="Z29" s="103"/>
      <c r="AA29" s="3" t="str">
        <f>IF(C_Ope_005[[#This Row],[fecha]]&gt;0,TEXT(C_Ope_005[[#This Row],[fecha]],"mmmm"),0)</f>
        <v>Enero</v>
      </c>
      <c r="AB29" s="49"/>
    </row>
    <row r="30" spans="1:28" ht="24" x14ac:dyDescent="0.3">
      <c r="A30" s="2">
        <f>IF(C_Ope_005[[#This Row],[tipo_r]]="R",COUNTIFS($C$1:$C29,"R")+1,"")</f>
        <v>29</v>
      </c>
      <c r="B30" s="19" t="str">
        <f t="shared" si="4"/>
        <v>C_Ope_005</v>
      </c>
      <c r="C30" s="3" t="s">
        <v>1330</v>
      </c>
      <c r="D30" s="14">
        <v>45673</v>
      </c>
      <c r="E30" s="5" t="s">
        <v>8535</v>
      </c>
      <c r="F30" s="5" t="s">
        <v>1336</v>
      </c>
      <c r="G30" s="6" t="s">
        <v>1036</v>
      </c>
      <c r="H30" s="6" t="s">
        <v>68</v>
      </c>
      <c r="I30" s="6" t="s">
        <v>8556</v>
      </c>
      <c r="J30" s="6">
        <v>589312</v>
      </c>
      <c r="K30" s="7" t="s">
        <v>8555</v>
      </c>
      <c r="L30" s="8">
        <v>22680</v>
      </c>
      <c r="M30" s="8" t="str">
        <f t="shared" si="5"/>
        <v>PEN</v>
      </c>
      <c r="N30" s="13"/>
      <c r="O30" s="13">
        <v>7.7</v>
      </c>
      <c r="P30" s="3">
        <f t="shared" si="1"/>
        <v>0</v>
      </c>
      <c r="Q30" s="3">
        <f t="shared" si="2"/>
        <v>7.7</v>
      </c>
      <c r="R30" s="3">
        <f t="shared" si="3"/>
        <v>709.99999999999989</v>
      </c>
      <c r="S30" s="24" t="s">
        <v>1334</v>
      </c>
      <c r="T30" s="24" t="s">
        <v>1334</v>
      </c>
      <c r="U30" s="3"/>
      <c r="V30" s="25" t="s">
        <v>7761</v>
      </c>
      <c r="W30" s="25">
        <v>20517216241</v>
      </c>
      <c r="X30" s="25" t="str">
        <f>IFERROR(VLOOKUP(C_Ope_005[[#This Row],[nota_2]],Clientes_Proveedores[[Ruc / Dni]:[Razon Social]],2,0),"")</f>
        <v>CARRETERA ANDINA DEL SUR S.A.C.</v>
      </c>
      <c r="Y30" s="25"/>
      <c r="Z30" s="103"/>
      <c r="AA30" s="3" t="str">
        <f>IF(C_Ope_005[[#This Row],[fecha]]&gt;0,TEXT(C_Ope_005[[#This Row],[fecha]],"mmmm"),0)</f>
        <v>Enero</v>
      </c>
      <c r="AB30" s="49"/>
    </row>
    <row r="31" spans="1:28" ht="24" x14ac:dyDescent="0.3">
      <c r="A31" s="2">
        <f>IF(C_Ope_005[[#This Row],[tipo_r]]="R",COUNTIFS($C$1:$C30,"R")+1,"")</f>
        <v>30</v>
      </c>
      <c r="B31" s="19" t="str">
        <f t="shared" si="4"/>
        <v>C_Ope_005</v>
      </c>
      <c r="C31" s="3" t="s">
        <v>1330</v>
      </c>
      <c r="D31" s="14">
        <v>45674</v>
      </c>
      <c r="E31" s="5" t="s">
        <v>8535</v>
      </c>
      <c r="F31" s="5" t="s">
        <v>1336</v>
      </c>
      <c r="G31" s="6" t="s">
        <v>978</v>
      </c>
      <c r="H31" s="6" t="s">
        <v>68</v>
      </c>
      <c r="I31" s="6" t="s">
        <v>8557</v>
      </c>
      <c r="J31" s="6">
        <v>1729114</v>
      </c>
      <c r="K31" s="7" t="s">
        <v>8553</v>
      </c>
      <c r="L31" s="8">
        <v>22716</v>
      </c>
      <c r="M31" s="8" t="str">
        <f t="shared" si="5"/>
        <v>PEN</v>
      </c>
      <c r="N31" s="13"/>
      <c r="O31" s="13">
        <v>7.7</v>
      </c>
      <c r="P31" s="3">
        <f t="shared" si="1"/>
        <v>0</v>
      </c>
      <c r="Q31" s="3">
        <f t="shared" si="2"/>
        <v>7.7</v>
      </c>
      <c r="R31" s="3">
        <f t="shared" si="3"/>
        <v>702.29999999999984</v>
      </c>
      <c r="S31" s="24" t="s">
        <v>1334</v>
      </c>
      <c r="T31" s="24" t="s">
        <v>1334</v>
      </c>
      <c r="U31" s="3"/>
      <c r="V31" s="25" t="s">
        <v>7761</v>
      </c>
      <c r="W31" s="25">
        <v>20517252558</v>
      </c>
      <c r="X31" s="25" t="str">
        <f>IFERROR(VLOOKUP(C_Ope_005[[#This Row],[nota_2]],Clientes_Proveedores[[Ruc / Dni]:[Razon Social]],2,0),"")</f>
        <v>COVISUR S.A.</v>
      </c>
      <c r="Y31" s="25"/>
      <c r="Z31" s="103"/>
      <c r="AA31" s="3" t="str">
        <f>IF(C_Ope_005[[#This Row],[fecha]]&gt;0,TEXT(C_Ope_005[[#This Row],[fecha]],"mmmm"),0)</f>
        <v>Enero</v>
      </c>
      <c r="AB31" s="49"/>
    </row>
    <row r="32" spans="1:28" ht="36" x14ac:dyDescent="0.3">
      <c r="A32" s="2">
        <f>IF(C_Ope_005[[#This Row],[tipo_r]]="R",COUNTIFS($C$1:$C31,"R")+1,"")</f>
        <v>31</v>
      </c>
      <c r="B32" s="19" t="str">
        <f t="shared" si="4"/>
        <v>C_Ope_005</v>
      </c>
      <c r="C32" s="3" t="s">
        <v>1330</v>
      </c>
      <c r="D32" s="14">
        <v>45670</v>
      </c>
      <c r="E32" s="5" t="s">
        <v>8535</v>
      </c>
      <c r="F32" s="5" t="s">
        <v>1336</v>
      </c>
      <c r="G32" s="6" t="s">
        <v>682</v>
      </c>
      <c r="H32" s="6" t="s">
        <v>68</v>
      </c>
      <c r="I32" s="6" t="s">
        <v>1353</v>
      </c>
      <c r="J32" s="6">
        <v>15327</v>
      </c>
      <c r="K32" s="7" t="s">
        <v>8558</v>
      </c>
      <c r="L32" s="8">
        <v>22620</v>
      </c>
      <c r="M32" s="8" t="str">
        <f t="shared" si="5"/>
        <v>PEN</v>
      </c>
      <c r="N32" s="13"/>
      <c r="O32" s="13">
        <v>20</v>
      </c>
      <c r="P32" s="3">
        <f t="shared" si="1"/>
        <v>0</v>
      </c>
      <c r="Q32" s="3">
        <f t="shared" si="2"/>
        <v>20</v>
      </c>
      <c r="R32" s="3">
        <f t="shared" si="3"/>
        <v>682.29999999999984</v>
      </c>
      <c r="S32" s="24" t="s">
        <v>1334</v>
      </c>
      <c r="T32" s="24" t="s">
        <v>1334</v>
      </c>
      <c r="U32" s="3"/>
      <c r="V32" s="25" t="s">
        <v>7761</v>
      </c>
      <c r="W32" s="25">
        <v>20259858934</v>
      </c>
      <c r="X32" s="25" t="str">
        <f>IFERROR(VLOOKUP(C_Ope_005[[#This Row],[nota_2]],Clientes_Proveedores[[Ruc / Dni]:[Razon Social]],2,0),"")</f>
        <v>COMERCIALIZACION Y SERVICIOS EL EDEN S.A.C.</v>
      </c>
      <c r="Y32" s="25"/>
      <c r="Z32" s="103"/>
      <c r="AA32" s="3" t="str">
        <f>IF(C_Ope_005[[#This Row],[fecha]]&gt;0,TEXT(C_Ope_005[[#This Row],[fecha]],"mmmm"),0)</f>
        <v>Enero</v>
      </c>
      <c r="AB32" s="49"/>
    </row>
    <row r="33" spans="1:28" ht="36" x14ac:dyDescent="0.3">
      <c r="A33" s="2">
        <f>IF(C_Ope_005[[#This Row],[tipo_r]]="R",COUNTIFS($C$1:$C32,"R")+1,"")</f>
        <v>32</v>
      </c>
      <c r="B33" s="19" t="str">
        <f t="shared" si="4"/>
        <v>C_Ope_005</v>
      </c>
      <c r="C33" s="3" t="s">
        <v>1330</v>
      </c>
      <c r="D33" s="14">
        <v>45671</v>
      </c>
      <c r="E33" s="5" t="s">
        <v>8535</v>
      </c>
      <c r="F33" s="5" t="s">
        <v>1336</v>
      </c>
      <c r="G33" s="6" t="s">
        <v>227</v>
      </c>
      <c r="H33" s="6" t="s">
        <v>68</v>
      </c>
      <c r="I33" s="6" t="s">
        <v>1390</v>
      </c>
      <c r="J33" s="6">
        <v>126894</v>
      </c>
      <c r="K33" s="7" t="s">
        <v>8559</v>
      </c>
      <c r="L33" s="8">
        <v>22641</v>
      </c>
      <c r="M33" s="8" t="str">
        <f t="shared" si="5"/>
        <v>PEN</v>
      </c>
      <c r="N33" s="13"/>
      <c r="O33" s="13">
        <v>10</v>
      </c>
      <c r="P33" s="3">
        <f t="shared" si="1"/>
        <v>0</v>
      </c>
      <c r="Q33" s="3">
        <f t="shared" si="2"/>
        <v>10</v>
      </c>
      <c r="R33" s="3">
        <f t="shared" si="3"/>
        <v>672.29999999999984</v>
      </c>
      <c r="S33" s="24" t="s">
        <v>1334</v>
      </c>
      <c r="T33" s="24" t="s">
        <v>1334</v>
      </c>
      <c r="U33" s="3"/>
      <c r="V33" s="25" t="s">
        <v>7761</v>
      </c>
      <c r="W33" s="25">
        <v>20124952850</v>
      </c>
      <c r="X33" s="25" t="str">
        <f>IFERROR(VLOOKUP(C_Ope_005[[#This Row],[nota_2]],Clientes_Proveedores[[Ruc / Dni]:[Razon Social]],2,0),"")</f>
        <v>ALIMENTOS Y SERVICIOS AGROPECUARIOS SRL.</v>
      </c>
      <c r="Y33" s="25"/>
      <c r="Z33" s="103"/>
      <c r="AA33" s="3" t="str">
        <f>IF(C_Ope_005[[#This Row],[fecha]]&gt;0,TEXT(C_Ope_005[[#This Row],[fecha]],"mmmm"),0)</f>
        <v>Enero</v>
      </c>
      <c r="AB33" s="49"/>
    </row>
    <row r="34" spans="1:28" ht="24" x14ac:dyDescent="0.3">
      <c r="A34" s="2">
        <f>IF(C_Ope_005[[#This Row],[tipo_r]]="R",COUNTIFS($C$1:$C33,"R")+1,"")</f>
        <v>33</v>
      </c>
      <c r="B34" s="19" t="str">
        <f t="shared" si="4"/>
        <v>C_Ope_005</v>
      </c>
      <c r="C34" s="3" t="s">
        <v>1330</v>
      </c>
      <c r="D34" s="14">
        <v>45670</v>
      </c>
      <c r="E34" s="5" t="s">
        <v>8535</v>
      </c>
      <c r="F34" s="5" t="s">
        <v>1336</v>
      </c>
      <c r="G34" s="6" t="s">
        <v>999</v>
      </c>
      <c r="H34" s="6" t="s">
        <v>68</v>
      </c>
      <c r="I34" s="6" t="s">
        <v>1374</v>
      </c>
      <c r="J34" s="6">
        <v>15916</v>
      </c>
      <c r="K34" s="7" t="s">
        <v>7777</v>
      </c>
      <c r="L34" s="8">
        <v>22626</v>
      </c>
      <c r="M34" s="8" t="str">
        <f t="shared" si="5"/>
        <v>PEN</v>
      </c>
      <c r="N34" s="13"/>
      <c r="O34" s="13">
        <v>25</v>
      </c>
      <c r="P34" s="3">
        <f t="shared" si="1"/>
        <v>0</v>
      </c>
      <c r="Q34" s="3">
        <f t="shared" si="2"/>
        <v>25</v>
      </c>
      <c r="R34" s="3">
        <f t="shared" si="3"/>
        <v>647.29999999999984</v>
      </c>
      <c r="S34" s="24" t="s">
        <v>1334</v>
      </c>
      <c r="T34" s="24" t="s">
        <v>1334</v>
      </c>
      <c r="U34" s="3"/>
      <c r="V34" s="25" t="s">
        <v>7761</v>
      </c>
      <c r="W34" s="25">
        <v>10705628331</v>
      </c>
      <c r="X34" s="25" t="str">
        <f>IFERROR(VLOOKUP(C_Ope_005[[#This Row],[nota_2]],Clientes_Proveedores[[Ruc / Dni]:[Razon Social]],2,0),"")</f>
        <v>LARICO APAZA NANCY ROSSMARY</v>
      </c>
      <c r="Y34" s="25"/>
      <c r="Z34" s="103"/>
      <c r="AA34" s="3" t="str">
        <f>IF(C_Ope_005[[#This Row],[fecha]]&gt;0,TEXT(C_Ope_005[[#This Row],[fecha]],"mmmm"),0)</f>
        <v>Enero</v>
      </c>
      <c r="AB34" s="49"/>
    </row>
    <row r="35" spans="1:28" ht="24" x14ac:dyDescent="0.3">
      <c r="A35" s="2">
        <f>IF(C_Ope_005[[#This Row],[tipo_r]]="R",COUNTIFS($C$1:$C34,"R")+1,"")</f>
        <v>34</v>
      </c>
      <c r="B35" s="19" t="str">
        <f t="shared" si="4"/>
        <v>C_Ope_005</v>
      </c>
      <c r="C35" s="3" t="s">
        <v>1330</v>
      </c>
      <c r="D35" s="14">
        <v>45671</v>
      </c>
      <c r="E35" s="5" t="s">
        <v>8535</v>
      </c>
      <c r="F35" s="5" t="s">
        <v>1336</v>
      </c>
      <c r="G35" s="6" t="s">
        <v>1065</v>
      </c>
      <c r="H35" s="6" t="s">
        <v>75</v>
      </c>
      <c r="I35" s="6">
        <v>1</v>
      </c>
      <c r="J35" s="6">
        <v>70</v>
      </c>
      <c r="K35" s="7" t="s">
        <v>8560</v>
      </c>
      <c r="L35" s="8">
        <v>22649</v>
      </c>
      <c r="M35" s="8" t="str">
        <f t="shared" si="5"/>
        <v>PEN</v>
      </c>
      <c r="N35" s="13"/>
      <c r="O35" s="13">
        <v>100</v>
      </c>
      <c r="P35" s="3">
        <f t="shared" si="1"/>
        <v>0</v>
      </c>
      <c r="Q35" s="3">
        <f t="shared" si="2"/>
        <v>100</v>
      </c>
      <c r="R35" s="3">
        <f t="shared" si="3"/>
        <v>547.29999999999984</v>
      </c>
      <c r="S35" s="24" t="s">
        <v>1334</v>
      </c>
      <c r="T35" s="24" t="s">
        <v>1334</v>
      </c>
      <c r="U35" s="3"/>
      <c r="V35" s="25" t="s">
        <v>7761</v>
      </c>
      <c r="W35" s="25">
        <v>10710506634</v>
      </c>
      <c r="X35" s="25" t="str">
        <f>IFERROR(VLOOKUP(C_Ope_005[[#This Row],[nota_2]],Clientes_Proveedores[[Ruc / Dni]:[Razon Social]],2,0),"")</f>
        <v>LAZARTE QUISPE ELVIS WALDIR</v>
      </c>
      <c r="Y35" s="25"/>
      <c r="Z35" s="103"/>
      <c r="AA35" s="3" t="str">
        <f>IF(C_Ope_005[[#This Row],[fecha]]&gt;0,TEXT(C_Ope_005[[#This Row],[fecha]],"mmmm"),0)</f>
        <v>Enero</v>
      </c>
      <c r="AB35" s="49"/>
    </row>
    <row r="36" spans="1:28" x14ac:dyDescent="0.3">
      <c r="A36" s="2">
        <f>IF(C_Ope_005[[#This Row],[tipo_r]]="R",COUNTIFS($C$1:$C35,"R")+1,"")</f>
        <v>35</v>
      </c>
      <c r="B36" s="19" t="str">
        <f t="shared" si="4"/>
        <v>C_Ope_005</v>
      </c>
      <c r="C36" s="3" t="s">
        <v>1330</v>
      </c>
      <c r="D36" s="14">
        <v>45671</v>
      </c>
      <c r="E36" s="5" t="s">
        <v>8535</v>
      </c>
      <c r="F36" s="5" t="s">
        <v>1336</v>
      </c>
      <c r="G36" s="6"/>
      <c r="H36" s="6" t="s">
        <v>126</v>
      </c>
      <c r="I36" s="6"/>
      <c r="J36" s="6"/>
      <c r="K36" s="7" t="s">
        <v>8561</v>
      </c>
      <c r="L36" s="8">
        <v>22650</v>
      </c>
      <c r="M36" s="8" t="str">
        <f t="shared" si="5"/>
        <v>PEN</v>
      </c>
      <c r="N36" s="13"/>
      <c r="O36" s="13">
        <v>15</v>
      </c>
      <c r="P36" s="3">
        <f t="shared" si="1"/>
        <v>0</v>
      </c>
      <c r="Q36" s="3">
        <f t="shared" si="2"/>
        <v>15</v>
      </c>
      <c r="R36" s="3">
        <f t="shared" si="3"/>
        <v>532.29999999999984</v>
      </c>
      <c r="S36" s="24" t="s">
        <v>1334</v>
      </c>
      <c r="T36" s="24" t="s">
        <v>1334</v>
      </c>
      <c r="U36" s="3"/>
      <c r="V36" s="25" t="s">
        <v>7761</v>
      </c>
      <c r="W36" s="25"/>
      <c r="X36" s="25" t="str">
        <f>IFERROR(VLOOKUP(C_Ope_005[[#This Row],[nota_2]],Clientes_Proveedores[[Ruc / Dni]:[Razon Social]],2,0),"")</f>
        <v/>
      </c>
      <c r="Y36" s="25"/>
      <c r="Z36" s="103"/>
      <c r="AA36" s="3" t="str">
        <f>IF(C_Ope_005[[#This Row],[fecha]]&gt;0,TEXT(C_Ope_005[[#This Row],[fecha]],"mmmm"),0)</f>
        <v>Enero</v>
      </c>
      <c r="AB36" s="49"/>
    </row>
    <row r="37" spans="1:28" x14ac:dyDescent="0.3">
      <c r="A37" s="2">
        <f>IF(C_Ope_005[[#This Row],[tipo_r]]="R",COUNTIFS($C$1:$C36,"R")+1,"")</f>
        <v>36</v>
      </c>
      <c r="B37" s="19" t="str">
        <f t="shared" si="4"/>
        <v>C_Ope_005</v>
      </c>
      <c r="C37" s="3" t="s">
        <v>1330</v>
      </c>
      <c r="D37" s="14">
        <v>45671</v>
      </c>
      <c r="E37" s="5" t="s">
        <v>8535</v>
      </c>
      <c r="F37" s="5" t="s">
        <v>1336</v>
      </c>
      <c r="G37" s="6"/>
      <c r="H37" s="6" t="s">
        <v>126</v>
      </c>
      <c r="I37" s="6"/>
      <c r="J37" s="6"/>
      <c r="K37" s="7" t="s">
        <v>8231</v>
      </c>
      <c r="L37" s="8">
        <v>22651</v>
      </c>
      <c r="M37" s="8" t="str">
        <f t="shared" si="5"/>
        <v>PEN</v>
      </c>
      <c r="N37" s="13"/>
      <c r="O37" s="13">
        <v>24</v>
      </c>
      <c r="P37" s="3">
        <f t="shared" si="1"/>
        <v>0</v>
      </c>
      <c r="Q37" s="3">
        <f t="shared" si="2"/>
        <v>24</v>
      </c>
      <c r="R37" s="3">
        <f t="shared" si="3"/>
        <v>508.29999999999984</v>
      </c>
      <c r="S37" s="24" t="s">
        <v>1334</v>
      </c>
      <c r="T37" s="24" t="s">
        <v>1334</v>
      </c>
      <c r="U37" s="3"/>
      <c r="V37" s="25" t="s">
        <v>7761</v>
      </c>
      <c r="W37" s="25"/>
      <c r="X37" s="25" t="str">
        <f>IFERROR(VLOOKUP(C_Ope_005[[#This Row],[nota_2]],Clientes_Proveedores[[Ruc / Dni]:[Razon Social]],2,0),"")</f>
        <v/>
      </c>
      <c r="Y37" s="25"/>
      <c r="Z37" s="103"/>
      <c r="AA37" s="3" t="str">
        <f>IF(C_Ope_005[[#This Row],[fecha]]&gt;0,TEXT(C_Ope_005[[#This Row],[fecha]],"mmmm"),0)</f>
        <v>Enero</v>
      </c>
      <c r="AB37" s="49"/>
    </row>
    <row r="38" spans="1:28" x14ac:dyDescent="0.3">
      <c r="A38" s="2">
        <f>IF(C_Ope_005[[#This Row],[tipo_r]]="R",COUNTIFS($C$1:$C37,"R")+1,"")</f>
        <v>37</v>
      </c>
      <c r="B38" s="19" t="str">
        <f t="shared" si="4"/>
        <v>C_Ope_005</v>
      </c>
      <c r="C38" s="3" t="s">
        <v>1330</v>
      </c>
      <c r="D38" s="14">
        <v>45672</v>
      </c>
      <c r="E38" s="5" t="s">
        <v>8535</v>
      </c>
      <c r="F38" s="5" t="s">
        <v>1336</v>
      </c>
      <c r="G38" s="6"/>
      <c r="H38" s="6" t="s">
        <v>126</v>
      </c>
      <c r="I38" s="6"/>
      <c r="J38" s="6"/>
      <c r="K38" s="7" t="s">
        <v>8225</v>
      </c>
      <c r="L38" s="8">
        <v>22659</v>
      </c>
      <c r="M38" s="8" t="str">
        <f t="shared" si="5"/>
        <v>PEN</v>
      </c>
      <c r="N38" s="13"/>
      <c r="O38" s="13">
        <v>24</v>
      </c>
      <c r="P38" s="3">
        <f t="shared" si="1"/>
        <v>0</v>
      </c>
      <c r="Q38" s="3">
        <f t="shared" si="2"/>
        <v>24</v>
      </c>
      <c r="R38" s="3">
        <f t="shared" si="3"/>
        <v>484.29999999999984</v>
      </c>
      <c r="S38" s="24" t="s">
        <v>1334</v>
      </c>
      <c r="T38" s="24" t="s">
        <v>1334</v>
      </c>
      <c r="U38" s="3"/>
      <c r="V38" s="25" t="s">
        <v>7761</v>
      </c>
      <c r="W38" s="25"/>
      <c r="X38" s="25" t="str">
        <f>IFERROR(VLOOKUP(C_Ope_005[[#This Row],[nota_2]],Clientes_Proveedores[[Ruc / Dni]:[Razon Social]],2,0),"")</f>
        <v/>
      </c>
      <c r="Y38" s="25"/>
      <c r="Z38" s="103"/>
      <c r="AA38" s="3" t="str">
        <f>IF(C_Ope_005[[#This Row],[fecha]]&gt;0,TEXT(C_Ope_005[[#This Row],[fecha]],"mmmm"),0)</f>
        <v>Enero</v>
      </c>
      <c r="AB38" s="49"/>
    </row>
    <row r="39" spans="1:28" x14ac:dyDescent="0.3">
      <c r="A39" s="2">
        <f>IF(C_Ope_005[[#This Row],[tipo_r]]="R",COUNTIFS($C$1:$C38,"R")+1,"")</f>
        <v>38</v>
      </c>
      <c r="B39" s="19" t="str">
        <f t="shared" si="4"/>
        <v>C_Ope_005</v>
      </c>
      <c r="C39" s="3" t="s">
        <v>1330</v>
      </c>
      <c r="D39" s="14">
        <v>45672</v>
      </c>
      <c r="E39" s="5" t="s">
        <v>8535</v>
      </c>
      <c r="F39" s="5" t="s">
        <v>1336</v>
      </c>
      <c r="G39" s="6"/>
      <c r="H39" s="6" t="s">
        <v>126</v>
      </c>
      <c r="I39" s="6"/>
      <c r="J39" s="6"/>
      <c r="K39" s="7" t="s">
        <v>8218</v>
      </c>
      <c r="L39" s="8">
        <v>22660</v>
      </c>
      <c r="M39" s="8" t="str">
        <f t="shared" si="5"/>
        <v>PEN</v>
      </c>
      <c r="N39" s="13"/>
      <c r="O39" s="13">
        <v>30</v>
      </c>
      <c r="P39" s="3">
        <f t="shared" si="1"/>
        <v>0</v>
      </c>
      <c r="Q39" s="3">
        <f t="shared" si="2"/>
        <v>30</v>
      </c>
      <c r="R39" s="3">
        <f t="shared" si="3"/>
        <v>454.29999999999984</v>
      </c>
      <c r="S39" s="24" t="s">
        <v>1334</v>
      </c>
      <c r="T39" s="24" t="s">
        <v>1334</v>
      </c>
      <c r="U39" s="3"/>
      <c r="V39" s="25" t="s">
        <v>7761</v>
      </c>
      <c r="W39" s="25"/>
      <c r="X39" s="25" t="str">
        <f>IFERROR(VLOOKUP(C_Ope_005[[#This Row],[nota_2]],Clientes_Proveedores[[Ruc / Dni]:[Razon Social]],2,0),"")</f>
        <v/>
      </c>
      <c r="Y39" s="25"/>
      <c r="Z39" s="103"/>
      <c r="AA39" s="3" t="str">
        <f>IF(C_Ope_005[[#This Row],[fecha]]&gt;0,TEXT(C_Ope_005[[#This Row],[fecha]],"mmmm"),0)</f>
        <v>Enero</v>
      </c>
      <c r="AB39" s="49"/>
    </row>
    <row r="40" spans="1:28" x14ac:dyDescent="0.3">
      <c r="A40" s="2">
        <f>IF(C_Ope_005[[#This Row],[tipo_r]]="R",COUNTIFS($C$1:$C39,"R")+1,"")</f>
        <v>39</v>
      </c>
      <c r="B40" s="19" t="str">
        <f t="shared" si="4"/>
        <v>C_Ope_005</v>
      </c>
      <c r="C40" s="3" t="s">
        <v>1330</v>
      </c>
      <c r="D40" s="14">
        <v>45672</v>
      </c>
      <c r="E40" s="5" t="s">
        <v>8535</v>
      </c>
      <c r="F40" s="5" t="s">
        <v>1336</v>
      </c>
      <c r="G40" s="6"/>
      <c r="H40" s="6" t="s">
        <v>126</v>
      </c>
      <c r="I40" s="6"/>
      <c r="J40" s="6"/>
      <c r="K40" s="7" t="s">
        <v>8231</v>
      </c>
      <c r="L40" s="8">
        <v>22661</v>
      </c>
      <c r="M40" s="8" t="str">
        <f t="shared" si="5"/>
        <v>PEN</v>
      </c>
      <c r="N40" s="13"/>
      <c r="O40" s="13">
        <v>24</v>
      </c>
      <c r="P40" s="3">
        <f t="shared" si="1"/>
        <v>0</v>
      </c>
      <c r="Q40" s="3">
        <f t="shared" si="2"/>
        <v>24</v>
      </c>
      <c r="R40" s="3">
        <f t="shared" si="3"/>
        <v>430.29999999999984</v>
      </c>
      <c r="S40" s="24" t="s">
        <v>1334</v>
      </c>
      <c r="T40" s="24" t="s">
        <v>1334</v>
      </c>
      <c r="U40" s="3"/>
      <c r="V40" s="25" t="s">
        <v>7761</v>
      </c>
      <c r="W40" s="25"/>
      <c r="X40" s="25" t="str">
        <f>IFERROR(VLOOKUP(C_Ope_005[[#This Row],[nota_2]],Clientes_Proveedores[[Ruc / Dni]:[Razon Social]],2,0),"")</f>
        <v/>
      </c>
      <c r="Y40" s="25"/>
      <c r="Z40" s="103"/>
      <c r="AA40" s="3" t="str">
        <f>IF(C_Ope_005[[#This Row],[fecha]]&gt;0,TEXT(C_Ope_005[[#This Row],[fecha]],"mmmm"),0)</f>
        <v>Enero</v>
      </c>
      <c r="AB40" s="49"/>
    </row>
    <row r="41" spans="1:28" x14ac:dyDescent="0.3">
      <c r="A41" s="2">
        <f>IF(C_Ope_005[[#This Row],[tipo_r]]="R",COUNTIFS($C$1:$C40,"R")+1,"")</f>
        <v>40</v>
      </c>
      <c r="B41" s="19" t="str">
        <f t="shared" si="4"/>
        <v>C_Ope_005</v>
      </c>
      <c r="C41" s="3" t="s">
        <v>1330</v>
      </c>
      <c r="D41" s="14">
        <v>45672</v>
      </c>
      <c r="E41" s="5" t="s">
        <v>8535</v>
      </c>
      <c r="F41" s="5" t="s">
        <v>1336</v>
      </c>
      <c r="G41" s="6"/>
      <c r="H41" s="6" t="s">
        <v>126</v>
      </c>
      <c r="I41" s="6"/>
      <c r="J41" s="6"/>
      <c r="K41" s="7" t="s">
        <v>8562</v>
      </c>
      <c r="L41" s="8">
        <v>22662</v>
      </c>
      <c r="M41" s="8" t="str">
        <f t="shared" si="5"/>
        <v>PEN</v>
      </c>
      <c r="N41" s="13"/>
      <c r="O41" s="13">
        <v>100</v>
      </c>
      <c r="P41" s="3">
        <f t="shared" si="1"/>
        <v>0</v>
      </c>
      <c r="Q41" s="3">
        <f t="shared" si="2"/>
        <v>100</v>
      </c>
      <c r="R41" s="3">
        <f t="shared" si="3"/>
        <v>330.29999999999984</v>
      </c>
      <c r="S41" s="24" t="s">
        <v>1334</v>
      </c>
      <c r="T41" s="24" t="s">
        <v>1334</v>
      </c>
      <c r="U41" s="3"/>
      <c r="V41" s="25" t="s">
        <v>7761</v>
      </c>
      <c r="W41" s="25"/>
      <c r="X41" s="25" t="str">
        <f>IFERROR(VLOOKUP(C_Ope_005[[#This Row],[nota_2]],Clientes_Proveedores[[Ruc / Dni]:[Razon Social]],2,0),"")</f>
        <v/>
      </c>
      <c r="Y41" s="25"/>
      <c r="Z41" s="103"/>
      <c r="AA41" s="3" t="str">
        <f>IF(C_Ope_005[[#This Row],[fecha]]&gt;0,TEXT(C_Ope_005[[#This Row],[fecha]],"mmmm"),0)</f>
        <v>Enero</v>
      </c>
      <c r="AB41" s="49"/>
    </row>
    <row r="42" spans="1:28" x14ac:dyDescent="0.3">
      <c r="A42" s="2">
        <f>IF(C_Ope_005[[#This Row],[tipo_r]]="R",COUNTIFS($C$1:$C41,"R")+1,"")</f>
        <v>41</v>
      </c>
      <c r="B42" s="19" t="str">
        <f t="shared" si="4"/>
        <v>C_Ope_005</v>
      </c>
      <c r="C42" s="3" t="s">
        <v>1330</v>
      </c>
      <c r="D42" s="14">
        <v>45673</v>
      </c>
      <c r="E42" s="5" t="s">
        <v>8535</v>
      </c>
      <c r="F42" s="5" t="s">
        <v>1336</v>
      </c>
      <c r="G42" s="6"/>
      <c r="H42" s="6" t="s">
        <v>126</v>
      </c>
      <c r="I42" s="6"/>
      <c r="J42" s="6"/>
      <c r="K42" s="7" t="s">
        <v>8225</v>
      </c>
      <c r="L42" s="8">
        <v>22682</v>
      </c>
      <c r="M42" s="8" t="str">
        <f t="shared" si="5"/>
        <v>PEN</v>
      </c>
      <c r="N42" s="13"/>
      <c r="O42" s="13">
        <v>24</v>
      </c>
      <c r="P42" s="3">
        <f t="shared" si="1"/>
        <v>0</v>
      </c>
      <c r="Q42" s="3">
        <f t="shared" si="2"/>
        <v>24</v>
      </c>
      <c r="R42" s="3">
        <f t="shared" si="3"/>
        <v>306.29999999999984</v>
      </c>
      <c r="S42" s="24" t="s">
        <v>1334</v>
      </c>
      <c r="T42" s="24" t="s">
        <v>1334</v>
      </c>
      <c r="U42" s="3"/>
      <c r="V42" s="25" t="s">
        <v>7761</v>
      </c>
      <c r="W42" s="25"/>
      <c r="X42" s="25" t="str">
        <f>IFERROR(VLOOKUP(C_Ope_005[[#This Row],[nota_2]],Clientes_Proveedores[[Ruc / Dni]:[Razon Social]],2,0),"")</f>
        <v/>
      </c>
      <c r="Y42" s="25"/>
      <c r="Z42" s="103"/>
      <c r="AA42" s="3" t="str">
        <f>IF(C_Ope_005[[#This Row],[fecha]]&gt;0,TEXT(C_Ope_005[[#This Row],[fecha]],"mmmm"),0)</f>
        <v>Enero</v>
      </c>
      <c r="AB42" s="49"/>
    </row>
    <row r="43" spans="1:28" x14ac:dyDescent="0.3">
      <c r="A43" s="2">
        <f>IF(C_Ope_005[[#This Row],[tipo_r]]="R",COUNTIFS($C$1:$C42,"R")+1,"")</f>
        <v>42</v>
      </c>
      <c r="B43" s="19" t="str">
        <f t="shared" si="4"/>
        <v>C_Ope_005</v>
      </c>
      <c r="C43" s="3" t="s">
        <v>1330</v>
      </c>
      <c r="D43" s="14">
        <v>45673</v>
      </c>
      <c r="E43" s="5" t="s">
        <v>8535</v>
      </c>
      <c r="F43" s="5" t="s">
        <v>1336</v>
      </c>
      <c r="G43" s="6"/>
      <c r="H43" s="6" t="s">
        <v>126</v>
      </c>
      <c r="I43" s="6"/>
      <c r="J43" s="6"/>
      <c r="K43" s="7" t="s">
        <v>8218</v>
      </c>
      <c r="L43" s="8">
        <v>22683</v>
      </c>
      <c r="M43" s="8" t="str">
        <f t="shared" si="5"/>
        <v>PEN</v>
      </c>
      <c r="N43" s="13"/>
      <c r="O43" s="13">
        <v>30</v>
      </c>
      <c r="P43" s="3">
        <f t="shared" si="1"/>
        <v>0</v>
      </c>
      <c r="Q43" s="3">
        <f t="shared" si="2"/>
        <v>30</v>
      </c>
      <c r="R43" s="3">
        <f t="shared" si="3"/>
        <v>276.29999999999984</v>
      </c>
      <c r="S43" s="24" t="s">
        <v>1334</v>
      </c>
      <c r="T43" s="24" t="s">
        <v>1334</v>
      </c>
      <c r="U43" s="3"/>
      <c r="V43" s="25" t="s">
        <v>7761</v>
      </c>
      <c r="W43" s="25"/>
      <c r="X43" s="25" t="str">
        <f>IFERROR(VLOOKUP(C_Ope_005[[#This Row],[nota_2]],Clientes_Proveedores[[Ruc / Dni]:[Razon Social]],2,0),"")</f>
        <v/>
      </c>
      <c r="Y43" s="25"/>
      <c r="Z43" s="103"/>
      <c r="AA43" s="3" t="str">
        <f>IF(C_Ope_005[[#This Row],[fecha]]&gt;0,TEXT(C_Ope_005[[#This Row],[fecha]],"mmmm"),0)</f>
        <v>Enero</v>
      </c>
      <c r="AB43" s="49"/>
    </row>
    <row r="44" spans="1:28" x14ac:dyDescent="0.3">
      <c r="A44" s="2">
        <f>IF(C_Ope_005[[#This Row],[tipo_r]]="R",COUNTIFS($C$1:$C43,"R")+1,"")</f>
        <v>43</v>
      </c>
      <c r="B44" s="19" t="str">
        <f t="shared" si="4"/>
        <v>C_Ope_005</v>
      </c>
      <c r="C44" s="3" t="s">
        <v>1330</v>
      </c>
      <c r="D44" s="14">
        <v>45673</v>
      </c>
      <c r="E44" s="5" t="s">
        <v>8535</v>
      </c>
      <c r="F44" s="5" t="s">
        <v>1336</v>
      </c>
      <c r="G44" s="6"/>
      <c r="H44" s="6" t="s">
        <v>126</v>
      </c>
      <c r="I44" s="6"/>
      <c r="J44" s="6"/>
      <c r="K44" s="7" t="s">
        <v>8231</v>
      </c>
      <c r="L44" s="8">
        <v>22684</v>
      </c>
      <c r="M44" s="8" t="str">
        <f t="shared" si="5"/>
        <v>PEN</v>
      </c>
      <c r="N44" s="13"/>
      <c r="O44" s="13">
        <v>24</v>
      </c>
      <c r="P44" s="3">
        <f t="shared" si="1"/>
        <v>0</v>
      </c>
      <c r="Q44" s="3">
        <f t="shared" si="2"/>
        <v>24</v>
      </c>
      <c r="R44" s="3">
        <f t="shared" si="3"/>
        <v>252.29999999999984</v>
      </c>
      <c r="S44" s="24" t="s">
        <v>1334</v>
      </c>
      <c r="T44" s="24" t="s">
        <v>1334</v>
      </c>
      <c r="U44" s="3"/>
      <c r="V44" s="25" t="s">
        <v>7761</v>
      </c>
      <c r="W44" s="25"/>
      <c r="X44" s="25" t="str">
        <f>IFERROR(VLOOKUP(C_Ope_005[[#This Row],[nota_2]],Clientes_Proveedores[[Ruc / Dni]:[Razon Social]],2,0),"")</f>
        <v/>
      </c>
      <c r="Y44" s="25"/>
      <c r="Z44" s="103"/>
      <c r="AA44" s="3" t="str">
        <f>IF(C_Ope_005[[#This Row],[fecha]]&gt;0,TEXT(C_Ope_005[[#This Row],[fecha]],"mmmm"),0)</f>
        <v>Enero</v>
      </c>
      <c r="AB44" s="49"/>
    </row>
    <row r="45" spans="1:28" x14ac:dyDescent="0.3">
      <c r="A45" s="2">
        <f>IF(C_Ope_005[[#This Row],[tipo_r]]="R",COUNTIFS($C$1:$C44,"R")+1,"")</f>
        <v>44</v>
      </c>
      <c r="B45" s="19" t="str">
        <f t="shared" si="4"/>
        <v>C_Ope_005</v>
      </c>
      <c r="C45" s="3" t="s">
        <v>1330</v>
      </c>
      <c r="D45" s="14">
        <v>45673</v>
      </c>
      <c r="E45" s="5" t="s">
        <v>8535</v>
      </c>
      <c r="F45" s="5" t="s">
        <v>1336</v>
      </c>
      <c r="G45" s="6"/>
      <c r="H45" s="6" t="s">
        <v>126</v>
      </c>
      <c r="I45" s="6"/>
      <c r="J45" s="6"/>
      <c r="K45" s="7" t="s">
        <v>8563</v>
      </c>
      <c r="L45" s="8">
        <v>22685</v>
      </c>
      <c r="M45" s="8" t="str">
        <f t="shared" si="5"/>
        <v>PEN</v>
      </c>
      <c r="N45" s="13"/>
      <c r="O45" s="13">
        <v>80</v>
      </c>
      <c r="P45" s="3">
        <f t="shared" si="1"/>
        <v>0</v>
      </c>
      <c r="Q45" s="3">
        <f t="shared" si="2"/>
        <v>80</v>
      </c>
      <c r="R45" s="3">
        <f t="shared" si="3"/>
        <v>172.29999999999984</v>
      </c>
      <c r="S45" s="24" t="s">
        <v>1334</v>
      </c>
      <c r="T45" s="24" t="s">
        <v>1334</v>
      </c>
      <c r="U45" s="3"/>
      <c r="V45" s="25" t="s">
        <v>7761</v>
      </c>
      <c r="W45" s="25"/>
      <c r="X45" s="25" t="str">
        <f>IFERROR(VLOOKUP(C_Ope_005[[#This Row],[nota_2]],Clientes_Proveedores[[Ruc / Dni]:[Razon Social]],2,0),"")</f>
        <v/>
      </c>
      <c r="Y45" s="25"/>
      <c r="Z45" s="103"/>
      <c r="AA45" s="3" t="str">
        <f>IF(C_Ope_005[[#This Row],[fecha]]&gt;0,TEXT(C_Ope_005[[#This Row],[fecha]],"mmmm"),0)</f>
        <v>Enero</v>
      </c>
      <c r="AB45" s="49"/>
    </row>
    <row r="46" spans="1:28" x14ac:dyDescent="0.3">
      <c r="A46" s="2">
        <f>IF(C_Ope_005[[#This Row],[tipo_r]]="R",COUNTIFS($C$1:$C45,"R")+1,"")</f>
        <v>45</v>
      </c>
      <c r="B46" s="19" t="str">
        <f t="shared" si="4"/>
        <v>C_Ope_005</v>
      </c>
      <c r="C46" s="3" t="s">
        <v>1330</v>
      </c>
      <c r="D46" s="14">
        <v>45673</v>
      </c>
      <c r="E46" s="5" t="s">
        <v>8535</v>
      </c>
      <c r="F46" s="5" t="s">
        <v>1336</v>
      </c>
      <c r="G46" s="6"/>
      <c r="H46" s="6" t="s">
        <v>126</v>
      </c>
      <c r="I46" s="6"/>
      <c r="J46" s="6"/>
      <c r="K46" s="7" t="s">
        <v>8564</v>
      </c>
      <c r="L46" s="8">
        <v>22687</v>
      </c>
      <c r="M46" s="8" t="str">
        <f t="shared" si="5"/>
        <v>PEN</v>
      </c>
      <c r="N46" s="13"/>
      <c r="O46" s="13">
        <v>15</v>
      </c>
      <c r="P46" s="3">
        <f t="shared" si="1"/>
        <v>0</v>
      </c>
      <c r="Q46" s="3">
        <f t="shared" si="2"/>
        <v>15</v>
      </c>
      <c r="R46" s="3">
        <f t="shared" si="3"/>
        <v>157.29999999999984</v>
      </c>
      <c r="S46" s="24" t="s">
        <v>1334</v>
      </c>
      <c r="T46" s="24" t="s">
        <v>1334</v>
      </c>
      <c r="U46" s="3"/>
      <c r="V46" s="25" t="s">
        <v>7761</v>
      </c>
      <c r="W46" s="25"/>
      <c r="X46" s="25" t="str">
        <f>IFERROR(VLOOKUP(C_Ope_005[[#This Row],[nota_2]],Clientes_Proveedores[[Ruc / Dni]:[Razon Social]],2,0),"")</f>
        <v/>
      </c>
      <c r="Y46" s="25"/>
      <c r="Z46" s="103"/>
      <c r="AA46" s="3" t="str">
        <f>IF(C_Ope_005[[#This Row],[fecha]]&gt;0,TEXT(C_Ope_005[[#This Row],[fecha]],"mmmm"),0)</f>
        <v>Enero</v>
      </c>
      <c r="AB46" s="49"/>
    </row>
    <row r="47" spans="1:28" x14ac:dyDescent="0.3">
      <c r="A47" s="2">
        <f>IF(C_Ope_005[[#This Row],[tipo_r]]="R",COUNTIFS($C$1:$C46,"R")+1,"")</f>
        <v>46</v>
      </c>
      <c r="B47" s="19" t="str">
        <f t="shared" si="4"/>
        <v>C_Ope_005</v>
      </c>
      <c r="C47" s="3" t="s">
        <v>1330</v>
      </c>
      <c r="D47" s="14">
        <v>45674</v>
      </c>
      <c r="E47" s="5" t="s">
        <v>8535</v>
      </c>
      <c r="F47" s="5" t="s">
        <v>1336</v>
      </c>
      <c r="G47" s="6"/>
      <c r="H47" s="6" t="s">
        <v>126</v>
      </c>
      <c r="I47" s="6"/>
      <c r="J47" s="6"/>
      <c r="K47" s="7" t="s">
        <v>8225</v>
      </c>
      <c r="L47" s="8">
        <v>22696</v>
      </c>
      <c r="M47" s="8" t="str">
        <f t="shared" si="5"/>
        <v>PEN</v>
      </c>
      <c r="N47" s="13"/>
      <c r="O47" s="13">
        <v>24</v>
      </c>
      <c r="P47" s="3">
        <f t="shared" si="1"/>
        <v>0</v>
      </c>
      <c r="Q47" s="3">
        <f t="shared" si="2"/>
        <v>24</v>
      </c>
      <c r="R47" s="3">
        <f t="shared" si="3"/>
        <v>133.29999999999984</v>
      </c>
      <c r="S47" s="24" t="s">
        <v>1334</v>
      </c>
      <c r="T47" s="24" t="s">
        <v>1334</v>
      </c>
      <c r="U47" s="3"/>
      <c r="V47" s="25" t="s">
        <v>7761</v>
      </c>
      <c r="W47" s="25"/>
      <c r="X47" s="25" t="str">
        <f>IFERROR(VLOOKUP(C_Ope_005[[#This Row],[nota_2]],Clientes_Proveedores[[Ruc / Dni]:[Razon Social]],2,0),"")</f>
        <v/>
      </c>
      <c r="Y47" s="25"/>
      <c r="Z47" s="103"/>
      <c r="AA47" s="3" t="str">
        <f>IF(C_Ope_005[[#This Row],[fecha]]&gt;0,TEXT(C_Ope_005[[#This Row],[fecha]],"mmmm"),0)</f>
        <v>Enero</v>
      </c>
      <c r="AB47" s="49"/>
    </row>
    <row r="48" spans="1:28" x14ac:dyDescent="0.3">
      <c r="A48" s="2">
        <f>IF(C_Ope_005[[#This Row],[tipo_r]]="R",COUNTIFS($C$1:$C47,"R")+1,"")</f>
        <v>47</v>
      </c>
      <c r="B48" s="19" t="str">
        <f t="shared" si="4"/>
        <v>C_Ope_005</v>
      </c>
      <c r="C48" s="3" t="s">
        <v>1330</v>
      </c>
      <c r="D48" s="14">
        <v>45674</v>
      </c>
      <c r="E48" s="5" t="s">
        <v>8535</v>
      </c>
      <c r="F48" s="5" t="s">
        <v>1336</v>
      </c>
      <c r="G48" s="6"/>
      <c r="H48" s="6" t="s">
        <v>126</v>
      </c>
      <c r="I48" s="6"/>
      <c r="J48" s="6"/>
      <c r="K48" s="7" t="s">
        <v>8218</v>
      </c>
      <c r="L48" s="8">
        <v>22697</v>
      </c>
      <c r="M48" s="8" t="str">
        <f t="shared" si="5"/>
        <v>PEN</v>
      </c>
      <c r="N48" s="13"/>
      <c r="O48" s="13">
        <v>30</v>
      </c>
      <c r="P48" s="3">
        <f t="shared" si="1"/>
        <v>0</v>
      </c>
      <c r="Q48" s="3">
        <f t="shared" si="2"/>
        <v>30</v>
      </c>
      <c r="R48" s="3">
        <f t="shared" si="3"/>
        <v>103.29999999999984</v>
      </c>
      <c r="S48" s="24" t="s">
        <v>1334</v>
      </c>
      <c r="T48" s="24" t="s">
        <v>1334</v>
      </c>
      <c r="U48" s="3"/>
      <c r="V48" s="25" t="s">
        <v>7761</v>
      </c>
      <c r="W48" s="25"/>
      <c r="X48" s="25" t="str">
        <f>IFERROR(VLOOKUP(C_Ope_005[[#This Row],[nota_2]],Clientes_Proveedores[[Ruc / Dni]:[Razon Social]],2,0),"")</f>
        <v/>
      </c>
      <c r="Y48" s="25"/>
      <c r="Z48" s="103"/>
      <c r="AA48" s="3" t="str">
        <f>IF(C_Ope_005[[#This Row],[fecha]]&gt;0,TEXT(C_Ope_005[[#This Row],[fecha]],"mmmm"),0)</f>
        <v>Enero</v>
      </c>
      <c r="AB48" s="49"/>
    </row>
    <row r="49" spans="1:28" ht="24" x14ac:dyDescent="0.3">
      <c r="A49" s="2">
        <f>IF(C_Ope_005[[#This Row],[tipo_r]]="R",COUNTIFS($C$1:$C48,"R")+1,"")</f>
        <v>48</v>
      </c>
      <c r="B49" s="19" t="str">
        <f t="shared" si="4"/>
        <v>C_Ope_005</v>
      </c>
      <c r="C49" s="3" t="s">
        <v>1330</v>
      </c>
      <c r="D49" s="14">
        <v>45678</v>
      </c>
      <c r="E49" s="5" t="s">
        <v>7514</v>
      </c>
      <c r="F49" s="5" t="s">
        <v>1303</v>
      </c>
      <c r="G49" s="6" t="s">
        <v>957</v>
      </c>
      <c r="H49" s="6"/>
      <c r="I49" s="6"/>
      <c r="J49" s="6"/>
      <c r="K49" s="7" t="s">
        <v>7516</v>
      </c>
      <c r="L49" s="8">
        <v>22746</v>
      </c>
      <c r="M49" s="8" t="str">
        <f t="shared" si="5"/>
        <v>PEN</v>
      </c>
      <c r="N49" s="13"/>
      <c r="O49" s="13">
        <v>100</v>
      </c>
      <c r="P49" s="3">
        <f t="shared" si="1"/>
        <v>100</v>
      </c>
      <c r="Q49" s="3">
        <f t="shared" si="2"/>
        <v>0</v>
      </c>
      <c r="R49" s="3">
        <f t="shared" si="3"/>
        <v>203.29999999999984</v>
      </c>
      <c r="S49" s="24" t="s">
        <v>1334</v>
      </c>
      <c r="T49" s="24" t="s">
        <v>1334</v>
      </c>
      <c r="U49" s="3"/>
      <c r="V49" s="25"/>
      <c r="W49" s="25"/>
      <c r="X49" s="25" t="str">
        <f>IFERROR(VLOOKUP(C_Ope_005[[#This Row],[nota_2]],Clientes_Proveedores[[Ruc / Dni]:[Razon Social]],2,0),"")</f>
        <v/>
      </c>
      <c r="Y49" s="25"/>
      <c r="Z49" s="103"/>
      <c r="AA49" s="3" t="str">
        <f>IF(C_Ope_005[[#This Row],[fecha]]&gt;0,TEXT(C_Ope_005[[#This Row],[fecha]],"mmmm"),0)</f>
        <v>Enero</v>
      </c>
      <c r="AB49" s="49"/>
    </row>
    <row r="50" spans="1:28" ht="24" x14ac:dyDescent="0.3">
      <c r="A50" s="2">
        <f>IF(C_Ope_005[[#This Row],[tipo_r]]="R",COUNTIFS($C$1:$C49,"R")+1,"")</f>
        <v>49</v>
      </c>
      <c r="B50" s="19" t="str">
        <f t="shared" si="4"/>
        <v>C_Ope_005</v>
      </c>
      <c r="C50" s="3" t="s">
        <v>1330</v>
      </c>
      <c r="D50" s="14">
        <v>45679</v>
      </c>
      <c r="E50" s="5" t="s">
        <v>7514</v>
      </c>
      <c r="F50" s="5" t="s">
        <v>1303</v>
      </c>
      <c r="G50" s="6" t="s">
        <v>957</v>
      </c>
      <c r="H50" s="6"/>
      <c r="I50" s="6"/>
      <c r="J50" s="6"/>
      <c r="K50" s="7" t="s">
        <v>8565</v>
      </c>
      <c r="L50" s="8">
        <v>22765</v>
      </c>
      <c r="M50" s="8" t="str">
        <f t="shared" si="5"/>
        <v>PEN</v>
      </c>
      <c r="N50" s="13"/>
      <c r="O50" s="13">
        <v>200</v>
      </c>
      <c r="P50" s="3">
        <f t="shared" si="1"/>
        <v>200</v>
      </c>
      <c r="Q50" s="3">
        <f t="shared" si="2"/>
        <v>0</v>
      </c>
      <c r="R50" s="3">
        <f t="shared" si="3"/>
        <v>403.29999999999984</v>
      </c>
      <c r="S50" s="24" t="s">
        <v>1334</v>
      </c>
      <c r="T50" s="24" t="s">
        <v>1334</v>
      </c>
      <c r="U50" s="3"/>
      <c r="V50" s="25"/>
      <c r="W50" s="25"/>
      <c r="X50" s="25" t="str">
        <f>IFERROR(VLOOKUP(C_Ope_005[[#This Row],[nota_2]],Clientes_Proveedores[[Ruc / Dni]:[Razon Social]],2,0),"")</f>
        <v/>
      </c>
      <c r="Y50" s="25"/>
      <c r="Z50" s="103"/>
      <c r="AA50" s="3" t="str">
        <f>IF(C_Ope_005[[#This Row],[fecha]]&gt;0,TEXT(C_Ope_005[[#This Row],[fecha]],"mmmm"),0)</f>
        <v>Enero</v>
      </c>
      <c r="AB50" s="49"/>
    </row>
    <row r="51" spans="1:28" ht="36" x14ac:dyDescent="0.3">
      <c r="A51" s="2">
        <f>IF(C_Ope_005[[#This Row],[tipo_r]]="R",COUNTIFS($C$1:$C50,"R")+1,"")</f>
        <v>50</v>
      </c>
      <c r="B51" s="19" t="str">
        <f t="shared" si="4"/>
        <v>C_Ope_005</v>
      </c>
      <c r="C51" s="3" t="s">
        <v>1330</v>
      </c>
      <c r="D51" s="14">
        <v>45677</v>
      </c>
      <c r="E51" s="5" t="s">
        <v>8535</v>
      </c>
      <c r="F51" s="5" t="s">
        <v>1336</v>
      </c>
      <c r="G51" s="6" t="s">
        <v>978</v>
      </c>
      <c r="H51" s="6" t="s">
        <v>68</v>
      </c>
      <c r="I51" s="6" t="s">
        <v>5845</v>
      </c>
      <c r="J51" s="6">
        <v>1654552</v>
      </c>
      <c r="K51" s="7" t="s">
        <v>8566</v>
      </c>
      <c r="L51" s="8">
        <v>22736</v>
      </c>
      <c r="M51" s="8" t="str">
        <f t="shared" si="5"/>
        <v>PEN</v>
      </c>
      <c r="N51" s="13"/>
      <c r="O51" s="13">
        <v>8</v>
      </c>
      <c r="P51" s="3">
        <f t="shared" si="1"/>
        <v>0</v>
      </c>
      <c r="Q51" s="3">
        <f t="shared" si="2"/>
        <v>8</v>
      </c>
      <c r="R51" s="3">
        <f t="shared" si="3"/>
        <v>395.29999999999984</v>
      </c>
      <c r="S51" s="24" t="s">
        <v>1334</v>
      </c>
      <c r="T51" s="24" t="s">
        <v>1334</v>
      </c>
      <c r="U51" s="3"/>
      <c r="V51" s="25" t="s">
        <v>7842</v>
      </c>
      <c r="W51" s="25">
        <v>20517252558</v>
      </c>
      <c r="X51" s="25" t="str">
        <f>IFERROR(VLOOKUP(C_Ope_005[[#This Row],[nota_2]],Clientes_Proveedores[[Ruc / Dni]:[Razon Social]],2,0),"")</f>
        <v>COVISUR S.A.</v>
      </c>
      <c r="Y51" s="25"/>
      <c r="Z51" s="103"/>
      <c r="AA51" s="3" t="str">
        <f>IF(C_Ope_005[[#This Row],[fecha]]&gt;0,TEXT(C_Ope_005[[#This Row],[fecha]],"mmmm"),0)</f>
        <v>Enero</v>
      </c>
      <c r="AB51" s="49"/>
    </row>
    <row r="52" spans="1:28" ht="36" x14ac:dyDescent="0.3">
      <c r="A52" s="2">
        <f>IF(C_Ope_005[[#This Row],[tipo_r]]="R",COUNTIFS($C$1:$C51,"R")+1,"")</f>
        <v>51</v>
      </c>
      <c r="B52" s="19" t="str">
        <f t="shared" si="4"/>
        <v>C_Ope_005</v>
      </c>
      <c r="C52" s="3" t="s">
        <v>1330</v>
      </c>
      <c r="D52" s="14">
        <v>45677</v>
      </c>
      <c r="E52" s="5" t="s">
        <v>8535</v>
      </c>
      <c r="F52" s="5" t="s">
        <v>1336</v>
      </c>
      <c r="G52" s="6" t="s">
        <v>978</v>
      </c>
      <c r="H52" s="6" t="s">
        <v>68</v>
      </c>
      <c r="I52" s="6" t="s">
        <v>6204</v>
      </c>
      <c r="J52" s="6">
        <v>1635472</v>
      </c>
      <c r="K52" s="7" t="s">
        <v>8566</v>
      </c>
      <c r="L52" s="8">
        <v>22737</v>
      </c>
      <c r="M52" s="8" t="str">
        <f t="shared" si="5"/>
        <v>PEN</v>
      </c>
      <c r="N52" s="13"/>
      <c r="O52" s="13">
        <v>8</v>
      </c>
      <c r="P52" s="3">
        <f t="shared" si="1"/>
        <v>0</v>
      </c>
      <c r="Q52" s="3">
        <f t="shared" si="2"/>
        <v>8</v>
      </c>
      <c r="R52" s="3">
        <f t="shared" si="3"/>
        <v>387.29999999999984</v>
      </c>
      <c r="S52" s="24" t="s">
        <v>1334</v>
      </c>
      <c r="T52" s="24" t="s">
        <v>1334</v>
      </c>
      <c r="U52" s="3"/>
      <c r="V52" s="25" t="s">
        <v>7842</v>
      </c>
      <c r="W52" s="25">
        <v>20517252558</v>
      </c>
      <c r="X52" s="25" t="str">
        <f>IFERROR(VLOOKUP(C_Ope_005[[#This Row],[nota_2]],Clientes_Proveedores[[Ruc / Dni]:[Razon Social]],2,0),"")</f>
        <v>COVISUR S.A.</v>
      </c>
      <c r="Y52" s="25"/>
      <c r="Z52" s="103"/>
      <c r="AA52" s="3" t="str">
        <f>IF(C_Ope_005[[#This Row],[fecha]]&gt;0,TEXT(C_Ope_005[[#This Row],[fecha]],"mmmm"),0)</f>
        <v>Enero</v>
      </c>
      <c r="AB52" s="49"/>
    </row>
    <row r="53" spans="1:28" ht="24" x14ac:dyDescent="0.3">
      <c r="A53" s="2">
        <f>IF(C_Ope_005[[#This Row],[tipo_r]]="R",COUNTIFS($C$1:$C52,"R")+1,"")</f>
        <v>52</v>
      </c>
      <c r="B53" s="19" t="str">
        <f t="shared" si="4"/>
        <v>C_Ope_005</v>
      </c>
      <c r="C53" s="3" t="s">
        <v>1330</v>
      </c>
      <c r="D53" s="14">
        <v>45677</v>
      </c>
      <c r="E53" s="5" t="s">
        <v>8535</v>
      </c>
      <c r="F53" s="5" t="s">
        <v>1336</v>
      </c>
      <c r="G53" s="6" t="s">
        <v>978</v>
      </c>
      <c r="H53" s="6" t="s">
        <v>68</v>
      </c>
      <c r="I53" s="6" t="s">
        <v>6380</v>
      </c>
      <c r="J53" s="6">
        <v>363023</v>
      </c>
      <c r="K53" s="7" t="s">
        <v>8567</v>
      </c>
      <c r="L53" s="8">
        <v>22738</v>
      </c>
      <c r="M53" s="8" t="str">
        <f t="shared" si="5"/>
        <v>PEN</v>
      </c>
      <c r="N53" s="13"/>
      <c r="O53" s="13">
        <v>8</v>
      </c>
      <c r="P53" s="3">
        <f t="shared" si="1"/>
        <v>0</v>
      </c>
      <c r="Q53" s="3">
        <f t="shared" si="2"/>
        <v>8</v>
      </c>
      <c r="R53" s="3">
        <f t="shared" si="3"/>
        <v>379.29999999999984</v>
      </c>
      <c r="S53" s="24" t="s">
        <v>1334</v>
      </c>
      <c r="T53" s="24" t="s">
        <v>1334</v>
      </c>
      <c r="U53" s="3"/>
      <c r="V53" s="25" t="s">
        <v>7842</v>
      </c>
      <c r="W53" s="25">
        <v>20517252558</v>
      </c>
      <c r="X53" s="25" t="str">
        <f>IFERROR(VLOOKUP(C_Ope_005[[#This Row],[nota_2]],Clientes_Proveedores[[Ruc / Dni]:[Razon Social]],2,0),"")</f>
        <v>COVISUR S.A.</v>
      </c>
      <c r="Y53" s="25"/>
      <c r="Z53" s="103"/>
      <c r="AA53" s="3" t="str">
        <f>IF(C_Ope_005[[#This Row],[fecha]]&gt;0,TEXT(C_Ope_005[[#This Row],[fecha]],"mmmm"),0)</f>
        <v>Enero</v>
      </c>
      <c r="AB53" s="49"/>
    </row>
    <row r="54" spans="1:28" ht="24" x14ac:dyDescent="0.3">
      <c r="A54" s="2">
        <f>IF(C_Ope_005[[#This Row],[tipo_r]]="R",COUNTIFS($C$1:$C53,"R")+1,"")</f>
        <v>53</v>
      </c>
      <c r="B54" s="19" t="str">
        <f t="shared" si="4"/>
        <v>C_Ope_005</v>
      </c>
      <c r="C54" s="3" t="s">
        <v>1330</v>
      </c>
      <c r="D54" s="14">
        <v>45677</v>
      </c>
      <c r="E54" s="5" t="s">
        <v>8535</v>
      </c>
      <c r="F54" s="5" t="s">
        <v>1336</v>
      </c>
      <c r="G54" s="6" t="s">
        <v>978</v>
      </c>
      <c r="H54" s="6" t="s">
        <v>68</v>
      </c>
      <c r="I54" s="6" t="s">
        <v>6379</v>
      </c>
      <c r="J54" s="6">
        <v>446684</v>
      </c>
      <c r="K54" s="7" t="s">
        <v>8567</v>
      </c>
      <c r="L54" s="8">
        <v>22739</v>
      </c>
      <c r="M54" s="8" t="str">
        <f t="shared" si="5"/>
        <v>PEN</v>
      </c>
      <c r="N54" s="13"/>
      <c r="O54" s="13">
        <v>8</v>
      </c>
      <c r="P54" s="3">
        <f t="shared" si="1"/>
        <v>0</v>
      </c>
      <c r="Q54" s="3">
        <f t="shared" si="2"/>
        <v>8</v>
      </c>
      <c r="R54" s="3">
        <f t="shared" si="3"/>
        <v>371.29999999999984</v>
      </c>
      <c r="S54" s="24" t="s">
        <v>1334</v>
      </c>
      <c r="T54" s="24" t="s">
        <v>1334</v>
      </c>
      <c r="U54" s="3"/>
      <c r="V54" s="25" t="s">
        <v>7842</v>
      </c>
      <c r="W54" s="25">
        <v>20517252558</v>
      </c>
      <c r="X54" s="25" t="str">
        <f>IFERROR(VLOOKUP(C_Ope_005[[#This Row],[nota_2]],Clientes_Proveedores[[Ruc / Dni]:[Razon Social]],2,0),"")</f>
        <v>COVISUR S.A.</v>
      </c>
      <c r="Y54" s="25"/>
      <c r="Z54" s="103"/>
      <c r="AA54" s="3" t="str">
        <f>IF(C_Ope_005[[#This Row],[fecha]]&gt;0,TEXT(C_Ope_005[[#This Row],[fecha]],"mmmm"),0)</f>
        <v>Enero</v>
      </c>
      <c r="AB54" s="49"/>
    </row>
    <row r="55" spans="1:28" ht="24" x14ac:dyDescent="0.3">
      <c r="A55" s="2">
        <f>IF(C_Ope_005[[#This Row],[tipo_r]]="R",COUNTIFS($C$1:$C54,"R")+1,"")</f>
        <v>54</v>
      </c>
      <c r="B55" s="19" t="str">
        <f t="shared" si="4"/>
        <v>C_Ope_005</v>
      </c>
      <c r="C55" s="3" t="s">
        <v>1330</v>
      </c>
      <c r="D55" s="14">
        <v>45679</v>
      </c>
      <c r="E55" s="5" t="s">
        <v>8535</v>
      </c>
      <c r="F55" s="5" t="s">
        <v>1336</v>
      </c>
      <c r="G55" s="6" t="s">
        <v>978</v>
      </c>
      <c r="H55" s="6" t="s">
        <v>68</v>
      </c>
      <c r="I55" s="6" t="s">
        <v>6203</v>
      </c>
      <c r="J55" s="6">
        <v>1935995</v>
      </c>
      <c r="K55" s="7" t="s">
        <v>7782</v>
      </c>
      <c r="L55" s="8">
        <v>22766</v>
      </c>
      <c r="M55" s="8" t="str">
        <f t="shared" si="5"/>
        <v>PEN</v>
      </c>
      <c r="N55" s="13"/>
      <c r="O55" s="13">
        <v>8</v>
      </c>
      <c r="P55" s="3">
        <f t="shared" si="1"/>
        <v>0</v>
      </c>
      <c r="Q55" s="3">
        <f t="shared" si="2"/>
        <v>8</v>
      </c>
      <c r="R55" s="3">
        <f t="shared" si="3"/>
        <v>363.29999999999984</v>
      </c>
      <c r="S55" s="24" t="s">
        <v>1334</v>
      </c>
      <c r="T55" s="24" t="s">
        <v>1334</v>
      </c>
      <c r="U55" s="3"/>
      <c r="V55" s="25" t="s">
        <v>7761</v>
      </c>
      <c r="W55" s="25">
        <v>20517252558</v>
      </c>
      <c r="X55" s="25" t="str">
        <f>IFERROR(VLOOKUP(C_Ope_005[[#This Row],[nota_2]],Clientes_Proveedores[[Ruc / Dni]:[Razon Social]],2,0),"")</f>
        <v>COVISUR S.A.</v>
      </c>
      <c r="Y55" s="25"/>
      <c r="Z55" s="103"/>
      <c r="AA55" s="3" t="str">
        <f>IF(C_Ope_005[[#This Row],[fecha]]&gt;0,TEXT(C_Ope_005[[#This Row],[fecha]],"mmmm"),0)</f>
        <v>Enero</v>
      </c>
      <c r="AB55" s="49"/>
    </row>
    <row r="56" spans="1:28" ht="24" x14ac:dyDescent="0.3">
      <c r="A56" s="2">
        <f>IF(C_Ope_005[[#This Row],[tipo_r]]="R",COUNTIFS($C$1:$C55,"R")+1,"")</f>
        <v>55</v>
      </c>
      <c r="B56" s="19" t="str">
        <f t="shared" si="4"/>
        <v>C_Ope_005</v>
      </c>
      <c r="C56" s="3" t="s">
        <v>1330</v>
      </c>
      <c r="D56" s="14">
        <v>45679</v>
      </c>
      <c r="E56" s="5" t="s">
        <v>8535</v>
      </c>
      <c r="F56" s="5" t="s">
        <v>1336</v>
      </c>
      <c r="G56" s="6" t="s">
        <v>978</v>
      </c>
      <c r="H56" s="6" t="s">
        <v>68</v>
      </c>
      <c r="I56" s="6" t="s">
        <v>5688</v>
      </c>
      <c r="J56" s="6">
        <v>2205691</v>
      </c>
      <c r="K56" s="7" t="s">
        <v>7782</v>
      </c>
      <c r="L56" s="8">
        <v>22767</v>
      </c>
      <c r="M56" s="8" t="str">
        <f t="shared" si="5"/>
        <v>PEN</v>
      </c>
      <c r="N56" s="13"/>
      <c r="O56" s="13">
        <v>8</v>
      </c>
      <c r="P56" s="3">
        <f t="shared" si="1"/>
        <v>0</v>
      </c>
      <c r="Q56" s="3">
        <f t="shared" si="2"/>
        <v>8</v>
      </c>
      <c r="R56" s="3">
        <f t="shared" si="3"/>
        <v>355.29999999999984</v>
      </c>
      <c r="S56" s="24" t="s">
        <v>1334</v>
      </c>
      <c r="T56" s="24" t="s">
        <v>1334</v>
      </c>
      <c r="U56" s="3"/>
      <c r="V56" s="25" t="s">
        <v>7761</v>
      </c>
      <c r="W56" s="25">
        <v>20517252558</v>
      </c>
      <c r="X56" s="25" t="str">
        <f>IFERROR(VLOOKUP(C_Ope_005[[#This Row],[nota_2]],Clientes_Proveedores[[Ruc / Dni]:[Razon Social]],2,0),"")</f>
        <v>COVISUR S.A.</v>
      </c>
      <c r="Y56" s="25"/>
      <c r="Z56" s="103"/>
      <c r="AA56" s="3" t="str">
        <f>IF(C_Ope_005[[#This Row],[fecha]]&gt;0,TEXT(C_Ope_005[[#This Row],[fecha]],"mmmm"),0)</f>
        <v>Enero</v>
      </c>
      <c r="AB56" s="49"/>
    </row>
    <row r="57" spans="1:28" ht="24" x14ac:dyDescent="0.3">
      <c r="A57" s="2">
        <f>IF(C_Ope_005[[#This Row],[tipo_r]]="R",COUNTIFS($C$1:$C56,"R")+1,"")</f>
        <v>56</v>
      </c>
      <c r="B57" s="19" t="str">
        <f t="shared" si="4"/>
        <v>C_Ope_005</v>
      </c>
      <c r="C57" s="3" t="s">
        <v>1330</v>
      </c>
      <c r="D57" s="14">
        <v>45680</v>
      </c>
      <c r="E57" s="5" t="s">
        <v>8535</v>
      </c>
      <c r="F57" s="5" t="s">
        <v>1336</v>
      </c>
      <c r="G57" s="6" t="s">
        <v>978</v>
      </c>
      <c r="H57" s="6" t="s">
        <v>68</v>
      </c>
      <c r="I57" s="6" t="s">
        <v>8557</v>
      </c>
      <c r="J57" s="6">
        <v>1734853</v>
      </c>
      <c r="K57" s="7" t="s">
        <v>8568</v>
      </c>
      <c r="L57" s="8">
        <v>22775</v>
      </c>
      <c r="M57" s="8" t="str">
        <f t="shared" si="5"/>
        <v>PEN</v>
      </c>
      <c r="N57" s="13"/>
      <c r="O57" s="13">
        <v>7.7</v>
      </c>
      <c r="P57" s="3">
        <f t="shared" si="1"/>
        <v>0</v>
      </c>
      <c r="Q57" s="3">
        <f t="shared" si="2"/>
        <v>7.7</v>
      </c>
      <c r="R57" s="3">
        <f t="shared" si="3"/>
        <v>347.59999999999985</v>
      </c>
      <c r="S57" s="24" t="s">
        <v>1334</v>
      </c>
      <c r="T57" s="24" t="s">
        <v>1334</v>
      </c>
      <c r="U57" s="3"/>
      <c r="V57" s="25" t="s">
        <v>7761</v>
      </c>
      <c r="W57" s="25">
        <v>20517252558</v>
      </c>
      <c r="X57" s="25" t="str">
        <f>IFERROR(VLOOKUP(C_Ope_005[[#This Row],[nota_2]],Clientes_Proveedores[[Ruc / Dni]:[Razon Social]],2,0),"")</f>
        <v>COVISUR S.A.</v>
      </c>
      <c r="Y57" s="25"/>
      <c r="Z57" s="103"/>
      <c r="AA57" s="3" t="str">
        <f>IF(C_Ope_005[[#This Row],[fecha]]&gt;0,TEXT(C_Ope_005[[#This Row],[fecha]],"mmmm"),0)</f>
        <v>Enero</v>
      </c>
      <c r="AB57" s="49"/>
    </row>
    <row r="58" spans="1:28" ht="24" x14ac:dyDescent="0.3">
      <c r="A58" s="2">
        <f>IF(C_Ope_005[[#This Row],[tipo_r]]="R",COUNTIFS($C$1:$C57,"R")+1,"")</f>
        <v>57</v>
      </c>
      <c r="B58" s="19" t="str">
        <f t="shared" si="4"/>
        <v>C_Ope_005</v>
      </c>
      <c r="C58" s="3" t="s">
        <v>1330</v>
      </c>
      <c r="D58" s="14">
        <v>45680</v>
      </c>
      <c r="E58" s="5" t="s">
        <v>8535</v>
      </c>
      <c r="F58" s="5" t="s">
        <v>1336</v>
      </c>
      <c r="G58" s="6" t="s">
        <v>978</v>
      </c>
      <c r="H58" s="6" t="s">
        <v>68</v>
      </c>
      <c r="I58" s="6" t="s">
        <v>8552</v>
      </c>
      <c r="J58" s="6">
        <v>1692328</v>
      </c>
      <c r="K58" s="7" t="s">
        <v>8568</v>
      </c>
      <c r="L58" s="8">
        <v>22776</v>
      </c>
      <c r="M58" s="8" t="str">
        <f t="shared" si="5"/>
        <v>PEN</v>
      </c>
      <c r="N58" s="13"/>
      <c r="O58" s="13">
        <v>7.7</v>
      </c>
      <c r="P58" s="3">
        <f t="shared" si="1"/>
        <v>0</v>
      </c>
      <c r="Q58" s="3">
        <f t="shared" si="2"/>
        <v>7.7</v>
      </c>
      <c r="R58" s="3">
        <f t="shared" si="3"/>
        <v>339.89999999999986</v>
      </c>
      <c r="S58" s="24" t="s">
        <v>1334</v>
      </c>
      <c r="T58" s="24" t="s">
        <v>1334</v>
      </c>
      <c r="U58" s="3"/>
      <c r="V58" s="25" t="s">
        <v>7761</v>
      </c>
      <c r="W58" s="25">
        <v>20517252558</v>
      </c>
      <c r="X58" s="25" t="str">
        <f>IFERROR(VLOOKUP(C_Ope_005[[#This Row],[nota_2]],Clientes_Proveedores[[Ruc / Dni]:[Razon Social]],2,0),"")</f>
        <v>COVISUR S.A.</v>
      </c>
      <c r="Y58" s="25"/>
      <c r="Z58" s="103"/>
      <c r="AA58" s="3" t="str">
        <f>IF(C_Ope_005[[#This Row],[fecha]]&gt;0,TEXT(C_Ope_005[[#This Row],[fecha]],"mmmm"),0)</f>
        <v>Enero</v>
      </c>
      <c r="AB58" s="49"/>
    </row>
    <row r="59" spans="1:28" ht="24" x14ac:dyDescent="0.3">
      <c r="A59" s="2">
        <f>IF(C_Ope_005[[#This Row],[tipo_r]]="R",COUNTIFS($C$1:$C58,"R")+1,"")</f>
        <v>58</v>
      </c>
      <c r="B59" s="19" t="str">
        <f t="shared" si="4"/>
        <v>C_Ope_005</v>
      </c>
      <c r="C59" s="3" t="s">
        <v>1330</v>
      </c>
      <c r="D59" s="14">
        <v>45681</v>
      </c>
      <c r="E59" s="5" t="s">
        <v>8535</v>
      </c>
      <c r="F59" s="5" t="s">
        <v>1336</v>
      </c>
      <c r="G59" s="6" t="s">
        <v>978</v>
      </c>
      <c r="H59" s="6" t="s">
        <v>68</v>
      </c>
      <c r="I59" s="6" t="s">
        <v>5688</v>
      </c>
      <c r="J59" s="6">
        <v>2208143</v>
      </c>
      <c r="K59" s="7" t="s">
        <v>8569</v>
      </c>
      <c r="L59" s="8">
        <v>22787</v>
      </c>
      <c r="M59" s="8" t="str">
        <f t="shared" si="5"/>
        <v>PEN</v>
      </c>
      <c r="N59" s="13"/>
      <c r="O59" s="13">
        <v>8</v>
      </c>
      <c r="P59" s="3">
        <f t="shared" si="1"/>
        <v>0</v>
      </c>
      <c r="Q59" s="3">
        <f t="shared" si="2"/>
        <v>8</v>
      </c>
      <c r="R59" s="3">
        <f t="shared" si="3"/>
        <v>331.89999999999986</v>
      </c>
      <c r="S59" s="24" t="s">
        <v>1334</v>
      </c>
      <c r="T59" s="24" t="s">
        <v>1334</v>
      </c>
      <c r="U59" s="3"/>
      <c r="V59" s="25" t="s">
        <v>7761</v>
      </c>
      <c r="W59" s="25">
        <v>20517252558</v>
      </c>
      <c r="X59" s="25" t="str">
        <f>IFERROR(VLOOKUP(C_Ope_005[[#This Row],[nota_2]],Clientes_Proveedores[[Ruc / Dni]:[Razon Social]],2,0),"")</f>
        <v>COVISUR S.A.</v>
      </c>
      <c r="Y59" s="25"/>
      <c r="Z59" s="103"/>
      <c r="AA59" s="3" t="str">
        <f>IF(C_Ope_005[[#This Row],[fecha]]&gt;0,TEXT(C_Ope_005[[#This Row],[fecha]],"mmmm"),0)</f>
        <v>Enero</v>
      </c>
      <c r="AB59" s="49"/>
    </row>
    <row r="60" spans="1:28" ht="36" x14ac:dyDescent="0.3">
      <c r="A60" s="2">
        <f>IF(C_Ope_005[[#This Row],[tipo_r]]="R",COUNTIFS($C$1:$C59,"R")+1,"")</f>
        <v>59</v>
      </c>
      <c r="B60" s="19" t="str">
        <f t="shared" si="4"/>
        <v>C_Ope_005</v>
      </c>
      <c r="C60" s="3" t="s">
        <v>1330</v>
      </c>
      <c r="D60" s="14">
        <v>45677</v>
      </c>
      <c r="E60" s="5" t="s">
        <v>8535</v>
      </c>
      <c r="F60" s="5" t="s">
        <v>1336</v>
      </c>
      <c r="G60" s="6" t="s">
        <v>1029</v>
      </c>
      <c r="H60" s="6" t="s">
        <v>68</v>
      </c>
      <c r="I60" s="6" t="s">
        <v>1374</v>
      </c>
      <c r="J60" s="6">
        <v>16663</v>
      </c>
      <c r="K60" s="7" t="s">
        <v>8570</v>
      </c>
      <c r="L60" s="8">
        <v>22747</v>
      </c>
      <c r="M60" s="8" t="str">
        <f t="shared" si="5"/>
        <v>PEN</v>
      </c>
      <c r="N60" s="13"/>
      <c r="O60" s="13">
        <v>22</v>
      </c>
      <c r="P60" s="3">
        <f t="shared" si="1"/>
        <v>0</v>
      </c>
      <c r="Q60" s="3">
        <f t="shared" si="2"/>
        <v>22</v>
      </c>
      <c r="R60" s="3">
        <f t="shared" si="3"/>
        <v>309.89999999999986</v>
      </c>
      <c r="S60" s="24" t="s">
        <v>1334</v>
      </c>
      <c r="T60" s="24" t="s">
        <v>1334</v>
      </c>
      <c r="U60" s="3"/>
      <c r="V60" s="25" t="s">
        <v>7842</v>
      </c>
      <c r="W60" s="25">
        <v>20454058187</v>
      </c>
      <c r="X60" s="25" t="str">
        <f>IFERROR(VLOOKUP(C_Ope_005[[#This Row],[nota_2]],Clientes_Proveedores[[Ruc / Dni]:[Razon Social]],2,0),"")</f>
        <v>ZONA ESPECIAL DE DESARROLLO ZED MATARANI</v>
      </c>
      <c r="Y60" s="25"/>
      <c r="Z60" s="103"/>
      <c r="AA60" s="3" t="str">
        <f>IF(C_Ope_005[[#This Row],[fecha]]&gt;0,TEXT(C_Ope_005[[#This Row],[fecha]],"mmmm"),0)</f>
        <v>Enero</v>
      </c>
      <c r="AB60" s="49"/>
    </row>
    <row r="61" spans="1:28" x14ac:dyDescent="0.3">
      <c r="A61" s="2">
        <f>IF(C_Ope_005[[#This Row],[tipo_r]]="R",COUNTIFS($C$1:$C60,"R")+1,"")</f>
        <v>60</v>
      </c>
      <c r="B61" s="19" t="str">
        <f t="shared" si="4"/>
        <v>C_Ope_005</v>
      </c>
      <c r="C61" s="3" t="s">
        <v>1330</v>
      </c>
      <c r="D61" s="14">
        <v>45678</v>
      </c>
      <c r="E61" s="5" t="s">
        <v>8535</v>
      </c>
      <c r="F61" s="5" t="s">
        <v>1336</v>
      </c>
      <c r="G61" s="6" t="s">
        <v>1148</v>
      </c>
      <c r="H61" s="6" t="s">
        <v>68</v>
      </c>
      <c r="I61" s="6" t="s">
        <v>6378</v>
      </c>
      <c r="J61" s="6">
        <v>5003</v>
      </c>
      <c r="K61" s="7" t="s">
        <v>8571</v>
      </c>
      <c r="L61" s="8">
        <v>22744</v>
      </c>
      <c r="M61" s="8" t="str">
        <f t="shared" si="5"/>
        <v>PEN</v>
      </c>
      <c r="N61" s="13"/>
      <c r="O61" s="13">
        <v>10</v>
      </c>
      <c r="P61" s="3">
        <f t="shared" si="1"/>
        <v>0</v>
      </c>
      <c r="Q61" s="3">
        <f t="shared" si="2"/>
        <v>10</v>
      </c>
      <c r="R61" s="3">
        <f t="shared" si="3"/>
        <v>299.89999999999986</v>
      </c>
      <c r="S61" s="24" t="s">
        <v>1334</v>
      </c>
      <c r="T61" s="24" t="s">
        <v>1334</v>
      </c>
      <c r="U61" s="3"/>
      <c r="V61" s="25" t="s">
        <v>7761</v>
      </c>
      <c r="W61" s="25">
        <v>20611633972</v>
      </c>
      <c r="X61" s="25" t="str">
        <f>IFERROR(VLOOKUP(C_Ope_005[[#This Row],[nota_2]],Clientes_Proveedores[[Ruc / Dni]:[Razon Social]],2,0),"")</f>
        <v>NOVAARECY E.I.R.L.</v>
      </c>
      <c r="Y61" s="25"/>
      <c r="Z61" s="103"/>
      <c r="AA61" s="3" t="str">
        <f>IF(C_Ope_005[[#This Row],[fecha]]&gt;0,TEXT(C_Ope_005[[#This Row],[fecha]],"mmmm"),0)</f>
        <v>Enero</v>
      </c>
      <c r="AB61" s="49"/>
    </row>
    <row r="62" spans="1:28" ht="24" x14ac:dyDescent="0.3">
      <c r="A62" s="2">
        <f>IF(C_Ope_005[[#This Row],[tipo_r]]="R",COUNTIFS($C$1:$C61,"R")+1,"")</f>
        <v>61</v>
      </c>
      <c r="B62" s="19" t="str">
        <f t="shared" si="4"/>
        <v>C_Ope_005</v>
      </c>
      <c r="C62" s="3" t="s">
        <v>1330</v>
      </c>
      <c r="D62" s="14">
        <v>45678</v>
      </c>
      <c r="E62" s="5" t="s">
        <v>8535</v>
      </c>
      <c r="F62" s="5" t="s">
        <v>1336</v>
      </c>
      <c r="G62" s="6" t="s">
        <v>1148</v>
      </c>
      <c r="H62" s="6" t="s">
        <v>68</v>
      </c>
      <c r="I62" s="6" t="s">
        <v>6378</v>
      </c>
      <c r="J62" s="6">
        <v>5001</v>
      </c>
      <c r="K62" s="7" t="s">
        <v>8572</v>
      </c>
      <c r="L62" s="8">
        <v>22745</v>
      </c>
      <c r="M62" s="8" t="str">
        <f t="shared" si="5"/>
        <v>PEN</v>
      </c>
      <c r="N62" s="13"/>
      <c r="O62" s="13">
        <v>10</v>
      </c>
      <c r="P62" s="3">
        <f t="shared" si="1"/>
        <v>0</v>
      </c>
      <c r="Q62" s="3">
        <f t="shared" si="2"/>
        <v>10</v>
      </c>
      <c r="R62" s="3">
        <f t="shared" si="3"/>
        <v>289.89999999999986</v>
      </c>
      <c r="S62" s="24" t="s">
        <v>1334</v>
      </c>
      <c r="T62" s="24" t="s">
        <v>1334</v>
      </c>
      <c r="U62" s="3"/>
      <c r="V62" s="25" t="s">
        <v>7761</v>
      </c>
      <c r="W62" s="25">
        <v>20611633972</v>
      </c>
      <c r="X62" s="25" t="str">
        <f>IFERROR(VLOOKUP(C_Ope_005[[#This Row],[nota_2]],Clientes_Proveedores[[Ruc / Dni]:[Razon Social]],2,0),"")</f>
        <v>NOVAARECY E.I.R.L.</v>
      </c>
      <c r="Y62" s="25"/>
      <c r="Z62" s="103"/>
      <c r="AA62" s="3" t="str">
        <f>IF(C_Ope_005[[#This Row],[fecha]]&gt;0,TEXT(C_Ope_005[[#This Row],[fecha]],"mmmm"),0)</f>
        <v>Enero</v>
      </c>
      <c r="AB62" s="49"/>
    </row>
    <row r="63" spans="1:28" ht="36" x14ac:dyDescent="0.3">
      <c r="A63" s="2">
        <f>IF(C_Ope_005[[#This Row],[tipo_r]]="R",COUNTIFS($C$1:$C62,"R")+1,"")</f>
        <v>62</v>
      </c>
      <c r="B63" s="19" t="str">
        <f t="shared" si="4"/>
        <v>C_Ope_005</v>
      </c>
      <c r="C63" s="3" t="s">
        <v>1330</v>
      </c>
      <c r="D63" s="14">
        <v>45681</v>
      </c>
      <c r="E63" s="5" t="s">
        <v>8535</v>
      </c>
      <c r="F63" s="5" t="s">
        <v>1336</v>
      </c>
      <c r="G63" s="6" t="s">
        <v>682</v>
      </c>
      <c r="H63" s="6" t="s">
        <v>68</v>
      </c>
      <c r="I63" s="6" t="s">
        <v>1353</v>
      </c>
      <c r="J63" s="6">
        <v>15461</v>
      </c>
      <c r="K63" s="7" t="s">
        <v>8573</v>
      </c>
      <c r="L63" s="8">
        <v>22788</v>
      </c>
      <c r="M63" s="8" t="str">
        <f t="shared" si="5"/>
        <v>PEN</v>
      </c>
      <c r="N63" s="13"/>
      <c r="O63" s="13">
        <v>20</v>
      </c>
      <c r="P63" s="3">
        <f t="shared" si="1"/>
        <v>0</v>
      </c>
      <c r="Q63" s="3">
        <f t="shared" si="2"/>
        <v>20</v>
      </c>
      <c r="R63" s="3">
        <f t="shared" si="3"/>
        <v>269.89999999999986</v>
      </c>
      <c r="S63" s="24" t="s">
        <v>1334</v>
      </c>
      <c r="T63" s="24" t="s">
        <v>1334</v>
      </c>
      <c r="U63" s="3"/>
      <c r="V63" s="25" t="s">
        <v>7761</v>
      </c>
      <c r="W63" s="25">
        <v>20259858934</v>
      </c>
      <c r="X63" s="25" t="str">
        <f>IFERROR(VLOOKUP(C_Ope_005[[#This Row],[nota_2]],Clientes_Proveedores[[Ruc / Dni]:[Razon Social]],2,0),"")</f>
        <v>COMERCIALIZACION Y SERVICIOS EL EDEN S.A.C.</v>
      </c>
      <c r="Y63" s="25"/>
      <c r="Z63" s="103"/>
      <c r="AA63" s="3" t="str">
        <f>IF(C_Ope_005[[#This Row],[fecha]]&gt;0,TEXT(C_Ope_005[[#This Row],[fecha]],"mmmm"),0)</f>
        <v>Enero</v>
      </c>
      <c r="AB63" s="49"/>
    </row>
    <row r="64" spans="1:28" ht="24" x14ac:dyDescent="0.3">
      <c r="A64" s="2">
        <f>IF(C_Ope_005[[#This Row],[tipo_r]]="R",COUNTIFS($C$1:$C63,"R")+1,"")</f>
        <v>63</v>
      </c>
      <c r="B64" s="19" t="str">
        <f t="shared" si="4"/>
        <v>C_Ope_005</v>
      </c>
      <c r="C64" s="3" t="s">
        <v>1330</v>
      </c>
      <c r="D64" s="14">
        <v>45678</v>
      </c>
      <c r="E64" s="5" t="s">
        <v>8535</v>
      </c>
      <c r="F64" s="5" t="s">
        <v>1336</v>
      </c>
      <c r="G64" s="6" t="s">
        <v>999</v>
      </c>
      <c r="H64" s="6" t="s">
        <v>68</v>
      </c>
      <c r="I64" s="6" t="s">
        <v>1374</v>
      </c>
      <c r="J64" s="6">
        <v>16023</v>
      </c>
      <c r="K64" s="7" t="s">
        <v>7962</v>
      </c>
      <c r="L64" s="8">
        <v>22750</v>
      </c>
      <c r="M64" s="8" t="str">
        <f t="shared" si="5"/>
        <v>PEN</v>
      </c>
      <c r="N64" s="13"/>
      <c r="O64" s="13">
        <v>25</v>
      </c>
      <c r="P64" s="3">
        <f t="shared" si="1"/>
        <v>0</v>
      </c>
      <c r="Q64" s="3">
        <f t="shared" si="2"/>
        <v>25</v>
      </c>
      <c r="R64" s="3">
        <f t="shared" si="3"/>
        <v>244.89999999999986</v>
      </c>
      <c r="S64" s="24" t="s">
        <v>1334</v>
      </c>
      <c r="T64" s="24" t="s">
        <v>1334</v>
      </c>
      <c r="U64" s="3"/>
      <c r="V64" s="25" t="s">
        <v>7761</v>
      </c>
      <c r="W64" s="25">
        <v>10705628331</v>
      </c>
      <c r="X64" s="25" t="str">
        <f>IFERROR(VLOOKUP(C_Ope_005[[#This Row],[nota_2]],Clientes_Proveedores[[Ruc / Dni]:[Razon Social]],2,0),"")</f>
        <v>LARICO APAZA NANCY ROSSMARY</v>
      </c>
      <c r="Y64" s="25"/>
      <c r="Z64" s="103"/>
      <c r="AA64" s="3" t="str">
        <f>IF(C_Ope_005[[#This Row],[fecha]]&gt;0,TEXT(C_Ope_005[[#This Row],[fecha]],"mmmm"),0)</f>
        <v>Enero</v>
      </c>
      <c r="AB64" s="49"/>
    </row>
    <row r="65" spans="1:28" x14ac:dyDescent="0.3">
      <c r="A65" s="2">
        <f>IF(C_Ope_005[[#This Row],[tipo_r]]="R",COUNTIFS($C$1:$C64,"R")+1,"")</f>
        <v>64</v>
      </c>
      <c r="B65" s="19" t="str">
        <f t="shared" si="4"/>
        <v>C_Ope_005</v>
      </c>
      <c r="C65" s="3" t="s">
        <v>1330</v>
      </c>
      <c r="D65" s="14">
        <v>45680</v>
      </c>
      <c r="E65" s="5" t="s">
        <v>8535</v>
      </c>
      <c r="F65" s="5" t="s">
        <v>1336</v>
      </c>
      <c r="G65" s="6"/>
      <c r="H65" s="6" t="s">
        <v>126</v>
      </c>
      <c r="I65" s="6"/>
      <c r="J65" s="6"/>
      <c r="K65" s="7" t="s">
        <v>8574</v>
      </c>
      <c r="L65" s="8">
        <v>22777</v>
      </c>
      <c r="M65" s="8" t="str">
        <f t="shared" si="5"/>
        <v>PEN</v>
      </c>
      <c r="N65" s="13"/>
      <c r="O65" s="13">
        <v>24</v>
      </c>
      <c r="P65" s="3">
        <f t="shared" si="1"/>
        <v>0</v>
      </c>
      <c r="Q65" s="3">
        <f t="shared" si="2"/>
        <v>24</v>
      </c>
      <c r="R65" s="3">
        <f t="shared" si="3"/>
        <v>220.89999999999986</v>
      </c>
      <c r="S65" s="24" t="s">
        <v>1334</v>
      </c>
      <c r="T65" s="24" t="s">
        <v>1334</v>
      </c>
      <c r="U65" s="3"/>
      <c r="V65" s="25" t="s">
        <v>7761</v>
      </c>
      <c r="W65" s="25"/>
      <c r="X65" s="25" t="str">
        <f>IFERROR(VLOOKUP(C_Ope_005[[#This Row],[nota_2]],Clientes_Proveedores[[Ruc / Dni]:[Razon Social]],2,0),"")</f>
        <v/>
      </c>
      <c r="Y65" s="25"/>
      <c r="Z65" s="103"/>
      <c r="AA65" s="3" t="str">
        <f>IF(C_Ope_005[[#This Row],[fecha]]&gt;0,TEXT(C_Ope_005[[#This Row],[fecha]],"mmmm"),0)</f>
        <v>Enero</v>
      </c>
      <c r="AB65" s="49"/>
    </row>
    <row r="66" spans="1:28" x14ac:dyDescent="0.3">
      <c r="A66" s="2">
        <f>IF(C_Ope_005[[#This Row],[tipo_r]]="R",COUNTIFS($C$1:$C65,"R")+1,"")</f>
        <v>65</v>
      </c>
      <c r="B66" s="19" t="str">
        <f t="shared" si="4"/>
        <v>C_Ope_005</v>
      </c>
      <c r="C66" s="3" t="s">
        <v>1330</v>
      </c>
      <c r="D66" s="14">
        <v>45680</v>
      </c>
      <c r="E66" s="5" t="s">
        <v>8535</v>
      </c>
      <c r="F66" s="5" t="s">
        <v>1336</v>
      </c>
      <c r="G66" s="6"/>
      <c r="H66" s="6" t="s">
        <v>126</v>
      </c>
      <c r="I66" s="6"/>
      <c r="J66" s="6"/>
      <c r="K66" s="7" t="s">
        <v>8575</v>
      </c>
      <c r="L66" s="8">
        <v>22778</v>
      </c>
      <c r="M66" s="8" t="str">
        <f t="shared" si="5"/>
        <v>PEN</v>
      </c>
      <c r="N66" s="13"/>
      <c r="O66" s="13">
        <v>30</v>
      </c>
      <c r="P66" s="3">
        <f t="shared" ref="P66:P129" si="6">+IF(OR($F66="SALDO",$F66="INGRESO"),$O66,0)</f>
        <v>0</v>
      </c>
      <c r="Q66" s="3">
        <f t="shared" ref="Q66:Q129" si="7">+IF($F66="EGRESO",$O66,0)</f>
        <v>30</v>
      </c>
      <c r="R66" s="3">
        <f t="shared" ref="R66:R129" si="8">IFERROR(IF(F66="SALDO",P66,R65+P66-Q66),0)</f>
        <v>190.89999999999986</v>
      </c>
      <c r="S66" s="24" t="s">
        <v>1334</v>
      </c>
      <c r="T66" s="24" t="s">
        <v>1334</v>
      </c>
      <c r="U66" s="3"/>
      <c r="V66" s="25" t="s">
        <v>7761</v>
      </c>
      <c r="W66" s="25"/>
      <c r="X66" s="25" t="str">
        <f>IFERROR(VLOOKUP(C_Ope_005[[#This Row],[nota_2]],Clientes_Proveedores[[Ruc / Dni]:[Razon Social]],2,0),"")</f>
        <v/>
      </c>
      <c r="Y66" s="25"/>
      <c r="Z66" s="103"/>
      <c r="AA66" s="3" t="str">
        <f>IF(C_Ope_005[[#This Row],[fecha]]&gt;0,TEXT(C_Ope_005[[#This Row],[fecha]],"mmmm"),0)</f>
        <v>Enero</v>
      </c>
      <c r="AB66" s="49"/>
    </row>
    <row r="67" spans="1:28" x14ac:dyDescent="0.3">
      <c r="A67" s="2">
        <f>IF(C_Ope_005[[#This Row],[tipo_r]]="R",COUNTIFS($C$1:$C66,"R")+1,"")</f>
        <v>66</v>
      </c>
      <c r="B67" s="19" t="str">
        <f t="shared" ref="B67:B130" si="9">"C_Ope_005"</f>
        <v>C_Ope_005</v>
      </c>
      <c r="C67" s="3" t="s">
        <v>1330</v>
      </c>
      <c r="D67" s="14">
        <v>45680</v>
      </c>
      <c r="E67" s="5" t="s">
        <v>8535</v>
      </c>
      <c r="F67" s="5" t="s">
        <v>1336</v>
      </c>
      <c r="G67" s="6"/>
      <c r="H67" s="6" t="s">
        <v>126</v>
      </c>
      <c r="I67" s="6"/>
      <c r="J67" s="6"/>
      <c r="K67" s="7" t="s">
        <v>8576</v>
      </c>
      <c r="L67" s="8">
        <v>22779</v>
      </c>
      <c r="M67" s="8" t="str">
        <f t="shared" ref="M67:M130" si="10">"PEN"</f>
        <v>PEN</v>
      </c>
      <c r="N67" s="13"/>
      <c r="O67" s="13">
        <v>24</v>
      </c>
      <c r="P67" s="3">
        <f t="shared" si="6"/>
        <v>0</v>
      </c>
      <c r="Q67" s="3">
        <f t="shared" si="7"/>
        <v>24</v>
      </c>
      <c r="R67" s="3">
        <f t="shared" si="8"/>
        <v>166.89999999999986</v>
      </c>
      <c r="S67" s="24" t="s">
        <v>1334</v>
      </c>
      <c r="T67" s="24" t="s">
        <v>1334</v>
      </c>
      <c r="U67" s="3"/>
      <c r="V67" s="25" t="s">
        <v>7761</v>
      </c>
      <c r="W67" s="25"/>
      <c r="X67" s="25" t="str">
        <f>IFERROR(VLOOKUP(C_Ope_005[[#This Row],[nota_2]],Clientes_Proveedores[[Ruc / Dni]:[Razon Social]],2,0),"")</f>
        <v/>
      </c>
      <c r="Y67" s="25"/>
      <c r="Z67" s="103"/>
      <c r="AA67" s="3" t="str">
        <f>IF(C_Ope_005[[#This Row],[fecha]]&gt;0,TEXT(C_Ope_005[[#This Row],[fecha]],"mmmm"),0)</f>
        <v>Enero</v>
      </c>
      <c r="AB67" s="49"/>
    </row>
    <row r="68" spans="1:28" ht="24" x14ac:dyDescent="0.3">
      <c r="A68" s="2">
        <f>IF(C_Ope_005[[#This Row],[tipo_r]]="R",COUNTIFS($C$1:$C67,"R")+1,"")</f>
        <v>67</v>
      </c>
      <c r="B68" s="19" t="str">
        <f t="shared" si="9"/>
        <v>C_Ope_005</v>
      </c>
      <c r="C68" s="3" t="s">
        <v>1330</v>
      </c>
      <c r="D68" s="14">
        <v>45684</v>
      </c>
      <c r="E68" s="5" t="s">
        <v>7514</v>
      </c>
      <c r="F68" s="5" t="s">
        <v>1303</v>
      </c>
      <c r="G68" s="6" t="s">
        <v>957</v>
      </c>
      <c r="H68" s="6"/>
      <c r="I68" s="6"/>
      <c r="J68" s="6"/>
      <c r="K68" s="7" t="s">
        <v>7516</v>
      </c>
      <c r="L68" s="8">
        <v>22819</v>
      </c>
      <c r="M68" s="8" t="str">
        <f t="shared" si="10"/>
        <v>PEN</v>
      </c>
      <c r="N68" s="13"/>
      <c r="O68" s="13">
        <v>30</v>
      </c>
      <c r="P68" s="3">
        <f t="shared" si="6"/>
        <v>30</v>
      </c>
      <c r="Q68" s="3">
        <f t="shared" si="7"/>
        <v>0</v>
      </c>
      <c r="R68" s="3">
        <f t="shared" si="8"/>
        <v>196.89999999999986</v>
      </c>
      <c r="S68" s="24" t="s">
        <v>1334</v>
      </c>
      <c r="T68" s="24" t="s">
        <v>1334</v>
      </c>
      <c r="U68" s="3"/>
      <c r="V68" s="25"/>
      <c r="W68" s="25"/>
      <c r="X68" s="25" t="str">
        <f>IFERROR(VLOOKUP(C_Ope_005[[#This Row],[nota_2]],Clientes_Proveedores[[Ruc / Dni]:[Razon Social]],2,0),"")</f>
        <v/>
      </c>
      <c r="Y68" s="25"/>
      <c r="Z68" s="103"/>
      <c r="AA68" s="3" t="str">
        <f>IF(C_Ope_005[[#This Row],[fecha]]&gt;0,TEXT(C_Ope_005[[#This Row],[fecha]],"mmmm"),0)</f>
        <v>Enero</v>
      </c>
      <c r="AB68" s="49"/>
    </row>
    <row r="69" spans="1:28" ht="24" x14ac:dyDescent="0.3">
      <c r="A69" s="2">
        <f>IF(C_Ope_005[[#This Row],[tipo_r]]="R",COUNTIFS($C$1:$C68,"R")+1,"")</f>
        <v>68</v>
      </c>
      <c r="B69" s="19" t="str">
        <f t="shared" si="9"/>
        <v>C_Ope_005</v>
      </c>
      <c r="C69" s="3" t="s">
        <v>1330</v>
      </c>
      <c r="D69" s="14">
        <v>45687</v>
      </c>
      <c r="E69" s="5" t="s">
        <v>8535</v>
      </c>
      <c r="F69" s="5" t="s">
        <v>1336</v>
      </c>
      <c r="G69" s="6" t="s">
        <v>978</v>
      </c>
      <c r="H69" s="6" t="s">
        <v>68</v>
      </c>
      <c r="I69" s="6" t="s">
        <v>6203</v>
      </c>
      <c r="J69" s="6">
        <v>1944670</v>
      </c>
      <c r="K69" s="7" t="s">
        <v>8577</v>
      </c>
      <c r="L69" s="8">
        <v>22841</v>
      </c>
      <c r="M69" s="8" t="str">
        <f t="shared" si="10"/>
        <v>PEN</v>
      </c>
      <c r="N69" s="13"/>
      <c r="O69" s="13">
        <v>8</v>
      </c>
      <c r="P69" s="3">
        <f t="shared" si="6"/>
        <v>0</v>
      </c>
      <c r="Q69" s="3">
        <f t="shared" si="7"/>
        <v>8</v>
      </c>
      <c r="R69" s="3">
        <f t="shared" si="8"/>
        <v>188.89999999999986</v>
      </c>
      <c r="S69" s="24" t="s">
        <v>1334</v>
      </c>
      <c r="T69" s="24" t="s">
        <v>1334</v>
      </c>
      <c r="U69" s="3"/>
      <c r="V69" s="25" t="s">
        <v>7842</v>
      </c>
      <c r="W69" s="25">
        <v>20517252558</v>
      </c>
      <c r="X69" s="25" t="str">
        <f>IFERROR(VLOOKUP(C_Ope_005[[#This Row],[nota_2]],Clientes_Proveedores[[Ruc / Dni]:[Razon Social]],2,0),"")</f>
        <v>COVISUR S.A.</v>
      </c>
      <c r="Y69" s="25"/>
      <c r="Z69" s="103"/>
      <c r="AA69" s="3" t="str">
        <f>IF(C_Ope_005[[#This Row],[fecha]]&gt;0,TEXT(C_Ope_005[[#This Row],[fecha]],"mmmm"),0)</f>
        <v>Enero</v>
      </c>
      <c r="AB69" s="49"/>
    </row>
    <row r="70" spans="1:28" ht="24" x14ac:dyDescent="0.3">
      <c r="A70" s="2">
        <f>IF(C_Ope_005[[#This Row],[tipo_r]]="R",COUNTIFS($C$1:$C69,"R")+1,"")</f>
        <v>69</v>
      </c>
      <c r="B70" s="19" t="str">
        <f t="shared" si="9"/>
        <v>C_Ope_005</v>
      </c>
      <c r="C70" s="3" t="s">
        <v>1330</v>
      </c>
      <c r="D70" s="14">
        <v>45687</v>
      </c>
      <c r="E70" s="5" t="s">
        <v>8535</v>
      </c>
      <c r="F70" s="5" t="s">
        <v>1336</v>
      </c>
      <c r="G70" s="6" t="s">
        <v>978</v>
      </c>
      <c r="H70" s="6" t="s">
        <v>68</v>
      </c>
      <c r="I70" s="6" t="s">
        <v>5688</v>
      </c>
      <c r="J70" s="6">
        <v>2215337</v>
      </c>
      <c r="K70" s="7" t="s">
        <v>8577</v>
      </c>
      <c r="L70" s="8">
        <v>22842</v>
      </c>
      <c r="M70" s="8" t="str">
        <f t="shared" si="10"/>
        <v>PEN</v>
      </c>
      <c r="N70" s="13"/>
      <c r="O70" s="13">
        <v>8</v>
      </c>
      <c r="P70" s="3">
        <f t="shared" si="6"/>
        <v>0</v>
      </c>
      <c r="Q70" s="3">
        <f t="shared" si="7"/>
        <v>8</v>
      </c>
      <c r="R70" s="3">
        <f t="shared" si="8"/>
        <v>180.89999999999986</v>
      </c>
      <c r="S70" s="24" t="s">
        <v>1334</v>
      </c>
      <c r="T70" s="24" t="s">
        <v>1334</v>
      </c>
      <c r="U70" s="3"/>
      <c r="V70" s="25" t="s">
        <v>7842</v>
      </c>
      <c r="W70" s="25">
        <v>20517252558</v>
      </c>
      <c r="X70" s="25" t="str">
        <f>IFERROR(VLOOKUP(C_Ope_005[[#This Row],[nota_2]],Clientes_Proveedores[[Ruc / Dni]:[Razon Social]],2,0),"")</f>
        <v>COVISUR S.A.</v>
      </c>
      <c r="Y70" s="25"/>
      <c r="Z70" s="103"/>
      <c r="AA70" s="3" t="str">
        <f>IF(C_Ope_005[[#This Row],[fecha]]&gt;0,TEXT(C_Ope_005[[#This Row],[fecha]],"mmmm"),0)</f>
        <v>Enero</v>
      </c>
      <c r="AB70" s="49"/>
    </row>
    <row r="71" spans="1:28" x14ac:dyDescent="0.3">
      <c r="A71" s="2">
        <f>IF(C_Ope_005[[#This Row],[tipo_r]]="R",COUNTIFS($C$1:$C70,"R")+1,"")</f>
        <v>70</v>
      </c>
      <c r="B71" s="19" t="str">
        <f t="shared" si="9"/>
        <v>C_Ope_005</v>
      </c>
      <c r="C71" s="3" t="s">
        <v>1330</v>
      </c>
      <c r="D71" s="14">
        <v>45685</v>
      </c>
      <c r="E71" s="5" t="s">
        <v>8535</v>
      </c>
      <c r="F71" s="5" t="s">
        <v>1336</v>
      </c>
      <c r="G71" s="6" t="s">
        <v>1148</v>
      </c>
      <c r="H71" s="6" t="s">
        <v>68</v>
      </c>
      <c r="I71" s="6" t="s">
        <v>6378</v>
      </c>
      <c r="J71" s="6">
        <v>5080</v>
      </c>
      <c r="K71" s="7" t="s">
        <v>7774</v>
      </c>
      <c r="L71" s="8">
        <v>22820</v>
      </c>
      <c r="M71" s="8" t="str">
        <f t="shared" si="10"/>
        <v>PEN</v>
      </c>
      <c r="N71" s="13"/>
      <c r="O71" s="13">
        <v>10</v>
      </c>
      <c r="P71" s="3">
        <f t="shared" si="6"/>
        <v>0</v>
      </c>
      <c r="Q71" s="3">
        <f t="shared" si="7"/>
        <v>10</v>
      </c>
      <c r="R71" s="3">
        <f t="shared" si="8"/>
        <v>170.89999999999986</v>
      </c>
      <c r="S71" s="24" t="s">
        <v>1334</v>
      </c>
      <c r="T71" s="24" t="s">
        <v>1334</v>
      </c>
      <c r="U71" s="3"/>
      <c r="V71" s="25" t="s">
        <v>7761</v>
      </c>
      <c r="W71" s="25">
        <v>20611633972</v>
      </c>
      <c r="X71" s="25" t="str">
        <f>IFERROR(VLOOKUP(C_Ope_005[[#This Row],[nota_2]],Clientes_Proveedores[[Ruc / Dni]:[Razon Social]],2,0),"")</f>
        <v>NOVAARECY E.I.R.L.</v>
      </c>
      <c r="Y71" s="25"/>
      <c r="Z71" s="103"/>
      <c r="AA71" s="3" t="str">
        <f>IF(C_Ope_005[[#This Row],[fecha]]&gt;0,TEXT(C_Ope_005[[#This Row],[fecha]],"mmmm"),0)</f>
        <v>Enero</v>
      </c>
      <c r="AB71" s="49"/>
    </row>
    <row r="72" spans="1:28" x14ac:dyDescent="0.3">
      <c r="A72" s="2">
        <f>IF(C_Ope_005[[#This Row],[tipo_r]]="R",COUNTIFS($C$1:$C71,"R")+1,"")</f>
        <v>71</v>
      </c>
      <c r="B72" s="19" t="str">
        <f t="shared" si="9"/>
        <v>C_Ope_005</v>
      </c>
      <c r="C72" s="3" t="s">
        <v>1330</v>
      </c>
      <c r="D72" s="14">
        <v>45685</v>
      </c>
      <c r="E72" s="5" t="s">
        <v>8535</v>
      </c>
      <c r="F72" s="5" t="s">
        <v>1336</v>
      </c>
      <c r="G72" s="6" t="s">
        <v>1148</v>
      </c>
      <c r="H72" s="6" t="s">
        <v>68</v>
      </c>
      <c r="I72" s="6" t="s">
        <v>6378</v>
      </c>
      <c r="J72" s="6">
        <v>5088</v>
      </c>
      <c r="K72" s="7" t="s">
        <v>8545</v>
      </c>
      <c r="L72" s="8">
        <v>22821</v>
      </c>
      <c r="M72" s="8" t="str">
        <f t="shared" si="10"/>
        <v>PEN</v>
      </c>
      <c r="N72" s="13"/>
      <c r="O72" s="13">
        <v>10</v>
      </c>
      <c r="P72" s="3">
        <f t="shared" si="6"/>
        <v>0</v>
      </c>
      <c r="Q72" s="3">
        <f t="shared" si="7"/>
        <v>10</v>
      </c>
      <c r="R72" s="3">
        <f t="shared" si="8"/>
        <v>160.89999999999986</v>
      </c>
      <c r="S72" s="24" t="s">
        <v>1334</v>
      </c>
      <c r="T72" s="24" t="s">
        <v>1334</v>
      </c>
      <c r="U72" s="3"/>
      <c r="V72" s="25" t="s">
        <v>7761</v>
      </c>
      <c r="W72" s="25">
        <v>20611633972</v>
      </c>
      <c r="X72" s="25" t="str">
        <f>IFERROR(VLOOKUP(C_Ope_005[[#This Row],[nota_2]],Clientes_Proveedores[[Ruc / Dni]:[Razon Social]],2,0),"")</f>
        <v>NOVAARECY E.I.R.L.</v>
      </c>
      <c r="Y72" s="25"/>
      <c r="Z72" s="103"/>
      <c r="AA72" s="3" t="str">
        <f>IF(C_Ope_005[[#This Row],[fecha]]&gt;0,TEXT(C_Ope_005[[#This Row],[fecha]],"mmmm"),0)</f>
        <v>Enero</v>
      </c>
      <c r="AB72" s="49"/>
    </row>
    <row r="73" spans="1:28" ht="36" x14ac:dyDescent="0.3">
      <c r="A73" s="2">
        <f>IF(C_Ope_005[[#This Row],[tipo_r]]="R",COUNTIFS($C$1:$C72,"R")+1,"")</f>
        <v>72</v>
      </c>
      <c r="B73" s="19" t="str">
        <f t="shared" si="9"/>
        <v>C_Ope_005</v>
      </c>
      <c r="C73" s="3" t="s">
        <v>1330</v>
      </c>
      <c r="D73" s="14">
        <v>45686</v>
      </c>
      <c r="E73" s="5" t="s">
        <v>8535</v>
      </c>
      <c r="F73" s="5" t="s">
        <v>1336</v>
      </c>
      <c r="G73" s="6" t="s">
        <v>682</v>
      </c>
      <c r="H73" s="6" t="s">
        <v>68</v>
      </c>
      <c r="I73" s="6" t="s">
        <v>1343</v>
      </c>
      <c r="J73" s="6">
        <v>33671</v>
      </c>
      <c r="K73" s="7" t="s">
        <v>8578</v>
      </c>
      <c r="L73" s="8">
        <v>22833</v>
      </c>
      <c r="M73" s="8" t="str">
        <f t="shared" si="10"/>
        <v>PEN</v>
      </c>
      <c r="N73" s="13"/>
      <c r="O73" s="13">
        <v>10</v>
      </c>
      <c r="P73" s="3">
        <f t="shared" si="6"/>
        <v>0</v>
      </c>
      <c r="Q73" s="3">
        <f t="shared" si="7"/>
        <v>10</v>
      </c>
      <c r="R73" s="3">
        <f t="shared" si="8"/>
        <v>150.89999999999986</v>
      </c>
      <c r="S73" s="24" t="s">
        <v>1334</v>
      </c>
      <c r="T73" s="24" t="s">
        <v>1334</v>
      </c>
      <c r="U73" s="3"/>
      <c r="V73" s="25" t="s">
        <v>7761</v>
      </c>
      <c r="W73" s="25">
        <v>20259858934</v>
      </c>
      <c r="X73" s="25" t="str">
        <f>IFERROR(VLOOKUP(C_Ope_005[[#This Row],[nota_2]],Clientes_Proveedores[[Ruc / Dni]:[Razon Social]],2,0),"")</f>
        <v>COMERCIALIZACION Y SERVICIOS EL EDEN S.A.C.</v>
      </c>
      <c r="Y73" s="25"/>
      <c r="Z73" s="103"/>
      <c r="AA73" s="3" t="str">
        <f>IF(C_Ope_005[[#This Row],[fecha]]&gt;0,TEXT(C_Ope_005[[#This Row],[fecha]],"mmmm"),0)</f>
        <v>Enero</v>
      </c>
      <c r="AB73" s="49"/>
    </row>
    <row r="74" spans="1:28" ht="36" x14ac:dyDescent="0.3">
      <c r="A74" s="2">
        <f>IF(C_Ope_005[[#This Row],[tipo_r]]="R",COUNTIFS($C$1:$C73,"R")+1,"")</f>
        <v>73</v>
      </c>
      <c r="B74" s="19" t="str">
        <f t="shared" si="9"/>
        <v>C_Ope_005</v>
      </c>
      <c r="C74" s="3" t="s">
        <v>1330</v>
      </c>
      <c r="D74" s="14">
        <v>45687</v>
      </c>
      <c r="E74" s="5" t="s">
        <v>8535</v>
      </c>
      <c r="F74" s="5" t="s">
        <v>1336</v>
      </c>
      <c r="G74" s="6" t="s">
        <v>682</v>
      </c>
      <c r="H74" s="6" t="s">
        <v>68</v>
      </c>
      <c r="I74" s="6" t="s">
        <v>1353</v>
      </c>
      <c r="J74" s="6">
        <v>15541</v>
      </c>
      <c r="K74" s="7" t="s">
        <v>8579</v>
      </c>
      <c r="L74" s="8">
        <v>22840</v>
      </c>
      <c r="M74" s="8" t="str">
        <f t="shared" si="10"/>
        <v>PEN</v>
      </c>
      <c r="N74" s="13"/>
      <c r="O74" s="13">
        <v>20</v>
      </c>
      <c r="P74" s="3">
        <f t="shared" si="6"/>
        <v>0</v>
      </c>
      <c r="Q74" s="3">
        <f t="shared" si="7"/>
        <v>20</v>
      </c>
      <c r="R74" s="3">
        <f t="shared" si="8"/>
        <v>130.89999999999986</v>
      </c>
      <c r="S74" s="24" t="s">
        <v>1334</v>
      </c>
      <c r="T74" s="24" t="s">
        <v>1334</v>
      </c>
      <c r="U74" s="3"/>
      <c r="V74" s="25" t="s">
        <v>7842</v>
      </c>
      <c r="W74" s="25">
        <v>20259858934</v>
      </c>
      <c r="X74" s="25" t="str">
        <f>IFERROR(VLOOKUP(C_Ope_005[[#This Row],[nota_2]],Clientes_Proveedores[[Ruc / Dni]:[Razon Social]],2,0),"")</f>
        <v>COMERCIALIZACION Y SERVICIOS EL EDEN S.A.C.</v>
      </c>
      <c r="Y74" s="25"/>
      <c r="Z74" s="103"/>
      <c r="AA74" s="3" t="str">
        <f>IF(C_Ope_005[[#This Row],[fecha]]&gt;0,TEXT(C_Ope_005[[#This Row],[fecha]],"mmmm"),0)</f>
        <v>Enero</v>
      </c>
      <c r="AB74" s="49"/>
    </row>
    <row r="75" spans="1:28" ht="24" x14ac:dyDescent="0.3">
      <c r="A75" s="2">
        <f>IF(C_Ope_005[[#This Row],[tipo_r]]="R",COUNTIFS($C$1:$C74,"R")+1,"")</f>
        <v>74</v>
      </c>
      <c r="B75" s="19" t="str">
        <f t="shared" si="9"/>
        <v>C_Ope_005</v>
      </c>
      <c r="C75" s="3" t="s">
        <v>1330</v>
      </c>
      <c r="D75" s="14">
        <v>45691</v>
      </c>
      <c r="E75" s="5" t="s">
        <v>7514</v>
      </c>
      <c r="F75" s="5" t="s">
        <v>1303</v>
      </c>
      <c r="G75" s="6" t="s">
        <v>957</v>
      </c>
      <c r="H75" s="6"/>
      <c r="I75" s="6"/>
      <c r="J75" s="6"/>
      <c r="K75" s="7" t="s">
        <v>7516</v>
      </c>
      <c r="L75" s="8">
        <v>22864</v>
      </c>
      <c r="M75" s="8" t="str">
        <f t="shared" si="10"/>
        <v>PEN</v>
      </c>
      <c r="N75" s="13"/>
      <c r="O75" s="13">
        <v>70</v>
      </c>
      <c r="P75" s="3">
        <f t="shared" si="6"/>
        <v>70</v>
      </c>
      <c r="Q75" s="3">
        <f t="shared" si="7"/>
        <v>0</v>
      </c>
      <c r="R75" s="3">
        <f t="shared" si="8"/>
        <v>200.89999999999986</v>
      </c>
      <c r="S75" s="24" t="s">
        <v>1334</v>
      </c>
      <c r="T75" s="24" t="s">
        <v>1334</v>
      </c>
      <c r="U75" s="3"/>
      <c r="V75" s="25"/>
      <c r="W75" s="25"/>
      <c r="X75" s="25" t="str">
        <f>IFERROR(VLOOKUP(C_Ope_005[[#This Row],[nota_2]],Clientes_Proveedores[[Ruc / Dni]:[Razon Social]],2,0),"")</f>
        <v/>
      </c>
      <c r="Y75" s="25"/>
      <c r="Z75" s="103"/>
      <c r="AA75" s="3" t="str">
        <f>IF(C_Ope_005[[#This Row],[fecha]]&gt;0,TEXT(C_Ope_005[[#This Row],[fecha]],"mmmm"),0)</f>
        <v>Febrero</v>
      </c>
      <c r="AB75" s="49"/>
    </row>
    <row r="76" spans="1:28" ht="24" x14ac:dyDescent="0.3">
      <c r="A76" s="2">
        <f>IF(C_Ope_005[[#This Row],[tipo_r]]="R",COUNTIFS($C$1:$C75,"R")+1,"")</f>
        <v>75</v>
      </c>
      <c r="B76" s="19" t="str">
        <f t="shared" si="9"/>
        <v>C_Ope_005</v>
      </c>
      <c r="C76" s="3" t="s">
        <v>1330</v>
      </c>
      <c r="D76" s="14">
        <v>45693</v>
      </c>
      <c r="E76" s="5" t="s">
        <v>7514</v>
      </c>
      <c r="F76" s="5" t="s">
        <v>1303</v>
      </c>
      <c r="G76" s="6" t="s">
        <v>957</v>
      </c>
      <c r="H76" s="6"/>
      <c r="I76" s="6"/>
      <c r="J76" s="6"/>
      <c r="K76" s="7" t="s">
        <v>7567</v>
      </c>
      <c r="L76" s="8">
        <v>22894</v>
      </c>
      <c r="M76" s="8" t="str">
        <f t="shared" si="10"/>
        <v>PEN</v>
      </c>
      <c r="N76" s="13"/>
      <c r="O76" s="13">
        <v>600</v>
      </c>
      <c r="P76" s="3">
        <f t="shared" si="6"/>
        <v>600</v>
      </c>
      <c r="Q76" s="3">
        <f t="shared" si="7"/>
        <v>0</v>
      </c>
      <c r="R76" s="3">
        <f t="shared" si="8"/>
        <v>800.89999999999986</v>
      </c>
      <c r="S76" s="24" t="s">
        <v>1334</v>
      </c>
      <c r="T76" s="24" t="s">
        <v>1334</v>
      </c>
      <c r="U76" s="3"/>
      <c r="V76" s="25"/>
      <c r="W76" s="25"/>
      <c r="X76" s="25" t="str">
        <f>IFERROR(VLOOKUP(C_Ope_005[[#This Row],[nota_2]],Clientes_Proveedores[[Ruc / Dni]:[Razon Social]],2,0),"")</f>
        <v/>
      </c>
      <c r="Y76" s="25"/>
      <c r="Z76" s="103"/>
      <c r="AA76" s="3" t="str">
        <f>IF(C_Ope_005[[#This Row],[fecha]]&gt;0,TEXT(C_Ope_005[[#This Row],[fecha]],"mmmm"),0)</f>
        <v>Febrero</v>
      </c>
      <c r="AB76" s="49"/>
    </row>
    <row r="77" spans="1:28" ht="24" x14ac:dyDescent="0.3">
      <c r="A77" s="2">
        <f>IF(C_Ope_005[[#This Row],[tipo_r]]="R",COUNTIFS($C$1:$C76,"R")+1,"")</f>
        <v>76</v>
      </c>
      <c r="B77" s="19" t="str">
        <f t="shared" si="9"/>
        <v>C_Ope_005</v>
      </c>
      <c r="C77" s="3" t="s">
        <v>1330</v>
      </c>
      <c r="D77" s="14">
        <v>45695</v>
      </c>
      <c r="E77" s="5" t="s">
        <v>7514</v>
      </c>
      <c r="F77" s="5" t="s">
        <v>1303</v>
      </c>
      <c r="G77" s="6" t="s">
        <v>957</v>
      </c>
      <c r="H77" s="6"/>
      <c r="I77" s="6"/>
      <c r="J77" s="6"/>
      <c r="K77" s="7" t="s">
        <v>7516</v>
      </c>
      <c r="L77" s="8">
        <v>22944</v>
      </c>
      <c r="M77" s="8" t="str">
        <f t="shared" si="10"/>
        <v>PEN</v>
      </c>
      <c r="N77" s="13"/>
      <c r="O77" s="13">
        <v>400</v>
      </c>
      <c r="P77" s="3">
        <f t="shared" si="6"/>
        <v>400</v>
      </c>
      <c r="Q77" s="3">
        <f t="shared" si="7"/>
        <v>0</v>
      </c>
      <c r="R77" s="3">
        <f t="shared" si="8"/>
        <v>1200.8999999999999</v>
      </c>
      <c r="S77" s="24" t="s">
        <v>1334</v>
      </c>
      <c r="T77" s="24" t="s">
        <v>1334</v>
      </c>
      <c r="U77" s="3"/>
      <c r="V77" s="25"/>
      <c r="W77" s="25"/>
      <c r="X77" s="25" t="str">
        <f>IFERROR(VLOOKUP(C_Ope_005[[#This Row],[nota_2]],Clientes_Proveedores[[Ruc / Dni]:[Razon Social]],2,0),"")</f>
        <v/>
      </c>
      <c r="Y77" s="25"/>
      <c r="Z77" s="103"/>
      <c r="AA77" s="3" t="str">
        <f>IF(C_Ope_005[[#This Row],[fecha]]&gt;0,TEXT(C_Ope_005[[#This Row],[fecha]],"mmmm"),0)</f>
        <v>Febrero</v>
      </c>
      <c r="AB77" s="49"/>
    </row>
    <row r="78" spans="1:28" ht="24" x14ac:dyDescent="0.3">
      <c r="A78" s="2">
        <f>IF(C_Ope_005[[#This Row],[tipo_r]]="R",COUNTIFS($C$1:$C77,"R")+1,"")</f>
        <v>77</v>
      </c>
      <c r="B78" s="19" t="str">
        <f t="shared" si="9"/>
        <v>C_Ope_005</v>
      </c>
      <c r="C78" s="3" t="s">
        <v>1330</v>
      </c>
      <c r="D78" s="14">
        <v>45694</v>
      </c>
      <c r="E78" s="5" t="s">
        <v>8535</v>
      </c>
      <c r="F78" s="5" t="s">
        <v>1336</v>
      </c>
      <c r="G78" s="6" t="s">
        <v>1180</v>
      </c>
      <c r="H78" s="6" t="s">
        <v>68</v>
      </c>
      <c r="I78" s="6" t="s">
        <v>1374</v>
      </c>
      <c r="J78" s="6">
        <v>62019</v>
      </c>
      <c r="K78" s="7" t="s">
        <v>8580</v>
      </c>
      <c r="L78" s="8">
        <v>22951</v>
      </c>
      <c r="M78" s="8" t="str">
        <f t="shared" si="10"/>
        <v>PEN</v>
      </c>
      <c r="N78" s="13"/>
      <c r="O78" s="13">
        <v>100</v>
      </c>
      <c r="P78" s="3">
        <f t="shared" si="6"/>
        <v>0</v>
      </c>
      <c r="Q78" s="3">
        <f t="shared" si="7"/>
        <v>100</v>
      </c>
      <c r="R78" s="3">
        <f t="shared" si="8"/>
        <v>1100.8999999999999</v>
      </c>
      <c r="S78" s="24" t="s">
        <v>1334</v>
      </c>
      <c r="T78" s="24" t="s">
        <v>1334</v>
      </c>
      <c r="U78" s="3"/>
      <c r="V78" s="25" t="s">
        <v>7761</v>
      </c>
      <c r="W78" s="25">
        <v>20600931394</v>
      </c>
      <c r="X78" s="25" t="str">
        <f>IFERROR(VLOOKUP(C_Ope_005[[#This Row],[nota_2]],Clientes_Proveedores[[Ruc / Dni]:[Razon Social]],2,0),"")</f>
        <v>INVERSIONES PAITITI S.R.L.</v>
      </c>
      <c r="Y78" s="25"/>
      <c r="Z78" s="103"/>
      <c r="AA78" s="3" t="str">
        <f>IF(C_Ope_005[[#This Row],[fecha]]&gt;0,TEXT(C_Ope_005[[#This Row],[fecha]],"mmmm"),0)</f>
        <v>Febrero</v>
      </c>
      <c r="AB78" s="49"/>
    </row>
    <row r="79" spans="1:28" ht="24" x14ac:dyDescent="0.3">
      <c r="A79" s="2">
        <f>IF(C_Ope_005[[#This Row],[tipo_r]]="R",COUNTIFS($C$1:$C78,"R")+1,"")</f>
        <v>78</v>
      </c>
      <c r="B79" s="19" t="str">
        <f t="shared" si="9"/>
        <v>C_Ope_005</v>
      </c>
      <c r="C79" s="3" t="s">
        <v>1330</v>
      </c>
      <c r="D79" s="14">
        <v>45691</v>
      </c>
      <c r="E79" s="5" t="s">
        <v>8535</v>
      </c>
      <c r="F79" s="5" t="s">
        <v>1336</v>
      </c>
      <c r="G79" s="6" t="s">
        <v>978</v>
      </c>
      <c r="H79" s="6" t="s">
        <v>68</v>
      </c>
      <c r="I79" s="6" t="s">
        <v>6204</v>
      </c>
      <c r="J79" s="6">
        <v>1647606</v>
      </c>
      <c r="K79" s="7" t="s">
        <v>8581</v>
      </c>
      <c r="L79" s="8">
        <v>22866</v>
      </c>
      <c r="M79" s="8" t="str">
        <f t="shared" si="10"/>
        <v>PEN</v>
      </c>
      <c r="N79" s="13"/>
      <c r="O79" s="13">
        <v>8</v>
      </c>
      <c r="P79" s="3">
        <f t="shared" si="6"/>
        <v>0</v>
      </c>
      <c r="Q79" s="3">
        <f t="shared" si="7"/>
        <v>8</v>
      </c>
      <c r="R79" s="3">
        <f t="shared" si="8"/>
        <v>1092.8999999999999</v>
      </c>
      <c r="S79" s="24" t="s">
        <v>1334</v>
      </c>
      <c r="T79" s="24" t="s">
        <v>1334</v>
      </c>
      <c r="U79" s="3"/>
      <c r="V79" s="25" t="s">
        <v>7761</v>
      </c>
      <c r="W79" s="25">
        <v>20517252558</v>
      </c>
      <c r="X79" s="25" t="str">
        <f>IFERROR(VLOOKUP(C_Ope_005[[#This Row],[nota_2]],Clientes_Proveedores[[Ruc / Dni]:[Razon Social]],2,0),"")</f>
        <v>COVISUR S.A.</v>
      </c>
      <c r="Y79" s="25"/>
      <c r="Z79" s="103"/>
      <c r="AA79" s="3" t="str">
        <f>IF(C_Ope_005[[#This Row],[fecha]]&gt;0,TEXT(C_Ope_005[[#This Row],[fecha]],"mmmm"),0)</f>
        <v>Febrero</v>
      </c>
      <c r="AB79" s="49"/>
    </row>
    <row r="80" spans="1:28" ht="24" x14ac:dyDescent="0.3">
      <c r="A80" s="2">
        <f>IF(C_Ope_005[[#This Row],[tipo_r]]="R",COUNTIFS($C$1:$C79,"R")+1,"")</f>
        <v>79</v>
      </c>
      <c r="B80" s="19" t="str">
        <f t="shared" si="9"/>
        <v>C_Ope_005</v>
      </c>
      <c r="C80" s="3" t="s">
        <v>1330</v>
      </c>
      <c r="D80" s="14">
        <v>45691</v>
      </c>
      <c r="E80" s="5" t="s">
        <v>8535</v>
      </c>
      <c r="F80" s="5" t="s">
        <v>1336</v>
      </c>
      <c r="G80" s="6" t="s">
        <v>978</v>
      </c>
      <c r="H80" s="6" t="s">
        <v>68</v>
      </c>
      <c r="I80" s="6" t="s">
        <v>6245</v>
      </c>
      <c r="J80" s="6">
        <v>915747</v>
      </c>
      <c r="K80" s="7" t="s">
        <v>8582</v>
      </c>
      <c r="L80" s="8">
        <v>22867</v>
      </c>
      <c r="M80" s="8" t="str">
        <f t="shared" si="10"/>
        <v>PEN</v>
      </c>
      <c r="N80" s="13"/>
      <c r="O80" s="13">
        <v>8</v>
      </c>
      <c r="P80" s="3">
        <f t="shared" si="6"/>
        <v>0</v>
      </c>
      <c r="Q80" s="3">
        <f t="shared" si="7"/>
        <v>8</v>
      </c>
      <c r="R80" s="3">
        <f t="shared" si="8"/>
        <v>1084.8999999999999</v>
      </c>
      <c r="S80" s="24" t="s">
        <v>1334</v>
      </c>
      <c r="T80" s="24" t="s">
        <v>1334</v>
      </c>
      <c r="U80" s="3"/>
      <c r="V80" s="25" t="s">
        <v>7761</v>
      </c>
      <c r="W80" s="25">
        <v>20517252558</v>
      </c>
      <c r="X80" s="25" t="str">
        <f>IFERROR(VLOOKUP(C_Ope_005[[#This Row],[nota_2]],Clientes_Proveedores[[Ruc / Dni]:[Razon Social]],2,0),"")</f>
        <v>COVISUR S.A.</v>
      </c>
      <c r="Y80" s="25"/>
      <c r="Z80" s="103"/>
      <c r="AA80" s="3" t="str">
        <f>IF(C_Ope_005[[#This Row],[fecha]]&gt;0,TEXT(C_Ope_005[[#This Row],[fecha]],"mmmm"),0)</f>
        <v>Febrero</v>
      </c>
      <c r="AB80" s="49"/>
    </row>
    <row r="81" spans="1:28" ht="24" x14ac:dyDescent="0.3">
      <c r="A81" s="2">
        <f>IF(C_Ope_005[[#This Row],[tipo_r]]="R",COUNTIFS($C$1:$C80,"R")+1,"")</f>
        <v>80</v>
      </c>
      <c r="B81" s="19" t="str">
        <f t="shared" si="9"/>
        <v>C_Ope_005</v>
      </c>
      <c r="C81" s="3" t="s">
        <v>1330</v>
      </c>
      <c r="D81" s="14">
        <v>45691</v>
      </c>
      <c r="E81" s="5" t="s">
        <v>8535</v>
      </c>
      <c r="F81" s="5" t="s">
        <v>1336</v>
      </c>
      <c r="G81" s="6" t="s">
        <v>978</v>
      </c>
      <c r="H81" s="6" t="s">
        <v>68</v>
      </c>
      <c r="I81" s="6" t="s">
        <v>6380</v>
      </c>
      <c r="J81" s="6">
        <v>366144</v>
      </c>
      <c r="K81" s="7" t="s">
        <v>8582</v>
      </c>
      <c r="L81" s="8">
        <v>22868</v>
      </c>
      <c r="M81" s="8" t="str">
        <f t="shared" si="10"/>
        <v>PEN</v>
      </c>
      <c r="N81" s="13"/>
      <c r="O81" s="13">
        <v>8</v>
      </c>
      <c r="P81" s="3">
        <f t="shared" si="6"/>
        <v>0</v>
      </c>
      <c r="Q81" s="3">
        <f t="shared" si="7"/>
        <v>8</v>
      </c>
      <c r="R81" s="3">
        <f t="shared" si="8"/>
        <v>1076.8999999999999</v>
      </c>
      <c r="S81" s="24" t="s">
        <v>1334</v>
      </c>
      <c r="T81" s="24" t="s">
        <v>1334</v>
      </c>
      <c r="U81" s="3"/>
      <c r="V81" s="25" t="s">
        <v>7761</v>
      </c>
      <c r="W81" s="25">
        <v>20517252558</v>
      </c>
      <c r="X81" s="25" t="str">
        <f>IFERROR(VLOOKUP(C_Ope_005[[#This Row],[nota_2]],Clientes_Proveedores[[Ruc / Dni]:[Razon Social]],2,0),"")</f>
        <v>COVISUR S.A.</v>
      </c>
      <c r="Y81" s="25"/>
      <c r="Z81" s="103"/>
      <c r="AA81" s="3" t="str">
        <f>IF(C_Ope_005[[#This Row],[fecha]]&gt;0,TEXT(C_Ope_005[[#This Row],[fecha]],"mmmm"),0)</f>
        <v>Febrero</v>
      </c>
      <c r="AB81" s="49"/>
    </row>
    <row r="82" spans="1:28" ht="24" x14ac:dyDescent="0.3">
      <c r="A82" s="2">
        <f>IF(C_Ope_005[[#This Row],[tipo_r]]="R",COUNTIFS($C$1:$C81,"R")+1,"")</f>
        <v>81</v>
      </c>
      <c r="B82" s="19" t="str">
        <f t="shared" si="9"/>
        <v>C_Ope_005</v>
      </c>
      <c r="C82" s="3" t="s">
        <v>1330</v>
      </c>
      <c r="D82" s="14">
        <v>45693</v>
      </c>
      <c r="E82" s="5" t="s">
        <v>8535</v>
      </c>
      <c r="F82" s="5" t="s">
        <v>1336</v>
      </c>
      <c r="G82" s="6" t="s">
        <v>978</v>
      </c>
      <c r="H82" s="6" t="s">
        <v>68</v>
      </c>
      <c r="I82" s="6" t="s">
        <v>6204</v>
      </c>
      <c r="J82" s="6">
        <v>1649421</v>
      </c>
      <c r="K82" s="7" t="s">
        <v>7814</v>
      </c>
      <c r="L82" s="8">
        <v>22895</v>
      </c>
      <c r="M82" s="8" t="str">
        <f t="shared" si="10"/>
        <v>PEN</v>
      </c>
      <c r="N82" s="13"/>
      <c r="O82" s="13">
        <v>8</v>
      </c>
      <c r="P82" s="3">
        <f t="shared" si="6"/>
        <v>0</v>
      </c>
      <c r="Q82" s="3">
        <f t="shared" si="7"/>
        <v>8</v>
      </c>
      <c r="R82" s="3">
        <f t="shared" si="8"/>
        <v>1068.8999999999999</v>
      </c>
      <c r="S82" s="24" t="s">
        <v>1334</v>
      </c>
      <c r="T82" s="24" t="s">
        <v>1334</v>
      </c>
      <c r="U82" s="3"/>
      <c r="V82" s="25" t="s">
        <v>7761</v>
      </c>
      <c r="W82" s="25">
        <v>20517252558</v>
      </c>
      <c r="X82" s="25" t="str">
        <f>IFERROR(VLOOKUP(C_Ope_005[[#This Row],[nota_2]],Clientes_Proveedores[[Ruc / Dni]:[Razon Social]],2,0),"")</f>
        <v>COVISUR S.A.</v>
      </c>
      <c r="Y82" s="25"/>
      <c r="Z82" s="103"/>
      <c r="AA82" s="3" t="str">
        <f>IF(C_Ope_005[[#This Row],[fecha]]&gt;0,TEXT(C_Ope_005[[#This Row],[fecha]],"mmmm"),0)</f>
        <v>Febrero</v>
      </c>
      <c r="AB82" s="49"/>
    </row>
    <row r="83" spans="1:28" ht="24" x14ac:dyDescent="0.3">
      <c r="A83" s="2">
        <f>IF(C_Ope_005[[#This Row],[tipo_r]]="R",COUNTIFS($C$1:$C82,"R")+1,"")</f>
        <v>82</v>
      </c>
      <c r="B83" s="19" t="str">
        <f t="shared" si="9"/>
        <v>C_Ope_005</v>
      </c>
      <c r="C83" s="3" t="s">
        <v>1330</v>
      </c>
      <c r="D83" s="14">
        <v>45694</v>
      </c>
      <c r="E83" s="5" t="s">
        <v>8535</v>
      </c>
      <c r="F83" s="5" t="s">
        <v>1336</v>
      </c>
      <c r="G83" s="6" t="s">
        <v>978</v>
      </c>
      <c r="H83" s="6" t="s">
        <v>68</v>
      </c>
      <c r="I83" s="6" t="s">
        <v>6204</v>
      </c>
      <c r="J83" s="6">
        <v>1650152</v>
      </c>
      <c r="K83" s="7" t="s">
        <v>8583</v>
      </c>
      <c r="L83" s="8">
        <v>22947</v>
      </c>
      <c r="M83" s="8" t="str">
        <f t="shared" si="10"/>
        <v>PEN</v>
      </c>
      <c r="N83" s="13"/>
      <c r="O83" s="13">
        <v>8</v>
      </c>
      <c r="P83" s="3">
        <f t="shared" si="6"/>
        <v>0</v>
      </c>
      <c r="Q83" s="3">
        <f t="shared" si="7"/>
        <v>8</v>
      </c>
      <c r="R83" s="3">
        <f t="shared" si="8"/>
        <v>1060.8999999999999</v>
      </c>
      <c r="S83" s="24" t="s">
        <v>1334</v>
      </c>
      <c r="T83" s="24" t="s">
        <v>1334</v>
      </c>
      <c r="U83" s="3"/>
      <c r="V83" s="25" t="s">
        <v>7761</v>
      </c>
      <c r="W83" s="25">
        <v>20517252558</v>
      </c>
      <c r="X83" s="25" t="str">
        <f>IFERROR(VLOOKUP(C_Ope_005[[#This Row],[nota_2]],Clientes_Proveedores[[Ruc / Dni]:[Razon Social]],2,0),"")</f>
        <v>COVISUR S.A.</v>
      </c>
      <c r="Y83" s="25"/>
      <c r="Z83" s="103"/>
      <c r="AA83" s="3" t="str">
        <f>IF(C_Ope_005[[#This Row],[fecha]]&gt;0,TEXT(C_Ope_005[[#This Row],[fecha]],"mmmm"),0)</f>
        <v>Febrero</v>
      </c>
      <c r="AB83" s="49"/>
    </row>
    <row r="84" spans="1:28" ht="36" x14ac:dyDescent="0.3">
      <c r="A84" s="2">
        <f>IF(C_Ope_005[[#This Row],[tipo_r]]="R",COUNTIFS($C$1:$C83,"R")+1,"")</f>
        <v>83</v>
      </c>
      <c r="B84" s="19" t="str">
        <f t="shared" si="9"/>
        <v>C_Ope_005</v>
      </c>
      <c r="C84" s="3" t="s">
        <v>1330</v>
      </c>
      <c r="D84" s="14">
        <v>45694</v>
      </c>
      <c r="E84" s="5" t="s">
        <v>8535</v>
      </c>
      <c r="F84" s="5" t="s">
        <v>1336</v>
      </c>
      <c r="G84" s="6" t="s">
        <v>1006</v>
      </c>
      <c r="H84" s="6" t="s">
        <v>68</v>
      </c>
      <c r="I84" s="6" t="s">
        <v>7901</v>
      </c>
      <c r="J84" s="6">
        <v>716400</v>
      </c>
      <c r="K84" s="7" t="s">
        <v>8584</v>
      </c>
      <c r="L84" s="8">
        <v>22948</v>
      </c>
      <c r="M84" s="8" t="str">
        <f t="shared" si="10"/>
        <v>PEN</v>
      </c>
      <c r="N84" s="13"/>
      <c r="O84" s="13">
        <v>15.7</v>
      </c>
      <c r="P84" s="3">
        <f t="shared" si="6"/>
        <v>0</v>
      </c>
      <c r="Q84" s="3">
        <f t="shared" si="7"/>
        <v>15.7</v>
      </c>
      <c r="R84" s="3">
        <f t="shared" si="8"/>
        <v>1045.1999999999998</v>
      </c>
      <c r="S84" s="24" t="s">
        <v>1334</v>
      </c>
      <c r="T84" s="24" t="s">
        <v>1334</v>
      </c>
      <c r="U84" s="3"/>
      <c r="V84" s="25" t="s">
        <v>7761</v>
      </c>
      <c r="W84" s="25">
        <v>20550033519</v>
      </c>
      <c r="X84" s="25" t="str">
        <f>IFERROR(VLOOKUP(C_Ope_005[[#This Row],[nota_2]],Clientes_Proveedores[[Ruc / Dni]:[Razon Social]],2,0),"")</f>
        <v>CONCESIONARIA PERUANA DE VIAS-COVINCA S.A.</v>
      </c>
      <c r="Y84" s="25"/>
      <c r="Z84" s="103"/>
      <c r="AA84" s="3" t="str">
        <f>IF(C_Ope_005[[#This Row],[fecha]]&gt;0,TEXT(C_Ope_005[[#This Row],[fecha]],"mmmm"),0)</f>
        <v>Febrero</v>
      </c>
      <c r="AB84" s="49"/>
    </row>
    <row r="85" spans="1:28" ht="36" x14ac:dyDescent="0.3">
      <c r="A85" s="2">
        <f>IF(C_Ope_005[[#This Row],[tipo_r]]="R",COUNTIFS($C$1:$C84,"R")+1,"")</f>
        <v>84</v>
      </c>
      <c r="B85" s="19" t="str">
        <f t="shared" si="9"/>
        <v>C_Ope_005</v>
      </c>
      <c r="C85" s="3" t="s">
        <v>1330</v>
      </c>
      <c r="D85" s="14">
        <v>45694</v>
      </c>
      <c r="E85" s="5" t="s">
        <v>8535</v>
      </c>
      <c r="F85" s="5" t="s">
        <v>1336</v>
      </c>
      <c r="G85" s="6" t="s">
        <v>1006</v>
      </c>
      <c r="H85" s="6" t="s">
        <v>68</v>
      </c>
      <c r="I85" s="6" t="s">
        <v>1397</v>
      </c>
      <c r="J85" s="6">
        <v>856467</v>
      </c>
      <c r="K85" s="7" t="s">
        <v>8585</v>
      </c>
      <c r="L85" s="8">
        <v>22949</v>
      </c>
      <c r="M85" s="8" t="str">
        <f t="shared" si="10"/>
        <v>PEN</v>
      </c>
      <c r="N85" s="13"/>
      <c r="O85" s="13">
        <v>15.7</v>
      </c>
      <c r="P85" s="3">
        <f t="shared" si="6"/>
        <v>0</v>
      </c>
      <c r="Q85" s="3">
        <f t="shared" si="7"/>
        <v>15.7</v>
      </c>
      <c r="R85" s="3">
        <f t="shared" si="8"/>
        <v>1029.4999999999998</v>
      </c>
      <c r="S85" s="24" t="s">
        <v>1334</v>
      </c>
      <c r="T85" s="24" t="s">
        <v>1334</v>
      </c>
      <c r="U85" s="3"/>
      <c r="V85" s="25" t="s">
        <v>7761</v>
      </c>
      <c r="W85" s="25">
        <v>20550033519</v>
      </c>
      <c r="X85" s="25" t="str">
        <f>IFERROR(VLOOKUP(C_Ope_005[[#This Row],[nota_2]],Clientes_Proveedores[[Ruc / Dni]:[Razon Social]],2,0),"")</f>
        <v>CONCESIONARIA PERUANA DE VIAS-COVINCA S.A.</v>
      </c>
      <c r="Y85" s="25"/>
      <c r="Z85" s="103"/>
      <c r="AA85" s="3" t="str">
        <f>IF(C_Ope_005[[#This Row],[fecha]]&gt;0,TEXT(C_Ope_005[[#This Row],[fecha]],"mmmm"),0)</f>
        <v>Febrero</v>
      </c>
      <c r="AB85" s="49"/>
    </row>
    <row r="86" spans="1:28" ht="36" x14ac:dyDescent="0.3">
      <c r="A86" s="2">
        <f>IF(C_Ope_005[[#This Row],[tipo_r]]="R",COUNTIFS($C$1:$C85,"R")+1,"")</f>
        <v>85</v>
      </c>
      <c r="B86" s="19" t="str">
        <f t="shared" si="9"/>
        <v>C_Ope_005</v>
      </c>
      <c r="C86" s="3" t="s">
        <v>1330</v>
      </c>
      <c r="D86" s="14">
        <v>45694</v>
      </c>
      <c r="E86" s="5" t="s">
        <v>8535</v>
      </c>
      <c r="F86" s="5" t="s">
        <v>1336</v>
      </c>
      <c r="G86" s="6" t="s">
        <v>1006</v>
      </c>
      <c r="H86" s="6" t="s">
        <v>68</v>
      </c>
      <c r="I86" s="6" t="s">
        <v>6378</v>
      </c>
      <c r="J86" s="6">
        <v>670956</v>
      </c>
      <c r="K86" s="7" t="s">
        <v>8586</v>
      </c>
      <c r="L86" s="8">
        <v>22950</v>
      </c>
      <c r="M86" s="8" t="str">
        <f t="shared" si="10"/>
        <v>PEN</v>
      </c>
      <c r="N86" s="13"/>
      <c r="O86" s="13">
        <v>15.7</v>
      </c>
      <c r="P86" s="3">
        <f t="shared" si="6"/>
        <v>0</v>
      </c>
      <c r="Q86" s="3">
        <f t="shared" si="7"/>
        <v>15.7</v>
      </c>
      <c r="R86" s="3">
        <f t="shared" si="8"/>
        <v>1013.7999999999997</v>
      </c>
      <c r="S86" s="24" t="s">
        <v>1334</v>
      </c>
      <c r="T86" s="24" t="s">
        <v>1334</v>
      </c>
      <c r="U86" s="3"/>
      <c r="V86" s="25" t="s">
        <v>7761</v>
      </c>
      <c r="W86" s="25">
        <v>20550033519</v>
      </c>
      <c r="X86" s="25" t="str">
        <f>IFERROR(VLOOKUP(C_Ope_005[[#This Row],[nota_2]],Clientes_Proveedores[[Ruc / Dni]:[Razon Social]],2,0),"")</f>
        <v>CONCESIONARIA PERUANA DE VIAS-COVINCA S.A.</v>
      </c>
      <c r="Y86" s="25"/>
      <c r="Z86" s="103"/>
      <c r="AA86" s="3" t="str">
        <f>IF(C_Ope_005[[#This Row],[fecha]]&gt;0,TEXT(C_Ope_005[[#This Row],[fecha]],"mmmm"),0)</f>
        <v>Febrero</v>
      </c>
      <c r="AB86" s="49"/>
    </row>
    <row r="87" spans="1:28" ht="36" x14ac:dyDescent="0.3">
      <c r="A87" s="2">
        <f>IF(C_Ope_005[[#This Row],[tipo_r]]="R",COUNTIFS($C$1:$C86,"R")+1,"")</f>
        <v>86</v>
      </c>
      <c r="B87" s="19" t="str">
        <f t="shared" si="9"/>
        <v>C_Ope_005</v>
      </c>
      <c r="C87" s="3" t="s">
        <v>1330</v>
      </c>
      <c r="D87" s="14">
        <v>45691</v>
      </c>
      <c r="E87" s="5" t="s">
        <v>8535</v>
      </c>
      <c r="F87" s="5" t="s">
        <v>1336</v>
      </c>
      <c r="G87" s="6" t="s">
        <v>1029</v>
      </c>
      <c r="H87" s="6" t="s">
        <v>68</v>
      </c>
      <c r="I87" s="6" t="s">
        <v>1374</v>
      </c>
      <c r="J87" s="6">
        <v>16763</v>
      </c>
      <c r="K87" s="7" t="s">
        <v>8587</v>
      </c>
      <c r="L87" s="8">
        <v>22869</v>
      </c>
      <c r="M87" s="8" t="str">
        <f t="shared" si="10"/>
        <v>PEN</v>
      </c>
      <c r="N87" s="13"/>
      <c r="O87" s="13">
        <v>11</v>
      </c>
      <c r="P87" s="3">
        <f t="shared" si="6"/>
        <v>0</v>
      </c>
      <c r="Q87" s="3">
        <f t="shared" si="7"/>
        <v>11</v>
      </c>
      <c r="R87" s="3">
        <f t="shared" si="8"/>
        <v>1002.7999999999997</v>
      </c>
      <c r="S87" s="24" t="s">
        <v>1334</v>
      </c>
      <c r="T87" s="24" t="s">
        <v>1334</v>
      </c>
      <c r="U87" s="3"/>
      <c r="V87" s="25" t="s">
        <v>7761</v>
      </c>
      <c r="W87" s="25">
        <v>20454058187</v>
      </c>
      <c r="X87" s="25" t="str">
        <f>IFERROR(VLOOKUP(C_Ope_005[[#This Row],[nota_2]],Clientes_Proveedores[[Ruc / Dni]:[Razon Social]],2,0),"")</f>
        <v>ZONA ESPECIAL DE DESARROLLO ZED MATARANI</v>
      </c>
      <c r="Y87" s="25"/>
      <c r="Z87" s="103"/>
      <c r="AA87" s="3" t="str">
        <f>IF(C_Ope_005[[#This Row],[fecha]]&gt;0,TEXT(C_Ope_005[[#This Row],[fecha]],"mmmm"),0)</f>
        <v>Febrero</v>
      </c>
      <c r="AB87" s="49"/>
    </row>
    <row r="88" spans="1:28" x14ac:dyDescent="0.3">
      <c r="A88" s="2">
        <f>IF(C_Ope_005[[#This Row],[tipo_r]]="R",COUNTIFS($C$1:$C87,"R")+1,"")</f>
        <v>87</v>
      </c>
      <c r="B88" s="19" t="str">
        <f t="shared" si="9"/>
        <v>C_Ope_005</v>
      </c>
      <c r="C88" s="3" t="s">
        <v>1330</v>
      </c>
      <c r="D88" s="14">
        <v>45692</v>
      </c>
      <c r="E88" s="5" t="s">
        <v>8535</v>
      </c>
      <c r="F88" s="5" t="s">
        <v>1336</v>
      </c>
      <c r="G88" s="6" t="s">
        <v>1043</v>
      </c>
      <c r="H88" s="6" t="s">
        <v>68</v>
      </c>
      <c r="I88" s="6" t="s">
        <v>1390</v>
      </c>
      <c r="J88" s="6">
        <v>11746</v>
      </c>
      <c r="K88" s="7" t="s">
        <v>8588</v>
      </c>
      <c r="L88" s="8">
        <v>22872</v>
      </c>
      <c r="M88" s="8" t="str">
        <f t="shared" si="10"/>
        <v>PEN</v>
      </c>
      <c r="N88" s="13"/>
      <c r="O88" s="13">
        <v>10</v>
      </c>
      <c r="P88" s="3">
        <f t="shared" si="6"/>
        <v>0</v>
      </c>
      <c r="Q88" s="3">
        <f t="shared" si="7"/>
        <v>10</v>
      </c>
      <c r="R88" s="3">
        <f t="shared" si="8"/>
        <v>992.79999999999973</v>
      </c>
      <c r="S88" s="24" t="s">
        <v>1334</v>
      </c>
      <c r="T88" s="24" t="s">
        <v>1334</v>
      </c>
      <c r="U88" s="3"/>
      <c r="V88" s="25" t="s">
        <v>7761</v>
      </c>
      <c r="W88" s="25">
        <v>20606567856</v>
      </c>
      <c r="X88" s="25" t="str">
        <f>IFERROR(VLOOKUP(C_Ope_005[[#This Row],[nota_2]],Clientes_Proveedores[[Ruc / Dni]:[Razon Social]],2,0),"")</f>
        <v>R.E.T. &amp; SAN S.R.L.</v>
      </c>
      <c r="Y88" s="25"/>
      <c r="Z88" s="103"/>
      <c r="AA88" s="3" t="str">
        <f>IF(C_Ope_005[[#This Row],[fecha]]&gt;0,TEXT(C_Ope_005[[#This Row],[fecha]],"mmmm"),0)</f>
        <v>Febrero</v>
      </c>
      <c r="AB88" s="49"/>
    </row>
    <row r="89" spans="1:28" x14ac:dyDescent="0.3">
      <c r="A89" s="2">
        <f>IF(C_Ope_005[[#This Row],[tipo_r]]="R",COUNTIFS($C$1:$C88,"R")+1,"")</f>
        <v>88</v>
      </c>
      <c r="B89" s="19" t="str">
        <f t="shared" si="9"/>
        <v>C_Ope_005</v>
      </c>
      <c r="C89" s="3" t="s">
        <v>1330</v>
      </c>
      <c r="D89" s="14">
        <v>45692</v>
      </c>
      <c r="E89" s="5" t="s">
        <v>8535</v>
      </c>
      <c r="F89" s="5" t="s">
        <v>1336</v>
      </c>
      <c r="G89" s="6" t="s">
        <v>1148</v>
      </c>
      <c r="H89" s="6" t="s">
        <v>68</v>
      </c>
      <c r="I89" s="6" t="s">
        <v>6378</v>
      </c>
      <c r="J89" s="6">
        <v>5158</v>
      </c>
      <c r="K89" s="7" t="s">
        <v>8589</v>
      </c>
      <c r="L89" s="8">
        <v>22874</v>
      </c>
      <c r="M89" s="8" t="str">
        <f t="shared" si="10"/>
        <v>PEN</v>
      </c>
      <c r="N89" s="13"/>
      <c r="O89" s="13">
        <v>10</v>
      </c>
      <c r="P89" s="3">
        <f t="shared" si="6"/>
        <v>0</v>
      </c>
      <c r="Q89" s="3">
        <f t="shared" si="7"/>
        <v>10</v>
      </c>
      <c r="R89" s="3">
        <f t="shared" si="8"/>
        <v>982.79999999999973</v>
      </c>
      <c r="S89" s="24" t="s">
        <v>1334</v>
      </c>
      <c r="T89" s="24" t="s">
        <v>1334</v>
      </c>
      <c r="U89" s="3"/>
      <c r="V89" s="25" t="s">
        <v>7761</v>
      </c>
      <c r="W89" s="25">
        <v>20611633972</v>
      </c>
      <c r="X89" s="25" t="str">
        <f>IFERROR(VLOOKUP(C_Ope_005[[#This Row],[nota_2]],Clientes_Proveedores[[Ruc / Dni]:[Razon Social]],2,0),"")</f>
        <v>NOVAARECY E.I.R.L.</v>
      </c>
      <c r="Y89" s="25"/>
      <c r="Z89" s="103"/>
      <c r="AA89" s="3" t="str">
        <f>IF(C_Ope_005[[#This Row],[fecha]]&gt;0,TEXT(C_Ope_005[[#This Row],[fecha]],"mmmm"),0)</f>
        <v>Febrero</v>
      </c>
      <c r="AB89" s="49"/>
    </row>
    <row r="90" spans="1:28" x14ac:dyDescent="0.3">
      <c r="A90" s="2">
        <f>IF(C_Ope_005[[#This Row],[tipo_r]]="R",COUNTIFS($C$1:$C89,"R")+1,"")</f>
        <v>89</v>
      </c>
      <c r="B90" s="19" t="str">
        <f t="shared" si="9"/>
        <v>C_Ope_005</v>
      </c>
      <c r="C90" s="3" t="s">
        <v>1330</v>
      </c>
      <c r="D90" s="14">
        <v>45694</v>
      </c>
      <c r="E90" s="5" t="s">
        <v>8535</v>
      </c>
      <c r="F90" s="5" t="s">
        <v>1336</v>
      </c>
      <c r="G90" s="6"/>
      <c r="H90" s="6" t="s">
        <v>126</v>
      </c>
      <c r="I90" s="6"/>
      <c r="J90" s="6"/>
      <c r="K90" s="7" t="s">
        <v>8225</v>
      </c>
      <c r="L90" s="8">
        <v>22952</v>
      </c>
      <c r="M90" s="8" t="str">
        <f t="shared" si="10"/>
        <v>PEN</v>
      </c>
      <c r="N90" s="13"/>
      <c r="O90" s="13">
        <v>24</v>
      </c>
      <c r="P90" s="3">
        <f t="shared" si="6"/>
        <v>0</v>
      </c>
      <c r="Q90" s="3">
        <f t="shared" si="7"/>
        <v>24</v>
      </c>
      <c r="R90" s="3">
        <f t="shared" si="8"/>
        <v>958.79999999999973</v>
      </c>
      <c r="S90" s="24" t="s">
        <v>1334</v>
      </c>
      <c r="T90" s="24" t="s">
        <v>1334</v>
      </c>
      <c r="U90" s="3"/>
      <c r="V90" s="25" t="s">
        <v>7761</v>
      </c>
      <c r="W90" s="25"/>
      <c r="X90" s="25" t="str">
        <f>IFERROR(VLOOKUP(C_Ope_005[[#This Row],[nota_2]],Clientes_Proveedores[[Ruc / Dni]:[Razon Social]],2,0),"")</f>
        <v/>
      </c>
      <c r="Y90" s="25"/>
      <c r="Z90" s="103"/>
      <c r="AA90" s="3" t="str">
        <f>IF(C_Ope_005[[#This Row],[fecha]]&gt;0,TEXT(C_Ope_005[[#This Row],[fecha]],"mmmm"),0)</f>
        <v>Febrero</v>
      </c>
      <c r="AB90" s="49"/>
    </row>
    <row r="91" spans="1:28" x14ac:dyDescent="0.3">
      <c r="A91" s="2">
        <f>IF(C_Ope_005[[#This Row],[tipo_r]]="R",COUNTIFS($C$1:$C90,"R")+1,"")</f>
        <v>90</v>
      </c>
      <c r="B91" s="19" t="str">
        <f t="shared" si="9"/>
        <v>C_Ope_005</v>
      </c>
      <c r="C91" s="3" t="s">
        <v>1330</v>
      </c>
      <c r="D91" s="14">
        <v>45694</v>
      </c>
      <c r="E91" s="5" t="s">
        <v>8535</v>
      </c>
      <c r="F91" s="5" t="s">
        <v>1336</v>
      </c>
      <c r="G91" s="6"/>
      <c r="H91" s="6" t="s">
        <v>126</v>
      </c>
      <c r="I91" s="6"/>
      <c r="J91" s="6"/>
      <c r="K91" s="7" t="s">
        <v>8218</v>
      </c>
      <c r="L91" s="8">
        <v>22953</v>
      </c>
      <c r="M91" s="8" t="str">
        <f t="shared" si="10"/>
        <v>PEN</v>
      </c>
      <c r="N91" s="13"/>
      <c r="O91" s="13">
        <v>30</v>
      </c>
      <c r="P91" s="3">
        <f t="shared" si="6"/>
        <v>0</v>
      </c>
      <c r="Q91" s="3">
        <f t="shared" si="7"/>
        <v>30</v>
      </c>
      <c r="R91" s="3">
        <f t="shared" si="8"/>
        <v>928.79999999999973</v>
      </c>
      <c r="S91" s="24" t="s">
        <v>1334</v>
      </c>
      <c r="T91" s="24" t="s">
        <v>1334</v>
      </c>
      <c r="U91" s="3"/>
      <c r="V91" s="25" t="s">
        <v>7761</v>
      </c>
      <c r="W91" s="25"/>
      <c r="X91" s="25" t="str">
        <f>IFERROR(VLOOKUP(C_Ope_005[[#This Row],[nota_2]],Clientes_Proveedores[[Ruc / Dni]:[Razon Social]],2,0),"")</f>
        <v/>
      </c>
      <c r="Y91" s="25"/>
      <c r="Z91" s="103"/>
      <c r="AA91" s="3" t="str">
        <f>IF(C_Ope_005[[#This Row],[fecha]]&gt;0,TEXT(C_Ope_005[[#This Row],[fecha]],"mmmm"),0)</f>
        <v>Febrero</v>
      </c>
      <c r="AB91" s="49"/>
    </row>
    <row r="92" spans="1:28" x14ac:dyDescent="0.3">
      <c r="A92" s="2">
        <f>IF(C_Ope_005[[#This Row],[tipo_r]]="R",COUNTIFS($C$1:$C91,"R")+1,"")</f>
        <v>91</v>
      </c>
      <c r="B92" s="19" t="str">
        <f t="shared" si="9"/>
        <v>C_Ope_005</v>
      </c>
      <c r="C92" s="3" t="s">
        <v>1330</v>
      </c>
      <c r="D92" s="14">
        <v>45694</v>
      </c>
      <c r="E92" s="5" t="s">
        <v>8535</v>
      </c>
      <c r="F92" s="5" t="s">
        <v>1336</v>
      </c>
      <c r="G92" s="6"/>
      <c r="H92" s="6" t="s">
        <v>126</v>
      </c>
      <c r="I92" s="6"/>
      <c r="J92" s="6"/>
      <c r="K92" s="7" t="s">
        <v>8231</v>
      </c>
      <c r="L92" s="8">
        <v>22954</v>
      </c>
      <c r="M92" s="8" t="str">
        <f t="shared" si="10"/>
        <v>PEN</v>
      </c>
      <c r="N92" s="13"/>
      <c r="O92" s="13">
        <v>24</v>
      </c>
      <c r="P92" s="3">
        <f t="shared" si="6"/>
        <v>0</v>
      </c>
      <c r="Q92" s="3">
        <f t="shared" si="7"/>
        <v>24</v>
      </c>
      <c r="R92" s="3">
        <f t="shared" si="8"/>
        <v>904.79999999999973</v>
      </c>
      <c r="S92" s="24" t="s">
        <v>1334</v>
      </c>
      <c r="T92" s="24" t="s">
        <v>1334</v>
      </c>
      <c r="U92" s="3"/>
      <c r="V92" s="25" t="s">
        <v>7761</v>
      </c>
      <c r="W92" s="25"/>
      <c r="X92" s="25" t="str">
        <f>IFERROR(VLOOKUP(C_Ope_005[[#This Row],[nota_2]],Clientes_Proveedores[[Ruc / Dni]:[Razon Social]],2,0),"")</f>
        <v/>
      </c>
      <c r="Y92" s="25"/>
      <c r="Z92" s="103"/>
      <c r="AA92" s="3" t="str">
        <f>IF(C_Ope_005[[#This Row],[fecha]]&gt;0,TEXT(C_Ope_005[[#This Row],[fecha]],"mmmm"),0)</f>
        <v>Febrero</v>
      </c>
      <c r="AB92" s="49"/>
    </row>
    <row r="93" spans="1:28" x14ac:dyDescent="0.3">
      <c r="A93" s="2">
        <f>IF(C_Ope_005[[#This Row],[tipo_r]]="R",COUNTIFS($C$1:$C92,"R")+1,"")</f>
        <v>92</v>
      </c>
      <c r="B93" s="19" t="str">
        <f t="shared" si="9"/>
        <v>C_Ope_005</v>
      </c>
      <c r="C93" s="3" t="s">
        <v>1330</v>
      </c>
      <c r="D93" s="14">
        <v>45694</v>
      </c>
      <c r="E93" s="5" t="s">
        <v>8535</v>
      </c>
      <c r="F93" s="5" t="s">
        <v>1336</v>
      </c>
      <c r="G93" s="6"/>
      <c r="H93" s="6" t="s">
        <v>126</v>
      </c>
      <c r="I93" s="6"/>
      <c r="J93" s="6"/>
      <c r="K93" s="7" t="s">
        <v>8590</v>
      </c>
      <c r="L93" s="8">
        <v>22955</v>
      </c>
      <c r="M93" s="8" t="str">
        <f t="shared" si="10"/>
        <v>PEN</v>
      </c>
      <c r="N93" s="13"/>
      <c r="O93" s="13">
        <v>100</v>
      </c>
      <c r="P93" s="3">
        <f t="shared" si="6"/>
        <v>0</v>
      </c>
      <c r="Q93" s="3">
        <f t="shared" si="7"/>
        <v>100</v>
      </c>
      <c r="R93" s="3">
        <f t="shared" si="8"/>
        <v>804.79999999999973</v>
      </c>
      <c r="S93" s="24" t="s">
        <v>1334</v>
      </c>
      <c r="T93" s="24" t="s">
        <v>1334</v>
      </c>
      <c r="U93" s="3"/>
      <c r="V93" s="25" t="s">
        <v>7761</v>
      </c>
      <c r="W93" s="25"/>
      <c r="X93" s="25" t="str">
        <f>IFERROR(VLOOKUP(C_Ope_005[[#This Row],[nota_2]],Clientes_Proveedores[[Ruc / Dni]:[Razon Social]],2,0),"")</f>
        <v/>
      </c>
      <c r="Y93" s="25"/>
      <c r="Z93" s="103"/>
      <c r="AA93" s="3" t="str">
        <f>IF(C_Ope_005[[#This Row],[fecha]]&gt;0,TEXT(C_Ope_005[[#This Row],[fecha]],"mmmm"),0)</f>
        <v>Febrero</v>
      </c>
      <c r="AB93" s="49"/>
    </row>
    <row r="94" spans="1:28" x14ac:dyDescent="0.3">
      <c r="A94" s="2">
        <f>IF(C_Ope_005[[#This Row],[tipo_r]]="R",COUNTIFS($C$1:$C93,"R")+1,"")</f>
        <v>93</v>
      </c>
      <c r="B94" s="19" t="str">
        <f t="shared" si="9"/>
        <v>C_Ope_005</v>
      </c>
      <c r="C94" s="3" t="s">
        <v>1330</v>
      </c>
      <c r="D94" s="14">
        <v>45694</v>
      </c>
      <c r="E94" s="5" t="s">
        <v>8535</v>
      </c>
      <c r="F94" s="5" t="s">
        <v>1336</v>
      </c>
      <c r="G94" s="6"/>
      <c r="H94" s="6" t="s">
        <v>126</v>
      </c>
      <c r="I94" s="6"/>
      <c r="J94" s="6"/>
      <c r="K94" s="7" t="s">
        <v>8591</v>
      </c>
      <c r="L94" s="8">
        <v>22956</v>
      </c>
      <c r="M94" s="8" t="str">
        <f t="shared" si="10"/>
        <v>PEN</v>
      </c>
      <c r="N94" s="13"/>
      <c r="O94" s="13">
        <v>15</v>
      </c>
      <c r="P94" s="3">
        <f t="shared" si="6"/>
        <v>0</v>
      </c>
      <c r="Q94" s="3">
        <f t="shared" si="7"/>
        <v>15</v>
      </c>
      <c r="R94" s="3">
        <f t="shared" si="8"/>
        <v>789.79999999999973</v>
      </c>
      <c r="S94" s="24" t="s">
        <v>1334</v>
      </c>
      <c r="T94" s="24" t="s">
        <v>1334</v>
      </c>
      <c r="U94" s="3"/>
      <c r="V94" s="25" t="s">
        <v>7761</v>
      </c>
      <c r="W94" s="25"/>
      <c r="X94" s="25" t="str">
        <f>IFERROR(VLOOKUP(C_Ope_005[[#This Row],[nota_2]],Clientes_Proveedores[[Ruc / Dni]:[Razon Social]],2,0),"")</f>
        <v/>
      </c>
      <c r="Y94" s="25"/>
      <c r="Z94" s="103"/>
      <c r="AA94" s="3" t="str">
        <f>IF(C_Ope_005[[#This Row],[fecha]]&gt;0,TEXT(C_Ope_005[[#This Row],[fecha]],"mmmm"),0)</f>
        <v>Febrero</v>
      </c>
      <c r="AB94" s="49"/>
    </row>
    <row r="95" spans="1:28" x14ac:dyDescent="0.3">
      <c r="A95" s="2">
        <f>IF(C_Ope_005[[#This Row],[tipo_r]]="R",COUNTIFS($C$1:$C94,"R")+1,"")</f>
        <v>94</v>
      </c>
      <c r="B95" s="19" t="str">
        <f t="shared" si="9"/>
        <v>C_Ope_005</v>
      </c>
      <c r="C95" s="3" t="s">
        <v>1330</v>
      </c>
      <c r="D95" s="14">
        <v>45695</v>
      </c>
      <c r="E95" s="5" t="s">
        <v>8535</v>
      </c>
      <c r="F95" s="5" t="s">
        <v>1336</v>
      </c>
      <c r="G95" s="6"/>
      <c r="H95" s="6" t="s">
        <v>126</v>
      </c>
      <c r="I95" s="6"/>
      <c r="J95" s="6"/>
      <c r="K95" s="7" t="s">
        <v>8225</v>
      </c>
      <c r="L95" s="8">
        <v>22957</v>
      </c>
      <c r="M95" s="8" t="str">
        <f t="shared" si="10"/>
        <v>PEN</v>
      </c>
      <c r="N95" s="13"/>
      <c r="O95" s="13">
        <v>24</v>
      </c>
      <c r="P95" s="3">
        <f t="shared" si="6"/>
        <v>0</v>
      </c>
      <c r="Q95" s="3">
        <f t="shared" si="7"/>
        <v>24</v>
      </c>
      <c r="R95" s="3">
        <f t="shared" si="8"/>
        <v>765.79999999999973</v>
      </c>
      <c r="S95" s="24" t="s">
        <v>1334</v>
      </c>
      <c r="T95" s="24" t="s">
        <v>1334</v>
      </c>
      <c r="U95" s="3"/>
      <c r="V95" s="25" t="s">
        <v>7761</v>
      </c>
      <c r="W95" s="25"/>
      <c r="X95" s="25" t="str">
        <f>IFERROR(VLOOKUP(C_Ope_005[[#This Row],[nota_2]],Clientes_Proveedores[[Ruc / Dni]:[Razon Social]],2,0),"")</f>
        <v/>
      </c>
      <c r="Y95" s="25"/>
      <c r="Z95" s="103"/>
      <c r="AA95" s="3" t="str">
        <f>IF(C_Ope_005[[#This Row],[fecha]]&gt;0,TEXT(C_Ope_005[[#This Row],[fecha]],"mmmm"),0)</f>
        <v>Febrero</v>
      </c>
      <c r="AB95" s="49"/>
    </row>
    <row r="96" spans="1:28" ht="24" x14ac:dyDescent="0.3">
      <c r="A96" s="2">
        <f>IF(C_Ope_005[[#This Row],[tipo_r]]="R",COUNTIFS($C$1:$C95,"R")+1,"")</f>
        <v>95</v>
      </c>
      <c r="B96" s="19" t="str">
        <f t="shared" si="9"/>
        <v>C_Ope_005</v>
      </c>
      <c r="C96" s="3" t="s">
        <v>1330</v>
      </c>
      <c r="D96" s="14">
        <v>45702</v>
      </c>
      <c r="E96" s="5" t="s">
        <v>8535</v>
      </c>
      <c r="F96" s="5" t="s">
        <v>1336</v>
      </c>
      <c r="G96" s="6" t="s">
        <v>1181</v>
      </c>
      <c r="H96" s="6" t="s">
        <v>68</v>
      </c>
      <c r="I96" s="6" t="s">
        <v>1374</v>
      </c>
      <c r="J96" s="6">
        <v>79510</v>
      </c>
      <c r="K96" s="7" t="s">
        <v>8592</v>
      </c>
      <c r="L96" s="8">
        <v>23052</v>
      </c>
      <c r="M96" s="8" t="str">
        <f t="shared" si="10"/>
        <v>PEN</v>
      </c>
      <c r="N96" s="13"/>
      <c r="O96" s="13">
        <v>200</v>
      </c>
      <c r="P96" s="3">
        <f t="shared" si="6"/>
        <v>0</v>
      </c>
      <c r="Q96" s="3">
        <f t="shared" si="7"/>
        <v>200</v>
      </c>
      <c r="R96" s="3">
        <f t="shared" si="8"/>
        <v>565.79999999999973</v>
      </c>
      <c r="S96" s="24" t="s">
        <v>1334</v>
      </c>
      <c r="T96" s="24" t="s">
        <v>1334</v>
      </c>
      <c r="U96" s="3"/>
      <c r="V96" s="25" t="s">
        <v>7761</v>
      </c>
      <c r="W96" s="25">
        <v>20602613225</v>
      </c>
      <c r="X96" s="25" t="str">
        <f>IFERROR(VLOOKUP(C_Ope_005[[#This Row],[nota_2]],Clientes_Proveedores[[Ruc / Dni]:[Razon Social]],2,0),"")</f>
        <v>GRIFO PETROMAR S.A.C.</v>
      </c>
      <c r="Y96" s="25"/>
      <c r="Z96" s="103"/>
      <c r="AA96" s="3" t="str">
        <f>IF(C_Ope_005[[#This Row],[fecha]]&gt;0,TEXT(C_Ope_005[[#This Row],[fecha]],"mmmm"),0)</f>
        <v>Febrero</v>
      </c>
      <c r="AB96" s="49"/>
    </row>
    <row r="97" spans="1:28" ht="36" x14ac:dyDescent="0.3">
      <c r="A97" s="2">
        <f>IF(C_Ope_005[[#This Row],[tipo_r]]="R",COUNTIFS($C$1:$C96,"R")+1,"")</f>
        <v>96</v>
      </c>
      <c r="B97" s="19" t="str">
        <f t="shared" si="9"/>
        <v>C_Ope_005</v>
      </c>
      <c r="C97" s="3" t="s">
        <v>1330</v>
      </c>
      <c r="D97" s="14">
        <v>45698</v>
      </c>
      <c r="E97" s="5" t="s">
        <v>8535</v>
      </c>
      <c r="F97" s="5" t="s">
        <v>1336</v>
      </c>
      <c r="G97" s="6"/>
      <c r="H97" s="6" t="s">
        <v>126</v>
      </c>
      <c r="I97" s="6"/>
      <c r="J97" s="6"/>
      <c r="K97" s="7" t="s">
        <v>8593</v>
      </c>
      <c r="L97" s="8">
        <v>22994</v>
      </c>
      <c r="M97" s="8" t="str">
        <f t="shared" si="10"/>
        <v>PEN</v>
      </c>
      <c r="N97" s="13"/>
      <c r="O97" s="13">
        <v>5</v>
      </c>
      <c r="P97" s="3">
        <f t="shared" si="6"/>
        <v>0</v>
      </c>
      <c r="Q97" s="3">
        <f t="shared" si="7"/>
        <v>5</v>
      </c>
      <c r="R97" s="3">
        <f t="shared" si="8"/>
        <v>560.79999999999973</v>
      </c>
      <c r="S97" s="24" t="s">
        <v>1334</v>
      </c>
      <c r="T97" s="24" t="s">
        <v>1334</v>
      </c>
      <c r="U97" s="3"/>
      <c r="V97" s="25" t="s">
        <v>7761</v>
      </c>
      <c r="W97" s="25"/>
      <c r="X97" s="25" t="str">
        <f>IFERROR(VLOOKUP(C_Ope_005[[#This Row],[nota_2]],Clientes_Proveedores[[Ruc / Dni]:[Razon Social]],2,0),"")</f>
        <v/>
      </c>
      <c r="Y97" s="25"/>
      <c r="Z97" s="103"/>
      <c r="AA97" s="3" t="str">
        <f>IF(C_Ope_005[[#This Row],[fecha]]&gt;0,TEXT(C_Ope_005[[#This Row],[fecha]],"mmmm"),0)</f>
        <v>Febrero</v>
      </c>
      <c r="AB97" s="49"/>
    </row>
    <row r="98" spans="1:28" ht="24" x14ac:dyDescent="0.3">
      <c r="A98" s="2">
        <f>IF(C_Ope_005[[#This Row],[tipo_r]]="R",COUNTIFS($C$1:$C97,"R")+1,"")</f>
        <v>97</v>
      </c>
      <c r="B98" s="19" t="str">
        <f t="shared" si="9"/>
        <v>C_Ope_005</v>
      </c>
      <c r="C98" s="3" t="s">
        <v>1330</v>
      </c>
      <c r="D98" s="14">
        <v>45699</v>
      </c>
      <c r="E98" s="5" t="s">
        <v>8535</v>
      </c>
      <c r="F98" s="5" t="s">
        <v>1336</v>
      </c>
      <c r="G98" s="6" t="s">
        <v>978</v>
      </c>
      <c r="H98" s="6" t="s">
        <v>68</v>
      </c>
      <c r="I98" s="6" t="s">
        <v>8594</v>
      </c>
      <c r="J98" s="6">
        <v>412217</v>
      </c>
      <c r="K98" s="7" t="s">
        <v>8595</v>
      </c>
      <c r="L98" s="8">
        <v>23002</v>
      </c>
      <c r="M98" s="8" t="str">
        <f t="shared" si="10"/>
        <v>PEN</v>
      </c>
      <c r="N98" s="13"/>
      <c r="O98" s="13">
        <v>7.7</v>
      </c>
      <c r="P98" s="3">
        <f t="shared" si="6"/>
        <v>0</v>
      </c>
      <c r="Q98" s="3">
        <f t="shared" si="7"/>
        <v>7.7</v>
      </c>
      <c r="R98" s="3">
        <f t="shared" si="8"/>
        <v>553.09999999999968</v>
      </c>
      <c r="S98" s="24" t="s">
        <v>1334</v>
      </c>
      <c r="T98" s="24" t="s">
        <v>1334</v>
      </c>
      <c r="U98" s="3"/>
      <c r="V98" s="25" t="s">
        <v>7761</v>
      </c>
      <c r="W98" s="25">
        <v>20517252558</v>
      </c>
      <c r="X98" s="25" t="str">
        <f>IFERROR(VLOOKUP(C_Ope_005[[#This Row],[nota_2]],Clientes_Proveedores[[Ruc / Dni]:[Razon Social]],2,0),"")</f>
        <v>COVISUR S.A.</v>
      </c>
      <c r="Y98" s="25"/>
      <c r="Z98" s="103"/>
      <c r="AA98" s="3" t="str">
        <f>IF(C_Ope_005[[#This Row],[fecha]]&gt;0,TEXT(C_Ope_005[[#This Row],[fecha]],"mmmm"),0)</f>
        <v>Febrero</v>
      </c>
      <c r="AB98" s="49"/>
    </row>
    <row r="99" spans="1:28" ht="24" x14ac:dyDescent="0.3">
      <c r="A99" s="2">
        <f>IF(C_Ope_005[[#This Row],[tipo_r]]="R",COUNTIFS($C$1:$C98,"R")+1,"")</f>
        <v>98</v>
      </c>
      <c r="B99" s="19" t="str">
        <f t="shared" si="9"/>
        <v>C_Ope_005</v>
      </c>
      <c r="C99" s="3" t="s">
        <v>1330</v>
      </c>
      <c r="D99" s="14">
        <v>45700</v>
      </c>
      <c r="E99" s="5" t="s">
        <v>8535</v>
      </c>
      <c r="F99" s="5" t="s">
        <v>1336</v>
      </c>
      <c r="G99" s="6" t="s">
        <v>1036</v>
      </c>
      <c r="H99" s="6" t="s">
        <v>68</v>
      </c>
      <c r="I99" s="6" t="s">
        <v>8554</v>
      </c>
      <c r="J99" s="6">
        <v>590093</v>
      </c>
      <c r="K99" s="7" t="s">
        <v>8596</v>
      </c>
      <c r="L99" s="8">
        <v>23027</v>
      </c>
      <c r="M99" s="8" t="str">
        <f t="shared" si="10"/>
        <v>PEN</v>
      </c>
      <c r="N99" s="13"/>
      <c r="O99" s="13">
        <v>7.7</v>
      </c>
      <c r="P99" s="3">
        <f t="shared" si="6"/>
        <v>0</v>
      </c>
      <c r="Q99" s="3">
        <f t="shared" si="7"/>
        <v>7.7</v>
      </c>
      <c r="R99" s="3">
        <f t="shared" si="8"/>
        <v>545.39999999999964</v>
      </c>
      <c r="S99" s="24" t="s">
        <v>1334</v>
      </c>
      <c r="T99" s="24" t="s">
        <v>1334</v>
      </c>
      <c r="U99" s="3"/>
      <c r="V99" s="25" t="s">
        <v>7761</v>
      </c>
      <c r="W99" s="25">
        <v>20517216241</v>
      </c>
      <c r="X99" s="25" t="str">
        <f>IFERROR(VLOOKUP(C_Ope_005[[#This Row],[nota_2]],Clientes_Proveedores[[Ruc / Dni]:[Razon Social]],2,0),"")</f>
        <v>CARRETERA ANDINA DEL SUR S.A.C.</v>
      </c>
      <c r="Y99" s="25"/>
      <c r="Z99" s="103"/>
      <c r="AA99" s="3" t="str">
        <f>IF(C_Ope_005[[#This Row],[fecha]]&gt;0,TEXT(C_Ope_005[[#This Row],[fecha]],"mmmm"),0)</f>
        <v>Febrero</v>
      </c>
      <c r="AB99" s="49"/>
    </row>
    <row r="100" spans="1:28" ht="24" x14ac:dyDescent="0.3">
      <c r="A100" s="2">
        <f>IF(C_Ope_005[[#This Row],[tipo_r]]="R",COUNTIFS($C$1:$C99,"R")+1,"")</f>
        <v>99</v>
      </c>
      <c r="B100" s="19" t="str">
        <f t="shared" si="9"/>
        <v>C_Ope_005</v>
      </c>
      <c r="C100" s="3" t="s">
        <v>1330</v>
      </c>
      <c r="D100" s="14">
        <v>45702</v>
      </c>
      <c r="E100" s="5" t="s">
        <v>8535</v>
      </c>
      <c r="F100" s="5" t="s">
        <v>1336</v>
      </c>
      <c r="G100" s="6" t="s">
        <v>1036</v>
      </c>
      <c r="H100" s="6" t="s">
        <v>68</v>
      </c>
      <c r="I100" s="6" t="s">
        <v>8556</v>
      </c>
      <c r="J100" s="6">
        <v>598365</v>
      </c>
      <c r="K100" s="7" t="s">
        <v>8596</v>
      </c>
      <c r="L100" s="8">
        <v>23053</v>
      </c>
      <c r="M100" s="8" t="str">
        <f t="shared" si="10"/>
        <v>PEN</v>
      </c>
      <c r="N100" s="13"/>
      <c r="O100" s="13">
        <v>7.7</v>
      </c>
      <c r="P100" s="3">
        <f t="shared" si="6"/>
        <v>0</v>
      </c>
      <c r="Q100" s="3">
        <f t="shared" si="7"/>
        <v>7.7</v>
      </c>
      <c r="R100" s="3">
        <f t="shared" si="8"/>
        <v>537.69999999999959</v>
      </c>
      <c r="S100" s="24" t="s">
        <v>1334</v>
      </c>
      <c r="T100" s="24" t="s">
        <v>1334</v>
      </c>
      <c r="U100" s="3"/>
      <c r="V100" s="25" t="s">
        <v>7761</v>
      </c>
      <c r="W100" s="25">
        <v>20517216241</v>
      </c>
      <c r="X100" s="25" t="str">
        <f>IFERROR(VLOOKUP(C_Ope_005[[#This Row],[nota_2]],Clientes_Proveedores[[Ruc / Dni]:[Razon Social]],2,0),"")</f>
        <v>CARRETERA ANDINA DEL SUR S.A.C.</v>
      </c>
      <c r="Y100" s="25"/>
      <c r="Z100" s="103"/>
      <c r="AA100" s="3" t="str">
        <f>IF(C_Ope_005[[#This Row],[fecha]]&gt;0,TEXT(C_Ope_005[[#This Row],[fecha]],"mmmm"),0)</f>
        <v>Febrero</v>
      </c>
      <c r="AB100" s="49"/>
    </row>
    <row r="101" spans="1:28" ht="24" x14ac:dyDescent="0.3">
      <c r="A101" s="2">
        <f>IF(C_Ope_005[[#This Row],[tipo_r]]="R",COUNTIFS($C$1:$C100,"R")+1,"")</f>
        <v>100</v>
      </c>
      <c r="B101" s="19" t="str">
        <f t="shared" si="9"/>
        <v>C_Ope_005</v>
      </c>
      <c r="C101" s="3" t="s">
        <v>1330</v>
      </c>
      <c r="D101" s="14">
        <v>45704</v>
      </c>
      <c r="E101" s="5" t="s">
        <v>8535</v>
      </c>
      <c r="F101" s="5" t="s">
        <v>1336</v>
      </c>
      <c r="G101" s="6" t="s">
        <v>978</v>
      </c>
      <c r="H101" s="6" t="s">
        <v>68</v>
      </c>
      <c r="I101" s="6" t="s">
        <v>8557</v>
      </c>
      <c r="J101" s="6">
        <v>1754898</v>
      </c>
      <c r="K101" s="7" t="s">
        <v>8595</v>
      </c>
      <c r="L101" s="8">
        <v>23062</v>
      </c>
      <c r="M101" s="8" t="str">
        <f t="shared" si="10"/>
        <v>PEN</v>
      </c>
      <c r="N101" s="13"/>
      <c r="O101" s="13">
        <v>7.7</v>
      </c>
      <c r="P101" s="3">
        <f t="shared" si="6"/>
        <v>0</v>
      </c>
      <c r="Q101" s="3">
        <f t="shared" si="7"/>
        <v>7.7</v>
      </c>
      <c r="R101" s="3">
        <f t="shared" si="8"/>
        <v>529.99999999999955</v>
      </c>
      <c r="S101" s="24" t="s">
        <v>1334</v>
      </c>
      <c r="T101" s="24" t="s">
        <v>1334</v>
      </c>
      <c r="U101" s="3"/>
      <c r="V101" s="25" t="s">
        <v>7761</v>
      </c>
      <c r="W101" s="25">
        <v>20517252558</v>
      </c>
      <c r="X101" s="25" t="str">
        <f>IFERROR(VLOOKUP(C_Ope_005[[#This Row],[nota_2]],Clientes_Proveedores[[Ruc / Dni]:[Razon Social]],2,0),"")</f>
        <v>COVISUR S.A.</v>
      </c>
      <c r="Y101" s="25"/>
      <c r="Z101" s="103"/>
      <c r="AA101" s="3" t="str">
        <f>IF(C_Ope_005[[#This Row],[fecha]]&gt;0,TEXT(C_Ope_005[[#This Row],[fecha]],"mmmm"),0)</f>
        <v>Febrero</v>
      </c>
      <c r="AB101" s="49"/>
    </row>
    <row r="102" spans="1:28" ht="36" x14ac:dyDescent="0.3">
      <c r="A102" s="2">
        <f>IF(C_Ope_005[[#This Row],[tipo_r]]="R",COUNTIFS($C$1:$C101,"R")+1,"")</f>
        <v>101</v>
      </c>
      <c r="B102" s="19" t="str">
        <f t="shared" si="9"/>
        <v>C_Ope_005</v>
      </c>
      <c r="C102" s="3" t="s">
        <v>1330</v>
      </c>
      <c r="D102" s="14">
        <v>45698</v>
      </c>
      <c r="E102" s="5" t="s">
        <v>8535</v>
      </c>
      <c r="F102" s="5" t="s">
        <v>1336</v>
      </c>
      <c r="G102" s="6" t="s">
        <v>682</v>
      </c>
      <c r="H102" s="6" t="s">
        <v>68</v>
      </c>
      <c r="I102" s="6" t="s">
        <v>1353</v>
      </c>
      <c r="J102" s="6">
        <v>15617</v>
      </c>
      <c r="K102" s="7" t="s">
        <v>8558</v>
      </c>
      <c r="L102" s="8">
        <v>22993</v>
      </c>
      <c r="M102" s="8" t="str">
        <f t="shared" si="10"/>
        <v>PEN</v>
      </c>
      <c r="N102" s="13"/>
      <c r="O102" s="13">
        <v>20</v>
      </c>
      <c r="P102" s="3">
        <f t="shared" si="6"/>
        <v>0</v>
      </c>
      <c r="Q102" s="3">
        <f t="shared" si="7"/>
        <v>20</v>
      </c>
      <c r="R102" s="3">
        <f t="shared" si="8"/>
        <v>509.99999999999955</v>
      </c>
      <c r="S102" s="24" t="s">
        <v>1334</v>
      </c>
      <c r="T102" s="24" t="s">
        <v>1334</v>
      </c>
      <c r="U102" s="3"/>
      <c r="V102" s="25" t="s">
        <v>7761</v>
      </c>
      <c r="W102" s="25">
        <v>20259858934</v>
      </c>
      <c r="X102" s="25" t="str">
        <f>IFERROR(VLOOKUP(C_Ope_005[[#This Row],[nota_2]],Clientes_Proveedores[[Ruc / Dni]:[Razon Social]],2,0),"")</f>
        <v>COMERCIALIZACION Y SERVICIOS EL EDEN S.A.C.</v>
      </c>
      <c r="Y102" s="25"/>
      <c r="Z102" s="103"/>
      <c r="AA102" s="3" t="str">
        <f>IF(C_Ope_005[[#This Row],[fecha]]&gt;0,TEXT(C_Ope_005[[#This Row],[fecha]],"mmmm"),0)</f>
        <v>Febrero</v>
      </c>
      <c r="AB102" s="49"/>
    </row>
    <row r="103" spans="1:28" x14ac:dyDescent="0.3">
      <c r="A103" s="2">
        <f>IF(C_Ope_005[[#This Row],[tipo_r]]="R",COUNTIFS($C$1:$C102,"R")+1,"")</f>
        <v>102</v>
      </c>
      <c r="B103" s="19" t="str">
        <f t="shared" si="9"/>
        <v>C_Ope_005</v>
      </c>
      <c r="C103" s="3" t="s">
        <v>1330</v>
      </c>
      <c r="D103" s="14">
        <v>45699</v>
      </c>
      <c r="E103" s="5" t="s">
        <v>8535</v>
      </c>
      <c r="F103" s="5" t="s">
        <v>1336</v>
      </c>
      <c r="G103" s="6" t="s">
        <v>1148</v>
      </c>
      <c r="H103" s="6" t="s">
        <v>68</v>
      </c>
      <c r="I103" s="6" t="s">
        <v>6378</v>
      </c>
      <c r="J103" s="6">
        <v>5215</v>
      </c>
      <c r="K103" s="7" t="s">
        <v>7774</v>
      </c>
      <c r="L103" s="8">
        <v>22991</v>
      </c>
      <c r="M103" s="8" t="str">
        <f t="shared" si="10"/>
        <v>PEN</v>
      </c>
      <c r="N103" s="13"/>
      <c r="O103" s="13">
        <v>10</v>
      </c>
      <c r="P103" s="3">
        <f t="shared" si="6"/>
        <v>0</v>
      </c>
      <c r="Q103" s="3">
        <f t="shared" si="7"/>
        <v>10</v>
      </c>
      <c r="R103" s="3">
        <f t="shared" si="8"/>
        <v>499.99999999999955</v>
      </c>
      <c r="S103" s="24" t="s">
        <v>1334</v>
      </c>
      <c r="T103" s="24" t="s">
        <v>1334</v>
      </c>
      <c r="U103" s="3"/>
      <c r="V103" s="25" t="s">
        <v>7761</v>
      </c>
      <c r="W103" s="25">
        <v>20611633972</v>
      </c>
      <c r="X103" s="25" t="str">
        <f>IFERROR(VLOOKUP(C_Ope_005[[#This Row],[nota_2]],Clientes_Proveedores[[Ruc / Dni]:[Razon Social]],2,0),"")</f>
        <v>NOVAARECY E.I.R.L.</v>
      </c>
      <c r="Y103" s="25"/>
      <c r="Z103" s="103"/>
      <c r="AA103" s="3" t="str">
        <f>IF(C_Ope_005[[#This Row],[fecha]]&gt;0,TEXT(C_Ope_005[[#This Row],[fecha]],"mmmm"),0)</f>
        <v>Febrero</v>
      </c>
      <c r="AB103" s="49"/>
    </row>
    <row r="104" spans="1:28" x14ac:dyDescent="0.3">
      <c r="A104" s="2">
        <f>IF(C_Ope_005[[#This Row],[tipo_r]]="R",COUNTIFS($C$1:$C103,"R")+1,"")</f>
        <v>103</v>
      </c>
      <c r="B104" s="19" t="str">
        <f t="shared" si="9"/>
        <v>C_Ope_005</v>
      </c>
      <c r="C104" s="3" t="s">
        <v>1330</v>
      </c>
      <c r="D104" s="14">
        <v>45699</v>
      </c>
      <c r="E104" s="5" t="s">
        <v>8535</v>
      </c>
      <c r="F104" s="5" t="s">
        <v>1336</v>
      </c>
      <c r="G104" s="6" t="s">
        <v>1148</v>
      </c>
      <c r="H104" s="6" t="s">
        <v>68</v>
      </c>
      <c r="I104" s="6" t="s">
        <v>6378</v>
      </c>
      <c r="J104" s="6">
        <v>5220</v>
      </c>
      <c r="K104" s="7" t="s">
        <v>8597</v>
      </c>
      <c r="L104" s="8">
        <v>22992</v>
      </c>
      <c r="M104" s="8" t="str">
        <f t="shared" si="10"/>
        <v>PEN</v>
      </c>
      <c r="N104" s="13"/>
      <c r="O104" s="13">
        <v>10</v>
      </c>
      <c r="P104" s="3">
        <f t="shared" si="6"/>
        <v>0</v>
      </c>
      <c r="Q104" s="3">
        <f t="shared" si="7"/>
        <v>10</v>
      </c>
      <c r="R104" s="3">
        <f t="shared" si="8"/>
        <v>489.99999999999955</v>
      </c>
      <c r="S104" s="24" t="s">
        <v>1334</v>
      </c>
      <c r="T104" s="24" t="s">
        <v>1334</v>
      </c>
      <c r="U104" s="3"/>
      <c r="V104" s="25" t="s">
        <v>7761</v>
      </c>
      <c r="W104" s="25">
        <v>20611633972</v>
      </c>
      <c r="X104" s="25" t="str">
        <f>IFERROR(VLOOKUP(C_Ope_005[[#This Row],[nota_2]],Clientes_Proveedores[[Ruc / Dni]:[Razon Social]],2,0),"")</f>
        <v>NOVAARECY E.I.R.L.</v>
      </c>
      <c r="Y104" s="25"/>
      <c r="Z104" s="103"/>
      <c r="AA104" s="3" t="str">
        <f>IF(C_Ope_005[[#This Row],[fecha]]&gt;0,TEXT(C_Ope_005[[#This Row],[fecha]],"mmmm"),0)</f>
        <v>Febrero</v>
      </c>
      <c r="AB104" s="49"/>
    </row>
    <row r="105" spans="1:28" x14ac:dyDescent="0.3">
      <c r="A105" s="2">
        <f>IF(C_Ope_005[[#This Row],[tipo_r]]="R",COUNTIFS($C$1:$C104,"R")+1,"")</f>
        <v>104</v>
      </c>
      <c r="B105" s="19" t="str">
        <f t="shared" si="9"/>
        <v>C_Ope_005</v>
      </c>
      <c r="C105" s="3" t="s">
        <v>1330</v>
      </c>
      <c r="D105" s="14">
        <v>45699</v>
      </c>
      <c r="E105" s="5" t="s">
        <v>8535</v>
      </c>
      <c r="F105" s="5" t="s">
        <v>1336</v>
      </c>
      <c r="G105" s="6"/>
      <c r="H105" s="6" t="s">
        <v>126</v>
      </c>
      <c r="I105" s="6"/>
      <c r="J105" s="6"/>
      <c r="K105" s="7" t="s">
        <v>8598</v>
      </c>
      <c r="L105" s="8">
        <v>23003</v>
      </c>
      <c r="M105" s="8" t="str">
        <f t="shared" si="10"/>
        <v>PEN</v>
      </c>
      <c r="N105" s="13"/>
      <c r="O105" s="13">
        <v>100</v>
      </c>
      <c r="P105" s="3">
        <f t="shared" si="6"/>
        <v>0</v>
      </c>
      <c r="Q105" s="3">
        <f t="shared" si="7"/>
        <v>100</v>
      </c>
      <c r="R105" s="3">
        <f t="shared" si="8"/>
        <v>389.99999999999955</v>
      </c>
      <c r="S105" s="24" t="s">
        <v>1334</v>
      </c>
      <c r="T105" s="24" t="s">
        <v>1334</v>
      </c>
      <c r="U105" s="3"/>
      <c r="V105" s="25" t="s">
        <v>7761</v>
      </c>
      <c r="W105" s="25"/>
      <c r="X105" s="25" t="str">
        <f>IFERROR(VLOOKUP(C_Ope_005[[#This Row],[nota_2]],Clientes_Proveedores[[Ruc / Dni]:[Razon Social]],2,0),"")</f>
        <v/>
      </c>
      <c r="Y105" s="25"/>
      <c r="Z105" s="103"/>
      <c r="AA105" s="3" t="str">
        <f>IF(C_Ope_005[[#This Row],[fecha]]&gt;0,TEXT(C_Ope_005[[#This Row],[fecha]],"mmmm"),0)</f>
        <v>Febrero</v>
      </c>
      <c r="AB105" s="49"/>
    </row>
    <row r="106" spans="1:28" x14ac:dyDescent="0.3">
      <c r="A106" s="2">
        <f>IF(C_Ope_005[[#This Row],[tipo_r]]="R",COUNTIFS($C$1:$C105,"R")+1,"")</f>
        <v>105</v>
      </c>
      <c r="B106" s="19" t="str">
        <f t="shared" si="9"/>
        <v>C_Ope_005</v>
      </c>
      <c r="C106" s="3" t="s">
        <v>1330</v>
      </c>
      <c r="D106" s="14">
        <v>45699</v>
      </c>
      <c r="E106" s="5" t="s">
        <v>8535</v>
      </c>
      <c r="F106" s="5" t="s">
        <v>1336</v>
      </c>
      <c r="G106" s="6"/>
      <c r="H106" s="6" t="s">
        <v>126</v>
      </c>
      <c r="I106" s="6"/>
      <c r="J106" s="6"/>
      <c r="K106" s="7" t="s">
        <v>8599</v>
      </c>
      <c r="L106" s="8">
        <v>23004</v>
      </c>
      <c r="M106" s="8" t="str">
        <f t="shared" si="10"/>
        <v>PEN</v>
      </c>
      <c r="N106" s="13"/>
      <c r="O106" s="13">
        <v>24</v>
      </c>
      <c r="P106" s="3">
        <f t="shared" si="6"/>
        <v>0</v>
      </c>
      <c r="Q106" s="3">
        <f t="shared" si="7"/>
        <v>24</v>
      </c>
      <c r="R106" s="3">
        <f t="shared" si="8"/>
        <v>365.99999999999955</v>
      </c>
      <c r="S106" s="24" t="s">
        <v>1334</v>
      </c>
      <c r="T106" s="24" t="s">
        <v>1334</v>
      </c>
      <c r="U106" s="3"/>
      <c r="V106" s="25" t="s">
        <v>7761</v>
      </c>
      <c r="W106" s="25"/>
      <c r="X106" s="25" t="str">
        <f>IFERROR(VLOOKUP(C_Ope_005[[#This Row],[nota_2]],Clientes_Proveedores[[Ruc / Dni]:[Razon Social]],2,0),"")</f>
        <v/>
      </c>
      <c r="Y106" s="25"/>
      <c r="Z106" s="103"/>
      <c r="AA106" s="3" t="str">
        <f>IF(C_Ope_005[[#This Row],[fecha]]&gt;0,TEXT(C_Ope_005[[#This Row],[fecha]],"mmmm"),0)</f>
        <v>Febrero</v>
      </c>
      <c r="AB106" s="49"/>
    </row>
    <row r="107" spans="1:28" x14ac:dyDescent="0.3">
      <c r="A107" s="2">
        <f>IF(C_Ope_005[[#This Row],[tipo_r]]="R",COUNTIFS($C$1:$C106,"R")+1,"")</f>
        <v>106</v>
      </c>
      <c r="B107" s="19" t="str">
        <f t="shared" si="9"/>
        <v>C_Ope_005</v>
      </c>
      <c r="C107" s="3" t="s">
        <v>1330</v>
      </c>
      <c r="D107" s="14">
        <v>45699</v>
      </c>
      <c r="E107" s="5" t="s">
        <v>8535</v>
      </c>
      <c r="F107" s="5" t="s">
        <v>1336</v>
      </c>
      <c r="G107" s="6"/>
      <c r="H107" s="6" t="s">
        <v>126</v>
      </c>
      <c r="I107" s="6"/>
      <c r="J107" s="6"/>
      <c r="K107" s="7" t="s">
        <v>8561</v>
      </c>
      <c r="L107" s="8">
        <v>23005</v>
      </c>
      <c r="M107" s="8" t="str">
        <f t="shared" si="10"/>
        <v>PEN</v>
      </c>
      <c r="N107" s="13"/>
      <c r="O107" s="13">
        <v>15</v>
      </c>
      <c r="P107" s="3">
        <f t="shared" si="6"/>
        <v>0</v>
      </c>
      <c r="Q107" s="3">
        <f t="shared" si="7"/>
        <v>15</v>
      </c>
      <c r="R107" s="3">
        <f t="shared" si="8"/>
        <v>350.99999999999955</v>
      </c>
      <c r="S107" s="24" t="s">
        <v>1334</v>
      </c>
      <c r="T107" s="24" t="s">
        <v>1334</v>
      </c>
      <c r="U107" s="3"/>
      <c r="V107" s="25" t="s">
        <v>7761</v>
      </c>
      <c r="W107" s="25"/>
      <c r="X107" s="25" t="str">
        <f>IFERROR(VLOOKUP(C_Ope_005[[#This Row],[nota_2]],Clientes_Proveedores[[Ruc / Dni]:[Razon Social]],2,0),"")</f>
        <v/>
      </c>
      <c r="Y107" s="25"/>
      <c r="Z107" s="103"/>
      <c r="AA107" s="3" t="str">
        <f>IF(C_Ope_005[[#This Row],[fecha]]&gt;0,TEXT(C_Ope_005[[#This Row],[fecha]],"mmmm"),0)</f>
        <v>Febrero</v>
      </c>
      <c r="AB107" s="49"/>
    </row>
    <row r="108" spans="1:28" x14ac:dyDescent="0.3">
      <c r="A108" s="2">
        <f>IF(C_Ope_005[[#This Row],[tipo_r]]="R",COUNTIFS($C$1:$C107,"R")+1,"")</f>
        <v>107</v>
      </c>
      <c r="B108" s="19" t="str">
        <f t="shared" si="9"/>
        <v>C_Ope_005</v>
      </c>
      <c r="C108" s="3" t="s">
        <v>1330</v>
      </c>
      <c r="D108" s="14">
        <v>45700</v>
      </c>
      <c r="E108" s="5" t="s">
        <v>8535</v>
      </c>
      <c r="F108" s="5" t="s">
        <v>1336</v>
      </c>
      <c r="G108" s="6"/>
      <c r="H108" s="6" t="s">
        <v>126</v>
      </c>
      <c r="I108" s="6"/>
      <c r="J108" s="6"/>
      <c r="K108" s="7" t="s">
        <v>8225</v>
      </c>
      <c r="L108" s="8">
        <v>23028</v>
      </c>
      <c r="M108" s="8" t="str">
        <f t="shared" si="10"/>
        <v>PEN</v>
      </c>
      <c r="N108" s="13"/>
      <c r="O108" s="13">
        <v>24</v>
      </c>
      <c r="P108" s="3">
        <f t="shared" si="6"/>
        <v>0</v>
      </c>
      <c r="Q108" s="3">
        <f t="shared" si="7"/>
        <v>24</v>
      </c>
      <c r="R108" s="3">
        <f t="shared" si="8"/>
        <v>326.99999999999955</v>
      </c>
      <c r="S108" s="24" t="s">
        <v>1334</v>
      </c>
      <c r="T108" s="24" t="s">
        <v>1334</v>
      </c>
      <c r="U108" s="3"/>
      <c r="V108" s="25" t="s">
        <v>7761</v>
      </c>
      <c r="W108" s="25"/>
      <c r="X108" s="25" t="str">
        <f>IFERROR(VLOOKUP(C_Ope_005[[#This Row],[nota_2]],Clientes_Proveedores[[Ruc / Dni]:[Razon Social]],2,0),"")</f>
        <v/>
      </c>
      <c r="Y108" s="25"/>
      <c r="Z108" s="103"/>
      <c r="AA108" s="3" t="str">
        <f>IF(C_Ope_005[[#This Row],[fecha]]&gt;0,TEXT(C_Ope_005[[#This Row],[fecha]],"mmmm"),0)</f>
        <v>Febrero</v>
      </c>
      <c r="AB108" s="49"/>
    </row>
    <row r="109" spans="1:28" x14ac:dyDescent="0.3">
      <c r="A109" s="2">
        <f>IF(C_Ope_005[[#This Row],[tipo_r]]="R",COUNTIFS($C$1:$C108,"R")+1,"")</f>
        <v>108</v>
      </c>
      <c r="B109" s="19" t="str">
        <f t="shared" si="9"/>
        <v>C_Ope_005</v>
      </c>
      <c r="C109" s="3" t="s">
        <v>1330</v>
      </c>
      <c r="D109" s="14">
        <v>45700</v>
      </c>
      <c r="E109" s="5" t="s">
        <v>8535</v>
      </c>
      <c r="F109" s="5" t="s">
        <v>1336</v>
      </c>
      <c r="G109" s="6"/>
      <c r="H109" s="6" t="s">
        <v>126</v>
      </c>
      <c r="I109" s="6"/>
      <c r="J109" s="6"/>
      <c r="K109" s="7" t="s">
        <v>8218</v>
      </c>
      <c r="L109" s="8">
        <v>23029</v>
      </c>
      <c r="M109" s="8" t="str">
        <f t="shared" si="10"/>
        <v>PEN</v>
      </c>
      <c r="N109" s="13"/>
      <c r="O109" s="13">
        <v>30</v>
      </c>
      <c r="P109" s="3">
        <f t="shared" si="6"/>
        <v>0</v>
      </c>
      <c r="Q109" s="3">
        <f t="shared" si="7"/>
        <v>30</v>
      </c>
      <c r="R109" s="3">
        <f t="shared" si="8"/>
        <v>296.99999999999955</v>
      </c>
      <c r="S109" s="24" t="s">
        <v>1334</v>
      </c>
      <c r="T109" s="24" t="s">
        <v>1334</v>
      </c>
      <c r="U109" s="3"/>
      <c r="V109" s="25" t="s">
        <v>7761</v>
      </c>
      <c r="W109" s="25"/>
      <c r="X109" s="25" t="str">
        <f>IFERROR(VLOOKUP(C_Ope_005[[#This Row],[nota_2]],Clientes_Proveedores[[Ruc / Dni]:[Razon Social]],2,0),"")</f>
        <v/>
      </c>
      <c r="Y109" s="25"/>
      <c r="Z109" s="103"/>
      <c r="AA109" s="3" t="str">
        <f>IF(C_Ope_005[[#This Row],[fecha]]&gt;0,TEXT(C_Ope_005[[#This Row],[fecha]],"mmmm"),0)</f>
        <v>Febrero</v>
      </c>
      <c r="AB109" s="49"/>
    </row>
    <row r="110" spans="1:28" x14ac:dyDescent="0.3">
      <c r="A110" s="2">
        <f>IF(C_Ope_005[[#This Row],[tipo_r]]="R",COUNTIFS($C$1:$C109,"R")+1,"")</f>
        <v>109</v>
      </c>
      <c r="B110" s="19" t="str">
        <f t="shared" si="9"/>
        <v>C_Ope_005</v>
      </c>
      <c r="C110" s="3" t="s">
        <v>1330</v>
      </c>
      <c r="D110" s="14">
        <v>45700</v>
      </c>
      <c r="E110" s="5" t="s">
        <v>8535</v>
      </c>
      <c r="F110" s="5" t="s">
        <v>1336</v>
      </c>
      <c r="G110" s="6"/>
      <c r="H110" s="6" t="s">
        <v>126</v>
      </c>
      <c r="I110" s="6"/>
      <c r="J110" s="6"/>
      <c r="K110" s="7" t="s">
        <v>8231</v>
      </c>
      <c r="L110" s="8">
        <v>23030</v>
      </c>
      <c r="M110" s="8" t="str">
        <f t="shared" si="10"/>
        <v>PEN</v>
      </c>
      <c r="N110" s="13"/>
      <c r="O110" s="13">
        <v>24</v>
      </c>
      <c r="P110" s="3">
        <f t="shared" si="6"/>
        <v>0</v>
      </c>
      <c r="Q110" s="3">
        <f t="shared" si="7"/>
        <v>24</v>
      </c>
      <c r="R110" s="3">
        <f t="shared" si="8"/>
        <v>272.99999999999955</v>
      </c>
      <c r="S110" s="24" t="s">
        <v>1334</v>
      </c>
      <c r="T110" s="24" t="s">
        <v>1334</v>
      </c>
      <c r="U110" s="3"/>
      <c r="V110" s="25" t="s">
        <v>7761</v>
      </c>
      <c r="W110" s="25"/>
      <c r="X110" s="25" t="str">
        <f>IFERROR(VLOOKUP(C_Ope_005[[#This Row],[nota_2]],Clientes_Proveedores[[Ruc / Dni]:[Razon Social]],2,0),"")</f>
        <v/>
      </c>
      <c r="Y110" s="25"/>
      <c r="Z110" s="103"/>
      <c r="AA110" s="3" t="str">
        <f>IF(C_Ope_005[[#This Row],[fecha]]&gt;0,TEXT(C_Ope_005[[#This Row],[fecha]],"mmmm"),0)</f>
        <v>Febrero</v>
      </c>
      <c r="AB110" s="49"/>
    </row>
    <row r="111" spans="1:28" ht="24" x14ac:dyDescent="0.3">
      <c r="A111" s="2">
        <f>IF(C_Ope_005[[#This Row],[tipo_r]]="R",COUNTIFS($C$1:$C110,"R")+1,"")</f>
        <v>110</v>
      </c>
      <c r="B111" s="19" t="str">
        <f t="shared" si="9"/>
        <v>C_Ope_005</v>
      </c>
      <c r="C111" s="3" t="s">
        <v>1330</v>
      </c>
      <c r="D111" s="14">
        <v>45700</v>
      </c>
      <c r="E111" s="5" t="s">
        <v>8535</v>
      </c>
      <c r="F111" s="5" t="s">
        <v>1336</v>
      </c>
      <c r="G111" s="6" t="s">
        <v>1037</v>
      </c>
      <c r="H111" s="6" t="s">
        <v>75</v>
      </c>
      <c r="I111" s="6">
        <v>1</v>
      </c>
      <c r="J111" s="6">
        <v>2045</v>
      </c>
      <c r="K111" s="7" t="s">
        <v>8600</v>
      </c>
      <c r="L111" s="8">
        <v>23031</v>
      </c>
      <c r="M111" s="8" t="str">
        <f t="shared" si="10"/>
        <v>PEN</v>
      </c>
      <c r="N111" s="13"/>
      <c r="O111" s="13">
        <v>100</v>
      </c>
      <c r="P111" s="3">
        <f t="shared" si="6"/>
        <v>0</v>
      </c>
      <c r="Q111" s="3">
        <f t="shared" si="7"/>
        <v>100</v>
      </c>
      <c r="R111" s="3">
        <f t="shared" si="8"/>
        <v>172.99999999999955</v>
      </c>
      <c r="S111" s="24" t="s">
        <v>1334</v>
      </c>
      <c r="T111" s="24" t="s">
        <v>1334</v>
      </c>
      <c r="U111" s="3"/>
      <c r="V111" s="25" t="s">
        <v>7761</v>
      </c>
      <c r="W111" s="25">
        <v>10089085042</v>
      </c>
      <c r="X111" s="25" t="str">
        <f>IFERROR(VLOOKUP(C_Ope_005[[#This Row],[nota_2]],Clientes_Proveedores[[Ruc / Dni]:[Razon Social]],2,0),"")</f>
        <v>GUEVARA PEREZ MARIA</v>
      </c>
      <c r="Y111" s="25"/>
      <c r="Z111" s="103"/>
      <c r="AA111" s="3" t="str">
        <f>IF(C_Ope_005[[#This Row],[fecha]]&gt;0,TEXT(C_Ope_005[[#This Row],[fecha]],"mmmm"),0)</f>
        <v>Febrero</v>
      </c>
      <c r="AB111" s="49"/>
    </row>
    <row r="112" spans="1:28" x14ac:dyDescent="0.3">
      <c r="A112" s="2">
        <f>IF(C_Ope_005[[#This Row],[tipo_r]]="R",COUNTIFS($C$1:$C111,"R")+1,"")</f>
        <v>111</v>
      </c>
      <c r="B112" s="19" t="str">
        <f t="shared" si="9"/>
        <v>C_Ope_005</v>
      </c>
      <c r="C112" s="3" t="s">
        <v>1330</v>
      </c>
      <c r="D112" s="14">
        <v>45700</v>
      </c>
      <c r="E112" s="5" t="s">
        <v>8535</v>
      </c>
      <c r="F112" s="5" t="s">
        <v>1336</v>
      </c>
      <c r="G112" s="6"/>
      <c r="H112" s="6" t="s">
        <v>126</v>
      </c>
      <c r="I112" s="6"/>
      <c r="J112" s="6"/>
      <c r="K112" s="7" t="s">
        <v>8601</v>
      </c>
      <c r="L112" s="8">
        <v>23032</v>
      </c>
      <c r="M112" s="8" t="str">
        <f t="shared" si="10"/>
        <v>PEN</v>
      </c>
      <c r="N112" s="13"/>
      <c r="O112" s="13">
        <v>15</v>
      </c>
      <c r="P112" s="3">
        <f t="shared" si="6"/>
        <v>0</v>
      </c>
      <c r="Q112" s="3">
        <f t="shared" si="7"/>
        <v>15</v>
      </c>
      <c r="R112" s="3">
        <f t="shared" si="8"/>
        <v>157.99999999999955</v>
      </c>
      <c r="S112" s="24" t="s">
        <v>1334</v>
      </c>
      <c r="T112" s="24" t="s">
        <v>1334</v>
      </c>
      <c r="U112" s="3"/>
      <c r="V112" s="25" t="s">
        <v>7761</v>
      </c>
      <c r="W112" s="25"/>
      <c r="X112" s="25" t="str">
        <f>IFERROR(VLOOKUP(C_Ope_005[[#This Row],[nota_2]],Clientes_Proveedores[[Ruc / Dni]:[Razon Social]],2,0),"")</f>
        <v/>
      </c>
      <c r="Y112" s="25"/>
      <c r="Z112" s="103"/>
      <c r="AA112" s="3" t="str">
        <f>IF(C_Ope_005[[#This Row],[fecha]]&gt;0,TEXT(C_Ope_005[[#This Row],[fecha]],"mmmm"),0)</f>
        <v>Febrero</v>
      </c>
      <c r="AB112" s="49"/>
    </row>
    <row r="113" spans="1:28" x14ac:dyDescent="0.3">
      <c r="A113" s="2">
        <f>IF(C_Ope_005[[#This Row],[tipo_r]]="R",COUNTIFS($C$1:$C112,"R")+1,"")</f>
        <v>112</v>
      </c>
      <c r="B113" s="19" t="str">
        <f t="shared" si="9"/>
        <v>C_Ope_005</v>
      </c>
      <c r="C113" s="3" t="s">
        <v>1330</v>
      </c>
      <c r="D113" s="14">
        <v>45701</v>
      </c>
      <c r="E113" s="5" t="s">
        <v>8535</v>
      </c>
      <c r="F113" s="5" t="s">
        <v>1336</v>
      </c>
      <c r="G113" s="6"/>
      <c r="H113" s="6" t="s">
        <v>126</v>
      </c>
      <c r="I113" s="6"/>
      <c r="J113" s="6"/>
      <c r="K113" s="7" t="s">
        <v>8225</v>
      </c>
      <c r="L113" s="8">
        <v>23033</v>
      </c>
      <c r="M113" s="8" t="str">
        <f t="shared" si="10"/>
        <v>PEN</v>
      </c>
      <c r="N113" s="13"/>
      <c r="O113" s="13">
        <v>24</v>
      </c>
      <c r="P113" s="3">
        <f t="shared" si="6"/>
        <v>0</v>
      </c>
      <c r="Q113" s="3">
        <f t="shared" si="7"/>
        <v>24</v>
      </c>
      <c r="R113" s="3">
        <f t="shared" si="8"/>
        <v>133.99999999999955</v>
      </c>
      <c r="S113" s="24" t="s">
        <v>1334</v>
      </c>
      <c r="T113" s="24" t="s">
        <v>1334</v>
      </c>
      <c r="U113" s="3"/>
      <c r="V113" s="25" t="s">
        <v>7761</v>
      </c>
      <c r="W113" s="25"/>
      <c r="X113" s="25" t="str">
        <f>IFERROR(VLOOKUP(C_Ope_005[[#This Row],[nota_2]],Clientes_Proveedores[[Ruc / Dni]:[Razon Social]],2,0),"")</f>
        <v/>
      </c>
      <c r="Y113" s="25"/>
      <c r="Z113" s="103"/>
      <c r="AA113" s="3" t="str">
        <f>IF(C_Ope_005[[#This Row],[fecha]]&gt;0,TEXT(C_Ope_005[[#This Row],[fecha]],"mmmm"),0)</f>
        <v>Febrero</v>
      </c>
      <c r="AB113" s="49"/>
    </row>
    <row r="114" spans="1:28" x14ac:dyDescent="0.3">
      <c r="A114" s="2">
        <f>IF(C_Ope_005[[#This Row],[tipo_r]]="R",COUNTIFS($C$1:$C113,"R")+1,"")</f>
        <v>113</v>
      </c>
      <c r="B114" s="19" t="str">
        <f t="shared" si="9"/>
        <v>C_Ope_005</v>
      </c>
      <c r="C114" s="3" t="s">
        <v>1330</v>
      </c>
      <c r="D114" s="14">
        <v>45701</v>
      </c>
      <c r="E114" s="5" t="s">
        <v>8535</v>
      </c>
      <c r="F114" s="5" t="s">
        <v>1336</v>
      </c>
      <c r="G114" s="6"/>
      <c r="H114" s="6" t="s">
        <v>126</v>
      </c>
      <c r="I114" s="6"/>
      <c r="J114" s="6"/>
      <c r="K114" s="7" t="s">
        <v>8218</v>
      </c>
      <c r="L114" s="8">
        <v>23034</v>
      </c>
      <c r="M114" s="8" t="str">
        <f t="shared" si="10"/>
        <v>PEN</v>
      </c>
      <c r="N114" s="13"/>
      <c r="O114" s="13">
        <v>30</v>
      </c>
      <c r="P114" s="3">
        <f t="shared" si="6"/>
        <v>0</v>
      </c>
      <c r="Q114" s="3">
        <f t="shared" si="7"/>
        <v>30</v>
      </c>
      <c r="R114" s="3">
        <f t="shared" si="8"/>
        <v>103.99999999999955</v>
      </c>
      <c r="S114" s="24" t="s">
        <v>1334</v>
      </c>
      <c r="T114" s="24" t="s">
        <v>1334</v>
      </c>
      <c r="U114" s="3"/>
      <c r="V114" s="25" t="s">
        <v>7761</v>
      </c>
      <c r="W114" s="25"/>
      <c r="X114" s="25" t="str">
        <f>IFERROR(VLOOKUP(C_Ope_005[[#This Row],[nota_2]],Clientes_Proveedores[[Ruc / Dni]:[Razon Social]],2,0),"")</f>
        <v/>
      </c>
      <c r="Y114" s="25"/>
      <c r="Z114" s="103"/>
      <c r="AA114" s="3" t="str">
        <f>IF(C_Ope_005[[#This Row],[fecha]]&gt;0,TEXT(C_Ope_005[[#This Row],[fecha]],"mmmm"),0)</f>
        <v>Febrero</v>
      </c>
      <c r="AB114" s="49"/>
    </row>
    <row r="115" spans="1:28" x14ac:dyDescent="0.3">
      <c r="A115" s="2">
        <f>IF(C_Ope_005[[#This Row],[tipo_r]]="R",COUNTIFS($C$1:$C114,"R")+1,"")</f>
        <v>114</v>
      </c>
      <c r="B115" s="19" t="str">
        <f t="shared" si="9"/>
        <v>C_Ope_005</v>
      </c>
      <c r="C115" s="3" t="s">
        <v>1330</v>
      </c>
      <c r="D115" s="14">
        <v>45701</v>
      </c>
      <c r="E115" s="5" t="s">
        <v>8535</v>
      </c>
      <c r="F115" s="5" t="s">
        <v>1336</v>
      </c>
      <c r="G115" s="6"/>
      <c r="H115" s="6" t="s">
        <v>126</v>
      </c>
      <c r="I115" s="6"/>
      <c r="J115" s="6"/>
      <c r="K115" s="7" t="s">
        <v>8602</v>
      </c>
      <c r="L115" s="8">
        <v>23035</v>
      </c>
      <c r="M115" s="8" t="str">
        <f t="shared" si="10"/>
        <v>PEN</v>
      </c>
      <c r="N115" s="13"/>
      <c r="O115" s="13">
        <v>24</v>
      </c>
      <c r="P115" s="3">
        <f t="shared" si="6"/>
        <v>0</v>
      </c>
      <c r="Q115" s="3">
        <f t="shared" si="7"/>
        <v>24</v>
      </c>
      <c r="R115" s="3">
        <f t="shared" si="8"/>
        <v>79.999999999999545</v>
      </c>
      <c r="S115" s="24" t="s">
        <v>1334</v>
      </c>
      <c r="T115" s="24" t="s">
        <v>1334</v>
      </c>
      <c r="U115" s="3"/>
      <c r="V115" s="25" t="s">
        <v>7761</v>
      </c>
      <c r="W115" s="25"/>
      <c r="X115" s="25" t="str">
        <f>IFERROR(VLOOKUP(C_Ope_005[[#This Row],[nota_2]],Clientes_Proveedores[[Ruc / Dni]:[Razon Social]],2,0),"")</f>
        <v/>
      </c>
      <c r="Y115" s="25"/>
      <c r="Z115" s="103"/>
      <c r="AA115" s="3" t="str">
        <f>IF(C_Ope_005[[#This Row],[fecha]]&gt;0,TEXT(C_Ope_005[[#This Row],[fecha]],"mmmm"),0)</f>
        <v>Febrero</v>
      </c>
      <c r="AB115" s="49"/>
    </row>
    <row r="116" spans="1:28" x14ac:dyDescent="0.3">
      <c r="A116" s="2">
        <f>IF(C_Ope_005[[#This Row],[tipo_r]]="R",COUNTIFS($C$1:$C115,"R")+1,"")</f>
        <v>115</v>
      </c>
      <c r="B116" s="19" t="str">
        <f t="shared" si="9"/>
        <v>C_Ope_005</v>
      </c>
      <c r="C116" s="3" t="s">
        <v>1330</v>
      </c>
      <c r="D116" s="14">
        <v>45701</v>
      </c>
      <c r="E116" s="5" t="s">
        <v>8535</v>
      </c>
      <c r="F116" s="5" t="s">
        <v>1336</v>
      </c>
      <c r="G116" s="6"/>
      <c r="H116" s="6" t="s">
        <v>126</v>
      </c>
      <c r="I116" s="6"/>
      <c r="J116" s="6"/>
      <c r="K116" s="7" t="s">
        <v>8603</v>
      </c>
      <c r="L116" s="8">
        <v>23036</v>
      </c>
      <c r="M116" s="8" t="str">
        <f t="shared" si="10"/>
        <v>PEN</v>
      </c>
      <c r="N116" s="13"/>
      <c r="O116" s="13">
        <v>100</v>
      </c>
      <c r="P116" s="3">
        <f t="shared" si="6"/>
        <v>0</v>
      </c>
      <c r="Q116" s="3">
        <f t="shared" si="7"/>
        <v>100</v>
      </c>
      <c r="R116" s="3">
        <f t="shared" si="8"/>
        <v>-20.000000000000455</v>
      </c>
      <c r="S116" s="24" t="s">
        <v>1334</v>
      </c>
      <c r="T116" s="24" t="s">
        <v>1334</v>
      </c>
      <c r="U116" s="3"/>
      <c r="V116" s="25" t="s">
        <v>7761</v>
      </c>
      <c r="W116" s="25"/>
      <c r="X116" s="25" t="str">
        <f>IFERROR(VLOOKUP(C_Ope_005[[#This Row],[nota_2]],Clientes_Proveedores[[Ruc / Dni]:[Razon Social]],2,0),"")</f>
        <v/>
      </c>
      <c r="Y116" s="25"/>
      <c r="Z116" s="103"/>
      <c r="AA116" s="3" t="str">
        <f>IF(C_Ope_005[[#This Row],[fecha]]&gt;0,TEXT(C_Ope_005[[#This Row],[fecha]],"mmmm"),0)</f>
        <v>Febrero</v>
      </c>
      <c r="AB116" s="49"/>
    </row>
    <row r="117" spans="1:28" x14ac:dyDescent="0.3">
      <c r="A117" s="2">
        <f>IF(C_Ope_005[[#This Row],[tipo_r]]="R",COUNTIFS($C$1:$C116,"R")+1,"")</f>
        <v>116</v>
      </c>
      <c r="B117" s="19" t="str">
        <f t="shared" si="9"/>
        <v>C_Ope_005</v>
      </c>
      <c r="C117" s="3" t="s">
        <v>1330</v>
      </c>
      <c r="D117" s="14">
        <v>45701</v>
      </c>
      <c r="E117" s="5" t="s">
        <v>8535</v>
      </c>
      <c r="F117" s="5" t="s">
        <v>1336</v>
      </c>
      <c r="G117" s="6"/>
      <c r="H117" s="6" t="s">
        <v>126</v>
      </c>
      <c r="I117" s="6"/>
      <c r="J117" s="6"/>
      <c r="K117" s="7" t="s">
        <v>8604</v>
      </c>
      <c r="L117" s="8">
        <v>23048</v>
      </c>
      <c r="M117" s="8" t="str">
        <f t="shared" si="10"/>
        <v>PEN</v>
      </c>
      <c r="N117" s="13"/>
      <c r="O117" s="13">
        <v>15</v>
      </c>
      <c r="P117" s="3">
        <f t="shared" si="6"/>
        <v>0</v>
      </c>
      <c r="Q117" s="3">
        <f t="shared" si="7"/>
        <v>15</v>
      </c>
      <c r="R117" s="3">
        <f t="shared" si="8"/>
        <v>-35.000000000000455</v>
      </c>
      <c r="S117" s="24" t="s">
        <v>1334</v>
      </c>
      <c r="T117" s="24" t="s">
        <v>1334</v>
      </c>
      <c r="U117" s="3"/>
      <c r="V117" s="25" t="s">
        <v>7761</v>
      </c>
      <c r="W117" s="25"/>
      <c r="X117" s="25" t="str">
        <f>IFERROR(VLOOKUP(C_Ope_005[[#This Row],[nota_2]],Clientes_Proveedores[[Ruc / Dni]:[Razon Social]],2,0),"")</f>
        <v/>
      </c>
      <c r="Y117" s="25"/>
      <c r="Z117" s="103"/>
      <c r="AA117" s="3" t="str">
        <f>IF(C_Ope_005[[#This Row],[fecha]]&gt;0,TEXT(C_Ope_005[[#This Row],[fecha]],"mmmm"),0)</f>
        <v>Febrero</v>
      </c>
      <c r="AB117" s="49"/>
    </row>
    <row r="118" spans="1:28" x14ac:dyDescent="0.3">
      <c r="A118" s="2">
        <f>IF(C_Ope_005[[#This Row],[tipo_r]]="R",COUNTIFS($C$1:$C117,"R")+1,"")</f>
        <v>117</v>
      </c>
      <c r="B118" s="19" t="str">
        <f t="shared" si="9"/>
        <v>C_Ope_005</v>
      </c>
      <c r="C118" s="3" t="s">
        <v>1330</v>
      </c>
      <c r="D118" s="14">
        <v>45702</v>
      </c>
      <c r="E118" s="5" t="s">
        <v>8535</v>
      </c>
      <c r="F118" s="5" t="s">
        <v>1336</v>
      </c>
      <c r="G118" s="6"/>
      <c r="H118" s="6" t="s">
        <v>126</v>
      </c>
      <c r="I118" s="6"/>
      <c r="J118" s="6"/>
      <c r="K118" s="7" t="s">
        <v>8225</v>
      </c>
      <c r="L118" s="8">
        <v>23049</v>
      </c>
      <c r="M118" s="8" t="str">
        <f t="shared" si="10"/>
        <v>PEN</v>
      </c>
      <c r="N118" s="13"/>
      <c r="O118" s="13">
        <v>24</v>
      </c>
      <c r="P118" s="3">
        <f t="shared" si="6"/>
        <v>0</v>
      </c>
      <c r="Q118" s="3">
        <f t="shared" si="7"/>
        <v>24</v>
      </c>
      <c r="R118" s="3">
        <f t="shared" si="8"/>
        <v>-59.000000000000455</v>
      </c>
      <c r="S118" s="24" t="s">
        <v>1334</v>
      </c>
      <c r="T118" s="24" t="s">
        <v>1334</v>
      </c>
      <c r="U118" s="3"/>
      <c r="V118" s="25" t="s">
        <v>7761</v>
      </c>
      <c r="W118" s="25"/>
      <c r="X118" s="25" t="str">
        <f>IFERROR(VLOOKUP(C_Ope_005[[#This Row],[nota_2]],Clientes_Proveedores[[Ruc / Dni]:[Razon Social]],2,0),"")</f>
        <v/>
      </c>
      <c r="Y118" s="25"/>
      <c r="Z118" s="103"/>
      <c r="AA118" s="3" t="str">
        <f>IF(C_Ope_005[[#This Row],[fecha]]&gt;0,TEXT(C_Ope_005[[#This Row],[fecha]],"mmmm"),0)</f>
        <v>Febrero</v>
      </c>
      <c r="AB118" s="49"/>
    </row>
    <row r="119" spans="1:28" x14ac:dyDescent="0.3">
      <c r="A119" s="2">
        <f>IF(C_Ope_005[[#This Row],[tipo_r]]="R",COUNTIFS($C$1:$C118,"R")+1,"")</f>
        <v>118</v>
      </c>
      <c r="B119" s="19" t="str">
        <f t="shared" si="9"/>
        <v>C_Ope_005</v>
      </c>
      <c r="C119" s="3" t="s">
        <v>1330</v>
      </c>
      <c r="D119" s="14">
        <v>45702</v>
      </c>
      <c r="E119" s="5" t="s">
        <v>8535</v>
      </c>
      <c r="F119" s="5" t="s">
        <v>1336</v>
      </c>
      <c r="G119" s="6"/>
      <c r="H119" s="6" t="s">
        <v>126</v>
      </c>
      <c r="I119" s="6"/>
      <c r="J119" s="6"/>
      <c r="K119" s="7" t="s">
        <v>8218</v>
      </c>
      <c r="L119" s="8">
        <v>23050</v>
      </c>
      <c r="M119" s="8" t="str">
        <f t="shared" si="10"/>
        <v>PEN</v>
      </c>
      <c r="N119" s="13"/>
      <c r="O119" s="13">
        <v>30</v>
      </c>
      <c r="P119" s="3">
        <f t="shared" si="6"/>
        <v>0</v>
      </c>
      <c r="Q119" s="3">
        <f t="shared" si="7"/>
        <v>30</v>
      </c>
      <c r="R119" s="3">
        <f t="shared" si="8"/>
        <v>-89.000000000000455</v>
      </c>
      <c r="S119" s="24" t="s">
        <v>1334</v>
      </c>
      <c r="T119" s="24" t="s">
        <v>1334</v>
      </c>
      <c r="U119" s="3"/>
      <c r="V119" s="25" t="s">
        <v>7761</v>
      </c>
      <c r="W119" s="25"/>
      <c r="X119" s="25" t="str">
        <f>IFERROR(VLOOKUP(C_Ope_005[[#This Row],[nota_2]],Clientes_Proveedores[[Ruc / Dni]:[Razon Social]],2,0),"")</f>
        <v/>
      </c>
      <c r="Y119" s="25"/>
      <c r="Z119" s="103"/>
      <c r="AA119" s="3" t="str">
        <f>IF(C_Ope_005[[#This Row],[fecha]]&gt;0,TEXT(C_Ope_005[[#This Row],[fecha]],"mmmm"),0)</f>
        <v>Febrero</v>
      </c>
      <c r="AB119" s="49"/>
    </row>
    <row r="120" spans="1:28" x14ac:dyDescent="0.3">
      <c r="A120" s="2">
        <f>IF(C_Ope_005[[#This Row],[tipo_r]]="R",COUNTIFS($C$1:$C119,"R")+1,"")</f>
        <v>119</v>
      </c>
      <c r="B120" s="19" t="str">
        <f t="shared" si="9"/>
        <v>C_Ope_005</v>
      </c>
      <c r="C120" s="3" t="s">
        <v>1330</v>
      </c>
      <c r="D120" s="14">
        <v>45702</v>
      </c>
      <c r="E120" s="5" t="s">
        <v>8535</v>
      </c>
      <c r="F120" s="5" t="s">
        <v>1336</v>
      </c>
      <c r="G120" s="6"/>
      <c r="H120" s="6" t="s">
        <v>126</v>
      </c>
      <c r="I120" s="6"/>
      <c r="J120" s="6"/>
      <c r="K120" s="7" t="s">
        <v>8231</v>
      </c>
      <c r="L120" s="8">
        <v>23051</v>
      </c>
      <c r="M120" s="8" t="str">
        <f t="shared" si="10"/>
        <v>PEN</v>
      </c>
      <c r="N120" s="13"/>
      <c r="O120" s="13">
        <v>24</v>
      </c>
      <c r="P120" s="3">
        <f t="shared" si="6"/>
        <v>0</v>
      </c>
      <c r="Q120" s="3">
        <f t="shared" si="7"/>
        <v>24</v>
      </c>
      <c r="R120" s="3">
        <f t="shared" si="8"/>
        <v>-113.00000000000045</v>
      </c>
      <c r="S120" s="24" t="s">
        <v>1334</v>
      </c>
      <c r="T120" s="24" t="s">
        <v>1334</v>
      </c>
      <c r="U120" s="3"/>
      <c r="V120" s="25" t="s">
        <v>7761</v>
      </c>
      <c r="W120" s="25"/>
      <c r="X120" s="25" t="str">
        <f>IFERROR(VLOOKUP(C_Ope_005[[#This Row],[nota_2]],Clientes_Proveedores[[Ruc / Dni]:[Razon Social]],2,0),"")</f>
        <v/>
      </c>
      <c r="Y120" s="25"/>
      <c r="Z120" s="103"/>
      <c r="AA120" s="3" t="str">
        <f>IF(C_Ope_005[[#This Row],[fecha]]&gt;0,TEXT(C_Ope_005[[#This Row],[fecha]],"mmmm"),0)</f>
        <v>Febrero</v>
      </c>
      <c r="AB120" s="49"/>
    </row>
    <row r="121" spans="1:28" x14ac:dyDescent="0.3">
      <c r="A121" s="2">
        <f>IF(C_Ope_005[[#This Row],[tipo_r]]="R",COUNTIFS($C$1:$C120,"R")+1,"")</f>
        <v>120</v>
      </c>
      <c r="B121" s="19" t="str">
        <f t="shared" si="9"/>
        <v>C_Ope_005</v>
      </c>
      <c r="C121" s="3" t="s">
        <v>1330</v>
      </c>
      <c r="D121" s="14">
        <v>45702</v>
      </c>
      <c r="E121" s="5" t="s">
        <v>8535</v>
      </c>
      <c r="F121" s="5" t="s">
        <v>1336</v>
      </c>
      <c r="G121" s="6"/>
      <c r="H121" s="6" t="s">
        <v>126</v>
      </c>
      <c r="I121" s="6"/>
      <c r="J121" s="6"/>
      <c r="K121" s="7" t="s">
        <v>8605</v>
      </c>
      <c r="L121" s="8">
        <v>23054</v>
      </c>
      <c r="M121" s="8" t="str">
        <f t="shared" si="10"/>
        <v>PEN</v>
      </c>
      <c r="N121" s="13"/>
      <c r="O121" s="13">
        <v>80</v>
      </c>
      <c r="P121" s="3">
        <f t="shared" si="6"/>
        <v>0</v>
      </c>
      <c r="Q121" s="3">
        <f t="shared" si="7"/>
        <v>80</v>
      </c>
      <c r="R121" s="3">
        <f t="shared" si="8"/>
        <v>-193.00000000000045</v>
      </c>
      <c r="S121" s="24" t="s">
        <v>1334</v>
      </c>
      <c r="T121" s="24" t="s">
        <v>1334</v>
      </c>
      <c r="U121" s="3"/>
      <c r="V121" s="25" t="s">
        <v>7761</v>
      </c>
      <c r="W121" s="25"/>
      <c r="X121" s="25" t="str">
        <f>IFERROR(VLOOKUP(C_Ope_005[[#This Row],[nota_2]],Clientes_Proveedores[[Ruc / Dni]:[Razon Social]],2,0),"")</f>
        <v/>
      </c>
      <c r="Y121" s="25"/>
      <c r="Z121" s="103"/>
      <c r="AA121" s="3" t="str">
        <f>IF(C_Ope_005[[#This Row],[fecha]]&gt;0,TEXT(C_Ope_005[[#This Row],[fecha]],"mmmm"),0)</f>
        <v>Febrero</v>
      </c>
      <c r="AB121" s="49"/>
    </row>
    <row r="122" spans="1:28" x14ac:dyDescent="0.3">
      <c r="A122" s="2">
        <f>IF(C_Ope_005[[#This Row],[tipo_r]]="R",COUNTIFS($C$1:$C121,"R")+1,"")</f>
        <v>121</v>
      </c>
      <c r="B122" s="19" t="str">
        <f t="shared" si="9"/>
        <v>C_Ope_005</v>
      </c>
      <c r="C122" s="3" t="s">
        <v>1330</v>
      </c>
      <c r="D122" s="14">
        <v>45702</v>
      </c>
      <c r="E122" s="5" t="s">
        <v>8535</v>
      </c>
      <c r="F122" s="5" t="s">
        <v>1336</v>
      </c>
      <c r="G122" s="6"/>
      <c r="H122" s="6" t="s">
        <v>126</v>
      </c>
      <c r="I122" s="6"/>
      <c r="J122" s="6"/>
      <c r="K122" s="7" t="s">
        <v>8606</v>
      </c>
      <c r="L122" s="8">
        <v>23055</v>
      </c>
      <c r="M122" s="8" t="str">
        <f t="shared" si="10"/>
        <v>PEN</v>
      </c>
      <c r="N122" s="13"/>
      <c r="O122" s="13">
        <v>15</v>
      </c>
      <c r="P122" s="3">
        <f t="shared" si="6"/>
        <v>0</v>
      </c>
      <c r="Q122" s="3">
        <f t="shared" si="7"/>
        <v>15</v>
      </c>
      <c r="R122" s="3">
        <f t="shared" si="8"/>
        <v>-208.00000000000045</v>
      </c>
      <c r="S122" s="24" t="s">
        <v>1334</v>
      </c>
      <c r="T122" s="24" t="s">
        <v>1334</v>
      </c>
      <c r="U122" s="3"/>
      <c r="V122" s="25" t="s">
        <v>7761</v>
      </c>
      <c r="W122" s="25"/>
      <c r="X122" s="25" t="str">
        <f>IFERROR(VLOOKUP(C_Ope_005[[#This Row],[nota_2]],Clientes_Proveedores[[Ruc / Dni]:[Razon Social]],2,0),"")</f>
        <v/>
      </c>
      <c r="Y122" s="25"/>
      <c r="Z122" s="103"/>
      <c r="AA122" s="3" t="str">
        <f>IF(C_Ope_005[[#This Row],[fecha]]&gt;0,TEXT(C_Ope_005[[#This Row],[fecha]],"mmmm"),0)</f>
        <v>Febrero</v>
      </c>
      <c r="AB122" s="49"/>
    </row>
    <row r="123" spans="1:28" x14ac:dyDescent="0.3">
      <c r="A123" s="2">
        <f>IF(C_Ope_005[[#This Row],[tipo_r]]="R",COUNTIFS($C$1:$C122,"R")+1,"")</f>
        <v>122</v>
      </c>
      <c r="B123" s="19" t="str">
        <f t="shared" si="9"/>
        <v>C_Ope_005</v>
      </c>
      <c r="C123" s="3" t="s">
        <v>1330</v>
      </c>
      <c r="D123" s="14">
        <v>45703</v>
      </c>
      <c r="E123" s="5" t="s">
        <v>8535</v>
      </c>
      <c r="F123" s="5" t="s">
        <v>1336</v>
      </c>
      <c r="G123" s="6"/>
      <c r="H123" s="6" t="s">
        <v>126</v>
      </c>
      <c r="I123" s="6"/>
      <c r="J123" s="6"/>
      <c r="K123" s="7" t="s">
        <v>8225</v>
      </c>
      <c r="L123" s="8">
        <v>23056</v>
      </c>
      <c r="M123" s="8" t="str">
        <f t="shared" si="10"/>
        <v>PEN</v>
      </c>
      <c r="N123" s="13"/>
      <c r="O123" s="13">
        <v>16</v>
      </c>
      <c r="P123" s="3">
        <f t="shared" si="6"/>
        <v>0</v>
      </c>
      <c r="Q123" s="3">
        <f t="shared" si="7"/>
        <v>16</v>
      </c>
      <c r="R123" s="3">
        <f t="shared" si="8"/>
        <v>-224.00000000000045</v>
      </c>
      <c r="S123" s="24" t="s">
        <v>1334</v>
      </c>
      <c r="T123" s="24" t="s">
        <v>1334</v>
      </c>
      <c r="U123" s="3"/>
      <c r="V123" s="25" t="s">
        <v>7761</v>
      </c>
      <c r="W123" s="25"/>
      <c r="X123" s="25" t="str">
        <f>IFERROR(VLOOKUP(C_Ope_005[[#This Row],[nota_2]],Clientes_Proveedores[[Ruc / Dni]:[Razon Social]],2,0),"")</f>
        <v/>
      </c>
      <c r="Y123" s="25"/>
      <c r="Z123" s="103"/>
      <c r="AA123" s="3" t="str">
        <f>IF(C_Ope_005[[#This Row],[fecha]]&gt;0,TEXT(C_Ope_005[[#This Row],[fecha]],"mmmm"),0)</f>
        <v>Febrero</v>
      </c>
      <c r="AB123" s="49"/>
    </row>
    <row r="124" spans="1:28" x14ac:dyDescent="0.3">
      <c r="A124" s="2">
        <f>IF(C_Ope_005[[#This Row],[tipo_r]]="R",COUNTIFS($C$1:$C123,"R")+1,"")</f>
        <v>123</v>
      </c>
      <c r="B124" s="19" t="str">
        <f t="shared" si="9"/>
        <v>C_Ope_005</v>
      </c>
      <c r="C124" s="3" t="s">
        <v>1330</v>
      </c>
      <c r="D124" s="14">
        <v>45703</v>
      </c>
      <c r="E124" s="5" t="s">
        <v>8535</v>
      </c>
      <c r="F124" s="5" t="s">
        <v>1336</v>
      </c>
      <c r="G124" s="6"/>
      <c r="H124" s="6" t="s">
        <v>126</v>
      </c>
      <c r="I124" s="6"/>
      <c r="J124" s="6"/>
      <c r="K124" s="7" t="s">
        <v>8218</v>
      </c>
      <c r="L124" s="8">
        <v>23057</v>
      </c>
      <c r="M124" s="8" t="str">
        <f t="shared" si="10"/>
        <v>PEN</v>
      </c>
      <c r="N124" s="13"/>
      <c r="O124" s="13">
        <v>24</v>
      </c>
      <c r="P124" s="3">
        <f t="shared" si="6"/>
        <v>0</v>
      </c>
      <c r="Q124" s="3">
        <f t="shared" si="7"/>
        <v>24</v>
      </c>
      <c r="R124" s="3">
        <f t="shared" si="8"/>
        <v>-248.00000000000045</v>
      </c>
      <c r="S124" s="24" t="s">
        <v>1334</v>
      </c>
      <c r="T124" s="24" t="s">
        <v>1334</v>
      </c>
      <c r="U124" s="3"/>
      <c r="V124" s="25" t="s">
        <v>7761</v>
      </c>
      <c r="W124" s="25"/>
      <c r="X124" s="25" t="str">
        <f>IFERROR(VLOOKUP(C_Ope_005[[#This Row],[nota_2]],Clientes_Proveedores[[Ruc / Dni]:[Razon Social]],2,0),"")</f>
        <v/>
      </c>
      <c r="Y124" s="25"/>
      <c r="Z124" s="103"/>
      <c r="AA124" s="3" t="str">
        <f>IF(C_Ope_005[[#This Row],[fecha]]&gt;0,TEXT(C_Ope_005[[#This Row],[fecha]],"mmmm"),0)</f>
        <v>Febrero</v>
      </c>
      <c r="AB124" s="49"/>
    </row>
    <row r="125" spans="1:28" x14ac:dyDescent="0.3">
      <c r="A125" s="2">
        <f>IF(C_Ope_005[[#This Row],[tipo_r]]="R",COUNTIFS($C$1:$C124,"R")+1,"")</f>
        <v>124</v>
      </c>
      <c r="B125" s="19" t="str">
        <f t="shared" si="9"/>
        <v>C_Ope_005</v>
      </c>
      <c r="C125" s="3" t="s">
        <v>1330</v>
      </c>
      <c r="D125" s="14">
        <v>45703</v>
      </c>
      <c r="E125" s="5" t="s">
        <v>8535</v>
      </c>
      <c r="F125" s="5" t="s">
        <v>1336</v>
      </c>
      <c r="G125" s="6"/>
      <c r="H125" s="6" t="s">
        <v>126</v>
      </c>
      <c r="I125" s="6"/>
      <c r="J125" s="6"/>
      <c r="K125" s="7" t="s">
        <v>8231</v>
      </c>
      <c r="L125" s="8">
        <v>23058</v>
      </c>
      <c r="M125" s="8" t="str">
        <f t="shared" si="10"/>
        <v>PEN</v>
      </c>
      <c r="N125" s="13"/>
      <c r="O125" s="13">
        <v>20</v>
      </c>
      <c r="P125" s="3">
        <f t="shared" si="6"/>
        <v>0</v>
      </c>
      <c r="Q125" s="3">
        <f t="shared" si="7"/>
        <v>20</v>
      </c>
      <c r="R125" s="3">
        <f t="shared" si="8"/>
        <v>-268.00000000000045</v>
      </c>
      <c r="S125" s="24" t="s">
        <v>1334</v>
      </c>
      <c r="T125" s="24" t="s">
        <v>1334</v>
      </c>
      <c r="U125" s="3"/>
      <c r="V125" s="25" t="s">
        <v>7761</v>
      </c>
      <c r="W125" s="25"/>
      <c r="X125" s="25" t="str">
        <f>IFERROR(VLOOKUP(C_Ope_005[[#This Row],[nota_2]],Clientes_Proveedores[[Ruc / Dni]:[Razon Social]],2,0),"")</f>
        <v/>
      </c>
      <c r="Y125" s="25"/>
      <c r="Z125" s="103"/>
      <c r="AA125" s="3" t="str">
        <f>IF(C_Ope_005[[#This Row],[fecha]]&gt;0,TEXT(C_Ope_005[[#This Row],[fecha]],"mmmm"),0)</f>
        <v>Febrero</v>
      </c>
      <c r="AB125" s="49"/>
    </row>
    <row r="126" spans="1:28" x14ac:dyDescent="0.3">
      <c r="A126" s="2">
        <f>IF(C_Ope_005[[#This Row],[tipo_r]]="R",COUNTIFS($C$1:$C125,"R")+1,"")</f>
        <v>125</v>
      </c>
      <c r="B126" s="19" t="str">
        <f t="shared" si="9"/>
        <v>C_Ope_005</v>
      </c>
      <c r="C126" s="3" t="s">
        <v>1330</v>
      </c>
      <c r="D126" s="14">
        <v>45703</v>
      </c>
      <c r="E126" s="5" t="s">
        <v>8535</v>
      </c>
      <c r="F126" s="5" t="s">
        <v>1336</v>
      </c>
      <c r="G126" s="6"/>
      <c r="H126" s="6" t="s">
        <v>126</v>
      </c>
      <c r="I126" s="6"/>
      <c r="J126" s="6"/>
      <c r="K126" s="7" t="s">
        <v>8605</v>
      </c>
      <c r="L126" s="8">
        <v>23059</v>
      </c>
      <c r="M126" s="8" t="str">
        <f t="shared" si="10"/>
        <v>PEN</v>
      </c>
      <c r="N126" s="13"/>
      <c r="O126" s="13">
        <v>80</v>
      </c>
      <c r="P126" s="3">
        <f t="shared" si="6"/>
        <v>0</v>
      </c>
      <c r="Q126" s="3">
        <f t="shared" si="7"/>
        <v>80</v>
      </c>
      <c r="R126" s="3">
        <f t="shared" si="8"/>
        <v>-348.00000000000045</v>
      </c>
      <c r="S126" s="24" t="s">
        <v>1334</v>
      </c>
      <c r="T126" s="24" t="s">
        <v>1334</v>
      </c>
      <c r="U126" s="3"/>
      <c r="V126" s="25" t="s">
        <v>7761</v>
      </c>
      <c r="W126" s="25"/>
      <c r="X126" s="25" t="str">
        <f>IFERROR(VLOOKUP(C_Ope_005[[#This Row],[nota_2]],Clientes_Proveedores[[Ruc / Dni]:[Razon Social]],2,0),"")</f>
        <v/>
      </c>
      <c r="Y126" s="25"/>
      <c r="Z126" s="103"/>
      <c r="AA126" s="3" t="str">
        <f>IF(C_Ope_005[[#This Row],[fecha]]&gt;0,TEXT(C_Ope_005[[#This Row],[fecha]],"mmmm"),0)</f>
        <v>Febrero</v>
      </c>
      <c r="AB126" s="49"/>
    </row>
    <row r="127" spans="1:28" x14ac:dyDescent="0.3">
      <c r="A127" s="2">
        <f>IF(C_Ope_005[[#This Row],[tipo_r]]="R",COUNTIFS($C$1:$C126,"R")+1,"")</f>
        <v>126</v>
      </c>
      <c r="B127" s="19" t="str">
        <f t="shared" si="9"/>
        <v>C_Ope_005</v>
      </c>
      <c r="C127" s="3" t="s">
        <v>1330</v>
      </c>
      <c r="D127" s="14">
        <v>45703</v>
      </c>
      <c r="E127" s="5" t="s">
        <v>8535</v>
      </c>
      <c r="F127" s="5" t="s">
        <v>1336</v>
      </c>
      <c r="G127" s="6"/>
      <c r="H127" s="6" t="s">
        <v>126</v>
      </c>
      <c r="I127" s="6"/>
      <c r="J127" s="6"/>
      <c r="K127" s="7" t="s">
        <v>8606</v>
      </c>
      <c r="L127" s="8">
        <v>23060</v>
      </c>
      <c r="M127" s="8" t="str">
        <f t="shared" si="10"/>
        <v>PEN</v>
      </c>
      <c r="N127" s="13"/>
      <c r="O127" s="13">
        <v>15</v>
      </c>
      <c r="P127" s="3">
        <f t="shared" si="6"/>
        <v>0</v>
      </c>
      <c r="Q127" s="3">
        <f t="shared" si="7"/>
        <v>15</v>
      </c>
      <c r="R127" s="3">
        <f t="shared" si="8"/>
        <v>-363.00000000000045</v>
      </c>
      <c r="S127" s="24" t="s">
        <v>1334</v>
      </c>
      <c r="T127" s="24" t="s">
        <v>1334</v>
      </c>
      <c r="U127" s="3"/>
      <c r="V127" s="25" t="s">
        <v>7761</v>
      </c>
      <c r="W127" s="25"/>
      <c r="X127" s="25" t="str">
        <f>IFERROR(VLOOKUP(C_Ope_005[[#This Row],[nota_2]],Clientes_Proveedores[[Ruc / Dni]:[Razon Social]],2,0),"")</f>
        <v/>
      </c>
      <c r="Y127" s="25"/>
      <c r="Z127" s="103"/>
      <c r="AA127" s="3" t="str">
        <f>IF(C_Ope_005[[#This Row],[fecha]]&gt;0,TEXT(C_Ope_005[[#This Row],[fecha]],"mmmm"),0)</f>
        <v>Febrero</v>
      </c>
      <c r="AB127" s="49"/>
    </row>
    <row r="128" spans="1:28" x14ac:dyDescent="0.3">
      <c r="A128" s="2">
        <f>IF(C_Ope_005[[#This Row],[tipo_r]]="R",COUNTIFS($C$1:$C127,"R")+1,"")</f>
        <v>127</v>
      </c>
      <c r="B128" s="19" t="str">
        <f t="shared" si="9"/>
        <v>C_Ope_005</v>
      </c>
      <c r="C128" s="3" t="s">
        <v>1330</v>
      </c>
      <c r="D128" s="14">
        <v>45704</v>
      </c>
      <c r="E128" s="5" t="s">
        <v>8535</v>
      </c>
      <c r="F128" s="5" t="s">
        <v>1336</v>
      </c>
      <c r="G128" s="6"/>
      <c r="H128" s="6" t="s">
        <v>126</v>
      </c>
      <c r="I128" s="6"/>
      <c r="J128" s="6"/>
      <c r="K128" s="7" t="s">
        <v>8225</v>
      </c>
      <c r="L128" s="8">
        <v>23063</v>
      </c>
      <c r="M128" s="8" t="str">
        <f t="shared" si="10"/>
        <v>PEN</v>
      </c>
      <c r="N128" s="13"/>
      <c r="O128" s="13">
        <v>24</v>
      </c>
      <c r="P128" s="3">
        <f t="shared" si="6"/>
        <v>0</v>
      </c>
      <c r="Q128" s="3">
        <f t="shared" si="7"/>
        <v>24</v>
      </c>
      <c r="R128" s="3">
        <f t="shared" si="8"/>
        <v>-387.00000000000045</v>
      </c>
      <c r="S128" s="24" t="s">
        <v>1334</v>
      </c>
      <c r="T128" s="24" t="s">
        <v>1334</v>
      </c>
      <c r="U128" s="3"/>
      <c r="V128" s="25" t="s">
        <v>7761</v>
      </c>
      <c r="W128" s="25"/>
      <c r="X128" s="25" t="str">
        <f>IFERROR(VLOOKUP(C_Ope_005[[#This Row],[nota_2]],Clientes_Proveedores[[Ruc / Dni]:[Razon Social]],2,0),"")</f>
        <v/>
      </c>
      <c r="Y128" s="25"/>
      <c r="Z128" s="103"/>
      <c r="AA128" s="3" t="str">
        <f>IF(C_Ope_005[[#This Row],[fecha]]&gt;0,TEXT(C_Ope_005[[#This Row],[fecha]],"mmmm"),0)</f>
        <v>Febrero</v>
      </c>
      <c r="AB128" s="49"/>
    </row>
    <row r="129" spans="1:28" x14ac:dyDescent="0.3">
      <c r="A129" s="2">
        <f>IF(C_Ope_005[[#This Row],[tipo_r]]="R",COUNTIFS($C$1:$C128,"R")+1,"")</f>
        <v>128</v>
      </c>
      <c r="B129" s="19" t="str">
        <f t="shared" si="9"/>
        <v>C_Ope_005</v>
      </c>
      <c r="C129" s="3" t="s">
        <v>1330</v>
      </c>
      <c r="D129" s="14">
        <v>45704</v>
      </c>
      <c r="E129" s="5" t="s">
        <v>8535</v>
      </c>
      <c r="F129" s="5" t="s">
        <v>1336</v>
      </c>
      <c r="G129" s="6"/>
      <c r="H129" s="6" t="s">
        <v>126</v>
      </c>
      <c r="I129" s="6"/>
      <c r="J129" s="6"/>
      <c r="K129" s="7" t="s">
        <v>8218</v>
      </c>
      <c r="L129" s="8">
        <v>23064</v>
      </c>
      <c r="M129" s="8" t="str">
        <f t="shared" si="10"/>
        <v>PEN</v>
      </c>
      <c r="N129" s="13"/>
      <c r="O129" s="13">
        <v>30</v>
      </c>
      <c r="P129" s="3">
        <f t="shared" si="6"/>
        <v>0</v>
      </c>
      <c r="Q129" s="3">
        <f t="shared" si="7"/>
        <v>30</v>
      </c>
      <c r="R129" s="3">
        <f t="shared" si="8"/>
        <v>-417.00000000000045</v>
      </c>
      <c r="S129" s="24" t="s">
        <v>1334</v>
      </c>
      <c r="T129" s="24" t="s">
        <v>1334</v>
      </c>
      <c r="U129" s="3"/>
      <c r="V129" s="25" t="s">
        <v>7761</v>
      </c>
      <c r="W129" s="25"/>
      <c r="X129" s="25" t="str">
        <f>IFERROR(VLOOKUP(C_Ope_005[[#This Row],[nota_2]],Clientes_Proveedores[[Ruc / Dni]:[Razon Social]],2,0),"")</f>
        <v/>
      </c>
      <c r="Y129" s="25"/>
      <c r="Z129" s="103"/>
      <c r="AA129" s="3" t="str">
        <f>IF(C_Ope_005[[#This Row],[fecha]]&gt;0,TEXT(C_Ope_005[[#This Row],[fecha]],"mmmm"),0)</f>
        <v>Febrero</v>
      </c>
      <c r="AB129" s="49"/>
    </row>
    <row r="130" spans="1:28" ht="24" x14ac:dyDescent="0.3">
      <c r="A130" s="2">
        <f>IF(C_Ope_005[[#This Row],[tipo_r]]="R",COUNTIFS($C$1:$C129,"R")+1,"")</f>
        <v>129</v>
      </c>
      <c r="B130" s="19" t="str">
        <f t="shared" si="9"/>
        <v>C_Ope_005</v>
      </c>
      <c r="C130" s="3" t="s">
        <v>1330</v>
      </c>
      <c r="D130" s="14">
        <v>45705</v>
      </c>
      <c r="E130" s="5" t="s">
        <v>7514</v>
      </c>
      <c r="F130" s="5" t="s">
        <v>1303</v>
      </c>
      <c r="G130" s="6" t="s">
        <v>957</v>
      </c>
      <c r="H130" s="6"/>
      <c r="I130" s="6"/>
      <c r="J130" s="6"/>
      <c r="K130" s="7" t="s">
        <v>7516</v>
      </c>
      <c r="L130" s="8">
        <v>23078</v>
      </c>
      <c r="M130" s="8" t="str">
        <f t="shared" si="10"/>
        <v>PEN</v>
      </c>
      <c r="N130" s="13"/>
      <c r="O130" s="13">
        <v>600</v>
      </c>
      <c r="P130" s="3">
        <f t="shared" ref="P130:P193" si="11">+IF(OR($F130="SALDO",$F130="INGRESO"),$O130,0)</f>
        <v>600</v>
      </c>
      <c r="Q130" s="3">
        <f t="shared" ref="Q130:Q193" si="12">+IF($F130="EGRESO",$O130,0)</f>
        <v>0</v>
      </c>
      <c r="R130" s="3">
        <f t="shared" ref="R130:R193" si="13">IFERROR(IF(F130="SALDO",P130,R129+P130-Q130),0)</f>
        <v>182.99999999999955</v>
      </c>
      <c r="S130" s="24" t="s">
        <v>1334</v>
      </c>
      <c r="T130" s="24" t="s">
        <v>1334</v>
      </c>
      <c r="U130" s="3"/>
      <c r="V130" s="25"/>
      <c r="W130" s="25"/>
      <c r="X130" s="25" t="str">
        <f>IFERROR(VLOOKUP(C_Ope_005[[#This Row],[nota_2]],Clientes_Proveedores[[Ruc / Dni]:[Razon Social]],2,0),"")</f>
        <v/>
      </c>
      <c r="Y130" s="25"/>
      <c r="Z130" s="103"/>
      <c r="AA130" s="3" t="str">
        <f>IF(C_Ope_005[[#This Row],[fecha]]&gt;0,TEXT(C_Ope_005[[#This Row],[fecha]],"mmmm"),0)</f>
        <v>Febrero</v>
      </c>
      <c r="AB130" s="49"/>
    </row>
    <row r="131" spans="1:28" ht="36" x14ac:dyDescent="0.3">
      <c r="A131" s="2">
        <f>IF(C_Ope_005[[#This Row],[tipo_r]]="R",COUNTIFS($C$1:$C130,"R")+1,"")</f>
        <v>130</v>
      </c>
      <c r="B131" s="19" t="str">
        <f t="shared" ref="B131:B194" si="14">"C_Ope_005"</f>
        <v>C_Ope_005</v>
      </c>
      <c r="C131" s="3" t="s">
        <v>1330</v>
      </c>
      <c r="D131" s="14">
        <v>45705</v>
      </c>
      <c r="E131" s="5" t="s">
        <v>8535</v>
      </c>
      <c r="F131" s="5" t="s">
        <v>1336</v>
      </c>
      <c r="G131" s="6" t="s">
        <v>978</v>
      </c>
      <c r="H131" s="6" t="s">
        <v>68</v>
      </c>
      <c r="I131" s="6" t="s">
        <v>5845</v>
      </c>
      <c r="J131" s="6">
        <v>1677783</v>
      </c>
      <c r="K131" s="7" t="s">
        <v>8607</v>
      </c>
      <c r="L131" s="8">
        <v>23072</v>
      </c>
      <c r="M131" s="8" t="str">
        <f t="shared" ref="M131:M194" si="15">"PEN"</f>
        <v>PEN</v>
      </c>
      <c r="N131" s="13"/>
      <c r="O131" s="13">
        <v>8</v>
      </c>
      <c r="P131" s="3">
        <f t="shared" si="11"/>
        <v>0</v>
      </c>
      <c r="Q131" s="3">
        <f t="shared" si="12"/>
        <v>8</v>
      </c>
      <c r="R131" s="3">
        <f t="shared" si="13"/>
        <v>174.99999999999955</v>
      </c>
      <c r="S131" s="24" t="s">
        <v>1334</v>
      </c>
      <c r="T131" s="24" t="s">
        <v>1334</v>
      </c>
      <c r="U131" s="3"/>
      <c r="V131" s="25" t="s">
        <v>7761</v>
      </c>
      <c r="W131" s="25">
        <v>20517252558</v>
      </c>
      <c r="X131" s="25" t="str">
        <f>IFERROR(VLOOKUP(C_Ope_005[[#This Row],[nota_2]],Clientes_Proveedores[[Ruc / Dni]:[Razon Social]],2,0),"")</f>
        <v>COVISUR S.A.</v>
      </c>
      <c r="Y131" s="25"/>
      <c r="Z131" s="103"/>
      <c r="AA131" s="3" t="str">
        <f>IF(C_Ope_005[[#This Row],[fecha]]&gt;0,TEXT(C_Ope_005[[#This Row],[fecha]],"mmmm"),0)</f>
        <v>Febrero</v>
      </c>
      <c r="AB131" s="49"/>
    </row>
    <row r="132" spans="1:28" ht="36" x14ac:dyDescent="0.3">
      <c r="A132" s="2">
        <f>IF(C_Ope_005[[#This Row],[tipo_r]]="R",COUNTIFS($C$1:$C131,"R")+1,"")</f>
        <v>131</v>
      </c>
      <c r="B132" s="19" t="str">
        <f t="shared" si="14"/>
        <v>C_Ope_005</v>
      </c>
      <c r="C132" s="3" t="s">
        <v>1330</v>
      </c>
      <c r="D132" s="14">
        <v>45705</v>
      </c>
      <c r="E132" s="5" t="s">
        <v>8535</v>
      </c>
      <c r="F132" s="5" t="s">
        <v>1336</v>
      </c>
      <c r="G132" s="6" t="s">
        <v>978</v>
      </c>
      <c r="H132" s="6" t="s">
        <v>68</v>
      </c>
      <c r="I132" s="6" t="s">
        <v>6204</v>
      </c>
      <c r="J132" s="6">
        <v>1658565</v>
      </c>
      <c r="K132" s="7" t="s">
        <v>8607</v>
      </c>
      <c r="L132" s="8">
        <v>23073</v>
      </c>
      <c r="M132" s="8" t="str">
        <f t="shared" si="15"/>
        <v>PEN</v>
      </c>
      <c r="N132" s="13"/>
      <c r="O132" s="13">
        <v>8</v>
      </c>
      <c r="P132" s="3">
        <f t="shared" si="11"/>
        <v>0</v>
      </c>
      <c r="Q132" s="3">
        <f t="shared" si="12"/>
        <v>8</v>
      </c>
      <c r="R132" s="3">
        <f t="shared" si="13"/>
        <v>166.99999999999955</v>
      </c>
      <c r="S132" s="24" t="s">
        <v>1334</v>
      </c>
      <c r="T132" s="24" t="s">
        <v>1334</v>
      </c>
      <c r="U132" s="3"/>
      <c r="V132" s="25" t="s">
        <v>7761</v>
      </c>
      <c r="W132" s="25">
        <v>20517252558</v>
      </c>
      <c r="X132" s="25" t="str">
        <f>IFERROR(VLOOKUP(C_Ope_005[[#This Row],[nota_2]],Clientes_Proveedores[[Ruc / Dni]:[Razon Social]],2,0),"")</f>
        <v>COVISUR S.A.</v>
      </c>
      <c r="Y132" s="25"/>
      <c r="Z132" s="103"/>
      <c r="AA132" s="3" t="str">
        <f>IF(C_Ope_005[[#This Row],[fecha]]&gt;0,TEXT(C_Ope_005[[#This Row],[fecha]],"mmmm"),0)</f>
        <v>Febrero</v>
      </c>
      <c r="AB132" s="49"/>
    </row>
    <row r="133" spans="1:28" ht="24" x14ac:dyDescent="0.3">
      <c r="A133" s="2">
        <f>IF(C_Ope_005[[#This Row],[tipo_r]]="R",COUNTIFS($C$1:$C132,"R")+1,"")</f>
        <v>132</v>
      </c>
      <c r="B133" s="19" t="str">
        <f t="shared" si="14"/>
        <v>C_Ope_005</v>
      </c>
      <c r="C133" s="3" t="s">
        <v>1330</v>
      </c>
      <c r="D133" s="14">
        <v>45707</v>
      </c>
      <c r="E133" s="5" t="s">
        <v>8535</v>
      </c>
      <c r="F133" s="5" t="s">
        <v>1336</v>
      </c>
      <c r="G133" s="6" t="s">
        <v>978</v>
      </c>
      <c r="H133" s="6" t="s">
        <v>68</v>
      </c>
      <c r="I133" s="6" t="s">
        <v>6204</v>
      </c>
      <c r="J133" s="6">
        <v>1660398</v>
      </c>
      <c r="K133" s="7" t="s">
        <v>8608</v>
      </c>
      <c r="L133" s="8">
        <v>23097</v>
      </c>
      <c r="M133" s="8" t="str">
        <f t="shared" si="15"/>
        <v>PEN</v>
      </c>
      <c r="N133" s="13"/>
      <c r="O133" s="13">
        <v>8</v>
      </c>
      <c r="P133" s="3">
        <f t="shared" si="11"/>
        <v>0</v>
      </c>
      <c r="Q133" s="3">
        <f t="shared" si="12"/>
        <v>8</v>
      </c>
      <c r="R133" s="3">
        <f t="shared" si="13"/>
        <v>158.99999999999955</v>
      </c>
      <c r="S133" s="24" t="s">
        <v>1334</v>
      </c>
      <c r="T133" s="24" t="s">
        <v>1334</v>
      </c>
      <c r="U133" s="3"/>
      <c r="V133" s="25" t="s">
        <v>7761</v>
      </c>
      <c r="W133" s="25">
        <v>20517252558</v>
      </c>
      <c r="X133" s="25" t="str">
        <f>IFERROR(VLOOKUP(C_Ope_005[[#This Row],[nota_2]],Clientes_Proveedores[[Ruc / Dni]:[Razon Social]],2,0),"")</f>
        <v>COVISUR S.A.</v>
      </c>
      <c r="Y133" s="25"/>
      <c r="Z133" s="103"/>
      <c r="AA133" s="3" t="str">
        <f>IF(C_Ope_005[[#This Row],[fecha]]&gt;0,TEXT(C_Ope_005[[#This Row],[fecha]],"mmmm"),0)</f>
        <v>Febrero</v>
      </c>
      <c r="AB133" s="49"/>
    </row>
    <row r="134" spans="1:28" ht="36" x14ac:dyDescent="0.3">
      <c r="A134" s="2">
        <f>IF(C_Ope_005[[#This Row],[tipo_r]]="R",COUNTIFS($C$1:$C133,"R")+1,"")</f>
        <v>133</v>
      </c>
      <c r="B134" s="19" t="str">
        <f t="shared" si="14"/>
        <v>C_Ope_005</v>
      </c>
      <c r="C134" s="3" t="s">
        <v>1330</v>
      </c>
      <c r="D134" s="14">
        <v>45705</v>
      </c>
      <c r="E134" s="5" t="s">
        <v>8535</v>
      </c>
      <c r="F134" s="5" t="s">
        <v>1336</v>
      </c>
      <c r="G134" s="6" t="s">
        <v>682</v>
      </c>
      <c r="H134" s="6" t="s">
        <v>68</v>
      </c>
      <c r="I134" s="6" t="s">
        <v>1353</v>
      </c>
      <c r="J134" s="6">
        <v>15657</v>
      </c>
      <c r="K134" s="7" t="s">
        <v>8609</v>
      </c>
      <c r="L134" s="8">
        <v>23074</v>
      </c>
      <c r="M134" s="8" t="str">
        <f t="shared" si="15"/>
        <v>PEN</v>
      </c>
      <c r="N134" s="13"/>
      <c r="O134" s="13">
        <v>20</v>
      </c>
      <c r="P134" s="3">
        <f t="shared" si="11"/>
        <v>0</v>
      </c>
      <c r="Q134" s="3">
        <f t="shared" si="12"/>
        <v>20</v>
      </c>
      <c r="R134" s="3">
        <f t="shared" si="13"/>
        <v>138.99999999999955</v>
      </c>
      <c r="S134" s="24" t="s">
        <v>1334</v>
      </c>
      <c r="T134" s="24" t="s">
        <v>1334</v>
      </c>
      <c r="U134" s="3"/>
      <c r="V134" s="25" t="s">
        <v>7761</v>
      </c>
      <c r="W134" s="25">
        <v>20259858934</v>
      </c>
      <c r="X134" s="25" t="str">
        <f>IFERROR(VLOOKUP(C_Ope_005[[#This Row],[nota_2]],Clientes_Proveedores[[Ruc / Dni]:[Razon Social]],2,0),"")</f>
        <v>COMERCIALIZACION Y SERVICIOS EL EDEN S.A.C.</v>
      </c>
      <c r="Y134" s="25"/>
      <c r="Z134" s="103"/>
      <c r="AA134" s="3" t="str">
        <f>IF(C_Ope_005[[#This Row],[fecha]]&gt;0,TEXT(C_Ope_005[[#This Row],[fecha]],"mmmm"),0)</f>
        <v>Febrero</v>
      </c>
      <c r="AB134" s="49"/>
    </row>
    <row r="135" spans="1:28" ht="36" x14ac:dyDescent="0.3">
      <c r="A135" s="2">
        <f>IF(C_Ope_005[[#This Row],[tipo_r]]="R",COUNTIFS($C$1:$C134,"R")+1,"")</f>
        <v>134</v>
      </c>
      <c r="B135" s="19" t="str">
        <f t="shared" si="14"/>
        <v>C_Ope_005</v>
      </c>
      <c r="C135" s="3" t="s">
        <v>1330</v>
      </c>
      <c r="D135" s="14">
        <v>45705</v>
      </c>
      <c r="E135" s="5" t="s">
        <v>8535</v>
      </c>
      <c r="F135" s="5" t="s">
        <v>1336</v>
      </c>
      <c r="G135" s="6" t="s">
        <v>682</v>
      </c>
      <c r="H135" s="6" t="s">
        <v>68</v>
      </c>
      <c r="I135" s="6" t="s">
        <v>1353</v>
      </c>
      <c r="J135" s="6">
        <v>15659</v>
      </c>
      <c r="K135" s="7" t="s">
        <v>8610</v>
      </c>
      <c r="L135" s="8">
        <v>23075</v>
      </c>
      <c r="M135" s="8" t="str">
        <f t="shared" si="15"/>
        <v>PEN</v>
      </c>
      <c r="N135" s="13"/>
      <c r="O135" s="13">
        <v>20</v>
      </c>
      <c r="P135" s="3">
        <f t="shared" si="11"/>
        <v>0</v>
      </c>
      <c r="Q135" s="3">
        <f t="shared" si="12"/>
        <v>20</v>
      </c>
      <c r="R135" s="3">
        <f t="shared" si="13"/>
        <v>118.99999999999955</v>
      </c>
      <c r="S135" s="24" t="s">
        <v>1334</v>
      </c>
      <c r="T135" s="24" t="s">
        <v>1334</v>
      </c>
      <c r="U135" s="3"/>
      <c r="V135" s="25" t="s">
        <v>7761</v>
      </c>
      <c r="W135" s="25">
        <v>20259858934</v>
      </c>
      <c r="X135" s="25" t="str">
        <f>IFERROR(VLOOKUP(C_Ope_005[[#This Row],[nota_2]],Clientes_Proveedores[[Ruc / Dni]:[Razon Social]],2,0),"")</f>
        <v>COMERCIALIZACION Y SERVICIOS EL EDEN S.A.C.</v>
      </c>
      <c r="Y135" s="25"/>
      <c r="Z135" s="103"/>
      <c r="AA135" s="3" t="str">
        <f>IF(C_Ope_005[[#This Row],[fecha]]&gt;0,TEXT(C_Ope_005[[#This Row],[fecha]],"mmmm"),0)</f>
        <v>Febrero</v>
      </c>
      <c r="AB135" s="49"/>
    </row>
    <row r="136" spans="1:28" ht="36" x14ac:dyDescent="0.3">
      <c r="A136" s="2">
        <f>IF(C_Ope_005[[#This Row],[tipo_r]]="R",COUNTIFS($C$1:$C135,"R")+1,"")</f>
        <v>135</v>
      </c>
      <c r="B136" s="19" t="str">
        <f t="shared" si="14"/>
        <v>C_Ope_005</v>
      </c>
      <c r="C136" s="3" t="s">
        <v>1330</v>
      </c>
      <c r="D136" s="14">
        <v>45706</v>
      </c>
      <c r="E136" s="5" t="s">
        <v>8535</v>
      </c>
      <c r="F136" s="5" t="s">
        <v>1336</v>
      </c>
      <c r="G136" s="6" t="s">
        <v>682</v>
      </c>
      <c r="H136" s="6" t="s">
        <v>68</v>
      </c>
      <c r="I136" s="6" t="s">
        <v>1343</v>
      </c>
      <c r="J136" s="6">
        <v>33901</v>
      </c>
      <c r="K136" s="7" t="s">
        <v>8611</v>
      </c>
      <c r="L136" s="8">
        <v>23079</v>
      </c>
      <c r="M136" s="8" t="str">
        <f t="shared" si="15"/>
        <v>PEN</v>
      </c>
      <c r="N136" s="13"/>
      <c r="O136" s="13">
        <v>10</v>
      </c>
      <c r="P136" s="3">
        <f t="shared" si="11"/>
        <v>0</v>
      </c>
      <c r="Q136" s="3">
        <f t="shared" si="12"/>
        <v>10</v>
      </c>
      <c r="R136" s="3">
        <f t="shared" si="13"/>
        <v>108.99999999999955</v>
      </c>
      <c r="S136" s="24" t="s">
        <v>1334</v>
      </c>
      <c r="T136" s="24" t="s">
        <v>1334</v>
      </c>
      <c r="U136" s="3"/>
      <c r="V136" s="25" t="s">
        <v>7761</v>
      </c>
      <c r="W136" s="25">
        <v>20259858934</v>
      </c>
      <c r="X136" s="25" t="str">
        <f>IFERROR(VLOOKUP(C_Ope_005[[#This Row],[nota_2]],Clientes_Proveedores[[Ruc / Dni]:[Razon Social]],2,0),"")</f>
        <v>COMERCIALIZACION Y SERVICIOS EL EDEN S.A.C.</v>
      </c>
      <c r="Y136" s="25"/>
      <c r="Z136" s="103"/>
      <c r="AA136" s="3" t="str">
        <f>IF(C_Ope_005[[#This Row],[fecha]]&gt;0,TEXT(C_Ope_005[[#This Row],[fecha]],"mmmm"),0)</f>
        <v>Febrero</v>
      </c>
      <c r="AB136" s="49"/>
    </row>
    <row r="137" spans="1:28" ht="36" x14ac:dyDescent="0.3">
      <c r="A137" s="2">
        <f>IF(C_Ope_005[[#This Row],[tipo_r]]="R",COUNTIFS($C$1:$C136,"R")+1,"")</f>
        <v>136</v>
      </c>
      <c r="B137" s="19" t="str">
        <f t="shared" si="14"/>
        <v>C_Ope_005</v>
      </c>
      <c r="C137" s="3" t="s">
        <v>1330</v>
      </c>
      <c r="D137" s="14">
        <v>45707</v>
      </c>
      <c r="E137" s="5" t="s">
        <v>8535</v>
      </c>
      <c r="F137" s="5" t="s">
        <v>1336</v>
      </c>
      <c r="G137" s="6" t="s">
        <v>682</v>
      </c>
      <c r="H137" s="6" t="s">
        <v>68</v>
      </c>
      <c r="I137" s="6" t="s">
        <v>1343</v>
      </c>
      <c r="J137" s="6">
        <v>33911</v>
      </c>
      <c r="K137" s="7" t="s">
        <v>7810</v>
      </c>
      <c r="L137" s="8">
        <v>23098</v>
      </c>
      <c r="M137" s="8" t="str">
        <f t="shared" si="15"/>
        <v>PEN</v>
      </c>
      <c r="N137" s="13"/>
      <c r="O137" s="13">
        <v>10</v>
      </c>
      <c r="P137" s="3">
        <f t="shared" si="11"/>
        <v>0</v>
      </c>
      <c r="Q137" s="3">
        <f t="shared" si="12"/>
        <v>10</v>
      </c>
      <c r="R137" s="3">
        <f t="shared" si="13"/>
        <v>98.999999999999545</v>
      </c>
      <c r="S137" s="24" t="s">
        <v>1334</v>
      </c>
      <c r="T137" s="24" t="s">
        <v>1334</v>
      </c>
      <c r="U137" s="3"/>
      <c r="V137" s="25" t="s">
        <v>7761</v>
      </c>
      <c r="W137" s="25">
        <v>20259858934</v>
      </c>
      <c r="X137" s="25" t="str">
        <f>IFERROR(VLOOKUP(C_Ope_005[[#This Row],[nota_2]],Clientes_Proveedores[[Ruc / Dni]:[Razon Social]],2,0),"")</f>
        <v>COMERCIALIZACION Y SERVICIOS EL EDEN S.A.C.</v>
      </c>
      <c r="Y137" s="25"/>
      <c r="Z137" s="103"/>
      <c r="AA137" s="3" t="str">
        <f>IF(C_Ope_005[[#This Row],[fecha]]&gt;0,TEXT(C_Ope_005[[#This Row],[fecha]],"mmmm"),0)</f>
        <v>Febrero</v>
      </c>
      <c r="AB137" s="49"/>
    </row>
    <row r="138" spans="1:28" ht="36" x14ac:dyDescent="0.3">
      <c r="A138" s="2">
        <f>IF(C_Ope_005[[#This Row],[tipo_r]]="R",COUNTIFS($C$1:$C137,"R")+1,"")</f>
        <v>137</v>
      </c>
      <c r="B138" s="19" t="str">
        <f t="shared" si="14"/>
        <v>C_Ope_005</v>
      </c>
      <c r="C138" s="3" t="s">
        <v>1330</v>
      </c>
      <c r="D138" s="14">
        <v>45708</v>
      </c>
      <c r="E138" s="5" t="s">
        <v>8535</v>
      </c>
      <c r="F138" s="5" t="s">
        <v>1336</v>
      </c>
      <c r="G138" s="6" t="s">
        <v>682</v>
      </c>
      <c r="H138" s="6" t="s">
        <v>68</v>
      </c>
      <c r="I138" s="6" t="s">
        <v>1343</v>
      </c>
      <c r="J138" s="6">
        <v>33917</v>
      </c>
      <c r="K138" s="7" t="s">
        <v>8611</v>
      </c>
      <c r="L138" s="8">
        <v>23103</v>
      </c>
      <c r="M138" s="8" t="str">
        <f t="shared" si="15"/>
        <v>PEN</v>
      </c>
      <c r="N138" s="13"/>
      <c r="O138" s="13">
        <v>10</v>
      </c>
      <c r="P138" s="3">
        <f t="shared" si="11"/>
        <v>0</v>
      </c>
      <c r="Q138" s="3">
        <f t="shared" si="12"/>
        <v>10</v>
      </c>
      <c r="R138" s="3">
        <f t="shared" si="13"/>
        <v>88.999999999999545</v>
      </c>
      <c r="S138" s="24" t="s">
        <v>1334</v>
      </c>
      <c r="T138" s="24" t="s">
        <v>1334</v>
      </c>
      <c r="U138" s="3"/>
      <c r="V138" s="25" t="s">
        <v>7761</v>
      </c>
      <c r="W138" s="25">
        <v>20259858934</v>
      </c>
      <c r="X138" s="25" t="str">
        <f>IFERROR(VLOOKUP(C_Ope_005[[#This Row],[nota_2]],Clientes_Proveedores[[Ruc / Dni]:[Razon Social]],2,0),"")</f>
        <v>COMERCIALIZACION Y SERVICIOS EL EDEN S.A.C.</v>
      </c>
      <c r="Y138" s="25"/>
      <c r="Z138" s="103"/>
      <c r="AA138" s="3" t="str">
        <f>IF(C_Ope_005[[#This Row],[fecha]]&gt;0,TEXT(C_Ope_005[[#This Row],[fecha]],"mmmm"),0)</f>
        <v>Febrero</v>
      </c>
      <c r="AB138" s="49"/>
    </row>
    <row r="139" spans="1:28" ht="36" x14ac:dyDescent="0.3">
      <c r="A139" s="2">
        <f>IF(C_Ope_005[[#This Row],[tipo_r]]="R",COUNTIFS($C$1:$C138,"R")+1,"")</f>
        <v>138</v>
      </c>
      <c r="B139" s="19" t="str">
        <f t="shared" si="14"/>
        <v>C_Ope_005</v>
      </c>
      <c r="C139" s="3" t="s">
        <v>1330</v>
      </c>
      <c r="D139" s="14">
        <v>45708</v>
      </c>
      <c r="E139" s="5" t="s">
        <v>8535</v>
      </c>
      <c r="F139" s="5" t="s">
        <v>1336</v>
      </c>
      <c r="G139" s="6" t="s">
        <v>682</v>
      </c>
      <c r="H139" s="6" t="s">
        <v>68</v>
      </c>
      <c r="I139" s="6" t="s">
        <v>1343</v>
      </c>
      <c r="J139" s="6">
        <v>33923</v>
      </c>
      <c r="K139" s="7" t="s">
        <v>8612</v>
      </c>
      <c r="L139" s="8">
        <v>23104</v>
      </c>
      <c r="M139" s="8" t="str">
        <f t="shared" si="15"/>
        <v>PEN</v>
      </c>
      <c r="N139" s="13"/>
      <c r="O139" s="13">
        <v>10</v>
      </c>
      <c r="P139" s="3">
        <f t="shared" si="11"/>
        <v>0</v>
      </c>
      <c r="Q139" s="3">
        <f t="shared" si="12"/>
        <v>10</v>
      </c>
      <c r="R139" s="3">
        <f t="shared" si="13"/>
        <v>78.999999999999545</v>
      </c>
      <c r="S139" s="24" t="s">
        <v>1334</v>
      </c>
      <c r="T139" s="24" t="s">
        <v>1334</v>
      </c>
      <c r="U139" s="3"/>
      <c r="V139" s="25" t="s">
        <v>7761</v>
      </c>
      <c r="W139" s="25">
        <v>20259858934</v>
      </c>
      <c r="X139" s="25" t="str">
        <f>IFERROR(VLOOKUP(C_Ope_005[[#This Row],[nota_2]],Clientes_Proveedores[[Ruc / Dni]:[Razon Social]],2,0),"")</f>
        <v>COMERCIALIZACION Y SERVICIOS EL EDEN S.A.C.</v>
      </c>
      <c r="Y139" s="25"/>
      <c r="Z139" s="103"/>
      <c r="AA139" s="3" t="str">
        <f>IF(C_Ope_005[[#This Row],[fecha]]&gt;0,TEXT(C_Ope_005[[#This Row],[fecha]],"mmmm"),0)</f>
        <v>Febrero</v>
      </c>
      <c r="AB139" s="49"/>
    </row>
    <row r="140" spans="1:28" ht="36" x14ac:dyDescent="0.3">
      <c r="A140" s="2">
        <f>IF(C_Ope_005[[#This Row],[tipo_r]]="R",COUNTIFS($C$1:$C139,"R")+1,"")</f>
        <v>139</v>
      </c>
      <c r="B140" s="19" t="str">
        <f t="shared" si="14"/>
        <v>C_Ope_005</v>
      </c>
      <c r="C140" s="3" t="s">
        <v>1330</v>
      </c>
      <c r="D140" s="14">
        <v>45709</v>
      </c>
      <c r="E140" s="5" t="s">
        <v>8535</v>
      </c>
      <c r="F140" s="5" t="s">
        <v>1336</v>
      </c>
      <c r="G140" s="6" t="s">
        <v>682</v>
      </c>
      <c r="H140" s="6" t="s">
        <v>68</v>
      </c>
      <c r="I140" s="6" t="s">
        <v>1343</v>
      </c>
      <c r="J140" s="6">
        <v>33934</v>
      </c>
      <c r="K140" s="7" t="s">
        <v>7810</v>
      </c>
      <c r="L140" s="8">
        <v>23112</v>
      </c>
      <c r="M140" s="8" t="str">
        <f t="shared" si="15"/>
        <v>PEN</v>
      </c>
      <c r="N140" s="13"/>
      <c r="O140" s="13">
        <v>10</v>
      </c>
      <c r="P140" s="3">
        <f t="shared" si="11"/>
        <v>0</v>
      </c>
      <c r="Q140" s="3">
        <f t="shared" si="12"/>
        <v>10</v>
      </c>
      <c r="R140" s="3">
        <f t="shared" si="13"/>
        <v>68.999999999999545</v>
      </c>
      <c r="S140" s="24" t="s">
        <v>1334</v>
      </c>
      <c r="T140" s="24" t="s">
        <v>1334</v>
      </c>
      <c r="U140" s="3"/>
      <c r="V140" s="25" t="s">
        <v>7761</v>
      </c>
      <c r="W140" s="25">
        <v>20259858934</v>
      </c>
      <c r="X140" s="25" t="str">
        <f>IFERROR(VLOOKUP(C_Ope_005[[#This Row],[nota_2]],Clientes_Proveedores[[Ruc / Dni]:[Razon Social]],2,0),"")</f>
        <v>COMERCIALIZACION Y SERVICIOS EL EDEN S.A.C.</v>
      </c>
      <c r="Y140" s="25"/>
      <c r="Z140" s="103"/>
      <c r="AA140" s="3" t="str">
        <f>IF(C_Ope_005[[#This Row],[fecha]]&gt;0,TEXT(C_Ope_005[[#This Row],[fecha]],"mmmm"),0)</f>
        <v>Febrero</v>
      </c>
      <c r="AB140" s="49"/>
    </row>
    <row r="141" spans="1:28" ht="36" x14ac:dyDescent="0.3">
      <c r="A141" s="2">
        <f>IF(C_Ope_005[[#This Row],[tipo_r]]="R",COUNTIFS($C$1:$C140,"R")+1,"")</f>
        <v>140</v>
      </c>
      <c r="B141" s="19" t="str">
        <f t="shared" si="14"/>
        <v>C_Ope_005</v>
      </c>
      <c r="C141" s="3" t="s">
        <v>1330</v>
      </c>
      <c r="D141" s="14">
        <v>45709</v>
      </c>
      <c r="E141" s="5" t="s">
        <v>8535</v>
      </c>
      <c r="F141" s="5" t="s">
        <v>1336</v>
      </c>
      <c r="G141" s="6" t="s">
        <v>682</v>
      </c>
      <c r="H141" s="6" t="s">
        <v>68</v>
      </c>
      <c r="I141" s="6" t="s">
        <v>1343</v>
      </c>
      <c r="J141" s="6">
        <v>33935</v>
      </c>
      <c r="K141" s="7" t="s">
        <v>8613</v>
      </c>
      <c r="L141" s="8">
        <v>23113</v>
      </c>
      <c r="M141" s="8" t="str">
        <f t="shared" si="15"/>
        <v>PEN</v>
      </c>
      <c r="N141" s="13"/>
      <c r="O141" s="13">
        <v>10</v>
      </c>
      <c r="P141" s="3">
        <f t="shared" si="11"/>
        <v>0</v>
      </c>
      <c r="Q141" s="3">
        <f t="shared" si="12"/>
        <v>10</v>
      </c>
      <c r="R141" s="3">
        <f t="shared" si="13"/>
        <v>58.999999999999545</v>
      </c>
      <c r="S141" s="24" t="s">
        <v>1334</v>
      </c>
      <c r="T141" s="24" t="s">
        <v>1334</v>
      </c>
      <c r="U141" s="3"/>
      <c r="V141" s="25" t="s">
        <v>7761</v>
      </c>
      <c r="W141" s="25">
        <v>20259858934</v>
      </c>
      <c r="X141" s="25" t="str">
        <f>IFERROR(VLOOKUP(C_Ope_005[[#This Row],[nota_2]],Clientes_Proveedores[[Ruc / Dni]:[Razon Social]],2,0),"")</f>
        <v>COMERCIALIZACION Y SERVICIOS EL EDEN S.A.C.</v>
      </c>
      <c r="Y141" s="25"/>
      <c r="Z141" s="103"/>
      <c r="AA141" s="3" t="str">
        <f>IF(C_Ope_005[[#This Row],[fecha]]&gt;0,TEXT(C_Ope_005[[#This Row],[fecha]],"mmmm"),0)</f>
        <v>Febrero</v>
      </c>
      <c r="AB141" s="49"/>
    </row>
    <row r="142" spans="1:28" ht="24" x14ac:dyDescent="0.3">
      <c r="A142" s="2">
        <f>IF(C_Ope_005[[#This Row],[tipo_r]]="R",COUNTIFS($C$1:$C141,"R")+1,"")</f>
        <v>141</v>
      </c>
      <c r="B142" s="19" t="str">
        <f t="shared" si="14"/>
        <v>C_Ope_005</v>
      </c>
      <c r="C142" s="3" t="s">
        <v>1330</v>
      </c>
      <c r="D142" s="14">
        <v>45705</v>
      </c>
      <c r="E142" s="5" t="s">
        <v>8535</v>
      </c>
      <c r="F142" s="5" t="s">
        <v>1336</v>
      </c>
      <c r="G142" s="6" t="s">
        <v>1168</v>
      </c>
      <c r="H142" s="6" t="s">
        <v>68</v>
      </c>
      <c r="I142" s="6" t="s">
        <v>1374</v>
      </c>
      <c r="J142" s="6">
        <v>1544</v>
      </c>
      <c r="K142" s="7" t="s">
        <v>7777</v>
      </c>
      <c r="L142" s="8">
        <v>23076</v>
      </c>
      <c r="M142" s="8" t="str">
        <f t="shared" si="15"/>
        <v>PEN</v>
      </c>
      <c r="N142" s="13"/>
      <c r="O142" s="13">
        <v>35</v>
      </c>
      <c r="P142" s="3">
        <f t="shared" si="11"/>
        <v>0</v>
      </c>
      <c r="Q142" s="3">
        <f t="shared" si="12"/>
        <v>35</v>
      </c>
      <c r="R142" s="3">
        <f t="shared" si="13"/>
        <v>23.999999999999545</v>
      </c>
      <c r="S142" s="24" t="s">
        <v>1334</v>
      </c>
      <c r="T142" s="24" t="s">
        <v>1334</v>
      </c>
      <c r="U142" s="3"/>
      <c r="V142" s="25" t="s">
        <v>7761</v>
      </c>
      <c r="W142" s="25">
        <v>10296416423</v>
      </c>
      <c r="X142" s="25" t="str">
        <f>IFERROR(VLOOKUP(C_Ope_005[[#This Row],[nota_2]],Clientes_Proveedores[[Ruc / Dni]:[Razon Social]],2,0),"")</f>
        <v>FLORES SIAS EDWIN EDWARDS</v>
      </c>
      <c r="Y142" s="25"/>
      <c r="Z142" s="103"/>
      <c r="AA142" s="3" t="str">
        <f>IF(C_Ope_005[[#This Row],[fecha]]&gt;0,TEXT(C_Ope_005[[#This Row],[fecha]],"mmmm"),0)</f>
        <v>Febrero</v>
      </c>
      <c r="AB142" s="49"/>
    </row>
    <row r="143" spans="1:28" ht="24" x14ac:dyDescent="0.3">
      <c r="A143" s="2">
        <f>IF(C_Ope_005[[#This Row],[tipo_r]]="R",COUNTIFS($C$1:$C142,"R")+1,"")</f>
        <v>142</v>
      </c>
      <c r="B143" s="19" t="str">
        <f t="shared" si="14"/>
        <v>C_Ope_005</v>
      </c>
      <c r="C143" s="3" t="s">
        <v>1330</v>
      </c>
      <c r="D143" s="14">
        <v>45712</v>
      </c>
      <c r="E143" s="5" t="s">
        <v>7514</v>
      </c>
      <c r="F143" s="5" t="s">
        <v>1303</v>
      </c>
      <c r="G143" s="6" t="s">
        <v>957</v>
      </c>
      <c r="H143" s="6"/>
      <c r="I143" s="6"/>
      <c r="J143" s="6"/>
      <c r="K143" s="7" t="s">
        <v>7516</v>
      </c>
      <c r="L143" s="8">
        <v>23179</v>
      </c>
      <c r="M143" s="8" t="str">
        <f t="shared" si="15"/>
        <v>PEN</v>
      </c>
      <c r="N143" s="13"/>
      <c r="O143" s="13">
        <v>180</v>
      </c>
      <c r="P143" s="3">
        <f t="shared" si="11"/>
        <v>180</v>
      </c>
      <c r="Q143" s="3">
        <f t="shared" si="12"/>
        <v>0</v>
      </c>
      <c r="R143" s="3">
        <f t="shared" si="13"/>
        <v>203.99999999999955</v>
      </c>
      <c r="S143" s="24" t="s">
        <v>1334</v>
      </c>
      <c r="T143" s="24" t="s">
        <v>1334</v>
      </c>
      <c r="U143" s="3"/>
      <c r="V143" s="25"/>
      <c r="W143" s="25"/>
      <c r="X143" s="25" t="str">
        <f>IFERROR(VLOOKUP(C_Ope_005[[#This Row],[nota_2]],Clientes_Proveedores[[Ruc / Dni]:[Razon Social]],2,0),"")</f>
        <v/>
      </c>
      <c r="Y143" s="25"/>
      <c r="Z143" s="103"/>
      <c r="AA143" s="3" t="str">
        <f>IF(C_Ope_005[[#This Row],[fecha]]&gt;0,TEXT(C_Ope_005[[#This Row],[fecha]],"mmmm"),0)</f>
        <v>Febrero</v>
      </c>
      <c r="AB143" s="49"/>
    </row>
    <row r="144" spans="1:28" ht="24" x14ac:dyDescent="0.3">
      <c r="A144" s="2">
        <f>IF(C_Ope_005[[#This Row],[tipo_r]]="R",COUNTIFS($C$1:$C143,"R")+1,"")</f>
        <v>143</v>
      </c>
      <c r="B144" s="19" t="str">
        <f t="shared" si="14"/>
        <v>C_Ope_005</v>
      </c>
      <c r="C144" s="3" t="s">
        <v>1330</v>
      </c>
      <c r="D144" s="14">
        <v>45714</v>
      </c>
      <c r="E144" s="5" t="s">
        <v>8535</v>
      </c>
      <c r="F144" s="5" t="s">
        <v>1336</v>
      </c>
      <c r="G144" s="6" t="s">
        <v>978</v>
      </c>
      <c r="H144" s="6" t="s">
        <v>68</v>
      </c>
      <c r="I144" s="6" t="s">
        <v>6204</v>
      </c>
      <c r="J144" s="6">
        <v>1665939</v>
      </c>
      <c r="K144" s="7" t="s">
        <v>8614</v>
      </c>
      <c r="L144" s="8">
        <v>23206</v>
      </c>
      <c r="M144" s="8" t="str">
        <f t="shared" si="15"/>
        <v>PEN</v>
      </c>
      <c r="N144" s="13"/>
      <c r="O144" s="13">
        <v>8</v>
      </c>
      <c r="P144" s="3">
        <f t="shared" si="11"/>
        <v>0</v>
      </c>
      <c r="Q144" s="3">
        <f t="shared" si="12"/>
        <v>8</v>
      </c>
      <c r="R144" s="3">
        <f t="shared" si="13"/>
        <v>195.99999999999955</v>
      </c>
      <c r="S144" s="24" t="s">
        <v>1334</v>
      </c>
      <c r="T144" s="24" t="s">
        <v>1334</v>
      </c>
      <c r="U144" s="3"/>
      <c r="V144" s="25" t="s">
        <v>7761</v>
      </c>
      <c r="W144" s="25">
        <v>20517252558</v>
      </c>
      <c r="X144" s="25" t="str">
        <f>IFERROR(VLOOKUP(C_Ope_005[[#This Row],[nota_2]],Clientes_Proveedores[[Ruc / Dni]:[Razon Social]],2,0),"")</f>
        <v>COVISUR S.A.</v>
      </c>
      <c r="Y144" s="25"/>
      <c r="Z144" s="103"/>
      <c r="AA144" s="3" t="str">
        <f>IF(C_Ope_005[[#This Row],[fecha]]&gt;0,TEXT(C_Ope_005[[#This Row],[fecha]],"mmmm"),0)</f>
        <v>Febrero</v>
      </c>
      <c r="AB144" s="49"/>
    </row>
    <row r="145" spans="1:28" ht="24" x14ac:dyDescent="0.3">
      <c r="A145" s="2">
        <f>IF(C_Ope_005[[#This Row],[tipo_r]]="R",COUNTIFS($C$1:$C144,"R")+1,"")</f>
        <v>144</v>
      </c>
      <c r="B145" s="19" t="str">
        <f t="shared" si="14"/>
        <v>C_Ope_005</v>
      </c>
      <c r="C145" s="3" t="s">
        <v>1330</v>
      </c>
      <c r="D145" s="14">
        <v>45716</v>
      </c>
      <c r="E145" s="5" t="s">
        <v>8535</v>
      </c>
      <c r="F145" s="5" t="s">
        <v>1336</v>
      </c>
      <c r="G145" s="6" t="s">
        <v>978</v>
      </c>
      <c r="H145" s="6" t="s">
        <v>68</v>
      </c>
      <c r="I145" s="6" t="s">
        <v>5688</v>
      </c>
      <c r="J145" s="6">
        <v>2248752</v>
      </c>
      <c r="K145" s="7" t="s">
        <v>8615</v>
      </c>
      <c r="L145" s="8">
        <v>23258</v>
      </c>
      <c r="M145" s="8" t="str">
        <f t="shared" si="15"/>
        <v>PEN</v>
      </c>
      <c r="N145" s="13"/>
      <c r="O145" s="13">
        <v>8</v>
      </c>
      <c r="P145" s="3">
        <f t="shared" si="11"/>
        <v>0</v>
      </c>
      <c r="Q145" s="3">
        <f t="shared" si="12"/>
        <v>8</v>
      </c>
      <c r="R145" s="3">
        <f t="shared" si="13"/>
        <v>187.99999999999955</v>
      </c>
      <c r="S145" s="24" t="s">
        <v>1334</v>
      </c>
      <c r="T145" s="24" t="s">
        <v>1334</v>
      </c>
      <c r="U145" s="3"/>
      <c r="V145" s="25" t="s">
        <v>7761</v>
      </c>
      <c r="W145" s="25">
        <v>20517252558</v>
      </c>
      <c r="X145" s="25" t="str">
        <f>IFERROR(VLOOKUP(C_Ope_005[[#This Row],[nota_2]],Clientes_Proveedores[[Ruc / Dni]:[Razon Social]],2,0),"")</f>
        <v>COVISUR S.A.</v>
      </c>
      <c r="Y145" s="25"/>
      <c r="Z145" s="103"/>
      <c r="AA145" s="3" t="str">
        <f>IF(C_Ope_005[[#This Row],[fecha]]&gt;0,TEXT(C_Ope_005[[#This Row],[fecha]],"mmmm"),0)</f>
        <v>Febrero</v>
      </c>
      <c r="AB145" s="49"/>
    </row>
    <row r="146" spans="1:28" ht="24" x14ac:dyDescent="0.3">
      <c r="A146" s="2">
        <f>IF(C_Ope_005[[#This Row],[tipo_r]]="R",COUNTIFS($C$1:$C145,"R")+1,"")</f>
        <v>145</v>
      </c>
      <c r="B146" s="19" t="str">
        <f t="shared" si="14"/>
        <v>C_Ope_005</v>
      </c>
      <c r="C146" s="3" t="s">
        <v>1330</v>
      </c>
      <c r="D146" s="14">
        <v>45716</v>
      </c>
      <c r="E146" s="5" t="s">
        <v>8535</v>
      </c>
      <c r="F146" s="5" t="s">
        <v>1336</v>
      </c>
      <c r="G146" s="6" t="s">
        <v>978</v>
      </c>
      <c r="H146" s="6" t="s">
        <v>68</v>
      </c>
      <c r="I146" s="6" t="s">
        <v>6203</v>
      </c>
      <c r="J146" s="6">
        <v>1975197</v>
      </c>
      <c r="K146" s="7" t="s">
        <v>8615</v>
      </c>
      <c r="L146" s="8">
        <v>23259</v>
      </c>
      <c r="M146" s="8" t="str">
        <f t="shared" si="15"/>
        <v>PEN</v>
      </c>
      <c r="N146" s="13"/>
      <c r="O146" s="13">
        <v>8</v>
      </c>
      <c r="P146" s="3">
        <f t="shared" si="11"/>
        <v>0</v>
      </c>
      <c r="Q146" s="3">
        <f t="shared" si="12"/>
        <v>8</v>
      </c>
      <c r="R146" s="3">
        <f t="shared" si="13"/>
        <v>179.99999999999955</v>
      </c>
      <c r="S146" s="24" t="s">
        <v>1334</v>
      </c>
      <c r="T146" s="24" t="s">
        <v>1334</v>
      </c>
      <c r="U146" s="3"/>
      <c r="V146" s="25" t="s">
        <v>7761</v>
      </c>
      <c r="W146" s="25">
        <v>20517252558</v>
      </c>
      <c r="X146" s="25" t="str">
        <f>IFERROR(VLOOKUP(C_Ope_005[[#This Row],[nota_2]],Clientes_Proveedores[[Ruc / Dni]:[Razon Social]],2,0),"")</f>
        <v>COVISUR S.A.</v>
      </c>
      <c r="Y146" s="25"/>
      <c r="Z146" s="103"/>
      <c r="AA146" s="3" t="str">
        <f>IF(C_Ope_005[[#This Row],[fecha]]&gt;0,TEXT(C_Ope_005[[#This Row],[fecha]],"mmmm"),0)</f>
        <v>Febrero</v>
      </c>
      <c r="AB146" s="49"/>
    </row>
    <row r="147" spans="1:28" ht="36" x14ac:dyDescent="0.3">
      <c r="A147" s="2">
        <f>IF(C_Ope_005[[#This Row],[tipo_r]]="R",COUNTIFS($C$1:$C146,"R")+1,"")</f>
        <v>146</v>
      </c>
      <c r="B147" s="19" t="str">
        <f t="shared" si="14"/>
        <v>C_Ope_005</v>
      </c>
      <c r="C147" s="3" t="s">
        <v>1330</v>
      </c>
      <c r="D147" s="14">
        <v>45712</v>
      </c>
      <c r="E147" s="5" t="s">
        <v>8535</v>
      </c>
      <c r="F147" s="5" t="s">
        <v>1336</v>
      </c>
      <c r="G147" s="6" t="s">
        <v>682</v>
      </c>
      <c r="H147" s="6" t="s">
        <v>68</v>
      </c>
      <c r="I147" s="6" t="s">
        <v>1343</v>
      </c>
      <c r="J147" s="6">
        <v>33958</v>
      </c>
      <c r="K147" s="7" t="s">
        <v>8616</v>
      </c>
      <c r="L147" s="8">
        <v>23180</v>
      </c>
      <c r="M147" s="8" t="str">
        <f t="shared" si="15"/>
        <v>PEN</v>
      </c>
      <c r="N147" s="13"/>
      <c r="O147" s="13">
        <v>10</v>
      </c>
      <c r="P147" s="3">
        <f t="shared" si="11"/>
        <v>0</v>
      </c>
      <c r="Q147" s="3">
        <f t="shared" si="12"/>
        <v>10</v>
      </c>
      <c r="R147" s="3">
        <f t="shared" si="13"/>
        <v>169.99999999999955</v>
      </c>
      <c r="S147" s="24" t="s">
        <v>1334</v>
      </c>
      <c r="T147" s="24" t="s">
        <v>1334</v>
      </c>
      <c r="U147" s="3"/>
      <c r="V147" s="25" t="s">
        <v>7761</v>
      </c>
      <c r="W147" s="25">
        <v>20259858934</v>
      </c>
      <c r="X147" s="25" t="str">
        <f>IFERROR(VLOOKUP(C_Ope_005[[#This Row],[nota_2]],Clientes_Proveedores[[Ruc / Dni]:[Razon Social]],2,0),"")</f>
        <v>COMERCIALIZACION Y SERVICIOS EL EDEN S.A.C.</v>
      </c>
      <c r="Y147" s="25"/>
      <c r="Z147" s="103"/>
      <c r="AA147" s="3" t="str">
        <f>IF(C_Ope_005[[#This Row],[fecha]]&gt;0,TEXT(C_Ope_005[[#This Row],[fecha]],"mmmm"),0)</f>
        <v>Febrero</v>
      </c>
      <c r="AB147" s="49"/>
    </row>
    <row r="148" spans="1:28" ht="36" x14ac:dyDescent="0.3">
      <c r="A148" s="2">
        <f>IF(C_Ope_005[[#This Row],[tipo_r]]="R",COUNTIFS($C$1:$C147,"R")+1,"")</f>
        <v>147</v>
      </c>
      <c r="B148" s="19" t="str">
        <f t="shared" si="14"/>
        <v>C_Ope_005</v>
      </c>
      <c r="C148" s="3" t="s">
        <v>1330</v>
      </c>
      <c r="D148" s="14">
        <v>45713</v>
      </c>
      <c r="E148" s="5" t="s">
        <v>8535</v>
      </c>
      <c r="F148" s="5" t="s">
        <v>1336</v>
      </c>
      <c r="G148" s="6" t="s">
        <v>682</v>
      </c>
      <c r="H148" s="6" t="s">
        <v>68</v>
      </c>
      <c r="I148" s="6" t="s">
        <v>1343</v>
      </c>
      <c r="J148" s="6">
        <v>33967</v>
      </c>
      <c r="K148" s="7" t="s">
        <v>8617</v>
      </c>
      <c r="L148" s="8">
        <v>23194</v>
      </c>
      <c r="M148" s="8" t="str">
        <f t="shared" si="15"/>
        <v>PEN</v>
      </c>
      <c r="N148" s="13"/>
      <c r="O148" s="13">
        <v>10</v>
      </c>
      <c r="P148" s="3">
        <f t="shared" si="11"/>
        <v>0</v>
      </c>
      <c r="Q148" s="3">
        <f t="shared" si="12"/>
        <v>10</v>
      </c>
      <c r="R148" s="3">
        <f t="shared" si="13"/>
        <v>159.99999999999955</v>
      </c>
      <c r="S148" s="24" t="s">
        <v>1334</v>
      </c>
      <c r="T148" s="24" t="s">
        <v>1334</v>
      </c>
      <c r="U148" s="3"/>
      <c r="V148" s="25" t="s">
        <v>7756</v>
      </c>
      <c r="W148" s="25">
        <v>20259858934</v>
      </c>
      <c r="X148" s="25" t="str">
        <f>IFERROR(VLOOKUP(C_Ope_005[[#This Row],[nota_2]],Clientes_Proveedores[[Ruc / Dni]:[Razon Social]],2,0),"")</f>
        <v>COMERCIALIZACION Y SERVICIOS EL EDEN S.A.C.</v>
      </c>
      <c r="Y148" s="25"/>
      <c r="Z148" s="103"/>
      <c r="AA148" s="3" t="str">
        <f>IF(C_Ope_005[[#This Row],[fecha]]&gt;0,TEXT(C_Ope_005[[#This Row],[fecha]],"mmmm"),0)</f>
        <v>Febrero</v>
      </c>
      <c r="AB148" s="49"/>
    </row>
    <row r="149" spans="1:28" ht="36" x14ac:dyDescent="0.3">
      <c r="A149" s="2">
        <f>IF(C_Ope_005[[#This Row],[tipo_r]]="R",COUNTIFS($C$1:$C148,"R")+1,"")</f>
        <v>148</v>
      </c>
      <c r="B149" s="19" t="str">
        <f t="shared" si="14"/>
        <v>C_Ope_005</v>
      </c>
      <c r="C149" s="3" t="s">
        <v>1330</v>
      </c>
      <c r="D149" s="14">
        <v>45716</v>
      </c>
      <c r="E149" s="5" t="s">
        <v>8535</v>
      </c>
      <c r="F149" s="5" t="s">
        <v>1336</v>
      </c>
      <c r="G149" s="6" t="s">
        <v>682</v>
      </c>
      <c r="H149" s="6" t="s">
        <v>68</v>
      </c>
      <c r="I149" s="6" t="s">
        <v>1343</v>
      </c>
      <c r="J149" s="6">
        <v>34009</v>
      </c>
      <c r="K149" s="7" t="s">
        <v>7810</v>
      </c>
      <c r="L149" s="8">
        <v>23260</v>
      </c>
      <c r="M149" s="8" t="str">
        <f t="shared" si="15"/>
        <v>PEN</v>
      </c>
      <c r="N149" s="13"/>
      <c r="O149" s="13">
        <v>10</v>
      </c>
      <c r="P149" s="3">
        <f t="shared" si="11"/>
        <v>0</v>
      </c>
      <c r="Q149" s="3">
        <f t="shared" si="12"/>
        <v>10</v>
      </c>
      <c r="R149" s="3">
        <f t="shared" si="13"/>
        <v>149.99999999999955</v>
      </c>
      <c r="S149" s="24" t="s">
        <v>1334</v>
      </c>
      <c r="T149" s="24" t="s">
        <v>1334</v>
      </c>
      <c r="U149" s="3"/>
      <c r="V149" s="25" t="s">
        <v>7761</v>
      </c>
      <c r="W149" s="25">
        <v>20259858934</v>
      </c>
      <c r="X149" s="25" t="str">
        <f>IFERROR(VLOOKUP(C_Ope_005[[#This Row],[nota_2]],Clientes_Proveedores[[Ruc / Dni]:[Razon Social]],2,0),"")</f>
        <v>COMERCIALIZACION Y SERVICIOS EL EDEN S.A.C.</v>
      </c>
      <c r="Y149" s="25"/>
      <c r="Z149" s="103"/>
      <c r="AA149" s="3" t="str">
        <f>IF(C_Ope_005[[#This Row],[fecha]]&gt;0,TEXT(C_Ope_005[[#This Row],[fecha]],"mmmm"),0)</f>
        <v>Febrero</v>
      </c>
      <c r="AB149" s="49"/>
    </row>
    <row r="150" spans="1:28" ht="36" x14ac:dyDescent="0.3">
      <c r="A150" s="2">
        <f>IF(C_Ope_005[[#This Row],[tipo_r]]="R",COUNTIFS($C$1:$C149,"R")+1,"")</f>
        <v>149</v>
      </c>
      <c r="B150" s="19" t="str">
        <f t="shared" si="14"/>
        <v>C_Ope_005</v>
      </c>
      <c r="C150" s="3" t="s">
        <v>1330</v>
      </c>
      <c r="D150" s="14">
        <v>45716</v>
      </c>
      <c r="E150" s="5" t="s">
        <v>8535</v>
      </c>
      <c r="F150" s="5" t="s">
        <v>1336</v>
      </c>
      <c r="G150" s="6" t="s">
        <v>682</v>
      </c>
      <c r="H150" s="6" t="s">
        <v>68</v>
      </c>
      <c r="I150" s="6" t="s">
        <v>1353</v>
      </c>
      <c r="J150" s="6">
        <v>15765</v>
      </c>
      <c r="K150" s="7" t="s">
        <v>8618</v>
      </c>
      <c r="L150" s="8">
        <v>23261</v>
      </c>
      <c r="M150" s="8" t="str">
        <f t="shared" si="15"/>
        <v>PEN</v>
      </c>
      <c r="N150" s="13"/>
      <c r="O150" s="13">
        <v>20</v>
      </c>
      <c r="P150" s="3">
        <f t="shared" si="11"/>
        <v>0</v>
      </c>
      <c r="Q150" s="3">
        <f t="shared" si="12"/>
        <v>20</v>
      </c>
      <c r="R150" s="3">
        <f t="shared" si="13"/>
        <v>129.99999999999955</v>
      </c>
      <c r="S150" s="24" t="s">
        <v>1334</v>
      </c>
      <c r="T150" s="24" t="s">
        <v>1334</v>
      </c>
      <c r="U150" s="3"/>
      <c r="V150" s="25" t="s">
        <v>7761</v>
      </c>
      <c r="W150" s="25">
        <v>20259858934</v>
      </c>
      <c r="X150" s="25" t="str">
        <f>IFERROR(VLOOKUP(C_Ope_005[[#This Row],[nota_2]],Clientes_Proveedores[[Ruc / Dni]:[Razon Social]],2,0),"")</f>
        <v>COMERCIALIZACION Y SERVICIOS EL EDEN S.A.C.</v>
      </c>
      <c r="Y150" s="25"/>
      <c r="Z150" s="103"/>
      <c r="AA150" s="3" t="str">
        <f>IF(C_Ope_005[[#This Row],[fecha]]&gt;0,TEXT(C_Ope_005[[#This Row],[fecha]],"mmmm"),0)</f>
        <v>Febrero</v>
      </c>
      <c r="AB150" s="49"/>
    </row>
    <row r="151" spans="1:28" ht="24" x14ac:dyDescent="0.3">
      <c r="A151" s="2">
        <f>IF(C_Ope_005[[#This Row],[tipo_r]]="R",COUNTIFS($C$1:$C150,"R")+1,"")</f>
        <v>150</v>
      </c>
      <c r="B151" s="19" t="str">
        <f t="shared" si="14"/>
        <v>C_Ope_005</v>
      </c>
      <c r="C151" s="3" t="s">
        <v>1330</v>
      </c>
      <c r="D151" s="14">
        <v>45714</v>
      </c>
      <c r="E151" s="5" t="s">
        <v>8535</v>
      </c>
      <c r="F151" s="5" t="s">
        <v>1336</v>
      </c>
      <c r="G151" s="6" t="s">
        <v>999</v>
      </c>
      <c r="H151" s="6" t="s">
        <v>68</v>
      </c>
      <c r="I151" s="6" t="s">
        <v>1374</v>
      </c>
      <c r="J151" s="6">
        <v>16590</v>
      </c>
      <c r="K151" s="7" t="s">
        <v>7777</v>
      </c>
      <c r="L151" s="8">
        <v>23213</v>
      </c>
      <c r="M151" s="8" t="str">
        <f t="shared" si="15"/>
        <v>PEN</v>
      </c>
      <c r="N151" s="13"/>
      <c r="O151" s="13">
        <v>25</v>
      </c>
      <c r="P151" s="3">
        <f t="shared" si="11"/>
        <v>0</v>
      </c>
      <c r="Q151" s="3">
        <f t="shared" si="12"/>
        <v>25</v>
      </c>
      <c r="R151" s="3">
        <f t="shared" si="13"/>
        <v>104.99999999999955</v>
      </c>
      <c r="S151" s="24" t="s">
        <v>1334</v>
      </c>
      <c r="T151" s="24" t="s">
        <v>1334</v>
      </c>
      <c r="U151" s="3"/>
      <c r="V151" s="25" t="s">
        <v>7761</v>
      </c>
      <c r="W151" s="25">
        <v>10705628331</v>
      </c>
      <c r="X151" s="25" t="str">
        <f>IFERROR(VLOOKUP(C_Ope_005[[#This Row],[nota_2]],Clientes_Proveedores[[Ruc / Dni]:[Razon Social]],2,0),"")</f>
        <v>LARICO APAZA NANCY ROSSMARY</v>
      </c>
      <c r="Y151" s="25"/>
      <c r="Z151" s="103"/>
      <c r="AA151" s="3" t="str">
        <f>IF(C_Ope_005[[#This Row],[fecha]]&gt;0,TEXT(C_Ope_005[[#This Row],[fecha]],"mmmm"),0)</f>
        <v>Febrero</v>
      </c>
      <c r="AB151" s="49"/>
    </row>
    <row r="152" spans="1:28" ht="24" x14ac:dyDescent="0.3">
      <c r="A152" s="2">
        <f>IF(C_Ope_005[[#This Row],[tipo_r]]="R",COUNTIFS($C$1:$C151,"R")+1,"")</f>
        <v>151</v>
      </c>
      <c r="B152" s="19" t="str">
        <f t="shared" si="14"/>
        <v>C_Ope_005</v>
      </c>
      <c r="C152" s="3" t="s">
        <v>1330</v>
      </c>
      <c r="D152" s="14">
        <v>45720</v>
      </c>
      <c r="E152" s="5" t="s">
        <v>7514</v>
      </c>
      <c r="F152" s="5" t="s">
        <v>1303</v>
      </c>
      <c r="G152" s="6" t="s">
        <v>957</v>
      </c>
      <c r="H152" s="6"/>
      <c r="I152" s="6"/>
      <c r="J152" s="6"/>
      <c r="K152" s="7" t="s">
        <v>7516</v>
      </c>
      <c r="L152" s="8">
        <v>23298</v>
      </c>
      <c r="M152" s="8" t="str">
        <f t="shared" si="15"/>
        <v>PEN</v>
      </c>
      <c r="N152" s="13"/>
      <c r="O152" s="13">
        <v>100</v>
      </c>
      <c r="P152" s="3">
        <f t="shared" si="11"/>
        <v>100</v>
      </c>
      <c r="Q152" s="3">
        <f t="shared" si="12"/>
        <v>0</v>
      </c>
      <c r="R152" s="3">
        <f t="shared" si="13"/>
        <v>204.99999999999955</v>
      </c>
      <c r="S152" s="24" t="s">
        <v>1334</v>
      </c>
      <c r="T152" s="24" t="s">
        <v>1334</v>
      </c>
      <c r="U152" s="3"/>
      <c r="V152" s="25"/>
      <c r="W152" s="25"/>
      <c r="X152" s="25" t="str">
        <f>IFERROR(VLOOKUP(C_Ope_005[[#This Row],[nota_2]],Clientes_Proveedores[[Ruc / Dni]:[Razon Social]],2,0),"")</f>
        <v/>
      </c>
      <c r="Y152" s="25"/>
      <c r="Z152" s="103"/>
      <c r="AA152" s="3" t="str">
        <f>IF(C_Ope_005[[#This Row],[fecha]]&gt;0,TEXT(C_Ope_005[[#This Row],[fecha]],"mmmm"),0)</f>
        <v>Marzo</v>
      </c>
      <c r="AB152" s="49"/>
    </row>
    <row r="153" spans="1:28" ht="24" x14ac:dyDescent="0.3">
      <c r="A153" s="2">
        <f>IF(C_Ope_005[[#This Row],[tipo_r]]="R",COUNTIFS($C$1:$C152,"R")+1,"")</f>
        <v>152</v>
      </c>
      <c r="B153" s="19" t="str">
        <f t="shared" si="14"/>
        <v>C_Ope_005</v>
      </c>
      <c r="C153" s="3" t="s">
        <v>1330</v>
      </c>
      <c r="D153" s="14">
        <v>45720</v>
      </c>
      <c r="E153" s="5" t="s">
        <v>8535</v>
      </c>
      <c r="F153" s="5" t="s">
        <v>1336</v>
      </c>
      <c r="G153" s="6" t="s">
        <v>978</v>
      </c>
      <c r="H153" s="6" t="s">
        <v>68</v>
      </c>
      <c r="I153" s="6" t="s">
        <v>5688</v>
      </c>
      <c r="J153" s="6">
        <v>2253303</v>
      </c>
      <c r="K153" s="7" t="s">
        <v>8619</v>
      </c>
      <c r="L153" s="8">
        <v>23294</v>
      </c>
      <c r="M153" s="8" t="str">
        <f t="shared" si="15"/>
        <v>PEN</v>
      </c>
      <c r="N153" s="13"/>
      <c r="O153" s="13">
        <v>8</v>
      </c>
      <c r="P153" s="3">
        <f t="shared" si="11"/>
        <v>0</v>
      </c>
      <c r="Q153" s="3">
        <f t="shared" si="12"/>
        <v>8</v>
      </c>
      <c r="R153" s="3">
        <f t="shared" si="13"/>
        <v>196.99999999999955</v>
      </c>
      <c r="S153" s="24" t="s">
        <v>1334</v>
      </c>
      <c r="T153" s="24" t="s">
        <v>1334</v>
      </c>
      <c r="U153" s="3"/>
      <c r="V153" s="25" t="s">
        <v>7842</v>
      </c>
      <c r="W153" s="25">
        <v>20517252558</v>
      </c>
      <c r="X153" s="25" t="str">
        <f>IFERROR(VLOOKUP(C_Ope_005[[#This Row],[nota_2]],Clientes_Proveedores[[Ruc / Dni]:[Razon Social]],2,0),"")</f>
        <v>COVISUR S.A.</v>
      </c>
      <c r="Y153" s="25"/>
      <c r="Z153" s="103"/>
      <c r="AA153" s="3" t="str">
        <f>IF(C_Ope_005[[#This Row],[fecha]]&gt;0,TEXT(C_Ope_005[[#This Row],[fecha]],"mmmm"),0)</f>
        <v>Marzo</v>
      </c>
      <c r="AB153" s="49"/>
    </row>
    <row r="154" spans="1:28" ht="24" x14ac:dyDescent="0.3">
      <c r="A154" s="2">
        <f>IF(C_Ope_005[[#This Row],[tipo_r]]="R",COUNTIFS($C$1:$C153,"R")+1,"")</f>
        <v>153</v>
      </c>
      <c r="B154" s="19" t="str">
        <f t="shared" si="14"/>
        <v>C_Ope_005</v>
      </c>
      <c r="C154" s="3" t="s">
        <v>1330</v>
      </c>
      <c r="D154" s="14">
        <v>45720</v>
      </c>
      <c r="E154" s="5" t="s">
        <v>8535</v>
      </c>
      <c r="F154" s="5" t="s">
        <v>1336</v>
      </c>
      <c r="G154" s="6" t="s">
        <v>978</v>
      </c>
      <c r="H154" s="6" t="s">
        <v>68</v>
      </c>
      <c r="I154" s="6" t="s">
        <v>5845</v>
      </c>
      <c r="J154" s="6">
        <v>1690426</v>
      </c>
      <c r="K154" s="7" t="s">
        <v>8619</v>
      </c>
      <c r="L154" s="8">
        <v>23295</v>
      </c>
      <c r="M154" s="8" t="str">
        <f t="shared" si="15"/>
        <v>PEN</v>
      </c>
      <c r="N154" s="13"/>
      <c r="O154" s="13">
        <v>8</v>
      </c>
      <c r="P154" s="3">
        <f t="shared" si="11"/>
        <v>0</v>
      </c>
      <c r="Q154" s="3">
        <f t="shared" si="12"/>
        <v>8</v>
      </c>
      <c r="R154" s="3">
        <f t="shared" si="13"/>
        <v>188.99999999999955</v>
      </c>
      <c r="S154" s="24" t="s">
        <v>1334</v>
      </c>
      <c r="T154" s="24" t="s">
        <v>1334</v>
      </c>
      <c r="U154" s="3"/>
      <c r="V154" s="25" t="s">
        <v>7842</v>
      </c>
      <c r="W154" s="25">
        <v>20517252558</v>
      </c>
      <c r="X154" s="25" t="str">
        <f>IFERROR(VLOOKUP(C_Ope_005[[#This Row],[nota_2]],Clientes_Proveedores[[Ruc / Dni]:[Razon Social]],2,0),"")</f>
        <v>COVISUR S.A.</v>
      </c>
      <c r="Y154" s="25"/>
      <c r="Z154" s="103"/>
      <c r="AA154" s="3" t="str">
        <f>IF(C_Ope_005[[#This Row],[fecha]]&gt;0,TEXT(C_Ope_005[[#This Row],[fecha]],"mmmm"),0)</f>
        <v>Marzo</v>
      </c>
      <c r="AB154" s="49"/>
    </row>
    <row r="155" spans="1:28" ht="24" x14ac:dyDescent="0.3">
      <c r="A155" s="2">
        <f>IF(C_Ope_005[[#This Row],[tipo_r]]="R",COUNTIFS($C$1:$C154,"R")+1,"")</f>
        <v>154</v>
      </c>
      <c r="B155" s="19" t="str">
        <f t="shared" si="14"/>
        <v>C_Ope_005</v>
      </c>
      <c r="C155" s="3" t="s">
        <v>1330</v>
      </c>
      <c r="D155" s="14">
        <v>45721</v>
      </c>
      <c r="E155" s="5" t="s">
        <v>8535</v>
      </c>
      <c r="F155" s="5" t="s">
        <v>1336</v>
      </c>
      <c r="G155" s="6" t="s">
        <v>978</v>
      </c>
      <c r="H155" s="6" t="s">
        <v>68</v>
      </c>
      <c r="I155" s="6" t="s">
        <v>6204</v>
      </c>
      <c r="J155" s="6">
        <v>1671894</v>
      </c>
      <c r="K155" s="7" t="s">
        <v>8620</v>
      </c>
      <c r="L155" s="8">
        <v>23309</v>
      </c>
      <c r="M155" s="8" t="str">
        <f t="shared" si="15"/>
        <v>PEN</v>
      </c>
      <c r="N155" s="13"/>
      <c r="O155" s="13">
        <v>8</v>
      </c>
      <c r="P155" s="3">
        <f t="shared" si="11"/>
        <v>0</v>
      </c>
      <c r="Q155" s="3">
        <f t="shared" si="12"/>
        <v>8</v>
      </c>
      <c r="R155" s="3">
        <f t="shared" si="13"/>
        <v>180.99999999999955</v>
      </c>
      <c r="S155" s="24" t="s">
        <v>1334</v>
      </c>
      <c r="T155" s="24" t="s">
        <v>1334</v>
      </c>
      <c r="U155" s="3"/>
      <c r="V155" s="25" t="s">
        <v>7761</v>
      </c>
      <c r="W155" s="25">
        <v>20517252558</v>
      </c>
      <c r="X155" s="25" t="str">
        <f>IFERROR(VLOOKUP(C_Ope_005[[#This Row],[nota_2]],Clientes_Proveedores[[Ruc / Dni]:[Razon Social]],2,0),"")</f>
        <v>COVISUR S.A.</v>
      </c>
      <c r="Y155" s="25"/>
      <c r="Z155" s="103"/>
      <c r="AA155" s="3" t="str">
        <f>IF(C_Ope_005[[#This Row],[fecha]]&gt;0,TEXT(C_Ope_005[[#This Row],[fecha]],"mmmm"),0)</f>
        <v>Marzo</v>
      </c>
      <c r="AB155" s="49"/>
    </row>
    <row r="156" spans="1:28" ht="24" x14ac:dyDescent="0.3">
      <c r="A156" s="2">
        <f>IF(C_Ope_005[[#This Row],[tipo_r]]="R",COUNTIFS($C$1:$C155,"R")+1,"")</f>
        <v>155</v>
      </c>
      <c r="B156" s="19" t="str">
        <f t="shared" si="14"/>
        <v>C_Ope_005</v>
      </c>
      <c r="C156" s="3" t="s">
        <v>1330</v>
      </c>
      <c r="D156" s="14">
        <v>45721</v>
      </c>
      <c r="E156" s="5" t="s">
        <v>8535</v>
      </c>
      <c r="F156" s="5" t="s">
        <v>1336</v>
      </c>
      <c r="G156" s="6" t="s">
        <v>978</v>
      </c>
      <c r="H156" s="6" t="s">
        <v>68</v>
      </c>
      <c r="I156" s="6" t="s">
        <v>5845</v>
      </c>
      <c r="J156" s="6">
        <v>1691347</v>
      </c>
      <c r="K156" s="7" t="s">
        <v>8620</v>
      </c>
      <c r="L156" s="8">
        <v>23310</v>
      </c>
      <c r="M156" s="8" t="str">
        <f t="shared" si="15"/>
        <v>PEN</v>
      </c>
      <c r="N156" s="13"/>
      <c r="O156" s="13">
        <v>8</v>
      </c>
      <c r="P156" s="3">
        <f t="shared" si="11"/>
        <v>0</v>
      </c>
      <c r="Q156" s="3">
        <f t="shared" si="12"/>
        <v>8</v>
      </c>
      <c r="R156" s="3">
        <f t="shared" si="13"/>
        <v>172.99999999999955</v>
      </c>
      <c r="S156" s="24" t="s">
        <v>1334</v>
      </c>
      <c r="T156" s="24" t="s">
        <v>1334</v>
      </c>
      <c r="U156" s="3"/>
      <c r="V156" s="25" t="s">
        <v>7761</v>
      </c>
      <c r="W156" s="25">
        <v>20517252558</v>
      </c>
      <c r="X156" s="25" t="str">
        <f>IFERROR(VLOOKUP(C_Ope_005[[#This Row],[nota_2]],Clientes_Proveedores[[Ruc / Dni]:[Razon Social]],2,0),"")</f>
        <v>COVISUR S.A.</v>
      </c>
      <c r="Y156" s="25"/>
      <c r="Z156" s="103"/>
      <c r="AA156" s="3" t="str">
        <f>IF(C_Ope_005[[#This Row],[fecha]]&gt;0,TEXT(C_Ope_005[[#This Row],[fecha]],"mmmm"),0)</f>
        <v>Marzo</v>
      </c>
      <c r="AB156" s="49"/>
    </row>
    <row r="157" spans="1:28" ht="24" x14ac:dyDescent="0.3">
      <c r="A157" s="2">
        <f>IF(C_Ope_005[[#This Row],[tipo_r]]="R",COUNTIFS($C$1:$C156,"R")+1,"")</f>
        <v>156</v>
      </c>
      <c r="B157" s="19" t="str">
        <f t="shared" si="14"/>
        <v>C_Ope_005</v>
      </c>
      <c r="C157" s="3" t="s">
        <v>1330</v>
      </c>
      <c r="D157" s="14">
        <v>45722</v>
      </c>
      <c r="E157" s="5" t="s">
        <v>8535</v>
      </c>
      <c r="F157" s="5" t="s">
        <v>1336</v>
      </c>
      <c r="G157" s="6" t="s">
        <v>978</v>
      </c>
      <c r="H157" s="6" t="s">
        <v>68</v>
      </c>
      <c r="I157" s="6" t="s">
        <v>5688</v>
      </c>
      <c r="J157" s="6">
        <v>2255852</v>
      </c>
      <c r="K157" s="7" t="s">
        <v>7820</v>
      </c>
      <c r="L157" s="8">
        <v>23311</v>
      </c>
      <c r="M157" s="8" t="str">
        <f t="shared" si="15"/>
        <v>PEN</v>
      </c>
      <c r="N157" s="13"/>
      <c r="O157" s="13">
        <v>8</v>
      </c>
      <c r="P157" s="3">
        <f t="shared" si="11"/>
        <v>0</v>
      </c>
      <c r="Q157" s="3">
        <f t="shared" si="12"/>
        <v>8</v>
      </c>
      <c r="R157" s="3">
        <f t="shared" si="13"/>
        <v>164.99999999999955</v>
      </c>
      <c r="S157" s="24" t="s">
        <v>1334</v>
      </c>
      <c r="T157" s="24" t="s">
        <v>1334</v>
      </c>
      <c r="U157" s="3"/>
      <c r="V157" s="25" t="s">
        <v>7761</v>
      </c>
      <c r="W157" s="25">
        <v>20517252558</v>
      </c>
      <c r="X157" s="25" t="str">
        <f>IFERROR(VLOOKUP(C_Ope_005[[#This Row],[nota_2]],Clientes_Proveedores[[Ruc / Dni]:[Razon Social]],2,0),"")</f>
        <v>COVISUR S.A.</v>
      </c>
      <c r="Y157" s="25"/>
      <c r="Z157" s="103"/>
      <c r="AA157" s="3" t="str">
        <f>IF(C_Ope_005[[#This Row],[fecha]]&gt;0,TEXT(C_Ope_005[[#This Row],[fecha]],"mmmm"),0)</f>
        <v>Marzo</v>
      </c>
      <c r="AB157" s="49"/>
    </row>
    <row r="158" spans="1:28" ht="24" x14ac:dyDescent="0.3">
      <c r="A158" s="2">
        <f>IF(C_Ope_005[[#This Row],[tipo_r]]="R",COUNTIFS($C$1:$C157,"R")+1,"")</f>
        <v>157</v>
      </c>
      <c r="B158" s="19" t="str">
        <f t="shared" si="14"/>
        <v>C_Ope_005</v>
      </c>
      <c r="C158" s="3" t="s">
        <v>1330</v>
      </c>
      <c r="D158" s="14">
        <v>45723</v>
      </c>
      <c r="E158" s="5" t="s">
        <v>8535</v>
      </c>
      <c r="F158" s="5" t="s">
        <v>1336</v>
      </c>
      <c r="G158" s="6" t="s">
        <v>978</v>
      </c>
      <c r="H158" s="6" t="s">
        <v>68</v>
      </c>
      <c r="I158" s="6" t="s">
        <v>5688</v>
      </c>
      <c r="J158" s="6">
        <v>2256953</v>
      </c>
      <c r="K158" s="7" t="s">
        <v>7849</v>
      </c>
      <c r="L158" s="8">
        <v>23324</v>
      </c>
      <c r="M158" s="8" t="str">
        <f t="shared" si="15"/>
        <v>PEN</v>
      </c>
      <c r="N158" s="13"/>
      <c r="O158" s="13">
        <v>8</v>
      </c>
      <c r="P158" s="3">
        <f t="shared" si="11"/>
        <v>0</v>
      </c>
      <c r="Q158" s="3">
        <f t="shared" si="12"/>
        <v>8</v>
      </c>
      <c r="R158" s="3">
        <f t="shared" si="13"/>
        <v>156.99999999999955</v>
      </c>
      <c r="S158" s="24" t="s">
        <v>1334</v>
      </c>
      <c r="T158" s="24" t="s">
        <v>1334</v>
      </c>
      <c r="U158" s="3"/>
      <c r="V158" s="25" t="s">
        <v>7761</v>
      </c>
      <c r="W158" s="25">
        <v>20517252558</v>
      </c>
      <c r="X158" s="25" t="str">
        <f>IFERROR(VLOOKUP(C_Ope_005[[#This Row],[nota_2]],Clientes_Proveedores[[Ruc / Dni]:[Razon Social]],2,0),"")</f>
        <v>COVISUR S.A.</v>
      </c>
      <c r="Y158" s="25"/>
      <c r="Z158" s="103"/>
      <c r="AA158" s="3" t="str">
        <f>IF(C_Ope_005[[#This Row],[fecha]]&gt;0,TEXT(C_Ope_005[[#This Row],[fecha]],"mmmm"),0)</f>
        <v>Marzo</v>
      </c>
      <c r="AB158" s="49"/>
    </row>
    <row r="159" spans="1:28" ht="24" x14ac:dyDescent="0.3">
      <c r="A159" s="2">
        <f>IF(C_Ope_005[[#This Row],[tipo_r]]="R",COUNTIFS($C$1:$C158,"R")+1,"")</f>
        <v>158</v>
      </c>
      <c r="B159" s="19" t="str">
        <f t="shared" si="14"/>
        <v>C_Ope_005</v>
      </c>
      <c r="C159" s="3" t="s">
        <v>1330</v>
      </c>
      <c r="D159" s="14">
        <v>45723</v>
      </c>
      <c r="E159" s="5" t="s">
        <v>8535</v>
      </c>
      <c r="F159" s="5" t="s">
        <v>1336</v>
      </c>
      <c r="G159" s="6" t="s">
        <v>978</v>
      </c>
      <c r="H159" s="6" t="s">
        <v>68</v>
      </c>
      <c r="I159" s="6" t="s">
        <v>5845</v>
      </c>
      <c r="J159" s="6">
        <v>1692994</v>
      </c>
      <c r="K159" s="7" t="s">
        <v>7849</v>
      </c>
      <c r="L159" s="8">
        <v>23345</v>
      </c>
      <c r="M159" s="8" t="str">
        <f t="shared" si="15"/>
        <v>PEN</v>
      </c>
      <c r="N159" s="13"/>
      <c r="O159" s="13">
        <v>8</v>
      </c>
      <c r="P159" s="3">
        <f t="shared" si="11"/>
        <v>0</v>
      </c>
      <c r="Q159" s="3">
        <f t="shared" si="12"/>
        <v>8</v>
      </c>
      <c r="R159" s="3">
        <f t="shared" si="13"/>
        <v>148.99999999999955</v>
      </c>
      <c r="S159" s="24" t="s">
        <v>1334</v>
      </c>
      <c r="T159" s="24" t="s">
        <v>1334</v>
      </c>
      <c r="U159" s="3"/>
      <c r="V159" s="25" t="s">
        <v>7761</v>
      </c>
      <c r="W159" s="25">
        <v>20517252558</v>
      </c>
      <c r="X159" s="25" t="str">
        <f>IFERROR(VLOOKUP(C_Ope_005[[#This Row],[nota_2]],Clientes_Proveedores[[Ruc / Dni]:[Razon Social]],2,0),"")</f>
        <v>COVISUR S.A.</v>
      </c>
      <c r="Y159" s="25"/>
      <c r="Z159" s="103"/>
      <c r="AA159" s="3" t="str">
        <f>IF(C_Ope_005[[#This Row],[fecha]]&gt;0,TEXT(C_Ope_005[[#This Row],[fecha]],"mmmm"),0)</f>
        <v>Marzo</v>
      </c>
      <c r="AB159" s="49"/>
    </row>
    <row r="160" spans="1:28" ht="36" x14ac:dyDescent="0.3">
      <c r="A160" s="2">
        <f>IF(C_Ope_005[[#This Row],[tipo_r]]="R",COUNTIFS($C$1:$C159,"R")+1,"")</f>
        <v>159</v>
      </c>
      <c r="B160" s="19" t="str">
        <f t="shared" si="14"/>
        <v>C_Ope_005</v>
      </c>
      <c r="C160" s="3" t="s">
        <v>1330</v>
      </c>
      <c r="D160" s="14">
        <v>45719</v>
      </c>
      <c r="E160" s="5" t="s">
        <v>8535</v>
      </c>
      <c r="F160" s="5" t="s">
        <v>1336</v>
      </c>
      <c r="G160" s="6" t="s">
        <v>227</v>
      </c>
      <c r="H160" s="6" t="s">
        <v>68</v>
      </c>
      <c r="I160" s="6" t="s">
        <v>1390</v>
      </c>
      <c r="J160" s="6">
        <v>128908</v>
      </c>
      <c r="K160" s="7" t="s">
        <v>8621</v>
      </c>
      <c r="L160" s="8">
        <v>23291</v>
      </c>
      <c r="M160" s="8" t="str">
        <f t="shared" si="15"/>
        <v>PEN</v>
      </c>
      <c r="N160" s="13"/>
      <c r="O160" s="13">
        <v>10</v>
      </c>
      <c r="P160" s="3">
        <f t="shared" si="11"/>
        <v>0</v>
      </c>
      <c r="Q160" s="3">
        <f t="shared" si="12"/>
        <v>10</v>
      </c>
      <c r="R160" s="3">
        <f t="shared" si="13"/>
        <v>138.99999999999955</v>
      </c>
      <c r="S160" s="24" t="s">
        <v>1334</v>
      </c>
      <c r="T160" s="24" t="s">
        <v>1334</v>
      </c>
      <c r="U160" s="3"/>
      <c r="V160" s="25" t="s">
        <v>7761</v>
      </c>
      <c r="W160" s="25">
        <v>20124952850</v>
      </c>
      <c r="X160" s="25" t="str">
        <f>IFERROR(VLOOKUP(C_Ope_005[[#This Row],[nota_2]],Clientes_Proveedores[[Ruc / Dni]:[Razon Social]],2,0),"")</f>
        <v>ALIMENTOS Y SERVICIOS AGROPECUARIOS SRL.</v>
      </c>
      <c r="Y160" s="25"/>
      <c r="Z160" s="103"/>
      <c r="AA160" s="3" t="str">
        <f>IF(C_Ope_005[[#This Row],[fecha]]&gt;0,TEXT(C_Ope_005[[#This Row],[fecha]],"mmmm"),0)</f>
        <v>Marzo</v>
      </c>
      <c r="AB160" s="49"/>
    </row>
    <row r="161" spans="1:28" ht="36" x14ac:dyDescent="0.3">
      <c r="A161" s="2">
        <f>IF(C_Ope_005[[#This Row],[tipo_r]]="R",COUNTIFS($C$1:$C160,"R")+1,"")</f>
        <v>160</v>
      </c>
      <c r="B161" s="19" t="str">
        <f t="shared" si="14"/>
        <v>C_Ope_005</v>
      </c>
      <c r="C161" s="3" t="s">
        <v>1330</v>
      </c>
      <c r="D161" s="14">
        <v>45719</v>
      </c>
      <c r="E161" s="5" t="s">
        <v>8535</v>
      </c>
      <c r="F161" s="5" t="s">
        <v>1336</v>
      </c>
      <c r="G161" s="6" t="s">
        <v>227</v>
      </c>
      <c r="H161" s="6" t="s">
        <v>68</v>
      </c>
      <c r="I161" s="6" t="s">
        <v>1390</v>
      </c>
      <c r="J161" s="6">
        <v>128922</v>
      </c>
      <c r="K161" s="7" t="s">
        <v>8622</v>
      </c>
      <c r="L161" s="8">
        <v>23292</v>
      </c>
      <c r="M161" s="8" t="str">
        <f t="shared" si="15"/>
        <v>PEN</v>
      </c>
      <c r="N161" s="13"/>
      <c r="O161" s="13">
        <v>10</v>
      </c>
      <c r="P161" s="3">
        <f t="shared" si="11"/>
        <v>0</v>
      </c>
      <c r="Q161" s="3">
        <f t="shared" si="12"/>
        <v>10</v>
      </c>
      <c r="R161" s="3">
        <f t="shared" si="13"/>
        <v>128.99999999999955</v>
      </c>
      <c r="S161" s="24" t="s">
        <v>1334</v>
      </c>
      <c r="T161" s="24" t="s">
        <v>1334</v>
      </c>
      <c r="U161" s="3"/>
      <c r="V161" s="25" t="s">
        <v>7761</v>
      </c>
      <c r="W161" s="25">
        <v>20124952850</v>
      </c>
      <c r="X161" s="25" t="str">
        <f>IFERROR(VLOOKUP(C_Ope_005[[#This Row],[nota_2]],Clientes_Proveedores[[Ruc / Dni]:[Razon Social]],2,0),"")</f>
        <v>ALIMENTOS Y SERVICIOS AGROPECUARIOS SRL.</v>
      </c>
      <c r="Y161" s="25"/>
      <c r="Z161" s="103"/>
      <c r="AA161" s="3" t="str">
        <f>IF(C_Ope_005[[#This Row],[fecha]]&gt;0,TEXT(C_Ope_005[[#This Row],[fecha]],"mmmm"),0)</f>
        <v>Marzo</v>
      </c>
      <c r="AB161" s="49"/>
    </row>
    <row r="162" spans="1:28" ht="36" x14ac:dyDescent="0.3">
      <c r="A162" s="2">
        <f>IF(C_Ope_005[[#This Row],[tipo_r]]="R",COUNTIFS($C$1:$C161,"R")+1,"")</f>
        <v>161</v>
      </c>
      <c r="B162" s="19" t="str">
        <f t="shared" si="14"/>
        <v>C_Ope_005</v>
      </c>
      <c r="C162" s="3" t="s">
        <v>1330</v>
      </c>
      <c r="D162" s="14">
        <v>45719</v>
      </c>
      <c r="E162" s="5" t="s">
        <v>8535</v>
      </c>
      <c r="F162" s="5" t="s">
        <v>1336</v>
      </c>
      <c r="G162" s="6" t="s">
        <v>227</v>
      </c>
      <c r="H162" s="6" t="s">
        <v>68</v>
      </c>
      <c r="I162" s="6" t="s">
        <v>1390</v>
      </c>
      <c r="J162" s="6">
        <v>128923</v>
      </c>
      <c r="K162" s="7" t="s">
        <v>8623</v>
      </c>
      <c r="L162" s="8">
        <v>23293</v>
      </c>
      <c r="M162" s="8" t="str">
        <f t="shared" si="15"/>
        <v>PEN</v>
      </c>
      <c r="N162" s="13"/>
      <c r="O162" s="13">
        <v>10</v>
      </c>
      <c r="P162" s="3">
        <f t="shared" si="11"/>
        <v>0</v>
      </c>
      <c r="Q162" s="3">
        <f t="shared" si="12"/>
        <v>10</v>
      </c>
      <c r="R162" s="3">
        <f t="shared" si="13"/>
        <v>118.99999999999955</v>
      </c>
      <c r="S162" s="24" t="s">
        <v>1334</v>
      </c>
      <c r="T162" s="24" t="s">
        <v>1334</v>
      </c>
      <c r="U162" s="3"/>
      <c r="V162" s="25" t="s">
        <v>7761</v>
      </c>
      <c r="W162" s="25">
        <v>20124952850</v>
      </c>
      <c r="X162" s="25" t="str">
        <f>IFERROR(VLOOKUP(C_Ope_005[[#This Row],[nota_2]],Clientes_Proveedores[[Ruc / Dni]:[Razon Social]],2,0),"")</f>
        <v>ALIMENTOS Y SERVICIOS AGROPECUARIOS SRL.</v>
      </c>
      <c r="Y162" s="25"/>
      <c r="Z162" s="103"/>
      <c r="AA162" s="3" t="str">
        <f>IF(C_Ope_005[[#This Row],[fecha]]&gt;0,TEXT(C_Ope_005[[#This Row],[fecha]],"mmmm"),0)</f>
        <v>Marzo</v>
      </c>
      <c r="AB162" s="49"/>
    </row>
    <row r="163" spans="1:28" ht="36" x14ac:dyDescent="0.3">
      <c r="A163" s="2">
        <f>IF(C_Ope_005[[#This Row],[tipo_r]]="R",COUNTIFS($C$1:$C162,"R")+1,"")</f>
        <v>162</v>
      </c>
      <c r="B163" s="19" t="str">
        <f t="shared" si="14"/>
        <v>C_Ope_005</v>
      </c>
      <c r="C163" s="3" t="s">
        <v>1330</v>
      </c>
      <c r="D163" s="14">
        <v>45723</v>
      </c>
      <c r="E163" s="5" t="s">
        <v>8535</v>
      </c>
      <c r="F163" s="5" t="s">
        <v>1336</v>
      </c>
      <c r="G163" s="6" t="s">
        <v>682</v>
      </c>
      <c r="H163" s="6" t="s">
        <v>68</v>
      </c>
      <c r="I163" s="6" t="s">
        <v>1343</v>
      </c>
      <c r="J163" s="6">
        <v>34061</v>
      </c>
      <c r="K163" s="7" t="s">
        <v>8624</v>
      </c>
      <c r="L163" s="8">
        <v>23323</v>
      </c>
      <c r="M163" s="8" t="str">
        <f t="shared" si="15"/>
        <v>PEN</v>
      </c>
      <c r="N163" s="13"/>
      <c r="O163" s="13">
        <v>10</v>
      </c>
      <c r="P163" s="3">
        <f t="shared" si="11"/>
        <v>0</v>
      </c>
      <c r="Q163" s="3">
        <f t="shared" si="12"/>
        <v>10</v>
      </c>
      <c r="R163" s="3">
        <f t="shared" si="13"/>
        <v>108.99999999999955</v>
      </c>
      <c r="S163" s="24" t="s">
        <v>1334</v>
      </c>
      <c r="T163" s="24" t="s">
        <v>1334</v>
      </c>
      <c r="U163" s="3"/>
      <c r="V163" s="25" t="s">
        <v>7761</v>
      </c>
      <c r="W163" s="25">
        <v>20259858934</v>
      </c>
      <c r="X163" s="25" t="str">
        <f>IFERROR(VLOOKUP(C_Ope_005[[#This Row],[nota_2]],Clientes_Proveedores[[Ruc / Dni]:[Razon Social]],2,0),"")</f>
        <v>COMERCIALIZACION Y SERVICIOS EL EDEN S.A.C.</v>
      </c>
      <c r="Y163" s="25"/>
      <c r="Z163" s="103"/>
      <c r="AA163" s="3" t="str">
        <f>IF(C_Ope_005[[#This Row],[fecha]]&gt;0,TEXT(C_Ope_005[[#This Row],[fecha]],"mmmm"),0)</f>
        <v>Marzo</v>
      </c>
      <c r="AB163" s="49"/>
    </row>
    <row r="164" spans="1:28" ht="24" x14ac:dyDescent="0.3">
      <c r="A164" s="2">
        <f>IF(C_Ope_005[[#This Row],[tipo_r]]="R",COUNTIFS($C$1:$C163,"R")+1,"")</f>
        <v>163</v>
      </c>
      <c r="B164" s="19" t="str">
        <f t="shared" si="14"/>
        <v>C_Ope_005</v>
      </c>
      <c r="C164" s="3" t="s">
        <v>1330</v>
      </c>
      <c r="D164" s="14">
        <v>45727</v>
      </c>
      <c r="E164" s="5" t="s">
        <v>7514</v>
      </c>
      <c r="F164" s="5" t="s">
        <v>1303</v>
      </c>
      <c r="G164" s="6" t="s">
        <v>957</v>
      </c>
      <c r="H164" s="6"/>
      <c r="I164" s="6"/>
      <c r="J164" s="6"/>
      <c r="K164" s="7" t="s">
        <v>7516</v>
      </c>
      <c r="L164" s="8">
        <v>23380</v>
      </c>
      <c r="M164" s="8" t="str">
        <f t="shared" si="15"/>
        <v>PEN</v>
      </c>
      <c r="N164" s="13"/>
      <c r="O164" s="13">
        <v>100</v>
      </c>
      <c r="P164" s="3">
        <f t="shared" si="11"/>
        <v>100</v>
      </c>
      <c r="Q164" s="3">
        <f t="shared" si="12"/>
        <v>0</v>
      </c>
      <c r="R164" s="3">
        <f t="shared" si="13"/>
        <v>208.99999999999955</v>
      </c>
      <c r="S164" s="24" t="s">
        <v>1334</v>
      </c>
      <c r="T164" s="24" t="s">
        <v>1334</v>
      </c>
      <c r="U164" s="3"/>
      <c r="V164" s="25"/>
      <c r="W164" s="25"/>
      <c r="X164" s="25" t="str">
        <f>IFERROR(VLOOKUP(C_Ope_005[[#This Row],[nota_2]],Clientes_Proveedores[[Ruc / Dni]:[Razon Social]],2,0),"")</f>
        <v/>
      </c>
      <c r="Y164" s="25"/>
      <c r="Z164" s="103"/>
      <c r="AA164" s="3" t="str">
        <f>IF(C_Ope_005[[#This Row],[fecha]]&gt;0,TEXT(C_Ope_005[[#This Row],[fecha]],"mmmm"),0)</f>
        <v>Marzo</v>
      </c>
      <c r="AB164" s="49"/>
    </row>
    <row r="165" spans="1:28" ht="36" x14ac:dyDescent="0.3">
      <c r="A165" s="2">
        <f>IF(C_Ope_005[[#This Row],[tipo_r]]="R",COUNTIFS($C$1:$C164,"R")+1,"")</f>
        <v>164</v>
      </c>
      <c r="B165" s="19" t="str">
        <f t="shared" si="14"/>
        <v>C_Ope_005</v>
      </c>
      <c r="C165" s="3" t="s">
        <v>1330</v>
      </c>
      <c r="D165" s="14">
        <v>45726</v>
      </c>
      <c r="E165" s="5" t="s">
        <v>8535</v>
      </c>
      <c r="F165" s="5" t="s">
        <v>1336</v>
      </c>
      <c r="G165" s="6" t="s">
        <v>978</v>
      </c>
      <c r="H165" s="6" t="s">
        <v>68</v>
      </c>
      <c r="I165" s="6" t="s">
        <v>6204</v>
      </c>
      <c r="J165" s="6">
        <v>1675736</v>
      </c>
      <c r="K165" s="7" t="s">
        <v>8625</v>
      </c>
      <c r="L165" s="8">
        <v>23359</v>
      </c>
      <c r="M165" s="8" t="str">
        <f t="shared" si="15"/>
        <v>PEN</v>
      </c>
      <c r="N165" s="13"/>
      <c r="O165" s="13">
        <v>8</v>
      </c>
      <c r="P165" s="3">
        <f t="shared" si="11"/>
        <v>0</v>
      </c>
      <c r="Q165" s="3">
        <f t="shared" si="12"/>
        <v>8</v>
      </c>
      <c r="R165" s="3">
        <f t="shared" si="13"/>
        <v>200.99999999999955</v>
      </c>
      <c r="S165" s="24" t="s">
        <v>1334</v>
      </c>
      <c r="T165" s="24" t="s">
        <v>1334</v>
      </c>
      <c r="U165" s="3"/>
      <c r="V165" s="25" t="s">
        <v>7761</v>
      </c>
      <c r="W165" s="25">
        <v>20517252558</v>
      </c>
      <c r="X165" s="25" t="str">
        <f>IFERROR(VLOOKUP(C_Ope_005[[#This Row],[nota_2]],Clientes_Proveedores[[Ruc / Dni]:[Razon Social]],2,0),"")</f>
        <v>COVISUR S.A.</v>
      </c>
      <c r="Y165" s="25"/>
      <c r="Z165" s="103"/>
      <c r="AA165" s="3" t="str">
        <f>IF(C_Ope_005[[#This Row],[fecha]]&gt;0,TEXT(C_Ope_005[[#This Row],[fecha]],"mmmm"),0)</f>
        <v>Marzo</v>
      </c>
      <c r="AB165" s="49"/>
    </row>
    <row r="166" spans="1:28" ht="36" x14ac:dyDescent="0.3">
      <c r="A166" s="2">
        <f>IF(C_Ope_005[[#This Row],[tipo_r]]="R",COUNTIFS($C$1:$C165,"R")+1,"")</f>
        <v>165</v>
      </c>
      <c r="B166" s="19" t="str">
        <f t="shared" si="14"/>
        <v>C_Ope_005</v>
      </c>
      <c r="C166" s="3" t="s">
        <v>1330</v>
      </c>
      <c r="D166" s="14">
        <v>45726</v>
      </c>
      <c r="E166" s="5" t="s">
        <v>8535</v>
      </c>
      <c r="F166" s="5" t="s">
        <v>1336</v>
      </c>
      <c r="G166" s="6" t="s">
        <v>978</v>
      </c>
      <c r="H166" s="6" t="s">
        <v>68</v>
      </c>
      <c r="I166" s="6" t="s">
        <v>5845</v>
      </c>
      <c r="J166" s="6">
        <v>1695451</v>
      </c>
      <c r="K166" s="7" t="s">
        <v>8625</v>
      </c>
      <c r="L166" s="8">
        <v>23360</v>
      </c>
      <c r="M166" s="8" t="str">
        <f t="shared" si="15"/>
        <v>PEN</v>
      </c>
      <c r="N166" s="13"/>
      <c r="O166" s="13">
        <v>8</v>
      </c>
      <c r="P166" s="3">
        <f t="shared" si="11"/>
        <v>0</v>
      </c>
      <c r="Q166" s="3">
        <f t="shared" si="12"/>
        <v>8</v>
      </c>
      <c r="R166" s="3">
        <f t="shared" si="13"/>
        <v>192.99999999999955</v>
      </c>
      <c r="S166" s="24" t="s">
        <v>1334</v>
      </c>
      <c r="T166" s="24" t="s">
        <v>1334</v>
      </c>
      <c r="U166" s="3"/>
      <c r="V166" s="25" t="s">
        <v>7761</v>
      </c>
      <c r="W166" s="25">
        <v>20517252558</v>
      </c>
      <c r="X166" s="25" t="str">
        <f>IFERROR(VLOOKUP(C_Ope_005[[#This Row],[nota_2]],Clientes_Proveedores[[Ruc / Dni]:[Razon Social]],2,0),"")</f>
        <v>COVISUR S.A.</v>
      </c>
      <c r="Y166" s="25"/>
      <c r="Z166" s="103"/>
      <c r="AA166" s="3" t="str">
        <f>IF(C_Ope_005[[#This Row],[fecha]]&gt;0,TEXT(C_Ope_005[[#This Row],[fecha]],"mmmm"),0)</f>
        <v>Marzo</v>
      </c>
      <c r="AB166" s="49"/>
    </row>
    <row r="167" spans="1:28" ht="24" x14ac:dyDescent="0.3">
      <c r="A167" s="2">
        <f>IF(C_Ope_005[[#This Row],[tipo_r]]="R",COUNTIFS($C$1:$C166,"R")+1,"")</f>
        <v>166</v>
      </c>
      <c r="B167" s="19" t="str">
        <f t="shared" si="14"/>
        <v>C_Ope_005</v>
      </c>
      <c r="C167" s="3" t="s">
        <v>1330</v>
      </c>
      <c r="D167" s="14">
        <v>45729</v>
      </c>
      <c r="E167" s="5" t="s">
        <v>8535</v>
      </c>
      <c r="F167" s="5" t="s">
        <v>1336</v>
      </c>
      <c r="G167" s="6" t="s">
        <v>978</v>
      </c>
      <c r="H167" s="6" t="s">
        <v>68</v>
      </c>
      <c r="I167" s="6" t="s">
        <v>6204</v>
      </c>
      <c r="J167" s="6">
        <v>1678436</v>
      </c>
      <c r="K167" s="7" t="s">
        <v>8626</v>
      </c>
      <c r="L167" s="8">
        <v>23427</v>
      </c>
      <c r="M167" s="8" t="str">
        <f t="shared" si="15"/>
        <v>PEN</v>
      </c>
      <c r="N167" s="13"/>
      <c r="O167" s="13">
        <v>8</v>
      </c>
      <c r="P167" s="3">
        <f t="shared" si="11"/>
        <v>0</v>
      </c>
      <c r="Q167" s="3">
        <f t="shared" si="12"/>
        <v>8</v>
      </c>
      <c r="R167" s="3">
        <f t="shared" si="13"/>
        <v>184.99999999999955</v>
      </c>
      <c r="S167" s="24" t="s">
        <v>1334</v>
      </c>
      <c r="T167" s="24" t="s">
        <v>1334</v>
      </c>
      <c r="U167" s="3"/>
      <c r="V167" s="25" t="s">
        <v>7761</v>
      </c>
      <c r="W167" s="25">
        <v>20517252558</v>
      </c>
      <c r="X167" s="25" t="str">
        <f>IFERROR(VLOOKUP(C_Ope_005[[#This Row],[nota_2]],Clientes_Proveedores[[Ruc / Dni]:[Razon Social]],2,0),"")</f>
        <v>COVISUR S.A.</v>
      </c>
      <c r="Y167" s="25"/>
      <c r="Z167" s="103"/>
      <c r="AA167" s="3" t="str">
        <f>IF(C_Ope_005[[#This Row],[fecha]]&gt;0,TEXT(C_Ope_005[[#This Row],[fecha]],"mmmm"),0)</f>
        <v>Marzo</v>
      </c>
      <c r="AB167" s="49"/>
    </row>
    <row r="168" spans="1:28" ht="24" x14ac:dyDescent="0.3">
      <c r="A168" s="2">
        <f>IF(C_Ope_005[[#This Row],[tipo_r]]="R",COUNTIFS($C$1:$C167,"R")+1,"")</f>
        <v>167</v>
      </c>
      <c r="B168" s="19" t="str">
        <f t="shared" si="14"/>
        <v>C_Ope_005</v>
      </c>
      <c r="C168" s="3" t="s">
        <v>1330</v>
      </c>
      <c r="D168" s="14">
        <v>45729</v>
      </c>
      <c r="E168" s="5" t="s">
        <v>8535</v>
      </c>
      <c r="F168" s="5" t="s">
        <v>1336</v>
      </c>
      <c r="G168" s="6" t="s">
        <v>978</v>
      </c>
      <c r="H168" s="6" t="s">
        <v>68</v>
      </c>
      <c r="I168" s="6" t="s">
        <v>6203</v>
      </c>
      <c r="J168" s="6">
        <v>1988749</v>
      </c>
      <c r="K168" s="7" t="s">
        <v>8626</v>
      </c>
      <c r="L168" s="8">
        <v>23428</v>
      </c>
      <c r="M168" s="8" t="str">
        <f t="shared" si="15"/>
        <v>PEN</v>
      </c>
      <c r="N168" s="13"/>
      <c r="O168" s="13">
        <v>8</v>
      </c>
      <c r="P168" s="3">
        <f t="shared" si="11"/>
        <v>0</v>
      </c>
      <c r="Q168" s="3">
        <f t="shared" si="12"/>
        <v>8</v>
      </c>
      <c r="R168" s="3">
        <f t="shared" si="13"/>
        <v>176.99999999999955</v>
      </c>
      <c r="S168" s="24" t="s">
        <v>1334</v>
      </c>
      <c r="T168" s="24" t="s">
        <v>1334</v>
      </c>
      <c r="U168" s="3"/>
      <c r="V168" s="25" t="s">
        <v>7761</v>
      </c>
      <c r="W168" s="25">
        <v>20517252558</v>
      </c>
      <c r="X168" s="25" t="str">
        <f>IFERROR(VLOOKUP(C_Ope_005[[#This Row],[nota_2]],Clientes_Proveedores[[Ruc / Dni]:[Razon Social]],2,0),"")</f>
        <v>COVISUR S.A.</v>
      </c>
      <c r="Y168" s="25"/>
      <c r="Z168" s="103"/>
      <c r="AA168" s="3" t="str">
        <f>IF(C_Ope_005[[#This Row],[fecha]]&gt;0,TEXT(C_Ope_005[[#This Row],[fecha]],"mmmm"),0)</f>
        <v>Marzo</v>
      </c>
      <c r="AB168" s="49"/>
    </row>
    <row r="169" spans="1:28" ht="24" x14ac:dyDescent="0.3">
      <c r="A169" s="2">
        <f>IF(C_Ope_005[[#This Row],[tipo_r]]="R",COUNTIFS($C$1:$C168,"R")+1,"")</f>
        <v>168</v>
      </c>
      <c r="B169" s="19" t="str">
        <f t="shared" si="14"/>
        <v>C_Ope_005</v>
      </c>
      <c r="C169" s="3" t="s">
        <v>1330</v>
      </c>
      <c r="D169" s="14">
        <v>45730</v>
      </c>
      <c r="E169" s="5" t="s">
        <v>8535</v>
      </c>
      <c r="F169" s="5" t="s">
        <v>1336</v>
      </c>
      <c r="G169" s="6" t="s">
        <v>978</v>
      </c>
      <c r="H169" s="6" t="s">
        <v>68</v>
      </c>
      <c r="I169" s="6" t="s">
        <v>5845</v>
      </c>
      <c r="J169" s="6">
        <v>1698842</v>
      </c>
      <c r="K169" s="7" t="s">
        <v>8627</v>
      </c>
      <c r="L169" s="8">
        <v>23438</v>
      </c>
      <c r="M169" s="8" t="str">
        <f t="shared" si="15"/>
        <v>PEN</v>
      </c>
      <c r="N169" s="13"/>
      <c r="O169" s="13">
        <v>8</v>
      </c>
      <c r="P169" s="3">
        <f t="shared" si="11"/>
        <v>0</v>
      </c>
      <c r="Q169" s="3">
        <f t="shared" si="12"/>
        <v>8</v>
      </c>
      <c r="R169" s="3">
        <f t="shared" si="13"/>
        <v>168.99999999999955</v>
      </c>
      <c r="S169" s="24" t="s">
        <v>1334</v>
      </c>
      <c r="T169" s="24" t="s">
        <v>1334</v>
      </c>
      <c r="U169" s="3"/>
      <c r="V169" s="25" t="s">
        <v>7761</v>
      </c>
      <c r="W169" s="25">
        <v>20517252558</v>
      </c>
      <c r="X169" s="25" t="str">
        <f>IFERROR(VLOOKUP(C_Ope_005[[#This Row],[nota_2]],Clientes_Proveedores[[Ruc / Dni]:[Razon Social]],2,0),"")</f>
        <v>COVISUR S.A.</v>
      </c>
      <c r="Y169" s="25"/>
      <c r="Z169" s="103"/>
      <c r="AA169" s="3" t="str">
        <f>IF(C_Ope_005[[#This Row],[fecha]]&gt;0,TEXT(C_Ope_005[[#This Row],[fecha]],"mmmm"),0)</f>
        <v>Marzo</v>
      </c>
      <c r="AB169" s="49"/>
    </row>
    <row r="170" spans="1:28" ht="24" x14ac:dyDescent="0.3">
      <c r="A170" s="2">
        <f>IF(C_Ope_005[[#This Row],[tipo_r]]="R",COUNTIFS($C$1:$C169,"R")+1,"")</f>
        <v>169</v>
      </c>
      <c r="B170" s="19" t="str">
        <f t="shared" si="14"/>
        <v>C_Ope_005</v>
      </c>
      <c r="C170" s="3" t="s">
        <v>1330</v>
      </c>
      <c r="D170" s="14">
        <v>45730</v>
      </c>
      <c r="E170" s="5" t="s">
        <v>8535</v>
      </c>
      <c r="F170" s="5" t="s">
        <v>1336</v>
      </c>
      <c r="G170" s="6" t="s">
        <v>978</v>
      </c>
      <c r="H170" s="6" t="s">
        <v>68</v>
      </c>
      <c r="I170" s="6" t="s">
        <v>5688</v>
      </c>
      <c r="J170" s="6">
        <v>2264909</v>
      </c>
      <c r="K170" s="7" t="s">
        <v>8627</v>
      </c>
      <c r="L170" s="8">
        <v>23439</v>
      </c>
      <c r="M170" s="8" t="str">
        <f t="shared" si="15"/>
        <v>PEN</v>
      </c>
      <c r="N170" s="13"/>
      <c r="O170" s="13">
        <v>8</v>
      </c>
      <c r="P170" s="3">
        <f t="shared" si="11"/>
        <v>0</v>
      </c>
      <c r="Q170" s="3">
        <f t="shared" si="12"/>
        <v>8</v>
      </c>
      <c r="R170" s="3">
        <f t="shared" si="13"/>
        <v>160.99999999999955</v>
      </c>
      <c r="S170" s="24" t="s">
        <v>1334</v>
      </c>
      <c r="T170" s="24" t="s">
        <v>1334</v>
      </c>
      <c r="U170" s="3"/>
      <c r="V170" s="25" t="s">
        <v>7761</v>
      </c>
      <c r="W170" s="25">
        <v>20517252558</v>
      </c>
      <c r="X170" s="25" t="str">
        <f>IFERROR(VLOOKUP(C_Ope_005[[#This Row],[nota_2]],Clientes_Proveedores[[Ruc / Dni]:[Razon Social]],2,0),"")</f>
        <v>COVISUR S.A.</v>
      </c>
      <c r="Y170" s="25"/>
      <c r="Z170" s="103"/>
      <c r="AA170" s="3" t="str">
        <f>IF(C_Ope_005[[#This Row],[fecha]]&gt;0,TEXT(C_Ope_005[[#This Row],[fecha]],"mmmm"),0)</f>
        <v>Marzo</v>
      </c>
      <c r="AB170" s="49"/>
    </row>
    <row r="171" spans="1:28" ht="36" x14ac:dyDescent="0.3">
      <c r="A171" s="2">
        <f>IF(C_Ope_005[[#This Row],[tipo_r]]="R",COUNTIFS($C$1:$C170,"R")+1,"")</f>
        <v>170</v>
      </c>
      <c r="B171" s="19" t="str">
        <f t="shared" si="14"/>
        <v>C_Ope_005</v>
      </c>
      <c r="C171" s="3" t="s">
        <v>1330</v>
      </c>
      <c r="D171" s="14">
        <v>45727</v>
      </c>
      <c r="E171" s="5" t="s">
        <v>8535</v>
      </c>
      <c r="F171" s="5" t="s">
        <v>1336</v>
      </c>
      <c r="G171" s="6" t="s">
        <v>227</v>
      </c>
      <c r="H171" s="6" t="s">
        <v>68</v>
      </c>
      <c r="I171" s="6" t="s">
        <v>1390</v>
      </c>
      <c r="J171" s="6">
        <v>129223</v>
      </c>
      <c r="K171" s="7" t="s">
        <v>8628</v>
      </c>
      <c r="L171" s="8">
        <v>23382</v>
      </c>
      <c r="M171" s="8" t="str">
        <f t="shared" si="15"/>
        <v>PEN</v>
      </c>
      <c r="N171" s="13"/>
      <c r="O171" s="13">
        <v>10</v>
      </c>
      <c r="P171" s="3">
        <f t="shared" si="11"/>
        <v>0</v>
      </c>
      <c r="Q171" s="3">
        <f t="shared" si="12"/>
        <v>10</v>
      </c>
      <c r="R171" s="3">
        <f t="shared" si="13"/>
        <v>150.99999999999955</v>
      </c>
      <c r="S171" s="24" t="s">
        <v>1334</v>
      </c>
      <c r="T171" s="24" t="s">
        <v>1334</v>
      </c>
      <c r="U171" s="3"/>
      <c r="V171" s="25" t="s">
        <v>7761</v>
      </c>
      <c r="W171" s="25">
        <v>20124952850</v>
      </c>
      <c r="X171" s="25" t="str">
        <f>IFERROR(VLOOKUP(C_Ope_005[[#This Row],[nota_2]],Clientes_Proveedores[[Ruc / Dni]:[Razon Social]],2,0),"")</f>
        <v>ALIMENTOS Y SERVICIOS AGROPECUARIOS SRL.</v>
      </c>
      <c r="Y171" s="25"/>
      <c r="Z171" s="103"/>
      <c r="AA171" s="3" t="str">
        <f>IF(C_Ope_005[[#This Row],[fecha]]&gt;0,TEXT(C_Ope_005[[#This Row],[fecha]],"mmmm"),0)</f>
        <v>Marzo</v>
      </c>
      <c r="AB171" s="49"/>
    </row>
    <row r="172" spans="1:28" ht="36" x14ac:dyDescent="0.3">
      <c r="A172" s="2">
        <f>IF(C_Ope_005[[#This Row],[tipo_r]]="R",COUNTIFS($C$1:$C171,"R")+1,"")</f>
        <v>171</v>
      </c>
      <c r="B172" s="19" t="str">
        <f t="shared" si="14"/>
        <v>C_Ope_005</v>
      </c>
      <c r="C172" s="3" t="s">
        <v>1330</v>
      </c>
      <c r="D172" s="14">
        <v>45727</v>
      </c>
      <c r="E172" s="5" t="s">
        <v>8535</v>
      </c>
      <c r="F172" s="5" t="s">
        <v>1336</v>
      </c>
      <c r="G172" s="6" t="s">
        <v>227</v>
      </c>
      <c r="H172" s="6" t="s">
        <v>68</v>
      </c>
      <c r="I172" s="6" t="s">
        <v>1390</v>
      </c>
      <c r="J172" s="6">
        <v>129230</v>
      </c>
      <c r="K172" s="7" t="s">
        <v>8628</v>
      </c>
      <c r="L172" s="8">
        <v>23383</v>
      </c>
      <c r="M172" s="8" t="str">
        <f t="shared" si="15"/>
        <v>PEN</v>
      </c>
      <c r="N172" s="13"/>
      <c r="O172" s="13">
        <v>10</v>
      </c>
      <c r="P172" s="3">
        <f t="shared" si="11"/>
        <v>0</v>
      </c>
      <c r="Q172" s="3">
        <f t="shared" si="12"/>
        <v>10</v>
      </c>
      <c r="R172" s="3">
        <f t="shared" si="13"/>
        <v>140.99999999999955</v>
      </c>
      <c r="S172" s="24" t="s">
        <v>1334</v>
      </c>
      <c r="T172" s="24" t="s">
        <v>1334</v>
      </c>
      <c r="U172" s="3"/>
      <c r="V172" s="25" t="s">
        <v>7761</v>
      </c>
      <c r="W172" s="25">
        <v>20124952850</v>
      </c>
      <c r="X172" s="25" t="str">
        <f>IFERROR(VLOOKUP(C_Ope_005[[#This Row],[nota_2]],Clientes_Proveedores[[Ruc / Dni]:[Razon Social]],2,0),"")</f>
        <v>ALIMENTOS Y SERVICIOS AGROPECUARIOS SRL.</v>
      </c>
      <c r="Y172" s="25"/>
      <c r="Z172" s="103"/>
      <c r="AA172" s="3" t="str">
        <f>IF(C_Ope_005[[#This Row],[fecha]]&gt;0,TEXT(C_Ope_005[[#This Row],[fecha]],"mmmm"),0)</f>
        <v>Marzo</v>
      </c>
      <c r="AB172" s="49"/>
    </row>
    <row r="173" spans="1:28" ht="36" x14ac:dyDescent="0.3">
      <c r="A173" s="2">
        <f>IF(C_Ope_005[[#This Row],[tipo_r]]="R",COUNTIFS($C$1:$C172,"R")+1,"")</f>
        <v>172</v>
      </c>
      <c r="B173" s="19" t="str">
        <f t="shared" si="14"/>
        <v>C_Ope_005</v>
      </c>
      <c r="C173" s="3" t="s">
        <v>1330</v>
      </c>
      <c r="D173" s="14">
        <v>45727</v>
      </c>
      <c r="E173" s="5" t="s">
        <v>8535</v>
      </c>
      <c r="F173" s="5" t="s">
        <v>1336</v>
      </c>
      <c r="G173" s="6" t="s">
        <v>227</v>
      </c>
      <c r="H173" s="6" t="s">
        <v>68</v>
      </c>
      <c r="I173" s="6" t="s">
        <v>1390</v>
      </c>
      <c r="J173" s="6">
        <v>129232</v>
      </c>
      <c r="K173" s="7" t="s">
        <v>8628</v>
      </c>
      <c r="L173" s="8">
        <v>23384</v>
      </c>
      <c r="M173" s="8" t="str">
        <f t="shared" si="15"/>
        <v>PEN</v>
      </c>
      <c r="N173" s="13"/>
      <c r="O173" s="13">
        <v>10</v>
      </c>
      <c r="P173" s="3">
        <f t="shared" si="11"/>
        <v>0</v>
      </c>
      <c r="Q173" s="3">
        <f t="shared" si="12"/>
        <v>10</v>
      </c>
      <c r="R173" s="3">
        <f t="shared" si="13"/>
        <v>130.99999999999955</v>
      </c>
      <c r="S173" s="24" t="s">
        <v>1334</v>
      </c>
      <c r="T173" s="24" t="s">
        <v>1334</v>
      </c>
      <c r="U173" s="3"/>
      <c r="V173" s="25" t="s">
        <v>7761</v>
      </c>
      <c r="W173" s="25">
        <v>20124952850</v>
      </c>
      <c r="X173" s="25" t="str">
        <f>IFERROR(VLOOKUP(C_Ope_005[[#This Row],[nota_2]],Clientes_Proveedores[[Ruc / Dni]:[Razon Social]],2,0),"")</f>
        <v>ALIMENTOS Y SERVICIOS AGROPECUARIOS SRL.</v>
      </c>
      <c r="Y173" s="25"/>
      <c r="Z173" s="103"/>
      <c r="AA173" s="3" t="str">
        <f>IF(C_Ope_005[[#This Row],[fecha]]&gt;0,TEXT(C_Ope_005[[#This Row],[fecha]],"mmmm"),0)</f>
        <v>Marzo</v>
      </c>
      <c r="AB173" s="49"/>
    </row>
    <row r="174" spans="1:28" ht="36" x14ac:dyDescent="0.3">
      <c r="A174" s="2">
        <f>IF(C_Ope_005[[#This Row],[tipo_r]]="R",COUNTIFS($C$1:$C173,"R")+1,"")</f>
        <v>173</v>
      </c>
      <c r="B174" s="19" t="str">
        <f t="shared" si="14"/>
        <v>C_Ope_005</v>
      </c>
      <c r="C174" s="3" t="s">
        <v>1330</v>
      </c>
      <c r="D174" s="14">
        <v>45727</v>
      </c>
      <c r="E174" s="5" t="s">
        <v>8535</v>
      </c>
      <c r="F174" s="5" t="s">
        <v>1336</v>
      </c>
      <c r="G174" s="6" t="s">
        <v>682</v>
      </c>
      <c r="H174" s="6" t="s">
        <v>68</v>
      </c>
      <c r="I174" s="6" t="s">
        <v>1343</v>
      </c>
      <c r="J174" s="6">
        <v>34088</v>
      </c>
      <c r="K174" s="7" t="s">
        <v>8624</v>
      </c>
      <c r="L174" s="8">
        <v>23402</v>
      </c>
      <c r="M174" s="8" t="str">
        <f t="shared" si="15"/>
        <v>PEN</v>
      </c>
      <c r="N174" s="13"/>
      <c r="O174" s="13">
        <v>10</v>
      </c>
      <c r="P174" s="3">
        <f t="shared" si="11"/>
        <v>0</v>
      </c>
      <c r="Q174" s="3">
        <f t="shared" si="12"/>
        <v>10</v>
      </c>
      <c r="R174" s="3">
        <f t="shared" si="13"/>
        <v>120.99999999999955</v>
      </c>
      <c r="S174" s="24" t="s">
        <v>1334</v>
      </c>
      <c r="T174" s="24" t="s">
        <v>1334</v>
      </c>
      <c r="U174" s="3"/>
      <c r="V174" s="25" t="s">
        <v>7761</v>
      </c>
      <c r="W174" s="25">
        <v>20259858934</v>
      </c>
      <c r="X174" s="25" t="str">
        <f>IFERROR(VLOOKUP(C_Ope_005[[#This Row],[nota_2]],Clientes_Proveedores[[Ruc / Dni]:[Razon Social]],2,0),"")</f>
        <v>COMERCIALIZACION Y SERVICIOS EL EDEN S.A.C.</v>
      </c>
      <c r="Y174" s="25"/>
      <c r="Z174" s="103"/>
      <c r="AA174" s="3" t="str">
        <f>IF(C_Ope_005[[#This Row],[fecha]]&gt;0,TEXT(C_Ope_005[[#This Row],[fecha]],"mmmm"),0)</f>
        <v>Marzo</v>
      </c>
      <c r="AB174" s="49"/>
    </row>
    <row r="175" spans="1:28" ht="36" x14ac:dyDescent="0.3">
      <c r="A175" s="2">
        <f>IF(C_Ope_005[[#This Row],[tipo_r]]="R",COUNTIFS($C$1:$C174,"R")+1,"")</f>
        <v>174</v>
      </c>
      <c r="B175" s="19" t="str">
        <f t="shared" si="14"/>
        <v>C_Ope_005</v>
      </c>
      <c r="C175" s="3" t="s">
        <v>1330</v>
      </c>
      <c r="D175" s="14">
        <v>45728</v>
      </c>
      <c r="E175" s="5" t="s">
        <v>8535</v>
      </c>
      <c r="F175" s="5" t="s">
        <v>1336</v>
      </c>
      <c r="G175" s="6" t="s">
        <v>227</v>
      </c>
      <c r="H175" s="6" t="s">
        <v>68</v>
      </c>
      <c r="I175" s="6" t="s">
        <v>1390</v>
      </c>
      <c r="J175" s="6">
        <v>129249</v>
      </c>
      <c r="K175" s="7" t="s">
        <v>8629</v>
      </c>
      <c r="L175" s="8">
        <v>23401</v>
      </c>
      <c r="M175" s="8" t="str">
        <f t="shared" si="15"/>
        <v>PEN</v>
      </c>
      <c r="N175" s="13"/>
      <c r="O175" s="13">
        <v>10</v>
      </c>
      <c r="P175" s="3">
        <f t="shared" si="11"/>
        <v>0</v>
      </c>
      <c r="Q175" s="3">
        <f t="shared" si="12"/>
        <v>10</v>
      </c>
      <c r="R175" s="3">
        <f t="shared" si="13"/>
        <v>110.99999999999955</v>
      </c>
      <c r="S175" s="24" t="s">
        <v>1334</v>
      </c>
      <c r="T175" s="24" t="s">
        <v>1334</v>
      </c>
      <c r="U175" s="3"/>
      <c r="V175" s="25" t="s">
        <v>7761</v>
      </c>
      <c r="W175" s="25">
        <v>20124952850</v>
      </c>
      <c r="X175" s="25" t="str">
        <f>IFERROR(VLOOKUP(C_Ope_005[[#This Row],[nota_2]],Clientes_Proveedores[[Ruc / Dni]:[Razon Social]],2,0),"")</f>
        <v>ALIMENTOS Y SERVICIOS AGROPECUARIOS SRL.</v>
      </c>
      <c r="Y175" s="25"/>
      <c r="Z175" s="103"/>
      <c r="AA175" s="3" t="str">
        <f>IF(C_Ope_005[[#This Row],[fecha]]&gt;0,TEXT(C_Ope_005[[#This Row],[fecha]],"mmmm"),0)</f>
        <v>Marzo</v>
      </c>
      <c r="AB175" s="49"/>
    </row>
    <row r="176" spans="1:28" ht="36" x14ac:dyDescent="0.3">
      <c r="A176" s="2">
        <f>IF(C_Ope_005[[#This Row],[tipo_r]]="R",COUNTIFS($C$1:$C175,"R")+1,"")</f>
        <v>175</v>
      </c>
      <c r="B176" s="19" t="str">
        <f t="shared" si="14"/>
        <v>C_Ope_005</v>
      </c>
      <c r="C176" s="3" t="s">
        <v>1330</v>
      </c>
      <c r="D176" s="14">
        <v>45730</v>
      </c>
      <c r="E176" s="5" t="s">
        <v>8535</v>
      </c>
      <c r="F176" s="5" t="s">
        <v>1336</v>
      </c>
      <c r="G176" s="6" t="s">
        <v>682</v>
      </c>
      <c r="H176" s="6" t="s">
        <v>68</v>
      </c>
      <c r="I176" s="6" t="s">
        <v>1343</v>
      </c>
      <c r="J176" s="6">
        <v>34119</v>
      </c>
      <c r="K176" s="7" t="s">
        <v>8624</v>
      </c>
      <c r="L176" s="8">
        <v>23440</v>
      </c>
      <c r="M176" s="8" t="str">
        <f t="shared" si="15"/>
        <v>PEN</v>
      </c>
      <c r="N176" s="13"/>
      <c r="O176" s="13">
        <v>10</v>
      </c>
      <c r="P176" s="3">
        <f t="shared" si="11"/>
        <v>0</v>
      </c>
      <c r="Q176" s="3">
        <f t="shared" si="12"/>
        <v>10</v>
      </c>
      <c r="R176" s="3">
        <f t="shared" si="13"/>
        <v>100.99999999999955</v>
      </c>
      <c r="S176" s="24" t="s">
        <v>1334</v>
      </c>
      <c r="T176" s="24" t="s">
        <v>1334</v>
      </c>
      <c r="U176" s="3"/>
      <c r="V176" s="25" t="s">
        <v>7761</v>
      </c>
      <c r="W176" s="25">
        <v>20259858934</v>
      </c>
      <c r="X176" s="25" t="str">
        <f>IFERROR(VLOOKUP(C_Ope_005[[#This Row],[nota_2]],Clientes_Proveedores[[Ruc / Dni]:[Razon Social]],2,0),"")</f>
        <v>COMERCIALIZACION Y SERVICIOS EL EDEN S.A.C.</v>
      </c>
      <c r="Y176" s="25"/>
      <c r="Z176" s="103"/>
      <c r="AA176" s="3" t="str">
        <f>IF(C_Ope_005[[#This Row],[fecha]]&gt;0,TEXT(C_Ope_005[[#This Row],[fecha]],"mmmm"),0)</f>
        <v>Marzo</v>
      </c>
      <c r="AB176" s="49"/>
    </row>
    <row r="177" spans="1:28" ht="24" x14ac:dyDescent="0.3">
      <c r="A177" s="2">
        <f>IF(C_Ope_005[[#This Row],[tipo_r]]="R",COUNTIFS($C$1:$C176,"R")+1,"")</f>
        <v>176</v>
      </c>
      <c r="B177" s="19" t="str">
        <f t="shared" si="14"/>
        <v>C_Ope_005</v>
      </c>
      <c r="C177" s="3" t="s">
        <v>1330</v>
      </c>
      <c r="D177" s="14">
        <v>45734</v>
      </c>
      <c r="E177" s="5" t="s">
        <v>7514</v>
      </c>
      <c r="F177" s="5" t="s">
        <v>1303</v>
      </c>
      <c r="G177" s="6" t="s">
        <v>957</v>
      </c>
      <c r="H177" s="6"/>
      <c r="I177" s="6"/>
      <c r="J177" s="6"/>
      <c r="K177" s="7" t="s">
        <v>7516</v>
      </c>
      <c r="L177" s="8">
        <v>23485</v>
      </c>
      <c r="M177" s="8" t="str">
        <f t="shared" si="15"/>
        <v>PEN</v>
      </c>
      <c r="N177" s="13"/>
      <c r="O177" s="13">
        <v>100</v>
      </c>
      <c r="P177" s="3">
        <f t="shared" si="11"/>
        <v>100</v>
      </c>
      <c r="Q177" s="3">
        <f t="shared" si="12"/>
        <v>0</v>
      </c>
      <c r="R177" s="3">
        <f t="shared" si="13"/>
        <v>200.99999999999955</v>
      </c>
      <c r="S177" s="24" t="s">
        <v>1334</v>
      </c>
      <c r="T177" s="24" t="s">
        <v>1334</v>
      </c>
      <c r="U177" s="3"/>
      <c r="V177" s="25"/>
      <c r="W177" s="25"/>
      <c r="X177" s="25" t="str">
        <f>IFERROR(VLOOKUP(C_Ope_005[[#This Row],[nota_2]],Clientes_Proveedores[[Ruc / Dni]:[Razon Social]],2,0),"")</f>
        <v/>
      </c>
      <c r="Y177" s="25"/>
      <c r="Z177" s="103"/>
      <c r="AA177" s="3" t="str">
        <f>IF(C_Ope_005[[#This Row],[fecha]]&gt;0,TEXT(C_Ope_005[[#This Row],[fecha]],"mmmm"),0)</f>
        <v>Marzo</v>
      </c>
      <c r="AB177" s="49"/>
    </row>
    <row r="178" spans="1:28" ht="24" x14ac:dyDescent="0.3">
      <c r="A178" s="2">
        <f>IF(C_Ope_005[[#This Row],[tipo_r]]="R",COUNTIFS($C$1:$C177,"R")+1,"")</f>
        <v>177</v>
      </c>
      <c r="B178" s="19" t="str">
        <f t="shared" si="14"/>
        <v>C_Ope_005</v>
      </c>
      <c r="C178" s="3" t="s">
        <v>1330</v>
      </c>
      <c r="D178" s="14">
        <v>45733</v>
      </c>
      <c r="E178" s="5" t="s">
        <v>8535</v>
      </c>
      <c r="F178" s="5" t="s">
        <v>1336</v>
      </c>
      <c r="G178" s="6" t="s">
        <v>978</v>
      </c>
      <c r="H178" s="6" t="s">
        <v>68</v>
      </c>
      <c r="I178" s="6" t="s">
        <v>6204</v>
      </c>
      <c r="J178" s="6">
        <v>1681825</v>
      </c>
      <c r="K178" s="7" t="s">
        <v>8630</v>
      </c>
      <c r="L178" s="8">
        <v>23480</v>
      </c>
      <c r="M178" s="8" t="str">
        <f t="shared" si="15"/>
        <v>PEN</v>
      </c>
      <c r="N178" s="13"/>
      <c r="O178" s="13">
        <v>8</v>
      </c>
      <c r="P178" s="3">
        <f t="shared" si="11"/>
        <v>0</v>
      </c>
      <c r="Q178" s="3">
        <f t="shared" si="12"/>
        <v>8</v>
      </c>
      <c r="R178" s="3">
        <f t="shared" si="13"/>
        <v>192.99999999999955</v>
      </c>
      <c r="S178" s="24" t="s">
        <v>1334</v>
      </c>
      <c r="T178" s="24" t="s">
        <v>1334</v>
      </c>
      <c r="U178" s="3"/>
      <c r="V178" s="25" t="s">
        <v>7761</v>
      </c>
      <c r="W178" s="103">
        <v>20517252558</v>
      </c>
      <c r="X178" s="25" t="str">
        <f>IFERROR(VLOOKUP(C_Ope_005[[#This Row],[nota_2]],Clientes_Proveedores[[Ruc / Dni]:[Razon Social]],2,0),"")</f>
        <v>COVISUR S.A.</v>
      </c>
      <c r="Y178" s="25"/>
      <c r="Z178" s="103"/>
      <c r="AA178" s="3" t="str">
        <f>IF(C_Ope_005[[#This Row],[fecha]]&gt;0,TEXT(C_Ope_005[[#This Row],[fecha]],"mmmm"),0)</f>
        <v>Marzo</v>
      </c>
      <c r="AB178" s="49"/>
    </row>
    <row r="179" spans="1:28" ht="24" x14ac:dyDescent="0.3">
      <c r="A179" s="2">
        <f>IF(C_Ope_005[[#This Row],[tipo_r]]="R",COUNTIFS($C$1:$C178,"R")+1,"")</f>
        <v>178</v>
      </c>
      <c r="B179" s="19" t="str">
        <f t="shared" si="14"/>
        <v>C_Ope_005</v>
      </c>
      <c r="C179" s="3" t="s">
        <v>1330</v>
      </c>
      <c r="D179" s="14">
        <v>45733</v>
      </c>
      <c r="E179" s="5" t="s">
        <v>8535</v>
      </c>
      <c r="F179" s="5" t="s">
        <v>1336</v>
      </c>
      <c r="G179" s="6" t="s">
        <v>978</v>
      </c>
      <c r="H179" s="6" t="s">
        <v>68</v>
      </c>
      <c r="I179" s="6" t="s">
        <v>6203</v>
      </c>
      <c r="J179" s="6">
        <v>1993065</v>
      </c>
      <c r="K179" s="7" t="s">
        <v>8630</v>
      </c>
      <c r="L179" s="8">
        <v>23481</v>
      </c>
      <c r="M179" s="8" t="str">
        <f t="shared" si="15"/>
        <v>PEN</v>
      </c>
      <c r="N179" s="13"/>
      <c r="O179" s="13">
        <v>8</v>
      </c>
      <c r="P179" s="3">
        <f t="shared" si="11"/>
        <v>0</v>
      </c>
      <c r="Q179" s="3">
        <f t="shared" si="12"/>
        <v>8</v>
      </c>
      <c r="R179" s="3">
        <f t="shared" si="13"/>
        <v>184.99999999999955</v>
      </c>
      <c r="S179" s="24" t="s">
        <v>1334</v>
      </c>
      <c r="T179" s="24" t="s">
        <v>1334</v>
      </c>
      <c r="U179" s="3"/>
      <c r="V179" s="25" t="s">
        <v>7761</v>
      </c>
      <c r="W179" s="103">
        <v>20517252558</v>
      </c>
      <c r="X179" s="25" t="str">
        <f>IFERROR(VLOOKUP(C_Ope_005[[#This Row],[nota_2]],Clientes_Proveedores[[Ruc / Dni]:[Razon Social]],2,0),"")</f>
        <v>COVISUR S.A.</v>
      </c>
      <c r="Y179" s="25"/>
      <c r="Z179" s="103"/>
      <c r="AA179" s="3" t="str">
        <f>IF(C_Ope_005[[#This Row],[fecha]]&gt;0,TEXT(C_Ope_005[[#This Row],[fecha]],"mmmm"),0)</f>
        <v>Marzo</v>
      </c>
      <c r="AB179" s="49"/>
    </row>
    <row r="180" spans="1:28" x14ac:dyDescent="0.3">
      <c r="A180" s="2">
        <f>IF(C_Ope_005[[#This Row],[tipo_r]]="R",COUNTIFS($C$1:$C179,"R")+1,"")</f>
        <v>179</v>
      </c>
      <c r="B180" s="19" t="str">
        <f t="shared" si="14"/>
        <v>C_Ope_005</v>
      </c>
      <c r="C180" s="3" t="s">
        <v>1330</v>
      </c>
      <c r="D180" s="14">
        <v>45735</v>
      </c>
      <c r="E180" s="5" t="s">
        <v>8535</v>
      </c>
      <c r="F180" s="5" t="s">
        <v>1336</v>
      </c>
      <c r="G180" s="6" t="s">
        <v>978</v>
      </c>
      <c r="H180" s="6" t="s">
        <v>68</v>
      </c>
      <c r="I180" s="6" t="s">
        <v>6379</v>
      </c>
      <c r="J180" s="6">
        <v>459985</v>
      </c>
      <c r="K180" s="7" t="s">
        <v>7841</v>
      </c>
      <c r="L180" s="8">
        <v>23507</v>
      </c>
      <c r="M180" s="8" t="str">
        <f t="shared" si="15"/>
        <v>PEN</v>
      </c>
      <c r="N180" s="13"/>
      <c r="O180" s="13">
        <v>8</v>
      </c>
      <c r="P180" s="3">
        <f t="shared" si="11"/>
        <v>0</v>
      </c>
      <c r="Q180" s="3">
        <f t="shared" si="12"/>
        <v>8</v>
      </c>
      <c r="R180" s="3">
        <f t="shared" si="13"/>
        <v>176.99999999999955</v>
      </c>
      <c r="S180" s="24" t="s">
        <v>1334</v>
      </c>
      <c r="T180" s="24" t="s">
        <v>1334</v>
      </c>
      <c r="U180" s="3"/>
      <c r="V180" s="25" t="s">
        <v>7842</v>
      </c>
      <c r="W180" s="103">
        <v>20517252558</v>
      </c>
      <c r="X180" s="25" t="str">
        <f>IFERROR(VLOOKUP(C_Ope_005[[#This Row],[nota_2]],Clientes_Proveedores[[Ruc / Dni]:[Razon Social]],2,0),"")</f>
        <v>COVISUR S.A.</v>
      </c>
      <c r="Y180" s="25"/>
      <c r="Z180" s="103"/>
      <c r="AA180" s="3" t="str">
        <f>IF(C_Ope_005[[#This Row],[fecha]]&gt;0,TEXT(C_Ope_005[[#This Row],[fecha]],"mmmm"),0)</f>
        <v>Marzo</v>
      </c>
      <c r="AB180" s="49"/>
    </row>
    <row r="181" spans="1:28" x14ac:dyDescent="0.3">
      <c r="A181" s="2">
        <f>IF(C_Ope_005[[#This Row],[tipo_r]]="R",COUNTIFS($C$1:$C180,"R")+1,"")</f>
        <v>180</v>
      </c>
      <c r="B181" s="19" t="str">
        <f t="shared" si="14"/>
        <v>C_Ope_005</v>
      </c>
      <c r="C181" s="3" t="s">
        <v>1330</v>
      </c>
      <c r="D181" s="14">
        <v>45735</v>
      </c>
      <c r="E181" s="5" t="s">
        <v>8535</v>
      </c>
      <c r="F181" s="5" t="s">
        <v>1336</v>
      </c>
      <c r="G181" s="6" t="s">
        <v>978</v>
      </c>
      <c r="H181" s="6" t="s">
        <v>68</v>
      </c>
      <c r="I181" s="6" t="s">
        <v>5688</v>
      </c>
      <c r="J181" s="6">
        <v>2270257</v>
      </c>
      <c r="K181" s="7" t="s">
        <v>8631</v>
      </c>
      <c r="L181" s="8">
        <v>23508</v>
      </c>
      <c r="M181" s="8" t="str">
        <f t="shared" si="15"/>
        <v>PEN</v>
      </c>
      <c r="N181" s="13"/>
      <c r="O181" s="13">
        <v>8</v>
      </c>
      <c r="P181" s="3">
        <f t="shared" si="11"/>
        <v>0</v>
      </c>
      <c r="Q181" s="3">
        <f t="shared" si="12"/>
        <v>8</v>
      </c>
      <c r="R181" s="3">
        <f t="shared" si="13"/>
        <v>168.99999999999955</v>
      </c>
      <c r="S181" s="24" t="s">
        <v>1334</v>
      </c>
      <c r="T181" s="24" t="s">
        <v>1334</v>
      </c>
      <c r="U181" s="3"/>
      <c r="V181" s="25" t="s">
        <v>7842</v>
      </c>
      <c r="W181" s="103">
        <v>20517252558</v>
      </c>
      <c r="X181" s="25" t="str">
        <f>IFERROR(VLOOKUP(C_Ope_005[[#This Row],[nota_2]],Clientes_Proveedores[[Ruc / Dni]:[Razon Social]],2,0),"")</f>
        <v>COVISUR S.A.</v>
      </c>
      <c r="Y181" s="25"/>
      <c r="Z181" s="103"/>
      <c r="AA181" s="3" t="str">
        <f>IF(C_Ope_005[[#This Row],[fecha]]&gt;0,TEXT(C_Ope_005[[#This Row],[fecha]],"mmmm"),0)</f>
        <v>Marzo</v>
      </c>
      <c r="AB181" s="49"/>
    </row>
    <row r="182" spans="1:28" x14ac:dyDescent="0.3">
      <c r="A182" s="2">
        <f>IF(C_Ope_005[[#This Row],[tipo_r]]="R",COUNTIFS($C$1:$C181,"R")+1,"")</f>
        <v>181</v>
      </c>
      <c r="B182" s="19" t="str">
        <f t="shared" si="14"/>
        <v>C_Ope_005</v>
      </c>
      <c r="C182" s="3" t="s">
        <v>1330</v>
      </c>
      <c r="D182" s="14">
        <v>45735</v>
      </c>
      <c r="E182" s="5" t="s">
        <v>8535</v>
      </c>
      <c r="F182" s="5" t="s">
        <v>1336</v>
      </c>
      <c r="G182" s="6" t="s">
        <v>978</v>
      </c>
      <c r="H182" s="6" t="s">
        <v>68</v>
      </c>
      <c r="I182" s="6" t="s">
        <v>6244</v>
      </c>
      <c r="J182" s="6">
        <v>1023389</v>
      </c>
      <c r="K182" s="7" t="s">
        <v>7841</v>
      </c>
      <c r="L182" s="8">
        <v>23509</v>
      </c>
      <c r="M182" s="8" t="str">
        <f t="shared" si="15"/>
        <v>PEN</v>
      </c>
      <c r="N182" s="13"/>
      <c r="O182" s="13">
        <v>8</v>
      </c>
      <c r="P182" s="3">
        <f t="shared" si="11"/>
        <v>0</v>
      </c>
      <c r="Q182" s="3">
        <f t="shared" si="12"/>
        <v>8</v>
      </c>
      <c r="R182" s="3">
        <f t="shared" si="13"/>
        <v>160.99999999999955</v>
      </c>
      <c r="S182" s="24" t="s">
        <v>1334</v>
      </c>
      <c r="T182" s="24" t="s">
        <v>1334</v>
      </c>
      <c r="U182" s="3"/>
      <c r="V182" s="25" t="s">
        <v>7842</v>
      </c>
      <c r="W182" s="103">
        <v>20517252558</v>
      </c>
      <c r="X182" s="25" t="str">
        <f>IFERROR(VLOOKUP(C_Ope_005[[#This Row],[nota_2]],Clientes_Proveedores[[Ruc / Dni]:[Razon Social]],2,0),"")</f>
        <v>COVISUR S.A.</v>
      </c>
      <c r="Y182" s="25"/>
      <c r="Z182" s="103"/>
      <c r="AA182" s="3" t="str">
        <f>IF(C_Ope_005[[#This Row],[fecha]]&gt;0,TEXT(C_Ope_005[[#This Row],[fecha]],"mmmm"),0)</f>
        <v>Marzo</v>
      </c>
      <c r="AB182" s="49"/>
    </row>
    <row r="183" spans="1:28" ht="24" x14ac:dyDescent="0.3">
      <c r="A183" s="2">
        <f>IF(C_Ope_005[[#This Row],[tipo_r]]="R",COUNTIFS($C$1:$C182,"R")+1,"")</f>
        <v>182</v>
      </c>
      <c r="B183" s="19" t="str">
        <f t="shared" si="14"/>
        <v>C_Ope_005</v>
      </c>
      <c r="C183" s="3" t="s">
        <v>1330</v>
      </c>
      <c r="D183" s="14">
        <v>45735</v>
      </c>
      <c r="E183" s="5" t="s">
        <v>8535</v>
      </c>
      <c r="F183" s="5" t="s">
        <v>1336</v>
      </c>
      <c r="G183" s="6" t="s">
        <v>978</v>
      </c>
      <c r="H183" s="6" t="s">
        <v>68</v>
      </c>
      <c r="I183" s="6" t="s">
        <v>6203</v>
      </c>
      <c r="J183" s="6">
        <v>1995056</v>
      </c>
      <c r="K183" s="7" t="s">
        <v>7782</v>
      </c>
      <c r="L183" s="8">
        <v>23516</v>
      </c>
      <c r="M183" s="8" t="str">
        <f t="shared" si="15"/>
        <v>PEN</v>
      </c>
      <c r="N183" s="13"/>
      <c r="O183" s="13">
        <v>8</v>
      </c>
      <c r="P183" s="3">
        <f t="shared" si="11"/>
        <v>0</v>
      </c>
      <c r="Q183" s="3">
        <f t="shared" si="12"/>
        <v>8</v>
      </c>
      <c r="R183" s="3">
        <f t="shared" si="13"/>
        <v>152.99999999999955</v>
      </c>
      <c r="S183" s="24" t="s">
        <v>1334</v>
      </c>
      <c r="T183" s="24" t="s">
        <v>1334</v>
      </c>
      <c r="U183" s="3"/>
      <c r="V183" s="25" t="s">
        <v>7761</v>
      </c>
      <c r="W183" s="103">
        <v>20517252558</v>
      </c>
      <c r="X183" s="25" t="str">
        <f>IFERROR(VLOOKUP(C_Ope_005[[#This Row],[nota_2]],Clientes_Proveedores[[Ruc / Dni]:[Razon Social]],2,0),"")</f>
        <v>COVISUR S.A.</v>
      </c>
      <c r="Y183" s="25"/>
      <c r="Z183" s="103"/>
      <c r="AA183" s="3" t="str">
        <f>IF(C_Ope_005[[#This Row],[fecha]]&gt;0,TEXT(C_Ope_005[[#This Row],[fecha]],"mmmm"),0)</f>
        <v>Marzo</v>
      </c>
      <c r="AB183" s="49"/>
    </row>
    <row r="184" spans="1:28" ht="24" x14ac:dyDescent="0.3">
      <c r="A184" s="2">
        <f>IF(C_Ope_005[[#This Row],[tipo_r]]="R",COUNTIFS($C$1:$C183,"R")+1,"")</f>
        <v>183</v>
      </c>
      <c r="B184" s="19" t="str">
        <f t="shared" si="14"/>
        <v>C_Ope_005</v>
      </c>
      <c r="C184" s="3" t="s">
        <v>1330</v>
      </c>
      <c r="D184" s="14">
        <v>45737</v>
      </c>
      <c r="E184" s="5" t="s">
        <v>8535</v>
      </c>
      <c r="F184" s="5" t="s">
        <v>1336</v>
      </c>
      <c r="G184" s="6" t="s">
        <v>978</v>
      </c>
      <c r="H184" s="6" t="s">
        <v>68</v>
      </c>
      <c r="I184" s="6" t="s">
        <v>6204</v>
      </c>
      <c r="J184" s="6">
        <v>1685489</v>
      </c>
      <c r="K184" s="7" t="s">
        <v>7782</v>
      </c>
      <c r="L184" s="8">
        <v>23558</v>
      </c>
      <c r="M184" s="8" t="str">
        <f t="shared" si="15"/>
        <v>PEN</v>
      </c>
      <c r="N184" s="13"/>
      <c r="O184" s="13">
        <v>8</v>
      </c>
      <c r="P184" s="3">
        <f t="shared" si="11"/>
        <v>0</v>
      </c>
      <c r="Q184" s="3">
        <f t="shared" si="12"/>
        <v>8</v>
      </c>
      <c r="R184" s="3">
        <f t="shared" si="13"/>
        <v>144.99999999999955</v>
      </c>
      <c r="S184" s="24" t="s">
        <v>1334</v>
      </c>
      <c r="T184" s="24" t="s">
        <v>1334</v>
      </c>
      <c r="U184" s="3"/>
      <c r="V184" s="25" t="s">
        <v>7756</v>
      </c>
      <c r="W184" s="103">
        <v>20517252558</v>
      </c>
      <c r="X184" s="25" t="str">
        <f>IFERROR(VLOOKUP(C_Ope_005[[#This Row],[nota_2]],Clientes_Proveedores[[Ruc / Dni]:[Razon Social]],2,0),"")</f>
        <v>COVISUR S.A.</v>
      </c>
      <c r="Y184" s="25"/>
      <c r="Z184" s="103"/>
      <c r="AA184" s="3" t="str">
        <f>IF(C_Ope_005[[#This Row],[fecha]]&gt;0,TEXT(C_Ope_005[[#This Row],[fecha]],"mmmm"),0)</f>
        <v>Marzo</v>
      </c>
      <c r="AB184" s="49"/>
    </row>
    <row r="185" spans="1:28" ht="24" x14ac:dyDescent="0.3">
      <c r="A185" s="2">
        <f>IF(C_Ope_005[[#This Row],[tipo_r]]="R",COUNTIFS($C$1:$C184,"R")+1,"")</f>
        <v>184</v>
      </c>
      <c r="B185" s="19" t="str">
        <f t="shared" si="14"/>
        <v>C_Ope_005</v>
      </c>
      <c r="C185" s="3" t="s">
        <v>1330</v>
      </c>
      <c r="D185" s="14">
        <v>45737</v>
      </c>
      <c r="E185" s="5" t="s">
        <v>8535</v>
      </c>
      <c r="F185" s="5" t="s">
        <v>1336</v>
      </c>
      <c r="G185" s="6" t="s">
        <v>978</v>
      </c>
      <c r="H185" s="6" t="s">
        <v>68</v>
      </c>
      <c r="I185" s="6" t="s">
        <v>6203</v>
      </c>
      <c r="J185" s="6">
        <v>1997062</v>
      </c>
      <c r="K185" s="7" t="s">
        <v>7782</v>
      </c>
      <c r="L185" s="8">
        <v>23559</v>
      </c>
      <c r="M185" s="8" t="str">
        <f t="shared" si="15"/>
        <v>PEN</v>
      </c>
      <c r="N185" s="13"/>
      <c r="O185" s="13">
        <v>8</v>
      </c>
      <c r="P185" s="3">
        <f t="shared" si="11"/>
        <v>0</v>
      </c>
      <c r="Q185" s="3">
        <f t="shared" si="12"/>
        <v>8</v>
      </c>
      <c r="R185" s="3">
        <f t="shared" si="13"/>
        <v>136.99999999999955</v>
      </c>
      <c r="S185" s="24" t="s">
        <v>1334</v>
      </c>
      <c r="T185" s="24" t="s">
        <v>1334</v>
      </c>
      <c r="U185" s="3"/>
      <c r="V185" s="25" t="s">
        <v>7756</v>
      </c>
      <c r="W185" s="103">
        <v>20517252558</v>
      </c>
      <c r="X185" s="25" t="str">
        <f>IFERROR(VLOOKUP(C_Ope_005[[#This Row],[nota_2]],Clientes_Proveedores[[Ruc / Dni]:[Razon Social]],2,0),"")</f>
        <v>COVISUR S.A.</v>
      </c>
      <c r="Y185" s="25"/>
      <c r="Z185" s="103"/>
      <c r="AA185" s="3" t="str">
        <f>IF(C_Ope_005[[#This Row],[fecha]]&gt;0,TEXT(C_Ope_005[[#This Row],[fecha]],"mmmm"),0)</f>
        <v>Marzo</v>
      </c>
      <c r="AB185" s="49"/>
    </row>
    <row r="186" spans="1:28" ht="36" x14ac:dyDescent="0.3">
      <c r="A186" s="2">
        <f>IF(C_Ope_005[[#This Row],[tipo_r]]="R",COUNTIFS($C$1:$C185,"R")+1,"")</f>
        <v>185</v>
      </c>
      <c r="B186" s="19" t="str">
        <f t="shared" si="14"/>
        <v>C_Ope_005</v>
      </c>
      <c r="C186" s="3" t="s">
        <v>1330</v>
      </c>
      <c r="D186" s="14">
        <v>45735</v>
      </c>
      <c r="E186" s="5" t="s">
        <v>8535</v>
      </c>
      <c r="F186" s="5" t="s">
        <v>1336</v>
      </c>
      <c r="G186" s="6" t="s">
        <v>1029</v>
      </c>
      <c r="H186" s="6" t="s">
        <v>68</v>
      </c>
      <c r="I186" s="6" t="s">
        <v>1374</v>
      </c>
      <c r="J186" s="6">
        <v>17118</v>
      </c>
      <c r="K186" s="7" t="s">
        <v>7845</v>
      </c>
      <c r="L186" s="8">
        <v>23510</v>
      </c>
      <c r="M186" s="8" t="str">
        <f t="shared" si="15"/>
        <v>PEN</v>
      </c>
      <c r="N186" s="13"/>
      <c r="O186" s="13">
        <v>11</v>
      </c>
      <c r="P186" s="3">
        <f t="shared" si="11"/>
        <v>0</v>
      </c>
      <c r="Q186" s="3">
        <f t="shared" si="12"/>
        <v>11</v>
      </c>
      <c r="R186" s="3">
        <f t="shared" si="13"/>
        <v>125.99999999999955</v>
      </c>
      <c r="S186" s="24" t="s">
        <v>1334</v>
      </c>
      <c r="T186" s="24" t="s">
        <v>1334</v>
      </c>
      <c r="U186" s="3"/>
      <c r="V186" s="25" t="s">
        <v>7842</v>
      </c>
      <c r="W186" s="103">
        <v>20454058187</v>
      </c>
      <c r="X186" s="25" t="str">
        <f>IFERROR(VLOOKUP(C_Ope_005[[#This Row],[nota_2]],Clientes_Proveedores[[Ruc / Dni]:[Razon Social]],2,0),"")</f>
        <v>ZONA ESPECIAL DE DESARROLLO ZED MATARANI</v>
      </c>
      <c r="Y186" s="25"/>
      <c r="Z186" s="103"/>
      <c r="AA186" s="3" t="str">
        <f>IF(C_Ope_005[[#This Row],[fecha]]&gt;0,TEXT(C_Ope_005[[#This Row],[fecha]],"mmmm"),0)</f>
        <v>Marzo</v>
      </c>
      <c r="AB186" s="49"/>
    </row>
    <row r="187" spans="1:28" ht="24" x14ac:dyDescent="0.3">
      <c r="A187" s="2">
        <f>IF(C_Ope_005[[#This Row],[tipo_r]]="R",COUNTIFS($C$1:$C186,"R")+1,"")</f>
        <v>186</v>
      </c>
      <c r="B187" s="19" t="str">
        <f t="shared" si="14"/>
        <v>C_Ope_005</v>
      </c>
      <c r="C187" s="3" t="s">
        <v>1330</v>
      </c>
      <c r="D187" s="14">
        <v>45736</v>
      </c>
      <c r="E187" s="5" t="s">
        <v>8535</v>
      </c>
      <c r="F187" s="5" t="s">
        <v>1336</v>
      </c>
      <c r="G187" s="6" t="s">
        <v>998</v>
      </c>
      <c r="H187" s="6" t="s">
        <v>68</v>
      </c>
      <c r="I187" s="6" t="s">
        <v>6378</v>
      </c>
      <c r="J187" s="6">
        <v>267</v>
      </c>
      <c r="K187" s="7" t="s">
        <v>8632</v>
      </c>
      <c r="L187" s="8">
        <v>23533</v>
      </c>
      <c r="M187" s="8" t="str">
        <f t="shared" si="15"/>
        <v>PEN</v>
      </c>
      <c r="N187" s="13"/>
      <c r="O187" s="13">
        <v>10</v>
      </c>
      <c r="P187" s="3">
        <f t="shared" si="11"/>
        <v>0</v>
      </c>
      <c r="Q187" s="3">
        <f t="shared" si="12"/>
        <v>10</v>
      </c>
      <c r="R187" s="3">
        <f t="shared" si="13"/>
        <v>115.99999999999955</v>
      </c>
      <c r="S187" s="24" t="s">
        <v>1334</v>
      </c>
      <c r="T187" s="24" t="s">
        <v>1334</v>
      </c>
      <c r="U187" s="3"/>
      <c r="V187" s="25" t="s">
        <v>7761</v>
      </c>
      <c r="W187" s="103">
        <v>20612112500</v>
      </c>
      <c r="X187" s="25" t="str">
        <f>IFERROR(VLOOKUP(C_Ope_005[[#This Row],[nota_2]],Clientes_Proveedores[[Ruc / Dni]:[Razon Social]],2,0),"")</f>
        <v>RECICLADORA LAS LOMAS E.I.R.L.</v>
      </c>
      <c r="Y187" s="25"/>
      <c r="Z187" s="103"/>
      <c r="AA187" s="3" t="str">
        <f>IF(C_Ope_005[[#This Row],[fecha]]&gt;0,TEXT(C_Ope_005[[#This Row],[fecha]],"mmmm"),0)</f>
        <v>Marzo</v>
      </c>
      <c r="AB187" s="49"/>
    </row>
    <row r="188" spans="1:28" ht="24" x14ac:dyDescent="0.3">
      <c r="A188" s="2">
        <f>IF(C_Ope_005[[#This Row],[tipo_r]]="R",COUNTIFS($C$1:$C187,"R")+1,"")</f>
        <v>187</v>
      </c>
      <c r="B188" s="19" t="str">
        <f t="shared" si="14"/>
        <v>C_Ope_005</v>
      </c>
      <c r="C188" s="3" t="s">
        <v>1330</v>
      </c>
      <c r="D188" s="14">
        <v>45736</v>
      </c>
      <c r="E188" s="5" t="s">
        <v>8535</v>
      </c>
      <c r="F188" s="5" t="s">
        <v>1336</v>
      </c>
      <c r="G188" s="6" t="s">
        <v>998</v>
      </c>
      <c r="H188" s="6" t="s">
        <v>68</v>
      </c>
      <c r="I188" s="6" t="s">
        <v>6378</v>
      </c>
      <c r="J188" s="6">
        <v>275</v>
      </c>
      <c r="K188" s="7" t="s">
        <v>8633</v>
      </c>
      <c r="L188" s="8">
        <v>23534</v>
      </c>
      <c r="M188" s="8" t="str">
        <f t="shared" si="15"/>
        <v>PEN</v>
      </c>
      <c r="N188" s="13"/>
      <c r="O188" s="13">
        <v>10</v>
      </c>
      <c r="P188" s="3">
        <f t="shared" si="11"/>
        <v>0</v>
      </c>
      <c r="Q188" s="3">
        <f t="shared" si="12"/>
        <v>10</v>
      </c>
      <c r="R188" s="3">
        <f t="shared" si="13"/>
        <v>105.99999999999955</v>
      </c>
      <c r="S188" s="24" t="s">
        <v>1334</v>
      </c>
      <c r="T188" s="24" t="s">
        <v>1334</v>
      </c>
      <c r="U188" s="3"/>
      <c r="V188" s="25" t="s">
        <v>7761</v>
      </c>
      <c r="W188" s="103">
        <v>20612112500</v>
      </c>
      <c r="X188" s="25" t="str">
        <f>IFERROR(VLOOKUP(C_Ope_005[[#This Row],[nota_2]],Clientes_Proveedores[[Ruc / Dni]:[Razon Social]],2,0),"")</f>
        <v>RECICLADORA LAS LOMAS E.I.R.L.</v>
      </c>
      <c r="Y188" s="25"/>
      <c r="Z188" s="103"/>
      <c r="AA188" s="3" t="str">
        <f>IF(C_Ope_005[[#This Row],[fecha]]&gt;0,TEXT(C_Ope_005[[#This Row],[fecha]],"mmmm"),0)</f>
        <v>Marzo</v>
      </c>
      <c r="AB188" s="49"/>
    </row>
    <row r="189" spans="1:28" ht="24" x14ac:dyDescent="0.3">
      <c r="A189" s="2">
        <f>IF(C_Ope_005[[#This Row],[tipo_r]]="R",COUNTIFS($C$1:$C188,"R")+1,"")</f>
        <v>188</v>
      </c>
      <c r="B189" s="19" t="str">
        <f t="shared" si="14"/>
        <v>C_Ope_005</v>
      </c>
      <c r="C189" s="3" t="s">
        <v>1330</v>
      </c>
      <c r="D189" s="14">
        <v>45734</v>
      </c>
      <c r="E189" s="5" t="s">
        <v>8535</v>
      </c>
      <c r="F189" s="5" t="s">
        <v>1336</v>
      </c>
      <c r="G189" s="6" t="s">
        <v>999</v>
      </c>
      <c r="H189" s="6" t="s">
        <v>68</v>
      </c>
      <c r="I189" s="6" t="s">
        <v>1374</v>
      </c>
      <c r="J189" s="6">
        <v>16867</v>
      </c>
      <c r="K189" s="7" t="s">
        <v>7962</v>
      </c>
      <c r="L189" s="8">
        <v>23486</v>
      </c>
      <c r="M189" s="8" t="str">
        <f t="shared" si="15"/>
        <v>PEN</v>
      </c>
      <c r="N189" s="13"/>
      <c r="O189" s="13">
        <v>25</v>
      </c>
      <c r="P189" s="3">
        <f t="shared" si="11"/>
        <v>0</v>
      </c>
      <c r="Q189" s="3">
        <f t="shared" si="12"/>
        <v>25</v>
      </c>
      <c r="R189" s="3">
        <f t="shared" si="13"/>
        <v>80.999999999999545</v>
      </c>
      <c r="S189" s="24" t="s">
        <v>1334</v>
      </c>
      <c r="T189" s="24" t="s">
        <v>1334</v>
      </c>
      <c r="U189" s="3"/>
      <c r="V189" s="25" t="s">
        <v>7761</v>
      </c>
      <c r="W189" s="103">
        <v>10705628331</v>
      </c>
      <c r="X189" s="25" t="str">
        <f>IFERROR(VLOOKUP(C_Ope_005[[#This Row],[nota_2]],Clientes_Proveedores[[Ruc / Dni]:[Razon Social]],2,0),"")</f>
        <v>LARICO APAZA NANCY ROSSMARY</v>
      </c>
      <c r="Y189" s="25"/>
      <c r="Z189" s="103"/>
      <c r="AA189" s="3" t="str">
        <f>IF(C_Ope_005[[#This Row],[fecha]]&gt;0,TEXT(C_Ope_005[[#This Row],[fecha]],"mmmm"),0)</f>
        <v>Marzo</v>
      </c>
      <c r="AB189" s="49"/>
    </row>
    <row r="190" spans="1:28" ht="24" x14ac:dyDescent="0.3">
      <c r="A190" s="2">
        <f>IF(C_Ope_005[[#This Row],[tipo_r]]="R",COUNTIFS($C$1:$C189,"R")+1,"")</f>
        <v>189</v>
      </c>
      <c r="B190" s="19" t="str">
        <f t="shared" si="14"/>
        <v>C_Ope_005</v>
      </c>
      <c r="C190" s="3" t="s">
        <v>1330</v>
      </c>
      <c r="D190" s="14">
        <v>45737</v>
      </c>
      <c r="E190" s="5" t="s">
        <v>8535</v>
      </c>
      <c r="F190" s="5" t="s">
        <v>1336</v>
      </c>
      <c r="G190" s="6" t="s">
        <v>999</v>
      </c>
      <c r="H190" s="6" t="s">
        <v>68</v>
      </c>
      <c r="I190" s="6" t="s">
        <v>1374</v>
      </c>
      <c r="J190" s="6">
        <v>16916</v>
      </c>
      <c r="K190" s="7" t="s">
        <v>7962</v>
      </c>
      <c r="L190" s="8">
        <v>23560</v>
      </c>
      <c r="M190" s="8" t="str">
        <f t="shared" si="15"/>
        <v>PEN</v>
      </c>
      <c r="N190" s="13"/>
      <c r="O190" s="13">
        <v>25</v>
      </c>
      <c r="P190" s="3">
        <f t="shared" si="11"/>
        <v>0</v>
      </c>
      <c r="Q190" s="3">
        <f t="shared" si="12"/>
        <v>25</v>
      </c>
      <c r="R190" s="3">
        <f t="shared" si="13"/>
        <v>55.999999999999545</v>
      </c>
      <c r="S190" s="24" t="s">
        <v>1334</v>
      </c>
      <c r="T190" s="24" t="s">
        <v>1334</v>
      </c>
      <c r="U190" s="3"/>
      <c r="V190" s="25" t="s">
        <v>7756</v>
      </c>
      <c r="W190" s="103">
        <v>10705628331</v>
      </c>
      <c r="X190" s="25" t="str">
        <f>IFERROR(VLOOKUP(C_Ope_005[[#This Row],[nota_2]],Clientes_Proveedores[[Ruc / Dni]:[Razon Social]],2,0),"")</f>
        <v>LARICO APAZA NANCY ROSSMARY</v>
      </c>
      <c r="Y190" s="25"/>
      <c r="Z190" s="103"/>
      <c r="AA190" s="3" t="str">
        <f>IF(C_Ope_005[[#This Row],[fecha]]&gt;0,TEXT(C_Ope_005[[#This Row],[fecha]],"mmmm"),0)</f>
        <v>Marzo</v>
      </c>
      <c r="AB190" s="49"/>
    </row>
    <row r="191" spans="1:28" ht="24" x14ac:dyDescent="0.3">
      <c r="A191" s="2">
        <f>IF(C_Ope_005[[#This Row],[tipo_r]]="R",COUNTIFS($C$1:$C190,"R")+1,"")</f>
        <v>190</v>
      </c>
      <c r="B191" s="19" t="str">
        <f t="shared" si="14"/>
        <v>C_Ope_005</v>
      </c>
      <c r="C191" s="3" t="s">
        <v>1330</v>
      </c>
      <c r="D191" s="14">
        <v>45740</v>
      </c>
      <c r="E191" s="5" t="s">
        <v>7514</v>
      </c>
      <c r="F191" s="5" t="s">
        <v>1303</v>
      </c>
      <c r="G191" s="6" t="s">
        <v>957</v>
      </c>
      <c r="H191" s="6"/>
      <c r="I191" s="6"/>
      <c r="J191" s="6"/>
      <c r="K191" s="7" t="s">
        <v>7516</v>
      </c>
      <c r="L191" s="8">
        <v>23587</v>
      </c>
      <c r="M191" s="8" t="str">
        <f t="shared" si="15"/>
        <v>PEN</v>
      </c>
      <c r="N191" s="13"/>
      <c r="O191" s="13">
        <v>150</v>
      </c>
      <c r="P191" s="3">
        <f t="shared" si="11"/>
        <v>150</v>
      </c>
      <c r="Q191" s="3">
        <f t="shared" si="12"/>
        <v>0</v>
      </c>
      <c r="R191" s="3">
        <f t="shared" si="13"/>
        <v>205.99999999999955</v>
      </c>
      <c r="S191" s="24" t="s">
        <v>1334</v>
      </c>
      <c r="T191" s="24" t="s">
        <v>1334</v>
      </c>
      <c r="U191" s="3"/>
      <c r="V191" s="25"/>
      <c r="W191" s="25"/>
      <c r="X191" s="25" t="str">
        <f>IFERROR(VLOOKUP(C_Ope_005[[#This Row],[nota_2]],Clientes_Proveedores[[Ruc / Dni]:[Razon Social]],2,0),"")</f>
        <v/>
      </c>
      <c r="Y191" s="25"/>
      <c r="Z191" s="103"/>
      <c r="AA191" s="3" t="str">
        <f>IF(C_Ope_005[[#This Row],[fecha]]&gt;0,TEXT(C_Ope_005[[#This Row],[fecha]],"mmmm"),0)</f>
        <v>Marzo</v>
      </c>
      <c r="AB191" s="49"/>
    </row>
    <row r="192" spans="1:28" ht="24" x14ac:dyDescent="0.3">
      <c r="A192" s="2">
        <f>IF(C_Ope_005[[#This Row],[tipo_r]]="R",COUNTIFS($C$1:$C191,"R")+1,"")</f>
        <v>191</v>
      </c>
      <c r="B192" s="19" t="str">
        <f t="shared" si="14"/>
        <v>C_Ope_005</v>
      </c>
      <c r="C192" s="3" t="s">
        <v>1330</v>
      </c>
      <c r="D192" s="14">
        <v>45742</v>
      </c>
      <c r="E192" s="5" t="s">
        <v>7514</v>
      </c>
      <c r="F192" s="5" t="s">
        <v>1303</v>
      </c>
      <c r="G192" s="6" t="s">
        <v>957</v>
      </c>
      <c r="H192" s="6"/>
      <c r="I192" s="6"/>
      <c r="J192" s="6"/>
      <c r="K192" s="7" t="s">
        <v>8565</v>
      </c>
      <c r="L192" s="8">
        <v>23607</v>
      </c>
      <c r="M192" s="8" t="str">
        <f t="shared" si="15"/>
        <v>PEN</v>
      </c>
      <c r="N192" s="13"/>
      <c r="O192" s="13">
        <v>300</v>
      </c>
      <c r="P192" s="3">
        <f t="shared" si="11"/>
        <v>300</v>
      </c>
      <c r="Q192" s="3">
        <f t="shared" si="12"/>
        <v>0</v>
      </c>
      <c r="R192" s="3">
        <f t="shared" si="13"/>
        <v>505.99999999999955</v>
      </c>
      <c r="S192" s="24" t="s">
        <v>1334</v>
      </c>
      <c r="T192" s="24" t="s">
        <v>1334</v>
      </c>
      <c r="U192" s="3"/>
      <c r="V192" s="25"/>
      <c r="W192" s="25"/>
      <c r="X192" s="25" t="str">
        <f>IFERROR(VLOOKUP(C_Ope_005[[#This Row],[nota_2]],Clientes_Proveedores[[Ruc / Dni]:[Razon Social]],2,0),"")</f>
        <v/>
      </c>
      <c r="Y192" s="25"/>
      <c r="Z192" s="103"/>
      <c r="AA192" s="3" t="str">
        <f>IF(C_Ope_005[[#This Row],[fecha]]&gt;0,TEXT(C_Ope_005[[#This Row],[fecha]],"mmmm"),0)</f>
        <v>Marzo</v>
      </c>
      <c r="AB192" s="49"/>
    </row>
    <row r="193" spans="1:28" ht="24" x14ac:dyDescent="0.3">
      <c r="A193" s="2">
        <f>IF(C_Ope_005[[#This Row],[tipo_r]]="R",COUNTIFS($C$1:$C192,"R")+1,"")</f>
        <v>192</v>
      </c>
      <c r="B193" s="19" t="str">
        <f t="shared" si="14"/>
        <v>C_Ope_005</v>
      </c>
      <c r="C193" s="3" t="s">
        <v>1330</v>
      </c>
      <c r="D193" s="14">
        <v>45740</v>
      </c>
      <c r="E193" s="5" t="s">
        <v>8535</v>
      </c>
      <c r="F193" s="5" t="s">
        <v>1336</v>
      </c>
      <c r="G193" s="6" t="s">
        <v>978</v>
      </c>
      <c r="H193" s="6" t="s">
        <v>68</v>
      </c>
      <c r="I193" s="6" t="s">
        <v>6204</v>
      </c>
      <c r="J193" s="6">
        <v>1687665</v>
      </c>
      <c r="K193" s="7" t="s">
        <v>8634</v>
      </c>
      <c r="L193" s="8">
        <v>23589</v>
      </c>
      <c r="M193" s="8" t="str">
        <f t="shared" si="15"/>
        <v>PEN</v>
      </c>
      <c r="N193" s="13"/>
      <c r="O193" s="13">
        <v>8</v>
      </c>
      <c r="P193" s="3">
        <f t="shared" si="11"/>
        <v>0</v>
      </c>
      <c r="Q193" s="3">
        <f t="shared" si="12"/>
        <v>8</v>
      </c>
      <c r="R193" s="3">
        <f t="shared" si="13"/>
        <v>497.99999999999955</v>
      </c>
      <c r="S193" s="24" t="s">
        <v>1334</v>
      </c>
      <c r="T193" s="24" t="s">
        <v>1334</v>
      </c>
      <c r="U193" s="3"/>
      <c r="V193" s="25" t="s">
        <v>7761</v>
      </c>
      <c r="W193" s="25">
        <v>20517252558</v>
      </c>
      <c r="X193" s="25" t="str">
        <f>IFERROR(VLOOKUP(C_Ope_005[[#This Row],[nota_2]],Clientes_Proveedores[[Ruc / Dni]:[Razon Social]],2,0),"")</f>
        <v>COVISUR S.A.</v>
      </c>
      <c r="Y193" s="25"/>
      <c r="Z193" s="103"/>
      <c r="AA193" s="3" t="str">
        <f>IF(C_Ope_005[[#This Row],[fecha]]&gt;0,TEXT(C_Ope_005[[#This Row],[fecha]],"mmmm"),0)</f>
        <v>Marzo</v>
      </c>
      <c r="AB193" s="49"/>
    </row>
    <row r="194" spans="1:28" ht="24" x14ac:dyDescent="0.3">
      <c r="A194" s="2">
        <f>IF(C_Ope_005[[#This Row],[tipo_r]]="R",COUNTIFS($C$1:$C193,"R")+1,"")</f>
        <v>193</v>
      </c>
      <c r="B194" s="19" t="str">
        <f t="shared" si="14"/>
        <v>C_Ope_005</v>
      </c>
      <c r="C194" s="3" t="s">
        <v>1330</v>
      </c>
      <c r="D194" s="14">
        <v>45740</v>
      </c>
      <c r="E194" s="5" t="s">
        <v>8535</v>
      </c>
      <c r="F194" s="5" t="s">
        <v>1336</v>
      </c>
      <c r="G194" s="6" t="s">
        <v>978</v>
      </c>
      <c r="H194" s="6" t="s">
        <v>68</v>
      </c>
      <c r="I194" s="6" t="s">
        <v>5845</v>
      </c>
      <c r="J194" s="6">
        <v>1707429</v>
      </c>
      <c r="K194" s="7" t="s">
        <v>8634</v>
      </c>
      <c r="L194" s="8">
        <v>23590</v>
      </c>
      <c r="M194" s="8" t="str">
        <f t="shared" si="15"/>
        <v>PEN</v>
      </c>
      <c r="N194" s="13"/>
      <c r="O194" s="13">
        <v>8</v>
      </c>
      <c r="P194" s="3">
        <f t="shared" ref="P194:P257" si="16">+IF(OR($F194="SALDO",$F194="INGRESO"),$O194,0)</f>
        <v>0</v>
      </c>
      <c r="Q194" s="3">
        <f t="shared" ref="Q194:Q257" si="17">+IF($F194="EGRESO",$O194,0)</f>
        <v>8</v>
      </c>
      <c r="R194" s="3">
        <f t="shared" ref="R194:R257" si="18">IFERROR(IF(F194="SALDO",P194,R193+P194-Q194),0)</f>
        <v>489.99999999999955</v>
      </c>
      <c r="S194" s="24" t="s">
        <v>1334</v>
      </c>
      <c r="T194" s="24" t="s">
        <v>1334</v>
      </c>
      <c r="U194" s="3"/>
      <c r="V194" s="25" t="s">
        <v>7761</v>
      </c>
      <c r="W194" s="25">
        <v>20517252558</v>
      </c>
      <c r="X194" s="25" t="str">
        <f>IFERROR(VLOOKUP(C_Ope_005[[#This Row],[nota_2]],Clientes_Proveedores[[Ruc / Dni]:[Razon Social]],2,0),"")</f>
        <v>COVISUR S.A.</v>
      </c>
      <c r="Y194" s="25"/>
      <c r="Z194" s="103"/>
      <c r="AA194" s="3" t="str">
        <f>IF(C_Ope_005[[#This Row],[fecha]]&gt;0,TEXT(C_Ope_005[[#This Row],[fecha]],"mmmm"),0)</f>
        <v>Marzo</v>
      </c>
      <c r="AB194" s="49"/>
    </row>
    <row r="195" spans="1:28" ht="24" x14ac:dyDescent="0.3">
      <c r="A195" s="2">
        <f>IF(C_Ope_005[[#This Row],[tipo_r]]="R",COUNTIFS($C$1:$C194,"R")+1,"")</f>
        <v>194</v>
      </c>
      <c r="B195" s="19" t="str">
        <f t="shared" ref="B195:B258" si="19">"C_Ope_005"</f>
        <v>C_Ope_005</v>
      </c>
      <c r="C195" s="3" t="s">
        <v>1330</v>
      </c>
      <c r="D195" s="14">
        <v>45741</v>
      </c>
      <c r="E195" s="5" t="s">
        <v>8535</v>
      </c>
      <c r="F195" s="5" t="s">
        <v>1336</v>
      </c>
      <c r="G195" s="6" t="s">
        <v>978</v>
      </c>
      <c r="H195" s="6" t="s">
        <v>68</v>
      </c>
      <c r="I195" s="6" t="s">
        <v>6204</v>
      </c>
      <c r="J195" s="6">
        <v>1688761</v>
      </c>
      <c r="K195" s="7" t="s">
        <v>7755</v>
      </c>
      <c r="L195" s="8">
        <v>23591</v>
      </c>
      <c r="M195" s="8" t="str">
        <f t="shared" ref="M195:M258" si="20">"PEN"</f>
        <v>PEN</v>
      </c>
      <c r="N195" s="13"/>
      <c r="O195" s="13">
        <v>8</v>
      </c>
      <c r="P195" s="3">
        <f t="shared" si="16"/>
        <v>0</v>
      </c>
      <c r="Q195" s="3">
        <f t="shared" si="17"/>
        <v>8</v>
      </c>
      <c r="R195" s="3">
        <f t="shared" si="18"/>
        <v>481.99999999999955</v>
      </c>
      <c r="S195" s="24" t="s">
        <v>1334</v>
      </c>
      <c r="T195" s="24" t="s">
        <v>1334</v>
      </c>
      <c r="U195" s="3"/>
      <c r="V195" s="25" t="s">
        <v>7761</v>
      </c>
      <c r="W195" s="25">
        <v>20517252558</v>
      </c>
      <c r="X195" s="25" t="str">
        <f>IFERROR(VLOOKUP(C_Ope_005[[#This Row],[nota_2]],Clientes_Proveedores[[Ruc / Dni]:[Razon Social]],2,0),"")</f>
        <v>COVISUR S.A.</v>
      </c>
      <c r="Y195" s="25"/>
      <c r="Z195" s="103"/>
      <c r="AA195" s="3" t="str">
        <f>IF(C_Ope_005[[#This Row],[fecha]]&gt;0,TEXT(C_Ope_005[[#This Row],[fecha]],"mmmm"),0)</f>
        <v>Marzo</v>
      </c>
      <c r="AB195" s="49"/>
    </row>
    <row r="196" spans="1:28" ht="24" x14ac:dyDescent="0.3">
      <c r="A196" s="2">
        <f>IF(C_Ope_005[[#This Row],[tipo_r]]="R",COUNTIFS($C$1:$C195,"R")+1,"")</f>
        <v>195</v>
      </c>
      <c r="B196" s="19" t="str">
        <f t="shared" si="19"/>
        <v>C_Ope_005</v>
      </c>
      <c r="C196" s="3" t="s">
        <v>1330</v>
      </c>
      <c r="D196" s="14">
        <v>45741</v>
      </c>
      <c r="E196" s="5" t="s">
        <v>8535</v>
      </c>
      <c r="F196" s="5" t="s">
        <v>1336</v>
      </c>
      <c r="G196" s="6" t="s">
        <v>978</v>
      </c>
      <c r="H196" s="6" t="s">
        <v>68</v>
      </c>
      <c r="I196" s="6" t="s">
        <v>5845</v>
      </c>
      <c r="J196" s="6">
        <v>1708507</v>
      </c>
      <c r="K196" s="7" t="s">
        <v>7755</v>
      </c>
      <c r="L196" s="8">
        <v>23592</v>
      </c>
      <c r="M196" s="8" t="str">
        <f t="shared" si="20"/>
        <v>PEN</v>
      </c>
      <c r="N196" s="13"/>
      <c r="O196" s="13">
        <v>8</v>
      </c>
      <c r="P196" s="3">
        <f t="shared" si="16"/>
        <v>0</v>
      </c>
      <c r="Q196" s="3">
        <f t="shared" si="17"/>
        <v>8</v>
      </c>
      <c r="R196" s="3">
        <f t="shared" si="18"/>
        <v>473.99999999999955</v>
      </c>
      <c r="S196" s="24" t="s">
        <v>1334</v>
      </c>
      <c r="T196" s="24" t="s">
        <v>1334</v>
      </c>
      <c r="U196" s="3"/>
      <c r="V196" s="25" t="s">
        <v>7761</v>
      </c>
      <c r="W196" s="25">
        <v>20517252558</v>
      </c>
      <c r="X196" s="25" t="str">
        <f>IFERROR(VLOOKUP(C_Ope_005[[#This Row],[nota_2]],Clientes_Proveedores[[Ruc / Dni]:[Razon Social]],2,0),"")</f>
        <v>COVISUR S.A.</v>
      </c>
      <c r="Y196" s="25"/>
      <c r="Z196" s="103"/>
      <c r="AA196" s="3" t="str">
        <f>IF(C_Ope_005[[#This Row],[fecha]]&gt;0,TEXT(C_Ope_005[[#This Row],[fecha]],"mmmm"),0)</f>
        <v>Marzo</v>
      </c>
      <c r="AB196" s="49"/>
    </row>
    <row r="197" spans="1:28" ht="24" x14ac:dyDescent="0.3">
      <c r="A197" s="2">
        <f>IF(C_Ope_005[[#This Row],[tipo_r]]="R",COUNTIFS($C$1:$C196,"R")+1,"")</f>
        <v>196</v>
      </c>
      <c r="B197" s="19" t="str">
        <f t="shared" si="19"/>
        <v>C_Ope_005</v>
      </c>
      <c r="C197" s="3" t="s">
        <v>1330</v>
      </c>
      <c r="D197" s="14">
        <v>45741</v>
      </c>
      <c r="E197" s="5" t="s">
        <v>8535</v>
      </c>
      <c r="F197" s="5" t="s">
        <v>1336</v>
      </c>
      <c r="G197" s="6" t="s">
        <v>978</v>
      </c>
      <c r="H197" s="6" t="s">
        <v>68</v>
      </c>
      <c r="I197" s="6" t="s">
        <v>6379</v>
      </c>
      <c r="J197" s="6">
        <v>461623</v>
      </c>
      <c r="K197" s="7" t="s">
        <v>7757</v>
      </c>
      <c r="L197" s="8">
        <v>23593</v>
      </c>
      <c r="M197" s="8" t="str">
        <f t="shared" si="20"/>
        <v>PEN</v>
      </c>
      <c r="N197" s="13"/>
      <c r="O197" s="13">
        <v>8</v>
      </c>
      <c r="P197" s="3">
        <f t="shared" si="16"/>
        <v>0</v>
      </c>
      <c r="Q197" s="3">
        <f t="shared" si="17"/>
        <v>8</v>
      </c>
      <c r="R197" s="3">
        <f t="shared" si="18"/>
        <v>465.99999999999955</v>
      </c>
      <c r="S197" s="24" t="s">
        <v>1334</v>
      </c>
      <c r="T197" s="24" t="s">
        <v>1334</v>
      </c>
      <c r="U197" s="3"/>
      <c r="V197" s="25" t="s">
        <v>7761</v>
      </c>
      <c r="W197" s="25">
        <v>20517252558</v>
      </c>
      <c r="X197" s="25" t="str">
        <f>IFERROR(VLOOKUP(C_Ope_005[[#This Row],[nota_2]],Clientes_Proveedores[[Ruc / Dni]:[Razon Social]],2,0),"")</f>
        <v>COVISUR S.A.</v>
      </c>
      <c r="Y197" s="25"/>
      <c r="Z197" s="103"/>
      <c r="AA197" s="3" t="str">
        <f>IF(C_Ope_005[[#This Row],[fecha]]&gt;0,TEXT(C_Ope_005[[#This Row],[fecha]],"mmmm"),0)</f>
        <v>Marzo</v>
      </c>
      <c r="AB197" s="49"/>
    </row>
    <row r="198" spans="1:28" ht="24" x14ac:dyDescent="0.3">
      <c r="A198" s="2">
        <f>IF(C_Ope_005[[#This Row],[tipo_r]]="R",COUNTIFS($C$1:$C197,"R")+1,"")</f>
        <v>197</v>
      </c>
      <c r="B198" s="19" t="str">
        <f t="shared" si="19"/>
        <v>C_Ope_005</v>
      </c>
      <c r="C198" s="3" t="s">
        <v>1330</v>
      </c>
      <c r="D198" s="14">
        <v>45741</v>
      </c>
      <c r="E198" s="5" t="s">
        <v>8535</v>
      </c>
      <c r="F198" s="5" t="s">
        <v>1336</v>
      </c>
      <c r="G198" s="6" t="s">
        <v>978</v>
      </c>
      <c r="H198" s="6" t="s">
        <v>68</v>
      </c>
      <c r="I198" s="6" t="s">
        <v>6244</v>
      </c>
      <c r="J198" s="6">
        <v>1027438</v>
      </c>
      <c r="K198" s="7" t="s">
        <v>7757</v>
      </c>
      <c r="L198" s="8">
        <v>23594</v>
      </c>
      <c r="M198" s="8" t="str">
        <f t="shared" si="20"/>
        <v>PEN</v>
      </c>
      <c r="N198" s="13"/>
      <c r="O198" s="13">
        <v>8</v>
      </c>
      <c r="P198" s="3">
        <f t="shared" si="16"/>
        <v>0</v>
      </c>
      <c r="Q198" s="3">
        <f t="shared" si="17"/>
        <v>8</v>
      </c>
      <c r="R198" s="3">
        <f t="shared" si="18"/>
        <v>457.99999999999955</v>
      </c>
      <c r="S198" s="24" t="s">
        <v>1334</v>
      </c>
      <c r="T198" s="24" t="s">
        <v>1334</v>
      </c>
      <c r="U198" s="3"/>
      <c r="V198" s="25" t="s">
        <v>7761</v>
      </c>
      <c r="W198" s="25">
        <v>20517252558</v>
      </c>
      <c r="X198" s="25" t="str">
        <f>IFERROR(VLOOKUP(C_Ope_005[[#This Row],[nota_2]],Clientes_Proveedores[[Ruc / Dni]:[Razon Social]],2,0),"")</f>
        <v>COVISUR S.A.</v>
      </c>
      <c r="Y198" s="25"/>
      <c r="Z198" s="103"/>
      <c r="AA198" s="3" t="str">
        <f>IF(C_Ope_005[[#This Row],[fecha]]&gt;0,TEXT(C_Ope_005[[#This Row],[fecha]],"mmmm"),0)</f>
        <v>Marzo</v>
      </c>
      <c r="AB198" s="49"/>
    </row>
    <row r="199" spans="1:28" ht="24" x14ac:dyDescent="0.3">
      <c r="A199" s="2">
        <f>IF(C_Ope_005[[#This Row],[tipo_r]]="R",COUNTIFS($C$1:$C198,"R")+1,"")</f>
        <v>198</v>
      </c>
      <c r="B199" s="19" t="str">
        <f t="shared" si="19"/>
        <v>C_Ope_005</v>
      </c>
      <c r="C199" s="3" t="s">
        <v>1330</v>
      </c>
      <c r="D199" s="14">
        <v>45742</v>
      </c>
      <c r="E199" s="5" t="s">
        <v>8535</v>
      </c>
      <c r="F199" s="5" t="s">
        <v>1336</v>
      </c>
      <c r="G199" s="6" t="s">
        <v>978</v>
      </c>
      <c r="H199" s="6" t="s">
        <v>68</v>
      </c>
      <c r="I199" s="6" t="s">
        <v>6204</v>
      </c>
      <c r="J199" s="6">
        <v>1689602</v>
      </c>
      <c r="K199" s="7" t="s">
        <v>8635</v>
      </c>
      <c r="L199" s="8">
        <v>23608</v>
      </c>
      <c r="M199" s="8" t="str">
        <f t="shared" si="20"/>
        <v>PEN</v>
      </c>
      <c r="N199" s="13"/>
      <c r="O199" s="13">
        <v>8</v>
      </c>
      <c r="P199" s="3">
        <f t="shared" si="16"/>
        <v>0</v>
      </c>
      <c r="Q199" s="3">
        <f t="shared" si="17"/>
        <v>8</v>
      </c>
      <c r="R199" s="3">
        <f t="shared" si="18"/>
        <v>449.99999999999955</v>
      </c>
      <c r="S199" s="24" t="s">
        <v>1334</v>
      </c>
      <c r="T199" s="24" t="s">
        <v>1334</v>
      </c>
      <c r="U199" s="3"/>
      <c r="V199" s="25" t="s">
        <v>7761</v>
      </c>
      <c r="W199" s="25">
        <v>20517252558</v>
      </c>
      <c r="X199" s="25" t="str">
        <f>IFERROR(VLOOKUP(C_Ope_005[[#This Row],[nota_2]],Clientes_Proveedores[[Ruc / Dni]:[Razon Social]],2,0),"")</f>
        <v>COVISUR S.A.</v>
      </c>
      <c r="Y199" s="25"/>
      <c r="Z199" s="103"/>
      <c r="AA199" s="3" t="str">
        <f>IF(C_Ope_005[[#This Row],[fecha]]&gt;0,TEXT(C_Ope_005[[#This Row],[fecha]],"mmmm"),0)</f>
        <v>Marzo</v>
      </c>
      <c r="AB199" s="49"/>
    </row>
    <row r="200" spans="1:28" ht="24" x14ac:dyDescent="0.3">
      <c r="A200" s="2">
        <f>IF(C_Ope_005[[#This Row],[tipo_r]]="R",COUNTIFS($C$1:$C199,"R")+1,"")</f>
        <v>199</v>
      </c>
      <c r="B200" s="19" t="str">
        <f t="shared" si="19"/>
        <v>C_Ope_005</v>
      </c>
      <c r="C200" s="3" t="s">
        <v>1330</v>
      </c>
      <c r="D200" s="14">
        <v>45742</v>
      </c>
      <c r="E200" s="5" t="s">
        <v>8535</v>
      </c>
      <c r="F200" s="5" t="s">
        <v>1336</v>
      </c>
      <c r="G200" s="6" t="s">
        <v>978</v>
      </c>
      <c r="H200" s="6" t="s">
        <v>68</v>
      </c>
      <c r="I200" s="6" t="s">
        <v>5845</v>
      </c>
      <c r="J200" s="6">
        <v>1709305</v>
      </c>
      <c r="K200" s="7" t="s">
        <v>8635</v>
      </c>
      <c r="L200" s="8">
        <v>23609</v>
      </c>
      <c r="M200" s="8" t="str">
        <f t="shared" si="20"/>
        <v>PEN</v>
      </c>
      <c r="N200" s="13"/>
      <c r="O200" s="13">
        <v>8</v>
      </c>
      <c r="P200" s="3">
        <f t="shared" si="16"/>
        <v>0</v>
      </c>
      <c r="Q200" s="3">
        <f t="shared" si="17"/>
        <v>8</v>
      </c>
      <c r="R200" s="3">
        <f t="shared" si="18"/>
        <v>441.99999999999955</v>
      </c>
      <c r="S200" s="24" t="s">
        <v>1334</v>
      </c>
      <c r="T200" s="24" t="s">
        <v>1334</v>
      </c>
      <c r="U200" s="3"/>
      <c r="V200" s="25" t="s">
        <v>7761</v>
      </c>
      <c r="W200" s="25">
        <v>20517252558</v>
      </c>
      <c r="X200" s="25" t="str">
        <f>IFERROR(VLOOKUP(C_Ope_005[[#This Row],[nota_2]],Clientes_Proveedores[[Ruc / Dni]:[Razon Social]],2,0),"")</f>
        <v>COVISUR S.A.</v>
      </c>
      <c r="Y200" s="25"/>
      <c r="Z200" s="103"/>
      <c r="AA200" s="3" t="str">
        <f>IF(C_Ope_005[[#This Row],[fecha]]&gt;0,TEXT(C_Ope_005[[#This Row],[fecha]],"mmmm"),0)</f>
        <v>Marzo</v>
      </c>
      <c r="AB200" s="49"/>
    </row>
    <row r="201" spans="1:28" ht="24" x14ac:dyDescent="0.3">
      <c r="A201" s="2">
        <f>IF(C_Ope_005[[#This Row],[tipo_r]]="R",COUNTIFS($C$1:$C200,"R")+1,"")</f>
        <v>200</v>
      </c>
      <c r="B201" s="19" t="str">
        <f t="shared" si="19"/>
        <v>C_Ope_005</v>
      </c>
      <c r="C201" s="3" t="s">
        <v>1330</v>
      </c>
      <c r="D201" s="14">
        <v>45743</v>
      </c>
      <c r="E201" s="5" t="s">
        <v>8535</v>
      </c>
      <c r="F201" s="5" t="s">
        <v>1336</v>
      </c>
      <c r="G201" s="6" t="s">
        <v>978</v>
      </c>
      <c r="H201" s="6" t="s">
        <v>68</v>
      </c>
      <c r="I201" s="6" t="s">
        <v>8557</v>
      </c>
      <c r="J201" s="6">
        <v>1787074</v>
      </c>
      <c r="K201" s="7" t="s">
        <v>8568</v>
      </c>
      <c r="L201" s="8">
        <v>23652</v>
      </c>
      <c r="M201" s="8" t="str">
        <f t="shared" si="20"/>
        <v>PEN</v>
      </c>
      <c r="N201" s="13"/>
      <c r="O201" s="13">
        <v>7.7</v>
      </c>
      <c r="P201" s="3">
        <f t="shared" si="16"/>
        <v>0</v>
      </c>
      <c r="Q201" s="3">
        <f t="shared" si="17"/>
        <v>7.7</v>
      </c>
      <c r="R201" s="3">
        <f t="shared" si="18"/>
        <v>434.29999999999956</v>
      </c>
      <c r="S201" s="24" t="s">
        <v>1334</v>
      </c>
      <c r="T201" s="24" t="s">
        <v>1334</v>
      </c>
      <c r="U201" s="3"/>
      <c r="V201" s="25" t="s">
        <v>7761</v>
      </c>
      <c r="W201" s="25">
        <v>20517252558</v>
      </c>
      <c r="X201" s="25" t="str">
        <f>IFERROR(VLOOKUP(C_Ope_005[[#This Row],[nota_2]],Clientes_Proveedores[[Ruc / Dni]:[Razon Social]],2,0),"")</f>
        <v>COVISUR S.A.</v>
      </c>
      <c r="Y201" s="25"/>
      <c r="Z201" s="103"/>
      <c r="AA201" s="3" t="str">
        <f>IF(C_Ope_005[[#This Row],[fecha]]&gt;0,TEXT(C_Ope_005[[#This Row],[fecha]],"mmmm"),0)</f>
        <v>Marzo</v>
      </c>
      <c r="AB201" s="49"/>
    </row>
    <row r="202" spans="1:28" ht="24" x14ac:dyDescent="0.3">
      <c r="A202" s="2">
        <f>IF(C_Ope_005[[#This Row],[tipo_r]]="R",COUNTIFS($C$1:$C201,"R")+1,"")</f>
        <v>201</v>
      </c>
      <c r="B202" s="19" t="str">
        <f t="shared" si="19"/>
        <v>C_Ope_005</v>
      </c>
      <c r="C202" s="3" t="s">
        <v>1330</v>
      </c>
      <c r="D202" s="14">
        <v>45743</v>
      </c>
      <c r="E202" s="5" t="s">
        <v>8535</v>
      </c>
      <c r="F202" s="5" t="s">
        <v>1336</v>
      </c>
      <c r="G202" s="6" t="s">
        <v>978</v>
      </c>
      <c r="H202" s="6" t="s">
        <v>68</v>
      </c>
      <c r="I202" s="6" t="s">
        <v>8594</v>
      </c>
      <c r="J202" s="6">
        <v>422216</v>
      </c>
      <c r="K202" s="7" t="s">
        <v>8568</v>
      </c>
      <c r="L202" s="8">
        <v>23653</v>
      </c>
      <c r="M202" s="8" t="str">
        <f t="shared" si="20"/>
        <v>PEN</v>
      </c>
      <c r="N202" s="13"/>
      <c r="O202" s="13">
        <v>7.7</v>
      </c>
      <c r="P202" s="3">
        <f t="shared" si="16"/>
        <v>0</v>
      </c>
      <c r="Q202" s="3">
        <f t="shared" si="17"/>
        <v>7.7</v>
      </c>
      <c r="R202" s="3">
        <f t="shared" si="18"/>
        <v>426.59999999999957</v>
      </c>
      <c r="S202" s="24" t="s">
        <v>1334</v>
      </c>
      <c r="T202" s="24" t="s">
        <v>1334</v>
      </c>
      <c r="U202" s="3"/>
      <c r="V202" s="25" t="s">
        <v>7761</v>
      </c>
      <c r="W202" s="25">
        <v>20517252558</v>
      </c>
      <c r="X202" s="25" t="str">
        <f>IFERROR(VLOOKUP(C_Ope_005[[#This Row],[nota_2]],Clientes_Proveedores[[Ruc / Dni]:[Razon Social]],2,0),"")</f>
        <v>COVISUR S.A.</v>
      </c>
      <c r="Y202" s="25"/>
      <c r="Z202" s="103"/>
      <c r="AA202" s="3" t="str">
        <f>IF(C_Ope_005[[#This Row],[fecha]]&gt;0,TEXT(C_Ope_005[[#This Row],[fecha]],"mmmm"),0)</f>
        <v>Marzo</v>
      </c>
      <c r="AB202" s="49"/>
    </row>
    <row r="203" spans="1:28" ht="24" x14ac:dyDescent="0.3">
      <c r="A203" s="2">
        <f>IF(C_Ope_005[[#This Row],[tipo_r]]="R",COUNTIFS($C$1:$C202,"R")+1,"")</f>
        <v>202</v>
      </c>
      <c r="B203" s="19" t="str">
        <f t="shared" si="19"/>
        <v>C_Ope_005</v>
      </c>
      <c r="C203" s="3" t="s">
        <v>1330</v>
      </c>
      <c r="D203" s="14">
        <v>45744</v>
      </c>
      <c r="E203" s="5" t="s">
        <v>8535</v>
      </c>
      <c r="F203" s="5" t="s">
        <v>1336</v>
      </c>
      <c r="G203" s="6" t="s">
        <v>978</v>
      </c>
      <c r="H203" s="6" t="s">
        <v>68</v>
      </c>
      <c r="I203" s="6" t="s">
        <v>5845</v>
      </c>
      <c r="J203" s="6">
        <v>1711133</v>
      </c>
      <c r="K203" s="7" t="s">
        <v>7782</v>
      </c>
      <c r="L203" s="8">
        <v>23657</v>
      </c>
      <c r="M203" s="8" t="str">
        <f t="shared" si="20"/>
        <v>PEN</v>
      </c>
      <c r="N203" s="13"/>
      <c r="O203" s="13">
        <v>8</v>
      </c>
      <c r="P203" s="3">
        <f t="shared" si="16"/>
        <v>0</v>
      </c>
      <c r="Q203" s="3">
        <f t="shared" si="17"/>
        <v>8</v>
      </c>
      <c r="R203" s="3">
        <f t="shared" si="18"/>
        <v>418.59999999999957</v>
      </c>
      <c r="S203" s="24" t="s">
        <v>1334</v>
      </c>
      <c r="T203" s="24" t="s">
        <v>1334</v>
      </c>
      <c r="U203" s="3"/>
      <c r="V203" s="25" t="s">
        <v>7761</v>
      </c>
      <c r="W203" s="25">
        <v>20517252558</v>
      </c>
      <c r="X203" s="25" t="str">
        <f>IFERROR(VLOOKUP(C_Ope_005[[#This Row],[nota_2]],Clientes_Proveedores[[Ruc / Dni]:[Razon Social]],2,0),"")</f>
        <v>COVISUR S.A.</v>
      </c>
      <c r="Y203" s="25"/>
      <c r="Z203" s="103"/>
      <c r="AA203" s="3" t="str">
        <f>IF(C_Ope_005[[#This Row],[fecha]]&gt;0,TEXT(C_Ope_005[[#This Row],[fecha]],"mmmm"),0)</f>
        <v>Marzo</v>
      </c>
      <c r="AB203" s="49"/>
    </row>
    <row r="204" spans="1:28" ht="24" x14ac:dyDescent="0.3">
      <c r="A204" s="2">
        <f>IF(C_Ope_005[[#This Row],[tipo_r]]="R",COUNTIFS($C$1:$C203,"R")+1,"")</f>
        <v>203</v>
      </c>
      <c r="B204" s="19" t="str">
        <f t="shared" si="19"/>
        <v>C_Ope_005</v>
      </c>
      <c r="C204" s="3" t="s">
        <v>1330</v>
      </c>
      <c r="D204" s="14">
        <v>45744</v>
      </c>
      <c r="E204" s="5" t="s">
        <v>8535</v>
      </c>
      <c r="F204" s="5" t="s">
        <v>1336</v>
      </c>
      <c r="G204" s="6" t="s">
        <v>978</v>
      </c>
      <c r="H204" s="6" t="s">
        <v>68</v>
      </c>
      <c r="I204" s="6" t="s">
        <v>5688</v>
      </c>
      <c r="J204" s="6">
        <v>2280676</v>
      </c>
      <c r="K204" s="7" t="s">
        <v>7782</v>
      </c>
      <c r="L204" s="8">
        <v>23658</v>
      </c>
      <c r="M204" s="8" t="str">
        <f t="shared" si="20"/>
        <v>PEN</v>
      </c>
      <c r="N204" s="13"/>
      <c r="O204" s="13">
        <v>8</v>
      </c>
      <c r="P204" s="3">
        <f t="shared" si="16"/>
        <v>0</v>
      </c>
      <c r="Q204" s="3">
        <f t="shared" si="17"/>
        <v>8</v>
      </c>
      <c r="R204" s="3">
        <f t="shared" si="18"/>
        <v>410.59999999999957</v>
      </c>
      <c r="S204" s="24" t="s">
        <v>1334</v>
      </c>
      <c r="T204" s="24" t="s">
        <v>1334</v>
      </c>
      <c r="U204" s="3"/>
      <c r="V204" s="25" t="s">
        <v>7761</v>
      </c>
      <c r="W204" s="25">
        <v>20517252558</v>
      </c>
      <c r="X204" s="25" t="str">
        <f>IFERROR(VLOOKUP(C_Ope_005[[#This Row],[nota_2]],Clientes_Proveedores[[Ruc / Dni]:[Razon Social]],2,0),"")</f>
        <v>COVISUR S.A.</v>
      </c>
      <c r="Y204" s="25"/>
      <c r="Z204" s="103"/>
      <c r="AA204" s="3" t="str">
        <f>IF(C_Ope_005[[#This Row],[fecha]]&gt;0,TEXT(C_Ope_005[[#This Row],[fecha]],"mmmm"),0)</f>
        <v>Marzo</v>
      </c>
      <c r="AB204" s="49"/>
    </row>
    <row r="205" spans="1:28" ht="24" x14ac:dyDescent="0.3">
      <c r="A205" s="2">
        <f>IF(C_Ope_005[[#This Row],[tipo_r]]="R",COUNTIFS($C$1:$C204,"R")+1,"")</f>
        <v>204</v>
      </c>
      <c r="B205" s="19" t="str">
        <f t="shared" si="19"/>
        <v>C_Ope_005</v>
      </c>
      <c r="C205" s="3" t="s">
        <v>1330</v>
      </c>
      <c r="D205" s="14">
        <v>45747</v>
      </c>
      <c r="E205" s="5" t="s">
        <v>8535</v>
      </c>
      <c r="F205" s="5" t="s">
        <v>1336</v>
      </c>
      <c r="G205" s="6" t="s">
        <v>978</v>
      </c>
      <c r="H205" s="6" t="s">
        <v>68</v>
      </c>
      <c r="I205" s="6" t="s">
        <v>6204</v>
      </c>
      <c r="J205" s="6">
        <v>1693828</v>
      </c>
      <c r="K205" s="7" t="s">
        <v>8636</v>
      </c>
      <c r="L205" s="8">
        <v>23694</v>
      </c>
      <c r="M205" s="8" t="str">
        <f t="shared" si="20"/>
        <v>PEN</v>
      </c>
      <c r="N205" s="13"/>
      <c r="O205" s="13">
        <v>8</v>
      </c>
      <c r="P205" s="3">
        <f t="shared" si="16"/>
        <v>0</v>
      </c>
      <c r="Q205" s="3">
        <f t="shared" si="17"/>
        <v>8</v>
      </c>
      <c r="R205" s="3">
        <f t="shared" si="18"/>
        <v>402.59999999999957</v>
      </c>
      <c r="S205" s="24" t="s">
        <v>1334</v>
      </c>
      <c r="T205" s="24" t="s">
        <v>1334</v>
      </c>
      <c r="U205" s="3"/>
      <c r="V205" s="25" t="s">
        <v>7761</v>
      </c>
      <c r="W205" s="25">
        <v>20517252558</v>
      </c>
      <c r="X205" s="25" t="str">
        <f>IFERROR(VLOOKUP(C_Ope_005[[#This Row],[nota_2]],Clientes_Proveedores[[Ruc / Dni]:[Razon Social]],2,0),"")</f>
        <v>COVISUR S.A.</v>
      </c>
      <c r="Y205" s="25"/>
      <c r="Z205" s="103"/>
      <c r="AA205" s="3" t="str">
        <f>IF(C_Ope_005[[#This Row],[fecha]]&gt;0,TEXT(C_Ope_005[[#This Row],[fecha]],"mmmm"),0)</f>
        <v>Marzo</v>
      </c>
      <c r="AB205" s="49"/>
    </row>
    <row r="206" spans="1:28" ht="24" x14ac:dyDescent="0.3">
      <c r="A206" s="2">
        <f>IF(C_Ope_005[[#This Row],[tipo_r]]="R",COUNTIFS($C$1:$C205,"R")+1,"")</f>
        <v>205</v>
      </c>
      <c r="B206" s="19" t="str">
        <f t="shared" si="19"/>
        <v>C_Ope_005</v>
      </c>
      <c r="C206" s="3" t="s">
        <v>1330</v>
      </c>
      <c r="D206" s="14">
        <v>45747</v>
      </c>
      <c r="E206" s="5" t="s">
        <v>8535</v>
      </c>
      <c r="F206" s="5" t="s">
        <v>1336</v>
      </c>
      <c r="G206" s="6" t="s">
        <v>978</v>
      </c>
      <c r="H206" s="6" t="s">
        <v>68</v>
      </c>
      <c r="I206" s="6" t="s">
        <v>5845</v>
      </c>
      <c r="J206" s="6">
        <v>1713617</v>
      </c>
      <c r="K206" s="7" t="s">
        <v>8636</v>
      </c>
      <c r="L206" s="8">
        <v>23695</v>
      </c>
      <c r="M206" s="8" t="str">
        <f t="shared" si="20"/>
        <v>PEN</v>
      </c>
      <c r="N206" s="13"/>
      <c r="O206" s="13">
        <v>8</v>
      </c>
      <c r="P206" s="3">
        <f t="shared" si="16"/>
        <v>0</v>
      </c>
      <c r="Q206" s="3">
        <f t="shared" si="17"/>
        <v>8</v>
      </c>
      <c r="R206" s="3">
        <f t="shared" si="18"/>
        <v>394.59999999999957</v>
      </c>
      <c r="S206" s="24" t="s">
        <v>1334</v>
      </c>
      <c r="T206" s="24" t="s">
        <v>1334</v>
      </c>
      <c r="U206" s="3"/>
      <c r="V206" s="25" t="s">
        <v>7761</v>
      </c>
      <c r="W206" s="25">
        <v>20517252558</v>
      </c>
      <c r="X206" s="25" t="str">
        <f>IFERROR(VLOOKUP(C_Ope_005[[#This Row],[nota_2]],Clientes_Proveedores[[Ruc / Dni]:[Razon Social]],2,0),"")</f>
        <v>COVISUR S.A.</v>
      </c>
      <c r="Y206" s="25"/>
      <c r="Z206" s="103"/>
      <c r="AA206" s="3" t="str">
        <f>IF(C_Ope_005[[#This Row],[fecha]]&gt;0,TEXT(C_Ope_005[[#This Row],[fecha]],"mmmm"),0)</f>
        <v>Marzo</v>
      </c>
      <c r="AB206" s="49"/>
    </row>
    <row r="207" spans="1:28" ht="36" x14ac:dyDescent="0.3">
      <c r="A207" s="2">
        <f>IF(C_Ope_005[[#This Row],[tipo_r]]="R",COUNTIFS($C$1:$C206,"R")+1,"")</f>
        <v>206</v>
      </c>
      <c r="B207" s="19" t="str">
        <f t="shared" si="19"/>
        <v>C_Ope_005</v>
      </c>
      <c r="C207" s="3" t="s">
        <v>1330</v>
      </c>
      <c r="D207" s="14">
        <v>45741</v>
      </c>
      <c r="E207" s="5" t="s">
        <v>8535</v>
      </c>
      <c r="F207" s="5" t="s">
        <v>1336</v>
      </c>
      <c r="G207" s="6" t="s">
        <v>682</v>
      </c>
      <c r="H207" s="6" t="s">
        <v>68</v>
      </c>
      <c r="I207" s="6" t="s">
        <v>1343</v>
      </c>
      <c r="J207" s="6">
        <v>34190</v>
      </c>
      <c r="K207" s="7" t="s">
        <v>8637</v>
      </c>
      <c r="L207" s="8">
        <v>23595</v>
      </c>
      <c r="M207" s="8" t="str">
        <f t="shared" si="20"/>
        <v>PEN</v>
      </c>
      <c r="N207" s="13"/>
      <c r="O207" s="13">
        <v>10</v>
      </c>
      <c r="P207" s="3">
        <f t="shared" si="16"/>
        <v>0</v>
      </c>
      <c r="Q207" s="3">
        <f t="shared" si="17"/>
        <v>10</v>
      </c>
      <c r="R207" s="3">
        <f t="shared" si="18"/>
        <v>384.59999999999957</v>
      </c>
      <c r="S207" s="24" t="s">
        <v>1334</v>
      </c>
      <c r="T207" s="24" t="s">
        <v>1334</v>
      </c>
      <c r="U207" s="3"/>
      <c r="V207" s="25" t="s">
        <v>7761</v>
      </c>
      <c r="W207" s="25">
        <v>20259858934</v>
      </c>
      <c r="X207" s="25" t="str">
        <f>IFERROR(VLOOKUP(C_Ope_005[[#This Row],[nota_2]],Clientes_Proveedores[[Ruc / Dni]:[Razon Social]],2,0),"")</f>
        <v>COMERCIALIZACION Y SERVICIOS EL EDEN S.A.C.</v>
      </c>
      <c r="Y207" s="25"/>
      <c r="Z207" s="103"/>
      <c r="AA207" s="3" t="str">
        <f>IF(C_Ope_005[[#This Row],[fecha]]&gt;0,TEXT(C_Ope_005[[#This Row],[fecha]],"mmmm"),0)</f>
        <v>Marzo</v>
      </c>
      <c r="AB207" s="49"/>
    </row>
    <row r="208" spans="1:28" ht="36" x14ac:dyDescent="0.3">
      <c r="A208" s="2">
        <f>IF(C_Ope_005[[#This Row],[tipo_r]]="R",COUNTIFS($C$1:$C207,"R")+1,"")</f>
        <v>207</v>
      </c>
      <c r="B208" s="19" t="str">
        <f t="shared" si="19"/>
        <v>C_Ope_005</v>
      </c>
      <c r="C208" s="3" t="s">
        <v>1330</v>
      </c>
      <c r="D208" s="14">
        <v>45741</v>
      </c>
      <c r="E208" s="5" t="s">
        <v>8535</v>
      </c>
      <c r="F208" s="5" t="s">
        <v>1336</v>
      </c>
      <c r="G208" s="6" t="s">
        <v>1029</v>
      </c>
      <c r="H208" s="6" t="s">
        <v>68</v>
      </c>
      <c r="I208" s="6" t="s">
        <v>1374</v>
      </c>
      <c r="J208" s="6">
        <v>17155</v>
      </c>
      <c r="K208" s="7" t="s">
        <v>7762</v>
      </c>
      <c r="L208" s="8">
        <v>23596</v>
      </c>
      <c r="M208" s="8" t="str">
        <f t="shared" si="20"/>
        <v>PEN</v>
      </c>
      <c r="N208" s="13"/>
      <c r="O208" s="13">
        <v>11</v>
      </c>
      <c r="P208" s="3">
        <f t="shared" si="16"/>
        <v>0</v>
      </c>
      <c r="Q208" s="3">
        <f t="shared" si="17"/>
        <v>11</v>
      </c>
      <c r="R208" s="3">
        <f t="shared" si="18"/>
        <v>373.59999999999957</v>
      </c>
      <c r="S208" s="24" t="s">
        <v>1334</v>
      </c>
      <c r="T208" s="24" t="s">
        <v>1334</v>
      </c>
      <c r="U208" s="3"/>
      <c r="V208" s="25" t="s">
        <v>7761</v>
      </c>
      <c r="W208" s="25">
        <v>20454058187</v>
      </c>
      <c r="X208" s="25" t="str">
        <f>IFERROR(VLOOKUP(C_Ope_005[[#This Row],[nota_2]],Clientes_Proveedores[[Ruc / Dni]:[Razon Social]],2,0),"")</f>
        <v>ZONA ESPECIAL DE DESARROLLO ZED MATARANI</v>
      </c>
      <c r="Y208" s="25"/>
      <c r="Z208" s="103"/>
      <c r="AA208" s="3" t="str">
        <f>IF(C_Ope_005[[#This Row],[fecha]]&gt;0,TEXT(C_Ope_005[[#This Row],[fecha]],"mmmm"),0)</f>
        <v>Marzo</v>
      </c>
      <c r="AB208" s="49"/>
    </row>
    <row r="209" spans="1:28" ht="36" x14ac:dyDescent="0.3">
      <c r="A209" s="2">
        <f>IF(C_Ope_005[[#This Row],[tipo_r]]="R",COUNTIFS($C$1:$C208,"R")+1,"")</f>
        <v>208</v>
      </c>
      <c r="B209" s="19" t="str">
        <f t="shared" si="19"/>
        <v>C_Ope_005</v>
      </c>
      <c r="C209" s="3" t="s">
        <v>1330</v>
      </c>
      <c r="D209" s="14">
        <v>45744</v>
      </c>
      <c r="E209" s="5" t="s">
        <v>8535</v>
      </c>
      <c r="F209" s="5" t="s">
        <v>1336</v>
      </c>
      <c r="G209" s="6" t="s">
        <v>682</v>
      </c>
      <c r="H209" s="6" t="s">
        <v>68</v>
      </c>
      <c r="I209" s="6" t="s">
        <v>1353</v>
      </c>
      <c r="J209" s="6">
        <v>15972</v>
      </c>
      <c r="K209" s="7" t="s">
        <v>8638</v>
      </c>
      <c r="L209" s="8">
        <v>23660</v>
      </c>
      <c r="M209" s="8" t="str">
        <f t="shared" si="20"/>
        <v>PEN</v>
      </c>
      <c r="N209" s="13"/>
      <c r="O209" s="13">
        <v>20</v>
      </c>
      <c r="P209" s="3">
        <f t="shared" si="16"/>
        <v>0</v>
      </c>
      <c r="Q209" s="3">
        <f t="shared" si="17"/>
        <v>20</v>
      </c>
      <c r="R209" s="3">
        <f t="shared" si="18"/>
        <v>353.59999999999957</v>
      </c>
      <c r="S209" s="24" t="s">
        <v>1334</v>
      </c>
      <c r="T209" s="24" t="s">
        <v>1334</v>
      </c>
      <c r="U209" s="3"/>
      <c r="V209" s="25" t="s">
        <v>7761</v>
      </c>
      <c r="W209" s="25">
        <v>20259858934</v>
      </c>
      <c r="X209" s="25" t="str">
        <f>IFERROR(VLOOKUP(C_Ope_005[[#This Row],[nota_2]],Clientes_Proveedores[[Ruc / Dni]:[Razon Social]],2,0),"")</f>
        <v>COMERCIALIZACION Y SERVICIOS EL EDEN S.A.C.</v>
      </c>
      <c r="Y209" s="25"/>
      <c r="Z209" s="103"/>
      <c r="AA209" s="3" t="str">
        <f>IF(C_Ope_005[[#This Row],[fecha]]&gt;0,TEXT(C_Ope_005[[#This Row],[fecha]],"mmmm"),0)</f>
        <v>Marzo</v>
      </c>
      <c r="AB209" s="49"/>
    </row>
    <row r="210" spans="1:28" ht="36" x14ac:dyDescent="0.3">
      <c r="A210" s="2">
        <f>IF(C_Ope_005[[#This Row],[tipo_r]]="R",COUNTIFS($C$1:$C209,"R")+1,"")</f>
        <v>209</v>
      </c>
      <c r="B210" s="19" t="str">
        <f t="shared" si="19"/>
        <v>C_Ope_005</v>
      </c>
      <c r="C210" s="3" t="s">
        <v>1330</v>
      </c>
      <c r="D210" s="14">
        <v>45747</v>
      </c>
      <c r="E210" s="5" t="s">
        <v>8535</v>
      </c>
      <c r="F210" s="5" t="s">
        <v>1336</v>
      </c>
      <c r="G210" s="6" t="s">
        <v>682</v>
      </c>
      <c r="H210" s="6" t="s">
        <v>68</v>
      </c>
      <c r="I210" s="6" t="s">
        <v>1343</v>
      </c>
      <c r="J210" s="6">
        <v>34232</v>
      </c>
      <c r="K210" s="7" t="s">
        <v>8637</v>
      </c>
      <c r="L210" s="8">
        <v>23696</v>
      </c>
      <c r="M210" s="8" t="str">
        <f t="shared" si="20"/>
        <v>PEN</v>
      </c>
      <c r="N210" s="13"/>
      <c r="O210" s="13">
        <v>10</v>
      </c>
      <c r="P210" s="3">
        <f t="shared" si="16"/>
        <v>0</v>
      </c>
      <c r="Q210" s="3">
        <f t="shared" si="17"/>
        <v>10</v>
      </c>
      <c r="R210" s="3">
        <f t="shared" si="18"/>
        <v>343.59999999999957</v>
      </c>
      <c r="S210" s="24" t="s">
        <v>1334</v>
      </c>
      <c r="T210" s="24" t="s">
        <v>1334</v>
      </c>
      <c r="U210" s="3"/>
      <c r="V210" s="25" t="s">
        <v>7761</v>
      </c>
      <c r="W210" s="25">
        <v>20259858934</v>
      </c>
      <c r="X210" s="25" t="str">
        <f>IFERROR(VLOOKUP(C_Ope_005[[#This Row],[nota_2]],Clientes_Proveedores[[Ruc / Dni]:[Razon Social]],2,0),"")</f>
        <v>COMERCIALIZACION Y SERVICIOS EL EDEN S.A.C.</v>
      </c>
      <c r="Y210" s="25"/>
      <c r="Z210" s="103"/>
      <c r="AA210" s="3" t="str">
        <f>IF(C_Ope_005[[#This Row],[fecha]]&gt;0,TEXT(C_Ope_005[[#This Row],[fecha]],"mmmm"),0)</f>
        <v>Marzo</v>
      </c>
      <c r="AB210" s="49"/>
    </row>
    <row r="211" spans="1:28" x14ac:dyDescent="0.3">
      <c r="A211" s="2">
        <f>IF(C_Ope_005[[#This Row],[tipo_r]]="R",COUNTIFS($C$1:$C210,"R")+1,"")</f>
        <v>210</v>
      </c>
      <c r="B211" s="19" t="str">
        <f t="shared" si="19"/>
        <v>C_Ope_005</v>
      </c>
      <c r="C211" s="3" t="s">
        <v>1330</v>
      </c>
      <c r="D211" s="14">
        <v>45743</v>
      </c>
      <c r="E211" s="5" t="s">
        <v>8535</v>
      </c>
      <c r="F211" s="5" t="s">
        <v>1336</v>
      </c>
      <c r="G211" s="6"/>
      <c r="H211" s="6" t="s">
        <v>126</v>
      </c>
      <c r="I211" s="6"/>
      <c r="J211" s="6"/>
      <c r="K211" s="7" t="s">
        <v>8574</v>
      </c>
      <c r="L211" s="8">
        <v>23654</v>
      </c>
      <c r="M211" s="8" t="str">
        <f t="shared" si="20"/>
        <v>PEN</v>
      </c>
      <c r="N211" s="13"/>
      <c r="O211" s="13">
        <v>24</v>
      </c>
      <c r="P211" s="3">
        <f t="shared" si="16"/>
        <v>0</v>
      </c>
      <c r="Q211" s="3">
        <f t="shared" si="17"/>
        <v>24</v>
      </c>
      <c r="R211" s="3">
        <f t="shared" si="18"/>
        <v>319.59999999999957</v>
      </c>
      <c r="S211" s="24" t="s">
        <v>1334</v>
      </c>
      <c r="T211" s="24" t="s">
        <v>1334</v>
      </c>
      <c r="U211" s="3"/>
      <c r="V211" s="25" t="s">
        <v>7761</v>
      </c>
      <c r="W211" s="25"/>
      <c r="X211" s="25" t="str">
        <f>IFERROR(VLOOKUP(C_Ope_005[[#This Row],[nota_2]],Clientes_Proveedores[[Ruc / Dni]:[Razon Social]],2,0),"")</f>
        <v/>
      </c>
      <c r="Y211" s="25"/>
      <c r="Z211" s="103"/>
      <c r="AA211" s="3" t="str">
        <f>IF(C_Ope_005[[#This Row],[fecha]]&gt;0,TEXT(C_Ope_005[[#This Row],[fecha]],"mmmm"),0)</f>
        <v>Marzo</v>
      </c>
      <c r="AB211" s="49"/>
    </row>
    <row r="212" spans="1:28" x14ac:dyDescent="0.3">
      <c r="A212" s="2">
        <f>IF(C_Ope_005[[#This Row],[tipo_r]]="R",COUNTIFS($C$1:$C211,"R")+1,"")</f>
        <v>211</v>
      </c>
      <c r="B212" s="19" t="str">
        <f t="shared" si="19"/>
        <v>C_Ope_005</v>
      </c>
      <c r="C212" s="3" t="s">
        <v>1330</v>
      </c>
      <c r="D212" s="14">
        <v>45743</v>
      </c>
      <c r="E212" s="5" t="s">
        <v>8535</v>
      </c>
      <c r="F212" s="5" t="s">
        <v>1336</v>
      </c>
      <c r="G212" s="6"/>
      <c r="H212" s="6" t="s">
        <v>126</v>
      </c>
      <c r="I212" s="6"/>
      <c r="J212" s="6"/>
      <c r="K212" s="7" t="s">
        <v>8575</v>
      </c>
      <c r="L212" s="8">
        <v>23655</v>
      </c>
      <c r="M212" s="8" t="str">
        <f t="shared" si="20"/>
        <v>PEN</v>
      </c>
      <c r="N212" s="13"/>
      <c r="O212" s="13">
        <v>30</v>
      </c>
      <c r="P212" s="3">
        <f t="shared" si="16"/>
        <v>0</v>
      </c>
      <c r="Q212" s="3">
        <f t="shared" si="17"/>
        <v>30</v>
      </c>
      <c r="R212" s="3">
        <f t="shared" si="18"/>
        <v>289.59999999999957</v>
      </c>
      <c r="S212" s="24" t="s">
        <v>1334</v>
      </c>
      <c r="T212" s="24" t="s">
        <v>1334</v>
      </c>
      <c r="U212" s="3"/>
      <c r="V212" s="25" t="s">
        <v>7761</v>
      </c>
      <c r="W212" s="25"/>
      <c r="X212" s="25" t="str">
        <f>IFERROR(VLOOKUP(C_Ope_005[[#This Row],[nota_2]],Clientes_Proveedores[[Ruc / Dni]:[Razon Social]],2,0),"")</f>
        <v/>
      </c>
      <c r="Y212" s="25"/>
      <c r="Z212" s="103"/>
      <c r="AA212" s="3" t="str">
        <f>IF(C_Ope_005[[#This Row],[fecha]]&gt;0,TEXT(C_Ope_005[[#This Row],[fecha]],"mmmm"),0)</f>
        <v>Marzo</v>
      </c>
      <c r="AB212" s="49"/>
    </row>
    <row r="213" spans="1:28" x14ac:dyDescent="0.3">
      <c r="A213" s="2">
        <f>IF(C_Ope_005[[#This Row],[tipo_r]]="R",COUNTIFS($C$1:$C212,"R")+1,"")</f>
        <v>212</v>
      </c>
      <c r="B213" s="19" t="str">
        <f t="shared" si="19"/>
        <v>C_Ope_005</v>
      </c>
      <c r="C213" s="3" t="s">
        <v>1330</v>
      </c>
      <c r="D213" s="14">
        <v>45743</v>
      </c>
      <c r="E213" s="5" t="s">
        <v>8535</v>
      </c>
      <c r="F213" s="5" t="s">
        <v>1336</v>
      </c>
      <c r="G213" s="6"/>
      <c r="H213" s="6" t="s">
        <v>126</v>
      </c>
      <c r="I213" s="6"/>
      <c r="J213" s="6"/>
      <c r="K213" s="7" t="s">
        <v>8639</v>
      </c>
      <c r="L213" s="8">
        <v>23656</v>
      </c>
      <c r="M213" s="8" t="str">
        <f t="shared" si="20"/>
        <v>PEN</v>
      </c>
      <c r="N213" s="13"/>
      <c r="O213" s="13">
        <v>24</v>
      </c>
      <c r="P213" s="3">
        <f t="shared" si="16"/>
        <v>0</v>
      </c>
      <c r="Q213" s="3">
        <f t="shared" si="17"/>
        <v>24</v>
      </c>
      <c r="R213" s="3">
        <f t="shared" si="18"/>
        <v>265.59999999999957</v>
      </c>
      <c r="S213" s="24" t="s">
        <v>1334</v>
      </c>
      <c r="T213" s="24" t="s">
        <v>1334</v>
      </c>
      <c r="U213" s="3"/>
      <c r="V213" s="25" t="s">
        <v>7761</v>
      </c>
      <c r="W213" s="25"/>
      <c r="X213" s="25" t="str">
        <f>IFERROR(VLOOKUP(C_Ope_005[[#This Row],[nota_2]],Clientes_Proveedores[[Ruc / Dni]:[Razon Social]],2,0),"")</f>
        <v/>
      </c>
      <c r="Y213" s="25"/>
      <c r="Z213" s="103"/>
      <c r="AA213" s="3" t="str">
        <f>IF(C_Ope_005[[#This Row],[fecha]]&gt;0,TEXT(C_Ope_005[[#This Row],[fecha]],"mmmm"),0)</f>
        <v>Marzo</v>
      </c>
      <c r="AB213" s="49"/>
    </row>
    <row r="214" spans="1:28" ht="24" x14ac:dyDescent="0.3">
      <c r="A214" s="2">
        <f>IF(C_Ope_005[[#This Row],[tipo_r]]="R",COUNTIFS($C$1:$C213,"R")+1,"")</f>
        <v>213</v>
      </c>
      <c r="B214" s="19" t="str">
        <f t="shared" si="19"/>
        <v>C_Ope_005</v>
      </c>
      <c r="C214" s="3" t="s">
        <v>1330</v>
      </c>
      <c r="D214" s="14">
        <v>45744</v>
      </c>
      <c r="E214" s="5" t="s">
        <v>8535</v>
      </c>
      <c r="F214" s="5" t="s">
        <v>1336</v>
      </c>
      <c r="G214" s="6" t="s">
        <v>999</v>
      </c>
      <c r="H214" s="6" t="s">
        <v>68</v>
      </c>
      <c r="I214" s="6" t="s">
        <v>1374</v>
      </c>
      <c r="J214" s="6">
        <v>17017</v>
      </c>
      <c r="K214" s="7" t="s">
        <v>8640</v>
      </c>
      <c r="L214" s="8">
        <v>23659</v>
      </c>
      <c r="M214" s="8" t="str">
        <f t="shared" si="20"/>
        <v>PEN</v>
      </c>
      <c r="N214" s="13"/>
      <c r="O214" s="13">
        <v>25</v>
      </c>
      <c r="P214" s="3">
        <f t="shared" si="16"/>
        <v>0</v>
      </c>
      <c r="Q214" s="3">
        <f t="shared" si="17"/>
        <v>25</v>
      </c>
      <c r="R214" s="3">
        <f t="shared" si="18"/>
        <v>240.59999999999957</v>
      </c>
      <c r="S214" s="24" t="s">
        <v>1334</v>
      </c>
      <c r="T214" s="24" t="s">
        <v>1334</v>
      </c>
      <c r="U214" s="3"/>
      <c r="V214" s="25" t="s">
        <v>7761</v>
      </c>
      <c r="W214" s="25">
        <v>10705628331</v>
      </c>
      <c r="X214" s="25" t="str">
        <f>IFERROR(VLOOKUP(C_Ope_005[[#This Row],[nota_2]],Clientes_Proveedores[[Ruc / Dni]:[Razon Social]],2,0),"")</f>
        <v>LARICO APAZA NANCY ROSSMARY</v>
      </c>
      <c r="Y214" s="25"/>
      <c r="Z214" s="103"/>
      <c r="AA214" s="3" t="str">
        <f>IF(C_Ope_005[[#This Row],[fecha]]&gt;0,TEXT(C_Ope_005[[#This Row],[fecha]],"mmmm"),0)</f>
        <v>Marzo</v>
      </c>
      <c r="AB214" s="49"/>
    </row>
    <row r="215" spans="1:28" ht="24" x14ac:dyDescent="0.3">
      <c r="A215" s="2">
        <f>IF(C_Ope_005[[#This Row],[tipo_r]]="R",COUNTIFS($C$1:$C214,"R")+1,"")</f>
        <v>214</v>
      </c>
      <c r="B215" s="19" t="str">
        <f t="shared" si="19"/>
        <v>C_Ope_005</v>
      </c>
      <c r="C215" s="3" t="s">
        <v>1330</v>
      </c>
      <c r="D215" s="14">
        <v>45749</v>
      </c>
      <c r="E215" s="5" t="s">
        <v>8535</v>
      </c>
      <c r="F215" s="5" t="s">
        <v>1336</v>
      </c>
      <c r="G215" s="6" t="s">
        <v>978</v>
      </c>
      <c r="H215" s="6" t="s">
        <v>68</v>
      </c>
      <c r="I215" s="6" t="s">
        <v>6204</v>
      </c>
      <c r="J215" s="6">
        <v>1695685</v>
      </c>
      <c r="K215" s="7" t="s">
        <v>7849</v>
      </c>
      <c r="L215" s="8">
        <v>23728</v>
      </c>
      <c r="M215" s="8" t="str">
        <f t="shared" si="20"/>
        <v>PEN</v>
      </c>
      <c r="N215" s="13"/>
      <c r="O215" s="13">
        <v>8</v>
      </c>
      <c r="P215" s="3">
        <f t="shared" si="16"/>
        <v>0</v>
      </c>
      <c r="Q215" s="3">
        <f t="shared" si="17"/>
        <v>8</v>
      </c>
      <c r="R215" s="3">
        <f t="shared" si="18"/>
        <v>232.59999999999957</v>
      </c>
      <c r="S215" s="24" t="s">
        <v>1334</v>
      </c>
      <c r="T215" s="24" t="s">
        <v>1334</v>
      </c>
      <c r="U215" s="3"/>
      <c r="V215" s="25" t="s">
        <v>7761</v>
      </c>
      <c r="W215" s="25">
        <v>20517252558</v>
      </c>
      <c r="X215" s="25" t="str">
        <f>IFERROR(VLOOKUP(C_Ope_005[[#This Row],[nota_2]],Clientes_Proveedores[[Ruc / Dni]:[Razon Social]],2,0),"")</f>
        <v>COVISUR S.A.</v>
      </c>
      <c r="Y215" s="25"/>
      <c r="Z215" s="103"/>
      <c r="AA215" s="3" t="str">
        <f>IF(C_Ope_005[[#This Row],[fecha]]&gt;0,TEXT(C_Ope_005[[#This Row],[fecha]],"mmmm"),0)</f>
        <v>Abril</v>
      </c>
      <c r="AB215" s="49"/>
    </row>
    <row r="216" spans="1:28" ht="24" x14ac:dyDescent="0.3">
      <c r="A216" s="2">
        <f>IF(C_Ope_005[[#This Row],[tipo_r]]="R",COUNTIFS($C$1:$C215,"R")+1,"")</f>
        <v>215</v>
      </c>
      <c r="B216" s="19" t="str">
        <f t="shared" si="19"/>
        <v>C_Ope_005</v>
      </c>
      <c r="C216" s="3" t="s">
        <v>1330</v>
      </c>
      <c r="D216" s="14">
        <v>45749</v>
      </c>
      <c r="E216" s="5" t="s">
        <v>8535</v>
      </c>
      <c r="F216" s="5" t="s">
        <v>1336</v>
      </c>
      <c r="G216" s="6" t="s">
        <v>978</v>
      </c>
      <c r="H216" s="6" t="s">
        <v>68</v>
      </c>
      <c r="I216" s="6" t="s">
        <v>5845</v>
      </c>
      <c r="J216" s="6">
        <v>1715367</v>
      </c>
      <c r="K216" s="7" t="s">
        <v>7849</v>
      </c>
      <c r="L216" s="8">
        <v>23729</v>
      </c>
      <c r="M216" s="8" t="str">
        <f t="shared" si="20"/>
        <v>PEN</v>
      </c>
      <c r="N216" s="13"/>
      <c r="O216" s="13">
        <v>8</v>
      </c>
      <c r="P216" s="3">
        <f t="shared" si="16"/>
        <v>0</v>
      </c>
      <c r="Q216" s="3">
        <f t="shared" si="17"/>
        <v>8</v>
      </c>
      <c r="R216" s="3">
        <f t="shared" si="18"/>
        <v>224.59999999999957</v>
      </c>
      <c r="S216" s="24" t="s">
        <v>1334</v>
      </c>
      <c r="T216" s="24" t="s">
        <v>1334</v>
      </c>
      <c r="U216" s="3"/>
      <c r="V216" s="25" t="s">
        <v>7761</v>
      </c>
      <c r="W216" s="25">
        <v>20517252558</v>
      </c>
      <c r="X216" s="25" t="str">
        <f>IFERROR(VLOOKUP(C_Ope_005[[#This Row],[nota_2]],Clientes_Proveedores[[Ruc / Dni]:[Razon Social]],2,0),"")</f>
        <v>COVISUR S.A.</v>
      </c>
      <c r="Y216" s="25"/>
      <c r="Z216" s="103"/>
      <c r="AA216" s="3" t="str">
        <f>IF(C_Ope_005[[#This Row],[fecha]]&gt;0,TEXT(C_Ope_005[[#This Row],[fecha]],"mmmm"),0)</f>
        <v>Abril</v>
      </c>
      <c r="AB216" s="49"/>
    </row>
    <row r="217" spans="1:28" x14ac:dyDescent="0.3">
      <c r="A217" s="2">
        <f>IF(C_Ope_005[[#This Row],[tipo_r]]="R",COUNTIFS($C$1:$C216,"R")+1,"")</f>
        <v>216</v>
      </c>
      <c r="B217" s="19" t="str">
        <f t="shared" si="19"/>
        <v>C_Ope_005</v>
      </c>
      <c r="C217" s="3" t="s">
        <v>1330</v>
      </c>
      <c r="D217" s="14">
        <v>45751</v>
      </c>
      <c r="E217" s="5" t="s">
        <v>8535</v>
      </c>
      <c r="F217" s="5" t="s">
        <v>1336</v>
      </c>
      <c r="G217" s="6" t="s">
        <v>978</v>
      </c>
      <c r="H217" s="6" t="s">
        <v>68</v>
      </c>
      <c r="I217" s="6" t="s">
        <v>6203</v>
      </c>
      <c r="J217" s="6">
        <v>2011190</v>
      </c>
      <c r="K217" s="7" t="s">
        <v>8641</v>
      </c>
      <c r="L217" s="8">
        <v>23750</v>
      </c>
      <c r="M217" s="8" t="str">
        <f t="shared" si="20"/>
        <v>PEN</v>
      </c>
      <c r="N217" s="13"/>
      <c r="O217" s="13">
        <v>8</v>
      </c>
      <c r="P217" s="3">
        <f t="shared" si="16"/>
        <v>0</v>
      </c>
      <c r="Q217" s="3">
        <f t="shared" si="17"/>
        <v>8</v>
      </c>
      <c r="R217" s="3">
        <f t="shared" si="18"/>
        <v>216.59999999999957</v>
      </c>
      <c r="S217" s="24" t="s">
        <v>1334</v>
      </c>
      <c r="T217" s="24" t="s">
        <v>1334</v>
      </c>
      <c r="U217" s="3"/>
      <c r="V217" s="25" t="s">
        <v>7761</v>
      </c>
      <c r="W217" s="25">
        <v>20517252558</v>
      </c>
      <c r="X217" s="25" t="str">
        <f>IFERROR(VLOOKUP(C_Ope_005[[#This Row],[nota_2]],Clientes_Proveedores[[Ruc / Dni]:[Razon Social]],2,0),"")</f>
        <v>COVISUR S.A.</v>
      </c>
      <c r="Y217" s="25"/>
      <c r="Z217" s="103"/>
      <c r="AA217" s="3" t="str">
        <f>IF(C_Ope_005[[#This Row],[fecha]]&gt;0,TEXT(C_Ope_005[[#This Row],[fecha]],"mmmm"),0)</f>
        <v>Abril</v>
      </c>
      <c r="AB217" s="49"/>
    </row>
    <row r="218" spans="1:28" x14ac:dyDescent="0.3">
      <c r="A218" s="2">
        <f>IF(C_Ope_005[[#This Row],[tipo_r]]="R",COUNTIFS($C$1:$C217,"R")+1,"")</f>
        <v>217</v>
      </c>
      <c r="B218" s="19" t="str">
        <f t="shared" si="19"/>
        <v>C_Ope_005</v>
      </c>
      <c r="C218" s="3" t="s">
        <v>1330</v>
      </c>
      <c r="D218" s="14">
        <v>45751</v>
      </c>
      <c r="E218" s="5" t="s">
        <v>8535</v>
      </c>
      <c r="F218" s="5" t="s">
        <v>1336</v>
      </c>
      <c r="G218" s="6" t="s">
        <v>978</v>
      </c>
      <c r="H218" s="6" t="s">
        <v>68</v>
      </c>
      <c r="I218" s="6" t="s">
        <v>5688</v>
      </c>
      <c r="J218" s="6">
        <v>2288160</v>
      </c>
      <c r="K218" s="7" t="s">
        <v>8641</v>
      </c>
      <c r="L218" s="8">
        <v>23751</v>
      </c>
      <c r="M218" s="8" t="str">
        <f t="shared" si="20"/>
        <v>PEN</v>
      </c>
      <c r="N218" s="13"/>
      <c r="O218" s="13">
        <v>8</v>
      </c>
      <c r="P218" s="3">
        <f t="shared" si="16"/>
        <v>0</v>
      </c>
      <c r="Q218" s="3">
        <f t="shared" si="17"/>
        <v>8</v>
      </c>
      <c r="R218" s="3">
        <f t="shared" si="18"/>
        <v>208.59999999999957</v>
      </c>
      <c r="S218" s="24" t="s">
        <v>1334</v>
      </c>
      <c r="T218" s="24" t="s">
        <v>1334</v>
      </c>
      <c r="U218" s="3"/>
      <c r="V218" s="25" t="s">
        <v>7761</v>
      </c>
      <c r="W218" s="25">
        <v>20517252558</v>
      </c>
      <c r="X218" s="25" t="str">
        <f>IFERROR(VLOOKUP(C_Ope_005[[#This Row],[nota_2]],Clientes_Proveedores[[Ruc / Dni]:[Razon Social]],2,0),"")</f>
        <v>COVISUR S.A.</v>
      </c>
      <c r="Y218" s="25"/>
      <c r="Z218" s="103"/>
      <c r="AA218" s="3" t="str">
        <f>IF(C_Ope_005[[#This Row],[fecha]]&gt;0,TEXT(C_Ope_005[[#This Row],[fecha]],"mmmm"),0)</f>
        <v>Abril</v>
      </c>
      <c r="AB218" s="49"/>
    </row>
    <row r="219" spans="1:28" ht="36" x14ac:dyDescent="0.3">
      <c r="A219" s="2">
        <f>IF(C_Ope_005[[#This Row],[tipo_r]]="R",COUNTIFS($C$1:$C218,"R")+1,"")</f>
        <v>218</v>
      </c>
      <c r="B219" s="19" t="str">
        <f t="shared" si="19"/>
        <v>C_Ope_005</v>
      </c>
      <c r="C219" s="3" t="s">
        <v>1330</v>
      </c>
      <c r="D219" s="14">
        <v>45749</v>
      </c>
      <c r="E219" s="5" t="s">
        <v>8535</v>
      </c>
      <c r="F219" s="5" t="s">
        <v>1336</v>
      </c>
      <c r="G219" s="6" t="s">
        <v>682</v>
      </c>
      <c r="H219" s="6" t="s">
        <v>68</v>
      </c>
      <c r="I219" s="6" t="s">
        <v>1343</v>
      </c>
      <c r="J219" s="6">
        <v>34248</v>
      </c>
      <c r="K219" s="7" t="s">
        <v>8624</v>
      </c>
      <c r="L219" s="8">
        <v>23730</v>
      </c>
      <c r="M219" s="8" t="str">
        <f t="shared" si="20"/>
        <v>PEN</v>
      </c>
      <c r="N219" s="13"/>
      <c r="O219" s="13">
        <v>10</v>
      </c>
      <c r="P219" s="3">
        <f t="shared" si="16"/>
        <v>0</v>
      </c>
      <c r="Q219" s="3">
        <f t="shared" si="17"/>
        <v>10</v>
      </c>
      <c r="R219" s="3">
        <f t="shared" si="18"/>
        <v>198.59999999999957</v>
      </c>
      <c r="S219" s="24" t="s">
        <v>1334</v>
      </c>
      <c r="T219" s="24" t="s">
        <v>1334</v>
      </c>
      <c r="U219" s="3"/>
      <c r="V219" s="25" t="s">
        <v>7761</v>
      </c>
      <c r="W219" s="25">
        <v>20259858934</v>
      </c>
      <c r="X219" s="25" t="str">
        <f>IFERROR(VLOOKUP(C_Ope_005[[#This Row],[nota_2]],Clientes_Proveedores[[Ruc / Dni]:[Razon Social]],2,0),"")</f>
        <v>COMERCIALIZACION Y SERVICIOS EL EDEN S.A.C.</v>
      </c>
      <c r="Y219" s="25"/>
      <c r="Z219" s="103"/>
      <c r="AA219" s="3" t="str">
        <f>IF(C_Ope_005[[#This Row],[fecha]]&gt;0,TEXT(C_Ope_005[[#This Row],[fecha]],"mmmm"),0)</f>
        <v>Abril</v>
      </c>
      <c r="AB219" s="49"/>
    </row>
    <row r="220" spans="1:28" ht="36" x14ac:dyDescent="0.3">
      <c r="A220" s="2">
        <f>IF(C_Ope_005[[#This Row],[tipo_r]]="R",COUNTIFS($C$1:$C219,"R")+1,"")</f>
        <v>219</v>
      </c>
      <c r="B220" s="19" t="str">
        <f t="shared" si="19"/>
        <v>C_Ope_005</v>
      </c>
      <c r="C220" s="3" t="s">
        <v>1330</v>
      </c>
      <c r="D220" s="14">
        <v>45751</v>
      </c>
      <c r="E220" s="5" t="s">
        <v>8535</v>
      </c>
      <c r="F220" s="5" t="s">
        <v>1336</v>
      </c>
      <c r="G220" s="6" t="s">
        <v>682</v>
      </c>
      <c r="H220" s="6" t="s">
        <v>68</v>
      </c>
      <c r="I220" s="6" t="s">
        <v>1343</v>
      </c>
      <c r="J220" s="6">
        <v>34269</v>
      </c>
      <c r="K220" s="7" t="s">
        <v>8624</v>
      </c>
      <c r="L220" s="8">
        <v>23752</v>
      </c>
      <c r="M220" s="8" t="str">
        <f t="shared" si="20"/>
        <v>PEN</v>
      </c>
      <c r="N220" s="13"/>
      <c r="O220" s="13">
        <v>10</v>
      </c>
      <c r="P220" s="3">
        <f t="shared" si="16"/>
        <v>0</v>
      </c>
      <c r="Q220" s="3">
        <f t="shared" si="17"/>
        <v>10</v>
      </c>
      <c r="R220" s="3">
        <f t="shared" si="18"/>
        <v>188.59999999999957</v>
      </c>
      <c r="S220" s="24" t="s">
        <v>1334</v>
      </c>
      <c r="T220" s="24" t="s">
        <v>1334</v>
      </c>
      <c r="U220" s="3"/>
      <c r="V220" s="25" t="s">
        <v>7761</v>
      </c>
      <c r="W220" s="25">
        <v>20259858934</v>
      </c>
      <c r="X220" s="25" t="str">
        <f>IFERROR(VLOOKUP(C_Ope_005[[#This Row],[nota_2]],Clientes_Proveedores[[Ruc / Dni]:[Razon Social]],2,0),"")</f>
        <v>COMERCIALIZACION Y SERVICIOS EL EDEN S.A.C.</v>
      </c>
      <c r="Y220" s="25"/>
      <c r="Z220" s="103"/>
      <c r="AA220" s="3" t="str">
        <f>IF(C_Ope_005[[#This Row],[fecha]]&gt;0,TEXT(C_Ope_005[[#This Row],[fecha]],"mmmm"),0)</f>
        <v>Abril</v>
      </c>
      <c r="AB220" s="49"/>
    </row>
    <row r="221" spans="1:28" ht="24" x14ac:dyDescent="0.3">
      <c r="A221" s="2">
        <f>IF(C_Ope_005[[#This Row],[tipo_r]]="R",COUNTIFS($C$1:$C220,"R")+1,"")</f>
        <v>220</v>
      </c>
      <c r="B221" s="19" t="str">
        <f t="shared" si="19"/>
        <v>C_Ope_005</v>
      </c>
      <c r="C221" s="3" t="s">
        <v>1330</v>
      </c>
      <c r="D221" s="14">
        <v>45755</v>
      </c>
      <c r="E221" s="5" t="s">
        <v>7514</v>
      </c>
      <c r="F221" s="5" t="s">
        <v>1303</v>
      </c>
      <c r="G221" s="6" t="s">
        <v>957</v>
      </c>
      <c r="H221" s="6"/>
      <c r="I221" s="6"/>
      <c r="J221" s="6"/>
      <c r="K221" s="7" t="s">
        <v>7516</v>
      </c>
      <c r="L221" s="8">
        <v>23775</v>
      </c>
      <c r="M221" s="8" t="str">
        <f t="shared" si="20"/>
        <v>PEN</v>
      </c>
      <c r="N221" s="13"/>
      <c r="O221" s="13">
        <v>20</v>
      </c>
      <c r="P221" s="3">
        <f t="shared" si="16"/>
        <v>20</v>
      </c>
      <c r="Q221" s="3">
        <f t="shared" si="17"/>
        <v>0</v>
      </c>
      <c r="R221" s="3">
        <f t="shared" si="18"/>
        <v>208.59999999999957</v>
      </c>
      <c r="S221" s="24" t="s">
        <v>1334</v>
      </c>
      <c r="T221" s="24" t="s">
        <v>1334</v>
      </c>
      <c r="U221" s="3"/>
      <c r="V221" s="25"/>
      <c r="W221" s="25"/>
      <c r="X221" s="25" t="str">
        <f>IFERROR(VLOOKUP(C_Ope_005[[#This Row],[nota_2]],Clientes_Proveedores[[Ruc / Dni]:[Razon Social]],2,0),"")</f>
        <v/>
      </c>
      <c r="Y221" s="25"/>
      <c r="Z221" s="103"/>
      <c r="AA221" s="3" t="str">
        <f>IF(C_Ope_005[[#This Row],[fecha]]&gt;0,TEXT(C_Ope_005[[#This Row],[fecha]],"mmmm"),0)</f>
        <v>Abril</v>
      </c>
      <c r="AB221" s="49"/>
    </row>
    <row r="222" spans="1:28" ht="24" x14ac:dyDescent="0.3">
      <c r="A222" s="2">
        <f>IF(C_Ope_005[[#This Row],[tipo_r]]="R",COUNTIFS($C$1:$C221,"R")+1,"")</f>
        <v>221</v>
      </c>
      <c r="B222" s="19" t="str">
        <f t="shared" si="19"/>
        <v>C_Ope_005</v>
      </c>
      <c r="C222" s="3" t="s">
        <v>1330</v>
      </c>
      <c r="D222" s="14">
        <v>45756</v>
      </c>
      <c r="E222" s="5" t="s">
        <v>7514</v>
      </c>
      <c r="F222" s="5" t="s">
        <v>1303</v>
      </c>
      <c r="G222" s="6" t="s">
        <v>957</v>
      </c>
      <c r="H222" s="6"/>
      <c r="I222" s="6"/>
      <c r="J222" s="6"/>
      <c r="K222" s="7" t="s">
        <v>8565</v>
      </c>
      <c r="L222" s="8">
        <v>23798</v>
      </c>
      <c r="M222" s="8" t="str">
        <f t="shared" si="20"/>
        <v>PEN</v>
      </c>
      <c r="N222" s="13"/>
      <c r="O222" s="13">
        <v>300</v>
      </c>
      <c r="P222" s="3">
        <f t="shared" si="16"/>
        <v>300</v>
      </c>
      <c r="Q222" s="3">
        <f t="shared" si="17"/>
        <v>0</v>
      </c>
      <c r="R222" s="3">
        <f t="shared" si="18"/>
        <v>508.59999999999957</v>
      </c>
      <c r="S222" s="24" t="s">
        <v>1334</v>
      </c>
      <c r="T222" s="24" t="s">
        <v>1334</v>
      </c>
      <c r="U222" s="3"/>
      <c r="V222" s="25"/>
      <c r="W222" s="25"/>
      <c r="X222" s="25" t="str">
        <f>IFERROR(VLOOKUP(C_Ope_005[[#This Row],[nota_2]],Clientes_Proveedores[[Ruc / Dni]:[Razon Social]],2,0),"")</f>
        <v/>
      </c>
      <c r="Y222" s="25"/>
      <c r="Z222" s="103"/>
      <c r="AA222" s="3" t="str">
        <f>IF(C_Ope_005[[#This Row],[fecha]]&gt;0,TEXT(C_Ope_005[[#This Row],[fecha]],"mmmm"),0)</f>
        <v>Abril</v>
      </c>
      <c r="AB222" s="49"/>
    </row>
    <row r="223" spans="1:28" ht="24" x14ac:dyDescent="0.3">
      <c r="A223" s="2">
        <f>IF(C_Ope_005[[#This Row],[tipo_r]]="R",COUNTIFS($C$1:$C222,"R")+1,"")</f>
        <v>222</v>
      </c>
      <c r="B223" s="19" t="str">
        <f t="shared" si="19"/>
        <v>C_Ope_005</v>
      </c>
      <c r="C223" s="3" t="s">
        <v>1330</v>
      </c>
      <c r="D223" s="14">
        <v>45754</v>
      </c>
      <c r="E223" s="5" t="s">
        <v>8535</v>
      </c>
      <c r="F223" s="5" t="s">
        <v>1336</v>
      </c>
      <c r="G223" s="6" t="s">
        <v>978</v>
      </c>
      <c r="H223" s="6" t="s">
        <v>68</v>
      </c>
      <c r="I223" s="6" t="s">
        <v>5688</v>
      </c>
      <c r="J223" s="6">
        <v>2291085</v>
      </c>
      <c r="K223" s="7" t="s">
        <v>8642</v>
      </c>
      <c r="L223" s="8">
        <v>23778</v>
      </c>
      <c r="M223" s="8" t="str">
        <f t="shared" si="20"/>
        <v>PEN</v>
      </c>
      <c r="N223" s="13"/>
      <c r="O223" s="13">
        <v>5</v>
      </c>
      <c r="P223" s="3">
        <f t="shared" si="16"/>
        <v>0</v>
      </c>
      <c r="Q223" s="3">
        <f t="shared" si="17"/>
        <v>5</v>
      </c>
      <c r="R223" s="3">
        <f t="shared" si="18"/>
        <v>503.59999999999957</v>
      </c>
      <c r="S223" s="24" t="s">
        <v>1334</v>
      </c>
      <c r="T223" s="24" t="s">
        <v>1334</v>
      </c>
      <c r="U223" s="3"/>
      <c r="V223" s="25" t="s">
        <v>7756</v>
      </c>
      <c r="W223" s="25">
        <v>20517252558</v>
      </c>
      <c r="X223" s="25" t="str">
        <f>IFERROR(VLOOKUP(C_Ope_005[[#This Row],[nota_2]],Clientes_Proveedores[[Ruc / Dni]:[Razon Social]],2,0),"")</f>
        <v>COVISUR S.A.</v>
      </c>
      <c r="Y223" s="25"/>
      <c r="Z223" s="103"/>
      <c r="AA223" s="3" t="str">
        <f>IF(C_Ope_005[[#This Row],[fecha]]&gt;0,TEXT(C_Ope_005[[#This Row],[fecha]],"mmmm"),0)</f>
        <v>Abril</v>
      </c>
      <c r="AB223" s="49"/>
    </row>
    <row r="224" spans="1:28" ht="24" x14ac:dyDescent="0.3">
      <c r="A224" s="2">
        <f>IF(C_Ope_005[[#This Row],[tipo_r]]="R",COUNTIFS($C$1:$C223,"R")+1,"")</f>
        <v>223</v>
      </c>
      <c r="B224" s="19" t="str">
        <f t="shared" si="19"/>
        <v>C_Ope_005</v>
      </c>
      <c r="C224" s="3" t="s">
        <v>1330</v>
      </c>
      <c r="D224" s="14">
        <v>45754</v>
      </c>
      <c r="E224" s="5" t="s">
        <v>8535</v>
      </c>
      <c r="F224" s="5" t="s">
        <v>1336</v>
      </c>
      <c r="G224" s="6" t="s">
        <v>978</v>
      </c>
      <c r="H224" s="6" t="s">
        <v>68</v>
      </c>
      <c r="I224" s="6" t="s">
        <v>5845</v>
      </c>
      <c r="J224" s="6">
        <v>1719508</v>
      </c>
      <c r="K224" s="7" t="s">
        <v>8642</v>
      </c>
      <c r="L224" s="8">
        <v>23779</v>
      </c>
      <c r="M224" s="8" t="str">
        <f t="shared" si="20"/>
        <v>PEN</v>
      </c>
      <c r="N224" s="13"/>
      <c r="O224" s="13">
        <v>5</v>
      </c>
      <c r="P224" s="3">
        <f t="shared" si="16"/>
        <v>0</v>
      </c>
      <c r="Q224" s="3">
        <f t="shared" si="17"/>
        <v>5</v>
      </c>
      <c r="R224" s="3">
        <f t="shared" si="18"/>
        <v>498.59999999999957</v>
      </c>
      <c r="S224" s="24" t="s">
        <v>1334</v>
      </c>
      <c r="T224" s="24" t="s">
        <v>1334</v>
      </c>
      <c r="U224" s="3"/>
      <c r="V224" s="25" t="s">
        <v>7756</v>
      </c>
      <c r="W224" s="25">
        <v>20517252558</v>
      </c>
      <c r="X224" s="25" t="str">
        <f>IFERROR(VLOOKUP(C_Ope_005[[#This Row],[nota_2]],Clientes_Proveedores[[Ruc / Dni]:[Razon Social]],2,0),"")</f>
        <v>COVISUR S.A.</v>
      </c>
      <c r="Y224" s="25"/>
      <c r="Z224" s="103"/>
      <c r="AA224" s="3" t="str">
        <f>IF(C_Ope_005[[#This Row],[fecha]]&gt;0,TEXT(C_Ope_005[[#This Row],[fecha]],"mmmm"),0)</f>
        <v>Abril</v>
      </c>
      <c r="AB224" s="49"/>
    </row>
    <row r="225" spans="1:28" ht="24" x14ac:dyDescent="0.3">
      <c r="A225" s="2">
        <f>IF(C_Ope_005[[#This Row],[tipo_r]]="R",COUNTIFS($C$1:$C224,"R")+1,"")</f>
        <v>224</v>
      </c>
      <c r="B225" s="19" t="str">
        <f t="shared" si="19"/>
        <v>C_Ope_005</v>
      </c>
      <c r="C225" s="3" t="s">
        <v>1330</v>
      </c>
      <c r="D225" s="14">
        <v>45755</v>
      </c>
      <c r="E225" s="5" t="s">
        <v>8535</v>
      </c>
      <c r="F225" s="5" t="s">
        <v>1336</v>
      </c>
      <c r="G225" s="6" t="s">
        <v>978</v>
      </c>
      <c r="H225" s="6" t="s">
        <v>68</v>
      </c>
      <c r="I225" s="6" t="s">
        <v>6204</v>
      </c>
      <c r="J225" s="6">
        <v>1700459</v>
      </c>
      <c r="K225" s="7" t="s">
        <v>8643</v>
      </c>
      <c r="L225" s="8">
        <v>23777</v>
      </c>
      <c r="M225" s="8" t="str">
        <f t="shared" si="20"/>
        <v>PEN</v>
      </c>
      <c r="N225" s="13"/>
      <c r="O225" s="13">
        <v>8</v>
      </c>
      <c r="P225" s="3">
        <f t="shared" si="16"/>
        <v>0</v>
      </c>
      <c r="Q225" s="3">
        <f t="shared" si="17"/>
        <v>8</v>
      </c>
      <c r="R225" s="3">
        <f t="shared" si="18"/>
        <v>490.59999999999957</v>
      </c>
      <c r="S225" s="24" t="s">
        <v>1334</v>
      </c>
      <c r="T225" s="24" t="s">
        <v>1334</v>
      </c>
      <c r="U225" s="3"/>
      <c r="V225" s="25" t="s">
        <v>7761</v>
      </c>
      <c r="W225" s="25">
        <v>20517252558</v>
      </c>
      <c r="X225" s="25" t="str">
        <f>IFERROR(VLOOKUP(C_Ope_005[[#This Row],[nota_2]],Clientes_Proveedores[[Ruc / Dni]:[Razon Social]],2,0),"")</f>
        <v>COVISUR S.A.</v>
      </c>
      <c r="Y225" s="25"/>
      <c r="Z225" s="103"/>
      <c r="AA225" s="3" t="str">
        <f>IF(C_Ope_005[[#This Row],[fecha]]&gt;0,TEXT(C_Ope_005[[#This Row],[fecha]],"mmmm"),0)</f>
        <v>Abril</v>
      </c>
      <c r="AB225" s="49"/>
    </row>
    <row r="226" spans="1:28" ht="24" x14ac:dyDescent="0.3">
      <c r="A226" s="2">
        <f>IF(C_Ope_005[[#This Row],[tipo_r]]="R",COUNTIFS($C$1:$C225,"R")+1,"")</f>
        <v>225</v>
      </c>
      <c r="B226" s="19" t="str">
        <f t="shared" si="19"/>
        <v>C_Ope_005</v>
      </c>
      <c r="C226" s="3" t="s">
        <v>1330</v>
      </c>
      <c r="D226" s="14">
        <v>45755</v>
      </c>
      <c r="E226" s="5" t="s">
        <v>8535</v>
      </c>
      <c r="F226" s="5" t="s">
        <v>1336</v>
      </c>
      <c r="G226" s="6" t="s">
        <v>978</v>
      </c>
      <c r="H226" s="6" t="s">
        <v>68</v>
      </c>
      <c r="I226" s="6" t="s">
        <v>5845</v>
      </c>
      <c r="J226" s="6">
        <v>1720239</v>
      </c>
      <c r="K226" s="7" t="s">
        <v>8643</v>
      </c>
      <c r="L226" s="8">
        <v>23786</v>
      </c>
      <c r="M226" s="8" t="str">
        <f t="shared" si="20"/>
        <v>PEN</v>
      </c>
      <c r="N226" s="13"/>
      <c r="O226" s="13">
        <v>8</v>
      </c>
      <c r="P226" s="3">
        <f t="shared" si="16"/>
        <v>0</v>
      </c>
      <c r="Q226" s="3">
        <f t="shared" si="17"/>
        <v>8</v>
      </c>
      <c r="R226" s="3">
        <f t="shared" si="18"/>
        <v>482.59999999999957</v>
      </c>
      <c r="S226" s="24" t="s">
        <v>1334</v>
      </c>
      <c r="T226" s="24" t="s">
        <v>1334</v>
      </c>
      <c r="U226" s="3"/>
      <c r="V226" s="25" t="s">
        <v>7761</v>
      </c>
      <c r="W226" s="25">
        <v>20517252558</v>
      </c>
      <c r="X226" s="25" t="str">
        <f>IFERROR(VLOOKUP(C_Ope_005[[#This Row],[nota_2]],Clientes_Proveedores[[Ruc / Dni]:[Razon Social]],2,0),"")</f>
        <v>COVISUR S.A.</v>
      </c>
      <c r="Y226" s="25"/>
      <c r="Z226" s="103"/>
      <c r="AA226" s="3" t="str">
        <f>IF(C_Ope_005[[#This Row],[fecha]]&gt;0,TEXT(C_Ope_005[[#This Row],[fecha]],"mmmm"),0)</f>
        <v>Abril</v>
      </c>
      <c r="AB226" s="49"/>
    </row>
    <row r="227" spans="1:28" ht="36" x14ac:dyDescent="0.3">
      <c r="A227" s="2">
        <f>IF(C_Ope_005[[#This Row],[tipo_r]]="R",COUNTIFS($C$1:$C226,"R")+1,"")</f>
        <v>226</v>
      </c>
      <c r="B227" s="19" t="str">
        <f t="shared" si="19"/>
        <v>C_Ope_005</v>
      </c>
      <c r="C227" s="3" t="s">
        <v>1330</v>
      </c>
      <c r="D227" s="14">
        <v>45757</v>
      </c>
      <c r="E227" s="5" t="s">
        <v>8535</v>
      </c>
      <c r="F227" s="5" t="s">
        <v>1336</v>
      </c>
      <c r="G227" s="6" t="s">
        <v>1042</v>
      </c>
      <c r="H227" s="6" t="s">
        <v>98</v>
      </c>
      <c r="I227" s="6" t="s">
        <v>8644</v>
      </c>
      <c r="J227" s="6">
        <v>225020744</v>
      </c>
      <c r="K227" s="7" t="s">
        <v>8645</v>
      </c>
      <c r="L227" s="8">
        <v>23812</v>
      </c>
      <c r="M227" s="8" t="str">
        <f t="shared" si="20"/>
        <v>PEN</v>
      </c>
      <c r="N227" s="13"/>
      <c r="O227" s="13">
        <v>13</v>
      </c>
      <c r="P227" s="3">
        <f t="shared" si="16"/>
        <v>0</v>
      </c>
      <c r="Q227" s="3">
        <f t="shared" si="17"/>
        <v>13</v>
      </c>
      <c r="R227" s="3">
        <f t="shared" si="18"/>
        <v>469.59999999999957</v>
      </c>
      <c r="S227" s="24" t="s">
        <v>1334</v>
      </c>
      <c r="T227" s="24" t="s">
        <v>1334</v>
      </c>
      <c r="U227" s="3"/>
      <c r="V227" s="25" t="s">
        <v>7761</v>
      </c>
      <c r="W227" s="25">
        <v>20503503639</v>
      </c>
      <c r="X227" s="25" t="str">
        <f>IFERROR(VLOOKUP(C_Ope_005[[#This Row],[nota_2]],Clientes_Proveedores[[Ruc / Dni]:[Razon Social]],2,0),"")</f>
        <v>PROVIAS NACIONAL</v>
      </c>
      <c r="Y227" s="25"/>
      <c r="Z227" s="103"/>
      <c r="AA227" s="3" t="str">
        <f>IF(C_Ope_005[[#This Row],[fecha]]&gt;0,TEXT(C_Ope_005[[#This Row],[fecha]],"mmmm"),0)</f>
        <v>Abril</v>
      </c>
      <c r="AB227" s="49"/>
    </row>
    <row r="228" spans="1:28" ht="24" x14ac:dyDescent="0.3">
      <c r="A228" s="2">
        <f>IF(C_Ope_005[[#This Row],[tipo_r]]="R",COUNTIFS($C$1:$C227,"R")+1,"")</f>
        <v>227</v>
      </c>
      <c r="B228" s="19" t="str">
        <f t="shared" si="19"/>
        <v>C_Ope_005</v>
      </c>
      <c r="C228" s="3" t="s">
        <v>1330</v>
      </c>
      <c r="D228" s="14">
        <v>45757</v>
      </c>
      <c r="E228" s="5" t="s">
        <v>8535</v>
      </c>
      <c r="F228" s="5" t="s">
        <v>1336</v>
      </c>
      <c r="G228" s="6" t="s">
        <v>978</v>
      </c>
      <c r="H228" s="6" t="s">
        <v>68</v>
      </c>
      <c r="I228" s="6" t="s">
        <v>8552</v>
      </c>
      <c r="J228" s="6">
        <v>1753432</v>
      </c>
      <c r="K228" s="7" t="s">
        <v>8646</v>
      </c>
      <c r="L228" s="8">
        <v>23813</v>
      </c>
      <c r="M228" s="8" t="str">
        <f t="shared" si="20"/>
        <v>PEN</v>
      </c>
      <c r="N228" s="13"/>
      <c r="O228" s="13">
        <v>7.7</v>
      </c>
      <c r="P228" s="3">
        <f t="shared" si="16"/>
        <v>0</v>
      </c>
      <c r="Q228" s="3">
        <f t="shared" si="17"/>
        <v>7.7</v>
      </c>
      <c r="R228" s="3">
        <f t="shared" si="18"/>
        <v>461.89999999999958</v>
      </c>
      <c r="S228" s="24" t="s">
        <v>1334</v>
      </c>
      <c r="T228" s="24" t="s">
        <v>1334</v>
      </c>
      <c r="U228" s="3"/>
      <c r="V228" s="25" t="s">
        <v>7761</v>
      </c>
      <c r="W228" s="25">
        <v>20517252558</v>
      </c>
      <c r="X228" s="25" t="str">
        <f>IFERROR(VLOOKUP(C_Ope_005[[#This Row],[nota_2]],Clientes_Proveedores[[Ruc / Dni]:[Razon Social]],2,0),"")</f>
        <v>COVISUR S.A.</v>
      </c>
      <c r="Y228" s="25"/>
      <c r="Z228" s="103"/>
      <c r="AA228" s="3" t="str">
        <f>IF(C_Ope_005[[#This Row],[fecha]]&gt;0,TEXT(C_Ope_005[[#This Row],[fecha]],"mmmm"),0)</f>
        <v>Abril</v>
      </c>
      <c r="AB228" s="49"/>
    </row>
    <row r="229" spans="1:28" ht="24" x14ac:dyDescent="0.3">
      <c r="A229" s="2">
        <f>IF(C_Ope_005[[#This Row],[tipo_r]]="R",COUNTIFS($C$1:$C228,"R")+1,"")</f>
        <v>228</v>
      </c>
      <c r="B229" s="19" t="str">
        <f t="shared" si="19"/>
        <v>C_Ope_005</v>
      </c>
      <c r="C229" s="3" t="s">
        <v>1330</v>
      </c>
      <c r="D229" s="14">
        <v>45757</v>
      </c>
      <c r="E229" s="5" t="s">
        <v>8535</v>
      </c>
      <c r="F229" s="5" t="s">
        <v>1336</v>
      </c>
      <c r="G229" s="6" t="s">
        <v>978</v>
      </c>
      <c r="H229" s="6" t="s">
        <v>68</v>
      </c>
      <c r="I229" s="6" t="s">
        <v>8554</v>
      </c>
      <c r="J229" s="6">
        <v>1046081</v>
      </c>
      <c r="K229" s="7" t="s">
        <v>8647</v>
      </c>
      <c r="L229" s="8">
        <v>23814</v>
      </c>
      <c r="M229" s="8" t="str">
        <f t="shared" si="20"/>
        <v>PEN</v>
      </c>
      <c r="N229" s="13"/>
      <c r="O229" s="13">
        <v>7.7</v>
      </c>
      <c r="P229" s="3">
        <f t="shared" si="16"/>
        <v>0</v>
      </c>
      <c r="Q229" s="3">
        <f t="shared" si="17"/>
        <v>7.7</v>
      </c>
      <c r="R229" s="3">
        <f t="shared" si="18"/>
        <v>454.19999999999959</v>
      </c>
      <c r="S229" s="24" t="s">
        <v>1334</v>
      </c>
      <c r="T229" s="24" t="s">
        <v>1334</v>
      </c>
      <c r="U229" s="3"/>
      <c r="V229" s="25" t="s">
        <v>7761</v>
      </c>
      <c r="W229" s="25">
        <v>20517252558</v>
      </c>
      <c r="X229" s="25" t="str">
        <f>IFERROR(VLOOKUP(C_Ope_005[[#This Row],[nota_2]],Clientes_Proveedores[[Ruc / Dni]:[Razon Social]],2,0),"")</f>
        <v>COVISUR S.A.</v>
      </c>
      <c r="Y229" s="25"/>
      <c r="Z229" s="103"/>
      <c r="AA229" s="3" t="str">
        <f>IF(C_Ope_005[[#This Row],[fecha]]&gt;0,TEXT(C_Ope_005[[#This Row],[fecha]],"mmmm"),0)</f>
        <v>Abril</v>
      </c>
      <c r="AB229" s="49"/>
    </row>
    <row r="230" spans="1:28" ht="24" x14ac:dyDescent="0.3">
      <c r="A230" s="2">
        <f>IF(C_Ope_005[[#This Row],[tipo_r]]="R",COUNTIFS($C$1:$C229,"R")+1,"")</f>
        <v>229</v>
      </c>
      <c r="B230" s="19" t="str">
        <f t="shared" si="19"/>
        <v>C_Ope_005</v>
      </c>
      <c r="C230" s="3" t="s">
        <v>1330</v>
      </c>
      <c r="D230" s="14">
        <v>45757</v>
      </c>
      <c r="E230" s="5" t="s">
        <v>8535</v>
      </c>
      <c r="F230" s="5" t="s">
        <v>1336</v>
      </c>
      <c r="G230" s="6" t="s">
        <v>978</v>
      </c>
      <c r="H230" s="6" t="s">
        <v>68</v>
      </c>
      <c r="I230" s="6" t="s">
        <v>8556</v>
      </c>
      <c r="J230" s="6">
        <v>1082945</v>
      </c>
      <c r="K230" s="7" t="s">
        <v>8647</v>
      </c>
      <c r="L230" s="8">
        <v>23815</v>
      </c>
      <c r="M230" s="8" t="str">
        <f t="shared" si="20"/>
        <v>PEN</v>
      </c>
      <c r="N230" s="13"/>
      <c r="O230" s="13">
        <v>7.7</v>
      </c>
      <c r="P230" s="3">
        <f t="shared" si="16"/>
        <v>0</v>
      </c>
      <c r="Q230" s="3">
        <f t="shared" si="17"/>
        <v>7.7</v>
      </c>
      <c r="R230" s="3">
        <f t="shared" si="18"/>
        <v>446.4999999999996</v>
      </c>
      <c r="S230" s="24" t="s">
        <v>1334</v>
      </c>
      <c r="T230" s="24" t="s">
        <v>1334</v>
      </c>
      <c r="U230" s="3"/>
      <c r="V230" s="25" t="s">
        <v>7761</v>
      </c>
      <c r="W230" s="25">
        <v>20517252558</v>
      </c>
      <c r="X230" s="25" t="str">
        <f>IFERROR(VLOOKUP(C_Ope_005[[#This Row],[nota_2]],Clientes_Proveedores[[Ruc / Dni]:[Razon Social]],2,0),"")</f>
        <v>COVISUR S.A.</v>
      </c>
      <c r="Y230" s="25"/>
      <c r="Z230" s="103"/>
      <c r="AA230" s="3" t="str">
        <f>IF(C_Ope_005[[#This Row],[fecha]]&gt;0,TEXT(C_Ope_005[[#This Row],[fecha]],"mmmm"),0)</f>
        <v>Abril</v>
      </c>
      <c r="AB230" s="49"/>
    </row>
    <row r="231" spans="1:28" ht="24" x14ac:dyDescent="0.3">
      <c r="A231" s="2">
        <f>IF(C_Ope_005[[#This Row],[tipo_r]]="R",COUNTIFS($C$1:$C230,"R")+1,"")</f>
        <v>230</v>
      </c>
      <c r="B231" s="19" t="str">
        <f t="shared" si="19"/>
        <v>C_Ope_005</v>
      </c>
      <c r="C231" s="3" t="s">
        <v>1330</v>
      </c>
      <c r="D231" s="14">
        <v>45758</v>
      </c>
      <c r="E231" s="5" t="s">
        <v>8535</v>
      </c>
      <c r="F231" s="5" t="s">
        <v>1336</v>
      </c>
      <c r="G231" s="6" t="s">
        <v>978</v>
      </c>
      <c r="H231" s="6" t="s">
        <v>68</v>
      </c>
      <c r="I231" s="6" t="s">
        <v>8557</v>
      </c>
      <c r="J231" s="6">
        <v>1798231</v>
      </c>
      <c r="K231" s="7" t="s">
        <v>8646</v>
      </c>
      <c r="L231" s="8">
        <v>23833</v>
      </c>
      <c r="M231" s="8" t="str">
        <f t="shared" si="20"/>
        <v>PEN</v>
      </c>
      <c r="N231" s="13"/>
      <c r="O231" s="13">
        <v>3.9</v>
      </c>
      <c r="P231" s="3">
        <f t="shared" si="16"/>
        <v>0</v>
      </c>
      <c r="Q231" s="3">
        <f t="shared" si="17"/>
        <v>3.9</v>
      </c>
      <c r="R231" s="3">
        <f t="shared" si="18"/>
        <v>442.59999999999962</v>
      </c>
      <c r="S231" s="24" t="s">
        <v>1334</v>
      </c>
      <c r="T231" s="24" t="s">
        <v>1334</v>
      </c>
      <c r="U231" s="3"/>
      <c r="V231" s="25" t="s">
        <v>7761</v>
      </c>
      <c r="W231" s="25">
        <v>20517252558</v>
      </c>
      <c r="X231" s="25" t="str">
        <f>IFERROR(VLOOKUP(C_Ope_005[[#This Row],[nota_2]],Clientes_Proveedores[[Ruc / Dni]:[Razon Social]],2,0),"")</f>
        <v>COVISUR S.A.</v>
      </c>
      <c r="Y231" s="25"/>
      <c r="Z231" s="103"/>
      <c r="AA231" s="3" t="str">
        <f>IF(C_Ope_005[[#This Row],[fecha]]&gt;0,TEXT(C_Ope_005[[#This Row],[fecha]],"mmmm"),0)</f>
        <v>Abril</v>
      </c>
      <c r="AB231" s="49"/>
    </row>
    <row r="232" spans="1:28" ht="24" x14ac:dyDescent="0.3">
      <c r="A232" s="2">
        <f>IF(C_Ope_005[[#This Row],[tipo_r]]="R",COUNTIFS($C$1:$C231,"R")+1,"")</f>
        <v>231</v>
      </c>
      <c r="B232" s="19" t="str">
        <f t="shared" si="19"/>
        <v>C_Ope_005</v>
      </c>
      <c r="C232" s="3" t="s">
        <v>1330</v>
      </c>
      <c r="D232" s="14">
        <v>45758</v>
      </c>
      <c r="E232" s="5" t="s">
        <v>8535</v>
      </c>
      <c r="F232" s="5" t="s">
        <v>1336</v>
      </c>
      <c r="G232" s="6" t="s">
        <v>978</v>
      </c>
      <c r="H232" s="6" t="s">
        <v>68</v>
      </c>
      <c r="I232" s="6" t="s">
        <v>6204</v>
      </c>
      <c r="J232" s="6">
        <v>1703266</v>
      </c>
      <c r="K232" s="7" t="s">
        <v>7813</v>
      </c>
      <c r="L232" s="8">
        <v>23834</v>
      </c>
      <c r="M232" s="8" t="str">
        <f t="shared" si="20"/>
        <v>PEN</v>
      </c>
      <c r="N232" s="13"/>
      <c r="O232" s="13">
        <v>8</v>
      </c>
      <c r="P232" s="3">
        <f t="shared" si="16"/>
        <v>0</v>
      </c>
      <c r="Q232" s="3">
        <f t="shared" si="17"/>
        <v>8</v>
      </c>
      <c r="R232" s="3">
        <f t="shared" si="18"/>
        <v>434.59999999999962</v>
      </c>
      <c r="S232" s="24" t="s">
        <v>1334</v>
      </c>
      <c r="T232" s="24" t="s">
        <v>1334</v>
      </c>
      <c r="U232" s="3"/>
      <c r="V232" s="25" t="s">
        <v>7761</v>
      </c>
      <c r="W232" s="25">
        <v>20517252558</v>
      </c>
      <c r="X232" s="25" t="str">
        <f>IFERROR(VLOOKUP(C_Ope_005[[#This Row],[nota_2]],Clientes_Proveedores[[Ruc / Dni]:[Razon Social]],2,0),"")</f>
        <v>COVISUR S.A.</v>
      </c>
      <c r="Y232" s="25"/>
      <c r="Z232" s="103"/>
      <c r="AA232" s="3" t="str">
        <f>IF(C_Ope_005[[#This Row],[fecha]]&gt;0,TEXT(C_Ope_005[[#This Row],[fecha]],"mmmm"),0)</f>
        <v>Abril</v>
      </c>
      <c r="AB232" s="49"/>
    </row>
    <row r="233" spans="1:28" ht="24" x14ac:dyDescent="0.3">
      <c r="A233" s="2">
        <f>IF(C_Ope_005[[#This Row],[tipo_r]]="R",COUNTIFS($C$1:$C232,"R")+1,"")</f>
        <v>232</v>
      </c>
      <c r="B233" s="19" t="str">
        <f t="shared" si="19"/>
        <v>C_Ope_005</v>
      </c>
      <c r="C233" s="3" t="s">
        <v>1330</v>
      </c>
      <c r="D233" s="14">
        <v>45758</v>
      </c>
      <c r="E233" s="5" t="s">
        <v>8535</v>
      </c>
      <c r="F233" s="5" t="s">
        <v>1336</v>
      </c>
      <c r="G233" s="6" t="s">
        <v>978</v>
      </c>
      <c r="H233" s="6" t="s">
        <v>68</v>
      </c>
      <c r="I233" s="6" t="s">
        <v>6203</v>
      </c>
      <c r="J233" s="6">
        <v>2018081</v>
      </c>
      <c r="K233" s="7" t="s">
        <v>7813</v>
      </c>
      <c r="L233" s="8">
        <v>23835</v>
      </c>
      <c r="M233" s="8" t="str">
        <f t="shared" si="20"/>
        <v>PEN</v>
      </c>
      <c r="N233" s="13"/>
      <c r="O233" s="13">
        <v>8</v>
      </c>
      <c r="P233" s="3">
        <f t="shared" si="16"/>
        <v>0</v>
      </c>
      <c r="Q233" s="3">
        <f t="shared" si="17"/>
        <v>8</v>
      </c>
      <c r="R233" s="3">
        <f t="shared" si="18"/>
        <v>426.59999999999962</v>
      </c>
      <c r="S233" s="24" t="s">
        <v>1334</v>
      </c>
      <c r="T233" s="24" t="s">
        <v>1334</v>
      </c>
      <c r="U233" s="3"/>
      <c r="V233" s="25" t="s">
        <v>7761</v>
      </c>
      <c r="W233" s="25">
        <v>20517252558</v>
      </c>
      <c r="X233" s="25" t="str">
        <f>IFERROR(VLOOKUP(C_Ope_005[[#This Row],[nota_2]],Clientes_Proveedores[[Ruc / Dni]:[Razon Social]],2,0),"")</f>
        <v>COVISUR S.A.</v>
      </c>
      <c r="Y233" s="25"/>
      <c r="Z233" s="103"/>
      <c r="AA233" s="3" t="str">
        <f>IF(C_Ope_005[[#This Row],[fecha]]&gt;0,TEXT(C_Ope_005[[#This Row],[fecha]],"mmmm"),0)</f>
        <v>Abril</v>
      </c>
      <c r="AB233" s="49"/>
    </row>
    <row r="234" spans="1:28" ht="36" x14ac:dyDescent="0.3">
      <c r="A234" s="2">
        <f>IF(C_Ope_005[[#This Row],[tipo_r]]="R",COUNTIFS($C$1:$C233,"R")+1,"")</f>
        <v>233</v>
      </c>
      <c r="B234" s="19" t="str">
        <f t="shared" si="19"/>
        <v>C_Ope_005</v>
      </c>
      <c r="C234" s="3" t="s">
        <v>1330</v>
      </c>
      <c r="D234" s="14">
        <v>45755</v>
      </c>
      <c r="E234" s="5" t="s">
        <v>8535</v>
      </c>
      <c r="F234" s="5" t="s">
        <v>1336</v>
      </c>
      <c r="G234" s="6" t="s">
        <v>682</v>
      </c>
      <c r="H234" s="6" t="s">
        <v>68</v>
      </c>
      <c r="I234" s="6" t="s">
        <v>1353</v>
      </c>
      <c r="J234" s="6">
        <v>16073</v>
      </c>
      <c r="K234" s="7" t="s">
        <v>8648</v>
      </c>
      <c r="L234" s="8">
        <v>23776</v>
      </c>
      <c r="M234" s="8" t="str">
        <f t="shared" si="20"/>
        <v>PEN</v>
      </c>
      <c r="N234" s="13"/>
      <c r="O234" s="13">
        <v>20</v>
      </c>
      <c r="P234" s="3">
        <f t="shared" si="16"/>
        <v>0</v>
      </c>
      <c r="Q234" s="3">
        <f t="shared" si="17"/>
        <v>20</v>
      </c>
      <c r="R234" s="3">
        <f t="shared" si="18"/>
        <v>406.59999999999962</v>
      </c>
      <c r="S234" s="24" t="s">
        <v>1334</v>
      </c>
      <c r="T234" s="24" t="s">
        <v>1334</v>
      </c>
      <c r="U234" s="3"/>
      <c r="V234" s="25" t="s">
        <v>7761</v>
      </c>
      <c r="W234" s="25">
        <v>20259858934</v>
      </c>
      <c r="X234" s="25" t="str">
        <f>IFERROR(VLOOKUP(C_Ope_005[[#This Row],[nota_2]],Clientes_Proveedores[[Ruc / Dni]:[Razon Social]],2,0),"")</f>
        <v>COMERCIALIZACION Y SERVICIOS EL EDEN S.A.C.</v>
      </c>
      <c r="Y234" s="25"/>
      <c r="Z234" s="103"/>
      <c r="AA234" s="3" t="str">
        <f>IF(C_Ope_005[[#This Row],[fecha]]&gt;0,TEXT(C_Ope_005[[#This Row],[fecha]],"mmmm"),0)</f>
        <v>Abril</v>
      </c>
      <c r="AB234" s="49"/>
    </row>
    <row r="235" spans="1:28" ht="36" x14ac:dyDescent="0.3">
      <c r="A235" s="2">
        <f>IF(C_Ope_005[[#This Row],[tipo_r]]="R",COUNTIFS($C$1:$C234,"R")+1,"")</f>
        <v>234</v>
      </c>
      <c r="B235" s="19" t="str">
        <f t="shared" si="19"/>
        <v>C_Ope_005</v>
      </c>
      <c r="C235" s="3" t="s">
        <v>1330</v>
      </c>
      <c r="D235" s="14">
        <v>45755</v>
      </c>
      <c r="E235" s="5" t="s">
        <v>8535</v>
      </c>
      <c r="F235" s="5" t="s">
        <v>1336</v>
      </c>
      <c r="G235" s="6" t="s">
        <v>682</v>
      </c>
      <c r="H235" s="6" t="s">
        <v>68</v>
      </c>
      <c r="I235" s="6" t="s">
        <v>1353</v>
      </c>
      <c r="J235" s="6">
        <v>16076</v>
      </c>
      <c r="K235" s="7" t="s">
        <v>8649</v>
      </c>
      <c r="L235" s="8">
        <v>23787</v>
      </c>
      <c r="M235" s="8" t="str">
        <f t="shared" si="20"/>
        <v>PEN</v>
      </c>
      <c r="N235" s="13"/>
      <c r="O235" s="13">
        <v>20</v>
      </c>
      <c r="P235" s="3">
        <f t="shared" si="16"/>
        <v>0</v>
      </c>
      <c r="Q235" s="3">
        <f t="shared" si="17"/>
        <v>20</v>
      </c>
      <c r="R235" s="3">
        <f t="shared" si="18"/>
        <v>386.59999999999962</v>
      </c>
      <c r="S235" s="24" t="s">
        <v>1334</v>
      </c>
      <c r="T235" s="24" t="s">
        <v>1334</v>
      </c>
      <c r="U235" s="3"/>
      <c r="V235" s="25" t="s">
        <v>7761</v>
      </c>
      <c r="W235" s="25">
        <v>20259858934</v>
      </c>
      <c r="X235" s="25" t="str">
        <f>IFERROR(VLOOKUP(C_Ope_005[[#This Row],[nota_2]],Clientes_Proveedores[[Ruc / Dni]:[Razon Social]],2,0),"")</f>
        <v>COMERCIALIZACION Y SERVICIOS EL EDEN S.A.C.</v>
      </c>
      <c r="Y235" s="25"/>
      <c r="Z235" s="103"/>
      <c r="AA235" s="3" t="str">
        <f>IF(C_Ope_005[[#This Row],[fecha]]&gt;0,TEXT(C_Ope_005[[#This Row],[fecha]],"mmmm"),0)</f>
        <v>Abril</v>
      </c>
      <c r="AB235" s="49"/>
    </row>
    <row r="236" spans="1:28" ht="36" x14ac:dyDescent="0.3">
      <c r="A236" s="2">
        <f>IF(C_Ope_005[[#This Row],[tipo_r]]="R",COUNTIFS($C$1:$C235,"R")+1,"")</f>
        <v>235</v>
      </c>
      <c r="B236" s="19" t="str">
        <f t="shared" si="19"/>
        <v>C_Ope_005</v>
      </c>
      <c r="C236" s="3" t="s">
        <v>1330</v>
      </c>
      <c r="D236" s="14">
        <v>45758</v>
      </c>
      <c r="E236" s="5" t="s">
        <v>8535</v>
      </c>
      <c r="F236" s="5" t="s">
        <v>1336</v>
      </c>
      <c r="G236" s="6" t="s">
        <v>682</v>
      </c>
      <c r="H236" s="6" t="s">
        <v>68</v>
      </c>
      <c r="I236" s="6" t="s">
        <v>1353</v>
      </c>
      <c r="J236" s="6">
        <v>16097</v>
      </c>
      <c r="K236" s="7" t="s">
        <v>8650</v>
      </c>
      <c r="L236" s="8">
        <v>23836</v>
      </c>
      <c r="M236" s="8" t="str">
        <f t="shared" si="20"/>
        <v>PEN</v>
      </c>
      <c r="N236" s="13"/>
      <c r="O236" s="13">
        <v>20</v>
      </c>
      <c r="P236" s="3">
        <f t="shared" si="16"/>
        <v>0</v>
      </c>
      <c r="Q236" s="3">
        <f t="shared" si="17"/>
        <v>20</v>
      </c>
      <c r="R236" s="3">
        <f t="shared" si="18"/>
        <v>366.59999999999962</v>
      </c>
      <c r="S236" s="24" t="s">
        <v>1334</v>
      </c>
      <c r="T236" s="24" t="s">
        <v>1334</v>
      </c>
      <c r="U236" s="3"/>
      <c r="V236" s="25" t="s">
        <v>7761</v>
      </c>
      <c r="W236" s="25">
        <v>20259858934</v>
      </c>
      <c r="X236" s="25" t="str">
        <f>IFERROR(VLOOKUP(C_Ope_005[[#This Row],[nota_2]],Clientes_Proveedores[[Ruc / Dni]:[Razon Social]],2,0),"")</f>
        <v>COMERCIALIZACION Y SERVICIOS EL EDEN S.A.C.</v>
      </c>
      <c r="Y236" s="25"/>
      <c r="Z236" s="103"/>
      <c r="AA236" s="3" t="str">
        <f>IF(C_Ope_005[[#This Row],[fecha]]&gt;0,TEXT(C_Ope_005[[#This Row],[fecha]],"mmmm"),0)</f>
        <v>Abril</v>
      </c>
      <c r="AB236" s="49"/>
    </row>
    <row r="237" spans="1:28" ht="24" x14ac:dyDescent="0.3">
      <c r="A237" s="2">
        <f>IF(C_Ope_005[[#This Row],[tipo_r]]="R",COUNTIFS($C$1:$C236,"R")+1,"")</f>
        <v>236</v>
      </c>
      <c r="B237" s="19" t="str">
        <f t="shared" si="19"/>
        <v>C_Ope_005</v>
      </c>
      <c r="C237" s="3" t="s">
        <v>1330</v>
      </c>
      <c r="D237" s="14">
        <v>45756</v>
      </c>
      <c r="E237" s="5" t="s">
        <v>8535</v>
      </c>
      <c r="F237" s="5" t="s">
        <v>1336</v>
      </c>
      <c r="G237" s="6" t="s">
        <v>999</v>
      </c>
      <c r="H237" s="6" t="s">
        <v>68</v>
      </c>
      <c r="I237" s="6" t="s">
        <v>1374</v>
      </c>
      <c r="J237" s="6">
        <v>17207</v>
      </c>
      <c r="K237" s="7" t="s">
        <v>7777</v>
      </c>
      <c r="L237" s="8">
        <v>23796</v>
      </c>
      <c r="M237" s="8" t="str">
        <f t="shared" si="20"/>
        <v>PEN</v>
      </c>
      <c r="N237" s="13"/>
      <c r="O237" s="13">
        <v>25</v>
      </c>
      <c r="P237" s="3">
        <f t="shared" si="16"/>
        <v>0</v>
      </c>
      <c r="Q237" s="3">
        <f t="shared" si="17"/>
        <v>25</v>
      </c>
      <c r="R237" s="3">
        <f t="shared" si="18"/>
        <v>341.59999999999962</v>
      </c>
      <c r="S237" s="24" t="s">
        <v>1334</v>
      </c>
      <c r="T237" s="24" t="s">
        <v>1334</v>
      </c>
      <c r="U237" s="3"/>
      <c r="V237" s="25" t="s">
        <v>7756</v>
      </c>
      <c r="W237" s="25">
        <v>10705628331</v>
      </c>
      <c r="X237" s="25" t="str">
        <f>IFERROR(VLOOKUP(C_Ope_005[[#This Row],[nota_2]],Clientes_Proveedores[[Ruc / Dni]:[Razon Social]],2,0),"")</f>
        <v>LARICO APAZA NANCY ROSSMARY</v>
      </c>
      <c r="Y237" s="25"/>
      <c r="Z237" s="103"/>
      <c r="AA237" s="3" t="str">
        <f>IF(C_Ope_005[[#This Row],[fecha]]&gt;0,TEXT(C_Ope_005[[#This Row],[fecha]],"mmmm"),0)</f>
        <v>Abril</v>
      </c>
      <c r="AB237" s="49"/>
    </row>
    <row r="238" spans="1:28" ht="24" x14ac:dyDescent="0.3">
      <c r="A238" s="2">
        <f>IF(C_Ope_005[[#This Row],[tipo_r]]="R",COUNTIFS($C$1:$C237,"R")+1,"")</f>
        <v>237</v>
      </c>
      <c r="B238" s="19" t="str">
        <f t="shared" si="19"/>
        <v>C_Ope_005</v>
      </c>
      <c r="C238" s="3" t="s">
        <v>1330</v>
      </c>
      <c r="D238" s="14">
        <v>45756</v>
      </c>
      <c r="E238" s="5" t="s">
        <v>8535</v>
      </c>
      <c r="F238" s="5" t="s">
        <v>1336</v>
      </c>
      <c r="G238" s="6" t="s">
        <v>999</v>
      </c>
      <c r="H238" s="6" t="s">
        <v>68</v>
      </c>
      <c r="I238" s="6" t="s">
        <v>1374</v>
      </c>
      <c r="J238" s="6">
        <v>17217</v>
      </c>
      <c r="K238" s="7" t="s">
        <v>7777</v>
      </c>
      <c r="L238" s="8">
        <v>23797</v>
      </c>
      <c r="M238" s="8" t="str">
        <f t="shared" si="20"/>
        <v>PEN</v>
      </c>
      <c r="N238" s="13"/>
      <c r="O238" s="13">
        <v>25</v>
      </c>
      <c r="P238" s="3">
        <f t="shared" si="16"/>
        <v>0</v>
      </c>
      <c r="Q238" s="3">
        <f t="shared" si="17"/>
        <v>25</v>
      </c>
      <c r="R238" s="3">
        <f t="shared" si="18"/>
        <v>316.59999999999962</v>
      </c>
      <c r="S238" s="24" t="s">
        <v>1334</v>
      </c>
      <c r="T238" s="24" t="s">
        <v>1334</v>
      </c>
      <c r="U238" s="3"/>
      <c r="V238" s="25" t="s">
        <v>7761</v>
      </c>
      <c r="W238" s="25">
        <v>10705628331</v>
      </c>
      <c r="X238" s="25" t="str">
        <f>IFERROR(VLOOKUP(C_Ope_005[[#This Row],[nota_2]],Clientes_Proveedores[[Ruc / Dni]:[Razon Social]],2,0),"")</f>
        <v>LARICO APAZA NANCY ROSSMARY</v>
      </c>
      <c r="Y238" s="25"/>
      <c r="Z238" s="103"/>
      <c r="AA238" s="3" t="str">
        <f>IF(C_Ope_005[[#This Row],[fecha]]&gt;0,TEXT(C_Ope_005[[#This Row],[fecha]],"mmmm"),0)</f>
        <v>Abril</v>
      </c>
      <c r="AB238" s="49"/>
    </row>
    <row r="239" spans="1:28" ht="24" x14ac:dyDescent="0.3">
      <c r="A239" s="2">
        <f>IF(C_Ope_005[[#This Row],[tipo_r]]="R",COUNTIFS($C$1:$C238,"R")+1,"")</f>
        <v>238</v>
      </c>
      <c r="B239" s="19" t="str">
        <f t="shared" si="19"/>
        <v>C_Ope_005</v>
      </c>
      <c r="C239" s="3" t="s">
        <v>1330</v>
      </c>
      <c r="D239" s="14">
        <v>45757</v>
      </c>
      <c r="E239" s="5" t="s">
        <v>8535</v>
      </c>
      <c r="F239" s="5" t="s">
        <v>1336</v>
      </c>
      <c r="G239" s="6" t="s">
        <v>1065</v>
      </c>
      <c r="H239" s="6" t="s">
        <v>75</v>
      </c>
      <c r="I239" s="6">
        <v>1</v>
      </c>
      <c r="J239" s="6">
        <v>136</v>
      </c>
      <c r="K239" s="7" t="s">
        <v>8598</v>
      </c>
      <c r="L239" s="8">
        <v>23816</v>
      </c>
      <c r="M239" s="8" t="str">
        <f t="shared" si="20"/>
        <v>PEN</v>
      </c>
      <c r="N239" s="13"/>
      <c r="O239" s="13">
        <v>100</v>
      </c>
      <c r="P239" s="3">
        <f t="shared" si="16"/>
        <v>0</v>
      </c>
      <c r="Q239" s="3">
        <f t="shared" si="17"/>
        <v>100</v>
      </c>
      <c r="R239" s="3">
        <f t="shared" si="18"/>
        <v>216.59999999999962</v>
      </c>
      <c r="S239" s="24" t="s">
        <v>1334</v>
      </c>
      <c r="T239" s="24" t="s">
        <v>1334</v>
      </c>
      <c r="U239" s="3"/>
      <c r="V239" s="25" t="s">
        <v>7761</v>
      </c>
      <c r="W239" s="25">
        <v>10710506634</v>
      </c>
      <c r="X239" s="25" t="str">
        <f>IFERROR(VLOOKUP(C_Ope_005[[#This Row],[nota_2]],Clientes_Proveedores[[Ruc / Dni]:[Razon Social]],2,0),"")</f>
        <v>LAZARTE QUISPE ELVIS WALDIR</v>
      </c>
      <c r="Y239" s="25"/>
      <c r="Z239" s="103"/>
      <c r="AA239" s="3" t="str">
        <f>IF(C_Ope_005[[#This Row],[fecha]]&gt;0,TEXT(C_Ope_005[[#This Row],[fecha]],"mmmm"),0)</f>
        <v>Abril</v>
      </c>
      <c r="AB239" s="49"/>
    </row>
    <row r="240" spans="1:28" x14ac:dyDescent="0.3">
      <c r="A240" s="2">
        <f>IF(C_Ope_005[[#This Row],[tipo_r]]="R",COUNTIFS($C$1:$C239,"R")+1,"")</f>
        <v>239</v>
      </c>
      <c r="B240" s="19" t="str">
        <f t="shared" si="19"/>
        <v>C_Ope_005</v>
      </c>
      <c r="C240" s="3" t="s">
        <v>1330</v>
      </c>
      <c r="D240" s="14">
        <v>45757</v>
      </c>
      <c r="E240" s="5" t="s">
        <v>8535</v>
      </c>
      <c r="F240" s="5" t="s">
        <v>1336</v>
      </c>
      <c r="G240" s="6"/>
      <c r="H240" s="6" t="s">
        <v>126</v>
      </c>
      <c r="I240" s="6"/>
      <c r="J240" s="6"/>
      <c r="K240" s="7" t="s">
        <v>8225</v>
      </c>
      <c r="L240" s="8">
        <v>23817</v>
      </c>
      <c r="M240" s="8" t="str">
        <f t="shared" si="20"/>
        <v>PEN</v>
      </c>
      <c r="N240" s="13"/>
      <c r="O240" s="13">
        <v>24</v>
      </c>
      <c r="P240" s="3">
        <f t="shared" si="16"/>
        <v>0</v>
      </c>
      <c r="Q240" s="3">
        <f t="shared" si="17"/>
        <v>24</v>
      </c>
      <c r="R240" s="3">
        <f t="shared" si="18"/>
        <v>192.59999999999962</v>
      </c>
      <c r="S240" s="24" t="s">
        <v>1334</v>
      </c>
      <c r="T240" s="24" t="s">
        <v>1334</v>
      </c>
      <c r="U240" s="3"/>
      <c r="V240" s="25" t="s">
        <v>7761</v>
      </c>
      <c r="W240" s="25"/>
      <c r="X240" s="25" t="str">
        <f>IFERROR(VLOOKUP(C_Ope_005[[#This Row],[nota_2]],Clientes_Proveedores[[Ruc / Dni]:[Razon Social]],2,0),"")</f>
        <v/>
      </c>
      <c r="Y240" s="25"/>
      <c r="Z240" s="103"/>
      <c r="AA240" s="3" t="str">
        <f>IF(C_Ope_005[[#This Row],[fecha]]&gt;0,TEXT(C_Ope_005[[#This Row],[fecha]],"mmmm"),0)</f>
        <v>Abril</v>
      </c>
      <c r="AB240" s="49"/>
    </row>
    <row r="241" spans="1:28" x14ac:dyDescent="0.3">
      <c r="A241" s="2">
        <f>IF(C_Ope_005[[#This Row],[tipo_r]]="R",COUNTIFS($C$1:$C240,"R")+1,"")</f>
        <v>240</v>
      </c>
      <c r="B241" s="19" t="str">
        <f t="shared" si="19"/>
        <v>C_Ope_005</v>
      </c>
      <c r="C241" s="3" t="s">
        <v>1330</v>
      </c>
      <c r="D241" s="14">
        <v>45757</v>
      </c>
      <c r="E241" s="5" t="s">
        <v>8535</v>
      </c>
      <c r="F241" s="5" t="s">
        <v>1336</v>
      </c>
      <c r="G241" s="6"/>
      <c r="H241" s="6" t="s">
        <v>126</v>
      </c>
      <c r="I241" s="6"/>
      <c r="J241" s="6"/>
      <c r="K241" s="7" t="s">
        <v>8218</v>
      </c>
      <c r="L241" s="8">
        <v>23818</v>
      </c>
      <c r="M241" s="8" t="str">
        <f t="shared" si="20"/>
        <v>PEN</v>
      </c>
      <c r="N241" s="13"/>
      <c r="O241" s="13">
        <v>30</v>
      </c>
      <c r="P241" s="3">
        <f t="shared" si="16"/>
        <v>0</v>
      </c>
      <c r="Q241" s="3">
        <f t="shared" si="17"/>
        <v>30</v>
      </c>
      <c r="R241" s="3">
        <f t="shared" si="18"/>
        <v>162.59999999999962</v>
      </c>
      <c r="S241" s="24" t="s">
        <v>1334</v>
      </c>
      <c r="T241" s="24" t="s">
        <v>1334</v>
      </c>
      <c r="U241" s="3"/>
      <c r="V241" s="25" t="s">
        <v>7761</v>
      </c>
      <c r="W241" s="25"/>
      <c r="X241" s="25" t="str">
        <f>IFERROR(VLOOKUP(C_Ope_005[[#This Row],[nota_2]],Clientes_Proveedores[[Ruc / Dni]:[Razon Social]],2,0),"")</f>
        <v/>
      </c>
      <c r="Y241" s="25"/>
      <c r="Z241" s="103"/>
      <c r="AA241" s="3" t="str">
        <f>IF(C_Ope_005[[#This Row],[fecha]]&gt;0,TEXT(C_Ope_005[[#This Row],[fecha]],"mmmm"),0)</f>
        <v>Abril</v>
      </c>
      <c r="AB241" s="49"/>
    </row>
    <row r="242" spans="1:28" x14ac:dyDescent="0.3">
      <c r="A242" s="2">
        <f>IF(C_Ope_005[[#This Row],[tipo_r]]="R",COUNTIFS($C$1:$C241,"R")+1,"")</f>
        <v>241</v>
      </c>
      <c r="B242" s="19" t="str">
        <f t="shared" si="19"/>
        <v>C_Ope_005</v>
      </c>
      <c r="C242" s="3" t="s">
        <v>1330</v>
      </c>
      <c r="D242" s="14">
        <v>45757</v>
      </c>
      <c r="E242" s="5" t="s">
        <v>8535</v>
      </c>
      <c r="F242" s="5" t="s">
        <v>1336</v>
      </c>
      <c r="G242" s="6"/>
      <c r="H242" s="6" t="s">
        <v>126</v>
      </c>
      <c r="I242" s="6"/>
      <c r="J242" s="6"/>
      <c r="K242" s="7" t="s">
        <v>8231</v>
      </c>
      <c r="L242" s="8">
        <v>23819</v>
      </c>
      <c r="M242" s="8" t="str">
        <f t="shared" si="20"/>
        <v>PEN</v>
      </c>
      <c r="N242" s="13"/>
      <c r="O242" s="13">
        <v>24</v>
      </c>
      <c r="P242" s="3">
        <f t="shared" si="16"/>
        <v>0</v>
      </c>
      <c r="Q242" s="3">
        <f t="shared" si="17"/>
        <v>24</v>
      </c>
      <c r="R242" s="3">
        <f t="shared" si="18"/>
        <v>138.59999999999962</v>
      </c>
      <c r="S242" s="24" t="s">
        <v>1334</v>
      </c>
      <c r="T242" s="24" t="s">
        <v>1334</v>
      </c>
      <c r="U242" s="3"/>
      <c r="V242" s="25" t="s">
        <v>7761</v>
      </c>
      <c r="W242" s="25"/>
      <c r="X242" s="25" t="str">
        <f>IFERROR(VLOOKUP(C_Ope_005[[#This Row],[nota_2]],Clientes_Proveedores[[Ruc / Dni]:[Razon Social]],2,0),"")</f>
        <v/>
      </c>
      <c r="Y242" s="25"/>
      <c r="Z242" s="103"/>
      <c r="AA242" s="3" t="str">
        <f>IF(C_Ope_005[[#This Row],[fecha]]&gt;0,TEXT(C_Ope_005[[#This Row],[fecha]],"mmmm"),0)</f>
        <v>Abril</v>
      </c>
      <c r="AB242" s="49"/>
    </row>
    <row r="243" spans="1:28" x14ac:dyDescent="0.3">
      <c r="A243" s="2">
        <f>IF(C_Ope_005[[#This Row],[tipo_r]]="R",COUNTIFS($C$1:$C242,"R")+1,"")</f>
        <v>242</v>
      </c>
      <c r="B243" s="19" t="str">
        <f t="shared" si="19"/>
        <v>C_Ope_005</v>
      </c>
      <c r="C243" s="3" t="s">
        <v>1330</v>
      </c>
      <c r="D243" s="14">
        <v>45757</v>
      </c>
      <c r="E243" s="5" t="s">
        <v>8535</v>
      </c>
      <c r="F243" s="5" t="s">
        <v>1336</v>
      </c>
      <c r="G243" s="6"/>
      <c r="H243" s="6" t="s">
        <v>126</v>
      </c>
      <c r="I243" s="6"/>
      <c r="J243" s="6"/>
      <c r="K243" s="7" t="s">
        <v>8561</v>
      </c>
      <c r="L243" s="8">
        <v>23820</v>
      </c>
      <c r="M243" s="8" t="str">
        <f t="shared" si="20"/>
        <v>PEN</v>
      </c>
      <c r="N243" s="13"/>
      <c r="O243" s="13">
        <v>15</v>
      </c>
      <c r="P243" s="3">
        <f t="shared" si="16"/>
        <v>0</v>
      </c>
      <c r="Q243" s="3">
        <f t="shared" si="17"/>
        <v>15</v>
      </c>
      <c r="R243" s="3">
        <f t="shared" si="18"/>
        <v>123.59999999999962</v>
      </c>
      <c r="S243" s="24" t="s">
        <v>1334</v>
      </c>
      <c r="T243" s="24" t="s">
        <v>1334</v>
      </c>
      <c r="U243" s="3"/>
      <c r="V243" s="25" t="s">
        <v>7761</v>
      </c>
      <c r="W243" s="25"/>
      <c r="X243" s="25" t="str">
        <f>IFERROR(VLOOKUP(C_Ope_005[[#This Row],[nota_2]],Clientes_Proveedores[[Ruc / Dni]:[Razon Social]],2,0),"")</f>
        <v/>
      </c>
      <c r="Y243" s="25"/>
      <c r="Z243" s="103"/>
      <c r="AA243" s="3" t="str">
        <f>IF(C_Ope_005[[#This Row],[fecha]]&gt;0,TEXT(C_Ope_005[[#This Row],[fecha]],"mmmm"),0)</f>
        <v>Abril</v>
      </c>
      <c r="AB243" s="49"/>
    </row>
    <row r="244" spans="1:28" x14ac:dyDescent="0.3">
      <c r="A244" s="2">
        <f>IF(C_Ope_005[[#This Row],[tipo_r]]="R",COUNTIFS($C$1:$C243,"R")+1,"")</f>
        <v>243</v>
      </c>
      <c r="B244" s="19" t="str">
        <f t="shared" si="19"/>
        <v>C_Ope_005</v>
      </c>
      <c r="C244" s="3" t="s">
        <v>1330</v>
      </c>
      <c r="D244" s="14">
        <v>45758</v>
      </c>
      <c r="E244" s="5" t="s">
        <v>8535</v>
      </c>
      <c r="F244" s="5" t="s">
        <v>1336</v>
      </c>
      <c r="G244" s="6"/>
      <c r="H244" s="6" t="s">
        <v>126</v>
      </c>
      <c r="I244" s="6"/>
      <c r="J244" s="6"/>
      <c r="K244" s="7" t="s">
        <v>8225</v>
      </c>
      <c r="L244" s="8">
        <v>23837</v>
      </c>
      <c r="M244" s="8" t="str">
        <f t="shared" si="20"/>
        <v>PEN</v>
      </c>
      <c r="N244" s="13"/>
      <c r="O244" s="13">
        <v>24</v>
      </c>
      <c r="P244" s="3">
        <f t="shared" si="16"/>
        <v>0</v>
      </c>
      <c r="Q244" s="3">
        <f t="shared" si="17"/>
        <v>24</v>
      </c>
      <c r="R244" s="3">
        <f t="shared" si="18"/>
        <v>99.599999999999625</v>
      </c>
      <c r="S244" s="24" t="s">
        <v>1334</v>
      </c>
      <c r="T244" s="24" t="s">
        <v>1334</v>
      </c>
      <c r="U244" s="3"/>
      <c r="V244" s="25" t="s">
        <v>7761</v>
      </c>
      <c r="W244" s="25"/>
      <c r="X244" s="25" t="str">
        <f>IFERROR(VLOOKUP(C_Ope_005[[#This Row],[nota_2]],Clientes_Proveedores[[Ruc / Dni]:[Razon Social]],2,0),"")</f>
        <v/>
      </c>
      <c r="Y244" s="25"/>
      <c r="Z244" s="103"/>
      <c r="AA244" s="3" t="str">
        <f>IF(C_Ope_005[[#This Row],[fecha]]&gt;0,TEXT(C_Ope_005[[#This Row],[fecha]],"mmmm"),0)</f>
        <v>Abril</v>
      </c>
      <c r="AB244" s="49"/>
    </row>
    <row r="245" spans="1:28" ht="24" x14ac:dyDescent="0.3">
      <c r="A245" s="2">
        <f>IF(C_Ope_005[[#This Row],[tipo_r]]="R",COUNTIFS($C$1:$C244,"R")+1,"")</f>
        <v>244</v>
      </c>
      <c r="B245" s="19" t="str">
        <f t="shared" si="19"/>
        <v>C_Ope_005</v>
      </c>
      <c r="C245" s="3" t="s">
        <v>1330</v>
      </c>
      <c r="D245" s="14">
        <v>45761</v>
      </c>
      <c r="E245" s="5" t="s">
        <v>7514</v>
      </c>
      <c r="F245" s="5" t="s">
        <v>1303</v>
      </c>
      <c r="G245" s="6" t="s">
        <v>957</v>
      </c>
      <c r="H245" s="6"/>
      <c r="I245" s="6"/>
      <c r="J245" s="6"/>
      <c r="K245" s="7" t="s">
        <v>7516</v>
      </c>
      <c r="L245" s="8">
        <v>23852</v>
      </c>
      <c r="M245" s="8" t="str">
        <f t="shared" si="20"/>
        <v>PEN</v>
      </c>
      <c r="N245" s="13"/>
      <c r="O245" s="13">
        <v>100</v>
      </c>
      <c r="P245" s="3">
        <f t="shared" si="16"/>
        <v>100</v>
      </c>
      <c r="Q245" s="3">
        <f t="shared" si="17"/>
        <v>0</v>
      </c>
      <c r="R245" s="3">
        <f t="shared" si="18"/>
        <v>199.59999999999962</v>
      </c>
      <c r="S245" s="24" t="s">
        <v>1334</v>
      </c>
      <c r="T245" s="24" t="s">
        <v>1334</v>
      </c>
      <c r="U245" s="3"/>
      <c r="V245" s="25"/>
      <c r="W245" s="25"/>
      <c r="X245" s="25" t="str">
        <f>IFERROR(VLOOKUP(C_Ope_005[[#This Row],[nota_2]],Clientes_Proveedores[[Ruc / Dni]:[Razon Social]],2,0),"")</f>
        <v/>
      </c>
      <c r="Y245" s="25"/>
      <c r="Z245" s="103"/>
      <c r="AA245" s="3" t="str">
        <f>IF(C_Ope_005[[#This Row],[fecha]]&gt;0,TEXT(C_Ope_005[[#This Row],[fecha]],"mmmm"),0)</f>
        <v>Abril</v>
      </c>
      <c r="AB245" s="49"/>
    </row>
    <row r="246" spans="1:28" x14ac:dyDescent="0.3">
      <c r="A246" s="2">
        <f>IF(C_Ope_005[[#This Row],[tipo_r]]="R",COUNTIFS($C$1:$C245,"R")+1,"")</f>
        <v>245</v>
      </c>
      <c r="B246" s="19" t="str">
        <f t="shared" si="19"/>
        <v>C_Ope_005</v>
      </c>
      <c r="C246" s="3" t="s">
        <v>1330</v>
      </c>
      <c r="D246" s="14">
        <v>45761</v>
      </c>
      <c r="E246" s="5" t="s">
        <v>8535</v>
      </c>
      <c r="F246" s="5" t="s">
        <v>1336</v>
      </c>
      <c r="G246" s="6" t="s">
        <v>978</v>
      </c>
      <c r="H246" s="6" t="s">
        <v>68</v>
      </c>
      <c r="I246" s="6" t="s">
        <v>6204</v>
      </c>
      <c r="J246" s="6">
        <v>1705601</v>
      </c>
      <c r="K246" s="7" t="s">
        <v>8651</v>
      </c>
      <c r="L246" s="8">
        <v>23853</v>
      </c>
      <c r="M246" s="8" t="str">
        <f t="shared" si="20"/>
        <v>PEN</v>
      </c>
      <c r="N246" s="13"/>
      <c r="O246" s="13">
        <v>8</v>
      </c>
      <c r="P246" s="3">
        <f t="shared" si="16"/>
        <v>0</v>
      </c>
      <c r="Q246" s="3">
        <f t="shared" si="17"/>
        <v>8</v>
      </c>
      <c r="R246" s="3">
        <f t="shared" si="18"/>
        <v>191.59999999999962</v>
      </c>
      <c r="S246" s="24" t="s">
        <v>1334</v>
      </c>
      <c r="T246" s="24" t="s">
        <v>1334</v>
      </c>
      <c r="U246" s="3"/>
      <c r="V246" s="25" t="s">
        <v>7761</v>
      </c>
      <c r="W246" s="25">
        <v>20517252558</v>
      </c>
      <c r="X246" s="25" t="str">
        <f>IFERROR(VLOOKUP(C_Ope_005[[#This Row],[nota_2]],Clientes_Proveedores[[Ruc / Dni]:[Razon Social]],2,0),"")</f>
        <v>COVISUR S.A.</v>
      </c>
      <c r="Y246" s="25"/>
      <c r="Z246" s="103"/>
      <c r="AA246" s="3" t="str">
        <f>IF(C_Ope_005[[#This Row],[fecha]]&gt;0,TEXT(C_Ope_005[[#This Row],[fecha]],"mmmm"),0)</f>
        <v>Abril</v>
      </c>
      <c r="AB246" s="49"/>
    </row>
    <row r="247" spans="1:28" x14ac:dyDescent="0.3">
      <c r="A247" s="2">
        <f>IF(C_Ope_005[[#This Row],[tipo_r]]="R",COUNTIFS($C$1:$C246,"R")+1,"")</f>
        <v>246</v>
      </c>
      <c r="B247" s="19" t="str">
        <f t="shared" si="19"/>
        <v>C_Ope_005</v>
      </c>
      <c r="C247" s="3" t="s">
        <v>1330</v>
      </c>
      <c r="D247" s="14">
        <v>45761</v>
      </c>
      <c r="E247" s="5" t="s">
        <v>8535</v>
      </c>
      <c r="F247" s="5" t="s">
        <v>1336</v>
      </c>
      <c r="G247" s="6" t="s">
        <v>978</v>
      </c>
      <c r="H247" s="6" t="s">
        <v>68</v>
      </c>
      <c r="I247" s="6" t="s">
        <v>6203</v>
      </c>
      <c r="J247" s="6">
        <v>2021063</v>
      </c>
      <c r="K247" s="7" t="s">
        <v>8651</v>
      </c>
      <c r="L247" s="8">
        <v>23854</v>
      </c>
      <c r="M247" s="8" t="str">
        <f t="shared" si="20"/>
        <v>PEN</v>
      </c>
      <c r="N247" s="13"/>
      <c r="O247" s="13">
        <v>8</v>
      </c>
      <c r="P247" s="3">
        <f t="shared" si="16"/>
        <v>0</v>
      </c>
      <c r="Q247" s="3">
        <f t="shared" si="17"/>
        <v>8</v>
      </c>
      <c r="R247" s="3">
        <f t="shared" si="18"/>
        <v>183.59999999999962</v>
      </c>
      <c r="S247" s="24" t="s">
        <v>1334</v>
      </c>
      <c r="T247" s="24" t="s">
        <v>1334</v>
      </c>
      <c r="U247" s="3"/>
      <c r="V247" s="25" t="s">
        <v>7761</v>
      </c>
      <c r="W247" s="25">
        <v>20517252558</v>
      </c>
      <c r="X247" s="25" t="str">
        <f>IFERROR(VLOOKUP(C_Ope_005[[#This Row],[nota_2]],Clientes_Proveedores[[Ruc / Dni]:[Razon Social]],2,0),"")</f>
        <v>COVISUR S.A.</v>
      </c>
      <c r="Y247" s="25"/>
      <c r="Z247" s="103"/>
      <c r="AA247" s="3" t="str">
        <f>IF(C_Ope_005[[#This Row],[fecha]]&gt;0,TEXT(C_Ope_005[[#This Row],[fecha]],"mmmm"),0)</f>
        <v>Abril</v>
      </c>
      <c r="AB247" s="49"/>
    </row>
    <row r="248" spans="1:28" x14ac:dyDescent="0.3">
      <c r="A248" s="2">
        <f>IF(C_Ope_005[[#This Row],[tipo_r]]="R",COUNTIFS($C$1:$C247,"R")+1,"")</f>
        <v>247</v>
      </c>
      <c r="B248" s="19" t="str">
        <f t="shared" si="19"/>
        <v>C_Ope_005</v>
      </c>
      <c r="C248" s="3" t="s">
        <v>1330</v>
      </c>
      <c r="D248" s="14">
        <v>45762</v>
      </c>
      <c r="E248" s="5" t="s">
        <v>8535</v>
      </c>
      <c r="F248" s="5" t="s">
        <v>1336</v>
      </c>
      <c r="G248" s="6" t="s">
        <v>978</v>
      </c>
      <c r="H248" s="6" t="s">
        <v>68</v>
      </c>
      <c r="I248" s="6" t="s">
        <v>6203</v>
      </c>
      <c r="J248" s="6">
        <v>2021699</v>
      </c>
      <c r="K248" s="7" t="s">
        <v>8092</v>
      </c>
      <c r="L248" s="8">
        <v>23877</v>
      </c>
      <c r="M248" s="8" t="str">
        <f t="shared" si="20"/>
        <v>PEN</v>
      </c>
      <c r="N248" s="13"/>
      <c r="O248" s="13">
        <v>8</v>
      </c>
      <c r="P248" s="3">
        <f t="shared" si="16"/>
        <v>0</v>
      </c>
      <c r="Q248" s="3">
        <f t="shared" si="17"/>
        <v>8</v>
      </c>
      <c r="R248" s="3">
        <f t="shared" si="18"/>
        <v>175.59999999999962</v>
      </c>
      <c r="S248" s="24" t="s">
        <v>1334</v>
      </c>
      <c r="T248" s="24" t="s">
        <v>1334</v>
      </c>
      <c r="U248" s="3"/>
      <c r="V248" s="25" t="s">
        <v>7842</v>
      </c>
      <c r="W248" s="25">
        <v>20517252558</v>
      </c>
      <c r="X248" s="25" t="str">
        <f>IFERROR(VLOOKUP(C_Ope_005[[#This Row],[nota_2]],Clientes_Proveedores[[Ruc / Dni]:[Razon Social]],2,0),"")</f>
        <v>COVISUR S.A.</v>
      </c>
      <c r="Y248" s="25"/>
      <c r="Z248" s="103"/>
      <c r="AA248" s="3" t="str">
        <f>IF(C_Ope_005[[#This Row],[fecha]]&gt;0,TEXT(C_Ope_005[[#This Row],[fecha]],"mmmm"),0)</f>
        <v>Abril</v>
      </c>
      <c r="AB248" s="49"/>
    </row>
    <row r="249" spans="1:28" x14ac:dyDescent="0.3">
      <c r="A249" s="2">
        <f>IF(C_Ope_005[[#This Row],[tipo_r]]="R",COUNTIFS($C$1:$C248,"R")+1,"")</f>
        <v>248</v>
      </c>
      <c r="B249" s="19" t="str">
        <f t="shared" si="19"/>
        <v>C_Ope_005</v>
      </c>
      <c r="C249" s="3" t="s">
        <v>1330</v>
      </c>
      <c r="D249" s="14">
        <v>45762</v>
      </c>
      <c r="E249" s="5" t="s">
        <v>8535</v>
      </c>
      <c r="F249" s="5" t="s">
        <v>1336</v>
      </c>
      <c r="G249" s="6" t="s">
        <v>978</v>
      </c>
      <c r="H249" s="6" t="s">
        <v>68</v>
      </c>
      <c r="I249" s="6" t="s">
        <v>6204</v>
      </c>
      <c r="J249" s="6">
        <v>1706663</v>
      </c>
      <c r="K249" s="7" t="s">
        <v>8092</v>
      </c>
      <c r="L249" s="8">
        <v>23878</v>
      </c>
      <c r="M249" s="8" t="str">
        <f t="shared" si="20"/>
        <v>PEN</v>
      </c>
      <c r="N249" s="13"/>
      <c r="O249" s="13">
        <v>8</v>
      </c>
      <c r="P249" s="3">
        <f t="shared" si="16"/>
        <v>0</v>
      </c>
      <c r="Q249" s="3">
        <f t="shared" si="17"/>
        <v>8</v>
      </c>
      <c r="R249" s="3">
        <f t="shared" si="18"/>
        <v>167.59999999999962</v>
      </c>
      <c r="S249" s="24" t="s">
        <v>1334</v>
      </c>
      <c r="T249" s="24" t="s">
        <v>1334</v>
      </c>
      <c r="U249" s="3"/>
      <c r="V249" s="25" t="s">
        <v>7842</v>
      </c>
      <c r="W249" s="25">
        <v>20517252558</v>
      </c>
      <c r="X249" s="25" t="str">
        <f>IFERROR(VLOOKUP(C_Ope_005[[#This Row],[nota_2]],Clientes_Proveedores[[Ruc / Dni]:[Razon Social]],2,0),"")</f>
        <v>COVISUR S.A.</v>
      </c>
      <c r="Y249" s="25"/>
      <c r="Z249" s="103"/>
      <c r="AA249" s="3" t="str">
        <f>IF(C_Ope_005[[#This Row],[fecha]]&gt;0,TEXT(C_Ope_005[[#This Row],[fecha]],"mmmm"),0)</f>
        <v>Abril</v>
      </c>
      <c r="AB249" s="49"/>
    </row>
    <row r="250" spans="1:28" x14ac:dyDescent="0.3">
      <c r="A250" s="2">
        <f>IF(C_Ope_005[[#This Row],[tipo_r]]="R",COUNTIFS($C$1:$C249,"R")+1,"")</f>
        <v>249</v>
      </c>
      <c r="B250" s="19" t="str">
        <f t="shared" si="19"/>
        <v>C_Ope_005</v>
      </c>
      <c r="C250" s="3" t="s">
        <v>1330</v>
      </c>
      <c r="D250" s="14">
        <v>45762</v>
      </c>
      <c r="E250" s="5" t="s">
        <v>8535</v>
      </c>
      <c r="F250" s="5" t="s">
        <v>1336</v>
      </c>
      <c r="G250" s="6" t="s">
        <v>978</v>
      </c>
      <c r="H250" s="6" t="s">
        <v>68</v>
      </c>
      <c r="I250" s="6" t="s">
        <v>6203</v>
      </c>
      <c r="J250" s="6">
        <v>2021994</v>
      </c>
      <c r="K250" s="7" t="s">
        <v>8092</v>
      </c>
      <c r="L250" s="8">
        <v>23879</v>
      </c>
      <c r="M250" s="8" t="str">
        <f t="shared" si="20"/>
        <v>PEN</v>
      </c>
      <c r="N250" s="13"/>
      <c r="O250" s="13">
        <v>8</v>
      </c>
      <c r="P250" s="3">
        <f t="shared" si="16"/>
        <v>0</v>
      </c>
      <c r="Q250" s="3">
        <f t="shared" si="17"/>
        <v>8</v>
      </c>
      <c r="R250" s="3">
        <f t="shared" si="18"/>
        <v>159.59999999999962</v>
      </c>
      <c r="S250" s="24" t="s">
        <v>1334</v>
      </c>
      <c r="T250" s="24" t="s">
        <v>1334</v>
      </c>
      <c r="U250" s="3"/>
      <c r="V250" s="25" t="s">
        <v>7842</v>
      </c>
      <c r="W250" s="25">
        <v>20517252558</v>
      </c>
      <c r="X250" s="25" t="str">
        <f>IFERROR(VLOOKUP(C_Ope_005[[#This Row],[nota_2]],Clientes_Proveedores[[Ruc / Dni]:[Razon Social]],2,0),"")</f>
        <v>COVISUR S.A.</v>
      </c>
      <c r="Y250" s="25"/>
      <c r="Z250" s="103"/>
      <c r="AA250" s="3" t="str">
        <f>IF(C_Ope_005[[#This Row],[fecha]]&gt;0,TEXT(C_Ope_005[[#This Row],[fecha]],"mmmm"),0)</f>
        <v>Abril</v>
      </c>
      <c r="AB250" s="49"/>
    </row>
    <row r="251" spans="1:28" ht="24" x14ac:dyDescent="0.3">
      <c r="A251" s="2">
        <f>IF(C_Ope_005[[#This Row],[tipo_r]]="R",COUNTIFS($C$1:$C250,"R")+1,"")</f>
        <v>250</v>
      </c>
      <c r="B251" s="19" t="str">
        <f t="shared" si="19"/>
        <v>C_Ope_005</v>
      </c>
      <c r="C251" s="3" t="s">
        <v>1330</v>
      </c>
      <c r="D251" s="14">
        <v>45763</v>
      </c>
      <c r="E251" s="5" t="s">
        <v>8535</v>
      </c>
      <c r="F251" s="5" t="s">
        <v>1336</v>
      </c>
      <c r="G251" s="6" t="s">
        <v>978</v>
      </c>
      <c r="H251" s="6" t="s">
        <v>68</v>
      </c>
      <c r="I251" s="6" t="s">
        <v>5688</v>
      </c>
      <c r="J251" s="6">
        <v>2301467</v>
      </c>
      <c r="K251" s="7" t="s">
        <v>7820</v>
      </c>
      <c r="L251" s="8">
        <v>23907</v>
      </c>
      <c r="M251" s="8" t="str">
        <f t="shared" si="20"/>
        <v>PEN</v>
      </c>
      <c r="N251" s="13"/>
      <c r="O251" s="13">
        <v>8</v>
      </c>
      <c r="P251" s="3">
        <f t="shared" si="16"/>
        <v>0</v>
      </c>
      <c r="Q251" s="3">
        <f t="shared" si="17"/>
        <v>8</v>
      </c>
      <c r="R251" s="3">
        <f t="shared" si="18"/>
        <v>151.59999999999962</v>
      </c>
      <c r="S251" s="24" t="s">
        <v>1334</v>
      </c>
      <c r="T251" s="24" t="s">
        <v>1334</v>
      </c>
      <c r="U251" s="3"/>
      <c r="V251" s="25" t="s">
        <v>7761</v>
      </c>
      <c r="W251" s="25">
        <v>20517252558</v>
      </c>
      <c r="X251" s="25" t="str">
        <f>IFERROR(VLOOKUP(C_Ope_005[[#This Row],[nota_2]],Clientes_Proveedores[[Ruc / Dni]:[Razon Social]],2,0),"")</f>
        <v>COVISUR S.A.</v>
      </c>
      <c r="Y251" s="25"/>
      <c r="Z251" s="103"/>
      <c r="AA251" s="3" t="str">
        <f>IF(C_Ope_005[[#This Row],[fecha]]&gt;0,TEXT(C_Ope_005[[#This Row],[fecha]],"mmmm"),0)</f>
        <v>Abril</v>
      </c>
      <c r="AB251" s="49"/>
    </row>
    <row r="252" spans="1:28" ht="24" x14ac:dyDescent="0.3">
      <c r="A252" s="2">
        <f>IF(C_Ope_005[[#This Row],[tipo_r]]="R",COUNTIFS($C$1:$C251,"R")+1,"")</f>
        <v>251</v>
      </c>
      <c r="B252" s="19" t="str">
        <f t="shared" si="19"/>
        <v>C_Ope_005</v>
      </c>
      <c r="C252" s="3" t="s">
        <v>1330</v>
      </c>
      <c r="D252" s="14">
        <v>45763</v>
      </c>
      <c r="E252" s="5" t="s">
        <v>8535</v>
      </c>
      <c r="F252" s="5" t="s">
        <v>1336</v>
      </c>
      <c r="G252" s="6" t="s">
        <v>978</v>
      </c>
      <c r="H252" s="6" t="s">
        <v>68</v>
      </c>
      <c r="I252" s="6" t="s">
        <v>5845</v>
      </c>
      <c r="J252" s="6">
        <v>1727238</v>
      </c>
      <c r="K252" s="7" t="s">
        <v>7820</v>
      </c>
      <c r="L252" s="8">
        <v>23908</v>
      </c>
      <c r="M252" s="8" t="str">
        <f t="shared" si="20"/>
        <v>PEN</v>
      </c>
      <c r="N252" s="13"/>
      <c r="O252" s="13">
        <v>8</v>
      </c>
      <c r="P252" s="3">
        <f t="shared" si="16"/>
        <v>0</v>
      </c>
      <c r="Q252" s="3">
        <f t="shared" si="17"/>
        <v>8</v>
      </c>
      <c r="R252" s="3">
        <f t="shared" si="18"/>
        <v>143.59999999999962</v>
      </c>
      <c r="S252" s="24" t="s">
        <v>1334</v>
      </c>
      <c r="T252" s="24" t="s">
        <v>1334</v>
      </c>
      <c r="U252" s="3"/>
      <c r="V252" s="25" t="s">
        <v>7761</v>
      </c>
      <c r="W252" s="25">
        <v>20517252558</v>
      </c>
      <c r="X252" s="25" t="str">
        <f>IFERROR(VLOOKUP(C_Ope_005[[#This Row],[nota_2]],Clientes_Proveedores[[Ruc / Dni]:[Razon Social]],2,0),"")</f>
        <v>COVISUR S.A.</v>
      </c>
      <c r="Y252" s="25"/>
      <c r="Z252" s="103"/>
      <c r="AA252" s="3" t="str">
        <f>IF(C_Ope_005[[#This Row],[fecha]]&gt;0,TEXT(C_Ope_005[[#This Row],[fecha]],"mmmm"),0)</f>
        <v>Abril</v>
      </c>
      <c r="AB252" s="49"/>
    </row>
    <row r="253" spans="1:28" ht="36" x14ac:dyDescent="0.3">
      <c r="A253" s="2">
        <f>IF(C_Ope_005[[#This Row],[tipo_r]]="R",COUNTIFS($C$1:$C252,"R")+1,"")</f>
        <v>252</v>
      </c>
      <c r="B253" s="19" t="str">
        <f t="shared" si="19"/>
        <v>C_Ope_005</v>
      </c>
      <c r="C253" s="3" t="s">
        <v>1330</v>
      </c>
      <c r="D253" s="14">
        <v>45761</v>
      </c>
      <c r="E253" s="5" t="s">
        <v>8535</v>
      </c>
      <c r="F253" s="5" t="s">
        <v>1336</v>
      </c>
      <c r="G253" s="6" t="s">
        <v>682</v>
      </c>
      <c r="H253" s="6" t="s">
        <v>68</v>
      </c>
      <c r="I253" s="6" t="s">
        <v>1343</v>
      </c>
      <c r="J253" s="6">
        <v>34348</v>
      </c>
      <c r="K253" s="7" t="s">
        <v>8624</v>
      </c>
      <c r="L253" s="8">
        <v>23855</v>
      </c>
      <c r="M253" s="8" t="str">
        <f t="shared" si="20"/>
        <v>PEN</v>
      </c>
      <c r="N253" s="13"/>
      <c r="O253" s="13">
        <v>10</v>
      </c>
      <c r="P253" s="3">
        <f t="shared" si="16"/>
        <v>0</v>
      </c>
      <c r="Q253" s="3">
        <f t="shared" si="17"/>
        <v>10</v>
      </c>
      <c r="R253" s="3">
        <f t="shared" si="18"/>
        <v>133.59999999999962</v>
      </c>
      <c r="S253" s="24" t="s">
        <v>1334</v>
      </c>
      <c r="T253" s="24" t="s">
        <v>1334</v>
      </c>
      <c r="U253" s="3"/>
      <c r="V253" s="25" t="s">
        <v>7761</v>
      </c>
      <c r="W253" s="25">
        <v>20259858934</v>
      </c>
      <c r="X253" s="25" t="str">
        <f>IFERROR(VLOOKUP(C_Ope_005[[#This Row],[nota_2]],Clientes_Proveedores[[Ruc / Dni]:[Razon Social]],2,0),"")</f>
        <v>COMERCIALIZACION Y SERVICIOS EL EDEN S.A.C.</v>
      </c>
      <c r="Y253" s="25"/>
      <c r="Z253" s="103"/>
      <c r="AA253" s="3" t="str">
        <f>IF(C_Ope_005[[#This Row],[fecha]]&gt;0,TEXT(C_Ope_005[[#This Row],[fecha]],"mmmm"),0)</f>
        <v>Abril</v>
      </c>
      <c r="AB253" s="49"/>
    </row>
    <row r="254" spans="1:28" ht="36" x14ac:dyDescent="0.3">
      <c r="A254" s="2">
        <f>IF(C_Ope_005[[#This Row],[tipo_r]]="R",COUNTIFS($C$1:$C253,"R")+1,"")</f>
        <v>253</v>
      </c>
      <c r="B254" s="19" t="str">
        <f t="shared" si="19"/>
        <v>C_Ope_005</v>
      </c>
      <c r="C254" s="3" t="s">
        <v>1330</v>
      </c>
      <c r="D254" s="14">
        <v>45763</v>
      </c>
      <c r="E254" s="5" t="s">
        <v>8535</v>
      </c>
      <c r="F254" s="5" t="s">
        <v>1336</v>
      </c>
      <c r="G254" s="6" t="s">
        <v>682</v>
      </c>
      <c r="H254" s="6" t="s">
        <v>68</v>
      </c>
      <c r="I254" s="6" t="s">
        <v>1343</v>
      </c>
      <c r="J254" s="6">
        <v>34373</v>
      </c>
      <c r="K254" s="7" t="s">
        <v>8624</v>
      </c>
      <c r="L254" s="8">
        <v>23909</v>
      </c>
      <c r="M254" s="8" t="str">
        <f t="shared" si="20"/>
        <v>PEN</v>
      </c>
      <c r="N254" s="13"/>
      <c r="O254" s="13">
        <v>10</v>
      </c>
      <c r="P254" s="3">
        <f t="shared" si="16"/>
        <v>0</v>
      </c>
      <c r="Q254" s="3">
        <f t="shared" si="17"/>
        <v>10</v>
      </c>
      <c r="R254" s="3">
        <f t="shared" si="18"/>
        <v>123.59999999999962</v>
      </c>
      <c r="S254" s="24" t="s">
        <v>1334</v>
      </c>
      <c r="T254" s="24" t="s">
        <v>1334</v>
      </c>
      <c r="U254" s="3"/>
      <c r="V254" s="25" t="s">
        <v>7761</v>
      </c>
      <c r="W254" s="25">
        <v>20259858934</v>
      </c>
      <c r="X254" s="25" t="str">
        <f>IFERROR(VLOOKUP(C_Ope_005[[#This Row],[nota_2]],Clientes_Proveedores[[Ruc / Dni]:[Razon Social]],2,0),"")</f>
        <v>COMERCIALIZACION Y SERVICIOS EL EDEN S.A.C.</v>
      </c>
      <c r="Y254" s="25"/>
      <c r="Z254" s="103"/>
      <c r="AA254" s="3" t="str">
        <f>IF(C_Ope_005[[#This Row],[fecha]]&gt;0,TEXT(C_Ope_005[[#This Row],[fecha]],"mmmm"),0)</f>
        <v>Abril</v>
      </c>
      <c r="AB254" s="49"/>
    </row>
    <row r="255" spans="1:28" ht="24" x14ac:dyDescent="0.3">
      <c r="A255" s="2">
        <f>IF(C_Ope_005[[#This Row],[tipo_r]]="R",COUNTIFS($C$1:$C254,"R")+1,"")</f>
        <v>254</v>
      </c>
      <c r="B255" s="19" t="str">
        <f t="shared" si="19"/>
        <v>C_Ope_005</v>
      </c>
      <c r="C255" s="3" t="s">
        <v>1330</v>
      </c>
      <c r="D255" s="14">
        <v>45769</v>
      </c>
      <c r="E255" s="5" t="s">
        <v>7514</v>
      </c>
      <c r="F255" s="5" t="s">
        <v>1303</v>
      </c>
      <c r="G255" s="6" t="s">
        <v>957</v>
      </c>
      <c r="H255" s="6"/>
      <c r="I255" s="6"/>
      <c r="J255" s="6"/>
      <c r="K255" s="7" t="s">
        <v>7516</v>
      </c>
      <c r="L255" s="8">
        <v>23948</v>
      </c>
      <c r="M255" s="8" t="str">
        <f t="shared" si="20"/>
        <v>PEN</v>
      </c>
      <c r="N255" s="13"/>
      <c r="O255" s="13">
        <v>80</v>
      </c>
      <c r="P255" s="3">
        <f t="shared" si="16"/>
        <v>80</v>
      </c>
      <c r="Q255" s="3">
        <f t="shared" si="17"/>
        <v>0</v>
      </c>
      <c r="R255" s="3">
        <f t="shared" si="18"/>
        <v>203.59999999999962</v>
      </c>
      <c r="S255" s="24" t="s">
        <v>1334</v>
      </c>
      <c r="T255" s="24" t="s">
        <v>1334</v>
      </c>
      <c r="U255" s="3"/>
      <c r="V255" s="25"/>
      <c r="W255" s="25"/>
      <c r="X255" s="25" t="str">
        <f>IFERROR(VLOOKUP(C_Ope_005[[#This Row],[nota_2]],Clientes_Proveedores[[Ruc / Dni]:[Razon Social]],2,0),"")</f>
        <v/>
      </c>
      <c r="Y255" s="25"/>
      <c r="Z255" s="103"/>
      <c r="AA255" s="3" t="str">
        <f>IF(C_Ope_005[[#This Row],[fecha]]&gt;0,TEXT(C_Ope_005[[#This Row],[fecha]],"mmmm"),0)</f>
        <v>Abril</v>
      </c>
      <c r="AB255" s="49"/>
    </row>
    <row r="256" spans="1:28" ht="24" x14ac:dyDescent="0.3">
      <c r="A256" s="2">
        <f>IF(C_Ope_005[[#This Row],[tipo_r]]="R",COUNTIFS($C$1:$C255,"R")+1,"")</f>
        <v>255</v>
      </c>
      <c r="B256" s="19" t="str">
        <f t="shared" si="19"/>
        <v>C_Ope_005</v>
      </c>
      <c r="C256" s="3" t="s">
        <v>1330</v>
      </c>
      <c r="D256" s="14">
        <v>45772</v>
      </c>
      <c r="E256" s="5" t="s">
        <v>7514</v>
      </c>
      <c r="F256" s="5" t="s">
        <v>1303</v>
      </c>
      <c r="G256" s="6" t="s">
        <v>957</v>
      </c>
      <c r="H256" s="6"/>
      <c r="I256" s="6"/>
      <c r="J256" s="6"/>
      <c r="K256" s="7" t="s">
        <v>8549</v>
      </c>
      <c r="L256" s="8">
        <v>23995</v>
      </c>
      <c r="M256" s="8" t="str">
        <f t="shared" si="20"/>
        <v>PEN</v>
      </c>
      <c r="N256" s="13"/>
      <c r="O256" s="13">
        <v>600</v>
      </c>
      <c r="P256" s="3">
        <f t="shared" si="16"/>
        <v>600</v>
      </c>
      <c r="Q256" s="3">
        <f t="shared" si="17"/>
        <v>0</v>
      </c>
      <c r="R256" s="3">
        <f t="shared" si="18"/>
        <v>803.59999999999968</v>
      </c>
      <c r="S256" s="24" t="s">
        <v>1334</v>
      </c>
      <c r="T256" s="24" t="s">
        <v>1334</v>
      </c>
      <c r="U256" s="3"/>
      <c r="V256" s="25"/>
      <c r="W256" s="25"/>
      <c r="X256" s="25" t="str">
        <f>IFERROR(VLOOKUP(C_Ope_005[[#This Row],[nota_2]],Clientes_Proveedores[[Ruc / Dni]:[Razon Social]],2,0),"")</f>
        <v/>
      </c>
      <c r="Y256" s="25"/>
      <c r="Z256" s="103"/>
      <c r="AA256" s="3" t="str">
        <f>IF(C_Ope_005[[#This Row],[fecha]]&gt;0,TEXT(C_Ope_005[[#This Row],[fecha]],"mmmm"),0)</f>
        <v>Abril</v>
      </c>
      <c r="AB256" s="49"/>
    </row>
    <row r="257" spans="1:28" ht="24" x14ac:dyDescent="0.3">
      <c r="A257" s="2">
        <f>IF(C_Ope_005[[#This Row],[tipo_r]]="R",COUNTIFS($C$1:$C256,"R")+1,"")</f>
        <v>256</v>
      </c>
      <c r="B257" s="19" t="str">
        <f t="shared" si="19"/>
        <v>C_Ope_005</v>
      </c>
      <c r="C257" s="3" t="s">
        <v>1330</v>
      </c>
      <c r="D257" s="14">
        <v>45768</v>
      </c>
      <c r="E257" s="5" t="s">
        <v>8535</v>
      </c>
      <c r="F257" s="5" t="s">
        <v>1336</v>
      </c>
      <c r="G257" s="6" t="s">
        <v>978</v>
      </c>
      <c r="H257" s="6" t="s">
        <v>68</v>
      </c>
      <c r="I257" s="6" t="s">
        <v>5845</v>
      </c>
      <c r="J257" s="6">
        <v>1730831</v>
      </c>
      <c r="K257" s="7" t="s">
        <v>8652</v>
      </c>
      <c r="L257" s="8">
        <v>23942</v>
      </c>
      <c r="M257" s="8" t="str">
        <f t="shared" si="20"/>
        <v>PEN</v>
      </c>
      <c r="N257" s="13"/>
      <c r="O257" s="13">
        <v>5</v>
      </c>
      <c r="P257" s="3">
        <f t="shared" si="16"/>
        <v>0</v>
      </c>
      <c r="Q257" s="3">
        <f t="shared" si="17"/>
        <v>5</v>
      </c>
      <c r="R257" s="3">
        <f t="shared" si="18"/>
        <v>798.59999999999968</v>
      </c>
      <c r="S257" s="24" t="s">
        <v>1334</v>
      </c>
      <c r="T257" s="24" t="s">
        <v>1334</v>
      </c>
      <c r="U257" s="3"/>
      <c r="V257" s="25" t="s">
        <v>7756</v>
      </c>
      <c r="W257" s="25">
        <v>20517252558</v>
      </c>
      <c r="X257" s="25" t="str">
        <f>IFERROR(VLOOKUP(C_Ope_005[[#This Row],[nota_2]],Clientes_Proveedores[[Ruc / Dni]:[Razon Social]],2,0),"")</f>
        <v>COVISUR S.A.</v>
      </c>
      <c r="Y257" s="25"/>
      <c r="Z257" s="103"/>
      <c r="AA257" s="3" t="str">
        <f>IF(C_Ope_005[[#This Row],[fecha]]&gt;0,TEXT(C_Ope_005[[#This Row],[fecha]],"mmmm"),0)</f>
        <v>Abril</v>
      </c>
      <c r="AB257" s="49"/>
    </row>
    <row r="258" spans="1:28" ht="24" x14ac:dyDescent="0.3">
      <c r="A258" s="2">
        <f>IF(C_Ope_005[[#This Row],[tipo_r]]="R",COUNTIFS($C$1:$C257,"R")+1,"")</f>
        <v>257</v>
      </c>
      <c r="B258" s="19" t="str">
        <f t="shared" si="19"/>
        <v>C_Ope_005</v>
      </c>
      <c r="C258" s="3" t="s">
        <v>1330</v>
      </c>
      <c r="D258" s="14">
        <v>45768</v>
      </c>
      <c r="E258" s="5" t="s">
        <v>8535</v>
      </c>
      <c r="F258" s="5" t="s">
        <v>1336</v>
      </c>
      <c r="G258" s="6" t="s">
        <v>978</v>
      </c>
      <c r="H258" s="6" t="s">
        <v>68</v>
      </c>
      <c r="I258" s="6" t="s">
        <v>6204</v>
      </c>
      <c r="J258" s="6">
        <v>1710828</v>
      </c>
      <c r="K258" s="7" t="s">
        <v>8652</v>
      </c>
      <c r="L258" s="8">
        <v>23943</v>
      </c>
      <c r="M258" s="8" t="str">
        <f t="shared" si="20"/>
        <v>PEN</v>
      </c>
      <c r="N258" s="13"/>
      <c r="O258" s="13">
        <v>5</v>
      </c>
      <c r="P258" s="3">
        <f t="shared" ref="P258:P321" si="21">+IF(OR($F258="SALDO",$F258="INGRESO"),$O258,0)</f>
        <v>0</v>
      </c>
      <c r="Q258" s="3">
        <f t="shared" ref="Q258:Q321" si="22">+IF($F258="EGRESO",$O258,0)</f>
        <v>5</v>
      </c>
      <c r="R258" s="3">
        <f t="shared" ref="R258:R321" si="23">IFERROR(IF(F258="SALDO",P258,R257+P258-Q258),0)</f>
        <v>793.59999999999968</v>
      </c>
      <c r="S258" s="24" t="s">
        <v>1334</v>
      </c>
      <c r="T258" s="24" t="s">
        <v>1334</v>
      </c>
      <c r="U258" s="3"/>
      <c r="V258" s="25" t="s">
        <v>7756</v>
      </c>
      <c r="W258" s="25">
        <v>20517252558</v>
      </c>
      <c r="X258" s="25" t="str">
        <f>IFERROR(VLOOKUP(C_Ope_005[[#This Row],[nota_2]],Clientes_Proveedores[[Ruc / Dni]:[Razon Social]],2,0),"")</f>
        <v>COVISUR S.A.</v>
      </c>
      <c r="Y258" s="25"/>
      <c r="Z258" s="103"/>
      <c r="AA258" s="3" t="str">
        <f>IF(C_Ope_005[[#This Row],[fecha]]&gt;0,TEXT(C_Ope_005[[#This Row],[fecha]],"mmmm"),0)</f>
        <v>Abril</v>
      </c>
      <c r="AB258" s="49"/>
    </row>
    <row r="259" spans="1:28" ht="36" x14ac:dyDescent="0.3">
      <c r="A259" s="2">
        <f>IF(C_Ope_005[[#This Row],[tipo_r]]="R",COUNTIFS($C$1:$C258,"R")+1,"")</f>
        <v>258</v>
      </c>
      <c r="B259" s="19" t="str">
        <f t="shared" ref="B259:B322" si="24">"C_Ope_005"</f>
        <v>C_Ope_005</v>
      </c>
      <c r="C259" s="3" t="s">
        <v>1330</v>
      </c>
      <c r="D259" s="14">
        <v>45770</v>
      </c>
      <c r="E259" s="5" t="s">
        <v>8535</v>
      </c>
      <c r="F259" s="5" t="s">
        <v>1336</v>
      </c>
      <c r="G259" s="6" t="s">
        <v>978</v>
      </c>
      <c r="H259" s="6" t="s">
        <v>68</v>
      </c>
      <c r="I259" s="6" t="s">
        <v>5845</v>
      </c>
      <c r="J259" s="6">
        <v>1732581</v>
      </c>
      <c r="K259" s="7" t="s">
        <v>8653</v>
      </c>
      <c r="L259" s="8">
        <v>23974</v>
      </c>
      <c r="M259" s="8" t="str">
        <f t="shared" ref="M259:M322" si="25">"PEN"</f>
        <v>PEN</v>
      </c>
      <c r="N259" s="13"/>
      <c r="O259" s="13">
        <v>8</v>
      </c>
      <c r="P259" s="3">
        <f t="shared" si="21"/>
        <v>0</v>
      </c>
      <c r="Q259" s="3">
        <f t="shared" si="22"/>
        <v>8</v>
      </c>
      <c r="R259" s="3">
        <f t="shared" si="23"/>
        <v>785.59999999999968</v>
      </c>
      <c r="S259" s="24" t="s">
        <v>1334</v>
      </c>
      <c r="T259" s="24" t="s">
        <v>1334</v>
      </c>
      <c r="U259" s="3"/>
      <c r="V259" s="25" t="s">
        <v>7761</v>
      </c>
      <c r="W259" s="25">
        <v>20517252558</v>
      </c>
      <c r="X259" s="25" t="str">
        <f>IFERROR(VLOOKUP(C_Ope_005[[#This Row],[nota_2]],Clientes_Proveedores[[Ruc / Dni]:[Razon Social]],2,0),"")</f>
        <v>COVISUR S.A.</v>
      </c>
      <c r="Y259" s="25"/>
      <c r="Z259" s="103"/>
      <c r="AA259" s="3" t="str">
        <f>IF(C_Ope_005[[#This Row],[fecha]]&gt;0,TEXT(C_Ope_005[[#This Row],[fecha]],"mmmm"),0)</f>
        <v>Abril</v>
      </c>
      <c r="AB259" s="49"/>
    </row>
    <row r="260" spans="1:28" ht="36" x14ac:dyDescent="0.3">
      <c r="A260" s="2">
        <f>IF(C_Ope_005[[#This Row],[tipo_r]]="R",COUNTIFS($C$1:$C259,"R")+1,"")</f>
        <v>259</v>
      </c>
      <c r="B260" s="19" t="str">
        <f t="shared" si="24"/>
        <v>C_Ope_005</v>
      </c>
      <c r="C260" s="3" t="s">
        <v>1330</v>
      </c>
      <c r="D260" s="14">
        <v>45770</v>
      </c>
      <c r="E260" s="5" t="s">
        <v>8535</v>
      </c>
      <c r="F260" s="5" t="s">
        <v>1336</v>
      </c>
      <c r="G260" s="6" t="s">
        <v>978</v>
      </c>
      <c r="H260" s="6" t="s">
        <v>68</v>
      </c>
      <c r="I260" s="6" t="s">
        <v>6204</v>
      </c>
      <c r="J260" s="6">
        <v>1712647</v>
      </c>
      <c r="K260" s="7" t="s">
        <v>8653</v>
      </c>
      <c r="L260" s="8">
        <v>23975</v>
      </c>
      <c r="M260" s="8" t="str">
        <f t="shared" si="25"/>
        <v>PEN</v>
      </c>
      <c r="N260" s="13"/>
      <c r="O260" s="13">
        <v>8</v>
      </c>
      <c r="P260" s="3">
        <f t="shared" si="21"/>
        <v>0</v>
      </c>
      <c r="Q260" s="3">
        <f t="shared" si="22"/>
        <v>8</v>
      </c>
      <c r="R260" s="3">
        <f t="shared" si="23"/>
        <v>777.59999999999968</v>
      </c>
      <c r="S260" s="24" t="s">
        <v>1334</v>
      </c>
      <c r="T260" s="24" t="s">
        <v>1334</v>
      </c>
      <c r="U260" s="3"/>
      <c r="V260" s="25" t="s">
        <v>7761</v>
      </c>
      <c r="W260" s="25">
        <v>20517252558</v>
      </c>
      <c r="X260" s="25" t="str">
        <f>IFERROR(VLOOKUP(C_Ope_005[[#This Row],[nota_2]],Clientes_Proveedores[[Ruc / Dni]:[Razon Social]],2,0),"")</f>
        <v>COVISUR S.A.</v>
      </c>
      <c r="Y260" s="25"/>
      <c r="Z260" s="103"/>
      <c r="AA260" s="3" t="str">
        <f>IF(C_Ope_005[[#This Row],[fecha]]&gt;0,TEXT(C_Ope_005[[#This Row],[fecha]],"mmmm"),0)</f>
        <v>Abril</v>
      </c>
      <c r="AB260" s="49"/>
    </row>
    <row r="261" spans="1:28" ht="36" x14ac:dyDescent="0.3">
      <c r="A261" s="2">
        <f>IF(C_Ope_005[[#This Row],[tipo_r]]="R",COUNTIFS($C$1:$C260,"R")+1,"")</f>
        <v>260</v>
      </c>
      <c r="B261" s="19" t="str">
        <f t="shared" si="24"/>
        <v>C_Ope_005</v>
      </c>
      <c r="C261" s="3" t="s">
        <v>1330</v>
      </c>
      <c r="D261" s="14">
        <v>45772</v>
      </c>
      <c r="E261" s="5" t="s">
        <v>8535</v>
      </c>
      <c r="F261" s="5" t="s">
        <v>1336</v>
      </c>
      <c r="G261" s="6" t="s">
        <v>978</v>
      </c>
      <c r="H261" s="6" t="s">
        <v>68</v>
      </c>
      <c r="I261" s="6" t="s">
        <v>5688</v>
      </c>
      <c r="J261" s="6">
        <v>2310754</v>
      </c>
      <c r="K261" s="7" t="s">
        <v>8654</v>
      </c>
      <c r="L261" s="8">
        <v>23986</v>
      </c>
      <c r="M261" s="8" t="str">
        <f t="shared" si="25"/>
        <v>PEN</v>
      </c>
      <c r="N261" s="13"/>
      <c r="O261" s="13">
        <v>8</v>
      </c>
      <c r="P261" s="3">
        <f t="shared" si="21"/>
        <v>0</v>
      </c>
      <c r="Q261" s="3">
        <f t="shared" si="22"/>
        <v>8</v>
      </c>
      <c r="R261" s="3">
        <f t="shared" si="23"/>
        <v>769.59999999999968</v>
      </c>
      <c r="S261" s="24" t="s">
        <v>1334</v>
      </c>
      <c r="T261" s="24" t="s">
        <v>1334</v>
      </c>
      <c r="U261" s="3"/>
      <c r="V261" s="25" t="s">
        <v>7842</v>
      </c>
      <c r="W261" s="25">
        <v>20517252558</v>
      </c>
      <c r="X261" s="25" t="str">
        <f>IFERROR(VLOOKUP(C_Ope_005[[#This Row],[nota_2]],Clientes_Proveedores[[Ruc / Dni]:[Razon Social]],2,0),"")</f>
        <v>COVISUR S.A.</v>
      </c>
      <c r="Y261" s="25"/>
      <c r="Z261" s="103"/>
      <c r="AA261" s="3" t="str">
        <f>IF(C_Ope_005[[#This Row],[fecha]]&gt;0,TEXT(C_Ope_005[[#This Row],[fecha]],"mmmm"),0)</f>
        <v>Abril</v>
      </c>
      <c r="AB261" s="49"/>
    </row>
    <row r="262" spans="1:28" x14ac:dyDescent="0.3">
      <c r="A262" s="2">
        <f>IF(C_Ope_005[[#This Row],[tipo_r]]="R",COUNTIFS($C$1:$C261,"R")+1,"")</f>
        <v>261</v>
      </c>
      <c r="B262" s="19" t="str">
        <f t="shared" si="24"/>
        <v>C_Ope_005</v>
      </c>
      <c r="C262" s="3" t="s">
        <v>1330</v>
      </c>
      <c r="D262" s="14">
        <v>45772</v>
      </c>
      <c r="E262" s="5" t="s">
        <v>8535</v>
      </c>
      <c r="F262" s="5" t="s">
        <v>1336</v>
      </c>
      <c r="G262" s="6" t="s">
        <v>978</v>
      </c>
      <c r="H262" s="6" t="s">
        <v>68</v>
      </c>
      <c r="I262" s="6" t="s">
        <v>6245</v>
      </c>
      <c r="J262" s="6">
        <v>958206</v>
      </c>
      <c r="K262" s="7" t="s">
        <v>7841</v>
      </c>
      <c r="L262" s="8">
        <v>23987</v>
      </c>
      <c r="M262" s="8" t="str">
        <f t="shared" si="25"/>
        <v>PEN</v>
      </c>
      <c r="N262" s="13"/>
      <c r="O262" s="13">
        <v>8</v>
      </c>
      <c r="P262" s="3">
        <f t="shared" si="21"/>
        <v>0</v>
      </c>
      <c r="Q262" s="3">
        <f t="shared" si="22"/>
        <v>8</v>
      </c>
      <c r="R262" s="3">
        <f t="shared" si="23"/>
        <v>761.59999999999968</v>
      </c>
      <c r="S262" s="24" t="s">
        <v>1334</v>
      </c>
      <c r="T262" s="24" t="s">
        <v>1334</v>
      </c>
      <c r="U262" s="3"/>
      <c r="V262" s="25" t="s">
        <v>7842</v>
      </c>
      <c r="W262" s="25">
        <v>20517252558</v>
      </c>
      <c r="X262" s="25" t="str">
        <f>IFERROR(VLOOKUP(C_Ope_005[[#This Row],[nota_2]],Clientes_Proveedores[[Ruc / Dni]:[Razon Social]],2,0),"")</f>
        <v>COVISUR S.A.</v>
      </c>
      <c r="Y262" s="25"/>
      <c r="Z262" s="103"/>
      <c r="AA262" s="3" t="str">
        <f>IF(C_Ope_005[[#This Row],[fecha]]&gt;0,TEXT(C_Ope_005[[#This Row],[fecha]],"mmmm"),0)</f>
        <v>Abril</v>
      </c>
      <c r="AB262" s="49"/>
    </row>
    <row r="263" spans="1:28" ht="36" x14ac:dyDescent="0.3">
      <c r="A263" s="2">
        <f>IF(C_Ope_005[[#This Row],[tipo_r]]="R",COUNTIFS($C$1:$C262,"R")+1,"")</f>
        <v>262</v>
      </c>
      <c r="B263" s="19" t="str">
        <f t="shared" si="24"/>
        <v>C_Ope_005</v>
      </c>
      <c r="C263" s="3" t="s">
        <v>1330</v>
      </c>
      <c r="D263" s="14">
        <v>45772</v>
      </c>
      <c r="E263" s="5" t="s">
        <v>8535</v>
      </c>
      <c r="F263" s="5" t="s">
        <v>1336</v>
      </c>
      <c r="G263" s="6" t="s">
        <v>978</v>
      </c>
      <c r="H263" s="6" t="s">
        <v>68</v>
      </c>
      <c r="I263" s="6" t="s">
        <v>5845</v>
      </c>
      <c r="J263" s="6">
        <v>1734536</v>
      </c>
      <c r="K263" s="7" t="s">
        <v>8654</v>
      </c>
      <c r="L263" s="8">
        <v>23993</v>
      </c>
      <c r="M263" s="8" t="str">
        <f t="shared" si="25"/>
        <v>PEN</v>
      </c>
      <c r="N263" s="13"/>
      <c r="O263" s="13">
        <v>8</v>
      </c>
      <c r="P263" s="3">
        <f t="shared" si="21"/>
        <v>0</v>
      </c>
      <c r="Q263" s="3">
        <f t="shared" si="22"/>
        <v>8</v>
      </c>
      <c r="R263" s="3">
        <f t="shared" si="23"/>
        <v>753.59999999999968</v>
      </c>
      <c r="S263" s="24" t="s">
        <v>1334</v>
      </c>
      <c r="T263" s="24" t="s">
        <v>1334</v>
      </c>
      <c r="U263" s="3"/>
      <c r="V263" s="25" t="s">
        <v>7842</v>
      </c>
      <c r="W263" s="25">
        <v>20517252558</v>
      </c>
      <c r="X263" s="25" t="str">
        <f>IFERROR(VLOOKUP(C_Ope_005[[#This Row],[nota_2]],Clientes_Proveedores[[Ruc / Dni]:[Razon Social]],2,0),"")</f>
        <v>COVISUR S.A.</v>
      </c>
      <c r="Y263" s="25"/>
      <c r="Z263" s="103"/>
      <c r="AA263" s="3" t="str">
        <f>IF(C_Ope_005[[#This Row],[fecha]]&gt;0,TEXT(C_Ope_005[[#This Row],[fecha]],"mmmm"),0)</f>
        <v>Abril</v>
      </c>
      <c r="AB263" s="49"/>
    </row>
    <row r="264" spans="1:28" x14ac:dyDescent="0.3">
      <c r="A264" s="2">
        <f>IF(C_Ope_005[[#This Row],[tipo_r]]="R",COUNTIFS($C$1:$C263,"R")+1,"")</f>
        <v>263</v>
      </c>
      <c r="B264" s="19" t="str">
        <f t="shared" si="24"/>
        <v>C_Ope_005</v>
      </c>
      <c r="C264" s="3" t="s">
        <v>1330</v>
      </c>
      <c r="D264" s="14">
        <v>45772</v>
      </c>
      <c r="E264" s="5" t="s">
        <v>8535</v>
      </c>
      <c r="F264" s="5" t="s">
        <v>1336</v>
      </c>
      <c r="G264" s="6" t="s">
        <v>978</v>
      </c>
      <c r="H264" s="6" t="s">
        <v>68</v>
      </c>
      <c r="I264" s="6" t="s">
        <v>6244</v>
      </c>
      <c r="J264" s="6">
        <v>1044397</v>
      </c>
      <c r="K264" s="7" t="s">
        <v>7841</v>
      </c>
      <c r="L264" s="8">
        <v>23994</v>
      </c>
      <c r="M264" s="8" t="str">
        <f t="shared" si="25"/>
        <v>PEN</v>
      </c>
      <c r="N264" s="13"/>
      <c r="O264" s="13">
        <v>8</v>
      </c>
      <c r="P264" s="3">
        <f t="shared" si="21"/>
        <v>0</v>
      </c>
      <c r="Q264" s="3">
        <f t="shared" si="22"/>
        <v>8</v>
      </c>
      <c r="R264" s="3">
        <f t="shared" si="23"/>
        <v>745.59999999999968</v>
      </c>
      <c r="S264" s="24" t="s">
        <v>1334</v>
      </c>
      <c r="T264" s="24" t="s">
        <v>1334</v>
      </c>
      <c r="U264" s="3"/>
      <c r="V264" s="25" t="s">
        <v>7842</v>
      </c>
      <c r="W264" s="25">
        <v>20517252558</v>
      </c>
      <c r="X264" s="25" t="str">
        <f>IFERROR(VLOOKUP(C_Ope_005[[#This Row],[nota_2]],Clientes_Proveedores[[Ruc / Dni]:[Razon Social]],2,0),"")</f>
        <v>COVISUR S.A.</v>
      </c>
      <c r="Y264" s="25"/>
      <c r="Z264" s="103"/>
      <c r="AA264" s="3" t="str">
        <f>IF(C_Ope_005[[#This Row],[fecha]]&gt;0,TEXT(C_Ope_005[[#This Row],[fecha]],"mmmm"),0)</f>
        <v>Abril</v>
      </c>
      <c r="AB264" s="49"/>
    </row>
    <row r="265" spans="1:28" ht="36" x14ac:dyDescent="0.3">
      <c r="A265" s="2">
        <f>IF(C_Ope_005[[#This Row],[tipo_r]]="R",COUNTIFS($C$1:$C264,"R")+1,"")</f>
        <v>264</v>
      </c>
      <c r="B265" s="19" t="str">
        <f t="shared" si="24"/>
        <v>C_Ope_005</v>
      </c>
      <c r="C265" s="3" t="s">
        <v>1330</v>
      </c>
      <c r="D265" s="14">
        <v>45768</v>
      </c>
      <c r="E265" s="5" t="s">
        <v>8535</v>
      </c>
      <c r="F265" s="5" t="s">
        <v>1336</v>
      </c>
      <c r="G265" s="6" t="s">
        <v>682</v>
      </c>
      <c r="H265" s="6" t="s">
        <v>68</v>
      </c>
      <c r="I265" s="6" t="s">
        <v>1343</v>
      </c>
      <c r="J265" s="6">
        <v>34407</v>
      </c>
      <c r="K265" s="7" t="s">
        <v>8624</v>
      </c>
      <c r="L265" s="8">
        <v>23944</v>
      </c>
      <c r="M265" s="8" t="str">
        <f t="shared" si="25"/>
        <v>PEN</v>
      </c>
      <c r="N265" s="13"/>
      <c r="O265" s="13">
        <v>10</v>
      </c>
      <c r="P265" s="3">
        <f t="shared" si="21"/>
        <v>0</v>
      </c>
      <c r="Q265" s="3">
        <f t="shared" si="22"/>
        <v>10</v>
      </c>
      <c r="R265" s="3">
        <f t="shared" si="23"/>
        <v>735.59999999999968</v>
      </c>
      <c r="S265" s="24" t="s">
        <v>1334</v>
      </c>
      <c r="T265" s="24" t="s">
        <v>1334</v>
      </c>
      <c r="U265" s="3"/>
      <c r="V265" s="25" t="s">
        <v>7756</v>
      </c>
      <c r="W265" s="25">
        <v>20259858934</v>
      </c>
      <c r="X265" s="25" t="str">
        <f>IFERROR(VLOOKUP(C_Ope_005[[#This Row],[nota_2]],Clientes_Proveedores[[Ruc / Dni]:[Razon Social]],2,0),"")</f>
        <v>COMERCIALIZACION Y SERVICIOS EL EDEN S.A.C.</v>
      </c>
      <c r="Y265" s="25"/>
      <c r="Z265" s="103"/>
      <c r="AA265" s="3" t="str">
        <f>IF(C_Ope_005[[#This Row],[fecha]]&gt;0,TEXT(C_Ope_005[[#This Row],[fecha]],"mmmm"),0)</f>
        <v>Abril</v>
      </c>
      <c r="AB265" s="49"/>
    </row>
    <row r="266" spans="1:28" ht="36" x14ac:dyDescent="0.3">
      <c r="A266" s="2">
        <f>IF(C_Ope_005[[#This Row],[tipo_r]]="R",COUNTIFS($C$1:$C265,"R")+1,"")</f>
        <v>265</v>
      </c>
      <c r="B266" s="19" t="str">
        <f t="shared" si="24"/>
        <v>C_Ope_005</v>
      </c>
      <c r="C266" s="3" t="s">
        <v>1330</v>
      </c>
      <c r="D266" s="14">
        <v>45770</v>
      </c>
      <c r="E266" s="5" t="s">
        <v>8535</v>
      </c>
      <c r="F266" s="5" t="s">
        <v>1336</v>
      </c>
      <c r="G266" s="6" t="s">
        <v>682</v>
      </c>
      <c r="H266" s="6" t="s">
        <v>68</v>
      </c>
      <c r="I266" s="6" t="s">
        <v>1343</v>
      </c>
      <c r="J266" s="6">
        <v>34433</v>
      </c>
      <c r="K266" s="7" t="s">
        <v>8624</v>
      </c>
      <c r="L266" s="8">
        <v>23976</v>
      </c>
      <c r="M266" s="8" t="str">
        <f t="shared" si="25"/>
        <v>PEN</v>
      </c>
      <c r="N266" s="13"/>
      <c r="O266" s="13">
        <v>10</v>
      </c>
      <c r="P266" s="3">
        <f t="shared" si="21"/>
        <v>0</v>
      </c>
      <c r="Q266" s="3">
        <f t="shared" si="22"/>
        <v>10</v>
      </c>
      <c r="R266" s="3">
        <f t="shared" si="23"/>
        <v>725.59999999999968</v>
      </c>
      <c r="S266" s="24" t="s">
        <v>1334</v>
      </c>
      <c r="T266" s="24" t="s">
        <v>1334</v>
      </c>
      <c r="U266" s="3"/>
      <c r="V266" s="25" t="s">
        <v>7761</v>
      </c>
      <c r="W266" s="25">
        <v>20259858934</v>
      </c>
      <c r="X266" s="25" t="str">
        <f>IFERROR(VLOOKUP(C_Ope_005[[#This Row],[nota_2]],Clientes_Proveedores[[Ruc / Dni]:[Razon Social]],2,0),"")</f>
        <v>COMERCIALIZACION Y SERVICIOS EL EDEN S.A.C.</v>
      </c>
      <c r="Y266" s="25"/>
      <c r="Z266" s="103"/>
      <c r="AA266" s="3" t="str">
        <f>IF(C_Ope_005[[#This Row],[fecha]]&gt;0,TEXT(C_Ope_005[[#This Row],[fecha]],"mmmm"),0)</f>
        <v>Abril</v>
      </c>
      <c r="AB266" s="49"/>
    </row>
    <row r="267" spans="1:28" ht="36" x14ac:dyDescent="0.3">
      <c r="A267" s="2">
        <f>IF(C_Ope_005[[#This Row],[tipo_r]]="R",COUNTIFS($C$1:$C266,"R")+1,"")</f>
        <v>266</v>
      </c>
      <c r="B267" s="19" t="str">
        <f t="shared" si="24"/>
        <v>C_Ope_005</v>
      </c>
      <c r="C267" s="3" t="s">
        <v>1330</v>
      </c>
      <c r="D267" s="14">
        <v>45770</v>
      </c>
      <c r="E267" s="5" t="s">
        <v>8535</v>
      </c>
      <c r="F267" s="5" t="s">
        <v>1336</v>
      </c>
      <c r="G267" s="6" t="s">
        <v>682</v>
      </c>
      <c r="H267" s="6" t="s">
        <v>68</v>
      </c>
      <c r="I267" s="6" t="s">
        <v>1353</v>
      </c>
      <c r="J267" s="6">
        <v>16188</v>
      </c>
      <c r="K267" s="7" t="s">
        <v>8655</v>
      </c>
      <c r="L267" s="8">
        <v>23977</v>
      </c>
      <c r="M267" s="8" t="str">
        <f t="shared" si="25"/>
        <v>PEN</v>
      </c>
      <c r="N267" s="13"/>
      <c r="O267" s="13">
        <v>20</v>
      </c>
      <c r="P267" s="3">
        <f t="shared" si="21"/>
        <v>0</v>
      </c>
      <c r="Q267" s="3">
        <f t="shared" si="22"/>
        <v>20</v>
      </c>
      <c r="R267" s="3">
        <f t="shared" si="23"/>
        <v>705.59999999999968</v>
      </c>
      <c r="S267" s="24" t="s">
        <v>1334</v>
      </c>
      <c r="T267" s="24" t="s">
        <v>1334</v>
      </c>
      <c r="U267" s="3"/>
      <c r="V267" s="25" t="s">
        <v>7761</v>
      </c>
      <c r="W267" s="25">
        <v>20259858934</v>
      </c>
      <c r="X267" s="25" t="str">
        <f>IFERROR(VLOOKUP(C_Ope_005[[#This Row],[nota_2]],Clientes_Proveedores[[Ruc / Dni]:[Razon Social]],2,0),"")</f>
        <v>COMERCIALIZACION Y SERVICIOS EL EDEN S.A.C.</v>
      </c>
      <c r="Y267" s="25"/>
      <c r="Z267" s="103"/>
      <c r="AA267" s="3" t="str">
        <f>IF(C_Ope_005[[#This Row],[fecha]]&gt;0,TEXT(C_Ope_005[[#This Row],[fecha]],"mmmm"),0)</f>
        <v>Abril</v>
      </c>
      <c r="AB267" s="49"/>
    </row>
    <row r="268" spans="1:28" ht="24" x14ac:dyDescent="0.3">
      <c r="A268" s="2">
        <f>IF(C_Ope_005[[#This Row],[tipo_r]]="R",COUNTIFS($C$1:$C267,"R")+1,"")</f>
        <v>267</v>
      </c>
      <c r="B268" s="19" t="str">
        <f t="shared" si="24"/>
        <v>C_Ope_005</v>
      </c>
      <c r="C268" s="3" t="s">
        <v>1330</v>
      </c>
      <c r="D268" s="14">
        <v>45771</v>
      </c>
      <c r="E268" s="5" t="s">
        <v>8535</v>
      </c>
      <c r="F268" s="5" t="s">
        <v>1336</v>
      </c>
      <c r="G268" s="6" t="s">
        <v>998</v>
      </c>
      <c r="H268" s="6" t="s">
        <v>68</v>
      </c>
      <c r="I268" s="6" t="s">
        <v>6378</v>
      </c>
      <c r="J268" s="6">
        <v>601</v>
      </c>
      <c r="K268" s="7" t="s">
        <v>7815</v>
      </c>
      <c r="L268" s="8">
        <v>23982</v>
      </c>
      <c r="M268" s="8" t="str">
        <f t="shared" si="25"/>
        <v>PEN</v>
      </c>
      <c r="N268" s="13"/>
      <c r="O268" s="13">
        <v>10</v>
      </c>
      <c r="P268" s="3">
        <f t="shared" si="21"/>
        <v>0</v>
      </c>
      <c r="Q268" s="3">
        <f t="shared" si="22"/>
        <v>10</v>
      </c>
      <c r="R268" s="3">
        <f t="shared" si="23"/>
        <v>695.59999999999968</v>
      </c>
      <c r="S268" s="24" t="s">
        <v>1334</v>
      </c>
      <c r="T268" s="24" t="s">
        <v>1334</v>
      </c>
      <c r="U268" s="3"/>
      <c r="V268" s="25" t="s">
        <v>7761</v>
      </c>
      <c r="W268" s="25">
        <v>20612112500</v>
      </c>
      <c r="X268" s="25" t="str">
        <f>IFERROR(VLOOKUP(C_Ope_005[[#This Row],[nota_2]],Clientes_Proveedores[[Ruc / Dni]:[Razon Social]],2,0),"")</f>
        <v>RECICLADORA LAS LOMAS E.I.R.L.</v>
      </c>
      <c r="Y268" s="25"/>
      <c r="Z268" s="103"/>
      <c r="AA268" s="3" t="str">
        <f>IF(C_Ope_005[[#This Row],[fecha]]&gt;0,TEXT(C_Ope_005[[#This Row],[fecha]],"mmmm"),0)</f>
        <v>Abril</v>
      </c>
      <c r="AB268" s="49"/>
    </row>
    <row r="269" spans="1:28" ht="24" x14ac:dyDescent="0.3">
      <c r="A269" s="2">
        <f>IF(C_Ope_005[[#This Row],[tipo_r]]="R",COUNTIFS($C$1:$C268,"R")+1,"")</f>
        <v>268</v>
      </c>
      <c r="B269" s="19" t="str">
        <f t="shared" si="24"/>
        <v>C_Ope_005</v>
      </c>
      <c r="C269" s="3" t="s">
        <v>1330</v>
      </c>
      <c r="D269" s="14">
        <v>45771</v>
      </c>
      <c r="E269" s="5" t="s">
        <v>8535</v>
      </c>
      <c r="F269" s="5" t="s">
        <v>1336</v>
      </c>
      <c r="G269" s="6" t="s">
        <v>998</v>
      </c>
      <c r="H269" s="6" t="s">
        <v>68</v>
      </c>
      <c r="I269" s="6" t="s">
        <v>6378</v>
      </c>
      <c r="J269" s="6">
        <v>603</v>
      </c>
      <c r="K269" s="7" t="s">
        <v>7815</v>
      </c>
      <c r="L269" s="8">
        <v>23983</v>
      </c>
      <c r="M269" s="8" t="str">
        <f t="shared" si="25"/>
        <v>PEN</v>
      </c>
      <c r="N269" s="13"/>
      <c r="O269" s="13">
        <v>10</v>
      </c>
      <c r="P269" s="3">
        <f t="shared" si="21"/>
        <v>0</v>
      </c>
      <c r="Q269" s="3">
        <f t="shared" si="22"/>
        <v>10</v>
      </c>
      <c r="R269" s="3">
        <f t="shared" si="23"/>
        <v>685.59999999999968</v>
      </c>
      <c r="S269" s="24" t="s">
        <v>1334</v>
      </c>
      <c r="T269" s="24" t="s">
        <v>1334</v>
      </c>
      <c r="U269" s="3"/>
      <c r="V269" s="25" t="s">
        <v>7761</v>
      </c>
      <c r="W269" s="25">
        <v>20612112500</v>
      </c>
      <c r="X269" s="25" t="str">
        <f>IFERROR(VLOOKUP(C_Ope_005[[#This Row],[nota_2]],Clientes_Proveedores[[Ruc / Dni]:[Razon Social]],2,0),"")</f>
        <v>RECICLADORA LAS LOMAS E.I.R.L.</v>
      </c>
      <c r="Y269" s="25"/>
      <c r="Z269" s="103"/>
      <c r="AA269" s="3" t="str">
        <f>IF(C_Ope_005[[#This Row],[fecha]]&gt;0,TEXT(C_Ope_005[[#This Row],[fecha]],"mmmm"),0)</f>
        <v>Abril</v>
      </c>
      <c r="AB269" s="49"/>
    </row>
    <row r="270" spans="1:28" ht="24" x14ac:dyDescent="0.3">
      <c r="A270" s="2">
        <f>IF(C_Ope_005[[#This Row],[tipo_r]]="R",COUNTIFS($C$1:$C269,"R")+1,"")</f>
        <v>269</v>
      </c>
      <c r="B270" s="19" t="str">
        <f t="shared" si="24"/>
        <v>C_Ope_005</v>
      </c>
      <c r="C270" s="3" t="s">
        <v>1330</v>
      </c>
      <c r="D270" s="14">
        <v>45771</v>
      </c>
      <c r="E270" s="5" t="s">
        <v>8535</v>
      </c>
      <c r="F270" s="5" t="s">
        <v>1336</v>
      </c>
      <c r="G270" s="6" t="s">
        <v>998</v>
      </c>
      <c r="H270" s="6" t="s">
        <v>68</v>
      </c>
      <c r="I270" s="6" t="s">
        <v>6378</v>
      </c>
      <c r="J270" s="6">
        <v>604</v>
      </c>
      <c r="K270" s="7" t="s">
        <v>8656</v>
      </c>
      <c r="L270" s="8">
        <v>23984</v>
      </c>
      <c r="M270" s="8" t="str">
        <f t="shared" si="25"/>
        <v>PEN</v>
      </c>
      <c r="N270" s="13"/>
      <c r="O270" s="13">
        <v>10</v>
      </c>
      <c r="P270" s="3">
        <f t="shared" si="21"/>
        <v>0</v>
      </c>
      <c r="Q270" s="3">
        <f t="shared" si="22"/>
        <v>10</v>
      </c>
      <c r="R270" s="3">
        <f t="shared" si="23"/>
        <v>675.59999999999968</v>
      </c>
      <c r="S270" s="24" t="s">
        <v>1334</v>
      </c>
      <c r="T270" s="24" t="s">
        <v>1334</v>
      </c>
      <c r="U270" s="3"/>
      <c r="V270" s="25" t="s">
        <v>7761</v>
      </c>
      <c r="W270" s="25">
        <v>20612112500</v>
      </c>
      <c r="X270" s="25" t="str">
        <f>IFERROR(VLOOKUP(C_Ope_005[[#This Row],[nota_2]],Clientes_Proveedores[[Ruc / Dni]:[Razon Social]],2,0),"")</f>
        <v>RECICLADORA LAS LOMAS E.I.R.L.</v>
      </c>
      <c r="Y270" s="25"/>
      <c r="Z270" s="103"/>
      <c r="AA270" s="3" t="str">
        <f>IF(C_Ope_005[[#This Row],[fecha]]&gt;0,TEXT(C_Ope_005[[#This Row],[fecha]],"mmmm"),0)</f>
        <v>Abril</v>
      </c>
      <c r="AB270" s="49"/>
    </row>
    <row r="271" spans="1:28" ht="36" x14ac:dyDescent="0.3">
      <c r="A271" s="2">
        <f>IF(C_Ope_005[[#This Row],[tipo_r]]="R",COUNTIFS($C$1:$C270,"R")+1,"")</f>
        <v>270</v>
      </c>
      <c r="B271" s="19" t="str">
        <f t="shared" si="24"/>
        <v>C_Ope_005</v>
      </c>
      <c r="C271" s="3" t="s">
        <v>1330</v>
      </c>
      <c r="D271" s="14">
        <v>45772</v>
      </c>
      <c r="E271" s="5" t="s">
        <v>8535</v>
      </c>
      <c r="F271" s="5" t="s">
        <v>1336</v>
      </c>
      <c r="G271" s="6" t="s">
        <v>1029</v>
      </c>
      <c r="H271" s="6" t="s">
        <v>68</v>
      </c>
      <c r="I271" s="6" t="s">
        <v>1374</v>
      </c>
      <c r="J271" s="6">
        <v>17369</v>
      </c>
      <c r="K271" s="7" t="s">
        <v>7845</v>
      </c>
      <c r="L271" s="8">
        <v>23988</v>
      </c>
      <c r="M271" s="8" t="str">
        <f t="shared" si="25"/>
        <v>PEN</v>
      </c>
      <c r="N271" s="13"/>
      <c r="O271" s="13">
        <v>11</v>
      </c>
      <c r="P271" s="3">
        <f t="shared" si="21"/>
        <v>0</v>
      </c>
      <c r="Q271" s="3">
        <f t="shared" si="22"/>
        <v>11</v>
      </c>
      <c r="R271" s="3">
        <f t="shared" si="23"/>
        <v>664.59999999999968</v>
      </c>
      <c r="S271" s="24" t="s">
        <v>1334</v>
      </c>
      <c r="T271" s="24" t="s">
        <v>1334</v>
      </c>
      <c r="U271" s="3"/>
      <c r="V271" s="25" t="s">
        <v>7842</v>
      </c>
      <c r="W271" s="25">
        <v>20454058187</v>
      </c>
      <c r="X271" s="25" t="str">
        <f>IFERROR(VLOOKUP(C_Ope_005[[#This Row],[nota_2]],Clientes_Proveedores[[Ruc / Dni]:[Razon Social]],2,0),"")</f>
        <v>ZONA ESPECIAL DE DESARROLLO ZED MATARANI</v>
      </c>
      <c r="Y271" s="25"/>
      <c r="Z271" s="103"/>
      <c r="AA271" s="3" t="str">
        <f>IF(C_Ope_005[[#This Row],[fecha]]&gt;0,TEXT(C_Ope_005[[#This Row],[fecha]],"mmmm"),0)</f>
        <v>Abril</v>
      </c>
      <c r="AB271" s="49"/>
    </row>
    <row r="272" spans="1:28" ht="24" x14ac:dyDescent="0.3">
      <c r="A272" s="2">
        <f>IF(C_Ope_005[[#This Row],[tipo_r]]="R",COUNTIFS($C$1:$C271,"R")+1,"")</f>
        <v>271</v>
      </c>
      <c r="B272" s="19" t="str">
        <f t="shared" si="24"/>
        <v>C_Ope_005</v>
      </c>
      <c r="C272" s="3" t="s">
        <v>1330</v>
      </c>
      <c r="D272" s="14">
        <v>45769</v>
      </c>
      <c r="E272" s="5" t="s">
        <v>8535</v>
      </c>
      <c r="F272" s="5" t="s">
        <v>1336</v>
      </c>
      <c r="G272" s="6" t="s">
        <v>999</v>
      </c>
      <c r="H272" s="6" t="s">
        <v>68</v>
      </c>
      <c r="I272" s="6" t="s">
        <v>1374</v>
      </c>
      <c r="J272" s="6">
        <v>17387</v>
      </c>
      <c r="K272" s="7" t="s">
        <v>8640</v>
      </c>
      <c r="L272" s="8">
        <v>23966</v>
      </c>
      <c r="M272" s="8" t="str">
        <f t="shared" si="25"/>
        <v>PEN</v>
      </c>
      <c r="N272" s="13"/>
      <c r="O272" s="13">
        <v>25</v>
      </c>
      <c r="P272" s="3">
        <f t="shared" si="21"/>
        <v>0</v>
      </c>
      <c r="Q272" s="3">
        <f t="shared" si="22"/>
        <v>25</v>
      </c>
      <c r="R272" s="3">
        <f t="shared" si="23"/>
        <v>639.59999999999968</v>
      </c>
      <c r="S272" s="24" t="s">
        <v>1334</v>
      </c>
      <c r="T272" s="24" t="s">
        <v>1334</v>
      </c>
      <c r="U272" s="3"/>
      <c r="V272" s="25" t="s">
        <v>7761</v>
      </c>
      <c r="W272" s="25">
        <v>10705628331</v>
      </c>
      <c r="X272" s="25" t="str">
        <f>IFERROR(VLOOKUP(C_Ope_005[[#This Row],[nota_2]],Clientes_Proveedores[[Ruc / Dni]:[Razon Social]],2,0),"")</f>
        <v>LARICO APAZA NANCY ROSSMARY</v>
      </c>
      <c r="Y272" s="25"/>
      <c r="Z272" s="103"/>
      <c r="AA272" s="3" t="str">
        <f>IF(C_Ope_005[[#This Row],[fecha]]&gt;0,TEXT(C_Ope_005[[#This Row],[fecha]],"mmmm"),0)</f>
        <v>Abril</v>
      </c>
      <c r="AB272" s="49"/>
    </row>
    <row r="273" spans="1:28" ht="24" x14ac:dyDescent="0.3">
      <c r="A273" s="2">
        <f>IF(C_Ope_005[[#This Row],[tipo_r]]="R",COUNTIFS($C$1:$C272,"R")+1,"")</f>
        <v>272</v>
      </c>
      <c r="B273" s="19" t="str">
        <f t="shared" si="24"/>
        <v>C_Ope_005</v>
      </c>
      <c r="C273" s="3" t="s">
        <v>1330</v>
      </c>
      <c r="D273" s="14">
        <v>45777</v>
      </c>
      <c r="E273" s="5" t="s">
        <v>7514</v>
      </c>
      <c r="F273" s="5" t="s">
        <v>1303</v>
      </c>
      <c r="G273" s="6" t="s">
        <v>957</v>
      </c>
      <c r="H273" s="6"/>
      <c r="I273" s="6"/>
      <c r="J273" s="6"/>
      <c r="K273" s="7" t="s">
        <v>7516</v>
      </c>
      <c r="L273" s="8">
        <v>24090</v>
      </c>
      <c r="M273" s="8" t="str">
        <f t="shared" si="25"/>
        <v>PEN</v>
      </c>
      <c r="N273" s="13"/>
      <c r="O273" s="13">
        <v>500</v>
      </c>
      <c r="P273" s="3">
        <f t="shared" si="21"/>
        <v>500</v>
      </c>
      <c r="Q273" s="3">
        <f t="shared" si="22"/>
        <v>0</v>
      </c>
      <c r="R273" s="3">
        <f t="shared" si="23"/>
        <v>1139.5999999999997</v>
      </c>
      <c r="S273" s="24" t="s">
        <v>1334</v>
      </c>
      <c r="T273" s="24" t="s">
        <v>1334</v>
      </c>
      <c r="U273" s="3"/>
      <c r="V273" s="25"/>
      <c r="W273" s="25"/>
      <c r="X273" s="25" t="str">
        <f>IFERROR(VLOOKUP(C_Ope_005[[#This Row],[nota_2]],Clientes_Proveedores[[Ruc / Dni]:[Razon Social]],2,0),"")</f>
        <v/>
      </c>
      <c r="Y273" s="25"/>
      <c r="Z273" s="103"/>
      <c r="AA273" s="3" t="str">
        <f>IF(C_Ope_005[[#This Row],[fecha]]&gt;0,TEXT(C_Ope_005[[#This Row],[fecha]],"mmmm"),0)</f>
        <v>Abril</v>
      </c>
      <c r="AB273" s="49"/>
    </row>
    <row r="274" spans="1:28" ht="24" x14ac:dyDescent="0.3">
      <c r="A274" s="2">
        <f>IF(C_Ope_005[[#This Row],[tipo_r]]="R",COUNTIFS($C$1:$C273,"R")+1,"")</f>
        <v>273</v>
      </c>
      <c r="B274" s="19" t="str">
        <f t="shared" si="24"/>
        <v>C_Ope_005</v>
      </c>
      <c r="C274" s="3" t="s">
        <v>1330</v>
      </c>
      <c r="D274" s="14">
        <v>45775</v>
      </c>
      <c r="E274" s="5" t="s">
        <v>8535</v>
      </c>
      <c r="F274" s="5" t="s">
        <v>1336</v>
      </c>
      <c r="G274" s="6" t="s">
        <v>1063</v>
      </c>
      <c r="H274" s="6" t="s">
        <v>68</v>
      </c>
      <c r="I274" s="6" t="s">
        <v>1374</v>
      </c>
      <c r="J274" s="6">
        <v>45054</v>
      </c>
      <c r="K274" s="7" t="s">
        <v>8657</v>
      </c>
      <c r="L274" s="8">
        <v>24032</v>
      </c>
      <c r="M274" s="8" t="str">
        <f t="shared" si="25"/>
        <v>PEN</v>
      </c>
      <c r="N274" s="13"/>
      <c r="O274" s="13">
        <v>150</v>
      </c>
      <c r="P274" s="3">
        <f t="shared" si="21"/>
        <v>0</v>
      </c>
      <c r="Q274" s="3">
        <f t="shared" si="22"/>
        <v>150</v>
      </c>
      <c r="R274" s="3">
        <f t="shared" si="23"/>
        <v>989.59999999999968</v>
      </c>
      <c r="S274" s="24" t="s">
        <v>1334</v>
      </c>
      <c r="T274" s="24" t="s">
        <v>1334</v>
      </c>
      <c r="U274" s="3"/>
      <c r="V274" s="25" t="s">
        <v>7761</v>
      </c>
      <c r="W274" s="25">
        <v>20485592556</v>
      </c>
      <c r="X274" s="25" t="str">
        <f>IFERROR(VLOOKUP(C_Ope_005[[#This Row],[nota_2]],Clientes_Proveedores[[Ruc / Dni]:[Razon Social]],2,0),"")</f>
        <v>SERVICENTRO SANTA MARTHA E.I.R.LTDA.</v>
      </c>
      <c r="Y274" s="25"/>
      <c r="Z274" s="103"/>
      <c r="AA274" s="3" t="str">
        <f>IF(C_Ope_005[[#This Row],[fecha]]&gt;0,TEXT(C_Ope_005[[#This Row],[fecha]],"mmmm"),0)</f>
        <v>Abril</v>
      </c>
      <c r="AB274" s="49"/>
    </row>
    <row r="275" spans="1:28" ht="24" x14ac:dyDescent="0.3">
      <c r="A275" s="2">
        <f>IF(C_Ope_005[[#This Row],[tipo_r]]="R",COUNTIFS($C$1:$C274,"R")+1,"")</f>
        <v>274</v>
      </c>
      <c r="B275" s="19" t="str">
        <f t="shared" si="24"/>
        <v>C_Ope_005</v>
      </c>
      <c r="C275" s="3" t="s">
        <v>1330</v>
      </c>
      <c r="D275" s="14">
        <v>45774</v>
      </c>
      <c r="E275" s="5" t="s">
        <v>8535</v>
      </c>
      <c r="F275" s="5" t="s">
        <v>1336</v>
      </c>
      <c r="G275" s="6" t="s">
        <v>978</v>
      </c>
      <c r="H275" s="6" t="s">
        <v>68</v>
      </c>
      <c r="I275" s="6" t="s">
        <v>8552</v>
      </c>
      <c r="J275" s="6">
        <v>1767469</v>
      </c>
      <c r="K275" s="7" t="s">
        <v>8658</v>
      </c>
      <c r="L275" s="8">
        <v>24024</v>
      </c>
      <c r="M275" s="8" t="str">
        <f t="shared" si="25"/>
        <v>PEN</v>
      </c>
      <c r="N275" s="13"/>
      <c r="O275" s="13">
        <v>7.7</v>
      </c>
      <c r="P275" s="3">
        <f t="shared" si="21"/>
        <v>0</v>
      </c>
      <c r="Q275" s="3">
        <f t="shared" si="22"/>
        <v>7.7</v>
      </c>
      <c r="R275" s="3">
        <f t="shared" si="23"/>
        <v>981.89999999999964</v>
      </c>
      <c r="S275" s="24" t="s">
        <v>1334</v>
      </c>
      <c r="T275" s="24" t="s">
        <v>1334</v>
      </c>
      <c r="U275" s="3"/>
      <c r="V275" s="25" t="s">
        <v>7761</v>
      </c>
      <c r="W275" s="25">
        <v>20517252558</v>
      </c>
      <c r="X275" s="25" t="str">
        <f>IFERROR(VLOOKUP(C_Ope_005[[#This Row],[nota_2]],Clientes_Proveedores[[Ruc / Dni]:[Razon Social]],2,0),"")</f>
        <v>COVISUR S.A.</v>
      </c>
      <c r="Y275" s="25"/>
      <c r="Z275" s="103"/>
      <c r="AA275" s="3" t="str">
        <f>IF(C_Ope_005[[#This Row],[fecha]]&gt;0,TEXT(C_Ope_005[[#This Row],[fecha]],"mmmm"),0)</f>
        <v>Abril</v>
      </c>
      <c r="AB275" s="49"/>
    </row>
    <row r="276" spans="1:28" ht="24" x14ac:dyDescent="0.3">
      <c r="A276" s="2">
        <f>IF(C_Ope_005[[#This Row],[tipo_r]]="R",COUNTIFS($C$1:$C275,"R")+1,"")</f>
        <v>275</v>
      </c>
      <c r="B276" s="19" t="str">
        <f t="shared" si="24"/>
        <v>C_Ope_005</v>
      </c>
      <c r="C276" s="3" t="s">
        <v>1330</v>
      </c>
      <c r="D276" s="14">
        <v>45775</v>
      </c>
      <c r="E276" s="5" t="s">
        <v>8535</v>
      </c>
      <c r="F276" s="5" t="s">
        <v>1336</v>
      </c>
      <c r="G276" s="6" t="s">
        <v>1036</v>
      </c>
      <c r="H276" s="6" t="s">
        <v>68</v>
      </c>
      <c r="I276" s="6" t="s">
        <v>8554</v>
      </c>
      <c r="J276" s="6">
        <v>610420</v>
      </c>
      <c r="K276" s="7" t="s">
        <v>8659</v>
      </c>
      <c r="L276" s="8">
        <v>24030</v>
      </c>
      <c r="M276" s="8" t="str">
        <f t="shared" si="25"/>
        <v>PEN</v>
      </c>
      <c r="N276" s="13"/>
      <c r="O276" s="13">
        <v>7.7</v>
      </c>
      <c r="P276" s="3">
        <f t="shared" si="21"/>
        <v>0</v>
      </c>
      <c r="Q276" s="3">
        <f t="shared" si="22"/>
        <v>7.7</v>
      </c>
      <c r="R276" s="3">
        <f t="shared" si="23"/>
        <v>974.19999999999959</v>
      </c>
      <c r="S276" s="24" t="s">
        <v>1334</v>
      </c>
      <c r="T276" s="24" t="s">
        <v>1334</v>
      </c>
      <c r="U276" s="3"/>
      <c r="V276" s="25" t="s">
        <v>7761</v>
      </c>
      <c r="W276" s="25">
        <v>20517216241</v>
      </c>
      <c r="X276" s="25" t="str">
        <f>IFERROR(VLOOKUP(C_Ope_005[[#This Row],[nota_2]],Clientes_Proveedores[[Ruc / Dni]:[Razon Social]],2,0),"")</f>
        <v>CARRETERA ANDINA DEL SUR S.A.C.</v>
      </c>
      <c r="Y276" s="25"/>
      <c r="Z276" s="103"/>
      <c r="AA276" s="3" t="str">
        <f>IF(C_Ope_005[[#This Row],[fecha]]&gt;0,TEXT(C_Ope_005[[#This Row],[fecha]],"mmmm"),0)</f>
        <v>Abril</v>
      </c>
      <c r="AB276" s="49"/>
    </row>
    <row r="277" spans="1:28" ht="24" x14ac:dyDescent="0.3">
      <c r="A277" s="2">
        <f>IF(C_Ope_005[[#This Row],[tipo_r]]="R",COUNTIFS($C$1:$C276,"R")+1,"")</f>
        <v>276</v>
      </c>
      <c r="B277" s="19" t="str">
        <f t="shared" si="24"/>
        <v>C_Ope_005</v>
      </c>
      <c r="C277" s="3" t="s">
        <v>1330</v>
      </c>
      <c r="D277" s="14">
        <v>45775</v>
      </c>
      <c r="E277" s="5" t="s">
        <v>8535</v>
      </c>
      <c r="F277" s="5" t="s">
        <v>1336</v>
      </c>
      <c r="G277" s="6" t="s">
        <v>1036</v>
      </c>
      <c r="H277" s="6" t="s">
        <v>68</v>
      </c>
      <c r="I277" s="6" t="s">
        <v>8556</v>
      </c>
      <c r="J277" s="6">
        <v>620230</v>
      </c>
      <c r="K277" s="7" t="s">
        <v>8659</v>
      </c>
      <c r="L277" s="8">
        <v>24031</v>
      </c>
      <c r="M277" s="8" t="str">
        <f t="shared" si="25"/>
        <v>PEN</v>
      </c>
      <c r="N277" s="13"/>
      <c r="O277" s="13">
        <v>7.7</v>
      </c>
      <c r="P277" s="3">
        <f t="shared" si="21"/>
        <v>0</v>
      </c>
      <c r="Q277" s="3">
        <f t="shared" si="22"/>
        <v>7.7</v>
      </c>
      <c r="R277" s="3">
        <f t="shared" si="23"/>
        <v>966.49999999999955</v>
      </c>
      <c r="S277" s="24" t="s">
        <v>1334</v>
      </c>
      <c r="T277" s="24" t="s">
        <v>1334</v>
      </c>
      <c r="U277" s="3"/>
      <c r="V277" s="25" t="s">
        <v>7761</v>
      </c>
      <c r="W277" s="25">
        <v>20517216241</v>
      </c>
      <c r="X277" s="25" t="str">
        <f>IFERROR(VLOOKUP(C_Ope_005[[#This Row],[nota_2]],Clientes_Proveedores[[Ruc / Dni]:[Razon Social]],2,0),"")</f>
        <v>CARRETERA ANDINA DEL SUR S.A.C.</v>
      </c>
      <c r="Y277" s="25"/>
      <c r="Z277" s="103"/>
      <c r="AA277" s="3" t="str">
        <f>IF(C_Ope_005[[#This Row],[fecha]]&gt;0,TEXT(C_Ope_005[[#This Row],[fecha]],"mmmm"),0)</f>
        <v>Abril</v>
      </c>
      <c r="AB277" s="49"/>
    </row>
    <row r="278" spans="1:28" ht="24" x14ac:dyDescent="0.3">
      <c r="A278" s="2">
        <f>IF(C_Ope_005[[#This Row],[tipo_r]]="R",COUNTIFS($C$1:$C277,"R")+1,"")</f>
        <v>277</v>
      </c>
      <c r="B278" s="19" t="str">
        <f t="shared" si="24"/>
        <v>C_Ope_005</v>
      </c>
      <c r="C278" s="3" t="s">
        <v>1330</v>
      </c>
      <c r="D278" s="14">
        <v>45777</v>
      </c>
      <c r="E278" s="5" t="s">
        <v>8535</v>
      </c>
      <c r="F278" s="5" t="s">
        <v>1336</v>
      </c>
      <c r="G278" s="6" t="s">
        <v>978</v>
      </c>
      <c r="H278" s="6" t="s">
        <v>68</v>
      </c>
      <c r="I278" s="6" t="s">
        <v>8557</v>
      </c>
      <c r="J278" s="6">
        <v>1814341</v>
      </c>
      <c r="K278" s="7" t="s">
        <v>8658</v>
      </c>
      <c r="L278" s="8">
        <v>24071</v>
      </c>
      <c r="M278" s="8" t="str">
        <f t="shared" si="25"/>
        <v>PEN</v>
      </c>
      <c r="N278" s="13"/>
      <c r="O278" s="13">
        <v>7.7</v>
      </c>
      <c r="P278" s="3">
        <f t="shared" si="21"/>
        <v>0</v>
      </c>
      <c r="Q278" s="3">
        <f t="shared" si="22"/>
        <v>7.7</v>
      </c>
      <c r="R278" s="3">
        <f t="shared" si="23"/>
        <v>958.7999999999995</v>
      </c>
      <c r="S278" s="24" t="s">
        <v>1334</v>
      </c>
      <c r="T278" s="24" t="s">
        <v>1334</v>
      </c>
      <c r="U278" s="3"/>
      <c r="V278" s="25" t="s">
        <v>7761</v>
      </c>
      <c r="W278" s="25">
        <v>20517252558</v>
      </c>
      <c r="X278" s="25" t="str">
        <f>IFERROR(VLOOKUP(C_Ope_005[[#This Row],[nota_2]],Clientes_Proveedores[[Ruc / Dni]:[Razon Social]],2,0),"")</f>
        <v>COVISUR S.A.</v>
      </c>
      <c r="Y278" s="25"/>
      <c r="Z278" s="103"/>
      <c r="AA278" s="3" t="str">
        <f>IF(C_Ope_005[[#This Row],[fecha]]&gt;0,TEXT(C_Ope_005[[#This Row],[fecha]],"mmmm"),0)</f>
        <v>Abril</v>
      </c>
      <c r="AB278" s="49"/>
    </row>
    <row r="279" spans="1:28" ht="24" x14ac:dyDescent="0.3">
      <c r="A279" s="2">
        <f>IF(C_Ope_005[[#This Row],[tipo_r]]="R",COUNTIFS($C$1:$C278,"R")+1,"")</f>
        <v>278</v>
      </c>
      <c r="B279" s="19" t="str">
        <f t="shared" si="24"/>
        <v>C_Ope_005</v>
      </c>
      <c r="C279" s="3" t="s">
        <v>1330</v>
      </c>
      <c r="D279" s="14">
        <v>45777</v>
      </c>
      <c r="E279" s="5" t="s">
        <v>8535</v>
      </c>
      <c r="F279" s="5" t="s">
        <v>1336</v>
      </c>
      <c r="G279" s="6" t="s">
        <v>978</v>
      </c>
      <c r="H279" s="6" t="s">
        <v>68</v>
      </c>
      <c r="I279" s="6" t="s">
        <v>5688</v>
      </c>
      <c r="J279" s="6">
        <v>2316155</v>
      </c>
      <c r="K279" s="7" t="s">
        <v>8660</v>
      </c>
      <c r="L279" s="8">
        <v>24072</v>
      </c>
      <c r="M279" s="8" t="str">
        <f t="shared" si="25"/>
        <v>PEN</v>
      </c>
      <c r="N279" s="13"/>
      <c r="O279" s="13">
        <v>8</v>
      </c>
      <c r="P279" s="3">
        <f t="shared" si="21"/>
        <v>0</v>
      </c>
      <c r="Q279" s="3">
        <f t="shared" si="22"/>
        <v>8</v>
      </c>
      <c r="R279" s="3">
        <f t="shared" si="23"/>
        <v>950.7999999999995</v>
      </c>
      <c r="S279" s="24" t="s">
        <v>1334</v>
      </c>
      <c r="T279" s="24" t="s">
        <v>1334</v>
      </c>
      <c r="U279" s="3"/>
      <c r="V279" s="25" t="s">
        <v>7761</v>
      </c>
      <c r="W279" s="25">
        <v>20517252558</v>
      </c>
      <c r="X279" s="25" t="str">
        <f>IFERROR(VLOOKUP(C_Ope_005[[#This Row],[nota_2]],Clientes_Proveedores[[Ruc / Dni]:[Razon Social]],2,0),"")</f>
        <v>COVISUR S.A.</v>
      </c>
      <c r="Y279" s="25"/>
      <c r="Z279" s="103"/>
      <c r="AA279" s="3" t="str">
        <f>IF(C_Ope_005[[#This Row],[fecha]]&gt;0,TEXT(C_Ope_005[[#This Row],[fecha]],"mmmm"),0)</f>
        <v>Abril</v>
      </c>
      <c r="AB279" s="49"/>
    </row>
    <row r="280" spans="1:28" ht="24" x14ac:dyDescent="0.3">
      <c r="A280" s="2">
        <f>IF(C_Ope_005[[#This Row],[tipo_r]]="R",COUNTIFS($C$1:$C279,"R")+1,"")</f>
        <v>279</v>
      </c>
      <c r="B280" s="19" t="str">
        <f t="shared" si="24"/>
        <v>C_Ope_005</v>
      </c>
      <c r="C280" s="3" t="s">
        <v>1330</v>
      </c>
      <c r="D280" s="14">
        <v>45777</v>
      </c>
      <c r="E280" s="5" t="s">
        <v>8535</v>
      </c>
      <c r="F280" s="5" t="s">
        <v>1336</v>
      </c>
      <c r="G280" s="6" t="s">
        <v>978</v>
      </c>
      <c r="H280" s="6" t="s">
        <v>68</v>
      </c>
      <c r="I280" s="6" t="s">
        <v>6203</v>
      </c>
      <c r="J280" s="6">
        <v>2036633</v>
      </c>
      <c r="K280" s="7" t="s">
        <v>8660</v>
      </c>
      <c r="L280" s="8">
        <v>24073</v>
      </c>
      <c r="M280" s="8" t="str">
        <f t="shared" si="25"/>
        <v>PEN</v>
      </c>
      <c r="N280" s="13"/>
      <c r="O280" s="13">
        <v>8</v>
      </c>
      <c r="P280" s="3">
        <f t="shared" si="21"/>
        <v>0</v>
      </c>
      <c r="Q280" s="3">
        <f t="shared" si="22"/>
        <v>8</v>
      </c>
      <c r="R280" s="3">
        <f t="shared" si="23"/>
        <v>942.7999999999995</v>
      </c>
      <c r="S280" s="24" t="s">
        <v>1334</v>
      </c>
      <c r="T280" s="24" t="s">
        <v>1334</v>
      </c>
      <c r="U280" s="3"/>
      <c r="V280" s="25" t="s">
        <v>7761</v>
      </c>
      <c r="W280" s="25">
        <v>20517252558</v>
      </c>
      <c r="X280" s="25" t="str">
        <f>IFERROR(VLOOKUP(C_Ope_005[[#This Row],[nota_2]],Clientes_Proveedores[[Ruc / Dni]:[Razon Social]],2,0),"")</f>
        <v>COVISUR S.A.</v>
      </c>
      <c r="Y280" s="25"/>
      <c r="Z280" s="103"/>
      <c r="AA280" s="3" t="str">
        <f>IF(C_Ope_005[[#This Row],[fecha]]&gt;0,TEXT(C_Ope_005[[#This Row],[fecha]],"mmmm"),0)</f>
        <v>Abril</v>
      </c>
      <c r="AB280" s="49"/>
    </row>
    <row r="281" spans="1:28" x14ac:dyDescent="0.3">
      <c r="A281" s="2">
        <f>IF(C_Ope_005[[#This Row],[tipo_r]]="R",COUNTIFS($C$1:$C280,"R")+1,"")</f>
        <v>280</v>
      </c>
      <c r="B281" s="19" t="str">
        <f t="shared" si="24"/>
        <v>C_Ope_005</v>
      </c>
      <c r="C281" s="3" t="s">
        <v>1330</v>
      </c>
      <c r="D281" s="14">
        <v>45774</v>
      </c>
      <c r="E281" s="5" t="s">
        <v>8535</v>
      </c>
      <c r="F281" s="5" t="s">
        <v>1336</v>
      </c>
      <c r="G281" s="6"/>
      <c r="H281" s="6" t="s">
        <v>126</v>
      </c>
      <c r="I281" s="6"/>
      <c r="J281" s="6"/>
      <c r="K281" s="7" t="s">
        <v>8225</v>
      </c>
      <c r="L281" s="8">
        <v>24025</v>
      </c>
      <c r="M281" s="8" t="str">
        <f t="shared" si="25"/>
        <v>PEN</v>
      </c>
      <c r="N281" s="13"/>
      <c r="O281" s="13">
        <v>24</v>
      </c>
      <c r="P281" s="3">
        <f t="shared" si="21"/>
        <v>0</v>
      </c>
      <c r="Q281" s="3">
        <f t="shared" si="22"/>
        <v>24</v>
      </c>
      <c r="R281" s="3">
        <f t="shared" si="23"/>
        <v>918.7999999999995</v>
      </c>
      <c r="S281" s="24" t="s">
        <v>1334</v>
      </c>
      <c r="T281" s="24" t="s">
        <v>1334</v>
      </c>
      <c r="U281" s="3"/>
      <c r="V281" s="25" t="s">
        <v>7761</v>
      </c>
      <c r="W281" s="25"/>
      <c r="X281" s="25" t="str">
        <f>IFERROR(VLOOKUP(C_Ope_005[[#This Row],[nota_2]],Clientes_Proveedores[[Ruc / Dni]:[Razon Social]],2,0),"")</f>
        <v/>
      </c>
      <c r="Y281" s="25"/>
      <c r="Z281" s="103"/>
      <c r="AA281" s="3" t="str">
        <f>IF(C_Ope_005[[#This Row],[fecha]]&gt;0,TEXT(C_Ope_005[[#This Row],[fecha]],"mmmm"),0)</f>
        <v>Abril</v>
      </c>
      <c r="AB281" s="49"/>
    </row>
    <row r="282" spans="1:28" x14ac:dyDescent="0.3">
      <c r="A282" s="2">
        <f>IF(C_Ope_005[[#This Row],[tipo_r]]="R",COUNTIFS($C$1:$C281,"R")+1,"")</f>
        <v>281</v>
      </c>
      <c r="B282" s="19" t="str">
        <f t="shared" si="24"/>
        <v>C_Ope_005</v>
      </c>
      <c r="C282" s="3" t="s">
        <v>1330</v>
      </c>
      <c r="D282" s="14">
        <v>45774</v>
      </c>
      <c r="E282" s="5" t="s">
        <v>8535</v>
      </c>
      <c r="F282" s="5" t="s">
        <v>1336</v>
      </c>
      <c r="G282" s="6"/>
      <c r="H282" s="6" t="s">
        <v>126</v>
      </c>
      <c r="I282" s="6"/>
      <c r="J282" s="6"/>
      <c r="K282" s="7" t="s">
        <v>8218</v>
      </c>
      <c r="L282" s="8">
        <v>24026</v>
      </c>
      <c r="M282" s="8" t="str">
        <f t="shared" si="25"/>
        <v>PEN</v>
      </c>
      <c r="N282" s="13"/>
      <c r="O282" s="13">
        <v>30</v>
      </c>
      <c r="P282" s="3">
        <f t="shared" si="21"/>
        <v>0</v>
      </c>
      <c r="Q282" s="3">
        <f t="shared" si="22"/>
        <v>30</v>
      </c>
      <c r="R282" s="3">
        <f t="shared" si="23"/>
        <v>888.7999999999995</v>
      </c>
      <c r="S282" s="24" t="s">
        <v>1334</v>
      </c>
      <c r="T282" s="24" t="s">
        <v>1334</v>
      </c>
      <c r="U282" s="3"/>
      <c r="V282" s="25" t="s">
        <v>7761</v>
      </c>
      <c r="W282" s="25"/>
      <c r="X282" s="25" t="str">
        <f>IFERROR(VLOOKUP(C_Ope_005[[#This Row],[nota_2]],Clientes_Proveedores[[Ruc / Dni]:[Razon Social]],2,0),"")</f>
        <v/>
      </c>
      <c r="Y282" s="25"/>
      <c r="Z282" s="103"/>
      <c r="AA282" s="3" t="str">
        <f>IF(C_Ope_005[[#This Row],[fecha]]&gt;0,TEXT(C_Ope_005[[#This Row],[fecha]],"mmmm"),0)</f>
        <v>Abril</v>
      </c>
      <c r="AB282" s="49"/>
    </row>
    <row r="283" spans="1:28" x14ac:dyDescent="0.3">
      <c r="A283" s="2">
        <f>IF(C_Ope_005[[#This Row],[tipo_r]]="R",COUNTIFS($C$1:$C282,"R")+1,"")</f>
        <v>282</v>
      </c>
      <c r="B283" s="19" t="str">
        <f t="shared" si="24"/>
        <v>C_Ope_005</v>
      </c>
      <c r="C283" s="3" t="s">
        <v>1330</v>
      </c>
      <c r="D283" s="14">
        <v>45774</v>
      </c>
      <c r="E283" s="5" t="s">
        <v>8535</v>
      </c>
      <c r="F283" s="5" t="s">
        <v>1336</v>
      </c>
      <c r="G283" s="6"/>
      <c r="H283" s="6" t="s">
        <v>126</v>
      </c>
      <c r="I283" s="6"/>
      <c r="J283" s="6"/>
      <c r="K283" s="7" t="s">
        <v>8231</v>
      </c>
      <c r="L283" s="8">
        <v>24027</v>
      </c>
      <c r="M283" s="8" t="str">
        <f t="shared" si="25"/>
        <v>PEN</v>
      </c>
      <c r="N283" s="13"/>
      <c r="O283" s="13">
        <v>24</v>
      </c>
      <c r="P283" s="3">
        <f t="shared" si="21"/>
        <v>0</v>
      </c>
      <c r="Q283" s="3">
        <f t="shared" si="22"/>
        <v>24</v>
      </c>
      <c r="R283" s="3">
        <f t="shared" si="23"/>
        <v>864.7999999999995</v>
      </c>
      <c r="S283" s="24" t="s">
        <v>1334</v>
      </c>
      <c r="T283" s="24" t="s">
        <v>1334</v>
      </c>
      <c r="U283" s="3"/>
      <c r="V283" s="25" t="s">
        <v>7761</v>
      </c>
      <c r="W283" s="25"/>
      <c r="X283" s="25" t="str">
        <f>IFERROR(VLOOKUP(C_Ope_005[[#This Row],[nota_2]],Clientes_Proveedores[[Ruc / Dni]:[Razon Social]],2,0),"")</f>
        <v/>
      </c>
      <c r="Y283" s="25"/>
      <c r="Z283" s="103"/>
      <c r="AA283" s="3" t="str">
        <f>IF(C_Ope_005[[#This Row],[fecha]]&gt;0,TEXT(C_Ope_005[[#This Row],[fecha]],"mmmm"),0)</f>
        <v>Abril</v>
      </c>
      <c r="AB283" s="49"/>
    </row>
    <row r="284" spans="1:28" x14ac:dyDescent="0.3">
      <c r="A284" s="2">
        <f>IF(C_Ope_005[[#This Row],[tipo_r]]="R",COUNTIFS($C$1:$C283,"R")+1,"")</f>
        <v>283</v>
      </c>
      <c r="B284" s="19" t="str">
        <f t="shared" si="24"/>
        <v>C_Ope_005</v>
      </c>
      <c r="C284" s="3" t="s">
        <v>1330</v>
      </c>
      <c r="D284" s="14">
        <v>45774</v>
      </c>
      <c r="E284" s="5" t="s">
        <v>8535</v>
      </c>
      <c r="F284" s="5" t="s">
        <v>1336</v>
      </c>
      <c r="G284" s="6"/>
      <c r="H284" s="6" t="s">
        <v>126</v>
      </c>
      <c r="I284" s="6"/>
      <c r="J284" s="6"/>
      <c r="K284" s="7" t="s">
        <v>8661</v>
      </c>
      <c r="L284" s="8">
        <v>24028</v>
      </c>
      <c r="M284" s="8" t="str">
        <f t="shared" si="25"/>
        <v>PEN</v>
      </c>
      <c r="N284" s="13"/>
      <c r="O284" s="13">
        <v>100</v>
      </c>
      <c r="P284" s="3">
        <f t="shared" si="21"/>
        <v>0</v>
      </c>
      <c r="Q284" s="3">
        <f t="shared" si="22"/>
        <v>100</v>
      </c>
      <c r="R284" s="3">
        <f t="shared" si="23"/>
        <v>764.7999999999995</v>
      </c>
      <c r="S284" s="24" t="s">
        <v>1334</v>
      </c>
      <c r="T284" s="24" t="s">
        <v>1334</v>
      </c>
      <c r="U284" s="3"/>
      <c r="V284" s="25" t="s">
        <v>7761</v>
      </c>
      <c r="W284" s="25"/>
      <c r="X284" s="25" t="str">
        <f>IFERROR(VLOOKUP(C_Ope_005[[#This Row],[nota_2]],Clientes_Proveedores[[Ruc / Dni]:[Razon Social]],2,0),"")</f>
        <v/>
      </c>
      <c r="Y284" s="25"/>
      <c r="Z284" s="103"/>
      <c r="AA284" s="3" t="str">
        <f>IF(C_Ope_005[[#This Row],[fecha]]&gt;0,TEXT(C_Ope_005[[#This Row],[fecha]],"mmmm"),0)</f>
        <v>Abril</v>
      </c>
      <c r="AB284" s="49"/>
    </row>
    <row r="285" spans="1:28" x14ac:dyDescent="0.3">
      <c r="A285" s="2">
        <f>IF(C_Ope_005[[#This Row],[tipo_r]]="R",COUNTIFS($C$1:$C284,"R")+1,"")</f>
        <v>284</v>
      </c>
      <c r="B285" s="19" t="str">
        <f t="shared" si="24"/>
        <v>C_Ope_005</v>
      </c>
      <c r="C285" s="3" t="s">
        <v>1330</v>
      </c>
      <c r="D285" s="14">
        <v>45774</v>
      </c>
      <c r="E285" s="5" t="s">
        <v>8535</v>
      </c>
      <c r="F285" s="5" t="s">
        <v>1336</v>
      </c>
      <c r="G285" s="6"/>
      <c r="H285" s="6" t="s">
        <v>126</v>
      </c>
      <c r="I285" s="6"/>
      <c r="J285" s="6"/>
      <c r="K285" s="7" t="s">
        <v>8662</v>
      </c>
      <c r="L285" s="8">
        <v>24029</v>
      </c>
      <c r="M285" s="8" t="str">
        <f t="shared" si="25"/>
        <v>PEN</v>
      </c>
      <c r="N285" s="13"/>
      <c r="O285" s="13">
        <v>15</v>
      </c>
      <c r="P285" s="3">
        <f t="shared" si="21"/>
        <v>0</v>
      </c>
      <c r="Q285" s="3">
        <f t="shared" si="22"/>
        <v>15</v>
      </c>
      <c r="R285" s="3">
        <f t="shared" si="23"/>
        <v>749.7999999999995</v>
      </c>
      <c r="S285" s="24" t="s">
        <v>1334</v>
      </c>
      <c r="T285" s="24" t="s">
        <v>1334</v>
      </c>
      <c r="U285" s="3"/>
      <c r="V285" s="25" t="s">
        <v>7761</v>
      </c>
      <c r="W285" s="25"/>
      <c r="X285" s="25" t="str">
        <f>IFERROR(VLOOKUP(C_Ope_005[[#This Row],[nota_2]],Clientes_Proveedores[[Ruc / Dni]:[Razon Social]],2,0),"")</f>
        <v/>
      </c>
      <c r="Y285" s="25"/>
      <c r="Z285" s="103"/>
      <c r="AA285" s="3" t="str">
        <f>IF(C_Ope_005[[#This Row],[fecha]]&gt;0,TEXT(C_Ope_005[[#This Row],[fecha]],"mmmm"),0)</f>
        <v>Abril</v>
      </c>
      <c r="AB285" s="49"/>
    </row>
    <row r="286" spans="1:28" x14ac:dyDescent="0.3">
      <c r="A286" s="2">
        <f>IF(C_Ope_005[[#This Row],[tipo_r]]="R",COUNTIFS($C$1:$C285,"R")+1,"")</f>
        <v>285</v>
      </c>
      <c r="B286" s="19" t="str">
        <f t="shared" si="24"/>
        <v>C_Ope_005</v>
      </c>
      <c r="C286" s="3" t="s">
        <v>1330</v>
      </c>
      <c r="D286" s="14">
        <v>45775</v>
      </c>
      <c r="E286" s="5" t="s">
        <v>8535</v>
      </c>
      <c r="F286" s="5" t="s">
        <v>1336</v>
      </c>
      <c r="G286" s="6"/>
      <c r="H286" s="6" t="s">
        <v>126</v>
      </c>
      <c r="I286" s="6"/>
      <c r="J286" s="6"/>
      <c r="K286" s="7" t="s">
        <v>8225</v>
      </c>
      <c r="L286" s="8">
        <v>24033</v>
      </c>
      <c r="M286" s="8" t="str">
        <f t="shared" si="25"/>
        <v>PEN</v>
      </c>
      <c r="N286" s="13"/>
      <c r="O286" s="13">
        <v>24</v>
      </c>
      <c r="P286" s="3">
        <f t="shared" si="21"/>
        <v>0</v>
      </c>
      <c r="Q286" s="3">
        <f t="shared" si="22"/>
        <v>24</v>
      </c>
      <c r="R286" s="3">
        <f t="shared" si="23"/>
        <v>725.7999999999995</v>
      </c>
      <c r="S286" s="24" t="s">
        <v>1334</v>
      </c>
      <c r="T286" s="24" t="s">
        <v>1334</v>
      </c>
      <c r="U286" s="3"/>
      <c r="V286" s="25" t="s">
        <v>7761</v>
      </c>
      <c r="W286" s="25"/>
      <c r="X286" s="25" t="str">
        <f>IFERROR(VLOOKUP(C_Ope_005[[#This Row],[nota_2]],Clientes_Proveedores[[Ruc / Dni]:[Razon Social]],2,0),"")</f>
        <v/>
      </c>
      <c r="Y286" s="25"/>
      <c r="Z286" s="103"/>
      <c r="AA286" s="3" t="str">
        <f>IF(C_Ope_005[[#This Row],[fecha]]&gt;0,TEXT(C_Ope_005[[#This Row],[fecha]],"mmmm"),0)</f>
        <v>Abril</v>
      </c>
      <c r="AB286" s="49"/>
    </row>
    <row r="287" spans="1:28" x14ac:dyDescent="0.3">
      <c r="A287" s="2">
        <f>IF(C_Ope_005[[#This Row],[tipo_r]]="R",COUNTIFS($C$1:$C286,"R")+1,"")</f>
        <v>286</v>
      </c>
      <c r="B287" s="19" t="str">
        <f t="shared" si="24"/>
        <v>C_Ope_005</v>
      </c>
      <c r="C287" s="3" t="s">
        <v>1330</v>
      </c>
      <c r="D287" s="14">
        <v>45775</v>
      </c>
      <c r="E287" s="5" t="s">
        <v>8535</v>
      </c>
      <c r="F287" s="5" t="s">
        <v>1336</v>
      </c>
      <c r="G287" s="6"/>
      <c r="H287" s="6" t="s">
        <v>126</v>
      </c>
      <c r="I287" s="6"/>
      <c r="J287" s="6"/>
      <c r="K287" s="7" t="s">
        <v>8218</v>
      </c>
      <c r="L287" s="8">
        <v>24034</v>
      </c>
      <c r="M287" s="8" t="str">
        <f t="shared" si="25"/>
        <v>PEN</v>
      </c>
      <c r="N287" s="13"/>
      <c r="O287" s="13">
        <v>30</v>
      </c>
      <c r="P287" s="3">
        <f t="shared" si="21"/>
        <v>0</v>
      </c>
      <c r="Q287" s="3">
        <f t="shared" si="22"/>
        <v>30</v>
      </c>
      <c r="R287" s="3">
        <f t="shared" si="23"/>
        <v>695.7999999999995</v>
      </c>
      <c r="S287" s="24" t="s">
        <v>1334</v>
      </c>
      <c r="T287" s="24" t="s">
        <v>1334</v>
      </c>
      <c r="U287" s="3"/>
      <c r="V287" s="25" t="s">
        <v>7761</v>
      </c>
      <c r="W287" s="25"/>
      <c r="X287" s="25" t="str">
        <f>IFERROR(VLOOKUP(C_Ope_005[[#This Row],[nota_2]],Clientes_Proveedores[[Ruc / Dni]:[Razon Social]],2,0),"")</f>
        <v/>
      </c>
      <c r="Y287" s="25"/>
      <c r="Z287" s="103"/>
      <c r="AA287" s="3" t="str">
        <f>IF(C_Ope_005[[#This Row],[fecha]]&gt;0,TEXT(C_Ope_005[[#This Row],[fecha]],"mmmm"),0)</f>
        <v>Abril</v>
      </c>
      <c r="AB287" s="49"/>
    </row>
    <row r="288" spans="1:28" x14ac:dyDescent="0.3">
      <c r="A288" s="2">
        <f>IF(C_Ope_005[[#This Row],[tipo_r]]="R",COUNTIFS($C$1:$C287,"R")+1,"")</f>
        <v>287</v>
      </c>
      <c r="B288" s="19" t="str">
        <f t="shared" si="24"/>
        <v>C_Ope_005</v>
      </c>
      <c r="C288" s="3" t="s">
        <v>1330</v>
      </c>
      <c r="D288" s="14">
        <v>45775</v>
      </c>
      <c r="E288" s="5" t="s">
        <v>8535</v>
      </c>
      <c r="F288" s="5" t="s">
        <v>1336</v>
      </c>
      <c r="G288" s="6"/>
      <c r="H288" s="6" t="s">
        <v>126</v>
      </c>
      <c r="I288" s="6"/>
      <c r="J288" s="6"/>
      <c r="K288" s="7" t="s">
        <v>8663</v>
      </c>
      <c r="L288" s="8">
        <v>24035</v>
      </c>
      <c r="M288" s="8" t="str">
        <f t="shared" si="25"/>
        <v>PEN</v>
      </c>
      <c r="N288" s="13"/>
      <c r="O288" s="13">
        <v>24</v>
      </c>
      <c r="P288" s="3">
        <f t="shared" si="21"/>
        <v>0</v>
      </c>
      <c r="Q288" s="3">
        <f t="shared" si="22"/>
        <v>24</v>
      </c>
      <c r="R288" s="3">
        <f t="shared" si="23"/>
        <v>671.7999999999995</v>
      </c>
      <c r="S288" s="24" t="s">
        <v>1334</v>
      </c>
      <c r="T288" s="24" t="s">
        <v>1334</v>
      </c>
      <c r="U288" s="3"/>
      <c r="V288" s="25" t="s">
        <v>7761</v>
      </c>
      <c r="W288" s="25"/>
      <c r="X288" s="25" t="str">
        <f>IFERROR(VLOOKUP(C_Ope_005[[#This Row],[nota_2]],Clientes_Proveedores[[Ruc / Dni]:[Razon Social]],2,0),"")</f>
        <v/>
      </c>
      <c r="Y288" s="25"/>
      <c r="Z288" s="103"/>
      <c r="AA288" s="3" t="str">
        <f>IF(C_Ope_005[[#This Row],[fecha]]&gt;0,TEXT(C_Ope_005[[#This Row],[fecha]],"mmmm"),0)</f>
        <v>Abril</v>
      </c>
      <c r="AB288" s="49"/>
    </row>
    <row r="289" spans="1:28" x14ac:dyDescent="0.3">
      <c r="A289" s="2">
        <f>IF(C_Ope_005[[#This Row],[tipo_r]]="R",COUNTIFS($C$1:$C288,"R")+1,"")</f>
        <v>288</v>
      </c>
      <c r="B289" s="19" t="str">
        <f t="shared" si="24"/>
        <v>C_Ope_005</v>
      </c>
      <c r="C289" s="3" t="s">
        <v>1330</v>
      </c>
      <c r="D289" s="14">
        <v>45775</v>
      </c>
      <c r="E289" s="5" t="s">
        <v>8535</v>
      </c>
      <c r="F289" s="5" t="s">
        <v>1336</v>
      </c>
      <c r="G289" s="6"/>
      <c r="H289" s="6" t="s">
        <v>126</v>
      </c>
      <c r="I289" s="6"/>
      <c r="J289" s="6"/>
      <c r="K289" s="7" t="s">
        <v>8664</v>
      </c>
      <c r="L289" s="8">
        <v>24036</v>
      </c>
      <c r="M289" s="8" t="str">
        <f t="shared" si="25"/>
        <v>PEN</v>
      </c>
      <c r="N289" s="13"/>
      <c r="O289" s="13">
        <v>15</v>
      </c>
      <c r="P289" s="3">
        <f t="shared" si="21"/>
        <v>0</v>
      </c>
      <c r="Q289" s="3">
        <f t="shared" si="22"/>
        <v>15</v>
      </c>
      <c r="R289" s="3">
        <f t="shared" si="23"/>
        <v>656.7999999999995</v>
      </c>
      <c r="S289" s="24" t="s">
        <v>1334</v>
      </c>
      <c r="T289" s="24" t="s">
        <v>1334</v>
      </c>
      <c r="U289" s="3"/>
      <c r="V289" s="25" t="s">
        <v>7761</v>
      </c>
      <c r="W289" s="25"/>
      <c r="X289" s="25" t="str">
        <f>IFERROR(VLOOKUP(C_Ope_005[[#This Row],[nota_2]],Clientes_Proveedores[[Ruc / Dni]:[Razon Social]],2,0),"")</f>
        <v/>
      </c>
      <c r="Y289" s="25"/>
      <c r="Z289" s="103"/>
      <c r="AA289" s="3" t="str">
        <f>IF(C_Ope_005[[#This Row],[fecha]]&gt;0,TEXT(C_Ope_005[[#This Row],[fecha]],"mmmm"),0)</f>
        <v>Abril</v>
      </c>
      <c r="AB289" s="49"/>
    </row>
    <row r="290" spans="1:28" x14ac:dyDescent="0.3">
      <c r="A290" s="2">
        <f>IF(C_Ope_005[[#This Row],[tipo_r]]="R",COUNTIFS($C$1:$C289,"R")+1,"")</f>
        <v>289</v>
      </c>
      <c r="B290" s="19" t="str">
        <f t="shared" si="24"/>
        <v>C_Ope_005</v>
      </c>
      <c r="C290" s="3" t="s">
        <v>1330</v>
      </c>
      <c r="D290" s="14">
        <v>45776</v>
      </c>
      <c r="E290" s="5" t="s">
        <v>8535</v>
      </c>
      <c r="F290" s="5" t="s">
        <v>1336</v>
      </c>
      <c r="G290" s="6" t="s">
        <v>1182</v>
      </c>
      <c r="H290" s="6" t="s">
        <v>68</v>
      </c>
      <c r="I290" s="6" t="s">
        <v>1376</v>
      </c>
      <c r="J290" s="6">
        <v>296</v>
      </c>
      <c r="K290" s="7" t="s">
        <v>8665</v>
      </c>
      <c r="L290" s="8">
        <v>24064</v>
      </c>
      <c r="M290" s="8" t="str">
        <f t="shared" si="25"/>
        <v>PEN</v>
      </c>
      <c r="N290" s="13"/>
      <c r="O290" s="13">
        <v>100</v>
      </c>
      <c r="P290" s="3">
        <f t="shared" si="21"/>
        <v>0</v>
      </c>
      <c r="Q290" s="3">
        <f t="shared" si="22"/>
        <v>100</v>
      </c>
      <c r="R290" s="3">
        <f t="shared" si="23"/>
        <v>556.7999999999995</v>
      </c>
      <c r="S290" s="24" t="s">
        <v>1334</v>
      </c>
      <c r="T290" s="24" t="s">
        <v>1334</v>
      </c>
      <c r="U290" s="3"/>
      <c r="V290" s="25" t="s">
        <v>7761</v>
      </c>
      <c r="W290" s="25">
        <v>20600818326</v>
      </c>
      <c r="X290" s="25" t="str">
        <f>IFERROR(VLOOKUP(C_Ope_005[[#This Row],[nota_2]],Clientes_Proveedores[[Ruc / Dni]:[Razon Social]],2,0),"")</f>
        <v>HOSTARC INN E.I.R.L.</v>
      </c>
      <c r="Y290" s="25"/>
      <c r="Z290" s="103"/>
      <c r="AA290" s="3" t="str">
        <f>IF(C_Ope_005[[#This Row],[fecha]]&gt;0,TEXT(C_Ope_005[[#This Row],[fecha]],"mmmm"),0)</f>
        <v>Abril</v>
      </c>
      <c r="AB290" s="49"/>
    </row>
    <row r="291" spans="1:28" x14ac:dyDescent="0.3">
      <c r="A291" s="2">
        <f>IF(C_Ope_005[[#This Row],[tipo_r]]="R",COUNTIFS($C$1:$C290,"R")+1,"")</f>
        <v>290</v>
      </c>
      <c r="B291" s="19" t="str">
        <f t="shared" si="24"/>
        <v>C_Ope_005</v>
      </c>
      <c r="C291" s="3" t="s">
        <v>1330</v>
      </c>
      <c r="D291" s="14">
        <v>45776</v>
      </c>
      <c r="E291" s="5" t="s">
        <v>8535</v>
      </c>
      <c r="F291" s="5" t="s">
        <v>1336</v>
      </c>
      <c r="G291" s="6"/>
      <c r="H291" s="6" t="s">
        <v>126</v>
      </c>
      <c r="I291" s="6"/>
      <c r="J291" s="6"/>
      <c r="K291" s="7" t="s">
        <v>8225</v>
      </c>
      <c r="L291" s="8">
        <v>24065</v>
      </c>
      <c r="M291" s="8" t="str">
        <f t="shared" si="25"/>
        <v>PEN</v>
      </c>
      <c r="N291" s="13"/>
      <c r="O291" s="13">
        <v>24</v>
      </c>
      <c r="P291" s="3">
        <f t="shared" si="21"/>
        <v>0</v>
      </c>
      <c r="Q291" s="3">
        <f t="shared" si="22"/>
        <v>24</v>
      </c>
      <c r="R291" s="3">
        <f t="shared" si="23"/>
        <v>532.7999999999995</v>
      </c>
      <c r="S291" s="24" t="s">
        <v>1334</v>
      </c>
      <c r="T291" s="24" t="s">
        <v>1334</v>
      </c>
      <c r="U291" s="3"/>
      <c r="V291" s="25" t="s">
        <v>7761</v>
      </c>
      <c r="W291" s="25"/>
      <c r="X291" s="25" t="str">
        <f>IFERROR(VLOOKUP(C_Ope_005[[#This Row],[nota_2]],Clientes_Proveedores[[Ruc / Dni]:[Razon Social]],2,0),"")</f>
        <v/>
      </c>
      <c r="Y291" s="25"/>
      <c r="Z291" s="103"/>
      <c r="AA291" s="3" t="str">
        <f>IF(C_Ope_005[[#This Row],[fecha]]&gt;0,TEXT(C_Ope_005[[#This Row],[fecha]],"mmmm"),0)</f>
        <v>Abril</v>
      </c>
      <c r="AB291" s="49"/>
    </row>
    <row r="292" spans="1:28" x14ac:dyDescent="0.3">
      <c r="A292" s="2">
        <f>IF(C_Ope_005[[#This Row],[tipo_r]]="R",COUNTIFS($C$1:$C291,"R")+1,"")</f>
        <v>291</v>
      </c>
      <c r="B292" s="19" t="str">
        <f t="shared" si="24"/>
        <v>C_Ope_005</v>
      </c>
      <c r="C292" s="3" t="s">
        <v>1330</v>
      </c>
      <c r="D292" s="14">
        <v>45776</v>
      </c>
      <c r="E292" s="5" t="s">
        <v>8535</v>
      </c>
      <c r="F292" s="5" t="s">
        <v>1336</v>
      </c>
      <c r="G292" s="6"/>
      <c r="H292" s="6" t="s">
        <v>126</v>
      </c>
      <c r="I292" s="6"/>
      <c r="J292" s="6"/>
      <c r="K292" s="7" t="s">
        <v>8218</v>
      </c>
      <c r="L292" s="8">
        <v>24066</v>
      </c>
      <c r="M292" s="8" t="str">
        <f t="shared" si="25"/>
        <v>PEN</v>
      </c>
      <c r="N292" s="13"/>
      <c r="O292" s="13">
        <v>30</v>
      </c>
      <c r="P292" s="3">
        <f t="shared" si="21"/>
        <v>0</v>
      </c>
      <c r="Q292" s="3">
        <f t="shared" si="22"/>
        <v>30</v>
      </c>
      <c r="R292" s="3">
        <f t="shared" si="23"/>
        <v>502.7999999999995</v>
      </c>
      <c r="S292" s="24" t="s">
        <v>1334</v>
      </c>
      <c r="T292" s="24" t="s">
        <v>1334</v>
      </c>
      <c r="U292" s="3"/>
      <c r="V292" s="25" t="s">
        <v>7761</v>
      </c>
      <c r="W292" s="25"/>
      <c r="X292" s="25" t="str">
        <f>IFERROR(VLOOKUP(C_Ope_005[[#This Row],[nota_2]],Clientes_Proveedores[[Ruc / Dni]:[Razon Social]],2,0),"")</f>
        <v/>
      </c>
      <c r="Y292" s="25"/>
      <c r="Z292" s="103"/>
      <c r="AA292" s="3" t="str">
        <f>IF(C_Ope_005[[#This Row],[fecha]]&gt;0,TEXT(C_Ope_005[[#This Row],[fecha]],"mmmm"),0)</f>
        <v>Abril</v>
      </c>
      <c r="AB292" s="49"/>
    </row>
    <row r="293" spans="1:28" x14ac:dyDescent="0.3">
      <c r="A293" s="2">
        <f>IF(C_Ope_005[[#This Row],[tipo_r]]="R",COUNTIFS($C$1:$C292,"R")+1,"")</f>
        <v>292</v>
      </c>
      <c r="B293" s="19" t="str">
        <f t="shared" si="24"/>
        <v>C_Ope_005</v>
      </c>
      <c r="C293" s="3" t="s">
        <v>1330</v>
      </c>
      <c r="D293" s="14">
        <v>45776</v>
      </c>
      <c r="E293" s="5" t="s">
        <v>8535</v>
      </c>
      <c r="F293" s="5" t="s">
        <v>1336</v>
      </c>
      <c r="G293" s="6"/>
      <c r="H293" s="6" t="s">
        <v>126</v>
      </c>
      <c r="I293" s="6"/>
      <c r="J293" s="6"/>
      <c r="K293" s="7" t="s">
        <v>8231</v>
      </c>
      <c r="L293" s="8">
        <v>24067</v>
      </c>
      <c r="M293" s="8" t="str">
        <f t="shared" si="25"/>
        <v>PEN</v>
      </c>
      <c r="N293" s="13"/>
      <c r="O293" s="13">
        <v>24</v>
      </c>
      <c r="P293" s="3">
        <f t="shared" si="21"/>
        <v>0</v>
      </c>
      <c r="Q293" s="3">
        <f t="shared" si="22"/>
        <v>24</v>
      </c>
      <c r="R293" s="3">
        <f t="shared" si="23"/>
        <v>478.7999999999995</v>
      </c>
      <c r="S293" s="24" t="s">
        <v>1334</v>
      </c>
      <c r="T293" s="24" t="s">
        <v>1334</v>
      </c>
      <c r="U293" s="3"/>
      <c r="V293" s="25" t="s">
        <v>7761</v>
      </c>
      <c r="W293" s="25"/>
      <c r="X293" s="25" t="str">
        <f>IFERROR(VLOOKUP(C_Ope_005[[#This Row],[nota_2]],Clientes_Proveedores[[Ruc / Dni]:[Razon Social]],2,0),"")</f>
        <v/>
      </c>
      <c r="Y293" s="25"/>
      <c r="Z293" s="103"/>
      <c r="AA293" s="3" t="str">
        <f>IF(C_Ope_005[[#This Row],[fecha]]&gt;0,TEXT(C_Ope_005[[#This Row],[fecha]],"mmmm"),0)</f>
        <v>Abril</v>
      </c>
      <c r="AB293" s="49"/>
    </row>
    <row r="294" spans="1:28" ht="24" x14ac:dyDescent="0.3">
      <c r="A294" s="2">
        <f>IF(C_Ope_005[[#This Row],[tipo_r]]="R",COUNTIFS($C$1:$C293,"R")+1,"")</f>
        <v>293</v>
      </c>
      <c r="B294" s="19" t="str">
        <f t="shared" si="24"/>
        <v>C_Ope_005</v>
      </c>
      <c r="C294" s="3" t="s">
        <v>1330</v>
      </c>
      <c r="D294" s="14">
        <v>45776</v>
      </c>
      <c r="E294" s="5" t="s">
        <v>8535</v>
      </c>
      <c r="F294" s="5" t="s">
        <v>1336</v>
      </c>
      <c r="G294" s="6" t="s">
        <v>1065</v>
      </c>
      <c r="H294" s="6" t="s">
        <v>75</v>
      </c>
      <c r="I294" s="6">
        <v>1</v>
      </c>
      <c r="J294" s="6">
        <v>150</v>
      </c>
      <c r="K294" s="7" t="s">
        <v>8598</v>
      </c>
      <c r="L294" s="8">
        <v>24068</v>
      </c>
      <c r="M294" s="8" t="str">
        <f t="shared" si="25"/>
        <v>PEN</v>
      </c>
      <c r="N294" s="13"/>
      <c r="O294" s="13">
        <v>100</v>
      </c>
      <c r="P294" s="3">
        <f t="shared" si="21"/>
        <v>0</v>
      </c>
      <c r="Q294" s="3">
        <f t="shared" si="22"/>
        <v>100</v>
      </c>
      <c r="R294" s="3">
        <f t="shared" si="23"/>
        <v>378.7999999999995</v>
      </c>
      <c r="S294" s="24" t="s">
        <v>1334</v>
      </c>
      <c r="T294" s="24" t="s">
        <v>1334</v>
      </c>
      <c r="U294" s="3"/>
      <c r="V294" s="25" t="s">
        <v>7761</v>
      </c>
      <c r="W294" s="25">
        <v>10710506634</v>
      </c>
      <c r="X294" s="25" t="str">
        <f>IFERROR(VLOOKUP(C_Ope_005[[#This Row],[nota_2]],Clientes_Proveedores[[Ruc / Dni]:[Razon Social]],2,0),"")</f>
        <v>LAZARTE QUISPE ELVIS WALDIR</v>
      </c>
      <c r="Y294" s="25"/>
      <c r="Z294" s="103"/>
      <c r="AA294" s="3" t="str">
        <f>IF(C_Ope_005[[#This Row],[fecha]]&gt;0,TEXT(C_Ope_005[[#This Row],[fecha]],"mmmm"),0)</f>
        <v>Abril</v>
      </c>
      <c r="AB294" s="49"/>
    </row>
    <row r="295" spans="1:28" x14ac:dyDescent="0.3">
      <c r="A295" s="2">
        <f>IF(C_Ope_005[[#This Row],[tipo_r]]="R",COUNTIFS($C$1:$C294,"R")+1,"")</f>
        <v>294</v>
      </c>
      <c r="B295" s="19" t="str">
        <f t="shared" si="24"/>
        <v>C_Ope_005</v>
      </c>
      <c r="C295" s="3" t="s">
        <v>1330</v>
      </c>
      <c r="D295" s="14">
        <v>45776</v>
      </c>
      <c r="E295" s="5" t="s">
        <v>8535</v>
      </c>
      <c r="F295" s="5" t="s">
        <v>1336</v>
      </c>
      <c r="G295" s="6"/>
      <c r="H295" s="6" t="s">
        <v>126</v>
      </c>
      <c r="I295" s="6"/>
      <c r="J295" s="6"/>
      <c r="K295" s="7" t="s">
        <v>8561</v>
      </c>
      <c r="L295" s="8">
        <v>24069</v>
      </c>
      <c r="M295" s="8" t="str">
        <f t="shared" si="25"/>
        <v>PEN</v>
      </c>
      <c r="N295" s="13"/>
      <c r="O295" s="13">
        <v>15</v>
      </c>
      <c r="P295" s="3">
        <f t="shared" si="21"/>
        <v>0</v>
      </c>
      <c r="Q295" s="3">
        <f t="shared" si="22"/>
        <v>15</v>
      </c>
      <c r="R295" s="3">
        <f t="shared" si="23"/>
        <v>363.7999999999995</v>
      </c>
      <c r="S295" s="24" t="s">
        <v>1334</v>
      </c>
      <c r="T295" s="24" t="s">
        <v>1334</v>
      </c>
      <c r="U295" s="3"/>
      <c r="V295" s="25" t="s">
        <v>7761</v>
      </c>
      <c r="W295" s="25"/>
      <c r="X295" s="25" t="str">
        <f>IFERROR(VLOOKUP(C_Ope_005[[#This Row],[nota_2]],Clientes_Proveedores[[Ruc / Dni]:[Razon Social]],2,0),"")</f>
        <v/>
      </c>
      <c r="Y295" s="25"/>
      <c r="Z295" s="103"/>
      <c r="AA295" s="3" t="str">
        <f>IF(C_Ope_005[[#This Row],[fecha]]&gt;0,TEXT(C_Ope_005[[#This Row],[fecha]],"mmmm"),0)</f>
        <v>Abril</v>
      </c>
      <c r="AB295" s="49"/>
    </row>
    <row r="296" spans="1:28" x14ac:dyDescent="0.3">
      <c r="A296" s="2">
        <f>IF(C_Ope_005[[#This Row],[tipo_r]]="R",COUNTIFS($C$1:$C295,"R")+1,"")</f>
        <v>295</v>
      </c>
      <c r="B296" s="19" t="str">
        <f t="shared" si="24"/>
        <v>C_Ope_005</v>
      </c>
      <c r="C296" s="3" t="s">
        <v>1330</v>
      </c>
      <c r="D296" s="14">
        <v>45777</v>
      </c>
      <c r="E296" s="5" t="s">
        <v>8535</v>
      </c>
      <c r="F296" s="5" t="s">
        <v>1336</v>
      </c>
      <c r="G296" s="6"/>
      <c r="H296" s="6" t="s">
        <v>126</v>
      </c>
      <c r="I296" s="6"/>
      <c r="J296" s="6"/>
      <c r="K296" s="7" t="s">
        <v>8225</v>
      </c>
      <c r="L296" s="8">
        <v>24074</v>
      </c>
      <c r="M296" s="8" t="str">
        <f t="shared" si="25"/>
        <v>PEN</v>
      </c>
      <c r="N296" s="13"/>
      <c r="O296" s="13">
        <v>24</v>
      </c>
      <c r="P296" s="3">
        <f t="shared" si="21"/>
        <v>0</v>
      </c>
      <c r="Q296" s="3">
        <f t="shared" si="22"/>
        <v>24</v>
      </c>
      <c r="R296" s="3">
        <f t="shared" si="23"/>
        <v>339.7999999999995</v>
      </c>
      <c r="S296" s="24" t="s">
        <v>1334</v>
      </c>
      <c r="T296" s="24" t="s">
        <v>1334</v>
      </c>
      <c r="U296" s="3"/>
      <c r="V296" s="25" t="s">
        <v>7761</v>
      </c>
      <c r="W296" s="25"/>
      <c r="X296" s="25" t="str">
        <f>IFERROR(VLOOKUP(C_Ope_005[[#This Row],[nota_2]],Clientes_Proveedores[[Ruc / Dni]:[Razon Social]],2,0),"")</f>
        <v/>
      </c>
      <c r="Y296" s="25"/>
      <c r="Z296" s="103"/>
      <c r="AA296" s="3" t="str">
        <f>IF(C_Ope_005[[#This Row],[fecha]]&gt;0,TEXT(C_Ope_005[[#This Row],[fecha]],"mmmm"),0)</f>
        <v>Abril</v>
      </c>
      <c r="AB296" s="49"/>
    </row>
    <row r="297" spans="1:28" ht="24" x14ac:dyDescent="0.3">
      <c r="A297" s="2">
        <f>IF(C_Ope_005[[#This Row],[tipo_r]]="R",COUNTIFS($C$1:$C296,"R")+1,"")</f>
        <v>296</v>
      </c>
      <c r="B297" s="19" t="str">
        <f t="shared" si="24"/>
        <v>C_Ope_005</v>
      </c>
      <c r="C297" s="3" t="s">
        <v>1330</v>
      </c>
      <c r="D297" s="14">
        <v>45777</v>
      </c>
      <c r="E297" s="5" t="s">
        <v>8535</v>
      </c>
      <c r="F297" s="5" t="s">
        <v>1336</v>
      </c>
      <c r="G297" s="6" t="s">
        <v>999</v>
      </c>
      <c r="H297" s="6" t="s">
        <v>68</v>
      </c>
      <c r="I297" s="6" t="s">
        <v>1374</v>
      </c>
      <c r="J297" s="6">
        <v>17507</v>
      </c>
      <c r="K297" s="7" t="s">
        <v>7777</v>
      </c>
      <c r="L297" s="8">
        <v>24075</v>
      </c>
      <c r="M297" s="8" t="str">
        <f t="shared" si="25"/>
        <v>PEN</v>
      </c>
      <c r="N297" s="13"/>
      <c r="O297" s="13">
        <v>25</v>
      </c>
      <c r="P297" s="3">
        <f t="shared" si="21"/>
        <v>0</v>
      </c>
      <c r="Q297" s="3">
        <f t="shared" si="22"/>
        <v>25</v>
      </c>
      <c r="R297" s="3">
        <f t="shared" si="23"/>
        <v>314.7999999999995</v>
      </c>
      <c r="S297" s="24" t="s">
        <v>1334</v>
      </c>
      <c r="T297" s="24" t="s">
        <v>1334</v>
      </c>
      <c r="U297" s="3"/>
      <c r="V297" s="25" t="s">
        <v>7761</v>
      </c>
      <c r="W297" s="25">
        <v>10705628331</v>
      </c>
      <c r="X297" s="25" t="str">
        <f>IFERROR(VLOOKUP(C_Ope_005[[#This Row],[nota_2]],Clientes_Proveedores[[Ruc / Dni]:[Razon Social]],2,0),"")</f>
        <v>LARICO APAZA NANCY ROSSMARY</v>
      </c>
      <c r="Y297" s="25"/>
      <c r="Z297" s="103"/>
      <c r="AA297" s="3" t="str">
        <f>IF(C_Ope_005[[#This Row],[fecha]]&gt;0,TEXT(C_Ope_005[[#This Row],[fecha]],"mmmm"),0)</f>
        <v>Abril</v>
      </c>
      <c r="AB297" s="49"/>
    </row>
    <row r="298" spans="1:28" ht="24" x14ac:dyDescent="0.3">
      <c r="A298" s="2">
        <f>IF(C_Ope_005[[#This Row],[tipo_r]]="R",COUNTIFS($C$1:$C297,"R")+1,"")</f>
        <v>297</v>
      </c>
      <c r="B298" s="19" t="str">
        <f t="shared" si="24"/>
        <v>C_Ope_005</v>
      </c>
      <c r="C298" s="3" t="s">
        <v>1330</v>
      </c>
      <c r="D298" s="14">
        <v>45810</v>
      </c>
      <c r="E298" s="5" t="s">
        <v>8535</v>
      </c>
      <c r="F298" s="5" t="s">
        <v>1336</v>
      </c>
      <c r="G298" s="6" t="s">
        <v>978</v>
      </c>
      <c r="H298" s="6" t="s">
        <v>68</v>
      </c>
      <c r="I298" s="6" t="s">
        <v>5688</v>
      </c>
      <c r="J298" s="6">
        <v>2352384</v>
      </c>
      <c r="K298" s="7" t="s">
        <v>8666</v>
      </c>
      <c r="L298" s="8">
        <v>24409</v>
      </c>
      <c r="M298" s="8" t="str">
        <f t="shared" si="25"/>
        <v>PEN</v>
      </c>
      <c r="N298" s="13"/>
      <c r="O298" s="13">
        <v>8</v>
      </c>
      <c r="P298" s="3">
        <f t="shared" si="21"/>
        <v>0</v>
      </c>
      <c r="Q298" s="3">
        <f t="shared" si="22"/>
        <v>8</v>
      </c>
      <c r="R298" s="3">
        <f t="shared" si="23"/>
        <v>306.7999999999995</v>
      </c>
      <c r="S298" s="24" t="s">
        <v>1334</v>
      </c>
      <c r="T298" s="24" t="s">
        <v>1334</v>
      </c>
      <c r="U298" s="3"/>
      <c r="V298" s="25" t="s">
        <v>7756</v>
      </c>
      <c r="W298" s="25">
        <v>20517252558</v>
      </c>
      <c r="X298" s="25" t="str">
        <f>IFERROR(VLOOKUP(C_Ope_005[[#This Row],[nota_2]],Clientes_Proveedores[[Ruc / Dni]:[Razon Social]],2,0),"")</f>
        <v>COVISUR S.A.</v>
      </c>
      <c r="Y298" s="25"/>
      <c r="Z298" s="103"/>
      <c r="AA298" s="3" t="str">
        <f>IF(C_Ope_005[[#This Row],[fecha]]&gt;0,TEXT(C_Ope_005[[#This Row],[fecha]],"mmmm"),0)</f>
        <v>Junio</v>
      </c>
      <c r="AB298" s="49"/>
    </row>
    <row r="299" spans="1:28" ht="24" x14ac:dyDescent="0.3">
      <c r="A299" s="2">
        <f>IF(C_Ope_005[[#This Row],[tipo_r]]="R",COUNTIFS($C$1:$C298,"R")+1,"")</f>
        <v>298</v>
      </c>
      <c r="B299" s="19" t="str">
        <f t="shared" si="24"/>
        <v>C_Ope_005</v>
      </c>
      <c r="C299" s="3" t="s">
        <v>1330</v>
      </c>
      <c r="D299" s="14">
        <v>45810</v>
      </c>
      <c r="E299" s="5" t="s">
        <v>8535</v>
      </c>
      <c r="F299" s="5" t="s">
        <v>1336</v>
      </c>
      <c r="G299" s="6" t="s">
        <v>978</v>
      </c>
      <c r="H299" s="6" t="s">
        <v>68</v>
      </c>
      <c r="I299" s="6" t="s">
        <v>6203</v>
      </c>
      <c r="J299" s="6">
        <v>2069543</v>
      </c>
      <c r="K299" s="7" t="s">
        <v>8666</v>
      </c>
      <c r="L299" s="8">
        <v>24410</v>
      </c>
      <c r="M299" s="8" t="str">
        <f t="shared" si="25"/>
        <v>PEN</v>
      </c>
      <c r="N299" s="13"/>
      <c r="O299" s="13">
        <v>8</v>
      </c>
      <c r="P299" s="3">
        <f t="shared" si="21"/>
        <v>0</v>
      </c>
      <c r="Q299" s="3">
        <f t="shared" si="22"/>
        <v>8</v>
      </c>
      <c r="R299" s="3">
        <f t="shared" si="23"/>
        <v>298.7999999999995</v>
      </c>
      <c r="S299" s="24" t="s">
        <v>1334</v>
      </c>
      <c r="T299" s="24" t="s">
        <v>1334</v>
      </c>
      <c r="U299" s="3"/>
      <c r="V299" s="25" t="s">
        <v>7756</v>
      </c>
      <c r="W299" s="25">
        <v>20517252558</v>
      </c>
      <c r="X299" s="25" t="str">
        <f>IFERROR(VLOOKUP(C_Ope_005[[#This Row],[nota_2]],Clientes_Proveedores[[Ruc / Dni]:[Razon Social]],2,0),"")</f>
        <v>COVISUR S.A.</v>
      </c>
      <c r="Y299" s="25"/>
      <c r="Z299" s="103"/>
      <c r="AA299" s="3" t="str">
        <f>IF(C_Ope_005[[#This Row],[fecha]]&gt;0,TEXT(C_Ope_005[[#This Row],[fecha]],"mmmm"),0)</f>
        <v>Junio</v>
      </c>
      <c r="AB299" s="49"/>
    </row>
    <row r="300" spans="1:28" ht="24" x14ac:dyDescent="0.3">
      <c r="A300" s="2">
        <f>IF(C_Ope_005[[#This Row],[tipo_r]]="R",COUNTIFS($C$1:$C299,"R")+1,"")</f>
        <v>299</v>
      </c>
      <c r="B300" s="19" t="str">
        <f t="shared" si="24"/>
        <v>C_Ope_005</v>
      </c>
      <c r="C300" s="3" t="s">
        <v>1330</v>
      </c>
      <c r="D300" s="14">
        <v>45810</v>
      </c>
      <c r="E300" s="5" t="s">
        <v>8535</v>
      </c>
      <c r="F300" s="5" t="s">
        <v>1336</v>
      </c>
      <c r="G300" s="6" t="s">
        <v>978</v>
      </c>
      <c r="H300" s="6" t="s">
        <v>68</v>
      </c>
      <c r="I300" s="6" t="s">
        <v>6379</v>
      </c>
      <c r="J300" s="6">
        <v>477859</v>
      </c>
      <c r="K300" s="7" t="s">
        <v>8667</v>
      </c>
      <c r="L300" s="8">
        <v>24411</v>
      </c>
      <c r="M300" s="8" t="str">
        <f t="shared" si="25"/>
        <v>PEN</v>
      </c>
      <c r="N300" s="13"/>
      <c r="O300" s="13">
        <v>8</v>
      </c>
      <c r="P300" s="3">
        <f t="shared" si="21"/>
        <v>0</v>
      </c>
      <c r="Q300" s="3">
        <f t="shared" si="22"/>
        <v>8</v>
      </c>
      <c r="R300" s="3">
        <f t="shared" si="23"/>
        <v>290.7999999999995</v>
      </c>
      <c r="S300" s="24" t="s">
        <v>1334</v>
      </c>
      <c r="T300" s="24" t="s">
        <v>1334</v>
      </c>
      <c r="U300" s="3"/>
      <c r="V300" s="25" t="s">
        <v>7756</v>
      </c>
      <c r="W300" s="25">
        <v>20517252558</v>
      </c>
      <c r="X300" s="25" t="str">
        <f>IFERROR(VLOOKUP(C_Ope_005[[#This Row],[nota_2]],Clientes_Proveedores[[Ruc / Dni]:[Razon Social]],2,0),"")</f>
        <v>COVISUR S.A.</v>
      </c>
      <c r="Y300" s="25"/>
      <c r="Z300" s="103"/>
      <c r="AA300" s="3" t="str">
        <f>IF(C_Ope_005[[#This Row],[fecha]]&gt;0,TEXT(C_Ope_005[[#This Row],[fecha]],"mmmm"),0)</f>
        <v>Junio</v>
      </c>
      <c r="AB300" s="49"/>
    </row>
    <row r="301" spans="1:28" ht="24" x14ac:dyDescent="0.3">
      <c r="A301" s="2">
        <f>IF(C_Ope_005[[#This Row],[tipo_r]]="R",COUNTIFS($C$1:$C300,"R")+1,"")</f>
        <v>300</v>
      </c>
      <c r="B301" s="19" t="str">
        <f t="shared" si="24"/>
        <v>C_Ope_005</v>
      </c>
      <c r="C301" s="3" t="s">
        <v>1330</v>
      </c>
      <c r="D301" s="14">
        <v>45810</v>
      </c>
      <c r="E301" s="5" t="s">
        <v>8535</v>
      </c>
      <c r="F301" s="5" t="s">
        <v>1336</v>
      </c>
      <c r="G301" s="6" t="s">
        <v>978</v>
      </c>
      <c r="H301" s="6" t="s">
        <v>68</v>
      </c>
      <c r="I301" s="6" t="s">
        <v>6380</v>
      </c>
      <c r="J301" s="6">
        <v>386548</v>
      </c>
      <c r="K301" s="7" t="s">
        <v>8667</v>
      </c>
      <c r="L301" s="8">
        <v>24412</v>
      </c>
      <c r="M301" s="8" t="str">
        <f t="shared" si="25"/>
        <v>PEN</v>
      </c>
      <c r="N301" s="13"/>
      <c r="O301" s="13">
        <v>8</v>
      </c>
      <c r="P301" s="3">
        <f t="shared" si="21"/>
        <v>0</v>
      </c>
      <c r="Q301" s="3">
        <f t="shared" si="22"/>
        <v>8</v>
      </c>
      <c r="R301" s="3">
        <f t="shared" si="23"/>
        <v>282.7999999999995</v>
      </c>
      <c r="S301" s="24" t="s">
        <v>1334</v>
      </c>
      <c r="T301" s="24" t="s">
        <v>1334</v>
      </c>
      <c r="U301" s="3"/>
      <c r="V301" s="25" t="s">
        <v>7756</v>
      </c>
      <c r="W301" s="25">
        <v>20517252558</v>
      </c>
      <c r="X301" s="25" t="str">
        <f>IFERROR(VLOOKUP(C_Ope_005[[#This Row],[nota_2]],Clientes_Proveedores[[Ruc / Dni]:[Razon Social]],2,0),"")</f>
        <v>COVISUR S.A.</v>
      </c>
      <c r="Y301" s="25"/>
      <c r="Z301" s="103"/>
      <c r="AA301" s="3" t="str">
        <f>IF(C_Ope_005[[#This Row],[fecha]]&gt;0,TEXT(C_Ope_005[[#This Row],[fecha]],"mmmm"),0)</f>
        <v>Junio</v>
      </c>
      <c r="AB301" s="49"/>
    </row>
    <row r="302" spans="1:28" ht="36" x14ac:dyDescent="0.3">
      <c r="A302" s="2">
        <f>IF(C_Ope_005[[#This Row],[tipo_r]]="R",COUNTIFS($C$1:$C301,"R")+1,"")</f>
        <v>301</v>
      </c>
      <c r="B302" s="19" t="str">
        <f t="shared" si="24"/>
        <v>C_Ope_005</v>
      </c>
      <c r="C302" s="3" t="s">
        <v>1330</v>
      </c>
      <c r="D302" s="14">
        <v>45810</v>
      </c>
      <c r="E302" s="5" t="s">
        <v>8535</v>
      </c>
      <c r="F302" s="5" t="s">
        <v>1336</v>
      </c>
      <c r="G302" s="6" t="s">
        <v>1029</v>
      </c>
      <c r="H302" s="6" t="s">
        <v>68</v>
      </c>
      <c r="I302" s="6" t="s">
        <v>1374</v>
      </c>
      <c r="J302" s="6">
        <v>17645</v>
      </c>
      <c r="K302" s="7" t="s">
        <v>8668</v>
      </c>
      <c r="L302" s="8">
        <v>24413</v>
      </c>
      <c r="M302" s="8" t="str">
        <f t="shared" si="25"/>
        <v>PEN</v>
      </c>
      <c r="N302" s="13"/>
      <c r="O302" s="13">
        <v>22</v>
      </c>
      <c r="P302" s="3">
        <f t="shared" si="21"/>
        <v>0</v>
      </c>
      <c r="Q302" s="3">
        <f t="shared" si="22"/>
        <v>22</v>
      </c>
      <c r="R302" s="3">
        <f t="shared" si="23"/>
        <v>260.7999999999995</v>
      </c>
      <c r="S302" s="24" t="s">
        <v>1334</v>
      </c>
      <c r="T302" s="24" t="s">
        <v>1334</v>
      </c>
      <c r="U302" s="3"/>
      <c r="V302" s="25" t="s">
        <v>7756</v>
      </c>
      <c r="W302" s="25">
        <v>20454058187</v>
      </c>
      <c r="X302" s="25" t="str">
        <f>IFERROR(VLOOKUP(C_Ope_005[[#This Row],[nota_2]],Clientes_Proveedores[[Ruc / Dni]:[Razon Social]],2,0),"")</f>
        <v>ZONA ESPECIAL DE DESARROLLO ZED MATARANI</v>
      </c>
      <c r="Y302" s="25"/>
      <c r="Z302" s="103"/>
      <c r="AA302" s="3" t="str">
        <f>IF(C_Ope_005[[#This Row],[fecha]]&gt;0,TEXT(C_Ope_005[[#This Row],[fecha]],"mmmm"),0)</f>
        <v>Junio</v>
      </c>
      <c r="AB302" s="49"/>
    </row>
    <row r="303" spans="1:28" ht="24" x14ac:dyDescent="0.3">
      <c r="A303" s="2">
        <f>IF(C_Ope_005[[#This Row],[tipo_r]]="R",COUNTIFS($C$1:$C302,"R")+1,"")</f>
        <v>302</v>
      </c>
      <c r="B303" s="19" t="str">
        <f t="shared" si="24"/>
        <v>C_Ope_005</v>
      </c>
      <c r="C303" s="3" t="s">
        <v>1330</v>
      </c>
      <c r="D303" s="14">
        <v>45811</v>
      </c>
      <c r="E303" s="5" t="s">
        <v>8535</v>
      </c>
      <c r="F303" s="5" t="s">
        <v>1336</v>
      </c>
      <c r="G303" s="6" t="s">
        <v>998</v>
      </c>
      <c r="H303" s="6" t="s">
        <v>68</v>
      </c>
      <c r="I303" s="6" t="s">
        <v>6378</v>
      </c>
      <c r="J303" s="6">
        <v>1161</v>
      </c>
      <c r="K303" s="7" t="s">
        <v>8669</v>
      </c>
      <c r="L303" s="8">
        <v>24429</v>
      </c>
      <c r="M303" s="8" t="str">
        <f t="shared" si="25"/>
        <v>PEN</v>
      </c>
      <c r="N303" s="13"/>
      <c r="O303" s="13">
        <v>10</v>
      </c>
      <c r="P303" s="3">
        <f t="shared" si="21"/>
        <v>0</v>
      </c>
      <c r="Q303" s="3">
        <f t="shared" si="22"/>
        <v>10</v>
      </c>
      <c r="R303" s="3">
        <f t="shared" si="23"/>
        <v>250.7999999999995</v>
      </c>
      <c r="S303" s="24" t="s">
        <v>1334</v>
      </c>
      <c r="T303" s="24" t="s">
        <v>1334</v>
      </c>
      <c r="U303" s="3"/>
      <c r="V303" s="25" t="s">
        <v>7761</v>
      </c>
      <c r="W303" s="25">
        <v>20612112500</v>
      </c>
      <c r="X303" s="25" t="str">
        <f>IFERROR(VLOOKUP(C_Ope_005[[#This Row],[nota_2]],Clientes_Proveedores[[Ruc / Dni]:[Razon Social]],2,0),"")</f>
        <v>RECICLADORA LAS LOMAS E.I.R.L.</v>
      </c>
      <c r="Y303" s="25"/>
      <c r="Z303" s="103"/>
      <c r="AA303" s="3" t="str">
        <f>IF(C_Ope_005[[#This Row],[fecha]]&gt;0,TEXT(C_Ope_005[[#This Row],[fecha]],"mmmm"),0)</f>
        <v>Junio</v>
      </c>
      <c r="AB303" s="49"/>
    </row>
    <row r="304" spans="1:28" ht="36" x14ac:dyDescent="0.3">
      <c r="A304" s="2">
        <f>IF(C_Ope_005[[#This Row],[tipo_r]]="R",COUNTIFS($C$1:$C303,"R")+1,"")</f>
        <v>303</v>
      </c>
      <c r="B304" s="19" t="str">
        <f t="shared" si="24"/>
        <v>C_Ope_005</v>
      </c>
      <c r="C304" s="3" t="s">
        <v>1330</v>
      </c>
      <c r="D304" s="14">
        <v>45812</v>
      </c>
      <c r="E304" s="5" t="s">
        <v>8535</v>
      </c>
      <c r="F304" s="5" t="s">
        <v>1336</v>
      </c>
      <c r="G304" s="6" t="s">
        <v>682</v>
      </c>
      <c r="H304" s="6" t="s">
        <v>68</v>
      </c>
      <c r="I304" s="6" t="s">
        <v>1343</v>
      </c>
      <c r="J304" s="6">
        <v>34832</v>
      </c>
      <c r="K304" s="7" t="s">
        <v>8670</v>
      </c>
      <c r="L304" s="8">
        <v>24447</v>
      </c>
      <c r="M304" s="8" t="str">
        <f t="shared" si="25"/>
        <v>PEN</v>
      </c>
      <c r="N304" s="13"/>
      <c r="O304" s="13">
        <v>10</v>
      </c>
      <c r="P304" s="3">
        <f t="shared" si="21"/>
        <v>0</v>
      </c>
      <c r="Q304" s="3">
        <f t="shared" si="22"/>
        <v>10</v>
      </c>
      <c r="R304" s="3">
        <f t="shared" si="23"/>
        <v>240.7999999999995</v>
      </c>
      <c r="S304" s="24" t="s">
        <v>1334</v>
      </c>
      <c r="T304" s="24" t="s">
        <v>1334</v>
      </c>
      <c r="U304" s="3"/>
      <c r="V304" s="25" t="s">
        <v>7756</v>
      </c>
      <c r="W304" s="25">
        <v>20259858934</v>
      </c>
      <c r="X304" s="25" t="str">
        <f>IFERROR(VLOOKUP(C_Ope_005[[#This Row],[nota_2]],Clientes_Proveedores[[Ruc / Dni]:[Razon Social]],2,0),"")</f>
        <v>COMERCIALIZACION Y SERVICIOS EL EDEN S.A.C.</v>
      </c>
      <c r="Y304" s="25"/>
      <c r="Z304" s="103"/>
      <c r="AA304" s="3" t="str">
        <f>IF(C_Ope_005[[#This Row],[fecha]]&gt;0,TEXT(C_Ope_005[[#This Row],[fecha]],"mmmm"),0)</f>
        <v>Junio</v>
      </c>
      <c r="AB304" s="49"/>
    </row>
    <row r="305" spans="1:28" ht="24" x14ac:dyDescent="0.3">
      <c r="A305" s="2">
        <f>IF(C_Ope_005[[#This Row],[tipo_r]]="R",COUNTIFS($C$1:$C304,"R")+1,"")</f>
        <v>304</v>
      </c>
      <c r="B305" s="19" t="str">
        <f t="shared" si="24"/>
        <v>C_Ope_005</v>
      </c>
      <c r="C305" s="3" t="s">
        <v>1330</v>
      </c>
      <c r="D305" s="14">
        <v>45812</v>
      </c>
      <c r="E305" s="5" t="s">
        <v>8535</v>
      </c>
      <c r="F305" s="5" t="s">
        <v>1336</v>
      </c>
      <c r="G305" s="6" t="s">
        <v>999</v>
      </c>
      <c r="H305" s="6" t="s">
        <v>68</v>
      </c>
      <c r="I305" s="6" t="s">
        <v>1374</v>
      </c>
      <c r="J305" s="6">
        <v>18027</v>
      </c>
      <c r="K305" s="7" t="s">
        <v>7962</v>
      </c>
      <c r="L305" s="8">
        <v>24448</v>
      </c>
      <c r="M305" s="8" t="str">
        <f t="shared" si="25"/>
        <v>PEN</v>
      </c>
      <c r="N305" s="13"/>
      <c r="O305" s="13">
        <v>25</v>
      </c>
      <c r="P305" s="3">
        <f t="shared" si="21"/>
        <v>0</v>
      </c>
      <c r="Q305" s="3">
        <f t="shared" si="22"/>
        <v>25</v>
      </c>
      <c r="R305" s="3">
        <f t="shared" si="23"/>
        <v>215.7999999999995</v>
      </c>
      <c r="S305" s="24" t="s">
        <v>1334</v>
      </c>
      <c r="T305" s="24" t="s">
        <v>1334</v>
      </c>
      <c r="U305" s="3"/>
      <c r="V305" s="25" t="s">
        <v>7756</v>
      </c>
      <c r="W305" s="25">
        <v>10705628331</v>
      </c>
      <c r="X305" s="25" t="str">
        <f>IFERROR(VLOOKUP(C_Ope_005[[#This Row],[nota_2]],Clientes_Proveedores[[Ruc / Dni]:[Razon Social]],2,0),"")</f>
        <v>LARICO APAZA NANCY ROSSMARY</v>
      </c>
      <c r="Y305" s="25"/>
      <c r="Z305" s="103"/>
      <c r="AA305" s="3" t="str">
        <f>IF(C_Ope_005[[#This Row],[fecha]]&gt;0,TEXT(C_Ope_005[[#This Row],[fecha]],"mmmm"),0)</f>
        <v>Junio</v>
      </c>
      <c r="AB305" s="49"/>
    </row>
    <row r="306" spans="1:28" ht="24" x14ac:dyDescent="0.3">
      <c r="A306" s="2">
        <f>IF(C_Ope_005[[#This Row],[tipo_r]]="R",COUNTIFS($C$1:$C305,"R")+1,"")</f>
        <v>305</v>
      </c>
      <c r="B306" s="19" t="str">
        <f t="shared" si="24"/>
        <v>C_Ope_005</v>
      </c>
      <c r="C306" s="3" t="s">
        <v>1330</v>
      </c>
      <c r="D306" s="14">
        <v>45819</v>
      </c>
      <c r="E306" s="5" t="s">
        <v>8535</v>
      </c>
      <c r="F306" s="5" t="s">
        <v>1336</v>
      </c>
      <c r="G306" s="6" t="s">
        <v>978</v>
      </c>
      <c r="H306" s="6" t="s">
        <v>68</v>
      </c>
      <c r="I306" s="6" t="s">
        <v>6204</v>
      </c>
      <c r="J306" s="6">
        <v>1755714</v>
      </c>
      <c r="K306" s="7" t="s">
        <v>8671</v>
      </c>
      <c r="L306" s="8">
        <v>24546</v>
      </c>
      <c r="M306" s="8" t="str">
        <f t="shared" si="25"/>
        <v>PEN</v>
      </c>
      <c r="N306" s="13"/>
      <c r="O306" s="13">
        <v>8</v>
      </c>
      <c r="P306" s="3">
        <f t="shared" si="21"/>
        <v>0</v>
      </c>
      <c r="Q306" s="3">
        <f t="shared" si="22"/>
        <v>8</v>
      </c>
      <c r="R306" s="3">
        <f t="shared" si="23"/>
        <v>207.7999999999995</v>
      </c>
      <c r="S306" s="24" t="s">
        <v>1334</v>
      </c>
      <c r="T306" s="24" t="s">
        <v>1334</v>
      </c>
      <c r="U306" s="3"/>
      <c r="V306" s="25" t="s">
        <v>7756</v>
      </c>
      <c r="W306" s="25">
        <v>20517252558</v>
      </c>
      <c r="X306" s="25" t="str">
        <f>IFERROR(VLOOKUP(C_Ope_005[[#This Row],[nota_2]],Clientes_Proveedores[[Ruc / Dni]:[Razon Social]],2,0),"")</f>
        <v>COVISUR S.A.</v>
      </c>
      <c r="Y306" s="25"/>
      <c r="Z306" s="103"/>
      <c r="AA306" s="3" t="str">
        <f>IF(C_Ope_005[[#This Row],[fecha]]&gt;0,TEXT(C_Ope_005[[#This Row],[fecha]],"mmmm"),0)</f>
        <v>Junio</v>
      </c>
      <c r="AB306" s="49"/>
    </row>
    <row r="307" spans="1:28" ht="24" x14ac:dyDescent="0.3">
      <c r="A307" s="2">
        <f>IF(C_Ope_005[[#This Row],[tipo_r]]="R",COUNTIFS($C$1:$C306,"R")+1,"")</f>
        <v>306</v>
      </c>
      <c r="B307" s="19" t="str">
        <f t="shared" si="24"/>
        <v>C_Ope_005</v>
      </c>
      <c r="C307" s="3" t="s">
        <v>1330</v>
      </c>
      <c r="D307" s="14">
        <v>45819</v>
      </c>
      <c r="E307" s="5" t="s">
        <v>8535</v>
      </c>
      <c r="F307" s="5" t="s">
        <v>1336</v>
      </c>
      <c r="G307" s="6" t="s">
        <v>978</v>
      </c>
      <c r="H307" s="6" t="s">
        <v>68</v>
      </c>
      <c r="I307" s="6" t="s">
        <v>5845</v>
      </c>
      <c r="J307" s="6">
        <v>1775595</v>
      </c>
      <c r="K307" s="7" t="s">
        <v>8671</v>
      </c>
      <c r="L307" s="8">
        <v>24547</v>
      </c>
      <c r="M307" s="8" t="str">
        <f t="shared" si="25"/>
        <v>PEN</v>
      </c>
      <c r="N307" s="13"/>
      <c r="O307" s="13">
        <v>8</v>
      </c>
      <c r="P307" s="3">
        <f t="shared" si="21"/>
        <v>0</v>
      </c>
      <c r="Q307" s="3">
        <f t="shared" si="22"/>
        <v>8</v>
      </c>
      <c r="R307" s="3">
        <f t="shared" si="23"/>
        <v>199.7999999999995</v>
      </c>
      <c r="S307" s="24" t="s">
        <v>1334</v>
      </c>
      <c r="T307" s="24" t="s">
        <v>1334</v>
      </c>
      <c r="U307" s="3"/>
      <c r="V307" s="25" t="s">
        <v>7756</v>
      </c>
      <c r="W307" s="25">
        <v>20517252558</v>
      </c>
      <c r="X307" s="25" t="str">
        <f>IFERROR(VLOOKUP(C_Ope_005[[#This Row],[nota_2]],Clientes_Proveedores[[Ruc / Dni]:[Razon Social]],2,0),"")</f>
        <v>COVISUR S.A.</v>
      </c>
      <c r="Y307" s="25"/>
      <c r="Z307" s="103"/>
      <c r="AA307" s="3" t="str">
        <f>IF(C_Ope_005[[#This Row],[fecha]]&gt;0,TEXT(C_Ope_005[[#This Row],[fecha]],"mmmm"),0)</f>
        <v>Junio</v>
      </c>
      <c r="AB307" s="49"/>
    </row>
    <row r="308" spans="1:28" ht="24" x14ac:dyDescent="0.3">
      <c r="A308" s="2">
        <f>IF(C_Ope_005[[#This Row],[tipo_r]]="R",COUNTIFS($C$1:$C307,"R")+1,"")</f>
        <v>307</v>
      </c>
      <c r="B308" s="19" t="str">
        <f t="shared" si="24"/>
        <v>C_Ope_005</v>
      </c>
      <c r="C308" s="3" t="s">
        <v>1330</v>
      </c>
      <c r="D308" s="14">
        <v>45820</v>
      </c>
      <c r="E308" s="5" t="s">
        <v>8535</v>
      </c>
      <c r="F308" s="5" t="s">
        <v>1336</v>
      </c>
      <c r="G308" s="6" t="s">
        <v>978</v>
      </c>
      <c r="H308" s="6" t="s">
        <v>68</v>
      </c>
      <c r="I308" s="6" t="s">
        <v>5845</v>
      </c>
      <c r="J308" s="6">
        <v>1776609</v>
      </c>
      <c r="K308" s="7" t="s">
        <v>7821</v>
      </c>
      <c r="L308" s="8">
        <v>24554</v>
      </c>
      <c r="M308" s="8" t="str">
        <f t="shared" si="25"/>
        <v>PEN</v>
      </c>
      <c r="N308" s="13"/>
      <c r="O308" s="13">
        <v>8</v>
      </c>
      <c r="P308" s="3">
        <f t="shared" si="21"/>
        <v>0</v>
      </c>
      <c r="Q308" s="3">
        <f t="shared" si="22"/>
        <v>8</v>
      </c>
      <c r="R308" s="3">
        <f t="shared" si="23"/>
        <v>191.7999999999995</v>
      </c>
      <c r="S308" s="24" t="s">
        <v>1334</v>
      </c>
      <c r="T308" s="24" t="s">
        <v>1334</v>
      </c>
      <c r="U308" s="3"/>
      <c r="V308" s="25" t="s">
        <v>7761</v>
      </c>
      <c r="W308" s="25">
        <v>20517252558</v>
      </c>
      <c r="X308" s="25" t="str">
        <f>IFERROR(VLOOKUP(C_Ope_005[[#This Row],[nota_2]],Clientes_Proveedores[[Ruc / Dni]:[Razon Social]],2,0),"")</f>
        <v>COVISUR S.A.</v>
      </c>
      <c r="Y308" s="25"/>
      <c r="Z308" s="103"/>
      <c r="AA308" s="3" t="str">
        <f>IF(C_Ope_005[[#This Row],[fecha]]&gt;0,TEXT(C_Ope_005[[#This Row],[fecha]],"mmmm"),0)</f>
        <v>Junio</v>
      </c>
      <c r="AB308" s="49"/>
    </row>
    <row r="309" spans="1:28" ht="24" x14ac:dyDescent="0.3">
      <c r="A309" s="2">
        <f>IF(C_Ope_005[[#This Row],[tipo_r]]="R",COUNTIFS($C$1:$C308,"R")+1,"")</f>
        <v>308</v>
      </c>
      <c r="B309" s="19" t="str">
        <f t="shared" si="24"/>
        <v>C_Ope_005</v>
      </c>
      <c r="C309" s="3" t="s">
        <v>1330</v>
      </c>
      <c r="D309" s="14">
        <v>45820</v>
      </c>
      <c r="E309" s="5" t="s">
        <v>8535</v>
      </c>
      <c r="F309" s="5" t="s">
        <v>1336</v>
      </c>
      <c r="G309" s="6" t="s">
        <v>978</v>
      </c>
      <c r="H309" s="6" t="s">
        <v>68</v>
      </c>
      <c r="I309" s="6" t="s">
        <v>6204</v>
      </c>
      <c r="J309" s="6">
        <v>1756803</v>
      </c>
      <c r="K309" s="7" t="s">
        <v>7821</v>
      </c>
      <c r="L309" s="8">
        <v>24555</v>
      </c>
      <c r="M309" s="8" t="str">
        <f t="shared" si="25"/>
        <v>PEN</v>
      </c>
      <c r="N309" s="13"/>
      <c r="O309" s="13">
        <v>8</v>
      </c>
      <c r="P309" s="3">
        <f t="shared" si="21"/>
        <v>0</v>
      </c>
      <c r="Q309" s="3">
        <f t="shared" si="22"/>
        <v>8</v>
      </c>
      <c r="R309" s="3">
        <f t="shared" si="23"/>
        <v>183.7999999999995</v>
      </c>
      <c r="S309" s="24" t="s">
        <v>1334</v>
      </c>
      <c r="T309" s="24" t="s">
        <v>1334</v>
      </c>
      <c r="U309" s="3"/>
      <c r="V309" s="25" t="s">
        <v>7761</v>
      </c>
      <c r="W309" s="25">
        <v>20517252558</v>
      </c>
      <c r="X309" s="25" t="str">
        <f>IFERROR(VLOOKUP(C_Ope_005[[#This Row],[nota_2]],Clientes_Proveedores[[Ruc / Dni]:[Razon Social]],2,0),"")</f>
        <v>COVISUR S.A.</v>
      </c>
      <c r="Y309" s="25"/>
      <c r="Z309" s="103"/>
      <c r="AA309" s="3" t="str">
        <f>IF(C_Ope_005[[#This Row],[fecha]]&gt;0,TEXT(C_Ope_005[[#This Row],[fecha]],"mmmm"),0)</f>
        <v>Junio</v>
      </c>
      <c r="AB309" s="49"/>
    </row>
    <row r="310" spans="1:28" ht="24" x14ac:dyDescent="0.3">
      <c r="A310" s="2">
        <f>IF(C_Ope_005[[#This Row],[tipo_r]]="R",COUNTIFS($C$1:$C309,"R")+1,"")</f>
        <v>309</v>
      </c>
      <c r="B310" s="19" t="str">
        <f t="shared" si="24"/>
        <v>C_Ope_005</v>
      </c>
      <c r="C310" s="3" t="s">
        <v>1330</v>
      </c>
      <c r="D310" s="14">
        <v>45821</v>
      </c>
      <c r="E310" s="5" t="s">
        <v>8535</v>
      </c>
      <c r="F310" s="5" t="s">
        <v>1336</v>
      </c>
      <c r="G310" s="6" t="s">
        <v>978</v>
      </c>
      <c r="H310" s="6" t="s">
        <v>68</v>
      </c>
      <c r="I310" s="6" t="s">
        <v>6204</v>
      </c>
      <c r="J310" s="6">
        <v>1757810</v>
      </c>
      <c r="K310" s="7" t="s">
        <v>7803</v>
      </c>
      <c r="L310" s="8">
        <v>24574</v>
      </c>
      <c r="M310" s="8" t="str">
        <f t="shared" si="25"/>
        <v>PEN</v>
      </c>
      <c r="N310" s="13"/>
      <c r="O310" s="13">
        <v>8</v>
      </c>
      <c r="P310" s="3">
        <f t="shared" si="21"/>
        <v>0</v>
      </c>
      <c r="Q310" s="3">
        <f t="shared" si="22"/>
        <v>8</v>
      </c>
      <c r="R310" s="3">
        <f t="shared" si="23"/>
        <v>175.7999999999995</v>
      </c>
      <c r="S310" s="24" t="s">
        <v>1334</v>
      </c>
      <c r="T310" s="24" t="s">
        <v>1334</v>
      </c>
      <c r="U310" s="3"/>
      <c r="V310" s="25" t="s">
        <v>7756</v>
      </c>
      <c r="W310" s="25">
        <v>20517252558</v>
      </c>
      <c r="X310" s="25" t="str">
        <f>IFERROR(VLOOKUP(C_Ope_005[[#This Row],[nota_2]],Clientes_Proveedores[[Ruc / Dni]:[Razon Social]],2,0),"")</f>
        <v>COVISUR S.A.</v>
      </c>
      <c r="Y310" s="25"/>
      <c r="Z310" s="103"/>
      <c r="AA310" s="3" t="str">
        <f>IF(C_Ope_005[[#This Row],[fecha]]&gt;0,TEXT(C_Ope_005[[#This Row],[fecha]],"mmmm"),0)</f>
        <v>Junio</v>
      </c>
      <c r="AB310" s="49"/>
    </row>
    <row r="311" spans="1:28" ht="24" x14ac:dyDescent="0.3">
      <c r="A311" s="2">
        <f>IF(C_Ope_005[[#This Row],[tipo_r]]="R",COUNTIFS($C$1:$C310,"R")+1,"")</f>
        <v>310</v>
      </c>
      <c r="B311" s="19" t="str">
        <f t="shared" si="24"/>
        <v>C_Ope_005</v>
      </c>
      <c r="C311" s="3" t="s">
        <v>1330</v>
      </c>
      <c r="D311" s="14">
        <v>45821</v>
      </c>
      <c r="E311" s="5" t="s">
        <v>8535</v>
      </c>
      <c r="F311" s="5" t="s">
        <v>1336</v>
      </c>
      <c r="G311" s="6" t="s">
        <v>978</v>
      </c>
      <c r="H311" s="6" t="s">
        <v>68</v>
      </c>
      <c r="I311" s="6" t="s">
        <v>6203</v>
      </c>
      <c r="J311" s="6">
        <v>2081057</v>
      </c>
      <c r="K311" s="7" t="s">
        <v>7803</v>
      </c>
      <c r="L311" s="8">
        <v>24575</v>
      </c>
      <c r="M311" s="8" t="str">
        <f t="shared" si="25"/>
        <v>PEN</v>
      </c>
      <c r="N311" s="13"/>
      <c r="O311" s="13">
        <v>8</v>
      </c>
      <c r="P311" s="3">
        <f t="shared" si="21"/>
        <v>0</v>
      </c>
      <c r="Q311" s="3">
        <f t="shared" si="22"/>
        <v>8</v>
      </c>
      <c r="R311" s="3">
        <f t="shared" si="23"/>
        <v>167.7999999999995</v>
      </c>
      <c r="S311" s="24" t="s">
        <v>1334</v>
      </c>
      <c r="T311" s="24" t="s">
        <v>1334</v>
      </c>
      <c r="U311" s="3"/>
      <c r="V311" s="25" t="s">
        <v>7756</v>
      </c>
      <c r="W311" s="25">
        <v>20517252558</v>
      </c>
      <c r="X311" s="25" t="str">
        <f>IFERROR(VLOOKUP(C_Ope_005[[#This Row],[nota_2]],Clientes_Proveedores[[Ruc / Dni]:[Razon Social]],2,0),"")</f>
        <v>COVISUR S.A.</v>
      </c>
      <c r="Y311" s="25"/>
      <c r="Z311" s="103"/>
      <c r="AA311" s="3" t="str">
        <f>IF(C_Ope_005[[#This Row],[fecha]]&gt;0,TEXT(C_Ope_005[[#This Row],[fecha]],"mmmm"),0)</f>
        <v>Junio</v>
      </c>
      <c r="AB311" s="49"/>
    </row>
    <row r="312" spans="1:28" ht="36" x14ac:dyDescent="0.3">
      <c r="A312" s="2">
        <f>IF(C_Ope_005[[#This Row],[tipo_r]]="R",COUNTIFS($C$1:$C311,"R")+1,"")</f>
        <v>311</v>
      </c>
      <c r="B312" s="19" t="str">
        <f t="shared" si="24"/>
        <v>C_Ope_005</v>
      </c>
      <c r="C312" s="3" t="s">
        <v>1330</v>
      </c>
      <c r="D312" s="14">
        <v>45819</v>
      </c>
      <c r="E312" s="5" t="s">
        <v>8535</v>
      </c>
      <c r="F312" s="5" t="s">
        <v>1336</v>
      </c>
      <c r="G312" s="6" t="s">
        <v>682</v>
      </c>
      <c r="H312" s="6" t="s">
        <v>68</v>
      </c>
      <c r="I312" s="6" t="s">
        <v>1353</v>
      </c>
      <c r="J312" s="6">
        <v>16628</v>
      </c>
      <c r="K312" s="7" t="s">
        <v>8672</v>
      </c>
      <c r="L312" s="8">
        <v>24548</v>
      </c>
      <c r="M312" s="8" t="str">
        <f t="shared" si="25"/>
        <v>PEN</v>
      </c>
      <c r="N312" s="13"/>
      <c r="O312" s="13">
        <v>20</v>
      </c>
      <c r="P312" s="3">
        <f t="shared" si="21"/>
        <v>0</v>
      </c>
      <c r="Q312" s="3">
        <f t="shared" si="22"/>
        <v>20</v>
      </c>
      <c r="R312" s="3">
        <f t="shared" si="23"/>
        <v>147.7999999999995</v>
      </c>
      <c r="S312" s="24" t="s">
        <v>1334</v>
      </c>
      <c r="T312" s="24" t="s">
        <v>1334</v>
      </c>
      <c r="U312" s="3"/>
      <c r="V312" s="25" t="s">
        <v>7756</v>
      </c>
      <c r="W312" s="25">
        <v>20259858934</v>
      </c>
      <c r="X312" s="25" t="str">
        <f>IFERROR(VLOOKUP(C_Ope_005[[#This Row],[nota_2]],Clientes_Proveedores[[Ruc / Dni]:[Razon Social]],2,0),"")</f>
        <v>COMERCIALIZACION Y SERVICIOS EL EDEN S.A.C.</v>
      </c>
      <c r="Y312" s="25"/>
      <c r="Z312" s="103"/>
      <c r="AA312" s="3" t="str">
        <f>IF(C_Ope_005[[#This Row],[fecha]]&gt;0,TEXT(C_Ope_005[[#This Row],[fecha]],"mmmm"),0)</f>
        <v>Junio</v>
      </c>
      <c r="AB312" s="49"/>
    </row>
    <row r="313" spans="1:28" ht="36" x14ac:dyDescent="0.3">
      <c r="A313" s="2">
        <f>IF(C_Ope_005[[#This Row],[tipo_r]]="R",COUNTIFS($C$1:$C312,"R")+1,"")</f>
        <v>312</v>
      </c>
      <c r="B313" s="19" t="str">
        <f t="shared" si="24"/>
        <v>C_Ope_005</v>
      </c>
      <c r="C313" s="3" t="s">
        <v>1330</v>
      </c>
      <c r="D313" s="14">
        <v>45820</v>
      </c>
      <c r="E313" s="5" t="s">
        <v>8535</v>
      </c>
      <c r="F313" s="5" t="s">
        <v>1336</v>
      </c>
      <c r="G313" s="6" t="s">
        <v>682</v>
      </c>
      <c r="H313" s="6" t="s">
        <v>68</v>
      </c>
      <c r="I313" s="6" t="s">
        <v>1353</v>
      </c>
      <c r="J313" s="6">
        <v>16634</v>
      </c>
      <c r="K313" s="7" t="s">
        <v>8673</v>
      </c>
      <c r="L313" s="8">
        <v>24556</v>
      </c>
      <c r="M313" s="8" t="str">
        <f t="shared" si="25"/>
        <v>PEN</v>
      </c>
      <c r="N313" s="13"/>
      <c r="O313" s="13">
        <v>20</v>
      </c>
      <c r="P313" s="3">
        <f t="shared" si="21"/>
        <v>0</v>
      </c>
      <c r="Q313" s="3">
        <f t="shared" si="22"/>
        <v>20</v>
      </c>
      <c r="R313" s="3">
        <f t="shared" si="23"/>
        <v>127.7999999999995</v>
      </c>
      <c r="S313" s="24" t="s">
        <v>1334</v>
      </c>
      <c r="T313" s="24" t="s">
        <v>1334</v>
      </c>
      <c r="U313" s="3"/>
      <c r="V313" s="25" t="s">
        <v>7761</v>
      </c>
      <c r="W313" s="25">
        <v>20259858934</v>
      </c>
      <c r="X313" s="25" t="str">
        <f>IFERROR(VLOOKUP(C_Ope_005[[#This Row],[nota_2]],Clientes_Proveedores[[Ruc / Dni]:[Razon Social]],2,0),"")</f>
        <v>COMERCIALIZACION Y SERVICIOS EL EDEN S.A.C.</v>
      </c>
      <c r="Y313" s="25"/>
      <c r="Z313" s="103"/>
      <c r="AA313" s="3" t="str">
        <f>IF(C_Ope_005[[#This Row],[fecha]]&gt;0,TEXT(C_Ope_005[[#This Row],[fecha]],"mmmm"),0)</f>
        <v>Junio</v>
      </c>
      <c r="AB313" s="49"/>
    </row>
    <row r="314" spans="1:28" ht="24" x14ac:dyDescent="0.3">
      <c r="A314" s="2">
        <f>IF(C_Ope_005[[#This Row],[tipo_r]]="R",COUNTIFS($C$1:$C313,"R")+1,"")</f>
        <v>313</v>
      </c>
      <c r="B314" s="19" t="str">
        <f t="shared" si="24"/>
        <v>C_Ope_005</v>
      </c>
      <c r="C314" s="3" t="s">
        <v>1330</v>
      </c>
      <c r="D314" s="14">
        <v>45826</v>
      </c>
      <c r="E314" s="5" t="s">
        <v>7514</v>
      </c>
      <c r="F314" s="5" t="s">
        <v>1303</v>
      </c>
      <c r="G314" s="6" t="s">
        <v>957</v>
      </c>
      <c r="H314" s="6"/>
      <c r="I314" s="6"/>
      <c r="J314" s="6"/>
      <c r="K314" s="7" t="s">
        <v>7516</v>
      </c>
      <c r="L314" s="8">
        <v>24641</v>
      </c>
      <c r="M314" s="8" t="str">
        <f t="shared" si="25"/>
        <v>PEN</v>
      </c>
      <c r="N314" s="13"/>
      <c r="O314" s="13">
        <v>70</v>
      </c>
      <c r="P314" s="3">
        <f t="shared" si="21"/>
        <v>70</v>
      </c>
      <c r="Q314" s="3">
        <f t="shared" si="22"/>
        <v>0</v>
      </c>
      <c r="R314" s="3">
        <f t="shared" si="23"/>
        <v>197.7999999999995</v>
      </c>
      <c r="S314" s="24" t="s">
        <v>1334</v>
      </c>
      <c r="T314" s="24" t="s">
        <v>1334</v>
      </c>
      <c r="U314" s="3"/>
      <c r="V314" s="25"/>
      <c r="W314" s="25"/>
      <c r="X314" s="25" t="str">
        <f>IFERROR(VLOOKUP(C_Ope_005[[#This Row],[nota_2]],Clientes_Proveedores[[Ruc / Dni]:[Razon Social]],2,0),"")</f>
        <v/>
      </c>
      <c r="Y314" s="25"/>
      <c r="Z314" s="103"/>
      <c r="AA314" s="3" t="str">
        <f>IF(C_Ope_005[[#This Row],[fecha]]&gt;0,TEXT(C_Ope_005[[#This Row],[fecha]],"mmmm"),0)</f>
        <v>Junio</v>
      </c>
      <c r="AB314" s="49"/>
    </row>
    <row r="315" spans="1:28" ht="24" x14ac:dyDescent="0.3">
      <c r="A315" s="2">
        <f>IF(C_Ope_005[[#This Row],[tipo_r]]="R",COUNTIFS($C$1:$C314,"R")+1,"")</f>
        <v>314</v>
      </c>
      <c r="B315" s="19" t="str">
        <f t="shared" si="24"/>
        <v>C_Ope_005</v>
      </c>
      <c r="C315" s="3" t="s">
        <v>1330</v>
      </c>
      <c r="D315" s="14">
        <v>45828</v>
      </c>
      <c r="E315" s="5" t="s">
        <v>7514</v>
      </c>
      <c r="F315" s="5" t="s">
        <v>1303</v>
      </c>
      <c r="G315" s="6" t="s">
        <v>957</v>
      </c>
      <c r="H315" s="6"/>
      <c r="I315" s="6"/>
      <c r="J315" s="6"/>
      <c r="K315" s="7" t="s">
        <v>7628</v>
      </c>
      <c r="L315" s="8">
        <v>24642</v>
      </c>
      <c r="M315" s="8" t="str">
        <f t="shared" si="25"/>
        <v>PEN</v>
      </c>
      <c r="N315" s="13"/>
      <c r="O315" s="13">
        <v>800</v>
      </c>
      <c r="P315" s="3">
        <f t="shared" si="21"/>
        <v>800</v>
      </c>
      <c r="Q315" s="3">
        <f t="shared" si="22"/>
        <v>0</v>
      </c>
      <c r="R315" s="3">
        <f t="shared" si="23"/>
        <v>997.7999999999995</v>
      </c>
      <c r="S315" s="24" t="s">
        <v>1334</v>
      </c>
      <c r="T315" s="24" t="s">
        <v>1334</v>
      </c>
      <c r="U315" s="3"/>
      <c r="V315" s="25"/>
      <c r="W315" s="25"/>
      <c r="X315" s="25" t="str">
        <f>IFERROR(VLOOKUP(C_Ope_005[[#This Row],[nota_2]],Clientes_Proveedores[[Ruc / Dni]:[Razon Social]],2,0),"")</f>
        <v/>
      </c>
      <c r="Y315" s="25"/>
      <c r="Z315" s="103"/>
      <c r="AA315" s="3" t="str">
        <f>IF(C_Ope_005[[#This Row],[fecha]]&gt;0,TEXT(C_Ope_005[[#This Row],[fecha]],"mmmm"),0)</f>
        <v>Junio</v>
      </c>
      <c r="AB315" s="49"/>
    </row>
    <row r="316" spans="1:28" ht="24" x14ac:dyDescent="0.3">
      <c r="A316" s="2">
        <f>IF(C_Ope_005[[#This Row],[tipo_r]]="R",COUNTIFS($C$1:$C315,"R")+1,"")</f>
        <v>315</v>
      </c>
      <c r="B316" s="19" t="str">
        <f t="shared" si="24"/>
        <v>C_Ope_005</v>
      </c>
      <c r="C316" s="3" t="s">
        <v>1330</v>
      </c>
      <c r="D316" s="14">
        <v>45825</v>
      </c>
      <c r="E316" s="5" t="s">
        <v>8535</v>
      </c>
      <c r="F316" s="5" t="s">
        <v>1336</v>
      </c>
      <c r="G316" s="6" t="s">
        <v>978</v>
      </c>
      <c r="H316" s="6" t="s">
        <v>68</v>
      </c>
      <c r="I316" s="6" t="s">
        <v>6245</v>
      </c>
      <c r="J316" s="6">
        <v>984491</v>
      </c>
      <c r="K316" s="7" t="s">
        <v>8389</v>
      </c>
      <c r="L316" s="8">
        <v>24592</v>
      </c>
      <c r="M316" s="8" t="str">
        <f t="shared" si="25"/>
        <v>PEN</v>
      </c>
      <c r="N316" s="13"/>
      <c r="O316" s="13">
        <v>8</v>
      </c>
      <c r="P316" s="3">
        <f t="shared" si="21"/>
        <v>0</v>
      </c>
      <c r="Q316" s="3">
        <f t="shared" si="22"/>
        <v>8</v>
      </c>
      <c r="R316" s="3">
        <f t="shared" si="23"/>
        <v>989.7999999999995</v>
      </c>
      <c r="S316" s="24" t="s">
        <v>1334</v>
      </c>
      <c r="T316" s="24" t="s">
        <v>1334</v>
      </c>
      <c r="U316" s="3"/>
      <c r="V316" s="25" t="s">
        <v>7756</v>
      </c>
      <c r="W316" s="25">
        <v>20517252558</v>
      </c>
      <c r="X316" s="25" t="str">
        <f>IFERROR(VLOOKUP(C_Ope_005[[#This Row],[nota_2]],Clientes_Proveedores[[Ruc / Dni]:[Razon Social]],2,0),"")</f>
        <v>COVISUR S.A.</v>
      </c>
      <c r="Y316" s="25"/>
      <c r="Z316" s="103"/>
      <c r="AA316" s="3" t="str">
        <f>IF(C_Ope_005[[#This Row],[fecha]]&gt;0,TEXT(C_Ope_005[[#This Row],[fecha]],"mmmm"),0)</f>
        <v>Junio</v>
      </c>
      <c r="AB316" s="49"/>
    </row>
    <row r="317" spans="1:28" ht="24" x14ac:dyDescent="0.3">
      <c r="A317" s="2">
        <f>IF(C_Ope_005[[#This Row],[tipo_r]]="R",COUNTIFS($C$1:$C316,"R")+1,"")</f>
        <v>316</v>
      </c>
      <c r="B317" s="19" t="str">
        <f t="shared" si="24"/>
        <v>C_Ope_005</v>
      </c>
      <c r="C317" s="3" t="s">
        <v>1330</v>
      </c>
      <c r="D317" s="14">
        <v>45825</v>
      </c>
      <c r="E317" s="5" t="s">
        <v>8535</v>
      </c>
      <c r="F317" s="5" t="s">
        <v>1336</v>
      </c>
      <c r="G317" s="6" t="s">
        <v>978</v>
      </c>
      <c r="H317" s="6" t="s">
        <v>68</v>
      </c>
      <c r="I317" s="6" t="s">
        <v>6244</v>
      </c>
      <c r="J317" s="6">
        <v>1075039</v>
      </c>
      <c r="K317" s="7" t="s">
        <v>8389</v>
      </c>
      <c r="L317" s="8">
        <v>24593</v>
      </c>
      <c r="M317" s="8" t="str">
        <f t="shared" si="25"/>
        <v>PEN</v>
      </c>
      <c r="N317" s="13"/>
      <c r="O317" s="13">
        <v>8</v>
      </c>
      <c r="P317" s="3">
        <f t="shared" si="21"/>
        <v>0</v>
      </c>
      <c r="Q317" s="3">
        <f t="shared" si="22"/>
        <v>8</v>
      </c>
      <c r="R317" s="3">
        <f t="shared" si="23"/>
        <v>981.7999999999995</v>
      </c>
      <c r="S317" s="24" t="s">
        <v>1334</v>
      </c>
      <c r="T317" s="24" t="s">
        <v>1334</v>
      </c>
      <c r="U317" s="3"/>
      <c r="V317" s="25" t="s">
        <v>7756</v>
      </c>
      <c r="W317" s="25">
        <v>20517252558</v>
      </c>
      <c r="X317" s="25" t="str">
        <f>IFERROR(VLOOKUP(C_Ope_005[[#This Row],[nota_2]],Clientes_Proveedores[[Ruc / Dni]:[Razon Social]],2,0),"")</f>
        <v>COVISUR S.A.</v>
      </c>
      <c r="Y317" s="25"/>
      <c r="Z317" s="103"/>
      <c r="AA317" s="3" t="str">
        <f>IF(C_Ope_005[[#This Row],[fecha]]&gt;0,TEXT(C_Ope_005[[#This Row],[fecha]],"mmmm"),0)</f>
        <v>Junio</v>
      </c>
      <c r="AB317" s="49"/>
    </row>
    <row r="318" spans="1:28" ht="24" x14ac:dyDescent="0.3">
      <c r="A318" s="2">
        <f>IF(C_Ope_005[[#This Row],[tipo_r]]="R",COUNTIFS($C$1:$C317,"R")+1,"")</f>
        <v>317</v>
      </c>
      <c r="B318" s="19" t="str">
        <f t="shared" si="24"/>
        <v>C_Ope_005</v>
      </c>
      <c r="C318" s="3" t="s">
        <v>1330</v>
      </c>
      <c r="D318" s="14">
        <v>45825</v>
      </c>
      <c r="E318" s="5" t="s">
        <v>8535</v>
      </c>
      <c r="F318" s="5" t="s">
        <v>1336</v>
      </c>
      <c r="G318" s="6" t="s">
        <v>978</v>
      </c>
      <c r="H318" s="6" t="s">
        <v>68</v>
      </c>
      <c r="I318" s="6" t="s">
        <v>5688</v>
      </c>
      <c r="J318" s="6">
        <v>2369380</v>
      </c>
      <c r="K318" s="7" t="s">
        <v>8674</v>
      </c>
      <c r="L318" s="8">
        <v>24594</v>
      </c>
      <c r="M318" s="8" t="str">
        <f t="shared" si="25"/>
        <v>PEN</v>
      </c>
      <c r="N318" s="13"/>
      <c r="O318" s="13">
        <v>8</v>
      </c>
      <c r="P318" s="3">
        <f t="shared" si="21"/>
        <v>0</v>
      </c>
      <c r="Q318" s="3">
        <f t="shared" si="22"/>
        <v>8</v>
      </c>
      <c r="R318" s="3">
        <f t="shared" si="23"/>
        <v>973.7999999999995</v>
      </c>
      <c r="S318" s="24" t="s">
        <v>1334</v>
      </c>
      <c r="T318" s="24" t="s">
        <v>1334</v>
      </c>
      <c r="U318" s="3"/>
      <c r="V318" s="25" t="s">
        <v>7756</v>
      </c>
      <c r="W318" s="25">
        <v>20517252558</v>
      </c>
      <c r="X318" s="25" t="str">
        <f>IFERROR(VLOOKUP(C_Ope_005[[#This Row],[nota_2]],Clientes_Proveedores[[Ruc / Dni]:[Razon Social]],2,0),"")</f>
        <v>COVISUR S.A.</v>
      </c>
      <c r="Y318" s="25"/>
      <c r="Z318" s="103"/>
      <c r="AA318" s="3" t="str">
        <f>IF(C_Ope_005[[#This Row],[fecha]]&gt;0,TEXT(C_Ope_005[[#This Row],[fecha]],"mmmm"),0)</f>
        <v>Junio</v>
      </c>
      <c r="AB318" s="49"/>
    </row>
    <row r="319" spans="1:28" ht="24" x14ac:dyDescent="0.3">
      <c r="A319" s="2">
        <f>IF(C_Ope_005[[#This Row],[tipo_r]]="R",COUNTIFS($C$1:$C318,"R")+1,"")</f>
        <v>318</v>
      </c>
      <c r="B319" s="19" t="str">
        <f t="shared" si="24"/>
        <v>C_Ope_005</v>
      </c>
      <c r="C319" s="3" t="s">
        <v>1330</v>
      </c>
      <c r="D319" s="14">
        <v>45825</v>
      </c>
      <c r="E319" s="5" t="s">
        <v>8535</v>
      </c>
      <c r="F319" s="5" t="s">
        <v>1336</v>
      </c>
      <c r="G319" s="6" t="s">
        <v>978</v>
      </c>
      <c r="H319" s="6" t="s">
        <v>68</v>
      </c>
      <c r="I319" s="6" t="s">
        <v>5845</v>
      </c>
      <c r="J319" s="6">
        <v>1781167</v>
      </c>
      <c r="K319" s="7" t="s">
        <v>8674</v>
      </c>
      <c r="L319" s="8">
        <v>24596</v>
      </c>
      <c r="M319" s="8" t="str">
        <f t="shared" si="25"/>
        <v>PEN</v>
      </c>
      <c r="N319" s="13"/>
      <c r="O319" s="13">
        <v>8</v>
      </c>
      <c r="P319" s="3">
        <f t="shared" si="21"/>
        <v>0</v>
      </c>
      <c r="Q319" s="3">
        <f t="shared" si="22"/>
        <v>8</v>
      </c>
      <c r="R319" s="3">
        <f t="shared" si="23"/>
        <v>965.7999999999995</v>
      </c>
      <c r="S319" s="24" t="s">
        <v>1334</v>
      </c>
      <c r="T319" s="24" t="s">
        <v>1334</v>
      </c>
      <c r="U319" s="3"/>
      <c r="V319" s="25" t="s">
        <v>7756</v>
      </c>
      <c r="W319" s="25">
        <v>20517252558</v>
      </c>
      <c r="X319" s="25" t="str">
        <f>IFERROR(VLOOKUP(C_Ope_005[[#This Row],[nota_2]],Clientes_Proveedores[[Ruc / Dni]:[Razon Social]],2,0),"")</f>
        <v>COVISUR S.A.</v>
      </c>
      <c r="Y319" s="25"/>
      <c r="Z319" s="103"/>
      <c r="AA319" s="3" t="str">
        <f>IF(C_Ope_005[[#This Row],[fecha]]&gt;0,TEXT(C_Ope_005[[#This Row],[fecha]],"mmmm"),0)</f>
        <v>Junio</v>
      </c>
      <c r="AB319" s="49"/>
    </row>
    <row r="320" spans="1:28" ht="24" x14ac:dyDescent="0.3">
      <c r="A320" s="2">
        <f>IF(C_Ope_005[[#This Row],[tipo_r]]="R",COUNTIFS($C$1:$C319,"R")+1,"")</f>
        <v>319</v>
      </c>
      <c r="B320" s="19" t="str">
        <f t="shared" si="24"/>
        <v>C_Ope_005</v>
      </c>
      <c r="C320" s="3" t="s">
        <v>1330</v>
      </c>
      <c r="D320" s="14">
        <v>45827</v>
      </c>
      <c r="E320" s="5" t="s">
        <v>8535</v>
      </c>
      <c r="F320" s="5" t="s">
        <v>1336</v>
      </c>
      <c r="G320" s="6" t="s">
        <v>978</v>
      </c>
      <c r="H320" s="6" t="s">
        <v>68</v>
      </c>
      <c r="I320" s="6" t="s">
        <v>6204</v>
      </c>
      <c r="J320" s="6">
        <v>1763337</v>
      </c>
      <c r="K320" s="7" t="s">
        <v>8675</v>
      </c>
      <c r="L320" s="8">
        <v>24615</v>
      </c>
      <c r="M320" s="8" t="str">
        <f t="shared" si="25"/>
        <v>PEN</v>
      </c>
      <c r="N320" s="13"/>
      <c r="O320" s="13">
        <v>8</v>
      </c>
      <c r="P320" s="3">
        <f t="shared" si="21"/>
        <v>0</v>
      </c>
      <c r="Q320" s="3">
        <f t="shared" si="22"/>
        <v>8</v>
      </c>
      <c r="R320" s="3">
        <f t="shared" si="23"/>
        <v>957.7999999999995</v>
      </c>
      <c r="S320" s="24" t="s">
        <v>1334</v>
      </c>
      <c r="T320" s="24" t="s">
        <v>1334</v>
      </c>
      <c r="U320" s="3"/>
      <c r="V320" s="25" t="s">
        <v>7756</v>
      </c>
      <c r="W320" s="25">
        <v>20517252558</v>
      </c>
      <c r="X320" s="25" t="str">
        <f>IFERROR(VLOOKUP(C_Ope_005[[#This Row],[nota_2]],Clientes_Proveedores[[Ruc / Dni]:[Razon Social]],2,0),"")</f>
        <v>COVISUR S.A.</v>
      </c>
      <c r="Y320" s="25"/>
      <c r="Z320" s="103"/>
      <c r="AA320" s="3" t="str">
        <f>IF(C_Ope_005[[#This Row],[fecha]]&gt;0,TEXT(C_Ope_005[[#This Row],[fecha]],"mmmm"),0)</f>
        <v>Junio</v>
      </c>
      <c r="AB320" s="49"/>
    </row>
    <row r="321" spans="1:28" ht="24" x14ac:dyDescent="0.3">
      <c r="A321" s="2">
        <f>IF(C_Ope_005[[#This Row],[tipo_r]]="R",COUNTIFS($C$1:$C320,"R")+1,"")</f>
        <v>320</v>
      </c>
      <c r="B321" s="19" t="str">
        <f t="shared" si="24"/>
        <v>C_Ope_005</v>
      </c>
      <c r="C321" s="3" t="s">
        <v>1330</v>
      </c>
      <c r="D321" s="14">
        <v>45827</v>
      </c>
      <c r="E321" s="5" t="s">
        <v>8535</v>
      </c>
      <c r="F321" s="5" t="s">
        <v>1336</v>
      </c>
      <c r="G321" s="6" t="s">
        <v>978</v>
      </c>
      <c r="H321" s="6" t="s">
        <v>68</v>
      </c>
      <c r="I321" s="6" t="s">
        <v>6203</v>
      </c>
      <c r="J321" s="6">
        <v>2087356</v>
      </c>
      <c r="K321" s="7" t="s">
        <v>8675</v>
      </c>
      <c r="L321" s="8">
        <v>24616</v>
      </c>
      <c r="M321" s="8" t="str">
        <f t="shared" si="25"/>
        <v>PEN</v>
      </c>
      <c r="N321" s="13"/>
      <c r="O321" s="13">
        <v>8</v>
      </c>
      <c r="P321" s="3">
        <f t="shared" si="21"/>
        <v>0</v>
      </c>
      <c r="Q321" s="3">
        <f t="shared" si="22"/>
        <v>8</v>
      </c>
      <c r="R321" s="3">
        <f t="shared" si="23"/>
        <v>949.7999999999995</v>
      </c>
      <c r="S321" s="24" t="s">
        <v>1334</v>
      </c>
      <c r="T321" s="24" t="s">
        <v>1334</v>
      </c>
      <c r="U321" s="3"/>
      <c r="V321" s="25" t="s">
        <v>7756</v>
      </c>
      <c r="W321" s="25">
        <v>20517252558</v>
      </c>
      <c r="X321" s="25" t="str">
        <f>IFERROR(VLOOKUP(C_Ope_005[[#This Row],[nota_2]],Clientes_Proveedores[[Ruc / Dni]:[Razon Social]],2,0),"")</f>
        <v>COVISUR S.A.</v>
      </c>
      <c r="Y321" s="25"/>
      <c r="Z321" s="103"/>
      <c r="AA321" s="3" t="str">
        <f>IF(C_Ope_005[[#This Row],[fecha]]&gt;0,TEXT(C_Ope_005[[#This Row],[fecha]],"mmmm"),0)</f>
        <v>Junio</v>
      </c>
      <c r="AB321" s="49"/>
    </row>
    <row r="322" spans="1:28" ht="36" x14ac:dyDescent="0.3">
      <c r="A322" s="2">
        <f>IF(C_Ope_005[[#This Row],[tipo_r]]="R",COUNTIFS($C$1:$C321,"R")+1,"")</f>
        <v>321</v>
      </c>
      <c r="B322" s="19" t="str">
        <f t="shared" si="24"/>
        <v>C_Ope_005</v>
      </c>
      <c r="C322" s="3" t="s">
        <v>1330</v>
      </c>
      <c r="D322" s="14">
        <v>45828</v>
      </c>
      <c r="E322" s="5" t="s">
        <v>8535</v>
      </c>
      <c r="F322" s="5" t="s">
        <v>1336</v>
      </c>
      <c r="G322" s="6" t="s">
        <v>978</v>
      </c>
      <c r="H322" s="6" t="s">
        <v>68</v>
      </c>
      <c r="I322" s="6" t="s">
        <v>5688</v>
      </c>
      <c r="J322" s="6">
        <v>2373153</v>
      </c>
      <c r="K322" s="7" t="s">
        <v>8676</v>
      </c>
      <c r="L322" s="8">
        <v>24638</v>
      </c>
      <c r="M322" s="8" t="str">
        <f t="shared" si="25"/>
        <v>PEN</v>
      </c>
      <c r="N322" s="13"/>
      <c r="O322" s="13">
        <v>8</v>
      </c>
      <c r="P322" s="3">
        <f t="shared" ref="P322:P361" si="26">+IF(OR($F322="SALDO",$F322="INGRESO"),$O322,0)</f>
        <v>0</v>
      </c>
      <c r="Q322" s="3">
        <f t="shared" ref="Q322:Q361" si="27">+IF($F322="EGRESO",$O322,0)</f>
        <v>8</v>
      </c>
      <c r="R322" s="3">
        <f t="shared" ref="R322:R385" si="28">IFERROR(IF(F322="SALDO",P322,R321+P322-Q322),0)</f>
        <v>941.7999999999995</v>
      </c>
      <c r="S322" s="24" t="s">
        <v>1334</v>
      </c>
      <c r="T322" s="24" t="s">
        <v>1334</v>
      </c>
      <c r="U322" s="3"/>
      <c r="V322" s="25" t="s">
        <v>7756</v>
      </c>
      <c r="W322" s="25">
        <v>20517252558</v>
      </c>
      <c r="X322" s="25" t="str">
        <f>IFERROR(VLOOKUP(C_Ope_005[[#This Row],[nota_2]],Clientes_Proveedores[[Ruc / Dni]:[Razon Social]],2,0),"")</f>
        <v>COVISUR S.A.</v>
      </c>
      <c r="Y322" s="25"/>
      <c r="Z322" s="103"/>
      <c r="AA322" s="3" t="str">
        <f>IF(C_Ope_005[[#This Row],[fecha]]&gt;0,TEXT(C_Ope_005[[#This Row],[fecha]],"mmmm"),0)</f>
        <v>Junio</v>
      </c>
      <c r="AB322" s="49"/>
    </row>
    <row r="323" spans="1:28" ht="36" x14ac:dyDescent="0.3">
      <c r="A323" s="2">
        <f>IF(C_Ope_005[[#This Row],[tipo_r]]="R",COUNTIFS($C$1:$C322,"R")+1,"")</f>
        <v>322</v>
      </c>
      <c r="B323" s="19" t="str">
        <f t="shared" ref="B323:B352" si="29">"C_Ope_005"</f>
        <v>C_Ope_005</v>
      </c>
      <c r="C323" s="3" t="s">
        <v>1330</v>
      </c>
      <c r="D323" s="14">
        <v>45824</v>
      </c>
      <c r="E323" s="5" t="s">
        <v>8535</v>
      </c>
      <c r="F323" s="5" t="s">
        <v>1336</v>
      </c>
      <c r="G323" s="6" t="s">
        <v>682</v>
      </c>
      <c r="H323" s="6" t="s">
        <v>68</v>
      </c>
      <c r="I323" s="6" t="s">
        <v>1343</v>
      </c>
      <c r="J323" s="6">
        <v>34921</v>
      </c>
      <c r="K323" s="7" t="s">
        <v>8677</v>
      </c>
      <c r="L323" s="8">
        <v>24586</v>
      </c>
      <c r="M323" s="8" t="str">
        <f t="shared" ref="M323:M352" si="30">"PEN"</f>
        <v>PEN</v>
      </c>
      <c r="N323" s="13"/>
      <c r="O323" s="13">
        <v>10</v>
      </c>
      <c r="P323" s="3">
        <f t="shared" si="26"/>
        <v>0</v>
      </c>
      <c r="Q323" s="3">
        <f t="shared" si="27"/>
        <v>10</v>
      </c>
      <c r="R323" s="3">
        <f t="shared" si="28"/>
        <v>931.7999999999995</v>
      </c>
      <c r="S323" s="24" t="s">
        <v>1334</v>
      </c>
      <c r="T323" s="24" t="s">
        <v>1334</v>
      </c>
      <c r="U323" s="3"/>
      <c r="V323" s="25" t="s">
        <v>7756</v>
      </c>
      <c r="W323" s="25">
        <v>20259858934</v>
      </c>
      <c r="X323" s="25" t="str">
        <f>IFERROR(VLOOKUP(C_Ope_005[[#This Row],[nota_2]],Clientes_Proveedores[[Ruc / Dni]:[Razon Social]],2,0),"")</f>
        <v>COMERCIALIZACION Y SERVICIOS EL EDEN S.A.C.</v>
      </c>
      <c r="Y323" s="25"/>
      <c r="Z323" s="103"/>
      <c r="AA323" s="3" t="str">
        <f>IF(C_Ope_005[[#This Row],[fecha]]&gt;0,TEXT(C_Ope_005[[#This Row],[fecha]],"mmmm"),0)</f>
        <v>Junio</v>
      </c>
      <c r="AB323" s="49"/>
    </row>
    <row r="324" spans="1:28" ht="36" x14ac:dyDescent="0.3">
      <c r="A324" s="2">
        <f>IF(C_Ope_005[[#This Row],[tipo_r]]="R",COUNTIFS($C$1:$C323,"R")+1,"")</f>
        <v>323</v>
      </c>
      <c r="B324" s="19" t="str">
        <f t="shared" si="29"/>
        <v>C_Ope_005</v>
      </c>
      <c r="C324" s="3" t="s">
        <v>1330</v>
      </c>
      <c r="D324" s="14">
        <v>45827</v>
      </c>
      <c r="E324" s="5" t="s">
        <v>8535</v>
      </c>
      <c r="F324" s="5" t="s">
        <v>1336</v>
      </c>
      <c r="G324" s="6" t="s">
        <v>227</v>
      </c>
      <c r="H324" s="6" t="s">
        <v>68</v>
      </c>
      <c r="I324" s="6" t="s">
        <v>1390</v>
      </c>
      <c r="J324" s="6">
        <v>133208</v>
      </c>
      <c r="K324" s="7" t="s">
        <v>8622</v>
      </c>
      <c r="L324" s="8">
        <v>24617</v>
      </c>
      <c r="M324" s="8" t="str">
        <f t="shared" si="30"/>
        <v>PEN</v>
      </c>
      <c r="N324" s="13"/>
      <c r="O324" s="13">
        <v>10</v>
      </c>
      <c r="P324" s="3">
        <f t="shared" si="26"/>
        <v>0</v>
      </c>
      <c r="Q324" s="3">
        <f t="shared" si="27"/>
        <v>10</v>
      </c>
      <c r="R324" s="3">
        <f t="shared" si="28"/>
        <v>921.7999999999995</v>
      </c>
      <c r="S324" s="24" t="s">
        <v>1334</v>
      </c>
      <c r="T324" s="24" t="s">
        <v>1334</v>
      </c>
      <c r="U324" s="3"/>
      <c r="V324" s="25" t="s">
        <v>7756</v>
      </c>
      <c r="W324" s="25">
        <v>20124952850</v>
      </c>
      <c r="X324" s="25" t="str">
        <f>IFERROR(VLOOKUP(C_Ope_005[[#This Row],[nota_2]],Clientes_Proveedores[[Ruc / Dni]:[Razon Social]],2,0),"")</f>
        <v>ALIMENTOS Y SERVICIOS AGROPECUARIOS SRL.</v>
      </c>
      <c r="Y324" s="25"/>
      <c r="Z324" s="103"/>
      <c r="AA324" s="3" t="str">
        <f>IF(C_Ope_005[[#This Row],[fecha]]&gt;0,TEXT(C_Ope_005[[#This Row],[fecha]],"mmmm"),0)</f>
        <v>Junio</v>
      </c>
      <c r="AB324" s="49"/>
    </row>
    <row r="325" spans="1:28" ht="36" x14ac:dyDescent="0.3">
      <c r="A325" s="2">
        <f>IF(C_Ope_005[[#This Row],[tipo_r]]="R",COUNTIFS($C$1:$C324,"R")+1,"")</f>
        <v>324</v>
      </c>
      <c r="B325" s="19" t="str">
        <f t="shared" si="29"/>
        <v>C_Ope_005</v>
      </c>
      <c r="C325" s="3" t="s">
        <v>1330</v>
      </c>
      <c r="D325" s="14">
        <v>45827</v>
      </c>
      <c r="E325" s="5" t="s">
        <v>8535</v>
      </c>
      <c r="F325" s="5" t="s">
        <v>1336</v>
      </c>
      <c r="G325" s="6" t="s">
        <v>682</v>
      </c>
      <c r="H325" s="6" t="s">
        <v>68</v>
      </c>
      <c r="I325" s="6" t="s">
        <v>1353</v>
      </c>
      <c r="J325" s="6">
        <v>16708</v>
      </c>
      <c r="K325" s="7" t="s">
        <v>8678</v>
      </c>
      <c r="L325" s="8">
        <v>24618</v>
      </c>
      <c r="M325" s="8" t="str">
        <f t="shared" si="30"/>
        <v>PEN</v>
      </c>
      <c r="N325" s="13"/>
      <c r="O325" s="13">
        <v>20</v>
      </c>
      <c r="P325" s="3">
        <f t="shared" si="26"/>
        <v>0</v>
      </c>
      <c r="Q325" s="3">
        <f t="shared" si="27"/>
        <v>20</v>
      </c>
      <c r="R325" s="3">
        <f t="shared" si="28"/>
        <v>901.7999999999995</v>
      </c>
      <c r="S325" s="24" t="s">
        <v>1334</v>
      </c>
      <c r="T325" s="24" t="s">
        <v>1334</v>
      </c>
      <c r="U325" s="3"/>
      <c r="V325" s="25" t="s">
        <v>7756</v>
      </c>
      <c r="W325" s="25">
        <v>20259858934</v>
      </c>
      <c r="X325" s="25" t="str">
        <f>IFERROR(VLOOKUP(C_Ope_005[[#This Row],[nota_2]],Clientes_Proveedores[[Ruc / Dni]:[Razon Social]],2,0),"")</f>
        <v>COMERCIALIZACION Y SERVICIOS EL EDEN S.A.C.</v>
      </c>
      <c r="Y325" s="25"/>
      <c r="Z325" s="103"/>
      <c r="AA325" s="3" t="str">
        <f>IF(C_Ope_005[[#This Row],[fecha]]&gt;0,TEXT(C_Ope_005[[#This Row],[fecha]],"mmmm"),0)</f>
        <v>Junio</v>
      </c>
      <c r="AB325" s="49"/>
    </row>
    <row r="326" spans="1:28" ht="36" x14ac:dyDescent="0.3">
      <c r="A326" s="2">
        <f>IF(C_Ope_005[[#This Row],[tipo_r]]="R",COUNTIFS($C$1:$C325,"R")+1,"")</f>
        <v>325</v>
      </c>
      <c r="B326" s="19" t="str">
        <f t="shared" si="29"/>
        <v>C_Ope_005</v>
      </c>
      <c r="C326" s="3" t="s">
        <v>1330</v>
      </c>
      <c r="D326" s="14">
        <v>45828</v>
      </c>
      <c r="E326" s="5" t="s">
        <v>8535</v>
      </c>
      <c r="F326" s="5" t="s">
        <v>1336</v>
      </c>
      <c r="G326" s="6" t="s">
        <v>682</v>
      </c>
      <c r="H326" s="6" t="s">
        <v>68</v>
      </c>
      <c r="I326" s="6" t="s">
        <v>1353</v>
      </c>
      <c r="J326" s="6">
        <v>16711</v>
      </c>
      <c r="K326" s="7" t="s">
        <v>8679</v>
      </c>
      <c r="L326" s="8">
        <v>24639</v>
      </c>
      <c r="M326" s="8" t="str">
        <f t="shared" si="30"/>
        <v>PEN</v>
      </c>
      <c r="N326" s="13"/>
      <c r="O326" s="13">
        <v>20</v>
      </c>
      <c r="P326" s="3">
        <f t="shared" si="26"/>
        <v>0</v>
      </c>
      <c r="Q326" s="3">
        <f t="shared" si="27"/>
        <v>20</v>
      </c>
      <c r="R326" s="3">
        <f t="shared" si="28"/>
        <v>881.7999999999995</v>
      </c>
      <c r="S326" s="24" t="s">
        <v>1334</v>
      </c>
      <c r="T326" s="24" t="s">
        <v>1334</v>
      </c>
      <c r="U326" s="3"/>
      <c r="V326" s="25" t="s">
        <v>7756</v>
      </c>
      <c r="W326" s="25">
        <v>20259858934</v>
      </c>
      <c r="X326" s="25" t="str">
        <f>IFERROR(VLOOKUP(C_Ope_005[[#This Row],[nota_2]],Clientes_Proveedores[[Ruc / Dni]:[Razon Social]],2,0),"")</f>
        <v>COMERCIALIZACION Y SERVICIOS EL EDEN S.A.C.</v>
      </c>
      <c r="Y326" s="25"/>
      <c r="Z326" s="103"/>
      <c r="AA326" s="3" t="str">
        <f>IF(C_Ope_005[[#This Row],[fecha]]&gt;0,TEXT(C_Ope_005[[#This Row],[fecha]],"mmmm"),0)</f>
        <v>Junio</v>
      </c>
      <c r="AB326" s="49"/>
    </row>
    <row r="327" spans="1:28" ht="24" x14ac:dyDescent="0.3">
      <c r="A327" s="2">
        <f>IF(C_Ope_005[[#This Row],[tipo_r]]="R",COUNTIFS($C$1:$C326,"R")+1,"")</f>
        <v>326</v>
      </c>
      <c r="B327" s="19" t="str">
        <f t="shared" si="29"/>
        <v>C_Ope_005</v>
      </c>
      <c r="C327" s="3" t="s">
        <v>1330</v>
      </c>
      <c r="D327" s="14">
        <v>45832</v>
      </c>
      <c r="E327" s="5" t="s">
        <v>8535</v>
      </c>
      <c r="F327" s="5" t="s">
        <v>1336</v>
      </c>
      <c r="G327" s="6" t="s">
        <v>1063</v>
      </c>
      <c r="H327" s="6" t="s">
        <v>68</v>
      </c>
      <c r="I327" s="6" t="s">
        <v>1374</v>
      </c>
      <c r="J327" s="6">
        <v>46261</v>
      </c>
      <c r="K327" s="7" t="s">
        <v>8680</v>
      </c>
      <c r="L327" s="8">
        <v>24678</v>
      </c>
      <c r="M327" s="8" t="str">
        <f t="shared" si="30"/>
        <v>PEN</v>
      </c>
      <c r="N327" s="13"/>
      <c r="O327" s="13">
        <v>150</v>
      </c>
      <c r="P327" s="3">
        <f t="shared" si="26"/>
        <v>0</v>
      </c>
      <c r="Q327" s="3">
        <f t="shared" si="27"/>
        <v>150</v>
      </c>
      <c r="R327" s="3">
        <f t="shared" si="28"/>
        <v>731.7999999999995</v>
      </c>
      <c r="S327" s="24" t="s">
        <v>1334</v>
      </c>
      <c r="T327" s="24" t="s">
        <v>1334</v>
      </c>
      <c r="U327" s="3"/>
      <c r="V327" s="25" t="s">
        <v>7761</v>
      </c>
      <c r="W327" s="25">
        <v>20485592556</v>
      </c>
      <c r="X327" s="25" t="str">
        <f>IFERROR(VLOOKUP(C_Ope_005[[#This Row],[nota_2]],Clientes_Proveedores[[Ruc / Dni]:[Razon Social]],2,0),"")</f>
        <v>SERVICENTRO SANTA MARTHA E.I.R.LTDA.</v>
      </c>
      <c r="Y327" s="25"/>
      <c r="Z327" s="103"/>
      <c r="AA327" s="3" t="str">
        <f>IF(C_Ope_005[[#This Row],[fecha]]&gt;0,TEXT(C_Ope_005[[#This Row],[fecha]],"mmmm"),0)</f>
        <v>Junio</v>
      </c>
      <c r="AB327" s="49"/>
    </row>
    <row r="328" spans="1:28" ht="24" x14ac:dyDescent="0.3">
      <c r="A328" s="2">
        <f>IF(C_Ope_005[[#This Row],[tipo_r]]="R",COUNTIFS($C$1:$C327,"R")+1,"")</f>
        <v>327</v>
      </c>
      <c r="B328" s="19" t="str">
        <f t="shared" si="29"/>
        <v>C_Ope_005</v>
      </c>
      <c r="C328" s="3" t="s">
        <v>1330</v>
      </c>
      <c r="D328" s="14">
        <v>45831</v>
      </c>
      <c r="E328" s="5" t="s">
        <v>8535</v>
      </c>
      <c r="F328" s="5" t="s">
        <v>1336</v>
      </c>
      <c r="G328" s="6" t="s">
        <v>978</v>
      </c>
      <c r="H328" s="6" t="s">
        <v>68</v>
      </c>
      <c r="I328" s="6" t="s">
        <v>8594</v>
      </c>
      <c r="J328" s="6">
        <v>441658</v>
      </c>
      <c r="K328" s="7" t="s">
        <v>8658</v>
      </c>
      <c r="L328" s="8">
        <v>24665</v>
      </c>
      <c r="M328" s="8" t="str">
        <f t="shared" si="30"/>
        <v>PEN</v>
      </c>
      <c r="N328" s="13"/>
      <c r="O328" s="13">
        <v>7.7</v>
      </c>
      <c r="P328" s="3">
        <f t="shared" si="26"/>
        <v>0</v>
      </c>
      <c r="Q328" s="3">
        <f t="shared" si="27"/>
        <v>7.7</v>
      </c>
      <c r="R328" s="3">
        <f t="shared" si="28"/>
        <v>724.09999999999945</v>
      </c>
      <c r="S328" s="24" t="s">
        <v>1334</v>
      </c>
      <c r="T328" s="24" t="s">
        <v>1334</v>
      </c>
      <c r="U328" s="3"/>
      <c r="V328" s="25" t="s">
        <v>7761</v>
      </c>
      <c r="W328" s="25">
        <v>20517252558</v>
      </c>
      <c r="X328" s="25" t="str">
        <f>IFERROR(VLOOKUP(C_Ope_005[[#This Row],[nota_2]],Clientes_Proveedores[[Ruc / Dni]:[Razon Social]],2,0),"")</f>
        <v>COVISUR S.A.</v>
      </c>
      <c r="Y328" s="25"/>
      <c r="Z328" s="103"/>
      <c r="AA328" s="3" t="str">
        <f>IF(C_Ope_005[[#This Row],[fecha]]&gt;0,TEXT(C_Ope_005[[#This Row],[fecha]],"mmmm"),0)</f>
        <v>Junio</v>
      </c>
      <c r="AB328" s="49"/>
    </row>
    <row r="329" spans="1:28" ht="24" x14ac:dyDescent="0.3">
      <c r="A329" s="2">
        <f>IF(C_Ope_005[[#This Row],[tipo_r]]="R",COUNTIFS($C$1:$C328,"R")+1,"")</f>
        <v>328</v>
      </c>
      <c r="B329" s="19" t="str">
        <f t="shared" si="29"/>
        <v>C_Ope_005</v>
      </c>
      <c r="C329" s="3" t="s">
        <v>1330</v>
      </c>
      <c r="D329" s="14">
        <v>45832</v>
      </c>
      <c r="E329" s="5" t="s">
        <v>8535</v>
      </c>
      <c r="F329" s="5" t="s">
        <v>1336</v>
      </c>
      <c r="G329" s="6" t="s">
        <v>1036</v>
      </c>
      <c r="H329" s="6" t="s">
        <v>68</v>
      </c>
      <c r="I329" s="6" t="s">
        <v>8554</v>
      </c>
      <c r="J329" s="6">
        <v>628839</v>
      </c>
      <c r="K329" s="7" t="s">
        <v>8659</v>
      </c>
      <c r="L329" s="8">
        <v>24671</v>
      </c>
      <c r="M329" s="8" t="str">
        <f t="shared" si="30"/>
        <v>PEN</v>
      </c>
      <c r="N329" s="13"/>
      <c r="O329" s="13">
        <v>7.7</v>
      </c>
      <c r="P329" s="3">
        <f t="shared" si="26"/>
        <v>0</v>
      </c>
      <c r="Q329" s="3">
        <f t="shared" si="27"/>
        <v>7.7</v>
      </c>
      <c r="R329" s="3">
        <f t="shared" si="28"/>
        <v>716.39999999999941</v>
      </c>
      <c r="S329" s="24" t="s">
        <v>1334</v>
      </c>
      <c r="T329" s="24" t="s">
        <v>1334</v>
      </c>
      <c r="U329" s="3"/>
      <c r="V329" s="25" t="s">
        <v>7761</v>
      </c>
      <c r="W329" s="25">
        <v>20517216241</v>
      </c>
      <c r="X329" s="25" t="str">
        <f>IFERROR(VLOOKUP(C_Ope_005[[#This Row],[nota_2]],Clientes_Proveedores[[Ruc / Dni]:[Razon Social]],2,0),"")</f>
        <v>CARRETERA ANDINA DEL SUR S.A.C.</v>
      </c>
      <c r="Y329" s="25"/>
      <c r="Z329" s="103"/>
      <c r="AA329" s="3" t="str">
        <f>IF(C_Ope_005[[#This Row],[fecha]]&gt;0,TEXT(C_Ope_005[[#This Row],[fecha]],"mmmm"),0)</f>
        <v>Junio</v>
      </c>
      <c r="AB329" s="49"/>
    </row>
    <row r="330" spans="1:28" ht="24" x14ac:dyDescent="0.3">
      <c r="A330" s="2">
        <f>IF(C_Ope_005[[#This Row],[tipo_r]]="R",COUNTIFS($C$1:$C329,"R")+1,"")</f>
        <v>329</v>
      </c>
      <c r="B330" s="19" t="str">
        <f t="shared" si="29"/>
        <v>C_Ope_005</v>
      </c>
      <c r="C330" s="3" t="s">
        <v>1330</v>
      </c>
      <c r="D330" s="14">
        <v>45832</v>
      </c>
      <c r="E330" s="5" t="s">
        <v>8535</v>
      </c>
      <c r="F330" s="5" t="s">
        <v>1336</v>
      </c>
      <c r="G330" s="6" t="s">
        <v>1036</v>
      </c>
      <c r="H330" s="6" t="s">
        <v>68</v>
      </c>
      <c r="I330" s="6" t="s">
        <v>8556</v>
      </c>
      <c r="J330" s="6">
        <v>639832</v>
      </c>
      <c r="K330" s="7" t="s">
        <v>8681</v>
      </c>
      <c r="L330" s="8">
        <v>24672</v>
      </c>
      <c r="M330" s="8" t="str">
        <f t="shared" si="30"/>
        <v>PEN</v>
      </c>
      <c r="N330" s="13"/>
      <c r="O330" s="13">
        <v>7.7</v>
      </c>
      <c r="P330" s="3">
        <f t="shared" si="26"/>
        <v>0</v>
      </c>
      <c r="Q330" s="3">
        <f t="shared" si="27"/>
        <v>7.7</v>
      </c>
      <c r="R330" s="3">
        <f t="shared" si="28"/>
        <v>708.69999999999936</v>
      </c>
      <c r="S330" s="24" t="s">
        <v>1334</v>
      </c>
      <c r="T330" s="24" t="s">
        <v>1334</v>
      </c>
      <c r="U330" s="3"/>
      <c r="V330" s="25" t="s">
        <v>7761</v>
      </c>
      <c r="W330" s="25">
        <v>20517216241</v>
      </c>
      <c r="X330" s="25" t="str">
        <f>IFERROR(VLOOKUP(C_Ope_005[[#This Row],[nota_2]],Clientes_Proveedores[[Ruc / Dni]:[Razon Social]],2,0),"")</f>
        <v>CARRETERA ANDINA DEL SUR S.A.C.</v>
      </c>
      <c r="Y330" s="25"/>
      <c r="Z330" s="103"/>
      <c r="AA330" s="3" t="str">
        <f>IF(C_Ope_005[[#This Row],[fecha]]&gt;0,TEXT(C_Ope_005[[#This Row],[fecha]],"mmmm"),0)</f>
        <v>Junio</v>
      </c>
      <c r="AB330" s="49"/>
    </row>
    <row r="331" spans="1:28" ht="24" x14ac:dyDescent="0.3">
      <c r="A331" s="2">
        <f>IF(C_Ope_005[[#This Row],[tipo_r]]="R",COUNTIFS($C$1:$C330,"R")+1,"")</f>
        <v>330</v>
      </c>
      <c r="B331" s="19" t="str">
        <f t="shared" si="29"/>
        <v>C_Ope_005</v>
      </c>
      <c r="C331" s="3" t="s">
        <v>1330</v>
      </c>
      <c r="D331" s="14">
        <v>45834</v>
      </c>
      <c r="E331" s="5" t="s">
        <v>8535</v>
      </c>
      <c r="F331" s="5" t="s">
        <v>1336</v>
      </c>
      <c r="G331" s="6" t="s">
        <v>978</v>
      </c>
      <c r="H331" s="6" t="s">
        <v>68</v>
      </c>
      <c r="I331" s="6" t="s">
        <v>8557</v>
      </c>
      <c r="J331" s="6">
        <v>1869371</v>
      </c>
      <c r="K331" s="7" t="s">
        <v>8658</v>
      </c>
      <c r="L331" s="8">
        <v>24718</v>
      </c>
      <c r="M331" s="8" t="str">
        <f t="shared" si="30"/>
        <v>PEN</v>
      </c>
      <c r="N331" s="13"/>
      <c r="O331" s="13">
        <v>7.7</v>
      </c>
      <c r="P331" s="3">
        <f t="shared" si="26"/>
        <v>0</v>
      </c>
      <c r="Q331" s="3">
        <f t="shared" si="27"/>
        <v>7.7</v>
      </c>
      <c r="R331" s="3">
        <f t="shared" si="28"/>
        <v>700.99999999999932</v>
      </c>
      <c r="S331" s="24" t="s">
        <v>1334</v>
      </c>
      <c r="T331" s="24" t="s">
        <v>1334</v>
      </c>
      <c r="U331" s="3"/>
      <c r="V331" s="25" t="s">
        <v>7761</v>
      </c>
      <c r="W331" s="25">
        <v>20517252558</v>
      </c>
      <c r="X331" s="25" t="str">
        <f>IFERROR(VLOOKUP(C_Ope_005[[#This Row],[nota_2]],Clientes_Proveedores[[Ruc / Dni]:[Razon Social]],2,0),"")</f>
        <v>COVISUR S.A.</v>
      </c>
      <c r="Y331" s="25"/>
      <c r="Z331" s="103"/>
      <c r="AA331" s="3" t="str">
        <f>IF(C_Ope_005[[#This Row],[fecha]]&gt;0,TEXT(C_Ope_005[[#This Row],[fecha]],"mmmm"),0)</f>
        <v>Junio</v>
      </c>
      <c r="AB331" s="49"/>
    </row>
    <row r="332" spans="1:28" ht="36" x14ac:dyDescent="0.3">
      <c r="A332" s="2">
        <f>IF(C_Ope_005[[#This Row],[tipo_r]]="R",COUNTIFS($C$1:$C331,"R")+1,"")</f>
        <v>331</v>
      </c>
      <c r="B332" s="19" t="str">
        <f t="shared" si="29"/>
        <v>C_Ope_005</v>
      </c>
      <c r="C332" s="3" t="s">
        <v>1330</v>
      </c>
      <c r="D332" s="14">
        <v>45834</v>
      </c>
      <c r="E332" s="5" t="s">
        <v>8535</v>
      </c>
      <c r="F332" s="5" t="s">
        <v>1336</v>
      </c>
      <c r="G332" s="6" t="s">
        <v>978</v>
      </c>
      <c r="H332" s="6" t="s">
        <v>68</v>
      </c>
      <c r="I332" s="6" t="s">
        <v>5688</v>
      </c>
      <c r="J332" s="6">
        <v>2380327</v>
      </c>
      <c r="K332" s="7" t="s">
        <v>8682</v>
      </c>
      <c r="L332" s="8">
        <v>24719</v>
      </c>
      <c r="M332" s="8" t="str">
        <f t="shared" si="30"/>
        <v>PEN</v>
      </c>
      <c r="N332" s="13"/>
      <c r="O332" s="13">
        <v>8</v>
      </c>
      <c r="P332" s="3">
        <f t="shared" si="26"/>
        <v>0</v>
      </c>
      <c r="Q332" s="3">
        <f t="shared" si="27"/>
        <v>8</v>
      </c>
      <c r="R332" s="3">
        <f t="shared" si="28"/>
        <v>692.99999999999932</v>
      </c>
      <c r="S332" s="24" t="s">
        <v>1334</v>
      </c>
      <c r="T332" s="24" t="s">
        <v>1334</v>
      </c>
      <c r="U332" s="3"/>
      <c r="V332" s="25" t="s">
        <v>7761</v>
      </c>
      <c r="W332" s="25">
        <v>20517252558</v>
      </c>
      <c r="X332" s="25" t="str">
        <f>IFERROR(VLOOKUP(C_Ope_005[[#This Row],[nota_2]],Clientes_Proveedores[[Ruc / Dni]:[Razon Social]],2,0),"")</f>
        <v>COVISUR S.A.</v>
      </c>
      <c r="Y332" s="25"/>
      <c r="Z332" s="103"/>
      <c r="AA332" s="3" t="str">
        <f>IF(C_Ope_005[[#This Row],[fecha]]&gt;0,TEXT(C_Ope_005[[#This Row],[fecha]],"mmmm"),0)</f>
        <v>Junio</v>
      </c>
      <c r="AB332" s="49"/>
    </row>
    <row r="333" spans="1:28" ht="24" x14ac:dyDescent="0.3">
      <c r="A333" s="2">
        <f>IF(C_Ope_005[[#This Row],[tipo_r]]="R",COUNTIFS($C$1:$C332,"R")+1,"")</f>
        <v>332</v>
      </c>
      <c r="B333" s="19" t="str">
        <f t="shared" si="29"/>
        <v>C_Ope_005</v>
      </c>
      <c r="C333" s="3" t="s">
        <v>1330</v>
      </c>
      <c r="D333" s="14">
        <v>45835</v>
      </c>
      <c r="E333" s="5" t="s">
        <v>8535</v>
      </c>
      <c r="F333" s="5" t="s">
        <v>1336</v>
      </c>
      <c r="G333" s="6" t="s">
        <v>978</v>
      </c>
      <c r="H333" s="6" t="s">
        <v>68</v>
      </c>
      <c r="I333" s="6" t="s">
        <v>6204</v>
      </c>
      <c r="J333" s="6">
        <v>1770457</v>
      </c>
      <c r="K333" s="7" t="s">
        <v>8683</v>
      </c>
      <c r="L333" s="8">
        <v>24729</v>
      </c>
      <c r="M333" s="8" t="str">
        <f t="shared" si="30"/>
        <v>PEN</v>
      </c>
      <c r="N333" s="13"/>
      <c r="O333" s="13">
        <v>8</v>
      </c>
      <c r="P333" s="3">
        <f t="shared" si="26"/>
        <v>0</v>
      </c>
      <c r="Q333" s="3">
        <f t="shared" si="27"/>
        <v>8</v>
      </c>
      <c r="R333" s="3">
        <f t="shared" si="28"/>
        <v>684.99999999999932</v>
      </c>
      <c r="S333" s="24" t="s">
        <v>1334</v>
      </c>
      <c r="T333" s="24" t="s">
        <v>1334</v>
      </c>
      <c r="U333" s="3"/>
      <c r="V333" s="25" t="s">
        <v>7756</v>
      </c>
      <c r="W333" s="25">
        <v>20517252558</v>
      </c>
      <c r="X333" s="25" t="str">
        <f>IFERROR(VLOOKUP(C_Ope_005[[#This Row],[nota_2]],Clientes_Proveedores[[Ruc / Dni]:[Razon Social]],2,0),"")</f>
        <v>COVISUR S.A.</v>
      </c>
      <c r="Y333" s="25"/>
      <c r="Z333" s="103"/>
      <c r="AA333" s="3" t="str">
        <f>IF(C_Ope_005[[#This Row],[fecha]]&gt;0,TEXT(C_Ope_005[[#This Row],[fecha]],"mmmm"),0)</f>
        <v>Junio</v>
      </c>
      <c r="AB333" s="49"/>
    </row>
    <row r="334" spans="1:28" ht="24" x14ac:dyDescent="0.3">
      <c r="A334" s="2">
        <f>IF(C_Ope_005[[#This Row],[tipo_r]]="R",COUNTIFS($C$1:$C333,"R")+1,"")</f>
        <v>333</v>
      </c>
      <c r="B334" s="19" t="str">
        <f t="shared" si="29"/>
        <v>C_Ope_005</v>
      </c>
      <c r="C334" s="3" t="s">
        <v>1330</v>
      </c>
      <c r="D334" s="14">
        <v>45838</v>
      </c>
      <c r="E334" s="5" t="s">
        <v>8535</v>
      </c>
      <c r="F334" s="5" t="s">
        <v>1336</v>
      </c>
      <c r="G334" s="6" t="s">
        <v>978</v>
      </c>
      <c r="H334" s="6" t="s">
        <v>68</v>
      </c>
      <c r="I334" s="6" t="s">
        <v>6204</v>
      </c>
      <c r="J334" s="6">
        <v>1772957</v>
      </c>
      <c r="K334" s="7" t="s">
        <v>8684</v>
      </c>
      <c r="L334" s="8">
        <v>24752</v>
      </c>
      <c r="M334" s="8" t="str">
        <f t="shared" si="30"/>
        <v>PEN</v>
      </c>
      <c r="N334" s="13"/>
      <c r="O334" s="13">
        <v>8</v>
      </c>
      <c r="P334" s="3">
        <f t="shared" si="26"/>
        <v>0</v>
      </c>
      <c r="Q334" s="3">
        <f t="shared" si="27"/>
        <v>8</v>
      </c>
      <c r="R334" s="3">
        <f t="shared" si="28"/>
        <v>676.99999999999932</v>
      </c>
      <c r="S334" s="24" t="s">
        <v>1334</v>
      </c>
      <c r="T334" s="24" t="s">
        <v>1334</v>
      </c>
      <c r="U334" s="3"/>
      <c r="V334" s="25" t="s">
        <v>7761</v>
      </c>
      <c r="W334" s="25">
        <v>20517252558</v>
      </c>
      <c r="X334" s="25" t="str">
        <f>IFERROR(VLOOKUP(C_Ope_005[[#This Row],[nota_2]],Clientes_Proveedores[[Ruc / Dni]:[Razon Social]],2,0),"")</f>
        <v>COVISUR S.A.</v>
      </c>
      <c r="Y334" s="25"/>
      <c r="Z334" s="103"/>
      <c r="AA334" s="3" t="str">
        <f>IF(C_Ope_005[[#This Row],[fecha]]&gt;0,TEXT(C_Ope_005[[#This Row],[fecha]],"mmmm"),0)</f>
        <v>Junio</v>
      </c>
      <c r="AB334" s="49"/>
    </row>
    <row r="335" spans="1:28" ht="36" x14ac:dyDescent="0.3">
      <c r="A335" s="2">
        <f>IF(C_Ope_005[[#This Row],[tipo_r]]="R",COUNTIFS($C$1:$C334,"R")+1,"")</f>
        <v>334</v>
      </c>
      <c r="B335" s="19" t="str">
        <f t="shared" si="29"/>
        <v>C_Ope_005</v>
      </c>
      <c r="C335" s="3" t="s">
        <v>1330</v>
      </c>
      <c r="D335" s="14">
        <v>45835</v>
      </c>
      <c r="E335" s="5" t="s">
        <v>8535</v>
      </c>
      <c r="F335" s="5" t="s">
        <v>1336</v>
      </c>
      <c r="G335" s="6" t="s">
        <v>227</v>
      </c>
      <c r="H335" s="6" t="s">
        <v>68</v>
      </c>
      <c r="I335" s="6" t="s">
        <v>1390</v>
      </c>
      <c r="J335" s="6">
        <v>133518</v>
      </c>
      <c r="K335" s="7" t="s">
        <v>8685</v>
      </c>
      <c r="L335" s="8">
        <v>24730</v>
      </c>
      <c r="M335" s="8" t="str">
        <f t="shared" si="30"/>
        <v>PEN</v>
      </c>
      <c r="N335" s="13"/>
      <c r="O335" s="13">
        <v>10</v>
      </c>
      <c r="P335" s="3">
        <f t="shared" si="26"/>
        <v>0</v>
      </c>
      <c r="Q335" s="3">
        <f t="shared" si="27"/>
        <v>10</v>
      </c>
      <c r="R335" s="3">
        <f t="shared" si="28"/>
        <v>666.99999999999932</v>
      </c>
      <c r="S335" s="24" t="s">
        <v>1334</v>
      </c>
      <c r="T335" s="24" t="s">
        <v>1334</v>
      </c>
      <c r="U335" s="3"/>
      <c r="V335" s="25" t="s">
        <v>7756</v>
      </c>
      <c r="W335" s="25">
        <v>20124952850</v>
      </c>
      <c r="X335" s="25" t="str">
        <f>IFERROR(VLOOKUP(C_Ope_005[[#This Row],[nota_2]],Clientes_Proveedores[[Ruc / Dni]:[Razon Social]],2,0),"")</f>
        <v>ALIMENTOS Y SERVICIOS AGROPECUARIOS SRL.</v>
      </c>
      <c r="Y335" s="25"/>
      <c r="Z335" s="103"/>
      <c r="AA335" s="3" t="str">
        <f>IF(C_Ope_005[[#This Row],[fecha]]&gt;0,TEXT(C_Ope_005[[#This Row],[fecha]],"mmmm"),0)</f>
        <v>Junio</v>
      </c>
      <c r="AB335" s="49"/>
    </row>
    <row r="336" spans="1:28" x14ac:dyDescent="0.3">
      <c r="A336" s="2">
        <f>IF(C_Ope_005[[#This Row],[tipo_r]]="R",COUNTIFS($C$1:$C335,"R")+1,"")</f>
        <v>335</v>
      </c>
      <c r="B336" s="19" t="str">
        <f t="shared" si="29"/>
        <v>C_Ope_005</v>
      </c>
      <c r="C336" s="3" t="s">
        <v>1330</v>
      </c>
      <c r="D336" s="14">
        <v>45831</v>
      </c>
      <c r="E336" s="5" t="s">
        <v>8535</v>
      </c>
      <c r="F336" s="5" t="s">
        <v>1336</v>
      </c>
      <c r="G336" s="6"/>
      <c r="H336" s="6" t="s">
        <v>126</v>
      </c>
      <c r="I336" s="6"/>
      <c r="J336" s="6"/>
      <c r="K336" s="7" t="s">
        <v>8225</v>
      </c>
      <c r="L336" s="8">
        <v>24666</v>
      </c>
      <c r="M336" s="8" t="str">
        <f t="shared" si="30"/>
        <v>PEN</v>
      </c>
      <c r="N336" s="13"/>
      <c r="O336" s="13">
        <v>24</v>
      </c>
      <c r="P336" s="3">
        <f t="shared" si="26"/>
        <v>0</v>
      </c>
      <c r="Q336" s="3">
        <f t="shared" si="27"/>
        <v>24</v>
      </c>
      <c r="R336" s="3">
        <f t="shared" si="28"/>
        <v>642.99999999999932</v>
      </c>
      <c r="S336" s="24" t="s">
        <v>1334</v>
      </c>
      <c r="T336" s="24" t="s">
        <v>1334</v>
      </c>
      <c r="U336" s="3"/>
      <c r="V336" s="25" t="s">
        <v>7761</v>
      </c>
      <c r="W336" s="25"/>
      <c r="X336" s="25" t="str">
        <f>IFERROR(VLOOKUP(C_Ope_005[[#This Row],[nota_2]],Clientes_Proveedores[[Ruc / Dni]:[Razon Social]],2,0),"")</f>
        <v/>
      </c>
      <c r="Y336" s="25"/>
      <c r="Z336" s="103"/>
      <c r="AA336" s="3" t="str">
        <f>IF(C_Ope_005[[#This Row],[fecha]]&gt;0,TEXT(C_Ope_005[[#This Row],[fecha]],"mmmm"),0)</f>
        <v>Junio</v>
      </c>
      <c r="AB336" s="49"/>
    </row>
    <row r="337" spans="1:28" x14ac:dyDescent="0.3">
      <c r="A337" s="2">
        <f>IF(C_Ope_005[[#This Row],[tipo_r]]="R",COUNTIFS($C$1:$C336,"R")+1,"")</f>
        <v>336</v>
      </c>
      <c r="B337" s="19" t="str">
        <f t="shared" si="29"/>
        <v>C_Ope_005</v>
      </c>
      <c r="C337" s="3" t="s">
        <v>1330</v>
      </c>
      <c r="D337" s="14">
        <v>45831</v>
      </c>
      <c r="E337" s="5" t="s">
        <v>8535</v>
      </c>
      <c r="F337" s="5" t="s">
        <v>1336</v>
      </c>
      <c r="G337" s="6"/>
      <c r="H337" s="6" t="s">
        <v>126</v>
      </c>
      <c r="I337" s="6"/>
      <c r="J337" s="6"/>
      <c r="K337" s="7" t="s">
        <v>8218</v>
      </c>
      <c r="L337" s="8">
        <v>24667</v>
      </c>
      <c r="M337" s="8" t="str">
        <f t="shared" si="30"/>
        <v>PEN</v>
      </c>
      <c r="N337" s="13"/>
      <c r="O337" s="13">
        <v>30</v>
      </c>
      <c r="P337" s="3">
        <f t="shared" si="26"/>
        <v>0</v>
      </c>
      <c r="Q337" s="3">
        <f t="shared" si="27"/>
        <v>30</v>
      </c>
      <c r="R337" s="3">
        <f t="shared" si="28"/>
        <v>612.99999999999932</v>
      </c>
      <c r="S337" s="24" t="s">
        <v>1334</v>
      </c>
      <c r="T337" s="24" t="s">
        <v>1334</v>
      </c>
      <c r="U337" s="3"/>
      <c r="V337" s="25" t="s">
        <v>7761</v>
      </c>
      <c r="W337" s="25"/>
      <c r="X337" s="25" t="str">
        <f>IFERROR(VLOOKUP(C_Ope_005[[#This Row],[nota_2]],Clientes_Proveedores[[Ruc / Dni]:[Razon Social]],2,0),"")</f>
        <v/>
      </c>
      <c r="Y337" s="25"/>
      <c r="Z337" s="103"/>
      <c r="AA337" s="3" t="str">
        <f>IF(C_Ope_005[[#This Row],[fecha]]&gt;0,TEXT(C_Ope_005[[#This Row],[fecha]],"mmmm"),0)</f>
        <v>Junio</v>
      </c>
      <c r="AB337" s="49"/>
    </row>
    <row r="338" spans="1:28" x14ac:dyDescent="0.3">
      <c r="A338" s="2">
        <f>IF(C_Ope_005[[#This Row],[tipo_r]]="R",COUNTIFS($C$1:$C337,"R")+1,"")</f>
        <v>337</v>
      </c>
      <c r="B338" s="19" t="str">
        <f t="shared" si="29"/>
        <v>C_Ope_005</v>
      </c>
      <c r="C338" s="3" t="s">
        <v>1330</v>
      </c>
      <c r="D338" s="14">
        <v>45831</v>
      </c>
      <c r="E338" s="5" t="s">
        <v>8535</v>
      </c>
      <c r="F338" s="5" t="s">
        <v>1336</v>
      </c>
      <c r="G338" s="6"/>
      <c r="H338" s="6" t="s">
        <v>126</v>
      </c>
      <c r="I338" s="6"/>
      <c r="J338" s="6"/>
      <c r="K338" s="7" t="s">
        <v>8231</v>
      </c>
      <c r="L338" s="8">
        <v>24668</v>
      </c>
      <c r="M338" s="8" t="str">
        <f t="shared" si="30"/>
        <v>PEN</v>
      </c>
      <c r="N338" s="13"/>
      <c r="O338" s="13">
        <v>24</v>
      </c>
      <c r="P338" s="3">
        <f t="shared" si="26"/>
        <v>0</v>
      </c>
      <c r="Q338" s="3">
        <f t="shared" si="27"/>
        <v>24</v>
      </c>
      <c r="R338" s="3">
        <f t="shared" si="28"/>
        <v>588.99999999999932</v>
      </c>
      <c r="S338" s="24" t="s">
        <v>1334</v>
      </c>
      <c r="T338" s="24" t="s">
        <v>1334</v>
      </c>
      <c r="U338" s="3"/>
      <c r="V338" s="25" t="s">
        <v>7761</v>
      </c>
      <c r="W338" s="25"/>
      <c r="X338" s="25" t="str">
        <f>IFERROR(VLOOKUP(C_Ope_005[[#This Row],[nota_2]],Clientes_Proveedores[[Ruc / Dni]:[Razon Social]],2,0),"")</f>
        <v/>
      </c>
      <c r="Y338" s="25"/>
      <c r="Z338" s="103"/>
      <c r="AA338" s="3" t="str">
        <f>IF(C_Ope_005[[#This Row],[fecha]]&gt;0,TEXT(C_Ope_005[[#This Row],[fecha]],"mmmm"),0)</f>
        <v>Junio</v>
      </c>
      <c r="AB338" s="49"/>
    </row>
    <row r="339" spans="1:28" x14ac:dyDescent="0.3">
      <c r="A339" s="2">
        <f>IF(C_Ope_005[[#This Row],[tipo_r]]="R",COUNTIFS($C$1:$C338,"R")+1,"")</f>
        <v>338</v>
      </c>
      <c r="B339" s="19" t="str">
        <f t="shared" si="29"/>
        <v>C_Ope_005</v>
      </c>
      <c r="C339" s="3" t="s">
        <v>1330</v>
      </c>
      <c r="D339" s="14">
        <v>45831</v>
      </c>
      <c r="E339" s="5" t="s">
        <v>8535</v>
      </c>
      <c r="F339" s="5" t="s">
        <v>1336</v>
      </c>
      <c r="G339" s="6"/>
      <c r="H339" s="6" t="s">
        <v>126</v>
      </c>
      <c r="I339" s="6"/>
      <c r="J339" s="6"/>
      <c r="K339" s="7" t="s">
        <v>8686</v>
      </c>
      <c r="L339" s="8">
        <v>24669</v>
      </c>
      <c r="M339" s="8" t="str">
        <f t="shared" si="30"/>
        <v>PEN</v>
      </c>
      <c r="N339" s="13"/>
      <c r="O339" s="13">
        <v>100</v>
      </c>
      <c r="P339" s="3">
        <f t="shared" si="26"/>
        <v>0</v>
      </c>
      <c r="Q339" s="3">
        <f t="shared" si="27"/>
        <v>100</v>
      </c>
      <c r="R339" s="3">
        <f t="shared" si="28"/>
        <v>488.99999999999932</v>
      </c>
      <c r="S339" s="24" t="s">
        <v>1334</v>
      </c>
      <c r="T339" s="24" t="s">
        <v>1334</v>
      </c>
      <c r="U339" s="3"/>
      <c r="V339" s="25" t="s">
        <v>7761</v>
      </c>
      <c r="W339" s="25"/>
      <c r="X339" s="25" t="str">
        <f>IFERROR(VLOOKUP(C_Ope_005[[#This Row],[nota_2]],Clientes_Proveedores[[Ruc / Dni]:[Razon Social]],2,0),"")</f>
        <v/>
      </c>
      <c r="Y339" s="25"/>
      <c r="Z339" s="103"/>
      <c r="AA339" s="3" t="str">
        <f>IF(C_Ope_005[[#This Row],[fecha]]&gt;0,TEXT(C_Ope_005[[#This Row],[fecha]],"mmmm"),0)</f>
        <v>Junio</v>
      </c>
      <c r="AB339" s="49"/>
    </row>
    <row r="340" spans="1:28" x14ac:dyDescent="0.3">
      <c r="A340" s="2">
        <f>IF(C_Ope_005[[#This Row],[tipo_r]]="R",COUNTIFS($C$1:$C339,"R")+1,"")</f>
        <v>339</v>
      </c>
      <c r="B340" s="19" t="str">
        <f t="shared" si="29"/>
        <v>C_Ope_005</v>
      </c>
      <c r="C340" s="3" t="s">
        <v>1330</v>
      </c>
      <c r="D340" s="14">
        <v>45831</v>
      </c>
      <c r="E340" s="5" t="s">
        <v>8535</v>
      </c>
      <c r="F340" s="5" t="s">
        <v>1336</v>
      </c>
      <c r="G340" s="6"/>
      <c r="H340" s="6" t="s">
        <v>126</v>
      </c>
      <c r="I340" s="6"/>
      <c r="J340" s="6"/>
      <c r="K340" s="7" t="s">
        <v>8687</v>
      </c>
      <c r="L340" s="8">
        <v>24670</v>
      </c>
      <c r="M340" s="8" t="str">
        <f t="shared" si="30"/>
        <v>PEN</v>
      </c>
      <c r="N340" s="13"/>
      <c r="O340" s="13">
        <v>15</v>
      </c>
      <c r="P340" s="3">
        <f t="shared" si="26"/>
        <v>0</v>
      </c>
      <c r="Q340" s="3">
        <f t="shared" si="27"/>
        <v>15</v>
      </c>
      <c r="R340" s="3">
        <f t="shared" si="28"/>
        <v>473.99999999999932</v>
      </c>
      <c r="S340" s="24" t="s">
        <v>1334</v>
      </c>
      <c r="T340" s="24" t="s">
        <v>1334</v>
      </c>
      <c r="U340" s="3"/>
      <c r="V340" s="25" t="s">
        <v>7761</v>
      </c>
      <c r="W340" s="25"/>
      <c r="X340" s="25" t="str">
        <f>IFERROR(VLOOKUP(C_Ope_005[[#This Row],[nota_2]],Clientes_Proveedores[[Ruc / Dni]:[Razon Social]],2,0),"")</f>
        <v/>
      </c>
      <c r="Y340" s="25"/>
      <c r="Z340" s="103"/>
      <c r="AA340" s="3" t="str">
        <f>IF(C_Ope_005[[#This Row],[fecha]]&gt;0,TEXT(C_Ope_005[[#This Row],[fecha]],"mmmm"),0)</f>
        <v>Junio</v>
      </c>
      <c r="AB340" s="49"/>
    </row>
    <row r="341" spans="1:28" x14ac:dyDescent="0.3">
      <c r="A341" s="2">
        <f>IF(C_Ope_005[[#This Row],[tipo_r]]="R",COUNTIFS($C$1:$C340,"R")+1,"")</f>
        <v>340</v>
      </c>
      <c r="B341" s="19" t="str">
        <f t="shared" si="29"/>
        <v>C_Ope_005</v>
      </c>
      <c r="C341" s="3" t="s">
        <v>1330</v>
      </c>
      <c r="D341" s="14">
        <v>45832</v>
      </c>
      <c r="E341" s="5" t="s">
        <v>8535</v>
      </c>
      <c r="F341" s="5" t="s">
        <v>1336</v>
      </c>
      <c r="G341" s="6"/>
      <c r="H341" s="6" t="s">
        <v>126</v>
      </c>
      <c r="I341" s="6"/>
      <c r="J341" s="6"/>
      <c r="K341" s="7" t="s">
        <v>8225</v>
      </c>
      <c r="L341" s="8">
        <v>24673</v>
      </c>
      <c r="M341" s="8" t="str">
        <f t="shared" si="30"/>
        <v>PEN</v>
      </c>
      <c r="N341" s="13"/>
      <c r="O341" s="13">
        <v>24</v>
      </c>
      <c r="P341" s="3">
        <f t="shared" si="26"/>
        <v>0</v>
      </c>
      <c r="Q341" s="3">
        <f t="shared" si="27"/>
        <v>24</v>
      </c>
      <c r="R341" s="3">
        <f t="shared" si="28"/>
        <v>449.99999999999932</v>
      </c>
      <c r="S341" s="24" t="s">
        <v>1334</v>
      </c>
      <c r="T341" s="24" t="s">
        <v>1334</v>
      </c>
      <c r="U341" s="3"/>
      <c r="V341" s="25" t="s">
        <v>7761</v>
      </c>
      <c r="W341" s="25"/>
      <c r="X341" s="25" t="str">
        <f>IFERROR(VLOOKUP(C_Ope_005[[#This Row],[nota_2]],Clientes_Proveedores[[Ruc / Dni]:[Razon Social]],2,0),"")</f>
        <v/>
      </c>
      <c r="Y341" s="25"/>
      <c r="Z341" s="103"/>
      <c r="AA341" s="3" t="str">
        <f>IF(C_Ope_005[[#This Row],[fecha]]&gt;0,TEXT(C_Ope_005[[#This Row],[fecha]],"mmmm"),0)</f>
        <v>Junio</v>
      </c>
      <c r="AB341" s="49"/>
    </row>
    <row r="342" spans="1:28" x14ac:dyDescent="0.3">
      <c r="A342" s="2">
        <f>IF(C_Ope_005[[#This Row],[tipo_r]]="R",COUNTIFS($C$1:$C341,"R")+1,"")</f>
        <v>341</v>
      </c>
      <c r="B342" s="19" t="str">
        <f t="shared" si="29"/>
        <v>C_Ope_005</v>
      </c>
      <c r="C342" s="3" t="s">
        <v>1330</v>
      </c>
      <c r="D342" s="14">
        <v>45832</v>
      </c>
      <c r="E342" s="5" t="s">
        <v>8535</v>
      </c>
      <c r="F342" s="5" t="s">
        <v>1336</v>
      </c>
      <c r="G342" s="6"/>
      <c r="H342" s="6" t="s">
        <v>126</v>
      </c>
      <c r="I342" s="6"/>
      <c r="J342" s="6"/>
      <c r="K342" s="7" t="s">
        <v>8218</v>
      </c>
      <c r="L342" s="8">
        <v>24674</v>
      </c>
      <c r="M342" s="8" t="str">
        <f t="shared" si="30"/>
        <v>PEN</v>
      </c>
      <c r="N342" s="13"/>
      <c r="O342" s="13">
        <v>30</v>
      </c>
      <c r="P342" s="3">
        <f t="shared" si="26"/>
        <v>0</v>
      </c>
      <c r="Q342" s="3">
        <f t="shared" si="27"/>
        <v>30</v>
      </c>
      <c r="R342" s="3">
        <f t="shared" si="28"/>
        <v>419.99999999999932</v>
      </c>
      <c r="S342" s="24" t="s">
        <v>1334</v>
      </c>
      <c r="T342" s="24" t="s">
        <v>1334</v>
      </c>
      <c r="U342" s="3"/>
      <c r="V342" s="25" t="s">
        <v>7761</v>
      </c>
      <c r="W342" s="25"/>
      <c r="X342" s="25" t="str">
        <f>IFERROR(VLOOKUP(C_Ope_005[[#This Row],[nota_2]],Clientes_Proveedores[[Ruc / Dni]:[Razon Social]],2,0),"")</f>
        <v/>
      </c>
      <c r="Y342" s="25"/>
      <c r="Z342" s="103"/>
      <c r="AA342" s="3" t="str">
        <f>IF(C_Ope_005[[#This Row],[fecha]]&gt;0,TEXT(C_Ope_005[[#This Row],[fecha]],"mmmm"),0)</f>
        <v>Junio</v>
      </c>
      <c r="AB342" s="49"/>
    </row>
    <row r="343" spans="1:28" x14ac:dyDescent="0.3">
      <c r="A343" s="2">
        <f>IF(C_Ope_005[[#This Row],[tipo_r]]="R",COUNTIFS($C$1:$C342,"R")+1,"")</f>
        <v>342</v>
      </c>
      <c r="B343" s="19" t="str">
        <f t="shared" si="29"/>
        <v>C_Ope_005</v>
      </c>
      <c r="C343" s="3" t="s">
        <v>1330</v>
      </c>
      <c r="D343" s="14">
        <v>45832</v>
      </c>
      <c r="E343" s="5" t="s">
        <v>8535</v>
      </c>
      <c r="F343" s="5" t="s">
        <v>1336</v>
      </c>
      <c r="G343" s="6"/>
      <c r="H343" s="6" t="s">
        <v>126</v>
      </c>
      <c r="I343" s="6"/>
      <c r="J343" s="6"/>
      <c r="K343" s="7" t="s">
        <v>8231</v>
      </c>
      <c r="L343" s="8">
        <v>24675</v>
      </c>
      <c r="M343" s="8" t="str">
        <f t="shared" si="30"/>
        <v>PEN</v>
      </c>
      <c r="N343" s="13"/>
      <c r="O343" s="13">
        <v>24</v>
      </c>
      <c r="P343" s="3">
        <f t="shared" si="26"/>
        <v>0</v>
      </c>
      <c r="Q343" s="3">
        <f t="shared" si="27"/>
        <v>24</v>
      </c>
      <c r="R343" s="3">
        <f t="shared" si="28"/>
        <v>395.99999999999932</v>
      </c>
      <c r="S343" s="24" t="s">
        <v>1334</v>
      </c>
      <c r="T343" s="24" t="s">
        <v>1334</v>
      </c>
      <c r="U343" s="3"/>
      <c r="V343" s="25" t="s">
        <v>7761</v>
      </c>
      <c r="W343" s="25"/>
      <c r="X343" s="25" t="str">
        <f>IFERROR(VLOOKUP(C_Ope_005[[#This Row],[nota_2]],Clientes_Proveedores[[Ruc / Dni]:[Razon Social]],2,0),"")</f>
        <v/>
      </c>
      <c r="Y343" s="25"/>
      <c r="Z343" s="103"/>
      <c r="AA343" s="3" t="str">
        <f>IF(C_Ope_005[[#This Row],[fecha]]&gt;0,TEXT(C_Ope_005[[#This Row],[fecha]],"mmmm"),0)</f>
        <v>Junio</v>
      </c>
      <c r="AB343" s="49"/>
    </row>
    <row r="344" spans="1:28" ht="24" x14ac:dyDescent="0.3">
      <c r="A344" s="2">
        <f>IF(C_Ope_005[[#This Row],[tipo_r]]="R",COUNTIFS($C$1:$C343,"R")+1,"")</f>
        <v>343</v>
      </c>
      <c r="B344" s="19" t="str">
        <f t="shared" si="29"/>
        <v>C_Ope_005</v>
      </c>
      <c r="C344" s="3" t="s">
        <v>1330</v>
      </c>
      <c r="D344" s="14">
        <v>45832</v>
      </c>
      <c r="E344" s="5" t="s">
        <v>8535</v>
      </c>
      <c r="F344" s="5" t="s">
        <v>1336</v>
      </c>
      <c r="G344" s="6" t="s">
        <v>1183</v>
      </c>
      <c r="H344" s="6" t="s">
        <v>68</v>
      </c>
      <c r="I344" s="6" t="s">
        <v>1386</v>
      </c>
      <c r="J344" s="6">
        <v>312</v>
      </c>
      <c r="K344" s="7" t="s">
        <v>8688</v>
      </c>
      <c r="L344" s="8">
        <v>24676</v>
      </c>
      <c r="M344" s="8" t="str">
        <f t="shared" si="30"/>
        <v>PEN</v>
      </c>
      <c r="N344" s="13"/>
      <c r="O344" s="13">
        <v>100</v>
      </c>
      <c r="P344" s="3">
        <f t="shared" si="26"/>
        <v>0</v>
      </c>
      <c r="Q344" s="3">
        <f t="shared" si="27"/>
        <v>100</v>
      </c>
      <c r="R344" s="3">
        <f t="shared" si="28"/>
        <v>295.99999999999932</v>
      </c>
      <c r="S344" s="24" t="s">
        <v>1334</v>
      </c>
      <c r="T344" s="24" t="s">
        <v>1334</v>
      </c>
      <c r="U344" s="3"/>
      <c r="V344" s="25" t="s">
        <v>7761</v>
      </c>
      <c r="W344" s="25">
        <v>20604583307</v>
      </c>
      <c r="X344" s="25" t="str">
        <f>IFERROR(VLOOKUP(C_Ope_005[[#This Row],[nota_2]],Clientes_Proveedores[[Ruc / Dni]:[Razon Social]],2,0),"")</f>
        <v>INVERSIONES OP EXTREMOS S.C.R.L.</v>
      </c>
      <c r="Y344" s="25"/>
      <c r="Z344" s="103"/>
      <c r="AA344" s="3" t="str">
        <f>IF(C_Ope_005[[#This Row],[fecha]]&gt;0,TEXT(C_Ope_005[[#This Row],[fecha]],"mmmm"),0)</f>
        <v>Junio</v>
      </c>
      <c r="AB344" s="49"/>
    </row>
    <row r="345" spans="1:28" x14ac:dyDescent="0.3">
      <c r="A345" s="2">
        <f>IF(C_Ope_005[[#This Row],[tipo_r]]="R",COUNTIFS($C$1:$C344,"R")+1,"")</f>
        <v>344</v>
      </c>
      <c r="B345" s="19" t="str">
        <f t="shared" si="29"/>
        <v>C_Ope_005</v>
      </c>
      <c r="C345" s="3" t="s">
        <v>1330</v>
      </c>
      <c r="D345" s="14">
        <v>45832</v>
      </c>
      <c r="E345" s="5" t="s">
        <v>8535</v>
      </c>
      <c r="F345" s="5" t="s">
        <v>1336</v>
      </c>
      <c r="G345" s="6"/>
      <c r="H345" s="6" t="s">
        <v>126</v>
      </c>
      <c r="I345" s="6"/>
      <c r="J345" s="6"/>
      <c r="K345" s="7" t="s">
        <v>8689</v>
      </c>
      <c r="L345" s="8">
        <v>24677</v>
      </c>
      <c r="M345" s="8" t="str">
        <f t="shared" si="30"/>
        <v>PEN</v>
      </c>
      <c r="N345" s="13"/>
      <c r="O345" s="13">
        <v>15</v>
      </c>
      <c r="P345" s="3">
        <f t="shared" si="26"/>
        <v>0</v>
      </c>
      <c r="Q345" s="3">
        <f t="shared" si="27"/>
        <v>15</v>
      </c>
      <c r="R345" s="3">
        <f t="shared" si="28"/>
        <v>280.99999999999932</v>
      </c>
      <c r="S345" s="24" t="s">
        <v>1334</v>
      </c>
      <c r="T345" s="24" t="s">
        <v>1334</v>
      </c>
      <c r="U345" s="3"/>
      <c r="V345" s="25" t="s">
        <v>7761</v>
      </c>
      <c r="W345" s="25"/>
      <c r="X345" s="25" t="str">
        <f>IFERROR(VLOOKUP(C_Ope_005[[#This Row],[nota_2]],Clientes_Proveedores[[Ruc / Dni]:[Razon Social]],2,0),"")</f>
        <v/>
      </c>
      <c r="Y345" s="25"/>
      <c r="Z345" s="103"/>
      <c r="AA345" s="3" t="str">
        <f>IF(C_Ope_005[[#This Row],[fecha]]&gt;0,TEXT(C_Ope_005[[#This Row],[fecha]],"mmmm"),0)</f>
        <v>Junio</v>
      </c>
      <c r="AB345" s="49"/>
    </row>
    <row r="346" spans="1:28" x14ac:dyDescent="0.3">
      <c r="A346" s="2">
        <f>IF(C_Ope_005[[#This Row],[tipo_r]]="R",COUNTIFS($C$1:$C345,"R")+1,"")</f>
        <v>345</v>
      </c>
      <c r="B346" s="19" t="str">
        <f t="shared" si="29"/>
        <v>C_Ope_005</v>
      </c>
      <c r="C346" s="3" t="s">
        <v>1330</v>
      </c>
      <c r="D346" s="14">
        <v>45833</v>
      </c>
      <c r="E346" s="5" t="s">
        <v>8535</v>
      </c>
      <c r="F346" s="5" t="s">
        <v>1336</v>
      </c>
      <c r="G346" s="6"/>
      <c r="H346" s="6" t="s">
        <v>126</v>
      </c>
      <c r="I346" s="6"/>
      <c r="J346" s="6"/>
      <c r="K346" s="7" t="s">
        <v>8225</v>
      </c>
      <c r="L346" s="8">
        <v>24694</v>
      </c>
      <c r="M346" s="8" t="str">
        <f t="shared" si="30"/>
        <v>PEN</v>
      </c>
      <c r="N346" s="13"/>
      <c r="O346" s="13">
        <v>24</v>
      </c>
      <c r="P346" s="3">
        <f t="shared" si="26"/>
        <v>0</v>
      </c>
      <c r="Q346" s="3">
        <f t="shared" si="27"/>
        <v>24</v>
      </c>
      <c r="R346" s="3">
        <f t="shared" si="28"/>
        <v>256.99999999999932</v>
      </c>
      <c r="S346" s="24" t="s">
        <v>1334</v>
      </c>
      <c r="T346" s="24" t="s">
        <v>1334</v>
      </c>
      <c r="U346" s="3"/>
      <c r="V346" s="25" t="s">
        <v>7761</v>
      </c>
      <c r="W346" s="25"/>
      <c r="X346" s="25" t="str">
        <f>IFERROR(VLOOKUP(C_Ope_005[[#This Row],[nota_2]],Clientes_Proveedores[[Ruc / Dni]:[Razon Social]],2,0),"")</f>
        <v/>
      </c>
      <c r="Y346" s="25"/>
      <c r="Z346" s="103"/>
      <c r="AA346" s="3" t="str">
        <f>IF(C_Ope_005[[#This Row],[fecha]]&gt;0,TEXT(C_Ope_005[[#This Row],[fecha]],"mmmm"),0)</f>
        <v>Junio</v>
      </c>
      <c r="AB346" s="49"/>
    </row>
    <row r="347" spans="1:28" x14ac:dyDescent="0.3">
      <c r="A347" s="2">
        <f>IF(C_Ope_005[[#This Row],[tipo_r]]="R",COUNTIFS($C$1:$C346,"R")+1,"")</f>
        <v>346</v>
      </c>
      <c r="B347" s="19" t="str">
        <f t="shared" si="29"/>
        <v>C_Ope_005</v>
      </c>
      <c r="C347" s="3" t="s">
        <v>1330</v>
      </c>
      <c r="D347" s="14">
        <v>45833</v>
      </c>
      <c r="E347" s="5" t="s">
        <v>8535</v>
      </c>
      <c r="F347" s="5" t="s">
        <v>1336</v>
      </c>
      <c r="G347" s="6"/>
      <c r="H347" s="6" t="s">
        <v>126</v>
      </c>
      <c r="I347" s="6"/>
      <c r="J347" s="6"/>
      <c r="K347" s="7" t="s">
        <v>8218</v>
      </c>
      <c r="L347" s="8">
        <v>24695</v>
      </c>
      <c r="M347" s="8" t="str">
        <f t="shared" si="30"/>
        <v>PEN</v>
      </c>
      <c r="N347" s="13"/>
      <c r="O347" s="13">
        <v>30</v>
      </c>
      <c r="P347" s="3">
        <f t="shared" si="26"/>
        <v>0</v>
      </c>
      <c r="Q347" s="3">
        <f t="shared" si="27"/>
        <v>30</v>
      </c>
      <c r="R347" s="3">
        <f t="shared" si="28"/>
        <v>226.99999999999932</v>
      </c>
      <c r="S347" s="24" t="s">
        <v>1334</v>
      </c>
      <c r="T347" s="24" t="s">
        <v>1334</v>
      </c>
      <c r="U347" s="3"/>
      <c r="V347" s="25" t="s">
        <v>7761</v>
      </c>
      <c r="W347" s="25"/>
      <c r="X347" s="25" t="str">
        <f>IFERROR(VLOOKUP(C_Ope_005[[#This Row],[nota_2]],Clientes_Proveedores[[Ruc / Dni]:[Razon Social]],2,0),"")</f>
        <v/>
      </c>
      <c r="Y347" s="25"/>
      <c r="Z347" s="103"/>
      <c r="AA347" s="3" t="str">
        <f>IF(C_Ope_005[[#This Row],[fecha]]&gt;0,TEXT(C_Ope_005[[#This Row],[fecha]],"mmmm"),0)</f>
        <v>Junio</v>
      </c>
      <c r="AB347" s="49"/>
    </row>
    <row r="348" spans="1:28" x14ac:dyDescent="0.3">
      <c r="A348" s="2">
        <f>IF(C_Ope_005[[#This Row],[tipo_r]]="R",COUNTIFS($C$1:$C347,"R")+1,"")</f>
        <v>347</v>
      </c>
      <c r="B348" s="19" t="str">
        <f t="shared" si="29"/>
        <v>C_Ope_005</v>
      </c>
      <c r="C348" s="3" t="s">
        <v>1330</v>
      </c>
      <c r="D348" s="14">
        <v>45833</v>
      </c>
      <c r="E348" s="5" t="s">
        <v>8535</v>
      </c>
      <c r="F348" s="5" t="s">
        <v>1336</v>
      </c>
      <c r="G348" s="6"/>
      <c r="H348" s="6" t="s">
        <v>126</v>
      </c>
      <c r="I348" s="6"/>
      <c r="J348" s="6"/>
      <c r="K348" s="7" t="s">
        <v>8231</v>
      </c>
      <c r="L348" s="8">
        <v>24696</v>
      </c>
      <c r="M348" s="8" t="str">
        <f t="shared" si="30"/>
        <v>PEN</v>
      </c>
      <c r="N348" s="13"/>
      <c r="O348" s="13">
        <v>24</v>
      </c>
      <c r="P348" s="3">
        <f t="shared" si="26"/>
        <v>0</v>
      </c>
      <c r="Q348" s="3">
        <f t="shared" si="27"/>
        <v>24</v>
      </c>
      <c r="R348" s="3">
        <f t="shared" si="28"/>
        <v>202.99999999999932</v>
      </c>
      <c r="S348" s="24" t="s">
        <v>1334</v>
      </c>
      <c r="T348" s="24" t="s">
        <v>1334</v>
      </c>
      <c r="U348" s="3"/>
      <c r="V348" s="25" t="s">
        <v>7761</v>
      </c>
      <c r="W348" s="25"/>
      <c r="X348" s="25" t="str">
        <f>IFERROR(VLOOKUP(C_Ope_005[[#This Row],[nota_2]],Clientes_Proveedores[[Ruc / Dni]:[Razon Social]],2,0),"")</f>
        <v/>
      </c>
      <c r="Y348" s="25"/>
      <c r="Z348" s="103"/>
      <c r="AA348" s="3" t="str">
        <f>IF(C_Ope_005[[#This Row],[fecha]]&gt;0,TEXT(C_Ope_005[[#This Row],[fecha]],"mmmm"),0)</f>
        <v>Junio</v>
      </c>
      <c r="AB348" s="49"/>
    </row>
    <row r="349" spans="1:28" x14ac:dyDescent="0.3">
      <c r="A349" s="2">
        <f>IF(C_Ope_005[[#This Row],[tipo_r]]="R",COUNTIFS($C$1:$C348,"R")+1,"")</f>
        <v>348</v>
      </c>
      <c r="B349" s="19" t="str">
        <f t="shared" si="29"/>
        <v>C_Ope_005</v>
      </c>
      <c r="C349" s="3" t="s">
        <v>1330</v>
      </c>
      <c r="D349" s="14">
        <v>45833</v>
      </c>
      <c r="E349" s="5" t="s">
        <v>8535</v>
      </c>
      <c r="F349" s="5" t="s">
        <v>1336</v>
      </c>
      <c r="G349" s="6"/>
      <c r="H349" s="6" t="s">
        <v>126</v>
      </c>
      <c r="I349" s="6"/>
      <c r="J349" s="6"/>
      <c r="K349" s="7" t="s">
        <v>8561</v>
      </c>
      <c r="L349" s="8">
        <v>24697</v>
      </c>
      <c r="M349" s="8" t="str">
        <f t="shared" si="30"/>
        <v>PEN</v>
      </c>
      <c r="N349" s="13"/>
      <c r="O349" s="13">
        <v>15</v>
      </c>
      <c r="P349" s="3">
        <f t="shared" si="26"/>
        <v>0</v>
      </c>
      <c r="Q349" s="3">
        <f t="shared" si="27"/>
        <v>15</v>
      </c>
      <c r="R349" s="3">
        <f t="shared" si="28"/>
        <v>187.99999999999932</v>
      </c>
      <c r="S349" s="24" t="s">
        <v>1334</v>
      </c>
      <c r="T349" s="24" t="s">
        <v>1334</v>
      </c>
      <c r="U349" s="3"/>
      <c r="V349" s="25" t="s">
        <v>7761</v>
      </c>
      <c r="W349" s="25"/>
      <c r="X349" s="25" t="str">
        <f>IFERROR(VLOOKUP(C_Ope_005[[#This Row],[nota_2]],Clientes_Proveedores[[Ruc / Dni]:[Razon Social]],2,0),"")</f>
        <v/>
      </c>
      <c r="Y349" s="25"/>
      <c r="Z349" s="103"/>
      <c r="AA349" s="3" t="str">
        <f>IF(C_Ope_005[[#This Row],[fecha]]&gt;0,TEXT(C_Ope_005[[#This Row],[fecha]],"mmmm"),0)</f>
        <v>Junio</v>
      </c>
      <c r="AB349" s="49"/>
    </row>
    <row r="350" spans="1:28" ht="24" x14ac:dyDescent="0.3">
      <c r="A350" s="2">
        <f>IF(C_Ope_005[[#This Row],[tipo_r]]="R",COUNTIFS($C$1:$C349,"R")+1,"")</f>
        <v>349</v>
      </c>
      <c r="B350" s="19" t="str">
        <f t="shared" si="29"/>
        <v>C_Ope_005</v>
      </c>
      <c r="C350" s="3" t="s">
        <v>1330</v>
      </c>
      <c r="D350" s="14">
        <v>45833</v>
      </c>
      <c r="E350" s="5" t="s">
        <v>8535</v>
      </c>
      <c r="F350" s="5" t="s">
        <v>1336</v>
      </c>
      <c r="G350" s="6" t="s">
        <v>1184</v>
      </c>
      <c r="H350" s="6" t="s">
        <v>75</v>
      </c>
      <c r="I350" s="6">
        <v>1</v>
      </c>
      <c r="J350" s="6">
        <v>223</v>
      </c>
      <c r="K350" s="7" t="s">
        <v>8598</v>
      </c>
      <c r="L350" s="8">
        <v>24698</v>
      </c>
      <c r="M350" s="8" t="str">
        <f t="shared" si="30"/>
        <v>PEN</v>
      </c>
      <c r="N350" s="13"/>
      <c r="O350" s="13">
        <v>100</v>
      </c>
      <c r="P350" s="3">
        <f t="shared" si="26"/>
        <v>0</v>
      </c>
      <c r="Q350" s="3">
        <f t="shared" si="27"/>
        <v>100</v>
      </c>
      <c r="R350" s="3">
        <f t="shared" si="28"/>
        <v>87.999999999999318</v>
      </c>
      <c r="S350" s="24" t="s">
        <v>1334</v>
      </c>
      <c r="T350" s="24" t="s">
        <v>1334</v>
      </c>
      <c r="U350" s="3"/>
      <c r="V350" s="25" t="s">
        <v>7761</v>
      </c>
      <c r="W350" s="25">
        <v>10433026492</v>
      </c>
      <c r="X350" s="25" t="str">
        <f>IFERROR(VLOOKUP(C_Ope_005[[#This Row],[nota_2]],Clientes_Proveedores[[Ruc / Dni]:[Razon Social]],2,0),"")</f>
        <v>HUAYLLA ARHUIRI FELICITAS</v>
      </c>
      <c r="Y350" s="25"/>
      <c r="Z350" s="103"/>
      <c r="AA350" s="3" t="str">
        <f>IF(C_Ope_005[[#This Row],[fecha]]&gt;0,TEXT(C_Ope_005[[#This Row],[fecha]],"mmmm"),0)</f>
        <v>Junio</v>
      </c>
      <c r="AB350" s="49"/>
    </row>
    <row r="351" spans="1:28" x14ac:dyDescent="0.3">
      <c r="A351" s="2">
        <f>IF(C_Ope_005[[#This Row],[tipo_r]]="R",COUNTIFS($C$1:$C350,"R")+1,"")</f>
        <v>350</v>
      </c>
      <c r="B351" s="19" t="str">
        <f t="shared" si="29"/>
        <v>C_Ope_005</v>
      </c>
      <c r="C351" s="3" t="s">
        <v>1330</v>
      </c>
      <c r="D351" s="14">
        <v>45834</v>
      </c>
      <c r="E351" s="5" t="s">
        <v>8535</v>
      </c>
      <c r="F351" s="5" t="s">
        <v>1336</v>
      </c>
      <c r="G351" s="6"/>
      <c r="H351" s="6" t="s">
        <v>126</v>
      </c>
      <c r="I351" s="6"/>
      <c r="J351" s="6"/>
      <c r="K351" s="7" t="s">
        <v>8225</v>
      </c>
      <c r="L351" s="8">
        <v>24720</v>
      </c>
      <c r="M351" s="8" t="str">
        <f t="shared" si="30"/>
        <v>PEN</v>
      </c>
      <c r="N351" s="13"/>
      <c r="O351" s="13">
        <v>24</v>
      </c>
      <c r="P351" s="3">
        <f t="shared" si="26"/>
        <v>0</v>
      </c>
      <c r="Q351" s="3">
        <f t="shared" si="27"/>
        <v>24</v>
      </c>
      <c r="R351" s="3">
        <f t="shared" si="28"/>
        <v>63.999999999999318</v>
      </c>
      <c r="S351" s="24" t="s">
        <v>1334</v>
      </c>
      <c r="T351" s="24" t="s">
        <v>1334</v>
      </c>
      <c r="U351" s="3"/>
      <c r="V351" s="25" t="s">
        <v>7761</v>
      </c>
      <c r="W351" s="25"/>
      <c r="X351" s="25" t="str">
        <f>IFERROR(VLOOKUP(C_Ope_005[[#This Row],[nota_2]],Clientes_Proveedores[[Ruc / Dni]:[Razon Social]],2,0),"")</f>
        <v/>
      </c>
      <c r="Y351" s="25"/>
      <c r="Z351" s="103"/>
      <c r="AA351" s="3" t="str">
        <f>IF(C_Ope_005[[#This Row],[fecha]]&gt;0,TEXT(C_Ope_005[[#This Row],[fecha]],"mmmm"),0)</f>
        <v>Junio</v>
      </c>
      <c r="AB351" s="49"/>
    </row>
    <row r="352" spans="1:28" ht="24" x14ac:dyDescent="0.3">
      <c r="A352" s="2">
        <f>IF(C_Ope_005[[#This Row],[tipo_r]]="R",COUNTIFS($C$1:$C351,"R")+1,"")</f>
        <v>351</v>
      </c>
      <c r="B352" s="19" t="str">
        <f t="shared" si="29"/>
        <v>C_Ope_005</v>
      </c>
      <c r="C352" s="3" t="s">
        <v>1330</v>
      </c>
      <c r="D352" s="14">
        <v>45839</v>
      </c>
      <c r="E352" s="5" t="s">
        <v>7514</v>
      </c>
      <c r="F352" s="5" t="s">
        <v>1303</v>
      </c>
      <c r="G352" s="6" t="s">
        <v>957</v>
      </c>
      <c r="H352" s="6"/>
      <c r="I352" s="6"/>
      <c r="J352" s="6"/>
      <c r="K352" s="7" t="s">
        <v>7516</v>
      </c>
      <c r="L352" s="8">
        <v>24773</v>
      </c>
      <c r="M352" s="8" t="str">
        <f t="shared" si="30"/>
        <v>PEN</v>
      </c>
      <c r="N352" s="13"/>
      <c r="O352" s="13">
        <v>140</v>
      </c>
      <c r="P352" s="3">
        <f t="shared" si="26"/>
        <v>140</v>
      </c>
      <c r="Q352" s="3">
        <f t="shared" si="27"/>
        <v>0</v>
      </c>
      <c r="R352" s="3">
        <f t="shared" si="28"/>
        <v>203.99999999999932</v>
      </c>
      <c r="S352" s="24" t="s">
        <v>1334</v>
      </c>
      <c r="T352" s="24" t="s">
        <v>1334</v>
      </c>
      <c r="U352" s="3"/>
      <c r="V352" s="25"/>
      <c r="W352" s="25"/>
      <c r="X352" s="25" t="str">
        <f>IFERROR(VLOOKUP(C_Ope_005[[#This Row],[nota_2]],Clientes_Proveedores[[Ruc / Dni]:[Razon Social]],2,0),"")</f>
        <v/>
      </c>
      <c r="Y352" s="25"/>
      <c r="Z352" s="103"/>
      <c r="AA352" s="3" t="str">
        <f>IF(C_Ope_005[[#This Row],[fecha]]&gt;0,TEXT(C_Ope_005[[#This Row],[fecha]],"mmmm"),0)</f>
        <v>Julio</v>
      </c>
      <c r="AB352" s="49"/>
    </row>
    <row r="353" spans="1:28" ht="24" x14ac:dyDescent="0.3">
      <c r="A353" s="2">
        <f>IF(C_Ope_005[[#This Row],[tipo_r]]="R",COUNTIFS($C$1:$C352,"R")+1,"")</f>
        <v>352</v>
      </c>
      <c r="B353" s="19" t="str">
        <f t="shared" ref="B353:B354" si="31">"C_Ope_005"</f>
        <v>C_Ope_005</v>
      </c>
      <c r="C353" s="3" t="s">
        <v>1330</v>
      </c>
      <c r="D353" s="14">
        <v>45839</v>
      </c>
      <c r="E353" s="5" t="s">
        <v>8535</v>
      </c>
      <c r="F353" s="5" t="s">
        <v>1336</v>
      </c>
      <c r="G353" s="6" t="s">
        <v>978</v>
      </c>
      <c r="H353" s="6" t="s">
        <v>68</v>
      </c>
      <c r="I353" s="6" t="s">
        <v>5845</v>
      </c>
      <c r="J353" s="6">
        <v>1794177</v>
      </c>
      <c r="K353" s="7" t="s">
        <v>8690</v>
      </c>
      <c r="L353" s="8">
        <v>24770</v>
      </c>
      <c r="M353" s="8" t="str">
        <f t="shared" ref="M353:M354" si="32">"PEN"</f>
        <v>PEN</v>
      </c>
      <c r="N353" s="13"/>
      <c r="O353" s="13">
        <v>8</v>
      </c>
      <c r="P353" s="3">
        <f t="shared" si="26"/>
        <v>0</v>
      </c>
      <c r="Q353" s="3">
        <f t="shared" si="27"/>
        <v>8</v>
      </c>
      <c r="R353" s="3">
        <f t="shared" si="28"/>
        <v>195.99999999999932</v>
      </c>
      <c r="S353" s="24" t="s">
        <v>1334</v>
      </c>
      <c r="T353" s="24" t="s">
        <v>1334</v>
      </c>
      <c r="U353" s="3"/>
      <c r="V353" s="25" t="s">
        <v>7761</v>
      </c>
      <c r="W353" s="25">
        <v>20517252558</v>
      </c>
      <c r="X353" s="25" t="str">
        <f>IFERROR(VLOOKUP(C_Ope_005[[#This Row],[nota_2]],Clientes_Proveedores[[Ruc / Dni]:[Razon Social]],2,0),"")</f>
        <v>COVISUR S.A.</v>
      </c>
      <c r="Y353" s="25"/>
      <c r="Z353" s="103"/>
      <c r="AA353" s="3" t="str">
        <f>IF(C_Ope_005[[#This Row],[fecha]]&gt;0,TEXT(C_Ope_005[[#This Row],[fecha]],"mmmm"),0)</f>
        <v>Julio</v>
      </c>
      <c r="AB353" s="49"/>
    </row>
    <row r="354" spans="1:28" ht="24" x14ac:dyDescent="0.3">
      <c r="A354" s="2">
        <f>IF(C_Ope_005[[#This Row],[tipo_r]]="R",COUNTIFS($C$1:$C353,"R")+1,"")</f>
        <v>353</v>
      </c>
      <c r="B354" s="19" t="str">
        <f t="shared" si="31"/>
        <v>C_Ope_005</v>
      </c>
      <c r="C354" s="3" t="s">
        <v>1330</v>
      </c>
      <c r="D354" s="14">
        <v>45839</v>
      </c>
      <c r="E354" s="5" t="s">
        <v>8535</v>
      </c>
      <c r="F354" s="5" t="s">
        <v>1336</v>
      </c>
      <c r="G354" s="6" t="s">
        <v>978</v>
      </c>
      <c r="H354" s="6" t="s">
        <v>68</v>
      </c>
      <c r="I354" s="6" t="s">
        <v>5688</v>
      </c>
      <c r="J354" s="6">
        <v>2385778</v>
      </c>
      <c r="K354" s="7" t="s">
        <v>8690</v>
      </c>
      <c r="L354" s="8">
        <v>24771</v>
      </c>
      <c r="M354" s="8" t="str">
        <f t="shared" si="32"/>
        <v>PEN</v>
      </c>
      <c r="N354" s="13"/>
      <c r="O354" s="13">
        <v>8</v>
      </c>
      <c r="P354" s="3">
        <f t="shared" si="26"/>
        <v>0</v>
      </c>
      <c r="Q354" s="3">
        <f t="shared" si="27"/>
        <v>8</v>
      </c>
      <c r="R354" s="3">
        <f t="shared" si="28"/>
        <v>187.99999999999932</v>
      </c>
      <c r="S354" s="24" t="s">
        <v>1334</v>
      </c>
      <c r="T354" s="24" t="s">
        <v>1334</v>
      </c>
      <c r="U354" s="3"/>
      <c r="V354" s="25" t="s">
        <v>7761</v>
      </c>
      <c r="W354" s="25">
        <v>20517252558</v>
      </c>
      <c r="X354" s="25" t="str">
        <f>IFERROR(VLOOKUP(C_Ope_005[[#This Row],[nota_2]],Clientes_Proveedores[[Ruc / Dni]:[Razon Social]],2,0),"")</f>
        <v>COVISUR S.A.</v>
      </c>
      <c r="Y354" s="25"/>
      <c r="Z354" s="103"/>
      <c r="AA354" s="3" t="str">
        <f>IF(C_Ope_005[[#This Row],[fecha]]&gt;0,TEXT(C_Ope_005[[#This Row],[fecha]],"mmmm"),0)</f>
        <v>Julio</v>
      </c>
      <c r="AB354" s="49"/>
    </row>
    <row r="355" spans="1:28" ht="36" x14ac:dyDescent="0.3">
      <c r="A355" s="2">
        <f>IF(C_Ope_005[[#This Row],[tipo_r]]="R",COUNTIFS($C$1:$C354,"R")+1,"")</f>
        <v>354</v>
      </c>
      <c r="B355" s="19" t="str">
        <f>"C_Ope_005"</f>
        <v>C_Ope_005</v>
      </c>
      <c r="C355" s="3" t="s">
        <v>1330</v>
      </c>
      <c r="D355" s="14">
        <v>45839</v>
      </c>
      <c r="E355" s="5" t="s">
        <v>8535</v>
      </c>
      <c r="F355" s="5" t="s">
        <v>1336</v>
      </c>
      <c r="G355" s="6" t="s">
        <v>682</v>
      </c>
      <c r="H355" s="6" t="s">
        <v>68</v>
      </c>
      <c r="I355" s="6" t="s">
        <v>1353</v>
      </c>
      <c r="J355" s="6">
        <v>16850</v>
      </c>
      <c r="K355" s="7" t="s">
        <v>8691</v>
      </c>
      <c r="L355" s="8">
        <v>24772</v>
      </c>
      <c r="M355" s="8" t="str">
        <f>"PEN"</f>
        <v>PEN</v>
      </c>
      <c r="N355" s="13"/>
      <c r="O355" s="13">
        <v>20</v>
      </c>
      <c r="P355" s="3">
        <f t="shared" si="26"/>
        <v>0</v>
      </c>
      <c r="Q355" s="3">
        <f t="shared" si="27"/>
        <v>20</v>
      </c>
      <c r="R355" s="3">
        <f t="shared" si="28"/>
        <v>167.99999999999932</v>
      </c>
      <c r="S355" s="24" t="s">
        <v>1334</v>
      </c>
      <c r="T355" s="24" t="s">
        <v>1334</v>
      </c>
      <c r="U355" s="3"/>
      <c r="V355" s="25" t="s">
        <v>7761</v>
      </c>
      <c r="W355" s="25">
        <v>20259858934</v>
      </c>
      <c r="X355" s="25" t="str">
        <f>IFERROR(VLOOKUP(C_Ope_005[[#This Row],[nota_2]],Clientes_Proveedores[[Ruc / Dni]:[Razon Social]],2,0),"")</f>
        <v>COMERCIALIZACION Y SERVICIOS EL EDEN S.A.C.</v>
      </c>
      <c r="Y355" s="25"/>
      <c r="Z355" s="103"/>
      <c r="AA355" s="3" t="str">
        <f>IF(C_Ope_005[[#This Row],[fecha]]&gt;0,TEXT(C_Ope_005[[#This Row],[fecha]],"mmmm"),0)</f>
        <v>Julio</v>
      </c>
      <c r="AB355" s="49"/>
    </row>
    <row r="356" spans="1:28" x14ac:dyDescent="0.3">
      <c r="A356" s="2">
        <f>IF(C_Ope_005[[#This Row],[tipo_r]]="R",COUNTIFS($C$1:$C355,"R")+1,"")</f>
        <v>355</v>
      </c>
      <c r="B356" s="19" t="str">
        <f t="shared" ref="B356:B357" si="33">"C_Ope_005"</f>
        <v>C_Ope_005</v>
      </c>
      <c r="C356" s="3" t="s">
        <v>1330</v>
      </c>
      <c r="D356" s="14">
        <v>45840</v>
      </c>
      <c r="E356" s="5" t="s">
        <v>8535</v>
      </c>
      <c r="F356" s="5" t="s">
        <v>1336</v>
      </c>
      <c r="G356" s="6" t="s">
        <v>978</v>
      </c>
      <c r="H356" s="6" t="s">
        <v>68</v>
      </c>
      <c r="I356" s="6" t="s">
        <v>5845</v>
      </c>
      <c r="J356" s="6">
        <v>1794858</v>
      </c>
      <c r="K356" s="7" t="s">
        <v>8692</v>
      </c>
      <c r="L356" s="8">
        <v>24783</v>
      </c>
      <c r="M356" s="8" t="str">
        <f t="shared" ref="M356:M357" si="34">"PEN"</f>
        <v>PEN</v>
      </c>
      <c r="N356" s="13"/>
      <c r="O356" s="13">
        <v>8</v>
      </c>
      <c r="P356" s="3">
        <f t="shared" si="26"/>
        <v>0</v>
      </c>
      <c r="Q356" s="3">
        <f t="shared" si="27"/>
        <v>8</v>
      </c>
      <c r="R356" s="3">
        <f t="shared" si="28"/>
        <v>159.99999999999932</v>
      </c>
      <c r="S356" s="24" t="s">
        <v>1334</v>
      </c>
      <c r="T356" s="24" t="s">
        <v>1334</v>
      </c>
      <c r="U356" s="3"/>
      <c r="V356" s="25" t="s">
        <v>7761</v>
      </c>
      <c r="W356" s="25">
        <v>20517252558</v>
      </c>
      <c r="X356" s="25" t="str">
        <f>IFERROR(VLOOKUP(C_Ope_005[[#This Row],[nota_2]],Clientes_Proveedores[[Ruc / Dni]:[Razon Social]],2,0),"")</f>
        <v>COVISUR S.A.</v>
      </c>
      <c r="Y356" s="25"/>
      <c r="Z356" s="103"/>
      <c r="AA356" s="3" t="str">
        <f>IF(C_Ope_005[[#This Row],[fecha]]&gt;0,TEXT(C_Ope_005[[#This Row],[fecha]],"mmmm"),0)</f>
        <v>Julio</v>
      </c>
      <c r="AB356" s="49"/>
    </row>
    <row r="357" spans="1:28" x14ac:dyDescent="0.3">
      <c r="A357" s="2">
        <f>IF(C_Ope_005[[#This Row],[tipo_r]]="R",COUNTIFS($C$1:$C356,"R")+1,"")</f>
        <v>356</v>
      </c>
      <c r="B357" s="19" t="str">
        <f t="shared" si="33"/>
        <v>C_Ope_005</v>
      </c>
      <c r="C357" s="3" t="s">
        <v>1330</v>
      </c>
      <c r="D357" s="14">
        <v>45840</v>
      </c>
      <c r="E357" s="5" t="s">
        <v>8535</v>
      </c>
      <c r="F357" s="5" t="s">
        <v>1336</v>
      </c>
      <c r="G357" s="6" t="s">
        <v>978</v>
      </c>
      <c r="H357" s="6" t="s">
        <v>68</v>
      </c>
      <c r="I357" s="6" t="s">
        <v>6204</v>
      </c>
      <c r="J357" s="6">
        <v>1774908</v>
      </c>
      <c r="K357" s="7" t="s">
        <v>8692</v>
      </c>
      <c r="L357" s="8">
        <v>24784</v>
      </c>
      <c r="M357" s="8" t="str">
        <f t="shared" si="34"/>
        <v>PEN</v>
      </c>
      <c r="N357" s="13"/>
      <c r="O357" s="13">
        <v>8</v>
      </c>
      <c r="P357" s="3">
        <f t="shared" si="26"/>
        <v>0</v>
      </c>
      <c r="Q357" s="3">
        <f t="shared" si="27"/>
        <v>8</v>
      </c>
      <c r="R357" s="3">
        <f t="shared" si="28"/>
        <v>151.99999999999932</v>
      </c>
      <c r="S357" s="24" t="s">
        <v>1334</v>
      </c>
      <c r="T357" s="24" t="s">
        <v>1334</v>
      </c>
      <c r="U357" s="3"/>
      <c r="V357" s="25" t="s">
        <v>7761</v>
      </c>
      <c r="W357" s="25">
        <v>20517252558</v>
      </c>
      <c r="X357" s="25" t="str">
        <f>IFERROR(VLOOKUP(C_Ope_005[[#This Row],[nota_2]],Clientes_Proveedores[[Ruc / Dni]:[Razon Social]],2,0),"")</f>
        <v>COVISUR S.A.</v>
      </c>
      <c r="Y357" s="25"/>
      <c r="Z357" s="103"/>
      <c r="AA357" s="3" t="str">
        <f>IF(C_Ope_005[[#This Row],[fecha]]&gt;0,TEXT(C_Ope_005[[#This Row],[fecha]],"mmmm"),0)</f>
        <v>Julio</v>
      </c>
      <c r="AB357" s="49"/>
    </row>
    <row r="358" spans="1:28" ht="24" x14ac:dyDescent="0.3">
      <c r="A358" s="2">
        <f>IF(C_Ope_005[[#This Row],[tipo_r]]="R",COUNTIFS($C$1:$C357,"R")+1,"")</f>
        <v>357</v>
      </c>
      <c r="B358" s="19" t="str">
        <f t="shared" ref="B358:B360" si="35">"C_Ope_005"</f>
        <v>C_Ope_005</v>
      </c>
      <c r="C358" s="3" t="s">
        <v>1330</v>
      </c>
      <c r="D358" s="14">
        <v>45841</v>
      </c>
      <c r="E358" s="5" t="s">
        <v>8535</v>
      </c>
      <c r="F358" s="5" t="s">
        <v>1336</v>
      </c>
      <c r="G358" s="6" t="s">
        <v>998</v>
      </c>
      <c r="H358" s="6" t="s">
        <v>68</v>
      </c>
      <c r="I358" s="6" t="s">
        <v>6378</v>
      </c>
      <c r="J358" s="6">
        <v>1609</v>
      </c>
      <c r="K358" s="7" t="s">
        <v>8693</v>
      </c>
      <c r="L358" s="8">
        <v>24787</v>
      </c>
      <c r="M358" s="8" t="str">
        <f t="shared" ref="M358:M360" si="36">"PEN"</f>
        <v>PEN</v>
      </c>
      <c r="N358" s="13"/>
      <c r="O358" s="13">
        <v>20</v>
      </c>
      <c r="P358" s="3">
        <f t="shared" si="26"/>
        <v>0</v>
      </c>
      <c r="Q358" s="3">
        <f t="shared" si="27"/>
        <v>20</v>
      </c>
      <c r="R358" s="3">
        <f t="shared" si="28"/>
        <v>131.99999999999932</v>
      </c>
      <c r="S358" s="24" t="s">
        <v>1334</v>
      </c>
      <c r="T358" s="24" t="s">
        <v>1334</v>
      </c>
      <c r="U358" s="3"/>
      <c r="V358" s="25" t="s">
        <v>7761</v>
      </c>
      <c r="W358" s="25">
        <v>20612112500</v>
      </c>
      <c r="X358" s="25" t="str">
        <f>IFERROR(VLOOKUP(C_Ope_005[[#This Row],[nota_2]],Clientes_Proveedores[[Ruc / Dni]:[Razon Social]],2,0),"")</f>
        <v>RECICLADORA LAS LOMAS E.I.R.L.</v>
      </c>
      <c r="Y358" s="25"/>
      <c r="Z358" s="103"/>
      <c r="AA358" s="3" t="str">
        <f>IF(C_Ope_005[[#This Row],[fecha]]&gt;0,TEXT(C_Ope_005[[#This Row],[fecha]],"mmmm"),0)</f>
        <v>Julio</v>
      </c>
      <c r="AB358" s="49"/>
    </row>
    <row r="359" spans="1:28" ht="36" x14ac:dyDescent="0.3">
      <c r="A359" s="2">
        <f>IF(C_Ope_005[[#This Row],[tipo_r]]="R",COUNTIFS($C$1:$C358,"R")+1,"")</f>
        <v>358</v>
      </c>
      <c r="B359" s="19" t="str">
        <f t="shared" si="35"/>
        <v>C_Ope_005</v>
      </c>
      <c r="C359" s="3" t="s">
        <v>1330</v>
      </c>
      <c r="D359" s="14">
        <v>45846</v>
      </c>
      <c r="E359" s="5" t="s">
        <v>8535</v>
      </c>
      <c r="F359" s="5" t="s">
        <v>1336</v>
      </c>
      <c r="G359" s="6" t="s">
        <v>227</v>
      </c>
      <c r="H359" s="6" t="s">
        <v>68</v>
      </c>
      <c r="I359" s="6" t="s">
        <v>1390</v>
      </c>
      <c r="J359" s="6">
        <v>133955</v>
      </c>
      <c r="K359" s="7" t="s">
        <v>8694</v>
      </c>
      <c r="L359" s="8">
        <v>24836</v>
      </c>
      <c r="M359" s="8" t="str">
        <f t="shared" si="36"/>
        <v>PEN</v>
      </c>
      <c r="N359" s="13"/>
      <c r="O359" s="13">
        <v>10</v>
      </c>
      <c r="P359" s="3">
        <f t="shared" si="26"/>
        <v>0</v>
      </c>
      <c r="Q359" s="3">
        <f t="shared" si="27"/>
        <v>10</v>
      </c>
      <c r="R359" s="3">
        <f t="shared" si="28"/>
        <v>121.99999999999932</v>
      </c>
      <c r="S359" s="24" t="s">
        <v>1334</v>
      </c>
      <c r="T359" s="24" t="s">
        <v>1334</v>
      </c>
      <c r="U359" s="3"/>
      <c r="V359" s="25" t="s">
        <v>7761</v>
      </c>
      <c r="W359" s="25">
        <v>20124952850</v>
      </c>
      <c r="X359" s="25" t="str">
        <f>IFERROR(VLOOKUP(C_Ope_005[[#This Row],[nota_2]],Clientes_Proveedores[[Ruc / Dni]:[Razon Social]],2,0),"")</f>
        <v>ALIMENTOS Y SERVICIOS AGROPECUARIOS SRL.</v>
      </c>
      <c r="Y359" s="25"/>
      <c r="Z359" s="103"/>
      <c r="AA359" s="3" t="str">
        <f>IF(C_Ope_005[[#This Row],[fecha]]&gt;0,TEXT(C_Ope_005[[#This Row],[fecha]],"mmmm"),0)</f>
        <v>Julio</v>
      </c>
      <c r="AB359" s="49"/>
    </row>
    <row r="360" spans="1:28" ht="36" x14ac:dyDescent="0.3">
      <c r="A360" s="2">
        <f>IF(C_Ope_005[[#This Row],[tipo_r]]="R",COUNTIFS($C$1:$C359,"R")+1,"")</f>
        <v>359</v>
      </c>
      <c r="B360" s="19" t="str">
        <f t="shared" si="35"/>
        <v>C_Ope_005</v>
      </c>
      <c r="C360" s="3" t="s">
        <v>1330</v>
      </c>
      <c r="D360" s="14">
        <v>45846</v>
      </c>
      <c r="E360" s="5" t="s">
        <v>8535</v>
      </c>
      <c r="F360" s="5" t="s">
        <v>1336</v>
      </c>
      <c r="G360" s="6" t="s">
        <v>682</v>
      </c>
      <c r="H360" s="6" t="s">
        <v>68</v>
      </c>
      <c r="I360" s="6" t="s">
        <v>1343</v>
      </c>
      <c r="J360" s="6">
        <v>35098</v>
      </c>
      <c r="K360" s="7" t="s">
        <v>8695</v>
      </c>
      <c r="L360" s="8">
        <v>24837</v>
      </c>
      <c r="M360" s="8" t="str">
        <f t="shared" si="36"/>
        <v>PEN</v>
      </c>
      <c r="N360" s="13"/>
      <c r="O360" s="13">
        <v>10</v>
      </c>
      <c r="P360" s="3">
        <f t="shared" si="26"/>
        <v>0</v>
      </c>
      <c r="Q360" s="3">
        <f t="shared" si="27"/>
        <v>10</v>
      </c>
      <c r="R360" s="3">
        <f t="shared" si="28"/>
        <v>111.99999999999932</v>
      </c>
      <c r="S360" s="24" t="s">
        <v>1334</v>
      </c>
      <c r="T360" s="24" t="s">
        <v>1334</v>
      </c>
      <c r="U360" s="3"/>
      <c r="V360" s="25" t="s">
        <v>7761</v>
      </c>
      <c r="W360" s="25">
        <v>20259858934</v>
      </c>
      <c r="X360" s="25" t="str">
        <f>IFERROR(VLOOKUP(C_Ope_005[[#This Row],[nota_2]],Clientes_Proveedores[[Ruc / Dni]:[Razon Social]],2,0),"")</f>
        <v>COMERCIALIZACION Y SERVICIOS EL EDEN S.A.C.</v>
      </c>
      <c r="Y360" s="25"/>
      <c r="Z360" s="103"/>
      <c r="AA360" s="3" t="str">
        <f>IF(C_Ope_005[[#This Row],[fecha]]&gt;0,TEXT(C_Ope_005[[#This Row],[fecha]],"mmmm"),0)</f>
        <v>Julio</v>
      </c>
      <c r="AB360" s="49"/>
    </row>
    <row r="361" spans="1:28" ht="24" x14ac:dyDescent="0.3">
      <c r="A361" s="2">
        <f>IF(C_Ope_005[[#This Row],[tipo_r]]="R",COUNTIFS($C$1:$C360,"R")+1,"")</f>
        <v>360</v>
      </c>
      <c r="B361" s="19" t="str">
        <f t="shared" ref="B361:B366" si="37">"C_Ope_005"</f>
        <v>C_Ope_005</v>
      </c>
      <c r="C361" s="3" t="s">
        <v>1330</v>
      </c>
      <c r="D361" s="14">
        <v>45849</v>
      </c>
      <c r="E361" s="5" t="s">
        <v>8535</v>
      </c>
      <c r="F361" s="5" t="s">
        <v>1336</v>
      </c>
      <c r="G361" s="6" t="s">
        <v>999</v>
      </c>
      <c r="H361" s="6" t="s">
        <v>68</v>
      </c>
      <c r="I361" s="6" t="s">
        <v>1374</v>
      </c>
      <c r="J361" s="6">
        <v>18688</v>
      </c>
      <c r="K361" s="7" t="s">
        <v>8696</v>
      </c>
      <c r="L361" s="8">
        <v>24877</v>
      </c>
      <c r="M361" s="8" t="str">
        <f t="shared" ref="M361:M366" si="38">"PEN"</f>
        <v>PEN</v>
      </c>
      <c r="N361" s="13"/>
      <c r="O361" s="13">
        <v>25</v>
      </c>
      <c r="P361" s="3">
        <f t="shared" si="26"/>
        <v>0</v>
      </c>
      <c r="Q361" s="3">
        <f t="shared" si="27"/>
        <v>25</v>
      </c>
      <c r="R361" s="3">
        <f t="shared" si="28"/>
        <v>86.999999999999318</v>
      </c>
      <c r="S361" s="24" t="s">
        <v>1334</v>
      </c>
      <c r="T361" s="24" t="s">
        <v>1334</v>
      </c>
      <c r="U361" s="3"/>
      <c r="V361" s="25" t="s">
        <v>7761</v>
      </c>
      <c r="W361" s="25">
        <v>10705628331</v>
      </c>
      <c r="X361" s="25" t="str">
        <f>IFERROR(VLOOKUP(C_Ope_005[[#This Row],[nota_2]],Clientes_Proveedores[[Ruc / Dni]:[Razon Social]],2,0),"")</f>
        <v>LARICO APAZA NANCY ROSSMARY</v>
      </c>
      <c r="Y361" s="25"/>
      <c r="Z361" s="103"/>
      <c r="AA361" s="3" t="str">
        <f>IF(C_Ope_005[[#This Row],[fecha]]&gt;0,TEXT(C_Ope_005[[#This Row],[fecha]],"mmmm"),0)</f>
        <v>Julio</v>
      </c>
      <c r="AB361" s="49"/>
    </row>
    <row r="362" spans="1:28" ht="24" x14ac:dyDescent="0.3">
      <c r="A362" s="2">
        <f>IF(C_Ope_005[[#This Row],[tipo_r]]="R",COUNTIFS($C$1:$C361,"R")+1,"")</f>
        <v>361</v>
      </c>
      <c r="B362" s="19" t="str">
        <f t="shared" si="37"/>
        <v>C_Ope_005</v>
      </c>
      <c r="C362" s="3" t="s">
        <v>1330</v>
      </c>
      <c r="D362" s="14">
        <v>45854</v>
      </c>
      <c r="E362" s="5" t="s">
        <v>8535</v>
      </c>
      <c r="F362" s="5" t="s">
        <v>1336</v>
      </c>
      <c r="G362" s="6" t="s">
        <v>978</v>
      </c>
      <c r="H362" s="6" t="s">
        <v>68</v>
      </c>
      <c r="I362" s="6" t="s">
        <v>6204</v>
      </c>
      <c r="J362" s="6">
        <v>1785575</v>
      </c>
      <c r="K362" s="7" t="s">
        <v>8697</v>
      </c>
      <c r="L362" s="8">
        <v>24931</v>
      </c>
      <c r="M362" s="8" t="str">
        <f t="shared" si="38"/>
        <v>PEN</v>
      </c>
      <c r="N362" s="13"/>
      <c r="O362" s="13">
        <v>8</v>
      </c>
      <c r="P362" s="3">
        <f>+IF(OR($F362="SALDO",$F362="INGRESO"),$O362,0)</f>
        <v>0</v>
      </c>
      <c r="Q362" s="3">
        <f>+IF($F362="EGRESO",$O362,0)</f>
        <v>8</v>
      </c>
      <c r="R362" s="3">
        <f t="shared" si="28"/>
        <v>78.999999999999318</v>
      </c>
      <c r="S362" s="24" t="s">
        <v>1334</v>
      </c>
      <c r="T362" s="24" t="s">
        <v>1334</v>
      </c>
      <c r="U362" s="3"/>
      <c r="V362" s="25" t="s">
        <v>7761</v>
      </c>
      <c r="W362" s="25">
        <v>20517252558</v>
      </c>
      <c r="X362" s="25" t="str">
        <f>IFERROR(VLOOKUP(C_Ope_005[[#This Row],[nota_2]],Clientes_Proveedores[[Ruc / Dni]:[Razon Social]],2,0),"")</f>
        <v>COVISUR S.A.</v>
      </c>
      <c r="Y362" s="25" t="s">
        <v>7888</v>
      </c>
      <c r="Z362" s="103"/>
      <c r="AA362" s="3" t="str">
        <f>IF(C_Ope_005[[#This Row],[fecha]]&gt;0,TEXT(C_Ope_005[[#This Row],[fecha]],"mmmm"),0)</f>
        <v>Julio</v>
      </c>
      <c r="AB362" s="49"/>
    </row>
    <row r="363" spans="1:28" ht="24" x14ac:dyDescent="0.3">
      <c r="A363" s="2">
        <f>IF(C_Ope_005[[#This Row],[tipo_r]]="R",COUNTIFS($C$1:$C362,"R")+1,"")</f>
        <v>362</v>
      </c>
      <c r="B363" s="19" t="str">
        <f t="shared" si="37"/>
        <v>C_Ope_005</v>
      </c>
      <c r="C363" s="3" t="s">
        <v>1330</v>
      </c>
      <c r="D363" s="14">
        <v>45854</v>
      </c>
      <c r="E363" s="5" t="s">
        <v>8535</v>
      </c>
      <c r="F363" s="5" t="s">
        <v>1336</v>
      </c>
      <c r="G363" s="6" t="s">
        <v>978</v>
      </c>
      <c r="H363" s="6" t="s">
        <v>68</v>
      </c>
      <c r="I363" s="6" t="s">
        <v>6203</v>
      </c>
      <c r="J363" s="6">
        <v>2112983</v>
      </c>
      <c r="K363" s="7" t="s">
        <v>8698</v>
      </c>
      <c r="L363" s="8">
        <v>24932</v>
      </c>
      <c r="M363" s="8" t="str">
        <f t="shared" si="38"/>
        <v>PEN</v>
      </c>
      <c r="N363" s="13"/>
      <c r="O363" s="13">
        <v>8</v>
      </c>
      <c r="P363" s="3">
        <f>+IF(OR($F363="SALDO",$F363="INGRESO"),$O363,0)</f>
        <v>0</v>
      </c>
      <c r="Q363" s="3">
        <f>+IF($F363="EGRESO",$O363,0)</f>
        <v>8</v>
      </c>
      <c r="R363" s="3">
        <f t="shared" si="28"/>
        <v>70.999999999999318</v>
      </c>
      <c r="S363" s="24" t="s">
        <v>1334</v>
      </c>
      <c r="T363" s="24" t="s">
        <v>1334</v>
      </c>
      <c r="U363" s="3"/>
      <c r="V363" s="25" t="s">
        <v>7842</v>
      </c>
      <c r="W363" s="25">
        <v>20517252558</v>
      </c>
      <c r="X363" s="25" t="str">
        <f>IFERROR(VLOOKUP(C_Ope_005[[#This Row],[nota_2]],Clientes_Proveedores[[Ruc / Dni]:[Razon Social]],2,0),"")</f>
        <v>COVISUR S.A.</v>
      </c>
      <c r="Y363" s="25" t="s">
        <v>7888</v>
      </c>
      <c r="Z363" s="103"/>
      <c r="AA363" s="3" t="str">
        <f>IF(C_Ope_005[[#This Row],[fecha]]&gt;0,TEXT(C_Ope_005[[#This Row],[fecha]],"mmmm"),0)</f>
        <v>Julio</v>
      </c>
      <c r="AB363" s="49"/>
    </row>
    <row r="364" spans="1:28" ht="36" x14ac:dyDescent="0.3">
      <c r="A364" s="2">
        <f>IF(C_Ope_005[[#This Row],[tipo_r]]="R",COUNTIFS($C$1:$C363,"R")+1,"")</f>
        <v>363</v>
      </c>
      <c r="B364" s="19" t="str">
        <f t="shared" si="37"/>
        <v>C_Ope_005</v>
      </c>
      <c r="C364" s="3" t="s">
        <v>1330</v>
      </c>
      <c r="D364" s="14">
        <v>45854</v>
      </c>
      <c r="E364" s="5" t="s">
        <v>8535</v>
      </c>
      <c r="F364" s="5" t="s">
        <v>1336</v>
      </c>
      <c r="G364" s="6" t="s">
        <v>682</v>
      </c>
      <c r="H364" s="6" t="s">
        <v>68</v>
      </c>
      <c r="I364" s="6" t="s">
        <v>1353</v>
      </c>
      <c r="J364" s="6">
        <v>16998</v>
      </c>
      <c r="K364" s="7" t="s">
        <v>8699</v>
      </c>
      <c r="L364" s="8">
        <v>24933</v>
      </c>
      <c r="M364" s="8" t="str">
        <f t="shared" si="38"/>
        <v>PEN</v>
      </c>
      <c r="N364" s="13"/>
      <c r="O364" s="13">
        <v>20</v>
      </c>
      <c r="P364" s="3">
        <f>+IF(OR($F364="SALDO",$F364="INGRESO"),$O364,0)</f>
        <v>0</v>
      </c>
      <c r="Q364" s="3">
        <f>+IF($F364="EGRESO",$O364,0)</f>
        <v>20</v>
      </c>
      <c r="R364" s="3">
        <f t="shared" si="28"/>
        <v>50.999999999999318</v>
      </c>
      <c r="S364" s="24" t="s">
        <v>1334</v>
      </c>
      <c r="T364" s="24" t="s">
        <v>1334</v>
      </c>
      <c r="U364" s="3"/>
      <c r="V364" s="25" t="s">
        <v>7842</v>
      </c>
      <c r="W364" s="25">
        <v>20259858934</v>
      </c>
      <c r="X364" s="25" t="str">
        <f>IFERROR(VLOOKUP(C_Ope_005[[#This Row],[nota_2]],Clientes_Proveedores[[Ruc / Dni]:[Razon Social]],2,0),"")</f>
        <v>COMERCIALIZACION Y SERVICIOS EL EDEN S.A.C.</v>
      </c>
      <c r="Y364" s="25" t="s">
        <v>7888</v>
      </c>
      <c r="Z364" s="103"/>
      <c r="AA364" s="3" t="str">
        <f>IF(C_Ope_005[[#This Row],[fecha]]&gt;0,TEXT(C_Ope_005[[#This Row],[fecha]],"mmmm"),0)</f>
        <v>Julio</v>
      </c>
      <c r="AB364" s="49"/>
    </row>
    <row r="365" spans="1:28" ht="36" x14ac:dyDescent="0.3">
      <c r="A365" s="2">
        <f>IF(C_Ope_005[[#This Row],[tipo_r]]="R",COUNTIFS($C$1:$C364,"R")+1,"")</f>
        <v>364</v>
      </c>
      <c r="B365" s="19" t="str">
        <f t="shared" si="37"/>
        <v>C_Ope_005</v>
      </c>
      <c r="C365" s="3" t="s">
        <v>1330</v>
      </c>
      <c r="D365" s="14">
        <v>45855</v>
      </c>
      <c r="E365" s="5" t="s">
        <v>8535</v>
      </c>
      <c r="F365" s="5" t="s">
        <v>1336</v>
      </c>
      <c r="G365" s="6" t="s">
        <v>682</v>
      </c>
      <c r="H365" s="6" t="s">
        <v>68</v>
      </c>
      <c r="I365" s="6" t="s">
        <v>1343</v>
      </c>
      <c r="J365" s="6">
        <v>35166</v>
      </c>
      <c r="K365" s="7" t="s">
        <v>8700</v>
      </c>
      <c r="L365" s="8">
        <v>24934</v>
      </c>
      <c r="M365" s="8" t="str">
        <f t="shared" si="38"/>
        <v>PEN</v>
      </c>
      <c r="N365" s="13"/>
      <c r="O365" s="13">
        <v>10</v>
      </c>
      <c r="P365" s="3">
        <f>+IF(OR($F365="SALDO",$F365="INGRESO"),$O365,0)</f>
        <v>0</v>
      </c>
      <c r="Q365" s="3">
        <f>+IF($F365="EGRESO",$O365,0)</f>
        <v>10</v>
      </c>
      <c r="R365" s="3">
        <f t="shared" si="28"/>
        <v>40.999999999999318</v>
      </c>
      <c r="S365" s="24" t="s">
        <v>1334</v>
      </c>
      <c r="T365" s="24" t="s">
        <v>1334</v>
      </c>
      <c r="U365" s="3"/>
      <c r="V365" s="25" t="s">
        <v>7761</v>
      </c>
      <c r="W365" s="25">
        <v>20259858934</v>
      </c>
      <c r="X365" s="25" t="str">
        <f>IFERROR(VLOOKUP(C_Ope_005[[#This Row],[nota_2]],Clientes_Proveedores[[Ruc / Dni]:[Razon Social]],2,0),"")</f>
        <v>COMERCIALIZACION Y SERVICIOS EL EDEN S.A.C.</v>
      </c>
      <c r="Y365" s="25" t="s">
        <v>5933</v>
      </c>
      <c r="Z365" s="103"/>
      <c r="AA365" s="3" t="str">
        <f>IF(C_Ope_005[[#This Row],[fecha]]&gt;0,TEXT(C_Ope_005[[#This Row],[fecha]],"mmmm"),0)</f>
        <v>Julio</v>
      </c>
      <c r="AB365" s="49"/>
    </row>
    <row r="366" spans="1:28" ht="24" x14ac:dyDescent="0.3">
      <c r="A366" s="2">
        <f>IF(C_Ope_005[[#This Row],[tipo_r]]="R",COUNTIFS($C$1:$C365,"R")+1,"")</f>
        <v>365</v>
      </c>
      <c r="B366" s="19" t="str">
        <f t="shared" si="37"/>
        <v>C_Ope_005</v>
      </c>
      <c r="C366" s="3" t="s">
        <v>1330</v>
      </c>
      <c r="D366" s="14">
        <v>45860</v>
      </c>
      <c r="E366" s="5" t="s">
        <v>7513</v>
      </c>
      <c r="F366" s="5" t="s">
        <v>1303</v>
      </c>
      <c r="G366" s="6" t="s">
        <v>957</v>
      </c>
      <c r="H366" s="6"/>
      <c r="I366" s="6"/>
      <c r="J366" s="6"/>
      <c r="K366" s="7" t="s">
        <v>8701</v>
      </c>
      <c r="L366" s="8">
        <v>25028</v>
      </c>
      <c r="M366" s="8" t="str">
        <f t="shared" si="38"/>
        <v>PEN</v>
      </c>
      <c r="N366" s="3"/>
      <c r="O366" s="3">
        <v>800</v>
      </c>
      <c r="P366" s="3">
        <f>+IF(OR($F366="SALDO",$F366="INGRESO"),$O366,0)</f>
        <v>800</v>
      </c>
      <c r="Q366" s="3">
        <f>+IF($F366="EGRESO",$O366,0)</f>
        <v>0</v>
      </c>
      <c r="R366" s="3">
        <f t="shared" si="28"/>
        <v>840.99999999999932</v>
      </c>
      <c r="S366" s="24" t="s">
        <v>1334</v>
      </c>
      <c r="T366" s="24" t="s">
        <v>1334</v>
      </c>
      <c r="U366" s="3"/>
      <c r="V366" s="25"/>
      <c r="W366" s="25"/>
      <c r="X366" s="25" t="str">
        <f>IFERROR(VLOOKUP(C_Ope_005[[#This Row],[nota_2]],Clientes_Proveedores[[Ruc / Dni]:[Razon Social]],2,0),"")</f>
        <v/>
      </c>
      <c r="Y366" s="25"/>
      <c r="Z366" s="25"/>
      <c r="AA366" s="3" t="str">
        <f>IF(C_Ope_005[[#This Row],[fecha]]&gt;0,TEXT(C_Ope_005[[#This Row],[fecha]],"mmmm"),0)</f>
        <v>Julio</v>
      </c>
      <c r="AB366" s="49"/>
    </row>
    <row r="367" spans="1:28" ht="24" x14ac:dyDescent="0.3">
      <c r="A367" s="2">
        <f>IF(C_Ope_005[[#This Row],[tipo_r]]="R",COUNTIFS($C$1:$C366,"R")+1,"")</f>
        <v>366</v>
      </c>
      <c r="B367" s="19" t="str">
        <f t="shared" ref="B367:B397" si="39">"C_Ope_005"</f>
        <v>C_Ope_005</v>
      </c>
      <c r="C367" s="3" t="s">
        <v>1330</v>
      </c>
      <c r="D367" s="14">
        <v>45859</v>
      </c>
      <c r="E367" s="5" t="s">
        <v>8535</v>
      </c>
      <c r="F367" s="5" t="s">
        <v>1336</v>
      </c>
      <c r="G367" s="6" t="s">
        <v>998</v>
      </c>
      <c r="H367" s="6" t="s">
        <v>68</v>
      </c>
      <c r="I367" s="6" t="s">
        <v>6378</v>
      </c>
      <c r="J367" s="6">
        <v>1815</v>
      </c>
      <c r="K367" s="7" t="s">
        <v>8702</v>
      </c>
      <c r="L367" s="8">
        <v>24990</v>
      </c>
      <c r="M367" s="8" t="str">
        <f t="shared" ref="M367:M397" si="40">"PEN"</f>
        <v>PEN</v>
      </c>
      <c r="N367" s="13"/>
      <c r="O367" s="13">
        <v>10</v>
      </c>
      <c r="P367" s="3">
        <f t="shared" ref="P367:P397" si="41">+IF(OR($F367="SALDO",$F367="INGRESO"),$O367,0)</f>
        <v>0</v>
      </c>
      <c r="Q367" s="3">
        <f t="shared" ref="Q367:Q397" si="42">+IF($F367="EGRESO",$O367,0)</f>
        <v>10</v>
      </c>
      <c r="R367" s="3">
        <f t="shared" si="28"/>
        <v>830.99999999999932</v>
      </c>
      <c r="S367" s="24" t="s">
        <v>1334</v>
      </c>
      <c r="T367" s="24" t="s">
        <v>1334</v>
      </c>
      <c r="U367" s="3"/>
      <c r="V367" s="25" t="s">
        <v>7761</v>
      </c>
      <c r="W367" s="25">
        <v>20612112500</v>
      </c>
      <c r="X367" s="25" t="str">
        <f>IFERROR(VLOOKUP(C_Ope_005[[#This Row],[nota_2]],Clientes_Proveedores[[Ruc / Dni]:[Razon Social]],2,0),"")</f>
        <v>RECICLADORA LAS LOMAS E.I.R.L.</v>
      </c>
      <c r="Y367" s="25" t="s">
        <v>5933</v>
      </c>
      <c r="Z367" s="103"/>
      <c r="AA367" s="3" t="str">
        <f>IF(C_Ope_005[[#This Row],[fecha]]&gt;0,TEXT(C_Ope_005[[#This Row],[fecha]],"mmmm"),0)</f>
        <v>Julio</v>
      </c>
      <c r="AB367" s="49"/>
    </row>
    <row r="368" spans="1:28" ht="24" x14ac:dyDescent="0.3">
      <c r="A368" s="2">
        <f>IF(C_Ope_005[[#This Row],[tipo_r]]="R",COUNTIFS($C$1:$C367,"R")+1,"")</f>
        <v>367</v>
      </c>
      <c r="B368" s="19" t="str">
        <f t="shared" si="39"/>
        <v>C_Ope_005</v>
      </c>
      <c r="C368" s="3" t="s">
        <v>1330</v>
      </c>
      <c r="D368" s="14">
        <v>45859</v>
      </c>
      <c r="E368" s="5" t="s">
        <v>8535</v>
      </c>
      <c r="F368" s="5" t="s">
        <v>1336</v>
      </c>
      <c r="G368" s="6" t="s">
        <v>998</v>
      </c>
      <c r="H368" s="6" t="s">
        <v>68</v>
      </c>
      <c r="I368" s="6" t="s">
        <v>6378</v>
      </c>
      <c r="J368" s="6">
        <v>1810</v>
      </c>
      <c r="K368" s="7" t="s">
        <v>8703</v>
      </c>
      <c r="L368" s="8">
        <v>24991</v>
      </c>
      <c r="M368" s="8" t="str">
        <f t="shared" si="40"/>
        <v>PEN</v>
      </c>
      <c r="N368" s="13"/>
      <c r="O368" s="13">
        <v>10</v>
      </c>
      <c r="P368" s="3">
        <f t="shared" si="41"/>
        <v>0</v>
      </c>
      <c r="Q368" s="3">
        <f t="shared" si="42"/>
        <v>10</v>
      </c>
      <c r="R368" s="3">
        <f t="shared" si="28"/>
        <v>820.99999999999932</v>
      </c>
      <c r="S368" s="24" t="s">
        <v>1334</v>
      </c>
      <c r="T368" s="24" t="s">
        <v>1334</v>
      </c>
      <c r="U368" s="3"/>
      <c r="V368" s="25" t="s">
        <v>7761</v>
      </c>
      <c r="W368" s="25">
        <v>20612112500</v>
      </c>
      <c r="X368" s="25" t="str">
        <f>IFERROR(VLOOKUP(C_Ope_005[[#This Row],[nota_2]],Clientes_Proveedores[[Ruc / Dni]:[Razon Social]],2,0),"")</f>
        <v>RECICLADORA LAS LOMAS E.I.R.L.</v>
      </c>
      <c r="Y368" s="25" t="s">
        <v>5933</v>
      </c>
      <c r="Z368" s="103"/>
      <c r="AA368" s="3" t="str">
        <f>IF(C_Ope_005[[#This Row],[fecha]]&gt;0,TEXT(C_Ope_005[[#This Row],[fecha]],"mmmm"),0)</f>
        <v>Julio</v>
      </c>
      <c r="AB368" s="49"/>
    </row>
    <row r="369" spans="1:28" ht="24" x14ac:dyDescent="0.3">
      <c r="A369" s="2">
        <f>IF(C_Ope_005[[#This Row],[tipo_r]]="R",COUNTIFS($C$1:$C368,"R")+1,"")</f>
        <v>368</v>
      </c>
      <c r="B369" s="19" t="str">
        <f t="shared" si="39"/>
        <v>C_Ope_005</v>
      </c>
      <c r="C369" s="3" t="s">
        <v>1330</v>
      </c>
      <c r="D369" s="14">
        <v>45860</v>
      </c>
      <c r="E369" s="5" t="s">
        <v>8535</v>
      </c>
      <c r="F369" s="5" t="s">
        <v>1336</v>
      </c>
      <c r="G369" s="6" t="s">
        <v>978</v>
      </c>
      <c r="H369" s="6" t="s">
        <v>68</v>
      </c>
      <c r="I369" s="6" t="s">
        <v>8552</v>
      </c>
      <c r="J369" s="6">
        <v>1847697</v>
      </c>
      <c r="K369" s="7" t="s">
        <v>8704</v>
      </c>
      <c r="L369" s="8">
        <v>25005</v>
      </c>
      <c r="M369" s="8" t="str">
        <f t="shared" si="40"/>
        <v>PEN</v>
      </c>
      <c r="N369" s="13"/>
      <c r="O369" s="13">
        <v>7.7</v>
      </c>
      <c r="P369" s="3">
        <f t="shared" si="41"/>
        <v>0</v>
      </c>
      <c r="Q369" s="3">
        <f t="shared" si="42"/>
        <v>7.7</v>
      </c>
      <c r="R369" s="3">
        <f t="shared" si="28"/>
        <v>813.29999999999927</v>
      </c>
      <c r="S369" s="24" t="s">
        <v>1334</v>
      </c>
      <c r="T369" s="24" t="s">
        <v>1334</v>
      </c>
      <c r="U369" s="3"/>
      <c r="V369" s="25" t="s">
        <v>7761</v>
      </c>
      <c r="W369" s="25">
        <v>20517252558</v>
      </c>
      <c r="X369" s="25" t="str">
        <f>IFERROR(VLOOKUP(C_Ope_005[[#This Row],[nota_2]],Clientes_Proveedores[[Ruc / Dni]:[Razon Social]],2,0),"")</f>
        <v>COVISUR S.A.</v>
      </c>
      <c r="Y369" s="25" t="s">
        <v>7888</v>
      </c>
      <c r="Z369" s="103"/>
      <c r="AA369" s="3" t="str">
        <f>IF(C_Ope_005[[#This Row],[fecha]]&gt;0,TEXT(C_Ope_005[[#This Row],[fecha]],"mmmm"),0)</f>
        <v>Julio</v>
      </c>
      <c r="AB369" s="49"/>
    </row>
    <row r="370" spans="1:28" x14ac:dyDescent="0.3">
      <c r="A370" s="2">
        <f>IF(C_Ope_005[[#This Row],[tipo_r]]="R",COUNTIFS($C$1:$C369,"R")+1,"")</f>
        <v>369</v>
      </c>
      <c r="B370" s="19" t="str">
        <f t="shared" si="39"/>
        <v>C_Ope_005</v>
      </c>
      <c r="C370" s="3" t="s">
        <v>1330</v>
      </c>
      <c r="D370" s="14">
        <v>45860</v>
      </c>
      <c r="E370" s="5" t="s">
        <v>8535</v>
      </c>
      <c r="F370" s="5" t="s">
        <v>1336</v>
      </c>
      <c r="G370" s="6" t="s">
        <v>1009</v>
      </c>
      <c r="H370" s="6" t="s">
        <v>126</v>
      </c>
      <c r="I370" s="6"/>
      <c r="J370" s="6">
        <v>25006</v>
      </c>
      <c r="K370" s="7" t="s">
        <v>8705</v>
      </c>
      <c r="L370" s="8">
        <v>25006</v>
      </c>
      <c r="M370" s="8" t="str">
        <f t="shared" si="40"/>
        <v>PEN</v>
      </c>
      <c r="N370" s="13"/>
      <c r="O370" s="13">
        <v>24</v>
      </c>
      <c r="P370" s="3">
        <f t="shared" si="41"/>
        <v>0</v>
      </c>
      <c r="Q370" s="3">
        <f t="shared" si="42"/>
        <v>24</v>
      </c>
      <c r="R370" s="3">
        <f t="shared" si="28"/>
        <v>789.29999999999927</v>
      </c>
      <c r="S370" s="24" t="s">
        <v>1334</v>
      </c>
      <c r="T370" s="24" t="s">
        <v>1334</v>
      </c>
      <c r="U370" s="3"/>
      <c r="V370" s="25" t="s">
        <v>7761</v>
      </c>
      <c r="W370" s="25"/>
      <c r="X370" s="25" t="str">
        <f>IFERROR(VLOOKUP(C_Ope_005[[#This Row],[nota_2]],Clientes_Proveedores[[Ruc / Dni]:[Razon Social]],2,0),"")</f>
        <v/>
      </c>
      <c r="Y370" s="25"/>
      <c r="Z370" s="103"/>
      <c r="AA370" s="3" t="str">
        <f>IF(C_Ope_005[[#This Row],[fecha]]&gt;0,TEXT(C_Ope_005[[#This Row],[fecha]],"mmmm"),0)</f>
        <v>Julio</v>
      </c>
      <c r="AB370" s="49"/>
    </row>
    <row r="371" spans="1:28" x14ac:dyDescent="0.3">
      <c r="A371" s="2">
        <f>IF(C_Ope_005[[#This Row],[tipo_r]]="R",COUNTIFS($C$1:$C370,"R")+1,"")</f>
        <v>370</v>
      </c>
      <c r="B371" s="19" t="str">
        <f t="shared" si="39"/>
        <v>C_Ope_005</v>
      </c>
      <c r="C371" s="3" t="s">
        <v>1330</v>
      </c>
      <c r="D371" s="14">
        <v>45860</v>
      </c>
      <c r="E371" s="5" t="s">
        <v>8535</v>
      </c>
      <c r="F371" s="5" t="s">
        <v>1336</v>
      </c>
      <c r="G371" s="6" t="s">
        <v>1009</v>
      </c>
      <c r="H371" s="6" t="s">
        <v>126</v>
      </c>
      <c r="I371" s="6"/>
      <c r="J371" s="6">
        <v>25007</v>
      </c>
      <c r="K371" s="7" t="s">
        <v>8706</v>
      </c>
      <c r="L371" s="8">
        <v>25007</v>
      </c>
      <c r="M371" s="8" t="str">
        <f t="shared" si="40"/>
        <v>PEN</v>
      </c>
      <c r="N371" s="13"/>
      <c r="O371" s="13">
        <v>100</v>
      </c>
      <c r="P371" s="3">
        <f t="shared" si="41"/>
        <v>0</v>
      </c>
      <c r="Q371" s="3">
        <f t="shared" si="42"/>
        <v>100</v>
      </c>
      <c r="R371" s="3">
        <f t="shared" si="28"/>
        <v>689.29999999999927</v>
      </c>
      <c r="S371" s="24" t="s">
        <v>1334</v>
      </c>
      <c r="T371" s="24" t="s">
        <v>1334</v>
      </c>
      <c r="U371" s="3"/>
      <c r="V371" s="25" t="s">
        <v>7761</v>
      </c>
      <c r="W371" s="25"/>
      <c r="X371" s="25" t="str">
        <f>IFERROR(VLOOKUP(C_Ope_005[[#This Row],[nota_2]],Clientes_Proveedores[[Ruc / Dni]:[Razon Social]],2,0),"")</f>
        <v/>
      </c>
      <c r="Y371" s="25"/>
      <c r="Z371" s="103"/>
      <c r="AA371" s="3" t="str">
        <f>IF(C_Ope_005[[#This Row],[fecha]]&gt;0,TEXT(C_Ope_005[[#This Row],[fecha]],"mmmm"),0)</f>
        <v>Julio</v>
      </c>
      <c r="AB371" s="49"/>
    </row>
    <row r="372" spans="1:28" x14ac:dyDescent="0.3">
      <c r="A372" s="2">
        <f>IF(C_Ope_005[[#This Row],[tipo_r]]="R",COUNTIFS($C$1:$C371,"R")+1,"")</f>
        <v>371</v>
      </c>
      <c r="B372" s="19" t="str">
        <f t="shared" si="39"/>
        <v>C_Ope_005</v>
      </c>
      <c r="C372" s="3" t="s">
        <v>1330</v>
      </c>
      <c r="D372" s="14">
        <v>45860</v>
      </c>
      <c r="E372" s="5" t="s">
        <v>8535</v>
      </c>
      <c r="F372" s="5" t="s">
        <v>1336</v>
      </c>
      <c r="G372" s="6" t="s">
        <v>1009</v>
      </c>
      <c r="H372" s="6" t="s">
        <v>126</v>
      </c>
      <c r="I372" s="6"/>
      <c r="J372" s="6">
        <v>25008</v>
      </c>
      <c r="K372" s="7" t="s">
        <v>8707</v>
      </c>
      <c r="L372" s="8">
        <v>25008</v>
      </c>
      <c r="M372" s="8" t="str">
        <f t="shared" si="40"/>
        <v>PEN</v>
      </c>
      <c r="N372" s="13"/>
      <c r="O372" s="13">
        <v>15</v>
      </c>
      <c r="P372" s="3">
        <f t="shared" si="41"/>
        <v>0</v>
      </c>
      <c r="Q372" s="3">
        <f t="shared" si="42"/>
        <v>15</v>
      </c>
      <c r="R372" s="3">
        <f t="shared" si="28"/>
        <v>674.29999999999927</v>
      </c>
      <c r="S372" s="24" t="s">
        <v>1334</v>
      </c>
      <c r="T372" s="24" t="s">
        <v>1334</v>
      </c>
      <c r="U372" s="3"/>
      <c r="V372" s="25" t="s">
        <v>7761</v>
      </c>
      <c r="W372" s="25"/>
      <c r="X372" s="25" t="str">
        <f>IFERROR(VLOOKUP(C_Ope_005[[#This Row],[nota_2]],Clientes_Proveedores[[Ruc / Dni]:[Razon Social]],2,0),"")</f>
        <v/>
      </c>
      <c r="Y372" s="25"/>
      <c r="Z372" s="103"/>
      <c r="AA372" s="3" t="str">
        <f>IF(C_Ope_005[[#This Row],[fecha]]&gt;0,TEXT(C_Ope_005[[#This Row],[fecha]],"mmmm"),0)</f>
        <v>Julio</v>
      </c>
      <c r="AB372" s="49"/>
    </row>
    <row r="373" spans="1:28" ht="24" x14ac:dyDescent="0.3">
      <c r="A373" s="2">
        <f>IF(C_Ope_005[[#This Row],[tipo_r]]="R",COUNTIFS($C$1:$C372,"R")+1,"")</f>
        <v>372</v>
      </c>
      <c r="B373" s="19" t="str">
        <f t="shared" si="39"/>
        <v>C_Ope_005</v>
      </c>
      <c r="C373" s="3" t="s">
        <v>1330</v>
      </c>
      <c r="D373" s="14">
        <v>45861</v>
      </c>
      <c r="E373" s="5" t="s">
        <v>8535</v>
      </c>
      <c r="F373" s="5" t="s">
        <v>1336</v>
      </c>
      <c r="G373" s="6" t="s">
        <v>1036</v>
      </c>
      <c r="H373" s="6" t="s">
        <v>68</v>
      </c>
      <c r="I373" s="6" t="s">
        <v>8554</v>
      </c>
      <c r="J373" s="6">
        <v>638711</v>
      </c>
      <c r="K373" s="7" t="s">
        <v>8708</v>
      </c>
      <c r="L373" s="8">
        <v>25020</v>
      </c>
      <c r="M373" s="8" t="str">
        <f t="shared" si="40"/>
        <v>PEN</v>
      </c>
      <c r="N373" s="13"/>
      <c r="O373" s="13">
        <v>7.7</v>
      </c>
      <c r="P373" s="3">
        <f t="shared" si="41"/>
        <v>0</v>
      </c>
      <c r="Q373" s="3">
        <f t="shared" si="42"/>
        <v>7.7</v>
      </c>
      <c r="R373" s="3">
        <f t="shared" si="28"/>
        <v>666.59999999999923</v>
      </c>
      <c r="S373" s="24" t="s">
        <v>1334</v>
      </c>
      <c r="T373" s="24" t="s">
        <v>1334</v>
      </c>
      <c r="U373" s="3"/>
      <c r="V373" s="25" t="s">
        <v>7761</v>
      </c>
      <c r="W373" s="25">
        <v>20517216241</v>
      </c>
      <c r="X373" s="25" t="str">
        <f>IFERROR(VLOOKUP(C_Ope_005[[#This Row],[nota_2]],Clientes_Proveedores[[Ruc / Dni]:[Razon Social]],2,0),"")</f>
        <v>CARRETERA ANDINA DEL SUR S.A.C.</v>
      </c>
      <c r="Y373" s="25" t="s">
        <v>8709</v>
      </c>
      <c r="Z373" s="103"/>
      <c r="AA373" s="3" t="str">
        <f>IF(C_Ope_005[[#This Row],[fecha]]&gt;0,TEXT(C_Ope_005[[#This Row],[fecha]],"mmmm"),0)</f>
        <v>Julio</v>
      </c>
      <c r="AB373" s="49"/>
    </row>
    <row r="374" spans="1:28" x14ac:dyDescent="0.3">
      <c r="A374" s="2">
        <f>IF(C_Ope_005[[#This Row],[tipo_r]]="R",COUNTIFS($C$1:$C373,"R")+1,"")</f>
        <v>373</v>
      </c>
      <c r="B374" s="19" t="str">
        <f t="shared" si="39"/>
        <v>C_Ope_005</v>
      </c>
      <c r="C374" s="3" t="s">
        <v>1330</v>
      </c>
      <c r="D374" s="14">
        <v>45861</v>
      </c>
      <c r="E374" s="5" t="s">
        <v>8535</v>
      </c>
      <c r="F374" s="5" t="s">
        <v>1336</v>
      </c>
      <c r="G374" s="6" t="s">
        <v>1009</v>
      </c>
      <c r="H374" s="6" t="s">
        <v>126</v>
      </c>
      <c r="I374" s="6"/>
      <c r="J374" s="6">
        <v>25021</v>
      </c>
      <c r="K374" s="7" t="s">
        <v>8710</v>
      </c>
      <c r="L374" s="8">
        <v>25021</v>
      </c>
      <c r="M374" s="8" t="str">
        <f t="shared" si="40"/>
        <v>PEN</v>
      </c>
      <c r="N374" s="13"/>
      <c r="O374" s="13">
        <v>24</v>
      </c>
      <c r="P374" s="3">
        <f t="shared" si="41"/>
        <v>0</v>
      </c>
      <c r="Q374" s="3">
        <f t="shared" si="42"/>
        <v>24</v>
      </c>
      <c r="R374" s="3">
        <f t="shared" si="28"/>
        <v>642.59999999999923</v>
      </c>
      <c r="S374" s="24" t="s">
        <v>1334</v>
      </c>
      <c r="T374" s="24" t="s">
        <v>1334</v>
      </c>
      <c r="U374" s="3"/>
      <c r="V374" s="25" t="s">
        <v>7761</v>
      </c>
      <c r="W374" s="25"/>
      <c r="X374" s="25" t="str">
        <f>IFERROR(VLOOKUP(C_Ope_005[[#This Row],[nota_2]],Clientes_Proveedores[[Ruc / Dni]:[Razon Social]],2,0),"")</f>
        <v/>
      </c>
      <c r="Y374" s="25"/>
      <c r="Z374" s="103"/>
      <c r="AA374" s="3" t="str">
        <f>IF(C_Ope_005[[#This Row],[fecha]]&gt;0,TEXT(C_Ope_005[[#This Row],[fecha]],"mmmm"),0)</f>
        <v>Julio</v>
      </c>
      <c r="AB374" s="49"/>
    </row>
    <row r="375" spans="1:28" x14ac:dyDescent="0.3">
      <c r="A375" s="2">
        <f>IF(C_Ope_005[[#This Row],[tipo_r]]="R",COUNTIFS($C$1:$C374,"R")+1,"")</f>
        <v>374</v>
      </c>
      <c r="B375" s="19" t="str">
        <f t="shared" si="39"/>
        <v>C_Ope_005</v>
      </c>
      <c r="C375" s="3" t="s">
        <v>1330</v>
      </c>
      <c r="D375" s="14">
        <v>45861</v>
      </c>
      <c r="E375" s="5" t="s">
        <v>8535</v>
      </c>
      <c r="F375" s="5" t="s">
        <v>1336</v>
      </c>
      <c r="G375" s="6" t="s">
        <v>1009</v>
      </c>
      <c r="H375" s="6" t="s">
        <v>126</v>
      </c>
      <c r="I375" s="6"/>
      <c r="J375" s="6">
        <v>25022</v>
      </c>
      <c r="K375" s="7" t="s">
        <v>8711</v>
      </c>
      <c r="L375" s="8">
        <v>25022</v>
      </c>
      <c r="M375" s="8" t="str">
        <f t="shared" si="40"/>
        <v>PEN</v>
      </c>
      <c r="N375" s="13"/>
      <c r="O375" s="13">
        <v>30</v>
      </c>
      <c r="P375" s="3">
        <f t="shared" si="41"/>
        <v>0</v>
      </c>
      <c r="Q375" s="3">
        <f t="shared" si="42"/>
        <v>30</v>
      </c>
      <c r="R375" s="3">
        <f t="shared" si="28"/>
        <v>612.59999999999923</v>
      </c>
      <c r="S375" s="24" t="s">
        <v>1334</v>
      </c>
      <c r="T375" s="24" t="s">
        <v>1334</v>
      </c>
      <c r="U375" s="3"/>
      <c r="V375" s="25" t="s">
        <v>7761</v>
      </c>
      <c r="W375" s="25"/>
      <c r="X375" s="25" t="str">
        <f>IFERROR(VLOOKUP(C_Ope_005[[#This Row],[nota_2]],Clientes_Proveedores[[Ruc / Dni]:[Razon Social]],2,0),"")</f>
        <v/>
      </c>
      <c r="Y375" s="25"/>
      <c r="Z375" s="103"/>
      <c r="AA375" s="3" t="str">
        <f>IF(C_Ope_005[[#This Row],[fecha]]&gt;0,TEXT(C_Ope_005[[#This Row],[fecha]],"mmmm"),0)</f>
        <v>Julio</v>
      </c>
      <c r="AB375" s="49"/>
    </row>
    <row r="376" spans="1:28" x14ac:dyDescent="0.3">
      <c r="A376" s="2">
        <f>IF(C_Ope_005[[#This Row],[tipo_r]]="R",COUNTIFS($C$1:$C375,"R")+1,"")</f>
        <v>375</v>
      </c>
      <c r="B376" s="19" t="str">
        <f t="shared" si="39"/>
        <v>C_Ope_005</v>
      </c>
      <c r="C376" s="3" t="s">
        <v>1330</v>
      </c>
      <c r="D376" s="14">
        <v>45861</v>
      </c>
      <c r="E376" s="5" t="s">
        <v>8535</v>
      </c>
      <c r="F376" s="5" t="s">
        <v>1336</v>
      </c>
      <c r="G376" s="6" t="s">
        <v>1009</v>
      </c>
      <c r="H376" s="6" t="s">
        <v>126</v>
      </c>
      <c r="I376" s="6"/>
      <c r="J376" s="6">
        <v>25023</v>
      </c>
      <c r="K376" s="7" t="s">
        <v>8712</v>
      </c>
      <c r="L376" s="8">
        <v>25023</v>
      </c>
      <c r="M376" s="8" t="str">
        <f t="shared" si="40"/>
        <v>PEN</v>
      </c>
      <c r="N376" s="13"/>
      <c r="O376" s="13">
        <v>24</v>
      </c>
      <c r="P376" s="3">
        <f t="shared" si="41"/>
        <v>0</v>
      </c>
      <c r="Q376" s="3">
        <f t="shared" si="42"/>
        <v>24</v>
      </c>
      <c r="R376" s="3">
        <f t="shared" si="28"/>
        <v>588.59999999999923</v>
      </c>
      <c r="S376" s="24" t="s">
        <v>1334</v>
      </c>
      <c r="T376" s="24" t="s">
        <v>1334</v>
      </c>
      <c r="U376" s="3"/>
      <c r="V376" s="25" t="s">
        <v>7761</v>
      </c>
      <c r="W376" s="25"/>
      <c r="X376" s="25" t="str">
        <f>IFERROR(VLOOKUP(C_Ope_005[[#This Row],[nota_2]],Clientes_Proveedores[[Ruc / Dni]:[Razon Social]],2,0),"")</f>
        <v/>
      </c>
      <c r="Y376" s="25"/>
      <c r="Z376" s="103"/>
      <c r="AA376" s="3" t="str">
        <f>IF(C_Ope_005[[#This Row],[fecha]]&gt;0,TEXT(C_Ope_005[[#This Row],[fecha]],"mmmm"),0)</f>
        <v>Julio</v>
      </c>
      <c r="AB376" s="49"/>
    </row>
    <row r="377" spans="1:28" ht="24" x14ac:dyDescent="0.3">
      <c r="A377" s="2">
        <f>IF(C_Ope_005[[#This Row],[tipo_r]]="R",COUNTIFS($C$1:$C376,"R")+1,"")</f>
        <v>376</v>
      </c>
      <c r="B377" s="19" t="str">
        <f t="shared" si="39"/>
        <v>C_Ope_005</v>
      </c>
      <c r="C377" s="3" t="s">
        <v>1330</v>
      </c>
      <c r="D377" s="14">
        <v>45861</v>
      </c>
      <c r="E377" s="5" t="s">
        <v>8535</v>
      </c>
      <c r="F377" s="5" t="s">
        <v>1336</v>
      </c>
      <c r="G377" s="6" t="s">
        <v>1037</v>
      </c>
      <c r="H377" s="6" t="s">
        <v>75</v>
      </c>
      <c r="I377" s="6">
        <v>1</v>
      </c>
      <c r="J377" s="6">
        <v>2365</v>
      </c>
      <c r="K377" s="7" t="s">
        <v>8713</v>
      </c>
      <c r="L377" s="8">
        <v>25024</v>
      </c>
      <c r="M377" s="8" t="str">
        <f t="shared" si="40"/>
        <v>PEN</v>
      </c>
      <c r="N377" s="13"/>
      <c r="O377" s="13">
        <v>100</v>
      </c>
      <c r="P377" s="3">
        <f t="shared" si="41"/>
        <v>0</v>
      </c>
      <c r="Q377" s="3">
        <f t="shared" si="42"/>
        <v>100</v>
      </c>
      <c r="R377" s="3">
        <f t="shared" si="28"/>
        <v>488.59999999999923</v>
      </c>
      <c r="S377" s="24" t="s">
        <v>1334</v>
      </c>
      <c r="T377" s="24" t="s">
        <v>1334</v>
      </c>
      <c r="U377" s="3"/>
      <c r="V377" s="25" t="s">
        <v>7761</v>
      </c>
      <c r="W377" s="25">
        <v>10089085042</v>
      </c>
      <c r="X377" s="25" t="str">
        <f>IFERROR(VLOOKUP(C_Ope_005[[#This Row],[nota_2]],Clientes_Proveedores[[Ruc / Dni]:[Razon Social]],2,0),"")</f>
        <v>GUEVARA PEREZ MARIA</v>
      </c>
      <c r="Y377" s="25" t="s">
        <v>7910</v>
      </c>
      <c r="Z377" s="103"/>
      <c r="AA377" s="3" t="str">
        <f>IF(C_Ope_005[[#This Row],[fecha]]&gt;0,TEXT(C_Ope_005[[#This Row],[fecha]],"mmmm"),0)</f>
        <v>Julio</v>
      </c>
      <c r="AB377" s="49"/>
    </row>
    <row r="378" spans="1:28" x14ac:dyDescent="0.3">
      <c r="A378" s="2">
        <f>IF(C_Ope_005[[#This Row],[tipo_r]]="R",COUNTIFS($C$1:$C377,"R")+1,"")</f>
        <v>377</v>
      </c>
      <c r="B378" s="19" t="str">
        <f t="shared" si="39"/>
        <v>C_Ope_005</v>
      </c>
      <c r="C378" s="3" t="s">
        <v>1330</v>
      </c>
      <c r="D378" s="14">
        <v>45861</v>
      </c>
      <c r="E378" s="5" t="s">
        <v>8535</v>
      </c>
      <c r="F378" s="5" t="s">
        <v>1336</v>
      </c>
      <c r="G378" s="6" t="s">
        <v>1009</v>
      </c>
      <c r="H378" s="6" t="s">
        <v>126</v>
      </c>
      <c r="I378" s="6"/>
      <c r="J378" s="6">
        <v>25025</v>
      </c>
      <c r="K378" s="7" t="s">
        <v>8714</v>
      </c>
      <c r="L378" s="8">
        <v>25025</v>
      </c>
      <c r="M378" s="8" t="str">
        <f t="shared" si="40"/>
        <v>PEN</v>
      </c>
      <c r="N378" s="13"/>
      <c r="O378" s="13">
        <v>15</v>
      </c>
      <c r="P378" s="3">
        <f t="shared" si="41"/>
        <v>0</v>
      </c>
      <c r="Q378" s="3">
        <f t="shared" si="42"/>
        <v>15</v>
      </c>
      <c r="R378" s="3">
        <f t="shared" si="28"/>
        <v>473.59999999999923</v>
      </c>
      <c r="S378" s="24" t="s">
        <v>1334</v>
      </c>
      <c r="T378" s="24" t="s">
        <v>1334</v>
      </c>
      <c r="U378" s="3"/>
      <c r="V378" s="25" t="s">
        <v>7761</v>
      </c>
      <c r="W378" s="25"/>
      <c r="X378" s="25" t="str">
        <f>IFERROR(VLOOKUP(C_Ope_005[[#This Row],[nota_2]],Clientes_Proveedores[[Ruc / Dni]:[Razon Social]],2,0),"")</f>
        <v/>
      </c>
      <c r="Y378" s="25"/>
      <c r="Z378" s="103"/>
      <c r="AA378" s="3" t="str">
        <f>IF(C_Ope_005[[#This Row],[fecha]]&gt;0,TEXT(C_Ope_005[[#This Row],[fecha]],"mmmm"),0)</f>
        <v>Julio</v>
      </c>
      <c r="AB378" s="49"/>
    </row>
    <row r="379" spans="1:28" ht="24" x14ac:dyDescent="0.3">
      <c r="A379" s="2">
        <f>IF(C_Ope_005[[#This Row],[tipo_r]]="R",COUNTIFS($C$1:$C378,"R")+1,"")</f>
        <v>378</v>
      </c>
      <c r="B379" s="19" t="str">
        <f t="shared" si="39"/>
        <v>C_Ope_005</v>
      </c>
      <c r="C379" s="3" t="s">
        <v>1330</v>
      </c>
      <c r="D379" s="14">
        <v>45862</v>
      </c>
      <c r="E379" s="5" t="s">
        <v>8535</v>
      </c>
      <c r="F379" s="5" t="s">
        <v>1336</v>
      </c>
      <c r="G379" s="6" t="s">
        <v>1036</v>
      </c>
      <c r="H379" s="6" t="s">
        <v>68</v>
      </c>
      <c r="I379" s="6" t="s">
        <v>8556</v>
      </c>
      <c r="J379" s="6">
        <v>650702</v>
      </c>
      <c r="K379" s="7" t="s">
        <v>8708</v>
      </c>
      <c r="L379" s="8">
        <v>25027</v>
      </c>
      <c r="M379" s="8" t="str">
        <f t="shared" si="40"/>
        <v>PEN</v>
      </c>
      <c r="N379" s="13"/>
      <c r="O379" s="13">
        <v>7.7</v>
      </c>
      <c r="P379" s="3">
        <f t="shared" si="41"/>
        <v>0</v>
      </c>
      <c r="Q379" s="3">
        <f t="shared" si="42"/>
        <v>7.7</v>
      </c>
      <c r="R379" s="3">
        <f t="shared" si="28"/>
        <v>465.89999999999924</v>
      </c>
      <c r="S379" s="24" t="s">
        <v>1334</v>
      </c>
      <c r="T379" s="24" t="s">
        <v>1334</v>
      </c>
      <c r="U379" s="3"/>
      <c r="V379" s="25" t="s">
        <v>7761</v>
      </c>
      <c r="W379" s="25">
        <v>20517216241</v>
      </c>
      <c r="X379" s="25" t="str">
        <f>IFERROR(VLOOKUP(C_Ope_005[[#This Row],[nota_2]],Clientes_Proveedores[[Ruc / Dni]:[Razon Social]],2,0),"")</f>
        <v>CARRETERA ANDINA DEL SUR S.A.C.</v>
      </c>
      <c r="Y379" s="25" t="s">
        <v>7888</v>
      </c>
      <c r="Z379" s="103"/>
      <c r="AA379" s="3" t="str">
        <f>IF(C_Ope_005[[#This Row],[fecha]]&gt;0,TEXT(C_Ope_005[[#This Row],[fecha]],"mmmm"),0)</f>
        <v>Julio</v>
      </c>
      <c r="AB379" s="49"/>
    </row>
    <row r="380" spans="1:28" x14ac:dyDescent="0.3">
      <c r="A380" s="2">
        <f>IF(C_Ope_005[[#This Row],[tipo_r]]="R",COUNTIFS($C$1:$C379,"R")+1,"")</f>
        <v>379</v>
      </c>
      <c r="B380" s="19" t="str">
        <f t="shared" si="39"/>
        <v>C_Ope_005</v>
      </c>
      <c r="C380" s="3" t="s">
        <v>1330</v>
      </c>
      <c r="D380" s="14">
        <v>45862</v>
      </c>
      <c r="E380" s="5" t="s">
        <v>8535</v>
      </c>
      <c r="F380" s="5" t="s">
        <v>1336</v>
      </c>
      <c r="G380" s="6" t="s">
        <v>1009</v>
      </c>
      <c r="H380" s="6" t="s">
        <v>126</v>
      </c>
      <c r="I380" s="6"/>
      <c r="J380" s="6">
        <v>25030</v>
      </c>
      <c r="K380" s="7" t="s">
        <v>8715</v>
      </c>
      <c r="L380" s="8">
        <v>25030</v>
      </c>
      <c r="M380" s="8" t="str">
        <f t="shared" si="40"/>
        <v>PEN</v>
      </c>
      <c r="N380" s="13"/>
      <c r="O380" s="13">
        <v>15</v>
      </c>
      <c r="P380" s="3">
        <f t="shared" si="41"/>
        <v>0</v>
      </c>
      <c r="Q380" s="3">
        <f t="shared" si="42"/>
        <v>15</v>
      </c>
      <c r="R380" s="3">
        <f t="shared" si="28"/>
        <v>450.89999999999924</v>
      </c>
      <c r="S380" s="24" t="s">
        <v>1334</v>
      </c>
      <c r="T380" s="24" t="s">
        <v>1334</v>
      </c>
      <c r="U380" s="3"/>
      <c r="V380" s="25" t="s">
        <v>7761</v>
      </c>
      <c r="W380" s="25"/>
      <c r="X380" s="25" t="str">
        <f>IFERROR(VLOOKUP(C_Ope_005[[#This Row],[nota_2]],Clientes_Proveedores[[Ruc / Dni]:[Razon Social]],2,0),"")</f>
        <v/>
      </c>
      <c r="Y380" s="25"/>
      <c r="Z380" s="103"/>
      <c r="AA380" s="3" t="str">
        <f>IF(C_Ope_005[[#This Row],[fecha]]&gt;0,TEXT(C_Ope_005[[#This Row],[fecha]],"mmmm"),0)</f>
        <v>Julio</v>
      </c>
      <c r="AB380" s="49"/>
    </row>
    <row r="381" spans="1:28" x14ac:dyDescent="0.3">
      <c r="A381" s="2">
        <f>IF(C_Ope_005[[#This Row],[tipo_r]]="R",COUNTIFS($C$1:$C380,"R")+1,"")</f>
        <v>380</v>
      </c>
      <c r="B381" s="19" t="str">
        <f t="shared" si="39"/>
        <v>C_Ope_005</v>
      </c>
      <c r="C381" s="3" t="s">
        <v>1330</v>
      </c>
      <c r="D381" s="14">
        <v>45862</v>
      </c>
      <c r="E381" s="5" t="s">
        <v>8535</v>
      </c>
      <c r="F381" s="5" t="s">
        <v>1336</v>
      </c>
      <c r="G381" s="6" t="s">
        <v>1009</v>
      </c>
      <c r="H381" s="6" t="s">
        <v>126</v>
      </c>
      <c r="I381" s="6"/>
      <c r="J381" s="6">
        <v>25031</v>
      </c>
      <c r="K381" s="7" t="s">
        <v>8716</v>
      </c>
      <c r="L381" s="8">
        <v>25031</v>
      </c>
      <c r="M381" s="8" t="str">
        <f t="shared" si="40"/>
        <v>PEN</v>
      </c>
      <c r="N381" s="13"/>
      <c r="O381" s="13">
        <v>24</v>
      </c>
      <c r="P381" s="3">
        <f t="shared" si="41"/>
        <v>0</v>
      </c>
      <c r="Q381" s="3">
        <f t="shared" si="42"/>
        <v>24</v>
      </c>
      <c r="R381" s="3">
        <f t="shared" si="28"/>
        <v>426.89999999999924</v>
      </c>
      <c r="S381" s="24" t="s">
        <v>1334</v>
      </c>
      <c r="T381" s="24" t="s">
        <v>1334</v>
      </c>
      <c r="U381" s="3"/>
      <c r="V381" s="25" t="s">
        <v>7761</v>
      </c>
      <c r="W381" s="25"/>
      <c r="X381" s="25" t="str">
        <f>IFERROR(VLOOKUP(C_Ope_005[[#This Row],[nota_2]],Clientes_Proveedores[[Ruc / Dni]:[Razon Social]],2,0),"")</f>
        <v/>
      </c>
      <c r="Y381" s="25"/>
      <c r="Z381" s="103"/>
      <c r="AA381" s="3" t="str">
        <f>IF(C_Ope_005[[#This Row],[fecha]]&gt;0,TEXT(C_Ope_005[[#This Row],[fecha]],"mmmm"),0)</f>
        <v>Julio</v>
      </c>
      <c r="AB381" s="49"/>
    </row>
    <row r="382" spans="1:28" x14ac:dyDescent="0.3">
      <c r="A382" s="2">
        <f>IF(C_Ope_005[[#This Row],[tipo_r]]="R",COUNTIFS($C$1:$C381,"R")+1,"")</f>
        <v>381</v>
      </c>
      <c r="B382" s="19" t="str">
        <f t="shared" si="39"/>
        <v>C_Ope_005</v>
      </c>
      <c r="C382" s="3" t="s">
        <v>1330</v>
      </c>
      <c r="D382" s="14">
        <v>45862</v>
      </c>
      <c r="E382" s="5" t="s">
        <v>8535</v>
      </c>
      <c r="F382" s="5" t="s">
        <v>1336</v>
      </c>
      <c r="G382" s="6" t="s">
        <v>1009</v>
      </c>
      <c r="H382" s="6" t="s">
        <v>126</v>
      </c>
      <c r="I382" s="6"/>
      <c r="J382" s="6">
        <v>25032</v>
      </c>
      <c r="K382" s="7" t="s">
        <v>8711</v>
      </c>
      <c r="L382" s="8">
        <v>25032</v>
      </c>
      <c r="M382" s="8" t="str">
        <f t="shared" si="40"/>
        <v>PEN</v>
      </c>
      <c r="N382" s="13"/>
      <c r="O382" s="13">
        <v>30</v>
      </c>
      <c r="P382" s="3">
        <f t="shared" si="41"/>
        <v>0</v>
      </c>
      <c r="Q382" s="3">
        <f t="shared" si="42"/>
        <v>30</v>
      </c>
      <c r="R382" s="3">
        <f t="shared" si="28"/>
        <v>396.89999999999924</v>
      </c>
      <c r="S382" s="24" t="s">
        <v>1334</v>
      </c>
      <c r="T382" s="24" t="s">
        <v>1334</v>
      </c>
      <c r="U382" s="3"/>
      <c r="V382" s="25" t="s">
        <v>7761</v>
      </c>
      <c r="W382" s="25"/>
      <c r="X382" s="25" t="str">
        <f>IFERROR(VLOOKUP(C_Ope_005[[#This Row],[nota_2]],Clientes_Proveedores[[Ruc / Dni]:[Razon Social]],2,0),"")</f>
        <v/>
      </c>
      <c r="Y382" s="25"/>
      <c r="Z382" s="103"/>
      <c r="AA382" s="3" t="str">
        <f>IF(C_Ope_005[[#This Row],[fecha]]&gt;0,TEXT(C_Ope_005[[#This Row],[fecha]],"mmmm"),0)</f>
        <v>Julio</v>
      </c>
      <c r="AB382" s="49"/>
    </row>
    <row r="383" spans="1:28" x14ac:dyDescent="0.3">
      <c r="A383" s="2">
        <f>IF(C_Ope_005[[#This Row],[tipo_r]]="R",COUNTIFS($C$1:$C382,"R")+1,"")</f>
        <v>382</v>
      </c>
      <c r="B383" s="19" t="str">
        <f t="shared" si="39"/>
        <v>C_Ope_005</v>
      </c>
      <c r="C383" s="3" t="s">
        <v>1330</v>
      </c>
      <c r="D383" s="14">
        <v>45862</v>
      </c>
      <c r="E383" s="5" t="s">
        <v>8535</v>
      </c>
      <c r="F383" s="5" t="s">
        <v>1336</v>
      </c>
      <c r="G383" s="6" t="s">
        <v>1009</v>
      </c>
      <c r="H383" s="6" t="s">
        <v>126</v>
      </c>
      <c r="I383" s="6"/>
      <c r="J383" s="6">
        <v>25033</v>
      </c>
      <c r="K383" s="7" t="s">
        <v>8717</v>
      </c>
      <c r="L383" s="8">
        <v>25033</v>
      </c>
      <c r="M383" s="8" t="str">
        <f t="shared" si="40"/>
        <v>PEN</v>
      </c>
      <c r="N383" s="13"/>
      <c r="O383" s="13">
        <v>24</v>
      </c>
      <c r="P383" s="3">
        <f t="shared" si="41"/>
        <v>0</v>
      </c>
      <c r="Q383" s="3">
        <f t="shared" si="42"/>
        <v>24</v>
      </c>
      <c r="R383" s="3">
        <f t="shared" si="28"/>
        <v>372.89999999999924</v>
      </c>
      <c r="S383" s="24" t="s">
        <v>1334</v>
      </c>
      <c r="T383" s="24" t="s">
        <v>1334</v>
      </c>
      <c r="U383" s="3"/>
      <c r="V383" s="25" t="s">
        <v>7761</v>
      </c>
      <c r="W383" s="25"/>
      <c r="X383" s="25" t="str">
        <f>IFERROR(VLOOKUP(C_Ope_005[[#This Row],[nota_2]],Clientes_Proveedores[[Ruc / Dni]:[Razon Social]],2,0),"")</f>
        <v/>
      </c>
      <c r="Y383" s="25"/>
      <c r="Z383" s="103"/>
      <c r="AA383" s="3" t="str">
        <f>IF(C_Ope_005[[#This Row],[fecha]]&gt;0,TEXT(C_Ope_005[[#This Row],[fecha]],"mmmm"),0)</f>
        <v>Julio</v>
      </c>
      <c r="AB383" s="49"/>
    </row>
    <row r="384" spans="1:28" ht="24" x14ac:dyDescent="0.3">
      <c r="A384" s="2">
        <f>IF(C_Ope_005[[#This Row],[tipo_r]]="R",COUNTIFS($C$1:$C383,"R")+1,"")</f>
        <v>383</v>
      </c>
      <c r="B384" s="19" t="str">
        <f>"C_Ope_005"</f>
        <v>C_Ope_005</v>
      </c>
      <c r="C384" s="3" t="s">
        <v>1330</v>
      </c>
      <c r="D384" s="14">
        <v>45862</v>
      </c>
      <c r="E384" s="5" t="s">
        <v>8535</v>
      </c>
      <c r="F384" s="5" t="s">
        <v>1336</v>
      </c>
      <c r="G384" s="6" t="s">
        <v>1063</v>
      </c>
      <c r="H384" s="6" t="s">
        <v>68</v>
      </c>
      <c r="I384" s="6" t="s">
        <v>1374</v>
      </c>
      <c r="J384" s="6">
        <v>46930</v>
      </c>
      <c r="K384" s="7" t="s">
        <v>8718</v>
      </c>
      <c r="L384" s="8">
        <v>25028</v>
      </c>
      <c r="M384" s="8" t="str">
        <f>"PEN"</f>
        <v>PEN</v>
      </c>
      <c r="N384" s="13"/>
      <c r="O384" s="13">
        <v>150</v>
      </c>
      <c r="P384" s="3">
        <f>+IF(OR($F384="SALDO",$F384="INGRESO"),$O384,0)</f>
        <v>0</v>
      </c>
      <c r="Q384" s="3">
        <f>+IF($F384="EGRESO",$O384,0)</f>
        <v>150</v>
      </c>
      <c r="R384" s="3">
        <f t="shared" si="28"/>
        <v>222.89999999999924</v>
      </c>
      <c r="S384" s="24" t="s">
        <v>1334</v>
      </c>
      <c r="T384" s="24" t="s">
        <v>1334</v>
      </c>
      <c r="U384" s="3"/>
      <c r="V384" s="25" t="s">
        <v>7761</v>
      </c>
      <c r="W384" s="25">
        <v>20485592556</v>
      </c>
      <c r="X384" s="25" t="str">
        <f>IFERROR(VLOOKUP(C_Ope_005[[#This Row],[nota_2]],Clientes_Proveedores[[Ruc / Dni]:[Razon Social]],2,0),"")</f>
        <v>SERVICENTRO SANTA MARTHA E.I.R.LTDA.</v>
      </c>
      <c r="Y384" s="25" t="s">
        <v>3552</v>
      </c>
      <c r="Z384" s="103"/>
      <c r="AA384" s="3" t="str">
        <f>IF(C_Ope_005[[#This Row],[fecha]]&gt;0,TEXT(C_Ope_005[[#This Row],[fecha]],"mmmm"),0)</f>
        <v>Julio</v>
      </c>
      <c r="AB384" s="49"/>
    </row>
    <row r="385" spans="1:28" ht="24" x14ac:dyDescent="0.3">
      <c r="A385" s="2">
        <f>IF(C_Ope_005[[#This Row],[tipo_r]]="R",COUNTIFS($C$1:$C384,"R")+1,"")</f>
        <v>384</v>
      </c>
      <c r="B385" s="19" t="str">
        <f t="shared" si="39"/>
        <v>C_Ope_005</v>
      </c>
      <c r="C385" s="3" t="s">
        <v>1330</v>
      </c>
      <c r="D385" s="14">
        <v>45863</v>
      </c>
      <c r="E385" s="5" t="s">
        <v>8535</v>
      </c>
      <c r="F385" s="5" t="s">
        <v>1336</v>
      </c>
      <c r="G385" s="6" t="s">
        <v>978</v>
      </c>
      <c r="H385" s="6" t="s">
        <v>68</v>
      </c>
      <c r="I385" s="6" t="s">
        <v>8557</v>
      </c>
      <c r="J385" s="6">
        <v>1897259</v>
      </c>
      <c r="K385" s="7" t="s">
        <v>8704</v>
      </c>
      <c r="L385" s="8">
        <v>25036</v>
      </c>
      <c r="M385" s="8" t="str">
        <f t="shared" si="40"/>
        <v>PEN</v>
      </c>
      <c r="N385" s="13"/>
      <c r="O385" s="13">
        <v>7.7</v>
      </c>
      <c r="P385" s="3">
        <f t="shared" si="41"/>
        <v>0</v>
      </c>
      <c r="Q385" s="3">
        <f t="shared" si="42"/>
        <v>7.7</v>
      </c>
      <c r="R385" s="3">
        <f t="shared" si="28"/>
        <v>215.19999999999925</v>
      </c>
      <c r="S385" s="24" t="s">
        <v>1334</v>
      </c>
      <c r="T385" s="24" t="s">
        <v>1334</v>
      </c>
      <c r="U385" s="3"/>
      <c r="V385" s="25" t="s">
        <v>7761</v>
      </c>
      <c r="W385" s="25">
        <v>20517252558</v>
      </c>
      <c r="X385" s="25" t="str">
        <f>IFERROR(VLOOKUP(C_Ope_005[[#This Row],[nota_2]],Clientes_Proveedores[[Ruc / Dni]:[Razon Social]],2,0),"")</f>
        <v>COVISUR S.A.</v>
      </c>
      <c r="Y385" s="25" t="s">
        <v>7888</v>
      </c>
      <c r="Z385" s="103"/>
      <c r="AA385" s="3" t="str">
        <f>IF(C_Ope_005[[#This Row],[fecha]]&gt;0,TEXT(C_Ope_005[[#This Row],[fecha]],"mmmm"),0)</f>
        <v>Julio</v>
      </c>
      <c r="AB385" s="49"/>
    </row>
    <row r="386" spans="1:28" x14ac:dyDescent="0.3">
      <c r="A386" s="2">
        <f>IF(C_Ope_005[[#This Row],[tipo_r]]="R",COUNTIFS($C$1:$C385,"R")+1,"")</f>
        <v>385</v>
      </c>
      <c r="B386" s="19" t="str">
        <f t="shared" si="39"/>
        <v>C_Ope_005</v>
      </c>
      <c r="C386" s="3" t="s">
        <v>1330</v>
      </c>
      <c r="D386" s="14">
        <v>45863</v>
      </c>
      <c r="E386" s="5" t="s">
        <v>8535</v>
      </c>
      <c r="F386" s="5" t="s">
        <v>1336</v>
      </c>
      <c r="G386" s="6" t="s">
        <v>1009</v>
      </c>
      <c r="H386" s="6" t="s">
        <v>126</v>
      </c>
      <c r="I386" s="6"/>
      <c r="J386" s="6">
        <v>25029</v>
      </c>
      <c r="K386" s="7" t="s">
        <v>8719</v>
      </c>
      <c r="L386" s="8">
        <v>25029</v>
      </c>
      <c r="M386" s="8" t="str">
        <f t="shared" si="40"/>
        <v>PEN</v>
      </c>
      <c r="N386" s="13"/>
      <c r="O386" s="13">
        <v>100</v>
      </c>
      <c r="P386" s="3">
        <f t="shared" si="41"/>
        <v>0</v>
      </c>
      <c r="Q386" s="3">
        <f t="shared" si="42"/>
        <v>100</v>
      </c>
      <c r="R386" s="3">
        <f t="shared" ref="R386:R449" si="43">IFERROR(IF(F386="SALDO",P386,R385+P386-Q386),0)</f>
        <v>115.19999999999925</v>
      </c>
      <c r="S386" s="24" t="s">
        <v>1334</v>
      </c>
      <c r="T386" s="24" t="s">
        <v>1334</v>
      </c>
      <c r="U386" s="3"/>
      <c r="V386" s="25" t="s">
        <v>7761</v>
      </c>
      <c r="W386" s="25"/>
      <c r="X386" s="25" t="str">
        <f>IFERROR(VLOOKUP(C_Ope_005[[#This Row],[nota_2]],Clientes_Proveedores[[Ruc / Dni]:[Razon Social]],2,0),"")</f>
        <v/>
      </c>
      <c r="Y386" s="25"/>
      <c r="Z386" s="103"/>
      <c r="AA386" s="3" t="str">
        <f>IF(C_Ope_005[[#This Row],[fecha]]&gt;0,TEXT(C_Ope_005[[#This Row],[fecha]],"mmmm"),0)</f>
        <v>Julio</v>
      </c>
      <c r="AB386" s="49"/>
    </row>
    <row r="387" spans="1:28" x14ac:dyDescent="0.3">
      <c r="A387" s="2">
        <f>IF(C_Ope_005[[#This Row],[tipo_r]]="R",COUNTIFS($C$1:$C386,"R")+1,"")</f>
        <v>386</v>
      </c>
      <c r="B387" s="19" t="str">
        <f t="shared" si="39"/>
        <v>C_Ope_005</v>
      </c>
      <c r="C387" s="3" t="s">
        <v>1330</v>
      </c>
      <c r="D387" s="14">
        <v>45863</v>
      </c>
      <c r="E387" s="5" t="s">
        <v>8535</v>
      </c>
      <c r="F387" s="5" t="s">
        <v>1336</v>
      </c>
      <c r="G387" s="6" t="s">
        <v>1009</v>
      </c>
      <c r="H387" s="6" t="s">
        <v>126</v>
      </c>
      <c r="I387" s="6"/>
      <c r="J387" s="6">
        <v>25034</v>
      </c>
      <c r="K387" s="7" t="s">
        <v>8716</v>
      </c>
      <c r="L387" s="8">
        <v>25034</v>
      </c>
      <c r="M387" s="8" t="str">
        <f t="shared" si="40"/>
        <v>PEN</v>
      </c>
      <c r="N387" s="13"/>
      <c r="O387" s="13">
        <v>24</v>
      </c>
      <c r="P387" s="3">
        <f t="shared" si="41"/>
        <v>0</v>
      </c>
      <c r="Q387" s="3">
        <f t="shared" si="42"/>
        <v>24</v>
      </c>
      <c r="R387" s="3">
        <f t="shared" si="43"/>
        <v>91.19999999999925</v>
      </c>
      <c r="S387" s="24" t="s">
        <v>1334</v>
      </c>
      <c r="T387" s="24" t="s">
        <v>1334</v>
      </c>
      <c r="U387" s="3"/>
      <c r="V387" s="25" t="s">
        <v>7761</v>
      </c>
      <c r="W387" s="25"/>
      <c r="X387" s="25" t="str">
        <f>IFERROR(VLOOKUP(C_Ope_005[[#This Row],[nota_2]],Clientes_Proveedores[[Ruc / Dni]:[Razon Social]],2,0),"")</f>
        <v/>
      </c>
      <c r="Y387" s="25"/>
      <c r="Z387" s="103"/>
      <c r="AA387" s="3" t="str">
        <f>IF(C_Ope_005[[#This Row],[fecha]]&gt;0,TEXT(C_Ope_005[[#This Row],[fecha]],"mmmm"),0)</f>
        <v>Julio</v>
      </c>
      <c r="AB387" s="49"/>
    </row>
    <row r="388" spans="1:28" x14ac:dyDescent="0.3">
      <c r="A388" s="2">
        <f>IF(C_Ope_005[[#This Row],[tipo_r]]="R",COUNTIFS($C$1:$C387,"R")+1,"")</f>
        <v>387</v>
      </c>
      <c r="B388" s="19" t="str">
        <f t="shared" si="39"/>
        <v>C_Ope_005</v>
      </c>
      <c r="C388" s="3" t="s">
        <v>1330</v>
      </c>
      <c r="D388" s="14">
        <v>45863</v>
      </c>
      <c r="E388" s="5" t="s">
        <v>8535</v>
      </c>
      <c r="F388" s="5" t="s">
        <v>1336</v>
      </c>
      <c r="G388" s="6" t="s">
        <v>1009</v>
      </c>
      <c r="H388" s="6" t="s">
        <v>126</v>
      </c>
      <c r="I388" s="6"/>
      <c r="J388" s="6">
        <v>25035</v>
      </c>
      <c r="K388" s="7" t="s">
        <v>8720</v>
      </c>
      <c r="L388" s="8">
        <v>25035</v>
      </c>
      <c r="M388" s="8" t="str">
        <f t="shared" si="40"/>
        <v>PEN</v>
      </c>
      <c r="N388" s="13"/>
      <c r="O388" s="13">
        <v>30</v>
      </c>
      <c r="P388" s="3">
        <f t="shared" si="41"/>
        <v>0</v>
      </c>
      <c r="Q388" s="3">
        <f t="shared" si="42"/>
        <v>30</v>
      </c>
      <c r="R388" s="3">
        <f t="shared" si="43"/>
        <v>61.19999999999925</v>
      </c>
      <c r="S388" s="24" t="s">
        <v>1334</v>
      </c>
      <c r="T388" s="24" t="s">
        <v>1334</v>
      </c>
      <c r="U388" s="3"/>
      <c r="V388" s="25" t="s">
        <v>7761</v>
      </c>
      <c r="W388" s="25"/>
      <c r="X388" s="25" t="str">
        <f>IFERROR(VLOOKUP(C_Ope_005[[#This Row],[nota_2]],Clientes_Proveedores[[Ruc / Dni]:[Razon Social]],2,0),"")</f>
        <v/>
      </c>
      <c r="Y388" s="25"/>
      <c r="Z388" s="103"/>
      <c r="AA388" s="3" t="str">
        <f>IF(C_Ope_005[[#This Row],[fecha]]&gt;0,TEXT(C_Ope_005[[#This Row],[fecha]],"mmmm"),0)</f>
        <v>Julio</v>
      </c>
      <c r="AB388" s="49"/>
    </row>
    <row r="389" spans="1:28" ht="24" x14ac:dyDescent="0.3">
      <c r="A389" s="2">
        <f>IF(C_Ope_005[[#This Row],[tipo_r]]="R",COUNTIFS($C$1:$C388,"R")+1,"")</f>
        <v>388</v>
      </c>
      <c r="B389" s="19" t="str">
        <f t="shared" si="39"/>
        <v>C_Ope_005</v>
      </c>
      <c r="C389" s="3" t="s">
        <v>1330</v>
      </c>
      <c r="D389" s="14">
        <v>45868</v>
      </c>
      <c r="E389" s="5" t="s">
        <v>7513</v>
      </c>
      <c r="F389" s="5" t="s">
        <v>1303</v>
      </c>
      <c r="G389" s="6" t="s">
        <v>957</v>
      </c>
      <c r="H389" s="6"/>
      <c r="I389" s="6"/>
      <c r="J389" s="6"/>
      <c r="K389" s="7" t="s">
        <v>8475</v>
      </c>
      <c r="L389" s="8">
        <v>25051</v>
      </c>
      <c r="M389" s="8" t="str">
        <f t="shared" si="40"/>
        <v>PEN</v>
      </c>
      <c r="N389" s="13"/>
      <c r="O389" s="13">
        <v>200</v>
      </c>
      <c r="P389" s="3">
        <f t="shared" si="41"/>
        <v>200</v>
      </c>
      <c r="Q389" s="3">
        <f t="shared" si="42"/>
        <v>0</v>
      </c>
      <c r="R389" s="3">
        <f t="shared" si="43"/>
        <v>261.19999999999925</v>
      </c>
      <c r="S389" s="24" t="s">
        <v>1334</v>
      </c>
      <c r="T389" s="24" t="s">
        <v>1334</v>
      </c>
      <c r="U389" s="3"/>
      <c r="V389" s="25"/>
      <c r="W389" s="25"/>
      <c r="X389" s="25" t="str">
        <f>IFERROR(VLOOKUP(C_Ope_005[[#This Row],[nota_2]],Clientes_Proveedores[[Ruc / Dni]:[Razon Social]],2,0),"")</f>
        <v/>
      </c>
      <c r="Y389" s="25"/>
      <c r="Z389" s="103"/>
      <c r="AA389" s="3" t="str">
        <f>IF(C_Ope_005[[#This Row],[fecha]]&gt;0,TEXT(C_Ope_005[[#This Row],[fecha]],"mmmm"),0)</f>
        <v>Julio</v>
      </c>
      <c r="AB389" s="49"/>
    </row>
    <row r="390" spans="1:28" ht="24" x14ac:dyDescent="0.3">
      <c r="A390" s="2">
        <f>IF(C_Ope_005[[#This Row],[tipo_r]]="R",COUNTIFS($C$1:$C389,"R")+1,"")</f>
        <v>389</v>
      </c>
      <c r="B390" s="19" t="str">
        <f t="shared" si="39"/>
        <v>C_Ope_005</v>
      </c>
      <c r="C390" s="3" t="s">
        <v>1330</v>
      </c>
      <c r="D390" s="14">
        <v>45868</v>
      </c>
      <c r="E390" s="5" t="s">
        <v>8535</v>
      </c>
      <c r="F390" s="5" t="s">
        <v>1336</v>
      </c>
      <c r="G390" s="6" t="s">
        <v>978</v>
      </c>
      <c r="H390" s="6" t="s">
        <v>68</v>
      </c>
      <c r="I390" s="6" t="s">
        <v>6204</v>
      </c>
      <c r="J390" s="6">
        <v>1797918</v>
      </c>
      <c r="K390" s="7" t="s">
        <v>8721</v>
      </c>
      <c r="L390" s="8">
        <v>25053</v>
      </c>
      <c r="M390" s="8" t="str">
        <f t="shared" si="40"/>
        <v>PEN</v>
      </c>
      <c r="N390" s="13"/>
      <c r="O390" s="13">
        <v>8</v>
      </c>
      <c r="P390" s="3">
        <f t="shared" si="41"/>
        <v>0</v>
      </c>
      <c r="Q390" s="3">
        <f t="shared" si="42"/>
        <v>8</v>
      </c>
      <c r="R390" s="3">
        <f t="shared" si="43"/>
        <v>253.19999999999925</v>
      </c>
      <c r="S390" s="24" t="s">
        <v>1334</v>
      </c>
      <c r="T390" s="24" t="s">
        <v>1334</v>
      </c>
      <c r="U390" s="3"/>
      <c r="V390" s="25" t="s">
        <v>7761</v>
      </c>
      <c r="W390" s="25">
        <v>20517252558</v>
      </c>
      <c r="X390" s="25" t="str">
        <f>IFERROR(VLOOKUP(C_Ope_005[[#This Row],[nota_2]],Clientes_Proveedores[[Ruc / Dni]:[Razon Social]],2,0),"")</f>
        <v>COVISUR S.A.</v>
      </c>
      <c r="Y390" s="25" t="s">
        <v>7888</v>
      </c>
      <c r="Z390" s="103"/>
      <c r="AA390" s="3" t="str">
        <f>IF(C_Ope_005[[#This Row],[fecha]]&gt;0,TEXT(C_Ope_005[[#This Row],[fecha]],"mmmm"),0)</f>
        <v>Julio</v>
      </c>
      <c r="AB390" s="49"/>
    </row>
    <row r="391" spans="1:28" ht="24" x14ac:dyDescent="0.3">
      <c r="A391" s="2">
        <f>IF(C_Ope_005[[#This Row],[tipo_r]]="R",COUNTIFS($C$1:$C390,"R")+1,"")</f>
        <v>390</v>
      </c>
      <c r="B391" s="19" t="str">
        <f t="shared" si="39"/>
        <v>C_Ope_005</v>
      </c>
      <c r="C391" s="3" t="s">
        <v>1330</v>
      </c>
      <c r="D391" s="14">
        <v>45868</v>
      </c>
      <c r="E391" s="5" t="s">
        <v>8535</v>
      </c>
      <c r="F391" s="5" t="s">
        <v>1336</v>
      </c>
      <c r="G391" s="6" t="s">
        <v>978</v>
      </c>
      <c r="H391" s="6" t="s">
        <v>68</v>
      </c>
      <c r="I391" s="6" t="s">
        <v>5845</v>
      </c>
      <c r="J391" s="6">
        <v>1818299</v>
      </c>
      <c r="K391" s="7" t="s">
        <v>8721</v>
      </c>
      <c r="L391" s="8">
        <v>25054</v>
      </c>
      <c r="M391" s="8" t="str">
        <f t="shared" si="40"/>
        <v>PEN</v>
      </c>
      <c r="N391" s="13"/>
      <c r="O391" s="13">
        <v>8</v>
      </c>
      <c r="P391" s="3">
        <f t="shared" si="41"/>
        <v>0</v>
      </c>
      <c r="Q391" s="3">
        <f t="shared" si="42"/>
        <v>8</v>
      </c>
      <c r="R391" s="3">
        <f t="shared" si="43"/>
        <v>245.19999999999925</v>
      </c>
      <c r="S391" s="24" t="s">
        <v>1334</v>
      </c>
      <c r="T391" s="24" t="s">
        <v>1334</v>
      </c>
      <c r="U391" s="3"/>
      <c r="V391" s="25" t="s">
        <v>7761</v>
      </c>
      <c r="W391" s="25">
        <v>20517252558</v>
      </c>
      <c r="X391" s="25" t="str">
        <f>IFERROR(VLOOKUP(C_Ope_005[[#This Row],[nota_2]],Clientes_Proveedores[[Ruc / Dni]:[Razon Social]],2,0),"")</f>
        <v>COVISUR S.A.</v>
      </c>
      <c r="Y391" s="25" t="s">
        <v>7888</v>
      </c>
      <c r="Z391" s="103"/>
      <c r="AA391" s="3" t="str">
        <f>IF(C_Ope_005[[#This Row],[fecha]]&gt;0,TEXT(C_Ope_005[[#This Row],[fecha]],"mmmm"),0)</f>
        <v>Julio</v>
      </c>
      <c r="AB391" s="49"/>
    </row>
    <row r="392" spans="1:28" ht="36" x14ac:dyDescent="0.3">
      <c r="A392" s="2">
        <f>IF(C_Ope_005[[#This Row],[tipo_r]]="R",COUNTIFS($C$1:$C391,"R")+1,"")</f>
        <v>391</v>
      </c>
      <c r="B392" s="19" t="str">
        <f t="shared" si="39"/>
        <v>C_Ope_005</v>
      </c>
      <c r="C392" s="3" t="s">
        <v>1330</v>
      </c>
      <c r="D392" s="14">
        <v>45869</v>
      </c>
      <c r="E392" s="5" t="s">
        <v>8535</v>
      </c>
      <c r="F392" s="5" t="s">
        <v>1336</v>
      </c>
      <c r="G392" s="6" t="s">
        <v>682</v>
      </c>
      <c r="H392" s="6" t="s">
        <v>68</v>
      </c>
      <c r="I392" s="6" t="s">
        <v>1343</v>
      </c>
      <c r="J392" s="6">
        <v>35252</v>
      </c>
      <c r="K392" s="7" t="s">
        <v>8722</v>
      </c>
      <c r="L392" s="8">
        <v>25055</v>
      </c>
      <c r="M392" s="8" t="str">
        <f t="shared" si="40"/>
        <v>PEN</v>
      </c>
      <c r="N392" s="13"/>
      <c r="O392" s="13">
        <v>10</v>
      </c>
      <c r="P392" s="3">
        <f t="shared" si="41"/>
        <v>0</v>
      </c>
      <c r="Q392" s="3">
        <f t="shared" si="42"/>
        <v>10</v>
      </c>
      <c r="R392" s="3">
        <f t="shared" si="43"/>
        <v>235.19999999999925</v>
      </c>
      <c r="S392" s="24" t="s">
        <v>1334</v>
      </c>
      <c r="T392" s="24" t="s">
        <v>1334</v>
      </c>
      <c r="U392" s="3"/>
      <c r="V392" s="25" t="s">
        <v>7761</v>
      </c>
      <c r="W392" s="25">
        <v>20259858934</v>
      </c>
      <c r="X392" s="25" t="str">
        <f>IFERROR(VLOOKUP(C_Ope_005[[#This Row],[nota_2]],Clientes_Proveedores[[Ruc / Dni]:[Razon Social]],2,0),"")</f>
        <v>COMERCIALIZACION Y SERVICIOS EL EDEN S.A.C.</v>
      </c>
      <c r="Y392" s="25" t="s">
        <v>5933</v>
      </c>
      <c r="Z392" s="103"/>
      <c r="AA392" s="3" t="str">
        <f>IF(C_Ope_005[[#This Row],[fecha]]&gt;0,TEXT(C_Ope_005[[#This Row],[fecha]],"mmmm"),0)</f>
        <v>Julio</v>
      </c>
      <c r="AB392" s="49"/>
    </row>
    <row r="393" spans="1:28" ht="36" x14ac:dyDescent="0.3">
      <c r="A393" s="2">
        <f>IF(C_Ope_005[[#This Row],[tipo_r]]="R",COUNTIFS($C$1:$C392,"R")+1,"")</f>
        <v>392</v>
      </c>
      <c r="B393" s="19" t="str">
        <f t="shared" si="39"/>
        <v>C_Ope_005</v>
      </c>
      <c r="C393" s="3" t="s">
        <v>1330</v>
      </c>
      <c r="D393" s="14">
        <v>45869</v>
      </c>
      <c r="E393" s="5" t="s">
        <v>8535</v>
      </c>
      <c r="F393" s="5" t="s">
        <v>1336</v>
      </c>
      <c r="G393" s="6" t="s">
        <v>682</v>
      </c>
      <c r="H393" s="6" t="s">
        <v>68</v>
      </c>
      <c r="I393" s="6" t="s">
        <v>1343</v>
      </c>
      <c r="J393" s="6">
        <v>35254</v>
      </c>
      <c r="K393" s="7" t="s">
        <v>8723</v>
      </c>
      <c r="L393" s="8">
        <v>25056</v>
      </c>
      <c r="M393" s="8" t="str">
        <f t="shared" si="40"/>
        <v>PEN</v>
      </c>
      <c r="N393" s="13"/>
      <c r="O393" s="13">
        <v>10</v>
      </c>
      <c r="P393" s="3">
        <f t="shared" si="41"/>
        <v>0</v>
      </c>
      <c r="Q393" s="3">
        <f t="shared" si="42"/>
        <v>10</v>
      </c>
      <c r="R393" s="3">
        <f t="shared" si="43"/>
        <v>225.19999999999925</v>
      </c>
      <c r="S393" s="24" t="s">
        <v>1334</v>
      </c>
      <c r="T393" s="24" t="s">
        <v>1334</v>
      </c>
      <c r="U393" s="3"/>
      <c r="V393" s="25" t="s">
        <v>7761</v>
      </c>
      <c r="W393" s="25">
        <v>20259858934</v>
      </c>
      <c r="X393" s="25" t="str">
        <f>IFERROR(VLOOKUP(C_Ope_005[[#This Row],[nota_2]],Clientes_Proveedores[[Ruc / Dni]:[Razon Social]],2,0),"")</f>
        <v>COMERCIALIZACION Y SERVICIOS EL EDEN S.A.C.</v>
      </c>
      <c r="Y393" s="25" t="s">
        <v>5933</v>
      </c>
      <c r="Z393" s="103"/>
      <c r="AA393" s="3" t="str">
        <f>IF(C_Ope_005[[#This Row],[fecha]]&gt;0,TEXT(C_Ope_005[[#This Row],[fecha]],"mmmm"),0)</f>
        <v>Julio</v>
      </c>
      <c r="AB393" s="49"/>
    </row>
    <row r="394" spans="1:28" ht="24" x14ac:dyDescent="0.3">
      <c r="A394" s="2">
        <f>IF(C_Ope_005[[#This Row],[tipo_r]]="R",COUNTIFS($C$1:$C393,"R")+1,"")</f>
        <v>393</v>
      </c>
      <c r="B394" s="19" t="str">
        <f t="shared" si="39"/>
        <v>C_Ope_005</v>
      </c>
      <c r="C394" s="3" t="s">
        <v>1330</v>
      </c>
      <c r="D394" s="14">
        <v>45869</v>
      </c>
      <c r="E394" s="5" t="s">
        <v>8535</v>
      </c>
      <c r="F394" s="5" t="s">
        <v>1336</v>
      </c>
      <c r="G394" s="6" t="s">
        <v>999</v>
      </c>
      <c r="H394" s="6" t="s">
        <v>68</v>
      </c>
      <c r="I394" s="6" t="s">
        <v>1374</v>
      </c>
      <c r="J394" s="6">
        <v>18989</v>
      </c>
      <c r="K394" s="7" t="s">
        <v>8640</v>
      </c>
      <c r="L394" s="8">
        <v>25057</v>
      </c>
      <c r="M394" s="8" t="str">
        <f t="shared" si="40"/>
        <v>PEN</v>
      </c>
      <c r="N394" s="13"/>
      <c r="O394" s="13">
        <v>25</v>
      </c>
      <c r="P394" s="3">
        <f t="shared" si="41"/>
        <v>0</v>
      </c>
      <c r="Q394" s="3">
        <f t="shared" si="42"/>
        <v>25</v>
      </c>
      <c r="R394" s="3">
        <f t="shared" si="43"/>
        <v>200.19999999999925</v>
      </c>
      <c r="S394" s="24" t="s">
        <v>1334</v>
      </c>
      <c r="T394" s="24" t="s">
        <v>1334</v>
      </c>
      <c r="U394" s="3"/>
      <c r="V394" s="25" t="s">
        <v>7761</v>
      </c>
      <c r="W394" s="25">
        <v>10705628331</v>
      </c>
      <c r="X394" s="25" t="str">
        <f>IFERROR(VLOOKUP(C_Ope_005[[#This Row],[nota_2]],Clientes_Proveedores[[Ruc / Dni]:[Razon Social]],2,0),"")</f>
        <v>LARICO APAZA NANCY ROSSMARY</v>
      </c>
      <c r="Y394" s="25" t="s">
        <v>7938</v>
      </c>
      <c r="Z394" s="103"/>
      <c r="AA394" s="3" t="str">
        <f>IF(C_Ope_005[[#This Row],[fecha]]&gt;0,TEXT(C_Ope_005[[#This Row],[fecha]],"mmmm"),0)</f>
        <v>Julio</v>
      </c>
      <c r="AB394" s="49"/>
    </row>
    <row r="395" spans="1:28" ht="24" x14ac:dyDescent="0.3">
      <c r="A395" s="2">
        <f>IF(C_Ope_005[[#This Row],[tipo_r]]="R",COUNTIFS($C$1:$C394,"R")+1,"")</f>
        <v>394</v>
      </c>
      <c r="B395" s="19" t="str">
        <f t="shared" si="39"/>
        <v>C_Ope_005</v>
      </c>
      <c r="C395" s="3" t="s">
        <v>1330</v>
      </c>
      <c r="D395" s="14">
        <v>45870</v>
      </c>
      <c r="E395" s="5" t="s">
        <v>8535</v>
      </c>
      <c r="F395" s="5" t="s">
        <v>1336</v>
      </c>
      <c r="G395" s="6" t="s">
        <v>978</v>
      </c>
      <c r="H395" s="6" t="s">
        <v>68</v>
      </c>
      <c r="I395" s="6" t="s">
        <v>5845</v>
      </c>
      <c r="J395" s="6">
        <v>1820298</v>
      </c>
      <c r="K395" s="7" t="s">
        <v>8724</v>
      </c>
      <c r="L395" s="8">
        <v>25058</v>
      </c>
      <c r="M395" s="8" t="str">
        <f t="shared" si="40"/>
        <v>PEN</v>
      </c>
      <c r="N395" s="13"/>
      <c r="O395" s="13">
        <v>8</v>
      </c>
      <c r="P395" s="3">
        <f t="shared" si="41"/>
        <v>0</v>
      </c>
      <c r="Q395" s="3">
        <f t="shared" si="42"/>
        <v>8</v>
      </c>
      <c r="R395" s="3">
        <f t="shared" si="43"/>
        <v>192.19999999999925</v>
      </c>
      <c r="S395" s="24" t="s">
        <v>1334</v>
      </c>
      <c r="T395" s="24" t="s">
        <v>1334</v>
      </c>
      <c r="U395" s="3"/>
      <c r="V395" s="25" t="s">
        <v>7756</v>
      </c>
      <c r="W395" s="25">
        <v>20517252558</v>
      </c>
      <c r="X395" s="25" t="str">
        <f>IFERROR(VLOOKUP(C_Ope_005[[#This Row],[nota_2]],Clientes_Proveedores[[Ruc / Dni]:[Razon Social]],2,0),"")</f>
        <v>COVISUR S.A.</v>
      </c>
      <c r="Y395" s="25" t="s">
        <v>7888</v>
      </c>
      <c r="Z395" s="103"/>
      <c r="AA395" s="3" t="str">
        <f>IF(C_Ope_005[[#This Row],[fecha]]&gt;0,TEXT(C_Ope_005[[#This Row],[fecha]],"mmmm"),0)</f>
        <v>Agosto</v>
      </c>
      <c r="AB395" s="49"/>
    </row>
    <row r="396" spans="1:28" ht="24" x14ac:dyDescent="0.3">
      <c r="A396" s="2">
        <f>IF(C_Ope_005[[#This Row],[tipo_r]]="R",COUNTIFS($C$1:$C395,"R")+1,"")</f>
        <v>395</v>
      </c>
      <c r="B396" s="19" t="str">
        <f t="shared" si="39"/>
        <v>C_Ope_005</v>
      </c>
      <c r="C396" s="3" t="s">
        <v>1330</v>
      </c>
      <c r="D396" s="14">
        <v>45870</v>
      </c>
      <c r="E396" s="5" t="s">
        <v>8535</v>
      </c>
      <c r="F396" s="5" t="s">
        <v>1336</v>
      </c>
      <c r="G396" s="6" t="s">
        <v>978</v>
      </c>
      <c r="H396" s="6" t="s">
        <v>68</v>
      </c>
      <c r="I396" s="6" t="s">
        <v>6204</v>
      </c>
      <c r="J396" s="6">
        <v>1799815</v>
      </c>
      <c r="K396" s="7" t="s">
        <v>8724</v>
      </c>
      <c r="L396" s="8">
        <v>25059</v>
      </c>
      <c r="M396" s="8" t="str">
        <f t="shared" si="40"/>
        <v>PEN</v>
      </c>
      <c r="N396" s="13"/>
      <c r="O396" s="13">
        <v>8</v>
      </c>
      <c r="P396" s="3">
        <f t="shared" si="41"/>
        <v>0</v>
      </c>
      <c r="Q396" s="3">
        <f t="shared" si="42"/>
        <v>8</v>
      </c>
      <c r="R396" s="3">
        <f t="shared" si="43"/>
        <v>184.19999999999925</v>
      </c>
      <c r="S396" s="24" t="s">
        <v>1334</v>
      </c>
      <c r="T396" s="24" t="s">
        <v>1334</v>
      </c>
      <c r="U396" s="3"/>
      <c r="V396" s="25" t="s">
        <v>7756</v>
      </c>
      <c r="W396" s="25">
        <v>20517252558</v>
      </c>
      <c r="X396" s="25" t="str">
        <f>IFERROR(VLOOKUP(C_Ope_005[[#This Row],[nota_2]],Clientes_Proveedores[[Ruc / Dni]:[Razon Social]],2,0),"")</f>
        <v>COVISUR S.A.</v>
      </c>
      <c r="Y396" s="25" t="s">
        <v>7888</v>
      </c>
      <c r="Z396" s="103"/>
      <c r="AA396" s="3" t="str">
        <f>IF(C_Ope_005[[#This Row],[fecha]]&gt;0,TEXT(C_Ope_005[[#This Row],[fecha]],"mmmm"),0)</f>
        <v>Agosto</v>
      </c>
      <c r="AB396" s="49"/>
    </row>
    <row r="397" spans="1:28" ht="36" x14ac:dyDescent="0.3">
      <c r="A397" s="2">
        <f>IF(C_Ope_005[[#This Row],[tipo_r]]="R",COUNTIFS($C$1:$C396,"R")+1,"")</f>
        <v>396</v>
      </c>
      <c r="B397" s="19" t="str">
        <f t="shared" si="39"/>
        <v>C_Ope_005</v>
      </c>
      <c r="C397" s="3" t="s">
        <v>1330</v>
      </c>
      <c r="D397" s="14">
        <v>45870</v>
      </c>
      <c r="E397" s="5" t="s">
        <v>8535</v>
      </c>
      <c r="F397" s="5" t="s">
        <v>1336</v>
      </c>
      <c r="G397" s="6" t="s">
        <v>682</v>
      </c>
      <c r="H397" s="6" t="s">
        <v>68</v>
      </c>
      <c r="I397" s="6" t="s">
        <v>1353</v>
      </c>
      <c r="J397" s="6">
        <v>17508</v>
      </c>
      <c r="K397" s="7" t="s">
        <v>8725</v>
      </c>
      <c r="L397" s="8">
        <v>25060</v>
      </c>
      <c r="M397" s="8" t="str">
        <f t="shared" si="40"/>
        <v>PEN</v>
      </c>
      <c r="N397" s="13"/>
      <c r="O397" s="13">
        <v>20</v>
      </c>
      <c r="P397" s="3">
        <f t="shared" si="41"/>
        <v>0</v>
      </c>
      <c r="Q397" s="3">
        <f t="shared" si="42"/>
        <v>20</v>
      </c>
      <c r="R397" s="3">
        <f t="shared" si="43"/>
        <v>164.19999999999925</v>
      </c>
      <c r="S397" s="24" t="s">
        <v>1334</v>
      </c>
      <c r="T397" s="24" t="s">
        <v>1334</v>
      </c>
      <c r="U397" s="3"/>
      <c r="V397" s="25" t="s">
        <v>7756</v>
      </c>
      <c r="W397" s="25">
        <v>20259858934</v>
      </c>
      <c r="X397" s="25" t="str">
        <f>IFERROR(VLOOKUP(C_Ope_005[[#This Row],[nota_2]],Clientes_Proveedores[[Ruc / Dni]:[Razon Social]],2,0),"")</f>
        <v>COMERCIALIZACION Y SERVICIOS EL EDEN S.A.C.</v>
      </c>
      <c r="Y397" s="25" t="s">
        <v>5933</v>
      </c>
      <c r="Z397" s="103"/>
      <c r="AA397" s="3" t="str">
        <f>IF(C_Ope_005[[#This Row],[fecha]]&gt;0,TEXT(C_Ope_005[[#This Row],[fecha]],"mmmm"),0)</f>
        <v>Agosto</v>
      </c>
      <c r="AB397" s="49"/>
    </row>
    <row r="398" spans="1:28" x14ac:dyDescent="0.3">
      <c r="A398" s="2">
        <f>IF(C_Ope_005[[#This Row],[tipo_r]]="R",COUNTIFS($C$1:$C397,"R")+1,"")</f>
        <v>397</v>
      </c>
      <c r="B398" s="19" t="str">
        <f t="shared" ref="B398:B408" si="44">"C_Ope_005"</f>
        <v>C_Ope_005</v>
      </c>
      <c r="C398" s="3" t="s">
        <v>1330</v>
      </c>
      <c r="D398" s="14">
        <v>45873</v>
      </c>
      <c r="E398" s="5" t="s">
        <v>8535</v>
      </c>
      <c r="F398" s="5" t="s">
        <v>1336</v>
      </c>
      <c r="G398" s="6" t="s">
        <v>978</v>
      </c>
      <c r="H398" s="6" t="s">
        <v>68</v>
      </c>
      <c r="I398" s="6" t="s">
        <v>5688</v>
      </c>
      <c r="J398" s="6">
        <v>2422144</v>
      </c>
      <c r="K398" s="7" t="s">
        <v>8726</v>
      </c>
      <c r="L398" s="8">
        <v>25080</v>
      </c>
      <c r="M398" s="8" t="str">
        <f t="shared" ref="M398:M408" si="45">"PEN"</f>
        <v>PEN</v>
      </c>
      <c r="N398" s="13"/>
      <c r="O398" s="13">
        <v>8</v>
      </c>
      <c r="P398" s="3">
        <f t="shared" ref="P398:P408" si="46">+IF(OR($F398="SALDO",$F398="INGRESO"),$O398,0)</f>
        <v>0</v>
      </c>
      <c r="Q398" s="3">
        <f t="shared" ref="Q398:Q408" si="47">+IF($F398="EGRESO",$O398,0)</f>
        <v>8</v>
      </c>
      <c r="R398" s="3">
        <f t="shared" si="43"/>
        <v>156.19999999999925</v>
      </c>
      <c r="S398" s="24" t="s">
        <v>1334</v>
      </c>
      <c r="T398" s="24" t="s">
        <v>1334</v>
      </c>
      <c r="U398" s="3"/>
      <c r="V398" s="25" t="s">
        <v>7756</v>
      </c>
      <c r="W398" s="25">
        <v>20517252558</v>
      </c>
      <c r="X398" s="25" t="str">
        <f>IFERROR(VLOOKUP(C_Ope_005[[#This Row],[nota_2]],Clientes_Proveedores[[Ruc / Dni]:[Razon Social]],2,0),"")</f>
        <v>COVISUR S.A.</v>
      </c>
      <c r="Y398" s="25" t="s">
        <v>7888</v>
      </c>
      <c r="Z398" s="103"/>
      <c r="AA398" s="3" t="str">
        <f>IF(C_Ope_005[[#This Row],[fecha]]&gt;0,TEXT(C_Ope_005[[#This Row],[fecha]],"mmmm"),0)</f>
        <v>Agosto</v>
      </c>
      <c r="AB398" s="49"/>
    </row>
    <row r="399" spans="1:28" x14ac:dyDescent="0.3">
      <c r="A399" s="2">
        <f>IF(C_Ope_005[[#This Row],[tipo_r]]="R",COUNTIFS($C$1:$C398,"R")+1,"")</f>
        <v>398</v>
      </c>
      <c r="B399" s="19" t="str">
        <f t="shared" si="44"/>
        <v>C_Ope_005</v>
      </c>
      <c r="C399" s="3" t="s">
        <v>1330</v>
      </c>
      <c r="D399" s="14">
        <v>45873</v>
      </c>
      <c r="E399" s="5" t="s">
        <v>8535</v>
      </c>
      <c r="F399" s="5" t="s">
        <v>1336</v>
      </c>
      <c r="G399" s="6" t="s">
        <v>978</v>
      </c>
      <c r="H399" s="6" t="s">
        <v>68</v>
      </c>
      <c r="I399" s="6" t="s">
        <v>6203</v>
      </c>
      <c r="J399" s="6">
        <v>2133768</v>
      </c>
      <c r="K399" s="7" t="s">
        <v>8727</v>
      </c>
      <c r="L399" s="8">
        <v>25082</v>
      </c>
      <c r="M399" s="8" t="str">
        <f t="shared" si="45"/>
        <v>PEN</v>
      </c>
      <c r="N399" s="13"/>
      <c r="O399" s="13">
        <v>8</v>
      </c>
      <c r="P399" s="3">
        <f t="shared" si="46"/>
        <v>0</v>
      </c>
      <c r="Q399" s="3">
        <f t="shared" si="47"/>
        <v>8</v>
      </c>
      <c r="R399" s="3">
        <f t="shared" si="43"/>
        <v>148.19999999999925</v>
      </c>
      <c r="S399" s="24" t="s">
        <v>1334</v>
      </c>
      <c r="T399" s="24" t="s">
        <v>1334</v>
      </c>
      <c r="U399" s="3"/>
      <c r="V399" s="25" t="s">
        <v>7756</v>
      </c>
      <c r="W399" s="25">
        <v>20517252558</v>
      </c>
      <c r="X399" s="25" t="str">
        <f>IFERROR(VLOOKUP(C_Ope_005[[#This Row],[nota_2]],Clientes_Proveedores[[Ruc / Dni]:[Razon Social]],2,0),"")</f>
        <v>COVISUR S.A.</v>
      </c>
      <c r="Y399" s="25" t="s">
        <v>7888</v>
      </c>
      <c r="Z399" s="103"/>
      <c r="AA399" s="3" t="str">
        <f>IF(C_Ope_005[[#This Row],[fecha]]&gt;0,TEXT(C_Ope_005[[#This Row],[fecha]],"mmmm"),0)</f>
        <v>Agosto</v>
      </c>
      <c r="AB399" s="49"/>
    </row>
    <row r="400" spans="1:28" ht="36" x14ac:dyDescent="0.3">
      <c r="A400" s="2">
        <f>IF(C_Ope_005[[#This Row],[tipo_r]]="R",COUNTIFS($C$1:$C399,"R")+1,"")</f>
        <v>399</v>
      </c>
      <c r="B400" s="19" t="str">
        <f t="shared" si="44"/>
        <v>C_Ope_005</v>
      </c>
      <c r="C400" s="3" t="s">
        <v>1330</v>
      </c>
      <c r="D400" s="14">
        <v>45873</v>
      </c>
      <c r="E400" s="5" t="s">
        <v>8535</v>
      </c>
      <c r="F400" s="5" t="s">
        <v>1336</v>
      </c>
      <c r="G400" s="6" t="s">
        <v>227</v>
      </c>
      <c r="H400" s="6" t="s">
        <v>68</v>
      </c>
      <c r="I400" s="6" t="s">
        <v>1390</v>
      </c>
      <c r="J400" s="6">
        <v>135037</v>
      </c>
      <c r="K400" s="7" t="s">
        <v>8728</v>
      </c>
      <c r="L400" s="8">
        <v>25083</v>
      </c>
      <c r="M400" s="8" t="str">
        <f t="shared" si="45"/>
        <v>PEN</v>
      </c>
      <c r="N400" s="13"/>
      <c r="O400" s="13">
        <v>10</v>
      </c>
      <c r="P400" s="3">
        <f t="shared" si="46"/>
        <v>0</v>
      </c>
      <c r="Q400" s="3">
        <f t="shared" si="47"/>
        <v>10</v>
      </c>
      <c r="R400" s="3">
        <f t="shared" si="43"/>
        <v>138.19999999999925</v>
      </c>
      <c r="S400" s="24" t="s">
        <v>1334</v>
      </c>
      <c r="T400" s="24" t="s">
        <v>1334</v>
      </c>
      <c r="U400" s="3"/>
      <c r="V400" s="25" t="s">
        <v>7756</v>
      </c>
      <c r="W400" s="25">
        <v>20124952850</v>
      </c>
      <c r="X400" s="25" t="str">
        <f>IFERROR(VLOOKUP(C_Ope_005[[#This Row],[nota_2]],Clientes_Proveedores[[Ruc / Dni]:[Razon Social]],2,0),"")</f>
        <v>ALIMENTOS Y SERVICIOS AGROPECUARIOS SRL.</v>
      </c>
      <c r="Y400" s="25" t="s">
        <v>5933</v>
      </c>
      <c r="Z400" s="103"/>
      <c r="AA400" s="3" t="str">
        <f>IF(C_Ope_005[[#This Row],[fecha]]&gt;0,TEXT(C_Ope_005[[#This Row],[fecha]],"mmmm"),0)</f>
        <v>Agosto</v>
      </c>
      <c r="AB400" s="49"/>
    </row>
    <row r="401" spans="1:28" x14ac:dyDescent="0.3">
      <c r="A401" s="2">
        <f>IF(C_Ope_005[[#This Row],[tipo_r]]="R",COUNTIFS($C$1:$C400,"R")+1,"")</f>
        <v>400</v>
      </c>
      <c r="B401" s="19" t="str">
        <f t="shared" si="44"/>
        <v>C_Ope_005</v>
      </c>
      <c r="C401" s="3" t="s">
        <v>1330</v>
      </c>
      <c r="D401" s="14">
        <v>45874</v>
      </c>
      <c r="E401" s="5" t="s">
        <v>8535</v>
      </c>
      <c r="F401" s="5" t="s">
        <v>1336</v>
      </c>
      <c r="G401" s="6" t="s">
        <v>978</v>
      </c>
      <c r="H401" s="6" t="s">
        <v>68</v>
      </c>
      <c r="I401" s="6" t="s">
        <v>6204</v>
      </c>
      <c r="J401" s="6">
        <v>1803532</v>
      </c>
      <c r="K401" s="7" t="s">
        <v>8729</v>
      </c>
      <c r="L401" s="8">
        <v>25096</v>
      </c>
      <c r="M401" s="8" t="str">
        <f t="shared" si="45"/>
        <v>PEN</v>
      </c>
      <c r="N401" s="13"/>
      <c r="O401" s="13">
        <v>8</v>
      </c>
      <c r="P401" s="3">
        <f t="shared" si="46"/>
        <v>0</v>
      </c>
      <c r="Q401" s="3">
        <f t="shared" si="47"/>
        <v>8</v>
      </c>
      <c r="R401" s="3">
        <f t="shared" si="43"/>
        <v>130.19999999999925</v>
      </c>
      <c r="S401" s="24" t="s">
        <v>1334</v>
      </c>
      <c r="T401" s="24" t="s">
        <v>1334</v>
      </c>
      <c r="U401" s="3"/>
      <c r="V401" s="25" t="s">
        <v>7756</v>
      </c>
      <c r="W401" s="25">
        <v>20517252558</v>
      </c>
      <c r="X401" s="25" t="str">
        <f>IFERROR(VLOOKUP(C_Ope_005[[#This Row],[nota_2]],Clientes_Proveedores[[Ruc / Dni]:[Razon Social]],2,0),"")</f>
        <v>COVISUR S.A.</v>
      </c>
      <c r="Y401" s="25" t="s">
        <v>7888</v>
      </c>
      <c r="Z401" s="103"/>
      <c r="AA401" s="3" t="str">
        <f>IF(C_Ope_005[[#This Row],[fecha]]&gt;0,TEXT(C_Ope_005[[#This Row],[fecha]],"mmmm"),0)</f>
        <v>Agosto</v>
      </c>
      <c r="AB401" s="49"/>
    </row>
    <row r="402" spans="1:28" x14ac:dyDescent="0.3">
      <c r="A402" s="2">
        <f>IF(C_Ope_005[[#This Row],[tipo_r]]="R",COUNTIFS($C$1:$C401,"R")+1,"")</f>
        <v>401</v>
      </c>
      <c r="B402" s="19" t="str">
        <f t="shared" si="44"/>
        <v>C_Ope_005</v>
      </c>
      <c r="C402" s="3" t="s">
        <v>1330</v>
      </c>
      <c r="D402" s="14">
        <v>45874</v>
      </c>
      <c r="E402" s="5" t="s">
        <v>8535</v>
      </c>
      <c r="F402" s="5" t="s">
        <v>1336</v>
      </c>
      <c r="G402" s="6" t="s">
        <v>978</v>
      </c>
      <c r="H402" s="6" t="s">
        <v>68</v>
      </c>
      <c r="I402" s="6" t="s">
        <v>6203</v>
      </c>
      <c r="J402" s="6">
        <v>2134731</v>
      </c>
      <c r="K402" s="7" t="s">
        <v>8729</v>
      </c>
      <c r="L402" s="8">
        <v>25097</v>
      </c>
      <c r="M402" s="8" t="str">
        <f t="shared" si="45"/>
        <v>PEN</v>
      </c>
      <c r="N402" s="13"/>
      <c r="O402" s="13">
        <v>8</v>
      </c>
      <c r="P402" s="3">
        <f t="shared" si="46"/>
        <v>0</v>
      </c>
      <c r="Q402" s="3">
        <f t="shared" si="47"/>
        <v>8</v>
      </c>
      <c r="R402" s="3">
        <f t="shared" si="43"/>
        <v>122.19999999999925</v>
      </c>
      <c r="S402" s="24" t="s">
        <v>1334</v>
      </c>
      <c r="T402" s="24" t="s">
        <v>1334</v>
      </c>
      <c r="U402" s="3"/>
      <c r="V402" s="25" t="s">
        <v>7756</v>
      </c>
      <c r="W402" s="25">
        <v>20517252558</v>
      </c>
      <c r="X402" s="25" t="str">
        <f>IFERROR(VLOOKUP(C_Ope_005[[#This Row],[nota_2]],Clientes_Proveedores[[Ruc / Dni]:[Razon Social]],2,0),"")</f>
        <v>COVISUR S.A.</v>
      </c>
      <c r="Y402" s="25" t="s">
        <v>7888</v>
      </c>
      <c r="Z402" s="103"/>
      <c r="AA402" s="3" t="str">
        <f>IF(C_Ope_005[[#This Row],[fecha]]&gt;0,TEXT(C_Ope_005[[#This Row],[fecha]],"mmmm"),0)</f>
        <v>Agosto</v>
      </c>
      <c r="AB402" s="49"/>
    </row>
    <row r="403" spans="1:28" ht="36" x14ac:dyDescent="0.3">
      <c r="A403" s="2">
        <f>IF(C_Ope_005[[#This Row],[tipo_r]]="R",COUNTIFS($C$1:$C402,"R")+1,"")</f>
        <v>402</v>
      </c>
      <c r="B403" s="19" t="str">
        <f t="shared" si="44"/>
        <v>C_Ope_005</v>
      </c>
      <c r="C403" s="3" t="s">
        <v>1330</v>
      </c>
      <c r="D403" s="14">
        <v>45874</v>
      </c>
      <c r="E403" s="5" t="s">
        <v>8535</v>
      </c>
      <c r="F403" s="5" t="s">
        <v>1336</v>
      </c>
      <c r="G403" s="6" t="s">
        <v>682</v>
      </c>
      <c r="H403" s="6" t="s">
        <v>68</v>
      </c>
      <c r="I403" s="6" t="s">
        <v>1343</v>
      </c>
      <c r="J403" s="6">
        <v>35294</v>
      </c>
      <c r="K403" s="7" t="s">
        <v>8730</v>
      </c>
      <c r="L403" s="8">
        <v>25098</v>
      </c>
      <c r="M403" s="8" t="str">
        <f t="shared" si="45"/>
        <v>PEN</v>
      </c>
      <c r="N403" s="13"/>
      <c r="O403" s="13">
        <v>10</v>
      </c>
      <c r="P403" s="3">
        <f t="shared" si="46"/>
        <v>0</v>
      </c>
      <c r="Q403" s="3">
        <f t="shared" si="47"/>
        <v>10</v>
      </c>
      <c r="R403" s="3">
        <f t="shared" si="43"/>
        <v>112.19999999999925</v>
      </c>
      <c r="S403" s="24" t="s">
        <v>1334</v>
      </c>
      <c r="T403" s="24" t="s">
        <v>1334</v>
      </c>
      <c r="U403" s="3"/>
      <c r="V403" s="25" t="s">
        <v>7756</v>
      </c>
      <c r="W403" s="25">
        <v>20259858934</v>
      </c>
      <c r="X403" s="25" t="str">
        <f>IFERROR(VLOOKUP(C_Ope_005[[#This Row],[nota_2]],Clientes_Proveedores[[Ruc / Dni]:[Razon Social]],2,0),"")</f>
        <v>COMERCIALIZACION Y SERVICIOS EL EDEN S.A.C.</v>
      </c>
      <c r="Y403" s="25" t="s">
        <v>5933</v>
      </c>
      <c r="Z403" s="103"/>
      <c r="AA403" s="3" t="str">
        <f>IF(C_Ope_005[[#This Row],[fecha]]&gt;0,TEXT(C_Ope_005[[#This Row],[fecha]],"mmmm"),0)</f>
        <v>Agosto</v>
      </c>
      <c r="AB403" s="49"/>
    </row>
    <row r="404" spans="1:28" ht="36" x14ac:dyDescent="0.3">
      <c r="A404" s="2">
        <f>IF(C_Ope_005[[#This Row],[tipo_r]]="R",COUNTIFS($C$1:$C403,"R")+1,"")</f>
        <v>403</v>
      </c>
      <c r="B404" s="19" t="str">
        <f t="shared" si="44"/>
        <v>C_Ope_005</v>
      </c>
      <c r="C404" s="3" t="s">
        <v>1330</v>
      </c>
      <c r="D404" s="14">
        <v>45874</v>
      </c>
      <c r="E404" s="5" t="s">
        <v>8535</v>
      </c>
      <c r="F404" s="5" t="s">
        <v>1336</v>
      </c>
      <c r="G404" s="6" t="s">
        <v>682</v>
      </c>
      <c r="H404" s="6" t="s">
        <v>68</v>
      </c>
      <c r="I404" s="6" t="s">
        <v>1343</v>
      </c>
      <c r="J404" s="6">
        <v>35295</v>
      </c>
      <c r="K404" s="7" t="s">
        <v>8731</v>
      </c>
      <c r="L404" s="8">
        <v>25099</v>
      </c>
      <c r="M404" s="8" t="str">
        <f t="shared" si="45"/>
        <v>PEN</v>
      </c>
      <c r="N404" s="13"/>
      <c r="O404" s="13">
        <v>10</v>
      </c>
      <c r="P404" s="3">
        <f t="shared" si="46"/>
        <v>0</v>
      </c>
      <c r="Q404" s="3">
        <f t="shared" si="47"/>
        <v>10</v>
      </c>
      <c r="R404" s="3">
        <f t="shared" si="43"/>
        <v>102.19999999999925</v>
      </c>
      <c r="S404" s="24" t="s">
        <v>1334</v>
      </c>
      <c r="T404" s="24" t="s">
        <v>1334</v>
      </c>
      <c r="U404" s="3"/>
      <c r="V404" s="25" t="s">
        <v>7756</v>
      </c>
      <c r="W404" s="25">
        <v>20259858934</v>
      </c>
      <c r="X404" s="25" t="str">
        <f>IFERROR(VLOOKUP(C_Ope_005[[#This Row],[nota_2]],Clientes_Proveedores[[Ruc / Dni]:[Razon Social]],2,0),"")</f>
        <v>COMERCIALIZACION Y SERVICIOS EL EDEN S.A.C.</v>
      </c>
      <c r="Y404" s="25" t="s">
        <v>5933</v>
      </c>
      <c r="Z404" s="103"/>
      <c r="AA404" s="3" t="str">
        <f>IF(C_Ope_005[[#This Row],[fecha]]&gt;0,TEXT(C_Ope_005[[#This Row],[fecha]],"mmmm"),0)</f>
        <v>Agosto</v>
      </c>
      <c r="AB404" s="49"/>
    </row>
    <row r="405" spans="1:28" x14ac:dyDescent="0.3">
      <c r="A405" s="2">
        <f>IF(C_Ope_005[[#This Row],[tipo_r]]="R",COUNTIFS($C$1:$C404,"R")+1,"")</f>
        <v>404</v>
      </c>
      <c r="B405" s="19" t="str">
        <f t="shared" si="44"/>
        <v>C_Ope_005</v>
      </c>
      <c r="C405" s="3" t="s">
        <v>1330</v>
      </c>
      <c r="D405" s="14">
        <v>45876</v>
      </c>
      <c r="E405" s="5" t="s">
        <v>8535</v>
      </c>
      <c r="F405" s="5" t="s">
        <v>1336</v>
      </c>
      <c r="G405" s="6" t="s">
        <v>978</v>
      </c>
      <c r="H405" s="6" t="s">
        <v>68</v>
      </c>
      <c r="I405" s="6" t="s">
        <v>6204</v>
      </c>
      <c r="J405" s="6">
        <v>1805058</v>
      </c>
      <c r="K405" s="7" t="s">
        <v>8732</v>
      </c>
      <c r="L405" s="8">
        <v>25104</v>
      </c>
      <c r="M405" s="8" t="str">
        <f t="shared" si="45"/>
        <v>PEN</v>
      </c>
      <c r="N405" s="13"/>
      <c r="O405" s="13">
        <v>8</v>
      </c>
      <c r="P405" s="3">
        <f t="shared" si="46"/>
        <v>0</v>
      </c>
      <c r="Q405" s="3">
        <f t="shared" si="47"/>
        <v>8</v>
      </c>
      <c r="R405" s="3">
        <f t="shared" si="43"/>
        <v>94.19999999999925</v>
      </c>
      <c r="S405" s="24" t="s">
        <v>1334</v>
      </c>
      <c r="T405" s="24" t="s">
        <v>1334</v>
      </c>
      <c r="U405" s="3"/>
      <c r="V405" s="25" t="s">
        <v>7842</v>
      </c>
      <c r="W405" s="25">
        <v>20517252558</v>
      </c>
      <c r="X405" s="25" t="str">
        <f>IFERROR(VLOOKUP(C_Ope_005[[#This Row],[nota_2]],Clientes_Proveedores[[Ruc / Dni]:[Razon Social]],2,0),"")</f>
        <v>COVISUR S.A.</v>
      </c>
      <c r="Y405" s="25" t="s">
        <v>7888</v>
      </c>
      <c r="Z405" s="103"/>
      <c r="AA405" s="3" t="str">
        <f>IF(C_Ope_005[[#This Row],[fecha]]&gt;0,TEXT(C_Ope_005[[#This Row],[fecha]],"mmmm"),0)</f>
        <v>Agosto</v>
      </c>
      <c r="AB405" s="49"/>
    </row>
    <row r="406" spans="1:28" x14ac:dyDescent="0.3">
      <c r="A406" s="2">
        <f>IF(C_Ope_005[[#This Row],[tipo_r]]="R",COUNTIFS($C$1:$C405,"R")+1,"")</f>
        <v>405</v>
      </c>
      <c r="B406" s="19" t="str">
        <f t="shared" si="44"/>
        <v>C_Ope_005</v>
      </c>
      <c r="C406" s="3" t="s">
        <v>1330</v>
      </c>
      <c r="D406" s="14">
        <v>45876</v>
      </c>
      <c r="E406" s="5" t="s">
        <v>8535</v>
      </c>
      <c r="F406" s="5" t="s">
        <v>1336</v>
      </c>
      <c r="G406" s="6" t="s">
        <v>978</v>
      </c>
      <c r="H406" s="6" t="s">
        <v>68</v>
      </c>
      <c r="I406" s="6" t="s">
        <v>5845</v>
      </c>
      <c r="J406" s="6">
        <v>1825546</v>
      </c>
      <c r="K406" s="7" t="s">
        <v>8732</v>
      </c>
      <c r="L406" s="8">
        <v>25105</v>
      </c>
      <c r="M406" s="8" t="str">
        <f t="shared" si="45"/>
        <v>PEN</v>
      </c>
      <c r="N406" s="13"/>
      <c r="O406" s="13">
        <v>8</v>
      </c>
      <c r="P406" s="3">
        <f t="shared" si="46"/>
        <v>0</v>
      </c>
      <c r="Q406" s="3">
        <f t="shared" si="47"/>
        <v>8</v>
      </c>
      <c r="R406" s="3">
        <f t="shared" si="43"/>
        <v>86.19999999999925</v>
      </c>
      <c r="S406" s="24" t="s">
        <v>1334</v>
      </c>
      <c r="T406" s="24" t="s">
        <v>1334</v>
      </c>
      <c r="U406" s="3"/>
      <c r="V406" s="25" t="s">
        <v>7842</v>
      </c>
      <c r="W406" s="25">
        <v>20517252558</v>
      </c>
      <c r="X406" s="25" t="str">
        <f>IFERROR(VLOOKUP(C_Ope_005[[#This Row],[nota_2]],Clientes_Proveedores[[Ruc / Dni]:[Razon Social]],2,0),"")</f>
        <v>COVISUR S.A.</v>
      </c>
      <c r="Y406" s="25" t="s">
        <v>7888</v>
      </c>
      <c r="Z406" s="103"/>
      <c r="AA406" s="3" t="str">
        <f>IF(C_Ope_005[[#This Row],[fecha]]&gt;0,TEXT(C_Ope_005[[#This Row],[fecha]],"mmmm"),0)</f>
        <v>Agosto</v>
      </c>
      <c r="AB406" s="49"/>
    </row>
    <row r="407" spans="1:28" x14ac:dyDescent="0.3">
      <c r="A407" s="2">
        <f>IF(C_Ope_005[[#This Row],[tipo_r]]="R",COUNTIFS($C$1:$C406,"R")+1,"")</f>
        <v>406</v>
      </c>
      <c r="B407" s="19" t="str">
        <f t="shared" si="44"/>
        <v>C_Ope_005</v>
      </c>
      <c r="C407" s="3" t="s">
        <v>1330</v>
      </c>
      <c r="D407" s="14">
        <v>45877</v>
      </c>
      <c r="E407" s="5" t="s">
        <v>8535</v>
      </c>
      <c r="F407" s="5" t="s">
        <v>1336</v>
      </c>
      <c r="G407" s="6" t="s">
        <v>978</v>
      </c>
      <c r="H407" s="6" t="s">
        <v>68</v>
      </c>
      <c r="I407" s="6" t="s">
        <v>6204</v>
      </c>
      <c r="J407" s="6">
        <v>1806246</v>
      </c>
      <c r="K407" s="7" t="s">
        <v>8733</v>
      </c>
      <c r="L407" s="8">
        <v>25113</v>
      </c>
      <c r="M407" s="8" t="str">
        <f t="shared" si="45"/>
        <v>PEN</v>
      </c>
      <c r="N407" s="13"/>
      <c r="O407" s="13">
        <v>8</v>
      </c>
      <c r="P407" s="3">
        <f t="shared" si="46"/>
        <v>0</v>
      </c>
      <c r="Q407" s="3">
        <f t="shared" si="47"/>
        <v>8</v>
      </c>
      <c r="R407" s="3">
        <f t="shared" si="43"/>
        <v>78.19999999999925</v>
      </c>
      <c r="S407" s="24" t="s">
        <v>1334</v>
      </c>
      <c r="T407" s="24" t="s">
        <v>1334</v>
      </c>
      <c r="U407" s="3"/>
      <c r="V407" s="25" t="s">
        <v>7842</v>
      </c>
      <c r="W407" s="25">
        <v>20517252558</v>
      </c>
      <c r="X407" s="25" t="str">
        <f>IFERROR(VLOOKUP(C_Ope_005[[#This Row],[nota_2]],Clientes_Proveedores[[Ruc / Dni]:[Razon Social]],2,0),"")</f>
        <v>COVISUR S.A.</v>
      </c>
      <c r="Y407" s="25" t="s">
        <v>7888</v>
      </c>
      <c r="Z407" s="103"/>
      <c r="AA407" s="3" t="str">
        <f>IF(C_Ope_005[[#This Row],[fecha]]&gt;0,TEXT(C_Ope_005[[#This Row],[fecha]],"mmmm"),0)</f>
        <v>Agosto</v>
      </c>
      <c r="AB407" s="49"/>
    </row>
    <row r="408" spans="1:28" x14ac:dyDescent="0.3">
      <c r="A408" s="2">
        <f>IF(C_Ope_005[[#This Row],[tipo_r]]="R",COUNTIFS($C$1:$C407,"R")+1,"")</f>
        <v>407</v>
      </c>
      <c r="B408" s="19" t="str">
        <f t="shared" si="44"/>
        <v>C_Ope_005</v>
      </c>
      <c r="C408" s="3" t="s">
        <v>1330</v>
      </c>
      <c r="D408" s="14">
        <v>45877</v>
      </c>
      <c r="E408" s="5" t="s">
        <v>8535</v>
      </c>
      <c r="F408" s="5" t="s">
        <v>1336</v>
      </c>
      <c r="G408" s="6" t="s">
        <v>978</v>
      </c>
      <c r="H408" s="6" t="s">
        <v>68</v>
      </c>
      <c r="I408" s="6" t="s">
        <v>5845</v>
      </c>
      <c r="J408" s="6">
        <v>1826615</v>
      </c>
      <c r="K408" s="7" t="s">
        <v>8733</v>
      </c>
      <c r="L408" s="8">
        <v>25114</v>
      </c>
      <c r="M408" s="8" t="str">
        <f t="shared" si="45"/>
        <v>PEN</v>
      </c>
      <c r="N408" s="13"/>
      <c r="O408" s="13">
        <v>8</v>
      </c>
      <c r="P408" s="3">
        <f t="shared" si="46"/>
        <v>0</v>
      </c>
      <c r="Q408" s="3">
        <f t="shared" si="47"/>
        <v>8</v>
      </c>
      <c r="R408" s="3">
        <f t="shared" si="43"/>
        <v>70.19999999999925</v>
      </c>
      <c r="S408" s="24" t="s">
        <v>1334</v>
      </c>
      <c r="T408" s="24" t="s">
        <v>1334</v>
      </c>
      <c r="U408" s="3"/>
      <c r="V408" s="25" t="s">
        <v>7842</v>
      </c>
      <c r="W408" s="25">
        <v>20517252558</v>
      </c>
      <c r="X408" s="25" t="str">
        <f>IFERROR(VLOOKUP(C_Ope_005[[#This Row],[nota_2]],Clientes_Proveedores[[Ruc / Dni]:[Razon Social]],2,0),"")</f>
        <v>COVISUR S.A.</v>
      </c>
      <c r="Y408" s="25" t="s">
        <v>7888</v>
      </c>
      <c r="Z408" s="103"/>
      <c r="AA408" s="3" t="str">
        <f>IF(C_Ope_005[[#This Row],[fecha]]&gt;0,TEXT(C_Ope_005[[#This Row],[fecha]],"mmmm"),0)</f>
        <v>Agosto</v>
      </c>
      <c r="AB408" s="49"/>
    </row>
    <row r="409" spans="1:28" ht="24" x14ac:dyDescent="0.3">
      <c r="A409" s="2">
        <f>IF(C_Ope_005[[#This Row],[tipo_r]]="R",COUNTIFS($C$1:$C408,"R")+1,"")</f>
        <v>408</v>
      </c>
      <c r="B409" s="19" t="str">
        <f t="shared" ref="B409:B417" si="48">"C_Ope_005"</f>
        <v>C_Ope_005</v>
      </c>
      <c r="C409" s="3" t="s">
        <v>1330</v>
      </c>
      <c r="D409" s="14">
        <v>45880</v>
      </c>
      <c r="E409" s="5" t="s">
        <v>8535</v>
      </c>
      <c r="F409" s="5" t="s">
        <v>1336</v>
      </c>
      <c r="G409" s="6" t="s">
        <v>978</v>
      </c>
      <c r="H409" s="6" t="s">
        <v>68</v>
      </c>
      <c r="I409" s="6" t="s">
        <v>5688</v>
      </c>
      <c r="J409" s="6">
        <v>2430798</v>
      </c>
      <c r="K409" s="7" t="s">
        <v>8734</v>
      </c>
      <c r="L409" s="8">
        <v>25123</v>
      </c>
      <c r="M409" s="8" t="str">
        <f t="shared" ref="M409:M417" si="49">"PEN"</f>
        <v>PEN</v>
      </c>
      <c r="N409" s="13"/>
      <c r="O409" s="13">
        <v>8</v>
      </c>
      <c r="P409" s="3">
        <f t="shared" ref="P409:P417" si="50">+IF(OR($F409="SALDO",$F409="INGRESO"),$O409,0)</f>
        <v>0</v>
      </c>
      <c r="Q409" s="3">
        <f t="shared" ref="Q409:Q417" si="51">+IF($F409="EGRESO",$O409,0)</f>
        <v>8</v>
      </c>
      <c r="R409" s="3">
        <f t="shared" si="43"/>
        <v>62.19999999999925</v>
      </c>
      <c r="S409" s="24" t="s">
        <v>1334</v>
      </c>
      <c r="T409" s="24" t="s">
        <v>1334</v>
      </c>
      <c r="U409" s="3"/>
      <c r="V409" s="25" t="s">
        <v>7842</v>
      </c>
      <c r="W409" s="25">
        <v>20517252558</v>
      </c>
      <c r="X409" s="25" t="str">
        <f>IFERROR(VLOOKUP(C_Ope_005[[#This Row],[nota_2]],Clientes_Proveedores[[Ruc / Dni]:[Razon Social]],2,0),"")</f>
        <v>COVISUR S.A.</v>
      </c>
      <c r="Y409" s="25" t="s">
        <v>7888</v>
      </c>
      <c r="Z409" s="103"/>
      <c r="AA409" s="3" t="str">
        <f>IF(C_Ope_005[[#This Row],[fecha]]&gt;0,TEXT(C_Ope_005[[#This Row],[fecha]],"mmmm"),0)</f>
        <v>Agosto</v>
      </c>
      <c r="AB409" s="49"/>
    </row>
    <row r="410" spans="1:28" ht="24" x14ac:dyDescent="0.3">
      <c r="A410" s="2">
        <f>IF(C_Ope_005[[#This Row],[tipo_r]]="R",COUNTIFS($C$1:$C409,"R")+1,"")</f>
        <v>409</v>
      </c>
      <c r="B410" s="19" t="str">
        <f t="shared" si="48"/>
        <v>C_Ope_005</v>
      </c>
      <c r="C410" s="3" t="s">
        <v>1330</v>
      </c>
      <c r="D410" s="14">
        <v>45880</v>
      </c>
      <c r="E410" s="5" t="s">
        <v>8535</v>
      </c>
      <c r="F410" s="5" t="s">
        <v>1336</v>
      </c>
      <c r="G410" s="6" t="s">
        <v>978</v>
      </c>
      <c r="H410" s="6" t="s">
        <v>68</v>
      </c>
      <c r="I410" s="6" t="s">
        <v>6203</v>
      </c>
      <c r="J410" s="6">
        <v>2141309</v>
      </c>
      <c r="K410" s="7" t="s">
        <v>8734</v>
      </c>
      <c r="L410" s="8">
        <v>25124</v>
      </c>
      <c r="M410" s="8" t="str">
        <f t="shared" si="49"/>
        <v>PEN</v>
      </c>
      <c r="N410" s="13"/>
      <c r="O410" s="13">
        <v>8</v>
      </c>
      <c r="P410" s="3">
        <f t="shared" si="50"/>
        <v>0</v>
      </c>
      <c r="Q410" s="3">
        <f t="shared" si="51"/>
        <v>8</v>
      </c>
      <c r="R410" s="3">
        <f t="shared" si="43"/>
        <v>54.19999999999925</v>
      </c>
      <c r="S410" s="24" t="s">
        <v>1334</v>
      </c>
      <c r="T410" s="24" t="s">
        <v>1334</v>
      </c>
      <c r="U410" s="3"/>
      <c r="V410" s="25" t="s">
        <v>7842</v>
      </c>
      <c r="W410" s="25">
        <v>20517252558</v>
      </c>
      <c r="X410" s="25" t="str">
        <f>IFERROR(VLOOKUP(C_Ope_005[[#This Row],[nota_2]],Clientes_Proveedores[[Ruc / Dni]:[Razon Social]],2,0),"")</f>
        <v>COVISUR S.A.</v>
      </c>
      <c r="Y410" s="25" t="s">
        <v>7888</v>
      </c>
      <c r="Z410" s="103"/>
      <c r="AA410" s="3" t="str">
        <f>IF(C_Ope_005[[#This Row],[fecha]]&gt;0,TEXT(C_Ope_005[[#This Row],[fecha]],"mmmm"),0)</f>
        <v>Agosto</v>
      </c>
      <c r="AB410" s="49"/>
    </row>
    <row r="411" spans="1:28" ht="36" x14ac:dyDescent="0.3">
      <c r="A411" s="2">
        <f>IF(C_Ope_005[[#This Row],[tipo_r]]="R",COUNTIFS($C$1:$C410,"R")+1,"")</f>
        <v>410</v>
      </c>
      <c r="B411" s="19" t="str">
        <f t="shared" si="48"/>
        <v>C_Ope_005</v>
      </c>
      <c r="C411" s="3" t="s">
        <v>1330</v>
      </c>
      <c r="D411" s="14">
        <v>45880</v>
      </c>
      <c r="E411" s="5" t="s">
        <v>8535</v>
      </c>
      <c r="F411" s="5" t="s">
        <v>1336</v>
      </c>
      <c r="G411" s="6" t="s">
        <v>682</v>
      </c>
      <c r="H411" s="6" t="s">
        <v>68</v>
      </c>
      <c r="I411" s="6" t="s">
        <v>1353</v>
      </c>
      <c r="J411" s="6">
        <v>17300</v>
      </c>
      <c r="K411" s="7" t="s">
        <v>8735</v>
      </c>
      <c r="L411" s="8">
        <v>25125</v>
      </c>
      <c r="M411" s="8" t="str">
        <f t="shared" si="49"/>
        <v>PEN</v>
      </c>
      <c r="N411" s="13"/>
      <c r="O411" s="13">
        <v>20</v>
      </c>
      <c r="P411" s="3">
        <f t="shared" si="50"/>
        <v>0</v>
      </c>
      <c r="Q411" s="3">
        <f t="shared" si="51"/>
        <v>20</v>
      </c>
      <c r="R411" s="3">
        <f t="shared" si="43"/>
        <v>34.19999999999925</v>
      </c>
      <c r="S411" s="24" t="s">
        <v>1334</v>
      </c>
      <c r="T411" s="24" t="s">
        <v>1334</v>
      </c>
      <c r="U411" s="3"/>
      <c r="V411" s="25" t="s">
        <v>7842</v>
      </c>
      <c r="W411" s="25">
        <v>20259858934</v>
      </c>
      <c r="X411" s="25" t="str">
        <f>IFERROR(VLOOKUP(C_Ope_005[[#This Row],[nota_2]],Clientes_Proveedores[[Ruc / Dni]:[Razon Social]],2,0),"")</f>
        <v>COMERCIALIZACION Y SERVICIOS EL EDEN S.A.C.</v>
      </c>
      <c r="Y411" s="25" t="s">
        <v>5933</v>
      </c>
      <c r="Z411" s="103"/>
      <c r="AA411" s="3" t="str">
        <f>IF(C_Ope_005[[#This Row],[fecha]]&gt;0,TEXT(C_Ope_005[[#This Row],[fecha]],"mmmm"),0)</f>
        <v>Agosto</v>
      </c>
      <c r="AB411" s="49"/>
    </row>
    <row r="412" spans="1:28" ht="24" x14ac:dyDescent="0.3">
      <c r="A412" s="2">
        <f>IF(C_Ope_005[[#This Row],[tipo_r]]="R",COUNTIFS($C$1:$C411,"R")+1,"")</f>
        <v>411</v>
      </c>
      <c r="B412" s="19" t="str">
        <f t="shared" si="48"/>
        <v>C_Ope_005</v>
      </c>
      <c r="C412" s="3" t="s">
        <v>1330</v>
      </c>
      <c r="D412" s="14">
        <v>45881</v>
      </c>
      <c r="E412" s="5" t="s">
        <v>8535</v>
      </c>
      <c r="F412" s="5" t="s">
        <v>1336</v>
      </c>
      <c r="G412" s="6" t="s">
        <v>978</v>
      </c>
      <c r="H412" s="6" t="s">
        <v>68</v>
      </c>
      <c r="I412" s="6" t="s">
        <v>6204</v>
      </c>
      <c r="J412" s="6">
        <v>1809759</v>
      </c>
      <c r="K412" s="7" t="s">
        <v>8736</v>
      </c>
      <c r="L412" s="8">
        <v>25143</v>
      </c>
      <c r="M412" s="8" t="str">
        <f t="shared" si="49"/>
        <v>PEN</v>
      </c>
      <c r="N412" s="13"/>
      <c r="O412" s="13">
        <v>8</v>
      </c>
      <c r="P412" s="3">
        <f t="shared" si="50"/>
        <v>0</v>
      </c>
      <c r="Q412" s="3">
        <f t="shared" si="51"/>
        <v>8</v>
      </c>
      <c r="R412" s="3">
        <f t="shared" si="43"/>
        <v>26.19999999999925</v>
      </c>
      <c r="S412" s="24" t="s">
        <v>1334</v>
      </c>
      <c r="T412" s="24" t="s">
        <v>1334</v>
      </c>
      <c r="U412" s="3"/>
      <c r="V412" s="25" t="s">
        <v>7756</v>
      </c>
      <c r="W412" s="25">
        <v>20517252558</v>
      </c>
      <c r="X412" s="25" t="str">
        <f>IFERROR(VLOOKUP(C_Ope_005[[#This Row],[nota_2]],Clientes_Proveedores[[Ruc / Dni]:[Razon Social]],2,0),"")</f>
        <v>COVISUR S.A.</v>
      </c>
      <c r="Y412" s="25" t="s">
        <v>7888</v>
      </c>
      <c r="Z412" s="103"/>
      <c r="AA412" s="3" t="str">
        <f>IF(C_Ope_005[[#This Row],[fecha]]&gt;0,TEXT(C_Ope_005[[#This Row],[fecha]],"mmmm"),0)</f>
        <v>Agosto</v>
      </c>
      <c r="AB412" s="49"/>
    </row>
    <row r="413" spans="1:28" ht="24" x14ac:dyDescent="0.3">
      <c r="A413" s="2">
        <f>IF(C_Ope_005[[#This Row],[tipo_r]]="R",COUNTIFS($C$1:$C412,"R")+1,"")</f>
        <v>412</v>
      </c>
      <c r="B413" s="19" t="str">
        <f t="shared" si="48"/>
        <v>C_Ope_005</v>
      </c>
      <c r="C413" s="3" t="s">
        <v>1330</v>
      </c>
      <c r="D413" s="14">
        <v>45881</v>
      </c>
      <c r="E413" s="5" t="s">
        <v>8535</v>
      </c>
      <c r="F413" s="5" t="s">
        <v>1336</v>
      </c>
      <c r="G413" s="6" t="s">
        <v>978</v>
      </c>
      <c r="H413" s="6" t="s">
        <v>68</v>
      </c>
      <c r="I413" s="6" t="s">
        <v>6203</v>
      </c>
      <c r="J413" s="6">
        <v>2142323</v>
      </c>
      <c r="K413" s="7" t="s">
        <v>8736</v>
      </c>
      <c r="L413" s="8">
        <v>25144</v>
      </c>
      <c r="M413" s="8" t="str">
        <f t="shared" si="49"/>
        <v>PEN</v>
      </c>
      <c r="N413" s="13"/>
      <c r="O413" s="13">
        <v>8</v>
      </c>
      <c r="P413" s="3">
        <f t="shared" si="50"/>
        <v>0</v>
      </c>
      <c r="Q413" s="3">
        <f t="shared" si="51"/>
        <v>8</v>
      </c>
      <c r="R413" s="3">
        <f t="shared" si="43"/>
        <v>18.19999999999925</v>
      </c>
      <c r="S413" s="24" t="s">
        <v>1334</v>
      </c>
      <c r="T413" s="24" t="s">
        <v>1334</v>
      </c>
      <c r="U413" s="3"/>
      <c r="V413" s="25" t="s">
        <v>7756</v>
      </c>
      <c r="W413" s="25">
        <v>20517252558</v>
      </c>
      <c r="X413" s="25" t="str">
        <f>IFERROR(VLOOKUP(C_Ope_005[[#This Row],[nota_2]],Clientes_Proveedores[[Ruc / Dni]:[Razon Social]],2,0),"")</f>
        <v>COVISUR S.A.</v>
      </c>
      <c r="Y413" s="25" t="s">
        <v>7888</v>
      </c>
      <c r="Z413" s="103"/>
      <c r="AA413" s="3" t="str">
        <f>IF(C_Ope_005[[#This Row],[fecha]]&gt;0,TEXT(C_Ope_005[[#This Row],[fecha]],"mmmm"),0)</f>
        <v>Agosto</v>
      </c>
      <c r="AB413" s="49"/>
    </row>
    <row r="414" spans="1:28" ht="24" x14ac:dyDescent="0.3">
      <c r="A414" s="2">
        <f>IF(C_Ope_005[[#This Row],[tipo_r]]="R",COUNTIFS($C$1:$C413,"R")+1,"")</f>
        <v>413</v>
      </c>
      <c r="B414" s="19" t="str">
        <f t="shared" si="48"/>
        <v>C_Ope_005</v>
      </c>
      <c r="C414" s="3" t="s">
        <v>1330</v>
      </c>
      <c r="D414" s="14">
        <v>45881</v>
      </c>
      <c r="E414" s="5" t="s">
        <v>8535</v>
      </c>
      <c r="F414" s="5" t="s">
        <v>1336</v>
      </c>
      <c r="G414" s="6" t="s">
        <v>999</v>
      </c>
      <c r="H414" s="6" t="s">
        <v>68</v>
      </c>
      <c r="I414" s="6" t="s">
        <v>1374</v>
      </c>
      <c r="J414" s="6">
        <v>19179</v>
      </c>
      <c r="K414" s="7" t="s">
        <v>8640</v>
      </c>
      <c r="L414" s="8">
        <v>25142</v>
      </c>
      <c r="M414" s="8" t="str">
        <f t="shared" si="49"/>
        <v>PEN</v>
      </c>
      <c r="N414" s="13"/>
      <c r="O414" s="13">
        <v>25</v>
      </c>
      <c r="P414" s="3">
        <f t="shared" si="50"/>
        <v>0</v>
      </c>
      <c r="Q414" s="3">
        <f t="shared" si="51"/>
        <v>25</v>
      </c>
      <c r="R414" s="3">
        <f t="shared" si="43"/>
        <v>-6.8000000000007503</v>
      </c>
      <c r="S414" s="24" t="s">
        <v>1334</v>
      </c>
      <c r="T414" s="24" t="s">
        <v>1334</v>
      </c>
      <c r="U414" s="3"/>
      <c r="V414" s="25" t="s">
        <v>7756</v>
      </c>
      <c r="W414" s="25">
        <v>10705628331</v>
      </c>
      <c r="X414" s="25" t="str">
        <f>IFERROR(VLOOKUP(C_Ope_005[[#This Row],[nota_2]],Clientes_Proveedores[[Ruc / Dni]:[Razon Social]],2,0),"")</f>
        <v>LARICO APAZA NANCY ROSSMARY</v>
      </c>
      <c r="Y414" s="25" t="s">
        <v>7938</v>
      </c>
      <c r="Z414" s="103"/>
      <c r="AA414" s="3" t="str">
        <f>IF(C_Ope_005[[#This Row],[fecha]]&gt;0,TEXT(C_Ope_005[[#This Row],[fecha]],"mmmm"),0)</f>
        <v>Agosto</v>
      </c>
      <c r="AB414" s="49"/>
    </row>
    <row r="415" spans="1:28" ht="24" x14ac:dyDescent="0.3">
      <c r="A415" s="2">
        <f>IF(C_Ope_005[[#This Row],[tipo_r]]="R",COUNTIFS($C$1:$C414,"R")+1,"")</f>
        <v>414</v>
      </c>
      <c r="B415" s="19" t="str">
        <f>"C_Ope_005"</f>
        <v>C_Ope_005</v>
      </c>
      <c r="C415" s="3" t="s">
        <v>1330</v>
      </c>
      <c r="D415" s="14">
        <v>45882</v>
      </c>
      <c r="E415" s="5" t="s">
        <v>7513</v>
      </c>
      <c r="F415" s="5" t="s">
        <v>1303</v>
      </c>
      <c r="G415" s="6" t="s">
        <v>957</v>
      </c>
      <c r="H415" s="6"/>
      <c r="I415" s="6"/>
      <c r="J415" s="6"/>
      <c r="K415" s="7" t="s">
        <v>8475</v>
      </c>
      <c r="L415" s="8">
        <v>25157</v>
      </c>
      <c r="M415" s="8" t="str">
        <f>"PEN"</f>
        <v>PEN</v>
      </c>
      <c r="N415" s="13"/>
      <c r="O415" s="13">
        <v>200</v>
      </c>
      <c r="P415" s="3">
        <f>+IF(OR($F415="SALDO",$F415="INGRESO"),$O415,0)</f>
        <v>200</v>
      </c>
      <c r="Q415" s="3">
        <f>+IF($F415="EGRESO",$O415,0)</f>
        <v>0</v>
      </c>
      <c r="R415" s="3">
        <f t="shared" si="43"/>
        <v>193.19999999999925</v>
      </c>
      <c r="S415" s="24" t="s">
        <v>1334</v>
      </c>
      <c r="T415" s="24" t="s">
        <v>1334</v>
      </c>
      <c r="U415" s="3"/>
      <c r="V415" s="25"/>
      <c r="W415" s="25"/>
      <c r="X415" s="25" t="str">
        <f>IFERROR(VLOOKUP(C_Ope_005[[#This Row],[nota_2]],Clientes_Proveedores[[Ruc / Dni]:[Razon Social]],2,0),"")</f>
        <v/>
      </c>
      <c r="Y415" s="25"/>
      <c r="Z415" s="103"/>
      <c r="AA415" s="3" t="str">
        <f>IF(C_Ope_005[[#This Row],[fecha]]&gt;0,TEXT(C_Ope_005[[#This Row],[fecha]],"mmmm"),0)</f>
        <v>Agosto</v>
      </c>
      <c r="AB415" s="49"/>
    </row>
    <row r="416" spans="1:28" ht="24" x14ac:dyDescent="0.3">
      <c r="A416" s="2">
        <f>IF(C_Ope_005[[#This Row],[tipo_r]]="R",COUNTIFS($C$1:$C415,"R")+1,"")</f>
        <v>415</v>
      </c>
      <c r="B416" s="19" t="str">
        <f t="shared" si="48"/>
        <v>C_Ope_005</v>
      </c>
      <c r="C416" s="3" t="s">
        <v>1330</v>
      </c>
      <c r="D416" s="14">
        <v>45882</v>
      </c>
      <c r="E416" s="5" t="s">
        <v>8535</v>
      </c>
      <c r="F416" s="5" t="s">
        <v>1336</v>
      </c>
      <c r="G416" s="6" t="s">
        <v>978</v>
      </c>
      <c r="H416" s="6" t="s">
        <v>68</v>
      </c>
      <c r="I416" s="6" t="s">
        <v>5688</v>
      </c>
      <c r="J416" s="6">
        <v>2433420</v>
      </c>
      <c r="K416" s="7" t="s">
        <v>8737</v>
      </c>
      <c r="L416" s="8">
        <v>25152</v>
      </c>
      <c r="M416" s="8" t="str">
        <f t="shared" si="49"/>
        <v>PEN</v>
      </c>
      <c r="N416" s="13"/>
      <c r="O416" s="13">
        <v>8</v>
      </c>
      <c r="P416" s="3">
        <f t="shared" si="50"/>
        <v>0</v>
      </c>
      <c r="Q416" s="3">
        <f t="shared" si="51"/>
        <v>8</v>
      </c>
      <c r="R416" s="3">
        <f t="shared" si="43"/>
        <v>185.19999999999925</v>
      </c>
      <c r="S416" s="24" t="s">
        <v>1334</v>
      </c>
      <c r="T416" s="24" t="s">
        <v>1334</v>
      </c>
      <c r="U416" s="3"/>
      <c r="V416" s="25" t="s">
        <v>7756</v>
      </c>
      <c r="W416" s="25">
        <v>20517252558</v>
      </c>
      <c r="X416" s="25" t="str">
        <f>IFERROR(VLOOKUP(C_Ope_005[[#This Row],[nota_2]],Clientes_Proveedores[[Ruc / Dni]:[Razon Social]],2,0),"")</f>
        <v>COVISUR S.A.</v>
      </c>
      <c r="Y416" s="25" t="s">
        <v>7888</v>
      </c>
      <c r="Z416" s="103"/>
      <c r="AA416" s="3" t="str">
        <f>IF(C_Ope_005[[#This Row],[fecha]]&gt;0,TEXT(C_Ope_005[[#This Row],[fecha]],"mmmm"),0)</f>
        <v>Agosto</v>
      </c>
      <c r="AB416" s="49"/>
    </row>
    <row r="417" spans="1:28" ht="24" x14ac:dyDescent="0.3">
      <c r="A417" s="2">
        <f>IF(C_Ope_005[[#This Row],[tipo_r]]="R",COUNTIFS($C$1:$C416,"R")+1,"")</f>
        <v>416</v>
      </c>
      <c r="B417" s="19" t="str">
        <f t="shared" si="48"/>
        <v>C_Ope_005</v>
      </c>
      <c r="C417" s="3" t="s">
        <v>1330</v>
      </c>
      <c r="D417" s="14">
        <v>45882</v>
      </c>
      <c r="E417" s="5" t="s">
        <v>8535</v>
      </c>
      <c r="F417" s="5" t="s">
        <v>1336</v>
      </c>
      <c r="G417" s="6" t="s">
        <v>978</v>
      </c>
      <c r="H417" s="6" t="s">
        <v>68</v>
      </c>
      <c r="I417" s="6" t="s">
        <v>6203</v>
      </c>
      <c r="J417" s="6">
        <v>2143326</v>
      </c>
      <c r="K417" s="7" t="s">
        <v>8737</v>
      </c>
      <c r="L417" s="8">
        <v>25153</v>
      </c>
      <c r="M417" s="8" t="str">
        <f t="shared" si="49"/>
        <v>PEN</v>
      </c>
      <c r="N417" s="13"/>
      <c r="O417" s="13">
        <v>8</v>
      </c>
      <c r="P417" s="3">
        <f t="shared" si="50"/>
        <v>0</v>
      </c>
      <c r="Q417" s="3">
        <f t="shared" si="51"/>
        <v>8</v>
      </c>
      <c r="R417" s="3">
        <f t="shared" si="43"/>
        <v>177.19999999999925</v>
      </c>
      <c r="S417" s="24" t="s">
        <v>1334</v>
      </c>
      <c r="T417" s="24" t="s">
        <v>1334</v>
      </c>
      <c r="U417" s="3"/>
      <c r="V417" s="25" t="s">
        <v>7756</v>
      </c>
      <c r="W417" s="25">
        <v>20517252558</v>
      </c>
      <c r="X417" s="25" t="str">
        <f>IFERROR(VLOOKUP(C_Ope_005[[#This Row],[nota_2]],Clientes_Proveedores[[Ruc / Dni]:[Razon Social]],2,0),"")</f>
        <v>COVISUR S.A.</v>
      </c>
      <c r="Y417" s="25" t="s">
        <v>7888</v>
      </c>
      <c r="Z417" s="103"/>
      <c r="AA417" s="3" t="str">
        <f>IF(C_Ope_005[[#This Row],[fecha]]&gt;0,TEXT(C_Ope_005[[#This Row],[fecha]],"mmmm"),0)</f>
        <v>Agosto</v>
      </c>
      <c r="AB417" s="49"/>
    </row>
    <row r="418" spans="1:28" x14ac:dyDescent="0.3">
      <c r="A418" s="2">
        <f>IF(C_Ope_005[[#This Row],[tipo_r]]="R",COUNTIFS($C$1:$C417,"R")+1,"")</f>
        <v>417</v>
      </c>
      <c r="B418" s="19" t="str">
        <f t="shared" ref="B418:B440" si="52">"C_Ope_005"</f>
        <v>C_Ope_005</v>
      </c>
      <c r="C418" s="3" t="s">
        <v>1330</v>
      </c>
      <c r="D418" s="14">
        <v>45887</v>
      </c>
      <c r="E418" s="5" t="s">
        <v>8535</v>
      </c>
      <c r="F418" s="5" t="s">
        <v>1336</v>
      </c>
      <c r="G418" s="6" t="s">
        <v>978</v>
      </c>
      <c r="H418" s="6" t="s">
        <v>68</v>
      </c>
      <c r="I418" s="6" t="s">
        <v>5688</v>
      </c>
      <c r="J418" s="6">
        <v>2439201</v>
      </c>
      <c r="K418" s="7" t="s">
        <v>8738</v>
      </c>
      <c r="L418" s="8">
        <v>25172</v>
      </c>
      <c r="M418" s="8" t="str">
        <f t="shared" ref="M418:M440" si="53">"PEN"</f>
        <v>PEN</v>
      </c>
      <c r="N418" s="13"/>
      <c r="O418" s="13">
        <v>8</v>
      </c>
      <c r="P418" s="3">
        <f t="shared" ref="P418:P440" si="54">+IF(OR($F418="SALDO",$F418="INGRESO"),$O418,0)</f>
        <v>0</v>
      </c>
      <c r="Q418" s="3">
        <f t="shared" ref="Q418:Q440" si="55">+IF($F418="EGRESO",$O418,0)</f>
        <v>8</v>
      </c>
      <c r="R418" s="3">
        <f t="shared" si="43"/>
        <v>169.19999999999925</v>
      </c>
      <c r="S418" s="24" t="s">
        <v>1334</v>
      </c>
      <c r="T418" s="24" t="s">
        <v>1334</v>
      </c>
      <c r="U418" s="3"/>
      <c r="V418" s="25" t="s">
        <v>7842</v>
      </c>
      <c r="W418" s="25">
        <v>20517252558</v>
      </c>
      <c r="X418" s="25" t="str">
        <f>IFERROR(VLOOKUP(C_Ope_005[[#This Row],[nota_2]],Clientes_Proveedores[[Ruc / Dni]:[Razon Social]],2,0),"")</f>
        <v>COVISUR S.A.</v>
      </c>
      <c r="Y418" s="25" t="s">
        <v>7888</v>
      </c>
      <c r="Z418" s="103"/>
      <c r="AA418" s="3" t="str">
        <f>IF(C_Ope_005[[#This Row],[fecha]]&gt;0,TEXT(C_Ope_005[[#This Row],[fecha]],"mmmm"),0)</f>
        <v>Agosto</v>
      </c>
      <c r="AB418" s="49"/>
    </row>
    <row r="419" spans="1:28" ht="36" x14ac:dyDescent="0.3">
      <c r="A419" s="2">
        <f>IF(C_Ope_005[[#This Row],[tipo_r]]="R",COUNTIFS($C$1:$C418,"R")+1,"")</f>
        <v>418</v>
      </c>
      <c r="B419" s="19" t="str">
        <f t="shared" si="52"/>
        <v>C_Ope_005</v>
      </c>
      <c r="C419" s="3" t="s">
        <v>1330</v>
      </c>
      <c r="D419" s="14">
        <v>45887</v>
      </c>
      <c r="E419" s="5" t="s">
        <v>8535</v>
      </c>
      <c r="F419" s="5" t="s">
        <v>1336</v>
      </c>
      <c r="G419" s="6" t="s">
        <v>682</v>
      </c>
      <c r="H419" s="6" t="s">
        <v>68</v>
      </c>
      <c r="I419" s="6" t="s">
        <v>1353</v>
      </c>
      <c r="J419" s="6">
        <v>17386</v>
      </c>
      <c r="K419" s="7" t="s">
        <v>8739</v>
      </c>
      <c r="L419" s="8">
        <v>25173</v>
      </c>
      <c r="M419" s="8" t="str">
        <f t="shared" si="53"/>
        <v>PEN</v>
      </c>
      <c r="N419" s="13"/>
      <c r="O419" s="13">
        <v>20</v>
      </c>
      <c r="P419" s="3">
        <f t="shared" si="54"/>
        <v>0</v>
      </c>
      <c r="Q419" s="3">
        <f t="shared" si="55"/>
        <v>20</v>
      </c>
      <c r="R419" s="3">
        <f t="shared" si="43"/>
        <v>149.19999999999925</v>
      </c>
      <c r="S419" s="24" t="s">
        <v>1334</v>
      </c>
      <c r="T419" s="24" t="s">
        <v>1334</v>
      </c>
      <c r="U419" s="3"/>
      <c r="V419" s="25" t="s">
        <v>7842</v>
      </c>
      <c r="W419" s="25">
        <v>20259858934</v>
      </c>
      <c r="X419" s="25" t="str">
        <f>IFERROR(VLOOKUP(C_Ope_005[[#This Row],[nota_2]],Clientes_Proveedores[[Ruc / Dni]:[Razon Social]],2,0),"")</f>
        <v>COMERCIALIZACION Y SERVICIOS EL EDEN S.A.C.</v>
      </c>
      <c r="Y419" s="25" t="s">
        <v>5933</v>
      </c>
      <c r="Z419" s="103"/>
      <c r="AA419" s="3" t="str">
        <f>IF(C_Ope_005[[#This Row],[fecha]]&gt;0,TEXT(C_Ope_005[[#This Row],[fecha]],"mmmm"),0)</f>
        <v>Agosto</v>
      </c>
      <c r="AB419" s="49"/>
    </row>
    <row r="420" spans="1:28" ht="24" x14ac:dyDescent="0.3">
      <c r="A420" s="2">
        <f>IF(C_Ope_005[[#This Row],[tipo_r]]="R",COUNTIFS($C$1:$C419,"R")+1,"")</f>
        <v>419</v>
      </c>
      <c r="B420" s="19" t="str">
        <f>"C_Ope_005"</f>
        <v>C_Ope_005</v>
      </c>
      <c r="C420" s="3" t="s">
        <v>1330</v>
      </c>
      <c r="D420" s="14">
        <v>45887</v>
      </c>
      <c r="E420" s="5" t="s">
        <v>7513</v>
      </c>
      <c r="F420" s="5" t="s">
        <v>1303</v>
      </c>
      <c r="G420" s="6" t="s">
        <v>957</v>
      </c>
      <c r="H420" s="6"/>
      <c r="I420" s="6"/>
      <c r="J420" s="6"/>
      <c r="K420" s="7" t="s">
        <v>8475</v>
      </c>
      <c r="L420" s="8">
        <v>25182</v>
      </c>
      <c r="M420" s="8" t="str">
        <f>"PEN"</f>
        <v>PEN</v>
      </c>
      <c r="N420" s="13"/>
      <c r="O420" s="13">
        <v>700</v>
      </c>
      <c r="P420" s="3">
        <f>+IF(OR($F420="SALDO",$F420="INGRESO"),$O420,0)</f>
        <v>700</v>
      </c>
      <c r="Q420" s="3">
        <f>+IF($F420="EGRESO",$O420,0)</f>
        <v>0</v>
      </c>
      <c r="R420" s="3">
        <f t="shared" si="43"/>
        <v>849.19999999999925</v>
      </c>
      <c r="S420" s="24" t="s">
        <v>1334</v>
      </c>
      <c r="T420" s="24" t="s">
        <v>1334</v>
      </c>
      <c r="U420" s="3"/>
      <c r="V420" s="25"/>
      <c r="W420" s="25"/>
      <c r="X420" s="25" t="str">
        <f>IFERROR(VLOOKUP(C_Ope_005[[#This Row],[nota_2]],Clientes_Proveedores[[Ruc / Dni]:[Razon Social]],2,0),"")</f>
        <v/>
      </c>
      <c r="Y420" s="25"/>
      <c r="Z420" s="103"/>
      <c r="AA420" s="3" t="str">
        <f>IF(C_Ope_005[[#This Row],[fecha]]&gt;0,TEXT(C_Ope_005[[#This Row],[fecha]],"mmmm"),0)</f>
        <v>Agosto</v>
      </c>
      <c r="AB420" s="49"/>
    </row>
    <row r="421" spans="1:28" x14ac:dyDescent="0.3">
      <c r="A421" s="2">
        <f>IF(C_Ope_005[[#This Row],[tipo_r]]="R",COUNTIFS($C$1:$C420,"R")+1,"")</f>
        <v>420</v>
      </c>
      <c r="B421" s="19" t="str">
        <f t="shared" si="52"/>
        <v>C_Ope_005</v>
      </c>
      <c r="C421" s="3" t="s">
        <v>1330</v>
      </c>
      <c r="D421" s="14">
        <v>45888</v>
      </c>
      <c r="E421" s="5" t="s">
        <v>8535</v>
      </c>
      <c r="F421" s="5" t="s">
        <v>1336</v>
      </c>
      <c r="G421" s="6" t="s">
        <v>978</v>
      </c>
      <c r="H421" s="6" t="s">
        <v>68</v>
      </c>
      <c r="I421" s="6" t="s">
        <v>5845</v>
      </c>
      <c r="J421" s="6">
        <v>1836826</v>
      </c>
      <c r="K421" s="7" t="s">
        <v>8740</v>
      </c>
      <c r="L421" s="8">
        <v>25195</v>
      </c>
      <c r="M421" s="8" t="str">
        <f t="shared" si="53"/>
        <v>PEN</v>
      </c>
      <c r="N421" s="13"/>
      <c r="O421" s="13">
        <v>8</v>
      </c>
      <c r="P421" s="3">
        <f t="shared" si="54"/>
        <v>0</v>
      </c>
      <c r="Q421" s="3">
        <f t="shared" si="55"/>
        <v>8</v>
      </c>
      <c r="R421" s="3">
        <f t="shared" si="43"/>
        <v>841.19999999999925</v>
      </c>
      <c r="S421" s="24" t="s">
        <v>1334</v>
      </c>
      <c r="T421" s="24" t="s">
        <v>1334</v>
      </c>
      <c r="U421" s="3"/>
      <c r="V421" s="25" t="s">
        <v>7761</v>
      </c>
      <c r="W421" s="25">
        <v>20517252558</v>
      </c>
      <c r="X421" s="25" t="str">
        <f>IFERROR(VLOOKUP(C_Ope_005[[#This Row],[nota_2]],Clientes_Proveedores[[Ruc / Dni]:[Razon Social]],2,0),"")</f>
        <v>COVISUR S.A.</v>
      </c>
      <c r="Y421" s="25" t="s">
        <v>7888</v>
      </c>
      <c r="Z421" s="103"/>
      <c r="AA421" s="3" t="str">
        <f>IF(C_Ope_005[[#This Row],[fecha]]&gt;0,TEXT(C_Ope_005[[#This Row],[fecha]],"mmmm"),0)</f>
        <v>Agosto</v>
      </c>
      <c r="AB421" s="49"/>
    </row>
    <row r="422" spans="1:28" x14ac:dyDescent="0.3">
      <c r="A422" s="2">
        <f>IF(C_Ope_005[[#This Row],[tipo_r]]="R",COUNTIFS($C$1:$C421,"R")+1,"")</f>
        <v>421</v>
      </c>
      <c r="B422" s="19" t="str">
        <f t="shared" si="52"/>
        <v>C_Ope_005</v>
      </c>
      <c r="C422" s="3" t="s">
        <v>1330</v>
      </c>
      <c r="D422" s="14">
        <v>45888</v>
      </c>
      <c r="E422" s="5" t="s">
        <v>8535</v>
      </c>
      <c r="F422" s="5" t="s">
        <v>1336</v>
      </c>
      <c r="G422" s="6" t="s">
        <v>978</v>
      </c>
      <c r="H422" s="6" t="s">
        <v>68</v>
      </c>
      <c r="I422" s="6" t="s">
        <v>5688</v>
      </c>
      <c r="J422" s="6">
        <v>2440612</v>
      </c>
      <c r="K422" s="7" t="s">
        <v>8740</v>
      </c>
      <c r="L422" s="8">
        <v>25196</v>
      </c>
      <c r="M422" s="8" t="str">
        <f t="shared" si="53"/>
        <v>PEN</v>
      </c>
      <c r="N422" s="13"/>
      <c r="O422" s="13">
        <v>8</v>
      </c>
      <c r="P422" s="3">
        <f t="shared" si="54"/>
        <v>0</v>
      </c>
      <c r="Q422" s="3">
        <f t="shared" si="55"/>
        <v>8</v>
      </c>
      <c r="R422" s="3">
        <f t="shared" si="43"/>
        <v>833.19999999999925</v>
      </c>
      <c r="S422" s="24" t="s">
        <v>1334</v>
      </c>
      <c r="T422" s="24" t="s">
        <v>1334</v>
      </c>
      <c r="U422" s="3"/>
      <c r="V422" s="25" t="s">
        <v>7761</v>
      </c>
      <c r="W422" s="25">
        <v>20517252558</v>
      </c>
      <c r="X422" s="25" t="str">
        <f>IFERROR(VLOOKUP(C_Ope_005[[#This Row],[nota_2]],Clientes_Proveedores[[Ruc / Dni]:[Razon Social]],2,0),"")</f>
        <v>COVISUR S.A.</v>
      </c>
      <c r="Y422" s="25" t="s">
        <v>7888</v>
      </c>
      <c r="Z422" s="103"/>
      <c r="AA422" s="3" t="str">
        <f>IF(C_Ope_005[[#This Row],[fecha]]&gt;0,TEXT(C_Ope_005[[#This Row],[fecha]],"mmmm"),0)</f>
        <v>Agosto</v>
      </c>
      <c r="AB422" s="49"/>
    </row>
    <row r="423" spans="1:28" ht="24" x14ac:dyDescent="0.3">
      <c r="A423" s="2">
        <f>IF(C_Ope_005[[#This Row],[tipo_r]]="R",COUNTIFS($C$1:$C422,"R")+1,"")</f>
        <v>422</v>
      </c>
      <c r="B423" s="19" t="str">
        <f t="shared" si="52"/>
        <v>C_Ope_005</v>
      </c>
      <c r="C423" s="3" t="s">
        <v>1330</v>
      </c>
      <c r="D423" s="14">
        <v>45888</v>
      </c>
      <c r="E423" s="5" t="s">
        <v>8535</v>
      </c>
      <c r="F423" s="5" t="s">
        <v>1336</v>
      </c>
      <c r="G423" s="6" t="s">
        <v>978</v>
      </c>
      <c r="H423" s="6" t="s">
        <v>68</v>
      </c>
      <c r="I423" s="6" t="s">
        <v>8594</v>
      </c>
      <c r="J423" s="6">
        <v>455379</v>
      </c>
      <c r="K423" s="7" t="s">
        <v>8741</v>
      </c>
      <c r="L423" s="8">
        <v>25197</v>
      </c>
      <c r="M423" s="8" t="str">
        <f t="shared" si="53"/>
        <v>PEN</v>
      </c>
      <c r="N423" s="13"/>
      <c r="O423" s="13">
        <v>7.7</v>
      </c>
      <c r="P423" s="3">
        <f t="shared" si="54"/>
        <v>0</v>
      </c>
      <c r="Q423" s="3">
        <f t="shared" si="55"/>
        <v>7.7</v>
      </c>
      <c r="R423" s="3">
        <f t="shared" si="43"/>
        <v>825.4999999999992</v>
      </c>
      <c r="S423" s="24" t="s">
        <v>1334</v>
      </c>
      <c r="T423" s="24" t="s">
        <v>1334</v>
      </c>
      <c r="U423" s="3"/>
      <c r="V423" s="25" t="s">
        <v>7761</v>
      </c>
      <c r="W423" s="25">
        <v>20517252558</v>
      </c>
      <c r="X423" s="25" t="str">
        <f>IFERROR(VLOOKUP(C_Ope_005[[#This Row],[nota_2]],Clientes_Proveedores[[Ruc / Dni]:[Razon Social]],2,0),"")</f>
        <v>COVISUR S.A.</v>
      </c>
      <c r="Y423" s="25" t="s">
        <v>7888</v>
      </c>
      <c r="Z423" s="103"/>
      <c r="AA423" s="3" t="str">
        <f>IF(C_Ope_005[[#This Row],[fecha]]&gt;0,TEXT(C_Ope_005[[#This Row],[fecha]],"mmmm"),0)</f>
        <v>Agosto</v>
      </c>
      <c r="AB423" s="49"/>
    </row>
    <row r="424" spans="1:28" ht="24" x14ac:dyDescent="0.3">
      <c r="A424" s="2">
        <f>IF(C_Ope_005[[#This Row],[tipo_r]]="R",COUNTIFS($C$1:$C423,"R")+1,"")</f>
        <v>423</v>
      </c>
      <c r="B424" s="19" t="str">
        <f t="shared" si="52"/>
        <v>C_Ope_005</v>
      </c>
      <c r="C424" s="3" t="s">
        <v>1330</v>
      </c>
      <c r="D424" s="14">
        <v>45888</v>
      </c>
      <c r="E424" s="5" t="s">
        <v>8535</v>
      </c>
      <c r="F424" s="5" t="s">
        <v>1336</v>
      </c>
      <c r="G424" s="6" t="s">
        <v>1009</v>
      </c>
      <c r="H424" s="6" t="s">
        <v>126</v>
      </c>
      <c r="I424" s="6"/>
      <c r="J424" s="8">
        <v>25198</v>
      </c>
      <c r="K424" s="7" t="s">
        <v>8742</v>
      </c>
      <c r="L424" s="8">
        <v>25198</v>
      </c>
      <c r="M424" s="8" t="str">
        <f t="shared" si="53"/>
        <v>PEN</v>
      </c>
      <c r="N424" s="13"/>
      <c r="O424" s="13">
        <v>24</v>
      </c>
      <c r="P424" s="3">
        <f t="shared" si="54"/>
        <v>0</v>
      </c>
      <c r="Q424" s="3">
        <f t="shared" si="55"/>
        <v>24</v>
      </c>
      <c r="R424" s="3">
        <f t="shared" si="43"/>
        <v>801.4999999999992</v>
      </c>
      <c r="S424" s="24" t="s">
        <v>1334</v>
      </c>
      <c r="T424" s="24" t="s">
        <v>1334</v>
      </c>
      <c r="U424" s="3"/>
      <c r="V424" s="25" t="s">
        <v>7761</v>
      </c>
      <c r="W424" s="25"/>
      <c r="X424" s="25" t="str">
        <f>IFERROR(VLOOKUP(C_Ope_005[[#This Row],[nota_2]],Clientes_Proveedores[[Ruc / Dni]:[Razon Social]],2,0),"")</f>
        <v/>
      </c>
      <c r="Y424" s="25" t="s">
        <v>8430</v>
      </c>
      <c r="Z424" s="103"/>
      <c r="AA424" s="3" t="str">
        <f>IF(C_Ope_005[[#This Row],[fecha]]&gt;0,TEXT(C_Ope_005[[#This Row],[fecha]],"mmmm"),0)</f>
        <v>Agosto</v>
      </c>
      <c r="AB424" s="49"/>
    </row>
    <row r="425" spans="1:28" ht="24" x14ac:dyDescent="0.3">
      <c r="A425" s="2">
        <f>IF(C_Ope_005[[#This Row],[tipo_r]]="R",COUNTIFS($C$1:$C424,"R")+1,"")</f>
        <v>424</v>
      </c>
      <c r="B425" s="19" t="str">
        <f t="shared" si="52"/>
        <v>C_Ope_005</v>
      </c>
      <c r="C425" s="3" t="s">
        <v>1330</v>
      </c>
      <c r="D425" s="14">
        <v>45888</v>
      </c>
      <c r="E425" s="5" t="s">
        <v>8535</v>
      </c>
      <c r="F425" s="5" t="s">
        <v>1336</v>
      </c>
      <c r="G425" s="6" t="s">
        <v>1009</v>
      </c>
      <c r="H425" s="6" t="s">
        <v>126</v>
      </c>
      <c r="I425" s="6"/>
      <c r="J425" s="8">
        <v>25199</v>
      </c>
      <c r="K425" s="7" t="s">
        <v>8743</v>
      </c>
      <c r="L425" s="8">
        <v>25199</v>
      </c>
      <c r="M425" s="8" t="str">
        <f t="shared" si="53"/>
        <v>PEN</v>
      </c>
      <c r="N425" s="13"/>
      <c r="O425" s="13">
        <v>100</v>
      </c>
      <c r="P425" s="3">
        <f t="shared" si="54"/>
        <v>0</v>
      </c>
      <c r="Q425" s="3">
        <f t="shared" si="55"/>
        <v>100</v>
      </c>
      <c r="R425" s="3">
        <f t="shared" si="43"/>
        <v>701.4999999999992</v>
      </c>
      <c r="S425" s="24" t="s">
        <v>1334</v>
      </c>
      <c r="T425" s="24" t="s">
        <v>1334</v>
      </c>
      <c r="U425" s="3"/>
      <c r="V425" s="25" t="s">
        <v>7761</v>
      </c>
      <c r="W425" s="25"/>
      <c r="X425" s="25" t="str">
        <f>IFERROR(VLOOKUP(C_Ope_005[[#This Row],[nota_2]],Clientes_Proveedores[[Ruc / Dni]:[Razon Social]],2,0),"")</f>
        <v/>
      </c>
      <c r="Y425" s="25" t="s">
        <v>7910</v>
      </c>
      <c r="Z425" s="103"/>
      <c r="AA425" s="3" t="str">
        <f>IF(C_Ope_005[[#This Row],[fecha]]&gt;0,TEXT(C_Ope_005[[#This Row],[fecha]],"mmmm"),0)</f>
        <v>Agosto</v>
      </c>
      <c r="AB425" s="49"/>
    </row>
    <row r="426" spans="1:28" ht="24" x14ac:dyDescent="0.3">
      <c r="A426" s="2">
        <f>IF(C_Ope_005[[#This Row],[tipo_r]]="R",COUNTIFS($C$1:$C425,"R")+1,"")</f>
        <v>425</v>
      </c>
      <c r="B426" s="19" t="str">
        <f t="shared" si="52"/>
        <v>C_Ope_005</v>
      </c>
      <c r="C426" s="3" t="s">
        <v>1330</v>
      </c>
      <c r="D426" s="14">
        <v>45889</v>
      </c>
      <c r="E426" s="5" t="s">
        <v>8535</v>
      </c>
      <c r="F426" s="5" t="s">
        <v>1336</v>
      </c>
      <c r="G426" s="6" t="s">
        <v>1036</v>
      </c>
      <c r="H426" s="6" t="s">
        <v>68</v>
      </c>
      <c r="I426" s="6" t="s">
        <v>8554</v>
      </c>
      <c r="J426" s="6">
        <v>648281</v>
      </c>
      <c r="K426" s="7" t="s">
        <v>8744</v>
      </c>
      <c r="L426" s="8">
        <v>25217</v>
      </c>
      <c r="M426" s="8" t="str">
        <f t="shared" si="53"/>
        <v>PEN</v>
      </c>
      <c r="N426" s="13"/>
      <c r="O426" s="13">
        <v>7.7</v>
      </c>
      <c r="P426" s="3">
        <f t="shared" si="54"/>
        <v>0</v>
      </c>
      <c r="Q426" s="3">
        <f t="shared" si="55"/>
        <v>7.7</v>
      </c>
      <c r="R426" s="3">
        <f t="shared" si="43"/>
        <v>693.79999999999916</v>
      </c>
      <c r="S426" s="24" t="s">
        <v>1334</v>
      </c>
      <c r="T426" s="24" t="s">
        <v>1334</v>
      </c>
      <c r="U426" s="3"/>
      <c r="V426" s="25" t="s">
        <v>7761</v>
      </c>
      <c r="W426" s="25">
        <v>20517216241</v>
      </c>
      <c r="X426" s="25" t="str">
        <f>IFERROR(VLOOKUP(C_Ope_005[[#This Row],[nota_2]],Clientes_Proveedores[[Ruc / Dni]:[Razon Social]],2,0),"")</f>
        <v>CARRETERA ANDINA DEL SUR S.A.C.</v>
      </c>
      <c r="Y426" s="25" t="s">
        <v>7888</v>
      </c>
      <c r="Z426" s="103"/>
      <c r="AA426" s="3" t="str">
        <f>IF(C_Ope_005[[#This Row],[fecha]]&gt;0,TEXT(C_Ope_005[[#This Row],[fecha]],"mmmm"),0)</f>
        <v>Agosto</v>
      </c>
      <c r="AB426" s="49"/>
    </row>
    <row r="427" spans="1:28" ht="24" x14ac:dyDescent="0.3">
      <c r="A427" s="2">
        <f>IF(C_Ope_005[[#This Row],[tipo_r]]="R",COUNTIFS($C$1:$C426,"R")+1,"")</f>
        <v>426</v>
      </c>
      <c r="B427" s="19" t="str">
        <f t="shared" si="52"/>
        <v>C_Ope_005</v>
      </c>
      <c r="C427" s="3" t="s">
        <v>1330</v>
      </c>
      <c r="D427" s="14">
        <v>45889</v>
      </c>
      <c r="E427" s="5" t="s">
        <v>8535</v>
      </c>
      <c r="F427" s="5" t="s">
        <v>1336</v>
      </c>
      <c r="G427" s="6" t="s">
        <v>1009</v>
      </c>
      <c r="H427" s="6" t="s">
        <v>126</v>
      </c>
      <c r="I427" s="6"/>
      <c r="J427" s="8">
        <v>25212</v>
      </c>
      <c r="K427" s="7" t="s">
        <v>8745</v>
      </c>
      <c r="L427" s="8">
        <v>25212</v>
      </c>
      <c r="M427" s="8" t="str">
        <f t="shared" si="53"/>
        <v>PEN</v>
      </c>
      <c r="N427" s="13"/>
      <c r="O427" s="13">
        <v>24</v>
      </c>
      <c r="P427" s="3">
        <f t="shared" si="54"/>
        <v>0</v>
      </c>
      <c r="Q427" s="3">
        <f t="shared" si="55"/>
        <v>24</v>
      </c>
      <c r="R427" s="3">
        <f t="shared" si="43"/>
        <v>669.79999999999916</v>
      </c>
      <c r="S427" s="24" t="s">
        <v>1334</v>
      </c>
      <c r="T427" s="24" t="s">
        <v>1334</v>
      </c>
      <c r="U427" s="3"/>
      <c r="V427" s="25" t="s">
        <v>7761</v>
      </c>
      <c r="W427" s="25"/>
      <c r="X427" s="25" t="str">
        <f>IFERROR(VLOOKUP(C_Ope_005[[#This Row],[nota_2]],Clientes_Proveedores[[Ruc / Dni]:[Razon Social]],2,0),"")</f>
        <v/>
      </c>
      <c r="Y427" s="25" t="s">
        <v>8430</v>
      </c>
      <c r="Z427" s="103"/>
      <c r="AA427" s="3" t="str">
        <f>IF(C_Ope_005[[#This Row],[fecha]]&gt;0,TEXT(C_Ope_005[[#This Row],[fecha]],"mmmm"),0)</f>
        <v>Agosto</v>
      </c>
      <c r="AB427" s="49"/>
    </row>
    <row r="428" spans="1:28" ht="24" x14ac:dyDescent="0.3">
      <c r="A428" s="2">
        <f>IF(C_Ope_005[[#This Row],[tipo_r]]="R",COUNTIFS($C$1:$C427,"R")+1,"")</f>
        <v>427</v>
      </c>
      <c r="B428" s="19" t="str">
        <f t="shared" si="52"/>
        <v>C_Ope_005</v>
      </c>
      <c r="C428" s="3" t="s">
        <v>1330</v>
      </c>
      <c r="D428" s="14">
        <v>45889</v>
      </c>
      <c r="E428" s="5" t="s">
        <v>8535</v>
      </c>
      <c r="F428" s="5" t="s">
        <v>1336</v>
      </c>
      <c r="G428" s="6" t="s">
        <v>1009</v>
      </c>
      <c r="H428" s="6" t="s">
        <v>126</v>
      </c>
      <c r="I428" s="6"/>
      <c r="J428" s="8">
        <v>25213</v>
      </c>
      <c r="K428" s="7" t="s">
        <v>8746</v>
      </c>
      <c r="L428" s="8">
        <v>25213</v>
      </c>
      <c r="M428" s="8" t="str">
        <f t="shared" si="53"/>
        <v>PEN</v>
      </c>
      <c r="N428" s="13"/>
      <c r="O428" s="13">
        <v>30</v>
      </c>
      <c r="P428" s="3">
        <f t="shared" si="54"/>
        <v>0</v>
      </c>
      <c r="Q428" s="3">
        <f t="shared" si="55"/>
        <v>30</v>
      </c>
      <c r="R428" s="3">
        <f t="shared" si="43"/>
        <v>639.79999999999916</v>
      </c>
      <c r="S428" s="24" t="s">
        <v>1334</v>
      </c>
      <c r="T428" s="24" t="s">
        <v>1334</v>
      </c>
      <c r="U428" s="3"/>
      <c r="V428" s="25" t="s">
        <v>7761</v>
      </c>
      <c r="W428" s="25"/>
      <c r="X428" s="25" t="str">
        <f>IFERROR(VLOOKUP(C_Ope_005[[#This Row],[nota_2]],Clientes_Proveedores[[Ruc / Dni]:[Razon Social]],2,0),"")</f>
        <v/>
      </c>
      <c r="Y428" s="25" t="s">
        <v>8430</v>
      </c>
      <c r="Z428" s="103"/>
      <c r="AA428" s="3" t="str">
        <f>IF(C_Ope_005[[#This Row],[fecha]]&gt;0,TEXT(C_Ope_005[[#This Row],[fecha]],"mmmm"),0)</f>
        <v>Agosto</v>
      </c>
      <c r="AB428" s="49"/>
    </row>
    <row r="429" spans="1:28" ht="24" x14ac:dyDescent="0.3">
      <c r="A429" s="2">
        <f>IF(C_Ope_005[[#This Row],[tipo_r]]="R",COUNTIFS($C$1:$C428,"R")+1,"")</f>
        <v>428</v>
      </c>
      <c r="B429" s="19" t="str">
        <f t="shared" si="52"/>
        <v>C_Ope_005</v>
      </c>
      <c r="C429" s="3" t="s">
        <v>1330</v>
      </c>
      <c r="D429" s="14">
        <v>45889</v>
      </c>
      <c r="E429" s="5" t="s">
        <v>8535</v>
      </c>
      <c r="F429" s="5" t="s">
        <v>1336</v>
      </c>
      <c r="G429" s="6" t="s">
        <v>1009</v>
      </c>
      <c r="H429" s="6" t="s">
        <v>126</v>
      </c>
      <c r="I429" s="6"/>
      <c r="J429" s="8">
        <v>25214</v>
      </c>
      <c r="K429" s="7" t="s">
        <v>8742</v>
      </c>
      <c r="L429" s="8">
        <v>25214</v>
      </c>
      <c r="M429" s="8" t="str">
        <f t="shared" si="53"/>
        <v>PEN</v>
      </c>
      <c r="N429" s="13"/>
      <c r="O429" s="13">
        <v>24</v>
      </c>
      <c r="P429" s="3">
        <f t="shared" si="54"/>
        <v>0</v>
      </c>
      <c r="Q429" s="3">
        <f t="shared" si="55"/>
        <v>24</v>
      </c>
      <c r="R429" s="3">
        <f t="shared" si="43"/>
        <v>615.79999999999916</v>
      </c>
      <c r="S429" s="24" t="s">
        <v>1334</v>
      </c>
      <c r="T429" s="24" t="s">
        <v>1334</v>
      </c>
      <c r="U429" s="3"/>
      <c r="V429" s="25" t="s">
        <v>7761</v>
      </c>
      <c r="W429" s="25"/>
      <c r="X429" s="25" t="str">
        <f>IFERROR(VLOOKUP(C_Ope_005[[#This Row],[nota_2]],Clientes_Proveedores[[Ruc / Dni]:[Razon Social]],2,0),"")</f>
        <v/>
      </c>
      <c r="Y429" s="25" t="s">
        <v>8430</v>
      </c>
      <c r="Z429" s="103"/>
      <c r="AA429" s="3" t="str">
        <f>IF(C_Ope_005[[#This Row],[fecha]]&gt;0,TEXT(C_Ope_005[[#This Row],[fecha]],"mmmm"),0)</f>
        <v>Agosto</v>
      </c>
      <c r="AB429" s="49"/>
    </row>
    <row r="430" spans="1:28" ht="24" x14ac:dyDescent="0.3">
      <c r="A430" s="2">
        <f>IF(C_Ope_005[[#This Row],[tipo_r]]="R",COUNTIFS($C$1:$C429,"R")+1,"")</f>
        <v>429</v>
      </c>
      <c r="B430" s="19" t="str">
        <f t="shared" si="52"/>
        <v>C_Ope_005</v>
      </c>
      <c r="C430" s="3" t="s">
        <v>1330</v>
      </c>
      <c r="D430" s="14">
        <v>45889</v>
      </c>
      <c r="E430" s="5" t="s">
        <v>8535</v>
      </c>
      <c r="F430" s="5" t="s">
        <v>1336</v>
      </c>
      <c r="G430" s="6" t="s">
        <v>1009</v>
      </c>
      <c r="H430" s="6" t="s">
        <v>126</v>
      </c>
      <c r="I430" s="6"/>
      <c r="J430" s="8">
        <v>25215</v>
      </c>
      <c r="K430" s="7" t="s">
        <v>8747</v>
      </c>
      <c r="L430" s="8">
        <v>25215</v>
      </c>
      <c r="M430" s="8" t="str">
        <f t="shared" si="53"/>
        <v>PEN</v>
      </c>
      <c r="N430" s="13"/>
      <c r="O430" s="13">
        <v>100</v>
      </c>
      <c r="P430" s="3">
        <f t="shared" si="54"/>
        <v>0</v>
      </c>
      <c r="Q430" s="3">
        <f t="shared" si="55"/>
        <v>100</v>
      </c>
      <c r="R430" s="3">
        <f t="shared" si="43"/>
        <v>515.79999999999916</v>
      </c>
      <c r="S430" s="24" t="s">
        <v>1334</v>
      </c>
      <c r="T430" s="24" t="s">
        <v>1334</v>
      </c>
      <c r="U430" s="3"/>
      <c r="V430" s="25" t="s">
        <v>7761</v>
      </c>
      <c r="W430" s="25"/>
      <c r="X430" s="25" t="str">
        <f>IFERROR(VLOOKUP(C_Ope_005[[#This Row],[nota_2]],Clientes_Proveedores[[Ruc / Dni]:[Razon Social]],2,0),"")</f>
        <v/>
      </c>
      <c r="Y430" s="25" t="s">
        <v>7910</v>
      </c>
      <c r="Z430" s="103"/>
      <c r="AA430" s="3" t="str">
        <f>IF(C_Ope_005[[#This Row],[fecha]]&gt;0,TEXT(C_Ope_005[[#This Row],[fecha]],"mmmm"),0)</f>
        <v>Agosto</v>
      </c>
      <c r="AB430" s="49"/>
    </row>
    <row r="431" spans="1:28" x14ac:dyDescent="0.3">
      <c r="A431" s="2">
        <f>IF(C_Ope_005[[#This Row],[tipo_r]]="R",COUNTIFS($C$1:$C430,"R")+1,"")</f>
        <v>430</v>
      </c>
      <c r="B431" s="19" t="str">
        <f t="shared" si="52"/>
        <v>C_Ope_005</v>
      </c>
      <c r="C431" s="3" t="s">
        <v>1330</v>
      </c>
      <c r="D431" s="14">
        <v>45889</v>
      </c>
      <c r="E431" s="5" t="s">
        <v>8535</v>
      </c>
      <c r="F431" s="5" t="s">
        <v>1336</v>
      </c>
      <c r="G431" s="6" t="s">
        <v>1009</v>
      </c>
      <c r="H431" s="6" t="s">
        <v>126</v>
      </c>
      <c r="I431" s="6"/>
      <c r="J431" s="8">
        <v>25216</v>
      </c>
      <c r="K431" s="7" t="s">
        <v>8748</v>
      </c>
      <c r="L431" s="8">
        <v>25216</v>
      </c>
      <c r="M431" s="8" t="str">
        <f t="shared" si="53"/>
        <v>PEN</v>
      </c>
      <c r="N431" s="13"/>
      <c r="O431" s="13">
        <v>15</v>
      </c>
      <c r="P431" s="3">
        <f t="shared" si="54"/>
        <v>0</v>
      </c>
      <c r="Q431" s="3">
        <f t="shared" si="55"/>
        <v>15</v>
      </c>
      <c r="R431" s="3">
        <f t="shared" si="43"/>
        <v>500.79999999999916</v>
      </c>
      <c r="S431" s="24" t="s">
        <v>1334</v>
      </c>
      <c r="T431" s="24" t="s">
        <v>1334</v>
      </c>
      <c r="U431" s="3"/>
      <c r="V431" s="25" t="s">
        <v>7761</v>
      </c>
      <c r="W431" s="25"/>
      <c r="X431" s="25" t="str">
        <f>IFERROR(VLOOKUP(C_Ope_005[[#This Row],[nota_2]],Clientes_Proveedores[[Ruc / Dni]:[Razon Social]],2,0),"")</f>
        <v/>
      </c>
      <c r="Y431" s="25" t="s">
        <v>8441</v>
      </c>
      <c r="Z431" s="103"/>
      <c r="AA431" s="3" t="str">
        <f>IF(C_Ope_005[[#This Row],[fecha]]&gt;0,TEXT(C_Ope_005[[#This Row],[fecha]],"mmmm"),0)</f>
        <v>Agosto</v>
      </c>
      <c r="AB431" s="49"/>
    </row>
    <row r="432" spans="1:28" ht="24" x14ac:dyDescent="0.3">
      <c r="A432" s="2">
        <f>IF(C_Ope_005[[#This Row],[tipo_r]]="R",COUNTIFS($C$1:$C431,"R")+1,"")</f>
        <v>431</v>
      </c>
      <c r="B432" s="19" t="str">
        <f t="shared" si="52"/>
        <v>C_Ope_005</v>
      </c>
      <c r="C432" s="3" t="s">
        <v>1330</v>
      </c>
      <c r="D432" s="14">
        <v>45890</v>
      </c>
      <c r="E432" s="5" t="s">
        <v>8535</v>
      </c>
      <c r="F432" s="5" t="s">
        <v>1336</v>
      </c>
      <c r="G432" s="6" t="s">
        <v>1036</v>
      </c>
      <c r="H432" s="6" t="s">
        <v>68</v>
      </c>
      <c r="I432" s="6" t="s">
        <v>8556</v>
      </c>
      <c r="J432" s="6">
        <v>660838</v>
      </c>
      <c r="K432" s="7" t="s">
        <v>8744</v>
      </c>
      <c r="L432" s="8">
        <v>25244</v>
      </c>
      <c r="M432" s="8" t="str">
        <f t="shared" si="53"/>
        <v>PEN</v>
      </c>
      <c r="N432" s="13"/>
      <c r="O432" s="13">
        <v>7.7</v>
      </c>
      <c r="P432" s="3">
        <f t="shared" si="54"/>
        <v>0</v>
      </c>
      <c r="Q432" s="3">
        <f t="shared" si="55"/>
        <v>7.7</v>
      </c>
      <c r="R432" s="3">
        <f t="shared" si="43"/>
        <v>493.09999999999917</v>
      </c>
      <c r="S432" s="24" t="s">
        <v>1334</v>
      </c>
      <c r="T432" s="24" t="s">
        <v>1334</v>
      </c>
      <c r="U432" s="3"/>
      <c r="V432" s="25" t="s">
        <v>7761</v>
      </c>
      <c r="W432" s="25">
        <v>20517216241</v>
      </c>
      <c r="X432" s="25" t="str">
        <f>IFERROR(VLOOKUP(C_Ope_005[[#This Row],[nota_2]],Clientes_Proveedores[[Ruc / Dni]:[Razon Social]],2,0),"")</f>
        <v>CARRETERA ANDINA DEL SUR S.A.C.</v>
      </c>
      <c r="Y432" s="25" t="s">
        <v>7888</v>
      </c>
      <c r="Z432" s="103"/>
      <c r="AA432" s="3" t="str">
        <f>IF(C_Ope_005[[#This Row],[fecha]]&gt;0,TEXT(C_Ope_005[[#This Row],[fecha]],"mmmm"),0)</f>
        <v>Agosto</v>
      </c>
      <c r="AB432" s="49"/>
    </row>
    <row r="433" spans="1:28" ht="24" x14ac:dyDescent="0.3">
      <c r="A433" s="2">
        <f>IF(C_Ope_005[[#This Row],[tipo_r]]="R",COUNTIFS($C$1:$C432,"R")+1,"")</f>
        <v>432</v>
      </c>
      <c r="B433" s="19" t="str">
        <f t="shared" si="52"/>
        <v>C_Ope_005</v>
      </c>
      <c r="C433" s="3" t="s">
        <v>1330</v>
      </c>
      <c r="D433" s="14">
        <v>45890</v>
      </c>
      <c r="E433" s="5" t="s">
        <v>8535</v>
      </c>
      <c r="F433" s="5" t="s">
        <v>1336</v>
      </c>
      <c r="G433" s="6" t="s">
        <v>1110</v>
      </c>
      <c r="H433" s="6" t="s">
        <v>75</v>
      </c>
      <c r="I433" s="6">
        <v>1</v>
      </c>
      <c r="J433" s="6">
        <v>3329</v>
      </c>
      <c r="K433" s="7" t="s">
        <v>8749</v>
      </c>
      <c r="L433" s="8">
        <v>25245</v>
      </c>
      <c r="M433" s="8" t="str">
        <f t="shared" si="53"/>
        <v>PEN</v>
      </c>
      <c r="N433" s="13"/>
      <c r="O433" s="13">
        <v>100</v>
      </c>
      <c r="P433" s="3">
        <f t="shared" si="54"/>
        <v>0</v>
      </c>
      <c r="Q433" s="3">
        <f t="shared" si="55"/>
        <v>100</v>
      </c>
      <c r="R433" s="3">
        <f t="shared" si="43"/>
        <v>393.09999999999917</v>
      </c>
      <c r="S433" s="24" t="s">
        <v>1334</v>
      </c>
      <c r="T433" s="24" t="s">
        <v>1334</v>
      </c>
      <c r="U433" s="3"/>
      <c r="V433" s="25" t="s">
        <v>7761</v>
      </c>
      <c r="W433" s="25">
        <v>10478277046</v>
      </c>
      <c r="X433" s="25" t="str">
        <f>IFERROR(VLOOKUP(C_Ope_005[[#This Row],[nota_2]],Clientes_Proveedores[[Ruc / Dni]:[Razon Social]],2,0),"")</f>
        <v>MENDOZA SANCHEZ DEYSI</v>
      </c>
      <c r="Y433" s="25" t="s">
        <v>7910</v>
      </c>
      <c r="Z433" s="103"/>
      <c r="AA433" s="3" t="str">
        <f>IF(C_Ope_005[[#This Row],[fecha]]&gt;0,TEXT(C_Ope_005[[#This Row],[fecha]],"mmmm"),0)</f>
        <v>Agosto</v>
      </c>
      <c r="AB433" s="49"/>
    </row>
    <row r="434" spans="1:28" ht="24" x14ac:dyDescent="0.3">
      <c r="A434" s="2">
        <f>IF(C_Ope_005[[#This Row],[tipo_r]]="R",COUNTIFS($C$1:$C433,"R")+1,"")</f>
        <v>433</v>
      </c>
      <c r="B434" s="19" t="str">
        <f t="shared" si="52"/>
        <v>C_Ope_005</v>
      </c>
      <c r="C434" s="3" t="s">
        <v>1330</v>
      </c>
      <c r="D434" s="14">
        <v>45890</v>
      </c>
      <c r="E434" s="5" t="s">
        <v>8535</v>
      </c>
      <c r="F434" s="5" t="s">
        <v>1336</v>
      </c>
      <c r="G434" s="6" t="s">
        <v>1009</v>
      </c>
      <c r="H434" s="6" t="s">
        <v>126</v>
      </c>
      <c r="I434" s="6"/>
      <c r="J434" s="8">
        <v>25247</v>
      </c>
      <c r="K434" s="7" t="s">
        <v>8750</v>
      </c>
      <c r="L434" s="8">
        <v>25247</v>
      </c>
      <c r="M434" s="8" t="str">
        <f t="shared" si="53"/>
        <v>PEN</v>
      </c>
      <c r="N434" s="13"/>
      <c r="O434" s="13">
        <v>24</v>
      </c>
      <c r="P434" s="3">
        <f t="shared" si="54"/>
        <v>0</v>
      </c>
      <c r="Q434" s="3">
        <f t="shared" si="55"/>
        <v>24</v>
      </c>
      <c r="R434" s="3">
        <f t="shared" si="43"/>
        <v>369.09999999999917</v>
      </c>
      <c r="S434" s="24" t="s">
        <v>1334</v>
      </c>
      <c r="T434" s="24" t="s">
        <v>1334</v>
      </c>
      <c r="U434" s="3"/>
      <c r="V434" s="25" t="s">
        <v>7761</v>
      </c>
      <c r="W434" s="25"/>
      <c r="X434" s="25" t="str">
        <f>IFERROR(VLOOKUP(C_Ope_005[[#This Row],[nota_2]],Clientes_Proveedores[[Ruc / Dni]:[Razon Social]],2,0),"")</f>
        <v/>
      </c>
      <c r="Y434" s="25" t="s">
        <v>8430</v>
      </c>
      <c r="Z434" s="103"/>
      <c r="AA434" s="3" t="str">
        <f>IF(C_Ope_005[[#This Row],[fecha]]&gt;0,TEXT(C_Ope_005[[#This Row],[fecha]],"mmmm"),0)</f>
        <v>Agosto</v>
      </c>
      <c r="AB434" s="49"/>
    </row>
    <row r="435" spans="1:28" ht="24" x14ac:dyDescent="0.3">
      <c r="A435" s="2">
        <f>IF(C_Ope_005[[#This Row],[tipo_r]]="R",COUNTIFS($C$1:$C434,"R")+1,"")</f>
        <v>434</v>
      </c>
      <c r="B435" s="19" t="str">
        <f t="shared" si="52"/>
        <v>C_Ope_005</v>
      </c>
      <c r="C435" s="3" t="s">
        <v>1330</v>
      </c>
      <c r="D435" s="14">
        <v>45890</v>
      </c>
      <c r="E435" s="5" t="s">
        <v>8535</v>
      </c>
      <c r="F435" s="5" t="s">
        <v>1336</v>
      </c>
      <c r="G435" s="6" t="s">
        <v>1009</v>
      </c>
      <c r="H435" s="6" t="s">
        <v>126</v>
      </c>
      <c r="I435" s="6"/>
      <c r="J435" s="8">
        <v>25248</v>
      </c>
      <c r="K435" s="7" t="s">
        <v>8751</v>
      </c>
      <c r="L435" s="8">
        <v>25248</v>
      </c>
      <c r="M435" s="8" t="str">
        <f t="shared" si="53"/>
        <v>PEN</v>
      </c>
      <c r="N435" s="13"/>
      <c r="O435" s="13">
        <v>30</v>
      </c>
      <c r="P435" s="3">
        <f t="shared" si="54"/>
        <v>0</v>
      </c>
      <c r="Q435" s="3">
        <f t="shared" si="55"/>
        <v>30</v>
      </c>
      <c r="R435" s="3">
        <f t="shared" si="43"/>
        <v>339.09999999999917</v>
      </c>
      <c r="S435" s="24" t="s">
        <v>1334</v>
      </c>
      <c r="T435" s="24" t="s">
        <v>1334</v>
      </c>
      <c r="U435" s="3"/>
      <c r="V435" s="25" t="s">
        <v>7761</v>
      </c>
      <c r="W435" s="25"/>
      <c r="X435" s="25" t="str">
        <f>IFERROR(VLOOKUP(C_Ope_005[[#This Row],[nota_2]],Clientes_Proveedores[[Ruc / Dni]:[Razon Social]],2,0),"")</f>
        <v/>
      </c>
      <c r="Y435" s="25" t="s">
        <v>8430</v>
      </c>
      <c r="Z435" s="103"/>
      <c r="AA435" s="3" t="str">
        <f>IF(C_Ope_005[[#This Row],[fecha]]&gt;0,TEXT(C_Ope_005[[#This Row],[fecha]],"mmmm"),0)</f>
        <v>Agosto</v>
      </c>
      <c r="AB435" s="49"/>
    </row>
    <row r="436" spans="1:28" ht="24" x14ac:dyDescent="0.3">
      <c r="A436" s="2">
        <f>IF(C_Ope_005[[#This Row],[tipo_r]]="R",COUNTIFS($C$1:$C435,"R")+1,"")</f>
        <v>435</v>
      </c>
      <c r="B436" s="19" t="str">
        <f t="shared" si="52"/>
        <v>C_Ope_005</v>
      </c>
      <c r="C436" s="3" t="s">
        <v>1330</v>
      </c>
      <c r="D436" s="14">
        <v>45890</v>
      </c>
      <c r="E436" s="5" t="s">
        <v>8535</v>
      </c>
      <c r="F436" s="5" t="s">
        <v>1336</v>
      </c>
      <c r="G436" s="6" t="s">
        <v>1009</v>
      </c>
      <c r="H436" s="6" t="s">
        <v>126</v>
      </c>
      <c r="I436" s="6"/>
      <c r="J436" s="8">
        <v>25249</v>
      </c>
      <c r="K436" s="7" t="s">
        <v>8752</v>
      </c>
      <c r="L436" s="8">
        <v>25249</v>
      </c>
      <c r="M436" s="8" t="str">
        <f t="shared" si="53"/>
        <v>PEN</v>
      </c>
      <c r="N436" s="13"/>
      <c r="O436" s="13">
        <v>24</v>
      </c>
      <c r="P436" s="3">
        <f t="shared" si="54"/>
        <v>0</v>
      </c>
      <c r="Q436" s="3">
        <f t="shared" si="55"/>
        <v>24</v>
      </c>
      <c r="R436" s="3">
        <f t="shared" si="43"/>
        <v>315.09999999999917</v>
      </c>
      <c r="S436" s="24" t="s">
        <v>1334</v>
      </c>
      <c r="T436" s="24" t="s">
        <v>1334</v>
      </c>
      <c r="U436" s="3"/>
      <c r="V436" s="25" t="s">
        <v>7761</v>
      </c>
      <c r="W436" s="25"/>
      <c r="X436" s="25" t="str">
        <f>IFERROR(VLOOKUP(C_Ope_005[[#This Row],[nota_2]],Clientes_Proveedores[[Ruc / Dni]:[Razon Social]],2,0),"")</f>
        <v/>
      </c>
      <c r="Y436" s="25" t="s">
        <v>8430</v>
      </c>
      <c r="Z436" s="103"/>
      <c r="AA436" s="3" t="str">
        <f>IF(C_Ope_005[[#This Row],[fecha]]&gt;0,TEXT(C_Ope_005[[#This Row],[fecha]],"mmmm"),0)</f>
        <v>Agosto</v>
      </c>
      <c r="AB436" s="49"/>
    </row>
    <row r="437" spans="1:28" ht="24" x14ac:dyDescent="0.3">
      <c r="A437" s="2">
        <f>IF(C_Ope_005[[#This Row],[tipo_r]]="R",COUNTIFS($C$1:$C436,"R")+1,"")</f>
        <v>436</v>
      </c>
      <c r="B437" s="19" t="str">
        <f t="shared" si="52"/>
        <v>C_Ope_005</v>
      </c>
      <c r="C437" s="3" t="s">
        <v>1330</v>
      </c>
      <c r="D437" s="14">
        <v>45890</v>
      </c>
      <c r="E437" s="5" t="s">
        <v>8535</v>
      </c>
      <c r="F437" s="5" t="s">
        <v>1336</v>
      </c>
      <c r="G437" s="6" t="s">
        <v>1063</v>
      </c>
      <c r="H437" s="6" t="s">
        <v>68</v>
      </c>
      <c r="I437" s="6" t="s">
        <v>1374</v>
      </c>
      <c r="J437" s="6">
        <v>47606</v>
      </c>
      <c r="K437" s="7" t="s">
        <v>8592</v>
      </c>
      <c r="L437" s="8">
        <v>25243</v>
      </c>
      <c r="M437" s="8" t="str">
        <f t="shared" si="53"/>
        <v>PEN</v>
      </c>
      <c r="N437" s="13"/>
      <c r="O437" s="13">
        <v>150</v>
      </c>
      <c r="P437" s="3">
        <f t="shared" si="54"/>
        <v>0</v>
      </c>
      <c r="Q437" s="3">
        <f t="shared" si="55"/>
        <v>150</v>
      </c>
      <c r="R437" s="3">
        <f t="shared" si="43"/>
        <v>165.09999999999917</v>
      </c>
      <c r="S437" s="24" t="s">
        <v>1334</v>
      </c>
      <c r="T437" s="24" t="s">
        <v>1334</v>
      </c>
      <c r="U437" s="3"/>
      <c r="V437" s="25" t="s">
        <v>7761</v>
      </c>
      <c r="W437" s="25">
        <v>20485592556</v>
      </c>
      <c r="X437" s="25" t="str">
        <f>IFERROR(VLOOKUP(C_Ope_005[[#This Row],[nota_2]],Clientes_Proveedores[[Ruc / Dni]:[Razon Social]],2,0),"")</f>
        <v>SERVICENTRO SANTA MARTHA E.I.R.LTDA.</v>
      </c>
      <c r="Y437" s="25" t="s">
        <v>3552</v>
      </c>
      <c r="Z437" s="103"/>
      <c r="AA437" s="3" t="str">
        <f>IF(C_Ope_005[[#This Row],[fecha]]&gt;0,TEXT(C_Ope_005[[#This Row],[fecha]],"mmmm"),0)</f>
        <v>Agosto</v>
      </c>
      <c r="AB437" s="49"/>
    </row>
    <row r="438" spans="1:28" ht="24" x14ac:dyDescent="0.3">
      <c r="A438" s="2">
        <f>IF(C_Ope_005[[#This Row],[tipo_r]]="R",COUNTIFS($C$1:$C437,"R")+1,"")</f>
        <v>437</v>
      </c>
      <c r="B438" s="19" t="str">
        <f t="shared" si="52"/>
        <v>C_Ope_005</v>
      </c>
      <c r="C438" s="3" t="s">
        <v>1330</v>
      </c>
      <c r="D438" s="14">
        <v>45891</v>
      </c>
      <c r="E438" s="5" t="s">
        <v>8535</v>
      </c>
      <c r="F438" s="5" t="s">
        <v>1336</v>
      </c>
      <c r="G438" s="6" t="s">
        <v>978</v>
      </c>
      <c r="H438" s="6" t="s">
        <v>68</v>
      </c>
      <c r="I438" s="6" t="s">
        <v>8557</v>
      </c>
      <c r="J438" s="6">
        <v>1926619</v>
      </c>
      <c r="K438" s="7" t="s">
        <v>8741</v>
      </c>
      <c r="L438" s="8">
        <v>25250</v>
      </c>
      <c r="M438" s="8" t="str">
        <f t="shared" si="53"/>
        <v>PEN</v>
      </c>
      <c r="N438" s="13"/>
      <c r="O438" s="13">
        <v>7.7</v>
      </c>
      <c r="P438" s="3">
        <f t="shared" si="54"/>
        <v>0</v>
      </c>
      <c r="Q438" s="3">
        <f t="shared" si="55"/>
        <v>7.7</v>
      </c>
      <c r="R438" s="3">
        <f t="shared" si="43"/>
        <v>157.39999999999918</v>
      </c>
      <c r="S438" s="24" t="s">
        <v>1334</v>
      </c>
      <c r="T438" s="24" t="s">
        <v>1334</v>
      </c>
      <c r="U438" s="3"/>
      <c r="V438" s="25" t="s">
        <v>7761</v>
      </c>
      <c r="W438" s="25">
        <v>20517252558</v>
      </c>
      <c r="X438" s="25" t="str">
        <f>IFERROR(VLOOKUP(C_Ope_005[[#This Row],[nota_2]],Clientes_Proveedores[[Ruc / Dni]:[Razon Social]],2,0),"")</f>
        <v>COVISUR S.A.</v>
      </c>
      <c r="Y438" s="25" t="s">
        <v>7888</v>
      </c>
      <c r="Z438" s="103"/>
      <c r="AA438" s="3" t="str">
        <f>IF(C_Ope_005[[#This Row],[fecha]]&gt;0,TEXT(C_Ope_005[[#This Row],[fecha]],"mmmm"),0)</f>
        <v>Agosto</v>
      </c>
      <c r="AB438" s="49"/>
    </row>
    <row r="439" spans="1:28" ht="24" x14ac:dyDescent="0.3">
      <c r="A439" s="2">
        <f>IF(C_Ope_005[[#This Row],[tipo_r]]="R",COUNTIFS($C$1:$C438,"R")+1,"")</f>
        <v>438</v>
      </c>
      <c r="B439" s="19" t="str">
        <f t="shared" si="52"/>
        <v>C_Ope_005</v>
      </c>
      <c r="C439" s="3" t="s">
        <v>1330</v>
      </c>
      <c r="D439" s="14">
        <v>45891</v>
      </c>
      <c r="E439" s="5" t="s">
        <v>8535</v>
      </c>
      <c r="F439" s="5" t="s">
        <v>1336</v>
      </c>
      <c r="G439" s="6" t="s">
        <v>1009</v>
      </c>
      <c r="H439" s="6" t="s">
        <v>126</v>
      </c>
      <c r="I439" s="6"/>
      <c r="J439" s="8">
        <v>25251</v>
      </c>
      <c r="K439" s="7" t="s">
        <v>8750</v>
      </c>
      <c r="L439" s="8">
        <v>25251</v>
      </c>
      <c r="M439" s="8" t="str">
        <f t="shared" si="53"/>
        <v>PEN</v>
      </c>
      <c r="N439" s="13"/>
      <c r="O439" s="13">
        <v>24</v>
      </c>
      <c r="P439" s="3">
        <f t="shared" si="54"/>
        <v>0</v>
      </c>
      <c r="Q439" s="3">
        <f t="shared" si="55"/>
        <v>24</v>
      </c>
      <c r="R439" s="3">
        <f t="shared" si="43"/>
        <v>133.39999999999918</v>
      </c>
      <c r="S439" s="24" t="s">
        <v>1334</v>
      </c>
      <c r="T439" s="24" t="s">
        <v>1334</v>
      </c>
      <c r="U439" s="3"/>
      <c r="V439" s="25" t="s">
        <v>7761</v>
      </c>
      <c r="W439" s="25"/>
      <c r="X439" s="25" t="str">
        <f>IFERROR(VLOOKUP(C_Ope_005[[#This Row],[nota_2]],Clientes_Proveedores[[Ruc / Dni]:[Razon Social]],2,0),"")</f>
        <v/>
      </c>
      <c r="Y439" s="25" t="s">
        <v>8430</v>
      </c>
      <c r="Z439" s="103"/>
      <c r="AA439" s="3" t="str">
        <f>IF(C_Ope_005[[#This Row],[fecha]]&gt;0,TEXT(C_Ope_005[[#This Row],[fecha]],"mmmm"),0)</f>
        <v>Agosto</v>
      </c>
      <c r="AB439" s="49"/>
    </row>
    <row r="440" spans="1:28" ht="24" x14ac:dyDescent="0.3">
      <c r="A440" s="2">
        <f>IF(C_Ope_005[[#This Row],[tipo_r]]="R",COUNTIFS($C$1:$C439,"R")+1,"")</f>
        <v>439</v>
      </c>
      <c r="B440" s="19" t="str">
        <f t="shared" si="52"/>
        <v>C_Ope_005</v>
      </c>
      <c r="C440" s="3" t="s">
        <v>1330</v>
      </c>
      <c r="D440" s="14">
        <v>45891</v>
      </c>
      <c r="E440" s="5" t="s">
        <v>8535</v>
      </c>
      <c r="F440" s="5" t="s">
        <v>1336</v>
      </c>
      <c r="G440" s="6" t="s">
        <v>1009</v>
      </c>
      <c r="H440" s="6" t="s">
        <v>126</v>
      </c>
      <c r="I440" s="6"/>
      <c r="J440" s="8">
        <v>25252</v>
      </c>
      <c r="K440" s="7" t="s">
        <v>8753</v>
      </c>
      <c r="L440" s="8">
        <v>25252</v>
      </c>
      <c r="M440" s="8" t="str">
        <f t="shared" si="53"/>
        <v>PEN</v>
      </c>
      <c r="N440" s="13"/>
      <c r="O440" s="13">
        <v>30</v>
      </c>
      <c r="P440" s="3">
        <f t="shared" si="54"/>
        <v>0</v>
      </c>
      <c r="Q440" s="3">
        <f t="shared" si="55"/>
        <v>30</v>
      </c>
      <c r="R440" s="3">
        <f t="shared" si="43"/>
        <v>103.39999999999918</v>
      </c>
      <c r="S440" s="24" t="s">
        <v>1334</v>
      </c>
      <c r="T440" s="24" t="s">
        <v>1334</v>
      </c>
      <c r="U440" s="3"/>
      <c r="V440" s="25" t="s">
        <v>7761</v>
      </c>
      <c r="W440" s="25"/>
      <c r="X440" s="25" t="str">
        <f>IFERROR(VLOOKUP(C_Ope_005[[#This Row],[nota_2]],Clientes_Proveedores[[Ruc / Dni]:[Razon Social]],2,0),"")</f>
        <v/>
      </c>
      <c r="Y440" s="25" t="s">
        <v>8430</v>
      </c>
      <c r="Z440" s="103"/>
      <c r="AA440" s="3" t="str">
        <f>IF(C_Ope_005[[#This Row],[fecha]]&gt;0,TEXT(C_Ope_005[[#This Row],[fecha]],"mmmm"),0)</f>
        <v>Agosto</v>
      </c>
      <c r="AB440" s="49"/>
    </row>
    <row r="441" spans="1:28" x14ac:dyDescent="0.3">
      <c r="A441" s="2">
        <f>IF(C_Ope_005[[#This Row],[tipo_r]]="R",COUNTIFS($C$1:$C440,"R")+1,"")</f>
        <v>440</v>
      </c>
      <c r="B441" s="19" t="str">
        <f>"C_Ope_005"</f>
        <v>C_Ope_005</v>
      </c>
      <c r="C441" s="3" t="s">
        <v>1330</v>
      </c>
      <c r="D441" s="14">
        <v>45891</v>
      </c>
      <c r="E441" s="5" t="s">
        <v>8535</v>
      </c>
      <c r="F441" s="5" t="s">
        <v>1336</v>
      </c>
      <c r="G441" s="6" t="s">
        <v>1009</v>
      </c>
      <c r="H441" s="6" t="s">
        <v>126</v>
      </c>
      <c r="I441" s="6"/>
      <c r="J441" s="6">
        <v>25246</v>
      </c>
      <c r="K441" s="7" t="s">
        <v>8754</v>
      </c>
      <c r="L441" s="8">
        <v>25246</v>
      </c>
      <c r="M441" s="8" t="str">
        <f>"PEN"</f>
        <v>PEN</v>
      </c>
      <c r="N441" s="13"/>
      <c r="O441" s="13">
        <v>15</v>
      </c>
      <c r="P441" s="3">
        <f>+IF(OR($F441="SALDO",$F441="INGRESO"),$O441,0)</f>
        <v>0</v>
      </c>
      <c r="Q441" s="3">
        <f>+IF($F441="EGRESO",$O441,0)</f>
        <v>15</v>
      </c>
      <c r="R441" s="3">
        <f t="shared" si="43"/>
        <v>88.399999999999181</v>
      </c>
      <c r="S441" s="24" t="s">
        <v>1334</v>
      </c>
      <c r="T441" s="28" t="s">
        <v>1334</v>
      </c>
      <c r="U441" s="3"/>
      <c r="V441" s="25" t="s">
        <v>7761</v>
      </c>
      <c r="W441" s="25"/>
      <c r="X441" s="25" t="str">
        <f>IFERROR(VLOOKUP(C_Ope_005[[#This Row],[nota_2]],Clientes_Proveedores[[Ruc / Dni]:[Razon Social]],2,0),"")</f>
        <v/>
      </c>
      <c r="Y441" s="25" t="s">
        <v>8441</v>
      </c>
      <c r="Z441" s="103"/>
      <c r="AA441" s="3" t="str">
        <f>IF(C_Ope_005[[#This Row],[fecha]]&gt;0,TEXT(C_Ope_005[[#This Row],[fecha]],"mmmm"),0)</f>
        <v>Agosto</v>
      </c>
      <c r="AB441" s="49"/>
    </row>
    <row r="442" spans="1:28" ht="24" x14ac:dyDescent="0.3">
      <c r="A442" s="2">
        <f>IF(C_Ope_005[[#This Row],[tipo_r]]="R",COUNTIFS($C$1:$C441,"R")+1,"")</f>
        <v>441</v>
      </c>
      <c r="B442" s="19" t="str">
        <f t="shared" ref="B442:B454" si="56">"C_Ope_005"</f>
        <v>C_Ope_005</v>
      </c>
      <c r="C442" s="3" t="s">
        <v>1330</v>
      </c>
      <c r="D442" s="14">
        <v>45894</v>
      </c>
      <c r="E442" s="5" t="s">
        <v>8535</v>
      </c>
      <c r="F442" s="5" t="s">
        <v>1336</v>
      </c>
      <c r="G442" s="6" t="s">
        <v>999</v>
      </c>
      <c r="H442" s="6" t="s">
        <v>68</v>
      </c>
      <c r="I442" s="6" t="s">
        <v>1374</v>
      </c>
      <c r="J442" s="6">
        <v>19372</v>
      </c>
      <c r="K442" s="7" t="s">
        <v>8640</v>
      </c>
      <c r="L442" s="8">
        <v>25268</v>
      </c>
      <c r="M442" s="8" t="str">
        <f t="shared" ref="M442:M454" si="57">"PEN"</f>
        <v>PEN</v>
      </c>
      <c r="N442" s="13"/>
      <c r="O442" s="13">
        <v>25</v>
      </c>
      <c r="P442" s="3">
        <f t="shared" ref="P442:P454" si="58">+IF(OR($F442="SALDO",$F442="INGRESO"),$O442,0)</f>
        <v>0</v>
      </c>
      <c r="Q442" s="3">
        <f t="shared" ref="Q442:Q454" si="59">+IF($F442="EGRESO",$O442,0)</f>
        <v>25</v>
      </c>
      <c r="R442" s="3">
        <f t="shared" si="43"/>
        <v>63.399999999999181</v>
      </c>
      <c r="S442" s="24" t="s">
        <v>1334</v>
      </c>
      <c r="T442" s="24" t="s">
        <v>1334</v>
      </c>
      <c r="U442" s="3"/>
      <c r="V442" s="25" t="s">
        <v>7761</v>
      </c>
      <c r="W442" s="25">
        <v>10705628331</v>
      </c>
      <c r="X442" s="25" t="str">
        <f>IFERROR(VLOOKUP(C_Ope_005[[#This Row],[nota_2]],Clientes_Proveedores[[Ruc / Dni]:[Razon Social]],2,0),"")</f>
        <v>LARICO APAZA NANCY ROSSMARY</v>
      </c>
      <c r="Y442" s="25" t="s">
        <v>7938</v>
      </c>
      <c r="Z442" s="103"/>
      <c r="AA442" s="3" t="str">
        <f>IF(C_Ope_005[[#This Row],[fecha]]&gt;0,TEXT(C_Ope_005[[#This Row],[fecha]],"mmmm"),0)</f>
        <v>Agosto</v>
      </c>
      <c r="AB442" s="49"/>
    </row>
    <row r="443" spans="1:28" ht="24" x14ac:dyDescent="0.3">
      <c r="A443" s="2">
        <f>IF(C_Ope_005[[#This Row],[tipo_r]]="R",COUNTIFS($C$1:$C442,"R")+1,"")</f>
        <v>442</v>
      </c>
      <c r="B443" s="19" t="str">
        <f t="shared" si="56"/>
        <v>C_Ope_005</v>
      </c>
      <c r="C443" s="3" t="s">
        <v>1330</v>
      </c>
      <c r="D443" s="14">
        <v>45895</v>
      </c>
      <c r="E443" s="5" t="s">
        <v>8535</v>
      </c>
      <c r="F443" s="5" t="s">
        <v>1336</v>
      </c>
      <c r="G443" s="6" t="s">
        <v>978</v>
      </c>
      <c r="H443" s="6" t="s">
        <v>68</v>
      </c>
      <c r="I443" s="6" t="s">
        <v>6204</v>
      </c>
      <c r="J443" s="6">
        <v>1822500</v>
      </c>
      <c r="K443" s="7" t="s">
        <v>8755</v>
      </c>
      <c r="L443" s="8">
        <v>25269</v>
      </c>
      <c r="M443" s="8" t="str">
        <f t="shared" si="57"/>
        <v>PEN</v>
      </c>
      <c r="N443" s="13"/>
      <c r="O443" s="13">
        <v>8</v>
      </c>
      <c r="P443" s="3">
        <f t="shared" si="58"/>
        <v>0</v>
      </c>
      <c r="Q443" s="3">
        <f t="shared" si="59"/>
        <v>8</v>
      </c>
      <c r="R443" s="3">
        <f t="shared" si="43"/>
        <v>55.399999999999181</v>
      </c>
      <c r="S443" s="24" t="s">
        <v>1334</v>
      </c>
      <c r="T443" s="24" t="s">
        <v>1334</v>
      </c>
      <c r="U443" s="3"/>
      <c r="V443" s="25" t="s">
        <v>7761</v>
      </c>
      <c r="W443" s="25">
        <v>20517252558</v>
      </c>
      <c r="X443" s="25" t="str">
        <f>IFERROR(VLOOKUP(C_Ope_005[[#This Row],[nota_2]],Clientes_Proveedores[[Ruc / Dni]:[Razon Social]],2,0),"")</f>
        <v>COVISUR S.A.</v>
      </c>
      <c r="Y443" s="25" t="s">
        <v>7888</v>
      </c>
      <c r="Z443" s="103"/>
      <c r="AA443" s="3" t="str">
        <f>IF(C_Ope_005[[#This Row],[fecha]]&gt;0,TEXT(C_Ope_005[[#This Row],[fecha]],"mmmm"),0)</f>
        <v>Agosto</v>
      </c>
      <c r="AB443" s="49"/>
    </row>
    <row r="444" spans="1:28" ht="24" x14ac:dyDescent="0.3">
      <c r="A444" s="2">
        <f>IF(C_Ope_005[[#This Row],[tipo_r]]="R",COUNTIFS($C$1:$C443,"R")+1,"")</f>
        <v>443</v>
      </c>
      <c r="B444" s="19" t="str">
        <f>"C_Ope_005"</f>
        <v>C_Ope_005</v>
      </c>
      <c r="C444" s="3" t="s">
        <v>1330</v>
      </c>
      <c r="D444" s="14">
        <v>45896</v>
      </c>
      <c r="E444" s="5" t="s">
        <v>7513</v>
      </c>
      <c r="F444" s="5" t="s">
        <v>1303</v>
      </c>
      <c r="G444" s="6" t="s">
        <v>957</v>
      </c>
      <c r="H444" s="6"/>
      <c r="I444" s="6"/>
      <c r="J444" s="6"/>
      <c r="K444" s="7" t="s">
        <v>8475</v>
      </c>
      <c r="L444" s="8">
        <v>25281</v>
      </c>
      <c r="M444" s="8" t="str">
        <f>"PEN"</f>
        <v>PEN</v>
      </c>
      <c r="N444" s="13"/>
      <c r="O444" s="13">
        <v>250</v>
      </c>
      <c r="P444" s="3">
        <f>+IF(OR($F444="SALDO",$F444="INGRESO"),$O444,0)</f>
        <v>250</v>
      </c>
      <c r="Q444" s="3">
        <f>+IF($F444="EGRESO",$O444,0)</f>
        <v>0</v>
      </c>
      <c r="R444" s="3">
        <f t="shared" si="43"/>
        <v>305.39999999999918</v>
      </c>
      <c r="S444" s="24" t="s">
        <v>1334</v>
      </c>
      <c r="T444" s="24" t="s">
        <v>1334</v>
      </c>
      <c r="U444" s="3"/>
      <c r="V444" s="25"/>
      <c r="W444" s="25"/>
      <c r="X444" s="25" t="str">
        <f>IFERROR(VLOOKUP(C_Ope_005[[#This Row],[nota_2]],Clientes_Proveedores[[Ruc / Dni]:[Razon Social]],2,0),"")</f>
        <v/>
      </c>
      <c r="Y444" s="25"/>
      <c r="Z444" s="103"/>
      <c r="AA444" s="3" t="str">
        <f>IF(C_Ope_005[[#This Row],[fecha]]&gt;0,TEXT(C_Ope_005[[#This Row],[fecha]],"mmmm"),0)</f>
        <v>Agosto</v>
      </c>
      <c r="AB444" s="49"/>
    </row>
    <row r="445" spans="1:28" x14ac:dyDescent="0.3">
      <c r="A445" s="2">
        <f>IF(C_Ope_005[[#This Row],[tipo_r]]="R",COUNTIFS($C$1:$C444,"R")+1,"")</f>
        <v>444</v>
      </c>
      <c r="B445" s="19" t="str">
        <f t="shared" si="56"/>
        <v>C_Ope_005</v>
      </c>
      <c r="C445" s="3" t="s">
        <v>1330</v>
      </c>
      <c r="D445" s="14">
        <v>45896</v>
      </c>
      <c r="E445" s="5" t="s">
        <v>8535</v>
      </c>
      <c r="F445" s="5" t="s">
        <v>1336</v>
      </c>
      <c r="G445" s="6" t="s">
        <v>978</v>
      </c>
      <c r="H445" s="6" t="s">
        <v>68</v>
      </c>
      <c r="I445" s="6" t="s">
        <v>6204</v>
      </c>
      <c r="J445" s="6">
        <v>1823668</v>
      </c>
      <c r="K445" s="7" t="s">
        <v>8756</v>
      </c>
      <c r="L445" s="8">
        <v>25283</v>
      </c>
      <c r="M445" s="8" t="str">
        <f t="shared" si="57"/>
        <v>PEN</v>
      </c>
      <c r="N445" s="13"/>
      <c r="O445" s="13">
        <v>8</v>
      </c>
      <c r="P445" s="3">
        <f t="shared" si="58"/>
        <v>0</v>
      </c>
      <c r="Q445" s="3">
        <f t="shared" si="59"/>
        <v>8</v>
      </c>
      <c r="R445" s="3">
        <f t="shared" si="43"/>
        <v>297.39999999999918</v>
      </c>
      <c r="S445" s="24" t="s">
        <v>1334</v>
      </c>
      <c r="T445" s="24"/>
      <c r="U445" s="3"/>
      <c r="V445" s="25" t="s">
        <v>7761</v>
      </c>
      <c r="W445" s="25">
        <v>20517252558</v>
      </c>
      <c r="X445" s="25" t="str">
        <f>IFERROR(VLOOKUP(C_Ope_005[[#This Row],[nota_2]],Clientes_Proveedores[[Ruc / Dni]:[Razon Social]],2,0),"")</f>
        <v>COVISUR S.A.</v>
      </c>
      <c r="Y445" s="25" t="s">
        <v>7888</v>
      </c>
      <c r="Z445" s="103"/>
      <c r="AA445" s="3" t="str">
        <f>IF(C_Ope_005[[#This Row],[fecha]]&gt;0,TEXT(C_Ope_005[[#This Row],[fecha]],"mmmm"),0)</f>
        <v>Agosto</v>
      </c>
      <c r="AB445" s="49"/>
    </row>
    <row r="446" spans="1:28" x14ac:dyDescent="0.3">
      <c r="A446" s="2">
        <f>IF(C_Ope_005[[#This Row],[tipo_r]]="R",COUNTIFS($C$1:$C445,"R")+1,"")</f>
        <v>445</v>
      </c>
      <c r="B446" s="19" t="str">
        <f t="shared" si="56"/>
        <v>C_Ope_005</v>
      </c>
      <c r="C446" s="3" t="s">
        <v>1330</v>
      </c>
      <c r="D446" s="14">
        <v>45896</v>
      </c>
      <c r="E446" s="5" t="s">
        <v>8535</v>
      </c>
      <c r="F446" s="5" t="s">
        <v>1336</v>
      </c>
      <c r="G446" s="6" t="s">
        <v>978</v>
      </c>
      <c r="H446" s="6" t="s">
        <v>68</v>
      </c>
      <c r="I446" s="6" t="s">
        <v>5845</v>
      </c>
      <c r="J446" s="6">
        <v>1844765</v>
      </c>
      <c r="K446" s="7" t="s">
        <v>8462</v>
      </c>
      <c r="L446" s="8">
        <v>25284</v>
      </c>
      <c r="M446" s="8" t="str">
        <f t="shared" si="57"/>
        <v>PEN</v>
      </c>
      <c r="N446" s="13"/>
      <c r="O446" s="13">
        <v>8</v>
      </c>
      <c r="P446" s="3">
        <f t="shared" si="58"/>
        <v>0</v>
      </c>
      <c r="Q446" s="3">
        <f t="shared" si="59"/>
        <v>8</v>
      </c>
      <c r="R446" s="3">
        <f t="shared" si="43"/>
        <v>289.39999999999918</v>
      </c>
      <c r="S446" s="24" t="s">
        <v>1334</v>
      </c>
      <c r="T446" s="24"/>
      <c r="U446" s="3"/>
      <c r="V446" s="25" t="s">
        <v>7842</v>
      </c>
      <c r="W446" s="25">
        <v>20517252558</v>
      </c>
      <c r="X446" s="25" t="str">
        <f>IFERROR(VLOOKUP(C_Ope_005[[#This Row],[nota_2]],Clientes_Proveedores[[Ruc / Dni]:[Razon Social]],2,0),"")</f>
        <v>COVISUR S.A.</v>
      </c>
      <c r="Y446" s="25" t="s">
        <v>7888</v>
      </c>
      <c r="Z446" s="103"/>
      <c r="AA446" s="3" t="str">
        <f>IF(C_Ope_005[[#This Row],[fecha]]&gt;0,TEXT(C_Ope_005[[#This Row],[fecha]],"mmmm"),0)</f>
        <v>Agosto</v>
      </c>
      <c r="AB446" s="49"/>
    </row>
    <row r="447" spans="1:28" ht="36" x14ac:dyDescent="0.3">
      <c r="A447" s="2">
        <f>IF(C_Ope_005[[#This Row],[tipo_r]]="R",COUNTIFS($C$1:$C446,"R")+1,"")</f>
        <v>446</v>
      </c>
      <c r="B447" s="19" t="str">
        <f t="shared" si="56"/>
        <v>C_Ope_005</v>
      </c>
      <c r="C447" s="3" t="s">
        <v>1330</v>
      </c>
      <c r="D447" s="14">
        <v>45896</v>
      </c>
      <c r="E447" s="5" t="s">
        <v>8535</v>
      </c>
      <c r="F447" s="5" t="s">
        <v>1336</v>
      </c>
      <c r="G447" s="6" t="s">
        <v>227</v>
      </c>
      <c r="H447" s="6" t="s">
        <v>68</v>
      </c>
      <c r="I447" s="6" t="s">
        <v>1390</v>
      </c>
      <c r="J447" s="6">
        <v>136063</v>
      </c>
      <c r="K447" s="7" t="s">
        <v>8757</v>
      </c>
      <c r="L447" s="8">
        <v>25285</v>
      </c>
      <c r="M447" s="8" t="str">
        <f t="shared" si="57"/>
        <v>PEN</v>
      </c>
      <c r="N447" s="13"/>
      <c r="O447" s="13">
        <v>10</v>
      </c>
      <c r="P447" s="3">
        <f t="shared" si="58"/>
        <v>0</v>
      </c>
      <c r="Q447" s="3">
        <f t="shared" si="59"/>
        <v>10</v>
      </c>
      <c r="R447" s="3">
        <f t="shared" si="43"/>
        <v>279.39999999999918</v>
      </c>
      <c r="S447" s="24" t="s">
        <v>1334</v>
      </c>
      <c r="T447" s="24"/>
      <c r="U447" s="3"/>
      <c r="V447" s="25" t="s">
        <v>7761</v>
      </c>
      <c r="W447" s="25">
        <v>20124952850</v>
      </c>
      <c r="X447" s="25" t="str">
        <f>IFERROR(VLOOKUP(C_Ope_005[[#This Row],[nota_2]],Clientes_Proveedores[[Ruc / Dni]:[Razon Social]],2,0),"")</f>
        <v>ALIMENTOS Y SERVICIOS AGROPECUARIOS SRL.</v>
      </c>
      <c r="Y447" s="25" t="s">
        <v>5933</v>
      </c>
      <c r="Z447" s="103"/>
      <c r="AA447" s="3" t="str">
        <f>IF(C_Ope_005[[#This Row],[fecha]]&gt;0,TEXT(C_Ope_005[[#This Row],[fecha]],"mmmm"),0)</f>
        <v>Agosto</v>
      </c>
      <c r="AB447" s="49"/>
    </row>
    <row r="448" spans="1:28" ht="24" x14ac:dyDescent="0.3">
      <c r="A448" s="2">
        <f>IF(C_Ope_005[[#This Row],[tipo_r]]="R",COUNTIFS($C$1:$C447,"R")+1,"")</f>
        <v>447</v>
      </c>
      <c r="B448" s="19" t="str">
        <f t="shared" si="56"/>
        <v>C_Ope_005</v>
      </c>
      <c r="C448" s="3" t="s">
        <v>1330</v>
      </c>
      <c r="D448" s="14">
        <v>45897</v>
      </c>
      <c r="E448" s="5" t="s">
        <v>8535</v>
      </c>
      <c r="F448" s="5" t="s">
        <v>1336</v>
      </c>
      <c r="G448" s="6" t="s">
        <v>978</v>
      </c>
      <c r="H448" s="6" t="s">
        <v>68</v>
      </c>
      <c r="I448" s="6" t="s">
        <v>8557</v>
      </c>
      <c r="J448" s="6">
        <v>1932960</v>
      </c>
      <c r="K448" s="7" t="s">
        <v>8758</v>
      </c>
      <c r="L448" s="8">
        <v>25298</v>
      </c>
      <c r="M448" s="8" t="str">
        <f t="shared" si="57"/>
        <v>PEN</v>
      </c>
      <c r="N448" s="13"/>
      <c r="O448" s="13">
        <v>7.7</v>
      </c>
      <c r="P448" s="3">
        <f t="shared" si="58"/>
        <v>0</v>
      </c>
      <c r="Q448" s="3">
        <f t="shared" si="59"/>
        <v>7.7</v>
      </c>
      <c r="R448" s="3">
        <f t="shared" si="43"/>
        <v>271.69999999999919</v>
      </c>
      <c r="S448" s="24" t="s">
        <v>1334</v>
      </c>
      <c r="T448" s="24"/>
      <c r="U448" s="3"/>
      <c r="V448" s="25" t="s">
        <v>7842</v>
      </c>
      <c r="W448" s="25">
        <v>20517252558</v>
      </c>
      <c r="X448" s="25" t="str">
        <f>IFERROR(VLOOKUP(C_Ope_005[[#This Row],[nota_2]],Clientes_Proveedores[[Ruc / Dni]:[Razon Social]],2,0),"")</f>
        <v>COVISUR S.A.</v>
      </c>
      <c r="Y448" s="25" t="s">
        <v>7888</v>
      </c>
      <c r="Z448" s="103"/>
      <c r="AA448" s="3" t="str">
        <f>IF(C_Ope_005[[#This Row],[fecha]]&gt;0,TEXT(C_Ope_005[[#This Row],[fecha]],"mmmm"),0)</f>
        <v>Agosto</v>
      </c>
      <c r="AB448" s="49"/>
    </row>
    <row r="449" spans="1:28" ht="24" x14ac:dyDescent="0.3">
      <c r="A449" s="2">
        <f>IF(C_Ope_005[[#This Row],[tipo_r]]="R",COUNTIFS($C$1:$C448,"R")+1,"")</f>
        <v>448</v>
      </c>
      <c r="B449" s="19" t="str">
        <f t="shared" si="56"/>
        <v>C_Ope_005</v>
      </c>
      <c r="C449" s="3" t="s">
        <v>1330</v>
      </c>
      <c r="D449" s="14">
        <v>45897</v>
      </c>
      <c r="E449" s="5" t="s">
        <v>8535</v>
      </c>
      <c r="F449" s="5" t="s">
        <v>1336</v>
      </c>
      <c r="G449" s="6" t="s">
        <v>978</v>
      </c>
      <c r="H449" s="6" t="s">
        <v>68</v>
      </c>
      <c r="I449" s="6" t="s">
        <v>8552</v>
      </c>
      <c r="J449" s="6">
        <v>1884291</v>
      </c>
      <c r="K449" s="7" t="s">
        <v>8758</v>
      </c>
      <c r="L449" s="8">
        <v>25299</v>
      </c>
      <c r="M449" s="8" t="str">
        <f t="shared" si="57"/>
        <v>PEN</v>
      </c>
      <c r="N449" s="13"/>
      <c r="O449" s="13">
        <v>7.7</v>
      </c>
      <c r="P449" s="3">
        <f t="shared" si="58"/>
        <v>0</v>
      </c>
      <c r="Q449" s="3">
        <f t="shared" si="59"/>
        <v>7.7</v>
      </c>
      <c r="R449" s="3">
        <f t="shared" si="43"/>
        <v>263.9999999999992</v>
      </c>
      <c r="S449" s="24" t="s">
        <v>1334</v>
      </c>
      <c r="T449" s="24"/>
      <c r="U449" s="3"/>
      <c r="V449" s="25" t="s">
        <v>7842</v>
      </c>
      <c r="W449" s="25">
        <v>20517252558</v>
      </c>
      <c r="X449" s="25" t="str">
        <f>IFERROR(VLOOKUP(C_Ope_005[[#This Row],[nota_2]],Clientes_Proveedores[[Ruc / Dni]:[Razon Social]],2,0),"")</f>
        <v>COVISUR S.A.</v>
      </c>
      <c r="Y449" s="25" t="s">
        <v>7888</v>
      </c>
      <c r="Z449" s="103"/>
      <c r="AA449" s="3" t="str">
        <f>IF(C_Ope_005[[#This Row],[fecha]]&gt;0,TEXT(C_Ope_005[[#This Row],[fecha]],"mmmm"),0)</f>
        <v>Agosto</v>
      </c>
      <c r="AB449" s="49"/>
    </row>
    <row r="450" spans="1:28" ht="36" x14ac:dyDescent="0.3">
      <c r="A450" s="2">
        <f>IF(C_Ope_005[[#This Row],[tipo_r]]="R",COUNTIFS($C$1:$C449,"R")+1,"")</f>
        <v>449</v>
      </c>
      <c r="B450" s="19" t="str">
        <f t="shared" si="56"/>
        <v>C_Ope_005</v>
      </c>
      <c r="C450" s="3" t="s">
        <v>1330</v>
      </c>
      <c r="D450" s="14">
        <v>45897</v>
      </c>
      <c r="E450" s="5" t="s">
        <v>8535</v>
      </c>
      <c r="F450" s="5" t="s">
        <v>1336</v>
      </c>
      <c r="G450" s="6" t="s">
        <v>227</v>
      </c>
      <c r="H450" s="6" t="s">
        <v>68</v>
      </c>
      <c r="I450" s="6" t="s">
        <v>1390</v>
      </c>
      <c r="J450" s="6">
        <v>136117</v>
      </c>
      <c r="K450" s="7" t="s">
        <v>8759</v>
      </c>
      <c r="L450" s="8">
        <v>25300</v>
      </c>
      <c r="M450" s="8" t="str">
        <f t="shared" si="57"/>
        <v>PEN</v>
      </c>
      <c r="N450" s="13"/>
      <c r="O450" s="13">
        <v>10</v>
      </c>
      <c r="P450" s="3">
        <f t="shared" si="58"/>
        <v>0</v>
      </c>
      <c r="Q450" s="3">
        <f t="shared" si="59"/>
        <v>10</v>
      </c>
      <c r="R450" s="3">
        <f t="shared" ref="R450:R513" si="60">IFERROR(IF(F450="SALDO",P450,R449+P450-Q450),0)</f>
        <v>253.9999999999992</v>
      </c>
      <c r="S450" s="24" t="s">
        <v>1334</v>
      </c>
      <c r="T450" s="24"/>
      <c r="U450" s="3"/>
      <c r="V450" s="25" t="s">
        <v>7842</v>
      </c>
      <c r="W450" s="25">
        <v>20124952850</v>
      </c>
      <c r="X450" s="25" t="str">
        <f>IFERROR(VLOOKUP(C_Ope_005[[#This Row],[nota_2]],Clientes_Proveedores[[Ruc / Dni]:[Razon Social]],2,0),"")</f>
        <v>ALIMENTOS Y SERVICIOS AGROPECUARIOS SRL.</v>
      </c>
      <c r="Y450" s="25" t="s">
        <v>5933</v>
      </c>
      <c r="Z450" s="103"/>
      <c r="AA450" s="3" t="str">
        <f>IF(C_Ope_005[[#This Row],[fecha]]&gt;0,TEXT(C_Ope_005[[#This Row],[fecha]],"mmmm"),0)</f>
        <v>Agosto</v>
      </c>
      <c r="AB450" s="49"/>
    </row>
    <row r="451" spans="1:28" ht="24" x14ac:dyDescent="0.3">
      <c r="A451" s="2">
        <f>IF(C_Ope_005[[#This Row],[tipo_r]]="R",COUNTIFS($C$1:$C450,"R")+1,"")</f>
        <v>450</v>
      </c>
      <c r="B451" s="19" t="str">
        <f t="shared" si="56"/>
        <v>C_Ope_005</v>
      </c>
      <c r="C451" s="3" t="s">
        <v>1330</v>
      </c>
      <c r="D451" s="14">
        <v>45897</v>
      </c>
      <c r="E451" s="5" t="s">
        <v>8535</v>
      </c>
      <c r="F451" s="5" t="s">
        <v>1336</v>
      </c>
      <c r="G451" s="6" t="s">
        <v>1009</v>
      </c>
      <c r="H451" s="6" t="s">
        <v>126</v>
      </c>
      <c r="I451" s="6"/>
      <c r="J451" s="6">
        <v>25301</v>
      </c>
      <c r="K451" s="7" t="s">
        <v>8760</v>
      </c>
      <c r="L451" s="8">
        <v>25301</v>
      </c>
      <c r="M451" s="8" t="str">
        <f t="shared" si="57"/>
        <v>PEN</v>
      </c>
      <c r="N451" s="13"/>
      <c r="O451" s="13">
        <v>36</v>
      </c>
      <c r="P451" s="3">
        <f t="shared" si="58"/>
        <v>0</v>
      </c>
      <c r="Q451" s="3">
        <f t="shared" si="59"/>
        <v>36</v>
      </c>
      <c r="R451" s="3">
        <f t="shared" si="60"/>
        <v>217.9999999999992</v>
      </c>
      <c r="S451" s="24" t="s">
        <v>1334</v>
      </c>
      <c r="T451" s="24"/>
      <c r="U451" s="3"/>
      <c r="V451" s="25" t="s">
        <v>7842</v>
      </c>
      <c r="W451" s="25"/>
      <c r="X451" s="25" t="str">
        <f>IFERROR(VLOOKUP(C_Ope_005[[#This Row],[nota_2]],Clientes_Proveedores[[Ruc / Dni]:[Razon Social]],2,0),"")</f>
        <v/>
      </c>
      <c r="Y451" s="25" t="s">
        <v>8430</v>
      </c>
      <c r="Z451" s="103"/>
      <c r="AA451" s="3" t="str">
        <f>IF(C_Ope_005[[#This Row],[fecha]]&gt;0,TEXT(C_Ope_005[[#This Row],[fecha]],"mmmm"),0)</f>
        <v>Agosto</v>
      </c>
      <c r="AB451" s="49"/>
    </row>
    <row r="452" spans="1:28" ht="24" x14ac:dyDescent="0.3">
      <c r="A452" s="2">
        <f>IF(C_Ope_005[[#This Row],[tipo_r]]="R",COUNTIFS($C$1:$C451,"R")+1,"")</f>
        <v>451</v>
      </c>
      <c r="B452" s="19" t="str">
        <f t="shared" si="56"/>
        <v>C_Ope_005</v>
      </c>
      <c r="C452" s="3" t="s">
        <v>1330</v>
      </c>
      <c r="D452" s="14">
        <v>45897</v>
      </c>
      <c r="E452" s="5" t="s">
        <v>8535</v>
      </c>
      <c r="F452" s="5" t="s">
        <v>1336</v>
      </c>
      <c r="G452" s="6" t="s">
        <v>1009</v>
      </c>
      <c r="H452" s="6" t="s">
        <v>126</v>
      </c>
      <c r="I452" s="6"/>
      <c r="J452" s="6">
        <v>25302</v>
      </c>
      <c r="K452" s="7" t="s">
        <v>8761</v>
      </c>
      <c r="L452" s="8">
        <v>25302</v>
      </c>
      <c r="M452" s="8" t="str">
        <f t="shared" si="57"/>
        <v>PEN</v>
      </c>
      <c r="N452" s="13"/>
      <c r="O452" s="13">
        <v>45</v>
      </c>
      <c r="P452" s="3">
        <f t="shared" si="58"/>
        <v>0</v>
      </c>
      <c r="Q452" s="3">
        <f t="shared" si="59"/>
        <v>45</v>
      </c>
      <c r="R452" s="3">
        <f t="shared" si="60"/>
        <v>172.9999999999992</v>
      </c>
      <c r="S452" s="24" t="s">
        <v>1334</v>
      </c>
      <c r="T452" s="24"/>
      <c r="U452" s="3"/>
      <c r="V452" s="25" t="s">
        <v>7842</v>
      </c>
      <c r="W452" s="25"/>
      <c r="X452" s="25" t="str">
        <f>IFERROR(VLOOKUP(C_Ope_005[[#This Row],[nota_2]],Clientes_Proveedores[[Ruc / Dni]:[Razon Social]],2,0),"")</f>
        <v/>
      </c>
      <c r="Y452" s="25" t="s">
        <v>8430</v>
      </c>
      <c r="Z452" s="103"/>
      <c r="AA452" s="3" t="str">
        <f>IF(C_Ope_005[[#This Row],[fecha]]&gt;0,TEXT(C_Ope_005[[#This Row],[fecha]],"mmmm"),0)</f>
        <v>Agosto</v>
      </c>
      <c r="AB452" s="49"/>
    </row>
    <row r="453" spans="1:28" ht="24" x14ac:dyDescent="0.3">
      <c r="A453" s="2">
        <f>IF(C_Ope_005[[#This Row],[tipo_r]]="R",COUNTIFS($C$1:$C452,"R")+1,"")</f>
        <v>452</v>
      </c>
      <c r="B453" s="19" t="str">
        <f t="shared" si="56"/>
        <v>C_Ope_005</v>
      </c>
      <c r="C453" s="3" t="s">
        <v>1330</v>
      </c>
      <c r="D453" s="14">
        <v>45898</v>
      </c>
      <c r="E453" s="5" t="s">
        <v>8535</v>
      </c>
      <c r="F453" s="5" t="s">
        <v>1336</v>
      </c>
      <c r="G453" s="6" t="s">
        <v>978</v>
      </c>
      <c r="H453" s="6" t="s">
        <v>68</v>
      </c>
      <c r="I453" s="6" t="s">
        <v>6203</v>
      </c>
      <c r="J453" s="6">
        <v>2161382</v>
      </c>
      <c r="K453" s="7" t="s">
        <v>8762</v>
      </c>
      <c r="L453" s="8">
        <v>25316</v>
      </c>
      <c r="M453" s="8" t="str">
        <f t="shared" si="57"/>
        <v>PEN</v>
      </c>
      <c r="N453" s="13"/>
      <c r="O453" s="13">
        <v>8</v>
      </c>
      <c r="P453" s="3">
        <f t="shared" si="58"/>
        <v>0</v>
      </c>
      <c r="Q453" s="3">
        <f t="shared" si="59"/>
        <v>8</v>
      </c>
      <c r="R453" s="3">
        <f t="shared" si="60"/>
        <v>164.9999999999992</v>
      </c>
      <c r="S453" s="24" t="s">
        <v>1334</v>
      </c>
      <c r="T453" s="24"/>
      <c r="U453" s="3"/>
      <c r="V453" s="25" t="s">
        <v>7842</v>
      </c>
      <c r="W453" s="25">
        <v>20517252558</v>
      </c>
      <c r="X453" s="25" t="str">
        <f>IFERROR(VLOOKUP(C_Ope_005[[#This Row],[nota_2]],Clientes_Proveedores[[Ruc / Dni]:[Razon Social]],2,0),"")</f>
        <v>COVISUR S.A.</v>
      </c>
      <c r="Y453" s="25" t="s">
        <v>7888</v>
      </c>
      <c r="Z453" s="103"/>
      <c r="AA453" s="3" t="str">
        <f>IF(C_Ope_005[[#This Row],[fecha]]&gt;0,TEXT(C_Ope_005[[#This Row],[fecha]],"mmmm"),0)</f>
        <v>Agosto</v>
      </c>
      <c r="AB453" s="49"/>
    </row>
    <row r="454" spans="1:28" ht="24" x14ac:dyDescent="0.3">
      <c r="A454" s="2">
        <f>IF(C_Ope_005[[#This Row],[tipo_r]]="R",COUNTIFS($C$1:$C453,"R")+1,"")</f>
        <v>453</v>
      </c>
      <c r="B454" s="19" t="str">
        <f t="shared" si="56"/>
        <v>C_Ope_005</v>
      </c>
      <c r="C454" s="3" t="s">
        <v>1330</v>
      </c>
      <c r="D454" s="14">
        <v>45898</v>
      </c>
      <c r="E454" s="5" t="s">
        <v>8535</v>
      </c>
      <c r="F454" s="5" t="s">
        <v>1336</v>
      </c>
      <c r="G454" s="6" t="s">
        <v>978</v>
      </c>
      <c r="H454" s="6" t="s">
        <v>68</v>
      </c>
      <c r="I454" s="6" t="s">
        <v>6204</v>
      </c>
      <c r="J454" s="6">
        <v>1825798</v>
      </c>
      <c r="K454" s="7" t="s">
        <v>8762</v>
      </c>
      <c r="L454" s="8">
        <v>25317</v>
      </c>
      <c r="M454" s="8" t="str">
        <f t="shared" si="57"/>
        <v>PEN</v>
      </c>
      <c r="N454" s="13"/>
      <c r="O454" s="13">
        <v>8</v>
      </c>
      <c r="P454" s="3">
        <f t="shared" si="58"/>
        <v>0</v>
      </c>
      <c r="Q454" s="3">
        <f t="shared" si="59"/>
        <v>8</v>
      </c>
      <c r="R454" s="3">
        <f t="shared" si="60"/>
        <v>156.9999999999992</v>
      </c>
      <c r="S454" s="24" t="s">
        <v>1334</v>
      </c>
      <c r="T454" s="24"/>
      <c r="U454" s="3"/>
      <c r="V454" s="25" t="s">
        <v>7842</v>
      </c>
      <c r="W454" s="25">
        <v>20517252558</v>
      </c>
      <c r="X454" s="25" t="str">
        <f>IFERROR(VLOOKUP(C_Ope_005[[#This Row],[nota_2]],Clientes_Proveedores[[Ruc / Dni]:[Razon Social]],2,0),"")</f>
        <v>COVISUR S.A.</v>
      </c>
      <c r="Y454" s="25" t="s">
        <v>7888</v>
      </c>
      <c r="Z454" s="103"/>
      <c r="AA454" s="3" t="str">
        <f>IF(C_Ope_005[[#This Row],[fecha]]&gt;0,TEXT(C_Ope_005[[#This Row],[fecha]],"mmmm"),0)</f>
        <v>Agosto</v>
      </c>
      <c r="AB454" s="49"/>
    </row>
    <row r="455" spans="1:28" ht="24" x14ac:dyDescent="0.3">
      <c r="A455" s="2">
        <f>IF(C_Ope_005[[#This Row],[tipo_r]]="R",COUNTIFS($C$1:$C454,"R")+1,"")</f>
        <v>454</v>
      </c>
      <c r="B455" s="19" t="str">
        <f t="shared" ref="B455:B468" si="61">"C_Ope_005"</f>
        <v>C_Ope_005</v>
      </c>
      <c r="C455" s="3" t="s">
        <v>1330</v>
      </c>
      <c r="D455" s="14">
        <v>45901</v>
      </c>
      <c r="E455" s="5" t="s">
        <v>8535</v>
      </c>
      <c r="F455" s="5" t="s">
        <v>1336</v>
      </c>
      <c r="G455" s="6" t="s">
        <v>978</v>
      </c>
      <c r="H455" s="6" t="s">
        <v>68</v>
      </c>
      <c r="I455" s="6" t="s">
        <v>5688</v>
      </c>
      <c r="J455" s="6">
        <v>2455947</v>
      </c>
      <c r="K455" s="7" t="s">
        <v>8763</v>
      </c>
      <c r="L455" s="8">
        <v>25331</v>
      </c>
      <c r="M455" s="8" t="str">
        <f t="shared" ref="M455:M468" si="62">"PEN"</f>
        <v>PEN</v>
      </c>
      <c r="N455" s="13"/>
      <c r="O455" s="13">
        <v>8</v>
      </c>
      <c r="P455" s="3">
        <f t="shared" ref="P455:P468" si="63">+IF(OR($F455="SALDO",$F455="INGRESO"),$O455,0)</f>
        <v>0</v>
      </c>
      <c r="Q455" s="3">
        <f t="shared" ref="Q455:Q468" si="64">+IF($F455="EGRESO",$O455,0)</f>
        <v>8</v>
      </c>
      <c r="R455" s="3">
        <f t="shared" si="60"/>
        <v>148.9999999999992</v>
      </c>
      <c r="S455" s="24" t="s">
        <v>1334</v>
      </c>
      <c r="T455" s="24"/>
      <c r="U455" s="3"/>
      <c r="V455" s="25" t="s">
        <v>7842</v>
      </c>
      <c r="W455" s="25">
        <v>20517252558</v>
      </c>
      <c r="X455" s="25" t="str">
        <f>IFERROR(VLOOKUP(C_Ope_005[[#This Row],[nota_2]],Clientes_Proveedores[[Ruc / Dni]:[Razon Social]],2,0),"")</f>
        <v>COVISUR S.A.</v>
      </c>
      <c r="Y455" s="25" t="s">
        <v>7888</v>
      </c>
      <c r="Z455" s="103"/>
      <c r="AA455" s="3" t="str">
        <f>IF(C_Ope_005[[#This Row],[fecha]]&gt;0,TEXT(C_Ope_005[[#This Row],[fecha]],"mmmm"),0)</f>
        <v>Setiembre</v>
      </c>
      <c r="AB455" s="49"/>
    </row>
    <row r="456" spans="1:28" ht="36" x14ac:dyDescent="0.3">
      <c r="A456" s="2">
        <f>IF(C_Ope_005[[#This Row],[tipo_r]]="R",COUNTIFS($C$1:$C455,"R")+1,"")</f>
        <v>455</v>
      </c>
      <c r="B456" s="19" t="str">
        <f t="shared" si="61"/>
        <v>C_Ope_005</v>
      </c>
      <c r="C456" s="3" t="s">
        <v>1330</v>
      </c>
      <c r="D456" s="14">
        <v>45901</v>
      </c>
      <c r="E456" s="5" t="s">
        <v>8535</v>
      </c>
      <c r="F456" s="5" t="s">
        <v>1336</v>
      </c>
      <c r="G456" s="6" t="s">
        <v>682</v>
      </c>
      <c r="H456" s="6" t="s">
        <v>68</v>
      </c>
      <c r="I456" s="6" t="s">
        <v>1353</v>
      </c>
      <c r="J456" s="6">
        <v>17562</v>
      </c>
      <c r="K456" s="7" t="s">
        <v>8735</v>
      </c>
      <c r="L456" s="8">
        <v>25332</v>
      </c>
      <c r="M456" s="8" t="str">
        <f t="shared" si="62"/>
        <v>PEN</v>
      </c>
      <c r="N456" s="13"/>
      <c r="O456" s="13">
        <v>20</v>
      </c>
      <c r="P456" s="3">
        <f t="shared" si="63"/>
        <v>0</v>
      </c>
      <c r="Q456" s="3">
        <f t="shared" si="64"/>
        <v>20</v>
      </c>
      <c r="R456" s="3">
        <f t="shared" si="60"/>
        <v>128.9999999999992</v>
      </c>
      <c r="S456" s="24" t="s">
        <v>1334</v>
      </c>
      <c r="T456" s="24"/>
      <c r="U456" s="3"/>
      <c r="V456" s="25" t="s">
        <v>7842</v>
      </c>
      <c r="W456" s="25">
        <v>20259858934</v>
      </c>
      <c r="X456" s="25" t="str">
        <f>IFERROR(VLOOKUP(C_Ope_005[[#This Row],[nota_2]],Clientes_Proveedores[[Ruc / Dni]:[Razon Social]],2,0),"")</f>
        <v>COMERCIALIZACION Y SERVICIOS EL EDEN S.A.C.</v>
      </c>
      <c r="Y456" s="25" t="s">
        <v>5933</v>
      </c>
      <c r="Z456" s="103"/>
      <c r="AA456" s="3" t="str">
        <f>IF(C_Ope_005[[#This Row],[fecha]]&gt;0,TEXT(C_Ope_005[[#This Row],[fecha]],"mmmm"),0)</f>
        <v>Setiembre</v>
      </c>
      <c r="AB456" s="49"/>
    </row>
    <row r="457" spans="1:28" x14ac:dyDescent="0.3">
      <c r="A457" s="2">
        <f>IF(C_Ope_005[[#This Row],[tipo_r]]="R",COUNTIFS($C$1:$C456,"R")+1,"")</f>
        <v>456</v>
      </c>
      <c r="B457" s="19" t="str">
        <f t="shared" si="61"/>
        <v>C_Ope_005</v>
      </c>
      <c r="C457" s="3" t="s">
        <v>1330</v>
      </c>
      <c r="D457" s="14">
        <v>45903</v>
      </c>
      <c r="E457" s="5" t="s">
        <v>8535</v>
      </c>
      <c r="F457" s="5" t="s">
        <v>1336</v>
      </c>
      <c r="G457" s="6" t="s">
        <v>978</v>
      </c>
      <c r="H457" s="6" t="s">
        <v>68</v>
      </c>
      <c r="I457" s="6" t="s">
        <v>5845</v>
      </c>
      <c r="J457" s="6">
        <v>1851613</v>
      </c>
      <c r="K457" s="7" t="s">
        <v>8733</v>
      </c>
      <c r="L457" s="8">
        <v>25372</v>
      </c>
      <c r="M457" s="8" t="str">
        <f t="shared" si="62"/>
        <v>PEN</v>
      </c>
      <c r="N457" s="13"/>
      <c r="O457" s="13">
        <v>8</v>
      </c>
      <c r="P457" s="3">
        <f t="shared" si="63"/>
        <v>0</v>
      </c>
      <c r="Q457" s="3">
        <f t="shared" si="64"/>
        <v>8</v>
      </c>
      <c r="R457" s="3">
        <f t="shared" si="60"/>
        <v>120.9999999999992</v>
      </c>
      <c r="S457" s="24" t="s">
        <v>1334</v>
      </c>
      <c r="T457" s="24"/>
      <c r="U457" s="3"/>
      <c r="V457" s="25" t="s">
        <v>7842</v>
      </c>
      <c r="W457" s="25">
        <v>20517252558</v>
      </c>
      <c r="X457" s="25" t="str">
        <f>IFERROR(VLOOKUP(C_Ope_005[[#This Row],[nota_2]],Clientes_Proveedores[[Ruc / Dni]:[Razon Social]],2,0),"")</f>
        <v>COVISUR S.A.</v>
      </c>
      <c r="Y457" s="25" t="s">
        <v>7888</v>
      </c>
      <c r="Z457" s="103"/>
      <c r="AA457" s="3" t="str">
        <f>IF(C_Ope_005[[#This Row],[fecha]]&gt;0,TEXT(C_Ope_005[[#This Row],[fecha]],"mmmm"),0)</f>
        <v>Setiembre</v>
      </c>
      <c r="AB457" s="49"/>
    </row>
    <row r="458" spans="1:28" ht="24" x14ac:dyDescent="0.3">
      <c r="A458" s="2">
        <f>IF(C_Ope_005[[#This Row],[tipo_r]]="R",COUNTIFS($C$1:$C457,"R")+1,"")</f>
        <v>457</v>
      </c>
      <c r="B458" s="19" t="str">
        <f t="shared" si="61"/>
        <v>C_Ope_005</v>
      </c>
      <c r="C458" s="3" t="s">
        <v>1330</v>
      </c>
      <c r="D458" s="14">
        <v>45904</v>
      </c>
      <c r="E458" s="5" t="s">
        <v>8535</v>
      </c>
      <c r="F458" s="5" t="s">
        <v>1336</v>
      </c>
      <c r="G458" s="6" t="s">
        <v>978</v>
      </c>
      <c r="H458" s="6" t="s">
        <v>68</v>
      </c>
      <c r="I458" s="6" t="s">
        <v>6204</v>
      </c>
      <c r="J458" s="6">
        <v>1831570</v>
      </c>
      <c r="K458" s="7" t="s">
        <v>8764</v>
      </c>
      <c r="L458" s="8">
        <v>25387</v>
      </c>
      <c r="M458" s="8" t="str">
        <f t="shared" si="62"/>
        <v>PEN</v>
      </c>
      <c r="N458" s="13"/>
      <c r="O458" s="13">
        <v>8</v>
      </c>
      <c r="P458" s="3">
        <f t="shared" si="63"/>
        <v>0</v>
      </c>
      <c r="Q458" s="3">
        <f t="shared" si="64"/>
        <v>8</v>
      </c>
      <c r="R458" s="3">
        <f t="shared" si="60"/>
        <v>112.9999999999992</v>
      </c>
      <c r="S458" s="24" t="s">
        <v>1334</v>
      </c>
      <c r="T458" s="24"/>
      <c r="U458" s="3"/>
      <c r="V458" s="25" t="s">
        <v>7842</v>
      </c>
      <c r="W458" s="25">
        <v>20517252558</v>
      </c>
      <c r="X458" s="25" t="str">
        <f>IFERROR(VLOOKUP(C_Ope_005[[#This Row],[nota_2]],Clientes_Proveedores[[Ruc / Dni]:[Razon Social]],2,0),"")</f>
        <v>COVISUR S.A.</v>
      </c>
      <c r="Y458" s="25" t="s">
        <v>7888</v>
      </c>
      <c r="Z458" s="103"/>
      <c r="AA458" s="3" t="str">
        <f>IF(C_Ope_005[[#This Row],[fecha]]&gt;0,TEXT(C_Ope_005[[#This Row],[fecha]],"mmmm"),0)</f>
        <v>Setiembre</v>
      </c>
      <c r="AB458" s="49"/>
    </row>
    <row r="459" spans="1:28" ht="24" x14ac:dyDescent="0.3">
      <c r="A459" s="2">
        <f>IF(C_Ope_005[[#This Row],[tipo_r]]="R",COUNTIFS($C$1:$C458,"R")+1,"")</f>
        <v>458</v>
      </c>
      <c r="B459" s="19" t="str">
        <f t="shared" si="61"/>
        <v>C_Ope_005</v>
      </c>
      <c r="C459" s="3" t="s">
        <v>1330</v>
      </c>
      <c r="D459" s="14">
        <v>45905</v>
      </c>
      <c r="E459" s="5" t="s">
        <v>8535</v>
      </c>
      <c r="F459" s="5" t="s">
        <v>1336</v>
      </c>
      <c r="G459" s="6" t="s">
        <v>998</v>
      </c>
      <c r="H459" s="6" t="s">
        <v>68</v>
      </c>
      <c r="I459" s="6" t="s">
        <v>6378</v>
      </c>
      <c r="J459" s="6">
        <v>2527</v>
      </c>
      <c r="K459" s="7" t="s">
        <v>8765</v>
      </c>
      <c r="L459" s="8">
        <v>25411</v>
      </c>
      <c r="M459" s="8" t="str">
        <f t="shared" si="62"/>
        <v>PEN</v>
      </c>
      <c r="N459" s="13"/>
      <c r="O459" s="13">
        <v>10</v>
      </c>
      <c r="P459" s="3">
        <f t="shared" si="63"/>
        <v>0</v>
      </c>
      <c r="Q459" s="3">
        <f t="shared" si="64"/>
        <v>10</v>
      </c>
      <c r="R459" s="3">
        <f t="shared" si="60"/>
        <v>102.9999999999992</v>
      </c>
      <c r="S459" s="24" t="s">
        <v>1334</v>
      </c>
      <c r="T459" s="24"/>
      <c r="U459" s="3"/>
      <c r="V459" s="25" t="s">
        <v>7842</v>
      </c>
      <c r="W459" s="25">
        <v>20612112500</v>
      </c>
      <c r="X459" s="25" t="str">
        <f>IFERROR(VLOOKUP(C_Ope_005[[#This Row],[nota_2]],Clientes_Proveedores[[Ruc / Dni]:[Razon Social]],2,0),"")</f>
        <v>RECICLADORA LAS LOMAS E.I.R.L.</v>
      </c>
      <c r="Y459" s="25" t="s">
        <v>5933</v>
      </c>
      <c r="Z459" s="103"/>
      <c r="AA459" s="3" t="str">
        <f>IF(C_Ope_005[[#This Row],[fecha]]&gt;0,TEXT(C_Ope_005[[#This Row],[fecha]],"mmmm"),0)</f>
        <v>Setiembre</v>
      </c>
      <c r="AB459" s="49"/>
    </row>
    <row r="460" spans="1:28" x14ac:dyDescent="0.3">
      <c r="A460" s="2">
        <f>IF(C_Ope_005[[#This Row],[tipo_r]]="R",COUNTIFS($C$1:$C459,"R")+1,"")</f>
        <v>459</v>
      </c>
      <c r="B460" s="19" t="str">
        <f t="shared" si="61"/>
        <v>C_Ope_005</v>
      </c>
      <c r="C460" s="3" t="s">
        <v>1330</v>
      </c>
      <c r="D460" s="14">
        <v>45908</v>
      </c>
      <c r="E460" s="5" t="s">
        <v>8535</v>
      </c>
      <c r="F460" s="5" t="s">
        <v>1336</v>
      </c>
      <c r="G460" s="6" t="s">
        <v>978</v>
      </c>
      <c r="H460" s="6" t="s">
        <v>68</v>
      </c>
      <c r="I460" s="6" t="s">
        <v>6204</v>
      </c>
      <c r="J460" s="6">
        <v>1834877</v>
      </c>
      <c r="K460" s="7" t="s">
        <v>8756</v>
      </c>
      <c r="L460" s="8">
        <v>25426</v>
      </c>
      <c r="M460" s="8" t="str">
        <f t="shared" si="62"/>
        <v>PEN</v>
      </c>
      <c r="N460" s="13"/>
      <c r="O460" s="13">
        <v>8</v>
      </c>
      <c r="P460" s="3">
        <f t="shared" si="63"/>
        <v>0</v>
      </c>
      <c r="Q460" s="3">
        <f t="shared" si="64"/>
        <v>8</v>
      </c>
      <c r="R460" s="3">
        <f t="shared" si="60"/>
        <v>94.999999999999204</v>
      </c>
      <c r="S460" s="24" t="s">
        <v>1334</v>
      </c>
      <c r="T460" s="24"/>
      <c r="U460" s="3"/>
      <c r="V460" s="25" t="s">
        <v>7842</v>
      </c>
      <c r="W460" s="25">
        <v>20517252558</v>
      </c>
      <c r="X460" s="25" t="str">
        <f>IFERROR(VLOOKUP(C_Ope_005[[#This Row],[nota_2]],Clientes_Proveedores[[Ruc / Dni]:[Razon Social]],2,0),"")</f>
        <v>COVISUR S.A.</v>
      </c>
      <c r="Y460" s="25" t="s">
        <v>7888</v>
      </c>
      <c r="Z460" s="103"/>
      <c r="AA460" s="3" t="str">
        <f>IF(C_Ope_005[[#This Row],[fecha]]&gt;0,TEXT(C_Ope_005[[#This Row],[fecha]],"mmmm"),0)</f>
        <v>Setiembre</v>
      </c>
      <c r="AB460" s="49"/>
    </row>
    <row r="461" spans="1:28" ht="24" x14ac:dyDescent="0.3">
      <c r="A461" s="2">
        <f>IF(C_Ope_005[[#This Row],[tipo_r]]="R",COUNTIFS($C$1:$C460,"R")+1,"")</f>
        <v>460</v>
      </c>
      <c r="B461" s="19" t="str">
        <f t="shared" si="61"/>
        <v>C_Ope_005</v>
      </c>
      <c r="C461" s="3" t="s">
        <v>1330</v>
      </c>
      <c r="D461" s="14">
        <v>45909</v>
      </c>
      <c r="E461" s="5" t="s">
        <v>8535</v>
      </c>
      <c r="F461" s="5" t="s">
        <v>1336</v>
      </c>
      <c r="G461" s="6" t="s">
        <v>978</v>
      </c>
      <c r="H461" s="6" t="s">
        <v>68</v>
      </c>
      <c r="I461" s="6" t="s">
        <v>5688</v>
      </c>
      <c r="J461" s="6">
        <v>2466432</v>
      </c>
      <c r="K461" s="7" t="s">
        <v>8766</v>
      </c>
      <c r="L461" s="8">
        <v>25425</v>
      </c>
      <c r="M461" s="8" t="str">
        <f t="shared" si="62"/>
        <v>PEN</v>
      </c>
      <c r="N461" s="13"/>
      <c r="O461" s="13">
        <v>12</v>
      </c>
      <c r="P461" s="3">
        <f t="shared" si="63"/>
        <v>0</v>
      </c>
      <c r="Q461" s="3">
        <f t="shared" si="64"/>
        <v>12</v>
      </c>
      <c r="R461" s="3">
        <f t="shared" si="60"/>
        <v>82.999999999999204</v>
      </c>
      <c r="S461" s="24" t="s">
        <v>1334</v>
      </c>
      <c r="T461" s="24"/>
      <c r="U461" s="3"/>
      <c r="V461" s="25" t="s">
        <v>8006</v>
      </c>
      <c r="W461" s="25">
        <v>20517252558</v>
      </c>
      <c r="X461" s="25" t="str">
        <f>IFERROR(VLOOKUP(C_Ope_005[[#This Row],[nota_2]],Clientes_Proveedores[[Ruc / Dni]:[Razon Social]],2,0),"")</f>
        <v>COVISUR S.A.</v>
      </c>
      <c r="Y461" s="25" t="s">
        <v>7888</v>
      </c>
      <c r="Z461" s="103"/>
      <c r="AA461" s="3" t="str">
        <f>IF(C_Ope_005[[#This Row],[fecha]]&gt;0,TEXT(C_Ope_005[[#This Row],[fecha]],"mmmm"),0)</f>
        <v>Setiembre</v>
      </c>
      <c r="AB461" s="49"/>
    </row>
    <row r="462" spans="1:28" ht="24" x14ac:dyDescent="0.3">
      <c r="A462" s="2">
        <f>IF(C_Ope_005[[#This Row],[tipo_r]]="R",COUNTIFS($C$1:$C461,"R")+1,"")</f>
        <v>461</v>
      </c>
      <c r="B462" s="19" t="str">
        <f t="shared" si="61"/>
        <v>C_Ope_005</v>
      </c>
      <c r="C462" s="3" t="s">
        <v>1330</v>
      </c>
      <c r="D462" s="14">
        <v>45909</v>
      </c>
      <c r="E462" s="5" t="s">
        <v>8535</v>
      </c>
      <c r="F462" s="5" t="s">
        <v>1336</v>
      </c>
      <c r="G462" s="6" t="s">
        <v>978</v>
      </c>
      <c r="H462" s="6" t="s">
        <v>68</v>
      </c>
      <c r="I462" s="6" t="s">
        <v>5845</v>
      </c>
      <c r="J462" s="6">
        <v>1857552</v>
      </c>
      <c r="K462" s="7" t="s">
        <v>8764</v>
      </c>
      <c r="L462" s="8">
        <v>25429</v>
      </c>
      <c r="M462" s="8" t="str">
        <f t="shared" si="62"/>
        <v>PEN</v>
      </c>
      <c r="N462" s="13"/>
      <c r="O462" s="13">
        <v>12</v>
      </c>
      <c r="P462" s="3">
        <f t="shared" si="63"/>
        <v>0</v>
      </c>
      <c r="Q462" s="3">
        <f t="shared" si="64"/>
        <v>12</v>
      </c>
      <c r="R462" s="3">
        <f t="shared" si="60"/>
        <v>70.999999999999204</v>
      </c>
      <c r="S462" s="24" t="s">
        <v>1334</v>
      </c>
      <c r="T462" s="24"/>
      <c r="U462" s="3"/>
      <c r="V462" s="25" t="s">
        <v>8006</v>
      </c>
      <c r="W462" s="25">
        <v>20517252558</v>
      </c>
      <c r="X462" s="25" t="str">
        <f>IFERROR(VLOOKUP(C_Ope_005[[#This Row],[nota_2]],Clientes_Proveedores[[Ruc / Dni]:[Razon Social]],2,0),"")</f>
        <v>COVISUR S.A.</v>
      </c>
      <c r="Y462" s="25" t="s">
        <v>7888</v>
      </c>
      <c r="Z462" s="103"/>
      <c r="AA462" s="3" t="str">
        <f>IF(C_Ope_005[[#This Row],[fecha]]&gt;0,TEXT(C_Ope_005[[#This Row],[fecha]],"mmmm"),0)</f>
        <v>Setiembre</v>
      </c>
      <c r="AB462" s="49"/>
    </row>
    <row r="463" spans="1:28" ht="24" x14ac:dyDescent="0.3">
      <c r="A463" s="2">
        <f>IF(C_Ope_005[[#This Row],[tipo_r]]="R",COUNTIFS($C$1:$C462,"R")+1,"")</f>
        <v>462</v>
      </c>
      <c r="B463" s="19" t="str">
        <f t="shared" si="61"/>
        <v>C_Ope_005</v>
      </c>
      <c r="C463" s="3" t="s">
        <v>1330</v>
      </c>
      <c r="D463" s="14">
        <v>45909</v>
      </c>
      <c r="E463" s="5" t="s">
        <v>8535</v>
      </c>
      <c r="F463" s="5" t="s">
        <v>1336</v>
      </c>
      <c r="G463" s="6" t="s">
        <v>999</v>
      </c>
      <c r="H463" s="6" t="s">
        <v>68</v>
      </c>
      <c r="I463" s="6" t="s">
        <v>1374</v>
      </c>
      <c r="J463" s="6">
        <v>19694</v>
      </c>
      <c r="K463" s="7" t="s">
        <v>8640</v>
      </c>
      <c r="L463" s="8">
        <v>25424</v>
      </c>
      <c r="M463" s="8" t="str">
        <f t="shared" si="62"/>
        <v>PEN</v>
      </c>
      <c r="N463" s="13"/>
      <c r="O463" s="13">
        <v>35</v>
      </c>
      <c r="P463" s="3">
        <f t="shared" si="63"/>
        <v>0</v>
      </c>
      <c r="Q463" s="3">
        <f t="shared" si="64"/>
        <v>35</v>
      </c>
      <c r="R463" s="3">
        <f t="shared" si="60"/>
        <v>35.999999999999204</v>
      </c>
      <c r="S463" s="24" t="s">
        <v>1334</v>
      </c>
      <c r="T463" s="24"/>
      <c r="U463" s="3"/>
      <c r="V463" s="25" t="s">
        <v>8006</v>
      </c>
      <c r="W463" s="25">
        <v>10705628331</v>
      </c>
      <c r="X463" s="25" t="str">
        <f>IFERROR(VLOOKUP(C_Ope_005[[#This Row],[nota_2]],Clientes_Proveedores[[Ruc / Dni]:[Razon Social]],2,0),"")</f>
        <v>LARICO APAZA NANCY ROSSMARY</v>
      </c>
      <c r="Y463" s="25" t="s">
        <v>7938</v>
      </c>
      <c r="Z463" s="103"/>
      <c r="AA463" s="3" t="str">
        <f>IF(C_Ope_005[[#This Row],[fecha]]&gt;0,TEXT(C_Ope_005[[#This Row],[fecha]],"mmmm"),0)</f>
        <v>Setiembre</v>
      </c>
      <c r="AB463" s="49"/>
    </row>
    <row r="464" spans="1:28" ht="24" x14ac:dyDescent="0.3">
      <c r="A464" s="2">
        <f>IF(C_Ope_005[[#This Row],[tipo_r]]="R",COUNTIFS($C$1:$C463,"R")+1,"")</f>
        <v>463</v>
      </c>
      <c r="B464" s="19" t="str">
        <f t="shared" si="61"/>
        <v>C_Ope_005</v>
      </c>
      <c r="C464" s="3" t="s">
        <v>1330</v>
      </c>
      <c r="D464" s="14">
        <v>45911</v>
      </c>
      <c r="E464" s="5" t="s">
        <v>8535</v>
      </c>
      <c r="F464" s="5" t="s">
        <v>1336</v>
      </c>
      <c r="G464" s="6" t="s">
        <v>978</v>
      </c>
      <c r="H464" s="6" t="s">
        <v>68</v>
      </c>
      <c r="I464" s="6" t="s">
        <v>6203</v>
      </c>
      <c r="J464" s="6">
        <v>2175609</v>
      </c>
      <c r="K464" s="7" t="s">
        <v>8767</v>
      </c>
      <c r="L464" s="8">
        <v>25440</v>
      </c>
      <c r="M464" s="8" t="str">
        <f t="shared" si="62"/>
        <v>PEN</v>
      </c>
      <c r="N464" s="13"/>
      <c r="O464" s="13">
        <v>12</v>
      </c>
      <c r="P464" s="3">
        <f t="shared" si="63"/>
        <v>0</v>
      </c>
      <c r="Q464" s="3">
        <f t="shared" si="64"/>
        <v>12</v>
      </c>
      <c r="R464" s="3">
        <f t="shared" si="60"/>
        <v>23.999999999999204</v>
      </c>
      <c r="S464" s="24" t="s">
        <v>1334</v>
      </c>
      <c r="T464" s="24"/>
      <c r="U464" s="3"/>
      <c r="V464" s="25" t="s">
        <v>8006</v>
      </c>
      <c r="W464" s="25">
        <v>20517252558</v>
      </c>
      <c r="X464" s="25" t="str">
        <f>IFERROR(VLOOKUP(C_Ope_005[[#This Row],[nota_2]],Clientes_Proveedores[[Ruc / Dni]:[Razon Social]],2,0),"")</f>
        <v>COVISUR S.A.</v>
      </c>
      <c r="Y464" s="25" t="s">
        <v>7888</v>
      </c>
      <c r="Z464" s="103"/>
      <c r="AA464" s="3" t="str">
        <f>IF(C_Ope_005[[#This Row],[fecha]]&gt;0,TEXT(C_Ope_005[[#This Row],[fecha]],"mmmm"),0)</f>
        <v>Setiembre</v>
      </c>
      <c r="AB464" s="49"/>
    </row>
    <row r="465" spans="1:28" ht="24" x14ac:dyDescent="0.3">
      <c r="A465" s="2">
        <f>IF(C_Ope_005[[#This Row],[tipo_r]]="R",COUNTIFS($C$1:$C464,"R")+1,"")</f>
        <v>464</v>
      </c>
      <c r="B465" s="19" t="str">
        <f t="shared" si="61"/>
        <v>C_Ope_005</v>
      </c>
      <c r="C465" s="3" t="s">
        <v>1330</v>
      </c>
      <c r="D465" s="14">
        <v>45911</v>
      </c>
      <c r="E465" s="5" t="s">
        <v>8535</v>
      </c>
      <c r="F465" s="5" t="s">
        <v>1336</v>
      </c>
      <c r="G465" s="6" t="s">
        <v>978</v>
      </c>
      <c r="H465" s="6" t="s">
        <v>68</v>
      </c>
      <c r="I465" s="6" t="s">
        <v>5688</v>
      </c>
      <c r="J465" s="6">
        <v>2468944</v>
      </c>
      <c r="K465" s="7" t="s">
        <v>8768</v>
      </c>
      <c r="L465" s="8">
        <v>25441</v>
      </c>
      <c r="M465" s="8" t="str">
        <f t="shared" si="62"/>
        <v>PEN</v>
      </c>
      <c r="N465" s="13"/>
      <c r="O465" s="13">
        <v>12</v>
      </c>
      <c r="P465" s="3">
        <f t="shared" si="63"/>
        <v>0</v>
      </c>
      <c r="Q465" s="3">
        <f t="shared" si="64"/>
        <v>12</v>
      </c>
      <c r="R465" s="3">
        <f t="shared" si="60"/>
        <v>11.999999999999204</v>
      </c>
      <c r="S465" s="24" t="s">
        <v>1334</v>
      </c>
      <c r="T465" s="24"/>
      <c r="U465" s="3"/>
      <c r="V465" s="25" t="s">
        <v>8006</v>
      </c>
      <c r="W465" s="25">
        <v>20517252558</v>
      </c>
      <c r="X465" s="25" t="str">
        <f>IFERROR(VLOOKUP(C_Ope_005[[#This Row],[nota_2]],Clientes_Proveedores[[Ruc / Dni]:[Razon Social]],2,0),"")</f>
        <v>COVISUR S.A.</v>
      </c>
      <c r="Y465" s="25" t="s">
        <v>7888</v>
      </c>
      <c r="Z465" s="103"/>
      <c r="AA465" s="3" t="str">
        <f>IF(C_Ope_005[[#This Row],[fecha]]&gt;0,TEXT(C_Ope_005[[#This Row],[fecha]],"mmmm"),0)</f>
        <v>Setiembre</v>
      </c>
      <c r="AB465" s="49"/>
    </row>
    <row r="466" spans="1:28" ht="24" x14ac:dyDescent="0.3">
      <c r="A466" s="2">
        <f>IF(C_Ope_005[[#This Row],[tipo_r]]="R",COUNTIFS($C$1:$C465,"R")+1,"")</f>
        <v>465</v>
      </c>
      <c r="B466" s="19" t="str">
        <f t="shared" si="61"/>
        <v>C_Ope_005</v>
      </c>
      <c r="C466" s="3" t="s">
        <v>1330</v>
      </c>
      <c r="D466" s="14">
        <v>45912</v>
      </c>
      <c r="E466" s="5" t="s">
        <v>8535</v>
      </c>
      <c r="F466" s="5" t="s">
        <v>1336</v>
      </c>
      <c r="G466" s="6" t="s">
        <v>978</v>
      </c>
      <c r="H466" s="6" t="s">
        <v>68</v>
      </c>
      <c r="I466" s="6" t="s">
        <v>5688</v>
      </c>
      <c r="J466" s="6">
        <v>2470232</v>
      </c>
      <c r="K466" s="7" t="s">
        <v>8769</v>
      </c>
      <c r="L466" s="8">
        <v>25446</v>
      </c>
      <c r="M466" s="8" t="str">
        <f t="shared" si="62"/>
        <v>PEN</v>
      </c>
      <c r="N466" s="13"/>
      <c r="O466" s="13">
        <v>8</v>
      </c>
      <c r="P466" s="3">
        <f t="shared" si="63"/>
        <v>0</v>
      </c>
      <c r="Q466" s="3">
        <f t="shared" si="64"/>
        <v>8</v>
      </c>
      <c r="R466" s="3">
        <f t="shared" si="60"/>
        <v>3.9999999999992042</v>
      </c>
      <c r="S466" s="24" t="s">
        <v>1334</v>
      </c>
      <c r="T466" s="24"/>
      <c r="U466" s="3"/>
      <c r="V466" s="25" t="s">
        <v>7842</v>
      </c>
      <c r="W466" s="25">
        <v>20517252558</v>
      </c>
      <c r="X466" s="25" t="str">
        <f>IFERROR(VLOOKUP(C_Ope_005[[#This Row],[nota_2]],Clientes_Proveedores[[Ruc / Dni]:[Razon Social]],2,0),"")</f>
        <v>COVISUR S.A.</v>
      </c>
      <c r="Y466" s="25" t="s">
        <v>7888</v>
      </c>
      <c r="Z466" s="103"/>
      <c r="AA466" s="3" t="str">
        <f>IF(C_Ope_005[[#This Row],[fecha]]&gt;0,TEXT(C_Ope_005[[#This Row],[fecha]],"mmmm"),0)</f>
        <v>Setiembre</v>
      </c>
      <c r="AB466" s="49"/>
    </row>
    <row r="467" spans="1:28" x14ac:dyDescent="0.3">
      <c r="A467" s="2">
        <f>IF(C_Ope_005[[#This Row],[tipo_r]]="R",COUNTIFS($C$1:$C466,"R")+1,"")</f>
        <v>466</v>
      </c>
      <c r="B467" s="19" t="str">
        <f t="shared" si="61"/>
        <v>C_Ope_005</v>
      </c>
      <c r="C467" s="3" t="s">
        <v>1330</v>
      </c>
      <c r="D467" s="14">
        <v>45912</v>
      </c>
      <c r="E467" s="5" t="s">
        <v>8535</v>
      </c>
      <c r="F467" s="5" t="s">
        <v>1336</v>
      </c>
      <c r="G467" s="6" t="s">
        <v>978</v>
      </c>
      <c r="H467" s="6" t="s">
        <v>68</v>
      </c>
      <c r="I467" s="6" t="s">
        <v>6203</v>
      </c>
      <c r="J467" s="6">
        <v>2176752</v>
      </c>
      <c r="K467" s="7" t="s">
        <v>8770</v>
      </c>
      <c r="L467" s="8">
        <v>25447</v>
      </c>
      <c r="M467" s="8" t="str">
        <f t="shared" si="62"/>
        <v>PEN</v>
      </c>
      <c r="N467" s="13"/>
      <c r="O467" s="13">
        <v>8</v>
      </c>
      <c r="P467" s="3">
        <f t="shared" si="63"/>
        <v>0</v>
      </c>
      <c r="Q467" s="3">
        <f t="shared" si="64"/>
        <v>8</v>
      </c>
      <c r="R467" s="3">
        <f t="shared" si="60"/>
        <v>-4.0000000000007958</v>
      </c>
      <c r="S467" s="24" t="s">
        <v>1334</v>
      </c>
      <c r="T467" s="24"/>
      <c r="U467" s="3"/>
      <c r="V467" s="25" t="s">
        <v>7761</v>
      </c>
      <c r="W467" s="25">
        <v>20517252558</v>
      </c>
      <c r="X467" s="25" t="str">
        <f>IFERROR(VLOOKUP(C_Ope_005[[#This Row],[nota_2]],Clientes_Proveedores[[Ruc / Dni]:[Razon Social]],2,0),"")</f>
        <v>COVISUR S.A.</v>
      </c>
      <c r="Y467" s="25" t="s">
        <v>7888</v>
      </c>
      <c r="Z467" s="103"/>
      <c r="AA467" s="3" t="str">
        <f>IF(C_Ope_005[[#This Row],[fecha]]&gt;0,TEXT(C_Ope_005[[#This Row],[fecha]],"mmmm"),0)</f>
        <v>Setiembre</v>
      </c>
      <c r="AB467" s="49"/>
    </row>
    <row r="468" spans="1:28" ht="36" x14ac:dyDescent="0.3">
      <c r="A468" s="2">
        <f>IF(C_Ope_005[[#This Row],[tipo_r]]="R",COUNTIFS($C$1:$C467,"R")+1,"")</f>
        <v>467</v>
      </c>
      <c r="B468" s="19" t="str">
        <f t="shared" si="61"/>
        <v>C_Ope_005</v>
      </c>
      <c r="C468" s="3" t="s">
        <v>1330</v>
      </c>
      <c r="D468" s="14">
        <v>45912</v>
      </c>
      <c r="E468" s="5" t="s">
        <v>8535</v>
      </c>
      <c r="F468" s="5" t="s">
        <v>1336</v>
      </c>
      <c r="G468" s="6" t="s">
        <v>227</v>
      </c>
      <c r="H468" s="6" t="s">
        <v>68</v>
      </c>
      <c r="I468" s="6" t="s">
        <v>1390</v>
      </c>
      <c r="J468" s="6">
        <v>136822</v>
      </c>
      <c r="K468" s="7" t="s">
        <v>8771</v>
      </c>
      <c r="L468" s="8">
        <v>25448</v>
      </c>
      <c r="M468" s="8" t="str">
        <f t="shared" si="62"/>
        <v>PEN</v>
      </c>
      <c r="N468" s="13"/>
      <c r="O468" s="13">
        <v>10</v>
      </c>
      <c r="P468" s="3">
        <f t="shared" si="63"/>
        <v>0</v>
      </c>
      <c r="Q468" s="3">
        <f t="shared" si="64"/>
        <v>10</v>
      </c>
      <c r="R468" s="3">
        <f t="shared" si="60"/>
        <v>-14.000000000000796</v>
      </c>
      <c r="S468" s="24" t="s">
        <v>1334</v>
      </c>
      <c r="T468" s="24"/>
      <c r="U468" s="3"/>
      <c r="V468" s="25" t="s">
        <v>7842</v>
      </c>
      <c r="W468" s="25">
        <v>20124952850</v>
      </c>
      <c r="X468" s="25" t="str">
        <f>IFERROR(VLOOKUP(C_Ope_005[[#This Row],[nota_2]],Clientes_Proveedores[[Ruc / Dni]:[Razon Social]],2,0),"")</f>
        <v>ALIMENTOS Y SERVICIOS AGROPECUARIOS SRL.</v>
      </c>
      <c r="Y468" s="25" t="s">
        <v>5933</v>
      </c>
      <c r="Z468" s="103"/>
      <c r="AA468" s="3" t="str">
        <f>IF(C_Ope_005[[#This Row],[fecha]]&gt;0,TEXT(C_Ope_005[[#This Row],[fecha]],"mmmm"),0)</f>
        <v>Setiembre</v>
      </c>
      <c r="AB468" s="49"/>
    </row>
    <row r="469" spans="1:28" ht="24" x14ac:dyDescent="0.3">
      <c r="A469" s="2">
        <f>IF(C_Ope_005[[#This Row],[tipo_r]]="R",COUNTIFS($C$1:$C468,"R")+1,"")</f>
        <v>468</v>
      </c>
      <c r="B469" s="19" t="str">
        <f>"C_Ope_005"</f>
        <v>C_Ope_005</v>
      </c>
      <c r="C469" s="3" t="s">
        <v>1330</v>
      </c>
      <c r="D469" s="14">
        <v>45915</v>
      </c>
      <c r="E469" s="5" t="s">
        <v>7513</v>
      </c>
      <c r="F469" s="5" t="s">
        <v>1303</v>
      </c>
      <c r="G469" s="6" t="s">
        <v>957</v>
      </c>
      <c r="H469" s="6"/>
      <c r="I469" s="6"/>
      <c r="J469" s="6"/>
      <c r="K469" s="7" t="s">
        <v>8475</v>
      </c>
      <c r="L469" s="8">
        <v>25465</v>
      </c>
      <c r="M469" s="8" t="str">
        <f>"PEN"</f>
        <v>PEN</v>
      </c>
      <c r="N469" s="13"/>
      <c r="O469" s="13">
        <v>150</v>
      </c>
      <c r="P469" s="3">
        <f>+IF(OR($F469="SALDO",$F469="INGRESO"),$O469,0)</f>
        <v>150</v>
      </c>
      <c r="Q469" s="3">
        <f>+IF($F469="EGRESO",$O469,0)</f>
        <v>0</v>
      </c>
      <c r="R469" s="3">
        <f t="shared" si="60"/>
        <v>135.9999999999992</v>
      </c>
      <c r="S469" s="24" t="s">
        <v>1334</v>
      </c>
      <c r="T469" s="24" t="s">
        <v>1334</v>
      </c>
      <c r="U469" s="3"/>
      <c r="V469" s="25"/>
      <c r="W469" s="25"/>
      <c r="X469" s="25" t="str">
        <f>IFERROR(VLOOKUP(C_Ope_005[[#This Row],[nota_2]],Clientes_Proveedores[[Ruc / Dni]:[Razon Social]],2,0),"")</f>
        <v/>
      </c>
      <c r="Y469" s="25"/>
      <c r="Z469" s="103"/>
      <c r="AA469" s="3" t="str">
        <f>IF(C_Ope_005[[#This Row],[fecha]]&gt;0,TEXT(C_Ope_005[[#This Row],[fecha]],"mmmm"),0)</f>
        <v>Setiembre</v>
      </c>
      <c r="AB469" s="49"/>
    </row>
    <row r="470" spans="1:28" ht="36" x14ac:dyDescent="0.3">
      <c r="A470" s="2">
        <f>IF(C_Ope_005[[#This Row],[tipo_r]]="R",COUNTIFS($C$1:$C469,"R")+1,"")</f>
        <v>469</v>
      </c>
      <c r="B470" s="19" t="str">
        <f t="shared" ref="B470:B494" si="65">"C_Ope_005"</f>
        <v>C_Ope_005</v>
      </c>
      <c r="C470" s="3" t="s">
        <v>1330</v>
      </c>
      <c r="D470" s="14">
        <v>45915</v>
      </c>
      <c r="E470" s="5" t="s">
        <v>8535</v>
      </c>
      <c r="F470" s="5" t="s">
        <v>1336</v>
      </c>
      <c r="G470" s="6" t="s">
        <v>227</v>
      </c>
      <c r="H470" s="6" t="s">
        <v>68</v>
      </c>
      <c r="I470" s="6" t="s">
        <v>1390</v>
      </c>
      <c r="J470" s="6">
        <v>136949</v>
      </c>
      <c r="K470" s="7" t="s">
        <v>8772</v>
      </c>
      <c r="L470" s="8">
        <v>25466</v>
      </c>
      <c r="M470" s="8" t="str">
        <f t="shared" ref="M470:M494" si="66">"PEN"</f>
        <v>PEN</v>
      </c>
      <c r="N470" s="13"/>
      <c r="O470" s="13">
        <v>10</v>
      </c>
      <c r="P470" s="3">
        <f t="shared" ref="P470:P494" si="67">+IF(OR($F470="SALDO",$F470="INGRESO"),$O470,0)</f>
        <v>0</v>
      </c>
      <c r="Q470" s="3">
        <f t="shared" ref="Q470:Q494" si="68">+IF($F470="EGRESO",$O470,0)</f>
        <v>10</v>
      </c>
      <c r="R470" s="3">
        <f t="shared" si="60"/>
        <v>125.9999999999992</v>
      </c>
      <c r="S470" s="24" t="s">
        <v>1334</v>
      </c>
      <c r="T470" s="24"/>
      <c r="U470" s="3"/>
      <c r="V470" s="25" t="s">
        <v>8006</v>
      </c>
      <c r="W470" s="25">
        <v>20124952850</v>
      </c>
      <c r="X470" s="25" t="str">
        <f>IFERROR(VLOOKUP(C_Ope_005[[#This Row],[nota_2]],Clientes_Proveedores[[Ruc / Dni]:[Razon Social]],2,0),"")</f>
        <v>ALIMENTOS Y SERVICIOS AGROPECUARIOS SRL.</v>
      </c>
      <c r="Y470" s="25" t="s">
        <v>5933</v>
      </c>
      <c r="Z470" s="25"/>
      <c r="AA470" s="3" t="str">
        <f>IF(C_Ope_005[[#This Row],[fecha]]&gt;0,TEXT(C_Ope_005[[#This Row],[fecha]],"mmmm"),0)</f>
        <v>Setiembre</v>
      </c>
      <c r="AB470" s="49"/>
    </row>
    <row r="471" spans="1:28" ht="24" x14ac:dyDescent="0.3">
      <c r="A471" s="2">
        <f>IF(C_Ope_005[[#This Row],[tipo_r]]="R",COUNTIFS($C$1:$C470,"R")+1,"")</f>
        <v>470</v>
      </c>
      <c r="B471" s="19" t="str">
        <f>"C_Ope_005"</f>
        <v>C_Ope_005</v>
      </c>
      <c r="C471" s="3" t="s">
        <v>1330</v>
      </c>
      <c r="D471" s="14">
        <v>45916</v>
      </c>
      <c r="E471" s="5" t="s">
        <v>7513</v>
      </c>
      <c r="F471" s="5" t="s">
        <v>1303</v>
      </c>
      <c r="G471" s="6" t="s">
        <v>957</v>
      </c>
      <c r="H471" s="6"/>
      <c r="I471" s="6"/>
      <c r="J471" s="6"/>
      <c r="K471" s="7" t="s">
        <v>8475</v>
      </c>
      <c r="L471" s="8">
        <v>25468</v>
      </c>
      <c r="M471" s="8" t="str">
        <f>"PEN"</f>
        <v>PEN</v>
      </c>
      <c r="N471" s="13"/>
      <c r="O471" s="13">
        <v>200</v>
      </c>
      <c r="P471" s="3">
        <f>+IF(OR($F471="SALDO",$F471="INGRESO"),$O471,0)</f>
        <v>200</v>
      </c>
      <c r="Q471" s="3">
        <f>+IF($F471="EGRESO",$O471,0)</f>
        <v>0</v>
      </c>
      <c r="R471" s="3">
        <f t="shared" si="60"/>
        <v>325.9999999999992</v>
      </c>
      <c r="S471" s="24" t="s">
        <v>1334</v>
      </c>
      <c r="T471" s="24" t="s">
        <v>1334</v>
      </c>
      <c r="U471" s="3"/>
      <c r="V471" s="25"/>
      <c r="W471" s="25"/>
      <c r="X471" s="25" t="str">
        <f>IFERROR(VLOOKUP(C_Ope_005[[#This Row],[nota_2]],Clientes_Proveedores[[Ruc / Dni]:[Razon Social]],2,0),"")</f>
        <v/>
      </c>
      <c r="Y471" s="25"/>
      <c r="Z471" s="25"/>
      <c r="AA471" s="3" t="str">
        <f>IF(C_Ope_005[[#This Row],[fecha]]&gt;0,TEXT(C_Ope_005[[#This Row],[fecha]],"mmmm"),0)</f>
        <v>Setiembre</v>
      </c>
      <c r="AB471" s="49"/>
    </row>
    <row r="472" spans="1:28" ht="36" x14ac:dyDescent="0.3">
      <c r="A472" s="2">
        <f>IF(C_Ope_005[[#This Row],[tipo_r]]="R",COUNTIFS($C$1:$C471,"R")+1,"")</f>
        <v>471</v>
      </c>
      <c r="B472" s="19" t="str">
        <f t="shared" si="65"/>
        <v>C_Ope_005</v>
      </c>
      <c r="C472" s="3" t="s">
        <v>1330</v>
      </c>
      <c r="D472" s="14">
        <v>45916</v>
      </c>
      <c r="E472" s="5" t="s">
        <v>8535</v>
      </c>
      <c r="F472" s="5" t="s">
        <v>1336</v>
      </c>
      <c r="G472" s="6" t="s">
        <v>227</v>
      </c>
      <c r="H472" s="6" t="s">
        <v>68</v>
      </c>
      <c r="I472" s="6" t="s">
        <v>1390</v>
      </c>
      <c r="J472" s="6">
        <v>136990</v>
      </c>
      <c r="K472" s="7" t="s">
        <v>8773</v>
      </c>
      <c r="L472" s="8">
        <v>25469</v>
      </c>
      <c r="M472" s="8" t="str">
        <f t="shared" si="66"/>
        <v>PEN</v>
      </c>
      <c r="N472" s="13"/>
      <c r="O472" s="13">
        <v>10</v>
      </c>
      <c r="P472" s="3">
        <f t="shared" si="67"/>
        <v>0</v>
      </c>
      <c r="Q472" s="3">
        <f t="shared" si="68"/>
        <v>10</v>
      </c>
      <c r="R472" s="3">
        <f t="shared" si="60"/>
        <v>315.9999999999992</v>
      </c>
      <c r="S472" s="24" t="s">
        <v>1334</v>
      </c>
      <c r="T472" s="24"/>
      <c r="U472" s="3"/>
      <c r="V472" s="25" t="s">
        <v>8006</v>
      </c>
      <c r="W472" s="25">
        <v>20124952850</v>
      </c>
      <c r="X472" s="25" t="str">
        <f>IFERROR(VLOOKUP(C_Ope_005[[#This Row],[nota_2]],Clientes_Proveedores[[Ruc / Dni]:[Razon Social]],2,0),"")</f>
        <v>ALIMENTOS Y SERVICIOS AGROPECUARIOS SRL.</v>
      </c>
      <c r="Y472" s="25" t="s">
        <v>5933</v>
      </c>
      <c r="Z472" s="25"/>
      <c r="AA472" s="3" t="str">
        <f>IF(C_Ope_005[[#This Row],[fecha]]&gt;0,TEXT(C_Ope_005[[#This Row],[fecha]],"mmmm"),0)</f>
        <v>Setiembre</v>
      </c>
      <c r="AB472" s="49"/>
    </row>
    <row r="473" spans="1:28" x14ac:dyDescent="0.3">
      <c r="A473" s="2">
        <f>IF(C_Ope_005[[#This Row],[tipo_r]]="R",COUNTIFS($C$1:$C472,"R")+1,"")</f>
        <v>472</v>
      </c>
      <c r="B473" s="19" t="str">
        <f t="shared" si="65"/>
        <v>C_Ope_005</v>
      </c>
      <c r="C473" s="3" t="s">
        <v>1330</v>
      </c>
      <c r="D473" s="14">
        <v>45917</v>
      </c>
      <c r="E473" s="5" t="s">
        <v>8535</v>
      </c>
      <c r="F473" s="5" t="s">
        <v>1336</v>
      </c>
      <c r="G473" s="6" t="s">
        <v>978</v>
      </c>
      <c r="H473" s="6" t="s">
        <v>68</v>
      </c>
      <c r="I473" s="6" t="s">
        <v>5688</v>
      </c>
      <c r="J473" s="6">
        <v>2476346</v>
      </c>
      <c r="K473" s="7" t="s">
        <v>8774</v>
      </c>
      <c r="L473" s="8">
        <v>25475</v>
      </c>
      <c r="M473" s="8" t="str">
        <f t="shared" si="66"/>
        <v>PEN</v>
      </c>
      <c r="N473" s="13"/>
      <c r="O473" s="13">
        <v>12</v>
      </c>
      <c r="P473" s="3">
        <f t="shared" si="67"/>
        <v>0</v>
      </c>
      <c r="Q473" s="3">
        <f t="shared" si="68"/>
        <v>12</v>
      </c>
      <c r="R473" s="3">
        <f t="shared" si="60"/>
        <v>303.9999999999992</v>
      </c>
      <c r="S473" s="24" t="s">
        <v>1334</v>
      </c>
      <c r="T473" s="24"/>
      <c r="U473" s="3"/>
      <c r="V473" s="25" t="s">
        <v>8006</v>
      </c>
      <c r="W473" s="25">
        <v>20517252558</v>
      </c>
      <c r="X473" s="25" t="str">
        <f>IFERROR(VLOOKUP(C_Ope_005[[#This Row],[nota_2]],Clientes_Proveedores[[Ruc / Dni]:[Razon Social]],2,0),"")</f>
        <v>COVISUR S.A.</v>
      </c>
      <c r="Y473" s="25" t="s">
        <v>7888</v>
      </c>
      <c r="Z473" s="25"/>
      <c r="AA473" s="3" t="str">
        <f>IF(C_Ope_005[[#This Row],[fecha]]&gt;0,TEXT(C_Ope_005[[#This Row],[fecha]],"mmmm"),0)</f>
        <v>Setiembre</v>
      </c>
      <c r="AB473" s="49"/>
    </row>
    <row r="474" spans="1:28" x14ac:dyDescent="0.3">
      <c r="A474" s="2">
        <f>IF(C_Ope_005[[#This Row],[tipo_r]]="R",COUNTIFS($C$1:$C473,"R")+1,"")</f>
        <v>473</v>
      </c>
      <c r="B474" s="19" t="str">
        <f t="shared" si="65"/>
        <v>C_Ope_005</v>
      </c>
      <c r="C474" s="3" t="s">
        <v>1330</v>
      </c>
      <c r="D474" s="14">
        <v>45917</v>
      </c>
      <c r="E474" s="5" t="s">
        <v>8535</v>
      </c>
      <c r="F474" s="5" t="s">
        <v>1336</v>
      </c>
      <c r="G474" s="6" t="s">
        <v>978</v>
      </c>
      <c r="H474" s="6" t="s">
        <v>68</v>
      </c>
      <c r="I474" s="6" t="s">
        <v>5845</v>
      </c>
      <c r="J474" s="6">
        <v>1865709</v>
      </c>
      <c r="K474" s="7" t="s">
        <v>8774</v>
      </c>
      <c r="L474" s="8">
        <v>25503</v>
      </c>
      <c r="M474" s="8" t="str">
        <f t="shared" si="66"/>
        <v>PEN</v>
      </c>
      <c r="N474" s="13"/>
      <c r="O474" s="13">
        <v>12</v>
      </c>
      <c r="P474" s="3">
        <f t="shared" si="67"/>
        <v>0</v>
      </c>
      <c r="Q474" s="3">
        <f t="shared" si="68"/>
        <v>12</v>
      </c>
      <c r="R474" s="3">
        <f t="shared" si="60"/>
        <v>291.9999999999992</v>
      </c>
      <c r="S474" s="24" t="s">
        <v>1334</v>
      </c>
      <c r="T474" s="24"/>
      <c r="U474" s="3"/>
      <c r="V474" s="25" t="s">
        <v>8006</v>
      </c>
      <c r="W474" s="25">
        <v>20517252558</v>
      </c>
      <c r="X474" s="25" t="str">
        <f>IFERROR(VLOOKUP(C_Ope_005[[#This Row],[nota_2]],Clientes_Proveedores[[Ruc / Dni]:[Razon Social]],2,0),"")</f>
        <v>COVISUR S.A.</v>
      </c>
      <c r="Y474" s="25" t="s">
        <v>7888</v>
      </c>
      <c r="Z474" s="25"/>
      <c r="AA474" s="3" t="str">
        <f>IF(C_Ope_005[[#This Row],[fecha]]&gt;0,TEXT(C_Ope_005[[#This Row],[fecha]],"mmmm"),0)</f>
        <v>Setiembre</v>
      </c>
      <c r="AB474" s="49"/>
    </row>
    <row r="475" spans="1:28" ht="24" x14ac:dyDescent="0.3">
      <c r="A475" s="2">
        <f>IF(C_Ope_005[[#This Row],[tipo_r]]="R",COUNTIFS($C$1:$C474,"R")+1,"")</f>
        <v>474</v>
      </c>
      <c r="B475" s="19" t="str">
        <f t="shared" si="65"/>
        <v>C_Ope_005</v>
      </c>
      <c r="C475" s="3" t="s">
        <v>1330</v>
      </c>
      <c r="D475" s="14">
        <v>45918</v>
      </c>
      <c r="E475" s="5" t="s">
        <v>8535</v>
      </c>
      <c r="F475" s="5" t="s">
        <v>1336</v>
      </c>
      <c r="G475" s="6" t="s">
        <v>978</v>
      </c>
      <c r="H475" s="6" t="s">
        <v>68</v>
      </c>
      <c r="I475" s="6" t="s">
        <v>5688</v>
      </c>
      <c r="J475" s="6">
        <v>2477607</v>
      </c>
      <c r="K475" s="7" t="s">
        <v>8775</v>
      </c>
      <c r="L475" s="8">
        <v>25514</v>
      </c>
      <c r="M475" s="8" t="str">
        <f t="shared" si="66"/>
        <v>PEN</v>
      </c>
      <c r="N475" s="13"/>
      <c r="O475" s="13">
        <v>12</v>
      </c>
      <c r="P475" s="3">
        <f t="shared" si="67"/>
        <v>0</v>
      </c>
      <c r="Q475" s="3">
        <f t="shared" si="68"/>
        <v>12</v>
      </c>
      <c r="R475" s="3">
        <f t="shared" si="60"/>
        <v>279.9999999999992</v>
      </c>
      <c r="S475" s="24" t="s">
        <v>1334</v>
      </c>
      <c r="T475" s="24"/>
      <c r="U475" s="3"/>
      <c r="V475" s="25" t="s">
        <v>8006</v>
      </c>
      <c r="W475" s="25">
        <v>20517252558</v>
      </c>
      <c r="X475" s="25" t="str">
        <f>IFERROR(VLOOKUP(C_Ope_005[[#This Row],[nota_2]],Clientes_Proveedores[[Ruc / Dni]:[Razon Social]],2,0),"")</f>
        <v>COVISUR S.A.</v>
      </c>
      <c r="Y475" s="25" t="s">
        <v>7888</v>
      </c>
      <c r="Z475" s="25"/>
      <c r="AA475" s="3" t="str">
        <f>IF(C_Ope_005[[#This Row],[fecha]]&gt;0,TEXT(C_Ope_005[[#This Row],[fecha]],"mmmm"),0)</f>
        <v>Setiembre</v>
      </c>
      <c r="AB475" s="49"/>
    </row>
    <row r="476" spans="1:28" ht="24" x14ac:dyDescent="0.3">
      <c r="A476" s="2">
        <f>IF(C_Ope_005[[#This Row],[tipo_r]]="R",COUNTIFS($C$1:$C475,"R")+1,"")</f>
        <v>475</v>
      </c>
      <c r="B476" s="19" t="str">
        <f t="shared" si="65"/>
        <v>C_Ope_005</v>
      </c>
      <c r="C476" s="3" t="s">
        <v>1330</v>
      </c>
      <c r="D476" s="14">
        <v>45918</v>
      </c>
      <c r="E476" s="5" t="s">
        <v>8535</v>
      </c>
      <c r="F476" s="5" t="s">
        <v>1336</v>
      </c>
      <c r="G476" s="6" t="s">
        <v>978</v>
      </c>
      <c r="H476" s="6" t="s">
        <v>68</v>
      </c>
      <c r="I476" s="6" t="s">
        <v>6203</v>
      </c>
      <c r="J476" s="6">
        <v>2183424</v>
      </c>
      <c r="K476" s="7" t="s">
        <v>8776</v>
      </c>
      <c r="L476" s="8">
        <v>25521</v>
      </c>
      <c r="M476" s="8" t="str">
        <f t="shared" si="66"/>
        <v>PEN</v>
      </c>
      <c r="N476" s="13"/>
      <c r="O476" s="13">
        <v>12</v>
      </c>
      <c r="P476" s="3">
        <f t="shared" si="67"/>
        <v>0</v>
      </c>
      <c r="Q476" s="3">
        <f t="shared" si="68"/>
        <v>12</v>
      </c>
      <c r="R476" s="3">
        <f t="shared" si="60"/>
        <v>267.9999999999992</v>
      </c>
      <c r="S476" s="24" t="s">
        <v>1334</v>
      </c>
      <c r="T476" s="24"/>
      <c r="U476" s="3"/>
      <c r="V476" s="25" t="s">
        <v>8006</v>
      </c>
      <c r="W476" s="25">
        <v>20517252558</v>
      </c>
      <c r="X476" s="25" t="str">
        <f>IFERROR(VLOOKUP(C_Ope_005[[#This Row],[nota_2]],Clientes_Proveedores[[Ruc / Dni]:[Razon Social]],2,0),"")</f>
        <v>COVISUR S.A.</v>
      </c>
      <c r="Y476" s="25" t="s">
        <v>7888</v>
      </c>
      <c r="Z476" s="25"/>
      <c r="AA476" s="3" t="str">
        <f>IF(C_Ope_005[[#This Row],[fecha]]&gt;0,TEXT(C_Ope_005[[#This Row],[fecha]],"mmmm"),0)</f>
        <v>Setiembre</v>
      </c>
      <c r="AB476" s="49"/>
    </row>
    <row r="477" spans="1:28" ht="24" x14ac:dyDescent="0.3">
      <c r="A477" s="2">
        <f>IF(C_Ope_005[[#This Row],[tipo_r]]="R",COUNTIFS($C$1:$C476,"R")+1,"")</f>
        <v>476</v>
      </c>
      <c r="B477" s="19" t="str">
        <f t="shared" si="65"/>
        <v>C_Ope_005</v>
      </c>
      <c r="C477" s="3" t="s">
        <v>1330</v>
      </c>
      <c r="D477" s="14">
        <v>45918</v>
      </c>
      <c r="E477" s="5" t="s">
        <v>8535</v>
      </c>
      <c r="F477" s="5" t="s">
        <v>1336</v>
      </c>
      <c r="G477" s="6" t="s">
        <v>1147</v>
      </c>
      <c r="H477" s="6" t="s">
        <v>68</v>
      </c>
      <c r="I477" s="6" t="s">
        <v>1386</v>
      </c>
      <c r="J477" s="6">
        <v>17013</v>
      </c>
      <c r="K477" s="7" t="s">
        <v>8777</v>
      </c>
      <c r="L477" s="8">
        <v>25515</v>
      </c>
      <c r="M477" s="8" t="str">
        <f t="shared" si="66"/>
        <v>PEN</v>
      </c>
      <c r="N477" s="13"/>
      <c r="O477" s="13">
        <v>12</v>
      </c>
      <c r="P477" s="3">
        <f t="shared" si="67"/>
        <v>0</v>
      </c>
      <c r="Q477" s="3">
        <f t="shared" si="68"/>
        <v>12</v>
      </c>
      <c r="R477" s="3">
        <f t="shared" si="60"/>
        <v>255.9999999999992</v>
      </c>
      <c r="S477" s="24" t="s">
        <v>1334</v>
      </c>
      <c r="T477" s="24"/>
      <c r="U477" s="3"/>
      <c r="V477" s="25" t="s">
        <v>8006</v>
      </c>
      <c r="W477" s="25">
        <v>20162554167</v>
      </c>
      <c r="X477" s="25" t="str">
        <f>IFERROR(VLOOKUP(C_Ope_005[[#This Row],[nota_2]],Clientes_Proveedores[[Ruc / Dni]:[Razon Social]],2,0),"")</f>
        <v>AUTORIDAD AUTONOMA DE MAJES</v>
      </c>
      <c r="Y477" s="25" t="s">
        <v>5933</v>
      </c>
      <c r="Z477" s="25"/>
      <c r="AA477" s="3" t="str">
        <f>IF(C_Ope_005[[#This Row],[fecha]]&gt;0,TEXT(C_Ope_005[[#This Row],[fecha]],"mmmm"),0)</f>
        <v>Setiembre</v>
      </c>
      <c r="AB477" s="49"/>
    </row>
    <row r="478" spans="1:28" ht="24" x14ac:dyDescent="0.3">
      <c r="A478" s="2">
        <f>IF(C_Ope_005[[#This Row],[tipo_r]]="R",COUNTIFS($C$1:$C477,"R")+1,"")</f>
        <v>477</v>
      </c>
      <c r="B478" s="19" t="str">
        <f t="shared" si="65"/>
        <v>C_Ope_005</v>
      </c>
      <c r="C478" s="3" t="s">
        <v>1330</v>
      </c>
      <c r="D478" s="14">
        <v>45922</v>
      </c>
      <c r="E478" s="5" t="s">
        <v>8535</v>
      </c>
      <c r="F478" s="5" t="s">
        <v>1336</v>
      </c>
      <c r="G478" s="6" t="s">
        <v>978</v>
      </c>
      <c r="H478" s="6" t="s">
        <v>68</v>
      </c>
      <c r="I478" s="6" t="s">
        <v>5688</v>
      </c>
      <c r="J478" s="6">
        <v>2482435</v>
      </c>
      <c r="K478" s="7" t="s">
        <v>8778</v>
      </c>
      <c r="L478" s="8">
        <v>25559</v>
      </c>
      <c r="M478" s="8" t="str">
        <f t="shared" si="66"/>
        <v>PEN</v>
      </c>
      <c r="N478" s="13"/>
      <c r="O478" s="13">
        <v>12</v>
      </c>
      <c r="P478" s="3">
        <f t="shared" si="67"/>
        <v>0</v>
      </c>
      <c r="Q478" s="3">
        <f t="shared" si="68"/>
        <v>12</v>
      </c>
      <c r="R478" s="3">
        <f t="shared" si="60"/>
        <v>243.9999999999992</v>
      </c>
      <c r="S478" s="24" t="s">
        <v>1334</v>
      </c>
      <c r="T478" s="24"/>
      <c r="U478" s="3"/>
      <c r="V478" s="25" t="s">
        <v>8006</v>
      </c>
      <c r="W478" s="25">
        <v>20517252558</v>
      </c>
      <c r="X478" s="25" t="str">
        <f>IFERROR(VLOOKUP(C_Ope_005[[#This Row],[nota_2]],Clientes_Proveedores[[Ruc / Dni]:[Razon Social]],2,0),"")</f>
        <v>COVISUR S.A.</v>
      </c>
      <c r="Y478" s="25" t="s">
        <v>7888</v>
      </c>
      <c r="Z478" s="25"/>
      <c r="AA478" s="3" t="str">
        <f>IF(C_Ope_005[[#This Row],[fecha]]&gt;0,TEXT(C_Ope_005[[#This Row],[fecha]],"mmmm"),0)</f>
        <v>Setiembre</v>
      </c>
      <c r="AB478" s="49"/>
    </row>
    <row r="479" spans="1:28" ht="24" x14ac:dyDescent="0.3">
      <c r="A479" s="2">
        <f>IF(C_Ope_005[[#This Row],[tipo_r]]="R",COUNTIFS($C$1:$C478,"R")+1,"")</f>
        <v>478</v>
      </c>
      <c r="B479" s="19" t="str">
        <f t="shared" si="65"/>
        <v>C_Ope_005</v>
      </c>
      <c r="C479" s="3" t="s">
        <v>1330</v>
      </c>
      <c r="D479" s="14">
        <v>45922</v>
      </c>
      <c r="E479" s="5" t="s">
        <v>8535</v>
      </c>
      <c r="F479" s="5" t="s">
        <v>1336</v>
      </c>
      <c r="G479" s="6" t="s">
        <v>978</v>
      </c>
      <c r="H479" s="6" t="s">
        <v>68</v>
      </c>
      <c r="I479" s="6" t="s">
        <v>5845</v>
      </c>
      <c r="J479" s="6">
        <v>1870615</v>
      </c>
      <c r="K479" s="7" t="s">
        <v>8778</v>
      </c>
      <c r="L479" s="8">
        <v>25560</v>
      </c>
      <c r="M479" s="8" t="str">
        <f t="shared" si="66"/>
        <v>PEN</v>
      </c>
      <c r="N479" s="13"/>
      <c r="O479" s="13">
        <v>12</v>
      </c>
      <c r="P479" s="3">
        <f t="shared" si="67"/>
        <v>0</v>
      </c>
      <c r="Q479" s="3">
        <f t="shared" si="68"/>
        <v>12</v>
      </c>
      <c r="R479" s="3">
        <f t="shared" si="60"/>
        <v>231.9999999999992</v>
      </c>
      <c r="S479" s="24" t="s">
        <v>1334</v>
      </c>
      <c r="T479" s="24"/>
      <c r="U479" s="3"/>
      <c r="V479" s="25" t="s">
        <v>8006</v>
      </c>
      <c r="W479" s="25">
        <v>20517252558</v>
      </c>
      <c r="X479" s="25" t="str">
        <f>IFERROR(VLOOKUP(C_Ope_005[[#This Row],[nota_2]],Clientes_Proveedores[[Ruc / Dni]:[Razon Social]],2,0),"")</f>
        <v>COVISUR S.A.</v>
      </c>
      <c r="Y479" s="25" t="s">
        <v>7888</v>
      </c>
      <c r="Z479" s="25"/>
      <c r="AA479" s="3" t="str">
        <f>IF(C_Ope_005[[#This Row],[fecha]]&gt;0,TEXT(C_Ope_005[[#This Row],[fecha]],"mmmm"),0)</f>
        <v>Setiembre</v>
      </c>
      <c r="AB479" s="49"/>
    </row>
    <row r="480" spans="1:28" x14ac:dyDescent="0.3">
      <c r="A480" s="2">
        <f>IF(C_Ope_005[[#This Row],[tipo_r]]="R",COUNTIFS($C$1:$C479,"R")+1,"")</f>
        <v>479</v>
      </c>
      <c r="B480" s="19" t="str">
        <f t="shared" si="65"/>
        <v>C_Ope_005</v>
      </c>
      <c r="C480" s="3" t="s">
        <v>1330</v>
      </c>
      <c r="D480" s="14">
        <v>45925</v>
      </c>
      <c r="E480" s="5" t="s">
        <v>8535</v>
      </c>
      <c r="F480" s="5" t="s">
        <v>1336</v>
      </c>
      <c r="G480" s="6" t="s">
        <v>978</v>
      </c>
      <c r="H480" s="6" t="s">
        <v>68</v>
      </c>
      <c r="I480" s="6" t="s">
        <v>5845</v>
      </c>
      <c r="J480" s="6">
        <v>1873645</v>
      </c>
      <c r="K480" s="7" t="s">
        <v>8726</v>
      </c>
      <c r="L480" s="8">
        <v>25589</v>
      </c>
      <c r="M480" s="8" t="str">
        <f t="shared" si="66"/>
        <v>PEN</v>
      </c>
      <c r="N480" s="13"/>
      <c r="O480" s="13">
        <v>12</v>
      </c>
      <c r="P480" s="3">
        <f t="shared" si="67"/>
        <v>0</v>
      </c>
      <c r="Q480" s="3">
        <f t="shared" si="68"/>
        <v>12</v>
      </c>
      <c r="R480" s="3">
        <f t="shared" si="60"/>
        <v>219.9999999999992</v>
      </c>
      <c r="S480" s="24" t="s">
        <v>1334</v>
      </c>
      <c r="T480" s="24"/>
      <c r="U480" s="3"/>
      <c r="V480" s="25" t="s">
        <v>8006</v>
      </c>
      <c r="W480" s="25">
        <v>20517252558</v>
      </c>
      <c r="X480" s="25" t="str">
        <f>IFERROR(VLOOKUP(C_Ope_005[[#This Row],[nota_2]],Clientes_Proveedores[[Ruc / Dni]:[Razon Social]],2,0),"")</f>
        <v>COVISUR S.A.</v>
      </c>
      <c r="Y480" s="25" t="s">
        <v>7888</v>
      </c>
      <c r="Z480" s="25"/>
      <c r="AA480" s="3" t="str">
        <f>IF(C_Ope_005[[#This Row],[fecha]]&gt;0,TEXT(C_Ope_005[[#This Row],[fecha]],"mmmm"),0)</f>
        <v>Setiembre</v>
      </c>
      <c r="AB480" s="49"/>
    </row>
    <row r="481" spans="1:28" x14ac:dyDescent="0.3">
      <c r="A481" s="2">
        <f>IF(C_Ope_005[[#This Row],[tipo_r]]="R",COUNTIFS($C$1:$C480,"R")+1,"")</f>
        <v>480</v>
      </c>
      <c r="B481" s="19" t="str">
        <f t="shared" si="65"/>
        <v>C_Ope_005</v>
      </c>
      <c r="C481" s="3" t="s">
        <v>1330</v>
      </c>
      <c r="D481" s="14">
        <v>45925</v>
      </c>
      <c r="E481" s="5" t="s">
        <v>8535</v>
      </c>
      <c r="F481" s="5" t="s">
        <v>1336</v>
      </c>
      <c r="G481" s="6" t="s">
        <v>978</v>
      </c>
      <c r="H481" s="6" t="s">
        <v>68</v>
      </c>
      <c r="I481" s="6" t="s">
        <v>5688</v>
      </c>
      <c r="J481" s="6">
        <v>2486371</v>
      </c>
      <c r="K481" s="7" t="s">
        <v>8726</v>
      </c>
      <c r="L481" s="8">
        <v>25590</v>
      </c>
      <c r="M481" s="8" t="str">
        <f t="shared" si="66"/>
        <v>PEN</v>
      </c>
      <c r="N481" s="13"/>
      <c r="O481" s="13">
        <v>12</v>
      </c>
      <c r="P481" s="3">
        <f t="shared" si="67"/>
        <v>0</v>
      </c>
      <c r="Q481" s="3">
        <f t="shared" si="68"/>
        <v>12</v>
      </c>
      <c r="R481" s="3">
        <f t="shared" si="60"/>
        <v>207.9999999999992</v>
      </c>
      <c r="S481" s="24" t="s">
        <v>1334</v>
      </c>
      <c r="T481" s="24"/>
      <c r="U481" s="3"/>
      <c r="V481" s="25" t="s">
        <v>8006</v>
      </c>
      <c r="W481" s="25">
        <v>20517252558</v>
      </c>
      <c r="X481" s="25" t="str">
        <f>IFERROR(VLOOKUP(C_Ope_005[[#This Row],[nota_2]],Clientes_Proveedores[[Ruc / Dni]:[Razon Social]],2,0),"")</f>
        <v>COVISUR S.A.</v>
      </c>
      <c r="Y481" s="25" t="s">
        <v>7888</v>
      </c>
      <c r="Z481" s="25"/>
      <c r="AA481" s="3" t="str">
        <f>IF(C_Ope_005[[#This Row],[fecha]]&gt;0,TEXT(C_Ope_005[[#This Row],[fecha]],"mmmm"),0)</f>
        <v>Setiembre</v>
      </c>
      <c r="AB481" s="49"/>
    </row>
    <row r="482" spans="1:28" ht="36" x14ac:dyDescent="0.3">
      <c r="A482" s="2">
        <f>IF(C_Ope_005[[#This Row],[tipo_r]]="R",COUNTIFS($C$1:$C481,"R")+1,"")</f>
        <v>481</v>
      </c>
      <c r="B482" s="19" t="str">
        <f t="shared" si="65"/>
        <v>C_Ope_005</v>
      </c>
      <c r="C482" s="3" t="s">
        <v>1330</v>
      </c>
      <c r="D482" s="14">
        <v>45926</v>
      </c>
      <c r="E482" s="5" t="s">
        <v>8535</v>
      </c>
      <c r="F482" s="5" t="s">
        <v>1336</v>
      </c>
      <c r="G482" s="6" t="s">
        <v>227</v>
      </c>
      <c r="H482" s="6" t="s">
        <v>68</v>
      </c>
      <c r="I482" s="6" t="s">
        <v>1390</v>
      </c>
      <c r="J482" s="6">
        <v>137519</v>
      </c>
      <c r="K482" s="7" t="s">
        <v>8779</v>
      </c>
      <c r="L482" s="8">
        <v>25601</v>
      </c>
      <c r="M482" s="8" t="str">
        <f t="shared" si="66"/>
        <v>PEN</v>
      </c>
      <c r="N482" s="13"/>
      <c r="O482" s="13">
        <v>10</v>
      </c>
      <c r="P482" s="3">
        <f t="shared" si="67"/>
        <v>0</v>
      </c>
      <c r="Q482" s="3">
        <f t="shared" si="68"/>
        <v>10</v>
      </c>
      <c r="R482" s="3">
        <f t="shared" si="60"/>
        <v>197.9999999999992</v>
      </c>
      <c r="S482" s="24" t="s">
        <v>1334</v>
      </c>
      <c r="T482" s="24"/>
      <c r="U482" s="3"/>
      <c r="V482" s="25" t="s">
        <v>8006</v>
      </c>
      <c r="W482" s="25">
        <v>20124952850</v>
      </c>
      <c r="X482" s="25" t="str">
        <f>IFERROR(VLOOKUP(C_Ope_005[[#This Row],[nota_2]],Clientes_Proveedores[[Ruc / Dni]:[Razon Social]],2,0),"")</f>
        <v>ALIMENTOS Y SERVICIOS AGROPECUARIOS SRL.</v>
      </c>
      <c r="Y482" s="25" t="s">
        <v>5933</v>
      </c>
      <c r="Z482" s="25"/>
      <c r="AA482" s="3" t="str">
        <f>IF(C_Ope_005[[#This Row],[fecha]]&gt;0,TEXT(C_Ope_005[[#This Row],[fecha]],"mmmm"),0)</f>
        <v>Setiembre</v>
      </c>
      <c r="AB482" s="49"/>
    </row>
    <row r="483" spans="1:28" ht="36" x14ac:dyDescent="0.3">
      <c r="A483" s="2">
        <f>IF(C_Ope_005[[#This Row],[tipo_r]]="R",COUNTIFS($C$1:$C482,"R")+1,"")</f>
        <v>482</v>
      </c>
      <c r="B483" s="19" t="str">
        <f t="shared" si="65"/>
        <v>C_Ope_005</v>
      </c>
      <c r="C483" s="3" t="s">
        <v>1330</v>
      </c>
      <c r="D483" s="14">
        <v>45926</v>
      </c>
      <c r="E483" s="5" t="s">
        <v>8535</v>
      </c>
      <c r="F483" s="5" t="s">
        <v>1336</v>
      </c>
      <c r="G483" s="6" t="s">
        <v>227</v>
      </c>
      <c r="H483" s="6" t="s">
        <v>68</v>
      </c>
      <c r="I483" s="6" t="s">
        <v>1390</v>
      </c>
      <c r="J483" s="6">
        <v>137513</v>
      </c>
      <c r="K483" s="7" t="s">
        <v>8780</v>
      </c>
      <c r="L483" s="8">
        <v>25602</v>
      </c>
      <c r="M483" s="8" t="str">
        <f t="shared" si="66"/>
        <v>PEN</v>
      </c>
      <c r="N483" s="13"/>
      <c r="O483" s="13">
        <v>10</v>
      </c>
      <c r="P483" s="3">
        <f t="shared" si="67"/>
        <v>0</v>
      </c>
      <c r="Q483" s="3">
        <f t="shared" si="68"/>
        <v>10</v>
      </c>
      <c r="R483" s="3">
        <f t="shared" si="60"/>
        <v>187.9999999999992</v>
      </c>
      <c r="S483" s="24" t="s">
        <v>1334</v>
      </c>
      <c r="T483" s="24"/>
      <c r="U483" s="3"/>
      <c r="V483" s="25" t="s">
        <v>8006</v>
      </c>
      <c r="W483" s="25">
        <v>20124952850</v>
      </c>
      <c r="X483" s="25" t="str">
        <f>IFERROR(VLOOKUP(C_Ope_005[[#This Row],[nota_2]],Clientes_Proveedores[[Ruc / Dni]:[Razon Social]],2,0),"")</f>
        <v>ALIMENTOS Y SERVICIOS AGROPECUARIOS SRL.</v>
      </c>
      <c r="Y483" s="25" t="s">
        <v>5933</v>
      </c>
      <c r="Z483" s="25"/>
      <c r="AA483" s="3" t="str">
        <f>IF(C_Ope_005[[#This Row],[fecha]]&gt;0,TEXT(C_Ope_005[[#This Row],[fecha]],"mmmm"),0)</f>
        <v>Setiembre</v>
      </c>
      <c r="AB483" s="49"/>
    </row>
    <row r="484" spans="1:28" ht="24" x14ac:dyDescent="0.3">
      <c r="A484" s="2">
        <f>IF(C_Ope_005[[#This Row],[tipo_r]]="R",COUNTIFS($C$1:$C483,"R")+1,"")</f>
        <v>483</v>
      </c>
      <c r="B484" s="19" t="str">
        <f t="shared" si="65"/>
        <v>C_Ope_005</v>
      </c>
      <c r="C484" s="3" t="s">
        <v>1330</v>
      </c>
      <c r="D484" s="14">
        <v>45926</v>
      </c>
      <c r="E484" s="5" t="s">
        <v>8535</v>
      </c>
      <c r="F484" s="5" t="s">
        <v>1336</v>
      </c>
      <c r="G484" s="6" t="s">
        <v>999</v>
      </c>
      <c r="H484" s="6" t="s">
        <v>68</v>
      </c>
      <c r="I484" s="6" t="s">
        <v>1374</v>
      </c>
      <c r="J484" s="6">
        <v>19992</v>
      </c>
      <c r="K484" s="7" t="s">
        <v>8781</v>
      </c>
      <c r="L484" s="8">
        <v>25603</v>
      </c>
      <c r="M484" s="8" t="str">
        <f t="shared" si="66"/>
        <v>PEN</v>
      </c>
      <c r="N484" s="13"/>
      <c r="O484" s="13">
        <v>35</v>
      </c>
      <c r="P484" s="3">
        <f t="shared" si="67"/>
        <v>0</v>
      </c>
      <c r="Q484" s="3">
        <f t="shared" si="68"/>
        <v>35</v>
      </c>
      <c r="R484" s="3">
        <f t="shared" si="60"/>
        <v>152.9999999999992</v>
      </c>
      <c r="S484" s="24" t="s">
        <v>1334</v>
      </c>
      <c r="T484" s="24"/>
      <c r="U484" s="3"/>
      <c r="V484" s="25" t="s">
        <v>8006</v>
      </c>
      <c r="W484" s="25">
        <v>10705628331</v>
      </c>
      <c r="X484" s="25" t="str">
        <f>IFERROR(VLOOKUP(C_Ope_005[[#This Row],[nota_2]],Clientes_Proveedores[[Ruc / Dni]:[Razon Social]],2,0),"")</f>
        <v>LARICO APAZA NANCY ROSSMARY</v>
      </c>
      <c r="Y484" s="25" t="s">
        <v>7938</v>
      </c>
      <c r="Z484" s="25"/>
      <c r="AA484" s="3" t="str">
        <f>IF(C_Ope_005[[#This Row],[fecha]]&gt;0,TEXT(C_Ope_005[[#This Row],[fecha]],"mmmm"),0)</f>
        <v>Setiembre</v>
      </c>
      <c r="AB484" s="49"/>
    </row>
    <row r="485" spans="1:28" ht="24" x14ac:dyDescent="0.3">
      <c r="A485" s="2">
        <f>IF(C_Ope_005[[#This Row],[tipo_r]]="R",COUNTIFS($C$1:$C484,"R")+1,"")</f>
        <v>484</v>
      </c>
      <c r="B485" s="19" t="str">
        <f>"C_Ope_005"</f>
        <v>C_Ope_005</v>
      </c>
      <c r="C485" s="3" t="s">
        <v>1330</v>
      </c>
      <c r="D485" s="14">
        <v>45929</v>
      </c>
      <c r="E485" s="5" t="s">
        <v>7513</v>
      </c>
      <c r="F485" s="5" t="s">
        <v>1303</v>
      </c>
      <c r="G485" s="6" t="s">
        <v>957</v>
      </c>
      <c r="H485" s="6"/>
      <c r="I485" s="6"/>
      <c r="J485" s="6"/>
      <c r="K485" s="7" t="s">
        <v>8475</v>
      </c>
      <c r="L485" s="8">
        <v>25626</v>
      </c>
      <c r="M485" s="8" t="str">
        <f>"PEN"</f>
        <v>PEN</v>
      </c>
      <c r="N485" s="13"/>
      <c r="O485" s="13">
        <v>200</v>
      </c>
      <c r="P485" s="3">
        <f>+IF(OR($F485="SALDO",$F485="INGRESO"),$O485,0)</f>
        <v>200</v>
      </c>
      <c r="Q485" s="3">
        <f>+IF($F485="EGRESO",$O485,0)</f>
        <v>0</v>
      </c>
      <c r="R485" s="3">
        <f t="shared" si="60"/>
        <v>352.9999999999992</v>
      </c>
      <c r="S485" s="24" t="s">
        <v>1334</v>
      </c>
      <c r="T485" s="24" t="s">
        <v>1334</v>
      </c>
      <c r="U485" s="3"/>
      <c r="V485" s="25"/>
      <c r="W485" s="25"/>
      <c r="X485" s="25" t="str">
        <f>IFERROR(VLOOKUP(C_Ope_005[[#This Row],[nota_2]],Clientes_Proveedores[[Ruc / Dni]:[Razon Social]],2,0),"")</f>
        <v/>
      </c>
      <c r="Y485" s="25"/>
      <c r="Z485" s="25"/>
      <c r="AA485" s="3" t="str">
        <f>IF(C_Ope_005[[#This Row],[fecha]]&gt;0,TEXT(C_Ope_005[[#This Row],[fecha]],"mmmm"),0)</f>
        <v>Setiembre</v>
      </c>
      <c r="AB485" s="49"/>
    </row>
    <row r="486" spans="1:28" ht="24" x14ac:dyDescent="0.3">
      <c r="A486" s="2">
        <f>IF(C_Ope_005[[#This Row],[tipo_r]]="R",COUNTIFS($C$1:$C485,"R")+1,"")</f>
        <v>485</v>
      </c>
      <c r="B486" s="19" t="str">
        <f t="shared" si="65"/>
        <v>C_Ope_005</v>
      </c>
      <c r="C486" s="3" t="s">
        <v>1330</v>
      </c>
      <c r="D486" s="14">
        <v>45929</v>
      </c>
      <c r="E486" s="5" t="s">
        <v>8535</v>
      </c>
      <c r="F486" s="5" t="s">
        <v>1336</v>
      </c>
      <c r="G486" s="6" t="s">
        <v>978</v>
      </c>
      <c r="H486" s="6" t="s">
        <v>68</v>
      </c>
      <c r="I486" s="6" t="s">
        <v>5688</v>
      </c>
      <c r="J486" s="6">
        <v>2491259</v>
      </c>
      <c r="K486" s="7" t="s">
        <v>8782</v>
      </c>
      <c r="L486" s="8">
        <v>25627</v>
      </c>
      <c r="M486" s="8" t="str">
        <f t="shared" si="66"/>
        <v>PEN</v>
      </c>
      <c r="N486" s="13"/>
      <c r="O486" s="13">
        <v>12</v>
      </c>
      <c r="P486" s="3">
        <f t="shared" si="67"/>
        <v>0</v>
      </c>
      <c r="Q486" s="3">
        <f t="shared" si="68"/>
        <v>12</v>
      </c>
      <c r="R486" s="3">
        <f t="shared" si="60"/>
        <v>340.9999999999992</v>
      </c>
      <c r="S486" s="24" t="s">
        <v>1334</v>
      </c>
      <c r="T486" s="24"/>
      <c r="U486" s="3"/>
      <c r="V486" s="25" t="s">
        <v>8006</v>
      </c>
      <c r="W486" s="25">
        <v>20517252558</v>
      </c>
      <c r="X486" s="25" t="str">
        <f>IFERROR(VLOOKUP(C_Ope_005[[#This Row],[nota_2]],Clientes_Proveedores[[Ruc / Dni]:[Razon Social]],2,0),"")</f>
        <v>COVISUR S.A.</v>
      </c>
      <c r="Y486" s="25" t="s">
        <v>7888</v>
      </c>
      <c r="Z486" s="25"/>
      <c r="AA486" s="3" t="str">
        <f>IF(C_Ope_005[[#This Row],[fecha]]&gt;0,TEXT(C_Ope_005[[#This Row],[fecha]],"mmmm"),0)</f>
        <v>Setiembre</v>
      </c>
      <c r="AB486" s="49"/>
    </row>
    <row r="487" spans="1:28" ht="24" x14ac:dyDescent="0.3">
      <c r="A487" s="2">
        <f>IF(C_Ope_005[[#This Row],[tipo_r]]="R",COUNTIFS($C$1:$C486,"R")+1,"")</f>
        <v>486</v>
      </c>
      <c r="B487" s="19" t="str">
        <f t="shared" si="65"/>
        <v>C_Ope_005</v>
      </c>
      <c r="C487" s="3" t="s">
        <v>1330</v>
      </c>
      <c r="D487" s="14">
        <v>45929</v>
      </c>
      <c r="E487" s="5" t="s">
        <v>8535</v>
      </c>
      <c r="F487" s="5" t="s">
        <v>1336</v>
      </c>
      <c r="G487" s="6" t="s">
        <v>978</v>
      </c>
      <c r="H487" s="6" t="s">
        <v>68</v>
      </c>
      <c r="I487" s="6" t="s">
        <v>6203</v>
      </c>
      <c r="J487" s="6">
        <v>2195756</v>
      </c>
      <c r="K487" s="7" t="s">
        <v>8782</v>
      </c>
      <c r="L487" s="8">
        <v>25628</v>
      </c>
      <c r="M487" s="8" t="str">
        <f t="shared" si="66"/>
        <v>PEN</v>
      </c>
      <c r="N487" s="13"/>
      <c r="O487" s="13">
        <v>12</v>
      </c>
      <c r="P487" s="3">
        <f t="shared" si="67"/>
        <v>0</v>
      </c>
      <c r="Q487" s="3">
        <f t="shared" si="68"/>
        <v>12</v>
      </c>
      <c r="R487" s="3">
        <f t="shared" si="60"/>
        <v>328.9999999999992</v>
      </c>
      <c r="S487" s="24" t="s">
        <v>1334</v>
      </c>
      <c r="T487" s="24"/>
      <c r="U487" s="3"/>
      <c r="V487" s="25" t="s">
        <v>8006</v>
      </c>
      <c r="W487" s="25">
        <v>20517252558</v>
      </c>
      <c r="X487" s="25" t="str">
        <f>IFERROR(VLOOKUP(C_Ope_005[[#This Row],[nota_2]],Clientes_Proveedores[[Ruc / Dni]:[Razon Social]],2,0),"")</f>
        <v>COVISUR S.A.</v>
      </c>
      <c r="Y487" s="25" t="s">
        <v>7888</v>
      </c>
      <c r="Z487" s="25"/>
      <c r="AA487" s="3" t="str">
        <f>IF(C_Ope_005[[#This Row],[fecha]]&gt;0,TEXT(C_Ope_005[[#This Row],[fecha]],"mmmm"),0)</f>
        <v>Setiembre</v>
      </c>
      <c r="AB487" s="49"/>
    </row>
    <row r="488" spans="1:28" x14ac:dyDescent="0.3">
      <c r="A488" s="2">
        <f>IF(C_Ope_005[[#This Row],[tipo_r]]="R",COUNTIFS($C$1:$C487,"R")+1,"")</f>
        <v>487</v>
      </c>
      <c r="B488" s="19" t="str">
        <f t="shared" si="65"/>
        <v>C_Ope_005</v>
      </c>
      <c r="C488" s="3" t="s">
        <v>1330</v>
      </c>
      <c r="D488" s="14">
        <v>45930</v>
      </c>
      <c r="E488" s="5" t="s">
        <v>8535</v>
      </c>
      <c r="F488" s="5" t="s">
        <v>1336</v>
      </c>
      <c r="G488" s="6" t="s">
        <v>978</v>
      </c>
      <c r="H488" s="6" t="s">
        <v>68</v>
      </c>
      <c r="I488" s="6" t="s">
        <v>6204</v>
      </c>
      <c r="J488" s="6">
        <v>1856631</v>
      </c>
      <c r="K488" s="7" t="s">
        <v>8726</v>
      </c>
      <c r="L488" s="8">
        <v>25644</v>
      </c>
      <c r="M488" s="8" t="str">
        <f t="shared" si="66"/>
        <v>PEN</v>
      </c>
      <c r="N488" s="13"/>
      <c r="O488" s="13">
        <v>12</v>
      </c>
      <c r="P488" s="3">
        <f t="shared" si="67"/>
        <v>0</v>
      </c>
      <c r="Q488" s="3">
        <f t="shared" si="68"/>
        <v>12</v>
      </c>
      <c r="R488" s="3">
        <f t="shared" si="60"/>
        <v>316.9999999999992</v>
      </c>
      <c r="S488" s="24" t="s">
        <v>1334</v>
      </c>
      <c r="T488" s="24"/>
      <c r="U488" s="3"/>
      <c r="V488" s="25" t="s">
        <v>8006</v>
      </c>
      <c r="W488" s="25">
        <v>20517252558</v>
      </c>
      <c r="X488" s="25" t="str">
        <f>IFERROR(VLOOKUP(C_Ope_005[[#This Row],[nota_2]],Clientes_Proveedores[[Ruc / Dni]:[Razon Social]],2,0),"")</f>
        <v>COVISUR S.A.</v>
      </c>
      <c r="Y488" s="25" t="s">
        <v>7888</v>
      </c>
      <c r="Z488" s="25"/>
      <c r="AA488" s="3" t="str">
        <f>IF(C_Ope_005[[#This Row],[fecha]]&gt;0,TEXT(C_Ope_005[[#This Row],[fecha]],"mmmm"),0)</f>
        <v>Setiembre</v>
      </c>
      <c r="AB488" s="49"/>
    </row>
    <row r="489" spans="1:28" x14ac:dyDescent="0.3">
      <c r="A489" s="2">
        <f>IF(C_Ope_005[[#This Row],[tipo_r]]="R",COUNTIFS($C$1:$C488,"R")+1,"")</f>
        <v>488</v>
      </c>
      <c r="B489" s="19" t="str">
        <f t="shared" si="65"/>
        <v>C_Ope_005</v>
      </c>
      <c r="C489" s="3" t="s">
        <v>1330</v>
      </c>
      <c r="D489" s="14">
        <v>45930</v>
      </c>
      <c r="E489" s="5" t="s">
        <v>8535</v>
      </c>
      <c r="F489" s="5" t="s">
        <v>1336</v>
      </c>
      <c r="G489" s="6" t="s">
        <v>978</v>
      </c>
      <c r="H489" s="6" t="s">
        <v>68</v>
      </c>
      <c r="I489" s="6" t="s">
        <v>6203</v>
      </c>
      <c r="J489" s="6">
        <v>2196941</v>
      </c>
      <c r="K489" s="7" t="s">
        <v>8726</v>
      </c>
      <c r="L489" s="8">
        <v>25672</v>
      </c>
      <c r="M489" s="8" t="str">
        <f t="shared" si="66"/>
        <v>PEN</v>
      </c>
      <c r="N489" s="13"/>
      <c r="O489" s="13">
        <v>12</v>
      </c>
      <c r="P489" s="3">
        <f t="shared" si="67"/>
        <v>0</v>
      </c>
      <c r="Q489" s="3">
        <f t="shared" si="68"/>
        <v>12</v>
      </c>
      <c r="R489" s="3">
        <f t="shared" si="60"/>
        <v>304.9999999999992</v>
      </c>
      <c r="S489" s="24" t="s">
        <v>1334</v>
      </c>
      <c r="T489" s="24"/>
      <c r="U489" s="3"/>
      <c r="V489" s="25" t="s">
        <v>8006</v>
      </c>
      <c r="W489" s="25">
        <v>20517252558</v>
      </c>
      <c r="X489" s="25" t="str">
        <f>IFERROR(VLOOKUP(C_Ope_005[[#This Row],[nota_2]],Clientes_Proveedores[[Ruc / Dni]:[Razon Social]],2,0),"")</f>
        <v>COVISUR S.A.</v>
      </c>
      <c r="Y489" s="25" t="s">
        <v>7888</v>
      </c>
      <c r="Z489" s="25"/>
      <c r="AA489" s="3" t="str">
        <f>IF(C_Ope_005[[#This Row],[fecha]]&gt;0,TEXT(C_Ope_005[[#This Row],[fecha]],"mmmm"),0)</f>
        <v>Setiembre</v>
      </c>
      <c r="AB489" s="49"/>
    </row>
    <row r="490" spans="1:28" ht="36" x14ac:dyDescent="0.3">
      <c r="A490" s="2">
        <f>IF(C_Ope_005[[#This Row],[tipo_r]]="R",COUNTIFS($C$1:$C489,"R")+1,"")</f>
        <v>489</v>
      </c>
      <c r="B490" s="19" t="str">
        <f t="shared" si="65"/>
        <v>C_Ope_005</v>
      </c>
      <c r="C490" s="3" t="s">
        <v>1330</v>
      </c>
      <c r="D490" s="14">
        <v>45930</v>
      </c>
      <c r="E490" s="5" t="s">
        <v>8535</v>
      </c>
      <c r="F490" s="5" t="s">
        <v>1336</v>
      </c>
      <c r="G490" s="6" t="s">
        <v>682</v>
      </c>
      <c r="H490" s="6" t="s">
        <v>68</v>
      </c>
      <c r="I490" s="6" t="s">
        <v>1353</v>
      </c>
      <c r="J490" s="6">
        <v>17896</v>
      </c>
      <c r="K490" s="7" t="s">
        <v>8783</v>
      </c>
      <c r="L490" s="8">
        <v>25643</v>
      </c>
      <c r="M490" s="8" t="str">
        <f t="shared" si="66"/>
        <v>PEN</v>
      </c>
      <c r="N490" s="13"/>
      <c r="O490" s="13">
        <v>20</v>
      </c>
      <c r="P490" s="3">
        <f t="shared" si="67"/>
        <v>0</v>
      </c>
      <c r="Q490" s="3">
        <f t="shared" si="68"/>
        <v>20</v>
      </c>
      <c r="R490" s="3">
        <f t="shared" si="60"/>
        <v>284.9999999999992</v>
      </c>
      <c r="S490" s="24" t="s">
        <v>1334</v>
      </c>
      <c r="T490" s="24"/>
      <c r="U490" s="3"/>
      <c r="V490" s="25" t="s">
        <v>8006</v>
      </c>
      <c r="W490" s="25">
        <v>20259858934</v>
      </c>
      <c r="X490" s="25" t="str">
        <f>IFERROR(VLOOKUP(C_Ope_005[[#This Row],[nota_2]],Clientes_Proveedores[[Ruc / Dni]:[Razon Social]],2,0),"")</f>
        <v>COMERCIALIZACION Y SERVICIOS EL EDEN S.A.C.</v>
      </c>
      <c r="Y490" s="25" t="s">
        <v>5933</v>
      </c>
      <c r="Z490" s="25"/>
      <c r="AA490" s="3" t="str">
        <f>IF(C_Ope_005[[#This Row],[fecha]]&gt;0,TEXT(C_Ope_005[[#This Row],[fecha]],"mmmm"),0)</f>
        <v>Setiembre</v>
      </c>
      <c r="AB490" s="49"/>
    </row>
    <row r="491" spans="1:28" ht="24" x14ac:dyDescent="0.3">
      <c r="A491" s="2">
        <f>IF(C_Ope_005[[#This Row],[tipo_r]]="R",COUNTIFS($C$1:$C490,"R")+1,"")</f>
        <v>490</v>
      </c>
      <c r="B491" s="19" t="str">
        <f t="shared" si="65"/>
        <v>C_Ope_005</v>
      </c>
      <c r="C491" s="3" t="s">
        <v>1330</v>
      </c>
      <c r="D491" s="14">
        <v>45933</v>
      </c>
      <c r="E491" s="5" t="s">
        <v>8535</v>
      </c>
      <c r="F491" s="5" t="s">
        <v>1336</v>
      </c>
      <c r="G491" s="6" t="s">
        <v>978</v>
      </c>
      <c r="H491" s="6" t="s">
        <v>68</v>
      </c>
      <c r="I491" s="6" t="s">
        <v>5688</v>
      </c>
      <c r="J491" s="6">
        <v>2496621</v>
      </c>
      <c r="K491" s="7" t="s">
        <v>8784</v>
      </c>
      <c r="L491" s="8">
        <v>25702</v>
      </c>
      <c r="M491" s="8" t="str">
        <f t="shared" si="66"/>
        <v>PEN</v>
      </c>
      <c r="N491" s="13"/>
      <c r="O491" s="13">
        <v>12</v>
      </c>
      <c r="P491" s="3">
        <f t="shared" si="67"/>
        <v>0</v>
      </c>
      <c r="Q491" s="3">
        <f t="shared" si="68"/>
        <v>12</v>
      </c>
      <c r="R491" s="3">
        <f t="shared" si="60"/>
        <v>272.9999999999992</v>
      </c>
      <c r="S491" s="24" t="s">
        <v>1334</v>
      </c>
      <c r="T491" s="24"/>
      <c r="U491" s="3"/>
      <c r="V491" s="25" t="s">
        <v>8006</v>
      </c>
      <c r="W491" s="25">
        <v>20517252558</v>
      </c>
      <c r="X491" s="25" t="str">
        <f>IFERROR(VLOOKUP(C_Ope_005[[#This Row],[nota_2]],Clientes_Proveedores[[Ruc / Dni]:[Razon Social]],2,0),"")</f>
        <v>COVISUR S.A.</v>
      </c>
      <c r="Y491" s="25" t="s">
        <v>7888</v>
      </c>
      <c r="Z491" s="25"/>
      <c r="AA491" s="3" t="str">
        <f>IF(C_Ope_005[[#This Row],[fecha]]&gt;0,TEXT(C_Ope_005[[#This Row],[fecha]],"mmmm"),0)</f>
        <v>Octubre</v>
      </c>
      <c r="AB491" s="49"/>
    </row>
    <row r="492" spans="1:28" ht="24" x14ac:dyDescent="0.3">
      <c r="A492" s="2">
        <f>IF(C_Ope_005[[#This Row],[tipo_r]]="R",COUNTIFS($C$1:$C491,"R")+1,"")</f>
        <v>491</v>
      </c>
      <c r="B492" s="19" t="str">
        <f t="shared" si="65"/>
        <v>C_Ope_005</v>
      </c>
      <c r="C492" s="3" t="s">
        <v>1330</v>
      </c>
      <c r="D492" s="14">
        <v>45933</v>
      </c>
      <c r="E492" s="5" t="s">
        <v>8535</v>
      </c>
      <c r="F492" s="5" t="s">
        <v>1336</v>
      </c>
      <c r="G492" s="6" t="s">
        <v>978</v>
      </c>
      <c r="H492" s="6" t="s">
        <v>68</v>
      </c>
      <c r="I492" s="6" t="s">
        <v>5845</v>
      </c>
      <c r="J492" s="6">
        <v>1881970</v>
      </c>
      <c r="K492" s="7" t="s">
        <v>8784</v>
      </c>
      <c r="L492" s="8">
        <v>25703</v>
      </c>
      <c r="M492" s="8" t="str">
        <f t="shared" si="66"/>
        <v>PEN</v>
      </c>
      <c r="N492" s="13"/>
      <c r="O492" s="13">
        <v>12</v>
      </c>
      <c r="P492" s="3">
        <f t="shared" si="67"/>
        <v>0</v>
      </c>
      <c r="Q492" s="3">
        <f t="shared" si="68"/>
        <v>12</v>
      </c>
      <c r="R492" s="3">
        <f t="shared" si="60"/>
        <v>260.9999999999992</v>
      </c>
      <c r="S492" s="24" t="s">
        <v>1334</v>
      </c>
      <c r="T492" s="24"/>
      <c r="U492" s="3"/>
      <c r="V492" s="25" t="s">
        <v>8006</v>
      </c>
      <c r="W492" s="25">
        <v>20517252558</v>
      </c>
      <c r="X492" s="25" t="str">
        <f>IFERROR(VLOOKUP(C_Ope_005[[#This Row],[nota_2]],Clientes_Proveedores[[Ruc / Dni]:[Razon Social]],2,0),"")</f>
        <v>COVISUR S.A.</v>
      </c>
      <c r="Y492" s="25" t="s">
        <v>7888</v>
      </c>
      <c r="Z492" s="25"/>
      <c r="AA492" s="3" t="str">
        <f>IF(C_Ope_005[[#This Row],[fecha]]&gt;0,TEXT(C_Ope_005[[#This Row],[fecha]],"mmmm"),0)</f>
        <v>Octubre</v>
      </c>
      <c r="AB492" s="49"/>
    </row>
    <row r="493" spans="1:28" ht="36" x14ac:dyDescent="0.3">
      <c r="A493" s="2">
        <f>IF(C_Ope_005[[#This Row],[tipo_r]]="R",COUNTIFS($C$1:$C492,"R")+1,"")</f>
        <v>492</v>
      </c>
      <c r="B493" s="19" t="str">
        <f t="shared" si="65"/>
        <v>C_Ope_005</v>
      </c>
      <c r="C493" s="3" t="s">
        <v>1330</v>
      </c>
      <c r="D493" s="14">
        <v>45933</v>
      </c>
      <c r="E493" s="5" t="s">
        <v>8535</v>
      </c>
      <c r="F493" s="5" t="s">
        <v>1336</v>
      </c>
      <c r="G493" s="6" t="s">
        <v>227</v>
      </c>
      <c r="H493" s="6" t="s">
        <v>68</v>
      </c>
      <c r="I493" s="6" t="s">
        <v>1390</v>
      </c>
      <c r="J493" s="6">
        <v>137768</v>
      </c>
      <c r="K493" s="7" t="s">
        <v>8785</v>
      </c>
      <c r="L493" s="8">
        <v>25704</v>
      </c>
      <c r="M493" s="8" t="str">
        <f t="shared" si="66"/>
        <v>PEN</v>
      </c>
      <c r="N493" s="13"/>
      <c r="O493" s="13">
        <v>10</v>
      </c>
      <c r="P493" s="3">
        <f t="shared" si="67"/>
        <v>0</v>
      </c>
      <c r="Q493" s="3">
        <f t="shared" si="68"/>
        <v>10</v>
      </c>
      <c r="R493" s="3">
        <f t="shared" si="60"/>
        <v>250.9999999999992</v>
      </c>
      <c r="S493" s="24" t="s">
        <v>1334</v>
      </c>
      <c r="T493" s="24"/>
      <c r="U493" s="3"/>
      <c r="V493" s="25" t="s">
        <v>8006</v>
      </c>
      <c r="W493" s="25">
        <v>20124952850</v>
      </c>
      <c r="X493" s="25" t="str">
        <f>IFERROR(VLOOKUP(C_Ope_005[[#This Row],[nota_2]],Clientes_Proveedores[[Ruc / Dni]:[Razon Social]],2,0),"")</f>
        <v>ALIMENTOS Y SERVICIOS AGROPECUARIOS SRL.</v>
      </c>
      <c r="Y493" s="25" t="s">
        <v>5933</v>
      </c>
      <c r="Z493" s="25"/>
      <c r="AA493" s="3" t="str">
        <f>IF(C_Ope_005[[#This Row],[fecha]]&gt;0,TEXT(C_Ope_005[[#This Row],[fecha]],"mmmm"),0)</f>
        <v>Octubre</v>
      </c>
      <c r="AB493" s="49"/>
    </row>
    <row r="494" spans="1:28" ht="36" x14ac:dyDescent="0.3">
      <c r="A494" s="2">
        <f>IF(C_Ope_005[[#This Row],[tipo_r]]="R",COUNTIFS($C$1:$C493,"R")+1,"")</f>
        <v>493</v>
      </c>
      <c r="B494" s="19" t="str">
        <f t="shared" si="65"/>
        <v>C_Ope_005</v>
      </c>
      <c r="C494" s="3" t="s">
        <v>1330</v>
      </c>
      <c r="D494" s="14">
        <v>45933</v>
      </c>
      <c r="E494" s="5" t="s">
        <v>8535</v>
      </c>
      <c r="F494" s="5" t="s">
        <v>1336</v>
      </c>
      <c r="G494" s="6" t="s">
        <v>227</v>
      </c>
      <c r="H494" s="6" t="s">
        <v>68</v>
      </c>
      <c r="I494" s="6" t="s">
        <v>1390</v>
      </c>
      <c r="J494" s="6">
        <v>137755</v>
      </c>
      <c r="K494" s="7" t="s">
        <v>8757</v>
      </c>
      <c r="L494" s="8">
        <v>25705</v>
      </c>
      <c r="M494" s="8" t="str">
        <f t="shared" si="66"/>
        <v>PEN</v>
      </c>
      <c r="N494" s="13"/>
      <c r="O494" s="13">
        <v>10</v>
      </c>
      <c r="P494" s="3">
        <f t="shared" si="67"/>
        <v>0</v>
      </c>
      <c r="Q494" s="3">
        <f t="shared" si="68"/>
        <v>10</v>
      </c>
      <c r="R494" s="3">
        <f t="shared" si="60"/>
        <v>240.9999999999992</v>
      </c>
      <c r="S494" s="24" t="s">
        <v>1334</v>
      </c>
      <c r="T494" s="24"/>
      <c r="U494" s="3"/>
      <c r="V494" s="25" t="s">
        <v>7756</v>
      </c>
      <c r="W494" s="25">
        <v>20124952850</v>
      </c>
      <c r="X494" s="25" t="str">
        <f>IFERROR(VLOOKUP(C_Ope_005[[#This Row],[nota_2]],Clientes_Proveedores[[Ruc / Dni]:[Razon Social]],2,0),"")</f>
        <v>ALIMENTOS Y SERVICIOS AGROPECUARIOS SRL.</v>
      </c>
      <c r="Y494" s="25" t="s">
        <v>5933</v>
      </c>
      <c r="Z494" s="25"/>
      <c r="AA494" s="3" t="str">
        <f>IF(C_Ope_005[[#This Row],[fecha]]&gt;0,TEXT(C_Ope_005[[#This Row],[fecha]],"mmmm"),0)</f>
        <v>Octubre</v>
      </c>
      <c r="AB494" s="49"/>
    </row>
    <row r="495" spans="1:28" ht="24" x14ac:dyDescent="0.3">
      <c r="A495" s="2">
        <f>IF(C_Ope_005[[#This Row],[tipo_r]]="R",COUNTIFS($C$1:$C494,"R")+1,"")</f>
        <v>494</v>
      </c>
      <c r="B495" s="19" t="str">
        <f t="shared" ref="B495:B531" si="69">"C_Ope_005"</f>
        <v>C_Ope_005</v>
      </c>
      <c r="C495" s="3" t="s">
        <v>1330</v>
      </c>
      <c r="D495" s="14">
        <v>45936</v>
      </c>
      <c r="E495" s="5" t="s">
        <v>8535</v>
      </c>
      <c r="F495" s="5" t="s">
        <v>1336</v>
      </c>
      <c r="G495" s="6" t="s">
        <v>978</v>
      </c>
      <c r="H495" s="6" t="s">
        <v>68</v>
      </c>
      <c r="I495" s="6" t="s">
        <v>5688</v>
      </c>
      <c r="J495" s="6">
        <v>2499892</v>
      </c>
      <c r="K495" s="7" t="s">
        <v>9482</v>
      </c>
      <c r="L495" s="8">
        <v>25716</v>
      </c>
      <c r="M495" s="8" t="str">
        <f t="shared" ref="M495:M531" si="70">"PEN"</f>
        <v>PEN</v>
      </c>
      <c r="N495" s="13"/>
      <c r="O495" s="13">
        <v>8</v>
      </c>
      <c r="P495" s="3">
        <f t="shared" ref="P495:P531" si="71">+IF(OR($F495="SALDO",$F495="INGRESO"),$O495,0)</f>
        <v>0</v>
      </c>
      <c r="Q495" s="3">
        <f t="shared" ref="Q495:Q531" si="72">+IF($F495="EGRESO",$O495,0)</f>
        <v>8</v>
      </c>
      <c r="R495" s="3">
        <f t="shared" si="60"/>
        <v>232.9999999999992</v>
      </c>
      <c r="S495" s="24" t="s">
        <v>1334</v>
      </c>
      <c r="T495" s="24"/>
      <c r="U495" s="3"/>
      <c r="V495" s="25" t="s">
        <v>7756</v>
      </c>
      <c r="W495" s="25">
        <v>20517252558</v>
      </c>
      <c r="X495" s="25" t="str">
        <f>IFERROR(VLOOKUP(C_Ope_005[[#This Row],[nota_2]],Clientes_Proveedores[[Ruc / Dni]:[Razon Social]],2,0),"")</f>
        <v>COVISUR S.A.</v>
      </c>
      <c r="Y495" s="25" t="s">
        <v>7888</v>
      </c>
      <c r="Z495" s="25"/>
      <c r="AA495" s="3" t="str">
        <f>IF(C_Ope_005[[#This Row],[fecha]]&gt;0,TEXT(C_Ope_005[[#This Row],[fecha]],"mmmm"),0)</f>
        <v>Octubre</v>
      </c>
      <c r="AB495" s="49"/>
    </row>
    <row r="496" spans="1:28" x14ac:dyDescent="0.3">
      <c r="A496" s="2">
        <f>IF(C_Ope_005[[#This Row],[tipo_r]]="R",COUNTIFS($C$1:$C495,"R")+1,"")</f>
        <v>495</v>
      </c>
      <c r="B496" s="19" t="str">
        <f t="shared" si="69"/>
        <v>C_Ope_005</v>
      </c>
      <c r="C496" s="3" t="s">
        <v>1330</v>
      </c>
      <c r="D496" s="14">
        <v>45936</v>
      </c>
      <c r="E496" s="5" t="s">
        <v>8535</v>
      </c>
      <c r="F496" s="5" t="s">
        <v>1336</v>
      </c>
      <c r="G496" s="6" t="s">
        <v>978</v>
      </c>
      <c r="H496" s="6" t="s">
        <v>68</v>
      </c>
      <c r="I496" s="6" t="s">
        <v>5845</v>
      </c>
      <c r="J496" s="6">
        <v>1884875</v>
      </c>
      <c r="K496" s="7" t="s">
        <v>9483</v>
      </c>
      <c r="L496" s="8">
        <v>25717</v>
      </c>
      <c r="M496" s="8" t="str">
        <f t="shared" si="70"/>
        <v>PEN</v>
      </c>
      <c r="N496" s="13"/>
      <c r="O496" s="13">
        <v>8</v>
      </c>
      <c r="P496" s="3">
        <f t="shared" si="71"/>
        <v>0</v>
      </c>
      <c r="Q496" s="3">
        <f t="shared" si="72"/>
        <v>8</v>
      </c>
      <c r="R496" s="3">
        <f t="shared" si="60"/>
        <v>224.9999999999992</v>
      </c>
      <c r="S496" s="24" t="s">
        <v>1334</v>
      </c>
      <c r="T496" s="24"/>
      <c r="U496" s="3"/>
      <c r="V496" s="25" t="s">
        <v>8200</v>
      </c>
      <c r="W496" s="25">
        <v>20517252558</v>
      </c>
      <c r="X496" s="25" t="str">
        <f>IFERROR(VLOOKUP(C_Ope_005[[#This Row],[nota_2]],Clientes_Proveedores[[Ruc / Dni]:[Razon Social]],2,0),"")</f>
        <v>COVISUR S.A.</v>
      </c>
      <c r="Y496" s="25" t="s">
        <v>7888</v>
      </c>
      <c r="Z496" s="25"/>
      <c r="AA496" s="3" t="str">
        <f>IF(C_Ope_005[[#This Row],[fecha]]&gt;0,TEXT(C_Ope_005[[#This Row],[fecha]],"mmmm"),0)</f>
        <v>Octubre</v>
      </c>
      <c r="AB496" s="49"/>
    </row>
    <row r="497" spans="1:28" ht="36" x14ac:dyDescent="0.3">
      <c r="A497" s="2">
        <f>IF(C_Ope_005[[#This Row],[tipo_r]]="R",COUNTIFS($C$1:$C496,"R")+1,"")</f>
        <v>496</v>
      </c>
      <c r="B497" s="19" t="str">
        <f t="shared" si="69"/>
        <v>C_Ope_005</v>
      </c>
      <c r="C497" s="3" t="s">
        <v>1330</v>
      </c>
      <c r="D497" s="14">
        <v>45936</v>
      </c>
      <c r="E497" s="5" t="s">
        <v>8535</v>
      </c>
      <c r="F497" s="5" t="s">
        <v>1336</v>
      </c>
      <c r="G497" s="6" t="s">
        <v>682</v>
      </c>
      <c r="H497" s="6" t="s">
        <v>68</v>
      </c>
      <c r="I497" s="6" t="s">
        <v>1353</v>
      </c>
      <c r="J497" s="6">
        <v>17976</v>
      </c>
      <c r="K497" s="7" t="s">
        <v>9484</v>
      </c>
      <c r="L497" s="8">
        <v>25718</v>
      </c>
      <c r="M497" s="8" t="str">
        <f t="shared" si="70"/>
        <v>PEN</v>
      </c>
      <c r="N497" s="13"/>
      <c r="O497" s="13">
        <v>20</v>
      </c>
      <c r="P497" s="3">
        <f t="shared" si="71"/>
        <v>0</v>
      </c>
      <c r="Q497" s="3">
        <f t="shared" si="72"/>
        <v>20</v>
      </c>
      <c r="R497" s="3">
        <f t="shared" si="60"/>
        <v>204.9999999999992</v>
      </c>
      <c r="S497" s="24" t="s">
        <v>1334</v>
      </c>
      <c r="T497" s="24"/>
      <c r="U497" s="3"/>
      <c r="V497" s="25" t="s">
        <v>8200</v>
      </c>
      <c r="W497" s="25">
        <v>20259858934</v>
      </c>
      <c r="X497" s="25" t="str">
        <f>IFERROR(VLOOKUP(C_Ope_005[[#This Row],[nota_2]],Clientes_Proveedores[[Ruc / Dni]:[Razon Social]],2,0),"")</f>
        <v>COMERCIALIZACION Y SERVICIOS EL EDEN S.A.C.</v>
      </c>
      <c r="Y497" s="25" t="s">
        <v>5933</v>
      </c>
      <c r="Z497" s="25"/>
      <c r="AA497" s="3" t="str">
        <f>IF(C_Ope_005[[#This Row],[fecha]]&gt;0,TEXT(C_Ope_005[[#This Row],[fecha]],"mmmm"),0)</f>
        <v>Octubre</v>
      </c>
      <c r="AB497" s="49"/>
    </row>
    <row r="498" spans="1:28" ht="24" x14ac:dyDescent="0.3">
      <c r="A498" s="2">
        <f>IF(C_Ope_005[[#This Row],[tipo_r]]="R",COUNTIFS($C$1:$C497,"R")+1,"")</f>
        <v>497</v>
      </c>
      <c r="B498" s="19" t="str">
        <f t="shared" si="69"/>
        <v>C_Ope_005</v>
      </c>
      <c r="C498" s="3" t="s">
        <v>1330</v>
      </c>
      <c r="D498" s="14">
        <v>45937</v>
      </c>
      <c r="E498" s="5" t="s">
        <v>8535</v>
      </c>
      <c r="F498" s="5" t="s">
        <v>1336</v>
      </c>
      <c r="G498" s="6" t="s">
        <v>999</v>
      </c>
      <c r="H498" s="6" t="s">
        <v>68</v>
      </c>
      <c r="I498" s="6" t="s">
        <v>1374</v>
      </c>
      <c r="J498" s="6">
        <v>20166</v>
      </c>
      <c r="K498" s="7" t="s">
        <v>8781</v>
      </c>
      <c r="L498" s="8">
        <v>25720</v>
      </c>
      <c r="M498" s="8" t="str">
        <f t="shared" si="70"/>
        <v>PEN</v>
      </c>
      <c r="N498" s="13"/>
      <c r="O498" s="13">
        <v>35</v>
      </c>
      <c r="P498" s="3">
        <f t="shared" si="71"/>
        <v>0</v>
      </c>
      <c r="Q498" s="3">
        <f t="shared" si="72"/>
        <v>35</v>
      </c>
      <c r="R498" s="3">
        <f t="shared" si="60"/>
        <v>169.9999999999992</v>
      </c>
      <c r="S498" s="24" t="s">
        <v>1334</v>
      </c>
      <c r="T498" s="24"/>
      <c r="U498" s="3"/>
      <c r="V498" s="25" t="s">
        <v>8006</v>
      </c>
      <c r="W498" s="25">
        <v>10705628331</v>
      </c>
      <c r="X498" s="25" t="str">
        <f>IFERROR(VLOOKUP(C_Ope_005[[#This Row],[nota_2]],Clientes_Proveedores[[Ruc / Dni]:[Razon Social]],2,0),"")</f>
        <v>LARICO APAZA NANCY ROSSMARY</v>
      </c>
      <c r="Y498" s="25" t="s">
        <v>7938</v>
      </c>
      <c r="Z498" s="25"/>
      <c r="AA498" s="3" t="str">
        <f>IF(C_Ope_005[[#This Row],[fecha]]&gt;0,TEXT(C_Ope_005[[#This Row],[fecha]],"mmmm"),0)</f>
        <v>Octubre</v>
      </c>
      <c r="AB498" s="49"/>
    </row>
    <row r="499" spans="1:28" ht="24" x14ac:dyDescent="0.3">
      <c r="A499" s="2">
        <f>IF(C_Ope_005[[#This Row],[tipo_r]]="R",COUNTIFS($C$1:$C498,"R")+1,"")</f>
        <v>498</v>
      </c>
      <c r="B499" s="19" t="str">
        <f t="shared" si="69"/>
        <v>C_Ope_005</v>
      </c>
      <c r="C499" s="3" t="s">
        <v>1330</v>
      </c>
      <c r="D499" s="14">
        <v>45939</v>
      </c>
      <c r="E499" s="5" t="s">
        <v>8535</v>
      </c>
      <c r="F499" s="5" t="s">
        <v>1336</v>
      </c>
      <c r="G499" s="6" t="s">
        <v>978</v>
      </c>
      <c r="H499" s="6" t="s">
        <v>68</v>
      </c>
      <c r="I499" s="6" t="s">
        <v>5688</v>
      </c>
      <c r="J499" s="6">
        <v>2504075</v>
      </c>
      <c r="K499" s="7" t="s">
        <v>9482</v>
      </c>
      <c r="L499" s="8">
        <v>25734</v>
      </c>
      <c r="M499" s="8" t="str">
        <f t="shared" si="70"/>
        <v>PEN</v>
      </c>
      <c r="N499" s="13"/>
      <c r="O499" s="13">
        <v>12</v>
      </c>
      <c r="P499" s="3">
        <f t="shared" si="71"/>
        <v>0</v>
      </c>
      <c r="Q499" s="3">
        <f t="shared" si="72"/>
        <v>12</v>
      </c>
      <c r="R499" s="3">
        <f t="shared" si="60"/>
        <v>157.9999999999992</v>
      </c>
      <c r="S499" s="24" t="s">
        <v>1334</v>
      </c>
      <c r="T499" s="24"/>
      <c r="U499" s="3"/>
      <c r="V499" s="25" t="s">
        <v>8006</v>
      </c>
      <c r="W499" s="25">
        <v>20517252558</v>
      </c>
      <c r="X499" s="25" t="str">
        <f>IFERROR(VLOOKUP(C_Ope_005[[#This Row],[nota_2]],Clientes_Proveedores[[Ruc / Dni]:[Razon Social]],2,0),"")</f>
        <v>COVISUR S.A.</v>
      </c>
      <c r="Y499" s="25" t="s">
        <v>7888</v>
      </c>
      <c r="Z499" s="25"/>
      <c r="AA499" s="3" t="str">
        <f>IF(C_Ope_005[[#This Row],[fecha]]&gt;0,TEXT(C_Ope_005[[#This Row],[fecha]],"mmmm"),0)</f>
        <v>Octubre</v>
      </c>
      <c r="AB499" s="49"/>
    </row>
    <row r="500" spans="1:28" ht="24" x14ac:dyDescent="0.3">
      <c r="A500" s="2">
        <f>IF(C_Ope_005[[#This Row],[tipo_r]]="R",COUNTIFS($C$1:$C499,"R")+1,"")</f>
        <v>499</v>
      </c>
      <c r="B500" s="19" t="str">
        <f t="shared" si="69"/>
        <v>C_Ope_005</v>
      </c>
      <c r="C500" s="3" t="s">
        <v>1330</v>
      </c>
      <c r="D500" s="14">
        <v>45939</v>
      </c>
      <c r="E500" s="5" t="s">
        <v>8535</v>
      </c>
      <c r="F500" s="5" t="s">
        <v>1336</v>
      </c>
      <c r="G500" s="6" t="s">
        <v>978</v>
      </c>
      <c r="H500" s="6" t="s">
        <v>68</v>
      </c>
      <c r="I500" s="6" t="s">
        <v>6203</v>
      </c>
      <c r="J500" s="6">
        <v>2206984</v>
      </c>
      <c r="K500" s="7" t="s">
        <v>9482</v>
      </c>
      <c r="L500" s="8">
        <v>25741</v>
      </c>
      <c r="M500" s="8" t="str">
        <f t="shared" si="70"/>
        <v>PEN</v>
      </c>
      <c r="N500" s="13"/>
      <c r="O500" s="13">
        <v>12</v>
      </c>
      <c r="P500" s="3">
        <f t="shared" si="71"/>
        <v>0</v>
      </c>
      <c r="Q500" s="3">
        <f t="shared" si="72"/>
        <v>12</v>
      </c>
      <c r="R500" s="3">
        <f t="shared" si="60"/>
        <v>145.9999999999992</v>
      </c>
      <c r="S500" s="24" t="s">
        <v>1334</v>
      </c>
      <c r="T500" s="24"/>
      <c r="U500" s="3"/>
      <c r="V500" s="25" t="s">
        <v>8006</v>
      </c>
      <c r="W500" s="25">
        <v>20517252558</v>
      </c>
      <c r="X500" s="25" t="str">
        <f>IFERROR(VLOOKUP(C_Ope_005[[#This Row],[nota_2]],Clientes_Proveedores[[Ruc / Dni]:[Razon Social]],2,0),"")</f>
        <v>COVISUR S.A.</v>
      </c>
      <c r="Y500" s="25" t="s">
        <v>7888</v>
      </c>
      <c r="Z500" s="25"/>
      <c r="AA500" s="3" t="str">
        <f>IF(C_Ope_005[[#This Row],[fecha]]&gt;0,TEXT(C_Ope_005[[#This Row],[fecha]],"mmmm"),0)</f>
        <v>Octubre</v>
      </c>
      <c r="AB500" s="49"/>
    </row>
    <row r="501" spans="1:28" ht="36" x14ac:dyDescent="0.3">
      <c r="A501" s="2">
        <f>IF(C_Ope_005[[#This Row],[tipo_r]]="R",COUNTIFS($C$1:$C500,"R")+1,"")</f>
        <v>500</v>
      </c>
      <c r="B501" s="19" t="str">
        <f t="shared" si="69"/>
        <v>C_Ope_005</v>
      </c>
      <c r="C501" s="3" t="s">
        <v>1330</v>
      </c>
      <c r="D501" s="14">
        <v>45939</v>
      </c>
      <c r="E501" s="5" t="s">
        <v>8535</v>
      </c>
      <c r="F501" s="5" t="s">
        <v>1336</v>
      </c>
      <c r="G501" s="6" t="s">
        <v>227</v>
      </c>
      <c r="H501" s="6" t="s">
        <v>68</v>
      </c>
      <c r="I501" s="6" t="s">
        <v>1390</v>
      </c>
      <c r="J501" s="6">
        <v>138024</v>
      </c>
      <c r="K501" s="7" t="s">
        <v>9485</v>
      </c>
      <c r="L501" s="8">
        <v>25742</v>
      </c>
      <c r="M501" s="8" t="str">
        <f t="shared" si="70"/>
        <v>PEN</v>
      </c>
      <c r="N501" s="13"/>
      <c r="O501" s="13">
        <v>10</v>
      </c>
      <c r="P501" s="3">
        <f t="shared" si="71"/>
        <v>0</v>
      </c>
      <c r="Q501" s="3">
        <f t="shared" si="72"/>
        <v>10</v>
      </c>
      <c r="R501" s="3">
        <f t="shared" si="60"/>
        <v>135.9999999999992</v>
      </c>
      <c r="S501" s="24" t="s">
        <v>1334</v>
      </c>
      <c r="T501" s="24"/>
      <c r="U501" s="3"/>
      <c r="V501" s="25" t="s">
        <v>8006</v>
      </c>
      <c r="W501" s="25">
        <v>20124952850</v>
      </c>
      <c r="X501" s="25" t="str">
        <f>IFERROR(VLOOKUP(C_Ope_005[[#This Row],[nota_2]],Clientes_Proveedores[[Ruc / Dni]:[Razon Social]],2,0),"")</f>
        <v>ALIMENTOS Y SERVICIOS AGROPECUARIOS SRL.</v>
      </c>
      <c r="Y501" s="25" t="s">
        <v>5933</v>
      </c>
      <c r="Z501" s="25"/>
      <c r="AA501" s="3" t="str">
        <f>IF(C_Ope_005[[#This Row],[fecha]]&gt;0,TEXT(C_Ope_005[[#This Row],[fecha]],"mmmm"),0)</f>
        <v>Octubre</v>
      </c>
      <c r="AB501" s="49"/>
    </row>
    <row r="502" spans="1:28" ht="24" x14ac:dyDescent="0.3">
      <c r="A502" s="2">
        <f>IF(C_Ope_005[[#This Row],[tipo_r]]="R",COUNTIFS($C$1:$C501,"R")+1,"")</f>
        <v>501</v>
      </c>
      <c r="B502" s="19" t="str">
        <f>"C_Ope_005"</f>
        <v>C_Ope_005</v>
      </c>
      <c r="C502" s="3" t="s">
        <v>1330</v>
      </c>
      <c r="D502" s="14">
        <v>45940</v>
      </c>
      <c r="E502" s="5" t="s">
        <v>7513</v>
      </c>
      <c r="F502" s="5" t="s">
        <v>1303</v>
      </c>
      <c r="G502" s="6" t="s">
        <v>957</v>
      </c>
      <c r="H502" s="6"/>
      <c r="I502" s="6"/>
      <c r="J502" s="6"/>
      <c r="K502" s="7" t="s">
        <v>8475</v>
      </c>
      <c r="L502" s="8">
        <v>25765</v>
      </c>
      <c r="M502" s="8" t="str">
        <f>"PEN"</f>
        <v>PEN</v>
      </c>
      <c r="N502" s="13"/>
      <c r="O502" s="13">
        <v>150</v>
      </c>
      <c r="P502" s="3">
        <f>+IF(OR($F502="SALDO",$F502="INGRESO"),$O502,0)</f>
        <v>150</v>
      </c>
      <c r="Q502" s="3">
        <f>+IF($F502="EGRESO",$O502,0)</f>
        <v>0</v>
      </c>
      <c r="R502" s="3">
        <f t="shared" si="60"/>
        <v>285.9999999999992</v>
      </c>
      <c r="S502" s="24"/>
      <c r="T502" s="24"/>
      <c r="U502" s="3"/>
      <c r="V502" s="25"/>
      <c r="W502" s="25"/>
      <c r="X502" s="25" t="str">
        <f>IFERROR(VLOOKUP(C_Ope_005[[#This Row],[nota_2]],Clientes_Proveedores[[Ruc / Dni]:[Razon Social]],2,0),"")</f>
        <v/>
      </c>
      <c r="Y502" s="25"/>
      <c r="Z502" s="25"/>
      <c r="AA502" s="3" t="str">
        <f>IF(C_Ope_005[[#This Row],[fecha]]&gt;0,TEXT(C_Ope_005[[#This Row],[fecha]],"mmmm"),0)</f>
        <v>Octubre</v>
      </c>
      <c r="AB502" s="49"/>
    </row>
    <row r="503" spans="1:28" x14ac:dyDescent="0.3">
      <c r="A503" s="2">
        <f>IF(C_Ope_005[[#This Row],[tipo_r]]="R",COUNTIFS($C$1:$C502,"R")+1,"")</f>
        <v>502</v>
      </c>
      <c r="B503" s="19" t="str">
        <f t="shared" si="69"/>
        <v>C_Ope_005</v>
      </c>
      <c r="C503" s="3" t="s">
        <v>1330</v>
      </c>
      <c r="D503" s="14">
        <v>45940</v>
      </c>
      <c r="E503" s="5" t="s">
        <v>8535</v>
      </c>
      <c r="F503" s="5" t="s">
        <v>1336</v>
      </c>
      <c r="G503" s="6" t="s">
        <v>978</v>
      </c>
      <c r="H503" s="6" t="s">
        <v>68</v>
      </c>
      <c r="I503" s="6" t="s">
        <v>6203</v>
      </c>
      <c r="J503" s="6">
        <v>2207838</v>
      </c>
      <c r="K503" s="7" t="s">
        <v>8756</v>
      </c>
      <c r="L503" s="8">
        <v>25751</v>
      </c>
      <c r="M503" s="8" t="str">
        <f t="shared" si="70"/>
        <v>PEN</v>
      </c>
      <c r="N503" s="13"/>
      <c r="O503" s="13">
        <v>12</v>
      </c>
      <c r="P503" s="3">
        <f t="shared" si="71"/>
        <v>0</v>
      </c>
      <c r="Q503" s="3">
        <f t="shared" si="72"/>
        <v>12</v>
      </c>
      <c r="R503" s="3">
        <f t="shared" si="60"/>
        <v>273.9999999999992</v>
      </c>
      <c r="S503" s="24" t="s">
        <v>1334</v>
      </c>
      <c r="T503" s="24"/>
      <c r="U503" s="3"/>
      <c r="V503" s="25" t="s">
        <v>8006</v>
      </c>
      <c r="W503" s="25">
        <v>20517252558</v>
      </c>
      <c r="X503" s="25" t="str">
        <f>IFERROR(VLOOKUP(C_Ope_005[[#This Row],[nota_2]],Clientes_Proveedores[[Ruc / Dni]:[Razon Social]],2,0),"")</f>
        <v>COVISUR S.A.</v>
      </c>
      <c r="Y503" s="25" t="s">
        <v>7888</v>
      </c>
      <c r="Z503" s="25"/>
      <c r="AA503" s="3" t="str">
        <f>IF(C_Ope_005[[#This Row],[fecha]]&gt;0,TEXT(C_Ope_005[[#This Row],[fecha]],"mmmm"),0)</f>
        <v>Octubre</v>
      </c>
      <c r="AB503" s="49"/>
    </row>
    <row r="504" spans="1:28" x14ac:dyDescent="0.3">
      <c r="A504" s="2">
        <f>IF(C_Ope_005[[#This Row],[tipo_r]]="R",COUNTIFS($C$1:$C503,"R")+1,"")</f>
        <v>503</v>
      </c>
      <c r="B504" s="19" t="str">
        <f t="shared" si="69"/>
        <v>C_Ope_005</v>
      </c>
      <c r="C504" s="3" t="s">
        <v>1330</v>
      </c>
      <c r="D504" s="14">
        <v>45940</v>
      </c>
      <c r="E504" s="5" t="s">
        <v>8535</v>
      </c>
      <c r="F504" s="5" t="s">
        <v>1336</v>
      </c>
      <c r="G504" s="6" t="s">
        <v>978</v>
      </c>
      <c r="H504" s="6" t="s">
        <v>68</v>
      </c>
      <c r="I504" s="6" t="s">
        <v>6204</v>
      </c>
      <c r="J504" s="6">
        <v>1866264</v>
      </c>
      <c r="K504" s="7" t="s">
        <v>8756</v>
      </c>
      <c r="L504" s="8">
        <v>25752</v>
      </c>
      <c r="M504" s="8" t="str">
        <f t="shared" si="70"/>
        <v>PEN</v>
      </c>
      <c r="N504" s="13"/>
      <c r="O504" s="13">
        <v>12</v>
      </c>
      <c r="P504" s="3">
        <f t="shared" si="71"/>
        <v>0</v>
      </c>
      <c r="Q504" s="3">
        <f t="shared" si="72"/>
        <v>12</v>
      </c>
      <c r="R504" s="3">
        <f t="shared" si="60"/>
        <v>261.9999999999992</v>
      </c>
      <c r="S504" s="24" t="s">
        <v>1334</v>
      </c>
      <c r="T504" s="24"/>
      <c r="U504" s="3"/>
      <c r="V504" s="25" t="s">
        <v>8006</v>
      </c>
      <c r="W504" s="25">
        <v>20517252558</v>
      </c>
      <c r="X504" s="25" t="str">
        <f>IFERROR(VLOOKUP(C_Ope_005[[#This Row],[nota_2]],Clientes_Proveedores[[Ruc / Dni]:[Razon Social]],2,0),"")</f>
        <v>COVISUR S.A.</v>
      </c>
      <c r="Y504" s="25" t="s">
        <v>7888</v>
      </c>
      <c r="Z504" s="25"/>
      <c r="AA504" s="3" t="str">
        <f>IF(C_Ope_005[[#This Row],[fecha]]&gt;0,TEXT(C_Ope_005[[#This Row],[fecha]],"mmmm"),0)</f>
        <v>Octubre</v>
      </c>
      <c r="AB504" s="49"/>
    </row>
    <row r="505" spans="1:28" x14ac:dyDescent="0.3">
      <c r="A505" s="2">
        <f>IF(C_Ope_005[[#This Row],[tipo_r]]="R",COUNTIFS($C$1:$C504,"R")+1,"")</f>
        <v>504</v>
      </c>
      <c r="B505" s="19" t="str">
        <f t="shared" si="69"/>
        <v>C_Ope_005</v>
      </c>
      <c r="C505" s="3" t="s">
        <v>1330</v>
      </c>
      <c r="D505" s="14">
        <v>45943</v>
      </c>
      <c r="E505" s="5" t="s">
        <v>8535</v>
      </c>
      <c r="F505" s="5" t="s">
        <v>1336</v>
      </c>
      <c r="G505" s="6" t="s">
        <v>978</v>
      </c>
      <c r="H505" s="6" t="s">
        <v>68</v>
      </c>
      <c r="I505" s="6" t="s">
        <v>5688</v>
      </c>
      <c r="J505" s="6">
        <v>2508567</v>
      </c>
      <c r="K505" s="7" t="s">
        <v>9486</v>
      </c>
      <c r="L505" s="8">
        <v>25770</v>
      </c>
      <c r="M505" s="8" t="str">
        <f t="shared" si="70"/>
        <v>PEN</v>
      </c>
      <c r="N505" s="13"/>
      <c r="O505" s="13">
        <v>8</v>
      </c>
      <c r="P505" s="3">
        <f t="shared" si="71"/>
        <v>0</v>
      </c>
      <c r="Q505" s="3">
        <f t="shared" si="72"/>
        <v>8</v>
      </c>
      <c r="R505" s="3">
        <f t="shared" si="60"/>
        <v>253.9999999999992</v>
      </c>
      <c r="S505" s="24" t="s">
        <v>1334</v>
      </c>
      <c r="T505" s="24"/>
      <c r="U505" s="3"/>
      <c r="V505" s="25" t="s">
        <v>8200</v>
      </c>
      <c r="W505" s="25">
        <v>20517252558</v>
      </c>
      <c r="X505" s="25" t="str">
        <f>IFERROR(VLOOKUP(C_Ope_005[[#This Row],[nota_2]],Clientes_Proveedores[[Ruc / Dni]:[Razon Social]],2,0),"")</f>
        <v>COVISUR S.A.</v>
      </c>
      <c r="Y505" s="25" t="s">
        <v>7888</v>
      </c>
      <c r="Z505" s="25"/>
      <c r="AA505" s="3" t="str">
        <f>IF(C_Ope_005[[#This Row],[fecha]]&gt;0,TEXT(C_Ope_005[[#This Row],[fecha]],"mmmm"),0)</f>
        <v>Octubre</v>
      </c>
      <c r="AB505" s="49"/>
    </row>
    <row r="506" spans="1:28" ht="24" x14ac:dyDescent="0.3">
      <c r="A506" s="2">
        <f>IF(C_Ope_005[[#This Row],[tipo_r]]="R",COUNTIFS($C$1:$C505,"R")+1,"")</f>
        <v>505</v>
      </c>
      <c r="B506" s="19" t="str">
        <f t="shared" si="69"/>
        <v>C_Ope_005</v>
      </c>
      <c r="C506" s="3" t="s">
        <v>1330</v>
      </c>
      <c r="D506" s="14">
        <v>45943</v>
      </c>
      <c r="E506" s="5" t="s">
        <v>8535</v>
      </c>
      <c r="F506" s="5" t="s">
        <v>1336</v>
      </c>
      <c r="G506" s="6" t="s">
        <v>978</v>
      </c>
      <c r="H506" s="6" t="s">
        <v>68</v>
      </c>
      <c r="I506" s="6" t="s">
        <v>6203</v>
      </c>
      <c r="J506" s="6">
        <v>2211425</v>
      </c>
      <c r="K506" s="7" t="s">
        <v>9487</v>
      </c>
      <c r="L506" s="8">
        <v>25776</v>
      </c>
      <c r="M506" s="8" t="str">
        <f t="shared" si="70"/>
        <v>PEN</v>
      </c>
      <c r="N506" s="13"/>
      <c r="O506" s="13">
        <v>8</v>
      </c>
      <c r="P506" s="3">
        <f t="shared" si="71"/>
        <v>0</v>
      </c>
      <c r="Q506" s="3">
        <f t="shared" si="72"/>
        <v>8</v>
      </c>
      <c r="R506" s="3">
        <f t="shared" si="60"/>
        <v>245.9999999999992</v>
      </c>
      <c r="S506" s="24" t="s">
        <v>1334</v>
      </c>
      <c r="T506" s="24"/>
      <c r="U506" s="3"/>
      <c r="V506" s="25" t="s">
        <v>8200</v>
      </c>
      <c r="W506" s="25">
        <v>20517252558</v>
      </c>
      <c r="X506" s="25" t="str">
        <f>IFERROR(VLOOKUP(C_Ope_005[[#This Row],[nota_2]],Clientes_Proveedores[[Ruc / Dni]:[Razon Social]],2,0),"")</f>
        <v>COVISUR S.A.</v>
      </c>
      <c r="Y506" s="25" t="s">
        <v>7888</v>
      </c>
      <c r="Z506" s="25"/>
      <c r="AA506" s="3" t="str">
        <f>IF(C_Ope_005[[#This Row],[fecha]]&gt;0,TEXT(C_Ope_005[[#This Row],[fecha]],"mmmm"),0)</f>
        <v>Octubre</v>
      </c>
      <c r="AB506" s="49"/>
    </row>
    <row r="507" spans="1:28" ht="24" x14ac:dyDescent="0.3">
      <c r="A507" s="2">
        <f>IF(C_Ope_005[[#This Row],[tipo_r]]="R",COUNTIFS($C$1:$C506,"R")+1,"")</f>
        <v>506</v>
      </c>
      <c r="B507" s="19" t="str">
        <f t="shared" si="69"/>
        <v>C_Ope_005</v>
      </c>
      <c r="C507" s="3" t="s">
        <v>1330</v>
      </c>
      <c r="D507" s="14">
        <v>45946</v>
      </c>
      <c r="E507" s="5" t="s">
        <v>8535</v>
      </c>
      <c r="F507" s="5" t="s">
        <v>1336</v>
      </c>
      <c r="G507" s="6" t="s">
        <v>978</v>
      </c>
      <c r="H507" s="6" t="s">
        <v>68</v>
      </c>
      <c r="I507" s="6" t="s">
        <v>6204</v>
      </c>
      <c r="J507" s="6">
        <v>1872438</v>
      </c>
      <c r="K507" s="7" t="s">
        <v>9488</v>
      </c>
      <c r="L507" s="8">
        <v>25810</v>
      </c>
      <c r="M507" s="8" t="str">
        <f t="shared" si="70"/>
        <v>PEN</v>
      </c>
      <c r="N507" s="13"/>
      <c r="O507" s="13">
        <v>12</v>
      </c>
      <c r="P507" s="3">
        <f t="shared" si="71"/>
        <v>0</v>
      </c>
      <c r="Q507" s="3">
        <f t="shared" si="72"/>
        <v>12</v>
      </c>
      <c r="R507" s="3">
        <f t="shared" si="60"/>
        <v>233.9999999999992</v>
      </c>
      <c r="S507" s="24" t="s">
        <v>1334</v>
      </c>
      <c r="T507" s="24"/>
      <c r="U507" s="3"/>
      <c r="V507" s="25" t="s">
        <v>8006</v>
      </c>
      <c r="W507" s="25">
        <v>20517252558</v>
      </c>
      <c r="X507" s="25" t="str">
        <f>IFERROR(VLOOKUP(C_Ope_005[[#This Row],[nota_2]],Clientes_Proveedores[[Ruc / Dni]:[Razon Social]],2,0),"")</f>
        <v>COVISUR S.A.</v>
      </c>
      <c r="Y507" s="25" t="s">
        <v>7888</v>
      </c>
      <c r="Z507" s="25"/>
      <c r="AA507" s="3" t="str">
        <f>IF(C_Ope_005[[#This Row],[fecha]]&gt;0,TEXT(C_Ope_005[[#This Row],[fecha]],"mmmm"),0)</f>
        <v>Octubre</v>
      </c>
      <c r="AB507" s="49"/>
    </row>
    <row r="508" spans="1:28" ht="24" x14ac:dyDescent="0.3">
      <c r="A508" s="2">
        <f>IF(C_Ope_005[[#This Row],[tipo_r]]="R",COUNTIFS($C$1:$C507,"R")+1,"")</f>
        <v>507</v>
      </c>
      <c r="B508" s="19" t="str">
        <f t="shared" si="69"/>
        <v>C_Ope_005</v>
      </c>
      <c r="C508" s="3" t="s">
        <v>1330</v>
      </c>
      <c r="D508" s="14">
        <v>45946</v>
      </c>
      <c r="E508" s="5" t="s">
        <v>8535</v>
      </c>
      <c r="F508" s="5" t="s">
        <v>1336</v>
      </c>
      <c r="G508" s="6" t="s">
        <v>978</v>
      </c>
      <c r="H508" s="6" t="s">
        <v>68</v>
      </c>
      <c r="I508" s="6" t="s">
        <v>5845</v>
      </c>
      <c r="J508" s="6">
        <v>1894643</v>
      </c>
      <c r="K508" s="7" t="s">
        <v>9489</v>
      </c>
      <c r="L508" s="8">
        <v>25811</v>
      </c>
      <c r="M508" s="8" t="str">
        <f t="shared" si="70"/>
        <v>PEN</v>
      </c>
      <c r="N508" s="13"/>
      <c r="O508" s="13">
        <v>12</v>
      </c>
      <c r="P508" s="3">
        <f t="shared" si="71"/>
        <v>0</v>
      </c>
      <c r="Q508" s="3">
        <f t="shared" si="72"/>
        <v>12</v>
      </c>
      <c r="R508" s="3">
        <f t="shared" si="60"/>
        <v>221.9999999999992</v>
      </c>
      <c r="S508" s="24" t="s">
        <v>1334</v>
      </c>
      <c r="T508" s="24"/>
      <c r="U508" s="3"/>
      <c r="V508" s="25" t="s">
        <v>8006</v>
      </c>
      <c r="W508" s="25">
        <v>20517252558</v>
      </c>
      <c r="X508" s="25" t="str">
        <f>IFERROR(VLOOKUP(C_Ope_005[[#This Row],[nota_2]],Clientes_Proveedores[[Ruc / Dni]:[Razon Social]],2,0),"")</f>
        <v>COVISUR S.A.</v>
      </c>
      <c r="Y508" s="25" t="s">
        <v>7888</v>
      </c>
      <c r="Z508" s="25"/>
      <c r="AA508" s="3" t="str">
        <f>IF(C_Ope_005[[#This Row],[fecha]]&gt;0,TEXT(C_Ope_005[[#This Row],[fecha]],"mmmm"),0)</f>
        <v>Octubre</v>
      </c>
      <c r="AB508" s="49"/>
    </row>
    <row r="509" spans="1:28" ht="36" x14ac:dyDescent="0.3">
      <c r="A509" s="2">
        <f>IF(C_Ope_005[[#This Row],[tipo_r]]="R",COUNTIFS($C$1:$C508,"R")+1,"")</f>
        <v>508</v>
      </c>
      <c r="B509" s="19" t="str">
        <f t="shared" si="69"/>
        <v>C_Ope_005</v>
      </c>
      <c r="C509" s="3" t="s">
        <v>1330</v>
      </c>
      <c r="D509" s="14">
        <v>45946</v>
      </c>
      <c r="E509" s="5" t="s">
        <v>8535</v>
      </c>
      <c r="F509" s="5" t="s">
        <v>1336</v>
      </c>
      <c r="G509" s="6" t="s">
        <v>227</v>
      </c>
      <c r="H509" s="6" t="s">
        <v>68</v>
      </c>
      <c r="I509" s="6" t="s">
        <v>1390</v>
      </c>
      <c r="J509" s="6">
        <v>138346</v>
      </c>
      <c r="K509" s="7" t="s">
        <v>9490</v>
      </c>
      <c r="L509" s="8">
        <v>25812</v>
      </c>
      <c r="M509" s="8" t="str">
        <f t="shared" si="70"/>
        <v>PEN</v>
      </c>
      <c r="N509" s="13"/>
      <c r="O509" s="13">
        <v>10</v>
      </c>
      <c r="P509" s="3">
        <f t="shared" si="71"/>
        <v>0</v>
      </c>
      <c r="Q509" s="3">
        <f t="shared" si="72"/>
        <v>10</v>
      </c>
      <c r="R509" s="3">
        <f t="shared" si="60"/>
        <v>211.9999999999992</v>
      </c>
      <c r="S509" s="24" t="s">
        <v>1334</v>
      </c>
      <c r="T509" s="24"/>
      <c r="U509" s="3"/>
      <c r="V509" s="25" t="s">
        <v>8006</v>
      </c>
      <c r="W509" s="25">
        <v>20124952850</v>
      </c>
      <c r="X509" s="25" t="str">
        <f>IFERROR(VLOOKUP(C_Ope_005[[#This Row],[nota_2]],Clientes_Proveedores[[Ruc / Dni]:[Razon Social]],2,0),"")</f>
        <v>ALIMENTOS Y SERVICIOS AGROPECUARIOS SRL.</v>
      </c>
      <c r="Y509" s="25" t="s">
        <v>5933</v>
      </c>
      <c r="Z509" s="25"/>
      <c r="AA509" s="3" t="str">
        <f>IF(C_Ope_005[[#This Row],[fecha]]&gt;0,TEXT(C_Ope_005[[#This Row],[fecha]],"mmmm"),0)</f>
        <v>Octubre</v>
      </c>
      <c r="AB509" s="49"/>
    </row>
    <row r="510" spans="1:28" ht="36" x14ac:dyDescent="0.3">
      <c r="A510" s="2">
        <f>IF(C_Ope_005[[#This Row],[tipo_r]]="R",COUNTIFS($C$1:$C509,"R")+1,"")</f>
        <v>509</v>
      </c>
      <c r="B510" s="19" t="str">
        <f t="shared" si="69"/>
        <v>C_Ope_005</v>
      </c>
      <c r="C510" s="3" t="s">
        <v>1330</v>
      </c>
      <c r="D510" s="14">
        <v>45946</v>
      </c>
      <c r="E510" s="5" t="s">
        <v>8535</v>
      </c>
      <c r="F510" s="5" t="s">
        <v>1336</v>
      </c>
      <c r="G510" s="6" t="s">
        <v>227</v>
      </c>
      <c r="H510" s="6" t="s">
        <v>68</v>
      </c>
      <c r="I510" s="6" t="s">
        <v>1390</v>
      </c>
      <c r="J510" s="6">
        <v>138323</v>
      </c>
      <c r="K510" s="7" t="s">
        <v>9490</v>
      </c>
      <c r="L510" s="8">
        <v>25813</v>
      </c>
      <c r="M510" s="8" t="str">
        <f t="shared" si="70"/>
        <v>PEN</v>
      </c>
      <c r="N510" s="13"/>
      <c r="O510" s="13">
        <v>10</v>
      </c>
      <c r="P510" s="3">
        <f t="shared" si="71"/>
        <v>0</v>
      </c>
      <c r="Q510" s="3">
        <f t="shared" si="72"/>
        <v>10</v>
      </c>
      <c r="R510" s="3">
        <f t="shared" si="60"/>
        <v>201.9999999999992</v>
      </c>
      <c r="S510" s="24" t="s">
        <v>1334</v>
      </c>
      <c r="T510" s="24"/>
      <c r="U510" s="3"/>
      <c r="V510" s="25" t="s">
        <v>8006</v>
      </c>
      <c r="W510" s="25">
        <v>20124952850</v>
      </c>
      <c r="X510" s="25" t="str">
        <f>IFERROR(VLOOKUP(C_Ope_005[[#This Row],[nota_2]],Clientes_Proveedores[[Ruc / Dni]:[Razon Social]],2,0),"")</f>
        <v>ALIMENTOS Y SERVICIOS AGROPECUARIOS SRL.</v>
      </c>
      <c r="Y510" s="25" t="s">
        <v>5933</v>
      </c>
      <c r="Z510" s="25"/>
      <c r="AA510" s="3" t="str">
        <f>IF(C_Ope_005[[#This Row],[fecha]]&gt;0,TEXT(C_Ope_005[[#This Row],[fecha]],"mmmm"),0)</f>
        <v>Octubre</v>
      </c>
      <c r="AB510" s="49"/>
    </row>
    <row r="511" spans="1:28" ht="24" x14ac:dyDescent="0.3">
      <c r="A511" s="2">
        <f>IF(C_Ope_005[[#This Row],[tipo_r]]="R",COUNTIFS($C$1:$C510,"R")+1,"")</f>
        <v>510</v>
      </c>
      <c r="B511" s="19" t="str">
        <f t="shared" si="69"/>
        <v>C_Ope_005</v>
      </c>
      <c r="C511" s="3" t="s">
        <v>1330</v>
      </c>
      <c r="D511" s="14">
        <v>45947</v>
      </c>
      <c r="E511" s="5" t="s">
        <v>8535</v>
      </c>
      <c r="F511" s="5" t="s">
        <v>1336</v>
      </c>
      <c r="G511" s="6" t="s">
        <v>999</v>
      </c>
      <c r="H511" s="6" t="s">
        <v>68</v>
      </c>
      <c r="I511" s="6" t="s">
        <v>1374</v>
      </c>
      <c r="J511" s="6">
        <v>20357</v>
      </c>
      <c r="K511" s="7" t="s">
        <v>8781</v>
      </c>
      <c r="L511" s="8">
        <v>25822</v>
      </c>
      <c r="M511" s="8" t="str">
        <f t="shared" si="70"/>
        <v>PEN</v>
      </c>
      <c r="N511" s="13"/>
      <c r="O511" s="13">
        <v>35</v>
      </c>
      <c r="P511" s="3">
        <f t="shared" si="71"/>
        <v>0</v>
      </c>
      <c r="Q511" s="3">
        <f t="shared" si="72"/>
        <v>35</v>
      </c>
      <c r="R511" s="3">
        <f t="shared" si="60"/>
        <v>166.9999999999992</v>
      </c>
      <c r="S511" s="24" t="s">
        <v>1334</v>
      </c>
      <c r="T511" s="24"/>
      <c r="U511" s="3"/>
      <c r="V511" s="25" t="s">
        <v>8006</v>
      </c>
      <c r="W511" s="25">
        <v>10705628331</v>
      </c>
      <c r="X511" s="25" t="str">
        <f>IFERROR(VLOOKUP(C_Ope_005[[#This Row],[nota_2]],Clientes_Proveedores[[Ruc / Dni]:[Razon Social]],2,0),"")</f>
        <v>LARICO APAZA NANCY ROSSMARY</v>
      </c>
      <c r="Y511" s="25" t="s">
        <v>7938</v>
      </c>
      <c r="Z511" s="25"/>
      <c r="AA511" s="3" t="str">
        <f>IF(C_Ope_005[[#This Row],[fecha]]&gt;0,TEXT(C_Ope_005[[#This Row],[fecha]],"mmmm"),0)</f>
        <v>Octubre</v>
      </c>
      <c r="AB511" s="49"/>
    </row>
    <row r="512" spans="1:28" ht="24" x14ac:dyDescent="0.3">
      <c r="A512" s="2">
        <f>IF(C_Ope_005[[#This Row],[tipo_r]]="R",COUNTIFS($C$1:$C511,"R")+1,"")</f>
        <v>511</v>
      </c>
      <c r="B512" s="19" t="str">
        <f>"C_Ope_005"</f>
        <v>C_Ope_005</v>
      </c>
      <c r="C512" s="3" t="s">
        <v>1330</v>
      </c>
      <c r="D512" s="14">
        <v>45950</v>
      </c>
      <c r="E512" s="5" t="s">
        <v>7513</v>
      </c>
      <c r="F512" s="5" t="s">
        <v>1303</v>
      </c>
      <c r="G512" s="6" t="s">
        <v>957</v>
      </c>
      <c r="H512" s="6"/>
      <c r="I512" s="6"/>
      <c r="J512" s="6"/>
      <c r="K512" s="7" t="s">
        <v>8475</v>
      </c>
      <c r="L512" s="8">
        <v>25842</v>
      </c>
      <c r="M512" s="8" t="str">
        <f>"PEN"</f>
        <v>PEN</v>
      </c>
      <c r="N512" s="13"/>
      <c r="O512" s="13">
        <v>150</v>
      </c>
      <c r="P512" s="3">
        <f>+IF(OR($F512="SALDO",$F512="INGRESO"),$O512,0)</f>
        <v>150</v>
      </c>
      <c r="Q512" s="3">
        <f>+IF($F512="EGRESO",$O512,0)</f>
        <v>0</v>
      </c>
      <c r="R512" s="3">
        <f t="shared" si="60"/>
        <v>316.9999999999992</v>
      </c>
      <c r="S512" s="24"/>
      <c r="T512" s="24"/>
      <c r="U512" s="3"/>
      <c r="V512" s="25"/>
      <c r="W512" s="25"/>
      <c r="X512" s="25" t="str">
        <f>IFERROR(VLOOKUP(C_Ope_005[[#This Row],[nota_2]],Clientes_Proveedores[[Ruc / Dni]:[Razon Social]],2,0),"")</f>
        <v/>
      </c>
      <c r="Y512" s="25"/>
      <c r="Z512" s="25"/>
      <c r="AA512" s="3" t="str">
        <f>IF(C_Ope_005[[#This Row],[fecha]]&gt;0,TEXT(C_Ope_005[[#This Row],[fecha]],"mmmm"),0)</f>
        <v>Octubre</v>
      </c>
      <c r="AB512" s="49"/>
    </row>
    <row r="513" spans="1:28" ht="24" x14ac:dyDescent="0.3">
      <c r="A513" s="2">
        <f>IF(C_Ope_005[[#This Row],[tipo_r]]="R",COUNTIFS($C$1:$C512,"R")+1,"")</f>
        <v>512</v>
      </c>
      <c r="B513" s="19" t="str">
        <f t="shared" si="69"/>
        <v>C_Ope_005</v>
      </c>
      <c r="C513" s="3" t="s">
        <v>1330</v>
      </c>
      <c r="D513" s="14">
        <v>45950</v>
      </c>
      <c r="E513" s="5" t="s">
        <v>8535</v>
      </c>
      <c r="F513" s="5" t="s">
        <v>1336</v>
      </c>
      <c r="G513" s="6" t="s">
        <v>978</v>
      </c>
      <c r="H513" s="6" t="s">
        <v>68</v>
      </c>
      <c r="I513" s="6" t="s">
        <v>6204</v>
      </c>
      <c r="J513" s="6">
        <v>1875914</v>
      </c>
      <c r="K513" s="7" t="s">
        <v>9491</v>
      </c>
      <c r="L513" s="8">
        <v>25843</v>
      </c>
      <c r="M513" s="8" t="str">
        <f t="shared" si="70"/>
        <v>PEN</v>
      </c>
      <c r="N513" s="13"/>
      <c r="O513" s="13">
        <v>12</v>
      </c>
      <c r="P513" s="3">
        <f t="shared" si="71"/>
        <v>0</v>
      </c>
      <c r="Q513" s="3">
        <f t="shared" si="72"/>
        <v>12</v>
      </c>
      <c r="R513" s="3">
        <f t="shared" si="60"/>
        <v>304.9999999999992</v>
      </c>
      <c r="S513" s="24" t="s">
        <v>1334</v>
      </c>
      <c r="T513" s="24"/>
      <c r="U513" s="3"/>
      <c r="V513" s="25" t="s">
        <v>8006</v>
      </c>
      <c r="W513" s="25">
        <v>20517252558</v>
      </c>
      <c r="X513" s="25" t="str">
        <f>IFERROR(VLOOKUP(C_Ope_005[[#This Row],[nota_2]],Clientes_Proveedores[[Ruc / Dni]:[Razon Social]],2,0),"")</f>
        <v>COVISUR S.A.</v>
      </c>
      <c r="Y513" s="25" t="s">
        <v>7888</v>
      </c>
      <c r="Z513" s="25"/>
      <c r="AA513" s="3" t="str">
        <f>IF(C_Ope_005[[#This Row],[fecha]]&gt;0,TEXT(C_Ope_005[[#This Row],[fecha]],"mmmm"),0)</f>
        <v>Octubre</v>
      </c>
      <c r="AB513" s="49"/>
    </row>
    <row r="514" spans="1:28" ht="24" x14ac:dyDescent="0.3">
      <c r="A514" s="2">
        <f>IF(C_Ope_005[[#This Row],[tipo_r]]="R",COUNTIFS($C$1:$C513,"R")+1,"")</f>
        <v>513</v>
      </c>
      <c r="B514" s="19" t="str">
        <f t="shared" si="69"/>
        <v>C_Ope_005</v>
      </c>
      <c r="C514" s="3" t="s">
        <v>1330</v>
      </c>
      <c r="D514" s="14">
        <v>45950</v>
      </c>
      <c r="E514" s="5" t="s">
        <v>8535</v>
      </c>
      <c r="F514" s="5" t="s">
        <v>1336</v>
      </c>
      <c r="G514" s="6" t="s">
        <v>978</v>
      </c>
      <c r="H514" s="6" t="s">
        <v>68</v>
      </c>
      <c r="I514" s="6" t="s">
        <v>6203</v>
      </c>
      <c r="J514" s="6">
        <v>2219708</v>
      </c>
      <c r="K514" s="7" t="s">
        <v>9491</v>
      </c>
      <c r="L514" s="8">
        <v>25844</v>
      </c>
      <c r="M514" s="8" t="str">
        <f t="shared" si="70"/>
        <v>PEN</v>
      </c>
      <c r="N514" s="13"/>
      <c r="O514" s="13">
        <v>12</v>
      </c>
      <c r="P514" s="3">
        <f t="shared" si="71"/>
        <v>0</v>
      </c>
      <c r="Q514" s="3">
        <f t="shared" si="72"/>
        <v>12</v>
      </c>
      <c r="R514" s="3">
        <f t="shared" ref="R514:R531" si="73">IFERROR(IF(F514="SALDO",P514,R513+P514-Q514),0)</f>
        <v>292.9999999999992</v>
      </c>
      <c r="S514" s="24" t="s">
        <v>1334</v>
      </c>
      <c r="T514" s="24"/>
      <c r="U514" s="3"/>
      <c r="V514" s="25" t="s">
        <v>8006</v>
      </c>
      <c r="W514" s="25">
        <v>20517252558</v>
      </c>
      <c r="X514" s="25" t="str">
        <f>IFERROR(VLOOKUP(C_Ope_005[[#This Row],[nota_2]],Clientes_Proveedores[[Ruc / Dni]:[Razon Social]],2,0),"")</f>
        <v>COVISUR S.A.</v>
      </c>
      <c r="Y514" s="25" t="s">
        <v>7888</v>
      </c>
      <c r="Z514" s="25"/>
      <c r="AA514" s="3" t="str">
        <f>IF(C_Ope_005[[#This Row],[fecha]]&gt;0,TEXT(C_Ope_005[[#This Row],[fecha]],"mmmm"),0)</f>
        <v>Octubre</v>
      </c>
      <c r="AB514" s="49"/>
    </row>
    <row r="515" spans="1:28" ht="36" x14ac:dyDescent="0.3">
      <c r="A515" s="2">
        <f>IF(C_Ope_005[[#This Row],[tipo_r]]="R",COUNTIFS($C$1:$C514,"R")+1,"")</f>
        <v>514</v>
      </c>
      <c r="B515" s="19" t="str">
        <f t="shared" si="69"/>
        <v>C_Ope_005</v>
      </c>
      <c r="C515" s="3" t="s">
        <v>1330</v>
      </c>
      <c r="D515" s="14">
        <v>45950</v>
      </c>
      <c r="E515" s="5" t="s">
        <v>8535</v>
      </c>
      <c r="F515" s="5" t="s">
        <v>1336</v>
      </c>
      <c r="G515" s="6" t="s">
        <v>682</v>
      </c>
      <c r="H515" s="6" t="s">
        <v>68</v>
      </c>
      <c r="I515" s="6" t="s">
        <v>1353</v>
      </c>
      <c r="J515" s="6">
        <v>18123</v>
      </c>
      <c r="K515" s="7" t="s">
        <v>9492</v>
      </c>
      <c r="L515" s="8">
        <v>25845</v>
      </c>
      <c r="M515" s="8" t="str">
        <f t="shared" si="70"/>
        <v>PEN</v>
      </c>
      <c r="N515" s="13"/>
      <c r="O515" s="13">
        <v>20</v>
      </c>
      <c r="P515" s="3">
        <f t="shared" si="71"/>
        <v>0</v>
      </c>
      <c r="Q515" s="3">
        <f t="shared" si="72"/>
        <v>20</v>
      </c>
      <c r="R515" s="3">
        <f t="shared" si="73"/>
        <v>272.9999999999992</v>
      </c>
      <c r="S515" s="24" t="s">
        <v>1334</v>
      </c>
      <c r="T515" s="24"/>
      <c r="U515" s="3"/>
      <c r="V515" s="25" t="s">
        <v>8006</v>
      </c>
      <c r="W515" s="25">
        <v>20259858934</v>
      </c>
      <c r="X515" s="25" t="str">
        <f>IFERROR(VLOOKUP(C_Ope_005[[#This Row],[nota_2]],Clientes_Proveedores[[Ruc / Dni]:[Razon Social]],2,0),"")</f>
        <v>COMERCIALIZACION Y SERVICIOS EL EDEN S.A.C.</v>
      </c>
      <c r="Y515" s="25" t="s">
        <v>5933</v>
      </c>
      <c r="Z515" s="25"/>
      <c r="AA515" s="3" t="str">
        <f>IF(C_Ope_005[[#This Row],[fecha]]&gt;0,TEXT(C_Ope_005[[#This Row],[fecha]],"mmmm"),0)</f>
        <v>Octubre</v>
      </c>
      <c r="AB515" s="49"/>
    </row>
    <row r="516" spans="1:28" ht="24" x14ac:dyDescent="0.3">
      <c r="A516" s="2">
        <f>IF(C_Ope_005[[#This Row],[tipo_r]]="R",COUNTIFS($C$1:$C515,"R")+1,"")</f>
        <v>515</v>
      </c>
      <c r="B516" s="19" t="str">
        <f t="shared" si="69"/>
        <v>C_Ope_005</v>
      </c>
      <c r="C516" s="3" t="s">
        <v>1330</v>
      </c>
      <c r="D516" s="14">
        <v>45953</v>
      </c>
      <c r="E516" s="5" t="s">
        <v>8535</v>
      </c>
      <c r="F516" s="5" t="s">
        <v>1336</v>
      </c>
      <c r="G516" s="6" t="s">
        <v>978</v>
      </c>
      <c r="H516" s="6" t="s">
        <v>68</v>
      </c>
      <c r="I516" s="6" t="s">
        <v>6204</v>
      </c>
      <c r="J516" s="6">
        <v>1878903</v>
      </c>
      <c r="K516" s="7" t="s">
        <v>9493</v>
      </c>
      <c r="L516" s="8">
        <v>25869</v>
      </c>
      <c r="M516" s="8" t="str">
        <f t="shared" si="70"/>
        <v>PEN</v>
      </c>
      <c r="N516" s="13"/>
      <c r="O516" s="13">
        <v>12</v>
      </c>
      <c r="P516" s="3">
        <f t="shared" si="71"/>
        <v>0</v>
      </c>
      <c r="Q516" s="3">
        <f t="shared" si="72"/>
        <v>12</v>
      </c>
      <c r="R516" s="3">
        <f t="shared" si="73"/>
        <v>260.9999999999992</v>
      </c>
      <c r="S516" s="24" t="s">
        <v>1334</v>
      </c>
      <c r="T516" s="24"/>
      <c r="U516" s="3"/>
      <c r="V516" s="25" t="s">
        <v>8006</v>
      </c>
      <c r="W516" s="25">
        <v>20517252558</v>
      </c>
      <c r="X516" s="25" t="str">
        <f>IFERROR(VLOOKUP(C_Ope_005[[#This Row],[nota_2]],Clientes_Proveedores[[Ruc / Dni]:[Razon Social]],2,0),"")</f>
        <v>COVISUR S.A.</v>
      </c>
      <c r="Y516" s="25" t="s">
        <v>7888</v>
      </c>
      <c r="Z516" s="25"/>
      <c r="AA516" s="3" t="str">
        <f>IF(C_Ope_005[[#This Row],[fecha]]&gt;0,TEXT(C_Ope_005[[#This Row],[fecha]],"mmmm"),0)</f>
        <v>Octubre</v>
      </c>
      <c r="AB516" s="49"/>
    </row>
    <row r="517" spans="1:28" ht="24" x14ac:dyDescent="0.3">
      <c r="A517" s="2">
        <f>IF(C_Ope_005[[#This Row],[tipo_r]]="R",COUNTIFS($C$1:$C516,"R")+1,"")</f>
        <v>516</v>
      </c>
      <c r="B517" s="19" t="str">
        <f t="shared" si="69"/>
        <v>C_Ope_005</v>
      </c>
      <c r="C517" s="3" t="s">
        <v>1330</v>
      </c>
      <c r="D517" s="14">
        <v>45953</v>
      </c>
      <c r="E517" s="5" t="s">
        <v>8535</v>
      </c>
      <c r="F517" s="5" t="s">
        <v>1336</v>
      </c>
      <c r="G517" s="6" t="s">
        <v>978</v>
      </c>
      <c r="H517" s="6" t="s">
        <v>68</v>
      </c>
      <c r="I517" s="6" t="s">
        <v>5845</v>
      </c>
      <c r="J517" s="6">
        <v>1901367</v>
      </c>
      <c r="K517" s="7" t="s">
        <v>9493</v>
      </c>
      <c r="L517" s="8">
        <v>25870</v>
      </c>
      <c r="M517" s="8" t="str">
        <f t="shared" si="70"/>
        <v>PEN</v>
      </c>
      <c r="N517" s="13"/>
      <c r="O517" s="13">
        <v>12</v>
      </c>
      <c r="P517" s="3">
        <f t="shared" si="71"/>
        <v>0</v>
      </c>
      <c r="Q517" s="3">
        <f t="shared" si="72"/>
        <v>12</v>
      </c>
      <c r="R517" s="3">
        <f t="shared" si="73"/>
        <v>248.9999999999992</v>
      </c>
      <c r="S517" s="24" t="s">
        <v>1334</v>
      </c>
      <c r="T517" s="24"/>
      <c r="U517" s="3"/>
      <c r="V517" s="25" t="s">
        <v>8006</v>
      </c>
      <c r="W517" s="25">
        <v>20517252558</v>
      </c>
      <c r="X517" s="25" t="str">
        <f>IFERROR(VLOOKUP(C_Ope_005[[#This Row],[nota_2]],Clientes_Proveedores[[Ruc / Dni]:[Razon Social]],2,0),"")</f>
        <v>COVISUR S.A.</v>
      </c>
      <c r="Y517" s="25" t="s">
        <v>7888</v>
      </c>
      <c r="Z517" s="25"/>
      <c r="AA517" s="3" t="str">
        <f>IF(C_Ope_005[[#This Row],[fecha]]&gt;0,TEXT(C_Ope_005[[#This Row],[fecha]],"mmmm"),0)</f>
        <v>Octubre</v>
      </c>
      <c r="AB517" s="49"/>
    </row>
    <row r="518" spans="1:28" ht="24" x14ac:dyDescent="0.3">
      <c r="A518" s="2">
        <f>IF(C_Ope_005[[#This Row],[tipo_r]]="R",COUNTIFS($C$1:$C517,"R")+1,"")</f>
        <v>517</v>
      </c>
      <c r="B518" s="19" t="str">
        <f t="shared" si="69"/>
        <v>C_Ope_005</v>
      </c>
      <c r="C518" s="3" t="s">
        <v>1330</v>
      </c>
      <c r="D518" s="14">
        <v>45954</v>
      </c>
      <c r="E518" s="5" t="s">
        <v>8535</v>
      </c>
      <c r="F518" s="5" t="s">
        <v>1336</v>
      </c>
      <c r="G518" s="6" t="s">
        <v>978</v>
      </c>
      <c r="H518" s="6" t="s">
        <v>68</v>
      </c>
      <c r="I518" s="6" t="s">
        <v>5688</v>
      </c>
      <c r="J518" s="6">
        <v>2523111</v>
      </c>
      <c r="K518" s="7" t="s">
        <v>9494</v>
      </c>
      <c r="L518" s="8">
        <v>25886</v>
      </c>
      <c r="M518" s="8" t="str">
        <f t="shared" si="70"/>
        <v>PEN</v>
      </c>
      <c r="N518" s="13"/>
      <c r="O518" s="13">
        <v>12</v>
      </c>
      <c r="P518" s="3">
        <f t="shared" si="71"/>
        <v>0</v>
      </c>
      <c r="Q518" s="3">
        <f t="shared" si="72"/>
        <v>12</v>
      </c>
      <c r="R518" s="3">
        <f t="shared" si="73"/>
        <v>236.9999999999992</v>
      </c>
      <c r="S518" s="24" t="s">
        <v>1334</v>
      </c>
      <c r="T518" s="24"/>
      <c r="U518" s="3"/>
      <c r="V518" s="25" t="s">
        <v>8006</v>
      </c>
      <c r="W518" s="25">
        <v>20517252558</v>
      </c>
      <c r="X518" s="25" t="str">
        <f>IFERROR(VLOOKUP(C_Ope_005[[#This Row],[nota_2]],Clientes_Proveedores[[Ruc / Dni]:[Razon Social]],2,0),"")</f>
        <v>COVISUR S.A.</v>
      </c>
      <c r="Y518" s="25" t="s">
        <v>7888</v>
      </c>
      <c r="Z518" s="25"/>
      <c r="AA518" s="3" t="str">
        <f>IF(C_Ope_005[[#This Row],[fecha]]&gt;0,TEXT(C_Ope_005[[#This Row],[fecha]],"mmmm"),0)</f>
        <v>Octubre</v>
      </c>
      <c r="AB518" s="49"/>
    </row>
    <row r="519" spans="1:28" ht="24" x14ac:dyDescent="0.3">
      <c r="A519" s="2">
        <f>IF(C_Ope_005[[#This Row],[tipo_r]]="R",COUNTIFS($C$1:$C518,"R")+1,"")</f>
        <v>518</v>
      </c>
      <c r="B519" s="19" t="str">
        <f t="shared" si="69"/>
        <v>C_Ope_005</v>
      </c>
      <c r="C519" s="3" t="s">
        <v>1330</v>
      </c>
      <c r="D519" s="14">
        <v>45954</v>
      </c>
      <c r="E519" s="5" t="s">
        <v>8535</v>
      </c>
      <c r="F519" s="5" t="s">
        <v>1336</v>
      </c>
      <c r="G519" s="6" t="s">
        <v>978</v>
      </c>
      <c r="H519" s="6" t="s">
        <v>68</v>
      </c>
      <c r="I519" s="6" t="s">
        <v>5845</v>
      </c>
      <c r="J519" s="6">
        <v>1902331</v>
      </c>
      <c r="K519" s="7" t="s">
        <v>9494</v>
      </c>
      <c r="L519" s="8">
        <v>25887</v>
      </c>
      <c r="M519" s="8" t="str">
        <f t="shared" si="70"/>
        <v>PEN</v>
      </c>
      <c r="N519" s="13"/>
      <c r="O519" s="13">
        <v>12</v>
      </c>
      <c r="P519" s="3">
        <f t="shared" si="71"/>
        <v>0</v>
      </c>
      <c r="Q519" s="3">
        <f t="shared" si="72"/>
        <v>12</v>
      </c>
      <c r="R519" s="3">
        <f t="shared" si="73"/>
        <v>224.9999999999992</v>
      </c>
      <c r="S519" s="24" t="s">
        <v>1334</v>
      </c>
      <c r="T519" s="24"/>
      <c r="U519" s="3"/>
      <c r="V519" s="25" t="s">
        <v>8006</v>
      </c>
      <c r="W519" s="25">
        <v>20517252558</v>
      </c>
      <c r="X519" s="25" t="str">
        <f>IFERROR(VLOOKUP(C_Ope_005[[#This Row],[nota_2]],Clientes_Proveedores[[Ruc / Dni]:[Razon Social]],2,0),"")</f>
        <v>COVISUR S.A.</v>
      </c>
      <c r="Y519" s="25" t="s">
        <v>7888</v>
      </c>
      <c r="Z519" s="25"/>
      <c r="AA519" s="3" t="str">
        <f>IF(C_Ope_005[[#This Row],[fecha]]&gt;0,TEXT(C_Ope_005[[#This Row],[fecha]],"mmmm"),0)</f>
        <v>Octubre</v>
      </c>
      <c r="AB519" s="49"/>
    </row>
    <row r="520" spans="1:28" ht="36" x14ac:dyDescent="0.3">
      <c r="A520" s="2">
        <f>IF(C_Ope_005[[#This Row],[tipo_r]]="R",COUNTIFS($C$1:$C519,"R")+1,"")</f>
        <v>519</v>
      </c>
      <c r="B520" s="19" t="str">
        <f t="shared" si="69"/>
        <v>C_Ope_005</v>
      </c>
      <c r="C520" s="3" t="s">
        <v>1330</v>
      </c>
      <c r="D520" s="14">
        <v>45954</v>
      </c>
      <c r="E520" s="5" t="s">
        <v>8535</v>
      </c>
      <c r="F520" s="5" t="s">
        <v>1336</v>
      </c>
      <c r="G520" s="6" t="s">
        <v>227</v>
      </c>
      <c r="H520" s="6" t="s">
        <v>68</v>
      </c>
      <c r="I520" s="6" t="s">
        <v>1390</v>
      </c>
      <c r="J520" s="6">
        <v>138698</v>
      </c>
      <c r="K520" s="7" t="s">
        <v>9495</v>
      </c>
      <c r="L520" s="8">
        <v>25913</v>
      </c>
      <c r="M520" s="8" t="str">
        <f t="shared" si="70"/>
        <v>PEN</v>
      </c>
      <c r="N520" s="13"/>
      <c r="O520" s="13">
        <v>10</v>
      </c>
      <c r="P520" s="3">
        <f t="shared" si="71"/>
        <v>0</v>
      </c>
      <c r="Q520" s="3">
        <f t="shared" si="72"/>
        <v>10</v>
      </c>
      <c r="R520" s="3">
        <f t="shared" si="73"/>
        <v>214.9999999999992</v>
      </c>
      <c r="S520" s="24" t="s">
        <v>1334</v>
      </c>
      <c r="T520" s="24"/>
      <c r="U520" s="3"/>
      <c r="V520" s="25" t="s">
        <v>8006</v>
      </c>
      <c r="W520" s="25">
        <v>20124952850</v>
      </c>
      <c r="X520" s="25" t="str">
        <f>IFERROR(VLOOKUP(C_Ope_005[[#This Row],[nota_2]],Clientes_Proveedores[[Ruc / Dni]:[Razon Social]],2,0),"")</f>
        <v>ALIMENTOS Y SERVICIOS AGROPECUARIOS SRL.</v>
      </c>
      <c r="Y520" s="25" t="s">
        <v>5933</v>
      </c>
      <c r="Z520" s="25"/>
      <c r="AA520" s="3" t="str">
        <f>IF(C_Ope_005[[#This Row],[fecha]]&gt;0,TEXT(C_Ope_005[[#This Row],[fecha]],"mmmm"),0)</f>
        <v>Octubre</v>
      </c>
      <c r="AB520" s="49"/>
    </row>
    <row r="521" spans="1:28" ht="36" x14ac:dyDescent="0.3">
      <c r="A521" s="2">
        <f>IF(C_Ope_005[[#This Row],[tipo_r]]="R",COUNTIFS($C$1:$C520,"R")+1,"")</f>
        <v>520</v>
      </c>
      <c r="B521" s="19" t="str">
        <f t="shared" si="69"/>
        <v>C_Ope_005</v>
      </c>
      <c r="C521" s="3" t="s">
        <v>1330</v>
      </c>
      <c r="D521" s="14">
        <v>45957</v>
      </c>
      <c r="E521" s="5" t="s">
        <v>8535</v>
      </c>
      <c r="F521" s="5" t="s">
        <v>1336</v>
      </c>
      <c r="G521" s="6" t="s">
        <v>227</v>
      </c>
      <c r="H521" s="6" t="s">
        <v>68</v>
      </c>
      <c r="I521" s="6" t="s">
        <v>1390</v>
      </c>
      <c r="J521" s="6">
        <v>138790</v>
      </c>
      <c r="K521" s="7" t="s">
        <v>9496</v>
      </c>
      <c r="L521" s="8">
        <v>25917</v>
      </c>
      <c r="M521" s="8" t="str">
        <f t="shared" si="70"/>
        <v>PEN</v>
      </c>
      <c r="N521" s="13"/>
      <c r="O521" s="13">
        <v>10</v>
      </c>
      <c r="P521" s="3">
        <f t="shared" si="71"/>
        <v>0</v>
      </c>
      <c r="Q521" s="3">
        <f t="shared" si="72"/>
        <v>10</v>
      </c>
      <c r="R521" s="3">
        <f t="shared" si="73"/>
        <v>204.9999999999992</v>
      </c>
      <c r="S521" s="24" t="s">
        <v>1334</v>
      </c>
      <c r="T521" s="24"/>
      <c r="U521" s="3"/>
      <c r="V521" s="25" t="s">
        <v>8006</v>
      </c>
      <c r="W521" s="25">
        <v>20124952850</v>
      </c>
      <c r="X521" s="25" t="str">
        <f>IFERROR(VLOOKUP(C_Ope_005[[#This Row],[nota_2]],Clientes_Proveedores[[Ruc / Dni]:[Razon Social]],2,0),"")</f>
        <v>ALIMENTOS Y SERVICIOS AGROPECUARIOS SRL.</v>
      </c>
      <c r="Y521" s="25" t="s">
        <v>5933</v>
      </c>
      <c r="Z521" s="25"/>
      <c r="AA521" s="3" t="str">
        <f>IF(C_Ope_005[[#This Row],[fecha]]&gt;0,TEXT(C_Ope_005[[#This Row],[fecha]],"mmmm"),0)</f>
        <v>Octubre</v>
      </c>
      <c r="AB521" s="49"/>
    </row>
    <row r="522" spans="1:28" ht="36" x14ac:dyDescent="0.3">
      <c r="A522" s="2">
        <f>IF(C_Ope_005[[#This Row],[tipo_r]]="R",COUNTIFS($C$1:$C521,"R")+1,"")</f>
        <v>521</v>
      </c>
      <c r="B522" s="19" t="str">
        <f t="shared" si="69"/>
        <v>C_Ope_005</v>
      </c>
      <c r="C522" s="3" t="s">
        <v>1330</v>
      </c>
      <c r="D522" s="14">
        <v>45957</v>
      </c>
      <c r="E522" s="5" t="s">
        <v>8535</v>
      </c>
      <c r="F522" s="5" t="s">
        <v>1336</v>
      </c>
      <c r="G522" s="6" t="s">
        <v>227</v>
      </c>
      <c r="H522" s="6" t="s">
        <v>68</v>
      </c>
      <c r="I522" s="6" t="s">
        <v>1390</v>
      </c>
      <c r="J522" s="6">
        <v>138798</v>
      </c>
      <c r="K522" s="7" t="s">
        <v>9497</v>
      </c>
      <c r="L522" s="8">
        <v>25918</v>
      </c>
      <c r="M522" s="8" t="str">
        <f t="shared" si="70"/>
        <v>PEN</v>
      </c>
      <c r="N522" s="13"/>
      <c r="O522" s="13">
        <v>10</v>
      </c>
      <c r="P522" s="3">
        <f t="shared" si="71"/>
        <v>0</v>
      </c>
      <c r="Q522" s="3">
        <f t="shared" si="72"/>
        <v>10</v>
      </c>
      <c r="R522" s="3">
        <f t="shared" si="73"/>
        <v>194.9999999999992</v>
      </c>
      <c r="S522" s="24" t="s">
        <v>1334</v>
      </c>
      <c r="T522" s="24"/>
      <c r="U522" s="3"/>
      <c r="V522" s="25" t="s">
        <v>8006</v>
      </c>
      <c r="W522" s="25">
        <v>20124952850</v>
      </c>
      <c r="X522" s="25" t="str">
        <f>IFERROR(VLOOKUP(C_Ope_005[[#This Row],[nota_2]],Clientes_Proveedores[[Ruc / Dni]:[Razon Social]],2,0),"")</f>
        <v>ALIMENTOS Y SERVICIOS AGROPECUARIOS SRL.</v>
      </c>
      <c r="Y522" s="25" t="s">
        <v>5933</v>
      </c>
      <c r="Z522" s="25"/>
      <c r="AA522" s="3" t="str">
        <f>IF(C_Ope_005[[#This Row],[fecha]]&gt;0,TEXT(C_Ope_005[[#This Row],[fecha]],"mmmm"),0)</f>
        <v>Octubre</v>
      </c>
      <c r="AB522" s="49"/>
    </row>
    <row r="523" spans="1:28" ht="24" x14ac:dyDescent="0.3">
      <c r="A523" s="2">
        <f>IF(C_Ope_005[[#This Row],[tipo_r]]="R",COUNTIFS($C$1:$C522,"R")+1,"")</f>
        <v>522</v>
      </c>
      <c r="B523" s="19" t="str">
        <f t="shared" si="69"/>
        <v>C_Ope_005</v>
      </c>
      <c r="C523" s="3" t="s">
        <v>1330</v>
      </c>
      <c r="D523" s="14">
        <v>45959</v>
      </c>
      <c r="E523" s="5" t="s">
        <v>8535</v>
      </c>
      <c r="F523" s="5" t="s">
        <v>1336</v>
      </c>
      <c r="G523" s="6" t="s">
        <v>978</v>
      </c>
      <c r="H523" s="6" t="s">
        <v>68</v>
      </c>
      <c r="I523" s="6" t="s">
        <v>5845</v>
      </c>
      <c r="J523" s="6">
        <v>1907787</v>
      </c>
      <c r="K523" s="7" t="s">
        <v>9498</v>
      </c>
      <c r="L523" s="8">
        <v>25936</v>
      </c>
      <c r="M523" s="8" t="str">
        <f t="shared" si="70"/>
        <v>PEN</v>
      </c>
      <c r="N523" s="13"/>
      <c r="O523" s="13">
        <v>12</v>
      </c>
      <c r="P523" s="3">
        <f t="shared" si="71"/>
        <v>0</v>
      </c>
      <c r="Q523" s="3">
        <f t="shared" si="72"/>
        <v>12</v>
      </c>
      <c r="R523" s="3">
        <f t="shared" si="73"/>
        <v>182.9999999999992</v>
      </c>
      <c r="S523" s="24" t="s">
        <v>1334</v>
      </c>
      <c r="T523" s="24"/>
      <c r="U523" s="3"/>
      <c r="V523" s="25" t="s">
        <v>8006</v>
      </c>
      <c r="W523" s="25">
        <v>20517252558</v>
      </c>
      <c r="X523" s="25" t="str">
        <f>IFERROR(VLOOKUP(C_Ope_005[[#This Row],[nota_2]],Clientes_Proveedores[[Ruc / Dni]:[Razon Social]],2,0),"")</f>
        <v>COVISUR S.A.</v>
      </c>
      <c r="Y523" s="25" t="s">
        <v>7888</v>
      </c>
      <c r="Z523" s="25"/>
      <c r="AA523" s="3" t="str">
        <f>IF(C_Ope_005[[#This Row],[fecha]]&gt;0,TEXT(C_Ope_005[[#This Row],[fecha]],"mmmm"),0)</f>
        <v>Octubre</v>
      </c>
      <c r="AB523" s="49"/>
    </row>
    <row r="524" spans="1:28" ht="24" x14ac:dyDescent="0.3">
      <c r="A524" s="2">
        <f>IF(C_Ope_005[[#This Row],[tipo_r]]="R",COUNTIFS($C$1:$C523,"R")+1,"")</f>
        <v>523</v>
      </c>
      <c r="B524" s="19" t="str">
        <f t="shared" si="69"/>
        <v>C_Ope_005</v>
      </c>
      <c r="C524" s="3" t="s">
        <v>1330</v>
      </c>
      <c r="D524" s="14">
        <v>45959</v>
      </c>
      <c r="E524" s="5" t="s">
        <v>8535</v>
      </c>
      <c r="F524" s="5" t="s">
        <v>1336</v>
      </c>
      <c r="G524" s="6" t="s">
        <v>978</v>
      </c>
      <c r="H524" s="6" t="s">
        <v>68</v>
      </c>
      <c r="I524" s="6" t="s">
        <v>6204</v>
      </c>
      <c r="J524" s="6">
        <v>1885097</v>
      </c>
      <c r="K524" s="7" t="s">
        <v>9498</v>
      </c>
      <c r="L524" s="8">
        <v>25937</v>
      </c>
      <c r="M524" s="8" t="str">
        <f t="shared" si="70"/>
        <v>PEN</v>
      </c>
      <c r="N524" s="13"/>
      <c r="O524" s="13">
        <v>12</v>
      </c>
      <c r="P524" s="3">
        <f t="shared" si="71"/>
        <v>0</v>
      </c>
      <c r="Q524" s="3">
        <f t="shared" si="72"/>
        <v>12</v>
      </c>
      <c r="R524" s="3">
        <f t="shared" si="73"/>
        <v>170.9999999999992</v>
      </c>
      <c r="S524" s="24" t="s">
        <v>1334</v>
      </c>
      <c r="T524" s="24"/>
      <c r="U524" s="3"/>
      <c r="V524" s="25" t="s">
        <v>8006</v>
      </c>
      <c r="W524" s="25">
        <v>20517252558</v>
      </c>
      <c r="X524" s="25" t="str">
        <f>IFERROR(VLOOKUP(C_Ope_005[[#This Row],[nota_2]],Clientes_Proveedores[[Ruc / Dni]:[Razon Social]],2,0),"")</f>
        <v>COVISUR S.A.</v>
      </c>
      <c r="Y524" s="25" t="s">
        <v>7888</v>
      </c>
      <c r="Z524" s="25"/>
      <c r="AA524" s="3" t="str">
        <f>IF(C_Ope_005[[#This Row],[fecha]]&gt;0,TEXT(C_Ope_005[[#This Row],[fecha]],"mmmm"),0)</f>
        <v>Octubre</v>
      </c>
      <c r="AB524" s="49"/>
    </row>
    <row r="525" spans="1:28" ht="36" x14ac:dyDescent="0.3">
      <c r="A525" s="2">
        <f>IF(C_Ope_005[[#This Row],[tipo_r]]="R",COUNTIFS($C$1:$C524,"R")+1,"")</f>
        <v>524</v>
      </c>
      <c r="B525" s="19" t="str">
        <f t="shared" si="69"/>
        <v>C_Ope_005</v>
      </c>
      <c r="C525" s="3" t="s">
        <v>1330</v>
      </c>
      <c r="D525" s="14">
        <v>45959</v>
      </c>
      <c r="E525" s="5" t="s">
        <v>8535</v>
      </c>
      <c r="F525" s="5" t="s">
        <v>1336</v>
      </c>
      <c r="G525" s="6" t="s">
        <v>682</v>
      </c>
      <c r="H525" s="6" t="s">
        <v>68</v>
      </c>
      <c r="I525" s="6" t="s">
        <v>1353</v>
      </c>
      <c r="J525" s="6">
        <v>18265</v>
      </c>
      <c r="K525" s="7" t="s">
        <v>9492</v>
      </c>
      <c r="L525" s="8">
        <v>25938</v>
      </c>
      <c r="M525" s="8" t="str">
        <f t="shared" si="70"/>
        <v>PEN</v>
      </c>
      <c r="N525" s="13"/>
      <c r="O525" s="13">
        <v>20</v>
      </c>
      <c r="P525" s="3">
        <f t="shared" si="71"/>
        <v>0</v>
      </c>
      <c r="Q525" s="3">
        <f t="shared" si="72"/>
        <v>20</v>
      </c>
      <c r="R525" s="3">
        <f t="shared" si="73"/>
        <v>150.9999999999992</v>
      </c>
      <c r="S525" s="24" t="s">
        <v>1334</v>
      </c>
      <c r="T525" s="24"/>
      <c r="U525" s="3"/>
      <c r="V525" s="25" t="s">
        <v>8006</v>
      </c>
      <c r="W525" s="25">
        <v>20259858934</v>
      </c>
      <c r="X525" s="25" t="str">
        <f>IFERROR(VLOOKUP(C_Ope_005[[#This Row],[nota_2]],Clientes_Proveedores[[Ruc / Dni]:[Razon Social]],2,0),"")</f>
        <v>COMERCIALIZACION Y SERVICIOS EL EDEN S.A.C.</v>
      </c>
      <c r="Y525" s="25" t="s">
        <v>5933</v>
      </c>
      <c r="Z525" s="25"/>
      <c r="AA525" s="3" t="str">
        <f>IF(C_Ope_005[[#This Row],[fecha]]&gt;0,TEXT(C_Ope_005[[#This Row],[fecha]],"mmmm"),0)</f>
        <v>Octubre</v>
      </c>
      <c r="AB525" s="49"/>
    </row>
    <row r="526" spans="1:28" ht="36" x14ac:dyDescent="0.3">
      <c r="A526" s="2">
        <f>IF(C_Ope_005[[#This Row],[tipo_r]]="R",COUNTIFS($C$1:$C525,"R")+1,"")</f>
        <v>525</v>
      </c>
      <c r="B526" s="19" t="str">
        <f t="shared" si="69"/>
        <v>C_Ope_005</v>
      </c>
      <c r="C526" s="3" t="s">
        <v>1330</v>
      </c>
      <c r="D526" s="14">
        <v>45959</v>
      </c>
      <c r="E526" s="5" t="s">
        <v>8535</v>
      </c>
      <c r="F526" s="5" t="s">
        <v>1336</v>
      </c>
      <c r="G526" s="6" t="s">
        <v>682</v>
      </c>
      <c r="H526" s="6" t="s">
        <v>68</v>
      </c>
      <c r="I526" s="6" t="s">
        <v>1353</v>
      </c>
      <c r="J526" s="6">
        <v>18264</v>
      </c>
      <c r="K526" s="7" t="s">
        <v>9492</v>
      </c>
      <c r="L526" s="8">
        <v>25939</v>
      </c>
      <c r="M526" s="8" t="str">
        <f t="shared" si="70"/>
        <v>PEN</v>
      </c>
      <c r="N526" s="13"/>
      <c r="O526" s="13">
        <v>20</v>
      </c>
      <c r="P526" s="3">
        <f t="shared" si="71"/>
        <v>0</v>
      </c>
      <c r="Q526" s="3">
        <f t="shared" si="72"/>
        <v>20</v>
      </c>
      <c r="R526" s="3">
        <f t="shared" si="73"/>
        <v>130.9999999999992</v>
      </c>
      <c r="S526" s="24" t="s">
        <v>1334</v>
      </c>
      <c r="T526" s="24"/>
      <c r="U526" s="3"/>
      <c r="V526" s="25" t="s">
        <v>8006</v>
      </c>
      <c r="W526" s="25">
        <v>20259858934</v>
      </c>
      <c r="X526" s="25" t="str">
        <f>IFERROR(VLOOKUP(C_Ope_005[[#This Row],[nota_2]],Clientes_Proveedores[[Ruc / Dni]:[Razon Social]],2,0),"")</f>
        <v>COMERCIALIZACION Y SERVICIOS EL EDEN S.A.C.</v>
      </c>
      <c r="Y526" s="25" t="s">
        <v>5933</v>
      </c>
      <c r="Z526" s="25"/>
      <c r="AA526" s="3" t="str">
        <f>IF(C_Ope_005[[#This Row],[fecha]]&gt;0,TEXT(C_Ope_005[[#This Row],[fecha]],"mmmm"),0)</f>
        <v>Octubre</v>
      </c>
      <c r="AB526" s="49"/>
    </row>
    <row r="527" spans="1:28" x14ac:dyDescent="0.3">
      <c r="A527" s="2">
        <f>IF(C_Ope_005[[#This Row],[tipo_r]]="R",COUNTIFS($C$1:$C526,"R")+1,"")</f>
        <v>526</v>
      </c>
      <c r="B527" s="19" t="str">
        <f t="shared" si="69"/>
        <v>C_Ope_005</v>
      </c>
      <c r="C527" s="3" t="s">
        <v>1330</v>
      </c>
      <c r="D527" s="14">
        <v>45960</v>
      </c>
      <c r="E527" s="5" t="s">
        <v>8535</v>
      </c>
      <c r="F527" s="5" t="s">
        <v>1336</v>
      </c>
      <c r="G527" s="6" t="s">
        <v>978</v>
      </c>
      <c r="H527" s="6" t="s">
        <v>68</v>
      </c>
      <c r="I527" s="6" t="s">
        <v>6204</v>
      </c>
      <c r="J527" s="6">
        <v>1886027</v>
      </c>
      <c r="K527" s="7" t="s">
        <v>9499</v>
      </c>
      <c r="L527" s="8">
        <v>25942</v>
      </c>
      <c r="M527" s="8" t="str">
        <f t="shared" si="70"/>
        <v>PEN</v>
      </c>
      <c r="N527" s="13"/>
      <c r="O527" s="13">
        <v>12</v>
      </c>
      <c r="P527" s="3">
        <f t="shared" si="71"/>
        <v>0</v>
      </c>
      <c r="Q527" s="3">
        <f t="shared" si="72"/>
        <v>12</v>
      </c>
      <c r="R527" s="3">
        <f t="shared" si="73"/>
        <v>118.9999999999992</v>
      </c>
      <c r="S527" s="24" t="s">
        <v>1334</v>
      </c>
      <c r="T527" s="24"/>
      <c r="U527" s="3"/>
      <c r="V527" s="25" t="s">
        <v>8006</v>
      </c>
      <c r="W527" s="25">
        <v>20517252558</v>
      </c>
      <c r="X527" s="25" t="str">
        <f>IFERROR(VLOOKUP(C_Ope_005[[#This Row],[nota_2]],Clientes_Proveedores[[Ruc / Dni]:[Razon Social]],2,0),"")</f>
        <v>COVISUR S.A.</v>
      </c>
      <c r="Y527" s="25" t="s">
        <v>7888</v>
      </c>
      <c r="Z527" s="25"/>
      <c r="AA527" s="3" t="str">
        <f>IF(C_Ope_005[[#This Row],[fecha]]&gt;0,TEXT(C_Ope_005[[#This Row],[fecha]],"mmmm"),0)</f>
        <v>Octubre</v>
      </c>
      <c r="AB527" s="49"/>
    </row>
    <row r="528" spans="1:28" x14ac:dyDescent="0.3">
      <c r="A528" s="2">
        <f>IF(C_Ope_005[[#This Row],[tipo_r]]="R",COUNTIFS($C$1:$C527,"R")+1,"")</f>
        <v>527</v>
      </c>
      <c r="B528" s="19" t="str">
        <f t="shared" si="69"/>
        <v>C_Ope_005</v>
      </c>
      <c r="C528" s="3" t="s">
        <v>1330</v>
      </c>
      <c r="D528" s="14">
        <v>45960</v>
      </c>
      <c r="E528" s="5" t="s">
        <v>8535</v>
      </c>
      <c r="F528" s="5" t="s">
        <v>1336</v>
      </c>
      <c r="G528" s="6" t="s">
        <v>978</v>
      </c>
      <c r="H528" s="6" t="s">
        <v>68</v>
      </c>
      <c r="I528" s="6" t="s">
        <v>5845</v>
      </c>
      <c r="J528" s="6">
        <v>1908926</v>
      </c>
      <c r="K528" s="7" t="s">
        <v>9499</v>
      </c>
      <c r="L528" s="8">
        <v>25943</v>
      </c>
      <c r="M528" s="8" t="str">
        <f t="shared" si="70"/>
        <v>PEN</v>
      </c>
      <c r="N528" s="13"/>
      <c r="O528" s="13">
        <v>12</v>
      </c>
      <c r="P528" s="3">
        <f t="shared" si="71"/>
        <v>0</v>
      </c>
      <c r="Q528" s="3">
        <f t="shared" si="72"/>
        <v>12</v>
      </c>
      <c r="R528" s="3">
        <f t="shared" si="73"/>
        <v>106.9999999999992</v>
      </c>
      <c r="S528" s="24" t="s">
        <v>1334</v>
      </c>
      <c r="T528" s="24"/>
      <c r="U528" s="3"/>
      <c r="V528" s="25" t="s">
        <v>8006</v>
      </c>
      <c r="W528" s="25">
        <v>20517252558</v>
      </c>
      <c r="X528" s="25" t="str">
        <f>IFERROR(VLOOKUP(C_Ope_005[[#This Row],[nota_2]],Clientes_Proveedores[[Ruc / Dni]:[Razon Social]],2,0),"")</f>
        <v>COVISUR S.A.</v>
      </c>
      <c r="Y528" s="25" t="s">
        <v>7888</v>
      </c>
      <c r="Z528" s="25"/>
      <c r="AA528" s="3" t="str">
        <f>IF(C_Ope_005[[#This Row],[fecha]]&gt;0,TEXT(C_Ope_005[[#This Row],[fecha]],"mmmm"),0)</f>
        <v>Octubre</v>
      </c>
      <c r="AB528" s="49"/>
    </row>
    <row r="529" spans="1:28" ht="24" x14ac:dyDescent="0.3">
      <c r="A529" s="2">
        <f>IF(C_Ope_005[[#This Row],[tipo_r]]="R",COUNTIFS($C$1:$C528,"R")+1,"")</f>
        <v>528</v>
      </c>
      <c r="B529" s="19" t="str">
        <f t="shared" si="69"/>
        <v>C_Ope_005</v>
      </c>
      <c r="C529" s="3" t="s">
        <v>1330</v>
      </c>
      <c r="D529" s="14">
        <v>45961</v>
      </c>
      <c r="E529" s="5" t="s">
        <v>8535</v>
      </c>
      <c r="F529" s="5" t="s">
        <v>1336</v>
      </c>
      <c r="G529" s="6" t="s">
        <v>1269</v>
      </c>
      <c r="H529" s="6" t="s">
        <v>68</v>
      </c>
      <c r="I529" s="6" t="s">
        <v>6378</v>
      </c>
      <c r="J529" s="6">
        <v>261</v>
      </c>
      <c r="K529" s="7" t="s">
        <v>9500</v>
      </c>
      <c r="L529" s="8">
        <v>25953</v>
      </c>
      <c r="M529" s="8" t="str">
        <f t="shared" si="70"/>
        <v>PEN</v>
      </c>
      <c r="N529" s="13"/>
      <c r="O529" s="13">
        <v>10</v>
      </c>
      <c r="P529" s="3">
        <f t="shared" si="71"/>
        <v>0</v>
      </c>
      <c r="Q529" s="3">
        <f t="shared" si="72"/>
        <v>10</v>
      </c>
      <c r="R529" s="3">
        <f t="shared" si="73"/>
        <v>96.999999999999204</v>
      </c>
      <c r="S529" s="24" t="s">
        <v>1334</v>
      </c>
      <c r="T529" s="24"/>
      <c r="U529" s="3"/>
      <c r="V529" s="25" t="s">
        <v>7761</v>
      </c>
      <c r="W529" s="25">
        <v>20614826704</v>
      </c>
      <c r="X529" s="25" t="str">
        <f>IFERROR(VLOOKUP(C_Ope_005[[#This Row],[nota_2]],Clientes_Proveedores[[Ruc / Dni]:[Razon Social]],2,0),"")</f>
        <v>BIOSOLUCIONES SGH E.I.R.L.</v>
      </c>
      <c r="Y529" s="25" t="s">
        <v>5933</v>
      </c>
      <c r="Z529" s="25"/>
      <c r="AA529" s="3" t="str">
        <f>IF(C_Ope_005[[#This Row],[fecha]]&gt;0,TEXT(C_Ope_005[[#This Row],[fecha]],"mmmm"),0)</f>
        <v>Octubre</v>
      </c>
      <c r="AB529" s="49"/>
    </row>
    <row r="530" spans="1:28" ht="24" x14ac:dyDescent="0.3">
      <c r="A530" s="2">
        <f>IF(C_Ope_005[[#This Row],[tipo_r]]="R",COUNTIFS($C$1:$C529,"R")+1,"")</f>
        <v>529</v>
      </c>
      <c r="B530" s="19" t="str">
        <f t="shared" si="69"/>
        <v>C_Ope_005</v>
      </c>
      <c r="C530" s="3" t="s">
        <v>1330</v>
      </c>
      <c r="D530" s="14">
        <v>45967</v>
      </c>
      <c r="E530" s="5" t="s">
        <v>8535</v>
      </c>
      <c r="F530" s="5" t="s">
        <v>1336</v>
      </c>
      <c r="G530" s="6" t="s">
        <v>978</v>
      </c>
      <c r="H530" s="6" t="s">
        <v>68</v>
      </c>
      <c r="I530" s="6" t="s">
        <v>6204</v>
      </c>
      <c r="J530" s="6">
        <v>1892802</v>
      </c>
      <c r="K530" s="7" t="s">
        <v>9489</v>
      </c>
      <c r="L530" s="8">
        <v>25979</v>
      </c>
      <c r="M530" s="8" t="str">
        <f t="shared" si="70"/>
        <v>PEN</v>
      </c>
      <c r="N530" s="13"/>
      <c r="O530" s="13">
        <v>12</v>
      </c>
      <c r="P530" s="3">
        <f t="shared" si="71"/>
        <v>0</v>
      </c>
      <c r="Q530" s="3">
        <f t="shared" si="72"/>
        <v>12</v>
      </c>
      <c r="R530" s="3">
        <f t="shared" si="73"/>
        <v>84.999999999999204</v>
      </c>
      <c r="S530" s="24" t="s">
        <v>1334</v>
      </c>
      <c r="T530" s="24"/>
      <c r="U530" s="3"/>
      <c r="V530" s="25" t="s">
        <v>8006</v>
      </c>
      <c r="W530" s="25">
        <v>20517252558</v>
      </c>
      <c r="X530" s="25" t="str">
        <f>IFERROR(VLOOKUP(C_Ope_005[[#This Row],[nota_2]],Clientes_Proveedores[[Ruc / Dni]:[Razon Social]],2,0),"")</f>
        <v>COVISUR S.A.</v>
      </c>
      <c r="Y530" s="25" t="s">
        <v>7888</v>
      </c>
      <c r="Z530" s="25"/>
      <c r="AA530" s="3" t="str">
        <f>IF(C_Ope_005[[#This Row],[fecha]]&gt;0,TEXT(C_Ope_005[[#This Row],[fecha]],"mmmm"),0)</f>
        <v>Noviembre</v>
      </c>
      <c r="AB530" s="49"/>
    </row>
    <row r="531" spans="1:28" ht="24" x14ac:dyDescent="0.3">
      <c r="A531" s="2">
        <f>IF(C_Ope_005[[#This Row],[tipo_r]]="R",COUNTIFS($C$1:$C530,"R")+1,"")</f>
        <v>530</v>
      </c>
      <c r="B531" s="19" t="str">
        <f t="shared" si="69"/>
        <v>C_Ope_005</v>
      </c>
      <c r="C531" s="3" t="s">
        <v>1330</v>
      </c>
      <c r="D531" s="14">
        <v>45967</v>
      </c>
      <c r="E531" s="5" t="s">
        <v>8535</v>
      </c>
      <c r="F531" s="5" t="s">
        <v>1336</v>
      </c>
      <c r="G531" s="6" t="s">
        <v>978</v>
      </c>
      <c r="H531" s="6" t="s">
        <v>68</v>
      </c>
      <c r="I531" s="6" t="s">
        <v>5845</v>
      </c>
      <c r="J531" s="6">
        <v>1915760</v>
      </c>
      <c r="K531" s="7" t="s">
        <v>9489</v>
      </c>
      <c r="L531" s="8">
        <v>25980</v>
      </c>
      <c r="M531" s="8" t="str">
        <f t="shared" si="70"/>
        <v>PEN</v>
      </c>
      <c r="N531" s="13"/>
      <c r="O531" s="13">
        <v>12</v>
      </c>
      <c r="P531" s="3">
        <f t="shared" si="71"/>
        <v>0</v>
      </c>
      <c r="Q531" s="3">
        <f t="shared" si="72"/>
        <v>12</v>
      </c>
      <c r="R531" s="3">
        <f t="shared" si="73"/>
        <v>72.999999999999204</v>
      </c>
      <c r="S531" s="24" t="s">
        <v>1334</v>
      </c>
      <c r="T531" s="24"/>
      <c r="U531" s="3"/>
      <c r="V531" s="25" t="s">
        <v>8006</v>
      </c>
      <c r="W531" s="25">
        <v>20517252558</v>
      </c>
      <c r="X531" s="25" t="str">
        <f>IFERROR(VLOOKUP(C_Ope_005[[#This Row],[nota_2]],Clientes_Proveedores[[Ruc / Dni]:[Razon Social]],2,0),"")</f>
        <v>COVISUR S.A.</v>
      </c>
      <c r="Y531" s="25" t="s">
        <v>7888</v>
      </c>
      <c r="Z531" s="25"/>
      <c r="AA531" s="3" t="str">
        <f>IF(C_Ope_005[[#This Row],[fecha]]&gt;0,TEXT(C_Ope_005[[#This Row],[fecha]],"mmmm"),0)</f>
        <v>Noviembre</v>
      </c>
      <c r="AB531" s="49"/>
    </row>
  </sheetData>
  <conditionalFormatting sqref="A2:AA495 A496:U497 W496:AA497 A498:AA504 A505:U506 W505:AA506 A507:AA99979">
    <cfRule type="expression" dxfId="61" priority="270">
      <formula>$T2="OK"</formula>
    </cfRule>
    <cfRule type="expression" dxfId="60" priority="271">
      <formula>$C2="D"</formula>
    </cfRule>
    <cfRule type="expression" dxfId="59" priority="290">
      <formula>$S2="OK"</formula>
    </cfRule>
  </conditionalFormatting>
  <conditionalFormatting sqref="V496:V497">
    <cfRule type="expression" dxfId="58" priority="4">
      <formula>$T496="OK"</formula>
    </cfRule>
    <cfRule type="expression" dxfId="57" priority="5">
      <formula>$S496="OK"</formula>
    </cfRule>
    <cfRule type="expression" dxfId="56" priority="6">
      <formula>$C496="D"</formula>
    </cfRule>
  </conditionalFormatting>
  <conditionalFormatting sqref="V505:V506">
    <cfRule type="expression" dxfId="55" priority="1">
      <formula>$T505="OK"</formula>
    </cfRule>
    <cfRule type="expression" dxfId="54" priority="2">
      <formula>$S505="OK"</formula>
    </cfRule>
    <cfRule type="expression" dxfId="53" priority="3">
      <formula>$C505="D"</formula>
    </cfRule>
  </conditionalFormatting>
  <dataValidations count="4">
    <dataValidation type="list" allowBlank="1" showInputMessage="1" showErrorMessage="1" sqref="H2:H531" xr:uid="{F51C2306-EFB5-4DCB-B1A2-139BCDB2A0F3}">
      <formula1>Documentos</formula1>
    </dataValidation>
    <dataValidation type="list" allowBlank="1" showInputMessage="1" showErrorMessage="1" sqref="F2:F531" xr:uid="{81D3A757-36B7-4D54-AE44-1F081286029C}">
      <formula1>"SALDO,INGRESO,EGRESO"</formula1>
    </dataValidation>
    <dataValidation type="list" allowBlank="1" showInputMessage="1" showErrorMessage="1" sqref="C2:C531" xr:uid="{F2F5D48E-0E56-4567-8582-73D08104CD50}">
      <formula1>"R,D"</formula1>
    </dataValidation>
    <dataValidation type="list" allowBlank="1" showInputMessage="1" showErrorMessage="1" sqref="G2:G531" xr:uid="{8FE50B4D-5882-4669-9108-23B9692B024A}">
      <formula1>Proveedores_Clientes</formula1>
    </dataValidation>
  </dataValidations>
  <printOptions horizontalCentered="1"/>
  <pageMargins left="0.11811023622047245" right="0.11811023622047245" top="0.35433070866141736" bottom="0.35433070866141736" header="0.31496062992125984" footer="0.31496062992125984"/>
  <pageSetup paperSize="9" scale="43" fitToHeight="0" orientation="landscape"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22696-395D-6548-93A2-7499A394A909}">
  <sheetPr codeName="Hoja15">
    <tabColor rgb="FFFFC000"/>
    <pageSetUpPr fitToPage="1"/>
  </sheetPr>
  <dimension ref="A1:AI300"/>
  <sheetViews>
    <sheetView showGridLines="0" topLeftCell="N1" zoomScaleNormal="100" zoomScaleSheetLayoutView="100" workbookViewId="0">
      <selection sqref="A1:AB1"/>
    </sheetView>
  </sheetViews>
  <sheetFormatPr defaultColWidth="11.44140625" defaultRowHeight="14.4" outlineLevelCol="1" x14ac:dyDescent="0.3"/>
  <cols>
    <col min="1" max="1" width="9.44140625" bestFit="1" customWidth="1"/>
    <col min="2" max="2" width="15.44140625" bestFit="1" customWidth="1"/>
    <col min="3" max="3" width="13.44140625" bestFit="1" customWidth="1"/>
    <col min="4" max="4" width="10.6640625" bestFit="1" customWidth="1"/>
    <col min="5" max="5" width="14.33203125" customWidth="1"/>
    <col min="6" max="6" width="11.6640625" bestFit="1" customWidth="1"/>
    <col min="7" max="7" width="17" bestFit="1" customWidth="1"/>
    <col min="8" max="8" width="16" customWidth="1"/>
    <col min="9" max="9" width="10.109375" bestFit="1" customWidth="1"/>
    <col min="10" max="10" width="12.44140625" bestFit="1" customWidth="1"/>
    <col min="11" max="11" width="40.44140625" bestFit="1" customWidth="1"/>
    <col min="12" max="12" width="15" bestFit="1" customWidth="1"/>
    <col min="13" max="13" width="12.44140625" bestFit="1" customWidth="1"/>
    <col min="14" max="14" width="12.109375" bestFit="1" customWidth="1"/>
    <col min="15" max="15" width="11.44140625" bestFit="1" customWidth="1"/>
    <col min="16" max="17" width="11.33203125" customWidth="1"/>
    <col min="18" max="18" width="10.88671875" customWidth="1"/>
    <col min="19" max="19" width="12" customWidth="1"/>
    <col min="20" max="20" width="13" customWidth="1"/>
    <col min="21" max="22" width="15.88671875" customWidth="1"/>
    <col min="23" max="26" width="15.88671875" customWidth="1" outlineLevel="1"/>
    <col min="27" max="27" width="12.88671875" customWidth="1" outlineLevel="1"/>
  </cols>
  <sheetData>
    <row r="1" spans="1:28" x14ac:dyDescent="0.3">
      <c r="A1" s="263" t="s">
        <v>9536</v>
      </c>
      <c r="B1" s="263" t="s">
        <v>9537</v>
      </c>
      <c r="C1" s="263" t="s">
        <v>9563</v>
      </c>
      <c r="D1" s="263" t="s">
        <v>9539</v>
      </c>
      <c r="E1" s="263" t="s">
        <v>9540</v>
      </c>
      <c r="F1" s="263" t="s">
        <v>9541</v>
      </c>
      <c r="G1" s="263" t="s">
        <v>9542</v>
      </c>
      <c r="H1" s="263" t="s">
        <v>9543</v>
      </c>
      <c r="I1" s="263" t="s">
        <v>9544</v>
      </c>
      <c r="J1" s="263" t="s">
        <v>9545</v>
      </c>
      <c r="K1" s="263" t="s">
        <v>9546</v>
      </c>
      <c r="L1" s="263" t="s">
        <v>9565</v>
      </c>
      <c r="M1" s="263" t="s">
        <v>9548</v>
      </c>
      <c r="N1" s="263" t="s">
        <v>9549</v>
      </c>
      <c r="O1" s="263" t="s">
        <v>9550</v>
      </c>
      <c r="P1" s="263" t="s">
        <v>9551</v>
      </c>
      <c r="Q1" s="263" t="s">
        <v>9552</v>
      </c>
      <c r="R1" s="263" t="s">
        <v>9553</v>
      </c>
      <c r="S1" s="263" t="s">
        <v>9554</v>
      </c>
      <c r="T1" s="263" t="s">
        <v>9555</v>
      </c>
      <c r="U1" s="263" t="s">
        <v>9556</v>
      </c>
      <c r="V1" s="263" t="s">
        <v>9557</v>
      </c>
      <c r="W1" s="263" t="s">
        <v>9558</v>
      </c>
      <c r="X1" s="263" t="s">
        <v>9559</v>
      </c>
      <c r="Y1" s="263" t="s">
        <v>9560</v>
      </c>
      <c r="Z1" s="263" t="s">
        <v>9561</v>
      </c>
      <c r="AA1" s="263" t="s">
        <v>9562</v>
      </c>
      <c r="AB1" s="1" t="s">
        <v>9566</v>
      </c>
    </row>
    <row r="2" spans="1:28" ht="24" x14ac:dyDescent="0.3">
      <c r="A2" s="2">
        <f>IF(C_Ope_006[[#This Row],[tipo_r]]="R",COUNTIFS($C$1:$C1,"R")+1,"")</f>
        <v>1</v>
      </c>
      <c r="B2" s="19" t="str">
        <f>"C_Ope_006"</f>
        <v>C_Ope_006</v>
      </c>
      <c r="C2" s="3" t="s">
        <v>1330</v>
      </c>
      <c r="D2" s="4">
        <v>45714</v>
      </c>
      <c r="E2" s="5" t="s">
        <v>7514</v>
      </c>
      <c r="F2" s="6" t="s">
        <v>1320</v>
      </c>
      <c r="G2" s="6" t="s">
        <v>1019</v>
      </c>
      <c r="H2" s="6"/>
      <c r="I2" s="6"/>
      <c r="J2" s="6"/>
      <c r="K2" s="7" t="s">
        <v>7516</v>
      </c>
      <c r="L2" s="8">
        <v>23207</v>
      </c>
      <c r="M2" s="8" t="str">
        <f t="shared" ref="M2" si="0">"PEN"</f>
        <v>PEN</v>
      </c>
      <c r="N2" s="13"/>
      <c r="O2" s="9">
        <v>200</v>
      </c>
      <c r="P2" s="9">
        <f t="shared" ref="P2:P65" si="1">+IF(OR($F2="SALDO",$F2="INGRESO"),$O2,0)</f>
        <v>200</v>
      </c>
      <c r="Q2" s="9">
        <f t="shared" ref="Q2:Q65" si="2">+IF($F2="EGRESO",$O2,0)</f>
        <v>0</v>
      </c>
      <c r="R2" s="9">
        <f t="shared" ref="R2:R65" si="3">IFERROR(IF(F2="SALDO",P2,R1+P2-Q2),0)</f>
        <v>200</v>
      </c>
      <c r="S2" s="24" t="s">
        <v>1334</v>
      </c>
      <c r="T2" s="24" t="s">
        <v>1334</v>
      </c>
      <c r="U2" s="15"/>
      <c r="V2" s="25"/>
      <c r="W2" s="25"/>
      <c r="X2" s="25" t="str">
        <f>IFERROR(VLOOKUP(C_Ope_006[[#This Row],[nota_2]],Clientes_Proveedores[[Ruc / Dni]:[Razon Social]],2,0),"")</f>
        <v/>
      </c>
      <c r="Y2" s="25"/>
      <c r="Z2" s="17">
        <f>ROUND(C_Ope_006[[#This Row],[monto]]/1.18,3)</f>
        <v>169.49199999999999</v>
      </c>
      <c r="AA2" s="3" t="str">
        <f>IF(C_Ope_006[[#This Row],[fecha]]&gt;0,TEXT(C_Ope_006[[#This Row],[fecha]],"mmmm"),0)</f>
        <v>Febrero</v>
      </c>
      <c r="AB2" s="49"/>
    </row>
    <row r="3" spans="1:28" x14ac:dyDescent="0.3">
      <c r="A3" s="2">
        <f>IF(C_Ope_006[[#This Row],[tipo_r]]="R",COUNTIFS($C$1:$C2,"R")+1,"")</f>
        <v>2</v>
      </c>
      <c r="B3" s="19" t="str">
        <f t="shared" ref="B3:B34" si="4">"C_Ope_006"</f>
        <v>C_Ope_006</v>
      </c>
      <c r="C3" s="3" t="s">
        <v>1330</v>
      </c>
      <c r="D3" s="14">
        <v>45714</v>
      </c>
      <c r="E3" s="5" t="s">
        <v>8786</v>
      </c>
      <c r="F3" s="5" t="s">
        <v>1336</v>
      </c>
      <c r="G3" s="6" t="s">
        <v>978</v>
      </c>
      <c r="H3" s="6" t="s">
        <v>68</v>
      </c>
      <c r="I3" s="6" t="s">
        <v>5845</v>
      </c>
      <c r="J3" s="6">
        <v>1685015</v>
      </c>
      <c r="K3" s="7" t="s">
        <v>8787</v>
      </c>
      <c r="L3" s="8">
        <v>23208</v>
      </c>
      <c r="M3" s="8" t="str">
        <f t="shared" ref="M3:M34" si="5">"PEN"</f>
        <v>PEN</v>
      </c>
      <c r="N3" s="13"/>
      <c r="O3" s="13">
        <v>12</v>
      </c>
      <c r="P3" s="3">
        <f t="shared" si="1"/>
        <v>0</v>
      </c>
      <c r="Q3" s="3">
        <f t="shared" si="2"/>
        <v>12</v>
      </c>
      <c r="R3" s="3">
        <f t="shared" si="3"/>
        <v>188</v>
      </c>
      <c r="S3" s="24" t="s">
        <v>1334</v>
      </c>
      <c r="T3" s="24" t="s">
        <v>1334</v>
      </c>
      <c r="U3" s="3"/>
      <c r="V3" s="25" t="s">
        <v>8006</v>
      </c>
      <c r="W3" s="25">
        <v>20517252558</v>
      </c>
      <c r="X3" s="25" t="str">
        <f>IFERROR(VLOOKUP(C_Ope_006[[#This Row],[nota_2]],Clientes_Proveedores[[Ruc / Dni]:[Razon Social]],2,0),"")</f>
        <v>COVISUR S.A.</v>
      </c>
      <c r="Y3" s="25"/>
      <c r="Z3" s="17"/>
      <c r="AA3" s="3" t="str">
        <f>IF(C_Ope_006[[#This Row],[fecha]]&gt;0,TEXT(C_Ope_006[[#This Row],[fecha]],"mmmm"),0)</f>
        <v>Febrero</v>
      </c>
      <c r="AB3" s="49"/>
    </row>
    <row r="4" spans="1:28" x14ac:dyDescent="0.3">
      <c r="A4" s="2">
        <f>IF(C_Ope_006[[#This Row],[tipo_r]]="R",COUNTIFS($C$1:$C3,"R")+1,"")</f>
        <v>3</v>
      </c>
      <c r="B4" s="19" t="str">
        <f t="shared" si="4"/>
        <v>C_Ope_006</v>
      </c>
      <c r="C4" s="3" t="s">
        <v>1330</v>
      </c>
      <c r="D4" s="14">
        <v>45715</v>
      </c>
      <c r="E4" s="5" t="s">
        <v>8786</v>
      </c>
      <c r="F4" s="5" t="s">
        <v>1336</v>
      </c>
      <c r="G4" s="6" t="s">
        <v>978</v>
      </c>
      <c r="H4" s="6" t="s">
        <v>68</v>
      </c>
      <c r="I4" s="6" t="s">
        <v>5688</v>
      </c>
      <c r="J4" s="6">
        <v>2247282</v>
      </c>
      <c r="K4" s="7" t="s">
        <v>8788</v>
      </c>
      <c r="L4" s="8">
        <v>23225</v>
      </c>
      <c r="M4" s="8" t="str">
        <f t="shared" si="5"/>
        <v>PEN</v>
      </c>
      <c r="N4" s="13"/>
      <c r="O4" s="13">
        <v>12</v>
      </c>
      <c r="P4" s="3">
        <f t="shared" si="1"/>
        <v>0</v>
      </c>
      <c r="Q4" s="3">
        <f t="shared" si="2"/>
        <v>12</v>
      </c>
      <c r="R4" s="3">
        <f t="shared" si="3"/>
        <v>176</v>
      </c>
      <c r="S4" s="24" t="s">
        <v>1334</v>
      </c>
      <c r="T4" s="24" t="s">
        <v>1334</v>
      </c>
      <c r="U4" s="3"/>
      <c r="V4" s="25" t="s">
        <v>8006</v>
      </c>
      <c r="W4" s="25">
        <v>20517252558</v>
      </c>
      <c r="X4" s="25" t="str">
        <f>IFERROR(VLOOKUP(C_Ope_006[[#This Row],[nota_2]],Clientes_Proveedores[[Ruc / Dni]:[Razon Social]],2,0),"")</f>
        <v>COVISUR S.A.</v>
      </c>
      <c r="Y4" s="25"/>
      <c r="Z4" s="17"/>
      <c r="AA4" s="3" t="str">
        <f>IF(C_Ope_006[[#This Row],[fecha]]&gt;0,TEXT(C_Ope_006[[#This Row],[fecha]],"mmmm"),0)</f>
        <v>Febrero</v>
      </c>
      <c r="AB4" s="49"/>
    </row>
    <row r="5" spans="1:28" x14ac:dyDescent="0.3">
      <c r="A5" s="2">
        <f>IF(C_Ope_006[[#This Row],[tipo_r]]="R",COUNTIFS($C$1:$C4,"R")+1,"")</f>
        <v>4</v>
      </c>
      <c r="B5" s="19" t="str">
        <f t="shared" si="4"/>
        <v>C_Ope_006</v>
      </c>
      <c r="C5" s="3" t="s">
        <v>1330</v>
      </c>
      <c r="D5" s="14">
        <v>45715</v>
      </c>
      <c r="E5" s="5" t="s">
        <v>8786</v>
      </c>
      <c r="F5" s="5" t="s">
        <v>1336</v>
      </c>
      <c r="G5" s="6" t="s">
        <v>978</v>
      </c>
      <c r="H5" s="6" t="s">
        <v>68</v>
      </c>
      <c r="I5" s="6" t="s">
        <v>6203</v>
      </c>
      <c r="J5" s="6">
        <v>1974082</v>
      </c>
      <c r="K5" s="7" t="s">
        <v>8788</v>
      </c>
      <c r="L5" s="8">
        <v>23230</v>
      </c>
      <c r="M5" s="8" t="str">
        <f t="shared" si="5"/>
        <v>PEN</v>
      </c>
      <c r="N5" s="13"/>
      <c r="O5" s="13">
        <v>12</v>
      </c>
      <c r="P5" s="3">
        <f t="shared" si="1"/>
        <v>0</v>
      </c>
      <c r="Q5" s="3">
        <f t="shared" si="2"/>
        <v>12</v>
      </c>
      <c r="R5" s="3">
        <f t="shared" si="3"/>
        <v>164</v>
      </c>
      <c r="S5" s="24" t="s">
        <v>1334</v>
      </c>
      <c r="T5" s="24" t="s">
        <v>1334</v>
      </c>
      <c r="U5" s="3"/>
      <c r="V5" s="25" t="s">
        <v>8006</v>
      </c>
      <c r="W5" s="25">
        <v>20517252558</v>
      </c>
      <c r="X5" s="25" t="str">
        <f>IFERROR(VLOOKUP(C_Ope_006[[#This Row],[nota_2]],Clientes_Proveedores[[Ruc / Dni]:[Razon Social]],2,0),"")</f>
        <v>COVISUR S.A.</v>
      </c>
      <c r="Y5" s="25"/>
      <c r="Z5" s="17"/>
      <c r="AA5" s="3" t="str">
        <f>IF(C_Ope_006[[#This Row],[fecha]]&gt;0,TEXT(C_Ope_006[[#This Row],[fecha]],"mmmm"),0)</f>
        <v>Febrero</v>
      </c>
      <c r="AB5" s="49"/>
    </row>
    <row r="6" spans="1:28" ht="24" x14ac:dyDescent="0.3">
      <c r="A6" s="2">
        <f>IF(C_Ope_006[[#This Row],[tipo_r]]="R",COUNTIFS($C$1:$C5,"R")+1,"")</f>
        <v>5</v>
      </c>
      <c r="B6" s="19" t="str">
        <f t="shared" si="4"/>
        <v>C_Ope_006</v>
      </c>
      <c r="C6" s="3" t="s">
        <v>1330</v>
      </c>
      <c r="D6" s="14">
        <v>45716</v>
      </c>
      <c r="E6" s="5" t="s">
        <v>8786</v>
      </c>
      <c r="F6" s="5" t="s">
        <v>1336</v>
      </c>
      <c r="G6" s="6" t="s">
        <v>978</v>
      </c>
      <c r="H6" s="6" t="s">
        <v>68</v>
      </c>
      <c r="I6" s="6" t="s">
        <v>5688</v>
      </c>
      <c r="J6" s="6">
        <v>2248711</v>
      </c>
      <c r="K6" s="7" t="s">
        <v>8789</v>
      </c>
      <c r="L6" s="8">
        <v>23238</v>
      </c>
      <c r="M6" s="8" t="str">
        <f t="shared" si="5"/>
        <v>PEN</v>
      </c>
      <c r="N6" s="13"/>
      <c r="O6" s="13">
        <v>12</v>
      </c>
      <c r="P6" s="3">
        <f t="shared" si="1"/>
        <v>0</v>
      </c>
      <c r="Q6" s="3">
        <f t="shared" si="2"/>
        <v>12</v>
      </c>
      <c r="R6" s="3">
        <f t="shared" si="3"/>
        <v>152</v>
      </c>
      <c r="S6" s="24" t="s">
        <v>1334</v>
      </c>
      <c r="T6" s="24" t="s">
        <v>1334</v>
      </c>
      <c r="U6" s="3"/>
      <c r="V6" s="25" t="s">
        <v>8006</v>
      </c>
      <c r="W6" s="25">
        <v>20517252558</v>
      </c>
      <c r="X6" s="25" t="str">
        <f>IFERROR(VLOOKUP(C_Ope_006[[#This Row],[nota_2]],Clientes_Proveedores[[Ruc / Dni]:[Razon Social]],2,0),"")</f>
        <v>COVISUR S.A.</v>
      </c>
      <c r="Y6" s="25"/>
      <c r="Z6" s="17"/>
      <c r="AA6" s="3" t="str">
        <f>IF(C_Ope_006[[#This Row],[fecha]]&gt;0,TEXT(C_Ope_006[[#This Row],[fecha]],"mmmm"),0)</f>
        <v>Febrero</v>
      </c>
      <c r="AB6" s="49"/>
    </row>
    <row r="7" spans="1:28" ht="24" x14ac:dyDescent="0.3">
      <c r="A7" s="2">
        <f>IF(C_Ope_006[[#This Row],[tipo_r]]="R",COUNTIFS($C$1:$C6,"R")+1,"")</f>
        <v>6</v>
      </c>
      <c r="B7" s="19" t="str">
        <f t="shared" si="4"/>
        <v>C_Ope_006</v>
      </c>
      <c r="C7" s="3" t="s">
        <v>1330</v>
      </c>
      <c r="D7" s="14">
        <v>45716</v>
      </c>
      <c r="E7" s="5" t="s">
        <v>8786</v>
      </c>
      <c r="F7" s="5" t="s">
        <v>1336</v>
      </c>
      <c r="G7" s="6" t="s">
        <v>978</v>
      </c>
      <c r="H7" s="6" t="s">
        <v>68</v>
      </c>
      <c r="I7" s="6" t="s">
        <v>5845</v>
      </c>
      <c r="J7" s="6">
        <v>1687109</v>
      </c>
      <c r="K7" s="7" t="s">
        <v>8789</v>
      </c>
      <c r="L7" s="8">
        <v>23255</v>
      </c>
      <c r="M7" s="8" t="str">
        <f t="shared" si="5"/>
        <v>PEN</v>
      </c>
      <c r="N7" s="13"/>
      <c r="O7" s="13">
        <v>12</v>
      </c>
      <c r="P7" s="3">
        <f t="shared" si="1"/>
        <v>0</v>
      </c>
      <c r="Q7" s="3">
        <f t="shared" si="2"/>
        <v>12</v>
      </c>
      <c r="R7" s="3">
        <f t="shared" si="3"/>
        <v>140</v>
      </c>
      <c r="S7" s="24" t="s">
        <v>1334</v>
      </c>
      <c r="T7" s="24" t="s">
        <v>1334</v>
      </c>
      <c r="U7" s="3"/>
      <c r="V7" s="25" t="s">
        <v>8006</v>
      </c>
      <c r="W7" s="25">
        <v>20517252558</v>
      </c>
      <c r="X7" s="25" t="str">
        <f>IFERROR(VLOOKUP(C_Ope_006[[#This Row],[nota_2]],Clientes_Proveedores[[Ruc / Dni]:[Razon Social]],2,0),"")</f>
        <v>COVISUR S.A.</v>
      </c>
      <c r="Y7" s="25"/>
      <c r="Z7" s="17"/>
      <c r="AA7" s="3" t="str">
        <f>IF(C_Ope_006[[#This Row],[fecha]]&gt;0,TEXT(C_Ope_006[[#This Row],[fecha]],"mmmm"),0)</f>
        <v>Febrero</v>
      </c>
      <c r="AB7" s="49"/>
    </row>
    <row r="8" spans="1:28" ht="36" x14ac:dyDescent="0.3">
      <c r="A8" s="2">
        <f>IF(C_Ope_006[[#This Row],[tipo_r]]="R",COUNTIFS($C$1:$C7,"R")+1,"")</f>
        <v>7</v>
      </c>
      <c r="B8" s="19" t="str">
        <f t="shared" si="4"/>
        <v>C_Ope_006</v>
      </c>
      <c r="C8" s="3" t="s">
        <v>1330</v>
      </c>
      <c r="D8" s="14">
        <v>45714</v>
      </c>
      <c r="E8" s="5" t="s">
        <v>8786</v>
      </c>
      <c r="F8" s="5" t="s">
        <v>1336</v>
      </c>
      <c r="G8" s="6" t="s">
        <v>227</v>
      </c>
      <c r="H8" s="6" t="s">
        <v>68</v>
      </c>
      <c r="I8" s="6" t="s">
        <v>1390</v>
      </c>
      <c r="J8" s="6">
        <v>128715</v>
      </c>
      <c r="K8" s="7" t="s">
        <v>8790</v>
      </c>
      <c r="L8" s="8">
        <v>23209</v>
      </c>
      <c r="M8" s="8" t="str">
        <f t="shared" si="5"/>
        <v>PEN</v>
      </c>
      <c r="N8" s="13"/>
      <c r="O8" s="13">
        <v>10</v>
      </c>
      <c r="P8" s="3">
        <f t="shared" si="1"/>
        <v>0</v>
      </c>
      <c r="Q8" s="3">
        <f t="shared" si="2"/>
        <v>10</v>
      </c>
      <c r="R8" s="3">
        <f t="shared" si="3"/>
        <v>130</v>
      </c>
      <c r="S8" s="24" t="s">
        <v>1334</v>
      </c>
      <c r="T8" s="24" t="s">
        <v>1334</v>
      </c>
      <c r="U8" s="3"/>
      <c r="V8" s="25" t="s">
        <v>8006</v>
      </c>
      <c r="W8" s="25">
        <v>20124952850</v>
      </c>
      <c r="X8" s="25" t="str">
        <f>IFERROR(VLOOKUP(C_Ope_006[[#This Row],[nota_2]],Clientes_Proveedores[[Ruc / Dni]:[Razon Social]],2,0),"")</f>
        <v>ALIMENTOS Y SERVICIOS AGROPECUARIOS SRL.</v>
      </c>
      <c r="Y8" s="25"/>
      <c r="Z8" s="17"/>
      <c r="AA8" s="3" t="str">
        <f>IF(C_Ope_006[[#This Row],[fecha]]&gt;0,TEXT(C_Ope_006[[#This Row],[fecha]],"mmmm"),0)</f>
        <v>Febrero</v>
      </c>
      <c r="AB8" s="49"/>
    </row>
    <row r="9" spans="1:28" ht="24" x14ac:dyDescent="0.3">
      <c r="A9" s="2">
        <f>IF(C_Ope_006[[#This Row],[tipo_r]]="R",COUNTIFS($C$1:$C8,"R")+1,"")</f>
        <v>8</v>
      </c>
      <c r="B9" s="19" t="str">
        <f t="shared" si="4"/>
        <v>C_Ope_006</v>
      </c>
      <c r="C9" s="3" t="s">
        <v>1330</v>
      </c>
      <c r="D9" s="14">
        <v>45715</v>
      </c>
      <c r="E9" s="5" t="s">
        <v>8786</v>
      </c>
      <c r="F9" s="5" t="s">
        <v>1336</v>
      </c>
      <c r="G9" s="6" t="s">
        <v>1147</v>
      </c>
      <c r="H9" s="6" t="s">
        <v>68</v>
      </c>
      <c r="I9" s="6" t="s">
        <v>1386</v>
      </c>
      <c r="J9" s="6">
        <v>16023</v>
      </c>
      <c r="K9" s="7" t="s">
        <v>8791</v>
      </c>
      <c r="L9" s="8">
        <v>23228</v>
      </c>
      <c r="M9" s="8" t="str">
        <f t="shared" si="5"/>
        <v>PEN</v>
      </c>
      <c r="N9" s="13"/>
      <c r="O9" s="13">
        <v>12</v>
      </c>
      <c r="P9" s="3">
        <f t="shared" si="1"/>
        <v>0</v>
      </c>
      <c r="Q9" s="3">
        <f t="shared" si="2"/>
        <v>12</v>
      </c>
      <c r="R9" s="3">
        <f t="shared" si="3"/>
        <v>118</v>
      </c>
      <c r="S9" s="24" t="s">
        <v>1334</v>
      </c>
      <c r="T9" s="24" t="s">
        <v>1334</v>
      </c>
      <c r="U9" s="3"/>
      <c r="V9" s="25" t="s">
        <v>8006</v>
      </c>
      <c r="W9" s="25">
        <v>20162554167</v>
      </c>
      <c r="X9" s="25" t="str">
        <f>IFERROR(VLOOKUP(C_Ope_006[[#This Row],[nota_2]],Clientes_Proveedores[[Ruc / Dni]:[Razon Social]],2,0),"")</f>
        <v>AUTORIDAD AUTONOMA DE MAJES</v>
      </c>
      <c r="Y9" s="25"/>
      <c r="Z9" s="17"/>
      <c r="AA9" s="3" t="str">
        <f>IF(C_Ope_006[[#This Row],[fecha]]&gt;0,TEXT(C_Ope_006[[#This Row],[fecha]],"mmmm"),0)</f>
        <v>Febrero</v>
      </c>
      <c r="AB9" s="49"/>
    </row>
    <row r="10" spans="1:28" ht="36" x14ac:dyDescent="0.3">
      <c r="A10" s="2">
        <f>IF(C_Ope_006[[#This Row],[tipo_r]]="R",COUNTIFS($C$1:$C9,"R")+1,"")</f>
        <v>9</v>
      </c>
      <c r="B10" s="19" t="str">
        <f t="shared" si="4"/>
        <v>C_Ope_006</v>
      </c>
      <c r="C10" s="3" t="s">
        <v>1330</v>
      </c>
      <c r="D10" s="14">
        <v>45716</v>
      </c>
      <c r="E10" s="5" t="s">
        <v>8786</v>
      </c>
      <c r="F10" s="5" t="s">
        <v>1336</v>
      </c>
      <c r="G10" s="6" t="s">
        <v>682</v>
      </c>
      <c r="H10" s="6" t="s">
        <v>68</v>
      </c>
      <c r="I10" s="6" t="s">
        <v>1353</v>
      </c>
      <c r="J10" s="6">
        <v>15760</v>
      </c>
      <c r="K10" s="7" t="s">
        <v>8792</v>
      </c>
      <c r="L10" s="8">
        <v>23239</v>
      </c>
      <c r="M10" s="8" t="str">
        <f t="shared" si="5"/>
        <v>PEN</v>
      </c>
      <c r="N10" s="13"/>
      <c r="O10" s="13">
        <v>20</v>
      </c>
      <c r="P10" s="3">
        <f t="shared" si="1"/>
        <v>0</v>
      </c>
      <c r="Q10" s="3">
        <f t="shared" si="2"/>
        <v>20</v>
      </c>
      <c r="R10" s="3">
        <f t="shared" si="3"/>
        <v>98</v>
      </c>
      <c r="S10" s="24" t="s">
        <v>1334</v>
      </c>
      <c r="T10" s="24" t="s">
        <v>1334</v>
      </c>
      <c r="U10" s="3"/>
      <c r="V10" s="25" t="s">
        <v>8006</v>
      </c>
      <c r="W10" s="25">
        <v>20259858934</v>
      </c>
      <c r="X10" s="25" t="str">
        <f>IFERROR(VLOOKUP(C_Ope_006[[#This Row],[nota_2]],Clientes_Proveedores[[Ruc / Dni]:[Razon Social]],2,0),"")</f>
        <v>COMERCIALIZACION Y SERVICIOS EL EDEN S.A.C.</v>
      </c>
      <c r="Y10" s="25"/>
      <c r="Z10" s="17"/>
      <c r="AA10" s="3" t="str">
        <f>IF(C_Ope_006[[#This Row],[fecha]]&gt;0,TEXT(C_Ope_006[[#This Row],[fecha]],"mmmm"),0)</f>
        <v>Febrero</v>
      </c>
      <c r="AB10" s="49"/>
    </row>
    <row r="11" spans="1:28" ht="24" x14ac:dyDescent="0.3">
      <c r="A11" s="2">
        <f>IF(C_Ope_006[[#This Row],[tipo_r]]="R",COUNTIFS($C$1:$C10,"R")+1,"")</f>
        <v>10</v>
      </c>
      <c r="B11" s="19" t="str">
        <f t="shared" si="4"/>
        <v>C_Ope_006</v>
      </c>
      <c r="C11" s="3" t="s">
        <v>1330</v>
      </c>
      <c r="D11" s="14">
        <v>45720</v>
      </c>
      <c r="E11" s="5" t="s">
        <v>7514</v>
      </c>
      <c r="F11" s="5" t="s">
        <v>1303</v>
      </c>
      <c r="G11" s="6" t="s">
        <v>1019</v>
      </c>
      <c r="H11" s="6"/>
      <c r="I11" s="6"/>
      <c r="J11" s="6"/>
      <c r="K11" s="7" t="s">
        <v>8475</v>
      </c>
      <c r="L11" s="8">
        <v>23349</v>
      </c>
      <c r="M11" s="8" t="str">
        <f t="shared" si="5"/>
        <v>PEN</v>
      </c>
      <c r="N11" s="13"/>
      <c r="O11" s="13">
        <v>100</v>
      </c>
      <c r="P11" s="3">
        <f t="shared" si="1"/>
        <v>100</v>
      </c>
      <c r="Q11" s="3">
        <f t="shared" si="2"/>
        <v>0</v>
      </c>
      <c r="R11" s="3">
        <f t="shared" si="3"/>
        <v>198</v>
      </c>
      <c r="S11" s="24" t="s">
        <v>1334</v>
      </c>
      <c r="T11" s="24" t="s">
        <v>1334</v>
      </c>
      <c r="U11" s="3"/>
      <c r="V11" s="25"/>
      <c r="W11" s="25"/>
      <c r="X11" s="25" t="str">
        <f>IFERROR(VLOOKUP(C_Ope_006[[#This Row],[nota_2]],Clientes_Proveedores[[Ruc / Dni]:[Razon Social]],2,0),"")</f>
        <v/>
      </c>
      <c r="Y11" s="25"/>
      <c r="Z11" s="17">
        <f>ROUND(C_Ope_006[[#This Row],[monto]]/1.18,3)</f>
        <v>84.745999999999995</v>
      </c>
      <c r="AA11" s="3" t="str">
        <f>IF(C_Ope_006[[#This Row],[fecha]]&gt;0,TEXT(C_Ope_006[[#This Row],[fecha]],"mmmm"),0)</f>
        <v>Marzo</v>
      </c>
      <c r="AB11" s="49"/>
    </row>
    <row r="12" spans="1:28" x14ac:dyDescent="0.3">
      <c r="A12" s="2">
        <f>IF(C_Ope_006[[#This Row],[tipo_r]]="R",COUNTIFS($C$1:$C11,"R")+1,"")</f>
        <v>11</v>
      </c>
      <c r="B12" s="19" t="str">
        <f t="shared" si="4"/>
        <v>C_Ope_006</v>
      </c>
      <c r="C12" s="3" t="s">
        <v>1330</v>
      </c>
      <c r="D12" s="14">
        <v>45719</v>
      </c>
      <c r="E12" s="5" t="s">
        <v>8786</v>
      </c>
      <c r="F12" s="5" t="s">
        <v>1336</v>
      </c>
      <c r="G12" s="6" t="s">
        <v>978</v>
      </c>
      <c r="H12" s="6" t="s">
        <v>68</v>
      </c>
      <c r="I12" s="6" t="s">
        <v>5688</v>
      </c>
      <c r="J12" s="6">
        <v>2252084</v>
      </c>
      <c r="K12" s="7" t="s">
        <v>8793</v>
      </c>
      <c r="L12" s="8">
        <v>23273</v>
      </c>
      <c r="M12" s="8" t="str">
        <f t="shared" si="5"/>
        <v>PEN</v>
      </c>
      <c r="N12" s="13"/>
      <c r="O12" s="13">
        <v>12</v>
      </c>
      <c r="P12" s="3">
        <f t="shared" si="1"/>
        <v>0</v>
      </c>
      <c r="Q12" s="3">
        <f t="shared" si="2"/>
        <v>12</v>
      </c>
      <c r="R12" s="3">
        <f t="shared" si="3"/>
        <v>186</v>
      </c>
      <c r="S12" s="24" t="s">
        <v>1334</v>
      </c>
      <c r="T12" s="24" t="s">
        <v>1334</v>
      </c>
      <c r="U12" s="3"/>
      <c r="V12" s="25" t="s">
        <v>8006</v>
      </c>
      <c r="W12" s="25">
        <v>20517252558</v>
      </c>
      <c r="X12" s="25" t="str">
        <f>IFERROR(VLOOKUP(C_Ope_006[[#This Row],[nota_2]],Clientes_Proveedores[[Ruc / Dni]:[Razon Social]],2,0),"")</f>
        <v>COVISUR S.A.</v>
      </c>
      <c r="Y12" s="25"/>
      <c r="Z12" s="17"/>
      <c r="AA12" s="3" t="str">
        <f>IF(C_Ope_006[[#This Row],[fecha]]&gt;0,TEXT(C_Ope_006[[#This Row],[fecha]],"mmmm"),0)</f>
        <v>Marzo</v>
      </c>
      <c r="AB12" s="49"/>
    </row>
    <row r="13" spans="1:28" x14ac:dyDescent="0.3">
      <c r="A13" s="2">
        <f>IF(C_Ope_006[[#This Row],[tipo_r]]="R",COUNTIFS($C$1:$C12,"R")+1,"")</f>
        <v>12</v>
      </c>
      <c r="B13" s="19" t="str">
        <f t="shared" si="4"/>
        <v>C_Ope_006</v>
      </c>
      <c r="C13" s="3" t="s">
        <v>1330</v>
      </c>
      <c r="D13" s="14">
        <v>45719</v>
      </c>
      <c r="E13" s="5" t="s">
        <v>8786</v>
      </c>
      <c r="F13" s="5" t="s">
        <v>1336</v>
      </c>
      <c r="G13" s="6" t="s">
        <v>978</v>
      </c>
      <c r="H13" s="6" t="s">
        <v>68</v>
      </c>
      <c r="I13" s="6" t="s">
        <v>6203</v>
      </c>
      <c r="J13" s="6">
        <v>1978557</v>
      </c>
      <c r="K13" s="7" t="s">
        <v>8793</v>
      </c>
      <c r="L13" s="8">
        <v>23280</v>
      </c>
      <c r="M13" s="8" t="str">
        <f t="shared" si="5"/>
        <v>PEN</v>
      </c>
      <c r="N13" s="13"/>
      <c r="O13" s="13">
        <v>12</v>
      </c>
      <c r="P13" s="3">
        <f t="shared" si="1"/>
        <v>0</v>
      </c>
      <c r="Q13" s="3">
        <f t="shared" si="2"/>
        <v>12</v>
      </c>
      <c r="R13" s="3">
        <f t="shared" si="3"/>
        <v>174</v>
      </c>
      <c r="S13" s="24" t="s">
        <v>1334</v>
      </c>
      <c r="T13" s="24" t="s">
        <v>1334</v>
      </c>
      <c r="U13" s="3"/>
      <c r="V13" s="25" t="s">
        <v>8006</v>
      </c>
      <c r="W13" s="25">
        <v>20517252558</v>
      </c>
      <c r="X13" s="25" t="str">
        <f>IFERROR(VLOOKUP(C_Ope_006[[#This Row],[nota_2]],Clientes_Proveedores[[Ruc / Dni]:[Razon Social]],2,0),"")</f>
        <v>COVISUR S.A.</v>
      </c>
      <c r="Y13" s="25"/>
      <c r="Z13" s="17"/>
      <c r="AA13" s="3" t="str">
        <f>IF(C_Ope_006[[#This Row],[fecha]]&gt;0,TEXT(C_Ope_006[[#This Row],[fecha]],"mmmm"),0)</f>
        <v>Marzo</v>
      </c>
      <c r="AB13" s="49"/>
    </row>
    <row r="14" spans="1:28" x14ac:dyDescent="0.3">
      <c r="A14" s="2">
        <f>IF(C_Ope_006[[#This Row],[tipo_r]]="R",COUNTIFS($C$1:$C13,"R")+1,"")</f>
        <v>13</v>
      </c>
      <c r="B14" s="19" t="str">
        <f t="shared" si="4"/>
        <v>C_Ope_006</v>
      </c>
      <c r="C14" s="3" t="s">
        <v>1330</v>
      </c>
      <c r="D14" s="14">
        <v>45719</v>
      </c>
      <c r="E14" s="5" t="s">
        <v>8786</v>
      </c>
      <c r="F14" s="5" t="s">
        <v>1336</v>
      </c>
      <c r="G14" s="6"/>
      <c r="H14" s="6"/>
      <c r="I14" s="6"/>
      <c r="J14" s="6"/>
      <c r="K14" s="7" t="s">
        <v>8793</v>
      </c>
      <c r="L14" s="8">
        <v>23281</v>
      </c>
      <c r="M14" s="8" t="str">
        <f t="shared" si="5"/>
        <v>PEN</v>
      </c>
      <c r="N14" s="13"/>
      <c r="O14" s="13">
        <v>0</v>
      </c>
      <c r="P14" s="3">
        <f t="shared" si="1"/>
        <v>0</v>
      </c>
      <c r="Q14" s="3">
        <f t="shared" si="2"/>
        <v>0</v>
      </c>
      <c r="R14" s="3">
        <f t="shared" si="3"/>
        <v>174</v>
      </c>
      <c r="S14" s="24" t="s">
        <v>1334</v>
      </c>
      <c r="T14" s="24" t="s">
        <v>1334</v>
      </c>
      <c r="U14" s="3"/>
      <c r="V14" s="25" t="s">
        <v>8006</v>
      </c>
      <c r="W14" s="25"/>
      <c r="X14" s="25" t="str">
        <f>IFERROR(VLOOKUP(C_Ope_006[[#This Row],[nota_2]],Clientes_Proveedores[[Ruc / Dni]:[Razon Social]],2,0),"")</f>
        <v/>
      </c>
      <c r="Y14" s="25"/>
      <c r="Z14" s="17"/>
      <c r="AA14" s="3" t="str">
        <f>IF(C_Ope_006[[#This Row],[fecha]]&gt;0,TEXT(C_Ope_006[[#This Row],[fecha]],"mmmm"),0)</f>
        <v>Marzo</v>
      </c>
      <c r="AB14" s="49"/>
    </row>
    <row r="15" spans="1:28" ht="24" x14ac:dyDescent="0.3">
      <c r="A15" s="2">
        <f>IF(C_Ope_006[[#This Row],[tipo_r]]="R",COUNTIFS($C$1:$C14,"R")+1,"")</f>
        <v>14</v>
      </c>
      <c r="B15" s="19" t="str">
        <f t="shared" si="4"/>
        <v>C_Ope_006</v>
      </c>
      <c r="C15" s="3" t="s">
        <v>1330</v>
      </c>
      <c r="D15" s="14">
        <v>45720</v>
      </c>
      <c r="E15" s="5" t="s">
        <v>8786</v>
      </c>
      <c r="F15" s="5" t="s">
        <v>1336</v>
      </c>
      <c r="G15" s="6" t="s">
        <v>978</v>
      </c>
      <c r="H15" s="6" t="s">
        <v>68</v>
      </c>
      <c r="I15" s="6" t="s">
        <v>5688</v>
      </c>
      <c r="J15" s="6">
        <v>2253215</v>
      </c>
      <c r="K15" s="7" t="s">
        <v>8794</v>
      </c>
      <c r="L15" s="8">
        <v>23282</v>
      </c>
      <c r="M15" s="8" t="str">
        <f t="shared" si="5"/>
        <v>PEN</v>
      </c>
      <c r="N15" s="13"/>
      <c r="O15" s="13">
        <v>12</v>
      </c>
      <c r="P15" s="3">
        <f t="shared" si="1"/>
        <v>0</v>
      </c>
      <c r="Q15" s="3">
        <f t="shared" si="2"/>
        <v>12</v>
      </c>
      <c r="R15" s="3">
        <f t="shared" si="3"/>
        <v>162</v>
      </c>
      <c r="S15" s="24" t="s">
        <v>1334</v>
      </c>
      <c r="T15" s="24" t="s">
        <v>1334</v>
      </c>
      <c r="U15" s="3"/>
      <c r="V15" s="25" t="s">
        <v>8006</v>
      </c>
      <c r="W15" s="25">
        <v>20517252558</v>
      </c>
      <c r="X15" s="25" t="str">
        <f>IFERROR(VLOOKUP(C_Ope_006[[#This Row],[nota_2]],Clientes_Proveedores[[Ruc / Dni]:[Razon Social]],2,0),"")</f>
        <v>COVISUR S.A.</v>
      </c>
      <c r="Y15" s="25"/>
      <c r="Z15" s="17"/>
      <c r="AA15" s="3" t="str">
        <f>IF(C_Ope_006[[#This Row],[fecha]]&gt;0,TEXT(C_Ope_006[[#This Row],[fecha]],"mmmm"),0)</f>
        <v>Marzo</v>
      </c>
      <c r="AB15" s="49"/>
    </row>
    <row r="16" spans="1:28" ht="24" x14ac:dyDescent="0.3">
      <c r="A16" s="2">
        <f>IF(C_Ope_006[[#This Row],[tipo_r]]="R",COUNTIFS($C$1:$C15,"R")+1,"")</f>
        <v>15</v>
      </c>
      <c r="B16" s="19" t="str">
        <f t="shared" si="4"/>
        <v>C_Ope_006</v>
      </c>
      <c r="C16" s="3" t="s">
        <v>1330</v>
      </c>
      <c r="D16" s="14">
        <v>45720</v>
      </c>
      <c r="E16" s="5" t="s">
        <v>8786</v>
      </c>
      <c r="F16" s="5" t="s">
        <v>1336</v>
      </c>
      <c r="G16" s="6" t="s">
        <v>978</v>
      </c>
      <c r="H16" s="6" t="s">
        <v>68</v>
      </c>
      <c r="I16" s="6" t="s">
        <v>5845</v>
      </c>
      <c r="J16" s="6">
        <v>1690542</v>
      </c>
      <c r="K16" s="7" t="s">
        <v>8794</v>
      </c>
      <c r="L16" s="8">
        <v>23290</v>
      </c>
      <c r="M16" s="8" t="str">
        <f t="shared" si="5"/>
        <v>PEN</v>
      </c>
      <c r="N16" s="13"/>
      <c r="O16" s="13">
        <v>12</v>
      </c>
      <c r="P16" s="3">
        <f t="shared" si="1"/>
        <v>0</v>
      </c>
      <c r="Q16" s="3">
        <f t="shared" si="2"/>
        <v>12</v>
      </c>
      <c r="R16" s="3">
        <f t="shared" si="3"/>
        <v>150</v>
      </c>
      <c r="S16" s="24" t="s">
        <v>1334</v>
      </c>
      <c r="T16" s="24" t="s">
        <v>1334</v>
      </c>
      <c r="U16" s="3"/>
      <c r="V16" s="25" t="s">
        <v>8006</v>
      </c>
      <c r="W16" s="25">
        <v>20517252558</v>
      </c>
      <c r="X16" s="25" t="str">
        <f>IFERROR(VLOOKUP(C_Ope_006[[#This Row],[nota_2]],Clientes_Proveedores[[Ruc / Dni]:[Razon Social]],2,0),"")</f>
        <v>COVISUR S.A.</v>
      </c>
      <c r="Y16" s="25"/>
      <c r="Z16" s="17"/>
      <c r="AA16" s="3" t="str">
        <f>IF(C_Ope_006[[#This Row],[fecha]]&gt;0,TEXT(C_Ope_006[[#This Row],[fecha]],"mmmm"),0)</f>
        <v>Marzo</v>
      </c>
      <c r="AB16" s="49"/>
    </row>
    <row r="17" spans="1:28" ht="36" x14ac:dyDescent="0.3">
      <c r="A17" s="2">
        <f>IF(C_Ope_006[[#This Row],[tipo_r]]="R",COUNTIFS($C$1:$C16,"R")+1,"")</f>
        <v>16</v>
      </c>
      <c r="B17" s="19" t="str">
        <f t="shared" si="4"/>
        <v>C_Ope_006</v>
      </c>
      <c r="C17" s="3" t="s">
        <v>1330</v>
      </c>
      <c r="D17" s="14">
        <v>45719</v>
      </c>
      <c r="E17" s="5" t="s">
        <v>8786</v>
      </c>
      <c r="F17" s="5" t="s">
        <v>1336</v>
      </c>
      <c r="G17" s="6" t="s">
        <v>682</v>
      </c>
      <c r="H17" s="6" t="s">
        <v>68</v>
      </c>
      <c r="I17" s="6" t="s">
        <v>1353</v>
      </c>
      <c r="J17" s="6">
        <v>15779</v>
      </c>
      <c r="K17" s="7" t="s">
        <v>8795</v>
      </c>
      <c r="L17" s="8">
        <v>23279</v>
      </c>
      <c r="M17" s="8" t="str">
        <f t="shared" si="5"/>
        <v>PEN</v>
      </c>
      <c r="N17" s="13"/>
      <c r="O17" s="13">
        <v>20</v>
      </c>
      <c r="P17" s="3">
        <f t="shared" si="1"/>
        <v>0</v>
      </c>
      <c r="Q17" s="3">
        <f t="shared" si="2"/>
        <v>20</v>
      </c>
      <c r="R17" s="3">
        <f t="shared" si="3"/>
        <v>130</v>
      </c>
      <c r="S17" s="24" t="s">
        <v>1334</v>
      </c>
      <c r="T17" s="24" t="s">
        <v>1334</v>
      </c>
      <c r="U17" s="3"/>
      <c r="V17" s="25" t="s">
        <v>8006</v>
      </c>
      <c r="W17" s="25">
        <v>20259858934</v>
      </c>
      <c r="X17" s="25" t="str">
        <f>IFERROR(VLOOKUP(C_Ope_006[[#This Row],[nota_2]],Clientes_Proveedores[[Ruc / Dni]:[Razon Social]],2,0),"")</f>
        <v>COMERCIALIZACION Y SERVICIOS EL EDEN S.A.C.</v>
      </c>
      <c r="Y17" s="25"/>
      <c r="Z17" s="17"/>
      <c r="AA17" s="3" t="str">
        <f>IF(C_Ope_006[[#This Row],[fecha]]&gt;0,TEXT(C_Ope_006[[#This Row],[fecha]],"mmmm"),0)</f>
        <v>Marzo</v>
      </c>
      <c r="AB17" s="49"/>
    </row>
    <row r="18" spans="1:28" ht="24" x14ac:dyDescent="0.3">
      <c r="A18" s="2">
        <f>IF(C_Ope_006[[#This Row],[tipo_r]]="R",COUNTIFS($C$1:$C17,"R")+1,"")</f>
        <v>17</v>
      </c>
      <c r="B18" s="19" t="str">
        <f t="shared" si="4"/>
        <v>C_Ope_006</v>
      </c>
      <c r="C18" s="3" t="s">
        <v>1330</v>
      </c>
      <c r="D18" s="14">
        <v>45720</v>
      </c>
      <c r="E18" s="5" t="s">
        <v>8786</v>
      </c>
      <c r="F18" s="5" t="s">
        <v>1336</v>
      </c>
      <c r="G18" s="6" t="s">
        <v>1147</v>
      </c>
      <c r="H18" s="6" t="s">
        <v>68</v>
      </c>
      <c r="I18" s="6" t="s">
        <v>1386</v>
      </c>
      <c r="J18" s="6">
        <v>16043</v>
      </c>
      <c r="K18" s="7" t="s">
        <v>8796</v>
      </c>
      <c r="L18" s="8">
        <v>23287</v>
      </c>
      <c r="M18" s="8" t="str">
        <f t="shared" si="5"/>
        <v>PEN</v>
      </c>
      <c r="N18" s="13"/>
      <c r="O18" s="13">
        <v>36</v>
      </c>
      <c r="P18" s="3">
        <f t="shared" si="1"/>
        <v>0</v>
      </c>
      <c r="Q18" s="3">
        <f t="shared" si="2"/>
        <v>36</v>
      </c>
      <c r="R18" s="3">
        <f t="shared" si="3"/>
        <v>94</v>
      </c>
      <c r="S18" s="24" t="s">
        <v>1334</v>
      </c>
      <c r="T18" s="24" t="s">
        <v>1334</v>
      </c>
      <c r="U18" s="3"/>
      <c r="V18" s="25" t="s">
        <v>8006</v>
      </c>
      <c r="W18" s="25">
        <v>20162554167</v>
      </c>
      <c r="X18" s="25" t="str">
        <f>IFERROR(VLOOKUP(C_Ope_006[[#This Row],[nota_2]],Clientes_Proveedores[[Ruc / Dni]:[Razon Social]],2,0),"")</f>
        <v>AUTORIDAD AUTONOMA DE MAJES</v>
      </c>
      <c r="Y18" s="25"/>
      <c r="Z18" s="17"/>
      <c r="AA18" s="3" t="str">
        <f>IF(C_Ope_006[[#This Row],[fecha]]&gt;0,TEXT(C_Ope_006[[#This Row],[fecha]],"mmmm"),0)</f>
        <v>Marzo</v>
      </c>
      <c r="AB18" s="49"/>
    </row>
    <row r="19" spans="1:28" ht="24" x14ac:dyDescent="0.3">
      <c r="A19" s="2">
        <f>IF(C_Ope_006[[#This Row],[tipo_r]]="R",COUNTIFS($C$1:$C18,"R")+1,"")</f>
        <v>18</v>
      </c>
      <c r="B19" s="19" t="str">
        <f t="shared" si="4"/>
        <v>C_Ope_006</v>
      </c>
      <c r="C19" s="3" t="s">
        <v>1330</v>
      </c>
      <c r="D19" s="14">
        <v>45727</v>
      </c>
      <c r="E19" s="5" t="s">
        <v>7514</v>
      </c>
      <c r="F19" s="5" t="s">
        <v>1303</v>
      </c>
      <c r="G19" s="6" t="s">
        <v>1019</v>
      </c>
      <c r="H19" s="6"/>
      <c r="I19" s="6"/>
      <c r="J19" s="6"/>
      <c r="K19" s="7" t="s">
        <v>8475</v>
      </c>
      <c r="L19" s="8">
        <v>23437</v>
      </c>
      <c r="M19" s="8" t="str">
        <f t="shared" si="5"/>
        <v>PEN</v>
      </c>
      <c r="N19" s="13"/>
      <c r="O19" s="13">
        <v>110</v>
      </c>
      <c r="P19" s="3">
        <f t="shared" si="1"/>
        <v>110</v>
      </c>
      <c r="Q19" s="3">
        <f t="shared" si="2"/>
        <v>0</v>
      </c>
      <c r="R19" s="3">
        <f t="shared" si="3"/>
        <v>204</v>
      </c>
      <c r="S19" s="24" t="s">
        <v>1334</v>
      </c>
      <c r="T19" s="24" t="s">
        <v>1334</v>
      </c>
      <c r="U19" s="3"/>
      <c r="V19" s="25"/>
      <c r="W19" s="25"/>
      <c r="X19" s="25" t="str">
        <f>IFERROR(VLOOKUP(C_Ope_006[[#This Row],[nota_2]],Clientes_Proveedores[[Ruc / Dni]:[Razon Social]],2,0),"")</f>
        <v/>
      </c>
      <c r="Y19" s="25"/>
      <c r="Z19" s="17">
        <f>ROUND(C_Ope_006[[#This Row],[monto]]/1.18,3)</f>
        <v>93.22</v>
      </c>
      <c r="AA19" s="3" t="str">
        <f>IF(C_Ope_006[[#This Row],[fecha]]&gt;0,TEXT(C_Ope_006[[#This Row],[fecha]],"mmmm"),0)</f>
        <v>Marzo</v>
      </c>
      <c r="AB19" s="49"/>
    </row>
    <row r="20" spans="1:28" ht="24" x14ac:dyDescent="0.3">
      <c r="A20" s="2">
        <f>IF(C_Ope_006[[#This Row],[tipo_r]]="R",COUNTIFS($C$1:$C19,"R")+1,"")</f>
        <v>19</v>
      </c>
      <c r="B20" s="19" t="str">
        <f t="shared" si="4"/>
        <v>C_Ope_006</v>
      </c>
      <c r="C20" s="3" t="s">
        <v>1330</v>
      </c>
      <c r="D20" s="14">
        <v>45726</v>
      </c>
      <c r="E20" s="5" t="s">
        <v>8786</v>
      </c>
      <c r="F20" s="5" t="s">
        <v>1336</v>
      </c>
      <c r="G20" s="6" t="s">
        <v>978</v>
      </c>
      <c r="H20" s="6" t="s">
        <v>68</v>
      </c>
      <c r="I20" s="6" t="s">
        <v>5688</v>
      </c>
      <c r="J20" s="6">
        <v>2259801</v>
      </c>
      <c r="K20" s="7" t="s">
        <v>8797</v>
      </c>
      <c r="L20" s="8">
        <v>23348</v>
      </c>
      <c r="M20" s="8" t="str">
        <f t="shared" si="5"/>
        <v>PEN</v>
      </c>
      <c r="N20" s="13"/>
      <c r="O20" s="13">
        <v>12</v>
      </c>
      <c r="P20" s="3">
        <f t="shared" si="1"/>
        <v>0</v>
      </c>
      <c r="Q20" s="3">
        <f t="shared" si="2"/>
        <v>12</v>
      </c>
      <c r="R20" s="3">
        <f t="shared" si="3"/>
        <v>192</v>
      </c>
      <c r="S20" s="24" t="s">
        <v>1334</v>
      </c>
      <c r="T20" s="24" t="s">
        <v>1334</v>
      </c>
      <c r="U20" s="3"/>
      <c r="V20" s="25" t="s">
        <v>8006</v>
      </c>
      <c r="W20" s="25">
        <v>20517252558</v>
      </c>
      <c r="X20" s="25" t="str">
        <f>IFERROR(VLOOKUP(C_Ope_006[[#This Row],[nota_2]],Clientes_Proveedores[[Ruc / Dni]:[Razon Social]],2,0),"")</f>
        <v>COVISUR S.A.</v>
      </c>
      <c r="Y20" s="25"/>
      <c r="Z20" s="17"/>
      <c r="AA20" s="3" t="str">
        <f>IF(C_Ope_006[[#This Row],[fecha]]&gt;0,TEXT(C_Ope_006[[#This Row],[fecha]],"mmmm"),0)</f>
        <v>Marzo</v>
      </c>
      <c r="AB20" s="49"/>
    </row>
    <row r="21" spans="1:28" ht="24" x14ac:dyDescent="0.3">
      <c r="A21" s="2">
        <f>IF(C_Ope_006[[#This Row],[tipo_r]]="R",COUNTIFS($C$1:$C20,"R")+1,"")</f>
        <v>20</v>
      </c>
      <c r="B21" s="19" t="str">
        <f t="shared" si="4"/>
        <v>C_Ope_006</v>
      </c>
      <c r="C21" s="3" t="s">
        <v>1330</v>
      </c>
      <c r="D21" s="14">
        <v>45726</v>
      </c>
      <c r="E21" s="5" t="s">
        <v>8786</v>
      </c>
      <c r="F21" s="5" t="s">
        <v>1336</v>
      </c>
      <c r="G21" s="6" t="s">
        <v>978</v>
      </c>
      <c r="H21" s="6" t="s">
        <v>68</v>
      </c>
      <c r="I21" s="6" t="s">
        <v>6203</v>
      </c>
      <c r="J21" s="6">
        <v>1985795</v>
      </c>
      <c r="K21" s="7" t="s">
        <v>8797</v>
      </c>
      <c r="L21" s="8">
        <v>23356</v>
      </c>
      <c r="M21" s="8" t="str">
        <f t="shared" si="5"/>
        <v>PEN</v>
      </c>
      <c r="N21" s="13"/>
      <c r="O21" s="13">
        <v>12</v>
      </c>
      <c r="P21" s="3">
        <f t="shared" si="1"/>
        <v>0</v>
      </c>
      <c r="Q21" s="3">
        <f t="shared" si="2"/>
        <v>12</v>
      </c>
      <c r="R21" s="3">
        <f t="shared" si="3"/>
        <v>180</v>
      </c>
      <c r="S21" s="24" t="s">
        <v>1334</v>
      </c>
      <c r="T21" s="24" t="s">
        <v>1334</v>
      </c>
      <c r="U21" s="3"/>
      <c r="V21" s="25" t="s">
        <v>8006</v>
      </c>
      <c r="W21" s="25">
        <v>20517252558</v>
      </c>
      <c r="X21" s="25" t="str">
        <f>IFERROR(VLOOKUP(C_Ope_006[[#This Row],[nota_2]],Clientes_Proveedores[[Ruc / Dni]:[Razon Social]],2,0),"")</f>
        <v>COVISUR S.A.</v>
      </c>
      <c r="Y21" s="25"/>
      <c r="Z21" s="17"/>
      <c r="AA21" s="3" t="str">
        <f>IF(C_Ope_006[[#This Row],[fecha]]&gt;0,TEXT(C_Ope_006[[#This Row],[fecha]],"mmmm"),0)</f>
        <v>Marzo</v>
      </c>
      <c r="AB21" s="49"/>
    </row>
    <row r="22" spans="1:28" ht="24" x14ac:dyDescent="0.3">
      <c r="A22" s="2">
        <f>IF(C_Ope_006[[#This Row],[tipo_r]]="R",COUNTIFS($C$1:$C21,"R")+1,"")</f>
        <v>21</v>
      </c>
      <c r="B22" s="19" t="str">
        <f t="shared" si="4"/>
        <v>C_Ope_006</v>
      </c>
      <c r="C22" s="3" t="s">
        <v>1330</v>
      </c>
      <c r="D22" s="14">
        <v>45728</v>
      </c>
      <c r="E22" s="5" t="s">
        <v>8786</v>
      </c>
      <c r="F22" s="5" t="s">
        <v>1336</v>
      </c>
      <c r="G22" s="6" t="s">
        <v>978</v>
      </c>
      <c r="H22" s="6" t="s">
        <v>68</v>
      </c>
      <c r="I22" s="6" t="s">
        <v>5688</v>
      </c>
      <c r="J22" s="6">
        <v>2262729</v>
      </c>
      <c r="K22" s="7" t="s">
        <v>8798</v>
      </c>
      <c r="L22" s="8">
        <v>23397</v>
      </c>
      <c r="M22" s="8" t="str">
        <f t="shared" si="5"/>
        <v>PEN</v>
      </c>
      <c r="N22" s="13"/>
      <c r="O22" s="13">
        <v>12</v>
      </c>
      <c r="P22" s="3">
        <f t="shared" si="1"/>
        <v>0</v>
      </c>
      <c r="Q22" s="3">
        <f t="shared" si="2"/>
        <v>12</v>
      </c>
      <c r="R22" s="3">
        <f t="shared" si="3"/>
        <v>168</v>
      </c>
      <c r="S22" s="24" t="s">
        <v>1334</v>
      </c>
      <c r="T22" s="24" t="s">
        <v>1334</v>
      </c>
      <c r="U22" s="3"/>
      <c r="V22" s="25" t="s">
        <v>8006</v>
      </c>
      <c r="W22" s="25">
        <v>20517252558</v>
      </c>
      <c r="X22" s="25" t="str">
        <f>IFERROR(VLOOKUP(C_Ope_006[[#This Row],[nota_2]],Clientes_Proveedores[[Ruc / Dni]:[Razon Social]],2,0),"")</f>
        <v>COVISUR S.A.</v>
      </c>
      <c r="Y22" s="25"/>
      <c r="Z22" s="17"/>
      <c r="AA22" s="3" t="str">
        <f>IF(C_Ope_006[[#This Row],[fecha]]&gt;0,TEXT(C_Ope_006[[#This Row],[fecha]],"mmmm"),0)</f>
        <v>Marzo</v>
      </c>
      <c r="AB22" s="49"/>
    </row>
    <row r="23" spans="1:28" ht="24" x14ac:dyDescent="0.3">
      <c r="A23" s="2">
        <f>IF(C_Ope_006[[#This Row],[tipo_r]]="R",COUNTIFS($C$1:$C22,"R")+1,"")</f>
        <v>22</v>
      </c>
      <c r="B23" s="19" t="str">
        <f t="shared" si="4"/>
        <v>C_Ope_006</v>
      </c>
      <c r="C23" s="3" t="s">
        <v>1330</v>
      </c>
      <c r="D23" s="14">
        <v>45728</v>
      </c>
      <c r="E23" s="5" t="s">
        <v>8786</v>
      </c>
      <c r="F23" s="5" t="s">
        <v>1336</v>
      </c>
      <c r="G23" s="6" t="s">
        <v>978</v>
      </c>
      <c r="H23" s="6" t="s">
        <v>68</v>
      </c>
      <c r="I23" s="6" t="s">
        <v>5845</v>
      </c>
      <c r="J23" s="6">
        <v>1696969</v>
      </c>
      <c r="K23" s="7" t="s">
        <v>8798</v>
      </c>
      <c r="L23" s="8">
        <v>23398</v>
      </c>
      <c r="M23" s="8" t="str">
        <f t="shared" si="5"/>
        <v>PEN</v>
      </c>
      <c r="N23" s="13"/>
      <c r="O23" s="13">
        <v>12</v>
      </c>
      <c r="P23" s="3">
        <f t="shared" si="1"/>
        <v>0</v>
      </c>
      <c r="Q23" s="3">
        <f t="shared" si="2"/>
        <v>12</v>
      </c>
      <c r="R23" s="3">
        <f t="shared" si="3"/>
        <v>156</v>
      </c>
      <c r="S23" s="24" t="s">
        <v>1334</v>
      </c>
      <c r="T23" s="24" t="s">
        <v>1334</v>
      </c>
      <c r="U23" s="3"/>
      <c r="V23" s="25" t="s">
        <v>8006</v>
      </c>
      <c r="W23" s="25">
        <v>20517252558</v>
      </c>
      <c r="X23" s="25" t="str">
        <f>IFERROR(VLOOKUP(C_Ope_006[[#This Row],[nota_2]],Clientes_Proveedores[[Ruc / Dni]:[Razon Social]],2,0),"")</f>
        <v>COVISUR S.A.</v>
      </c>
      <c r="Y23" s="25"/>
      <c r="Z23" s="17"/>
      <c r="AA23" s="3" t="str">
        <f>IF(C_Ope_006[[#This Row],[fecha]]&gt;0,TEXT(C_Ope_006[[#This Row],[fecha]],"mmmm"),0)</f>
        <v>Marzo</v>
      </c>
      <c r="AB23" s="49"/>
    </row>
    <row r="24" spans="1:28" ht="24" x14ac:dyDescent="0.3">
      <c r="A24" s="2">
        <f>IF(C_Ope_006[[#This Row],[tipo_r]]="R",COUNTIFS($C$1:$C23,"R")+1,"")</f>
        <v>23</v>
      </c>
      <c r="B24" s="19" t="str">
        <f t="shared" si="4"/>
        <v>C_Ope_006</v>
      </c>
      <c r="C24" s="3" t="s">
        <v>1330</v>
      </c>
      <c r="D24" s="14">
        <v>45730</v>
      </c>
      <c r="E24" s="5" t="s">
        <v>8786</v>
      </c>
      <c r="F24" s="5" t="s">
        <v>1336</v>
      </c>
      <c r="G24" s="6" t="s">
        <v>978</v>
      </c>
      <c r="H24" s="6" t="s">
        <v>68</v>
      </c>
      <c r="I24" s="6" t="s">
        <v>5688</v>
      </c>
      <c r="J24" s="6">
        <v>2265076</v>
      </c>
      <c r="K24" s="7" t="s">
        <v>8799</v>
      </c>
      <c r="L24" s="8">
        <v>23436</v>
      </c>
      <c r="M24" s="8" t="str">
        <f t="shared" si="5"/>
        <v>PEN</v>
      </c>
      <c r="N24" s="13"/>
      <c r="O24" s="13">
        <v>12</v>
      </c>
      <c r="P24" s="3">
        <f t="shared" si="1"/>
        <v>0</v>
      </c>
      <c r="Q24" s="3">
        <f t="shared" si="2"/>
        <v>12</v>
      </c>
      <c r="R24" s="3">
        <f t="shared" si="3"/>
        <v>144</v>
      </c>
      <c r="S24" s="24" t="s">
        <v>1334</v>
      </c>
      <c r="T24" s="24" t="s">
        <v>1334</v>
      </c>
      <c r="U24" s="3"/>
      <c r="V24" s="25" t="s">
        <v>8006</v>
      </c>
      <c r="W24" s="25">
        <v>20517252558</v>
      </c>
      <c r="X24" s="25" t="str">
        <f>IFERROR(VLOOKUP(C_Ope_006[[#This Row],[nota_2]],Clientes_Proveedores[[Ruc / Dni]:[Razon Social]],2,0),"")</f>
        <v>COVISUR S.A.</v>
      </c>
      <c r="Y24" s="25"/>
      <c r="Z24" s="17"/>
      <c r="AA24" s="3" t="str">
        <f>IF(C_Ope_006[[#This Row],[fecha]]&gt;0,TEXT(C_Ope_006[[#This Row],[fecha]],"mmmm"),0)</f>
        <v>Marzo</v>
      </c>
      <c r="AB24" s="49"/>
    </row>
    <row r="25" spans="1:28" ht="24" x14ac:dyDescent="0.3">
      <c r="A25" s="2">
        <f>IF(C_Ope_006[[#This Row],[tipo_r]]="R",COUNTIFS($C$1:$C24,"R")+1,"")</f>
        <v>24</v>
      </c>
      <c r="B25" s="19" t="str">
        <f t="shared" si="4"/>
        <v>C_Ope_006</v>
      </c>
      <c r="C25" s="3" t="s">
        <v>1330</v>
      </c>
      <c r="D25" s="14">
        <v>45726</v>
      </c>
      <c r="E25" s="5" t="s">
        <v>8786</v>
      </c>
      <c r="F25" s="5" t="s">
        <v>1336</v>
      </c>
      <c r="G25" s="6" t="s">
        <v>1147</v>
      </c>
      <c r="H25" s="6" t="s">
        <v>68</v>
      </c>
      <c r="I25" s="6" t="s">
        <v>1386</v>
      </c>
      <c r="J25" s="6">
        <v>16063</v>
      </c>
      <c r="K25" s="7" t="s">
        <v>8800</v>
      </c>
      <c r="L25" s="8">
        <v>23350</v>
      </c>
      <c r="M25" s="8" t="str">
        <f t="shared" si="5"/>
        <v>PEN</v>
      </c>
      <c r="N25" s="13"/>
      <c r="O25" s="13">
        <v>12</v>
      </c>
      <c r="P25" s="3">
        <f t="shared" si="1"/>
        <v>0</v>
      </c>
      <c r="Q25" s="3">
        <f t="shared" si="2"/>
        <v>12</v>
      </c>
      <c r="R25" s="3">
        <f t="shared" si="3"/>
        <v>132</v>
      </c>
      <c r="S25" s="24" t="s">
        <v>1334</v>
      </c>
      <c r="T25" s="24" t="s">
        <v>1334</v>
      </c>
      <c r="U25" s="3"/>
      <c r="V25" s="25" t="s">
        <v>8006</v>
      </c>
      <c r="W25" s="25">
        <v>20162554167</v>
      </c>
      <c r="X25" s="25" t="str">
        <f>IFERROR(VLOOKUP(C_Ope_006[[#This Row],[nota_2]],Clientes_Proveedores[[Ruc / Dni]:[Razon Social]],2,0),"")</f>
        <v>AUTORIDAD AUTONOMA DE MAJES</v>
      </c>
      <c r="Y25" s="25"/>
      <c r="Z25" s="17"/>
      <c r="AA25" s="3" t="str">
        <f>IF(C_Ope_006[[#This Row],[fecha]]&gt;0,TEXT(C_Ope_006[[#This Row],[fecha]],"mmmm"),0)</f>
        <v>Marzo</v>
      </c>
      <c r="AB25" s="49"/>
    </row>
    <row r="26" spans="1:28" ht="36" x14ac:dyDescent="0.3">
      <c r="A26" s="2">
        <f>IF(C_Ope_006[[#This Row],[tipo_r]]="R",COUNTIFS($C$1:$C25,"R")+1,"")</f>
        <v>25</v>
      </c>
      <c r="B26" s="19" t="str">
        <f t="shared" si="4"/>
        <v>C_Ope_006</v>
      </c>
      <c r="C26" s="3" t="s">
        <v>1330</v>
      </c>
      <c r="D26" s="14">
        <v>45728</v>
      </c>
      <c r="E26" s="5" t="s">
        <v>8786</v>
      </c>
      <c r="F26" s="5" t="s">
        <v>1336</v>
      </c>
      <c r="G26" s="6" t="s">
        <v>682</v>
      </c>
      <c r="H26" s="6" t="s">
        <v>68</v>
      </c>
      <c r="I26" s="6" t="s">
        <v>1343</v>
      </c>
      <c r="J26" s="6">
        <v>34096</v>
      </c>
      <c r="K26" s="7" t="s">
        <v>8801</v>
      </c>
      <c r="L26" s="8">
        <v>23389</v>
      </c>
      <c r="M26" s="8" t="str">
        <f t="shared" si="5"/>
        <v>PEN</v>
      </c>
      <c r="N26" s="13"/>
      <c r="O26" s="13">
        <v>10</v>
      </c>
      <c r="P26" s="3">
        <f t="shared" si="1"/>
        <v>0</v>
      </c>
      <c r="Q26" s="3">
        <f t="shared" si="2"/>
        <v>10</v>
      </c>
      <c r="R26" s="3">
        <f t="shared" si="3"/>
        <v>122</v>
      </c>
      <c r="S26" s="24" t="s">
        <v>1334</v>
      </c>
      <c r="T26" s="24" t="s">
        <v>1334</v>
      </c>
      <c r="U26" s="3"/>
      <c r="V26" s="25" t="s">
        <v>8006</v>
      </c>
      <c r="W26" s="25">
        <v>20259858934</v>
      </c>
      <c r="X26" s="25" t="str">
        <f>IFERROR(VLOOKUP(C_Ope_006[[#This Row],[nota_2]],Clientes_Proveedores[[Ruc / Dni]:[Razon Social]],2,0),"")</f>
        <v>COMERCIALIZACION Y SERVICIOS EL EDEN S.A.C.</v>
      </c>
      <c r="Y26" s="25"/>
      <c r="Z26" s="17"/>
      <c r="AA26" s="3" t="str">
        <f>IF(C_Ope_006[[#This Row],[fecha]]&gt;0,TEXT(C_Ope_006[[#This Row],[fecha]],"mmmm"),0)</f>
        <v>Marzo</v>
      </c>
      <c r="AB26" s="49"/>
    </row>
    <row r="27" spans="1:28" ht="36" x14ac:dyDescent="0.3">
      <c r="A27" s="2">
        <f>IF(C_Ope_006[[#This Row],[tipo_r]]="R",COUNTIFS($C$1:$C26,"R")+1,"")</f>
        <v>26</v>
      </c>
      <c r="B27" s="19" t="str">
        <f t="shared" si="4"/>
        <v>C_Ope_006</v>
      </c>
      <c r="C27" s="3" t="s">
        <v>1330</v>
      </c>
      <c r="D27" s="14">
        <v>45729</v>
      </c>
      <c r="E27" s="5" t="s">
        <v>8786</v>
      </c>
      <c r="F27" s="5" t="s">
        <v>1336</v>
      </c>
      <c r="G27" s="6" t="s">
        <v>682</v>
      </c>
      <c r="H27" s="6" t="s">
        <v>68</v>
      </c>
      <c r="I27" s="6" t="s">
        <v>1343</v>
      </c>
      <c r="J27" s="6">
        <v>34108</v>
      </c>
      <c r="K27" s="7" t="s">
        <v>8802</v>
      </c>
      <c r="L27" s="8">
        <v>23425</v>
      </c>
      <c r="M27" s="8" t="str">
        <f t="shared" si="5"/>
        <v>PEN</v>
      </c>
      <c r="N27" s="13"/>
      <c r="O27" s="13">
        <v>10</v>
      </c>
      <c r="P27" s="3">
        <f t="shared" si="1"/>
        <v>0</v>
      </c>
      <c r="Q27" s="3">
        <f t="shared" si="2"/>
        <v>10</v>
      </c>
      <c r="R27" s="3">
        <f t="shared" si="3"/>
        <v>112</v>
      </c>
      <c r="S27" s="24" t="s">
        <v>1334</v>
      </c>
      <c r="T27" s="24" t="s">
        <v>1334</v>
      </c>
      <c r="U27" s="3"/>
      <c r="V27" s="25" t="s">
        <v>8006</v>
      </c>
      <c r="W27" s="25">
        <v>20259858934</v>
      </c>
      <c r="X27" s="25" t="str">
        <f>IFERROR(VLOOKUP(C_Ope_006[[#This Row],[nota_2]],Clientes_Proveedores[[Ruc / Dni]:[Razon Social]],2,0),"")</f>
        <v>COMERCIALIZACION Y SERVICIOS EL EDEN S.A.C.</v>
      </c>
      <c r="Y27" s="25"/>
      <c r="Z27" s="17"/>
      <c r="AA27" s="3" t="str">
        <f>IF(C_Ope_006[[#This Row],[fecha]]&gt;0,TEXT(C_Ope_006[[#This Row],[fecha]],"mmmm"),0)</f>
        <v>Marzo</v>
      </c>
      <c r="AB27" s="49"/>
    </row>
    <row r="28" spans="1:28" ht="24" x14ac:dyDescent="0.3">
      <c r="A28" s="2">
        <f>IF(C_Ope_006[[#This Row],[tipo_r]]="R",COUNTIFS($C$1:$C27,"R")+1,"")</f>
        <v>27</v>
      </c>
      <c r="B28" s="19" t="str">
        <f t="shared" si="4"/>
        <v>C_Ope_006</v>
      </c>
      <c r="C28" s="3" t="s">
        <v>1330</v>
      </c>
      <c r="D28" s="14">
        <v>45729</v>
      </c>
      <c r="E28" s="5" t="s">
        <v>8786</v>
      </c>
      <c r="F28" s="5" t="s">
        <v>1336</v>
      </c>
      <c r="G28" s="6" t="s">
        <v>999</v>
      </c>
      <c r="H28" s="6" t="s">
        <v>68</v>
      </c>
      <c r="I28" s="6" t="s">
        <v>1374</v>
      </c>
      <c r="J28" s="6">
        <v>16817</v>
      </c>
      <c r="K28" s="7" t="s">
        <v>7777</v>
      </c>
      <c r="L28" s="8">
        <v>23433</v>
      </c>
      <c r="M28" s="8" t="str">
        <f t="shared" si="5"/>
        <v>PEN</v>
      </c>
      <c r="N28" s="13"/>
      <c r="O28" s="13">
        <v>30</v>
      </c>
      <c r="P28" s="3">
        <f t="shared" si="1"/>
        <v>0</v>
      </c>
      <c r="Q28" s="3">
        <f t="shared" si="2"/>
        <v>30</v>
      </c>
      <c r="R28" s="3">
        <f t="shared" si="3"/>
        <v>82</v>
      </c>
      <c r="S28" s="24" t="s">
        <v>1334</v>
      </c>
      <c r="T28" s="24" t="s">
        <v>1334</v>
      </c>
      <c r="U28" s="3"/>
      <c r="V28" s="25" t="s">
        <v>8006</v>
      </c>
      <c r="W28" s="25">
        <v>10705628331</v>
      </c>
      <c r="X28" s="25" t="str">
        <f>IFERROR(VLOOKUP(C_Ope_006[[#This Row],[nota_2]],Clientes_Proveedores[[Ruc / Dni]:[Razon Social]],2,0),"")</f>
        <v>LARICO APAZA NANCY ROSSMARY</v>
      </c>
      <c r="Y28" s="25"/>
      <c r="Z28" s="17"/>
      <c r="AA28" s="3" t="str">
        <f>IF(C_Ope_006[[#This Row],[fecha]]&gt;0,TEXT(C_Ope_006[[#This Row],[fecha]],"mmmm"),0)</f>
        <v>Marzo</v>
      </c>
      <c r="AB28" s="49"/>
    </row>
    <row r="29" spans="1:28" ht="24" x14ac:dyDescent="0.3">
      <c r="A29" s="2">
        <f>IF(C_Ope_006[[#This Row],[tipo_r]]="R",COUNTIFS($C$1:$C28,"R")+1,"")</f>
        <v>28</v>
      </c>
      <c r="B29" s="19" t="str">
        <f t="shared" si="4"/>
        <v>C_Ope_006</v>
      </c>
      <c r="C29" s="3" t="s">
        <v>1330</v>
      </c>
      <c r="D29" s="14">
        <v>45734</v>
      </c>
      <c r="E29" s="5" t="s">
        <v>7514</v>
      </c>
      <c r="F29" s="5" t="s">
        <v>1303</v>
      </c>
      <c r="G29" s="6" t="s">
        <v>1019</v>
      </c>
      <c r="H29" s="6"/>
      <c r="I29" s="6"/>
      <c r="J29" s="6"/>
      <c r="K29" s="7" t="s">
        <v>8475</v>
      </c>
      <c r="L29" s="8">
        <v>23478</v>
      </c>
      <c r="M29" s="8" t="str">
        <f t="shared" si="5"/>
        <v>PEN</v>
      </c>
      <c r="N29" s="13"/>
      <c r="O29" s="13">
        <v>120</v>
      </c>
      <c r="P29" s="3">
        <f t="shared" si="1"/>
        <v>120</v>
      </c>
      <c r="Q29" s="3">
        <f t="shared" si="2"/>
        <v>0</v>
      </c>
      <c r="R29" s="3">
        <f t="shared" si="3"/>
        <v>202</v>
      </c>
      <c r="S29" s="24" t="s">
        <v>1334</v>
      </c>
      <c r="T29" s="24" t="s">
        <v>1334</v>
      </c>
      <c r="U29" s="3"/>
      <c r="V29" s="25"/>
      <c r="W29" s="25"/>
      <c r="X29" s="25" t="str">
        <f>IFERROR(VLOOKUP(C_Ope_006[[#This Row],[nota_2]],Clientes_Proveedores[[Ruc / Dni]:[Razon Social]],2,0),"")</f>
        <v/>
      </c>
      <c r="Y29" s="25"/>
      <c r="Z29" s="17">
        <f>ROUND(C_Ope_006[[#This Row],[monto]]/1.18,3)</f>
        <v>101.69499999999999</v>
      </c>
      <c r="AA29" s="3" t="str">
        <f>IF(C_Ope_006[[#This Row],[fecha]]&gt;0,TEXT(C_Ope_006[[#This Row],[fecha]],"mmmm"),0)</f>
        <v>Marzo</v>
      </c>
      <c r="AB29" s="49"/>
    </row>
    <row r="30" spans="1:28" ht="24" x14ac:dyDescent="0.3">
      <c r="A30" s="2">
        <f>IF(C_Ope_006[[#This Row],[tipo_r]]="R",COUNTIFS($C$1:$C29,"R")+1,"")</f>
        <v>29</v>
      </c>
      <c r="B30" s="19" t="str">
        <f t="shared" si="4"/>
        <v>C_Ope_006</v>
      </c>
      <c r="C30" s="3" t="s">
        <v>1330</v>
      </c>
      <c r="D30" s="14">
        <v>45735</v>
      </c>
      <c r="E30" s="5" t="s">
        <v>7514</v>
      </c>
      <c r="F30" s="5" t="s">
        <v>1303</v>
      </c>
      <c r="G30" s="6" t="s">
        <v>1019</v>
      </c>
      <c r="H30" s="6"/>
      <c r="I30" s="6"/>
      <c r="J30" s="6"/>
      <c r="K30" s="7" t="s">
        <v>7600</v>
      </c>
      <c r="L30" s="8">
        <v>23501</v>
      </c>
      <c r="M30" s="8" t="str">
        <f t="shared" si="5"/>
        <v>PEN</v>
      </c>
      <c r="N30" s="13"/>
      <c r="O30" s="13">
        <v>400</v>
      </c>
      <c r="P30" s="3">
        <f t="shared" si="1"/>
        <v>400</v>
      </c>
      <c r="Q30" s="3">
        <f t="shared" si="2"/>
        <v>0</v>
      </c>
      <c r="R30" s="3">
        <f t="shared" si="3"/>
        <v>602</v>
      </c>
      <c r="S30" s="24" t="s">
        <v>1334</v>
      </c>
      <c r="T30" s="24" t="s">
        <v>1334</v>
      </c>
      <c r="U30" s="3"/>
      <c r="V30" s="25"/>
      <c r="W30" s="25"/>
      <c r="X30" s="25" t="str">
        <f>IFERROR(VLOOKUP(C_Ope_006[[#This Row],[nota_2]],Clientes_Proveedores[[Ruc / Dni]:[Razon Social]],2,0),"")</f>
        <v/>
      </c>
      <c r="Y30" s="25"/>
      <c r="Z30" s="17">
        <f>ROUND(C_Ope_006[[#This Row],[monto]]/1.18,3)</f>
        <v>338.983</v>
      </c>
      <c r="AA30" s="3" t="str">
        <f>IF(C_Ope_006[[#This Row],[fecha]]&gt;0,TEXT(C_Ope_006[[#This Row],[fecha]],"mmmm"),0)</f>
        <v>Marzo</v>
      </c>
      <c r="AB30" s="49"/>
    </row>
    <row r="31" spans="1:28" ht="24" x14ac:dyDescent="0.3">
      <c r="A31" s="2">
        <f>IF(C_Ope_006[[#This Row],[tipo_r]]="R",COUNTIFS($C$1:$C30,"R")+1,"")</f>
        <v>30</v>
      </c>
      <c r="B31" s="19" t="str">
        <f t="shared" si="4"/>
        <v>C_Ope_006</v>
      </c>
      <c r="C31" s="3" t="s">
        <v>1330</v>
      </c>
      <c r="D31" s="14">
        <v>45737</v>
      </c>
      <c r="E31" s="5" t="s">
        <v>7514</v>
      </c>
      <c r="F31" s="5" t="s">
        <v>1303</v>
      </c>
      <c r="G31" s="6" t="s">
        <v>1019</v>
      </c>
      <c r="H31" s="6"/>
      <c r="I31" s="6"/>
      <c r="J31" s="6"/>
      <c r="K31" s="7" t="s">
        <v>7600</v>
      </c>
      <c r="L31" s="8">
        <v>23553</v>
      </c>
      <c r="M31" s="8" t="str">
        <f t="shared" si="5"/>
        <v>PEN</v>
      </c>
      <c r="N31" s="13"/>
      <c r="O31" s="13">
        <v>100</v>
      </c>
      <c r="P31" s="3">
        <f t="shared" si="1"/>
        <v>100</v>
      </c>
      <c r="Q31" s="3">
        <f t="shared" si="2"/>
        <v>0</v>
      </c>
      <c r="R31" s="3">
        <f t="shared" si="3"/>
        <v>702</v>
      </c>
      <c r="S31" s="24" t="s">
        <v>1334</v>
      </c>
      <c r="T31" s="24" t="s">
        <v>1334</v>
      </c>
      <c r="U31" s="3"/>
      <c r="V31" s="25"/>
      <c r="W31" s="25"/>
      <c r="X31" s="25" t="str">
        <f>IFERROR(VLOOKUP(C_Ope_006[[#This Row],[nota_2]],Clientes_Proveedores[[Ruc / Dni]:[Razon Social]],2,0),"")</f>
        <v/>
      </c>
      <c r="Y31" s="25"/>
      <c r="Z31" s="17">
        <f>ROUND(C_Ope_006[[#This Row],[monto]]/1.18,3)</f>
        <v>84.745999999999995</v>
      </c>
      <c r="AA31" s="3" t="str">
        <f>IF(C_Ope_006[[#This Row],[fecha]]&gt;0,TEXT(C_Ope_006[[#This Row],[fecha]],"mmmm"),0)</f>
        <v>Marzo</v>
      </c>
      <c r="AB31" s="49"/>
    </row>
    <row r="32" spans="1:28" ht="24" x14ac:dyDescent="0.3">
      <c r="A32" s="2">
        <f>IF(C_Ope_006[[#This Row],[tipo_r]]="R",COUNTIFS($C$1:$C31,"R")+1,"")</f>
        <v>31</v>
      </c>
      <c r="B32" s="19" t="str">
        <f t="shared" si="4"/>
        <v>C_Ope_006</v>
      </c>
      <c r="C32" s="3" t="s">
        <v>1330</v>
      </c>
      <c r="D32" s="14">
        <v>45734</v>
      </c>
      <c r="E32" s="5" t="s">
        <v>8786</v>
      </c>
      <c r="F32" s="5" t="s">
        <v>1336</v>
      </c>
      <c r="G32" s="6" t="s">
        <v>978</v>
      </c>
      <c r="H32" s="6" t="s">
        <v>68</v>
      </c>
      <c r="I32" s="6" t="s">
        <v>6204</v>
      </c>
      <c r="J32" s="6">
        <v>1682776</v>
      </c>
      <c r="K32" s="7" t="s">
        <v>8803</v>
      </c>
      <c r="L32" s="8">
        <v>23493</v>
      </c>
      <c r="M32" s="8" t="str">
        <f t="shared" si="5"/>
        <v>PEN</v>
      </c>
      <c r="N32" s="13"/>
      <c r="O32" s="13">
        <v>12</v>
      </c>
      <c r="P32" s="3">
        <f t="shared" si="1"/>
        <v>0</v>
      </c>
      <c r="Q32" s="3">
        <f t="shared" si="2"/>
        <v>12</v>
      </c>
      <c r="R32" s="3">
        <f t="shared" si="3"/>
        <v>690</v>
      </c>
      <c r="S32" s="24" t="s">
        <v>1334</v>
      </c>
      <c r="T32" s="24" t="s">
        <v>1334</v>
      </c>
      <c r="U32" s="3"/>
      <c r="V32" s="25" t="s">
        <v>8006</v>
      </c>
      <c r="W32" s="25">
        <v>20517252558</v>
      </c>
      <c r="X32" s="25" t="str">
        <f>IFERROR(VLOOKUP(C_Ope_006[[#This Row],[nota_2]],Clientes_Proveedores[[Ruc / Dni]:[Razon Social]],2,0),"")</f>
        <v>COVISUR S.A.</v>
      </c>
      <c r="Y32" s="25"/>
      <c r="Z32" s="17"/>
      <c r="AA32" s="3" t="str">
        <f>IF(C_Ope_006[[#This Row],[fecha]]&gt;0,TEXT(C_Ope_006[[#This Row],[fecha]],"mmmm"),0)</f>
        <v>Marzo</v>
      </c>
      <c r="AB32" s="49"/>
    </row>
    <row r="33" spans="1:28" ht="24" x14ac:dyDescent="0.3">
      <c r="A33" s="2">
        <f>IF(C_Ope_006[[#This Row],[tipo_r]]="R",COUNTIFS($C$1:$C32,"R")+1,"")</f>
        <v>32</v>
      </c>
      <c r="B33" s="19" t="str">
        <f t="shared" si="4"/>
        <v>C_Ope_006</v>
      </c>
      <c r="C33" s="3" t="s">
        <v>1330</v>
      </c>
      <c r="D33" s="14">
        <v>45734</v>
      </c>
      <c r="E33" s="5" t="s">
        <v>8786</v>
      </c>
      <c r="F33" s="5" t="s">
        <v>1336</v>
      </c>
      <c r="G33" s="6" t="s">
        <v>978</v>
      </c>
      <c r="H33" s="6" t="s">
        <v>68</v>
      </c>
      <c r="I33" s="6" t="s">
        <v>5845</v>
      </c>
      <c r="J33" s="6">
        <v>1702048</v>
      </c>
      <c r="K33" s="7" t="s">
        <v>8803</v>
      </c>
      <c r="L33" s="8">
        <v>23494</v>
      </c>
      <c r="M33" s="8" t="str">
        <f t="shared" si="5"/>
        <v>PEN</v>
      </c>
      <c r="N33" s="13"/>
      <c r="O33" s="13">
        <v>12</v>
      </c>
      <c r="P33" s="3">
        <f t="shared" si="1"/>
        <v>0</v>
      </c>
      <c r="Q33" s="3">
        <f t="shared" si="2"/>
        <v>12</v>
      </c>
      <c r="R33" s="3">
        <f t="shared" si="3"/>
        <v>678</v>
      </c>
      <c r="S33" s="24" t="s">
        <v>1334</v>
      </c>
      <c r="T33" s="24" t="s">
        <v>1334</v>
      </c>
      <c r="U33" s="3"/>
      <c r="V33" s="25" t="s">
        <v>8006</v>
      </c>
      <c r="W33" s="25">
        <v>20517252558</v>
      </c>
      <c r="X33" s="25" t="str">
        <f>IFERROR(VLOOKUP(C_Ope_006[[#This Row],[nota_2]],Clientes_Proveedores[[Ruc / Dni]:[Razon Social]],2,0),"")</f>
        <v>COVISUR S.A.</v>
      </c>
      <c r="Y33" s="25"/>
      <c r="Z33" s="17"/>
      <c r="AA33" s="3" t="str">
        <f>IF(C_Ope_006[[#This Row],[fecha]]&gt;0,TEXT(C_Ope_006[[#This Row],[fecha]],"mmmm"),0)</f>
        <v>Marzo</v>
      </c>
      <c r="AB33" s="49"/>
    </row>
    <row r="34" spans="1:28" x14ac:dyDescent="0.3">
      <c r="A34" s="2">
        <f>IF(C_Ope_006[[#This Row],[tipo_r]]="R",COUNTIFS($C$1:$C33,"R")+1,"")</f>
        <v>33</v>
      </c>
      <c r="B34" s="19" t="str">
        <f t="shared" si="4"/>
        <v>C_Ope_006</v>
      </c>
      <c r="C34" s="3" t="s">
        <v>1330</v>
      </c>
      <c r="D34" s="14">
        <v>45735</v>
      </c>
      <c r="E34" s="5" t="s">
        <v>8786</v>
      </c>
      <c r="F34" s="5" t="s">
        <v>1336</v>
      </c>
      <c r="G34" s="6" t="s">
        <v>978</v>
      </c>
      <c r="H34" s="6" t="s">
        <v>68</v>
      </c>
      <c r="I34" s="6" t="s">
        <v>5688</v>
      </c>
      <c r="J34" s="6">
        <v>2270712</v>
      </c>
      <c r="K34" s="7" t="s">
        <v>8804</v>
      </c>
      <c r="L34" s="8">
        <v>23517</v>
      </c>
      <c r="M34" s="8" t="str">
        <f t="shared" si="5"/>
        <v>PEN</v>
      </c>
      <c r="N34" s="13"/>
      <c r="O34" s="13">
        <v>12</v>
      </c>
      <c r="P34" s="3">
        <f t="shared" si="1"/>
        <v>0</v>
      </c>
      <c r="Q34" s="3">
        <f t="shared" si="2"/>
        <v>12</v>
      </c>
      <c r="R34" s="3">
        <f t="shared" si="3"/>
        <v>666</v>
      </c>
      <c r="S34" s="24" t="s">
        <v>1334</v>
      </c>
      <c r="T34" s="24" t="s">
        <v>1334</v>
      </c>
      <c r="U34" s="3"/>
      <c r="V34" s="25" t="s">
        <v>8006</v>
      </c>
      <c r="W34" s="25">
        <v>20517252558</v>
      </c>
      <c r="X34" s="25" t="str">
        <f>IFERROR(VLOOKUP(C_Ope_006[[#This Row],[nota_2]],Clientes_Proveedores[[Ruc / Dni]:[Razon Social]],2,0),"")</f>
        <v>COVISUR S.A.</v>
      </c>
      <c r="Y34" s="25"/>
      <c r="Z34" s="17"/>
      <c r="AA34" s="3" t="str">
        <f>IF(C_Ope_006[[#This Row],[fecha]]&gt;0,TEXT(C_Ope_006[[#This Row],[fecha]],"mmmm"),0)</f>
        <v>Marzo</v>
      </c>
      <c r="AB34" s="49"/>
    </row>
    <row r="35" spans="1:28" x14ac:dyDescent="0.3">
      <c r="A35" s="2">
        <f>IF(C_Ope_006[[#This Row],[tipo_r]]="R",COUNTIFS($C$1:$C34,"R")+1,"")</f>
        <v>34</v>
      </c>
      <c r="B35" s="19" t="str">
        <f t="shared" ref="B35:B66" si="6">"C_Ope_006"</f>
        <v>C_Ope_006</v>
      </c>
      <c r="C35" s="3" t="s">
        <v>1330</v>
      </c>
      <c r="D35" s="14">
        <v>45735</v>
      </c>
      <c r="E35" s="5" t="s">
        <v>8786</v>
      </c>
      <c r="F35" s="5" t="s">
        <v>1336</v>
      </c>
      <c r="G35" s="6" t="s">
        <v>978</v>
      </c>
      <c r="H35" s="6" t="s">
        <v>68</v>
      </c>
      <c r="I35" s="6" t="s">
        <v>5845</v>
      </c>
      <c r="J35" s="6">
        <v>1702885</v>
      </c>
      <c r="K35" s="7" t="s">
        <v>8631</v>
      </c>
      <c r="L35" s="8">
        <v>23518</v>
      </c>
      <c r="M35" s="8" t="str">
        <f t="shared" ref="M35:M66" si="7">"PEN"</f>
        <v>PEN</v>
      </c>
      <c r="N35" s="13"/>
      <c r="O35" s="13">
        <v>8</v>
      </c>
      <c r="P35" s="3">
        <f t="shared" si="1"/>
        <v>0</v>
      </c>
      <c r="Q35" s="3">
        <f t="shared" si="2"/>
        <v>8</v>
      </c>
      <c r="R35" s="3">
        <f t="shared" si="3"/>
        <v>658</v>
      </c>
      <c r="S35" s="24" t="s">
        <v>1334</v>
      </c>
      <c r="T35" s="24" t="s">
        <v>1334</v>
      </c>
      <c r="U35" s="3"/>
      <c r="V35" s="25" t="s">
        <v>7842</v>
      </c>
      <c r="W35" s="25">
        <v>20517252558</v>
      </c>
      <c r="X35" s="25" t="str">
        <f>IFERROR(VLOOKUP(C_Ope_006[[#This Row],[nota_2]],Clientes_Proveedores[[Ruc / Dni]:[Razon Social]],2,0),"")</f>
        <v>COVISUR S.A.</v>
      </c>
      <c r="Y35" s="25"/>
      <c r="Z35" s="17"/>
      <c r="AA35" s="3" t="str">
        <f>IF(C_Ope_006[[#This Row],[fecha]]&gt;0,TEXT(C_Ope_006[[#This Row],[fecha]],"mmmm"),0)</f>
        <v>Marzo</v>
      </c>
      <c r="AB35" s="49"/>
    </row>
    <row r="36" spans="1:28" ht="24" x14ac:dyDescent="0.3">
      <c r="A36" s="2">
        <f>IF(C_Ope_006[[#This Row],[tipo_r]]="R",COUNTIFS($C$1:$C35,"R")+1,"")</f>
        <v>35</v>
      </c>
      <c r="B36" s="19" t="str">
        <f t="shared" si="6"/>
        <v>C_Ope_006</v>
      </c>
      <c r="C36" s="3" t="s">
        <v>1330</v>
      </c>
      <c r="D36" s="14">
        <v>45735</v>
      </c>
      <c r="E36" s="5" t="s">
        <v>8786</v>
      </c>
      <c r="F36" s="5" t="s">
        <v>1336</v>
      </c>
      <c r="G36" s="6" t="s">
        <v>978</v>
      </c>
      <c r="H36" s="6" t="s">
        <v>68</v>
      </c>
      <c r="I36" s="6" t="s">
        <v>8594</v>
      </c>
      <c r="J36" s="6">
        <v>420720</v>
      </c>
      <c r="K36" s="7" t="s">
        <v>8805</v>
      </c>
      <c r="L36" s="8">
        <v>23528</v>
      </c>
      <c r="M36" s="8" t="str">
        <f t="shared" si="7"/>
        <v>PEN</v>
      </c>
      <c r="N36" s="13"/>
      <c r="O36" s="13">
        <v>7.7</v>
      </c>
      <c r="P36" s="3">
        <f t="shared" si="1"/>
        <v>0</v>
      </c>
      <c r="Q36" s="3">
        <f t="shared" si="2"/>
        <v>7.7</v>
      </c>
      <c r="R36" s="3">
        <f t="shared" si="3"/>
        <v>650.29999999999995</v>
      </c>
      <c r="S36" s="24" t="s">
        <v>1334</v>
      </c>
      <c r="T36" s="24" t="s">
        <v>1334</v>
      </c>
      <c r="U36" s="3"/>
      <c r="V36" s="25" t="s">
        <v>7842</v>
      </c>
      <c r="W36" s="25">
        <v>20517252558</v>
      </c>
      <c r="X36" s="25" t="str">
        <f>IFERROR(VLOOKUP(C_Ope_006[[#This Row],[nota_2]],Clientes_Proveedores[[Ruc / Dni]:[Razon Social]],2,0),"")</f>
        <v>COVISUR S.A.</v>
      </c>
      <c r="Y36" s="25"/>
      <c r="Z36" s="17"/>
      <c r="AA36" s="3" t="str">
        <f>IF(C_Ope_006[[#This Row],[fecha]]&gt;0,TEXT(C_Ope_006[[#This Row],[fecha]],"mmmm"),0)</f>
        <v>Marzo</v>
      </c>
      <c r="AB36" s="49"/>
    </row>
    <row r="37" spans="1:28" ht="36" x14ac:dyDescent="0.3">
      <c r="A37" s="2">
        <f>IF(C_Ope_006[[#This Row],[tipo_r]]="R",COUNTIFS($C$1:$C36,"R")+1,"")</f>
        <v>36</v>
      </c>
      <c r="B37" s="19" t="str">
        <f t="shared" si="6"/>
        <v>C_Ope_006</v>
      </c>
      <c r="C37" s="3" t="s">
        <v>1330</v>
      </c>
      <c r="D37" s="14">
        <v>45736</v>
      </c>
      <c r="E37" s="5" t="s">
        <v>8786</v>
      </c>
      <c r="F37" s="5" t="s">
        <v>1336</v>
      </c>
      <c r="G37" s="6" t="s">
        <v>978</v>
      </c>
      <c r="H37" s="6" t="s">
        <v>68</v>
      </c>
      <c r="I37" s="6" t="s">
        <v>8556</v>
      </c>
      <c r="J37" s="6">
        <v>1074406</v>
      </c>
      <c r="K37" s="7" t="s">
        <v>8806</v>
      </c>
      <c r="L37" s="8">
        <v>23529</v>
      </c>
      <c r="M37" s="8" t="str">
        <f t="shared" si="7"/>
        <v>PEN</v>
      </c>
      <c r="N37" s="13"/>
      <c r="O37" s="13">
        <v>7.7</v>
      </c>
      <c r="P37" s="3">
        <f t="shared" si="1"/>
        <v>0</v>
      </c>
      <c r="Q37" s="3">
        <f t="shared" si="2"/>
        <v>7.7</v>
      </c>
      <c r="R37" s="3">
        <f t="shared" si="3"/>
        <v>642.59999999999991</v>
      </c>
      <c r="S37" s="24" t="s">
        <v>1334</v>
      </c>
      <c r="T37" s="24" t="s">
        <v>1334</v>
      </c>
      <c r="U37" s="3"/>
      <c r="V37" s="25" t="s">
        <v>7842</v>
      </c>
      <c r="W37" s="25">
        <v>20517252558</v>
      </c>
      <c r="X37" s="25" t="str">
        <f>IFERROR(VLOOKUP(C_Ope_006[[#This Row],[nota_2]],Clientes_Proveedores[[Ruc / Dni]:[Razon Social]],2,0),"")</f>
        <v>COVISUR S.A.</v>
      </c>
      <c r="Y37" s="25"/>
      <c r="Z37" s="17"/>
      <c r="AA37" s="3" t="str">
        <f>IF(C_Ope_006[[#This Row],[fecha]]&gt;0,TEXT(C_Ope_006[[#This Row],[fecha]],"mmmm"),0)</f>
        <v>Marzo</v>
      </c>
      <c r="AB37" s="49"/>
    </row>
    <row r="38" spans="1:28" ht="36" x14ac:dyDescent="0.3">
      <c r="A38" s="2">
        <f>IF(C_Ope_006[[#This Row],[tipo_r]]="R",COUNTIFS($C$1:$C37,"R")+1,"")</f>
        <v>37</v>
      </c>
      <c r="B38" s="19" t="str">
        <f t="shared" si="6"/>
        <v>C_Ope_006</v>
      </c>
      <c r="C38" s="3" t="s">
        <v>1330</v>
      </c>
      <c r="D38" s="14">
        <v>45737</v>
      </c>
      <c r="E38" s="5" t="s">
        <v>8786</v>
      </c>
      <c r="F38" s="5" t="s">
        <v>1336</v>
      </c>
      <c r="G38" s="6" t="s">
        <v>978</v>
      </c>
      <c r="H38" s="6" t="s">
        <v>68</v>
      </c>
      <c r="I38" s="6" t="s">
        <v>8554</v>
      </c>
      <c r="J38" s="6">
        <v>1037724</v>
      </c>
      <c r="K38" s="7" t="s">
        <v>8806</v>
      </c>
      <c r="L38" s="8">
        <v>23542</v>
      </c>
      <c r="M38" s="8" t="str">
        <f t="shared" si="7"/>
        <v>PEN</v>
      </c>
      <c r="N38" s="13"/>
      <c r="O38" s="13">
        <v>7.7</v>
      </c>
      <c r="P38" s="3">
        <f t="shared" si="1"/>
        <v>0</v>
      </c>
      <c r="Q38" s="3">
        <f t="shared" si="2"/>
        <v>7.7</v>
      </c>
      <c r="R38" s="3">
        <f t="shared" si="3"/>
        <v>634.89999999999986</v>
      </c>
      <c r="S38" s="24" t="s">
        <v>1334</v>
      </c>
      <c r="T38" s="24" t="s">
        <v>1334</v>
      </c>
      <c r="U38" s="3"/>
      <c r="V38" s="25" t="s">
        <v>7842</v>
      </c>
      <c r="W38" s="25">
        <v>20517252558</v>
      </c>
      <c r="X38" s="25" t="str">
        <f>IFERROR(VLOOKUP(C_Ope_006[[#This Row],[nota_2]],Clientes_Proveedores[[Ruc / Dni]:[Razon Social]],2,0),"")</f>
        <v>COVISUR S.A.</v>
      </c>
      <c r="Y38" s="25"/>
      <c r="Z38" s="17"/>
      <c r="AA38" s="3" t="str">
        <f>IF(C_Ope_006[[#This Row],[fecha]]&gt;0,TEXT(C_Ope_006[[#This Row],[fecha]],"mmmm"),0)</f>
        <v>Marzo</v>
      </c>
      <c r="AB38" s="49"/>
    </row>
    <row r="39" spans="1:28" ht="24" x14ac:dyDescent="0.3">
      <c r="A39" s="2">
        <f>IF(C_Ope_006[[#This Row],[tipo_r]]="R",COUNTIFS($C$1:$C38,"R")+1,"")</f>
        <v>38</v>
      </c>
      <c r="B39" s="19" t="str">
        <f t="shared" si="6"/>
        <v>C_Ope_006</v>
      </c>
      <c r="C39" s="3" t="s">
        <v>1330</v>
      </c>
      <c r="D39" s="14">
        <v>45737</v>
      </c>
      <c r="E39" s="5" t="s">
        <v>8786</v>
      </c>
      <c r="F39" s="5" t="s">
        <v>1336</v>
      </c>
      <c r="G39" s="6" t="s">
        <v>978</v>
      </c>
      <c r="H39" s="6" t="s">
        <v>68</v>
      </c>
      <c r="I39" s="6" t="s">
        <v>8557</v>
      </c>
      <c r="J39" s="6">
        <v>1781764</v>
      </c>
      <c r="K39" s="7" t="s">
        <v>8807</v>
      </c>
      <c r="L39" s="8">
        <v>23551</v>
      </c>
      <c r="M39" s="8" t="str">
        <f t="shared" si="7"/>
        <v>PEN</v>
      </c>
      <c r="N39" s="13"/>
      <c r="O39" s="13">
        <v>7.7</v>
      </c>
      <c r="P39" s="3">
        <f t="shared" si="1"/>
        <v>0</v>
      </c>
      <c r="Q39" s="3">
        <f t="shared" si="2"/>
        <v>7.7</v>
      </c>
      <c r="R39" s="3">
        <f t="shared" si="3"/>
        <v>627.19999999999982</v>
      </c>
      <c r="S39" s="24" t="s">
        <v>1334</v>
      </c>
      <c r="T39" s="24" t="s">
        <v>1334</v>
      </c>
      <c r="U39" s="3"/>
      <c r="V39" s="25" t="s">
        <v>7842</v>
      </c>
      <c r="W39" s="25">
        <v>20517252558</v>
      </c>
      <c r="X39" s="25" t="str">
        <f>IFERROR(VLOOKUP(C_Ope_006[[#This Row],[nota_2]],Clientes_Proveedores[[Ruc / Dni]:[Razon Social]],2,0),"")</f>
        <v>COVISUR S.A.</v>
      </c>
      <c r="Y39" s="25"/>
      <c r="Z39" s="17"/>
      <c r="AA39" s="3" t="str">
        <f>IF(C_Ope_006[[#This Row],[fecha]]&gt;0,TEXT(C_Ope_006[[#This Row],[fecha]],"mmmm"),0)</f>
        <v>Marzo</v>
      </c>
      <c r="AB39" s="49"/>
    </row>
    <row r="40" spans="1:28" ht="36" x14ac:dyDescent="0.3">
      <c r="A40" s="2">
        <f>IF(C_Ope_006[[#This Row],[tipo_r]]="R",COUNTIFS($C$1:$C39,"R")+1,"")</f>
        <v>39</v>
      </c>
      <c r="B40" s="19" t="str">
        <f t="shared" si="6"/>
        <v>C_Ope_006</v>
      </c>
      <c r="C40" s="3" t="s">
        <v>1330</v>
      </c>
      <c r="D40" s="14">
        <v>45733</v>
      </c>
      <c r="E40" s="5" t="s">
        <v>8786</v>
      </c>
      <c r="F40" s="5" t="s">
        <v>1336</v>
      </c>
      <c r="G40" s="6" t="s">
        <v>682</v>
      </c>
      <c r="H40" s="6" t="s">
        <v>68</v>
      </c>
      <c r="I40" s="6" t="s">
        <v>1343</v>
      </c>
      <c r="J40" s="6">
        <v>34132</v>
      </c>
      <c r="K40" s="7" t="s">
        <v>8808</v>
      </c>
      <c r="L40" s="8">
        <v>23444</v>
      </c>
      <c r="M40" s="8" t="str">
        <f t="shared" si="7"/>
        <v>PEN</v>
      </c>
      <c r="N40" s="13"/>
      <c r="O40" s="13">
        <v>10</v>
      </c>
      <c r="P40" s="3">
        <f t="shared" si="1"/>
        <v>0</v>
      </c>
      <c r="Q40" s="3">
        <f t="shared" si="2"/>
        <v>10</v>
      </c>
      <c r="R40" s="3">
        <f t="shared" si="3"/>
        <v>617.19999999999982</v>
      </c>
      <c r="S40" s="24" t="s">
        <v>1334</v>
      </c>
      <c r="T40" s="24" t="s">
        <v>1334</v>
      </c>
      <c r="U40" s="3"/>
      <c r="V40" s="25" t="s">
        <v>8006</v>
      </c>
      <c r="W40" s="25">
        <v>20259858934</v>
      </c>
      <c r="X40" s="25" t="str">
        <f>IFERROR(VLOOKUP(C_Ope_006[[#This Row],[nota_2]],Clientes_Proveedores[[Ruc / Dni]:[Razon Social]],2,0),"")</f>
        <v>COMERCIALIZACION Y SERVICIOS EL EDEN S.A.C.</v>
      </c>
      <c r="Y40" s="25"/>
      <c r="Z40" s="17"/>
      <c r="AA40" s="3" t="str">
        <f>IF(C_Ope_006[[#This Row],[fecha]]&gt;0,TEXT(C_Ope_006[[#This Row],[fecha]],"mmmm"),0)</f>
        <v>Marzo</v>
      </c>
      <c r="AB40" s="49"/>
    </row>
    <row r="41" spans="1:28" ht="36" x14ac:dyDescent="0.3">
      <c r="A41" s="2">
        <f>IF(C_Ope_006[[#This Row],[tipo_r]]="R",COUNTIFS($C$1:$C40,"R")+1,"")</f>
        <v>40</v>
      </c>
      <c r="B41" s="19" t="str">
        <f t="shared" si="6"/>
        <v>C_Ope_006</v>
      </c>
      <c r="C41" s="3" t="s">
        <v>1330</v>
      </c>
      <c r="D41" s="14">
        <v>45734</v>
      </c>
      <c r="E41" s="5" t="s">
        <v>8786</v>
      </c>
      <c r="F41" s="5" t="s">
        <v>1336</v>
      </c>
      <c r="G41" s="6" t="s">
        <v>227</v>
      </c>
      <c r="H41" s="6" t="s">
        <v>68</v>
      </c>
      <c r="I41" s="6" t="s">
        <v>1390</v>
      </c>
      <c r="J41" s="6">
        <v>129469</v>
      </c>
      <c r="K41" s="7" t="s">
        <v>8809</v>
      </c>
      <c r="L41" s="8">
        <v>23470</v>
      </c>
      <c r="M41" s="8" t="str">
        <f t="shared" si="7"/>
        <v>PEN</v>
      </c>
      <c r="N41" s="13"/>
      <c r="O41" s="13">
        <v>10</v>
      </c>
      <c r="P41" s="3">
        <f t="shared" si="1"/>
        <v>0</v>
      </c>
      <c r="Q41" s="3">
        <f t="shared" si="2"/>
        <v>10</v>
      </c>
      <c r="R41" s="3">
        <f t="shared" si="3"/>
        <v>607.19999999999982</v>
      </c>
      <c r="S41" s="24" t="s">
        <v>1334</v>
      </c>
      <c r="T41" s="24" t="s">
        <v>1334</v>
      </c>
      <c r="U41" s="3"/>
      <c r="V41" s="25" t="s">
        <v>8006</v>
      </c>
      <c r="W41" s="25">
        <v>20124952850</v>
      </c>
      <c r="X41" s="25" t="str">
        <f>IFERROR(VLOOKUP(C_Ope_006[[#This Row],[nota_2]],Clientes_Proveedores[[Ruc / Dni]:[Razon Social]],2,0),"")</f>
        <v>ALIMENTOS Y SERVICIOS AGROPECUARIOS SRL.</v>
      </c>
      <c r="Y41" s="25"/>
      <c r="Z41" s="17"/>
      <c r="AA41" s="3" t="str">
        <f>IF(C_Ope_006[[#This Row],[fecha]]&gt;0,TEXT(C_Ope_006[[#This Row],[fecha]],"mmmm"),0)</f>
        <v>Marzo</v>
      </c>
      <c r="AB41" s="49"/>
    </row>
    <row r="42" spans="1:28" ht="36" x14ac:dyDescent="0.3">
      <c r="A42" s="2">
        <f>IF(C_Ope_006[[#This Row],[tipo_r]]="R",COUNTIFS($C$1:$C41,"R")+1,"")</f>
        <v>41</v>
      </c>
      <c r="B42" s="19" t="str">
        <f t="shared" si="6"/>
        <v>C_Ope_006</v>
      </c>
      <c r="C42" s="3" t="s">
        <v>1330</v>
      </c>
      <c r="D42" s="14">
        <v>45735</v>
      </c>
      <c r="E42" s="5" t="s">
        <v>8786</v>
      </c>
      <c r="F42" s="5" t="s">
        <v>1336</v>
      </c>
      <c r="G42" s="6" t="s">
        <v>227</v>
      </c>
      <c r="H42" s="6" t="s">
        <v>68</v>
      </c>
      <c r="I42" s="6" t="s">
        <v>1390</v>
      </c>
      <c r="J42" s="6">
        <v>129507</v>
      </c>
      <c r="K42" s="7" t="s">
        <v>8810</v>
      </c>
      <c r="L42" s="8">
        <v>23504</v>
      </c>
      <c r="M42" s="8" t="str">
        <f t="shared" si="7"/>
        <v>PEN</v>
      </c>
      <c r="N42" s="13"/>
      <c r="O42" s="13">
        <v>10</v>
      </c>
      <c r="P42" s="3">
        <f t="shared" si="1"/>
        <v>0</v>
      </c>
      <c r="Q42" s="3">
        <f t="shared" si="2"/>
        <v>10</v>
      </c>
      <c r="R42" s="3">
        <f t="shared" si="3"/>
        <v>597.19999999999982</v>
      </c>
      <c r="S42" s="24" t="s">
        <v>1334</v>
      </c>
      <c r="T42" s="24" t="s">
        <v>1334</v>
      </c>
      <c r="U42" s="3"/>
      <c r="V42" s="25" t="s">
        <v>8006</v>
      </c>
      <c r="W42" s="25">
        <v>20124952850</v>
      </c>
      <c r="X42" s="25" t="str">
        <f>IFERROR(VLOOKUP(C_Ope_006[[#This Row],[nota_2]],Clientes_Proveedores[[Ruc / Dni]:[Razon Social]],2,0),"")</f>
        <v>ALIMENTOS Y SERVICIOS AGROPECUARIOS SRL.</v>
      </c>
      <c r="Y42" s="25"/>
      <c r="Z42" s="17"/>
      <c r="AA42" s="3" t="str">
        <f>IF(C_Ope_006[[#This Row],[fecha]]&gt;0,TEXT(C_Ope_006[[#This Row],[fecha]],"mmmm"),0)</f>
        <v>Marzo</v>
      </c>
      <c r="AB42" s="49"/>
    </row>
    <row r="43" spans="1:28" ht="36" x14ac:dyDescent="0.3">
      <c r="A43" s="2">
        <f>IF(C_Ope_006[[#This Row],[tipo_r]]="R",COUNTIFS($C$1:$C42,"R")+1,"")</f>
        <v>42</v>
      </c>
      <c r="B43" s="19" t="str">
        <f t="shared" si="6"/>
        <v>C_Ope_006</v>
      </c>
      <c r="C43" s="3" t="s">
        <v>1330</v>
      </c>
      <c r="D43" s="14">
        <v>45735</v>
      </c>
      <c r="E43" s="5" t="s">
        <v>8786</v>
      </c>
      <c r="F43" s="5" t="s">
        <v>1336</v>
      </c>
      <c r="G43" s="6" t="s">
        <v>227</v>
      </c>
      <c r="H43" s="6" t="s">
        <v>68</v>
      </c>
      <c r="I43" s="6" t="s">
        <v>1390</v>
      </c>
      <c r="J43" s="6">
        <v>129510</v>
      </c>
      <c r="K43" s="7" t="s">
        <v>8810</v>
      </c>
      <c r="L43" s="8">
        <v>23505</v>
      </c>
      <c r="M43" s="8" t="str">
        <f t="shared" si="7"/>
        <v>PEN</v>
      </c>
      <c r="N43" s="13"/>
      <c r="O43" s="13">
        <v>10</v>
      </c>
      <c r="P43" s="3">
        <f t="shared" si="1"/>
        <v>0</v>
      </c>
      <c r="Q43" s="3">
        <f t="shared" si="2"/>
        <v>10</v>
      </c>
      <c r="R43" s="3">
        <f t="shared" si="3"/>
        <v>587.19999999999982</v>
      </c>
      <c r="S43" s="24" t="s">
        <v>1334</v>
      </c>
      <c r="T43" s="24" t="s">
        <v>1334</v>
      </c>
      <c r="U43" s="3"/>
      <c r="V43" s="25" t="s">
        <v>8006</v>
      </c>
      <c r="W43" s="25">
        <v>20124952850</v>
      </c>
      <c r="X43" s="25" t="str">
        <f>IFERROR(VLOOKUP(C_Ope_006[[#This Row],[nota_2]],Clientes_Proveedores[[Ruc / Dni]:[Razon Social]],2,0),"")</f>
        <v>ALIMENTOS Y SERVICIOS AGROPECUARIOS SRL.</v>
      </c>
      <c r="Y43" s="25"/>
      <c r="Z43" s="17"/>
      <c r="AA43" s="3" t="str">
        <f>IF(C_Ope_006[[#This Row],[fecha]]&gt;0,TEXT(C_Ope_006[[#This Row],[fecha]],"mmmm"),0)</f>
        <v>Marzo</v>
      </c>
      <c r="AB43" s="49"/>
    </row>
    <row r="44" spans="1:28" ht="36" x14ac:dyDescent="0.3">
      <c r="A44" s="2">
        <f>IF(C_Ope_006[[#This Row],[tipo_r]]="R",COUNTIFS($C$1:$C43,"R")+1,"")</f>
        <v>43</v>
      </c>
      <c r="B44" s="19" t="str">
        <f t="shared" si="6"/>
        <v>C_Ope_006</v>
      </c>
      <c r="C44" s="3" t="s">
        <v>1330</v>
      </c>
      <c r="D44" s="14">
        <v>45737</v>
      </c>
      <c r="E44" s="5" t="s">
        <v>8786</v>
      </c>
      <c r="F44" s="5" t="s">
        <v>1336</v>
      </c>
      <c r="G44" s="6" t="s">
        <v>227</v>
      </c>
      <c r="H44" s="6" t="s">
        <v>68</v>
      </c>
      <c r="I44" s="6" t="s">
        <v>1390</v>
      </c>
      <c r="J44" s="6">
        <v>129599</v>
      </c>
      <c r="K44" s="7" t="s">
        <v>8811</v>
      </c>
      <c r="L44" s="8">
        <v>23552</v>
      </c>
      <c r="M44" s="8" t="str">
        <f t="shared" si="7"/>
        <v>PEN</v>
      </c>
      <c r="N44" s="13"/>
      <c r="O44" s="13">
        <v>10</v>
      </c>
      <c r="P44" s="3">
        <f t="shared" si="1"/>
        <v>0</v>
      </c>
      <c r="Q44" s="3">
        <f t="shared" si="2"/>
        <v>10</v>
      </c>
      <c r="R44" s="3">
        <f t="shared" si="3"/>
        <v>577.19999999999982</v>
      </c>
      <c r="S44" s="24" t="s">
        <v>1334</v>
      </c>
      <c r="T44" s="24" t="s">
        <v>1334</v>
      </c>
      <c r="U44" s="3"/>
      <c r="V44" s="25" t="s">
        <v>7842</v>
      </c>
      <c r="W44" s="25">
        <v>20124952850</v>
      </c>
      <c r="X44" s="25" t="str">
        <f>IFERROR(VLOOKUP(C_Ope_006[[#This Row],[nota_2]],Clientes_Proveedores[[Ruc / Dni]:[Razon Social]],2,0),"")</f>
        <v>ALIMENTOS Y SERVICIOS AGROPECUARIOS SRL.</v>
      </c>
      <c r="Y44" s="25"/>
      <c r="Z44" s="17"/>
      <c r="AA44" s="3" t="str">
        <f>IF(C_Ope_006[[#This Row],[fecha]]&gt;0,TEXT(C_Ope_006[[#This Row],[fecha]],"mmmm"),0)</f>
        <v>Marzo</v>
      </c>
      <c r="AB44" s="49"/>
    </row>
    <row r="45" spans="1:28" ht="36" x14ac:dyDescent="0.3">
      <c r="A45" s="2">
        <f>IF(C_Ope_006[[#This Row],[tipo_r]]="R",COUNTIFS($C$1:$C44,"R")+1,"")</f>
        <v>44</v>
      </c>
      <c r="B45" s="19" t="str">
        <f t="shared" si="6"/>
        <v>C_Ope_006</v>
      </c>
      <c r="C45" s="3" t="s">
        <v>1330</v>
      </c>
      <c r="D45" s="14">
        <v>45737</v>
      </c>
      <c r="E45" s="5" t="s">
        <v>8786</v>
      </c>
      <c r="F45" s="5" t="s">
        <v>1336</v>
      </c>
      <c r="G45" s="6" t="s">
        <v>227</v>
      </c>
      <c r="H45" s="6" t="s">
        <v>68</v>
      </c>
      <c r="I45" s="6" t="s">
        <v>1390</v>
      </c>
      <c r="J45" s="6">
        <v>129603</v>
      </c>
      <c r="K45" s="7" t="s">
        <v>8811</v>
      </c>
      <c r="L45" s="8">
        <v>23556</v>
      </c>
      <c r="M45" s="8" t="str">
        <f t="shared" si="7"/>
        <v>PEN</v>
      </c>
      <c r="N45" s="13"/>
      <c r="O45" s="13">
        <v>10</v>
      </c>
      <c r="P45" s="3">
        <f t="shared" si="1"/>
        <v>0</v>
      </c>
      <c r="Q45" s="3">
        <f t="shared" si="2"/>
        <v>10</v>
      </c>
      <c r="R45" s="3">
        <f t="shared" si="3"/>
        <v>567.19999999999982</v>
      </c>
      <c r="S45" s="24" t="s">
        <v>1334</v>
      </c>
      <c r="T45" s="24" t="s">
        <v>1334</v>
      </c>
      <c r="U45" s="3"/>
      <c r="V45" s="25" t="s">
        <v>7842</v>
      </c>
      <c r="W45" s="25">
        <v>20124952850</v>
      </c>
      <c r="X45" s="25" t="str">
        <f>IFERROR(VLOOKUP(C_Ope_006[[#This Row],[nota_2]],Clientes_Proveedores[[Ruc / Dni]:[Razon Social]],2,0),"")</f>
        <v>ALIMENTOS Y SERVICIOS AGROPECUARIOS SRL.</v>
      </c>
      <c r="Y45" s="25"/>
      <c r="Z45" s="17"/>
      <c r="AA45" s="3" t="str">
        <f>IF(C_Ope_006[[#This Row],[fecha]]&gt;0,TEXT(C_Ope_006[[#This Row],[fecha]],"mmmm"),0)</f>
        <v>Marzo</v>
      </c>
      <c r="AB45" s="49"/>
    </row>
    <row r="46" spans="1:28" x14ac:dyDescent="0.3">
      <c r="A46" s="2">
        <f>IF(C_Ope_006[[#This Row],[tipo_r]]="R",COUNTIFS($C$1:$C45,"R")+1,"")</f>
        <v>45</v>
      </c>
      <c r="B46" s="19" t="str">
        <f t="shared" si="6"/>
        <v>C_Ope_006</v>
      </c>
      <c r="C46" s="3" t="s">
        <v>1330</v>
      </c>
      <c r="D46" s="14">
        <v>45735</v>
      </c>
      <c r="E46" s="5" t="s">
        <v>8786</v>
      </c>
      <c r="F46" s="5" t="s">
        <v>1336</v>
      </c>
      <c r="G46" s="6"/>
      <c r="H46" s="6" t="s">
        <v>126</v>
      </c>
      <c r="I46" s="6"/>
      <c r="J46" s="6"/>
      <c r="K46" s="7" t="s">
        <v>8812</v>
      </c>
      <c r="L46" s="8">
        <v>23520</v>
      </c>
      <c r="M46" s="8" t="str">
        <f t="shared" si="7"/>
        <v>PEN</v>
      </c>
      <c r="N46" s="13"/>
      <c r="O46" s="13">
        <v>36</v>
      </c>
      <c r="P46" s="3">
        <f t="shared" si="1"/>
        <v>0</v>
      </c>
      <c r="Q46" s="3">
        <f t="shared" si="2"/>
        <v>36</v>
      </c>
      <c r="R46" s="3">
        <f t="shared" si="3"/>
        <v>531.19999999999982</v>
      </c>
      <c r="S46" s="24" t="s">
        <v>1334</v>
      </c>
      <c r="T46" s="24" t="s">
        <v>1334</v>
      </c>
      <c r="U46" s="3"/>
      <c r="V46" s="25" t="s">
        <v>7842</v>
      </c>
      <c r="W46" s="25"/>
      <c r="X46" s="25" t="str">
        <f>IFERROR(VLOOKUP(C_Ope_006[[#This Row],[nota_2]],Clientes_Proveedores[[Ruc / Dni]:[Razon Social]],2,0),"")</f>
        <v/>
      </c>
      <c r="Y46" s="25"/>
      <c r="Z46" s="17"/>
      <c r="AA46" s="3" t="str">
        <f>IF(C_Ope_006[[#This Row],[fecha]]&gt;0,TEXT(C_Ope_006[[#This Row],[fecha]],"mmmm"),0)</f>
        <v>Marzo</v>
      </c>
      <c r="AB46" s="49"/>
    </row>
    <row r="47" spans="1:28" ht="24" x14ac:dyDescent="0.3">
      <c r="A47" s="2">
        <f>IF(C_Ope_006[[#This Row],[tipo_r]]="R",COUNTIFS($C$1:$C46,"R")+1,"")</f>
        <v>46</v>
      </c>
      <c r="B47" s="19" t="str">
        <f t="shared" si="6"/>
        <v>C_Ope_006</v>
      </c>
      <c r="C47" s="3" t="s">
        <v>1330</v>
      </c>
      <c r="D47" s="14">
        <v>45735</v>
      </c>
      <c r="E47" s="5" t="s">
        <v>8786</v>
      </c>
      <c r="F47" s="5" t="s">
        <v>1336</v>
      </c>
      <c r="G47" s="6" t="s">
        <v>1065</v>
      </c>
      <c r="H47" s="6" t="s">
        <v>75</v>
      </c>
      <c r="I47" s="6">
        <v>1</v>
      </c>
      <c r="J47" s="6">
        <v>122</v>
      </c>
      <c r="K47" s="7" t="s">
        <v>8813</v>
      </c>
      <c r="L47" s="8">
        <v>23521</v>
      </c>
      <c r="M47" s="8" t="str">
        <f t="shared" si="7"/>
        <v>PEN</v>
      </c>
      <c r="N47" s="13"/>
      <c r="O47" s="13">
        <v>150</v>
      </c>
      <c r="P47" s="3">
        <f t="shared" si="1"/>
        <v>0</v>
      </c>
      <c r="Q47" s="3">
        <f t="shared" si="2"/>
        <v>150</v>
      </c>
      <c r="R47" s="3">
        <f t="shared" si="3"/>
        <v>381.19999999999982</v>
      </c>
      <c r="S47" s="24" t="s">
        <v>1334</v>
      </c>
      <c r="T47" s="24" t="s">
        <v>1334</v>
      </c>
      <c r="U47" s="3"/>
      <c r="V47" s="25" t="s">
        <v>7842</v>
      </c>
      <c r="W47" s="25">
        <v>10710506634</v>
      </c>
      <c r="X47" s="25" t="str">
        <f>IFERROR(VLOOKUP(C_Ope_006[[#This Row],[nota_2]],Clientes_Proveedores[[Ruc / Dni]:[Razon Social]],2,0),"")</f>
        <v>LAZARTE QUISPE ELVIS WALDIR</v>
      </c>
      <c r="Y47" s="25"/>
      <c r="Z47" s="17"/>
      <c r="AA47" s="3" t="str">
        <f>IF(C_Ope_006[[#This Row],[fecha]]&gt;0,TEXT(C_Ope_006[[#This Row],[fecha]],"mmmm"),0)</f>
        <v>Marzo</v>
      </c>
      <c r="AB47" s="49"/>
    </row>
    <row r="48" spans="1:28" x14ac:dyDescent="0.3">
      <c r="A48" s="2">
        <f>IF(C_Ope_006[[#This Row],[tipo_r]]="R",COUNTIFS($C$1:$C47,"R")+1,"")</f>
        <v>47</v>
      </c>
      <c r="B48" s="19" t="str">
        <f t="shared" si="6"/>
        <v>C_Ope_006</v>
      </c>
      <c r="C48" s="3" t="s">
        <v>1330</v>
      </c>
      <c r="D48" s="14">
        <v>45735</v>
      </c>
      <c r="E48" s="5" t="s">
        <v>8786</v>
      </c>
      <c r="F48" s="5" t="s">
        <v>1336</v>
      </c>
      <c r="G48" s="6"/>
      <c r="H48" s="6" t="s">
        <v>126</v>
      </c>
      <c r="I48" s="6"/>
      <c r="J48" s="6"/>
      <c r="K48" s="7" t="s">
        <v>8441</v>
      </c>
      <c r="L48" s="8">
        <v>23522</v>
      </c>
      <c r="M48" s="8" t="str">
        <f t="shared" si="7"/>
        <v>PEN</v>
      </c>
      <c r="N48" s="13"/>
      <c r="O48" s="13">
        <v>10</v>
      </c>
      <c r="P48" s="3">
        <f t="shared" si="1"/>
        <v>0</v>
      </c>
      <c r="Q48" s="3">
        <f t="shared" si="2"/>
        <v>10</v>
      </c>
      <c r="R48" s="3">
        <f t="shared" si="3"/>
        <v>371.19999999999982</v>
      </c>
      <c r="S48" s="24" t="s">
        <v>1334</v>
      </c>
      <c r="T48" s="24" t="s">
        <v>1334</v>
      </c>
      <c r="U48" s="3"/>
      <c r="V48" s="25" t="s">
        <v>7842</v>
      </c>
      <c r="W48" s="25"/>
      <c r="X48" s="25" t="str">
        <f>IFERROR(VLOOKUP(C_Ope_006[[#This Row],[nota_2]],Clientes_Proveedores[[Ruc / Dni]:[Razon Social]],2,0),"")</f>
        <v/>
      </c>
      <c r="Y48" s="25"/>
      <c r="Z48" s="17"/>
      <c r="AA48" s="3" t="str">
        <f>IF(C_Ope_006[[#This Row],[fecha]]&gt;0,TEXT(C_Ope_006[[#This Row],[fecha]],"mmmm"),0)</f>
        <v>Marzo</v>
      </c>
      <c r="AB48" s="49"/>
    </row>
    <row r="49" spans="1:28" x14ac:dyDescent="0.3">
      <c r="A49" s="2">
        <f>IF(C_Ope_006[[#This Row],[tipo_r]]="R",COUNTIFS($C$1:$C48,"R")+1,"")</f>
        <v>48</v>
      </c>
      <c r="B49" s="19" t="str">
        <f t="shared" si="6"/>
        <v>C_Ope_006</v>
      </c>
      <c r="C49" s="3" t="s">
        <v>1330</v>
      </c>
      <c r="D49" s="14">
        <v>45736</v>
      </c>
      <c r="E49" s="5" t="s">
        <v>8786</v>
      </c>
      <c r="F49" s="5" t="s">
        <v>1336</v>
      </c>
      <c r="G49" s="6"/>
      <c r="H49" s="6" t="s">
        <v>126</v>
      </c>
      <c r="I49" s="6"/>
      <c r="J49" s="6"/>
      <c r="K49" s="7" t="s">
        <v>8814</v>
      </c>
      <c r="L49" s="8">
        <v>23535</v>
      </c>
      <c r="M49" s="8" t="str">
        <f t="shared" si="7"/>
        <v>PEN</v>
      </c>
      <c r="N49" s="13"/>
      <c r="O49" s="13">
        <v>36</v>
      </c>
      <c r="P49" s="3">
        <f t="shared" si="1"/>
        <v>0</v>
      </c>
      <c r="Q49" s="3">
        <f t="shared" si="2"/>
        <v>36</v>
      </c>
      <c r="R49" s="3">
        <f t="shared" si="3"/>
        <v>335.19999999999982</v>
      </c>
      <c r="S49" s="24" t="s">
        <v>1334</v>
      </c>
      <c r="T49" s="24" t="s">
        <v>1334</v>
      </c>
      <c r="U49" s="3"/>
      <c r="V49" s="25" t="s">
        <v>7842</v>
      </c>
      <c r="W49" s="25"/>
      <c r="X49" s="25" t="str">
        <f>IFERROR(VLOOKUP(C_Ope_006[[#This Row],[nota_2]],Clientes_Proveedores[[Ruc / Dni]:[Razon Social]],2,0),"")</f>
        <v/>
      </c>
      <c r="Y49" s="25"/>
      <c r="Z49" s="17"/>
      <c r="AA49" s="3" t="str">
        <f>IF(C_Ope_006[[#This Row],[fecha]]&gt;0,TEXT(C_Ope_006[[#This Row],[fecha]],"mmmm"),0)</f>
        <v>Marzo</v>
      </c>
      <c r="AB49" s="49"/>
    </row>
    <row r="50" spans="1:28" x14ac:dyDescent="0.3">
      <c r="A50" s="2">
        <f>IF(C_Ope_006[[#This Row],[tipo_r]]="R",COUNTIFS($C$1:$C49,"R")+1,"")</f>
        <v>49</v>
      </c>
      <c r="B50" s="19" t="str">
        <f t="shared" si="6"/>
        <v>C_Ope_006</v>
      </c>
      <c r="C50" s="3" t="s">
        <v>1330</v>
      </c>
      <c r="D50" s="14">
        <v>45736</v>
      </c>
      <c r="E50" s="5" t="s">
        <v>8786</v>
      </c>
      <c r="F50" s="5" t="s">
        <v>1336</v>
      </c>
      <c r="G50" s="6"/>
      <c r="H50" s="6" t="s">
        <v>126</v>
      </c>
      <c r="I50" s="6"/>
      <c r="J50" s="6"/>
      <c r="K50" s="7" t="s">
        <v>8815</v>
      </c>
      <c r="L50" s="8">
        <v>23536</v>
      </c>
      <c r="M50" s="8" t="str">
        <f t="shared" si="7"/>
        <v>PEN</v>
      </c>
      <c r="N50" s="13"/>
      <c r="O50" s="13">
        <v>45</v>
      </c>
      <c r="P50" s="3">
        <f t="shared" si="1"/>
        <v>0</v>
      </c>
      <c r="Q50" s="3">
        <f t="shared" si="2"/>
        <v>45</v>
      </c>
      <c r="R50" s="3">
        <f t="shared" si="3"/>
        <v>290.19999999999982</v>
      </c>
      <c r="S50" s="24" t="s">
        <v>1334</v>
      </c>
      <c r="T50" s="24" t="s">
        <v>1334</v>
      </c>
      <c r="U50" s="3"/>
      <c r="V50" s="25" t="s">
        <v>7842</v>
      </c>
      <c r="W50" s="25"/>
      <c r="X50" s="25" t="str">
        <f>IFERROR(VLOOKUP(C_Ope_006[[#This Row],[nota_2]],Clientes_Proveedores[[Ruc / Dni]:[Razon Social]],2,0),"")</f>
        <v/>
      </c>
      <c r="Y50" s="25"/>
      <c r="Z50" s="17"/>
      <c r="AA50" s="3" t="str">
        <f>IF(C_Ope_006[[#This Row],[fecha]]&gt;0,TEXT(C_Ope_006[[#This Row],[fecha]],"mmmm"),0)</f>
        <v>Marzo</v>
      </c>
      <c r="AB50" s="49"/>
    </row>
    <row r="51" spans="1:28" x14ac:dyDescent="0.3">
      <c r="A51" s="2">
        <f>IF(C_Ope_006[[#This Row],[tipo_r]]="R",COUNTIFS($C$1:$C50,"R")+1,"")</f>
        <v>50</v>
      </c>
      <c r="B51" s="19" t="str">
        <f t="shared" si="6"/>
        <v>C_Ope_006</v>
      </c>
      <c r="C51" s="3" t="s">
        <v>1330</v>
      </c>
      <c r="D51" s="14">
        <v>45736</v>
      </c>
      <c r="E51" s="5" t="s">
        <v>8786</v>
      </c>
      <c r="F51" s="5" t="s">
        <v>1336</v>
      </c>
      <c r="G51" s="6"/>
      <c r="H51" s="6" t="s">
        <v>126</v>
      </c>
      <c r="I51" s="6"/>
      <c r="J51" s="6"/>
      <c r="K51" s="7" t="s">
        <v>8812</v>
      </c>
      <c r="L51" s="8">
        <v>23537</v>
      </c>
      <c r="M51" s="8" t="str">
        <f t="shared" si="7"/>
        <v>PEN</v>
      </c>
      <c r="N51" s="13"/>
      <c r="O51" s="13">
        <v>36</v>
      </c>
      <c r="P51" s="3">
        <f t="shared" si="1"/>
        <v>0</v>
      </c>
      <c r="Q51" s="3">
        <f t="shared" si="2"/>
        <v>36</v>
      </c>
      <c r="R51" s="3">
        <f t="shared" si="3"/>
        <v>254.19999999999982</v>
      </c>
      <c r="S51" s="24" t="s">
        <v>1334</v>
      </c>
      <c r="T51" s="24" t="s">
        <v>1334</v>
      </c>
      <c r="U51" s="3"/>
      <c r="V51" s="25" t="s">
        <v>7842</v>
      </c>
      <c r="W51" s="25"/>
      <c r="X51" s="25" t="str">
        <f>IFERROR(VLOOKUP(C_Ope_006[[#This Row],[nota_2]],Clientes_Proveedores[[Ruc / Dni]:[Razon Social]],2,0),"")</f>
        <v/>
      </c>
      <c r="Y51" s="25"/>
      <c r="Z51" s="17"/>
      <c r="AA51" s="3" t="str">
        <f>IF(C_Ope_006[[#This Row],[fecha]]&gt;0,TEXT(C_Ope_006[[#This Row],[fecha]],"mmmm"),0)</f>
        <v>Marzo</v>
      </c>
      <c r="AB51" s="49"/>
    </row>
    <row r="52" spans="1:28" x14ac:dyDescent="0.3">
      <c r="A52" s="2">
        <f>IF(C_Ope_006[[#This Row],[tipo_r]]="R",COUNTIFS($C$1:$C51,"R")+1,"")</f>
        <v>51</v>
      </c>
      <c r="B52" s="19" t="str">
        <f t="shared" si="6"/>
        <v>C_Ope_006</v>
      </c>
      <c r="C52" s="3" t="s">
        <v>1330</v>
      </c>
      <c r="D52" s="14">
        <v>45736</v>
      </c>
      <c r="E52" s="5" t="s">
        <v>8786</v>
      </c>
      <c r="F52" s="5" t="s">
        <v>1336</v>
      </c>
      <c r="G52" s="6"/>
      <c r="H52" s="6" t="s">
        <v>126</v>
      </c>
      <c r="I52" s="6"/>
      <c r="J52" s="6"/>
      <c r="K52" s="7" t="s">
        <v>8816</v>
      </c>
      <c r="L52" s="8">
        <v>23540</v>
      </c>
      <c r="M52" s="8" t="str">
        <f t="shared" si="7"/>
        <v>PEN</v>
      </c>
      <c r="N52" s="13"/>
      <c r="O52" s="13">
        <v>150</v>
      </c>
      <c r="P52" s="3">
        <f t="shared" si="1"/>
        <v>0</v>
      </c>
      <c r="Q52" s="3">
        <f t="shared" si="2"/>
        <v>150</v>
      </c>
      <c r="R52" s="3">
        <f t="shared" si="3"/>
        <v>104.19999999999982</v>
      </c>
      <c r="S52" s="24" t="s">
        <v>1334</v>
      </c>
      <c r="T52" s="24" t="s">
        <v>1334</v>
      </c>
      <c r="U52" s="3"/>
      <c r="V52" s="25" t="s">
        <v>7842</v>
      </c>
      <c r="W52" s="25"/>
      <c r="X52" s="25" t="str">
        <f>IFERROR(VLOOKUP(C_Ope_006[[#This Row],[nota_2]],Clientes_Proveedores[[Ruc / Dni]:[Razon Social]],2,0),"")</f>
        <v/>
      </c>
      <c r="Y52" s="25"/>
      <c r="Z52" s="17"/>
      <c r="AA52" s="3" t="str">
        <f>IF(C_Ope_006[[#This Row],[fecha]]&gt;0,TEXT(C_Ope_006[[#This Row],[fecha]],"mmmm"),0)</f>
        <v>Marzo</v>
      </c>
      <c r="AB52" s="49"/>
    </row>
    <row r="53" spans="1:28" x14ac:dyDescent="0.3">
      <c r="A53" s="2">
        <f>IF(C_Ope_006[[#This Row],[tipo_r]]="R",COUNTIFS($C$1:$C52,"R")+1,"")</f>
        <v>52</v>
      </c>
      <c r="B53" s="19" t="str">
        <f t="shared" si="6"/>
        <v>C_Ope_006</v>
      </c>
      <c r="C53" s="3" t="s">
        <v>1330</v>
      </c>
      <c r="D53" s="14">
        <v>45737</v>
      </c>
      <c r="E53" s="5" t="s">
        <v>8786</v>
      </c>
      <c r="F53" s="5" t="s">
        <v>1336</v>
      </c>
      <c r="G53" s="6"/>
      <c r="H53" s="6" t="s">
        <v>126</v>
      </c>
      <c r="I53" s="6"/>
      <c r="J53" s="6"/>
      <c r="K53" s="7" t="s">
        <v>8814</v>
      </c>
      <c r="L53" s="8">
        <v>23541</v>
      </c>
      <c r="M53" s="8" t="str">
        <f t="shared" si="7"/>
        <v>PEN</v>
      </c>
      <c r="N53" s="13"/>
      <c r="O53" s="13">
        <v>36</v>
      </c>
      <c r="P53" s="3">
        <f t="shared" si="1"/>
        <v>0</v>
      </c>
      <c r="Q53" s="3">
        <f t="shared" si="2"/>
        <v>36</v>
      </c>
      <c r="R53" s="3">
        <f t="shared" si="3"/>
        <v>68.199999999999818</v>
      </c>
      <c r="S53" s="24" t="s">
        <v>1334</v>
      </c>
      <c r="T53" s="24" t="s">
        <v>1334</v>
      </c>
      <c r="U53" s="3"/>
      <c r="V53" s="25" t="s">
        <v>7842</v>
      </c>
      <c r="W53" s="25"/>
      <c r="X53" s="25" t="str">
        <f>IFERROR(VLOOKUP(C_Ope_006[[#This Row],[nota_2]],Clientes_Proveedores[[Ruc / Dni]:[Razon Social]],2,0),"")</f>
        <v/>
      </c>
      <c r="Y53" s="25"/>
      <c r="Z53" s="17"/>
      <c r="AA53" s="3" t="str">
        <f>IF(C_Ope_006[[#This Row],[fecha]]&gt;0,TEXT(C_Ope_006[[#This Row],[fecha]],"mmmm"),0)</f>
        <v>Marzo</v>
      </c>
      <c r="AB53" s="49"/>
    </row>
    <row r="54" spans="1:28" ht="24" x14ac:dyDescent="0.3">
      <c r="A54" s="2">
        <f>IF(C_Ope_006[[#This Row],[tipo_r]]="R",COUNTIFS($C$1:$C53,"R")+1,"")</f>
        <v>53</v>
      </c>
      <c r="B54" s="19" t="str">
        <f t="shared" si="6"/>
        <v>C_Ope_006</v>
      </c>
      <c r="C54" s="3" t="s">
        <v>1330</v>
      </c>
      <c r="D54" s="14">
        <v>45737</v>
      </c>
      <c r="E54" s="5" t="s">
        <v>8786</v>
      </c>
      <c r="F54" s="5" t="s">
        <v>1336</v>
      </c>
      <c r="G54" s="6" t="s">
        <v>1187</v>
      </c>
      <c r="H54" s="6" t="s">
        <v>75</v>
      </c>
      <c r="I54" s="6">
        <v>1</v>
      </c>
      <c r="J54" s="6">
        <v>1112</v>
      </c>
      <c r="K54" s="7" t="s">
        <v>8817</v>
      </c>
      <c r="L54" s="8">
        <v>23550</v>
      </c>
      <c r="M54" s="8" t="str">
        <f t="shared" si="7"/>
        <v>PEN</v>
      </c>
      <c r="N54" s="13"/>
      <c r="O54" s="13">
        <v>45</v>
      </c>
      <c r="P54" s="3">
        <f t="shared" si="1"/>
        <v>0</v>
      </c>
      <c r="Q54" s="3">
        <f t="shared" si="2"/>
        <v>45</v>
      </c>
      <c r="R54" s="3">
        <f t="shared" si="3"/>
        <v>23.199999999999818</v>
      </c>
      <c r="S54" s="24" t="s">
        <v>1334</v>
      </c>
      <c r="T54" s="24" t="s">
        <v>1334</v>
      </c>
      <c r="U54" s="3"/>
      <c r="V54" s="25" t="s">
        <v>7842</v>
      </c>
      <c r="W54" s="25">
        <v>10727390915</v>
      </c>
      <c r="X54" s="25" t="str">
        <f>IFERROR(VLOOKUP(C_Ope_006[[#This Row],[nota_2]],Clientes_Proveedores[[Ruc / Dni]:[Razon Social]],2,0),"")</f>
        <v>RODRIGUEZ QUISPE JOSELYN YANETH</v>
      </c>
      <c r="Y54" s="25"/>
      <c r="Z54" s="17"/>
      <c r="AA54" s="3" t="str">
        <f>IF(C_Ope_006[[#This Row],[fecha]]&gt;0,TEXT(C_Ope_006[[#This Row],[fecha]],"mmmm"),0)</f>
        <v>Marzo</v>
      </c>
      <c r="AB54" s="49"/>
    </row>
    <row r="55" spans="1:28" ht="24" x14ac:dyDescent="0.3">
      <c r="A55" s="2">
        <f>IF(C_Ope_006[[#This Row],[tipo_r]]="R",COUNTIFS($C$1:$C54,"R")+1,"")</f>
        <v>54</v>
      </c>
      <c r="B55" s="19" t="str">
        <f t="shared" si="6"/>
        <v>C_Ope_006</v>
      </c>
      <c r="C55" s="3" t="s">
        <v>1330</v>
      </c>
      <c r="D55" s="14">
        <v>45740</v>
      </c>
      <c r="E55" s="5" t="s">
        <v>7514</v>
      </c>
      <c r="F55" s="5" t="s">
        <v>1303</v>
      </c>
      <c r="G55" s="6" t="s">
        <v>1019</v>
      </c>
      <c r="H55" s="6"/>
      <c r="I55" s="6"/>
      <c r="J55" s="6"/>
      <c r="K55" s="7" t="s">
        <v>8475</v>
      </c>
      <c r="L55" s="8">
        <v>23575</v>
      </c>
      <c r="M55" s="8" t="str">
        <f t="shared" si="7"/>
        <v>PEN</v>
      </c>
      <c r="N55" s="13"/>
      <c r="O55" s="13">
        <v>220</v>
      </c>
      <c r="P55" s="3">
        <f t="shared" si="1"/>
        <v>220</v>
      </c>
      <c r="Q55" s="3">
        <f t="shared" si="2"/>
        <v>0</v>
      </c>
      <c r="R55" s="3">
        <f t="shared" si="3"/>
        <v>243.19999999999982</v>
      </c>
      <c r="S55" s="24" t="s">
        <v>1334</v>
      </c>
      <c r="T55" s="24" t="s">
        <v>1334</v>
      </c>
      <c r="U55" s="3"/>
      <c r="V55" s="25"/>
      <c r="W55" s="25"/>
      <c r="X55" s="25" t="str">
        <f>IFERROR(VLOOKUP(C_Ope_006[[#This Row],[nota_2]],Clientes_Proveedores[[Ruc / Dni]:[Razon Social]],2,0),"")</f>
        <v/>
      </c>
      <c r="Y55" s="25"/>
      <c r="Z55" s="17">
        <f>ROUND(C_Ope_006[[#This Row],[monto]]/1.18,3)</f>
        <v>186.441</v>
      </c>
      <c r="AA55" s="3" t="str">
        <f>IF(C_Ope_006[[#This Row],[fecha]]&gt;0,TEXT(C_Ope_006[[#This Row],[fecha]],"mmmm"),0)</f>
        <v>Marzo</v>
      </c>
      <c r="AB55" s="49"/>
    </row>
    <row r="56" spans="1:28" ht="24" x14ac:dyDescent="0.3">
      <c r="A56" s="2">
        <f>IF(C_Ope_006[[#This Row],[tipo_r]]="R",COUNTIFS($C$1:$C55,"R")+1,"")</f>
        <v>55</v>
      </c>
      <c r="B56" s="19" t="str">
        <f t="shared" si="6"/>
        <v>C_Ope_006</v>
      </c>
      <c r="C56" s="3" t="s">
        <v>1330</v>
      </c>
      <c r="D56" s="14">
        <v>45740</v>
      </c>
      <c r="E56" s="5" t="s">
        <v>8786</v>
      </c>
      <c r="F56" s="5" t="s">
        <v>1336</v>
      </c>
      <c r="G56" s="6" t="s">
        <v>978</v>
      </c>
      <c r="H56" s="6" t="s">
        <v>68</v>
      </c>
      <c r="I56" s="6" t="s">
        <v>5688</v>
      </c>
      <c r="J56" s="6">
        <v>2275687</v>
      </c>
      <c r="K56" s="7" t="s">
        <v>8065</v>
      </c>
      <c r="L56" s="8">
        <v>23561</v>
      </c>
      <c r="M56" s="8" t="str">
        <f t="shared" si="7"/>
        <v>PEN</v>
      </c>
      <c r="N56" s="13"/>
      <c r="O56" s="13">
        <v>12</v>
      </c>
      <c r="P56" s="3">
        <f t="shared" si="1"/>
        <v>0</v>
      </c>
      <c r="Q56" s="3">
        <f t="shared" si="2"/>
        <v>12</v>
      </c>
      <c r="R56" s="3">
        <f t="shared" si="3"/>
        <v>231.19999999999982</v>
      </c>
      <c r="S56" s="24" t="s">
        <v>1334</v>
      </c>
      <c r="T56" s="24" t="s">
        <v>1334</v>
      </c>
      <c r="U56" s="3"/>
      <c r="V56" s="25" t="s">
        <v>8006</v>
      </c>
      <c r="W56" s="25">
        <v>20517252558</v>
      </c>
      <c r="X56" s="25" t="str">
        <f>IFERROR(VLOOKUP(C_Ope_006[[#This Row],[nota_2]],Clientes_Proveedores[[Ruc / Dni]:[Razon Social]],2,0),"")</f>
        <v>COVISUR S.A.</v>
      </c>
      <c r="Y56" s="25"/>
      <c r="Z56" s="17"/>
      <c r="AA56" s="3" t="str">
        <f>IF(C_Ope_006[[#This Row],[fecha]]&gt;0,TEXT(C_Ope_006[[#This Row],[fecha]],"mmmm"),0)</f>
        <v>Marzo</v>
      </c>
      <c r="AB56" s="49"/>
    </row>
    <row r="57" spans="1:28" ht="24" x14ac:dyDescent="0.3">
      <c r="A57" s="2">
        <f>IF(C_Ope_006[[#This Row],[tipo_r]]="R",COUNTIFS($C$1:$C56,"R")+1,"")</f>
        <v>56</v>
      </c>
      <c r="B57" s="19" t="str">
        <f t="shared" si="6"/>
        <v>C_Ope_006</v>
      </c>
      <c r="C57" s="3" t="s">
        <v>1330</v>
      </c>
      <c r="D57" s="14">
        <v>45740</v>
      </c>
      <c r="E57" s="5" t="s">
        <v>8786</v>
      </c>
      <c r="F57" s="5" t="s">
        <v>1336</v>
      </c>
      <c r="G57" s="6" t="s">
        <v>978</v>
      </c>
      <c r="H57" s="6" t="s">
        <v>68</v>
      </c>
      <c r="I57" s="6" t="s">
        <v>5845</v>
      </c>
      <c r="J57" s="6">
        <v>1707471</v>
      </c>
      <c r="K57" s="7" t="s">
        <v>8065</v>
      </c>
      <c r="L57" s="8">
        <v>23579</v>
      </c>
      <c r="M57" s="8" t="str">
        <f t="shared" si="7"/>
        <v>PEN</v>
      </c>
      <c r="N57" s="13"/>
      <c r="O57" s="13">
        <v>12</v>
      </c>
      <c r="P57" s="3">
        <f t="shared" si="1"/>
        <v>0</v>
      </c>
      <c r="Q57" s="3">
        <f t="shared" si="2"/>
        <v>12</v>
      </c>
      <c r="R57" s="3">
        <f t="shared" si="3"/>
        <v>219.19999999999982</v>
      </c>
      <c r="S57" s="24" t="s">
        <v>1334</v>
      </c>
      <c r="T57" s="24" t="s">
        <v>1334</v>
      </c>
      <c r="U57" s="3"/>
      <c r="V57" s="25" t="s">
        <v>8006</v>
      </c>
      <c r="W57" s="25">
        <v>20517252558</v>
      </c>
      <c r="X57" s="25" t="str">
        <f>IFERROR(VLOOKUP(C_Ope_006[[#This Row],[nota_2]],Clientes_Proveedores[[Ruc / Dni]:[Razon Social]],2,0),"")</f>
        <v>COVISUR S.A.</v>
      </c>
      <c r="Y57" s="25"/>
      <c r="Z57" s="17"/>
      <c r="AA57" s="3" t="str">
        <f>IF(C_Ope_006[[#This Row],[fecha]]&gt;0,TEXT(C_Ope_006[[#This Row],[fecha]],"mmmm"),0)</f>
        <v>Marzo</v>
      </c>
      <c r="AB57" s="49"/>
    </row>
    <row r="58" spans="1:28" ht="24" x14ac:dyDescent="0.3">
      <c r="A58" s="2">
        <f>IF(C_Ope_006[[#This Row],[tipo_r]]="R",COUNTIFS($C$1:$C57,"R")+1,"")</f>
        <v>57</v>
      </c>
      <c r="B58" s="19" t="str">
        <f t="shared" si="6"/>
        <v>C_Ope_006</v>
      </c>
      <c r="C58" s="3" t="s">
        <v>1330</v>
      </c>
      <c r="D58" s="14">
        <v>45742</v>
      </c>
      <c r="E58" s="5" t="s">
        <v>8786</v>
      </c>
      <c r="F58" s="5" t="s">
        <v>1336</v>
      </c>
      <c r="G58" s="6" t="s">
        <v>978</v>
      </c>
      <c r="H58" s="6" t="s">
        <v>68</v>
      </c>
      <c r="I58" s="6" t="s">
        <v>6204</v>
      </c>
      <c r="J58" s="6">
        <v>1689693</v>
      </c>
      <c r="K58" s="7" t="s">
        <v>7819</v>
      </c>
      <c r="L58" s="8">
        <v>23604</v>
      </c>
      <c r="M58" s="8" t="str">
        <f t="shared" si="7"/>
        <v>PEN</v>
      </c>
      <c r="N58" s="13"/>
      <c r="O58" s="13">
        <v>12</v>
      </c>
      <c r="P58" s="3">
        <f t="shared" si="1"/>
        <v>0</v>
      </c>
      <c r="Q58" s="3">
        <f t="shared" si="2"/>
        <v>12</v>
      </c>
      <c r="R58" s="3">
        <f t="shared" si="3"/>
        <v>207.19999999999982</v>
      </c>
      <c r="S58" s="24" t="s">
        <v>1334</v>
      </c>
      <c r="T58" s="24" t="s">
        <v>1334</v>
      </c>
      <c r="U58" s="3"/>
      <c r="V58" s="25" t="s">
        <v>8006</v>
      </c>
      <c r="W58" s="25">
        <v>20517252558</v>
      </c>
      <c r="X58" s="25" t="str">
        <f>IFERROR(VLOOKUP(C_Ope_006[[#This Row],[nota_2]],Clientes_Proveedores[[Ruc / Dni]:[Razon Social]],2,0),"")</f>
        <v>COVISUR S.A.</v>
      </c>
      <c r="Y58" s="25"/>
      <c r="Z58" s="17"/>
      <c r="AA58" s="3" t="str">
        <f>IF(C_Ope_006[[#This Row],[fecha]]&gt;0,TEXT(C_Ope_006[[#This Row],[fecha]],"mmmm"),0)</f>
        <v>Marzo</v>
      </c>
      <c r="AB58" s="49"/>
    </row>
    <row r="59" spans="1:28" ht="24" x14ac:dyDescent="0.3">
      <c r="A59" s="2">
        <f>IF(C_Ope_006[[#This Row],[tipo_r]]="R",COUNTIFS($C$1:$C58,"R")+1,"")</f>
        <v>58</v>
      </c>
      <c r="B59" s="19" t="str">
        <f t="shared" si="6"/>
        <v>C_Ope_006</v>
      </c>
      <c r="C59" s="3" t="s">
        <v>1330</v>
      </c>
      <c r="D59" s="14">
        <v>45742</v>
      </c>
      <c r="E59" s="5" t="s">
        <v>8786</v>
      </c>
      <c r="F59" s="5" t="s">
        <v>1336</v>
      </c>
      <c r="G59" s="6" t="s">
        <v>978</v>
      </c>
      <c r="H59" s="6" t="s">
        <v>68</v>
      </c>
      <c r="I59" s="6" t="s">
        <v>6203</v>
      </c>
      <c r="J59" s="6">
        <v>2002184</v>
      </c>
      <c r="K59" s="7" t="s">
        <v>7819</v>
      </c>
      <c r="L59" s="8">
        <v>23605</v>
      </c>
      <c r="M59" s="8" t="str">
        <f t="shared" si="7"/>
        <v>PEN</v>
      </c>
      <c r="N59" s="13"/>
      <c r="O59" s="13">
        <v>12</v>
      </c>
      <c r="P59" s="3">
        <f t="shared" si="1"/>
        <v>0</v>
      </c>
      <c r="Q59" s="3">
        <f t="shared" si="2"/>
        <v>12</v>
      </c>
      <c r="R59" s="3">
        <f t="shared" si="3"/>
        <v>195.19999999999982</v>
      </c>
      <c r="S59" s="24" t="s">
        <v>1334</v>
      </c>
      <c r="T59" s="24" t="s">
        <v>1334</v>
      </c>
      <c r="U59" s="3"/>
      <c r="V59" s="25" t="s">
        <v>8006</v>
      </c>
      <c r="W59" s="25">
        <v>20517252558</v>
      </c>
      <c r="X59" s="25" t="str">
        <f>IFERROR(VLOOKUP(C_Ope_006[[#This Row],[nota_2]],Clientes_Proveedores[[Ruc / Dni]:[Razon Social]],2,0),"")</f>
        <v>COVISUR S.A.</v>
      </c>
      <c r="Y59" s="25"/>
      <c r="Z59" s="17"/>
      <c r="AA59" s="3" t="str">
        <f>IF(C_Ope_006[[#This Row],[fecha]]&gt;0,TEXT(C_Ope_006[[#This Row],[fecha]],"mmmm"),0)</f>
        <v>Marzo</v>
      </c>
      <c r="AB59" s="49"/>
    </row>
    <row r="60" spans="1:28" ht="24" x14ac:dyDescent="0.3">
      <c r="A60" s="2">
        <f>IF(C_Ope_006[[#This Row],[tipo_r]]="R",COUNTIFS($C$1:$C59,"R")+1,"")</f>
        <v>59</v>
      </c>
      <c r="B60" s="19" t="str">
        <f t="shared" si="6"/>
        <v>C_Ope_006</v>
      </c>
      <c r="C60" s="3" t="s">
        <v>1330</v>
      </c>
      <c r="D60" s="14">
        <v>45744</v>
      </c>
      <c r="E60" s="5" t="s">
        <v>8786</v>
      </c>
      <c r="F60" s="5" t="s">
        <v>1336</v>
      </c>
      <c r="G60" s="6" t="s">
        <v>978</v>
      </c>
      <c r="H60" s="6" t="s">
        <v>68</v>
      </c>
      <c r="I60" s="6" t="s">
        <v>5688</v>
      </c>
      <c r="J60" s="6">
        <v>2280617</v>
      </c>
      <c r="K60" s="7" t="s">
        <v>8818</v>
      </c>
      <c r="L60" s="8">
        <v>23617</v>
      </c>
      <c r="M60" s="8" t="str">
        <f t="shared" si="7"/>
        <v>PEN</v>
      </c>
      <c r="N60" s="13"/>
      <c r="O60" s="13">
        <v>12</v>
      </c>
      <c r="P60" s="3">
        <f t="shared" si="1"/>
        <v>0</v>
      </c>
      <c r="Q60" s="3">
        <f t="shared" si="2"/>
        <v>12</v>
      </c>
      <c r="R60" s="3">
        <f t="shared" si="3"/>
        <v>183.19999999999982</v>
      </c>
      <c r="S60" s="24" t="s">
        <v>1334</v>
      </c>
      <c r="T60" s="24" t="s">
        <v>1334</v>
      </c>
      <c r="U60" s="3"/>
      <c r="V60" s="25" t="s">
        <v>8006</v>
      </c>
      <c r="W60" s="25">
        <v>20517252558</v>
      </c>
      <c r="X60" s="25" t="str">
        <f>IFERROR(VLOOKUP(C_Ope_006[[#This Row],[nota_2]],Clientes_Proveedores[[Ruc / Dni]:[Razon Social]],2,0),"")</f>
        <v>COVISUR S.A.</v>
      </c>
      <c r="Y60" s="25"/>
      <c r="Z60" s="17"/>
      <c r="AA60" s="3" t="str">
        <f>IF(C_Ope_006[[#This Row],[fecha]]&gt;0,TEXT(C_Ope_006[[#This Row],[fecha]],"mmmm"),0)</f>
        <v>Marzo</v>
      </c>
      <c r="AB60" s="49"/>
    </row>
    <row r="61" spans="1:28" ht="24" x14ac:dyDescent="0.3">
      <c r="A61" s="2">
        <f>IF(C_Ope_006[[#This Row],[tipo_r]]="R",COUNTIFS($C$1:$C60,"R")+1,"")</f>
        <v>60</v>
      </c>
      <c r="B61" s="19" t="str">
        <f t="shared" si="6"/>
        <v>C_Ope_006</v>
      </c>
      <c r="C61" s="3" t="s">
        <v>1330</v>
      </c>
      <c r="D61" s="14">
        <v>45744</v>
      </c>
      <c r="E61" s="5" t="s">
        <v>8786</v>
      </c>
      <c r="F61" s="5" t="s">
        <v>1336</v>
      </c>
      <c r="G61" s="6" t="s">
        <v>978</v>
      </c>
      <c r="H61" s="6" t="s">
        <v>68</v>
      </c>
      <c r="I61" s="6" t="s">
        <v>5845</v>
      </c>
      <c r="J61" s="6">
        <v>1710907</v>
      </c>
      <c r="K61" s="7" t="s">
        <v>8818</v>
      </c>
      <c r="L61" s="8">
        <v>23618</v>
      </c>
      <c r="M61" s="8" t="str">
        <f t="shared" si="7"/>
        <v>PEN</v>
      </c>
      <c r="N61" s="13"/>
      <c r="O61" s="13">
        <v>12</v>
      </c>
      <c r="P61" s="3">
        <f t="shared" si="1"/>
        <v>0</v>
      </c>
      <c r="Q61" s="3">
        <f t="shared" si="2"/>
        <v>12</v>
      </c>
      <c r="R61" s="3">
        <f t="shared" si="3"/>
        <v>171.19999999999982</v>
      </c>
      <c r="S61" s="24" t="s">
        <v>1334</v>
      </c>
      <c r="T61" s="24" t="s">
        <v>1334</v>
      </c>
      <c r="U61" s="3"/>
      <c r="V61" s="25" t="s">
        <v>8006</v>
      </c>
      <c r="W61" s="25">
        <v>20517252558</v>
      </c>
      <c r="X61" s="25" t="str">
        <f>IFERROR(VLOOKUP(C_Ope_006[[#This Row],[nota_2]],Clientes_Proveedores[[Ruc / Dni]:[Razon Social]],2,0),"")</f>
        <v>COVISUR S.A.</v>
      </c>
      <c r="Y61" s="25"/>
      <c r="Z61" s="17"/>
      <c r="AA61" s="3" t="str">
        <f>IF(C_Ope_006[[#This Row],[fecha]]&gt;0,TEXT(C_Ope_006[[#This Row],[fecha]],"mmmm"),0)</f>
        <v>Marzo</v>
      </c>
      <c r="AB61" s="49"/>
    </row>
    <row r="62" spans="1:28" ht="24" x14ac:dyDescent="0.3">
      <c r="A62" s="2">
        <f>IF(C_Ope_006[[#This Row],[tipo_r]]="R",COUNTIFS($C$1:$C61,"R")+1,"")</f>
        <v>61</v>
      </c>
      <c r="B62" s="19" t="str">
        <f t="shared" si="6"/>
        <v>C_Ope_006</v>
      </c>
      <c r="C62" s="3" t="s">
        <v>1330</v>
      </c>
      <c r="D62" s="14">
        <v>45744</v>
      </c>
      <c r="E62" s="5" t="s">
        <v>8786</v>
      </c>
      <c r="F62" s="5" t="s">
        <v>1336</v>
      </c>
      <c r="G62" s="6" t="s">
        <v>978</v>
      </c>
      <c r="H62" s="6" t="s">
        <v>68</v>
      </c>
      <c r="I62" s="6" t="s">
        <v>6204</v>
      </c>
      <c r="J62" s="6">
        <v>1691673</v>
      </c>
      <c r="K62" s="7" t="s">
        <v>8819</v>
      </c>
      <c r="L62" s="8">
        <v>23619</v>
      </c>
      <c r="M62" s="8" t="str">
        <f t="shared" si="7"/>
        <v>PEN</v>
      </c>
      <c r="N62" s="13"/>
      <c r="O62" s="13">
        <v>12</v>
      </c>
      <c r="P62" s="3">
        <f t="shared" si="1"/>
        <v>0</v>
      </c>
      <c r="Q62" s="3">
        <f t="shared" si="2"/>
        <v>12</v>
      </c>
      <c r="R62" s="3">
        <f t="shared" si="3"/>
        <v>159.19999999999982</v>
      </c>
      <c r="S62" s="24" t="s">
        <v>1334</v>
      </c>
      <c r="T62" s="24" t="s">
        <v>1334</v>
      </c>
      <c r="U62" s="3"/>
      <c r="V62" s="25" t="s">
        <v>8006</v>
      </c>
      <c r="W62" s="25">
        <v>20517252558</v>
      </c>
      <c r="X62" s="25" t="str">
        <f>IFERROR(VLOOKUP(C_Ope_006[[#This Row],[nota_2]],Clientes_Proveedores[[Ruc / Dni]:[Razon Social]],2,0),"")</f>
        <v>COVISUR S.A.</v>
      </c>
      <c r="Y62" s="25"/>
      <c r="Z62" s="17"/>
      <c r="AA62" s="3" t="str">
        <f>IF(C_Ope_006[[#This Row],[fecha]]&gt;0,TEXT(C_Ope_006[[#This Row],[fecha]],"mmmm"),0)</f>
        <v>Marzo</v>
      </c>
      <c r="AB62" s="49"/>
    </row>
    <row r="63" spans="1:28" ht="24" x14ac:dyDescent="0.3">
      <c r="A63" s="2">
        <f>IF(C_Ope_006[[#This Row],[tipo_r]]="R",COUNTIFS($C$1:$C62,"R")+1,"")</f>
        <v>62</v>
      </c>
      <c r="B63" s="19" t="str">
        <f t="shared" si="6"/>
        <v>C_Ope_006</v>
      </c>
      <c r="C63" s="3" t="s">
        <v>1330</v>
      </c>
      <c r="D63" s="14">
        <v>45744</v>
      </c>
      <c r="E63" s="5" t="s">
        <v>8786</v>
      </c>
      <c r="F63" s="5" t="s">
        <v>1336</v>
      </c>
      <c r="G63" s="6" t="s">
        <v>978</v>
      </c>
      <c r="H63" s="6" t="s">
        <v>68</v>
      </c>
      <c r="I63" s="6" t="s">
        <v>5845</v>
      </c>
      <c r="J63" s="6">
        <v>1711238</v>
      </c>
      <c r="K63" s="7" t="s">
        <v>8819</v>
      </c>
      <c r="L63" s="8">
        <v>23648</v>
      </c>
      <c r="M63" s="8" t="str">
        <f t="shared" si="7"/>
        <v>PEN</v>
      </c>
      <c r="N63" s="13"/>
      <c r="O63" s="13">
        <v>12</v>
      </c>
      <c r="P63" s="3">
        <f t="shared" si="1"/>
        <v>0</v>
      </c>
      <c r="Q63" s="3">
        <f t="shared" si="2"/>
        <v>12</v>
      </c>
      <c r="R63" s="3">
        <f t="shared" si="3"/>
        <v>147.19999999999982</v>
      </c>
      <c r="S63" s="24" t="s">
        <v>1334</v>
      </c>
      <c r="T63" s="24" t="s">
        <v>1334</v>
      </c>
      <c r="U63" s="3"/>
      <c r="V63" s="25" t="s">
        <v>8006</v>
      </c>
      <c r="W63" s="25">
        <v>20517252558</v>
      </c>
      <c r="X63" s="25" t="str">
        <f>IFERROR(VLOOKUP(C_Ope_006[[#This Row],[nota_2]],Clientes_Proveedores[[Ruc / Dni]:[Razon Social]],2,0),"")</f>
        <v>COVISUR S.A.</v>
      </c>
      <c r="Y63" s="25"/>
      <c r="Z63" s="17"/>
      <c r="AA63" s="3" t="str">
        <f>IF(C_Ope_006[[#This Row],[fecha]]&gt;0,TEXT(C_Ope_006[[#This Row],[fecha]],"mmmm"),0)</f>
        <v>Marzo</v>
      </c>
      <c r="AB63" s="49"/>
    </row>
    <row r="64" spans="1:28" ht="24" x14ac:dyDescent="0.3">
      <c r="A64" s="2">
        <f>IF(C_Ope_006[[#This Row],[tipo_r]]="R",COUNTIFS($C$1:$C63,"R")+1,"")</f>
        <v>63</v>
      </c>
      <c r="B64" s="19" t="str">
        <f t="shared" si="6"/>
        <v>C_Ope_006</v>
      </c>
      <c r="C64" s="3" t="s">
        <v>1330</v>
      </c>
      <c r="D64" s="14">
        <v>45747</v>
      </c>
      <c r="E64" s="5" t="s">
        <v>8786</v>
      </c>
      <c r="F64" s="5" t="s">
        <v>1336</v>
      </c>
      <c r="G64" s="6" t="s">
        <v>978</v>
      </c>
      <c r="H64" s="6" t="s">
        <v>68</v>
      </c>
      <c r="I64" s="6" t="s">
        <v>5688</v>
      </c>
      <c r="J64" s="6">
        <v>2283495</v>
      </c>
      <c r="K64" s="7" t="s">
        <v>8065</v>
      </c>
      <c r="L64" s="8">
        <v>23690</v>
      </c>
      <c r="M64" s="8" t="str">
        <f t="shared" si="7"/>
        <v>PEN</v>
      </c>
      <c r="N64" s="13"/>
      <c r="O64" s="13">
        <v>12</v>
      </c>
      <c r="P64" s="3">
        <f t="shared" si="1"/>
        <v>0</v>
      </c>
      <c r="Q64" s="3">
        <f t="shared" si="2"/>
        <v>12</v>
      </c>
      <c r="R64" s="3">
        <f t="shared" si="3"/>
        <v>135.19999999999982</v>
      </c>
      <c r="S64" s="24" t="s">
        <v>1334</v>
      </c>
      <c r="T64" s="24" t="s">
        <v>1334</v>
      </c>
      <c r="U64" s="3"/>
      <c r="V64" s="25" t="s">
        <v>8006</v>
      </c>
      <c r="W64" s="25">
        <v>20517252558</v>
      </c>
      <c r="X64" s="25" t="str">
        <f>IFERROR(VLOOKUP(C_Ope_006[[#This Row],[nota_2]],Clientes_Proveedores[[Ruc / Dni]:[Razon Social]],2,0),"")</f>
        <v>COVISUR S.A.</v>
      </c>
      <c r="Y64" s="25"/>
      <c r="Z64" s="17"/>
      <c r="AA64" s="3" t="str">
        <f>IF(C_Ope_006[[#This Row],[fecha]]&gt;0,TEXT(C_Ope_006[[#This Row],[fecha]],"mmmm"),0)</f>
        <v>Marzo</v>
      </c>
      <c r="AB64" s="49"/>
    </row>
    <row r="65" spans="1:28" ht="24" x14ac:dyDescent="0.3">
      <c r="A65" s="2">
        <f>IF(C_Ope_006[[#This Row],[tipo_r]]="R",COUNTIFS($C$1:$C64,"R")+1,"")</f>
        <v>64</v>
      </c>
      <c r="B65" s="19" t="str">
        <f t="shared" si="6"/>
        <v>C_Ope_006</v>
      </c>
      <c r="C65" s="3" t="s">
        <v>1330</v>
      </c>
      <c r="D65" s="14">
        <v>45747</v>
      </c>
      <c r="E65" s="5" t="s">
        <v>8786</v>
      </c>
      <c r="F65" s="5" t="s">
        <v>1336</v>
      </c>
      <c r="G65" s="6" t="s">
        <v>978</v>
      </c>
      <c r="H65" s="6" t="s">
        <v>68</v>
      </c>
      <c r="I65" s="6" t="s">
        <v>5845</v>
      </c>
      <c r="J65" s="6">
        <v>1713762</v>
      </c>
      <c r="K65" s="7" t="s">
        <v>8065</v>
      </c>
      <c r="L65" s="8">
        <v>23691</v>
      </c>
      <c r="M65" s="8" t="str">
        <f t="shared" si="7"/>
        <v>PEN</v>
      </c>
      <c r="N65" s="13"/>
      <c r="O65" s="13">
        <v>12</v>
      </c>
      <c r="P65" s="3">
        <f t="shared" si="1"/>
        <v>0</v>
      </c>
      <c r="Q65" s="3">
        <f t="shared" si="2"/>
        <v>12</v>
      </c>
      <c r="R65" s="3">
        <f t="shared" si="3"/>
        <v>123.19999999999982</v>
      </c>
      <c r="S65" s="24" t="s">
        <v>1334</v>
      </c>
      <c r="T65" s="24" t="s">
        <v>1334</v>
      </c>
      <c r="U65" s="3"/>
      <c r="V65" s="25" t="s">
        <v>8006</v>
      </c>
      <c r="W65" s="25">
        <v>20517252558</v>
      </c>
      <c r="X65" s="25" t="str">
        <f>IFERROR(VLOOKUP(C_Ope_006[[#This Row],[nota_2]],Clientes_Proveedores[[Ruc / Dni]:[Razon Social]],2,0),"")</f>
        <v>COVISUR S.A.</v>
      </c>
      <c r="Y65" s="25"/>
      <c r="Z65" s="17"/>
      <c r="AA65" s="3" t="str">
        <f>IF(C_Ope_006[[#This Row],[fecha]]&gt;0,TEXT(C_Ope_006[[#This Row],[fecha]],"mmmm"),0)</f>
        <v>Marzo</v>
      </c>
      <c r="AB65" s="49"/>
    </row>
    <row r="66" spans="1:28" ht="24" x14ac:dyDescent="0.3">
      <c r="A66" s="2">
        <f>IF(C_Ope_006[[#This Row],[tipo_r]]="R",COUNTIFS($C$1:$C65,"R")+1,"")</f>
        <v>65</v>
      </c>
      <c r="B66" s="19" t="str">
        <f t="shared" si="6"/>
        <v>C_Ope_006</v>
      </c>
      <c r="C66" s="3" t="s">
        <v>1330</v>
      </c>
      <c r="D66" s="14">
        <v>45740</v>
      </c>
      <c r="E66" s="5" t="s">
        <v>8786</v>
      </c>
      <c r="F66" s="5" t="s">
        <v>1336</v>
      </c>
      <c r="G66" s="6" t="s">
        <v>1147</v>
      </c>
      <c r="H66" s="6" t="s">
        <v>68</v>
      </c>
      <c r="I66" s="6" t="s">
        <v>1386</v>
      </c>
      <c r="J66" s="6">
        <v>16118</v>
      </c>
      <c r="K66" s="7" t="s">
        <v>8820</v>
      </c>
      <c r="L66" s="8">
        <v>23564</v>
      </c>
      <c r="M66" s="8" t="str">
        <f t="shared" si="7"/>
        <v>PEN</v>
      </c>
      <c r="N66" s="13"/>
      <c r="O66" s="13">
        <v>12</v>
      </c>
      <c r="P66" s="3">
        <f t="shared" ref="P66:P129" si="8">+IF(OR($F66="SALDO",$F66="INGRESO"),$O66,0)</f>
        <v>0</v>
      </c>
      <c r="Q66" s="3">
        <f t="shared" ref="Q66:Q129" si="9">+IF($F66="EGRESO",$O66,0)</f>
        <v>12</v>
      </c>
      <c r="R66" s="3">
        <f t="shared" ref="R66:R129" si="10">IFERROR(IF(F66="SALDO",P66,R65+P66-Q66),0)</f>
        <v>111.19999999999982</v>
      </c>
      <c r="S66" s="24" t="s">
        <v>1334</v>
      </c>
      <c r="T66" s="24" t="s">
        <v>1334</v>
      </c>
      <c r="U66" s="3"/>
      <c r="V66" s="25" t="s">
        <v>8006</v>
      </c>
      <c r="W66" s="25">
        <v>20162554167</v>
      </c>
      <c r="X66" s="25" t="str">
        <f>IFERROR(VLOOKUP(C_Ope_006[[#This Row],[nota_2]],Clientes_Proveedores[[Ruc / Dni]:[Razon Social]],2,0),"")</f>
        <v>AUTORIDAD AUTONOMA DE MAJES</v>
      </c>
      <c r="Y66" s="25"/>
      <c r="Z66" s="17"/>
      <c r="AA66" s="3" t="str">
        <f>IF(C_Ope_006[[#This Row],[fecha]]&gt;0,TEXT(C_Ope_006[[#This Row],[fecha]],"mmmm"),0)</f>
        <v>Marzo</v>
      </c>
      <c r="AB66" s="49"/>
    </row>
    <row r="67" spans="1:28" ht="24" x14ac:dyDescent="0.3">
      <c r="A67" s="2">
        <f>IF(C_Ope_006[[#This Row],[tipo_r]]="R",COUNTIFS($C$1:$C66,"R")+1,"")</f>
        <v>66</v>
      </c>
      <c r="B67" s="19" t="str">
        <f t="shared" ref="B67:B98" si="11">"C_Ope_006"</f>
        <v>C_Ope_006</v>
      </c>
      <c r="C67" s="3" t="s">
        <v>1330</v>
      </c>
      <c r="D67" s="14">
        <v>45740</v>
      </c>
      <c r="E67" s="5" t="s">
        <v>8786</v>
      </c>
      <c r="F67" s="5" t="s">
        <v>1336</v>
      </c>
      <c r="G67" s="6" t="s">
        <v>1147</v>
      </c>
      <c r="H67" s="6" t="s">
        <v>68</v>
      </c>
      <c r="I67" s="6" t="s">
        <v>1386</v>
      </c>
      <c r="J67" s="6">
        <v>16121</v>
      </c>
      <c r="K67" s="7" t="s">
        <v>8820</v>
      </c>
      <c r="L67" s="8">
        <v>23565</v>
      </c>
      <c r="M67" s="8" t="str">
        <f t="shared" ref="M67:M98" si="12">"PEN"</f>
        <v>PEN</v>
      </c>
      <c r="N67" s="13"/>
      <c r="O67" s="13">
        <v>12</v>
      </c>
      <c r="P67" s="3">
        <f t="shared" si="8"/>
        <v>0</v>
      </c>
      <c r="Q67" s="3">
        <f t="shared" si="9"/>
        <v>12</v>
      </c>
      <c r="R67" s="3">
        <f t="shared" si="10"/>
        <v>99.199999999999818</v>
      </c>
      <c r="S67" s="24" t="s">
        <v>1334</v>
      </c>
      <c r="T67" s="24" t="s">
        <v>1334</v>
      </c>
      <c r="U67" s="3"/>
      <c r="V67" s="25" t="s">
        <v>8006</v>
      </c>
      <c r="W67" s="25">
        <v>20162554167</v>
      </c>
      <c r="X67" s="25" t="str">
        <f>IFERROR(VLOOKUP(C_Ope_006[[#This Row],[nota_2]],Clientes_Proveedores[[Ruc / Dni]:[Razon Social]],2,0),"")</f>
        <v>AUTORIDAD AUTONOMA DE MAJES</v>
      </c>
      <c r="Y67" s="25"/>
      <c r="Z67" s="17"/>
      <c r="AA67" s="3" t="str">
        <f>IF(C_Ope_006[[#This Row],[fecha]]&gt;0,TEXT(C_Ope_006[[#This Row],[fecha]],"mmmm"),0)</f>
        <v>Marzo</v>
      </c>
      <c r="AB67" s="49"/>
    </row>
    <row r="68" spans="1:28" ht="36" x14ac:dyDescent="0.3">
      <c r="A68" s="2">
        <f>IF(C_Ope_006[[#This Row],[tipo_r]]="R",COUNTIFS($C$1:$C67,"R")+1,"")</f>
        <v>67</v>
      </c>
      <c r="B68" s="19" t="str">
        <f t="shared" si="11"/>
        <v>C_Ope_006</v>
      </c>
      <c r="C68" s="3" t="s">
        <v>1330</v>
      </c>
      <c r="D68" s="14">
        <v>45741</v>
      </c>
      <c r="E68" s="5" t="s">
        <v>8786</v>
      </c>
      <c r="F68" s="5" t="s">
        <v>1336</v>
      </c>
      <c r="G68" s="6" t="s">
        <v>227</v>
      </c>
      <c r="H68" s="6" t="s">
        <v>68</v>
      </c>
      <c r="I68" s="6" t="s">
        <v>1390</v>
      </c>
      <c r="J68" s="6">
        <v>129718</v>
      </c>
      <c r="K68" s="7" t="s">
        <v>8821</v>
      </c>
      <c r="L68" s="8">
        <v>23581</v>
      </c>
      <c r="M68" s="8" t="str">
        <f t="shared" si="12"/>
        <v>PEN</v>
      </c>
      <c r="N68" s="13"/>
      <c r="O68" s="13">
        <v>10</v>
      </c>
      <c r="P68" s="3">
        <f t="shared" si="8"/>
        <v>0</v>
      </c>
      <c r="Q68" s="3">
        <f t="shared" si="9"/>
        <v>10</v>
      </c>
      <c r="R68" s="3">
        <f t="shared" si="10"/>
        <v>89.199999999999818</v>
      </c>
      <c r="S68" s="24" t="s">
        <v>1334</v>
      </c>
      <c r="T68" s="24" t="s">
        <v>1334</v>
      </c>
      <c r="U68" s="3"/>
      <c r="V68" s="25" t="s">
        <v>8006</v>
      </c>
      <c r="W68" s="25">
        <v>20124952850</v>
      </c>
      <c r="X68" s="25" t="str">
        <f>IFERROR(VLOOKUP(C_Ope_006[[#This Row],[nota_2]],Clientes_Proveedores[[Ruc / Dni]:[Razon Social]],2,0),"")</f>
        <v>ALIMENTOS Y SERVICIOS AGROPECUARIOS SRL.</v>
      </c>
      <c r="Y68" s="25"/>
      <c r="Z68" s="17"/>
      <c r="AA68" s="3" t="str">
        <f>IF(C_Ope_006[[#This Row],[fecha]]&gt;0,TEXT(C_Ope_006[[#This Row],[fecha]],"mmmm"),0)</f>
        <v>Marzo</v>
      </c>
      <c r="AB68" s="49"/>
    </row>
    <row r="69" spans="1:28" ht="24" x14ac:dyDescent="0.3">
      <c r="A69" s="2">
        <f>IF(C_Ope_006[[#This Row],[tipo_r]]="R",COUNTIFS($C$1:$C68,"R")+1,"")</f>
        <v>68</v>
      </c>
      <c r="B69" s="19" t="str">
        <f t="shared" si="11"/>
        <v>C_Ope_006</v>
      </c>
      <c r="C69" s="3" t="s">
        <v>1330</v>
      </c>
      <c r="D69" s="14">
        <v>45747</v>
      </c>
      <c r="E69" s="5" t="s">
        <v>8786</v>
      </c>
      <c r="F69" s="5" t="s">
        <v>1336</v>
      </c>
      <c r="G69" s="6" t="s">
        <v>1147</v>
      </c>
      <c r="H69" s="6" t="s">
        <v>68</v>
      </c>
      <c r="I69" s="6" t="s">
        <v>1386</v>
      </c>
      <c r="J69" s="6">
        <v>16161</v>
      </c>
      <c r="K69" s="7" t="s">
        <v>8820</v>
      </c>
      <c r="L69" s="8">
        <v>23692</v>
      </c>
      <c r="M69" s="8" t="str">
        <f t="shared" si="12"/>
        <v>PEN</v>
      </c>
      <c r="N69" s="13"/>
      <c r="O69" s="13">
        <v>36</v>
      </c>
      <c r="P69" s="3">
        <f t="shared" si="8"/>
        <v>0</v>
      </c>
      <c r="Q69" s="3">
        <f t="shared" si="9"/>
        <v>36</v>
      </c>
      <c r="R69" s="3">
        <f t="shared" si="10"/>
        <v>53.199999999999818</v>
      </c>
      <c r="S69" s="24" t="s">
        <v>1334</v>
      </c>
      <c r="T69" s="24" t="s">
        <v>1334</v>
      </c>
      <c r="U69" s="3"/>
      <c r="V69" s="25" t="s">
        <v>8006</v>
      </c>
      <c r="W69" s="25">
        <v>20162554167</v>
      </c>
      <c r="X69" s="25" t="str">
        <f>IFERROR(VLOOKUP(C_Ope_006[[#This Row],[nota_2]],Clientes_Proveedores[[Ruc / Dni]:[Razon Social]],2,0),"")</f>
        <v>AUTORIDAD AUTONOMA DE MAJES</v>
      </c>
      <c r="Y69" s="25"/>
      <c r="Z69" s="17"/>
      <c r="AA69" s="3" t="str">
        <f>IF(C_Ope_006[[#This Row],[fecha]]&gt;0,TEXT(C_Ope_006[[#This Row],[fecha]],"mmmm"),0)</f>
        <v>Marzo</v>
      </c>
      <c r="AB69" s="49"/>
    </row>
    <row r="70" spans="1:28" ht="24" x14ac:dyDescent="0.3">
      <c r="A70" s="2">
        <f>IF(C_Ope_006[[#This Row],[tipo_r]]="R",COUNTIFS($C$1:$C69,"R")+1,"")</f>
        <v>69</v>
      </c>
      <c r="B70" s="19" t="str">
        <f t="shared" si="11"/>
        <v>C_Ope_006</v>
      </c>
      <c r="C70" s="3" t="s">
        <v>1330</v>
      </c>
      <c r="D70" s="14">
        <v>45748</v>
      </c>
      <c r="E70" s="5" t="s">
        <v>7514</v>
      </c>
      <c r="F70" s="5" t="s">
        <v>1303</v>
      </c>
      <c r="G70" s="6" t="s">
        <v>1019</v>
      </c>
      <c r="H70" s="6"/>
      <c r="I70" s="6"/>
      <c r="J70" s="6"/>
      <c r="K70" s="7" t="s">
        <v>8475</v>
      </c>
      <c r="L70" s="8">
        <v>23700</v>
      </c>
      <c r="M70" s="8" t="str">
        <f t="shared" si="12"/>
        <v>PEN</v>
      </c>
      <c r="N70" s="13"/>
      <c r="O70" s="13">
        <v>150</v>
      </c>
      <c r="P70" s="3">
        <f t="shared" si="8"/>
        <v>150</v>
      </c>
      <c r="Q70" s="3">
        <f t="shared" si="9"/>
        <v>0</v>
      </c>
      <c r="R70" s="3">
        <f t="shared" si="10"/>
        <v>203.19999999999982</v>
      </c>
      <c r="S70" s="24" t="s">
        <v>1334</v>
      </c>
      <c r="T70" s="24" t="s">
        <v>1334</v>
      </c>
      <c r="U70" s="3"/>
      <c r="V70" s="25"/>
      <c r="W70" s="25"/>
      <c r="X70" s="25" t="str">
        <f>IFERROR(VLOOKUP(C_Ope_006[[#This Row],[nota_2]],Clientes_Proveedores[[Ruc / Dni]:[Razon Social]],2,0),"")</f>
        <v/>
      </c>
      <c r="Y70" s="25"/>
      <c r="Z70" s="17">
        <f>ROUND(C_Ope_006[[#This Row],[monto]]/1.18,3)</f>
        <v>127.119</v>
      </c>
      <c r="AA70" s="3" t="str">
        <f>IF(C_Ope_006[[#This Row],[fecha]]&gt;0,TEXT(C_Ope_006[[#This Row],[fecha]],"mmmm"),0)</f>
        <v>Abril</v>
      </c>
      <c r="AB70" s="49"/>
    </row>
    <row r="71" spans="1:28" ht="24" x14ac:dyDescent="0.3">
      <c r="A71" s="2">
        <f>IF(C_Ope_006[[#This Row],[tipo_r]]="R",COUNTIFS($C$1:$C70,"R")+1,"")</f>
        <v>70</v>
      </c>
      <c r="B71" s="19" t="str">
        <f t="shared" si="11"/>
        <v>C_Ope_006</v>
      </c>
      <c r="C71" s="3" t="s">
        <v>1330</v>
      </c>
      <c r="D71" s="14">
        <v>45751</v>
      </c>
      <c r="E71" s="5" t="s">
        <v>8786</v>
      </c>
      <c r="F71" s="5" t="s">
        <v>1336</v>
      </c>
      <c r="G71" s="6" t="s">
        <v>978</v>
      </c>
      <c r="H71" s="6" t="s">
        <v>68</v>
      </c>
      <c r="I71" s="6" t="s">
        <v>5688</v>
      </c>
      <c r="J71" s="6">
        <v>2287950</v>
      </c>
      <c r="K71" s="7" t="s">
        <v>8822</v>
      </c>
      <c r="L71" s="8">
        <v>23742</v>
      </c>
      <c r="M71" s="8" t="str">
        <f t="shared" si="12"/>
        <v>PEN</v>
      </c>
      <c r="N71" s="13"/>
      <c r="O71" s="13">
        <v>12</v>
      </c>
      <c r="P71" s="3">
        <f t="shared" si="8"/>
        <v>0</v>
      </c>
      <c r="Q71" s="3">
        <f t="shared" si="9"/>
        <v>12</v>
      </c>
      <c r="R71" s="3">
        <f t="shared" si="10"/>
        <v>191.19999999999982</v>
      </c>
      <c r="S71" s="24" t="s">
        <v>1334</v>
      </c>
      <c r="T71" s="24" t="s">
        <v>1334</v>
      </c>
      <c r="U71" s="3"/>
      <c r="V71" s="25" t="s">
        <v>8006</v>
      </c>
      <c r="W71" s="25">
        <v>20517252558</v>
      </c>
      <c r="X71" s="25" t="str">
        <f>IFERROR(VLOOKUP(C_Ope_006[[#This Row],[nota_2]],Clientes_Proveedores[[Ruc / Dni]:[Razon Social]],2,0),"")</f>
        <v>COVISUR S.A.</v>
      </c>
      <c r="Y71" s="25"/>
      <c r="Z71" s="17"/>
      <c r="AA71" s="3" t="str">
        <f>IF(C_Ope_006[[#This Row],[fecha]]&gt;0,TEXT(C_Ope_006[[#This Row],[fecha]],"mmmm"),0)</f>
        <v>Abril</v>
      </c>
      <c r="AB71" s="49"/>
    </row>
    <row r="72" spans="1:28" ht="24" x14ac:dyDescent="0.3">
      <c r="A72" s="2">
        <f>IF(C_Ope_006[[#This Row],[tipo_r]]="R",COUNTIFS($C$1:$C71,"R")+1,"")</f>
        <v>71</v>
      </c>
      <c r="B72" s="19" t="str">
        <f t="shared" si="11"/>
        <v>C_Ope_006</v>
      </c>
      <c r="C72" s="3" t="s">
        <v>1330</v>
      </c>
      <c r="D72" s="14">
        <v>45751</v>
      </c>
      <c r="E72" s="5" t="s">
        <v>8786</v>
      </c>
      <c r="F72" s="5" t="s">
        <v>1336</v>
      </c>
      <c r="G72" s="6" t="s">
        <v>978</v>
      </c>
      <c r="H72" s="6" t="s">
        <v>68</v>
      </c>
      <c r="I72" s="6" t="s">
        <v>6203</v>
      </c>
      <c r="J72" s="6">
        <v>2010901</v>
      </c>
      <c r="K72" s="7" t="s">
        <v>8822</v>
      </c>
      <c r="L72" s="8">
        <v>23743</v>
      </c>
      <c r="M72" s="8" t="str">
        <f t="shared" si="12"/>
        <v>PEN</v>
      </c>
      <c r="N72" s="13"/>
      <c r="O72" s="13">
        <v>12</v>
      </c>
      <c r="P72" s="3">
        <f t="shared" si="8"/>
        <v>0</v>
      </c>
      <c r="Q72" s="3">
        <f t="shared" si="9"/>
        <v>12</v>
      </c>
      <c r="R72" s="3">
        <f t="shared" si="10"/>
        <v>179.19999999999982</v>
      </c>
      <c r="S72" s="24" t="s">
        <v>1334</v>
      </c>
      <c r="T72" s="24" t="s">
        <v>1334</v>
      </c>
      <c r="U72" s="3"/>
      <c r="V72" s="25" t="s">
        <v>8006</v>
      </c>
      <c r="W72" s="25">
        <v>20517252558</v>
      </c>
      <c r="X72" s="25" t="str">
        <f>IFERROR(VLOOKUP(C_Ope_006[[#This Row],[nota_2]],Clientes_Proveedores[[Ruc / Dni]:[Razon Social]],2,0),"")</f>
        <v>COVISUR S.A.</v>
      </c>
      <c r="Y72" s="25"/>
      <c r="Z72" s="17"/>
      <c r="AA72" s="3" t="str">
        <f>IF(C_Ope_006[[#This Row],[fecha]]&gt;0,TEXT(C_Ope_006[[#This Row],[fecha]],"mmmm"),0)</f>
        <v>Abril</v>
      </c>
      <c r="AB72" s="49"/>
    </row>
    <row r="73" spans="1:28" ht="24" x14ac:dyDescent="0.3">
      <c r="A73" s="2">
        <f>IF(C_Ope_006[[#This Row],[tipo_r]]="R",COUNTIFS($C$1:$C72,"R")+1,"")</f>
        <v>72</v>
      </c>
      <c r="B73" s="19" t="str">
        <f t="shared" si="11"/>
        <v>C_Ope_006</v>
      </c>
      <c r="C73" s="3" t="s">
        <v>1330</v>
      </c>
      <c r="D73" s="14">
        <v>45755</v>
      </c>
      <c r="E73" s="5" t="s">
        <v>7514</v>
      </c>
      <c r="F73" s="5" t="s">
        <v>1303</v>
      </c>
      <c r="G73" s="6" t="s">
        <v>1019</v>
      </c>
      <c r="H73" s="6"/>
      <c r="I73" s="6"/>
      <c r="J73" s="6"/>
      <c r="K73" s="7" t="s">
        <v>8475</v>
      </c>
      <c r="L73" s="8">
        <v>23768</v>
      </c>
      <c r="M73" s="8" t="str">
        <f t="shared" si="12"/>
        <v>PEN</v>
      </c>
      <c r="N73" s="13"/>
      <c r="O73" s="13">
        <v>20</v>
      </c>
      <c r="P73" s="3">
        <f t="shared" si="8"/>
        <v>20</v>
      </c>
      <c r="Q73" s="3">
        <f t="shared" si="9"/>
        <v>0</v>
      </c>
      <c r="R73" s="3">
        <f t="shared" si="10"/>
        <v>199.19999999999982</v>
      </c>
      <c r="S73" s="24" t="s">
        <v>1334</v>
      </c>
      <c r="T73" s="24" t="s">
        <v>1334</v>
      </c>
      <c r="U73" s="3"/>
      <c r="V73" s="25"/>
      <c r="W73" s="25"/>
      <c r="X73" s="25" t="str">
        <f>IFERROR(VLOOKUP(C_Ope_006[[#This Row],[nota_2]],Clientes_Proveedores[[Ruc / Dni]:[Razon Social]],2,0),"")</f>
        <v/>
      </c>
      <c r="Y73" s="25"/>
      <c r="Z73" s="17">
        <f>ROUND(C_Ope_006[[#This Row],[monto]]/1.18,3)</f>
        <v>16.949000000000002</v>
      </c>
      <c r="AA73" s="3" t="str">
        <f>IF(C_Ope_006[[#This Row],[fecha]]&gt;0,TEXT(C_Ope_006[[#This Row],[fecha]],"mmmm"),0)</f>
        <v>Abril</v>
      </c>
      <c r="AB73" s="49"/>
    </row>
    <row r="74" spans="1:28" ht="24" x14ac:dyDescent="0.3">
      <c r="A74" s="2">
        <f>IF(C_Ope_006[[#This Row],[tipo_r]]="R",COUNTIFS($C$1:$C73,"R")+1,"")</f>
        <v>73</v>
      </c>
      <c r="B74" s="19" t="str">
        <f t="shared" si="11"/>
        <v>C_Ope_006</v>
      </c>
      <c r="C74" s="3" t="s">
        <v>1330</v>
      </c>
      <c r="D74" s="14">
        <v>45755</v>
      </c>
      <c r="E74" s="5" t="s">
        <v>8786</v>
      </c>
      <c r="F74" s="5" t="s">
        <v>1336</v>
      </c>
      <c r="G74" s="6" t="s">
        <v>978</v>
      </c>
      <c r="H74" s="6" t="s">
        <v>68</v>
      </c>
      <c r="I74" s="6" t="s">
        <v>6204</v>
      </c>
      <c r="J74" s="6">
        <v>1700247</v>
      </c>
      <c r="K74" s="7" t="s">
        <v>8823</v>
      </c>
      <c r="L74" s="8">
        <v>23770</v>
      </c>
      <c r="M74" s="8" t="str">
        <f t="shared" si="12"/>
        <v>PEN</v>
      </c>
      <c r="N74" s="13"/>
      <c r="O74" s="13">
        <v>12</v>
      </c>
      <c r="P74" s="3">
        <f t="shared" si="8"/>
        <v>0</v>
      </c>
      <c r="Q74" s="3">
        <f t="shared" si="9"/>
        <v>12</v>
      </c>
      <c r="R74" s="3">
        <f t="shared" si="10"/>
        <v>187.19999999999982</v>
      </c>
      <c r="S74" s="24" t="s">
        <v>1334</v>
      </c>
      <c r="T74" s="24" t="s">
        <v>1334</v>
      </c>
      <c r="U74" s="3"/>
      <c r="V74" s="25" t="s">
        <v>8006</v>
      </c>
      <c r="W74" s="25">
        <v>20517252558</v>
      </c>
      <c r="X74" s="25" t="str">
        <f>IFERROR(VLOOKUP(C_Ope_006[[#This Row],[nota_2]],Clientes_Proveedores[[Ruc / Dni]:[Razon Social]],2,0),"")</f>
        <v>COVISUR S.A.</v>
      </c>
      <c r="Y74" s="25"/>
      <c r="Z74" s="17"/>
      <c r="AA74" s="3" t="str">
        <f>IF(C_Ope_006[[#This Row],[fecha]]&gt;0,TEXT(C_Ope_006[[#This Row],[fecha]],"mmmm"),0)</f>
        <v>Abril</v>
      </c>
      <c r="AB74" s="49"/>
    </row>
    <row r="75" spans="1:28" ht="24" x14ac:dyDescent="0.3">
      <c r="A75" s="2">
        <f>IF(C_Ope_006[[#This Row],[tipo_r]]="R",COUNTIFS($C$1:$C74,"R")+1,"")</f>
        <v>74</v>
      </c>
      <c r="B75" s="19" t="str">
        <f t="shared" si="11"/>
        <v>C_Ope_006</v>
      </c>
      <c r="C75" s="3" t="s">
        <v>1330</v>
      </c>
      <c r="D75" s="14">
        <v>45755</v>
      </c>
      <c r="E75" s="5" t="s">
        <v>8786</v>
      </c>
      <c r="F75" s="5" t="s">
        <v>1336</v>
      </c>
      <c r="G75" s="6" t="s">
        <v>978</v>
      </c>
      <c r="H75" s="6" t="s">
        <v>68</v>
      </c>
      <c r="I75" s="6" t="s">
        <v>5845</v>
      </c>
      <c r="J75" s="6">
        <v>1719895</v>
      </c>
      <c r="K75" s="7" t="s">
        <v>8823</v>
      </c>
      <c r="L75" s="8">
        <v>23771</v>
      </c>
      <c r="M75" s="8" t="str">
        <f t="shared" si="12"/>
        <v>PEN</v>
      </c>
      <c r="N75" s="13"/>
      <c r="O75" s="13">
        <v>12</v>
      </c>
      <c r="P75" s="3">
        <f t="shared" si="8"/>
        <v>0</v>
      </c>
      <c r="Q75" s="3">
        <f t="shared" si="9"/>
        <v>12</v>
      </c>
      <c r="R75" s="3">
        <f t="shared" si="10"/>
        <v>175.19999999999982</v>
      </c>
      <c r="S75" s="24" t="s">
        <v>1334</v>
      </c>
      <c r="T75" s="24" t="s">
        <v>1334</v>
      </c>
      <c r="U75" s="3"/>
      <c r="V75" s="25" t="s">
        <v>8006</v>
      </c>
      <c r="W75" s="25">
        <v>20517252558</v>
      </c>
      <c r="X75" s="25" t="str">
        <f>IFERROR(VLOOKUP(C_Ope_006[[#This Row],[nota_2]],Clientes_Proveedores[[Ruc / Dni]:[Razon Social]],2,0),"")</f>
        <v>COVISUR S.A.</v>
      </c>
      <c r="Y75" s="25"/>
      <c r="Z75" s="17"/>
      <c r="AA75" s="3" t="str">
        <f>IF(C_Ope_006[[#This Row],[fecha]]&gt;0,TEXT(C_Ope_006[[#This Row],[fecha]],"mmmm"),0)</f>
        <v>Abril</v>
      </c>
      <c r="AB75" s="49"/>
    </row>
    <row r="76" spans="1:28" ht="24" x14ac:dyDescent="0.3">
      <c r="A76" s="2">
        <f>IF(C_Ope_006[[#This Row],[tipo_r]]="R",COUNTIFS($C$1:$C75,"R")+1,"")</f>
        <v>75</v>
      </c>
      <c r="B76" s="19" t="str">
        <f t="shared" si="11"/>
        <v>C_Ope_006</v>
      </c>
      <c r="C76" s="3" t="s">
        <v>1330</v>
      </c>
      <c r="D76" s="14">
        <v>45756</v>
      </c>
      <c r="E76" s="5" t="s">
        <v>8786</v>
      </c>
      <c r="F76" s="5" t="s">
        <v>1336</v>
      </c>
      <c r="G76" s="6" t="s">
        <v>978</v>
      </c>
      <c r="H76" s="6" t="s">
        <v>68</v>
      </c>
      <c r="I76" s="6" t="s">
        <v>5688</v>
      </c>
      <c r="J76" s="6">
        <v>2293250</v>
      </c>
      <c r="K76" s="7" t="s">
        <v>7819</v>
      </c>
      <c r="L76" s="8">
        <v>23792</v>
      </c>
      <c r="M76" s="8" t="str">
        <f t="shared" si="12"/>
        <v>PEN</v>
      </c>
      <c r="N76" s="13"/>
      <c r="O76" s="13">
        <v>12</v>
      </c>
      <c r="P76" s="3">
        <f t="shared" si="8"/>
        <v>0</v>
      </c>
      <c r="Q76" s="3">
        <f t="shared" si="9"/>
        <v>12</v>
      </c>
      <c r="R76" s="3">
        <f t="shared" si="10"/>
        <v>163.19999999999982</v>
      </c>
      <c r="S76" s="24" t="s">
        <v>1334</v>
      </c>
      <c r="T76" s="24" t="s">
        <v>1334</v>
      </c>
      <c r="U76" s="3"/>
      <c r="V76" s="25" t="s">
        <v>8006</v>
      </c>
      <c r="W76" s="25">
        <v>20517252558</v>
      </c>
      <c r="X76" s="25" t="str">
        <f>IFERROR(VLOOKUP(C_Ope_006[[#This Row],[nota_2]],Clientes_Proveedores[[Ruc / Dni]:[Razon Social]],2,0),"")</f>
        <v>COVISUR S.A.</v>
      </c>
      <c r="Y76" s="25"/>
      <c r="Z76" s="17"/>
      <c r="AA76" s="3" t="str">
        <f>IF(C_Ope_006[[#This Row],[fecha]]&gt;0,TEXT(C_Ope_006[[#This Row],[fecha]],"mmmm"),0)</f>
        <v>Abril</v>
      </c>
      <c r="AB76" s="49"/>
    </row>
    <row r="77" spans="1:28" ht="24" x14ac:dyDescent="0.3">
      <c r="A77" s="2">
        <f>IF(C_Ope_006[[#This Row],[tipo_r]]="R",COUNTIFS($C$1:$C76,"R")+1,"")</f>
        <v>76</v>
      </c>
      <c r="B77" s="19" t="str">
        <f t="shared" si="11"/>
        <v>C_Ope_006</v>
      </c>
      <c r="C77" s="3" t="s">
        <v>1330</v>
      </c>
      <c r="D77" s="14">
        <v>45756</v>
      </c>
      <c r="E77" s="5" t="s">
        <v>8786</v>
      </c>
      <c r="F77" s="5" t="s">
        <v>1336</v>
      </c>
      <c r="G77" s="6" t="s">
        <v>978</v>
      </c>
      <c r="H77" s="6" t="s">
        <v>68</v>
      </c>
      <c r="I77" s="6" t="s">
        <v>5845</v>
      </c>
      <c r="J77" s="6">
        <v>1721163</v>
      </c>
      <c r="K77" s="7" t="s">
        <v>8824</v>
      </c>
      <c r="L77" s="8">
        <v>23793</v>
      </c>
      <c r="M77" s="8" t="str">
        <f t="shared" si="12"/>
        <v>PEN</v>
      </c>
      <c r="N77" s="13"/>
      <c r="O77" s="13">
        <v>8</v>
      </c>
      <c r="P77" s="3">
        <f t="shared" si="8"/>
        <v>0</v>
      </c>
      <c r="Q77" s="3">
        <f t="shared" si="9"/>
        <v>8</v>
      </c>
      <c r="R77" s="3">
        <f t="shared" si="10"/>
        <v>155.19999999999982</v>
      </c>
      <c r="S77" s="24" t="s">
        <v>1334</v>
      </c>
      <c r="T77" s="24" t="s">
        <v>1334</v>
      </c>
      <c r="U77" s="3"/>
      <c r="V77" s="25" t="s">
        <v>7842</v>
      </c>
      <c r="W77" s="25">
        <v>20517252558</v>
      </c>
      <c r="X77" s="25" t="str">
        <f>IFERROR(VLOOKUP(C_Ope_006[[#This Row],[nota_2]],Clientes_Proveedores[[Ruc / Dni]:[Razon Social]],2,0),"")</f>
        <v>COVISUR S.A.</v>
      </c>
      <c r="Y77" s="25"/>
      <c r="Z77" s="17"/>
      <c r="AA77" s="3" t="str">
        <f>IF(C_Ope_006[[#This Row],[fecha]]&gt;0,TEXT(C_Ope_006[[#This Row],[fecha]],"mmmm"),0)</f>
        <v>Abril</v>
      </c>
      <c r="AB77" s="49"/>
    </row>
    <row r="78" spans="1:28" ht="36" x14ac:dyDescent="0.3">
      <c r="A78" s="2">
        <f>IF(C_Ope_006[[#This Row],[tipo_r]]="R",COUNTIFS($C$1:$C77,"R")+1,"")</f>
        <v>77</v>
      </c>
      <c r="B78" s="19" t="str">
        <f t="shared" si="11"/>
        <v>C_Ope_006</v>
      </c>
      <c r="C78" s="3" t="s">
        <v>1330</v>
      </c>
      <c r="D78" s="14">
        <v>45756</v>
      </c>
      <c r="E78" s="5" t="s">
        <v>8786</v>
      </c>
      <c r="F78" s="5" t="s">
        <v>1336</v>
      </c>
      <c r="G78" s="6" t="s">
        <v>682</v>
      </c>
      <c r="H78" s="6" t="s">
        <v>68</v>
      </c>
      <c r="I78" s="6" t="s">
        <v>1353</v>
      </c>
      <c r="J78" s="6">
        <v>16079</v>
      </c>
      <c r="K78" s="7" t="s">
        <v>8825</v>
      </c>
      <c r="L78" s="8">
        <v>23794</v>
      </c>
      <c r="M78" s="8" t="str">
        <f t="shared" si="12"/>
        <v>PEN</v>
      </c>
      <c r="N78" s="13"/>
      <c r="O78" s="13">
        <v>20</v>
      </c>
      <c r="P78" s="3">
        <f t="shared" si="8"/>
        <v>0</v>
      </c>
      <c r="Q78" s="3">
        <f t="shared" si="9"/>
        <v>20</v>
      </c>
      <c r="R78" s="3">
        <f t="shared" si="10"/>
        <v>135.19999999999982</v>
      </c>
      <c r="S78" s="24" t="s">
        <v>1334</v>
      </c>
      <c r="T78" s="24" t="s">
        <v>1334</v>
      </c>
      <c r="U78" s="3"/>
      <c r="V78" s="25" t="s">
        <v>8006</v>
      </c>
      <c r="W78" s="25">
        <v>20259858934</v>
      </c>
      <c r="X78" s="25" t="str">
        <f>IFERROR(VLOOKUP(C_Ope_006[[#This Row],[nota_2]],Clientes_Proveedores[[Ruc / Dni]:[Razon Social]],2,0),"")</f>
        <v>COMERCIALIZACION Y SERVICIOS EL EDEN S.A.C.</v>
      </c>
      <c r="Y78" s="25"/>
      <c r="Z78" s="17"/>
      <c r="AA78" s="3" t="str">
        <f>IF(C_Ope_006[[#This Row],[fecha]]&gt;0,TEXT(C_Ope_006[[#This Row],[fecha]],"mmmm"),0)</f>
        <v>Abril</v>
      </c>
      <c r="AB78" s="49"/>
    </row>
    <row r="79" spans="1:28" ht="36" x14ac:dyDescent="0.3">
      <c r="A79" s="2">
        <f>IF(C_Ope_006[[#This Row],[tipo_r]]="R",COUNTIFS($C$1:$C78,"R")+1,"")</f>
        <v>78</v>
      </c>
      <c r="B79" s="19" t="str">
        <f t="shared" si="11"/>
        <v>C_Ope_006</v>
      </c>
      <c r="C79" s="3" t="s">
        <v>1330</v>
      </c>
      <c r="D79" s="14">
        <v>45758</v>
      </c>
      <c r="E79" s="5" t="s">
        <v>8786</v>
      </c>
      <c r="F79" s="5" t="s">
        <v>1336</v>
      </c>
      <c r="G79" s="6" t="s">
        <v>227</v>
      </c>
      <c r="H79" s="6" t="s">
        <v>68</v>
      </c>
      <c r="I79" s="6" t="s">
        <v>1390</v>
      </c>
      <c r="J79" s="6">
        <v>130524</v>
      </c>
      <c r="K79" s="7" t="s">
        <v>8826</v>
      </c>
      <c r="L79" s="8">
        <v>23823</v>
      </c>
      <c r="M79" s="8" t="str">
        <f t="shared" si="12"/>
        <v>PEN</v>
      </c>
      <c r="N79" s="13"/>
      <c r="O79" s="13">
        <v>10</v>
      </c>
      <c r="P79" s="3">
        <f t="shared" si="8"/>
        <v>0</v>
      </c>
      <c r="Q79" s="3">
        <f t="shared" si="9"/>
        <v>10</v>
      </c>
      <c r="R79" s="3">
        <f t="shared" si="10"/>
        <v>125.19999999999982</v>
      </c>
      <c r="S79" s="24" t="s">
        <v>1334</v>
      </c>
      <c r="T79" s="24" t="s">
        <v>1334</v>
      </c>
      <c r="U79" s="3"/>
      <c r="V79" s="25" t="s">
        <v>8072</v>
      </c>
      <c r="W79" s="25">
        <v>20124952850</v>
      </c>
      <c r="X79" s="25" t="str">
        <f>IFERROR(VLOOKUP(C_Ope_006[[#This Row],[nota_2]],Clientes_Proveedores[[Ruc / Dni]:[Razon Social]],2,0),"")</f>
        <v>ALIMENTOS Y SERVICIOS AGROPECUARIOS SRL.</v>
      </c>
      <c r="Y79" s="25"/>
      <c r="Z79" s="17"/>
      <c r="AA79" s="3" t="str">
        <f>IF(C_Ope_006[[#This Row],[fecha]]&gt;0,TEXT(C_Ope_006[[#This Row],[fecha]],"mmmm"),0)</f>
        <v>Abril</v>
      </c>
      <c r="AB79" s="49"/>
    </row>
    <row r="80" spans="1:28" ht="24" x14ac:dyDescent="0.3">
      <c r="A80" s="2">
        <f>IF(C_Ope_006[[#This Row],[tipo_r]]="R",COUNTIFS($C$1:$C79,"R")+1,"")</f>
        <v>79</v>
      </c>
      <c r="B80" s="19" t="str">
        <f t="shared" si="11"/>
        <v>C_Ope_006</v>
      </c>
      <c r="C80" s="3" t="s">
        <v>1330</v>
      </c>
      <c r="D80" s="14">
        <v>45758</v>
      </c>
      <c r="E80" s="5" t="s">
        <v>8786</v>
      </c>
      <c r="F80" s="5" t="s">
        <v>1336</v>
      </c>
      <c r="G80" s="6" t="s">
        <v>999</v>
      </c>
      <c r="H80" s="6" t="s">
        <v>68</v>
      </c>
      <c r="I80" s="6" t="s">
        <v>1374</v>
      </c>
      <c r="J80" s="6">
        <v>17251</v>
      </c>
      <c r="K80" s="7" t="s">
        <v>7777</v>
      </c>
      <c r="L80" s="8">
        <v>23827</v>
      </c>
      <c r="M80" s="8" t="str">
        <f t="shared" si="12"/>
        <v>PEN</v>
      </c>
      <c r="N80" s="13"/>
      <c r="O80" s="13">
        <v>25</v>
      </c>
      <c r="P80" s="3">
        <f t="shared" si="8"/>
        <v>0</v>
      </c>
      <c r="Q80" s="3">
        <f t="shared" si="9"/>
        <v>25</v>
      </c>
      <c r="R80" s="3">
        <f t="shared" si="10"/>
        <v>100.19999999999982</v>
      </c>
      <c r="S80" s="24" t="s">
        <v>1334</v>
      </c>
      <c r="T80" s="24" t="s">
        <v>1334</v>
      </c>
      <c r="U80" s="3"/>
      <c r="V80" s="25" t="s">
        <v>7756</v>
      </c>
      <c r="W80" s="25">
        <v>10705628331</v>
      </c>
      <c r="X80" s="25" t="str">
        <f>IFERROR(VLOOKUP(C_Ope_006[[#This Row],[nota_2]],Clientes_Proveedores[[Ruc / Dni]:[Razon Social]],2,0),"")</f>
        <v>LARICO APAZA NANCY ROSSMARY</v>
      </c>
      <c r="Y80" s="25"/>
      <c r="Z80" s="17"/>
      <c r="AA80" s="3" t="str">
        <f>IF(C_Ope_006[[#This Row],[fecha]]&gt;0,TEXT(C_Ope_006[[#This Row],[fecha]],"mmmm"),0)</f>
        <v>Abril</v>
      </c>
      <c r="AB80" s="49"/>
    </row>
    <row r="81" spans="1:28" ht="24" x14ac:dyDescent="0.3">
      <c r="A81" s="2">
        <f>IF(C_Ope_006[[#This Row],[tipo_r]]="R",COUNTIFS($C$1:$C80,"R")+1,"")</f>
        <v>80</v>
      </c>
      <c r="B81" s="19" t="str">
        <f t="shared" si="11"/>
        <v>C_Ope_006</v>
      </c>
      <c r="C81" s="3" t="s">
        <v>1330</v>
      </c>
      <c r="D81" s="14">
        <v>45761</v>
      </c>
      <c r="E81" s="5" t="s">
        <v>7514</v>
      </c>
      <c r="F81" s="5" t="s">
        <v>1303</v>
      </c>
      <c r="G81" s="6" t="s">
        <v>1019</v>
      </c>
      <c r="H81" s="6"/>
      <c r="I81" s="6"/>
      <c r="J81" s="6"/>
      <c r="K81" s="7" t="s">
        <v>8475</v>
      </c>
      <c r="L81" s="8">
        <v>23851</v>
      </c>
      <c r="M81" s="8" t="str">
        <f t="shared" si="12"/>
        <v>PEN</v>
      </c>
      <c r="N81" s="13"/>
      <c r="O81" s="13">
        <v>100</v>
      </c>
      <c r="P81" s="3">
        <f t="shared" si="8"/>
        <v>100</v>
      </c>
      <c r="Q81" s="3">
        <f t="shared" si="9"/>
        <v>0</v>
      </c>
      <c r="R81" s="3">
        <f t="shared" si="10"/>
        <v>200.19999999999982</v>
      </c>
      <c r="S81" s="24" t="s">
        <v>1334</v>
      </c>
      <c r="T81" s="24" t="s">
        <v>1334</v>
      </c>
      <c r="U81" s="3"/>
      <c r="V81" s="25"/>
      <c r="W81" s="25"/>
      <c r="X81" s="25" t="str">
        <f>IFERROR(VLOOKUP(C_Ope_006[[#This Row],[nota_2]],Clientes_Proveedores[[Ruc / Dni]:[Razon Social]],2,0),"")</f>
        <v/>
      </c>
      <c r="Y81" s="25"/>
      <c r="Z81" s="17">
        <f>ROUND(C_Ope_006[[#This Row],[monto]]/1.18,3)</f>
        <v>84.745999999999995</v>
      </c>
      <c r="AA81" s="3" t="str">
        <f>IF(C_Ope_006[[#This Row],[fecha]]&gt;0,TEXT(C_Ope_006[[#This Row],[fecha]],"mmmm"),0)</f>
        <v>Abril</v>
      </c>
      <c r="AB81" s="49"/>
    </row>
    <row r="82" spans="1:28" ht="24" x14ac:dyDescent="0.3">
      <c r="A82" s="2">
        <f>IF(C_Ope_006[[#This Row],[tipo_r]]="R",COUNTIFS($C$1:$C81,"R")+1,"")</f>
        <v>81</v>
      </c>
      <c r="B82" s="19" t="str">
        <f t="shared" si="11"/>
        <v>C_Ope_006</v>
      </c>
      <c r="C82" s="3" t="s">
        <v>1330</v>
      </c>
      <c r="D82" s="14">
        <v>45761</v>
      </c>
      <c r="E82" s="5" t="s">
        <v>8786</v>
      </c>
      <c r="F82" s="5" t="s">
        <v>1336</v>
      </c>
      <c r="G82" s="6" t="s">
        <v>978</v>
      </c>
      <c r="H82" s="6" t="s">
        <v>68</v>
      </c>
      <c r="I82" s="6" t="s">
        <v>6204</v>
      </c>
      <c r="J82" s="6">
        <v>1705477</v>
      </c>
      <c r="K82" s="7" t="s">
        <v>8827</v>
      </c>
      <c r="L82" s="8">
        <v>23850</v>
      </c>
      <c r="M82" s="8" t="str">
        <f t="shared" si="12"/>
        <v>PEN</v>
      </c>
      <c r="N82" s="13"/>
      <c r="O82" s="13">
        <v>8</v>
      </c>
      <c r="P82" s="3">
        <f t="shared" si="8"/>
        <v>0</v>
      </c>
      <c r="Q82" s="3">
        <f t="shared" si="9"/>
        <v>8</v>
      </c>
      <c r="R82" s="3">
        <f t="shared" si="10"/>
        <v>192.19999999999982</v>
      </c>
      <c r="S82" s="24" t="s">
        <v>1334</v>
      </c>
      <c r="T82" s="24" t="s">
        <v>1334</v>
      </c>
      <c r="U82" s="3"/>
      <c r="V82" s="25" t="s">
        <v>7842</v>
      </c>
      <c r="W82" s="25">
        <v>20517252558</v>
      </c>
      <c r="X82" s="25" t="str">
        <f>IFERROR(VLOOKUP(C_Ope_006[[#This Row],[nota_2]],Clientes_Proveedores[[Ruc / Dni]:[Razon Social]],2,0),"")</f>
        <v>COVISUR S.A.</v>
      </c>
      <c r="Y82" s="25"/>
      <c r="Z82" s="17"/>
      <c r="AA82" s="3" t="str">
        <f>IF(C_Ope_006[[#This Row],[fecha]]&gt;0,TEXT(C_Ope_006[[#This Row],[fecha]],"mmmm"),0)</f>
        <v>Abril</v>
      </c>
      <c r="AB82" s="49"/>
    </row>
    <row r="83" spans="1:28" ht="48" x14ac:dyDescent="0.3">
      <c r="A83" s="2">
        <f>IF(C_Ope_006[[#This Row],[tipo_r]]="R",COUNTIFS($C$1:$C82,"R")+1,"")</f>
        <v>82</v>
      </c>
      <c r="B83" s="19" t="str">
        <f t="shared" si="11"/>
        <v>C_Ope_006</v>
      </c>
      <c r="C83" s="3" t="s">
        <v>1330</v>
      </c>
      <c r="D83" s="14">
        <v>45763</v>
      </c>
      <c r="E83" s="5" t="s">
        <v>8786</v>
      </c>
      <c r="F83" s="5" t="s">
        <v>1336</v>
      </c>
      <c r="G83" s="6" t="s">
        <v>978</v>
      </c>
      <c r="H83" s="6" t="s">
        <v>68</v>
      </c>
      <c r="I83" s="6" t="s">
        <v>5688</v>
      </c>
      <c r="J83" s="6">
        <v>2301084</v>
      </c>
      <c r="K83" s="7" t="s">
        <v>8828</v>
      </c>
      <c r="L83" s="8">
        <v>23892</v>
      </c>
      <c r="M83" s="8" t="str">
        <f t="shared" si="12"/>
        <v>PEN</v>
      </c>
      <c r="N83" s="13"/>
      <c r="O83" s="13">
        <v>8</v>
      </c>
      <c r="P83" s="3">
        <f t="shared" si="8"/>
        <v>0</v>
      </c>
      <c r="Q83" s="3">
        <f t="shared" si="9"/>
        <v>8</v>
      </c>
      <c r="R83" s="3">
        <f t="shared" si="10"/>
        <v>184.19999999999982</v>
      </c>
      <c r="S83" s="24" t="s">
        <v>1334</v>
      </c>
      <c r="T83" s="24" t="s">
        <v>1334</v>
      </c>
      <c r="U83" s="3"/>
      <c r="V83" s="25" t="s">
        <v>7842</v>
      </c>
      <c r="W83" s="25">
        <v>20517252558</v>
      </c>
      <c r="X83" s="25" t="str">
        <f>IFERROR(VLOOKUP(C_Ope_006[[#This Row],[nota_2]],Clientes_Proveedores[[Ruc / Dni]:[Razon Social]],2,0),"")</f>
        <v>COVISUR S.A.</v>
      </c>
      <c r="Y83" s="25"/>
      <c r="Z83" s="17"/>
      <c r="AA83" s="3" t="str">
        <f>IF(C_Ope_006[[#This Row],[fecha]]&gt;0,TEXT(C_Ope_006[[#This Row],[fecha]],"mmmm"),0)</f>
        <v>Abril</v>
      </c>
      <c r="AB83" s="49"/>
    </row>
    <row r="84" spans="1:28" ht="48" x14ac:dyDescent="0.3">
      <c r="A84" s="2">
        <f>IF(C_Ope_006[[#This Row],[tipo_r]]="R",COUNTIFS($C$1:$C83,"R")+1,"")</f>
        <v>83</v>
      </c>
      <c r="B84" s="19" t="str">
        <f t="shared" si="11"/>
        <v>C_Ope_006</v>
      </c>
      <c r="C84" s="3" t="s">
        <v>1330</v>
      </c>
      <c r="D84" s="14">
        <v>45763</v>
      </c>
      <c r="E84" s="5" t="s">
        <v>8786</v>
      </c>
      <c r="F84" s="5" t="s">
        <v>1336</v>
      </c>
      <c r="G84" s="6" t="s">
        <v>978</v>
      </c>
      <c r="H84" s="6" t="s">
        <v>68</v>
      </c>
      <c r="I84" s="6" t="s">
        <v>6203</v>
      </c>
      <c r="J84" s="6">
        <v>2023404</v>
      </c>
      <c r="K84" s="7" t="s">
        <v>8828</v>
      </c>
      <c r="L84" s="8">
        <v>23910</v>
      </c>
      <c r="M84" s="8" t="str">
        <f t="shared" si="12"/>
        <v>PEN</v>
      </c>
      <c r="N84" s="13"/>
      <c r="O84" s="13">
        <v>8</v>
      </c>
      <c r="P84" s="3">
        <f t="shared" si="8"/>
        <v>0</v>
      </c>
      <c r="Q84" s="3">
        <f t="shared" si="9"/>
        <v>8</v>
      </c>
      <c r="R84" s="3">
        <f t="shared" si="10"/>
        <v>176.19999999999982</v>
      </c>
      <c r="S84" s="24" t="s">
        <v>1334</v>
      </c>
      <c r="T84" s="24" t="s">
        <v>1334</v>
      </c>
      <c r="U84" s="3"/>
      <c r="V84" s="25" t="s">
        <v>7842</v>
      </c>
      <c r="W84" s="25">
        <v>20517252558</v>
      </c>
      <c r="X84" s="25" t="str">
        <f>IFERROR(VLOOKUP(C_Ope_006[[#This Row],[nota_2]],Clientes_Proveedores[[Ruc / Dni]:[Razon Social]],2,0),"")</f>
        <v>COVISUR S.A.</v>
      </c>
      <c r="Y84" s="25"/>
      <c r="Z84" s="17"/>
      <c r="AA84" s="3" t="str">
        <f>IF(C_Ope_006[[#This Row],[fecha]]&gt;0,TEXT(C_Ope_006[[#This Row],[fecha]],"mmmm"),0)</f>
        <v>Abril</v>
      </c>
      <c r="AB84" s="49"/>
    </row>
    <row r="85" spans="1:28" ht="24" x14ac:dyDescent="0.3">
      <c r="A85" s="2">
        <f>IF(C_Ope_006[[#This Row],[tipo_r]]="R",COUNTIFS($C$1:$C84,"R")+1,"")</f>
        <v>84</v>
      </c>
      <c r="B85" s="19" t="str">
        <f t="shared" si="11"/>
        <v>C_Ope_006</v>
      </c>
      <c r="C85" s="3" t="s">
        <v>1330</v>
      </c>
      <c r="D85" s="14">
        <v>45769</v>
      </c>
      <c r="E85" s="5" t="s">
        <v>7514</v>
      </c>
      <c r="F85" s="5" t="s">
        <v>1303</v>
      </c>
      <c r="G85" s="6" t="s">
        <v>1019</v>
      </c>
      <c r="H85" s="6"/>
      <c r="I85" s="6"/>
      <c r="J85" s="6"/>
      <c r="K85" s="7" t="s">
        <v>8475</v>
      </c>
      <c r="L85" s="8">
        <v>23949</v>
      </c>
      <c r="M85" s="8" t="str">
        <f t="shared" si="12"/>
        <v>PEN</v>
      </c>
      <c r="N85" s="13"/>
      <c r="O85" s="13">
        <v>25</v>
      </c>
      <c r="P85" s="3">
        <f t="shared" si="8"/>
        <v>25</v>
      </c>
      <c r="Q85" s="3">
        <f t="shared" si="9"/>
        <v>0</v>
      </c>
      <c r="R85" s="3">
        <f t="shared" si="10"/>
        <v>201.19999999999982</v>
      </c>
      <c r="S85" s="24" t="s">
        <v>1334</v>
      </c>
      <c r="T85" s="24" t="s">
        <v>1334</v>
      </c>
      <c r="U85" s="3"/>
      <c r="V85" s="25"/>
      <c r="W85" s="25"/>
      <c r="X85" s="25" t="str">
        <f>IFERROR(VLOOKUP(C_Ope_006[[#This Row],[nota_2]],Clientes_Proveedores[[Ruc / Dni]:[Razon Social]],2,0),"")</f>
        <v/>
      </c>
      <c r="Y85" s="25"/>
      <c r="Z85" s="17">
        <f>ROUND(C_Ope_006[[#This Row],[monto]]/1.18,3)</f>
        <v>21.186</v>
      </c>
      <c r="AA85" s="3" t="str">
        <f>IF(C_Ope_006[[#This Row],[fecha]]&gt;0,TEXT(C_Ope_006[[#This Row],[fecha]],"mmmm"),0)</f>
        <v>Abril</v>
      </c>
      <c r="AB85" s="49"/>
    </row>
    <row r="86" spans="1:28" x14ac:dyDescent="0.3">
      <c r="A86" s="2">
        <f>IF(C_Ope_006[[#This Row],[tipo_r]]="R",COUNTIFS($C$1:$C85,"R")+1,"")</f>
        <v>85</v>
      </c>
      <c r="B86" s="19" t="str">
        <f t="shared" si="11"/>
        <v>C_Ope_006</v>
      </c>
      <c r="C86" s="3" t="s">
        <v>1330</v>
      </c>
      <c r="D86" s="14">
        <v>45769</v>
      </c>
      <c r="E86" s="5" t="s">
        <v>8786</v>
      </c>
      <c r="F86" s="5" t="s">
        <v>1336</v>
      </c>
      <c r="G86" s="6" t="s">
        <v>978</v>
      </c>
      <c r="H86" s="6" t="s">
        <v>68</v>
      </c>
      <c r="I86" s="6" t="s">
        <v>6203</v>
      </c>
      <c r="J86" s="6">
        <v>2028468</v>
      </c>
      <c r="K86" s="7" t="s">
        <v>8829</v>
      </c>
      <c r="L86" s="8">
        <v>23951</v>
      </c>
      <c r="M86" s="8" t="str">
        <f t="shared" si="12"/>
        <v>PEN</v>
      </c>
      <c r="N86" s="13"/>
      <c r="O86" s="13">
        <v>12</v>
      </c>
      <c r="P86" s="3">
        <f t="shared" si="8"/>
        <v>0</v>
      </c>
      <c r="Q86" s="3">
        <f t="shared" si="9"/>
        <v>12</v>
      </c>
      <c r="R86" s="3">
        <f t="shared" si="10"/>
        <v>189.19999999999982</v>
      </c>
      <c r="S86" s="24" t="s">
        <v>1334</v>
      </c>
      <c r="T86" s="24" t="s">
        <v>1334</v>
      </c>
      <c r="U86" s="3"/>
      <c r="V86" s="25" t="s">
        <v>8006</v>
      </c>
      <c r="W86" s="25">
        <v>20517252558</v>
      </c>
      <c r="X86" s="25" t="str">
        <f>IFERROR(VLOOKUP(C_Ope_006[[#This Row],[nota_2]],Clientes_Proveedores[[Ruc / Dni]:[Razon Social]],2,0),"")</f>
        <v>COVISUR S.A.</v>
      </c>
      <c r="Y86" s="25"/>
      <c r="Z86" s="17"/>
      <c r="AA86" s="3" t="str">
        <f>IF(C_Ope_006[[#This Row],[fecha]]&gt;0,TEXT(C_Ope_006[[#This Row],[fecha]],"mmmm"),0)</f>
        <v>Abril</v>
      </c>
      <c r="AB86" s="49"/>
    </row>
    <row r="87" spans="1:28" ht="24" x14ac:dyDescent="0.3">
      <c r="A87" s="2">
        <f>IF(C_Ope_006[[#This Row],[tipo_r]]="R",COUNTIFS($C$1:$C86,"R")+1,"")</f>
        <v>86</v>
      </c>
      <c r="B87" s="19" t="str">
        <f t="shared" si="11"/>
        <v>C_Ope_006</v>
      </c>
      <c r="C87" s="3" t="s">
        <v>1330</v>
      </c>
      <c r="D87" s="14">
        <v>45771</v>
      </c>
      <c r="E87" s="5" t="s">
        <v>8786</v>
      </c>
      <c r="F87" s="5" t="s">
        <v>1336</v>
      </c>
      <c r="G87" s="6" t="s">
        <v>978</v>
      </c>
      <c r="H87" s="6" t="s">
        <v>68</v>
      </c>
      <c r="I87" s="6" t="s">
        <v>6204</v>
      </c>
      <c r="J87" s="6">
        <v>1713461</v>
      </c>
      <c r="K87" s="7" t="s">
        <v>8830</v>
      </c>
      <c r="L87" s="8">
        <v>23997</v>
      </c>
      <c r="M87" s="8" t="str">
        <f t="shared" si="12"/>
        <v>PEN</v>
      </c>
      <c r="N87" s="13"/>
      <c r="O87" s="13">
        <v>12</v>
      </c>
      <c r="P87" s="3">
        <f t="shared" si="8"/>
        <v>0</v>
      </c>
      <c r="Q87" s="3">
        <f t="shared" si="9"/>
        <v>12</v>
      </c>
      <c r="R87" s="3">
        <f t="shared" si="10"/>
        <v>177.19999999999982</v>
      </c>
      <c r="S87" s="24" t="s">
        <v>1334</v>
      </c>
      <c r="T87" s="24" t="s">
        <v>1334</v>
      </c>
      <c r="U87" s="3"/>
      <c r="V87" s="25" t="s">
        <v>8006</v>
      </c>
      <c r="W87" s="25">
        <v>20517252558</v>
      </c>
      <c r="X87" s="25" t="str">
        <f>IFERROR(VLOOKUP(C_Ope_006[[#This Row],[nota_2]],Clientes_Proveedores[[Ruc / Dni]:[Razon Social]],2,0),"")</f>
        <v>COVISUR S.A.</v>
      </c>
      <c r="Y87" s="25"/>
      <c r="Z87" s="17"/>
      <c r="AA87" s="3" t="str">
        <f>IF(C_Ope_006[[#This Row],[fecha]]&gt;0,TEXT(C_Ope_006[[#This Row],[fecha]],"mmmm"),0)</f>
        <v>Abril</v>
      </c>
      <c r="AB87" s="49"/>
    </row>
    <row r="88" spans="1:28" ht="24" x14ac:dyDescent="0.3">
      <c r="A88" s="2">
        <f>IF(C_Ope_006[[#This Row],[tipo_r]]="R",COUNTIFS($C$1:$C87,"R")+1,"")</f>
        <v>87</v>
      </c>
      <c r="B88" s="19" t="str">
        <f t="shared" si="11"/>
        <v>C_Ope_006</v>
      </c>
      <c r="C88" s="3" t="s">
        <v>1330</v>
      </c>
      <c r="D88" s="14">
        <v>45771</v>
      </c>
      <c r="E88" s="5" t="s">
        <v>8786</v>
      </c>
      <c r="F88" s="5" t="s">
        <v>1336</v>
      </c>
      <c r="G88" s="6" t="s">
        <v>978</v>
      </c>
      <c r="H88" s="6" t="s">
        <v>68</v>
      </c>
      <c r="I88" s="6" t="s">
        <v>6203</v>
      </c>
      <c r="J88" s="6">
        <v>2030785</v>
      </c>
      <c r="K88" s="7" t="s">
        <v>8830</v>
      </c>
      <c r="L88" s="8">
        <v>23998</v>
      </c>
      <c r="M88" s="8" t="str">
        <f t="shared" si="12"/>
        <v>PEN</v>
      </c>
      <c r="N88" s="13"/>
      <c r="O88" s="13">
        <v>12</v>
      </c>
      <c r="P88" s="3">
        <f t="shared" si="8"/>
        <v>0</v>
      </c>
      <c r="Q88" s="3">
        <f t="shared" si="9"/>
        <v>12</v>
      </c>
      <c r="R88" s="3">
        <f t="shared" si="10"/>
        <v>165.19999999999982</v>
      </c>
      <c r="S88" s="24" t="s">
        <v>1334</v>
      </c>
      <c r="T88" s="24" t="s">
        <v>1334</v>
      </c>
      <c r="U88" s="3"/>
      <c r="V88" s="25" t="s">
        <v>8006</v>
      </c>
      <c r="W88" s="25">
        <v>20517252558</v>
      </c>
      <c r="X88" s="25" t="str">
        <f>IFERROR(VLOOKUP(C_Ope_006[[#This Row],[nota_2]],Clientes_Proveedores[[Ruc / Dni]:[Razon Social]],2,0),"")</f>
        <v>COVISUR S.A.</v>
      </c>
      <c r="Y88" s="25"/>
      <c r="Z88" s="17"/>
      <c r="AA88" s="3" t="str">
        <f>IF(C_Ope_006[[#This Row],[fecha]]&gt;0,TEXT(C_Ope_006[[#This Row],[fecha]],"mmmm"),0)</f>
        <v>Abril</v>
      </c>
      <c r="AB88" s="49"/>
    </row>
    <row r="89" spans="1:28" ht="36" x14ac:dyDescent="0.3">
      <c r="A89" s="2">
        <f>IF(C_Ope_006[[#This Row],[tipo_r]]="R",COUNTIFS($C$1:$C88,"R")+1,"")</f>
        <v>88</v>
      </c>
      <c r="B89" s="19" t="str">
        <f t="shared" si="11"/>
        <v>C_Ope_006</v>
      </c>
      <c r="C89" s="3" t="s">
        <v>1330</v>
      </c>
      <c r="D89" s="14">
        <v>45770</v>
      </c>
      <c r="E89" s="5" t="s">
        <v>8786</v>
      </c>
      <c r="F89" s="5" t="s">
        <v>1336</v>
      </c>
      <c r="G89" s="6" t="s">
        <v>227</v>
      </c>
      <c r="H89" s="6" t="s">
        <v>68</v>
      </c>
      <c r="I89" s="6" t="s">
        <v>1390</v>
      </c>
      <c r="J89" s="6">
        <v>131015</v>
      </c>
      <c r="K89" s="7" t="s">
        <v>8831</v>
      </c>
      <c r="L89" s="8">
        <v>23970</v>
      </c>
      <c r="M89" s="8" t="str">
        <f t="shared" si="12"/>
        <v>PEN</v>
      </c>
      <c r="N89" s="13"/>
      <c r="O89" s="13">
        <v>10</v>
      </c>
      <c r="P89" s="3">
        <f t="shared" si="8"/>
        <v>0</v>
      </c>
      <c r="Q89" s="3">
        <f t="shared" si="9"/>
        <v>10</v>
      </c>
      <c r="R89" s="3">
        <f t="shared" si="10"/>
        <v>155.19999999999982</v>
      </c>
      <c r="S89" s="24" t="s">
        <v>1334</v>
      </c>
      <c r="T89" s="24" t="s">
        <v>1334</v>
      </c>
      <c r="U89" s="3"/>
      <c r="V89" s="25" t="s">
        <v>8006</v>
      </c>
      <c r="W89" s="25">
        <v>20124952850</v>
      </c>
      <c r="X89" s="25" t="str">
        <f>IFERROR(VLOOKUP(C_Ope_006[[#This Row],[nota_2]],Clientes_Proveedores[[Ruc / Dni]:[Razon Social]],2,0),"")</f>
        <v>ALIMENTOS Y SERVICIOS AGROPECUARIOS SRL.</v>
      </c>
      <c r="Y89" s="25"/>
      <c r="Z89" s="17"/>
      <c r="AA89" s="3" t="str">
        <f>IF(C_Ope_006[[#This Row],[fecha]]&gt;0,TEXT(C_Ope_006[[#This Row],[fecha]],"mmmm"),0)</f>
        <v>Abril</v>
      </c>
      <c r="AB89" s="49"/>
    </row>
    <row r="90" spans="1:28" ht="36" x14ac:dyDescent="0.3">
      <c r="A90" s="2">
        <f>IF(C_Ope_006[[#This Row],[tipo_r]]="R",COUNTIFS($C$1:$C89,"R")+1,"")</f>
        <v>89</v>
      </c>
      <c r="B90" s="19" t="str">
        <f t="shared" si="11"/>
        <v>C_Ope_006</v>
      </c>
      <c r="C90" s="3" t="s">
        <v>1330</v>
      </c>
      <c r="D90" s="14">
        <v>45770</v>
      </c>
      <c r="E90" s="5" t="s">
        <v>8786</v>
      </c>
      <c r="F90" s="5" t="s">
        <v>1336</v>
      </c>
      <c r="G90" s="6" t="s">
        <v>227</v>
      </c>
      <c r="H90" s="6" t="s">
        <v>68</v>
      </c>
      <c r="I90" s="6" t="s">
        <v>1390</v>
      </c>
      <c r="J90" s="6">
        <v>131024</v>
      </c>
      <c r="K90" s="7" t="s">
        <v>8831</v>
      </c>
      <c r="L90" s="8">
        <v>23971</v>
      </c>
      <c r="M90" s="8" t="str">
        <f t="shared" si="12"/>
        <v>PEN</v>
      </c>
      <c r="N90" s="13"/>
      <c r="O90" s="13">
        <v>10</v>
      </c>
      <c r="P90" s="3">
        <f t="shared" si="8"/>
        <v>0</v>
      </c>
      <c r="Q90" s="3">
        <f t="shared" si="9"/>
        <v>10</v>
      </c>
      <c r="R90" s="3">
        <f t="shared" si="10"/>
        <v>145.19999999999982</v>
      </c>
      <c r="S90" s="24" t="s">
        <v>1334</v>
      </c>
      <c r="T90" s="24" t="s">
        <v>1334</v>
      </c>
      <c r="U90" s="3"/>
      <c r="V90" s="25" t="s">
        <v>8006</v>
      </c>
      <c r="W90" s="25">
        <v>20124952850</v>
      </c>
      <c r="X90" s="25" t="str">
        <f>IFERROR(VLOOKUP(C_Ope_006[[#This Row],[nota_2]],Clientes_Proveedores[[Ruc / Dni]:[Razon Social]],2,0),"")</f>
        <v>ALIMENTOS Y SERVICIOS AGROPECUARIOS SRL.</v>
      </c>
      <c r="Y90" s="25"/>
      <c r="Z90" s="17"/>
      <c r="AA90" s="3" t="str">
        <f>IF(C_Ope_006[[#This Row],[fecha]]&gt;0,TEXT(C_Ope_006[[#This Row],[fecha]],"mmmm"),0)</f>
        <v>Abril</v>
      </c>
      <c r="AB90" s="49"/>
    </row>
    <row r="91" spans="1:28" ht="36" x14ac:dyDescent="0.3">
      <c r="A91" s="2">
        <f>IF(C_Ope_006[[#This Row],[tipo_r]]="R",COUNTIFS($C$1:$C90,"R")+1,"")</f>
        <v>90</v>
      </c>
      <c r="B91" s="19" t="str">
        <f t="shared" si="11"/>
        <v>C_Ope_006</v>
      </c>
      <c r="C91" s="3" t="s">
        <v>1330</v>
      </c>
      <c r="D91" s="14">
        <v>45770</v>
      </c>
      <c r="E91" s="5" t="s">
        <v>8786</v>
      </c>
      <c r="F91" s="5" t="s">
        <v>1336</v>
      </c>
      <c r="G91" s="6" t="s">
        <v>227</v>
      </c>
      <c r="H91" s="6" t="s">
        <v>68</v>
      </c>
      <c r="I91" s="6" t="s">
        <v>1390</v>
      </c>
      <c r="J91" s="6">
        <v>131025</v>
      </c>
      <c r="K91" s="7" t="s">
        <v>8831</v>
      </c>
      <c r="L91" s="8">
        <v>23972</v>
      </c>
      <c r="M91" s="8" t="str">
        <f t="shared" si="12"/>
        <v>PEN</v>
      </c>
      <c r="N91" s="13"/>
      <c r="O91" s="13">
        <v>10</v>
      </c>
      <c r="P91" s="3">
        <f t="shared" si="8"/>
        <v>0</v>
      </c>
      <c r="Q91" s="3">
        <f t="shared" si="9"/>
        <v>10</v>
      </c>
      <c r="R91" s="3">
        <f t="shared" si="10"/>
        <v>135.19999999999982</v>
      </c>
      <c r="S91" s="24" t="s">
        <v>1334</v>
      </c>
      <c r="T91" s="24" t="s">
        <v>1334</v>
      </c>
      <c r="U91" s="3"/>
      <c r="V91" s="25" t="s">
        <v>8006</v>
      </c>
      <c r="W91" s="25">
        <v>20124952850</v>
      </c>
      <c r="X91" s="25" t="str">
        <f>IFERROR(VLOOKUP(C_Ope_006[[#This Row],[nota_2]],Clientes_Proveedores[[Ruc / Dni]:[Razon Social]],2,0),"")</f>
        <v>ALIMENTOS Y SERVICIOS AGROPECUARIOS SRL.</v>
      </c>
      <c r="Y91" s="25"/>
      <c r="Z91" s="17"/>
      <c r="AA91" s="3" t="str">
        <f>IF(C_Ope_006[[#This Row],[fecha]]&gt;0,TEXT(C_Ope_006[[#This Row],[fecha]],"mmmm"),0)</f>
        <v>Abril</v>
      </c>
      <c r="AB91" s="49"/>
    </row>
    <row r="92" spans="1:28" ht="36" x14ac:dyDescent="0.3">
      <c r="A92" s="2">
        <f>IF(C_Ope_006[[#This Row],[tipo_r]]="R",COUNTIFS($C$1:$C91,"R")+1,"")</f>
        <v>91</v>
      </c>
      <c r="B92" s="19" t="str">
        <f t="shared" si="11"/>
        <v>C_Ope_006</v>
      </c>
      <c r="C92" s="3" t="s">
        <v>1330</v>
      </c>
      <c r="D92" s="14">
        <v>45770</v>
      </c>
      <c r="E92" s="5" t="s">
        <v>8786</v>
      </c>
      <c r="F92" s="5" t="s">
        <v>1336</v>
      </c>
      <c r="G92" s="6" t="s">
        <v>227</v>
      </c>
      <c r="H92" s="6" t="s">
        <v>68</v>
      </c>
      <c r="I92" s="6" t="s">
        <v>1390</v>
      </c>
      <c r="J92" s="6">
        <v>131027</v>
      </c>
      <c r="K92" s="7" t="s">
        <v>8831</v>
      </c>
      <c r="L92" s="8">
        <v>23973</v>
      </c>
      <c r="M92" s="8" t="str">
        <f t="shared" si="12"/>
        <v>PEN</v>
      </c>
      <c r="N92" s="13"/>
      <c r="O92" s="13">
        <v>10</v>
      </c>
      <c r="P92" s="3">
        <f t="shared" si="8"/>
        <v>0</v>
      </c>
      <c r="Q92" s="3">
        <f t="shared" si="9"/>
        <v>10</v>
      </c>
      <c r="R92" s="3">
        <f t="shared" si="10"/>
        <v>125.19999999999982</v>
      </c>
      <c r="S92" s="24" t="s">
        <v>1334</v>
      </c>
      <c r="T92" s="24" t="s">
        <v>1334</v>
      </c>
      <c r="U92" s="3"/>
      <c r="V92" s="25" t="s">
        <v>8006</v>
      </c>
      <c r="W92" s="25">
        <v>20124952850</v>
      </c>
      <c r="X92" s="25" t="str">
        <f>IFERROR(VLOOKUP(C_Ope_006[[#This Row],[nota_2]],Clientes_Proveedores[[Ruc / Dni]:[Razon Social]],2,0),"")</f>
        <v>ALIMENTOS Y SERVICIOS AGROPECUARIOS SRL.</v>
      </c>
      <c r="Y92" s="25"/>
      <c r="Z92" s="17"/>
      <c r="AA92" s="3" t="str">
        <f>IF(C_Ope_006[[#This Row],[fecha]]&gt;0,TEXT(C_Ope_006[[#This Row],[fecha]],"mmmm"),0)</f>
        <v>Abril</v>
      </c>
      <c r="AB92" s="49"/>
    </row>
    <row r="93" spans="1:28" ht="24" x14ac:dyDescent="0.3">
      <c r="A93" s="2">
        <f>IF(C_Ope_006[[#This Row],[tipo_r]]="R",COUNTIFS($C$1:$C92,"R")+1,"")</f>
        <v>92</v>
      </c>
      <c r="B93" s="19" t="str">
        <f t="shared" si="11"/>
        <v>C_Ope_006</v>
      </c>
      <c r="C93" s="3" t="s">
        <v>1330</v>
      </c>
      <c r="D93" s="14">
        <v>45775</v>
      </c>
      <c r="E93" s="5" t="s">
        <v>7514</v>
      </c>
      <c r="F93" s="5" t="s">
        <v>1303</v>
      </c>
      <c r="G93" s="6" t="s">
        <v>1019</v>
      </c>
      <c r="H93" s="6"/>
      <c r="I93" s="6"/>
      <c r="J93" s="6"/>
      <c r="K93" s="7" t="s">
        <v>8475</v>
      </c>
      <c r="L93" s="8">
        <v>24051</v>
      </c>
      <c r="M93" s="8" t="str">
        <f t="shared" si="12"/>
        <v>PEN</v>
      </c>
      <c r="N93" s="13"/>
      <c r="O93" s="13">
        <v>80</v>
      </c>
      <c r="P93" s="3">
        <f t="shared" si="8"/>
        <v>80</v>
      </c>
      <c r="Q93" s="3">
        <f t="shared" si="9"/>
        <v>0</v>
      </c>
      <c r="R93" s="3">
        <f t="shared" si="10"/>
        <v>205.19999999999982</v>
      </c>
      <c r="S93" s="24" t="s">
        <v>1334</v>
      </c>
      <c r="T93" s="24" t="s">
        <v>1334</v>
      </c>
      <c r="U93" s="3"/>
      <c r="V93" s="25"/>
      <c r="W93" s="25"/>
      <c r="X93" s="25" t="str">
        <f>IFERROR(VLOOKUP(C_Ope_006[[#This Row],[nota_2]],Clientes_Proveedores[[Ruc / Dni]:[Razon Social]],2,0),"")</f>
        <v/>
      </c>
      <c r="Y93" s="25"/>
      <c r="Z93" s="17">
        <f>ROUND(C_Ope_006[[#This Row],[monto]]/1.18,3)</f>
        <v>67.796999999999997</v>
      </c>
      <c r="AA93" s="3" t="str">
        <f>IF(C_Ope_006[[#This Row],[fecha]]&gt;0,TEXT(C_Ope_006[[#This Row],[fecha]],"mmmm"),0)</f>
        <v>Abril</v>
      </c>
      <c r="AB93" s="49"/>
    </row>
    <row r="94" spans="1:28" ht="24" x14ac:dyDescent="0.3">
      <c r="A94" s="2">
        <f>IF(C_Ope_006[[#This Row],[tipo_r]]="R",COUNTIFS($C$1:$C93,"R")+1,"")</f>
        <v>93</v>
      </c>
      <c r="B94" s="19" t="str">
        <f t="shared" si="11"/>
        <v>C_Ope_006</v>
      </c>
      <c r="C94" s="3" t="s">
        <v>1330</v>
      </c>
      <c r="D94" s="14">
        <v>45777</v>
      </c>
      <c r="E94" s="5" t="s">
        <v>7514</v>
      </c>
      <c r="F94" s="5" t="s">
        <v>1303</v>
      </c>
      <c r="G94" s="6" t="s">
        <v>1019</v>
      </c>
      <c r="H94" s="6"/>
      <c r="I94" s="6"/>
      <c r="J94" s="6"/>
      <c r="K94" s="7" t="s">
        <v>8475</v>
      </c>
      <c r="L94" s="8">
        <v>24077</v>
      </c>
      <c r="M94" s="8" t="str">
        <f t="shared" si="12"/>
        <v>PEN</v>
      </c>
      <c r="N94" s="13"/>
      <c r="O94" s="13">
        <v>400</v>
      </c>
      <c r="P94" s="3">
        <f t="shared" si="8"/>
        <v>400</v>
      </c>
      <c r="Q94" s="3">
        <f t="shared" si="9"/>
        <v>0</v>
      </c>
      <c r="R94" s="3">
        <f t="shared" si="10"/>
        <v>605.19999999999982</v>
      </c>
      <c r="S94" s="24" t="s">
        <v>1334</v>
      </c>
      <c r="T94" s="24" t="s">
        <v>1334</v>
      </c>
      <c r="U94" s="3"/>
      <c r="V94" s="25"/>
      <c r="W94" s="25"/>
      <c r="X94" s="25" t="str">
        <f>IFERROR(VLOOKUP(C_Ope_006[[#This Row],[nota_2]],Clientes_Proveedores[[Ruc / Dni]:[Razon Social]],2,0),"")</f>
        <v/>
      </c>
      <c r="Y94" s="25"/>
      <c r="Z94" s="17">
        <f>ROUND(C_Ope_006[[#This Row],[monto]]/1.18,3)</f>
        <v>338.983</v>
      </c>
      <c r="AA94" s="3" t="str">
        <f>IF(C_Ope_006[[#This Row],[fecha]]&gt;0,TEXT(C_Ope_006[[#This Row],[fecha]],"mmmm"),0)</f>
        <v>Abril</v>
      </c>
      <c r="AB94" s="49"/>
    </row>
    <row r="95" spans="1:28" ht="24" x14ac:dyDescent="0.3">
      <c r="A95" s="2">
        <f>IF(C_Ope_006[[#This Row],[tipo_r]]="R",COUNTIFS($C$1:$C94,"R")+1,"")</f>
        <v>94</v>
      </c>
      <c r="B95" s="19" t="str">
        <f t="shared" si="11"/>
        <v>C_Ope_006</v>
      </c>
      <c r="C95" s="3" t="s">
        <v>1330</v>
      </c>
      <c r="D95" s="14">
        <v>45775</v>
      </c>
      <c r="E95" s="5" t="s">
        <v>8786</v>
      </c>
      <c r="F95" s="5" t="s">
        <v>1336</v>
      </c>
      <c r="G95" s="6" t="s">
        <v>978</v>
      </c>
      <c r="H95" s="6" t="s">
        <v>68</v>
      </c>
      <c r="I95" s="6" t="s">
        <v>5688</v>
      </c>
      <c r="J95" s="6">
        <v>2314020</v>
      </c>
      <c r="K95" s="7" t="s">
        <v>8822</v>
      </c>
      <c r="L95" s="8">
        <v>24014</v>
      </c>
      <c r="M95" s="8" t="str">
        <f t="shared" si="12"/>
        <v>PEN</v>
      </c>
      <c r="N95" s="13"/>
      <c r="O95" s="13">
        <v>12</v>
      </c>
      <c r="P95" s="3">
        <f t="shared" si="8"/>
        <v>0</v>
      </c>
      <c r="Q95" s="3">
        <f t="shared" si="9"/>
        <v>12</v>
      </c>
      <c r="R95" s="3">
        <f t="shared" si="10"/>
        <v>593.19999999999982</v>
      </c>
      <c r="S95" s="24" t="s">
        <v>1334</v>
      </c>
      <c r="T95" s="24" t="s">
        <v>1334</v>
      </c>
      <c r="U95" s="3"/>
      <c r="V95" s="25" t="s">
        <v>8006</v>
      </c>
      <c r="W95" s="25">
        <v>20517252558</v>
      </c>
      <c r="X95" s="25" t="str">
        <f>IFERROR(VLOOKUP(C_Ope_006[[#This Row],[nota_2]],Clientes_Proveedores[[Ruc / Dni]:[Razon Social]],2,0),"")</f>
        <v>COVISUR S.A.</v>
      </c>
      <c r="Y95" s="25"/>
      <c r="Z95" s="17"/>
      <c r="AA95" s="3" t="str">
        <f>IF(C_Ope_006[[#This Row],[fecha]]&gt;0,TEXT(C_Ope_006[[#This Row],[fecha]],"mmmm"),0)</f>
        <v>Abril</v>
      </c>
      <c r="AB95" s="49"/>
    </row>
    <row r="96" spans="1:28" ht="24" x14ac:dyDescent="0.3">
      <c r="A96" s="2">
        <f>IF(C_Ope_006[[#This Row],[tipo_r]]="R",COUNTIFS($C$1:$C95,"R")+1,"")</f>
        <v>95</v>
      </c>
      <c r="B96" s="19" t="str">
        <f t="shared" si="11"/>
        <v>C_Ope_006</v>
      </c>
      <c r="C96" s="3" t="s">
        <v>1330</v>
      </c>
      <c r="D96" s="14">
        <v>45775</v>
      </c>
      <c r="E96" s="5" t="s">
        <v>8786</v>
      </c>
      <c r="F96" s="5" t="s">
        <v>1336</v>
      </c>
      <c r="G96" s="6" t="s">
        <v>978</v>
      </c>
      <c r="H96" s="6" t="s">
        <v>68</v>
      </c>
      <c r="I96" s="6" t="s">
        <v>6203</v>
      </c>
      <c r="J96" s="6">
        <v>2034620</v>
      </c>
      <c r="K96" s="7" t="s">
        <v>8822</v>
      </c>
      <c r="L96" s="8">
        <v>24015</v>
      </c>
      <c r="M96" s="8" t="str">
        <f t="shared" si="12"/>
        <v>PEN</v>
      </c>
      <c r="N96" s="13"/>
      <c r="O96" s="13">
        <v>12</v>
      </c>
      <c r="P96" s="3">
        <f t="shared" si="8"/>
        <v>0</v>
      </c>
      <c r="Q96" s="3">
        <f t="shared" si="9"/>
        <v>12</v>
      </c>
      <c r="R96" s="3">
        <f t="shared" si="10"/>
        <v>581.19999999999982</v>
      </c>
      <c r="S96" s="24" t="s">
        <v>1334</v>
      </c>
      <c r="T96" s="24" t="s">
        <v>1334</v>
      </c>
      <c r="U96" s="3"/>
      <c r="V96" s="25" t="s">
        <v>8006</v>
      </c>
      <c r="W96" s="25">
        <v>20517252558</v>
      </c>
      <c r="X96" s="25" t="str">
        <f>IFERROR(VLOOKUP(C_Ope_006[[#This Row],[nota_2]],Clientes_Proveedores[[Ruc / Dni]:[Razon Social]],2,0),"")</f>
        <v>COVISUR S.A.</v>
      </c>
      <c r="Y96" s="25"/>
      <c r="Z96" s="17"/>
      <c r="AA96" s="3" t="str">
        <f>IF(C_Ope_006[[#This Row],[fecha]]&gt;0,TEXT(C_Ope_006[[#This Row],[fecha]],"mmmm"),0)</f>
        <v>Abril</v>
      </c>
      <c r="AB96" s="49"/>
    </row>
    <row r="97" spans="1:28" ht="36" x14ac:dyDescent="0.3">
      <c r="A97" s="2">
        <f>IF(C_Ope_006[[#This Row],[tipo_r]]="R",COUNTIFS($C$1:$C96,"R")+1,"")</f>
        <v>96</v>
      </c>
      <c r="B97" s="19" t="str">
        <f t="shared" si="11"/>
        <v>C_Ope_006</v>
      </c>
      <c r="C97" s="3" t="s">
        <v>1330</v>
      </c>
      <c r="D97" s="14">
        <v>45775</v>
      </c>
      <c r="E97" s="5" t="s">
        <v>8786</v>
      </c>
      <c r="F97" s="5" t="s">
        <v>1336</v>
      </c>
      <c r="G97" s="6" t="s">
        <v>682</v>
      </c>
      <c r="H97" s="6" t="s">
        <v>68</v>
      </c>
      <c r="I97" s="6" t="s">
        <v>1343</v>
      </c>
      <c r="J97" s="6">
        <v>34493</v>
      </c>
      <c r="K97" s="7" t="s">
        <v>8832</v>
      </c>
      <c r="L97" s="8">
        <v>24013</v>
      </c>
      <c r="M97" s="8" t="str">
        <f t="shared" si="12"/>
        <v>PEN</v>
      </c>
      <c r="N97" s="13"/>
      <c r="O97" s="13">
        <v>10</v>
      </c>
      <c r="P97" s="3">
        <f t="shared" si="8"/>
        <v>0</v>
      </c>
      <c r="Q97" s="3">
        <f t="shared" si="9"/>
        <v>10</v>
      </c>
      <c r="R97" s="3">
        <f t="shared" si="10"/>
        <v>571.19999999999982</v>
      </c>
      <c r="S97" s="24" t="s">
        <v>1334</v>
      </c>
      <c r="T97" s="24" t="s">
        <v>1334</v>
      </c>
      <c r="U97" s="3"/>
      <c r="V97" s="25" t="s">
        <v>8006</v>
      </c>
      <c r="W97" s="25">
        <v>20259858934</v>
      </c>
      <c r="X97" s="25" t="str">
        <f>IFERROR(VLOOKUP(C_Ope_006[[#This Row],[nota_2]],Clientes_Proveedores[[Ruc / Dni]:[Razon Social]],2,0),"")</f>
        <v>COMERCIALIZACION Y SERVICIOS EL EDEN S.A.C.</v>
      </c>
      <c r="Y97" s="25"/>
      <c r="Z97" s="17"/>
      <c r="AA97" s="3" t="str">
        <f>IF(C_Ope_006[[#This Row],[fecha]]&gt;0,TEXT(C_Ope_006[[#This Row],[fecha]],"mmmm"),0)</f>
        <v>Abril</v>
      </c>
      <c r="AB97" s="49"/>
    </row>
    <row r="98" spans="1:28" ht="24" x14ac:dyDescent="0.3">
      <c r="A98" s="2">
        <f>IF(C_Ope_006[[#This Row],[tipo_r]]="R",COUNTIFS($C$1:$C97,"R")+1,"")</f>
        <v>97</v>
      </c>
      <c r="B98" s="19" t="str">
        <f t="shared" si="11"/>
        <v>C_Ope_006</v>
      </c>
      <c r="C98" s="3" t="s">
        <v>1330</v>
      </c>
      <c r="D98" s="14">
        <v>45776</v>
      </c>
      <c r="E98" s="5" t="s">
        <v>8786</v>
      </c>
      <c r="F98" s="5" t="s">
        <v>1336</v>
      </c>
      <c r="G98" s="6" t="s">
        <v>998</v>
      </c>
      <c r="H98" s="6" t="s">
        <v>68</v>
      </c>
      <c r="I98" s="6" t="s">
        <v>6378</v>
      </c>
      <c r="J98" s="6">
        <v>652</v>
      </c>
      <c r="K98" s="7" t="s">
        <v>8833</v>
      </c>
      <c r="L98" s="8">
        <v>24060</v>
      </c>
      <c r="M98" s="8" t="str">
        <f t="shared" si="12"/>
        <v>PEN</v>
      </c>
      <c r="N98" s="13"/>
      <c r="O98" s="13">
        <v>10</v>
      </c>
      <c r="P98" s="3">
        <f t="shared" si="8"/>
        <v>0</v>
      </c>
      <c r="Q98" s="3">
        <f t="shared" si="9"/>
        <v>10</v>
      </c>
      <c r="R98" s="3">
        <f t="shared" si="10"/>
        <v>561.19999999999982</v>
      </c>
      <c r="S98" s="24" t="s">
        <v>1334</v>
      </c>
      <c r="T98" s="24" t="s">
        <v>1334</v>
      </c>
      <c r="U98" s="3"/>
      <c r="V98" s="25" t="s">
        <v>8006</v>
      </c>
      <c r="W98" s="25">
        <v>20612112500</v>
      </c>
      <c r="X98" s="25" t="str">
        <f>IFERROR(VLOOKUP(C_Ope_006[[#This Row],[nota_2]],Clientes_Proveedores[[Ruc / Dni]:[Razon Social]],2,0),"")</f>
        <v>RECICLADORA LAS LOMAS E.I.R.L.</v>
      </c>
      <c r="Y98" s="25"/>
      <c r="Z98" s="17"/>
      <c r="AA98" s="3" t="str">
        <f>IF(C_Ope_006[[#This Row],[fecha]]&gt;0,TEXT(C_Ope_006[[#This Row],[fecha]],"mmmm"),0)</f>
        <v>Abril</v>
      </c>
      <c r="AB98" s="49"/>
    </row>
    <row r="99" spans="1:28" ht="24" x14ac:dyDescent="0.3">
      <c r="A99" s="2">
        <f>IF(C_Ope_006[[#This Row],[tipo_r]]="R",COUNTIFS($C$1:$C98,"R")+1,"")</f>
        <v>98</v>
      </c>
      <c r="B99" s="19" t="str">
        <f t="shared" ref="B99:B130" si="13">"C_Ope_006"</f>
        <v>C_Ope_006</v>
      </c>
      <c r="C99" s="3" t="s">
        <v>1330</v>
      </c>
      <c r="D99" s="14">
        <v>45779</v>
      </c>
      <c r="E99" s="5" t="s">
        <v>8786</v>
      </c>
      <c r="F99" s="5" t="s">
        <v>1336</v>
      </c>
      <c r="G99" s="6" t="s">
        <v>978</v>
      </c>
      <c r="H99" s="6" t="s">
        <v>68</v>
      </c>
      <c r="I99" s="6" t="s">
        <v>6204</v>
      </c>
      <c r="J99" s="6">
        <v>1720145</v>
      </c>
      <c r="K99" s="7" t="s">
        <v>8834</v>
      </c>
      <c r="L99" s="8">
        <v>24089</v>
      </c>
      <c r="M99" s="8" t="str">
        <f t="shared" ref="M99:M130" si="14">"PEN"</f>
        <v>PEN</v>
      </c>
      <c r="N99" s="13"/>
      <c r="O99" s="13">
        <v>12</v>
      </c>
      <c r="P99" s="3">
        <f t="shared" si="8"/>
        <v>0</v>
      </c>
      <c r="Q99" s="3">
        <f t="shared" si="9"/>
        <v>12</v>
      </c>
      <c r="R99" s="3">
        <f t="shared" si="10"/>
        <v>549.19999999999982</v>
      </c>
      <c r="S99" s="24" t="s">
        <v>1334</v>
      </c>
      <c r="T99" s="24" t="s">
        <v>1334</v>
      </c>
      <c r="U99" s="3"/>
      <c r="V99" s="25" t="s">
        <v>8006</v>
      </c>
      <c r="W99" s="25">
        <v>20517252558</v>
      </c>
      <c r="X99" s="25" t="str">
        <f>IFERROR(VLOOKUP(C_Ope_006[[#This Row],[nota_2]],Clientes_Proveedores[[Ruc / Dni]:[Razon Social]],2,0),"")</f>
        <v>COVISUR S.A.</v>
      </c>
      <c r="Y99" s="25"/>
      <c r="Z99" s="17"/>
      <c r="AA99" s="3" t="str">
        <f>IF(C_Ope_006[[#This Row],[fecha]]&gt;0,TEXT(C_Ope_006[[#This Row],[fecha]],"mmmm"),0)</f>
        <v>Mayo</v>
      </c>
      <c r="AB99" s="49"/>
    </row>
    <row r="100" spans="1:28" ht="24" x14ac:dyDescent="0.3">
      <c r="A100" s="2">
        <f>IF(C_Ope_006[[#This Row],[tipo_r]]="R",COUNTIFS($C$1:$C99,"R")+1,"")</f>
        <v>99</v>
      </c>
      <c r="B100" s="19" t="str">
        <f t="shared" si="13"/>
        <v>C_Ope_006</v>
      </c>
      <c r="C100" s="3" t="s">
        <v>1330</v>
      </c>
      <c r="D100" s="14">
        <v>45782</v>
      </c>
      <c r="E100" s="5" t="s">
        <v>8786</v>
      </c>
      <c r="F100" s="5" t="s">
        <v>1336</v>
      </c>
      <c r="G100" s="6" t="s">
        <v>978</v>
      </c>
      <c r="H100" s="6" t="s">
        <v>68</v>
      </c>
      <c r="I100" s="6" t="s">
        <v>5688</v>
      </c>
      <c r="J100" s="6">
        <v>2320861</v>
      </c>
      <c r="K100" s="7" t="s">
        <v>7820</v>
      </c>
      <c r="L100" s="8">
        <v>24091</v>
      </c>
      <c r="M100" s="8" t="str">
        <f t="shared" si="14"/>
        <v>PEN</v>
      </c>
      <c r="N100" s="13"/>
      <c r="O100" s="13">
        <v>12</v>
      </c>
      <c r="P100" s="3">
        <f t="shared" si="8"/>
        <v>0</v>
      </c>
      <c r="Q100" s="3">
        <f t="shared" si="9"/>
        <v>12</v>
      </c>
      <c r="R100" s="3">
        <f t="shared" si="10"/>
        <v>537.19999999999982</v>
      </c>
      <c r="S100" s="24" t="s">
        <v>1334</v>
      </c>
      <c r="T100" s="24" t="s">
        <v>1334</v>
      </c>
      <c r="U100" s="3"/>
      <c r="V100" s="25" t="s">
        <v>8006</v>
      </c>
      <c r="W100" s="25">
        <v>20517252558</v>
      </c>
      <c r="X100" s="25" t="str">
        <f>IFERROR(VLOOKUP(C_Ope_006[[#This Row],[nota_2]],Clientes_Proveedores[[Ruc / Dni]:[Razon Social]],2,0),"")</f>
        <v>COVISUR S.A.</v>
      </c>
      <c r="Y100" s="25"/>
      <c r="Z100" s="17"/>
      <c r="AA100" s="3" t="str">
        <f>IF(C_Ope_006[[#This Row],[fecha]]&gt;0,TEXT(C_Ope_006[[#This Row],[fecha]],"mmmm"),0)</f>
        <v>Mayo</v>
      </c>
      <c r="AB100" s="49"/>
    </row>
    <row r="101" spans="1:28" ht="24" x14ac:dyDescent="0.3">
      <c r="A101" s="2">
        <f>IF(C_Ope_006[[#This Row],[tipo_r]]="R",COUNTIFS($C$1:$C100,"R")+1,"")</f>
        <v>100</v>
      </c>
      <c r="B101" s="19" t="str">
        <f t="shared" si="13"/>
        <v>C_Ope_006</v>
      </c>
      <c r="C101" s="3" t="s">
        <v>1330</v>
      </c>
      <c r="D101" s="14">
        <v>45782</v>
      </c>
      <c r="E101" s="5" t="s">
        <v>8786</v>
      </c>
      <c r="F101" s="5" t="s">
        <v>1336</v>
      </c>
      <c r="G101" s="6" t="s">
        <v>978</v>
      </c>
      <c r="H101" s="6" t="s">
        <v>68</v>
      </c>
      <c r="I101" s="6" t="s">
        <v>6203</v>
      </c>
      <c r="J101" s="6">
        <v>2041370</v>
      </c>
      <c r="K101" s="7" t="s">
        <v>7820</v>
      </c>
      <c r="L101" s="8">
        <v>24112</v>
      </c>
      <c r="M101" s="8" t="str">
        <f t="shared" si="14"/>
        <v>PEN</v>
      </c>
      <c r="N101" s="13"/>
      <c r="O101" s="13">
        <v>12</v>
      </c>
      <c r="P101" s="3">
        <f t="shared" si="8"/>
        <v>0</v>
      </c>
      <c r="Q101" s="3">
        <f t="shared" si="9"/>
        <v>12</v>
      </c>
      <c r="R101" s="3">
        <f t="shared" si="10"/>
        <v>525.19999999999982</v>
      </c>
      <c r="S101" s="24" t="s">
        <v>1334</v>
      </c>
      <c r="T101" s="24" t="s">
        <v>1334</v>
      </c>
      <c r="U101" s="3"/>
      <c r="V101" s="25" t="s">
        <v>8006</v>
      </c>
      <c r="W101" s="25">
        <v>20517252558</v>
      </c>
      <c r="X101" s="25" t="str">
        <f>IFERROR(VLOOKUP(C_Ope_006[[#This Row],[nota_2]],Clientes_Proveedores[[Ruc / Dni]:[Razon Social]],2,0),"")</f>
        <v>COVISUR S.A.</v>
      </c>
      <c r="Y101" s="25"/>
      <c r="Z101" s="17"/>
      <c r="AA101" s="3" t="str">
        <f>IF(C_Ope_006[[#This Row],[fecha]]&gt;0,TEXT(C_Ope_006[[#This Row],[fecha]],"mmmm"),0)</f>
        <v>Mayo</v>
      </c>
      <c r="AB101" s="49"/>
    </row>
    <row r="102" spans="1:28" ht="24" x14ac:dyDescent="0.3">
      <c r="A102" s="2">
        <f>IF(C_Ope_006[[#This Row],[tipo_r]]="R",COUNTIFS($C$1:$C101,"R")+1,"")</f>
        <v>101</v>
      </c>
      <c r="B102" s="19" t="str">
        <f t="shared" si="13"/>
        <v>C_Ope_006</v>
      </c>
      <c r="C102" s="3" t="s">
        <v>1330</v>
      </c>
      <c r="D102" s="14">
        <v>45784</v>
      </c>
      <c r="E102" s="5" t="s">
        <v>8786</v>
      </c>
      <c r="F102" s="5" t="s">
        <v>1336</v>
      </c>
      <c r="G102" s="6" t="s">
        <v>978</v>
      </c>
      <c r="H102" s="6" t="s">
        <v>68</v>
      </c>
      <c r="I102" s="6" t="s">
        <v>6204</v>
      </c>
      <c r="J102" s="6">
        <v>1724338</v>
      </c>
      <c r="K102" s="7" t="s">
        <v>8835</v>
      </c>
      <c r="L102" s="8">
        <v>24136</v>
      </c>
      <c r="M102" s="8" t="str">
        <f t="shared" si="14"/>
        <v>PEN</v>
      </c>
      <c r="N102" s="13"/>
      <c r="O102" s="13">
        <v>12</v>
      </c>
      <c r="P102" s="3">
        <f t="shared" si="8"/>
        <v>0</v>
      </c>
      <c r="Q102" s="3">
        <f t="shared" si="9"/>
        <v>12</v>
      </c>
      <c r="R102" s="3">
        <f t="shared" si="10"/>
        <v>513.19999999999982</v>
      </c>
      <c r="S102" s="24" t="s">
        <v>1334</v>
      </c>
      <c r="T102" s="24" t="s">
        <v>1334</v>
      </c>
      <c r="U102" s="3"/>
      <c r="V102" s="25" t="s">
        <v>8006</v>
      </c>
      <c r="W102" s="25">
        <v>20517252558</v>
      </c>
      <c r="X102" s="25" t="str">
        <f>IFERROR(VLOOKUP(C_Ope_006[[#This Row],[nota_2]],Clientes_Proveedores[[Ruc / Dni]:[Razon Social]],2,0),"")</f>
        <v>COVISUR S.A.</v>
      </c>
      <c r="Y102" s="25"/>
      <c r="Z102" s="17"/>
      <c r="AA102" s="3" t="str">
        <f>IF(C_Ope_006[[#This Row],[fecha]]&gt;0,TEXT(C_Ope_006[[#This Row],[fecha]],"mmmm"),0)</f>
        <v>Mayo</v>
      </c>
      <c r="AB102" s="49"/>
    </row>
    <row r="103" spans="1:28" ht="24" x14ac:dyDescent="0.3">
      <c r="A103" s="2">
        <f>IF(C_Ope_006[[#This Row],[tipo_r]]="R",COUNTIFS($C$1:$C102,"R")+1,"")</f>
        <v>102</v>
      </c>
      <c r="B103" s="19" t="str">
        <f t="shared" si="13"/>
        <v>C_Ope_006</v>
      </c>
      <c r="C103" s="3" t="s">
        <v>1330</v>
      </c>
      <c r="D103" s="14">
        <v>45784</v>
      </c>
      <c r="E103" s="5" t="s">
        <v>8786</v>
      </c>
      <c r="F103" s="5" t="s">
        <v>1336</v>
      </c>
      <c r="G103" s="6" t="s">
        <v>978</v>
      </c>
      <c r="H103" s="6" t="s">
        <v>68</v>
      </c>
      <c r="I103" s="6" t="s">
        <v>5845</v>
      </c>
      <c r="J103" s="6">
        <v>1743458</v>
      </c>
      <c r="K103" s="7" t="s">
        <v>8835</v>
      </c>
      <c r="L103" s="8">
        <v>24137</v>
      </c>
      <c r="M103" s="8" t="str">
        <f t="shared" si="14"/>
        <v>PEN</v>
      </c>
      <c r="N103" s="13"/>
      <c r="O103" s="13">
        <v>12</v>
      </c>
      <c r="P103" s="3">
        <f t="shared" si="8"/>
        <v>0</v>
      </c>
      <c r="Q103" s="3">
        <f t="shared" si="9"/>
        <v>12</v>
      </c>
      <c r="R103" s="3">
        <f t="shared" si="10"/>
        <v>501.19999999999982</v>
      </c>
      <c r="S103" s="24" t="s">
        <v>1334</v>
      </c>
      <c r="T103" s="24" t="s">
        <v>1334</v>
      </c>
      <c r="U103" s="3"/>
      <c r="V103" s="25" t="s">
        <v>8006</v>
      </c>
      <c r="W103" s="25">
        <v>20517252558</v>
      </c>
      <c r="X103" s="25" t="str">
        <f>IFERROR(VLOOKUP(C_Ope_006[[#This Row],[nota_2]],Clientes_Proveedores[[Ruc / Dni]:[Razon Social]],2,0),"")</f>
        <v>COVISUR S.A.</v>
      </c>
      <c r="Y103" s="25"/>
      <c r="Z103" s="17"/>
      <c r="AA103" s="3" t="str">
        <f>IF(C_Ope_006[[#This Row],[fecha]]&gt;0,TEXT(C_Ope_006[[#This Row],[fecha]],"mmmm"),0)</f>
        <v>Mayo</v>
      </c>
      <c r="AB103" s="49"/>
    </row>
    <row r="104" spans="1:28" ht="24" x14ac:dyDescent="0.3">
      <c r="A104" s="2">
        <f>IF(C_Ope_006[[#This Row],[tipo_r]]="R",COUNTIFS($C$1:$C103,"R")+1,"")</f>
        <v>103</v>
      </c>
      <c r="B104" s="19" t="str">
        <f t="shared" si="13"/>
        <v>C_Ope_006</v>
      </c>
      <c r="C104" s="3" t="s">
        <v>1330</v>
      </c>
      <c r="D104" s="14">
        <v>45784</v>
      </c>
      <c r="E104" s="5" t="s">
        <v>8786</v>
      </c>
      <c r="F104" s="5" t="s">
        <v>1336</v>
      </c>
      <c r="G104" s="6" t="s">
        <v>978</v>
      </c>
      <c r="H104" s="6" t="s">
        <v>68</v>
      </c>
      <c r="I104" s="6" t="s">
        <v>5688</v>
      </c>
      <c r="J104" s="6">
        <v>2323860</v>
      </c>
      <c r="K104" s="7" t="s">
        <v>7820</v>
      </c>
      <c r="L104" s="8">
        <v>24138</v>
      </c>
      <c r="M104" s="8" t="str">
        <f t="shared" si="14"/>
        <v>PEN</v>
      </c>
      <c r="N104" s="13"/>
      <c r="O104" s="13">
        <v>12</v>
      </c>
      <c r="P104" s="3">
        <f t="shared" si="8"/>
        <v>0</v>
      </c>
      <c r="Q104" s="3">
        <f t="shared" si="9"/>
        <v>12</v>
      </c>
      <c r="R104" s="3">
        <f t="shared" si="10"/>
        <v>489.19999999999982</v>
      </c>
      <c r="S104" s="24" t="s">
        <v>1334</v>
      </c>
      <c r="T104" s="24" t="s">
        <v>1334</v>
      </c>
      <c r="U104" s="3"/>
      <c r="V104" s="25" t="s">
        <v>8006</v>
      </c>
      <c r="W104" s="25">
        <v>20517252558</v>
      </c>
      <c r="X104" s="25" t="str">
        <f>IFERROR(VLOOKUP(C_Ope_006[[#This Row],[nota_2]],Clientes_Proveedores[[Ruc / Dni]:[Razon Social]],2,0),"")</f>
        <v>COVISUR S.A.</v>
      </c>
      <c r="Y104" s="25"/>
      <c r="Z104" s="17"/>
      <c r="AA104" s="3" t="str">
        <f>IF(C_Ope_006[[#This Row],[fecha]]&gt;0,TEXT(C_Ope_006[[#This Row],[fecha]],"mmmm"),0)</f>
        <v>Mayo</v>
      </c>
      <c r="AB104" s="49"/>
    </row>
    <row r="105" spans="1:28" ht="24" x14ac:dyDescent="0.3">
      <c r="A105" s="2">
        <f>IF(C_Ope_006[[#This Row],[tipo_r]]="R",COUNTIFS($C$1:$C104,"R")+1,"")</f>
        <v>104</v>
      </c>
      <c r="B105" s="19" t="str">
        <f t="shared" si="13"/>
        <v>C_Ope_006</v>
      </c>
      <c r="C105" s="3" t="s">
        <v>1330</v>
      </c>
      <c r="D105" s="14">
        <v>45785</v>
      </c>
      <c r="E105" s="5" t="s">
        <v>8786</v>
      </c>
      <c r="F105" s="5" t="s">
        <v>1336</v>
      </c>
      <c r="G105" s="6" t="s">
        <v>978</v>
      </c>
      <c r="H105" s="6" t="s">
        <v>68</v>
      </c>
      <c r="I105" s="6" t="s">
        <v>6203</v>
      </c>
      <c r="J105" s="6">
        <v>2044689</v>
      </c>
      <c r="K105" s="7" t="s">
        <v>8836</v>
      </c>
      <c r="L105" s="8">
        <v>24139</v>
      </c>
      <c r="M105" s="8" t="str">
        <f t="shared" si="14"/>
        <v>PEN</v>
      </c>
      <c r="N105" s="13"/>
      <c r="O105" s="13">
        <v>12</v>
      </c>
      <c r="P105" s="3">
        <f t="shared" si="8"/>
        <v>0</v>
      </c>
      <c r="Q105" s="3">
        <f t="shared" si="9"/>
        <v>12</v>
      </c>
      <c r="R105" s="3">
        <f t="shared" si="10"/>
        <v>477.19999999999982</v>
      </c>
      <c r="S105" s="24" t="s">
        <v>1334</v>
      </c>
      <c r="T105" s="24" t="s">
        <v>1334</v>
      </c>
      <c r="U105" s="3"/>
      <c r="V105" s="25" t="s">
        <v>8006</v>
      </c>
      <c r="W105" s="25">
        <v>20517252558</v>
      </c>
      <c r="X105" s="25" t="str">
        <f>IFERROR(VLOOKUP(C_Ope_006[[#This Row],[nota_2]],Clientes_Proveedores[[Ruc / Dni]:[Razon Social]],2,0),"")</f>
        <v>COVISUR S.A.</v>
      </c>
      <c r="Y105" s="25"/>
      <c r="Z105" s="17"/>
      <c r="AA105" s="3" t="str">
        <f>IF(C_Ope_006[[#This Row],[fecha]]&gt;0,TEXT(C_Ope_006[[#This Row],[fecha]],"mmmm"),0)</f>
        <v>Mayo</v>
      </c>
      <c r="AB105" s="49"/>
    </row>
    <row r="106" spans="1:28" ht="24" x14ac:dyDescent="0.3">
      <c r="A106" s="2">
        <f>IF(C_Ope_006[[#This Row],[tipo_r]]="R",COUNTIFS($C$1:$C105,"R")+1,"")</f>
        <v>105</v>
      </c>
      <c r="B106" s="19" t="str">
        <f t="shared" si="13"/>
        <v>C_Ope_006</v>
      </c>
      <c r="C106" s="3" t="s">
        <v>1330</v>
      </c>
      <c r="D106" s="14">
        <v>45786</v>
      </c>
      <c r="E106" s="5" t="s">
        <v>8786</v>
      </c>
      <c r="F106" s="5" t="s">
        <v>1336</v>
      </c>
      <c r="G106" s="6" t="s">
        <v>978</v>
      </c>
      <c r="H106" s="6" t="s">
        <v>68</v>
      </c>
      <c r="I106" s="6" t="s">
        <v>6204</v>
      </c>
      <c r="J106" s="6">
        <v>1726482</v>
      </c>
      <c r="K106" s="7" t="s">
        <v>8837</v>
      </c>
      <c r="L106" s="8">
        <v>24154</v>
      </c>
      <c r="M106" s="8" t="str">
        <f t="shared" si="14"/>
        <v>PEN</v>
      </c>
      <c r="N106" s="13"/>
      <c r="O106" s="13">
        <v>12</v>
      </c>
      <c r="P106" s="3">
        <f t="shared" si="8"/>
        <v>0</v>
      </c>
      <c r="Q106" s="3">
        <f t="shared" si="9"/>
        <v>12</v>
      </c>
      <c r="R106" s="3">
        <f t="shared" si="10"/>
        <v>465.19999999999982</v>
      </c>
      <c r="S106" s="24" t="s">
        <v>1334</v>
      </c>
      <c r="T106" s="24" t="s">
        <v>1334</v>
      </c>
      <c r="U106" s="3"/>
      <c r="V106" s="25" t="s">
        <v>8006</v>
      </c>
      <c r="W106" s="25">
        <v>20517252558</v>
      </c>
      <c r="X106" s="25" t="str">
        <f>IFERROR(VLOOKUP(C_Ope_006[[#This Row],[nota_2]],Clientes_Proveedores[[Ruc / Dni]:[Razon Social]],2,0),"")</f>
        <v>COVISUR S.A.</v>
      </c>
      <c r="Y106" s="25"/>
      <c r="Z106" s="17"/>
      <c r="AA106" s="3" t="str">
        <f>IF(C_Ope_006[[#This Row],[fecha]]&gt;0,TEXT(C_Ope_006[[#This Row],[fecha]],"mmmm"),0)</f>
        <v>Mayo</v>
      </c>
      <c r="AB106" s="49"/>
    </row>
    <row r="107" spans="1:28" ht="24" x14ac:dyDescent="0.3">
      <c r="A107" s="2">
        <f>IF(C_Ope_006[[#This Row],[tipo_r]]="R",COUNTIFS($C$1:$C106,"R")+1,"")</f>
        <v>106</v>
      </c>
      <c r="B107" s="19" t="str">
        <f t="shared" si="13"/>
        <v>C_Ope_006</v>
      </c>
      <c r="C107" s="3" t="s">
        <v>1330</v>
      </c>
      <c r="D107" s="14">
        <v>45786</v>
      </c>
      <c r="E107" s="5" t="s">
        <v>8786</v>
      </c>
      <c r="F107" s="5" t="s">
        <v>1336</v>
      </c>
      <c r="G107" s="6" t="s">
        <v>978</v>
      </c>
      <c r="H107" s="6" t="s">
        <v>68</v>
      </c>
      <c r="I107" s="6" t="s">
        <v>6203</v>
      </c>
      <c r="J107" s="6">
        <v>2045741</v>
      </c>
      <c r="K107" s="7" t="s">
        <v>8837</v>
      </c>
      <c r="L107" s="8">
        <v>24158</v>
      </c>
      <c r="M107" s="8" t="str">
        <f t="shared" si="14"/>
        <v>PEN</v>
      </c>
      <c r="N107" s="13"/>
      <c r="O107" s="13">
        <v>12</v>
      </c>
      <c r="P107" s="3">
        <f t="shared" si="8"/>
        <v>0</v>
      </c>
      <c r="Q107" s="3">
        <f t="shared" si="9"/>
        <v>12</v>
      </c>
      <c r="R107" s="3">
        <f t="shared" si="10"/>
        <v>453.19999999999982</v>
      </c>
      <c r="S107" s="24" t="s">
        <v>1334</v>
      </c>
      <c r="T107" s="24" t="s">
        <v>1334</v>
      </c>
      <c r="U107" s="3"/>
      <c r="V107" s="25" t="s">
        <v>8006</v>
      </c>
      <c r="W107" s="25">
        <v>20517252558</v>
      </c>
      <c r="X107" s="25" t="str">
        <f>IFERROR(VLOOKUP(C_Ope_006[[#This Row],[nota_2]],Clientes_Proveedores[[Ruc / Dni]:[Razon Social]],2,0),"")</f>
        <v>COVISUR S.A.</v>
      </c>
      <c r="Y107" s="25"/>
      <c r="Z107" s="17"/>
      <c r="AA107" s="3" t="str">
        <f>IF(C_Ope_006[[#This Row],[fecha]]&gt;0,TEXT(C_Ope_006[[#This Row],[fecha]],"mmmm"),0)</f>
        <v>Mayo</v>
      </c>
      <c r="AB107" s="49"/>
    </row>
    <row r="108" spans="1:28" ht="36" x14ac:dyDescent="0.3">
      <c r="A108" s="2">
        <f>IF(C_Ope_006[[#This Row],[tipo_r]]="R",COUNTIFS($C$1:$C107,"R")+1,"")</f>
        <v>107</v>
      </c>
      <c r="B108" s="19" t="str">
        <f t="shared" si="13"/>
        <v>C_Ope_006</v>
      </c>
      <c r="C108" s="3" t="s">
        <v>1330</v>
      </c>
      <c r="D108" s="14">
        <v>45782</v>
      </c>
      <c r="E108" s="5" t="s">
        <v>8786</v>
      </c>
      <c r="F108" s="5" t="s">
        <v>1336</v>
      </c>
      <c r="G108" s="6" t="s">
        <v>682</v>
      </c>
      <c r="H108" s="6" t="s">
        <v>68</v>
      </c>
      <c r="I108" s="6" t="s">
        <v>1353</v>
      </c>
      <c r="J108" s="6">
        <v>16303</v>
      </c>
      <c r="K108" s="7" t="s">
        <v>8838</v>
      </c>
      <c r="L108" s="8">
        <v>24092</v>
      </c>
      <c r="M108" s="8" t="str">
        <f t="shared" si="14"/>
        <v>PEN</v>
      </c>
      <c r="N108" s="13"/>
      <c r="O108" s="13">
        <v>20</v>
      </c>
      <c r="P108" s="3">
        <f t="shared" si="8"/>
        <v>0</v>
      </c>
      <c r="Q108" s="3">
        <f t="shared" si="9"/>
        <v>20</v>
      </c>
      <c r="R108" s="3">
        <f t="shared" si="10"/>
        <v>433.19999999999982</v>
      </c>
      <c r="S108" s="24" t="s">
        <v>1334</v>
      </c>
      <c r="T108" s="24" t="s">
        <v>1334</v>
      </c>
      <c r="U108" s="3"/>
      <c r="V108" s="25" t="s">
        <v>8006</v>
      </c>
      <c r="W108" s="25">
        <v>20259858934</v>
      </c>
      <c r="X108" s="25" t="str">
        <f>IFERROR(VLOOKUP(C_Ope_006[[#This Row],[nota_2]],Clientes_Proveedores[[Ruc / Dni]:[Razon Social]],2,0),"")</f>
        <v>COMERCIALIZACION Y SERVICIOS EL EDEN S.A.C.</v>
      </c>
      <c r="Y108" s="25"/>
      <c r="Z108" s="17"/>
      <c r="AA108" s="3" t="str">
        <f>IF(C_Ope_006[[#This Row],[fecha]]&gt;0,TEXT(C_Ope_006[[#This Row],[fecha]],"mmmm"),0)</f>
        <v>Mayo</v>
      </c>
      <c r="AB108" s="49"/>
    </row>
    <row r="109" spans="1:28" ht="36" x14ac:dyDescent="0.3">
      <c r="A109" s="2">
        <f>IF(C_Ope_006[[#This Row],[tipo_r]]="R",COUNTIFS($C$1:$C108,"R")+1,"")</f>
        <v>108</v>
      </c>
      <c r="B109" s="19" t="str">
        <f t="shared" si="13"/>
        <v>C_Ope_006</v>
      </c>
      <c r="C109" s="3" t="s">
        <v>1330</v>
      </c>
      <c r="D109" s="14">
        <v>45786</v>
      </c>
      <c r="E109" s="5" t="s">
        <v>8786</v>
      </c>
      <c r="F109" s="5" t="s">
        <v>1336</v>
      </c>
      <c r="G109" s="6" t="s">
        <v>227</v>
      </c>
      <c r="H109" s="6" t="s">
        <v>68</v>
      </c>
      <c r="I109" s="6" t="s">
        <v>1390</v>
      </c>
      <c r="J109" s="6">
        <v>131674</v>
      </c>
      <c r="K109" s="7" t="s">
        <v>8839</v>
      </c>
      <c r="L109" s="8">
        <v>24155</v>
      </c>
      <c r="M109" s="8" t="str">
        <f t="shared" si="14"/>
        <v>PEN</v>
      </c>
      <c r="N109" s="13"/>
      <c r="O109" s="13">
        <v>10</v>
      </c>
      <c r="P109" s="3">
        <f t="shared" si="8"/>
        <v>0</v>
      </c>
      <c r="Q109" s="3">
        <f t="shared" si="9"/>
        <v>10</v>
      </c>
      <c r="R109" s="3">
        <f t="shared" si="10"/>
        <v>423.19999999999982</v>
      </c>
      <c r="S109" s="24" t="s">
        <v>1334</v>
      </c>
      <c r="T109" s="24" t="s">
        <v>1334</v>
      </c>
      <c r="U109" s="3"/>
      <c r="V109" s="25" t="s">
        <v>8006</v>
      </c>
      <c r="W109" s="25">
        <v>20124952850</v>
      </c>
      <c r="X109" s="25" t="str">
        <f>IFERROR(VLOOKUP(C_Ope_006[[#This Row],[nota_2]],Clientes_Proveedores[[Ruc / Dni]:[Razon Social]],2,0),"")</f>
        <v>ALIMENTOS Y SERVICIOS AGROPECUARIOS SRL.</v>
      </c>
      <c r="Y109" s="25"/>
      <c r="Z109" s="17"/>
      <c r="AA109" s="3" t="str">
        <f>IF(C_Ope_006[[#This Row],[fecha]]&gt;0,TEXT(C_Ope_006[[#This Row],[fecha]],"mmmm"),0)</f>
        <v>Mayo</v>
      </c>
      <c r="AB109" s="49"/>
    </row>
    <row r="110" spans="1:28" ht="24" x14ac:dyDescent="0.3">
      <c r="A110" s="2">
        <f>IF(C_Ope_006[[#This Row],[tipo_r]]="R",COUNTIFS($C$1:$C109,"R")+1,"")</f>
        <v>109</v>
      </c>
      <c r="B110" s="19" t="str">
        <f t="shared" si="13"/>
        <v>C_Ope_006</v>
      </c>
      <c r="C110" s="3" t="s">
        <v>1330</v>
      </c>
      <c r="D110" s="14">
        <v>45791</v>
      </c>
      <c r="E110" s="5" t="s">
        <v>7514</v>
      </c>
      <c r="F110" s="5" t="s">
        <v>1303</v>
      </c>
      <c r="G110" s="6" t="s">
        <v>1019</v>
      </c>
      <c r="H110" s="6"/>
      <c r="I110" s="6"/>
      <c r="J110" s="6"/>
      <c r="K110" s="7" t="s">
        <v>8475</v>
      </c>
      <c r="L110" s="8">
        <v>24210</v>
      </c>
      <c r="M110" s="8" t="str">
        <f t="shared" si="14"/>
        <v>PEN</v>
      </c>
      <c r="N110" s="13"/>
      <c r="O110" s="13">
        <v>300</v>
      </c>
      <c r="P110" s="3">
        <f t="shared" si="8"/>
        <v>300</v>
      </c>
      <c r="Q110" s="3">
        <f t="shared" si="9"/>
        <v>0</v>
      </c>
      <c r="R110" s="3">
        <f t="shared" si="10"/>
        <v>723.19999999999982</v>
      </c>
      <c r="S110" s="24" t="s">
        <v>1334</v>
      </c>
      <c r="T110" s="24" t="s">
        <v>1334</v>
      </c>
      <c r="U110" s="3"/>
      <c r="V110" s="25"/>
      <c r="W110" s="25"/>
      <c r="X110" s="25" t="str">
        <f>IFERROR(VLOOKUP(C_Ope_006[[#This Row],[nota_2]],Clientes_Proveedores[[Ruc / Dni]:[Razon Social]],2,0),"")</f>
        <v/>
      </c>
      <c r="Y110" s="25"/>
      <c r="Z110" s="17">
        <f>ROUND(C_Ope_006[[#This Row],[monto]]/1.18,3)</f>
        <v>254.23699999999999</v>
      </c>
      <c r="AA110" s="3" t="str">
        <f>IF(C_Ope_006[[#This Row],[fecha]]&gt;0,TEXT(C_Ope_006[[#This Row],[fecha]],"mmmm"),0)</f>
        <v>Mayo</v>
      </c>
      <c r="AB110" s="49"/>
    </row>
    <row r="111" spans="1:28" ht="24" x14ac:dyDescent="0.3">
      <c r="A111" s="2">
        <f>IF(C_Ope_006[[#This Row],[tipo_r]]="R",COUNTIFS($C$1:$C110,"R")+1,"")</f>
        <v>110</v>
      </c>
      <c r="B111" s="19" t="str">
        <f t="shared" si="13"/>
        <v>C_Ope_006</v>
      </c>
      <c r="C111" s="3" t="s">
        <v>1330</v>
      </c>
      <c r="D111" s="14">
        <v>45789</v>
      </c>
      <c r="E111" s="5" t="s">
        <v>8786</v>
      </c>
      <c r="F111" s="5" t="s">
        <v>1336</v>
      </c>
      <c r="G111" s="6" t="s">
        <v>978</v>
      </c>
      <c r="H111" s="6" t="s">
        <v>68</v>
      </c>
      <c r="I111" s="6" t="s">
        <v>6204</v>
      </c>
      <c r="J111" s="6">
        <v>1728769</v>
      </c>
      <c r="K111" s="7" t="s">
        <v>8840</v>
      </c>
      <c r="L111" s="8">
        <v>24189</v>
      </c>
      <c r="M111" s="8" t="str">
        <f t="shared" si="14"/>
        <v>PEN</v>
      </c>
      <c r="N111" s="13"/>
      <c r="O111" s="13">
        <v>12</v>
      </c>
      <c r="P111" s="3">
        <f t="shared" si="8"/>
        <v>0</v>
      </c>
      <c r="Q111" s="3">
        <f t="shared" si="9"/>
        <v>12</v>
      </c>
      <c r="R111" s="3">
        <f t="shared" si="10"/>
        <v>711.19999999999982</v>
      </c>
      <c r="S111" s="24" t="s">
        <v>1334</v>
      </c>
      <c r="T111" s="24" t="s">
        <v>1334</v>
      </c>
      <c r="U111" s="3"/>
      <c r="V111" s="25" t="s">
        <v>8006</v>
      </c>
      <c r="W111" s="25">
        <v>20517252558</v>
      </c>
      <c r="X111" s="25" t="str">
        <f>IFERROR(VLOOKUP(C_Ope_006[[#This Row],[nota_2]],Clientes_Proveedores[[Ruc / Dni]:[Razon Social]],2,0),"")</f>
        <v>COVISUR S.A.</v>
      </c>
      <c r="Y111" s="25"/>
      <c r="Z111" s="17"/>
      <c r="AA111" s="3" t="str">
        <f>IF(C_Ope_006[[#This Row],[fecha]]&gt;0,TEXT(C_Ope_006[[#This Row],[fecha]],"mmmm"),0)</f>
        <v>Mayo</v>
      </c>
      <c r="AB111" s="49"/>
    </row>
    <row r="112" spans="1:28" ht="24" x14ac:dyDescent="0.3">
      <c r="A112" s="2">
        <f>IF(C_Ope_006[[#This Row],[tipo_r]]="R",COUNTIFS($C$1:$C111,"R")+1,"")</f>
        <v>111</v>
      </c>
      <c r="B112" s="19" t="str">
        <f t="shared" si="13"/>
        <v>C_Ope_006</v>
      </c>
      <c r="C112" s="3" t="s">
        <v>1330</v>
      </c>
      <c r="D112" s="14">
        <v>45789</v>
      </c>
      <c r="E112" s="5" t="s">
        <v>8786</v>
      </c>
      <c r="F112" s="5" t="s">
        <v>1336</v>
      </c>
      <c r="G112" s="6" t="s">
        <v>978</v>
      </c>
      <c r="H112" s="6" t="s">
        <v>68</v>
      </c>
      <c r="I112" s="6" t="s">
        <v>6203</v>
      </c>
      <c r="J112" s="6">
        <v>2048238</v>
      </c>
      <c r="K112" s="7" t="s">
        <v>8840</v>
      </c>
      <c r="L112" s="8">
        <v>24190</v>
      </c>
      <c r="M112" s="8" t="str">
        <f t="shared" si="14"/>
        <v>PEN</v>
      </c>
      <c r="N112" s="13"/>
      <c r="O112" s="13">
        <v>12</v>
      </c>
      <c r="P112" s="3">
        <f t="shared" si="8"/>
        <v>0</v>
      </c>
      <c r="Q112" s="3">
        <f t="shared" si="9"/>
        <v>12</v>
      </c>
      <c r="R112" s="3">
        <f t="shared" si="10"/>
        <v>699.19999999999982</v>
      </c>
      <c r="S112" s="24" t="s">
        <v>1334</v>
      </c>
      <c r="T112" s="24" t="s">
        <v>1334</v>
      </c>
      <c r="U112" s="3"/>
      <c r="V112" s="25" t="s">
        <v>8006</v>
      </c>
      <c r="W112" s="25">
        <v>20517252558</v>
      </c>
      <c r="X112" s="25" t="str">
        <f>IFERROR(VLOOKUP(C_Ope_006[[#This Row],[nota_2]],Clientes_Proveedores[[Ruc / Dni]:[Razon Social]],2,0),"")</f>
        <v>COVISUR S.A.</v>
      </c>
      <c r="Y112" s="25"/>
      <c r="Z112" s="17"/>
      <c r="AA112" s="3" t="str">
        <f>IF(C_Ope_006[[#This Row],[fecha]]&gt;0,TEXT(C_Ope_006[[#This Row],[fecha]],"mmmm"),0)</f>
        <v>Mayo</v>
      </c>
      <c r="AB112" s="49"/>
    </row>
    <row r="113" spans="1:28" ht="36" x14ac:dyDescent="0.3">
      <c r="A113" s="2">
        <f>IF(C_Ope_006[[#This Row],[tipo_r]]="R",COUNTIFS($C$1:$C112,"R")+1,"")</f>
        <v>112</v>
      </c>
      <c r="B113" s="19" t="str">
        <f t="shared" si="13"/>
        <v>C_Ope_006</v>
      </c>
      <c r="C113" s="3" t="s">
        <v>1330</v>
      </c>
      <c r="D113" s="14">
        <v>45789</v>
      </c>
      <c r="E113" s="5" t="s">
        <v>8786</v>
      </c>
      <c r="F113" s="5" t="s">
        <v>1336</v>
      </c>
      <c r="G113" s="6" t="s">
        <v>227</v>
      </c>
      <c r="H113" s="6" t="s">
        <v>68</v>
      </c>
      <c r="I113" s="6" t="s">
        <v>1390</v>
      </c>
      <c r="J113" s="6">
        <v>131786</v>
      </c>
      <c r="K113" s="7" t="s">
        <v>8841</v>
      </c>
      <c r="L113" s="8">
        <v>24191</v>
      </c>
      <c r="M113" s="8" t="str">
        <f t="shared" si="14"/>
        <v>PEN</v>
      </c>
      <c r="N113" s="13"/>
      <c r="O113" s="13">
        <v>10</v>
      </c>
      <c r="P113" s="3">
        <f t="shared" si="8"/>
        <v>0</v>
      </c>
      <c r="Q113" s="3">
        <f t="shared" si="9"/>
        <v>10</v>
      </c>
      <c r="R113" s="3">
        <f t="shared" si="10"/>
        <v>689.19999999999982</v>
      </c>
      <c r="S113" s="24" t="s">
        <v>1334</v>
      </c>
      <c r="T113" s="24" t="s">
        <v>1334</v>
      </c>
      <c r="U113" s="3"/>
      <c r="V113" s="25" t="s">
        <v>8006</v>
      </c>
      <c r="W113" s="25">
        <v>20124952850</v>
      </c>
      <c r="X113" s="25" t="str">
        <f>IFERROR(VLOOKUP(C_Ope_006[[#This Row],[nota_2]],Clientes_Proveedores[[Ruc / Dni]:[Razon Social]],2,0),"")</f>
        <v>ALIMENTOS Y SERVICIOS AGROPECUARIOS SRL.</v>
      </c>
      <c r="Y113" s="25"/>
      <c r="Z113" s="17"/>
      <c r="AA113" s="3" t="str">
        <f>IF(C_Ope_006[[#This Row],[fecha]]&gt;0,TEXT(C_Ope_006[[#This Row],[fecha]],"mmmm"),0)</f>
        <v>Mayo</v>
      </c>
      <c r="AB113" s="49"/>
    </row>
    <row r="114" spans="1:28" ht="24" x14ac:dyDescent="0.3">
      <c r="A114" s="2">
        <f>IF(C_Ope_006[[#This Row],[tipo_r]]="R",COUNTIFS($C$1:$C113,"R")+1,"")</f>
        <v>113</v>
      </c>
      <c r="B114" s="19" t="str">
        <f t="shared" si="13"/>
        <v>C_Ope_006</v>
      </c>
      <c r="C114" s="3" t="s">
        <v>1330</v>
      </c>
      <c r="D114" s="14">
        <v>45790</v>
      </c>
      <c r="E114" s="5" t="s">
        <v>8786</v>
      </c>
      <c r="F114" s="5" t="s">
        <v>1336</v>
      </c>
      <c r="G114" s="6" t="s">
        <v>999</v>
      </c>
      <c r="H114" s="6" t="s">
        <v>68</v>
      </c>
      <c r="I114" s="6" t="s">
        <v>1374</v>
      </c>
      <c r="J114" s="6">
        <v>17678</v>
      </c>
      <c r="K114" s="7" t="s">
        <v>7777</v>
      </c>
      <c r="L114" s="8">
        <v>24198</v>
      </c>
      <c r="M114" s="8" t="str">
        <f t="shared" si="14"/>
        <v>PEN</v>
      </c>
      <c r="N114" s="13"/>
      <c r="O114" s="13">
        <v>35</v>
      </c>
      <c r="P114" s="3">
        <f t="shared" si="8"/>
        <v>0</v>
      </c>
      <c r="Q114" s="3">
        <f t="shared" si="9"/>
        <v>35</v>
      </c>
      <c r="R114" s="3">
        <f t="shared" si="10"/>
        <v>654.19999999999982</v>
      </c>
      <c r="S114" s="24" t="s">
        <v>1334</v>
      </c>
      <c r="T114" s="24" t="s">
        <v>1334</v>
      </c>
      <c r="U114" s="3"/>
      <c r="V114" s="25" t="s">
        <v>8006</v>
      </c>
      <c r="W114" s="25">
        <v>10705628331</v>
      </c>
      <c r="X114" s="25" t="str">
        <f>IFERROR(VLOOKUP(C_Ope_006[[#This Row],[nota_2]],Clientes_Proveedores[[Ruc / Dni]:[Razon Social]],2,0),"")</f>
        <v>LARICO APAZA NANCY ROSSMARY</v>
      </c>
      <c r="Y114" s="25"/>
      <c r="Z114" s="17"/>
      <c r="AA114" s="3" t="str">
        <f>IF(C_Ope_006[[#This Row],[fecha]]&gt;0,TEXT(C_Ope_006[[#This Row],[fecha]],"mmmm"),0)</f>
        <v>Mayo</v>
      </c>
      <c r="AB114" s="49"/>
    </row>
    <row r="115" spans="1:28" ht="24" x14ac:dyDescent="0.3">
      <c r="A115" s="2">
        <f>IF(C_Ope_006[[#This Row],[tipo_r]]="R",COUNTIFS($C$1:$C114,"R")+1,"")</f>
        <v>114</v>
      </c>
      <c r="B115" s="19" t="str">
        <f t="shared" si="13"/>
        <v>C_Ope_006</v>
      </c>
      <c r="C115" s="3" t="s">
        <v>1330</v>
      </c>
      <c r="D115" s="14">
        <v>45792</v>
      </c>
      <c r="E115" s="5" t="s">
        <v>8786</v>
      </c>
      <c r="F115" s="5" t="s">
        <v>1336</v>
      </c>
      <c r="G115" s="6" t="s">
        <v>999</v>
      </c>
      <c r="H115" s="6" t="s">
        <v>68</v>
      </c>
      <c r="I115" s="6" t="s">
        <v>1374</v>
      </c>
      <c r="J115" s="6">
        <v>17747</v>
      </c>
      <c r="K115" s="7" t="s">
        <v>7777</v>
      </c>
      <c r="L115" s="8">
        <v>24211</v>
      </c>
      <c r="M115" s="8" t="str">
        <f t="shared" si="14"/>
        <v>PEN</v>
      </c>
      <c r="N115" s="13"/>
      <c r="O115" s="13">
        <v>35</v>
      </c>
      <c r="P115" s="3">
        <f t="shared" si="8"/>
        <v>0</v>
      </c>
      <c r="Q115" s="3">
        <f t="shared" si="9"/>
        <v>35</v>
      </c>
      <c r="R115" s="3">
        <f t="shared" si="10"/>
        <v>619.19999999999982</v>
      </c>
      <c r="S115" s="24" t="s">
        <v>1334</v>
      </c>
      <c r="T115" s="24" t="s">
        <v>1334</v>
      </c>
      <c r="U115" s="3"/>
      <c r="V115" s="25" t="s">
        <v>8006</v>
      </c>
      <c r="W115" s="25">
        <v>10705628331</v>
      </c>
      <c r="X115" s="25" t="str">
        <f>IFERROR(VLOOKUP(C_Ope_006[[#This Row],[nota_2]],Clientes_Proveedores[[Ruc / Dni]:[Razon Social]],2,0),"")</f>
        <v>LARICO APAZA NANCY ROSSMARY</v>
      </c>
      <c r="Y115" s="25"/>
      <c r="Z115" s="17"/>
      <c r="AA115" s="3" t="str">
        <f>IF(C_Ope_006[[#This Row],[fecha]]&gt;0,TEXT(C_Ope_006[[#This Row],[fecha]],"mmmm"),0)</f>
        <v>Mayo</v>
      </c>
      <c r="AB115" s="49"/>
    </row>
    <row r="116" spans="1:28" ht="24" x14ac:dyDescent="0.3">
      <c r="A116" s="2">
        <f>IF(C_Ope_006[[#This Row],[tipo_r]]="R",COUNTIFS($C$1:$C115,"R")+1,"")</f>
        <v>115</v>
      </c>
      <c r="B116" s="19" t="str">
        <f t="shared" si="13"/>
        <v>C_Ope_006</v>
      </c>
      <c r="C116" s="3" t="s">
        <v>1330</v>
      </c>
      <c r="D116" s="14">
        <v>45796</v>
      </c>
      <c r="E116" s="5" t="s">
        <v>8786</v>
      </c>
      <c r="F116" s="5" t="s">
        <v>1336</v>
      </c>
      <c r="G116" s="6" t="s">
        <v>978</v>
      </c>
      <c r="H116" s="6" t="s">
        <v>68</v>
      </c>
      <c r="I116" s="6" t="s">
        <v>6204</v>
      </c>
      <c r="J116" s="6">
        <v>1734548</v>
      </c>
      <c r="K116" s="7" t="s">
        <v>8842</v>
      </c>
      <c r="L116" s="8">
        <v>24217</v>
      </c>
      <c r="M116" s="8" t="str">
        <f t="shared" si="14"/>
        <v>PEN</v>
      </c>
      <c r="N116" s="13"/>
      <c r="O116" s="13">
        <v>12</v>
      </c>
      <c r="P116" s="3">
        <f t="shared" si="8"/>
        <v>0</v>
      </c>
      <c r="Q116" s="3">
        <f t="shared" si="9"/>
        <v>12</v>
      </c>
      <c r="R116" s="3">
        <f t="shared" si="10"/>
        <v>607.19999999999982</v>
      </c>
      <c r="S116" s="24" t="s">
        <v>1334</v>
      </c>
      <c r="T116" s="24" t="s">
        <v>1334</v>
      </c>
      <c r="U116" s="3"/>
      <c r="V116" s="25" t="s">
        <v>8006</v>
      </c>
      <c r="W116" s="25">
        <v>20517252558</v>
      </c>
      <c r="X116" s="25" t="str">
        <f>IFERROR(VLOOKUP(C_Ope_006[[#This Row],[nota_2]],Clientes_Proveedores[[Ruc / Dni]:[Razon Social]],2,0),"")</f>
        <v>COVISUR S.A.</v>
      </c>
      <c r="Y116" s="25"/>
      <c r="Z116" s="17"/>
      <c r="AA116" s="3" t="str">
        <f>IF(C_Ope_006[[#This Row],[fecha]]&gt;0,TEXT(C_Ope_006[[#This Row],[fecha]],"mmmm"),0)</f>
        <v>Mayo</v>
      </c>
      <c r="AB116" s="49"/>
    </row>
    <row r="117" spans="1:28" ht="24" x14ac:dyDescent="0.3">
      <c r="A117" s="2">
        <f>IF(C_Ope_006[[#This Row],[tipo_r]]="R",COUNTIFS($C$1:$C116,"R")+1,"")</f>
        <v>116</v>
      </c>
      <c r="B117" s="19" t="str">
        <f t="shared" si="13"/>
        <v>C_Ope_006</v>
      </c>
      <c r="C117" s="3" t="s">
        <v>1330</v>
      </c>
      <c r="D117" s="14">
        <v>45796</v>
      </c>
      <c r="E117" s="5" t="s">
        <v>8786</v>
      </c>
      <c r="F117" s="5" t="s">
        <v>1336</v>
      </c>
      <c r="G117" s="6" t="s">
        <v>978</v>
      </c>
      <c r="H117" s="6" t="s">
        <v>68</v>
      </c>
      <c r="I117" s="6" t="s">
        <v>5845</v>
      </c>
      <c r="J117" s="6">
        <v>1754716</v>
      </c>
      <c r="K117" s="7" t="s">
        <v>8842</v>
      </c>
      <c r="L117" s="8">
        <v>24222</v>
      </c>
      <c r="M117" s="8" t="str">
        <f t="shared" si="14"/>
        <v>PEN</v>
      </c>
      <c r="N117" s="13"/>
      <c r="O117" s="13">
        <v>12</v>
      </c>
      <c r="P117" s="3">
        <f t="shared" si="8"/>
        <v>0</v>
      </c>
      <c r="Q117" s="3">
        <f t="shared" si="9"/>
        <v>12</v>
      </c>
      <c r="R117" s="3">
        <f t="shared" si="10"/>
        <v>595.19999999999982</v>
      </c>
      <c r="S117" s="24" t="s">
        <v>1334</v>
      </c>
      <c r="T117" s="24" t="s">
        <v>1334</v>
      </c>
      <c r="U117" s="3"/>
      <c r="V117" s="25" t="s">
        <v>8006</v>
      </c>
      <c r="W117" s="25">
        <v>20517252558</v>
      </c>
      <c r="X117" s="25" t="str">
        <f>IFERROR(VLOOKUP(C_Ope_006[[#This Row],[nota_2]],Clientes_Proveedores[[Ruc / Dni]:[Razon Social]],2,0),"")</f>
        <v>COVISUR S.A.</v>
      </c>
      <c r="Y117" s="25"/>
      <c r="Z117" s="17"/>
      <c r="AA117" s="3" t="str">
        <f>IF(C_Ope_006[[#This Row],[fecha]]&gt;0,TEXT(C_Ope_006[[#This Row],[fecha]],"mmmm"),0)</f>
        <v>Mayo</v>
      </c>
      <c r="AB117" s="49"/>
    </row>
    <row r="118" spans="1:28" ht="24" x14ac:dyDescent="0.3">
      <c r="A118" s="2">
        <f>IF(C_Ope_006[[#This Row],[tipo_r]]="R",COUNTIFS($C$1:$C117,"R")+1,"")</f>
        <v>117</v>
      </c>
      <c r="B118" s="19" t="str">
        <f t="shared" si="13"/>
        <v>C_Ope_006</v>
      </c>
      <c r="C118" s="3" t="s">
        <v>1330</v>
      </c>
      <c r="D118" s="14">
        <v>45798</v>
      </c>
      <c r="E118" s="5" t="s">
        <v>8786</v>
      </c>
      <c r="F118" s="5" t="s">
        <v>1336</v>
      </c>
      <c r="G118" s="6" t="s">
        <v>978</v>
      </c>
      <c r="H118" s="6" t="s">
        <v>68</v>
      </c>
      <c r="I118" s="6" t="s">
        <v>5688</v>
      </c>
      <c r="J118" s="6">
        <v>2339088</v>
      </c>
      <c r="K118" s="7" t="s">
        <v>7820</v>
      </c>
      <c r="L118" s="8">
        <v>24243</v>
      </c>
      <c r="M118" s="8" t="str">
        <f t="shared" si="14"/>
        <v>PEN</v>
      </c>
      <c r="N118" s="13"/>
      <c r="O118" s="13">
        <v>12</v>
      </c>
      <c r="P118" s="3">
        <f t="shared" si="8"/>
        <v>0</v>
      </c>
      <c r="Q118" s="3">
        <f t="shared" si="9"/>
        <v>12</v>
      </c>
      <c r="R118" s="3">
        <f t="shared" si="10"/>
        <v>583.19999999999982</v>
      </c>
      <c r="S118" s="24" t="s">
        <v>1334</v>
      </c>
      <c r="T118" s="24" t="s">
        <v>1334</v>
      </c>
      <c r="U118" s="3"/>
      <c r="V118" s="25" t="s">
        <v>8006</v>
      </c>
      <c r="W118" s="25">
        <v>20517252558</v>
      </c>
      <c r="X118" s="25" t="str">
        <f>IFERROR(VLOOKUP(C_Ope_006[[#This Row],[nota_2]],Clientes_Proveedores[[Ruc / Dni]:[Razon Social]],2,0),"")</f>
        <v>COVISUR S.A.</v>
      </c>
      <c r="Y118" s="25"/>
      <c r="Z118" s="17"/>
      <c r="AA118" s="3" t="str">
        <f>IF(C_Ope_006[[#This Row],[fecha]]&gt;0,TEXT(C_Ope_006[[#This Row],[fecha]],"mmmm"),0)</f>
        <v>Mayo</v>
      </c>
      <c r="AB118" s="49"/>
    </row>
    <row r="119" spans="1:28" ht="24" x14ac:dyDescent="0.3">
      <c r="A119" s="2">
        <f>IF(C_Ope_006[[#This Row],[tipo_r]]="R",COUNTIFS($C$1:$C118,"R")+1,"")</f>
        <v>118</v>
      </c>
      <c r="B119" s="19" t="str">
        <f t="shared" si="13"/>
        <v>C_Ope_006</v>
      </c>
      <c r="C119" s="3" t="s">
        <v>1330</v>
      </c>
      <c r="D119" s="14">
        <v>45798</v>
      </c>
      <c r="E119" s="5" t="s">
        <v>8786</v>
      </c>
      <c r="F119" s="5" t="s">
        <v>1336</v>
      </c>
      <c r="G119" s="6" t="s">
        <v>978</v>
      </c>
      <c r="H119" s="6" t="s">
        <v>68</v>
      </c>
      <c r="I119" s="6" t="s">
        <v>5845</v>
      </c>
      <c r="J119" s="6">
        <v>1756360</v>
      </c>
      <c r="K119" s="7" t="s">
        <v>7820</v>
      </c>
      <c r="L119" s="8">
        <v>24247</v>
      </c>
      <c r="M119" s="8" t="str">
        <f t="shared" si="14"/>
        <v>PEN</v>
      </c>
      <c r="N119" s="13"/>
      <c r="O119" s="13">
        <v>12</v>
      </c>
      <c r="P119" s="3">
        <f t="shared" si="8"/>
        <v>0</v>
      </c>
      <c r="Q119" s="3">
        <f t="shared" si="9"/>
        <v>12</v>
      </c>
      <c r="R119" s="3">
        <f t="shared" si="10"/>
        <v>571.19999999999982</v>
      </c>
      <c r="S119" s="24" t="s">
        <v>1334</v>
      </c>
      <c r="T119" s="24" t="s">
        <v>1334</v>
      </c>
      <c r="U119" s="3"/>
      <c r="V119" s="25" t="s">
        <v>8006</v>
      </c>
      <c r="W119" s="25">
        <v>20517252558</v>
      </c>
      <c r="X119" s="25" t="str">
        <f>IFERROR(VLOOKUP(C_Ope_006[[#This Row],[nota_2]],Clientes_Proveedores[[Ruc / Dni]:[Razon Social]],2,0),"")</f>
        <v>COVISUR S.A.</v>
      </c>
      <c r="Y119" s="25"/>
      <c r="Z119" s="17"/>
      <c r="AA119" s="3" t="str">
        <f>IF(C_Ope_006[[#This Row],[fecha]]&gt;0,TEXT(C_Ope_006[[#This Row],[fecha]],"mmmm"),0)</f>
        <v>Mayo</v>
      </c>
      <c r="AB119" s="49"/>
    </row>
    <row r="120" spans="1:28" ht="24" x14ac:dyDescent="0.3">
      <c r="A120" s="2">
        <f>IF(C_Ope_006[[#This Row],[tipo_r]]="R",COUNTIFS($C$1:$C119,"R")+1,"")</f>
        <v>119</v>
      </c>
      <c r="B120" s="19" t="str">
        <f t="shared" si="13"/>
        <v>C_Ope_006</v>
      </c>
      <c r="C120" s="3" t="s">
        <v>1330</v>
      </c>
      <c r="D120" s="14">
        <v>45799</v>
      </c>
      <c r="E120" s="5" t="s">
        <v>8786</v>
      </c>
      <c r="F120" s="5" t="s">
        <v>1336</v>
      </c>
      <c r="G120" s="6" t="s">
        <v>978</v>
      </c>
      <c r="H120" s="6" t="s">
        <v>68</v>
      </c>
      <c r="I120" s="6" t="s">
        <v>5688</v>
      </c>
      <c r="J120" s="6">
        <v>2340205</v>
      </c>
      <c r="K120" s="7" t="s">
        <v>8293</v>
      </c>
      <c r="L120" s="8">
        <v>24276</v>
      </c>
      <c r="M120" s="8" t="str">
        <f t="shared" si="14"/>
        <v>PEN</v>
      </c>
      <c r="N120" s="13"/>
      <c r="O120" s="13">
        <v>12</v>
      </c>
      <c r="P120" s="3">
        <f t="shared" si="8"/>
        <v>0</v>
      </c>
      <c r="Q120" s="3">
        <f t="shared" si="9"/>
        <v>12</v>
      </c>
      <c r="R120" s="3">
        <f t="shared" si="10"/>
        <v>559.19999999999982</v>
      </c>
      <c r="S120" s="24" t="s">
        <v>1334</v>
      </c>
      <c r="T120" s="24" t="s">
        <v>1334</v>
      </c>
      <c r="U120" s="3"/>
      <c r="V120" s="25" t="s">
        <v>8006</v>
      </c>
      <c r="W120" s="25">
        <v>20517252558</v>
      </c>
      <c r="X120" s="25" t="str">
        <f>IFERROR(VLOOKUP(C_Ope_006[[#This Row],[nota_2]],Clientes_Proveedores[[Ruc / Dni]:[Razon Social]],2,0),"")</f>
        <v>COVISUR S.A.</v>
      </c>
      <c r="Y120" s="25"/>
      <c r="Z120" s="17"/>
      <c r="AA120" s="3" t="str">
        <f>IF(C_Ope_006[[#This Row],[fecha]]&gt;0,TEXT(C_Ope_006[[#This Row],[fecha]],"mmmm"),0)</f>
        <v>Mayo</v>
      </c>
      <c r="AB120" s="49"/>
    </row>
    <row r="121" spans="1:28" ht="24" x14ac:dyDescent="0.3">
      <c r="A121" s="2">
        <f>IF(C_Ope_006[[#This Row],[tipo_r]]="R",COUNTIFS($C$1:$C120,"R")+1,"")</f>
        <v>120</v>
      </c>
      <c r="B121" s="19" t="str">
        <f t="shared" si="13"/>
        <v>C_Ope_006</v>
      </c>
      <c r="C121" s="3" t="s">
        <v>1330</v>
      </c>
      <c r="D121" s="14">
        <v>45799</v>
      </c>
      <c r="E121" s="5" t="s">
        <v>8786</v>
      </c>
      <c r="F121" s="5" t="s">
        <v>1336</v>
      </c>
      <c r="G121" s="6" t="s">
        <v>978</v>
      </c>
      <c r="H121" s="6" t="s">
        <v>68</v>
      </c>
      <c r="I121" s="6" t="s">
        <v>6203</v>
      </c>
      <c r="J121" s="6">
        <v>2057847</v>
      </c>
      <c r="K121" s="7" t="s">
        <v>8293</v>
      </c>
      <c r="L121" s="8">
        <v>24277</v>
      </c>
      <c r="M121" s="8" t="str">
        <f t="shared" si="14"/>
        <v>PEN</v>
      </c>
      <c r="N121" s="13"/>
      <c r="O121" s="13">
        <v>12</v>
      </c>
      <c r="P121" s="3">
        <f t="shared" si="8"/>
        <v>0</v>
      </c>
      <c r="Q121" s="3">
        <f t="shared" si="9"/>
        <v>12</v>
      </c>
      <c r="R121" s="3">
        <f t="shared" si="10"/>
        <v>547.19999999999982</v>
      </c>
      <c r="S121" s="24" t="s">
        <v>1334</v>
      </c>
      <c r="T121" s="24" t="s">
        <v>1334</v>
      </c>
      <c r="U121" s="3"/>
      <c r="V121" s="25" t="s">
        <v>8006</v>
      </c>
      <c r="W121" s="25">
        <v>20517252558</v>
      </c>
      <c r="X121" s="25" t="str">
        <f>IFERROR(VLOOKUP(C_Ope_006[[#This Row],[nota_2]],Clientes_Proveedores[[Ruc / Dni]:[Razon Social]],2,0),"")</f>
        <v>COVISUR S.A.</v>
      </c>
      <c r="Y121" s="25"/>
      <c r="Z121" s="17"/>
      <c r="AA121" s="3" t="str">
        <f>IF(C_Ope_006[[#This Row],[fecha]]&gt;0,TEXT(C_Ope_006[[#This Row],[fecha]],"mmmm"),0)</f>
        <v>Mayo</v>
      </c>
      <c r="AB121" s="49"/>
    </row>
    <row r="122" spans="1:28" ht="24" x14ac:dyDescent="0.3">
      <c r="A122" s="2">
        <f>IF(C_Ope_006[[#This Row],[tipo_r]]="R",COUNTIFS($C$1:$C121,"R")+1,"")</f>
        <v>121</v>
      </c>
      <c r="B122" s="19" t="str">
        <f t="shared" si="13"/>
        <v>C_Ope_006</v>
      </c>
      <c r="C122" s="3" t="s">
        <v>1330</v>
      </c>
      <c r="D122" s="14">
        <v>45799</v>
      </c>
      <c r="E122" s="5" t="s">
        <v>8786</v>
      </c>
      <c r="F122" s="5" t="s">
        <v>1336</v>
      </c>
      <c r="G122" s="6" t="s">
        <v>978</v>
      </c>
      <c r="H122" s="6" t="s">
        <v>68</v>
      </c>
      <c r="I122" s="6" t="s">
        <v>5688</v>
      </c>
      <c r="J122" s="6">
        <v>2340482</v>
      </c>
      <c r="K122" s="7" t="s">
        <v>8843</v>
      </c>
      <c r="L122" s="8">
        <v>24281</v>
      </c>
      <c r="M122" s="8" t="str">
        <f t="shared" si="14"/>
        <v>PEN</v>
      </c>
      <c r="N122" s="13"/>
      <c r="O122" s="13">
        <v>12</v>
      </c>
      <c r="P122" s="3">
        <f t="shared" si="8"/>
        <v>0</v>
      </c>
      <c r="Q122" s="3">
        <f t="shared" si="9"/>
        <v>12</v>
      </c>
      <c r="R122" s="3">
        <f t="shared" si="10"/>
        <v>535.19999999999982</v>
      </c>
      <c r="S122" s="24" t="s">
        <v>1334</v>
      </c>
      <c r="T122" s="24" t="s">
        <v>1334</v>
      </c>
      <c r="U122" s="3"/>
      <c r="V122" s="25" t="s">
        <v>8006</v>
      </c>
      <c r="W122" s="25">
        <v>20517252558</v>
      </c>
      <c r="X122" s="25" t="str">
        <f>IFERROR(VLOOKUP(C_Ope_006[[#This Row],[nota_2]],Clientes_Proveedores[[Ruc / Dni]:[Razon Social]],2,0),"")</f>
        <v>COVISUR S.A.</v>
      </c>
      <c r="Y122" s="25"/>
      <c r="Z122" s="17"/>
      <c r="AA122" s="3" t="str">
        <f>IF(C_Ope_006[[#This Row],[fecha]]&gt;0,TEXT(C_Ope_006[[#This Row],[fecha]],"mmmm"),0)</f>
        <v>Mayo</v>
      </c>
      <c r="AB122" s="49"/>
    </row>
    <row r="123" spans="1:28" ht="36" x14ac:dyDescent="0.3">
      <c r="A123" s="2">
        <f>IF(C_Ope_006[[#This Row],[tipo_r]]="R",COUNTIFS($C$1:$C122,"R")+1,"")</f>
        <v>122</v>
      </c>
      <c r="B123" s="19" t="str">
        <f t="shared" si="13"/>
        <v>C_Ope_006</v>
      </c>
      <c r="C123" s="3" t="s">
        <v>1330</v>
      </c>
      <c r="D123" s="14">
        <v>45799</v>
      </c>
      <c r="E123" s="5" t="s">
        <v>8786</v>
      </c>
      <c r="F123" s="5" t="s">
        <v>1336</v>
      </c>
      <c r="G123" s="6" t="s">
        <v>1006</v>
      </c>
      <c r="H123" s="6" t="s">
        <v>68</v>
      </c>
      <c r="I123" s="6" t="s">
        <v>7901</v>
      </c>
      <c r="J123" s="6">
        <v>756463</v>
      </c>
      <c r="K123" s="7" t="s">
        <v>8844</v>
      </c>
      <c r="L123" s="8">
        <v>24282</v>
      </c>
      <c r="M123" s="8" t="str">
        <f t="shared" si="14"/>
        <v>PEN</v>
      </c>
      <c r="N123" s="13"/>
      <c r="O123" s="13">
        <v>23.6</v>
      </c>
      <c r="P123" s="3">
        <f t="shared" si="8"/>
        <v>0</v>
      </c>
      <c r="Q123" s="3">
        <f t="shared" si="9"/>
        <v>23.6</v>
      </c>
      <c r="R123" s="3">
        <f t="shared" si="10"/>
        <v>511.5999999999998</v>
      </c>
      <c r="S123" s="24" t="s">
        <v>1334</v>
      </c>
      <c r="T123" s="24" t="s">
        <v>1334</v>
      </c>
      <c r="U123" s="3"/>
      <c r="V123" s="25" t="s">
        <v>8006</v>
      </c>
      <c r="W123" s="25">
        <v>20550033519</v>
      </c>
      <c r="X123" s="25" t="str">
        <f>IFERROR(VLOOKUP(C_Ope_006[[#This Row],[nota_2]],Clientes_Proveedores[[Ruc / Dni]:[Razon Social]],2,0),"")</f>
        <v>CONCESIONARIA PERUANA DE VIAS-COVINCA S.A.</v>
      </c>
      <c r="Y123" s="25"/>
      <c r="Z123" s="17"/>
      <c r="AA123" s="3" t="str">
        <f>IF(C_Ope_006[[#This Row],[fecha]]&gt;0,TEXT(C_Ope_006[[#This Row],[fecha]],"mmmm"),0)</f>
        <v>Mayo</v>
      </c>
      <c r="AB123" s="49"/>
    </row>
    <row r="124" spans="1:28" ht="36" x14ac:dyDescent="0.3">
      <c r="A124" s="2">
        <f>IF(C_Ope_006[[#This Row],[tipo_r]]="R",COUNTIFS($C$1:$C123,"R")+1,"")</f>
        <v>123</v>
      </c>
      <c r="B124" s="19" t="str">
        <f t="shared" si="13"/>
        <v>C_Ope_006</v>
      </c>
      <c r="C124" s="3" t="s">
        <v>1330</v>
      </c>
      <c r="D124" s="14">
        <v>45799</v>
      </c>
      <c r="E124" s="5" t="s">
        <v>8786</v>
      </c>
      <c r="F124" s="5" t="s">
        <v>1336</v>
      </c>
      <c r="G124" s="6" t="s">
        <v>1006</v>
      </c>
      <c r="H124" s="6" t="s">
        <v>68</v>
      </c>
      <c r="I124" s="6" t="s">
        <v>1397</v>
      </c>
      <c r="J124" s="6">
        <v>902639</v>
      </c>
      <c r="K124" s="7" t="s">
        <v>8845</v>
      </c>
      <c r="L124" s="8">
        <v>24283</v>
      </c>
      <c r="M124" s="8" t="str">
        <f t="shared" si="14"/>
        <v>PEN</v>
      </c>
      <c r="N124" s="13"/>
      <c r="O124" s="13">
        <v>23.6</v>
      </c>
      <c r="P124" s="3">
        <f t="shared" si="8"/>
        <v>0</v>
      </c>
      <c r="Q124" s="3">
        <f t="shared" si="9"/>
        <v>23.6</v>
      </c>
      <c r="R124" s="3">
        <f t="shared" si="10"/>
        <v>487.99999999999977</v>
      </c>
      <c r="S124" s="24" t="s">
        <v>1334</v>
      </c>
      <c r="T124" s="24" t="s">
        <v>1334</v>
      </c>
      <c r="U124" s="3"/>
      <c r="V124" s="25" t="s">
        <v>8006</v>
      </c>
      <c r="W124" s="25">
        <v>20550033519</v>
      </c>
      <c r="X124" s="25" t="str">
        <f>IFERROR(VLOOKUP(C_Ope_006[[#This Row],[nota_2]],Clientes_Proveedores[[Ruc / Dni]:[Razon Social]],2,0),"")</f>
        <v>CONCESIONARIA PERUANA DE VIAS-COVINCA S.A.</v>
      </c>
      <c r="Y124" s="25"/>
      <c r="Z124" s="17"/>
      <c r="AA124" s="3" t="str">
        <f>IF(C_Ope_006[[#This Row],[fecha]]&gt;0,TEXT(C_Ope_006[[#This Row],[fecha]],"mmmm"),0)</f>
        <v>Mayo</v>
      </c>
      <c r="AB124" s="49"/>
    </row>
    <row r="125" spans="1:28" ht="36" x14ac:dyDescent="0.3">
      <c r="A125" s="2">
        <f>IF(C_Ope_006[[#This Row],[tipo_r]]="R",COUNTIFS($C$1:$C124,"R")+1,"")</f>
        <v>124</v>
      </c>
      <c r="B125" s="19" t="str">
        <f t="shared" si="13"/>
        <v>C_Ope_006</v>
      </c>
      <c r="C125" s="3" t="s">
        <v>1330</v>
      </c>
      <c r="D125" s="14">
        <v>45799</v>
      </c>
      <c r="E125" s="5" t="s">
        <v>8786</v>
      </c>
      <c r="F125" s="5" t="s">
        <v>1336</v>
      </c>
      <c r="G125" s="6" t="s">
        <v>1006</v>
      </c>
      <c r="H125" s="6" t="s">
        <v>68</v>
      </c>
      <c r="I125" s="6" t="s">
        <v>6378</v>
      </c>
      <c r="J125" s="6">
        <v>709118</v>
      </c>
      <c r="K125" s="7" t="s">
        <v>8846</v>
      </c>
      <c r="L125" s="8">
        <v>24284</v>
      </c>
      <c r="M125" s="8" t="str">
        <f t="shared" si="14"/>
        <v>PEN</v>
      </c>
      <c r="N125" s="13"/>
      <c r="O125" s="13">
        <v>23.6</v>
      </c>
      <c r="P125" s="3">
        <f t="shared" si="8"/>
        <v>0</v>
      </c>
      <c r="Q125" s="3">
        <f t="shared" si="9"/>
        <v>23.6</v>
      </c>
      <c r="R125" s="3">
        <f t="shared" si="10"/>
        <v>464.39999999999975</v>
      </c>
      <c r="S125" s="24" t="s">
        <v>1334</v>
      </c>
      <c r="T125" s="24" t="s">
        <v>1334</v>
      </c>
      <c r="U125" s="3"/>
      <c r="V125" s="25" t="s">
        <v>8006</v>
      </c>
      <c r="W125" s="25">
        <v>20550033519</v>
      </c>
      <c r="X125" s="25" t="str">
        <f>IFERROR(VLOOKUP(C_Ope_006[[#This Row],[nota_2]],Clientes_Proveedores[[Ruc / Dni]:[Razon Social]],2,0),"")</f>
        <v>CONCESIONARIA PERUANA DE VIAS-COVINCA S.A.</v>
      </c>
      <c r="Y125" s="25"/>
      <c r="Z125" s="17"/>
      <c r="AA125" s="3" t="str">
        <f>IF(C_Ope_006[[#This Row],[fecha]]&gt;0,TEXT(C_Ope_006[[#This Row],[fecha]],"mmmm"),0)</f>
        <v>Mayo</v>
      </c>
      <c r="AB125" s="49"/>
    </row>
    <row r="126" spans="1:28" ht="36" x14ac:dyDescent="0.3">
      <c r="A126" s="2">
        <f>IF(C_Ope_006[[#This Row],[tipo_r]]="R",COUNTIFS($C$1:$C125,"R")+1,"")</f>
        <v>125</v>
      </c>
      <c r="B126" s="19" t="str">
        <f t="shared" si="13"/>
        <v>C_Ope_006</v>
      </c>
      <c r="C126" s="3" t="s">
        <v>1330</v>
      </c>
      <c r="D126" s="14">
        <v>45800</v>
      </c>
      <c r="E126" s="5" t="s">
        <v>8786</v>
      </c>
      <c r="F126" s="5" t="s">
        <v>1336</v>
      </c>
      <c r="G126" s="6" t="s">
        <v>1006</v>
      </c>
      <c r="H126" s="6" t="s">
        <v>68</v>
      </c>
      <c r="I126" s="6" t="s">
        <v>8847</v>
      </c>
      <c r="J126" s="6">
        <v>479760</v>
      </c>
      <c r="K126" s="7" t="s">
        <v>8846</v>
      </c>
      <c r="L126" s="8">
        <v>24298</v>
      </c>
      <c r="M126" s="8" t="str">
        <f t="shared" si="14"/>
        <v>PEN</v>
      </c>
      <c r="N126" s="13"/>
      <c r="O126" s="13">
        <v>23.6</v>
      </c>
      <c r="P126" s="3">
        <f t="shared" si="8"/>
        <v>0</v>
      </c>
      <c r="Q126" s="3">
        <f t="shared" si="9"/>
        <v>23.6</v>
      </c>
      <c r="R126" s="3">
        <f t="shared" si="10"/>
        <v>440.79999999999973</v>
      </c>
      <c r="S126" s="24" t="s">
        <v>1334</v>
      </c>
      <c r="T126" s="24" t="s">
        <v>1334</v>
      </c>
      <c r="U126" s="3"/>
      <c r="V126" s="25" t="s">
        <v>8006</v>
      </c>
      <c r="W126" s="25">
        <v>20550033519</v>
      </c>
      <c r="X126" s="25" t="str">
        <f>IFERROR(VLOOKUP(C_Ope_006[[#This Row],[nota_2]],Clientes_Proveedores[[Ruc / Dni]:[Razon Social]],2,0),"")</f>
        <v>CONCESIONARIA PERUANA DE VIAS-COVINCA S.A.</v>
      </c>
      <c r="Y126" s="25"/>
      <c r="Z126" s="17"/>
      <c r="AA126" s="3" t="str">
        <f>IF(C_Ope_006[[#This Row],[fecha]]&gt;0,TEXT(C_Ope_006[[#This Row],[fecha]],"mmmm"),0)</f>
        <v>Mayo</v>
      </c>
      <c r="AB126" s="49"/>
    </row>
    <row r="127" spans="1:28" ht="36" x14ac:dyDescent="0.3">
      <c r="A127" s="2">
        <f>IF(C_Ope_006[[#This Row],[tipo_r]]="R",COUNTIFS($C$1:$C126,"R")+1,"")</f>
        <v>126</v>
      </c>
      <c r="B127" s="19" t="str">
        <f t="shared" si="13"/>
        <v>C_Ope_006</v>
      </c>
      <c r="C127" s="3" t="s">
        <v>1330</v>
      </c>
      <c r="D127" s="14">
        <v>45800</v>
      </c>
      <c r="E127" s="5" t="s">
        <v>8786</v>
      </c>
      <c r="F127" s="5" t="s">
        <v>1336</v>
      </c>
      <c r="G127" s="6" t="s">
        <v>1006</v>
      </c>
      <c r="H127" s="6" t="s">
        <v>68</v>
      </c>
      <c r="I127" s="6" t="s">
        <v>8848</v>
      </c>
      <c r="J127" s="6">
        <v>654843</v>
      </c>
      <c r="K127" s="7" t="s">
        <v>8845</v>
      </c>
      <c r="L127" s="8">
        <v>24300</v>
      </c>
      <c r="M127" s="8" t="str">
        <f t="shared" si="14"/>
        <v>PEN</v>
      </c>
      <c r="N127" s="13"/>
      <c r="O127" s="13">
        <v>23.6</v>
      </c>
      <c r="P127" s="3">
        <f t="shared" si="8"/>
        <v>0</v>
      </c>
      <c r="Q127" s="3">
        <f t="shared" si="9"/>
        <v>23.6</v>
      </c>
      <c r="R127" s="3">
        <f t="shared" si="10"/>
        <v>417.1999999999997</v>
      </c>
      <c r="S127" s="24" t="s">
        <v>1334</v>
      </c>
      <c r="T127" s="24" t="s">
        <v>1334</v>
      </c>
      <c r="U127" s="3"/>
      <c r="V127" s="25" t="s">
        <v>8006</v>
      </c>
      <c r="W127" s="25">
        <v>20550033519</v>
      </c>
      <c r="X127" s="25" t="str">
        <f>IFERROR(VLOOKUP(C_Ope_006[[#This Row],[nota_2]],Clientes_Proveedores[[Ruc / Dni]:[Razon Social]],2,0),"")</f>
        <v>CONCESIONARIA PERUANA DE VIAS-COVINCA S.A.</v>
      </c>
      <c r="Y127" s="25"/>
      <c r="Z127" s="17"/>
      <c r="AA127" s="3" t="str">
        <f>IF(C_Ope_006[[#This Row],[fecha]]&gt;0,TEXT(C_Ope_006[[#This Row],[fecha]],"mmmm"),0)</f>
        <v>Mayo</v>
      </c>
      <c r="AB127" s="49"/>
    </row>
    <row r="128" spans="1:28" ht="36" x14ac:dyDescent="0.3">
      <c r="A128" s="2">
        <f>IF(C_Ope_006[[#This Row],[tipo_r]]="R",COUNTIFS($C$1:$C127,"R")+1,"")</f>
        <v>127</v>
      </c>
      <c r="B128" s="19" t="str">
        <f t="shared" si="13"/>
        <v>C_Ope_006</v>
      </c>
      <c r="C128" s="3" t="s">
        <v>1330</v>
      </c>
      <c r="D128" s="14">
        <v>45800</v>
      </c>
      <c r="E128" s="5" t="s">
        <v>8786</v>
      </c>
      <c r="F128" s="5" t="s">
        <v>1336</v>
      </c>
      <c r="G128" s="6" t="s">
        <v>1006</v>
      </c>
      <c r="H128" s="6" t="s">
        <v>68</v>
      </c>
      <c r="I128" s="6" t="s">
        <v>8849</v>
      </c>
      <c r="J128" s="6">
        <v>533145</v>
      </c>
      <c r="K128" s="7" t="s">
        <v>8844</v>
      </c>
      <c r="L128" s="8">
        <v>24301</v>
      </c>
      <c r="M128" s="8" t="str">
        <f t="shared" si="14"/>
        <v>PEN</v>
      </c>
      <c r="N128" s="13"/>
      <c r="O128" s="13">
        <v>23.6</v>
      </c>
      <c r="P128" s="3">
        <f t="shared" si="8"/>
        <v>0</v>
      </c>
      <c r="Q128" s="3">
        <f t="shared" si="9"/>
        <v>23.6</v>
      </c>
      <c r="R128" s="3">
        <f t="shared" si="10"/>
        <v>393.59999999999968</v>
      </c>
      <c r="S128" s="24" t="s">
        <v>1334</v>
      </c>
      <c r="T128" s="24" t="s">
        <v>1334</v>
      </c>
      <c r="U128" s="3"/>
      <c r="V128" s="25" t="s">
        <v>8006</v>
      </c>
      <c r="W128" s="25">
        <v>20550033519</v>
      </c>
      <c r="X128" s="25" t="str">
        <f>IFERROR(VLOOKUP(C_Ope_006[[#This Row],[nota_2]],Clientes_Proveedores[[Ruc / Dni]:[Razon Social]],2,0),"")</f>
        <v>CONCESIONARIA PERUANA DE VIAS-COVINCA S.A.</v>
      </c>
      <c r="Y128" s="25"/>
      <c r="Z128" s="17"/>
      <c r="AA128" s="3" t="str">
        <f>IF(C_Ope_006[[#This Row],[fecha]]&gt;0,TEXT(C_Ope_006[[#This Row],[fecha]],"mmmm"),0)</f>
        <v>Mayo</v>
      </c>
      <c r="AB128" s="49"/>
    </row>
    <row r="129" spans="1:28" ht="24" x14ac:dyDescent="0.3">
      <c r="A129" s="2">
        <f>IF(C_Ope_006[[#This Row],[tipo_r]]="R",COUNTIFS($C$1:$C128,"R")+1,"")</f>
        <v>128</v>
      </c>
      <c r="B129" s="19" t="str">
        <f t="shared" si="13"/>
        <v>C_Ope_006</v>
      </c>
      <c r="C129" s="3" t="s">
        <v>1330</v>
      </c>
      <c r="D129" s="14">
        <v>45800</v>
      </c>
      <c r="E129" s="5" t="s">
        <v>8786</v>
      </c>
      <c r="F129" s="5" t="s">
        <v>1336</v>
      </c>
      <c r="G129" s="6" t="s">
        <v>978</v>
      </c>
      <c r="H129" s="6" t="s">
        <v>68</v>
      </c>
      <c r="I129" s="6" t="s">
        <v>6203</v>
      </c>
      <c r="J129" s="6">
        <v>2059259</v>
      </c>
      <c r="K129" s="7" t="s">
        <v>8843</v>
      </c>
      <c r="L129" s="8">
        <v>24302</v>
      </c>
      <c r="M129" s="8" t="str">
        <f t="shared" si="14"/>
        <v>PEN</v>
      </c>
      <c r="N129" s="13"/>
      <c r="O129" s="13">
        <v>12</v>
      </c>
      <c r="P129" s="3">
        <f t="shared" si="8"/>
        <v>0</v>
      </c>
      <c r="Q129" s="3">
        <f t="shared" si="9"/>
        <v>12</v>
      </c>
      <c r="R129" s="3">
        <f t="shared" si="10"/>
        <v>381.59999999999968</v>
      </c>
      <c r="S129" s="24" t="s">
        <v>1334</v>
      </c>
      <c r="T129" s="24" t="s">
        <v>1334</v>
      </c>
      <c r="U129" s="3"/>
      <c r="V129" s="25" t="s">
        <v>8006</v>
      </c>
      <c r="W129" s="25">
        <v>20517252558</v>
      </c>
      <c r="X129" s="25" t="str">
        <f>IFERROR(VLOOKUP(C_Ope_006[[#This Row],[nota_2]],Clientes_Proveedores[[Ruc / Dni]:[Razon Social]],2,0),"")</f>
        <v>COVISUR S.A.</v>
      </c>
      <c r="Y129" s="25"/>
      <c r="Z129" s="17"/>
      <c r="AA129" s="3" t="str">
        <f>IF(C_Ope_006[[#This Row],[fecha]]&gt;0,TEXT(C_Ope_006[[#This Row],[fecha]],"mmmm"),0)</f>
        <v>Mayo</v>
      </c>
      <c r="AB129" s="49"/>
    </row>
    <row r="130" spans="1:28" ht="24" x14ac:dyDescent="0.3">
      <c r="A130" s="2">
        <f>IF(C_Ope_006[[#This Row],[tipo_r]]="R",COUNTIFS($C$1:$C129,"R")+1,"")</f>
        <v>129</v>
      </c>
      <c r="B130" s="19" t="str">
        <f t="shared" si="13"/>
        <v>C_Ope_006</v>
      </c>
      <c r="C130" s="3" t="s">
        <v>1330</v>
      </c>
      <c r="D130" s="14">
        <v>45796</v>
      </c>
      <c r="E130" s="5" t="s">
        <v>8786</v>
      </c>
      <c r="F130" s="5" t="s">
        <v>1336</v>
      </c>
      <c r="G130" s="6" t="s">
        <v>1147</v>
      </c>
      <c r="H130" s="6" t="s">
        <v>68</v>
      </c>
      <c r="I130" s="6" t="s">
        <v>1386</v>
      </c>
      <c r="J130" s="6">
        <v>16403</v>
      </c>
      <c r="K130" s="7" t="s">
        <v>8850</v>
      </c>
      <c r="L130" s="8">
        <v>24218</v>
      </c>
      <c r="M130" s="8" t="str">
        <f t="shared" si="14"/>
        <v>PEN</v>
      </c>
      <c r="N130" s="13"/>
      <c r="O130" s="13">
        <v>12</v>
      </c>
      <c r="P130" s="3">
        <f t="shared" ref="P130:P193" si="15">+IF(OR($F130="SALDO",$F130="INGRESO"),$O130,0)</f>
        <v>0</v>
      </c>
      <c r="Q130" s="3">
        <f t="shared" ref="Q130:Q193" si="16">+IF($F130="EGRESO",$O130,0)</f>
        <v>12</v>
      </c>
      <c r="R130" s="3">
        <f t="shared" ref="R130:R193" si="17">IFERROR(IF(F130="SALDO",P130,R129+P130-Q130),0)</f>
        <v>369.59999999999968</v>
      </c>
      <c r="S130" s="24" t="s">
        <v>1334</v>
      </c>
      <c r="T130" s="24" t="s">
        <v>1334</v>
      </c>
      <c r="U130" s="3"/>
      <c r="V130" s="25" t="s">
        <v>8006</v>
      </c>
      <c r="W130" s="25">
        <v>20162554167</v>
      </c>
      <c r="X130" s="25" t="str">
        <f>IFERROR(VLOOKUP(C_Ope_006[[#This Row],[nota_2]],Clientes_Proveedores[[Ruc / Dni]:[Razon Social]],2,0),"")</f>
        <v>AUTORIDAD AUTONOMA DE MAJES</v>
      </c>
      <c r="Y130" s="25"/>
      <c r="Z130" s="17"/>
      <c r="AA130" s="3" t="str">
        <f>IF(C_Ope_006[[#This Row],[fecha]]&gt;0,TEXT(C_Ope_006[[#This Row],[fecha]],"mmmm"),0)</f>
        <v>Mayo</v>
      </c>
      <c r="AB130" s="49"/>
    </row>
    <row r="131" spans="1:28" x14ac:dyDescent="0.3">
      <c r="A131" s="2">
        <f>IF(C_Ope_006[[#This Row],[tipo_r]]="R",COUNTIFS($C$1:$C130,"R")+1,"")</f>
        <v>130</v>
      </c>
      <c r="B131" s="19" t="str">
        <f t="shared" ref="B131:B162" si="18">"C_Ope_006"</f>
        <v>C_Ope_006</v>
      </c>
      <c r="C131" s="3" t="s">
        <v>1330</v>
      </c>
      <c r="D131" s="14">
        <v>45799</v>
      </c>
      <c r="E131" s="5" t="s">
        <v>8786</v>
      </c>
      <c r="F131" s="5" t="s">
        <v>1336</v>
      </c>
      <c r="G131" s="6"/>
      <c r="H131" s="6" t="s">
        <v>126</v>
      </c>
      <c r="I131" s="6"/>
      <c r="J131" s="6"/>
      <c r="K131" s="7" t="s">
        <v>8812</v>
      </c>
      <c r="L131" s="8">
        <v>24285</v>
      </c>
      <c r="M131" s="8" t="str">
        <f t="shared" ref="M131:M162" si="19">"PEN"</f>
        <v>PEN</v>
      </c>
      <c r="N131" s="13"/>
      <c r="O131" s="13">
        <v>36</v>
      </c>
      <c r="P131" s="3">
        <f t="shared" si="15"/>
        <v>0</v>
      </c>
      <c r="Q131" s="3">
        <f t="shared" si="16"/>
        <v>36</v>
      </c>
      <c r="R131" s="3">
        <f t="shared" si="17"/>
        <v>333.59999999999968</v>
      </c>
      <c r="S131" s="24" t="s">
        <v>1334</v>
      </c>
      <c r="T131" s="24" t="s">
        <v>1334</v>
      </c>
      <c r="U131" s="3"/>
      <c r="V131" s="25" t="s">
        <v>8006</v>
      </c>
      <c r="W131" s="25"/>
      <c r="X131" s="25" t="str">
        <f>IFERROR(VLOOKUP(C_Ope_006[[#This Row],[nota_2]],Clientes_Proveedores[[Ruc / Dni]:[Razon Social]],2,0),"")</f>
        <v/>
      </c>
      <c r="Y131" s="25"/>
      <c r="Z131" s="17"/>
      <c r="AA131" s="3" t="str">
        <f>IF(C_Ope_006[[#This Row],[fecha]]&gt;0,TEXT(C_Ope_006[[#This Row],[fecha]],"mmmm"),0)</f>
        <v>Mayo</v>
      </c>
      <c r="AB131" s="49"/>
    </row>
    <row r="132" spans="1:28" ht="24" x14ac:dyDescent="0.3">
      <c r="A132" s="2">
        <f>IF(C_Ope_006[[#This Row],[tipo_r]]="R",COUNTIFS($C$1:$C131,"R")+1,"")</f>
        <v>131</v>
      </c>
      <c r="B132" s="19" t="str">
        <f t="shared" si="18"/>
        <v>C_Ope_006</v>
      </c>
      <c r="C132" s="3" t="s">
        <v>1330</v>
      </c>
      <c r="D132" s="14">
        <v>45799</v>
      </c>
      <c r="E132" s="5" t="s">
        <v>8786</v>
      </c>
      <c r="F132" s="5" t="s">
        <v>1336</v>
      </c>
      <c r="G132" s="6" t="s">
        <v>1193</v>
      </c>
      <c r="H132" s="6" t="s">
        <v>68</v>
      </c>
      <c r="I132" s="6" t="s">
        <v>1376</v>
      </c>
      <c r="J132" s="6">
        <v>15</v>
      </c>
      <c r="K132" s="7" t="s">
        <v>8851</v>
      </c>
      <c r="L132" s="8">
        <v>24287</v>
      </c>
      <c r="M132" s="8" t="str">
        <f t="shared" si="19"/>
        <v>PEN</v>
      </c>
      <c r="N132" s="13"/>
      <c r="O132" s="13">
        <v>150</v>
      </c>
      <c r="P132" s="3">
        <f t="shared" si="15"/>
        <v>0</v>
      </c>
      <c r="Q132" s="3">
        <f t="shared" si="16"/>
        <v>150</v>
      </c>
      <c r="R132" s="3">
        <f t="shared" si="17"/>
        <v>183.59999999999968</v>
      </c>
      <c r="S132" s="24" t="s">
        <v>1334</v>
      </c>
      <c r="T132" s="24" t="s">
        <v>1334</v>
      </c>
      <c r="U132" s="3"/>
      <c r="V132" s="25" t="s">
        <v>8006</v>
      </c>
      <c r="W132" s="25">
        <v>10283065524</v>
      </c>
      <c r="X132" s="25" t="str">
        <f>IFERROR(VLOOKUP(C_Ope_006[[#This Row],[nota_2]],Clientes_Proveedores[[Ruc / Dni]:[Razon Social]],2,0),"")</f>
        <v>CONGACHI GOMEZ VICTORIA</v>
      </c>
      <c r="Y132" s="25"/>
      <c r="Z132" s="17"/>
      <c r="AA132" s="3" t="str">
        <f>IF(C_Ope_006[[#This Row],[fecha]]&gt;0,TEXT(C_Ope_006[[#This Row],[fecha]],"mmmm"),0)</f>
        <v>Mayo</v>
      </c>
      <c r="AB132" s="49"/>
    </row>
    <row r="133" spans="1:28" x14ac:dyDescent="0.3">
      <c r="A133" s="2">
        <f>IF(C_Ope_006[[#This Row],[tipo_r]]="R",COUNTIFS($C$1:$C132,"R")+1,"")</f>
        <v>132</v>
      </c>
      <c r="B133" s="19" t="str">
        <f t="shared" si="18"/>
        <v>C_Ope_006</v>
      </c>
      <c r="C133" s="3" t="s">
        <v>1330</v>
      </c>
      <c r="D133" s="14">
        <v>45799</v>
      </c>
      <c r="E133" s="5" t="s">
        <v>8786</v>
      </c>
      <c r="F133" s="5" t="s">
        <v>1336</v>
      </c>
      <c r="G133" s="6"/>
      <c r="H133" s="6" t="s">
        <v>126</v>
      </c>
      <c r="I133" s="6"/>
      <c r="J133" s="6"/>
      <c r="K133" s="7" t="s">
        <v>8852</v>
      </c>
      <c r="L133" s="8">
        <v>24288</v>
      </c>
      <c r="M133" s="8" t="str">
        <f t="shared" si="19"/>
        <v>PEN</v>
      </c>
      <c r="N133" s="13"/>
      <c r="O133" s="13">
        <v>15</v>
      </c>
      <c r="P133" s="3">
        <f t="shared" si="15"/>
        <v>0</v>
      </c>
      <c r="Q133" s="3">
        <f t="shared" si="16"/>
        <v>15</v>
      </c>
      <c r="R133" s="3">
        <f t="shared" si="17"/>
        <v>168.59999999999968</v>
      </c>
      <c r="S133" s="24" t="s">
        <v>1334</v>
      </c>
      <c r="T133" s="24" t="s">
        <v>1334</v>
      </c>
      <c r="U133" s="3"/>
      <c r="V133" s="25" t="s">
        <v>8006</v>
      </c>
      <c r="W133" s="25"/>
      <c r="X133" s="25" t="str">
        <f>IFERROR(VLOOKUP(C_Ope_006[[#This Row],[nota_2]],Clientes_Proveedores[[Ruc / Dni]:[Razon Social]],2,0),"")</f>
        <v/>
      </c>
      <c r="Y133" s="25"/>
      <c r="Z133" s="17"/>
      <c r="AA133" s="3" t="str">
        <f>IF(C_Ope_006[[#This Row],[fecha]]&gt;0,TEXT(C_Ope_006[[#This Row],[fecha]],"mmmm"),0)</f>
        <v>Mayo</v>
      </c>
      <c r="AB133" s="49"/>
    </row>
    <row r="134" spans="1:28" x14ac:dyDescent="0.3">
      <c r="A134" s="2">
        <f>IF(C_Ope_006[[#This Row],[tipo_r]]="R",COUNTIFS($C$1:$C133,"R")+1,"")</f>
        <v>133</v>
      </c>
      <c r="B134" s="19" t="str">
        <f t="shared" si="18"/>
        <v>C_Ope_006</v>
      </c>
      <c r="C134" s="3" t="s">
        <v>1330</v>
      </c>
      <c r="D134" s="14">
        <v>45800</v>
      </c>
      <c r="E134" s="5" t="s">
        <v>8786</v>
      </c>
      <c r="F134" s="5" t="s">
        <v>1336</v>
      </c>
      <c r="G134" s="6"/>
      <c r="H134" s="6" t="s">
        <v>126</v>
      </c>
      <c r="I134" s="6"/>
      <c r="J134" s="6"/>
      <c r="K134" s="7" t="s">
        <v>8814</v>
      </c>
      <c r="L134" s="8">
        <v>24289</v>
      </c>
      <c r="M134" s="8" t="str">
        <f t="shared" si="19"/>
        <v>PEN</v>
      </c>
      <c r="N134" s="13"/>
      <c r="O134" s="13">
        <v>36</v>
      </c>
      <c r="P134" s="3">
        <f t="shared" si="15"/>
        <v>0</v>
      </c>
      <c r="Q134" s="3">
        <f t="shared" si="16"/>
        <v>36</v>
      </c>
      <c r="R134" s="3">
        <f t="shared" si="17"/>
        <v>132.59999999999968</v>
      </c>
      <c r="S134" s="24" t="s">
        <v>1334</v>
      </c>
      <c r="T134" s="24" t="s">
        <v>1334</v>
      </c>
      <c r="U134" s="3"/>
      <c r="V134" s="25" t="s">
        <v>8006</v>
      </c>
      <c r="W134" s="25"/>
      <c r="X134" s="25" t="str">
        <f>IFERROR(VLOOKUP(C_Ope_006[[#This Row],[nota_2]],Clientes_Proveedores[[Ruc / Dni]:[Razon Social]],2,0),"")</f>
        <v/>
      </c>
      <c r="Y134" s="25"/>
      <c r="Z134" s="17"/>
      <c r="AA134" s="3" t="str">
        <f>IF(C_Ope_006[[#This Row],[fecha]]&gt;0,TEXT(C_Ope_006[[#This Row],[fecha]],"mmmm"),0)</f>
        <v>Mayo</v>
      </c>
      <c r="AB134" s="49"/>
    </row>
    <row r="135" spans="1:28" ht="24" x14ac:dyDescent="0.3">
      <c r="A135" s="2">
        <f>IF(C_Ope_006[[#This Row],[tipo_r]]="R",COUNTIFS($C$1:$C134,"R")+1,"")</f>
        <v>134</v>
      </c>
      <c r="B135" s="19" t="str">
        <f t="shared" si="18"/>
        <v>C_Ope_006</v>
      </c>
      <c r="C135" s="3" t="s">
        <v>1330</v>
      </c>
      <c r="D135" s="14">
        <v>45800</v>
      </c>
      <c r="E135" s="5" t="s">
        <v>8786</v>
      </c>
      <c r="F135" s="5" t="s">
        <v>1336</v>
      </c>
      <c r="G135" s="6" t="s">
        <v>1188</v>
      </c>
      <c r="H135" s="6" t="s">
        <v>75</v>
      </c>
      <c r="I135" s="6">
        <v>1</v>
      </c>
      <c r="J135" s="6">
        <v>36275</v>
      </c>
      <c r="K135" s="7" t="s">
        <v>8815</v>
      </c>
      <c r="L135" s="8">
        <v>24299</v>
      </c>
      <c r="M135" s="8" t="str">
        <f t="shared" si="19"/>
        <v>PEN</v>
      </c>
      <c r="N135" s="13"/>
      <c r="O135" s="13">
        <v>45</v>
      </c>
      <c r="P135" s="3">
        <f t="shared" si="15"/>
        <v>0</v>
      </c>
      <c r="Q135" s="3">
        <f t="shared" si="16"/>
        <v>45</v>
      </c>
      <c r="R135" s="3">
        <f t="shared" si="17"/>
        <v>87.599999999999682</v>
      </c>
      <c r="S135" s="24" t="s">
        <v>1334</v>
      </c>
      <c r="T135" s="24" t="s">
        <v>1334</v>
      </c>
      <c r="U135" s="3"/>
      <c r="V135" s="25" t="s">
        <v>8006</v>
      </c>
      <c r="W135" s="25">
        <v>10044314075</v>
      </c>
      <c r="X135" s="25" t="str">
        <f>IFERROR(VLOOKUP(C_Ope_006[[#This Row],[nota_2]],Clientes_Proveedores[[Ruc / Dni]:[Razon Social]],2,0),"")</f>
        <v>QUISPE CUTIMBO EFRAIN JUAN</v>
      </c>
      <c r="Y135" s="25"/>
      <c r="Z135" s="17"/>
      <c r="AA135" s="3" t="str">
        <f>IF(C_Ope_006[[#This Row],[fecha]]&gt;0,TEXT(C_Ope_006[[#This Row],[fecha]],"mmmm"),0)</f>
        <v>Mayo</v>
      </c>
      <c r="AB135" s="49"/>
    </row>
    <row r="136" spans="1:28" ht="24" x14ac:dyDescent="0.3">
      <c r="A136" s="2">
        <f>IF(C_Ope_006[[#This Row],[tipo_r]]="R",COUNTIFS($C$1:$C135,"R")+1,"")</f>
        <v>135</v>
      </c>
      <c r="B136" s="19" t="str">
        <f t="shared" si="18"/>
        <v>C_Ope_006</v>
      </c>
      <c r="C136" s="3" t="s">
        <v>1330</v>
      </c>
      <c r="D136" s="14">
        <v>45807</v>
      </c>
      <c r="E136" s="5" t="s">
        <v>7514</v>
      </c>
      <c r="F136" s="5" t="s">
        <v>1303</v>
      </c>
      <c r="G136" s="6" t="s">
        <v>1019</v>
      </c>
      <c r="H136" s="6"/>
      <c r="I136" s="6"/>
      <c r="J136" s="6"/>
      <c r="K136" s="7" t="s">
        <v>8475</v>
      </c>
      <c r="L136" s="8">
        <v>24399</v>
      </c>
      <c r="M136" s="8" t="str">
        <f t="shared" si="19"/>
        <v>PEN</v>
      </c>
      <c r="N136" s="13"/>
      <c r="O136" s="13">
        <v>150</v>
      </c>
      <c r="P136" s="3">
        <f t="shared" si="15"/>
        <v>150</v>
      </c>
      <c r="Q136" s="3">
        <f t="shared" si="16"/>
        <v>0</v>
      </c>
      <c r="R136" s="3">
        <f t="shared" si="17"/>
        <v>237.59999999999968</v>
      </c>
      <c r="S136" s="24" t="s">
        <v>1334</v>
      </c>
      <c r="T136" s="24" t="s">
        <v>1334</v>
      </c>
      <c r="U136" s="3"/>
      <c r="V136" s="25"/>
      <c r="W136" s="25"/>
      <c r="X136" s="25" t="str">
        <f>IFERROR(VLOOKUP(C_Ope_006[[#This Row],[nota_2]],Clientes_Proveedores[[Ruc / Dni]:[Razon Social]],2,0),"")</f>
        <v/>
      </c>
      <c r="Y136" s="25"/>
      <c r="Z136" s="17">
        <f>ROUND(C_Ope_006[[#This Row],[monto]]/1.18,3)</f>
        <v>127.119</v>
      </c>
      <c r="AA136" s="3" t="str">
        <f>IF(C_Ope_006[[#This Row],[fecha]]&gt;0,TEXT(C_Ope_006[[#This Row],[fecha]],"mmmm"),0)</f>
        <v>Mayo</v>
      </c>
      <c r="AB136" s="49"/>
    </row>
    <row r="137" spans="1:28" ht="24" x14ac:dyDescent="0.3">
      <c r="A137" s="2">
        <f>IF(C_Ope_006[[#This Row],[tipo_r]]="R",COUNTIFS($C$1:$C136,"R")+1,"")</f>
        <v>136</v>
      </c>
      <c r="B137" s="19" t="str">
        <f t="shared" si="18"/>
        <v>C_Ope_006</v>
      </c>
      <c r="C137" s="3" t="s">
        <v>1330</v>
      </c>
      <c r="D137" s="14">
        <v>45805</v>
      </c>
      <c r="E137" s="5" t="s">
        <v>8786</v>
      </c>
      <c r="F137" s="5" t="s">
        <v>1336</v>
      </c>
      <c r="G137" s="6" t="s">
        <v>978</v>
      </c>
      <c r="H137" s="6" t="s">
        <v>68</v>
      </c>
      <c r="I137" s="6" t="s">
        <v>5688</v>
      </c>
      <c r="J137" s="6">
        <v>2346792</v>
      </c>
      <c r="K137" s="7" t="s">
        <v>8853</v>
      </c>
      <c r="L137" s="8">
        <v>24340</v>
      </c>
      <c r="M137" s="8" t="str">
        <f t="shared" si="19"/>
        <v>PEN</v>
      </c>
      <c r="N137" s="13"/>
      <c r="O137" s="13">
        <v>8</v>
      </c>
      <c r="P137" s="3">
        <f t="shared" si="15"/>
        <v>0</v>
      </c>
      <c r="Q137" s="3">
        <f t="shared" si="16"/>
        <v>8</v>
      </c>
      <c r="R137" s="3">
        <f t="shared" si="17"/>
        <v>229.59999999999968</v>
      </c>
      <c r="S137" s="24" t="s">
        <v>1334</v>
      </c>
      <c r="T137" s="24" t="s">
        <v>1334</v>
      </c>
      <c r="U137" s="3"/>
      <c r="V137" s="25" t="s">
        <v>7842</v>
      </c>
      <c r="W137" s="25">
        <v>20517252558</v>
      </c>
      <c r="X137" s="25" t="str">
        <f>IFERROR(VLOOKUP(C_Ope_006[[#This Row],[nota_2]],Clientes_Proveedores[[Ruc / Dni]:[Razon Social]],2,0),"")</f>
        <v>COVISUR S.A.</v>
      </c>
      <c r="Y137" s="25"/>
      <c r="Z137" s="17"/>
      <c r="AA137" s="3" t="str">
        <f>IF(C_Ope_006[[#This Row],[fecha]]&gt;0,TEXT(C_Ope_006[[#This Row],[fecha]],"mmmm"),0)</f>
        <v>Mayo</v>
      </c>
      <c r="AB137" s="49"/>
    </row>
    <row r="138" spans="1:28" ht="24" x14ac:dyDescent="0.3">
      <c r="A138" s="2">
        <f>IF(C_Ope_006[[#This Row],[tipo_r]]="R",COUNTIFS($C$1:$C137,"R")+1,"")</f>
        <v>137</v>
      </c>
      <c r="B138" s="19" t="str">
        <f t="shared" si="18"/>
        <v>C_Ope_006</v>
      </c>
      <c r="C138" s="3" t="s">
        <v>1330</v>
      </c>
      <c r="D138" s="14">
        <v>45805</v>
      </c>
      <c r="E138" s="5" t="s">
        <v>8786</v>
      </c>
      <c r="F138" s="5" t="s">
        <v>1336</v>
      </c>
      <c r="G138" s="6" t="s">
        <v>978</v>
      </c>
      <c r="H138" s="6" t="s">
        <v>68</v>
      </c>
      <c r="I138" s="6" t="s">
        <v>5845</v>
      </c>
      <c r="J138" s="6">
        <v>1762760</v>
      </c>
      <c r="K138" s="7" t="s">
        <v>8853</v>
      </c>
      <c r="L138" s="8">
        <v>24341</v>
      </c>
      <c r="M138" s="8" t="str">
        <f t="shared" si="19"/>
        <v>PEN</v>
      </c>
      <c r="N138" s="13"/>
      <c r="O138" s="13">
        <v>8</v>
      </c>
      <c r="P138" s="3">
        <f t="shared" si="15"/>
        <v>0</v>
      </c>
      <c r="Q138" s="3">
        <f t="shared" si="16"/>
        <v>8</v>
      </c>
      <c r="R138" s="3">
        <f t="shared" si="17"/>
        <v>221.59999999999968</v>
      </c>
      <c r="S138" s="24" t="s">
        <v>1334</v>
      </c>
      <c r="T138" s="24" t="s">
        <v>1334</v>
      </c>
      <c r="U138" s="3"/>
      <c r="V138" s="25" t="s">
        <v>7842</v>
      </c>
      <c r="W138" s="25">
        <v>20517252558</v>
      </c>
      <c r="X138" s="25" t="str">
        <f>IFERROR(VLOOKUP(C_Ope_006[[#This Row],[nota_2]],Clientes_Proveedores[[Ruc / Dni]:[Razon Social]],2,0),"")</f>
        <v>COVISUR S.A.</v>
      </c>
      <c r="Y138" s="25"/>
      <c r="Z138" s="17"/>
      <c r="AA138" s="3" t="str">
        <f>IF(C_Ope_006[[#This Row],[fecha]]&gt;0,TEXT(C_Ope_006[[#This Row],[fecha]],"mmmm"),0)</f>
        <v>Mayo</v>
      </c>
      <c r="AB138" s="49"/>
    </row>
    <row r="139" spans="1:28" ht="24" x14ac:dyDescent="0.3">
      <c r="A139" s="2">
        <f>IF(C_Ope_006[[#This Row],[tipo_r]]="R",COUNTIFS($C$1:$C138,"R")+1,"")</f>
        <v>138</v>
      </c>
      <c r="B139" s="19" t="str">
        <f t="shared" si="18"/>
        <v>C_Ope_006</v>
      </c>
      <c r="C139" s="3" t="s">
        <v>1330</v>
      </c>
      <c r="D139" s="14">
        <v>45806</v>
      </c>
      <c r="E139" s="5" t="s">
        <v>8786</v>
      </c>
      <c r="F139" s="5" t="s">
        <v>1336</v>
      </c>
      <c r="G139" s="6" t="s">
        <v>978</v>
      </c>
      <c r="H139" s="6" t="s">
        <v>68</v>
      </c>
      <c r="I139" s="6" t="s">
        <v>6204</v>
      </c>
      <c r="J139" s="6">
        <v>1744110</v>
      </c>
      <c r="K139" s="7" t="s">
        <v>8840</v>
      </c>
      <c r="L139" s="8">
        <v>24347</v>
      </c>
      <c r="M139" s="8" t="str">
        <f t="shared" si="19"/>
        <v>PEN</v>
      </c>
      <c r="N139" s="13"/>
      <c r="O139" s="13">
        <v>8</v>
      </c>
      <c r="P139" s="3">
        <f t="shared" si="15"/>
        <v>0</v>
      </c>
      <c r="Q139" s="3">
        <f t="shared" si="16"/>
        <v>8</v>
      </c>
      <c r="R139" s="3">
        <f t="shared" si="17"/>
        <v>213.59999999999968</v>
      </c>
      <c r="S139" s="24" t="s">
        <v>1334</v>
      </c>
      <c r="T139" s="24" t="s">
        <v>1334</v>
      </c>
      <c r="U139" s="3"/>
      <c r="V139" s="25" t="s">
        <v>7842</v>
      </c>
      <c r="W139" s="25">
        <v>20517252558</v>
      </c>
      <c r="X139" s="25" t="str">
        <f>IFERROR(VLOOKUP(C_Ope_006[[#This Row],[nota_2]],Clientes_Proveedores[[Ruc / Dni]:[Razon Social]],2,0),"")</f>
        <v>COVISUR S.A.</v>
      </c>
      <c r="Y139" s="25"/>
      <c r="Z139" s="17"/>
      <c r="AA139" s="3" t="str">
        <f>IF(C_Ope_006[[#This Row],[fecha]]&gt;0,TEXT(C_Ope_006[[#This Row],[fecha]],"mmmm"),0)</f>
        <v>Mayo</v>
      </c>
      <c r="AB139" s="49"/>
    </row>
    <row r="140" spans="1:28" ht="24" x14ac:dyDescent="0.3">
      <c r="A140" s="2">
        <f>IF(C_Ope_006[[#This Row],[tipo_r]]="R",COUNTIFS($C$1:$C139,"R")+1,"")</f>
        <v>139</v>
      </c>
      <c r="B140" s="19" t="str">
        <f t="shared" si="18"/>
        <v>C_Ope_006</v>
      </c>
      <c r="C140" s="3" t="s">
        <v>1330</v>
      </c>
      <c r="D140" s="14">
        <v>45806</v>
      </c>
      <c r="E140" s="5" t="s">
        <v>8786</v>
      </c>
      <c r="F140" s="5" t="s">
        <v>1336</v>
      </c>
      <c r="G140" s="6" t="s">
        <v>978</v>
      </c>
      <c r="H140" s="6" t="s">
        <v>68</v>
      </c>
      <c r="I140" s="6" t="s">
        <v>5845</v>
      </c>
      <c r="J140" s="6">
        <v>1763758</v>
      </c>
      <c r="K140" s="7" t="s">
        <v>8840</v>
      </c>
      <c r="L140" s="8">
        <v>24348</v>
      </c>
      <c r="M140" s="8" t="str">
        <f t="shared" si="19"/>
        <v>PEN</v>
      </c>
      <c r="N140" s="13"/>
      <c r="O140" s="13">
        <v>8</v>
      </c>
      <c r="P140" s="3">
        <f t="shared" si="15"/>
        <v>0</v>
      </c>
      <c r="Q140" s="3">
        <f t="shared" si="16"/>
        <v>8</v>
      </c>
      <c r="R140" s="3">
        <f t="shared" si="17"/>
        <v>205.59999999999968</v>
      </c>
      <c r="S140" s="24" t="s">
        <v>1334</v>
      </c>
      <c r="T140" s="24" t="s">
        <v>1334</v>
      </c>
      <c r="U140" s="3"/>
      <c r="V140" s="25" t="s">
        <v>7842</v>
      </c>
      <c r="W140" s="25">
        <v>20517252558</v>
      </c>
      <c r="X140" s="25" t="str">
        <f>IFERROR(VLOOKUP(C_Ope_006[[#This Row],[nota_2]],Clientes_Proveedores[[Ruc / Dni]:[Razon Social]],2,0),"")</f>
        <v>COVISUR S.A.</v>
      </c>
      <c r="Y140" s="25"/>
      <c r="Z140" s="17"/>
      <c r="AA140" s="3" t="str">
        <f>IF(C_Ope_006[[#This Row],[fecha]]&gt;0,TEXT(C_Ope_006[[#This Row],[fecha]],"mmmm"),0)</f>
        <v>Mayo</v>
      </c>
      <c r="AB140" s="49"/>
    </row>
    <row r="141" spans="1:28" ht="24" x14ac:dyDescent="0.3">
      <c r="A141" s="2">
        <f>IF(C_Ope_006[[#This Row],[tipo_r]]="R",COUNTIFS($C$1:$C140,"R")+1,"")</f>
        <v>140</v>
      </c>
      <c r="B141" s="19" t="str">
        <f t="shared" si="18"/>
        <v>C_Ope_006</v>
      </c>
      <c r="C141" s="3" t="s">
        <v>1330</v>
      </c>
      <c r="D141" s="14">
        <v>45812</v>
      </c>
      <c r="E141" s="5" t="s">
        <v>8786</v>
      </c>
      <c r="F141" s="5" t="s">
        <v>1336</v>
      </c>
      <c r="G141" s="6" t="s">
        <v>978</v>
      </c>
      <c r="H141" s="6" t="s">
        <v>68</v>
      </c>
      <c r="I141" s="6" t="s">
        <v>6204</v>
      </c>
      <c r="J141" s="6">
        <v>1749519</v>
      </c>
      <c r="K141" s="7" t="s">
        <v>8854</v>
      </c>
      <c r="L141" s="8">
        <v>24443</v>
      </c>
      <c r="M141" s="8" t="str">
        <f t="shared" si="19"/>
        <v>PEN</v>
      </c>
      <c r="N141" s="13"/>
      <c r="O141" s="13">
        <v>12</v>
      </c>
      <c r="P141" s="3">
        <f t="shared" si="15"/>
        <v>0</v>
      </c>
      <c r="Q141" s="3">
        <f t="shared" si="16"/>
        <v>12</v>
      </c>
      <c r="R141" s="3">
        <f t="shared" si="17"/>
        <v>193.59999999999968</v>
      </c>
      <c r="S141" s="24" t="s">
        <v>1334</v>
      </c>
      <c r="T141" s="24" t="s">
        <v>1334</v>
      </c>
      <c r="U141" s="3"/>
      <c r="V141" s="25" t="s">
        <v>8006</v>
      </c>
      <c r="W141" s="25">
        <v>20517252558</v>
      </c>
      <c r="X141" s="25" t="str">
        <f>IFERROR(VLOOKUP(C_Ope_006[[#This Row],[nota_2]],Clientes_Proveedores[[Ruc / Dni]:[Razon Social]],2,0),"")</f>
        <v>COVISUR S.A.</v>
      </c>
      <c r="Y141" s="25"/>
      <c r="Z141" s="17"/>
      <c r="AA141" s="3" t="str">
        <f>IF(C_Ope_006[[#This Row],[fecha]]&gt;0,TEXT(C_Ope_006[[#This Row],[fecha]],"mmmm"),0)</f>
        <v>Junio</v>
      </c>
      <c r="AB141" s="49"/>
    </row>
    <row r="142" spans="1:28" ht="24" x14ac:dyDescent="0.3">
      <c r="A142" s="2">
        <f>IF(C_Ope_006[[#This Row],[tipo_r]]="R",COUNTIFS($C$1:$C141,"R")+1,"")</f>
        <v>141</v>
      </c>
      <c r="B142" s="19" t="str">
        <f t="shared" si="18"/>
        <v>C_Ope_006</v>
      </c>
      <c r="C142" s="3" t="s">
        <v>1330</v>
      </c>
      <c r="D142" s="14">
        <v>45812</v>
      </c>
      <c r="E142" s="5" t="s">
        <v>8786</v>
      </c>
      <c r="F142" s="5" t="s">
        <v>1336</v>
      </c>
      <c r="G142" s="6" t="s">
        <v>978</v>
      </c>
      <c r="H142" s="6" t="s">
        <v>68</v>
      </c>
      <c r="I142" s="6" t="s">
        <v>6203</v>
      </c>
      <c r="J142" s="6">
        <v>2071359</v>
      </c>
      <c r="K142" s="7" t="s">
        <v>8855</v>
      </c>
      <c r="L142" s="8">
        <v>24444</v>
      </c>
      <c r="M142" s="8" t="str">
        <f t="shared" si="19"/>
        <v>PEN</v>
      </c>
      <c r="N142" s="13"/>
      <c r="O142" s="13">
        <v>8</v>
      </c>
      <c r="P142" s="3">
        <f t="shared" si="15"/>
        <v>0</v>
      </c>
      <c r="Q142" s="3">
        <f t="shared" si="16"/>
        <v>8</v>
      </c>
      <c r="R142" s="3">
        <f t="shared" si="17"/>
        <v>185.59999999999968</v>
      </c>
      <c r="S142" s="24" t="s">
        <v>1334</v>
      </c>
      <c r="T142" s="24" t="s">
        <v>1334</v>
      </c>
      <c r="U142" s="3"/>
      <c r="V142" s="25" t="s">
        <v>7842</v>
      </c>
      <c r="W142" s="25">
        <v>20517252558</v>
      </c>
      <c r="X142" s="25" t="str">
        <f>IFERROR(VLOOKUP(C_Ope_006[[#This Row],[nota_2]],Clientes_Proveedores[[Ruc / Dni]:[Razon Social]],2,0),"")</f>
        <v>COVISUR S.A.</v>
      </c>
      <c r="Y142" s="25"/>
      <c r="Z142" s="17"/>
      <c r="AA142" s="3" t="str">
        <f>IF(C_Ope_006[[#This Row],[fecha]]&gt;0,TEXT(C_Ope_006[[#This Row],[fecha]],"mmmm"),0)</f>
        <v>Junio</v>
      </c>
      <c r="AB142" s="49"/>
    </row>
    <row r="143" spans="1:28" ht="24" x14ac:dyDescent="0.3">
      <c r="A143" s="2">
        <f>IF(C_Ope_006[[#This Row],[tipo_r]]="R",COUNTIFS($C$1:$C142,"R")+1,"")</f>
        <v>142</v>
      </c>
      <c r="B143" s="19" t="str">
        <f t="shared" si="18"/>
        <v>C_Ope_006</v>
      </c>
      <c r="C143" s="3" t="s">
        <v>1330</v>
      </c>
      <c r="D143" s="14">
        <v>45814</v>
      </c>
      <c r="E143" s="5" t="s">
        <v>8786</v>
      </c>
      <c r="F143" s="5" t="s">
        <v>1336</v>
      </c>
      <c r="G143" s="6" t="s">
        <v>978</v>
      </c>
      <c r="H143" s="6" t="s">
        <v>68</v>
      </c>
      <c r="I143" s="6" t="s">
        <v>5688</v>
      </c>
      <c r="J143" s="6">
        <v>2357240</v>
      </c>
      <c r="K143" s="7" t="s">
        <v>7820</v>
      </c>
      <c r="L143" s="8">
        <v>24470</v>
      </c>
      <c r="M143" s="8" t="str">
        <f t="shared" si="19"/>
        <v>PEN</v>
      </c>
      <c r="N143" s="13"/>
      <c r="O143" s="13">
        <v>8</v>
      </c>
      <c r="P143" s="3">
        <f t="shared" si="15"/>
        <v>0</v>
      </c>
      <c r="Q143" s="3">
        <f t="shared" si="16"/>
        <v>8</v>
      </c>
      <c r="R143" s="3">
        <f t="shared" si="17"/>
        <v>177.59999999999968</v>
      </c>
      <c r="S143" s="24" t="s">
        <v>1334</v>
      </c>
      <c r="T143" s="24" t="s">
        <v>1334</v>
      </c>
      <c r="U143" s="3"/>
      <c r="V143" s="25" t="s">
        <v>8072</v>
      </c>
      <c r="W143" s="25">
        <v>20517252558</v>
      </c>
      <c r="X143" s="25" t="str">
        <f>IFERROR(VLOOKUP(C_Ope_006[[#This Row],[nota_2]],Clientes_Proveedores[[Ruc / Dni]:[Razon Social]],2,0),"")</f>
        <v>COVISUR S.A.</v>
      </c>
      <c r="Y143" s="25"/>
      <c r="Z143" s="17"/>
      <c r="AA143" s="3" t="str">
        <f>IF(C_Ope_006[[#This Row],[fecha]]&gt;0,TEXT(C_Ope_006[[#This Row],[fecha]],"mmmm"),0)</f>
        <v>Junio</v>
      </c>
      <c r="AB143" s="49"/>
    </row>
    <row r="144" spans="1:28" ht="36" x14ac:dyDescent="0.3">
      <c r="A144" s="2">
        <f>IF(C_Ope_006[[#This Row],[tipo_r]]="R",COUNTIFS($C$1:$C143,"R")+1,"")</f>
        <v>143</v>
      </c>
      <c r="B144" s="19" t="str">
        <f t="shared" si="18"/>
        <v>C_Ope_006</v>
      </c>
      <c r="C144" s="3" t="s">
        <v>1330</v>
      </c>
      <c r="D144" s="14">
        <v>45811</v>
      </c>
      <c r="E144" s="5" t="s">
        <v>8786</v>
      </c>
      <c r="F144" s="5" t="s">
        <v>1336</v>
      </c>
      <c r="G144" s="6" t="s">
        <v>682</v>
      </c>
      <c r="H144" s="6" t="s">
        <v>68</v>
      </c>
      <c r="I144" s="6" t="s">
        <v>1343</v>
      </c>
      <c r="J144" s="6">
        <v>34819</v>
      </c>
      <c r="K144" s="7" t="s">
        <v>8856</v>
      </c>
      <c r="L144" s="8">
        <v>24421</v>
      </c>
      <c r="M144" s="8" t="str">
        <f t="shared" si="19"/>
        <v>PEN</v>
      </c>
      <c r="N144" s="13"/>
      <c r="O144" s="13">
        <v>10</v>
      </c>
      <c r="P144" s="3">
        <f t="shared" si="15"/>
        <v>0</v>
      </c>
      <c r="Q144" s="3">
        <f t="shared" si="16"/>
        <v>10</v>
      </c>
      <c r="R144" s="3">
        <f t="shared" si="17"/>
        <v>167.59999999999968</v>
      </c>
      <c r="S144" s="24" t="s">
        <v>1334</v>
      </c>
      <c r="T144" s="24" t="s">
        <v>1334</v>
      </c>
      <c r="U144" s="3"/>
      <c r="V144" s="25" t="s">
        <v>8006</v>
      </c>
      <c r="W144" s="25">
        <v>20259858934</v>
      </c>
      <c r="X144" s="25" t="str">
        <f>IFERROR(VLOOKUP(C_Ope_006[[#This Row],[nota_2]],Clientes_Proveedores[[Ruc / Dni]:[Razon Social]],2,0),"")</f>
        <v>COMERCIALIZACION Y SERVICIOS EL EDEN S.A.C.</v>
      </c>
      <c r="Y144" s="25"/>
      <c r="Z144" s="17"/>
      <c r="AA144" s="3" t="str">
        <f>IF(C_Ope_006[[#This Row],[fecha]]&gt;0,TEXT(C_Ope_006[[#This Row],[fecha]],"mmmm"),0)</f>
        <v>Junio</v>
      </c>
      <c r="AB144" s="49"/>
    </row>
    <row r="145" spans="1:28" ht="36" x14ac:dyDescent="0.3">
      <c r="A145" s="2">
        <f>IF(C_Ope_006[[#This Row],[tipo_r]]="R",COUNTIFS($C$1:$C144,"R")+1,"")</f>
        <v>144</v>
      </c>
      <c r="B145" s="19" t="str">
        <f t="shared" si="18"/>
        <v>C_Ope_006</v>
      </c>
      <c r="C145" s="3" t="s">
        <v>1330</v>
      </c>
      <c r="D145" s="14">
        <v>45814</v>
      </c>
      <c r="E145" s="5" t="s">
        <v>8786</v>
      </c>
      <c r="F145" s="5" t="s">
        <v>1336</v>
      </c>
      <c r="G145" s="6" t="s">
        <v>682</v>
      </c>
      <c r="H145" s="6" t="s">
        <v>68</v>
      </c>
      <c r="I145" s="6" t="s">
        <v>1343</v>
      </c>
      <c r="J145" s="6">
        <v>34843</v>
      </c>
      <c r="K145" s="7" t="s">
        <v>8857</v>
      </c>
      <c r="L145" s="8">
        <v>24469</v>
      </c>
      <c r="M145" s="8" t="str">
        <f t="shared" si="19"/>
        <v>PEN</v>
      </c>
      <c r="N145" s="13"/>
      <c r="O145" s="13">
        <v>10</v>
      </c>
      <c r="P145" s="3">
        <f t="shared" si="15"/>
        <v>0</v>
      </c>
      <c r="Q145" s="3">
        <f t="shared" si="16"/>
        <v>10</v>
      </c>
      <c r="R145" s="3">
        <f t="shared" si="17"/>
        <v>157.59999999999968</v>
      </c>
      <c r="S145" s="24" t="s">
        <v>1334</v>
      </c>
      <c r="T145" s="24" t="s">
        <v>1334</v>
      </c>
      <c r="U145" s="3"/>
      <c r="V145" s="25" t="s">
        <v>8072</v>
      </c>
      <c r="W145" s="25">
        <v>20259858934</v>
      </c>
      <c r="X145" s="25" t="str">
        <f>IFERROR(VLOOKUP(C_Ope_006[[#This Row],[nota_2]],Clientes_Proveedores[[Ruc / Dni]:[Razon Social]],2,0),"")</f>
        <v>COMERCIALIZACION Y SERVICIOS EL EDEN S.A.C.</v>
      </c>
      <c r="Y145" s="25"/>
      <c r="Z145" s="17"/>
      <c r="AA145" s="3" t="str">
        <f>IF(C_Ope_006[[#This Row],[fecha]]&gt;0,TEXT(C_Ope_006[[#This Row],[fecha]],"mmmm"),0)</f>
        <v>Junio</v>
      </c>
      <c r="AB145" s="49"/>
    </row>
    <row r="146" spans="1:28" ht="24" x14ac:dyDescent="0.3">
      <c r="A146" s="2">
        <f>IF(C_Ope_006[[#This Row],[tipo_r]]="R",COUNTIFS($C$1:$C145,"R")+1,"")</f>
        <v>145</v>
      </c>
      <c r="B146" s="19" t="str">
        <f t="shared" si="18"/>
        <v>C_Ope_006</v>
      </c>
      <c r="C146" s="3" t="s">
        <v>1330</v>
      </c>
      <c r="D146" s="14">
        <v>45817</v>
      </c>
      <c r="E146" s="5" t="s">
        <v>7514</v>
      </c>
      <c r="F146" s="5" t="s">
        <v>1303</v>
      </c>
      <c r="G146" s="6" t="s">
        <v>1019</v>
      </c>
      <c r="H146" s="6"/>
      <c r="I146" s="6"/>
      <c r="J146" s="6"/>
      <c r="K146" s="7" t="s">
        <v>8475</v>
      </c>
      <c r="L146" s="8">
        <v>24522</v>
      </c>
      <c r="M146" s="8" t="str">
        <f t="shared" si="19"/>
        <v>PEN</v>
      </c>
      <c r="N146" s="13"/>
      <c r="O146" s="13">
        <v>40</v>
      </c>
      <c r="P146" s="3">
        <f t="shared" si="15"/>
        <v>40</v>
      </c>
      <c r="Q146" s="3">
        <f t="shared" si="16"/>
        <v>0</v>
      </c>
      <c r="R146" s="3">
        <f t="shared" si="17"/>
        <v>197.59999999999968</v>
      </c>
      <c r="S146" s="24" t="s">
        <v>1334</v>
      </c>
      <c r="T146" s="24" t="s">
        <v>1334</v>
      </c>
      <c r="U146" s="3"/>
      <c r="V146" s="25"/>
      <c r="W146" s="25"/>
      <c r="X146" s="25" t="str">
        <f>IFERROR(VLOOKUP(C_Ope_006[[#This Row],[nota_2]],Clientes_Proveedores[[Ruc / Dni]:[Razon Social]],2,0),"")</f>
        <v/>
      </c>
      <c r="Y146" s="25"/>
      <c r="Z146" s="17">
        <f>ROUND(C_Ope_006[[#This Row],[monto]]/1.18,3)</f>
        <v>33.898000000000003</v>
      </c>
      <c r="AA146" s="3" t="str">
        <f>IF(C_Ope_006[[#This Row],[fecha]]&gt;0,TEXT(C_Ope_006[[#This Row],[fecha]],"mmmm"),0)</f>
        <v>Junio</v>
      </c>
      <c r="AB146" s="49"/>
    </row>
    <row r="147" spans="1:28" x14ac:dyDescent="0.3">
      <c r="A147" s="2">
        <f>IF(C_Ope_006[[#This Row],[tipo_r]]="R",COUNTIFS($C$1:$C146,"R")+1,"")</f>
        <v>146</v>
      </c>
      <c r="B147" s="19" t="str">
        <f t="shared" si="18"/>
        <v>C_Ope_006</v>
      </c>
      <c r="C147" s="3" t="s">
        <v>1330</v>
      </c>
      <c r="D147" s="14">
        <v>45820</v>
      </c>
      <c r="E147" s="5" t="s">
        <v>8786</v>
      </c>
      <c r="F147" s="5" t="s">
        <v>1336</v>
      </c>
      <c r="G147" s="6" t="s">
        <v>978</v>
      </c>
      <c r="H147" s="6" t="s">
        <v>68</v>
      </c>
      <c r="I147" s="6" t="s">
        <v>6204</v>
      </c>
      <c r="J147" s="6">
        <v>1756688</v>
      </c>
      <c r="K147" s="7" t="s">
        <v>8858</v>
      </c>
      <c r="L147" s="8">
        <v>24551</v>
      </c>
      <c r="M147" s="8" t="str">
        <f t="shared" si="19"/>
        <v>PEN</v>
      </c>
      <c r="N147" s="13"/>
      <c r="O147" s="13">
        <v>12</v>
      </c>
      <c r="P147" s="3">
        <f t="shared" si="15"/>
        <v>0</v>
      </c>
      <c r="Q147" s="3">
        <f t="shared" si="16"/>
        <v>12</v>
      </c>
      <c r="R147" s="3">
        <f t="shared" si="17"/>
        <v>185.59999999999968</v>
      </c>
      <c r="S147" s="24" t="s">
        <v>1334</v>
      </c>
      <c r="T147" s="24" t="s">
        <v>1334</v>
      </c>
      <c r="U147" s="3"/>
      <c r="V147" s="25" t="s">
        <v>8006</v>
      </c>
      <c r="W147" s="25">
        <v>20517252558</v>
      </c>
      <c r="X147" s="25" t="str">
        <f>IFERROR(VLOOKUP(C_Ope_006[[#This Row],[nota_2]],Clientes_Proveedores[[Ruc / Dni]:[Razon Social]],2,0),"")</f>
        <v>COVISUR S.A.</v>
      </c>
      <c r="Y147" s="25"/>
      <c r="Z147" s="17"/>
      <c r="AA147" s="3" t="str">
        <f>IF(C_Ope_006[[#This Row],[fecha]]&gt;0,TEXT(C_Ope_006[[#This Row],[fecha]],"mmmm"),0)</f>
        <v>Junio</v>
      </c>
      <c r="AB147" s="49"/>
    </row>
    <row r="148" spans="1:28" x14ac:dyDescent="0.3">
      <c r="A148" s="2">
        <f>IF(C_Ope_006[[#This Row],[tipo_r]]="R",COUNTIFS($C$1:$C147,"R")+1,"")</f>
        <v>147</v>
      </c>
      <c r="B148" s="19" t="str">
        <f t="shared" si="18"/>
        <v>C_Ope_006</v>
      </c>
      <c r="C148" s="3" t="s">
        <v>1330</v>
      </c>
      <c r="D148" s="14">
        <v>45820</v>
      </c>
      <c r="E148" s="5" t="s">
        <v>8786</v>
      </c>
      <c r="F148" s="5" t="s">
        <v>1336</v>
      </c>
      <c r="G148" s="6" t="s">
        <v>978</v>
      </c>
      <c r="H148" s="6" t="s">
        <v>68</v>
      </c>
      <c r="I148" s="6" t="s">
        <v>6245</v>
      </c>
      <c r="J148" s="6">
        <v>981933</v>
      </c>
      <c r="K148" s="7" t="s">
        <v>8859</v>
      </c>
      <c r="L148" s="8">
        <v>24552</v>
      </c>
      <c r="M148" s="8" t="str">
        <f t="shared" si="19"/>
        <v>PEN</v>
      </c>
      <c r="N148" s="13"/>
      <c r="O148" s="13">
        <v>12</v>
      </c>
      <c r="P148" s="3">
        <f t="shared" si="15"/>
        <v>0</v>
      </c>
      <c r="Q148" s="3">
        <f t="shared" si="16"/>
        <v>12</v>
      </c>
      <c r="R148" s="3">
        <f t="shared" si="17"/>
        <v>173.59999999999968</v>
      </c>
      <c r="S148" s="24" t="s">
        <v>1334</v>
      </c>
      <c r="T148" s="24" t="s">
        <v>1334</v>
      </c>
      <c r="U148" s="3"/>
      <c r="V148" s="25" t="s">
        <v>8006</v>
      </c>
      <c r="W148" s="25">
        <v>20517252558</v>
      </c>
      <c r="X148" s="25" t="str">
        <f>IFERROR(VLOOKUP(C_Ope_006[[#This Row],[nota_2]],Clientes_Proveedores[[Ruc / Dni]:[Razon Social]],2,0),"")</f>
        <v>COVISUR S.A.</v>
      </c>
      <c r="Y148" s="25"/>
      <c r="Z148" s="17"/>
      <c r="AA148" s="3" t="str">
        <f>IF(C_Ope_006[[#This Row],[fecha]]&gt;0,TEXT(C_Ope_006[[#This Row],[fecha]],"mmmm"),0)</f>
        <v>Junio</v>
      </c>
      <c r="AB148" s="49"/>
    </row>
    <row r="149" spans="1:28" x14ac:dyDescent="0.3">
      <c r="A149" s="2">
        <f>IF(C_Ope_006[[#This Row],[tipo_r]]="R",COUNTIFS($C$1:$C148,"R")+1,"")</f>
        <v>148</v>
      </c>
      <c r="B149" s="19" t="str">
        <f t="shared" si="18"/>
        <v>C_Ope_006</v>
      </c>
      <c r="C149" s="3" t="s">
        <v>1330</v>
      </c>
      <c r="D149" s="14">
        <v>45820</v>
      </c>
      <c r="E149" s="5" t="s">
        <v>8786</v>
      </c>
      <c r="F149" s="5" t="s">
        <v>1336</v>
      </c>
      <c r="G149" s="6" t="s">
        <v>978</v>
      </c>
      <c r="H149" s="6" t="s">
        <v>68</v>
      </c>
      <c r="I149" s="6" t="s">
        <v>6244</v>
      </c>
      <c r="J149" s="6">
        <v>1072069</v>
      </c>
      <c r="K149" s="7" t="s">
        <v>8859</v>
      </c>
      <c r="L149" s="8">
        <v>24553</v>
      </c>
      <c r="M149" s="8" t="str">
        <f t="shared" si="19"/>
        <v>PEN</v>
      </c>
      <c r="N149" s="13"/>
      <c r="O149" s="13">
        <v>12</v>
      </c>
      <c r="P149" s="3">
        <f t="shared" si="15"/>
        <v>0</v>
      </c>
      <c r="Q149" s="3">
        <f t="shared" si="16"/>
        <v>12</v>
      </c>
      <c r="R149" s="3">
        <f t="shared" si="17"/>
        <v>161.59999999999968</v>
      </c>
      <c r="S149" s="24" t="s">
        <v>1334</v>
      </c>
      <c r="T149" s="24" t="s">
        <v>1334</v>
      </c>
      <c r="U149" s="3"/>
      <c r="V149" s="25" t="s">
        <v>8006</v>
      </c>
      <c r="W149" s="25">
        <v>20517252558</v>
      </c>
      <c r="X149" s="25" t="str">
        <f>IFERROR(VLOOKUP(C_Ope_006[[#This Row],[nota_2]],Clientes_Proveedores[[Ruc / Dni]:[Razon Social]],2,0),"")</f>
        <v>COVISUR S.A.</v>
      </c>
      <c r="Y149" s="25"/>
      <c r="Z149" s="17"/>
      <c r="AA149" s="3" t="str">
        <f>IF(C_Ope_006[[#This Row],[fecha]]&gt;0,TEXT(C_Ope_006[[#This Row],[fecha]],"mmmm"),0)</f>
        <v>Junio</v>
      </c>
      <c r="AB149" s="49"/>
    </row>
    <row r="150" spans="1:28" ht="24" x14ac:dyDescent="0.3">
      <c r="A150" s="2">
        <f>IF(C_Ope_006[[#This Row],[tipo_r]]="R",COUNTIFS($C$1:$C149,"R")+1,"")</f>
        <v>149</v>
      </c>
      <c r="B150" s="19" t="str">
        <f t="shared" si="18"/>
        <v>C_Ope_006</v>
      </c>
      <c r="C150" s="3" t="s">
        <v>1330</v>
      </c>
      <c r="D150" s="14">
        <v>45826</v>
      </c>
      <c r="E150" s="5" t="s">
        <v>7514</v>
      </c>
      <c r="F150" s="5" t="s">
        <v>1303</v>
      </c>
      <c r="G150" s="6" t="s">
        <v>1019</v>
      </c>
      <c r="H150" s="6"/>
      <c r="I150" s="6"/>
      <c r="J150" s="6"/>
      <c r="K150" s="7" t="s">
        <v>8475</v>
      </c>
      <c r="L150" s="8">
        <v>24598</v>
      </c>
      <c r="M150" s="8" t="str">
        <f t="shared" si="19"/>
        <v>PEN</v>
      </c>
      <c r="N150" s="13"/>
      <c r="O150" s="13">
        <v>40</v>
      </c>
      <c r="P150" s="3">
        <f t="shared" si="15"/>
        <v>40</v>
      </c>
      <c r="Q150" s="3">
        <f t="shared" si="16"/>
        <v>0</v>
      </c>
      <c r="R150" s="3">
        <f t="shared" si="17"/>
        <v>201.59999999999968</v>
      </c>
      <c r="S150" s="24" t="s">
        <v>1334</v>
      </c>
      <c r="T150" s="24" t="s">
        <v>1334</v>
      </c>
      <c r="U150" s="3"/>
      <c r="V150" s="25"/>
      <c r="W150" s="25"/>
      <c r="X150" s="25" t="str">
        <f>IFERROR(VLOOKUP(C_Ope_006[[#This Row],[nota_2]],Clientes_Proveedores[[Ruc / Dni]:[Razon Social]],2,0),"")</f>
        <v/>
      </c>
      <c r="Y150" s="25"/>
      <c r="Z150" s="17">
        <f>ROUND(C_Ope_006[[#This Row],[monto]]/1.18,3)</f>
        <v>33.898000000000003</v>
      </c>
      <c r="AA150" s="3" t="str">
        <f>IF(C_Ope_006[[#This Row],[fecha]]&gt;0,TEXT(C_Ope_006[[#This Row],[fecha]],"mmmm"),0)</f>
        <v>Junio</v>
      </c>
      <c r="AB150" s="49"/>
    </row>
    <row r="151" spans="1:28" ht="24" x14ac:dyDescent="0.3">
      <c r="A151" s="2">
        <f>IF(C_Ope_006[[#This Row],[tipo_r]]="R",COUNTIFS($C$1:$C150,"R")+1,"")</f>
        <v>150</v>
      </c>
      <c r="B151" s="19" t="str">
        <f t="shared" si="18"/>
        <v>C_Ope_006</v>
      </c>
      <c r="C151" s="3" t="s">
        <v>1330</v>
      </c>
      <c r="D151" s="14">
        <v>45826</v>
      </c>
      <c r="E151" s="5" t="s">
        <v>8786</v>
      </c>
      <c r="F151" s="5" t="s">
        <v>1336</v>
      </c>
      <c r="G151" s="6" t="s">
        <v>978</v>
      </c>
      <c r="H151" s="6" t="s">
        <v>68</v>
      </c>
      <c r="I151" s="6" t="s">
        <v>5688</v>
      </c>
      <c r="J151" s="6">
        <v>2370644</v>
      </c>
      <c r="K151" s="7" t="s">
        <v>8860</v>
      </c>
      <c r="L151" s="8">
        <v>24599</v>
      </c>
      <c r="M151" s="8" t="str">
        <f t="shared" si="19"/>
        <v>PEN</v>
      </c>
      <c r="N151" s="13"/>
      <c r="O151" s="13">
        <v>12</v>
      </c>
      <c r="P151" s="3">
        <f t="shared" si="15"/>
        <v>0</v>
      </c>
      <c r="Q151" s="3">
        <f t="shared" si="16"/>
        <v>12</v>
      </c>
      <c r="R151" s="3">
        <f t="shared" si="17"/>
        <v>189.59999999999968</v>
      </c>
      <c r="S151" s="24" t="s">
        <v>1334</v>
      </c>
      <c r="T151" s="24" t="s">
        <v>1334</v>
      </c>
      <c r="U151" s="3"/>
      <c r="V151" s="25" t="s">
        <v>8006</v>
      </c>
      <c r="W151" s="25">
        <v>20517252558</v>
      </c>
      <c r="X151" s="25" t="str">
        <f>IFERROR(VLOOKUP(C_Ope_006[[#This Row],[nota_2]],Clientes_Proveedores[[Ruc / Dni]:[Razon Social]],2,0),"")</f>
        <v>COVISUR S.A.</v>
      </c>
      <c r="Y151" s="25"/>
      <c r="Z151" s="17"/>
      <c r="AA151" s="3" t="str">
        <f>IF(C_Ope_006[[#This Row],[fecha]]&gt;0,TEXT(C_Ope_006[[#This Row],[fecha]],"mmmm"),0)</f>
        <v>Junio</v>
      </c>
      <c r="AB151" s="49"/>
    </row>
    <row r="152" spans="1:28" ht="24" x14ac:dyDescent="0.3">
      <c r="A152" s="2">
        <f>IF(C_Ope_006[[#This Row],[tipo_r]]="R",COUNTIFS($C$1:$C151,"R")+1,"")</f>
        <v>151</v>
      </c>
      <c r="B152" s="19" t="str">
        <f t="shared" si="18"/>
        <v>C_Ope_006</v>
      </c>
      <c r="C152" s="3" t="s">
        <v>1330</v>
      </c>
      <c r="D152" s="14">
        <v>45826</v>
      </c>
      <c r="E152" s="5" t="s">
        <v>8786</v>
      </c>
      <c r="F152" s="5" t="s">
        <v>1336</v>
      </c>
      <c r="G152" s="6" t="s">
        <v>978</v>
      </c>
      <c r="H152" s="6" t="s">
        <v>68</v>
      </c>
      <c r="I152" s="6" t="s">
        <v>6203</v>
      </c>
      <c r="J152" s="6">
        <v>2086038</v>
      </c>
      <c r="K152" s="7" t="s">
        <v>8860</v>
      </c>
      <c r="L152" s="8">
        <v>24600</v>
      </c>
      <c r="M152" s="8" t="str">
        <f t="shared" si="19"/>
        <v>PEN</v>
      </c>
      <c r="N152" s="13"/>
      <c r="O152" s="13">
        <v>12</v>
      </c>
      <c r="P152" s="3">
        <f t="shared" si="15"/>
        <v>0</v>
      </c>
      <c r="Q152" s="3">
        <f t="shared" si="16"/>
        <v>12</v>
      </c>
      <c r="R152" s="3">
        <f t="shared" si="17"/>
        <v>177.59999999999968</v>
      </c>
      <c r="S152" s="24" t="s">
        <v>1334</v>
      </c>
      <c r="T152" s="24" t="s">
        <v>1334</v>
      </c>
      <c r="U152" s="3"/>
      <c r="V152" s="25" t="s">
        <v>8006</v>
      </c>
      <c r="W152" s="25">
        <v>20517252558</v>
      </c>
      <c r="X152" s="25" t="str">
        <f>IFERROR(VLOOKUP(C_Ope_006[[#This Row],[nota_2]],Clientes_Proveedores[[Ruc / Dni]:[Razon Social]],2,0),"")</f>
        <v>COVISUR S.A.</v>
      </c>
      <c r="Y152" s="25"/>
      <c r="Z152" s="17"/>
      <c r="AA152" s="3" t="str">
        <f>IF(C_Ope_006[[#This Row],[fecha]]&gt;0,TEXT(C_Ope_006[[#This Row],[fecha]],"mmmm"),0)</f>
        <v>Junio</v>
      </c>
      <c r="AB152" s="49"/>
    </row>
    <row r="153" spans="1:28" ht="24" x14ac:dyDescent="0.3">
      <c r="A153" s="2">
        <f>IF(C_Ope_006[[#This Row],[tipo_r]]="R",COUNTIFS($C$1:$C152,"R")+1,"")</f>
        <v>152</v>
      </c>
      <c r="B153" s="19" t="str">
        <f t="shared" si="18"/>
        <v>C_Ope_006</v>
      </c>
      <c r="C153" s="3" t="s">
        <v>1330</v>
      </c>
      <c r="D153" s="14">
        <v>45828</v>
      </c>
      <c r="E153" s="5" t="s">
        <v>8786</v>
      </c>
      <c r="F153" s="5" t="s">
        <v>1336</v>
      </c>
      <c r="G153" s="6" t="s">
        <v>978</v>
      </c>
      <c r="H153" s="6" t="s">
        <v>68</v>
      </c>
      <c r="I153" s="6" t="s">
        <v>5688</v>
      </c>
      <c r="J153" s="6">
        <v>2373219</v>
      </c>
      <c r="K153" s="7" t="s">
        <v>8861</v>
      </c>
      <c r="L153" s="8">
        <v>24626</v>
      </c>
      <c r="M153" s="8" t="str">
        <f t="shared" si="19"/>
        <v>PEN</v>
      </c>
      <c r="N153" s="13"/>
      <c r="O153" s="13">
        <v>12</v>
      </c>
      <c r="P153" s="3">
        <f t="shared" si="15"/>
        <v>0</v>
      </c>
      <c r="Q153" s="3">
        <f t="shared" si="16"/>
        <v>12</v>
      </c>
      <c r="R153" s="3">
        <f t="shared" si="17"/>
        <v>165.59999999999968</v>
      </c>
      <c r="S153" s="24" t="s">
        <v>1334</v>
      </c>
      <c r="T153" s="24" t="s">
        <v>1334</v>
      </c>
      <c r="U153" s="3"/>
      <c r="V153" s="25" t="s">
        <v>8006</v>
      </c>
      <c r="W153" s="25">
        <v>20517252558</v>
      </c>
      <c r="X153" s="25" t="str">
        <f>IFERROR(VLOOKUP(C_Ope_006[[#This Row],[nota_2]],Clientes_Proveedores[[Ruc / Dni]:[Razon Social]],2,0),"")</f>
        <v>COVISUR S.A.</v>
      </c>
      <c r="Y153" s="25"/>
      <c r="Z153" s="17"/>
      <c r="AA153" s="3" t="str">
        <f>IF(C_Ope_006[[#This Row],[fecha]]&gt;0,TEXT(C_Ope_006[[#This Row],[fecha]],"mmmm"),0)</f>
        <v>Junio</v>
      </c>
      <c r="AB153" s="49"/>
    </row>
    <row r="154" spans="1:28" ht="24" x14ac:dyDescent="0.3">
      <c r="A154" s="2">
        <f>IF(C_Ope_006[[#This Row],[tipo_r]]="R",COUNTIFS($C$1:$C153,"R")+1,"")</f>
        <v>153</v>
      </c>
      <c r="B154" s="19" t="str">
        <f t="shared" si="18"/>
        <v>C_Ope_006</v>
      </c>
      <c r="C154" s="3" t="s">
        <v>1330</v>
      </c>
      <c r="D154" s="14">
        <v>45828</v>
      </c>
      <c r="E154" s="5" t="s">
        <v>8786</v>
      </c>
      <c r="F154" s="5" t="s">
        <v>1336</v>
      </c>
      <c r="G154" s="6" t="s">
        <v>978</v>
      </c>
      <c r="H154" s="6" t="s">
        <v>68</v>
      </c>
      <c r="I154" s="6" t="s">
        <v>5845</v>
      </c>
      <c r="J154" s="6">
        <v>1784117</v>
      </c>
      <c r="K154" s="7" t="s">
        <v>8861</v>
      </c>
      <c r="L154" s="8">
        <v>24627</v>
      </c>
      <c r="M154" s="8" t="str">
        <f t="shared" si="19"/>
        <v>PEN</v>
      </c>
      <c r="N154" s="13"/>
      <c r="O154" s="13">
        <v>12</v>
      </c>
      <c r="P154" s="3">
        <f t="shared" si="15"/>
        <v>0</v>
      </c>
      <c r="Q154" s="3">
        <f t="shared" si="16"/>
        <v>12</v>
      </c>
      <c r="R154" s="3">
        <f t="shared" si="17"/>
        <v>153.59999999999968</v>
      </c>
      <c r="S154" s="24" t="s">
        <v>1334</v>
      </c>
      <c r="T154" s="24" t="s">
        <v>1334</v>
      </c>
      <c r="U154" s="3"/>
      <c r="V154" s="25" t="s">
        <v>8006</v>
      </c>
      <c r="W154" s="25">
        <v>20517252558</v>
      </c>
      <c r="X154" s="25" t="str">
        <f>IFERROR(VLOOKUP(C_Ope_006[[#This Row],[nota_2]],Clientes_Proveedores[[Ruc / Dni]:[Razon Social]],2,0),"")</f>
        <v>COVISUR S.A.</v>
      </c>
      <c r="Y154" s="25"/>
      <c r="Z154" s="17"/>
      <c r="AA154" s="3" t="str">
        <f>IF(C_Ope_006[[#This Row],[fecha]]&gt;0,TEXT(C_Ope_006[[#This Row],[fecha]],"mmmm"),0)</f>
        <v>Junio</v>
      </c>
      <c r="AB154" s="49"/>
    </row>
    <row r="155" spans="1:28" ht="36" x14ac:dyDescent="0.3">
      <c r="A155" s="2">
        <f>IF(C_Ope_006[[#This Row],[tipo_r]]="R",COUNTIFS($C$1:$C154,"R")+1,"")</f>
        <v>154</v>
      </c>
      <c r="B155" s="19" t="str">
        <f t="shared" si="18"/>
        <v>C_Ope_006</v>
      </c>
      <c r="C155" s="3" t="s">
        <v>1330</v>
      </c>
      <c r="D155" s="14">
        <v>45827</v>
      </c>
      <c r="E155" s="5" t="s">
        <v>8786</v>
      </c>
      <c r="F155" s="5" t="s">
        <v>1336</v>
      </c>
      <c r="G155" s="6" t="s">
        <v>682</v>
      </c>
      <c r="H155" s="6" t="s">
        <v>68</v>
      </c>
      <c r="I155" s="6" t="s">
        <v>1343</v>
      </c>
      <c r="J155" s="6">
        <v>34951</v>
      </c>
      <c r="K155" s="7" t="s">
        <v>8862</v>
      </c>
      <c r="L155" s="8">
        <v>24612</v>
      </c>
      <c r="M155" s="8" t="str">
        <f t="shared" si="19"/>
        <v>PEN</v>
      </c>
      <c r="N155" s="13"/>
      <c r="O155" s="13">
        <v>10</v>
      </c>
      <c r="P155" s="3">
        <f t="shared" si="15"/>
        <v>0</v>
      </c>
      <c r="Q155" s="3">
        <f t="shared" si="16"/>
        <v>10</v>
      </c>
      <c r="R155" s="3">
        <f t="shared" si="17"/>
        <v>143.59999999999968</v>
      </c>
      <c r="S155" s="24" t="s">
        <v>1334</v>
      </c>
      <c r="T155" s="24" t="s">
        <v>1334</v>
      </c>
      <c r="U155" s="3"/>
      <c r="V155" s="25" t="s">
        <v>8006</v>
      </c>
      <c r="W155" s="25">
        <v>20259858934</v>
      </c>
      <c r="X155" s="25" t="str">
        <f>IFERROR(VLOOKUP(C_Ope_006[[#This Row],[nota_2]],Clientes_Proveedores[[Ruc / Dni]:[Razon Social]],2,0),"")</f>
        <v>COMERCIALIZACION Y SERVICIOS EL EDEN S.A.C.</v>
      </c>
      <c r="Y155" s="25"/>
      <c r="Z155" s="17"/>
      <c r="AA155" s="3" t="str">
        <f>IF(C_Ope_006[[#This Row],[fecha]]&gt;0,TEXT(C_Ope_006[[#This Row],[fecha]],"mmmm"),0)</f>
        <v>Junio</v>
      </c>
      <c r="AB155" s="49"/>
    </row>
    <row r="156" spans="1:28" ht="36" x14ac:dyDescent="0.3">
      <c r="A156" s="2">
        <f>IF(C_Ope_006[[#This Row],[tipo_r]]="R",COUNTIFS($C$1:$C155,"R")+1,"")</f>
        <v>155</v>
      </c>
      <c r="B156" s="19" t="str">
        <f t="shared" si="18"/>
        <v>C_Ope_006</v>
      </c>
      <c r="C156" s="3" t="s">
        <v>1330</v>
      </c>
      <c r="D156" s="14">
        <v>45827</v>
      </c>
      <c r="E156" s="5" t="s">
        <v>8786</v>
      </c>
      <c r="F156" s="5" t="s">
        <v>1336</v>
      </c>
      <c r="G156" s="6" t="s">
        <v>682</v>
      </c>
      <c r="H156" s="6" t="s">
        <v>68</v>
      </c>
      <c r="I156" s="6" t="s">
        <v>1343</v>
      </c>
      <c r="J156" s="6">
        <v>34952</v>
      </c>
      <c r="K156" s="7" t="s">
        <v>8863</v>
      </c>
      <c r="L156" s="8">
        <v>24613</v>
      </c>
      <c r="M156" s="8" t="str">
        <f t="shared" si="19"/>
        <v>PEN</v>
      </c>
      <c r="N156" s="13"/>
      <c r="O156" s="13">
        <v>10</v>
      </c>
      <c r="P156" s="3">
        <f t="shared" si="15"/>
        <v>0</v>
      </c>
      <c r="Q156" s="3">
        <f t="shared" si="16"/>
        <v>10</v>
      </c>
      <c r="R156" s="3">
        <f t="shared" si="17"/>
        <v>133.59999999999968</v>
      </c>
      <c r="S156" s="24" t="s">
        <v>1334</v>
      </c>
      <c r="T156" s="24" t="s">
        <v>1334</v>
      </c>
      <c r="U156" s="3"/>
      <c r="V156" s="25" t="s">
        <v>8006</v>
      </c>
      <c r="W156" s="25">
        <v>20259858934</v>
      </c>
      <c r="X156" s="25" t="str">
        <f>IFERROR(VLOOKUP(C_Ope_006[[#This Row],[nota_2]],Clientes_Proveedores[[Ruc / Dni]:[Razon Social]],2,0),"")</f>
        <v>COMERCIALIZACION Y SERVICIOS EL EDEN S.A.C.</v>
      </c>
      <c r="Y156" s="25"/>
      <c r="Z156" s="17"/>
      <c r="AA156" s="3" t="str">
        <f>IF(C_Ope_006[[#This Row],[fecha]]&gt;0,TEXT(C_Ope_006[[#This Row],[fecha]],"mmmm"),0)</f>
        <v>Junio</v>
      </c>
      <c r="AB156" s="49"/>
    </row>
    <row r="157" spans="1:28" ht="24" x14ac:dyDescent="0.3">
      <c r="A157" s="2">
        <f>IF(C_Ope_006[[#This Row],[tipo_r]]="R",COUNTIFS($C$1:$C156,"R")+1,"")</f>
        <v>156</v>
      </c>
      <c r="B157" s="19" t="str">
        <f t="shared" si="18"/>
        <v>C_Ope_006</v>
      </c>
      <c r="C157" s="3" t="s">
        <v>1330</v>
      </c>
      <c r="D157" s="14">
        <v>45828</v>
      </c>
      <c r="E157" s="5" t="s">
        <v>8786</v>
      </c>
      <c r="F157" s="5" t="s">
        <v>1336</v>
      </c>
      <c r="G157" s="6" t="s">
        <v>999</v>
      </c>
      <c r="H157" s="6" t="s">
        <v>68</v>
      </c>
      <c r="I157" s="6" t="s">
        <v>1374</v>
      </c>
      <c r="J157" s="6">
        <v>18312</v>
      </c>
      <c r="K157" s="7" t="s">
        <v>7777</v>
      </c>
      <c r="L157" s="8">
        <v>24637</v>
      </c>
      <c r="M157" s="8" t="str">
        <f t="shared" si="19"/>
        <v>PEN</v>
      </c>
      <c r="N157" s="13"/>
      <c r="O157" s="13">
        <v>35</v>
      </c>
      <c r="P157" s="3">
        <f t="shared" si="15"/>
        <v>0</v>
      </c>
      <c r="Q157" s="3">
        <f t="shared" si="16"/>
        <v>35</v>
      </c>
      <c r="R157" s="3">
        <f t="shared" si="17"/>
        <v>98.599999999999682</v>
      </c>
      <c r="S157" s="24" t="s">
        <v>1334</v>
      </c>
      <c r="T157" s="24" t="s">
        <v>1334</v>
      </c>
      <c r="U157" s="3"/>
      <c r="V157" s="25" t="s">
        <v>8006</v>
      </c>
      <c r="W157" s="25">
        <v>10705628331</v>
      </c>
      <c r="X157" s="25" t="str">
        <f>IFERROR(VLOOKUP(C_Ope_006[[#This Row],[nota_2]],Clientes_Proveedores[[Ruc / Dni]:[Razon Social]],2,0),"")</f>
        <v>LARICO APAZA NANCY ROSSMARY</v>
      </c>
      <c r="Y157" s="25"/>
      <c r="Z157" s="17"/>
      <c r="AA157" s="3" t="str">
        <f>IF(C_Ope_006[[#This Row],[fecha]]&gt;0,TEXT(C_Ope_006[[#This Row],[fecha]],"mmmm"),0)</f>
        <v>Junio</v>
      </c>
      <c r="AB157" s="49"/>
    </row>
    <row r="158" spans="1:28" ht="24" x14ac:dyDescent="0.3">
      <c r="A158" s="2">
        <f>IF(C_Ope_006[[#This Row],[tipo_r]]="R",COUNTIFS($C$1:$C157,"R")+1,"")</f>
        <v>157</v>
      </c>
      <c r="B158" s="19" t="str">
        <f t="shared" si="18"/>
        <v>C_Ope_006</v>
      </c>
      <c r="C158" s="3" t="s">
        <v>1330</v>
      </c>
      <c r="D158" s="14">
        <v>45831</v>
      </c>
      <c r="E158" s="5" t="s">
        <v>7514</v>
      </c>
      <c r="F158" s="5" t="s">
        <v>1303</v>
      </c>
      <c r="G158" s="6" t="s">
        <v>1019</v>
      </c>
      <c r="H158" s="6"/>
      <c r="I158" s="6"/>
      <c r="J158" s="6"/>
      <c r="K158" s="7" t="s">
        <v>8475</v>
      </c>
      <c r="L158" s="8">
        <v>24650</v>
      </c>
      <c r="M158" s="8" t="str">
        <f t="shared" si="19"/>
        <v>PEN</v>
      </c>
      <c r="N158" s="13"/>
      <c r="O158" s="13">
        <v>100</v>
      </c>
      <c r="P158" s="3">
        <f t="shared" si="15"/>
        <v>100</v>
      </c>
      <c r="Q158" s="3">
        <f t="shared" si="16"/>
        <v>0</v>
      </c>
      <c r="R158" s="3">
        <f t="shared" si="17"/>
        <v>198.59999999999968</v>
      </c>
      <c r="S158" s="24" t="s">
        <v>1334</v>
      </c>
      <c r="T158" s="24" t="s">
        <v>1334</v>
      </c>
      <c r="U158" s="3"/>
      <c r="V158" s="25"/>
      <c r="W158" s="25"/>
      <c r="X158" s="25" t="str">
        <f>IFERROR(VLOOKUP(C_Ope_006[[#This Row],[nota_2]],Clientes_Proveedores[[Ruc / Dni]:[Razon Social]],2,0),"")</f>
        <v/>
      </c>
      <c r="Y158" s="25"/>
      <c r="Z158" s="17">
        <f>ROUND(C_Ope_006[[#This Row],[monto]]/1.18,3)</f>
        <v>84.745999999999995</v>
      </c>
      <c r="AA158" s="3" t="str">
        <f>IF(C_Ope_006[[#This Row],[fecha]]&gt;0,TEXT(C_Ope_006[[#This Row],[fecha]],"mmmm"),0)</f>
        <v>Junio</v>
      </c>
      <c r="AB158" s="49"/>
    </row>
    <row r="159" spans="1:28" ht="24" x14ac:dyDescent="0.3">
      <c r="A159" s="2">
        <f>IF(C_Ope_006[[#This Row],[tipo_r]]="R",COUNTIFS($C$1:$C158,"R")+1,"")</f>
        <v>158</v>
      </c>
      <c r="B159" s="19" t="str">
        <f t="shared" si="18"/>
        <v>C_Ope_006</v>
      </c>
      <c r="C159" s="3" t="s">
        <v>1330</v>
      </c>
      <c r="D159" s="14">
        <v>45833</v>
      </c>
      <c r="E159" s="5" t="s">
        <v>8786</v>
      </c>
      <c r="F159" s="5" t="s">
        <v>1336</v>
      </c>
      <c r="G159" s="6" t="s">
        <v>978</v>
      </c>
      <c r="H159" s="6" t="s">
        <v>68</v>
      </c>
      <c r="I159" s="6" t="s">
        <v>6204</v>
      </c>
      <c r="J159" s="6">
        <v>1768712</v>
      </c>
      <c r="K159" s="7" t="s">
        <v>8864</v>
      </c>
      <c r="L159" s="8">
        <v>24700</v>
      </c>
      <c r="M159" s="8" t="str">
        <f t="shared" si="19"/>
        <v>PEN</v>
      </c>
      <c r="N159" s="13"/>
      <c r="O159" s="13">
        <v>12</v>
      </c>
      <c r="P159" s="3">
        <f t="shared" si="15"/>
        <v>0</v>
      </c>
      <c r="Q159" s="3">
        <f t="shared" si="16"/>
        <v>12</v>
      </c>
      <c r="R159" s="3">
        <f t="shared" si="17"/>
        <v>186.59999999999968</v>
      </c>
      <c r="S159" s="24" t="s">
        <v>1334</v>
      </c>
      <c r="T159" s="24" t="s">
        <v>1334</v>
      </c>
      <c r="U159" s="3"/>
      <c r="V159" s="25" t="s">
        <v>8006</v>
      </c>
      <c r="W159" s="25">
        <v>20517252558</v>
      </c>
      <c r="X159" s="25" t="str">
        <f>IFERROR(VLOOKUP(C_Ope_006[[#This Row],[nota_2]],Clientes_Proveedores[[Ruc / Dni]:[Razon Social]],2,0),"")</f>
        <v>COVISUR S.A.</v>
      </c>
      <c r="Y159" s="25"/>
      <c r="Z159" s="17"/>
      <c r="AA159" s="3" t="str">
        <f>IF(C_Ope_006[[#This Row],[fecha]]&gt;0,TEXT(C_Ope_006[[#This Row],[fecha]],"mmmm"),0)</f>
        <v>Junio</v>
      </c>
      <c r="AB159" s="49"/>
    </row>
    <row r="160" spans="1:28" ht="24" x14ac:dyDescent="0.3">
      <c r="A160" s="2">
        <f>IF(C_Ope_006[[#This Row],[tipo_r]]="R",COUNTIFS($C$1:$C159,"R")+1,"")</f>
        <v>159</v>
      </c>
      <c r="B160" s="19" t="str">
        <f t="shared" si="18"/>
        <v>C_Ope_006</v>
      </c>
      <c r="C160" s="3" t="s">
        <v>1330</v>
      </c>
      <c r="D160" s="14">
        <v>45833</v>
      </c>
      <c r="E160" s="5" t="s">
        <v>8786</v>
      </c>
      <c r="F160" s="5" t="s">
        <v>1336</v>
      </c>
      <c r="G160" s="6" t="s">
        <v>978</v>
      </c>
      <c r="H160" s="6" t="s">
        <v>68</v>
      </c>
      <c r="I160" s="6" t="s">
        <v>5845</v>
      </c>
      <c r="J160" s="6">
        <v>1788852</v>
      </c>
      <c r="K160" s="7" t="s">
        <v>8864</v>
      </c>
      <c r="L160" s="8">
        <v>24701</v>
      </c>
      <c r="M160" s="8" t="str">
        <f t="shared" si="19"/>
        <v>PEN</v>
      </c>
      <c r="N160" s="13"/>
      <c r="O160" s="13">
        <v>12</v>
      </c>
      <c r="P160" s="3">
        <f t="shared" si="15"/>
        <v>0</v>
      </c>
      <c r="Q160" s="3">
        <f t="shared" si="16"/>
        <v>12</v>
      </c>
      <c r="R160" s="3">
        <f t="shared" si="17"/>
        <v>174.59999999999968</v>
      </c>
      <c r="S160" s="24" t="s">
        <v>1334</v>
      </c>
      <c r="T160" s="24" t="s">
        <v>1334</v>
      </c>
      <c r="U160" s="3"/>
      <c r="V160" s="25" t="s">
        <v>8006</v>
      </c>
      <c r="W160" s="25">
        <v>20517252558</v>
      </c>
      <c r="X160" s="25" t="str">
        <f>IFERROR(VLOOKUP(C_Ope_006[[#This Row],[nota_2]],Clientes_Proveedores[[Ruc / Dni]:[Razon Social]],2,0),"")</f>
        <v>COVISUR S.A.</v>
      </c>
      <c r="Y160" s="25"/>
      <c r="Z160" s="17"/>
      <c r="AA160" s="3" t="str">
        <f>IF(C_Ope_006[[#This Row],[fecha]]&gt;0,TEXT(C_Ope_006[[#This Row],[fecha]],"mmmm"),0)</f>
        <v>Junio</v>
      </c>
      <c r="AB160" s="49"/>
    </row>
    <row r="161" spans="1:28" ht="24" x14ac:dyDescent="0.3">
      <c r="A161" s="2">
        <f>IF(C_Ope_006[[#This Row],[tipo_r]]="R",COUNTIFS($C$1:$C160,"R")+1,"")</f>
        <v>160</v>
      </c>
      <c r="B161" s="19" t="str">
        <f t="shared" si="18"/>
        <v>C_Ope_006</v>
      </c>
      <c r="C161" s="3" t="s">
        <v>1330</v>
      </c>
      <c r="D161" s="14">
        <v>45834</v>
      </c>
      <c r="E161" s="5" t="s">
        <v>8786</v>
      </c>
      <c r="F161" s="5" t="s">
        <v>1336</v>
      </c>
      <c r="G161" s="6" t="s">
        <v>978</v>
      </c>
      <c r="H161" s="6" t="s">
        <v>68</v>
      </c>
      <c r="I161" s="6" t="s">
        <v>5688</v>
      </c>
      <c r="J161" s="6">
        <v>2380136</v>
      </c>
      <c r="K161" s="7" t="s">
        <v>8865</v>
      </c>
      <c r="L161" s="8">
        <v>24716</v>
      </c>
      <c r="M161" s="8" t="str">
        <f t="shared" si="19"/>
        <v>PEN</v>
      </c>
      <c r="N161" s="13"/>
      <c r="O161" s="13">
        <v>12</v>
      </c>
      <c r="P161" s="3">
        <f t="shared" si="15"/>
        <v>0</v>
      </c>
      <c r="Q161" s="3">
        <f t="shared" si="16"/>
        <v>12</v>
      </c>
      <c r="R161" s="3">
        <f t="shared" si="17"/>
        <v>162.59999999999968</v>
      </c>
      <c r="S161" s="24" t="s">
        <v>1334</v>
      </c>
      <c r="T161" s="24" t="s">
        <v>1334</v>
      </c>
      <c r="U161" s="3"/>
      <c r="V161" s="25" t="s">
        <v>8006</v>
      </c>
      <c r="W161" s="25">
        <v>20517252558</v>
      </c>
      <c r="X161" s="25" t="str">
        <f>IFERROR(VLOOKUP(C_Ope_006[[#This Row],[nota_2]],Clientes_Proveedores[[Ruc / Dni]:[Razon Social]],2,0),"")</f>
        <v>COVISUR S.A.</v>
      </c>
      <c r="Y161" s="25"/>
      <c r="Z161" s="17"/>
      <c r="AA161" s="3" t="str">
        <f>IF(C_Ope_006[[#This Row],[fecha]]&gt;0,TEXT(C_Ope_006[[#This Row],[fecha]],"mmmm"),0)</f>
        <v>Junio</v>
      </c>
      <c r="AB161" s="49"/>
    </row>
    <row r="162" spans="1:28" ht="24" x14ac:dyDescent="0.3">
      <c r="A162" s="2">
        <f>IF(C_Ope_006[[#This Row],[tipo_r]]="R",COUNTIFS($C$1:$C161,"R")+1,"")</f>
        <v>161</v>
      </c>
      <c r="B162" s="19" t="str">
        <f t="shared" si="18"/>
        <v>C_Ope_006</v>
      </c>
      <c r="C162" s="3" t="s">
        <v>1330</v>
      </c>
      <c r="D162" s="14">
        <v>45834</v>
      </c>
      <c r="E162" s="5" t="s">
        <v>8786</v>
      </c>
      <c r="F162" s="5" t="s">
        <v>1336</v>
      </c>
      <c r="G162" s="6" t="s">
        <v>978</v>
      </c>
      <c r="H162" s="6" t="s">
        <v>68</v>
      </c>
      <c r="I162" s="6" t="s">
        <v>6203</v>
      </c>
      <c r="J162" s="6">
        <v>2094639</v>
      </c>
      <c r="K162" s="7" t="s">
        <v>8865</v>
      </c>
      <c r="L162" s="8">
        <v>24721</v>
      </c>
      <c r="M162" s="8" t="str">
        <f t="shared" si="19"/>
        <v>PEN</v>
      </c>
      <c r="N162" s="13"/>
      <c r="O162" s="13">
        <v>12</v>
      </c>
      <c r="P162" s="3">
        <f t="shared" si="15"/>
        <v>0</v>
      </c>
      <c r="Q162" s="3">
        <f t="shared" si="16"/>
        <v>12</v>
      </c>
      <c r="R162" s="3">
        <f t="shared" si="17"/>
        <v>150.59999999999968</v>
      </c>
      <c r="S162" s="24" t="s">
        <v>1334</v>
      </c>
      <c r="T162" s="24" t="s">
        <v>1334</v>
      </c>
      <c r="U162" s="3"/>
      <c r="V162" s="25" t="s">
        <v>8006</v>
      </c>
      <c r="W162" s="25">
        <v>20517252558</v>
      </c>
      <c r="X162" s="25" t="str">
        <f>IFERROR(VLOOKUP(C_Ope_006[[#This Row],[nota_2]],Clientes_Proveedores[[Ruc / Dni]:[Razon Social]],2,0),"")</f>
        <v>COVISUR S.A.</v>
      </c>
      <c r="Y162" s="25"/>
      <c r="Z162" s="17"/>
      <c r="AA162" s="3" t="str">
        <f>IF(C_Ope_006[[#This Row],[fecha]]&gt;0,TEXT(C_Ope_006[[#This Row],[fecha]],"mmmm"),0)</f>
        <v>Junio</v>
      </c>
      <c r="AB162" s="49"/>
    </row>
    <row r="163" spans="1:28" ht="24" x14ac:dyDescent="0.3">
      <c r="A163" s="2">
        <f>IF(C_Ope_006[[#This Row],[tipo_r]]="R",COUNTIFS($C$1:$C162,"R")+1,"")</f>
        <v>162</v>
      </c>
      <c r="B163" s="19" t="str">
        <f t="shared" ref="B163:B168" si="20">"C_Ope_006"</f>
        <v>C_Ope_006</v>
      </c>
      <c r="C163" s="3" t="s">
        <v>1330</v>
      </c>
      <c r="D163" s="14">
        <v>45835</v>
      </c>
      <c r="E163" s="5" t="s">
        <v>8786</v>
      </c>
      <c r="F163" s="5" t="s">
        <v>1336</v>
      </c>
      <c r="G163" s="6" t="s">
        <v>978</v>
      </c>
      <c r="H163" s="6" t="s">
        <v>68</v>
      </c>
      <c r="I163" s="6" t="s">
        <v>5688</v>
      </c>
      <c r="J163" s="6">
        <v>2381218</v>
      </c>
      <c r="K163" s="7" t="s">
        <v>7820</v>
      </c>
      <c r="L163" s="8">
        <v>24725</v>
      </c>
      <c r="M163" s="8" t="str">
        <f t="shared" ref="M163:M168" si="21">"PEN"</f>
        <v>PEN</v>
      </c>
      <c r="N163" s="13"/>
      <c r="O163" s="13">
        <v>12</v>
      </c>
      <c r="P163" s="3">
        <f t="shared" si="15"/>
        <v>0</v>
      </c>
      <c r="Q163" s="3">
        <f t="shared" si="16"/>
        <v>12</v>
      </c>
      <c r="R163" s="3">
        <f t="shared" si="17"/>
        <v>138.59999999999968</v>
      </c>
      <c r="S163" s="24" t="s">
        <v>1334</v>
      </c>
      <c r="T163" s="24" t="s">
        <v>1334</v>
      </c>
      <c r="U163" s="3"/>
      <c r="V163" s="25" t="s">
        <v>8006</v>
      </c>
      <c r="W163" s="25">
        <v>20517252558</v>
      </c>
      <c r="X163" s="25" t="str">
        <f>IFERROR(VLOOKUP(C_Ope_006[[#This Row],[nota_2]],Clientes_Proveedores[[Ruc / Dni]:[Razon Social]],2,0),"")</f>
        <v>COVISUR S.A.</v>
      </c>
      <c r="Y163" s="25"/>
      <c r="Z163" s="17"/>
      <c r="AA163" s="3" t="str">
        <f>IF(C_Ope_006[[#This Row],[fecha]]&gt;0,TEXT(C_Ope_006[[#This Row],[fecha]],"mmmm"),0)</f>
        <v>Junio</v>
      </c>
      <c r="AB163" s="49"/>
    </row>
    <row r="164" spans="1:28" ht="24" x14ac:dyDescent="0.3">
      <c r="A164" s="2">
        <f>IF(C_Ope_006[[#This Row],[tipo_r]]="R",COUNTIFS($C$1:$C163,"R")+1,"")</f>
        <v>163</v>
      </c>
      <c r="B164" s="19" t="str">
        <f t="shared" si="20"/>
        <v>C_Ope_006</v>
      </c>
      <c r="C164" s="3" t="s">
        <v>1330</v>
      </c>
      <c r="D164" s="14">
        <v>45835</v>
      </c>
      <c r="E164" s="5" t="s">
        <v>8786</v>
      </c>
      <c r="F164" s="5" t="s">
        <v>1336</v>
      </c>
      <c r="G164" s="6" t="s">
        <v>978</v>
      </c>
      <c r="H164" s="6" t="s">
        <v>68</v>
      </c>
      <c r="I164" s="6" t="s">
        <v>5845</v>
      </c>
      <c r="J164" s="6">
        <v>1790717</v>
      </c>
      <c r="K164" s="7" t="s">
        <v>7820</v>
      </c>
      <c r="L164" s="8">
        <v>24726</v>
      </c>
      <c r="M164" s="8" t="str">
        <f t="shared" si="21"/>
        <v>PEN</v>
      </c>
      <c r="N164" s="13"/>
      <c r="O164" s="13">
        <v>12</v>
      </c>
      <c r="P164" s="3">
        <f t="shared" si="15"/>
        <v>0</v>
      </c>
      <c r="Q164" s="3">
        <f t="shared" si="16"/>
        <v>12</v>
      </c>
      <c r="R164" s="3">
        <f t="shared" si="17"/>
        <v>126.59999999999968</v>
      </c>
      <c r="S164" s="24" t="s">
        <v>1334</v>
      </c>
      <c r="T164" s="24" t="s">
        <v>1334</v>
      </c>
      <c r="U164" s="3"/>
      <c r="V164" s="25" t="s">
        <v>8006</v>
      </c>
      <c r="W164" s="25">
        <v>20517252558</v>
      </c>
      <c r="X164" s="25" t="str">
        <f>IFERROR(VLOOKUP(C_Ope_006[[#This Row],[nota_2]],Clientes_Proveedores[[Ruc / Dni]:[Razon Social]],2,0),"")</f>
        <v>COVISUR S.A.</v>
      </c>
      <c r="Y164" s="25"/>
      <c r="Z164" s="17"/>
      <c r="AA164" s="3" t="str">
        <f>IF(C_Ope_006[[#This Row],[fecha]]&gt;0,TEXT(C_Ope_006[[#This Row],[fecha]],"mmmm"),0)</f>
        <v>Junio</v>
      </c>
      <c r="AB164" s="49"/>
    </row>
    <row r="165" spans="1:28" ht="24" x14ac:dyDescent="0.3">
      <c r="A165" s="2">
        <f>IF(C_Ope_006[[#This Row],[tipo_r]]="R",COUNTIFS($C$1:$C164,"R")+1,"")</f>
        <v>164</v>
      </c>
      <c r="B165" s="19" t="str">
        <f t="shared" si="20"/>
        <v>C_Ope_006</v>
      </c>
      <c r="C165" s="3" t="s">
        <v>1330</v>
      </c>
      <c r="D165" s="14">
        <v>45838</v>
      </c>
      <c r="E165" s="5" t="s">
        <v>8786</v>
      </c>
      <c r="F165" s="5" t="s">
        <v>1336</v>
      </c>
      <c r="G165" s="6" t="s">
        <v>978</v>
      </c>
      <c r="H165" s="6" t="s">
        <v>68</v>
      </c>
      <c r="I165" s="6" t="s">
        <v>6204</v>
      </c>
      <c r="J165" s="6">
        <v>1773178</v>
      </c>
      <c r="K165" s="7" t="s">
        <v>8834</v>
      </c>
      <c r="L165" s="8">
        <v>24754</v>
      </c>
      <c r="M165" s="8" t="str">
        <f t="shared" si="21"/>
        <v>PEN</v>
      </c>
      <c r="N165" s="13"/>
      <c r="O165" s="13">
        <v>12</v>
      </c>
      <c r="P165" s="3">
        <f t="shared" si="15"/>
        <v>0</v>
      </c>
      <c r="Q165" s="3">
        <f t="shared" si="16"/>
        <v>12</v>
      </c>
      <c r="R165" s="3">
        <f t="shared" si="17"/>
        <v>114.59999999999968</v>
      </c>
      <c r="S165" s="24" t="s">
        <v>1334</v>
      </c>
      <c r="T165" s="24" t="s">
        <v>1334</v>
      </c>
      <c r="U165" s="3"/>
      <c r="V165" s="25" t="s">
        <v>8006</v>
      </c>
      <c r="W165" s="25">
        <v>20517252558</v>
      </c>
      <c r="X165" s="25" t="str">
        <f>IFERROR(VLOOKUP(C_Ope_006[[#This Row],[nota_2]],Clientes_Proveedores[[Ruc / Dni]:[Razon Social]],2,0),"")</f>
        <v>COVISUR S.A.</v>
      </c>
      <c r="Y165" s="25"/>
      <c r="Z165" s="17"/>
      <c r="AA165" s="3" t="str">
        <f>IF(C_Ope_006[[#This Row],[fecha]]&gt;0,TEXT(C_Ope_006[[#This Row],[fecha]],"mmmm"),0)</f>
        <v>Junio</v>
      </c>
      <c r="AB165" s="49"/>
    </row>
    <row r="166" spans="1:28" ht="24" x14ac:dyDescent="0.3">
      <c r="A166" s="2">
        <f>IF(C_Ope_006[[#This Row],[tipo_r]]="R",COUNTIFS($C$1:$C165,"R")+1,"")</f>
        <v>165</v>
      </c>
      <c r="B166" s="19" t="str">
        <f t="shared" si="20"/>
        <v>C_Ope_006</v>
      </c>
      <c r="C166" s="3" t="s">
        <v>1330</v>
      </c>
      <c r="D166" s="14">
        <v>45838</v>
      </c>
      <c r="E166" s="5" t="s">
        <v>8786</v>
      </c>
      <c r="F166" s="5" t="s">
        <v>1336</v>
      </c>
      <c r="G166" s="6" t="s">
        <v>978</v>
      </c>
      <c r="H166" s="6" t="s">
        <v>68</v>
      </c>
      <c r="I166" s="6" t="s">
        <v>5845</v>
      </c>
      <c r="J166" s="6">
        <v>1793367</v>
      </c>
      <c r="K166" s="7" t="s">
        <v>8834</v>
      </c>
      <c r="L166" s="8">
        <v>24755</v>
      </c>
      <c r="M166" s="8" t="str">
        <f t="shared" si="21"/>
        <v>PEN</v>
      </c>
      <c r="N166" s="13"/>
      <c r="O166" s="13">
        <v>12</v>
      </c>
      <c r="P166" s="3">
        <f t="shared" si="15"/>
        <v>0</v>
      </c>
      <c r="Q166" s="3">
        <f t="shared" si="16"/>
        <v>12</v>
      </c>
      <c r="R166" s="3">
        <f t="shared" si="17"/>
        <v>102.59999999999968</v>
      </c>
      <c r="S166" s="24" t="s">
        <v>1334</v>
      </c>
      <c r="T166" s="24" t="s">
        <v>1334</v>
      </c>
      <c r="U166" s="3"/>
      <c r="V166" s="25" t="s">
        <v>8006</v>
      </c>
      <c r="W166" s="25">
        <v>20517252558</v>
      </c>
      <c r="X166" s="25" t="str">
        <f>IFERROR(VLOOKUP(C_Ope_006[[#This Row],[nota_2]],Clientes_Proveedores[[Ruc / Dni]:[Razon Social]],2,0),"")</f>
        <v>COVISUR S.A.</v>
      </c>
      <c r="Y166" s="25"/>
      <c r="Z166" s="17"/>
      <c r="AA166" s="3" t="str">
        <f>IF(C_Ope_006[[#This Row],[fecha]]&gt;0,TEXT(C_Ope_006[[#This Row],[fecha]],"mmmm"),0)</f>
        <v>Junio</v>
      </c>
      <c r="AB166" s="49"/>
    </row>
    <row r="167" spans="1:28" ht="24" x14ac:dyDescent="0.3">
      <c r="A167" s="2">
        <f>IF(C_Ope_006[[#This Row],[tipo_r]]="R",COUNTIFS($C$1:$C166,"R")+1,"")</f>
        <v>166</v>
      </c>
      <c r="B167" s="19" t="str">
        <f t="shared" si="20"/>
        <v>C_Ope_006</v>
      </c>
      <c r="C167" s="3" t="s">
        <v>1330</v>
      </c>
      <c r="D167" s="14">
        <v>45833</v>
      </c>
      <c r="E167" s="5" t="s">
        <v>8786</v>
      </c>
      <c r="F167" s="5" t="s">
        <v>1336</v>
      </c>
      <c r="G167" s="6" t="s">
        <v>1147</v>
      </c>
      <c r="H167" s="6" t="s">
        <v>68</v>
      </c>
      <c r="I167" s="6" t="s">
        <v>1386</v>
      </c>
      <c r="J167" s="6">
        <v>16587</v>
      </c>
      <c r="K167" s="7" t="s">
        <v>8866</v>
      </c>
      <c r="L167" s="8">
        <v>24715</v>
      </c>
      <c r="M167" s="8" t="str">
        <f t="shared" si="21"/>
        <v>PEN</v>
      </c>
      <c r="N167" s="13"/>
      <c r="O167" s="13">
        <v>12</v>
      </c>
      <c r="P167" s="3">
        <f t="shared" si="15"/>
        <v>0</v>
      </c>
      <c r="Q167" s="3">
        <f t="shared" si="16"/>
        <v>12</v>
      </c>
      <c r="R167" s="3">
        <f t="shared" si="17"/>
        <v>90.599999999999682</v>
      </c>
      <c r="S167" s="24" t="s">
        <v>1334</v>
      </c>
      <c r="T167" s="24" t="s">
        <v>1334</v>
      </c>
      <c r="U167" s="3"/>
      <c r="V167" s="25" t="s">
        <v>8006</v>
      </c>
      <c r="W167" s="25">
        <v>20162554167</v>
      </c>
      <c r="X167" s="25" t="str">
        <f>IFERROR(VLOOKUP(C_Ope_006[[#This Row],[nota_2]],Clientes_Proveedores[[Ruc / Dni]:[Razon Social]],2,0),"")</f>
        <v>AUTORIDAD AUTONOMA DE MAJES</v>
      </c>
      <c r="Y167" s="25"/>
      <c r="Z167" s="17"/>
      <c r="AA167" s="3" t="str">
        <f>IF(C_Ope_006[[#This Row],[fecha]]&gt;0,TEXT(C_Ope_006[[#This Row],[fecha]],"mmmm"),0)</f>
        <v>Junio</v>
      </c>
      <c r="AB167" s="49"/>
    </row>
    <row r="168" spans="1:28" ht="24" x14ac:dyDescent="0.3">
      <c r="A168" s="2">
        <f>IF(C_Ope_006[[#This Row],[tipo_r]]="R",COUNTIFS($C$1:$C167,"R")+1,"")</f>
        <v>167</v>
      </c>
      <c r="B168" s="19" t="str">
        <f t="shared" si="20"/>
        <v>C_Ope_006</v>
      </c>
      <c r="C168" s="3" t="s">
        <v>1330</v>
      </c>
      <c r="D168" s="14">
        <v>45839</v>
      </c>
      <c r="E168" s="5" t="s">
        <v>7514</v>
      </c>
      <c r="F168" s="5" t="s">
        <v>1303</v>
      </c>
      <c r="G168" s="6" t="s">
        <v>1019</v>
      </c>
      <c r="H168" s="6"/>
      <c r="I168" s="6"/>
      <c r="J168" s="6"/>
      <c r="K168" s="7" t="s">
        <v>8475</v>
      </c>
      <c r="L168" s="8">
        <v>24766</v>
      </c>
      <c r="M168" s="8" t="str">
        <f t="shared" si="21"/>
        <v>PEN</v>
      </c>
      <c r="N168" s="13"/>
      <c r="O168" s="13">
        <v>110</v>
      </c>
      <c r="P168" s="3">
        <f t="shared" si="15"/>
        <v>110</v>
      </c>
      <c r="Q168" s="3">
        <f t="shared" si="16"/>
        <v>0</v>
      </c>
      <c r="R168" s="3">
        <f t="shared" si="17"/>
        <v>200.59999999999968</v>
      </c>
      <c r="S168" s="24" t="s">
        <v>1334</v>
      </c>
      <c r="T168" s="24" t="s">
        <v>1334</v>
      </c>
      <c r="U168" s="3"/>
      <c r="V168" s="25"/>
      <c r="W168" s="25"/>
      <c r="X168" s="25" t="str">
        <f>IFERROR(VLOOKUP(C_Ope_006[[#This Row],[nota_2]],Clientes_Proveedores[[Ruc / Dni]:[Razon Social]],2,0),"")</f>
        <v/>
      </c>
      <c r="Y168" s="25"/>
      <c r="Z168" s="17">
        <f>ROUND(C_Ope_006[[#This Row],[monto]]/1.18,3)</f>
        <v>93.22</v>
      </c>
      <c r="AA168" s="3" t="str">
        <f>IF(C_Ope_006[[#This Row],[fecha]]&gt;0,TEXT(C_Ope_006[[#This Row],[fecha]],"mmmm"),0)</f>
        <v>Julio</v>
      </c>
      <c r="AB168" s="49"/>
    </row>
    <row r="169" spans="1:28" ht="24" x14ac:dyDescent="0.3">
      <c r="A169" s="2">
        <f>IF(C_Ope_006[[#This Row],[tipo_r]]="R",COUNTIFS($C$1:$C168,"R")+1,"")</f>
        <v>168</v>
      </c>
      <c r="B169" s="19" t="str">
        <f t="shared" ref="B169:B177" si="22">"C_Ope_006"</f>
        <v>C_Ope_006</v>
      </c>
      <c r="C169" s="3" t="s">
        <v>1330</v>
      </c>
      <c r="D169" s="14">
        <v>45840</v>
      </c>
      <c r="E169" s="5" t="s">
        <v>8786</v>
      </c>
      <c r="F169" s="5" t="s">
        <v>1336</v>
      </c>
      <c r="G169" s="6" t="s">
        <v>978</v>
      </c>
      <c r="H169" s="6" t="s">
        <v>68</v>
      </c>
      <c r="I169" s="6" t="s">
        <v>5688</v>
      </c>
      <c r="J169" s="6">
        <v>2386514</v>
      </c>
      <c r="K169" s="7" t="s">
        <v>8867</v>
      </c>
      <c r="L169" s="8">
        <v>24780</v>
      </c>
      <c r="M169" s="8" t="str">
        <f t="shared" ref="M169:M177" si="23">"PEN"</f>
        <v>PEN</v>
      </c>
      <c r="N169" s="13"/>
      <c r="O169" s="13">
        <v>12</v>
      </c>
      <c r="P169" s="3">
        <f t="shared" si="15"/>
        <v>0</v>
      </c>
      <c r="Q169" s="3">
        <f t="shared" si="16"/>
        <v>12</v>
      </c>
      <c r="R169" s="3">
        <f t="shared" si="17"/>
        <v>188.59999999999968</v>
      </c>
      <c r="S169" s="24" t="s">
        <v>1334</v>
      </c>
      <c r="T169" s="24" t="s">
        <v>1334</v>
      </c>
      <c r="U169" s="3"/>
      <c r="V169" s="25" t="s">
        <v>8006</v>
      </c>
      <c r="W169" s="25">
        <v>20517252558</v>
      </c>
      <c r="X169" s="25" t="str">
        <f>IFERROR(VLOOKUP(C_Ope_006[[#This Row],[nota_2]],Clientes_Proveedores[[Ruc / Dni]:[Razon Social]],2,0),"")</f>
        <v>COVISUR S.A.</v>
      </c>
      <c r="Y169" s="25"/>
      <c r="Z169" s="17"/>
      <c r="AA169" s="3" t="str">
        <f>IF(C_Ope_006[[#This Row],[fecha]]&gt;0,TEXT(C_Ope_006[[#This Row],[fecha]],"mmmm"),0)</f>
        <v>Julio</v>
      </c>
      <c r="AB169" s="49"/>
    </row>
    <row r="170" spans="1:28" ht="24" x14ac:dyDescent="0.3">
      <c r="A170" s="2">
        <f>IF(C_Ope_006[[#This Row],[tipo_r]]="R",COUNTIFS($C$1:$C169,"R")+1,"")</f>
        <v>169</v>
      </c>
      <c r="B170" s="19" t="str">
        <f t="shared" si="22"/>
        <v>C_Ope_006</v>
      </c>
      <c r="C170" s="3" t="s">
        <v>1330</v>
      </c>
      <c r="D170" s="14">
        <v>45840</v>
      </c>
      <c r="E170" s="5" t="s">
        <v>8786</v>
      </c>
      <c r="F170" s="5" t="s">
        <v>1336</v>
      </c>
      <c r="G170" s="6" t="s">
        <v>978</v>
      </c>
      <c r="H170" s="6" t="s">
        <v>68</v>
      </c>
      <c r="I170" s="6" t="s">
        <v>6203</v>
      </c>
      <c r="J170" s="6">
        <v>2100880</v>
      </c>
      <c r="K170" s="7" t="s">
        <v>8868</v>
      </c>
      <c r="L170" s="8">
        <v>24781</v>
      </c>
      <c r="M170" s="8" t="str">
        <f t="shared" si="23"/>
        <v>PEN</v>
      </c>
      <c r="N170" s="13"/>
      <c r="O170" s="13">
        <v>12</v>
      </c>
      <c r="P170" s="3">
        <f t="shared" si="15"/>
        <v>0</v>
      </c>
      <c r="Q170" s="3">
        <f t="shared" si="16"/>
        <v>12</v>
      </c>
      <c r="R170" s="3">
        <f t="shared" si="17"/>
        <v>176.59999999999968</v>
      </c>
      <c r="S170" s="24" t="s">
        <v>1334</v>
      </c>
      <c r="T170" s="24" t="s">
        <v>1334</v>
      </c>
      <c r="U170" s="3"/>
      <c r="V170" s="25" t="s">
        <v>8006</v>
      </c>
      <c r="W170" s="25">
        <v>20517252558</v>
      </c>
      <c r="X170" s="25" t="str">
        <f>IFERROR(VLOOKUP(C_Ope_006[[#This Row],[nota_2]],Clientes_Proveedores[[Ruc / Dni]:[Razon Social]],2,0),"")</f>
        <v>COVISUR S.A.</v>
      </c>
      <c r="Y170" s="25"/>
      <c r="Z170" s="17"/>
      <c r="AA170" s="3" t="str">
        <f>IF(C_Ope_006[[#This Row],[fecha]]&gt;0,TEXT(C_Ope_006[[#This Row],[fecha]],"mmmm"),0)</f>
        <v>Julio</v>
      </c>
      <c r="AB170" s="49"/>
    </row>
    <row r="171" spans="1:28" ht="24" x14ac:dyDescent="0.3">
      <c r="A171" s="2">
        <f>IF(C_Ope_006[[#This Row],[tipo_r]]="R",COUNTIFS($C$1:$C170,"R")+1,"")</f>
        <v>170</v>
      </c>
      <c r="B171" s="19" t="str">
        <f t="shared" si="22"/>
        <v>C_Ope_006</v>
      </c>
      <c r="C171" s="3" t="s">
        <v>1330</v>
      </c>
      <c r="D171" s="14">
        <v>45842</v>
      </c>
      <c r="E171" s="5" t="s">
        <v>8786</v>
      </c>
      <c r="F171" s="5" t="s">
        <v>1336</v>
      </c>
      <c r="G171" s="6" t="s">
        <v>978</v>
      </c>
      <c r="H171" s="6" t="s">
        <v>68</v>
      </c>
      <c r="I171" s="6" t="s">
        <v>5688</v>
      </c>
      <c r="J171" s="6">
        <v>2388697</v>
      </c>
      <c r="K171" s="7" t="s">
        <v>8869</v>
      </c>
      <c r="L171" s="8">
        <v>24797</v>
      </c>
      <c r="M171" s="8" t="str">
        <f t="shared" si="23"/>
        <v>PEN</v>
      </c>
      <c r="N171" s="13"/>
      <c r="O171" s="13">
        <v>12</v>
      </c>
      <c r="P171" s="3">
        <f t="shared" si="15"/>
        <v>0</v>
      </c>
      <c r="Q171" s="3">
        <f t="shared" si="16"/>
        <v>12</v>
      </c>
      <c r="R171" s="3">
        <f t="shared" si="17"/>
        <v>164.59999999999968</v>
      </c>
      <c r="S171" s="24" t="s">
        <v>1334</v>
      </c>
      <c r="T171" s="24" t="s">
        <v>1334</v>
      </c>
      <c r="U171" s="3"/>
      <c r="V171" s="25" t="s">
        <v>8006</v>
      </c>
      <c r="W171" s="25">
        <v>20517252558</v>
      </c>
      <c r="X171" s="25" t="str">
        <f>IFERROR(VLOOKUP(C_Ope_006[[#This Row],[nota_2]],Clientes_Proveedores[[Ruc / Dni]:[Razon Social]],2,0),"")</f>
        <v>COVISUR S.A.</v>
      </c>
      <c r="Y171" s="25"/>
      <c r="Z171" s="17"/>
      <c r="AA171" s="3" t="str">
        <f>IF(C_Ope_006[[#This Row],[fecha]]&gt;0,TEXT(C_Ope_006[[#This Row],[fecha]],"mmmm"),0)</f>
        <v>Julio</v>
      </c>
      <c r="AB171" s="49"/>
    </row>
    <row r="172" spans="1:28" ht="24" x14ac:dyDescent="0.3">
      <c r="A172" s="2">
        <f>IF(C_Ope_006[[#This Row],[tipo_r]]="R",COUNTIFS($C$1:$C171,"R")+1,"")</f>
        <v>171</v>
      </c>
      <c r="B172" s="19" t="str">
        <f t="shared" si="22"/>
        <v>C_Ope_006</v>
      </c>
      <c r="C172" s="3" t="s">
        <v>1330</v>
      </c>
      <c r="D172" s="14">
        <v>45842</v>
      </c>
      <c r="E172" s="5" t="s">
        <v>8786</v>
      </c>
      <c r="F172" s="5" t="s">
        <v>1336</v>
      </c>
      <c r="G172" s="6" t="s">
        <v>978</v>
      </c>
      <c r="H172" s="6" t="s">
        <v>68</v>
      </c>
      <c r="I172" s="6" t="s">
        <v>5845</v>
      </c>
      <c r="J172" s="6">
        <v>1796255</v>
      </c>
      <c r="K172" s="7" t="s">
        <v>8870</v>
      </c>
      <c r="L172" s="8">
        <v>24798</v>
      </c>
      <c r="M172" s="8" t="str">
        <f t="shared" si="23"/>
        <v>PEN</v>
      </c>
      <c r="N172" s="13"/>
      <c r="O172" s="13">
        <v>12</v>
      </c>
      <c r="P172" s="3">
        <f t="shared" si="15"/>
        <v>0</v>
      </c>
      <c r="Q172" s="3">
        <f t="shared" si="16"/>
        <v>12</v>
      </c>
      <c r="R172" s="3">
        <f t="shared" si="17"/>
        <v>152.59999999999968</v>
      </c>
      <c r="S172" s="24" t="s">
        <v>1334</v>
      </c>
      <c r="T172" s="24" t="s">
        <v>1334</v>
      </c>
      <c r="U172" s="3"/>
      <c r="V172" s="25" t="s">
        <v>8006</v>
      </c>
      <c r="W172" s="25">
        <v>20517252558</v>
      </c>
      <c r="X172" s="25" t="str">
        <f>IFERROR(VLOOKUP(C_Ope_006[[#This Row],[nota_2]],Clientes_Proveedores[[Ruc / Dni]:[Razon Social]],2,0),"")</f>
        <v>COVISUR S.A.</v>
      </c>
      <c r="Y172" s="25"/>
      <c r="Z172" s="17"/>
      <c r="AA172" s="3" t="str">
        <f>IF(C_Ope_006[[#This Row],[fecha]]&gt;0,TEXT(C_Ope_006[[#This Row],[fecha]],"mmmm"),0)</f>
        <v>Julio</v>
      </c>
      <c r="AB172" s="49"/>
    </row>
    <row r="173" spans="1:28" ht="24" x14ac:dyDescent="0.3">
      <c r="A173" s="2">
        <f>IF(C_Ope_006[[#This Row],[tipo_r]]="R",COUNTIFS($C$1:$C172,"R")+1,"")</f>
        <v>172</v>
      </c>
      <c r="B173" s="19" t="str">
        <f t="shared" si="22"/>
        <v>C_Ope_006</v>
      </c>
      <c r="C173" s="3" t="s">
        <v>1330</v>
      </c>
      <c r="D173" s="14">
        <v>45842</v>
      </c>
      <c r="E173" s="5" t="s">
        <v>8786</v>
      </c>
      <c r="F173" s="5" t="s">
        <v>1336</v>
      </c>
      <c r="G173" s="6" t="s">
        <v>978</v>
      </c>
      <c r="H173" s="6" t="s">
        <v>68</v>
      </c>
      <c r="I173" s="6" t="s">
        <v>6203</v>
      </c>
      <c r="J173" s="6">
        <v>2102685</v>
      </c>
      <c r="K173" s="7" t="s">
        <v>8870</v>
      </c>
      <c r="L173" s="8">
        <v>24799</v>
      </c>
      <c r="M173" s="8" t="str">
        <f t="shared" si="23"/>
        <v>PEN</v>
      </c>
      <c r="N173" s="13"/>
      <c r="O173" s="13">
        <v>12</v>
      </c>
      <c r="P173" s="3">
        <f t="shared" si="15"/>
        <v>0</v>
      </c>
      <c r="Q173" s="3">
        <f t="shared" si="16"/>
        <v>12</v>
      </c>
      <c r="R173" s="3">
        <f t="shared" si="17"/>
        <v>140.59999999999968</v>
      </c>
      <c r="S173" s="24" t="s">
        <v>1334</v>
      </c>
      <c r="T173" s="24" t="s">
        <v>1334</v>
      </c>
      <c r="U173" s="3"/>
      <c r="V173" s="25" t="s">
        <v>8006</v>
      </c>
      <c r="W173" s="25">
        <v>20517252558</v>
      </c>
      <c r="X173" s="25" t="str">
        <f>IFERROR(VLOOKUP(C_Ope_006[[#This Row],[nota_2]],Clientes_Proveedores[[Ruc / Dni]:[Razon Social]],2,0),"")</f>
        <v>COVISUR S.A.</v>
      </c>
      <c r="Y173" s="25"/>
      <c r="Z173" s="17"/>
      <c r="AA173" s="3" t="str">
        <f>IF(C_Ope_006[[#This Row],[fecha]]&gt;0,TEXT(C_Ope_006[[#This Row],[fecha]],"mmmm"),0)</f>
        <v>Julio</v>
      </c>
      <c r="AB173" s="49"/>
    </row>
    <row r="174" spans="1:28" ht="36" x14ac:dyDescent="0.3">
      <c r="A174" s="2">
        <f>IF(C_Ope_006[[#This Row],[tipo_r]]="R",COUNTIFS($C$1:$C173,"R")+1,"")</f>
        <v>173</v>
      </c>
      <c r="B174" s="19" t="str">
        <f t="shared" si="22"/>
        <v>C_Ope_006</v>
      </c>
      <c r="C174" s="3" t="s">
        <v>1330</v>
      </c>
      <c r="D174" s="14">
        <v>45845</v>
      </c>
      <c r="E174" s="5" t="s">
        <v>8786</v>
      </c>
      <c r="F174" s="5" t="s">
        <v>1336</v>
      </c>
      <c r="G174" s="6" t="s">
        <v>227</v>
      </c>
      <c r="H174" s="6" t="s">
        <v>68</v>
      </c>
      <c r="I174" s="6" t="s">
        <v>1390</v>
      </c>
      <c r="J174" s="6">
        <v>133923</v>
      </c>
      <c r="K174" s="7" t="s">
        <v>8871</v>
      </c>
      <c r="L174" s="8">
        <v>24801</v>
      </c>
      <c r="M174" s="8" t="str">
        <f t="shared" si="23"/>
        <v>PEN</v>
      </c>
      <c r="N174" s="13"/>
      <c r="O174" s="13">
        <v>10</v>
      </c>
      <c r="P174" s="3">
        <f t="shared" si="15"/>
        <v>0</v>
      </c>
      <c r="Q174" s="3">
        <f t="shared" si="16"/>
        <v>10</v>
      </c>
      <c r="R174" s="3">
        <f t="shared" si="17"/>
        <v>130.59999999999968</v>
      </c>
      <c r="S174" s="24" t="s">
        <v>1334</v>
      </c>
      <c r="T174" s="24" t="s">
        <v>1334</v>
      </c>
      <c r="U174" s="3"/>
      <c r="V174" s="25" t="s">
        <v>8006</v>
      </c>
      <c r="W174" s="25">
        <v>20124952850</v>
      </c>
      <c r="X174" s="25" t="str">
        <f>IFERROR(VLOOKUP(C_Ope_006[[#This Row],[nota_2]],Clientes_Proveedores[[Ruc / Dni]:[Razon Social]],2,0),"")</f>
        <v>ALIMENTOS Y SERVICIOS AGROPECUARIOS SRL.</v>
      </c>
      <c r="Y174" s="25"/>
      <c r="Z174" s="17"/>
      <c r="AA174" s="3" t="str">
        <f>IF(C_Ope_006[[#This Row],[fecha]]&gt;0,TEXT(C_Ope_006[[#This Row],[fecha]],"mmmm"),0)</f>
        <v>Julio</v>
      </c>
      <c r="AB174" s="49"/>
    </row>
    <row r="175" spans="1:28" ht="36" x14ac:dyDescent="0.3">
      <c r="A175" s="2">
        <f>IF(C_Ope_006[[#This Row],[tipo_r]]="R",COUNTIFS($C$1:$C174,"R")+1,"")</f>
        <v>174</v>
      </c>
      <c r="B175" s="19" t="str">
        <f t="shared" si="22"/>
        <v>C_Ope_006</v>
      </c>
      <c r="C175" s="3" t="s">
        <v>1330</v>
      </c>
      <c r="D175" s="14">
        <v>45847</v>
      </c>
      <c r="E175" s="5" t="s">
        <v>8786</v>
      </c>
      <c r="F175" s="5" t="s">
        <v>1336</v>
      </c>
      <c r="G175" s="6" t="s">
        <v>227</v>
      </c>
      <c r="H175" s="6" t="s">
        <v>68</v>
      </c>
      <c r="I175" s="6" t="s">
        <v>1390</v>
      </c>
      <c r="J175" s="6">
        <v>133999</v>
      </c>
      <c r="K175" s="7" t="s">
        <v>8872</v>
      </c>
      <c r="L175" s="8">
        <v>24833</v>
      </c>
      <c r="M175" s="8" t="str">
        <f t="shared" si="23"/>
        <v>PEN</v>
      </c>
      <c r="N175" s="13"/>
      <c r="O175" s="13">
        <v>10</v>
      </c>
      <c r="P175" s="3">
        <f t="shared" si="15"/>
        <v>0</v>
      </c>
      <c r="Q175" s="3">
        <f t="shared" si="16"/>
        <v>10</v>
      </c>
      <c r="R175" s="3">
        <f t="shared" si="17"/>
        <v>120.59999999999968</v>
      </c>
      <c r="S175" s="24" t="s">
        <v>1334</v>
      </c>
      <c r="T175" s="24" t="s">
        <v>1334</v>
      </c>
      <c r="U175" s="3"/>
      <c r="V175" s="25" t="s">
        <v>8006</v>
      </c>
      <c r="W175" s="25">
        <v>20124952850</v>
      </c>
      <c r="X175" s="25" t="str">
        <f>IFERROR(VLOOKUP(C_Ope_006[[#This Row],[nota_2]],Clientes_Proveedores[[Ruc / Dni]:[Razon Social]],2,0),"")</f>
        <v>ALIMENTOS Y SERVICIOS AGROPECUARIOS SRL.</v>
      </c>
      <c r="Y175" s="25"/>
      <c r="Z175" s="17"/>
      <c r="AA175" s="3" t="str">
        <f>IF(C_Ope_006[[#This Row],[fecha]]&gt;0,TEXT(C_Ope_006[[#This Row],[fecha]],"mmmm"),0)</f>
        <v>Julio</v>
      </c>
      <c r="AB175" s="49"/>
    </row>
    <row r="176" spans="1:28" ht="36" x14ac:dyDescent="0.3">
      <c r="A176" s="2">
        <f>IF(C_Ope_006[[#This Row],[tipo_r]]="R",COUNTIFS($C$1:$C175,"R")+1,"")</f>
        <v>175</v>
      </c>
      <c r="B176" s="19" t="str">
        <f t="shared" si="22"/>
        <v>C_Ope_006</v>
      </c>
      <c r="C176" s="3" t="s">
        <v>1330</v>
      </c>
      <c r="D176" s="14">
        <v>45847</v>
      </c>
      <c r="E176" s="5" t="s">
        <v>8786</v>
      </c>
      <c r="F176" s="5" t="s">
        <v>1336</v>
      </c>
      <c r="G176" s="6" t="s">
        <v>227</v>
      </c>
      <c r="H176" s="6" t="s">
        <v>68</v>
      </c>
      <c r="I176" s="6" t="s">
        <v>1390</v>
      </c>
      <c r="J176" s="6">
        <v>134001</v>
      </c>
      <c r="K176" s="7" t="s">
        <v>8873</v>
      </c>
      <c r="L176" s="8">
        <v>24834</v>
      </c>
      <c r="M176" s="8" t="str">
        <f t="shared" si="23"/>
        <v>PEN</v>
      </c>
      <c r="N176" s="13"/>
      <c r="O176" s="13">
        <v>10</v>
      </c>
      <c r="P176" s="3">
        <f t="shared" si="15"/>
        <v>0</v>
      </c>
      <c r="Q176" s="3">
        <f t="shared" si="16"/>
        <v>10</v>
      </c>
      <c r="R176" s="3">
        <f t="shared" si="17"/>
        <v>110.59999999999968</v>
      </c>
      <c r="S176" s="24" t="s">
        <v>1334</v>
      </c>
      <c r="T176" s="24" t="s">
        <v>1334</v>
      </c>
      <c r="U176" s="3"/>
      <c r="V176" s="25" t="s">
        <v>8006</v>
      </c>
      <c r="W176" s="25">
        <v>20124952850</v>
      </c>
      <c r="X176" s="25" t="str">
        <f>IFERROR(VLOOKUP(C_Ope_006[[#This Row],[nota_2]],Clientes_Proveedores[[Ruc / Dni]:[Razon Social]],2,0),"")</f>
        <v>ALIMENTOS Y SERVICIOS AGROPECUARIOS SRL.</v>
      </c>
      <c r="Y176" s="25"/>
      <c r="Z176" s="17"/>
      <c r="AA176" s="3" t="str">
        <f>IF(C_Ope_006[[#This Row],[fecha]]&gt;0,TEXT(C_Ope_006[[#This Row],[fecha]],"mmmm"),0)</f>
        <v>Julio</v>
      </c>
      <c r="AB176" s="49"/>
    </row>
    <row r="177" spans="1:28" ht="36" x14ac:dyDescent="0.3">
      <c r="A177" s="2">
        <f>IF(C_Ope_006[[#This Row],[tipo_r]]="R",COUNTIFS($C$1:$C176,"R")+1,"")</f>
        <v>176</v>
      </c>
      <c r="B177" s="19" t="str">
        <f t="shared" si="22"/>
        <v>C_Ope_006</v>
      </c>
      <c r="C177" s="3" t="s">
        <v>1330</v>
      </c>
      <c r="D177" s="14">
        <v>45847</v>
      </c>
      <c r="E177" s="5" t="s">
        <v>8786</v>
      </c>
      <c r="F177" s="5" t="s">
        <v>1336</v>
      </c>
      <c r="G177" s="6" t="s">
        <v>227</v>
      </c>
      <c r="H177" s="6" t="s">
        <v>68</v>
      </c>
      <c r="I177" s="6" t="s">
        <v>1390</v>
      </c>
      <c r="J177" s="6">
        <v>134002</v>
      </c>
      <c r="K177" s="7" t="s">
        <v>8874</v>
      </c>
      <c r="L177" s="8">
        <v>24835</v>
      </c>
      <c r="M177" s="8" t="str">
        <f t="shared" si="23"/>
        <v>PEN</v>
      </c>
      <c r="N177" s="13"/>
      <c r="O177" s="13">
        <v>10</v>
      </c>
      <c r="P177" s="3">
        <f t="shared" si="15"/>
        <v>0</v>
      </c>
      <c r="Q177" s="3">
        <f t="shared" si="16"/>
        <v>10</v>
      </c>
      <c r="R177" s="3">
        <f t="shared" si="17"/>
        <v>100.59999999999968</v>
      </c>
      <c r="S177" s="24" t="s">
        <v>1334</v>
      </c>
      <c r="T177" s="24" t="s">
        <v>1334</v>
      </c>
      <c r="U177" s="3"/>
      <c r="V177" s="25" t="s">
        <v>8006</v>
      </c>
      <c r="W177" s="25">
        <v>20124952850</v>
      </c>
      <c r="X177" s="25" t="str">
        <f>IFERROR(VLOOKUP(C_Ope_006[[#This Row],[nota_2]],Clientes_Proveedores[[Ruc / Dni]:[Razon Social]],2,0),"")</f>
        <v>ALIMENTOS Y SERVICIOS AGROPECUARIOS SRL.</v>
      </c>
      <c r="Y177" s="25"/>
      <c r="Z177" s="17"/>
      <c r="AA177" s="3" t="str">
        <f>IF(C_Ope_006[[#This Row],[fecha]]&gt;0,TEXT(C_Ope_006[[#This Row],[fecha]],"mmmm"),0)</f>
        <v>Julio</v>
      </c>
      <c r="AB177" s="49"/>
    </row>
    <row r="178" spans="1:28" ht="24" x14ac:dyDescent="0.3">
      <c r="A178" s="2">
        <f>IF(C_Ope_006[[#This Row],[tipo_r]]="R",COUNTIFS($C$1:$C177,"R")+1,"")</f>
        <v>177</v>
      </c>
      <c r="B178" s="19" t="str">
        <f t="shared" ref="B178:B179" si="24">"C_Ope_006"</f>
        <v>C_Ope_006</v>
      </c>
      <c r="C178" s="3" t="s">
        <v>1330</v>
      </c>
      <c r="D178" s="14">
        <v>45854</v>
      </c>
      <c r="E178" s="5" t="s">
        <v>3634</v>
      </c>
      <c r="F178" s="5" t="s">
        <v>1303</v>
      </c>
      <c r="G178" s="6" t="s">
        <v>1019</v>
      </c>
      <c r="H178" s="6"/>
      <c r="I178" s="6"/>
      <c r="J178" s="6"/>
      <c r="K178" s="7" t="s">
        <v>8475</v>
      </c>
      <c r="L178" s="8"/>
      <c r="M178" s="8" t="str">
        <f t="shared" ref="M178:M179" si="25">"PEN"</f>
        <v>PEN</v>
      </c>
      <c r="N178" s="13"/>
      <c r="O178" s="13">
        <v>500</v>
      </c>
      <c r="P178" s="3">
        <f t="shared" si="15"/>
        <v>500</v>
      </c>
      <c r="Q178" s="3">
        <f t="shared" si="16"/>
        <v>0</v>
      </c>
      <c r="R178" s="3">
        <f t="shared" si="17"/>
        <v>600.59999999999968</v>
      </c>
      <c r="S178" s="24" t="s">
        <v>1334</v>
      </c>
      <c r="T178" s="24" t="s">
        <v>1334</v>
      </c>
      <c r="U178" s="3"/>
      <c r="V178" s="25"/>
      <c r="W178" s="25"/>
      <c r="X178" s="25" t="str">
        <f>IFERROR(VLOOKUP(C_Ope_006[[#This Row],[nota_2]],Clientes_Proveedores[[Ruc / Dni]:[Razon Social]],2,0),"")</f>
        <v/>
      </c>
      <c r="Y178" s="25"/>
      <c r="Z178" s="17">
        <f>ROUND(C_Ope_006[[#This Row],[monto]]/1.18,3)</f>
        <v>423.72899999999998</v>
      </c>
      <c r="AA178" s="3" t="str">
        <f>IF(C_Ope_006[[#This Row],[fecha]]&gt;0,TEXT(C_Ope_006[[#This Row],[fecha]],"mmmm"),0)</f>
        <v>Julio</v>
      </c>
      <c r="AB178" s="49"/>
    </row>
    <row r="179" spans="1:28" ht="24" x14ac:dyDescent="0.3">
      <c r="A179" s="2">
        <f>IF(C_Ope_006[[#This Row],[tipo_r]]="R",COUNTIFS($C$1:$C178,"R")+1,"")</f>
        <v>178</v>
      </c>
      <c r="B179" s="19" t="str">
        <f t="shared" si="24"/>
        <v>C_Ope_006</v>
      </c>
      <c r="C179" s="3" t="s">
        <v>1330</v>
      </c>
      <c r="D179" s="14">
        <v>45859</v>
      </c>
      <c r="E179" s="5" t="s">
        <v>3634</v>
      </c>
      <c r="F179" s="5" t="s">
        <v>1303</v>
      </c>
      <c r="G179" s="6" t="s">
        <v>1019</v>
      </c>
      <c r="H179" s="6"/>
      <c r="I179" s="6"/>
      <c r="J179" s="6"/>
      <c r="K179" s="7" t="s">
        <v>8475</v>
      </c>
      <c r="L179" s="8"/>
      <c r="M179" s="8" t="str">
        <f t="shared" si="25"/>
        <v>PEN</v>
      </c>
      <c r="N179" s="13"/>
      <c r="O179" s="13">
        <v>300</v>
      </c>
      <c r="P179" s="3">
        <f t="shared" si="15"/>
        <v>300</v>
      </c>
      <c r="Q179" s="3">
        <f t="shared" si="16"/>
        <v>0</v>
      </c>
      <c r="R179" s="3">
        <f t="shared" si="17"/>
        <v>900.59999999999968</v>
      </c>
      <c r="S179" s="24" t="s">
        <v>1334</v>
      </c>
      <c r="T179" s="24" t="s">
        <v>1334</v>
      </c>
      <c r="U179" s="3"/>
      <c r="V179" s="25"/>
      <c r="W179" s="25"/>
      <c r="X179" s="25" t="str">
        <f>IFERROR(VLOOKUP(C_Ope_006[[#This Row],[nota_2]],Clientes_Proveedores[[Ruc / Dni]:[Razon Social]],2,0),"")</f>
        <v/>
      </c>
      <c r="Y179" s="25"/>
      <c r="Z179" s="17">
        <f>ROUND(C_Ope_006[[#This Row],[monto]]/1.18,3)</f>
        <v>254.23699999999999</v>
      </c>
      <c r="AA179" s="3" t="str">
        <f>IF(C_Ope_006[[#This Row],[fecha]]&gt;0,TEXT(C_Ope_006[[#This Row],[fecha]],"mmmm"),0)</f>
        <v>Julio</v>
      </c>
      <c r="AB179" s="49"/>
    </row>
    <row r="180" spans="1:28" ht="24" x14ac:dyDescent="0.3">
      <c r="A180" s="2">
        <f>IF(C_Ope_006[[#This Row],[tipo_r]]="R",COUNTIFS($C$1:$C179,"R")+1,"")</f>
        <v>179</v>
      </c>
      <c r="B180" s="19" t="str">
        <f t="shared" ref="B180:B211" si="26">"C_Ope_006"</f>
        <v>C_Ope_006</v>
      </c>
      <c r="C180" s="3" t="s">
        <v>1330</v>
      </c>
      <c r="D180" s="14">
        <v>45848</v>
      </c>
      <c r="E180" s="5" t="s">
        <v>8786</v>
      </c>
      <c r="F180" s="5" t="s">
        <v>1336</v>
      </c>
      <c r="G180" s="6" t="s">
        <v>978</v>
      </c>
      <c r="H180" s="6" t="s">
        <v>68</v>
      </c>
      <c r="I180" s="6" t="s">
        <v>5688</v>
      </c>
      <c r="J180" s="6">
        <v>2393788</v>
      </c>
      <c r="K180" s="7" t="s">
        <v>8875</v>
      </c>
      <c r="L180" s="8">
        <v>24847</v>
      </c>
      <c r="M180" s="8" t="str">
        <f t="shared" ref="M180:M211" si="27">"PEN"</f>
        <v>PEN</v>
      </c>
      <c r="N180" s="13"/>
      <c r="O180" s="13">
        <v>12</v>
      </c>
      <c r="P180" s="3">
        <f t="shared" si="15"/>
        <v>0</v>
      </c>
      <c r="Q180" s="3">
        <f t="shared" si="16"/>
        <v>12</v>
      </c>
      <c r="R180" s="3">
        <f t="shared" si="17"/>
        <v>888.59999999999968</v>
      </c>
      <c r="S180" s="24" t="s">
        <v>1334</v>
      </c>
      <c r="T180" s="24" t="s">
        <v>1334</v>
      </c>
      <c r="U180" s="3"/>
      <c r="V180" s="25" t="s">
        <v>8006</v>
      </c>
      <c r="W180" s="25">
        <v>20517252558</v>
      </c>
      <c r="X180" s="25" t="str">
        <f>IFERROR(VLOOKUP(C_Ope_006[[#This Row],[nota_2]],Clientes_Proveedores[[Ruc / Dni]:[Razon Social]],2,0),"")</f>
        <v>COVISUR S.A.</v>
      </c>
      <c r="Y180" s="25" t="s">
        <v>7888</v>
      </c>
      <c r="Z180" s="17"/>
      <c r="AA180" s="3" t="str">
        <f>IF(C_Ope_006[[#This Row],[fecha]]&gt;0,TEXT(C_Ope_006[[#This Row],[fecha]],"mmmm"),0)</f>
        <v>Julio</v>
      </c>
      <c r="AB180" s="49"/>
    </row>
    <row r="181" spans="1:28" ht="24" x14ac:dyDescent="0.3">
      <c r="A181" s="2">
        <f>IF(C_Ope_006[[#This Row],[tipo_r]]="R",COUNTIFS($C$1:$C180,"R")+1,"")</f>
        <v>180</v>
      </c>
      <c r="B181" s="19" t="str">
        <f t="shared" si="26"/>
        <v>C_Ope_006</v>
      </c>
      <c r="C181" s="3" t="s">
        <v>1330</v>
      </c>
      <c r="D181" s="14">
        <v>45848</v>
      </c>
      <c r="E181" s="5" t="s">
        <v>8786</v>
      </c>
      <c r="F181" s="5" t="s">
        <v>1336</v>
      </c>
      <c r="G181" s="6" t="s">
        <v>978</v>
      </c>
      <c r="H181" s="6" t="s">
        <v>68</v>
      </c>
      <c r="I181" s="6" t="s">
        <v>6203</v>
      </c>
      <c r="J181" s="6">
        <v>2107451</v>
      </c>
      <c r="K181" s="7" t="s">
        <v>8876</v>
      </c>
      <c r="L181" s="8">
        <v>24852</v>
      </c>
      <c r="M181" s="8" t="str">
        <f t="shared" si="27"/>
        <v>PEN</v>
      </c>
      <c r="N181" s="13"/>
      <c r="O181" s="13">
        <v>12</v>
      </c>
      <c r="P181" s="3">
        <f t="shared" si="15"/>
        <v>0</v>
      </c>
      <c r="Q181" s="3">
        <f t="shared" si="16"/>
        <v>12</v>
      </c>
      <c r="R181" s="3">
        <f t="shared" si="17"/>
        <v>876.59999999999968</v>
      </c>
      <c r="S181" s="24" t="s">
        <v>1334</v>
      </c>
      <c r="T181" s="24" t="s">
        <v>1334</v>
      </c>
      <c r="U181" s="3"/>
      <c r="V181" s="25" t="s">
        <v>8006</v>
      </c>
      <c r="W181" s="25">
        <v>20517252558</v>
      </c>
      <c r="X181" s="25" t="str">
        <f>IFERROR(VLOOKUP(C_Ope_006[[#This Row],[nota_2]],Clientes_Proveedores[[Ruc / Dni]:[Razon Social]],2,0),"")</f>
        <v>COVISUR S.A.</v>
      </c>
      <c r="Y181" s="25" t="s">
        <v>7888</v>
      </c>
      <c r="Z181" s="17"/>
      <c r="AA181" s="3" t="str">
        <f>IF(C_Ope_006[[#This Row],[fecha]]&gt;0,TEXT(C_Ope_006[[#This Row],[fecha]],"mmmm"),0)</f>
        <v>Julio</v>
      </c>
      <c r="AB181" s="49"/>
    </row>
    <row r="182" spans="1:28" ht="24" x14ac:dyDescent="0.3">
      <c r="A182" s="2">
        <f>IF(C_Ope_006[[#This Row],[tipo_r]]="R",COUNTIFS($C$1:$C181,"R")+1,"")</f>
        <v>181</v>
      </c>
      <c r="B182" s="19" t="str">
        <f t="shared" si="26"/>
        <v>C_Ope_006</v>
      </c>
      <c r="C182" s="3" t="s">
        <v>1330</v>
      </c>
      <c r="D182" s="14">
        <v>45849</v>
      </c>
      <c r="E182" s="5" t="s">
        <v>8786</v>
      </c>
      <c r="F182" s="5" t="s">
        <v>1336</v>
      </c>
      <c r="G182" s="6" t="s">
        <v>978</v>
      </c>
      <c r="H182" s="6" t="s">
        <v>68</v>
      </c>
      <c r="I182" s="6" t="s">
        <v>5688</v>
      </c>
      <c r="J182" s="6">
        <v>2394591</v>
      </c>
      <c r="K182" s="7" t="s">
        <v>8877</v>
      </c>
      <c r="L182" s="8">
        <v>24867</v>
      </c>
      <c r="M182" s="8" t="str">
        <f t="shared" si="27"/>
        <v>PEN</v>
      </c>
      <c r="N182" s="13"/>
      <c r="O182" s="13">
        <v>12</v>
      </c>
      <c r="P182" s="3">
        <f t="shared" si="15"/>
        <v>0</v>
      </c>
      <c r="Q182" s="3">
        <f t="shared" si="16"/>
        <v>12</v>
      </c>
      <c r="R182" s="3">
        <f t="shared" si="17"/>
        <v>864.59999999999968</v>
      </c>
      <c r="S182" s="24" t="s">
        <v>1334</v>
      </c>
      <c r="T182" s="24" t="s">
        <v>1334</v>
      </c>
      <c r="U182" s="3"/>
      <c r="V182" s="25" t="s">
        <v>8006</v>
      </c>
      <c r="W182" s="25">
        <v>20517252558</v>
      </c>
      <c r="X182" s="25" t="str">
        <f>IFERROR(VLOOKUP(C_Ope_006[[#This Row],[nota_2]],Clientes_Proveedores[[Ruc / Dni]:[Razon Social]],2,0),"")</f>
        <v>COVISUR S.A.</v>
      </c>
      <c r="Y182" s="25" t="s">
        <v>7888</v>
      </c>
      <c r="Z182" s="17"/>
      <c r="AA182" s="3" t="str">
        <f>IF(C_Ope_006[[#This Row],[fecha]]&gt;0,TEXT(C_Ope_006[[#This Row],[fecha]],"mmmm"),0)</f>
        <v>Julio</v>
      </c>
      <c r="AB182" s="49"/>
    </row>
    <row r="183" spans="1:28" ht="24" x14ac:dyDescent="0.3">
      <c r="A183" s="2">
        <f>IF(C_Ope_006[[#This Row],[tipo_r]]="R",COUNTIFS($C$1:$C182,"R")+1,"")</f>
        <v>182</v>
      </c>
      <c r="B183" s="19" t="str">
        <f t="shared" si="26"/>
        <v>C_Ope_006</v>
      </c>
      <c r="C183" s="3" t="s">
        <v>1330</v>
      </c>
      <c r="D183" s="14">
        <v>45849</v>
      </c>
      <c r="E183" s="5" t="s">
        <v>8786</v>
      </c>
      <c r="F183" s="5" t="s">
        <v>1336</v>
      </c>
      <c r="G183" s="6" t="s">
        <v>978</v>
      </c>
      <c r="H183" s="6" t="s">
        <v>68</v>
      </c>
      <c r="I183" s="6" t="s">
        <v>6203</v>
      </c>
      <c r="J183" s="6">
        <v>2108235</v>
      </c>
      <c r="K183" s="7" t="s">
        <v>8878</v>
      </c>
      <c r="L183" s="8">
        <v>24879</v>
      </c>
      <c r="M183" s="8" t="str">
        <f t="shared" si="27"/>
        <v>PEN</v>
      </c>
      <c r="N183" s="13"/>
      <c r="O183" s="13">
        <v>12</v>
      </c>
      <c r="P183" s="3">
        <f t="shared" si="15"/>
        <v>0</v>
      </c>
      <c r="Q183" s="3">
        <f t="shared" si="16"/>
        <v>12</v>
      </c>
      <c r="R183" s="3">
        <f t="shared" si="17"/>
        <v>852.59999999999968</v>
      </c>
      <c r="S183" s="24" t="s">
        <v>1334</v>
      </c>
      <c r="T183" s="24" t="s">
        <v>1334</v>
      </c>
      <c r="U183" s="3"/>
      <c r="V183" s="25" t="s">
        <v>8006</v>
      </c>
      <c r="W183" s="25">
        <v>20517252558</v>
      </c>
      <c r="X183" s="25" t="str">
        <f>IFERROR(VLOOKUP(C_Ope_006[[#This Row],[nota_2]],Clientes_Proveedores[[Ruc / Dni]:[Razon Social]],2,0),"")</f>
        <v>COVISUR S.A.</v>
      </c>
      <c r="Y183" s="25" t="s">
        <v>7888</v>
      </c>
      <c r="Z183" s="17"/>
      <c r="AA183" s="3" t="str">
        <f>IF(C_Ope_006[[#This Row],[fecha]]&gt;0,TEXT(C_Ope_006[[#This Row],[fecha]],"mmmm"),0)</f>
        <v>Julio</v>
      </c>
      <c r="AB183" s="49"/>
    </row>
    <row r="184" spans="1:28" ht="24" x14ac:dyDescent="0.3">
      <c r="A184" s="2">
        <f>IF(C_Ope_006[[#This Row],[tipo_r]]="R",COUNTIFS($C$1:$C183,"R")+1,"")</f>
        <v>183</v>
      </c>
      <c r="B184" s="19" t="str">
        <f t="shared" si="26"/>
        <v>C_Ope_006</v>
      </c>
      <c r="C184" s="3" t="s">
        <v>1330</v>
      </c>
      <c r="D184" s="14">
        <v>45852</v>
      </c>
      <c r="E184" s="5" t="s">
        <v>8786</v>
      </c>
      <c r="F184" s="5" t="s">
        <v>1336</v>
      </c>
      <c r="G184" s="6" t="s">
        <v>978</v>
      </c>
      <c r="H184" s="6" t="s">
        <v>68</v>
      </c>
      <c r="I184" s="6" t="s">
        <v>5688</v>
      </c>
      <c r="J184" s="6">
        <v>2397176</v>
      </c>
      <c r="K184" s="7" t="s">
        <v>8879</v>
      </c>
      <c r="L184" s="8">
        <v>24885</v>
      </c>
      <c r="M184" s="8" t="str">
        <f t="shared" si="27"/>
        <v>PEN</v>
      </c>
      <c r="N184" s="13"/>
      <c r="O184" s="13">
        <v>12</v>
      </c>
      <c r="P184" s="3">
        <f t="shared" si="15"/>
        <v>0</v>
      </c>
      <c r="Q184" s="3">
        <f t="shared" si="16"/>
        <v>12</v>
      </c>
      <c r="R184" s="3">
        <f t="shared" si="17"/>
        <v>840.59999999999968</v>
      </c>
      <c r="S184" s="24" t="s">
        <v>1334</v>
      </c>
      <c r="T184" s="24" t="s">
        <v>1334</v>
      </c>
      <c r="U184" s="3"/>
      <c r="V184" s="25" t="s">
        <v>8006</v>
      </c>
      <c r="W184" s="25">
        <v>20517252558</v>
      </c>
      <c r="X184" s="25" t="str">
        <f>IFERROR(VLOOKUP(C_Ope_006[[#This Row],[nota_2]],Clientes_Proveedores[[Ruc / Dni]:[Razon Social]],2,0),"")</f>
        <v>COVISUR S.A.</v>
      </c>
      <c r="Y184" s="25" t="s">
        <v>7888</v>
      </c>
      <c r="Z184" s="17"/>
      <c r="AA184" s="3" t="str">
        <f>IF(C_Ope_006[[#This Row],[fecha]]&gt;0,TEXT(C_Ope_006[[#This Row],[fecha]],"mmmm"),0)</f>
        <v>Julio</v>
      </c>
      <c r="AB184" s="49"/>
    </row>
    <row r="185" spans="1:28" ht="24" x14ac:dyDescent="0.3">
      <c r="A185" s="2">
        <f>IF(C_Ope_006[[#This Row],[tipo_r]]="R",COUNTIFS($C$1:$C184,"R")+1,"")</f>
        <v>184</v>
      </c>
      <c r="B185" s="19" t="str">
        <f t="shared" si="26"/>
        <v>C_Ope_006</v>
      </c>
      <c r="C185" s="3" t="s">
        <v>1330</v>
      </c>
      <c r="D185" s="14">
        <v>45852</v>
      </c>
      <c r="E185" s="5" t="s">
        <v>8786</v>
      </c>
      <c r="F185" s="5" t="s">
        <v>1336</v>
      </c>
      <c r="G185" s="6" t="s">
        <v>978</v>
      </c>
      <c r="H185" s="6" t="s">
        <v>68</v>
      </c>
      <c r="I185" s="6" t="s">
        <v>5845</v>
      </c>
      <c r="J185" s="6">
        <v>1803253</v>
      </c>
      <c r="K185" s="7" t="s">
        <v>8880</v>
      </c>
      <c r="L185" s="8">
        <v>24886</v>
      </c>
      <c r="M185" s="8" t="str">
        <f t="shared" si="27"/>
        <v>PEN</v>
      </c>
      <c r="N185" s="13"/>
      <c r="O185" s="13">
        <v>12</v>
      </c>
      <c r="P185" s="3">
        <f t="shared" si="15"/>
        <v>0</v>
      </c>
      <c r="Q185" s="3">
        <f t="shared" si="16"/>
        <v>12</v>
      </c>
      <c r="R185" s="3">
        <f t="shared" si="17"/>
        <v>828.59999999999968</v>
      </c>
      <c r="S185" s="24" t="s">
        <v>1334</v>
      </c>
      <c r="T185" s="24" t="s">
        <v>1334</v>
      </c>
      <c r="U185" s="3"/>
      <c r="V185" s="25" t="s">
        <v>8006</v>
      </c>
      <c r="W185" s="25">
        <v>20517252558</v>
      </c>
      <c r="X185" s="25" t="str">
        <f>IFERROR(VLOOKUP(C_Ope_006[[#This Row],[nota_2]],Clientes_Proveedores[[Ruc / Dni]:[Razon Social]],2,0),"")</f>
        <v>COVISUR S.A.</v>
      </c>
      <c r="Y185" s="25" t="s">
        <v>7888</v>
      </c>
      <c r="Z185" s="17"/>
      <c r="AA185" s="3" t="str">
        <f>IF(C_Ope_006[[#This Row],[fecha]]&gt;0,TEXT(C_Ope_006[[#This Row],[fecha]],"mmmm"),0)</f>
        <v>Julio</v>
      </c>
      <c r="AB185" s="49"/>
    </row>
    <row r="186" spans="1:28" ht="24" x14ac:dyDescent="0.3">
      <c r="A186" s="2">
        <f>IF(C_Ope_006[[#This Row],[tipo_r]]="R",COUNTIFS($C$1:$C185,"R")+1,"")</f>
        <v>185</v>
      </c>
      <c r="B186" s="19" t="str">
        <f t="shared" si="26"/>
        <v>C_Ope_006</v>
      </c>
      <c r="C186" s="3" t="s">
        <v>1330</v>
      </c>
      <c r="D186" s="14">
        <v>45854</v>
      </c>
      <c r="E186" s="5" t="s">
        <v>8786</v>
      </c>
      <c r="F186" s="5" t="s">
        <v>1336</v>
      </c>
      <c r="G186" s="6" t="s">
        <v>978</v>
      </c>
      <c r="H186" s="6" t="s">
        <v>68</v>
      </c>
      <c r="I186" s="6" t="s">
        <v>5688</v>
      </c>
      <c r="J186" s="6">
        <v>2399592</v>
      </c>
      <c r="K186" s="7" t="s">
        <v>8881</v>
      </c>
      <c r="L186" s="8">
        <v>24898</v>
      </c>
      <c r="M186" s="8" t="str">
        <f t="shared" si="27"/>
        <v>PEN</v>
      </c>
      <c r="N186" s="13"/>
      <c r="O186" s="13">
        <v>12</v>
      </c>
      <c r="P186" s="3">
        <f t="shared" si="15"/>
        <v>0</v>
      </c>
      <c r="Q186" s="3">
        <f t="shared" si="16"/>
        <v>12</v>
      </c>
      <c r="R186" s="3">
        <f t="shared" si="17"/>
        <v>816.59999999999968</v>
      </c>
      <c r="S186" s="24" t="s">
        <v>1334</v>
      </c>
      <c r="T186" s="24" t="s">
        <v>1334</v>
      </c>
      <c r="U186" s="3"/>
      <c r="V186" s="25" t="s">
        <v>8006</v>
      </c>
      <c r="W186" s="25">
        <v>20517252558</v>
      </c>
      <c r="X186" s="25" t="str">
        <f>IFERROR(VLOOKUP(C_Ope_006[[#This Row],[nota_2]],Clientes_Proveedores[[Ruc / Dni]:[Razon Social]],2,0),"")</f>
        <v>COVISUR S.A.</v>
      </c>
      <c r="Y186" s="25" t="s">
        <v>7888</v>
      </c>
      <c r="Z186" s="17"/>
      <c r="AA186" s="3" t="str">
        <f>IF(C_Ope_006[[#This Row],[fecha]]&gt;0,TEXT(C_Ope_006[[#This Row],[fecha]],"mmmm"),0)</f>
        <v>Julio</v>
      </c>
      <c r="AB186" s="49"/>
    </row>
    <row r="187" spans="1:28" ht="36" x14ac:dyDescent="0.3">
      <c r="A187" s="2">
        <f>IF(C_Ope_006[[#This Row],[tipo_r]]="R",COUNTIFS($C$1:$C186,"R")+1,"")</f>
        <v>186</v>
      </c>
      <c r="B187" s="19" t="str">
        <f t="shared" si="26"/>
        <v>C_Ope_006</v>
      </c>
      <c r="C187" s="3" t="s">
        <v>1330</v>
      </c>
      <c r="D187" s="14">
        <v>45855</v>
      </c>
      <c r="E187" s="5" t="s">
        <v>8786</v>
      </c>
      <c r="F187" s="5" t="s">
        <v>1336</v>
      </c>
      <c r="G187" s="6" t="s">
        <v>1006</v>
      </c>
      <c r="H187" s="6" t="s">
        <v>68</v>
      </c>
      <c r="I187" s="6" t="s">
        <v>8207</v>
      </c>
      <c r="J187" s="6">
        <v>634203</v>
      </c>
      <c r="K187" s="7" t="s">
        <v>8882</v>
      </c>
      <c r="L187" s="8">
        <v>24920</v>
      </c>
      <c r="M187" s="8" t="str">
        <f t="shared" si="27"/>
        <v>PEN</v>
      </c>
      <c r="N187" s="13"/>
      <c r="O187" s="13">
        <v>23.6</v>
      </c>
      <c r="P187" s="3">
        <f t="shared" si="15"/>
        <v>0</v>
      </c>
      <c r="Q187" s="3">
        <f t="shared" si="16"/>
        <v>23.6</v>
      </c>
      <c r="R187" s="3">
        <f t="shared" si="17"/>
        <v>792.99999999999966</v>
      </c>
      <c r="S187" s="24" t="s">
        <v>1334</v>
      </c>
      <c r="T187" s="24" t="s">
        <v>1334</v>
      </c>
      <c r="U187" s="3"/>
      <c r="V187" s="25" t="s">
        <v>8006</v>
      </c>
      <c r="W187" s="25">
        <v>20550033519</v>
      </c>
      <c r="X187" s="25" t="str">
        <f>IFERROR(VLOOKUP(C_Ope_006[[#This Row],[nota_2]],Clientes_Proveedores[[Ruc / Dni]:[Razon Social]],2,0),"")</f>
        <v>CONCESIONARIA PERUANA DE VIAS-COVINCA S.A.</v>
      </c>
      <c r="Y187" s="25" t="s">
        <v>7888</v>
      </c>
      <c r="Z187" s="17"/>
      <c r="AA187" s="3" t="str">
        <f>IF(C_Ope_006[[#This Row],[fecha]]&gt;0,TEXT(C_Ope_006[[#This Row],[fecha]],"mmmm"),0)</f>
        <v>Julio</v>
      </c>
      <c r="AB187" s="49"/>
    </row>
    <row r="188" spans="1:28" ht="24" x14ac:dyDescent="0.3">
      <c r="A188" s="2">
        <f>IF(C_Ope_006[[#This Row],[tipo_r]]="R",COUNTIFS($C$1:$C187,"R")+1,"")</f>
        <v>187</v>
      </c>
      <c r="B188" s="19" t="str">
        <f t="shared" si="26"/>
        <v>C_Ope_006</v>
      </c>
      <c r="C188" s="3" t="s">
        <v>1330</v>
      </c>
      <c r="D188" s="14">
        <v>45856</v>
      </c>
      <c r="E188" s="5" t="s">
        <v>8786</v>
      </c>
      <c r="F188" s="5" t="s">
        <v>1336</v>
      </c>
      <c r="G188" s="6" t="s">
        <v>1041</v>
      </c>
      <c r="H188" s="6" t="s">
        <v>68</v>
      </c>
      <c r="I188" s="6" t="s">
        <v>8255</v>
      </c>
      <c r="J188" s="6">
        <v>2916277</v>
      </c>
      <c r="K188" s="7" t="s">
        <v>8883</v>
      </c>
      <c r="L188" s="8">
        <v>24929</v>
      </c>
      <c r="M188" s="8" t="str">
        <f t="shared" si="27"/>
        <v>PEN</v>
      </c>
      <c r="N188" s="13"/>
      <c r="O188" s="13">
        <v>58.2</v>
      </c>
      <c r="P188" s="3">
        <f t="shared" si="15"/>
        <v>0</v>
      </c>
      <c r="Q188" s="3">
        <f t="shared" si="16"/>
        <v>58.2</v>
      </c>
      <c r="R188" s="3">
        <f t="shared" si="17"/>
        <v>734.79999999999961</v>
      </c>
      <c r="S188" s="24" t="s">
        <v>1334</v>
      </c>
      <c r="T188" s="24" t="s">
        <v>1334</v>
      </c>
      <c r="U188" s="3"/>
      <c r="V188" s="25" t="s">
        <v>8006</v>
      </c>
      <c r="W188" s="25">
        <v>20511465061</v>
      </c>
      <c r="X188" s="25" t="str">
        <f>IFERROR(VLOOKUP(C_Ope_006[[#This Row],[nota_2]],Clientes_Proveedores[[Ruc / Dni]:[Razon Social]],2,0),"")</f>
        <v>CONCESIONARIA VIAL DEL PERU S.A</v>
      </c>
      <c r="Y188" s="25" t="s">
        <v>7888</v>
      </c>
      <c r="Z188" s="17"/>
      <c r="AA188" s="3" t="str">
        <f>IF(C_Ope_006[[#This Row],[fecha]]&gt;0,TEXT(C_Ope_006[[#This Row],[fecha]],"mmmm"),0)</f>
        <v>Julio</v>
      </c>
      <c r="AB188" s="49"/>
    </row>
    <row r="189" spans="1:28" ht="24" x14ac:dyDescent="0.3">
      <c r="A189" s="2">
        <f>IF(C_Ope_006[[#This Row],[tipo_r]]="R",COUNTIFS($C$1:$C188,"R")+1,"")</f>
        <v>188</v>
      </c>
      <c r="B189" s="19" t="str">
        <f t="shared" si="26"/>
        <v>C_Ope_006</v>
      </c>
      <c r="C189" s="3" t="s">
        <v>1330</v>
      </c>
      <c r="D189" s="14">
        <v>45856</v>
      </c>
      <c r="E189" s="5" t="s">
        <v>8786</v>
      </c>
      <c r="F189" s="5" t="s">
        <v>1336</v>
      </c>
      <c r="G189" s="6" t="s">
        <v>979</v>
      </c>
      <c r="H189" s="6" t="s">
        <v>68</v>
      </c>
      <c r="I189" s="6" t="s">
        <v>8211</v>
      </c>
      <c r="J189" s="6">
        <v>3059685</v>
      </c>
      <c r="K189" s="7" t="s">
        <v>8884</v>
      </c>
      <c r="L189" s="8">
        <v>24949</v>
      </c>
      <c r="M189" s="8" t="str">
        <f t="shared" si="27"/>
        <v>PEN</v>
      </c>
      <c r="N189" s="13"/>
      <c r="O189" s="13">
        <v>22.5</v>
      </c>
      <c r="P189" s="3">
        <f t="shared" si="15"/>
        <v>0</v>
      </c>
      <c r="Q189" s="3">
        <f t="shared" si="16"/>
        <v>22.5</v>
      </c>
      <c r="R189" s="3">
        <f t="shared" si="17"/>
        <v>712.29999999999961</v>
      </c>
      <c r="S189" s="24" t="s">
        <v>1334</v>
      </c>
      <c r="T189" s="24" t="s">
        <v>1334</v>
      </c>
      <c r="U189" s="3"/>
      <c r="V189" s="25" t="s">
        <v>8006</v>
      </c>
      <c r="W189" s="25">
        <v>20550372640</v>
      </c>
      <c r="X189" s="25" t="str">
        <f>IFERROR(VLOOKUP(C_Ope_006[[#This Row],[nota_2]],Clientes_Proveedores[[Ruc / Dni]:[Razon Social]],2,0),"")</f>
        <v>RUTAS DE LIMA S.A.C.</v>
      </c>
      <c r="Y189" s="25" t="s">
        <v>7888</v>
      </c>
      <c r="Z189" s="17"/>
      <c r="AA189" s="3" t="str">
        <f>IF(C_Ope_006[[#This Row],[fecha]]&gt;0,TEXT(C_Ope_006[[#This Row],[fecha]],"mmmm"),0)</f>
        <v>Julio</v>
      </c>
      <c r="AB189" s="49"/>
    </row>
    <row r="190" spans="1:28" ht="24" x14ac:dyDescent="0.3">
      <c r="A190" s="2">
        <f>IF(C_Ope_006[[#This Row],[tipo_r]]="R",COUNTIFS($C$1:$C189,"R")+1,"")</f>
        <v>189</v>
      </c>
      <c r="B190" s="19" t="str">
        <f t="shared" si="26"/>
        <v>C_Ope_006</v>
      </c>
      <c r="C190" s="3" t="s">
        <v>1330</v>
      </c>
      <c r="D190" s="14">
        <v>45859</v>
      </c>
      <c r="E190" s="5" t="s">
        <v>8786</v>
      </c>
      <c r="F190" s="5" t="s">
        <v>1336</v>
      </c>
      <c r="G190" s="6" t="s">
        <v>979</v>
      </c>
      <c r="H190" s="6" t="s">
        <v>68</v>
      </c>
      <c r="I190" s="6" t="s">
        <v>8477</v>
      </c>
      <c r="J190" s="6">
        <v>1271651</v>
      </c>
      <c r="K190" s="7" t="s">
        <v>8885</v>
      </c>
      <c r="L190" s="8">
        <v>24970</v>
      </c>
      <c r="M190" s="8" t="str">
        <f t="shared" si="27"/>
        <v>PEN</v>
      </c>
      <c r="N190" s="13"/>
      <c r="O190" s="13">
        <v>22.5</v>
      </c>
      <c r="P190" s="3">
        <f t="shared" si="15"/>
        <v>0</v>
      </c>
      <c r="Q190" s="3">
        <f t="shared" si="16"/>
        <v>22.5</v>
      </c>
      <c r="R190" s="3">
        <f t="shared" si="17"/>
        <v>689.79999999999961</v>
      </c>
      <c r="S190" s="24" t="s">
        <v>1334</v>
      </c>
      <c r="T190" s="24" t="s">
        <v>1334</v>
      </c>
      <c r="U190" s="3"/>
      <c r="V190" s="25" t="s">
        <v>8006</v>
      </c>
      <c r="W190" s="25">
        <v>20550372640</v>
      </c>
      <c r="X190" s="25" t="str">
        <f>IFERROR(VLOOKUP(C_Ope_006[[#This Row],[nota_2]],Clientes_Proveedores[[Ruc / Dni]:[Razon Social]],2,0),"")</f>
        <v>RUTAS DE LIMA S.A.C.</v>
      </c>
      <c r="Y190" s="25" t="s">
        <v>7888</v>
      </c>
      <c r="Z190" s="17"/>
      <c r="AA190" s="3" t="str">
        <f>IF(C_Ope_006[[#This Row],[fecha]]&gt;0,TEXT(C_Ope_006[[#This Row],[fecha]],"mmmm"),0)</f>
        <v>Julio</v>
      </c>
      <c r="AB190" s="49"/>
    </row>
    <row r="191" spans="1:28" ht="24" x14ac:dyDescent="0.3">
      <c r="A191" s="2">
        <f>IF(C_Ope_006[[#This Row],[tipo_r]]="R",COUNTIFS($C$1:$C190,"R")+1,"")</f>
        <v>190</v>
      </c>
      <c r="B191" s="19" t="str">
        <f t="shared" si="26"/>
        <v>C_Ope_006</v>
      </c>
      <c r="C191" s="3" t="s">
        <v>1330</v>
      </c>
      <c r="D191" s="14">
        <v>45859</v>
      </c>
      <c r="E191" s="5" t="s">
        <v>8786</v>
      </c>
      <c r="F191" s="5" t="s">
        <v>1336</v>
      </c>
      <c r="G191" s="6" t="s">
        <v>1041</v>
      </c>
      <c r="H191" s="6" t="s">
        <v>68</v>
      </c>
      <c r="I191" s="6" t="s">
        <v>1375</v>
      </c>
      <c r="J191" s="6">
        <v>3085345</v>
      </c>
      <c r="K191" s="7" t="s">
        <v>8886</v>
      </c>
      <c r="L191" s="8">
        <v>24971</v>
      </c>
      <c r="M191" s="8" t="str">
        <f t="shared" si="27"/>
        <v>PEN</v>
      </c>
      <c r="N191" s="13"/>
      <c r="O191" s="13">
        <v>58.2</v>
      </c>
      <c r="P191" s="3">
        <f t="shared" si="15"/>
        <v>0</v>
      </c>
      <c r="Q191" s="3">
        <f t="shared" si="16"/>
        <v>58.2</v>
      </c>
      <c r="R191" s="3">
        <f t="shared" si="17"/>
        <v>631.59999999999957</v>
      </c>
      <c r="S191" s="24" t="s">
        <v>1334</v>
      </c>
      <c r="T191" s="24" t="s">
        <v>1334</v>
      </c>
      <c r="U191" s="3"/>
      <c r="V191" s="25" t="s">
        <v>8006</v>
      </c>
      <c r="W191" s="25">
        <v>20511465061</v>
      </c>
      <c r="X191" s="25" t="str">
        <f>IFERROR(VLOOKUP(C_Ope_006[[#This Row],[nota_2]],Clientes_Proveedores[[Ruc / Dni]:[Razon Social]],2,0),"")</f>
        <v>CONCESIONARIA VIAL DEL PERU S.A</v>
      </c>
      <c r="Y191" s="25" t="s">
        <v>7888</v>
      </c>
      <c r="Z191" s="17"/>
      <c r="AA191" s="3" t="str">
        <f>IF(C_Ope_006[[#This Row],[fecha]]&gt;0,TEXT(C_Ope_006[[#This Row],[fecha]],"mmmm"),0)</f>
        <v>Julio</v>
      </c>
      <c r="AB191" s="49"/>
    </row>
    <row r="192" spans="1:28" ht="24" x14ac:dyDescent="0.3">
      <c r="A192" s="2">
        <f>IF(C_Ope_006[[#This Row],[tipo_r]]="R",COUNTIFS($C$1:$C191,"R")+1,"")</f>
        <v>191</v>
      </c>
      <c r="B192" s="19" t="str">
        <f t="shared" si="26"/>
        <v>C_Ope_006</v>
      </c>
      <c r="C192" s="3" t="s">
        <v>1330</v>
      </c>
      <c r="D192" s="14">
        <v>45859</v>
      </c>
      <c r="E192" s="5" t="s">
        <v>8786</v>
      </c>
      <c r="F192" s="5" t="s">
        <v>1336</v>
      </c>
      <c r="G192" s="6" t="s">
        <v>1041</v>
      </c>
      <c r="H192" s="6" t="s">
        <v>68</v>
      </c>
      <c r="I192" s="6" t="s">
        <v>8238</v>
      </c>
      <c r="J192" s="6">
        <v>2551615</v>
      </c>
      <c r="K192" s="7" t="s">
        <v>8887</v>
      </c>
      <c r="L192" s="8">
        <v>24972</v>
      </c>
      <c r="M192" s="8" t="str">
        <f t="shared" si="27"/>
        <v>PEN</v>
      </c>
      <c r="N192" s="13"/>
      <c r="O192" s="13">
        <v>58.2</v>
      </c>
      <c r="P192" s="3">
        <f t="shared" si="15"/>
        <v>0</v>
      </c>
      <c r="Q192" s="3">
        <f t="shared" si="16"/>
        <v>58.2</v>
      </c>
      <c r="R192" s="3">
        <f t="shared" si="17"/>
        <v>573.39999999999952</v>
      </c>
      <c r="S192" s="24" t="s">
        <v>1334</v>
      </c>
      <c r="T192" s="24" t="s">
        <v>1334</v>
      </c>
      <c r="U192" s="3"/>
      <c r="V192" s="25" t="s">
        <v>8006</v>
      </c>
      <c r="W192" s="25">
        <v>20511465061</v>
      </c>
      <c r="X192" s="25" t="str">
        <f>IFERROR(VLOOKUP(C_Ope_006[[#This Row],[nota_2]],Clientes_Proveedores[[Ruc / Dni]:[Razon Social]],2,0),"")</f>
        <v>CONCESIONARIA VIAL DEL PERU S.A</v>
      </c>
      <c r="Y192" s="25" t="s">
        <v>7888</v>
      </c>
      <c r="Z192" s="17"/>
      <c r="AA192" s="3" t="str">
        <f>IF(C_Ope_006[[#This Row],[fecha]]&gt;0,TEXT(C_Ope_006[[#This Row],[fecha]],"mmmm"),0)</f>
        <v>Julio</v>
      </c>
      <c r="AB192" s="49"/>
    </row>
    <row r="193" spans="1:28" ht="36" x14ac:dyDescent="0.3">
      <c r="A193" s="2">
        <f>IF(C_Ope_006[[#This Row],[tipo_r]]="R",COUNTIFS($C$1:$C192,"R")+1,"")</f>
        <v>192</v>
      </c>
      <c r="B193" s="19" t="str">
        <f t="shared" si="26"/>
        <v>C_Ope_006</v>
      </c>
      <c r="C193" s="3" t="s">
        <v>1330</v>
      </c>
      <c r="D193" s="14">
        <v>45859</v>
      </c>
      <c r="E193" s="5" t="s">
        <v>8786</v>
      </c>
      <c r="F193" s="5" t="s">
        <v>1336</v>
      </c>
      <c r="G193" s="6" t="s">
        <v>1042</v>
      </c>
      <c r="H193" s="6" t="s">
        <v>98</v>
      </c>
      <c r="I193" s="6" t="s">
        <v>8888</v>
      </c>
      <c r="J193" s="6">
        <v>325028960</v>
      </c>
      <c r="K193" s="7" t="s">
        <v>8889</v>
      </c>
      <c r="L193" s="8">
        <v>24984</v>
      </c>
      <c r="M193" s="8" t="str">
        <f t="shared" si="27"/>
        <v>PEN</v>
      </c>
      <c r="N193" s="13"/>
      <c r="O193" s="13">
        <v>19.5</v>
      </c>
      <c r="P193" s="3">
        <f t="shared" si="15"/>
        <v>0</v>
      </c>
      <c r="Q193" s="3">
        <f t="shared" si="16"/>
        <v>19.5</v>
      </c>
      <c r="R193" s="3">
        <f t="shared" si="17"/>
        <v>553.89999999999952</v>
      </c>
      <c r="S193" s="24" t="s">
        <v>1334</v>
      </c>
      <c r="T193" s="24" t="s">
        <v>1334</v>
      </c>
      <c r="U193" s="3"/>
      <c r="V193" s="25" t="s">
        <v>8006</v>
      </c>
      <c r="W193" s="25">
        <v>20503503639</v>
      </c>
      <c r="X193" s="25" t="str">
        <f>IFERROR(VLOOKUP(C_Ope_006[[#This Row],[nota_2]],Clientes_Proveedores[[Ruc / Dni]:[Razon Social]],2,0),"")</f>
        <v>PROVIAS NACIONAL</v>
      </c>
      <c r="Y193" s="25" t="s">
        <v>7888</v>
      </c>
      <c r="Z193" s="17"/>
      <c r="AA193" s="3" t="str">
        <f>IF(C_Ope_006[[#This Row],[fecha]]&gt;0,TEXT(C_Ope_006[[#This Row],[fecha]],"mmmm"),0)</f>
        <v>Julio</v>
      </c>
      <c r="AB193" s="49"/>
    </row>
    <row r="194" spans="1:28" ht="36" x14ac:dyDescent="0.3">
      <c r="A194" s="2">
        <f>IF(C_Ope_006[[#This Row],[tipo_r]]="R",COUNTIFS($C$1:$C193,"R")+1,"")</f>
        <v>193</v>
      </c>
      <c r="B194" s="19" t="str">
        <f t="shared" si="26"/>
        <v>C_Ope_006</v>
      </c>
      <c r="C194" s="3" t="s">
        <v>1330</v>
      </c>
      <c r="D194" s="14">
        <v>45859</v>
      </c>
      <c r="E194" s="5" t="s">
        <v>8786</v>
      </c>
      <c r="F194" s="5" t="s">
        <v>1336</v>
      </c>
      <c r="G194" s="6" t="s">
        <v>1042</v>
      </c>
      <c r="H194" s="6" t="s">
        <v>98</v>
      </c>
      <c r="I194" s="6" t="s">
        <v>8270</v>
      </c>
      <c r="J194" s="6">
        <v>325041447</v>
      </c>
      <c r="K194" s="7" t="s">
        <v>8890</v>
      </c>
      <c r="L194" s="8">
        <v>24985</v>
      </c>
      <c r="M194" s="8" t="str">
        <f t="shared" si="27"/>
        <v>PEN</v>
      </c>
      <c r="N194" s="13"/>
      <c r="O194" s="13">
        <v>19.5</v>
      </c>
      <c r="P194" s="3">
        <f t="shared" ref="P194:P246" si="28">+IF(OR($F194="SALDO",$F194="INGRESO"),$O194,0)</f>
        <v>0</v>
      </c>
      <c r="Q194" s="3">
        <f t="shared" ref="Q194:Q246" si="29">+IF($F194="EGRESO",$O194,0)</f>
        <v>19.5</v>
      </c>
      <c r="R194" s="3">
        <f t="shared" ref="R194:R257" si="30">IFERROR(IF(F194="SALDO",P194,R193+P194-Q194),0)</f>
        <v>534.39999999999952</v>
      </c>
      <c r="S194" s="24" t="s">
        <v>1334</v>
      </c>
      <c r="T194" s="24" t="s">
        <v>1334</v>
      </c>
      <c r="U194" s="3"/>
      <c r="V194" s="25" t="s">
        <v>8006</v>
      </c>
      <c r="W194" s="25">
        <v>20503503639</v>
      </c>
      <c r="X194" s="25" t="str">
        <f>IFERROR(VLOOKUP(C_Ope_006[[#This Row],[nota_2]],Clientes_Proveedores[[Ruc / Dni]:[Razon Social]],2,0),"")</f>
        <v>PROVIAS NACIONAL</v>
      </c>
      <c r="Y194" s="25" t="s">
        <v>7888</v>
      </c>
      <c r="Z194" s="17"/>
      <c r="AA194" s="3" t="str">
        <f>IF(C_Ope_006[[#This Row],[fecha]]&gt;0,TEXT(C_Ope_006[[#This Row],[fecha]],"mmmm"),0)</f>
        <v>Julio</v>
      </c>
      <c r="AB194" s="49"/>
    </row>
    <row r="195" spans="1:28" ht="36" x14ac:dyDescent="0.3">
      <c r="A195" s="2">
        <f>IF(C_Ope_006[[#This Row],[tipo_r]]="R",COUNTIFS($C$1:$C194,"R")+1,"")</f>
        <v>194</v>
      </c>
      <c r="B195" s="19" t="str">
        <f t="shared" si="26"/>
        <v>C_Ope_006</v>
      </c>
      <c r="C195" s="3" t="s">
        <v>1330</v>
      </c>
      <c r="D195" s="14">
        <v>45860</v>
      </c>
      <c r="E195" s="5" t="s">
        <v>8786</v>
      </c>
      <c r="F195" s="5" t="s">
        <v>1336</v>
      </c>
      <c r="G195" s="6" t="s">
        <v>1042</v>
      </c>
      <c r="H195" s="6" t="s">
        <v>98</v>
      </c>
      <c r="I195" s="6" t="s">
        <v>8353</v>
      </c>
      <c r="J195" s="6">
        <v>325036712</v>
      </c>
      <c r="K195" s="7" t="s">
        <v>8891</v>
      </c>
      <c r="L195" s="8">
        <v>24992</v>
      </c>
      <c r="M195" s="8" t="str">
        <f t="shared" si="27"/>
        <v>PEN</v>
      </c>
      <c r="N195" s="13"/>
      <c r="O195" s="13">
        <v>19.5</v>
      </c>
      <c r="P195" s="3">
        <f t="shared" si="28"/>
        <v>0</v>
      </c>
      <c r="Q195" s="3">
        <f t="shared" si="29"/>
        <v>19.5</v>
      </c>
      <c r="R195" s="3">
        <f t="shared" si="30"/>
        <v>514.89999999999952</v>
      </c>
      <c r="S195" s="24" t="s">
        <v>1334</v>
      </c>
      <c r="T195" s="24" t="s">
        <v>1334</v>
      </c>
      <c r="U195" s="3"/>
      <c r="V195" s="25" t="s">
        <v>8006</v>
      </c>
      <c r="W195" s="25">
        <v>20503503639</v>
      </c>
      <c r="X195" s="25" t="str">
        <f>IFERROR(VLOOKUP(C_Ope_006[[#This Row],[nota_2]],Clientes_Proveedores[[Ruc / Dni]:[Razon Social]],2,0),"")</f>
        <v>PROVIAS NACIONAL</v>
      </c>
      <c r="Y195" s="25" t="s">
        <v>7888</v>
      </c>
      <c r="Z195" s="17"/>
      <c r="AA195" s="3" t="str">
        <f>IF(C_Ope_006[[#This Row],[fecha]]&gt;0,TEXT(C_Ope_006[[#This Row],[fecha]],"mmmm"),0)</f>
        <v>Julio</v>
      </c>
      <c r="AB195" s="49"/>
    </row>
    <row r="196" spans="1:28" ht="36" x14ac:dyDescent="0.3">
      <c r="A196" s="2">
        <f>IF(C_Ope_006[[#This Row],[tipo_r]]="R",COUNTIFS($C$1:$C195,"R")+1,"")</f>
        <v>195</v>
      </c>
      <c r="B196" s="19" t="str">
        <f t="shared" si="26"/>
        <v>C_Ope_006</v>
      </c>
      <c r="C196" s="3" t="s">
        <v>1330</v>
      </c>
      <c r="D196" s="14">
        <v>45860</v>
      </c>
      <c r="E196" s="5" t="s">
        <v>8786</v>
      </c>
      <c r="F196" s="5" t="s">
        <v>1336</v>
      </c>
      <c r="G196" s="6" t="s">
        <v>1006</v>
      </c>
      <c r="H196" s="6" t="s">
        <v>68</v>
      </c>
      <c r="I196" s="6" t="s">
        <v>2912</v>
      </c>
      <c r="J196" s="6">
        <v>805263</v>
      </c>
      <c r="K196" s="7" t="s">
        <v>8892</v>
      </c>
      <c r="L196" s="8">
        <v>24994</v>
      </c>
      <c r="M196" s="8" t="str">
        <f t="shared" si="27"/>
        <v>PEN</v>
      </c>
      <c r="N196" s="13"/>
      <c r="O196" s="13">
        <v>23.6</v>
      </c>
      <c r="P196" s="3">
        <f t="shared" si="28"/>
        <v>0</v>
      </c>
      <c r="Q196" s="3">
        <f t="shared" si="29"/>
        <v>23.6</v>
      </c>
      <c r="R196" s="3">
        <f t="shared" si="30"/>
        <v>491.2999999999995</v>
      </c>
      <c r="S196" s="24" t="s">
        <v>1334</v>
      </c>
      <c r="T196" s="24" t="s">
        <v>1334</v>
      </c>
      <c r="U196" s="3"/>
      <c r="V196" s="25" t="s">
        <v>8006</v>
      </c>
      <c r="W196" s="25">
        <v>20550033519</v>
      </c>
      <c r="X196" s="25" t="str">
        <f>IFERROR(VLOOKUP(C_Ope_006[[#This Row],[nota_2]],Clientes_Proveedores[[Ruc / Dni]:[Razon Social]],2,0),"")</f>
        <v>CONCESIONARIA PERUANA DE VIAS-COVINCA S.A.</v>
      </c>
      <c r="Y196" s="25" t="s">
        <v>7888</v>
      </c>
      <c r="Z196" s="17"/>
      <c r="AA196" s="3" t="str">
        <f>IF(C_Ope_006[[#This Row],[fecha]]&gt;0,TEXT(C_Ope_006[[#This Row],[fecha]],"mmmm"),0)</f>
        <v>Julio</v>
      </c>
      <c r="AB196" s="49"/>
    </row>
    <row r="197" spans="1:28" ht="24" x14ac:dyDescent="0.3">
      <c r="A197" s="2">
        <f>IF(C_Ope_006[[#This Row],[tipo_r]]="R",COUNTIFS($C$1:$C196,"R")+1,"")</f>
        <v>196</v>
      </c>
      <c r="B197" s="19" t="str">
        <f t="shared" si="26"/>
        <v>C_Ope_006</v>
      </c>
      <c r="C197" s="3" t="s">
        <v>1330</v>
      </c>
      <c r="D197" s="14">
        <v>45860</v>
      </c>
      <c r="E197" s="5" t="s">
        <v>8786</v>
      </c>
      <c r="F197" s="5" t="s">
        <v>1336</v>
      </c>
      <c r="G197" s="6" t="s">
        <v>978</v>
      </c>
      <c r="H197" s="6" t="s">
        <v>68</v>
      </c>
      <c r="I197" s="6" t="s">
        <v>6203</v>
      </c>
      <c r="J197" s="6">
        <v>2119405</v>
      </c>
      <c r="K197" s="7" t="s">
        <v>8893</v>
      </c>
      <c r="L197" s="8">
        <v>24995</v>
      </c>
      <c r="M197" s="8" t="str">
        <f t="shared" si="27"/>
        <v>PEN</v>
      </c>
      <c r="N197" s="13"/>
      <c r="O197" s="13">
        <v>12</v>
      </c>
      <c r="P197" s="3">
        <f t="shared" si="28"/>
        <v>0</v>
      </c>
      <c r="Q197" s="3">
        <f t="shared" si="29"/>
        <v>12</v>
      </c>
      <c r="R197" s="3">
        <f t="shared" si="30"/>
        <v>479.2999999999995</v>
      </c>
      <c r="S197" s="24" t="s">
        <v>1334</v>
      </c>
      <c r="T197" s="24" t="s">
        <v>1334</v>
      </c>
      <c r="U197" s="3"/>
      <c r="V197" s="25" t="s">
        <v>8006</v>
      </c>
      <c r="W197" s="25">
        <v>20517252558</v>
      </c>
      <c r="X197" s="25" t="str">
        <f>IFERROR(VLOOKUP(C_Ope_006[[#This Row],[nota_2]],Clientes_Proveedores[[Ruc / Dni]:[Razon Social]],2,0),"")</f>
        <v>COVISUR S.A.</v>
      </c>
      <c r="Y197" s="25" t="s">
        <v>7888</v>
      </c>
      <c r="Z197" s="17"/>
      <c r="AA197" s="3" t="str">
        <f>IF(C_Ope_006[[#This Row],[fecha]]&gt;0,TEXT(C_Ope_006[[#This Row],[fecha]],"mmmm"),0)</f>
        <v>Julio</v>
      </c>
      <c r="AB197" s="49"/>
    </row>
    <row r="198" spans="1:28" ht="24" x14ac:dyDescent="0.3">
      <c r="A198" s="2">
        <f>IF(C_Ope_006[[#This Row],[tipo_r]]="R",COUNTIFS($C$1:$C197,"R")+1,"")</f>
        <v>197</v>
      </c>
      <c r="B198" s="19" t="str">
        <f t="shared" si="26"/>
        <v>C_Ope_006</v>
      </c>
      <c r="C198" s="3" t="s">
        <v>1330</v>
      </c>
      <c r="D198" s="14">
        <v>45862</v>
      </c>
      <c r="E198" s="5" t="s">
        <v>8786</v>
      </c>
      <c r="F198" s="5" t="s">
        <v>1336</v>
      </c>
      <c r="G198" s="6" t="s">
        <v>978</v>
      </c>
      <c r="H198" s="6" t="s">
        <v>68</v>
      </c>
      <c r="I198" s="6" t="s">
        <v>5688</v>
      </c>
      <c r="J198" s="6">
        <v>2409485</v>
      </c>
      <c r="K198" s="7" t="s">
        <v>8894</v>
      </c>
      <c r="L198" s="8">
        <v>25010</v>
      </c>
      <c r="M198" s="8" t="str">
        <f t="shared" si="27"/>
        <v>PEN</v>
      </c>
      <c r="N198" s="13"/>
      <c r="O198" s="13">
        <v>12</v>
      </c>
      <c r="P198" s="3">
        <f t="shared" si="28"/>
        <v>0</v>
      </c>
      <c r="Q198" s="3">
        <f t="shared" si="29"/>
        <v>12</v>
      </c>
      <c r="R198" s="3">
        <f t="shared" si="30"/>
        <v>467.2999999999995</v>
      </c>
      <c r="S198" s="24" t="s">
        <v>1334</v>
      </c>
      <c r="T198" s="24" t="s">
        <v>1334</v>
      </c>
      <c r="U198" s="3"/>
      <c r="V198" s="25" t="s">
        <v>8006</v>
      </c>
      <c r="W198" s="25">
        <v>20517252558</v>
      </c>
      <c r="X198" s="25" t="str">
        <f>IFERROR(VLOOKUP(C_Ope_006[[#This Row],[nota_2]],Clientes_Proveedores[[Ruc / Dni]:[Razon Social]],2,0),"")</f>
        <v>COVISUR S.A.</v>
      </c>
      <c r="Y198" s="25" t="s">
        <v>7888</v>
      </c>
      <c r="Z198" s="17"/>
      <c r="AA198" s="3" t="str">
        <f>IF(C_Ope_006[[#This Row],[fecha]]&gt;0,TEXT(C_Ope_006[[#This Row],[fecha]],"mmmm"),0)</f>
        <v>Julio</v>
      </c>
      <c r="AB198" s="49"/>
    </row>
    <row r="199" spans="1:28" ht="24" x14ac:dyDescent="0.3">
      <c r="A199" s="2">
        <f>IF(C_Ope_006[[#This Row],[tipo_r]]="R",COUNTIFS($C$1:$C198,"R")+1,"")</f>
        <v>198</v>
      </c>
      <c r="B199" s="19" t="str">
        <f t="shared" si="26"/>
        <v>C_Ope_006</v>
      </c>
      <c r="C199" s="3" t="s">
        <v>1330</v>
      </c>
      <c r="D199" s="14">
        <v>45862</v>
      </c>
      <c r="E199" s="5" t="s">
        <v>8786</v>
      </c>
      <c r="F199" s="5" t="s">
        <v>1336</v>
      </c>
      <c r="G199" s="6" t="s">
        <v>978</v>
      </c>
      <c r="H199" s="6" t="s">
        <v>68</v>
      </c>
      <c r="I199" s="6" t="s">
        <v>5845</v>
      </c>
      <c r="J199" s="6">
        <v>1813101</v>
      </c>
      <c r="K199" s="7" t="s">
        <v>8895</v>
      </c>
      <c r="L199" s="8">
        <v>25011</v>
      </c>
      <c r="M199" s="8" t="str">
        <f t="shared" si="27"/>
        <v>PEN</v>
      </c>
      <c r="N199" s="13"/>
      <c r="O199" s="13">
        <v>12</v>
      </c>
      <c r="P199" s="3">
        <f t="shared" si="28"/>
        <v>0</v>
      </c>
      <c r="Q199" s="3">
        <f t="shared" si="29"/>
        <v>12</v>
      </c>
      <c r="R199" s="3">
        <f t="shared" si="30"/>
        <v>455.2999999999995</v>
      </c>
      <c r="S199" s="24" t="s">
        <v>1334</v>
      </c>
      <c r="T199" s="24" t="s">
        <v>1334</v>
      </c>
      <c r="U199" s="3"/>
      <c r="V199" s="25" t="s">
        <v>8006</v>
      </c>
      <c r="W199" s="25">
        <v>20517252558</v>
      </c>
      <c r="X199" s="25" t="str">
        <f>IFERROR(VLOOKUP(C_Ope_006[[#This Row],[nota_2]],Clientes_Proveedores[[Ruc / Dni]:[Razon Social]],2,0),"")</f>
        <v>COVISUR S.A.</v>
      </c>
      <c r="Y199" s="25" t="s">
        <v>7888</v>
      </c>
      <c r="Z199" s="17"/>
      <c r="AA199" s="3" t="str">
        <f>IF(C_Ope_006[[#This Row],[fecha]]&gt;0,TEXT(C_Ope_006[[#This Row],[fecha]],"mmmm"),0)</f>
        <v>Julio</v>
      </c>
      <c r="AB199" s="49"/>
    </row>
    <row r="200" spans="1:28" x14ac:dyDescent="0.3">
      <c r="A200" s="2">
        <f>IF(C_Ope_006[[#This Row],[tipo_r]]="R",COUNTIFS($C$1:$C199,"R")+1,"")</f>
        <v>199</v>
      </c>
      <c r="B200" s="19" t="str">
        <f t="shared" si="26"/>
        <v>C_Ope_006</v>
      </c>
      <c r="C200" s="3" t="s">
        <v>1330</v>
      </c>
      <c r="D200" s="14">
        <v>45863</v>
      </c>
      <c r="E200" s="5" t="s">
        <v>8786</v>
      </c>
      <c r="F200" s="5" t="s">
        <v>1336</v>
      </c>
      <c r="G200" s="6" t="s">
        <v>978</v>
      </c>
      <c r="H200" s="6" t="s">
        <v>68</v>
      </c>
      <c r="I200" s="6" t="s">
        <v>5688</v>
      </c>
      <c r="J200" s="6">
        <v>2410692</v>
      </c>
      <c r="K200" s="7" t="s">
        <v>8896</v>
      </c>
      <c r="L200" s="8">
        <v>25012</v>
      </c>
      <c r="M200" s="8" t="str">
        <f t="shared" si="27"/>
        <v>PEN</v>
      </c>
      <c r="N200" s="13"/>
      <c r="O200" s="13">
        <v>12</v>
      </c>
      <c r="P200" s="3">
        <f t="shared" si="28"/>
        <v>0</v>
      </c>
      <c r="Q200" s="3">
        <f t="shared" si="29"/>
        <v>12</v>
      </c>
      <c r="R200" s="3">
        <f t="shared" si="30"/>
        <v>443.2999999999995</v>
      </c>
      <c r="S200" s="24" t="s">
        <v>1334</v>
      </c>
      <c r="T200" s="24" t="s">
        <v>1334</v>
      </c>
      <c r="U200" s="3"/>
      <c r="V200" s="25" t="s">
        <v>8006</v>
      </c>
      <c r="W200" s="25">
        <v>20517252558</v>
      </c>
      <c r="X200" s="25" t="str">
        <f>IFERROR(VLOOKUP(C_Ope_006[[#This Row],[nota_2]],Clientes_Proveedores[[Ruc / Dni]:[Razon Social]],2,0),"")</f>
        <v>COVISUR S.A.</v>
      </c>
      <c r="Y200" s="25" t="s">
        <v>7888</v>
      </c>
      <c r="Z200" s="17"/>
      <c r="AA200" s="3" t="str">
        <f>IF(C_Ope_006[[#This Row],[fecha]]&gt;0,TEXT(C_Ope_006[[#This Row],[fecha]],"mmmm"),0)</f>
        <v>Julio</v>
      </c>
      <c r="AB200" s="49"/>
    </row>
    <row r="201" spans="1:28" x14ac:dyDescent="0.3">
      <c r="A201" s="2">
        <f>IF(C_Ope_006[[#This Row],[tipo_r]]="R",COUNTIFS($C$1:$C200,"R")+1,"")</f>
        <v>200</v>
      </c>
      <c r="B201" s="19" t="str">
        <f t="shared" si="26"/>
        <v>C_Ope_006</v>
      </c>
      <c r="C201" s="3" t="s">
        <v>1330</v>
      </c>
      <c r="D201" s="14">
        <v>45863</v>
      </c>
      <c r="E201" s="5" t="s">
        <v>8786</v>
      </c>
      <c r="F201" s="5" t="s">
        <v>1336</v>
      </c>
      <c r="G201" s="6" t="s">
        <v>978</v>
      </c>
      <c r="H201" s="6" t="s">
        <v>68</v>
      </c>
      <c r="I201" s="6" t="s">
        <v>5845</v>
      </c>
      <c r="J201" s="6">
        <v>1814296</v>
      </c>
      <c r="K201" s="7" t="s">
        <v>8897</v>
      </c>
      <c r="L201" s="8">
        <v>25087</v>
      </c>
      <c r="M201" s="8" t="str">
        <f t="shared" si="27"/>
        <v>PEN</v>
      </c>
      <c r="N201" s="13"/>
      <c r="O201" s="13">
        <v>12</v>
      </c>
      <c r="P201" s="3">
        <f t="shared" si="28"/>
        <v>0</v>
      </c>
      <c r="Q201" s="3">
        <f t="shared" si="29"/>
        <v>12</v>
      </c>
      <c r="R201" s="3">
        <f t="shared" si="30"/>
        <v>431.2999999999995</v>
      </c>
      <c r="S201" s="24" t="s">
        <v>1334</v>
      </c>
      <c r="T201" s="24" t="s">
        <v>1334</v>
      </c>
      <c r="U201" s="3"/>
      <c r="V201" s="25" t="s">
        <v>8006</v>
      </c>
      <c r="W201" s="25">
        <v>20517252558</v>
      </c>
      <c r="X201" s="25" t="str">
        <f>IFERROR(VLOOKUP(C_Ope_006[[#This Row],[nota_2]],Clientes_Proveedores[[Ruc / Dni]:[Razon Social]],2,0),"")</f>
        <v>COVISUR S.A.</v>
      </c>
      <c r="Y201" s="25" t="s">
        <v>7888</v>
      </c>
      <c r="Z201" s="17"/>
      <c r="AA201" s="3" t="str">
        <f>IF(C_Ope_006[[#This Row],[fecha]]&gt;0,TEXT(C_Ope_006[[#This Row],[fecha]],"mmmm"),0)</f>
        <v>Julio</v>
      </c>
      <c r="AB201" s="49"/>
    </row>
    <row r="202" spans="1:28" ht="24" x14ac:dyDescent="0.3">
      <c r="A202" s="2">
        <f>IF(C_Ope_006[[#This Row],[tipo_r]]="R",COUNTIFS($C$1:$C201,"R")+1,"")</f>
        <v>201</v>
      </c>
      <c r="B202" s="19" t="str">
        <f t="shared" si="26"/>
        <v>C_Ope_006</v>
      </c>
      <c r="C202" s="3" t="s">
        <v>1330</v>
      </c>
      <c r="D202" s="14">
        <v>45863</v>
      </c>
      <c r="E202" s="5" t="s">
        <v>8786</v>
      </c>
      <c r="F202" s="5" t="s">
        <v>1336</v>
      </c>
      <c r="G202" s="6" t="s">
        <v>978</v>
      </c>
      <c r="H202" s="6" t="s">
        <v>68</v>
      </c>
      <c r="I202" s="6" t="s">
        <v>5688</v>
      </c>
      <c r="J202" s="6">
        <v>2411585</v>
      </c>
      <c r="K202" s="7" t="s">
        <v>8898</v>
      </c>
      <c r="L202" s="8">
        <v>25088</v>
      </c>
      <c r="M202" s="8" t="str">
        <f t="shared" si="27"/>
        <v>PEN</v>
      </c>
      <c r="N202" s="13"/>
      <c r="O202" s="13">
        <v>12</v>
      </c>
      <c r="P202" s="3">
        <f t="shared" si="28"/>
        <v>0</v>
      </c>
      <c r="Q202" s="3">
        <f t="shared" si="29"/>
        <v>12</v>
      </c>
      <c r="R202" s="3">
        <f t="shared" si="30"/>
        <v>419.2999999999995</v>
      </c>
      <c r="S202" s="24" t="s">
        <v>1334</v>
      </c>
      <c r="T202" s="24" t="s">
        <v>1334</v>
      </c>
      <c r="U202" s="3"/>
      <c r="V202" s="25" t="s">
        <v>8006</v>
      </c>
      <c r="W202" s="25">
        <v>20517252558</v>
      </c>
      <c r="X202" s="25" t="str">
        <f>IFERROR(VLOOKUP(C_Ope_006[[#This Row],[nota_2]],Clientes_Proveedores[[Ruc / Dni]:[Razon Social]],2,0),"")</f>
        <v>COVISUR S.A.</v>
      </c>
      <c r="Y202" s="25" t="s">
        <v>7888</v>
      </c>
      <c r="Z202" s="17"/>
      <c r="AA202" s="3" t="str">
        <f>IF(C_Ope_006[[#This Row],[fecha]]&gt;0,TEXT(C_Ope_006[[#This Row],[fecha]],"mmmm"),0)</f>
        <v>Julio</v>
      </c>
      <c r="AB202" s="49"/>
    </row>
    <row r="203" spans="1:28" ht="24" x14ac:dyDescent="0.3">
      <c r="A203" s="2">
        <f>IF(C_Ope_006[[#This Row],[tipo_r]]="R",COUNTIFS($C$1:$C202,"R")+1,"")</f>
        <v>202</v>
      </c>
      <c r="B203" s="19" t="str">
        <f t="shared" si="26"/>
        <v>C_Ope_006</v>
      </c>
      <c r="C203" s="3" t="s">
        <v>1330</v>
      </c>
      <c r="D203" s="14">
        <v>45863</v>
      </c>
      <c r="E203" s="5" t="s">
        <v>8786</v>
      </c>
      <c r="F203" s="5" t="s">
        <v>1336</v>
      </c>
      <c r="G203" s="6" t="s">
        <v>978</v>
      </c>
      <c r="H203" s="6" t="s">
        <v>68</v>
      </c>
      <c r="I203" s="6" t="s">
        <v>6203</v>
      </c>
      <c r="J203" s="6">
        <v>2123298</v>
      </c>
      <c r="K203" s="7" t="s">
        <v>8898</v>
      </c>
      <c r="L203" s="8">
        <v>25089</v>
      </c>
      <c r="M203" s="8" t="str">
        <f t="shared" si="27"/>
        <v>PEN</v>
      </c>
      <c r="N203" s="13"/>
      <c r="O203" s="13">
        <v>12</v>
      </c>
      <c r="P203" s="3">
        <f t="shared" si="28"/>
        <v>0</v>
      </c>
      <c r="Q203" s="3">
        <f t="shared" si="29"/>
        <v>12</v>
      </c>
      <c r="R203" s="3">
        <f t="shared" si="30"/>
        <v>407.2999999999995</v>
      </c>
      <c r="S203" s="24" t="s">
        <v>1334</v>
      </c>
      <c r="T203" s="24" t="s">
        <v>1334</v>
      </c>
      <c r="U203" s="3"/>
      <c r="V203" s="25" t="s">
        <v>8006</v>
      </c>
      <c r="W203" s="25">
        <v>20517252558</v>
      </c>
      <c r="X203" s="25" t="str">
        <f>IFERROR(VLOOKUP(C_Ope_006[[#This Row],[nota_2]],Clientes_Proveedores[[Ruc / Dni]:[Razon Social]],2,0),"")</f>
        <v>COVISUR S.A.</v>
      </c>
      <c r="Y203" s="25" t="s">
        <v>7888</v>
      </c>
      <c r="Z203" s="17"/>
      <c r="AA203" s="3" t="str">
        <f>IF(C_Ope_006[[#This Row],[fecha]]&gt;0,TEXT(C_Ope_006[[#This Row],[fecha]],"mmmm"),0)</f>
        <v>Julio</v>
      </c>
      <c r="AB203" s="49"/>
    </row>
    <row r="204" spans="1:28" ht="24" x14ac:dyDescent="0.3">
      <c r="A204" s="2">
        <f>IF(C_Ope_006[[#This Row],[tipo_r]]="R",COUNTIFS($C$1:$C203,"R")+1,"")</f>
        <v>203</v>
      </c>
      <c r="B204" s="19" t="str">
        <f t="shared" si="26"/>
        <v>C_Ope_006</v>
      </c>
      <c r="C204" s="3" t="s">
        <v>1330</v>
      </c>
      <c r="D204" s="14">
        <v>45869</v>
      </c>
      <c r="E204" s="5" t="s">
        <v>8786</v>
      </c>
      <c r="F204" s="5" t="s">
        <v>1336</v>
      </c>
      <c r="G204" s="6" t="s">
        <v>978</v>
      </c>
      <c r="H204" s="6" t="s">
        <v>68</v>
      </c>
      <c r="I204" s="6" t="s">
        <v>6203</v>
      </c>
      <c r="J204" s="6">
        <v>2129252</v>
      </c>
      <c r="K204" s="7" t="s">
        <v>8899</v>
      </c>
      <c r="L204" s="8">
        <v>25085</v>
      </c>
      <c r="M204" s="8" t="str">
        <f t="shared" si="27"/>
        <v>PEN</v>
      </c>
      <c r="N204" s="13"/>
      <c r="O204" s="13">
        <v>12</v>
      </c>
      <c r="P204" s="3">
        <f t="shared" si="28"/>
        <v>0</v>
      </c>
      <c r="Q204" s="3">
        <f t="shared" si="29"/>
        <v>12</v>
      </c>
      <c r="R204" s="3">
        <f t="shared" si="30"/>
        <v>395.2999999999995</v>
      </c>
      <c r="S204" s="24" t="s">
        <v>1334</v>
      </c>
      <c r="T204" s="24" t="s">
        <v>1334</v>
      </c>
      <c r="U204" s="3"/>
      <c r="V204" s="25" t="s">
        <v>8006</v>
      </c>
      <c r="W204" s="25">
        <v>20517252558</v>
      </c>
      <c r="X204" s="25" t="str">
        <f>IFERROR(VLOOKUP(C_Ope_006[[#This Row],[nota_2]],Clientes_Proveedores[[Ruc / Dni]:[Razon Social]],2,0),"")</f>
        <v>COVISUR S.A.</v>
      </c>
      <c r="Y204" s="25" t="s">
        <v>7888</v>
      </c>
      <c r="Z204" s="17"/>
      <c r="AA204" s="3" t="str">
        <f>IF(C_Ope_006[[#This Row],[fecha]]&gt;0,TEXT(C_Ope_006[[#This Row],[fecha]],"mmmm"),0)</f>
        <v>Julio</v>
      </c>
      <c r="AB204" s="49"/>
    </row>
    <row r="205" spans="1:28" ht="24" x14ac:dyDescent="0.3">
      <c r="A205" s="2">
        <f>IF(C_Ope_006[[#This Row],[tipo_r]]="R",COUNTIFS($C$1:$C204,"R")+1,"")</f>
        <v>204</v>
      </c>
      <c r="B205" s="19" t="str">
        <f t="shared" si="26"/>
        <v>C_Ope_006</v>
      </c>
      <c r="C205" s="3" t="s">
        <v>1330</v>
      </c>
      <c r="D205" s="14">
        <v>45869</v>
      </c>
      <c r="E205" s="5" t="s">
        <v>8786</v>
      </c>
      <c r="F205" s="5" t="s">
        <v>1336</v>
      </c>
      <c r="G205" s="6" t="s">
        <v>978</v>
      </c>
      <c r="H205" s="6" t="s">
        <v>68</v>
      </c>
      <c r="I205" s="6" t="s">
        <v>5688</v>
      </c>
      <c r="J205" s="6">
        <v>2417743</v>
      </c>
      <c r="K205" s="7" t="s">
        <v>8899</v>
      </c>
      <c r="L205" s="8">
        <v>25086</v>
      </c>
      <c r="M205" s="8" t="str">
        <f t="shared" si="27"/>
        <v>PEN</v>
      </c>
      <c r="N205" s="13"/>
      <c r="O205" s="13">
        <v>12</v>
      </c>
      <c r="P205" s="3">
        <f t="shared" si="28"/>
        <v>0</v>
      </c>
      <c r="Q205" s="3">
        <f t="shared" si="29"/>
        <v>12</v>
      </c>
      <c r="R205" s="3">
        <f t="shared" si="30"/>
        <v>383.2999999999995</v>
      </c>
      <c r="S205" s="24" t="s">
        <v>1334</v>
      </c>
      <c r="T205" s="24" t="s">
        <v>1334</v>
      </c>
      <c r="U205" s="3"/>
      <c r="V205" s="25" t="s">
        <v>8006</v>
      </c>
      <c r="W205" s="25">
        <v>20517252558</v>
      </c>
      <c r="X205" s="25" t="str">
        <f>IFERROR(VLOOKUP(C_Ope_006[[#This Row],[nota_2]],Clientes_Proveedores[[Ruc / Dni]:[Razon Social]],2,0),"")</f>
        <v>COVISUR S.A.</v>
      </c>
      <c r="Y205" s="25" t="s">
        <v>7888</v>
      </c>
      <c r="Z205" s="17"/>
      <c r="AA205" s="3" t="str">
        <f>IF(C_Ope_006[[#This Row],[fecha]]&gt;0,TEXT(C_Ope_006[[#This Row],[fecha]],"mmmm"),0)</f>
        <v>Julio</v>
      </c>
      <c r="AB205" s="49"/>
    </row>
    <row r="206" spans="1:28" x14ac:dyDescent="0.3">
      <c r="A206" s="2">
        <f>IF(C_Ope_006[[#This Row],[tipo_r]]="R",COUNTIFS($C$1:$C205,"R")+1,"")</f>
        <v>205</v>
      </c>
      <c r="B206" s="19" t="str">
        <f t="shared" si="26"/>
        <v>C_Ope_006</v>
      </c>
      <c r="C206" s="3" t="s">
        <v>1330</v>
      </c>
      <c r="D206" s="14">
        <v>45852</v>
      </c>
      <c r="E206" s="5" t="s">
        <v>8786</v>
      </c>
      <c r="F206" s="5" t="s">
        <v>1336</v>
      </c>
      <c r="G206" s="6" t="s">
        <v>1043</v>
      </c>
      <c r="H206" s="6" t="s">
        <v>68</v>
      </c>
      <c r="I206" s="6" t="s">
        <v>1390</v>
      </c>
      <c r="J206" s="6">
        <v>12701</v>
      </c>
      <c r="K206" s="7" t="s">
        <v>8900</v>
      </c>
      <c r="L206" s="8">
        <v>24891</v>
      </c>
      <c r="M206" s="8" t="str">
        <f t="shared" si="27"/>
        <v>PEN</v>
      </c>
      <c r="N206" s="13"/>
      <c r="O206" s="13">
        <v>10</v>
      </c>
      <c r="P206" s="3">
        <f t="shared" si="28"/>
        <v>0</v>
      </c>
      <c r="Q206" s="3">
        <f t="shared" si="29"/>
        <v>10</v>
      </c>
      <c r="R206" s="3">
        <f t="shared" si="30"/>
        <v>373.2999999999995</v>
      </c>
      <c r="S206" s="24" t="s">
        <v>1334</v>
      </c>
      <c r="T206" s="24" t="s">
        <v>1334</v>
      </c>
      <c r="U206" s="3"/>
      <c r="V206" s="25" t="s">
        <v>8006</v>
      </c>
      <c r="W206" s="25">
        <v>20606567856</v>
      </c>
      <c r="X206" s="25" t="str">
        <f>IFERROR(VLOOKUP(C_Ope_006[[#This Row],[nota_2]],Clientes_Proveedores[[Ruc / Dni]:[Razon Social]],2,0),"")</f>
        <v>R.E.T. &amp; SAN S.R.L.</v>
      </c>
      <c r="Y206" s="25" t="s">
        <v>5933</v>
      </c>
      <c r="Z206" s="17"/>
      <c r="AA206" s="3" t="str">
        <f>IF(C_Ope_006[[#This Row],[fecha]]&gt;0,TEXT(C_Ope_006[[#This Row],[fecha]],"mmmm"),0)</f>
        <v>Julio</v>
      </c>
      <c r="AB206" s="49"/>
    </row>
    <row r="207" spans="1:28" ht="24" x14ac:dyDescent="0.3">
      <c r="A207" s="2">
        <f>IF(C_Ope_006[[#This Row],[tipo_r]]="R",COUNTIFS($C$1:$C206,"R")+1,"")</f>
        <v>206</v>
      </c>
      <c r="B207" s="19" t="str">
        <f t="shared" si="26"/>
        <v>C_Ope_006</v>
      </c>
      <c r="C207" s="3" t="s">
        <v>1330</v>
      </c>
      <c r="D207" s="14">
        <v>45859</v>
      </c>
      <c r="E207" s="5" t="s">
        <v>8786</v>
      </c>
      <c r="F207" s="5" t="s">
        <v>1336</v>
      </c>
      <c r="G207" s="6" t="s">
        <v>1044</v>
      </c>
      <c r="H207" s="6" t="s">
        <v>68</v>
      </c>
      <c r="I207" s="6" t="s">
        <v>1374</v>
      </c>
      <c r="J207" s="6">
        <v>1584</v>
      </c>
      <c r="K207" s="7" t="s">
        <v>8901</v>
      </c>
      <c r="L207" s="8">
        <v>24969</v>
      </c>
      <c r="M207" s="8" t="str">
        <f t="shared" si="27"/>
        <v>PEN</v>
      </c>
      <c r="N207" s="13"/>
      <c r="O207" s="13">
        <v>11.8</v>
      </c>
      <c r="P207" s="3">
        <f t="shared" si="28"/>
        <v>0</v>
      </c>
      <c r="Q207" s="3">
        <f t="shared" si="29"/>
        <v>11.8</v>
      </c>
      <c r="R207" s="3">
        <f t="shared" si="30"/>
        <v>361.49999999999949</v>
      </c>
      <c r="S207" s="24" t="s">
        <v>1334</v>
      </c>
      <c r="T207" s="24" t="s">
        <v>1334</v>
      </c>
      <c r="U207" s="3"/>
      <c r="V207" s="25" t="s">
        <v>8006</v>
      </c>
      <c r="W207" s="25">
        <v>10218062186</v>
      </c>
      <c r="X207" s="25" t="str">
        <f>IFERROR(VLOOKUP(C_Ope_006[[#This Row],[nota_2]],Clientes_Proveedores[[Ruc / Dni]:[Razon Social]],2,0),"")</f>
        <v>YATACO FLORES JUAN DE DIOS</v>
      </c>
      <c r="Y207" s="25" t="s">
        <v>5933</v>
      </c>
      <c r="Z207" s="17"/>
      <c r="AA207" s="3" t="str">
        <f>IF(C_Ope_006[[#This Row],[fecha]]&gt;0,TEXT(C_Ope_006[[#This Row],[fecha]],"mmmm"),0)</f>
        <v>Julio</v>
      </c>
      <c r="AB207" s="49"/>
    </row>
    <row r="208" spans="1:28" ht="24" x14ac:dyDescent="0.3">
      <c r="A208" s="2">
        <f>IF(C_Ope_006[[#This Row],[tipo_r]]="R",COUNTIFS($C$1:$C207,"R")+1,"")</f>
        <v>207</v>
      </c>
      <c r="B208" s="19" t="str">
        <f t="shared" si="26"/>
        <v>C_Ope_006</v>
      </c>
      <c r="C208" s="3" t="s">
        <v>1330</v>
      </c>
      <c r="D208" s="14">
        <v>45863</v>
      </c>
      <c r="E208" s="5" t="s">
        <v>8786</v>
      </c>
      <c r="F208" s="5" t="s">
        <v>1336</v>
      </c>
      <c r="G208" s="6" t="s">
        <v>1009</v>
      </c>
      <c r="H208" s="6" t="s">
        <v>126</v>
      </c>
      <c r="I208" s="6"/>
      <c r="J208" s="6">
        <v>25013</v>
      </c>
      <c r="K208" s="7" t="s">
        <v>8902</v>
      </c>
      <c r="L208" s="8">
        <v>25013</v>
      </c>
      <c r="M208" s="8" t="str">
        <f t="shared" si="27"/>
        <v>PEN</v>
      </c>
      <c r="N208" s="13"/>
      <c r="O208" s="13">
        <v>20</v>
      </c>
      <c r="P208" s="3">
        <f t="shared" si="28"/>
        <v>0</v>
      </c>
      <c r="Q208" s="3">
        <f t="shared" si="29"/>
        <v>20</v>
      </c>
      <c r="R208" s="3">
        <f t="shared" si="30"/>
        <v>341.49999999999949</v>
      </c>
      <c r="S208" s="24" t="s">
        <v>1334</v>
      </c>
      <c r="T208" s="24" t="s">
        <v>1334</v>
      </c>
      <c r="U208" s="3"/>
      <c r="V208" s="25" t="s">
        <v>8006</v>
      </c>
      <c r="W208" s="25"/>
      <c r="X208" s="25" t="str">
        <f>IFERROR(VLOOKUP(C_Ope_006[[#This Row],[nota_2]],Clientes_Proveedores[[Ruc / Dni]:[Razon Social]],2,0),"")</f>
        <v/>
      </c>
      <c r="Y208" s="25" t="s">
        <v>5933</v>
      </c>
      <c r="Z208" s="17"/>
      <c r="AA208" s="3" t="str">
        <f>IF(C_Ope_006[[#This Row],[fecha]]&gt;0,TEXT(C_Ope_006[[#This Row],[fecha]],"mmmm"),0)</f>
        <v>Julio</v>
      </c>
      <c r="AB208" s="49"/>
    </row>
    <row r="209" spans="1:28" ht="21" customHeight="1" x14ac:dyDescent="0.3">
      <c r="A209" s="2">
        <f>IF(C_Ope_006[[#This Row],[tipo_r]]="R",COUNTIFS($C$1:$C208,"R")+1,"")</f>
        <v>208</v>
      </c>
      <c r="B209" s="19" t="str">
        <f t="shared" si="26"/>
        <v>C_Ope_006</v>
      </c>
      <c r="C209" s="3" t="s">
        <v>1330</v>
      </c>
      <c r="D209" s="14">
        <v>45855</v>
      </c>
      <c r="E209" s="5" t="s">
        <v>8786</v>
      </c>
      <c r="F209" s="5" t="s">
        <v>1336</v>
      </c>
      <c r="G209" s="6" t="s">
        <v>1045</v>
      </c>
      <c r="H209" s="6" t="s">
        <v>75</v>
      </c>
      <c r="I209" s="6">
        <v>2000</v>
      </c>
      <c r="J209" s="6">
        <v>499</v>
      </c>
      <c r="K209" s="7" t="s">
        <v>8903</v>
      </c>
      <c r="L209" s="8">
        <v>24921</v>
      </c>
      <c r="M209" s="8" t="str">
        <f t="shared" si="27"/>
        <v>PEN</v>
      </c>
      <c r="N209" s="13"/>
      <c r="O209" s="13">
        <v>12</v>
      </c>
      <c r="P209" s="3">
        <f t="shared" si="28"/>
        <v>0</v>
      </c>
      <c r="Q209" s="3">
        <f t="shared" si="29"/>
        <v>12</v>
      </c>
      <c r="R209" s="3">
        <f t="shared" si="30"/>
        <v>329.49999999999949</v>
      </c>
      <c r="S209" s="24" t="s">
        <v>1334</v>
      </c>
      <c r="T209" s="24" t="s">
        <v>1334</v>
      </c>
      <c r="U209" s="3"/>
      <c r="V209" s="25" t="s">
        <v>8006</v>
      </c>
      <c r="W209" s="25">
        <v>10438189560</v>
      </c>
      <c r="X209" s="25" t="str">
        <f>IFERROR(VLOOKUP(C_Ope_006[[#This Row],[nota_2]],Clientes_Proveedores[[Ruc / Dni]:[Razon Social]],2,0),"")</f>
        <v>MOROCCO HUANCA DORIS</v>
      </c>
      <c r="Y209" s="25" t="s">
        <v>8430</v>
      </c>
      <c r="Z209" s="17"/>
      <c r="AA209" s="3" t="str">
        <f>IF(C_Ope_006[[#This Row],[fecha]]&gt;0,TEXT(C_Ope_006[[#This Row],[fecha]],"mmmm"),0)</f>
        <v>Julio</v>
      </c>
      <c r="AB209" s="49"/>
    </row>
    <row r="210" spans="1:28" x14ac:dyDescent="0.3">
      <c r="A210" s="2">
        <f>IF(C_Ope_006[[#This Row],[tipo_r]]="R",COUNTIFS($C$1:$C209,"R")+1,"")</f>
        <v>209</v>
      </c>
      <c r="B210" s="19" t="str">
        <f t="shared" si="26"/>
        <v>C_Ope_006</v>
      </c>
      <c r="C210" s="3" t="s">
        <v>1330</v>
      </c>
      <c r="D210" s="14">
        <v>45855</v>
      </c>
      <c r="E210" s="5" t="s">
        <v>8786</v>
      </c>
      <c r="F210" s="5" t="s">
        <v>1336</v>
      </c>
      <c r="G210" s="6" t="s">
        <v>1009</v>
      </c>
      <c r="H210" s="6" t="s">
        <v>126</v>
      </c>
      <c r="I210" s="6"/>
      <c r="J210" s="6">
        <v>24922</v>
      </c>
      <c r="K210" s="7" t="s">
        <v>8904</v>
      </c>
      <c r="L210" s="8">
        <v>24922</v>
      </c>
      <c r="M210" s="8" t="str">
        <f t="shared" si="27"/>
        <v>PEN</v>
      </c>
      <c r="N210" s="13"/>
      <c r="O210" s="13">
        <v>15</v>
      </c>
      <c r="P210" s="3">
        <f t="shared" si="28"/>
        <v>0</v>
      </c>
      <c r="Q210" s="3">
        <f t="shared" si="29"/>
        <v>15</v>
      </c>
      <c r="R210" s="3">
        <f t="shared" si="30"/>
        <v>314.49999999999949</v>
      </c>
      <c r="S210" s="24" t="s">
        <v>1334</v>
      </c>
      <c r="T210" s="24" t="s">
        <v>1334</v>
      </c>
      <c r="U210" s="3"/>
      <c r="V210" s="25" t="s">
        <v>8006</v>
      </c>
      <c r="W210" s="25"/>
      <c r="X210" s="25" t="str">
        <f>IFERROR(VLOOKUP(C_Ope_006[[#This Row],[nota_2]],Clientes_Proveedores[[Ruc / Dni]:[Razon Social]],2,0),"")</f>
        <v/>
      </c>
      <c r="Y210" s="25" t="s">
        <v>8430</v>
      </c>
      <c r="Z210" s="17"/>
      <c r="AA210" s="3" t="str">
        <f>IF(C_Ope_006[[#This Row],[fecha]]&gt;0,TEXT(C_Ope_006[[#This Row],[fecha]],"mmmm"),0)</f>
        <v>Julio</v>
      </c>
      <c r="AB210" s="49"/>
    </row>
    <row r="211" spans="1:28" x14ac:dyDescent="0.3">
      <c r="A211" s="2">
        <f>IF(C_Ope_006[[#This Row],[tipo_r]]="R",COUNTIFS($C$1:$C210,"R")+1,"")</f>
        <v>210</v>
      </c>
      <c r="B211" s="19" t="str">
        <f t="shared" si="26"/>
        <v>C_Ope_006</v>
      </c>
      <c r="C211" s="3" t="s">
        <v>1330</v>
      </c>
      <c r="D211" s="14">
        <v>45855</v>
      </c>
      <c r="E211" s="5" t="s">
        <v>8786</v>
      </c>
      <c r="F211" s="5" t="s">
        <v>1336</v>
      </c>
      <c r="G211" s="6" t="s">
        <v>1009</v>
      </c>
      <c r="H211" s="6" t="s">
        <v>126</v>
      </c>
      <c r="I211" s="6"/>
      <c r="J211" s="6">
        <v>24923</v>
      </c>
      <c r="K211" s="7" t="s">
        <v>8905</v>
      </c>
      <c r="L211" s="8">
        <v>24923</v>
      </c>
      <c r="M211" s="8" t="str">
        <f t="shared" si="27"/>
        <v>PEN</v>
      </c>
      <c r="N211" s="13"/>
      <c r="O211" s="13">
        <v>12</v>
      </c>
      <c r="P211" s="3">
        <f t="shared" si="28"/>
        <v>0</v>
      </c>
      <c r="Q211" s="3">
        <f t="shared" si="29"/>
        <v>12</v>
      </c>
      <c r="R211" s="3">
        <f t="shared" si="30"/>
        <v>302.49999999999949</v>
      </c>
      <c r="S211" s="24" t="s">
        <v>1334</v>
      </c>
      <c r="T211" s="24" t="s">
        <v>1334</v>
      </c>
      <c r="U211" s="3"/>
      <c r="V211" s="25" t="s">
        <v>8006</v>
      </c>
      <c r="W211" s="25"/>
      <c r="X211" s="25" t="str">
        <f>IFERROR(VLOOKUP(C_Ope_006[[#This Row],[nota_2]],Clientes_Proveedores[[Ruc / Dni]:[Razon Social]],2,0),"")</f>
        <v/>
      </c>
      <c r="Y211" s="25" t="s">
        <v>8430</v>
      </c>
      <c r="Z211" s="17"/>
      <c r="AA211" s="3" t="str">
        <f>IF(C_Ope_006[[#This Row],[fecha]]&gt;0,TEXT(C_Ope_006[[#This Row],[fecha]],"mmmm"),0)</f>
        <v>Julio</v>
      </c>
      <c r="AB211" s="49"/>
    </row>
    <row r="212" spans="1:28" x14ac:dyDescent="0.3">
      <c r="A212" s="2">
        <f>IF(C_Ope_006[[#This Row],[tipo_r]]="R",COUNTIFS($C$1:$C211,"R")+1,"")</f>
        <v>211</v>
      </c>
      <c r="B212" s="19" t="str">
        <f t="shared" ref="B212:B230" si="31">"C_Ope_006"</f>
        <v>C_Ope_006</v>
      </c>
      <c r="C212" s="3" t="s">
        <v>1330</v>
      </c>
      <c r="D212" s="14">
        <v>45855</v>
      </c>
      <c r="E212" s="5" t="s">
        <v>8786</v>
      </c>
      <c r="F212" s="5" t="s">
        <v>1336</v>
      </c>
      <c r="G212" s="6" t="s">
        <v>1009</v>
      </c>
      <c r="H212" s="6" t="s">
        <v>126</v>
      </c>
      <c r="I212" s="6"/>
      <c r="J212" s="6">
        <v>24924</v>
      </c>
      <c r="K212" s="7" t="s">
        <v>8906</v>
      </c>
      <c r="L212" s="8">
        <v>24924</v>
      </c>
      <c r="M212" s="8" t="str">
        <f t="shared" ref="M212:M230" si="32">"PEN"</f>
        <v>PEN</v>
      </c>
      <c r="N212" s="13"/>
      <c r="O212" s="13">
        <v>50</v>
      </c>
      <c r="P212" s="3">
        <f t="shared" si="28"/>
        <v>0</v>
      </c>
      <c r="Q212" s="3">
        <f t="shared" si="29"/>
        <v>50</v>
      </c>
      <c r="R212" s="3">
        <f t="shared" si="30"/>
        <v>252.49999999999949</v>
      </c>
      <c r="S212" s="24" t="s">
        <v>1334</v>
      </c>
      <c r="T212" s="24" t="s">
        <v>1334</v>
      </c>
      <c r="U212" s="3"/>
      <c r="V212" s="25" t="s">
        <v>8006</v>
      </c>
      <c r="W212" s="25"/>
      <c r="X212" s="25" t="str">
        <f>IFERROR(VLOOKUP(C_Ope_006[[#This Row],[nota_2]],Clientes_Proveedores[[Ruc / Dni]:[Razon Social]],2,0),"")</f>
        <v/>
      </c>
      <c r="Y212" s="25" t="s">
        <v>7910</v>
      </c>
      <c r="Z212" s="17"/>
      <c r="AA212" s="3" t="str">
        <f>IF(C_Ope_006[[#This Row],[fecha]]&gt;0,TEXT(C_Ope_006[[#This Row],[fecha]],"mmmm"),0)</f>
        <v>Julio</v>
      </c>
      <c r="AB212" s="49"/>
    </row>
    <row r="213" spans="1:28" x14ac:dyDescent="0.3">
      <c r="A213" s="2">
        <f>IF(C_Ope_006[[#This Row],[tipo_r]]="R",COUNTIFS($C$1:$C212,"R")+1,"")</f>
        <v>212</v>
      </c>
      <c r="B213" s="19" t="str">
        <f t="shared" si="31"/>
        <v>C_Ope_006</v>
      </c>
      <c r="C213" s="3" t="s">
        <v>1330</v>
      </c>
      <c r="D213" s="14">
        <v>45855</v>
      </c>
      <c r="E213" s="5" t="s">
        <v>8786</v>
      </c>
      <c r="F213" s="5" t="s">
        <v>1336</v>
      </c>
      <c r="G213" s="6" t="s">
        <v>1009</v>
      </c>
      <c r="H213" s="6" t="s">
        <v>126</v>
      </c>
      <c r="I213" s="6"/>
      <c r="J213" s="6">
        <v>25091</v>
      </c>
      <c r="K213" s="7" t="s">
        <v>8907</v>
      </c>
      <c r="L213" s="8">
        <v>25091</v>
      </c>
      <c r="M213" s="8" t="str">
        <f t="shared" si="32"/>
        <v>PEN</v>
      </c>
      <c r="N213" s="13"/>
      <c r="O213" s="13">
        <v>10</v>
      </c>
      <c r="P213" s="3">
        <f t="shared" si="28"/>
        <v>0</v>
      </c>
      <c r="Q213" s="3">
        <f t="shared" si="29"/>
        <v>10</v>
      </c>
      <c r="R213" s="3">
        <f t="shared" si="30"/>
        <v>242.49999999999949</v>
      </c>
      <c r="S213" s="24" t="s">
        <v>1334</v>
      </c>
      <c r="T213" s="24" t="s">
        <v>1334</v>
      </c>
      <c r="U213" s="3"/>
      <c r="V213" s="25" t="s">
        <v>8006</v>
      </c>
      <c r="W213" s="25"/>
      <c r="X213" s="25" t="str">
        <f>IFERROR(VLOOKUP(C_Ope_006[[#This Row],[nota_2]],Clientes_Proveedores[[Ruc / Dni]:[Razon Social]],2,0),"")</f>
        <v/>
      </c>
      <c r="Y213" s="25" t="s">
        <v>8441</v>
      </c>
      <c r="Z213" s="17"/>
      <c r="AA213" s="3" t="str">
        <f>IF(C_Ope_006[[#This Row],[fecha]]&gt;0,TEXT(C_Ope_006[[#This Row],[fecha]],"mmmm"),0)</f>
        <v>Julio</v>
      </c>
      <c r="AB213" s="49"/>
    </row>
    <row r="214" spans="1:28" x14ac:dyDescent="0.3">
      <c r="A214" s="2">
        <f>IF(C_Ope_006[[#This Row],[tipo_r]]="R",COUNTIFS($C$1:$C213,"R")+1,"")</f>
        <v>213</v>
      </c>
      <c r="B214" s="19" t="str">
        <f t="shared" si="31"/>
        <v>C_Ope_006</v>
      </c>
      <c r="C214" s="3" t="s">
        <v>1330</v>
      </c>
      <c r="D214" s="14">
        <v>45856</v>
      </c>
      <c r="E214" s="5" t="s">
        <v>8786</v>
      </c>
      <c r="F214" s="5" t="s">
        <v>1336</v>
      </c>
      <c r="G214" s="6" t="s">
        <v>1009</v>
      </c>
      <c r="H214" s="6" t="s">
        <v>126</v>
      </c>
      <c r="I214" s="6"/>
      <c r="J214" s="6">
        <v>24930</v>
      </c>
      <c r="K214" s="7" t="s">
        <v>8381</v>
      </c>
      <c r="L214" s="8">
        <v>24930</v>
      </c>
      <c r="M214" s="8" t="str">
        <f t="shared" si="32"/>
        <v>PEN</v>
      </c>
      <c r="N214" s="13"/>
      <c r="O214" s="13">
        <v>12</v>
      </c>
      <c r="P214" s="3">
        <f t="shared" si="28"/>
        <v>0</v>
      </c>
      <c r="Q214" s="3">
        <f t="shared" si="29"/>
        <v>12</v>
      </c>
      <c r="R214" s="3">
        <f t="shared" si="30"/>
        <v>230.49999999999949</v>
      </c>
      <c r="S214" s="24" t="s">
        <v>1334</v>
      </c>
      <c r="T214" s="24" t="s">
        <v>1334</v>
      </c>
      <c r="U214" s="3"/>
      <c r="V214" s="25" t="s">
        <v>8006</v>
      </c>
      <c r="W214" s="25"/>
      <c r="X214" s="25" t="str">
        <f>IFERROR(VLOOKUP(C_Ope_006[[#This Row],[nota_2]],Clientes_Proveedores[[Ruc / Dni]:[Razon Social]],2,0),"")</f>
        <v/>
      </c>
      <c r="Y214" s="25" t="s">
        <v>8430</v>
      </c>
      <c r="Z214" s="17"/>
      <c r="AA214" s="3" t="str">
        <f>IF(C_Ope_006[[#This Row],[fecha]]&gt;0,TEXT(C_Ope_006[[#This Row],[fecha]],"mmmm"),0)</f>
        <v>Julio</v>
      </c>
      <c r="AB214" s="49"/>
    </row>
    <row r="215" spans="1:28" x14ac:dyDescent="0.3">
      <c r="A215" s="2">
        <f>IF(C_Ope_006[[#This Row],[tipo_r]]="R",COUNTIFS($C$1:$C214,"R")+1,"")</f>
        <v>214</v>
      </c>
      <c r="B215" s="19" t="str">
        <f t="shared" si="31"/>
        <v>C_Ope_006</v>
      </c>
      <c r="C215" s="3" t="s">
        <v>1330</v>
      </c>
      <c r="D215" s="14">
        <v>45856</v>
      </c>
      <c r="E215" s="5" t="s">
        <v>8786</v>
      </c>
      <c r="F215" s="5" t="s">
        <v>1336</v>
      </c>
      <c r="G215" s="6" t="s">
        <v>1009</v>
      </c>
      <c r="H215" s="6" t="s">
        <v>126</v>
      </c>
      <c r="I215" s="6"/>
      <c r="J215" s="6">
        <v>24947</v>
      </c>
      <c r="K215" s="7" t="s">
        <v>8379</v>
      </c>
      <c r="L215" s="8">
        <v>24947</v>
      </c>
      <c r="M215" s="8" t="str">
        <f t="shared" si="32"/>
        <v>PEN</v>
      </c>
      <c r="N215" s="13"/>
      <c r="O215" s="13">
        <v>15</v>
      </c>
      <c r="P215" s="3">
        <f t="shared" si="28"/>
        <v>0</v>
      </c>
      <c r="Q215" s="3">
        <f t="shared" si="29"/>
        <v>15</v>
      </c>
      <c r="R215" s="3">
        <f t="shared" si="30"/>
        <v>215.49999999999949</v>
      </c>
      <c r="S215" s="24" t="s">
        <v>1334</v>
      </c>
      <c r="T215" s="24" t="s">
        <v>1334</v>
      </c>
      <c r="U215" s="3"/>
      <c r="V215" s="25" t="s">
        <v>8006</v>
      </c>
      <c r="W215" s="25"/>
      <c r="X215" s="25" t="str">
        <f>IFERROR(VLOOKUP(C_Ope_006[[#This Row],[nota_2]],Clientes_Proveedores[[Ruc / Dni]:[Razon Social]],2,0),"")</f>
        <v/>
      </c>
      <c r="Y215" s="25" t="s">
        <v>8430</v>
      </c>
      <c r="Z215" s="17"/>
      <c r="AA215" s="3" t="str">
        <f>IF(C_Ope_006[[#This Row],[fecha]]&gt;0,TEXT(C_Ope_006[[#This Row],[fecha]],"mmmm"),0)</f>
        <v>Julio</v>
      </c>
      <c r="AB215" s="49"/>
    </row>
    <row r="216" spans="1:28" x14ac:dyDescent="0.3">
      <c r="A216" s="2">
        <f>IF(C_Ope_006[[#This Row],[tipo_r]]="R",COUNTIFS($C$1:$C215,"R")+1,"")</f>
        <v>215</v>
      </c>
      <c r="B216" s="19" t="str">
        <f t="shared" si="31"/>
        <v>C_Ope_006</v>
      </c>
      <c r="C216" s="3" t="s">
        <v>1330</v>
      </c>
      <c r="D216" s="14">
        <v>45856</v>
      </c>
      <c r="E216" s="5" t="s">
        <v>8786</v>
      </c>
      <c r="F216" s="5" t="s">
        <v>1336</v>
      </c>
      <c r="G216" s="6" t="s">
        <v>1009</v>
      </c>
      <c r="H216" s="6" t="s">
        <v>126</v>
      </c>
      <c r="I216" s="6"/>
      <c r="J216" s="6">
        <v>24948</v>
      </c>
      <c r="K216" s="7" t="s">
        <v>8330</v>
      </c>
      <c r="L216" s="8">
        <v>24948</v>
      </c>
      <c r="M216" s="8" t="str">
        <f t="shared" si="32"/>
        <v>PEN</v>
      </c>
      <c r="N216" s="13"/>
      <c r="O216" s="13">
        <v>12</v>
      </c>
      <c r="P216" s="3">
        <f t="shared" si="28"/>
        <v>0</v>
      </c>
      <c r="Q216" s="3">
        <f t="shared" si="29"/>
        <v>12</v>
      </c>
      <c r="R216" s="3">
        <f t="shared" si="30"/>
        <v>203.49999999999949</v>
      </c>
      <c r="S216" s="24" t="s">
        <v>1334</v>
      </c>
      <c r="T216" s="24" t="s">
        <v>1334</v>
      </c>
      <c r="U216" s="3"/>
      <c r="V216" s="25" t="s">
        <v>8006</v>
      </c>
      <c r="W216" s="25"/>
      <c r="X216" s="25" t="str">
        <f>IFERROR(VLOOKUP(C_Ope_006[[#This Row],[nota_2]],Clientes_Proveedores[[Ruc / Dni]:[Razon Social]],2,0),"")</f>
        <v/>
      </c>
      <c r="Y216" s="25" t="s">
        <v>8430</v>
      </c>
      <c r="Z216" s="17"/>
      <c r="AA216" s="3" t="str">
        <f>IF(C_Ope_006[[#This Row],[fecha]]&gt;0,TEXT(C_Ope_006[[#This Row],[fecha]],"mmmm"),0)</f>
        <v>Julio</v>
      </c>
      <c r="AB216" s="49"/>
    </row>
    <row r="217" spans="1:28" ht="24" x14ac:dyDescent="0.3">
      <c r="A217" s="2">
        <f>IF(C_Ope_006[[#This Row],[tipo_r]]="R",COUNTIFS($C$1:$C216,"R")+1,"")</f>
        <v>216</v>
      </c>
      <c r="B217" s="19" t="str">
        <f t="shared" si="31"/>
        <v>C_Ope_006</v>
      </c>
      <c r="C217" s="3" t="s">
        <v>1330</v>
      </c>
      <c r="D217" s="14">
        <v>45856</v>
      </c>
      <c r="E217" s="5" t="s">
        <v>8786</v>
      </c>
      <c r="F217" s="5" t="s">
        <v>1336</v>
      </c>
      <c r="G217" s="6" t="s">
        <v>1046</v>
      </c>
      <c r="H217" s="6" t="s">
        <v>75</v>
      </c>
      <c r="I217" s="6">
        <v>1</v>
      </c>
      <c r="J217" s="6">
        <v>60667</v>
      </c>
      <c r="K217" s="7" t="s">
        <v>8908</v>
      </c>
      <c r="L217" s="8">
        <v>24951</v>
      </c>
      <c r="M217" s="8" t="str">
        <f t="shared" si="32"/>
        <v>PEN</v>
      </c>
      <c r="N217" s="13"/>
      <c r="O217" s="13">
        <v>35</v>
      </c>
      <c r="P217" s="3">
        <f t="shared" si="28"/>
        <v>0</v>
      </c>
      <c r="Q217" s="3">
        <f t="shared" si="29"/>
        <v>35</v>
      </c>
      <c r="R217" s="3">
        <f t="shared" si="30"/>
        <v>168.49999999999949</v>
      </c>
      <c r="S217" s="24" t="s">
        <v>1334</v>
      </c>
      <c r="T217" s="24" t="s">
        <v>1334</v>
      </c>
      <c r="U217" s="3"/>
      <c r="V217" s="25" t="s">
        <v>8006</v>
      </c>
      <c r="W217" s="25">
        <v>10154270642</v>
      </c>
      <c r="X217" s="25" t="str">
        <f>IFERROR(VLOOKUP(C_Ope_006[[#This Row],[nota_2]],Clientes_Proveedores[[Ruc / Dni]:[Razon Social]],2,0),"")</f>
        <v>HURTADO HUAMAN CARMINA AUDELIA</v>
      </c>
      <c r="Y217" s="25" t="s">
        <v>7938</v>
      </c>
      <c r="Z217" s="17"/>
      <c r="AA217" s="3" t="str">
        <f>IF(C_Ope_006[[#This Row],[fecha]]&gt;0,TEXT(C_Ope_006[[#This Row],[fecha]],"mmmm"),0)</f>
        <v>Julio</v>
      </c>
      <c r="AB217" s="49"/>
    </row>
    <row r="218" spans="1:28" x14ac:dyDescent="0.3">
      <c r="A218" s="2">
        <f>IF(C_Ope_006[[#This Row],[tipo_r]]="R",COUNTIFS($C$1:$C217,"R")+1,"")</f>
        <v>217</v>
      </c>
      <c r="B218" s="19" t="str">
        <f t="shared" si="31"/>
        <v>C_Ope_006</v>
      </c>
      <c r="C218" s="3" t="s">
        <v>1330</v>
      </c>
      <c r="D218" s="14">
        <v>45857</v>
      </c>
      <c r="E218" s="5" t="s">
        <v>8786</v>
      </c>
      <c r="F218" s="5" t="s">
        <v>1336</v>
      </c>
      <c r="G218" s="6" t="s">
        <v>1009</v>
      </c>
      <c r="H218" s="6" t="s">
        <v>126</v>
      </c>
      <c r="I218" s="6"/>
      <c r="J218" s="6">
        <v>24953</v>
      </c>
      <c r="K218" s="7" t="s">
        <v>8909</v>
      </c>
      <c r="L218" s="8">
        <v>24953</v>
      </c>
      <c r="M218" s="8" t="str">
        <f t="shared" si="32"/>
        <v>PEN</v>
      </c>
      <c r="N218" s="13"/>
      <c r="O218" s="13">
        <v>8</v>
      </c>
      <c r="P218" s="3">
        <f t="shared" si="28"/>
        <v>0</v>
      </c>
      <c r="Q218" s="3">
        <f t="shared" si="29"/>
        <v>8</v>
      </c>
      <c r="R218" s="3">
        <f t="shared" si="30"/>
        <v>160.49999999999949</v>
      </c>
      <c r="S218" s="24" t="s">
        <v>1334</v>
      </c>
      <c r="T218" s="24" t="s">
        <v>1334</v>
      </c>
      <c r="U218" s="3"/>
      <c r="V218" s="25" t="s">
        <v>8006</v>
      </c>
      <c r="W218" s="25"/>
      <c r="X218" s="25" t="str">
        <f>IFERROR(VLOOKUP(C_Ope_006[[#This Row],[nota_2]],Clientes_Proveedores[[Ruc / Dni]:[Razon Social]],2,0),"")</f>
        <v/>
      </c>
      <c r="Y218" s="25" t="s">
        <v>8430</v>
      </c>
      <c r="Z218" s="17"/>
      <c r="AA218" s="3" t="str">
        <f>IF(C_Ope_006[[#This Row],[fecha]]&gt;0,TEXT(C_Ope_006[[#This Row],[fecha]],"mmmm"),0)</f>
        <v>Julio</v>
      </c>
      <c r="AB218" s="49"/>
    </row>
    <row r="219" spans="1:28" x14ac:dyDescent="0.3">
      <c r="A219" s="2">
        <f>IF(C_Ope_006[[#This Row],[tipo_r]]="R",COUNTIFS($C$1:$C218,"R")+1,"")</f>
        <v>218</v>
      </c>
      <c r="B219" s="19" t="str">
        <f t="shared" si="31"/>
        <v>C_Ope_006</v>
      </c>
      <c r="C219" s="3" t="s">
        <v>1330</v>
      </c>
      <c r="D219" s="14">
        <v>45857</v>
      </c>
      <c r="E219" s="5" t="s">
        <v>8786</v>
      </c>
      <c r="F219" s="5" t="s">
        <v>1336</v>
      </c>
      <c r="G219" s="6" t="s">
        <v>1009</v>
      </c>
      <c r="H219" s="6" t="s">
        <v>126</v>
      </c>
      <c r="I219" s="6"/>
      <c r="J219" s="6">
        <v>24954</v>
      </c>
      <c r="K219" s="7" t="s">
        <v>8337</v>
      </c>
      <c r="L219" s="8">
        <v>24954</v>
      </c>
      <c r="M219" s="8" t="str">
        <f t="shared" si="32"/>
        <v>PEN</v>
      </c>
      <c r="N219" s="13"/>
      <c r="O219" s="13">
        <v>12</v>
      </c>
      <c r="P219" s="3">
        <f t="shared" si="28"/>
        <v>0</v>
      </c>
      <c r="Q219" s="3">
        <f t="shared" si="29"/>
        <v>12</v>
      </c>
      <c r="R219" s="3">
        <f t="shared" si="30"/>
        <v>148.49999999999949</v>
      </c>
      <c r="S219" s="24" t="s">
        <v>1334</v>
      </c>
      <c r="T219" s="24" t="s">
        <v>1334</v>
      </c>
      <c r="U219" s="3"/>
      <c r="V219" s="25" t="s">
        <v>8006</v>
      </c>
      <c r="W219" s="25"/>
      <c r="X219" s="25" t="str">
        <f>IFERROR(VLOOKUP(C_Ope_006[[#This Row],[nota_2]],Clientes_Proveedores[[Ruc / Dni]:[Razon Social]],2,0),"")</f>
        <v/>
      </c>
      <c r="Y219" s="25" t="s">
        <v>8430</v>
      </c>
      <c r="Z219" s="17"/>
      <c r="AA219" s="3" t="str">
        <f>IF(C_Ope_006[[#This Row],[fecha]]&gt;0,TEXT(C_Ope_006[[#This Row],[fecha]],"mmmm"),0)</f>
        <v>Julio</v>
      </c>
      <c r="AB219" s="49"/>
    </row>
    <row r="220" spans="1:28" x14ac:dyDescent="0.3">
      <c r="A220" s="2">
        <f>IF(C_Ope_006[[#This Row],[tipo_r]]="R",COUNTIFS($C$1:$C219,"R")+1,"")</f>
        <v>219</v>
      </c>
      <c r="B220" s="19" t="str">
        <f t="shared" si="31"/>
        <v>C_Ope_006</v>
      </c>
      <c r="C220" s="3" t="s">
        <v>1330</v>
      </c>
      <c r="D220" s="14">
        <v>45857</v>
      </c>
      <c r="E220" s="5" t="s">
        <v>8786</v>
      </c>
      <c r="F220" s="5" t="s">
        <v>1336</v>
      </c>
      <c r="G220" s="6" t="s">
        <v>1009</v>
      </c>
      <c r="H220" s="6" t="s">
        <v>126</v>
      </c>
      <c r="I220" s="6"/>
      <c r="J220" s="6">
        <v>24955</v>
      </c>
      <c r="K220" s="7" t="s">
        <v>8382</v>
      </c>
      <c r="L220" s="8">
        <v>24955</v>
      </c>
      <c r="M220" s="8" t="str">
        <f t="shared" si="32"/>
        <v>PEN</v>
      </c>
      <c r="N220" s="13"/>
      <c r="O220" s="13">
        <v>10</v>
      </c>
      <c r="P220" s="3">
        <f t="shared" si="28"/>
        <v>0</v>
      </c>
      <c r="Q220" s="3">
        <f t="shared" si="29"/>
        <v>10</v>
      </c>
      <c r="R220" s="3">
        <f t="shared" si="30"/>
        <v>138.49999999999949</v>
      </c>
      <c r="S220" s="24" t="s">
        <v>1334</v>
      </c>
      <c r="T220" s="24" t="s">
        <v>1334</v>
      </c>
      <c r="U220" s="3"/>
      <c r="V220" s="25" t="s">
        <v>8006</v>
      </c>
      <c r="W220" s="25"/>
      <c r="X220" s="25" t="str">
        <f>IFERROR(VLOOKUP(C_Ope_006[[#This Row],[nota_2]],Clientes_Proveedores[[Ruc / Dni]:[Razon Social]],2,0),"")</f>
        <v/>
      </c>
      <c r="Y220" s="25" t="s">
        <v>8430</v>
      </c>
      <c r="Z220" s="17"/>
      <c r="AA220" s="3" t="str">
        <f>IF(C_Ope_006[[#This Row],[fecha]]&gt;0,TEXT(C_Ope_006[[#This Row],[fecha]],"mmmm"),0)</f>
        <v>Julio</v>
      </c>
      <c r="AB220" s="49"/>
    </row>
    <row r="221" spans="1:28" x14ac:dyDescent="0.3">
      <c r="A221" s="2">
        <f>IF(C_Ope_006[[#This Row],[tipo_r]]="R",COUNTIFS($C$1:$C220,"R")+1,"")</f>
        <v>220</v>
      </c>
      <c r="B221" s="19" t="str">
        <f t="shared" si="31"/>
        <v>C_Ope_006</v>
      </c>
      <c r="C221" s="3" t="s">
        <v>1330</v>
      </c>
      <c r="D221" s="14">
        <v>45858</v>
      </c>
      <c r="E221" s="5" t="s">
        <v>8786</v>
      </c>
      <c r="F221" s="5" t="s">
        <v>1336</v>
      </c>
      <c r="G221" s="6" t="s">
        <v>1009</v>
      </c>
      <c r="H221" s="6" t="s">
        <v>126</v>
      </c>
      <c r="I221" s="6"/>
      <c r="J221" s="6">
        <v>24956</v>
      </c>
      <c r="K221" s="7" t="s">
        <v>8909</v>
      </c>
      <c r="L221" s="8">
        <v>24956</v>
      </c>
      <c r="M221" s="8" t="str">
        <f t="shared" si="32"/>
        <v>PEN</v>
      </c>
      <c r="N221" s="13"/>
      <c r="O221" s="13">
        <v>8</v>
      </c>
      <c r="P221" s="3">
        <f t="shared" si="28"/>
        <v>0</v>
      </c>
      <c r="Q221" s="3">
        <f t="shared" si="29"/>
        <v>8</v>
      </c>
      <c r="R221" s="3">
        <f t="shared" si="30"/>
        <v>130.49999999999949</v>
      </c>
      <c r="S221" s="24" t="s">
        <v>1334</v>
      </c>
      <c r="T221" s="24" t="s">
        <v>1334</v>
      </c>
      <c r="U221" s="3"/>
      <c r="V221" s="25" t="s">
        <v>8006</v>
      </c>
      <c r="W221" s="25"/>
      <c r="X221" s="25" t="str">
        <f>IFERROR(VLOOKUP(C_Ope_006[[#This Row],[nota_2]],Clientes_Proveedores[[Ruc / Dni]:[Razon Social]],2,0),"")</f>
        <v/>
      </c>
      <c r="Y221" s="25" t="s">
        <v>8430</v>
      </c>
      <c r="Z221" s="17"/>
      <c r="AA221" s="3" t="str">
        <f>IF(C_Ope_006[[#This Row],[fecha]]&gt;0,TEXT(C_Ope_006[[#This Row],[fecha]],"mmmm"),0)</f>
        <v>Julio</v>
      </c>
      <c r="AB221" s="49"/>
    </row>
    <row r="222" spans="1:28" x14ac:dyDescent="0.3">
      <c r="A222" s="2">
        <f>IF(C_Ope_006[[#This Row],[tipo_r]]="R",COUNTIFS($C$1:$C221,"R")+1,"")</f>
        <v>221</v>
      </c>
      <c r="B222" s="19" t="str">
        <f t="shared" si="31"/>
        <v>C_Ope_006</v>
      </c>
      <c r="C222" s="3" t="s">
        <v>1330</v>
      </c>
      <c r="D222" s="14">
        <v>45858</v>
      </c>
      <c r="E222" s="5" t="s">
        <v>8786</v>
      </c>
      <c r="F222" s="5" t="s">
        <v>1336</v>
      </c>
      <c r="G222" s="6" t="s">
        <v>1009</v>
      </c>
      <c r="H222" s="6" t="s">
        <v>126</v>
      </c>
      <c r="I222" s="6"/>
      <c r="J222" s="6">
        <v>24957</v>
      </c>
      <c r="K222" s="7" t="s">
        <v>8337</v>
      </c>
      <c r="L222" s="8">
        <v>24957</v>
      </c>
      <c r="M222" s="8" t="str">
        <f t="shared" si="32"/>
        <v>PEN</v>
      </c>
      <c r="N222" s="13"/>
      <c r="O222" s="13">
        <v>12</v>
      </c>
      <c r="P222" s="3">
        <f t="shared" si="28"/>
        <v>0</v>
      </c>
      <c r="Q222" s="3">
        <f t="shared" si="29"/>
        <v>12</v>
      </c>
      <c r="R222" s="3">
        <f t="shared" si="30"/>
        <v>118.49999999999949</v>
      </c>
      <c r="S222" s="24" t="s">
        <v>1334</v>
      </c>
      <c r="T222" s="24" t="s">
        <v>1334</v>
      </c>
      <c r="U222" s="3"/>
      <c r="V222" s="25" t="s">
        <v>8006</v>
      </c>
      <c r="W222" s="25"/>
      <c r="X222" s="25" t="str">
        <f>IFERROR(VLOOKUP(C_Ope_006[[#This Row],[nota_2]],Clientes_Proveedores[[Ruc / Dni]:[Razon Social]],2,0),"")</f>
        <v/>
      </c>
      <c r="Y222" s="25" t="s">
        <v>8430</v>
      </c>
      <c r="Z222" s="17"/>
      <c r="AA222" s="3" t="str">
        <f>IF(C_Ope_006[[#This Row],[fecha]]&gt;0,TEXT(C_Ope_006[[#This Row],[fecha]],"mmmm"),0)</f>
        <v>Julio</v>
      </c>
      <c r="AB222" s="49"/>
    </row>
    <row r="223" spans="1:28" x14ac:dyDescent="0.3">
      <c r="A223" s="2">
        <f>IF(C_Ope_006[[#This Row],[tipo_r]]="R",COUNTIFS($C$1:$C222,"R")+1,"")</f>
        <v>222</v>
      </c>
      <c r="B223" s="19" t="str">
        <f t="shared" si="31"/>
        <v>C_Ope_006</v>
      </c>
      <c r="C223" s="3" t="s">
        <v>1330</v>
      </c>
      <c r="D223" s="14">
        <v>45858</v>
      </c>
      <c r="E223" s="5" t="s">
        <v>8786</v>
      </c>
      <c r="F223" s="5" t="s">
        <v>1336</v>
      </c>
      <c r="G223" s="6" t="s">
        <v>1009</v>
      </c>
      <c r="H223" s="6" t="s">
        <v>126</v>
      </c>
      <c r="I223" s="6"/>
      <c r="J223" s="6">
        <v>24958</v>
      </c>
      <c r="K223" s="7" t="s">
        <v>8382</v>
      </c>
      <c r="L223" s="8">
        <v>24958</v>
      </c>
      <c r="M223" s="8" t="str">
        <f t="shared" si="32"/>
        <v>PEN</v>
      </c>
      <c r="N223" s="13"/>
      <c r="O223" s="13">
        <v>10</v>
      </c>
      <c r="P223" s="3">
        <f t="shared" si="28"/>
        <v>0</v>
      </c>
      <c r="Q223" s="3">
        <f t="shared" si="29"/>
        <v>10</v>
      </c>
      <c r="R223" s="3">
        <f t="shared" si="30"/>
        <v>108.49999999999949</v>
      </c>
      <c r="S223" s="24" t="s">
        <v>1334</v>
      </c>
      <c r="T223" s="24" t="s">
        <v>1334</v>
      </c>
      <c r="U223" s="3"/>
      <c r="V223" s="25" t="s">
        <v>8006</v>
      </c>
      <c r="W223" s="25"/>
      <c r="X223" s="25" t="str">
        <f>IFERROR(VLOOKUP(C_Ope_006[[#This Row],[nota_2]],Clientes_Proveedores[[Ruc / Dni]:[Razon Social]],2,0),"")</f>
        <v/>
      </c>
      <c r="Y223" s="25" t="s">
        <v>8430</v>
      </c>
      <c r="Z223" s="17"/>
      <c r="AA223" s="3" t="str">
        <f>IF(C_Ope_006[[#This Row],[fecha]]&gt;0,TEXT(C_Ope_006[[#This Row],[fecha]],"mmmm"),0)</f>
        <v>Julio</v>
      </c>
      <c r="AB223" s="49"/>
    </row>
    <row r="224" spans="1:28" x14ac:dyDescent="0.3">
      <c r="A224" s="2">
        <f>IF(C_Ope_006[[#This Row],[tipo_r]]="R",COUNTIFS($C$1:$C223,"R")+1,"")</f>
        <v>223</v>
      </c>
      <c r="B224" s="19" t="str">
        <f t="shared" si="31"/>
        <v>C_Ope_006</v>
      </c>
      <c r="C224" s="3" t="s">
        <v>1330</v>
      </c>
      <c r="D224" s="14">
        <v>45859</v>
      </c>
      <c r="E224" s="5" t="s">
        <v>8786</v>
      </c>
      <c r="F224" s="5" t="s">
        <v>1336</v>
      </c>
      <c r="G224" s="6" t="s">
        <v>1009</v>
      </c>
      <c r="H224" s="6" t="s">
        <v>126</v>
      </c>
      <c r="I224" s="6"/>
      <c r="J224" s="6">
        <v>24966</v>
      </c>
      <c r="K224" s="7" t="s">
        <v>8910</v>
      </c>
      <c r="L224" s="8">
        <v>24966</v>
      </c>
      <c r="M224" s="8" t="str">
        <f t="shared" si="32"/>
        <v>PEN</v>
      </c>
      <c r="N224" s="13"/>
      <c r="O224" s="13">
        <v>12</v>
      </c>
      <c r="P224" s="3">
        <f t="shared" si="28"/>
        <v>0</v>
      </c>
      <c r="Q224" s="3">
        <f t="shared" si="29"/>
        <v>12</v>
      </c>
      <c r="R224" s="3">
        <f t="shared" si="30"/>
        <v>96.499999999999488</v>
      </c>
      <c r="S224" s="24" t="s">
        <v>1334</v>
      </c>
      <c r="T224" s="24" t="s">
        <v>1334</v>
      </c>
      <c r="U224" s="3"/>
      <c r="V224" s="25" t="s">
        <v>8006</v>
      </c>
      <c r="W224" s="25"/>
      <c r="X224" s="25" t="str">
        <f>IFERROR(VLOOKUP(C_Ope_006[[#This Row],[nota_2]],Clientes_Proveedores[[Ruc / Dni]:[Razon Social]],2,0),"")</f>
        <v/>
      </c>
      <c r="Y224" s="25" t="s">
        <v>8430</v>
      </c>
      <c r="Z224" s="17"/>
      <c r="AA224" s="3" t="str">
        <f>IF(C_Ope_006[[#This Row],[fecha]]&gt;0,TEXT(C_Ope_006[[#This Row],[fecha]],"mmmm"),0)</f>
        <v>Julio</v>
      </c>
      <c r="AB224" s="49"/>
    </row>
    <row r="225" spans="1:28" x14ac:dyDescent="0.3">
      <c r="A225" s="2">
        <f>IF(C_Ope_006[[#This Row],[tipo_r]]="R",COUNTIFS($C$1:$C224,"R")+1,"")</f>
        <v>224</v>
      </c>
      <c r="B225" s="19" t="str">
        <f t="shared" si="31"/>
        <v>C_Ope_006</v>
      </c>
      <c r="C225" s="3" t="s">
        <v>1330</v>
      </c>
      <c r="D225" s="14">
        <v>45859</v>
      </c>
      <c r="E225" s="5" t="s">
        <v>8786</v>
      </c>
      <c r="F225" s="5" t="s">
        <v>1336</v>
      </c>
      <c r="G225" s="6" t="s">
        <v>1009</v>
      </c>
      <c r="H225" s="6" t="s">
        <v>126</v>
      </c>
      <c r="I225" s="6"/>
      <c r="J225" s="6">
        <v>24967</v>
      </c>
      <c r="K225" s="7" t="s">
        <v>8911</v>
      </c>
      <c r="L225" s="8">
        <v>24967</v>
      </c>
      <c r="M225" s="8" t="str">
        <f t="shared" si="32"/>
        <v>PEN</v>
      </c>
      <c r="N225" s="13"/>
      <c r="O225" s="13">
        <v>15</v>
      </c>
      <c r="P225" s="3">
        <f t="shared" si="28"/>
        <v>0</v>
      </c>
      <c r="Q225" s="3">
        <f t="shared" si="29"/>
        <v>15</v>
      </c>
      <c r="R225" s="3">
        <f t="shared" si="30"/>
        <v>81.499999999999488</v>
      </c>
      <c r="S225" s="24" t="s">
        <v>1334</v>
      </c>
      <c r="T225" s="24" t="s">
        <v>1334</v>
      </c>
      <c r="U225" s="3"/>
      <c r="V225" s="25" t="s">
        <v>8006</v>
      </c>
      <c r="W225" s="25"/>
      <c r="X225" s="25" t="str">
        <f>IFERROR(VLOOKUP(C_Ope_006[[#This Row],[nota_2]],Clientes_Proveedores[[Ruc / Dni]:[Razon Social]],2,0),"")</f>
        <v/>
      </c>
      <c r="Y225" s="25" t="s">
        <v>8430</v>
      </c>
      <c r="Z225" s="17"/>
      <c r="AA225" s="3" t="str">
        <f>IF(C_Ope_006[[#This Row],[fecha]]&gt;0,TEXT(C_Ope_006[[#This Row],[fecha]],"mmmm"),0)</f>
        <v>Julio</v>
      </c>
      <c r="AB225" s="49"/>
    </row>
    <row r="226" spans="1:28" ht="24" x14ac:dyDescent="0.3">
      <c r="A226" s="2">
        <f>IF(C_Ope_006[[#This Row],[tipo_r]]="R",COUNTIFS($C$1:$C225,"R")+1,"")</f>
        <v>225</v>
      </c>
      <c r="B226" s="19" t="str">
        <f t="shared" si="31"/>
        <v>C_Ope_006</v>
      </c>
      <c r="C226" s="3" t="s">
        <v>1330</v>
      </c>
      <c r="D226" s="14">
        <v>45859</v>
      </c>
      <c r="E226" s="5" t="s">
        <v>8786</v>
      </c>
      <c r="F226" s="5" t="s">
        <v>1336</v>
      </c>
      <c r="G226" s="6" t="s">
        <v>1047</v>
      </c>
      <c r="H226" s="6" t="s">
        <v>68</v>
      </c>
      <c r="I226" s="6" t="s">
        <v>1374</v>
      </c>
      <c r="J226" s="6">
        <v>61894</v>
      </c>
      <c r="K226" s="7" t="s">
        <v>8912</v>
      </c>
      <c r="L226" s="8">
        <v>24968</v>
      </c>
      <c r="M226" s="8" t="str">
        <f t="shared" si="32"/>
        <v>PEN</v>
      </c>
      <c r="N226" s="13"/>
      <c r="O226" s="13">
        <v>66</v>
      </c>
      <c r="P226" s="3">
        <f t="shared" si="28"/>
        <v>0</v>
      </c>
      <c r="Q226" s="3">
        <f t="shared" si="29"/>
        <v>66</v>
      </c>
      <c r="R226" s="3">
        <f t="shared" si="30"/>
        <v>15.499999999999488</v>
      </c>
      <c r="S226" s="24" t="s">
        <v>1334</v>
      </c>
      <c r="T226" s="24" t="s">
        <v>1334</v>
      </c>
      <c r="U226" s="3"/>
      <c r="V226" s="25" t="s">
        <v>8006</v>
      </c>
      <c r="W226" s="25">
        <v>20552302932</v>
      </c>
      <c r="X226" s="25" t="str">
        <f>IFERROR(VLOOKUP(C_Ope_006[[#This Row],[nota_2]],Clientes_Proveedores[[Ruc / Dni]:[Razon Social]],2,0),"")</f>
        <v>PERUVIAN GROUP FREDAL S.A.C</v>
      </c>
      <c r="Y226" s="25" t="s">
        <v>8441</v>
      </c>
      <c r="Z226" s="17"/>
      <c r="AA226" s="3" t="str">
        <f>IF(C_Ope_006[[#This Row],[fecha]]&gt;0,TEXT(C_Ope_006[[#This Row],[fecha]],"mmmm"),0)</f>
        <v>Julio</v>
      </c>
      <c r="AB226" s="49"/>
    </row>
    <row r="227" spans="1:28" x14ac:dyDescent="0.3">
      <c r="A227" s="2">
        <f>IF(C_Ope_006[[#This Row],[tipo_r]]="R",COUNTIFS($C$1:$C226,"R")+1,"")</f>
        <v>226</v>
      </c>
      <c r="B227" s="19" t="str">
        <f t="shared" si="31"/>
        <v>C_Ope_006</v>
      </c>
      <c r="C227" s="3" t="s">
        <v>1330</v>
      </c>
      <c r="D227" s="14">
        <v>45859</v>
      </c>
      <c r="E227" s="5" t="s">
        <v>8786</v>
      </c>
      <c r="F227" s="5" t="s">
        <v>1336</v>
      </c>
      <c r="G227" s="6" t="s">
        <v>1009</v>
      </c>
      <c r="H227" s="6" t="s">
        <v>126</v>
      </c>
      <c r="I227" s="6"/>
      <c r="J227" s="6">
        <v>24983</v>
      </c>
      <c r="K227" s="7" t="s">
        <v>8913</v>
      </c>
      <c r="L227" s="8">
        <v>24983</v>
      </c>
      <c r="M227" s="8" t="str">
        <f t="shared" si="32"/>
        <v>PEN</v>
      </c>
      <c r="N227" s="13"/>
      <c r="O227" s="13">
        <v>12</v>
      </c>
      <c r="P227" s="3">
        <f t="shared" si="28"/>
        <v>0</v>
      </c>
      <c r="Q227" s="3">
        <f t="shared" si="29"/>
        <v>12</v>
      </c>
      <c r="R227" s="3">
        <f t="shared" si="30"/>
        <v>3.4999999999994884</v>
      </c>
      <c r="S227" s="24" t="s">
        <v>1334</v>
      </c>
      <c r="T227" s="24" t="s">
        <v>1334</v>
      </c>
      <c r="U227" s="3"/>
      <c r="V227" s="25" t="s">
        <v>8006</v>
      </c>
      <c r="W227" s="25"/>
      <c r="X227" s="25" t="str">
        <f>IFERROR(VLOOKUP(C_Ope_006[[#This Row],[nota_2]],Clientes_Proveedores[[Ruc / Dni]:[Razon Social]],2,0),"")</f>
        <v/>
      </c>
      <c r="Y227" s="25" t="s">
        <v>8430</v>
      </c>
      <c r="Z227" s="17"/>
      <c r="AA227" s="3" t="str">
        <f>IF(C_Ope_006[[#This Row],[fecha]]&gt;0,TEXT(C_Ope_006[[#This Row],[fecha]],"mmmm"),0)</f>
        <v>Julio</v>
      </c>
      <c r="AB227" s="49"/>
    </row>
    <row r="228" spans="1:28" x14ac:dyDescent="0.3">
      <c r="A228" s="2">
        <f>IF(C_Ope_006[[#This Row],[tipo_r]]="R",COUNTIFS($C$1:$C227,"R")+1,"")</f>
        <v>227</v>
      </c>
      <c r="B228" s="19" t="str">
        <f t="shared" si="31"/>
        <v>C_Ope_006</v>
      </c>
      <c r="C228" s="3" t="s">
        <v>1330</v>
      </c>
      <c r="D228" s="14">
        <v>45859</v>
      </c>
      <c r="E228" s="5" t="s">
        <v>8786</v>
      </c>
      <c r="F228" s="5" t="s">
        <v>1336</v>
      </c>
      <c r="G228" s="6" t="s">
        <v>1009</v>
      </c>
      <c r="H228" s="6" t="s">
        <v>126</v>
      </c>
      <c r="I228" s="6"/>
      <c r="J228" s="6">
        <v>24986</v>
      </c>
      <c r="K228" s="7" t="s">
        <v>8914</v>
      </c>
      <c r="L228" s="8">
        <v>24986</v>
      </c>
      <c r="M228" s="8" t="str">
        <f t="shared" si="32"/>
        <v>PEN</v>
      </c>
      <c r="N228" s="13"/>
      <c r="O228" s="13">
        <v>50</v>
      </c>
      <c r="P228" s="3">
        <f t="shared" si="28"/>
        <v>0</v>
      </c>
      <c r="Q228" s="3">
        <f t="shared" si="29"/>
        <v>50</v>
      </c>
      <c r="R228" s="3">
        <f t="shared" si="30"/>
        <v>-46.500000000000512</v>
      </c>
      <c r="S228" s="24" t="s">
        <v>1334</v>
      </c>
      <c r="T228" s="24" t="s">
        <v>1334</v>
      </c>
      <c r="U228" s="3"/>
      <c r="V228" s="25" t="s">
        <v>8006</v>
      </c>
      <c r="W228" s="25"/>
      <c r="X228" s="25" t="str">
        <f>IFERROR(VLOOKUP(C_Ope_006[[#This Row],[nota_2]],Clientes_Proveedores[[Ruc / Dni]:[Razon Social]],2,0),"")</f>
        <v/>
      </c>
      <c r="Y228" s="25" t="s">
        <v>7910</v>
      </c>
      <c r="Z228" s="17"/>
      <c r="AA228" s="3" t="str">
        <f>IF(C_Ope_006[[#This Row],[fecha]]&gt;0,TEXT(C_Ope_006[[#This Row],[fecha]],"mmmm"),0)</f>
        <v>Julio</v>
      </c>
      <c r="AB228" s="49"/>
    </row>
    <row r="229" spans="1:28" x14ac:dyDescent="0.3">
      <c r="A229" s="2">
        <f>IF(C_Ope_006[[#This Row],[tipo_r]]="R",COUNTIFS($C$1:$C228,"R")+1,"")</f>
        <v>228</v>
      </c>
      <c r="B229" s="19" t="str">
        <f t="shared" si="31"/>
        <v>C_Ope_006</v>
      </c>
      <c r="C229" s="3" t="s">
        <v>1330</v>
      </c>
      <c r="D229" s="14">
        <v>45859</v>
      </c>
      <c r="E229" s="5" t="s">
        <v>8786</v>
      </c>
      <c r="F229" s="5" t="s">
        <v>1336</v>
      </c>
      <c r="G229" s="6" t="s">
        <v>1009</v>
      </c>
      <c r="H229" s="6" t="s">
        <v>126</v>
      </c>
      <c r="I229" s="6"/>
      <c r="J229" s="6">
        <v>25092</v>
      </c>
      <c r="K229" s="7" t="s">
        <v>8915</v>
      </c>
      <c r="L229" s="8">
        <v>25092</v>
      </c>
      <c r="M229" s="8" t="str">
        <f t="shared" si="32"/>
        <v>PEN</v>
      </c>
      <c r="N229" s="13"/>
      <c r="O229" s="13">
        <v>10</v>
      </c>
      <c r="P229" s="3">
        <f t="shared" si="28"/>
        <v>0</v>
      </c>
      <c r="Q229" s="3">
        <f t="shared" si="29"/>
        <v>10</v>
      </c>
      <c r="R229" s="3">
        <f t="shared" si="30"/>
        <v>-56.500000000000512</v>
      </c>
      <c r="S229" s="24" t="s">
        <v>1334</v>
      </c>
      <c r="T229" s="24" t="s">
        <v>1334</v>
      </c>
      <c r="U229" s="3"/>
      <c r="V229" s="25" t="s">
        <v>8006</v>
      </c>
      <c r="W229" s="25"/>
      <c r="X229" s="25" t="str">
        <f>IFERROR(VLOOKUP(C_Ope_006[[#This Row],[nota_2]],Clientes_Proveedores[[Ruc / Dni]:[Razon Social]],2,0),"")</f>
        <v/>
      </c>
      <c r="Y229" s="25" t="s">
        <v>8441</v>
      </c>
      <c r="Z229" s="17"/>
      <c r="AA229" s="3" t="str">
        <f>IF(C_Ope_006[[#This Row],[fecha]]&gt;0,TEXT(C_Ope_006[[#This Row],[fecha]],"mmmm"),0)</f>
        <v>Julio</v>
      </c>
      <c r="AB229" s="49"/>
    </row>
    <row r="230" spans="1:28" ht="36" x14ac:dyDescent="0.3">
      <c r="A230" s="2">
        <f>IF(C_Ope_006[[#This Row],[tipo_r]]="R",COUNTIFS($C$1:$C229,"R")+1,"")</f>
        <v>229</v>
      </c>
      <c r="B230" s="19" t="str">
        <f t="shared" si="31"/>
        <v>C_Ope_006</v>
      </c>
      <c r="C230" s="3" t="s">
        <v>1330</v>
      </c>
      <c r="D230" s="14">
        <v>45860</v>
      </c>
      <c r="E230" s="5" t="s">
        <v>8786</v>
      </c>
      <c r="F230" s="5" t="s">
        <v>1336</v>
      </c>
      <c r="G230" s="6" t="s">
        <v>1048</v>
      </c>
      <c r="H230" s="6" t="s">
        <v>75</v>
      </c>
      <c r="I230" s="6">
        <v>1</v>
      </c>
      <c r="J230" s="6">
        <v>1018</v>
      </c>
      <c r="K230" s="7" t="s">
        <v>8916</v>
      </c>
      <c r="L230" s="8">
        <v>24993</v>
      </c>
      <c r="M230" s="8" t="str">
        <f t="shared" si="32"/>
        <v>PEN</v>
      </c>
      <c r="N230" s="13"/>
      <c r="O230" s="13">
        <v>12</v>
      </c>
      <c r="P230" s="3">
        <f t="shared" si="28"/>
        <v>0</v>
      </c>
      <c r="Q230" s="3">
        <f t="shared" si="29"/>
        <v>12</v>
      </c>
      <c r="R230" s="3">
        <f t="shared" si="30"/>
        <v>-68.500000000000512</v>
      </c>
      <c r="S230" s="24" t="s">
        <v>1334</v>
      </c>
      <c r="T230" s="24" t="s">
        <v>1334</v>
      </c>
      <c r="U230" s="3"/>
      <c r="V230" s="25" t="s">
        <v>8006</v>
      </c>
      <c r="W230" s="25">
        <v>10773806239</v>
      </c>
      <c r="X230" s="25" t="str">
        <f>IFERROR(VLOOKUP(C_Ope_006[[#This Row],[nota_2]],Clientes_Proveedores[[Ruc / Dni]:[Razon Social]],2,0),"")</f>
        <v>MENDEZ MAMANI EDUARDO VICTOR GABRIEL</v>
      </c>
      <c r="Y230" s="25" t="s">
        <v>8430</v>
      </c>
      <c r="Z230" s="17"/>
      <c r="AA230" s="3" t="str">
        <f>IF(C_Ope_006[[#This Row],[fecha]]&gt;0,TEXT(C_Ope_006[[#This Row],[fecha]],"mmmm"),0)</f>
        <v>Julio</v>
      </c>
      <c r="AB230" s="49"/>
    </row>
    <row r="231" spans="1:28" ht="24" x14ac:dyDescent="0.3">
      <c r="A231" s="2">
        <f>IF(C_Ope_006[[#This Row],[tipo_r]]="R",COUNTIFS($C$1:$C230,"R")+1,"")</f>
        <v>230</v>
      </c>
      <c r="B231" s="19" t="str">
        <f t="shared" ref="B231:B246" si="33">"C_Ope_006"</f>
        <v>C_Ope_006</v>
      </c>
      <c r="C231" s="3" t="s">
        <v>1330</v>
      </c>
      <c r="D231" s="14">
        <v>45863</v>
      </c>
      <c r="E231" s="5" t="s">
        <v>3634</v>
      </c>
      <c r="F231" s="5" t="s">
        <v>1303</v>
      </c>
      <c r="G231" s="6" t="s">
        <v>1019</v>
      </c>
      <c r="H231" s="6"/>
      <c r="I231" s="6"/>
      <c r="J231" s="6"/>
      <c r="K231" s="7" t="s">
        <v>8475</v>
      </c>
      <c r="L231" s="8">
        <v>25103</v>
      </c>
      <c r="M231" s="8" t="str">
        <f t="shared" ref="M231:M246" si="34">"PEN"</f>
        <v>PEN</v>
      </c>
      <c r="N231" s="13"/>
      <c r="O231" s="13">
        <v>200</v>
      </c>
      <c r="P231" s="3">
        <f t="shared" si="28"/>
        <v>200</v>
      </c>
      <c r="Q231" s="3">
        <f t="shared" si="29"/>
        <v>0</v>
      </c>
      <c r="R231" s="13">
        <f t="shared" si="30"/>
        <v>131.49999999999949</v>
      </c>
      <c r="S231" s="24" t="s">
        <v>1334</v>
      </c>
      <c r="T231" s="24" t="s">
        <v>1334</v>
      </c>
      <c r="U231" s="3"/>
      <c r="V231" s="25"/>
      <c r="W231" s="25"/>
      <c r="X231" s="25" t="str">
        <f>IFERROR(VLOOKUP(C_Ope_006[[#This Row],[nota_2]],Clientes_Proveedores[[Ruc / Dni]:[Razon Social]],2,0),"")</f>
        <v/>
      </c>
      <c r="Y231" s="25"/>
      <c r="Z231" s="17">
        <f>ROUND(C_Ope_006[[#This Row],[monto]]/1.18,3)</f>
        <v>169.49199999999999</v>
      </c>
      <c r="AA231" s="3" t="str">
        <f>IF(C_Ope_006[[#This Row],[fecha]]&gt;0,TEXT(C_Ope_006[[#This Row],[fecha]],"mmmm"),0)</f>
        <v>Julio</v>
      </c>
      <c r="AB231" s="49"/>
    </row>
    <row r="232" spans="1:28" x14ac:dyDescent="0.3">
      <c r="A232" s="2">
        <f>IF(C_Ope_006[[#This Row],[tipo_r]]="R",COUNTIFS($C$1:$C231,"R")+1,"")</f>
        <v>231</v>
      </c>
      <c r="B232" s="19" t="str">
        <f t="shared" si="33"/>
        <v>C_Ope_006</v>
      </c>
      <c r="C232" s="3" t="s">
        <v>1330</v>
      </c>
      <c r="D232" s="14">
        <v>45876</v>
      </c>
      <c r="E232" s="5" t="s">
        <v>8786</v>
      </c>
      <c r="F232" s="5" t="s">
        <v>1336</v>
      </c>
      <c r="G232" s="6"/>
      <c r="H232" s="6"/>
      <c r="I232" s="6"/>
      <c r="J232" s="6"/>
      <c r="K232" s="7" t="s">
        <v>8917</v>
      </c>
      <c r="L232" s="8">
        <v>25112</v>
      </c>
      <c r="M232" s="8" t="str">
        <f t="shared" si="34"/>
        <v>PEN</v>
      </c>
      <c r="N232" s="13"/>
      <c r="O232" s="13">
        <v>131.5</v>
      </c>
      <c r="P232" s="3">
        <f t="shared" si="28"/>
        <v>0</v>
      </c>
      <c r="Q232" s="3">
        <f t="shared" si="29"/>
        <v>131.5</v>
      </c>
      <c r="R232" s="3">
        <f t="shared" si="30"/>
        <v>-5.1159076974727213E-13</v>
      </c>
      <c r="S232" s="24"/>
      <c r="T232" s="24"/>
      <c r="U232" s="3"/>
      <c r="V232" s="25"/>
      <c r="W232" s="25"/>
      <c r="X232" s="25" t="str">
        <f>IFERROR(VLOOKUP(C_Ope_006[[#This Row],[nota_2]],Clientes_Proveedores[[Ruc / Dni]:[Razon Social]],2,0),"")</f>
        <v/>
      </c>
      <c r="Y232" s="25"/>
      <c r="Z232" s="17"/>
      <c r="AA232" s="3" t="str">
        <f>IF(C_Ope_006[[#This Row],[fecha]]&gt;0,TEXT(C_Ope_006[[#This Row],[fecha]],"mmmm"),0)</f>
        <v>Agosto</v>
      </c>
      <c r="AB232" s="49"/>
    </row>
    <row r="233" spans="1:28" ht="24" x14ac:dyDescent="0.3">
      <c r="A233" s="2">
        <f>IF(C_Ope_006[[#This Row],[tipo_r]]="R",COUNTIFS($C$1:$C232,"R")+1,"")</f>
        <v>232</v>
      </c>
      <c r="B233" s="19" t="str">
        <f t="shared" si="33"/>
        <v>C_Ope_006</v>
      </c>
      <c r="C233" s="3" t="s">
        <v>1330</v>
      </c>
      <c r="D233" s="14">
        <v>45889</v>
      </c>
      <c r="E233" s="5" t="s">
        <v>3634</v>
      </c>
      <c r="F233" s="5" t="s">
        <v>1303</v>
      </c>
      <c r="G233" s="6" t="s">
        <v>1097</v>
      </c>
      <c r="H233" s="6"/>
      <c r="I233" s="6"/>
      <c r="J233" s="6"/>
      <c r="K233" s="7" t="s">
        <v>8475</v>
      </c>
      <c r="L233" s="8">
        <v>25606</v>
      </c>
      <c r="M233" s="8" t="str">
        <f t="shared" si="34"/>
        <v>PEN</v>
      </c>
      <c r="N233" s="13"/>
      <c r="O233" s="13">
        <v>150</v>
      </c>
      <c r="P233" s="3">
        <f t="shared" si="28"/>
        <v>150</v>
      </c>
      <c r="Q233" s="3">
        <f t="shared" si="29"/>
        <v>0</v>
      </c>
      <c r="R233" s="3">
        <f t="shared" si="30"/>
        <v>149.99999999999949</v>
      </c>
      <c r="S233" s="24" t="s">
        <v>1334</v>
      </c>
      <c r="T233" s="24" t="s">
        <v>1334</v>
      </c>
      <c r="U233" s="3"/>
      <c r="V233" s="25"/>
      <c r="W233" s="25"/>
      <c r="X233" s="25" t="str">
        <f>IFERROR(VLOOKUP(C_Ope_006[[#This Row],[nota_2]],Clientes_Proveedores[[Ruc / Dni]:[Razon Social]],2,0),"")</f>
        <v/>
      </c>
      <c r="Y233" s="25"/>
      <c r="Z233" s="17">
        <f>ROUND(C_Ope_006[[#This Row],[monto]]/1.18,3)</f>
        <v>127.119</v>
      </c>
      <c r="AA233" s="3" t="str">
        <f>IF(C_Ope_006[[#This Row],[fecha]]&gt;0,TEXT(C_Ope_006[[#This Row],[fecha]],"mmmm"),0)</f>
        <v>Agosto</v>
      </c>
      <c r="AB233" s="49"/>
    </row>
    <row r="234" spans="1:28" ht="36" x14ac:dyDescent="0.3">
      <c r="A234" s="2">
        <f>IF(C_Ope_006[[#This Row],[tipo_r]]="R",COUNTIFS($C$1:$C233,"R")+1,"")</f>
        <v>233</v>
      </c>
      <c r="B234" s="19" t="str">
        <f t="shared" si="33"/>
        <v>C_Ope_006</v>
      </c>
      <c r="C234" s="3" t="s">
        <v>1330</v>
      </c>
      <c r="D234" s="14">
        <v>45898</v>
      </c>
      <c r="E234" s="5" t="s">
        <v>8918</v>
      </c>
      <c r="F234" s="5" t="s">
        <v>1336</v>
      </c>
      <c r="G234" s="6" t="s">
        <v>227</v>
      </c>
      <c r="H234" s="6" t="s">
        <v>68</v>
      </c>
      <c r="I234" s="6" t="s">
        <v>1390</v>
      </c>
      <c r="J234" s="6">
        <v>136227</v>
      </c>
      <c r="K234" s="7" t="s">
        <v>8919</v>
      </c>
      <c r="L234" s="8">
        <v>25321</v>
      </c>
      <c r="M234" s="8" t="str">
        <f t="shared" si="34"/>
        <v>PEN</v>
      </c>
      <c r="N234" s="13"/>
      <c r="O234" s="13">
        <v>5</v>
      </c>
      <c r="P234" s="3">
        <f t="shared" si="28"/>
        <v>0</v>
      </c>
      <c r="Q234" s="3">
        <f t="shared" si="29"/>
        <v>5</v>
      </c>
      <c r="R234" s="3">
        <f t="shared" si="30"/>
        <v>144.99999999999949</v>
      </c>
      <c r="S234" s="24" t="s">
        <v>1334</v>
      </c>
      <c r="T234" s="24"/>
      <c r="U234" s="3"/>
      <c r="V234" s="25" t="s">
        <v>7754</v>
      </c>
      <c r="W234" s="25">
        <v>20124952850</v>
      </c>
      <c r="X234" s="25" t="str">
        <f>IFERROR(VLOOKUP(C_Ope_006[[#This Row],[nota_2]],Clientes_Proveedores[[Ruc / Dni]:[Razon Social]],2,0),"")</f>
        <v>ALIMENTOS Y SERVICIOS AGROPECUARIOS SRL.</v>
      </c>
      <c r="Y234" s="25" t="s">
        <v>5933</v>
      </c>
      <c r="Z234" s="17"/>
      <c r="AA234" s="3" t="str">
        <f>IF(C_Ope_006[[#This Row],[fecha]]&gt;0,TEXT(C_Ope_006[[#This Row],[fecha]],"mmmm"),0)</f>
        <v>Agosto</v>
      </c>
      <c r="AB234" s="49"/>
    </row>
    <row r="235" spans="1:28" ht="36" x14ac:dyDescent="0.3">
      <c r="A235" s="2">
        <f>IF(C_Ope_006[[#This Row],[tipo_r]]="R",COUNTIFS($C$1:$C234,"R")+1,"")</f>
        <v>234</v>
      </c>
      <c r="B235" s="19" t="str">
        <f t="shared" si="33"/>
        <v>C_Ope_006</v>
      </c>
      <c r="C235" s="3" t="s">
        <v>1330</v>
      </c>
      <c r="D235" s="14">
        <v>45898</v>
      </c>
      <c r="E235" s="5" t="s">
        <v>8918</v>
      </c>
      <c r="F235" s="5" t="s">
        <v>1336</v>
      </c>
      <c r="G235" s="6" t="s">
        <v>227</v>
      </c>
      <c r="H235" s="6" t="s">
        <v>68</v>
      </c>
      <c r="I235" s="6" t="s">
        <v>1390</v>
      </c>
      <c r="J235" s="6">
        <v>136235</v>
      </c>
      <c r="K235" s="7" t="s">
        <v>8919</v>
      </c>
      <c r="L235" s="8">
        <v>25322</v>
      </c>
      <c r="M235" s="8" t="str">
        <f t="shared" si="34"/>
        <v>PEN</v>
      </c>
      <c r="N235" s="13"/>
      <c r="O235" s="13">
        <v>5</v>
      </c>
      <c r="P235" s="3">
        <f t="shared" si="28"/>
        <v>0</v>
      </c>
      <c r="Q235" s="3">
        <f t="shared" si="29"/>
        <v>5</v>
      </c>
      <c r="R235" s="3">
        <f t="shared" si="30"/>
        <v>139.99999999999949</v>
      </c>
      <c r="S235" s="24" t="s">
        <v>1334</v>
      </c>
      <c r="T235" s="24"/>
      <c r="U235" s="3"/>
      <c r="V235" s="25" t="s">
        <v>7754</v>
      </c>
      <c r="W235" s="25">
        <v>20124952850</v>
      </c>
      <c r="X235" s="25" t="str">
        <f>IFERROR(VLOOKUP(C_Ope_006[[#This Row],[nota_2]],Clientes_Proveedores[[Ruc / Dni]:[Razon Social]],2,0),"")</f>
        <v>ALIMENTOS Y SERVICIOS AGROPECUARIOS SRL.</v>
      </c>
      <c r="Y235" s="25" t="s">
        <v>5933</v>
      </c>
      <c r="Z235" s="17"/>
      <c r="AA235" s="3" t="str">
        <f>IF(C_Ope_006[[#This Row],[fecha]]&gt;0,TEXT(C_Ope_006[[#This Row],[fecha]],"mmmm"),0)</f>
        <v>Agosto</v>
      </c>
      <c r="AB235" s="49"/>
    </row>
    <row r="236" spans="1:28" x14ac:dyDescent="0.3">
      <c r="A236" s="2">
        <f>IF(C_Ope_006[[#This Row],[tipo_r]]="R",COUNTIFS($C$1:$C235,"R")+1,"")</f>
        <v>235</v>
      </c>
      <c r="B236" s="19" t="str">
        <f t="shared" si="33"/>
        <v>C_Ope_006</v>
      </c>
      <c r="C236" s="3" t="s">
        <v>1330</v>
      </c>
      <c r="D236" s="14">
        <v>45901</v>
      </c>
      <c r="E236" s="5" t="s">
        <v>8918</v>
      </c>
      <c r="F236" s="5" t="s">
        <v>1336</v>
      </c>
      <c r="G236" s="6" t="s">
        <v>978</v>
      </c>
      <c r="H236" s="6" t="s">
        <v>68</v>
      </c>
      <c r="I236" s="6" t="s">
        <v>6203</v>
      </c>
      <c r="J236" s="6">
        <v>2164301</v>
      </c>
      <c r="K236" s="7" t="s">
        <v>8920</v>
      </c>
      <c r="L236" s="8">
        <v>25340</v>
      </c>
      <c r="M236" s="8" t="str">
        <f t="shared" si="34"/>
        <v>PEN</v>
      </c>
      <c r="N236" s="13"/>
      <c r="O236" s="13">
        <v>8</v>
      </c>
      <c r="P236" s="3">
        <f t="shared" si="28"/>
        <v>0</v>
      </c>
      <c r="Q236" s="3">
        <f t="shared" si="29"/>
        <v>8</v>
      </c>
      <c r="R236" s="3">
        <f t="shared" si="30"/>
        <v>131.99999999999949</v>
      </c>
      <c r="S236" s="24" t="s">
        <v>1334</v>
      </c>
      <c r="T236" s="24"/>
      <c r="U236" s="3"/>
      <c r="V236" s="25" t="s">
        <v>7761</v>
      </c>
      <c r="W236" s="25">
        <v>20517252558</v>
      </c>
      <c r="X236" s="25" t="str">
        <f>IFERROR(VLOOKUP(C_Ope_006[[#This Row],[nota_2]],Clientes_Proveedores[[Ruc / Dni]:[Razon Social]],2,0),"")</f>
        <v>COVISUR S.A.</v>
      </c>
      <c r="Y236" s="25" t="s">
        <v>7888</v>
      </c>
      <c r="Z236" s="17"/>
      <c r="AA236" s="3" t="str">
        <f>IF(C_Ope_006[[#This Row],[fecha]]&gt;0,TEXT(C_Ope_006[[#This Row],[fecha]],"mmmm"),0)</f>
        <v>Setiembre</v>
      </c>
      <c r="AB236" s="49"/>
    </row>
    <row r="237" spans="1:28" ht="24" x14ac:dyDescent="0.3">
      <c r="A237" s="2">
        <f>IF(C_Ope_006[[#This Row],[tipo_r]]="R",COUNTIFS($C$1:$C236,"R")+1,"")</f>
        <v>236</v>
      </c>
      <c r="B237" s="19" t="str">
        <f t="shared" si="33"/>
        <v>C_Ope_006</v>
      </c>
      <c r="C237" s="3" t="s">
        <v>1330</v>
      </c>
      <c r="D237" s="14">
        <v>45901</v>
      </c>
      <c r="E237" s="5" t="s">
        <v>8918</v>
      </c>
      <c r="F237" s="5" t="s">
        <v>1336</v>
      </c>
      <c r="G237" s="6" t="s">
        <v>978</v>
      </c>
      <c r="H237" s="6" t="s">
        <v>68</v>
      </c>
      <c r="I237" s="6" t="s">
        <v>6204</v>
      </c>
      <c r="J237" s="6">
        <v>1828179</v>
      </c>
      <c r="K237" s="7" t="s">
        <v>8921</v>
      </c>
      <c r="L237" s="8">
        <v>25341</v>
      </c>
      <c r="M237" s="8" t="str">
        <f t="shared" si="34"/>
        <v>PEN</v>
      </c>
      <c r="N237" s="13"/>
      <c r="O237" s="13">
        <v>8</v>
      </c>
      <c r="P237" s="3">
        <f t="shared" si="28"/>
        <v>0</v>
      </c>
      <c r="Q237" s="3">
        <f t="shared" si="29"/>
        <v>8</v>
      </c>
      <c r="R237" s="3">
        <f t="shared" si="30"/>
        <v>123.99999999999949</v>
      </c>
      <c r="S237" s="24" t="s">
        <v>1334</v>
      </c>
      <c r="T237" s="24"/>
      <c r="U237" s="3"/>
      <c r="V237" s="25" t="s">
        <v>7761</v>
      </c>
      <c r="W237" s="25">
        <v>20517252558</v>
      </c>
      <c r="X237" s="25" t="str">
        <f>IFERROR(VLOOKUP(C_Ope_006[[#This Row],[nota_2]],Clientes_Proveedores[[Ruc / Dni]:[Razon Social]],2,0),"")</f>
        <v>COVISUR S.A.</v>
      </c>
      <c r="Y237" s="25" t="s">
        <v>7888</v>
      </c>
      <c r="Z237" s="17"/>
      <c r="AA237" s="3" t="str">
        <f>IF(C_Ope_006[[#This Row],[fecha]]&gt;0,TEXT(C_Ope_006[[#This Row],[fecha]],"mmmm"),0)</f>
        <v>Setiembre</v>
      </c>
      <c r="AB237" s="49"/>
    </row>
    <row r="238" spans="1:28" ht="36" x14ac:dyDescent="0.3">
      <c r="A238" s="2">
        <f>IF(C_Ope_006[[#This Row],[tipo_r]]="R",COUNTIFS($C$1:$C237,"R")+1,"")</f>
        <v>237</v>
      </c>
      <c r="B238" s="19" t="str">
        <f t="shared" si="33"/>
        <v>C_Ope_006</v>
      </c>
      <c r="C238" s="3" t="s">
        <v>1330</v>
      </c>
      <c r="D238" s="14">
        <v>45901</v>
      </c>
      <c r="E238" s="5" t="s">
        <v>8918</v>
      </c>
      <c r="F238" s="5" t="s">
        <v>1336</v>
      </c>
      <c r="G238" s="6" t="s">
        <v>682</v>
      </c>
      <c r="H238" s="6" t="s">
        <v>68</v>
      </c>
      <c r="I238" s="6" t="s">
        <v>1353</v>
      </c>
      <c r="J238" s="6">
        <v>17561</v>
      </c>
      <c r="K238" s="7" t="s">
        <v>8922</v>
      </c>
      <c r="L238" s="8">
        <v>25342</v>
      </c>
      <c r="M238" s="8" t="str">
        <f t="shared" si="34"/>
        <v>PEN</v>
      </c>
      <c r="N238" s="13"/>
      <c r="O238" s="13">
        <v>20</v>
      </c>
      <c r="P238" s="3">
        <f t="shared" si="28"/>
        <v>0</v>
      </c>
      <c r="Q238" s="3">
        <f t="shared" si="29"/>
        <v>20</v>
      </c>
      <c r="R238" s="3">
        <f t="shared" si="30"/>
        <v>103.99999999999949</v>
      </c>
      <c r="S238" s="24" t="s">
        <v>1334</v>
      </c>
      <c r="T238" s="24"/>
      <c r="U238" s="3"/>
      <c r="V238" s="25" t="s">
        <v>7761</v>
      </c>
      <c r="W238" s="25">
        <v>20259858934</v>
      </c>
      <c r="X238" s="25" t="str">
        <f>IFERROR(VLOOKUP(C_Ope_006[[#This Row],[nota_2]],Clientes_Proveedores[[Ruc / Dni]:[Razon Social]],2,0),"")</f>
        <v>COMERCIALIZACION Y SERVICIOS EL EDEN S.A.C.</v>
      </c>
      <c r="Y238" s="25" t="s">
        <v>5933</v>
      </c>
      <c r="Z238" s="17"/>
      <c r="AA238" s="3" t="str">
        <f>IF(C_Ope_006[[#This Row],[fecha]]&gt;0,TEXT(C_Ope_006[[#This Row],[fecha]],"mmmm"),0)</f>
        <v>Setiembre</v>
      </c>
      <c r="AB238" s="49"/>
    </row>
    <row r="239" spans="1:28" ht="24" x14ac:dyDescent="0.3">
      <c r="A239" s="2">
        <f>IF(C_Ope_006[[#This Row],[tipo_r]]="R",COUNTIFS($C$1:$C238,"R")+1,"")</f>
        <v>238</v>
      </c>
      <c r="B239" s="19" t="str">
        <f t="shared" si="33"/>
        <v>C_Ope_006</v>
      </c>
      <c r="C239" s="3" t="s">
        <v>1330</v>
      </c>
      <c r="D239" s="14">
        <v>45903</v>
      </c>
      <c r="E239" s="5" t="s">
        <v>8918</v>
      </c>
      <c r="F239" s="5" t="s">
        <v>1336</v>
      </c>
      <c r="G239" s="6" t="s">
        <v>978</v>
      </c>
      <c r="H239" s="6" t="s">
        <v>68</v>
      </c>
      <c r="I239" s="6" t="s">
        <v>6204</v>
      </c>
      <c r="J239" s="6">
        <v>1830320</v>
      </c>
      <c r="K239" s="7" t="s">
        <v>8923</v>
      </c>
      <c r="L239" s="8">
        <v>25367</v>
      </c>
      <c r="M239" s="8" t="str">
        <f t="shared" si="34"/>
        <v>PEN</v>
      </c>
      <c r="N239" s="13"/>
      <c r="O239" s="13">
        <v>8</v>
      </c>
      <c r="P239" s="3">
        <f t="shared" si="28"/>
        <v>0</v>
      </c>
      <c r="Q239" s="3">
        <f t="shared" si="29"/>
        <v>8</v>
      </c>
      <c r="R239" s="3">
        <f t="shared" si="30"/>
        <v>95.999999999999488</v>
      </c>
      <c r="S239" s="24" t="s">
        <v>1334</v>
      </c>
      <c r="T239" s="24"/>
      <c r="U239" s="3"/>
      <c r="V239" s="25" t="s">
        <v>7761</v>
      </c>
      <c r="W239" s="25">
        <v>20517252558</v>
      </c>
      <c r="X239" s="25" t="str">
        <f>IFERROR(VLOOKUP(C_Ope_006[[#This Row],[nota_2]],Clientes_Proveedores[[Ruc / Dni]:[Razon Social]],2,0),"")</f>
        <v>COVISUR S.A.</v>
      </c>
      <c r="Y239" s="25" t="s">
        <v>7888</v>
      </c>
      <c r="Z239" s="17"/>
      <c r="AA239" s="3" t="str">
        <f>IF(C_Ope_006[[#This Row],[fecha]]&gt;0,TEXT(C_Ope_006[[#This Row],[fecha]],"mmmm"),0)</f>
        <v>Setiembre</v>
      </c>
      <c r="AB239" s="49"/>
    </row>
    <row r="240" spans="1:28" ht="24" x14ac:dyDescent="0.3">
      <c r="A240" s="2">
        <f>IF(C_Ope_006[[#This Row],[tipo_r]]="R",COUNTIFS($C$1:$C239,"R")+1,"")</f>
        <v>239</v>
      </c>
      <c r="B240" s="19" t="str">
        <f t="shared" si="33"/>
        <v>C_Ope_006</v>
      </c>
      <c r="C240" s="3" t="s">
        <v>1330</v>
      </c>
      <c r="D240" s="14">
        <v>45903</v>
      </c>
      <c r="E240" s="5" t="s">
        <v>8918</v>
      </c>
      <c r="F240" s="5" t="s">
        <v>1336</v>
      </c>
      <c r="G240" s="6" t="s">
        <v>978</v>
      </c>
      <c r="H240" s="6" t="s">
        <v>68</v>
      </c>
      <c r="I240" s="6" t="s">
        <v>5845</v>
      </c>
      <c r="J240" s="6">
        <v>1851483</v>
      </c>
      <c r="K240" s="7" t="s">
        <v>8923</v>
      </c>
      <c r="L240" s="8">
        <v>25369</v>
      </c>
      <c r="M240" s="8" t="str">
        <f t="shared" si="34"/>
        <v>PEN</v>
      </c>
      <c r="N240" s="13"/>
      <c r="O240" s="13">
        <v>8</v>
      </c>
      <c r="P240" s="3">
        <f t="shared" si="28"/>
        <v>0</v>
      </c>
      <c r="Q240" s="3">
        <f t="shared" si="29"/>
        <v>8</v>
      </c>
      <c r="R240" s="3">
        <f t="shared" si="30"/>
        <v>87.999999999999488</v>
      </c>
      <c r="S240" s="24" t="s">
        <v>1334</v>
      </c>
      <c r="T240" s="24"/>
      <c r="U240" s="3"/>
      <c r="V240" s="25" t="s">
        <v>7761</v>
      </c>
      <c r="W240" s="25">
        <v>20517252558</v>
      </c>
      <c r="X240" s="25" t="str">
        <f>IFERROR(VLOOKUP(C_Ope_006[[#This Row],[nota_2]],Clientes_Proveedores[[Ruc / Dni]:[Razon Social]],2,0),"")</f>
        <v>COVISUR S.A.</v>
      </c>
      <c r="Y240" s="25" t="s">
        <v>7888</v>
      </c>
      <c r="Z240" s="17"/>
      <c r="AA240" s="3" t="str">
        <f>IF(C_Ope_006[[#This Row],[fecha]]&gt;0,TEXT(C_Ope_006[[#This Row],[fecha]],"mmmm"),0)</f>
        <v>Setiembre</v>
      </c>
      <c r="AB240" s="49"/>
    </row>
    <row r="241" spans="1:28" ht="24" x14ac:dyDescent="0.3">
      <c r="A241" s="2">
        <f>IF(C_Ope_006[[#This Row],[tipo_r]]="R",COUNTIFS($C$1:$C240,"R")+1,"")</f>
        <v>240</v>
      </c>
      <c r="B241" s="19" t="str">
        <f t="shared" si="33"/>
        <v>C_Ope_006</v>
      </c>
      <c r="C241" s="3" t="s">
        <v>1330</v>
      </c>
      <c r="D241" s="14">
        <v>45903</v>
      </c>
      <c r="E241" s="5" t="s">
        <v>8918</v>
      </c>
      <c r="F241" s="5" t="s">
        <v>1336</v>
      </c>
      <c r="G241" s="6" t="s">
        <v>999</v>
      </c>
      <c r="H241" s="6" t="s">
        <v>68</v>
      </c>
      <c r="I241" s="6" t="s">
        <v>1374</v>
      </c>
      <c r="J241" s="6">
        <v>19583</v>
      </c>
      <c r="K241" s="7" t="s">
        <v>8924</v>
      </c>
      <c r="L241" s="8">
        <v>25370</v>
      </c>
      <c r="M241" s="8" t="str">
        <f t="shared" si="34"/>
        <v>PEN</v>
      </c>
      <c r="N241" s="13"/>
      <c r="O241" s="13">
        <v>25</v>
      </c>
      <c r="P241" s="3">
        <f t="shared" si="28"/>
        <v>0</v>
      </c>
      <c r="Q241" s="3">
        <f t="shared" si="29"/>
        <v>25</v>
      </c>
      <c r="R241" s="3">
        <f t="shared" si="30"/>
        <v>62.999999999999488</v>
      </c>
      <c r="S241" s="24" t="s">
        <v>1334</v>
      </c>
      <c r="T241" s="24"/>
      <c r="U241" s="3"/>
      <c r="V241" s="25" t="s">
        <v>7761</v>
      </c>
      <c r="W241" s="25">
        <v>10705628331</v>
      </c>
      <c r="X241" s="25" t="str">
        <f>IFERROR(VLOOKUP(C_Ope_006[[#This Row],[nota_2]],Clientes_Proveedores[[Ruc / Dni]:[Razon Social]],2,0),"")</f>
        <v>LARICO APAZA NANCY ROSSMARY</v>
      </c>
      <c r="Y241" s="25" t="s">
        <v>7938</v>
      </c>
      <c r="Z241" s="17"/>
      <c r="AA241" s="3" t="str">
        <f>IF(C_Ope_006[[#This Row],[fecha]]&gt;0,TEXT(C_Ope_006[[#This Row],[fecha]],"mmmm"),0)</f>
        <v>Setiembre</v>
      </c>
      <c r="AB241" s="49"/>
    </row>
    <row r="242" spans="1:28" ht="24" x14ac:dyDescent="0.3">
      <c r="A242" s="2">
        <f>IF(C_Ope_006[[#This Row],[tipo_r]]="R",COUNTIFS($C$1:$C241,"R")+1,"")</f>
        <v>241</v>
      </c>
      <c r="B242" s="19" t="str">
        <f t="shared" si="33"/>
        <v>C_Ope_006</v>
      </c>
      <c r="C242" s="3" t="s">
        <v>1330</v>
      </c>
      <c r="D242" s="14">
        <v>45904</v>
      </c>
      <c r="E242" s="5" t="s">
        <v>8918</v>
      </c>
      <c r="F242" s="5" t="s">
        <v>1336</v>
      </c>
      <c r="G242" s="6" t="s">
        <v>978</v>
      </c>
      <c r="H242" s="6" t="s">
        <v>68</v>
      </c>
      <c r="I242" s="6" t="s">
        <v>6204</v>
      </c>
      <c r="J242" s="6">
        <v>1831329</v>
      </c>
      <c r="K242" s="7" t="s">
        <v>8925</v>
      </c>
      <c r="L242" s="8">
        <v>25384</v>
      </c>
      <c r="M242" s="8" t="str">
        <f t="shared" si="34"/>
        <v>PEN</v>
      </c>
      <c r="N242" s="13"/>
      <c r="O242" s="13">
        <v>8</v>
      </c>
      <c r="P242" s="3">
        <f t="shared" si="28"/>
        <v>0</v>
      </c>
      <c r="Q242" s="3">
        <f t="shared" si="29"/>
        <v>8</v>
      </c>
      <c r="R242" s="3">
        <f t="shared" si="30"/>
        <v>54.999999999999488</v>
      </c>
      <c r="S242" s="24" t="s">
        <v>1334</v>
      </c>
      <c r="T242" s="24"/>
      <c r="U242" s="3"/>
      <c r="V242" s="25" t="s">
        <v>7761</v>
      </c>
      <c r="W242" s="25">
        <v>20517252558</v>
      </c>
      <c r="X242" s="25" t="str">
        <f>IFERROR(VLOOKUP(C_Ope_006[[#This Row],[nota_2]],Clientes_Proveedores[[Ruc / Dni]:[Razon Social]],2,0),"")</f>
        <v>COVISUR S.A.</v>
      </c>
      <c r="Y242" s="25" t="s">
        <v>7888</v>
      </c>
      <c r="Z242" s="17"/>
      <c r="AA242" s="3" t="str">
        <f>IF(C_Ope_006[[#This Row],[fecha]]&gt;0,TEXT(C_Ope_006[[#This Row],[fecha]],"mmmm"),0)</f>
        <v>Setiembre</v>
      </c>
      <c r="AB242" s="49"/>
    </row>
    <row r="243" spans="1:28" ht="24" x14ac:dyDescent="0.3">
      <c r="A243" s="2">
        <f>IF(C_Ope_006[[#This Row],[tipo_r]]="R",COUNTIFS($C$1:$C242,"R")+1,"")</f>
        <v>242</v>
      </c>
      <c r="B243" s="19" t="str">
        <f t="shared" si="33"/>
        <v>C_Ope_006</v>
      </c>
      <c r="C243" s="3" t="s">
        <v>1330</v>
      </c>
      <c r="D243" s="14">
        <v>45904</v>
      </c>
      <c r="E243" s="5" t="s">
        <v>8918</v>
      </c>
      <c r="F243" s="5" t="s">
        <v>1336</v>
      </c>
      <c r="G243" s="6" t="s">
        <v>978</v>
      </c>
      <c r="H243" s="6" t="s">
        <v>68</v>
      </c>
      <c r="I243" s="6" t="s">
        <v>5845</v>
      </c>
      <c r="J243" s="6">
        <v>1852479</v>
      </c>
      <c r="K243" s="7" t="s">
        <v>8925</v>
      </c>
      <c r="L243" s="8">
        <v>25385</v>
      </c>
      <c r="M243" s="8" t="str">
        <f t="shared" si="34"/>
        <v>PEN</v>
      </c>
      <c r="N243" s="13"/>
      <c r="O243" s="13">
        <v>8</v>
      </c>
      <c r="P243" s="3">
        <f t="shared" si="28"/>
        <v>0</v>
      </c>
      <c r="Q243" s="3">
        <f t="shared" si="29"/>
        <v>8</v>
      </c>
      <c r="R243" s="3">
        <f t="shared" si="30"/>
        <v>46.999999999999488</v>
      </c>
      <c r="S243" s="24" t="s">
        <v>1334</v>
      </c>
      <c r="T243" s="24"/>
      <c r="U243" s="3"/>
      <c r="V243" s="25" t="s">
        <v>7761</v>
      </c>
      <c r="W243" s="25">
        <v>20517252558</v>
      </c>
      <c r="X243" s="25" t="str">
        <f>IFERROR(VLOOKUP(C_Ope_006[[#This Row],[nota_2]],Clientes_Proveedores[[Ruc / Dni]:[Razon Social]],2,0),"")</f>
        <v>COVISUR S.A.</v>
      </c>
      <c r="Y243" s="25" t="s">
        <v>7888</v>
      </c>
      <c r="Z243" s="17"/>
      <c r="AA243" s="3" t="str">
        <f>IF(C_Ope_006[[#This Row],[fecha]]&gt;0,TEXT(C_Ope_006[[#This Row],[fecha]],"mmmm"),0)</f>
        <v>Setiembre</v>
      </c>
      <c r="AB243" s="49"/>
    </row>
    <row r="244" spans="1:28" ht="36" x14ac:dyDescent="0.3">
      <c r="A244" s="2">
        <f>IF(C_Ope_006[[#This Row],[tipo_r]]="R",COUNTIFS($C$1:$C243,"R")+1,"")</f>
        <v>243</v>
      </c>
      <c r="B244" s="19" t="str">
        <f t="shared" si="33"/>
        <v>C_Ope_006</v>
      </c>
      <c r="C244" s="3" t="s">
        <v>1330</v>
      </c>
      <c r="D244" s="14">
        <v>45905</v>
      </c>
      <c r="E244" s="5" t="s">
        <v>8918</v>
      </c>
      <c r="F244" s="5" t="s">
        <v>1336</v>
      </c>
      <c r="G244" s="6" t="s">
        <v>227</v>
      </c>
      <c r="H244" s="6" t="s">
        <v>68</v>
      </c>
      <c r="I244" s="6" t="s">
        <v>1390</v>
      </c>
      <c r="J244" s="6">
        <v>136554</v>
      </c>
      <c r="K244" s="7" t="s">
        <v>8926</v>
      </c>
      <c r="L244" s="8">
        <v>25412</v>
      </c>
      <c r="M244" s="8" t="str">
        <f t="shared" si="34"/>
        <v>PEN</v>
      </c>
      <c r="N244" s="13"/>
      <c r="O244" s="13">
        <v>10</v>
      </c>
      <c r="P244" s="3">
        <f t="shared" si="28"/>
        <v>0</v>
      </c>
      <c r="Q244" s="3">
        <f t="shared" si="29"/>
        <v>10</v>
      </c>
      <c r="R244" s="3">
        <f t="shared" si="30"/>
        <v>36.999999999999488</v>
      </c>
      <c r="S244" s="24" t="s">
        <v>1334</v>
      </c>
      <c r="T244" s="24"/>
      <c r="U244" s="3"/>
      <c r="V244" s="25" t="s">
        <v>7761</v>
      </c>
      <c r="W244" s="25">
        <v>20124952850</v>
      </c>
      <c r="X244" s="25" t="str">
        <f>IFERROR(VLOOKUP(C_Ope_006[[#This Row],[nota_2]],Clientes_Proveedores[[Ruc / Dni]:[Razon Social]],2,0),"")</f>
        <v>ALIMENTOS Y SERVICIOS AGROPECUARIOS SRL.</v>
      </c>
      <c r="Y244" s="25" t="s">
        <v>5933</v>
      </c>
      <c r="Z244" s="17"/>
      <c r="AA244" s="3" t="str">
        <f>IF(C_Ope_006[[#This Row],[fecha]]&gt;0,TEXT(C_Ope_006[[#This Row],[fecha]],"mmmm"),0)</f>
        <v>Setiembre</v>
      </c>
      <c r="AB244" s="49"/>
    </row>
    <row r="245" spans="1:28" ht="24" x14ac:dyDescent="0.3">
      <c r="A245" s="2">
        <f>IF(C_Ope_006[[#This Row],[tipo_r]]="R",COUNTIFS($C$1:$C244,"R")+1,"")</f>
        <v>244</v>
      </c>
      <c r="B245" s="19" t="str">
        <f t="shared" si="33"/>
        <v>C_Ope_006</v>
      </c>
      <c r="C245" s="3" t="s">
        <v>1330</v>
      </c>
      <c r="D245" s="14">
        <v>45905</v>
      </c>
      <c r="E245" s="5" t="s">
        <v>8918</v>
      </c>
      <c r="F245" s="5" t="s">
        <v>1336</v>
      </c>
      <c r="G245" s="6" t="s">
        <v>998</v>
      </c>
      <c r="H245" s="6" t="s">
        <v>68</v>
      </c>
      <c r="I245" s="6" t="s">
        <v>6378</v>
      </c>
      <c r="J245" s="6">
        <v>2528</v>
      </c>
      <c r="K245" s="7" t="s">
        <v>8927</v>
      </c>
      <c r="L245" s="8">
        <v>25414</v>
      </c>
      <c r="M245" s="8" t="str">
        <f t="shared" si="34"/>
        <v>PEN</v>
      </c>
      <c r="N245" s="13"/>
      <c r="O245" s="13">
        <v>10</v>
      </c>
      <c r="P245" s="3">
        <f t="shared" si="28"/>
        <v>0</v>
      </c>
      <c r="Q245" s="3">
        <f t="shared" si="29"/>
        <v>10</v>
      </c>
      <c r="R245" s="3">
        <f t="shared" si="30"/>
        <v>26.999999999999488</v>
      </c>
      <c r="S245" s="24" t="s">
        <v>1334</v>
      </c>
      <c r="T245" s="24"/>
      <c r="U245" s="3"/>
      <c r="V245" s="25" t="s">
        <v>7761</v>
      </c>
      <c r="W245" s="25">
        <v>20612112500</v>
      </c>
      <c r="X245" s="25" t="str">
        <f>IFERROR(VLOOKUP(C_Ope_006[[#This Row],[nota_2]],Clientes_Proveedores[[Ruc / Dni]:[Razon Social]],2,0),"")</f>
        <v>RECICLADORA LAS LOMAS E.I.R.L.</v>
      </c>
      <c r="Y245" s="25" t="s">
        <v>5933</v>
      </c>
      <c r="Z245" s="17"/>
      <c r="AA245" s="3" t="str">
        <f>IF(C_Ope_006[[#This Row],[fecha]]&gt;0,TEXT(C_Ope_006[[#This Row],[fecha]],"mmmm"),0)</f>
        <v>Setiembre</v>
      </c>
      <c r="AB245" s="49"/>
    </row>
    <row r="246" spans="1:28" ht="24" x14ac:dyDescent="0.3">
      <c r="A246" s="2">
        <f>IF(C_Ope_006[[#This Row],[tipo_r]]="R",COUNTIFS($C$1:$C245,"R")+1,"")</f>
        <v>245</v>
      </c>
      <c r="B246" s="19" t="str">
        <f t="shared" si="33"/>
        <v>C_Ope_006</v>
      </c>
      <c r="C246" s="3" t="s">
        <v>1330</v>
      </c>
      <c r="D246" s="14">
        <v>45908</v>
      </c>
      <c r="E246" s="5" t="s">
        <v>3634</v>
      </c>
      <c r="F246" s="5" t="s">
        <v>1303</v>
      </c>
      <c r="G246" s="6" t="s">
        <v>1097</v>
      </c>
      <c r="H246" s="6"/>
      <c r="I246" s="6"/>
      <c r="J246" s="6"/>
      <c r="K246" s="7" t="s">
        <v>8475</v>
      </c>
      <c r="L246" s="8">
        <v>25431</v>
      </c>
      <c r="M246" s="8" t="str">
        <f t="shared" si="34"/>
        <v>PEN</v>
      </c>
      <c r="N246" s="13"/>
      <c r="O246" s="13">
        <v>150</v>
      </c>
      <c r="P246" s="3">
        <f t="shared" si="28"/>
        <v>150</v>
      </c>
      <c r="Q246" s="3">
        <f t="shared" si="29"/>
        <v>0</v>
      </c>
      <c r="R246" s="3">
        <f t="shared" si="30"/>
        <v>176.99999999999949</v>
      </c>
      <c r="S246" s="24" t="s">
        <v>1334</v>
      </c>
      <c r="T246" s="24" t="s">
        <v>1334</v>
      </c>
      <c r="U246" s="3"/>
      <c r="V246" s="25"/>
      <c r="W246" s="25"/>
      <c r="X246" s="25" t="str">
        <f>IFERROR(VLOOKUP(C_Ope_006[[#This Row],[nota_2]],Clientes_Proveedores[[Ruc / Dni]:[Razon Social]],2,0),"")</f>
        <v/>
      </c>
      <c r="Y246" s="25"/>
      <c r="Z246" s="17">
        <f>ROUND(C_Ope_006[[#This Row],[monto]]/1.18,3)</f>
        <v>127.119</v>
      </c>
      <c r="AA246" s="3" t="str">
        <f>IF(C_Ope_006[[#This Row],[fecha]]&gt;0,TEXT(C_Ope_006[[#This Row],[fecha]],"mmmm"),0)</f>
        <v>Setiembre</v>
      </c>
      <c r="AB246" s="49"/>
    </row>
    <row r="247" spans="1:28" ht="24" x14ac:dyDescent="0.3">
      <c r="A247" s="2">
        <f>IF(C_Ope_006[[#This Row],[tipo_r]]="R",COUNTIFS($C$1:$C246,"R")+1,"")</f>
        <v>246</v>
      </c>
      <c r="B247" s="19" t="str">
        <f t="shared" ref="B247:B290" si="35">"C_Ope_006"</f>
        <v>C_Ope_006</v>
      </c>
      <c r="C247" s="3" t="s">
        <v>1330</v>
      </c>
      <c r="D247" s="14">
        <v>45909</v>
      </c>
      <c r="E247" s="5" t="s">
        <v>8918</v>
      </c>
      <c r="F247" s="5" t="s">
        <v>1336</v>
      </c>
      <c r="G247" s="6" t="s">
        <v>978</v>
      </c>
      <c r="H247" s="6" t="s">
        <v>68</v>
      </c>
      <c r="I247" s="6" t="s">
        <v>6204</v>
      </c>
      <c r="J247" s="6">
        <v>1836095</v>
      </c>
      <c r="K247" s="7" t="s">
        <v>8928</v>
      </c>
      <c r="L247" s="8">
        <v>25548</v>
      </c>
      <c r="M247" s="8" t="str">
        <f t="shared" ref="M247:M290" si="36">"PEN"</f>
        <v>PEN</v>
      </c>
      <c r="N247" s="13"/>
      <c r="O247" s="13">
        <v>8</v>
      </c>
      <c r="P247" s="3">
        <f t="shared" ref="P247:P290" si="37">+IF(OR($F247="SALDO",$F247="INGRESO"),$O247,0)</f>
        <v>0</v>
      </c>
      <c r="Q247" s="3">
        <f t="shared" ref="Q247:Q290" si="38">+IF($F247="EGRESO",$O247,0)</f>
        <v>8</v>
      </c>
      <c r="R247" s="3">
        <f t="shared" si="30"/>
        <v>168.99999999999949</v>
      </c>
      <c r="S247" s="24" t="s">
        <v>1334</v>
      </c>
      <c r="T247" s="24"/>
      <c r="U247" s="3"/>
      <c r="V247" s="25" t="s">
        <v>7761</v>
      </c>
      <c r="W247" s="25">
        <v>20517252558</v>
      </c>
      <c r="X247" s="25" t="str">
        <f>IFERROR(VLOOKUP(C_Ope_006[[#This Row],[nota_2]],Clientes_Proveedores[[Ruc / Dni]:[Razon Social]],2,0),"")</f>
        <v>COVISUR S.A.</v>
      </c>
      <c r="Y247" s="25" t="s">
        <v>7888</v>
      </c>
      <c r="Z247" s="15"/>
      <c r="AA247" s="3" t="str">
        <f>IF(C_Ope_006[[#This Row],[fecha]]&gt;0,TEXT(C_Ope_006[[#This Row],[fecha]],"mmmm"),0)</f>
        <v>Setiembre</v>
      </c>
      <c r="AB247" s="49"/>
    </row>
    <row r="248" spans="1:28" ht="24" x14ac:dyDescent="0.3">
      <c r="A248" s="2">
        <f>IF(C_Ope_006[[#This Row],[tipo_r]]="R",COUNTIFS($C$1:$C247,"R")+1,"")</f>
        <v>247</v>
      </c>
      <c r="B248" s="19" t="str">
        <f t="shared" si="35"/>
        <v>C_Ope_006</v>
      </c>
      <c r="C248" s="3" t="s">
        <v>1330</v>
      </c>
      <c r="D248" s="14">
        <v>45910</v>
      </c>
      <c r="E248" s="5" t="s">
        <v>8918</v>
      </c>
      <c r="F248" s="5" t="s">
        <v>1336</v>
      </c>
      <c r="G248" s="6" t="s">
        <v>999</v>
      </c>
      <c r="H248" s="6" t="s">
        <v>68</v>
      </c>
      <c r="I248" s="6" t="s">
        <v>1374</v>
      </c>
      <c r="J248" s="6">
        <v>19713</v>
      </c>
      <c r="K248" s="7" t="s">
        <v>8929</v>
      </c>
      <c r="L248" s="8">
        <v>25543</v>
      </c>
      <c r="M248" s="8" t="str">
        <f t="shared" si="36"/>
        <v>PEN</v>
      </c>
      <c r="N248" s="13"/>
      <c r="O248" s="13">
        <v>25</v>
      </c>
      <c r="P248" s="3">
        <f t="shared" si="37"/>
        <v>0</v>
      </c>
      <c r="Q248" s="3">
        <f t="shared" si="38"/>
        <v>25</v>
      </c>
      <c r="R248" s="3">
        <f t="shared" si="30"/>
        <v>143.99999999999949</v>
      </c>
      <c r="S248" s="24" t="s">
        <v>1334</v>
      </c>
      <c r="T248" s="24"/>
      <c r="U248" s="3"/>
      <c r="V248" s="25" t="s">
        <v>7761</v>
      </c>
      <c r="W248" s="25">
        <v>10705628331</v>
      </c>
      <c r="X248" s="25" t="str">
        <f>IFERROR(VLOOKUP(C_Ope_006[[#This Row],[nota_2]],Clientes_Proveedores[[Ruc / Dni]:[Razon Social]],2,0),"")</f>
        <v>LARICO APAZA NANCY ROSSMARY</v>
      </c>
      <c r="Y248" s="25" t="s">
        <v>7938</v>
      </c>
      <c r="Z248" s="15"/>
      <c r="AA248" s="3" t="str">
        <f>IF(C_Ope_006[[#This Row],[fecha]]&gt;0,TEXT(C_Ope_006[[#This Row],[fecha]],"mmmm"),0)</f>
        <v>Setiembre</v>
      </c>
      <c r="AB248" s="49"/>
    </row>
    <row r="249" spans="1:28" ht="36" x14ac:dyDescent="0.3">
      <c r="A249" s="2">
        <f>IF(C_Ope_006[[#This Row],[tipo_r]]="R",COUNTIFS($C$1:$C248,"R")+1,"")</f>
        <v>248</v>
      </c>
      <c r="B249" s="19" t="str">
        <f t="shared" si="35"/>
        <v>C_Ope_006</v>
      </c>
      <c r="C249" s="3" t="s">
        <v>1330</v>
      </c>
      <c r="D249" s="14">
        <v>45911</v>
      </c>
      <c r="E249" s="5" t="s">
        <v>8918</v>
      </c>
      <c r="F249" s="5" t="s">
        <v>1336</v>
      </c>
      <c r="G249" s="6" t="s">
        <v>227</v>
      </c>
      <c r="H249" s="6" t="s">
        <v>68</v>
      </c>
      <c r="I249" s="6" t="s">
        <v>1390</v>
      </c>
      <c r="J249" s="6">
        <v>136806</v>
      </c>
      <c r="K249" s="7" t="s">
        <v>8930</v>
      </c>
      <c r="L249" s="8">
        <v>25540</v>
      </c>
      <c r="M249" s="8" t="str">
        <f t="shared" si="36"/>
        <v>PEN</v>
      </c>
      <c r="N249" s="13"/>
      <c r="O249" s="13">
        <v>10</v>
      </c>
      <c r="P249" s="3">
        <f t="shared" si="37"/>
        <v>0</v>
      </c>
      <c r="Q249" s="3">
        <f t="shared" si="38"/>
        <v>10</v>
      </c>
      <c r="R249" s="3">
        <f t="shared" si="30"/>
        <v>133.99999999999949</v>
      </c>
      <c r="S249" s="24" t="s">
        <v>1334</v>
      </c>
      <c r="T249" s="24"/>
      <c r="U249" s="3"/>
      <c r="V249" s="25" t="s">
        <v>7761</v>
      </c>
      <c r="W249" s="25">
        <v>20124952850</v>
      </c>
      <c r="X249" s="25" t="str">
        <f>IFERROR(VLOOKUP(C_Ope_006[[#This Row],[nota_2]],Clientes_Proveedores[[Ruc / Dni]:[Razon Social]],2,0),"")</f>
        <v>ALIMENTOS Y SERVICIOS AGROPECUARIOS SRL.</v>
      </c>
      <c r="Y249" s="25" t="s">
        <v>5933</v>
      </c>
      <c r="Z249" s="15"/>
      <c r="AA249" s="3" t="str">
        <f>IF(C_Ope_006[[#This Row],[fecha]]&gt;0,TEXT(C_Ope_006[[#This Row],[fecha]],"mmmm"),0)</f>
        <v>Setiembre</v>
      </c>
      <c r="AB249" s="49"/>
    </row>
    <row r="250" spans="1:28" ht="36" x14ac:dyDescent="0.3">
      <c r="A250" s="2">
        <f>IF(C_Ope_006[[#This Row],[tipo_r]]="R",COUNTIFS($C$1:$C249,"R")+1,"")</f>
        <v>249</v>
      </c>
      <c r="B250" s="19" t="str">
        <f t="shared" si="35"/>
        <v>C_Ope_006</v>
      </c>
      <c r="C250" s="3" t="s">
        <v>1330</v>
      </c>
      <c r="D250" s="14">
        <v>45911</v>
      </c>
      <c r="E250" s="5" t="s">
        <v>8918</v>
      </c>
      <c r="F250" s="5" t="s">
        <v>1336</v>
      </c>
      <c r="G250" s="6" t="s">
        <v>227</v>
      </c>
      <c r="H250" s="6" t="s">
        <v>68</v>
      </c>
      <c r="I250" s="6" t="s">
        <v>1390</v>
      </c>
      <c r="J250" s="6">
        <v>136814</v>
      </c>
      <c r="K250" s="7" t="s">
        <v>8931</v>
      </c>
      <c r="L250" s="8">
        <v>25541</v>
      </c>
      <c r="M250" s="8" t="str">
        <f t="shared" si="36"/>
        <v>PEN</v>
      </c>
      <c r="N250" s="13"/>
      <c r="O250" s="13">
        <v>10</v>
      </c>
      <c r="P250" s="3">
        <f t="shared" si="37"/>
        <v>0</v>
      </c>
      <c r="Q250" s="3">
        <f t="shared" si="38"/>
        <v>10</v>
      </c>
      <c r="R250" s="3">
        <f t="shared" si="30"/>
        <v>123.99999999999949</v>
      </c>
      <c r="S250" s="24" t="s">
        <v>1334</v>
      </c>
      <c r="T250" s="24"/>
      <c r="U250" s="3"/>
      <c r="V250" s="25" t="s">
        <v>7761</v>
      </c>
      <c r="W250" s="25">
        <v>20124952850</v>
      </c>
      <c r="X250" s="25" t="str">
        <f>IFERROR(VLOOKUP(C_Ope_006[[#This Row],[nota_2]],Clientes_Proveedores[[Ruc / Dni]:[Razon Social]],2,0),"")</f>
        <v>ALIMENTOS Y SERVICIOS AGROPECUARIOS SRL.</v>
      </c>
      <c r="Y250" s="25" t="s">
        <v>5933</v>
      </c>
      <c r="Z250" s="15"/>
      <c r="AA250" s="3" t="str">
        <f>IF(C_Ope_006[[#This Row],[fecha]]&gt;0,TEXT(C_Ope_006[[#This Row],[fecha]],"mmmm"),0)</f>
        <v>Setiembre</v>
      </c>
      <c r="AB250" s="49"/>
    </row>
    <row r="251" spans="1:28" x14ac:dyDescent="0.3">
      <c r="A251" s="2">
        <f>IF(C_Ope_006[[#This Row],[tipo_r]]="R",COUNTIFS($C$1:$C250,"R")+1,"")</f>
        <v>250</v>
      </c>
      <c r="B251" s="19" t="str">
        <f t="shared" si="35"/>
        <v>C_Ope_006</v>
      </c>
      <c r="C251" s="3" t="s">
        <v>1330</v>
      </c>
      <c r="D251" s="14">
        <v>45912</v>
      </c>
      <c r="E251" s="5" t="s">
        <v>8918</v>
      </c>
      <c r="F251" s="5" t="s">
        <v>1336</v>
      </c>
      <c r="G251" s="6" t="s">
        <v>978</v>
      </c>
      <c r="H251" s="6" t="s">
        <v>68</v>
      </c>
      <c r="I251" s="6" t="s">
        <v>6204</v>
      </c>
      <c r="J251" s="6">
        <v>1839294</v>
      </c>
      <c r="K251" s="7" t="s">
        <v>8932</v>
      </c>
      <c r="L251" s="8">
        <v>25549</v>
      </c>
      <c r="M251" s="8" t="str">
        <f t="shared" si="36"/>
        <v>PEN</v>
      </c>
      <c r="N251" s="13"/>
      <c r="O251" s="13">
        <v>8</v>
      </c>
      <c r="P251" s="3">
        <f t="shared" si="37"/>
        <v>0</v>
      </c>
      <c r="Q251" s="3">
        <f t="shared" si="38"/>
        <v>8</v>
      </c>
      <c r="R251" s="3">
        <f t="shared" si="30"/>
        <v>115.99999999999949</v>
      </c>
      <c r="S251" s="24" t="s">
        <v>1334</v>
      </c>
      <c r="T251" s="24"/>
      <c r="U251" s="3"/>
      <c r="V251" s="25" t="s">
        <v>7761</v>
      </c>
      <c r="W251" s="25">
        <v>20517252558</v>
      </c>
      <c r="X251" s="25" t="str">
        <f>IFERROR(VLOOKUP(C_Ope_006[[#This Row],[nota_2]],Clientes_Proveedores[[Ruc / Dni]:[Razon Social]],2,0),"")</f>
        <v>COVISUR S.A.</v>
      </c>
      <c r="Y251" s="25" t="s">
        <v>7888</v>
      </c>
      <c r="Z251" s="15"/>
      <c r="AA251" s="3" t="str">
        <f>IF(C_Ope_006[[#This Row],[fecha]]&gt;0,TEXT(C_Ope_006[[#This Row],[fecha]],"mmmm"),0)</f>
        <v>Setiembre</v>
      </c>
      <c r="AB251" s="49"/>
    </row>
    <row r="252" spans="1:28" x14ac:dyDescent="0.3">
      <c r="A252" s="2">
        <f>IF(C_Ope_006[[#This Row],[tipo_r]]="R",COUNTIFS($C$1:$C251,"R")+1,"")</f>
        <v>251</v>
      </c>
      <c r="B252" s="19" t="str">
        <f t="shared" si="35"/>
        <v>C_Ope_006</v>
      </c>
      <c r="C252" s="3" t="s">
        <v>1330</v>
      </c>
      <c r="D252" s="14">
        <v>45912</v>
      </c>
      <c r="E252" s="5" t="s">
        <v>8918</v>
      </c>
      <c r="F252" s="5" t="s">
        <v>1336</v>
      </c>
      <c r="G252" s="6" t="s">
        <v>978</v>
      </c>
      <c r="H252" s="6" t="s">
        <v>68</v>
      </c>
      <c r="I252" s="6" t="s">
        <v>5845</v>
      </c>
      <c r="J252" s="6">
        <v>1861097</v>
      </c>
      <c r="K252" s="7" t="s">
        <v>8933</v>
      </c>
      <c r="L252" s="8">
        <v>25550</v>
      </c>
      <c r="M252" s="8" t="str">
        <f t="shared" si="36"/>
        <v>PEN</v>
      </c>
      <c r="N252" s="13"/>
      <c r="O252" s="13">
        <v>8</v>
      </c>
      <c r="P252" s="3">
        <f t="shared" si="37"/>
        <v>0</v>
      </c>
      <c r="Q252" s="3">
        <f t="shared" si="38"/>
        <v>8</v>
      </c>
      <c r="R252" s="3">
        <f t="shared" si="30"/>
        <v>107.99999999999949</v>
      </c>
      <c r="S252" s="24" t="s">
        <v>1334</v>
      </c>
      <c r="T252" s="24"/>
      <c r="U252" s="3"/>
      <c r="V252" s="25" t="s">
        <v>7842</v>
      </c>
      <c r="W252" s="25">
        <v>20517252558</v>
      </c>
      <c r="X252" s="25" t="str">
        <f>IFERROR(VLOOKUP(C_Ope_006[[#This Row],[nota_2]],Clientes_Proveedores[[Ruc / Dni]:[Razon Social]],2,0),"")</f>
        <v>COVISUR S.A.</v>
      </c>
      <c r="Y252" s="25" t="s">
        <v>7888</v>
      </c>
      <c r="Z252" s="15"/>
      <c r="AA252" s="3" t="str">
        <f>IF(C_Ope_006[[#This Row],[fecha]]&gt;0,TEXT(C_Ope_006[[#This Row],[fecha]],"mmmm"),0)</f>
        <v>Setiembre</v>
      </c>
      <c r="AB252" s="49"/>
    </row>
    <row r="253" spans="1:28" ht="36" x14ac:dyDescent="0.3">
      <c r="A253" s="2">
        <f>IF(C_Ope_006[[#This Row],[tipo_r]]="R",COUNTIFS($C$1:$C252,"R")+1,"")</f>
        <v>252</v>
      </c>
      <c r="B253" s="19" t="str">
        <f t="shared" si="35"/>
        <v>C_Ope_006</v>
      </c>
      <c r="C253" s="3" t="s">
        <v>1330</v>
      </c>
      <c r="D253" s="14">
        <v>45912</v>
      </c>
      <c r="E253" s="5" t="s">
        <v>8918</v>
      </c>
      <c r="F253" s="5" t="s">
        <v>1336</v>
      </c>
      <c r="G253" s="6" t="s">
        <v>682</v>
      </c>
      <c r="H253" s="6" t="s">
        <v>68</v>
      </c>
      <c r="I253" s="6" t="s">
        <v>1353</v>
      </c>
      <c r="J253" s="6">
        <v>17692</v>
      </c>
      <c r="K253" s="7" t="s">
        <v>8934</v>
      </c>
      <c r="L253" s="8">
        <v>25547</v>
      </c>
      <c r="M253" s="8" t="str">
        <f t="shared" si="36"/>
        <v>PEN</v>
      </c>
      <c r="N253" s="13"/>
      <c r="O253" s="13">
        <v>20</v>
      </c>
      <c r="P253" s="3">
        <f t="shared" si="37"/>
        <v>0</v>
      </c>
      <c r="Q253" s="3">
        <f t="shared" si="38"/>
        <v>20</v>
      </c>
      <c r="R253" s="3">
        <f t="shared" si="30"/>
        <v>87.999999999999488</v>
      </c>
      <c r="S253" s="24" t="s">
        <v>1334</v>
      </c>
      <c r="T253" s="24"/>
      <c r="U253" s="3"/>
      <c r="V253" s="25" t="s">
        <v>7761</v>
      </c>
      <c r="W253" s="25">
        <v>20259858934</v>
      </c>
      <c r="X253" s="25" t="str">
        <f>IFERROR(VLOOKUP(C_Ope_006[[#This Row],[nota_2]],Clientes_Proveedores[[Ruc / Dni]:[Razon Social]],2,0),"")</f>
        <v>COMERCIALIZACION Y SERVICIOS EL EDEN S.A.C.</v>
      </c>
      <c r="Y253" s="25" t="s">
        <v>5933</v>
      </c>
      <c r="Z253" s="15"/>
      <c r="AA253" s="3" t="str">
        <f>IF(C_Ope_006[[#This Row],[fecha]]&gt;0,TEXT(C_Ope_006[[#This Row],[fecha]],"mmmm"),0)</f>
        <v>Setiembre</v>
      </c>
      <c r="AB253" s="49"/>
    </row>
    <row r="254" spans="1:28" x14ac:dyDescent="0.3">
      <c r="A254" s="2">
        <f>IF(C_Ope_006[[#This Row],[tipo_r]]="R",COUNTIFS($C$1:$C253,"R")+1,"")</f>
        <v>253</v>
      </c>
      <c r="B254" s="19" t="str">
        <f t="shared" si="35"/>
        <v>C_Ope_006</v>
      </c>
      <c r="C254" s="3" t="s">
        <v>1330</v>
      </c>
      <c r="D254" s="14">
        <v>45917</v>
      </c>
      <c r="E254" s="5" t="s">
        <v>8918</v>
      </c>
      <c r="F254" s="5" t="s">
        <v>1336</v>
      </c>
      <c r="G254" s="6" t="s">
        <v>978</v>
      </c>
      <c r="H254" s="6" t="s">
        <v>68</v>
      </c>
      <c r="I254" s="6" t="s">
        <v>5688</v>
      </c>
      <c r="J254" s="6">
        <v>2476431</v>
      </c>
      <c r="K254" s="7" t="s">
        <v>8935</v>
      </c>
      <c r="L254" s="8">
        <v>25551</v>
      </c>
      <c r="M254" s="8" t="str">
        <f t="shared" si="36"/>
        <v>PEN</v>
      </c>
      <c r="N254" s="13"/>
      <c r="O254" s="13">
        <v>8</v>
      </c>
      <c r="P254" s="3">
        <f t="shared" si="37"/>
        <v>0</v>
      </c>
      <c r="Q254" s="3">
        <f t="shared" si="38"/>
        <v>8</v>
      </c>
      <c r="R254" s="3">
        <f t="shared" si="30"/>
        <v>79.999999999999488</v>
      </c>
      <c r="S254" s="24" t="s">
        <v>1334</v>
      </c>
      <c r="T254" s="24"/>
      <c r="U254" s="3"/>
      <c r="V254" s="25" t="s">
        <v>7761</v>
      </c>
      <c r="W254" s="25">
        <v>20517252558</v>
      </c>
      <c r="X254" s="25" t="str">
        <f>IFERROR(VLOOKUP(C_Ope_006[[#This Row],[nota_2]],Clientes_Proveedores[[Ruc / Dni]:[Razon Social]],2,0),"")</f>
        <v>COVISUR S.A.</v>
      </c>
      <c r="Y254" s="25" t="s">
        <v>7888</v>
      </c>
      <c r="Z254" s="15"/>
      <c r="AA254" s="3" t="str">
        <f>IF(C_Ope_006[[#This Row],[fecha]]&gt;0,TEXT(C_Ope_006[[#This Row],[fecha]],"mmmm"),0)</f>
        <v>Setiembre</v>
      </c>
      <c r="AB254" s="49"/>
    </row>
    <row r="255" spans="1:28" x14ac:dyDescent="0.3">
      <c r="A255" s="2">
        <f>IF(C_Ope_006[[#This Row],[tipo_r]]="R",COUNTIFS($C$1:$C254,"R")+1,"")</f>
        <v>254</v>
      </c>
      <c r="B255" s="19" t="str">
        <f t="shared" si="35"/>
        <v>C_Ope_006</v>
      </c>
      <c r="C255" s="3" t="s">
        <v>1330</v>
      </c>
      <c r="D255" s="14">
        <v>45917</v>
      </c>
      <c r="E255" s="5" t="s">
        <v>8918</v>
      </c>
      <c r="F255" s="5" t="s">
        <v>1336</v>
      </c>
      <c r="G255" s="6" t="s">
        <v>978</v>
      </c>
      <c r="H255" s="6" t="s">
        <v>68</v>
      </c>
      <c r="I255" s="6" t="s">
        <v>5845</v>
      </c>
      <c r="J255" s="6">
        <v>1865608</v>
      </c>
      <c r="K255" s="7" t="s">
        <v>8936</v>
      </c>
      <c r="L255" s="8">
        <v>25552</v>
      </c>
      <c r="M255" s="8" t="str">
        <f t="shared" si="36"/>
        <v>PEN</v>
      </c>
      <c r="N255" s="13"/>
      <c r="O255" s="13">
        <v>8</v>
      </c>
      <c r="P255" s="3">
        <f t="shared" si="37"/>
        <v>0</v>
      </c>
      <c r="Q255" s="3">
        <f t="shared" si="38"/>
        <v>8</v>
      </c>
      <c r="R255" s="3">
        <f t="shared" si="30"/>
        <v>71.999999999999488</v>
      </c>
      <c r="S255" s="24" t="s">
        <v>1334</v>
      </c>
      <c r="T255" s="24"/>
      <c r="U255" s="3"/>
      <c r="V255" s="25" t="s">
        <v>7761</v>
      </c>
      <c r="W255" s="25">
        <v>20517252558</v>
      </c>
      <c r="X255" s="25" t="str">
        <f>IFERROR(VLOOKUP(C_Ope_006[[#This Row],[nota_2]],Clientes_Proveedores[[Ruc / Dni]:[Razon Social]],2,0),"")</f>
        <v>COVISUR S.A.</v>
      </c>
      <c r="Y255" s="25" t="s">
        <v>7888</v>
      </c>
      <c r="Z255" s="15"/>
      <c r="AA255" s="3" t="str">
        <f>IF(C_Ope_006[[#This Row],[fecha]]&gt;0,TEXT(C_Ope_006[[#This Row],[fecha]],"mmmm"),0)</f>
        <v>Setiembre</v>
      </c>
      <c r="AB255" s="49"/>
    </row>
    <row r="256" spans="1:28" ht="24" x14ac:dyDescent="0.3">
      <c r="A256" s="2">
        <f>IF(C_Ope_006[[#This Row],[tipo_r]]="R",COUNTIFS($C$1:$C255,"R")+1,"")</f>
        <v>255</v>
      </c>
      <c r="B256" s="19" t="str">
        <f t="shared" si="35"/>
        <v>C_Ope_006</v>
      </c>
      <c r="C256" s="3" t="s">
        <v>1330</v>
      </c>
      <c r="D256" s="14">
        <v>45918</v>
      </c>
      <c r="E256" s="5" t="s">
        <v>8918</v>
      </c>
      <c r="F256" s="5" t="s">
        <v>1336</v>
      </c>
      <c r="G256" s="6" t="s">
        <v>978</v>
      </c>
      <c r="H256" s="6" t="s">
        <v>68</v>
      </c>
      <c r="I256" s="6" t="s">
        <v>6204</v>
      </c>
      <c r="J256" s="6">
        <v>1844924</v>
      </c>
      <c r="K256" s="7" t="s">
        <v>8937</v>
      </c>
      <c r="L256" s="8">
        <v>25553</v>
      </c>
      <c r="M256" s="8" t="str">
        <f t="shared" si="36"/>
        <v>PEN</v>
      </c>
      <c r="N256" s="13"/>
      <c r="O256" s="13">
        <v>8</v>
      </c>
      <c r="P256" s="3">
        <f t="shared" si="37"/>
        <v>0</v>
      </c>
      <c r="Q256" s="3">
        <f t="shared" si="38"/>
        <v>8</v>
      </c>
      <c r="R256" s="3">
        <f t="shared" si="30"/>
        <v>63.999999999999488</v>
      </c>
      <c r="S256" s="24" t="s">
        <v>1334</v>
      </c>
      <c r="T256" s="24"/>
      <c r="U256" s="3"/>
      <c r="V256" s="25" t="s">
        <v>7761</v>
      </c>
      <c r="W256" s="25">
        <v>20517252558</v>
      </c>
      <c r="X256" s="25" t="str">
        <f>IFERROR(VLOOKUP(C_Ope_006[[#This Row],[nota_2]],Clientes_Proveedores[[Ruc / Dni]:[Razon Social]],2,0),"")</f>
        <v>COVISUR S.A.</v>
      </c>
      <c r="Y256" s="25" t="s">
        <v>7888</v>
      </c>
      <c r="Z256" s="15"/>
      <c r="AA256" s="3" t="str">
        <f>IF(C_Ope_006[[#This Row],[fecha]]&gt;0,TEXT(C_Ope_006[[#This Row],[fecha]],"mmmm"),0)</f>
        <v>Setiembre</v>
      </c>
      <c r="AB256" s="49"/>
    </row>
    <row r="257" spans="1:35" ht="24" x14ac:dyDescent="0.3">
      <c r="A257" s="2">
        <f>IF(C_Ope_006[[#This Row],[tipo_r]]="R",COUNTIFS($C$1:$C256,"R")+1,"")</f>
        <v>256</v>
      </c>
      <c r="B257" s="19" t="str">
        <f t="shared" si="35"/>
        <v>C_Ope_006</v>
      </c>
      <c r="C257" s="3" t="s">
        <v>1330</v>
      </c>
      <c r="D257" s="14">
        <v>45919</v>
      </c>
      <c r="E257" s="5" t="s">
        <v>8918</v>
      </c>
      <c r="F257" s="5" t="s">
        <v>1336</v>
      </c>
      <c r="G257" s="6" t="s">
        <v>978</v>
      </c>
      <c r="H257" s="6" t="s">
        <v>68</v>
      </c>
      <c r="I257" s="6" t="s">
        <v>6204</v>
      </c>
      <c r="J257" s="6">
        <v>1845952</v>
      </c>
      <c r="K257" s="7" t="s">
        <v>8938</v>
      </c>
      <c r="L257" s="8">
        <v>25555</v>
      </c>
      <c r="M257" s="8" t="str">
        <f t="shared" si="36"/>
        <v>PEN</v>
      </c>
      <c r="N257" s="13"/>
      <c r="O257" s="13">
        <v>8</v>
      </c>
      <c r="P257" s="3">
        <f t="shared" si="37"/>
        <v>0</v>
      </c>
      <c r="Q257" s="3">
        <f t="shared" si="38"/>
        <v>8</v>
      </c>
      <c r="R257" s="3">
        <f t="shared" si="30"/>
        <v>55.999999999999488</v>
      </c>
      <c r="S257" s="24" t="s">
        <v>1334</v>
      </c>
      <c r="T257" s="24"/>
      <c r="U257" s="3"/>
      <c r="V257" s="25" t="s">
        <v>7761</v>
      </c>
      <c r="W257" s="25">
        <v>20517252558</v>
      </c>
      <c r="X257" s="25" t="str">
        <f>IFERROR(VLOOKUP(C_Ope_006[[#This Row],[nota_2]],Clientes_Proveedores[[Ruc / Dni]:[Razon Social]],2,0),"")</f>
        <v>COVISUR S.A.</v>
      </c>
      <c r="Y257" s="25" t="s">
        <v>7888</v>
      </c>
      <c r="Z257" s="15"/>
      <c r="AA257" s="3" t="str">
        <f>IF(C_Ope_006[[#This Row],[fecha]]&gt;0,TEXT(C_Ope_006[[#This Row],[fecha]],"mmmm"),0)</f>
        <v>Setiembre</v>
      </c>
      <c r="AB257" s="49"/>
    </row>
    <row r="258" spans="1:35" ht="72" x14ac:dyDescent="0.3">
      <c r="A258" s="2">
        <f>IF(C_Ope_006[[#This Row],[tipo_r]]="R",COUNTIFS($C$1:$C257,"R")+1,"")</f>
        <v>257</v>
      </c>
      <c r="B258" s="19" t="str">
        <f t="shared" si="35"/>
        <v>C_Ope_006</v>
      </c>
      <c r="C258" s="3" t="s">
        <v>1330</v>
      </c>
      <c r="D258" s="14">
        <v>45919</v>
      </c>
      <c r="E258" s="5" t="s">
        <v>8918</v>
      </c>
      <c r="F258" s="5" t="s">
        <v>1336</v>
      </c>
      <c r="G258" s="6" t="s">
        <v>978</v>
      </c>
      <c r="H258" s="6" t="s">
        <v>68</v>
      </c>
      <c r="I258" s="6" t="s">
        <v>6203</v>
      </c>
      <c r="J258" s="6">
        <v>2184563</v>
      </c>
      <c r="K258" s="7" t="s">
        <v>8939</v>
      </c>
      <c r="L258" s="8">
        <v>25556</v>
      </c>
      <c r="M258" s="8" t="str">
        <f t="shared" si="36"/>
        <v>PEN</v>
      </c>
      <c r="N258" s="13"/>
      <c r="O258" s="13">
        <v>8</v>
      </c>
      <c r="P258" s="3">
        <f t="shared" si="37"/>
        <v>0</v>
      </c>
      <c r="Q258" s="3">
        <f t="shared" si="38"/>
        <v>8</v>
      </c>
      <c r="R258" s="3">
        <f t="shared" ref="R258:R300" si="39">IFERROR(IF(F258="SALDO",P258,R257+P258-Q258),0)</f>
        <v>47.999999999999488</v>
      </c>
      <c r="S258" s="24" t="s">
        <v>1334</v>
      </c>
      <c r="T258" s="24"/>
      <c r="U258" s="3"/>
      <c r="V258" s="25" t="s">
        <v>7761</v>
      </c>
      <c r="W258" s="25">
        <v>20517252558</v>
      </c>
      <c r="X258" s="25" t="str">
        <f>IFERROR(VLOOKUP(C_Ope_006[[#This Row],[nota_2]],Clientes_Proveedores[[Ruc / Dni]:[Razon Social]],2,0),"")</f>
        <v>COVISUR S.A.</v>
      </c>
      <c r="Y258" s="25" t="s">
        <v>7888</v>
      </c>
      <c r="Z258" s="15"/>
      <c r="AA258" s="3" t="str">
        <f>IF(C_Ope_006[[#This Row],[fecha]]&gt;0,TEXT(C_Ope_006[[#This Row],[fecha]],"mmmm"),0)</f>
        <v>Setiembre</v>
      </c>
      <c r="AB258" s="49"/>
      <c r="AI258" s="106" t="s">
        <v>8939</v>
      </c>
    </row>
    <row r="259" spans="1:35" ht="24" x14ac:dyDescent="0.3">
      <c r="A259" s="2">
        <f>IF(C_Ope_006[[#This Row],[tipo_r]]="R",COUNTIFS($C$1:$C258,"R")+1,"")</f>
        <v>258</v>
      </c>
      <c r="B259" s="19" t="str">
        <f t="shared" si="35"/>
        <v>C_Ope_006</v>
      </c>
      <c r="C259" s="3" t="s">
        <v>1330</v>
      </c>
      <c r="D259" s="14">
        <v>45920</v>
      </c>
      <c r="E259" s="5" t="s">
        <v>8918</v>
      </c>
      <c r="F259" s="5" t="s">
        <v>1336</v>
      </c>
      <c r="G259" s="6" t="s">
        <v>999</v>
      </c>
      <c r="H259" s="6" t="s">
        <v>68</v>
      </c>
      <c r="I259" s="6" t="s">
        <v>1374</v>
      </c>
      <c r="J259" s="6">
        <v>19915</v>
      </c>
      <c r="K259" s="7" t="s">
        <v>8940</v>
      </c>
      <c r="L259" s="8">
        <v>25567</v>
      </c>
      <c r="M259" s="8" t="str">
        <f t="shared" si="36"/>
        <v>PEN</v>
      </c>
      <c r="N259" s="13"/>
      <c r="O259" s="13">
        <v>25</v>
      </c>
      <c r="P259" s="3">
        <f t="shared" si="37"/>
        <v>0</v>
      </c>
      <c r="Q259" s="3">
        <f t="shared" si="38"/>
        <v>25</v>
      </c>
      <c r="R259" s="3">
        <f t="shared" si="39"/>
        <v>22.999999999999488</v>
      </c>
      <c r="S259" s="24" t="s">
        <v>1334</v>
      </c>
      <c r="T259" s="24"/>
      <c r="U259" s="3"/>
      <c r="V259" s="25" t="s">
        <v>7761</v>
      </c>
      <c r="W259" s="25">
        <v>10705628331</v>
      </c>
      <c r="X259" s="25" t="str">
        <f>IFERROR(VLOOKUP(C_Ope_006[[#This Row],[nota_2]],Clientes_Proveedores[[Ruc / Dni]:[Razon Social]],2,0),"")</f>
        <v>LARICO APAZA NANCY ROSSMARY</v>
      </c>
      <c r="Y259" s="25" t="s">
        <v>7938</v>
      </c>
      <c r="Z259" s="15"/>
      <c r="AA259" s="3" t="str">
        <f>IF(C_Ope_006[[#This Row],[fecha]]&gt;0,TEXT(C_Ope_006[[#This Row],[fecha]],"mmmm"),0)</f>
        <v>Setiembre</v>
      </c>
      <c r="AB259" s="49"/>
    </row>
    <row r="260" spans="1:35" ht="24" x14ac:dyDescent="0.3">
      <c r="A260" s="2">
        <f>IF(C_Ope_006[[#This Row],[tipo_r]]="R",COUNTIFS($C$1:$C259,"R")+1,"")</f>
        <v>259</v>
      </c>
      <c r="B260" s="19" t="str">
        <f>"C_Ope_006"</f>
        <v>C_Ope_006</v>
      </c>
      <c r="C260" s="3" t="s">
        <v>1330</v>
      </c>
      <c r="D260" s="14">
        <v>45922</v>
      </c>
      <c r="E260" s="5" t="s">
        <v>3634</v>
      </c>
      <c r="F260" s="5" t="s">
        <v>1303</v>
      </c>
      <c r="G260" s="6" t="s">
        <v>1097</v>
      </c>
      <c r="H260" s="6"/>
      <c r="I260" s="6"/>
      <c r="J260" s="6"/>
      <c r="K260" s="7" t="s">
        <v>8475</v>
      </c>
      <c r="L260" s="8">
        <v>25569</v>
      </c>
      <c r="M260" s="8" t="str">
        <f>"PEN"</f>
        <v>PEN</v>
      </c>
      <c r="N260" s="13"/>
      <c r="O260" s="13">
        <v>150</v>
      </c>
      <c r="P260" s="3">
        <f>+IF(OR($F260="SALDO",$F260="INGRESO"),$O260,0)</f>
        <v>150</v>
      </c>
      <c r="Q260" s="3">
        <f>+IF($F260="EGRESO",$O260,0)</f>
        <v>0</v>
      </c>
      <c r="R260" s="3">
        <f t="shared" si="39"/>
        <v>172.99999999999949</v>
      </c>
      <c r="S260" s="24" t="s">
        <v>1334</v>
      </c>
      <c r="T260" s="24" t="s">
        <v>1334</v>
      </c>
      <c r="U260" s="3"/>
      <c r="V260" s="25"/>
      <c r="W260" s="25"/>
      <c r="X260" s="25" t="str">
        <f>IFERROR(VLOOKUP(C_Ope_006[[#This Row],[nota_2]],Clientes_Proveedores[[Ruc / Dni]:[Razon Social]],2,0),"")</f>
        <v/>
      </c>
      <c r="Y260" s="25"/>
      <c r="Z260" s="15">
        <f>ROUND(C_Ope_006[[#This Row],[monto]]/1.18,3)</f>
        <v>127.119</v>
      </c>
      <c r="AA260" s="3" t="str">
        <f>IF(C_Ope_006[[#This Row],[fecha]]&gt;0,TEXT(C_Ope_006[[#This Row],[fecha]],"mmmm"),0)</f>
        <v>Setiembre</v>
      </c>
      <c r="AB260" s="49"/>
    </row>
    <row r="261" spans="1:35" ht="24" x14ac:dyDescent="0.3">
      <c r="A261" s="2">
        <f>IF(C_Ope_006[[#This Row],[tipo_r]]="R",COUNTIFS($C$1:$C260,"R")+1,"")</f>
        <v>260</v>
      </c>
      <c r="B261" s="19" t="str">
        <f>"C_Ope_006"</f>
        <v>C_Ope_006</v>
      </c>
      <c r="C261" s="3" t="s">
        <v>1330</v>
      </c>
      <c r="D261" s="14">
        <v>45922</v>
      </c>
      <c r="E261" s="5" t="s">
        <v>3634</v>
      </c>
      <c r="F261" s="5" t="s">
        <v>1303</v>
      </c>
      <c r="G261" s="6" t="s">
        <v>1097</v>
      </c>
      <c r="H261" s="6"/>
      <c r="I261" s="6"/>
      <c r="J261" s="6"/>
      <c r="K261" s="7" t="s">
        <v>8475</v>
      </c>
      <c r="L261" s="8">
        <v>25570</v>
      </c>
      <c r="M261" s="8" t="str">
        <f>"PEN"</f>
        <v>PEN</v>
      </c>
      <c r="N261" s="13"/>
      <c r="O261" s="13">
        <v>550</v>
      </c>
      <c r="P261" s="3">
        <f>+IF(OR($F261="SALDO",$F261="INGRESO"),$O261,0)</f>
        <v>550</v>
      </c>
      <c r="Q261" s="3">
        <f>+IF($F261="EGRESO",$O261,0)</f>
        <v>0</v>
      </c>
      <c r="R261" s="3">
        <f t="shared" si="39"/>
        <v>722.99999999999955</v>
      </c>
      <c r="S261" s="24" t="s">
        <v>1334</v>
      </c>
      <c r="T261" s="24" t="s">
        <v>1334</v>
      </c>
      <c r="U261" s="3"/>
      <c r="V261" s="25"/>
      <c r="W261" s="25"/>
      <c r="X261" s="25" t="str">
        <f>IFERROR(VLOOKUP(C_Ope_006[[#This Row],[nota_2]],Clientes_Proveedores[[Ruc / Dni]:[Razon Social]],2,0),"")</f>
        <v/>
      </c>
      <c r="Y261" s="25"/>
      <c r="Z261" s="15">
        <f>ROUND(C_Ope_006[[#This Row],[monto]]/1.18,3)</f>
        <v>466.10199999999998</v>
      </c>
      <c r="AA261" s="3" t="str">
        <f>IF(C_Ope_006[[#This Row],[fecha]]&gt;0,TEXT(C_Ope_006[[#This Row],[fecha]],"mmmm"),0)</f>
        <v>Setiembre</v>
      </c>
      <c r="AB261" s="49"/>
    </row>
    <row r="262" spans="1:35" ht="24" x14ac:dyDescent="0.3">
      <c r="A262" s="2">
        <f>IF(C_Ope_006[[#This Row],[tipo_r]]="R",COUNTIFS($C$1:$C261,"R")+1,"")</f>
        <v>261</v>
      </c>
      <c r="B262" s="19" t="str">
        <f t="shared" si="35"/>
        <v>C_Ope_006</v>
      </c>
      <c r="C262" s="3" t="s">
        <v>1330</v>
      </c>
      <c r="D262" s="14">
        <v>45922</v>
      </c>
      <c r="E262" s="5" t="s">
        <v>8918</v>
      </c>
      <c r="F262" s="5" t="s">
        <v>1336</v>
      </c>
      <c r="G262" s="6" t="s">
        <v>978</v>
      </c>
      <c r="H262" s="6" t="s">
        <v>68</v>
      </c>
      <c r="I262" s="6" t="s">
        <v>5845</v>
      </c>
      <c r="J262" s="6">
        <v>1866752</v>
      </c>
      <c r="K262" s="7" t="s">
        <v>8941</v>
      </c>
      <c r="L262" s="8">
        <v>25554</v>
      </c>
      <c r="M262" s="8" t="str">
        <f t="shared" si="36"/>
        <v>PEN</v>
      </c>
      <c r="N262" s="13"/>
      <c r="O262" s="13">
        <v>8</v>
      </c>
      <c r="P262" s="3">
        <f t="shared" si="37"/>
        <v>0</v>
      </c>
      <c r="Q262" s="3">
        <f t="shared" si="38"/>
        <v>8</v>
      </c>
      <c r="R262" s="3">
        <f t="shared" si="39"/>
        <v>714.99999999999955</v>
      </c>
      <c r="S262" s="24" t="s">
        <v>1334</v>
      </c>
      <c r="T262" s="24"/>
      <c r="U262" s="3"/>
      <c r="V262" s="25" t="s">
        <v>7761</v>
      </c>
      <c r="W262" s="25">
        <v>20517252558</v>
      </c>
      <c r="X262" s="25" t="str">
        <f>IFERROR(VLOOKUP(C_Ope_006[[#This Row],[nota_2]],Clientes_Proveedores[[Ruc / Dni]:[Razon Social]],2,0),"")</f>
        <v>COVISUR S.A.</v>
      </c>
      <c r="Y262" s="25" t="s">
        <v>7888</v>
      </c>
      <c r="Z262" s="15"/>
      <c r="AA262" s="3" t="str">
        <f>IF(C_Ope_006[[#This Row],[fecha]]&gt;0,TEXT(C_Ope_006[[#This Row],[fecha]],"mmmm"),0)</f>
        <v>Setiembre</v>
      </c>
      <c r="AB262" s="49"/>
    </row>
    <row r="263" spans="1:35" ht="24" x14ac:dyDescent="0.3">
      <c r="A263" s="2">
        <f>IF(C_Ope_006[[#This Row],[tipo_r]]="R",COUNTIFS($C$1:$C262,"R")+1,"")</f>
        <v>262</v>
      </c>
      <c r="B263" s="19" t="str">
        <f t="shared" si="35"/>
        <v>C_Ope_006</v>
      </c>
      <c r="C263" s="3" t="s">
        <v>1330</v>
      </c>
      <c r="D263" s="14">
        <v>45922</v>
      </c>
      <c r="E263" s="5" t="s">
        <v>8918</v>
      </c>
      <c r="F263" s="5" t="s">
        <v>1336</v>
      </c>
      <c r="G263" s="6" t="s">
        <v>978</v>
      </c>
      <c r="H263" s="6" t="s">
        <v>68</v>
      </c>
      <c r="I263" s="6" t="s">
        <v>6204</v>
      </c>
      <c r="J263" s="6">
        <v>1848835</v>
      </c>
      <c r="K263" s="7" t="s">
        <v>8942</v>
      </c>
      <c r="L263" s="8">
        <v>25565</v>
      </c>
      <c r="M263" s="8" t="str">
        <f t="shared" si="36"/>
        <v>PEN</v>
      </c>
      <c r="N263" s="13"/>
      <c r="O263" s="13">
        <v>8</v>
      </c>
      <c r="P263" s="3">
        <f t="shared" si="37"/>
        <v>0</v>
      </c>
      <c r="Q263" s="3">
        <f t="shared" si="38"/>
        <v>8</v>
      </c>
      <c r="R263" s="3">
        <f t="shared" si="39"/>
        <v>706.99999999999955</v>
      </c>
      <c r="S263" s="24" t="s">
        <v>1334</v>
      </c>
      <c r="T263" s="24"/>
      <c r="U263" s="3"/>
      <c r="V263" s="25" t="s">
        <v>7761</v>
      </c>
      <c r="W263" s="25">
        <v>20517252558</v>
      </c>
      <c r="X263" s="25" t="str">
        <f>IFERROR(VLOOKUP(C_Ope_006[[#This Row],[nota_2]],Clientes_Proveedores[[Ruc / Dni]:[Razon Social]],2,0),"")</f>
        <v>COVISUR S.A.</v>
      </c>
      <c r="Y263" s="25" t="s">
        <v>7888</v>
      </c>
      <c r="Z263" s="15"/>
      <c r="AA263" s="3" t="str">
        <f>IF(C_Ope_006[[#This Row],[fecha]]&gt;0,TEXT(C_Ope_006[[#This Row],[fecha]],"mmmm"),0)</f>
        <v>Setiembre</v>
      </c>
      <c r="AB263" s="49"/>
    </row>
    <row r="264" spans="1:35" ht="24" x14ac:dyDescent="0.3">
      <c r="A264" s="2">
        <f>IF(C_Ope_006[[#This Row],[tipo_r]]="R",COUNTIFS($C$1:$C263,"R")+1,"")</f>
        <v>263</v>
      </c>
      <c r="B264" s="19" t="str">
        <f t="shared" si="35"/>
        <v>C_Ope_006</v>
      </c>
      <c r="C264" s="3" t="s">
        <v>1330</v>
      </c>
      <c r="D264" s="14">
        <v>45922</v>
      </c>
      <c r="E264" s="5" t="s">
        <v>8918</v>
      </c>
      <c r="F264" s="5" t="s">
        <v>1336</v>
      </c>
      <c r="G264" s="6" t="s">
        <v>978</v>
      </c>
      <c r="H264" s="6" t="s">
        <v>68</v>
      </c>
      <c r="I264" s="6" t="s">
        <v>5845</v>
      </c>
      <c r="J264" s="6">
        <v>1870794</v>
      </c>
      <c r="K264" s="7" t="s">
        <v>8943</v>
      </c>
      <c r="L264" s="8">
        <v>25566</v>
      </c>
      <c r="M264" s="8" t="str">
        <f t="shared" si="36"/>
        <v>PEN</v>
      </c>
      <c r="N264" s="13"/>
      <c r="O264" s="13">
        <v>8</v>
      </c>
      <c r="P264" s="3">
        <f t="shared" si="37"/>
        <v>0</v>
      </c>
      <c r="Q264" s="3">
        <f t="shared" si="38"/>
        <v>8</v>
      </c>
      <c r="R264" s="3">
        <f t="shared" si="39"/>
        <v>698.99999999999955</v>
      </c>
      <c r="S264" s="24" t="s">
        <v>1334</v>
      </c>
      <c r="T264" s="24"/>
      <c r="U264" s="3"/>
      <c r="V264" s="25" t="s">
        <v>7761</v>
      </c>
      <c r="W264" s="25">
        <v>20517252558</v>
      </c>
      <c r="X264" s="25" t="str">
        <f>IFERROR(VLOOKUP(C_Ope_006[[#This Row],[nota_2]],Clientes_Proveedores[[Ruc / Dni]:[Razon Social]],2,0),"")</f>
        <v>COVISUR S.A.</v>
      </c>
      <c r="Y264" s="25" t="s">
        <v>7888</v>
      </c>
      <c r="Z264" s="15"/>
      <c r="AA264" s="3" t="str">
        <f>IF(C_Ope_006[[#This Row],[fecha]]&gt;0,TEXT(C_Ope_006[[#This Row],[fecha]],"mmmm"),0)</f>
        <v>Setiembre</v>
      </c>
      <c r="AB264" s="49"/>
    </row>
    <row r="265" spans="1:35" ht="36" x14ac:dyDescent="0.3">
      <c r="A265" s="2">
        <f>IF(C_Ope_006[[#This Row],[tipo_r]]="R",COUNTIFS($C$1:$C264,"R")+1,"")</f>
        <v>264</v>
      </c>
      <c r="B265" s="19" t="str">
        <f t="shared" si="35"/>
        <v>C_Ope_006</v>
      </c>
      <c r="C265" s="3" t="s">
        <v>1330</v>
      </c>
      <c r="D265" s="14">
        <v>45922</v>
      </c>
      <c r="E265" s="5" t="s">
        <v>8918</v>
      </c>
      <c r="F265" s="5" t="s">
        <v>1336</v>
      </c>
      <c r="G265" s="6" t="s">
        <v>227</v>
      </c>
      <c r="H265" s="6" t="s">
        <v>68</v>
      </c>
      <c r="I265" s="6" t="s">
        <v>1390</v>
      </c>
      <c r="J265" s="6">
        <v>136813</v>
      </c>
      <c r="K265" s="7" t="s">
        <v>8944</v>
      </c>
      <c r="L265" s="8">
        <v>25542</v>
      </c>
      <c r="M265" s="8" t="str">
        <f t="shared" si="36"/>
        <v>PEN</v>
      </c>
      <c r="N265" s="13"/>
      <c r="O265" s="13">
        <v>10</v>
      </c>
      <c r="P265" s="3">
        <f t="shared" si="37"/>
        <v>0</v>
      </c>
      <c r="Q265" s="3">
        <f t="shared" si="38"/>
        <v>10</v>
      </c>
      <c r="R265" s="3">
        <f t="shared" si="39"/>
        <v>688.99999999999955</v>
      </c>
      <c r="S265" s="24" t="s">
        <v>1334</v>
      </c>
      <c r="T265" s="24"/>
      <c r="U265" s="3"/>
      <c r="V265" s="25" t="s">
        <v>7761</v>
      </c>
      <c r="W265" s="25">
        <v>20124952850</v>
      </c>
      <c r="X265" s="25" t="str">
        <f>IFERROR(VLOOKUP(C_Ope_006[[#This Row],[nota_2]],Clientes_Proveedores[[Ruc / Dni]:[Razon Social]],2,0),"")</f>
        <v>ALIMENTOS Y SERVICIOS AGROPECUARIOS SRL.</v>
      </c>
      <c r="Y265" s="25" t="s">
        <v>5933</v>
      </c>
      <c r="Z265" s="15"/>
      <c r="AA265" s="3" t="str">
        <f>IF(C_Ope_006[[#This Row],[fecha]]&gt;0,TEXT(C_Ope_006[[#This Row],[fecha]],"mmmm"),0)</f>
        <v>Setiembre</v>
      </c>
      <c r="AB265" s="49"/>
    </row>
    <row r="266" spans="1:35" ht="24" x14ac:dyDescent="0.3">
      <c r="A266" s="2">
        <f>IF(C_Ope_006[[#This Row],[tipo_r]]="R",COUNTIFS($C$1:$C265,"R")+1,"")</f>
        <v>265</v>
      </c>
      <c r="B266" s="19" t="str">
        <f t="shared" si="35"/>
        <v>C_Ope_006</v>
      </c>
      <c r="C266" s="3" t="s">
        <v>1330</v>
      </c>
      <c r="D266" s="14">
        <v>45923</v>
      </c>
      <c r="E266" s="5" t="s">
        <v>8918</v>
      </c>
      <c r="F266" s="5" t="s">
        <v>1336</v>
      </c>
      <c r="G266" s="6" t="s">
        <v>978</v>
      </c>
      <c r="H266" s="6" t="s">
        <v>68</v>
      </c>
      <c r="I266" s="6" t="s">
        <v>8552</v>
      </c>
      <c r="J266" s="6">
        <v>1911464</v>
      </c>
      <c r="K266" s="7" t="s">
        <v>8945</v>
      </c>
      <c r="L266" s="8">
        <v>25609</v>
      </c>
      <c r="M266" s="8" t="str">
        <f t="shared" si="36"/>
        <v>PEN</v>
      </c>
      <c r="N266" s="13"/>
      <c r="O266" s="13">
        <v>7.7</v>
      </c>
      <c r="P266" s="3">
        <f t="shared" si="37"/>
        <v>0</v>
      </c>
      <c r="Q266" s="3">
        <f t="shared" si="38"/>
        <v>7.7</v>
      </c>
      <c r="R266" s="3">
        <f t="shared" si="39"/>
        <v>681.2999999999995</v>
      </c>
      <c r="S266" s="24" t="s">
        <v>1334</v>
      </c>
      <c r="T266" s="24"/>
      <c r="U266" s="3"/>
      <c r="V266" s="25" t="s">
        <v>7761</v>
      </c>
      <c r="W266" s="25">
        <v>20517252558</v>
      </c>
      <c r="X266" s="25" t="str">
        <f>IFERROR(VLOOKUP(C_Ope_006[[#This Row],[nota_2]],Clientes_Proveedores[[Ruc / Dni]:[Razon Social]],2,0),"")</f>
        <v>COVISUR S.A.</v>
      </c>
      <c r="Y266" s="25" t="s">
        <v>7888</v>
      </c>
      <c r="Z266" s="15"/>
      <c r="AA266" s="3" t="str">
        <f>IF(C_Ope_006[[#This Row],[fecha]]&gt;0,TEXT(C_Ope_006[[#This Row],[fecha]],"mmmm"),0)</f>
        <v>Setiembre</v>
      </c>
      <c r="AB266" s="49"/>
    </row>
    <row r="267" spans="1:35" ht="24" x14ac:dyDescent="0.3">
      <c r="A267" s="2">
        <f>IF(C_Ope_006[[#This Row],[tipo_r]]="R",COUNTIFS($C$1:$C266,"R")+1,"")</f>
        <v>266</v>
      </c>
      <c r="B267" s="19" t="str">
        <f t="shared" si="35"/>
        <v>C_Ope_006</v>
      </c>
      <c r="C267" s="3" t="s">
        <v>1330</v>
      </c>
      <c r="D267" s="14">
        <v>45923</v>
      </c>
      <c r="E267" s="5" t="s">
        <v>8918</v>
      </c>
      <c r="F267" s="5" t="s">
        <v>1336</v>
      </c>
      <c r="G267" s="6" t="s">
        <v>1009</v>
      </c>
      <c r="H267" s="6" t="s">
        <v>126</v>
      </c>
      <c r="I267" s="6"/>
      <c r="J267" s="8">
        <v>25646</v>
      </c>
      <c r="K267" s="7" t="s">
        <v>8946</v>
      </c>
      <c r="L267" s="8">
        <v>25646</v>
      </c>
      <c r="M267" s="8" t="str">
        <f t="shared" si="36"/>
        <v>PEN</v>
      </c>
      <c r="N267" s="13"/>
      <c r="O267" s="13">
        <v>24</v>
      </c>
      <c r="P267" s="3">
        <f t="shared" si="37"/>
        <v>0</v>
      </c>
      <c r="Q267" s="3">
        <f t="shared" si="38"/>
        <v>24</v>
      </c>
      <c r="R267" s="3">
        <f t="shared" si="39"/>
        <v>657.2999999999995</v>
      </c>
      <c r="S267" s="24" t="s">
        <v>1334</v>
      </c>
      <c r="T267" s="24"/>
      <c r="U267" s="3"/>
      <c r="V267" s="25" t="s">
        <v>7761</v>
      </c>
      <c r="W267" s="25"/>
      <c r="X267" s="25" t="str">
        <f>IFERROR(VLOOKUP(C_Ope_006[[#This Row],[nota_2]],Clientes_Proveedores[[Ruc / Dni]:[Razon Social]],2,0),"")</f>
        <v/>
      </c>
      <c r="Y267" s="25" t="s">
        <v>8430</v>
      </c>
      <c r="Z267" s="15"/>
      <c r="AA267" s="3" t="str">
        <f>IF(C_Ope_006[[#This Row],[fecha]]&gt;0,TEXT(C_Ope_006[[#This Row],[fecha]],"mmmm"),0)</f>
        <v>Setiembre</v>
      </c>
      <c r="AB267" s="49"/>
    </row>
    <row r="268" spans="1:35" ht="24" x14ac:dyDescent="0.3">
      <c r="A268" s="2">
        <f>IF(C_Ope_006[[#This Row],[tipo_r]]="R",COUNTIFS($C$1:$C267,"R")+1,"")</f>
        <v>267</v>
      </c>
      <c r="B268" s="19" t="str">
        <f t="shared" si="35"/>
        <v>C_Ope_006</v>
      </c>
      <c r="C268" s="3" t="s">
        <v>1330</v>
      </c>
      <c r="D268" s="14">
        <v>45923</v>
      </c>
      <c r="E268" s="5" t="s">
        <v>8918</v>
      </c>
      <c r="F268" s="5" t="s">
        <v>1336</v>
      </c>
      <c r="G268" s="6" t="s">
        <v>1065</v>
      </c>
      <c r="H268" s="6" t="s">
        <v>75</v>
      </c>
      <c r="I268" s="6">
        <v>1</v>
      </c>
      <c r="J268" s="6">
        <v>201</v>
      </c>
      <c r="K268" s="7" t="s">
        <v>8947</v>
      </c>
      <c r="L268" s="8">
        <v>25647</v>
      </c>
      <c r="M268" s="8" t="str">
        <f t="shared" si="36"/>
        <v>PEN</v>
      </c>
      <c r="N268" s="13"/>
      <c r="O268" s="13">
        <v>100</v>
      </c>
      <c r="P268" s="3">
        <f t="shared" si="37"/>
        <v>0</v>
      </c>
      <c r="Q268" s="3">
        <f t="shared" si="38"/>
        <v>100</v>
      </c>
      <c r="R268" s="3">
        <f t="shared" si="39"/>
        <v>557.2999999999995</v>
      </c>
      <c r="S268" s="24" t="s">
        <v>1334</v>
      </c>
      <c r="T268" s="24"/>
      <c r="U268" s="3"/>
      <c r="V268" s="25" t="s">
        <v>7761</v>
      </c>
      <c r="W268" s="25">
        <v>10710506634</v>
      </c>
      <c r="X268" s="25" t="str">
        <f>IFERROR(VLOOKUP(C_Ope_006[[#This Row],[nota_2]],Clientes_Proveedores[[Ruc / Dni]:[Razon Social]],2,0),"")</f>
        <v>LAZARTE QUISPE ELVIS WALDIR</v>
      </c>
      <c r="Y268" s="25" t="s">
        <v>7910</v>
      </c>
      <c r="Z268" s="15"/>
      <c r="AA268" s="3" t="str">
        <f>IF(C_Ope_006[[#This Row],[fecha]]&gt;0,TEXT(C_Ope_006[[#This Row],[fecha]],"mmmm"),0)</f>
        <v>Setiembre</v>
      </c>
      <c r="AB268" s="49"/>
    </row>
    <row r="269" spans="1:35" ht="24" x14ac:dyDescent="0.3">
      <c r="A269" s="2">
        <f>IF(C_Ope_006[[#This Row],[tipo_r]]="R",COUNTIFS($C$1:$C268,"R")+1,"")</f>
        <v>268</v>
      </c>
      <c r="B269" s="19" t="str">
        <f t="shared" si="35"/>
        <v>C_Ope_006</v>
      </c>
      <c r="C269" s="3" t="s">
        <v>1330</v>
      </c>
      <c r="D269" s="14">
        <v>45923</v>
      </c>
      <c r="E269" s="5" t="s">
        <v>8918</v>
      </c>
      <c r="F269" s="5" t="s">
        <v>1336</v>
      </c>
      <c r="G269" s="6" t="s">
        <v>1009</v>
      </c>
      <c r="H269" s="6" t="s">
        <v>126</v>
      </c>
      <c r="I269" s="6"/>
      <c r="J269" s="8">
        <v>25648</v>
      </c>
      <c r="K269" s="7" t="s">
        <v>8948</v>
      </c>
      <c r="L269" s="8">
        <v>25648</v>
      </c>
      <c r="M269" s="8" t="str">
        <f t="shared" si="36"/>
        <v>PEN</v>
      </c>
      <c r="N269" s="13"/>
      <c r="O269" s="13">
        <v>20</v>
      </c>
      <c r="P269" s="3">
        <f t="shared" si="37"/>
        <v>0</v>
      </c>
      <c r="Q269" s="3">
        <f t="shared" si="38"/>
        <v>20</v>
      </c>
      <c r="R269" s="3">
        <f t="shared" si="39"/>
        <v>537.2999999999995</v>
      </c>
      <c r="S269" s="24" t="s">
        <v>1334</v>
      </c>
      <c r="T269" s="24"/>
      <c r="U269" s="3"/>
      <c r="V269" s="25" t="s">
        <v>7761</v>
      </c>
      <c r="W269" s="25"/>
      <c r="X269" s="25" t="str">
        <f>IFERROR(VLOOKUP(C_Ope_006[[#This Row],[nota_2]],Clientes_Proveedores[[Ruc / Dni]:[Razon Social]],2,0),"")</f>
        <v/>
      </c>
      <c r="Y269" s="25" t="s">
        <v>8441</v>
      </c>
      <c r="Z269" s="15"/>
      <c r="AA269" s="3" t="str">
        <f>IF(C_Ope_006[[#This Row],[fecha]]&gt;0,TEXT(C_Ope_006[[#This Row],[fecha]],"mmmm"),0)</f>
        <v>Setiembre</v>
      </c>
      <c r="AB269" s="49"/>
    </row>
    <row r="270" spans="1:35" ht="24" x14ac:dyDescent="0.3">
      <c r="A270" s="2">
        <f>IF(C_Ope_006[[#This Row],[tipo_r]]="R",COUNTIFS($C$1:$C269,"R")+1,"")</f>
        <v>269</v>
      </c>
      <c r="B270" s="19" t="str">
        <f t="shared" si="35"/>
        <v>C_Ope_006</v>
      </c>
      <c r="C270" s="3" t="s">
        <v>1330</v>
      </c>
      <c r="D270" s="14">
        <v>45924</v>
      </c>
      <c r="E270" s="5" t="s">
        <v>8918</v>
      </c>
      <c r="F270" s="5" t="s">
        <v>1336</v>
      </c>
      <c r="G270" s="6" t="s">
        <v>1036</v>
      </c>
      <c r="H270" s="6" t="s">
        <v>68</v>
      </c>
      <c r="I270" s="6" t="s">
        <v>8554</v>
      </c>
      <c r="J270" s="6">
        <v>660755</v>
      </c>
      <c r="K270" s="7" t="s">
        <v>8949</v>
      </c>
      <c r="L270" s="8">
        <v>25610</v>
      </c>
      <c r="M270" s="8" t="str">
        <f t="shared" si="36"/>
        <v>PEN</v>
      </c>
      <c r="N270" s="13"/>
      <c r="O270" s="13">
        <v>7.7</v>
      </c>
      <c r="P270" s="3">
        <f t="shared" si="37"/>
        <v>0</v>
      </c>
      <c r="Q270" s="3">
        <f t="shared" si="38"/>
        <v>7.7</v>
      </c>
      <c r="R270" s="3">
        <f t="shared" si="39"/>
        <v>529.59999999999945</v>
      </c>
      <c r="S270" s="24" t="s">
        <v>1334</v>
      </c>
      <c r="T270" s="24"/>
      <c r="U270" s="3"/>
      <c r="V270" s="25" t="s">
        <v>7761</v>
      </c>
      <c r="W270" s="25">
        <v>20517216241</v>
      </c>
      <c r="X270" s="25" t="str">
        <f>IFERROR(VLOOKUP(C_Ope_006[[#This Row],[nota_2]],Clientes_Proveedores[[Ruc / Dni]:[Razon Social]],2,0),"")</f>
        <v>CARRETERA ANDINA DEL SUR S.A.C.</v>
      </c>
      <c r="Y270" s="25" t="s">
        <v>7888</v>
      </c>
      <c r="Z270" s="15"/>
      <c r="AA270" s="3" t="str">
        <f>IF(C_Ope_006[[#This Row],[fecha]]&gt;0,TEXT(C_Ope_006[[#This Row],[fecha]],"mmmm"),0)</f>
        <v>Setiembre</v>
      </c>
      <c r="AB270" s="49"/>
    </row>
    <row r="271" spans="1:35" ht="24" x14ac:dyDescent="0.3">
      <c r="A271" s="2">
        <f>IF(C_Ope_006[[#This Row],[tipo_r]]="R",COUNTIFS($C$1:$C270,"R")+1,"")</f>
        <v>270</v>
      </c>
      <c r="B271" s="19" t="str">
        <f t="shared" si="35"/>
        <v>C_Ope_006</v>
      </c>
      <c r="C271" s="3" t="s">
        <v>1330</v>
      </c>
      <c r="D271" s="14">
        <v>45924</v>
      </c>
      <c r="E271" s="5" t="s">
        <v>8918</v>
      </c>
      <c r="F271" s="5" t="s">
        <v>1336</v>
      </c>
      <c r="G271" s="6" t="s">
        <v>1009</v>
      </c>
      <c r="H271" s="6" t="s">
        <v>126</v>
      </c>
      <c r="I271" s="6"/>
      <c r="J271" s="8">
        <v>25649</v>
      </c>
      <c r="K271" s="7" t="s">
        <v>8950</v>
      </c>
      <c r="L271" s="8">
        <v>25649</v>
      </c>
      <c r="M271" s="8" t="str">
        <f t="shared" si="36"/>
        <v>PEN</v>
      </c>
      <c r="N271" s="13"/>
      <c r="O271" s="13">
        <v>24</v>
      </c>
      <c r="P271" s="3">
        <f t="shared" si="37"/>
        <v>0</v>
      </c>
      <c r="Q271" s="3">
        <f t="shared" si="38"/>
        <v>24</v>
      </c>
      <c r="R271" s="3">
        <f t="shared" si="39"/>
        <v>505.59999999999945</v>
      </c>
      <c r="S271" s="24" t="s">
        <v>1334</v>
      </c>
      <c r="T271" s="24"/>
      <c r="U271" s="3"/>
      <c r="V271" s="25" t="s">
        <v>7761</v>
      </c>
      <c r="W271" s="25"/>
      <c r="X271" s="25" t="str">
        <f>IFERROR(VLOOKUP(C_Ope_006[[#This Row],[nota_2]],Clientes_Proveedores[[Ruc / Dni]:[Razon Social]],2,0),"")</f>
        <v/>
      </c>
      <c r="Y271" s="25" t="s">
        <v>8430</v>
      </c>
      <c r="Z271" s="15"/>
      <c r="AA271" s="3" t="str">
        <f>IF(C_Ope_006[[#This Row],[fecha]]&gt;0,TEXT(C_Ope_006[[#This Row],[fecha]],"mmmm"),0)</f>
        <v>Setiembre</v>
      </c>
      <c r="AB271" s="49"/>
    </row>
    <row r="272" spans="1:35" ht="24" x14ac:dyDescent="0.3">
      <c r="A272" s="2">
        <f>IF(C_Ope_006[[#This Row],[tipo_r]]="R",COUNTIFS($C$1:$C271,"R")+1,"")</f>
        <v>271</v>
      </c>
      <c r="B272" s="19" t="str">
        <f t="shared" si="35"/>
        <v>C_Ope_006</v>
      </c>
      <c r="C272" s="3" t="s">
        <v>1330</v>
      </c>
      <c r="D272" s="14">
        <v>45924</v>
      </c>
      <c r="E272" s="5" t="s">
        <v>8918</v>
      </c>
      <c r="F272" s="5" t="s">
        <v>1336</v>
      </c>
      <c r="G272" s="6" t="s">
        <v>1009</v>
      </c>
      <c r="H272" s="6" t="s">
        <v>126</v>
      </c>
      <c r="I272" s="6"/>
      <c r="J272" s="8">
        <v>25650</v>
      </c>
      <c r="K272" s="7" t="s">
        <v>8951</v>
      </c>
      <c r="L272" s="8">
        <v>25650</v>
      </c>
      <c r="M272" s="8" t="str">
        <f t="shared" si="36"/>
        <v>PEN</v>
      </c>
      <c r="N272" s="13"/>
      <c r="O272" s="13">
        <v>30</v>
      </c>
      <c r="P272" s="3">
        <f t="shared" si="37"/>
        <v>0</v>
      </c>
      <c r="Q272" s="3">
        <f t="shared" si="38"/>
        <v>30</v>
      </c>
      <c r="R272" s="3">
        <f t="shared" si="39"/>
        <v>475.59999999999945</v>
      </c>
      <c r="S272" s="24" t="s">
        <v>1334</v>
      </c>
      <c r="T272" s="24"/>
      <c r="U272" s="3"/>
      <c r="V272" s="25" t="s">
        <v>7761</v>
      </c>
      <c r="W272" s="25"/>
      <c r="X272" s="25" t="str">
        <f>IFERROR(VLOOKUP(C_Ope_006[[#This Row],[nota_2]],Clientes_Proveedores[[Ruc / Dni]:[Razon Social]],2,0),"")</f>
        <v/>
      </c>
      <c r="Y272" s="25" t="s">
        <v>8430</v>
      </c>
      <c r="Z272" s="15"/>
      <c r="AA272" s="3" t="str">
        <f>IF(C_Ope_006[[#This Row],[fecha]]&gt;0,TEXT(C_Ope_006[[#This Row],[fecha]],"mmmm"),0)</f>
        <v>Setiembre</v>
      </c>
      <c r="AB272" s="49"/>
    </row>
    <row r="273" spans="1:28" ht="24" x14ac:dyDescent="0.3">
      <c r="A273" s="2">
        <f>IF(C_Ope_006[[#This Row],[tipo_r]]="R",COUNTIFS($C$1:$C272,"R")+1,"")</f>
        <v>272</v>
      </c>
      <c r="B273" s="19" t="str">
        <f t="shared" si="35"/>
        <v>C_Ope_006</v>
      </c>
      <c r="C273" s="3" t="s">
        <v>1330</v>
      </c>
      <c r="D273" s="14">
        <v>45924</v>
      </c>
      <c r="E273" s="5" t="s">
        <v>8918</v>
      </c>
      <c r="F273" s="5" t="s">
        <v>1336</v>
      </c>
      <c r="G273" s="6" t="s">
        <v>1009</v>
      </c>
      <c r="H273" s="6" t="s">
        <v>126</v>
      </c>
      <c r="I273" s="6"/>
      <c r="J273" s="8">
        <v>25651</v>
      </c>
      <c r="K273" s="7" t="s">
        <v>8946</v>
      </c>
      <c r="L273" s="8">
        <v>25651</v>
      </c>
      <c r="M273" s="8" t="str">
        <f t="shared" si="36"/>
        <v>PEN</v>
      </c>
      <c r="N273" s="13"/>
      <c r="O273" s="13">
        <v>24</v>
      </c>
      <c r="P273" s="3">
        <f t="shared" si="37"/>
        <v>0</v>
      </c>
      <c r="Q273" s="3">
        <f t="shared" si="38"/>
        <v>24</v>
      </c>
      <c r="R273" s="3">
        <f t="shared" si="39"/>
        <v>451.59999999999945</v>
      </c>
      <c r="S273" s="24" t="s">
        <v>1334</v>
      </c>
      <c r="T273" s="24"/>
      <c r="U273" s="3"/>
      <c r="V273" s="25" t="s">
        <v>7761</v>
      </c>
      <c r="W273" s="25"/>
      <c r="X273" s="25" t="str">
        <f>IFERROR(VLOOKUP(C_Ope_006[[#This Row],[nota_2]],Clientes_Proveedores[[Ruc / Dni]:[Razon Social]],2,0),"")</f>
        <v/>
      </c>
      <c r="Y273" s="25" t="s">
        <v>8430</v>
      </c>
      <c r="Z273" s="15"/>
      <c r="AA273" s="3" t="str">
        <f>IF(C_Ope_006[[#This Row],[fecha]]&gt;0,TEXT(C_Ope_006[[#This Row],[fecha]],"mmmm"),0)</f>
        <v>Setiembre</v>
      </c>
      <c r="AB273" s="49"/>
    </row>
    <row r="274" spans="1:28" x14ac:dyDescent="0.3">
      <c r="A274" s="2">
        <f>IF(C_Ope_006[[#This Row],[tipo_r]]="R",COUNTIFS($C$1:$C273,"R")+1,"")</f>
        <v>273</v>
      </c>
      <c r="B274" s="19" t="str">
        <f t="shared" si="35"/>
        <v>C_Ope_006</v>
      </c>
      <c r="C274" s="3" t="s">
        <v>1330</v>
      </c>
      <c r="D274" s="14">
        <v>45924</v>
      </c>
      <c r="E274" s="5" t="s">
        <v>8918</v>
      </c>
      <c r="F274" s="5" t="s">
        <v>1336</v>
      </c>
      <c r="G274" s="6" t="s">
        <v>1009</v>
      </c>
      <c r="H274" s="6" t="s">
        <v>126</v>
      </c>
      <c r="I274" s="6"/>
      <c r="J274" s="8">
        <v>25652</v>
      </c>
      <c r="K274" s="7" t="s">
        <v>8952</v>
      </c>
      <c r="L274" s="8">
        <v>25652</v>
      </c>
      <c r="M274" s="8" t="str">
        <f t="shared" si="36"/>
        <v>PEN</v>
      </c>
      <c r="N274" s="13"/>
      <c r="O274" s="13">
        <v>20</v>
      </c>
      <c r="P274" s="3">
        <f t="shared" si="37"/>
        <v>0</v>
      </c>
      <c r="Q274" s="3">
        <f t="shared" si="38"/>
        <v>20</v>
      </c>
      <c r="R274" s="3">
        <f t="shared" si="39"/>
        <v>431.59999999999945</v>
      </c>
      <c r="S274" s="24" t="s">
        <v>1334</v>
      </c>
      <c r="T274" s="24"/>
      <c r="U274" s="3"/>
      <c r="V274" s="25" t="s">
        <v>7761</v>
      </c>
      <c r="W274" s="25"/>
      <c r="X274" s="25" t="str">
        <f>IFERROR(VLOOKUP(C_Ope_006[[#This Row],[nota_2]],Clientes_Proveedores[[Ruc / Dni]:[Razon Social]],2,0),"")</f>
        <v/>
      </c>
      <c r="Y274" s="25" t="s">
        <v>8441</v>
      </c>
      <c r="Z274" s="15"/>
      <c r="AA274" s="3" t="str">
        <f>IF(C_Ope_006[[#This Row],[fecha]]&gt;0,TEXT(C_Ope_006[[#This Row],[fecha]],"mmmm"),0)</f>
        <v>Setiembre</v>
      </c>
      <c r="AB274" s="49"/>
    </row>
    <row r="275" spans="1:28" ht="24" x14ac:dyDescent="0.3">
      <c r="A275" s="2">
        <f>IF(C_Ope_006[[#This Row],[tipo_r]]="R",COUNTIFS($C$1:$C274,"R")+1,"")</f>
        <v>274</v>
      </c>
      <c r="B275" s="19" t="str">
        <f t="shared" si="35"/>
        <v>C_Ope_006</v>
      </c>
      <c r="C275" s="3" t="s">
        <v>1330</v>
      </c>
      <c r="D275" s="14">
        <v>45924</v>
      </c>
      <c r="E275" s="5" t="s">
        <v>8918</v>
      </c>
      <c r="F275" s="5" t="s">
        <v>1336</v>
      </c>
      <c r="G275" s="6" t="s">
        <v>1009</v>
      </c>
      <c r="H275" s="6" t="s">
        <v>126</v>
      </c>
      <c r="I275" s="6"/>
      <c r="J275" s="8">
        <v>25653</v>
      </c>
      <c r="K275" s="7" t="s">
        <v>8953</v>
      </c>
      <c r="L275" s="8">
        <v>25653</v>
      </c>
      <c r="M275" s="8" t="str">
        <f t="shared" si="36"/>
        <v>PEN</v>
      </c>
      <c r="N275" s="13"/>
      <c r="O275" s="13">
        <v>100</v>
      </c>
      <c r="P275" s="3">
        <f t="shared" si="37"/>
        <v>0</v>
      </c>
      <c r="Q275" s="3">
        <f t="shared" si="38"/>
        <v>100</v>
      </c>
      <c r="R275" s="3">
        <f t="shared" si="39"/>
        <v>331.59999999999945</v>
      </c>
      <c r="S275" s="24" t="s">
        <v>1334</v>
      </c>
      <c r="T275" s="24"/>
      <c r="U275" s="3"/>
      <c r="V275" s="25" t="s">
        <v>7761</v>
      </c>
      <c r="W275" s="25"/>
      <c r="X275" s="25" t="str">
        <f>IFERROR(VLOOKUP(C_Ope_006[[#This Row],[nota_2]],Clientes_Proveedores[[Ruc / Dni]:[Razon Social]],2,0),"")</f>
        <v/>
      </c>
      <c r="Y275" s="25" t="s">
        <v>7910</v>
      </c>
      <c r="Z275" s="15"/>
      <c r="AA275" s="3" t="str">
        <f>IF(C_Ope_006[[#This Row],[fecha]]&gt;0,TEXT(C_Ope_006[[#This Row],[fecha]],"mmmm"),0)</f>
        <v>Setiembre</v>
      </c>
      <c r="AB275" s="49"/>
    </row>
    <row r="276" spans="1:28" ht="24" x14ac:dyDescent="0.3">
      <c r="A276" s="2">
        <f>IF(C_Ope_006[[#This Row],[tipo_r]]="R",COUNTIFS($C$1:$C275,"R")+1,"")</f>
        <v>275</v>
      </c>
      <c r="B276" s="19" t="str">
        <f t="shared" si="35"/>
        <v>C_Ope_006</v>
      </c>
      <c r="C276" s="3" t="s">
        <v>1330</v>
      </c>
      <c r="D276" s="14">
        <v>45925</v>
      </c>
      <c r="E276" s="5" t="s">
        <v>8918</v>
      </c>
      <c r="F276" s="5" t="s">
        <v>1336</v>
      </c>
      <c r="G276" s="6" t="s">
        <v>1063</v>
      </c>
      <c r="H276" s="6" t="s">
        <v>68</v>
      </c>
      <c r="I276" s="6" t="s">
        <v>1374</v>
      </c>
      <c r="J276" s="6">
        <v>48399</v>
      </c>
      <c r="K276" s="7" t="s">
        <v>8954</v>
      </c>
      <c r="L276" s="8">
        <v>25616</v>
      </c>
      <c r="M276" s="8" t="str">
        <f t="shared" si="36"/>
        <v>PEN</v>
      </c>
      <c r="N276" s="13"/>
      <c r="O276" s="13">
        <v>150</v>
      </c>
      <c r="P276" s="3">
        <f t="shared" si="37"/>
        <v>0</v>
      </c>
      <c r="Q276" s="3">
        <f t="shared" si="38"/>
        <v>150</v>
      </c>
      <c r="R276" s="3">
        <f t="shared" si="39"/>
        <v>181.59999999999945</v>
      </c>
      <c r="S276" s="24" t="s">
        <v>1334</v>
      </c>
      <c r="T276" s="24"/>
      <c r="U276" s="3"/>
      <c r="V276" s="25" t="s">
        <v>7761</v>
      </c>
      <c r="W276" s="25">
        <v>20485592556</v>
      </c>
      <c r="X276" s="25" t="str">
        <f>IFERROR(VLOOKUP(C_Ope_006[[#This Row],[nota_2]],Clientes_Proveedores[[Ruc / Dni]:[Razon Social]],2,0),"")</f>
        <v>SERVICENTRO SANTA MARTHA E.I.R.LTDA.</v>
      </c>
      <c r="Y276" s="25" t="s">
        <v>3552</v>
      </c>
      <c r="Z276" s="15"/>
      <c r="AA276" s="3" t="str">
        <f>IF(C_Ope_006[[#This Row],[fecha]]&gt;0,TEXT(C_Ope_006[[#This Row],[fecha]],"mmmm"),0)</f>
        <v>Setiembre</v>
      </c>
      <c r="AB276" s="49"/>
    </row>
    <row r="277" spans="1:28" ht="24" x14ac:dyDescent="0.3">
      <c r="A277" s="2">
        <f>IF(C_Ope_006[[#This Row],[tipo_r]]="R",COUNTIFS($C$1:$C276,"R")+1,"")</f>
        <v>276</v>
      </c>
      <c r="B277" s="19" t="str">
        <f t="shared" si="35"/>
        <v>C_Ope_006</v>
      </c>
      <c r="C277" s="3" t="s">
        <v>1330</v>
      </c>
      <c r="D277" s="14">
        <v>45925</v>
      </c>
      <c r="E277" s="5" t="s">
        <v>8918</v>
      </c>
      <c r="F277" s="5" t="s">
        <v>1336</v>
      </c>
      <c r="G277" s="6" t="s">
        <v>1036</v>
      </c>
      <c r="H277" s="6" t="s">
        <v>68</v>
      </c>
      <c r="I277" s="6" t="s">
        <v>8556</v>
      </c>
      <c r="J277" s="6">
        <v>674086</v>
      </c>
      <c r="K277" s="7" t="s">
        <v>8955</v>
      </c>
      <c r="L277" s="8">
        <v>25611</v>
      </c>
      <c r="M277" s="8" t="str">
        <f t="shared" si="36"/>
        <v>PEN</v>
      </c>
      <c r="N277" s="13"/>
      <c r="O277" s="13">
        <v>7.7</v>
      </c>
      <c r="P277" s="3">
        <f t="shared" si="37"/>
        <v>0</v>
      </c>
      <c r="Q277" s="3">
        <f t="shared" si="38"/>
        <v>7.7</v>
      </c>
      <c r="R277" s="3">
        <f t="shared" si="39"/>
        <v>173.89999999999947</v>
      </c>
      <c r="S277" s="24" t="s">
        <v>1334</v>
      </c>
      <c r="T277" s="24"/>
      <c r="U277" s="3"/>
      <c r="V277" s="25" t="s">
        <v>7761</v>
      </c>
      <c r="W277" s="25">
        <v>20517216241</v>
      </c>
      <c r="X277" s="25" t="str">
        <f>IFERROR(VLOOKUP(C_Ope_006[[#This Row],[nota_2]],Clientes_Proveedores[[Ruc / Dni]:[Razon Social]],2,0),"")</f>
        <v>CARRETERA ANDINA DEL SUR S.A.C.</v>
      </c>
      <c r="Y277" s="25" t="s">
        <v>7888</v>
      </c>
      <c r="Z277" s="15"/>
      <c r="AA277" s="3" t="str">
        <f>IF(C_Ope_006[[#This Row],[fecha]]&gt;0,TEXT(C_Ope_006[[#This Row],[fecha]],"mmmm"),0)</f>
        <v>Setiembre</v>
      </c>
      <c r="AB277" s="49"/>
    </row>
    <row r="278" spans="1:28" ht="24" x14ac:dyDescent="0.3">
      <c r="A278" s="2">
        <f>IF(C_Ope_006[[#This Row],[tipo_r]]="R",COUNTIFS($C$1:$C277,"R")+1,"")</f>
        <v>277</v>
      </c>
      <c r="B278" s="19" t="str">
        <f t="shared" si="35"/>
        <v>C_Ope_006</v>
      </c>
      <c r="C278" s="3" t="s">
        <v>1330</v>
      </c>
      <c r="D278" s="14">
        <v>45925</v>
      </c>
      <c r="E278" s="5" t="s">
        <v>8918</v>
      </c>
      <c r="F278" s="5" t="s">
        <v>1336</v>
      </c>
      <c r="G278" s="6" t="s">
        <v>1009</v>
      </c>
      <c r="H278" s="6" t="s">
        <v>126</v>
      </c>
      <c r="I278" s="6"/>
      <c r="J278" s="8">
        <v>25655</v>
      </c>
      <c r="K278" s="7" t="s">
        <v>8956</v>
      </c>
      <c r="L278" s="8">
        <v>25655</v>
      </c>
      <c r="M278" s="8" t="str">
        <f t="shared" si="36"/>
        <v>PEN</v>
      </c>
      <c r="N278" s="13"/>
      <c r="O278" s="13">
        <v>24</v>
      </c>
      <c r="P278" s="3">
        <f t="shared" si="37"/>
        <v>0</v>
      </c>
      <c r="Q278" s="3">
        <f t="shared" si="38"/>
        <v>24</v>
      </c>
      <c r="R278" s="3">
        <f t="shared" si="39"/>
        <v>149.89999999999947</v>
      </c>
      <c r="S278" s="24" t="s">
        <v>1334</v>
      </c>
      <c r="T278" s="24"/>
      <c r="U278" s="3"/>
      <c r="V278" s="25" t="s">
        <v>7761</v>
      </c>
      <c r="W278" s="25"/>
      <c r="X278" s="25" t="str">
        <f>IFERROR(VLOOKUP(C_Ope_006[[#This Row],[nota_2]],Clientes_Proveedores[[Ruc / Dni]:[Razon Social]],2,0),"")</f>
        <v/>
      </c>
      <c r="Y278" s="25" t="s">
        <v>8430</v>
      </c>
      <c r="Z278" s="15"/>
      <c r="AA278" s="3" t="str">
        <f>IF(C_Ope_006[[#This Row],[fecha]]&gt;0,TEXT(C_Ope_006[[#This Row],[fecha]],"mmmm"),0)</f>
        <v>Setiembre</v>
      </c>
      <c r="AB278" s="49"/>
    </row>
    <row r="279" spans="1:28" ht="24" x14ac:dyDescent="0.3">
      <c r="A279" s="2">
        <f>IF(C_Ope_006[[#This Row],[tipo_r]]="R",COUNTIFS($C$1:$C278,"R")+1,"")</f>
        <v>278</v>
      </c>
      <c r="B279" s="19" t="str">
        <f t="shared" si="35"/>
        <v>C_Ope_006</v>
      </c>
      <c r="C279" s="3" t="s">
        <v>1330</v>
      </c>
      <c r="D279" s="14">
        <v>45925</v>
      </c>
      <c r="E279" s="5" t="s">
        <v>8918</v>
      </c>
      <c r="F279" s="5" t="s">
        <v>1336</v>
      </c>
      <c r="G279" s="6" t="s">
        <v>1009</v>
      </c>
      <c r="H279" s="6" t="s">
        <v>126</v>
      </c>
      <c r="I279" s="6"/>
      <c r="J279" s="8">
        <v>25656</v>
      </c>
      <c r="K279" s="7" t="s">
        <v>8951</v>
      </c>
      <c r="L279" s="8">
        <v>25656</v>
      </c>
      <c r="M279" s="8" t="str">
        <f t="shared" si="36"/>
        <v>PEN</v>
      </c>
      <c r="N279" s="13"/>
      <c r="O279" s="13">
        <v>30</v>
      </c>
      <c r="P279" s="3">
        <f t="shared" si="37"/>
        <v>0</v>
      </c>
      <c r="Q279" s="3">
        <f t="shared" si="38"/>
        <v>30</v>
      </c>
      <c r="R279" s="3">
        <f t="shared" si="39"/>
        <v>119.89999999999947</v>
      </c>
      <c r="S279" s="24" t="s">
        <v>1334</v>
      </c>
      <c r="T279" s="24"/>
      <c r="U279" s="3"/>
      <c r="V279" s="25" t="s">
        <v>7761</v>
      </c>
      <c r="W279" s="25"/>
      <c r="X279" s="25" t="str">
        <f>IFERROR(VLOOKUP(C_Ope_006[[#This Row],[nota_2]],Clientes_Proveedores[[Ruc / Dni]:[Razon Social]],2,0),"")</f>
        <v/>
      </c>
      <c r="Y279" s="25" t="s">
        <v>8430</v>
      </c>
      <c r="Z279" s="15"/>
      <c r="AA279" s="3" t="str">
        <f>IF(C_Ope_006[[#This Row],[fecha]]&gt;0,TEXT(C_Ope_006[[#This Row],[fecha]],"mmmm"),0)</f>
        <v>Setiembre</v>
      </c>
      <c r="AB279" s="49"/>
    </row>
    <row r="280" spans="1:28" ht="24" x14ac:dyDescent="0.3">
      <c r="A280" s="2">
        <f>IF(C_Ope_006[[#This Row],[tipo_r]]="R",COUNTIFS($C$1:$C279,"R")+1,"")</f>
        <v>279</v>
      </c>
      <c r="B280" s="19" t="str">
        <f t="shared" si="35"/>
        <v>C_Ope_006</v>
      </c>
      <c r="C280" s="3" t="s">
        <v>1330</v>
      </c>
      <c r="D280" s="14">
        <v>45925</v>
      </c>
      <c r="E280" s="5" t="s">
        <v>8918</v>
      </c>
      <c r="F280" s="5" t="s">
        <v>1336</v>
      </c>
      <c r="G280" s="6" t="s">
        <v>1009</v>
      </c>
      <c r="H280" s="6" t="s">
        <v>126</v>
      </c>
      <c r="I280" s="6"/>
      <c r="J280" s="8">
        <v>25657</v>
      </c>
      <c r="K280" s="7" t="s">
        <v>8946</v>
      </c>
      <c r="L280" s="8">
        <v>25657</v>
      </c>
      <c r="M280" s="8" t="str">
        <f t="shared" si="36"/>
        <v>PEN</v>
      </c>
      <c r="N280" s="13"/>
      <c r="O280" s="13">
        <v>24</v>
      </c>
      <c r="P280" s="3">
        <f t="shared" si="37"/>
        <v>0</v>
      </c>
      <c r="Q280" s="3">
        <f t="shared" si="38"/>
        <v>24</v>
      </c>
      <c r="R280" s="3">
        <f t="shared" si="39"/>
        <v>95.899999999999466</v>
      </c>
      <c r="S280" s="24" t="s">
        <v>1334</v>
      </c>
      <c r="T280" s="24"/>
      <c r="U280" s="3"/>
      <c r="V280" s="25" t="s">
        <v>7761</v>
      </c>
      <c r="W280" s="25"/>
      <c r="X280" s="25" t="str">
        <f>IFERROR(VLOOKUP(C_Ope_006[[#This Row],[nota_2]],Clientes_Proveedores[[Ruc / Dni]:[Razon Social]],2,0),"")</f>
        <v/>
      </c>
      <c r="Y280" s="25" t="s">
        <v>8430</v>
      </c>
      <c r="Z280" s="15"/>
      <c r="AA280" s="3" t="str">
        <f>IF(C_Ope_006[[#This Row],[fecha]]&gt;0,TEXT(C_Ope_006[[#This Row],[fecha]],"mmmm"),0)</f>
        <v>Setiembre</v>
      </c>
      <c r="AB280" s="49"/>
    </row>
    <row r="281" spans="1:28" ht="24" x14ac:dyDescent="0.3">
      <c r="A281" s="2">
        <f>IF(C_Ope_006[[#This Row],[tipo_r]]="R",COUNTIFS($C$1:$C280,"R")+1,"")</f>
        <v>280</v>
      </c>
      <c r="B281" s="19" t="str">
        <f t="shared" si="35"/>
        <v>C_Ope_006</v>
      </c>
      <c r="C281" s="3" t="s">
        <v>1330</v>
      </c>
      <c r="D281" s="14">
        <v>45925</v>
      </c>
      <c r="E281" s="5" t="s">
        <v>8918</v>
      </c>
      <c r="F281" s="5" t="s">
        <v>1336</v>
      </c>
      <c r="G281" s="6" t="s">
        <v>1110</v>
      </c>
      <c r="H281" s="6" t="s">
        <v>75</v>
      </c>
      <c r="I281" s="6">
        <v>1</v>
      </c>
      <c r="J281" s="6">
        <v>3456</v>
      </c>
      <c r="K281" s="7" t="s">
        <v>8947</v>
      </c>
      <c r="L281" s="8">
        <v>25658</v>
      </c>
      <c r="M281" s="8" t="str">
        <f t="shared" si="36"/>
        <v>PEN</v>
      </c>
      <c r="N281" s="13"/>
      <c r="O281" s="13">
        <v>100</v>
      </c>
      <c r="P281" s="3">
        <f t="shared" si="37"/>
        <v>0</v>
      </c>
      <c r="Q281" s="3">
        <f t="shared" si="38"/>
        <v>100</v>
      </c>
      <c r="R281" s="3">
        <f t="shared" si="39"/>
        <v>-4.1000000000005343</v>
      </c>
      <c r="S281" s="24" t="s">
        <v>1334</v>
      </c>
      <c r="T281" s="24"/>
      <c r="U281" s="3"/>
      <c r="V281" s="25" t="s">
        <v>7761</v>
      </c>
      <c r="W281" s="25">
        <v>10478277046</v>
      </c>
      <c r="X281" s="25" t="str">
        <f>IFERROR(VLOOKUP(C_Ope_006[[#This Row],[nota_2]],Clientes_Proveedores[[Ruc / Dni]:[Razon Social]],2,0),"")</f>
        <v>MENDOZA SANCHEZ DEYSI</v>
      </c>
      <c r="Y281" s="25" t="s">
        <v>7910</v>
      </c>
      <c r="Z281" s="15"/>
      <c r="AA281" s="3" t="str">
        <f>IF(C_Ope_006[[#This Row],[fecha]]&gt;0,TEXT(C_Ope_006[[#This Row],[fecha]],"mmmm"),0)</f>
        <v>Setiembre</v>
      </c>
      <c r="AB281" s="49"/>
    </row>
    <row r="282" spans="1:28" ht="24" x14ac:dyDescent="0.3">
      <c r="A282" s="2">
        <f>IF(C_Ope_006[[#This Row],[tipo_r]]="R",COUNTIFS($C$1:$C281,"R")+1,"")</f>
        <v>281</v>
      </c>
      <c r="B282" s="19" t="str">
        <f>"C_Ope_006"</f>
        <v>C_Ope_006</v>
      </c>
      <c r="C282" s="3" t="s">
        <v>1330</v>
      </c>
      <c r="D282" s="14">
        <v>45926</v>
      </c>
      <c r="E282" s="5" t="s">
        <v>3634</v>
      </c>
      <c r="F282" s="5" t="s">
        <v>1303</v>
      </c>
      <c r="G282" s="6" t="s">
        <v>1097</v>
      </c>
      <c r="H282" s="6"/>
      <c r="I282" s="6"/>
      <c r="J282" s="6"/>
      <c r="K282" s="7" t="s">
        <v>8475</v>
      </c>
      <c r="L282" s="8">
        <v>25604</v>
      </c>
      <c r="M282" s="8" t="str">
        <f>"PEN"</f>
        <v>PEN</v>
      </c>
      <c r="N282" s="13"/>
      <c r="O282" s="13">
        <v>200</v>
      </c>
      <c r="P282" s="3">
        <f>+IF(OR($F282="SALDO",$F282="INGRESO"),$O282,0)</f>
        <v>200</v>
      </c>
      <c r="Q282" s="3">
        <f>+IF($F282="EGRESO",$O282,0)</f>
        <v>0</v>
      </c>
      <c r="R282" s="3">
        <f t="shared" si="39"/>
        <v>195.89999999999947</v>
      </c>
      <c r="S282" s="24" t="s">
        <v>1334</v>
      </c>
      <c r="T282" s="24" t="s">
        <v>1334</v>
      </c>
      <c r="U282" s="3"/>
      <c r="V282" s="25"/>
      <c r="W282" s="25"/>
      <c r="X282" s="25" t="str">
        <f>IFERROR(VLOOKUP(C_Ope_006[[#This Row],[nota_2]],Clientes_Proveedores[[Ruc / Dni]:[Razon Social]],2,0),"")</f>
        <v/>
      </c>
      <c r="Y282" s="25"/>
      <c r="Z282" s="15">
        <f>ROUND(C_Ope_006[[#This Row],[monto]]/1.18,3)</f>
        <v>169.49199999999999</v>
      </c>
      <c r="AA282" s="3" t="str">
        <f>IF(C_Ope_006[[#This Row],[fecha]]&gt;0,TEXT(C_Ope_006[[#This Row],[fecha]],"mmmm"),0)</f>
        <v>Setiembre</v>
      </c>
      <c r="AB282" s="49"/>
    </row>
    <row r="283" spans="1:28" ht="24" x14ac:dyDescent="0.3">
      <c r="A283" s="2">
        <f>IF(C_Ope_006[[#This Row],[tipo_r]]="R",COUNTIFS($C$1:$C282,"R")+1,"")</f>
        <v>282</v>
      </c>
      <c r="B283" s="19" t="str">
        <f t="shared" si="35"/>
        <v>C_Ope_006</v>
      </c>
      <c r="C283" s="3" t="s">
        <v>1330</v>
      </c>
      <c r="D283" s="14">
        <v>45926</v>
      </c>
      <c r="E283" s="5" t="s">
        <v>8918</v>
      </c>
      <c r="F283" s="5" t="s">
        <v>1336</v>
      </c>
      <c r="G283" s="6" t="s">
        <v>978</v>
      </c>
      <c r="H283" s="6" t="s">
        <v>68</v>
      </c>
      <c r="I283" s="6" t="s">
        <v>8557</v>
      </c>
      <c r="J283" s="6">
        <v>1963973</v>
      </c>
      <c r="K283" s="7" t="s">
        <v>8957</v>
      </c>
      <c r="L283" s="8">
        <v>25612</v>
      </c>
      <c r="M283" s="8" t="str">
        <f t="shared" si="36"/>
        <v>PEN</v>
      </c>
      <c r="N283" s="13"/>
      <c r="O283" s="13">
        <v>7.7</v>
      </c>
      <c r="P283" s="3">
        <f t="shared" si="37"/>
        <v>0</v>
      </c>
      <c r="Q283" s="3">
        <f t="shared" si="38"/>
        <v>7.7</v>
      </c>
      <c r="R283" s="3">
        <f t="shared" si="39"/>
        <v>188.19999999999948</v>
      </c>
      <c r="S283" s="24" t="s">
        <v>1334</v>
      </c>
      <c r="T283" s="24"/>
      <c r="U283" s="3"/>
      <c r="V283" s="25" t="s">
        <v>7761</v>
      </c>
      <c r="W283" s="25">
        <v>20517252558</v>
      </c>
      <c r="X283" s="25" t="str">
        <f>IFERROR(VLOOKUP(C_Ope_006[[#This Row],[nota_2]],Clientes_Proveedores[[Ruc / Dni]:[Razon Social]],2,0),"")</f>
        <v>COVISUR S.A.</v>
      </c>
      <c r="Y283" s="25" t="s">
        <v>7888</v>
      </c>
      <c r="Z283" s="15"/>
      <c r="AA283" s="3" t="str">
        <f>IF(C_Ope_006[[#This Row],[fecha]]&gt;0,TEXT(C_Ope_006[[#This Row],[fecha]],"mmmm"),0)</f>
        <v>Setiembre</v>
      </c>
      <c r="AB283" s="49"/>
    </row>
    <row r="284" spans="1:28" ht="24" x14ac:dyDescent="0.3">
      <c r="A284" s="2">
        <f>IF(C_Ope_006[[#This Row],[tipo_r]]="R",COUNTIFS($C$1:$C283,"R")+1,"")</f>
        <v>283</v>
      </c>
      <c r="B284" s="19" t="str">
        <f t="shared" si="35"/>
        <v>C_Ope_006</v>
      </c>
      <c r="C284" s="3" t="s">
        <v>1330</v>
      </c>
      <c r="D284" s="14">
        <v>45926</v>
      </c>
      <c r="E284" s="5" t="s">
        <v>8918</v>
      </c>
      <c r="F284" s="5" t="s">
        <v>1336</v>
      </c>
      <c r="G284" s="6" t="s">
        <v>1009</v>
      </c>
      <c r="H284" s="6" t="s">
        <v>126</v>
      </c>
      <c r="I284" s="6"/>
      <c r="J284" s="8">
        <v>25660</v>
      </c>
      <c r="K284" s="7" t="s">
        <v>8958</v>
      </c>
      <c r="L284" s="8">
        <v>25660</v>
      </c>
      <c r="M284" s="8" t="str">
        <f t="shared" si="36"/>
        <v>PEN</v>
      </c>
      <c r="N284" s="13"/>
      <c r="O284" s="13">
        <v>24</v>
      </c>
      <c r="P284" s="3">
        <f t="shared" si="37"/>
        <v>0</v>
      </c>
      <c r="Q284" s="3">
        <f t="shared" si="38"/>
        <v>24</v>
      </c>
      <c r="R284" s="3">
        <f t="shared" si="39"/>
        <v>164.19999999999948</v>
      </c>
      <c r="S284" s="24" t="s">
        <v>1334</v>
      </c>
      <c r="T284" s="24"/>
      <c r="U284" s="3"/>
      <c r="V284" s="25" t="s">
        <v>7761</v>
      </c>
      <c r="W284" s="25"/>
      <c r="X284" s="25" t="str">
        <f>IFERROR(VLOOKUP(C_Ope_006[[#This Row],[nota_2]],Clientes_Proveedores[[Ruc / Dni]:[Razon Social]],2,0),"")</f>
        <v/>
      </c>
      <c r="Y284" s="25" t="s">
        <v>8430</v>
      </c>
      <c r="Z284" s="15"/>
      <c r="AA284" s="3" t="str">
        <f>IF(C_Ope_006[[#This Row],[fecha]]&gt;0,TEXT(C_Ope_006[[#This Row],[fecha]],"mmmm"),0)</f>
        <v>Setiembre</v>
      </c>
      <c r="AB284" s="49"/>
    </row>
    <row r="285" spans="1:28" ht="36" x14ac:dyDescent="0.3">
      <c r="A285" s="2">
        <f>IF(C_Ope_006[[#This Row],[tipo_r]]="R",COUNTIFS($C$1:$C284,"R")+1,"")</f>
        <v>284</v>
      </c>
      <c r="B285" s="19" t="str">
        <f t="shared" si="35"/>
        <v>C_Ope_006</v>
      </c>
      <c r="C285" s="3" t="s">
        <v>1330</v>
      </c>
      <c r="D285" s="14">
        <v>45929</v>
      </c>
      <c r="E285" s="5" t="s">
        <v>8918</v>
      </c>
      <c r="F285" s="5" t="s">
        <v>1336</v>
      </c>
      <c r="G285" s="6" t="s">
        <v>978</v>
      </c>
      <c r="H285" s="6" t="s">
        <v>68</v>
      </c>
      <c r="I285" s="6" t="s">
        <v>5845</v>
      </c>
      <c r="J285" s="6">
        <v>1877747</v>
      </c>
      <c r="K285" s="7" t="s">
        <v>8959</v>
      </c>
      <c r="L285" s="8">
        <v>25641</v>
      </c>
      <c r="M285" s="8" t="str">
        <f t="shared" si="36"/>
        <v>PEN</v>
      </c>
      <c r="N285" s="13"/>
      <c r="O285" s="13">
        <v>8</v>
      </c>
      <c r="P285" s="3">
        <f t="shared" si="37"/>
        <v>0</v>
      </c>
      <c r="Q285" s="3">
        <f t="shared" si="38"/>
        <v>8</v>
      </c>
      <c r="R285" s="3">
        <f t="shared" si="39"/>
        <v>156.19999999999948</v>
      </c>
      <c r="S285" s="24" t="s">
        <v>1334</v>
      </c>
      <c r="T285" s="24"/>
      <c r="U285" s="3"/>
      <c r="V285" s="25" t="s">
        <v>7761</v>
      </c>
      <c r="W285" s="25">
        <v>20517252558</v>
      </c>
      <c r="X285" s="25" t="str">
        <f>IFERROR(VLOOKUP(C_Ope_006[[#This Row],[nota_2]],Clientes_Proveedores[[Ruc / Dni]:[Razon Social]],2,0),"")</f>
        <v>COVISUR S.A.</v>
      </c>
      <c r="Y285" s="25" t="s">
        <v>7888</v>
      </c>
      <c r="Z285" s="15"/>
      <c r="AA285" s="3" t="str">
        <f>IF(C_Ope_006[[#This Row],[fecha]]&gt;0,TEXT(C_Ope_006[[#This Row],[fecha]],"mmmm"),0)</f>
        <v>Setiembre</v>
      </c>
      <c r="AB285" s="49"/>
    </row>
    <row r="286" spans="1:28" ht="24" x14ac:dyDescent="0.3">
      <c r="A286" s="2">
        <f>IF(C_Ope_006[[#This Row],[tipo_r]]="R",COUNTIFS($C$1:$C285,"R")+1,"")</f>
        <v>285</v>
      </c>
      <c r="B286" s="19" t="str">
        <f t="shared" si="35"/>
        <v>C_Ope_006</v>
      </c>
      <c r="C286" s="3" t="s">
        <v>1330</v>
      </c>
      <c r="D286" s="14">
        <v>45930</v>
      </c>
      <c r="E286" s="5" t="s">
        <v>8918</v>
      </c>
      <c r="F286" s="5" t="s">
        <v>1336</v>
      </c>
      <c r="G286" s="6" t="s">
        <v>978</v>
      </c>
      <c r="H286" s="6" t="s">
        <v>68</v>
      </c>
      <c r="I286" s="6" t="s">
        <v>6204</v>
      </c>
      <c r="J286" s="6">
        <v>1855645</v>
      </c>
      <c r="K286" s="7" t="s">
        <v>8960</v>
      </c>
      <c r="L286" s="8">
        <v>25640</v>
      </c>
      <c r="M286" s="8" t="str">
        <f t="shared" si="36"/>
        <v>PEN</v>
      </c>
      <c r="N286" s="13"/>
      <c r="O286" s="13">
        <v>8</v>
      </c>
      <c r="P286" s="3">
        <f t="shared" si="37"/>
        <v>0</v>
      </c>
      <c r="Q286" s="3">
        <f t="shared" si="38"/>
        <v>8</v>
      </c>
      <c r="R286" s="3">
        <f t="shared" si="39"/>
        <v>148.19999999999948</v>
      </c>
      <c r="S286" s="24" t="s">
        <v>1334</v>
      </c>
      <c r="T286" s="24"/>
      <c r="U286" s="3"/>
      <c r="V286" s="25" t="s">
        <v>7761</v>
      </c>
      <c r="W286" s="25">
        <v>20517252558</v>
      </c>
      <c r="X286" s="25" t="str">
        <f>IFERROR(VLOOKUP(C_Ope_006[[#This Row],[nota_2]],Clientes_Proveedores[[Ruc / Dni]:[Razon Social]],2,0),"")</f>
        <v>COVISUR S.A.</v>
      </c>
      <c r="Y286" s="25" t="s">
        <v>7888</v>
      </c>
      <c r="Z286" s="15"/>
      <c r="AA286" s="3" t="str">
        <f>IF(C_Ope_006[[#This Row],[fecha]]&gt;0,TEXT(C_Ope_006[[#This Row],[fecha]],"mmmm"),0)</f>
        <v>Setiembre</v>
      </c>
      <c r="AB286" s="49"/>
    </row>
    <row r="287" spans="1:28" ht="24" x14ac:dyDescent="0.3">
      <c r="A287" s="2">
        <f>IF(C_Ope_006[[#This Row],[tipo_r]]="R",COUNTIFS($C$1:$C286,"R")+1,"")</f>
        <v>286</v>
      </c>
      <c r="B287" s="19" t="str">
        <f t="shared" si="35"/>
        <v>C_Ope_006</v>
      </c>
      <c r="C287" s="3" t="s">
        <v>1330</v>
      </c>
      <c r="D287" s="14">
        <v>45930</v>
      </c>
      <c r="E287" s="5" t="s">
        <v>8918</v>
      </c>
      <c r="F287" s="5" t="s">
        <v>1336</v>
      </c>
      <c r="G287" s="6" t="s">
        <v>1037</v>
      </c>
      <c r="H287" s="6" t="s">
        <v>75</v>
      </c>
      <c r="I287" s="6">
        <v>1</v>
      </c>
      <c r="J287" s="6">
        <v>2229</v>
      </c>
      <c r="K287" s="7" t="s">
        <v>8961</v>
      </c>
      <c r="L287" s="8">
        <v>25654</v>
      </c>
      <c r="M287" s="8" t="str">
        <f t="shared" si="36"/>
        <v>PEN</v>
      </c>
      <c r="N287" s="13"/>
      <c r="O287" s="13">
        <v>100</v>
      </c>
      <c r="P287" s="3">
        <f t="shared" si="37"/>
        <v>0</v>
      </c>
      <c r="Q287" s="3">
        <f t="shared" si="38"/>
        <v>100</v>
      </c>
      <c r="R287" s="3">
        <f t="shared" si="39"/>
        <v>48.199999999999477</v>
      </c>
      <c r="S287" s="24" t="s">
        <v>1334</v>
      </c>
      <c r="T287" s="24"/>
      <c r="U287" s="3"/>
      <c r="V287" s="25" t="s">
        <v>7761</v>
      </c>
      <c r="W287" s="25">
        <v>10089085042</v>
      </c>
      <c r="X287" s="25" t="str">
        <f>IFERROR(VLOOKUP(C_Ope_006[[#This Row],[nota_2]],Clientes_Proveedores[[Ruc / Dni]:[Razon Social]],2,0),"")</f>
        <v>GUEVARA PEREZ MARIA</v>
      </c>
      <c r="Y287" s="25" t="s">
        <v>7910</v>
      </c>
      <c r="Z287" s="15"/>
      <c r="AA287" s="3" t="str">
        <f>IF(C_Ope_006[[#This Row],[fecha]]&gt;0,TEXT(C_Ope_006[[#This Row],[fecha]],"mmmm"),0)</f>
        <v>Setiembre</v>
      </c>
      <c r="AB287" s="49"/>
    </row>
    <row r="288" spans="1:28" x14ac:dyDescent="0.3">
      <c r="A288" s="2">
        <f>IF(C_Ope_006[[#This Row],[tipo_r]]="R",COUNTIFS($C$1:$C287,"R")+1,"")</f>
        <v>287</v>
      </c>
      <c r="B288" s="19" t="str">
        <f t="shared" si="35"/>
        <v>C_Ope_006</v>
      </c>
      <c r="C288" s="3" t="s">
        <v>1330</v>
      </c>
      <c r="D288" s="14">
        <v>45930</v>
      </c>
      <c r="E288" s="5" t="s">
        <v>8918</v>
      </c>
      <c r="F288" s="5" t="s">
        <v>1336</v>
      </c>
      <c r="G288" s="6" t="s">
        <v>1009</v>
      </c>
      <c r="H288" s="6" t="s">
        <v>126</v>
      </c>
      <c r="I288" s="6"/>
      <c r="J288" s="8">
        <v>25659</v>
      </c>
      <c r="K288" s="7" t="s">
        <v>8952</v>
      </c>
      <c r="L288" s="8">
        <v>25659</v>
      </c>
      <c r="M288" s="8" t="str">
        <f t="shared" si="36"/>
        <v>PEN</v>
      </c>
      <c r="N288" s="13"/>
      <c r="O288" s="13">
        <v>20</v>
      </c>
      <c r="P288" s="3">
        <f t="shared" si="37"/>
        <v>0</v>
      </c>
      <c r="Q288" s="3">
        <f t="shared" si="38"/>
        <v>20</v>
      </c>
      <c r="R288" s="3">
        <f t="shared" si="39"/>
        <v>28.199999999999477</v>
      </c>
      <c r="S288" s="24" t="s">
        <v>1334</v>
      </c>
      <c r="T288" s="24"/>
      <c r="U288" s="3"/>
      <c r="V288" s="25" t="s">
        <v>7761</v>
      </c>
      <c r="W288" s="25"/>
      <c r="X288" s="25" t="str">
        <f>IFERROR(VLOOKUP(C_Ope_006[[#This Row],[nota_2]],Clientes_Proveedores[[Ruc / Dni]:[Razon Social]],2,0),"")</f>
        <v/>
      </c>
      <c r="Y288" s="25" t="s">
        <v>8441</v>
      </c>
      <c r="Z288" s="15"/>
      <c r="AA288" s="3" t="str">
        <f>IF(C_Ope_006[[#This Row],[fecha]]&gt;0,TEXT(C_Ope_006[[#This Row],[fecha]],"mmmm"),0)</f>
        <v>Setiembre</v>
      </c>
      <c r="AB288" s="49"/>
    </row>
    <row r="289" spans="1:28" ht="24" x14ac:dyDescent="0.3">
      <c r="A289" s="2">
        <f>IF(C_Ope_006[[#This Row],[tipo_r]]="R",COUNTIFS($C$1:$C288,"R")+1,"")</f>
        <v>288</v>
      </c>
      <c r="B289" s="19" t="str">
        <f t="shared" si="35"/>
        <v>C_Ope_006</v>
      </c>
      <c r="C289" s="3" t="s">
        <v>1330</v>
      </c>
      <c r="D289" s="14">
        <v>45930</v>
      </c>
      <c r="E289" s="5" t="s">
        <v>8918</v>
      </c>
      <c r="F289" s="5" t="s">
        <v>1336</v>
      </c>
      <c r="G289" s="6" t="s">
        <v>1009</v>
      </c>
      <c r="H289" s="6" t="s">
        <v>126</v>
      </c>
      <c r="I289" s="6"/>
      <c r="J289" s="8">
        <v>25661</v>
      </c>
      <c r="K289" s="7" t="s">
        <v>8951</v>
      </c>
      <c r="L289" s="8">
        <v>25661</v>
      </c>
      <c r="M289" s="8" t="str">
        <f t="shared" si="36"/>
        <v>PEN</v>
      </c>
      <c r="N289" s="13"/>
      <c r="O289" s="13">
        <v>30</v>
      </c>
      <c r="P289" s="3">
        <f t="shared" si="37"/>
        <v>0</v>
      </c>
      <c r="Q289" s="3">
        <f t="shared" si="38"/>
        <v>30</v>
      </c>
      <c r="R289" s="3">
        <f t="shared" si="39"/>
        <v>-1.800000000000523</v>
      </c>
      <c r="S289" s="24" t="s">
        <v>1334</v>
      </c>
      <c r="T289" s="24"/>
      <c r="U289" s="3"/>
      <c r="V289" s="25" t="s">
        <v>7761</v>
      </c>
      <c r="W289" s="25"/>
      <c r="X289" s="25" t="str">
        <f>IFERROR(VLOOKUP(C_Ope_006[[#This Row],[nota_2]],Clientes_Proveedores[[Ruc / Dni]:[Razon Social]],2,0),"")</f>
        <v/>
      </c>
      <c r="Y289" s="25" t="s">
        <v>8430</v>
      </c>
      <c r="Z289" s="15"/>
      <c r="AA289" s="3" t="str">
        <f>IF(C_Ope_006[[#This Row],[fecha]]&gt;0,TEXT(C_Ope_006[[#This Row],[fecha]],"mmmm"),0)</f>
        <v>Setiembre</v>
      </c>
      <c r="AB289" s="49"/>
    </row>
    <row r="290" spans="1:28" ht="24" x14ac:dyDescent="0.3">
      <c r="A290" s="2">
        <f>IF(C_Ope_006[[#This Row],[tipo_r]]="R",COUNTIFS($C$1:$C289,"R")+1,"")</f>
        <v>289</v>
      </c>
      <c r="B290" s="19" t="str">
        <f t="shared" si="35"/>
        <v>C_Ope_006</v>
      </c>
      <c r="C290" s="3" t="s">
        <v>1330</v>
      </c>
      <c r="D290" s="14">
        <v>45930</v>
      </c>
      <c r="E290" s="5" t="s">
        <v>8918</v>
      </c>
      <c r="F290" s="5" t="s">
        <v>1336</v>
      </c>
      <c r="G290" s="6" t="s">
        <v>999</v>
      </c>
      <c r="H290" s="6" t="s">
        <v>68</v>
      </c>
      <c r="I290" s="6" t="s">
        <v>1374</v>
      </c>
      <c r="J290" s="6">
        <v>20073</v>
      </c>
      <c r="K290" s="7" t="s">
        <v>8962</v>
      </c>
      <c r="L290" s="8">
        <v>25663</v>
      </c>
      <c r="M290" s="8" t="str">
        <f t="shared" si="36"/>
        <v>PEN</v>
      </c>
      <c r="N290" s="13"/>
      <c r="O290" s="13">
        <v>25</v>
      </c>
      <c r="P290" s="3">
        <f t="shared" si="37"/>
        <v>0</v>
      </c>
      <c r="Q290" s="3">
        <f t="shared" si="38"/>
        <v>25</v>
      </c>
      <c r="R290" s="3">
        <f t="shared" si="39"/>
        <v>-26.800000000000523</v>
      </c>
      <c r="S290" s="24" t="s">
        <v>1334</v>
      </c>
      <c r="T290" s="24"/>
      <c r="U290" s="3"/>
      <c r="V290" s="25" t="s">
        <v>7761</v>
      </c>
      <c r="W290" s="25">
        <v>10705628331</v>
      </c>
      <c r="X290" s="25" t="str">
        <f>IFERROR(VLOOKUP(C_Ope_006[[#This Row],[nota_2]],Clientes_Proveedores[[Ruc / Dni]:[Razon Social]],2,0),"")</f>
        <v>LARICO APAZA NANCY ROSSMARY</v>
      </c>
      <c r="Y290" s="25" t="s">
        <v>7938</v>
      </c>
      <c r="Z290" s="15"/>
      <c r="AA290" s="3" t="str">
        <f>IF(C_Ope_006[[#This Row],[fecha]]&gt;0,TEXT(C_Ope_006[[#This Row],[fecha]],"mmmm"),0)</f>
        <v>Setiembre</v>
      </c>
      <c r="AB290" s="49"/>
    </row>
    <row r="291" spans="1:28" ht="24" x14ac:dyDescent="0.3">
      <c r="A291" s="2">
        <f>IF(C_Ope_006[[#This Row],[tipo_r]]="R",COUNTIFS($C$1:$C290,"R")+1,"")</f>
        <v>290</v>
      </c>
      <c r="B291" s="19" t="str">
        <f t="shared" ref="B291:B300" si="40">"C_Ope_006"</f>
        <v>C_Ope_006</v>
      </c>
      <c r="C291" s="3" t="s">
        <v>1330</v>
      </c>
      <c r="D291" s="14">
        <v>45931</v>
      </c>
      <c r="E291" s="5" t="s">
        <v>8918</v>
      </c>
      <c r="F291" s="5" t="s">
        <v>1336</v>
      </c>
      <c r="G291" s="6" t="s">
        <v>978</v>
      </c>
      <c r="H291" s="6" t="s">
        <v>68</v>
      </c>
      <c r="I291" s="6" t="s">
        <v>6204</v>
      </c>
      <c r="J291" s="6">
        <v>1857782</v>
      </c>
      <c r="K291" s="7" t="s">
        <v>8963</v>
      </c>
      <c r="L291" s="8">
        <v>25692</v>
      </c>
      <c r="M291" s="8" t="str">
        <f t="shared" ref="M291:M300" si="41">"PEN"</f>
        <v>PEN</v>
      </c>
      <c r="N291" s="13"/>
      <c r="O291" s="13">
        <v>8</v>
      </c>
      <c r="P291" s="3">
        <f t="shared" ref="P291:P300" si="42">+IF(OR($F291="SALDO",$F291="INGRESO"),$O291,0)</f>
        <v>0</v>
      </c>
      <c r="Q291" s="3">
        <f t="shared" ref="Q291:Q300" si="43">+IF($F291="EGRESO",$O291,0)</f>
        <v>8</v>
      </c>
      <c r="R291" s="3">
        <f t="shared" si="39"/>
        <v>-34.800000000000523</v>
      </c>
      <c r="S291" s="24" t="s">
        <v>1334</v>
      </c>
      <c r="T291" s="24"/>
      <c r="U291" s="3"/>
      <c r="V291" s="25" t="s">
        <v>7761</v>
      </c>
      <c r="W291" s="25">
        <v>20517252558</v>
      </c>
      <c r="X291" s="25" t="str">
        <f>IFERROR(VLOOKUP(C_Ope_006[[#This Row],[nota_2]],Clientes_Proveedores[[Ruc / Dni]:[Razon Social]],2,0),"")</f>
        <v>COVISUR S.A.</v>
      </c>
      <c r="Y291" s="25" t="s">
        <v>7888</v>
      </c>
      <c r="Z291" s="15"/>
      <c r="AA291" s="3" t="str">
        <f>IF(C_Ope_006[[#This Row],[fecha]]&gt;0,TEXT(C_Ope_006[[#This Row],[fecha]],"mmmm"),0)</f>
        <v>Octubre</v>
      </c>
      <c r="AB291" s="49"/>
    </row>
    <row r="292" spans="1:28" ht="24" x14ac:dyDescent="0.3">
      <c r="A292" s="2">
        <f>IF(C_Ope_006[[#This Row],[tipo_r]]="R",COUNTIFS($C$1:$C291,"R")+1,"")</f>
        <v>291</v>
      </c>
      <c r="B292" s="19" t="str">
        <f t="shared" si="40"/>
        <v>C_Ope_006</v>
      </c>
      <c r="C292" s="3" t="s">
        <v>1330</v>
      </c>
      <c r="D292" s="14">
        <v>45931</v>
      </c>
      <c r="E292" s="5" t="s">
        <v>8918</v>
      </c>
      <c r="F292" s="5" t="s">
        <v>1336</v>
      </c>
      <c r="G292" s="6" t="s">
        <v>978</v>
      </c>
      <c r="H292" s="6" t="s">
        <v>68</v>
      </c>
      <c r="I292" s="6" t="s">
        <v>5845</v>
      </c>
      <c r="J292" s="6">
        <v>1879569</v>
      </c>
      <c r="K292" s="7" t="s">
        <v>8964</v>
      </c>
      <c r="L292" s="8">
        <v>25693</v>
      </c>
      <c r="M292" s="8" t="str">
        <f t="shared" si="41"/>
        <v>PEN</v>
      </c>
      <c r="N292" s="13"/>
      <c r="O292" s="13">
        <v>8</v>
      </c>
      <c r="P292" s="3">
        <f t="shared" si="42"/>
        <v>0</v>
      </c>
      <c r="Q292" s="3">
        <f t="shared" si="43"/>
        <v>8</v>
      </c>
      <c r="R292" s="3">
        <f t="shared" si="39"/>
        <v>-42.800000000000523</v>
      </c>
      <c r="S292" s="24" t="s">
        <v>1334</v>
      </c>
      <c r="T292" s="24"/>
      <c r="U292" s="3"/>
      <c r="V292" s="25" t="s">
        <v>7761</v>
      </c>
      <c r="W292" s="25">
        <v>20517252558</v>
      </c>
      <c r="X292" s="25" t="str">
        <f>IFERROR(VLOOKUP(C_Ope_006[[#This Row],[nota_2]],Clientes_Proveedores[[Ruc / Dni]:[Razon Social]],2,0),"")</f>
        <v>COVISUR S.A.</v>
      </c>
      <c r="Y292" s="25" t="s">
        <v>7888</v>
      </c>
      <c r="Z292" s="15"/>
      <c r="AA292" s="3" t="str">
        <f>IF(C_Ope_006[[#This Row],[fecha]]&gt;0,TEXT(C_Ope_006[[#This Row],[fecha]],"mmmm"),0)</f>
        <v>Octubre</v>
      </c>
      <c r="AB292" s="49"/>
    </row>
    <row r="293" spans="1:28" ht="24" x14ac:dyDescent="0.3">
      <c r="A293" s="2">
        <f>IF(C_Ope_006[[#This Row],[tipo_r]]="R",COUNTIFS($C$1:$C292,"R")+1,"")</f>
        <v>292</v>
      </c>
      <c r="B293" s="19" t="str">
        <f t="shared" si="40"/>
        <v>C_Ope_006</v>
      </c>
      <c r="C293" s="3" t="s">
        <v>1330</v>
      </c>
      <c r="D293" s="14">
        <v>45932</v>
      </c>
      <c r="E293" s="5" t="s">
        <v>8918</v>
      </c>
      <c r="F293" s="5" t="s">
        <v>1336</v>
      </c>
      <c r="G293" s="6" t="s">
        <v>999</v>
      </c>
      <c r="H293" s="6" t="s">
        <v>68</v>
      </c>
      <c r="I293" s="6" t="s">
        <v>1374</v>
      </c>
      <c r="J293" s="6">
        <v>20097</v>
      </c>
      <c r="K293" s="7" t="s">
        <v>8965</v>
      </c>
      <c r="L293" s="8">
        <v>25691</v>
      </c>
      <c r="M293" s="8" t="str">
        <f t="shared" si="41"/>
        <v>PEN</v>
      </c>
      <c r="N293" s="13"/>
      <c r="O293" s="13">
        <v>25</v>
      </c>
      <c r="P293" s="3">
        <f t="shared" si="42"/>
        <v>0</v>
      </c>
      <c r="Q293" s="3">
        <f t="shared" si="43"/>
        <v>25</v>
      </c>
      <c r="R293" s="3">
        <f t="shared" si="39"/>
        <v>-67.800000000000523</v>
      </c>
      <c r="S293" s="24" t="s">
        <v>1334</v>
      </c>
      <c r="T293" s="24"/>
      <c r="U293" s="3"/>
      <c r="V293" s="25" t="s">
        <v>7761</v>
      </c>
      <c r="W293" s="25">
        <v>10705628331</v>
      </c>
      <c r="X293" s="25" t="str">
        <f>IFERROR(VLOOKUP(C_Ope_006[[#This Row],[nota_2]],Clientes_Proveedores[[Ruc / Dni]:[Razon Social]],2,0),"")</f>
        <v>LARICO APAZA NANCY ROSSMARY</v>
      </c>
      <c r="Y293" s="25" t="s">
        <v>7938</v>
      </c>
      <c r="Z293" s="15"/>
      <c r="AA293" s="3" t="str">
        <f>IF(C_Ope_006[[#This Row],[fecha]]&gt;0,TEXT(C_Ope_006[[#This Row],[fecha]],"mmmm"),0)</f>
        <v>Octubre</v>
      </c>
      <c r="AB293" s="49"/>
    </row>
    <row r="294" spans="1:28" ht="24" x14ac:dyDescent="0.3">
      <c r="A294" s="2">
        <f>IF(C_Ope_006[[#This Row],[tipo_r]]="R",COUNTIFS($C$1:$C293,"R")+1,"")</f>
        <v>293</v>
      </c>
      <c r="B294" s="19" t="str">
        <f>"C_Ope_006"</f>
        <v>C_Ope_006</v>
      </c>
      <c r="C294" s="3" t="s">
        <v>1330</v>
      </c>
      <c r="D294" s="14">
        <v>45933</v>
      </c>
      <c r="E294" s="5" t="s">
        <v>3634</v>
      </c>
      <c r="F294" s="5" t="s">
        <v>1303</v>
      </c>
      <c r="G294" s="6" t="s">
        <v>1097</v>
      </c>
      <c r="H294" s="6"/>
      <c r="I294" s="6"/>
      <c r="J294" s="6"/>
      <c r="K294" s="7" t="s">
        <v>8475</v>
      </c>
      <c r="L294" s="8">
        <v>25605</v>
      </c>
      <c r="M294" s="8" t="str">
        <f>"PEN"</f>
        <v>PEN</v>
      </c>
      <c r="N294" s="13"/>
      <c r="O294" s="13">
        <v>130</v>
      </c>
      <c r="P294" s="3">
        <f>+IF(OR($F294="SALDO",$F294="INGRESO"),$O294,0)</f>
        <v>130</v>
      </c>
      <c r="Q294" s="3">
        <f>+IF($F294="EGRESO",$O294,0)</f>
        <v>0</v>
      </c>
      <c r="R294" s="3">
        <f t="shared" si="39"/>
        <v>62.199999999999477</v>
      </c>
      <c r="S294" s="24" t="s">
        <v>1334</v>
      </c>
      <c r="T294" s="24" t="s">
        <v>1334</v>
      </c>
      <c r="U294" s="3"/>
      <c r="V294" s="25"/>
      <c r="W294" s="25"/>
      <c r="X294" s="25" t="str">
        <f>IFERROR(VLOOKUP(C_Ope_006[[#This Row],[nota_2]],Clientes_Proveedores[[Ruc / Dni]:[Razon Social]],2,0),"")</f>
        <v/>
      </c>
      <c r="Y294" s="25"/>
      <c r="Z294" s="15">
        <f>ROUND(C_Ope_006[[#This Row],[monto]]/1.18,3)</f>
        <v>110.169</v>
      </c>
      <c r="AA294" s="3" t="str">
        <f>IF(C_Ope_006[[#This Row],[fecha]]&gt;0,TEXT(C_Ope_006[[#This Row],[fecha]],"mmmm"),0)</f>
        <v>Octubre</v>
      </c>
      <c r="AB294" s="49"/>
    </row>
    <row r="295" spans="1:28" ht="24" x14ac:dyDescent="0.3">
      <c r="A295" s="2">
        <f>IF(C_Ope_006[[#This Row],[tipo_r]]="R",COUNTIFS($C$1:$C294,"R")+1,"")</f>
        <v>294</v>
      </c>
      <c r="B295" s="19" t="str">
        <f t="shared" si="40"/>
        <v>C_Ope_006</v>
      </c>
      <c r="C295" s="3" t="s">
        <v>1330</v>
      </c>
      <c r="D295" s="14">
        <v>45933</v>
      </c>
      <c r="E295" s="5" t="s">
        <v>8918</v>
      </c>
      <c r="F295" s="5" t="s">
        <v>1336</v>
      </c>
      <c r="G295" s="6" t="s">
        <v>998</v>
      </c>
      <c r="H295" s="6" t="s">
        <v>68</v>
      </c>
      <c r="I295" s="6" t="s">
        <v>6378</v>
      </c>
      <c r="J295" s="6">
        <v>3011</v>
      </c>
      <c r="K295" s="7" t="s">
        <v>8966</v>
      </c>
      <c r="L295" s="8">
        <v>25694</v>
      </c>
      <c r="M295" s="8" t="str">
        <f t="shared" si="41"/>
        <v>PEN</v>
      </c>
      <c r="N295" s="13"/>
      <c r="O295" s="13">
        <v>10</v>
      </c>
      <c r="P295" s="3">
        <f t="shared" si="42"/>
        <v>0</v>
      </c>
      <c r="Q295" s="3">
        <f t="shared" si="43"/>
        <v>10</v>
      </c>
      <c r="R295" s="3">
        <f t="shared" si="39"/>
        <v>52.199999999999477</v>
      </c>
      <c r="S295" s="24" t="s">
        <v>1334</v>
      </c>
      <c r="T295" s="24"/>
      <c r="U295" s="3"/>
      <c r="V295" s="25" t="s">
        <v>7761</v>
      </c>
      <c r="W295" s="25">
        <v>20612112500</v>
      </c>
      <c r="X295" s="25" t="str">
        <f>IFERROR(VLOOKUP(C_Ope_006[[#This Row],[nota_2]],Clientes_Proveedores[[Ruc / Dni]:[Razon Social]],2,0),"")</f>
        <v>RECICLADORA LAS LOMAS E.I.R.L.</v>
      </c>
      <c r="Y295" s="25" t="s">
        <v>5933</v>
      </c>
      <c r="Z295" s="15"/>
      <c r="AA295" s="3" t="str">
        <f>IF(C_Ope_006[[#This Row],[fecha]]&gt;0,TEXT(C_Ope_006[[#This Row],[fecha]],"mmmm"),0)</f>
        <v>Octubre</v>
      </c>
      <c r="AB295" s="49"/>
    </row>
    <row r="296" spans="1:28" ht="24" x14ac:dyDescent="0.3">
      <c r="A296" s="2">
        <f>IF(C_Ope_006[[#This Row],[tipo_r]]="R",COUNTIFS($C$1:$C295,"R")+1,"")</f>
        <v>295</v>
      </c>
      <c r="B296" s="19" t="str">
        <f t="shared" si="40"/>
        <v>C_Ope_006</v>
      </c>
      <c r="C296" s="3" t="s">
        <v>1330</v>
      </c>
      <c r="D296" s="14">
        <v>45933</v>
      </c>
      <c r="E296" s="5" t="s">
        <v>8918</v>
      </c>
      <c r="F296" s="5" t="s">
        <v>1336</v>
      </c>
      <c r="G296" s="6" t="s">
        <v>998</v>
      </c>
      <c r="H296" s="6" t="s">
        <v>68</v>
      </c>
      <c r="I296" s="6" t="s">
        <v>6378</v>
      </c>
      <c r="J296" s="6">
        <v>3018</v>
      </c>
      <c r="K296" s="7" t="s">
        <v>8967</v>
      </c>
      <c r="L296" s="8">
        <v>25695</v>
      </c>
      <c r="M296" s="8" t="str">
        <f t="shared" si="41"/>
        <v>PEN</v>
      </c>
      <c r="N296" s="13"/>
      <c r="O296" s="13">
        <v>10</v>
      </c>
      <c r="P296" s="3">
        <f t="shared" si="42"/>
        <v>0</v>
      </c>
      <c r="Q296" s="3">
        <f t="shared" si="43"/>
        <v>10</v>
      </c>
      <c r="R296" s="3">
        <f t="shared" si="39"/>
        <v>42.199999999999477</v>
      </c>
      <c r="S296" s="24" t="s">
        <v>1334</v>
      </c>
      <c r="T296" s="24"/>
      <c r="U296" s="3"/>
      <c r="V296" s="25" t="s">
        <v>7761</v>
      </c>
      <c r="W296" s="25">
        <v>20612112500</v>
      </c>
      <c r="X296" s="25" t="str">
        <f>IFERROR(VLOOKUP(C_Ope_006[[#This Row],[nota_2]],Clientes_Proveedores[[Ruc / Dni]:[Razon Social]],2,0),"")</f>
        <v>RECICLADORA LAS LOMAS E.I.R.L.</v>
      </c>
      <c r="Y296" s="25" t="s">
        <v>5933</v>
      </c>
      <c r="Z296" s="15"/>
      <c r="AA296" s="3" t="str">
        <f>IF(C_Ope_006[[#This Row],[fecha]]&gt;0,TEXT(C_Ope_006[[#This Row],[fecha]],"mmmm"),0)</f>
        <v>Octubre</v>
      </c>
      <c r="AB296" s="49"/>
    </row>
    <row r="297" spans="1:28" ht="36" x14ac:dyDescent="0.3">
      <c r="A297" s="2">
        <f>IF(C_Ope_006[[#This Row],[tipo_r]]="R",COUNTIFS($C$1:$C296,"R")+1,"")</f>
        <v>296</v>
      </c>
      <c r="B297" s="19" t="str">
        <f t="shared" si="40"/>
        <v>C_Ope_006</v>
      </c>
      <c r="C297" s="3" t="s">
        <v>1330</v>
      </c>
      <c r="D297" s="14">
        <v>45937</v>
      </c>
      <c r="E297" s="5" t="s">
        <v>8918</v>
      </c>
      <c r="F297" s="5" t="s">
        <v>1336</v>
      </c>
      <c r="G297" s="6" t="s">
        <v>978</v>
      </c>
      <c r="H297" s="6" t="s">
        <v>68</v>
      </c>
      <c r="I297" s="6" t="s">
        <v>6204</v>
      </c>
      <c r="J297" s="6">
        <v>1863324</v>
      </c>
      <c r="K297" s="7" t="s">
        <v>8968</v>
      </c>
      <c r="L297" s="8">
        <v>25730</v>
      </c>
      <c r="M297" s="8" t="str">
        <f t="shared" si="41"/>
        <v>PEN</v>
      </c>
      <c r="N297" s="13"/>
      <c r="O297" s="13">
        <v>8</v>
      </c>
      <c r="P297" s="3">
        <f t="shared" si="42"/>
        <v>0</v>
      </c>
      <c r="Q297" s="3">
        <f t="shared" si="43"/>
        <v>8</v>
      </c>
      <c r="R297" s="3">
        <f t="shared" si="39"/>
        <v>34.199999999999477</v>
      </c>
      <c r="S297" s="24" t="s">
        <v>1334</v>
      </c>
      <c r="T297" s="24"/>
      <c r="U297" s="3"/>
      <c r="V297" s="25" t="s">
        <v>7761</v>
      </c>
      <c r="W297" s="25">
        <v>20517252558</v>
      </c>
      <c r="X297" s="25" t="str">
        <f>IFERROR(VLOOKUP(C_Ope_006[[#This Row],[nota_2]],Clientes_Proveedores[[Ruc / Dni]:[Razon Social]],2,0),"")</f>
        <v>COVISUR S.A.</v>
      </c>
      <c r="Y297" s="25" t="s">
        <v>7888</v>
      </c>
      <c r="Z297" s="15"/>
      <c r="AA297" s="3" t="str">
        <f>IF(C_Ope_006[[#This Row],[fecha]]&gt;0,TEXT(C_Ope_006[[#This Row],[fecha]],"mmmm"),0)</f>
        <v>Octubre</v>
      </c>
      <c r="AB297" s="49"/>
    </row>
    <row r="298" spans="1:28" ht="36" x14ac:dyDescent="0.3">
      <c r="A298" s="2">
        <f>IF(C_Ope_006[[#This Row],[tipo_r]]="R",COUNTIFS($C$1:$C297,"R")+1,"")</f>
        <v>297</v>
      </c>
      <c r="B298" s="19" t="str">
        <f t="shared" si="40"/>
        <v>C_Ope_006</v>
      </c>
      <c r="C298" s="3" t="s">
        <v>1330</v>
      </c>
      <c r="D298" s="14">
        <v>45937</v>
      </c>
      <c r="E298" s="5" t="s">
        <v>8918</v>
      </c>
      <c r="F298" s="5" t="s">
        <v>1336</v>
      </c>
      <c r="G298" s="6" t="s">
        <v>978</v>
      </c>
      <c r="H298" s="6" t="s">
        <v>68</v>
      </c>
      <c r="I298" s="6" t="s">
        <v>5845</v>
      </c>
      <c r="J298" s="6">
        <v>1885568</v>
      </c>
      <c r="K298" s="7" t="s">
        <v>8969</v>
      </c>
      <c r="L298" s="8">
        <v>25731</v>
      </c>
      <c r="M298" s="8" t="str">
        <f t="shared" si="41"/>
        <v>PEN</v>
      </c>
      <c r="N298" s="13"/>
      <c r="O298" s="13">
        <v>8</v>
      </c>
      <c r="P298" s="3">
        <f t="shared" si="42"/>
        <v>0</v>
      </c>
      <c r="Q298" s="3">
        <f t="shared" si="43"/>
        <v>8</v>
      </c>
      <c r="R298" s="3">
        <f t="shared" si="39"/>
        <v>26.199999999999477</v>
      </c>
      <c r="S298" s="24" t="s">
        <v>1334</v>
      </c>
      <c r="T298" s="24"/>
      <c r="U298" s="3"/>
      <c r="V298" s="25" t="s">
        <v>7761</v>
      </c>
      <c r="W298" s="25">
        <v>20517252558</v>
      </c>
      <c r="X298" s="25" t="str">
        <f>IFERROR(VLOOKUP(C_Ope_006[[#This Row],[nota_2]],Clientes_Proveedores[[Ruc / Dni]:[Razon Social]],2,0),"")</f>
        <v>COVISUR S.A.</v>
      </c>
      <c r="Y298" s="25" t="s">
        <v>7888</v>
      </c>
      <c r="Z298" s="15"/>
      <c r="AA298" s="3" t="str">
        <f>IF(C_Ope_006[[#This Row],[fecha]]&gt;0,TEXT(C_Ope_006[[#This Row],[fecha]],"mmmm"),0)</f>
        <v>Octubre</v>
      </c>
      <c r="AB298" s="49"/>
    </row>
    <row r="299" spans="1:28" ht="24" x14ac:dyDescent="0.3">
      <c r="A299" s="2">
        <f>IF(C_Ope_006[[#This Row],[tipo_r]]="R",COUNTIFS($C$1:$C298,"R")+1,"")</f>
        <v>298</v>
      </c>
      <c r="B299" s="19" t="str">
        <f t="shared" si="40"/>
        <v>C_Ope_006</v>
      </c>
      <c r="C299" s="3" t="s">
        <v>1330</v>
      </c>
      <c r="D299" s="14">
        <v>45939</v>
      </c>
      <c r="E299" s="5" t="s">
        <v>8918</v>
      </c>
      <c r="F299" s="5" t="s">
        <v>1336</v>
      </c>
      <c r="G299" s="6" t="s">
        <v>999</v>
      </c>
      <c r="H299" s="6" t="s">
        <v>68</v>
      </c>
      <c r="I299" s="6" t="s">
        <v>1374</v>
      </c>
      <c r="J299" s="6">
        <v>20209</v>
      </c>
      <c r="K299" s="7" t="s">
        <v>8970</v>
      </c>
      <c r="L299" s="8">
        <v>25753</v>
      </c>
      <c r="M299" s="8" t="str">
        <f t="shared" si="41"/>
        <v>PEN</v>
      </c>
      <c r="N299" s="13"/>
      <c r="O299" s="13">
        <v>25</v>
      </c>
      <c r="P299" s="3">
        <f t="shared" si="42"/>
        <v>0</v>
      </c>
      <c r="Q299" s="3">
        <f t="shared" si="43"/>
        <v>25</v>
      </c>
      <c r="R299" s="3">
        <f t="shared" si="39"/>
        <v>1.199999999999477</v>
      </c>
      <c r="S299" s="24" t="s">
        <v>1334</v>
      </c>
      <c r="T299" s="24"/>
      <c r="U299" s="3"/>
      <c r="V299" s="25" t="s">
        <v>7761</v>
      </c>
      <c r="W299" s="25">
        <v>10705628331</v>
      </c>
      <c r="X299" s="25" t="str">
        <f>IFERROR(VLOOKUP(C_Ope_006[[#This Row],[nota_2]],Clientes_Proveedores[[Ruc / Dni]:[Razon Social]],2,0),"")</f>
        <v>LARICO APAZA NANCY ROSSMARY</v>
      </c>
      <c r="Y299" s="25" t="s">
        <v>7938</v>
      </c>
      <c r="Z299" s="15"/>
      <c r="AA299" s="3" t="str">
        <f>IF(C_Ope_006[[#This Row],[fecha]]&gt;0,TEXT(C_Ope_006[[#This Row],[fecha]],"mmmm"),0)</f>
        <v>Octubre</v>
      </c>
      <c r="AB299" s="49"/>
    </row>
    <row r="300" spans="1:28" ht="36" x14ac:dyDescent="0.3">
      <c r="A300" s="2">
        <f>IF(C_Ope_006[[#This Row],[tipo_r]]="R",COUNTIFS($C$1:$C299,"R")+1,"")</f>
        <v>299</v>
      </c>
      <c r="B300" s="19" t="str">
        <f t="shared" si="40"/>
        <v>C_Ope_006</v>
      </c>
      <c r="C300" s="3" t="s">
        <v>1330</v>
      </c>
      <c r="D300" s="14">
        <v>45940</v>
      </c>
      <c r="E300" s="5" t="s">
        <v>8918</v>
      </c>
      <c r="F300" s="5" t="s">
        <v>1336</v>
      </c>
      <c r="G300" s="6" t="s">
        <v>227</v>
      </c>
      <c r="H300" s="6" t="s">
        <v>68</v>
      </c>
      <c r="I300" s="6" t="s">
        <v>1390</v>
      </c>
      <c r="J300" s="6">
        <v>138085</v>
      </c>
      <c r="K300" s="7" t="s">
        <v>8971</v>
      </c>
      <c r="L300" s="8">
        <v>25754</v>
      </c>
      <c r="M300" s="8" t="str">
        <f t="shared" si="41"/>
        <v>PEN</v>
      </c>
      <c r="N300" s="13"/>
      <c r="O300" s="13">
        <v>10</v>
      </c>
      <c r="P300" s="3">
        <f t="shared" si="42"/>
        <v>0</v>
      </c>
      <c r="Q300" s="3">
        <f t="shared" si="43"/>
        <v>10</v>
      </c>
      <c r="R300" s="3">
        <f t="shared" si="39"/>
        <v>-8.800000000000523</v>
      </c>
      <c r="S300" s="24" t="s">
        <v>1334</v>
      </c>
      <c r="T300" s="24"/>
      <c r="U300" s="3"/>
      <c r="V300" s="25" t="s">
        <v>7761</v>
      </c>
      <c r="W300" s="25">
        <v>20124952850</v>
      </c>
      <c r="X300" s="25" t="str">
        <f>IFERROR(VLOOKUP(C_Ope_006[[#This Row],[nota_2]],Clientes_Proveedores[[Ruc / Dni]:[Razon Social]],2,0),"")</f>
        <v>ALIMENTOS Y SERVICIOS AGROPECUARIOS SRL.</v>
      </c>
      <c r="Y300" s="25" t="s">
        <v>5933</v>
      </c>
      <c r="Z300" s="15"/>
      <c r="AA300" s="3" t="str">
        <f>IF(C_Ope_006[[#This Row],[fecha]]&gt;0,TEXT(C_Ope_006[[#This Row],[fecha]],"mmmm"),0)</f>
        <v>Octubre</v>
      </c>
      <c r="AB300" s="49"/>
    </row>
  </sheetData>
  <conditionalFormatting sqref="A2:AA1048576">
    <cfRule type="expression" dxfId="52" priority="285">
      <formula>$T2="OK"</formula>
    </cfRule>
    <cfRule type="expression" dxfId="51" priority="286">
      <formula>$S2="OK"</formula>
    </cfRule>
    <cfRule type="expression" dxfId="50" priority="287">
      <formula>$C2="D"</formula>
    </cfRule>
  </conditionalFormatting>
  <dataValidations count="4">
    <dataValidation type="list" allowBlank="1" showInputMessage="1" showErrorMessage="1" sqref="H2:H300" xr:uid="{F1BC469D-DD09-5040-8CB1-7EC4202F91A9}">
      <formula1>Documentos</formula1>
    </dataValidation>
    <dataValidation type="list" allowBlank="1" showInputMessage="1" showErrorMessage="1" sqref="F2:F300" xr:uid="{CCA184CC-4DF1-414C-A71E-F582B65F4503}">
      <formula1>"SALDO,INGRESO,EGRESO"</formula1>
    </dataValidation>
    <dataValidation type="list" allowBlank="1" showInputMessage="1" showErrorMessage="1" sqref="C2:C300" xr:uid="{E4C00E22-4072-3C48-931B-BD697411C2DB}">
      <formula1>"R,D"</formula1>
    </dataValidation>
    <dataValidation type="list" allowBlank="1" showInputMessage="1" showErrorMessage="1" sqref="G2:G300" xr:uid="{F6F84163-C72D-6243-A66F-A98AFB81C380}">
      <formula1>Proveedores_Clientes</formula1>
    </dataValidation>
  </dataValidations>
  <printOptions horizontalCentered="1"/>
  <pageMargins left="0.11811023622047245" right="0.11811023622047245" top="0.35433070866141736" bottom="0.35433070866141736" header="0.31496062992125984" footer="0.31496062992125984"/>
  <pageSetup paperSize="9" scale="44" fitToHeight="0" orientation="landscape" r:id="rId1"/>
  <legacyDrawing r:id="rId2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DFBB1-88FF-F940-B607-F1D76D7376E6}">
  <sheetPr codeName="Hoja16">
    <tabColor rgb="FF002060"/>
    <pageSetUpPr fitToPage="1"/>
  </sheetPr>
  <dimension ref="A1:AB272"/>
  <sheetViews>
    <sheetView showGridLines="0" zoomScaleNormal="100" zoomScaleSheetLayoutView="100" workbookViewId="0">
      <selection sqref="A1:AB1"/>
    </sheetView>
  </sheetViews>
  <sheetFormatPr defaultColWidth="11.44140625" defaultRowHeight="14.4" outlineLevelCol="1" x14ac:dyDescent="0.3"/>
  <cols>
    <col min="1" max="1" width="9.44140625" bestFit="1" customWidth="1"/>
    <col min="2" max="2" width="15.44140625" bestFit="1" customWidth="1"/>
    <col min="3" max="3" width="13.44140625" bestFit="1" customWidth="1"/>
    <col min="4" max="4" width="10.6640625" bestFit="1" customWidth="1"/>
    <col min="5" max="5" width="14.33203125" customWidth="1"/>
    <col min="6" max="6" width="11.6640625" bestFit="1" customWidth="1"/>
    <col min="7" max="7" width="17" bestFit="1" customWidth="1"/>
    <col min="8" max="8" width="16" customWidth="1"/>
    <col min="9" max="9" width="10.109375" bestFit="1" customWidth="1"/>
    <col min="10" max="10" width="12.44140625" bestFit="1" customWidth="1"/>
    <col min="11" max="11" width="40.44140625" bestFit="1" customWidth="1"/>
    <col min="12" max="12" width="15" bestFit="1" customWidth="1"/>
    <col min="13" max="13" width="12.44140625" bestFit="1" customWidth="1"/>
    <col min="14" max="14" width="12.109375" bestFit="1" customWidth="1"/>
    <col min="15" max="15" width="11.44140625" bestFit="1" customWidth="1"/>
    <col min="16" max="17" width="11.33203125" bestFit="1" customWidth="1"/>
    <col min="18" max="18" width="10.88671875" bestFit="1" customWidth="1"/>
    <col min="19" max="19" width="12" bestFit="1" customWidth="1"/>
    <col min="20" max="20" width="13" bestFit="1" customWidth="1"/>
    <col min="21" max="21" width="15.88671875" bestFit="1" customWidth="1"/>
    <col min="22" max="22" width="15.88671875" customWidth="1"/>
    <col min="23" max="26" width="15.88671875" customWidth="1" outlineLevel="1"/>
    <col min="27" max="27" width="12.88671875" customWidth="1" outlineLevel="1"/>
  </cols>
  <sheetData>
    <row r="1" spans="1:28" x14ac:dyDescent="0.3">
      <c r="A1" s="263" t="s">
        <v>9536</v>
      </c>
      <c r="B1" s="263" t="s">
        <v>9537</v>
      </c>
      <c r="C1" s="263" t="s">
        <v>9563</v>
      </c>
      <c r="D1" s="263" t="s">
        <v>9539</v>
      </c>
      <c r="E1" s="263" t="s">
        <v>9540</v>
      </c>
      <c r="F1" s="263" t="s">
        <v>9541</v>
      </c>
      <c r="G1" s="263" t="s">
        <v>9542</v>
      </c>
      <c r="H1" s="263" t="s">
        <v>9543</v>
      </c>
      <c r="I1" s="263" t="s">
        <v>9544</v>
      </c>
      <c r="J1" s="263" t="s">
        <v>9545</v>
      </c>
      <c r="K1" s="263" t="s">
        <v>9546</v>
      </c>
      <c r="L1" s="263" t="s">
        <v>9565</v>
      </c>
      <c r="M1" s="263" t="s">
        <v>9548</v>
      </c>
      <c r="N1" s="263" t="s">
        <v>9549</v>
      </c>
      <c r="O1" s="263" t="s">
        <v>9550</v>
      </c>
      <c r="P1" s="263" t="s">
        <v>9551</v>
      </c>
      <c r="Q1" s="263" t="s">
        <v>9552</v>
      </c>
      <c r="R1" s="263" t="s">
        <v>9553</v>
      </c>
      <c r="S1" s="263" t="s">
        <v>9554</v>
      </c>
      <c r="T1" s="263" t="s">
        <v>9555</v>
      </c>
      <c r="U1" s="263" t="s">
        <v>9556</v>
      </c>
      <c r="V1" s="263" t="s">
        <v>9557</v>
      </c>
      <c r="W1" s="263" t="s">
        <v>9558</v>
      </c>
      <c r="X1" s="263" t="s">
        <v>9559</v>
      </c>
      <c r="Y1" s="263" t="s">
        <v>9560</v>
      </c>
      <c r="Z1" s="263" t="s">
        <v>9561</v>
      </c>
      <c r="AA1" s="263" t="s">
        <v>9562</v>
      </c>
      <c r="AB1" s="1" t="s">
        <v>9566</v>
      </c>
    </row>
    <row r="2" spans="1:28" x14ac:dyDescent="0.3">
      <c r="A2" s="2">
        <f>IF(C_Ope_007[[#This Row],[tipo_r]]="R",COUNTIFS($C$1:$C1,"R")+1,"")</f>
        <v>1</v>
      </c>
      <c r="B2" s="19" t="str">
        <f>"C_Ope_007"</f>
        <v>C_Ope_007</v>
      </c>
      <c r="C2" s="3" t="s">
        <v>1330</v>
      </c>
      <c r="D2" s="4">
        <v>45658</v>
      </c>
      <c r="E2" s="5" t="s">
        <v>5259</v>
      </c>
      <c r="F2" s="6" t="s">
        <v>1320</v>
      </c>
      <c r="G2" s="6"/>
      <c r="H2" s="6"/>
      <c r="I2" s="6"/>
      <c r="J2" s="6"/>
      <c r="K2" s="7" t="s">
        <v>1332</v>
      </c>
      <c r="L2" s="8">
        <v>22571</v>
      </c>
      <c r="M2" s="8" t="str">
        <f t="shared" ref="M2" si="0">"PEN"</f>
        <v>PEN</v>
      </c>
      <c r="N2" s="13"/>
      <c r="O2" s="9">
        <v>36</v>
      </c>
      <c r="P2" s="9">
        <f t="shared" ref="P2:P65" si="1">+IF(OR($F2="SALDO",$F2="INGRESO"),$O2,0)</f>
        <v>36</v>
      </c>
      <c r="Q2" s="9">
        <f t="shared" ref="Q2:Q65" si="2">+IF($F2="EGRESO",$O2,0)</f>
        <v>0</v>
      </c>
      <c r="R2" s="9">
        <f t="shared" ref="R2:R65" si="3">IFERROR(IF(F2="SALDO",P2,R1+P2-Q2),0)</f>
        <v>36</v>
      </c>
      <c r="S2" s="24" t="s">
        <v>1334</v>
      </c>
      <c r="T2" s="24" t="s">
        <v>1334</v>
      </c>
      <c r="U2" s="15"/>
      <c r="V2" s="25"/>
      <c r="W2" s="25"/>
      <c r="X2" s="25" t="str">
        <f>IFERROR(VLOOKUP(C_Ope_007[[#This Row],[nota_2]],Clientes_Proveedores[[Ruc / Dni]:[Razon Social]],2,0),"")</f>
        <v/>
      </c>
      <c r="Y2" s="25"/>
      <c r="Z2" s="103"/>
      <c r="AA2" s="3" t="str">
        <f>IF(C_Ope_007[[#This Row],[fecha]]&gt;0,TEXT(C_Ope_007[[#This Row],[fecha]],"mmmm"),0)</f>
        <v>Enero</v>
      </c>
      <c r="AB2" s="49"/>
    </row>
    <row r="3" spans="1:28" ht="24" x14ac:dyDescent="0.3">
      <c r="A3" s="2">
        <f>IF(C_Ope_007[[#This Row],[tipo_r]]="R",COUNTIFS($C$1:$C2,"R")+1,"")</f>
        <v>2</v>
      </c>
      <c r="B3" s="19" t="str">
        <f t="shared" ref="B3:B66" si="4">"C_Ope_007"</f>
        <v>C_Ope_007</v>
      </c>
      <c r="C3" s="3" t="s">
        <v>1330</v>
      </c>
      <c r="D3" s="14">
        <v>45665</v>
      </c>
      <c r="E3" s="5" t="s">
        <v>7514</v>
      </c>
      <c r="F3" s="5" t="s">
        <v>1303</v>
      </c>
      <c r="G3" s="6" t="s">
        <v>692</v>
      </c>
      <c r="H3" s="6"/>
      <c r="I3" s="6"/>
      <c r="J3" s="6"/>
      <c r="K3" s="7" t="s">
        <v>7516</v>
      </c>
      <c r="L3" s="8">
        <v>22587</v>
      </c>
      <c r="M3" s="8" t="str">
        <f t="shared" ref="M3:M66" si="5">"PEN"</f>
        <v>PEN</v>
      </c>
      <c r="N3" s="13"/>
      <c r="O3" s="13">
        <v>70</v>
      </c>
      <c r="P3" s="3">
        <f t="shared" si="1"/>
        <v>70</v>
      </c>
      <c r="Q3" s="3">
        <f t="shared" si="2"/>
        <v>0</v>
      </c>
      <c r="R3" s="3">
        <f t="shared" si="3"/>
        <v>106</v>
      </c>
      <c r="S3" s="24" t="s">
        <v>1334</v>
      </c>
      <c r="T3" s="24" t="s">
        <v>1334</v>
      </c>
      <c r="U3" s="3"/>
      <c r="V3" s="25"/>
      <c r="W3" s="25"/>
      <c r="X3" s="25" t="str">
        <f>IFERROR(VLOOKUP(C_Ope_007[[#This Row],[nota_2]],Clientes_Proveedores[[Ruc / Dni]:[Razon Social]],2,0),"")</f>
        <v/>
      </c>
      <c r="Y3" s="25"/>
      <c r="Z3" s="103"/>
      <c r="AA3" s="3" t="str">
        <f>IF(C_Ope_007[[#This Row],[fecha]]&gt;0,TEXT(C_Ope_007[[#This Row],[fecha]],"mmmm"),0)</f>
        <v>Enero</v>
      </c>
      <c r="AB3" s="49"/>
    </row>
    <row r="4" spans="1:28" x14ac:dyDescent="0.3">
      <c r="A4" s="2">
        <f>IF(C_Ope_007[[#This Row],[tipo_r]]="R",COUNTIFS($C$1:$C3,"R")+1,"")</f>
        <v>3</v>
      </c>
      <c r="B4" s="19" t="str">
        <f t="shared" si="4"/>
        <v>C_Ope_007</v>
      </c>
      <c r="C4" s="3" t="s">
        <v>1330</v>
      </c>
      <c r="D4" s="14">
        <v>45664</v>
      </c>
      <c r="E4" s="5" t="s">
        <v>5259</v>
      </c>
      <c r="F4" s="5" t="s">
        <v>1336</v>
      </c>
      <c r="G4" s="6" t="s">
        <v>978</v>
      </c>
      <c r="H4" s="6" t="s">
        <v>68</v>
      </c>
      <c r="I4" s="6" t="s">
        <v>5688</v>
      </c>
      <c r="J4" s="6">
        <v>2188355</v>
      </c>
      <c r="K4" s="7" t="s">
        <v>8631</v>
      </c>
      <c r="L4" s="8">
        <v>22631</v>
      </c>
      <c r="M4" s="8" t="str">
        <f t="shared" si="5"/>
        <v>PEN</v>
      </c>
      <c r="N4" s="13"/>
      <c r="O4" s="13">
        <v>8</v>
      </c>
      <c r="P4" s="3">
        <f t="shared" si="1"/>
        <v>0</v>
      </c>
      <c r="Q4" s="3">
        <f t="shared" si="2"/>
        <v>8</v>
      </c>
      <c r="R4" s="3">
        <f t="shared" si="3"/>
        <v>98</v>
      </c>
      <c r="S4" s="24" t="s">
        <v>1334</v>
      </c>
      <c r="T4" s="24" t="s">
        <v>1334</v>
      </c>
      <c r="U4" s="3"/>
      <c r="V4" s="25" t="s">
        <v>7842</v>
      </c>
      <c r="W4" s="25">
        <v>20517252558</v>
      </c>
      <c r="X4" s="25" t="str">
        <f>IFERROR(VLOOKUP(C_Ope_007[[#This Row],[nota_2]],Clientes_Proveedores[[Ruc / Dni]:[Razon Social]],2,0),"")</f>
        <v>COVISUR S.A.</v>
      </c>
      <c r="Y4" s="25"/>
      <c r="Z4" s="103"/>
      <c r="AA4" s="3" t="str">
        <f>IF(C_Ope_007[[#This Row],[fecha]]&gt;0,TEXT(C_Ope_007[[#This Row],[fecha]],"mmmm"),0)</f>
        <v>Enero</v>
      </c>
      <c r="AB4" s="49"/>
    </row>
    <row r="5" spans="1:28" x14ac:dyDescent="0.3">
      <c r="A5" s="2">
        <f>IF(C_Ope_007[[#This Row],[tipo_r]]="R",COUNTIFS($C$1:$C4,"R")+1,"")</f>
        <v>4</v>
      </c>
      <c r="B5" s="19" t="str">
        <f t="shared" si="4"/>
        <v>C_Ope_007</v>
      </c>
      <c r="C5" s="3" t="s">
        <v>1330</v>
      </c>
      <c r="D5" s="14">
        <v>45664</v>
      </c>
      <c r="E5" s="5" t="s">
        <v>5259</v>
      </c>
      <c r="F5" s="5" t="s">
        <v>1336</v>
      </c>
      <c r="G5" s="6" t="s">
        <v>978</v>
      </c>
      <c r="H5" s="6" t="s">
        <v>68</v>
      </c>
      <c r="I5" s="6" t="s">
        <v>6245</v>
      </c>
      <c r="J5" s="6">
        <v>902350</v>
      </c>
      <c r="K5" s="7" t="s">
        <v>7841</v>
      </c>
      <c r="L5" s="8">
        <v>22632</v>
      </c>
      <c r="M5" s="8" t="str">
        <f t="shared" si="5"/>
        <v>PEN</v>
      </c>
      <c r="N5" s="13"/>
      <c r="O5" s="13">
        <v>8</v>
      </c>
      <c r="P5" s="3">
        <f t="shared" si="1"/>
        <v>0</v>
      </c>
      <c r="Q5" s="3">
        <f t="shared" si="2"/>
        <v>8</v>
      </c>
      <c r="R5" s="3">
        <f t="shared" si="3"/>
        <v>90</v>
      </c>
      <c r="S5" s="24" t="s">
        <v>1334</v>
      </c>
      <c r="T5" s="24" t="s">
        <v>1334</v>
      </c>
      <c r="U5" s="3"/>
      <c r="V5" s="25" t="s">
        <v>7842</v>
      </c>
      <c r="W5" s="25">
        <v>20517252558</v>
      </c>
      <c r="X5" s="25" t="str">
        <f>IFERROR(VLOOKUP(C_Ope_007[[#This Row],[nota_2]],Clientes_Proveedores[[Ruc / Dni]:[Razon Social]],2,0),"")</f>
        <v>COVISUR S.A.</v>
      </c>
      <c r="Y5" s="25"/>
      <c r="Z5" s="103"/>
      <c r="AA5" s="3" t="str">
        <f>IF(C_Ope_007[[#This Row],[fecha]]&gt;0,TEXT(C_Ope_007[[#This Row],[fecha]],"mmmm"),0)</f>
        <v>Enero</v>
      </c>
      <c r="AB5" s="49"/>
    </row>
    <row r="6" spans="1:28" x14ac:dyDescent="0.3">
      <c r="A6" s="2">
        <f>IF(C_Ope_007[[#This Row],[tipo_r]]="R",COUNTIFS($C$1:$C5,"R")+1,"")</f>
        <v>5</v>
      </c>
      <c r="B6" s="19" t="str">
        <f t="shared" si="4"/>
        <v>C_Ope_007</v>
      </c>
      <c r="C6" s="3" t="s">
        <v>1330</v>
      </c>
      <c r="D6" s="14">
        <v>45664</v>
      </c>
      <c r="E6" s="5" t="s">
        <v>5259</v>
      </c>
      <c r="F6" s="5" t="s">
        <v>1336</v>
      </c>
      <c r="G6" s="6" t="s">
        <v>978</v>
      </c>
      <c r="H6" s="6" t="s">
        <v>68</v>
      </c>
      <c r="I6" s="6" t="s">
        <v>6244</v>
      </c>
      <c r="J6" s="6">
        <v>982828</v>
      </c>
      <c r="K6" s="7" t="s">
        <v>7841</v>
      </c>
      <c r="L6" s="8">
        <v>22633</v>
      </c>
      <c r="M6" s="8" t="str">
        <f t="shared" si="5"/>
        <v>PEN</v>
      </c>
      <c r="N6" s="13"/>
      <c r="O6" s="13">
        <v>8</v>
      </c>
      <c r="P6" s="3">
        <f t="shared" si="1"/>
        <v>0</v>
      </c>
      <c r="Q6" s="3">
        <f t="shared" si="2"/>
        <v>8</v>
      </c>
      <c r="R6" s="3">
        <f t="shared" si="3"/>
        <v>82</v>
      </c>
      <c r="S6" s="24" t="s">
        <v>1334</v>
      </c>
      <c r="T6" s="24" t="s">
        <v>1334</v>
      </c>
      <c r="U6" s="3"/>
      <c r="V6" s="25" t="s">
        <v>7842</v>
      </c>
      <c r="W6" s="25">
        <v>20517252558</v>
      </c>
      <c r="X6" s="25" t="str">
        <f>IFERROR(VLOOKUP(C_Ope_007[[#This Row],[nota_2]],Clientes_Proveedores[[Ruc / Dni]:[Razon Social]],2,0),"")</f>
        <v>COVISUR S.A.</v>
      </c>
      <c r="Y6" s="25"/>
      <c r="Z6" s="103"/>
      <c r="AA6" s="3" t="str">
        <f>IF(C_Ope_007[[#This Row],[fecha]]&gt;0,TEXT(C_Ope_007[[#This Row],[fecha]],"mmmm"),0)</f>
        <v>Enero</v>
      </c>
      <c r="AB6" s="49"/>
    </row>
    <row r="7" spans="1:28" x14ac:dyDescent="0.3">
      <c r="A7" s="2">
        <f>IF(C_Ope_007[[#This Row],[tipo_r]]="R",COUNTIFS($C$1:$C6,"R")+1,"")</f>
        <v>6</v>
      </c>
      <c r="B7" s="19" t="str">
        <f t="shared" si="4"/>
        <v>C_Ope_007</v>
      </c>
      <c r="C7" s="3" t="s">
        <v>1330</v>
      </c>
      <c r="D7" s="14">
        <v>45664</v>
      </c>
      <c r="E7" s="5" t="s">
        <v>5259</v>
      </c>
      <c r="F7" s="5" t="s">
        <v>1336</v>
      </c>
      <c r="G7" s="6" t="s">
        <v>978</v>
      </c>
      <c r="H7" s="6" t="s">
        <v>68</v>
      </c>
      <c r="I7" s="6" t="s">
        <v>6203</v>
      </c>
      <c r="J7" s="6">
        <v>1920098</v>
      </c>
      <c r="K7" s="7" t="s">
        <v>8631</v>
      </c>
      <c r="L7" s="8">
        <v>22634</v>
      </c>
      <c r="M7" s="8" t="str">
        <f t="shared" si="5"/>
        <v>PEN</v>
      </c>
      <c r="N7" s="13"/>
      <c r="O7" s="13">
        <v>8</v>
      </c>
      <c r="P7" s="3">
        <f t="shared" si="1"/>
        <v>0</v>
      </c>
      <c r="Q7" s="3">
        <f t="shared" si="2"/>
        <v>8</v>
      </c>
      <c r="R7" s="3">
        <f t="shared" si="3"/>
        <v>74</v>
      </c>
      <c r="S7" s="24" t="s">
        <v>1334</v>
      </c>
      <c r="T7" s="24" t="s">
        <v>1334</v>
      </c>
      <c r="U7" s="3"/>
      <c r="V7" s="25" t="s">
        <v>7842</v>
      </c>
      <c r="W7" s="25">
        <v>20517252558</v>
      </c>
      <c r="X7" s="25" t="str">
        <f>IFERROR(VLOOKUP(C_Ope_007[[#This Row],[nota_2]],Clientes_Proveedores[[Ruc / Dni]:[Razon Social]],2,0),"")</f>
        <v>COVISUR S.A.</v>
      </c>
      <c r="Y7" s="25"/>
      <c r="Z7" s="103"/>
      <c r="AA7" s="3" t="str">
        <f>IF(C_Ope_007[[#This Row],[fecha]]&gt;0,TEXT(C_Ope_007[[#This Row],[fecha]],"mmmm"),0)</f>
        <v>Enero</v>
      </c>
      <c r="AB7" s="49"/>
    </row>
    <row r="8" spans="1:28" ht="24" x14ac:dyDescent="0.3">
      <c r="A8" s="2">
        <f>IF(C_Ope_007[[#This Row],[tipo_r]]="R",COUNTIFS($C$1:$C7,"R")+1,"")</f>
        <v>7</v>
      </c>
      <c r="B8" s="19" t="str">
        <f t="shared" si="4"/>
        <v>C_Ope_007</v>
      </c>
      <c r="C8" s="3" t="s">
        <v>1330</v>
      </c>
      <c r="D8" s="14">
        <v>45666</v>
      </c>
      <c r="E8" s="5" t="s">
        <v>5259</v>
      </c>
      <c r="F8" s="5" t="s">
        <v>1336</v>
      </c>
      <c r="G8" s="6" t="s">
        <v>978</v>
      </c>
      <c r="H8" s="6" t="s">
        <v>68</v>
      </c>
      <c r="I8" s="6" t="s">
        <v>5688</v>
      </c>
      <c r="J8" s="6">
        <v>2190661</v>
      </c>
      <c r="K8" s="7" t="s">
        <v>7821</v>
      </c>
      <c r="L8" s="8">
        <v>22635</v>
      </c>
      <c r="M8" s="8" t="str">
        <f t="shared" si="5"/>
        <v>PEN</v>
      </c>
      <c r="N8" s="13"/>
      <c r="O8" s="13">
        <v>8</v>
      </c>
      <c r="P8" s="3">
        <f t="shared" si="1"/>
        <v>0</v>
      </c>
      <c r="Q8" s="3">
        <f t="shared" si="2"/>
        <v>8</v>
      </c>
      <c r="R8" s="3">
        <f t="shared" si="3"/>
        <v>66</v>
      </c>
      <c r="S8" s="24" t="s">
        <v>1334</v>
      </c>
      <c r="T8" s="24" t="s">
        <v>1334</v>
      </c>
      <c r="U8" s="3"/>
      <c r="V8" s="25" t="s">
        <v>7842</v>
      </c>
      <c r="W8" s="25">
        <v>20517252558</v>
      </c>
      <c r="X8" s="25" t="str">
        <f>IFERROR(VLOOKUP(C_Ope_007[[#This Row],[nota_2]],Clientes_Proveedores[[Ruc / Dni]:[Razon Social]],2,0),"")</f>
        <v>COVISUR S.A.</v>
      </c>
      <c r="Y8" s="25"/>
      <c r="Z8" s="103"/>
      <c r="AA8" s="3" t="str">
        <f>IF(C_Ope_007[[#This Row],[fecha]]&gt;0,TEXT(C_Ope_007[[#This Row],[fecha]],"mmmm"),0)</f>
        <v>Enero</v>
      </c>
      <c r="AB8" s="49"/>
    </row>
    <row r="9" spans="1:28" ht="24" x14ac:dyDescent="0.3">
      <c r="A9" s="2">
        <f>IF(C_Ope_007[[#This Row],[tipo_r]]="R",COUNTIFS($C$1:$C8,"R")+1,"")</f>
        <v>8</v>
      </c>
      <c r="B9" s="19" t="str">
        <f t="shared" si="4"/>
        <v>C_Ope_007</v>
      </c>
      <c r="C9" s="3" t="s">
        <v>1330</v>
      </c>
      <c r="D9" s="14">
        <v>45666</v>
      </c>
      <c r="E9" s="5" t="s">
        <v>5259</v>
      </c>
      <c r="F9" s="5" t="s">
        <v>1336</v>
      </c>
      <c r="G9" s="6" t="s">
        <v>978</v>
      </c>
      <c r="H9" s="6" t="s">
        <v>68</v>
      </c>
      <c r="I9" s="6" t="s">
        <v>6203</v>
      </c>
      <c r="J9" s="6">
        <v>1922250</v>
      </c>
      <c r="K9" s="7" t="s">
        <v>7821</v>
      </c>
      <c r="L9" s="8">
        <v>22636</v>
      </c>
      <c r="M9" s="8" t="str">
        <f t="shared" si="5"/>
        <v>PEN</v>
      </c>
      <c r="N9" s="13"/>
      <c r="O9" s="13">
        <v>8</v>
      </c>
      <c r="P9" s="3">
        <f t="shared" si="1"/>
        <v>0</v>
      </c>
      <c r="Q9" s="3">
        <f t="shared" si="2"/>
        <v>8</v>
      </c>
      <c r="R9" s="3">
        <f t="shared" si="3"/>
        <v>58</v>
      </c>
      <c r="S9" s="24" t="s">
        <v>1334</v>
      </c>
      <c r="T9" s="24" t="s">
        <v>1334</v>
      </c>
      <c r="U9" s="3"/>
      <c r="V9" s="25" t="s">
        <v>7842</v>
      </c>
      <c r="W9" s="25">
        <v>20517252558</v>
      </c>
      <c r="X9" s="25" t="str">
        <f>IFERROR(VLOOKUP(C_Ope_007[[#This Row],[nota_2]],Clientes_Proveedores[[Ruc / Dni]:[Razon Social]],2,0),"")</f>
        <v>COVISUR S.A.</v>
      </c>
      <c r="Y9" s="25"/>
      <c r="Z9" s="103"/>
      <c r="AA9" s="3" t="str">
        <f>IF(C_Ope_007[[#This Row],[fecha]]&gt;0,TEXT(C_Ope_007[[#This Row],[fecha]],"mmmm"),0)</f>
        <v>Enero</v>
      </c>
      <c r="AB9" s="49"/>
    </row>
    <row r="10" spans="1:28" ht="36" x14ac:dyDescent="0.3">
      <c r="A10" s="2">
        <f>IF(C_Ope_007[[#This Row],[tipo_r]]="R",COUNTIFS($C$1:$C9,"R")+1,"")</f>
        <v>9</v>
      </c>
      <c r="B10" s="19" t="str">
        <f t="shared" si="4"/>
        <v>C_Ope_007</v>
      </c>
      <c r="C10" s="3" t="s">
        <v>1330</v>
      </c>
      <c r="D10" s="14">
        <v>45664</v>
      </c>
      <c r="E10" s="5" t="s">
        <v>5259</v>
      </c>
      <c r="F10" s="5" t="s">
        <v>1336</v>
      </c>
      <c r="G10" s="6" t="s">
        <v>1029</v>
      </c>
      <c r="H10" s="6" t="s">
        <v>68</v>
      </c>
      <c r="I10" s="6" t="s">
        <v>1374</v>
      </c>
      <c r="J10" s="6">
        <v>16591</v>
      </c>
      <c r="K10" s="7" t="s">
        <v>7845</v>
      </c>
      <c r="L10" s="8">
        <v>22637</v>
      </c>
      <c r="M10" s="8" t="str">
        <f t="shared" si="5"/>
        <v>PEN</v>
      </c>
      <c r="N10" s="13"/>
      <c r="O10" s="13">
        <v>11</v>
      </c>
      <c r="P10" s="3">
        <f t="shared" si="1"/>
        <v>0</v>
      </c>
      <c r="Q10" s="3">
        <f t="shared" si="2"/>
        <v>11</v>
      </c>
      <c r="R10" s="3">
        <f t="shared" si="3"/>
        <v>47</v>
      </c>
      <c r="S10" s="24" t="s">
        <v>1334</v>
      </c>
      <c r="T10" s="24" t="s">
        <v>1334</v>
      </c>
      <c r="U10" s="3"/>
      <c r="V10" s="25" t="s">
        <v>7842</v>
      </c>
      <c r="W10" s="25">
        <v>20454058187</v>
      </c>
      <c r="X10" s="25" t="str">
        <f>IFERROR(VLOOKUP(C_Ope_007[[#This Row],[nota_2]],Clientes_Proveedores[[Ruc / Dni]:[Razon Social]],2,0),"")</f>
        <v>ZONA ESPECIAL DE DESARROLLO ZED MATARANI</v>
      </c>
      <c r="Y10" s="25"/>
      <c r="Z10" s="103"/>
      <c r="AA10" s="3" t="str">
        <f>IF(C_Ope_007[[#This Row],[fecha]]&gt;0,TEXT(C_Ope_007[[#This Row],[fecha]],"mmmm"),0)</f>
        <v>Enero</v>
      </c>
      <c r="AB10" s="49"/>
    </row>
    <row r="11" spans="1:28" ht="36" x14ac:dyDescent="0.3">
      <c r="A11" s="2">
        <f>IF(C_Ope_007[[#This Row],[tipo_r]]="R",COUNTIFS($C$1:$C10,"R")+1,"")</f>
        <v>10</v>
      </c>
      <c r="B11" s="19" t="str">
        <f t="shared" si="4"/>
        <v>C_Ope_007</v>
      </c>
      <c r="C11" s="3" t="s">
        <v>1330</v>
      </c>
      <c r="D11" s="14">
        <v>45666</v>
      </c>
      <c r="E11" s="5" t="s">
        <v>5259</v>
      </c>
      <c r="F11" s="5" t="s">
        <v>1336</v>
      </c>
      <c r="G11" s="6" t="s">
        <v>682</v>
      </c>
      <c r="H11" s="6" t="s">
        <v>68</v>
      </c>
      <c r="I11" s="6" t="s">
        <v>1353</v>
      </c>
      <c r="J11" s="6">
        <v>15292</v>
      </c>
      <c r="K11" s="7" t="s">
        <v>8972</v>
      </c>
      <c r="L11" s="8">
        <v>22638</v>
      </c>
      <c r="M11" s="8" t="str">
        <f t="shared" si="5"/>
        <v>PEN</v>
      </c>
      <c r="N11" s="13"/>
      <c r="O11" s="13">
        <v>20</v>
      </c>
      <c r="P11" s="3">
        <f t="shared" si="1"/>
        <v>0</v>
      </c>
      <c r="Q11" s="3">
        <f t="shared" si="2"/>
        <v>20</v>
      </c>
      <c r="R11" s="3">
        <f t="shared" si="3"/>
        <v>27</v>
      </c>
      <c r="S11" s="24" t="s">
        <v>1334</v>
      </c>
      <c r="T11" s="24" t="s">
        <v>1334</v>
      </c>
      <c r="U11" s="3"/>
      <c r="V11" s="25" t="s">
        <v>7842</v>
      </c>
      <c r="W11" s="25">
        <v>20259858934</v>
      </c>
      <c r="X11" s="25" t="str">
        <f>IFERROR(VLOOKUP(C_Ope_007[[#This Row],[nota_2]],Clientes_Proveedores[[Ruc / Dni]:[Razon Social]],2,0),"")</f>
        <v>COMERCIALIZACION Y SERVICIOS EL EDEN S.A.C.</v>
      </c>
      <c r="Y11" s="25"/>
      <c r="Z11" s="103"/>
      <c r="AA11" s="3" t="str">
        <f>IF(C_Ope_007[[#This Row],[fecha]]&gt;0,TEXT(C_Ope_007[[#This Row],[fecha]],"mmmm"),0)</f>
        <v>Enero</v>
      </c>
      <c r="AB11" s="49"/>
    </row>
    <row r="12" spans="1:28" ht="36" x14ac:dyDescent="0.3">
      <c r="A12" s="2">
        <f>IF(C_Ope_007[[#This Row],[tipo_r]]="R",COUNTIFS($C$1:$C11,"R")+1,"")</f>
        <v>11</v>
      </c>
      <c r="B12" s="19" t="str">
        <f t="shared" si="4"/>
        <v>C_Ope_007</v>
      </c>
      <c r="C12" s="3" t="s">
        <v>1330</v>
      </c>
      <c r="D12" s="14">
        <v>45667</v>
      </c>
      <c r="E12" s="5" t="s">
        <v>5259</v>
      </c>
      <c r="F12" s="5" t="s">
        <v>1336</v>
      </c>
      <c r="G12" s="6" t="s">
        <v>227</v>
      </c>
      <c r="H12" s="6" t="s">
        <v>68</v>
      </c>
      <c r="I12" s="6" t="s">
        <v>1390</v>
      </c>
      <c r="J12" s="6">
        <v>126703</v>
      </c>
      <c r="K12" s="7" t="s">
        <v>7765</v>
      </c>
      <c r="L12" s="8">
        <v>22686</v>
      </c>
      <c r="M12" s="8" t="str">
        <f t="shared" si="5"/>
        <v>PEN</v>
      </c>
      <c r="N12" s="13"/>
      <c r="O12" s="13">
        <v>10</v>
      </c>
      <c r="P12" s="3">
        <f t="shared" si="1"/>
        <v>0</v>
      </c>
      <c r="Q12" s="3">
        <f t="shared" si="2"/>
        <v>10</v>
      </c>
      <c r="R12" s="3">
        <f t="shared" si="3"/>
        <v>17</v>
      </c>
      <c r="S12" s="24" t="s">
        <v>1334</v>
      </c>
      <c r="T12" s="24" t="s">
        <v>1334</v>
      </c>
      <c r="U12" s="3"/>
      <c r="V12" s="25" t="s">
        <v>7756</v>
      </c>
      <c r="W12" s="25">
        <v>20124952850</v>
      </c>
      <c r="X12" s="25" t="str">
        <f>IFERROR(VLOOKUP(C_Ope_007[[#This Row],[nota_2]],Clientes_Proveedores[[Ruc / Dni]:[Razon Social]],2,0),"")</f>
        <v>ALIMENTOS Y SERVICIOS AGROPECUARIOS SRL.</v>
      </c>
      <c r="Y12" s="25"/>
      <c r="Z12" s="103"/>
      <c r="AA12" s="3" t="str">
        <f>IF(C_Ope_007[[#This Row],[fecha]]&gt;0,TEXT(C_Ope_007[[#This Row],[fecha]],"mmmm"),0)</f>
        <v>Enero</v>
      </c>
      <c r="AB12" s="49"/>
    </row>
    <row r="13" spans="1:28" ht="24" x14ac:dyDescent="0.3">
      <c r="A13" s="2">
        <f>IF(C_Ope_007[[#This Row],[tipo_r]]="R",COUNTIFS($C$1:$C12,"R")+1,"")</f>
        <v>12</v>
      </c>
      <c r="B13" s="19" t="str">
        <f t="shared" si="4"/>
        <v>C_Ope_007</v>
      </c>
      <c r="C13" s="3" t="s">
        <v>1330</v>
      </c>
      <c r="D13" s="14">
        <v>45667</v>
      </c>
      <c r="E13" s="5" t="s">
        <v>5259</v>
      </c>
      <c r="F13" s="5" t="s">
        <v>1336</v>
      </c>
      <c r="G13" s="6" t="s">
        <v>1195</v>
      </c>
      <c r="H13" s="6" t="s">
        <v>68</v>
      </c>
      <c r="I13" s="6" t="s">
        <v>1376</v>
      </c>
      <c r="J13" s="6">
        <v>63</v>
      </c>
      <c r="K13" s="7" t="s">
        <v>7962</v>
      </c>
      <c r="L13" s="8">
        <v>22639</v>
      </c>
      <c r="M13" s="8" t="str">
        <f t="shared" si="5"/>
        <v>PEN</v>
      </c>
      <c r="N13" s="13"/>
      <c r="O13" s="13">
        <v>40</v>
      </c>
      <c r="P13" s="3">
        <f t="shared" si="1"/>
        <v>0</v>
      </c>
      <c r="Q13" s="3">
        <f t="shared" si="2"/>
        <v>40</v>
      </c>
      <c r="R13" s="3">
        <f t="shared" si="3"/>
        <v>-23</v>
      </c>
      <c r="S13" s="24" t="s">
        <v>1334</v>
      </c>
      <c r="T13" s="24" t="s">
        <v>1334</v>
      </c>
      <c r="U13" s="3"/>
      <c r="V13" s="25" t="s">
        <v>7754</v>
      </c>
      <c r="W13" s="25">
        <v>20612485691</v>
      </c>
      <c r="X13" s="25" t="str">
        <f>IFERROR(VLOOKUP(C_Ope_007[[#This Row],[nota_2]],Clientes_Proveedores[[Ruc / Dni]:[Razon Social]],2,0),"")</f>
        <v>DOBLE A FACTORI AQP E.I.R.L.</v>
      </c>
      <c r="Y13" s="25"/>
      <c r="Z13" s="103"/>
      <c r="AA13" s="3" t="str">
        <f>IF(C_Ope_007[[#This Row],[fecha]]&gt;0,TEXT(C_Ope_007[[#This Row],[fecha]],"mmmm"),0)</f>
        <v>Enero</v>
      </c>
      <c r="AB13" s="49"/>
    </row>
    <row r="14" spans="1:28" ht="24" x14ac:dyDescent="0.3">
      <c r="A14" s="2">
        <f>IF(C_Ope_007[[#This Row],[tipo_r]]="R",COUNTIFS($C$1:$C13,"R")+1,"")</f>
        <v>13</v>
      </c>
      <c r="B14" s="19" t="str">
        <f t="shared" si="4"/>
        <v>C_Ope_007</v>
      </c>
      <c r="C14" s="3" t="s">
        <v>1330</v>
      </c>
      <c r="D14" s="14">
        <v>45670</v>
      </c>
      <c r="E14" s="5" t="s">
        <v>7514</v>
      </c>
      <c r="F14" s="5" t="s">
        <v>1303</v>
      </c>
      <c r="G14" s="6" t="s">
        <v>692</v>
      </c>
      <c r="H14" s="6"/>
      <c r="I14" s="6"/>
      <c r="J14" s="6"/>
      <c r="K14" s="7" t="s">
        <v>7516</v>
      </c>
      <c r="L14" s="8">
        <v>22630</v>
      </c>
      <c r="M14" s="8" t="str">
        <f t="shared" si="5"/>
        <v>PEN</v>
      </c>
      <c r="N14" s="13"/>
      <c r="O14" s="13">
        <v>100</v>
      </c>
      <c r="P14" s="3">
        <f t="shared" si="1"/>
        <v>100</v>
      </c>
      <c r="Q14" s="3">
        <f t="shared" si="2"/>
        <v>0</v>
      </c>
      <c r="R14" s="3">
        <f t="shared" si="3"/>
        <v>77</v>
      </c>
      <c r="S14" s="24" t="s">
        <v>1334</v>
      </c>
      <c r="T14" s="24" t="s">
        <v>1334</v>
      </c>
      <c r="U14" s="3"/>
      <c r="V14" s="25"/>
      <c r="W14" s="25"/>
      <c r="X14" s="25" t="str">
        <f>IFERROR(VLOOKUP(C_Ope_007[[#This Row],[nota_2]],Clientes_Proveedores[[Ruc / Dni]:[Razon Social]],2,0),"")</f>
        <v/>
      </c>
      <c r="Y14" s="25"/>
      <c r="Z14" s="103"/>
      <c r="AA14" s="3" t="str">
        <f>IF(C_Ope_007[[#This Row],[fecha]]&gt;0,TEXT(C_Ope_007[[#This Row],[fecha]],"mmmm"),0)</f>
        <v>Enero</v>
      </c>
      <c r="AB14" s="49"/>
    </row>
    <row r="15" spans="1:28" ht="24" x14ac:dyDescent="0.3">
      <c r="A15" s="2">
        <f>IF(C_Ope_007[[#This Row],[tipo_r]]="R",COUNTIFS($C$1:$C14,"R")+1,"")</f>
        <v>14</v>
      </c>
      <c r="B15" s="19" t="str">
        <f t="shared" si="4"/>
        <v>C_Ope_007</v>
      </c>
      <c r="C15" s="3" t="s">
        <v>1330</v>
      </c>
      <c r="D15" s="14">
        <v>45674</v>
      </c>
      <c r="E15" s="5" t="s">
        <v>7514</v>
      </c>
      <c r="F15" s="5" t="s">
        <v>1303</v>
      </c>
      <c r="G15" s="6" t="s">
        <v>692</v>
      </c>
      <c r="H15" s="6"/>
      <c r="I15" s="6"/>
      <c r="J15" s="6"/>
      <c r="K15" s="7" t="s">
        <v>7516</v>
      </c>
      <c r="L15" s="8">
        <v>22699</v>
      </c>
      <c r="M15" s="8" t="str">
        <f t="shared" si="5"/>
        <v>PEN</v>
      </c>
      <c r="N15" s="13"/>
      <c r="O15" s="13">
        <v>100</v>
      </c>
      <c r="P15" s="3">
        <f t="shared" si="1"/>
        <v>100</v>
      </c>
      <c r="Q15" s="3">
        <f t="shared" si="2"/>
        <v>0</v>
      </c>
      <c r="R15" s="3">
        <f t="shared" si="3"/>
        <v>177</v>
      </c>
      <c r="S15" s="24" t="s">
        <v>1334</v>
      </c>
      <c r="T15" s="24" t="s">
        <v>1334</v>
      </c>
      <c r="U15" s="3"/>
      <c r="V15" s="25"/>
      <c r="W15" s="25"/>
      <c r="X15" s="25" t="str">
        <f>IFERROR(VLOOKUP(C_Ope_007[[#This Row],[nota_2]],Clientes_Proveedores[[Ruc / Dni]:[Razon Social]],2,0),"")</f>
        <v/>
      </c>
      <c r="Y15" s="25"/>
      <c r="Z15" s="103"/>
      <c r="AA15" s="3" t="str">
        <f>IF(C_Ope_007[[#This Row],[fecha]]&gt;0,TEXT(C_Ope_007[[#This Row],[fecha]],"mmmm"),0)</f>
        <v>Enero</v>
      </c>
      <c r="AB15" s="49"/>
    </row>
    <row r="16" spans="1:28" ht="36" x14ac:dyDescent="0.3">
      <c r="A16" s="2">
        <f>IF(C_Ope_007[[#This Row],[tipo_r]]="R",COUNTIFS($C$1:$C15,"R")+1,"")</f>
        <v>15</v>
      </c>
      <c r="B16" s="19" t="str">
        <f t="shared" si="4"/>
        <v>C_Ope_007</v>
      </c>
      <c r="C16" s="3" t="s">
        <v>1330</v>
      </c>
      <c r="D16" s="14">
        <v>45670</v>
      </c>
      <c r="E16" s="5" t="s">
        <v>5259</v>
      </c>
      <c r="F16" s="5" t="s">
        <v>1336</v>
      </c>
      <c r="G16" s="6" t="s">
        <v>978</v>
      </c>
      <c r="H16" s="6" t="s">
        <v>68</v>
      </c>
      <c r="I16" s="6" t="s">
        <v>5688</v>
      </c>
      <c r="J16" s="6">
        <v>2194927</v>
      </c>
      <c r="K16" s="7" t="s">
        <v>8973</v>
      </c>
      <c r="L16" s="8">
        <v>22700</v>
      </c>
      <c r="M16" s="8" t="str">
        <f t="shared" si="5"/>
        <v>PEN</v>
      </c>
      <c r="N16" s="13"/>
      <c r="O16" s="13">
        <v>8</v>
      </c>
      <c r="P16" s="3">
        <f t="shared" si="1"/>
        <v>0</v>
      </c>
      <c r="Q16" s="3">
        <f t="shared" si="2"/>
        <v>8</v>
      </c>
      <c r="R16" s="3">
        <f t="shared" si="3"/>
        <v>169</v>
      </c>
      <c r="S16" s="24" t="s">
        <v>1334</v>
      </c>
      <c r="T16" s="24" t="s">
        <v>1334</v>
      </c>
      <c r="U16" s="3"/>
      <c r="V16" s="25" t="s">
        <v>7842</v>
      </c>
      <c r="W16" s="25">
        <v>20517252558</v>
      </c>
      <c r="X16" s="25" t="str">
        <f>IFERROR(VLOOKUP(C_Ope_007[[#This Row],[nota_2]],Clientes_Proveedores[[Ruc / Dni]:[Razon Social]],2,0),"")</f>
        <v>COVISUR S.A.</v>
      </c>
      <c r="Y16" s="25"/>
      <c r="Z16" s="103"/>
      <c r="AA16" s="3" t="str">
        <f>IF(C_Ope_007[[#This Row],[fecha]]&gt;0,TEXT(C_Ope_007[[#This Row],[fecha]],"mmmm"),0)</f>
        <v>Enero</v>
      </c>
      <c r="AB16" s="49"/>
    </row>
    <row r="17" spans="1:28" ht="36" x14ac:dyDescent="0.3">
      <c r="A17" s="2">
        <f>IF(C_Ope_007[[#This Row],[tipo_r]]="R",COUNTIFS($C$1:$C16,"R")+1,"")</f>
        <v>16</v>
      </c>
      <c r="B17" s="19" t="str">
        <f t="shared" si="4"/>
        <v>C_Ope_007</v>
      </c>
      <c r="C17" s="3" t="s">
        <v>1330</v>
      </c>
      <c r="D17" s="14">
        <v>45670</v>
      </c>
      <c r="E17" s="5" t="s">
        <v>5259</v>
      </c>
      <c r="F17" s="5" t="s">
        <v>1336</v>
      </c>
      <c r="G17" s="6" t="s">
        <v>978</v>
      </c>
      <c r="H17" s="6" t="s">
        <v>68</v>
      </c>
      <c r="I17" s="6" t="s">
        <v>5845</v>
      </c>
      <c r="J17" s="6">
        <v>1648535</v>
      </c>
      <c r="K17" s="7" t="s">
        <v>8973</v>
      </c>
      <c r="L17" s="8">
        <v>22701</v>
      </c>
      <c r="M17" s="8" t="str">
        <f t="shared" si="5"/>
        <v>PEN</v>
      </c>
      <c r="N17" s="13"/>
      <c r="O17" s="13">
        <v>8</v>
      </c>
      <c r="P17" s="3">
        <f t="shared" si="1"/>
        <v>0</v>
      </c>
      <c r="Q17" s="3">
        <f t="shared" si="2"/>
        <v>8</v>
      </c>
      <c r="R17" s="3">
        <f t="shared" si="3"/>
        <v>161</v>
      </c>
      <c r="S17" s="24" t="s">
        <v>1334</v>
      </c>
      <c r="T17" s="24" t="s">
        <v>1334</v>
      </c>
      <c r="U17" s="3"/>
      <c r="V17" s="25" t="s">
        <v>7842</v>
      </c>
      <c r="W17" s="25">
        <v>20517252558</v>
      </c>
      <c r="X17" s="25" t="str">
        <f>IFERROR(VLOOKUP(C_Ope_007[[#This Row],[nota_2]],Clientes_Proveedores[[Ruc / Dni]:[Razon Social]],2,0),"")</f>
        <v>COVISUR S.A.</v>
      </c>
      <c r="Y17" s="25"/>
      <c r="Z17" s="103"/>
      <c r="AA17" s="3" t="str">
        <f>IF(C_Ope_007[[#This Row],[fecha]]&gt;0,TEXT(C_Ope_007[[#This Row],[fecha]],"mmmm"),0)</f>
        <v>Enero</v>
      </c>
      <c r="AB17" s="49"/>
    </row>
    <row r="18" spans="1:28" ht="36" x14ac:dyDescent="0.3">
      <c r="A18" s="2">
        <f>IF(C_Ope_007[[#This Row],[tipo_r]]="R",COUNTIFS($C$1:$C17,"R")+1,"")</f>
        <v>17</v>
      </c>
      <c r="B18" s="19" t="str">
        <f t="shared" si="4"/>
        <v>C_Ope_007</v>
      </c>
      <c r="C18" s="3" t="s">
        <v>1330</v>
      </c>
      <c r="D18" s="14">
        <v>45671</v>
      </c>
      <c r="E18" s="5" t="s">
        <v>5259</v>
      </c>
      <c r="F18" s="5" t="s">
        <v>1336</v>
      </c>
      <c r="G18" s="6" t="s">
        <v>978</v>
      </c>
      <c r="H18" s="6" t="s">
        <v>68</v>
      </c>
      <c r="I18" s="6" t="s">
        <v>6204</v>
      </c>
      <c r="J18" s="6">
        <v>1630699</v>
      </c>
      <c r="K18" s="7" t="s">
        <v>8974</v>
      </c>
      <c r="L18" s="8">
        <v>22702</v>
      </c>
      <c r="M18" s="8" t="str">
        <f t="shared" si="5"/>
        <v>PEN</v>
      </c>
      <c r="N18" s="13"/>
      <c r="O18" s="13">
        <v>8</v>
      </c>
      <c r="P18" s="3">
        <f t="shared" si="1"/>
        <v>0</v>
      </c>
      <c r="Q18" s="3">
        <f t="shared" si="2"/>
        <v>8</v>
      </c>
      <c r="R18" s="3">
        <f t="shared" si="3"/>
        <v>153</v>
      </c>
      <c r="S18" s="24" t="s">
        <v>1334</v>
      </c>
      <c r="T18" s="24" t="s">
        <v>1334</v>
      </c>
      <c r="U18" s="3"/>
      <c r="V18" s="25" t="s">
        <v>7842</v>
      </c>
      <c r="W18" s="25">
        <v>20517252558</v>
      </c>
      <c r="X18" s="25" t="str">
        <f>IFERROR(VLOOKUP(C_Ope_007[[#This Row],[nota_2]],Clientes_Proveedores[[Ruc / Dni]:[Razon Social]],2,0),"")</f>
        <v>COVISUR S.A.</v>
      </c>
      <c r="Y18" s="25"/>
      <c r="Z18" s="103"/>
      <c r="AA18" s="3" t="str">
        <f>IF(C_Ope_007[[#This Row],[fecha]]&gt;0,TEXT(C_Ope_007[[#This Row],[fecha]],"mmmm"),0)</f>
        <v>Enero</v>
      </c>
      <c r="AB18" s="49"/>
    </row>
    <row r="19" spans="1:28" ht="36" x14ac:dyDescent="0.3">
      <c r="A19" s="2">
        <f>IF(C_Ope_007[[#This Row],[tipo_r]]="R",COUNTIFS($C$1:$C18,"R")+1,"")</f>
        <v>18</v>
      </c>
      <c r="B19" s="19" t="str">
        <f t="shared" si="4"/>
        <v>C_Ope_007</v>
      </c>
      <c r="C19" s="3" t="s">
        <v>1330</v>
      </c>
      <c r="D19" s="14">
        <v>45671</v>
      </c>
      <c r="E19" s="5" t="s">
        <v>5259</v>
      </c>
      <c r="F19" s="5" t="s">
        <v>1336</v>
      </c>
      <c r="G19" s="6" t="s">
        <v>978</v>
      </c>
      <c r="H19" s="6" t="s">
        <v>68</v>
      </c>
      <c r="I19" s="6" t="s">
        <v>6203</v>
      </c>
      <c r="J19" s="6">
        <v>1927453</v>
      </c>
      <c r="K19" s="7" t="s">
        <v>8974</v>
      </c>
      <c r="L19" s="8">
        <v>22703</v>
      </c>
      <c r="M19" s="8" t="str">
        <f t="shared" si="5"/>
        <v>PEN</v>
      </c>
      <c r="N19" s="13"/>
      <c r="O19" s="13">
        <v>8</v>
      </c>
      <c r="P19" s="3">
        <f t="shared" si="1"/>
        <v>0</v>
      </c>
      <c r="Q19" s="3">
        <f t="shared" si="2"/>
        <v>8</v>
      </c>
      <c r="R19" s="3">
        <f t="shared" si="3"/>
        <v>145</v>
      </c>
      <c r="S19" s="24" t="s">
        <v>1334</v>
      </c>
      <c r="T19" s="24" t="s">
        <v>1334</v>
      </c>
      <c r="U19" s="3"/>
      <c r="V19" s="25" t="s">
        <v>7842</v>
      </c>
      <c r="W19" s="25">
        <v>20517252558</v>
      </c>
      <c r="X19" s="25" t="str">
        <f>IFERROR(VLOOKUP(C_Ope_007[[#This Row],[nota_2]],Clientes_Proveedores[[Ruc / Dni]:[Razon Social]],2,0),"")</f>
        <v>COVISUR S.A.</v>
      </c>
      <c r="Y19" s="25"/>
      <c r="Z19" s="103"/>
      <c r="AA19" s="3" t="str">
        <f>IF(C_Ope_007[[#This Row],[fecha]]&gt;0,TEXT(C_Ope_007[[#This Row],[fecha]],"mmmm"),0)</f>
        <v>Enero</v>
      </c>
      <c r="AB19" s="49"/>
    </row>
    <row r="20" spans="1:28" ht="24" x14ac:dyDescent="0.3">
      <c r="A20" s="2">
        <f>IF(C_Ope_007[[#This Row],[tipo_r]]="R",COUNTIFS($C$1:$C19,"R")+1,"")</f>
        <v>19</v>
      </c>
      <c r="B20" s="19" t="str">
        <f t="shared" si="4"/>
        <v>C_Ope_007</v>
      </c>
      <c r="C20" s="3" t="s">
        <v>1330</v>
      </c>
      <c r="D20" s="14">
        <v>45671</v>
      </c>
      <c r="E20" s="5" t="s">
        <v>5259</v>
      </c>
      <c r="F20" s="5" t="s">
        <v>1336</v>
      </c>
      <c r="G20" s="6" t="s">
        <v>978</v>
      </c>
      <c r="H20" s="6" t="s">
        <v>68</v>
      </c>
      <c r="I20" s="6" t="s">
        <v>6204</v>
      </c>
      <c r="J20" s="6">
        <v>1630671</v>
      </c>
      <c r="K20" s="7" t="s">
        <v>8975</v>
      </c>
      <c r="L20" s="8">
        <v>22704</v>
      </c>
      <c r="M20" s="8" t="str">
        <f t="shared" si="5"/>
        <v>PEN</v>
      </c>
      <c r="N20" s="13"/>
      <c r="O20" s="13">
        <v>12</v>
      </c>
      <c r="P20" s="3">
        <f t="shared" si="1"/>
        <v>0</v>
      </c>
      <c r="Q20" s="3">
        <f t="shared" si="2"/>
        <v>12</v>
      </c>
      <c r="R20" s="3">
        <f t="shared" si="3"/>
        <v>133</v>
      </c>
      <c r="S20" s="24" t="s">
        <v>1334</v>
      </c>
      <c r="T20" s="24" t="s">
        <v>1334</v>
      </c>
      <c r="U20" s="3"/>
      <c r="V20" s="25" t="s">
        <v>8006</v>
      </c>
      <c r="W20" s="25">
        <v>20517252558</v>
      </c>
      <c r="X20" s="25" t="str">
        <f>IFERROR(VLOOKUP(C_Ope_007[[#This Row],[nota_2]],Clientes_Proveedores[[Ruc / Dni]:[Razon Social]],2,0),"")</f>
        <v>COVISUR S.A.</v>
      </c>
      <c r="Y20" s="25"/>
      <c r="Z20" s="103"/>
      <c r="AA20" s="3" t="str">
        <f>IF(C_Ope_007[[#This Row],[fecha]]&gt;0,TEXT(C_Ope_007[[#This Row],[fecha]],"mmmm"),0)</f>
        <v>Enero</v>
      </c>
      <c r="AB20" s="49"/>
    </row>
    <row r="21" spans="1:28" ht="24" x14ac:dyDescent="0.3">
      <c r="A21" s="2">
        <f>IF(C_Ope_007[[#This Row],[tipo_r]]="R",COUNTIFS($C$1:$C20,"R")+1,"")</f>
        <v>20</v>
      </c>
      <c r="B21" s="19" t="str">
        <f t="shared" si="4"/>
        <v>C_Ope_007</v>
      </c>
      <c r="C21" s="3" t="s">
        <v>1330</v>
      </c>
      <c r="D21" s="14">
        <v>45672</v>
      </c>
      <c r="E21" s="5" t="s">
        <v>5259</v>
      </c>
      <c r="F21" s="5" t="s">
        <v>1336</v>
      </c>
      <c r="G21" s="6" t="s">
        <v>978</v>
      </c>
      <c r="H21" s="6" t="s">
        <v>68</v>
      </c>
      <c r="I21" s="6" t="s">
        <v>5688</v>
      </c>
      <c r="J21" s="6">
        <v>2197494</v>
      </c>
      <c r="K21" s="7" t="s">
        <v>8976</v>
      </c>
      <c r="L21" s="8">
        <v>22705</v>
      </c>
      <c r="M21" s="8" t="str">
        <f t="shared" si="5"/>
        <v>PEN</v>
      </c>
      <c r="N21" s="13"/>
      <c r="O21" s="13">
        <v>8</v>
      </c>
      <c r="P21" s="3">
        <f t="shared" si="1"/>
        <v>0</v>
      </c>
      <c r="Q21" s="3">
        <f t="shared" si="2"/>
        <v>8</v>
      </c>
      <c r="R21" s="3">
        <f t="shared" si="3"/>
        <v>125</v>
      </c>
      <c r="S21" s="24" t="s">
        <v>1334</v>
      </c>
      <c r="T21" s="24" t="s">
        <v>1334</v>
      </c>
      <c r="U21" s="3"/>
      <c r="V21" s="25" t="s">
        <v>7842</v>
      </c>
      <c r="W21" s="25">
        <v>20517252558</v>
      </c>
      <c r="X21" s="25" t="str">
        <f>IFERROR(VLOOKUP(C_Ope_007[[#This Row],[nota_2]],Clientes_Proveedores[[Ruc / Dni]:[Razon Social]],2,0),"")</f>
        <v>COVISUR S.A.</v>
      </c>
      <c r="Y21" s="25"/>
      <c r="Z21" s="103"/>
      <c r="AA21" s="3" t="str">
        <f>IF(C_Ope_007[[#This Row],[fecha]]&gt;0,TEXT(C_Ope_007[[#This Row],[fecha]],"mmmm"),0)</f>
        <v>Enero</v>
      </c>
      <c r="AB21" s="49"/>
    </row>
    <row r="22" spans="1:28" ht="24" x14ac:dyDescent="0.3">
      <c r="A22" s="2">
        <f>IF(C_Ope_007[[#This Row],[tipo_r]]="R",COUNTIFS($C$1:$C21,"R")+1,"")</f>
        <v>21</v>
      </c>
      <c r="B22" s="19" t="str">
        <f t="shared" si="4"/>
        <v>C_Ope_007</v>
      </c>
      <c r="C22" s="3" t="s">
        <v>1330</v>
      </c>
      <c r="D22" s="14">
        <v>45672</v>
      </c>
      <c r="E22" s="5" t="s">
        <v>5259</v>
      </c>
      <c r="F22" s="5" t="s">
        <v>1336</v>
      </c>
      <c r="G22" s="6" t="s">
        <v>978</v>
      </c>
      <c r="H22" s="6" t="s">
        <v>68</v>
      </c>
      <c r="I22" s="6" t="s">
        <v>5845</v>
      </c>
      <c r="J22" s="6">
        <v>1650250</v>
      </c>
      <c r="K22" s="7" t="s">
        <v>8976</v>
      </c>
      <c r="L22" s="8">
        <v>22706</v>
      </c>
      <c r="M22" s="8" t="str">
        <f t="shared" si="5"/>
        <v>PEN</v>
      </c>
      <c r="N22" s="13"/>
      <c r="O22" s="13">
        <v>8</v>
      </c>
      <c r="P22" s="3">
        <f t="shared" si="1"/>
        <v>0</v>
      </c>
      <c r="Q22" s="3">
        <f t="shared" si="2"/>
        <v>8</v>
      </c>
      <c r="R22" s="3">
        <f t="shared" si="3"/>
        <v>117</v>
      </c>
      <c r="S22" s="24" t="s">
        <v>1334</v>
      </c>
      <c r="T22" s="24" t="s">
        <v>1334</v>
      </c>
      <c r="U22" s="3"/>
      <c r="V22" s="25" t="s">
        <v>7842</v>
      </c>
      <c r="W22" s="25">
        <v>20517252558</v>
      </c>
      <c r="X22" s="25" t="str">
        <f>IFERROR(VLOOKUP(C_Ope_007[[#This Row],[nota_2]],Clientes_Proveedores[[Ruc / Dni]:[Razon Social]],2,0),"")</f>
        <v>COVISUR S.A.</v>
      </c>
      <c r="Y22" s="25"/>
      <c r="Z22" s="103"/>
      <c r="AA22" s="3" t="str">
        <f>IF(C_Ope_007[[#This Row],[fecha]]&gt;0,TEXT(C_Ope_007[[#This Row],[fecha]],"mmmm"),0)</f>
        <v>Enero</v>
      </c>
      <c r="AB22" s="49"/>
    </row>
    <row r="23" spans="1:28" ht="24" x14ac:dyDescent="0.3">
      <c r="A23" s="2">
        <f>IF(C_Ope_007[[#This Row],[tipo_r]]="R",COUNTIFS($C$1:$C22,"R")+1,"")</f>
        <v>22</v>
      </c>
      <c r="B23" s="19" t="str">
        <f t="shared" si="4"/>
        <v>C_Ope_007</v>
      </c>
      <c r="C23" s="3" t="s">
        <v>1330</v>
      </c>
      <c r="D23" s="14">
        <v>45673</v>
      </c>
      <c r="E23" s="5" t="s">
        <v>5259</v>
      </c>
      <c r="F23" s="5" t="s">
        <v>1336</v>
      </c>
      <c r="G23" s="6" t="s">
        <v>978</v>
      </c>
      <c r="H23" s="6" t="s">
        <v>68</v>
      </c>
      <c r="I23" s="6" t="s">
        <v>5688</v>
      </c>
      <c r="J23" s="6">
        <v>2198773</v>
      </c>
      <c r="K23" s="7" t="s">
        <v>8977</v>
      </c>
      <c r="L23" s="8">
        <v>22707</v>
      </c>
      <c r="M23" s="8" t="str">
        <f t="shared" si="5"/>
        <v>PEN</v>
      </c>
      <c r="N23" s="13"/>
      <c r="O23" s="13">
        <v>8</v>
      </c>
      <c r="P23" s="3">
        <f t="shared" si="1"/>
        <v>0</v>
      </c>
      <c r="Q23" s="3">
        <f t="shared" si="2"/>
        <v>8</v>
      </c>
      <c r="R23" s="3">
        <f t="shared" si="3"/>
        <v>109</v>
      </c>
      <c r="S23" s="24" t="s">
        <v>1334</v>
      </c>
      <c r="T23" s="24" t="s">
        <v>1334</v>
      </c>
      <c r="U23" s="3"/>
      <c r="V23" s="25" t="s">
        <v>7842</v>
      </c>
      <c r="W23" s="25">
        <v>20517252558</v>
      </c>
      <c r="X23" s="25" t="str">
        <f>IFERROR(VLOOKUP(C_Ope_007[[#This Row],[nota_2]],Clientes_Proveedores[[Ruc / Dni]:[Razon Social]],2,0),"")</f>
        <v>COVISUR S.A.</v>
      </c>
      <c r="Y23" s="25"/>
      <c r="Z23" s="103"/>
      <c r="AA23" s="3" t="str">
        <f>IF(C_Ope_007[[#This Row],[fecha]]&gt;0,TEXT(C_Ope_007[[#This Row],[fecha]],"mmmm"),0)</f>
        <v>Enero</v>
      </c>
      <c r="AB23" s="49"/>
    </row>
    <row r="24" spans="1:28" ht="24" x14ac:dyDescent="0.3">
      <c r="A24" s="2">
        <f>IF(C_Ope_007[[#This Row],[tipo_r]]="R",COUNTIFS($C$1:$C23,"R")+1,"")</f>
        <v>23</v>
      </c>
      <c r="B24" s="19" t="str">
        <f t="shared" si="4"/>
        <v>C_Ope_007</v>
      </c>
      <c r="C24" s="3" t="s">
        <v>1330</v>
      </c>
      <c r="D24" s="14">
        <v>45673</v>
      </c>
      <c r="E24" s="5" t="s">
        <v>5259</v>
      </c>
      <c r="F24" s="5" t="s">
        <v>1336</v>
      </c>
      <c r="G24" s="6" t="s">
        <v>978</v>
      </c>
      <c r="H24" s="6" t="s">
        <v>68</v>
      </c>
      <c r="I24" s="6" t="s">
        <v>5845</v>
      </c>
      <c r="J24" s="6">
        <v>1651242</v>
      </c>
      <c r="K24" s="7" t="s">
        <v>8977</v>
      </c>
      <c r="L24" s="8">
        <v>22708</v>
      </c>
      <c r="M24" s="8" t="str">
        <f t="shared" si="5"/>
        <v>PEN</v>
      </c>
      <c r="N24" s="13"/>
      <c r="O24" s="13">
        <v>8</v>
      </c>
      <c r="P24" s="3">
        <f t="shared" si="1"/>
        <v>0</v>
      </c>
      <c r="Q24" s="3">
        <f t="shared" si="2"/>
        <v>8</v>
      </c>
      <c r="R24" s="3">
        <f t="shared" si="3"/>
        <v>101</v>
      </c>
      <c r="S24" s="24" t="s">
        <v>1334</v>
      </c>
      <c r="T24" s="24" t="s">
        <v>1334</v>
      </c>
      <c r="U24" s="3"/>
      <c r="V24" s="25" t="s">
        <v>7842</v>
      </c>
      <c r="W24" s="25">
        <v>20517252558</v>
      </c>
      <c r="X24" s="25" t="str">
        <f>IFERROR(VLOOKUP(C_Ope_007[[#This Row],[nota_2]],Clientes_Proveedores[[Ruc / Dni]:[Razon Social]],2,0),"")</f>
        <v>COVISUR S.A.</v>
      </c>
      <c r="Y24" s="25"/>
      <c r="Z24" s="103"/>
      <c r="AA24" s="3" t="str">
        <f>IF(C_Ope_007[[#This Row],[fecha]]&gt;0,TEXT(C_Ope_007[[#This Row],[fecha]],"mmmm"),0)</f>
        <v>Enero</v>
      </c>
      <c r="AB24" s="49"/>
    </row>
    <row r="25" spans="1:28" x14ac:dyDescent="0.3">
      <c r="A25" s="2">
        <f>IF(C_Ope_007[[#This Row],[tipo_r]]="R",COUNTIFS($C$1:$C24,"R")+1,"")</f>
        <v>24</v>
      </c>
      <c r="B25" s="19" t="str">
        <f t="shared" si="4"/>
        <v>C_Ope_007</v>
      </c>
      <c r="C25" s="3" t="s">
        <v>1330</v>
      </c>
      <c r="D25" s="14">
        <v>45674</v>
      </c>
      <c r="E25" s="5" t="s">
        <v>5259</v>
      </c>
      <c r="F25" s="5" t="s">
        <v>1336</v>
      </c>
      <c r="G25" s="6" t="s">
        <v>978</v>
      </c>
      <c r="H25" s="6" t="s">
        <v>68</v>
      </c>
      <c r="I25" s="6" t="s">
        <v>6204</v>
      </c>
      <c r="J25" s="6">
        <v>1633748</v>
      </c>
      <c r="K25" s="7" t="s">
        <v>8804</v>
      </c>
      <c r="L25" s="8">
        <v>22709</v>
      </c>
      <c r="M25" s="8" t="str">
        <f t="shared" si="5"/>
        <v>PEN</v>
      </c>
      <c r="N25" s="13"/>
      <c r="O25" s="13">
        <v>8</v>
      </c>
      <c r="P25" s="3">
        <f t="shared" si="1"/>
        <v>0</v>
      </c>
      <c r="Q25" s="3">
        <f t="shared" si="2"/>
        <v>8</v>
      </c>
      <c r="R25" s="3">
        <f t="shared" si="3"/>
        <v>93</v>
      </c>
      <c r="S25" s="24" t="s">
        <v>1334</v>
      </c>
      <c r="T25" s="24" t="s">
        <v>1334</v>
      </c>
      <c r="U25" s="3"/>
      <c r="V25" s="25" t="s">
        <v>7842</v>
      </c>
      <c r="W25" s="25">
        <v>20517252558</v>
      </c>
      <c r="X25" s="25" t="str">
        <f>IFERROR(VLOOKUP(C_Ope_007[[#This Row],[nota_2]],Clientes_Proveedores[[Ruc / Dni]:[Razon Social]],2,0),"")</f>
        <v>COVISUR S.A.</v>
      </c>
      <c r="Y25" s="25"/>
      <c r="Z25" s="103"/>
      <c r="AA25" s="3" t="str">
        <f>IF(C_Ope_007[[#This Row],[fecha]]&gt;0,TEXT(C_Ope_007[[#This Row],[fecha]],"mmmm"),0)</f>
        <v>Enero</v>
      </c>
      <c r="AB25" s="49"/>
    </row>
    <row r="26" spans="1:28" x14ac:dyDescent="0.3">
      <c r="A26" s="2">
        <f>IF(C_Ope_007[[#This Row],[tipo_r]]="R",COUNTIFS($C$1:$C25,"R")+1,"")</f>
        <v>25</v>
      </c>
      <c r="B26" s="19" t="str">
        <f t="shared" si="4"/>
        <v>C_Ope_007</v>
      </c>
      <c r="C26" s="3" t="s">
        <v>1330</v>
      </c>
      <c r="D26" s="14">
        <v>45674</v>
      </c>
      <c r="E26" s="5" t="s">
        <v>5259</v>
      </c>
      <c r="F26" s="5" t="s">
        <v>1336</v>
      </c>
      <c r="G26" s="6" t="s">
        <v>978</v>
      </c>
      <c r="H26" s="6" t="s">
        <v>68</v>
      </c>
      <c r="I26" s="6" t="s">
        <v>6203</v>
      </c>
      <c r="J26" s="6">
        <v>1930806</v>
      </c>
      <c r="K26" s="7" t="s">
        <v>8804</v>
      </c>
      <c r="L26" s="8">
        <v>22710</v>
      </c>
      <c r="M26" s="8" t="str">
        <f t="shared" si="5"/>
        <v>PEN</v>
      </c>
      <c r="N26" s="13"/>
      <c r="O26" s="13">
        <v>8</v>
      </c>
      <c r="P26" s="3">
        <f t="shared" si="1"/>
        <v>0</v>
      </c>
      <c r="Q26" s="3">
        <f t="shared" si="2"/>
        <v>8</v>
      </c>
      <c r="R26" s="3">
        <f t="shared" si="3"/>
        <v>85</v>
      </c>
      <c r="S26" s="24" t="s">
        <v>1334</v>
      </c>
      <c r="T26" s="24" t="s">
        <v>1334</v>
      </c>
      <c r="U26" s="3"/>
      <c r="V26" s="25" t="s">
        <v>7842</v>
      </c>
      <c r="W26" s="25">
        <v>20517252558</v>
      </c>
      <c r="X26" s="25" t="str">
        <f>IFERROR(VLOOKUP(C_Ope_007[[#This Row],[nota_2]],Clientes_Proveedores[[Ruc / Dni]:[Razon Social]],2,0),"")</f>
        <v>COVISUR S.A.</v>
      </c>
      <c r="Y26" s="25"/>
      <c r="Z26" s="103"/>
      <c r="AA26" s="3" t="str">
        <f>IF(C_Ope_007[[#This Row],[fecha]]&gt;0,TEXT(C_Ope_007[[#This Row],[fecha]],"mmmm"),0)</f>
        <v>Enero</v>
      </c>
      <c r="AB26" s="49"/>
    </row>
    <row r="27" spans="1:28" ht="36" x14ac:dyDescent="0.3">
      <c r="A27" s="2">
        <f>IF(C_Ope_007[[#This Row],[tipo_r]]="R",COUNTIFS($C$1:$C26,"R")+1,"")</f>
        <v>26</v>
      </c>
      <c r="B27" s="19" t="str">
        <f t="shared" si="4"/>
        <v>C_Ope_007</v>
      </c>
      <c r="C27" s="3" t="s">
        <v>1330</v>
      </c>
      <c r="D27" s="14">
        <v>45670</v>
      </c>
      <c r="E27" s="5" t="s">
        <v>5259</v>
      </c>
      <c r="F27" s="5" t="s">
        <v>1336</v>
      </c>
      <c r="G27" s="6" t="s">
        <v>682</v>
      </c>
      <c r="H27" s="6" t="s">
        <v>68</v>
      </c>
      <c r="I27" s="6" t="s">
        <v>1353</v>
      </c>
      <c r="J27" s="6">
        <v>15328</v>
      </c>
      <c r="K27" s="7" t="s">
        <v>8978</v>
      </c>
      <c r="L27" s="8">
        <v>22712</v>
      </c>
      <c r="M27" s="8" t="str">
        <f t="shared" si="5"/>
        <v>PEN</v>
      </c>
      <c r="N27" s="13"/>
      <c r="O27" s="13">
        <v>20</v>
      </c>
      <c r="P27" s="3">
        <f t="shared" si="1"/>
        <v>0</v>
      </c>
      <c r="Q27" s="3">
        <f t="shared" si="2"/>
        <v>20</v>
      </c>
      <c r="R27" s="3">
        <f t="shared" si="3"/>
        <v>65</v>
      </c>
      <c r="S27" s="24" t="s">
        <v>1334</v>
      </c>
      <c r="T27" s="24" t="s">
        <v>1334</v>
      </c>
      <c r="U27" s="3"/>
      <c r="V27" s="25" t="s">
        <v>7842</v>
      </c>
      <c r="W27" s="25">
        <v>20259858934</v>
      </c>
      <c r="X27" s="25" t="str">
        <f>IFERROR(VLOOKUP(C_Ope_007[[#This Row],[nota_2]],Clientes_Proveedores[[Ruc / Dni]:[Razon Social]],2,0),"")</f>
        <v>COMERCIALIZACION Y SERVICIOS EL EDEN S.A.C.</v>
      </c>
      <c r="Y27" s="25"/>
      <c r="Z27" s="103"/>
      <c r="AA27" s="3" t="str">
        <f>IF(C_Ope_007[[#This Row],[fecha]]&gt;0,TEXT(C_Ope_007[[#This Row],[fecha]],"mmmm"),0)</f>
        <v>Enero</v>
      </c>
      <c r="AB27" s="49"/>
    </row>
    <row r="28" spans="1:28" ht="36" x14ac:dyDescent="0.3">
      <c r="A28" s="2">
        <f>IF(C_Ope_007[[#This Row],[tipo_r]]="R",COUNTIFS($C$1:$C27,"R")+1,"")</f>
        <v>27</v>
      </c>
      <c r="B28" s="19" t="str">
        <f t="shared" si="4"/>
        <v>C_Ope_007</v>
      </c>
      <c r="C28" s="3" t="s">
        <v>1330</v>
      </c>
      <c r="D28" s="14">
        <v>45671</v>
      </c>
      <c r="E28" s="5" t="s">
        <v>5259</v>
      </c>
      <c r="F28" s="5" t="s">
        <v>1336</v>
      </c>
      <c r="G28" s="6" t="s">
        <v>682</v>
      </c>
      <c r="H28" s="6" t="s">
        <v>68</v>
      </c>
      <c r="I28" s="6" t="s">
        <v>1353</v>
      </c>
      <c r="J28" s="6">
        <v>15340</v>
      </c>
      <c r="K28" s="7" t="s">
        <v>8979</v>
      </c>
      <c r="L28" s="8">
        <v>22713</v>
      </c>
      <c r="M28" s="8" t="str">
        <f t="shared" si="5"/>
        <v>PEN</v>
      </c>
      <c r="N28" s="13"/>
      <c r="O28" s="13">
        <v>20</v>
      </c>
      <c r="P28" s="3">
        <f t="shared" si="1"/>
        <v>0</v>
      </c>
      <c r="Q28" s="3">
        <f t="shared" si="2"/>
        <v>20</v>
      </c>
      <c r="R28" s="3">
        <f t="shared" si="3"/>
        <v>45</v>
      </c>
      <c r="S28" s="24" t="s">
        <v>1334</v>
      </c>
      <c r="T28" s="24" t="s">
        <v>1334</v>
      </c>
      <c r="U28" s="3"/>
      <c r="V28" s="25" t="s">
        <v>7842</v>
      </c>
      <c r="W28" s="25">
        <v>20259858934</v>
      </c>
      <c r="X28" s="25" t="str">
        <f>IFERROR(VLOOKUP(C_Ope_007[[#This Row],[nota_2]],Clientes_Proveedores[[Ruc / Dni]:[Razon Social]],2,0),"")</f>
        <v>COMERCIALIZACION Y SERVICIOS EL EDEN S.A.C.</v>
      </c>
      <c r="Y28" s="25"/>
      <c r="Z28" s="103"/>
      <c r="AA28" s="3" t="str">
        <f>IF(C_Ope_007[[#This Row],[fecha]]&gt;0,TEXT(C_Ope_007[[#This Row],[fecha]],"mmmm"),0)</f>
        <v>Enero</v>
      </c>
      <c r="AB28" s="49"/>
    </row>
    <row r="29" spans="1:28" ht="36" x14ac:dyDescent="0.3">
      <c r="A29" s="2">
        <f>IF(C_Ope_007[[#This Row],[tipo_r]]="R",COUNTIFS($C$1:$C28,"R")+1,"")</f>
        <v>28</v>
      </c>
      <c r="B29" s="19" t="str">
        <f t="shared" si="4"/>
        <v>C_Ope_007</v>
      </c>
      <c r="C29" s="3" t="s">
        <v>1330</v>
      </c>
      <c r="D29" s="14">
        <v>45673</v>
      </c>
      <c r="E29" s="5" t="s">
        <v>5259</v>
      </c>
      <c r="F29" s="5" t="s">
        <v>1336</v>
      </c>
      <c r="G29" s="6" t="s">
        <v>682</v>
      </c>
      <c r="H29" s="6" t="s">
        <v>68</v>
      </c>
      <c r="I29" s="6" t="s">
        <v>1353</v>
      </c>
      <c r="J29" s="6">
        <v>15369</v>
      </c>
      <c r="K29" s="7" t="s">
        <v>8972</v>
      </c>
      <c r="L29" s="8">
        <v>22714</v>
      </c>
      <c r="M29" s="8" t="str">
        <f t="shared" si="5"/>
        <v>PEN</v>
      </c>
      <c r="N29" s="13"/>
      <c r="O29" s="13">
        <v>20</v>
      </c>
      <c r="P29" s="3">
        <f t="shared" si="1"/>
        <v>0</v>
      </c>
      <c r="Q29" s="3">
        <f t="shared" si="2"/>
        <v>20</v>
      </c>
      <c r="R29" s="3">
        <f t="shared" si="3"/>
        <v>25</v>
      </c>
      <c r="S29" s="24" t="s">
        <v>1334</v>
      </c>
      <c r="T29" s="24" t="s">
        <v>1334</v>
      </c>
      <c r="U29" s="3"/>
      <c r="V29" s="25" t="s">
        <v>7842</v>
      </c>
      <c r="W29" s="25">
        <v>20259858934</v>
      </c>
      <c r="X29" s="25" t="str">
        <f>IFERROR(VLOOKUP(C_Ope_007[[#This Row],[nota_2]],Clientes_Proveedores[[Ruc / Dni]:[Razon Social]],2,0),"")</f>
        <v>COMERCIALIZACION Y SERVICIOS EL EDEN S.A.C.</v>
      </c>
      <c r="Y29" s="25"/>
      <c r="Z29" s="103"/>
      <c r="AA29" s="3" t="str">
        <f>IF(C_Ope_007[[#This Row],[fecha]]&gt;0,TEXT(C_Ope_007[[#This Row],[fecha]],"mmmm"),0)</f>
        <v>Enero</v>
      </c>
      <c r="AB29" s="49"/>
    </row>
    <row r="30" spans="1:28" ht="36" x14ac:dyDescent="0.3">
      <c r="A30" s="2">
        <f>IF(C_Ope_007[[#This Row],[tipo_r]]="R",COUNTIFS($C$1:$C29,"R")+1,"")</f>
        <v>29</v>
      </c>
      <c r="B30" s="19" t="str">
        <f t="shared" si="4"/>
        <v>C_Ope_007</v>
      </c>
      <c r="C30" s="3" t="s">
        <v>1330</v>
      </c>
      <c r="D30" s="14">
        <v>45674</v>
      </c>
      <c r="E30" s="5" t="s">
        <v>5259</v>
      </c>
      <c r="F30" s="5" t="s">
        <v>1336</v>
      </c>
      <c r="G30" s="6" t="s">
        <v>227</v>
      </c>
      <c r="H30" s="6" t="s">
        <v>68</v>
      </c>
      <c r="I30" s="6" t="s">
        <v>1390</v>
      </c>
      <c r="J30" s="6">
        <v>127099</v>
      </c>
      <c r="K30" s="7" t="s">
        <v>8980</v>
      </c>
      <c r="L30" s="8">
        <v>22711</v>
      </c>
      <c r="M30" s="8" t="str">
        <f t="shared" si="5"/>
        <v>PEN</v>
      </c>
      <c r="N30" s="13"/>
      <c r="O30" s="13">
        <v>10</v>
      </c>
      <c r="P30" s="3">
        <f t="shared" si="1"/>
        <v>0</v>
      </c>
      <c r="Q30" s="3">
        <f t="shared" si="2"/>
        <v>10</v>
      </c>
      <c r="R30" s="3">
        <f t="shared" si="3"/>
        <v>15</v>
      </c>
      <c r="S30" s="24" t="s">
        <v>1334</v>
      </c>
      <c r="T30" s="24" t="s">
        <v>1334</v>
      </c>
      <c r="U30" s="3"/>
      <c r="V30" s="25" t="s">
        <v>7842</v>
      </c>
      <c r="W30" s="25">
        <v>20124952850</v>
      </c>
      <c r="X30" s="25" t="str">
        <f>IFERROR(VLOOKUP(C_Ope_007[[#This Row],[nota_2]],Clientes_Proveedores[[Ruc / Dni]:[Razon Social]],2,0),"")</f>
        <v>ALIMENTOS Y SERVICIOS AGROPECUARIOS SRL.</v>
      </c>
      <c r="Y30" s="25"/>
      <c r="Z30" s="103"/>
      <c r="AA30" s="3" t="str">
        <f>IF(C_Ope_007[[#This Row],[fecha]]&gt;0,TEXT(C_Ope_007[[#This Row],[fecha]],"mmmm"),0)</f>
        <v>Enero</v>
      </c>
      <c r="AB30" s="49"/>
    </row>
    <row r="31" spans="1:28" ht="36" x14ac:dyDescent="0.3">
      <c r="A31" s="2">
        <f>IF(C_Ope_007[[#This Row],[tipo_r]]="R",COUNTIFS($C$1:$C30,"R")+1,"")</f>
        <v>30</v>
      </c>
      <c r="B31" s="19" t="str">
        <f t="shared" si="4"/>
        <v>C_Ope_007</v>
      </c>
      <c r="C31" s="3" t="s">
        <v>1330</v>
      </c>
      <c r="D31" s="14">
        <v>45674</v>
      </c>
      <c r="E31" s="5" t="s">
        <v>5259</v>
      </c>
      <c r="F31" s="5" t="s">
        <v>1336</v>
      </c>
      <c r="G31" s="6" t="s">
        <v>682</v>
      </c>
      <c r="H31" s="6" t="s">
        <v>68</v>
      </c>
      <c r="I31" s="6" t="s">
        <v>1343</v>
      </c>
      <c r="J31" s="6">
        <v>33548</v>
      </c>
      <c r="K31" s="7" t="s">
        <v>8981</v>
      </c>
      <c r="L31" s="8">
        <v>22715</v>
      </c>
      <c r="M31" s="8" t="str">
        <f t="shared" si="5"/>
        <v>PEN</v>
      </c>
      <c r="N31" s="13"/>
      <c r="O31" s="13">
        <v>10</v>
      </c>
      <c r="P31" s="3">
        <f t="shared" si="1"/>
        <v>0</v>
      </c>
      <c r="Q31" s="3">
        <f t="shared" si="2"/>
        <v>10</v>
      </c>
      <c r="R31" s="3">
        <f t="shared" si="3"/>
        <v>5</v>
      </c>
      <c r="S31" s="24" t="s">
        <v>1334</v>
      </c>
      <c r="T31" s="24" t="s">
        <v>1334</v>
      </c>
      <c r="U31" s="3"/>
      <c r="V31" s="25" t="s">
        <v>7754</v>
      </c>
      <c r="W31" s="25">
        <v>20259858934</v>
      </c>
      <c r="X31" s="25" t="str">
        <f>IFERROR(VLOOKUP(C_Ope_007[[#This Row],[nota_2]],Clientes_Proveedores[[Ruc / Dni]:[Razon Social]],2,0),"")</f>
        <v>COMERCIALIZACION Y SERVICIOS EL EDEN S.A.C.</v>
      </c>
      <c r="Y31" s="25"/>
      <c r="Z31" s="103"/>
      <c r="AA31" s="3" t="str">
        <f>IF(C_Ope_007[[#This Row],[fecha]]&gt;0,TEXT(C_Ope_007[[#This Row],[fecha]],"mmmm"),0)</f>
        <v>Enero</v>
      </c>
      <c r="AB31" s="49"/>
    </row>
    <row r="32" spans="1:28" ht="24" x14ac:dyDescent="0.3">
      <c r="A32" s="2">
        <f>IF(C_Ope_007[[#This Row],[tipo_r]]="R",COUNTIFS($C$1:$C31,"R")+1,"")</f>
        <v>31</v>
      </c>
      <c r="B32" s="19" t="str">
        <f t="shared" si="4"/>
        <v>C_Ope_007</v>
      </c>
      <c r="C32" s="3" t="s">
        <v>1330</v>
      </c>
      <c r="D32" s="14">
        <v>45677</v>
      </c>
      <c r="E32" s="5" t="s">
        <v>7514</v>
      </c>
      <c r="F32" s="5" t="s">
        <v>1303</v>
      </c>
      <c r="G32" s="6" t="s">
        <v>692</v>
      </c>
      <c r="H32" s="6"/>
      <c r="I32" s="6"/>
      <c r="J32" s="6"/>
      <c r="K32" s="7" t="s">
        <v>7516</v>
      </c>
      <c r="L32" s="8">
        <v>22720</v>
      </c>
      <c r="M32" s="8" t="str">
        <f t="shared" si="5"/>
        <v>PEN</v>
      </c>
      <c r="N32" s="13"/>
      <c r="O32" s="13">
        <v>200</v>
      </c>
      <c r="P32" s="3">
        <f t="shared" si="1"/>
        <v>200</v>
      </c>
      <c r="Q32" s="3">
        <f t="shared" si="2"/>
        <v>0</v>
      </c>
      <c r="R32" s="3">
        <f t="shared" si="3"/>
        <v>205</v>
      </c>
      <c r="S32" s="24" t="s">
        <v>1334</v>
      </c>
      <c r="T32" s="24" t="s">
        <v>1334</v>
      </c>
      <c r="U32" s="3"/>
      <c r="V32" s="25"/>
      <c r="W32" s="25"/>
      <c r="X32" s="25" t="str">
        <f>IFERROR(VLOOKUP(C_Ope_007[[#This Row],[nota_2]],Clientes_Proveedores[[Ruc / Dni]:[Razon Social]],2,0),"")</f>
        <v/>
      </c>
      <c r="Y32" s="25"/>
      <c r="Z32" s="103"/>
      <c r="AA32" s="3" t="str">
        <f>IF(C_Ope_007[[#This Row],[fecha]]&gt;0,TEXT(C_Ope_007[[#This Row],[fecha]],"mmmm"),0)</f>
        <v>Enero</v>
      </c>
      <c r="AB32" s="49"/>
    </row>
    <row r="33" spans="1:28" ht="24" x14ac:dyDescent="0.3">
      <c r="A33" s="2">
        <f>IF(C_Ope_007[[#This Row],[tipo_r]]="R",COUNTIFS($C$1:$C32,"R")+1,"")</f>
        <v>32</v>
      </c>
      <c r="B33" s="19" t="str">
        <f t="shared" si="4"/>
        <v>C_Ope_007</v>
      </c>
      <c r="C33" s="3" t="s">
        <v>1330</v>
      </c>
      <c r="D33" s="14">
        <v>45677</v>
      </c>
      <c r="E33" s="5" t="s">
        <v>5259</v>
      </c>
      <c r="F33" s="5" t="s">
        <v>1336</v>
      </c>
      <c r="G33" s="6" t="s">
        <v>978</v>
      </c>
      <c r="H33" s="6" t="s">
        <v>68</v>
      </c>
      <c r="I33" s="6" t="s">
        <v>6204</v>
      </c>
      <c r="J33" s="6">
        <v>1635537</v>
      </c>
      <c r="K33" s="7" t="s">
        <v>8982</v>
      </c>
      <c r="L33" s="8">
        <v>22790</v>
      </c>
      <c r="M33" s="8" t="str">
        <f t="shared" si="5"/>
        <v>PEN</v>
      </c>
      <c r="N33" s="13"/>
      <c r="O33" s="13">
        <v>8</v>
      </c>
      <c r="P33" s="3">
        <f t="shared" si="1"/>
        <v>0</v>
      </c>
      <c r="Q33" s="3">
        <f t="shared" si="2"/>
        <v>8</v>
      </c>
      <c r="R33" s="3">
        <f t="shared" si="3"/>
        <v>197</v>
      </c>
      <c r="S33" s="24" t="s">
        <v>1334</v>
      </c>
      <c r="T33" s="24" t="s">
        <v>1334</v>
      </c>
      <c r="U33" s="3"/>
      <c r="V33" s="25" t="s">
        <v>7761</v>
      </c>
      <c r="W33" s="25">
        <v>20517252558</v>
      </c>
      <c r="X33" s="25" t="str">
        <f>IFERROR(VLOOKUP(C_Ope_007[[#This Row],[nota_2]],Clientes_Proveedores[[Ruc / Dni]:[Razon Social]],2,0),"")</f>
        <v>COVISUR S.A.</v>
      </c>
      <c r="Y33" s="25"/>
      <c r="Z33" s="103"/>
      <c r="AA33" s="3" t="str">
        <f>IF(C_Ope_007[[#This Row],[fecha]]&gt;0,TEXT(C_Ope_007[[#This Row],[fecha]],"mmmm"),0)</f>
        <v>Enero</v>
      </c>
      <c r="AB33" s="49"/>
    </row>
    <row r="34" spans="1:28" ht="24" x14ac:dyDescent="0.3">
      <c r="A34" s="2">
        <f>IF(C_Ope_007[[#This Row],[tipo_r]]="R",COUNTIFS($C$1:$C33,"R")+1,"")</f>
        <v>33</v>
      </c>
      <c r="B34" s="19" t="str">
        <f t="shared" si="4"/>
        <v>C_Ope_007</v>
      </c>
      <c r="C34" s="3" t="s">
        <v>1330</v>
      </c>
      <c r="D34" s="14">
        <v>45677</v>
      </c>
      <c r="E34" s="5" t="s">
        <v>5259</v>
      </c>
      <c r="F34" s="5" t="s">
        <v>1336</v>
      </c>
      <c r="G34" s="6" t="s">
        <v>978</v>
      </c>
      <c r="H34" s="6" t="s">
        <v>68</v>
      </c>
      <c r="I34" s="6" t="s">
        <v>6203</v>
      </c>
      <c r="J34" s="6">
        <v>1933894</v>
      </c>
      <c r="K34" s="7" t="s">
        <v>8982</v>
      </c>
      <c r="L34" s="8">
        <v>22791</v>
      </c>
      <c r="M34" s="8" t="str">
        <f t="shared" si="5"/>
        <v>PEN</v>
      </c>
      <c r="N34" s="13"/>
      <c r="O34" s="13">
        <v>8</v>
      </c>
      <c r="P34" s="3">
        <f t="shared" si="1"/>
        <v>0</v>
      </c>
      <c r="Q34" s="3">
        <f t="shared" si="2"/>
        <v>8</v>
      </c>
      <c r="R34" s="3">
        <f t="shared" si="3"/>
        <v>189</v>
      </c>
      <c r="S34" s="24" t="s">
        <v>1334</v>
      </c>
      <c r="T34" s="24" t="s">
        <v>1334</v>
      </c>
      <c r="U34" s="3"/>
      <c r="V34" s="25" t="s">
        <v>7761</v>
      </c>
      <c r="W34" s="25">
        <v>20517252558</v>
      </c>
      <c r="X34" s="25" t="str">
        <f>IFERROR(VLOOKUP(C_Ope_007[[#This Row],[nota_2]],Clientes_Proveedores[[Ruc / Dni]:[Razon Social]],2,0),"")</f>
        <v>COVISUR S.A.</v>
      </c>
      <c r="Y34" s="25"/>
      <c r="Z34" s="103"/>
      <c r="AA34" s="3" t="str">
        <f>IF(C_Ope_007[[#This Row],[fecha]]&gt;0,TEXT(C_Ope_007[[#This Row],[fecha]],"mmmm"),0)</f>
        <v>Enero</v>
      </c>
      <c r="AB34" s="49"/>
    </row>
    <row r="35" spans="1:28" ht="24" x14ac:dyDescent="0.3">
      <c r="A35" s="2">
        <f>IF(C_Ope_007[[#This Row],[tipo_r]]="R",COUNTIFS($C$1:$C34,"R")+1,"")</f>
        <v>34</v>
      </c>
      <c r="B35" s="19" t="str">
        <f t="shared" si="4"/>
        <v>C_Ope_007</v>
      </c>
      <c r="C35" s="3" t="s">
        <v>1330</v>
      </c>
      <c r="D35" s="14">
        <v>45678</v>
      </c>
      <c r="E35" s="5" t="s">
        <v>5259</v>
      </c>
      <c r="F35" s="5" t="s">
        <v>1336</v>
      </c>
      <c r="G35" s="6" t="s">
        <v>978</v>
      </c>
      <c r="H35" s="6" t="s">
        <v>68</v>
      </c>
      <c r="I35" s="6" t="s">
        <v>6204</v>
      </c>
      <c r="J35" s="6">
        <v>1636554</v>
      </c>
      <c r="K35" s="7" t="s">
        <v>8983</v>
      </c>
      <c r="L35" s="8">
        <v>22792</v>
      </c>
      <c r="M35" s="8" t="str">
        <f t="shared" si="5"/>
        <v>PEN</v>
      </c>
      <c r="N35" s="13"/>
      <c r="O35" s="13">
        <v>8</v>
      </c>
      <c r="P35" s="3">
        <f t="shared" si="1"/>
        <v>0</v>
      </c>
      <c r="Q35" s="3">
        <f t="shared" si="2"/>
        <v>8</v>
      </c>
      <c r="R35" s="3">
        <f t="shared" si="3"/>
        <v>181</v>
      </c>
      <c r="S35" s="24" t="s">
        <v>1334</v>
      </c>
      <c r="T35" s="24" t="s">
        <v>1334</v>
      </c>
      <c r="U35" s="3"/>
      <c r="V35" s="25" t="s">
        <v>7842</v>
      </c>
      <c r="W35" s="25">
        <v>20517252558</v>
      </c>
      <c r="X35" s="25" t="str">
        <f>IFERROR(VLOOKUP(C_Ope_007[[#This Row],[nota_2]],Clientes_Proveedores[[Ruc / Dni]:[Razon Social]],2,0),"")</f>
        <v>COVISUR S.A.</v>
      </c>
      <c r="Y35" s="25"/>
      <c r="Z35" s="103"/>
      <c r="AA35" s="3" t="str">
        <f>IF(C_Ope_007[[#This Row],[fecha]]&gt;0,TEXT(C_Ope_007[[#This Row],[fecha]],"mmmm"),0)</f>
        <v>Enero</v>
      </c>
      <c r="AB35" s="49"/>
    </row>
    <row r="36" spans="1:28" ht="24" x14ac:dyDescent="0.3">
      <c r="A36" s="2">
        <f>IF(C_Ope_007[[#This Row],[tipo_r]]="R",COUNTIFS($C$1:$C35,"R")+1,"")</f>
        <v>35</v>
      </c>
      <c r="B36" s="19" t="str">
        <f t="shared" si="4"/>
        <v>C_Ope_007</v>
      </c>
      <c r="C36" s="3" t="s">
        <v>1330</v>
      </c>
      <c r="D36" s="14">
        <v>45678</v>
      </c>
      <c r="E36" s="5" t="s">
        <v>5259</v>
      </c>
      <c r="F36" s="5" t="s">
        <v>1336</v>
      </c>
      <c r="G36" s="6" t="s">
        <v>978</v>
      </c>
      <c r="H36" s="6" t="s">
        <v>68</v>
      </c>
      <c r="I36" s="6" t="s">
        <v>6203</v>
      </c>
      <c r="J36" s="6">
        <v>1935060</v>
      </c>
      <c r="K36" s="7" t="s">
        <v>8983</v>
      </c>
      <c r="L36" s="8">
        <v>22793</v>
      </c>
      <c r="M36" s="8" t="str">
        <f t="shared" si="5"/>
        <v>PEN</v>
      </c>
      <c r="N36" s="13"/>
      <c r="O36" s="13">
        <v>8</v>
      </c>
      <c r="P36" s="3">
        <f t="shared" si="1"/>
        <v>0</v>
      </c>
      <c r="Q36" s="3">
        <f t="shared" si="2"/>
        <v>8</v>
      </c>
      <c r="R36" s="3">
        <f t="shared" si="3"/>
        <v>173</v>
      </c>
      <c r="S36" s="24" t="s">
        <v>1334</v>
      </c>
      <c r="T36" s="24" t="s">
        <v>1334</v>
      </c>
      <c r="U36" s="3"/>
      <c r="V36" s="25" t="s">
        <v>7842</v>
      </c>
      <c r="W36" s="25">
        <v>20517252558</v>
      </c>
      <c r="X36" s="25" t="str">
        <f>IFERROR(VLOOKUP(C_Ope_007[[#This Row],[nota_2]],Clientes_Proveedores[[Ruc / Dni]:[Razon Social]],2,0),"")</f>
        <v>COVISUR S.A.</v>
      </c>
      <c r="Y36" s="25"/>
      <c r="Z36" s="103"/>
      <c r="AA36" s="3" t="str">
        <f>IF(C_Ope_007[[#This Row],[fecha]]&gt;0,TEXT(C_Ope_007[[#This Row],[fecha]],"mmmm"),0)</f>
        <v>Enero</v>
      </c>
      <c r="AB36" s="49"/>
    </row>
    <row r="37" spans="1:28" ht="24" x14ac:dyDescent="0.3">
      <c r="A37" s="2">
        <f>IF(C_Ope_007[[#This Row],[tipo_r]]="R",COUNTIFS($C$1:$C36,"R")+1,"")</f>
        <v>36</v>
      </c>
      <c r="B37" s="19" t="str">
        <f t="shared" si="4"/>
        <v>C_Ope_007</v>
      </c>
      <c r="C37" s="3" t="s">
        <v>1330</v>
      </c>
      <c r="D37" s="14">
        <v>45679</v>
      </c>
      <c r="E37" s="5" t="s">
        <v>5259</v>
      </c>
      <c r="F37" s="5" t="s">
        <v>1336</v>
      </c>
      <c r="G37" s="6" t="s">
        <v>978</v>
      </c>
      <c r="H37" s="6" t="s">
        <v>68</v>
      </c>
      <c r="I37" s="6" t="s">
        <v>5688</v>
      </c>
      <c r="J37" s="6">
        <v>2205684</v>
      </c>
      <c r="K37" s="7" t="s">
        <v>8984</v>
      </c>
      <c r="L37" s="8">
        <v>22794</v>
      </c>
      <c r="M37" s="8" t="str">
        <f t="shared" si="5"/>
        <v>PEN</v>
      </c>
      <c r="N37" s="13"/>
      <c r="O37" s="13">
        <v>8</v>
      </c>
      <c r="P37" s="3">
        <f t="shared" si="1"/>
        <v>0</v>
      </c>
      <c r="Q37" s="3">
        <f t="shared" si="2"/>
        <v>8</v>
      </c>
      <c r="R37" s="3">
        <f t="shared" si="3"/>
        <v>165</v>
      </c>
      <c r="S37" s="24" t="s">
        <v>1334</v>
      </c>
      <c r="T37" s="24" t="s">
        <v>1334</v>
      </c>
      <c r="U37" s="3"/>
      <c r="V37" s="25" t="s">
        <v>7842</v>
      </c>
      <c r="W37" s="25">
        <v>20517252558</v>
      </c>
      <c r="X37" s="25" t="str">
        <f>IFERROR(VLOOKUP(C_Ope_007[[#This Row],[nota_2]],Clientes_Proveedores[[Ruc / Dni]:[Razon Social]],2,0),"")</f>
        <v>COVISUR S.A.</v>
      </c>
      <c r="Y37" s="25"/>
      <c r="Z37" s="103"/>
      <c r="AA37" s="3" t="str">
        <f>IF(C_Ope_007[[#This Row],[fecha]]&gt;0,TEXT(C_Ope_007[[#This Row],[fecha]],"mmmm"),0)</f>
        <v>Enero</v>
      </c>
      <c r="AB37" s="49"/>
    </row>
    <row r="38" spans="1:28" ht="24" x14ac:dyDescent="0.3">
      <c r="A38" s="2">
        <f>IF(C_Ope_007[[#This Row],[tipo_r]]="R",COUNTIFS($C$1:$C37,"R")+1,"")</f>
        <v>37</v>
      </c>
      <c r="B38" s="19" t="str">
        <f t="shared" si="4"/>
        <v>C_Ope_007</v>
      </c>
      <c r="C38" s="3" t="s">
        <v>1330</v>
      </c>
      <c r="D38" s="14">
        <v>45679</v>
      </c>
      <c r="E38" s="5" t="s">
        <v>5259</v>
      </c>
      <c r="F38" s="5" t="s">
        <v>1336</v>
      </c>
      <c r="G38" s="6" t="s">
        <v>978</v>
      </c>
      <c r="H38" s="6" t="s">
        <v>68</v>
      </c>
      <c r="I38" s="6" t="s">
        <v>5845</v>
      </c>
      <c r="J38" s="6">
        <v>1656262</v>
      </c>
      <c r="K38" s="7" t="s">
        <v>8984</v>
      </c>
      <c r="L38" s="8">
        <v>22795</v>
      </c>
      <c r="M38" s="8" t="str">
        <f t="shared" si="5"/>
        <v>PEN</v>
      </c>
      <c r="N38" s="13"/>
      <c r="O38" s="13">
        <v>8</v>
      </c>
      <c r="P38" s="3">
        <f t="shared" si="1"/>
        <v>0</v>
      </c>
      <c r="Q38" s="3">
        <f t="shared" si="2"/>
        <v>8</v>
      </c>
      <c r="R38" s="3">
        <f t="shared" si="3"/>
        <v>157</v>
      </c>
      <c r="S38" s="24" t="s">
        <v>1334</v>
      </c>
      <c r="T38" s="24" t="s">
        <v>1334</v>
      </c>
      <c r="U38" s="3"/>
      <c r="V38" s="25" t="s">
        <v>7842</v>
      </c>
      <c r="W38" s="25">
        <v>20517252558</v>
      </c>
      <c r="X38" s="25" t="str">
        <f>IFERROR(VLOOKUP(C_Ope_007[[#This Row],[nota_2]],Clientes_Proveedores[[Ruc / Dni]:[Razon Social]],2,0),"")</f>
        <v>COVISUR S.A.</v>
      </c>
      <c r="Y38" s="25"/>
      <c r="Z38" s="103"/>
      <c r="AA38" s="3" t="str">
        <f>IF(C_Ope_007[[#This Row],[fecha]]&gt;0,TEXT(C_Ope_007[[#This Row],[fecha]],"mmmm"),0)</f>
        <v>Enero</v>
      </c>
      <c r="AB38" s="49"/>
    </row>
    <row r="39" spans="1:28" ht="24" x14ac:dyDescent="0.3">
      <c r="A39" s="2">
        <f>IF(C_Ope_007[[#This Row],[tipo_r]]="R",COUNTIFS($C$1:$C38,"R")+1,"")</f>
        <v>38</v>
      </c>
      <c r="B39" s="19" t="str">
        <f t="shared" si="4"/>
        <v>C_Ope_007</v>
      </c>
      <c r="C39" s="3" t="s">
        <v>1330</v>
      </c>
      <c r="D39" s="14">
        <v>45681</v>
      </c>
      <c r="E39" s="5" t="s">
        <v>5259</v>
      </c>
      <c r="F39" s="5" t="s">
        <v>1336</v>
      </c>
      <c r="G39" s="6" t="s">
        <v>978</v>
      </c>
      <c r="H39" s="6" t="s">
        <v>68</v>
      </c>
      <c r="I39" s="6" t="s">
        <v>5688</v>
      </c>
      <c r="J39" s="6">
        <v>2208296</v>
      </c>
      <c r="K39" s="7" t="s">
        <v>8985</v>
      </c>
      <c r="L39" s="8">
        <v>22796</v>
      </c>
      <c r="M39" s="8" t="str">
        <f t="shared" si="5"/>
        <v>PEN</v>
      </c>
      <c r="N39" s="13"/>
      <c r="O39" s="13">
        <v>8</v>
      </c>
      <c r="P39" s="3">
        <f t="shared" si="1"/>
        <v>0</v>
      </c>
      <c r="Q39" s="3">
        <f t="shared" si="2"/>
        <v>8</v>
      </c>
      <c r="R39" s="3">
        <f t="shared" si="3"/>
        <v>149</v>
      </c>
      <c r="S39" s="24" t="s">
        <v>1334</v>
      </c>
      <c r="T39" s="24" t="s">
        <v>1334</v>
      </c>
      <c r="U39" s="3"/>
      <c r="V39" s="25" t="s">
        <v>7842</v>
      </c>
      <c r="W39" s="25">
        <v>20517252558</v>
      </c>
      <c r="X39" s="25" t="str">
        <f>IFERROR(VLOOKUP(C_Ope_007[[#This Row],[nota_2]],Clientes_Proveedores[[Ruc / Dni]:[Razon Social]],2,0),"")</f>
        <v>COVISUR S.A.</v>
      </c>
      <c r="Y39" s="25"/>
      <c r="Z39" s="103"/>
      <c r="AA39" s="3" t="str">
        <f>IF(C_Ope_007[[#This Row],[fecha]]&gt;0,TEXT(C_Ope_007[[#This Row],[fecha]],"mmmm"),0)</f>
        <v>Enero</v>
      </c>
      <c r="AB39" s="49"/>
    </row>
    <row r="40" spans="1:28" ht="24" x14ac:dyDescent="0.3">
      <c r="A40" s="2">
        <f>IF(C_Ope_007[[#This Row],[tipo_r]]="R",COUNTIFS($C$1:$C39,"R")+1,"")</f>
        <v>39</v>
      </c>
      <c r="B40" s="19" t="str">
        <f t="shared" si="4"/>
        <v>C_Ope_007</v>
      </c>
      <c r="C40" s="3" t="s">
        <v>1330</v>
      </c>
      <c r="D40" s="14">
        <v>45681</v>
      </c>
      <c r="E40" s="5" t="s">
        <v>5259</v>
      </c>
      <c r="F40" s="5" t="s">
        <v>1336</v>
      </c>
      <c r="G40" s="6" t="s">
        <v>978</v>
      </c>
      <c r="H40" s="6" t="s">
        <v>68</v>
      </c>
      <c r="I40" s="6" t="s">
        <v>5845</v>
      </c>
      <c r="J40" s="6">
        <v>1658238</v>
      </c>
      <c r="K40" s="7" t="s">
        <v>8985</v>
      </c>
      <c r="L40" s="8">
        <v>22797</v>
      </c>
      <c r="M40" s="8" t="str">
        <f t="shared" si="5"/>
        <v>PEN</v>
      </c>
      <c r="N40" s="13"/>
      <c r="O40" s="13">
        <v>8</v>
      </c>
      <c r="P40" s="3">
        <f t="shared" si="1"/>
        <v>0</v>
      </c>
      <c r="Q40" s="3">
        <f t="shared" si="2"/>
        <v>8</v>
      </c>
      <c r="R40" s="3">
        <f t="shared" si="3"/>
        <v>141</v>
      </c>
      <c r="S40" s="24" t="s">
        <v>1334</v>
      </c>
      <c r="T40" s="24" t="s">
        <v>1334</v>
      </c>
      <c r="U40" s="3"/>
      <c r="V40" s="25" t="s">
        <v>7842</v>
      </c>
      <c r="W40" s="25">
        <v>20517252558</v>
      </c>
      <c r="X40" s="25" t="str">
        <f>IFERROR(VLOOKUP(C_Ope_007[[#This Row],[nota_2]],Clientes_Proveedores[[Ruc / Dni]:[Razon Social]],2,0),"")</f>
        <v>COVISUR S.A.</v>
      </c>
      <c r="Y40" s="25"/>
      <c r="Z40" s="103"/>
      <c r="AA40" s="3" t="str">
        <f>IF(C_Ope_007[[#This Row],[fecha]]&gt;0,TEXT(C_Ope_007[[#This Row],[fecha]],"mmmm"),0)</f>
        <v>Enero</v>
      </c>
      <c r="AB40" s="49"/>
    </row>
    <row r="41" spans="1:28" ht="36" x14ac:dyDescent="0.3">
      <c r="A41" s="2">
        <f>IF(C_Ope_007[[#This Row],[tipo_r]]="R",COUNTIFS($C$1:$C40,"R")+1,"")</f>
        <v>40</v>
      </c>
      <c r="B41" s="19" t="str">
        <f t="shared" si="4"/>
        <v>C_Ope_007</v>
      </c>
      <c r="C41" s="3" t="s">
        <v>1330</v>
      </c>
      <c r="D41" s="14">
        <v>45678</v>
      </c>
      <c r="E41" s="5" t="s">
        <v>5259</v>
      </c>
      <c r="F41" s="5" t="s">
        <v>1336</v>
      </c>
      <c r="G41" s="6" t="s">
        <v>682</v>
      </c>
      <c r="H41" s="6" t="s">
        <v>68</v>
      </c>
      <c r="I41" s="6" t="s">
        <v>1353</v>
      </c>
      <c r="J41" s="6">
        <v>15423</v>
      </c>
      <c r="K41" s="7" t="s">
        <v>8986</v>
      </c>
      <c r="L41" s="8">
        <v>22799</v>
      </c>
      <c r="M41" s="8" t="str">
        <f t="shared" si="5"/>
        <v>PEN</v>
      </c>
      <c r="N41" s="13"/>
      <c r="O41" s="13">
        <v>20</v>
      </c>
      <c r="P41" s="3">
        <f t="shared" si="1"/>
        <v>0</v>
      </c>
      <c r="Q41" s="3">
        <f t="shared" si="2"/>
        <v>20</v>
      </c>
      <c r="R41" s="3">
        <f t="shared" si="3"/>
        <v>121</v>
      </c>
      <c r="S41" s="24" t="s">
        <v>1334</v>
      </c>
      <c r="T41" s="24" t="s">
        <v>1334</v>
      </c>
      <c r="U41" s="3"/>
      <c r="V41" s="25" t="s">
        <v>7842</v>
      </c>
      <c r="W41" s="25">
        <v>20259858934</v>
      </c>
      <c r="X41" s="25" t="str">
        <f>IFERROR(VLOOKUP(C_Ope_007[[#This Row],[nota_2]],Clientes_Proveedores[[Ruc / Dni]:[Razon Social]],2,0),"")</f>
        <v>COMERCIALIZACION Y SERVICIOS EL EDEN S.A.C.</v>
      </c>
      <c r="Y41" s="25"/>
      <c r="Z41" s="103"/>
      <c r="AA41" s="3" t="str">
        <f>IF(C_Ope_007[[#This Row],[fecha]]&gt;0,TEXT(C_Ope_007[[#This Row],[fecha]],"mmmm"),0)</f>
        <v>Enero</v>
      </c>
      <c r="AB41" s="49"/>
    </row>
    <row r="42" spans="1:28" ht="36" x14ac:dyDescent="0.3">
      <c r="A42" s="2">
        <f>IF(C_Ope_007[[#This Row],[tipo_r]]="R",COUNTIFS($C$1:$C41,"R")+1,"")</f>
        <v>41</v>
      </c>
      <c r="B42" s="19" t="str">
        <f t="shared" si="4"/>
        <v>C_Ope_007</v>
      </c>
      <c r="C42" s="3" t="s">
        <v>1330</v>
      </c>
      <c r="D42" s="14">
        <v>45679</v>
      </c>
      <c r="E42" s="5" t="s">
        <v>5259</v>
      </c>
      <c r="F42" s="5" t="s">
        <v>1336</v>
      </c>
      <c r="G42" s="6" t="s">
        <v>682</v>
      </c>
      <c r="H42" s="6" t="s">
        <v>68</v>
      </c>
      <c r="I42" s="6" t="s">
        <v>1353</v>
      </c>
      <c r="J42" s="6">
        <v>15431</v>
      </c>
      <c r="K42" s="7" t="s">
        <v>8987</v>
      </c>
      <c r="L42" s="8">
        <v>22800</v>
      </c>
      <c r="M42" s="8" t="str">
        <f t="shared" si="5"/>
        <v>PEN</v>
      </c>
      <c r="N42" s="13"/>
      <c r="O42" s="13">
        <v>20</v>
      </c>
      <c r="P42" s="3">
        <f t="shared" si="1"/>
        <v>0</v>
      </c>
      <c r="Q42" s="3">
        <f t="shared" si="2"/>
        <v>20</v>
      </c>
      <c r="R42" s="3">
        <f t="shared" si="3"/>
        <v>101</v>
      </c>
      <c r="S42" s="24" t="s">
        <v>1334</v>
      </c>
      <c r="T42" s="24" t="s">
        <v>1334</v>
      </c>
      <c r="U42" s="3"/>
      <c r="V42" s="25" t="s">
        <v>7842</v>
      </c>
      <c r="W42" s="25">
        <v>20259858934</v>
      </c>
      <c r="X42" s="25" t="str">
        <f>IFERROR(VLOOKUP(C_Ope_007[[#This Row],[nota_2]],Clientes_Proveedores[[Ruc / Dni]:[Razon Social]],2,0),"")</f>
        <v>COMERCIALIZACION Y SERVICIOS EL EDEN S.A.C.</v>
      </c>
      <c r="Y42" s="25"/>
      <c r="Z42" s="103"/>
      <c r="AA42" s="3" t="str">
        <f>IF(C_Ope_007[[#This Row],[fecha]]&gt;0,TEXT(C_Ope_007[[#This Row],[fecha]],"mmmm"),0)</f>
        <v>Enero</v>
      </c>
      <c r="AB42" s="49"/>
    </row>
    <row r="43" spans="1:28" ht="24" x14ac:dyDescent="0.3">
      <c r="A43" s="2">
        <f>IF(C_Ope_007[[#This Row],[tipo_r]]="R",COUNTIFS($C$1:$C42,"R")+1,"")</f>
        <v>42</v>
      </c>
      <c r="B43" s="19" t="str">
        <f t="shared" si="4"/>
        <v>C_Ope_007</v>
      </c>
      <c r="C43" s="3" t="s">
        <v>1330</v>
      </c>
      <c r="D43" s="14">
        <v>45680</v>
      </c>
      <c r="E43" s="5" t="s">
        <v>5259</v>
      </c>
      <c r="F43" s="5" t="s">
        <v>1336</v>
      </c>
      <c r="G43" s="6" t="s">
        <v>999</v>
      </c>
      <c r="H43" s="6" t="s">
        <v>68</v>
      </c>
      <c r="I43" s="6" t="s">
        <v>1374</v>
      </c>
      <c r="J43" s="6">
        <v>16067</v>
      </c>
      <c r="K43" s="7" t="s">
        <v>8988</v>
      </c>
      <c r="L43" s="8">
        <v>22798</v>
      </c>
      <c r="M43" s="8" t="str">
        <f t="shared" si="5"/>
        <v>PEN</v>
      </c>
      <c r="N43" s="13"/>
      <c r="O43" s="13">
        <v>25</v>
      </c>
      <c r="P43" s="3">
        <f t="shared" si="1"/>
        <v>0</v>
      </c>
      <c r="Q43" s="3">
        <f t="shared" si="2"/>
        <v>25</v>
      </c>
      <c r="R43" s="3">
        <f t="shared" si="3"/>
        <v>76</v>
      </c>
      <c r="S43" s="24" t="s">
        <v>1334</v>
      </c>
      <c r="T43" s="24" t="s">
        <v>1334</v>
      </c>
      <c r="U43" s="3"/>
      <c r="V43" s="25" t="s">
        <v>7842</v>
      </c>
      <c r="W43" s="25">
        <v>10705628331</v>
      </c>
      <c r="X43" s="25" t="str">
        <f>IFERROR(VLOOKUP(C_Ope_007[[#This Row],[nota_2]],Clientes_Proveedores[[Ruc / Dni]:[Razon Social]],2,0),"")</f>
        <v>LARICO APAZA NANCY ROSSMARY</v>
      </c>
      <c r="Y43" s="25"/>
      <c r="Z43" s="103"/>
      <c r="AA43" s="3" t="str">
        <f>IF(C_Ope_007[[#This Row],[fecha]]&gt;0,TEXT(C_Ope_007[[#This Row],[fecha]],"mmmm"),0)</f>
        <v>Enero</v>
      </c>
      <c r="AB43" s="49"/>
    </row>
    <row r="44" spans="1:28" ht="24" x14ac:dyDescent="0.3">
      <c r="A44" s="2">
        <f>IF(C_Ope_007[[#This Row],[tipo_r]]="R",COUNTIFS($C$1:$C43,"R")+1,"")</f>
        <v>43</v>
      </c>
      <c r="B44" s="19" t="str">
        <f t="shared" si="4"/>
        <v>C_Ope_007</v>
      </c>
      <c r="C44" s="3" t="s">
        <v>1330</v>
      </c>
      <c r="D44" s="14">
        <v>45684</v>
      </c>
      <c r="E44" s="5" t="s">
        <v>7514</v>
      </c>
      <c r="F44" s="5" t="s">
        <v>1303</v>
      </c>
      <c r="G44" s="6" t="s">
        <v>692</v>
      </c>
      <c r="H44" s="6"/>
      <c r="I44" s="6"/>
      <c r="J44" s="6"/>
      <c r="K44" s="7" t="s">
        <v>7516</v>
      </c>
      <c r="L44" s="8">
        <v>22809</v>
      </c>
      <c r="M44" s="8" t="str">
        <f t="shared" si="5"/>
        <v>PEN</v>
      </c>
      <c r="N44" s="13"/>
      <c r="O44" s="13">
        <v>120</v>
      </c>
      <c r="P44" s="3">
        <f t="shared" si="1"/>
        <v>120</v>
      </c>
      <c r="Q44" s="3">
        <f t="shared" si="2"/>
        <v>0</v>
      </c>
      <c r="R44" s="3">
        <f t="shared" si="3"/>
        <v>196</v>
      </c>
      <c r="S44" s="24" t="s">
        <v>1334</v>
      </c>
      <c r="T44" s="24" t="s">
        <v>1334</v>
      </c>
      <c r="U44" s="3"/>
      <c r="V44" s="25"/>
      <c r="W44" s="25"/>
      <c r="X44" s="25" t="str">
        <f>IFERROR(VLOOKUP(C_Ope_007[[#This Row],[nota_2]],Clientes_Proveedores[[Ruc / Dni]:[Razon Social]],2,0),"")</f>
        <v/>
      </c>
      <c r="Y44" s="25"/>
      <c r="Z44" s="103"/>
      <c r="AA44" s="3" t="str">
        <f>IF(C_Ope_007[[#This Row],[fecha]]&gt;0,TEXT(C_Ope_007[[#This Row],[fecha]],"mmmm"),0)</f>
        <v>Enero</v>
      </c>
      <c r="AB44" s="49"/>
    </row>
    <row r="45" spans="1:28" ht="24" x14ac:dyDescent="0.3">
      <c r="A45" s="2">
        <f>IF(C_Ope_007[[#This Row],[tipo_r]]="R",COUNTIFS($C$1:$C44,"R")+1,"")</f>
        <v>44</v>
      </c>
      <c r="B45" s="19" t="str">
        <f t="shared" si="4"/>
        <v>C_Ope_007</v>
      </c>
      <c r="C45" s="3" t="s">
        <v>1330</v>
      </c>
      <c r="D45" s="14">
        <v>45684</v>
      </c>
      <c r="E45" s="5" t="s">
        <v>5259</v>
      </c>
      <c r="F45" s="5" t="s">
        <v>1336</v>
      </c>
      <c r="G45" s="6" t="s">
        <v>978</v>
      </c>
      <c r="H45" s="6" t="s">
        <v>68</v>
      </c>
      <c r="I45" s="6" t="s">
        <v>6204</v>
      </c>
      <c r="J45" s="6">
        <v>1641624</v>
      </c>
      <c r="K45" s="7" t="s">
        <v>8989</v>
      </c>
      <c r="L45" s="8">
        <v>22882</v>
      </c>
      <c r="M45" s="8" t="str">
        <f t="shared" si="5"/>
        <v>PEN</v>
      </c>
      <c r="N45" s="13"/>
      <c r="O45" s="13">
        <v>8</v>
      </c>
      <c r="P45" s="3">
        <f t="shared" si="1"/>
        <v>0</v>
      </c>
      <c r="Q45" s="3">
        <f t="shared" si="2"/>
        <v>8</v>
      </c>
      <c r="R45" s="3">
        <f t="shared" si="3"/>
        <v>188</v>
      </c>
      <c r="S45" s="24" t="s">
        <v>1334</v>
      </c>
      <c r="T45" s="24" t="s">
        <v>1334</v>
      </c>
      <c r="U45" s="3"/>
      <c r="V45" s="25" t="s">
        <v>7842</v>
      </c>
      <c r="W45" s="25">
        <v>20517252558</v>
      </c>
      <c r="X45" s="25" t="str">
        <f>IFERROR(VLOOKUP(C_Ope_007[[#This Row],[nota_2]],Clientes_Proveedores[[Ruc / Dni]:[Razon Social]],2,0),"")</f>
        <v>COVISUR S.A.</v>
      </c>
      <c r="Y45" s="25"/>
      <c r="Z45" s="103"/>
      <c r="AA45" s="3" t="str">
        <f>IF(C_Ope_007[[#This Row],[fecha]]&gt;0,TEXT(C_Ope_007[[#This Row],[fecha]],"mmmm"),0)</f>
        <v>Enero</v>
      </c>
      <c r="AB45" s="49"/>
    </row>
    <row r="46" spans="1:28" ht="24" x14ac:dyDescent="0.3">
      <c r="A46" s="2">
        <f>IF(C_Ope_007[[#This Row],[tipo_r]]="R",COUNTIFS($C$1:$C45,"R")+1,"")</f>
        <v>45</v>
      </c>
      <c r="B46" s="19" t="str">
        <f t="shared" si="4"/>
        <v>C_Ope_007</v>
      </c>
      <c r="C46" s="3" t="s">
        <v>1330</v>
      </c>
      <c r="D46" s="14">
        <v>45684</v>
      </c>
      <c r="E46" s="5" t="s">
        <v>5259</v>
      </c>
      <c r="F46" s="5" t="s">
        <v>1336</v>
      </c>
      <c r="G46" s="6" t="s">
        <v>978</v>
      </c>
      <c r="H46" s="6" t="s">
        <v>68</v>
      </c>
      <c r="I46" s="6" t="s">
        <v>5845</v>
      </c>
      <c r="J46" s="6">
        <v>1660689</v>
      </c>
      <c r="K46" s="7" t="s">
        <v>8989</v>
      </c>
      <c r="L46" s="8">
        <v>22883</v>
      </c>
      <c r="M46" s="8" t="str">
        <f t="shared" si="5"/>
        <v>PEN</v>
      </c>
      <c r="N46" s="13"/>
      <c r="O46" s="13">
        <v>8</v>
      </c>
      <c r="P46" s="3">
        <f t="shared" si="1"/>
        <v>0</v>
      </c>
      <c r="Q46" s="3">
        <f t="shared" si="2"/>
        <v>8</v>
      </c>
      <c r="R46" s="3">
        <f t="shared" si="3"/>
        <v>180</v>
      </c>
      <c r="S46" s="24" t="s">
        <v>1334</v>
      </c>
      <c r="T46" s="24" t="s">
        <v>1334</v>
      </c>
      <c r="U46" s="3"/>
      <c r="V46" s="25" t="s">
        <v>7842</v>
      </c>
      <c r="W46" s="25">
        <v>20517252558</v>
      </c>
      <c r="X46" s="25" t="str">
        <f>IFERROR(VLOOKUP(C_Ope_007[[#This Row],[nota_2]],Clientes_Proveedores[[Ruc / Dni]:[Razon Social]],2,0),"")</f>
        <v>COVISUR S.A.</v>
      </c>
      <c r="Y46" s="25"/>
      <c r="Z46" s="103"/>
      <c r="AA46" s="3" t="str">
        <f>IF(C_Ope_007[[#This Row],[fecha]]&gt;0,TEXT(C_Ope_007[[#This Row],[fecha]],"mmmm"),0)</f>
        <v>Enero</v>
      </c>
      <c r="AB46" s="49"/>
    </row>
    <row r="47" spans="1:28" ht="36" x14ac:dyDescent="0.3">
      <c r="A47" s="2">
        <f>IF(C_Ope_007[[#This Row],[tipo_r]]="R",COUNTIFS($C$1:$C46,"R")+1,"")</f>
        <v>46</v>
      </c>
      <c r="B47" s="19" t="str">
        <f t="shared" si="4"/>
        <v>C_Ope_007</v>
      </c>
      <c r="C47" s="3" t="s">
        <v>1330</v>
      </c>
      <c r="D47" s="14">
        <v>45685</v>
      </c>
      <c r="E47" s="5" t="s">
        <v>5259</v>
      </c>
      <c r="F47" s="5" t="s">
        <v>1336</v>
      </c>
      <c r="G47" s="6" t="s">
        <v>978</v>
      </c>
      <c r="H47" s="6" t="s">
        <v>68</v>
      </c>
      <c r="I47" s="6" t="s">
        <v>6204</v>
      </c>
      <c r="J47" s="6">
        <v>1642617</v>
      </c>
      <c r="K47" s="7" t="s">
        <v>8990</v>
      </c>
      <c r="L47" s="8">
        <v>22884</v>
      </c>
      <c r="M47" s="8" t="str">
        <f t="shared" si="5"/>
        <v>PEN</v>
      </c>
      <c r="N47" s="13"/>
      <c r="O47" s="13">
        <v>8</v>
      </c>
      <c r="P47" s="3">
        <f t="shared" si="1"/>
        <v>0</v>
      </c>
      <c r="Q47" s="3">
        <f t="shared" si="2"/>
        <v>8</v>
      </c>
      <c r="R47" s="3">
        <f t="shared" si="3"/>
        <v>172</v>
      </c>
      <c r="S47" s="24" t="s">
        <v>1334</v>
      </c>
      <c r="T47" s="24" t="s">
        <v>1334</v>
      </c>
      <c r="U47" s="3"/>
      <c r="V47" s="25" t="s">
        <v>7842</v>
      </c>
      <c r="W47" s="25">
        <v>20517252558</v>
      </c>
      <c r="X47" s="25" t="str">
        <f>IFERROR(VLOOKUP(C_Ope_007[[#This Row],[nota_2]],Clientes_Proveedores[[Ruc / Dni]:[Razon Social]],2,0),"")</f>
        <v>COVISUR S.A.</v>
      </c>
      <c r="Y47" s="25"/>
      <c r="Z47" s="103"/>
      <c r="AA47" s="3" t="str">
        <f>IF(C_Ope_007[[#This Row],[fecha]]&gt;0,TEXT(C_Ope_007[[#This Row],[fecha]],"mmmm"),0)</f>
        <v>Enero</v>
      </c>
      <c r="AB47" s="49"/>
    </row>
    <row r="48" spans="1:28" ht="36" x14ac:dyDescent="0.3">
      <c r="A48" s="2">
        <f>IF(C_Ope_007[[#This Row],[tipo_r]]="R",COUNTIFS($C$1:$C47,"R")+1,"")</f>
        <v>47</v>
      </c>
      <c r="B48" s="19" t="str">
        <f t="shared" si="4"/>
        <v>C_Ope_007</v>
      </c>
      <c r="C48" s="3" t="s">
        <v>1330</v>
      </c>
      <c r="D48" s="14">
        <v>45685</v>
      </c>
      <c r="E48" s="5" t="s">
        <v>5259</v>
      </c>
      <c r="F48" s="5" t="s">
        <v>1336</v>
      </c>
      <c r="G48" s="6" t="s">
        <v>978</v>
      </c>
      <c r="H48" s="6" t="s">
        <v>68</v>
      </c>
      <c r="I48" s="6" t="s">
        <v>6203</v>
      </c>
      <c r="J48" s="6">
        <v>1942404</v>
      </c>
      <c r="K48" s="7" t="s">
        <v>8990</v>
      </c>
      <c r="L48" s="8">
        <v>22885</v>
      </c>
      <c r="M48" s="8" t="str">
        <f t="shared" si="5"/>
        <v>PEN</v>
      </c>
      <c r="N48" s="13"/>
      <c r="O48" s="13">
        <v>8</v>
      </c>
      <c r="P48" s="3">
        <f t="shared" si="1"/>
        <v>0</v>
      </c>
      <c r="Q48" s="3">
        <f t="shared" si="2"/>
        <v>8</v>
      </c>
      <c r="R48" s="3">
        <f t="shared" si="3"/>
        <v>164</v>
      </c>
      <c r="S48" s="24" t="s">
        <v>1334</v>
      </c>
      <c r="T48" s="24" t="s">
        <v>1334</v>
      </c>
      <c r="U48" s="3"/>
      <c r="V48" s="25" t="s">
        <v>7842</v>
      </c>
      <c r="W48" s="25">
        <v>20517252558</v>
      </c>
      <c r="X48" s="25" t="str">
        <f>IFERROR(VLOOKUP(C_Ope_007[[#This Row],[nota_2]],Clientes_Proveedores[[Ruc / Dni]:[Razon Social]],2,0),"")</f>
        <v>COVISUR S.A.</v>
      </c>
      <c r="Y48" s="25"/>
      <c r="Z48" s="103"/>
      <c r="AA48" s="3" t="str">
        <f>IF(C_Ope_007[[#This Row],[fecha]]&gt;0,TEXT(C_Ope_007[[#This Row],[fecha]],"mmmm"),0)</f>
        <v>Enero</v>
      </c>
      <c r="AB48" s="49"/>
    </row>
    <row r="49" spans="1:28" ht="36" x14ac:dyDescent="0.3">
      <c r="A49" s="2">
        <f>IF(C_Ope_007[[#This Row],[tipo_r]]="R",COUNTIFS($C$1:$C48,"R")+1,"")</f>
        <v>48</v>
      </c>
      <c r="B49" s="19" t="str">
        <f t="shared" si="4"/>
        <v>C_Ope_007</v>
      </c>
      <c r="C49" s="3" t="s">
        <v>1330</v>
      </c>
      <c r="D49" s="14">
        <v>45686</v>
      </c>
      <c r="E49" s="5" t="s">
        <v>5259</v>
      </c>
      <c r="F49" s="5" t="s">
        <v>1336</v>
      </c>
      <c r="G49" s="6" t="s">
        <v>978</v>
      </c>
      <c r="H49" s="6" t="s">
        <v>68</v>
      </c>
      <c r="I49" s="6" t="s">
        <v>6204</v>
      </c>
      <c r="J49" s="6">
        <v>1643561</v>
      </c>
      <c r="K49" s="7" t="s">
        <v>8991</v>
      </c>
      <c r="L49" s="8">
        <v>22886</v>
      </c>
      <c r="M49" s="8" t="str">
        <f t="shared" si="5"/>
        <v>PEN</v>
      </c>
      <c r="N49" s="13"/>
      <c r="O49" s="13">
        <v>8</v>
      </c>
      <c r="P49" s="3">
        <f t="shared" si="1"/>
        <v>0</v>
      </c>
      <c r="Q49" s="3">
        <f t="shared" si="2"/>
        <v>8</v>
      </c>
      <c r="R49" s="3">
        <f t="shared" si="3"/>
        <v>156</v>
      </c>
      <c r="S49" s="24" t="s">
        <v>1334</v>
      </c>
      <c r="T49" s="24" t="s">
        <v>1334</v>
      </c>
      <c r="U49" s="3"/>
      <c r="V49" s="25" t="s">
        <v>7842</v>
      </c>
      <c r="W49" s="25">
        <v>20517252558</v>
      </c>
      <c r="X49" s="25" t="str">
        <f>IFERROR(VLOOKUP(C_Ope_007[[#This Row],[nota_2]],Clientes_Proveedores[[Ruc / Dni]:[Razon Social]],2,0),"")</f>
        <v>COVISUR S.A.</v>
      </c>
      <c r="Y49" s="25"/>
      <c r="Z49" s="103"/>
      <c r="AA49" s="3" t="str">
        <f>IF(C_Ope_007[[#This Row],[fecha]]&gt;0,TEXT(C_Ope_007[[#This Row],[fecha]],"mmmm"),0)</f>
        <v>Enero</v>
      </c>
      <c r="AB49" s="49"/>
    </row>
    <row r="50" spans="1:28" ht="36" x14ac:dyDescent="0.3">
      <c r="A50" s="2">
        <f>IF(C_Ope_007[[#This Row],[tipo_r]]="R",COUNTIFS($C$1:$C49,"R")+1,"")</f>
        <v>49</v>
      </c>
      <c r="B50" s="19" t="str">
        <f t="shared" si="4"/>
        <v>C_Ope_007</v>
      </c>
      <c r="C50" s="3" t="s">
        <v>1330</v>
      </c>
      <c r="D50" s="14">
        <v>45686</v>
      </c>
      <c r="E50" s="5" t="s">
        <v>5259</v>
      </c>
      <c r="F50" s="5" t="s">
        <v>1336</v>
      </c>
      <c r="G50" s="6" t="s">
        <v>978</v>
      </c>
      <c r="H50" s="6" t="s">
        <v>68</v>
      </c>
      <c r="I50" s="6" t="s">
        <v>5845</v>
      </c>
      <c r="J50" s="6">
        <v>1662545</v>
      </c>
      <c r="K50" s="7" t="s">
        <v>8991</v>
      </c>
      <c r="L50" s="8">
        <v>22887</v>
      </c>
      <c r="M50" s="8" t="str">
        <f t="shared" si="5"/>
        <v>PEN</v>
      </c>
      <c r="N50" s="13"/>
      <c r="O50" s="13">
        <v>8</v>
      </c>
      <c r="P50" s="3">
        <f t="shared" si="1"/>
        <v>0</v>
      </c>
      <c r="Q50" s="3">
        <f t="shared" si="2"/>
        <v>8</v>
      </c>
      <c r="R50" s="3">
        <f t="shared" si="3"/>
        <v>148</v>
      </c>
      <c r="S50" s="24" t="s">
        <v>1334</v>
      </c>
      <c r="T50" s="24" t="s">
        <v>1334</v>
      </c>
      <c r="U50" s="3"/>
      <c r="V50" s="25" t="s">
        <v>7842</v>
      </c>
      <c r="W50" s="25">
        <v>20517252558</v>
      </c>
      <c r="X50" s="25" t="str">
        <f>IFERROR(VLOOKUP(C_Ope_007[[#This Row],[nota_2]],Clientes_Proveedores[[Ruc / Dni]:[Razon Social]],2,0),"")</f>
        <v>COVISUR S.A.</v>
      </c>
      <c r="Y50" s="25"/>
      <c r="Z50" s="103"/>
      <c r="AA50" s="3" t="str">
        <f>IF(C_Ope_007[[#This Row],[fecha]]&gt;0,TEXT(C_Ope_007[[#This Row],[fecha]],"mmmm"),0)</f>
        <v>Enero</v>
      </c>
      <c r="AB50" s="49"/>
    </row>
    <row r="51" spans="1:28" ht="36" x14ac:dyDescent="0.3">
      <c r="A51" s="2">
        <f>IF(C_Ope_007[[#This Row],[tipo_r]]="R",COUNTIFS($C$1:$C50,"R")+1,"")</f>
        <v>50</v>
      </c>
      <c r="B51" s="19" t="str">
        <f t="shared" si="4"/>
        <v>C_Ope_007</v>
      </c>
      <c r="C51" s="3" t="s">
        <v>1330</v>
      </c>
      <c r="D51" s="14">
        <v>45684</v>
      </c>
      <c r="E51" s="5" t="s">
        <v>5259</v>
      </c>
      <c r="F51" s="5" t="s">
        <v>1336</v>
      </c>
      <c r="G51" s="6" t="s">
        <v>682</v>
      </c>
      <c r="H51" s="6" t="s">
        <v>68</v>
      </c>
      <c r="I51" s="6" t="s">
        <v>1353</v>
      </c>
      <c r="J51" s="6">
        <v>15502</v>
      </c>
      <c r="K51" s="7" t="s">
        <v>8972</v>
      </c>
      <c r="L51" s="8">
        <v>22890</v>
      </c>
      <c r="M51" s="8" t="str">
        <f t="shared" si="5"/>
        <v>PEN</v>
      </c>
      <c r="N51" s="13"/>
      <c r="O51" s="13">
        <v>20</v>
      </c>
      <c r="P51" s="3">
        <f t="shared" si="1"/>
        <v>0</v>
      </c>
      <c r="Q51" s="3">
        <f t="shared" si="2"/>
        <v>20</v>
      </c>
      <c r="R51" s="3">
        <f t="shared" si="3"/>
        <v>128</v>
      </c>
      <c r="S51" s="24" t="s">
        <v>1334</v>
      </c>
      <c r="T51" s="24" t="s">
        <v>1334</v>
      </c>
      <c r="U51" s="3"/>
      <c r="V51" s="25" t="s">
        <v>7842</v>
      </c>
      <c r="W51" s="25">
        <v>20259858934</v>
      </c>
      <c r="X51" s="25" t="str">
        <f>IFERROR(VLOOKUP(C_Ope_007[[#This Row],[nota_2]],Clientes_Proveedores[[Ruc / Dni]:[Razon Social]],2,0),"")</f>
        <v>COMERCIALIZACION Y SERVICIOS EL EDEN S.A.C.</v>
      </c>
      <c r="Y51" s="25"/>
      <c r="Z51" s="103"/>
      <c r="AA51" s="3" t="str">
        <f>IF(C_Ope_007[[#This Row],[fecha]]&gt;0,TEXT(C_Ope_007[[#This Row],[fecha]],"mmmm"),0)</f>
        <v>Enero</v>
      </c>
      <c r="AB51" s="49"/>
    </row>
    <row r="52" spans="1:28" ht="36" x14ac:dyDescent="0.3">
      <c r="A52" s="2">
        <f>IF(C_Ope_007[[#This Row],[tipo_r]]="R",COUNTIFS($C$1:$C51,"R")+1,"")</f>
        <v>51</v>
      </c>
      <c r="B52" s="19" t="str">
        <f t="shared" si="4"/>
        <v>C_Ope_007</v>
      </c>
      <c r="C52" s="3" t="s">
        <v>1330</v>
      </c>
      <c r="D52" s="14">
        <v>45687</v>
      </c>
      <c r="E52" s="5" t="s">
        <v>5259</v>
      </c>
      <c r="F52" s="5" t="s">
        <v>1336</v>
      </c>
      <c r="G52" s="6" t="s">
        <v>227</v>
      </c>
      <c r="H52" s="6" t="s">
        <v>68</v>
      </c>
      <c r="I52" s="6" t="s">
        <v>1390</v>
      </c>
      <c r="J52" s="6">
        <v>127645</v>
      </c>
      <c r="K52" s="7" t="s">
        <v>7766</v>
      </c>
      <c r="L52" s="8">
        <v>22888</v>
      </c>
      <c r="M52" s="8" t="str">
        <f t="shared" si="5"/>
        <v>PEN</v>
      </c>
      <c r="N52" s="13"/>
      <c r="O52" s="13">
        <v>10</v>
      </c>
      <c r="P52" s="3">
        <f t="shared" si="1"/>
        <v>0</v>
      </c>
      <c r="Q52" s="3">
        <f t="shared" si="2"/>
        <v>10</v>
      </c>
      <c r="R52" s="3">
        <f t="shared" si="3"/>
        <v>118</v>
      </c>
      <c r="S52" s="24" t="s">
        <v>1334</v>
      </c>
      <c r="T52" s="24" t="s">
        <v>1334</v>
      </c>
      <c r="U52" s="3"/>
      <c r="V52" s="25" t="s">
        <v>7761</v>
      </c>
      <c r="W52" s="25">
        <v>20124952850</v>
      </c>
      <c r="X52" s="25" t="str">
        <f>IFERROR(VLOOKUP(C_Ope_007[[#This Row],[nota_2]],Clientes_Proveedores[[Ruc / Dni]:[Razon Social]],2,0),"")</f>
        <v>ALIMENTOS Y SERVICIOS AGROPECUARIOS SRL.</v>
      </c>
      <c r="Y52" s="25"/>
      <c r="Z52" s="103"/>
      <c r="AA52" s="3" t="str">
        <f>IF(C_Ope_007[[#This Row],[fecha]]&gt;0,TEXT(C_Ope_007[[#This Row],[fecha]],"mmmm"),0)</f>
        <v>Enero</v>
      </c>
      <c r="AB52" s="49"/>
    </row>
    <row r="53" spans="1:28" ht="36" x14ac:dyDescent="0.3">
      <c r="A53" s="2">
        <f>IF(C_Ope_007[[#This Row],[tipo_r]]="R",COUNTIFS($C$1:$C52,"R")+1,"")</f>
        <v>52</v>
      </c>
      <c r="B53" s="19" t="str">
        <f t="shared" si="4"/>
        <v>C_Ope_007</v>
      </c>
      <c r="C53" s="3" t="s">
        <v>1330</v>
      </c>
      <c r="D53" s="14">
        <v>45687</v>
      </c>
      <c r="E53" s="5" t="s">
        <v>5259</v>
      </c>
      <c r="F53" s="5" t="s">
        <v>1336</v>
      </c>
      <c r="G53" s="6" t="s">
        <v>227</v>
      </c>
      <c r="H53" s="6" t="s">
        <v>68</v>
      </c>
      <c r="I53" s="6" t="s">
        <v>1390</v>
      </c>
      <c r="J53" s="6">
        <v>127664</v>
      </c>
      <c r="K53" s="7" t="s">
        <v>7766</v>
      </c>
      <c r="L53" s="8">
        <v>22889</v>
      </c>
      <c r="M53" s="8" t="str">
        <f t="shared" si="5"/>
        <v>PEN</v>
      </c>
      <c r="N53" s="13"/>
      <c r="O53" s="13">
        <v>10</v>
      </c>
      <c r="P53" s="3">
        <f t="shared" si="1"/>
        <v>0</v>
      </c>
      <c r="Q53" s="3">
        <f t="shared" si="2"/>
        <v>10</v>
      </c>
      <c r="R53" s="3">
        <f t="shared" si="3"/>
        <v>108</v>
      </c>
      <c r="S53" s="24" t="s">
        <v>1334</v>
      </c>
      <c r="T53" s="24" t="s">
        <v>1334</v>
      </c>
      <c r="U53" s="3"/>
      <c r="V53" s="25" t="s">
        <v>7761</v>
      </c>
      <c r="W53" s="25">
        <v>20124952850</v>
      </c>
      <c r="X53" s="25" t="str">
        <f>IFERROR(VLOOKUP(C_Ope_007[[#This Row],[nota_2]],Clientes_Proveedores[[Ruc / Dni]:[Razon Social]],2,0),"")</f>
        <v>ALIMENTOS Y SERVICIOS AGROPECUARIOS SRL.</v>
      </c>
      <c r="Y53" s="25"/>
      <c r="Z53" s="103"/>
      <c r="AA53" s="3" t="str">
        <f>IF(C_Ope_007[[#This Row],[fecha]]&gt;0,TEXT(C_Ope_007[[#This Row],[fecha]],"mmmm"),0)</f>
        <v>Enero</v>
      </c>
      <c r="AB53" s="49"/>
    </row>
    <row r="54" spans="1:28" x14ac:dyDescent="0.3">
      <c r="A54" s="2">
        <f>IF(C_Ope_007[[#This Row],[tipo_r]]="R",COUNTIFS($C$1:$C53,"R")+1,"")</f>
        <v>53</v>
      </c>
      <c r="B54" s="19" t="str">
        <f t="shared" si="4"/>
        <v>C_Ope_007</v>
      </c>
      <c r="C54" s="3" t="s">
        <v>1330</v>
      </c>
      <c r="D54" s="14">
        <v>45691</v>
      </c>
      <c r="E54" s="5" t="s">
        <v>5259</v>
      </c>
      <c r="F54" s="5" t="s">
        <v>1336</v>
      </c>
      <c r="G54" s="6" t="s">
        <v>978</v>
      </c>
      <c r="H54" s="6" t="s">
        <v>68</v>
      </c>
      <c r="I54" s="6" t="s">
        <v>6204</v>
      </c>
      <c r="J54" s="6">
        <v>1647519</v>
      </c>
      <c r="K54" s="7" t="s">
        <v>8992</v>
      </c>
      <c r="L54" s="8">
        <v>22932</v>
      </c>
      <c r="M54" s="8" t="str">
        <f t="shared" si="5"/>
        <v>PEN</v>
      </c>
      <c r="N54" s="13"/>
      <c r="O54" s="13">
        <v>12</v>
      </c>
      <c r="P54" s="3">
        <f t="shared" si="1"/>
        <v>0</v>
      </c>
      <c r="Q54" s="3">
        <f t="shared" si="2"/>
        <v>12</v>
      </c>
      <c r="R54" s="3">
        <f t="shared" si="3"/>
        <v>96</v>
      </c>
      <c r="S54" s="24" t="s">
        <v>1334</v>
      </c>
      <c r="T54" s="24" t="s">
        <v>1334</v>
      </c>
      <c r="U54" s="3"/>
      <c r="V54" s="25" t="s">
        <v>8006</v>
      </c>
      <c r="W54" s="25">
        <v>20517252558</v>
      </c>
      <c r="X54" s="25" t="str">
        <f>IFERROR(VLOOKUP(C_Ope_007[[#This Row],[nota_2]],Clientes_Proveedores[[Ruc / Dni]:[Razon Social]],2,0),"")</f>
        <v>COVISUR S.A.</v>
      </c>
      <c r="Y54" s="25"/>
      <c r="Z54" s="103"/>
      <c r="AA54" s="3" t="str">
        <f>IF(C_Ope_007[[#This Row],[fecha]]&gt;0,TEXT(C_Ope_007[[#This Row],[fecha]],"mmmm"),0)</f>
        <v>Febrero</v>
      </c>
      <c r="AB54" s="49"/>
    </row>
    <row r="55" spans="1:28" ht="24" x14ac:dyDescent="0.3">
      <c r="A55" s="2">
        <f>IF(C_Ope_007[[#This Row],[tipo_r]]="R",COUNTIFS($C$1:$C54,"R")+1,"")</f>
        <v>54</v>
      </c>
      <c r="B55" s="19" t="str">
        <f t="shared" si="4"/>
        <v>C_Ope_007</v>
      </c>
      <c r="C55" s="3" t="s">
        <v>1330</v>
      </c>
      <c r="D55" s="14">
        <v>45693</v>
      </c>
      <c r="E55" s="5" t="s">
        <v>5259</v>
      </c>
      <c r="F55" s="5" t="s">
        <v>1336</v>
      </c>
      <c r="G55" s="6" t="s">
        <v>978</v>
      </c>
      <c r="H55" s="6" t="s">
        <v>68</v>
      </c>
      <c r="I55" s="6" t="s">
        <v>6204</v>
      </c>
      <c r="J55" s="6">
        <v>1649359</v>
      </c>
      <c r="K55" s="7" t="s">
        <v>8993</v>
      </c>
      <c r="L55" s="8">
        <v>22930</v>
      </c>
      <c r="M55" s="8" t="str">
        <f t="shared" si="5"/>
        <v>PEN</v>
      </c>
      <c r="N55" s="13"/>
      <c r="O55" s="13">
        <v>5</v>
      </c>
      <c r="P55" s="3">
        <f t="shared" si="1"/>
        <v>0</v>
      </c>
      <c r="Q55" s="3">
        <f t="shared" si="2"/>
        <v>5</v>
      </c>
      <c r="R55" s="3">
        <f t="shared" si="3"/>
        <v>91</v>
      </c>
      <c r="S55" s="24" t="s">
        <v>1334</v>
      </c>
      <c r="T55" s="24" t="s">
        <v>1334</v>
      </c>
      <c r="U55" s="3"/>
      <c r="V55" s="25" t="s">
        <v>7754</v>
      </c>
      <c r="W55" s="25">
        <v>20517252558</v>
      </c>
      <c r="X55" s="25" t="str">
        <f>IFERROR(VLOOKUP(C_Ope_007[[#This Row],[nota_2]],Clientes_Proveedores[[Ruc / Dni]:[Razon Social]],2,0),"")</f>
        <v>COVISUR S.A.</v>
      </c>
      <c r="Y55" s="25"/>
      <c r="Z55" s="103"/>
      <c r="AA55" s="3" t="str">
        <f>IF(C_Ope_007[[#This Row],[fecha]]&gt;0,TEXT(C_Ope_007[[#This Row],[fecha]],"mmmm"),0)</f>
        <v>Febrero</v>
      </c>
      <c r="AB55" s="49"/>
    </row>
    <row r="56" spans="1:28" ht="24" x14ac:dyDescent="0.3">
      <c r="A56" s="2">
        <f>IF(C_Ope_007[[#This Row],[tipo_r]]="R",COUNTIFS($C$1:$C55,"R")+1,"")</f>
        <v>55</v>
      </c>
      <c r="B56" s="19" t="str">
        <f t="shared" si="4"/>
        <v>C_Ope_007</v>
      </c>
      <c r="C56" s="3" t="s">
        <v>1330</v>
      </c>
      <c r="D56" s="14">
        <v>45693</v>
      </c>
      <c r="E56" s="5" t="s">
        <v>5259</v>
      </c>
      <c r="F56" s="5" t="s">
        <v>1336</v>
      </c>
      <c r="G56" s="6" t="s">
        <v>978</v>
      </c>
      <c r="H56" s="6" t="s">
        <v>68</v>
      </c>
      <c r="I56" s="6" t="s">
        <v>5845</v>
      </c>
      <c r="J56" s="6">
        <v>1668128</v>
      </c>
      <c r="K56" s="7" t="s">
        <v>8993</v>
      </c>
      <c r="L56" s="8">
        <v>22931</v>
      </c>
      <c r="M56" s="8" t="str">
        <f t="shared" si="5"/>
        <v>PEN</v>
      </c>
      <c r="N56" s="13"/>
      <c r="O56" s="13">
        <v>5</v>
      </c>
      <c r="P56" s="3">
        <f t="shared" si="1"/>
        <v>0</v>
      </c>
      <c r="Q56" s="3">
        <f t="shared" si="2"/>
        <v>5</v>
      </c>
      <c r="R56" s="3">
        <f t="shared" si="3"/>
        <v>86</v>
      </c>
      <c r="S56" s="24" t="s">
        <v>1334</v>
      </c>
      <c r="T56" s="24" t="s">
        <v>1334</v>
      </c>
      <c r="U56" s="3"/>
      <c r="V56" s="25" t="s">
        <v>7754</v>
      </c>
      <c r="W56" s="25">
        <v>20517252558</v>
      </c>
      <c r="X56" s="25" t="str">
        <f>IFERROR(VLOOKUP(C_Ope_007[[#This Row],[nota_2]],Clientes_Proveedores[[Ruc / Dni]:[Razon Social]],2,0),"")</f>
        <v>COVISUR S.A.</v>
      </c>
      <c r="Y56" s="25"/>
      <c r="Z56" s="103"/>
      <c r="AA56" s="3" t="str">
        <f>IF(C_Ope_007[[#This Row],[fecha]]&gt;0,TEXT(C_Ope_007[[#This Row],[fecha]],"mmmm"),0)</f>
        <v>Febrero</v>
      </c>
      <c r="AB56" s="49"/>
    </row>
    <row r="57" spans="1:28" ht="36" x14ac:dyDescent="0.3">
      <c r="A57" s="2">
        <f>IF(C_Ope_007[[#This Row],[tipo_r]]="R",COUNTIFS($C$1:$C56,"R")+1,"")</f>
        <v>56</v>
      </c>
      <c r="B57" s="19" t="str">
        <f t="shared" si="4"/>
        <v>C_Ope_007</v>
      </c>
      <c r="C57" s="3" t="s">
        <v>1330</v>
      </c>
      <c r="D57" s="14">
        <v>45691</v>
      </c>
      <c r="E57" s="5" t="s">
        <v>5259</v>
      </c>
      <c r="F57" s="5" t="s">
        <v>1336</v>
      </c>
      <c r="G57" s="6" t="s">
        <v>682</v>
      </c>
      <c r="H57" s="6" t="s">
        <v>68</v>
      </c>
      <c r="I57" s="6" t="s">
        <v>1353</v>
      </c>
      <c r="J57" s="6">
        <v>15578</v>
      </c>
      <c r="K57" s="7" t="s">
        <v>8994</v>
      </c>
      <c r="L57" s="8">
        <v>22933</v>
      </c>
      <c r="M57" s="8" t="str">
        <f t="shared" si="5"/>
        <v>PEN</v>
      </c>
      <c r="N57" s="13"/>
      <c r="O57" s="13">
        <v>20</v>
      </c>
      <c r="P57" s="3">
        <f t="shared" si="1"/>
        <v>0</v>
      </c>
      <c r="Q57" s="3">
        <f t="shared" si="2"/>
        <v>20</v>
      </c>
      <c r="R57" s="3">
        <f t="shared" si="3"/>
        <v>66</v>
      </c>
      <c r="S57" s="24" t="s">
        <v>1334</v>
      </c>
      <c r="T57" s="24" t="s">
        <v>1334</v>
      </c>
      <c r="U57" s="3"/>
      <c r="V57" s="25" t="s">
        <v>8006</v>
      </c>
      <c r="W57" s="25">
        <v>20259858934</v>
      </c>
      <c r="X57" s="25" t="str">
        <f>IFERROR(VLOOKUP(C_Ope_007[[#This Row],[nota_2]],Clientes_Proveedores[[Ruc / Dni]:[Razon Social]],2,0),"")</f>
        <v>COMERCIALIZACION Y SERVICIOS EL EDEN S.A.C.</v>
      </c>
      <c r="Y57" s="25"/>
      <c r="Z57" s="103"/>
      <c r="AA57" s="3" t="str">
        <f>IF(C_Ope_007[[#This Row],[fecha]]&gt;0,TEXT(C_Ope_007[[#This Row],[fecha]],"mmmm"),0)</f>
        <v>Febrero</v>
      </c>
      <c r="AB57" s="49"/>
    </row>
    <row r="58" spans="1:28" ht="36" x14ac:dyDescent="0.3">
      <c r="A58" s="2">
        <f>IF(C_Ope_007[[#This Row],[tipo_r]]="R",COUNTIFS($C$1:$C57,"R")+1,"")</f>
        <v>57</v>
      </c>
      <c r="B58" s="19" t="str">
        <f t="shared" si="4"/>
        <v>C_Ope_007</v>
      </c>
      <c r="C58" s="3" t="s">
        <v>1330</v>
      </c>
      <c r="D58" s="14">
        <v>45695</v>
      </c>
      <c r="E58" s="5" t="s">
        <v>5259</v>
      </c>
      <c r="F58" s="5" t="s">
        <v>1336</v>
      </c>
      <c r="G58" s="6" t="s">
        <v>682</v>
      </c>
      <c r="H58" s="6" t="s">
        <v>68</v>
      </c>
      <c r="I58" s="6" t="s">
        <v>1343</v>
      </c>
      <c r="J58" s="6">
        <v>33786</v>
      </c>
      <c r="K58" s="7" t="s">
        <v>8995</v>
      </c>
      <c r="L58" s="8">
        <v>23174</v>
      </c>
      <c r="M58" s="8" t="str">
        <f t="shared" si="5"/>
        <v>PEN</v>
      </c>
      <c r="N58" s="13"/>
      <c r="O58" s="13">
        <v>10</v>
      </c>
      <c r="P58" s="3">
        <f t="shared" si="1"/>
        <v>0</v>
      </c>
      <c r="Q58" s="3">
        <f t="shared" si="2"/>
        <v>10</v>
      </c>
      <c r="R58" s="3">
        <f t="shared" si="3"/>
        <v>56</v>
      </c>
      <c r="S58" s="24" t="s">
        <v>1334</v>
      </c>
      <c r="T58" s="24" t="s">
        <v>1334</v>
      </c>
      <c r="U58" s="3"/>
      <c r="V58" s="25" t="s">
        <v>7754</v>
      </c>
      <c r="W58" s="25">
        <v>20259858934</v>
      </c>
      <c r="X58" s="25" t="str">
        <f>IFERROR(VLOOKUP(C_Ope_007[[#This Row],[nota_2]],Clientes_Proveedores[[Ruc / Dni]:[Razon Social]],2,0),"")</f>
        <v>COMERCIALIZACION Y SERVICIOS EL EDEN S.A.C.</v>
      </c>
      <c r="Y58" s="25"/>
      <c r="Z58" s="103"/>
      <c r="AA58" s="3" t="str">
        <f>IF(C_Ope_007[[#This Row],[fecha]]&gt;0,TEXT(C_Ope_007[[#This Row],[fecha]],"mmmm"),0)</f>
        <v>Febrero</v>
      </c>
      <c r="AB58" s="49"/>
    </row>
    <row r="59" spans="1:28" ht="36" x14ac:dyDescent="0.3">
      <c r="A59" s="2">
        <f>IF(C_Ope_007[[#This Row],[tipo_r]]="R",COUNTIFS($C$1:$C58,"R")+1,"")</f>
        <v>58</v>
      </c>
      <c r="B59" s="19" t="str">
        <f t="shared" si="4"/>
        <v>C_Ope_007</v>
      </c>
      <c r="C59" s="3" t="s">
        <v>1330</v>
      </c>
      <c r="D59" s="14">
        <v>45699</v>
      </c>
      <c r="E59" s="5" t="s">
        <v>5259</v>
      </c>
      <c r="F59" s="5" t="s">
        <v>1336</v>
      </c>
      <c r="G59" s="6" t="s">
        <v>682</v>
      </c>
      <c r="H59" s="6" t="s">
        <v>68</v>
      </c>
      <c r="I59" s="6" t="s">
        <v>1343</v>
      </c>
      <c r="J59" s="6">
        <v>33834</v>
      </c>
      <c r="K59" s="7" t="s">
        <v>8995</v>
      </c>
      <c r="L59" s="8">
        <v>23175</v>
      </c>
      <c r="M59" s="8" t="str">
        <f t="shared" si="5"/>
        <v>PEN</v>
      </c>
      <c r="N59" s="13"/>
      <c r="O59" s="13">
        <v>10</v>
      </c>
      <c r="P59" s="3">
        <f t="shared" si="1"/>
        <v>0</v>
      </c>
      <c r="Q59" s="3">
        <f t="shared" si="2"/>
        <v>10</v>
      </c>
      <c r="R59" s="3">
        <f t="shared" si="3"/>
        <v>46</v>
      </c>
      <c r="S59" s="24" t="s">
        <v>1334</v>
      </c>
      <c r="T59" s="24" t="s">
        <v>1334</v>
      </c>
      <c r="U59" s="3"/>
      <c r="V59" s="25" t="s">
        <v>7754</v>
      </c>
      <c r="W59" s="25">
        <v>20259858934</v>
      </c>
      <c r="X59" s="25" t="str">
        <f>IFERROR(VLOOKUP(C_Ope_007[[#This Row],[nota_2]],Clientes_Proveedores[[Ruc / Dni]:[Razon Social]],2,0),"")</f>
        <v>COMERCIALIZACION Y SERVICIOS EL EDEN S.A.C.</v>
      </c>
      <c r="Y59" s="25"/>
      <c r="Z59" s="103"/>
      <c r="AA59" s="3" t="str">
        <f>IF(C_Ope_007[[#This Row],[fecha]]&gt;0,TEXT(C_Ope_007[[#This Row],[fecha]],"mmmm"),0)</f>
        <v>Febrero</v>
      </c>
      <c r="AB59" s="49"/>
    </row>
    <row r="60" spans="1:28" ht="36" x14ac:dyDescent="0.3">
      <c r="A60" s="2">
        <f>IF(C_Ope_007[[#This Row],[tipo_r]]="R",COUNTIFS($C$1:$C59,"R")+1,"")</f>
        <v>59</v>
      </c>
      <c r="B60" s="19" t="str">
        <f t="shared" si="4"/>
        <v>C_Ope_007</v>
      </c>
      <c r="C60" s="3" t="s">
        <v>1330</v>
      </c>
      <c r="D60" s="14">
        <v>45708</v>
      </c>
      <c r="E60" s="5" t="s">
        <v>5259</v>
      </c>
      <c r="F60" s="5" t="s">
        <v>1336</v>
      </c>
      <c r="G60" s="6" t="s">
        <v>682</v>
      </c>
      <c r="H60" s="6" t="s">
        <v>68</v>
      </c>
      <c r="I60" s="6" t="s">
        <v>1343</v>
      </c>
      <c r="J60" s="6">
        <v>33924</v>
      </c>
      <c r="K60" s="7" t="s">
        <v>8996</v>
      </c>
      <c r="L60" s="8">
        <v>23154</v>
      </c>
      <c r="M60" s="8" t="str">
        <f t="shared" si="5"/>
        <v>PEN</v>
      </c>
      <c r="N60" s="13"/>
      <c r="O60" s="13">
        <v>10</v>
      </c>
      <c r="P60" s="3">
        <f t="shared" si="1"/>
        <v>0</v>
      </c>
      <c r="Q60" s="3">
        <f t="shared" si="2"/>
        <v>10</v>
      </c>
      <c r="R60" s="3">
        <f t="shared" si="3"/>
        <v>36</v>
      </c>
      <c r="S60" s="24" t="s">
        <v>1334</v>
      </c>
      <c r="T60" s="24" t="s">
        <v>1334</v>
      </c>
      <c r="U60" s="3"/>
      <c r="V60" s="25" t="s">
        <v>8072</v>
      </c>
      <c r="W60" s="25">
        <v>20259858934</v>
      </c>
      <c r="X60" s="25" t="str">
        <f>IFERROR(VLOOKUP(C_Ope_007[[#This Row],[nota_2]],Clientes_Proveedores[[Ruc / Dni]:[Razon Social]],2,0),"")</f>
        <v>COMERCIALIZACION Y SERVICIOS EL EDEN S.A.C.</v>
      </c>
      <c r="Y60" s="25"/>
      <c r="Z60" s="103"/>
      <c r="AA60" s="3" t="str">
        <f>IF(C_Ope_007[[#This Row],[fecha]]&gt;0,TEXT(C_Ope_007[[#This Row],[fecha]],"mmmm"),0)</f>
        <v>Febrero</v>
      </c>
      <c r="AB60" s="49"/>
    </row>
    <row r="61" spans="1:28" ht="36" x14ac:dyDescent="0.3">
      <c r="A61" s="2">
        <f>IF(C_Ope_007[[#This Row],[tipo_r]]="R",COUNTIFS($C$1:$C60,"R")+1,"")</f>
        <v>60</v>
      </c>
      <c r="B61" s="19" t="str">
        <f t="shared" si="4"/>
        <v>C_Ope_007</v>
      </c>
      <c r="C61" s="3" t="s">
        <v>1330</v>
      </c>
      <c r="D61" s="14">
        <v>45709</v>
      </c>
      <c r="E61" s="5" t="s">
        <v>5259</v>
      </c>
      <c r="F61" s="5" t="s">
        <v>1336</v>
      </c>
      <c r="G61" s="6" t="s">
        <v>682</v>
      </c>
      <c r="H61" s="6" t="s">
        <v>68</v>
      </c>
      <c r="I61" s="6" t="s">
        <v>1343</v>
      </c>
      <c r="J61" s="6">
        <v>33936</v>
      </c>
      <c r="K61" s="7" t="s">
        <v>8997</v>
      </c>
      <c r="L61" s="8">
        <v>23155</v>
      </c>
      <c r="M61" s="8" t="str">
        <f t="shared" si="5"/>
        <v>PEN</v>
      </c>
      <c r="N61" s="13"/>
      <c r="O61" s="13">
        <v>10</v>
      </c>
      <c r="P61" s="3">
        <f t="shared" si="1"/>
        <v>0</v>
      </c>
      <c r="Q61" s="3">
        <f t="shared" si="2"/>
        <v>10</v>
      </c>
      <c r="R61" s="3">
        <f t="shared" si="3"/>
        <v>26</v>
      </c>
      <c r="S61" s="24" t="s">
        <v>1334</v>
      </c>
      <c r="T61" s="24" t="s">
        <v>1334</v>
      </c>
      <c r="U61" s="3"/>
      <c r="V61" s="25" t="s">
        <v>8072</v>
      </c>
      <c r="W61" s="25">
        <v>20259858934</v>
      </c>
      <c r="X61" s="25" t="str">
        <f>IFERROR(VLOOKUP(C_Ope_007[[#This Row],[nota_2]],Clientes_Proveedores[[Ruc / Dni]:[Razon Social]],2,0),"")</f>
        <v>COMERCIALIZACION Y SERVICIOS EL EDEN S.A.C.</v>
      </c>
      <c r="Y61" s="25"/>
      <c r="Z61" s="103"/>
      <c r="AA61" s="3" t="str">
        <f>IF(C_Ope_007[[#This Row],[fecha]]&gt;0,TEXT(C_Ope_007[[#This Row],[fecha]],"mmmm"),0)</f>
        <v>Febrero</v>
      </c>
      <c r="AB61" s="49"/>
    </row>
    <row r="62" spans="1:28" ht="36" x14ac:dyDescent="0.3">
      <c r="A62" s="2">
        <f>IF(C_Ope_007[[#This Row],[tipo_r]]="R",COUNTIFS($C$1:$C61,"R")+1,"")</f>
        <v>61</v>
      </c>
      <c r="B62" s="19" t="str">
        <f t="shared" si="4"/>
        <v>C_Ope_007</v>
      </c>
      <c r="C62" s="3" t="s">
        <v>1330</v>
      </c>
      <c r="D62" s="14">
        <v>45711</v>
      </c>
      <c r="E62" s="5" t="s">
        <v>5259</v>
      </c>
      <c r="F62" s="5" t="s">
        <v>1336</v>
      </c>
      <c r="G62" s="6" t="s">
        <v>682</v>
      </c>
      <c r="H62" s="6" t="s">
        <v>68</v>
      </c>
      <c r="I62" s="6" t="s">
        <v>1343</v>
      </c>
      <c r="J62" s="6">
        <v>33948</v>
      </c>
      <c r="K62" s="7" t="s">
        <v>8998</v>
      </c>
      <c r="L62" s="8">
        <v>23156</v>
      </c>
      <c r="M62" s="8" t="str">
        <f t="shared" si="5"/>
        <v>PEN</v>
      </c>
      <c r="N62" s="13"/>
      <c r="O62" s="13">
        <v>10</v>
      </c>
      <c r="P62" s="3">
        <f t="shared" si="1"/>
        <v>0</v>
      </c>
      <c r="Q62" s="3">
        <f t="shared" si="2"/>
        <v>10</v>
      </c>
      <c r="R62" s="3">
        <f t="shared" si="3"/>
        <v>16</v>
      </c>
      <c r="S62" s="24" t="s">
        <v>1334</v>
      </c>
      <c r="T62" s="24" t="s">
        <v>1334</v>
      </c>
      <c r="U62" s="3"/>
      <c r="V62" s="25" t="s">
        <v>8072</v>
      </c>
      <c r="W62" s="25">
        <v>20259858934</v>
      </c>
      <c r="X62" s="25" t="str">
        <f>IFERROR(VLOOKUP(C_Ope_007[[#This Row],[nota_2]],Clientes_Proveedores[[Ruc / Dni]:[Razon Social]],2,0),"")</f>
        <v>COMERCIALIZACION Y SERVICIOS EL EDEN S.A.C.</v>
      </c>
      <c r="Y62" s="25"/>
      <c r="Z62" s="103"/>
      <c r="AA62" s="3" t="str">
        <f>IF(C_Ope_007[[#This Row],[fecha]]&gt;0,TEXT(C_Ope_007[[#This Row],[fecha]],"mmmm"),0)</f>
        <v>Febrero</v>
      </c>
      <c r="AB62" s="49"/>
    </row>
    <row r="63" spans="1:28" ht="24" x14ac:dyDescent="0.3">
      <c r="A63" s="2">
        <f>IF(C_Ope_007[[#This Row],[tipo_r]]="R",COUNTIFS($C$1:$C62,"R")+1,"")</f>
        <v>62</v>
      </c>
      <c r="B63" s="19" t="str">
        <f t="shared" si="4"/>
        <v>C_Ope_007</v>
      </c>
      <c r="C63" s="3" t="s">
        <v>1330</v>
      </c>
      <c r="D63" s="14">
        <v>45712</v>
      </c>
      <c r="E63" s="5" t="s">
        <v>7514</v>
      </c>
      <c r="F63" s="5" t="s">
        <v>1303</v>
      </c>
      <c r="G63" s="6" t="s">
        <v>692</v>
      </c>
      <c r="H63" s="6"/>
      <c r="I63" s="6"/>
      <c r="J63" s="6"/>
      <c r="K63" s="7" t="s">
        <v>7516</v>
      </c>
      <c r="L63" s="8">
        <v>23168</v>
      </c>
      <c r="M63" s="8" t="str">
        <f t="shared" si="5"/>
        <v>PEN</v>
      </c>
      <c r="N63" s="13"/>
      <c r="O63" s="13">
        <v>70</v>
      </c>
      <c r="P63" s="3">
        <f t="shared" si="1"/>
        <v>70</v>
      </c>
      <c r="Q63" s="3">
        <f t="shared" si="2"/>
        <v>0</v>
      </c>
      <c r="R63" s="3">
        <f t="shared" si="3"/>
        <v>86</v>
      </c>
      <c r="S63" s="24" t="s">
        <v>1334</v>
      </c>
      <c r="T63" s="24" t="s">
        <v>1334</v>
      </c>
      <c r="U63" s="3"/>
      <c r="V63" s="25"/>
      <c r="W63" s="25"/>
      <c r="X63" s="25" t="str">
        <f>IFERROR(VLOOKUP(C_Ope_007[[#This Row],[nota_2]],Clientes_Proveedores[[Ruc / Dni]:[Razon Social]],2,0),"")</f>
        <v/>
      </c>
      <c r="Y63" s="25"/>
      <c r="Z63" s="103"/>
      <c r="AA63" s="3" t="str">
        <f>IF(C_Ope_007[[#This Row],[fecha]]&gt;0,TEXT(C_Ope_007[[#This Row],[fecha]],"mmmm"),0)</f>
        <v>Febrero</v>
      </c>
      <c r="AB63" s="49"/>
    </row>
    <row r="64" spans="1:28" ht="24" x14ac:dyDescent="0.3">
      <c r="A64" s="2">
        <f>IF(C_Ope_007[[#This Row],[tipo_r]]="R",COUNTIFS($C$1:$C63,"R")+1,"")</f>
        <v>63</v>
      </c>
      <c r="B64" s="19" t="str">
        <f t="shared" si="4"/>
        <v>C_Ope_007</v>
      </c>
      <c r="C64" s="3" t="s">
        <v>1330</v>
      </c>
      <c r="D64" s="14">
        <v>45712</v>
      </c>
      <c r="E64" s="5" t="s">
        <v>5259</v>
      </c>
      <c r="F64" s="5" t="s">
        <v>1336</v>
      </c>
      <c r="G64" s="6" t="s">
        <v>978</v>
      </c>
      <c r="H64" s="6" t="s">
        <v>68</v>
      </c>
      <c r="I64" s="6" t="s">
        <v>5688</v>
      </c>
      <c r="J64" s="6">
        <v>2243714</v>
      </c>
      <c r="K64" s="7" t="s">
        <v>8999</v>
      </c>
      <c r="L64" s="8">
        <v>23314</v>
      </c>
      <c r="M64" s="8" t="str">
        <f t="shared" si="5"/>
        <v>PEN</v>
      </c>
      <c r="N64" s="13"/>
      <c r="O64" s="13">
        <v>8</v>
      </c>
      <c r="P64" s="3">
        <f t="shared" si="1"/>
        <v>0</v>
      </c>
      <c r="Q64" s="3">
        <f t="shared" si="2"/>
        <v>8</v>
      </c>
      <c r="R64" s="3">
        <f t="shared" si="3"/>
        <v>78</v>
      </c>
      <c r="S64" s="24" t="s">
        <v>1334</v>
      </c>
      <c r="T64" s="24" t="s">
        <v>1334</v>
      </c>
      <c r="U64" s="3"/>
      <c r="V64" s="25" t="s">
        <v>8072</v>
      </c>
      <c r="W64" s="25">
        <v>20517252558</v>
      </c>
      <c r="X64" s="25" t="str">
        <f>IFERROR(VLOOKUP(C_Ope_007[[#This Row],[nota_2]],Clientes_Proveedores[[Ruc / Dni]:[Razon Social]],2,0),"")</f>
        <v>COVISUR S.A.</v>
      </c>
      <c r="Y64" s="25"/>
      <c r="Z64" s="103"/>
      <c r="AA64" s="3" t="str">
        <f>IF(C_Ope_007[[#This Row],[fecha]]&gt;0,TEXT(C_Ope_007[[#This Row],[fecha]],"mmmm"),0)</f>
        <v>Febrero</v>
      </c>
      <c r="AB64" s="49"/>
    </row>
    <row r="65" spans="1:28" ht="24" x14ac:dyDescent="0.3">
      <c r="A65" s="2">
        <f>IF(C_Ope_007[[#This Row],[tipo_r]]="R",COUNTIFS($C$1:$C64,"R")+1,"")</f>
        <v>64</v>
      </c>
      <c r="B65" s="19" t="str">
        <f t="shared" si="4"/>
        <v>C_Ope_007</v>
      </c>
      <c r="C65" s="3" t="s">
        <v>1330</v>
      </c>
      <c r="D65" s="14">
        <v>45712</v>
      </c>
      <c r="E65" s="5" t="s">
        <v>5259</v>
      </c>
      <c r="F65" s="5" t="s">
        <v>1336</v>
      </c>
      <c r="G65" s="6" t="s">
        <v>978</v>
      </c>
      <c r="H65" s="6" t="s">
        <v>68</v>
      </c>
      <c r="I65" s="6" t="s">
        <v>5845</v>
      </c>
      <c r="J65" s="6">
        <v>1683419</v>
      </c>
      <c r="K65" s="7" t="s">
        <v>8999</v>
      </c>
      <c r="L65" s="8">
        <v>23315</v>
      </c>
      <c r="M65" s="8" t="str">
        <f t="shared" si="5"/>
        <v>PEN</v>
      </c>
      <c r="N65" s="13"/>
      <c r="O65" s="13">
        <v>8</v>
      </c>
      <c r="P65" s="3">
        <f t="shared" si="1"/>
        <v>0</v>
      </c>
      <c r="Q65" s="3">
        <f t="shared" si="2"/>
        <v>8</v>
      </c>
      <c r="R65" s="3">
        <f t="shared" si="3"/>
        <v>70</v>
      </c>
      <c r="S65" s="24" t="s">
        <v>1334</v>
      </c>
      <c r="T65" s="24" t="s">
        <v>1334</v>
      </c>
      <c r="U65" s="3"/>
      <c r="V65" s="25" t="s">
        <v>8072</v>
      </c>
      <c r="W65" s="25">
        <v>20517252558</v>
      </c>
      <c r="X65" s="25" t="str">
        <f>IFERROR(VLOOKUP(C_Ope_007[[#This Row],[nota_2]],Clientes_Proveedores[[Ruc / Dni]:[Razon Social]],2,0),"")</f>
        <v>COVISUR S.A.</v>
      </c>
      <c r="Y65" s="25"/>
      <c r="Z65" s="103"/>
      <c r="AA65" s="3" t="str">
        <f>IF(C_Ope_007[[#This Row],[fecha]]&gt;0,TEXT(C_Ope_007[[#This Row],[fecha]],"mmmm"),0)</f>
        <v>Febrero</v>
      </c>
      <c r="AB65" s="49"/>
    </row>
    <row r="66" spans="1:28" x14ac:dyDescent="0.3">
      <c r="A66" s="2">
        <f>IF(C_Ope_007[[#This Row],[tipo_r]]="R",COUNTIFS($C$1:$C65,"R")+1,"")</f>
        <v>65</v>
      </c>
      <c r="B66" s="19" t="str">
        <f t="shared" si="4"/>
        <v>C_Ope_007</v>
      </c>
      <c r="C66" s="3" t="s">
        <v>1330</v>
      </c>
      <c r="D66" s="14">
        <v>45716</v>
      </c>
      <c r="E66" s="5" t="s">
        <v>5259</v>
      </c>
      <c r="F66" s="5" t="s">
        <v>1336</v>
      </c>
      <c r="G66" s="6" t="s">
        <v>978</v>
      </c>
      <c r="H66" s="6" t="s">
        <v>68</v>
      </c>
      <c r="I66" s="6" t="s">
        <v>5688</v>
      </c>
      <c r="J66" s="6">
        <v>2248675</v>
      </c>
      <c r="K66" s="7" t="s">
        <v>9000</v>
      </c>
      <c r="L66" s="8">
        <v>23316</v>
      </c>
      <c r="M66" s="8" t="str">
        <f t="shared" si="5"/>
        <v>PEN</v>
      </c>
      <c r="N66" s="13"/>
      <c r="O66" s="13">
        <v>8</v>
      </c>
      <c r="P66" s="3">
        <f t="shared" ref="P66:P129" si="6">+IF(OR($F66="SALDO",$F66="INGRESO"),$O66,0)</f>
        <v>0</v>
      </c>
      <c r="Q66" s="3">
        <f t="shared" ref="Q66:Q129" si="7">+IF($F66="EGRESO",$O66,0)</f>
        <v>8</v>
      </c>
      <c r="R66" s="3">
        <f t="shared" ref="R66:R129" si="8">IFERROR(IF(F66="SALDO",P66,R65+P66-Q66),0)</f>
        <v>62</v>
      </c>
      <c r="S66" s="24" t="s">
        <v>1334</v>
      </c>
      <c r="T66" s="24" t="s">
        <v>1334</v>
      </c>
      <c r="U66" s="3"/>
      <c r="V66" s="25" t="s">
        <v>7842</v>
      </c>
      <c r="W66" s="25">
        <v>20517252558</v>
      </c>
      <c r="X66" s="25" t="str">
        <f>IFERROR(VLOOKUP(C_Ope_007[[#This Row],[nota_2]],Clientes_Proveedores[[Ruc / Dni]:[Razon Social]],2,0),"")</f>
        <v>COVISUR S.A.</v>
      </c>
      <c r="Y66" s="25"/>
      <c r="Z66" s="103"/>
      <c r="AA66" s="3" t="str">
        <f>IF(C_Ope_007[[#This Row],[fecha]]&gt;0,TEXT(C_Ope_007[[#This Row],[fecha]],"mmmm"),0)</f>
        <v>Febrero</v>
      </c>
      <c r="AB66" s="49"/>
    </row>
    <row r="67" spans="1:28" x14ac:dyDescent="0.3">
      <c r="A67" s="2">
        <f>IF(C_Ope_007[[#This Row],[tipo_r]]="R",COUNTIFS($C$1:$C66,"R")+1,"")</f>
        <v>66</v>
      </c>
      <c r="B67" s="19" t="str">
        <f t="shared" ref="B67:B130" si="9">"C_Ope_007"</f>
        <v>C_Ope_007</v>
      </c>
      <c r="C67" s="3" t="s">
        <v>1330</v>
      </c>
      <c r="D67" s="14">
        <v>45716</v>
      </c>
      <c r="E67" s="5" t="s">
        <v>5259</v>
      </c>
      <c r="F67" s="5" t="s">
        <v>1336</v>
      </c>
      <c r="G67" s="6" t="s">
        <v>978</v>
      </c>
      <c r="H67" s="6" t="s">
        <v>68</v>
      </c>
      <c r="I67" s="6" t="s">
        <v>5845</v>
      </c>
      <c r="J67" s="6">
        <v>1686804</v>
      </c>
      <c r="K67" s="7" t="s">
        <v>9000</v>
      </c>
      <c r="L67" s="8">
        <v>23317</v>
      </c>
      <c r="M67" s="8" t="str">
        <f t="shared" ref="M67:M130" si="10">"PEN"</f>
        <v>PEN</v>
      </c>
      <c r="N67" s="13"/>
      <c r="O67" s="13">
        <v>8</v>
      </c>
      <c r="P67" s="3">
        <f t="shared" si="6"/>
        <v>0</v>
      </c>
      <c r="Q67" s="3">
        <f t="shared" si="7"/>
        <v>8</v>
      </c>
      <c r="R67" s="3">
        <f t="shared" si="8"/>
        <v>54</v>
      </c>
      <c r="S67" s="24" t="s">
        <v>1334</v>
      </c>
      <c r="T67" s="24" t="s">
        <v>1334</v>
      </c>
      <c r="U67" s="3"/>
      <c r="V67" s="25" t="s">
        <v>7842</v>
      </c>
      <c r="W67" s="25">
        <v>20517252558</v>
      </c>
      <c r="X67" s="25" t="str">
        <f>IFERROR(VLOOKUP(C_Ope_007[[#This Row],[nota_2]],Clientes_Proveedores[[Ruc / Dni]:[Razon Social]],2,0),"")</f>
        <v>COVISUR S.A.</v>
      </c>
      <c r="Y67" s="25"/>
      <c r="Z67" s="103"/>
      <c r="AA67" s="3" t="str">
        <f>IF(C_Ope_007[[#This Row],[fecha]]&gt;0,TEXT(C_Ope_007[[#This Row],[fecha]],"mmmm"),0)</f>
        <v>Febrero</v>
      </c>
      <c r="AB67" s="49"/>
    </row>
    <row r="68" spans="1:28" ht="24" x14ac:dyDescent="0.3">
      <c r="A68" s="2">
        <f>IF(C_Ope_007[[#This Row],[tipo_r]]="R",COUNTIFS($C$1:$C67,"R")+1,"")</f>
        <v>67</v>
      </c>
      <c r="B68" s="19" t="str">
        <f t="shared" si="9"/>
        <v>C_Ope_007</v>
      </c>
      <c r="C68" s="3" t="s">
        <v>1330</v>
      </c>
      <c r="D68" s="14">
        <v>45716</v>
      </c>
      <c r="E68" s="5" t="s">
        <v>5259</v>
      </c>
      <c r="F68" s="5" t="s">
        <v>1336</v>
      </c>
      <c r="G68" s="6" t="s">
        <v>978</v>
      </c>
      <c r="H68" s="6" t="s">
        <v>68</v>
      </c>
      <c r="I68" s="6" t="s">
        <v>5688</v>
      </c>
      <c r="J68" s="6">
        <v>2249084</v>
      </c>
      <c r="K68" s="7" t="s">
        <v>7821</v>
      </c>
      <c r="L68" s="8">
        <v>23318</v>
      </c>
      <c r="M68" s="8" t="str">
        <f t="shared" si="10"/>
        <v>PEN</v>
      </c>
      <c r="N68" s="13"/>
      <c r="O68" s="13">
        <v>8</v>
      </c>
      <c r="P68" s="3">
        <f t="shared" si="6"/>
        <v>0</v>
      </c>
      <c r="Q68" s="3">
        <f t="shared" si="7"/>
        <v>8</v>
      </c>
      <c r="R68" s="3">
        <f t="shared" si="8"/>
        <v>46</v>
      </c>
      <c r="S68" s="24" t="s">
        <v>1334</v>
      </c>
      <c r="T68" s="24" t="s">
        <v>1334</v>
      </c>
      <c r="U68" s="3"/>
      <c r="V68" s="25" t="s">
        <v>7842</v>
      </c>
      <c r="W68" s="25">
        <v>20517252558</v>
      </c>
      <c r="X68" s="25" t="str">
        <f>IFERROR(VLOOKUP(C_Ope_007[[#This Row],[nota_2]],Clientes_Proveedores[[Ruc / Dni]:[Razon Social]],2,0),"")</f>
        <v>COVISUR S.A.</v>
      </c>
      <c r="Y68" s="25"/>
      <c r="Z68" s="103"/>
      <c r="AA68" s="3" t="str">
        <f>IF(C_Ope_007[[#This Row],[fecha]]&gt;0,TEXT(C_Ope_007[[#This Row],[fecha]],"mmmm"),0)</f>
        <v>Febrero</v>
      </c>
      <c r="AB68" s="49"/>
    </row>
    <row r="69" spans="1:28" ht="24" x14ac:dyDescent="0.3">
      <c r="A69" s="2">
        <f>IF(C_Ope_007[[#This Row],[tipo_r]]="R",COUNTIFS($C$1:$C68,"R")+1,"")</f>
        <v>68</v>
      </c>
      <c r="B69" s="19" t="str">
        <f t="shared" si="9"/>
        <v>C_Ope_007</v>
      </c>
      <c r="C69" s="3" t="s">
        <v>1330</v>
      </c>
      <c r="D69" s="14">
        <v>45716</v>
      </c>
      <c r="E69" s="5" t="s">
        <v>5259</v>
      </c>
      <c r="F69" s="5" t="s">
        <v>1336</v>
      </c>
      <c r="G69" s="6" t="s">
        <v>978</v>
      </c>
      <c r="H69" s="6" t="s">
        <v>68</v>
      </c>
      <c r="I69" s="6" t="s">
        <v>5845</v>
      </c>
      <c r="J69" s="6">
        <v>1687149</v>
      </c>
      <c r="K69" s="7" t="s">
        <v>7821</v>
      </c>
      <c r="L69" s="8">
        <v>23319</v>
      </c>
      <c r="M69" s="8" t="str">
        <f t="shared" si="10"/>
        <v>PEN</v>
      </c>
      <c r="N69" s="13"/>
      <c r="O69" s="13">
        <v>8</v>
      </c>
      <c r="P69" s="3">
        <f t="shared" si="6"/>
        <v>0</v>
      </c>
      <c r="Q69" s="3">
        <f t="shared" si="7"/>
        <v>8</v>
      </c>
      <c r="R69" s="3">
        <f t="shared" si="8"/>
        <v>38</v>
      </c>
      <c r="S69" s="24" t="s">
        <v>1334</v>
      </c>
      <c r="T69" s="24" t="s">
        <v>1334</v>
      </c>
      <c r="U69" s="3"/>
      <c r="V69" s="25" t="s">
        <v>7842</v>
      </c>
      <c r="W69" s="25">
        <v>20517252558</v>
      </c>
      <c r="X69" s="25" t="str">
        <f>IFERROR(VLOOKUP(C_Ope_007[[#This Row],[nota_2]],Clientes_Proveedores[[Ruc / Dni]:[Razon Social]],2,0),"")</f>
        <v>COVISUR S.A.</v>
      </c>
      <c r="Y69" s="25"/>
      <c r="Z69" s="103"/>
      <c r="AA69" s="3" t="str">
        <f>IF(C_Ope_007[[#This Row],[fecha]]&gt;0,TEXT(C_Ope_007[[#This Row],[fecha]],"mmmm"),0)</f>
        <v>Febrero</v>
      </c>
      <c r="AB69" s="49"/>
    </row>
    <row r="70" spans="1:28" ht="36" x14ac:dyDescent="0.3">
      <c r="A70" s="2">
        <f>IF(C_Ope_007[[#This Row],[tipo_r]]="R",COUNTIFS($C$1:$C69,"R")+1,"")</f>
        <v>69</v>
      </c>
      <c r="B70" s="19" t="str">
        <f t="shared" si="9"/>
        <v>C_Ope_007</v>
      </c>
      <c r="C70" s="3" t="s">
        <v>1330</v>
      </c>
      <c r="D70" s="14">
        <v>45714</v>
      </c>
      <c r="E70" s="5" t="s">
        <v>5259</v>
      </c>
      <c r="F70" s="5" t="s">
        <v>1336</v>
      </c>
      <c r="G70" s="6" t="s">
        <v>227</v>
      </c>
      <c r="H70" s="6" t="s">
        <v>68</v>
      </c>
      <c r="I70" s="6" t="s">
        <v>1390</v>
      </c>
      <c r="J70" s="6">
        <v>128711</v>
      </c>
      <c r="K70" s="7" t="s">
        <v>9001</v>
      </c>
      <c r="L70" s="8">
        <v>23320</v>
      </c>
      <c r="M70" s="8" t="str">
        <f t="shared" si="10"/>
        <v>PEN</v>
      </c>
      <c r="N70" s="13"/>
      <c r="O70" s="13">
        <v>10</v>
      </c>
      <c r="P70" s="3">
        <f t="shared" si="6"/>
        <v>0</v>
      </c>
      <c r="Q70" s="3">
        <f t="shared" si="7"/>
        <v>10</v>
      </c>
      <c r="R70" s="3">
        <f t="shared" si="8"/>
        <v>28</v>
      </c>
      <c r="S70" s="24" t="s">
        <v>1334</v>
      </c>
      <c r="T70" s="24" t="s">
        <v>1334</v>
      </c>
      <c r="U70" s="3"/>
      <c r="V70" s="25" t="s">
        <v>8072</v>
      </c>
      <c r="W70" s="25">
        <v>20124952850</v>
      </c>
      <c r="X70" s="25" t="str">
        <f>IFERROR(VLOOKUP(C_Ope_007[[#This Row],[nota_2]],Clientes_Proveedores[[Ruc / Dni]:[Razon Social]],2,0),"")</f>
        <v>ALIMENTOS Y SERVICIOS AGROPECUARIOS SRL.</v>
      </c>
      <c r="Y70" s="25"/>
      <c r="Z70" s="103"/>
      <c r="AA70" s="3" t="str">
        <f>IF(C_Ope_007[[#This Row],[fecha]]&gt;0,TEXT(C_Ope_007[[#This Row],[fecha]],"mmmm"),0)</f>
        <v>Febrero</v>
      </c>
      <c r="AB70" s="49"/>
    </row>
    <row r="71" spans="1:28" ht="36" x14ac:dyDescent="0.3">
      <c r="A71" s="2">
        <f>IF(C_Ope_007[[#This Row],[tipo_r]]="R",COUNTIFS($C$1:$C70,"R")+1,"")</f>
        <v>70</v>
      </c>
      <c r="B71" s="19" t="str">
        <f t="shared" si="9"/>
        <v>C_Ope_007</v>
      </c>
      <c r="C71" s="3" t="s">
        <v>1330</v>
      </c>
      <c r="D71" s="14">
        <v>45716</v>
      </c>
      <c r="E71" s="5" t="s">
        <v>5259</v>
      </c>
      <c r="F71" s="5" t="s">
        <v>1336</v>
      </c>
      <c r="G71" s="6" t="s">
        <v>682</v>
      </c>
      <c r="H71" s="6" t="s">
        <v>68</v>
      </c>
      <c r="I71" s="6" t="s">
        <v>1353</v>
      </c>
      <c r="J71" s="6">
        <v>15766</v>
      </c>
      <c r="K71" s="7" t="s">
        <v>7825</v>
      </c>
      <c r="L71" s="8">
        <v>23322</v>
      </c>
      <c r="M71" s="8" t="str">
        <f t="shared" si="10"/>
        <v>PEN</v>
      </c>
      <c r="N71" s="13"/>
      <c r="O71" s="13">
        <v>20</v>
      </c>
      <c r="P71" s="3">
        <f t="shared" si="6"/>
        <v>0</v>
      </c>
      <c r="Q71" s="3">
        <f t="shared" si="7"/>
        <v>20</v>
      </c>
      <c r="R71" s="3">
        <f t="shared" si="8"/>
        <v>8</v>
      </c>
      <c r="S71" s="24" t="s">
        <v>1334</v>
      </c>
      <c r="T71" s="24" t="s">
        <v>1334</v>
      </c>
      <c r="U71" s="3"/>
      <c r="V71" s="25" t="s">
        <v>7842</v>
      </c>
      <c r="W71" s="25">
        <v>20259858934</v>
      </c>
      <c r="X71" s="25" t="str">
        <f>IFERROR(VLOOKUP(C_Ope_007[[#This Row],[nota_2]],Clientes_Proveedores[[Ruc / Dni]:[Razon Social]],2,0),"")</f>
        <v>COMERCIALIZACION Y SERVICIOS EL EDEN S.A.C.</v>
      </c>
      <c r="Y71" s="25"/>
      <c r="Z71" s="103"/>
      <c r="AA71" s="3" t="str">
        <f>IF(C_Ope_007[[#This Row],[fecha]]&gt;0,TEXT(C_Ope_007[[#This Row],[fecha]],"mmmm"),0)</f>
        <v>Febrero</v>
      </c>
      <c r="AB71" s="49"/>
    </row>
    <row r="72" spans="1:28" ht="24" x14ac:dyDescent="0.3">
      <c r="A72" s="2">
        <f>IF(C_Ope_007[[#This Row],[tipo_r]]="R",COUNTIFS($C$1:$C71,"R")+1,"")</f>
        <v>71</v>
      </c>
      <c r="B72" s="19" t="str">
        <f t="shared" si="9"/>
        <v>C_Ope_007</v>
      </c>
      <c r="C72" s="3" t="s">
        <v>1330</v>
      </c>
      <c r="D72" s="14">
        <v>45713</v>
      </c>
      <c r="E72" s="5" t="s">
        <v>5259</v>
      </c>
      <c r="F72" s="5" t="s">
        <v>1336</v>
      </c>
      <c r="G72" s="6" t="s">
        <v>1196</v>
      </c>
      <c r="H72" s="6" t="s">
        <v>68</v>
      </c>
      <c r="I72" s="6" t="s">
        <v>1374</v>
      </c>
      <c r="J72" s="6">
        <v>7018</v>
      </c>
      <c r="K72" s="7" t="s">
        <v>7777</v>
      </c>
      <c r="L72" s="8">
        <v>23321</v>
      </c>
      <c r="M72" s="8" t="str">
        <f t="shared" si="10"/>
        <v>PEN</v>
      </c>
      <c r="N72" s="13"/>
      <c r="O72" s="13">
        <v>30</v>
      </c>
      <c r="P72" s="3">
        <f t="shared" si="6"/>
        <v>0</v>
      </c>
      <c r="Q72" s="3">
        <f t="shared" si="7"/>
        <v>30</v>
      </c>
      <c r="R72" s="3">
        <f t="shared" si="8"/>
        <v>-22</v>
      </c>
      <c r="S72" s="24" t="s">
        <v>1334</v>
      </c>
      <c r="T72" s="24" t="s">
        <v>1334</v>
      </c>
      <c r="U72" s="3"/>
      <c r="V72" s="25" t="s">
        <v>7756</v>
      </c>
      <c r="W72" s="25">
        <v>10756572607</v>
      </c>
      <c r="X72" s="25" t="str">
        <f>IFERROR(VLOOKUP(C_Ope_007[[#This Row],[nota_2]],Clientes_Proveedores[[Ruc / Dni]:[Razon Social]],2,0),"")</f>
        <v>CHUHUI BARRIENTOS CLAUDIO</v>
      </c>
      <c r="Y72" s="25"/>
      <c r="Z72" s="103"/>
      <c r="AA72" s="3" t="str">
        <f>IF(C_Ope_007[[#This Row],[fecha]]&gt;0,TEXT(C_Ope_007[[#This Row],[fecha]],"mmmm"),0)</f>
        <v>Febrero</v>
      </c>
      <c r="AB72" s="49"/>
    </row>
    <row r="73" spans="1:28" ht="24" x14ac:dyDescent="0.3">
      <c r="A73" s="2">
        <f>IF(C_Ope_007[[#This Row],[tipo_r]]="R",COUNTIFS($C$1:$C72,"R")+1,"")</f>
        <v>72</v>
      </c>
      <c r="B73" s="19" t="str">
        <f t="shared" si="9"/>
        <v>C_Ope_007</v>
      </c>
      <c r="C73" s="3" t="s">
        <v>1330</v>
      </c>
      <c r="D73" s="14">
        <v>45723</v>
      </c>
      <c r="E73" s="5" t="s">
        <v>7514</v>
      </c>
      <c r="F73" s="5" t="s">
        <v>1303</v>
      </c>
      <c r="G73" s="6" t="s">
        <v>692</v>
      </c>
      <c r="H73" s="6"/>
      <c r="I73" s="6"/>
      <c r="J73" s="6"/>
      <c r="K73" s="7" t="s">
        <v>7516</v>
      </c>
      <c r="L73" s="8">
        <v>23326</v>
      </c>
      <c r="M73" s="8" t="str">
        <f t="shared" si="10"/>
        <v>PEN</v>
      </c>
      <c r="N73" s="13"/>
      <c r="O73" s="13">
        <v>130</v>
      </c>
      <c r="P73" s="3">
        <f t="shared" si="6"/>
        <v>130</v>
      </c>
      <c r="Q73" s="3">
        <f t="shared" si="7"/>
        <v>0</v>
      </c>
      <c r="R73" s="3">
        <f t="shared" si="8"/>
        <v>108</v>
      </c>
      <c r="S73" s="24" t="s">
        <v>1334</v>
      </c>
      <c r="T73" s="24" t="s">
        <v>1334</v>
      </c>
      <c r="U73" s="3"/>
      <c r="V73" s="25"/>
      <c r="W73" s="25"/>
      <c r="X73" s="25" t="str">
        <f>IFERROR(VLOOKUP(C_Ope_007[[#This Row],[nota_2]],Clientes_Proveedores[[Ruc / Dni]:[Razon Social]],2,0),"")</f>
        <v/>
      </c>
      <c r="Y73" s="25"/>
      <c r="Z73" s="103"/>
      <c r="AA73" s="3" t="str">
        <f>IF(C_Ope_007[[#This Row],[fecha]]&gt;0,TEXT(C_Ope_007[[#This Row],[fecha]],"mmmm"),0)</f>
        <v>Marzo</v>
      </c>
      <c r="AB73" s="49"/>
    </row>
    <row r="74" spans="1:28" ht="24" x14ac:dyDescent="0.3">
      <c r="A74" s="2">
        <f>IF(C_Ope_007[[#This Row],[tipo_r]]="R",COUNTIFS($C$1:$C73,"R")+1,"")</f>
        <v>73</v>
      </c>
      <c r="B74" s="19" t="str">
        <f t="shared" si="9"/>
        <v>C_Ope_007</v>
      </c>
      <c r="C74" s="3" t="s">
        <v>1330</v>
      </c>
      <c r="D74" s="14">
        <v>45726</v>
      </c>
      <c r="E74" s="5" t="s">
        <v>5259</v>
      </c>
      <c r="F74" s="5" t="s">
        <v>1336</v>
      </c>
      <c r="G74" s="6" t="s">
        <v>978</v>
      </c>
      <c r="H74" s="6" t="s">
        <v>68</v>
      </c>
      <c r="I74" s="6" t="s">
        <v>5688</v>
      </c>
      <c r="J74" s="6">
        <v>2259742</v>
      </c>
      <c r="K74" s="7" t="s">
        <v>9002</v>
      </c>
      <c r="L74" s="8">
        <v>23445</v>
      </c>
      <c r="M74" s="8" t="str">
        <f t="shared" si="10"/>
        <v>PEN</v>
      </c>
      <c r="N74" s="13"/>
      <c r="O74" s="13">
        <v>5</v>
      </c>
      <c r="P74" s="3">
        <f t="shared" si="6"/>
        <v>0</v>
      </c>
      <c r="Q74" s="3">
        <f t="shared" si="7"/>
        <v>5</v>
      </c>
      <c r="R74" s="3">
        <f t="shared" si="8"/>
        <v>103</v>
      </c>
      <c r="S74" s="24" t="s">
        <v>1334</v>
      </c>
      <c r="T74" s="24" t="s">
        <v>1334</v>
      </c>
      <c r="U74" s="3"/>
      <c r="V74" s="25" t="s">
        <v>7754</v>
      </c>
      <c r="W74" s="25">
        <v>20517252558</v>
      </c>
      <c r="X74" s="25" t="str">
        <f>IFERROR(VLOOKUP(C_Ope_007[[#This Row],[nota_2]],Clientes_Proveedores[[Ruc / Dni]:[Razon Social]],2,0),"")</f>
        <v>COVISUR S.A.</v>
      </c>
      <c r="Y74" s="25"/>
      <c r="Z74" s="103"/>
      <c r="AA74" s="3" t="str">
        <f>IF(C_Ope_007[[#This Row],[fecha]]&gt;0,TEXT(C_Ope_007[[#This Row],[fecha]],"mmmm"),0)</f>
        <v>Marzo</v>
      </c>
      <c r="AB74" s="49"/>
    </row>
    <row r="75" spans="1:28" ht="24" x14ac:dyDescent="0.3">
      <c r="A75" s="2">
        <f>IF(C_Ope_007[[#This Row],[tipo_r]]="R",COUNTIFS($C$1:$C74,"R")+1,"")</f>
        <v>74</v>
      </c>
      <c r="B75" s="19" t="str">
        <f t="shared" si="9"/>
        <v>C_Ope_007</v>
      </c>
      <c r="C75" s="3" t="s">
        <v>1330</v>
      </c>
      <c r="D75" s="14">
        <v>45726</v>
      </c>
      <c r="E75" s="5" t="s">
        <v>5259</v>
      </c>
      <c r="F75" s="5" t="s">
        <v>1336</v>
      </c>
      <c r="G75" s="6" t="s">
        <v>978</v>
      </c>
      <c r="H75" s="6" t="s">
        <v>68</v>
      </c>
      <c r="I75" s="6" t="s">
        <v>6379</v>
      </c>
      <c r="J75" s="6">
        <v>457522</v>
      </c>
      <c r="K75" s="7" t="s">
        <v>9003</v>
      </c>
      <c r="L75" s="8">
        <v>23446</v>
      </c>
      <c r="M75" s="8" t="str">
        <f t="shared" si="10"/>
        <v>PEN</v>
      </c>
      <c r="N75" s="13"/>
      <c r="O75" s="13">
        <v>5</v>
      </c>
      <c r="P75" s="3">
        <f t="shared" si="6"/>
        <v>0</v>
      </c>
      <c r="Q75" s="3">
        <f t="shared" si="7"/>
        <v>5</v>
      </c>
      <c r="R75" s="3">
        <f t="shared" si="8"/>
        <v>98</v>
      </c>
      <c r="S75" s="24" t="s">
        <v>1334</v>
      </c>
      <c r="T75" s="24" t="s">
        <v>1334</v>
      </c>
      <c r="U75" s="3"/>
      <c r="V75" s="25" t="s">
        <v>7754</v>
      </c>
      <c r="W75" s="25">
        <v>20517252558</v>
      </c>
      <c r="X75" s="25" t="str">
        <f>IFERROR(VLOOKUP(C_Ope_007[[#This Row],[nota_2]],Clientes_Proveedores[[Ruc / Dni]:[Razon Social]],2,0),"")</f>
        <v>COVISUR S.A.</v>
      </c>
      <c r="Y75" s="25"/>
      <c r="Z75" s="103"/>
      <c r="AA75" s="3" t="str">
        <f>IF(C_Ope_007[[#This Row],[fecha]]&gt;0,TEXT(C_Ope_007[[#This Row],[fecha]],"mmmm"),0)</f>
        <v>Marzo</v>
      </c>
      <c r="AB75" s="49"/>
    </row>
    <row r="76" spans="1:28" ht="24" x14ac:dyDescent="0.3">
      <c r="A76" s="2">
        <f>IF(C_Ope_007[[#This Row],[tipo_r]]="R",COUNTIFS($C$1:$C75,"R")+1,"")</f>
        <v>75</v>
      </c>
      <c r="B76" s="19" t="str">
        <f t="shared" si="9"/>
        <v>C_Ope_007</v>
      </c>
      <c r="C76" s="3" t="s">
        <v>1330</v>
      </c>
      <c r="D76" s="14">
        <v>45726</v>
      </c>
      <c r="E76" s="5" t="s">
        <v>5259</v>
      </c>
      <c r="F76" s="5" t="s">
        <v>1336</v>
      </c>
      <c r="G76" s="6" t="s">
        <v>978</v>
      </c>
      <c r="H76" s="6" t="s">
        <v>68</v>
      </c>
      <c r="I76" s="6" t="s">
        <v>6380</v>
      </c>
      <c r="J76" s="6">
        <v>373203</v>
      </c>
      <c r="K76" s="7" t="s">
        <v>9003</v>
      </c>
      <c r="L76" s="8">
        <v>23447</v>
      </c>
      <c r="M76" s="8" t="str">
        <f t="shared" si="10"/>
        <v>PEN</v>
      </c>
      <c r="N76" s="13"/>
      <c r="O76" s="13">
        <v>5</v>
      </c>
      <c r="P76" s="3">
        <f t="shared" si="6"/>
        <v>0</v>
      </c>
      <c r="Q76" s="3">
        <f t="shared" si="7"/>
        <v>5</v>
      </c>
      <c r="R76" s="3">
        <f t="shared" si="8"/>
        <v>93</v>
      </c>
      <c r="S76" s="24" t="s">
        <v>1334</v>
      </c>
      <c r="T76" s="24" t="s">
        <v>1334</v>
      </c>
      <c r="U76" s="3"/>
      <c r="V76" s="25" t="s">
        <v>7754</v>
      </c>
      <c r="W76" s="25">
        <v>20517252558</v>
      </c>
      <c r="X76" s="25" t="str">
        <f>IFERROR(VLOOKUP(C_Ope_007[[#This Row],[nota_2]],Clientes_Proveedores[[Ruc / Dni]:[Razon Social]],2,0),"")</f>
        <v>COVISUR S.A.</v>
      </c>
      <c r="Y76" s="25"/>
      <c r="Z76" s="103"/>
      <c r="AA76" s="3" t="str">
        <f>IF(C_Ope_007[[#This Row],[fecha]]&gt;0,TEXT(C_Ope_007[[#This Row],[fecha]],"mmmm"),0)</f>
        <v>Marzo</v>
      </c>
      <c r="AB76" s="49"/>
    </row>
    <row r="77" spans="1:28" ht="24" x14ac:dyDescent="0.3">
      <c r="A77" s="2">
        <f>IF(C_Ope_007[[#This Row],[tipo_r]]="R",COUNTIFS($C$1:$C76,"R")+1,"")</f>
        <v>76</v>
      </c>
      <c r="B77" s="19" t="str">
        <f t="shared" si="9"/>
        <v>C_Ope_007</v>
      </c>
      <c r="C77" s="3" t="s">
        <v>1330</v>
      </c>
      <c r="D77" s="14">
        <v>45729</v>
      </c>
      <c r="E77" s="5" t="s">
        <v>5259</v>
      </c>
      <c r="F77" s="5" t="s">
        <v>1336</v>
      </c>
      <c r="G77" s="6" t="s">
        <v>978</v>
      </c>
      <c r="H77" s="6" t="s">
        <v>68</v>
      </c>
      <c r="I77" s="6" t="s">
        <v>5688</v>
      </c>
      <c r="J77" s="6">
        <v>2263745</v>
      </c>
      <c r="K77" s="7" t="s">
        <v>7819</v>
      </c>
      <c r="L77" s="8">
        <v>23448</v>
      </c>
      <c r="M77" s="8" t="str">
        <f t="shared" si="10"/>
        <v>PEN</v>
      </c>
      <c r="N77" s="13"/>
      <c r="O77" s="13">
        <v>8</v>
      </c>
      <c r="P77" s="3">
        <f t="shared" si="6"/>
        <v>0</v>
      </c>
      <c r="Q77" s="3">
        <f t="shared" si="7"/>
        <v>8</v>
      </c>
      <c r="R77" s="3">
        <f t="shared" si="8"/>
        <v>85</v>
      </c>
      <c r="S77" s="24" t="s">
        <v>1334</v>
      </c>
      <c r="T77" s="24" t="s">
        <v>1334</v>
      </c>
      <c r="U77" s="3"/>
      <c r="V77" s="25" t="s">
        <v>7842</v>
      </c>
      <c r="W77" s="25">
        <v>20517252558</v>
      </c>
      <c r="X77" s="25" t="str">
        <f>IFERROR(VLOOKUP(C_Ope_007[[#This Row],[nota_2]],Clientes_Proveedores[[Ruc / Dni]:[Razon Social]],2,0),"")</f>
        <v>COVISUR S.A.</v>
      </c>
      <c r="Y77" s="25"/>
      <c r="Z77" s="103"/>
      <c r="AA77" s="3" t="str">
        <f>IF(C_Ope_007[[#This Row],[fecha]]&gt;0,TEXT(C_Ope_007[[#This Row],[fecha]],"mmmm"),0)</f>
        <v>Marzo</v>
      </c>
      <c r="AB77" s="49"/>
    </row>
    <row r="78" spans="1:28" ht="24" x14ac:dyDescent="0.3">
      <c r="A78" s="2">
        <f>IF(C_Ope_007[[#This Row],[tipo_r]]="R",COUNTIFS($C$1:$C77,"R")+1,"")</f>
        <v>77</v>
      </c>
      <c r="B78" s="19" t="str">
        <f t="shared" si="9"/>
        <v>C_Ope_007</v>
      </c>
      <c r="C78" s="3" t="s">
        <v>1330</v>
      </c>
      <c r="D78" s="14">
        <v>45729</v>
      </c>
      <c r="E78" s="5" t="s">
        <v>5259</v>
      </c>
      <c r="F78" s="5" t="s">
        <v>1336</v>
      </c>
      <c r="G78" s="6" t="s">
        <v>978</v>
      </c>
      <c r="H78" s="6" t="s">
        <v>68</v>
      </c>
      <c r="I78" s="6" t="s">
        <v>5845</v>
      </c>
      <c r="J78" s="6">
        <v>1697832</v>
      </c>
      <c r="K78" s="7" t="s">
        <v>7819</v>
      </c>
      <c r="L78" s="8">
        <v>23449</v>
      </c>
      <c r="M78" s="8" t="str">
        <f t="shared" si="10"/>
        <v>PEN</v>
      </c>
      <c r="N78" s="13"/>
      <c r="O78" s="13">
        <v>8</v>
      </c>
      <c r="P78" s="3">
        <f t="shared" si="6"/>
        <v>0</v>
      </c>
      <c r="Q78" s="3">
        <f t="shared" si="7"/>
        <v>8</v>
      </c>
      <c r="R78" s="3">
        <f t="shared" si="8"/>
        <v>77</v>
      </c>
      <c r="S78" s="24" t="s">
        <v>1334</v>
      </c>
      <c r="T78" s="24" t="s">
        <v>1334</v>
      </c>
      <c r="U78" s="3"/>
      <c r="V78" s="25" t="s">
        <v>7842</v>
      </c>
      <c r="W78" s="25">
        <v>20517252558</v>
      </c>
      <c r="X78" s="25" t="str">
        <f>IFERROR(VLOOKUP(C_Ope_007[[#This Row],[nota_2]],Clientes_Proveedores[[Ruc / Dni]:[Razon Social]],2,0),"")</f>
        <v>COVISUR S.A.</v>
      </c>
      <c r="Y78" s="25"/>
      <c r="Z78" s="103"/>
      <c r="AA78" s="3" t="str">
        <f>IF(C_Ope_007[[#This Row],[fecha]]&gt;0,TEXT(C_Ope_007[[#This Row],[fecha]],"mmmm"),0)</f>
        <v>Marzo</v>
      </c>
      <c r="AB78" s="49"/>
    </row>
    <row r="79" spans="1:28" ht="24" x14ac:dyDescent="0.3">
      <c r="A79" s="2">
        <f>IF(C_Ope_007[[#This Row],[tipo_r]]="R",COUNTIFS($C$1:$C78,"R")+1,"")</f>
        <v>78</v>
      </c>
      <c r="B79" s="19" t="str">
        <f t="shared" si="9"/>
        <v>C_Ope_007</v>
      </c>
      <c r="C79" s="3" t="s">
        <v>1330</v>
      </c>
      <c r="D79" s="14">
        <v>45730</v>
      </c>
      <c r="E79" s="5" t="s">
        <v>5259</v>
      </c>
      <c r="F79" s="5" t="s">
        <v>1336</v>
      </c>
      <c r="G79" s="6" t="s">
        <v>978</v>
      </c>
      <c r="H79" s="6" t="s">
        <v>68</v>
      </c>
      <c r="I79" s="6" t="s">
        <v>5688</v>
      </c>
      <c r="J79" s="6">
        <v>2264712</v>
      </c>
      <c r="K79" s="7" t="s">
        <v>9004</v>
      </c>
      <c r="L79" s="8">
        <v>23450</v>
      </c>
      <c r="M79" s="8" t="str">
        <f t="shared" si="10"/>
        <v>PEN</v>
      </c>
      <c r="N79" s="13"/>
      <c r="O79" s="13">
        <v>8</v>
      </c>
      <c r="P79" s="3">
        <f t="shared" si="6"/>
        <v>0</v>
      </c>
      <c r="Q79" s="3">
        <f t="shared" si="7"/>
        <v>8</v>
      </c>
      <c r="R79" s="3">
        <f t="shared" si="8"/>
        <v>69</v>
      </c>
      <c r="S79" s="24" t="s">
        <v>1334</v>
      </c>
      <c r="T79" s="24" t="s">
        <v>1334</v>
      </c>
      <c r="U79" s="3"/>
      <c r="V79" s="25" t="s">
        <v>7842</v>
      </c>
      <c r="W79" s="25">
        <v>20517252558</v>
      </c>
      <c r="X79" s="25" t="str">
        <f>IFERROR(VLOOKUP(C_Ope_007[[#This Row],[nota_2]],Clientes_Proveedores[[Ruc / Dni]:[Razon Social]],2,0),"")</f>
        <v>COVISUR S.A.</v>
      </c>
      <c r="Y79" s="25"/>
      <c r="Z79" s="103"/>
      <c r="AA79" s="3" t="str">
        <f>IF(C_Ope_007[[#This Row],[fecha]]&gt;0,TEXT(C_Ope_007[[#This Row],[fecha]],"mmmm"),0)</f>
        <v>Marzo</v>
      </c>
      <c r="AB79" s="49"/>
    </row>
    <row r="80" spans="1:28" ht="24" x14ac:dyDescent="0.3">
      <c r="A80" s="2">
        <f>IF(C_Ope_007[[#This Row],[tipo_r]]="R",COUNTIFS($C$1:$C79,"R")+1,"")</f>
        <v>79</v>
      </c>
      <c r="B80" s="19" t="str">
        <f t="shared" si="9"/>
        <v>C_Ope_007</v>
      </c>
      <c r="C80" s="3" t="s">
        <v>1330</v>
      </c>
      <c r="D80" s="14">
        <v>45730</v>
      </c>
      <c r="E80" s="5" t="s">
        <v>5259</v>
      </c>
      <c r="F80" s="5" t="s">
        <v>1336</v>
      </c>
      <c r="G80" s="6" t="s">
        <v>978</v>
      </c>
      <c r="H80" s="6" t="s">
        <v>68</v>
      </c>
      <c r="I80" s="6" t="s">
        <v>5845</v>
      </c>
      <c r="J80" s="6">
        <v>1698765</v>
      </c>
      <c r="K80" s="7" t="s">
        <v>9004</v>
      </c>
      <c r="L80" s="8">
        <v>23451</v>
      </c>
      <c r="M80" s="8" t="str">
        <f t="shared" si="10"/>
        <v>PEN</v>
      </c>
      <c r="N80" s="13"/>
      <c r="O80" s="13">
        <v>8</v>
      </c>
      <c r="P80" s="3">
        <f t="shared" si="6"/>
        <v>0</v>
      </c>
      <c r="Q80" s="3">
        <f t="shared" si="7"/>
        <v>8</v>
      </c>
      <c r="R80" s="3">
        <f t="shared" si="8"/>
        <v>61</v>
      </c>
      <c r="S80" s="24" t="s">
        <v>1334</v>
      </c>
      <c r="T80" s="24" t="s">
        <v>1334</v>
      </c>
      <c r="U80" s="3"/>
      <c r="V80" s="25" t="s">
        <v>7842</v>
      </c>
      <c r="W80" s="25">
        <v>20517252558</v>
      </c>
      <c r="X80" s="25" t="str">
        <f>IFERROR(VLOOKUP(C_Ope_007[[#This Row],[nota_2]],Clientes_Proveedores[[Ruc / Dni]:[Razon Social]],2,0),"")</f>
        <v>COVISUR S.A.</v>
      </c>
      <c r="Y80" s="25"/>
      <c r="Z80" s="103"/>
      <c r="AA80" s="3" t="str">
        <f>IF(C_Ope_007[[#This Row],[fecha]]&gt;0,TEXT(C_Ope_007[[#This Row],[fecha]],"mmmm"),0)</f>
        <v>Marzo</v>
      </c>
      <c r="AB80" s="49"/>
    </row>
    <row r="81" spans="1:28" ht="36" x14ac:dyDescent="0.3">
      <c r="A81" s="2">
        <f>IF(C_Ope_007[[#This Row],[tipo_r]]="R",COUNTIFS($C$1:$C80,"R")+1,"")</f>
        <v>80</v>
      </c>
      <c r="B81" s="19" t="str">
        <f t="shared" si="9"/>
        <v>C_Ope_007</v>
      </c>
      <c r="C81" s="3" t="s">
        <v>1330</v>
      </c>
      <c r="D81" s="14">
        <v>45727</v>
      </c>
      <c r="E81" s="5" t="s">
        <v>5259</v>
      </c>
      <c r="F81" s="5" t="s">
        <v>1336</v>
      </c>
      <c r="G81" s="6" t="s">
        <v>227</v>
      </c>
      <c r="H81" s="6" t="s">
        <v>68</v>
      </c>
      <c r="I81" s="6" t="s">
        <v>1390</v>
      </c>
      <c r="J81" s="6">
        <v>129231</v>
      </c>
      <c r="K81" s="7" t="s">
        <v>9005</v>
      </c>
      <c r="L81" s="8">
        <v>23452</v>
      </c>
      <c r="M81" s="8" t="str">
        <f t="shared" si="10"/>
        <v>PEN</v>
      </c>
      <c r="N81" s="13"/>
      <c r="O81" s="13">
        <v>10</v>
      </c>
      <c r="P81" s="3">
        <f t="shared" si="6"/>
        <v>0</v>
      </c>
      <c r="Q81" s="3">
        <f t="shared" si="7"/>
        <v>10</v>
      </c>
      <c r="R81" s="3">
        <f t="shared" si="8"/>
        <v>51</v>
      </c>
      <c r="S81" s="24" t="s">
        <v>1334</v>
      </c>
      <c r="T81" s="24" t="s">
        <v>1334</v>
      </c>
      <c r="U81" s="3"/>
      <c r="V81" s="25" t="s">
        <v>7754</v>
      </c>
      <c r="W81" s="25">
        <v>20124952850</v>
      </c>
      <c r="X81" s="25" t="str">
        <f>IFERROR(VLOOKUP(C_Ope_007[[#This Row],[nota_2]],Clientes_Proveedores[[Ruc / Dni]:[Razon Social]],2,0),"")</f>
        <v>ALIMENTOS Y SERVICIOS AGROPECUARIOS SRL.</v>
      </c>
      <c r="Y81" s="25"/>
      <c r="Z81" s="103"/>
      <c r="AA81" s="3" t="str">
        <f>IF(C_Ope_007[[#This Row],[fecha]]&gt;0,TEXT(C_Ope_007[[#This Row],[fecha]],"mmmm"),0)</f>
        <v>Marzo</v>
      </c>
      <c r="AB81" s="49"/>
    </row>
    <row r="82" spans="1:28" ht="36" x14ac:dyDescent="0.3">
      <c r="A82" s="2">
        <f>IF(C_Ope_007[[#This Row],[tipo_r]]="R",COUNTIFS($C$1:$C81,"R")+1,"")</f>
        <v>81</v>
      </c>
      <c r="B82" s="19" t="str">
        <f t="shared" si="9"/>
        <v>C_Ope_007</v>
      </c>
      <c r="C82" s="3" t="s">
        <v>1330</v>
      </c>
      <c r="D82" s="14">
        <v>45728</v>
      </c>
      <c r="E82" s="5" t="s">
        <v>5259</v>
      </c>
      <c r="F82" s="5" t="s">
        <v>1336</v>
      </c>
      <c r="G82" s="6" t="s">
        <v>227</v>
      </c>
      <c r="H82" s="6" t="s">
        <v>68</v>
      </c>
      <c r="I82" s="6" t="s">
        <v>1390</v>
      </c>
      <c r="J82" s="6">
        <v>129248</v>
      </c>
      <c r="K82" s="7" t="s">
        <v>9006</v>
      </c>
      <c r="L82" s="8">
        <v>23453</v>
      </c>
      <c r="M82" s="8" t="str">
        <f t="shared" si="10"/>
        <v>PEN</v>
      </c>
      <c r="N82" s="13"/>
      <c r="O82" s="13">
        <v>10</v>
      </c>
      <c r="P82" s="3">
        <f t="shared" si="6"/>
        <v>0</v>
      </c>
      <c r="Q82" s="3">
        <f t="shared" si="7"/>
        <v>10</v>
      </c>
      <c r="R82" s="3">
        <f t="shared" si="8"/>
        <v>41</v>
      </c>
      <c r="S82" s="24" t="s">
        <v>1334</v>
      </c>
      <c r="T82" s="24" t="s">
        <v>1334</v>
      </c>
      <c r="U82" s="3"/>
      <c r="V82" s="25" t="s">
        <v>8072</v>
      </c>
      <c r="W82" s="25">
        <v>20124952850</v>
      </c>
      <c r="X82" s="25" t="str">
        <f>IFERROR(VLOOKUP(C_Ope_007[[#This Row],[nota_2]],Clientes_Proveedores[[Ruc / Dni]:[Razon Social]],2,0),"")</f>
        <v>ALIMENTOS Y SERVICIOS AGROPECUARIOS SRL.</v>
      </c>
      <c r="Y82" s="25"/>
      <c r="Z82" s="103"/>
      <c r="AA82" s="3" t="str">
        <f>IF(C_Ope_007[[#This Row],[fecha]]&gt;0,TEXT(C_Ope_007[[#This Row],[fecha]],"mmmm"),0)</f>
        <v>Marzo</v>
      </c>
      <c r="AB82" s="49"/>
    </row>
    <row r="83" spans="1:28" ht="36" x14ac:dyDescent="0.3">
      <c r="A83" s="2">
        <f>IF(C_Ope_007[[#This Row],[tipo_r]]="R",COUNTIFS($C$1:$C82,"R")+1,"")</f>
        <v>82</v>
      </c>
      <c r="B83" s="19" t="str">
        <f t="shared" si="9"/>
        <v>C_Ope_007</v>
      </c>
      <c r="C83" s="3" t="s">
        <v>1330</v>
      </c>
      <c r="D83" s="14">
        <v>45728</v>
      </c>
      <c r="E83" s="5" t="s">
        <v>5259</v>
      </c>
      <c r="F83" s="5" t="s">
        <v>1336</v>
      </c>
      <c r="G83" s="6" t="s">
        <v>227</v>
      </c>
      <c r="H83" s="6" t="s">
        <v>68</v>
      </c>
      <c r="I83" s="6" t="s">
        <v>1390</v>
      </c>
      <c r="J83" s="6">
        <v>129256</v>
      </c>
      <c r="K83" s="7" t="s">
        <v>9007</v>
      </c>
      <c r="L83" s="8">
        <v>23454</v>
      </c>
      <c r="M83" s="8" t="str">
        <f t="shared" si="10"/>
        <v>PEN</v>
      </c>
      <c r="N83" s="13"/>
      <c r="O83" s="13">
        <v>10</v>
      </c>
      <c r="P83" s="3">
        <f t="shared" si="6"/>
        <v>0</v>
      </c>
      <c r="Q83" s="3">
        <f t="shared" si="7"/>
        <v>10</v>
      </c>
      <c r="R83" s="3">
        <f t="shared" si="8"/>
        <v>31</v>
      </c>
      <c r="S83" s="24" t="s">
        <v>1334</v>
      </c>
      <c r="T83" s="24" t="s">
        <v>1334</v>
      </c>
      <c r="U83" s="3"/>
      <c r="V83" s="25" t="s">
        <v>8072</v>
      </c>
      <c r="W83" s="25">
        <v>20124952850</v>
      </c>
      <c r="X83" s="25" t="str">
        <f>IFERROR(VLOOKUP(C_Ope_007[[#This Row],[nota_2]],Clientes_Proveedores[[Ruc / Dni]:[Razon Social]],2,0),"")</f>
        <v>ALIMENTOS Y SERVICIOS AGROPECUARIOS SRL.</v>
      </c>
      <c r="Y83" s="25"/>
      <c r="Z83" s="103"/>
      <c r="AA83" s="3" t="str">
        <f>IF(C_Ope_007[[#This Row],[fecha]]&gt;0,TEXT(C_Ope_007[[#This Row],[fecha]],"mmmm"),0)</f>
        <v>Marzo</v>
      </c>
      <c r="AB83" s="49"/>
    </row>
    <row r="84" spans="1:28" ht="24" x14ac:dyDescent="0.3">
      <c r="A84" s="2">
        <f>IF(C_Ope_007[[#This Row],[tipo_r]]="R",COUNTIFS($C$1:$C83,"R")+1,"")</f>
        <v>83</v>
      </c>
      <c r="B84" s="19" t="str">
        <f t="shared" si="9"/>
        <v>C_Ope_007</v>
      </c>
      <c r="C84" s="3" t="s">
        <v>1330</v>
      </c>
      <c r="D84" s="14">
        <v>45726</v>
      </c>
      <c r="E84" s="5" t="s">
        <v>5259</v>
      </c>
      <c r="F84" s="5" t="s">
        <v>1336</v>
      </c>
      <c r="G84" s="6"/>
      <c r="H84" s="6" t="s">
        <v>126</v>
      </c>
      <c r="I84" s="6"/>
      <c r="J84" s="6"/>
      <c r="K84" s="7" t="s">
        <v>9008</v>
      </c>
      <c r="L84" s="8">
        <v>23586</v>
      </c>
      <c r="M84" s="8" t="str">
        <f t="shared" si="10"/>
        <v>PEN</v>
      </c>
      <c r="N84" s="13"/>
      <c r="O84" s="13">
        <v>12</v>
      </c>
      <c r="P84" s="3">
        <f t="shared" si="6"/>
        <v>0</v>
      </c>
      <c r="Q84" s="3">
        <f t="shared" si="7"/>
        <v>12</v>
      </c>
      <c r="R84" s="3">
        <f t="shared" si="8"/>
        <v>19</v>
      </c>
      <c r="S84" s="24" t="s">
        <v>1334</v>
      </c>
      <c r="T84" s="24" t="s">
        <v>1334</v>
      </c>
      <c r="U84" s="3"/>
      <c r="V84" s="25" t="s">
        <v>8072</v>
      </c>
      <c r="W84" s="25"/>
      <c r="X84" s="25" t="str">
        <f>IFERROR(VLOOKUP(C_Ope_007[[#This Row],[nota_2]],Clientes_Proveedores[[Ruc / Dni]:[Razon Social]],2,0),"")</f>
        <v/>
      </c>
      <c r="Y84" s="25"/>
      <c r="Z84" s="103"/>
      <c r="AA84" s="3" t="str">
        <f>IF(C_Ope_007[[#This Row],[fecha]]&gt;0,TEXT(C_Ope_007[[#This Row],[fecha]],"mmmm"),0)</f>
        <v>Marzo</v>
      </c>
      <c r="AB84" s="49"/>
    </row>
    <row r="85" spans="1:28" ht="24" x14ac:dyDescent="0.3">
      <c r="A85" s="2">
        <f>IF(C_Ope_007[[#This Row],[tipo_r]]="R",COUNTIFS($C$1:$C84,"R")+1,"")</f>
        <v>84</v>
      </c>
      <c r="B85" s="19" t="str">
        <f t="shared" si="9"/>
        <v>C_Ope_007</v>
      </c>
      <c r="C85" s="3" t="s">
        <v>1330</v>
      </c>
      <c r="D85" s="14">
        <v>45730</v>
      </c>
      <c r="E85" s="5" t="s">
        <v>5259</v>
      </c>
      <c r="F85" s="5" t="s">
        <v>1336</v>
      </c>
      <c r="G85" s="6" t="s">
        <v>999</v>
      </c>
      <c r="H85" s="6" t="s">
        <v>68</v>
      </c>
      <c r="I85" s="6" t="s">
        <v>1374</v>
      </c>
      <c r="J85" s="6">
        <v>16829</v>
      </c>
      <c r="K85" s="7" t="s">
        <v>7777</v>
      </c>
      <c r="L85" s="8">
        <v>23455</v>
      </c>
      <c r="M85" s="8" t="str">
        <f t="shared" si="10"/>
        <v>PEN</v>
      </c>
      <c r="N85" s="13"/>
      <c r="O85" s="13">
        <v>35</v>
      </c>
      <c r="P85" s="3">
        <f t="shared" si="6"/>
        <v>0</v>
      </c>
      <c r="Q85" s="3">
        <f t="shared" si="7"/>
        <v>35</v>
      </c>
      <c r="R85" s="3">
        <f t="shared" si="8"/>
        <v>-16</v>
      </c>
      <c r="S85" s="24" t="s">
        <v>1334</v>
      </c>
      <c r="T85" s="24" t="s">
        <v>1334</v>
      </c>
      <c r="U85" s="3"/>
      <c r="V85" s="25" t="s">
        <v>7842</v>
      </c>
      <c r="W85" s="25">
        <v>10705628331</v>
      </c>
      <c r="X85" s="25" t="str">
        <f>IFERROR(VLOOKUP(C_Ope_007[[#This Row],[nota_2]],Clientes_Proveedores[[Ruc / Dni]:[Razon Social]],2,0),"")</f>
        <v>LARICO APAZA NANCY ROSSMARY</v>
      </c>
      <c r="Y85" s="25"/>
      <c r="Z85" s="103"/>
      <c r="AA85" s="3" t="str">
        <f>IF(C_Ope_007[[#This Row],[fecha]]&gt;0,TEXT(C_Ope_007[[#This Row],[fecha]],"mmmm"),0)</f>
        <v>Marzo</v>
      </c>
      <c r="AB85" s="49"/>
    </row>
    <row r="86" spans="1:28" ht="24" x14ac:dyDescent="0.3">
      <c r="A86" s="2">
        <f>IF(C_Ope_007[[#This Row],[tipo_r]]="R",COUNTIFS($C$1:$C85,"R")+1,"")</f>
        <v>85</v>
      </c>
      <c r="B86" s="19" t="str">
        <f t="shared" si="9"/>
        <v>C_Ope_007</v>
      </c>
      <c r="C86" s="3" t="s">
        <v>1330</v>
      </c>
      <c r="D86" s="14">
        <v>45733</v>
      </c>
      <c r="E86" s="5" t="s">
        <v>7514</v>
      </c>
      <c r="F86" s="5" t="s">
        <v>1303</v>
      </c>
      <c r="G86" s="6" t="s">
        <v>692</v>
      </c>
      <c r="H86" s="6"/>
      <c r="I86" s="6"/>
      <c r="J86" s="6"/>
      <c r="K86" s="7" t="s">
        <v>7516</v>
      </c>
      <c r="L86" s="8">
        <v>23458</v>
      </c>
      <c r="M86" s="8" t="str">
        <f t="shared" si="10"/>
        <v>PEN</v>
      </c>
      <c r="N86" s="13"/>
      <c r="O86" s="13">
        <v>110</v>
      </c>
      <c r="P86" s="3">
        <f t="shared" si="6"/>
        <v>110</v>
      </c>
      <c r="Q86" s="3">
        <f t="shared" si="7"/>
        <v>0</v>
      </c>
      <c r="R86" s="3">
        <f t="shared" si="8"/>
        <v>94</v>
      </c>
      <c r="S86" s="24" t="s">
        <v>1334</v>
      </c>
      <c r="T86" s="24" t="s">
        <v>1334</v>
      </c>
      <c r="U86" s="3"/>
      <c r="V86" s="25"/>
      <c r="W86" s="25"/>
      <c r="X86" s="25" t="str">
        <f>IFERROR(VLOOKUP(C_Ope_007[[#This Row],[nota_2]],Clientes_Proveedores[[Ruc / Dni]:[Razon Social]],2,0),"")</f>
        <v/>
      </c>
      <c r="Y86" s="25"/>
      <c r="Z86" s="103"/>
      <c r="AA86" s="3" t="str">
        <f>IF(C_Ope_007[[#This Row],[fecha]]&gt;0,TEXT(C_Ope_007[[#This Row],[fecha]],"mmmm"),0)</f>
        <v>Marzo</v>
      </c>
      <c r="AB86" s="49"/>
    </row>
    <row r="87" spans="1:28" ht="36" x14ac:dyDescent="0.3">
      <c r="A87" s="2">
        <f>IF(C_Ope_007[[#This Row],[tipo_r]]="R",COUNTIFS($C$1:$C86,"R")+1,"")</f>
        <v>86</v>
      </c>
      <c r="B87" s="19" t="str">
        <f t="shared" si="9"/>
        <v>C_Ope_007</v>
      </c>
      <c r="C87" s="3" t="s">
        <v>1330</v>
      </c>
      <c r="D87" s="14">
        <v>45733</v>
      </c>
      <c r="E87" s="5" t="s">
        <v>5259</v>
      </c>
      <c r="F87" s="5" t="s">
        <v>1336</v>
      </c>
      <c r="G87" s="6" t="s">
        <v>978</v>
      </c>
      <c r="H87" s="6" t="s">
        <v>68</v>
      </c>
      <c r="I87" s="6" t="s">
        <v>6203</v>
      </c>
      <c r="J87" s="6">
        <v>1993070</v>
      </c>
      <c r="K87" s="7" t="s">
        <v>9009</v>
      </c>
      <c r="L87" s="8">
        <v>23624</v>
      </c>
      <c r="M87" s="8" t="str">
        <f t="shared" si="10"/>
        <v>PEN</v>
      </c>
      <c r="N87" s="13"/>
      <c r="O87" s="13">
        <v>8</v>
      </c>
      <c r="P87" s="3">
        <f t="shared" si="6"/>
        <v>0</v>
      </c>
      <c r="Q87" s="3">
        <f t="shared" si="7"/>
        <v>8</v>
      </c>
      <c r="R87" s="3">
        <f t="shared" si="8"/>
        <v>86</v>
      </c>
      <c r="S87" s="24" t="s">
        <v>1334</v>
      </c>
      <c r="T87" s="24" t="s">
        <v>1334</v>
      </c>
      <c r="U87" s="3"/>
      <c r="V87" s="25" t="s">
        <v>7842</v>
      </c>
      <c r="W87" s="25">
        <v>20517252558</v>
      </c>
      <c r="X87" s="25" t="str">
        <f>IFERROR(VLOOKUP(C_Ope_007[[#This Row],[nota_2]],Clientes_Proveedores[[Ruc / Dni]:[Razon Social]],2,0),"")</f>
        <v>COVISUR S.A.</v>
      </c>
      <c r="Y87" s="25"/>
      <c r="Z87" s="103"/>
      <c r="AA87" s="3" t="str">
        <f>IF(C_Ope_007[[#This Row],[fecha]]&gt;0,TEXT(C_Ope_007[[#This Row],[fecha]],"mmmm"),0)</f>
        <v>Marzo</v>
      </c>
      <c r="AB87" s="49"/>
    </row>
    <row r="88" spans="1:28" x14ac:dyDescent="0.3">
      <c r="A88" s="2">
        <f>IF(C_Ope_007[[#This Row],[tipo_r]]="R",COUNTIFS($C$1:$C87,"R")+1,"")</f>
        <v>87</v>
      </c>
      <c r="B88" s="19" t="str">
        <f t="shared" si="9"/>
        <v>C_Ope_007</v>
      </c>
      <c r="C88" s="3" t="s">
        <v>1330</v>
      </c>
      <c r="D88" s="14">
        <v>45734</v>
      </c>
      <c r="E88" s="5" t="s">
        <v>5259</v>
      </c>
      <c r="F88" s="5" t="s">
        <v>1336</v>
      </c>
      <c r="G88" s="6" t="s">
        <v>978</v>
      </c>
      <c r="H88" s="6" t="s">
        <v>68</v>
      </c>
      <c r="I88" s="6" t="s">
        <v>5688</v>
      </c>
      <c r="J88" s="6">
        <v>2269122</v>
      </c>
      <c r="K88" s="7" t="s">
        <v>9010</v>
      </c>
      <c r="L88" s="8">
        <v>23625</v>
      </c>
      <c r="M88" s="8" t="str">
        <f t="shared" si="10"/>
        <v>PEN</v>
      </c>
      <c r="N88" s="13"/>
      <c r="O88" s="13">
        <v>8</v>
      </c>
      <c r="P88" s="3">
        <f t="shared" si="6"/>
        <v>0</v>
      </c>
      <c r="Q88" s="3">
        <f t="shared" si="7"/>
        <v>8</v>
      </c>
      <c r="R88" s="3">
        <f t="shared" si="8"/>
        <v>78</v>
      </c>
      <c r="S88" s="24" t="s">
        <v>1334</v>
      </c>
      <c r="T88" s="24" t="s">
        <v>1334</v>
      </c>
      <c r="U88" s="3"/>
      <c r="V88" s="25" t="s">
        <v>7842</v>
      </c>
      <c r="W88" s="25">
        <v>20517252558</v>
      </c>
      <c r="X88" s="25" t="str">
        <f>IFERROR(VLOOKUP(C_Ope_007[[#This Row],[nota_2]],Clientes_Proveedores[[Ruc / Dni]:[Razon Social]],2,0),"")</f>
        <v>COVISUR S.A.</v>
      </c>
      <c r="Y88" s="25"/>
      <c r="Z88" s="103"/>
      <c r="AA88" s="3" t="str">
        <f>IF(C_Ope_007[[#This Row],[fecha]]&gt;0,TEXT(C_Ope_007[[#This Row],[fecha]],"mmmm"),0)</f>
        <v>Marzo</v>
      </c>
      <c r="AB88" s="49"/>
    </row>
    <row r="89" spans="1:28" x14ac:dyDescent="0.3">
      <c r="A89" s="2">
        <f>IF(C_Ope_007[[#This Row],[tipo_r]]="R",COUNTIFS($C$1:$C88,"R")+1,"")</f>
        <v>88</v>
      </c>
      <c r="B89" s="19" t="str">
        <f t="shared" si="9"/>
        <v>C_Ope_007</v>
      </c>
      <c r="C89" s="3" t="s">
        <v>1330</v>
      </c>
      <c r="D89" s="14">
        <v>45734</v>
      </c>
      <c r="E89" s="5" t="s">
        <v>5259</v>
      </c>
      <c r="F89" s="5" t="s">
        <v>1336</v>
      </c>
      <c r="G89" s="6" t="s">
        <v>978</v>
      </c>
      <c r="H89" s="6" t="s">
        <v>68</v>
      </c>
      <c r="I89" s="6" t="s">
        <v>6203</v>
      </c>
      <c r="J89" s="6">
        <v>1994047</v>
      </c>
      <c r="K89" s="7" t="s">
        <v>9010</v>
      </c>
      <c r="L89" s="8">
        <v>23626</v>
      </c>
      <c r="M89" s="8" t="str">
        <f t="shared" si="10"/>
        <v>PEN</v>
      </c>
      <c r="N89" s="13"/>
      <c r="O89" s="13">
        <v>8</v>
      </c>
      <c r="P89" s="3">
        <f t="shared" si="6"/>
        <v>0</v>
      </c>
      <c r="Q89" s="3">
        <f t="shared" si="7"/>
        <v>8</v>
      </c>
      <c r="R89" s="3">
        <f t="shared" si="8"/>
        <v>70</v>
      </c>
      <c r="S89" s="24" t="s">
        <v>1334</v>
      </c>
      <c r="T89" s="24" t="s">
        <v>1334</v>
      </c>
      <c r="U89" s="3"/>
      <c r="V89" s="25" t="s">
        <v>7842</v>
      </c>
      <c r="W89" s="25">
        <v>20517252558</v>
      </c>
      <c r="X89" s="25" t="str">
        <f>IFERROR(VLOOKUP(C_Ope_007[[#This Row],[nota_2]],Clientes_Proveedores[[Ruc / Dni]:[Razon Social]],2,0),"")</f>
        <v>COVISUR S.A.</v>
      </c>
      <c r="Y89" s="25"/>
      <c r="Z89" s="103"/>
      <c r="AA89" s="3" t="str">
        <f>IF(C_Ope_007[[#This Row],[fecha]]&gt;0,TEXT(C_Ope_007[[#This Row],[fecha]],"mmmm"),0)</f>
        <v>Marzo</v>
      </c>
      <c r="AB89" s="49"/>
    </row>
    <row r="90" spans="1:28" ht="36" x14ac:dyDescent="0.3">
      <c r="A90" s="2">
        <f>IF(C_Ope_007[[#This Row],[tipo_r]]="R",COUNTIFS($C$1:$C89,"R")+1,"")</f>
        <v>89</v>
      </c>
      <c r="B90" s="19" t="str">
        <f t="shared" si="9"/>
        <v>C_Ope_007</v>
      </c>
      <c r="C90" s="3" t="s">
        <v>1330</v>
      </c>
      <c r="D90" s="14">
        <v>45735</v>
      </c>
      <c r="E90" s="5" t="s">
        <v>5259</v>
      </c>
      <c r="F90" s="5" t="s">
        <v>1336</v>
      </c>
      <c r="G90" s="6" t="s">
        <v>978</v>
      </c>
      <c r="H90" s="6" t="s">
        <v>68</v>
      </c>
      <c r="I90" s="6" t="s">
        <v>5688</v>
      </c>
      <c r="J90" s="6">
        <v>2270271</v>
      </c>
      <c r="K90" s="7" t="s">
        <v>9011</v>
      </c>
      <c r="L90" s="8">
        <v>23627</v>
      </c>
      <c r="M90" s="8" t="str">
        <f t="shared" si="10"/>
        <v>PEN</v>
      </c>
      <c r="N90" s="13"/>
      <c r="O90" s="13">
        <v>8</v>
      </c>
      <c r="P90" s="3">
        <f t="shared" si="6"/>
        <v>0</v>
      </c>
      <c r="Q90" s="3">
        <f t="shared" si="7"/>
        <v>8</v>
      </c>
      <c r="R90" s="3">
        <f t="shared" si="8"/>
        <v>62</v>
      </c>
      <c r="S90" s="24" t="s">
        <v>1334</v>
      </c>
      <c r="T90" s="24" t="s">
        <v>1334</v>
      </c>
      <c r="U90" s="3"/>
      <c r="V90" s="25" t="s">
        <v>7761</v>
      </c>
      <c r="W90" s="25">
        <v>20517252558</v>
      </c>
      <c r="X90" s="25" t="str">
        <f>IFERROR(VLOOKUP(C_Ope_007[[#This Row],[nota_2]],Clientes_Proveedores[[Ruc / Dni]:[Razon Social]],2,0),"")</f>
        <v>COVISUR S.A.</v>
      </c>
      <c r="Y90" s="25"/>
      <c r="Z90" s="103"/>
      <c r="AA90" s="3" t="str">
        <f>IF(C_Ope_007[[#This Row],[fecha]]&gt;0,TEXT(C_Ope_007[[#This Row],[fecha]],"mmmm"),0)</f>
        <v>Marzo</v>
      </c>
      <c r="AB90" s="49"/>
    </row>
    <row r="91" spans="1:28" ht="36" x14ac:dyDescent="0.3">
      <c r="A91" s="2">
        <f>IF(C_Ope_007[[#This Row],[tipo_r]]="R",COUNTIFS($C$1:$C90,"R")+1,"")</f>
        <v>90</v>
      </c>
      <c r="B91" s="19" t="str">
        <f t="shared" si="9"/>
        <v>C_Ope_007</v>
      </c>
      <c r="C91" s="3" t="s">
        <v>1330</v>
      </c>
      <c r="D91" s="14">
        <v>45734</v>
      </c>
      <c r="E91" s="5" t="s">
        <v>5259</v>
      </c>
      <c r="F91" s="5" t="s">
        <v>1336</v>
      </c>
      <c r="G91" s="6" t="s">
        <v>682</v>
      </c>
      <c r="H91" s="6" t="s">
        <v>68</v>
      </c>
      <c r="I91" s="6" t="s">
        <v>1353</v>
      </c>
      <c r="J91" s="6">
        <v>15897</v>
      </c>
      <c r="K91" s="7" t="s">
        <v>8012</v>
      </c>
      <c r="L91" s="8">
        <v>23638</v>
      </c>
      <c r="M91" s="8" t="str">
        <f t="shared" si="10"/>
        <v>PEN</v>
      </c>
      <c r="N91" s="13"/>
      <c r="O91" s="13">
        <v>20</v>
      </c>
      <c r="P91" s="3">
        <f t="shared" si="6"/>
        <v>0</v>
      </c>
      <c r="Q91" s="3">
        <f t="shared" si="7"/>
        <v>20</v>
      </c>
      <c r="R91" s="3">
        <f t="shared" si="8"/>
        <v>42</v>
      </c>
      <c r="S91" s="24" t="s">
        <v>1334</v>
      </c>
      <c r="T91" s="24" t="s">
        <v>1334</v>
      </c>
      <c r="U91" s="3"/>
      <c r="V91" s="25" t="s">
        <v>7842</v>
      </c>
      <c r="W91" s="25">
        <v>20259858934</v>
      </c>
      <c r="X91" s="25" t="str">
        <f>IFERROR(VLOOKUP(C_Ope_007[[#This Row],[nota_2]],Clientes_Proveedores[[Ruc / Dni]:[Razon Social]],2,0),"")</f>
        <v>COMERCIALIZACION Y SERVICIOS EL EDEN S.A.C.</v>
      </c>
      <c r="Y91" s="25"/>
      <c r="Z91" s="103"/>
      <c r="AA91" s="3" t="str">
        <f>IF(C_Ope_007[[#This Row],[fecha]]&gt;0,TEXT(C_Ope_007[[#This Row],[fecha]],"mmmm"),0)</f>
        <v>Marzo</v>
      </c>
      <c r="AB91" s="49"/>
    </row>
    <row r="92" spans="1:28" ht="36" x14ac:dyDescent="0.3">
      <c r="A92" s="2">
        <f>IF(C_Ope_007[[#This Row],[tipo_r]]="R",COUNTIFS($C$1:$C91,"R")+1,"")</f>
        <v>91</v>
      </c>
      <c r="B92" s="19" t="str">
        <f t="shared" si="9"/>
        <v>C_Ope_007</v>
      </c>
      <c r="C92" s="3" t="s">
        <v>1330</v>
      </c>
      <c r="D92" s="14">
        <v>45736</v>
      </c>
      <c r="E92" s="5" t="s">
        <v>5259</v>
      </c>
      <c r="F92" s="5" t="s">
        <v>1336</v>
      </c>
      <c r="G92" s="6" t="s">
        <v>227</v>
      </c>
      <c r="H92" s="6" t="s">
        <v>68</v>
      </c>
      <c r="I92" s="6" t="s">
        <v>1390</v>
      </c>
      <c r="J92" s="6">
        <v>129559</v>
      </c>
      <c r="K92" s="7" t="s">
        <v>9012</v>
      </c>
      <c r="L92" s="8">
        <v>23637</v>
      </c>
      <c r="M92" s="8" t="str">
        <f t="shared" si="10"/>
        <v>PEN</v>
      </c>
      <c r="N92" s="13"/>
      <c r="O92" s="13">
        <v>10</v>
      </c>
      <c r="P92" s="3">
        <f t="shared" si="6"/>
        <v>0</v>
      </c>
      <c r="Q92" s="3">
        <f t="shared" si="7"/>
        <v>10</v>
      </c>
      <c r="R92" s="3">
        <f t="shared" si="8"/>
        <v>32</v>
      </c>
      <c r="S92" s="24" t="s">
        <v>1334</v>
      </c>
      <c r="T92" s="24" t="s">
        <v>1334</v>
      </c>
      <c r="U92" s="3"/>
      <c r="V92" s="25" t="s">
        <v>8072</v>
      </c>
      <c r="W92" s="25">
        <v>20124952850</v>
      </c>
      <c r="X92" s="25" t="str">
        <f>IFERROR(VLOOKUP(C_Ope_007[[#This Row],[nota_2]],Clientes_Proveedores[[Ruc / Dni]:[Razon Social]],2,0),"")</f>
        <v>ALIMENTOS Y SERVICIOS AGROPECUARIOS SRL.</v>
      </c>
      <c r="Y92" s="25"/>
      <c r="Z92" s="103"/>
      <c r="AA92" s="3" t="str">
        <f>IF(C_Ope_007[[#This Row],[fecha]]&gt;0,TEXT(C_Ope_007[[#This Row],[fecha]],"mmmm"),0)</f>
        <v>Marzo</v>
      </c>
      <c r="AB92" s="49"/>
    </row>
    <row r="93" spans="1:28" x14ac:dyDescent="0.3">
      <c r="A93" s="2">
        <f>IF(C_Ope_007[[#This Row],[tipo_r]]="R",COUNTIFS($C$1:$C92,"R")+1,"")</f>
        <v>92</v>
      </c>
      <c r="B93" s="19" t="str">
        <f t="shared" si="9"/>
        <v>C_Ope_007</v>
      </c>
      <c r="C93" s="3" t="s">
        <v>1330</v>
      </c>
      <c r="D93" s="14">
        <v>45736</v>
      </c>
      <c r="E93" s="5" t="s">
        <v>5259</v>
      </c>
      <c r="F93" s="5" t="s">
        <v>1336</v>
      </c>
      <c r="G93" s="6"/>
      <c r="H93" s="6" t="s">
        <v>126</v>
      </c>
      <c r="I93" s="6"/>
      <c r="J93" s="6"/>
      <c r="K93" s="7" t="s">
        <v>9013</v>
      </c>
      <c r="L93" s="8">
        <v>23640</v>
      </c>
      <c r="M93" s="8" t="str">
        <f t="shared" si="10"/>
        <v>PEN</v>
      </c>
      <c r="N93" s="13"/>
      <c r="O93" s="13">
        <v>15</v>
      </c>
      <c r="P93" s="3">
        <f t="shared" si="6"/>
        <v>0</v>
      </c>
      <c r="Q93" s="3">
        <f t="shared" si="7"/>
        <v>15</v>
      </c>
      <c r="R93" s="3">
        <f t="shared" si="8"/>
        <v>17</v>
      </c>
      <c r="S93" s="24" t="s">
        <v>1334</v>
      </c>
      <c r="T93" s="24" t="s">
        <v>1334</v>
      </c>
      <c r="U93" s="3"/>
      <c r="V93" s="25" t="s">
        <v>8072</v>
      </c>
      <c r="W93" s="25"/>
      <c r="X93" s="25" t="str">
        <f>IFERROR(VLOOKUP(C_Ope_007[[#This Row],[nota_2]],Clientes_Proveedores[[Ruc / Dni]:[Razon Social]],2,0),"")</f>
        <v/>
      </c>
      <c r="Y93" s="25"/>
      <c r="Z93" s="103"/>
      <c r="AA93" s="3" t="str">
        <f>IF(C_Ope_007[[#This Row],[fecha]]&gt;0,TEXT(C_Ope_007[[#This Row],[fecha]],"mmmm"),0)</f>
        <v>Marzo</v>
      </c>
      <c r="AB93" s="49"/>
    </row>
    <row r="94" spans="1:28" ht="24" x14ac:dyDescent="0.3">
      <c r="A94" s="2">
        <f>IF(C_Ope_007[[#This Row],[tipo_r]]="R",COUNTIFS($C$1:$C93,"R")+1,"")</f>
        <v>93</v>
      </c>
      <c r="B94" s="19" t="str">
        <f t="shared" si="9"/>
        <v>C_Ope_007</v>
      </c>
      <c r="C94" s="3" t="s">
        <v>1330</v>
      </c>
      <c r="D94" s="14">
        <v>45747</v>
      </c>
      <c r="E94" s="5" t="s">
        <v>7514</v>
      </c>
      <c r="F94" s="5" t="s">
        <v>1303</v>
      </c>
      <c r="G94" s="6" t="s">
        <v>692</v>
      </c>
      <c r="H94" s="6"/>
      <c r="I94" s="6"/>
      <c r="J94" s="6"/>
      <c r="K94" s="7" t="s">
        <v>7516</v>
      </c>
      <c r="L94" s="8">
        <v>23662</v>
      </c>
      <c r="M94" s="8" t="str">
        <f t="shared" si="10"/>
        <v>PEN</v>
      </c>
      <c r="N94" s="13"/>
      <c r="O94" s="13">
        <v>220</v>
      </c>
      <c r="P94" s="3">
        <f t="shared" si="6"/>
        <v>220</v>
      </c>
      <c r="Q94" s="3">
        <f t="shared" si="7"/>
        <v>0</v>
      </c>
      <c r="R94" s="3">
        <f t="shared" si="8"/>
        <v>237</v>
      </c>
      <c r="S94" s="24" t="s">
        <v>1334</v>
      </c>
      <c r="T94" s="24" t="s">
        <v>1334</v>
      </c>
      <c r="U94" s="3"/>
      <c r="V94" s="25"/>
      <c r="W94" s="25"/>
      <c r="X94" s="25" t="str">
        <f>IFERROR(VLOOKUP(C_Ope_007[[#This Row],[nota_2]],Clientes_Proveedores[[Ruc / Dni]:[Razon Social]],2,0),"")</f>
        <v/>
      </c>
      <c r="Y94" s="25"/>
      <c r="Z94" s="103"/>
      <c r="AA94" s="3" t="str">
        <f>IF(C_Ope_007[[#This Row],[fecha]]&gt;0,TEXT(C_Ope_007[[#This Row],[fecha]],"mmmm"),0)</f>
        <v>Marzo</v>
      </c>
      <c r="AB94" s="49"/>
    </row>
    <row r="95" spans="1:28" x14ac:dyDescent="0.3">
      <c r="A95" s="2">
        <f>IF(C_Ope_007[[#This Row],[tipo_r]]="R",COUNTIFS($C$1:$C94,"R")+1,"")</f>
        <v>94</v>
      </c>
      <c r="B95" s="19" t="str">
        <f t="shared" si="9"/>
        <v>C_Ope_007</v>
      </c>
      <c r="C95" s="3" t="s">
        <v>1330</v>
      </c>
      <c r="D95" s="14">
        <v>45740</v>
      </c>
      <c r="E95" s="5" t="s">
        <v>5259</v>
      </c>
      <c r="F95" s="5" t="s">
        <v>1336</v>
      </c>
      <c r="G95" s="6" t="s">
        <v>978</v>
      </c>
      <c r="H95" s="6" t="s">
        <v>68</v>
      </c>
      <c r="I95" s="6" t="s">
        <v>5688</v>
      </c>
      <c r="J95" s="6">
        <v>2275853</v>
      </c>
      <c r="K95" s="7" t="s">
        <v>8062</v>
      </c>
      <c r="L95" s="8">
        <v>23628</v>
      </c>
      <c r="M95" s="8" t="str">
        <f t="shared" si="10"/>
        <v>PEN</v>
      </c>
      <c r="N95" s="13"/>
      <c r="O95" s="13">
        <v>8</v>
      </c>
      <c r="P95" s="3">
        <f t="shared" si="6"/>
        <v>0</v>
      </c>
      <c r="Q95" s="3">
        <f t="shared" si="7"/>
        <v>8</v>
      </c>
      <c r="R95" s="3">
        <f t="shared" si="8"/>
        <v>229</v>
      </c>
      <c r="S95" s="24" t="s">
        <v>1334</v>
      </c>
      <c r="T95" s="24" t="s">
        <v>1334</v>
      </c>
      <c r="U95" s="3"/>
      <c r="V95" s="25" t="s">
        <v>7842</v>
      </c>
      <c r="W95" s="25">
        <v>20517252558</v>
      </c>
      <c r="X95" s="25" t="str">
        <f>IFERROR(VLOOKUP(C_Ope_007[[#This Row],[nota_2]],Clientes_Proveedores[[Ruc / Dni]:[Razon Social]],2,0),"")</f>
        <v>COVISUR S.A.</v>
      </c>
      <c r="Y95" s="25"/>
      <c r="Z95" s="103"/>
      <c r="AA95" s="3" t="str">
        <f>IF(C_Ope_007[[#This Row],[fecha]]&gt;0,TEXT(C_Ope_007[[#This Row],[fecha]],"mmmm"),0)</f>
        <v>Marzo</v>
      </c>
      <c r="AB95" s="49"/>
    </row>
    <row r="96" spans="1:28" x14ac:dyDescent="0.3">
      <c r="A96" s="2">
        <f>IF(C_Ope_007[[#This Row],[tipo_r]]="R",COUNTIFS($C$1:$C95,"R")+1,"")</f>
        <v>95</v>
      </c>
      <c r="B96" s="19" t="str">
        <f t="shared" si="9"/>
        <v>C_Ope_007</v>
      </c>
      <c r="C96" s="3" t="s">
        <v>1330</v>
      </c>
      <c r="D96" s="14">
        <v>45740</v>
      </c>
      <c r="E96" s="5" t="s">
        <v>5259</v>
      </c>
      <c r="F96" s="5" t="s">
        <v>1336</v>
      </c>
      <c r="G96" s="6" t="s">
        <v>978</v>
      </c>
      <c r="H96" s="6" t="s">
        <v>68</v>
      </c>
      <c r="I96" s="6" t="s">
        <v>5845</v>
      </c>
      <c r="J96" s="6">
        <v>1707572</v>
      </c>
      <c r="K96" s="7" t="s">
        <v>8062</v>
      </c>
      <c r="L96" s="8">
        <v>23629</v>
      </c>
      <c r="M96" s="8" t="str">
        <f t="shared" si="10"/>
        <v>PEN</v>
      </c>
      <c r="N96" s="13"/>
      <c r="O96" s="13">
        <v>8</v>
      </c>
      <c r="P96" s="3">
        <f t="shared" si="6"/>
        <v>0</v>
      </c>
      <c r="Q96" s="3">
        <f t="shared" si="7"/>
        <v>8</v>
      </c>
      <c r="R96" s="3">
        <f t="shared" si="8"/>
        <v>221</v>
      </c>
      <c r="S96" s="24" t="s">
        <v>1334</v>
      </c>
      <c r="T96" s="24" t="s">
        <v>1334</v>
      </c>
      <c r="U96" s="3"/>
      <c r="V96" s="25" t="s">
        <v>7842</v>
      </c>
      <c r="W96" s="25">
        <v>20517252558</v>
      </c>
      <c r="X96" s="25" t="str">
        <f>IFERROR(VLOOKUP(C_Ope_007[[#This Row],[nota_2]],Clientes_Proveedores[[Ruc / Dni]:[Razon Social]],2,0),"")</f>
        <v>COVISUR S.A.</v>
      </c>
      <c r="Y96" s="25"/>
      <c r="Z96" s="103"/>
      <c r="AA96" s="3" t="str">
        <f>IF(C_Ope_007[[#This Row],[fecha]]&gt;0,TEXT(C_Ope_007[[#This Row],[fecha]],"mmmm"),0)</f>
        <v>Marzo</v>
      </c>
      <c r="AB96" s="49"/>
    </row>
    <row r="97" spans="1:28" x14ac:dyDescent="0.3">
      <c r="A97" s="2">
        <f>IF(C_Ope_007[[#This Row],[tipo_r]]="R",COUNTIFS($C$1:$C96,"R")+1,"")</f>
        <v>96</v>
      </c>
      <c r="B97" s="19" t="str">
        <f t="shared" si="9"/>
        <v>C_Ope_007</v>
      </c>
      <c r="C97" s="3" t="s">
        <v>1330</v>
      </c>
      <c r="D97" s="14">
        <v>45741</v>
      </c>
      <c r="E97" s="5" t="s">
        <v>5259</v>
      </c>
      <c r="F97" s="5" t="s">
        <v>1336</v>
      </c>
      <c r="G97" s="6" t="s">
        <v>978</v>
      </c>
      <c r="H97" s="6" t="s">
        <v>68</v>
      </c>
      <c r="I97" s="6" t="s">
        <v>6204</v>
      </c>
      <c r="J97" s="6">
        <v>1688549</v>
      </c>
      <c r="K97" s="7" t="s">
        <v>9014</v>
      </c>
      <c r="L97" s="8">
        <v>23630</v>
      </c>
      <c r="M97" s="8" t="str">
        <f t="shared" si="10"/>
        <v>PEN</v>
      </c>
      <c r="N97" s="13"/>
      <c r="O97" s="13">
        <v>8</v>
      </c>
      <c r="P97" s="3">
        <f t="shared" si="6"/>
        <v>0</v>
      </c>
      <c r="Q97" s="3">
        <f t="shared" si="7"/>
        <v>8</v>
      </c>
      <c r="R97" s="3">
        <f t="shared" si="8"/>
        <v>213</v>
      </c>
      <c r="S97" s="24" t="s">
        <v>1334</v>
      </c>
      <c r="T97" s="24" t="s">
        <v>1334</v>
      </c>
      <c r="U97" s="3"/>
      <c r="V97" s="25" t="s">
        <v>7842</v>
      </c>
      <c r="W97" s="25">
        <v>20517252558</v>
      </c>
      <c r="X97" s="25" t="str">
        <f>IFERROR(VLOOKUP(C_Ope_007[[#This Row],[nota_2]],Clientes_Proveedores[[Ruc / Dni]:[Razon Social]],2,0),"")</f>
        <v>COVISUR S.A.</v>
      </c>
      <c r="Y97" s="25"/>
      <c r="Z97" s="103"/>
      <c r="AA97" s="3" t="str">
        <f>IF(C_Ope_007[[#This Row],[fecha]]&gt;0,TEXT(C_Ope_007[[#This Row],[fecha]],"mmmm"),0)</f>
        <v>Marzo</v>
      </c>
      <c r="AB97" s="49"/>
    </row>
    <row r="98" spans="1:28" x14ac:dyDescent="0.3">
      <c r="A98" s="2">
        <f>IF(C_Ope_007[[#This Row],[tipo_r]]="R",COUNTIFS($C$1:$C97,"R")+1,"")</f>
        <v>97</v>
      </c>
      <c r="B98" s="19" t="str">
        <f t="shared" si="9"/>
        <v>C_Ope_007</v>
      </c>
      <c r="C98" s="3" t="s">
        <v>1330</v>
      </c>
      <c r="D98" s="14">
        <v>45741</v>
      </c>
      <c r="E98" s="5" t="s">
        <v>5259</v>
      </c>
      <c r="F98" s="5" t="s">
        <v>1336</v>
      </c>
      <c r="G98" s="6" t="s">
        <v>978</v>
      </c>
      <c r="H98" s="6" t="s">
        <v>68</v>
      </c>
      <c r="I98" s="6" t="s">
        <v>5845</v>
      </c>
      <c r="J98" s="6">
        <v>1708397</v>
      </c>
      <c r="K98" s="7" t="s">
        <v>9014</v>
      </c>
      <c r="L98" s="8">
        <v>23631</v>
      </c>
      <c r="M98" s="8" t="str">
        <f t="shared" si="10"/>
        <v>PEN</v>
      </c>
      <c r="N98" s="13"/>
      <c r="O98" s="13">
        <v>8</v>
      </c>
      <c r="P98" s="3">
        <f t="shared" si="6"/>
        <v>0</v>
      </c>
      <c r="Q98" s="3">
        <f t="shared" si="7"/>
        <v>8</v>
      </c>
      <c r="R98" s="3">
        <f t="shared" si="8"/>
        <v>205</v>
      </c>
      <c r="S98" s="24" t="s">
        <v>1334</v>
      </c>
      <c r="T98" s="24" t="s">
        <v>1334</v>
      </c>
      <c r="U98" s="3"/>
      <c r="V98" s="25" t="s">
        <v>7842</v>
      </c>
      <c r="W98" s="25">
        <v>20517252558</v>
      </c>
      <c r="X98" s="25" t="str">
        <f>IFERROR(VLOOKUP(C_Ope_007[[#This Row],[nota_2]],Clientes_Proveedores[[Ruc / Dni]:[Razon Social]],2,0),"")</f>
        <v>COVISUR S.A.</v>
      </c>
      <c r="Y98" s="25"/>
      <c r="Z98" s="103"/>
      <c r="AA98" s="3" t="str">
        <f>IF(C_Ope_007[[#This Row],[fecha]]&gt;0,TEXT(C_Ope_007[[#This Row],[fecha]],"mmmm"),0)</f>
        <v>Marzo</v>
      </c>
      <c r="AB98" s="49"/>
    </row>
    <row r="99" spans="1:28" ht="24" x14ac:dyDescent="0.3">
      <c r="A99" s="2">
        <f>IF(C_Ope_007[[#This Row],[tipo_r]]="R",COUNTIFS($C$1:$C98,"R")+1,"")</f>
        <v>98</v>
      </c>
      <c r="B99" s="19" t="str">
        <f t="shared" si="9"/>
        <v>C_Ope_007</v>
      </c>
      <c r="C99" s="3" t="s">
        <v>1330</v>
      </c>
      <c r="D99" s="14">
        <v>45742</v>
      </c>
      <c r="E99" s="5" t="s">
        <v>5259</v>
      </c>
      <c r="F99" s="5" t="s">
        <v>1336</v>
      </c>
      <c r="G99" s="6" t="s">
        <v>978</v>
      </c>
      <c r="H99" s="6" t="s">
        <v>68</v>
      </c>
      <c r="I99" s="6" t="s">
        <v>6204</v>
      </c>
      <c r="J99" s="6">
        <v>1689555</v>
      </c>
      <c r="K99" s="7" t="s">
        <v>9015</v>
      </c>
      <c r="L99" s="8">
        <v>23632</v>
      </c>
      <c r="M99" s="8" t="str">
        <f t="shared" si="10"/>
        <v>PEN</v>
      </c>
      <c r="N99" s="13"/>
      <c r="O99" s="13">
        <v>8</v>
      </c>
      <c r="P99" s="3">
        <f t="shared" si="6"/>
        <v>0</v>
      </c>
      <c r="Q99" s="3">
        <f t="shared" si="7"/>
        <v>8</v>
      </c>
      <c r="R99" s="3">
        <f t="shared" si="8"/>
        <v>197</v>
      </c>
      <c r="S99" s="24" t="s">
        <v>1334</v>
      </c>
      <c r="T99" s="24" t="s">
        <v>1334</v>
      </c>
      <c r="U99" s="3"/>
      <c r="V99" s="25" t="s">
        <v>7842</v>
      </c>
      <c r="W99" s="25">
        <v>20517252558</v>
      </c>
      <c r="X99" s="25" t="str">
        <f>IFERROR(VLOOKUP(C_Ope_007[[#This Row],[nota_2]],Clientes_Proveedores[[Ruc / Dni]:[Razon Social]],2,0),"")</f>
        <v>COVISUR S.A.</v>
      </c>
      <c r="Y99" s="25"/>
      <c r="Z99" s="103"/>
      <c r="AA99" s="3" t="str">
        <f>IF(C_Ope_007[[#This Row],[fecha]]&gt;0,TEXT(C_Ope_007[[#This Row],[fecha]],"mmmm"),0)</f>
        <v>Marzo</v>
      </c>
      <c r="AB99" s="49"/>
    </row>
    <row r="100" spans="1:28" ht="24" x14ac:dyDescent="0.3">
      <c r="A100" s="2">
        <f>IF(C_Ope_007[[#This Row],[tipo_r]]="R",COUNTIFS($C$1:$C99,"R")+1,"")</f>
        <v>99</v>
      </c>
      <c r="B100" s="19" t="str">
        <f t="shared" si="9"/>
        <v>C_Ope_007</v>
      </c>
      <c r="C100" s="3" t="s">
        <v>1330</v>
      </c>
      <c r="D100" s="14">
        <v>45742</v>
      </c>
      <c r="E100" s="5" t="s">
        <v>5259</v>
      </c>
      <c r="F100" s="5" t="s">
        <v>1336</v>
      </c>
      <c r="G100" s="6" t="s">
        <v>978</v>
      </c>
      <c r="H100" s="6" t="s">
        <v>68</v>
      </c>
      <c r="I100" s="6" t="s">
        <v>5845</v>
      </c>
      <c r="J100" s="6">
        <v>1709257</v>
      </c>
      <c r="K100" s="7" t="s">
        <v>9015</v>
      </c>
      <c r="L100" s="8">
        <v>23633</v>
      </c>
      <c r="M100" s="8" t="str">
        <f t="shared" si="10"/>
        <v>PEN</v>
      </c>
      <c r="N100" s="13"/>
      <c r="O100" s="13">
        <v>8</v>
      </c>
      <c r="P100" s="3">
        <f t="shared" si="6"/>
        <v>0</v>
      </c>
      <c r="Q100" s="3">
        <f t="shared" si="7"/>
        <v>8</v>
      </c>
      <c r="R100" s="3">
        <f t="shared" si="8"/>
        <v>189</v>
      </c>
      <c r="S100" s="24" t="s">
        <v>1334</v>
      </c>
      <c r="T100" s="24" t="s">
        <v>1334</v>
      </c>
      <c r="U100" s="3"/>
      <c r="V100" s="25" t="s">
        <v>7842</v>
      </c>
      <c r="W100" s="25">
        <v>20517252558</v>
      </c>
      <c r="X100" s="25" t="str">
        <f>IFERROR(VLOOKUP(C_Ope_007[[#This Row],[nota_2]],Clientes_Proveedores[[Ruc / Dni]:[Razon Social]],2,0),"")</f>
        <v>COVISUR S.A.</v>
      </c>
      <c r="Y100" s="25"/>
      <c r="Z100" s="103"/>
      <c r="AA100" s="3" t="str">
        <f>IF(C_Ope_007[[#This Row],[fecha]]&gt;0,TEXT(C_Ope_007[[#This Row],[fecha]],"mmmm"),0)</f>
        <v>Marzo</v>
      </c>
      <c r="AB100" s="49"/>
    </row>
    <row r="101" spans="1:28" ht="24" x14ac:dyDescent="0.3">
      <c r="A101" s="2">
        <f>IF(C_Ope_007[[#This Row],[tipo_r]]="R",COUNTIFS($C$1:$C100,"R")+1,"")</f>
        <v>100</v>
      </c>
      <c r="B101" s="19" t="str">
        <f t="shared" si="9"/>
        <v>C_Ope_007</v>
      </c>
      <c r="C101" s="3" t="s">
        <v>1330</v>
      </c>
      <c r="D101" s="14">
        <v>45743</v>
      </c>
      <c r="E101" s="5" t="s">
        <v>5259</v>
      </c>
      <c r="F101" s="5" t="s">
        <v>1336</v>
      </c>
      <c r="G101" s="6" t="s">
        <v>978</v>
      </c>
      <c r="H101" s="6" t="s">
        <v>68</v>
      </c>
      <c r="I101" s="6" t="s">
        <v>5688</v>
      </c>
      <c r="J101" s="6">
        <v>2279464</v>
      </c>
      <c r="K101" s="7" t="s">
        <v>8619</v>
      </c>
      <c r="L101" s="8">
        <v>23634</v>
      </c>
      <c r="M101" s="8" t="str">
        <f t="shared" si="10"/>
        <v>PEN</v>
      </c>
      <c r="N101" s="13"/>
      <c r="O101" s="13">
        <v>8</v>
      </c>
      <c r="P101" s="3">
        <f t="shared" si="6"/>
        <v>0</v>
      </c>
      <c r="Q101" s="3">
        <f t="shared" si="7"/>
        <v>8</v>
      </c>
      <c r="R101" s="3">
        <f t="shared" si="8"/>
        <v>181</v>
      </c>
      <c r="S101" s="24" t="s">
        <v>1334</v>
      </c>
      <c r="T101" s="24" t="s">
        <v>1334</v>
      </c>
      <c r="U101" s="3"/>
      <c r="V101" s="25" t="s">
        <v>7842</v>
      </c>
      <c r="W101" s="25">
        <v>20517252558</v>
      </c>
      <c r="X101" s="25" t="str">
        <f>IFERROR(VLOOKUP(C_Ope_007[[#This Row],[nota_2]],Clientes_Proveedores[[Ruc / Dni]:[Razon Social]],2,0),"")</f>
        <v>COVISUR S.A.</v>
      </c>
      <c r="Y101" s="25"/>
      <c r="Z101" s="103"/>
      <c r="AA101" s="3" t="str">
        <f>IF(C_Ope_007[[#This Row],[fecha]]&gt;0,TEXT(C_Ope_007[[#This Row],[fecha]],"mmmm"),0)</f>
        <v>Marzo</v>
      </c>
      <c r="AB101" s="49"/>
    </row>
    <row r="102" spans="1:28" ht="24" x14ac:dyDescent="0.3">
      <c r="A102" s="2">
        <f>IF(C_Ope_007[[#This Row],[tipo_r]]="R",COUNTIFS($C$1:$C101,"R")+1,"")</f>
        <v>101</v>
      </c>
      <c r="B102" s="19" t="str">
        <f t="shared" si="9"/>
        <v>C_Ope_007</v>
      </c>
      <c r="C102" s="3" t="s">
        <v>1330</v>
      </c>
      <c r="D102" s="14">
        <v>45741</v>
      </c>
      <c r="E102" s="5" t="s">
        <v>5259</v>
      </c>
      <c r="F102" s="5" t="s">
        <v>1336</v>
      </c>
      <c r="G102" s="6" t="s">
        <v>1147</v>
      </c>
      <c r="H102" s="6" t="s">
        <v>68</v>
      </c>
      <c r="I102" s="6" t="s">
        <v>1386</v>
      </c>
      <c r="J102" s="6">
        <v>16128</v>
      </c>
      <c r="K102" s="7" t="s">
        <v>9016</v>
      </c>
      <c r="L102" s="8">
        <v>23639</v>
      </c>
      <c r="M102" s="8" t="str">
        <f t="shared" si="10"/>
        <v>PEN</v>
      </c>
      <c r="N102" s="13"/>
      <c r="O102" s="13">
        <v>12</v>
      </c>
      <c r="P102" s="3">
        <f t="shared" si="6"/>
        <v>0</v>
      </c>
      <c r="Q102" s="3">
        <f t="shared" si="7"/>
        <v>12</v>
      </c>
      <c r="R102" s="3">
        <f t="shared" si="8"/>
        <v>169</v>
      </c>
      <c r="S102" s="24" t="s">
        <v>1334</v>
      </c>
      <c r="T102" s="24" t="s">
        <v>1334</v>
      </c>
      <c r="U102" s="3"/>
      <c r="V102" s="25" t="s">
        <v>7842</v>
      </c>
      <c r="W102" s="25">
        <v>20162554167</v>
      </c>
      <c r="X102" s="25" t="str">
        <f>IFERROR(VLOOKUP(C_Ope_007[[#This Row],[nota_2]],Clientes_Proveedores[[Ruc / Dni]:[Razon Social]],2,0),"")</f>
        <v>AUTORIDAD AUTONOMA DE MAJES</v>
      </c>
      <c r="Y102" s="25"/>
      <c r="Z102" s="103"/>
      <c r="AA102" s="3" t="str">
        <f>IF(C_Ope_007[[#This Row],[fecha]]&gt;0,TEXT(C_Ope_007[[#This Row],[fecha]],"mmmm"),0)</f>
        <v>Marzo</v>
      </c>
      <c r="AB102" s="49"/>
    </row>
    <row r="103" spans="1:28" ht="36" x14ac:dyDescent="0.3">
      <c r="A103" s="2">
        <f>IF(C_Ope_007[[#This Row],[tipo_r]]="R",COUNTIFS($C$1:$C102,"R")+1,"")</f>
        <v>102</v>
      </c>
      <c r="B103" s="19" t="str">
        <f t="shared" si="9"/>
        <v>C_Ope_007</v>
      </c>
      <c r="C103" s="3" t="s">
        <v>1330</v>
      </c>
      <c r="D103" s="14">
        <v>45747</v>
      </c>
      <c r="E103" s="5" t="s">
        <v>5259</v>
      </c>
      <c r="F103" s="5" t="s">
        <v>1336</v>
      </c>
      <c r="G103" s="6" t="s">
        <v>1029</v>
      </c>
      <c r="H103" s="6" t="s">
        <v>68</v>
      </c>
      <c r="I103" s="6" t="s">
        <v>1374</v>
      </c>
      <c r="J103" s="6">
        <v>17183</v>
      </c>
      <c r="K103" s="7" t="s">
        <v>7845</v>
      </c>
      <c r="L103" s="8">
        <v>23804</v>
      </c>
      <c r="M103" s="8" t="str">
        <f t="shared" si="10"/>
        <v>PEN</v>
      </c>
      <c r="N103" s="13"/>
      <c r="O103" s="13">
        <v>11</v>
      </c>
      <c r="P103" s="3">
        <f t="shared" si="6"/>
        <v>0</v>
      </c>
      <c r="Q103" s="3">
        <f t="shared" si="7"/>
        <v>11</v>
      </c>
      <c r="R103" s="3">
        <f t="shared" si="8"/>
        <v>158</v>
      </c>
      <c r="S103" s="24" t="s">
        <v>1334</v>
      </c>
      <c r="T103" s="24" t="s">
        <v>1334</v>
      </c>
      <c r="U103" s="3"/>
      <c r="V103" s="25" t="s">
        <v>7842</v>
      </c>
      <c r="W103" s="25">
        <v>20454058187</v>
      </c>
      <c r="X103" s="25" t="str">
        <f>IFERROR(VLOOKUP(C_Ope_007[[#This Row],[nota_2]],Clientes_Proveedores[[Ruc / Dni]:[Razon Social]],2,0),"")</f>
        <v>ZONA ESPECIAL DE DESARROLLO ZED MATARANI</v>
      </c>
      <c r="Y103" s="25"/>
      <c r="Z103" s="103"/>
      <c r="AA103" s="3" t="str">
        <f>IF(C_Ope_007[[#This Row],[fecha]]&gt;0,TEXT(C_Ope_007[[#This Row],[fecha]],"mmmm"),0)</f>
        <v>Marzo</v>
      </c>
      <c r="AB103" s="49"/>
    </row>
    <row r="104" spans="1:28" ht="24" x14ac:dyDescent="0.3">
      <c r="A104" s="2">
        <f>IF(C_Ope_007[[#This Row],[tipo_r]]="R",COUNTIFS($C$1:$C103,"R")+1,"")</f>
        <v>103</v>
      </c>
      <c r="B104" s="19" t="str">
        <f t="shared" si="9"/>
        <v>C_Ope_007</v>
      </c>
      <c r="C104" s="3" t="s">
        <v>1330</v>
      </c>
      <c r="D104" s="14">
        <v>45742</v>
      </c>
      <c r="E104" s="5" t="s">
        <v>5259</v>
      </c>
      <c r="F104" s="5" t="s">
        <v>1336</v>
      </c>
      <c r="G104" s="6" t="s">
        <v>999</v>
      </c>
      <c r="H104" s="6" t="s">
        <v>68</v>
      </c>
      <c r="I104" s="6" t="s">
        <v>1374</v>
      </c>
      <c r="J104" s="6">
        <v>16991</v>
      </c>
      <c r="K104" s="7" t="s">
        <v>7962</v>
      </c>
      <c r="L104" s="8">
        <v>23635</v>
      </c>
      <c r="M104" s="8" t="str">
        <f t="shared" si="10"/>
        <v>PEN</v>
      </c>
      <c r="N104" s="13"/>
      <c r="O104" s="13">
        <v>25</v>
      </c>
      <c r="P104" s="3">
        <f t="shared" si="6"/>
        <v>0</v>
      </c>
      <c r="Q104" s="3">
        <f t="shared" si="7"/>
        <v>25</v>
      </c>
      <c r="R104" s="3">
        <f t="shared" si="8"/>
        <v>133</v>
      </c>
      <c r="S104" s="24" t="s">
        <v>1334</v>
      </c>
      <c r="T104" s="24" t="s">
        <v>1334</v>
      </c>
      <c r="U104" s="3"/>
      <c r="V104" s="25" t="s">
        <v>7842</v>
      </c>
      <c r="W104" s="25">
        <v>10705628331</v>
      </c>
      <c r="X104" s="25" t="str">
        <f>IFERROR(VLOOKUP(C_Ope_007[[#This Row],[nota_2]],Clientes_Proveedores[[Ruc / Dni]:[Razon Social]],2,0),"")</f>
        <v>LARICO APAZA NANCY ROSSMARY</v>
      </c>
      <c r="Y104" s="25"/>
      <c r="Z104" s="103"/>
      <c r="AA104" s="3" t="str">
        <f>IF(C_Ope_007[[#This Row],[fecha]]&gt;0,TEXT(C_Ope_007[[#This Row],[fecha]],"mmmm"),0)</f>
        <v>Marzo</v>
      </c>
      <c r="AB104" s="49"/>
    </row>
    <row r="105" spans="1:28" ht="24" x14ac:dyDescent="0.3">
      <c r="A105" s="2">
        <f>IF(C_Ope_007[[#This Row],[tipo_r]]="R",COUNTIFS($C$1:$C104,"R")+1,"")</f>
        <v>104</v>
      </c>
      <c r="B105" s="19" t="str">
        <f t="shared" si="9"/>
        <v>C_Ope_007</v>
      </c>
      <c r="C105" s="3" t="s">
        <v>1330</v>
      </c>
      <c r="D105" s="14">
        <v>45743</v>
      </c>
      <c r="E105" s="5" t="s">
        <v>5259</v>
      </c>
      <c r="F105" s="5" t="s">
        <v>1336</v>
      </c>
      <c r="G105" s="6" t="s">
        <v>1197</v>
      </c>
      <c r="H105" s="6" t="s">
        <v>68</v>
      </c>
      <c r="I105" s="6" t="s">
        <v>1376</v>
      </c>
      <c r="J105" s="6">
        <v>718</v>
      </c>
      <c r="K105" s="7" t="s">
        <v>7962</v>
      </c>
      <c r="L105" s="8">
        <v>23661</v>
      </c>
      <c r="M105" s="8" t="str">
        <f t="shared" si="10"/>
        <v>PEN</v>
      </c>
      <c r="N105" s="13"/>
      <c r="O105" s="13">
        <v>35</v>
      </c>
      <c r="P105" s="3">
        <f t="shared" si="6"/>
        <v>0</v>
      </c>
      <c r="Q105" s="3">
        <f t="shared" si="7"/>
        <v>35</v>
      </c>
      <c r="R105" s="3">
        <f t="shared" si="8"/>
        <v>98</v>
      </c>
      <c r="S105" s="24" t="s">
        <v>1334</v>
      </c>
      <c r="T105" s="24" t="s">
        <v>1334</v>
      </c>
      <c r="U105" s="3"/>
      <c r="V105" s="25" t="s">
        <v>7754</v>
      </c>
      <c r="W105" s="25">
        <v>15603864635</v>
      </c>
      <c r="X105" s="25" t="str">
        <f>IFERROR(VLOOKUP(C_Ope_007[[#This Row],[nota_2]],Clientes_Proveedores[[Ruc / Dni]:[Razon Social]],2,0),"")</f>
        <v>CONTRERA MARTINEZ MAILY YOHANA</v>
      </c>
      <c r="Y105" s="25"/>
      <c r="Z105" s="103"/>
      <c r="AA105" s="3" t="str">
        <f>IF(C_Ope_007[[#This Row],[fecha]]&gt;0,TEXT(C_Ope_007[[#This Row],[fecha]],"mmmm"),0)</f>
        <v>Marzo</v>
      </c>
      <c r="AB105" s="49"/>
    </row>
    <row r="106" spans="1:28" x14ac:dyDescent="0.3">
      <c r="A106" s="2">
        <f>IF(C_Ope_007[[#This Row],[tipo_r]]="R",COUNTIFS($C$1:$C105,"R")+1,"")</f>
        <v>105</v>
      </c>
      <c r="B106" s="19" t="str">
        <f t="shared" si="9"/>
        <v>C_Ope_007</v>
      </c>
      <c r="C106" s="3" t="s">
        <v>1330</v>
      </c>
      <c r="D106" s="14">
        <v>45748</v>
      </c>
      <c r="E106" s="5" t="s">
        <v>5259</v>
      </c>
      <c r="F106" s="5" t="s">
        <v>1336</v>
      </c>
      <c r="G106" s="6" t="s">
        <v>978</v>
      </c>
      <c r="H106" s="6" t="s">
        <v>68</v>
      </c>
      <c r="I106" s="6" t="s">
        <v>6204</v>
      </c>
      <c r="J106" s="6">
        <v>1694608</v>
      </c>
      <c r="K106" s="7" t="s">
        <v>9017</v>
      </c>
      <c r="L106" s="8">
        <v>23799</v>
      </c>
      <c r="M106" s="8" t="str">
        <f t="shared" si="10"/>
        <v>PEN</v>
      </c>
      <c r="N106" s="13"/>
      <c r="O106" s="13">
        <v>5</v>
      </c>
      <c r="P106" s="3">
        <f t="shared" si="6"/>
        <v>0</v>
      </c>
      <c r="Q106" s="3">
        <f t="shared" si="7"/>
        <v>5</v>
      </c>
      <c r="R106" s="3">
        <f t="shared" si="8"/>
        <v>93</v>
      </c>
      <c r="S106" s="24" t="s">
        <v>1334</v>
      </c>
      <c r="T106" s="24" t="s">
        <v>1334</v>
      </c>
      <c r="U106" s="3"/>
      <c r="V106" s="25" t="s">
        <v>7754</v>
      </c>
      <c r="W106" s="25">
        <v>20517252558</v>
      </c>
      <c r="X106" s="25" t="str">
        <f>IFERROR(VLOOKUP(C_Ope_007[[#This Row],[nota_2]],Clientes_Proveedores[[Ruc / Dni]:[Razon Social]],2,0),"")</f>
        <v>COVISUR S.A.</v>
      </c>
      <c r="Y106" s="25"/>
      <c r="Z106" s="103"/>
      <c r="AA106" s="3" t="str">
        <f>IF(C_Ope_007[[#This Row],[fecha]]&gt;0,TEXT(C_Ope_007[[#This Row],[fecha]],"mmmm"),0)</f>
        <v>Abril</v>
      </c>
      <c r="AB106" s="49"/>
    </row>
    <row r="107" spans="1:28" x14ac:dyDescent="0.3">
      <c r="A107" s="2">
        <f>IF(C_Ope_007[[#This Row],[tipo_r]]="R",COUNTIFS($C$1:$C106,"R")+1,"")</f>
        <v>106</v>
      </c>
      <c r="B107" s="19" t="str">
        <f t="shared" si="9"/>
        <v>C_Ope_007</v>
      </c>
      <c r="C107" s="3" t="s">
        <v>1330</v>
      </c>
      <c r="D107" s="14">
        <v>45748</v>
      </c>
      <c r="E107" s="5" t="s">
        <v>5259</v>
      </c>
      <c r="F107" s="5" t="s">
        <v>1336</v>
      </c>
      <c r="G107" s="6" t="s">
        <v>978</v>
      </c>
      <c r="H107" s="6" t="s">
        <v>68</v>
      </c>
      <c r="I107" s="6" t="s">
        <v>5845</v>
      </c>
      <c r="J107" s="6">
        <v>1714542</v>
      </c>
      <c r="K107" s="7" t="s">
        <v>9017</v>
      </c>
      <c r="L107" s="8">
        <v>23800</v>
      </c>
      <c r="M107" s="8" t="str">
        <f t="shared" si="10"/>
        <v>PEN</v>
      </c>
      <c r="N107" s="13"/>
      <c r="O107" s="13">
        <v>5</v>
      </c>
      <c r="P107" s="3">
        <f t="shared" si="6"/>
        <v>0</v>
      </c>
      <c r="Q107" s="3">
        <f t="shared" si="7"/>
        <v>5</v>
      </c>
      <c r="R107" s="3">
        <f t="shared" si="8"/>
        <v>88</v>
      </c>
      <c r="S107" s="24" t="s">
        <v>1334</v>
      </c>
      <c r="T107" s="24" t="s">
        <v>1334</v>
      </c>
      <c r="U107" s="3"/>
      <c r="V107" s="25" t="s">
        <v>7754</v>
      </c>
      <c r="W107" s="25">
        <v>20517252558</v>
      </c>
      <c r="X107" s="25" t="str">
        <f>IFERROR(VLOOKUP(C_Ope_007[[#This Row],[nota_2]],Clientes_Proveedores[[Ruc / Dni]:[Razon Social]],2,0),"")</f>
        <v>COVISUR S.A.</v>
      </c>
      <c r="Y107" s="25"/>
      <c r="Z107" s="103"/>
      <c r="AA107" s="3" t="str">
        <f>IF(C_Ope_007[[#This Row],[fecha]]&gt;0,TEXT(C_Ope_007[[#This Row],[fecha]],"mmmm"),0)</f>
        <v>Abril</v>
      </c>
      <c r="AB107" s="49"/>
    </row>
    <row r="108" spans="1:28" ht="24" x14ac:dyDescent="0.3">
      <c r="A108" s="2">
        <f>IF(C_Ope_007[[#This Row],[tipo_r]]="R",COUNTIFS($C$1:$C107,"R")+1,"")</f>
        <v>107</v>
      </c>
      <c r="B108" s="19" t="str">
        <f t="shared" si="9"/>
        <v>C_Ope_007</v>
      </c>
      <c r="C108" s="3" t="s">
        <v>1330</v>
      </c>
      <c r="D108" s="14">
        <v>45748</v>
      </c>
      <c r="E108" s="5" t="s">
        <v>5259</v>
      </c>
      <c r="F108" s="5" t="s">
        <v>1336</v>
      </c>
      <c r="G108" s="6" t="s">
        <v>978</v>
      </c>
      <c r="H108" s="6" t="s">
        <v>68</v>
      </c>
      <c r="I108" s="6" t="s">
        <v>6204</v>
      </c>
      <c r="J108" s="6">
        <v>1694925</v>
      </c>
      <c r="K108" s="7" t="s">
        <v>9018</v>
      </c>
      <c r="L108" s="8">
        <v>23801</v>
      </c>
      <c r="M108" s="8" t="str">
        <f t="shared" si="10"/>
        <v>PEN</v>
      </c>
      <c r="N108" s="13"/>
      <c r="O108" s="13">
        <v>8</v>
      </c>
      <c r="P108" s="3">
        <f t="shared" si="6"/>
        <v>0</v>
      </c>
      <c r="Q108" s="3">
        <f t="shared" si="7"/>
        <v>8</v>
      </c>
      <c r="R108" s="3">
        <f t="shared" si="8"/>
        <v>80</v>
      </c>
      <c r="S108" s="24" t="s">
        <v>1334</v>
      </c>
      <c r="T108" s="24" t="s">
        <v>1334</v>
      </c>
      <c r="U108" s="3"/>
      <c r="V108" s="25" t="s">
        <v>8072</v>
      </c>
      <c r="W108" s="25">
        <v>20517252558</v>
      </c>
      <c r="X108" s="25" t="str">
        <f>IFERROR(VLOOKUP(C_Ope_007[[#This Row],[nota_2]],Clientes_Proveedores[[Ruc / Dni]:[Razon Social]],2,0),"")</f>
        <v>COVISUR S.A.</v>
      </c>
      <c r="Y108" s="25"/>
      <c r="Z108" s="103"/>
      <c r="AA108" s="3" t="str">
        <f>IF(C_Ope_007[[#This Row],[fecha]]&gt;0,TEXT(C_Ope_007[[#This Row],[fecha]],"mmmm"),0)</f>
        <v>Abril</v>
      </c>
      <c r="AB108" s="49"/>
    </row>
    <row r="109" spans="1:28" ht="24" x14ac:dyDescent="0.3">
      <c r="A109" s="2">
        <f>IF(C_Ope_007[[#This Row],[tipo_r]]="R",COUNTIFS($C$1:$C108,"R")+1,"")</f>
        <v>108</v>
      </c>
      <c r="B109" s="19" t="str">
        <f t="shared" si="9"/>
        <v>C_Ope_007</v>
      </c>
      <c r="C109" s="3" t="s">
        <v>1330</v>
      </c>
      <c r="D109" s="14">
        <v>45748</v>
      </c>
      <c r="E109" s="5" t="s">
        <v>5259</v>
      </c>
      <c r="F109" s="5" t="s">
        <v>1336</v>
      </c>
      <c r="G109" s="6" t="s">
        <v>978</v>
      </c>
      <c r="H109" s="6" t="s">
        <v>68</v>
      </c>
      <c r="I109" s="6" t="s">
        <v>5845</v>
      </c>
      <c r="J109" s="6">
        <v>1714508</v>
      </c>
      <c r="K109" s="7" t="s">
        <v>9018</v>
      </c>
      <c r="L109" s="8">
        <v>23802</v>
      </c>
      <c r="M109" s="8" t="str">
        <f t="shared" si="10"/>
        <v>PEN</v>
      </c>
      <c r="N109" s="13"/>
      <c r="O109" s="13">
        <v>8</v>
      </c>
      <c r="P109" s="3">
        <f t="shared" si="6"/>
        <v>0</v>
      </c>
      <c r="Q109" s="3">
        <f t="shared" si="7"/>
        <v>8</v>
      </c>
      <c r="R109" s="3">
        <f t="shared" si="8"/>
        <v>72</v>
      </c>
      <c r="S109" s="24" t="s">
        <v>1334</v>
      </c>
      <c r="T109" s="24" t="s">
        <v>1334</v>
      </c>
      <c r="U109" s="3"/>
      <c r="V109" s="25" t="s">
        <v>8072</v>
      </c>
      <c r="W109" s="25">
        <v>20517252558</v>
      </c>
      <c r="X109" s="25" t="str">
        <f>IFERROR(VLOOKUP(C_Ope_007[[#This Row],[nota_2]],Clientes_Proveedores[[Ruc / Dni]:[Razon Social]],2,0),"")</f>
        <v>COVISUR S.A.</v>
      </c>
      <c r="Y109" s="25"/>
      <c r="Z109" s="103"/>
      <c r="AA109" s="3" t="str">
        <f>IF(C_Ope_007[[#This Row],[fecha]]&gt;0,TEXT(C_Ope_007[[#This Row],[fecha]],"mmmm"),0)</f>
        <v>Abril</v>
      </c>
      <c r="AB109" s="49"/>
    </row>
    <row r="110" spans="1:28" ht="24" x14ac:dyDescent="0.3">
      <c r="A110" s="2">
        <f>IF(C_Ope_007[[#This Row],[tipo_r]]="R",COUNTIFS($C$1:$C109,"R")+1,"")</f>
        <v>109</v>
      </c>
      <c r="B110" s="19" t="str">
        <f t="shared" si="9"/>
        <v>C_Ope_007</v>
      </c>
      <c r="C110" s="3" t="s">
        <v>1330</v>
      </c>
      <c r="D110" s="14">
        <v>45748</v>
      </c>
      <c r="E110" s="5" t="s">
        <v>5259</v>
      </c>
      <c r="F110" s="5" t="s">
        <v>1336</v>
      </c>
      <c r="G110" s="6" t="s">
        <v>1147</v>
      </c>
      <c r="H110" s="6" t="s">
        <v>68</v>
      </c>
      <c r="I110" s="6" t="s">
        <v>1386</v>
      </c>
      <c r="J110" s="6">
        <v>16168</v>
      </c>
      <c r="K110" s="7" t="s">
        <v>9019</v>
      </c>
      <c r="L110" s="8">
        <v>23805</v>
      </c>
      <c r="M110" s="8" t="str">
        <f t="shared" si="10"/>
        <v>PEN</v>
      </c>
      <c r="N110" s="13"/>
      <c r="O110" s="13">
        <v>12</v>
      </c>
      <c r="P110" s="3">
        <f t="shared" si="6"/>
        <v>0</v>
      </c>
      <c r="Q110" s="3">
        <f t="shared" si="7"/>
        <v>12</v>
      </c>
      <c r="R110" s="3">
        <f t="shared" si="8"/>
        <v>60</v>
      </c>
      <c r="S110" s="24" t="s">
        <v>1334</v>
      </c>
      <c r="T110" s="24" t="s">
        <v>1334</v>
      </c>
      <c r="U110" s="3"/>
      <c r="V110" s="25" t="s">
        <v>8072</v>
      </c>
      <c r="W110" s="25">
        <v>20162554167</v>
      </c>
      <c r="X110" s="25" t="str">
        <f>IFERROR(VLOOKUP(C_Ope_007[[#This Row],[nota_2]],Clientes_Proveedores[[Ruc / Dni]:[Razon Social]],2,0),"")</f>
        <v>AUTORIDAD AUTONOMA DE MAJES</v>
      </c>
      <c r="Y110" s="25"/>
      <c r="Z110" s="103"/>
      <c r="AA110" s="3" t="str">
        <f>IF(C_Ope_007[[#This Row],[fecha]]&gt;0,TEXT(C_Ope_007[[#This Row],[fecha]],"mmmm"),0)</f>
        <v>Abril</v>
      </c>
      <c r="AB110" s="49"/>
    </row>
    <row r="111" spans="1:28" ht="24" x14ac:dyDescent="0.3">
      <c r="A111" s="2">
        <f>IF(C_Ope_007[[#This Row],[tipo_r]]="R",COUNTIFS($C$1:$C110,"R")+1,"")</f>
        <v>110</v>
      </c>
      <c r="B111" s="19" t="str">
        <f t="shared" si="9"/>
        <v>C_Ope_007</v>
      </c>
      <c r="C111" s="3" t="s">
        <v>1330</v>
      </c>
      <c r="D111" s="14">
        <v>45754</v>
      </c>
      <c r="E111" s="5" t="s">
        <v>5259</v>
      </c>
      <c r="F111" s="5" t="s">
        <v>1336</v>
      </c>
      <c r="G111" s="6" t="s">
        <v>978</v>
      </c>
      <c r="H111" s="6" t="s">
        <v>68</v>
      </c>
      <c r="I111" s="6" t="s">
        <v>5688</v>
      </c>
      <c r="J111" s="6">
        <v>2290932</v>
      </c>
      <c r="K111" s="7" t="s">
        <v>9020</v>
      </c>
      <c r="L111" s="8">
        <v>23803</v>
      </c>
      <c r="M111" s="8" t="str">
        <f t="shared" si="10"/>
        <v>PEN</v>
      </c>
      <c r="N111" s="13"/>
      <c r="O111" s="13">
        <v>8</v>
      </c>
      <c r="P111" s="3">
        <f t="shared" si="6"/>
        <v>0</v>
      </c>
      <c r="Q111" s="3">
        <f t="shared" si="7"/>
        <v>8</v>
      </c>
      <c r="R111" s="3">
        <f t="shared" si="8"/>
        <v>52</v>
      </c>
      <c r="S111" s="24" t="s">
        <v>1334</v>
      </c>
      <c r="T111" s="24" t="s">
        <v>1334</v>
      </c>
      <c r="U111" s="3"/>
      <c r="V111" s="25" t="s">
        <v>7842</v>
      </c>
      <c r="W111" s="25">
        <v>20517252558</v>
      </c>
      <c r="X111" s="25" t="str">
        <f>IFERROR(VLOOKUP(C_Ope_007[[#This Row],[nota_2]],Clientes_Proveedores[[Ruc / Dni]:[Razon Social]],2,0),"")</f>
        <v>COVISUR S.A.</v>
      </c>
      <c r="Y111" s="25"/>
      <c r="Z111" s="103"/>
      <c r="AA111" s="3" t="str">
        <f>IF(C_Ope_007[[#This Row],[fecha]]&gt;0,TEXT(C_Ope_007[[#This Row],[fecha]],"mmmm"),0)</f>
        <v>Abril</v>
      </c>
      <c r="AB111" s="49"/>
    </row>
    <row r="112" spans="1:28" ht="36" x14ac:dyDescent="0.3">
      <c r="A112" s="2">
        <f>IF(C_Ope_007[[#This Row],[tipo_r]]="R",COUNTIFS($C$1:$C111,"R")+1,"")</f>
        <v>111</v>
      </c>
      <c r="B112" s="19" t="str">
        <f t="shared" si="9"/>
        <v>C_Ope_007</v>
      </c>
      <c r="C112" s="3" t="s">
        <v>1330</v>
      </c>
      <c r="D112" s="14">
        <v>45755</v>
      </c>
      <c r="E112" s="5" t="s">
        <v>5259</v>
      </c>
      <c r="F112" s="5" t="s">
        <v>1336</v>
      </c>
      <c r="G112" s="6" t="s">
        <v>682</v>
      </c>
      <c r="H112" s="6" t="s">
        <v>68</v>
      </c>
      <c r="I112" s="6" t="s">
        <v>1353</v>
      </c>
      <c r="J112" s="6">
        <v>16069</v>
      </c>
      <c r="K112" s="7" t="s">
        <v>9021</v>
      </c>
      <c r="L112" s="8">
        <v>23806</v>
      </c>
      <c r="M112" s="8" t="str">
        <f t="shared" si="10"/>
        <v>PEN</v>
      </c>
      <c r="N112" s="13"/>
      <c r="O112" s="13">
        <v>10</v>
      </c>
      <c r="P112" s="3">
        <f t="shared" si="6"/>
        <v>0</v>
      </c>
      <c r="Q112" s="3">
        <f t="shared" si="7"/>
        <v>10</v>
      </c>
      <c r="R112" s="3">
        <f t="shared" si="8"/>
        <v>42</v>
      </c>
      <c r="S112" s="24" t="s">
        <v>1334</v>
      </c>
      <c r="T112" s="24" t="s">
        <v>1334</v>
      </c>
      <c r="U112" s="3"/>
      <c r="V112" s="25" t="s">
        <v>8072</v>
      </c>
      <c r="W112" s="25">
        <v>20259858934</v>
      </c>
      <c r="X112" s="25" t="str">
        <f>IFERROR(VLOOKUP(C_Ope_007[[#This Row],[nota_2]],Clientes_Proveedores[[Ruc / Dni]:[Razon Social]],2,0),"")</f>
        <v>COMERCIALIZACION Y SERVICIOS EL EDEN S.A.C.</v>
      </c>
      <c r="Y112" s="25"/>
      <c r="Z112" s="103"/>
      <c r="AA112" s="3" t="str">
        <f>IF(C_Ope_007[[#This Row],[fecha]]&gt;0,TEXT(C_Ope_007[[#This Row],[fecha]],"mmmm"),0)</f>
        <v>Abril</v>
      </c>
      <c r="AB112" s="49"/>
    </row>
    <row r="113" spans="1:28" ht="24" x14ac:dyDescent="0.3">
      <c r="A113" s="2">
        <f>IF(C_Ope_007[[#This Row],[tipo_r]]="R",COUNTIFS($C$1:$C112,"R")+1,"")</f>
        <v>112</v>
      </c>
      <c r="B113" s="19" t="str">
        <f t="shared" si="9"/>
        <v>C_Ope_007</v>
      </c>
      <c r="C113" s="3" t="s">
        <v>1330</v>
      </c>
      <c r="D113" s="14">
        <v>45761</v>
      </c>
      <c r="E113" s="5" t="s">
        <v>7514</v>
      </c>
      <c r="F113" s="5" t="s">
        <v>1303</v>
      </c>
      <c r="G113" s="6" t="s">
        <v>692</v>
      </c>
      <c r="H113" s="6"/>
      <c r="I113" s="6"/>
      <c r="J113" s="6"/>
      <c r="K113" s="7" t="s">
        <v>7516</v>
      </c>
      <c r="L113" s="8">
        <v>23849</v>
      </c>
      <c r="M113" s="8" t="str">
        <f t="shared" si="10"/>
        <v>PEN</v>
      </c>
      <c r="N113" s="13"/>
      <c r="O113" s="13">
        <v>40</v>
      </c>
      <c r="P113" s="3">
        <f t="shared" si="6"/>
        <v>40</v>
      </c>
      <c r="Q113" s="3">
        <f t="shared" si="7"/>
        <v>0</v>
      </c>
      <c r="R113" s="3">
        <f t="shared" si="8"/>
        <v>82</v>
      </c>
      <c r="S113" s="24" t="s">
        <v>1334</v>
      </c>
      <c r="T113" s="24" t="s">
        <v>1334</v>
      </c>
      <c r="U113" s="3"/>
      <c r="V113" s="25"/>
      <c r="W113" s="25"/>
      <c r="X113" s="25" t="str">
        <f>IFERROR(VLOOKUP(C_Ope_007[[#This Row],[nota_2]],Clientes_Proveedores[[Ruc / Dni]:[Razon Social]],2,0),"")</f>
        <v/>
      </c>
      <c r="Y113" s="25"/>
      <c r="Z113" s="103"/>
      <c r="AA113" s="3" t="str">
        <f>IF(C_Ope_007[[#This Row],[fecha]]&gt;0,TEXT(C_Ope_007[[#This Row],[fecha]],"mmmm"),0)</f>
        <v>Abril</v>
      </c>
      <c r="AB113" s="49"/>
    </row>
    <row r="114" spans="1:28" ht="24" x14ac:dyDescent="0.3">
      <c r="A114" s="2">
        <f>IF(C_Ope_007[[#This Row],[tipo_r]]="R",COUNTIFS($C$1:$C113,"R")+1,"")</f>
        <v>113</v>
      </c>
      <c r="B114" s="19" t="str">
        <f t="shared" si="9"/>
        <v>C_Ope_007</v>
      </c>
      <c r="C114" s="3" t="s">
        <v>1330</v>
      </c>
      <c r="D114" s="14">
        <v>45761</v>
      </c>
      <c r="E114" s="5" t="s">
        <v>5259</v>
      </c>
      <c r="F114" s="5" t="s">
        <v>1336</v>
      </c>
      <c r="G114" s="6" t="s">
        <v>978</v>
      </c>
      <c r="H114" s="6" t="s">
        <v>68</v>
      </c>
      <c r="I114" s="6" t="s">
        <v>5845</v>
      </c>
      <c r="J114" s="6">
        <v>1725415</v>
      </c>
      <c r="K114" s="7" t="s">
        <v>7782</v>
      </c>
      <c r="L114" s="8">
        <v>23954</v>
      </c>
      <c r="M114" s="8" t="str">
        <f t="shared" si="10"/>
        <v>PEN</v>
      </c>
      <c r="N114" s="13"/>
      <c r="O114" s="13">
        <v>5</v>
      </c>
      <c r="P114" s="3">
        <f t="shared" si="6"/>
        <v>0</v>
      </c>
      <c r="Q114" s="3">
        <f t="shared" si="7"/>
        <v>5</v>
      </c>
      <c r="R114" s="3">
        <f t="shared" si="8"/>
        <v>77</v>
      </c>
      <c r="S114" s="24" t="s">
        <v>1334</v>
      </c>
      <c r="T114" s="24" t="s">
        <v>1334</v>
      </c>
      <c r="U114" s="3"/>
      <c r="V114" s="25" t="s">
        <v>7756</v>
      </c>
      <c r="W114" s="25">
        <v>20517252558</v>
      </c>
      <c r="X114" s="25" t="str">
        <f>IFERROR(VLOOKUP(C_Ope_007[[#This Row],[nota_2]],Clientes_Proveedores[[Ruc / Dni]:[Razon Social]],2,0),"")</f>
        <v>COVISUR S.A.</v>
      </c>
      <c r="Y114" s="25"/>
      <c r="Z114" s="103"/>
      <c r="AA114" s="3" t="str">
        <f>IF(C_Ope_007[[#This Row],[fecha]]&gt;0,TEXT(C_Ope_007[[#This Row],[fecha]],"mmmm"),0)</f>
        <v>Abril</v>
      </c>
      <c r="AB114" s="49"/>
    </row>
    <row r="115" spans="1:28" ht="36" x14ac:dyDescent="0.3">
      <c r="A115" s="2">
        <f>IF(C_Ope_007[[#This Row],[tipo_r]]="R",COUNTIFS($C$1:$C114,"R")+1,"")</f>
        <v>114</v>
      </c>
      <c r="B115" s="19" t="str">
        <f t="shared" si="9"/>
        <v>C_Ope_007</v>
      </c>
      <c r="C115" s="3" t="s">
        <v>1330</v>
      </c>
      <c r="D115" s="14">
        <v>45761</v>
      </c>
      <c r="E115" s="5" t="s">
        <v>5259</v>
      </c>
      <c r="F115" s="5" t="s">
        <v>1336</v>
      </c>
      <c r="G115" s="6" t="s">
        <v>682</v>
      </c>
      <c r="H115" s="6" t="s">
        <v>68</v>
      </c>
      <c r="I115" s="6" t="s">
        <v>1353</v>
      </c>
      <c r="J115" s="6">
        <v>16124</v>
      </c>
      <c r="K115" s="7" t="s">
        <v>9022</v>
      </c>
      <c r="L115" s="8">
        <v>23958</v>
      </c>
      <c r="M115" s="8" t="str">
        <f t="shared" si="10"/>
        <v>PEN</v>
      </c>
      <c r="N115" s="13"/>
      <c r="O115" s="13">
        <v>20</v>
      </c>
      <c r="P115" s="3">
        <f t="shared" si="6"/>
        <v>0</v>
      </c>
      <c r="Q115" s="3">
        <f t="shared" si="7"/>
        <v>20</v>
      </c>
      <c r="R115" s="3">
        <f t="shared" si="8"/>
        <v>57</v>
      </c>
      <c r="S115" s="24" t="s">
        <v>1334</v>
      </c>
      <c r="T115" s="24" t="s">
        <v>1334</v>
      </c>
      <c r="U115" s="3"/>
      <c r="V115" s="25" t="s">
        <v>8072</v>
      </c>
      <c r="W115" s="25">
        <v>20259858934</v>
      </c>
      <c r="X115" s="25" t="str">
        <f>IFERROR(VLOOKUP(C_Ope_007[[#This Row],[nota_2]],Clientes_Proveedores[[Ruc / Dni]:[Razon Social]],2,0),"")</f>
        <v>COMERCIALIZACION Y SERVICIOS EL EDEN S.A.C.</v>
      </c>
      <c r="Y115" s="25"/>
      <c r="Z115" s="103"/>
      <c r="AA115" s="3" t="str">
        <f>IF(C_Ope_007[[#This Row],[fecha]]&gt;0,TEXT(C_Ope_007[[#This Row],[fecha]],"mmmm"),0)</f>
        <v>Abril</v>
      </c>
      <c r="AB115" s="49"/>
    </row>
    <row r="116" spans="1:28" ht="36" x14ac:dyDescent="0.3">
      <c r="A116" s="2">
        <f>IF(C_Ope_007[[#This Row],[tipo_r]]="R",COUNTIFS($C$1:$C115,"R")+1,"")</f>
        <v>115</v>
      </c>
      <c r="B116" s="19" t="str">
        <f t="shared" si="9"/>
        <v>C_Ope_007</v>
      </c>
      <c r="C116" s="3" t="s">
        <v>1330</v>
      </c>
      <c r="D116" s="14">
        <v>45761</v>
      </c>
      <c r="E116" s="5" t="s">
        <v>5259</v>
      </c>
      <c r="F116" s="5" t="s">
        <v>1336</v>
      </c>
      <c r="G116" s="6" t="s">
        <v>682</v>
      </c>
      <c r="H116" s="6" t="s">
        <v>68</v>
      </c>
      <c r="I116" s="6" t="s">
        <v>1353</v>
      </c>
      <c r="J116" s="6">
        <v>16123</v>
      </c>
      <c r="K116" s="7" t="s">
        <v>9022</v>
      </c>
      <c r="L116" s="8">
        <v>23959</v>
      </c>
      <c r="M116" s="8" t="str">
        <f t="shared" si="10"/>
        <v>PEN</v>
      </c>
      <c r="N116" s="13"/>
      <c r="O116" s="13">
        <v>20</v>
      </c>
      <c r="P116" s="3">
        <f t="shared" si="6"/>
        <v>0</v>
      </c>
      <c r="Q116" s="3">
        <f t="shared" si="7"/>
        <v>20</v>
      </c>
      <c r="R116" s="3">
        <f t="shared" si="8"/>
        <v>37</v>
      </c>
      <c r="S116" s="24" t="s">
        <v>1334</v>
      </c>
      <c r="T116" s="24" t="s">
        <v>1334</v>
      </c>
      <c r="U116" s="3"/>
      <c r="V116" s="25" t="s">
        <v>8072</v>
      </c>
      <c r="W116" s="25">
        <v>20259858934</v>
      </c>
      <c r="X116" s="25" t="str">
        <f>IFERROR(VLOOKUP(C_Ope_007[[#This Row],[nota_2]],Clientes_Proveedores[[Ruc / Dni]:[Razon Social]],2,0),"")</f>
        <v>COMERCIALIZACION Y SERVICIOS EL EDEN S.A.C.</v>
      </c>
      <c r="Y116" s="25"/>
      <c r="Z116" s="103"/>
      <c r="AA116" s="3" t="str">
        <f>IF(C_Ope_007[[#This Row],[fecha]]&gt;0,TEXT(C_Ope_007[[#This Row],[fecha]],"mmmm"),0)</f>
        <v>Abril</v>
      </c>
      <c r="AB116" s="49"/>
    </row>
    <row r="117" spans="1:28" ht="36" x14ac:dyDescent="0.3">
      <c r="A117" s="2">
        <f>IF(C_Ope_007[[#This Row],[tipo_r]]="R",COUNTIFS($C$1:$C116,"R")+1,"")</f>
        <v>116</v>
      </c>
      <c r="B117" s="19" t="str">
        <f t="shared" si="9"/>
        <v>C_Ope_007</v>
      </c>
      <c r="C117" s="3" t="s">
        <v>1330</v>
      </c>
      <c r="D117" s="14">
        <v>45762</v>
      </c>
      <c r="E117" s="5" t="s">
        <v>5259</v>
      </c>
      <c r="F117" s="5" t="s">
        <v>1336</v>
      </c>
      <c r="G117" s="6" t="s">
        <v>682</v>
      </c>
      <c r="H117" s="6" t="s">
        <v>68</v>
      </c>
      <c r="I117" s="6" t="s">
        <v>1343</v>
      </c>
      <c r="J117" s="6">
        <v>34359</v>
      </c>
      <c r="K117" s="7" t="s">
        <v>9023</v>
      </c>
      <c r="L117" s="8">
        <v>23960</v>
      </c>
      <c r="M117" s="8" t="str">
        <f t="shared" si="10"/>
        <v>PEN</v>
      </c>
      <c r="N117" s="13"/>
      <c r="O117" s="13">
        <v>10</v>
      </c>
      <c r="P117" s="3">
        <f t="shared" si="6"/>
        <v>0</v>
      </c>
      <c r="Q117" s="3">
        <f t="shared" si="7"/>
        <v>10</v>
      </c>
      <c r="R117" s="3">
        <f t="shared" si="8"/>
        <v>27</v>
      </c>
      <c r="S117" s="24" t="s">
        <v>1334</v>
      </c>
      <c r="T117" s="24" t="s">
        <v>1334</v>
      </c>
      <c r="U117" s="3"/>
      <c r="V117" s="25" t="s">
        <v>7761</v>
      </c>
      <c r="W117" s="25">
        <v>20259858934</v>
      </c>
      <c r="X117" s="25" t="str">
        <f>IFERROR(VLOOKUP(C_Ope_007[[#This Row],[nota_2]],Clientes_Proveedores[[Ruc / Dni]:[Razon Social]],2,0),"")</f>
        <v>COMERCIALIZACION Y SERVICIOS EL EDEN S.A.C.</v>
      </c>
      <c r="Y117" s="25"/>
      <c r="Z117" s="103"/>
      <c r="AA117" s="3" t="str">
        <f>IF(C_Ope_007[[#This Row],[fecha]]&gt;0,TEXT(C_Ope_007[[#This Row],[fecha]],"mmmm"),0)</f>
        <v>Abril</v>
      </c>
      <c r="AB117" s="49"/>
    </row>
    <row r="118" spans="1:28" ht="36" x14ac:dyDescent="0.3">
      <c r="A118" s="2">
        <f>IF(C_Ope_007[[#This Row],[tipo_r]]="R",COUNTIFS($C$1:$C117,"R")+1,"")</f>
        <v>117</v>
      </c>
      <c r="B118" s="19" t="str">
        <f t="shared" si="9"/>
        <v>C_Ope_007</v>
      </c>
      <c r="C118" s="3" t="s">
        <v>1330</v>
      </c>
      <c r="D118" s="14">
        <v>45763</v>
      </c>
      <c r="E118" s="5" t="s">
        <v>5259</v>
      </c>
      <c r="F118" s="5" t="s">
        <v>1336</v>
      </c>
      <c r="G118" s="6" t="s">
        <v>682</v>
      </c>
      <c r="H118" s="6" t="s">
        <v>68</v>
      </c>
      <c r="I118" s="6" t="s">
        <v>1353</v>
      </c>
      <c r="J118" s="6">
        <v>16136</v>
      </c>
      <c r="K118" s="7" t="s">
        <v>9022</v>
      </c>
      <c r="L118" s="8">
        <v>23961</v>
      </c>
      <c r="M118" s="8" t="str">
        <f t="shared" si="10"/>
        <v>PEN</v>
      </c>
      <c r="N118" s="13"/>
      <c r="O118" s="13">
        <v>20</v>
      </c>
      <c r="P118" s="3">
        <f t="shared" si="6"/>
        <v>0</v>
      </c>
      <c r="Q118" s="3">
        <f t="shared" si="7"/>
        <v>20</v>
      </c>
      <c r="R118" s="3">
        <f t="shared" si="8"/>
        <v>7</v>
      </c>
      <c r="S118" s="24" t="s">
        <v>1334</v>
      </c>
      <c r="T118" s="24" t="s">
        <v>1334</v>
      </c>
      <c r="U118" s="3"/>
      <c r="V118" s="25" t="s">
        <v>8072</v>
      </c>
      <c r="W118" s="25">
        <v>20259858934</v>
      </c>
      <c r="X118" s="25" t="str">
        <f>IFERROR(VLOOKUP(C_Ope_007[[#This Row],[nota_2]],Clientes_Proveedores[[Ruc / Dni]:[Razon Social]],2,0),"")</f>
        <v>COMERCIALIZACION Y SERVICIOS EL EDEN S.A.C.</v>
      </c>
      <c r="Y118" s="25"/>
      <c r="Z118" s="103"/>
      <c r="AA118" s="3" t="str">
        <f>IF(C_Ope_007[[#This Row],[fecha]]&gt;0,TEXT(C_Ope_007[[#This Row],[fecha]],"mmmm"),0)</f>
        <v>Abril</v>
      </c>
      <c r="AB118" s="49"/>
    </row>
    <row r="119" spans="1:28" ht="36" x14ac:dyDescent="0.3">
      <c r="A119" s="2">
        <f>IF(C_Ope_007[[#This Row],[tipo_r]]="R",COUNTIFS($C$1:$C118,"R")+1,"")</f>
        <v>118</v>
      </c>
      <c r="B119" s="19" t="str">
        <f t="shared" si="9"/>
        <v>C_Ope_007</v>
      </c>
      <c r="C119" s="3" t="s">
        <v>1330</v>
      </c>
      <c r="D119" s="14">
        <v>45763</v>
      </c>
      <c r="E119" s="5" t="s">
        <v>5259</v>
      </c>
      <c r="F119" s="5" t="s">
        <v>1336</v>
      </c>
      <c r="G119" s="6" t="s">
        <v>682</v>
      </c>
      <c r="H119" s="6" t="s">
        <v>68</v>
      </c>
      <c r="I119" s="6" t="s">
        <v>1353</v>
      </c>
      <c r="J119" s="6">
        <v>16138</v>
      </c>
      <c r="K119" s="7" t="s">
        <v>9022</v>
      </c>
      <c r="L119" s="8">
        <v>23962</v>
      </c>
      <c r="M119" s="8" t="str">
        <f t="shared" si="10"/>
        <v>PEN</v>
      </c>
      <c r="N119" s="13"/>
      <c r="O119" s="13">
        <v>10</v>
      </c>
      <c r="P119" s="3">
        <f t="shared" si="6"/>
        <v>0</v>
      </c>
      <c r="Q119" s="3">
        <f t="shared" si="7"/>
        <v>10</v>
      </c>
      <c r="R119" s="3">
        <f t="shared" si="8"/>
        <v>-3</v>
      </c>
      <c r="S119" s="24" t="s">
        <v>1334</v>
      </c>
      <c r="T119" s="24" t="s">
        <v>1334</v>
      </c>
      <c r="U119" s="3"/>
      <c r="V119" s="25" t="s">
        <v>8072</v>
      </c>
      <c r="W119" s="25">
        <v>20259858934</v>
      </c>
      <c r="X119" s="25" t="str">
        <f>IFERROR(VLOOKUP(C_Ope_007[[#This Row],[nota_2]],Clientes_Proveedores[[Ruc / Dni]:[Razon Social]],2,0),"")</f>
        <v>COMERCIALIZACION Y SERVICIOS EL EDEN S.A.C.</v>
      </c>
      <c r="Y119" s="25"/>
      <c r="Z119" s="103"/>
      <c r="AA119" s="3" t="str">
        <f>IF(C_Ope_007[[#This Row],[fecha]]&gt;0,TEXT(C_Ope_007[[#This Row],[fecha]],"mmmm"),0)</f>
        <v>Abril</v>
      </c>
      <c r="AB119" s="49"/>
    </row>
    <row r="120" spans="1:28" ht="24" x14ac:dyDescent="0.3">
      <c r="A120" s="2">
        <f>IF(C_Ope_007[[#This Row],[tipo_r]]="R",COUNTIFS($C$1:$C119,"R")+1,"")</f>
        <v>119</v>
      </c>
      <c r="B120" s="19" t="str">
        <f t="shared" si="9"/>
        <v>C_Ope_007</v>
      </c>
      <c r="C120" s="3" t="s">
        <v>1330</v>
      </c>
      <c r="D120" s="14">
        <v>45770</v>
      </c>
      <c r="E120" s="5" t="s">
        <v>7514</v>
      </c>
      <c r="F120" s="5" t="s">
        <v>1303</v>
      </c>
      <c r="G120" s="6" t="s">
        <v>692</v>
      </c>
      <c r="H120" s="6"/>
      <c r="I120" s="6"/>
      <c r="J120" s="6"/>
      <c r="K120" s="7" t="s">
        <v>7516</v>
      </c>
      <c r="L120" s="8">
        <v>23969</v>
      </c>
      <c r="M120" s="8" t="str">
        <f t="shared" si="10"/>
        <v>PEN</v>
      </c>
      <c r="N120" s="13"/>
      <c r="O120" s="13">
        <v>160</v>
      </c>
      <c r="P120" s="3">
        <f t="shared" si="6"/>
        <v>160</v>
      </c>
      <c r="Q120" s="3">
        <f t="shared" si="7"/>
        <v>0</v>
      </c>
      <c r="R120" s="3">
        <f t="shared" si="8"/>
        <v>157</v>
      </c>
      <c r="S120" s="24" t="s">
        <v>1334</v>
      </c>
      <c r="T120" s="24" t="s">
        <v>1334</v>
      </c>
      <c r="U120" s="3"/>
      <c r="V120" s="25"/>
      <c r="W120" s="25"/>
      <c r="X120" s="25" t="str">
        <f>IFERROR(VLOOKUP(C_Ope_007[[#This Row],[nota_2]],Clientes_Proveedores[[Ruc / Dni]:[Razon Social]],2,0),"")</f>
        <v/>
      </c>
      <c r="Y120" s="25"/>
      <c r="Z120" s="103"/>
      <c r="AA120" s="3" t="str">
        <f>IF(C_Ope_007[[#This Row],[fecha]]&gt;0,TEXT(C_Ope_007[[#This Row],[fecha]],"mmmm"),0)</f>
        <v>Abril</v>
      </c>
      <c r="AB120" s="49"/>
    </row>
    <row r="121" spans="1:28" ht="24" x14ac:dyDescent="0.3">
      <c r="A121" s="2">
        <f>IF(C_Ope_007[[#This Row],[tipo_r]]="R",COUNTIFS($C$1:$C120,"R")+1,"")</f>
        <v>120</v>
      </c>
      <c r="B121" s="19" t="str">
        <f t="shared" si="9"/>
        <v>C_Ope_007</v>
      </c>
      <c r="C121" s="3" t="s">
        <v>1330</v>
      </c>
      <c r="D121" s="14">
        <v>45769</v>
      </c>
      <c r="E121" s="5" t="s">
        <v>5259</v>
      </c>
      <c r="F121" s="5" t="s">
        <v>1336</v>
      </c>
      <c r="G121" s="6" t="s">
        <v>978</v>
      </c>
      <c r="H121" s="6" t="s">
        <v>68</v>
      </c>
      <c r="I121" s="6" t="s">
        <v>5688</v>
      </c>
      <c r="J121" s="6">
        <v>2307332</v>
      </c>
      <c r="K121" s="7" t="s">
        <v>9024</v>
      </c>
      <c r="L121" s="8">
        <v>23955</v>
      </c>
      <c r="M121" s="8" t="str">
        <f t="shared" si="10"/>
        <v>PEN</v>
      </c>
      <c r="N121" s="13"/>
      <c r="O121" s="13">
        <v>8</v>
      </c>
      <c r="P121" s="3">
        <f t="shared" si="6"/>
        <v>0</v>
      </c>
      <c r="Q121" s="3">
        <f t="shared" si="7"/>
        <v>8</v>
      </c>
      <c r="R121" s="3">
        <f t="shared" si="8"/>
        <v>149</v>
      </c>
      <c r="S121" s="24" t="s">
        <v>1334</v>
      </c>
      <c r="T121" s="24" t="s">
        <v>1334</v>
      </c>
      <c r="U121" s="3"/>
      <c r="V121" s="25" t="s">
        <v>7842</v>
      </c>
      <c r="W121" s="25">
        <v>20517252558</v>
      </c>
      <c r="X121" s="25" t="str">
        <f>IFERROR(VLOOKUP(C_Ope_007[[#This Row],[nota_2]],Clientes_Proveedores[[Ruc / Dni]:[Razon Social]],2,0),"")</f>
        <v>COVISUR S.A.</v>
      </c>
      <c r="Y121" s="25"/>
      <c r="Z121" s="103"/>
      <c r="AA121" s="3" t="str">
        <f>IF(C_Ope_007[[#This Row],[fecha]]&gt;0,TEXT(C_Ope_007[[#This Row],[fecha]],"mmmm"),0)</f>
        <v>Abril</v>
      </c>
      <c r="AB121" s="49"/>
    </row>
    <row r="122" spans="1:28" ht="24" x14ac:dyDescent="0.3">
      <c r="A122" s="2">
        <f>IF(C_Ope_007[[#This Row],[tipo_r]]="R",COUNTIFS($C$1:$C121,"R")+1,"")</f>
        <v>121</v>
      </c>
      <c r="B122" s="19" t="str">
        <f t="shared" si="9"/>
        <v>C_Ope_007</v>
      </c>
      <c r="C122" s="3" t="s">
        <v>1330</v>
      </c>
      <c r="D122" s="14">
        <v>45769</v>
      </c>
      <c r="E122" s="5" t="s">
        <v>5259</v>
      </c>
      <c r="F122" s="5" t="s">
        <v>1336</v>
      </c>
      <c r="G122" s="6" t="s">
        <v>978</v>
      </c>
      <c r="H122" s="6" t="s">
        <v>68</v>
      </c>
      <c r="I122" s="6" t="s">
        <v>5845</v>
      </c>
      <c r="J122" s="6">
        <v>1731642</v>
      </c>
      <c r="K122" s="7" t="s">
        <v>9024</v>
      </c>
      <c r="L122" s="8">
        <v>23956</v>
      </c>
      <c r="M122" s="8" t="str">
        <f t="shared" si="10"/>
        <v>PEN</v>
      </c>
      <c r="N122" s="13"/>
      <c r="O122" s="13">
        <v>8</v>
      </c>
      <c r="P122" s="3">
        <f t="shared" si="6"/>
        <v>0</v>
      </c>
      <c r="Q122" s="3">
        <f t="shared" si="7"/>
        <v>8</v>
      </c>
      <c r="R122" s="3">
        <f t="shared" si="8"/>
        <v>141</v>
      </c>
      <c r="S122" s="24" t="s">
        <v>1334</v>
      </c>
      <c r="T122" s="24" t="s">
        <v>1334</v>
      </c>
      <c r="U122" s="3"/>
      <c r="V122" s="25" t="s">
        <v>7842</v>
      </c>
      <c r="W122" s="25">
        <v>20517252558</v>
      </c>
      <c r="X122" s="25" t="str">
        <f>IFERROR(VLOOKUP(C_Ope_007[[#This Row],[nota_2]],Clientes_Proveedores[[Ruc / Dni]:[Razon Social]],2,0),"")</f>
        <v>COVISUR S.A.</v>
      </c>
      <c r="Y122" s="25"/>
      <c r="Z122" s="103"/>
      <c r="AA122" s="3" t="str">
        <f>IF(C_Ope_007[[#This Row],[fecha]]&gt;0,TEXT(C_Ope_007[[#This Row],[fecha]],"mmmm"),0)</f>
        <v>Abril</v>
      </c>
      <c r="AB122" s="49"/>
    </row>
    <row r="123" spans="1:28" ht="24" x14ac:dyDescent="0.3">
      <c r="A123" s="2">
        <f>IF(C_Ope_007[[#This Row],[tipo_r]]="R",COUNTIFS($C$1:$C122,"R")+1,"")</f>
        <v>122</v>
      </c>
      <c r="B123" s="19" t="str">
        <f t="shared" si="9"/>
        <v>C_Ope_007</v>
      </c>
      <c r="C123" s="3" t="s">
        <v>1330</v>
      </c>
      <c r="D123" s="14">
        <v>45770</v>
      </c>
      <c r="E123" s="5" t="s">
        <v>5259</v>
      </c>
      <c r="F123" s="5" t="s">
        <v>1336</v>
      </c>
      <c r="G123" s="6" t="s">
        <v>978</v>
      </c>
      <c r="H123" s="6" t="s">
        <v>68</v>
      </c>
      <c r="I123" s="6" t="s">
        <v>6204</v>
      </c>
      <c r="J123" s="6">
        <v>1712582</v>
      </c>
      <c r="K123" s="7" t="s">
        <v>9025</v>
      </c>
      <c r="L123" s="8">
        <v>24037</v>
      </c>
      <c r="M123" s="8" t="str">
        <f t="shared" si="10"/>
        <v>PEN</v>
      </c>
      <c r="N123" s="13"/>
      <c r="O123" s="13">
        <v>8</v>
      </c>
      <c r="P123" s="3">
        <f t="shared" si="6"/>
        <v>0</v>
      </c>
      <c r="Q123" s="3">
        <f t="shared" si="7"/>
        <v>8</v>
      </c>
      <c r="R123" s="3">
        <f t="shared" si="8"/>
        <v>133</v>
      </c>
      <c r="S123" s="24" t="s">
        <v>1334</v>
      </c>
      <c r="T123" s="24" t="s">
        <v>1334</v>
      </c>
      <c r="U123" s="3"/>
      <c r="V123" s="25" t="s">
        <v>7842</v>
      </c>
      <c r="W123" s="25">
        <v>20517252558</v>
      </c>
      <c r="X123" s="25" t="str">
        <f>IFERROR(VLOOKUP(C_Ope_007[[#This Row],[nota_2]],Clientes_Proveedores[[Ruc / Dni]:[Razon Social]],2,0),"")</f>
        <v>COVISUR S.A.</v>
      </c>
      <c r="Y123" s="25"/>
      <c r="Z123" s="103"/>
      <c r="AA123" s="3" t="str">
        <f>IF(C_Ope_007[[#This Row],[fecha]]&gt;0,TEXT(C_Ope_007[[#This Row],[fecha]],"mmmm"),0)</f>
        <v>Abril</v>
      </c>
      <c r="AB123" s="49"/>
    </row>
    <row r="124" spans="1:28" ht="24" x14ac:dyDescent="0.3">
      <c r="A124" s="2">
        <f>IF(C_Ope_007[[#This Row],[tipo_r]]="R",COUNTIFS($C$1:$C123,"R")+1,"")</f>
        <v>123</v>
      </c>
      <c r="B124" s="19" t="str">
        <f t="shared" si="9"/>
        <v>C_Ope_007</v>
      </c>
      <c r="C124" s="3" t="s">
        <v>1330</v>
      </c>
      <c r="D124" s="14">
        <v>45770</v>
      </c>
      <c r="E124" s="5" t="s">
        <v>5259</v>
      </c>
      <c r="F124" s="5" t="s">
        <v>1336</v>
      </c>
      <c r="G124" s="6" t="s">
        <v>978</v>
      </c>
      <c r="H124" s="6" t="s">
        <v>68</v>
      </c>
      <c r="I124" s="6" t="s">
        <v>6203</v>
      </c>
      <c r="J124" s="6">
        <v>2029733</v>
      </c>
      <c r="K124" s="7" t="s">
        <v>9025</v>
      </c>
      <c r="L124" s="8">
        <v>24038</v>
      </c>
      <c r="M124" s="8" t="str">
        <f t="shared" si="10"/>
        <v>PEN</v>
      </c>
      <c r="N124" s="13"/>
      <c r="O124" s="13">
        <v>8</v>
      </c>
      <c r="P124" s="3">
        <f t="shared" si="6"/>
        <v>0</v>
      </c>
      <c r="Q124" s="3">
        <f t="shared" si="7"/>
        <v>8</v>
      </c>
      <c r="R124" s="3">
        <f t="shared" si="8"/>
        <v>125</v>
      </c>
      <c r="S124" s="24" t="s">
        <v>1334</v>
      </c>
      <c r="T124" s="24" t="s">
        <v>1334</v>
      </c>
      <c r="U124" s="3"/>
      <c r="V124" s="25" t="s">
        <v>7842</v>
      </c>
      <c r="W124" s="25">
        <v>20517252558</v>
      </c>
      <c r="X124" s="25" t="str">
        <f>IFERROR(VLOOKUP(C_Ope_007[[#This Row],[nota_2]],Clientes_Proveedores[[Ruc / Dni]:[Razon Social]],2,0),"")</f>
        <v>COVISUR S.A.</v>
      </c>
      <c r="Y124" s="25"/>
      <c r="Z124" s="103"/>
      <c r="AA124" s="3" t="str">
        <f>IF(C_Ope_007[[#This Row],[fecha]]&gt;0,TEXT(C_Ope_007[[#This Row],[fecha]],"mmmm"),0)</f>
        <v>Abril</v>
      </c>
      <c r="AB124" s="49"/>
    </row>
    <row r="125" spans="1:28" ht="36" x14ac:dyDescent="0.3">
      <c r="A125" s="2">
        <f>IF(C_Ope_007[[#This Row],[tipo_r]]="R",COUNTIFS($C$1:$C124,"R")+1,"")</f>
        <v>124</v>
      </c>
      <c r="B125" s="19" t="str">
        <f t="shared" si="9"/>
        <v>C_Ope_007</v>
      </c>
      <c r="C125" s="3" t="s">
        <v>1330</v>
      </c>
      <c r="D125" s="14">
        <v>45768</v>
      </c>
      <c r="E125" s="5" t="s">
        <v>5259</v>
      </c>
      <c r="F125" s="5" t="s">
        <v>1336</v>
      </c>
      <c r="G125" s="6" t="s">
        <v>682</v>
      </c>
      <c r="H125" s="6" t="s">
        <v>68</v>
      </c>
      <c r="I125" s="6" t="s">
        <v>1353</v>
      </c>
      <c r="J125" s="6">
        <v>16163</v>
      </c>
      <c r="K125" s="7" t="s">
        <v>9022</v>
      </c>
      <c r="L125" s="8">
        <v>23963</v>
      </c>
      <c r="M125" s="8" t="str">
        <f t="shared" si="10"/>
        <v>PEN</v>
      </c>
      <c r="N125" s="13"/>
      <c r="O125" s="13">
        <v>10</v>
      </c>
      <c r="P125" s="3">
        <f t="shared" si="6"/>
        <v>0</v>
      </c>
      <c r="Q125" s="3">
        <f t="shared" si="7"/>
        <v>10</v>
      </c>
      <c r="R125" s="3">
        <f t="shared" si="8"/>
        <v>115</v>
      </c>
      <c r="S125" s="24" t="s">
        <v>1334</v>
      </c>
      <c r="T125" s="24" t="s">
        <v>1334</v>
      </c>
      <c r="U125" s="3"/>
      <c r="V125" s="25" t="s">
        <v>8072</v>
      </c>
      <c r="W125" s="25">
        <v>20259858934</v>
      </c>
      <c r="X125" s="25" t="str">
        <f>IFERROR(VLOOKUP(C_Ope_007[[#This Row],[nota_2]],Clientes_Proveedores[[Ruc / Dni]:[Razon Social]],2,0),"")</f>
        <v>COMERCIALIZACION Y SERVICIOS EL EDEN S.A.C.</v>
      </c>
      <c r="Y125" s="25"/>
      <c r="Z125" s="103"/>
      <c r="AA125" s="3" t="str">
        <f>IF(C_Ope_007[[#This Row],[fecha]]&gt;0,TEXT(C_Ope_007[[#This Row],[fecha]],"mmmm"),0)</f>
        <v>Abril</v>
      </c>
      <c r="AB125" s="49"/>
    </row>
    <row r="126" spans="1:28" ht="36" x14ac:dyDescent="0.3">
      <c r="A126" s="2">
        <f>IF(C_Ope_007[[#This Row],[tipo_r]]="R",COUNTIFS($C$1:$C125,"R")+1,"")</f>
        <v>125</v>
      </c>
      <c r="B126" s="19" t="str">
        <f t="shared" si="9"/>
        <v>C_Ope_007</v>
      </c>
      <c r="C126" s="3" t="s">
        <v>1330</v>
      </c>
      <c r="D126" s="14">
        <v>45769</v>
      </c>
      <c r="E126" s="5" t="s">
        <v>5259</v>
      </c>
      <c r="F126" s="5" t="s">
        <v>1336</v>
      </c>
      <c r="G126" s="6" t="s">
        <v>682</v>
      </c>
      <c r="H126" s="6" t="s">
        <v>68</v>
      </c>
      <c r="I126" s="6" t="s">
        <v>1353</v>
      </c>
      <c r="J126" s="6">
        <v>16174</v>
      </c>
      <c r="K126" s="7" t="s">
        <v>9022</v>
      </c>
      <c r="L126" s="8">
        <v>23964</v>
      </c>
      <c r="M126" s="8" t="str">
        <f t="shared" si="10"/>
        <v>PEN</v>
      </c>
      <c r="N126" s="13"/>
      <c r="O126" s="13">
        <v>20</v>
      </c>
      <c r="P126" s="3">
        <f t="shared" si="6"/>
        <v>0</v>
      </c>
      <c r="Q126" s="3">
        <f t="shared" si="7"/>
        <v>20</v>
      </c>
      <c r="R126" s="3">
        <f t="shared" si="8"/>
        <v>95</v>
      </c>
      <c r="S126" s="24" t="s">
        <v>1334</v>
      </c>
      <c r="T126" s="24" t="s">
        <v>1334</v>
      </c>
      <c r="U126" s="3"/>
      <c r="V126" s="25" t="s">
        <v>7842</v>
      </c>
      <c r="W126" s="25">
        <v>20259858934</v>
      </c>
      <c r="X126" s="25" t="str">
        <f>IFERROR(VLOOKUP(C_Ope_007[[#This Row],[nota_2]],Clientes_Proveedores[[Ruc / Dni]:[Razon Social]],2,0),"")</f>
        <v>COMERCIALIZACION Y SERVICIOS EL EDEN S.A.C.</v>
      </c>
      <c r="Y126" s="25"/>
      <c r="Z126" s="103"/>
      <c r="AA126" s="3" t="str">
        <f>IF(C_Ope_007[[#This Row],[fecha]]&gt;0,TEXT(C_Ope_007[[#This Row],[fecha]],"mmmm"),0)</f>
        <v>Abril</v>
      </c>
      <c r="AB126" s="49"/>
    </row>
    <row r="127" spans="1:28" ht="36" x14ac:dyDescent="0.3">
      <c r="A127" s="2">
        <f>IF(C_Ope_007[[#This Row],[tipo_r]]="R",COUNTIFS($C$1:$C126,"R")+1,"")</f>
        <v>126</v>
      </c>
      <c r="B127" s="19" t="str">
        <f t="shared" si="9"/>
        <v>C_Ope_007</v>
      </c>
      <c r="C127" s="3" t="s">
        <v>1330</v>
      </c>
      <c r="D127" s="14">
        <v>45769</v>
      </c>
      <c r="E127" s="5" t="s">
        <v>5259</v>
      </c>
      <c r="F127" s="5" t="s">
        <v>1336</v>
      </c>
      <c r="G127" s="6" t="s">
        <v>682</v>
      </c>
      <c r="H127" s="6" t="s">
        <v>68</v>
      </c>
      <c r="I127" s="6" t="s">
        <v>1343</v>
      </c>
      <c r="J127" s="6">
        <v>34421</v>
      </c>
      <c r="K127" s="7" t="s">
        <v>9026</v>
      </c>
      <c r="L127" s="8">
        <v>23965</v>
      </c>
      <c r="M127" s="8" t="str">
        <f t="shared" si="10"/>
        <v>PEN</v>
      </c>
      <c r="N127" s="13"/>
      <c r="O127" s="13">
        <v>10</v>
      </c>
      <c r="P127" s="3">
        <f t="shared" si="6"/>
        <v>0</v>
      </c>
      <c r="Q127" s="3">
        <f t="shared" si="7"/>
        <v>10</v>
      </c>
      <c r="R127" s="3">
        <f t="shared" si="8"/>
        <v>85</v>
      </c>
      <c r="S127" s="24" t="s">
        <v>1334</v>
      </c>
      <c r="T127" s="24" t="s">
        <v>1334</v>
      </c>
      <c r="U127" s="3"/>
      <c r="V127" s="25" t="s">
        <v>7761</v>
      </c>
      <c r="W127" s="25">
        <v>20259858934</v>
      </c>
      <c r="X127" s="25" t="str">
        <f>IFERROR(VLOOKUP(C_Ope_007[[#This Row],[nota_2]],Clientes_Proveedores[[Ruc / Dni]:[Razon Social]],2,0),"")</f>
        <v>COMERCIALIZACION Y SERVICIOS EL EDEN S.A.C.</v>
      </c>
      <c r="Y127" s="25"/>
      <c r="Z127" s="103"/>
      <c r="AA127" s="3" t="str">
        <f>IF(C_Ope_007[[#This Row],[fecha]]&gt;0,TEXT(C_Ope_007[[#This Row],[fecha]],"mmmm"),0)</f>
        <v>Abril</v>
      </c>
      <c r="AB127" s="49"/>
    </row>
    <row r="128" spans="1:28" ht="36" x14ac:dyDescent="0.3">
      <c r="A128" s="2">
        <f>IF(C_Ope_007[[#This Row],[tipo_r]]="R",COUNTIFS($C$1:$C127,"R")+1,"")</f>
        <v>127</v>
      </c>
      <c r="B128" s="19" t="str">
        <f t="shared" si="9"/>
        <v>C_Ope_007</v>
      </c>
      <c r="C128" s="3" t="s">
        <v>1330</v>
      </c>
      <c r="D128" s="14">
        <v>45770</v>
      </c>
      <c r="E128" s="5" t="s">
        <v>5259</v>
      </c>
      <c r="F128" s="5" t="s">
        <v>1336</v>
      </c>
      <c r="G128" s="6" t="s">
        <v>682</v>
      </c>
      <c r="H128" s="6" t="s">
        <v>68</v>
      </c>
      <c r="I128" s="6" t="s">
        <v>1353</v>
      </c>
      <c r="J128" s="6">
        <v>16181</v>
      </c>
      <c r="K128" s="7" t="s">
        <v>9027</v>
      </c>
      <c r="L128" s="8">
        <v>24043</v>
      </c>
      <c r="M128" s="8" t="str">
        <f t="shared" si="10"/>
        <v>PEN</v>
      </c>
      <c r="N128" s="13"/>
      <c r="O128" s="13">
        <v>20</v>
      </c>
      <c r="P128" s="3">
        <f t="shared" si="6"/>
        <v>0</v>
      </c>
      <c r="Q128" s="3">
        <f t="shared" si="7"/>
        <v>20</v>
      </c>
      <c r="R128" s="3">
        <f t="shared" si="8"/>
        <v>65</v>
      </c>
      <c r="S128" s="24" t="s">
        <v>1334</v>
      </c>
      <c r="T128" s="24" t="s">
        <v>1334</v>
      </c>
      <c r="U128" s="3"/>
      <c r="V128" s="25" t="s">
        <v>7842</v>
      </c>
      <c r="W128" s="25">
        <v>20259858934</v>
      </c>
      <c r="X128" s="25" t="str">
        <f>IFERROR(VLOOKUP(C_Ope_007[[#This Row],[nota_2]],Clientes_Proveedores[[Ruc / Dni]:[Razon Social]],2,0),"")</f>
        <v>COMERCIALIZACION Y SERVICIOS EL EDEN S.A.C.</v>
      </c>
      <c r="Y128" s="25"/>
      <c r="Z128" s="103"/>
      <c r="AA128" s="3" t="str">
        <f>IF(C_Ope_007[[#This Row],[fecha]]&gt;0,TEXT(C_Ope_007[[#This Row],[fecha]],"mmmm"),0)</f>
        <v>Abril</v>
      </c>
      <c r="AB128" s="49"/>
    </row>
    <row r="129" spans="1:28" ht="36" x14ac:dyDescent="0.3">
      <c r="A129" s="2">
        <f>IF(C_Ope_007[[#This Row],[tipo_r]]="R",COUNTIFS($C$1:$C128,"R")+1,"")</f>
        <v>128</v>
      </c>
      <c r="B129" s="19" t="str">
        <f t="shared" si="9"/>
        <v>C_Ope_007</v>
      </c>
      <c r="C129" s="3" t="s">
        <v>1330</v>
      </c>
      <c r="D129" s="14">
        <v>45772</v>
      </c>
      <c r="E129" s="5" t="s">
        <v>5259</v>
      </c>
      <c r="F129" s="5" t="s">
        <v>1336</v>
      </c>
      <c r="G129" s="6" t="s">
        <v>682</v>
      </c>
      <c r="H129" s="6" t="s">
        <v>68</v>
      </c>
      <c r="I129" s="6" t="s">
        <v>1343</v>
      </c>
      <c r="J129" s="6">
        <v>34466</v>
      </c>
      <c r="K129" s="7" t="s">
        <v>9028</v>
      </c>
      <c r="L129" s="8">
        <v>24044</v>
      </c>
      <c r="M129" s="8" t="str">
        <f t="shared" si="10"/>
        <v>PEN</v>
      </c>
      <c r="N129" s="13"/>
      <c r="O129" s="13">
        <v>10</v>
      </c>
      <c r="P129" s="3">
        <f t="shared" si="6"/>
        <v>0</v>
      </c>
      <c r="Q129" s="3">
        <f t="shared" si="7"/>
        <v>10</v>
      </c>
      <c r="R129" s="3">
        <f t="shared" si="8"/>
        <v>55</v>
      </c>
      <c r="S129" s="24" t="s">
        <v>1334</v>
      </c>
      <c r="T129" s="24" t="s">
        <v>1334</v>
      </c>
      <c r="U129" s="3"/>
      <c r="V129" s="25" t="s">
        <v>7761</v>
      </c>
      <c r="W129" s="25">
        <v>20259858934</v>
      </c>
      <c r="X129" s="25" t="str">
        <f>IFERROR(VLOOKUP(C_Ope_007[[#This Row],[nota_2]],Clientes_Proveedores[[Ruc / Dni]:[Razon Social]],2,0),"")</f>
        <v>COMERCIALIZACION Y SERVICIOS EL EDEN S.A.C.</v>
      </c>
      <c r="Y129" s="25"/>
      <c r="Z129" s="103"/>
      <c r="AA129" s="3" t="str">
        <f>IF(C_Ope_007[[#This Row],[fecha]]&gt;0,TEXT(C_Ope_007[[#This Row],[fecha]],"mmmm"),0)</f>
        <v>Abril</v>
      </c>
      <c r="AB129" s="49"/>
    </row>
    <row r="130" spans="1:28" ht="36" x14ac:dyDescent="0.3">
      <c r="A130" s="2">
        <f>IF(C_Ope_007[[#This Row],[tipo_r]]="R",COUNTIFS($C$1:$C129,"R")+1,"")</f>
        <v>129</v>
      </c>
      <c r="B130" s="19" t="str">
        <f t="shared" si="9"/>
        <v>C_Ope_007</v>
      </c>
      <c r="C130" s="3" t="s">
        <v>1330</v>
      </c>
      <c r="D130" s="14">
        <v>45772</v>
      </c>
      <c r="E130" s="5" t="s">
        <v>5259</v>
      </c>
      <c r="F130" s="5" t="s">
        <v>1336</v>
      </c>
      <c r="G130" s="6" t="s">
        <v>682</v>
      </c>
      <c r="H130" s="6" t="s">
        <v>68</v>
      </c>
      <c r="I130" s="6" t="s">
        <v>1343</v>
      </c>
      <c r="J130" s="6">
        <v>34476</v>
      </c>
      <c r="K130" s="7" t="s">
        <v>9029</v>
      </c>
      <c r="L130" s="8">
        <v>24045</v>
      </c>
      <c r="M130" s="8" t="str">
        <f t="shared" si="10"/>
        <v>PEN</v>
      </c>
      <c r="N130" s="13"/>
      <c r="O130" s="13">
        <v>10</v>
      </c>
      <c r="P130" s="3">
        <f t="shared" ref="P130:P193" si="11">+IF(OR($F130="SALDO",$F130="INGRESO"),$O130,0)</f>
        <v>0</v>
      </c>
      <c r="Q130" s="3">
        <f t="shared" ref="Q130:Q193" si="12">+IF($F130="EGRESO",$O130,0)</f>
        <v>10</v>
      </c>
      <c r="R130" s="3">
        <f t="shared" ref="R130:R193" si="13">IFERROR(IF(F130="SALDO",P130,R129+P130-Q130),0)</f>
        <v>45</v>
      </c>
      <c r="S130" s="24" t="s">
        <v>1334</v>
      </c>
      <c r="T130" s="24" t="s">
        <v>1334</v>
      </c>
      <c r="U130" s="3"/>
      <c r="V130" s="25" t="s">
        <v>7761</v>
      </c>
      <c r="W130" s="25">
        <v>20259858934</v>
      </c>
      <c r="X130" s="25" t="str">
        <f>IFERROR(VLOOKUP(C_Ope_007[[#This Row],[nota_2]],Clientes_Proveedores[[Ruc / Dni]:[Razon Social]],2,0),"")</f>
        <v>COMERCIALIZACION Y SERVICIOS EL EDEN S.A.C.</v>
      </c>
      <c r="Y130" s="25"/>
      <c r="Z130" s="103"/>
      <c r="AA130" s="3" t="str">
        <f>IF(C_Ope_007[[#This Row],[fecha]]&gt;0,TEXT(C_Ope_007[[#This Row],[fecha]],"mmmm"),0)</f>
        <v>Abril</v>
      </c>
      <c r="AB130" s="49"/>
    </row>
    <row r="131" spans="1:28" ht="24" x14ac:dyDescent="0.3">
      <c r="A131" s="2">
        <f>IF(C_Ope_007[[#This Row],[tipo_r]]="R",COUNTIFS($C$1:$C130,"R")+1,"")</f>
        <v>130</v>
      </c>
      <c r="B131" s="19" t="str">
        <f t="shared" ref="B131:B194" si="14">"C_Ope_007"</f>
        <v>C_Ope_007</v>
      </c>
      <c r="C131" s="3" t="s">
        <v>1330</v>
      </c>
      <c r="D131" s="14">
        <v>45769</v>
      </c>
      <c r="E131" s="5" t="s">
        <v>5259</v>
      </c>
      <c r="F131" s="5" t="s">
        <v>1336</v>
      </c>
      <c r="G131" s="6"/>
      <c r="H131" s="6"/>
      <c r="I131" s="6"/>
      <c r="J131" s="6"/>
      <c r="K131" s="7" t="s">
        <v>9030</v>
      </c>
      <c r="L131" s="8">
        <v>23957</v>
      </c>
      <c r="M131" s="8" t="str">
        <f t="shared" ref="M131:M194" si="15">"PEN"</f>
        <v>PEN</v>
      </c>
      <c r="N131" s="13"/>
      <c r="O131" s="13">
        <v>0</v>
      </c>
      <c r="P131" s="3">
        <f t="shared" si="11"/>
        <v>0</v>
      </c>
      <c r="Q131" s="3">
        <f t="shared" si="12"/>
        <v>0</v>
      </c>
      <c r="R131" s="3">
        <f t="shared" si="13"/>
        <v>45</v>
      </c>
      <c r="S131" s="24" t="s">
        <v>1334</v>
      </c>
      <c r="T131" s="24" t="s">
        <v>1334</v>
      </c>
      <c r="U131" s="3"/>
      <c r="V131" s="25" t="s">
        <v>8072</v>
      </c>
      <c r="W131" s="25"/>
      <c r="X131" s="25" t="str">
        <f>IFERROR(VLOOKUP(C_Ope_007[[#This Row],[nota_2]],Clientes_Proveedores[[Ruc / Dni]:[Razon Social]],2,0),"")</f>
        <v/>
      </c>
      <c r="Y131" s="25"/>
      <c r="Z131" s="103"/>
      <c r="AA131" s="3" t="str">
        <f>IF(C_Ope_007[[#This Row],[fecha]]&gt;0,TEXT(C_Ope_007[[#This Row],[fecha]],"mmmm"),0)</f>
        <v>Abril</v>
      </c>
      <c r="AB131" s="49"/>
    </row>
    <row r="132" spans="1:28" ht="24" x14ac:dyDescent="0.3">
      <c r="A132" s="2">
        <f>IF(C_Ope_007[[#This Row],[tipo_r]]="R",COUNTIFS($C$1:$C131,"R")+1,"")</f>
        <v>131</v>
      </c>
      <c r="B132" s="19" t="str">
        <f t="shared" si="14"/>
        <v>C_Ope_007</v>
      </c>
      <c r="C132" s="3" t="s">
        <v>1330</v>
      </c>
      <c r="D132" s="14">
        <v>45776</v>
      </c>
      <c r="E132" s="5" t="s">
        <v>7514</v>
      </c>
      <c r="F132" s="5" t="s">
        <v>1303</v>
      </c>
      <c r="G132" s="6" t="s">
        <v>692</v>
      </c>
      <c r="H132" s="6"/>
      <c r="I132" s="6"/>
      <c r="J132" s="6"/>
      <c r="K132" s="7" t="s">
        <v>7516</v>
      </c>
      <c r="L132" s="8">
        <v>24047</v>
      </c>
      <c r="M132" s="8" t="str">
        <f t="shared" si="15"/>
        <v>PEN</v>
      </c>
      <c r="N132" s="13"/>
      <c r="O132" s="13">
        <v>90</v>
      </c>
      <c r="P132" s="3">
        <f t="shared" si="11"/>
        <v>90</v>
      </c>
      <c r="Q132" s="3">
        <f t="shared" si="12"/>
        <v>0</v>
      </c>
      <c r="R132" s="3">
        <f t="shared" si="13"/>
        <v>135</v>
      </c>
      <c r="S132" s="24" t="s">
        <v>1334</v>
      </c>
      <c r="T132" s="24" t="s">
        <v>1334</v>
      </c>
      <c r="U132" s="3"/>
      <c r="V132" s="25"/>
      <c r="W132" s="25"/>
      <c r="X132" s="25" t="str">
        <f>IFERROR(VLOOKUP(C_Ope_007[[#This Row],[nota_2]],Clientes_Proveedores[[Ruc / Dni]:[Razon Social]],2,0),"")</f>
        <v/>
      </c>
      <c r="Y132" s="25"/>
      <c r="Z132" s="103"/>
      <c r="AA132" s="3" t="str">
        <f>IF(C_Ope_007[[#This Row],[fecha]]&gt;0,TEXT(C_Ope_007[[#This Row],[fecha]],"mmmm"),0)</f>
        <v>Abril</v>
      </c>
      <c r="AB132" s="49"/>
    </row>
    <row r="133" spans="1:28" ht="24" x14ac:dyDescent="0.3">
      <c r="A133" s="2">
        <f>IF(C_Ope_007[[#This Row],[tipo_r]]="R",COUNTIFS($C$1:$C132,"R")+1,"")</f>
        <v>132</v>
      </c>
      <c r="B133" s="19" t="str">
        <f t="shared" si="14"/>
        <v>C_Ope_007</v>
      </c>
      <c r="C133" s="3" t="s">
        <v>1330</v>
      </c>
      <c r="D133" s="14">
        <v>45777</v>
      </c>
      <c r="E133" s="5" t="s">
        <v>7514</v>
      </c>
      <c r="F133" s="5" t="s">
        <v>1303</v>
      </c>
      <c r="G133" s="6" t="s">
        <v>692</v>
      </c>
      <c r="H133" s="6"/>
      <c r="I133" s="6"/>
      <c r="J133" s="6"/>
      <c r="K133" s="7" t="s">
        <v>7516</v>
      </c>
      <c r="L133" s="8">
        <v>24078</v>
      </c>
      <c r="M133" s="8" t="str">
        <f t="shared" si="15"/>
        <v>PEN</v>
      </c>
      <c r="N133" s="13"/>
      <c r="O133" s="13">
        <v>400</v>
      </c>
      <c r="P133" s="3">
        <f t="shared" si="11"/>
        <v>400</v>
      </c>
      <c r="Q133" s="3">
        <f t="shared" si="12"/>
        <v>0</v>
      </c>
      <c r="R133" s="3">
        <f t="shared" si="13"/>
        <v>535</v>
      </c>
      <c r="S133" s="24" t="s">
        <v>1334</v>
      </c>
      <c r="T133" s="24" t="s">
        <v>1334</v>
      </c>
      <c r="U133" s="3"/>
      <c r="V133" s="25"/>
      <c r="W133" s="25"/>
      <c r="X133" s="25" t="str">
        <f>IFERROR(VLOOKUP(C_Ope_007[[#This Row],[nota_2]],Clientes_Proveedores[[Ruc / Dni]:[Razon Social]],2,0),"")</f>
        <v/>
      </c>
      <c r="Y133" s="25"/>
      <c r="Z133" s="103"/>
      <c r="AA133" s="3" t="str">
        <f>IF(C_Ope_007[[#This Row],[fecha]]&gt;0,TEXT(C_Ope_007[[#This Row],[fecha]],"mmmm"),0)</f>
        <v>Abril</v>
      </c>
      <c r="AB133" s="49"/>
    </row>
    <row r="134" spans="1:28" x14ac:dyDescent="0.3">
      <c r="A134" s="2">
        <f>IF(C_Ope_007[[#This Row],[tipo_r]]="R",COUNTIFS($C$1:$C133,"R")+1,"")</f>
        <v>133</v>
      </c>
      <c r="B134" s="19" t="str">
        <f t="shared" si="14"/>
        <v>C_Ope_007</v>
      </c>
      <c r="C134" s="3" t="s">
        <v>1330</v>
      </c>
      <c r="D134" s="14">
        <v>45775</v>
      </c>
      <c r="E134" s="5" t="s">
        <v>5259</v>
      </c>
      <c r="F134" s="5" t="s">
        <v>1336</v>
      </c>
      <c r="G134" s="6" t="s">
        <v>1043</v>
      </c>
      <c r="H134" s="6" t="s">
        <v>68</v>
      </c>
      <c r="I134" s="6" t="s">
        <v>1390</v>
      </c>
      <c r="J134" s="6">
        <v>12157</v>
      </c>
      <c r="K134" s="7" t="s">
        <v>9031</v>
      </c>
      <c r="L134" s="8">
        <v>24039</v>
      </c>
      <c r="M134" s="8" t="str">
        <f t="shared" si="15"/>
        <v>PEN</v>
      </c>
      <c r="N134" s="13"/>
      <c r="O134" s="13">
        <v>10</v>
      </c>
      <c r="P134" s="3">
        <f t="shared" si="11"/>
        <v>0</v>
      </c>
      <c r="Q134" s="3">
        <f t="shared" si="12"/>
        <v>10</v>
      </c>
      <c r="R134" s="3">
        <f t="shared" si="13"/>
        <v>525</v>
      </c>
      <c r="S134" s="24" t="s">
        <v>1334</v>
      </c>
      <c r="T134" s="24" t="s">
        <v>1334</v>
      </c>
      <c r="U134" s="3"/>
      <c r="V134" s="25" t="s">
        <v>8072</v>
      </c>
      <c r="W134" s="25">
        <v>20606567856</v>
      </c>
      <c r="X134" s="25" t="str">
        <f>IFERROR(VLOOKUP(C_Ope_007[[#This Row],[nota_2]],Clientes_Proveedores[[Ruc / Dni]:[Razon Social]],2,0),"")</f>
        <v>R.E.T. &amp; SAN S.R.L.</v>
      </c>
      <c r="Y134" s="25"/>
      <c r="Z134" s="103"/>
      <c r="AA134" s="3" t="str">
        <f>IF(C_Ope_007[[#This Row],[fecha]]&gt;0,TEXT(C_Ope_007[[#This Row],[fecha]],"mmmm"),0)</f>
        <v>Abril</v>
      </c>
      <c r="AB134" s="49"/>
    </row>
    <row r="135" spans="1:28" x14ac:dyDescent="0.3">
      <c r="A135" s="2">
        <f>IF(C_Ope_007[[#This Row],[tipo_r]]="R",COUNTIFS($C$1:$C134,"R")+1,"")</f>
        <v>134</v>
      </c>
      <c r="B135" s="19" t="str">
        <f t="shared" si="14"/>
        <v>C_Ope_007</v>
      </c>
      <c r="C135" s="3" t="s">
        <v>1330</v>
      </c>
      <c r="D135" s="14">
        <v>45775</v>
      </c>
      <c r="E135" s="5" t="s">
        <v>5259</v>
      </c>
      <c r="F135" s="5" t="s">
        <v>1336</v>
      </c>
      <c r="G135" s="6" t="s">
        <v>1043</v>
      </c>
      <c r="H135" s="6" t="s">
        <v>68</v>
      </c>
      <c r="I135" s="6" t="s">
        <v>1390</v>
      </c>
      <c r="J135" s="6">
        <v>12167</v>
      </c>
      <c r="K135" s="7" t="s">
        <v>9031</v>
      </c>
      <c r="L135" s="8">
        <v>24041</v>
      </c>
      <c r="M135" s="8" t="str">
        <f t="shared" si="15"/>
        <v>PEN</v>
      </c>
      <c r="N135" s="13"/>
      <c r="O135" s="13">
        <v>10</v>
      </c>
      <c r="P135" s="3">
        <f t="shared" si="11"/>
        <v>0</v>
      </c>
      <c r="Q135" s="3">
        <f t="shared" si="12"/>
        <v>10</v>
      </c>
      <c r="R135" s="3">
        <f t="shared" si="13"/>
        <v>515</v>
      </c>
      <c r="S135" s="24" t="s">
        <v>1334</v>
      </c>
      <c r="T135" s="24" t="s">
        <v>1334</v>
      </c>
      <c r="U135" s="3"/>
      <c r="V135" s="25" t="s">
        <v>8072</v>
      </c>
      <c r="W135" s="25">
        <v>20606567856</v>
      </c>
      <c r="X135" s="25" t="str">
        <f>IFERROR(VLOOKUP(C_Ope_007[[#This Row],[nota_2]],Clientes_Proveedores[[Ruc / Dni]:[Razon Social]],2,0),"")</f>
        <v>R.E.T. &amp; SAN S.R.L.</v>
      </c>
      <c r="Y135" s="25"/>
      <c r="Z135" s="103"/>
      <c r="AA135" s="3" t="str">
        <f>IF(C_Ope_007[[#This Row],[fecha]]&gt;0,TEXT(C_Ope_007[[#This Row],[fecha]],"mmmm"),0)</f>
        <v>Abril</v>
      </c>
      <c r="AB135" s="49"/>
    </row>
    <row r="136" spans="1:28" ht="36" x14ac:dyDescent="0.3">
      <c r="A136" s="2">
        <f>IF(C_Ope_007[[#This Row],[tipo_r]]="R",COUNTIFS($C$1:$C135,"R")+1,"")</f>
        <v>135</v>
      </c>
      <c r="B136" s="19" t="str">
        <f t="shared" si="14"/>
        <v>C_Ope_007</v>
      </c>
      <c r="C136" s="3" t="s">
        <v>1330</v>
      </c>
      <c r="D136" s="14">
        <v>45775</v>
      </c>
      <c r="E136" s="5" t="s">
        <v>5259</v>
      </c>
      <c r="F136" s="5" t="s">
        <v>1336</v>
      </c>
      <c r="G136" s="6" t="s">
        <v>682</v>
      </c>
      <c r="H136" s="6" t="s">
        <v>68</v>
      </c>
      <c r="I136" s="6" t="s">
        <v>1343</v>
      </c>
      <c r="J136" s="6">
        <v>34500</v>
      </c>
      <c r="K136" s="7" t="s">
        <v>9029</v>
      </c>
      <c r="L136" s="8">
        <v>24046</v>
      </c>
      <c r="M136" s="8" t="str">
        <f t="shared" si="15"/>
        <v>PEN</v>
      </c>
      <c r="N136" s="13"/>
      <c r="O136" s="13">
        <v>10</v>
      </c>
      <c r="P136" s="3">
        <f t="shared" si="11"/>
        <v>0</v>
      </c>
      <c r="Q136" s="3">
        <f t="shared" si="12"/>
        <v>10</v>
      </c>
      <c r="R136" s="3">
        <f t="shared" si="13"/>
        <v>505</v>
      </c>
      <c r="S136" s="24" t="s">
        <v>1334</v>
      </c>
      <c r="T136" s="24" t="s">
        <v>1334</v>
      </c>
      <c r="U136" s="3"/>
      <c r="V136" s="25" t="s">
        <v>7754</v>
      </c>
      <c r="W136" s="25">
        <v>20259858934</v>
      </c>
      <c r="X136" s="25" t="str">
        <f>IFERROR(VLOOKUP(C_Ope_007[[#This Row],[nota_2]],Clientes_Proveedores[[Ruc / Dni]:[Razon Social]],2,0),"")</f>
        <v>COMERCIALIZACION Y SERVICIOS EL EDEN S.A.C.</v>
      </c>
      <c r="Y136" s="25"/>
      <c r="Z136" s="103"/>
      <c r="AA136" s="3" t="str">
        <f>IF(C_Ope_007[[#This Row],[fecha]]&gt;0,TEXT(C_Ope_007[[#This Row],[fecha]],"mmmm"),0)</f>
        <v>Abril</v>
      </c>
      <c r="AB136" s="49"/>
    </row>
    <row r="137" spans="1:28" ht="36" x14ac:dyDescent="0.3">
      <c r="A137" s="2">
        <f>IF(C_Ope_007[[#This Row],[tipo_r]]="R",COUNTIFS($C$1:$C136,"R")+1,"")</f>
        <v>136</v>
      </c>
      <c r="B137" s="19" t="str">
        <f t="shared" si="14"/>
        <v>C_Ope_007</v>
      </c>
      <c r="C137" s="3" t="s">
        <v>1330</v>
      </c>
      <c r="D137" s="14">
        <v>45777</v>
      </c>
      <c r="E137" s="5" t="s">
        <v>5259</v>
      </c>
      <c r="F137" s="5" t="s">
        <v>1336</v>
      </c>
      <c r="G137" s="6" t="s">
        <v>682</v>
      </c>
      <c r="H137" s="6" t="s">
        <v>68</v>
      </c>
      <c r="I137" s="6" t="s">
        <v>1343</v>
      </c>
      <c r="J137" s="6">
        <v>34529</v>
      </c>
      <c r="K137" s="7" t="s">
        <v>8995</v>
      </c>
      <c r="L137" s="8">
        <v>24121</v>
      </c>
      <c r="M137" s="8" t="str">
        <f t="shared" si="15"/>
        <v>PEN</v>
      </c>
      <c r="N137" s="13"/>
      <c r="O137" s="13">
        <v>10</v>
      </c>
      <c r="P137" s="3">
        <f t="shared" si="11"/>
        <v>0</v>
      </c>
      <c r="Q137" s="3">
        <f t="shared" si="12"/>
        <v>10</v>
      </c>
      <c r="R137" s="3">
        <f t="shared" si="13"/>
        <v>495</v>
      </c>
      <c r="S137" s="24" t="s">
        <v>1334</v>
      </c>
      <c r="T137" s="24" t="s">
        <v>1334</v>
      </c>
      <c r="U137" s="3"/>
      <c r="V137" s="25" t="s">
        <v>7754</v>
      </c>
      <c r="W137" s="25">
        <v>20259858934</v>
      </c>
      <c r="X137" s="25" t="str">
        <f>IFERROR(VLOOKUP(C_Ope_007[[#This Row],[nota_2]],Clientes_Proveedores[[Ruc / Dni]:[Razon Social]],2,0),"")</f>
        <v>COMERCIALIZACION Y SERVICIOS EL EDEN S.A.C.</v>
      </c>
      <c r="Y137" s="25"/>
      <c r="Z137" s="103"/>
      <c r="AA137" s="3" t="str">
        <f>IF(C_Ope_007[[#This Row],[fecha]]&gt;0,TEXT(C_Ope_007[[#This Row],[fecha]],"mmmm"),0)</f>
        <v>Abril</v>
      </c>
      <c r="AB137" s="49"/>
    </row>
    <row r="138" spans="1:28" ht="36" x14ac:dyDescent="0.3">
      <c r="A138" s="2">
        <f>IF(C_Ope_007[[#This Row],[tipo_r]]="R",COUNTIFS($C$1:$C137,"R")+1,"")</f>
        <v>137</v>
      </c>
      <c r="B138" s="19" t="str">
        <f t="shared" si="14"/>
        <v>C_Ope_007</v>
      </c>
      <c r="C138" s="3" t="s">
        <v>1330</v>
      </c>
      <c r="D138" s="14">
        <v>45777</v>
      </c>
      <c r="E138" s="5" t="s">
        <v>5259</v>
      </c>
      <c r="F138" s="5" t="s">
        <v>1336</v>
      </c>
      <c r="G138" s="6" t="s">
        <v>682</v>
      </c>
      <c r="H138" s="6" t="s">
        <v>68</v>
      </c>
      <c r="I138" s="6" t="s">
        <v>1343</v>
      </c>
      <c r="J138" s="6">
        <v>34532</v>
      </c>
      <c r="K138" s="7" t="s">
        <v>8995</v>
      </c>
      <c r="L138" s="8">
        <v>24122</v>
      </c>
      <c r="M138" s="8" t="str">
        <f t="shared" si="15"/>
        <v>PEN</v>
      </c>
      <c r="N138" s="13"/>
      <c r="O138" s="13">
        <v>10</v>
      </c>
      <c r="P138" s="3">
        <f t="shared" si="11"/>
        <v>0</v>
      </c>
      <c r="Q138" s="3">
        <f t="shared" si="12"/>
        <v>10</v>
      </c>
      <c r="R138" s="3">
        <f t="shared" si="13"/>
        <v>485</v>
      </c>
      <c r="S138" s="24" t="s">
        <v>1334</v>
      </c>
      <c r="T138" s="24" t="s">
        <v>1334</v>
      </c>
      <c r="U138" s="3"/>
      <c r="V138" s="25" t="s">
        <v>7754</v>
      </c>
      <c r="W138" s="25">
        <v>20259858934</v>
      </c>
      <c r="X138" s="25" t="str">
        <f>IFERROR(VLOOKUP(C_Ope_007[[#This Row],[nota_2]],Clientes_Proveedores[[Ruc / Dni]:[Razon Social]],2,0),"")</f>
        <v>COMERCIALIZACION Y SERVICIOS EL EDEN S.A.C.</v>
      </c>
      <c r="Y138" s="25"/>
      <c r="Z138" s="103"/>
      <c r="AA138" s="3" t="str">
        <f>IF(C_Ope_007[[#This Row],[fecha]]&gt;0,TEXT(C_Ope_007[[#This Row],[fecha]],"mmmm"),0)</f>
        <v>Abril</v>
      </c>
      <c r="AB138" s="49"/>
    </row>
    <row r="139" spans="1:28" ht="24" x14ac:dyDescent="0.3">
      <c r="A139" s="2">
        <f>IF(C_Ope_007[[#This Row],[tipo_r]]="R",COUNTIFS($C$1:$C138,"R")+1,"")</f>
        <v>138</v>
      </c>
      <c r="B139" s="19" t="str">
        <f t="shared" si="14"/>
        <v>C_Ope_007</v>
      </c>
      <c r="C139" s="3" t="s">
        <v>1330</v>
      </c>
      <c r="D139" s="14">
        <v>45777</v>
      </c>
      <c r="E139" s="5" t="s">
        <v>5259</v>
      </c>
      <c r="F139" s="5" t="s">
        <v>1336</v>
      </c>
      <c r="G139" s="6" t="s">
        <v>999</v>
      </c>
      <c r="H139" s="6" t="s">
        <v>68</v>
      </c>
      <c r="I139" s="6" t="s">
        <v>1374</v>
      </c>
      <c r="J139" s="6">
        <v>17508</v>
      </c>
      <c r="K139" s="7" t="s">
        <v>7777</v>
      </c>
      <c r="L139" s="8">
        <v>24119</v>
      </c>
      <c r="M139" s="8" t="str">
        <f t="shared" si="15"/>
        <v>PEN</v>
      </c>
      <c r="N139" s="13"/>
      <c r="O139" s="13">
        <v>25</v>
      </c>
      <c r="P139" s="3">
        <f t="shared" si="11"/>
        <v>0</v>
      </c>
      <c r="Q139" s="3">
        <f t="shared" si="12"/>
        <v>25</v>
      </c>
      <c r="R139" s="3">
        <f t="shared" si="13"/>
        <v>460</v>
      </c>
      <c r="S139" s="24" t="s">
        <v>1334</v>
      </c>
      <c r="T139" s="24" t="s">
        <v>1334</v>
      </c>
      <c r="U139" s="3"/>
      <c r="V139" s="25" t="s">
        <v>7756</v>
      </c>
      <c r="W139" s="25">
        <v>10705628331</v>
      </c>
      <c r="X139" s="25" t="str">
        <f>IFERROR(VLOOKUP(C_Ope_007[[#This Row],[nota_2]],Clientes_Proveedores[[Ruc / Dni]:[Razon Social]],2,0),"")</f>
        <v>LARICO APAZA NANCY ROSSMARY</v>
      </c>
      <c r="Y139" s="25"/>
      <c r="Z139" s="103"/>
      <c r="AA139" s="3" t="str">
        <f>IF(C_Ope_007[[#This Row],[fecha]]&gt;0,TEXT(C_Ope_007[[#This Row],[fecha]],"mmmm"),0)</f>
        <v>Abril</v>
      </c>
      <c r="AB139" s="49"/>
    </row>
    <row r="140" spans="1:28" ht="24" x14ac:dyDescent="0.3">
      <c r="A140" s="2">
        <f>IF(C_Ope_007[[#This Row],[tipo_r]]="R",COUNTIFS($C$1:$C139,"R")+1,"")</f>
        <v>139</v>
      </c>
      <c r="B140" s="19" t="str">
        <f t="shared" si="14"/>
        <v>C_Ope_007</v>
      </c>
      <c r="C140" s="3" t="s">
        <v>1330</v>
      </c>
      <c r="D140" s="14">
        <v>45779</v>
      </c>
      <c r="E140" s="5" t="s">
        <v>5259</v>
      </c>
      <c r="F140" s="5" t="s">
        <v>1336</v>
      </c>
      <c r="G140" s="6" t="s">
        <v>978</v>
      </c>
      <c r="H140" s="6" t="s">
        <v>68</v>
      </c>
      <c r="I140" s="6" t="s">
        <v>5688</v>
      </c>
      <c r="J140" s="6">
        <v>2318055</v>
      </c>
      <c r="K140" s="7" t="s">
        <v>9032</v>
      </c>
      <c r="L140" s="8">
        <v>24117</v>
      </c>
      <c r="M140" s="8" t="str">
        <f t="shared" si="15"/>
        <v>PEN</v>
      </c>
      <c r="N140" s="13"/>
      <c r="O140" s="13">
        <v>8</v>
      </c>
      <c r="P140" s="3">
        <f t="shared" si="11"/>
        <v>0</v>
      </c>
      <c r="Q140" s="3">
        <f t="shared" si="12"/>
        <v>8</v>
      </c>
      <c r="R140" s="3">
        <f t="shared" si="13"/>
        <v>452</v>
      </c>
      <c r="S140" s="24" t="s">
        <v>1334</v>
      </c>
      <c r="T140" s="24" t="s">
        <v>1334</v>
      </c>
      <c r="U140" s="3"/>
      <c r="V140" s="25" t="s">
        <v>7756</v>
      </c>
      <c r="W140" s="25">
        <v>20517252558</v>
      </c>
      <c r="X140" s="25" t="str">
        <f>IFERROR(VLOOKUP(C_Ope_007[[#This Row],[nota_2]],Clientes_Proveedores[[Ruc / Dni]:[Razon Social]],2,0),"")</f>
        <v>COVISUR S.A.</v>
      </c>
      <c r="Y140" s="25"/>
      <c r="Z140" s="103"/>
      <c r="AA140" s="3" t="str">
        <f>IF(C_Ope_007[[#This Row],[fecha]]&gt;0,TEXT(C_Ope_007[[#This Row],[fecha]],"mmmm"),0)</f>
        <v>Mayo</v>
      </c>
      <c r="AB140" s="49"/>
    </row>
    <row r="141" spans="1:28" ht="24" x14ac:dyDescent="0.3">
      <c r="A141" s="2">
        <f>IF(C_Ope_007[[#This Row],[tipo_r]]="R",COUNTIFS($C$1:$C140,"R")+1,"")</f>
        <v>140</v>
      </c>
      <c r="B141" s="19" t="str">
        <f t="shared" si="14"/>
        <v>C_Ope_007</v>
      </c>
      <c r="C141" s="3" t="s">
        <v>1330</v>
      </c>
      <c r="D141" s="14">
        <v>45779</v>
      </c>
      <c r="E141" s="5" t="s">
        <v>5259</v>
      </c>
      <c r="F141" s="5" t="s">
        <v>1336</v>
      </c>
      <c r="G141" s="6" t="s">
        <v>978</v>
      </c>
      <c r="H141" s="6" t="s">
        <v>68</v>
      </c>
      <c r="I141" s="6" t="s">
        <v>6203</v>
      </c>
      <c r="J141" s="6">
        <v>2038904</v>
      </c>
      <c r="K141" s="7" t="s">
        <v>9032</v>
      </c>
      <c r="L141" s="8">
        <v>24118</v>
      </c>
      <c r="M141" s="8" t="str">
        <f t="shared" si="15"/>
        <v>PEN</v>
      </c>
      <c r="N141" s="13"/>
      <c r="O141" s="13">
        <v>8</v>
      </c>
      <c r="P141" s="3">
        <f t="shared" si="11"/>
        <v>0</v>
      </c>
      <c r="Q141" s="3">
        <f t="shared" si="12"/>
        <v>8</v>
      </c>
      <c r="R141" s="3">
        <f t="shared" si="13"/>
        <v>444</v>
      </c>
      <c r="S141" s="24" t="s">
        <v>1334</v>
      </c>
      <c r="T141" s="24" t="s">
        <v>1334</v>
      </c>
      <c r="U141" s="3"/>
      <c r="V141" s="25" t="s">
        <v>7756</v>
      </c>
      <c r="W141" s="25">
        <v>20517252558</v>
      </c>
      <c r="X141" s="25" t="str">
        <f>IFERROR(VLOOKUP(C_Ope_007[[#This Row],[nota_2]],Clientes_Proveedores[[Ruc / Dni]:[Razon Social]],2,0),"")</f>
        <v>COVISUR S.A.</v>
      </c>
      <c r="Y141" s="25"/>
      <c r="Z141" s="103"/>
      <c r="AA141" s="3" t="str">
        <f>IF(C_Ope_007[[#This Row],[fecha]]&gt;0,TEXT(C_Ope_007[[#This Row],[fecha]],"mmmm"),0)</f>
        <v>Mayo</v>
      </c>
      <c r="AB141" s="49"/>
    </row>
    <row r="142" spans="1:28" ht="24" x14ac:dyDescent="0.3">
      <c r="A142" s="2">
        <f>IF(C_Ope_007[[#This Row],[tipo_r]]="R",COUNTIFS($C$1:$C141,"R")+1,"")</f>
        <v>141</v>
      </c>
      <c r="B142" s="19" t="str">
        <f t="shared" si="14"/>
        <v>C_Ope_007</v>
      </c>
      <c r="C142" s="3" t="s">
        <v>1330</v>
      </c>
      <c r="D142" s="14">
        <v>45783</v>
      </c>
      <c r="E142" s="5" t="s">
        <v>5259</v>
      </c>
      <c r="F142" s="5" t="s">
        <v>1336</v>
      </c>
      <c r="G142" s="6" t="s">
        <v>978</v>
      </c>
      <c r="H142" s="6" t="s">
        <v>68</v>
      </c>
      <c r="I142" s="6" t="s">
        <v>6204</v>
      </c>
      <c r="J142" s="6">
        <v>1723365</v>
      </c>
      <c r="K142" s="7" t="s">
        <v>9033</v>
      </c>
      <c r="L142" s="8">
        <v>24248</v>
      </c>
      <c r="M142" s="8" t="str">
        <f t="shared" si="15"/>
        <v>PEN</v>
      </c>
      <c r="N142" s="13"/>
      <c r="O142" s="13">
        <v>8</v>
      </c>
      <c r="P142" s="3">
        <f t="shared" si="11"/>
        <v>0</v>
      </c>
      <c r="Q142" s="3">
        <f t="shared" si="12"/>
        <v>8</v>
      </c>
      <c r="R142" s="3">
        <f t="shared" si="13"/>
        <v>436</v>
      </c>
      <c r="S142" s="24" t="s">
        <v>1334</v>
      </c>
      <c r="T142" s="24" t="s">
        <v>1334</v>
      </c>
      <c r="U142" s="3"/>
      <c r="V142" s="25" t="s">
        <v>7756</v>
      </c>
      <c r="W142" s="25">
        <v>20517252558</v>
      </c>
      <c r="X142" s="25" t="str">
        <f>IFERROR(VLOOKUP(C_Ope_007[[#This Row],[nota_2]],Clientes_Proveedores[[Ruc / Dni]:[Razon Social]],2,0),"")</f>
        <v>COVISUR S.A.</v>
      </c>
      <c r="Y142" s="25"/>
      <c r="Z142" s="103"/>
      <c r="AA142" s="3" t="str">
        <f>IF(C_Ope_007[[#This Row],[fecha]]&gt;0,TEXT(C_Ope_007[[#This Row],[fecha]],"mmmm"),0)</f>
        <v>Mayo</v>
      </c>
      <c r="AB142" s="49"/>
    </row>
    <row r="143" spans="1:28" ht="24" x14ac:dyDescent="0.3">
      <c r="A143" s="2">
        <f>IF(C_Ope_007[[#This Row],[tipo_r]]="R",COUNTIFS($C$1:$C142,"R")+1,"")</f>
        <v>142</v>
      </c>
      <c r="B143" s="19" t="str">
        <f t="shared" si="14"/>
        <v>C_Ope_007</v>
      </c>
      <c r="C143" s="3" t="s">
        <v>1330</v>
      </c>
      <c r="D143" s="14">
        <v>45783</v>
      </c>
      <c r="E143" s="5" t="s">
        <v>5259</v>
      </c>
      <c r="F143" s="5" t="s">
        <v>1336</v>
      </c>
      <c r="G143" s="6" t="s">
        <v>978</v>
      </c>
      <c r="H143" s="6" t="s">
        <v>68</v>
      </c>
      <c r="I143" s="6" t="s">
        <v>5845</v>
      </c>
      <c r="J143" s="6">
        <v>1742822</v>
      </c>
      <c r="K143" s="7" t="s">
        <v>9033</v>
      </c>
      <c r="L143" s="8">
        <v>24249</v>
      </c>
      <c r="M143" s="8" t="str">
        <f t="shared" si="15"/>
        <v>PEN</v>
      </c>
      <c r="N143" s="13"/>
      <c r="O143" s="13">
        <v>8</v>
      </c>
      <c r="P143" s="3">
        <f t="shared" si="11"/>
        <v>0</v>
      </c>
      <c r="Q143" s="3">
        <f t="shared" si="12"/>
        <v>8</v>
      </c>
      <c r="R143" s="3">
        <f t="shared" si="13"/>
        <v>428</v>
      </c>
      <c r="S143" s="24" t="s">
        <v>1334</v>
      </c>
      <c r="T143" s="24" t="s">
        <v>1334</v>
      </c>
      <c r="U143" s="3"/>
      <c r="V143" s="25" t="s">
        <v>7756</v>
      </c>
      <c r="W143" s="25">
        <v>20517252558</v>
      </c>
      <c r="X143" s="25" t="str">
        <f>IFERROR(VLOOKUP(C_Ope_007[[#This Row],[nota_2]],Clientes_Proveedores[[Ruc / Dni]:[Razon Social]],2,0),"")</f>
        <v>COVISUR S.A.</v>
      </c>
      <c r="Y143" s="25"/>
      <c r="Z143" s="103"/>
      <c r="AA143" s="3" t="str">
        <f>IF(C_Ope_007[[#This Row],[fecha]]&gt;0,TEXT(C_Ope_007[[#This Row],[fecha]],"mmmm"),0)</f>
        <v>Mayo</v>
      </c>
      <c r="AB143" s="49"/>
    </row>
    <row r="144" spans="1:28" ht="24" x14ac:dyDescent="0.3">
      <c r="A144" s="2">
        <f>IF(C_Ope_007[[#This Row],[tipo_r]]="R",COUNTIFS($C$1:$C143,"R")+1,"")</f>
        <v>143</v>
      </c>
      <c r="B144" s="19" t="str">
        <f t="shared" si="14"/>
        <v>C_Ope_007</v>
      </c>
      <c r="C144" s="3" t="s">
        <v>1330</v>
      </c>
      <c r="D144" s="14">
        <v>45786</v>
      </c>
      <c r="E144" s="5" t="s">
        <v>5259</v>
      </c>
      <c r="F144" s="5" t="s">
        <v>1336</v>
      </c>
      <c r="G144" s="6" t="s">
        <v>978</v>
      </c>
      <c r="H144" s="6" t="s">
        <v>68</v>
      </c>
      <c r="I144" s="6" t="s">
        <v>6204</v>
      </c>
      <c r="J144" s="6">
        <v>1726373</v>
      </c>
      <c r="K144" s="7" t="s">
        <v>9034</v>
      </c>
      <c r="L144" s="8">
        <v>24371</v>
      </c>
      <c r="M144" s="8" t="str">
        <f t="shared" si="15"/>
        <v>PEN</v>
      </c>
      <c r="N144" s="13"/>
      <c r="O144" s="13">
        <v>8</v>
      </c>
      <c r="P144" s="3">
        <f t="shared" si="11"/>
        <v>0</v>
      </c>
      <c r="Q144" s="3">
        <f t="shared" si="12"/>
        <v>8</v>
      </c>
      <c r="R144" s="3">
        <f t="shared" si="13"/>
        <v>420</v>
      </c>
      <c r="S144" s="24" t="s">
        <v>1334</v>
      </c>
      <c r="T144" s="24" t="s">
        <v>1334</v>
      </c>
      <c r="U144" s="3"/>
      <c r="V144" s="25" t="s">
        <v>7756</v>
      </c>
      <c r="W144" s="25">
        <v>20517252558</v>
      </c>
      <c r="X144" s="25" t="str">
        <f>IFERROR(VLOOKUP(C_Ope_007[[#This Row],[nota_2]],Clientes_Proveedores[[Ruc / Dni]:[Razon Social]],2,0),"")</f>
        <v>COVISUR S.A.</v>
      </c>
      <c r="Y144" s="25"/>
      <c r="Z144" s="103"/>
      <c r="AA144" s="3" t="str">
        <f>IF(C_Ope_007[[#This Row],[fecha]]&gt;0,TEXT(C_Ope_007[[#This Row],[fecha]],"mmmm"),0)</f>
        <v>Mayo</v>
      </c>
      <c r="AB144" s="49"/>
    </row>
    <row r="145" spans="1:28" ht="24" x14ac:dyDescent="0.3">
      <c r="A145" s="2">
        <f>IF(C_Ope_007[[#This Row],[tipo_r]]="R",COUNTIFS($C$1:$C144,"R")+1,"")</f>
        <v>144</v>
      </c>
      <c r="B145" s="19" t="str">
        <f t="shared" si="14"/>
        <v>C_Ope_007</v>
      </c>
      <c r="C145" s="3" t="s">
        <v>1330</v>
      </c>
      <c r="D145" s="14">
        <v>45786</v>
      </c>
      <c r="E145" s="5" t="s">
        <v>5259</v>
      </c>
      <c r="F145" s="5" t="s">
        <v>1336</v>
      </c>
      <c r="G145" s="6" t="s">
        <v>978</v>
      </c>
      <c r="H145" s="6" t="s">
        <v>68</v>
      </c>
      <c r="I145" s="6" t="s">
        <v>5845</v>
      </c>
      <c r="J145" s="6">
        <v>1745720</v>
      </c>
      <c r="K145" s="7" t="s">
        <v>9034</v>
      </c>
      <c r="L145" s="8">
        <v>24372</v>
      </c>
      <c r="M145" s="8" t="str">
        <f t="shared" si="15"/>
        <v>PEN</v>
      </c>
      <c r="N145" s="13"/>
      <c r="O145" s="13">
        <v>8</v>
      </c>
      <c r="P145" s="3">
        <f t="shared" si="11"/>
        <v>0</v>
      </c>
      <c r="Q145" s="3">
        <f t="shared" si="12"/>
        <v>8</v>
      </c>
      <c r="R145" s="3">
        <f t="shared" si="13"/>
        <v>412</v>
      </c>
      <c r="S145" s="24" t="s">
        <v>1334</v>
      </c>
      <c r="T145" s="24" t="s">
        <v>1334</v>
      </c>
      <c r="U145" s="3"/>
      <c r="V145" s="25" t="s">
        <v>7756</v>
      </c>
      <c r="W145" s="25">
        <v>20517252558</v>
      </c>
      <c r="X145" s="25" t="str">
        <f>IFERROR(VLOOKUP(C_Ope_007[[#This Row],[nota_2]],Clientes_Proveedores[[Ruc / Dni]:[Razon Social]],2,0),"")</f>
        <v>COVISUR S.A.</v>
      </c>
      <c r="Y145" s="25"/>
      <c r="Z145" s="103"/>
      <c r="AA145" s="3" t="str">
        <f>IF(C_Ope_007[[#This Row],[fecha]]&gt;0,TEXT(C_Ope_007[[#This Row],[fecha]],"mmmm"),0)</f>
        <v>Mayo</v>
      </c>
      <c r="AB145" s="49"/>
    </row>
    <row r="146" spans="1:28" ht="36" x14ac:dyDescent="0.3">
      <c r="A146" s="2">
        <f>IF(C_Ope_007[[#This Row],[tipo_r]]="R",COUNTIFS($C$1:$C145,"R")+1,"")</f>
        <v>145</v>
      </c>
      <c r="B146" s="19" t="str">
        <f t="shared" si="14"/>
        <v>C_Ope_007</v>
      </c>
      <c r="C146" s="3" t="s">
        <v>1330</v>
      </c>
      <c r="D146" s="14">
        <v>45779</v>
      </c>
      <c r="E146" s="5" t="s">
        <v>5259</v>
      </c>
      <c r="F146" s="5" t="s">
        <v>1336</v>
      </c>
      <c r="G146" s="6" t="s">
        <v>227</v>
      </c>
      <c r="H146" s="6" t="s">
        <v>68</v>
      </c>
      <c r="I146" s="6" t="s">
        <v>1390</v>
      </c>
      <c r="J146" s="6">
        <v>131416</v>
      </c>
      <c r="K146" s="7" t="s">
        <v>9035</v>
      </c>
      <c r="L146" s="8">
        <v>24123</v>
      </c>
      <c r="M146" s="8" t="str">
        <f t="shared" si="15"/>
        <v>PEN</v>
      </c>
      <c r="N146" s="13"/>
      <c r="O146" s="13">
        <v>10</v>
      </c>
      <c r="P146" s="3">
        <f t="shared" si="11"/>
        <v>0</v>
      </c>
      <c r="Q146" s="3">
        <f t="shared" si="12"/>
        <v>10</v>
      </c>
      <c r="R146" s="3">
        <f t="shared" si="13"/>
        <v>402</v>
      </c>
      <c r="S146" s="24" t="s">
        <v>1334</v>
      </c>
      <c r="T146" s="24" t="s">
        <v>1334</v>
      </c>
      <c r="U146" s="3"/>
      <c r="V146" s="25" t="s">
        <v>8072</v>
      </c>
      <c r="W146" s="25">
        <v>20124952850</v>
      </c>
      <c r="X146" s="25" t="str">
        <f>IFERROR(VLOOKUP(C_Ope_007[[#This Row],[nota_2]],Clientes_Proveedores[[Ruc / Dni]:[Razon Social]],2,0),"")</f>
        <v>ALIMENTOS Y SERVICIOS AGROPECUARIOS SRL.</v>
      </c>
      <c r="Y146" s="25"/>
      <c r="Z146" s="103"/>
      <c r="AA146" s="3" t="str">
        <f>IF(C_Ope_007[[#This Row],[fecha]]&gt;0,TEXT(C_Ope_007[[#This Row],[fecha]],"mmmm"),0)</f>
        <v>Mayo</v>
      </c>
      <c r="AB146" s="49"/>
    </row>
    <row r="147" spans="1:28" ht="24" x14ac:dyDescent="0.3">
      <c r="A147" s="2">
        <f>IF(C_Ope_007[[#This Row],[tipo_r]]="R",COUNTIFS($C$1:$C146,"R")+1,"")</f>
        <v>146</v>
      </c>
      <c r="B147" s="19" t="str">
        <f t="shared" si="14"/>
        <v>C_Ope_007</v>
      </c>
      <c r="C147" s="3" t="s">
        <v>1330</v>
      </c>
      <c r="D147" s="14">
        <v>45784</v>
      </c>
      <c r="E147" s="5" t="s">
        <v>5259</v>
      </c>
      <c r="F147" s="5" t="s">
        <v>1336</v>
      </c>
      <c r="G147" s="6" t="s">
        <v>998</v>
      </c>
      <c r="H147" s="6" t="s">
        <v>68</v>
      </c>
      <c r="I147" s="6" t="s">
        <v>6378</v>
      </c>
      <c r="J147" s="6">
        <v>754</v>
      </c>
      <c r="K147" s="7" t="s">
        <v>7834</v>
      </c>
      <c r="L147" s="8">
        <v>24269</v>
      </c>
      <c r="M147" s="8" t="str">
        <f t="shared" si="15"/>
        <v>PEN</v>
      </c>
      <c r="N147" s="13"/>
      <c r="O147" s="13">
        <v>10</v>
      </c>
      <c r="P147" s="3">
        <f t="shared" si="11"/>
        <v>0</v>
      </c>
      <c r="Q147" s="3">
        <f t="shared" si="12"/>
        <v>10</v>
      </c>
      <c r="R147" s="3">
        <f t="shared" si="13"/>
        <v>392</v>
      </c>
      <c r="S147" s="24" t="s">
        <v>1334</v>
      </c>
      <c r="T147" s="24" t="s">
        <v>1334</v>
      </c>
      <c r="U147" s="3"/>
      <c r="V147" s="25" t="s">
        <v>7756</v>
      </c>
      <c r="W147" s="25">
        <v>20612112500</v>
      </c>
      <c r="X147" s="25" t="str">
        <f>IFERROR(VLOOKUP(C_Ope_007[[#This Row],[nota_2]],Clientes_Proveedores[[Ruc / Dni]:[Razon Social]],2,0),"")</f>
        <v>RECICLADORA LAS LOMAS E.I.R.L.</v>
      </c>
      <c r="Y147" s="25"/>
      <c r="Z147" s="103"/>
      <c r="AA147" s="3" t="str">
        <f>IF(C_Ope_007[[#This Row],[fecha]]&gt;0,TEXT(C_Ope_007[[#This Row],[fecha]],"mmmm"),0)</f>
        <v>Mayo</v>
      </c>
      <c r="AB147" s="49"/>
    </row>
    <row r="148" spans="1:28" ht="24" x14ac:dyDescent="0.3">
      <c r="A148" s="2">
        <f>IF(C_Ope_007[[#This Row],[tipo_r]]="R",COUNTIFS($C$1:$C147,"R")+1,"")</f>
        <v>147</v>
      </c>
      <c r="B148" s="19" t="str">
        <f t="shared" si="14"/>
        <v>C_Ope_007</v>
      </c>
      <c r="C148" s="3" t="s">
        <v>1330</v>
      </c>
      <c r="D148" s="14">
        <v>45782</v>
      </c>
      <c r="E148" s="5" t="s">
        <v>5259</v>
      </c>
      <c r="F148" s="5" t="s">
        <v>1336</v>
      </c>
      <c r="G148" s="6" t="s">
        <v>1198</v>
      </c>
      <c r="H148" s="6" t="s">
        <v>68</v>
      </c>
      <c r="I148" s="6" t="s">
        <v>1390</v>
      </c>
      <c r="J148" s="6">
        <v>32386</v>
      </c>
      <c r="K148" s="7" t="s">
        <v>7777</v>
      </c>
      <c r="L148" s="8">
        <v>24120</v>
      </c>
      <c r="M148" s="8" t="str">
        <f t="shared" si="15"/>
        <v>PEN</v>
      </c>
      <c r="N148" s="13"/>
      <c r="O148" s="13">
        <v>40</v>
      </c>
      <c r="P148" s="3">
        <f t="shared" si="11"/>
        <v>0</v>
      </c>
      <c r="Q148" s="3">
        <f t="shared" si="12"/>
        <v>40</v>
      </c>
      <c r="R148" s="3">
        <f t="shared" si="13"/>
        <v>352</v>
      </c>
      <c r="S148" s="24" t="s">
        <v>1334</v>
      </c>
      <c r="T148" s="24" t="s">
        <v>1334</v>
      </c>
      <c r="U148" s="3"/>
      <c r="V148" s="25" t="s">
        <v>7756</v>
      </c>
      <c r="W148" s="25">
        <v>20605709053</v>
      </c>
      <c r="X148" s="25" t="str">
        <f>IFERROR(VLOOKUP(C_Ope_007[[#This Row],[nota_2]],Clientes_Proveedores[[Ruc / Dni]:[Razon Social]],2,0),"")</f>
        <v>CCG TRANSPORTES MULTIGAS S.A.C.</v>
      </c>
      <c r="Y148" s="25"/>
      <c r="Z148" s="103"/>
      <c r="AA148" s="3" t="str">
        <f>IF(C_Ope_007[[#This Row],[fecha]]&gt;0,TEXT(C_Ope_007[[#This Row],[fecha]],"mmmm"),0)</f>
        <v>Mayo</v>
      </c>
      <c r="AB148" s="49"/>
    </row>
    <row r="149" spans="1:28" ht="24" x14ac:dyDescent="0.3">
      <c r="A149" s="2">
        <f>IF(C_Ope_007[[#This Row],[tipo_r]]="R",COUNTIFS($C$1:$C148,"R")+1,"")</f>
        <v>148</v>
      </c>
      <c r="B149" s="19" t="str">
        <f t="shared" si="14"/>
        <v>C_Ope_007</v>
      </c>
      <c r="C149" s="3" t="s">
        <v>1330</v>
      </c>
      <c r="D149" s="14">
        <v>45789</v>
      </c>
      <c r="E149" s="5" t="s">
        <v>5259</v>
      </c>
      <c r="F149" s="5" t="s">
        <v>1336</v>
      </c>
      <c r="G149" s="6" t="s">
        <v>978</v>
      </c>
      <c r="H149" s="6" t="s">
        <v>68</v>
      </c>
      <c r="I149" s="6" t="s">
        <v>5688</v>
      </c>
      <c r="J149" s="6">
        <v>2328802</v>
      </c>
      <c r="K149" s="7" t="s">
        <v>9036</v>
      </c>
      <c r="L149" s="8">
        <v>24250</v>
      </c>
      <c r="M149" s="8" t="str">
        <f t="shared" si="15"/>
        <v>PEN</v>
      </c>
      <c r="N149" s="13"/>
      <c r="O149" s="13">
        <v>8</v>
      </c>
      <c r="P149" s="3">
        <f t="shared" si="11"/>
        <v>0</v>
      </c>
      <c r="Q149" s="3">
        <f t="shared" si="12"/>
        <v>8</v>
      </c>
      <c r="R149" s="3">
        <f t="shared" si="13"/>
        <v>344</v>
      </c>
      <c r="S149" s="24" t="s">
        <v>1334</v>
      </c>
      <c r="T149" s="24" t="s">
        <v>1334</v>
      </c>
      <c r="U149" s="3"/>
      <c r="V149" s="25" t="s">
        <v>7756</v>
      </c>
      <c r="W149" s="25">
        <v>20517252558</v>
      </c>
      <c r="X149" s="25" t="str">
        <f>IFERROR(VLOOKUP(C_Ope_007[[#This Row],[nota_2]],Clientes_Proveedores[[Ruc / Dni]:[Razon Social]],2,0),"")</f>
        <v>COVISUR S.A.</v>
      </c>
      <c r="Y149" s="25"/>
      <c r="Z149" s="103"/>
      <c r="AA149" s="3" t="str">
        <f>IF(C_Ope_007[[#This Row],[fecha]]&gt;0,TEXT(C_Ope_007[[#This Row],[fecha]],"mmmm"),0)</f>
        <v>Mayo</v>
      </c>
      <c r="AB149" s="49"/>
    </row>
    <row r="150" spans="1:28" ht="24" x14ac:dyDescent="0.3">
      <c r="A150" s="2">
        <f>IF(C_Ope_007[[#This Row],[tipo_r]]="R",COUNTIFS($C$1:$C149,"R")+1,"")</f>
        <v>149</v>
      </c>
      <c r="B150" s="19" t="str">
        <f t="shared" si="14"/>
        <v>C_Ope_007</v>
      </c>
      <c r="C150" s="3" t="s">
        <v>1330</v>
      </c>
      <c r="D150" s="14">
        <v>45789</v>
      </c>
      <c r="E150" s="5" t="s">
        <v>5259</v>
      </c>
      <c r="F150" s="5" t="s">
        <v>1336</v>
      </c>
      <c r="G150" s="6" t="s">
        <v>978</v>
      </c>
      <c r="H150" s="6" t="s">
        <v>68</v>
      </c>
      <c r="I150" s="6" t="s">
        <v>6203</v>
      </c>
      <c r="J150" s="6">
        <v>2048138</v>
      </c>
      <c r="K150" s="7" t="s">
        <v>9036</v>
      </c>
      <c r="L150" s="8">
        <v>24251</v>
      </c>
      <c r="M150" s="8" t="str">
        <f t="shared" si="15"/>
        <v>PEN</v>
      </c>
      <c r="N150" s="13"/>
      <c r="O150" s="13">
        <v>8</v>
      </c>
      <c r="P150" s="3">
        <f t="shared" si="11"/>
        <v>0</v>
      </c>
      <c r="Q150" s="3">
        <f t="shared" si="12"/>
        <v>8</v>
      </c>
      <c r="R150" s="3">
        <f t="shared" si="13"/>
        <v>336</v>
      </c>
      <c r="S150" s="24" t="s">
        <v>1334</v>
      </c>
      <c r="T150" s="24" t="s">
        <v>1334</v>
      </c>
      <c r="U150" s="3"/>
      <c r="V150" s="25" t="s">
        <v>7756</v>
      </c>
      <c r="W150" s="25">
        <v>20517252558</v>
      </c>
      <c r="X150" s="25" t="str">
        <f>IFERROR(VLOOKUP(C_Ope_007[[#This Row],[nota_2]],Clientes_Proveedores[[Ruc / Dni]:[Razon Social]],2,0),"")</f>
        <v>COVISUR S.A.</v>
      </c>
      <c r="Y150" s="25"/>
      <c r="Z150" s="103"/>
      <c r="AA150" s="3" t="str">
        <f>IF(C_Ope_007[[#This Row],[fecha]]&gt;0,TEXT(C_Ope_007[[#This Row],[fecha]],"mmmm"),0)</f>
        <v>Mayo</v>
      </c>
      <c r="AB150" s="49"/>
    </row>
    <row r="151" spans="1:28" ht="24" x14ac:dyDescent="0.3">
      <c r="A151" s="2">
        <f>IF(C_Ope_007[[#This Row],[tipo_r]]="R",COUNTIFS($C$1:$C150,"R")+1,"")</f>
        <v>150</v>
      </c>
      <c r="B151" s="19" t="str">
        <f t="shared" si="14"/>
        <v>C_Ope_007</v>
      </c>
      <c r="C151" s="3" t="s">
        <v>1330</v>
      </c>
      <c r="D151" s="14">
        <v>45790</v>
      </c>
      <c r="E151" s="5" t="s">
        <v>5259</v>
      </c>
      <c r="F151" s="5" t="s">
        <v>1336</v>
      </c>
      <c r="G151" s="6" t="s">
        <v>978</v>
      </c>
      <c r="H151" s="6" t="s">
        <v>68</v>
      </c>
      <c r="I151" s="6" t="s">
        <v>5688</v>
      </c>
      <c r="J151" s="6">
        <v>2329978</v>
      </c>
      <c r="K151" s="7" t="s">
        <v>9037</v>
      </c>
      <c r="L151" s="8">
        <v>24252</v>
      </c>
      <c r="M151" s="8" t="str">
        <f t="shared" si="15"/>
        <v>PEN</v>
      </c>
      <c r="N151" s="13"/>
      <c r="O151" s="13">
        <v>8</v>
      </c>
      <c r="P151" s="3">
        <f t="shared" si="11"/>
        <v>0</v>
      </c>
      <c r="Q151" s="3">
        <f t="shared" si="12"/>
        <v>8</v>
      </c>
      <c r="R151" s="3">
        <f t="shared" si="13"/>
        <v>328</v>
      </c>
      <c r="S151" s="24" t="s">
        <v>1334</v>
      </c>
      <c r="T151" s="24" t="s">
        <v>1334</v>
      </c>
      <c r="U151" s="3"/>
      <c r="V151" s="25" t="s">
        <v>7756</v>
      </c>
      <c r="W151" s="25">
        <v>20517252558</v>
      </c>
      <c r="X151" s="25" t="str">
        <f>IFERROR(VLOOKUP(C_Ope_007[[#This Row],[nota_2]],Clientes_Proveedores[[Ruc / Dni]:[Razon Social]],2,0),"")</f>
        <v>COVISUR S.A.</v>
      </c>
      <c r="Y151" s="25"/>
      <c r="Z151" s="103"/>
      <c r="AA151" s="3" t="str">
        <f>IF(C_Ope_007[[#This Row],[fecha]]&gt;0,TEXT(C_Ope_007[[#This Row],[fecha]],"mmmm"),0)</f>
        <v>Mayo</v>
      </c>
      <c r="AB151" s="49"/>
    </row>
    <row r="152" spans="1:28" ht="24" x14ac:dyDescent="0.3">
      <c r="A152" s="2">
        <f>IF(C_Ope_007[[#This Row],[tipo_r]]="R",COUNTIFS($C$1:$C151,"R")+1,"")</f>
        <v>151</v>
      </c>
      <c r="B152" s="19" t="str">
        <f t="shared" si="14"/>
        <v>C_Ope_007</v>
      </c>
      <c r="C152" s="3" t="s">
        <v>1330</v>
      </c>
      <c r="D152" s="14">
        <v>45790</v>
      </c>
      <c r="E152" s="5" t="s">
        <v>5259</v>
      </c>
      <c r="F152" s="5" t="s">
        <v>1336</v>
      </c>
      <c r="G152" s="6" t="s">
        <v>978</v>
      </c>
      <c r="H152" s="6" t="s">
        <v>68</v>
      </c>
      <c r="I152" s="6" t="s">
        <v>6203</v>
      </c>
      <c r="J152" s="6">
        <v>2049048</v>
      </c>
      <c r="K152" s="7" t="s">
        <v>9037</v>
      </c>
      <c r="L152" s="8">
        <v>24253</v>
      </c>
      <c r="M152" s="8" t="str">
        <f t="shared" si="15"/>
        <v>PEN</v>
      </c>
      <c r="N152" s="13"/>
      <c r="O152" s="13">
        <v>8</v>
      </c>
      <c r="P152" s="3">
        <f t="shared" si="11"/>
        <v>0</v>
      </c>
      <c r="Q152" s="3">
        <f t="shared" si="12"/>
        <v>8</v>
      </c>
      <c r="R152" s="3">
        <f t="shared" si="13"/>
        <v>320</v>
      </c>
      <c r="S152" s="24" t="s">
        <v>1334</v>
      </c>
      <c r="T152" s="24" t="s">
        <v>1334</v>
      </c>
      <c r="U152" s="3"/>
      <c r="V152" s="25" t="s">
        <v>7756</v>
      </c>
      <c r="W152" s="25">
        <v>20517252558</v>
      </c>
      <c r="X152" s="25" t="str">
        <f>IFERROR(VLOOKUP(C_Ope_007[[#This Row],[nota_2]],Clientes_Proveedores[[Ruc / Dni]:[Razon Social]],2,0),"")</f>
        <v>COVISUR S.A.</v>
      </c>
      <c r="Y152" s="25"/>
      <c r="Z152" s="103"/>
      <c r="AA152" s="3" t="str">
        <f>IF(C_Ope_007[[#This Row],[fecha]]&gt;0,TEXT(C_Ope_007[[#This Row],[fecha]],"mmmm"),0)</f>
        <v>Mayo</v>
      </c>
      <c r="AB152" s="49"/>
    </row>
    <row r="153" spans="1:28" ht="24" x14ac:dyDescent="0.3">
      <c r="A153" s="2">
        <f>IF(C_Ope_007[[#This Row],[tipo_r]]="R",COUNTIFS($C$1:$C152,"R")+1,"")</f>
        <v>152</v>
      </c>
      <c r="B153" s="19" t="str">
        <f t="shared" si="14"/>
        <v>C_Ope_007</v>
      </c>
      <c r="C153" s="3" t="s">
        <v>1330</v>
      </c>
      <c r="D153" s="14">
        <v>45791</v>
      </c>
      <c r="E153" s="5" t="s">
        <v>5259</v>
      </c>
      <c r="F153" s="5" t="s">
        <v>1336</v>
      </c>
      <c r="G153" s="6" t="s">
        <v>978</v>
      </c>
      <c r="H153" s="6" t="s">
        <v>68</v>
      </c>
      <c r="I153" s="6" t="s">
        <v>6204</v>
      </c>
      <c r="J153" s="6">
        <v>1730456</v>
      </c>
      <c r="K153" s="7" t="s">
        <v>9038</v>
      </c>
      <c r="L153" s="8">
        <v>24254</v>
      </c>
      <c r="M153" s="8" t="str">
        <f t="shared" si="15"/>
        <v>PEN</v>
      </c>
      <c r="N153" s="13"/>
      <c r="O153" s="13">
        <v>8</v>
      </c>
      <c r="P153" s="3">
        <f t="shared" si="11"/>
        <v>0</v>
      </c>
      <c r="Q153" s="3">
        <f t="shared" si="12"/>
        <v>8</v>
      </c>
      <c r="R153" s="3">
        <f t="shared" si="13"/>
        <v>312</v>
      </c>
      <c r="S153" s="24" t="s">
        <v>1334</v>
      </c>
      <c r="T153" s="24" t="s">
        <v>1334</v>
      </c>
      <c r="U153" s="3"/>
      <c r="V153" s="25" t="s">
        <v>7756</v>
      </c>
      <c r="W153" s="25">
        <v>20517252558</v>
      </c>
      <c r="X153" s="25" t="str">
        <f>IFERROR(VLOOKUP(C_Ope_007[[#This Row],[nota_2]],Clientes_Proveedores[[Ruc / Dni]:[Razon Social]],2,0),"")</f>
        <v>COVISUR S.A.</v>
      </c>
      <c r="Y153" s="25"/>
      <c r="Z153" s="103"/>
      <c r="AA153" s="3" t="str">
        <f>IF(C_Ope_007[[#This Row],[fecha]]&gt;0,TEXT(C_Ope_007[[#This Row],[fecha]],"mmmm"),0)</f>
        <v>Mayo</v>
      </c>
      <c r="AB153" s="49"/>
    </row>
    <row r="154" spans="1:28" ht="24" x14ac:dyDescent="0.3">
      <c r="A154" s="2">
        <f>IF(C_Ope_007[[#This Row],[tipo_r]]="R",COUNTIFS($C$1:$C153,"R")+1,"")</f>
        <v>153</v>
      </c>
      <c r="B154" s="19" t="str">
        <f t="shared" si="14"/>
        <v>C_Ope_007</v>
      </c>
      <c r="C154" s="3" t="s">
        <v>1330</v>
      </c>
      <c r="D154" s="14">
        <v>45791</v>
      </c>
      <c r="E154" s="5" t="s">
        <v>5259</v>
      </c>
      <c r="F154" s="5" t="s">
        <v>1336</v>
      </c>
      <c r="G154" s="6" t="s">
        <v>978</v>
      </c>
      <c r="H154" s="6" t="s">
        <v>68</v>
      </c>
      <c r="I154" s="6" t="s">
        <v>6245</v>
      </c>
      <c r="J154" s="6">
        <v>967479</v>
      </c>
      <c r="K154" s="7" t="s">
        <v>9039</v>
      </c>
      <c r="L154" s="8">
        <v>24255</v>
      </c>
      <c r="M154" s="8" t="str">
        <f t="shared" si="15"/>
        <v>PEN</v>
      </c>
      <c r="N154" s="13"/>
      <c r="O154" s="13">
        <v>8</v>
      </c>
      <c r="P154" s="3">
        <f t="shared" si="11"/>
        <v>0</v>
      </c>
      <c r="Q154" s="3">
        <f t="shared" si="12"/>
        <v>8</v>
      </c>
      <c r="R154" s="3">
        <f t="shared" si="13"/>
        <v>304</v>
      </c>
      <c r="S154" s="24" t="s">
        <v>1334</v>
      </c>
      <c r="T154" s="24" t="s">
        <v>1334</v>
      </c>
      <c r="U154" s="3"/>
      <c r="V154" s="25" t="s">
        <v>7756</v>
      </c>
      <c r="W154" s="25">
        <v>20517252558</v>
      </c>
      <c r="X154" s="25" t="str">
        <f>IFERROR(VLOOKUP(C_Ope_007[[#This Row],[nota_2]],Clientes_Proveedores[[Ruc / Dni]:[Razon Social]],2,0),"")</f>
        <v>COVISUR S.A.</v>
      </c>
      <c r="Y154" s="25"/>
      <c r="Z154" s="103"/>
      <c r="AA154" s="3" t="str">
        <f>IF(C_Ope_007[[#This Row],[fecha]]&gt;0,TEXT(C_Ope_007[[#This Row],[fecha]],"mmmm"),0)</f>
        <v>Mayo</v>
      </c>
      <c r="AB154" s="49"/>
    </row>
    <row r="155" spans="1:28" ht="24" x14ac:dyDescent="0.3">
      <c r="A155" s="2">
        <f>IF(C_Ope_007[[#This Row],[tipo_r]]="R",COUNTIFS($C$1:$C154,"R")+1,"")</f>
        <v>154</v>
      </c>
      <c r="B155" s="19" t="str">
        <f t="shared" si="14"/>
        <v>C_Ope_007</v>
      </c>
      <c r="C155" s="3" t="s">
        <v>1330</v>
      </c>
      <c r="D155" s="14">
        <v>45791</v>
      </c>
      <c r="E155" s="5" t="s">
        <v>5259</v>
      </c>
      <c r="F155" s="5" t="s">
        <v>1336</v>
      </c>
      <c r="G155" s="6" t="s">
        <v>978</v>
      </c>
      <c r="H155" s="6" t="s">
        <v>68</v>
      </c>
      <c r="I155" s="6" t="s">
        <v>6244</v>
      </c>
      <c r="J155" s="6">
        <v>1055058</v>
      </c>
      <c r="K155" s="7" t="s">
        <v>9039</v>
      </c>
      <c r="L155" s="8">
        <v>24256</v>
      </c>
      <c r="M155" s="8" t="str">
        <f t="shared" si="15"/>
        <v>PEN</v>
      </c>
      <c r="N155" s="13"/>
      <c r="O155" s="13">
        <v>8</v>
      </c>
      <c r="P155" s="3">
        <f t="shared" si="11"/>
        <v>0</v>
      </c>
      <c r="Q155" s="3">
        <f t="shared" si="12"/>
        <v>8</v>
      </c>
      <c r="R155" s="3">
        <f t="shared" si="13"/>
        <v>296</v>
      </c>
      <c r="S155" s="24" t="s">
        <v>1334</v>
      </c>
      <c r="T155" s="24" t="s">
        <v>1334</v>
      </c>
      <c r="U155" s="3"/>
      <c r="V155" s="25" t="s">
        <v>7756</v>
      </c>
      <c r="W155" s="25">
        <v>20517252558</v>
      </c>
      <c r="X155" s="25" t="str">
        <f>IFERROR(VLOOKUP(C_Ope_007[[#This Row],[nota_2]],Clientes_Proveedores[[Ruc / Dni]:[Razon Social]],2,0),"")</f>
        <v>COVISUR S.A.</v>
      </c>
      <c r="Y155" s="25"/>
      <c r="Z155" s="103"/>
      <c r="AA155" s="3" t="str">
        <f>IF(C_Ope_007[[#This Row],[fecha]]&gt;0,TEXT(C_Ope_007[[#This Row],[fecha]],"mmmm"),0)</f>
        <v>Mayo</v>
      </c>
      <c r="AB155" s="49"/>
    </row>
    <row r="156" spans="1:28" ht="24" x14ac:dyDescent="0.3">
      <c r="A156" s="2">
        <f>IF(C_Ope_007[[#This Row],[tipo_r]]="R",COUNTIFS($C$1:$C155,"R")+1,"")</f>
        <v>155</v>
      </c>
      <c r="B156" s="19" t="str">
        <f t="shared" si="14"/>
        <v>C_Ope_007</v>
      </c>
      <c r="C156" s="3" t="s">
        <v>1330</v>
      </c>
      <c r="D156" s="14">
        <v>45791</v>
      </c>
      <c r="E156" s="5" t="s">
        <v>5259</v>
      </c>
      <c r="F156" s="5" t="s">
        <v>1336</v>
      </c>
      <c r="G156" s="6" t="s">
        <v>978</v>
      </c>
      <c r="H156" s="6" t="s">
        <v>68</v>
      </c>
      <c r="I156" s="6" t="s">
        <v>6203</v>
      </c>
      <c r="J156" s="6">
        <v>2050147</v>
      </c>
      <c r="K156" s="7" t="s">
        <v>9038</v>
      </c>
      <c r="L156" s="8">
        <v>24257</v>
      </c>
      <c r="M156" s="8" t="str">
        <f t="shared" si="15"/>
        <v>PEN</v>
      </c>
      <c r="N156" s="13"/>
      <c r="O156" s="13">
        <v>8</v>
      </c>
      <c r="P156" s="3">
        <f t="shared" si="11"/>
        <v>0</v>
      </c>
      <c r="Q156" s="3">
        <f t="shared" si="12"/>
        <v>8</v>
      </c>
      <c r="R156" s="3">
        <f t="shared" si="13"/>
        <v>288</v>
      </c>
      <c r="S156" s="24" t="s">
        <v>1334</v>
      </c>
      <c r="T156" s="24" t="s">
        <v>1334</v>
      </c>
      <c r="U156" s="3"/>
      <c r="V156" s="25" t="s">
        <v>7756</v>
      </c>
      <c r="W156" s="25">
        <v>20517252558</v>
      </c>
      <c r="X156" s="25" t="str">
        <f>IFERROR(VLOOKUP(C_Ope_007[[#This Row],[nota_2]],Clientes_Proveedores[[Ruc / Dni]:[Razon Social]],2,0),"")</f>
        <v>COVISUR S.A.</v>
      </c>
      <c r="Y156" s="25"/>
      <c r="Z156" s="103"/>
      <c r="AA156" s="3" t="str">
        <f>IF(C_Ope_007[[#This Row],[fecha]]&gt;0,TEXT(C_Ope_007[[#This Row],[fecha]],"mmmm"),0)</f>
        <v>Mayo</v>
      </c>
      <c r="AB156" s="49"/>
    </row>
    <row r="157" spans="1:28" ht="24" x14ac:dyDescent="0.3">
      <c r="A157" s="2">
        <f>IF(C_Ope_007[[#This Row],[tipo_r]]="R",COUNTIFS($C$1:$C156,"R")+1,"")</f>
        <v>156</v>
      </c>
      <c r="B157" s="19" t="str">
        <f t="shared" si="14"/>
        <v>C_Ope_007</v>
      </c>
      <c r="C157" s="3" t="s">
        <v>1330</v>
      </c>
      <c r="D157" s="14">
        <v>45793</v>
      </c>
      <c r="E157" s="5" t="s">
        <v>5259</v>
      </c>
      <c r="F157" s="5" t="s">
        <v>1336</v>
      </c>
      <c r="G157" s="6" t="s">
        <v>978</v>
      </c>
      <c r="H157" s="6" t="s">
        <v>68</v>
      </c>
      <c r="I157" s="6" t="s">
        <v>6204</v>
      </c>
      <c r="J157" s="6">
        <v>1732467</v>
      </c>
      <c r="K157" s="7" t="s">
        <v>7813</v>
      </c>
      <c r="L157" s="8">
        <v>24258</v>
      </c>
      <c r="M157" s="8" t="str">
        <f t="shared" si="15"/>
        <v>PEN</v>
      </c>
      <c r="N157" s="13"/>
      <c r="O157" s="13">
        <v>8</v>
      </c>
      <c r="P157" s="3">
        <f t="shared" si="11"/>
        <v>0</v>
      </c>
      <c r="Q157" s="3">
        <f t="shared" si="12"/>
        <v>8</v>
      </c>
      <c r="R157" s="3">
        <f t="shared" si="13"/>
        <v>280</v>
      </c>
      <c r="S157" s="24" t="s">
        <v>1334</v>
      </c>
      <c r="T157" s="24" t="s">
        <v>1334</v>
      </c>
      <c r="U157" s="3"/>
      <c r="V157" s="25" t="s">
        <v>7756</v>
      </c>
      <c r="W157" s="25">
        <v>20517252558</v>
      </c>
      <c r="X157" s="25" t="str">
        <f>IFERROR(VLOOKUP(C_Ope_007[[#This Row],[nota_2]],Clientes_Proveedores[[Ruc / Dni]:[Razon Social]],2,0),"")</f>
        <v>COVISUR S.A.</v>
      </c>
      <c r="Y157" s="25"/>
      <c r="Z157" s="103"/>
      <c r="AA157" s="3" t="str">
        <f>IF(C_Ope_007[[#This Row],[fecha]]&gt;0,TEXT(C_Ope_007[[#This Row],[fecha]],"mmmm"),0)</f>
        <v>Mayo</v>
      </c>
      <c r="AB157" s="49"/>
    </row>
    <row r="158" spans="1:28" ht="24" x14ac:dyDescent="0.3">
      <c r="A158" s="2">
        <f>IF(C_Ope_007[[#This Row],[tipo_r]]="R",COUNTIFS($C$1:$C157,"R")+1,"")</f>
        <v>157</v>
      </c>
      <c r="B158" s="19" t="str">
        <f t="shared" si="14"/>
        <v>C_Ope_007</v>
      </c>
      <c r="C158" s="3" t="s">
        <v>1330</v>
      </c>
      <c r="D158" s="14">
        <v>45793</v>
      </c>
      <c r="E158" s="5" t="s">
        <v>5259</v>
      </c>
      <c r="F158" s="5" t="s">
        <v>1336</v>
      </c>
      <c r="G158" s="6" t="s">
        <v>978</v>
      </c>
      <c r="H158" s="6" t="s">
        <v>68</v>
      </c>
      <c r="I158" s="6" t="s">
        <v>5845</v>
      </c>
      <c r="J158" s="6">
        <v>1752126</v>
      </c>
      <c r="K158" s="7" t="s">
        <v>7813</v>
      </c>
      <c r="L158" s="8">
        <v>24259</v>
      </c>
      <c r="M158" s="8" t="str">
        <f t="shared" si="15"/>
        <v>PEN</v>
      </c>
      <c r="N158" s="13"/>
      <c r="O158" s="13">
        <v>8</v>
      </c>
      <c r="P158" s="3">
        <f t="shared" si="11"/>
        <v>0</v>
      </c>
      <c r="Q158" s="3">
        <f t="shared" si="12"/>
        <v>8</v>
      </c>
      <c r="R158" s="3">
        <f t="shared" si="13"/>
        <v>272</v>
      </c>
      <c r="S158" s="24" t="s">
        <v>1334</v>
      </c>
      <c r="T158" s="24" t="s">
        <v>1334</v>
      </c>
      <c r="U158" s="3"/>
      <c r="V158" s="25" t="s">
        <v>7756</v>
      </c>
      <c r="W158" s="25">
        <v>20517252558</v>
      </c>
      <c r="X158" s="25" t="str">
        <f>IFERROR(VLOOKUP(C_Ope_007[[#This Row],[nota_2]],Clientes_Proveedores[[Ruc / Dni]:[Razon Social]],2,0),"")</f>
        <v>COVISUR S.A.</v>
      </c>
      <c r="Y158" s="25"/>
      <c r="Z158" s="103"/>
      <c r="AA158" s="3" t="str">
        <f>IF(C_Ope_007[[#This Row],[fecha]]&gt;0,TEXT(C_Ope_007[[#This Row],[fecha]],"mmmm"),0)</f>
        <v>Mayo</v>
      </c>
      <c r="AB158" s="49"/>
    </row>
    <row r="159" spans="1:28" ht="36" x14ac:dyDescent="0.3">
      <c r="A159" s="2">
        <f>IF(C_Ope_007[[#This Row],[tipo_r]]="R",COUNTIFS($C$1:$C158,"R")+1,"")</f>
        <v>158</v>
      </c>
      <c r="B159" s="19" t="str">
        <f t="shared" si="14"/>
        <v>C_Ope_007</v>
      </c>
      <c r="C159" s="3" t="s">
        <v>1330</v>
      </c>
      <c r="D159" s="14">
        <v>45793</v>
      </c>
      <c r="E159" s="5" t="s">
        <v>5259</v>
      </c>
      <c r="F159" s="5" t="s">
        <v>1336</v>
      </c>
      <c r="G159" s="6" t="s">
        <v>978</v>
      </c>
      <c r="H159" s="6" t="s">
        <v>68</v>
      </c>
      <c r="I159" s="6" t="s">
        <v>5688</v>
      </c>
      <c r="J159" s="6">
        <v>2333582</v>
      </c>
      <c r="K159" s="7" t="s">
        <v>9040</v>
      </c>
      <c r="L159" s="8">
        <v>24260</v>
      </c>
      <c r="M159" s="8" t="str">
        <f t="shared" si="15"/>
        <v>PEN</v>
      </c>
      <c r="N159" s="13"/>
      <c r="O159" s="13">
        <v>8</v>
      </c>
      <c r="P159" s="3">
        <f t="shared" si="11"/>
        <v>0</v>
      </c>
      <c r="Q159" s="3">
        <f t="shared" si="12"/>
        <v>8</v>
      </c>
      <c r="R159" s="3">
        <f t="shared" si="13"/>
        <v>264</v>
      </c>
      <c r="S159" s="24" t="s">
        <v>1334</v>
      </c>
      <c r="T159" s="24" t="s">
        <v>1334</v>
      </c>
      <c r="U159" s="3"/>
      <c r="V159" s="25" t="s">
        <v>7842</v>
      </c>
      <c r="W159" s="25">
        <v>20517252558</v>
      </c>
      <c r="X159" s="25" t="str">
        <f>IFERROR(VLOOKUP(C_Ope_007[[#This Row],[nota_2]],Clientes_Proveedores[[Ruc / Dni]:[Razon Social]],2,0),"")</f>
        <v>COVISUR S.A.</v>
      </c>
      <c r="Y159" s="25"/>
      <c r="Z159" s="103"/>
      <c r="AA159" s="3" t="str">
        <f>IF(C_Ope_007[[#This Row],[fecha]]&gt;0,TEXT(C_Ope_007[[#This Row],[fecha]],"mmmm"),0)</f>
        <v>Mayo</v>
      </c>
      <c r="AB159" s="49"/>
    </row>
    <row r="160" spans="1:28" ht="36" x14ac:dyDescent="0.3">
      <c r="A160" s="2">
        <f>IF(C_Ope_007[[#This Row],[tipo_r]]="R",COUNTIFS($C$1:$C159,"R")+1,"")</f>
        <v>159</v>
      </c>
      <c r="B160" s="19" t="str">
        <f t="shared" si="14"/>
        <v>C_Ope_007</v>
      </c>
      <c r="C160" s="3" t="s">
        <v>1330</v>
      </c>
      <c r="D160" s="14">
        <v>45793</v>
      </c>
      <c r="E160" s="5" t="s">
        <v>5259</v>
      </c>
      <c r="F160" s="5" t="s">
        <v>1336</v>
      </c>
      <c r="G160" s="6" t="s">
        <v>978</v>
      </c>
      <c r="H160" s="6" t="s">
        <v>68</v>
      </c>
      <c r="I160" s="6" t="s">
        <v>5845</v>
      </c>
      <c r="J160" s="6">
        <v>1752156</v>
      </c>
      <c r="K160" s="7" t="s">
        <v>9040</v>
      </c>
      <c r="L160" s="8">
        <v>24261</v>
      </c>
      <c r="M160" s="8" t="str">
        <f t="shared" si="15"/>
        <v>PEN</v>
      </c>
      <c r="N160" s="13"/>
      <c r="O160" s="13">
        <v>8</v>
      </c>
      <c r="P160" s="3">
        <f t="shared" si="11"/>
        <v>0</v>
      </c>
      <c r="Q160" s="3">
        <f t="shared" si="12"/>
        <v>8</v>
      </c>
      <c r="R160" s="3">
        <f t="shared" si="13"/>
        <v>256</v>
      </c>
      <c r="S160" s="24" t="s">
        <v>1334</v>
      </c>
      <c r="T160" s="24" t="s">
        <v>1334</v>
      </c>
      <c r="U160" s="3"/>
      <c r="V160" s="25" t="s">
        <v>7842</v>
      </c>
      <c r="W160" s="25">
        <v>20517252558</v>
      </c>
      <c r="X160" s="25" t="str">
        <f>IFERROR(VLOOKUP(C_Ope_007[[#This Row],[nota_2]],Clientes_Proveedores[[Ruc / Dni]:[Razon Social]],2,0),"")</f>
        <v>COVISUR S.A.</v>
      </c>
      <c r="Y160" s="25"/>
      <c r="Z160" s="103"/>
      <c r="AA160" s="3" t="str">
        <f>IF(C_Ope_007[[#This Row],[fecha]]&gt;0,TEXT(C_Ope_007[[#This Row],[fecha]],"mmmm"),0)</f>
        <v>Mayo</v>
      </c>
      <c r="AB160" s="49"/>
    </row>
    <row r="161" spans="1:28" x14ac:dyDescent="0.3">
      <c r="A161" s="2">
        <f>IF(C_Ope_007[[#This Row],[tipo_r]]="R",COUNTIFS($C$1:$C160,"R")+1,"")</f>
        <v>160</v>
      </c>
      <c r="B161" s="19" t="str">
        <f t="shared" si="14"/>
        <v>C_Ope_007</v>
      </c>
      <c r="C161" s="3" t="s">
        <v>1330</v>
      </c>
      <c r="D161" s="14">
        <v>45790</v>
      </c>
      <c r="E161" s="5" t="s">
        <v>5259</v>
      </c>
      <c r="F161" s="5" t="s">
        <v>1336</v>
      </c>
      <c r="G161" s="6" t="s">
        <v>1043</v>
      </c>
      <c r="H161" s="6" t="s">
        <v>68</v>
      </c>
      <c r="I161" s="6" t="s">
        <v>1390</v>
      </c>
      <c r="J161" s="6">
        <v>12289</v>
      </c>
      <c r="K161" s="7" t="s">
        <v>8588</v>
      </c>
      <c r="L161" s="8">
        <v>24270</v>
      </c>
      <c r="M161" s="8" t="str">
        <f t="shared" si="15"/>
        <v>PEN</v>
      </c>
      <c r="N161" s="13"/>
      <c r="O161" s="13">
        <v>10</v>
      </c>
      <c r="P161" s="3">
        <f t="shared" si="11"/>
        <v>0</v>
      </c>
      <c r="Q161" s="3">
        <f t="shared" si="12"/>
        <v>10</v>
      </c>
      <c r="R161" s="3">
        <f t="shared" si="13"/>
        <v>246</v>
      </c>
      <c r="S161" s="24" t="s">
        <v>1334</v>
      </c>
      <c r="T161" s="24" t="s">
        <v>1334</v>
      </c>
      <c r="U161" s="3"/>
      <c r="V161" s="25" t="s">
        <v>8072</v>
      </c>
      <c r="W161" s="25">
        <v>20606567856</v>
      </c>
      <c r="X161" s="25" t="str">
        <f>IFERROR(VLOOKUP(C_Ope_007[[#This Row],[nota_2]],Clientes_Proveedores[[Ruc / Dni]:[Razon Social]],2,0),"")</f>
        <v>R.E.T. &amp; SAN S.R.L.</v>
      </c>
      <c r="Y161" s="25"/>
      <c r="Z161" s="103"/>
      <c r="AA161" s="3" t="str">
        <f>IF(C_Ope_007[[#This Row],[fecha]]&gt;0,TEXT(C_Ope_007[[#This Row],[fecha]],"mmmm"),0)</f>
        <v>Mayo</v>
      </c>
      <c r="AB161" s="49"/>
    </row>
    <row r="162" spans="1:28" ht="36" x14ac:dyDescent="0.3">
      <c r="A162" s="2">
        <f>IF(C_Ope_007[[#This Row],[tipo_r]]="R",COUNTIFS($C$1:$C161,"R")+1,"")</f>
        <v>161</v>
      </c>
      <c r="B162" s="19" t="str">
        <f t="shared" si="14"/>
        <v>C_Ope_007</v>
      </c>
      <c r="C162" s="3" t="s">
        <v>1330</v>
      </c>
      <c r="D162" s="14">
        <v>45791</v>
      </c>
      <c r="E162" s="5" t="s">
        <v>5259</v>
      </c>
      <c r="F162" s="5" t="s">
        <v>1336</v>
      </c>
      <c r="G162" s="6" t="s">
        <v>1029</v>
      </c>
      <c r="H162" s="6" t="s">
        <v>68</v>
      </c>
      <c r="I162" s="6" t="s">
        <v>1374</v>
      </c>
      <c r="J162" s="6">
        <v>17528</v>
      </c>
      <c r="K162" s="7" t="s">
        <v>8668</v>
      </c>
      <c r="L162" s="8">
        <v>24271</v>
      </c>
      <c r="M162" s="8" t="str">
        <f t="shared" si="15"/>
        <v>PEN</v>
      </c>
      <c r="N162" s="13"/>
      <c r="O162" s="13">
        <v>22</v>
      </c>
      <c r="P162" s="3">
        <f t="shared" si="11"/>
        <v>0</v>
      </c>
      <c r="Q162" s="3">
        <f t="shared" si="12"/>
        <v>22</v>
      </c>
      <c r="R162" s="3">
        <f t="shared" si="13"/>
        <v>224</v>
      </c>
      <c r="S162" s="24" t="s">
        <v>1334</v>
      </c>
      <c r="T162" s="24" t="s">
        <v>1334</v>
      </c>
      <c r="U162" s="3"/>
      <c r="V162" s="25" t="s">
        <v>7756</v>
      </c>
      <c r="W162" s="25">
        <v>20454058187</v>
      </c>
      <c r="X162" s="25" t="str">
        <f>IFERROR(VLOOKUP(C_Ope_007[[#This Row],[nota_2]],Clientes_Proveedores[[Ruc / Dni]:[Razon Social]],2,0),"")</f>
        <v>ZONA ESPECIAL DE DESARROLLO ZED MATARANI</v>
      </c>
      <c r="Y162" s="25"/>
      <c r="Z162" s="103"/>
      <c r="AA162" s="3" t="str">
        <f>IF(C_Ope_007[[#This Row],[fecha]]&gt;0,TEXT(C_Ope_007[[#This Row],[fecha]],"mmmm"),0)</f>
        <v>Mayo</v>
      </c>
      <c r="AB162" s="49"/>
    </row>
    <row r="163" spans="1:28" ht="24" x14ac:dyDescent="0.3">
      <c r="A163" s="2">
        <f>IF(C_Ope_007[[#This Row],[tipo_r]]="R",COUNTIFS($C$1:$C162,"R")+1,"")</f>
        <v>162</v>
      </c>
      <c r="B163" s="19" t="str">
        <f t="shared" si="14"/>
        <v>C_Ope_007</v>
      </c>
      <c r="C163" s="3" t="s">
        <v>1330</v>
      </c>
      <c r="D163" s="14">
        <v>45793</v>
      </c>
      <c r="E163" s="5" t="s">
        <v>5259</v>
      </c>
      <c r="F163" s="5" t="s">
        <v>1336</v>
      </c>
      <c r="G163" s="6" t="s">
        <v>999</v>
      </c>
      <c r="H163" s="6" t="s">
        <v>68</v>
      </c>
      <c r="I163" s="6" t="s">
        <v>1374</v>
      </c>
      <c r="J163" s="6">
        <v>17750</v>
      </c>
      <c r="K163" s="7" t="s">
        <v>7777</v>
      </c>
      <c r="L163" s="8">
        <v>24273</v>
      </c>
      <c r="M163" s="8" t="str">
        <f t="shared" si="15"/>
        <v>PEN</v>
      </c>
      <c r="N163" s="13"/>
      <c r="O163" s="13">
        <v>25</v>
      </c>
      <c r="P163" s="3">
        <f t="shared" si="11"/>
        <v>0</v>
      </c>
      <c r="Q163" s="3">
        <f t="shared" si="12"/>
        <v>25</v>
      </c>
      <c r="R163" s="3">
        <f t="shared" si="13"/>
        <v>199</v>
      </c>
      <c r="S163" s="24" t="s">
        <v>1334</v>
      </c>
      <c r="T163" s="24" t="s">
        <v>1334</v>
      </c>
      <c r="U163" s="3"/>
      <c r="V163" s="25" t="s">
        <v>7756</v>
      </c>
      <c r="W163" s="25">
        <v>10705628331</v>
      </c>
      <c r="X163" s="25" t="str">
        <f>IFERROR(VLOOKUP(C_Ope_007[[#This Row],[nota_2]],Clientes_Proveedores[[Ruc / Dni]:[Razon Social]],2,0),"")</f>
        <v>LARICO APAZA NANCY ROSSMARY</v>
      </c>
      <c r="Y163" s="25"/>
      <c r="Z163" s="103"/>
      <c r="AA163" s="3" t="str">
        <f>IF(C_Ope_007[[#This Row],[fecha]]&gt;0,TEXT(C_Ope_007[[#This Row],[fecha]],"mmmm"),0)</f>
        <v>Mayo</v>
      </c>
      <c r="AB163" s="49"/>
    </row>
    <row r="164" spans="1:28" ht="24" x14ac:dyDescent="0.3">
      <c r="A164" s="2">
        <f>IF(C_Ope_007[[#This Row],[tipo_r]]="R",COUNTIFS($C$1:$C163,"R")+1,"")</f>
        <v>163</v>
      </c>
      <c r="B164" s="19" t="str">
        <f t="shared" si="14"/>
        <v>C_Ope_007</v>
      </c>
      <c r="C164" s="3" t="s">
        <v>1330</v>
      </c>
      <c r="D164" s="14">
        <v>45796</v>
      </c>
      <c r="E164" s="5" t="s">
        <v>5259</v>
      </c>
      <c r="F164" s="5" t="s">
        <v>1336</v>
      </c>
      <c r="G164" s="6" t="s">
        <v>978</v>
      </c>
      <c r="H164" s="6" t="s">
        <v>68</v>
      </c>
      <c r="I164" s="6" t="s">
        <v>5688</v>
      </c>
      <c r="J164" s="6">
        <v>2336944</v>
      </c>
      <c r="K164" s="7" t="s">
        <v>9041</v>
      </c>
      <c r="L164" s="8">
        <v>24262</v>
      </c>
      <c r="M164" s="8" t="str">
        <f t="shared" si="15"/>
        <v>PEN</v>
      </c>
      <c r="N164" s="13"/>
      <c r="O164" s="13">
        <v>5</v>
      </c>
      <c r="P164" s="3">
        <f t="shared" si="11"/>
        <v>0</v>
      </c>
      <c r="Q164" s="3">
        <f t="shared" si="12"/>
        <v>5</v>
      </c>
      <c r="R164" s="3">
        <f t="shared" si="13"/>
        <v>194</v>
      </c>
      <c r="S164" s="24" t="s">
        <v>1334</v>
      </c>
      <c r="T164" s="24" t="s">
        <v>1334</v>
      </c>
      <c r="U164" s="3"/>
      <c r="V164" s="25" t="s">
        <v>7754</v>
      </c>
      <c r="W164" s="25">
        <v>20517252558</v>
      </c>
      <c r="X164" s="25" t="str">
        <f>IFERROR(VLOOKUP(C_Ope_007[[#This Row],[nota_2]],Clientes_Proveedores[[Ruc / Dni]:[Razon Social]],2,0),"")</f>
        <v>COVISUR S.A.</v>
      </c>
      <c r="Y164" s="25"/>
      <c r="Z164" s="103"/>
      <c r="AA164" s="3" t="str">
        <f>IF(C_Ope_007[[#This Row],[fecha]]&gt;0,TEXT(C_Ope_007[[#This Row],[fecha]],"mmmm"),0)</f>
        <v>Mayo</v>
      </c>
      <c r="AB164" s="49"/>
    </row>
    <row r="165" spans="1:28" ht="24" x14ac:dyDescent="0.3">
      <c r="A165" s="2">
        <f>IF(C_Ope_007[[#This Row],[tipo_r]]="R",COUNTIFS($C$1:$C164,"R")+1,"")</f>
        <v>164</v>
      </c>
      <c r="B165" s="19" t="str">
        <f t="shared" si="14"/>
        <v>C_Ope_007</v>
      </c>
      <c r="C165" s="3" t="s">
        <v>1330</v>
      </c>
      <c r="D165" s="14">
        <v>45796</v>
      </c>
      <c r="E165" s="5" t="s">
        <v>5259</v>
      </c>
      <c r="F165" s="5" t="s">
        <v>1336</v>
      </c>
      <c r="G165" s="6" t="s">
        <v>978</v>
      </c>
      <c r="H165" s="6" t="s">
        <v>68</v>
      </c>
      <c r="I165" s="6" t="s">
        <v>5845</v>
      </c>
      <c r="J165" s="6">
        <v>1754708</v>
      </c>
      <c r="K165" s="7" t="s">
        <v>9041</v>
      </c>
      <c r="L165" s="8">
        <v>24263</v>
      </c>
      <c r="M165" s="8" t="str">
        <f t="shared" si="15"/>
        <v>PEN</v>
      </c>
      <c r="N165" s="13"/>
      <c r="O165" s="13">
        <v>5</v>
      </c>
      <c r="P165" s="3">
        <f t="shared" si="11"/>
        <v>0</v>
      </c>
      <c r="Q165" s="3">
        <f t="shared" si="12"/>
        <v>5</v>
      </c>
      <c r="R165" s="3">
        <f t="shared" si="13"/>
        <v>189</v>
      </c>
      <c r="S165" s="24" t="s">
        <v>1334</v>
      </c>
      <c r="T165" s="24" t="s">
        <v>1334</v>
      </c>
      <c r="U165" s="3"/>
      <c r="V165" s="25" t="s">
        <v>7754</v>
      </c>
      <c r="W165" s="25">
        <v>20517252558</v>
      </c>
      <c r="X165" s="25" t="str">
        <f>IFERROR(VLOOKUP(C_Ope_007[[#This Row],[nota_2]],Clientes_Proveedores[[Ruc / Dni]:[Razon Social]],2,0),"")</f>
        <v>COVISUR S.A.</v>
      </c>
      <c r="Y165" s="25"/>
      <c r="Z165" s="103"/>
      <c r="AA165" s="3" t="str">
        <f>IF(C_Ope_007[[#This Row],[fecha]]&gt;0,TEXT(C_Ope_007[[#This Row],[fecha]],"mmmm"),0)</f>
        <v>Mayo</v>
      </c>
      <c r="AB165" s="49"/>
    </row>
    <row r="166" spans="1:28" ht="24" x14ac:dyDescent="0.3">
      <c r="A166" s="2">
        <f>IF(C_Ope_007[[#This Row],[tipo_r]]="R",COUNTIFS($C$1:$C165,"R")+1,"")</f>
        <v>165</v>
      </c>
      <c r="B166" s="19" t="str">
        <f t="shared" si="14"/>
        <v>C_Ope_007</v>
      </c>
      <c r="C166" s="3" t="s">
        <v>1330</v>
      </c>
      <c r="D166" s="14">
        <v>45796</v>
      </c>
      <c r="E166" s="5" t="s">
        <v>5259</v>
      </c>
      <c r="F166" s="5" t="s">
        <v>1336</v>
      </c>
      <c r="G166" s="6" t="s">
        <v>978</v>
      </c>
      <c r="H166" s="6" t="s">
        <v>68</v>
      </c>
      <c r="I166" s="6" t="s">
        <v>6203</v>
      </c>
      <c r="J166" s="6">
        <v>2055223</v>
      </c>
      <c r="K166" s="7" t="s">
        <v>9042</v>
      </c>
      <c r="L166" s="8">
        <v>24264</v>
      </c>
      <c r="M166" s="8" t="str">
        <f t="shared" si="15"/>
        <v>PEN</v>
      </c>
      <c r="N166" s="13"/>
      <c r="O166" s="13">
        <v>8</v>
      </c>
      <c r="P166" s="3">
        <f t="shared" si="11"/>
        <v>0</v>
      </c>
      <c r="Q166" s="3">
        <f t="shared" si="12"/>
        <v>8</v>
      </c>
      <c r="R166" s="3">
        <f t="shared" si="13"/>
        <v>181</v>
      </c>
      <c r="S166" s="24" t="s">
        <v>1334</v>
      </c>
      <c r="T166" s="24" t="s">
        <v>1334</v>
      </c>
      <c r="U166" s="3"/>
      <c r="V166" s="25" t="s">
        <v>7842</v>
      </c>
      <c r="W166" s="25">
        <v>20517252558</v>
      </c>
      <c r="X166" s="25" t="str">
        <f>IFERROR(VLOOKUP(C_Ope_007[[#This Row],[nota_2]],Clientes_Proveedores[[Ruc / Dni]:[Razon Social]],2,0),"")</f>
        <v>COVISUR S.A.</v>
      </c>
      <c r="Y166" s="25"/>
      <c r="Z166" s="103"/>
      <c r="AA166" s="3" t="str">
        <f>IF(C_Ope_007[[#This Row],[fecha]]&gt;0,TEXT(C_Ope_007[[#This Row],[fecha]],"mmmm"),0)</f>
        <v>Mayo</v>
      </c>
      <c r="AB166" s="49"/>
    </row>
    <row r="167" spans="1:28" ht="24" x14ac:dyDescent="0.3">
      <c r="A167" s="2">
        <f>IF(C_Ope_007[[#This Row],[tipo_r]]="R",COUNTIFS($C$1:$C166,"R")+1,"")</f>
        <v>166</v>
      </c>
      <c r="B167" s="19" t="str">
        <f t="shared" si="14"/>
        <v>C_Ope_007</v>
      </c>
      <c r="C167" s="3" t="s">
        <v>1330</v>
      </c>
      <c r="D167" s="14">
        <v>45796</v>
      </c>
      <c r="E167" s="5" t="s">
        <v>5259</v>
      </c>
      <c r="F167" s="5" t="s">
        <v>1336</v>
      </c>
      <c r="G167" s="6" t="s">
        <v>978</v>
      </c>
      <c r="H167" s="6" t="s">
        <v>68</v>
      </c>
      <c r="I167" s="6" t="s">
        <v>6203</v>
      </c>
      <c r="J167" s="6">
        <v>2055100</v>
      </c>
      <c r="K167" s="7" t="s">
        <v>9043</v>
      </c>
      <c r="L167" s="8">
        <v>24374</v>
      </c>
      <c r="M167" s="8" t="str">
        <f t="shared" si="15"/>
        <v>PEN</v>
      </c>
      <c r="N167" s="13"/>
      <c r="O167" s="13">
        <v>8</v>
      </c>
      <c r="P167" s="3">
        <f t="shared" si="11"/>
        <v>0</v>
      </c>
      <c r="Q167" s="3">
        <f t="shared" si="12"/>
        <v>8</v>
      </c>
      <c r="R167" s="3">
        <f t="shared" si="13"/>
        <v>173</v>
      </c>
      <c r="S167" s="24" t="s">
        <v>1334</v>
      </c>
      <c r="T167" s="24" t="s">
        <v>1334</v>
      </c>
      <c r="U167" s="3"/>
      <c r="V167" s="25" t="s">
        <v>7756</v>
      </c>
      <c r="W167" s="25">
        <v>20517252558</v>
      </c>
      <c r="X167" s="25" t="str">
        <f>IFERROR(VLOOKUP(C_Ope_007[[#This Row],[nota_2]],Clientes_Proveedores[[Ruc / Dni]:[Razon Social]],2,0),"")</f>
        <v>COVISUR S.A.</v>
      </c>
      <c r="Y167" s="25"/>
      <c r="Z167" s="103"/>
      <c r="AA167" s="3" t="str">
        <f>IF(C_Ope_007[[#This Row],[fecha]]&gt;0,TEXT(C_Ope_007[[#This Row],[fecha]],"mmmm"),0)</f>
        <v>Mayo</v>
      </c>
      <c r="AB167" s="49"/>
    </row>
    <row r="168" spans="1:28" ht="24" x14ac:dyDescent="0.3">
      <c r="A168" s="2">
        <f>IF(C_Ope_007[[#This Row],[tipo_r]]="R",COUNTIFS($C$1:$C167,"R")+1,"")</f>
        <v>167</v>
      </c>
      <c r="B168" s="19" t="str">
        <f t="shared" si="14"/>
        <v>C_Ope_007</v>
      </c>
      <c r="C168" s="3" t="s">
        <v>1330</v>
      </c>
      <c r="D168" s="14">
        <v>45797</v>
      </c>
      <c r="E168" s="5" t="s">
        <v>5259</v>
      </c>
      <c r="F168" s="5" t="s">
        <v>1336</v>
      </c>
      <c r="G168" s="6" t="s">
        <v>978</v>
      </c>
      <c r="H168" s="6" t="s">
        <v>68</v>
      </c>
      <c r="I168" s="6" t="s">
        <v>5688</v>
      </c>
      <c r="J168" s="6">
        <v>2337809</v>
      </c>
      <c r="K168" s="7" t="s">
        <v>9044</v>
      </c>
      <c r="L168" s="8">
        <v>24265</v>
      </c>
      <c r="M168" s="8" t="str">
        <f t="shared" si="15"/>
        <v>PEN</v>
      </c>
      <c r="N168" s="13"/>
      <c r="O168" s="13">
        <v>8</v>
      </c>
      <c r="P168" s="3">
        <f t="shared" si="11"/>
        <v>0</v>
      </c>
      <c r="Q168" s="3">
        <f t="shared" si="12"/>
        <v>8</v>
      </c>
      <c r="R168" s="3">
        <f t="shared" si="13"/>
        <v>165</v>
      </c>
      <c r="S168" s="24" t="s">
        <v>1334</v>
      </c>
      <c r="T168" s="24" t="s">
        <v>1334</v>
      </c>
      <c r="U168" s="3"/>
      <c r="V168" s="25" t="s">
        <v>8072</v>
      </c>
      <c r="W168" s="25">
        <v>20517252558</v>
      </c>
      <c r="X168" s="25" t="str">
        <f>IFERROR(VLOOKUP(C_Ope_007[[#This Row],[nota_2]],Clientes_Proveedores[[Ruc / Dni]:[Razon Social]],2,0),"")</f>
        <v>COVISUR S.A.</v>
      </c>
      <c r="Y168" s="25"/>
      <c r="Z168" s="103"/>
      <c r="AA168" s="3" t="str">
        <f>IF(C_Ope_007[[#This Row],[fecha]]&gt;0,TEXT(C_Ope_007[[#This Row],[fecha]],"mmmm"),0)</f>
        <v>Mayo</v>
      </c>
      <c r="AB168" s="49"/>
    </row>
    <row r="169" spans="1:28" ht="24" x14ac:dyDescent="0.3">
      <c r="A169" s="2">
        <f>IF(C_Ope_007[[#This Row],[tipo_r]]="R",COUNTIFS($C$1:$C168,"R")+1,"")</f>
        <v>168</v>
      </c>
      <c r="B169" s="19" t="str">
        <f t="shared" si="14"/>
        <v>C_Ope_007</v>
      </c>
      <c r="C169" s="3" t="s">
        <v>1330</v>
      </c>
      <c r="D169" s="14">
        <v>45797</v>
      </c>
      <c r="E169" s="5" t="s">
        <v>5259</v>
      </c>
      <c r="F169" s="5" t="s">
        <v>1336</v>
      </c>
      <c r="G169" s="6" t="s">
        <v>978</v>
      </c>
      <c r="H169" s="6" t="s">
        <v>68</v>
      </c>
      <c r="I169" s="6" t="s">
        <v>6203</v>
      </c>
      <c r="J169" s="6">
        <v>2055996</v>
      </c>
      <c r="K169" s="7" t="s">
        <v>9044</v>
      </c>
      <c r="L169" s="8">
        <v>24266</v>
      </c>
      <c r="M169" s="8" t="str">
        <f t="shared" si="15"/>
        <v>PEN</v>
      </c>
      <c r="N169" s="13"/>
      <c r="O169" s="13">
        <v>8</v>
      </c>
      <c r="P169" s="3">
        <f t="shared" si="11"/>
        <v>0</v>
      </c>
      <c r="Q169" s="3">
        <f t="shared" si="12"/>
        <v>8</v>
      </c>
      <c r="R169" s="3">
        <f t="shared" si="13"/>
        <v>157</v>
      </c>
      <c r="S169" s="24" t="s">
        <v>1334</v>
      </c>
      <c r="T169" s="24" t="s">
        <v>1334</v>
      </c>
      <c r="U169" s="3"/>
      <c r="V169" s="25" t="s">
        <v>8072</v>
      </c>
      <c r="W169" s="25">
        <v>20517252558</v>
      </c>
      <c r="X169" s="25" t="str">
        <f>IFERROR(VLOOKUP(C_Ope_007[[#This Row],[nota_2]],Clientes_Proveedores[[Ruc / Dni]:[Razon Social]],2,0),"")</f>
        <v>COVISUR S.A.</v>
      </c>
      <c r="Y169" s="25"/>
      <c r="Z169" s="103"/>
      <c r="AA169" s="3" t="str">
        <f>IF(C_Ope_007[[#This Row],[fecha]]&gt;0,TEXT(C_Ope_007[[#This Row],[fecha]],"mmmm"),0)</f>
        <v>Mayo</v>
      </c>
      <c r="AB169" s="49"/>
    </row>
    <row r="170" spans="1:28" ht="24" x14ac:dyDescent="0.3">
      <c r="A170" s="2">
        <f>IF(C_Ope_007[[#This Row],[tipo_r]]="R",COUNTIFS($C$1:$C169,"R")+1,"")</f>
        <v>169</v>
      </c>
      <c r="B170" s="19" t="str">
        <f t="shared" si="14"/>
        <v>C_Ope_007</v>
      </c>
      <c r="C170" s="3" t="s">
        <v>1330</v>
      </c>
      <c r="D170" s="14">
        <v>45798</v>
      </c>
      <c r="E170" s="5" t="s">
        <v>5259</v>
      </c>
      <c r="F170" s="5" t="s">
        <v>1336</v>
      </c>
      <c r="G170" s="6" t="s">
        <v>978</v>
      </c>
      <c r="H170" s="6" t="s">
        <v>68</v>
      </c>
      <c r="I170" s="6" t="s">
        <v>5688</v>
      </c>
      <c r="J170" s="6">
        <v>2338912</v>
      </c>
      <c r="K170" s="7" t="s">
        <v>9045</v>
      </c>
      <c r="L170" s="8">
        <v>24267</v>
      </c>
      <c r="M170" s="8" t="str">
        <f t="shared" si="15"/>
        <v>PEN</v>
      </c>
      <c r="N170" s="13"/>
      <c r="O170" s="13">
        <v>8</v>
      </c>
      <c r="P170" s="3">
        <f t="shared" si="11"/>
        <v>0</v>
      </c>
      <c r="Q170" s="3">
        <f t="shared" si="12"/>
        <v>8</v>
      </c>
      <c r="R170" s="3">
        <f t="shared" si="13"/>
        <v>149</v>
      </c>
      <c r="S170" s="24" t="s">
        <v>1334</v>
      </c>
      <c r="T170" s="24" t="s">
        <v>1334</v>
      </c>
      <c r="U170" s="3"/>
      <c r="V170" s="25" t="s">
        <v>7842</v>
      </c>
      <c r="W170" s="25">
        <v>20517252558</v>
      </c>
      <c r="X170" s="25" t="str">
        <f>IFERROR(VLOOKUP(C_Ope_007[[#This Row],[nota_2]],Clientes_Proveedores[[Ruc / Dni]:[Razon Social]],2,0),"")</f>
        <v>COVISUR S.A.</v>
      </c>
      <c r="Y170" s="25"/>
      <c r="Z170" s="103"/>
      <c r="AA170" s="3" t="str">
        <f>IF(C_Ope_007[[#This Row],[fecha]]&gt;0,TEXT(C_Ope_007[[#This Row],[fecha]],"mmmm"),0)</f>
        <v>Mayo</v>
      </c>
      <c r="AB170" s="49"/>
    </row>
    <row r="171" spans="1:28" ht="24" x14ac:dyDescent="0.3">
      <c r="A171" s="2">
        <f>IF(C_Ope_007[[#This Row],[tipo_r]]="R",COUNTIFS($C$1:$C170,"R")+1,"")</f>
        <v>170</v>
      </c>
      <c r="B171" s="19" t="str">
        <f t="shared" si="14"/>
        <v>C_Ope_007</v>
      </c>
      <c r="C171" s="3" t="s">
        <v>1330</v>
      </c>
      <c r="D171" s="14">
        <v>45798</v>
      </c>
      <c r="E171" s="5" t="s">
        <v>5259</v>
      </c>
      <c r="F171" s="5" t="s">
        <v>1336</v>
      </c>
      <c r="G171" s="6" t="s">
        <v>978</v>
      </c>
      <c r="H171" s="6" t="s">
        <v>68</v>
      </c>
      <c r="I171" s="6" t="s">
        <v>6203</v>
      </c>
      <c r="J171" s="6">
        <v>2057203</v>
      </c>
      <c r="K171" s="7" t="s">
        <v>9045</v>
      </c>
      <c r="L171" s="8">
        <v>24268</v>
      </c>
      <c r="M171" s="8" t="str">
        <f t="shared" si="15"/>
        <v>PEN</v>
      </c>
      <c r="N171" s="13"/>
      <c r="O171" s="13">
        <v>8</v>
      </c>
      <c r="P171" s="3">
        <f t="shared" si="11"/>
        <v>0</v>
      </c>
      <c r="Q171" s="3">
        <f t="shared" si="12"/>
        <v>8</v>
      </c>
      <c r="R171" s="3">
        <f t="shared" si="13"/>
        <v>141</v>
      </c>
      <c r="S171" s="24" t="s">
        <v>1334</v>
      </c>
      <c r="T171" s="24" t="s">
        <v>1334</v>
      </c>
      <c r="U171" s="3"/>
      <c r="V171" s="25" t="s">
        <v>7842</v>
      </c>
      <c r="W171" s="25">
        <v>20517252558</v>
      </c>
      <c r="X171" s="25" t="str">
        <f>IFERROR(VLOOKUP(C_Ope_007[[#This Row],[nota_2]],Clientes_Proveedores[[Ruc / Dni]:[Razon Social]],2,0),"")</f>
        <v>COVISUR S.A.</v>
      </c>
      <c r="Y171" s="25"/>
      <c r="Z171" s="103"/>
      <c r="AA171" s="3" t="str">
        <f>IF(C_Ope_007[[#This Row],[fecha]]&gt;0,TEXT(C_Ope_007[[#This Row],[fecha]],"mmmm"),0)</f>
        <v>Mayo</v>
      </c>
      <c r="AB171" s="49"/>
    </row>
    <row r="172" spans="1:28" ht="48" x14ac:dyDescent="0.3">
      <c r="A172" s="2">
        <f>IF(C_Ope_007[[#This Row],[tipo_r]]="R",COUNTIFS($C$1:$C171,"R")+1,"")</f>
        <v>171</v>
      </c>
      <c r="B172" s="19" t="str">
        <f t="shared" si="14"/>
        <v>C_Ope_007</v>
      </c>
      <c r="C172" s="3" t="s">
        <v>1330</v>
      </c>
      <c r="D172" s="14">
        <v>45799</v>
      </c>
      <c r="E172" s="5" t="s">
        <v>5259</v>
      </c>
      <c r="F172" s="5" t="s">
        <v>1336</v>
      </c>
      <c r="G172" s="6" t="s">
        <v>978</v>
      </c>
      <c r="H172" s="6" t="s">
        <v>68</v>
      </c>
      <c r="I172" s="6" t="s">
        <v>5688</v>
      </c>
      <c r="J172" s="6">
        <v>2340202</v>
      </c>
      <c r="K172" s="7" t="s">
        <v>9046</v>
      </c>
      <c r="L172" s="8">
        <v>24381</v>
      </c>
      <c r="M172" s="8" t="str">
        <f t="shared" si="15"/>
        <v>PEN</v>
      </c>
      <c r="N172" s="13"/>
      <c r="O172" s="13">
        <v>5</v>
      </c>
      <c r="P172" s="3">
        <f t="shared" si="11"/>
        <v>0</v>
      </c>
      <c r="Q172" s="3">
        <f t="shared" si="12"/>
        <v>5</v>
      </c>
      <c r="R172" s="3">
        <f t="shared" si="13"/>
        <v>136</v>
      </c>
      <c r="S172" s="24" t="s">
        <v>1334</v>
      </c>
      <c r="T172" s="24" t="s">
        <v>1334</v>
      </c>
      <c r="U172" s="3"/>
      <c r="V172" s="25" t="s">
        <v>7754</v>
      </c>
      <c r="W172" s="25">
        <v>20517252558</v>
      </c>
      <c r="X172" s="25" t="str">
        <f>IFERROR(VLOOKUP(C_Ope_007[[#This Row],[nota_2]],Clientes_Proveedores[[Ruc / Dni]:[Razon Social]],2,0),"")</f>
        <v>COVISUR S.A.</v>
      </c>
      <c r="Y172" s="25"/>
      <c r="Z172" s="103"/>
      <c r="AA172" s="3" t="str">
        <f>IF(C_Ope_007[[#This Row],[fecha]]&gt;0,TEXT(C_Ope_007[[#This Row],[fecha]],"mmmm"),0)</f>
        <v>Mayo</v>
      </c>
      <c r="AB172" s="49"/>
    </row>
    <row r="173" spans="1:28" ht="48" x14ac:dyDescent="0.3">
      <c r="A173" s="2">
        <f>IF(C_Ope_007[[#This Row],[tipo_r]]="R",COUNTIFS($C$1:$C172,"R")+1,"")</f>
        <v>172</v>
      </c>
      <c r="B173" s="19" t="str">
        <f t="shared" si="14"/>
        <v>C_Ope_007</v>
      </c>
      <c r="C173" s="3" t="s">
        <v>1330</v>
      </c>
      <c r="D173" s="14">
        <v>45799</v>
      </c>
      <c r="E173" s="5" t="s">
        <v>5259</v>
      </c>
      <c r="F173" s="5" t="s">
        <v>1336</v>
      </c>
      <c r="G173" s="6" t="s">
        <v>978</v>
      </c>
      <c r="H173" s="6" t="s">
        <v>68</v>
      </c>
      <c r="I173" s="6" t="s">
        <v>6203</v>
      </c>
      <c r="J173" s="6">
        <v>2057998</v>
      </c>
      <c r="K173" s="7" t="s">
        <v>9046</v>
      </c>
      <c r="L173" s="8">
        <v>24382</v>
      </c>
      <c r="M173" s="8" t="str">
        <f t="shared" si="15"/>
        <v>PEN</v>
      </c>
      <c r="N173" s="13"/>
      <c r="O173" s="13">
        <v>5</v>
      </c>
      <c r="P173" s="3">
        <f t="shared" si="11"/>
        <v>0</v>
      </c>
      <c r="Q173" s="3">
        <f t="shared" si="12"/>
        <v>5</v>
      </c>
      <c r="R173" s="3">
        <f t="shared" si="13"/>
        <v>131</v>
      </c>
      <c r="S173" s="24" t="s">
        <v>1334</v>
      </c>
      <c r="T173" s="24" t="s">
        <v>1334</v>
      </c>
      <c r="U173" s="3"/>
      <c r="V173" s="25" t="s">
        <v>7754</v>
      </c>
      <c r="W173" s="25">
        <v>20517252558</v>
      </c>
      <c r="X173" s="25" t="str">
        <f>IFERROR(VLOOKUP(C_Ope_007[[#This Row],[nota_2]],Clientes_Proveedores[[Ruc / Dni]:[Razon Social]],2,0),"")</f>
        <v>COVISUR S.A.</v>
      </c>
      <c r="Y173" s="25"/>
      <c r="Z173" s="103"/>
      <c r="AA173" s="3" t="str">
        <f>IF(C_Ope_007[[#This Row],[fecha]]&gt;0,TEXT(C_Ope_007[[#This Row],[fecha]],"mmmm"),0)</f>
        <v>Mayo</v>
      </c>
      <c r="AB173" s="49"/>
    </row>
    <row r="174" spans="1:28" ht="24" x14ac:dyDescent="0.3">
      <c r="A174" s="2">
        <f>IF(C_Ope_007[[#This Row],[tipo_r]]="R",COUNTIFS($C$1:$C173,"R")+1,"")</f>
        <v>173</v>
      </c>
      <c r="B174" s="19" t="str">
        <f t="shared" si="14"/>
        <v>C_Ope_007</v>
      </c>
      <c r="C174" s="3" t="s">
        <v>1330</v>
      </c>
      <c r="D174" s="14">
        <v>45800</v>
      </c>
      <c r="E174" s="5" t="s">
        <v>5259</v>
      </c>
      <c r="F174" s="5" t="s">
        <v>1336</v>
      </c>
      <c r="G174" s="6" t="s">
        <v>978</v>
      </c>
      <c r="H174" s="6" t="s">
        <v>68</v>
      </c>
      <c r="I174" s="6" t="s">
        <v>5688</v>
      </c>
      <c r="J174" s="6">
        <v>2341134</v>
      </c>
      <c r="K174" s="7" t="s">
        <v>9047</v>
      </c>
      <c r="L174" s="8">
        <v>24383</v>
      </c>
      <c r="M174" s="8" t="str">
        <f t="shared" si="15"/>
        <v>PEN</v>
      </c>
      <c r="N174" s="13"/>
      <c r="O174" s="13">
        <v>8</v>
      </c>
      <c r="P174" s="3">
        <f t="shared" si="11"/>
        <v>0</v>
      </c>
      <c r="Q174" s="3">
        <f t="shared" si="12"/>
        <v>8</v>
      </c>
      <c r="R174" s="3">
        <f t="shared" si="13"/>
        <v>123</v>
      </c>
      <c r="S174" s="24" t="s">
        <v>1334</v>
      </c>
      <c r="T174" s="24" t="s">
        <v>1334</v>
      </c>
      <c r="U174" s="3"/>
      <c r="V174" s="25" t="s">
        <v>7842</v>
      </c>
      <c r="W174" s="25">
        <v>20517252558</v>
      </c>
      <c r="X174" s="25" t="str">
        <f>IFERROR(VLOOKUP(C_Ope_007[[#This Row],[nota_2]],Clientes_Proveedores[[Ruc / Dni]:[Razon Social]],2,0),"")</f>
        <v>COVISUR S.A.</v>
      </c>
      <c r="Y174" s="25"/>
      <c r="Z174" s="103"/>
      <c r="AA174" s="3" t="str">
        <f>IF(C_Ope_007[[#This Row],[fecha]]&gt;0,TEXT(C_Ope_007[[#This Row],[fecha]],"mmmm"),0)</f>
        <v>Mayo</v>
      </c>
      <c r="AB174" s="49"/>
    </row>
    <row r="175" spans="1:28" ht="24" x14ac:dyDescent="0.3">
      <c r="A175" s="2">
        <f>IF(C_Ope_007[[#This Row],[tipo_r]]="R",COUNTIFS($C$1:$C174,"R")+1,"")</f>
        <v>174</v>
      </c>
      <c r="B175" s="19" t="str">
        <f t="shared" si="14"/>
        <v>C_Ope_007</v>
      </c>
      <c r="C175" s="3" t="s">
        <v>1330</v>
      </c>
      <c r="D175" s="14">
        <v>45800</v>
      </c>
      <c r="E175" s="5" t="s">
        <v>5259</v>
      </c>
      <c r="F175" s="5" t="s">
        <v>1336</v>
      </c>
      <c r="G175" s="6" t="s">
        <v>978</v>
      </c>
      <c r="H175" s="6" t="s">
        <v>68</v>
      </c>
      <c r="I175" s="6" t="s">
        <v>6203</v>
      </c>
      <c r="J175" s="6">
        <v>2059163</v>
      </c>
      <c r="K175" s="7" t="s">
        <v>9047</v>
      </c>
      <c r="L175" s="8">
        <v>24384</v>
      </c>
      <c r="M175" s="8" t="str">
        <f t="shared" si="15"/>
        <v>PEN</v>
      </c>
      <c r="N175" s="13"/>
      <c r="O175" s="13">
        <v>8</v>
      </c>
      <c r="P175" s="3">
        <f t="shared" si="11"/>
        <v>0</v>
      </c>
      <c r="Q175" s="3">
        <f t="shared" si="12"/>
        <v>8</v>
      </c>
      <c r="R175" s="3">
        <f t="shared" si="13"/>
        <v>115</v>
      </c>
      <c r="S175" s="24" t="s">
        <v>1334</v>
      </c>
      <c r="T175" s="24" t="s">
        <v>1334</v>
      </c>
      <c r="U175" s="3"/>
      <c r="V175" s="25" t="s">
        <v>7842</v>
      </c>
      <c r="W175" s="25">
        <v>20517252558</v>
      </c>
      <c r="X175" s="25" t="str">
        <f>IFERROR(VLOOKUP(C_Ope_007[[#This Row],[nota_2]],Clientes_Proveedores[[Ruc / Dni]:[Razon Social]],2,0),"")</f>
        <v>COVISUR S.A.</v>
      </c>
      <c r="Y175" s="25"/>
      <c r="Z175" s="103"/>
      <c r="AA175" s="3" t="str">
        <f>IF(C_Ope_007[[#This Row],[fecha]]&gt;0,TEXT(C_Ope_007[[#This Row],[fecha]],"mmmm"),0)</f>
        <v>Mayo</v>
      </c>
      <c r="AB175" s="49"/>
    </row>
    <row r="176" spans="1:28" ht="36" x14ac:dyDescent="0.3">
      <c r="A176" s="2">
        <f>IF(C_Ope_007[[#This Row],[tipo_r]]="R",COUNTIFS($C$1:$C175,"R")+1,"")</f>
        <v>175</v>
      </c>
      <c r="B176" s="19" t="str">
        <f t="shared" si="14"/>
        <v>C_Ope_007</v>
      </c>
      <c r="C176" s="3" t="s">
        <v>1330</v>
      </c>
      <c r="D176" s="14">
        <v>45796</v>
      </c>
      <c r="E176" s="5" t="s">
        <v>5259</v>
      </c>
      <c r="F176" s="5" t="s">
        <v>1336</v>
      </c>
      <c r="G176" s="6" t="s">
        <v>682</v>
      </c>
      <c r="H176" s="6" t="s">
        <v>68</v>
      </c>
      <c r="I176" s="6" t="s">
        <v>1353</v>
      </c>
      <c r="J176" s="6">
        <v>16419</v>
      </c>
      <c r="K176" s="7" t="s">
        <v>9048</v>
      </c>
      <c r="L176" s="8">
        <v>24272</v>
      </c>
      <c r="M176" s="8" t="str">
        <f t="shared" si="15"/>
        <v>PEN</v>
      </c>
      <c r="N176" s="13"/>
      <c r="O176" s="13">
        <v>20</v>
      </c>
      <c r="P176" s="3">
        <f t="shared" si="11"/>
        <v>0</v>
      </c>
      <c r="Q176" s="3">
        <f t="shared" si="12"/>
        <v>20</v>
      </c>
      <c r="R176" s="3">
        <f t="shared" si="13"/>
        <v>95</v>
      </c>
      <c r="S176" s="24" t="s">
        <v>1334</v>
      </c>
      <c r="T176" s="24" t="s">
        <v>1334</v>
      </c>
      <c r="U176" s="3"/>
      <c r="V176" s="25" t="s">
        <v>7842</v>
      </c>
      <c r="W176" s="25">
        <v>20259858934</v>
      </c>
      <c r="X176" s="25" t="str">
        <f>IFERROR(VLOOKUP(C_Ope_007[[#This Row],[nota_2]],Clientes_Proveedores[[Ruc / Dni]:[Razon Social]],2,0),"")</f>
        <v>COMERCIALIZACION Y SERVICIOS EL EDEN S.A.C.</v>
      </c>
      <c r="Y176" s="25"/>
      <c r="Z176" s="103"/>
      <c r="AA176" s="3" t="str">
        <f>IF(C_Ope_007[[#This Row],[fecha]]&gt;0,TEXT(C_Ope_007[[#This Row],[fecha]],"mmmm"),0)</f>
        <v>Mayo</v>
      </c>
      <c r="AB176" s="49"/>
    </row>
    <row r="177" spans="1:28" ht="36" x14ac:dyDescent="0.3">
      <c r="A177" s="2">
        <f>IF(C_Ope_007[[#This Row],[tipo_r]]="R",COUNTIFS($C$1:$C176,"R")+1,"")</f>
        <v>176</v>
      </c>
      <c r="B177" s="19" t="str">
        <f t="shared" si="14"/>
        <v>C_Ope_007</v>
      </c>
      <c r="C177" s="3" t="s">
        <v>1330</v>
      </c>
      <c r="D177" s="14">
        <v>45797</v>
      </c>
      <c r="E177" s="5" t="s">
        <v>5259</v>
      </c>
      <c r="F177" s="5" t="s">
        <v>1336</v>
      </c>
      <c r="G177" s="6" t="s">
        <v>682</v>
      </c>
      <c r="H177" s="6" t="s">
        <v>68</v>
      </c>
      <c r="I177" s="6" t="s">
        <v>1343</v>
      </c>
      <c r="J177" s="6">
        <v>34709</v>
      </c>
      <c r="K177" s="7" t="s">
        <v>9023</v>
      </c>
      <c r="L177" s="8">
        <v>24376</v>
      </c>
      <c r="M177" s="8" t="str">
        <f t="shared" si="15"/>
        <v>PEN</v>
      </c>
      <c r="N177" s="13"/>
      <c r="O177" s="13">
        <v>10</v>
      </c>
      <c r="P177" s="3">
        <f t="shared" si="11"/>
        <v>0</v>
      </c>
      <c r="Q177" s="3">
        <f t="shared" si="12"/>
        <v>10</v>
      </c>
      <c r="R177" s="3">
        <f t="shared" si="13"/>
        <v>85</v>
      </c>
      <c r="S177" s="24" t="s">
        <v>1334</v>
      </c>
      <c r="T177" s="24" t="s">
        <v>1334</v>
      </c>
      <c r="U177" s="3"/>
      <c r="V177" s="25" t="s">
        <v>7756</v>
      </c>
      <c r="W177" s="25">
        <v>20259858934</v>
      </c>
      <c r="X177" s="25" t="str">
        <f>IFERROR(VLOOKUP(C_Ope_007[[#This Row],[nota_2]],Clientes_Proveedores[[Ruc / Dni]:[Razon Social]],2,0),"")</f>
        <v>COMERCIALIZACION Y SERVICIOS EL EDEN S.A.C.</v>
      </c>
      <c r="Y177" s="25"/>
      <c r="Z177" s="103"/>
      <c r="AA177" s="3" t="str">
        <f>IF(C_Ope_007[[#This Row],[fecha]]&gt;0,TEXT(C_Ope_007[[#This Row],[fecha]],"mmmm"),0)</f>
        <v>Mayo</v>
      </c>
      <c r="AB177" s="49"/>
    </row>
    <row r="178" spans="1:28" ht="24" x14ac:dyDescent="0.3">
      <c r="A178" s="2">
        <f>IF(C_Ope_007[[#This Row],[tipo_r]]="R",COUNTIFS($C$1:$C177,"R")+1,"")</f>
        <v>177</v>
      </c>
      <c r="B178" s="19" t="str">
        <f t="shared" si="14"/>
        <v>C_Ope_007</v>
      </c>
      <c r="C178" s="3" t="s">
        <v>1330</v>
      </c>
      <c r="D178" s="14">
        <v>45807</v>
      </c>
      <c r="E178" s="5" t="s">
        <v>7514</v>
      </c>
      <c r="F178" s="5" t="s">
        <v>1303</v>
      </c>
      <c r="G178" s="6" t="s">
        <v>692</v>
      </c>
      <c r="H178" s="6"/>
      <c r="I178" s="6"/>
      <c r="J178" s="6"/>
      <c r="K178" s="7" t="s">
        <v>7516</v>
      </c>
      <c r="L178" s="8">
        <v>24400</v>
      </c>
      <c r="M178" s="8" t="str">
        <f t="shared" si="15"/>
        <v>PEN</v>
      </c>
      <c r="N178" s="13"/>
      <c r="O178" s="13">
        <v>350</v>
      </c>
      <c r="P178" s="3">
        <f t="shared" si="11"/>
        <v>350</v>
      </c>
      <c r="Q178" s="3">
        <f t="shared" si="12"/>
        <v>0</v>
      </c>
      <c r="R178" s="3">
        <f t="shared" si="13"/>
        <v>435</v>
      </c>
      <c r="S178" s="24" t="s">
        <v>1334</v>
      </c>
      <c r="T178" s="24" t="s">
        <v>1334</v>
      </c>
      <c r="U178" s="3"/>
      <c r="V178" s="25"/>
      <c r="W178" s="25"/>
      <c r="X178" s="25" t="str">
        <f>IFERROR(VLOOKUP(C_Ope_007[[#This Row],[nota_2]],Clientes_Proveedores[[Ruc / Dni]:[Razon Social]],2,0),"")</f>
        <v/>
      </c>
      <c r="Y178" s="25"/>
      <c r="Z178" s="103"/>
      <c r="AA178" s="3" t="str">
        <f>IF(C_Ope_007[[#This Row],[fecha]]&gt;0,TEXT(C_Ope_007[[#This Row],[fecha]],"mmmm"),0)</f>
        <v>Mayo</v>
      </c>
      <c r="AB178" s="49"/>
    </row>
    <row r="179" spans="1:28" ht="24" x14ac:dyDescent="0.3">
      <c r="A179" s="2">
        <f>IF(C_Ope_007[[#This Row],[tipo_r]]="R",COUNTIFS($C$1:$C178,"R")+1,"")</f>
        <v>178</v>
      </c>
      <c r="B179" s="19" t="str">
        <f t="shared" si="14"/>
        <v>C_Ope_007</v>
      </c>
      <c r="C179" s="3" t="s">
        <v>1330</v>
      </c>
      <c r="D179" s="14">
        <v>45803</v>
      </c>
      <c r="E179" s="5" t="s">
        <v>5259</v>
      </c>
      <c r="F179" s="5" t="s">
        <v>1336</v>
      </c>
      <c r="G179" s="6" t="s">
        <v>978</v>
      </c>
      <c r="H179" s="6" t="s">
        <v>68</v>
      </c>
      <c r="I179" s="6" t="s">
        <v>5688</v>
      </c>
      <c r="J179" s="6">
        <v>2344144</v>
      </c>
      <c r="K179" s="7" t="s">
        <v>9049</v>
      </c>
      <c r="L179" s="8">
        <v>24385</v>
      </c>
      <c r="M179" s="8" t="str">
        <f t="shared" si="15"/>
        <v>PEN</v>
      </c>
      <c r="N179" s="13"/>
      <c r="O179" s="13">
        <v>8</v>
      </c>
      <c r="P179" s="3">
        <f t="shared" si="11"/>
        <v>0</v>
      </c>
      <c r="Q179" s="3">
        <f t="shared" si="12"/>
        <v>8</v>
      </c>
      <c r="R179" s="3">
        <f t="shared" si="13"/>
        <v>427</v>
      </c>
      <c r="S179" s="24" t="s">
        <v>1334</v>
      </c>
      <c r="T179" s="24" t="s">
        <v>1334</v>
      </c>
      <c r="U179" s="3"/>
      <c r="V179" s="25" t="s">
        <v>7842</v>
      </c>
      <c r="W179" s="25">
        <v>20517252558</v>
      </c>
      <c r="X179" s="25" t="str">
        <f>IFERROR(VLOOKUP(C_Ope_007[[#This Row],[nota_2]],Clientes_Proveedores[[Ruc / Dni]:[Razon Social]],2,0),"")</f>
        <v>COVISUR S.A.</v>
      </c>
      <c r="Y179" s="25"/>
      <c r="Z179" s="103"/>
      <c r="AA179" s="3" t="str">
        <f>IF(C_Ope_007[[#This Row],[fecha]]&gt;0,TEXT(C_Ope_007[[#This Row],[fecha]],"mmmm"),0)</f>
        <v>Mayo</v>
      </c>
      <c r="AB179" s="49"/>
    </row>
    <row r="180" spans="1:28" ht="24" x14ac:dyDescent="0.3">
      <c r="A180" s="2">
        <f>IF(C_Ope_007[[#This Row],[tipo_r]]="R",COUNTIFS($C$1:$C179,"R")+1,"")</f>
        <v>179</v>
      </c>
      <c r="B180" s="19" t="str">
        <f t="shared" si="14"/>
        <v>C_Ope_007</v>
      </c>
      <c r="C180" s="3" t="s">
        <v>1330</v>
      </c>
      <c r="D180" s="14">
        <v>45803</v>
      </c>
      <c r="E180" s="5" t="s">
        <v>5259</v>
      </c>
      <c r="F180" s="5" t="s">
        <v>1336</v>
      </c>
      <c r="G180" s="6" t="s">
        <v>978</v>
      </c>
      <c r="H180" s="6" t="s">
        <v>68</v>
      </c>
      <c r="I180" s="6" t="s">
        <v>6379</v>
      </c>
      <c r="J180" s="6">
        <v>476121</v>
      </c>
      <c r="K180" s="7" t="s">
        <v>9050</v>
      </c>
      <c r="L180" s="8">
        <v>24386</v>
      </c>
      <c r="M180" s="8" t="str">
        <f t="shared" si="15"/>
        <v>PEN</v>
      </c>
      <c r="N180" s="13"/>
      <c r="O180" s="13">
        <v>8</v>
      </c>
      <c r="P180" s="3">
        <f t="shared" si="11"/>
        <v>0</v>
      </c>
      <c r="Q180" s="3">
        <f t="shared" si="12"/>
        <v>8</v>
      </c>
      <c r="R180" s="3">
        <f t="shared" si="13"/>
        <v>419</v>
      </c>
      <c r="S180" s="24" t="s">
        <v>1334</v>
      </c>
      <c r="T180" s="24" t="s">
        <v>1334</v>
      </c>
      <c r="U180" s="3"/>
      <c r="V180" s="25" t="s">
        <v>7842</v>
      </c>
      <c r="W180" s="25">
        <v>20517252558</v>
      </c>
      <c r="X180" s="25" t="str">
        <f>IFERROR(VLOOKUP(C_Ope_007[[#This Row],[nota_2]],Clientes_Proveedores[[Ruc / Dni]:[Razon Social]],2,0),"")</f>
        <v>COVISUR S.A.</v>
      </c>
      <c r="Y180" s="25"/>
      <c r="Z180" s="103"/>
      <c r="AA180" s="3" t="str">
        <f>IF(C_Ope_007[[#This Row],[fecha]]&gt;0,TEXT(C_Ope_007[[#This Row],[fecha]],"mmmm"),0)</f>
        <v>Mayo</v>
      </c>
      <c r="AB180" s="49"/>
    </row>
    <row r="181" spans="1:28" ht="24" x14ac:dyDescent="0.3">
      <c r="A181" s="2">
        <f>IF(C_Ope_007[[#This Row],[tipo_r]]="R",COUNTIFS($C$1:$C180,"R")+1,"")</f>
        <v>180</v>
      </c>
      <c r="B181" s="19" t="str">
        <f t="shared" si="14"/>
        <v>C_Ope_007</v>
      </c>
      <c r="C181" s="3" t="s">
        <v>1330</v>
      </c>
      <c r="D181" s="14">
        <v>45803</v>
      </c>
      <c r="E181" s="5" t="s">
        <v>5259</v>
      </c>
      <c r="F181" s="5" t="s">
        <v>1336</v>
      </c>
      <c r="G181" s="6" t="s">
        <v>978</v>
      </c>
      <c r="H181" s="6" t="s">
        <v>68</v>
      </c>
      <c r="I181" s="6" t="s">
        <v>6244</v>
      </c>
      <c r="J181" s="6">
        <v>1061996</v>
      </c>
      <c r="K181" s="7" t="s">
        <v>9050</v>
      </c>
      <c r="L181" s="8">
        <v>24387</v>
      </c>
      <c r="M181" s="8" t="str">
        <f t="shared" si="15"/>
        <v>PEN</v>
      </c>
      <c r="N181" s="13"/>
      <c r="O181" s="13">
        <v>8</v>
      </c>
      <c r="P181" s="3">
        <f t="shared" si="11"/>
        <v>0</v>
      </c>
      <c r="Q181" s="3">
        <f t="shared" si="12"/>
        <v>8</v>
      </c>
      <c r="R181" s="3">
        <f t="shared" si="13"/>
        <v>411</v>
      </c>
      <c r="S181" s="24" t="s">
        <v>1334</v>
      </c>
      <c r="T181" s="24" t="s">
        <v>1334</v>
      </c>
      <c r="U181" s="3"/>
      <c r="V181" s="25" t="s">
        <v>7842</v>
      </c>
      <c r="W181" s="25">
        <v>20517252558</v>
      </c>
      <c r="X181" s="25" t="str">
        <f>IFERROR(VLOOKUP(C_Ope_007[[#This Row],[nota_2]],Clientes_Proveedores[[Ruc / Dni]:[Razon Social]],2,0),"")</f>
        <v>COVISUR S.A.</v>
      </c>
      <c r="Y181" s="25"/>
      <c r="Z181" s="103"/>
      <c r="AA181" s="3" t="str">
        <f>IF(C_Ope_007[[#This Row],[fecha]]&gt;0,TEXT(C_Ope_007[[#This Row],[fecha]],"mmmm"),0)</f>
        <v>Mayo</v>
      </c>
      <c r="AB181" s="49"/>
    </row>
    <row r="182" spans="1:28" ht="24" x14ac:dyDescent="0.3">
      <c r="A182" s="2">
        <f>IF(C_Ope_007[[#This Row],[tipo_r]]="R",COUNTIFS($C$1:$C181,"R")+1,"")</f>
        <v>181</v>
      </c>
      <c r="B182" s="19" t="str">
        <f t="shared" si="14"/>
        <v>C_Ope_007</v>
      </c>
      <c r="C182" s="3" t="s">
        <v>1330</v>
      </c>
      <c r="D182" s="14">
        <v>45803</v>
      </c>
      <c r="E182" s="5" t="s">
        <v>5259</v>
      </c>
      <c r="F182" s="5" t="s">
        <v>1336</v>
      </c>
      <c r="G182" s="6" t="s">
        <v>978</v>
      </c>
      <c r="H182" s="6" t="s">
        <v>68</v>
      </c>
      <c r="I182" s="6" t="s">
        <v>5845</v>
      </c>
      <c r="J182" s="6">
        <v>1760980</v>
      </c>
      <c r="K182" s="7" t="s">
        <v>9049</v>
      </c>
      <c r="L182" s="8">
        <v>24388</v>
      </c>
      <c r="M182" s="8" t="str">
        <f t="shared" si="15"/>
        <v>PEN</v>
      </c>
      <c r="N182" s="13"/>
      <c r="O182" s="13">
        <v>8</v>
      </c>
      <c r="P182" s="3">
        <f t="shared" si="11"/>
        <v>0</v>
      </c>
      <c r="Q182" s="3">
        <f t="shared" si="12"/>
        <v>8</v>
      </c>
      <c r="R182" s="3">
        <f t="shared" si="13"/>
        <v>403</v>
      </c>
      <c r="S182" s="24" t="s">
        <v>1334</v>
      </c>
      <c r="T182" s="24" t="s">
        <v>1334</v>
      </c>
      <c r="U182" s="3"/>
      <c r="V182" s="25" t="s">
        <v>7842</v>
      </c>
      <c r="W182" s="25">
        <v>20517252558</v>
      </c>
      <c r="X182" s="25" t="str">
        <f>IFERROR(VLOOKUP(C_Ope_007[[#This Row],[nota_2]],Clientes_Proveedores[[Ruc / Dni]:[Razon Social]],2,0),"")</f>
        <v>COVISUR S.A.</v>
      </c>
      <c r="Y182" s="25"/>
      <c r="Z182" s="103"/>
      <c r="AA182" s="3" t="str">
        <f>IF(C_Ope_007[[#This Row],[fecha]]&gt;0,TEXT(C_Ope_007[[#This Row],[fecha]],"mmmm"),0)</f>
        <v>Mayo</v>
      </c>
      <c r="AB182" s="49"/>
    </row>
    <row r="183" spans="1:28" ht="24" x14ac:dyDescent="0.3">
      <c r="A183" s="2">
        <f>IF(C_Ope_007[[#This Row],[tipo_r]]="R",COUNTIFS($C$1:$C182,"R")+1,"")</f>
        <v>182</v>
      </c>
      <c r="B183" s="19" t="str">
        <f t="shared" si="14"/>
        <v>C_Ope_007</v>
      </c>
      <c r="C183" s="3" t="s">
        <v>1330</v>
      </c>
      <c r="D183" s="14">
        <v>45804</v>
      </c>
      <c r="E183" s="5" t="s">
        <v>5259</v>
      </c>
      <c r="F183" s="5" t="s">
        <v>1336</v>
      </c>
      <c r="G183" s="6" t="s">
        <v>978</v>
      </c>
      <c r="H183" s="6" t="s">
        <v>68</v>
      </c>
      <c r="I183" s="6" t="s">
        <v>6204</v>
      </c>
      <c r="J183" s="6">
        <v>1741920</v>
      </c>
      <c r="K183" s="7" t="s">
        <v>9051</v>
      </c>
      <c r="L183" s="8">
        <v>24389</v>
      </c>
      <c r="M183" s="8" t="str">
        <f t="shared" si="15"/>
        <v>PEN</v>
      </c>
      <c r="N183" s="13"/>
      <c r="O183" s="13">
        <v>8</v>
      </c>
      <c r="P183" s="3">
        <f t="shared" si="11"/>
        <v>0</v>
      </c>
      <c r="Q183" s="3">
        <f t="shared" si="12"/>
        <v>8</v>
      </c>
      <c r="R183" s="3">
        <f t="shared" si="13"/>
        <v>395</v>
      </c>
      <c r="S183" s="24" t="s">
        <v>1334</v>
      </c>
      <c r="T183" s="24" t="s">
        <v>1334</v>
      </c>
      <c r="U183" s="3"/>
      <c r="V183" s="25" t="s">
        <v>7842</v>
      </c>
      <c r="W183" s="25">
        <v>20517252558</v>
      </c>
      <c r="X183" s="25" t="str">
        <f>IFERROR(VLOOKUP(C_Ope_007[[#This Row],[nota_2]],Clientes_Proveedores[[Ruc / Dni]:[Razon Social]],2,0),"")</f>
        <v>COVISUR S.A.</v>
      </c>
      <c r="Y183" s="25"/>
      <c r="Z183" s="103"/>
      <c r="AA183" s="3" t="str">
        <f>IF(C_Ope_007[[#This Row],[fecha]]&gt;0,TEXT(C_Ope_007[[#This Row],[fecha]],"mmmm"),0)</f>
        <v>Mayo</v>
      </c>
      <c r="AB183" s="49"/>
    </row>
    <row r="184" spans="1:28" ht="24" x14ac:dyDescent="0.3">
      <c r="A184" s="2">
        <f>IF(C_Ope_007[[#This Row],[tipo_r]]="R",COUNTIFS($C$1:$C183,"R")+1,"")</f>
        <v>183</v>
      </c>
      <c r="B184" s="19" t="str">
        <f t="shared" si="14"/>
        <v>C_Ope_007</v>
      </c>
      <c r="C184" s="3" t="s">
        <v>1330</v>
      </c>
      <c r="D184" s="14">
        <v>45804</v>
      </c>
      <c r="E184" s="5" t="s">
        <v>5259</v>
      </c>
      <c r="F184" s="5" t="s">
        <v>1336</v>
      </c>
      <c r="G184" s="6" t="s">
        <v>978</v>
      </c>
      <c r="H184" s="6" t="s">
        <v>68</v>
      </c>
      <c r="I184" s="6" t="s">
        <v>5845</v>
      </c>
      <c r="J184" s="6">
        <v>1761848</v>
      </c>
      <c r="K184" s="7" t="s">
        <v>9051</v>
      </c>
      <c r="L184" s="8">
        <v>24390</v>
      </c>
      <c r="M184" s="8" t="str">
        <f t="shared" si="15"/>
        <v>PEN</v>
      </c>
      <c r="N184" s="13"/>
      <c r="O184" s="13">
        <v>8</v>
      </c>
      <c r="P184" s="3">
        <f t="shared" si="11"/>
        <v>0</v>
      </c>
      <c r="Q184" s="3">
        <f t="shared" si="12"/>
        <v>8</v>
      </c>
      <c r="R184" s="3">
        <f t="shared" si="13"/>
        <v>387</v>
      </c>
      <c r="S184" s="24" t="s">
        <v>1334</v>
      </c>
      <c r="T184" s="24" t="s">
        <v>1334</v>
      </c>
      <c r="U184" s="3"/>
      <c r="V184" s="25" t="s">
        <v>7842</v>
      </c>
      <c r="W184" s="25">
        <v>20517252558</v>
      </c>
      <c r="X184" s="25" t="str">
        <f>IFERROR(VLOOKUP(C_Ope_007[[#This Row],[nota_2]],Clientes_Proveedores[[Ruc / Dni]:[Razon Social]],2,0),"")</f>
        <v>COVISUR S.A.</v>
      </c>
      <c r="Y184" s="25"/>
      <c r="Z184" s="103"/>
      <c r="AA184" s="3" t="str">
        <f>IF(C_Ope_007[[#This Row],[fecha]]&gt;0,TEXT(C_Ope_007[[#This Row],[fecha]],"mmmm"),0)</f>
        <v>Mayo</v>
      </c>
      <c r="AB184" s="49"/>
    </row>
    <row r="185" spans="1:28" ht="36" x14ac:dyDescent="0.3">
      <c r="A185" s="2">
        <f>IF(C_Ope_007[[#This Row],[tipo_r]]="R",COUNTIFS($C$1:$C184,"R")+1,"")</f>
        <v>184</v>
      </c>
      <c r="B185" s="19" t="str">
        <f t="shared" si="14"/>
        <v>C_Ope_007</v>
      </c>
      <c r="C185" s="3" t="s">
        <v>1330</v>
      </c>
      <c r="D185" s="14">
        <v>45806</v>
      </c>
      <c r="E185" s="5" t="s">
        <v>5259</v>
      </c>
      <c r="F185" s="5" t="s">
        <v>1336</v>
      </c>
      <c r="G185" s="6" t="s">
        <v>978</v>
      </c>
      <c r="H185" s="6" t="s">
        <v>68</v>
      </c>
      <c r="I185" s="6" t="s">
        <v>6204</v>
      </c>
      <c r="J185" s="6">
        <v>1744092</v>
      </c>
      <c r="K185" s="7" t="s">
        <v>9052</v>
      </c>
      <c r="L185" s="8">
        <v>24391</v>
      </c>
      <c r="M185" s="8" t="str">
        <f t="shared" si="15"/>
        <v>PEN</v>
      </c>
      <c r="N185" s="13"/>
      <c r="O185" s="13">
        <v>5</v>
      </c>
      <c r="P185" s="3">
        <f t="shared" si="11"/>
        <v>0</v>
      </c>
      <c r="Q185" s="3">
        <f t="shared" si="12"/>
        <v>5</v>
      </c>
      <c r="R185" s="3">
        <f t="shared" si="13"/>
        <v>382</v>
      </c>
      <c r="S185" s="24" t="s">
        <v>1334</v>
      </c>
      <c r="T185" s="24" t="s">
        <v>1334</v>
      </c>
      <c r="U185" s="3"/>
      <c r="V185" s="25" t="s">
        <v>7754</v>
      </c>
      <c r="W185" s="25">
        <v>20517252558</v>
      </c>
      <c r="X185" s="25" t="str">
        <f>IFERROR(VLOOKUP(C_Ope_007[[#This Row],[nota_2]],Clientes_Proveedores[[Ruc / Dni]:[Razon Social]],2,0),"")</f>
        <v>COVISUR S.A.</v>
      </c>
      <c r="Y185" s="25"/>
      <c r="Z185" s="103"/>
      <c r="AA185" s="3" t="str">
        <f>IF(C_Ope_007[[#This Row],[fecha]]&gt;0,TEXT(C_Ope_007[[#This Row],[fecha]],"mmmm"),0)</f>
        <v>Mayo</v>
      </c>
      <c r="AB185" s="49"/>
    </row>
    <row r="186" spans="1:28" ht="36" x14ac:dyDescent="0.3">
      <c r="A186" s="2">
        <f>IF(C_Ope_007[[#This Row],[tipo_r]]="R",COUNTIFS($C$1:$C185,"R")+1,"")</f>
        <v>185</v>
      </c>
      <c r="B186" s="19" t="str">
        <f t="shared" si="14"/>
        <v>C_Ope_007</v>
      </c>
      <c r="C186" s="3" t="s">
        <v>1330</v>
      </c>
      <c r="D186" s="14">
        <v>45806</v>
      </c>
      <c r="E186" s="5" t="s">
        <v>5259</v>
      </c>
      <c r="F186" s="5" t="s">
        <v>1336</v>
      </c>
      <c r="G186" s="6" t="s">
        <v>978</v>
      </c>
      <c r="H186" s="6" t="s">
        <v>68</v>
      </c>
      <c r="I186" s="6" t="s">
        <v>5845</v>
      </c>
      <c r="J186" s="6">
        <v>1763703</v>
      </c>
      <c r="K186" s="7" t="s">
        <v>9052</v>
      </c>
      <c r="L186" s="8">
        <v>24392</v>
      </c>
      <c r="M186" s="8" t="str">
        <f t="shared" si="15"/>
        <v>PEN</v>
      </c>
      <c r="N186" s="13"/>
      <c r="O186" s="13">
        <v>5</v>
      </c>
      <c r="P186" s="3">
        <f t="shared" si="11"/>
        <v>0</v>
      </c>
      <c r="Q186" s="3">
        <f t="shared" si="12"/>
        <v>5</v>
      </c>
      <c r="R186" s="3">
        <f t="shared" si="13"/>
        <v>377</v>
      </c>
      <c r="S186" s="24" t="s">
        <v>1334</v>
      </c>
      <c r="T186" s="24" t="s">
        <v>1334</v>
      </c>
      <c r="U186" s="3"/>
      <c r="V186" s="25" t="s">
        <v>7754</v>
      </c>
      <c r="W186" s="25">
        <v>20517252558</v>
      </c>
      <c r="X186" s="25" t="str">
        <f>IFERROR(VLOOKUP(C_Ope_007[[#This Row],[nota_2]],Clientes_Proveedores[[Ruc / Dni]:[Razon Social]],2,0),"")</f>
        <v>COVISUR S.A.</v>
      </c>
      <c r="Y186" s="25"/>
      <c r="Z186" s="103"/>
      <c r="AA186" s="3" t="str">
        <f>IF(C_Ope_007[[#This Row],[fecha]]&gt;0,TEXT(C_Ope_007[[#This Row],[fecha]],"mmmm"),0)</f>
        <v>Mayo</v>
      </c>
      <c r="AB186" s="49"/>
    </row>
    <row r="187" spans="1:28" ht="24" x14ac:dyDescent="0.3">
      <c r="A187" s="2">
        <f>IF(C_Ope_007[[#This Row],[tipo_r]]="R",COUNTIFS($C$1:$C186,"R")+1,"")</f>
        <v>186</v>
      </c>
      <c r="B187" s="19" t="str">
        <f t="shared" si="14"/>
        <v>C_Ope_007</v>
      </c>
      <c r="C187" s="3" t="s">
        <v>1330</v>
      </c>
      <c r="D187" s="14">
        <v>45807</v>
      </c>
      <c r="E187" s="5" t="s">
        <v>5259</v>
      </c>
      <c r="F187" s="5" t="s">
        <v>1336</v>
      </c>
      <c r="G187" s="6" t="s">
        <v>978</v>
      </c>
      <c r="H187" s="6" t="s">
        <v>68</v>
      </c>
      <c r="I187" s="6" t="s">
        <v>6203</v>
      </c>
      <c r="J187" s="6">
        <v>2066423</v>
      </c>
      <c r="K187" s="7" t="s">
        <v>7820</v>
      </c>
      <c r="L187" s="8">
        <v>24402</v>
      </c>
      <c r="M187" s="8" t="str">
        <f t="shared" si="15"/>
        <v>PEN</v>
      </c>
      <c r="N187" s="13"/>
      <c r="O187" s="13">
        <v>8</v>
      </c>
      <c r="P187" s="3">
        <f t="shared" si="11"/>
        <v>0</v>
      </c>
      <c r="Q187" s="3">
        <f t="shared" si="12"/>
        <v>8</v>
      </c>
      <c r="R187" s="3">
        <f t="shared" si="13"/>
        <v>369</v>
      </c>
      <c r="S187" s="24" t="s">
        <v>1334</v>
      </c>
      <c r="T187" s="24" t="s">
        <v>1334</v>
      </c>
      <c r="U187" s="3"/>
      <c r="V187" s="25" t="s">
        <v>7756</v>
      </c>
      <c r="W187" s="25">
        <v>20517252558</v>
      </c>
      <c r="X187" s="25" t="str">
        <f>IFERROR(VLOOKUP(C_Ope_007[[#This Row],[nota_2]],Clientes_Proveedores[[Ruc / Dni]:[Razon Social]],2,0),"")</f>
        <v>COVISUR S.A.</v>
      </c>
      <c r="Y187" s="25"/>
      <c r="Z187" s="103"/>
      <c r="AA187" s="3" t="str">
        <f>IF(C_Ope_007[[#This Row],[fecha]]&gt;0,TEXT(C_Ope_007[[#This Row],[fecha]],"mmmm"),0)</f>
        <v>Mayo</v>
      </c>
      <c r="AB187" s="49"/>
    </row>
    <row r="188" spans="1:28" ht="24" x14ac:dyDescent="0.3">
      <c r="A188" s="2">
        <f>IF(C_Ope_007[[#This Row],[tipo_r]]="R",COUNTIFS($C$1:$C187,"R")+1,"")</f>
        <v>187</v>
      </c>
      <c r="B188" s="19" t="str">
        <f t="shared" si="14"/>
        <v>C_Ope_007</v>
      </c>
      <c r="C188" s="3" t="s">
        <v>1330</v>
      </c>
      <c r="D188" s="14">
        <v>45807</v>
      </c>
      <c r="E188" s="5" t="s">
        <v>5259</v>
      </c>
      <c r="F188" s="5" t="s">
        <v>1336</v>
      </c>
      <c r="G188" s="6" t="s">
        <v>978</v>
      </c>
      <c r="H188" s="6" t="s">
        <v>68</v>
      </c>
      <c r="I188" s="6" t="s">
        <v>6204</v>
      </c>
      <c r="J188" s="6">
        <v>1744949</v>
      </c>
      <c r="K188" s="7" t="s">
        <v>9053</v>
      </c>
      <c r="L188" s="8">
        <v>24403</v>
      </c>
      <c r="M188" s="8" t="str">
        <f t="shared" si="15"/>
        <v>PEN</v>
      </c>
      <c r="N188" s="13"/>
      <c r="O188" s="13">
        <v>8</v>
      </c>
      <c r="P188" s="3">
        <f t="shared" si="11"/>
        <v>0</v>
      </c>
      <c r="Q188" s="3">
        <f t="shared" si="12"/>
        <v>8</v>
      </c>
      <c r="R188" s="3">
        <f t="shared" si="13"/>
        <v>361</v>
      </c>
      <c r="S188" s="24" t="s">
        <v>1334</v>
      </c>
      <c r="T188" s="24" t="s">
        <v>1334</v>
      </c>
      <c r="U188" s="3"/>
      <c r="V188" s="25" t="s">
        <v>7842</v>
      </c>
      <c r="W188" s="25">
        <v>20517252558</v>
      </c>
      <c r="X188" s="25" t="str">
        <f>IFERROR(VLOOKUP(C_Ope_007[[#This Row],[nota_2]],Clientes_Proveedores[[Ruc / Dni]:[Razon Social]],2,0),"")</f>
        <v>COVISUR S.A.</v>
      </c>
      <c r="Y188" s="25"/>
      <c r="Z188" s="103"/>
      <c r="AA188" s="3" t="str">
        <f>IF(C_Ope_007[[#This Row],[fecha]]&gt;0,TEXT(C_Ope_007[[#This Row],[fecha]],"mmmm"),0)</f>
        <v>Mayo</v>
      </c>
      <c r="AB188" s="49"/>
    </row>
    <row r="189" spans="1:28" ht="24" x14ac:dyDescent="0.3">
      <c r="A189" s="2">
        <f>IF(C_Ope_007[[#This Row],[tipo_r]]="R",COUNTIFS($C$1:$C188,"R")+1,"")</f>
        <v>188</v>
      </c>
      <c r="B189" s="19" t="str">
        <f t="shared" si="14"/>
        <v>C_Ope_007</v>
      </c>
      <c r="C189" s="3" t="s">
        <v>1330</v>
      </c>
      <c r="D189" s="14">
        <v>45807</v>
      </c>
      <c r="E189" s="5" t="s">
        <v>5259</v>
      </c>
      <c r="F189" s="5" t="s">
        <v>1336</v>
      </c>
      <c r="G189" s="6" t="s">
        <v>978</v>
      </c>
      <c r="H189" s="6" t="s">
        <v>68</v>
      </c>
      <c r="I189" s="6" t="s">
        <v>6203</v>
      </c>
      <c r="J189" s="6">
        <v>2066307</v>
      </c>
      <c r="K189" s="7" t="s">
        <v>9053</v>
      </c>
      <c r="L189" s="8">
        <v>24404</v>
      </c>
      <c r="M189" s="8" t="str">
        <f t="shared" si="15"/>
        <v>PEN</v>
      </c>
      <c r="N189" s="13"/>
      <c r="O189" s="13">
        <v>8</v>
      </c>
      <c r="P189" s="3">
        <f t="shared" si="11"/>
        <v>0</v>
      </c>
      <c r="Q189" s="3">
        <f t="shared" si="12"/>
        <v>8</v>
      </c>
      <c r="R189" s="3">
        <f t="shared" si="13"/>
        <v>353</v>
      </c>
      <c r="S189" s="24" t="s">
        <v>1334</v>
      </c>
      <c r="T189" s="24" t="s">
        <v>1334</v>
      </c>
      <c r="U189" s="3"/>
      <c r="V189" s="25" t="s">
        <v>7842</v>
      </c>
      <c r="W189" s="25">
        <v>20517252558</v>
      </c>
      <c r="X189" s="25" t="str">
        <f>IFERROR(VLOOKUP(C_Ope_007[[#This Row],[nota_2]],Clientes_Proveedores[[Ruc / Dni]:[Razon Social]],2,0),"")</f>
        <v>COVISUR S.A.</v>
      </c>
      <c r="Y189" s="25"/>
      <c r="Z189" s="103"/>
      <c r="AA189" s="3" t="str">
        <f>IF(C_Ope_007[[#This Row],[fecha]]&gt;0,TEXT(C_Ope_007[[#This Row],[fecha]],"mmmm"),0)</f>
        <v>Mayo</v>
      </c>
      <c r="AB189" s="49"/>
    </row>
    <row r="190" spans="1:28" ht="24" x14ac:dyDescent="0.3">
      <c r="A190" s="2">
        <f>IF(C_Ope_007[[#This Row],[tipo_r]]="R",COUNTIFS($C$1:$C189,"R")+1,"")</f>
        <v>189</v>
      </c>
      <c r="B190" s="19" t="str">
        <f t="shared" si="14"/>
        <v>C_Ope_007</v>
      </c>
      <c r="C190" s="3" t="s">
        <v>1330</v>
      </c>
      <c r="D190" s="14">
        <v>45807</v>
      </c>
      <c r="E190" s="5" t="s">
        <v>5259</v>
      </c>
      <c r="F190" s="5" t="s">
        <v>1336</v>
      </c>
      <c r="G190" s="6" t="s">
        <v>978</v>
      </c>
      <c r="H190" s="6" t="s">
        <v>68</v>
      </c>
      <c r="I190" s="6" t="s">
        <v>6204</v>
      </c>
      <c r="J190" s="6">
        <v>1745005</v>
      </c>
      <c r="K190" s="7" t="s">
        <v>7820</v>
      </c>
      <c r="L190" s="8">
        <v>24422</v>
      </c>
      <c r="M190" s="8" t="str">
        <f t="shared" si="15"/>
        <v>PEN</v>
      </c>
      <c r="N190" s="13"/>
      <c r="O190" s="13">
        <v>8</v>
      </c>
      <c r="P190" s="3">
        <f t="shared" si="11"/>
        <v>0</v>
      </c>
      <c r="Q190" s="3">
        <f t="shared" si="12"/>
        <v>8</v>
      </c>
      <c r="R190" s="3">
        <f t="shared" si="13"/>
        <v>345</v>
      </c>
      <c r="S190" s="24" t="s">
        <v>1334</v>
      </c>
      <c r="T190" s="24" t="s">
        <v>1334</v>
      </c>
      <c r="U190" s="3"/>
      <c r="V190" s="25" t="s">
        <v>7756</v>
      </c>
      <c r="W190" s="25">
        <v>20517252558</v>
      </c>
      <c r="X190" s="25" t="str">
        <f>IFERROR(VLOOKUP(C_Ope_007[[#This Row],[nota_2]],Clientes_Proveedores[[Ruc / Dni]:[Razon Social]],2,0),"")</f>
        <v>COVISUR S.A.</v>
      </c>
      <c r="Y190" s="25"/>
      <c r="Z190" s="103"/>
      <c r="AA190" s="3" t="str">
        <f>IF(C_Ope_007[[#This Row],[fecha]]&gt;0,TEXT(C_Ope_007[[#This Row],[fecha]],"mmmm"),0)</f>
        <v>Mayo</v>
      </c>
      <c r="AB190" s="49"/>
    </row>
    <row r="191" spans="1:28" ht="36" x14ac:dyDescent="0.3">
      <c r="A191" s="2">
        <f>IF(C_Ope_007[[#This Row],[tipo_r]]="R",COUNTIFS($C$1:$C190,"R")+1,"")</f>
        <v>190</v>
      </c>
      <c r="B191" s="19" t="str">
        <f t="shared" si="14"/>
        <v>C_Ope_007</v>
      </c>
      <c r="C191" s="3" t="s">
        <v>1330</v>
      </c>
      <c r="D191" s="14">
        <v>45803</v>
      </c>
      <c r="E191" s="5" t="s">
        <v>5259</v>
      </c>
      <c r="F191" s="5" t="s">
        <v>1336</v>
      </c>
      <c r="G191" s="6" t="s">
        <v>1029</v>
      </c>
      <c r="H191" s="6" t="s">
        <v>68</v>
      </c>
      <c r="I191" s="6" t="s">
        <v>1374</v>
      </c>
      <c r="J191" s="6">
        <v>17597</v>
      </c>
      <c r="K191" s="7" t="s">
        <v>9054</v>
      </c>
      <c r="L191" s="8">
        <v>24394</v>
      </c>
      <c r="M191" s="8" t="str">
        <f t="shared" si="15"/>
        <v>PEN</v>
      </c>
      <c r="N191" s="13"/>
      <c r="O191" s="13">
        <v>11</v>
      </c>
      <c r="P191" s="3">
        <f t="shared" si="11"/>
        <v>0</v>
      </c>
      <c r="Q191" s="3">
        <f t="shared" si="12"/>
        <v>11</v>
      </c>
      <c r="R191" s="3">
        <f t="shared" si="13"/>
        <v>334</v>
      </c>
      <c r="S191" s="24" t="s">
        <v>1334</v>
      </c>
      <c r="T191" s="24" t="s">
        <v>1334</v>
      </c>
      <c r="U191" s="3"/>
      <c r="V191" s="25" t="s">
        <v>7842</v>
      </c>
      <c r="W191" s="25">
        <v>20454058187</v>
      </c>
      <c r="X191" s="25" t="str">
        <f>IFERROR(VLOOKUP(C_Ope_007[[#This Row],[nota_2]],Clientes_Proveedores[[Ruc / Dni]:[Razon Social]],2,0),"")</f>
        <v>ZONA ESPECIAL DE DESARROLLO ZED MATARANI</v>
      </c>
      <c r="Y191" s="25"/>
      <c r="Z191" s="103"/>
      <c r="AA191" s="3" t="str">
        <f>IF(C_Ope_007[[#This Row],[fecha]]&gt;0,TEXT(C_Ope_007[[#This Row],[fecha]],"mmmm"),0)</f>
        <v>Mayo</v>
      </c>
      <c r="AB191" s="49"/>
    </row>
    <row r="192" spans="1:28" ht="36" x14ac:dyDescent="0.3">
      <c r="A192" s="2">
        <f>IF(C_Ope_007[[#This Row],[tipo_r]]="R",COUNTIFS($C$1:$C191,"R")+1,"")</f>
        <v>191</v>
      </c>
      <c r="B192" s="19" t="str">
        <f t="shared" si="14"/>
        <v>C_Ope_007</v>
      </c>
      <c r="C192" s="3" t="s">
        <v>1330</v>
      </c>
      <c r="D192" s="14">
        <v>45804</v>
      </c>
      <c r="E192" s="5" t="s">
        <v>5259</v>
      </c>
      <c r="F192" s="5" t="s">
        <v>1336</v>
      </c>
      <c r="G192" s="6" t="s">
        <v>682</v>
      </c>
      <c r="H192" s="6" t="s">
        <v>68</v>
      </c>
      <c r="I192" s="6" t="s">
        <v>1343</v>
      </c>
      <c r="J192" s="6">
        <v>34760</v>
      </c>
      <c r="K192" s="7" t="s">
        <v>9023</v>
      </c>
      <c r="L192" s="8">
        <v>24377</v>
      </c>
      <c r="M192" s="8" t="str">
        <f t="shared" si="15"/>
        <v>PEN</v>
      </c>
      <c r="N192" s="13"/>
      <c r="O192" s="13">
        <v>10</v>
      </c>
      <c r="P192" s="3">
        <f t="shared" si="11"/>
        <v>0</v>
      </c>
      <c r="Q192" s="3">
        <f t="shared" si="12"/>
        <v>10</v>
      </c>
      <c r="R192" s="3">
        <f t="shared" si="13"/>
        <v>324</v>
      </c>
      <c r="S192" s="24" t="s">
        <v>1334</v>
      </c>
      <c r="T192" s="24" t="s">
        <v>1334</v>
      </c>
      <c r="U192" s="3"/>
      <c r="V192" s="25" t="s">
        <v>7756</v>
      </c>
      <c r="W192" s="25">
        <v>20259858934</v>
      </c>
      <c r="X192" s="25" t="str">
        <f>IFERROR(VLOOKUP(C_Ope_007[[#This Row],[nota_2]],Clientes_Proveedores[[Ruc / Dni]:[Razon Social]],2,0),"")</f>
        <v>COMERCIALIZACION Y SERVICIOS EL EDEN S.A.C.</v>
      </c>
      <c r="Y192" s="25"/>
      <c r="Z192" s="103"/>
      <c r="AA192" s="3" t="str">
        <f>IF(C_Ope_007[[#This Row],[fecha]]&gt;0,TEXT(C_Ope_007[[#This Row],[fecha]],"mmmm"),0)</f>
        <v>Mayo</v>
      </c>
      <c r="AB192" s="49"/>
    </row>
    <row r="193" spans="1:28" ht="36" x14ac:dyDescent="0.3">
      <c r="A193" s="2">
        <f>IF(C_Ope_007[[#This Row],[tipo_r]]="R",COUNTIFS($C$1:$C192,"R")+1,"")</f>
        <v>192</v>
      </c>
      <c r="B193" s="19" t="str">
        <f t="shared" si="14"/>
        <v>C_Ope_007</v>
      </c>
      <c r="C193" s="3" t="s">
        <v>1330</v>
      </c>
      <c r="D193" s="14">
        <v>45804</v>
      </c>
      <c r="E193" s="5" t="s">
        <v>5259</v>
      </c>
      <c r="F193" s="5" t="s">
        <v>1336</v>
      </c>
      <c r="G193" s="6" t="s">
        <v>682</v>
      </c>
      <c r="H193" s="6" t="s">
        <v>68</v>
      </c>
      <c r="I193" s="6" t="s">
        <v>1353</v>
      </c>
      <c r="J193" s="6">
        <v>16485</v>
      </c>
      <c r="K193" s="7" t="s">
        <v>7884</v>
      </c>
      <c r="L193" s="8">
        <v>24395</v>
      </c>
      <c r="M193" s="8" t="str">
        <f t="shared" si="15"/>
        <v>PEN</v>
      </c>
      <c r="N193" s="13"/>
      <c r="O193" s="13">
        <v>20</v>
      </c>
      <c r="P193" s="3">
        <f t="shared" si="11"/>
        <v>0</v>
      </c>
      <c r="Q193" s="3">
        <f t="shared" si="12"/>
        <v>20</v>
      </c>
      <c r="R193" s="3">
        <f t="shared" si="13"/>
        <v>304</v>
      </c>
      <c r="S193" s="24" t="s">
        <v>1334</v>
      </c>
      <c r="T193" s="24" t="s">
        <v>1334</v>
      </c>
      <c r="U193" s="3"/>
      <c r="V193" s="25" t="s">
        <v>7842</v>
      </c>
      <c r="W193" s="25">
        <v>20259858934</v>
      </c>
      <c r="X193" s="25" t="str">
        <f>IFERROR(VLOOKUP(C_Ope_007[[#This Row],[nota_2]],Clientes_Proveedores[[Ruc / Dni]:[Razon Social]],2,0),"")</f>
        <v>COMERCIALIZACION Y SERVICIOS EL EDEN S.A.C.</v>
      </c>
      <c r="Y193" s="25"/>
      <c r="Z193" s="103"/>
      <c r="AA193" s="3" t="str">
        <f>IF(C_Ope_007[[#This Row],[fecha]]&gt;0,TEXT(C_Ope_007[[#This Row],[fecha]],"mmmm"),0)</f>
        <v>Mayo</v>
      </c>
      <c r="AB193" s="49"/>
    </row>
    <row r="194" spans="1:28" ht="36" x14ac:dyDescent="0.3">
      <c r="A194" s="2">
        <f>IF(C_Ope_007[[#This Row],[tipo_r]]="R",COUNTIFS($C$1:$C193,"R")+1,"")</f>
        <v>193</v>
      </c>
      <c r="B194" s="19" t="str">
        <f t="shared" si="14"/>
        <v>C_Ope_007</v>
      </c>
      <c r="C194" s="3" t="s">
        <v>1330</v>
      </c>
      <c r="D194" s="14">
        <v>45804</v>
      </c>
      <c r="E194" s="5" t="s">
        <v>5259</v>
      </c>
      <c r="F194" s="5" t="s">
        <v>1336</v>
      </c>
      <c r="G194" s="6" t="s">
        <v>682</v>
      </c>
      <c r="H194" s="6" t="s">
        <v>68</v>
      </c>
      <c r="I194" s="6" t="s">
        <v>1353</v>
      </c>
      <c r="J194" s="6">
        <v>16489</v>
      </c>
      <c r="K194" s="7" t="s">
        <v>9055</v>
      </c>
      <c r="L194" s="8">
        <v>24396</v>
      </c>
      <c r="M194" s="8" t="str">
        <f t="shared" si="15"/>
        <v>PEN</v>
      </c>
      <c r="N194" s="13"/>
      <c r="O194" s="13">
        <v>20</v>
      </c>
      <c r="P194" s="3">
        <f t="shared" ref="P194:P230" si="16">+IF(OR($F194="SALDO",$F194="INGRESO"),$O194,0)</f>
        <v>0</v>
      </c>
      <c r="Q194" s="3">
        <f t="shared" ref="Q194:Q230" si="17">+IF($F194="EGRESO",$O194,0)</f>
        <v>20</v>
      </c>
      <c r="R194" s="3">
        <f t="shared" ref="R194:R257" si="18">IFERROR(IF(F194="SALDO",P194,R193+P194-Q194),0)</f>
        <v>284</v>
      </c>
      <c r="S194" s="24" t="s">
        <v>1334</v>
      </c>
      <c r="T194" s="24" t="s">
        <v>1334</v>
      </c>
      <c r="U194" s="3"/>
      <c r="V194" s="25" t="s">
        <v>7842</v>
      </c>
      <c r="W194" s="25">
        <v>20259858934</v>
      </c>
      <c r="X194" s="25" t="str">
        <f>IFERROR(VLOOKUP(C_Ope_007[[#This Row],[nota_2]],Clientes_Proveedores[[Ruc / Dni]:[Razon Social]],2,0),"")</f>
        <v>COMERCIALIZACION Y SERVICIOS EL EDEN S.A.C.</v>
      </c>
      <c r="Y194" s="25"/>
      <c r="Z194" s="103"/>
      <c r="AA194" s="3" t="str">
        <f>IF(C_Ope_007[[#This Row],[fecha]]&gt;0,TEXT(C_Ope_007[[#This Row],[fecha]],"mmmm"),0)</f>
        <v>Mayo</v>
      </c>
      <c r="AB194" s="49"/>
    </row>
    <row r="195" spans="1:28" ht="36" x14ac:dyDescent="0.3">
      <c r="A195" s="2">
        <f>IF(C_Ope_007[[#This Row],[tipo_r]]="R",COUNTIFS($C$1:$C194,"R")+1,"")</f>
        <v>194</v>
      </c>
      <c r="B195" s="19" t="str">
        <f t="shared" ref="B195:B230" si="19">"C_Ope_007"</f>
        <v>C_Ope_007</v>
      </c>
      <c r="C195" s="3" t="s">
        <v>1330</v>
      </c>
      <c r="D195" s="14">
        <v>45805</v>
      </c>
      <c r="E195" s="5" t="s">
        <v>5259</v>
      </c>
      <c r="F195" s="5" t="s">
        <v>1336</v>
      </c>
      <c r="G195" s="6" t="s">
        <v>682</v>
      </c>
      <c r="H195" s="6" t="s">
        <v>68</v>
      </c>
      <c r="I195" s="6" t="s">
        <v>1343</v>
      </c>
      <c r="J195" s="6">
        <v>34775</v>
      </c>
      <c r="K195" s="7" t="s">
        <v>9056</v>
      </c>
      <c r="L195" s="8">
        <v>24378</v>
      </c>
      <c r="M195" s="8" t="str">
        <f t="shared" ref="M195:M230" si="20">"PEN"</f>
        <v>PEN</v>
      </c>
      <c r="N195" s="13"/>
      <c r="O195" s="13">
        <v>10</v>
      </c>
      <c r="P195" s="3">
        <f t="shared" si="16"/>
        <v>0</v>
      </c>
      <c r="Q195" s="3">
        <f t="shared" si="17"/>
        <v>10</v>
      </c>
      <c r="R195" s="3">
        <f t="shared" si="18"/>
        <v>274</v>
      </c>
      <c r="S195" s="24" t="s">
        <v>1334</v>
      </c>
      <c r="T195" s="24" t="s">
        <v>1334</v>
      </c>
      <c r="U195" s="3"/>
      <c r="V195" s="25" t="s">
        <v>7756</v>
      </c>
      <c r="W195" s="25">
        <v>20259858934</v>
      </c>
      <c r="X195" s="25" t="str">
        <f>IFERROR(VLOOKUP(C_Ope_007[[#This Row],[nota_2]],Clientes_Proveedores[[Ruc / Dni]:[Razon Social]],2,0),"")</f>
        <v>COMERCIALIZACION Y SERVICIOS EL EDEN S.A.C.</v>
      </c>
      <c r="Y195" s="25"/>
      <c r="Z195" s="103"/>
      <c r="AA195" s="3" t="str">
        <f>IF(C_Ope_007[[#This Row],[fecha]]&gt;0,TEXT(C_Ope_007[[#This Row],[fecha]],"mmmm"),0)</f>
        <v>Mayo</v>
      </c>
      <c r="AB195" s="49"/>
    </row>
    <row r="196" spans="1:28" ht="36" x14ac:dyDescent="0.3">
      <c r="A196" s="2">
        <f>IF(C_Ope_007[[#This Row],[tipo_r]]="R",COUNTIFS($C$1:$C195,"R")+1,"")</f>
        <v>195</v>
      </c>
      <c r="B196" s="19" t="str">
        <f t="shared" si="19"/>
        <v>C_Ope_007</v>
      </c>
      <c r="C196" s="3" t="s">
        <v>1330</v>
      </c>
      <c r="D196" s="14">
        <v>45806</v>
      </c>
      <c r="E196" s="5" t="s">
        <v>5259</v>
      </c>
      <c r="F196" s="5" t="s">
        <v>1336</v>
      </c>
      <c r="G196" s="6" t="s">
        <v>682</v>
      </c>
      <c r="H196" s="6" t="s">
        <v>68</v>
      </c>
      <c r="I196" s="6" t="s">
        <v>1343</v>
      </c>
      <c r="J196" s="6">
        <v>34782</v>
      </c>
      <c r="K196" s="7" t="s">
        <v>9056</v>
      </c>
      <c r="L196" s="8">
        <v>24379</v>
      </c>
      <c r="M196" s="8" t="str">
        <f t="shared" si="20"/>
        <v>PEN</v>
      </c>
      <c r="N196" s="13"/>
      <c r="O196" s="13">
        <v>5</v>
      </c>
      <c r="P196" s="3">
        <f t="shared" si="16"/>
        <v>0</v>
      </c>
      <c r="Q196" s="3">
        <f t="shared" si="17"/>
        <v>5</v>
      </c>
      <c r="R196" s="3">
        <f t="shared" si="18"/>
        <v>269</v>
      </c>
      <c r="S196" s="24" t="s">
        <v>1334</v>
      </c>
      <c r="T196" s="24" t="s">
        <v>1334</v>
      </c>
      <c r="U196" s="3"/>
      <c r="V196" s="25" t="s">
        <v>7756</v>
      </c>
      <c r="W196" s="25">
        <v>20259858934</v>
      </c>
      <c r="X196" s="25" t="str">
        <f>IFERROR(VLOOKUP(C_Ope_007[[#This Row],[nota_2]],Clientes_Proveedores[[Ruc / Dni]:[Razon Social]],2,0),"")</f>
        <v>COMERCIALIZACION Y SERVICIOS EL EDEN S.A.C.</v>
      </c>
      <c r="Y196" s="25"/>
      <c r="Z196" s="103"/>
      <c r="AA196" s="3" t="str">
        <f>IF(C_Ope_007[[#This Row],[fecha]]&gt;0,TEXT(C_Ope_007[[#This Row],[fecha]],"mmmm"),0)</f>
        <v>Mayo</v>
      </c>
      <c r="AB196" s="49"/>
    </row>
    <row r="197" spans="1:28" ht="36" x14ac:dyDescent="0.3">
      <c r="A197" s="2">
        <f>IF(C_Ope_007[[#This Row],[tipo_r]]="R",COUNTIFS($C$1:$C196,"R")+1,"")</f>
        <v>196</v>
      </c>
      <c r="B197" s="19" t="str">
        <f t="shared" si="19"/>
        <v>C_Ope_007</v>
      </c>
      <c r="C197" s="3" t="s">
        <v>1330</v>
      </c>
      <c r="D197" s="14">
        <v>45806</v>
      </c>
      <c r="E197" s="5" t="s">
        <v>5259</v>
      </c>
      <c r="F197" s="5" t="s">
        <v>1336</v>
      </c>
      <c r="G197" s="6" t="s">
        <v>682</v>
      </c>
      <c r="H197" s="6" t="s">
        <v>68</v>
      </c>
      <c r="I197" s="6" t="s">
        <v>1343</v>
      </c>
      <c r="J197" s="6">
        <v>34786</v>
      </c>
      <c r="K197" s="7" t="s">
        <v>9056</v>
      </c>
      <c r="L197" s="8">
        <v>24380</v>
      </c>
      <c r="M197" s="8" t="str">
        <f t="shared" si="20"/>
        <v>PEN</v>
      </c>
      <c r="N197" s="13"/>
      <c r="O197" s="13">
        <v>5</v>
      </c>
      <c r="P197" s="3">
        <f t="shared" si="16"/>
        <v>0</v>
      </c>
      <c r="Q197" s="3">
        <f t="shared" si="17"/>
        <v>5</v>
      </c>
      <c r="R197" s="3">
        <f t="shared" si="18"/>
        <v>264</v>
      </c>
      <c r="S197" s="24" t="s">
        <v>1334</v>
      </c>
      <c r="T197" s="24" t="s">
        <v>1334</v>
      </c>
      <c r="U197" s="3"/>
      <c r="V197" s="25" t="s">
        <v>7756</v>
      </c>
      <c r="W197" s="25">
        <v>20259858934</v>
      </c>
      <c r="X197" s="25" t="str">
        <f>IFERROR(VLOOKUP(C_Ope_007[[#This Row],[nota_2]],Clientes_Proveedores[[Ruc / Dni]:[Razon Social]],2,0),"")</f>
        <v>COMERCIALIZACION Y SERVICIOS EL EDEN S.A.C.</v>
      </c>
      <c r="Y197" s="25"/>
      <c r="Z197" s="103"/>
      <c r="AA197" s="3" t="str">
        <f>IF(C_Ope_007[[#This Row],[fecha]]&gt;0,TEXT(C_Ope_007[[#This Row],[fecha]],"mmmm"),0)</f>
        <v>Mayo</v>
      </c>
      <c r="AB197" s="49"/>
    </row>
    <row r="198" spans="1:28" ht="36" x14ac:dyDescent="0.3">
      <c r="A198" s="2">
        <f>IF(C_Ope_007[[#This Row],[tipo_r]]="R",COUNTIFS($C$1:$C197,"R")+1,"")</f>
        <v>197</v>
      </c>
      <c r="B198" s="19" t="str">
        <f t="shared" si="19"/>
        <v>C_Ope_007</v>
      </c>
      <c r="C198" s="3" t="s">
        <v>1330</v>
      </c>
      <c r="D198" s="14">
        <v>45806</v>
      </c>
      <c r="E198" s="5" t="s">
        <v>5259</v>
      </c>
      <c r="F198" s="5" t="s">
        <v>1336</v>
      </c>
      <c r="G198" s="6" t="s">
        <v>227</v>
      </c>
      <c r="H198" s="6" t="s">
        <v>68</v>
      </c>
      <c r="I198" s="6" t="s">
        <v>1390</v>
      </c>
      <c r="J198" s="6">
        <v>132482</v>
      </c>
      <c r="K198" s="7" t="s">
        <v>9057</v>
      </c>
      <c r="L198" s="8">
        <v>24393</v>
      </c>
      <c r="M198" s="8" t="str">
        <f t="shared" si="20"/>
        <v>PEN</v>
      </c>
      <c r="N198" s="13"/>
      <c r="O198" s="13">
        <v>10</v>
      </c>
      <c r="P198" s="3">
        <f t="shared" si="16"/>
        <v>0</v>
      </c>
      <c r="Q198" s="3">
        <f t="shared" si="17"/>
        <v>10</v>
      </c>
      <c r="R198" s="3">
        <f t="shared" si="18"/>
        <v>254</v>
      </c>
      <c r="S198" s="24" t="s">
        <v>1334</v>
      </c>
      <c r="T198" s="24" t="s">
        <v>1334</v>
      </c>
      <c r="U198" s="3"/>
      <c r="V198" s="25" t="s">
        <v>7754</v>
      </c>
      <c r="W198" s="25">
        <v>20124952850</v>
      </c>
      <c r="X198" s="25" t="str">
        <f>IFERROR(VLOOKUP(C_Ope_007[[#This Row],[nota_2]],Clientes_Proveedores[[Ruc / Dni]:[Razon Social]],2,0),"")</f>
        <v>ALIMENTOS Y SERVICIOS AGROPECUARIOS SRL.</v>
      </c>
      <c r="Y198" s="25"/>
      <c r="Z198" s="103"/>
      <c r="AA198" s="3" t="str">
        <f>IF(C_Ope_007[[#This Row],[fecha]]&gt;0,TEXT(C_Ope_007[[#This Row],[fecha]],"mmmm"),0)</f>
        <v>Mayo</v>
      </c>
      <c r="AB198" s="49"/>
    </row>
    <row r="199" spans="1:28" ht="24" x14ac:dyDescent="0.3">
      <c r="A199" s="2">
        <f>IF(C_Ope_007[[#This Row],[tipo_r]]="R",COUNTIFS($C$1:$C198,"R")+1,"")</f>
        <v>198</v>
      </c>
      <c r="B199" s="19" t="str">
        <f t="shared" si="19"/>
        <v>C_Ope_007</v>
      </c>
      <c r="C199" s="3" t="s">
        <v>1330</v>
      </c>
      <c r="D199" s="14">
        <v>45804</v>
      </c>
      <c r="E199" s="5" t="s">
        <v>5259</v>
      </c>
      <c r="F199" s="5" t="s">
        <v>1336</v>
      </c>
      <c r="G199" s="6" t="s">
        <v>999</v>
      </c>
      <c r="H199" s="6" t="s">
        <v>68</v>
      </c>
      <c r="I199" s="6" t="s">
        <v>1374</v>
      </c>
      <c r="J199" s="6">
        <v>17896</v>
      </c>
      <c r="K199" s="7" t="s">
        <v>7777</v>
      </c>
      <c r="L199" s="8">
        <v>24375</v>
      </c>
      <c r="M199" s="8" t="str">
        <f t="shared" si="20"/>
        <v>PEN</v>
      </c>
      <c r="N199" s="13"/>
      <c r="O199" s="13">
        <v>25</v>
      </c>
      <c r="P199" s="3">
        <f t="shared" si="16"/>
        <v>0</v>
      </c>
      <c r="Q199" s="3">
        <f t="shared" si="17"/>
        <v>25</v>
      </c>
      <c r="R199" s="3">
        <f t="shared" si="18"/>
        <v>229</v>
      </c>
      <c r="S199" s="24" t="s">
        <v>1334</v>
      </c>
      <c r="T199" s="24" t="s">
        <v>1334</v>
      </c>
      <c r="U199" s="3"/>
      <c r="V199" s="25" t="s">
        <v>7756</v>
      </c>
      <c r="W199" s="25">
        <v>10705628331</v>
      </c>
      <c r="X199" s="25" t="str">
        <f>IFERROR(VLOOKUP(C_Ope_007[[#This Row],[nota_2]],Clientes_Proveedores[[Ruc / Dni]:[Razon Social]],2,0),"")</f>
        <v>LARICO APAZA NANCY ROSSMARY</v>
      </c>
      <c r="Y199" s="25"/>
      <c r="Z199" s="103"/>
      <c r="AA199" s="3" t="str">
        <f>IF(C_Ope_007[[#This Row],[fecha]]&gt;0,TEXT(C_Ope_007[[#This Row],[fecha]],"mmmm"),0)</f>
        <v>Mayo</v>
      </c>
      <c r="AB199" s="49"/>
    </row>
    <row r="200" spans="1:28" x14ac:dyDescent="0.3">
      <c r="A200" s="2">
        <f>IF(C_Ope_007[[#This Row],[tipo_r]]="R",COUNTIFS($C$1:$C199,"R")+1,"")</f>
        <v>199</v>
      </c>
      <c r="B200" s="19" t="str">
        <f t="shared" si="19"/>
        <v>C_Ope_007</v>
      </c>
      <c r="C200" s="3" t="s">
        <v>1330</v>
      </c>
      <c r="D200" s="14">
        <v>45811</v>
      </c>
      <c r="E200" s="5" t="s">
        <v>5259</v>
      </c>
      <c r="F200" s="5" t="s">
        <v>1336</v>
      </c>
      <c r="G200" s="6" t="s">
        <v>978</v>
      </c>
      <c r="H200" s="6" t="s">
        <v>68</v>
      </c>
      <c r="I200" s="6" t="s">
        <v>6204</v>
      </c>
      <c r="J200" s="6">
        <v>1748397</v>
      </c>
      <c r="K200" s="7" t="s">
        <v>8631</v>
      </c>
      <c r="L200" s="8">
        <v>24436</v>
      </c>
      <c r="M200" s="8" t="str">
        <f t="shared" si="20"/>
        <v>PEN</v>
      </c>
      <c r="N200" s="13"/>
      <c r="O200" s="13">
        <v>8</v>
      </c>
      <c r="P200" s="3">
        <f t="shared" si="16"/>
        <v>0</v>
      </c>
      <c r="Q200" s="3">
        <f t="shared" si="17"/>
        <v>8</v>
      </c>
      <c r="R200" s="3">
        <f t="shared" si="18"/>
        <v>221</v>
      </c>
      <c r="S200" s="24" t="s">
        <v>1334</v>
      </c>
      <c r="T200" s="24" t="s">
        <v>1334</v>
      </c>
      <c r="U200" s="3"/>
      <c r="V200" s="25" t="s">
        <v>7842</v>
      </c>
      <c r="W200" s="25">
        <v>20517252558</v>
      </c>
      <c r="X200" s="25" t="str">
        <f>IFERROR(VLOOKUP(C_Ope_007[[#This Row],[nota_2]],Clientes_Proveedores[[Ruc / Dni]:[Razon Social]],2,0),"")</f>
        <v>COVISUR S.A.</v>
      </c>
      <c r="Y200" s="25"/>
      <c r="Z200" s="103"/>
      <c r="AA200" s="3" t="str">
        <f>IF(C_Ope_007[[#This Row],[fecha]]&gt;0,TEXT(C_Ope_007[[#This Row],[fecha]],"mmmm"),0)</f>
        <v>Junio</v>
      </c>
      <c r="AB200" s="49"/>
    </row>
    <row r="201" spans="1:28" x14ac:dyDescent="0.3">
      <c r="A201" s="2">
        <f>IF(C_Ope_007[[#This Row],[tipo_r]]="R",COUNTIFS($C$1:$C200,"R")+1,"")</f>
        <v>200</v>
      </c>
      <c r="B201" s="19" t="str">
        <f t="shared" si="19"/>
        <v>C_Ope_007</v>
      </c>
      <c r="C201" s="3" t="s">
        <v>1330</v>
      </c>
      <c r="D201" s="14">
        <v>45811</v>
      </c>
      <c r="E201" s="5" t="s">
        <v>5259</v>
      </c>
      <c r="F201" s="5" t="s">
        <v>1336</v>
      </c>
      <c r="G201" s="6" t="s">
        <v>978</v>
      </c>
      <c r="H201" s="6" t="s">
        <v>68</v>
      </c>
      <c r="I201" s="6" t="s">
        <v>6379</v>
      </c>
      <c r="J201" s="6">
        <v>478106</v>
      </c>
      <c r="K201" s="7" t="s">
        <v>7841</v>
      </c>
      <c r="L201" s="8">
        <v>24437</v>
      </c>
      <c r="M201" s="8" t="str">
        <f t="shared" si="20"/>
        <v>PEN</v>
      </c>
      <c r="N201" s="13"/>
      <c r="O201" s="13">
        <v>8</v>
      </c>
      <c r="P201" s="3">
        <f t="shared" si="16"/>
        <v>0</v>
      </c>
      <c r="Q201" s="3">
        <f t="shared" si="17"/>
        <v>8</v>
      </c>
      <c r="R201" s="3">
        <f t="shared" si="18"/>
        <v>213</v>
      </c>
      <c r="S201" s="24" t="s">
        <v>1334</v>
      </c>
      <c r="T201" s="24" t="s">
        <v>1334</v>
      </c>
      <c r="U201" s="3"/>
      <c r="V201" s="25" t="s">
        <v>7842</v>
      </c>
      <c r="W201" s="25">
        <v>20517252558</v>
      </c>
      <c r="X201" s="25" t="str">
        <f>IFERROR(VLOOKUP(C_Ope_007[[#This Row],[nota_2]],Clientes_Proveedores[[Ruc / Dni]:[Razon Social]],2,0),"")</f>
        <v>COVISUR S.A.</v>
      </c>
      <c r="Y201" s="25"/>
      <c r="Z201" s="103"/>
      <c r="AA201" s="3" t="str">
        <f>IF(C_Ope_007[[#This Row],[fecha]]&gt;0,TEXT(C_Ope_007[[#This Row],[fecha]],"mmmm"),0)</f>
        <v>Junio</v>
      </c>
      <c r="AB201" s="49"/>
    </row>
    <row r="202" spans="1:28" x14ac:dyDescent="0.3">
      <c r="A202" s="2">
        <f>IF(C_Ope_007[[#This Row],[tipo_r]]="R",COUNTIFS($C$1:$C201,"R")+1,"")</f>
        <v>201</v>
      </c>
      <c r="B202" s="19" t="str">
        <f t="shared" si="19"/>
        <v>C_Ope_007</v>
      </c>
      <c r="C202" s="3" t="s">
        <v>1330</v>
      </c>
      <c r="D202" s="14">
        <v>45811</v>
      </c>
      <c r="E202" s="5" t="s">
        <v>5259</v>
      </c>
      <c r="F202" s="5" t="s">
        <v>1336</v>
      </c>
      <c r="G202" s="6" t="s">
        <v>978</v>
      </c>
      <c r="H202" s="6" t="s">
        <v>68</v>
      </c>
      <c r="I202" s="6" t="s">
        <v>6244</v>
      </c>
      <c r="J202" s="6">
        <v>1066340</v>
      </c>
      <c r="K202" s="7" t="s">
        <v>7841</v>
      </c>
      <c r="L202" s="8">
        <v>24438</v>
      </c>
      <c r="M202" s="8" t="str">
        <f t="shared" si="20"/>
        <v>PEN</v>
      </c>
      <c r="N202" s="13"/>
      <c r="O202" s="13">
        <v>8</v>
      </c>
      <c r="P202" s="3">
        <f t="shared" si="16"/>
        <v>0</v>
      </c>
      <c r="Q202" s="3">
        <f t="shared" si="17"/>
        <v>8</v>
      </c>
      <c r="R202" s="3">
        <f t="shared" si="18"/>
        <v>205</v>
      </c>
      <c r="S202" s="24" t="s">
        <v>1334</v>
      </c>
      <c r="T202" s="24" t="s">
        <v>1334</v>
      </c>
      <c r="U202" s="3"/>
      <c r="V202" s="25" t="s">
        <v>7842</v>
      </c>
      <c r="W202" s="25">
        <v>20517252558</v>
      </c>
      <c r="X202" s="25" t="str">
        <f>IFERROR(VLOOKUP(C_Ope_007[[#This Row],[nota_2]],Clientes_Proveedores[[Ruc / Dni]:[Razon Social]],2,0),"")</f>
        <v>COVISUR S.A.</v>
      </c>
      <c r="Y202" s="25"/>
      <c r="Z202" s="103"/>
      <c r="AA202" s="3" t="str">
        <f>IF(C_Ope_007[[#This Row],[fecha]]&gt;0,TEXT(C_Ope_007[[#This Row],[fecha]],"mmmm"),0)</f>
        <v>Junio</v>
      </c>
      <c r="AB202" s="49"/>
    </row>
    <row r="203" spans="1:28" x14ac:dyDescent="0.3">
      <c r="A203" s="2">
        <f>IF(C_Ope_007[[#This Row],[tipo_r]]="R",COUNTIFS($C$1:$C202,"R")+1,"")</f>
        <v>202</v>
      </c>
      <c r="B203" s="19" t="str">
        <f t="shared" si="19"/>
        <v>C_Ope_007</v>
      </c>
      <c r="C203" s="3" t="s">
        <v>1330</v>
      </c>
      <c r="D203" s="14">
        <v>45811</v>
      </c>
      <c r="E203" s="5" t="s">
        <v>5259</v>
      </c>
      <c r="F203" s="5" t="s">
        <v>1336</v>
      </c>
      <c r="G203" s="6" t="s">
        <v>978</v>
      </c>
      <c r="H203" s="6" t="s">
        <v>68</v>
      </c>
      <c r="I203" s="6" t="s">
        <v>6245</v>
      </c>
      <c r="J203" s="6">
        <v>977336</v>
      </c>
      <c r="K203" s="7" t="s">
        <v>7841</v>
      </c>
      <c r="L203" s="8">
        <v>24439</v>
      </c>
      <c r="M203" s="8" t="str">
        <f t="shared" si="20"/>
        <v>PEN</v>
      </c>
      <c r="N203" s="13"/>
      <c r="O203" s="13">
        <v>8</v>
      </c>
      <c r="P203" s="3">
        <f t="shared" si="16"/>
        <v>0</v>
      </c>
      <c r="Q203" s="3">
        <f t="shared" si="17"/>
        <v>8</v>
      </c>
      <c r="R203" s="3">
        <f t="shared" si="18"/>
        <v>197</v>
      </c>
      <c r="S203" s="24" t="s">
        <v>1334</v>
      </c>
      <c r="T203" s="24" t="s">
        <v>1334</v>
      </c>
      <c r="U203" s="3"/>
      <c r="V203" s="25" t="s">
        <v>7842</v>
      </c>
      <c r="W203" s="25">
        <v>20517252558</v>
      </c>
      <c r="X203" s="25" t="str">
        <f>IFERROR(VLOOKUP(C_Ope_007[[#This Row],[nota_2]],Clientes_Proveedores[[Ruc / Dni]:[Razon Social]],2,0),"")</f>
        <v>COVISUR S.A.</v>
      </c>
      <c r="Y203" s="25"/>
      <c r="Z203" s="103"/>
      <c r="AA203" s="3" t="str">
        <f>IF(C_Ope_007[[#This Row],[fecha]]&gt;0,TEXT(C_Ope_007[[#This Row],[fecha]],"mmmm"),0)</f>
        <v>Junio</v>
      </c>
      <c r="AB203" s="49"/>
    </row>
    <row r="204" spans="1:28" x14ac:dyDescent="0.3">
      <c r="A204" s="2">
        <f>IF(C_Ope_007[[#This Row],[tipo_r]]="R",COUNTIFS($C$1:$C203,"R")+1,"")</f>
        <v>203</v>
      </c>
      <c r="B204" s="19" t="str">
        <f t="shared" si="19"/>
        <v>C_Ope_007</v>
      </c>
      <c r="C204" s="3" t="s">
        <v>1330</v>
      </c>
      <c r="D204" s="14">
        <v>45811</v>
      </c>
      <c r="E204" s="5" t="s">
        <v>5259</v>
      </c>
      <c r="F204" s="5" t="s">
        <v>1336</v>
      </c>
      <c r="G204" s="6" t="s">
        <v>978</v>
      </c>
      <c r="H204" s="6" t="s">
        <v>68</v>
      </c>
      <c r="I204" s="6" t="s">
        <v>6244</v>
      </c>
      <c r="J204" s="6">
        <v>1066503</v>
      </c>
      <c r="K204" s="7" t="s">
        <v>7841</v>
      </c>
      <c r="L204" s="8">
        <v>24440</v>
      </c>
      <c r="M204" s="8" t="str">
        <f t="shared" si="20"/>
        <v>PEN</v>
      </c>
      <c r="N204" s="13"/>
      <c r="O204" s="13">
        <v>8</v>
      </c>
      <c r="P204" s="3">
        <f t="shared" si="16"/>
        <v>0</v>
      </c>
      <c r="Q204" s="3">
        <f t="shared" si="17"/>
        <v>8</v>
      </c>
      <c r="R204" s="3">
        <f t="shared" si="18"/>
        <v>189</v>
      </c>
      <c r="S204" s="24" t="s">
        <v>1334</v>
      </c>
      <c r="T204" s="24" t="s">
        <v>1334</v>
      </c>
      <c r="U204" s="3"/>
      <c r="V204" s="25" t="s">
        <v>7842</v>
      </c>
      <c r="W204" s="25">
        <v>20517252558</v>
      </c>
      <c r="X204" s="25" t="str">
        <f>IFERROR(VLOOKUP(C_Ope_007[[#This Row],[nota_2]],Clientes_Proveedores[[Ruc / Dni]:[Razon Social]],2,0),"")</f>
        <v>COVISUR S.A.</v>
      </c>
      <c r="Y204" s="25"/>
      <c r="Z204" s="103"/>
      <c r="AA204" s="3" t="str">
        <f>IF(C_Ope_007[[#This Row],[fecha]]&gt;0,TEXT(C_Ope_007[[#This Row],[fecha]],"mmmm"),0)</f>
        <v>Junio</v>
      </c>
      <c r="AB204" s="49"/>
    </row>
    <row r="205" spans="1:28" ht="24" x14ac:dyDescent="0.3">
      <c r="A205" s="2">
        <f>IF(C_Ope_007[[#This Row],[tipo_r]]="R",COUNTIFS($C$1:$C204,"R")+1,"")</f>
        <v>204</v>
      </c>
      <c r="B205" s="19" t="str">
        <f t="shared" si="19"/>
        <v>C_Ope_007</v>
      </c>
      <c r="C205" s="3" t="s">
        <v>1330</v>
      </c>
      <c r="D205" s="14">
        <v>45813</v>
      </c>
      <c r="E205" s="5" t="s">
        <v>5259</v>
      </c>
      <c r="F205" s="5" t="s">
        <v>1336</v>
      </c>
      <c r="G205" s="6" t="s">
        <v>978</v>
      </c>
      <c r="H205" s="6" t="s">
        <v>68</v>
      </c>
      <c r="I205" s="6" t="s">
        <v>6204</v>
      </c>
      <c r="J205" s="6">
        <v>1750250</v>
      </c>
      <c r="K205" s="7" t="s">
        <v>9058</v>
      </c>
      <c r="L205" s="8">
        <v>24510</v>
      </c>
      <c r="M205" s="8" t="str">
        <f t="shared" si="20"/>
        <v>PEN</v>
      </c>
      <c r="N205" s="13"/>
      <c r="O205" s="13">
        <v>8</v>
      </c>
      <c r="P205" s="3">
        <f t="shared" si="16"/>
        <v>0</v>
      </c>
      <c r="Q205" s="3">
        <f t="shared" si="17"/>
        <v>8</v>
      </c>
      <c r="R205" s="3">
        <f t="shared" si="18"/>
        <v>181</v>
      </c>
      <c r="S205" s="24" t="s">
        <v>1334</v>
      </c>
      <c r="T205" s="24" t="s">
        <v>1334</v>
      </c>
      <c r="U205" s="3"/>
      <c r="V205" s="25" t="s">
        <v>7842</v>
      </c>
      <c r="W205" s="25">
        <v>20517252558</v>
      </c>
      <c r="X205" s="25" t="str">
        <f>IFERROR(VLOOKUP(C_Ope_007[[#This Row],[nota_2]],Clientes_Proveedores[[Ruc / Dni]:[Razon Social]],2,0),"")</f>
        <v>COVISUR S.A.</v>
      </c>
      <c r="Y205" s="25"/>
      <c r="Z205" s="103"/>
      <c r="AA205" s="3" t="str">
        <f>IF(C_Ope_007[[#This Row],[fecha]]&gt;0,TEXT(C_Ope_007[[#This Row],[fecha]],"mmmm"),0)</f>
        <v>Junio</v>
      </c>
      <c r="AB205" s="49"/>
    </row>
    <row r="206" spans="1:28" ht="24" x14ac:dyDescent="0.3">
      <c r="A206" s="2">
        <f>IF(C_Ope_007[[#This Row],[tipo_r]]="R",COUNTIFS($C$1:$C205,"R")+1,"")</f>
        <v>205</v>
      </c>
      <c r="B206" s="19" t="str">
        <f t="shared" si="19"/>
        <v>C_Ope_007</v>
      </c>
      <c r="C206" s="3" t="s">
        <v>1330</v>
      </c>
      <c r="D206" s="14">
        <v>45813</v>
      </c>
      <c r="E206" s="5" t="s">
        <v>5259</v>
      </c>
      <c r="F206" s="5" t="s">
        <v>1336</v>
      </c>
      <c r="G206" s="6" t="s">
        <v>978</v>
      </c>
      <c r="H206" s="6" t="s">
        <v>68</v>
      </c>
      <c r="I206" s="6" t="s">
        <v>6379</v>
      </c>
      <c r="J206" s="6">
        <v>478653</v>
      </c>
      <c r="K206" s="7" t="s">
        <v>9059</v>
      </c>
      <c r="L206" s="8">
        <v>24511</v>
      </c>
      <c r="M206" s="8" t="str">
        <f t="shared" si="20"/>
        <v>PEN</v>
      </c>
      <c r="N206" s="13"/>
      <c r="O206" s="13">
        <v>8</v>
      </c>
      <c r="P206" s="3">
        <f t="shared" si="16"/>
        <v>0</v>
      </c>
      <c r="Q206" s="3">
        <f t="shared" si="17"/>
        <v>8</v>
      </c>
      <c r="R206" s="3">
        <f t="shared" si="18"/>
        <v>173</v>
      </c>
      <c r="S206" s="24" t="s">
        <v>1334</v>
      </c>
      <c r="T206" s="24" t="s">
        <v>1334</v>
      </c>
      <c r="U206" s="3"/>
      <c r="V206" s="25" t="s">
        <v>7842</v>
      </c>
      <c r="W206" s="25">
        <v>20517252558</v>
      </c>
      <c r="X206" s="25" t="str">
        <f>IFERROR(VLOOKUP(C_Ope_007[[#This Row],[nota_2]],Clientes_Proveedores[[Ruc / Dni]:[Razon Social]],2,0),"")</f>
        <v>COVISUR S.A.</v>
      </c>
      <c r="Y206" s="25"/>
      <c r="Z206" s="103"/>
      <c r="AA206" s="3" t="str">
        <f>IF(C_Ope_007[[#This Row],[fecha]]&gt;0,TEXT(C_Ope_007[[#This Row],[fecha]],"mmmm"),0)</f>
        <v>Junio</v>
      </c>
      <c r="AB206" s="49"/>
    </row>
    <row r="207" spans="1:28" ht="24" x14ac:dyDescent="0.3">
      <c r="A207" s="2">
        <f>IF(C_Ope_007[[#This Row],[tipo_r]]="R",COUNTIFS($C$1:$C206,"R")+1,"")</f>
        <v>206</v>
      </c>
      <c r="B207" s="19" t="str">
        <f t="shared" si="19"/>
        <v>C_Ope_007</v>
      </c>
      <c r="C207" s="3" t="s">
        <v>1330</v>
      </c>
      <c r="D207" s="14">
        <v>45813</v>
      </c>
      <c r="E207" s="5" t="s">
        <v>5259</v>
      </c>
      <c r="F207" s="5" t="s">
        <v>1336</v>
      </c>
      <c r="G207" s="6" t="s">
        <v>978</v>
      </c>
      <c r="H207" s="6" t="s">
        <v>68</v>
      </c>
      <c r="I207" s="6" t="s">
        <v>6244</v>
      </c>
      <c r="J207" s="6">
        <v>1067690</v>
      </c>
      <c r="K207" s="7" t="s">
        <v>9059</v>
      </c>
      <c r="L207" s="8">
        <v>24512</v>
      </c>
      <c r="M207" s="8" t="str">
        <f t="shared" si="20"/>
        <v>PEN</v>
      </c>
      <c r="N207" s="13"/>
      <c r="O207" s="13">
        <v>8</v>
      </c>
      <c r="P207" s="3">
        <f t="shared" si="16"/>
        <v>0</v>
      </c>
      <c r="Q207" s="3">
        <f t="shared" si="17"/>
        <v>8</v>
      </c>
      <c r="R207" s="3">
        <f t="shared" si="18"/>
        <v>165</v>
      </c>
      <c r="S207" s="24" t="s">
        <v>1334</v>
      </c>
      <c r="T207" s="24" t="s">
        <v>1334</v>
      </c>
      <c r="U207" s="3"/>
      <c r="V207" s="25" t="s">
        <v>7842</v>
      </c>
      <c r="W207" s="25">
        <v>20517252558</v>
      </c>
      <c r="X207" s="25" t="str">
        <f>IFERROR(VLOOKUP(C_Ope_007[[#This Row],[nota_2]],Clientes_Proveedores[[Ruc / Dni]:[Razon Social]],2,0),"")</f>
        <v>COVISUR S.A.</v>
      </c>
      <c r="Y207" s="25"/>
      <c r="Z207" s="103"/>
      <c r="AA207" s="3" t="str">
        <f>IF(C_Ope_007[[#This Row],[fecha]]&gt;0,TEXT(C_Ope_007[[#This Row],[fecha]],"mmmm"),0)</f>
        <v>Junio</v>
      </c>
      <c r="AB207" s="49"/>
    </row>
    <row r="208" spans="1:28" ht="24" x14ac:dyDescent="0.3">
      <c r="A208" s="2">
        <f>IF(C_Ope_007[[#This Row],[tipo_r]]="R",COUNTIFS($C$1:$C207,"R")+1,"")</f>
        <v>207</v>
      </c>
      <c r="B208" s="19" t="str">
        <f t="shared" si="19"/>
        <v>C_Ope_007</v>
      </c>
      <c r="C208" s="3" t="s">
        <v>1330</v>
      </c>
      <c r="D208" s="14">
        <v>45813</v>
      </c>
      <c r="E208" s="5" t="s">
        <v>5259</v>
      </c>
      <c r="F208" s="5" t="s">
        <v>1336</v>
      </c>
      <c r="G208" s="6" t="s">
        <v>978</v>
      </c>
      <c r="H208" s="6" t="s">
        <v>68</v>
      </c>
      <c r="I208" s="6" t="s">
        <v>5845</v>
      </c>
      <c r="J208" s="6">
        <v>1770412</v>
      </c>
      <c r="K208" s="7" t="s">
        <v>9058</v>
      </c>
      <c r="L208" s="8">
        <v>24513</v>
      </c>
      <c r="M208" s="8" t="str">
        <f t="shared" si="20"/>
        <v>PEN</v>
      </c>
      <c r="N208" s="13"/>
      <c r="O208" s="13">
        <v>8</v>
      </c>
      <c r="P208" s="3">
        <f t="shared" si="16"/>
        <v>0</v>
      </c>
      <c r="Q208" s="3">
        <f t="shared" si="17"/>
        <v>8</v>
      </c>
      <c r="R208" s="3">
        <f t="shared" si="18"/>
        <v>157</v>
      </c>
      <c r="S208" s="24" t="s">
        <v>1334</v>
      </c>
      <c r="T208" s="24" t="s">
        <v>1334</v>
      </c>
      <c r="U208" s="3"/>
      <c r="V208" s="25" t="s">
        <v>7842</v>
      </c>
      <c r="W208" s="25">
        <v>20517252558</v>
      </c>
      <c r="X208" s="25" t="str">
        <f>IFERROR(VLOOKUP(C_Ope_007[[#This Row],[nota_2]],Clientes_Proveedores[[Ruc / Dni]:[Razon Social]],2,0),"")</f>
        <v>COVISUR S.A.</v>
      </c>
      <c r="Y208" s="25"/>
      <c r="Z208" s="103"/>
      <c r="AA208" s="3" t="str">
        <f>IF(C_Ope_007[[#This Row],[fecha]]&gt;0,TEXT(C_Ope_007[[#This Row],[fecha]],"mmmm"),0)</f>
        <v>Junio</v>
      </c>
      <c r="AB208" s="49"/>
    </row>
    <row r="209" spans="1:28" ht="24" x14ac:dyDescent="0.3">
      <c r="A209" s="2">
        <f>IF(C_Ope_007[[#This Row],[tipo_r]]="R",COUNTIFS($C$1:$C208,"R")+1,"")</f>
        <v>208</v>
      </c>
      <c r="B209" s="19" t="str">
        <f t="shared" si="19"/>
        <v>C_Ope_007</v>
      </c>
      <c r="C209" s="3" t="s">
        <v>1330</v>
      </c>
      <c r="D209" s="14">
        <v>45814</v>
      </c>
      <c r="E209" s="5" t="s">
        <v>5259</v>
      </c>
      <c r="F209" s="5" t="s">
        <v>1336</v>
      </c>
      <c r="G209" s="6" t="s">
        <v>978</v>
      </c>
      <c r="H209" s="6" t="s">
        <v>68</v>
      </c>
      <c r="I209" s="6" t="s">
        <v>6204</v>
      </c>
      <c r="J209" s="6">
        <v>1751405</v>
      </c>
      <c r="K209" s="7" t="s">
        <v>7813</v>
      </c>
      <c r="L209" s="8">
        <v>24514</v>
      </c>
      <c r="M209" s="8" t="str">
        <f t="shared" si="20"/>
        <v>PEN</v>
      </c>
      <c r="N209" s="13"/>
      <c r="O209" s="13">
        <v>8</v>
      </c>
      <c r="P209" s="3">
        <f t="shared" si="16"/>
        <v>0</v>
      </c>
      <c r="Q209" s="3">
        <f t="shared" si="17"/>
        <v>8</v>
      </c>
      <c r="R209" s="3">
        <f t="shared" si="18"/>
        <v>149</v>
      </c>
      <c r="S209" s="24" t="s">
        <v>1334</v>
      </c>
      <c r="T209" s="24" t="s">
        <v>1334</v>
      </c>
      <c r="U209" s="3"/>
      <c r="V209" s="25" t="s">
        <v>7756</v>
      </c>
      <c r="W209" s="25">
        <v>20517252558</v>
      </c>
      <c r="X209" s="25" t="str">
        <f>IFERROR(VLOOKUP(C_Ope_007[[#This Row],[nota_2]],Clientes_Proveedores[[Ruc / Dni]:[Razon Social]],2,0),"")</f>
        <v>COVISUR S.A.</v>
      </c>
      <c r="Y209" s="25"/>
      <c r="Z209" s="103"/>
      <c r="AA209" s="3" t="str">
        <f>IF(C_Ope_007[[#This Row],[fecha]]&gt;0,TEXT(C_Ope_007[[#This Row],[fecha]],"mmmm"),0)</f>
        <v>Junio</v>
      </c>
      <c r="AB209" s="49"/>
    </row>
    <row r="210" spans="1:28" x14ac:dyDescent="0.3">
      <c r="A210" s="2">
        <f>IF(C_Ope_007[[#This Row],[tipo_r]]="R",COUNTIFS($C$1:$C209,"R")+1,"")</f>
        <v>209</v>
      </c>
      <c r="B210" s="19" t="str">
        <f t="shared" si="19"/>
        <v>C_Ope_007</v>
      </c>
      <c r="C210" s="3" t="s">
        <v>1330</v>
      </c>
      <c r="D210" s="14">
        <v>45814</v>
      </c>
      <c r="E210" s="5" t="s">
        <v>5259</v>
      </c>
      <c r="F210" s="5" t="s">
        <v>1336</v>
      </c>
      <c r="G210" s="6" t="s">
        <v>978</v>
      </c>
      <c r="H210" s="6" t="s">
        <v>68</v>
      </c>
      <c r="I210" s="6" t="s">
        <v>5845</v>
      </c>
      <c r="J210" s="6">
        <v>1771105</v>
      </c>
      <c r="K210" s="7" t="s">
        <v>9060</v>
      </c>
      <c r="L210" s="8">
        <v>24515</v>
      </c>
      <c r="M210" s="8" t="str">
        <f t="shared" si="20"/>
        <v>PEN</v>
      </c>
      <c r="N210" s="13"/>
      <c r="O210" s="13">
        <v>8</v>
      </c>
      <c r="P210" s="3">
        <f t="shared" si="16"/>
        <v>0</v>
      </c>
      <c r="Q210" s="3">
        <f t="shared" si="17"/>
        <v>8</v>
      </c>
      <c r="R210" s="3">
        <f t="shared" si="18"/>
        <v>141</v>
      </c>
      <c r="S210" s="24" t="s">
        <v>1334</v>
      </c>
      <c r="T210" s="24" t="s">
        <v>1334</v>
      </c>
      <c r="U210" s="3"/>
      <c r="V210" s="25" t="s">
        <v>7761</v>
      </c>
      <c r="W210" s="25">
        <v>20517252558</v>
      </c>
      <c r="X210" s="25" t="str">
        <f>IFERROR(VLOOKUP(C_Ope_007[[#This Row],[nota_2]],Clientes_Proveedores[[Ruc / Dni]:[Razon Social]],2,0),"")</f>
        <v>COVISUR S.A.</v>
      </c>
      <c r="Y210" s="25"/>
      <c r="Z210" s="103"/>
      <c r="AA210" s="3" t="str">
        <f>IF(C_Ope_007[[#This Row],[fecha]]&gt;0,TEXT(C_Ope_007[[#This Row],[fecha]],"mmmm"),0)</f>
        <v>Junio</v>
      </c>
      <c r="AB210" s="49"/>
    </row>
    <row r="211" spans="1:28" ht="36" x14ac:dyDescent="0.3">
      <c r="A211" s="2">
        <f>IF(C_Ope_007[[#This Row],[tipo_r]]="R",COUNTIFS($C$1:$C210,"R")+1,"")</f>
        <v>210</v>
      </c>
      <c r="B211" s="19" t="str">
        <f t="shared" si="19"/>
        <v>C_Ope_007</v>
      </c>
      <c r="C211" s="3" t="s">
        <v>1330</v>
      </c>
      <c r="D211" s="14">
        <v>45811</v>
      </c>
      <c r="E211" s="5" t="s">
        <v>5259</v>
      </c>
      <c r="F211" s="5" t="s">
        <v>1336</v>
      </c>
      <c r="G211" s="6" t="s">
        <v>1029</v>
      </c>
      <c r="H211" s="6" t="s">
        <v>68</v>
      </c>
      <c r="I211" s="6" t="s">
        <v>1374</v>
      </c>
      <c r="J211" s="6">
        <v>17681</v>
      </c>
      <c r="K211" s="7" t="s">
        <v>7845</v>
      </c>
      <c r="L211" s="8">
        <v>24441</v>
      </c>
      <c r="M211" s="8" t="str">
        <f t="shared" si="20"/>
        <v>PEN</v>
      </c>
      <c r="N211" s="13"/>
      <c r="O211" s="13">
        <v>11</v>
      </c>
      <c r="P211" s="3">
        <f t="shared" si="16"/>
        <v>0</v>
      </c>
      <c r="Q211" s="3">
        <f t="shared" si="17"/>
        <v>11</v>
      </c>
      <c r="R211" s="3">
        <f t="shared" si="18"/>
        <v>130</v>
      </c>
      <c r="S211" s="24" t="s">
        <v>1334</v>
      </c>
      <c r="T211" s="24" t="s">
        <v>1334</v>
      </c>
      <c r="U211" s="3"/>
      <c r="V211" s="25" t="s">
        <v>7842</v>
      </c>
      <c r="W211" s="25">
        <v>20454058187</v>
      </c>
      <c r="X211" s="25" t="str">
        <f>IFERROR(VLOOKUP(C_Ope_007[[#This Row],[nota_2]],Clientes_Proveedores[[Ruc / Dni]:[Razon Social]],2,0),"")</f>
        <v>ZONA ESPECIAL DE DESARROLLO ZED MATARANI</v>
      </c>
      <c r="Y211" s="25"/>
      <c r="Z211" s="103"/>
      <c r="AA211" s="3" t="str">
        <f>IF(C_Ope_007[[#This Row],[fecha]]&gt;0,TEXT(C_Ope_007[[#This Row],[fecha]],"mmmm"),0)</f>
        <v>Junio</v>
      </c>
      <c r="AB211" s="49"/>
    </row>
    <row r="212" spans="1:28" ht="36" x14ac:dyDescent="0.3">
      <c r="A212" s="2">
        <f>IF(C_Ope_007[[#This Row],[tipo_r]]="R",COUNTIFS($C$1:$C211,"R")+1,"")</f>
        <v>211</v>
      </c>
      <c r="B212" s="19" t="str">
        <f t="shared" si="19"/>
        <v>C_Ope_007</v>
      </c>
      <c r="C212" s="3" t="s">
        <v>1330</v>
      </c>
      <c r="D212" s="14">
        <v>45811</v>
      </c>
      <c r="E212" s="5" t="s">
        <v>5259</v>
      </c>
      <c r="F212" s="5" t="s">
        <v>1336</v>
      </c>
      <c r="G212" s="6" t="s">
        <v>1029</v>
      </c>
      <c r="H212" s="6" t="s">
        <v>68</v>
      </c>
      <c r="I212" s="6" t="s">
        <v>1374</v>
      </c>
      <c r="J212" s="6">
        <v>17687</v>
      </c>
      <c r="K212" s="7" t="s">
        <v>7845</v>
      </c>
      <c r="L212" s="8">
        <v>24442</v>
      </c>
      <c r="M212" s="8" t="str">
        <f t="shared" si="20"/>
        <v>PEN</v>
      </c>
      <c r="N212" s="13"/>
      <c r="O212" s="13">
        <v>11</v>
      </c>
      <c r="P212" s="3">
        <f t="shared" si="16"/>
        <v>0</v>
      </c>
      <c r="Q212" s="3">
        <f t="shared" si="17"/>
        <v>11</v>
      </c>
      <c r="R212" s="3">
        <f t="shared" si="18"/>
        <v>119</v>
      </c>
      <c r="S212" s="24" t="s">
        <v>1334</v>
      </c>
      <c r="T212" s="24" t="s">
        <v>1334</v>
      </c>
      <c r="U212" s="3"/>
      <c r="V212" s="25" t="s">
        <v>7842</v>
      </c>
      <c r="W212" s="25">
        <v>20454058187</v>
      </c>
      <c r="X212" s="25" t="str">
        <f>IFERROR(VLOOKUP(C_Ope_007[[#This Row],[nota_2]],Clientes_Proveedores[[Ruc / Dni]:[Razon Social]],2,0),"")</f>
        <v>ZONA ESPECIAL DE DESARROLLO ZED MATARANI</v>
      </c>
      <c r="Y212" s="25"/>
      <c r="Z212" s="103"/>
      <c r="AA212" s="3" t="str">
        <f>IF(C_Ope_007[[#This Row],[fecha]]&gt;0,TEXT(C_Ope_007[[#This Row],[fecha]],"mmmm"),0)</f>
        <v>Junio</v>
      </c>
      <c r="AB212" s="49"/>
    </row>
    <row r="213" spans="1:28" ht="36" x14ac:dyDescent="0.3">
      <c r="A213" s="2">
        <f>IF(C_Ope_007[[#This Row],[tipo_r]]="R",COUNTIFS($C$1:$C212,"R")+1,"")</f>
        <v>212</v>
      </c>
      <c r="B213" s="19" t="str">
        <f t="shared" si="19"/>
        <v>C_Ope_007</v>
      </c>
      <c r="C213" s="3" t="s">
        <v>1330</v>
      </c>
      <c r="D213" s="14">
        <v>45814</v>
      </c>
      <c r="E213" s="5" t="s">
        <v>5259</v>
      </c>
      <c r="F213" s="5" t="s">
        <v>1336</v>
      </c>
      <c r="G213" s="6" t="s">
        <v>682</v>
      </c>
      <c r="H213" s="6" t="s">
        <v>68</v>
      </c>
      <c r="I213" s="6" t="s">
        <v>1353</v>
      </c>
      <c r="J213" s="6">
        <v>16596</v>
      </c>
      <c r="K213" s="7" t="s">
        <v>9061</v>
      </c>
      <c r="L213" s="8">
        <v>24517</v>
      </c>
      <c r="M213" s="8" t="str">
        <f t="shared" si="20"/>
        <v>PEN</v>
      </c>
      <c r="N213" s="13"/>
      <c r="O213" s="13">
        <v>20</v>
      </c>
      <c r="P213" s="3">
        <f t="shared" si="16"/>
        <v>0</v>
      </c>
      <c r="Q213" s="3">
        <f t="shared" si="17"/>
        <v>20</v>
      </c>
      <c r="R213" s="3">
        <f t="shared" si="18"/>
        <v>99</v>
      </c>
      <c r="S213" s="24" t="s">
        <v>1334</v>
      </c>
      <c r="T213" s="24" t="s">
        <v>1334</v>
      </c>
      <c r="U213" s="3"/>
      <c r="V213" s="25" t="s">
        <v>8072</v>
      </c>
      <c r="W213" s="25">
        <v>20259858934</v>
      </c>
      <c r="X213" s="25" t="str">
        <f>IFERROR(VLOOKUP(C_Ope_007[[#This Row],[nota_2]],Clientes_Proveedores[[Ruc / Dni]:[Razon Social]],2,0),"")</f>
        <v>COMERCIALIZACION Y SERVICIOS EL EDEN S.A.C.</v>
      </c>
      <c r="Y213" s="25"/>
      <c r="Z213" s="103"/>
      <c r="AA213" s="3" t="str">
        <f>IF(C_Ope_007[[#This Row],[fecha]]&gt;0,TEXT(C_Ope_007[[#This Row],[fecha]],"mmmm"),0)</f>
        <v>Junio</v>
      </c>
      <c r="AB213" s="49"/>
    </row>
    <row r="214" spans="1:28" ht="24" x14ac:dyDescent="0.3">
      <c r="A214" s="2">
        <f>IF(C_Ope_007[[#This Row],[tipo_r]]="R",COUNTIFS($C$1:$C213,"R")+1,"")</f>
        <v>213</v>
      </c>
      <c r="B214" s="19" t="str">
        <f t="shared" si="19"/>
        <v>C_Ope_007</v>
      </c>
      <c r="C214" s="3" t="s">
        <v>1330</v>
      </c>
      <c r="D214" s="14">
        <v>45814</v>
      </c>
      <c r="E214" s="5" t="s">
        <v>5259</v>
      </c>
      <c r="F214" s="5" t="s">
        <v>1336</v>
      </c>
      <c r="G214" s="6" t="s">
        <v>999</v>
      </c>
      <c r="H214" s="6" t="s">
        <v>68</v>
      </c>
      <c r="I214" s="6" t="s">
        <v>1374</v>
      </c>
      <c r="J214" s="6">
        <v>18073</v>
      </c>
      <c r="K214" s="7" t="s">
        <v>7777</v>
      </c>
      <c r="L214" s="8">
        <v>24516</v>
      </c>
      <c r="M214" s="8" t="str">
        <f t="shared" si="20"/>
        <v>PEN</v>
      </c>
      <c r="N214" s="13"/>
      <c r="O214" s="13">
        <v>25</v>
      </c>
      <c r="P214" s="3">
        <f t="shared" si="16"/>
        <v>0</v>
      </c>
      <c r="Q214" s="3">
        <f t="shared" si="17"/>
        <v>25</v>
      </c>
      <c r="R214" s="3">
        <f t="shared" si="18"/>
        <v>74</v>
      </c>
      <c r="S214" s="24" t="s">
        <v>1334</v>
      </c>
      <c r="T214" s="24" t="s">
        <v>1334</v>
      </c>
      <c r="U214" s="3"/>
      <c r="V214" s="25" t="s">
        <v>7761</v>
      </c>
      <c r="W214" s="25">
        <v>10705628331</v>
      </c>
      <c r="X214" s="25" t="str">
        <f>IFERROR(VLOOKUP(C_Ope_007[[#This Row],[nota_2]],Clientes_Proveedores[[Ruc / Dni]:[Razon Social]],2,0),"")</f>
        <v>LARICO APAZA NANCY ROSSMARY</v>
      </c>
      <c r="Y214" s="25"/>
      <c r="Z214" s="103"/>
      <c r="AA214" s="3" t="str">
        <f>IF(C_Ope_007[[#This Row],[fecha]]&gt;0,TEXT(C_Ope_007[[#This Row],[fecha]],"mmmm"),0)</f>
        <v>Junio</v>
      </c>
      <c r="AB214" s="49"/>
    </row>
    <row r="215" spans="1:28" ht="24" x14ac:dyDescent="0.3">
      <c r="A215" s="2">
        <f>IF(C_Ope_007[[#This Row],[tipo_r]]="R",COUNTIFS($C$1:$C214,"R")+1,"")</f>
        <v>214</v>
      </c>
      <c r="B215" s="19" t="str">
        <f t="shared" si="19"/>
        <v>C_Ope_007</v>
      </c>
      <c r="C215" s="3" t="s">
        <v>1330</v>
      </c>
      <c r="D215" s="14">
        <v>45819</v>
      </c>
      <c r="E215" s="5" t="s">
        <v>7514</v>
      </c>
      <c r="F215" s="5" t="s">
        <v>1303</v>
      </c>
      <c r="G215" s="6" t="s">
        <v>692</v>
      </c>
      <c r="H215" s="6"/>
      <c r="I215" s="6"/>
      <c r="J215" s="6"/>
      <c r="K215" s="7" t="s">
        <v>7516</v>
      </c>
      <c r="L215" s="8">
        <v>24526</v>
      </c>
      <c r="M215" s="8" t="str">
        <f t="shared" si="20"/>
        <v>PEN</v>
      </c>
      <c r="N215" s="13"/>
      <c r="O215" s="13">
        <v>130</v>
      </c>
      <c r="P215" s="3">
        <f t="shared" si="16"/>
        <v>130</v>
      </c>
      <c r="Q215" s="3">
        <f t="shared" si="17"/>
        <v>0</v>
      </c>
      <c r="R215" s="3">
        <f t="shared" si="18"/>
        <v>204</v>
      </c>
      <c r="S215" s="24" t="s">
        <v>1334</v>
      </c>
      <c r="T215" s="24" t="s">
        <v>1334</v>
      </c>
      <c r="U215" s="3"/>
      <c r="V215" s="25"/>
      <c r="W215" s="25"/>
      <c r="X215" s="25" t="str">
        <f>IFERROR(VLOOKUP(C_Ope_007[[#This Row],[nota_2]],Clientes_Proveedores[[Ruc / Dni]:[Razon Social]],2,0),"")</f>
        <v/>
      </c>
      <c r="Y215" s="25"/>
      <c r="Z215" s="103"/>
      <c r="AA215" s="3" t="str">
        <f>IF(C_Ope_007[[#This Row],[fecha]]&gt;0,TEXT(C_Ope_007[[#This Row],[fecha]],"mmmm"),0)</f>
        <v>Junio</v>
      </c>
      <c r="AB215" s="49"/>
    </row>
    <row r="216" spans="1:28" ht="24" x14ac:dyDescent="0.3">
      <c r="A216" s="2">
        <f>IF(C_Ope_007[[#This Row],[tipo_r]]="R",COUNTIFS($C$1:$C215,"R")+1,"")</f>
        <v>215</v>
      </c>
      <c r="B216" s="19" t="str">
        <f t="shared" si="19"/>
        <v>C_Ope_007</v>
      </c>
      <c r="C216" s="3" t="s">
        <v>1330</v>
      </c>
      <c r="D216" s="14">
        <v>45820</v>
      </c>
      <c r="E216" s="5" t="s">
        <v>5259</v>
      </c>
      <c r="F216" s="5" t="s">
        <v>1336</v>
      </c>
      <c r="G216" s="6" t="s">
        <v>978</v>
      </c>
      <c r="H216" s="6" t="s">
        <v>68</v>
      </c>
      <c r="I216" s="6" t="s">
        <v>5688</v>
      </c>
      <c r="J216" s="6">
        <v>2363852</v>
      </c>
      <c r="K216" s="7" t="s">
        <v>9062</v>
      </c>
      <c r="L216" s="8">
        <v>24702</v>
      </c>
      <c r="M216" s="8" t="str">
        <f t="shared" si="20"/>
        <v>PEN</v>
      </c>
      <c r="N216" s="13"/>
      <c r="O216" s="13">
        <v>8</v>
      </c>
      <c r="P216" s="3">
        <f t="shared" si="16"/>
        <v>0</v>
      </c>
      <c r="Q216" s="3">
        <f t="shared" si="17"/>
        <v>8</v>
      </c>
      <c r="R216" s="3">
        <f t="shared" si="18"/>
        <v>196</v>
      </c>
      <c r="S216" s="24" t="s">
        <v>1334</v>
      </c>
      <c r="T216" s="24" t="s">
        <v>1334</v>
      </c>
      <c r="U216" s="3"/>
      <c r="V216" s="25" t="s">
        <v>7756</v>
      </c>
      <c r="W216" s="25">
        <v>20517252558</v>
      </c>
      <c r="X216" s="25" t="str">
        <f>IFERROR(VLOOKUP(C_Ope_007[[#This Row],[nota_2]],Clientes_Proveedores[[Ruc / Dni]:[Razon Social]],2,0),"")</f>
        <v>COVISUR S.A.</v>
      </c>
      <c r="Y216" s="25"/>
      <c r="Z216" s="103"/>
      <c r="AA216" s="3" t="str">
        <f>IF(C_Ope_007[[#This Row],[fecha]]&gt;0,TEXT(C_Ope_007[[#This Row],[fecha]],"mmmm"),0)</f>
        <v>Junio</v>
      </c>
      <c r="AB216" s="49"/>
    </row>
    <row r="217" spans="1:28" ht="24" x14ac:dyDescent="0.3">
      <c r="A217" s="2">
        <f>IF(C_Ope_007[[#This Row],[tipo_r]]="R",COUNTIFS($C$1:$C216,"R")+1,"")</f>
        <v>216</v>
      </c>
      <c r="B217" s="19" t="str">
        <f t="shared" si="19"/>
        <v>C_Ope_007</v>
      </c>
      <c r="C217" s="3" t="s">
        <v>1330</v>
      </c>
      <c r="D217" s="14">
        <v>45820</v>
      </c>
      <c r="E217" s="5" t="s">
        <v>5259</v>
      </c>
      <c r="F217" s="5" t="s">
        <v>1336</v>
      </c>
      <c r="G217" s="6" t="s">
        <v>978</v>
      </c>
      <c r="H217" s="6" t="s">
        <v>68</v>
      </c>
      <c r="I217" s="6" t="s">
        <v>6203</v>
      </c>
      <c r="J217" s="6">
        <v>2079916</v>
      </c>
      <c r="K217" s="7" t="s">
        <v>9062</v>
      </c>
      <c r="L217" s="8">
        <v>24703</v>
      </c>
      <c r="M217" s="8" t="str">
        <f t="shared" si="20"/>
        <v>PEN</v>
      </c>
      <c r="N217" s="13"/>
      <c r="O217" s="13">
        <v>8</v>
      </c>
      <c r="P217" s="3">
        <f t="shared" si="16"/>
        <v>0</v>
      </c>
      <c r="Q217" s="3">
        <f t="shared" si="17"/>
        <v>8</v>
      </c>
      <c r="R217" s="3">
        <f t="shared" si="18"/>
        <v>188</v>
      </c>
      <c r="S217" s="24" t="s">
        <v>1334</v>
      </c>
      <c r="T217" s="24" t="s">
        <v>1334</v>
      </c>
      <c r="U217" s="3"/>
      <c r="V217" s="25" t="s">
        <v>7756</v>
      </c>
      <c r="W217" s="25">
        <v>20517252558</v>
      </c>
      <c r="X217" s="25" t="str">
        <f>IFERROR(VLOOKUP(C_Ope_007[[#This Row],[nota_2]],Clientes_Proveedores[[Ruc / Dni]:[Razon Social]],2,0),"")</f>
        <v>COVISUR S.A.</v>
      </c>
      <c r="Y217" s="25"/>
      <c r="Z217" s="103"/>
      <c r="AA217" s="3" t="str">
        <f>IF(C_Ope_007[[#This Row],[fecha]]&gt;0,TEXT(C_Ope_007[[#This Row],[fecha]],"mmmm"),0)</f>
        <v>Junio</v>
      </c>
      <c r="AB217" s="49"/>
    </row>
    <row r="218" spans="1:28" ht="36" x14ac:dyDescent="0.3">
      <c r="A218" s="2">
        <f>IF(C_Ope_007[[#This Row],[tipo_r]]="R",COUNTIFS($C$1:$C217,"R")+1,"")</f>
        <v>217</v>
      </c>
      <c r="B218" s="19" t="str">
        <f t="shared" si="19"/>
        <v>C_Ope_007</v>
      </c>
      <c r="C218" s="3" t="s">
        <v>1330</v>
      </c>
      <c r="D218" s="14">
        <v>45828</v>
      </c>
      <c r="E218" s="5" t="s">
        <v>5259</v>
      </c>
      <c r="F218" s="5" t="s">
        <v>1336</v>
      </c>
      <c r="G218" s="6" t="s">
        <v>227</v>
      </c>
      <c r="H218" s="6" t="s">
        <v>68</v>
      </c>
      <c r="I218" s="6" t="s">
        <v>1390</v>
      </c>
      <c r="J218" s="6">
        <v>133227</v>
      </c>
      <c r="K218" s="7" t="s">
        <v>9063</v>
      </c>
      <c r="L218" s="8">
        <v>24706</v>
      </c>
      <c r="M218" s="8" t="str">
        <f t="shared" si="20"/>
        <v>PEN</v>
      </c>
      <c r="N218" s="13"/>
      <c r="O218" s="13">
        <v>10</v>
      </c>
      <c r="P218" s="3">
        <f t="shared" si="16"/>
        <v>0</v>
      </c>
      <c r="Q218" s="3">
        <f t="shared" si="17"/>
        <v>10</v>
      </c>
      <c r="R218" s="3">
        <f t="shared" si="18"/>
        <v>178</v>
      </c>
      <c r="S218" s="24" t="s">
        <v>1334</v>
      </c>
      <c r="T218" s="24" t="s">
        <v>1334</v>
      </c>
      <c r="U218" s="3"/>
      <c r="V218" s="25" t="s">
        <v>7754</v>
      </c>
      <c r="W218" s="25">
        <v>20124952850</v>
      </c>
      <c r="X218" s="25" t="str">
        <f>IFERROR(VLOOKUP(C_Ope_007[[#This Row],[nota_2]],Clientes_Proveedores[[Ruc / Dni]:[Razon Social]],2,0),"")</f>
        <v>ALIMENTOS Y SERVICIOS AGROPECUARIOS SRL.</v>
      </c>
      <c r="Y218" s="25"/>
      <c r="Z218" s="103"/>
      <c r="AA218" s="3" t="str">
        <f>IF(C_Ope_007[[#This Row],[fecha]]&gt;0,TEXT(C_Ope_007[[#This Row],[fecha]],"mmmm"),0)</f>
        <v>Junio</v>
      </c>
      <c r="AB218" s="49"/>
    </row>
    <row r="219" spans="1:28" ht="36" x14ac:dyDescent="0.3">
      <c r="A219" s="2">
        <f>IF(C_Ope_007[[#This Row],[tipo_r]]="R",COUNTIFS($C$1:$C218,"R")+1,"")</f>
        <v>218</v>
      </c>
      <c r="B219" s="19" t="str">
        <f t="shared" si="19"/>
        <v>C_Ope_007</v>
      </c>
      <c r="C219" s="3" t="s">
        <v>1330</v>
      </c>
      <c r="D219" s="14">
        <v>45828</v>
      </c>
      <c r="E219" s="5" t="s">
        <v>5259</v>
      </c>
      <c r="F219" s="5" t="s">
        <v>1336</v>
      </c>
      <c r="G219" s="6" t="s">
        <v>227</v>
      </c>
      <c r="H219" s="6" t="s">
        <v>68</v>
      </c>
      <c r="I219" s="6" t="s">
        <v>1390</v>
      </c>
      <c r="J219" s="6">
        <v>133234</v>
      </c>
      <c r="K219" s="7" t="s">
        <v>9063</v>
      </c>
      <c r="L219" s="8">
        <v>24707</v>
      </c>
      <c r="M219" s="8" t="str">
        <f t="shared" si="20"/>
        <v>PEN</v>
      </c>
      <c r="N219" s="13"/>
      <c r="O219" s="13">
        <v>10</v>
      </c>
      <c r="P219" s="3">
        <f t="shared" si="16"/>
        <v>0</v>
      </c>
      <c r="Q219" s="3">
        <f t="shared" si="17"/>
        <v>10</v>
      </c>
      <c r="R219" s="3">
        <f t="shared" si="18"/>
        <v>168</v>
      </c>
      <c r="S219" s="24" t="s">
        <v>1334</v>
      </c>
      <c r="T219" s="24" t="s">
        <v>1334</v>
      </c>
      <c r="U219" s="3"/>
      <c r="V219" s="25" t="s">
        <v>7754</v>
      </c>
      <c r="W219" s="25">
        <v>20124952850</v>
      </c>
      <c r="X219" s="25" t="str">
        <f>IFERROR(VLOOKUP(C_Ope_007[[#This Row],[nota_2]],Clientes_Proveedores[[Ruc / Dni]:[Razon Social]],2,0),"")</f>
        <v>ALIMENTOS Y SERVICIOS AGROPECUARIOS SRL.</v>
      </c>
      <c r="Y219" s="25"/>
      <c r="Z219" s="103"/>
      <c r="AA219" s="3" t="str">
        <f>IF(C_Ope_007[[#This Row],[fecha]]&gt;0,TEXT(C_Ope_007[[#This Row],[fecha]],"mmmm"),0)</f>
        <v>Junio</v>
      </c>
      <c r="AB219" s="49"/>
    </row>
    <row r="220" spans="1:28" ht="36" x14ac:dyDescent="0.3">
      <c r="A220" s="2">
        <f>IF(C_Ope_007[[#This Row],[tipo_r]]="R",COUNTIFS($C$1:$C219,"R")+1,"")</f>
        <v>219</v>
      </c>
      <c r="B220" s="19" t="str">
        <f t="shared" si="19"/>
        <v>C_Ope_007</v>
      </c>
      <c r="C220" s="3" t="s">
        <v>1330</v>
      </c>
      <c r="D220" s="14">
        <v>45828</v>
      </c>
      <c r="E220" s="5" t="s">
        <v>5259</v>
      </c>
      <c r="F220" s="5" t="s">
        <v>1336</v>
      </c>
      <c r="G220" s="6" t="s">
        <v>227</v>
      </c>
      <c r="H220" s="6" t="s">
        <v>68</v>
      </c>
      <c r="I220" s="6" t="s">
        <v>1390</v>
      </c>
      <c r="J220" s="6">
        <v>133243</v>
      </c>
      <c r="K220" s="7" t="s">
        <v>9063</v>
      </c>
      <c r="L220" s="8">
        <v>24708</v>
      </c>
      <c r="M220" s="8" t="str">
        <f t="shared" si="20"/>
        <v>PEN</v>
      </c>
      <c r="N220" s="13"/>
      <c r="O220" s="13">
        <v>10</v>
      </c>
      <c r="P220" s="3">
        <f t="shared" si="16"/>
        <v>0</v>
      </c>
      <c r="Q220" s="3">
        <f t="shared" si="17"/>
        <v>10</v>
      </c>
      <c r="R220" s="3">
        <f t="shared" si="18"/>
        <v>158</v>
      </c>
      <c r="S220" s="24" t="s">
        <v>1334</v>
      </c>
      <c r="T220" s="24" t="s">
        <v>1334</v>
      </c>
      <c r="U220" s="3"/>
      <c r="V220" s="25" t="s">
        <v>7754</v>
      </c>
      <c r="W220" s="25">
        <v>20124952850</v>
      </c>
      <c r="X220" s="25" t="str">
        <f>IFERROR(VLOOKUP(C_Ope_007[[#This Row],[nota_2]],Clientes_Proveedores[[Ruc / Dni]:[Razon Social]],2,0),"")</f>
        <v>ALIMENTOS Y SERVICIOS AGROPECUARIOS SRL.</v>
      </c>
      <c r="Y220" s="25"/>
      <c r="Z220" s="103"/>
      <c r="AA220" s="3" t="str">
        <f>IF(C_Ope_007[[#This Row],[fecha]]&gt;0,TEXT(C_Ope_007[[#This Row],[fecha]],"mmmm"),0)</f>
        <v>Junio</v>
      </c>
      <c r="AB220" s="49"/>
    </row>
    <row r="221" spans="1:28" ht="36" x14ac:dyDescent="0.3">
      <c r="A221" s="2">
        <f>IF(C_Ope_007[[#This Row],[tipo_r]]="R",COUNTIFS($C$1:$C220,"R")+1,"")</f>
        <v>220</v>
      </c>
      <c r="B221" s="19" t="str">
        <f t="shared" si="19"/>
        <v>C_Ope_007</v>
      </c>
      <c r="C221" s="3" t="s">
        <v>1330</v>
      </c>
      <c r="D221" s="14">
        <v>45828</v>
      </c>
      <c r="E221" s="5" t="s">
        <v>5259</v>
      </c>
      <c r="F221" s="5" t="s">
        <v>1336</v>
      </c>
      <c r="G221" s="6" t="s">
        <v>227</v>
      </c>
      <c r="H221" s="6" t="s">
        <v>68</v>
      </c>
      <c r="I221" s="6" t="s">
        <v>1390</v>
      </c>
      <c r="J221" s="6">
        <v>133252</v>
      </c>
      <c r="K221" s="7" t="s">
        <v>9063</v>
      </c>
      <c r="L221" s="8">
        <v>24709</v>
      </c>
      <c r="M221" s="8" t="str">
        <f t="shared" si="20"/>
        <v>PEN</v>
      </c>
      <c r="N221" s="13"/>
      <c r="O221" s="13">
        <v>10</v>
      </c>
      <c r="P221" s="3">
        <f t="shared" si="16"/>
        <v>0</v>
      </c>
      <c r="Q221" s="3">
        <f t="shared" si="17"/>
        <v>10</v>
      </c>
      <c r="R221" s="3">
        <f t="shared" si="18"/>
        <v>148</v>
      </c>
      <c r="S221" s="24" t="s">
        <v>1334</v>
      </c>
      <c r="T221" s="24" t="s">
        <v>1334</v>
      </c>
      <c r="U221" s="3"/>
      <c r="V221" s="25" t="s">
        <v>7754</v>
      </c>
      <c r="W221" s="25">
        <v>20124952850</v>
      </c>
      <c r="X221" s="25" t="str">
        <f>IFERROR(VLOOKUP(C_Ope_007[[#This Row],[nota_2]],Clientes_Proveedores[[Ruc / Dni]:[Razon Social]],2,0),"")</f>
        <v>ALIMENTOS Y SERVICIOS AGROPECUARIOS SRL.</v>
      </c>
      <c r="Y221" s="25"/>
      <c r="Z221" s="103"/>
      <c r="AA221" s="3" t="str">
        <f>IF(C_Ope_007[[#This Row],[fecha]]&gt;0,TEXT(C_Ope_007[[#This Row],[fecha]],"mmmm"),0)</f>
        <v>Junio</v>
      </c>
      <c r="AB221" s="49"/>
    </row>
    <row r="222" spans="1:28" ht="24" x14ac:dyDescent="0.3">
      <c r="A222" s="2">
        <f>IF(C_Ope_007[[#This Row],[tipo_r]]="R",COUNTIFS($C$1:$C221,"R")+1,"")</f>
        <v>221</v>
      </c>
      <c r="B222" s="19" t="str">
        <f t="shared" si="19"/>
        <v>C_Ope_007</v>
      </c>
      <c r="C222" s="3" t="s">
        <v>1330</v>
      </c>
      <c r="D222" s="14">
        <v>45832</v>
      </c>
      <c r="E222" s="5" t="s">
        <v>5259</v>
      </c>
      <c r="F222" s="5" t="s">
        <v>1336</v>
      </c>
      <c r="G222" s="6" t="s">
        <v>978</v>
      </c>
      <c r="H222" s="6" t="s">
        <v>68</v>
      </c>
      <c r="I222" s="6" t="s">
        <v>6204</v>
      </c>
      <c r="J222" s="6">
        <v>1767402</v>
      </c>
      <c r="K222" s="7" t="s">
        <v>9064</v>
      </c>
      <c r="L222" s="8">
        <v>24704</v>
      </c>
      <c r="M222" s="8" t="str">
        <f t="shared" si="20"/>
        <v>PEN</v>
      </c>
      <c r="N222" s="13"/>
      <c r="O222" s="13">
        <v>8</v>
      </c>
      <c r="P222" s="3">
        <f t="shared" si="16"/>
        <v>0</v>
      </c>
      <c r="Q222" s="3">
        <f t="shared" si="17"/>
        <v>8</v>
      </c>
      <c r="R222" s="3">
        <f t="shared" si="18"/>
        <v>140</v>
      </c>
      <c r="S222" s="24" t="s">
        <v>1334</v>
      </c>
      <c r="T222" s="24" t="s">
        <v>1334</v>
      </c>
      <c r="U222" s="3"/>
      <c r="V222" s="25" t="s">
        <v>7756</v>
      </c>
      <c r="W222" s="25">
        <v>20517252558</v>
      </c>
      <c r="X222" s="25" t="str">
        <f>IFERROR(VLOOKUP(C_Ope_007[[#This Row],[nota_2]],Clientes_Proveedores[[Ruc / Dni]:[Razon Social]],2,0),"")</f>
        <v>COVISUR S.A.</v>
      </c>
      <c r="Y222" s="25"/>
      <c r="Z222" s="103"/>
      <c r="AA222" s="3" t="str">
        <f>IF(C_Ope_007[[#This Row],[fecha]]&gt;0,TEXT(C_Ope_007[[#This Row],[fecha]],"mmmm"),0)</f>
        <v>Junio</v>
      </c>
      <c r="AB222" s="49"/>
    </row>
    <row r="223" spans="1:28" ht="36" x14ac:dyDescent="0.3">
      <c r="A223" s="2">
        <f>IF(C_Ope_007[[#This Row],[tipo_r]]="R",COUNTIFS($C$1:$C222,"R")+1,"")</f>
        <v>222</v>
      </c>
      <c r="B223" s="19" t="str">
        <f t="shared" si="19"/>
        <v>C_Ope_007</v>
      </c>
      <c r="C223" s="3" t="s">
        <v>1330</v>
      </c>
      <c r="D223" s="14">
        <v>45831</v>
      </c>
      <c r="E223" s="5" t="s">
        <v>5259</v>
      </c>
      <c r="F223" s="5" t="s">
        <v>1336</v>
      </c>
      <c r="G223" s="6" t="s">
        <v>682</v>
      </c>
      <c r="H223" s="6" t="s">
        <v>68</v>
      </c>
      <c r="I223" s="6" t="s">
        <v>1343</v>
      </c>
      <c r="J223" s="6">
        <v>34986</v>
      </c>
      <c r="K223" s="7" t="s">
        <v>9065</v>
      </c>
      <c r="L223" s="8">
        <v>24710</v>
      </c>
      <c r="M223" s="8" t="str">
        <f t="shared" si="20"/>
        <v>PEN</v>
      </c>
      <c r="N223" s="13"/>
      <c r="O223" s="13">
        <v>10</v>
      </c>
      <c r="P223" s="3">
        <f t="shared" si="16"/>
        <v>0</v>
      </c>
      <c r="Q223" s="3">
        <f t="shared" si="17"/>
        <v>10</v>
      </c>
      <c r="R223" s="3">
        <f t="shared" si="18"/>
        <v>130</v>
      </c>
      <c r="S223" s="24" t="s">
        <v>1334</v>
      </c>
      <c r="T223" s="24" t="s">
        <v>1334</v>
      </c>
      <c r="U223" s="3"/>
      <c r="V223" s="25" t="s">
        <v>8072</v>
      </c>
      <c r="W223" s="25">
        <v>20259858934</v>
      </c>
      <c r="X223" s="25" t="str">
        <f>IFERROR(VLOOKUP(C_Ope_007[[#This Row],[nota_2]],Clientes_Proveedores[[Ruc / Dni]:[Razon Social]],2,0),"")</f>
        <v>COMERCIALIZACION Y SERVICIOS EL EDEN S.A.C.</v>
      </c>
      <c r="Y223" s="25"/>
      <c r="Z223" s="103"/>
      <c r="AA223" s="3" t="str">
        <f>IF(C_Ope_007[[#This Row],[fecha]]&gt;0,TEXT(C_Ope_007[[#This Row],[fecha]],"mmmm"),0)</f>
        <v>Junio</v>
      </c>
      <c r="AB223" s="49"/>
    </row>
    <row r="224" spans="1:28" ht="36" x14ac:dyDescent="0.3">
      <c r="A224" s="2">
        <f>IF(C_Ope_007[[#This Row],[tipo_r]]="R",COUNTIFS($C$1:$C223,"R")+1,"")</f>
        <v>223</v>
      </c>
      <c r="B224" s="19" t="str">
        <f t="shared" si="19"/>
        <v>C_Ope_007</v>
      </c>
      <c r="C224" s="3" t="s">
        <v>1330</v>
      </c>
      <c r="D224" s="14">
        <v>45832</v>
      </c>
      <c r="E224" s="5" t="s">
        <v>5259</v>
      </c>
      <c r="F224" s="5" t="s">
        <v>1336</v>
      </c>
      <c r="G224" s="6" t="s">
        <v>682</v>
      </c>
      <c r="H224" s="6" t="s">
        <v>68</v>
      </c>
      <c r="I224" s="6" t="s">
        <v>1353</v>
      </c>
      <c r="J224" s="6">
        <v>16737</v>
      </c>
      <c r="K224" s="7" t="s">
        <v>9066</v>
      </c>
      <c r="L224" s="8">
        <v>24711</v>
      </c>
      <c r="M224" s="8" t="str">
        <f t="shared" si="20"/>
        <v>PEN</v>
      </c>
      <c r="N224" s="13"/>
      <c r="O224" s="13">
        <v>20</v>
      </c>
      <c r="P224" s="3">
        <f t="shared" si="16"/>
        <v>0</v>
      </c>
      <c r="Q224" s="3">
        <f t="shared" si="17"/>
        <v>20</v>
      </c>
      <c r="R224" s="3">
        <f t="shared" si="18"/>
        <v>110</v>
      </c>
      <c r="S224" s="24" t="s">
        <v>1334</v>
      </c>
      <c r="T224" s="24" t="s">
        <v>1334</v>
      </c>
      <c r="U224" s="3"/>
      <c r="V224" s="25" t="s">
        <v>7756</v>
      </c>
      <c r="W224" s="25">
        <v>20259858934</v>
      </c>
      <c r="X224" s="25" t="str">
        <f>IFERROR(VLOOKUP(C_Ope_007[[#This Row],[nota_2]],Clientes_Proveedores[[Ruc / Dni]:[Razon Social]],2,0),"")</f>
        <v>COMERCIALIZACION Y SERVICIOS EL EDEN S.A.C.</v>
      </c>
      <c r="Y224" s="25"/>
      <c r="Z224" s="103"/>
      <c r="AA224" s="3" t="str">
        <f>IF(C_Ope_007[[#This Row],[fecha]]&gt;0,TEXT(C_Ope_007[[#This Row],[fecha]],"mmmm"),0)</f>
        <v>Junio</v>
      </c>
      <c r="AB224" s="49"/>
    </row>
    <row r="225" spans="1:28" ht="36" x14ac:dyDescent="0.3">
      <c r="A225" s="2">
        <f>IF(C_Ope_007[[#This Row],[tipo_r]]="R",COUNTIFS($C$1:$C224,"R")+1,"")</f>
        <v>224</v>
      </c>
      <c r="B225" s="19" t="str">
        <f t="shared" si="19"/>
        <v>C_Ope_007</v>
      </c>
      <c r="C225" s="3" t="s">
        <v>1330</v>
      </c>
      <c r="D225" s="14">
        <v>45832</v>
      </c>
      <c r="E225" s="5" t="s">
        <v>5259</v>
      </c>
      <c r="F225" s="5" t="s">
        <v>1336</v>
      </c>
      <c r="G225" s="6" t="s">
        <v>682</v>
      </c>
      <c r="H225" s="6" t="s">
        <v>68</v>
      </c>
      <c r="I225" s="6" t="s">
        <v>1353</v>
      </c>
      <c r="J225" s="6">
        <v>16736</v>
      </c>
      <c r="K225" s="7" t="s">
        <v>9066</v>
      </c>
      <c r="L225" s="8">
        <v>24712</v>
      </c>
      <c r="M225" s="8" t="str">
        <f t="shared" si="20"/>
        <v>PEN</v>
      </c>
      <c r="N225" s="13"/>
      <c r="O225" s="13">
        <v>20</v>
      </c>
      <c r="P225" s="3">
        <f t="shared" si="16"/>
        <v>0</v>
      </c>
      <c r="Q225" s="3">
        <f t="shared" si="17"/>
        <v>20</v>
      </c>
      <c r="R225" s="3">
        <f t="shared" si="18"/>
        <v>90</v>
      </c>
      <c r="S225" s="24" t="s">
        <v>1334</v>
      </c>
      <c r="T225" s="24" t="s">
        <v>1334</v>
      </c>
      <c r="U225" s="3"/>
      <c r="V225" s="25" t="s">
        <v>7756</v>
      </c>
      <c r="W225" s="25">
        <v>20259858934</v>
      </c>
      <c r="X225" s="25" t="str">
        <f>IFERROR(VLOOKUP(C_Ope_007[[#This Row],[nota_2]],Clientes_Proveedores[[Ruc / Dni]:[Razon Social]],2,0),"")</f>
        <v>COMERCIALIZACION Y SERVICIOS EL EDEN S.A.C.</v>
      </c>
      <c r="Y225" s="25"/>
      <c r="Z225" s="103"/>
      <c r="AA225" s="3" t="str">
        <f>IF(C_Ope_007[[#This Row],[fecha]]&gt;0,TEXT(C_Ope_007[[#This Row],[fecha]],"mmmm"),0)</f>
        <v>Junio</v>
      </c>
      <c r="AB225" s="49"/>
    </row>
    <row r="226" spans="1:28" ht="36" x14ac:dyDescent="0.3">
      <c r="A226" s="2">
        <f>IF(C_Ope_007[[#This Row],[tipo_r]]="R",COUNTIFS($C$1:$C225,"R")+1,"")</f>
        <v>225</v>
      </c>
      <c r="B226" s="19" t="str">
        <f t="shared" si="19"/>
        <v>C_Ope_007</v>
      </c>
      <c r="C226" s="3" t="s">
        <v>1330</v>
      </c>
      <c r="D226" s="14">
        <v>45832</v>
      </c>
      <c r="E226" s="5" t="s">
        <v>5259</v>
      </c>
      <c r="F226" s="5" t="s">
        <v>1336</v>
      </c>
      <c r="G226" s="6" t="s">
        <v>1029</v>
      </c>
      <c r="H226" s="6" t="s">
        <v>68</v>
      </c>
      <c r="I226" s="6" t="s">
        <v>1374</v>
      </c>
      <c r="J226" s="6">
        <v>17818</v>
      </c>
      <c r="K226" s="7" t="s">
        <v>9054</v>
      </c>
      <c r="L226" s="8">
        <v>24713</v>
      </c>
      <c r="M226" s="8" t="str">
        <f t="shared" si="20"/>
        <v>PEN</v>
      </c>
      <c r="N226" s="13"/>
      <c r="O226" s="13">
        <v>11</v>
      </c>
      <c r="P226" s="3">
        <f t="shared" si="16"/>
        <v>0</v>
      </c>
      <c r="Q226" s="3">
        <f t="shared" si="17"/>
        <v>11</v>
      </c>
      <c r="R226" s="3">
        <f t="shared" si="18"/>
        <v>79</v>
      </c>
      <c r="S226" s="24" t="s">
        <v>1334</v>
      </c>
      <c r="T226" s="24" t="s">
        <v>1334</v>
      </c>
      <c r="U226" s="3"/>
      <c r="V226" s="25" t="s">
        <v>8072</v>
      </c>
      <c r="W226" s="25">
        <v>20454058187</v>
      </c>
      <c r="X226" s="25" t="str">
        <f>IFERROR(VLOOKUP(C_Ope_007[[#This Row],[nota_2]],Clientes_Proveedores[[Ruc / Dni]:[Razon Social]],2,0),"")</f>
        <v>ZONA ESPECIAL DE DESARROLLO ZED MATARANI</v>
      </c>
      <c r="Y226" s="25"/>
      <c r="Z226" s="103"/>
      <c r="AA226" s="3" t="str">
        <f>IF(C_Ope_007[[#This Row],[fecha]]&gt;0,TEXT(C_Ope_007[[#This Row],[fecha]],"mmmm"),0)</f>
        <v>Junio</v>
      </c>
      <c r="AB226" s="49"/>
    </row>
    <row r="227" spans="1:28" ht="36" x14ac:dyDescent="0.3">
      <c r="A227" s="2">
        <f>IF(C_Ope_007[[#This Row],[tipo_r]]="R",COUNTIFS($C$1:$C226,"R")+1,"")</f>
        <v>226</v>
      </c>
      <c r="B227" s="19" t="str">
        <f t="shared" si="19"/>
        <v>C_Ope_007</v>
      </c>
      <c r="C227" s="3" t="s">
        <v>1330</v>
      </c>
      <c r="D227" s="14">
        <v>45835</v>
      </c>
      <c r="E227" s="5" t="s">
        <v>5259</v>
      </c>
      <c r="F227" s="5" t="s">
        <v>1336</v>
      </c>
      <c r="G227" s="6" t="s">
        <v>227</v>
      </c>
      <c r="H227" s="6" t="s">
        <v>68</v>
      </c>
      <c r="I227" s="6" t="s">
        <v>1390</v>
      </c>
      <c r="J227" s="6">
        <v>133564</v>
      </c>
      <c r="K227" s="7" t="s">
        <v>7765</v>
      </c>
      <c r="L227" s="8">
        <v>24731</v>
      </c>
      <c r="M227" s="8" t="str">
        <f t="shared" si="20"/>
        <v>PEN</v>
      </c>
      <c r="N227" s="13"/>
      <c r="O227" s="13">
        <v>10</v>
      </c>
      <c r="P227" s="3">
        <f t="shared" si="16"/>
        <v>0</v>
      </c>
      <c r="Q227" s="3">
        <f t="shared" si="17"/>
        <v>10</v>
      </c>
      <c r="R227" s="3">
        <f t="shared" si="18"/>
        <v>69</v>
      </c>
      <c r="S227" s="24" t="s">
        <v>1334</v>
      </c>
      <c r="T227" s="24" t="s">
        <v>1334</v>
      </c>
      <c r="U227" s="3"/>
      <c r="V227" s="25" t="s">
        <v>8072</v>
      </c>
      <c r="W227" s="25">
        <v>20124952850</v>
      </c>
      <c r="X227" s="25" t="str">
        <f>IFERROR(VLOOKUP(C_Ope_007[[#This Row],[nota_2]],Clientes_Proveedores[[Ruc / Dni]:[Razon Social]],2,0),"")</f>
        <v>ALIMENTOS Y SERVICIOS AGROPECUARIOS SRL.</v>
      </c>
      <c r="Y227" s="25"/>
      <c r="Z227" s="103"/>
      <c r="AA227" s="3" t="str">
        <f>IF(C_Ope_007[[#This Row],[fecha]]&gt;0,TEXT(C_Ope_007[[#This Row],[fecha]],"mmmm"),0)</f>
        <v>Junio</v>
      </c>
      <c r="AB227" s="49"/>
    </row>
    <row r="228" spans="1:28" ht="36" x14ac:dyDescent="0.3">
      <c r="A228" s="2">
        <f>IF(C_Ope_007[[#This Row],[tipo_r]]="R",COUNTIFS($C$1:$C227,"R")+1,"")</f>
        <v>227</v>
      </c>
      <c r="B228" s="19" t="str">
        <f t="shared" si="19"/>
        <v>C_Ope_007</v>
      </c>
      <c r="C228" s="3" t="s">
        <v>1330</v>
      </c>
      <c r="D228" s="14">
        <v>45838</v>
      </c>
      <c r="E228" s="5" t="s">
        <v>5259</v>
      </c>
      <c r="F228" s="5" t="s">
        <v>1336</v>
      </c>
      <c r="G228" s="6" t="s">
        <v>227</v>
      </c>
      <c r="H228" s="6" t="s">
        <v>68</v>
      </c>
      <c r="I228" s="6" t="s">
        <v>1390</v>
      </c>
      <c r="J228" s="6">
        <v>133652</v>
      </c>
      <c r="K228" s="7" t="s">
        <v>9063</v>
      </c>
      <c r="L228" s="8">
        <v>24762</v>
      </c>
      <c r="M228" s="8" t="str">
        <f t="shared" si="20"/>
        <v>PEN</v>
      </c>
      <c r="N228" s="13"/>
      <c r="O228" s="13">
        <v>10</v>
      </c>
      <c r="P228" s="3">
        <f t="shared" si="16"/>
        <v>0</v>
      </c>
      <c r="Q228" s="3">
        <f t="shared" si="17"/>
        <v>10</v>
      </c>
      <c r="R228" s="3">
        <f t="shared" si="18"/>
        <v>59</v>
      </c>
      <c r="S228" s="24" t="s">
        <v>1334</v>
      </c>
      <c r="T228" s="24" t="s">
        <v>1334</v>
      </c>
      <c r="U228" s="3"/>
      <c r="V228" s="25" t="s">
        <v>7754</v>
      </c>
      <c r="W228" s="25">
        <v>20124952850</v>
      </c>
      <c r="X228" s="25" t="str">
        <f>IFERROR(VLOOKUP(C_Ope_007[[#This Row],[nota_2]],Clientes_Proveedores[[Ruc / Dni]:[Razon Social]],2,0),"")</f>
        <v>ALIMENTOS Y SERVICIOS AGROPECUARIOS SRL.</v>
      </c>
      <c r="Y228" s="25"/>
      <c r="Z228" s="103"/>
      <c r="AA228" s="3" t="str">
        <f>IF(C_Ope_007[[#This Row],[fecha]]&gt;0,TEXT(C_Ope_007[[#This Row],[fecha]],"mmmm"),0)</f>
        <v>Junio</v>
      </c>
      <c r="AB228" s="49"/>
    </row>
    <row r="229" spans="1:28" x14ac:dyDescent="0.3">
      <c r="A229" s="2">
        <f>IF(C_Ope_007[[#This Row],[tipo_r]]="R",COUNTIFS($C$1:$C228,"R")+1,"")</f>
        <v>228</v>
      </c>
      <c r="B229" s="19" t="str">
        <f t="shared" si="19"/>
        <v>C_Ope_007</v>
      </c>
      <c r="C229" s="3" t="s">
        <v>1330</v>
      </c>
      <c r="D229" s="14">
        <v>45833</v>
      </c>
      <c r="E229" s="5" t="s">
        <v>5259</v>
      </c>
      <c r="F229" s="5" t="s">
        <v>1336</v>
      </c>
      <c r="G229" s="6"/>
      <c r="H229" s="6" t="s">
        <v>68</v>
      </c>
      <c r="I229" s="6"/>
      <c r="J229" s="6"/>
      <c r="K229" s="7" t="s">
        <v>9067</v>
      </c>
      <c r="L229" s="8">
        <v>24705</v>
      </c>
      <c r="M229" s="8" t="str">
        <f t="shared" si="20"/>
        <v>PEN</v>
      </c>
      <c r="N229" s="3"/>
      <c r="O229" s="3">
        <v>0</v>
      </c>
      <c r="P229" s="3">
        <f t="shared" si="16"/>
        <v>0</v>
      </c>
      <c r="Q229" s="3">
        <f t="shared" si="17"/>
        <v>0</v>
      </c>
      <c r="R229" s="3">
        <f t="shared" si="18"/>
        <v>59</v>
      </c>
      <c r="S229" s="24" t="s">
        <v>1334</v>
      </c>
      <c r="T229" s="24" t="s">
        <v>1334</v>
      </c>
      <c r="U229" s="3"/>
      <c r="V229" s="25" t="s">
        <v>8072</v>
      </c>
      <c r="W229" s="25"/>
      <c r="X229" s="25" t="str">
        <f>IFERROR(VLOOKUP(C_Ope_007[[#This Row],[nota_2]],Clientes_Proveedores[[Ruc / Dni]:[Razon Social]],2,0),"")</f>
        <v/>
      </c>
      <c r="Y229" s="25"/>
      <c r="Z229" s="103"/>
      <c r="AA229" s="3" t="str">
        <f>IF(C_Ope_007[[#This Row],[fecha]]&gt;0,TEXT(C_Ope_007[[#This Row],[fecha]],"mmmm"),0)</f>
        <v>Junio</v>
      </c>
      <c r="AB229" s="49"/>
    </row>
    <row r="230" spans="1:28" ht="24" x14ac:dyDescent="0.3">
      <c r="A230" s="2">
        <f>IF(C_Ope_007[[#This Row],[tipo_r]]="R",COUNTIFS($C$1:$C229,"R")+1,"")</f>
        <v>229</v>
      </c>
      <c r="B230" s="19" t="str">
        <f t="shared" si="19"/>
        <v>C_Ope_007</v>
      </c>
      <c r="C230" s="3" t="s">
        <v>1330</v>
      </c>
      <c r="D230" s="14">
        <v>45839</v>
      </c>
      <c r="E230" s="5" t="s">
        <v>7514</v>
      </c>
      <c r="F230" s="5" t="s">
        <v>1303</v>
      </c>
      <c r="G230" s="6" t="s">
        <v>692</v>
      </c>
      <c r="H230" s="6"/>
      <c r="I230" s="6"/>
      <c r="J230" s="6"/>
      <c r="K230" s="7" t="s">
        <v>7516</v>
      </c>
      <c r="L230" s="8">
        <v>24774</v>
      </c>
      <c r="M230" s="8" t="str">
        <f t="shared" si="20"/>
        <v>PEN</v>
      </c>
      <c r="N230" s="13"/>
      <c r="O230" s="13">
        <v>150</v>
      </c>
      <c r="P230" s="3">
        <f t="shared" si="16"/>
        <v>150</v>
      </c>
      <c r="Q230" s="3">
        <f t="shared" si="17"/>
        <v>0</v>
      </c>
      <c r="R230" s="3">
        <f t="shared" si="18"/>
        <v>209</v>
      </c>
      <c r="S230" s="24" t="s">
        <v>1334</v>
      </c>
      <c r="T230" s="24" t="s">
        <v>1334</v>
      </c>
      <c r="U230" s="3"/>
      <c r="V230" s="25"/>
      <c r="W230" s="25"/>
      <c r="X230" s="25" t="str">
        <f>IFERROR(VLOOKUP(C_Ope_007[[#This Row],[nota_2]],Clientes_Proveedores[[Ruc / Dni]:[Razon Social]],2,0),"")</f>
        <v/>
      </c>
      <c r="Y230" s="25"/>
      <c r="Z230" s="103"/>
      <c r="AA230" s="3" t="str">
        <f>IF(C_Ope_007[[#This Row],[fecha]]&gt;0,TEXT(C_Ope_007[[#This Row],[fecha]],"mmmm"),0)</f>
        <v>Julio</v>
      </c>
      <c r="AB230" s="49"/>
    </row>
    <row r="231" spans="1:28" ht="24" x14ac:dyDescent="0.3">
      <c r="A231" s="2">
        <f>IF(C_Ope_007[[#This Row],[tipo_r]]="R",COUNTIFS($C$1:$C230,"R")+1,"")</f>
        <v>230</v>
      </c>
      <c r="B231" s="19" t="str">
        <f t="shared" ref="B231:B239" si="21">"C_Ope_007"</f>
        <v>C_Ope_007</v>
      </c>
      <c r="C231" s="3" t="s">
        <v>1330</v>
      </c>
      <c r="D231" s="14">
        <v>45839</v>
      </c>
      <c r="E231" s="5" t="s">
        <v>5259</v>
      </c>
      <c r="F231" s="5" t="s">
        <v>1336</v>
      </c>
      <c r="G231" s="6" t="s">
        <v>978</v>
      </c>
      <c r="H231" s="6" t="s">
        <v>68</v>
      </c>
      <c r="I231" s="6" t="s">
        <v>6204</v>
      </c>
      <c r="J231" s="6">
        <v>1773706</v>
      </c>
      <c r="K231" s="7" t="s">
        <v>9068</v>
      </c>
      <c r="L231" s="8">
        <v>24974</v>
      </c>
      <c r="M231" s="8" t="str">
        <f t="shared" ref="M231:M239" si="22">"PEN"</f>
        <v>PEN</v>
      </c>
      <c r="N231" s="13"/>
      <c r="O231" s="13">
        <v>8</v>
      </c>
      <c r="P231" s="3">
        <f t="shared" ref="P231:P239" si="23">+IF(OR($F231="SALDO",$F231="INGRESO"),$O231,0)</f>
        <v>0</v>
      </c>
      <c r="Q231" s="3">
        <f t="shared" ref="Q231:Q239" si="24">+IF($F231="EGRESO",$O231,0)</f>
        <v>8</v>
      </c>
      <c r="R231" s="3">
        <f t="shared" si="18"/>
        <v>201</v>
      </c>
      <c r="S231" s="24" t="s">
        <v>1334</v>
      </c>
      <c r="T231" s="24" t="s">
        <v>1334</v>
      </c>
      <c r="U231" s="3"/>
      <c r="V231" s="25" t="s">
        <v>7756</v>
      </c>
      <c r="W231" s="25">
        <v>20517252558</v>
      </c>
      <c r="X231" s="25" t="str">
        <f>IFERROR(VLOOKUP(C_Ope_007[[#This Row],[nota_2]],Clientes_Proveedores[[Ruc / Dni]:[Razon Social]],2,0),"")</f>
        <v>COVISUR S.A.</v>
      </c>
      <c r="Y231" s="25"/>
      <c r="Z231" s="103"/>
      <c r="AA231" s="3" t="str">
        <f>IF(C_Ope_007[[#This Row],[fecha]]&gt;0,TEXT(C_Ope_007[[#This Row],[fecha]],"mmmm"),0)</f>
        <v>Julio</v>
      </c>
      <c r="AB231" s="49"/>
    </row>
    <row r="232" spans="1:28" ht="24" x14ac:dyDescent="0.3">
      <c r="A232" s="2">
        <f>IF(C_Ope_007[[#This Row],[tipo_r]]="R",COUNTIFS($C$1:$C231,"R")+1,"")</f>
        <v>231</v>
      </c>
      <c r="B232" s="19" t="str">
        <f t="shared" si="21"/>
        <v>C_Ope_007</v>
      </c>
      <c r="C232" s="3" t="s">
        <v>1330</v>
      </c>
      <c r="D232" s="14">
        <v>45839</v>
      </c>
      <c r="E232" s="5" t="s">
        <v>5259</v>
      </c>
      <c r="F232" s="5" t="s">
        <v>1336</v>
      </c>
      <c r="G232" s="6" t="s">
        <v>978</v>
      </c>
      <c r="H232" s="6" t="s">
        <v>68</v>
      </c>
      <c r="I232" s="6" t="s">
        <v>6245</v>
      </c>
      <c r="J232" s="6">
        <v>991569</v>
      </c>
      <c r="K232" s="7" t="s">
        <v>9069</v>
      </c>
      <c r="L232" s="8">
        <v>24975</v>
      </c>
      <c r="M232" s="8" t="str">
        <f t="shared" si="22"/>
        <v>PEN</v>
      </c>
      <c r="N232" s="13"/>
      <c r="O232" s="13">
        <v>8</v>
      </c>
      <c r="P232" s="3">
        <f t="shared" si="23"/>
        <v>0</v>
      </c>
      <c r="Q232" s="3">
        <f t="shared" si="24"/>
        <v>8</v>
      </c>
      <c r="R232" s="3">
        <f t="shared" si="18"/>
        <v>193</v>
      </c>
      <c r="S232" s="24" t="s">
        <v>1334</v>
      </c>
      <c r="T232" s="24" t="s">
        <v>1334</v>
      </c>
      <c r="U232" s="3"/>
      <c r="V232" s="25" t="s">
        <v>7756</v>
      </c>
      <c r="W232" s="25">
        <v>20517252558</v>
      </c>
      <c r="X232" s="25" t="str">
        <f>IFERROR(VLOOKUP(C_Ope_007[[#This Row],[nota_2]],Clientes_Proveedores[[Ruc / Dni]:[Razon Social]],2,0),"")</f>
        <v>COVISUR S.A.</v>
      </c>
      <c r="Y232" s="25"/>
      <c r="Z232" s="103"/>
      <c r="AA232" s="3" t="str">
        <f>IF(C_Ope_007[[#This Row],[fecha]]&gt;0,TEXT(C_Ope_007[[#This Row],[fecha]],"mmmm"),0)</f>
        <v>Julio</v>
      </c>
      <c r="AB232" s="49"/>
    </row>
    <row r="233" spans="1:28" ht="24" x14ac:dyDescent="0.3">
      <c r="A233" s="2">
        <f>IF(C_Ope_007[[#This Row],[tipo_r]]="R",COUNTIFS($C$1:$C232,"R")+1,"")</f>
        <v>232</v>
      </c>
      <c r="B233" s="19" t="str">
        <f t="shared" si="21"/>
        <v>C_Ope_007</v>
      </c>
      <c r="C233" s="3" t="s">
        <v>1330</v>
      </c>
      <c r="D233" s="14">
        <v>45839</v>
      </c>
      <c r="E233" s="5" t="s">
        <v>5259</v>
      </c>
      <c r="F233" s="5" t="s">
        <v>1336</v>
      </c>
      <c r="G233" s="6" t="s">
        <v>978</v>
      </c>
      <c r="H233" s="6" t="s">
        <v>68</v>
      </c>
      <c r="I233" s="6" t="s">
        <v>6244</v>
      </c>
      <c r="J233" s="6">
        <v>1083556</v>
      </c>
      <c r="K233" s="7" t="s">
        <v>9069</v>
      </c>
      <c r="L233" s="8">
        <v>24976</v>
      </c>
      <c r="M233" s="8" t="str">
        <f t="shared" si="22"/>
        <v>PEN</v>
      </c>
      <c r="N233" s="13"/>
      <c r="O233" s="13">
        <v>8</v>
      </c>
      <c r="P233" s="3">
        <f t="shared" si="23"/>
        <v>0</v>
      </c>
      <c r="Q233" s="3">
        <f t="shared" si="24"/>
        <v>8</v>
      </c>
      <c r="R233" s="3">
        <f t="shared" si="18"/>
        <v>185</v>
      </c>
      <c r="S233" s="24" t="s">
        <v>1334</v>
      </c>
      <c r="T233" s="24" t="s">
        <v>1334</v>
      </c>
      <c r="U233" s="3"/>
      <c r="V233" s="25" t="s">
        <v>7756</v>
      </c>
      <c r="W233" s="25">
        <v>20517252558</v>
      </c>
      <c r="X233" s="25" t="str">
        <f>IFERROR(VLOOKUP(C_Ope_007[[#This Row],[nota_2]],Clientes_Proveedores[[Ruc / Dni]:[Razon Social]],2,0),"")</f>
        <v>COVISUR S.A.</v>
      </c>
      <c r="Y233" s="25"/>
      <c r="Z233" s="103"/>
      <c r="AA233" s="3" t="str">
        <f>IF(C_Ope_007[[#This Row],[fecha]]&gt;0,TEXT(C_Ope_007[[#This Row],[fecha]],"mmmm"),0)</f>
        <v>Julio</v>
      </c>
      <c r="AB233" s="49"/>
    </row>
    <row r="234" spans="1:28" ht="24" x14ac:dyDescent="0.3">
      <c r="A234" s="2">
        <f>IF(C_Ope_007[[#This Row],[tipo_r]]="R",COUNTIFS($C$1:$C233,"R")+1,"")</f>
        <v>233</v>
      </c>
      <c r="B234" s="19" t="str">
        <f t="shared" si="21"/>
        <v>C_Ope_007</v>
      </c>
      <c r="C234" s="3" t="s">
        <v>1330</v>
      </c>
      <c r="D234" s="14">
        <v>45839</v>
      </c>
      <c r="E234" s="5" t="s">
        <v>5259</v>
      </c>
      <c r="F234" s="5" t="s">
        <v>1336</v>
      </c>
      <c r="G234" s="6" t="s">
        <v>978</v>
      </c>
      <c r="H234" s="6" t="s">
        <v>68</v>
      </c>
      <c r="I234" s="6" t="s">
        <v>5845</v>
      </c>
      <c r="J234" s="6">
        <v>1794127</v>
      </c>
      <c r="K234" s="7" t="s">
        <v>9068</v>
      </c>
      <c r="L234" s="8">
        <v>24977</v>
      </c>
      <c r="M234" s="8" t="str">
        <f t="shared" si="22"/>
        <v>PEN</v>
      </c>
      <c r="N234" s="13"/>
      <c r="O234" s="13">
        <v>8</v>
      </c>
      <c r="P234" s="3">
        <f t="shared" si="23"/>
        <v>0</v>
      </c>
      <c r="Q234" s="3">
        <f t="shared" si="24"/>
        <v>8</v>
      </c>
      <c r="R234" s="3">
        <f t="shared" si="18"/>
        <v>177</v>
      </c>
      <c r="S234" s="24" t="s">
        <v>1334</v>
      </c>
      <c r="T234" s="24" t="s">
        <v>1334</v>
      </c>
      <c r="U234" s="3"/>
      <c r="V234" s="25" t="s">
        <v>7756</v>
      </c>
      <c r="W234" s="25">
        <v>20517252558</v>
      </c>
      <c r="X234" s="25" t="str">
        <f>IFERROR(VLOOKUP(C_Ope_007[[#This Row],[nota_2]],Clientes_Proveedores[[Ruc / Dni]:[Razon Social]],2,0),"")</f>
        <v>COVISUR S.A.</v>
      </c>
      <c r="Y234" s="25"/>
      <c r="Z234" s="103"/>
      <c r="AA234" s="3" t="str">
        <f>IF(C_Ope_007[[#This Row],[fecha]]&gt;0,TEXT(C_Ope_007[[#This Row],[fecha]],"mmmm"),0)</f>
        <v>Julio</v>
      </c>
      <c r="AB234" s="49"/>
    </row>
    <row r="235" spans="1:28" ht="24" x14ac:dyDescent="0.3">
      <c r="A235" s="2">
        <f>IF(C_Ope_007[[#This Row],[tipo_r]]="R",COUNTIFS($C$1:$C234,"R")+1,"")</f>
        <v>234</v>
      </c>
      <c r="B235" s="19" t="str">
        <f t="shared" si="21"/>
        <v>C_Ope_007</v>
      </c>
      <c r="C235" s="3" t="s">
        <v>1330</v>
      </c>
      <c r="D235" s="14">
        <v>45854</v>
      </c>
      <c r="E235" s="5" t="s">
        <v>5259</v>
      </c>
      <c r="F235" s="5" t="s">
        <v>1336</v>
      </c>
      <c r="G235" s="6" t="s">
        <v>978</v>
      </c>
      <c r="H235" s="6" t="s">
        <v>68</v>
      </c>
      <c r="I235" s="6" t="s">
        <v>6204</v>
      </c>
      <c r="J235" s="6">
        <v>1785373</v>
      </c>
      <c r="K235" s="7" t="s">
        <v>9070</v>
      </c>
      <c r="L235" s="8">
        <v>24978</v>
      </c>
      <c r="M235" s="8" t="str">
        <f t="shared" si="22"/>
        <v>PEN</v>
      </c>
      <c r="N235" s="13"/>
      <c r="O235" s="13">
        <v>8</v>
      </c>
      <c r="P235" s="3">
        <f t="shared" si="23"/>
        <v>0</v>
      </c>
      <c r="Q235" s="3">
        <f t="shared" si="24"/>
        <v>8</v>
      </c>
      <c r="R235" s="3">
        <f t="shared" si="18"/>
        <v>169</v>
      </c>
      <c r="S235" s="24" t="s">
        <v>1334</v>
      </c>
      <c r="T235" s="24" t="s">
        <v>1334</v>
      </c>
      <c r="U235" s="3"/>
      <c r="V235" s="25" t="s">
        <v>7842</v>
      </c>
      <c r="W235" s="25">
        <v>20517252558</v>
      </c>
      <c r="X235" s="25" t="str">
        <f>IFERROR(VLOOKUP(C_Ope_007[[#This Row],[nota_2]],Clientes_Proveedores[[Ruc / Dni]:[Razon Social]],2,0),"")</f>
        <v>COVISUR S.A.</v>
      </c>
      <c r="Y235" s="25"/>
      <c r="Z235" s="103"/>
      <c r="AA235" s="3" t="str">
        <f>IF(C_Ope_007[[#This Row],[fecha]]&gt;0,TEXT(C_Ope_007[[#This Row],[fecha]],"mmmm"),0)</f>
        <v>Julio</v>
      </c>
      <c r="AB235" s="49"/>
    </row>
    <row r="236" spans="1:28" ht="24" x14ac:dyDescent="0.3">
      <c r="A236" s="2">
        <f>IF(C_Ope_007[[#This Row],[tipo_r]]="R",COUNTIFS($C$1:$C235,"R")+1,"")</f>
        <v>235</v>
      </c>
      <c r="B236" s="19" t="str">
        <f t="shared" si="21"/>
        <v>C_Ope_007</v>
      </c>
      <c r="C236" s="3" t="s">
        <v>1330</v>
      </c>
      <c r="D236" s="14">
        <v>45855</v>
      </c>
      <c r="E236" s="5" t="s">
        <v>5259</v>
      </c>
      <c r="F236" s="5" t="s">
        <v>1336</v>
      </c>
      <c r="G236" s="6" t="s">
        <v>978</v>
      </c>
      <c r="H236" s="6" t="s">
        <v>68</v>
      </c>
      <c r="I236" s="6" t="s">
        <v>5688</v>
      </c>
      <c r="J236" s="6">
        <v>2400996</v>
      </c>
      <c r="K236" s="7" t="s">
        <v>9071</v>
      </c>
      <c r="L236" s="8">
        <v>24979</v>
      </c>
      <c r="M236" s="8" t="str">
        <f t="shared" si="22"/>
        <v>PEN</v>
      </c>
      <c r="N236" s="13"/>
      <c r="O236" s="13">
        <v>5</v>
      </c>
      <c r="P236" s="3">
        <f t="shared" si="23"/>
        <v>0</v>
      </c>
      <c r="Q236" s="3">
        <f t="shared" si="24"/>
        <v>5</v>
      </c>
      <c r="R236" s="3">
        <f t="shared" si="18"/>
        <v>164</v>
      </c>
      <c r="S236" s="24" t="s">
        <v>1334</v>
      </c>
      <c r="T236" s="24"/>
      <c r="U236" s="3"/>
      <c r="V236" s="25" t="s">
        <v>7754</v>
      </c>
      <c r="W236" s="25">
        <v>20517252558</v>
      </c>
      <c r="X236" s="25" t="str">
        <f>IFERROR(VLOOKUP(C_Ope_007[[#This Row],[nota_2]],Clientes_Proveedores[[Ruc / Dni]:[Razon Social]],2,0),"")</f>
        <v>COVISUR S.A.</v>
      </c>
      <c r="Y236" s="25"/>
      <c r="Z236" s="103"/>
      <c r="AA236" s="3" t="str">
        <f>IF(C_Ope_007[[#This Row],[fecha]]&gt;0,TEXT(C_Ope_007[[#This Row],[fecha]],"mmmm"),0)</f>
        <v>Julio</v>
      </c>
      <c r="AB236" s="49"/>
    </row>
    <row r="237" spans="1:28" ht="24" x14ac:dyDescent="0.3">
      <c r="A237" s="2">
        <f>IF(C_Ope_007[[#This Row],[tipo_r]]="R",COUNTIFS($C$1:$C236,"R")+1,"")</f>
        <v>236</v>
      </c>
      <c r="B237" s="19" t="str">
        <f t="shared" si="21"/>
        <v>C_Ope_007</v>
      </c>
      <c r="C237" s="3" t="s">
        <v>1330</v>
      </c>
      <c r="D237" s="14">
        <v>45855</v>
      </c>
      <c r="E237" s="5" t="s">
        <v>5259</v>
      </c>
      <c r="F237" s="5" t="s">
        <v>1336</v>
      </c>
      <c r="G237" s="6" t="s">
        <v>978</v>
      </c>
      <c r="H237" s="6" t="s">
        <v>68</v>
      </c>
      <c r="I237" s="6" t="s">
        <v>5845</v>
      </c>
      <c r="J237" s="6">
        <v>1806446</v>
      </c>
      <c r="K237" s="7" t="s">
        <v>9071</v>
      </c>
      <c r="L237" s="8">
        <v>24980</v>
      </c>
      <c r="M237" s="8" t="str">
        <f t="shared" si="22"/>
        <v>PEN</v>
      </c>
      <c r="N237" s="13"/>
      <c r="O237" s="13">
        <v>5</v>
      </c>
      <c r="P237" s="3">
        <f t="shared" si="23"/>
        <v>0</v>
      </c>
      <c r="Q237" s="3">
        <f t="shared" si="24"/>
        <v>5</v>
      </c>
      <c r="R237" s="3">
        <f t="shared" si="18"/>
        <v>159</v>
      </c>
      <c r="S237" s="24" t="s">
        <v>1334</v>
      </c>
      <c r="T237" s="24"/>
      <c r="U237" s="3"/>
      <c r="V237" s="25" t="s">
        <v>7754</v>
      </c>
      <c r="W237" s="25">
        <v>20517252558</v>
      </c>
      <c r="X237" s="25" t="str">
        <f>IFERROR(VLOOKUP(C_Ope_007[[#This Row],[nota_2]],Clientes_Proveedores[[Ruc / Dni]:[Razon Social]],2,0),"")</f>
        <v>COVISUR S.A.</v>
      </c>
      <c r="Y237" s="25"/>
      <c r="Z237" s="103"/>
      <c r="AA237" s="3" t="str">
        <f>IF(C_Ope_007[[#This Row],[fecha]]&gt;0,TEXT(C_Ope_007[[#This Row],[fecha]],"mmmm"),0)</f>
        <v>Julio</v>
      </c>
      <c r="AB237" s="49"/>
    </row>
    <row r="238" spans="1:28" ht="36" x14ac:dyDescent="0.3">
      <c r="A238" s="2">
        <f>IF(C_Ope_007[[#This Row],[tipo_r]]="R",COUNTIFS($C$1:$C237,"R")+1,"")</f>
        <v>237</v>
      </c>
      <c r="B238" s="19" t="str">
        <f t="shared" si="21"/>
        <v>C_Ope_007</v>
      </c>
      <c r="C238" s="3" t="s">
        <v>1330</v>
      </c>
      <c r="D238" s="14">
        <v>45848</v>
      </c>
      <c r="E238" s="5" t="s">
        <v>5259</v>
      </c>
      <c r="F238" s="5" t="s">
        <v>1336</v>
      </c>
      <c r="G238" s="6" t="s">
        <v>227</v>
      </c>
      <c r="H238" s="6" t="s">
        <v>68</v>
      </c>
      <c r="I238" s="6" t="s">
        <v>1390</v>
      </c>
      <c r="J238" s="6">
        <v>134004</v>
      </c>
      <c r="K238" s="7" t="s">
        <v>9072</v>
      </c>
      <c r="L238" s="8">
        <v>24981</v>
      </c>
      <c r="M238" s="8" t="str">
        <f t="shared" si="22"/>
        <v>PEN</v>
      </c>
      <c r="N238" s="13"/>
      <c r="O238" s="13">
        <v>10</v>
      </c>
      <c r="P238" s="3">
        <f t="shared" si="23"/>
        <v>0</v>
      </c>
      <c r="Q238" s="3">
        <f t="shared" si="24"/>
        <v>10</v>
      </c>
      <c r="R238" s="3">
        <f t="shared" si="18"/>
        <v>149</v>
      </c>
      <c r="S238" s="24" t="s">
        <v>1334</v>
      </c>
      <c r="T238" s="24" t="s">
        <v>1334</v>
      </c>
      <c r="U238" s="3"/>
      <c r="V238" s="25" t="s">
        <v>8119</v>
      </c>
      <c r="W238" s="25">
        <v>20124952850</v>
      </c>
      <c r="X238" s="25" t="str">
        <f>IFERROR(VLOOKUP(C_Ope_007[[#This Row],[nota_2]],Clientes_Proveedores[[Ruc / Dni]:[Razon Social]],2,0),"")</f>
        <v>ALIMENTOS Y SERVICIOS AGROPECUARIOS SRL.</v>
      </c>
      <c r="Y238" s="25"/>
      <c r="Z238" s="103"/>
      <c r="AA238" s="3" t="str">
        <f>IF(C_Ope_007[[#This Row],[fecha]]&gt;0,TEXT(C_Ope_007[[#This Row],[fecha]],"mmmm"),0)</f>
        <v>Julio</v>
      </c>
      <c r="AB238" s="49"/>
    </row>
    <row r="239" spans="1:28" x14ac:dyDescent="0.3">
      <c r="A239" s="2">
        <f>IF(C_Ope_007[[#This Row],[tipo_r]]="R",COUNTIFS($C$1:$C238,"R")+1,"")</f>
        <v>238</v>
      </c>
      <c r="B239" s="19" t="str">
        <f t="shared" si="21"/>
        <v>C_Ope_007</v>
      </c>
      <c r="C239" s="3" t="s">
        <v>1330</v>
      </c>
      <c r="D239" s="14">
        <v>45855</v>
      </c>
      <c r="E239" s="5" t="s">
        <v>5259</v>
      </c>
      <c r="F239" s="5" t="s">
        <v>1336</v>
      </c>
      <c r="G239" s="6" t="s">
        <v>1009</v>
      </c>
      <c r="H239" s="6" t="s">
        <v>126</v>
      </c>
      <c r="I239" s="6"/>
      <c r="J239" s="6">
        <v>24982</v>
      </c>
      <c r="K239" s="7" t="s">
        <v>9073</v>
      </c>
      <c r="L239" s="8">
        <v>24982</v>
      </c>
      <c r="M239" s="8" t="str">
        <f t="shared" si="22"/>
        <v>PEN</v>
      </c>
      <c r="N239" s="13"/>
      <c r="O239" s="13">
        <v>12</v>
      </c>
      <c r="P239" s="3">
        <f t="shared" si="23"/>
        <v>0</v>
      </c>
      <c r="Q239" s="3">
        <f t="shared" si="24"/>
        <v>12</v>
      </c>
      <c r="R239" s="3">
        <f t="shared" si="18"/>
        <v>137</v>
      </c>
      <c r="S239" s="24" t="s">
        <v>1334</v>
      </c>
      <c r="T239" s="24"/>
      <c r="U239" s="3"/>
      <c r="V239" s="25"/>
      <c r="W239" s="25"/>
      <c r="X239" s="25" t="str">
        <f>IFERROR(VLOOKUP(C_Ope_007[[#This Row],[nota_2]],Clientes_Proveedores[[Ruc / Dni]:[Razon Social]],2,0),"")</f>
        <v/>
      </c>
      <c r="Y239" s="25"/>
      <c r="Z239" s="103"/>
      <c r="AA239" s="3" t="str">
        <f>IF(C_Ope_007[[#This Row],[fecha]]&gt;0,TEXT(C_Ope_007[[#This Row],[fecha]],"mmmm"),0)</f>
        <v>Julio</v>
      </c>
      <c r="AB239" s="49"/>
    </row>
    <row r="240" spans="1:28" ht="24" x14ac:dyDescent="0.3">
      <c r="A240" s="2">
        <f>IF(C_Ope_007[[#This Row],[tipo_r]]="R",COUNTIFS($C$1:$C239,"R")+1,"")</f>
        <v>239</v>
      </c>
      <c r="B240" s="19" t="str">
        <f t="shared" ref="B240:B247" si="25">"C_Ope_007"</f>
        <v>C_Ope_007</v>
      </c>
      <c r="C240" s="3" t="s">
        <v>1330</v>
      </c>
      <c r="D240" s="14">
        <v>45859</v>
      </c>
      <c r="E240" s="5" t="s">
        <v>5259</v>
      </c>
      <c r="F240" s="5" t="s">
        <v>1336</v>
      </c>
      <c r="G240" s="6" t="s">
        <v>978</v>
      </c>
      <c r="H240" s="6" t="s">
        <v>68</v>
      </c>
      <c r="I240" s="6" t="s">
        <v>6204</v>
      </c>
      <c r="J240" s="6">
        <v>1790082</v>
      </c>
      <c r="K240" s="7" t="s">
        <v>9074</v>
      </c>
      <c r="L240" s="8">
        <v>25076</v>
      </c>
      <c r="M240" s="8" t="str">
        <f t="shared" ref="M240:M247" si="26">"PEN"</f>
        <v>PEN</v>
      </c>
      <c r="N240" s="13"/>
      <c r="O240" s="13">
        <v>8</v>
      </c>
      <c r="P240" s="3">
        <f t="shared" ref="P240:P247" si="27">+IF(OR($F240="SALDO",$F240="INGRESO"),$O240,0)</f>
        <v>0</v>
      </c>
      <c r="Q240" s="3">
        <f t="shared" ref="Q240:Q247" si="28">+IF($F240="EGRESO",$O240,0)</f>
        <v>8</v>
      </c>
      <c r="R240" s="13">
        <f t="shared" si="18"/>
        <v>129</v>
      </c>
      <c r="S240" s="24" t="s">
        <v>1334</v>
      </c>
      <c r="T240" s="24"/>
      <c r="U240" s="3"/>
      <c r="V240" s="25" t="s">
        <v>7756</v>
      </c>
      <c r="W240" s="25">
        <v>20517252558</v>
      </c>
      <c r="X240" s="25" t="str">
        <f>IFERROR(VLOOKUP(C_Ope_007[[#This Row],[nota_2]],Clientes_Proveedores[[Ruc / Dni]:[Razon Social]],2,0),"")</f>
        <v>COVISUR S.A.</v>
      </c>
      <c r="Y240" s="25" t="s">
        <v>7888</v>
      </c>
      <c r="Z240" s="103"/>
      <c r="AA240" s="3" t="str">
        <f>IF(C_Ope_007[[#This Row],[fecha]]&gt;0,TEXT(C_Ope_007[[#This Row],[fecha]],"mmmm"),0)</f>
        <v>Julio</v>
      </c>
      <c r="AB240" s="49"/>
    </row>
    <row r="241" spans="1:28" ht="24" x14ac:dyDescent="0.3">
      <c r="A241" s="2">
        <f>IF(C_Ope_007[[#This Row],[tipo_r]]="R",COUNTIFS($C$1:$C240,"R")+1,"")</f>
        <v>240</v>
      </c>
      <c r="B241" s="19" t="str">
        <f t="shared" si="25"/>
        <v>C_Ope_007</v>
      </c>
      <c r="C241" s="3" t="s">
        <v>1330</v>
      </c>
      <c r="D241" s="14">
        <v>45863</v>
      </c>
      <c r="E241" s="5" t="s">
        <v>5840</v>
      </c>
      <c r="F241" s="5" t="s">
        <v>1336</v>
      </c>
      <c r="G241" s="6" t="s">
        <v>1009</v>
      </c>
      <c r="H241" s="6" t="s">
        <v>126</v>
      </c>
      <c r="I241" s="6"/>
      <c r="J241" s="6">
        <v>25110</v>
      </c>
      <c r="K241" s="7" t="s">
        <v>9075</v>
      </c>
      <c r="L241" s="8">
        <v>25110</v>
      </c>
      <c r="M241" s="8" t="str">
        <f t="shared" si="26"/>
        <v>PEN</v>
      </c>
      <c r="N241" s="13"/>
      <c r="O241" s="13">
        <v>10</v>
      </c>
      <c r="P241" s="3">
        <f t="shared" si="27"/>
        <v>0</v>
      </c>
      <c r="Q241" s="3">
        <f t="shared" si="28"/>
        <v>10</v>
      </c>
      <c r="R241" s="3">
        <f t="shared" si="18"/>
        <v>119</v>
      </c>
      <c r="S241" s="24" t="s">
        <v>1334</v>
      </c>
      <c r="T241" s="24"/>
      <c r="U241" s="3"/>
      <c r="V241" s="25" t="s">
        <v>8072</v>
      </c>
      <c r="W241" s="25"/>
      <c r="X241" s="25" t="str">
        <f>IFERROR(VLOOKUP(C_Ope_007[[#This Row],[nota_2]],Clientes_Proveedores[[Ruc / Dni]:[Razon Social]],2,0),"")</f>
        <v/>
      </c>
      <c r="Y241" s="25" t="s">
        <v>5933</v>
      </c>
      <c r="Z241" s="103"/>
      <c r="AA241" s="3" t="str">
        <f>IF(C_Ope_007[[#This Row],[fecha]]&gt;0,TEXT(C_Ope_007[[#This Row],[fecha]],"mmmm"),0)</f>
        <v>Julio</v>
      </c>
      <c r="AB241" s="49"/>
    </row>
    <row r="242" spans="1:28" ht="24" x14ac:dyDescent="0.3">
      <c r="A242" s="2">
        <f>IF(C_Ope_007[[#This Row],[tipo_r]]="R",COUNTIFS($C$1:$C241,"R")+1,"")</f>
        <v>241</v>
      </c>
      <c r="B242" s="19" t="str">
        <f t="shared" si="25"/>
        <v>C_Ope_007</v>
      </c>
      <c r="C242" s="3" t="s">
        <v>1330</v>
      </c>
      <c r="D242" s="14">
        <v>45874</v>
      </c>
      <c r="E242" s="5" t="s">
        <v>5840</v>
      </c>
      <c r="F242" s="5" t="s">
        <v>1336</v>
      </c>
      <c r="G242" s="6" t="s">
        <v>978</v>
      </c>
      <c r="H242" s="6" t="s">
        <v>68</v>
      </c>
      <c r="I242" s="6" t="s">
        <v>6204</v>
      </c>
      <c r="J242" s="6">
        <v>1803237</v>
      </c>
      <c r="K242" s="7" t="s">
        <v>9076</v>
      </c>
      <c r="L242" s="8">
        <v>25107</v>
      </c>
      <c r="M242" s="8" t="str">
        <f t="shared" si="26"/>
        <v>PEN</v>
      </c>
      <c r="N242" s="13"/>
      <c r="O242" s="13">
        <v>8</v>
      </c>
      <c r="P242" s="3">
        <f t="shared" si="27"/>
        <v>0</v>
      </c>
      <c r="Q242" s="3">
        <f>+IF($F242="EGRESO",$O242,0)</f>
        <v>8</v>
      </c>
      <c r="R242" s="3">
        <f t="shared" si="18"/>
        <v>111</v>
      </c>
      <c r="S242" s="24" t="s">
        <v>1334</v>
      </c>
      <c r="T242" s="24"/>
      <c r="U242" s="3"/>
      <c r="V242" s="25" t="s">
        <v>7761</v>
      </c>
      <c r="W242" s="25">
        <v>20517252558</v>
      </c>
      <c r="X242" s="25" t="str">
        <f>IFERROR(VLOOKUP(C_Ope_007[[#This Row],[nota_2]],Clientes_Proveedores[[Ruc / Dni]:[Razon Social]],2,0),"")</f>
        <v>COVISUR S.A.</v>
      </c>
      <c r="Y242" s="25" t="s">
        <v>7888</v>
      </c>
      <c r="Z242" s="103"/>
      <c r="AA242" s="3" t="str">
        <f>IF(C_Ope_007[[#This Row],[fecha]]&gt;0,TEXT(C_Ope_007[[#This Row],[fecha]],"mmmm"),0)</f>
        <v>Agosto</v>
      </c>
      <c r="AB242" s="49"/>
    </row>
    <row r="243" spans="1:28" ht="24" x14ac:dyDescent="0.3">
      <c r="A243" s="2">
        <f>IF(C_Ope_007[[#This Row],[tipo_r]]="R",COUNTIFS($C$1:$C242,"R")+1,"")</f>
        <v>242</v>
      </c>
      <c r="B243" s="19" t="str">
        <f t="shared" si="25"/>
        <v>C_Ope_007</v>
      </c>
      <c r="C243" s="3" t="s">
        <v>1330</v>
      </c>
      <c r="D243" s="14">
        <v>45874</v>
      </c>
      <c r="E243" s="5" t="s">
        <v>5840</v>
      </c>
      <c r="F243" s="5" t="s">
        <v>1336</v>
      </c>
      <c r="G243" s="6" t="s">
        <v>978</v>
      </c>
      <c r="H243" s="6" t="s">
        <v>68</v>
      </c>
      <c r="I243" s="6" t="s">
        <v>5845</v>
      </c>
      <c r="J243" s="6">
        <v>1823633</v>
      </c>
      <c r="K243" s="7" t="s">
        <v>9077</v>
      </c>
      <c r="L243" s="8">
        <v>25141</v>
      </c>
      <c r="M243" s="8" t="str">
        <f t="shared" si="26"/>
        <v>PEN</v>
      </c>
      <c r="N243" s="13"/>
      <c r="O243" s="13">
        <v>8</v>
      </c>
      <c r="P243" s="3">
        <f t="shared" si="27"/>
        <v>0</v>
      </c>
      <c r="Q243" s="3">
        <f t="shared" si="28"/>
        <v>8</v>
      </c>
      <c r="R243" s="3">
        <f t="shared" si="18"/>
        <v>103</v>
      </c>
      <c r="S243" s="24" t="s">
        <v>1334</v>
      </c>
      <c r="T243" s="24"/>
      <c r="U243" s="3"/>
      <c r="V243" s="25" t="s">
        <v>7761</v>
      </c>
      <c r="W243" s="25">
        <v>20517252558</v>
      </c>
      <c r="X243" s="25" t="str">
        <f>IFERROR(VLOOKUP(C_Ope_007[[#This Row],[nota_2]],Clientes_Proveedores[[Ruc / Dni]:[Razon Social]],2,0),"")</f>
        <v>COVISUR S.A.</v>
      </c>
      <c r="Y243" s="25" t="s">
        <v>7888</v>
      </c>
      <c r="Z243" s="103"/>
      <c r="AA243" s="3" t="str">
        <f>IF(C_Ope_007[[#This Row],[fecha]]&gt;0,TEXT(C_Ope_007[[#This Row],[fecha]],"mmmm"),0)</f>
        <v>Agosto</v>
      </c>
      <c r="AB243" s="49"/>
    </row>
    <row r="244" spans="1:28" ht="36" x14ac:dyDescent="0.3">
      <c r="A244" s="2">
        <f>IF(C_Ope_007[[#This Row],[tipo_r]]="R",COUNTIFS($C$1:$C243,"R")+1,"")</f>
        <v>243</v>
      </c>
      <c r="B244" s="19" t="str">
        <f t="shared" si="25"/>
        <v>C_Ope_007</v>
      </c>
      <c r="C244" s="3" t="s">
        <v>1330</v>
      </c>
      <c r="D244" s="14">
        <v>45873</v>
      </c>
      <c r="E244" s="5" t="s">
        <v>5840</v>
      </c>
      <c r="F244" s="5" t="s">
        <v>1336</v>
      </c>
      <c r="G244" s="6" t="s">
        <v>1029</v>
      </c>
      <c r="H244" s="6" t="s">
        <v>68</v>
      </c>
      <c r="I244" s="6" t="s">
        <v>1374</v>
      </c>
      <c r="J244" s="6">
        <v>18114</v>
      </c>
      <c r="K244" s="7" t="s">
        <v>9078</v>
      </c>
      <c r="L244" s="8">
        <v>25109</v>
      </c>
      <c r="M244" s="8" t="str">
        <f t="shared" si="26"/>
        <v>PEN</v>
      </c>
      <c r="N244" s="13"/>
      <c r="O244" s="13">
        <v>11</v>
      </c>
      <c r="P244" s="3">
        <f t="shared" si="27"/>
        <v>0</v>
      </c>
      <c r="Q244" s="3">
        <f t="shared" si="28"/>
        <v>11</v>
      </c>
      <c r="R244" s="3">
        <f t="shared" si="18"/>
        <v>92</v>
      </c>
      <c r="S244" s="24" t="s">
        <v>1334</v>
      </c>
      <c r="T244" s="24"/>
      <c r="U244" s="3"/>
      <c r="V244" s="25" t="s">
        <v>8072</v>
      </c>
      <c r="W244" s="25">
        <v>20454058187</v>
      </c>
      <c r="X244" s="25" t="str">
        <f>IFERROR(VLOOKUP(C_Ope_007[[#This Row],[nota_2]],Clientes_Proveedores[[Ruc / Dni]:[Razon Social]],2,0),"")</f>
        <v>ZONA ESPECIAL DE DESARROLLO ZED MATARANI</v>
      </c>
      <c r="Y244" s="25" t="s">
        <v>5933</v>
      </c>
      <c r="Z244" s="103"/>
      <c r="AA244" s="3" t="str">
        <f>IF(C_Ope_007[[#This Row],[fecha]]&gt;0,TEXT(C_Ope_007[[#This Row],[fecha]],"mmmm"),0)</f>
        <v>Agosto</v>
      </c>
      <c r="AB244" s="49"/>
    </row>
    <row r="245" spans="1:28" ht="24" x14ac:dyDescent="0.3">
      <c r="A245" s="2">
        <f>IF(C_Ope_007[[#This Row],[tipo_r]]="R",COUNTIFS($C$1:$C244,"R")+1,"")</f>
        <v>244</v>
      </c>
      <c r="B245" s="19" t="str">
        <f>"C_Ope_007"</f>
        <v>C_Ope_007</v>
      </c>
      <c r="C245" s="3" t="s">
        <v>1330</v>
      </c>
      <c r="D245" s="14">
        <v>45882</v>
      </c>
      <c r="E245" s="5" t="s">
        <v>3634</v>
      </c>
      <c r="F245" s="5" t="s">
        <v>1303</v>
      </c>
      <c r="G245" s="6" t="s">
        <v>918</v>
      </c>
      <c r="H245" s="6"/>
      <c r="I245" s="6"/>
      <c r="J245" s="6"/>
      <c r="K245" s="7" t="s">
        <v>7516</v>
      </c>
      <c r="L245" s="8">
        <v>25901</v>
      </c>
      <c r="M245" s="8" t="str">
        <f>"PEN"</f>
        <v>PEN</v>
      </c>
      <c r="N245" s="13"/>
      <c r="O245" s="13">
        <v>150</v>
      </c>
      <c r="P245" s="3">
        <f>+IF(OR($F245="SALDO",$F245="INGRESO"),$O245,0)</f>
        <v>150</v>
      </c>
      <c r="Q245" s="3">
        <f>+IF($F245="EGRESO",$O245,0)</f>
        <v>0</v>
      </c>
      <c r="R245" s="3">
        <f t="shared" si="18"/>
        <v>242</v>
      </c>
      <c r="S245" s="24"/>
      <c r="T245" s="24"/>
      <c r="U245" s="3"/>
      <c r="V245" s="25"/>
      <c r="W245" s="25"/>
      <c r="X245" s="25" t="str">
        <f>IFERROR(VLOOKUP(C_Ope_007[[#This Row],[nota_2]],Clientes_Proveedores[[Ruc / Dni]:[Razon Social]],2,0),"")</f>
        <v/>
      </c>
      <c r="Y245" s="25"/>
      <c r="Z245" s="103"/>
      <c r="AA245" s="3" t="str">
        <f>IF(C_Ope_007[[#This Row],[fecha]]&gt;0,TEXT(C_Ope_007[[#This Row],[fecha]],"mmmm"),0)</f>
        <v>Agosto</v>
      </c>
      <c r="AB245" s="49"/>
    </row>
    <row r="246" spans="1:28" ht="36" x14ac:dyDescent="0.3">
      <c r="A246" s="2">
        <f>IF(C_Ope_007[[#This Row],[tipo_r]]="R",COUNTIFS($C$1:$C245,"R")+1,"")</f>
        <v>245</v>
      </c>
      <c r="B246" s="19" t="str">
        <f t="shared" si="25"/>
        <v>C_Ope_007</v>
      </c>
      <c r="C246" s="3" t="s">
        <v>1330</v>
      </c>
      <c r="D246" s="14">
        <v>45887</v>
      </c>
      <c r="E246" s="5" t="s">
        <v>5840</v>
      </c>
      <c r="F246" s="5" t="s">
        <v>1336</v>
      </c>
      <c r="G246" s="6" t="s">
        <v>682</v>
      </c>
      <c r="H246" s="6" t="s">
        <v>68</v>
      </c>
      <c r="I246" s="6" t="s">
        <v>1353</v>
      </c>
      <c r="J246" s="6">
        <v>17385</v>
      </c>
      <c r="K246" s="7" t="s">
        <v>9079</v>
      </c>
      <c r="L246" s="8">
        <v>25108</v>
      </c>
      <c r="M246" s="8" t="str">
        <f t="shared" si="26"/>
        <v>PEN</v>
      </c>
      <c r="N246" s="13"/>
      <c r="O246" s="13">
        <v>20</v>
      </c>
      <c r="P246" s="3">
        <f t="shared" si="27"/>
        <v>0</v>
      </c>
      <c r="Q246" s="3">
        <f t="shared" si="28"/>
        <v>20</v>
      </c>
      <c r="R246" s="3">
        <f t="shared" si="18"/>
        <v>222</v>
      </c>
      <c r="S246" s="24" t="s">
        <v>1334</v>
      </c>
      <c r="T246" s="24"/>
      <c r="U246" s="3"/>
      <c r="V246" s="25" t="s">
        <v>7761</v>
      </c>
      <c r="W246" s="25">
        <v>20259858934</v>
      </c>
      <c r="X246" s="25" t="str">
        <f>IFERROR(VLOOKUP(C_Ope_007[[#This Row],[nota_2]],Clientes_Proveedores[[Ruc / Dni]:[Razon Social]],2,0),"")</f>
        <v>COMERCIALIZACION Y SERVICIOS EL EDEN S.A.C.</v>
      </c>
      <c r="Y246" s="25" t="s">
        <v>5933</v>
      </c>
      <c r="Z246" s="103"/>
      <c r="AA246" s="3" t="str">
        <f>IF(C_Ope_007[[#This Row],[fecha]]&gt;0,TEXT(C_Ope_007[[#This Row],[fecha]],"mmmm"),0)</f>
        <v>Agosto</v>
      </c>
      <c r="AB246" s="49"/>
    </row>
    <row r="247" spans="1:28" x14ac:dyDescent="0.3">
      <c r="A247" s="2">
        <f>IF(C_Ope_007[[#This Row],[tipo_r]]="R",COUNTIFS($C$1:$C246,"R")+1,"")</f>
        <v>246</v>
      </c>
      <c r="B247" s="19" t="str">
        <f t="shared" si="25"/>
        <v>C_Ope_007</v>
      </c>
      <c r="C247" s="3" t="s">
        <v>1330</v>
      </c>
      <c r="D247" s="14">
        <v>45880</v>
      </c>
      <c r="E247" s="5" t="s">
        <v>5259</v>
      </c>
      <c r="F247" s="5" t="s">
        <v>1336</v>
      </c>
      <c r="G247" s="6"/>
      <c r="H247" s="6"/>
      <c r="I247" s="6"/>
      <c r="J247" s="6"/>
      <c r="K247" s="7" t="s">
        <v>9080</v>
      </c>
      <c r="L247" s="8">
        <v>3335174</v>
      </c>
      <c r="M247" s="8" t="str">
        <f t="shared" si="26"/>
        <v>PEN</v>
      </c>
      <c r="N247" s="13"/>
      <c r="O247" s="13">
        <v>129</v>
      </c>
      <c r="P247" s="3">
        <f t="shared" si="27"/>
        <v>0</v>
      </c>
      <c r="Q247" s="3">
        <f t="shared" si="28"/>
        <v>129</v>
      </c>
      <c r="R247" s="3">
        <f t="shared" si="18"/>
        <v>93</v>
      </c>
      <c r="S247" s="24" t="s">
        <v>1334</v>
      </c>
      <c r="T247" s="24" t="s">
        <v>1334</v>
      </c>
      <c r="U247" s="3"/>
      <c r="V247" s="25"/>
      <c r="W247" s="25"/>
      <c r="X247" s="25" t="str">
        <f>IFERROR(VLOOKUP(C_Ope_007[[#This Row],[nota_2]],Clientes_Proveedores[[Ruc / Dni]:[Razon Social]],2,0),"")</f>
        <v/>
      </c>
      <c r="Y247" s="25"/>
      <c r="Z247" s="103"/>
      <c r="AA247" s="3" t="str">
        <f>IF(C_Ope_007[[#This Row],[fecha]]&gt;0,TEXT(C_Ope_007[[#This Row],[fecha]],"mmmm"),0)</f>
        <v>Agosto</v>
      </c>
      <c r="AB247" s="49"/>
    </row>
    <row r="248" spans="1:28" ht="36" x14ac:dyDescent="0.3">
      <c r="A248" s="2">
        <f>IF(C_Ope_007[[#This Row],[tipo_r]]="R",COUNTIFS($C$1:$C247,"R")+1,"")</f>
        <v>247</v>
      </c>
      <c r="B248" s="19" t="str">
        <f t="shared" ref="B248:B272" si="29">"C_Ope_007"</f>
        <v>C_Ope_007</v>
      </c>
      <c r="C248" s="3" t="s">
        <v>1330</v>
      </c>
      <c r="D248" s="14">
        <v>45894</v>
      </c>
      <c r="E248" s="5" t="s">
        <v>5840</v>
      </c>
      <c r="F248" s="5" t="s">
        <v>1336</v>
      </c>
      <c r="G248" s="6" t="s">
        <v>682</v>
      </c>
      <c r="H248" s="6" t="s">
        <v>68</v>
      </c>
      <c r="I248" s="6" t="s">
        <v>1353</v>
      </c>
      <c r="J248" s="6">
        <v>17471</v>
      </c>
      <c r="K248" s="7" t="s">
        <v>9506</v>
      </c>
      <c r="L248" s="8">
        <v>25256</v>
      </c>
      <c r="M248" s="8" t="str">
        <f t="shared" ref="M248:M272" si="30">"PEN"</f>
        <v>PEN</v>
      </c>
      <c r="N248" s="13"/>
      <c r="O248" s="13">
        <v>20</v>
      </c>
      <c r="P248" s="3">
        <f t="shared" ref="P248:P272" si="31">+IF(OR($F248="SALDO",$F248="INGRESO"),$O248,0)</f>
        <v>0</v>
      </c>
      <c r="Q248" s="3">
        <f t="shared" ref="Q248:Q272" si="32">+IF($F248="EGRESO",$O248,0)</f>
        <v>20</v>
      </c>
      <c r="R248" s="3">
        <f t="shared" si="18"/>
        <v>73</v>
      </c>
      <c r="S248" s="24" t="s">
        <v>1334</v>
      </c>
      <c r="T248" s="24"/>
      <c r="U248" s="3"/>
      <c r="V248" s="25" t="s">
        <v>9526</v>
      </c>
      <c r="W248" s="25">
        <v>20259858934</v>
      </c>
      <c r="X248" s="25" t="str">
        <f>IFERROR(VLOOKUP(C_Ope_007[[#This Row],[nota_2]],Clientes_Proveedores[[Ruc / Dni]:[Razon Social]],2,0),"")</f>
        <v>COMERCIALIZACION Y SERVICIOS EL EDEN S.A.C.</v>
      </c>
      <c r="Y248" s="25" t="s">
        <v>5933</v>
      </c>
      <c r="Z248" s="25"/>
      <c r="AA248" s="3" t="str">
        <f>IF(C_Ope_007[[#This Row],[fecha]]&gt;0,TEXT(C_Ope_007[[#This Row],[fecha]],"mmmm"),0)</f>
        <v>Agosto</v>
      </c>
      <c r="AB248" s="49"/>
    </row>
    <row r="249" spans="1:28" ht="36" x14ac:dyDescent="0.3">
      <c r="A249" s="2">
        <f>IF(C_Ope_007[[#This Row],[tipo_r]]="R",COUNTIFS($C$1:$C248,"R")+1,"")</f>
        <v>248</v>
      </c>
      <c r="B249" s="19" t="str">
        <f t="shared" si="29"/>
        <v>C_Ope_007</v>
      </c>
      <c r="C249" s="3" t="s">
        <v>1330</v>
      </c>
      <c r="D249" s="14">
        <v>45897</v>
      </c>
      <c r="E249" s="5" t="s">
        <v>5840</v>
      </c>
      <c r="F249" s="5" t="s">
        <v>1336</v>
      </c>
      <c r="G249" s="6" t="s">
        <v>227</v>
      </c>
      <c r="H249" s="6" t="s">
        <v>68</v>
      </c>
      <c r="I249" s="6" t="s">
        <v>1390</v>
      </c>
      <c r="J249" s="6">
        <v>136146</v>
      </c>
      <c r="K249" s="7" t="s">
        <v>9507</v>
      </c>
      <c r="L249" s="8">
        <v>25325</v>
      </c>
      <c r="M249" s="8" t="str">
        <f t="shared" si="30"/>
        <v>PEN</v>
      </c>
      <c r="N249" s="13"/>
      <c r="O249" s="13">
        <v>10</v>
      </c>
      <c r="P249" s="3">
        <f t="shared" si="31"/>
        <v>0</v>
      </c>
      <c r="Q249" s="3">
        <f t="shared" si="32"/>
        <v>10</v>
      </c>
      <c r="R249" s="3">
        <f t="shared" si="18"/>
        <v>63</v>
      </c>
      <c r="S249" s="24" t="s">
        <v>1334</v>
      </c>
      <c r="T249" s="24"/>
      <c r="U249" s="3"/>
      <c r="V249" s="25" t="s">
        <v>9526</v>
      </c>
      <c r="W249" s="25">
        <v>20124952850</v>
      </c>
      <c r="X249" s="25" t="str">
        <f>IFERROR(VLOOKUP(C_Ope_007[[#This Row],[nota_2]],Clientes_Proveedores[[Ruc / Dni]:[Razon Social]],2,0),"")</f>
        <v>ALIMENTOS Y SERVICIOS AGROPECUARIOS SRL.</v>
      </c>
      <c r="Y249" s="25" t="s">
        <v>5933</v>
      </c>
      <c r="Z249" s="25"/>
      <c r="AA249" s="3" t="str">
        <f>IF(C_Ope_007[[#This Row],[fecha]]&gt;0,TEXT(C_Ope_007[[#This Row],[fecha]],"mmmm"),0)</f>
        <v>Agosto</v>
      </c>
      <c r="AB249" s="49"/>
    </row>
    <row r="250" spans="1:28" ht="24" x14ac:dyDescent="0.3">
      <c r="A250" s="2">
        <f>IF(C_Ope_007[[#This Row],[tipo_r]]="R",COUNTIFS($C$1:$C249,"R")+1,"")</f>
        <v>249</v>
      </c>
      <c r="B250" s="19" t="str">
        <f t="shared" si="29"/>
        <v>C_Ope_007</v>
      </c>
      <c r="C250" s="3" t="s">
        <v>1330</v>
      </c>
      <c r="D250" s="14">
        <v>45903</v>
      </c>
      <c r="E250" s="5" t="s">
        <v>5840</v>
      </c>
      <c r="F250" s="5" t="s">
        <v>1336</v>
      </c>
      <c r="G250" s="6" t="s">
        <v>1043</v>
      </c>
      <c r="H250" s="6" t="s">
        <v>68</v>
      </c>
      <c r="I250" s="6" t="s">
        <v>1390</v>
      </c>
      <c r="J250" s="6">
        <v>12982</v>
      </c>
      <c r="K250" s="7" t="s">
        <v>9508</v>
      </c>
      <c r="L250" s="8">
        <v>25415</v>
      </c>
      <c r="M250" s="8" t="str">
        <f t="shared" si="30"/>
        <v>PEN</v>
      </c>
      <c r="N250" s="13"/>
      <c r="O250" s="13">
        <v>10</v>
      </c>
      <c r="P250" s="3">
        <f t="shared" si="31"/>
        <v>0</v>
      </c>
      <c r="Q250" s="3">
        <f t="shared" si="32"/>
        <v>10</v>
      </c>
      <c r="R250" s="3">
        <f t="shared" si="18"/>
        <v>53</v>
      </c>
      <c r="S250" s="24" t="s">
        <v>1334</v>
      </c>
      <c r="T250" s="24"/>
      <c r="U250" s="3"/>
      <c r="V250" s="25" t="s">
        <v>9526</v>
      </c>
      <c r="W250" s="25">
        <v>20606567856</v>
      </c>
      <c r="X250" s="25" t="str">
        <f>IFERROR(VLOOKUP(C_Ope_007[[#This Row],[nota_2]],Clientes_Proveedores[[Ruc / Dni]:[Razon Social]],2,0),"")</f>
        <v>R.E.T. &amp; SAN S.R.L.</v>
      </c>
      <c r="Y250" s="25" t="s">
        <v>5933</v>
      </c>
      <c r="Z250" s="25"/>
      <c r="AA250" s="3" t="str">
        <f>IF(C_Ope_007[[#This Row],[fecha]]&gt;0,TEXT(C_Ope_007[[#This Row],[fecha]],"mmmm"),0)</f>
        <v>Setiembre</v>
      </c>
      <c r="AB250" s="49"/>
    </row>
    <row r="251" spans="1:28" ht="36" x14ac:dyDescent="0.3">
      <c r="A251" s="2">
        <f>IF(C_Ope_007[[#This Row],[tipo_r]]="R",COUNTIFS($C$1:$C250,"R")+1,"")</f>
        <v>250</v>
      </c>
      <c r="B251" s="19" t="str">
        <f t="shared" si="29"/>
        <v>C_Ope_007</v>
      </c>
      <c r="C251" s="3" t="s">
        <v>1330</v>
      </c>
      <c r="D251" s="14">
        <v>45908</v>
      </c>
      <c r="E251" s="5" t="s">
        <v>5840</v>
      </c>
      <c r="F251" s="5" t="s">
        <v>1336</v>
      </c>
      <c r="G251" s="6" t="s">
        <v>227</v>
      </c>
      <c r="H251" s="6" t="s">
        <v>68</v>
      </c>
      <c r="I251" s="6" t="s">
        <v>1390</v>
      </c>
      <c r="J251" s="6">
        <v>136663</v>
      </c>
      <c r="K251" s="7" t="s">
        <v>9509</v>
      </c>
      <c r="L251" s="8">
        <v>25436</v>
      </c>
      <c r="M251" s="8" t="str">
        <f t="shared" si="30"/>
        <v>PEN</v>
      </c>
      <c r="N251" s="13"/>
      <c r="O251" s="13">
        <v>5</v>
      </c>
      <c r="P251" s="3">
        <f t="shared" si="31"/>
        <v>0</v>
      </c>
      <c r="Q251" s="3">
        <f t="shared" si="32"/>
        <v>5</v>
      </c>
      <c r="R251" s="3">
        <f t="shared" si="18"/>
        <v>48</v>
      </c>
      <c r="S251" s="24" t="s">
        <v>1334</v>
      </c>
      <c r="T251" s="24"/>
      <c r="U251" s="3"/>
      <c r="V251" s="25" t="s">
        <v>7754</v>
      </c>
      <c r="W251" s="25">
        <v>20124952850</v>
      </c>
      <c r="X251" s="25" t="str">
        <f>IFERROR(VLOOKUP(C_Ope_007[[#This Row],[nota_2]],Clientes_Proveedores[[Ruc / Dni]:[Razon Social]],2,0),"")</f>
        <v>ALIMENTOS Y SERVICIOS AGROPECUARIOS SRL.</v>
      </c>
      <c r="Y251" s="25" t="s">
        <v>5933</v>
      </c>
      <c r="Z251" s="25"/>
      <c r="AA251" s="3" t="str">
        <f>IF(C_Ope_007[[#This Row],[fecha]]&gt;0,TEXT(C_Ope_007[[#This Row],[fecha]],"mmmm"),0)</f>
        <v>Setiembre</v>
      </c>
      <c r="AB251" s="49"/>
    </row>
    <row r="252" spans="1:28" ht="36" x14ac:dyDescent="0.3">
      <c r="A252" s="2">
        <f>IF(C_Ope_007[[#This Row],[tipo_r]]="R",COUNTIFS($C$1:$C251,"R")+1,"")</f>
        <v>251</v>
      </c>
      <c r="B252" s="19" t="str">
        <f t="shared" si="29"/>
        <v>C_Ope_007</v>
      </c>
      <c r="C252" s="3" t="s">
        <v>1330</v>
      </c>
      <c r="D252" s="14">
        <v>45908</v>
      </c>
      <c r="E252" s="5" t="s">
        <v>5840</v>
      </c>
      <c r="F252" s="5" t="s">
        <v>1336</v>
      </c>
      <c r="G252" s="6" t="s">
        <v>227</v>
      </c>
      <c r="H252" s="6" t="s">
        <v>68</v>
      </c>
      <c r="I252" s="6" t="s">
        <v>1390</v>
      </c>
      <c r="J252" s="6">
        <v>136670</v>
      </c>
      <c r="K252" s="7" t="s">
        <v>9509</v>
      </c>
      <c r="L252" s="8">
        <v>25437</v>
      </c>
      <c r="M252" s="8" t="str">
        <f t="shared" si="30"/>
        <v>PEN</v>
      </c>
      <c r="N252" s="13"/>
      <c r="O252" s="13">
        <v>5</v>
      </c>
      <c r="P252" s="3">
        <f t="shared" si="31"/>
        <v>0</v>
      </c>
      <c r="Q252" s="3">
        <f t="shared" si="32"/>
        <v>5</v>
      </c>
      <c r="R252" s="3">
        <f t="shared" si="18"/>
        <v>43</v>
      </c>
      <c r="S252" s="24" t="s">
        <v>1334</v>
      </c>
      <c r="T252" s="24"/>
      <c r="U252" s="3"/>
      <c r="V252" s="25" t="s">
        <v>7754</v>
      </c>
      <c r="W252" s="25">
        <v>20124952850</v>
      </c>
      <c r="X252" s="25" t="str">
        <f>IFERROR(VLOOKUP(C_Ope_007[[#This Row],[nota_2]],Clientes_Proveedores[[Ruc / Dni]:[Razon Social]],2,0),"")</f>
        <v>ALIMENTOS Y SERVICIOS AGROPECUARIOS SRL.</v>
      </c>
      <c r="Y252" s="25" t="s">
        <v>5933</v>
      </c>
      <c r="Z252" s="25"/>
      <c r="AA252" s="3" t="str">
        <f>IF(C_Ope_007[[#This Row],[fecha]]&gt;0,TEXT(C_Ope_007[[#This Row],[fecha]],"mmmm"),0)</f>
        <v>Setiembre</v>
      </c>
      <c r="AB252" s="49"/>
    </row>
    <row r="253" spans="1:28" ht="36" x14ac:dyDescent="0.3">
      <c r="A253" s="2">
        <f>IF(C_Ope_007[[#This Row],[tipo_r]]="R",COUNTIFS($C$1:$C252,"R")+1,"")</f>
        <v>252</v>
      </c>
      <c r="B253" s="19" t="str">
        <f t="shared" si="29"/>
        <v>C_Ope_007</v>
      </c>
      <c r="C253" s="3" t="s">
        <v>1330</v>
      </c>
      <c r="D253" s="14">
        <v>45908</v>
      </c>
      <c r="E253" s="5" t="s">
        <v>5840</v>
      </c>
      <c r="F253" s="5" t="s">
        <v>1336</v>
      </c>
      <c r="G253" s="6" t="s">
        <v>227</v>
      </c>
      <c r="H253" s="6" t="s">
        <v>68</v>
      </c>
      <c r="I253" s="6" t="s">
        <v>1390</v>
      </c>
      <c r="J253" s="6">
        <v>136661</v>
      </c>
      <c r="K253" s="7" t="s">
        <v>9509</v>
      </c>
      <c r="L253" s="8">
        <v>25438</v>
      </c>
      <c r="M253" s="8" t="str">
        <f t="shared" si="30"/>
        <v>PEN</v>
      </c>
      <c r="N253" s="13"/>
      <c r="O253" s="13">
        <v>10</v>
      </c>
      <c r="P253" s="3">
        <f t="shared" si="31"/>
        <v>0</v>
      </c>
      <c r="Q253" s="3">
        <f t="shared" si="32"/>
        <v>10</v>
      </c>
      <c r="R253" s="3">
        <f t="shared" si="18"/>
        <v>33</v>
      </c>
      <c r="S253" s="24" t="s">
        <v>1334</v>
      </c>
      <c r="T253" s="24"/>
      <c r="U253" s="3"/>
      <c r="V253" s="25" t="s">
        <v>7754</v>
      </c>
      <c r="W253" s="25">
        <v>20124952850</v>
      </c>
      <c r="X253" s="25" t="str">
        <f>IFERROR(VLOOKUP(C_Ope_007[[#This Row],[nota_2]],Clientes_Proveedores[[Ruc / Dni]:[Razon Social]],2,0),"")</f>
        <v>ALIMENTOS Y SERVICIOS AGROPECUARIOS SRL.</v>
      </c>
      <c r="Y253" s="25" t="s">
        <v>5933</v>
      </c>
      <c r="Z253" s="25"/>
      <c r="AA253" s="3" t="str">
        <f>IF(C_Ope_007[[#This Row],[fecha]]&gt;0,TEXT(C_Ope_007[[#This Row],[fecha]],"mmmm"),0)</f>
        <v>Setiembre</v>
      </c>
      <c r="AB253" s="49"/>
    </row>
    <row r="254" spans="1:28" ht="24" x14ac:dyDescent="0.3">
      <c r="A254" s="2">
        <f>IF(C_Ope_007[[#This Row],[tipo_r]]="R",COUNTIFS($C$1:$C253,"R")+1,"")</f>
        <v>253</v>
      </c>
      <c r="B254" s="19" t="str">
        <f t="shared" si="29"/>
        <v>C_Ope_007</v>
      </c>
      <c r="C254" s="3" t="s">
        <v>1330</v>
      </c>
      <c r="D254" s="14">
        <v>45916</v>
      </c>
      <c r="E254" s="5" t="s">
        <v>5840</v>
      </c>
      <c r="F254" s="5" t="s">
        <v>1336</v>
      </c>
      <c r="G254" s="6" t="s">
        <v>1043</v>
      </c>
      <c r="H254" s="6" t="s">
        <v>68</v>
      </c>
      <c r="I254" s="6" t="s">
        <v>1390</v>
      </c>
      <c r="J254" s="6">
        <v>13055</v>
      </c>
      <c r="K254" s="7" t="s">
        <v>9510</v>
      </c>
      <c r="L254" s="8">
        <v>25463</v>
      </c>
      <c r="M254" s="8" t="str">
        <f t="shared" si="30"/>
        <v>PEN</v>
      </c>
      <c r="N254" s="13"/>
      <c r="O254" s="13">
        <v>10</v>
      </c>
      <c r="P254" s="3">
        <f t="shared" si="31"/>
        <v>0</v>
      </c>
      <c r="Q254" s="3">
        <f t="shared" si="32"/>
        <v>10</v>
      </c>
      <c r="R254" s="3">
        <f t="shared" si="18"/>
        <v>23</v>
      </c>
      <c r="S254" s="24" t="s">
        <v>1334</v>
      </c>
      <c r="T254" s="24"/>
      <c r="U254" s="3"/>
      <c r="V254" s="25" t="s">
        <v>9526</v>
      </c>
      <c r="W254" s="25">
        <v>20606567856</v>
      </c>
      <c r="X254" s="25" t="str">
        <f>IFERROR(VLOOKUP(C_Ope_007[[#This Row],[nota_2]],Clientes_Proveedores[[Ruc / Dni]:[Razon Social]],2,0),"")</f>
        <v>R.E.T. &amp; SAN S.R.L.</v>
      </c>
      <c r="Y254" s="25" t="s">
        <v>5933</v>
      </c>
      <c r="Z254" s="25"/>
      <c r="AA254" s="3" t="str">
        <f>IF(C_Ope_007[[#This Row],[fecha]]&gt;0,TEXT(C_Ope_007[[#This Row],[fecha]],"mmmm"),0)</f>
        <v>Setiembre</v>
      </c>
      <c r="AB254" s="49"/>
    </row>
    <row r="255" spans="1:28" ht="24" x14ac:dyDescent="0.3">
      <c r="A255" s="2">
        <f>IF(C_Ope_007[[#This Row],[tipo_r]]="R",COUNTIFS($C$1:$C254,"R")+1,"")</f>
        <v>254</v>
      </c>
      <c r="B255" s="19" t="str">
        <f t="shared" si="29"/>
        <v>C_Ope_007</v>
      </c>
      <c r="C255" s="3" t="s">
        <v>1330</v>
      </c>
      <c r="D255" s="14">
        <v>45919</v>
      </c>
      <c r="E255" s="5" t="s">
        <v>5840</v>
      </c>
      <c r="F255" s="5" t="s">
        <v>1336</v>
      </c>
      <c r="G255" s="6" t="s">
        <v>998</v>
      </c>
      <c r="H255" s="6" t="s">
        <v>68</v>
      </c>
      <c r="I255" s="6" t="s">
        <v>6378</v>
      </c>
      <c r="J255" s="6">
        <v>2754</v>
      </c>
      <c r="K255" s="7" t="s">
        <v>9511</v>
      </c>
      <c r="L255" s="8">
        <v>25637</v>
      </c>
      <c r="M255" s="8" t="str">
        <f t="shared" si="30"/>
        <v>PEN</v>
      </c>
      <c r="N255" s="13"/>
      <c r="O255" s="13">
        <v>20</v>
      </c>
      <c r="P255" s="3">
        <f t="shared" si="31"/>
        <v>0</v>
      </c>
      <c r="Q255" s="3">
        <f t="shared" si="32"/>
        <v>20</v>
      </c>
      <c r="R255" s="3">
        <f t="shared" si="18"/>
        <v>3</v>
      </c>
      <c r="S255" s="24" t="s">
        <v>1334</v>
      </c>
      <c r="T255" s="24"/>
      <c r="U255" s="3"/>
      <c r="V255" s="25" t="s">
        <v>9526</v>
      </c>
      <c r="W255" s="25">
        <v>20612112500</v>
      </c>
      <c r="X255" s="25" t="str">
        <f>IFERROR(VLOOKUP(C_Ope_007[[#This Row],[nota_2]],Clientes_Proveedores[[Ruc / Dni]:[Razon Social]],2,0),"")</f>
        <v>RECICLADORA LAS LOMAS E.I.R.L.</v>
      </c>
      <c r="Y255" s="25" t="s">
        <v>5933</v>
      </c>
      <c r="Z255" s="25"/>
      <c r="AA255" s="3" t="str">
        <f>IF(C_Ope_007[[#This Row],[fecha]]&gt;0,TEXT(C_Ope_007[[#This Row],[fecha]],"mmmm"),0)</f>
        <v>Setiembre</v>
      </c>
      <c r="AB255" s="49"/>
    </row>
    <row r="256" spans="1:28" ht="24" x14ac:dyDescent="0.3">
      <c r="A256" s="2">
        <f>IF(C_Ope_007[[#This Row],[tipo_r]]="R",COUNTIFS($C$1:$C255,"R")+1,"")</f>
        <v>255</v>
      </c>
      <c r="B256" s="19" t="str">
        <f>"C_Ope_007"</f>
        <v>C_Ope_007</v>
      </c>
      <c r="C256" s="3" t="s">
        <v>1330</v>
      </c>
      <c r="D256" s="14">
        <v>45922</v>
      </c>
      <c r="E256" s="5" t="s">
        <v>3634</v>
      </c>
      <c r="F256" s="5" t="s">
        <v>1303</v>
      </c>
      <c r="G256" s="6" t="s">
        <v>918</v>
      </c>
      <c r="H256" s="6"/>
      <c r="I256" s="6"/>
      <c r="J256" s="6"/>
      <c r="K256" s="7" t="s">
        <v>7516</v>
      </c>
      <c r="L256" s="8">
        <v>25902</v>
      </c>
      <c r="M256" s="8" t="str">
        <f>"PEN"</f>
        <v>PEN</v>
      </c>
      <c r="N256" s="13"/>
      <c r="O256" s="13">
        <v>300</v>
      </c>
      <c r="P256" s="3">
        <f>+IF(OR($F256="SALDO",$F256="INGRESO"),$O256,0)</f>
        <v>300</v>
      </c>
      <c r="Q256" s="3">
        <f>+IF($F256="EGRESO",$O256,0)</f>
        <v>0</v>
      </c>
      <c r="R256" s="3">
        <f t="shared" si="18"/>
        <v>303</v>
      </c>
      <c r="S256" s="24"/>
      <c r="T256" s="24"/>
      <c r="U256" s="3"/>
      <c r="V256" s="25"/>
      <c r="W256" s="25"/>
      <c r="X256" s="25" t="str">
        <f>IFERROR(VLOOKUP(C_Ope_007[[#This Row],[nota_2]],Clientes_Proveedores[[Ruc / Dni]:[Razon Social]],2,0),"")</f>
        <v/>
      </c>
      <c r="Y256" s="25"/>
      <c r="Z256" s="25"/>
      <c r="AA256" s="3" t="str">
        <f>IF(C_Ope_007[[#This Row],[fecha]]&gt;0,TEXT(C_Ope_007[[#This Row],[fecha]],"mmmm"),0)</f>
        <v>Setiembre</v>
      </c>
      <c r="AB256" s="49"/>
    </row>
    <row r="257" spans="1:28" ht="36" x14ac:dyDescent="0.3">
      <c r="A257" s="2">
        <f>IF(C_Ope_007[[#This Row],[tipo_r]]="R",COUNTIFS($C$1:$C256,"R")+1,"")</f>
        <v>256</v>
      </c>
      <c r="B257" s="19" t="str">
        <f t="shared" si="29"/>
        <v>C_Ope_007</v>
      </c>
      <c r="C257" s="3" t="s">
        <v>1330</v>
      </c>
      <c r="D257" s="14">
        <v>45924</v>
      </c>
      <c r="E257" s="5" t="s">
        <v>5840</v>
      </c>
      <c r="F257" s="5" t="s">
        <v>1336</v>
      </c>
      <c r="G257" s="6" t="s">
        <v>227</v>
      </c>
      <c r="H257" s="6" t="s">
        <v>68</v>
      </c>
      <c r="I257" s="6" t="s">
        <v>1390</v>
      </c>
      <c r="J257" s="6">
        <v>137361</v>
      </c>
      <c r="K257" s="7" t="s">
        <v>9512</v>
      </c>
      <c r="L257" s="8">
        <v>25635</v>
      </c>
      <c r="M257" s="8" t="str">
        <f t="shared" si="30"/>
        <v>PEN</v>
      </c>
      <c r="N257" s="13"/>
      <c r="O257" s="13">
        <v>10</v>
      </c>
      <c r="P257" s="3">
        <f t="shared" si="31"/>
        <v>0</v>
      </c>
      <c r="Q257" s="3">
        <f t="shared" si="32"/>
        <v>10</v>
      </c>
      <c r="R257" s="3">
        <f t="shared" si="18"/>
        <v>293</v>
      </c>
      <c r="S257" s="24" t="s">
        <v>1334</v>
      </c>
      <c r="T257" s="24"/>
      <c r="U257" s="3"/>
      <c r="V257" s="25" t="s">
        <v>9526</v>
      </c>
      <c r="W257" s="25">
        <v>20124952850</v>
      </c>
      <c r="X257" s="25" t="str">
        <f>IFERROR(VLOOKUP(C_Ope_007[[#This Row],[nota_2]],Clientes_Proveedores[[Ruc / Dni]:[Razon Social]],2,0),"")</f>
        <v>ALIMENTOS Y SERVICIOS AGROPECUARIOS SRL.</v>
      </c>
      <c r="Y257" s="25" t="s">
        <v>5933</v>
      </c>
      <c r="Z257" s="25"/>
      <c r="AA257" s="3" t="str">
        <f>IF(C_Ope_007[[#This Row],[fecha]]&gt;0,TEXT(C_Ope_007[[#This Row],[fecha]],"mmmm"),0)</f>
        <v>Setiembre</v>
      </c>
      <c r="AB257" s="49"/>
    </row>
    <row r="258" spans="1:28" ht="36" x14ac:dyDescent="0.3">
      <c r="A258" s="2">
        <f>IF(C_Ope_007[[#This Row],[tipo_r]]="R",COUNTIFS($C$1:$C257,"R")+1,"")</f>
        <v>257</v>
      </c>
      <c r="B258" s="19" t="str">
        <f t="shared" si="29"/>
        <v>C_Ope_007</v>
      </c>
      <c r="C258" s="3" t="s">
        <v>1330</v>
      </c>
      <c r="D258" s="14">
        <v>45924</v>
      </c>
      <c r="E258" s="5" t="s">
        <v>5840</v>
      </c>
      <c r="F258" s="5" t="s">
        <v>1336</v>
      </c>
      <c r="G258" s="6" t="s">
        <v>1029</v>
      </c>
      <c r="H258" s="6" t="s">
        <v>68</v>
      </c>
      <c r="I258" s="6" t="s">
        <v>1374</v>
      </c>
      <c r="J258" s="6">
        <v>18434</v>
      </c>
      <c r="K258" s="7" t="s">
        <v>9513</v>
      </c>
      <c r="L258" s="8">
        <v>25639</v>
      </c>
      <c r="M258" s="8" t="str">
        <f t="shared" si="30"/>
        <v>PEN</v>
      </c>
      <c r="N258" s="13"/>
      <c r="O258" s="13">
        <v>11</v>
      </c>
      <c r="P258" s="3">
        <f t="shared" si="31"/>
        <v>0</v>
      </c>
      <c r="Q258" s="3">
        <f t="shared" si="32"/>
        <v>11</v>
      </c>
      <c r="R258" s="3">
        <f t="shared" ref="R258:R272" si="33">IFERROR(IF(F258="SALDO",P258,R257+P258-Q258),0)</f>
        <v>282</v>
      </c>
      <c r="S258" s="24" t="s">
        <v>1334</v>
      </c>
      <c r="T258" s="24"/>
      <c r="U258" s="3"/>
      <c r="V258" s="25" t="s">
        <v>9526</v>
      </c>
      <c r="W258" s="25">
        <v>20454058187</v>
      </c>
      <c r="X258" s="25" t="str">
        <f>IFERROR(VLOOKUP(C_Ope_007[[#This Row],[nota_2]],Clientes_Proveedores[[Ruc / Dni]:[Razon Social]],2,0),"")</f>
        <v>ZONA ESPECIAL DE DESARROLLO ZED MATARANI</v>
      </c>
      <c r="Y258" s="25" t="s">
        <v>5933</v>
      </c>
      <c r="Z258" s="25"/>
      <c r="AA258" s="3" t="str">
        <f>IF(C_Ope_007[[#This Row],[fecha]]&gt;0,TEXT(C_Ope_007[[#This Row],[fecha]],"mmmm"),0)</f>
        <v>Setiembre</v>
      </c>
      <c r="AB258" s="49"/>
    </row>
    <row r="259" spans="1:28" ht="36" x14ac:dyDescent="0.3">
      <c r="A259" s="2">
        <f>IF(C_Ope_007[[#This Row],[tipo_r]]="R",COUNTIFS($C$1:$C258,"R")+1,"")</f>
        <v>258</v>
      </c>
      <c r="B259" s="19" t="str">
        <f t="shared" si="29"/>
        <v>C_Ope_007</v>
      </c>
      <c r="C259" s="3" t="s">
        <v>1330</v>
      </c>
      <c r="D259" s="14">
        <v>45926</v>
      </c>
      <c r="E259" s="5" t="s">
        <v>5840</v>
      </c>
      <c r="F259" s="5" t="s">
        <v>1336</v>
      </c>
      <c r="G259" s="6" t="s">
        <v>227</v>
      </c>
      <c r="H259" s="6" t="s">
        <v>68</v>
      </c>
      <c r="I259" s="6" t="s">
        <v>1390</v>
      </c>
      <c r="J259" s="6">
        <v>137476</v>
      </c>
      <c r="K259" s="7" t="s">
        <v>9514</v>
      </c>
      <c r="L259" s="8">
        <v>25636</v>
      </c>
      <c r="M259" s="8" t="str">
        <f t="shared" si="30"/>
        <v>PEN</v>
      </c>
      <c r="N259" s="13"/>
      <c r="O259" s="13">
        <v>10</v>
      </c>
      <c r="P259" s="3">
        <f t="shared" si="31"/>
        <v>0</v>
      </c>
      <c r="Q259" s="3">
        <f t="shared" si="32"/>
        <v>10</v>
      </c>
      <c r="R259" s="3">
        <f t="shared" si="33"/>
        <v>272</v>
      </c>
      <c r="S259" s="24" t="s">
        <v>1334</v>
      </c>
      <c r="T259" s="24"/>
      <c r="U259" s="3"/>
      <c r="V259" s="25" t="s">
        <v>7756</v>
      </c>
      <c r="W259" s="25">
        <v>20124952850</v>
      </c>
      <c r="X259" s="25" t="str">
        <f>IFERROR(VLOOKUP(C_Ope_007[[#This Row],[nota_2]],Clientes_Proveedores[[Ruc / Dni]:[Razon Social]],2,0),"")</f>
        <v>ALIMENTOS Y SERVICIOS AGROPECUARIOS SRL.</v>
      </c>
      <c r="Y259" s="25" t="s">
        <v>5933</v>
      </c>
      <c r="Z259" s="25"/>
      <c r="AA259" s="3" t="str">
        <f>IF(C_Ope_007[[#This Row],[fecha]]&gt;0,TEXT(C_Ope_007[[#This Row],[fecha]],"mmmm"),0)</f>
        <v>Setiembre</v>
      </c>
      <c r="AB259" s="49"/>
    </row>
    <row r="260" spans="1:28" ht="36" x14ac:dyDescent="0.3">
      <c r="A260" s="2">
        <f>IF(C_Ope_007[[#This Row],[tipo_r]]="R",COUNTIFS($C$1:$C259,"R")+1,"")</f>
        <v>259</v>
      </c>
      <c r="B260" s="19" t="str">
        <f t="shared" si="29"/>
        <v>C_Ope_007</v>
      </c>
      <c r="C260" s="3" t="s">
        <v>1330</v>
      </c>
      <c r="D260" s="14">
        <v>45929</v>
      </c>
      <c r="E260" s="5" t="s">
        <v>5840</v>
      </c>
      <c r="F260" s="5" t="s">
        <v>1336</v>
      </c>
      <c r="G260" s="6" t="s">
        <v>227</v>
      </c>
      <c r="H260" s="6" t="s">
        <v>68</v>
      </c>
      <c r="I260" s="6" t="s">
        <v>1390</v>
      </c>
      <c r="J260" s="6">
        <v>137606</v>
      </c>
      <c r="K260" s="7" t="s">
        <v>9515</v>
      </c>
      <c r="L260" s="8">
        <v>25634</v>
      </c>
      <c r="M260" s="8" t="str">
        <f t="shared" si="30"/>
        <v>PEN</v>
      </c>
      <c r="N260" s="13"/>
      <c r="O260" s="13">
        <v>10</v>
      </c>
      <c r="P260" s="3">
        <f t="shared" si="31"/>
        <v>0</v>
      </c>
      <c r="Q260" s="3">
        <f t="shared" si="32"/>
        <v>10</v>
      </c>
      <c r="R260" s="3">
        <f t="shared" si="33"/>
        <v>262</v>
      </c>
      <c r="S260" s="24" t="s">
        <v>1334</v>
      </c>
      <c r="T260" s="24"/>
      <c r="U260" s="3"/>
      <c r="V260" s="25" t="s">
        <v>9526</v>
      </c>
      <c r="W260" s="25">
        <v>20124952850</v>
      </c>
      <c r="X260" s="25" t="str">
        <f>IFERROR(VLOOKUP(C_Ope_007[[#This Row],[nota_2]],Clientes_Proveedores[[Ruc / Dni]:[Razon Social]],2,0),"")</f>
        <v>ALIMENTOS Y SERVICIOS AGROPECUARIOS SRL.</v>
      </c>
      <c r="Y260" s="25" t="s">
        <v>5933</v>
      </c>
      <c r="Z260" s="25"/>
      <c r="AA260" s="3" t="str">
        <f>IF(C_Ope_007[[#This Row],[fecha]]&gt;0,TEXT(C_Ope_007[[#This Row],[fecha]],"mmmm"),0)</f>
        <v>Setiembre</v>
      </c>
      <c r="AB260" s="49"/>
    </row>
    <row r="261" spans="1:28" ht="36" x14ac:dyDescent="0.3">
      <c r="A261" s="2">
        <f>IF(C_Ope_007[[#This Row],[tipo_r]]="R",COUNTIFS($C$1:$C260,"R")+1,"")</f>
        <v>260</v>
      </c>
      <c r="B261" s="19" t="str">
        <f t="shared" si="29"/>
        <v>C_Ope_007</v>
      </c>
      <c r="C261" s="3" t="s">
        <v>1330</v>
      </c>
      <c r="D261" s="14">
        <v>45929</v>
      </c>
      <c r="E261" s="5" t="s">
        <v>5840</v>
      </c>
      <c r="F261" s="5" t="s">
        <v>1336</v>
      </c>
      <c r="G261" s="6" t="s">
        <v>682</v>
      </c>
      <c r="H261" s="6" t="s">
        <v>68</v>
      </c>
      <c r="I261" s="6" t="s">
        <v>1343</v>
      </c>
      <c r="J261" s="6">
        <v>35716</v>
      </c>
      <c r="K261" s="7" t="s">
        <v>9516</v>
      </c>
      <c r="L261" s="8">
        <v>25638</v>
      </c>
      <c r="M261" s="8" t="str">
        <f t="shared" si="30"/>
        <v>PEN</v>
      </c>
      <c r="N261" s="13"/>
      <c r="O261" s="13">
        <v>10</v>
      </c>
      <c r="P261" s="3">
        <f t="shared" si="31"/>
        <v>0</v>
      </c>
      <c r="Q261" s="3">
        <f t="shared" si="32"/>
        <v>10</v>
      </c>
      <c r="R261" s="3">
        <f t="shared" si="33"/>
        <v>252</v>
      </c>
      <c r="S261" s="24" t="s">
        <v>1334</v>
      </c>
      <c r="T261" s="24"/>
      <c r="U261" s="3"/>
      <c r="V261" s="25" t="s">
        <v>9526</v>
      </c>
      <c r="W261" s="25">
        <v>20259858934</v>
      </c>
      <c r="X261" s="25" t="str">
        <f>IFERROR(VLOOKUP(C_Ope_007[[#This Row],[nota_2]],Clientes_Proveedores[[Ruc / Dni]:[Razon Social]],2,0),"")</f>
        <v>COMERCIALIZACION Y SERVICIOS EL EDEN S.A.C.</v>
      </c>
      <c r="Y261" s="25" t="s">
        <v>5933</v>
      </c>
      <c r="Z261" s="25"/>
      <c r="AA261" s="3" t="str">
        <f>IF(C_Ope_007[[#This Row],[fecha]]&gt;0,TEXT(C_Ope_007[[#This Row],[fecha]],"mmmm"),0)</f>
        <v>Setiembre</v>
      </c>
      <c r="AB261" s="49"/>
    </row>
    <row r="262" spans="1:28" ht="36" x14ac:dyDescent="0.3">
      <c r="A262" s="2">
        <f>IF(C_Ope_007[[#This Row],[tipo_r]]="R",COUNTIFS($C$1:$C261,"R")+1,"")</f>
        <v>261</v>
      </c>
      <c r="B262" s="19" t="str">
        <f t="shared" si="29"/>
        <v>C_Ope_007</v>
      </c>
      <c r="C262" s="3" t="s">
        <v>1330</v>
      </c>
      <c r="D262" s="14">
        <v>45930</v>
      </c>
      <c r="E262" s="5" t="s">
        <v>5840</v>
      </c>
      <c r="F262" s="5" t="s">
        <v>1336</v>
      </c>
      <c r="G262" s="6" t="s">
        <v>227</v>
      </c>
      <c r="H262" s="6" t="s">
        <v>68</v>
      </c>
      <c r="I262" s="6" t="s">
        <v>1390</v>
      </c>
      <c r="J262" s="6">
        <v>137629</v>
      </c>
      <c r="K262" s="7" t="s">
        <v>9517</v>
      </c>
      <c r="L262" s="8">
        <v>25633</v>
      </c>
      <c r="M262" s="8" t="str">
        <f t="shared" si="30"/>
        <v>PEN</v>
      </c>
      <c r="N262" s="13"/>
      <c r="O262" s="13">
        <v>10</v>
      </c>
      <c r="P262" s="3">
        <f t="shared" si="31"/>
        <v>0</v>
      </c>
      <c r="Q262" s="3">
        <f t="shared" si="32"/>
        <v>10</v>
      </c>
      <c r="R262" s="3">
        <f t="shared" si="33"/>
        <v>242</v>
      </c>
      <c r="S262" s="24" t="s">
        <v>1334</v>
      </c>
      <c r="T262" s="24"/>
      <c r="U262" s="3"/>
      <c r="V262" s="25" t="s">
        <v>9526</v>
      </c>
      <c r="W262" s="25">
        <v>20124952850</v>
      </c>
      <c r="X262" s="25" t="str">
        <f>IFERROR(VLOOKUP(C_Ope_007[[#This Row],[nota_2]],Clientes_Proveedores[[Ruc / Dni]:[Razon Social]],2,0),"")</f>
        <v>ALIMENTOS Y SERVICIOS AGROPECUARIOS SRL.</v>
      </c>
      <c r="Y262" s="25" t="s">
        <v>5933</v>
      </c>
      <c r="Z262" s="25"/>
      <c r="AA262" s="3" t="str">
        <f>IF(C_Ope_007[[#This Row],[fecha]]&gt;0,TEXT(C_Ope_007[[#This Row],[fecha]],"mmmm"),0)</f>
        <v>Setiembre</v>
      </c>
      <c r="AB262" s="49"/>
    </row>
    <row r="263" spans="1:28" ht="36" x14ac:dyDescent="0.3">
      <c r="A263" s="2">
        <f>IF(C_Ope_007[[#This Row],[tipo_r]]="R",COUNTIFS($C$1:$C262,"R")+1,"")</f>
        <v>262</v>
      </c>
      <c r="B263" s="19" t="str">
        <f t="shared" si="29"/>
        <v>C_Ope_007</v>
      </c>
      <c r="C263" s="3" t="s">
        <v>1330</v>
      </c>
      <c r="D263" s="14">
        <v>45931</v>
      </c>
      <c r="E263" s="5" t="s">
        <v>5840</v>
      </c>
      <c r="F263" s="5" t="s">
        <v>1336</v>
      </c>
      <c r="G263" s="6" t="s">
        <v>1029</v>
      </c>
      <c r="H263" s="6" t="s">
        <v>68</v>
      </c>
      <c r="I263" s="6" t="s">
        <v>1374</v>
      </c>
      <c r="J263" s="6">
        <v>18483</v>
      </c>
      <c r="K263" s="7" t="s">
        <v>9518</v>
      </c>
      <c r="L263" s="8">
        <v>25781</v>
      </c>
      <c r="M263" s="8" t="str">
        <f t="shared" si="30"/>
        <v>PEN</v>
      </c>
      <c r="N263" s="13"/>
      <c r="O263" s="13">
        <v>11</v>
      </c>
      <c r="P263" s="3">
        <f t="shared" si="31"/>
        <v>0</v>
      </c>
      <c r="Q263" s="3">
        <f t="shared" si="32"/>
        <v>11</v>
      </c>
      <c r="R263" s="3">
        <f t="shared" si="33"/>
        <v>231</v>
      </c>
      <c r="S263" s="24" t="s">
        <v>1334</v>
      </c>
      <c r="T263" s="24"/>
      <c r="U263" s="3"/>
      <c r="V263" s="25" t="s">
        <v>9526</v>
      </c>
      <c r="W263" s="25">
        <v>20454058187</v>
      </c>
      <c r="X263" s="25" t="str">
        <f>IFERROR(VLOOKUP(C_Ope_007[[#This Row],[nota_2]],Clientes_Proveedores[[Ruc / Dni]:[Razon Social]],2,0),"")</f>
        <v>ZONA ESPECIAL DE DESARROLLO ZED MATARANI</v>
      </c>
      <c r="Y263" s="25" t="s">
        <v>5933</v>
      </c>
      <c r="Z263" s="25"/>
      <c r="AA263" s="3" t="str">
        <f>IF(C_Ope_007[[#This Row],[fecha]]&gt;0,TEXT(C_Ope_007[[#This Row],[fecha]],"mmmm"),0)</f>
        <v>Octubre</v>
      </c>
      <c r="AB263" s="49"/>
    </row>
    <row r="264" spans="1:28" ht="36" x14ac:dyDescent="0.3">
      <c r="A264" s="2">
        <f>IF(C_Ope_007[[#This Row],[tipo_r]]="R",COUNTIFS($C$1:$C263,"R")+1,"")</f>
        <v>263</v>
      </c>
      <c r="B264" s="19" t="str">
        <f t="shared" si="29"/>
        <v>C_Ope_007</v>
      </c>
      <c r="C264" s="3" t="s">
        <v>1330</v>
      </c>
      <c r="D264" s="14">
        <v>45936</v>
      </c>
      <c r="E264" s="5" t="s">
        <v>5840</v>
      </c>
      <c r="F264" s="5" t="s">
        <v>1336</v>
      </c>
      <c r="G264" s="6" t="s">
        <v>227</v>
      </c>
      <c r="H264" s="6" t="s">
        <v>68</v>
      </c>
      <c r="I264" s="6" t="s">
        <v>1390</v>
      </c>
      <c r="J264" s="6">
        <v>137880</v>
      </c>
      <c r="K264" s="7" t="s">
        <v>9519</v>
      </c>
      <c r="L264" s="8">
        <v>25782</v>
      </c>
      <c r="M264" s="8" t="str">
        <f t="shared" si="30"/>
        <v>PEN</v>
      </c>
      <c r="N264" s="13"/>
      <c r="O264" s="13">
        <v>10</v>
      </c>
      <c r="P264" s="3">
        <f t="shared" si="31"/>
        <v>0</v>
      </c>
      <c r="Q264" s="3">
        <f t="shared" si="32"/>
        <v>10</v>
      </c>
      <c r="R264" s="3">
        <f t="shared" si="33"/>
        <v>221</v>
      </c>
      <c r="S264" s="24" t="s">
        <v>1334</v>
      </c>
      <c r="T264" s="24"/>
      <c r="U264" s="3"/>
      <c r="V264" s="25" t="s">
        <v>7756</v>
      </c>
      <c r="W264" s="25">
        <v>20124952850</v>
      </c>
      <c r="X264" s="25" t="str">
        <f>IFERROR(VLOOKUP(C_Ope_007[[#This Row],[nota_2]],Clientes_Proveedores[[Ruc / Dni]:[Razon Social]],2,0),"")</f>
        <v>ALIMENTOS Y SERVICIOS AGROPECUARIOS SRL.</v>
      </c>
      <c r="Y264" s="25" t="s">
        <v>5933</v>
      </c>
      <c r="Z264" s="25"/>
      <c r="AA264" s="3" t="str">
        <f>IF(C_Ope_007[[#This Row],[fecha]]&gt;0,TEXT(C_Ope_007[[#This Row],[fecha]],"mmmm"),0)</f>
        <v>Octubre</v>
      </c>
      <c r="AB264" s="49"/>
    </row>
    <row r="265" spans="1:28" ht="36" x14ac:dyDescent="0.3">
      <c r="A265" s="2">
        <f>IF(C_Ope_007[[#This Row],[tipo_r]]="R",COUNTIFS($C$1:$C264,"R")+1,"")</f>
        <v>264</v>
      </c>
      <c r="B265" s="19" t="str">
        <f t="shared" si="29"/>
        <v>C_Ope_007</v>
      </c>
      <c r="C265" s="3" t="s">
        <v>1330</v>
      </c>
      <c r="D265" s="14">
        <v>45947</v>
      </c>
      <c r="E265" s="5" t="s">
        <v>5840</v>
      </c>
      <c r="F265" s="5" t="s">
        <v>1336</v>
      </c>
      <c r="G265" s="6" t="s">
        <v>227</v>
      </c>
      <c r="H265" s="6" t="s">
        <v>68</v>
      </c>
      <c r="I265" s="6" t="s">
        <v>1390</v>
      </c>
      <c r="J265" s="6">
        <v>138382</v>
      </c>
      <c r="K265" s="7" t="s">
        <v>9520</v>
      </c>
      <c r="L265" s="8">
        <v>25890</v>
      </c>
      <c r="M265" s="8" t="str">
        <f t="shared" si="30"/>
        <v>PEN</v>
      </c>
      <c r="N265" s="13"/>
      <c r="O265" s="13">
        <v>5</v>
      </c>
      <c r="P265" s="3">
        <f t="shared" si="31"/>
        <v>0</v>
      </c>
      <c r="Q265" s="3">
        <f t="shared" si="32"/>
        <v>5</v>
      </c>
      <c r="R265" s="3">
        <f t="shared" si="33"/>
        <v>216</v>
      </c>
      <c r="S265" s="24" t="s">
        <v>1334</v>
      </c>
      <c r="T265" s="24"/>
      <c r="U265" s="3"/>
      <c r="V265" s="25" t="s">
        <v>7754</v>
      </c>
      <c r="W265" s="25">
        <v>20124952850</v>
      </c>
      <c r="X265" s="25" t="str">
        <f>IFERROR(VLOOKUP(C_Ope_007[[#This Row],[nota_2]],Clientes_Proveedores[[Ruc / Dni]:[Razon Social]],2,0),"")</f>
        <v>ALIMENTOS Y SERVICIOS AGROPECUARIOS SRL.</v>
      </c>
      <c r="Y265" s="25" t="s">
        <v>5933</v>
      </c>
      <c r="Z265" s="25"/>
      <c r="AA265" s="3" t="str">
        <f>IF(C_Ope_007[[#This Row],[fecha]]&gt;0,TEXT(C_Ope_007[[#This Row],[fecha]],"mmmm"),0)</f>
        <v>Octubre</v>
      </c>
      <c r="AB265" s="49"/>
    </row>
    <row r="266" spans="1:28" ht="36" x14ac:dyDescent="0.3">
      <c r="A266" s="2">
        <f>IF(C_Ope_007[[#This Row],[tipo_r]]="R",COUNTIFS($C$1:$C265,"R")+1,"")</f>
        <v>265</v>
      </c>
      <c r="B266" s="19" t="str">
        <f t="shared" si="29"/>
        <v>C_Ope_007</v>
      </c>
      <c r="C266" s="3" t="s">
        <v>1330</v>
      </c>
      <c r="D266" s="14">
        <v>45947</v>
      </c>
      <c r="E266" s="5" t="s">
        <v>5840</v>
      </c>
      <c r="F266" s="5" t="s">
        <v>1336</v>
      </c>
      <c r="G266" s="6" t="s">
        <v>227</v>
      </c>
      <c r="H266" s="6" t="s">
        <v>68</v>
      </c>
      <c r="I266" s="6" t="s">
        <v>1390</v>
      </c>
      <c r="J266" s="6">
        <v>138379</v>
      </c>
      <c r="K266" s="7" t="s">
        <v>9521</v>
      </c>
      <c r="L266" s="8">
        <v>25891</v>
      </c>
      <c r="M266" s="8" t="str">
        <f t="shared" si="30"/>
        <v>PEN</v>
      </c>
      <c r="N266" s="13"/>
      <c r="O266" s="13">
        <v>5</v>
      </c>
      <c r="P266" s="3">
        <f t="shared" si="31"/>
        <v>0</v>
      </c>
      <c r="Q266" s="3">
        <f t="shared" si="32"/>
        <v>5</v>
      </c>
      <c r="R266" s="3">
        <f t="shared" si="33"/>
        <v>211</v>
      </c>
      <c r="S266" s="24" t="s">
        <v>1334</v>
      </c>
      <c r="T266" s="24"/>
      <c r="U266" s="3"/>
      <c r="V266" s="25" t="s">
        <v>7754</v>
      </c>
      <c r="W266" s="25">
        <v>20124952850</v>
      </c>
      <c r="X266" s="25" t="str">
        <f>IFERROR(VLOOKUP(C_Ope_007[[#This Row],[nota_2]],Clientes_Proveedores[[Ruc / Dni]:[Razon Social]],2,0),"")</f>
        <v>ALIMENTOS Y SERVICIOS AGROPECUARIOS SRL.</v>
      </c>
      <c r="Y266" s="25" t="s">
        <v>5933</v>
      </c>
      <c r="Z266" s="25"/>
      <c r="AA266" s="3" t="str">
        <f>IF(C_Ope_007[[#This Row],[fecha]]&gt;0,TEXT(C_Ope_007[[#This Row],[fecha]],"mmmm"),0)</f>
        <v>Octubre</v>
      </c>
      <c r="AB266" s="49"/>
    </row>
    <row r="267" spans="1:28" ht="36" x14ac:dyDescent="0.3">
      <c r="A267" s="2">
        <f>IF(C_Ope_007[[#This Row],[tipo_r]]="R",COUNTIFS($C$1:$C266,"R")+1,"")</f>
        <v>266</v>
      </c>
      <c r="B267" s="19" t="str">
        <f t="shared" si="29"/>
        <v>C_Ope_007</v>
      </c>
      <c r="C267" s="3" t="s">
        <v>1330</v>
      </c>
      <c r="D267" s="14">
        <v>45950</v>
      </c>
      <c r="E267" s="5" t="s">
        <v>5840</v>
      </c>
      <c r="F267" s="5" t="s">
        <v>1336</v>
      </c>
      <c r="G267" s="6" t="s">
        <v>227</v>
      </c>
      <c r="H267" s="6" t="s">
        <v>68</v>
      </c>
      <c r="I267" s="6" t="s">
        <v>1390</v>
      </c>
      <c r="J267" s="6">
        <v>138465</v>
      </c>
      <c r="K267" s="7" t="s">
        <v>9522</v>
      </c>
      <c r="L267" s="8">
        <v>25893</v>
      </c>
      <c r="M267" s="8" t="str">
        <f t="shared" si="30"/>
        <v>PEN</v>
      </c>
      <c r="N267" s="13"/>
      <c r="O267" s="13">
        <v>10</v>
      </c>
      <c r="P267" s="3">
        <f t="shared" si="31"/>
        <v>0</v>
      </c>
      <c r="Q267" s="3">
        <f t="shared" si="32"/>
        <v>10</v>
      </c>
      <c r="R267" s="3">
        <f t="shared" si="33"/>
        <v>201</v>
      </c>
      <c r="S267" s="24" t="s">
        <v>1334</v>
      </c>
      <c r="T267" s="24"/>
      <c r="U267" s="3"/>
      <c r="V267" s="25" t="s">
        <v>7756</v>
      </c>
      <c r="W267" s="25">
        <v>20124952850</v>
      </c>
      <c r="X267" s="25" t="str">
        <f>IFERROR(VLOOKUP(C_Ope_007[[#This Row],[nota_2]],Clientes_Proveedores[[Ruc / Dni]:[Razon Social]],2,0),"")</f>
        <v>ALIMENTOS Y SERVICIOS AGROPECUARIOS SRL.</v>
      </c>
      <c r="Y267" s="25" t="s">
        <v>5933</v>
      </c>
      <c r="Z267" s="25"/>
      <c r="AA267" s="3" t="str">
        <f>IF(C_Ope_007[[#This Row],[fecha]]&gt;0,TEXT(C_Ope_007[[#This Row],[fecha]],"mmmm"),0)</f>
        <v>Octubre</v>
      </c>
      <c r="AB267" s="49"/>
    </row>
    <row r="268" spans="1:28" ht="36" x14ac:dyDescent="0.3">
      <c r="A268" s="2">
        <f>IF(C_Ope_007[[#This Row],[tipo_r]]="R",COUNTIFS($C$1:$C267,"R")+1,"")</f>
        <v>267</v>
      </c>
      <c r="B268" s="19" t="str">
        <f t="shared" si="29"/>
        <v>C_Ope_007</v>
      </c>
      <c r="C268" s="3" t="s">
        <v>1330</v>
      </c>
      <c r="D268" s="14">
        <v>45950</v>
      </c>
      <c r="E268" s="5" t="s">
        <v>5840</v>
      </c>
      <c r="F268" s="5" t="s">
        <v>1336</v>
      </c>
      <c r="G268" s="6" t="s">
        <v>227</v>
      </c>
      <c r="H268" s="6" t="s">
        <v>68</v>
      </c>
      <c r="I268" s="6" t="s">
        <v>1390</v>
      </c>
      <c r="J268" s="6">
        <v>138494</v>
      </c>
      <c r="K268" s="7" t="s">
        <v>7835</v>
      </c>
      <c r="L268" s="8">
        <v>25895</v>
      </c>
      <c r="M268" s="8" t="str">
        <f t="shared" si="30"/>
        <v>PEN</v>
      </c>
      <c r="N268" s="13"/>
      <c r="O268" s="13">
        <v>10</v>
      </c>
      <c r="P268" s="3">
        <f t="shared" si="31"/>
        <v>0</v>
      </c>
      <c r="Q268" s="3">
        <f t="shared" si="32"/>
        <v>10</v>
      </c>
      <c r="R268" s="3">
        <f t="shared" si="33"/>
        <v>191</v>
      </c>
      <c r="S268" s="24" t="s">
        <v>1334</v>
      </c>
      <c r="T268" s="24"/>
      <c r="U268" s="3"/>
      <c r="V268" s="25" t="s">
        <v>7761</v>
      </c>
      <c r="W268" s="25">
        <v>20124952850</v>
      </c>
      <c r="X268" s="25" t="str">
        <f>IFERROR(VLOOKUP(C_Ope_007[[#This Row],[nota_2]],Clientes_Proveedores[[Ruc / Dni]:[Razon Social]],2,0),"")</f>
        <v>ALIMENTOS Y SERVICIOS AGROPECUARIOS SRL.</v>
      </c>
      <c r="Y268" s="25" t="s">
        <v>5933</v>
      </c>
      <c r="Z268" s="25"/>
      <c r="AA268" s="3" t="str">
        <f>IF(C_Ope_007[[#This Row],[fecha]]&gt;0,TEXT(C_Ope_007[[#This Row],[fecha]],"mmmm"),0)</f>
        <v>Octubre</v>
      </c>
      <c r="AB268" s="49"/>
    </row>
    <row r="269" spans="1:28" ht="24" x14ac:dyDescent="0.3">
      <c r="A269" s="2">
        <f>IF(C_Ope_007[[#This Row],[tipo_r]]="R",COUNTIFS($C$1:$C268,"R")+1,"")</f>
        <v>268</v>
      </c>
      <c r="B269" s="19" t="str">
        <f t="shared" si="29"/>
        <v>C_Ope_007</v>
      </c>
      <c r="C269" s="3" t="s">
        <v>1330</v>
      </c>
      <c r="D269" s="14">
        <v>45951</v>
      </c>
      <c r="E269" s="5" t="s">
        <v>5840</v>
      </c>
      <c r="F269" s="5" t="s">
        <v>1336</v>
      </c>
      <c r="G269" s="6" t="s">
        <v>978</v>
      </c>
      <c r="H269" s="6" t="s">
        <v>68</v>
      </c>
      <c r="I269" s="6" t="s">
        <v>6204</v>
      </c>
      <c r="J269" s="6">
        <v>1877078</v>
      </c>
      <c r="K269" s="7" t="s">
        <v>9523</v>
      </c>
      <c r="L269" s="8">
        <v>25899</v>
      </c>
      <c r="M269" s="8" t="str">
        <f t="shared" si="30"/>
        <v>PEN</v>
      </c>
      <c r="N269" s="13"/>
      <c r="O269" s="13">
        <v>8</v>
      </c>
      <c r="P269" s="3">
        <f t="shared" si="31"/>
        <v>0</v>
      </c>
      <c r="Q269" s="3">
        <f t="shared" si="32"/>
        <v>8</v>
      </c>
      <c r="R269" s="3">
        <f t="shared" si="33"/>
        <v>183</v>
      </c>
      <c r="S269" s="24" t="s">
        <v>1334</v>
      </c>
      <c r="T269" s="24"/>
      <c r="U269" s="3"/>
      <c r="V269" s="25" t="s">
        <v>7761</v>
      </c>
      <c r="W269" s="25">
        <v>20517252558</v>
      </c>
      <c r="X269" s="25" t="str">
        <f>IFERROR(VLOOKUP(C_Ope_007[[#This Row],[nota_2]],Clientes_Proveedores[[Ruc / Dni]:[Razon Social]],2,0),"")</f>
        <v>COVISUR S.A.</v>
      </c>
      <c r="Y269" s="25" t="s">
        <v>7888</v>
      </c>
      <c r="Z269" s="25"/>
      <c r="AA269" s="3" t="str">
        <f>IF(C_Ope_007[[#This Row],[fecha]]&gt;0,TEXT(C_Ope_007[[#This Row],[fecha]],"mmmm"),0)</f>
        <v>Octubre</v>
      </c>
      <c r="AB269" s="49"/>
    </row>
    <row r="270" spans="1:28" ht="36" x14ac:dyDescent="0.3">
      <c r="A270" s="2">
        <f>IF(C_Ope_007[[#This Row],[tipo_r]]="R",COUNTIFS($C$1:$C269,"R")+1,"")</f>
        <v>269</v>
      </c>
      <c r="B270" s="19" t="str">
        <f t="shared" si="29"/>
        <v>C_Ope_007</v>
      </c>
      <c r="C270" s="3" t="s">
        <v>1330</v>
      </c>
      <c r="D270" s="14">
        <v>45951</v>
      </c>
      <c r="E270" s="5" t="s">
        <v>5840</v>
      </c>
      <c r="F270" s="5" t="s">
        <v>1336</v>
      </c>
      <c r="G270" s="6" t="s">
        <v>227</v>
      </c>
      <c r="H270" s="6" t="s">
        <v>68</v>
      </c>
      <c r="I270" s="6" t="s">
        <v>1390</v>
      </c>
      <c r="J270" s="6">
        <v>138526</v>
      </c>
      <c r="K270" s="7" t="s">
        <v>9524</v>
      </c>
      <c r="L270" s="8">
        <v>25894</v>
      </c>
      <c r="M270" s="8" t="str">
        <f t="shared" si="30"/>
        <v>PEN</v>
      </c>
      <c r="N270" s="13"/>
      <c r="O270" s="13">
        <v>10</v>
      </c>
      <c r="P270" s="3">
        <f t="shared" si="31"/>
        <v>0</v>
      </c>
      <c r="Q270" s="3">
        <f t="shared" si="32"/>
        <v>10</v>
      </c>
      <c r="R270" s="3">
        <f t="shared" si="33"/>
        <v>173</v>
      </c>
      <c r="S270" s="24" t="s">
        <v>1334</v>
      </c>
      <c r="T270" s="24"/>
      <c r="U270" s="3"/>
      <c r="V270" s="25" t="s">
        <v>9526</v>
      </c>
      <c r="W270" s="25">
        <v>20124952850</v>
      </c>
      <c r="X270" s="25" t="str">
        <f>IFERROR(VLOOKUP(C_Ope_007[[#This Row],[nota_2]],Clientes_Proveedores[[Ruc / Dni]:[Razon Social]],2,0),"")</f>
        <v>ALIMENTOS Y SERVICIOS AGROPECUARIOS SRL.</v>
      </c>
      <c r="Y270" s="25" t="s">
        <v>5933</v>
      </c>
      <c r="Z270" s="25"/>
      <c r="AA270" s="3" t="str">
        <f>IF(C_Ope_007[[#This Row],[fecha]]&gt;0,TEXT(C_Ope_007[[#This Row],[fecha]],"mmmm"),0)</f>
        <v>Octubre</v>
      </c>
      <c r="AB270" s="49"/>
    </row>
    <row r="271" spans="1:28" ht="24" x14ac:dyDescent="0.3">
      <c r="A271" s="2">
        <f>IF(C_Ope_007[[#This Row],[tipo_r]]="R",COUNTIFS($C$1:$C270,"R")+1,"")</f>
        <v>270</v>
      </c>
      <c r="B271" s="19" t="str">
        <f t="shared" si="29"/>
        <v>C_Ope_007</v>
      </c>
      <c r="C271" s="3" t="s">
        <v>1330</v>
      </c>
      <c r="D271" s="14">
        <v>45952</v>
      </c>
      <c r="E271" s="5" t="s">
        <v>5840</v>
      </c>
      <c r="F271" s="5" t="s">
        <v>1336</v>
      </c>
      <c r="G271" s="6" t="s">
        <v>978</v>
      </c>
      <c r="H271" s="6" t="s">
        <v>68</v>
      </c>
      <c r="I271" s="6" t="s">
        <v>6204</v>
      </c>
      <c r="J271" s="6">
        <v>1877957</v>
      </c>
      <c r="K271" s="7" t="s">
        <v>9525</v>
      </c>
      <c r="L271" s="8">
        <v>25897</v>
      </c>
      <c r="M271" s="8" t="str">
        <f t="shared" si="30"/>
        <v>PEN</v>
      </c>
      <c r="N271" s="13"/>
      <c r="O271" s="13">
        <v>5</v>
      </c>
      <c r="P271" s="3">
        <f t="shared" si="31"/>
        <v>0</v>
      </c>
      <c r="Q271" s="3">
        <f t="shared" si="32"/>
        <v>5</v>
      </c>
      <c r="R271" s="3">
        <f t="shared" si="33"/>
        <v>168</v>
      </c>
      <c r="S271" s="24" t="s">
        <v>1334</v>
      </c>
      <c r="T271" s="24"/>
      <c r="U271" s="3"/>
      <c r="V271" s="25" t="s">
        <v>7761</v>
      </c>
      <c r="W271" s="25">
        <v>20517252558</v>
      </c>
      <c r="X271" s="25" t="str">
        <f>IFERROR(VLOOKUP(C_Ope_007[[#This Row],[nota_2]],Clientes_Proveedores[[Ruc / Dni]:[Razon Social]],2,0),"")</f>
        <v>COVISUR S.A.</v>
      </c>
      <c r="Y271" s="25" t="s">
        <v>7888</v>
      </c>
      <c r="Z271" s="25"/>
      <c r="AA271" s="3" t="str">
        <f>IF(C_Ope_007[[#This Row],[fecha]]&gt;0,TEXT(C_Ope_007[[#This Row],[fecha]],"mmmm"),0)</f>
        <v>Octubre</v>
      </c>
      <c r="AB271" s="49"/>
    </row>
    <row r="272" spans="1:28" ht="36" x14ac:dyDescent="0.3">
      <c r="A272" s="2">
        <f>IF(C_Ope_007[[#This Row],[tipo_r]]="R",COUNTIFS($C$1:$C271,"R")+1,"")</f>
        <v>271</v>
      </c>
      <c r="B272" s="19" t="str">
        <f t="shared" si="29"/>
        <v>C_Ope_007</v>
      </c>
      <c r="C272" s="3" t="s">
        <v>1330</v>
      </c>
      <c r="D272" s="14">
        <v>45952</v>
      </c>
      <c r="E272" s="5" t="s">
        <v>5840</v>
      </c>
      <c r="F272" s="5" t="s">
        <v>1336</v>
      </c>
      <c r="G272" s="6" t="s">
        <v>227</v>
      </c>
      <c r="H272" s="6" t="s">
        <v>68</v>
      </c>
      <c r="I272" s="6" t="s">
        <v>1390</v>
      </c>
      <c r="J272" s="6">
        <v>138568</v>
      </c>
      <c r="K272" s="7" t="s">
        <v>9522</v>
      </c>
      <c r="L272" s="8">
        <v>25892</v>
      </c>
      <c r="M272" s="8" t="str">
        <f t="shared" si="30"/>
        <v>PEN</v>
      </c>
      <c r="N272" s="13"/>
      <c r="O272" s="13">
        <v>10</v>
      </c>
      <c r="P272" s="3">
        <f t="shared" si="31"/>
        <v>0</v>
      </c>
      <c r="Q272" s="3">
        <f t="shared" si="32"/>
        <v>10</v>
      </c>
      <c r="R272" s="3">
        <f t="shared" si="33"/>
        <v>158</v>
      </c>
      <c r="S272" s="24" t="s">
        <v>1334</v>
      </c>
      <c r="T272" s="24"/>
      <c r="U272" s="3"/>
      <c r="V272" s="25" t="s">
        <v>7756</v>
      </c>
      <c r="W272" s="25">
        <v>20124952850</v>
      </c>
      <c r="X272" s="25" t="str">
        <f>IFERROR(VLOOKUP(C_Ope_007[[#This Row],[nota_2]],Clientes_Proveedores[[Ruc / Dni]:[Razon Social]],2,0),"")</f>
        <v>ALIMENTOS Y SERVICIOS AGROPECUARIOS SRL.</v>
      </c>
      <c r="Y272" s="25" t="s">
        <v>5933</v>
      </c>
      <c r="Z272" s="25"/>
      <c r="AA272" s="3" t="str">
        <f>IF(C_Ope_007[[#This Row],[fecha]]&gt;0,TEXT(C_Ope_007[[#This Row],[fecha]],"mmmm"),0)</f>
        <v>Octubre</v>
      </c>
      <c r="AB272" s="49"/>
    </row>
  </sheetData>
  <conditionalFormatting sqref="A2:AA272">
    <cfRule type="expression" dxfId="49" priority="280">
      <formula>$T2="OK"</formula>
    </cfRule>
    <cfRule type="expression" dxfId="48" priority="281">
      <formula>$S2="OK"</formula>
    </cfRule>
    <cfRule type="expression" dxfId="47" priority="282">
      <formula>$C2="D"</formula>
    </cfRule>
  </conditionalFormatting>
  <conditionalFormatting sqref="D247:M247">
    <cfRule type="expression" dxfId="46" priority="2">
      <formula>$T247="OK"</formula>
    </cfRule>
    <cfRule type="expression" dxfId="45" priority="3">
      <formula>$S247="OK"</formula>
    </cfRule>
    <cfRule type="expression" dxfId="44" priority="4">
      <formula>$C247="D"</formula>
    </cfRule>
  </conditionalFormatting>
  <dataValidations count="4">
    <dataValidation type="list" allowBlank="1" showInputMessage="1" showErrorMessage="1" sqref="H2:H272" xr:uid="{551B6222-F48A-5E4E-8C0B-387419A0C3CF}">
      <formula1>Documentos</formula1>
    </dataValidation>
    <dataValidation type="list" allowBlank="1" showInputMessage="1" showErrorMessage="1" sqref="F2:F272" xr:uid="{674ECEBB-62D5-9E43-A6B3-4027B3C22AF4}">
      <formula1>"SALDO,INGRESO,EGRESO"</formula1>
    </dataValidation>
    <dataValidation type="list" allowBlank="1" showInputMessage="1" showErrorMessage="1" sqref="C2:C272" xr:uid="{C46EA01A-25E1-6141-BE28-4B97FA4F2A93}">
      <formula1>"R,D"</formula1>
    </dataValidation>
    <dataValidation type="list" allowBlank="1" showInputMessage="1" showErrorMessage="1" sqref="G2:G272" xr:uid="{BDBEA8D4-3978-4846-AF61-02C5439D2D41}">
      <formula1>Proveedores_Clientes</formula1>
    </dataValidation>
  </dataValidations>
  <printOptions horizontalCentered="1"/>
  <pageMargins left="0.11811023622047245" right="0.11811023622047245" top="0.35433070866141736" bottom="0.35433070866141736" header="0.31496062992125984" footer="0.31496062992125984"/>
  <pageSetup paperSize="9" scale="37" fitToHeight="0" orientation="landscape" r:id="rId1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CD1F0-DB6B-4353-813F-E05982435D5B}">
  <sheetPr codeName="Hoja17">
    <tabColor rgb="FF002060"/>
    <pageSetUpPr fitToPage="1"/>
  </sheetPr>
  <dimension ref="A1:AB155"/>
  <sheetViews>
    <sheetView showGridLines="0" zoomScale="95" zoomScaleNormal="95" zoomScaleSheetLayoutView="100" workbookViewId="0">
      <selection sqref="A1:AB1"/>
    </sheetView>
  </sheetViews>
  <sheetFormatPr defaultColWidth="11.44140625" defaultRowHeight="14.4" outlineLevelCol="1" x14ac:dyDescent="0.3"/>
  <cols>
    <col min="1" max="1" width="9.44140625" bestFit="1" customWidth="1"/>
    <col min="2" max="2" width="15.44140625" bestFit="1" customWidth="1"/>
    <col min="3" max="3" width="13.44140625" bestFit="1" customWidth="1"/>
    <col min="4" max="4" width="10.6640625" bestFit="1" customWidth="1"/>
    <col min="5" max="5" width="14.33203125" customWidth="1"/>
    <col min="6" max="6" width="11.6640625" bestFit="1" customWidth="1"/>
    <col min="7" max="7" width="17" bestFit="1" customWidth="1"/>
    <col min="8" max="8" width="16" customWidth="1"/>
    <col min="9" max="9" width="10.109375" bestFit="1" customWidth="1"/>
    <col min="10" max="10" width="12.44140625" bestFit="1" customWidth="1"/>
    <col min="11" max="11" width="40.44140625" bestFit="1" customWidth="1"/>
    <col min="12" max="12" width="15" bestFit="1" customWidth="1"/>
    <col min="13" max="13" width="12.44140625" bestFit="1" customWidth="1"/>
    <col min="14" max="14" width="12.109375" bestFit="1" customWidth="1"/>
    <col min="15" max="15" width="11.44140625" bestFit="1" customWidth="1"/>
    <col min="16" max="17" width="11.33203125" bestFit="1" customWidth="1"/>
    <col min="18" max="18" width="10.88671875" bestFit="1" customWidth="1"/>
    <col min="19" max="19" width="12" bestFit="1" customWidth="1"/>
    <col min="20" max="20" width="13" bestFit="1" customWidth="1"/>
    <col min="21" max="21" width="15.88671875" bestFit="1" customWidth="1"/>
    <col min="22" max="22" width="15.88671875" customWidth="1"/>
    <col min="23" max="26" width="15.88671875" customWidth="1" outlineLevel="1"/>
    <col min="27" max="27" width="12.88671875" customWidth="1" outlineLevel="1"/>
  </cols>
  <sheetData>
    <row r="1" spans="1:28" x14ac:dyDescent="0.3">
      <c r="A1" s="263" t="s">
        <v>9536</v>
      </c>
      <c r="B1" s="263" t="s">
        <v>9537</v>
      </c>
      <c r="C1" s="263" t="s">
        <v>9563</v>
      </c>
      <c r="D1" s="263" t="s">
        <v>9539</v>
      </c>
      <c r="E1" s="263" t="s">
        <v>9540</v>
      </c>
      <c r="F1" s="263" t="s">
        <v>9541</v>
      </c>
      <c r="G1" s="263" t="s">
        <v>9542</v>
      </c>
      <c r="H1" s="263" t="s">
        <v>9543</v>
      </c>
      <c r="I1" s="263" t="s">
        <v>9544</v>
      </c>
      <c r="J1" s="263" t="s">
        <v>9545</v>
      </c>
      <c r="K1" s="263" t="s">
        <v>9546</v>
      </c>
      <c r="L1" s="263" t="s">
        <v>9565</v>
      </c>
      <c r="M1" s="263" t="s">
        <v>9548</v>
      </c>
      <c r="N1" s="263" t="s">
        <v>9549</v>
      </c>
      <c r="O1" s="263" t="s">
        <v>9550</v>
      </c>
      <c r="P1" s="263" t="s">
        <v>9551</v>
      </c>
      <c r="Q1" s="263" t="s">
        <v>9552</v>
      </c>
      <c r="R1" s="263" t="s">
        <v>9553</v>
      </c>
      <c r="S1" s="263" t="s">
        <v>9554</v>
      </c>
      <c r="T1" s="263" t="s">
        <v>9555</v>
      </c>
      <c r="U1" s="263" t="s">
        <v>9556</v>
      </c>
      <c r="V1" s="263" t="s">
        <v>9557</v>
      </c>
      <c r="W1" s="263" t="s">
        <v>9558</v>
      </c>
      <c r="X1" s="263" t="s">
        <v>9559</v>
      </c>
      <c r="Y1" s="263" t="s">
        <v>9560</v>
      </c>
      <c r="Z1" s="263" t="s">
        <v>9561</v>
      </c>
      <c r="AA1" s="263" t="s">
        <v>9562</v>
      </c>
      <c r="AB1" s="1" t="s">
        <v>9566</v>
      </c>
    </row>
    <row r="2" spans="1:28" x14ac:dyDescent="0.3">
      <c r="A2" s="2">
        <f>IF(C_Ope_008[[#This Row],[tipo_r]]="R",COUNTIFS($C$1:$C1,"R")+1,"")</f>
        <v>1</v>
      </c>
      <c r="B2" s="19" t="str">
        <f>"C_Ope_008"</f>
        <v>C_Ope_008</v>
      </c>
      <c r="C2" s="3" t="s">
        <v>1330</v>
      </c>
      <c r="D2" s="4">
        <v>45658</v>
      </c>
      <c r="E2" s="5" t="s">
        <v>5380</v>
      </c>
      <c r="F2" s="6" t="s">
        <v>1320</v>
      </c>
      <c r="G2" s="6"/>
      <c r="H2" s="6"/>
      <c r="I2" s="6"/>
      <c r="J2" s="6"/>
      <c r="K2" s="7" t="s">
        <v>1332</v>
      </c>
      <c r="L2" s="8">
        <v>22573</v>
      </c>
      <c r="M2" s="8" t="str">
        <f t="shared" ref="M2" si="0">"PEN"</f>
        <v>PEN</v>
      </c>
      <c r="N2" s="13"/>
      <c r="O2" s="9">
        <v>45.8</v>
      </c>
      <c r="P2" s="9">
        <f t="shared" ref="P2:P33" si="1">+IF(OR($F2="SALDO",$F2="INGRESO"),$O2,0)</f>
        <v>45.8</v>
      </c>
      <c r="Q2" s="9">
        <f t="shared" ref="Q2:Q33" si="2">+IF($F2="EGRESO",$O2,0)</f>
        <v>0</v>
      </c>
      <c r="R2" s="9">
        <f t="shared" ref="R2:R33" si="3">IFERROR(IF(F2="SALDO",P2,R1+P2-Q2),0)</f>
        <v>45.8</v>
      </c>
      <c r="S2" s="24" t="s">
        <v>1334</v>
      </c>
      <c r="T2" s="24" t="s">
        <v>1334</v>
      </c>
      <c r="U2" s="15"/>
      <c r="V2" s="25"/>
      <c r="W2" s="25"/>
      <c r="X2" s="25" t="str">
        <f>IFERROR(VLOOKUP(C_Ope_008[[#This Row],[nota_2]],Clientes_Proveedores[[Ruc / Dni]:[Razon Social]],2,0),"")</f>
        <v/>
      </c>
      <c r="Y2" s="25"/>
      <c r="Z2" s="103">
        <f>ROUND(C_Ope_008[[#This Row],[monto]]/1.18,3)</f>
        <v>38.814</v>
      </c>
      <c r="AA2" s="3" t="str">
        <f>IF(C_Ope_008[[#This Row],[fecha]]&gt;0,TEXT(C_Ope_008[[#This Row],[fecha]],"mmmm"),0)</f>
        <v>Enero</v>
      </c>
      <c r="AB2" s="49"/>
    </row>
    <row r="3" spans="1:28" ht="36" x14ac:dyDescent="0.3">
      <c r="A3" s="2">
        <f>IF(C_Ope_008[[#This Row],[tipo_r]]="R",COUNTIFS($C$1:$C2,"R")+1,"")</f>
        <v>2</v>
      </c>
      <c r="B3" s="19" t="str">
        <f t="shared" ref="B3:B34" si="4">"C_Ope_008"</f>
        <v>C_Ope_008</v>
      </c>
      <c r="C3" s="3" t="s">
        <v>1330</v>
      </c>
      <c r="D3" s="14">
        <v>45666</v>
      </c>
      <c r="E3" s="5" t="s">
        <v>5380</v>
      </c>
      <c r="F3" s="5" t="s">
        <v>1336</v>
      </c>
      <c r="G3" s="6"/>
      <c r="H3" s="6" t="s">
        <v>68</v>
      </c>
      <c r="I3" s="6" t="s">
        <v>1386</v>
      </c>
      <c r="J3" s="6">
        <v>36277</v>
      </c>
      <c r="K3" s="7" t="s">
        <v>9081</v>
      </c>
      <c r="L3" s="8">
        <v>22596</v>
      </c>
      <c r="M3" s="8" t="str">
        <f t="shared" ref="M3:M34" si="5">"PEN"</f>
        <v>PEN</v>
      </c>
      <c r="N3" s="13"/>
      <c r="O3" s="13">
        <v>13</v>
      </c>
      <c r="P3" s="3">
        <f t="shared" si="1"/>
        <v>0</v>
      </c>
      <c r="Q3" s="3">
        <f t="shared" si="2"/>
        <v>13</v>
      </c>
      <c r="R3" s="3">
        <f t="shared" si="3"/>
        <v>32.799999999999997</v>
      </c>
      <c r="S3" s="24"/>
      <c r="T3" s="24"/>
      <c r="U3" s="3"/>
      <c r="V3" s="25" t="s">
        <v>7761</v>
      </c>
      <c r="W3" s="25">
        <v>20608545591</v>
      </c>
      <c r="X3" s="25" t="str">
        <f>IFERROR(VLOOKUP(C_Ope_008[[#This Row],[nota_2]],Clientes_Proveedores[[Ruc / Dni]:[Razon Social]],2,0),"")</f>
        <v>REPUESTOS ELIBEM IMPORTACIONES S.R.L.</v>
      </c>
      <c r="Y3" s="25"/>
      <c r="Z3" s="103"/>
      <c r="AA3" s="3" t="str">
        <f>IF(C_Ope_008[[#This Row],[fecha]]&gt;0,TEXT(C_Ope_008[[#This Row],[fecha]],"mmmm"),0)</f>
        <v>Enero</v>
      </c>
      <c r="AB3" s="49"/>
    </row>
    <row r="4" spans="1:28" ht="24" x14ac:dyDescent="0.3">
      <c r="A4" s="2">
        <f>IF(C_Ope_008[[#This Row],[tipo_r]]="R",COUNTIFS($C$1:$C3,"R")+1,"")</f>
        <v>3</v>
      </c>
      <c r="B4" s="19" t="str">
        <f t="shared" si="4"/>
        <v>C_Ope_008</v>
      </c>
      <c r="C4" s="3" t="s">
        <v>1330</v>
      </c>
      <c r="D4" s="14">
        <v>45670</v>
      </c>
      <c r="E4" s="5" t="s">
        <v>7514</v>
      </c>
      <c r="F4" s="5" t="s">
        <v>1303</v>
      </c>
      <c r="G4" s="6" t="s">
        <v>922</v>
      </c>
      <c r="H4" s="6"/>
      <c r="I4" s="6"/>
      <c r="J4" s="6"/>
      <c r="K4" s="7" t="s">
        <v>9082</v>
      </c>
      <c r="L4" s="8">
        <v>22693</v>
      </c>
      <c r="M4" s="8" t="str">
        <f t="shared" si="5"/>
        <v>PEN</v>
      </c>
      <c r="N4" s="13"/>
      <c r="O4" s="13">
        <v>170</v>
      </c>
      <c r="P4" s="3">
        <f t="shared" si="1"/>
        <v>170</v>
      </c>
      <c r="Q4" s="3">
        <f t="shared" si="2"/>
        <v>0</v>
      </c>
      <c r="R4" s="3">
        <f t="shared" si="3"/>
        <v>202.8</v>
      </c>
      <c r="S4" s="24" t="s">
        <v>1334</v>
      </c>
      <c r="T4" s="24" t="s">
        <v>1334</v>
      </c>
      <c r="U4" s="3"/>
      <c r="V4" s="25"/>
      <c r="W4" s="25"/>
      <c r="X4" s="25" t="str">
        <f>IFERROR(VLOOKUP(C_Ope_008[[#This Row],[nota_2]],Clientes_Proveedores[[Ruc / Dni]:[Razon Social]],2,0),"")</f>
        <v/>
      </c>
      <c r="Y4" s="25"/>
      <c r="Z4" s="103">
        <f>ROUND(C_Ope_008[[#This Row],[monto]]/1.18,3)</f>
        <v>144.06800000000001</v>
      </c>
      <c r="AA4" s="3" t="str">
        <f>IF(C_Ope_008[[#This Row],[fecha]]&gt;0,TEXT(C_Ope_008[[#This Row],[fecha]],"mmmm"),0)</f>
        <v>Enero</v>
      </c>
      <c r="AB4" s="49"/>
    </row>
    <row r="5" spans="1:28" ht="24" x14ac:dyDescent="0.3">
      <c r="A5" s="2">
        <f>IF(C_Ope_008[[#This Row],[tipo_r]]="R",COUNTIFS($C$1:$C4,"R")+1,"")</f>
        <v>4</v>
      </c>
      <c r="B5" s="19" t="str">
        <f t="shared" si="4"/>
        <v>C_Ope_008</v>
      </c>
      <c r="C5" s="3" t="s">
        <v>1330</v>
      </c>
      <c r="D5" s="14">
        <v>45671</v>
      </c>
      <c r="E5" s="5" t="s">
        <v>5380</v>
      </c>
      <c r="F5" s="5" t="s">
        <v>1336</v>
      </c>
      <c r="G5" s="6"/>
      <c r="H5" s="6" t="s">
        <v>68</v>
      </c>
      <c r="I5" s="6" t="s">
        <v>1339</v>
      </c>
      <c r="J5" s="6">
        <v>1667</v>
      </c>
      <c r="K5" s="7" t="s">
        <v>9083</v>
      </c>
      <c r="L5" s="8">
        <v>22644</v>
      </c>
      <c r="M5" s="8" t="str">
        <f t="shared" si="5"/>
        <v>PEN</v>
      </c>
      <c r="N5" s="13">
        <v>-0.16</v>
      </c>
      <c r="O5" s="13">
        <v>52.73</v>
      </c>
      <c r="P5" s="3">
        <f t="shared" si="1"/>
        <v>0</v>
      </c>
      <c r="Q5" s="3">
        <f t="shared" si="2"/>
        <v>52.73</v>
      </c>
      <c r="R5" s="3">
        <f t="shared" si="3"/>
        <v>150.07000000000002</v>
      </c>
      <c r="S5" s="24"/>
      <c r="T5" s="24"/>
      <c r="U5" s="3"/>
      <c r="V5" s="25" t="s">
        <v>7754</v>
      </c>
      <c r="W5" s="25">
        <v>20556038806</v>
      </c>
      <c r="X5" s="25" t="str">
        <f>IFERROR(VLOOKUP(C_Ope_008[[#This Row],[nota_2]],Clientes_Proveedores[[Ruc / Dni]:[Razon Social]],2,0),"")</f>
        <v>ANDES MOTOR PERU S.A.C.</v>
      </c>
      <c r="Y5" s="25"/>
      <c r="Z5" s="103"/>
      <c r="AA5" s="3" t="str">
        <f>IF(C_Ope_008[[#This Row],[fecha]]&gt;0,TEXT(C_Ope_008[[#This Row],[fecha]],"mmmm"),0)</f>
        <v>Enero</v>
      </c>
      <c r="AB5" s="49"/>
    </row>
    <row r="6" spans="1:28" ht="24" x14ac:dyDescent="0.3">
      <c r="A6" s="2">
        <f>IF(C_Ope_008[[#This Row],[tipo_r]]="R",COUNTIFS($C$1:$C5,"R")+1,"")</f>
        <v>5</v>
      </c>
      <c r="B6" s="19" t="str">
        <f t="shared" si="4"/>
        <v>C_Ope_008</v>
      </c>
      <c r="C6" s="3" t="s">
        <v>1330</v>
      </c>
      <c r="D6" s="14">
        <v>45671</v>
      </c>
      <c r="E6" s="5" t="s">
        <v>5380</v>
      </c>
      <c r="F6" s="5" t="s">
        <v>1336</v>
      </c>
      <c r="G6" s="6"/>
      <c r="H6" s="6" t="s">
        <v>68</v>
      </c>
      <c r="I6" s="6" t="s">
        <v>1376</v>
      </c>
      <c r="J6" s="6">
        <v>2897</v>
      </c>
      <c r="K6" s="7" t="s">
        <v>9084</v>
      </c>
      <c r="L6" s="8">
        <v>22645</v>
      </c>
      <c r="M6" s="8" t="str">
        <f t="shared" si="5"/>
        <v>PEN</v>
      </c>
      <c r="N6" s="13"/>
      <c r="O6" s="13">
        <v>15</v>
      </c>
      <c r="P6" s="3">
        <f t="shared" si="1"/>
        <v>0</v>
      </c>
      <c r="Q6" s="3">
        <f t="shared" si="2"/>
        <v>15</v>
      </c>
      <c r="R6" s="3">
        <f t="shared" si="3"/>
        <v>135.07000000000002</v>
      </c>
      <c r="S6" s="24"/>
      <c r="T6" s="24"/>
      <c r="U6" s="3"/>
      <c r="V6" s="25" t="s">
        <v>8072</v>
      </c>
      <c r="W6" s="25">
        <v>10402383548</v>
      </c>
      <c r="X6" s="25" t="str">
        <f>IFERROR(VLOOKUP(C_Ope_008[[#This Row],[nota_2]],Clientes_Proveedores[[Ruc / Dni]:[Razon Social]],2,0),"")</f>
        <v>HUALLA SANCHEZ GUSTAVO PAUL</v>
      </c>
      <c r="Y6" s="25"/>
      <c r="Z6" s="103"/>
      <c r="AA6" s="3" t="str">
        <f>IF(C_Ope_008[[#This Row],[fecha]]&gt;0,TEXT(C_Ope_008[[#This Row],[fecha]],"mmmm"),0)</f>
        <v>Enero</v>
      </c>
      <c r="AB6" s="49"/>
    </row>
    <row r="7" spans="1:28" x14ac:dyDescent="0.3">
      <c r="A7" s="2">
        <f>IF(C_Ope_008[[#This Row],[tipo_r]]="R",COUNTIFS($C$1:$C6,"R")+1,"")</f>
        <v>6</v>
      </c>
      <c r="B7" s="19" t="str">
        <f t="shared" si="4"/>
        <v>C_Ope_008</v>
      </c>
      <c r="C7" s="3" t="s">
        <v>1330</v>
      </c>
      <c r="D7" s="14">
        <v>45671</v>
      </c>
      <c r="E7" s="5" t="s">
        <v>5380</v>
      </c>
      <c r="F7" s="5" t="s">
        <v>1336</v>
      </c>
      <c r="G7" s="6"/>
      <c r="H7" s="6" t="s">
        <v>75</v>
      </c>
      <c r="I7" s="6">
        <v>3</v>
      </c>
      <c r="J7" s="6">
        <v>1250</v>
      </c>
      <c r="K7" s="7" t="s">
        <v>9085</v>
      </c>
      <c r="L7" s="8">
        <v>22671</v>
      </c>
      <c r="M7" s="8" t="str">
        <f t="shared" si="5"/>
        <v>PEN</v>
      </c>
      <c r="N7" s="13"/>
      <c r="O7" s="13">
        <v>60</v>
      </c>
      <c r="P7" s="3">
        <f t="shared" si="1"/>
        <v>0</v>
      </c>
      <c r="Q7" s="3">
        <f t="shared" si="2"/>
        <v>60</v>
      </c>
      <c r="R7" s="3">
        <f t="shared" si="3"/>
        <v>75.070000000000022</v>
      </c>
      <c r="S7" s="24"/>
      <c r="T7" s="24"/>
      <c r="U7" s="3"/>
      <c r="V7" s="25" t="s">
        <v>8277</v>
      </c>
      <c r="W7" s="25">
        <v>10421518519</v>
      </c>
      <c r="X7" s="25" t="str">
        <f>IFERROR(VLOOKUP(C_Ope_008[[#This Row],[nota_2]],Clientes_Proveedores[[Ruc / Dni]:[Razon Social]],2,0),"")</f>
        <v/>
      </c>
      <c r="Y7" s="25"/>
      <c r="Z7" s="103"/>
      <c r="AA7" s="3" t="str">
        <f>IF(C_Ope_008[[#This Row],[fecha]]&gt;0,TEXT(C_Ope_008[[#This Row],[fecha]],"mmmm"),0)</f>
        <v>Enero</v>
      </c>
      <c r="AB7" s="49"/>
    </row>
    <row r="8" spans="1:28" ht="24" x14ac:dyDescent="0.3">
      <c r="A8" s="2">
        <f>IF(C_Ope_008[[#This Row],[tipo_r]]="R",COUNTIFS($C$1:$C7,"R")+1,"")</f>
        <v>7</v>
      </c>
      <c r="B8" s="19" t="str">
        <f t="shared" si="4"/>
        <v>C_Ope_008</v>
      </c>
      <c r="C8" s="3" t="s">
        <v>1330</v>
      </c>
      <c r="D8" s="14">
        <v>45674</v>
      </c>
      <c r="E8" s="5" t="s">
        <v>5380</v>
      </c>
      <c r="F8" s="5" t="s">
        <v>1336</v>
      </c>
      <c r="G8" s="6"/>
      <c r="H8" s="6" t="s">
        <v>68</v>
      </c>
      <c r="I8" s="6" t="s">
        <v>1374</v>
      </c>
      <c r="J8" s="6">
        <v>3785</v>
      </c>
      <c r="K8" s="7" t="s">
        <v>9086</v>
      </c>
      <c r="L8" s="8">
        <v>22692</v>
      </c>
      <c r="M8" s="8" t="str">
        <f t="shared" si="5"/>
        <v>PEN</v>
      </c>
      <c r="N8" s="13"/>
      <c r="O8" s="13">
        <v>61</v>
      </c>
      <c r="P8" s="3">
        <f t="shared" si="1"/>
        <v>0</v>
      </c>
      <c r="Q8" s="3">
        <f t="shared" si="2"/>
        <v>61</v>
      </c>
      <c r="R8" s="3">
        <f t="shared" si="3"/>
        <v>14.070000000000022</v>
      </c>
      <c r="S8" s="24"/>
      <c r="T8" s="24"/>
      <c r="U8" s="3"/>
      <c r="V8" s="25" t="s">
        <v>7754</v>
      </c>
      <c r="W8" s="25">
        <v>20610059393</v>
      </c>
      <c r="X8" s="25" t="str">
        <f>IFERROR(VLOOKUP(C_Ope_008[[#This Row],[nota_2]],Clientes_Proveedores[[Ruc / Dni]:[Razon Social]],2,0),"")</f>
        <v>HARET CORPORACIÓN CHALHUAYANI E.I.R.L.</v>
      </c>
      <c r="Y8" s="25"/>
      <c r="Z8" s="103"/>
      <c r="AA8" s="3" t="str">
        <f>IF(C_Ope_008[[#This Row],[fecha]]&gt;0,TEXT(C_Ope_008[[#This Row],[fecha]],"mmmm"),0)</f>
        <v>Enero</v>
      </c>
      <c r="AB8" s="49"/>
    </row>
    <row r="9" spans="1:28" ht="24" x14ac:dyDescent="0.3">
      <c r="A9" s="2">
        <f>IF(C_Ope_008[[#This Row],[tipo_r]]="R",COUNTIFS($C$1:$C8,"R")+1,"")</f>
        <v>8</v>
      </c>
      <c r="B9" s="19" t="str">
        <f t="shared" si="4"/>
        <v>C_Ope_008</v>
      </c>
      <c r="C9" s="3" t="s">
        <v>1330</v>
      </c>
      <c r="D9" s="14">
        <v>45678</v>
      </c>
      <c r="E9" s="5" t="s">
        <v>7514</v>
      </c>
      <c r="F9" s="5" t="s">
        <v>1303</v>
      </c>
      <c r="G9" s="6" t="s">
        <v>922</v>
      </c>
      <c r="H9" s="6"/>
      <c r="I9" s="6"/>
      <c r="J9" s="6"/>
      <c r="K9" s="7" t="s">
        <v>9082</v>
      </c>
      <c r="L9" s="8">
        <v>22743</v>
      </c>
      <c r="M9" s="8" t="str">
        <f t="shared" si="5"/>
        <v>PEN</v>
      </c>
      <c r="N9" s="13"/>
      <c r="O9" s="13">
        <v>190</v>
      </c>
      <c r="P9" s="3">
        <f t="shared" si="1"/>
        <v>190</v>
      </c>
      <c r="Q9" s="3">
        <f t="shared" si="2"/>
        <v>0</v>
      </c>
      <c r="R9" s="3">
        <f t="shared" si="3"/>
        <v>204.07000000000002</v>
      </c>
      <c r="S9" s="24" t="s">
        <v>1334</v>
      </c>
      <c r="T9" s="24" t="s">
        <v>1334</v>
      </c>
      <c r="U9" s="3"/>
      <c r="V9" s="25"/>
      <c r="W9" s="25"/>
      <c r="X9" s="25" t="str">
        <f>IFERROR(VLOOKUP(C_Ope_008[[#This Row],[nota_2]],Clientes_Proveedores[[Ruc / Dni]:[Razon Social]],2,0),"")</f>
        <v/>
      </c>
      <c r="Y9" s="25"/>
      <c r="Z9" s="103">
        <f>ROUND(C_Ope_008[[#This Row],[monto]]/1.18,3)</f>
        <v>161.017</v>
      </c>
      <c r="AA9" s="3" t="str">
        <f>IF(C_Ope_008[[#This Row],[fecha]]&gt;0,TEXT(C_Ope_008[[#This Row],[fecha]],"mmmm"),0)</f>
        <v>Enero</v>
      </c>
      <c r="AB9" s="49"/>
    </row>
    <row r="10" spans="1:28" x14ac:dyDescent="0.3">
      <c r="A10" s="2">
        <f>IF(C_Ope_008[[#This Row],[tipo_r]]="R",COUNTIFS($C$1:$C9,"R")+1,"")</f>
        <v>9</v>
      </c>
      <c r="B10" s="19" t="str">
        <f t="shared" si="4"/>
        <v>C_Ope_008</v>
      </c>
      <c r="C10" s="3" t="s">
        <v>1330</v>
      </c>
      <c r="D10" s="14">
        <v>45677</v>
      </c>
      <c r="E10" s="5" t="s">
        <v>5380</v>
      </c>
      <c r="F10" s="5" t="s">
        <v>1336</v>
      </c>
      <c r="G10" s="6"/>
      <c r="H10" s="6" t="s">
        <v>68</v>
      </c>
      <c r="I10" s="6" t="s">
        <v>1376</v>
      </c>
      <c r="J10" s="6">
        <v>1032</v>
      </c>
      <c r="K10" s="7" t="s">
        <v>9087</v>
      </c>
      <c r="L10" s="8">
        <v>22729</v>
      </c>
      <c r="M10" s="8" t="str">
        <f t="shared" si="5"/>
        <v>PEN</v>
      </c>
      <c r="N10" s="13">
        <v>-0.01</v>
      </c>
      <c r="O10" s="13">
        <v>10</v>
      </c>
      <c r="P10" s="3">
        <f t="shared" si="1"/>
        <v>0</v>
      </c>
      <c r="Q10" s="3">
        <f t="shared" si="2"/>
        <v>10</v>
      </c>
      <c r="R10" s="3">
        <f t="shared" si="3"/>
        <v>194.07000000000002</v>
      </c>
      <c r="S10" s="24"/>
      <c r="T10" s="24"/>
      <c r="U10" s="3"/>
      <c r="V10" s="25" t="s">
        <v>8277</v>
      </c>
      <c r="W10" s="25">
        <v>10199084050</v>
      </c>
      <c r="X10" s="25" t="str">
        <f>IFERROR(VLOOKUP(C_Ope_008[[#This Row],[nota_2]],Clientes_Proveedores[[Ruc / Dni]:[Razon Social]],2,0),"")</f>
        <v/>
      </c>
      <c r="Y10" s="25"/>
      <c r="Z10" s="103"/>
      <c r="AA10" s="3" t="str">
        <f>IF(C_Ope_008[[#This Row],[fecha]]&gt;0,TEXT(C_Ope_008[[#This Row],[fecha]],"mmmm"),0)</f>
        <v>Enero</v>
      </c>
      <c r="AB10" s="49"/>
    </row>
    <row r="11" spans="1:28" ht="24" x14ac:dyDescent="0.3">
      <c r="A11" s="2">
        <f>IF(C_Ope_008[[#This Row],[tipo_r]]="R",COUNTIFS($C$1:$C10,"R")+1,"")</f>
        <v>10</v>
      </c>
      <c r="B11" s="19" t="str">
        <f t="shared" si="4"/>
        <v>C_Ope_008</v>
      </c>
      <c r="C11" s="3" t="s">
        <v>1330</v>
      </c>
      <c r="D11" s="14">
        <v>45677</v>
      </c>
      <c r="E11" s="5" t="s">
        <v>5380</v>
      </c>
      <c r="F11" s="5" t="s">
        <v>1336</v>
      </c>
      <c r="G11" s="6"/>
      <c r="H11" s="6" t="s">
        <v>68</v>
      </c>
      <c r="I11" s="6" t="s">
        <v>1374</v>
      </c>
      <c r="J11" s="6">
        <v>5156</v>
      </c>
      <c r="K11" s="7" t="s">
        <v>9088</v>
      </c>
      <c r="L11" s="8">
        <v>22731</v>
      </c>
      <c r="M11" s="8" t="str">
        <f t="shared" si="5"/>
        <v>PEN</v>
      </c>
      <c r="N11" s="13"/>
      <c r="O11" s="13">
        <v>20</v>
      </c>
      <c r="P11" s="3">
        <f t="shared" si="1"/>
        <v>0</v>
      </c>
      <c r="Q11" s="3">
        <f t="shared" si="2"/>
        <v>20</v>
      </c>
      <c r="R11" s="3">
        <f t="shared" si="3"/>
        <v>174.07000000000002</v>
      </c>
      <c r="S11" s="24"/>
      <c r="T11" s="24"/>
      <c r="U11" s="3"/>
      <c r="V11" s="25" t="s">
        <v>8277</v>
      </c>
      <c r="W11" s="25">
        <v>10106971302</v>
      </c>
      <c r="X11" s="25" t="str">
        <f>IFERROR(VLOOKUP(C_Ope_008[[#This Row],[nota_2]],Clientes_Proveedores[[Ruc / Dni]:[Razon Social]],2,0),"")</f>
        <v/>
      </c>
      <c r="Y11" s="25"/>
      <c r="Z11" s="103"/>
      <c r="AA11" s="3" t="str">
        <f>IF(C_Ope_008[[#This Row],[fecha]]&gt;0,TEXT(C_Ope_008[[#This Row],[fecha]],"mmmm"),0)</f>
        <v>Enero</v>
      </c>
      <c r="AB11" s="49"/>
    </row>
    <row r="12" spans="1:28" ht="60" x14ac:dyDescent="0.3">
      <c r="A12" s="2">
        <f>IF(C_Ope_008[[#This Row],[tipo_r]]="R",COUNTIFS($C$1:$C11,"R")+1,"")</f>
        <v>11</v>
      </c>
      <c r="B12" s="19" t="str">
        <f t="shared" si="4"/>
        <v>C_Ope_008</v>
      </c>
      <c r="C12" s="3" t="s">
        <v>1330</v>
      </c>
      <c r="D12" s="14">
        <v>45678</v>
      </c>
      <c r="E12" s="5" t="s">
        <v>5380</v>
      </c>
      <c r="F12" s="5" t="s">
        <v>1336</v>
      </c>
      <c r="G12" s="6"/>
      <c r="H12" s="6" t="s">
        <v>68</v>
      </c>
      <c r="I12" s="6" t="s">
        <v>1390</v>
      </c>
      <c r="J12" s="6">
        <v>3293</v>
      </c>
      <c r="K12" s="7" t="s">
        <v>9089</v>
      </c>
      <c r="L12" s="8">
        <v>22742</v>
      </c>
      <c r="M12" s="8" t="str">
        <f t="shared" si="5"/>
        <v>PEN</v>
      </c>
      <c r="N12" s="13"/>
      <c r="O12" s="13">
        <v>58</v>
      </c>
      <c r="P12" s="3">
        <f t="shared" si="1"/>
        <v>0</v>
      </c>
      <c r="Q12" s="3">
        <f t="shared" si="2"/>
        <v>58</v>
      </c>
      <c r="R12" s="3">
        <f t="shared" si="3"/>
        <v>116.07000000000002</v>
      </c>
      <c r="S12" s="24"/>
      <c r="T12" s="24"/>
      <c r="U12" s="3"/>
      <c r="V12" s="25" t="s">
        <v>7756</v>
      </c>
      <c r="W12" s="25">
        <v>20602593593</v>
      </c>
      <c r="X12" s="25" t="str">
        <f>IFERROR(VLOOKUP(C_Ope_008[[#This Row],[nota_2]],Clientes_Proveedores[[Ruc / Dni]:[Razon Social]],2,0),"")</f>
        <v>SP TRANSPORT LOGISTIC SOCIEDAD ANONIMA CERRADA - SP TRANSPORT LOGISTIC S.A.C.</v>
      </c>
      <c r="Y12" s="25"/>
      <c r="Z12" s="103"/>
      <c r="AA12" s="3" t="str">
        <f>IF(C_Ope_008[[#This Row],[fecha]]&gt;0,TEXT(C_Ope_008[[#This Row],[fecha]],"mmmm"),0)</f>
        <v>Enero</v>
      </c>
      <c r="AB12" s="49"/>
    </row>
    <row r="13" spans="1:28" ht="24" x14ac:dyDescent="0.3">
      <c r="A13" s="2">
        <f>IF(C_Ope_008[[#This Row],[tipo_r]]="R",COUNTIFS($C$1:$C12,"R")+1,"")</f>
        <v>12</v>
      </c>
      <c r="B13" s="19" t="str">
        <f t="shared" si="4"/>
        <v>C_Ope_008</v>
      </c>
      <c r="C13" s="3" t="s">
        <v>1330</v>
      </c>
      <c r="D13" s="14">
        <v>45678</v>
      </c>
      <c r="E13" s="5" t="s">
        <v>5380</v>
      </c>
      <c r="F13" s="5" t="s">
        <v>1336</v>
      </c>
      <c r="G13" s="6"/>
      <c r="H13" s="6" t="s">
        <v>68</v>
      </c>
      <c r="I13" s="6" t="s">
        <v>1390</v>
      </c>
      <c r="J13" s="6">
        <v>12474</v>
      </c>
      <c r="K13" s="7" t="s">
        <v>9090</v>
      </c>
      <c r="L13" s="8">
        <v>22752</v>
      </c>
      <c r="M13" s="8" t="str">
        <f t="shared" si="5"/>
        <v>PEN</v>
      </c>
      <c r="N13" s="13"/>
      <c r="O13" s="13">
        <v>10</v>
      </c>
      <c r="P13" s="3">
        <f t="shared" si="1"/>
        <v>0</v>
      </c>
      <c r="Q13" s="3">
        <f t="shared" si="2"/>
        <v>10</v>
      </c>
      <c r="R13" s="3">
        <f t="shared" si="3"/>
        <v>106.07000000000002</v>
      </c>
      <c r="S13" s="24"/>
      <c r="T13" s="24"/>
      <c r="U13" s="3"/>
      <c r="V13" s="25" t="s">
        <v>7761</v>
      </c>
      <c r="W13" s="25">
        <v>10294164630</v>
      </c>
      <c r="X13" s="25" t="str">
        <f>IFERROR(VLOOKUP(C_Ope_008[[#This Row],[nota_2]],Clientes_Proveedores[[Ruc / Dni]:[Razon Social]],2,0),"")</f>
        <v>FLORES FLORES DOLORES MARIA</v>
      </c>
      <c r="Y13" s="25"/>
      <c r="Z13" s="103"/>
      <c r="AA13" s="3" t="str">
        <f>IF(C_Ope_008[[#This Row],[fecha]]&gt;0,TEXT(C_Ope_008[[#This Row],[fecha]],"mmmm"),0)</f>
        <v>Enero</v>
      </c>
      <c r="AB13" s="49"/>
    </row>
    <row r="14" spans="1:28" x14ac:dyDescent="0.3">
      <c r="A14" s="2">
        <f>IF(C_Ope_008[[#This Row],[tipo_r]]="R",COUNTIFS($C$1:$C13,"R")+1,"")</f>
        <v>13</v>
      </c>
      <c r="B14" s="19" t="str">
        <f t="shared" si="4"/>
        <v>C_Ope_008</v>
      </c>
      <c r="C14" s="3" t="s">
        <v>1330</v>
      </c>
      <c r="D14" s="14">
        <v>45678</v>
      </c>
      <c r="E14" s="5" t="s">
        <v>5380</v>
      </c>
      <c r="F14" s="5" t="s">
        <v>1336</v>
      </c>
      <c r="G14" s="6"/>
      <c r="H14" s="6" t="s">
        <v>68</v>
      </c>
      <c r="I14" s="6" t="s">
        <v>1390</v>
      </c>
      <c r="J14" s="6">
        <v>5833</v>
      </c>
      <c r="K14" s="7" t="s">
        <v>9091</v>
      </c>
      <c r="L14" s="8">
        <v>22753</v>
      </c>
      <c r="M14" s="8" t="str">
        <f t="shared" si="5"/>
        <v>PEN</v>
      </c>
      <c r="N14" s="13"/>
      <c r="O14" s="13">
        <v>40</v>
      </c>
      <c r="P14" s="3">
        <f t="shared" si="1"/>
        <v>0</v>
      </c>
      <c r="Q14" s="3">
        <f t="shared" si="2"/>
        <v>40</v>
      </c>
      <c r="R14" s="3">
        <f t="shared" si="3"/>
        <v>66.070000000000022</v>
      </c>
      <c r="S14" s="24"/>
      <c r="T14" s="24"/>
      <c r="U14" s="3"/>
      <c r="V14" s="25" t="s">
        <v>7761</v>
      </c>
      <c r="W14" s="25">
        <v>20455261431</v>
      </c>
      <c r="X14" s="25" t="str">
        <f>IFERROR(VLOOKUP(C_Ope_008[[#This Row],[nota_2]],Clientes_Proveedores[[Ruc / Dni]:[Razon Social]],2,0),"")</f>
        <v>IZA RACING S.A.C.</v>
      </c>
      <c r="Y14" s="25"/>
      <c r="Z14" s="103"/>
      <c r="AA14" s="3" t="str">
        <f>IF(C_Ope_008[[#This Row],[fecha]]&gt;0,TEXT(C_Ope_008[[#This Row],[fecha]],"mmmm"),0)</f>
        <v>Enero</v>
      </c>
      <c r="AB14" s="49"/>
    </row>
    <row r="15" spans="1:28" ht="24" x14ac:dyDescent="0.3">
      <c r="A15" s="2">
        <f>IF(C_Ope_008[[#This Row],[tipo_r]]="R",COUNTIFS($C$1:$C14,"R")+1,"")</f>
        <v>14</v>
      </c>
      <c r="B15" s="19" t="str">
        <f t="shared" si="4"/>
        <v>C_Ope_008</v>
      </c>
      <c r="C15" s="3" t="s">
        <v>1330</v>
      </c>
      <c r="D15" s="14">
        <v>45684</v>
      </c>
      <c r="E15" s="5" t="s">
        <v>7514</v>
      </c>
      <c r="F15" s="5" t="s">
        <v>1303</v>
      </c>
      <c r="G15" s="6" t="s">
        <v>922</v>
      </c>
      <c r="H15" s="6"/>
      <c r="I15" s="6"/>
      <c r="J15" s="6"/>
      <c r="K15" s="7" t="s">
        <v>9082</v>
      </c>
      <c r="L15" s="8">
        <v>22808</v>
      </c>
      <c r="M15" s="8" t="str">
        <f t="shared" si="5"/>
        <v>PEN</v>
      </c>
      <c r="N15" s="13"/>
      <c r="O15" s="13">
        <v>130</v>
      </c>
      <c r="P15" s="3">
        <f t="shared" si="1"/>
        <v>130</v>
      </c>
      <c r="Q15" s="3">
        <f t="shared" si="2"/>
        <v>0</v>
      </c>
      <c r="R15" s="3">
        <f t="shared" si="3"/>
        <v>196.07000000000002</v>
      </c>
      <c r="S15" s="24" t="s">
        <v>1334</v>
      </c>
      <c r="T15" s="24" t="s">
        <v>1334</v>
      </c>
      <c r="U15" s="3"/>
      <c r="V15" s="25"/>
      <c r="W15" s="25"/>
      <c r="X15" s="25" t="str">
        <f>IFERROR(VLOOKUP(C_Ope_008[[#This Row],[nota_2]],Clientes_Proveedores[[Ruc / Dni]:[Razon Social]],2,0),"")</f>
        <v/>
      </c>
      <c r="Y15" s="25"/>
      <c r="Z15" s="103">
        <f>ROUND(C_Ope_008[[#This Row],[monto]]/1.18,3)</f>
        <v>110.169</v>
      </c>
      <c r="AA15" s="3" t="str">
        <f>IF(C_Ope_008[[#This Row],[fecha]]&gt;0,TEXT(C_Ope_008[[#This Row],[fecha]],"mmmm"),0)</f>
        <v>Enero</v>
      </c>
      <c r="AB15" s="49"/>
    </row>
    <row r="16" spans="1:28" ht="24" x14ac:dyDescent="0.3">
      <c r="A16" s="2">
        <f>IF(C_Ope_008[[#This Row],[tipo_r]]="R",COUNTIFS($C$1:$C15,"R")+1,"")</f>
        <v>15</v>
      </c>
      <c r="B16" s="19" t="str">
        <f t="shared" si="4"/>
        <v>C_Ope_008</v>
      </c>
      <c r="C16" s="3" t="s">
        <v>1330</v>
      </c>
      <c r="D16" s="14">
        <v>45684</v>
      </c>
      <c r="E16" s="5" t="s">
        <v>5380</v>
      </c>
      <c r="F16" s="5" t="s">
        <v>1336</v>
      </c>
      <c r="G16" s="6"/>
      <c r="H16" s="6" t="s">
        <v>68</v>
      </c>
      <c r="I16" s="6" t="s">
        <v>1390</v>
      </c>
      <c r="J16" s="6">
        <v>12520</v>
      </c>
      <c r="K16" s="7" t="s">
        <v>9092</v>
      </c>
      <c r="L16" s="8">
        <v>22814</v>
      </c>
      <c r="M16" s="8" t="str">
        <f t="shared" si="5"/>
        <v>PEN</v>
      </c>
      <c r="N16" s="13"/>
      <c r="O16" s="13">
        <v>10</v>
      </c>
      <c r="P16" s="3">
        <f t="shared" si="1"/>
        <v>0</v>
      </c>
      <c r="Q16" s="3">
        <f t="shared" si="2"/>
        <v>10</v>
      </c>
      <c r="R16" s="3">
        <f t="shared" si="3"/>
        <v>186.07000000000002</v>
      </c>
      <c r="S16" s="24"/>
      <c r="T16" s="24"/>
      <c r="U16" s="3"/>
      <c r="V16" s="25" t="s">
        <v>7761</v>
      </c>
      <c r="W16" s="25"/>
      <c r="X16" s="25" t="str">
        <f>IFERROR(VLOOKUP(C_Ope_008[[#This Row],[nota_2]],Clientes_Proveedores[[Ruc / Dni]:[Razon Social]],2,0),"")</f>
        <v/>
      </c>
      <c r="Y16" s="25"/>
      <c r="Z16" s="103"/>
      <c r="AA16" s="3" t="str">
        <f>IF(C_Ope_008[[#This Row],[fecha]]&gt;0,TEXT(C_Ope_008[[#This Row],[fecha]],"mmmm"),0)</f>
        <v>Enero</v>
      </c>
      <c r="AB16" s="49"/>
    </row>
    <row r="17" spans="1:28" ht="24" x14ac:dyDescent="0.3">
      <c r="A17" s="2">
        <f>IF(C_Ope_008[[#This Row],[tipo_r]]="R",COUNTIFS($C$1:$C16,"R")+1,"")</f>
        <v>16</v>
      </c>
      <c r="B17" s="19" t="str">
        <f t="shared" si="4"/>
        <v>C_Ope_008</v>
      </c>
      <c r="C17" s="3" t="s">
        <v>1330</v>
      </c>
      <c r="D17" s="14">
        <v>45695</v>
      </c>
      <c r="E17" s="5" t="s">
        <v>7514</v>
      </c>
      <c r="F17" s="5" t="s">
        <v>1303</v>
      </c>
      <c r="G17" s="6" t="s">
        <v>922</v>
      </c>
      <c r="H17" s="6"/>
      <c r="I17" s="6"/>
      <c r="J17" s="6"/>
      <c r="K17" s="7" t="s">
        <v>7537</v>
      </c>
      <c r="L17" s="8">
        <v>22938</v>
      </c>
      <c r="M17" s="8" t="str">
        <f t="shared" si="5"/>
        <v>PEN</v>
      </c>
      <c r="N17" s="13"/>
      <c r="O17" s="13">
        <v>20</v>
      </c>
      <c r="P17" s="3">
        <f t="shared" si="1"/>
        <v>20</v>
      </c>
      <c r="Q17" s="3">
        <f t="shared" si="2"/>
        <v>0</v>
      </c>
      <c r="R17" s="3">
        <f t="shared" si="3"/>
        <v>206.07000000000002</v>
      </c>
      <c r="S17" s="24" t="s">
        <v>1334</v>
      </c>
      <c r="T17" s="24" t="s">
        <v>1334</v>
      </c>
      <c r="U17" s="3"/>
      <c r="V17" s="25"/>
      <c r="W17" s="25"/>
      <c r="X17" s="25" t="str">
        <f>IFERROR(VLOOKUP(C_Ope_008[[#This Row],[nota_2]],Clientes_Proveedores[[Ruc / Dni]:[Razon Social]],2,0),"")</f>
        <v/>
      </c>
      <c r="Y17" s="25"/>
      <c r="Z17" s="103">
        <f>ROUND(C_Ope_008[[#This Row],[monto]]/1.18,3)</f>
        <v>16.949000000000002</v>
      </c>
      <c r="AA17" s="3" t="str">
        <f>IF(C_Ope_008[[#This Row],[fecha]]&gt;0,TEXT(C_Ope_008[[#This Row],[fecha]],"mmmm"),0)</f>
        <v>Febrero</v>
      </c>
      <c r="AB17" s="49"/>
    </row>
    <row r="18" spans="1:28" ht="24" x14ac:dyDescent="0.3">
      <c r="A18" s="2">
        <f>IF(C_Ope_008[[#This Row],[tipo_r]]="R",COUNTIFS($C$1:$C17,"R")+1,"")</f>
        <v>17</v>
      </c>
      <c r="B18" s="19" t="str">
        <f t="shared" si="4"/>
        <v>C_Ope_008</v>
      </c>
      <c r="C18" s="3" t="s">
        <v>1330</v>
      </c>
      <c r="D18" s="14">
        <v>45695</v>
      </c>
      <c r="E18" s="5" t="s">
        <v>7514</v>
      </c>
      <c r="F18" s="5" t="s">
        <v>1303</v>
      </c>
      <c r="G18" s="6" t="s">
        <v>922</v>
      </c>
      <c r="H18" s="6"/>
      <c r="I18" s="6"/>
      <c r="J18" s="6"/>
      <c r="K18" s="7" t="s">
        <v>7537</v>
      </c>
      <c r="L18" s="8">
        <v>22939</v>
      </c>
      <c r="M18" s="8" t="str">
        <f t="shared" si="5"/>
        <v>PEN</v>
      </c>
      <c r="N18" s="13"/>
      <c r="O18" s="13">
        <v>400</v>
      </c>
      <c r="P18" s="3">
        <f t="shared" si="1"/>
        <v>400</v>
      </c>
      <c r="Q18" s="3">
        <f t="shared" si="2"/>
        <v>0</v>
      </c>
      <c r="R18" s="3">
        <f t="shared" si="3"/>
        <v>606.07000000000005</v>
      </c>
      <c r="S18" s="24" t="s">
        <v>1334</v>
      </c>
      <c r="T18" s="24" t="s">
        <v>1334</v>
      </c>
      <c r="U18" s="3"/>
      <c r="V18" s="25"/>
      <c r="W18" s="25"/>
      <c r="X18" s="25" t="str">
        <f>IFERROR(VLOOKUP(C_Ope_008[[#This Row],[nota_2]],Clientes_Proveedores[[Ruc / Dni]:[Razon Social]],2,0),"")</f>
        <v/>
      </c>
      <c r="Y18" s="25"/>
      <c r="Z18" s="103">
        <f>ROUND(C_Ope_008[[#This Row],[monto]]/1.18,3)</f>
        <v>338.983</v>
      </c>
      <c r="AA18" s="3" t="str">
        <f>IF(C_Ope_008[[#This Row],[fecha]]&gt;0,TEXT(C_Ope_008[[#This Row],[fecha]],"mmmm"),0)</f>
        <v>Febrero</v>
      </c>
      <c r="AB18" s="49"/>
    </row>
    <row r="19" spans="1:28" ht="24" x14ac:dyDescent="0.3">
      <c r="A19" s="2">
        <f>IF(C_Ope_008[[#This Row],[tipo_r]]="R",COUNTIFS($C$1:$C18,"R")+1,"")</f>
        <v>18</v>
      </c>
      <c r="B19" s="19" t="str">
        <f t="shared" si="4"/>
        <v>C_Ope_008</v>
      </c>
      <c r="C19" s="3" t="s">
        <v>1330</v>
      </c>
      <c r="D19" s="14">
        <v>45696</v>
      </c>
      <c r="E19" s="5" t="s">
        <v>5380</v>
      </c>
      <c r="F19" s="5" t="s">
        <v>1336</v>
      </c>
      <c r="G19" s="6"/>
      <c r="H19" s="6" t="s">
        <v>68</v>
      </c>
      <c r="I19" s="6" t="s">
        <v>1376</v>
      </c>
      <c r="J19" s="6">
        <v>62</v>
      </c>
      <c r="K19" s="7" t="s">
        <v>9093</v>
      </c>
      <c r="L19" s="8">
        <v>22971</v>
      </c>
      <c r="M19" s="8" t="str">
        <f t="shared" si="5"/>
        <v>PEN</v>
      </c>
      <c r="N19" s="13">
        <v>-0.01</v>
      </c>
      <c r="O19" s="13">
        <v>12</v>
      </c>
      <c r="P19" s="3">
        <f t="shared" si="1"/>
        <v>0</v>
      </c>
      <c r="Q19" s="3">
        <f t="shared" si="2"/>
        <v>12</v>
      </c>
      <c r="R19" s="3">
        <f t="shared" si="3"/>
        <v>594.07000000000005</v>
      </c>
      <c r="S19" s="24"/>
      <c r="T19" s="24"/>
      <c r="U19" s="3"/>
      <c r="V19" s="25" t="s">
        <v>7842</v>
      </c>
      <c r="W19" s="25"/>
      <c r="X19" s="25" t="str">
        <f>IFERROR(VLOOKUP(C_Ope_008[[#This Row],[nota_2]],Clientes_Proveedores[[Ruc / Dni]:[Razon Social]],2,0),"")</f>
        <v/>
      </c>
      <c r="Y19" s="25"/>
      <c r="Z19" s="103"/>
      <c r="AA19" s="3" t="str">
        <f>IF(C_Ope_008[[#This Row],[fecha]]&gt;0,TEXT(C_Ope_008[[#This Row],[fecha]],"mmmm"),0)</f>
        <v>Febrero</v>
      </c>
      <c r="AB19" s="49"/>
    </row>
    <row r="20" spans="1:28" x14ac:dyDescent="0.3">
      <c r="A20" s="2">
        <f>IF(C_Ope_008[[#This Row],[tipo_r]]="R",COUNTIFS($C$1:$C19,"R")+1,"")</f>
        <v>19</v>
      </c>
      <c r="B20" s="19" t="str">
        <f t="shared" si="4"/>
        <v>C_Ope_008</v>
      </c>
      <c r="C20" s="3" t="s">
        <v>1330</v>
      </c>
      <c r="D20" s="14">
        <v>45698</v>
      </c>
      <c r="E20" s="5" t="s">
        <v>5380</v>
      </c>
      <c r="F20" s="5" t="s">
        <v>1336</v>
      </c>
      <c r="G20" s="6"/>
      <c r="H20" s="6" t="s">
        <v>68</v>
      </c>
      <c r="I20" s="6" t="s">
        <v>1390</v>
      </c>
      <c r="J20" s="6">
        <v>12605</v>
      </c>
      <c r="K20" s="7" t="s">
        <v>9094</v>
      </c>
      <c r="L20" s="8">
        <v>22958</v>
      </c>
      <c r="M20" s="8" t="str">
        <f t="shared" si="5"/>
        <v>PEN</v>
      </c>
      <c r="N20" s="13"/>
      <c r="O20" s="13">
        <v>10</v>
      </c>
      <c r="P20" s="3">
        <f t="shared" si="1"/>
        <v>0</v>
      </c>
      <c r="Q20" s="3">
        <f t="shared" si="2"/>
        <v>10</v>
      </c>
      <c r="R20" s="3">
        <f t="shared" si="3"/>
        <v>584.07000000000005</v>
      </c>
      <c r="S20" s="24"/>
      <c r="T20" s="24"/>
      <c r="U20" s="3"/>
      <c r="V20" s="25" t="s">
        <v>7842</v>
      </c>
      <c r="W20" s="25"/>
      <c r="X20" s="25" t="str">
        <f>IFERROR(VLOOKUP(C_Ope_008[[#This Row],[nota_2]],Clientes_Proveedores[[Ruc / Dni]:[Razon Social]],2,0),"")</f>
        <v/>
      </c>
      <c r="Y20" s="25"/>
      <c r="Z20" s="103"/>
      <c r="AA20" s="3" t="str">
        <f>IF(C_Ope_008[[#This Row],[fecha]]&gt;0,TEXT(C_Ope_008[[#This Row],[fecha]],"mmmm"),0)</f>
        <v>Febrero</v>
      </c>
      <c r="AB20" s="49"/>
    </row>
    <row r="21" spans="1:28" ht="24" x14ac:dyDescent="0.3">
      <c r="A21" s="2">
        <f>IF(C_Ope_008[[#This Row],[tipo_r]]="R",COUNTIFS($C$1:$C20,"R")+1,"")</f>
        <v>20</v>
      </c>
      <c r="B21" s="19" t="str">
        <f t="shared" si="4"/>
        <v>C_Ope_008</v>
      </c>
      <c r="C21" s="3" t="s">
        <v>1330</v>
      </c>
      <c r="D21" s="14">
        <v>45709</v>
      </c>
      <c r="E21" s="5" t="s">
        <v>5380</v>
      </c>
      <c r="F21" s="5" t="s">
        <v>1336</v>
      </c>
      <c r="G21" s="6"/>
      <c r="H21" s="6"/>
      <c r="I21" s="6" t="s">
        <v>9095</v>
      </c>
      <c r="J21" s="6">
        <v>176</v>
      </c>
      <c r="K21" s="7" t="s">
        <v>9096</v>
      </c>
      <c r="L21" s="8">
        <v>23122</v>
      </c>
      <c r="M21" s="8" t="str">
        <f t="shared" si="5"/>
        <v>PEN</v>
      </c>
      <c r="N21" s="13"/>
      <c r="O21" s="13">
        <v>100</v>
      </c>
      <c r="P21" s="3">
        <f t="shared" si="1"/>
        <v>0</v>
      </c>
      <c r="Q21" s="3">
        <f t="shared" si="2"/>
        <v>100</v>
      </c>
      <c r="R21" s="3">
        <f t="shared" si="3"/>
        <v>484.07000000000005</v>
      </c>
      <c r="S21" s="24"/>
      <c r="T21" s="24"/>
      <c r="U21" s="3"/>
      <c r="V21" s="25" t="s">
        <v>8277</v>
      </c>
      <c r="W21" s="25"/>
      <c r="X21" s="25" t="str">
        <f>IFERROR(VLOOKUP(C_Ope_008[[#This Row],[nota_2]],Clientes_Proveedores[[Ruc / Dni]:[Razon Social]],2,0),"")</f>
        <v/>
      </c>
      <c r="Y21" s="25"/>
      <c r="Z21" s="103"/>
      <c r="AA21" s="3" t="str">
        <f>IF(C_Ope_008[[#This Row],[fecha]]&gt;0,TEXT(C_Ope_008[[#This Row],[fecha]],"mmmm"),0)</f>
        <v>Febrero</v>
      </c>
      <c r="AB21" s="49"/>
    </row>
    <row r="22" spans="1:28" ht="24" x14ac:dyDescent="0.3">
      <c r="A22" s="2">
        <f>IF(C_Ope_008[[#This Row],[tipo_r]]="R",COUNTIFS($C$1:$C21,"R")+1,"")</f>
        <v>21</v>
      </c>
      <c r="B22" s="19" t="str">
        <f t="shared" si="4"/>
        <v>C_Ope_008</v>
      </c>
      <c r="C22" s="3" t="s">
        <v>1330</v>
      </c>
      <c r="D22" s="14">
        <v>45712</v>
      </c>
      <c r="E22" s="5" t="s">
        <v>5380</v>
      </c>
      <c r="F22" s="5" t="s">
        <v>1336</v>
      </c>
      <c r="G22" s="6"/>
      <c r="H22" s="6" t="s">
        <v>68</v>
      </c>
      <c r="I22" s="6" t="s">
        <v>9097</v>
      </c>
      <c r="J22" s="6">
        <v>14226</v>
      </c>
      <c r="K22" s="7" t="s">
        <v>9098</v>
      </c>
      <c r="L22" s="8">
        <v>23160</v>
      </c>
      <c r="M22" s="8" t="str">
        <f t="shared" si="5"/>
        <v>PEN</v>
      </c>
      <c r="N22" s="13"/>
      <c r="O22" s="13">
        <v>65.900000000000006</v>
      </c>
      <c r="P22" s="3">
        <f t="shared" si="1"/>
        <v>0</v>
      </c>
      <c r="Q22" s="3">
        <f t="shared" si="2"/>
        <v>65.900000000000006</v>
      </c>
      <c r="R22" s="3">
        <f t="shared" si="3"/>
        <v>418.17000000000007</v>
      </c>
      <c r="S22" s="24"/>
      <c r="T22" s="24"/>
      <c r="U22" s="3"/>
      <c r="V22" s="25" t="s">
        <v>8277</v>
      </c>
      <c r="W22" s="25"/>
      <c r="X22" s="25" t="str">
        <f>IFERROR(VLOOKUP(C_Ope_008[[#This Row],[nota_2]],Clientes_Proveedores[[Ruc / Dni]:[Razon Social]],2,0),"")</f>
        <v/>
      </c>
      <c r="Y22" s="25"/>
      <c r="Z22" s="103"/>
      <c r="AA22" s="3" t="str">
        <f>IF(C_Ope_008[[#This Row],[fecha]]&gt;0,TEXT(C_Ope_008[[#This Row],[fecha]],"mmmm"),0)</f>
        <v>Febrero</v>
      </c>
      <c r="AB22" s="49"/>
    </row>
    <row r="23" spans="1:28" x14ac:dyDescent="0.3">
      <c r="A23" s="2">
        <f>IF(C_Ope_008[[#This Row],[tipo_r]]="R",COUNTIFS($C$1:$C22,"R")+1,"")</f>
        <v>22</v>
      </c>
      <c r="B23" s="19" t="str">
        <f t="shared" si="4"/>
        <v>C_Ope_008</v>
      </c>
      <c r="C23" s="3" t="s">
        <v>1330</v>
      </c>
      <c r="D23" s="14">
        <v>45712</v>
      </c>
      <c r="E23" s="5" t="s">
        <v>5380</v>
      </c>
      <c r="F23" s="5" t="s">
        <v>1336</v>
      </c>
      <c r="G23" s="6"/>
      <c r="H23" s="6" t="s">
        <v>75</v>
      </c>
      <c r="I23" s="6">
        <v>1</v>
      </c>
      <c r="J23" s="6">
        <v>649</v>
      </c>
      <c r="K23" s="7" t="s">
        <v>9099</v>
      </c>
      <c r="L23" s="8">
        <v>23170</v>
      </c>
      <c r="M23" s="8" t="str">
        <f t="shared" si="5"/>
        <v>PEN</v>
      </c>
      <c r="N23" s="13"/>
      <c r="O23" s="13">
        <v>48</v>
      </c>
      <c r="P23" s="3">
        <f t="shared" si="1"/>
        <v>0</v>
      </c>
      <c r="Q23" s="3">
        <f t="shared" si="2"/>
        <v>48</v>
      </c>
      <c r="R23" s="3">
        <f t="shared" si="3"/>
        <v>370.17000000000007</v>
      </c>
      <c r="S23" s="24"/>
      <c r="T23" s="24"/>
      <c r="U23" s="3"/>
      <c r="V23" s="25" t="s">
        <v>8006</v>
      </c>
      <c r="W23" s="25"/>
      <c r="X23" s="25" t="str">
        <f>IFERROR(VLOOKUP(C_Ope_008[[#This Row],[nota_2]],Clientes_Proveedores[[Ruc / Dni]:[Razon Social]],2,0),"")</f>
        <v/>
      </c>
      <c r="Y23" s="25"/>
      <c r="Z23" s="103"/>
      <c r="AA23" s="3" t="str">
        <f>IF(C_Ope_008[[#This Row],[fecha]]&gt;0,TEXT(C_Ope_008[[#This Row],[fecha]],"mmmm"),0)</f>
        <v>Febrero</v>
      </c>
      <c r="AB23" s="49"/>
    </row>
    <row r="24" spans="1:28" x14ac:dyDescent="0.3">
      <c r="A24" s="2">
        <f>IF(C_Ope_008[[#This Row],[tipo_r]]="R",COUNTIFS($C$1:$C23,"R")+1,"")</f>
        <v>23</v>
      </c>
      <c r="B24" s="19" t="str">
        <f t="shared" si="4"/>
        <v>C_Ope_008</v>
      </c>
      <c r="C24" s="3" t="s">
        <v>1330</v>
      </c>
      <c r="D24" s="14">
        <v>45712</v>
      </c>
      <c r="E24" s="5" t="s">
        <v>5380</v>
      </c>
      <c r="F24" s="5" t="s">
        <v>1336</v>
      </c>
      <c r="G24" s="6"/>
      <c r="H24" s="6" t="s">
        <v>68</v>
      </c>
      <c r="I24" s="6" t="s">
        <v>3078</v>
      </c>
      <c r="J24" s="6">
        <v>39600</v>
      </c>
      <c r="K24" s="7" t="s">
        <v>9100</v>
      </c>
      <c r="L24" s="8">
        <v>23173</v>
      </c>
      <c r="M24" s="8" t="str">
        <f t="shared" si="5"/>
        <v>PEN</v>
      </c>
      <c r="N24" s="13"/>
      <c r="O24" s="13">
        <v>45</v>
      </c>
      <c r="P24" s="3">
        <f t="shared" si="1"/>
        <v>0</v>
      </c>
      <c r="Q24" s="3">
        <f t="shared" si="2"/>
        <v>45</v>
      </c>
      <c r="R24" s="3">
        <f t="shared" si="3"/>
        <v>325.17000000000007</v>
      </c>
      <c r="S24" s="24"/>
      <c r="T24" s="24"/>
      <c r="U24" s="3"/>
      <c r="V24" s="25" t="s">
        <v>8277</v>
      </c>
      <c r="W24" s="25"/>
      <c r="X24" s="25" t="str">
        <f>IFERROR(VLOOKUP(C_Ope_008[[#This Row],[nota_2]],Clientes_Proveedores[[Ruc / Dni]:[Razon Social]],2,0),"")</f>
        <v/>
      </c>
      <c r="Y24" s="25"/>
      <c r="Z24" s="103"/>
      <c r="AA24" s="3" t="str">
        <f>IF(C_Ope_008[[#This Row],[fecha]]&gt;0,TEXT(C_Ope_008[[#This Row],[fecha]],"mmmm"),0)</f>
        <v>Febrero</v>
      </c>
      <c r="AB24" s="49"/>
    </row>
    <row r="25" spans="1:28" x14ac:dyDescent="0.3">
      <c r="A25" s="2">
        <f>IF(C_Ope_008[[#This Row],[tipo_r]]="R",COUNTIFS($C$1:$C24,"R")+1,"")</f>
        <v>24</v>
      </c>
      <c r="B25" s="19" t="str">
        <f t="shared" si="4"/>
        <v>C_Ope_008</v>
      </c>
      <c r="C25" s="3" t="s">
        <v>1330</v>
      </c>
      <c r="D25" s="14">
        <v>45712</v>
      </c>
      <c r="E25" s="5" t="s">
        <v>5380</v>
      </c>
      <c r="F25" s="5" t="s">
        <v>1336</v>
      </c>
      <c r="G25" s="6"/>
      <c r="H25" s="6" t="s">
        <v>68</v>
      </c>
      <c r="I25" s="6" t="s">
        <v>1390</v>
      </c>
      <c r="J25" s="6">
        <v>5894</v>
      </c>
      <c r="K25" s="7" t="s">
        <v>9101</v>
      </c>
      <c r="L25" s="8">
        <v>23188</v>
      </c>
      <c r="M25" s="8" t="str">
        <f t="shared" si="5"/>
        <v>PEN</v>
      </c>
      <c r="N25" s="13"/>
      <c r="O25" s="13">
        <v>40</v>
      </c>
      <c r="P25" s="3">
        <f t="shared" si="1"/>
        <v>0</v>
      </c>
      <c r="Q25" s="3">
        <f t="shared" si="2"/>
        <v>40</v>
      </c>
      <c r="R25" s="3">
        <f t="shared" si="3"/>
        <v>285.17000000000007</v>
      </c>
      <c r="S25" s="24"/>
      <c r="T25" s="24"/>
      <c r="U25" s="3"/>
      <c r="V25" s="25" t="s">
        <v>7756</v>
      </c>
      <c r="W25" s="25"/>
      <c r="X25" s="25" t="str">
        <f>IFERROR(VLOOKUP(C_Ope_008[[#This Row],[nota_2]],Clientes_Proveedores[[Ruc / Dni]:[Razon Social]],2,0),"")</f>
        <v/>
      </c>
      <c r="Y25" s="25"/>
      <c r="Z25" s="103"/>
      <c r="AA25" s="3" t="str">
        <f>IF(C_Ope_008[[#This Row],[fecha]]&gt;0,TEXT(C_Ope_008[[#This Row],[fecha]],"mmmm"),0)</f>
        <v>Febrero</v>
      </c>
      <c r="AB25" s="49"/>
    </row>
    <row r="26" spans="1:28" x14ac:dyDescent="0.3">
      <c r="A26" s="2">
        <f>IF(C_Ope_008[[#This Row],[tipo_r]]="R",COUNTIFS($C$1:$C25,"R")+1,"")</f>
        <v>25</v>
      </c>
      <c r="B26" s="19" t="str">
        <f t="shared" si="4"/>
        <v>C_Ope_008</v>
      </c>
      <c r="C26" s="3" t="s">
        <v>1330</v>
      </c>
      <c r="D26" s="14">
        <v>45714</v>
      </c>
      <c r="E26" s="5" t="s">
        <v>5380</v>
      </c>
      <c r="F26" s="5" t="s">
        <v>1336</v>
      </c>
      <c r="G26" s="6"/>
      <c r="H26" s="6" t="s">
        <v>68</v>
      </c>
      <c r="I26" s="6" t="s">
        <v>1390</v>
      </c>
      <c r="J26" s="6">
        <v>12716</v>
      </c>
      <c r="K26" s="7" t="s">
        <v>9102</v>
      </c>
      <c r="L26" s="8">
        <v>23226</v>
      </c>
      <c r="M26" s="8" t="str">
        <f t="shared" si="5"/>
        <v>PEN</v>
      </c>
      <c r="N26" s="13"/>
      <c r="O26" s="13">
        <v>10</v>
      </c>
      <c r="P26" s="3">
        <f t="shared" si="1"/>
        <v>0</v>
      </c>
      <c r="Q26" s="3">
        <f t="shared" si="2"/>
        <v>10</v>
      </c>
      <c r="R26" s="3">
        <f t="shared" si="3"/>
        <v>275.17000000000007</v>
      </c>
      <c r="S26" s="24"/>
      <c r="T26" s="24"/>
      <c r="U26" s="3"/>
      <c r="V26" s="25" t="s">
        <v>8006</v>
      </c>
      <c r="W26" s="25"/>
      <c r="X26" s="25" t="str">
        <f>IFERROR(VLOOKUP(C_Ope_008[[#This Row],[nota_2]],Clientes_Proveedores[[Ruc / Dni]:[Razon Social]],2,0),"")</f>
        <v/>
      </c>
      <c r="Y26" s="25"/>
      <c r="Z26" s="103"/>
      <c r="AA26" s="3" t="str">
        <f>IF(C_Ope_008[[#This Row],[fecha]]&gt;0,TEXT(C_Ope_008[[#This Row],[fecha]],"mmmm"),0)</f>
        <v>Febrero</v>
      </c>
      <c r="AB26" s="49"/>
    </row>
    <row r="27" spans="1:28" ht="24" x14ac:dyDescent="0.3">
      <c r="A27" s="2">
        <f>IF(C_Ope_008[[#This Row],[tipo_r]]="R",COUNTIFS($C$1:$C26,"R")+1,"")</f>
        <v>26</v>
      </c>
      <c r="B27" s="19" t="str">
        <f t="shared" si="4"/>
        <v>C_Ope_008</v>
      </c>
      <c r="C27" s="3" t="s">
        <v>1330</v>
      </c>
      <c r="D27" s="14">
        <v>45720</v>
      </c>
      <c r="E27" s="5" t="s">
        <v>5380</v>
      </c>
      <c r="F27" s="5" t="s">
        <v>1336</v>
      </c>
      <c r="G27" s="6"/>
      <c r="H27" s="6" t="s">
        <v>68</v>
      </c>
      <c r="I27" s="6" t="s">
        <v>1374</v>
      </c>
      <c r="J27" s="6">
        <v>16674</v>
      </c>
      <c r="K27" s="7" t="s">
        <v>9103</v>
      </c>
      <c r="L27" s="8">
        <v>23299</v>
      </c>
      <c r="M27" s="8" t="str">
        <f t="shared" si="5"/>
        <v>PEN</v>
      </c>
      <c r="N27" s="13"/>
      <c r="O27" s="13">
        <v>25</v>
      </c>
      <c r="P27" s="3">
        <f t="shared" si="1"/>
        <v>0</v>
      </c>
      <c r="Q27" s="3">
        <f t="shared" si="2"/>
        <v>25</v>
      </c>
      <c r="R27" s="3">
        <f t="shared" si="3"/>
        <v>250.17000000000007</v>
      </c>
      <c r="S27" s="24"/>
      <c r="T27" s="24"/>
      <c r="U27" s="3"/>
      <c r="V27" s="25" t="s">
        <v>7756</v>
      </c>
      <c r="W27" s="25"/>
      <c r="X27" s="25" t="str">
        <f>IFERROR(VLOOKUP(C_Ope_008[[#This Row],[nota_2]],Clientes_Proveedores[[Ruc / Dni]:[Razon Social]],2,0),"")</f>
        <v/>
      </c>
      <c r="Y27" s="25"/>
      <c r="Z27" s="103"/>
      <c r="AA27" s="3" t="str">
        <f>IF(C_Ope_008[[#This Row],[fecha]]&gt;0,TEXT(C_Ope_008[[#This Row],[fecha]],"mmmm"),0)</f>
        <v>Marzo</v>
      </c>
      <c r="AB27" s="49"/>
    </row>
    <row r="28" spans="1:28" ht="24" x14ac:dyDescent="0.3">
      <c r="A28" s="2">
        <f>IF(C_Ope_008[[#This Row],[tipo_r]]="R",COUNTIFS($C$1:$C27,"R")+1,"")</f>
        <v>27</v>
      </c>
      <c r="B28" s="19" t="str">
        <f t="shared" si="4"/>
        <v>C_Ope_008</v>
      </c>
      <c r="C28" s="3" t="s">
        <v>1330</v>
      </c>
      <c r="D28" s="14">
        <v>45723</v>
      </c>
      <c r="E28" s="5" t="s">
        <v>5380</v>
      </c>
      <c r="F28" s="5" t="s">
        <v>1336</v>
      </c>
      <c r="G28" s="6"/>
      <c r="H28" s="6" t="s">
        <v>68</v>
      </c>
      <c r="I28" s="6" t="s">
        <v>1376</v>
      </c>
      <c r="J28" s="6">
        <v>229</v>
      </c>
      <c r="K28" s="7" t="s">
        <v>9104</v>
      </c>
      <c r="L28" s="8">
        <v>23325</v>
      </c>
      <c r="M28" s="8" t="str">
        <f t="shared" si="5"/>
        <v>PEN</v>
      </c>
      <c r="N28" s="13"/>
      <c r="O28" s="13">
        <v>40</v>
      </c>
      <c r="P28" s="3">
        <f t="shared" si="1"/>
        <v>0</v>
      </c>
      <c r="Q28" s="3">
        <f t="shared" si="2"/>
        <v>40</v>
      </c>
      <c r="R28" s="3">
        <f t="shared" si="3"/>
        <v>210.17000000000007</v>
      </c>
      <c r="S28" s="24"/>
      <c r="T28" s="24"/>
      <c r="U28" s="3"/>
      <c r="V28" s="25" t="s">
        <v>7761</v>
      </c>
      <c r="W28" s="25"/>
      <c r="X28" s="25" t="str">
        <f>IFERROR(VLOOKUP(C_Ope_008[[#This Row],[nota_2]],Clientes_Proveedores[[Ruc / Dni]:[Razon Social]],2,0),"")</f>
        <v/>
      </c>
      <c r="Y28" s="25"/>
      <c r="Z28" s="103"/>
      <c r="AA28" s="3" t="str">
        <f>IF(C_Ope_008[[#This Row],[fecha]]&gt;0,TEXT(C_Ope_008[[#This Row],[fecha]],"mmmm"),0)</f>
        <v>Marzo</v>
      </c>
      <c r="AB28" s="49"/>
    </row>
    <row r="29" spans="1:28" x14ac:dyDescent="0.3">
      <c r="A29" s="2">
        <f>IF(C_Ope_008[[#This Row],[tipo_r]]="R",COUNTIFS($C$1:$C28,"R")+1,"")</f>
        <v>28</v>
      </c>
      <c r="B29" s="19" t="str">
        <f t="shared" si="4"/>
        <v>C_Ope_008</v>
      </c>
      <c r="C29" s="3" t="s">
        <v>1330</v>
      </c>
      <c r="D29" s="14">
        <v>45723</v>
      </c>
      <c r="E29" s="5" t="s">
        <v>5380</v>
      </c>
      <c r="F29" s="5" t="s">
        <v>1336</v>
      </c>
      <c r="G29" s="6"/>
      <c r="H29" s="6" t="s">
        <v>68</v>
      </c>
      <c r="I29" s="6" t="s">
        <v>1374</v>
      </c>
      <c r="J29" s="6">
        <v>16734</v>
      </c>
      <c r="K29" s="7" t="s">
        <v>9105</v>
      </c>
      <c r="L29" s="8">
        <v>23327</v>
      </c>
      <c r="M29" s="8" t="str">
        <f t="shared" si="5"/>
        <v>PEN</v>
      </c>
      <c r="N29" s="13"/>
      <c r="O29" s="13">
        <v>30</v>
      </c>
      <c r="P29" s="3">
        <f t="shared" si="1"/>
        <v>0</v>
      </c>
      <c r="Q29" s="3">
        <f t="shared" si="2"/>
        <v>30</v>
      </c>
      <c r="R29" s="3">
        <f t="shared" si="3"/>
        <v>180.17000000000007</v>
      </c>
      <c r="S29" s="24"/>
      <c r="T29" s="24"/>
      <c r="U29" s="3"/>
      <c r="V29" s="25" t="s">
        <v>7842</v>
      </c>
      <c r="W29" s="25"/>
      <c r="X29" s="25" t="str">
        <f>IFERROR(VLOOKUP(C_Ope_008[[#This Row],[nota_2]],Clientes_Proveedores[[Ruc / Dni]:[Razon Social]],2,0),"")</f>
        <v/>
      </c>
      <c r="Y29" s="25"/>
      <c r="Z29" s="103"/>
      <c r="AA29" s="3" t="str">
        <f>IF(C_Ope_008[[#This Row],[fecha]]&gt;0,TEXT(C_Ope_008[[#This Row],[fecha]],"mmmm"),0)</f>
        <v>Marzo</v>
      </c>
      <c r="AB29" s="49"/>
    </row>
    <row r="30" spans="1:28" ht="24" x14ac:dyDescent="0.3">
      <c r="A30" s="2">
        <f>IF(C_Ope_008[[#This Row],[tipo_r]]="R",COUNTIFS($C$1:$C29,"R")+1,"")</f>
        <v>29</v>
      </c>
      <c r="B30" s="19" t="str">
        <f t="shared" si="4"/>
        <v>C_Ope_008</v>
      </c>
      <c r="C30" s="3" t="s">
        <v>1330</v>
      </c>
      <c r="D30" s="14">
        <v>45727</v>
      </c>
      <c r="E30" s="5" t="s">
        <v>7514</v>
      </c>
      <c r="F30" s="5" t="s">
        <v>1303</v>
      </c>
      <c r="G30" s="6" t="s">
        <v>922</v>
      </c>
      <c r="H30" s="6"/>
      <c r="I30" s="6"/>
      <c r="J30" s="6"/>
      <c r="K30" s="7" t="s">
        <v>7537</v>
      </c>
      <c r="L30" s="8">
        <v>23457</v>
      </c>
      <c r="M30" s="8" t="str">
        <f t="shared" si="5"/>
        <v>PEN</v>
      </c>
      <c r="N30" s="13"/>
      <c r="O30" s="13">
        <v>20</v>
      </c>
      <c r="P30" s="3">
        <f t="shared" si="1"/>
        <v>20</v>
      </c>
      <c r="Q30" s="3">
        <f t="shared" si="2"/>
        <v>0</v>
      </c>
      <c r="R30" s="3">
        <f t="shared" si="3"/>
        <v>200.17000000000007</v>
      </c>
      <c r="S30" s="24" t="s">
        <v>1334</v>
      </c>
      <c r="T30" s="24" t="s">
        <v>1334</v>
      </c>
      <c r="U30" s="3"/>
      <c r="V30" s="25"/>
      <c r="W30" s="25"/>
      <c r="X30" s="25" t="str">
        <f>IFERROR(VLOOKUP(C_Ope_008[[#This Row],[nota_2]],Clientes_Proveedores[[Ruc / Dni]:[Razon Social]],2,0),"")</f>
        <v/>
      </c>
      <c r="Y30" s="25"/>
      <c r="Z30" s="103">
        <f>ROUND(C_Ope_008[[#This Row],[monto]]/1.18,3)</f>
        <v>16.949000000000002</v>
      </c>
      <c r="AA30" s="3" t="str">
        <f>IF(C_Ope_008[[#This Row],[fecha]]&gt;0,TEXT(C_Ope_008[[#This Row],[fecha]],"mmmm"),0)</f>
        <v>Marzo</v>
      </c>
      <c r="AB30" s="49"/>
    </row>
    <row r="31" spans="1:28" x14ac:dyDescent="0.3">
      <c r="A31" s="2">
        <f>IF(C_Ope_008[[#This Row],[tipo_r]]="R",COUNTIFS($C$1:$C30,"R")+1,"")</f>
        <v>30</v>
      </c>
      <c r="B31" s="19" t="str">
        <f t="shared" si="4"/>
        <v>C_Ope_008</v>
      </c>
      <c r="C31" s="3" t="s">
        <v>1330</v>
      </c>
      <c r="D31" s="14">
        <v>45726</v>
      </c>
      <c r="E31" s="5" t="s">
        <v>5380</v>
      </c>
      <c r="F31" s="5" t="s">
        <v>1336</v>
      </c>
      <c r="G31" s="6"/>
      <c r="H31" s="6" t="s">
        <v>75</v>
      </c>
      <c r="I31" s="6">
        <v>2</v>
      </c>
      <c r="J31" s="6">
        <v>1701</v>
      </c>
      <c r="K31" s="7" t="s">
        <v>9106</v>
      </c>
      <c r="L31" s="8">
        <v>23362</v>
      </c>
      <c r="M31" s="8" t="str">
        <f t="shared" si="5"/>
        <v>PEN</v>
      </c>
      <c r="N31" s="13"/>
      <c r="O31" s="13">
        <v>30</v>
      </c>
      <c r="P31" s="3">
        <f t="shared" si="1"/>
        <v>0</v>
      </c>
      <c r="Q31" s="3">
        <f t="shared" si="2"/>
        <v>30</v>
      </c>
      <c r="R31" s="3">
        <f t="shared" si="3"/>
        <v>170.17000000000007</v>
      </c>
      <c r="S31" s="24"/>
      <c r="T31" s="24"/>
      <c r="U31" s="3"/>
      <c r="V31" s="25" t="s">
        <v>8006</v>
      </c>
      <c r="W31" s="25"/>
      <c r="X31" s="25" t="str">
        <f>IFERROR(VLOOKUP(C_Ope_008[[#This Row],[nota_2]],Clientes_Proveedores[[Ruc / Dni]:[Razon Social]],2,0),"")</f>
        <v/>
      </c>
      <c r="Y31" s="25"/>
      <c r="Z31" s="103"/>
      <c r="AA31" s="3" t="str">
        <f>IF(C_Ope_008[[#This Row],[fecha]]&gt;0,TEXT(C_Ope_008[[#This Row],[fecha]],"mmmm"),0)</f>
        <v>Marzo</v>
      </c>
      <c r="AB31" s="49"/>
    </row>
    <row r="32" spans="1:28" x14ac:dyDescent="0.3">
      <c r="A32" s="2">
        <f>IF(C_Ope_008[[#This Row],[tipo_r]]="R",COUNTIFS($C$1:$C31,"R")+1,"")</f>
        <v>31</v>
      </c>
      <c r="B32" s="19" t="str">
        <f t="shared" si="4"/>
        <v>C_Ope_008</v>
      </c>
      <c r="C32" s="3" t="s">
        <v>1330</v>
      </c>
      <c r="D32" s="14">
        <v>45727</v>
      </c>
      <c r="E32" s="5" t="s">
        <v>5380</v>
      </c>
      <c r="F32" s="5" t="s">
        <v>1336</v>
      </c>
      <c r="G32" s="6"/>
      <c r="H32" s="6" t="s">
        <v>68</v>
      </c>
      <c r="I32" s="6" t="s">
        <v>1390</v>
      </c>
      <c r="J32" s="6">
        <v>12785</v>
      </c>
      <c r="K32" s="7" t="s">
        <v>9107</v>
      </c>
      <c r="L32" s="8">
        <v>23363</v>
      </c>
      <c r="M32" s="8" t="str">
        <f t="shared" si="5"/>
        <v>PEN</v>
      </c>
      <c r="N32" s="13"/>
      <c r="O32" s="13">
        <v>10</v>
      </c>
      <c r="P32" s="3">
        <f t="shared" si="1"/>
        <v>0</v>
      </c>
      <c r="Q32" s="3">
        <f t="shared" si="2"/>
        <v>10</v>
      </c>
      <c r="R32" s="3">
        <f t="shared" si="3"/>
        <v>160.17000000000007</v>
      </c>
      <c r="S32" s="24"/>
      <c r="T32" s="24"/>
      <c r="U32" s="3"/>
      <c r="V32" s="25" t="s">
        <v>7756</v>
      </c>
      <c r="W32" s="25"/>
      <c r="X32" s="25" t="str">
        <f>IFERROR(VLOOKUP(C_Ope_008[[#This Row],[nota_2]],Clientes_Proveedores[[Ruc / Dni]:[Razon Social]],2,0),"")</f>
        <v/>
      </c>
      <c r="Y32" s="25"/>
      <c r="Z32" s="103"/>
      <c r="AA32" s="3" t="str">
        <f>IF(C_Ope_008[[#This Row],[fecha]]&gt;0,TEXT(C_Ope_008[[#This Row],[fecha]],"mmmm"),0)</f>
        <v>Marzo</v>
      </c>
      <c r="AB32" s="49"/>
    </row>
    <row r="33" spans="1:28" ht="24" x14ac:dyDescent="0.3">
      <c r="A33" s="2">
        <f>IF(C_Ope_008[[#This Row],[tipo_r]]="R",COUNTIFS($C$1:$C32,"R")+1,"")</f>
        <v>32</v>
      </c>
      <c r="B33" s="19" t="str">
        <f t="shared" si="4"/>
        <v>C_Ope_008</v>
      </c>
      <c r="C33" s="3" t="s">
        <v>1330</v>
      </c>
      <c r="D33" s="14">
        <v>45727</v>
      </c>
      <c r="E33" s="5" t="s">
        <v>5380</v>
      </c>
      <c r="F33" s="5" t="s">
        <v>1336</v>
      </c>
      <c r="G33" s="6"/>
      <c r="H33" s="6" t="s">
        <v>68</v>
      </c>
      <c r="I33" s="6" t="s">
        <v>1390</v>
      </c>
      <c r="J33" s="6">
        <v>12793</v>
      </c>
      <c r="K33" s="7" t="s">
        <v>9108</v>
      </c>
      <c r="L33" s="8">
        <v>23387</v>
      </c>
      <c r="M33" s="8" t="str">
        <f t="shared" si="5"/>
        <v>PEN</v>
      </c>
      <c r="N33" s="13"/>
      <c r="O33" s="13">
        <v>38</v>
      </c>
      <c r="P33" s="3">
        <f t="shared" si="1"/>
        <v>0</v>
      </c>
      <c r="Q33" s="3">
        <f t="shared" si="2"/>
        <v>38</v>
      </c>
      <c r="R33" s="3">
        <f t="shared" si="3"/>
        <v>122.17000000000007</v>
      </c>
      <c r="S33" s="24"/>
      <c r="T33" s="24"/>
      <c r="U33" s="3"/>
      <c r="V33" s="25" t="s">
        <v>8006</v>
      </c>
      <c r="W33" s="25"/>
      <c r="X33" s="25" t="str">
        <f>IFERROR(VLOOKUP(C_Ope_008[[#This Row],[nota_2]],Clientes_Proveedores[[Ruc / Dni]:[Razon Social]],2,0),"")</f>
        <v/>
      </c>
      <c r="Y33" s="25"/>
      <c r="Z33" s="103"/>
      <c r="AA33" s="3" t="str">
        <f>IF(C_Ope_008[[#This Row],[fecha]]&gt;0,TEXT(C_Ope_008[[#This Row],[fecha]],"mmmm"),0)</f>
        <v>Marzo</v>
      </c>
      <c r="AB33" s="49"/>
    </row>
    <row r="34" spans="1:28" x14ac:dyDescent="0.3">
      <c r="A34" s="2">
        <f>IF(C_Ope_008[[#This Row],[tipo_r]]="R",COUNTIFS($C$1:$C33,"R")+1,"")</f>
        <v>33</v>
      </c>
      <c r="B34" s="19" t="str">
        <f t="shared" si="4"/>
        <v>C_Ope_008</v>
      </c>
      <c r="C34" s="3" t="s">
        <v>1330</v>
      </c>
      <c r="D34" s="14">
        <v>45728</v>
      </c>
      <c r="E34" s="5" t="s">
        <v>5380</v>
      </c>
      <c r="F34" s="5" t="s">
        <v>1336</v>
      </c>
      <c r="G34" s="6"/>
      <c r="H34" s="6" t="s">
        <v>68</v>
      </c>
      <c r="I34" s="6" t="s">
        <v>1390</v>
      </c>
      <c r="J34" s="6">
        <v>12797</v>
      </c>
      <c r="K34" s="7" t="s">
        <v>9109</v>
      </c>
      <c r="L34" s="8">
        <v>23391</v>
      </c>
      <c r="M34" s="8" t="str">
        <f t="shared" si="5"/>
        <v>PEN</v>
      </c>
      <c r="N34" s="13"/>
      <c r="O34" s="13">
        <v>5</v>
      </c>
      <c r="P34" s="3">
        <f t="shared" ref="P34:P65" si="6">+IF(OR($F34="SALDO",$F34="INGRESO"),$O34,0)</f>
        <v>0</v>
      </c>
      <c r="Q34" s="3">
        <f t="shared" ref="Q34:Q65" si="7">+IF($F34="EGRESO",$O34,0)</f>
        <v>5</v>
      </c>
      <c r="R34" s="3">
        <f t="shared" ref="R34:R65" si="8">IFERROR(IF(F34="SALDO",P34,R33+P34-Q34),0)</f>
        <v>117.17000000000007</v>
      </c>
      <c r="S34" s="24"/>
      <c r="T34" s="24"/>
      <c r="U34" s="3"/>
      <c r="V34" s="25" t="s">
        <v>7756</v>
      </c>
      <c r="W34" s="25"/>
      <c r="X34" s="25" t="str">
        <f>IFERROR(VLOOKUP(C_Ope_008[[#This Row],[nota_2]],Clientes_Proveedores[[Ruc / Dni]:[Razon Social]],2,0),"")</f>
        <v/>
      </c>
      <c r="Y34" s="25"/>
      <c r="Z34" s="103"/>
      <c r="AA34" s="3" t="str">
        <f>IF(C_Ope_008[[#This Row],[fecha]]&gt;0,TEXT(C_Ope_008[[#This Row],[fecha]],"mmmm"),0)</f>
        <v>Marzo</v>
      </c>
      <c r="AB34" s="49"/>
    </row>
    <row r="35" spans="1:28" x14ac:dyDescent="0.3">
      <c r="A35" s="2">
        <f>IF(C_Ope_008[[#This Row],[tipo_r]]="R",COUNTIFS($C$1:$C34,"R")+1,"")</f>
        <v>34</v>
      </c>
      <c r="B35" s="19" t="str">
        <f t="shared" ref="B35:B66" si="9">"C_Ope_008"</f>
        <v>C_Ope_008</v>
      </c>
      <c r="C35" s="3" t="s">
        <v>1330</v>
      </c>
      <c r="D35" s="14">
        <v>45728</v>
      </c>
      <c r="E35" s="5" t="s">
        <v>5380</v>
      </c>
      <c r="F35" s="5" t="s">
        <v>1336</v>
      </c>
      <c r="G35" s="6"/>
      <c r="H35" s="6" t="s">
        <v>68</v>
      </c>
      <c r="I35" s="6" t="s">
        <v>1390</v>
      </c>
      <c r="J35" s="6">
        <v>12804</v>
      </c>
      <c r="K35" s="7" t="s">
        <v>9102</v>
      </c>
      <c r="L35" s="8">
        <v>23399</v>
      </c>
      <c r="M35" s="8" t="str">
        <f t="shared" ref="M35:M66" si="10">"PEN"</f>
        <v>PEN</v>
      </c>
      <c r="N35" s="13"/>
      <c r="O35" s="13">
        <v>25</v>
      </c>
      <c r="P35" s="3">
        <f t="shared" si="6"/>
        <v>0</v>
      </c>
      <c r="Q35" s="3">
        <f t="shared" si="7"/>
        <v>25</v>
      </c>
      <c r="R35" s="3">
        <f t="shared" si="8"/>
        <v>92.170000000000073</v>
      </c>
      <c r="S35" s="24"/>
      <c r="T35" s="24"/>
      <c r="U35" s="3"/>
      <c r="V35" s="25" t="s">
        <v>7761</v>
      </c>
      <c r="W35" s="25"/>
      <c r="X35" s="25" t="str">
        <f>IFERROR(VLOOKUP(C_Ope_008[[#This Row],[nota_2]],Clientes_Proveedores[[Ruc / Dni]:[Razon Social]],2,0),"")</f>
        <v/>
      </c>
      <c r="Y35" s="25"/>
      <c r="Z35" s="103"/>
      <c r="AA35" s="3" t="str">
        <f>IF(C_Ope_008[[#This Row],[fecha]]&gt;0,TEXT(C_Ope_008[[#This Row],[fecha]],"mmmm"),0)</f>
        <v>Marzo</v>
      </c>
      <c r="AB35" s="49"/>
    </row>
    <row r="36" spans="1:28" ht="24" x14ac:dyDescent="0.3">
      <c r="A36" s="2">
        <f>IF(C_Ope_008[[#This Row],[tipo_r]]="R",COUNTIFS($C$1:$C35,"R")+1,"")</f>
        <v>35</v>
      </c>
      <c r="B36" s="19" t="str">
        <f t="shared" si="9"/>
        <v>C_Ope_008</v>
      </c>
      <c r="C36" s="3" t="s">
        <v>1330</v>
      </c>
      <c r="D36" s="14">
        <v>45734</v>
      </c>
      <c r="E36" s="5" t="s">
        <v>7514</v>
      </c>
      <c r="F36" s="5" t="s">
        <v>1303</v>
      </c>
      <c r="G36" s="6" t="s">
        <v>922</v>
      </c>
      <c r="H36" s="6"/>
      <c r="I36" s="6"/>
      <c r="J36" s="6"/>
      <c r="K36" s="7" t="s">
        <v>7537</v>
      </c>
      <c r="L36" s="8">
        <v>23549</v>
      </c>
      <c r="M36" s="8" t="str">
        <f t="shared" si="10"/>
        <v>PEN</v>
      </c>
      <c r="N36" s="13"/>
      <c r="O36" s="13">
        <v>110</v>
      </c>
      <c r="P36" s="3">
        <f t="shared" si="6"/>
        <v>110</v>
      </c>
      <c r="Q36" s="3">
        <f t="shared" si="7"/>
        <v>0</v>
      </c>
      <c r="R36" s="3">
        <f t="shared" si="8"/>
        <v>202.17000000000007</v>
      </c>
      <c r="S36" s="24" t="s">
        <v>1334</v>
      </c>
      <c r="T36" s="24" t="s">
        <v>1334</v>
      </c>
      <c r="U36" s="3"/>
      <c r="V36" s="25"/>
      <c r="W36" s="25"/>
      <c r="X36" s="25" t="str">
        <f>IFERROR(VLOOKUP(C_Ope_008[[#This Row],[nota_2]],Clientes_Proveedores[[Ruc / Dni]:[Razon Social]],2,0),"")</f>
        <v/>
      </c>
      <c r="Y36" s="25"/>
      <c r="Z36" s="103">
        <f>ROUND(C_Ope_008[[#This Row],[monto]]/1.18,3)</f>
        <v>93.22</v>
      </c>
      <c r="AA36" s="3" t="str">
        <f>IF(C_Ope_008[[#This Row],[fecha]]&gt;0,TEXT(C_Ope_008[[#This Row],[fecha]],"mmmm"),0)</f>
        <v>Marzo</v>
      </c>
      <c r="AB36" s="49"/>
    </row>
    <row r="37" spans="1:28" x14ac:dyDescent="0.3">
      <c r="A37" s="2">
        <f>IF(C_Ope_008[[#This Row],[tipo_r]]="R",COUNTIFS($C$1:$C36,"R")+1,"")</f>
        <v>36</v>
      </c>
      <c r="B37" s="19" t="str">
        <f t="shared" si="9"/>
        <v>C_Ope_008</v>
      </c>
      <c r="C37" s="3" t="s">
        <v>1330</v>
      </c>
      <c r="D37" s="14">
        <v>45735</v>
      </c>
      <c r="E37" s="5" t="s">
        <v>5380</v>
      </c>
      <c r="F37" s="5" t="s">
        <v>1336</v>
      </c>
      <c r="G37" s="6"/>
      <c r="H37" s="6" t="s">
        <v>75</v>
      </c>
      <c r="I37" s="6" t="s">
        <v>6248</v>
      </c>
      <c r="J37" s="6">
        <v>65</v>
      </c>
      <c r="K37" s="7" t="s">
        <v>9110</v>
      </c>
      <c r="L37" s="8">
        <v>23526</v>
      </c>
      <c r="M37" s="8" t="str">
        <f t="shared" si="10"/>
        <v>PEN</v>
      </c>
      <c r="N37" s="13">
        <v>0.03</v>
      </c>
      <c r="O37" s="13">
        <v>10</v>
      </c>
      <c r="P37" s="3">
        <f t="shared" si="6"/>
        <v>0</v>
      </c>
      <c r="Q37" s="3">
        <f t="shared" si="7"/>
        <v>10</v>
      </c>
      <c r="R37" s="3">
        <f t="shared" si="8"/>
        <v>192.17000000000007</v>
      </c>
      <c r="S37" s="24"/>
      <c r="T37" s="24"/>
      <c r="U37" s="3"/>
      <c r="V37" s="25" t="s">
        <v>8006</v>
      </c>
      <c r="W37" s="25"/>
      <c r="X37" s="25" t="str">
        <f>IFERROR(VLOOKUP(C_Ope_008[[#This Row],[nota_2]],Clientes_Proveedores[[Ruc / Dni]:[Razon Social]],2,0),"")</f>
        <v/>
      </c>
      <c r="Y37" s="25"/>
      <c r="Z37" s="103"/>
      <c r="AA37" s="3" t="str">
        <f>IF(C_Ope_008[[#This Row],[fecha]]&gt;0,TEXT(C_Ope_008[[#This Row],[fecha]],"mmmm"),0)</f>
        <v>Marzo</v>
      </c>
      <c r="AB37" s="49"/>
    </row>
    <row r="38" spans="1:28" x14ac:dyDescent="0.3">
      <c r="A38" s="2">
        <f>IF(C_Ope_008[[#This Row],[tipo_r]]="R",COUNTIFS($C$1:$C37,"R")+1,"")</f>
        <v>37</v>
      </c>
      <c r="B38" s="19" t="str">
        <f t="shared" si="9"/>
        <v>C_Ope_008</v>
      </c>
      <c r="C38" s="3" t="s">
        <v>1330</v>
      </c>
      <c r="D38" s="14">
        <v>45735</v>
      </c>
      <c r="E38" s="5" t="s">
        <v>5380</v>
      </c>
      <c r="F38" s="5" t="s">
        <v>1336</v>
      </c>
      <c r="G38" s="6"/>
      <c r="H38" s="6" t="s">
        <v>75</v>
      </c>
      <c r="I38" s="6">
        <v>1</v>
      </c>
      <c r="J38" s="6">
        <v>978</v>
      </c>
      <c r="K38" s="7" t="s">
        <v>9111</v>
      </c>
      <c r="L38" s="8">
        <v>23525</v>
      </c>
      <c r="M38" s="8" t="str">
        <f t="shared" si="10"/>
        <v>PEN</v>
      </c>
      <c r="N38" s="13"/>
      <c r="O38" s="13">
        <v>25</v>
      </c>
      <c r="P38" s="3">
        <f t="shared" si="6"/>
        <v>0</v>
      </c>
      <c r="Q38" s="3">
        <f t="shared" si="7"/>
        <v>25</v>
      </c>
      <c r="R38" s="3">
        <f t="shared" si="8"/>
        <v>167.17000000000007</v>
      </c>
      <c r="S38" s="24"/>
      <c r="T38" s="24"/>
      <c r="U38" s="3"/>
      <c r="V38" s="25" t="s">
        <v>8277</v>
      </c>
      <c r="W38" s="25"/>
      <c r="X38" s="25" t="str">
        <f>IFERROR(VLOOKUP(C_Ope_008[[#This Row],[nota_2]],Clientes_Proveedores[[Ruc / Dni]:[Razon Social]],2,0),"")</f>
        <v/>
      </c>
      <c r="Y38" s="25"/>
      <c r="Z38" s="103"/>
      <c r="AA38" s="3" t="str">
        <f>IF(C_Ope_008[[#This Row],[fecha]]&gt;0,TEXT(C_Ope_008[[#This Row],[fecha]],"mmmm"),0)</f>
        <v>Marzo</v>
      </c>
      <c r="AB38" s="49"/>
    </row>
    <row r="39" spans="1:28" x14ac:dyDescent="0.3">
      <c r="A39" s="2">
        <f>IF(C_Ope_008[[#This Row],[tipo_r]]="R",COUNTIFS($C$1:$C38,"R")+1,"")</f>
        <v>38</v>
      </c>
      <c r="B39" s="19" t="str">
        <f t="shared" si="9"/>
        <v>C_Ope_008</v>
      </c>
      <c r="C39" s="3" t="s">
        <v>1330</v>
      </c>
      <c r="D39" s="14">
        <v>45736</v>
      </c>
      <c r="E39" s="5" t="s">
        <v>5380</v>
      </c>
      <c r="F39" s="5" t="s">
        <v>1336</v>
      </c>
      <c r="G39" s="6"/>
      <c r="H39" s="6" t="s">
        <v>75</v>
      </c>
      <c r="I39" s="6">
        <v>1</v>
      </c>
      <c r="J39" s="6">
        <v>11470</v>
      </c>
      <c r="K39" s="7" t="s">
        <v>9085</v>
      </c>
      <c r="L39" s="8">
        <v>23527</v>
      </c>
      <c r="M39" s="8" t="str">
        <f t="shared" si="10"/>
        <v>PEN</v>
      </c>
      <c r="N39" s="13"/>
      <c r="O39" s="13">
        <v>30</v>
      </c>
      <c r="P39" s="3">
        <f t="shared" si="6"/>
        <v>0</v>
      </c>
      <c r="Q39" s="3">
        <f t="shared" si="7"/>
        <v>30</v>
      </c>
      <c r="R39" s="3">
        <f t="shared" si="8"/>
        <v>137.17000000000007</v>
      </c>
      <c r="S39" s="24"/>
      <c r="T39" s="24"/>
      <c r="U39" s="3"/>
      <c r="V39" s="25" t="s">
        <v>8277</v>
      </c>
      <c r="W39" s="25"/>
      <c r="X39" s="25" t="str">
        <f>IFERROR(VLOOKUP(C_Ope_008[[#This Row],[nota_2]],Clientes_Proveedores[[Ruc / Dni]:[Razon Social]],2,0),"")</f>
        <v/>
      </c>
      <c r="Y39" s="25"/>
      <c r="Z39" s="103"/>
      <c r="AA39" s="3" t="str">
        <f>IF(C_Ope_008[[#This Row],[fecha]]&gt;0,TEXT(C_Ope_008[[#This Row],[fecha]],"mmmm"),0)</f>
        <v>Marzo</v>
      </c>
      <c r="AB39" s="49"/>
    </row>
    <row r="40" spans="1:28" ht="24" x14ac:dyDescent="0.3">
      <c r="A40" s="2">
        <f>IF(C_Ope_008[[#This Row],[tipo_r]]="R",COUNTIFS($C$1:$C39,"R")+1,"")</f>
        <v>39</v>
      </c>
      <c r="B40" s="19" t="str">
        <f t="shared" si="9"/>
        <v>C_Ope_008</v>
      </c>
      <c r="C40" s="3" t="s">
        <v>1330</v>
      </c>
      <c r="D40" s="14">
        <v>45737</v>
      </c>
      <c r="E40" s="5" t="s">
        <v>5380</v>
      </c>
      <c r="F40" s="5" t="s">
        <v>1336</v>
      </c>
      <c r="G40" s="6"/>
      <c r="H40" s="6" t="s">
        <v>75</v>
      </c>
      <c r="I40" s="6">
        <v>1</v>
      </c>
      <c r="J40" s="6">
        <v>11472</v>
      </c>
      <c r="K40" s="7" t="s">
        <v>9112</v>
      </c>
      <c r="L40" s="8">
        <v>23554</v>
      </c>
      <c r="M40" s="8" t="str">
        <f t="shared" si="10"/>
        <v>PEN</v>
      </c>
      <c r="N40" s="13"/>
      <c r="O40" s="13">
        <v>20</v>
      </c>
      <c r="P40" s="3">
        <f t="shared" si="6"/>
        <v>0</v>
      </c>
      <c r="Q40" s="3">
        <f t="shared" si="7"/>
        <v>20</v>
      </c>
      <c r="R40" s="3">
        <f t="shared" si="8"/>
        <v>117.17000000000007</v>
      </c>
      <c r="S40" s="24"/>
      <c r="T40" s="24"/>
      <c r="U40" s="3"/>
      <c r="V40" s="25" t="s">
        <v>8277</v>
      </c>
      <c r="W40" s="25"/>
      <c r="X40" s="25" t="str">
        <f>IFERROR(VLOOKUP(C_Ope_008[[#This Row],[nota_2]],Clientes_Proveedores[[Ruc / Dni]:[Razon Social]],2,0),"")</f>
        <v/>
      </c>
      <c r="Y40" s="25"/>
      <c r="Z40" s="103"/>
      <c r="AA40" s="3" t="str">
        <f>IF(C_Ope_008[[#This Row],[fecha]]&gt;0,TEXT(C_Ope_008[[#This Row],[fecha]],"mmmm"),0)</f>
        <v>Marzo</v>
      </c>
      <c r="AB40" s="49"/>
    </row>
    <row r="41" spans="1:28" ht="24" x14ac:dyDescent="0.3">
      <c r="A41" s="2">
        <f>IF(C_Ope_008[[#This Row],[tipo_r]]="R",COUNTIFS($C$1:$C40,"R")+1,"")</f>
        <v>40</v>
      </c>
      <c r="B41" s="19" t="str">
        <f t="shared" si="9"/>
        <v>C_Ope_008</v>
      </c>
      <c r="C41" s="3" t="s">
        <v>1330</v>
      </c>
      <c r="D41" s="14">
        <v>45740</v>
      </c>
      <c r="E41" s="5" t="s">
        <v>7514</v>
      </c>
      <c r="F41" s="5" t="s">
        <v>1303</v>
      </c>
      <c r="G41" s="6" t="s">
        <v>922</v>
      </c>
      <c r="H41" s="6"/>
      <c r="I41" s="6"/>
      <c r="J41" s="6"/>
      <c r="K41" s="7" t="s">
        <v>7537</v>
      </c>
      <c r="L41" s="8">
        <v>23698</v>
      </c>
      <c r="M41" s="8" t="str">
        <f t="shared" si="10"/>
        <v>PEN</v>
      </c>
      <c r="N41" s="13"/>
      <c r="O41" s="13">
        <v>90</v>
      </c>
      <c r="P41" s="3">
        <f t="shared" si="6"/>
        <v>90</v>
      </c>
      <c r="Q41" s="3">
        <f t="shared" si="7"/>
        <v>0</v>
      </c>
      <c r="R41" s="3">
        <f t="shared" si="8"/>
        <v>207.17000000000007</v>
      </c>
      <c r="S41" s="24" t="s">
        <v>1334</v>
      </c>
      <c r="T41" s="24" t="s">
        <v>1334</v>
      </c>
      <c r="U41" s="3"/>
      <c r="V41" s="25"/>
      <c r="W41" s="25"/>
      <c r="X41" s="25" t="str">
        <f>IFERROR(VLOOKUP(C_Ope_008[[#This Row],[nota_2]],Clientes_Proveedores[[Ruc / Dni]:[Razon Social]],2,0),"")</f>
        <v/>
      </c>
      <c r="Y41" s="25"/>
      <c r="Z41" s="103">
        <f>ROUND(C_Ope_008[[#This Row],[monto]]/1.18,3)</f>
        <v>76.271000000000001</v>
      </c>
      <c r="AA41" s="3" t="str">
        <f>IF(C_Ope_008[[#This Row],[fecha]]&gt;0,TEXT(C_Ope_008[[#This Row],[fecha]],"mmmm"),0)</f>
        <v>Marzo</v>
      </c>
      <c r="AB41" s="49"/>
    </row>
    <row r="42" spans="1:28" ht="24" x14ac:dyDescent="0.3">
      <c r="A42" s="2">
        <f>IF(C_Ope_008[[#This Row],[tipo_r]]="R",COUNTIFS($C$1:$C41,"R")+1,"")</f>
        <v>41</v>
      </c>
      <c r="B42" s="19" t="str">
        <f t="shared" si="9"/>
        <v>C_Ope_008</v>
      </c>
      <c r="C42" s="3" t="s">
        <v>1330</v>
      </c>
      <c r="D42" s="14">
        <v>45740</v>
      </c>
      <c r="E42" s="5" t="s">
        <v>5380</v>
      </c>
      <c r="F42" s="5" t="s">
        <v>1336</v>
      </c>
      <c r="G42" s="6"/>
      <c r="H42" s="6" t="s">
        <v>75</v>
      </c>
      <c r="I42" s="6">
        <v>1</v>
      </c>
      <c r="J42" s="6">
        <v>81</v>
      </c>
      <c r="K42" s="7" t="s">
        <v>9113</v>
      </c>
      <c r="L42" s="8">
        <v>23601</v>
      </c>
      <c r="M42" s="8" t="str">
        <f t="shared" si="10"/>
        <v>PEN</v>
      </c>
      <c r="N42" s="13"/>
      <c r="O42" s="13">
        <v>20</v>
      </c>
      <c r="P42" s="3">
        <f t="shared" si="6"/>
        <v>0</v>
      </c>
      <c r="Q42" s="3">
        <f t="shared" si="7"/>
        <v>20</v>
      </c>
      <c r="R42" s="3">
        <f t="shared" si="8"/>
        <v>187.17000000000007</v>
      </c>
      <c r="S42" s="24"/>
      <c r="T42" s="24"/>
      <c r="U42" s="3"/>
      <c r="V42" s="25" t="s">
        <v>8277</v>
      </c>
      <c r="W42" s="25"/>
      <c r="X42" s="25" t="str">
        <f>IFERROR(VLOOKUP(C_Ope_008[[#This Row],[nota_2]],Clientes_Proveedores[[Ruc / Dni]:[Razon Social]],2,0),"")</f>
        <v/>
      </c>
      <c r="Y42" s="25"/>
      <c r="Z42" s="103"/>
      <c r="AA42" s="3" t="str">
        <f>IF(C_Ope_008[[#This Row],[fecha]]&gt;0,TEXT(C_Ope_008[[#This Row],[fecha]],"mmmm"),0)</f>
        <v>Marzo</v>
      </c>
      <c r="AB42" s="49"/>
    </row>
    <row r="43" spans="1:28" x14ac:dyDescent="0.3">
      <c r="A43" s="2">
        <f>IF(C_Ope_008[[#This Row],[tipo_r]]="R",COUNTIFS($C$1:$C42,"R")+1,"")</f>
        <v>42</v>
      </c>
      <c r="B43" s="19" t="str">
        <f t="shared" si="9"/>
        <v>C_Ope_008</v>
      </c>
      <c r="C43" s="3" t="s">
        <v>1330</v>
      </c>
      <c r="D43" s="14">
        <v>45744</v>
      </c>
      <c r="E43" s="5" t="s">
        <v>5380</v>
      </c>
      <c r="F43" s="5" t="s">
        <v>1336</v>
      </c>
      <c r="G43" s="6"/>
      <c r="H43" s="6" t="s">
        <v>68</v>
      </c>
      <c r="I43" s="6" t="s">
        <v>1390</v>
      </c>
      <c r="J43" s="6">
        <v>5962</v>
      </c>
      <c r="K43" s="7" t="s">
        <v>9091</v>
      </c>
      <c r="L43" s="8">
        <v>23636</v>
      </c>
      <c r="M43" s="8" t="str">
        <f t="shared" si="10"/>
        <v>PEN</v>
      </c>
      <c r="N43" s="13"/>
      <c r="O43" s="13">
        <v>40</v>
      </c>
      <c r="P43" s="3">
        <f t="shared" si="6"/>
        <v>0</v>
      </c>
      <c r="Q43" s="3">
        <f t="shared" si="7"/>
        <v>40</v>
      </c>
      <c r="R43" s="3">
        <f t="shared" si="8"/>
        <v>147.17000000000007</v>
      </c>
      <c r="S43" s="24"/>
      <c r="T43" s="24"/>
      <c r="U43" s="3"/>
      <c r="V43" s="25" t="s">
        <v>7761</v>
      </c>
      <c r="W43" s="25"/>
      <c r="X43" s="25" t="str">
        <f>IFERROR(VLOOKUP(C_Ope_008[[#This Row],[nota_2]],Clientes_Proveedores[[Ruc / Dni]:[Razon Social]],2,0),"")</f>
        <v/>
      </c>
      <c r="Y43" s="25"/>
      <c r="Z43" s="103"/>
      <c r="AA43" s="3" t="str">
        <f>IF(C_Ope_008[[#This Row],[fecha]]&gt;0,TEXT(C_Ope_008[[#This Row],[fecha]],"mmmm"),0)</f>
        <v>Marzo</v>
      </c>
      <c r="AB43" s="49"/>
    </row>
    <row r="44" spans="1:28" ht="24" x14ac:dyDescent="0.3">
      <c r="A44" s="2">
        <f>IF(C_Ope_008[[#This Row],[tipo_r]]="R",COUNTIFS($C$1:$C43,"R")+1,"")</f>
        <v>43</v>
      </c>
      <c r="B44" s="19" t="str">
        <f t="shared" si="9"/>
        <v>C_Ope_008</v>
      </c>
      <c r="C44" s="3" t="s">
        <v>1330</v>
      </c>
      <c r="D44" s="14">
        <v>45751</v>
      </c>
      <c r="E44" s="5" t="s">
        <v>5380</v>
      </c>
      <c r="F44" s="5" t="s">
        <v>1336</v>
      </c>
      <c r="G44" s="6"/>
      <c r="H44" s="6" t="s">
        <v>68</v>
      </c>
      <c r="I44" s="6" t="s">
        <v>1376</v>
      </c>
      <c r="J44" s="6">
        <v>272</v>
      </c>
      <c r="K44" s="7" t="s">
        <v>9114</v>
      </c>
      <c r="L44" s="8">
        <v>23737</v>
      </c>
      <c r="M44" s="8" t="str">
        <f t="shared" si="10"/>
        <v>PEN</v>
      </c>
      <c r="N44" s="13"/>
      <c r="O44" s="13">
        <v>80</v>
      </c>
      <c r="P44" s="3">
        <f t="shared" si="6"/>
        <v>0</v>
      </c>
      <c r="Q44" s="3">
        <f t="shared" si="7"/>
        <v>80</v>
      </c>
      <c r="R44" s="3">
        <f t="shared" si="8"/>
        <v>67.170000000000073</v>
      </c>
      <c r="S44" s="24"/>
      <c r="T44" s="24"/>
      <c r="U44" s="3"/>
      <c r="V44" s="25" t="s">
        <v>7761</v>
      </c>
      <c r="W44" s="25"/>
      <c r="X44" s="25" t="str">
        <f>IFERROR(VLOOKUP(C_Ope_008[[#This Row],[nota_2]],Clientes_Proveedores[[Ruc / Dni]:[Razon Social]],2,0),"")</f>
        <v/>
      </c>
      <c r="Y44" s="25"/>
      <c r="Z44" s="103"/>
      <c r="AA44" s="3" t="str">
        <f>IF(C_Ope_008[[#This Row],[fecha]]&gt;0,TEXT(C_Ope_008[[#This Row],[fecha]],"mmmm"),0)</f>
        <v>Abril</v>
      </c>
      <c r="AB44" s="49"/>
    </row>
    <row r="45" spans="1:28" ht="24" x14ac:dyDescent="0.3">
      <c r="A45" s="2">
        <f>IF(C_Ope_008[[#This Row],[tipo_r]]="R",COUNTIFS($C$1:$C44,"R")+1,"")</f>
        <v>44</v>
      </c>
      <c r="B45" s="19" t="str">
        <f t="shared" si="9"/>
        <v>C_Ope_008</v>
      </c>
      <c r="C45" s="3" t="s">
        <v>1330</v>
      </c>
      <c r="D45" s="14">
        <v>45755</v>
      </c>
      <c r="E45" s="5" t="s">
        <v>7514</v>
      </c>
      <c r="F45" s="5" t="s">
        <v>1303</v>
      </c>
      <c r="G45" s="6" t="s">
        <v>922</v>
      </c>
      <c r="H45" s="6"/>
      <c r="I45" s="6"/>
      <c r="J45" s="6"/>
      <c r="K45" s="7" t="s">
        <v>7537</v>
      </c>
      <c r="L45" s="8">
        <v>23767</v>
      </c>
      <c r="M45" s="8" t="str">
        <f t="shared" si="10"/>
        <v>PEN</v>
      </c>
      <c r="N45" s="13"/>
      <c r="O45" s="13">
        <v>130</v>
      </c>
      <c r="P45" s="3">
        <f t="shared" si="6"/>
        <v>130</v>
      </c>
      <c r="Q45" s="3">
        <f t="shared" si="7"/>
        <v>0</v>
      </c>
      <c r="R45" s="3">
        <f t="shared" si="8"/>
        <v>197.17000000000007</v>
      </c>
      <c r="S45" s="24" t="s">
        <v>1334</v>
      </c>
      <c r="T45" s="24" t="s">
        <v>1334</v>
      </c>
      <c r="U45" s="3"/>
      <c r="V45" s="25"/>
      <c r="W45" s="25"/>
      <c r="X45" s="25" t="str">
        <f>IFERROR(VLOOKUP(C_Ope_008[[#This Row],[nota_2]],Clientes_Proveedores[[Ruc / Dni]:[Razon Social]],2,0),"")</f>
        <v/>
      </c>
      <c r="Y45" s="25"/>
      <c r="Z45" s="103">
        <f>ROUND(C_Ope_008[[#This Row],[monto]]/1.18,3)</f>
        <v>110.169</v>
      </c>
      <c r="AA45" s="3" t="str">
        <f>IF(C_Ope_008[[#This Row],[fecha]]&gt;0,TEXT(C_Ope_008[[#This Row],[fecha]],"mmmm"),0)</f>
        <v>Abril</v>
      </c>
      <c r="AB45" s="49"/>
    </row>
    <row r="46" spans="1:28" ht="24" x14ac:dyDescent="0.3">
      <c r="A46" s="2">
        <f>IF(C_Ope_008[[#This Row],[tipo_r]]="R",COUNTIFS($C$1:$C45,"R")+1,"")</f>
        <v>45</v>
      </c>
      <c r="B46" s="19" t="str">
        <f t="shared" si="9"/>
        <v>C_Ope_008</v>
      </c>
      <c r="C46" s="3" t="s">
        <v>1330</v>
      </c>
      <c r="D46" s="14">
        <v>45756</v>
      </c>
      <c r="E46" s="5" t="s">
        <v>5380</v>
      </c>
      <c r="F46" s="5" t="s">
        <v>1336</v>
      </c>
      <c r="G46" s="6"/>
      <c r="H46" s="6" t="s">
        <v>68</v>
      </c>
      <c r="I46" s="6" t="s">
        <v>1376</v>
      </c>
      <c r="J46" s="6">
        <v>3925</v>
      </c>
      <c r="K46" s="7" t="s">
        <v>9115</v>
      </c>
      <c r="L46" s="8">
        <v>23788</v>
      </c>
      <c r="M46" s="8" t="str">
        <f t="shared" si="10"/>
        <v>PEN</v>
      </c>
      <c r="N46" s="13"/>
      <c r="O46" s="13">
        <v>66</v>
      </c>
      <c r="P46" s="3">
        <f t="shared" si="6"/>
        <v>0</v>
      </c>
      <c r="Q46" s="3">
        <f t="shared" si="7"/>
        <v>66</v>
      </c>
      <c r="R46" s="3">
        <f t="shared" si="8"/>
        <v>131.17000000000007</v>
      </c>
      <c r="S46" s="24"/>
      <c r="T46" s="24"/>
      <c r="U46" s="3"/>
      <c r="V46" s="25" t="s">
        <v>8277</v>
      </c>
      <c r="W46" s="25"/>
      <c r="X46" s="25" t="str">
        <f>IFERROR(VLOOKUP(C_Ope_008[[#This Row],[nota_2]],Clientes_Proveedores[[Ruc / Dni]:[Razon Social]],2,0),"")</f>
        <v/>
      </c>
      <c r="Y46" s="25"/>
      <c r="Z46" s="103"/>
      <c r="AA46" s="3" t="str">
        <f>IF(C_Ope_008[[#This Row],[fecha]]&gt;0,TEXT(C_Ope_008[[#This Row],[fecha]],"mmmm"),0)</f>
        <v>Abril</v>
      </c>
      <c r="AB46" s="49"/>
    </row>
    <row r="47" spans="1:28" ht="24" x14ac:dyDescent="0.3">
      <c r="A47" s="2">
        <f>IF(C_Ope_008[[#This Row],[tipo_r]]="R",COUNTIFS($C$1:$C46,"R")+1,"")</f>
        <v>46</v>
      </c>
      <c r="B47" s="19" t="str">
        <f t="shared" si="9"/>
        <v>C_Ope_008</v>
      </c>
      <c r="C47" s="3" t="s">
        <v>1330</v>
      </c>
      <c r="D47" s="14">
        <v>45756</v>
      </c>
      <c r="E47" s="5" t="s">
        <v>5380</v>
      </c>
      <c r="F47" s="5" t="s">
        <v>1336</v>
      </c>
      <c r="G47" s="6"/>
      <c r="H47" s="6" t="s">
        <v>68</v>
      </c>
      <c r="I47" s="6" t="s">
        <v>1390</v>
      </c>
      <c r="J47" s="6">
        <v>118</v>
      </c>
      <c r="K47" s="7" t="s">
        <v>9116</v>
      </c>
      <c r="L47" s="8">
        <v>23808</v>
      </c>
      <c r="M47" s="8" t="str">
        <f t="shared" si="10"/>
        <v>PEN</v>
      </c>
      <c r="N47" s="13"/>
      <c r="O47" s="13">
        <v>20.5</v>
      </c>
      <c r="P47" s="3">
        <f t="shared" si="6"/>
        <v>0</v>
      </c>
      <c r="Q47" s="3">
        <f t="shared" si="7"/>
        <v>20.5</v>
      </c>
      <c r="R47" s="3">
        <f t="shared" si="8"/>
        <v>110.67000000000007</v>
      </c>
      <c r="S47" s="24"/>
      <c r="T47" s="24"/>
      <c r="U47" s="3"/>
      <c r="V47" s="25" t="s">
        <v>7756</v>
      </c>
      <c r="W47" s="25"/>
      <c r="X47" s="25" t="str">
        <f>IFERROR(VLOOKUP(C_Ope_008[[#This Row],[nota_2]],Clientes_Proveedores[[Ruc / Dni]:[Razon Social]],2,0),"")</f>
        <v/>
      </c>
      <c r="Y47" s="25"/>
      <c r="Z47" s="103"/>
      <c r="AA47" s="3" t="str">
        <f>IF(C_Ope_008[[#This Row],[fecha]]&gt;0,TEXT(C_Ope_008[[#This Row],[fecha]],"mmmm"),0)</f>
        <v>Abril</v>
      </c>
      <c r="AB47" s="49"/>
    </row>
    <row r="48" spans="1:28" ht="24" x14ac:dyDescent="0.3">
      <c r="A48" s="2">
        <f>IF(C_Ope_008[[#This Row],[tipo_r]]="R",COUNTIFS($C$1:$C47,"R")+1,"")</f>
        <v>47</v>
      </c>
      <c r="B48" s="19" t="str">
        <f t="shared" si="9"/>
        <v>C_Ope_008</v>
      </c>
      <c r="C48" s="3" t="s">
        <v>1330</v>
      </c>
      <c r="D48" s="14">
        <v>45758</v>
      </c>
      <c r="E48" s="5" t="s">
        <v>5380</v>
      </c>
      <c r="F48" s="5" t="s">
        <v>1336</v>
      </c>
      <c r="G48" s="6"/>
      <c r="H48" s="6" t="s">
        <v>68</v>
      </c>
      <c r="I48" s="6" t="s">
        <v>1376</v>
      </c>
      <c r="J48" s="6">
        <v>231</v>
      </c>
      <c r="K48" s="7" t="s">
        <v>9117</v>
      </c>
      <c r="L48" s="8">
        <v>23821</v>
      </c>
      <c r="M48" s="8" t="str">
        <f t="shared" si="10"/>
        <v>PEN</v>
      </c>
      <c r="N48" s="13"/>
      <c r="O48" s="13">
        <v>30</v>
      </c>
      <c r="P48" s="3">
        <f t="shared" si="6"/>
        <v>0</v>
      </c>
      <c r="Q48" s="3">
        <f t="shared" si="7"/>
        <v>30</v>
      </c>
      <c r="R48" s="3">
        <f t="shared" si="8"/>
        <v>80.670000000000073</v>
      </c>
      <c r="S48" s="24"/>
      <c r="T48" s="24"/>
      <c r="U48" s="3"/>
      <c r="V48" s="25" t="s">
        <v>7756</v>
      </c>
      <c r="W48" s="25"/>
      <c r="X48" s="25" t="str">
        <f>IFERROR(VLOOKUP(C_Ope_008[[#This Row],[nota_2]],Clientes_Proveedores[[Ruc / Dni]:[Razon Social]],2,0),"")</f>
        <v/>
      </c>
      <c r="Y48" s="25"/>
      <c r="Z48" s="103"/>
      <c r="AA48" s="3" t="str">
        <f>IF(C_Ope_008[[#This Row],[fecha]]&gt;0,TEXT(C_Ope_008[[#This Row],[fecha]],"mmmm"),0)</f>
        <v>Abril</v>
      </c>
      <c r="AB48" s="49"/>
    </row>
    <row r="49" spans="1:28" ht="24" x14ac:dyDescent="0.3">
      <c r="A49" s="2">
        <f>IF(C_Ope_008[[#This Row],[tipo_r]]="R",COUNTIFS($C$1:$C48,"R")+1,"")</f>
        <v>48</v>
      </c>
      <c r="B49" s="19" t="str">
        <f t="shared" si="9"/>
        <v>C_Ope_008</v>
      </c>
      <c r="C49" s="3" t="s">
        <v>1330</v>
      </c>
      <c r="D49" s="14">
        <v>45760</v>
      </c>
      <c r="E49" s="5" t="s">
        <v>5380</v>
      </c>
      <c r="F49" s="5" t="s">
        <v>1336</v>
      </c>
      <c r="G49" s="6"/>
      <c r="H49" s="6" t="s">
        <v>68</v>
      </c>
      <c r="I49" s="6" t="s">
        <v>1390</v>
      </c>
      <c r="J49" s="6">
        <v>3443</v>
      </c>
      <c r="K49" s="7" t="s">
        <v>9118</v>
      </c>
      <c r="L49" s="8">
        <v>23822</v>
      </c>
      <c r="M49" s="8" t="str">
        <f t="shared" si="10"/>
        <v>PEN</v>
      </c>
      <c r="N49" s="13"/>
      <c r="O49" s="13">
        <v>58</v>
      </c>
      <c r="P49" s="3">
        <f t="shared" si="6"/>
        <v>0</v>
      </c>
      <c r="Q49" s="3">
        <f t="shared" si="7"/>
        <v>58</v>
      </c>
      <c r="R49" s="3">
        <f t="shared" si="8"/>
        <v>22.670000000000073</v>
      </c>
      <c r="S49" s="24"/>
      <c r="T49" s="24"/>
      <c r="U49" s="3"/>
      <c r="V49" s="25" t="s">
        <v>7756</v>
      </c>
      <c r="W49" s="25"/>
      <c r="X49" s="25" t="str">
        <f>IFERROR(VLOOKUP(C_Ope_008[[#This Row],[nota_2]],Clientes_Proveedores[[Ruc / Dni]:[Razon Social]],2,0),"")</f>
        <v/>
      </c>
      <c r="Y49" s="25"/>
      <c r="Z49" s="103"/>
      <c r="AA49" s="3" t="str">
        <f>IF(C_Ope_008[[#This Row],[fecha]]&gt;0,TEXT(C_Ope_008[[#This Row],[fecha]],"mmmm"),0)</f>
        <v>Abril</v>
      </c>
      <c r="AB49" s="49"/>
    </row>
    <row r="50" spans="1:28" ht="24" x14ac:dyDescent="0.3">
      <c r="A50" s="2">
        <f>IF(C_Ope_008[[#This Row],[tipo_r]]="R",COUNTIFS($C$1:$C49,"R")+1,"")</f>
        <v>49</v>
      </c>
      <c r="B50" s="19" t="str">
        <f t="shared" si="9"/>
        <v>C_Ope_008</v>
      </c>
      <c r="C50" s="3" t="s">
        <v>1330</v>
      </c>
      <c r="D50" s="14">
        <v>45761</v>
      </c>
      <c r="E50" s="5" t="s">
        <v>7514</v>
      </c>
      <c r="F50" s="5" t="s">
        <v>1303</v>
      </c>
      <c r="G50" s="6" t="s">
        <v>922</v>
      </c>
      <c r="H50" s="6"/>
      <c r="I50" s="6"/>
      <c r="J50" s="6"/>
      <c r="K50" s="7" t="s">
        <v>7537</v>
      </c>
      <c r="L50" s="8">
        <v>23889</v>
      </c>
      <c r="M50" s="8" t="str">
        <f t="shared" si="10"/>
        <v>PEN</v>
      </c>
      <c r="N50" s="13"/>
      <c r="O50" s="13">
        <v>220</v>
      </c>
      <c r="P50" s="3">
        <f t="shared" si="6"/>
        <v>220</v>
      </c>
      <c r="Q50" s="3">
        <f t="shared" si="7"/>
        <v>0</v>
      </c>
      <c r="R50" s="3">
        <f t="shared" si="8"/>
        <v>242.67000000000007</v>
      </c>
      <c r="S50" s="24" t="s">
        <v>1334</v>
      </c>
      <c r="T50" s="24" t="s">
        <v>1334</v>
      </c>
      <c r="U50" s="3"/>
      <c r="V50" s="25"/>
      <c r="W50" s="25"/>
      <c r="X50" s="25" t="str">
        <f>IFERROR(VLOOKUP(C_Ope_008[[#This Row],[nota_2]],Clientes_Proveedores[[Ruc / Dni]:[Razon Social]],2,0),"")</f>
        <v/>
      </c>
      <c r="Y50" s="25"/>
      <c r="Z50" s="103">
        <f>ROUND(C_Ope_008[[#This Row],[monto]]/1.18,3)</f>
        <v>186.441</v>
      </c>
      <c r="AA50" s="3" t="str">
        <f>IF(C_Ope_008[[#This Row],[fecha]]&gt;0,TEXT(C_Ope_008[[#This Row],[fecha]],"mmmm"),0)</f>
        <v>Abril</v>
      </c>
      <c r="AB50" s="49"/>
    </row>
    <row r="51" spans="1:28" x14ac:dyDescent="0.3">
      <c r="A51" s="2">
        <f>IF(C_Ope_008[[#This Row],[tipo_r]]="R",COUNTIFS($C$1:$C50,"R")+1,"")</f>
        <v>50</v>
      </c>
      <c r="B51" s="19" t="str">
        <f t="shared" si="9"/>
        <v>C_Ope_008</v>
      </c>
      <c r="C51" s="3" t="s">
        <v>1330</v>
      </c>
      <c r="D51" s="14">
        <v>45761</v>
      </c>
      <c r="E51" s="5" t="s">
        <v>5380</v>
      </c>
      <c r="F51" s="5" t="s">
        <v>1336</v>
      </c>
      <c r="G51" s="6"/>
      <c r="H51" s="6" t="s">
        <v>68</v>
      </c>
      <c r="I51" s="6" t="s">
        <v>1390</v>
      </c>
      <c r="J51" s="6">
        <v>13039</v>
      </c>
      <c r="K51" s="7" t="s">
        <v>9119</v>
      </c>
      <c r="L51" s="8">
        <v>23838</v>
      </c>
      <c r="M51" s="8" t="str">
        <f t="shared" si="10"/>
        <v>PEN</v>
      </c>
      <c r="N51" s="13"/>
      <c r="O51" s="13">
        <v>40</v>
      </c>
      <c r="P51" s="3">
        <f t="shared" si="6"/>
        <v>0</v>
      </c>
      <c r="Q51" s="3">
        <f t="shared" si="7"/>
        <v>40</v>
      </c>
      <c r="R51" s="3">
        <f t="shared" si="8"/>
        <v>202.67000000000007</v>
      </c>
      <c r="S51" s="24"/>
      <c r="T51" s="24"/>
      <c r="U51" s="3"/>
      <c r="V51" s="25" t="s">
        <v>8006</v>
      </c>
      <c r="W51" s="25"/>
      <c r="X51" s="25" t="str">
        <f>IFERROR(VLOOKUP(C_Ope_008[[#This Row],[nota_2]],Clientes_Proveedores[[Ruc / Dni]:[Razon Social]],2,0),"")</f>
        <v/>
      </c>
      <c r="Y51" s="25"/>
      <c r="Z51" s="103"/>
      <c r="AA51" s="3" t="str">
        <f>IF(C_Ope_008[[#This Row],[fecha]]&gt;0,TEXT(C_Ope_008[[#This Row],[fecha]],"mmmm"),0)</f>
        <v>Abril</v>
      </c>
      <c r="AB51" s="49"/>
    </row>
    <row r="52" spans="1:28" x14ac:dyDescent="0.3">
      <c r="A52" s="2">
        <f>IF(C_Ope_008[[#This Row],[tipo_r]]="R",COUNTIFS($C$1:$C51,"R")+1,"")</f>
        <v>51</v>
      </c>
      <c r="B52" s="19" t="str">
        <f t="shared" si="9"/>
        <v>C_Ope_008</v>
      </c>
      <c r="C52" s="3" t="s">
        <v>1330</v>
      </c>
      <c r="D52" s="14">
        <v>45761</v>
      </c>
      <c r="E52" s="5" t="s">
        <v>5380</v>
      </c>
      <c r="F52" s="5" t="s">
        <v>1336</v>
      </c>
      <c r="G52" s="6"/>
      <c r="H52" s="6" t="s">
        <v>68</v>
      </c>
      <c r="I52" s="6" t="s">
        <v>1390</v>
      </c>
      <c r="J52" s="6">
        <v>13041</v>
      </c>
      <c r="K52" s="7" t="s">
        <v>9120</v>
      </c>
      <c r="L52" s="8">
        <v>23842</v>
      </c>
      <c r="M52" s="8" t="str">
        <f t="shared" si="10"/>
        <v>PEN</v>
      </c>
      <c r="N52" s="13"/>
      <c r="O52" s="13">
        <v>45</v>
      </c>
      <c r="P52" s="3">
        <f t="shared" si="6"/>
        <v>0</v>
      </c>
      <c r="Q52" s="3">
        <f t="shared" si="7"/>
        <v>45</v>
      </c>
      <c r="R52" s="3">
        <f t="shared" si="8"/>
        <v>157.67000000000007</v>
      </c>
      <c r="S52" s="24"/>
      <c r="T52" s="24"/>
      <c r="U52" s="3"/>
      <c r="V52" s="25" t="s">
        <v>8006</v>
      </c>
      <c r="W52" s="25"/>
      <c r="X52" s="25" t="str">
        <f>IFERROR(VLOOKUP(C_Ope_008[[#This Row],[nota_2]],Clientes_Proveedores[[Ruc / Dni]:[Razon Social]],2,0),"")</f>
        <v/>
      </c>
      <c r="Y52" s="25"/>
      <c r="Z52" s="103"/>
      <c r="AA52" s="3" t="str">
        <f>IF(C_Ope_008[[#This Row],[fecha]]&gt;0,TEXT(C_Ope_008[[#This Row],[fecha]],"mmmm"),0)</f>
        <v>Abril</v>
      </c>
      <c r="AB52" s="49"/>
    </row>
    <row r="53" spans="1:28" ht="24" x14ac:dyDescent="0.3">
      <c r="A53" s="2">
        <f>IF(C_Ope_008[[#This Row],[tipo_r]]="R",COUNTIFS($C$1:$C52,"R")+1,"")</f>
        <v>52</v>
      </c>
      <c r="B53" s="19" t="str">
        <f t="shared" si="9"/>
        <v>C_Ope_008</v>
      </c>
      <c r="C53" s="3" t="s">
        <v>1330</v>
      </c>
      <c r="D53" s="14">
        <v>45761</v>
      </c>
      <c r="E53" s="5" t="s">
        <v>5380</v>
      </c>
      <c r="F53" s="5" t="s">
        <v>1336</v>
      </c>
      <c r="G53" s="6"/>
      <c r="H53" s="6" t="s">
        <v>68</v>
      </c>
      <c r="I53" s="6" t="s">
        <v>1376</v>
      </c>
      <c r="J53" s="6">
        <v>21970</v>
      </c>
      <c r="K53" s="7" t="s">
        <v>9121</v>
      </c>
      <c r="L53" s="8">
        <v>23848</v>
      </c>
      <c r="M53" s="8" t="str">
        <f t="shared" si="10"/>
        <v>PEN</v>
      </c>
      <c r="N53" s="13"/>
      <c r="O53" s="13">
        <v>30</v>
      </c>
      <c r="P53" s="3">
        <f t="shared" si="6"/>
        <v>0</v>
      </c>
      <c r="Q53" s="3">
        <f t="shared" si="7"/>
        <v>30</v>
      </c>
      <c r="R53" s="3">
        <f t="shared" si="8"/>
        <v>127.67000000000007</v>
      </c>
      <c r="S53" s="24"/>
      <c r="T53" s="24"/>
      <c r="U53" s="3"/>
      <c r="V53" s="25" t="s">
        <v>8006</v>
      </c>
      <c r="W53" s="25"/>
      <c r="X53" s="25" t="str">
        <f>IFERROR(VLOOKUP(C_Ope_008[[#This Row],[nota_2]],Clientes_Proveedores[[Ruc / Dni]:[Razon Social]],2,0),"")</f>
        <v/>
      </c>
      <c r="Y53" s="25"/>
      <c r="Z53" s="103"/>
      <c r="AA53" s="3" t="str">
        <f>IF(C_Ope_008[[#This Row],[fecha]]&gt;0,TEXT(C_Ope_008[[#This Row],[fecha]],"mmmm"),0)</f>
        <v>Abril</v>
      </c>
      <c r="AB53" s="49"/>
    </row>
    <row r="54" spans="1:28" ht="24" x14ac:dyDescent="0.3">
      <c r="A54" s="2">
        <f>IF(C_Ope_008[[#This Row],[tipo_r]]="R",COUNTIFS($C$1:$C53,"R")+1,"")</f>
        <v>53</v>
      </c>
      <c r="B54" s="19" t="str">
        <f t="shared" si="9"/>
        <v>C_Ope_008</v>
      </c>
      <c r="C54" s="3" t="s">
        <v>1330</v>
      </c>
      <c r="D54" s="14">
        <v>45763</v>
      </c>
      <c r="E54" s="5" t="s">
        <v>5380</v>
      </c>
      <c r="F54" s="5" t="s">
        <v>1336</v>
      </c>
      <c r="G54" s="6"/>
      <c r="H54" s="6" t="s">
        <v>68</v>
      </c>
      <c r="I54" s="6" t="s">
        <v>1374</v>
      </c>
      <c r="J54" s="6">
        <v>5554</v>
      </c>
      <c r="K54" s="7" t="s">
        <v>9122</v>
      </c>
      <c r="L54" s="8">
        <v>23893</v>
      </c>
      <c r="M54" s="8" t="str">
        <f t="shared" si="10"/>
        <v>PEN</v>
      </c>
      <c r="N54" s="13"/>
      <c r="O54" s="13">
        <v>50</v>
      </c>
      <c r="P54" s="3">
        <f t="shared" si="6"/>
        <v>0</v>
      </c>
      <c r="Q54" s="3">
        <f t="shared" si="7"/>
        <v>50</v>
      </c>
      <c r="R54" s="3">
        <f t="shared" si="8"/>
        <v>77.670000000000073</v>
      </c>
      <c r="S54" s="24"/>
      <c r="T54" s="24"/>
      <c r="U54" s="3"/>
      <c r="V54" s="25" t="s">
        <v>8277</v>
      </c>
      <c r="W54" s="25"/>
      <c r="X54" s="25" t="str">
        <f>IFERROR(VLOOKUP(C_Ope_008[[#This Row],[nota_2]],Clientes_Proveedores[[Ruc / Dni]:[Razon Social]],2,0),"")</f>
        <v/>
      </c>
      <c r="Y54" s="25"/>
      <c r="Z54" s="103"/>
      <c r="AA54" s="3" t="str">
        <f>IF(C_Ope_008[[#This Row],[fecha]]&gt;0,TEXT(C_Ope_008[[#This Row],[fecha]],"mmmm"),0)</f>
        <v>Abril</v>
      </c>
      <c r="AB54" s="49"/>
    </row>
    <row r="55" spans="1:28" x14ac:dyDescent="0.3">
      <c r="A55" s="2">
        <f>IF(C_Ope_008[[#This Row],[tipo_r]]="R",COUNTIFS($C$1:$C54,"R")+1,"")</f>
        <v>54</v>
      </c>
      <c r="B55" s="19" t="str">
        <f t="shared" si="9"/>
        <v>C_Ope_008</v>
      </c>
      <c r="C55" s="3" t="s">
        <v>1330</v>
      </c>
      <c r="D55" s="14">
        <v>45769</v>
      </c>
      <c r="E55" s="5" t="s">
        <v>5380</v>
      </c>
      <c r="F55" s="5" t="s">
        <v>1336</v>
      </c>
      <c r="G55" s="6"/>
      <c r="H55" s="6" t="s">
        <v>68</v>
      </c>
      <c r="I55" s="6" t="s">
        <v>1374</v>
      </c>
      <c r="J55" s="6">
        <v>17389</v>
      </c>
      <c r="K55" s="7" t="s">
        <v>9105</v>
      </c>
      <c r="L55" s="8">
        <v>24080</v>
      </c>
      <c r="M55" s="8" t="str">
        <f t="shared" si="10"/>
        <v>PEN</v>
      </c>
      <c r="N55" s="13"/>
      <c r="O55" s="13">
        <v>35</v>
      </c>
      <c r="P55" s="3">
        <f t="shared" si="6"/>
        <v>0</v>
      </c>
      <c r="Q55" s="3">
        <f t="shared" si="7"/>
        <v>35</v>
      </c>
      <c r="R55" s="3">
        <f t="shared" si="8"/>
        <v>42.670000000000073</v>
      </c>
      <c r="S55" s="24"/>
      <c r="T55" s="24"/>
      <c r="U55" s="3"/>
      <c r="V55" s="25" t="s">
        <v>7761</v>
      </c>
      <c r="W55" s="25"/>
      <c r="X55" s="25" t="str">
        <f>IFERROR(VLOOKUP(C_Ope_008[[#This Row],[nota_2]],Clientes_Proveedores[[Ruc / Dni]:[Razon Social]],2,0),"")</f>
        <v/>
      </c>
      <c r="Y55" s="25"/>
      <c r="Z55" s="103"/>
      <c r="AA55" s="3" t="str">
        <f>IF(C_Ope_008[[#This Row],[fecha]]&gt;0,TEXT(C_Ope_008[[#This Row],[fecha]],"mmmm"),0)</f>
        <v>Abril</v>
      </c>
      <c r="AB55" s="49"/>
    </row>
    <row r="56" spans="1:28" ht="24" x14ac:dyDescent="0.3">
      <c r="A56" s="2">
        <f>IF(C_Ope_008[[#This Row],[tipo_r]]="R",COUNTIFS($C$1:$C55,"R")+1,"")</f>
        <v>55</v>
      </c>
      <c r="B56" s="19" t="str">
        <f t="shared" si="9"/>
        <v>C_Ope_008</v>
      </c>
      <c r="C56" s="3" t="s">
        <v>1330</v>
      </c>
      <c r="D56" s="14">
        <v>45777</v>
      </c>
      <c r="E56" s="5" t="s">
        <v>7514</v>
      </c>
      <c r="F56" s="5" t="s">
        <v>1303</v>
      </c>
      <c r="G56" s="6" t="s">
        <v>922</v>
      </c>
      <c r="H56" s="6"/>
      <c r="I56" s="6"/>
      <c r="J56" s="6"/>
      <c r="K56" s="7" t="s">
        <v>7537</v>
      </c>
      <c r="L56" s="8">
        <v>24079</v>
      </c>
      <c r="M56" s="8" t="str">
        <f t="shared" si="10"/>
        <v>PEN</v>
      </c>
      <c r="N56" s="13"/>
      <c r="O56" s="13">
        <v>110</v>
      </c>
      <c r="P56" s="3">
        <f t="shared" si="6"/>
        <v>110</v>
      </c>
      <c r="Q56" s="3">
        <f t="shared" si="7"/>
        <v>0</v>
      </c>
      <c r="R56" s="3">
        <f t="shared" si="8"/>
        <v>152.67000000000007</v>
      </c>
      <c r="S56" s="24" t="s">
        <v>1334</v>
      </c>
      <c r="T56" s="24" t="s">
        <v>1334</v>
      </c>
      <c r="U56" s="3"/>
      <c r="V56" s="25"/>
      <c r="W56" s="25"/>
      <c r="X56" s="25" t="str">
        <f>IFERROR(VLOOKUP(C_Ope_008[[#This Row],[nota_2]],Clientes_Proveedores[[Ruc / Dni]:[Razon Social]],2,0),"")</f>
        <v/>
      </c>
      <c r="Y56" s="25"/>
      <c r="Z56" s="103">
        <f>ROUND(C_Ope_008[[#This Row],[monto]]/1.18,3)</f>
        <v>93.22</v>
      </c>
      <c r="AA56" s="3" t="str">
        <f>IF(C_Ope_008[[#This Row],[fecha]]&gt;0,TEXT(C_Ope_008[[#This Row],[fecha]],"mmmm"),0)</f>
        <v>Abril</v>
      </c>
      <c r="AB56" s="49"/>
    </row>
    <row r="57" spans="1:28" ht="24" x14ac:dyDescent="0.3">
      <c r="A57" s="2">
        <f>IF(C_Ope_008[[#This Row],[tipo_r]]="R",COUNTIFS($C$1:$C56,"R")+1,"")</f>
        <v>56</v>
      </c>
      <c r="B57" s="19" t="str">
        <f t="shared" si="9"/>
        <v>C_Ope_008</v>
      </c>
      <c r="C57" s="3" t="s">
        <v>1330</v>
      </c>
      <c r="D57" s="14">
        <v>45777</v>
      </c>
      <c r="E57" s="5" t="s">
        <v>7514</v>
      </c>
      <c r="F57" s="5" t="s">
        <v>1303</v>
      </c>
      <c r="G57" s="6" t="s">
        <v>922</v>
      </c>
      <c r="H57" s="6"/>
      <c r="I57" s="6"/>
      <c r="J57" s="6"/>
      <c r="K57" s="7" t="s">
        <v>7537</v>
      </c>
      <c r="L57" s="8">
        <v>24103</v>
      </c>
      <c r="M57" s="8" t="str">
        <f t="shared" si="10"/>
        <v>PEN</v>
      </c>
      <c r="N57" s="13"/>
      <c r="O57" s="13">
        <v>300</v>
      </c>
      <c r="P57" s="3">
        <f t="shared" si="6"/>
        <v>300</v>
      </c>
      <c r="Q57" s="3">
        <f t="shared" si="7"/>
        <v>0</v>
      </c>
      <c r="R57" s="3">
        <f t="shared" si="8"/>
        <v>452.67000000000007</v>
      </c>
      <c r="S57" s="24" t="s">
        <v>1334</v>
      </c>
      <c r="T57" s="24" t="s">
        <v>1334</v>
      </c>
      <c r="U57" s="3"/>
      <c r="V57" s="25"/>
      <c r="W57" s="25"/>
      <c r="X57" s="25" t="str">
        <f>IFERROR(VLOOKUP(C_Ope_008[[#This Row],[nota_2]],Clientes_Proveedores[[Ruc / Dni]:[Razon Social]],2,0),"")</f>
        <v/>
      </c>
      <c r="Y57" s="25"/>
      <c r="Z57" s="103">
        <f>ROUND(C_Ope_008[[#This Row],[monto]]/1.18,3)</f>
        <v>254.23699999999999</v>
      </c>
      <c r="AA57" s="3" t="str">
        <f>IF(C_Ope_008[[#This Row],[fecha]]&gt;0,TEXT(C_Ope_008[[#This Row],[fecha]],"mmmm"),0)</f>
        <v>Abril</v>
      </c>
      <c r="AB57" s="49"/>
    </row>
    <row r="58" spans="1:28" x14ac:dyDescent="0.3">
      <c r="A58" s="2">
        <f>IF(C_Ope_008[[#This Row],[tipo_r]]="R",COUNTIFS($C$1:$C57,"R")+1,"")</f>
        <v>57</v>
      </c>
      <c r="B58" s="19" t="str">
        <f t="shared" si="9"/>
        <v>C_Ope_008</v>
      </c>
      <c r="C58" s="3" t="s">
        <v>1330</v>
      </c>
      <c r="D58" s="14">
        <v>45779</v>
      </c>
      <c r="E58" s="5" t="s">
        <v>5380</v>
      </c>
      <c r="F58" s="5" t="s">
        <v>1336</v>
      </c>
      <c r="G58" s="6"/>
      <c r="H58" s="6" t="s">
        <v>68</v>
      </c>
      <c r="I58" s="6" t="s">
        <v>1374</v>
      </c>
      <c r="J58" s="6">
        <v>4356</v>
      </c>
      <c r="K58" s="7" t="s">
        <v>9123</v>
      </c>
      <c r="L58" s="8">
        <v>24081</v>
      </c>
      <c r="M58" s="8" t="str">
        <f t="shared" si="10"/>
        <v>PEN</v>
      </c>
      <c r="N58" s="13"/>
      <c r="O58" s="13">
        <v>17</v>
      </c>
      <c r="P58" s="3">
        <f t="shared" si="6"/>
        <v>0</v>
      </c>
      <c r="Q58" s="3">
        <f t="shared" si="7"/>
        <v>17</v>
      </c>
      <c r="R58" s="3">
        <f t="shared" si="8"/>
        <v>435.67000000000007</v>
      </c>
      <c r="S58" s="24"/>
      <c r="T58" s="24"/>
      <c r="U58" s="3"/>
      <c r="V58" s="25" t="s">
        <v>7754</v>
      </c>
      <c r="W58" s="25"/>
      <c r="X58" s="25" t="str">
        <f>IFERROR(VLOOKUP(C_Ope_008[[#This Row],[nota_2]],Clientes_Proveedores[[Ruc / Dni]:[Razon Social]],2,0),"")</f>
        <v/>
      </c>
      <c r="Y58" s="25"/>
      <c r="Z58" s="103"/>
      <c r="AA58" s="3" t="str">
        <f>IF(C_Ope_008[[#This Row],[fecha]]&gt;0,TEXT(C_Ope_008[[#This Row],[fecha]],"mmmm"),0)</f>
        <v>Mayo</v>
      </c>
      <c r="AB58" s="49"/>
    </row>
    <row r="59" spans="1:28" ht="24" x14ac:dyDescent="0.3">
      <c r="A59" s="2">
        <f>IF(C_Ope_008[[#This Row],[tipo_r]]="R",COUNTIFS($C$1:$C58,"R")+1,"")</f>
        <v>58</v>
      </c>
      <c r="B59" s="19" t="str">
        <f t="shared" si="9"/>
        <v>C_Ope_008</v>
      </c>
      <c r="C59" s="3" t="s">
        <v>1330</v>
      </c>
      <c r="D59" s="14">
        <v>45783</v>
      </c>
      <c r="E59" s="5" t="s">
        <v>5380</v>
      </c>
      <c r="F59" s="5" t="s">
        <v>1336</v>
      </c>
      <c r="G59" s="6"/>
      <c r="H59" s="6" t="s">
        <v>68</v>
      </c>
      <c r="I59" s="6" t="s">
        <v>1390</v>
      </c>
      <c r="J59" s="6">
        <v>13203</v>
      </c>
      <c r="K59" s="7" t="s">
        <v>9124</v>
      </c>
      <c r="L59" s="8">
        <v>24171</v>
      </c>
      <c r="M59" s="8" t="str">
        <f t="shared" si="10"/>
        <v>PEN</v>
      </c>
      <c r="N59" s="13"/>
      <c r="O59" s="13">
        <v>15</v>
      </c>
      <c r="P59" s="3">
        <f t="shared" si="6"/>
        <v>0</v>
      </c>
      <c r="Q59" s="3">
        <f t="shared" si="7"/>
        <v>15</v>
      </c>
      <c r="R59" s="3">
        <f t="shared" si="8"/>
        <v>420.67000000000007</v>
      </c>
      <c r="S59" s="24"/>
      <c r="T59" s="24"/>
      <c r="U59" s="3"/>
      <c r="V59" s="25" t="s">
        <v>8006</v>
      </c>
      <c r="W59" s="25"/>
      <c r="X59" s="25" t="str">
        <f>IFERROR(VLOOKUP(C_Ope_008[[#This Row],[nota_2]],Clientes_Proveedores[[Ruc / Dni]:[Razon Social]],2,0),"")</f>
        <v/>
      </c>
      <c r="Y59" s="25"/>
      <c r="Z59" s="103"/>
      <c r="AA59" s="3" t="str">
        <f>IF(C_Ope_008[[#This Row],[fecha]]&gt;0,TEXT(C_Ope_008[[#This Row],[fecha]],"mmmm"),0)</f>
        <v>Mayo</v>
      </c>
      <c r="AB59" s="49"/>
    </row>
    <row r="60" spans="1:28" x14ac:dyDescent="0.3">
      <c r="A60" s="2">
        <f>IF(C_Ope_008[[#This Row],[tipo_r]]="R",COUNTIFS($C$1:$C59,"R")+1,"")</f>
        <v>59</v>
      </c>
      <c r="B60" s="19" t="str">
        <f t="shared" si="9"/>
        <v>C_Ope_008</v>
      </c>
      <c r="C60" s="3" t="s">
        <v>1330</v>
      </c>
      <c r="D60" s="14">
        <v>45785</v>
      </c>
      <c r="E60" s="5" t="s">
        <v>5380</v>
      </c>
      <c r="F60" s="5" t="s">
        <v>1336</v>
      </c>
      <c r="G60" s="6"/>
      <c r="H60" s="6" t="s">
        <v>68</v>
      </c>
      <c r="I60" s="6" t="s">
        <v>9125</v>
      </c>
      <c r="J60" s="6">
        <v>6850</v>
      </c>
      <c r="K60" s="7" t="s">
        <v>9126</v>
      </c>
      <c r="L60" s="8">
        <v>24140</v>
      </c>
      <c r="M60" s="8" t="str">
        <f t="shared" si="10"/>
        <v>PEN</v>
      </c>
      <c r="N60" s="13"/>
      <c r="O60" s="13">
        <v>14</v>
      </c>
      <c r="P60" s="3">
        <f t="shared" si="6"/>
        <v>0</v>
      </c>
      <c r="Q60" s="3">
        <f t="shared" si="7"/>
        <v>14</v>
      </c>
      <c r="R60" s="3">
        <f t="shared" si="8"/>
        <v>406.67000000000007</v>
      </c>
      <c r="S60" s="24"/>
      <c r="T60" s="24"/>
      <c r="U60" s="3"/>
      <c r="V60" s="25" t="s">
        <v>7756</v>
      </c>
      <c r="W60" s="25"/>
      <c r="X60" s="25" t="str">
        <f>IFERROR(VLOOKUP(C_Ope_008[[#This Row],[nota_2]],Clientes_Proveedores[[Ruc / Dni]:[Razon Social]],2,0),"")</f>
        <v/>
      </c>
      <c r="Y60" s="25"/>
      <c r="Z60" s="103"/>
      <c r="AA60" s="3" t="str">
        <f>IF(C_Ope_008[[#This Row],[fecha]]&gt;0,TEXT(C_Ope_008[[#This Row],[fecha]],"mmmm"),0)</f>
        <v>Mayo</v>
      </c>
      <c r="AB60" s="49"/>
    </row>
    <row r="61" spans="1:28" x14ac:dyDescent="0.3">
      <c r="A61" s="2">
        <f>IF(C_Ope_008[[#This Row],[tipo_r]]="R",COUNTIFS($C$1:$C60,"R")+1,"")</f>
        <v>60</v>
      </c>
      <c r="B61" s="19" t="str">
        <f t="shared" si="9"/>
        <v>C_Ope_008</v>
      </c>
      <c r="C61" s="3" t="s">
        <v>1330</v>
      </c>
      <c r="D61" s="14">
        <v>45786</v>
      </c>
      <c r="E61" s="5" t="s">
        <v>5380</v>
      </c>
      <c r="F61" s="5" t="s">
        <v>1336</v>
      </c>
      <c r="G61" s="6"/>
      <c r="H61" s="6" t="s">
        <v>75</v>
      </c>
      <c r="I61" s="6">
        <v>1</v>
      </c>
      <c r="J61" s="6">
        <v>1965</v>
      </c>
      <c r="K61" s="7" t="s">
        <v>9085</v>
      </c>
      <c r="L61" s="8">
        <v>24151</v>
      </c>
      <c r="M61" s="8" t="str">
        <f t="shared" si="10"/>
        <v>PEN</v>
      </c>
      <c r="N61" s="13"/>
      <c r="O61" s="13">
        <v>25</v>
      </c>
      <c r="P61" s="3">
        <f t="shared" si="6"/>
        <v>0</v>
      </c>
      <c r="Q61" s="3">
        <f t="shared" si="7"/>
        <v>25</v>
      </c>
      <c r="R61" s="3">
        <f t="shared" si="8"/>
        <v>381.67000000000007</v>
      </c>
      <c r="S61" s="24"/>
      <c r="T61" s="24"/>
      <c r="U61" s="3"/>
      <c r="V61" s="25" t="s">
        <v>8277</v>
      </c>
      <c r="W61" s="25"/>
      <c r="X61" s="25" t="str">
        <f>IFERROR(VLOOKUP(C_Ope_008[[#This Row],[nota_2]],Clientes_Proveedores[[Ruc / Dni]:[Razon Social]],2,0),"")</f>
        <v/>
      </c>
      <c r="Y61" s="25"/>
      <c r="Z61" s="103"/>
      <c r="AA61" s="3" t="str">
        <f>IF(C_Ope_008[[#This Row],[fecha]]&gt;0,TEXT(C_Ope_008[[#This Row],[fecha]],"mmmm"),0)</f>
        <v>Mayo</v>
      </c>
      <c r="AB61" s="49"/>
    </row>
    <row r="62" spans="1:28" x14ac:dyDescent="0.3">
      <c r="A62" s="2">
        <f>IF(C_Ope_008[[#This Row],[tipo_r]]="R",COUNTIFS($C$1:$C61,"R")+1,"")</f>
        <v>61</v>
      </c>
      <c r="B62" s="19" t="str">
        <f t="shared" si="9"/>
        <v>C_Ope_008</v>
      </c>
      <c r="C62" s="3" t="s">
        <v>1330</v>
      </c>
      <c r="D62" s="14">
        <v>45786</v>
      </c>
      <c r="E62" s="5" t="s">
        <v>5380</v>
      </c>
      <c r="F62" s="5" t="s">
        <v>1336</v>
      </c>
      <c r="G62" s="6"/>
      <c r="H62" s="6" t="s">
        <v>68</v>
      </c>
      <c r="I62" s="6" t="s">
        <v>1391</v>
      </c>
      <c r="J62" s="6">
        <v>36312</v>
      </c>
      <c r="K62" s="7" t="s">
        <v>9127</v>
      </c>
      <c r="L62" s="8">
        <v>24152</v>
      </c>
      <c r="M62" s="8" t="str">
        <f t="shared" si="10"/>
        <v>PEN</v>
      </c>
      <c r="N62" s="13"/>
      <c r="O62" s="13">
        <v>15</v>
      </c>
      <c r="P62" s="3">
        <f t="shared" si="6"/>
        <v>0</v>
      </c>
      <c r="Q62" s="3">
        <f t="shared" si="7"/>
        <v>15</v>
      </c>
      <c r="R62" s="3">
        <f t="shared" si="8"/>
        <v>366.67000000000007</v>
      </c>
      <c r="S62" s="24"/>
      <c r="T62" s="24"/>
      <c r="U62" s="3"/>
      <c r="V62" s="25" t="s">
        <v>7761</v>
      </c>
      <c r="W62" s="25"/>
      <c r="X62" s="25" t="str">
        <f>IFERROR(VLOOKUP(C_Ope_008[[#This Row],[nota_2]],Clientes_Proveedores[[Ruc / Dni]:[Razon Social]],2,0),"")</f>
        <v/>
      </c>
      <c r="Y62" s="25"/>
      <c r="Z62" s="103"/>
      <c r="AA62" s="3" t="str">
        <f>IF(C_Ope_008[[#This Row],[fecha]]&gt;0,TEXT(C_Ope_008[[#This Row],[fecha]],"mmmm"),0)</f>
        <v>Mayo</v>
      </c>
      <c r="AB62" s="49"/>
    </row>
    <row r="63" spans="1:28" x14ac:dyDescent="0.3">
      <c r="A63" s="2">
        <f>IF(C_Ope_008[[#This Row],[tipo_r]]="R",COUNTIFS($C$1:$C62,"R")+1,"")</f>
        <v>62</v>
      </c>
      <c r="B63" s="19" t="str">
        <f t="shared" si="9"/>
        <v>C_Ope_008</v>
      </c>
      <c r="C63" s="3" t="s">
        <v>1330</v>
      </c>
      <c r="D63" s="14">
        <v>45786</v>
      </c>
      <c r="E63" s="5" t="s">
        <v>5380</v>
      </c>
      <c r="F63" s="5" t="s">
        <v>1336</v>
      </c>
      <c r="G63" s="6"/>
      <c r="H63" s="6" t="s">
        <v>75</v>
      </c>
      <c r="I63" s="6">
        <v>1</v>
      </c>
      <c r="J63" s="6">
        <v>11493</v>
      </c>
      <c r="K63" s="7" t="s">
        <v>9085</v>
      </c>
      <c r="L63" s="8">
        <v>24156</v>
      </c>
      <c r="M63" s="8" t="str">
        <f t="shared" si="10"/>
        <v>PEN</v>
      </c>
      <c r="N63" s="13"/>
      <c r="O63" s="13">
        <v>20</v>
      </c>
      <c r="P63" s="3">
        <f t="shared" si="6"/>
        <v>0</v>
      </c>
      <c r="Q63" s="3">
        <f t="shared" si="7"/>
        <v>20</v>
      </c>
      <c r="R63" s="3">
        <f t="shared" si="8"/>
        <v>346.67000000000007</v>
      </c>
      <c r="S63" s="24"/>
      <c r="T63" s="24"/>
      <c r="U63" s="3"/>
      <c r="V63" s="25" t="s">
        <v>8277</v>
      </c>
      <c r="W63" s="25"/>
      <c r="X63" s="25" t="str">
        <f>IFERROR(VLOOKUP(C_Ope_008[[#This Row],[nota_2]],Clientes_Proveedores[[Ruc / Dni]:[Razon Social]],2,0),"")</f>
        <v/>
      </c>
      <c r="Y63" s="25"/>
      <c r="Z63" s="103"/>
      <c r="AA63" s="3" t="str">
        <f>IF(C_Ope_008[[#This Row],[fecha]]&gt;0,TEXT(C_Ope_008[[#This Row],[fecha]],"mmmm"),0)</f>
        <v>Mayo</v>
      </c>
      <c r="AB63" s="49"/>
    </row>
    <row r="64" spans="1:28" ht="24" x14ac:dyDescent="0.3">
      <c r="A64" s="2">
        <f>IF(C_Ope_008[[#This Row],[tipo_r]]="R",COUNTIFS($C$1:$C63,"R")+1,"")</f>
        <v>63</v>
      </c>
      <c r="B64" s="19" t="str">
        <f t="shared" si="9"/>
        <v>C_Ope_008</v>
      </c>
      <c r="C64" s="3" t="s">
        <v>1330</v>
      </c>
      <c r="D64" s="14">
        <v>45791</v>
      </c>
      <c r="E64" s="5" t="s">
        <v>7514</v>
      </c>
      <c r="F64" s="5" t="s">
        <v>1303</v>
      </c>
      <c r="G64" s="6" t="s">
        <v>922</v>
      </c>
      <c r="H64" s="6"/>
      <c r="I64" s="6"/>
      <c r="J64" s="6"/>
      <c r="K64" s="7" t="s">
        <v>7537</v>
      </c>
      <c r="L64" s="8">
        <v>24214</v>
      </c>
      <c r="M64" s="8" t="str">
        <f t="shared" si="10"/>
        <v>PEN</v>
      </c>
      <c r="N64" s="13"/>
      <c r="O64" s="13">
        <v>300</v>
      </c>
      <c r="P64" s="3">
        <f t="shared" si="6"/>
        <v>300</v>
      </c>
      <c r="Q64" s="3">
        <f t="shared" si="7"/>
        <v>0</v>
      </c>
      <c r="R64" s="3">
        <f t="shared" si="8"/>
        <v>646.67000000000007</v>
      </c>
      <c r="S64" s="24" t="s">
        <v>1334</v>
      </c>
      <c r="T64" s="24" t="s">
        <v>1334</v>
      </c>
      <c r="U64" s="3"/>
      <c r="V64" s="25"/>
      <c r="W64" s="25"/>
      <c r="X64" s="25" t="str">
        <f>IFERROR(VLOOKUP(C_Ope_008[[#This Row],[nota_2]],Clientes_Proveedores[[Ruc / Dni]:[Razon Social]],2,0),"")</f>
        <v/>
      </c>
      <c r="Y64" s="25"/>
      <c r="Z64" s="103">
        <f>ROUND(C_Ope_008[[#This Row],[monto]]/1.18,3)</f>
        <v>254.23699999999999</v>
      </c>
      <c r="AA64" s="3" t="str">
        <f>IF(C_Ope_008[[#This Row],[fecha]]&gt;0,TEXT(C_Ope_008[[#This Row],[fecha]],"mmmm"),0)</f>
        <v>Mayo</v>
      </c>
      <c r="AB64" s="49"/>
    </row>
    <row r="65" spans="1:28" x14ac:dyDescent="0.3">
      <c r="A65" s="2">
        <f>IF(C_Ope_008[[#This Row],[tipo_r]]="R",COUNTIFS($C$1:$C64,"R")+1,"")</f>
        <v>64</v>
      </c>
      <c r="B65" s="19" t="str">
        <f t="shared" si="9"/>
        <v>C_Ope_008</v>
      </c>
      <c r="C65" s="3" t="s">
        <v>1330</v>
      </c>
      <c r="D65" s="14">
        <v>45789</v>
      </c>
      <c r="E65" s="5" t="s">
        <v>5380</v>
      </c>
      <c r="F65" s="5" t="s">
        <v>1336</v>
      </c>
      <c r="G65" s="6"/>
      <c r="H65" s="6" t="s">
        <v>68</v>
      </c>
      <c r="I65" s="6" t="s">
        <v>3078</v>
      </c>
      <c r="J65" s="6">
        <v>40996</v>
      </c>
      <c r="K65" s="7" t="s">
        <v>9105</v>
      </c>
      <c r="L65" s="8">
        <v>24185</v>
      </c>
      <c r="M65" s="8" t="str">
        <f t="shared" si="10"/>
        <v>PEN</v>
      </c>
      <c r="N65" s="13"/>
      <c r="O65" s="13">
        <v>55</v>
      </c>
      <c r="P65" s="3">
        <f t="shared" si="6"/>
        <v>0</v>
      </c>
      <c r="Q65" s="3">
        <f t="shared" si="7"/>
        <v>55</v>
      </c>
      <c r="R65" s="3">
        <f t="shared" si="8"/>
        <v>591.67000000000007</v>
      </c>
      <c r="S65" s="24"/>
      <c r="T65" s="24"/>
      <c r="U65" s="3"/>
      <c r="V65" s="25" t="s">
        <v>8277</v>
      </c>
      <c r="W65" s="25"/>
      <c r="X65" s="25" t="str">
        <f>IFERROR(VLOOKUP(C_Ope_008[[#This Row],[nota_2]],Clientes_Proveedores[[Ruc / Dni]:[Razon Social]],2,0),"")</f>
        <v/>
      </c>
      <c r="Y65" s="25"/>
      <c r="Z65" s="103"/>
      <c r="AA65" s="3" t="str">
        <f>IF(C_Ope_008[[#This Row],[fecha]]&gt;0,TEXT(C_Ope_008[[#This Row],[fecha]],"mmmm"),0)</f>
        <v>Mayo</v>
      </c>
      <c r="AB65" s="49"/>
    </row>
    <row r="66" spans="1:28" ht="24" x14ac:dyDescent="0.3">
      <c r="A66" s="2">
        <f>IF(C_Ope_008[[#This Row],[tipo_r]]="R",COUNTIFS($C$1:$C65,"R")+1,"")</f>
        <v>65</v>
      </c>
      <c r="B66" s="19" t="str">
        <f t="shared" si="9"/>
        <v>C_Ope_008</v>
      </c>
      <c r="C66" s="3" t="s">
        <v>1330</v>
      </c>
      <c r="D66" s="14">
        <v>45790</v>
      </c>
      <c r="E66" s="5" t="s">
        <v>5380</v>
      </c>
      <c r="F66" s="5" t="s">
        <v>1336</v>
      </c>
      <c r="G66" s="6"/>
      <c r="H66" s="6" t="s">
        <v>68</v>
      </c>
      <c r="I66" s="6" t="s">
        <v>1376</v>
      </c>
      <c r="J66" s="6">
        <v>235</v>
      </c>
      <c r="K66" s="7" t="s">
        <v>9128</v>
      </c>
      <c r="L66" s="8">
        <v>24194</v>
      </c>
      <c r="M66" s="8" t="str">
        <f t="shared" si="10"/>
        <v>PEN</v>
      </c>
      <c r="N66" s="13"/>
      <c r="O66" s="13">
        <v>70</v>
      </c>
      <c r="P66" s="3">
        <f t="shared" ref="P66:P98" si="11">+IF(OR($F66="SALDO",$F66="INGRESO"),$O66,0)</f>
        <v>0</v>
      </c>
      <c r="Q66" s="3">
        <f t="shared" ref="Q66:Q98" si="12">+IF($F66="EGRESO",$O66,0)</f>
        <v>70</v>
      </c>
      <c r="R66" s="3">
        <f t="shared" ref="R66:R97" si="13">IFERROR(IF(F66="SALDO",P66,R65+P66-Q66),0)</f>
        <v>521.67000000000007</v>
      </c>
      <c r="S66" s="24"/>
      <c r="T66" s="24"/>
      <c r="U66" s="3"/>
      <c r="V66" s="25" t="s">
        <v>7761</v>
      </c>
      <c r="W66" s="25"/>
      <c r="X66" s="25" t="str">
        <f>IFERROR(VLOOKUP(C_Ope_008[[#This Row],[nota_2]],Clientes_Proveedores[[Ruc / Dni]:[Razon Social]],2,0),"")</f>
        <v/>
      </c>
      <c r="Y66" s="25"/>
      <c r="Z66" s="103"/>
      <c r="AA66" s="3" t="str">
        <f>IF(C_Ope_008[[#This Row],[fecha]]&gt;0,TEXT(C_Ope_008[[#This Row],[fecha]],"mmmm"),0)</f>
        <v>Mayo</v>
      </c>
      <c r="AB66" s="49"/>
    </row>
    <row r="67" spans="1:28" ht="24" x14ac:dyDescent="0.3">
      <c r="A67" s="2">
        <f>IF(C_Ope_008[[#This Row],[tipo_r]]="R",COUNTIFS($C$1:$C66,"R")+1,"")</f>
        <v>66</v>
      </c>
      <c r="B67" s="19" t="str">
        <f t="shared" ref="B67:B86" si="14">"C_Ope_008"</f>
        <v>C_Ope_008</v>
      </c>
      <c r="C67" s="3" t="s">
        <v>1330</v>
      </c>
      <c r="D67" s="14">
        <v>45797</v>
      </c>
      <c r="E67" s="5" t="s">
        <v>5380</v>
      </c>
      <c r="F67" s="5" t="s">
        <v>1336</v>
      </c>
      <c r="G67" s="6"/>
      <c r="H67" s="6" t="s">
        <v>68</v>
      </c>
      <c r="I67" s="6" t="s">
        <v>1376</v>
      </c>
      <c r="J67" s="6">
        <v>22329</v>
      </c>
      <c r="K67" s="7" t="s">
        <v>9129</v>
      </c>
      <c r="L67" s="8">
        <v>24228</v>
      </c>
      <c r="M67" s="8" t="str">
        <f t="shared" ref="M67:M86" si="15">"PEN"</f>
        <v>PEN</v>
      </c>
      <c r="N67" s="13"/>
      <c r="O67" s="13">
        <v>19.5</v>
      </c>
      <c r="P67" s="3">
        <f t="shared" si="11"/>
        <v>0</v>
      </c>
      <c r="Q67" s="3">
        <f t="shared" si="12"/>
        <v>19.5</v>
      </c>
      <c r="R67" s="3">
        <f t="shared" si="13"/>
        <v>502.17000000000007</v>
      </c>
      <c r="S67" s="24"/>
      <c r="T67" s="24"/>
      <c r="U67" s="3"/>
      <c r="V67" s="25" t="s">
        <v>7754</v>
      </c>
      <c r="W67" s="25"/>
      <c r="X67" s="25" t="str">
        <f>IFERROR(VLOOKUP(C_Ope_008[[#This Row],[nota_2]],Clientes_Proveedores[[Ruc / Dni]:[Razon Social]],2,0),"")</f>
        <v/>
      </c>
      <c r="Y67" s="25"/>
      <c r="Z67" s="103"/>
      <c r="AA67" s="3" t="str">
        <f>IF(C_Ope_008[[#This Row],[fecha]]&gt;0,TEXT(C_Ope_008[[#This Row],[fecha]],"mmmm"),0)</f>
        <v>Mayo</v>
      </c>
      <c r="AB67" s="49"/>
    </row>
    <row r="68" spans="1:28" ht="24" x14ac:dyDescent="0.3">
      <c r="A68" s="2">
        <f>IF(C_Ope_008[[#This Row],[tipo_r]]="R",COUNTIFS($C$1:$C67,"R")+1,"")</f>
        <v>67</v>
      </c>
      <c r="B68" s="19" t="str">
        <f t="shared" si="14"/>
        <v>C_Ope_008</v>
      </c>
      <c r="C68" s="3" t="s">
        <v>1330</v>
      </c>
      <c r="D68" s="14">
        <v>45797</v>
      </c>
      <c r="E68" s="5" t="s">
        <v>5380</v>
      </c>
      <c r="F68" s="5" t="s">
        <v>1336</v>
      </c>
      <c r="G68" s="6"/>
      <c r="H68" s="6" t="s">
        <v>68</v>
      </c>
      <c r="I68" s="6" t="s">
        <v>1390</v>
      </c>
      <c r="J68" s="6">
        <v>13308</v>
      </c>
      <c r="K68" s="7" t="s">
        <v>9130</v>
      </c>
      <c r="L68" s="8">
        <v>24236</v>
      </c>
      <c r="M68" s="8" t="str">
        <f t="shared" si="15"/>
        <v>PEN</v>
      </c>
      <c r="N68" s="13"/>
      <c r="O68" s="13">
        <v>50</v>
      </c>
      <c r="P68" s="3">
        <f t="shared" si="11"/>
        <v>0</v>
      </c>
      <c r="Q68" s="3">
        <f t="shared" si="12"/>
        <v>50</v>
      </c>
      <c r="R68" s="3">
        <f t="shared" si="13"/>
        <v>452.17000000000007</v>
      </c>
      <c r="S68" s="24"/>
      <c r="T68" s="24"/>
      <c r="U68" s="3"/>
      <c r="V68" s="25" t="s">
        <v>7761</v>
      </c>
      <c r="W68" s="25"/>
      <c r="X68" s="25" t="str">
        <f>IFERROR(VLOOKUP(C_Ope_008[[#This Row],[nota_2]],Clientes_Proveedores[[Ruc / Dni]:[Razon Social]],2,0),"")</f>
        <v/>
      </c>
      <c r="Y68" s="25"/>
      <c r="Z68" s="103"/>
      <c r="AA68" s="3" t="str">
        <f>IF(C_Ope_008[[#This Row],[fecha]]&gt;0,TEXT(C_Ope_008[[#This Row],[fecha]],"mmmm"),0)</f>
        <v>Mayo</v>
      </c>
      <c r="AB68" s="49"/>
    </row>
    <row r="69" spans="1:28" x14ac:dyDescent="0.3">
      <c r="A69" s="2">
        <f>IF(C_Ope_008[[#This Row],[tipo_r]]="R",COUNTIFS($C$1:$C68,"R")+1,"")</f>
        <v>68</v>
      </c>
      <c r="B69" s="19" t="str">
        <f t="shared" si="14"/>
        <v>C_Ope_008</v>
      </c>
      <c r="C69" s="3" t="s">
        <v>1330</v>
      </c>
      <c r="D69" s="14">
        <v>45797</v>
      </c>
      <c r="E69" s="5" t="s">
        <v>5380</v>
      </c>
      <c r="F69" s="5" t="s">
        <v>1336</v>
      </c>
      <c r="G69" s="6"/>
      <c r="H69" s="6" t="s">
        <v>68</v>
      </c>
      <c r="I69" s="6" t="s">
        <v>3078</v>
      </c>
      <c r="J69" s="6">
        <v>41156</v>
      </c>
      <c r="K69" s="7" t="s">
        <v>9131</v>
      </c>
      <c r="L69" s="8">
        <v>24237</v>
      </c>
      <c r="M69" s="8" t="str">
        <f t="shared" si="15"/>
        <v>PEN</v>
      </c>
      <c r="N69" s="13"/>
      <c r="O69" s="13">
        <v>75</v>
      </c>
      <c r="P69" s="3">
        <f t="shared" si="11"/>
        <v>0</v>
      </c>
      <c r="Q69" s="3">
        <f t="shared" si="12"/>
        <v>75</v>
      </c>
      <c r="R69" s="3">
        <f t="shared" si="13"/>
        <v>377.17000000000007</v>
      </c>
      <c r="S69" s="24"/>
      <c r="T69" s="24"/>
      <c r="U69" s="3"/>
      <c r="V69" s="25" t="s">
        <v>8277</v>
      </c>
      <c r="W69" s="25"/>
      <c r="X69" s="25" t="str">
        <f>IFERROR(VLOOKUP(C_Ope_008[[#This Row],[nota_2]],Clientes_Proveedores[[Ruc / Dni]:[Razon Social]],2,0),"")</f>
        <v/>
      </c>
      <c r="Y69" s="25"/>
      <c r="Z69" s="103"/>
      <c r="AA69" s="3" t="str">
        <f>IF(C_Ope_008[[#This Row],[fecha]]&gt;0,TEXT(C_Ope_008[[#This Row],[fecha]],"mmmm"),0)</f>
        <v>Mayo</v>
      </c>
      <c r="AB69" s="49"/>
    </row>
    <row r="70" spans="1:28" x14ac:dyDescent="0.3">
      <c r="A70" s="2">
        <f>IF(C_Ope_008[[#This Row],[tipo_r]]="R",COUNTIFS($C$1:$C69,"R")+1,"")</f>
        <v>69</v>
      </c>
      <c r="B70" s="19" t="str">
        <f t="shared" si="14"/>
        <v>C_Ope_008</v>
      </c>
      <c r="C70" s="3" t="s">
        <v>1330</v>
      </c>
      <c r="D70" s="14">
        <v>45798</v>
      </c>
      <c r="E70" s="5" t="s">
        <v>5380</v>
      </c>
      <c r="F70" s="5" t="s">
        <v>1336</v>
      </c>
      <c r="G70" s="6"/>
      <c r="H70" s="6" t="s">
        <v>68</v>
      </c>
      <c r="I70" s="6" t="s">
        <v>1376</v>
      </c>
      <c r="J70" s="6">
        <v>266</v>
      </c>
      <c r="K70" s="7" t="s">
        <v>9132</v>
      </c>
      <c r="L70" s="8">
        <v>24293</v>
      </c>
      <c r="M70" s="8" t="str">
        <f t="shared" si="15"/>
        <v>PEN</v>
      </c>
      <c r="N70" s="13"/>
      <c r="O70" s="13">
        <v>35</v>
      </c>
      <c r="P70" s="3">
        <f t="shared" si="11"/>
        <v>0</v>
      </c>
      <c r="Q70" s="3">
        <f t="shared" si="12"/>
        <v>35</v>
      </c>
      <c r="R70" s="3">
        <f t="shared" si="13"/>
        <v>342.17000000000007</v>
      </c>
      <c r="S70" s="24"/>
      <c r="T70" s="24"/>
      <c r="U70" s="3"/>
      <c r="V70" s="25" t="s">
        <v>8006</v>
      </c>
      <c r="W70" s="25"/>
      <c r="X70" s="25" t="str">
        <f>IFERROR(VLOOKUP(C_Ope_008[[#This Row],[nota_2]],Clientes_Proveedores[[Ruc / Dni]:[Razon Social]],2,0),"")</f>
        <v/>
      </c>
      <c r="Y70" s="25"/>
      <c r="Z70" s="103"/>
      <c r="AA70" s="3" t="str">
        <f>IF(C_Ope_008[[#This Row],[fecha]]&gt;0,TEXT(C_Ope_008[[#This Row],[fecha]],"mmmm"),0)</f>
        <v>Mayo</v>
      </c>
      <c r="AB70" s="49"/>
    </row>
    <row r="71" spans="1:28" ht="24" x14ac:dyDescent="0.3">
      <c r="A71" s="2">
        <f>IF(C_Ope_008[[#This Row],[tipo_r]]="R",COUNTIFS($C$1:$C70,"R")+1,"")</f>
        <v>70</v>
      </c>
      <c r="B71" s="19" t="str">
        <f t="shared" si="14"/>
        <v>C_Ope_008</v>
      </c>
      <c r="C71" s="3" t="s">
        <v>1330</v>
      </c>
      <c r="D71" s="14">
        <v>45799</v>
      </c>
      <c r="E71" s="5" t="s">
        <v>5380</v>
      </c>
      <c r="F71" s="5" t="s">
        <v>1336</v>
      </c>
      <c r="G71" s="6"/>
      <c r="H71" s="6" t="s">
        <v>68</v>
      </c>
      <c r="I71" s="6" t="s">
        <v>1390</v>
      </c>
      <c r="J71" s="6">
        <v>1927</v>
      </c>
      <c r="K71" s="7" t="s">
        <v>9133</v>
      </c>
      <c r="L71" s="8">
        <v>24292</v>
      </c>
      <c r="M71" s="8" t="str">
        <f t="shared" si="15"/>
        <v>PEN</v>
      </c>
      <c r="N71" s="13"/>
      <c r="O71" s="13">
        <v>19</v>
      </c>
      <c r="P71" s="3">
        <f t="shared" si="11"/>
        <v>0</v>
      </c>
      <c r="Q71" s="3">
        <f t="shared" si="12"/>
        <v>19</v>
      </c>
      <c r="R71" s="3">
        <f t="shared" si="13"/>
        <v>323.17000000000007</v>
      </c>
      <c r="S71" s="24"/>
      <c r="T71" s="24"/>
      <c r="U71" s="3"/>
      <c r="V71" s="25" t="s">
        <v>7756</v>
      </c>
      <c r="W71" s="25"/>
      <c r="X71" s="25" t="str">
        <f>IFERROR(VLOOKUP(C_Ope_008[[#This Row],[nota_2]],Clientes_Proveedores[[Ruc / Dni]:[Razon Social]],2,0),"")</f>
        <v/>
      </c>
      <c r="Y71" s="25"/>
      <c r="Z71" s="103"/>
      <c r="AA71" s="3" t="str">
        <f>IF(C_Ope_008[[#This Row],[fecha]]&gt;0,TEXT(C_Ope_008[[#This Row],[fecha]],"mmmm"),0)</f>
        <v>Mayo</v>
      </c>
      <c r="AB71" s="49"/>
    </row>
    <row r="72" spans="1:28" ht="24" x14ac:dyDescent="0.3">
      <c r="A72" s="2">
        <f>IF(C_Ope_008[[#This Row],[tipo_r]]="R",COUNTIFS($C$1:$C71,"R")+1,"")</f>
        <v>71</v>
      </c>
      <c r="B72" s="19" t="str">
        <f t="shared" si="14"/>
        <v>C_Ope_008</v>
      </c>
      <c r="C72" s="3" t="s">
        <v>1330</v>
      </c>
      <c r="D72" s="14">
        <v>45800</v>
      </c>
      <c r="E72" s="5" t="s">
        <v>5380</v>
      </c>
      <c r="F72" s="5" t="s">
        <v>1336</v>
      </c>
      <c r="G72" s="6"/>
      <c r="H72" s="6" t="s">
        <v>68</v>
      </c>
      <c r="I72" s="6" t="s">
        <v>1376</v>
      </c>
      <c r="J72" s="6">
        <v>708</v>
      </c>
      <c r="K72" s="7" t="s">
        <v>9134</v>
      </c>
      <c r="L72" s="8">
        <v>24291</v>
      </c>
      <c r="M72" s="8" t="str">
        <f t="shared" si="15"/>
        <v>PEN</v>
      </c>
      <c r="N72" s="13"/>
      <c r="O72" s="13">
        <v>20</v>
      </c>
      <c r="P72" s="3">
        <f t="shared" si="11"/>
        <v>0</v>
      </c>
      <c r="Q72" s="3">
        <f t="shared" si="12"/>
        <v>20</v>
      </c>
      <c r="R72" s="3">
        <f t="shared" si="13"/>
        <v>303.17000000000007</v>
      </c>
      <c r="S72" s="24"/>
      <c r="T72" s="24"/>
      <c r="U72" s="3"/>
      <c r="V72" s="25" t="s">
        <v>7756</v>
      </c>
      <c r="W72" s="25"/>
      <c r="X72" s="25" t="str">
        <f>IFERROR(VLOOKUP(C_Ope_008[[#This Row],[nota_2]],Clientes_Proveedores[[Ruc / Dni]:[Razon Social]],2,0),"")</f>
        <v/>
      </c>
      <c r="Y72" s="25"/>
      <c r="Z72" s="103"/>
      <c r="AA72" s="3" t="str">
        <f>IF(C_Ope_008[[#This Row],[fecha]]&gt;0,TEXT(C_Ope_008[[#This Row],[fecha]],"mmmm"),0)</f>
        <v>Mayo</v>
      </c>
      <c r="AB72" s="49"/>
    </row>
    <row r="73" spans="1:28" ht="24" x14ac:dyDescent="0.3">
      <c r="A73" s="2">
        <f>IF(C_Ope_008[[#This Row],[tipo_r]]="R",COUNTIFS($C$1:$C72,"R")+1,"")</f>
        <v>72</v>
      </c>
      <c r="B73" s="19" t="str">
        <f t="shared" si="14"/>
        <v>C_Ope_008</v>
      </c>
      <c r="C73" s="3" t="s">
        <v>1330</v>
      </c>
      <c r="D73" s="14">
        <v>45800</v>
      </c>
      <c r="E73" s="5" t="s">
        <v>5380</v>
      </c>
      <c r="F73" s="5" t="s">
        <v>1336</v>
      </c>
      <c r="G73" s="6"/>
      <c r="H73" s="6" t="s">
        <v>68</v>
      </c>
      <c r="I73" s="6" t="s">
        <v>1391</v>
      </c>
      <c r="J73" s="6">
        <v>37054</v>
      </c>
      <c r="K73" s="7" t="s">
        <v>9135</v>
      </c>
      <c r="L73" s="8">
        <v>24294</v>
      </c>
      <c r="M73" s="8" t="str">
        <f t="shared" si="15"/>
        <v>PEN</v>
      </c>
      <c r="N73" s="13"/>
      <c r="O73" s="13">
        <v>16</v>
      </c>
      <c r="P73" s="3">
        <f t="shared" si="11"/>
        <v>0</v>
      </c>
      <c r="Q73" s="3">
        <f t="shared" si="12"/>
        <v>16</v>
      </c>
      <c r="R73" s="3">
        <f t="shared" si="13"/>
        <v>287.17000000000007</v>
      </c>
      <c r="S73" s="24"/>
      <c r="T73" s="24"/>
      <c r="U73" s="3"/>
      <c r="V73" s="25" t="s">
        <v>7754</v>
      </c>
      <c r="W73" s="25"/>
      <c r="X73" s="25" t="str">
        <f>IFERROR(VLOOKUP(C_Ope_008[[#This Row],[nota_2]],Clientes_Proveedores[[Ruc / Dni]:[Razon Social]],2,0),"")</f>
        <v/>
      </c>
      <c r="Y73" s="25"/>
      <c r="Z73" s="103"/>
      <c r="AA73" s="3" t="str">
        <f>IF(C_Ope_008[[#This Row],[fecha]]&gt;0,TEXT(C_Ope_008[[#This Row],[fecha]],"mmmm"),0)</f>
        <v>Mayo</v>
      </c>
      <c r="AB73" s="49"/>
    </row>
    <row r="74" spans="1:28" ht="24" x14ac:dyDescent="0.3">
      <c r="A74" s="2">
        <f>IF(C_Ope_008[[#This Row],[tipo_r]]="R",COUNTIFS($C$1:$C73,"R")+1,"")</f>
        <v>73</v>
      </c>
      <c r="B74" s="19" t="str">
        <f t="shared" si="14"/>
        <v>C_Ope_008</v>
      </c>
      <c r="C74" s="3" t="s">
        <v>1330</v>
      </c>
      <c r="D74" s="14">
        <v>45803</v>
      </c>
      <c r="E74" s="5" t="s">
        <v>5380</v>
      </c>
      <c r="F74" s="5" t="s">
        <v>1336</v>
      </c>
      <c r="G74" s="6"/>
      <c r="H74" s="6" t="s">
        <v>68</v>
      </c>
      <c r="I74" s="6" t="s">
        <v>1374</v>
      </c>
      <c r="J74" s="6">
        <v>5132</v>
      </c>
      <c r="K74" s="7" t="s">
        <v>9136</v>
      </c>
      <c r="L74" s="8">
        <v>24316</v>
      </c>
      <c r="M74" s="8" t="str">
        <f t="shared" si="15"/>
        <v>PEN</v>
      </c>
      <c r="N74" s="13"/>
      <c r="O74" s="13">
        <v>130</v>
      </c>
      <c r="P74" s="3">
        <f t="shared" si="11"/>
        <v>0</v>
      </c>
      <c r="Q74" s="3">
        <f t="shared" si="12"/>
        <v>130</v>
      </c>
      <c r="R74" s="3">
        <f t="shared" si="13"/>
        <v>157.17000000000007</v>
      </c>
      <c r="S74" s="24"/>
      <c r="T74" s="24"/>
      <c r="U74" s="3"/>
      <c r="V74" s="25" t="s">
        <v>7756</v>
      </c>
      <c r="W74" s="25"/>
      <c r="X74" s="25" t="str">
        <f>IFERROR(VLOOKUP(C_Ope_008[[#This Row],[nota_2]],Clientes_Proveedores[[Ruc / Dni]:[Razon Social]],2,0),"")</f>
        <v/>
      </c>
      <c r="Y74" s="25"/>
      <c r="Z74" s="103"/>
      <c r="AA74" s="3" t="str">
        <f>IF(C_Ope_008[[#This Row],[fecha]]&gt;0,TEXT(C_Ope_008[[#This Row],[fecha]],"mmmm"),0)</f>
        <v>Mayo</v>
      </c>
      <c r="AB74" s="49"/>
    </row>
    <row r="75" spans="1:28" x14ac:dyDescent="0.3">
      <c r="A75" s="2">
        <f>IF(C_Ope_008[[#This Row],[tipo_r]]="R",COUNTIFS($C$1:$C74,"R")+1,"")</f>
        <v>74</v>
      </c>
      <c r="B75" s="19" t="str">
        <f t="shared" si="14"/>
        <v>C_Ope_008</v>
      </c>
      <c r="C75" s="3" t="s">
        <v>1330</v>
      </c>
      <c r="D75" s="14">
        <v>45804</v>
      </c>
      <c r="E75" s="5" t="s">
        <v>5380</v>
      </c>
      <c r="F75" s="5" t="s">
        <v>1336</v>
      </c>
      <c r="G75" s="6"/>
      <c r="H75" s="6"/>
      <c r="I75" s="6" t="s">
        <v>9095</v>
      </c>
      <c r="J75" s="6">
        <v>8</v>
      </c>
      <c r="K75" s="7" t="s">
        <v>9137</v>
      </c>
      <c r="L75" s="8">
        <v>24319</v>
      </c>
      <c r="M75" s="8" t="str">
        <f t="shared" si="15"/>
        <v>PEN</v>
      </c>
      <c r="N75" s="13"/>
      <c r="O75" s="13">
        <v>30</v>
      </c>
      <c r="P75" s="3">
        <f t="shared" si="11"/>
        <v>0</v>
      </c>
      <c r="Q75" s="3">
        <f t="shared" si="12"/>
        <v>30</v>
      </c>
      <c r="R75" s="3">
        <f t="shared" si="13"/>
        <v>127.17000000000007</v>
      </c>
      <c r="S75" s="24"/>
      <c r="T75" s="24"/>
      <c r="U75" s="3"/>
      <c r="V75" s="25" t="s">
        <v>8277</v>
      </c>
      <c r="W75" s="25"/>
      <c r="X75" s="25" t="str">
        <f>IFERROR(VLOOKUP(C_Ope_008[[#This Row],[nota_2]],Clientes_Proveedores[[Ruc / Dni]:[Razon Social]],2,0),"")</f>
        <v/>
      </c>
      <c r="Y75" s="25"/>
      <c r="Z75" s="103"/>
      <c r="AA75" s="3" t="str">
        <f>IF(C_Ope_008[[#This Row],[fecha]]&gt;0,TEXT(C_Ope_008[[#This Row],[fecha]],"mmmm"),0)</f>
        <v>Mayo</v>
      </c>
      <c r="AB75" s="49"/>
    </row>
    <row r="76" spans="1:28" ht="24" x14ac:dyDescent="0.3">
      <c r="A76" s="2">
        <f>IF(C_Ope_008[[#This Row],[tipo_r]]="R",COUNTIFS($C$1:$C75,"R")+1,"")</f>
        <v>75</v>
      </c>
      <c r="B76" s="19" t="str">
        <f t="shared" si="14"/>
        <v>C_Ope_008</v>
      </c>
      <c r="C76" s="3" t="s">
        <v>1330</v>
      </c>
      <c r="D76" s="14">
        <v>45804</v>
      </c>
      <c r="E76" s="5" t="s">
        <v>5380</v>
      </c>
      <c r="F76" s="5" t="s">
        <v>1336</v>
      </c>
      <c r="G76" s="6"/>
      <c r="H76" s="6" t="s">
        <v>68</v>
      </c>
      <c r="I76" s="6" t="s">
        <v>1374</v>
      </c>
      <c r="J76" s="6">
        <v>17897</v>
      </c>
      <c r="K76" s="7" t="s">
        <v>9138</v>
      </c>
      <c r="L76" s="8">
        <v>24320</v>
      </c>
      <c r="M76" s="8" t="str">
        <f t="shared" si="15"/>
        <v>PEN</v>
      </c>
      <c r="N76" s="13"/>
      <c r="O76" s="13">
        <v>14</v>
      </c>
      <c r="P76" s="3">
        <f t="shared" si="11"/>
        <v>0</v>
      </c>
      <c r="Q76" s="3">
        <f t="shared" si="12"/>
        <v>14</v>
      </c>
      <c r="R76" s="3">
        <f t="shared" si="13"/>
        <v>113.17000000000007</v>
      </c>
      <c r="S76" s="24"/>
      <c r="T76" s="24"/>
      <c r="U76" s="3"/>
      <c r="V76" s="25" t="s">
        <v>7756</v>
      </c>
      <c r="W76" s="25"/>
      <c r="X76" s="25" t="str">
        <f>IFERROR(VLOOKUP(C_Ope_008[[#This Row],[nota_2]],Clientes_Proveedores[[Ruc / Dni]:[Razon Social]],2,0),"")</f>
        <v/>
      </c>
      <c r="Y76" s="25"/>
      <c r="Z76" s="103"/>
      <c r="AA76" s="3" t="str">
        <f>IF(C_Ope_008[[#This Row],[fecha]]&gt;0,TEXT(C_Ope_008[[#This Row],[fecha]],"mmmm"),0)</f>
        <v>Mayo</v>
      </c>
      <c r="AB76" s="49"/>
    </row>
    <row r="77" spans="1:28" ht="24" x14ac:dyDescent="0.3">
      <c r="A77" s="2">
        <f>IF(C_Ope_008[[#This Row],[tipo_r]]="R",COUNTIFS($C$1:$C76,"R")+1,"")</f>
        <v>76</v>
      </c>
      <c r="B77" s="19" t="str">
        <f t="shared" si="14"/>
        <v>C_Ope_008</v>
      </c>
      <c r="C77" s="3" t="s">
        <v>1330</v>
      </c>
      <c r="D77" s="14">
        <v>45805</v>
      </c>
      <c r="E77" s="5" t="s">
        <v>5380</v>
      </c>
      <c r="F77" s="5" t="s">
        <v>1336</v>
      </c>
      <c r="G77" s="6"/>
      <c r="H77" s="6" t="s">
        <v>68</v>
      </c>
      <c r="I77" s="6" t="s">
        <v>1374</v>
      </c>
      <c r="J77" s="6">
        <v>7632</v>
      </c>
      <c r="K77" s="7" t="s">
        <v>9139</v>
      </c>
      <c r="L77" s="8">
        <v>24338</v>
      </c>
      <c r="M77" s="8" t="str">
        <f t="shared" si="15"/>
        <v>PEN</v>
      </c>
      <c r="N77" s="13"/>
      <c r="O77" s="13">
        <v>45.5</v>
      </c>
      <c r="P77" s="3">
        <f t="shared" si="11"/>
        <v>0</v>
      </c>
      <c r="Q77" s="3">
        <f t="shared" si="12"/>
        <v>45.5</v>
      </c>
      <c r="R77" s="3">
        <f t="shared" si="13"/>
        <v>67.670000000000073</v>
      </c>
      <c r="S77" s="24"/>
      <c r="T77" s="24"/>
      <c r="U77" s="3"/>
      <c r="V77" s="25" t="s">
        <v>8277</v>
      </c>
      <c r="W77" s="25"/>
      <c r="X77" s="25" t="str">
        <f>IFERROR(VLOOKUP(C_Ope_008[[#This Row],[nota_2]],Clientes_Proveedores[[Ruc / Dni]:[Razon Social]],2,0),"")</f>
        <v/>
      </c>
      <c r="Y77" s="25"/>
      <c r="Z77" s="103"/>
      <c r="AA77" s="3" t="str">
        <f>IF(C_Ope_008[[#This Row],[fecha]]&gt;0,TEXT(C_Ope_008[[#This Row],[fecha]],"mmmm"),0)</f>
        <v>Mayo</v>
      </c>
      <c r="AB77" s="49"/>
    </row>
    <row r="78" spans="1:28" ht="24" x14ac:dyDescent="0.3">
      <c r="A78" s="2">
        <f>IF(C_Ope_008[[#This Row],[tipo_r]]="R",COUNTIFS($C$1:$C77,"R")+1,"")</f>
        <v>77</v>
      </c>
      <c r="B78" s="19" t="str">
        <f t="shared" si="14"/>
        <v>C_Ope_008</v>
      </c>
      <c r="C78" s="3" t="s">
        <v>1330</v>
      </c>
      <c r="D78" s="14">
        <v>45812</v>
      </c>
      <c r="E78" s="5" t="s">
        <v>7514</v>
      </c>
      <c r="F78" s="5" t="s">
        <v>1303</v>
      </c>
      <c r="G78" s="6" t="s">
        <v>922</v>
      </c>
      <c r="H78" s="6"/>
      <c r="I78" s="6"/>
      <c r="J78" s="6"/>
      <c r="K78" s="7" t="s">
        <v>7537</v>
      </c>
      <c r="L78" s="8">
        <v>24501</v>
      </c>
      <c r="M78" s="8" t="str">
        <f t="shared" si="15"/>
        <v>PEN</v>
      </c>
      <c r="N78" s="13"/>
      <c r="O78" s="13">
        <v>130</v>
      </c>
      <c r="P78" s="3">
        <f t="shared" si="11"/>
        <v>130</v>
      </c>
      <c r="Q78" s="3">
        <f t="shared" si="12"/>
        <v>0</v>
      </c>
      <c r="R78" s="3">
        <f t="shared" si="13"/>
        <v>197.67000000000007</v>
      </c>
      <c r="S78" s="24" t="s">
        <v>1334</v>
      </c>
      <c r="T78" s="24" t="s">
        <v>1334</v>
      </c>
      <c r="U78" s="3"/>
      <c r="V78" s="25"/>
      <c r="W78" s="25"/>
      <c r="X78" s="25" t="str">
        <f>IFERROR(VLOOKUP(C_Ope_008[[#This Row],[nota_2]],Clientes_Proveedores[[Ruc / Dni]:[Razon Social]],2,0),"")</f>
        <v/>
      </c>
      <c r="Y78" s="25"/>
      <c r="Z78" s="103">
        <f>ROUND(C_Ope_008[[#This Row],[monto]]/1.18,3)</f>
        <v>110.169</v>
      </c>
      <c r="AA78" s="3" t="str">
        <f>IF(C_Ope_008[[#This Row],[fecha]]&gt;0,TEXT(C_Ope_008[[#This Row],[fecha]],"mmmm"),0)</f>
        <v>Junio</v>
      </c>
      <c r="AB78" s="49"/>
    </row>
    <row r="79" spans="1:28" ht="24" x14ac:dyDescent="0.3">
      <c r="A79" s="2">
        <f>IF(C_Ope_008[[#This Row],[tipo_r]]="R",COUNTIFS($C$1:$C78,"R")+1,"")</f>
        <v>78</v>
      </c>
      <c r="B79" s="19" t="str">
        <f t="shared" si="14"/>
        <v>C_Ope_008</v>
      </c>
      <c r="C79" s="3" t="s">
        <v>1330</v>
      </c>
      <c r="D79" s="14">
        <v>45811</v>
      </c>
      <c r="E79" s="5" t="s">
        <v>5380</v>
      </c>
      <c r="F79" s="5" t="s">
        <v>1336</v>
      </c>
      <c r="G79" s="6"/>
      <c r="H79" s="6" t="s">
        <v>68</v>
      </c>
      <c r="I79" s="6" t="s">
        <v>1374</v>
      </c>
      <c r="J79" s="6">
        <v>7664</v>
      </c>
      <c r="K79" s="7" t="s">
        <v>9140</v>
      </c>
      <c r="L79" s="8">
        <v>24433</v>
      </c>
      <c r="M79" s="8" t="str">
        <f t="shared" si="15"/>
        <v>PEN</v>
      </c>
      <c r="N79" s="13"/>
      <c r="O79" s="13">
        <v>65</v>
      </c>
      <c r="P79" s="3">
        <f t="shared" si="11"/>
        <v>0</v>
      </c>
      <c r="Q79" s="3">
        <f t="shared" si="12"/>
        <v>65</v>
      </c>
      <c r="R79" s="3">
        <f t="shared" si="13"/>
        <v>132.67000000000007</v>
      </c>
      <c r="S79" s="24"/>
      <c r="T79" s="24"/>
      <c r="U79" s="3"/>
      <c r="V79" s="25" t="s">
        <v>8277</v>
      </c>
      <c r="W79" s="25"/>
      <c r="X79" s="25" t="str">
        <f>IFERROR(VLOOKUP(C_Ope_008[[#This Row],[nota_2]],Clientes_Proveedores[[Ruc / Dni]:[Razon Social]],2,0),"")</f>
        <v/>
      </c>
      <c r="Y79" s="25"/>
      <c r="Z79" s="103"/>
      <c r="AA79" s="3" t="str">
        <f>IF(C_Ope_008[[#This Row],[fecha]]&gt;0,TEXT(C_Ope_008[[#This Row],[fecha]],"mmmm"),0)</f>
        <v>Junio</v>
      </c>
      <c r="AB79" s="49"/>
    </row>
    <row r="80" spans="1:28" ht="24" x14ac:dyDescent="0.3">
      <c r="A80" s="2">
        <f>IF(C_Ope_008[[#This Row],[tipo_r]]="R",COUNTIFS($C$1:$C79,"R")+1,"")</f>
        <v>79</v>
      </c>
      <c r="B80" s="19" t="str">
        <f t="shared" si="14"/>
        <v>C_Ope_008</v>
      </c>
      <c r="C80" s="3" t="s">
        <v>1330</v>
      </c>
      <c r="D80" s="14">
        <v>45812</v>
      </c>
      <c r="E80" s="5" t="s">
        <v>5380</v>
      </c>
      <c r="F80" s="5" t="s">
        <v>1336</v>
      </c>
      <c r="G80" s="6"/>
      <c r="H80" s="6" t="s">
        <v>68</v>
      </c>
      <c r="I80" s="6" t="s">
        <v>1374</v>
      </c>
      <c r="J80" s="6">
        <v>7664</v>
      </c>
      <c r="K80" s="7" t="s">
        <v>9141</v>
      </c>
      <c r="L80" s="8">
        <v>24500</v>
      </c>
      <c r="M80" s="8" t="str">
        <f t="shared" si="15"/>
        <v>PEN</v>
      </c>
      <c r="N80" s="13"/>
      <c r="O80" s="13">
        <v>0</v>
      </c>
      <c r="P80" s="3">
        <f t="shared" si="11"/>
        <v>0</v>
      </c>
      <c r="Q80" s="3">
        <f t="shared" si="12"/>
        <v>0</v>
      </c>
      <c r="R80" s="3">
        <f t="shared" si="13"/>
        <v>132.67000000000007</v>
      </c>
      <c r="S80" s="24"/>
      <c r="T80" s="24"/>
      <c r="U80" s="3"/>
      <c r="V80" s="25" t="s">
        <v>8277</v>
      </c>
      <c r="W80" s="25"/>
      <c r="X80" s="25" t="str">
        <f>IFERROR(VLOOKUP(C_Ope_008[[#This Row],[nota_2]],Clientes_Proveedores[[Ruc / Dni]:[Razon Social]],2,0),"")</f>
        <v/>
      </c>
      <c r="Y80" s="25"/>
      <c r="Z80" s="103"/>
      <c r="AA80" s="3" t="str">
        <f>IF(C_Ope_008[[#This Row],[fecha]]&gt;0,TEXT(C_Ope_008[[#This Row],[fecha]],"mmmm"),0)</f>
        <v>Junio</v>
      </c>
      <c r="AB80" s="49"/>
    </row>
    <row r="81" spans="1:28" ht="24" x14ac:dyDescent="0.3">
      <c r="A81" s="2">
        <f>IF(C_Ope_008[[#This Row],[tipo_r]]="R",COUNTIFS($C$1:$C80,"R")+1,"")</f>
        <v>80</v>
      </c>
      <c r="B81" s="19" t="str">
        <f t="shared" si="14"/>
        <v>C_Ope_008</v>
      </c>
      <c r="C81" s="3" t="s">
        <v>1330</v>
      </c>
      <c r="D81" s="14">
        <v>45817</v>
      </c>
      <c r="E81" s="5" t="s">
        <v>7514</v>
      </c>
      <c r="F81" s="5" t="s">
        <v>1303</v>
      </c>
      <c r="G81" s="6" t="s">
        <v>922</v>
      </c>
      <c r="H81" s="6"/>
      <c r="I81" s="6"/>
      <c r="J81" s="6"/>
      <c r="K81" s="7" t="s">
        <v>7537</v>
      </c>
      <c r="L81" s="8">
        <v>24504</v>
      </c>
      <c r="M81" s="8" t="str">
        <f t="shared" si="15"/>
        <v>PEN</v>
      </c>
      <c r="N81" s="13"/>
      <c r="O81" s="13">
        <v>70</v>
      </c>
      <c r="P81" s="3">
        <f t="shared" si="11"/>
        <v>70</v>
      </c>
      <c r="Q81" s="3">
        <f t="shared" si="12"/>
        <v>0</v>
      </c>
      <c r="R81" s="3">
        <f t="shared" si="13"/>
        <v>202.67000000000007</v>
      </c>
      <c r="S81" s="24" t="s">
        <v>1334</v>
      </c>
      <c r="T81" s="24" t="s">
        <v>1334</v>
      </c>
      <c r="U81" s="3"/>
      <c r="V81" s="25"/>
      <c r="W81" s="25"/>
      <c r="X81" s="25" t="str">
        <f>IFERROR(VLOOKUP(C_Ope_008[[#This Row],[nota_2]],Clientes_Proveedores[[Ruc / Dni]:[Razon Social]],2,0),"")</f>
        <v/>
      </c>
      <c r="Y81" s="25"/>
      <c r="Z81" s="103">
        <f>ROUND(C_Ope_008[[#This Row],[monto]]/1.18,3)</f>
        <v>59.322000000000003</v>
      </c>
      <c r="AA81" s="3" t="str">
        <f>IF(C_Ope_008[[#This Row],[fecha]]&gt;0,TEXT(C_Ope_008[[#This Row],[fecha]],"mmmm"),0)</f>
        <v>Junio</v>
      </c>
      <c r="AB81" s="49"/>
    </row>
    <row r="82" spans="1:28" ht="24" x14ac:dyDescent="0.3">
      <c r="A82" s="2">
        <f>IF(C_Ope_008[[#This Row],[tipo_r]]="R",COUNTIFS($C$1:$C81,"R")+1,"")</f>
        <v>81</v>
      </c>
      <c r="B82" s="19" t="str">
        <f t="shared" si="14"/>
        <v>C_Ope_008</v>
      </c>
      <c r="C82" s="3" t="s">
        <v>1330</v>
      </c>
      <c r="D82" s="14">
        <v>45819</v>
      </c>
      <c r="E82" s="5" t="s">
        <v>5380</v>
      </c>
      <c r="F82" s="5" t="s">
        <v>1336</v>
      </c>
      <c r="G82" s="6"/>
      <c r="H82" s="6" t="s">
        <v>68</v>
      </c>
      <c r="I82" s="6" t="s">
        <v>1374</v>
      </c>
      <c r="J82" s="6">
        <v>7693</v>
      </c>
      <c r="K82" s="7" t="s">
        <v>9142</v>
      </c>
      <c r="L82" s="8">
        <v>24549</v>
      </c>
      <c r="M82" s="8" t="str">
        <f t="shared" si="15"/>
        <v>PEN</v>
      </c>
      <c r="N82" s="13"/>
      <c r="O82" s="13">
        <v>91.5</v>
      </c>
      <c r="P82" s="3">
        <f t="shared" si="11"/>
        <v>0</v>
      </c>
      <c r="Q82" s="3">
        <f t="shared" si="12"/>
        <v>91.5</v>
      </c>
      <c r="R82" s="3">
        <f t="shared" si="13"/>
        <v>111.17000000000007</v>
      </c>
      <c r="S82" s="24"/>
      <c r="T82" s="24"/>
      <c r="U82" s="3"/>
      <c r="V82" s="25" t="s">
        <v>8277</v>
      </c>
      <c r="W82" s="25"/>
      <c r="X82" s="25" t="str">
        <f>IFERROR(VLOOKUP(C_Ope_008[[#This Row],[nota_2]],Clientes_Proveedores[[Ruc / Dni]:[Razon Social]],2,0),"")</f>
        <v/>
      </c>
      <c r="Y82" s="25"/>
      <c r="Z82" s="103"/>
      <c r="AA82" s="3" t="str">
        <f>IF(C_Ope_008[[#This Row],[fecha]]&gt;0,TEXT(C_Ope_008[[#This Row],[fecha]],"mmmm"),0)</f>
        <v>Junio</v>
      </c>
      <c r="AB82" s="49"/>
    </row>
    <row r="83" spans="1:28" ht="24" x14ac:dyDescent="0.3">
      <c r="A83" s="2">
        <f>IF(C_Ope_008[[#This Row],[tipo_r]]="R",COUNTIFS($C$1:$C82,"R")+1,"")</f>
        <v>82</v>
      </c>
      <c r="B83" s="19" t="str">
        <f t="shared" si="14"/>
        <v>C_Ope_008</v>
      </c>
      <c r="C83" s="3" t="s">
        <v>1330</v>
      </c>
      <c r="D83" s="14">
        <v>45825</v>
      </c>
      <c r="E83" s="5" t="s">
        <v>5380</v>
      </c>
      <c r="F83" s="5" t="s">
        <v>1336</v>
      </c>
      <c r="G83" s="6"/>
      <c r="H83" s="6" t="s">
        <v>68</v>
      </c>
      <c r="I83" s="6" t="s">
        <v>1374</v>
      </c>
      <c r="J83" s="6">
        <v>18248</v>
      </c>
      <c r="K83" s="7" t="s">
        <v>9143</v>
      </c>
      <c r="L83" s="8">
        <v>24597</v>
      </c>
      <c r="M83" s="8" t="str">
        <f t="shared" si="15"/>
        <v>PEN</v>
      </c>
      <c r="N83" s="13"/>
      <c r="O83" s="13">
        <v>18</v>
      </c>
      <c r="P83" s="3">
        <f t="shared" si="11"/>
        <v>0</v>
      </c>
      <c r="Q83" s="3">
        <f t="shared" si="12"/>
        <v>18</v>
      </c>
      <c r="R83" s="3">
        <f t="shared" si="13"/>
        <v>93.170000000000073</v>
      </c>
      <c r="S83" s="24"/>
      <c r="T83" s="24"/>
      <c r="U83" s="3"/>
      <c r="V83" s="25" t="s">
        <v>7761</v>
      </c>
      <c r="W83" s="25"/>
      <c r="X83" s="25" t="str">
        <f>IFERROR(VLOOKUP(C_Ope_008[[#This Row],[nota_2]],Clientes_Proveedores[[Ruc / Dni]:[Razon Social]],2,0),"")</f>
        <v/>
      </c>
      <c r="Y83" s="25"/>
      <c r="Z83" s="103"/>
      <c r="AA83" s="3" t="str">
        <f>IF(C_Ope_008[[#This Row],[fecha]]&gt;0,TEXT(C_Ope_008[[#This Row],[fecha]],"mmmm"),0)</f>
        <v>Junio</v>
      </c>
      <c r="AB83" s="49"/>
    </row>
    <row r="84" spans="1:28" ht="24" x14ac:dyDescent="0.3">
      <c r="A84" s="2">
        <f>IF(C_Ope_008[[#This Row],[tipo_r]]="R",COUNTIFS($C$1:$C83,"R")+1,"")</f>
        <v>83</v>
      </c>
      <c r="B84" s="19" t="str">
        <f t="shared" si="14"/>
        <v>C_Ope_008</v>
      </c>
      <c r="C84" s="3" t="s">
        <v>1330</v>
      </c>
      <c r="D84" s="14">
        <v>45833</v>
      </c>
      <c r="E84" s="5" t="s">
        <v>7514</v>
      </c>
      <c r="F84" s="5" t="s">
        <v>1303</v>
      </c>
      <c r="G84" s="6" t="s">
        <v>922</v>
      </c>
      <c r="H84" s="6"/>
      <c r="I84" s="6"/>
      <c r="J84" s="6"/>
      <c r="K84" s="7" t="s">
        <v>7537</v>
      </c>
      <c r="L84" s="8">
        <v>24687</v>
      </c>
      <c r="M84" s="8" t="str">
        <f t="shared" si="15"/>
        <v>PEN</v>
      </c>
      <c r="N84" s="13"/>
      <c r="O84" s="13">
        <v>110</v>
      </c>
      <c r="P84" s="3">
        <f t="shared" si="11"/>
        <v>110</v>
      </c>
      <c r="Q84" s="3">
        <f t="shared" si="12"/>
        <v>0</v>
      </c>
      <c r="R84" s="3">
        <f t="shared" si="13"/>
        <v>203.17000000000007</v>
      </c>
      <c r="S84" s="24" t="s">
        <v>1334</v>
      </c>
      <c r="T84" s="24" t="s">
        <v>1334</v>
      </c>
      <c r="U84" s="3"/>
      <c r="V84" s="25"/>
      <c r="W84" s="25"/>
      <c r="X84" s="25" t="str">
        <f>IFERROR(VLOOKUP(C_Ope_008[[#This Row],[nota_2]],Clientes_Proveedores[[Ruc / Dni]:[Razon Social]],2,0),"")</f>
        <v/>
      </c>
      <c r="Y84" s="25"/>
      <c r="Z84" s="103">
        <f>ROUND(C_Ope_008[[#This Row],[monto]]/1.18,3)</f>
        <v>93.22</v>
      </c>
      <c r="AA84" s="3" t="str">
        <f>IF(C_Ope_008[[#This Row],[fecha]]&gt;0,TEXT(C_Ope_008[[#This Row],[fecha]],"mmmm"),0)</f>
        <v>Junio</v>
      </c>
      <c r="AB84" s="49"/>
    </row>
    <row r="85" spans="1:28" ht="24" x14ac:dyDescent="0.3">
      <c r="A85" s="2">
        <f>IF(C_Ope_008[[#This Row],[tipo_r]]="R",COUNTIFS($C$1:$C84,"R")+1,"")</f>
        <v>84</v>
      </c>
      <c r="B85" s="19" t="str">
        <f t="shared" si="14"/>
        <v>C_Ope_008</v>
      </c>
      <c r="C85" s="3" t="s">
        <v>1330</v>
      </c>
      <c r="D85" s="14">
        <v>45833</v>
      </c>
      <c r="E85" s="5" t="s">
        <v>5380</v>
      </c>
      <c r="F85" s="5" t="s">
        <v>1336</v>
      </c>
      <c r="G85" s="6"/>
      <c r="H85" s="6" t="s">
        <v>75</v>
      </c>
      <c r="I85" s="6" t="s">
        <v>9144</v>
      </c>
      <c r="J85" s="6">
        <v>53</v>
      </c>
      <c r="K85" s="7" t="s">
        <v>9145</v>
      </c>
      <c r="L85" s="8">
        <v>24691</v>
      </c>
      <c r="M85" s="8" t="str">
        <f t="shared" si="15"/>
        <v>PEN</v>
      </c>
      <c r="N85" s="13"/>
      <c r="O85" s="13">
        <v>30</v>
      </c>
      <c r="P85" s="3">
        <f t="shared" si="11"/>
        <v>0</v>
      </c>
      <c r="Q85" s="3">
        <f t="shared" si="12"/>
        <v>30</v>
      </c>
      <c r="R85" s="3">
        <f t="shared" si="13"/>
        <v>173.17000000000007</v>
      </c>
      <c r="S85" s="24"/>
      <c r="T85" s="24"/>
      <c r="U85" s="3"/>
      <c r="V85" s="25" t="s">
        <v>7754</v>
      </c>
      <c r="W85" s="25"/>
      <c r="X85" s="25" t="str">
        <f>IFERROR(VLOOKUP(C_Ope_008[[#This Row],[nota_2]],Clientes_Proveedores[[Ruc / Dni]:[Razon Social]],2,0),"")</f>
        <v/>
      </c>
      <c r="Y85" s="25"/>
      <c r="Z85" s="103"/>
      <c r="AA85" s="3" t="str">
        <f>IF(C_Ope_008[[#This Row],[fecha]]&gt;0,TEXT(C_Ope_008[[#This Row],[fecha]],"mmmm"),0)</f>
        <v>Junio</v>
      </c>
      <c r="AB85" s="49"/>
    </row>
    <row r="86" spans="1:28" ht="24" x14ac:dyDescent="0.3">
      <c r="A86" s="2">
        <f>IF(C_Ope_008[[#This Row],[tipo_r]]="R",COUNTIFS($C$1:$C85,"R")+1,"")</f>
        <v>85</v>
      </c>
      <c r="B86" s="19" t="str">
        <f t="shared" si="14"/>
        <v>C_Ope_008</v>
      </c>
      <c r="C86" s="3" t="s">
        <v>1330</v>
      </c>
      <c r="D86" s="14">
        <v>45833</v>
      </c>
      <c r="E86" s="5" t="s">
        <v>7514</v>
      </c>
      <c r="F86" s="5" t="s">
        <v>1303</v>
      </c>
      <c r="G86" s="6" t="s">
        <v>922</v>
      </c>
      <c r="H86" s="6"/>
      <c r="I86" s="6"/>
      <c r="J86" s="6"/>
      <c r="K86" s="7" t="s">
        <v>7537</v>
      </c>
      <c r="L86" s="8">
        <v>24767</v>
      </c>
      <c r="M86" s="8" t="str">
        <f t="shared" si="15"/>
        <v>PEN</v>
      </c>
      <c r="N86" s="13"/>
      <c r="O86" s="13">
        <v>30</v>
      </c>
      <c r="P86" s="3">
        <f t="shared" si="11"/>
        <v>30</v>
      </c>
      <c r="Q86" s="3">
        <f t="shared" si="12"/>
        <v>0</v>
      </c>
      <c r="R86" s="3">
        <f t="shared" si="13"/>
        <v>203.17000000000007</v>
      </c>
      <c r="S86" s="24" t="s">
        <v>1334</v>
      </c>
      <c r="T86" s="24" t="s">
        <v>1334</v>
      </c>
      <c r="U86" s="3"/>
      <c r="V86" s="25"/>
      <c r="W86" s="25"/>
      <c r="X86" s="25" t="str">
        <f>IFERROR(VLOOKUP(C_Ope_008[[#This Row],[nota_2]],Clientes_Proveedores[[Ruc / Dni]:[Razon Social]],2,0),"")</f>
        <v/>
      </c>
      <c r="Y86" s="25"/>
      <c r="Z86" s="103">
        <f>ROUND(C_Ope_008[[#This Row],[monto]]/1.18,3)</f>
        <v>25.423999999999999</v>
      </c>
      <c r="AA86" s="3" t="str">
        <f>IF(C_Ope_008[[#This Row],[fecha]]&gt;0,TEXT(C_Ope_008[[#This Row],[fecha]],"mmmm"),0)</f>
        <v>Junio</v>
      </c>
      <c r="AB86" s="49"/>
    </row>
    <row r="87" spans="1:28" ht="60" x14ac:dyDescent="0.3">
      <c r="A87" s="2">
        <f>IF(C_Ope_008[[#This Row],[tipo_r]]="R",COUNTIFS($C$1:$C86,"R")+1,"")</f>
        <v>86</v>
      </c>
      <c r="B87" s="19" t="str">
        <f t="shared" ref="B87:B94" si="16">"C_Ope_008"</f>
        <v>C_Ope_008</v>
      </c>
      <c r="C87" s="3" t="s">
        <v>1330</v>
      </c>
      <c r="D87" s="14">
        <v>45839</v>
      </c>
      <c r="E87" s="5" t="s">
        <v>5380</v>
      </c>
      <c r="F87" s="5" t="s">
        <v>1336</v>
      </c>
      <c r="G87" s="6" t="s">
        <v>492</v>
      </c>
      <c r="H87" s="6" t="s">
        <v>68</v>
      </c>
      <c r="I87" s="6" t="s">
        <v>1390</v>
      </c>
      <c r="J87" s="6">
        <v>3606</v>
      </c>
      <c r="K87" s="7" t="s">
        <v>9146</v>
      </c>
      <c r="L87" s="8">
        <v>24757</v>
      </c>
      <c r="M87" s="8" t="str">
        <f t="shared" ref="M87:M94" si="17">"PEN"</f>
        <v>PEN</v>
      </c>
      <c r="N87" s="13"/>
      <c r="O87" s="13">
        <v>58</v>
      </c>
      <c r="P87" s="3">
        <f t="shared" si="11"/>
        <v>0</v>
      </c>
      <c r="Q87" s="3">
        <f t="shared" si="12"/>
        <v>58</v>
      </c>
      <c r="R87" s="3">
        <f t="shared" si="13"/>
        <v>145.17000000000007</v>
      </c>
      <c r="S87" s="24" t="s">
        <v>1334</v>
      </c>
      <c r="T87" s="24"/>
      <c r="U87" s="3"/>
      <c r="V87" s="25" t="s">
        <v>7756</v>
      </c>
      <c r="W87" s="25">
        <v>20602593593</v>
      </c>
      <c r="X87" s="25" t="str">
        <f>IFERROR(VLOOKUP(C_Ope_008[[#This Row],[nota_2]],Clientes_Proveedores[[Ruc / Dni]:[Razon Social]],2,0),"")</f>
        <v>SP TRANSPORT LOGISTIC SOCIEDAD ANONIMA CERRADA - SP TRANSPORT LOGISTIC S.A.C.</v>
      </c>
      <c r="Y87" s="25"/>
      <c r="Z87" s="103"/>
      <c r="AA87" s="3" t="str">
        <f>IF(C_Ope_008[[#This Row],[fecha]]&gt;0,TEXT(C_Ope_008[[#This Row],[fecha]],"mmmm"),0)</f>
        <v>Julio</v>
      </c>
      <c r="AB87" s="49"/>
    </row>
    <row r="88" spans="1:28" ht="24" x14ac:dyDescent="0.3">
      <c r="A88" s="2">
        <f>IF(C_Ope_008[[#This Row],[tipo_r]]="R",COUNTIFS($C$1:$C87,"R")+1,"")</f>
        <v>87</v>
      </c>
      <c r="B88" s="19" t="str">
        <f t="shared" si="16"/>
        <v>C_Ope_008</v>
      </c>
      <c r="C88" s="3" t="s">
        <v>1330</v>
      </c>
      <c r="D88" s="14">
        <v>45840</v>
      </c>
      <c r="E88" s="5" t="s">
        <v>5380</v>
      </c>
      <c r="F88" s="5" t="s">
        <v>1336</v>
      </c>
      <c r="G88" s="6" t="s">
        <v>722</v>
      </c>
      <c r="H88" s="6" t="s">
        <v>68</v>
      </c>
      <c r="I88" s="6" t="s">
        <v>1376</v>
      </c>
      <c r="J88" s="6">
        <v>3292</v>
      </c>
      <c r="K88" s="7" t="s">
        <v>9147</v>
      </c>
      <c r="L88" s="8">
        <v>24786</v>
      </c>
      <c r="M88" s="8" t="str">
        <f t="shared" si="17"/>
        <v>PEN</v>
      </c>
      <c r="N88" s="13"/>
      <c r="O88" s="13">
        <v>20</v>
      </c>
      <c r="P88" s="3">
        <f t="shared" si="11"/>
        <v>0</v>
      </c>
      <c r="Q88" s="3">
        <f t="shared" si="12"/>
        <v>20</v>
      </c>
      <c r="R88" s="3">
        <f t="shared" si="13"/>
        <v>125.17000000000007</v>
      </c>
      <c r="S88" s="24" t="s">
        <v>1334</v>
      </c>
      <c r="T88" s="24"/>
      <c r="U88" s="3"/>
      <c r="V88" s="25" t="s">
        <v>7756</v>
      </c>
      <c r="W88" s="25">
        <v>10402383548</v>
      </c>
      <c r="X88" s="25" t="str">
        <f>IFERROR(VLOOKUP(C_Ope_008[[#This Row],[nota_2]],Clientes_Proveedores[[Ruc / Dni]:[Razon Social]],2,0),"")</f>
        <v>HUALLA SANCHEZ GUSTAVO PAUL</v>
      </c>
      <c r="Y88" s="25"/>
      <c r="Z88" s="103"/>
      <c r="AA88" s="3" t="str">
        <f>IF(C_Ope_008[[#This Row],[fecha]]&gt;0,TEXT(C_Ope_008[[#This Row],[fecha]],"mmmm"),0)</f>
        <v>Julio</v>
      </c>
      <c r="AB88" s="49"/>
    </row>
    <row r="89" spans="1:28" x14ac:dyDescent="0.3">
      <c r="A89" s="2">
        <f>IF(C_Ope_008[[#This Row],[tipo_r]]="R",COUNTIFS($C$1:$C88,"R")+1,"")</f>
        <v>88</v>
      </c>
      <c r="B89" s="19" t="str">
        <f t="shared" si="16"/>
        <v>C_Ope_008</v>
      </c>
      <c r="C89" s="3" t="s">
        <v>1330</v>
      </c>
      <c r="D89" s="14">
        <v>45848</v>
      </c>
      <c r="E89" s="5" t="s">
        <v>5380</v>
      </c>
      <c r="F89" s="5" t="s">
        <v>1336</v>
      </c>
      <c r="G89" s="6" t="s">
        <v>1026</v>
      </c>
      <c r="H89" s="6" t="s">
        <v>68</v>
      </c>
      <c r="I89" s="6" t="s">
        <v>9148</v>
      </c>
      <c r="J89" s="6">
        <v>117451</v>
      </c>
      <c r="K89" s="7" t="s">
        <v>9149</v>
      </c>
      <c r="L89" s="8">
        <v>24839</v>
      </c>
      <c r="M89" s="8" t="str">
        <f t="shared" si="17"/>
        <v>PEN</v>
      </c>
      <c r="N89" s="13"/>
      <c r="O89" s="13">
        <v>24</v>
      </c>
      <c r="P89" s="3">
        <f t="shared" si="11"/>
        <v>0</v>
      </c>
      <c r="Q89" s="3">
        <f t="shared" si="12"/>
        <v>24</v>
      </c>
      <c r="R89" s="3">
        <f t="shared" si="13"/>
        <v>101.17000000000007</v>
      </c>
      <c r="S89" s="24" t="s">
        <v>1334</v>
      </c>
      <c r="T89" s="24"/>
      <c r="U89" s="3"/>
      <c r="V89" s="25" t="s">
        <v>8277</v>
      </c>
      <c r="W89" s="25">
        <v>20602819834</v>
      </c>
      <c r="X89" s="25" t="str">
        <f>IFERROR(VLOOKUP(C_Ope_008[[#This Row],[nota_2]],Clientes_Proveedores[[Ruc / Dni]:[Razon Social]],2,0),"")</f>
        <v>GRIFOS PEBSA S.A.</v>
      </c>
      <c r="Y89" s="25"/>
      <c r="Z89" s="103"/>
      <c r="AA89" s="3" t="str">
        <f>IF(C_Ope_008[[#This Row],[fecha]]&gt;0,TEXT(C_Ope_008[[#This Row],[fecha]],"mmmm"),0)</f>
        <v>Julio</v>
      </c>
      <c r="AB89" s="49"/>
    </row>
    <row r="90" spans="1:28" ht="24" x14ac:dyDescent="0.3">
      <c r="A90" s="2">
        <f>IF(C_Ope_008[[#This Row],[tipo_r]]="R",COUNTIFS($C$1:$C89,"R")+1,"")</f>
        <v>89</v>
      </c>
      <c r="B90" s="19" t="str">
        <f t="shared" si="16"/>
        <v>C_Ope_008</v>
      </c>
      <c r="C90" s="3" t="s">
        <v>1330</v>
      </c>
      <c r="D90" s="14">
        <v>45848</v>
      </c>
      <c r="E90" s="5" t="s">
        <v>5380</v>
      </c>
      <c r="F90" s="5" t="s">
        <v>1336</v>
      </c>
      <c r="G90" s="6" t="s">
        <v>1000</v>
      </c>
      <c r="H90" s="6" t="s">
        <v>75</v>
      </c>
      <c r="I90" s="6">
        <v>1</v>
      </c>
      <c r="J90" s="6">
        <v>2526</v>
      </c>
      <c r="K90" s="7" t="s">
        <v>9150</v>
      </c>
      <c r="L90" s="8">
        <v>24851</v>
      </c>
      <c r="M90" s="8" t="str">
        <f t="shared" si="17"/>
        <v>PEN</v>
      </c>
      <c r="N90" s="13"/>
      <c r="O90" s="13">
        <v>70</v>
      </c>
      <c r="P90" s="3">
        <f t="shared" si="11"/>
        <v>0</v>
      </c>
      <c r="Q90" s="3">
        <f t="shared" si="12"/>
        <v>70</v>
      </c>
      <c r="R90" s="3">
        <f t="shared" si="13"/>
        <v>31.170000000000073</v>
      </c>
      <c r="S90" s="24" t="s">
        <v>1334</v>
      </c>
      <c r="T90" s="24"/>
      <c r="U90" s="3"/>
      <c r="V90" s="25" t="s">
        <v>8006</v>
      </c>
      <c r="W90" s="25">
        <v>10449376124</v>
      </c>
      <c r="X90" s="25" t="str">
        <f>IFERROR(VLOOKUP(C_Ope_008[[#This Row],[nota_2]],Clientes_Proveedores[[Ruc / Dni]:[Razon Social]],2,0),"")</f>
        <v>TRELLES MAMANI ELMER</v>
      </c>
      <c r="Y90" s="25"/>
      <c r="Z90" s="103"/>
      <c r="AA90" s="3" t="str">
        <f>IF(C_Ope_008[[#This Row],[fecha]]&gt;0,TEXT(C_Ope_008[[#This Row],[fecha]],"mmmm"),0)</f>
        <v>Julio</v>
      </c>
      <c r="AB90" s="49"/>
    </row>
    <row r="91" spans="1:28" ht="24" x14ac:dyDescent="0.3">
      <c r="A91" s="2">
        <f>IF(C_Ope_008[[#This Row],[tipo_r]]="R",COUNTIFS($C$1:$C90,"R")+1,"")</f>
        <v>90</v>
      </c>
      <c r="B91" s="19" t="str">
        <f t="shared" si="16"/>
        <v>C_Ope_008</v>
      </c>
      <c r="C91" s="3" t="s">
        <v>1330</v>
      </c>
      <c r="D91" s="14">
        <v>45849</v>
      </c>
      <c r="E91" s="5" t="s">
        <v>5380</v>
      </c>
      <c r="F91" s="5" t="s">
        <v>1336</v>
      </c>
      <c r="G91" s="6" t="s">
        <v>1001</v>
      </c>
      <c r="H91" s="6" t="s">
        <v>75</v>
      </c>
      <c r="I91" s="6">
        <v>2</v>
      </c>
      <c r="J91" s="6">
        <v>589</v>
      </c>
      <c r="K91" s="7" t="s">
        <v>9151</v>
      </c>
      <c r="L91" s="8">
        <v>24868</v>
      </c>
      <c r="M91" s="8" t="str">
        <f t="shared" si="17"/>
        <v>PEN</v>
      </c>
      <c r="N91" s="13"/>
      <c r="O91" s="13">
        <v>20</v>
      </c>
      <c r="P91" s="3">
        <f t="shared" si="11"/>
        <v>0</v>
      </c>
      <c r="Q91" s="3">
        <f t="shared" si="12"/>
        <v>20</v>
      </c>
      <c r="R91" s="3">
        <f t="shared" si="13"/>
        <v>11.170000000000073</v>
      </c>
      <c r="S91" s="24" t="s">
        <v>1334</v>
      </c>
      <c r="T91" s="24"/>
      <c r="U91" s="3"/>
      <c r="V91" s="25" t="s">
        <v>7754</v>
      </c>
      <c r="W91" s="25">
        <v>10434937391</v>
      </c>
      <c r="X91" s="25" t="str">
        <f>IFERROR(VLOOKUP(C_Ope_008[[#This Row],[nota_2]],Clientes_Proveedores[[Ruc / Dni]:[Razon Social]],2,0),"")</f>
        <v>REVOLLO BUSTINZA JORGE LUIS</v>
      </c>
      <c r="Y91" s="25"/>
      <c r="Z91" s="103"/>
      <c r="AA91" s="3" t="str">
        <f>IF(C_Ope_008[[#This Row],[fecha]]&gt;0,TEXT(C_Ope_008[[#This Row],[fecha]],"mmmm"),0)</f>
        <v>Julio</v>
      </c>
      <c r="AB91" s="49"/>
    </row>
    <row r="92" spans="1:28" ht="24" x14ac:dyDescent="0.3">
      <c r="A92" s="2">
        <f>IF(C_Ope_008[[#This Row],[tipo_r]]="R",COUNTIFS($C$1:$C91,"R")+1,"")</f>
        <v>91</v>
      </c>
      <c r="B92" s="19" t="str">
        <f t="shared" si="16"/>
        <v>C_Ope_008</v>
      </c>
      <c r="C92" s="3" t="s">
        <v>1330</v>
      </c>
      <c r="D92" s="14">
        <v>45849</v>
      </c>
      <c r="E92" s="5" t="s">
        <v>5380</v>
      </c>
      <c r="F92" s="5" t="s">
        <v>1336</v>
      </c>
      <c r="G92" s="6" t="s">
        <v>992</v>
      </c>
      <c r="H92" s="6" t="s">
        <v>68</v>
      </c>
      <c r="I92" s="6" t="s">
        <v>1374</v>
      </c>
      <c r="J92" s="6">
        <v>71396</v>
      </c>
      <c r="K92" s="7" t="s">
        <v>9152</v>
      </c>
      <c r="L92" s="8">
        <v>24869</v>
      </c>
      <c r="M92" s="8" t="str">
        <f t="shared" si="17"/>
        <v>PEN</v>
      </c>
      <c r="N92" s="13"/>
      <c r="O92" s="13">
        <v>46</v>
      </c>
      <c r="P92" s="3">
        <f t="shared" si="11"/>
        <v>0</v>
      </c>
      <c r="Q92" s="3">
        <f t="shared" si="12"/>
        <v>46</v>
      </c>
      <c r="R92" s="3">
        <f t="shared" si="13"/>
        <v>-34.829999999999927</v>
      </c>
      <c r="S92" s="24" t="s">
        <v>1334</v>
      </c>
      <c r="T92" s="24"/>
      <c r="U92" s="3"/>
      <c r="V92" s="25" t="s">
        <v>7754</v>
      </c>
      <c r="W92" s="25">
        <v>20497914885</v>
      </c>
      <c r="X92" s="25" t="str">
        <f>IFERROR(VLOOKUP(C_Ope_008[[#This Row],[nota_2]],Clientes_Proveedores[[Ruc / Dni]:[Razon Social]],2,0),"")</f>
        <v>REPUESTOS Y MAQUINARIAS S.A.</v>
      </c>
      <c r="Y92" s="25"/>
      <c r="Z92" s="103"/>
      <c r="AA92" s="3" t="str">
        <f>IF(C_Ope_008[[#This Row],[fecha]]&gt;0,TEXT(C_Ope_008[[#This Row],[fecha]],"mmmm"),0)</f>
        <v>Julio</v>
      </c>
      <c r="AB92" s="49"/>
    </row>
    <row r="93" spans="1:28" ht="24" x14ac:dyDescent="0.3">
      <c r="A93" s="2">
        <f>IF(C_Ope_008[[#This Row],[tipo_r]]="R",COUNTIFS($C$1:$C92,"R")+1,"")</f>
        <v>92</v>
      </c>
      <c r="B93" s="19" t="str">
        <f t="shared" si="16"/>
        <v>C_Ope_008</v>
      </c>
      <c r="C93" s="3" t="s">
        <v>1330</v>
      </c>
      <c r="D93" s="14">
        <v>45849</v>
      </c>
      <c r="E93" s="5" t="s">
        <v>5380</v>
      </c>
      <c r="F93" s="5" t="s">
        <v>1336</v>
      </c>
      <c r="G93" s="6" t="s">
        <v>1004</v>
      </c>
      <c r="H93" s="6" t="s">
        <v>68</v>
      </c>
      <c r="I93" s="6" t="s">
        <v>1376</v>
      </c>
      <c r="J93" s="6">
        <v>1026</v>
      </c>
      <c r="K93" s="7" t="s">
        <v>9153</v>
      </c>
      <c r="L93" s="8">
        <v>24870</v>
      </c>
      <c r="M93" s="8" t="str">
        <f t="shared" si="17"/>
        <v>PEN</v>
      </c>
      <c r="N93" s="13"/>
      <c r="O93" s="13">
        <v>20</v>
      </c>
      <c r="P93" s="3">
        <f t="shared" si="11"/>
        <v>0</v>
      </c>
      <c r="Q93" s="3">
        <f t="shared" si="12"/>
        <v>20</v>
      </c>
      <c r="R93" s="3">
        <f t="shared" si="13"/>
        <v>-54.829999999999927</v>
      </c>
      <c r="S93" s="24" t="s">
        <v>1334</v>
      </c>
      <c r="T93" s="24"/>
      <c r="U93" s="3"/>
      <c r="V93" s="25" t="s">
        <v>7761</v>
      </c>
      <c r="W93" s="25">
        <v>20610943625</v>
      </c>
      <c r="X93" s="25" t="str">
        <f>IFERROR(VLOOKUP(C_Ope_008[[#This Row],[nota_2]],Clientes_Proveedores[[Ruc / Dni]:[Razon Social]],2,0),"")</f>
        <v>G Y A MULTISERVICIOS EL TREBOL S.R.L.</v>
      </c>
      <c r="Y93" s="25"/>
      <c r="Z93" s="103"/>
      <c r="AA93" s="3" t="str">
        <f>IF(C_Ope_008[[#This Row],[fecha]]&gt;0,TEXT(C_Ope_008[[#This Row],[fecha]],"mmmm"),0)</f>
        <v>Julio</v>
      </c>
      <c r="AB93" s="49"/>
    </row>
    <row r="94" spans="1:28" ht="24" x14ac:dyDescent="0.3">
      <c r="A94" s="2">
        <f>IF(C_Ope_008[[#This Row],[tipo_r]]="R",COUNTIFS($C$1:$C93,"R")+1,"")</f>
        <v>93</v>
      </c>
      <c r="B94" s="19" t="str">
        <f t="shared" si="16"/>
        <v>C_Ope_008</v>
      </c>
      <c r="C94" s="3" t="s">
        <v>1330</v>
      </c>
      <c r="D94" s="14">
        <v>45849</v>
      </c>
      <c r="E94" s="5" t="s">
        <v>5380</v>
      </c>
      <c r="F94" s="5" t="s">
        <v>1336</v>
      </c>
      <c r="G94" s="6" t="s">
        <v>1034</v>
      </c>
      <c r="H94" s="6" t="s">
        <v>75</v>
      </c>
      <c r="I94" s="6">
        <v>1</v>
      </c>
      <c r="J94" s="6">
        <v>85</v>
      </c>
      <c r="K94" s="7" t="s">
        <v>9154</v>
      </c>
      <c r="L94" s="8">
        <v>24871</v>
      </c>
      <c r="M94" s="8" t="str">
        <f t="shared" si="17"/>
        <v>PEN</v>
      </c>
      <c r="N94" s="13"/>
      <c r="O94" s="13">
        <v>70</v>
      </c>
      <c r="P94" s="3">
        <f t="shared" si="11"/>
        <v>0</v>
      </c>
      <c r="Q94" s="3">
        <f t="shared" si="12"/>
        <v>70</v>
      </c>
      <c r="R94" s="3">
        <f t="shared" si="13"/>
        <v>-124.82999999999993</v>
      </c>
      <c r="S94" s="24" t="s">
        <v>1334</v>
      </c>
      <c r="T94" s="24"/>
      <c r="U94" s="3"/>
      <c r="V94" s="25" t="s">
        <v>8277</v>
      </c>
      <c r="W94" s="25">
        <v>10704693015</v>
      </c>
      <c r="X94" s="25" t="str">
        <f>IFERROR(VLOOKUP(C_Ope_008[[#This Row],[nota_2]],Clientes_Proveedores[[Ruc / Dni]:[Razon Social]],2,0),"")</f>
        <v>RODRIGUEZ PUTAPAÑA JUAN LUIS</v>
      </c>
      <c r="Y94" s="25"/>
      <c r="Z94" s="103"/>
      <c r="AA94" s="3" t="str">
        <f>IF(C_Ope_008[[#This Row],[fecha]]&gt;0,TEXT(C_Ope_008[[#This Row],[fecha]],"mmmm"),0)</f>
        <v>Julio</v>
      </c>
      <c r="AB94" s="49"/>
    </row>
    <row r="95" spans="1:28" ht="24" x14ac:dyDescent="0.3">
      <c r="A95" s="2">
        <f>IF(C_Ope_008[[#This Row],[tipo_r]]="R",COUNTIFS($C$1:$C94,"R")+1,"")</f>
        <v>94</v>
      </c>
      <c r="B95" s="19" t="str">
        <f>"C_Ope_008"</f>
        <v>C_Ope_008</v>
      </c>
      <c r="C95" s="3" t="s">
        <v>1330</v>
      </c>
      <c r="D95" s="14">
        <v>45850</v>
      </c>
      <c r="E95" s="5" t="s">
        <v>5380</v>
      </c>
      <c r="F95" s="5" t="s">
        <v>1336</v>
      </c>
      <c r="G95" s="6" t="s">
        <v>1005</v>
      </c>
      <c r="H95" s="6" t="s">
        <v>68</v>
      </c>
      <c r="I95" s="6" t="s">
        <v>1376</v>
      </c>
      <c r="J95" s="6">
        <v>79799</v>
      </c>
      <c r="K95" s="7" t="s">
        <v>9155</v>
      </c>
      <c r="L95" s="8">
        <v>24884</v>
      </c>
      <c r="M95" s="8" t="str">
        <f>"PEN"</f>
        <v>PEN</v>
      </c>
      <c r="N95" s="13"/>
      <c r="O95" s="13">
        <v>9</v>
      </c>
      <c r="P95" s="3">
        <f t="shared" si="11"/>
        <v>0</v>
      </c>
      <c r="Q95" s="3">
        <f t="shared" si="12"/>
        <v>9</v>
      </c>
      <c r="R95" s="3">
        <f t="shared" si="13"/>
        <v>-133.82999999999993</v>
      </c>
      <c r="S95" s="24" t="s">
        <v>1334</v>
      </c>
      <c r="T95" s="24"/>
      <c r="U95" s="3"/>
      <c r="V95" s="25" t="s">
        <v>7756</v>
      </c>
      <c r="W95" s="25">
        <v>20603219377</v>
      </c>
      <c r="X95" s="25" t="str">
        <f>IFERROR(VLOOKUP(C_Ope_008[[#This Row],[nota_2]],Clientes_Proveedores[[Ruc / Dni]:[Razon Social]],2,0),"")</f>
        <v>REMINSUR S.R.L.</v>
      </c>
      <c r="Y95" s="25"/>
      <c r="Z95" s="103"/>
      <c r="AA95" s="3" t="str">
        <f>IF(C_Ope_008[[#This Row],[fecha]]&gt;0,TEXT(C_Ope_008[[#This Row],[fecha]],"mmmm"),0)</f>
        <v>Julio</v>
      </c>
      <c r="AB95" s="49"/>
    </row>
    <row r="96" spans="1:28" ht="36" x14ac:dyDescent="0.3">
      <c r="A96" s="2">
        <f>IF(C_Ope_008[[#This Row],[tipo_r]]="R",COUNTIFS($C$1:$C95,"R")+1,"")</f>
        <v>95</v>
      </c>
      <c r="B96" s="19" t="str">
        <f t="shared" ref="B96:B98" si="18">"C_Ope_008"</f>
        <v>C_Ope_008</v>
      </c>
      <c r="C96" s="3" t="s">
        <v>1330</v>
      </c>
      <c r="D96" s="14">
        <v>45852</v>
      </c>
      <c r="E96" s="5" t="s">
        <v>5380</v>
      </c>
      <c r="F96" s="5" t="s">
        <v>1336</v>
      </c>
      <c r="G96" s="6" t="s">
        <v>1002</v>
      </c>
      <c r="H96" s="6" t="s">
        <v>68</v>
      </c>
      <c r="I96" s="6" t="s">
        <v>1343</v>
      </c>
      <c r="J96" s="6">
        <v>2190</v>
      </c>
      <c r="K96" s="7" t="s">
        <v>9156</v>
      </c>
      <c r="L96" s="8">
        <v>24881</v>
      </c>
      <c r="M96" s="8" t="str">
        <f t="shared" ref="M96:M98" si="19">"PEN"</f>
        <v>PEN</v>
      </c>
      <c r="N96" s="13"/>
      <c r="O96" s="13">
        <v>50</v>
      </c>
      <c r="P96" s="3">
        <f t="shared" si="11"/>
        <v>0</v>
      </c>
      <c r="Q96" s="3">
        <f t="shared" si="12"/>
        <v>50</v>
      </c>
      <c r="R96" s="3">
        <f t="shared" si="13"/>
        <v>-183.82999999999993</v>
      </c>
      <c r="S96" s="24" t="s">
        <v>1334</v>
      </c>
      <c r="T96" s="24"/>
      <c r="U96" s="3"/>
      <c r="V96" s="25" t="s">
        <v>7761</v>
      </c>
      <c r="W96" s="25">
        <v>20600725417</v>
      </c>
      <c r="X96" s="25" t="str">
        <f>IFERROR(VLOOKUP(C_Ope_008[[#This Row],[nota_2]],Clientes_Proveedores[[Ruc / Dni]:[Razon Social]],2,0),"")</f>
        <v>DISTRIBUIDORA AREQUIPA MAJES E.I.R.L.</v>
      </c>
      <c r="Y96" s="25"/>
      <c r="Z96" s="103"/>
      <c r="AA96" s="3" t="str">
        <f>IF(C_Ope_008[[#This Row],[fecha]]&gt;0,TEXT(C_Ope_008[[#This Row],[fecha]],"mmmm"),0)</f>
        <v>Julio</v>
      </c>
      <c r="AB96" s="49"/>
    </row>
    <row r="97" spans="1:28" ht="24" x14ac:dyDescent="0.3">
      <c r="A97" s="2">
        <f>IF(C_Ope_008[[#This Row],[tipo_r]]="R",COUNTIFS($C$1:$C96,"R")+1,"")</f>
        <v>96</v>
      </c>
      <c r="B97" s="19" t="str">
        <f t="shared" si="18"/>
        <v>C_Ope_008</v>
      </c>
      <c r="C97" s="3" t="s">
        <v>1330</v>
      </c>
      <c r="D97" s="14">
        <v>45852</v>
      </c>
      <c r="E97" s="5" t="s">
        <v>5380</v>
      </c>
      <c r="F97" s="5" t="s">
        <v>1336</v>
      </c>
      <c r="G97" s="6" t="s">
        <v>1003</v>
      </c>
      <c r="H97" s="6" t="s">
        <v>68</v>
      </c>
      <c r="I97" s="6" t="s">
        <v>1374</v>
      </c>
      <c r="J97" s="6">
        <v>67808</v>
      </c>
      <c r="K97" s="7" t="s">
        <v>9157</v>
      </c>
      <c r="L97" s="8">
        <v>24882</v>
      </c>
      <c r="M97" s="8" t="str">
        <f t="shared" si="19"/>
        <v>PEN</v>
      </c>
      <c r="N97" s="13"/>
      <c r="O97" s="13">
        <v>70</v>
      </c>
      <c r="P97" s="3">
        <f t="shared" si="11"/>
        <v>0</v>
      </c>
      <c r="Q97" s="3">
        <f t="shared" si="12"/>
        <v>70</v>
      </c>
      <c r="R97" s="3">
        <f t="shared" si="13"/>
        <v>-253.82999999999993</v>
      </c>
      <c r="S97" s="24" t="s">
        <v>1334</v>
      </c>
      <c r="T97" s="24"/>
      <c r="U97" s="3"/>
      <c r="V97" s="25" t="s">
        <v>7761</v>
      </c>
      <c r="W97" s="25">
        <v>20453904971</v>
      </c>
      <c r="X97" s="25" t="str">
        <f>IFERROR(VLOOKUP(C_Ope_008[[#This Row],[nota_2]],Clientes_Proveedores[[Ruc / Dni]:[Razon Social]],2,0),"")</f>
        <v>REPUESTOS NUEVA ERA E.I.R.L.</v>
      </c>
      <c r="Y97" s="25"/>
      <c r="Z97" s="103"/>
      <c r="AA97" s="3" t="str">
        <f>IF(C_Ope_008[[#This Row],[fecha]]&gt;0,TEXT(C_Ope_008[[#This Row],[fecha]],"mmmm"),0)</f>
        <v>Julio</v>
      </c>
      <c r="AB97" s="49"/>
    </row>
    <row r="98" spans="1:28" ht="36" x14ac:dyDescent="0.3">
      <c r="A98" s="2">
        <f>IF(C_Ope_008[[#This Row],[tipo_r]]="R",COUNTIFS($C$1:$C97,"R")+1,"")</f>
        <v>97</v>
      </c>
      <c r="B98" s="19" t="str">
        <f t="shared" si="18"/>
        <v>C_Ope_008</v>
      </c>
      <c r="C98" s="3" t="s">
        <v>1330</v>
      </c>
      <c r="D98" s="14">
        <v>45852</v>
      </c>
      <c r="E98" s="5" t="s">
        <v>5380</v>
      </c>
      <c r="F98" s="5" t="s">
        <v>1336</v>
      </c>
      <c r="G98" s="6" t="s">
        <v>564</v>
      </c>
      <c r="H98" s="6" t="s">
        <v>68</v>
      </c>
      <c r="I98" s="6" t="s">
        <v>1386</v>
      </c>
      <c r="J98" s="6">
        <v>44341</v>
      </c>
      <c r="K98" s="7" t="s">
        <v>9158</v>
      </c>
      <c r="L98" s="8">
        <v>24883</v>
      </c>
      <c r="M98" s="8" t="str">
        <f t="shared" si="19"/>
        <v>PEN</v>
      </c>
      <c r="N98" s="13"/>
      <c r="O98" s="13">
        <v>13</v>
      </c>
      <c r="P98" s="3">
        <f t="shared" si="11"/>
        <v>0</v>
      </c>
      <c r="Q98" s="3">
        <f t="shared" si="12"/>
        <v>13</v>
      </c>
      <c r="R98" s="3">
        <f t="shared" ref="R98:R129" si="20">IFERROR(IF(F98="SALDO",P98,R97+P98-Q98),0)</f>
        <v>-266.82999999999993</v>
      </c>
      <c r="S98" s="24" t="s">
        <v>1334</v>
      </c>
      <c r="T98" s="24"/>
      <c r="U98" s="3"/>
      <c r="V98" s="25" t="s">
        <v>8006</v>
      </c>
      <c r="W98" s="25">
        <v>20608545591</v>
      </c>
      <c r="X98" s="25" t="str">
        <f>IFERROR(VLOOKUP(C_Ope_008[[#This Row],[nota_2]],Clientes_Proveedores[[Ruc / Dni]:[Razon Social]],2,0),"")</f>
        <v>REPUESTOS ELIBEM IMPORTACIONES S.R.L.</v>
      </c>
      <c r="Y98" s="25"/>
      <c r="Z98" s="103"/>
      <c r="AA98" s="3" t="str">
        <f>IF(C_Ope_008[[#This Row],[fecha]]&gt;0,TEXT(C_Ope_008[[#This Row],[fecha]],"mmmm"),0)</f>
        <v>Julio</v>
      </c>
      <c r="AB98" s="49"/>
    </row>
    <row r="99" spans="1:28" ht="36" x14ac:dyDescent="0.3">
      <c r="A99" s="2">
        <f>IF(C_Ope_008[[#This Row],[tipo_r]]="R",COUNTIFS($C$1:$C98,"R")+1,"")</f>
        <v>98</v>
      </c>
      <c r="B99" s="19" t="str">
        <f>"C_Ope_008"</f>
        <v>C_Ope_008</v>
      </c>
      <c r="C99" s="3" t="s">
        <v>1330</v>
      </c>
      <c r="D99" s="14">
        <v>45853</v>
      </c>
      <c r="E99" s="5" t="s">
        <v>5380</v>
      </c>
      <c r="F99" s="5" t="s">
        <v>1336</v>
      </c>
      <c r="G99" s="6" t="s">
        <v>1027</v>
      </c>
      <c r="H99" s="6" t="s">
        <v>68</v>
      </c>
      <c r="I99" s="6" t="s">
        <v>1390</v>
      </c>
      <c r="J99" s="6">
        <v>4670</v>
      </c>
      <c r="K99" s="7" t="s">
        <v>9159</v>
      </c>
      <c r="L99" s="8">
        <v>24896</v>
      </c>
      <c r="M99" s="8" t="str">
        <f>"PEN"</f>
        <v>PEN</v>
      </c>
      <c r="N99" s="13"/>
      <c r="O99" s="13">
        <v>65</v>
      </c>
      <c r="P99" s="3">
        <f t="shared" ref="P99:P104" si="21">+IF(OR($F99="SALDO",$F99="INGRESO"),$O99,0)</f>
        <v>0</v>
      </c>
      <c r="Q99" s="3">
        <f t="shared" ref="Q99:Q104" si="22">+IF($F99="EGRESO",$O99,0)</f>
        <v>65</v>
      </c>
      <c r="R99" s="3">
        <f t="shared" si="20"/>
        <v>-331.82999999999993</v>
      </c>
      <c r="S99" s="24" t="s">
        <v>1334</v>
      </c>
      <c r="T99" s="24"/>
      <c r="U99" s="3"/>
      <c r="V99" s="25" t="s">
        <v>7761</v>
      </c>
      <c r="W99" s="25">
        <v>20434848262</v>
      </c>
      <c r="X99" s="25" t="str">
        <f>IFERROR(VLOOKUP(C_Ope_008[[#This Row],[nota_2]],Clientes_Proveedores[[Ruc / Dni]:[Razon Social]],2,0),"")</f>
        <v>JLU REPRESENTACIONES E.I.R.L.</v>
      </c>
      <c r="Y99" s="25"/>
      <c r="Z99" s="103"/>
      <c r="AA99" s="3" t="str">
        <f>IF(C_Ope_008[[#This Row],[fecha]]&gt;0,TEXT(C_Ope_008[[#This Row],[fecha]],"mmmm"),0)</f>
        <v>Julio</v>
      </c>
      <c r="AB99" s="49"/>
    </row>
    <row r="100" spans="1:28" ht="24" x14ac:dyDescent="0.3">
      <c r="A100" s="2">
        <f>IF(C_Ope_008[[#This Row],[tipo_r]]="R",COUNTIFS($C$1:$C99,"R")+1,"")</f>
        <v>99</v>
      </c>
      <c r="B100" s="19" t="str">
        <f>"C_Ope_008"</f>
        <v>C_Ope_008</v>
      </c>
      <c r="C100" s="3" t="s">
        <v>1330</v>
      </c>
      <c r="D100" s="14">
        <v>45854</v>
      </c>
      <c r="E100" s="5" t="s">
        <v>3634</v>
      </c>
      <c r="F100" s="5" t="s">
        <v>1303</v>
      </c>
      <c r="G100" s="6" t="s">
        <v>922</v>
      </c>
      <c r="H100" s="6"/>
      <c r="I100" s="6"/>
      <c r="J100" s="6"/>
      <c r="K100" s="7" t="s">
        <v>7746</v>
      </c>
      <c r="L100" s="8">
        <v>24899</v>
      </c>
      <c r="M100" s="8" t="str">
        <f>"PEN"</f>
        <v>PEN</v>
      </c>
      <c r="N100" s="13"/>
      <c r="O100" s="13">
        <v>400</v>
      </c>
      <c r="P100" s="3">
        <f t="shared" si="21"/>
        <v>400</v>
      </c>
      <c r="Q100" s="3">
        <f t="shared" si="22"/>
        <v>0</v>
      </c>
      <c r="R100" s="3">
        <f t="shared" si="20"/>
        <v>68.170000000000073</v>
      </c>
      <c r="S100" s="24" t="s">
        <v>1334</v>
      </c>
      <c r="T100" s="24" t="s">
        <v>1334</v>
      </c>
      <c r="U100" s="3"/>
      <c r="V100" s="25"/>
      <c r="W100" s="25"/>
      <c r="X100" s="25" t="str">
        <f>IFERROR(VLOOKUP(C_Ope_008[[#This Row],[nota_2]],Clientes_Proveedores[[Ruc / Dni]:[Razon Social]],2,0),"")</f>
        <v/>
      </c>
      <c r="Y100" s="25"/>
      <c r="Z100" s="103">
        <f>ROUND(C_Ope_008[[#This Row],[monto]]/1.18,3)</f>
        <v>338.983</v>
      </c>
      <c r="AA100" s="3" t="str">
        <f>IF(C_Ope_008[[#This Row],[fecha]]&gt;0,TEXT(C_Ope_008[[#This Row],[fecha]],"mmmm"),0)</f>
        <v>Julio</v>
      </c>
      <c r="AB100" s="49"/>
    </row>
    <row r="101" spans="1:28" ht="24" x14ac:dyDescent="0.3">
      <c r="A101" s="2">
        <f>IF(C_Ope_008[[#This Row],[tipo_r]]="R",COUNTIFS($C$1:$C100,"R")+1,"")</f>
        <v>100</v>
      </c>
      <c r="B101" s="19" t="str">
        <f>"C_Ope_008"</f>
        <v>C_Ope_008</v>
      </c>
      <c r="C101" s="3" t="s">
        <v>1330</v>
      </c>
      <c r="D101" s="14">
        <v>45860</v>
      </c>
      <c r="E101" s="5" t="s">
        <v>5380</v>
      </c>
      <c r="F101" s="5" t="s">
        <v>1336</v>
      </c>
      <c r="G101" s="6" t="s">
        <v>1054</v>
      </c>
      <c r="H101" s="6" t="s">
        <v>68</v>
      </c>
      <c r="I101" s="6" t="s">
        <v>1374</v>
      </c>
      <c r="J101" s="6">
        <v>7851</v>
      </c>
      <c r="K101" s="7" t="s">
        <v>9160</v>
      </c>
      <c r="L101" s="8">
        <v>25000</v>
      </c>
      <c r="M101" s="8" t="str">
        <f>"PEN"</f>
        <v>PEN</v>
      </c>
      <c r="N101" s="13"/>
      <c r="O101" s="13">
        <v>63</v>
      </c>
      <c r="P101" s="3">
        <f t="shared" si="21"/>
        <v>0</v>
      </c>
      <c r="Q101" s="3">
        <f t="shared" si="22"/>
        <v>63</v>
      </c>
      <c r="R101" s="3">
        <f t="shared" si="20"/>
        <v>5.1700000000000728</v>
      </c>
      <c r="S101" s="24" t="s">
        <v>1334</v>
      </c>
      <c r="T101" s="24"/>
      <c r="U101" s="3"/>
      <c r="V101" s="25" t="s">
        <v>8277</v>
      </c>
      <c r="W101" s="25">
        <v>10413228722</v>
      </c>
      <c r="X101" s="25" t="str">
        <f>IFERROR(VLOOKUP(C_Ope_008[[#This Row],[nota_2]],Clientes_Proveedores[[Ruc / Dni]:[Razon Social]],2,0),"")</f>
        <v>LLAMO FLORES CARLOS MANUEL</v>
      </c>
      <c r="Y101" s="25"/>
      <c r="Z101" s="103"/>
      <c r="AA101" s="3" t="str">
        <f>IF(C_Ope_008[[#This Row],[fecha]]&gt;0,TEXT(C_Ope_008[[#This Row],[fecha]],"mmmm"),0)</f>
        <v>Julio</v>
      </c>
      <c r="AB101" s="49"/>
    </row>
    <row r="102" spans="1:28" ht="24" x14ac:dyDescent="0.3">
      <c r="A102" s="2">
        <f>IF(C_Ope_008[[#This Row],[tipo_r]]="R",COUNTIFS($C$1:$C101,"R")+1,"")</f>
        <v>101</v>
      </c>
      <c r="B102" s="19" t="str">
        <f>"C_Ope_008"</f>
        <v>C_Ope_008</v>
      </c>
      <c r="C102" s="3" t="s">
        <v>1330</v>
      </c>
      <c r="D102" s="14">
        <v>45860</v>
      </c>
      <c r="E102" s="5" t="s">
        <v>5380</v>
      </c>
      <c r="F102" s="5" t="s">
        <v>1336</v>
      </c>
      <c r="G102" s="6" t="s">
        <v>1055</v>
      </c>
      <c r="H102" s="6" t="s">
        <v>75</v>
      </c>
      <c r="I102" s="6">
        <v>1</v>
      </c>
      <c r="J102" s="6">
        <v>11427</v>
      </c>
      <c r="K102" s="7" t="s">
        <v>9161</v>
      </c>
      <c r="L102" s="8">
        <v>25001</v>
      </c>
      <c r="M102" s="8" t="str">
        <f>"PEN"</f>
        <v>PEN</v>
      </c>
      <c r="N102" s="13"/>
      <c r="O102" s="13">
        <v>23</v>
      </c>
      <c r="P102" s="3">
        <f t="shared" si="21"/>
        <v>0</v>
      </c>
      <c r="Q102" s="3">
        <f t="shared" si="22"/>
        <v>23</v>
      </c>
      <c r="R102" s="3">
        <f t="shared" si="20"/>
        <v>-17.829999999999927</v>
      </c>
      <c r="S102" s="24" t="s">
        <v>1334</v>
      </c>
      <c r="T102" s="24"/>
      <c r="U102" s="3"/>
      <c r="V102" s="25" t="s">
        <v>8277</v>
      </c>
      <c r="W102" s="25">
        <v>10429073796</v>
      </c>
      <c r="X102" s="25" t="str">
        <f>IFERROR(VLOOKUP(C_Ope_008[[#This Row],[nota_2]],Clientes_Proveedores[[Ruc / Dni]:[Razon Social]],2,0),"")</f>
        <v>MAQUERA NAVEZ OSCAR NICANOR</v>
      </c>
      <c r="Y102" s="25"/>
      <c r="Z102" s="103"/>
      <c r="AA102" s="3" t="str">
        <f>IF(C_Ope_008[[#This Row],[fecha]]&gt;0,TEXT(C_Ope_008[[#This Row],[fecha]],"mmmm"),0)</f>
        <v>Julio</v>
      </c>
      <c r="AB102" s="49"/>
    </row>
    <row r="103" spans="1:28" ht="24" x14ac:dyDescent="0.3">
      <c r="A103" s="2">
        <f>IF(C_Ope_008[[#This Row],[tipo_r]]="R",COUNTIFS($C$1:$C102,"R")+1,"")</f>
        <v>102</v>
      </c>
      <c r="B103" s="19" t="str">
        <f>"C_Ope_008"</f>
        <v>C_Ope_008</v>
      </c>
      <c r="C103" s="3" t="s">
        <v>1330</v>
      </c>
      <c r="D103" s="14">
        <v>45880</v>
      </c>
      <c r="E103" s="5" t="s">
        <v>3634</v>
      </c>
      <c r="F103" s="5" t="s">
        <v>1303</v>
      </c>
      <c r="G103" s="6" t="s">
        <v>922</v>
      </c>
      <c r="H103" s="6"/>
      <c r="I103" s="6"/>
      <c r="J103" s="6"/>
      <c r="K103" s="7" t="s">
        <v>7746</v>
      </c>
      <c r="L103" s="8">
        <v>25118</v>
      </c>
      <c r="M103" s="8" t="str">
        <f>"PEN"</f>
        <v>PEN</v>
      </c>
      <c r="N103" s="13"/>
      <c r="O103" s="13">
        <v>200</v>
      </c>
      <c r="P103" s="3">
        <f t="shared" si="21"/>
        <v>200</v>
      </c>
      <c r="Q103" s="3">
        <f t="shared" si="22"/>
        <v>0</v>
      </c>
      <c r="R103" s="3">
        <f t="shared" si="20"/>
        <v>182.17000000000007</v>
      </c>
      <c r="S103" s="24" t="s">
        <v>1334</v>
      </c>
      <c r="T103" s="24" t="s">
        <v>1334</v>
      </c>
      <c r="U103" s="3"/>
      <c r="V103" s="25"/>
      <c r="W103" s="25"/>
      <c r="X103" s="25" t="str">
        <f>IFERROR(VLOOKUP(C_Ope_008[[#This Row],[nota_2]],Clientes_Proveedores[[Ruc / Dni]:[Razon Social]],2,0),"")</f>
        <v/>
      </c>
      <c r="Y103" s="25"/>
      <c r="Z103" s="103">
        <f>ROUND(C_Ope_008[[#This Row],[monto]]/1.18,3)</f>
        <v>169.49199999999999</v>
      </c>
      <c r="AA103" s="3" t="str">
        <f>IF(C_Ope_008[[#This Row],[fecha]]&gt;0,TEXT(C_Ope_008[[#This Row],[fecha]],"mmmm"),0)</f>
        <v>Agosto</v>
      </c>
      <c r="AB103" s="49"/>
    </row>
    <row r="104" spans="1:28" ht="36" x14ac:dyDescent="0.3">
      <c r="A104" s="2">
        <f>IF(C_Ope_008[[#This Row],[tipo_r]]="R",COUNTIFS($C$1:$C103,"R")+1,"")</f>
        <v>103</v>
      </c>
      <c r="B104" s="19" t="str">
        <f t="shared" ref="B104:B114" si="23">"C_Ope_008"</f>
        <v>C_Ope_008</v>
      </c>
      <c r="C104" s="3" t="s">
        <v>1330</v>
      </c>
      <c r="D104" s="14">
        <v>45882</v>
      </c>
      <c r="E104" s="5" t="s">
        <v>5380</v>
      </c>
      <c r="F104" s="5" t="s">
        <v>1336</v>
      </c>
      <c r="G104" s="6" t="s">
        <v>1077</v>
      </c>
      <c r="H104" s="6" t="s">
        <v>68</v>
      </c>
      <c r="I104" s="6" t="s">
        <v>2086</v>
      </c>
      <c r="J104" s="6">
        <v>1008</v>
      </c>
      <c r="K104" s="7" t="s">
        <v>9162</v>
      </c>
      <c r="L104" s="8">
        <v>25164</v>
      </c>
      <c r="M104" s="8" t="str">
        <f t="shared" ref="M104:M114" si="24">"PEN"</f>
        <v>PEN</v>
      </c>
      <c r="N104" s="13"/>
      <c r="O104" s="13">
        <v>60</v>
      </c>
      <c r="P104" s="3">
        <f t="shared" si="21"/>
        <v>0</v>
      </c>
      <c r="Q104" s="3">
        <f t="shared" si="22"/>
        <v>60</v>
      </c>
      <c r="R104" s="3">
        <f t="shared" si="20"/>
        <v>122.17000000000007</v>
      </c>
      <c r="S104" s="24" t="s">
        <v>1334</v>
      </c>
      <c r="T104" s="24"/>
      <c r="U104" s="3"/>
      <c r="V104" s="25" t="s">
        <v>7756</v>
      </c>
      <c r="W104" s="25">
        <v>20605533125</v>
      </c>
      <c r="X104" s="25" t="str">
        <f>IFERROR(VLOOKUP(C_Ope_008[[#This Row],[nota_2]],Clientes_Proveedores[[Ruc / Dni]:[Razon Social]],2,0),"")</f>
        <v>E &amp; M SEÑALIZACIONES S.A.C.</v>
      </c>
      <c r="Y104" s="25"/>
      <c r="Z104" s="103"/>
      <c r="AA104" s="3" t="str">
        <f>IF(C_Ope_008[[#This Row],[fecha]]&gt;0,TEXT(C_Ope_008[[#This Row],[fecha]],"mmmm"),0)</f>
        <v>Agosto</v>
      </c>
      <c r="AB104" s="49"/>
    </row>
    <row r="105" spans="1:28" ht="24" x14ac:dyDescent="0.3">
      <c r="A105" s="2">
        <f>IF(C_Ope_008[[#This Row],[tipo_r]]="R",COUNTIFS($C$1:$C104,"R")+1,"")</f>
        <v>104</v>
      </c>
      <c r="B105" s="19" t="str">
        <f t="shared" si="23"/>
        <v>C_Ope_008</v>
      </c>
      <c r="C105" s="3" t="s">
        <v>1330</v>
      </c>
      <c r="D105" s="14">
        <v>45884</v>
      </c>
      <c r="E105" s="5" t="s">
        <v>5380</v>
      </c>
      <c r="F105" s="5" t="s">
        <v>1336</v>
      </c>
      <c r="G105" s="6" t="s">
        <v>1054</v>
      </c>
      <c r="H105" s="6" t="s">
        <v>68</v>
      </c>
      <c r="I105" s="6" t="s">
        <v>1374</v>
      </c>
      <c r="J105" s="6">
        <v>7923</v>
      </c>
      <c r="K105" s="7" t="s">
        <v>9163</v>
      </c>
      <c r="L105" s="8">
        <v>25176</v>
      </c>
      <c r="M105" s="8" t="str">
        <f t="shared" si="24"/>
        <v>PEN</v>
      </c>
      <c r="N105" s="13"/>
      <c r="O105" s="13">
        <v>88</v>
      </c>
      <c r="P105" s="3">
        <f t="shared" ref="P105:P114" si="25">+IF(OR($F105="SALDO",$F105="INGRESO"),$O105,0)</f>
        <v>0</v>
      </c>
      <c r="Q105" s="3">
        <f t="shared" ref="Q105:Q114" si="26">+IF($F105="EGRESO",$O105,0)</f>
        <v>88</v>
      </c>
      <c r="R105" s="3">
        <f t="shared" si="20"/>
        <v>34.170000000000073</v>
      </c>
      <c r="S105" s="24" t="s">
        <v>1334</v>
      </c>
      <c r="T105" s="24"/>
      <c r="U105" s="3"/>
      <c r="V105" s="25" t="s">
        <v>8277</v>
      </c>
      <c r="W105" s="25">
        <v>10413228722</v>
      </c>
      <c r="X105" s="25" t="str">
        <f>IFERROR(VLOOKUP(C_Ope_008[[#This Row],[nota_2]],Clientes_Proveedores[[Ruc / Dni]:[Razon Social]],2,0),"")</f>
        <v>LLAMO FLORES CARLOS MANUEL</v>
      </c>
      <c r="Y105" s="25"/>
      <c r="Z105" s="103"/>
      <c r="AA105" s="3" t="str">
        <f>IF(C_Ope_008[[#This Row],[fecha]]&gt;0,TEXT(C_Ope_008[[#This Row],[fecha]],"mmmm"),0)</f>
        <v>Agosto</v>
      </c>
      <c r="AB105" s="49"/>
    </row>
    <row r="106" spans="1:28" ht="24" x14ac:dyDescent="0.3">
      <c r="A106" s="2">
        <f>IF(C_Ope_008[[#This Row],[tipo_r]]="R",COUNTIFS($C$1:$C105,"R")+1,"")</f>
        <v>105</v>
      </c>
      <c r="B106" s="19" t="str">
        <f t="shared" si="23"/>
        <v>C_Ope_008</v>
      </c>
      <c r="C106" s="3" t="s">
        <v>1330</v>
      </c>
      <c r="D106" s="14">
        <v>45884</v>
      </c>
      <c r="E106" s="5" t="s">
        <v>5380</v>
      </c>
      <c r="F106" s="5" t="s">
        <v>1336</v>
      </c>
      <c r="G106" s="6" t="s">
        <v>1054</v>
      </c>
      <c r="H106" s="6" t="s">
        <v>68</v>
      </c>
      <c r="I106" s="6" t="s">
        <v>1374</v>
      </c>
      <c r="J106" s="6">
        <v>7924</v>
      </c>
      <c r="K106" s="7" t="s">
        <v>9164</v>
      </c>
      <c r="L106" s="8">
        <v>25177</v>
      </c>
      <c r="M106" s="8" t="str">
        <f t="shared" si="24"/>
        <v>PEN</v>
      </c>
      <c r="N106" s="13"/>
      <c r="O106" s="13">
        <v>83</v>
      </c>
      <c r="P106" s="3">
        <f t="shared" si="25"/>
        <v>0</v>
      </c>
      <c r="Q106" s="3">
        <f t="shared" si="26"/>
        <v>83</v>
      </c>
      <c r="R106" s="3">
        <f t="shared" si="20"/>
        <v>-48.829999999999927</v>
      </c>
      <c r="S106" s="24" t="s">
        <v>1334</v>
      </c>
      <c r="T106" s="24"/>
      <c r="U106" s="3"/>
      <c r="V106" s="25" t="s">
        <v>8277</v>
      </c>
      <c r="W106" s="25">
        <v>10413228722</v>
      </c>
      <c r="X106" s="25" t="str">
        <f>IFERROR(VLOOKUP(C_Ope_008[[#This Row],[nota_2]],Clientes_Proveedores[[Ruc / Dni]:[Razon Social]],2,0),"")</f>
        <v>LLAMO FLORES CARLOS MANUEL</v>
      </c>
      <c r="Y106" s="25"/>
      <c r="Z106" s="103"/>
      <c r="AA106" s="3" t="str">
        <f>IF(C_Ope_008[[#This Row],[fecha]]&gt;0,TEXT(C_Ope_008[[#This Row],[fecha]],"mmmm"),0)</f>
        <v>Agosto</v>
      </c>
      <c r="AB106" s="49"/>
    </row>
    <row r="107" spans="1:28" ht="36" x14ac:dyDescent="0.3">
      <c r="A107" s="2">
        <f>IF(C_Ope_008[[#This Row],[tipo_r]]="R",COUNTIFS($C$1:$C106,"R")+1,"")</f>
        <v>106</v>
      </c>
      <c r="B107" s="19" t="str">
        <f t="shared" si="23"/>
        <v>C_Ope_008</v>
      </c>
      <c r="C107" s="3" t="s">
        <v>1330</v>
      </c>
      <c r="D107" s="14">
        <v>45884</v>
      </c>
      <c r="E107" s="5" t="s">
        <v>5380</v>
      </c>
      <c r="F107" s="5" t="s">
        <v>1336</v>
      </c>
      <c r="G107" s="6" t="s">
        <v>1101</v>
      </c>
      <c r="H107" s="6" t="s">
        <v>68</v>
      </c>
      <c r="I107" s="6" t="s">
        <v>1390</v>
      </c>
      <c r="J107" s="6">
        <v>33914</v>
      </c>
      <c r="K107" s="7" t="s">
        <v>9165</v>
      </c>
      <c r="L107" s="8">
        <v>25178</v>
      </c>
      <c r="M107" s="8" t="str">
        <f t="shared" si="24"/>
        <v>PEN</v>
      </c>
      <c r="N107" s="13"/>
      <c r="O107" s="13">
        <v>51</v>
      </c>
      <c r="P107" s="3">
        <f t="shared" si="25"/>
        <v>0</v>
      </c>
      <c r="Q107" s="3">
        <f t="shared" si="26"/>
        <v>51</v>
      </c>
      <c r="R107" s="3">
        <f t="shared" si="20"/>
        <v>-99.829999999999927</v>
      </c>
      <c r="S107" s="24" t="s">
        <v>1334</v>
      </c>
      <c r="T107" s="24"/>
      <c r="U107" s="3"/>
      <c r="V107" s="25" t="s">
        <v>8277</v>
      </c>
      <c r="W107" s="25">
        <v>20601292727</v>
      </c>
      <c r="X107" s="25" t="str">
        <f>IFERROR(VLOOKUP(C_Ope_008[[#This Row],[nota_2]],Clientes_Proveedores[[Ruc / Dni]:[Razon Social]],2,0),"")</f>
        <v>H &amp; P MANGUERAS Y CONEXIONES S.A.C.</v>
      </c>
      <c r="Y107" s="25"/>
      <c r="Z107" s="103"/>
      <c r="AA107" s="3" t="str">
        <f>IF(C_Ope_008[[#This Row],[fecha]]&gt;0,TEXT(C_Ope_008[[#This Row],[fecha]],"mmmm"),0)</f>
        <v>Agosto</v>
      </c>
      <c r="AB107" s="49"/>
    </row>
    <row r="108" spans="1:28" ht="24" x14ac:dyDescent="0.3">
      <c r="A108" s="2">
        <f>IF(C_Ope_008[[#This Row],[tipo_r]]="R",COUNTIFS($C$1:$C107,"R")+1,"")</f>
        <v>107</v>
      </c>
      <c r="B108" s="19" t="str">
        <f t="shared" si="23"/>
        <v>C_Ope_008</v>
      </c>
      <c r="C108" s="3" t="s">
        <v>1330</v>
      </c>
      <c r="D108" s="14">
        <v>45884</v>
      </c>
      <c r="E108" s="5" t="s">
        <v>5380</v>
      </c>
      <c r="F108" s="5" t="s">
        <v>1336</v>
      </c>
      <c r="G108" s="6" t="s">
        <v>1101</v>
      </c>
      <c r="H108" s="6" t="s">
        <v>68</v>
      </c>
      <c r="I108" s="6" t="s">
        <v>1390</v>
      </c>
      <c r="J108" s="6">
        <v>33915</v>
      </c>
      <c r="K108" s="7" t="s">
        <v>9166</v>
      </c>
      <c r="L108" s="8">
        <v>25179</v>
      </c>
      <c r="M108" s="8" t="str">
        <f t="shared" si="24"/>
        <v>PEN</v>
      </c>
      <c r="N108" s="13"/>
      <c r="O108" s="13">
        <v>79</v>
      </c>
      <c r="P108" s="3">
        <f t="shared" si="25"/>
        <v>0</v>
      </c>
      <c r="Q108" s="3">
        <f t="shared" si="26"/>
        <v>79</v>
      </c>
      <c r="R108" s="3">
        <f t="shared" si="20"/>
        <v>-178.82999999999993</v>
      </c>
      <c r="S108" s="24" t="s">
        <v>1334</v>
      </c>
      <c r="T108" s="24"/>
      <c r="U108" s="3"/>
      <c r="V108" s="25" t="s">
        <v>8277</v>
      </c>
      <c r="W108" s="25">
        <v>20601292727</v>
      </c>
      <c r="X108" s="25" t="str">
        <f>IFERROR(VLOOKUP(C_Ope_008[[#This Row],[nota_2]],Clientes_Proveedores[[Ruc / Dni]:[Razon Social]],2,0),"")</f>
        <v>H &amp; P MANGUERAS Y CONEXIONES S.A.C.</v>
      </c>
      <c r="Y108" s="25"/>
      <c r="Z108" s="103"/>
      <c r="AA108" s="3" t="str">
        <f>IF(C_Ope_008[[#This Row],[fecha]]&gt;0,TEXT(C_Ope_008[[#This Row],[fecha]],"mmmm"),0)</f>
        <v>Agosto</v>
      </c>
      <c r="AB108" s="49"/>
    </row>
    <row r="109" spans="1:28" ht="24" x14ac:dyDescent="0.3">
      <c r="A109" s="2">
        <f>IF(C_Ope_008[[#This Row],[tipo_r]]="R",COUNTIFS($C$1:$C108,"R")+1,"")</f>
        <v>108</v>
      </c>
      <c r="B109" s="19" t="str">
        <f t="shared" si="23"/>
        <v>C_Ope_008</v>
      </c>
      <c r="C109" s="3" t="s">
        <v>1330</v>
      </c>
      <c r="D109" s="14">
        <v>45887</v>
      </c>
      <c r="E109" s="5" t="s">
        <v>5380</v>
      </c>
      <c r="F109" s="5" t="s">
        <v>1336</v>
      </c>
      <c r="G109" s="6" t="s">
        <v>1102</v>
      </c>
      <c r="H109" s="6" t="s">
        <v>68</v>
      </c>
      <c r="I109" s="6" t="s">
        <v>1390</v>
      </c>
      <c r="J109" s="6">
        <v>13959</v>
      </c>
      <c r="K109" s="7" t="s">
        <v>9167</v>
      </c>
      <c r="L109" s="8">
        <v>25180</v>
      </c>
      <c r="M109" s="8" t="str">
        <f t="shared" si="24"/>
        <v>PEN</v>
      </c>
      <c r="N109" s="13"/>
      <c r="O109" s="13">
        <v>25</v>
      </c>
      <c r="P109" s="3">
        <f t="shared" si="25"/>
        <v>0</v>
      </c>
      <c r="Q109" s="3">
        <f t="shared" si="26"/>
        <v>25</v>
      </c>
      <c r="R109" s="3">
        <f t="shared" si="20"/>
        <v>-203.82999999999993</v>
      </c>
      <c r="S109" s="24" t="s">
        <v>1334</v>
      </c>
      <c r="T109" s="24"/>
      <c r="U109" s="3"/>
      <c r="V109" s="25" t="s">
        <v>7756</v>
      </c>
      <c r="W109" s="25">
        <v>10294164630</v>
      </c>
      <c r="X109" s="25" t="str">
        <f>IFERROR(VLOOKUP(C_Ope_008[[#This Row],[nota_2]],Clientes_Proveedores[[Ruc / Dni]:[Razon Social]],2,0),"")</f>
        <v>FLORES FLORES DOLORES MARIA</v>
      </c>
      <c r="Y109" s="25"/>
      <c r="Z109" s="103"/>
      <c r="AA109" s="3" t="str">
        <f>IF(C_Ope_008[[#This Row],[fecha]]&gt;0,TEXT(C_Ope_008[[#This Row],[fecha]],"mmmm"),0)</f>
        <v>Agosto</v>
      </c>
      <c r="AB109" s="49"/>
    </row>
    <row r="110" spans="1:28" ht="24" x14ac:dyDescent="0.3">
      <c r="A110" s="2">
        <f>IF(C_Ope_008[[#This Row],[tipo_r]]="R",COUNTIFS($C$1:$C109,"R")+1,"")</f>
        <v>109</v>
      </c>
      <c r="B110" s="19" t="str">
        <f t="shared" si="23"/>
        <v>C_Ope_008</v>
      </c>
      <c r="C110" s="3" t="s">
        <v>1330</v>
      </c>
      <c r="D110" s="14">
        <v>45887</v>
      </c>
      <c r="E110" s="5" t="s">
        <v>5380</v>
      </c>
      <c r="F110" s="5" t="s">
        <v>1336</v>
      </c>
      <c r="G110" s="6" t="s">
        <v>1102</v>
      </c>
      <c r="H110" s="6" t="s">
        <v>68</v>
      </c>
      <c r="I110" s="6" t="s">
        <v>1390</v>
      </c>
      <c r="J110" s="6">
        <v>13970</v>
      </c>
      <c r="K110" s="7" t="s">
        <v>9168</v>
      </c>
      <c r="L110" s="8">
        <v>25181</v>
      </c>
      <c r="M110" s="8" t="str">
        <f t="shared" si="24"/>
        <v>PEN</v>
      </c>
      <c r="N110" s="13"/>
      <c r="O110" s="13">
        <v>10</v>
      </c>
      <c r="P110" s="3">
        <f t="shared" si="25"/>
        <v>0</v>
      </c>
      <c r="Q110" s="3">
        <f t="shared" si="26"/>
        <v>10</v>
      </c>
      <c r="R110" s="3">
        <f t="shared" si="20"/>
        <v>-213.82999999999993</v>
      </c>
      <c r="S110" s="24" t="s">
        <v>1334</v>
      </c>
      <c r="T110" s="24"/>
      <c r="U110" s="3"/>
      <c r="V110" s="25" t="s">
        <v>7761</v>
      </c>
      <c r="W110" s="25">
        <v>10294164630</v>
      </c>
      <c r="X110" s="25" t="str">
        <f>IFERROR(VLOOKUP(C_Ope_008[[#This Row],[nota_2]],Clientes_Proveedores[[Ruc / Dni]:[Razon Social]],2,0),"")</f>
        <v>FLORES FLORES DOLORES MARIA</v>
      </c>
      <c r="Y110" s="25"/>
      <c r="Z110" s="103"/>
      <c r="AA110" s="3" t="str">
        <f>IF(C_Ope_008[[#This Row],[fecha]]&gt;0,TEXT(C_Ope_008[[#This Row],[fecha]],"mmmm"),0)</f>
        <v>Agosto</v>
      </c>
      <c r="AB110" s="49"/>
    </row>
    <row r="111" spans="1:28" ht="24" x14ac:dyDescent="0.3">
      <c r="A111" s="2">
        <f>IF(C_Ope_008[[#This Row],[tipo_r]]="R",COUNTIFS($C$1:$C110,"R")+1,"")</f>
        <v>110</v>
      </c>
      <c r="B111" s="19" t="str">
        <f t="shared" si="23"/>
        <v>C_Ope_008</v>
      </c>
      <c r="C111" s="3" t="s">
        <v>1330</v>
      </c>
      <c r="D111" s="14">
        <v>45888</v>
      </c>
      <c r="E111" s="5" t="s">
        <v>5380</v>
      </c>
      <c r="F111" s="5" t="s">
        <v>1336</v>
      </c>
      <c r="G111" s="6" t="s">
        <v>1103</v>
      </c>
      <c r="H111" s="6" t="s">
        <v>68</v>
      </c>
      <c r="I111" s="6" t="s">
        <v>9169</v>
      </c>
      <c r="J111" s="6">
        <v>6303</v>
      </c>
      <c r="K111" s="7" t="s">
        <v>9170</v>
      </c>
      <c r="L111" s="8">
        <v>25193</v>
      </c>
      <c r="M111" s="8" t="str">
        <f t="shared" si="24"/>
        <v>PEN</v>
      </c>
      <c r="N111" s="13"/>
      <c r="O111" s="13">
        <v>7.5</v>
      </c>
      <c r="P111" s="3">
        <f t="shared" si="25"/>
        <v>0</v>
      </c>
      <c r="Q111" s="3">
        <f t="shared" si="26"/>
        <v>7.5</v>
      </c>
      <c r="R111" s="3">
        <f t="shared" si="20"/>
        <v>-221.32999999999993</v>
      </c>
      <c r="S111" s="24" t="s">
        <v>1334</v>
      </c>
      <c r="T111" s="24"/>
      <c r="U111" s="3"/>
      <c r="V111" s="25" t="s">
        <v>7761</v>
      </c>
      <c r="W111" s="25">
        <v>20601014956</v>
      </c>
      <c r="X111" s="25" t="str">
        <f>IFERROR(VLOOKUP(C_Ope_008[[#This Row],[nota_2]],Clientes_Proveedores[[Ruc / Dni]:[Razon Social]],2,0),"")</f>
        <v>ELIBEM IMPORT E.I.R.L.</v>
      </c>
      <c r="Y111" s="25"/>
      <c r="Z111" s="103"/>
      <c r="AA111" s="3" t="str">
        <f>IF(C_Ope_008[[#This Row],[fecha]]&gt;0,TEXT(C_Ope_008[[#This Row],[fecha]],"mmmm"),0)</f>
        <v>Agosto</v>
      </c>
      <c r="AB111" s="49"/>
    </row>
    <row r="112" spans="1:28" ht="24" x14ac:dyDescent="0.3">
      <c r="A112" s="2">
        <f>IF(C_Ope_008[[#This Row],[tipo_r]]="R",COUNTIFS($C$1:$C111,"R")+1,"")</f>
        <v>111</v>
      </c>
      <c r="B112" s="19" t="str">
        <f t="shared" si="23"/>
        <v>C_Ope_008</v>
      </c>
      <c r="C112" s="3" t="s">
        <v>1330</v>
      </c>
      <c r="D112" s="14">
        <v>45889</v>
      </c>
      <c r="E112" s="5" t="s">
        <v>5380</v>
      </c>
      <c r="F112" s="5" t="s">
        <v>1336</v>
      </c>
      <c r="G112" s="6" t="s">
        <v>1104</v>
      </c>
      <c r="H112" s="6" t="s">
        <v>68</v>
      </c>
      <c r="I112" s="6" t="s">
        <v>9171</v>
      </c>
      <c r="J112" s="6">
        <v>1453</v>
      </c>
      <c r="K112" s="7" t="s">
        <v>9172</v>
      </c>
      <c r="L112" s="8">
        <v>25205</v>
      </c>
      <c r="M112" s="8" t="str">
        <f t="shared" si="24"/>
        <v>PEN</v>
      </c>
      <c r="N112" s="13"/>
      <c r="O112" s="13">
        <v>41.73</v>
      </c>
      <c r="P112" s="3">
        <f t="shared" si="25"/>
        <v>0</v>
      </c>
      <c r="Q112" s="3">
        <f t="shared" si="26"/>
        <v>41.73</v>
      </c>
      <c r="R112" s="3">
        <f t="shared" si="20"/>
        <v>-263.05999999999995</v>
      </c>
      <c r="S112" s="24" t="s">
        <v>1334</v>
      </c>
      <c r="T112" s="24"/>
      <c r="U112" s="3"/>
      <c r="V112" s="25" t="s">
        <v>7756</v>
      </c>
      <c r="W112" s="25">
        <v>20611135271</v>
      </c>
      <c r="X112" s="25" t="str">
        <f>IFERROR(VLOOKUP(C_Ope_008[[#This Row],[nota_2]],Clientes_Proveedores[[Ruc / Dni]:[Razon Social]],2,0),"")</f>
        <v>GASOLINERA LA PARCELA 45 S.A.C.</v>
      </c>
      <c r="Y112" s="25"/>
      <c r="Z112" s="103"/>
      <c r="AA112" s="3" t="str">
        <f>IF(C_Ope_008[[#This Row],[fecha]]&gt;0,TEXT(C_Ope_008[[#This Row],[fecha]],"mmmm"),0)</f>
        <v>Agosto</v>
      </c>
      <c r="AB112" s="49"/>
    </row>
    <row r="113" spans="1:28" ht="24" x14ac:dyDescent="0.3">
      <c r="A113" s="2">
        <f>IF(C_Ope_008[[#This Row],[tipo_r]]="R",COUNTIFS($C$1:$C112,"R")+1,"")</f>
        <v>112</v>
      </c>
      <c r="B113" s="19" t="str">
        <f t="shared" si="23"/>
        <v>C_Ope_008</v>
      </c>
      <c r="C113" s="3" t="s">
        <v>1330</v>
      </c>
      <c r="D113" s="14">
        <v>45889</v>
      </c>
      <c r="E113" s="5" t="s">
        <v>5380</v>
      </c>
      <c r="F113" s="5" t="s">
        <v>1336</v>
      </c>
      <c r="G113" s="6" t="s">
        <v>1054</v>
      </c>
      <c r="H113" s="6" t="s">
        <v>68</v>
      </c>
      <c r="I113" s="6" t="s">
        <v>1374</v>
      </c>
      <c r="J113" s="6">
        <v>7940</v>
      </c>
      <c r="K113" s="7" t="s">
        <v>9173</v>
      </c>
      <c r="L113" s="8">
        <v>25226</v>
      </c>
      <c r="M113" s="8" t="str">
        <f t="shared" si="24"/>
        <v>PEN</v>
      </c>
      <c r="N113" s="13"/>
      <c r="O113" s="13">
        <v>26</v>
      </c>
      <c r="P113" s="3">
        <f t="shared" si="25"/>
        <v>0</v>
      </c>
      <c r="Q113" s="3">
        <f t="shared" si="26"/>
        <v>26</v>
      </c>
      <c r="R113" s="3">
        <f t="shared" si="20"/>
        <v>-289.05999999999995</v>
      </c>
      <c r="S113" s="24" t="s">
        <v>1334</v>
      </c>
      <c r="T113" s="24"/>
      <c r="U113" s="3"/>
      <c r="V113" s="25" t="s">
        <v>8277</v>
      </c>
      <c r="W113" s="25">
        <v>10413228722</v>
      </c>
      <c r="X113" s="25" t="str">
        <f>IFERROR(VLOOKUP(C_Ope_008[[#This Row],[nota_2]],Clientes_Proveedores[[Ruc / Dni]:[Razon Social]],2,0),"")</f>
        <v>LLAMO FLORES CARLOS MANUEL</v>
      </c>
      <c r="Y113" s="25"/>
      <c r="Z113" s="103"/>
      <c r="AA113" s="3" t="str">
        <f>IF(C_Ope_008[[#This Row],[fecha]]&gt;0,TEXT(C_Ope_008[[#This Row],[fecha]],"mmmm"),0)</f>
        <v>Agosto</v>
      </c>
      <c r="AB113" s="49"/>
    </row>
    <row r="114" spans="1:28" ht="36" x14ac:dyDescent="0.3">
      <c r="A114" s="2">
        <f>IF(C_Ope_008[[#This Row],[tipo_r]]="R",COUNTIFS($C$1:$C113,"R")+1,"")</f>
        <v>113</v>
      </c>
      <c r="B114" s="19" t="str">
        <f t="shared" si="23"/>
        <v>C_Ope_008</v>
      </c>
      <c r="C114" s="3" t="s">
        <v>1330</v>
      </c>
      <c r="D114" s="14">
        <v>45894</v>
      </c>
      <c r="E114" s="5" t="s">
        <v>5380</v>
      </c>
      <c r="F114" s="5" t="s">
        <v>1336</v>
      </c>
      <c r="G114" s="6" t="s">
        <v>564</v>
      </c>
      <c r="H114" s="6" t="s">
        <v>68</v>
      </c>
      <c r="I114" s="6" t="s">
        <v>1386</v>
      </c>
      <c r="J114" s="6">
        <v>46024</v>
      </c>
      <c r="K114" s="7" t="s">
        <v>9174</v>
      </c>
      <c r="L114" s="8">
        <v>25257</v>
      </c>
      <c r="M114" s="8" t="str">
        <f t="shared" si="24"/>
        <v>PEN</v>
      </c>
      <c r="N114" s="13"/>
      <c r="O114" s="13">
        <v>13</v>
      </c>
      <c r="P114" s="3">
        <f t="shared" si="25"/>
        <v>0</v>
      </c>
      <c r="Q114" s="3">
        <f t="shared" si="26"/>
        <v>13</v>
      </c>
      <c r="R114" s="3">
        <f t="shared" si="20"/>
        <v>-302.05999999999995</v>
      </c>
      <c r="S114" s="24" t="s">
        <v>1334</v>
      </c>
      <c r="T114" s="24"/>
      <c r="U114" s="3"/>
      <c r="V114" s="25" t="s">
        <v>8006</v>
      </c>
      <c r="W114" s="25">
        <v>20608545591</v>
      </c>
      <c r="X114" s="25" t="str">
        <f>IFERROR(VLOOKUP(C_Ope_008[[#This Row],[nota_2]],Clientes_Proveedores[[Ruc / Dni]:[Razon Social]],2,0),"")</f>
        <v>REPUESTOS ELIBEM IMPORTACIONES S.R.L.</v>
      </c>
      <c r="Y114" s="25"/>
      <c r="Z114" s="103"/>
      <c r="AA114" s="3" t="str">
        <f>IF(C_Ope_008[[#This Row],[fecha]]&gt;0,TEXT(C_Ope_008[[#This Row],[fecha]],"mmmm"),0)</f>
        <v>Agosto</v>
      </c>
      <c r="AB114" s="49"/>
    </row>
    <row r="115" spans="1:28" ht="24" x14ac:dyDescent="0.3">
      <c r="A115" s="2">
        <f>IF(C_Ope_008[[#This Row],[tipo_r]]="R",COUNTIFS($C$1:$C114,"R")+1,"")</f>
        <v>114</v>
      </c>
      <c r="B115" s="19" t="str">
        <f>"C_Ope_008"</f>
        <v>C_Ope_008</v>
      </c>
      <c r="C115" s="3" t="s">
        <v>1330</v>
      </c>
      <c r="D115" s="14">
        <v>45897</v>
      </c>
      <c r="E115" s="5" t="s">
        <v>5380</v>
      </c>
      <c r="F115" s="5" t="s">
        <v>1336</v>
      </c>
      <c r="G115" s="6" t="s">
        <v>999</v>
      </c>
      <c r="H115" s="6" t="s">
        <v>68</v>
      </c>
      <c r="I115" s="6" t="s">
        <v>1374</v>
      </c>
      <c r="J115" s="6">
        <v>19462</v>
      </c>
      <c r="K115" s="7" t="s">
        <v>9105</v>
      </c>
      <c r="L115" s="8">
        <v>25313</v>
      </c>
      <c r="M115" s="8" t="str">
        <f>"PEN"</f>
        <v>PEN</v>
      </c>
      <c r="N115" s="13"/>
      <c r="O115" s="13">
        <v>60</v>
      </c>
      <c r="P115" s="3">
        <f>+IF(OR($F115="SALDO",$F115="INGRESO"),$O115,0)</f>
        <v>0</v>
      </c>
      <c r="Q115" s="3">
        <f>+IF($F115="EGRESO",$O115,0)</f>
        <v>60</v>
      </c>
      <c r="R115" s="3">
        <f t="shared" si="20"/>
        <v>-362.05999999999995</v>
      </c>
      <c r="S115" s="24" t="s">
        <v>1334</v>
      </c>
      <c r="T115" s="24"/>
      <c r="U115" s="3"/>
      <c r="V115" s="25" t="s">
        <v>7761</v>
      </c>
      <c r="W115" s="25">
        <v>10705628331</v>
      </c>
      <c r="X115" s="25" t="str">
        <f>IFERROR(VLOOKUP(C_Ope_008[[#This Row],[nota_2]],Clientes_Proveedores[[Ruc / Dni]:[Razon Social]],2,0),"")</f>
        <v>LARICO APAZA NANCY ROSSMARY</v>
      </c>
      <c r="Y115" s="25"/>
      <c r="Z115" s="103"/>
      <c r="AA115" s="3" t="str">
        <f>IF(C_Ope_008[[#This Row],[fecha]]&gt;0,TEXT(C_Ope_008[[#This Row],[fecha]],"mmmm"),0)</f>
        <v>Agosto</v>
      </c>
      <c r="AB115" s="49"/>
    </row>
    <row r="116" spans="1:28" x14ac:dyDescent="0.3">
      <c r="A116" s="2">
        <f>IF(C_Ope_008[[#This Row],[tipo_r]]="R",COUNTIFS($C$1:$C115,"R")+1,"")</f>
        <v>115</v>
      </c>
      <c r="B116" s="19" t="str">
        <f>"C_Ope_008"</f>
        <v>C_Ope_008</v>
      </c>
      <c r="C116" s="3" t="s">
        <v>1330</v>
      </c>
      <c r="D116" s="14">
        <v>45902</v>
      </c>
      <c r="E116" s="5" t="s">
        <v>3634</v>
      </c>
      <c r="F116" s="5" t="s">
        <v>1303</v>
      </c>
      <c r="G116" s="6"/>
      <c r="H116" s="6"/>
      <c r="I116" s="6"/>
      <c r="J116" s="6"/>
      <c r="K116" s="7" t="s">
        <v>7746</v>
      </c>
      <c r="L116" s="8">
        <v>25361</v>
      </c>
      <c r="M116" s="8" t="str">
        <f>"PEN"</f>
        <v>PEN</v>
      </c>
      <c r="N116" s="13"/>
      <c r="O116" s="13">
        <v>482</v>
      </c>
      <c r="P116" s="3">
        <f>+IF(OR($F116="SALDO",$F116="INGRESO"),$O116,0)</f>
        <v>482</v>
      </c>
      <c r="Q116" s="3">
        <f>+IF($F116="EGRESO",$O116,0)</f>
        <v>0</v>
      </c>
      <c r="R116" s="3">
        <f t="shared" si="20"/>
        <v>119.94000000000005</v>
      </c>
      <c r="S116" s="24" t="s">
        <v>1334</v>
      </c>
      <c r="T116" s="24" t="s">
        <v>1334</v>
      </c>
      <c r="U116" s="3"/>
      <c r="V116" s="25"/>
      <c r="W116" s="25"/>
      <c r="X116" s="25" t="str">
        <f>IFERROR(VLOOKUP(C_Ope_008[[#This Row],[nota_2]],Clientes_Proveedores[[Ruc / Dni]:[Razon Social]],2,0),"")</f>
        <v/>
      </c>
      <c r="Y116" s="25"/>
      <c r="Z116" s="25">
        <f>ROUND(C_Ope_008[[#This Row],[monto]]/1.18,3)</f>
        <v>408.47500000000002</v>
      </c>
      <c r="AA116" s="3" t="str">
        <f>IF(C_Ope_008[[#This Row],[fecha]]&gt;0,TEXT(C_Ope_008[[#This Row],[fecha]],"mmmm"),0)</f>
        <v>Setiembre</v>
      </c>
      <c r="AB116" s="49"/>
    </row>
    <row r="117" spans="1:28" ht="24" x14ac:dyDescent="0.3">
      <c r="A117" s="2">
        <f>IF(C_Ope_008[[#This Row],[tipo_r]]="R",COUNTIFS($C$1:$C116,"R")+1,"")</f>
        <v>116</v>
      </c>
      <c r="B117" s="19" t="str">
        <f t="shared" ref="B117:B129" si="27">"C_Ope_008"</f>
        <v>C_Ope_008</v>
      </c>
      <c r="C117" s="3" t="s">
        <v>1330</v>
      </c>
      <c r="D117" s="14">
        <v>45902</v>
      </c>
      <c r="E117" s="5" t="s">
        <v>5380</v>
      </c>
      <c r="F117" s="5" t="s">
        <v>1336</v>
      </c>
      <c r="G117" s="6" t="s">
        <v>1215</v>
      </c>
      <c r="H117" s="6" t="s">
        <v>75</v>
      </c>
      <c r="I117" s="6">
        <v>1</v>
      </c>
      <c r="J117" s="6">
        <v>11939</v>
      </c>
      <c r="K117" s="7" t="s">
        <v>9175</v>
      </c>
      <c r="L117" s="8">
        <v>25347</v>
      </c>
      <c r="M117" s="8" t="str">
        <f t="shared" ref="M117:M129" si="28">"PEN"</f>
        <v>PEN</v>
      </c>
      <c r="N117" s="13"/>
      <c r="O117" s="13">
        <v>20</v>
      </c>
      <c r="P117" s="3">
        <f t="shared" ref="P117:P129" si="29">+IF(OR($F117="SALDO",$F117="INGRESO"),$O117,0)</f>
        <v>0</v>
      </c>
      <c r="Q117" s="3">
        <f t="shared" ref="Q117:Q129" si="30">+IF($F117="EGRESO",$O117,0)</f>
        <v>20</v>
      </c>
      <c r="R117" s="3">
        <f t="shared" si="20"/>
        <v>99.940000000000055</v>
      </c>
      <c r="S117" s="24" t="s">
        <v>1334</v>
      </c>
      <c r="T117" s="24"/>
      <c r="U117" s="3"/>
      <c r="V117" s="25" t="s">
        <v>8277</v>
      </c>
      <c r="W117" s="103">
        <v>10414841371</v>
      </c>
      <c r="X117" s="25" t="str">
        <f>IFERROR(VLOOKUP(C_Ope_008[[#This Row],[nota_2]],Clientes_Proveedores[[Ruc / Dni]:[Razon Social]],2,0),"")</f>
        <v>AYALA SARMIENTO ANA LUISA</v>
      </c>
      <c r="Y117" s="25"/>
      <c r="Z117" s="25"/>
      <c r="AA117" s="3" t="str">
        <f>IF(C_Ope_008[[#This Row],[fecha]]&gt;0,TEXT(C_Ope_008[[#This Row],[fecha]],"mmmm"),0)</f>
        <v>Setiembre</v>
      </c>
      <c r="AB117" s="49"/>
    </row>
    <row r="118" spans="1:28" ht="24" x14ac:dyDescent="0.3">
      <c r="A118" s="2">
        <f>IF(C_Ope_008[[#This Row],[tipo_r]]="R",COUNTIFS($C$1:$C117,"R")+1,"")</f>
        <v>117</v>
      </c>
      <c r="B118" s="19" t="str">
        <f t="shared" si="27"/>
        <v>C_Ope_008</v>
      </c>
      <c r="C118" s="3" t="s">
        <v>1330</v>
      </c>
      <c r="D118" s="14">
        <v>45902</v>
      </c>
      <c r="E118" s="5" t="s">
        <v>5380</v>
      </c>
      <c r="F118" s="5" t="s">
        <v>1336</v>
      </c>
      <c r="G118" s="6" t="s">
        <v>760</v>
      </c>
      <c r="H118" s="6" t="s">
        <v>72</v>
      </c>
      <c r="I118" s="6" t="s">
        <v>1376</v>
      </c>
      <c r="J118" s="6">
        <v>249</v>
      </c>
      <c r="K118" s="7" t="s">
        <v>9176</v>
      </c>
      <c r="L118" s="8">
        <v>25348</v>
      </c>
      <c r="M118" s="8" t="str">
        <f t="shared" si="28"/>
        <v>PEN</v>
      </c>
      <c r="N118" s="13"/>
      <c r="O118" s="13">
        <v>50</v>
      </c>
      <c r="P118" s="3">
        <f t="shared" si="29"/>
        <v>0</v>
      </c>
      <c r="Q118" s="3">
        <f t="shared" si="30"/>
        <v>50</v>
      </c>
      <c r="R118" s="3">
        <f t="shared" si="20"/>
        <v>49.940000000000055</v>
      </c>
      <c r="S118" s="24" t="s">
        <v>1334</v>
      </c>
      <c r="T118" s="24"/>
      <c r="U118" s="3"/>
      <c r="V118" s="25" t="s">
        <v>7761</v>
      </c>
      <c r="W118" s="103">
        <v>10417098041</v>
      </c>
      <c r="X118" s="25" t="str">
        <f>IFERROR(VLOOKUP(C_Ope_008[[#This Row],[nota_2]],Clientes_Proveedores[[Ruc / Dni]:[Razon Social]],2,0),"")</f>
        <v xml:space="preserve">CHIPA PEÑA GREGORIO                                                                                 </v>
      </c>
      <c r="Y118" s="25"/>
      <c r="Z118" s="25"/>
      <c r="AA118" s="3" t="str">
        <f>IF(C_Ope_008[[#This Row],[fecha]]&gt;0,TEXT(C_Ope_008[[#This Row],[fecha]],"mmmm"),0)</f>
        <v>Setiembre</v>
      </c>
      <c r="AB118" s="49"/>
    </row>
    <row r="119" spans="1:28" ht="36" x14ac:dyDescent="0.3">
      <c r="A119" s="2">
        <f>IF(C_Ope_008[[#This Row],[tipo_r]]="R",COUNTIFS($C$1:$C118,"R")+1,"")</f>
        <v>118</v>
      </c>
      <c r="B119" s="19" t="str">
        <f t="shared" si="27"/>
        <v>C_Ope_008</v>
      </c>
      <c r="C119" s="3" t="s">
        <v>1330</v>
      </c>
      <c r="D119" s="14">
        <v>45903</v>
      </c>
      <c r="E119" s="5" t="s">
        <v>5380</v>
      </c>
      <c r="F119" s="5" t="s">
        <v>1336</v>
      </c>
      <c r="G119" s="6" t="s">
        <v>564</v>
      </c>
      <c r="H119" s="6" t="s">
        <v>68</v>
      </c>
      <c r="I119" s="6" t="s">
        <v>1386</v>
      </c>
      <c r="J119" s="6">
        <v>46486</v>
      </c>
      <c r="K119" s="7" t="s">
        <v>9177</v>
      </c>
      <c r="L119" s="8">
        <v>25362</v>
      </c>
      <c r="M119" s="8" t="str">
        <f t="shared" si="28"/>
        <v>PEN</v>
      </c>
      <c r="N119" s="13"/>
      <c r="O119" s="13">
        <v>10</v>
      </c>
      <c r="P119" s="3">
        <f t="shared" si="29"/>
        <v>0</v>
      </c>
      <c r="Q119" s="3">
        <f t="shared" si="30"/>
        <v>10</v>
      </c>
      <c r="R119" s="3">
        <f t="shared" si="20"/>
        <v>39.940000000000055</v>
      </c>
      <c r="S119" s="24" t="s">
        <v>1334</v>
      </c>
      <c r="T119" s="24"/>
      <c r="U119" s="3"/>
      <c r="V119" s="25" t="s">
        <v>7842</v>
      </c>
      <c r="W119" s="25">
        <v>20608545591</v>
      </c>
      <c r="X119" s="25" t="str">
        <f>IFERROR(VLOOKUP(C_Ope_008[[#This Row],[nota_2]],Clientes_Proveedores[[Ruc / Dni]:[Razon Social]],2,0),"")</f>
        <v>REPUESTOS ELIBEM IMPORTACIONES S.R.L.</v>
      </c>
      <c r="Y119" s="25"/>
      <c r="Z119" s="25"/>
      <c r="AA119" s="3" t="str">
        <f>IF(C_Ope_008[[#This Row],[fecha]]&gt;0,TEXT(C_Ope_008[[#This Row],[fecha]],"mmmm"),0)</f>
        <v>Setiembre</v>
      </c>
      <c r="AB119" s="49"/>
    </row>
    <row r="120" spans="1:28" ht="24" x14ac:dyDescent="0.3">
      <c r="A120" s="2">
        <f>IF(C_Ope_008[[#This Row],[tipo_r]]="R",COUNTIFS($C$1:$C119,"R")+1,"")</f>
        <v>119</v>
      </c>
      <c r="B120" s="19" t="str">
        <f t="shared" si="27"/>
        <v>C_Ope_008</v>
      </c>
      <c r="C120" s="3" t="s">
        <v>1330</v>
      </c>
      <c r="D120" s="14">
        <v>45904</v>
      </c>
      <c r="E120" s="5" t="s">
        <v>5380</v>
      </c>
      <c r="F120" s="5" t="s">
        <v>1336</v>
      </c>
      <c r="G120" s="6" t="s">
        <v>1216</v>
      </c>
      <c r="H120" s="6" t="s">
        <v>75</v>
      </c>
      <c r="I120" s="6">
        <v>1</v>
      </c>
      <c r="J120" s="6">
        <v>2610</v>
      </c>
      <c r="K120" s="7" t="s">
        <v>9178</v>
      </c>
      <c r="L120" s="8">
        <v>25383</v>
      </c>
      <c r="M120" s="8" t="str">
        <f t="shared" si="28"/>
        <v>PEN</v>
      </c>
      <c r="N120" s="13"/>
      <c r="O120" s="13">
        <v>20</v>
      </c>
      <c r="P120" s="3">
        <f t="shared" si="29"/>
        <v>0</v>
      </c>
      <c r="Q120" s="3">
        <f t="shared" si="30"/>
        <v>20</v>
      </c>
      <c r="R120" s="3">
        <f t="shared" si="20"/>
        <v>19.940000000000055</v>
      </c>
      <c r="S120" s="24" t="s">
        <v>1334</v>
      </c>
      <c r="T120" s="24"/>
      <c r="U120" s="3"/>
      <c r="V120" s="25" t="s">
        <v>7756</v>
      </c>
      <c r="W120" s="25">
        <v>10706873584</v>
      </c>
      <c r="X120" s="25" t="str">
        <f>IFERROR(VLOOKUP(C_Ope_008[[#This Row],[nota_2]],Clientes_Proveedores[[Ruc / Dni]:[Razon Social]],2,0),"")</f>
        <v>ANCCASI QUISPE ROSMERY</v>
      </c>
      <c r="Y120" s="25"/>
      <c r="Z120" s="25"/>
      <c r="AA120" s="3" t="str">
        <f>IF(C_Ope_008[[#This Row],[fecha]]&gt;0,TEXT(C_Ope_008[[#This Row],[fecha]],"mmmm"),0)</f>
        <v>Setiembre</v>
      </c>
      <c r="AB120" s="49"/>
    </row>
    <row r="121" spans="1:28" ht="36" x14ac:dyDescent="0.3">
      <c r="A121" s="2">
        <f>IF(C_Ope_008[[#This Row],[tipo_r]]="R",COUNTIFS($C$1:$C120,"R")+1,"")</f>
        <v>120</v>
      </c>
      <c r="B121" s="19" t="str">
        <f t="shared" si="27"/>
        <v>C_Ope_008</v>
      </c>
      <c r="C121" s="3" t="s">
        <v>1330</v>
      </c>
      <c r="D121" s="14">
        <v>45904</v>
      </c>
      <c r="E121" s="5" t="s">
        <v>5380</v>
      </c>
      <c r="F121" s="5" t="s">
        <v>1336</v>
      </c>
      <c r="G121" s="6" t="s">
        <v>564</v>
      </c>
      <c r="H121" s="6" t="s">
        <v>68</v>
      </c>
      <c r="I121" s="6" t="s">
        <v>1386</v>
      </c>
      <c r="J121" s="6">
        <v>46558</v>
      </c>
      <c r="K121" s="7" t="s">
        <v>9179</v>
      </c>
      <c r="L121" s="8">
        <v>25386</v>
      </c>
      <c r="M121" s="8" t="str">
        <f t="shared" si="28"/>
        <v>PEN</v>
      </c>
      <c r="N121" s="13"/>
      <c r="O121" s="13">
        <v>16</v>
      </c>
      <c r="P121" s="3">
        <f t="shared" si="29"/>
        <v>0</v>
      </c>
      <c r="Q121" s="3">
        <f t="shared" si="30"/>
        <v>16</v>
      </c>
      <c r="R121" s="3">
        <f t="shared" si="20"/>
        <v>3.9400000000000546</v>
      </c>
      <c r="S121" s="24" t="s">
        <v>1334</v>
      </c>
      <c r="T121" s="24"/>
      <c r="U121" s="3"/>
      <c r="V121" s="25" t="s">
        <v>7761</v>
      </c>
      <c r="W121" s="25">
        <v>20608545591</v>
      </c>
      <c r="X121" s="25" t="str">
        <f>IFERROR(VLOOKUP(C_Ope_008[[#This Row],[nota_2]],Clientes_Proveedores[[Ruc / Dni]:[Razon Social]],2,0),"")</f>
        <v>REPUESTOS ELIBEM IMPORTACIONES S.R.L.</v>
      </c>
      <c r="Y121" s="25"/>
      <c r="Z121" s="25"/>
      <c r="AA121" s="3" t="str">
        <f>IF(C_Ope_008[[#This Row],[fecha]]&gt;0,TEXT(C_Ope_008[[#This Row],[fecha]],"mmmm"),0)</f>
        <v>Setiembre</v>
      </c>
      <c r="AB121" s="49"/>
    </row>
    <row r="122" spans="1:28" ht="24" x14ac:dyDescent="0.3">
      <c r="A122" s="2">
        <f>IF(C_Ope_008[[#This Row],[tipo_r]]="R",COUNTIFS($C$1:$C121,"R")+1,"")</f>
        <v>121</v>
      </c>
      <c r="B122" s="19" t="str">
        <f t="shared" si="27"/>
        <v>C_Ope_008</v>
      </c>
      <c r="C122" s="3" t="s">
        <v>1330</v>
      </c>
      <c r="D122" s="14">
        <v>45910</v>
      </c>
      <c r="E122" s="5" t="s">
        <v>5380</v>
      </c>
      <c r="F122" s="5" t="s">
        <v>1336</v>
      </c>
      <c r="G122" s="6" t="s">
        <v>400</v>
      </c>
      <c r="H122" s="6" t="s">
        <v>68</v>
      </c>
      <c r="I122" s="6" t="s">
        <v>1374</v>
      </c>
      <c r="J122" s="6">
        <v>260791</v>
      </c>
      <c r="K122" s="7" t="s">
        <v>9180</v>
      </c>
      <c r="L122" s="8">
        <v>25442</v>
      </c>
      <c r="M122" s="8" t="str">
        <f t="shared" si="28"/>
        <v>PEN</v>
      </c>
      <c r="N122" s="13"/>
      <c r="O122" s="13">
        <v>73</v>
      </c>
      <c r="P122" s="3">
        <f t="shared" si="29"/>
        <v>0</v>
      </c>
      <c r="Q122" s="3">
        <f t="shared" si="30"/>
        <v>73</v>
      </c>
      <c r="R122" s="3">
        <f t="shared" si="20"/>
        <v>-69.059999999999945</v>
      </c>
      <c r="S122" s="24" t="s">
        <v>1334</v>
      </c>
      <c r="T122" s="24"/>
      <c r="U122" s="3"/>
      <c r="V122" s="25" t="s">
        <v>8200</v>
      </c>
      <c r="W122" s="25">
        <v>20546153372</v>
      </c>
      <c r="X122" s="25" t="str">
        <f>IFERROR(VLOOKUP(C_Ope_008[[#This Row],[nota_2]],Clientes_Proveedores[[Ruc / Dni]:[Razon Social]],2,0),"")</f>
        <v>GLOBAL PERLA´S CAR S.A.C.</v>
      </c>
      <c r="Y122" s="25"/>
      <c r="Z122" s="25"/>
      <c r="AA122" s="3" t="str">
        <f>IF(C_Ope_008[[#This Row],[fecha]]&gt;0,TEXT(C_Ope_008[[#This Row],[fecha]],"mmmm"),0)</f>
        <v>Setiembre</v>
      </c>
      <c r="AB122" s="49"/>
    </row>
    <row r="123" spans="1:28" ht="24" x14ac:dyDescent="0.3">
      <c r="A123" s="2">
        <f>IF(C_Ope_008[[#This Row],[tipo_r]]="R",COUNTIFS($C$1:$C122,"R")+1,"")</f>
        <v>122</v>
      </c>
      <c r="B123" s="19" t="str">
        <f t="shared" si="27"/>
        <v>C_Ope_008</v>
      </c>
      <c r="C123" s="3" t="s">
        <v>1330</v>
      </c>
      <c r="D123" s="14">
        <v>45916</v>
      </c>
      <c r="E123" s="5" t="s">
        <v>5380</v>
      </c>
      <c r="F123" s="5" t="s">
        <v>1336</v>
      </c>
      <c r="G123" s="6" t="s">
        <v>1217</v>
      </c>
      <c r="H123" s="6" t="s">
        <v>68</v>
      </c>
      <c r="I123" s="6" t="s">
        <v>9181</v>
      </c>
      <c r="J123" s="6">
        <v>3243</v>
      </c>
      <c r="K123" s="7" t="s">
        <v>9172</v>
      </c>
      <c r="L123" s="8">
        <v>25467</v>
      </c>
      <c r="M123" s="8" t="str">
        <f t="shared" si="28"/>
        <v>PEN</v>
      </c>
      <c r="N123" s="13"/>
      <c r="O123" s="13">
        <v>52.71</v>
      </c>
      <c r="P123" s="3">
        <f t="shared" si="29"/>
        <v>0</v>
      </c>
      <c r="Q123" s="3">
        <f t="shared" si="30"/>
        <v>52.71</v>
      </c>
      <c r="R123" s="3">
        <f t="shared" si="20"/>
        <v>-121.76999999999995</v>
      </c>
      <c r="S123" s="24" t="s">
        <v>1334</v>
      </c>
      <c r="T123" s="24"/>
      <c r="U123" s="3"/>
      <c r="V123" s="25" t="s">
        <v>8277</v>
      </c>
      <c r="W123" s="25">
        <v>20613689215</v>
      </c>
      <c r="X123" s="25" t="str">
        <f>IFERROR(VLOOKUP(C_Ope_008[[#This Row],[nota_2]],Clientes_Proveedores[[Ruc / Dni]:[Razon Social]],2,0),"")</f>
        <v>ALLE ESTACIONES S.A.C.</v>
      </c>
      <c r="Y123" s="25"/>
      <c r="Z123" s="25"/>
      <c r="AA123" s="3" t="str">
        <f>IF(C_Ope_008[[#This Row],[fecha]]&gt;0,TEXT(C_Ope_008[[#This Row],[fecha]],"mmmm"),0)</f>
        <v>Setiembre</v>
      </c>
      <c r="AB123" s="49"/>
    </row>
    <row r="124" spans="1:28" ht="24" x14ac:dyDescent="0.3">
      <c r="A124" s="2">
        <f>IF(C_Ope_008[[#This Row],[tipo_r]]="R",COUNTIFS($C$1:$C123,"R")+1,"")</f>
        <v>123</v>
      </c>
      <c r="B124" s="19" t="str">
        <f t="shared" si="27"/>
        <v>C_Ope_008</v>
      </c>
      <c r="C124" s="3" t="s">
        <v>1330</v>
      </c>
      <c r="D124" s="14">
        <v>45917</v>
      </c>
      <c r="E124" s="5" t="s">
        <v>5380</v>
      </c>
      <c r="F124" s="5" t="s">
        <v>1336</v>
      </c>
      <c r="G124" s="6" t="s">
        <v>1215</v>
      </c>
      <c r="H124" s="6" t="s">
        <v>75</v>
      </c>
      <c r="I124" s="6">
        <v>1</v>
      </c>
      <c r="J124" s="6">
        <v>11946</v>
      </c>
      <c r="K124" s="7" t="s">
        <v>9085</v>
      </c>
      <c r="L124" s="8">
        <v>25494</v>
      </c>
      <c r="M124" s="8" t="str">
        <f t="shared" si="28"/>
        <v>PEN</v>
      </c>
      <c r="N124" s="13"/>
      <c r="O124" s="13">
        <v>30</v>
      </c>
      <c r="P124" s="3">
        <f t="shared" si="29"/>
        <v>0</v>
      </c>
      <c r="Q124" s="3">
        <f t="shared" si="30"/>
        <v>30</v>
      </c>
      <c r="R124" s="3">
        <f t="shared" si="20"/>
        <v>-151.76999999999995</v>
      </c>
      <c r="S124" s="24" t="s">
        <v>1334</v>
      </c>
      <c r="T124" s="24"/>
      <c r="U124" s="3"/>
      <c r="V124" s="25" t="s">
        <v>8277</v>
      </c>
      <c r="W124" s="25">
        <v>10414841371</v>
      </c>
      <c r="X124" s="25" t="str">
        <f>IFERROR(VLOOKUP(C_Ope_008[[#This Row],[nota_2]],Clientes_Proveedores[[Ruc / Dni]:[Razon Social]],2,0),"")</f>
        <v>AYALA SARMIENTO ANA LUISA</v>
      </c>
      <c r="Y124" s="25"/>
      <c r="Z124" s="25"/>
      <c r="AA124" s="3" t="str">
        <f>IF(C_Ope_008[[#This Row],[fecha]]&gt;0,TEXT(C_Ope_008[[#This Row],[fecha]],"mmmm"),0)</f>
        <v>Setiembre</v>
      </c>
      <c r="AB124" s="49"/>
    </row>
    <row r="125" spans="1:28" ht="24" x14ac:dyDescent="0.3">
      <c r="A125" s="2">
        <f>IF(C_Ope_008[[#This Row],[tipo_r]]="R",COUNTIFS($C$1:$C124,"R")+1,"")</f>
        <v>124</v>
      </c>
      <c r="B125" s="19" t="str">
        <f t="shared" si="27"/>
        <v>C_Ope_008</v>
      </c>
      <c r="C125" s="3" t="s">
        <v>1330</v>
      </c>
      <c r="D125" s="14">
        <v>45917</v>
      </c>
      <c r="E125" s="5" t="s">
        <v>5380</v>
      </c>
      <c r="F125" s="5" t="s">
        <v>1336</v>
      </c>
      <c r="G125" s="6" t="s">
        <v>1218</v>
      </c>
      <c r="H125" s="6" t="s">
        <v>68</v>
      </c>
      <c r="I125" s="6" t="s">
        <v>9182</v>
      </c>
      <c r="J125" s="6">
        <v>41845</v>
      </c>
      <c r="K125" s="7" t="s">
        <v>9172</v>
      </c>
      <c r="L125" s="8">
        <v>25497</v>
      </c>
      <c r="M125" s="8" t="str">
        <f t="shared" si="28"/>
        <v>PEN</v>
      </c>
      <c r="N125" s="13"/>
      <c r="O125" s="13">
        <v>5.99</v>
      </c>
      <c r="P125" s="3">
        <f t="shared" si="29"/>
        <v>0</v>
      </c>
      <c r="Q125" s="3">
        <f t="shared" si="30"/>
        <v>5.99</v>
      </c>
      <c r="R125" s="3">
        <f t="shared" si="20"/>
        <v>-157.75999999999996</v>
      </c>
      <c r="S125" s="24" t="s">
        <v>1334</v>
      </c>
      <c r="T125" s="24"/>
      <c r="U125" s="3"/>
      <c r="V125" s="25" t="s">
        <v>7756</v>
      </c>
      <c r="W125" s="25">
        <v>20100075858</v>
      </c>
      <c r="X125" s="25" t="str">
        <f>IFERROR(VLOOKUP(C_Ope_008[[#This Row],[nota_2]],Clientes_Proveedores[[Ruc / Dni]:[Razon Social]],2,0),"")</f>
        <v>GRIFO SAN IGNACIO S.A.C.</v>
      </c>
      <c r="Y125" s="25"/>
      <c r="Z125" s="25"/>
      <c r="AA125" s="3" t="str">
        <f>IF(C_Ope_008[[#This Row],[fecha]]&gt;0,TEXT(C_Ope_008[[#This Row],[fecha]],"mmmm"),0)</f>
        <v>Setiembre</v>
      </c>
      <c r="AB125" s="49"/>
    </row>
    <row r="126" spans="1:28" ht="24" x14ac:dyDescent="0.3">
      <c r="A126" s="2">
        <f>IF(C_Ope_008[[#This Row],[tipo_r]]="R",COUNTIFS($C$1:$C125,"R")+1,"")</f>
        <v>125</v>
      </c>
      <c r="B126" s="19" t="str">
        <f t="shared" si="27"/>
        <v>C_Ope_008</v>
      </c>
      <c r="C126" s="3" t="s">
        <v>1330</v>
      </c>
      <c r="D126" s="14">
        <v>45917</v>
      </c>
      <c r="E126" s="5" t="s">
        <v>5380</v>
      </c>
      <c r="F126" s="5" t="s">
        <v>1336</v>
      </c>
      <c r="G126" s="6" t="s">
        <v>1219</v>
      </c>
      <c r="H126" s="6" t="s">
        <v>75</v>
      </c>
      <c r="I126" s="6">
        <v>1</v>
      </c>
      <c r="J126" s="6">
        <v>10</v>
      </c>
      <c r="K126" s="7" t="s">
        <v>9183</v>
      </c>
      <c r="L126" s="8">
        <v>25499</v>
      </c>
      <c r="M126" s="8" t="str">
        <f t="shared" si="28"/>
        <v>PEN</v>
      </c>
      <c r="N126" s="13"/>
      <c r="O126" s="13">
        <v>30</v>
      </c>
      <c r="P126" s="3">
        <f t="shared" si="29"/>
        <v>0</v>
      </c>
      <c r="Q126" s="3">
        <f t="shared" si="30"/>
        <v>30</v>
      </c>
      <c r="R126" s="3">
        <f t="shared" si="20"/>
        <v>-187.75999999999996</v>
      </c>
      <c r="S126" s="24" t="s">
        <v>1334</v>
      </c>
      <c r="T126" s="24"/>
      <c r="U126" s="3"/>
      <c r="V126" s="25" t="s">
        <v>8277</v>
      </c>
      <c r="W126" s="25">
        <v>15614030931</v>
      </c>
      <c r="X126" s="25" t="str">
        <f>IFERROR(VLOOKUP(C_Ope_008[[#This Row],[nota_2]],Clientes_Proveedores[[Ruc / Dni]:[Razon Social]],2,0),"")</f>
        <v>URIBE INFANTE ANTONIO JOSE</v>
      </c>
      <c r="Y126" s="25"/>
      <c r="Z126" s="25"/>
      <c r="AA126" s="3" t="str">
        <f>IF(C_Ope_008[[#This Row],[fecha]]&gt;0,TEXT(C_Ope_008[[#This Row],[fecha]],"mmmm"),0)</f>
        <v>Setiembre</v>
      </c>
      <c r="AB126" s="49"/>
    </row>
    <row r="127" spans="1:28" ht="24" x14ac:dyDescent="0.3">
      <c r="A127" s="2">
        <f>IF(C_Ope_008[[#This Row],[tipo_r]]="R",COUNTIFS($C$1:$C126,"R")+1,"")</f>
        <v>126</v>
      </c>
      <c r="B127" s="19" t="str">
        <f t="shared" si="27"/>
        <v>C_Ope_008</v>
      </c>
      <c r="C127" s="3" t="s">
        <v>1330</v>
      </c>
      <c r="D127" s="14">
        <v>45917</v>
      </c>
      <c r="E127" s="5" t="s">
        <v>5380</v>
      </c>
      <c r="F127" s="5" t="s">
        <v>1336</v>
      </c>
      <c r="G127" s="6" t="s">
        <v>735</v>
      </c>
      <c r="H127" s="6" t="s">
        <v>68</v>
      </c>
      <c r="I127" s="6" t="s">
        <v>3078</v>
      </c>
      <c r="J127" s="6">
        <v>43317</v>
      </c>
      <c r="K127" s="7" t="s">
        <v>9184</v>
      </c>
      <c r="L127" s="8">
        <v>25500</v>
      </c>
      <c r="M127" s="8" t="str">
        <f t="shared" si="28"/>
        <v>PEN</v>
      </c>
      <c r="N127" s="13"/>
      <c r="O127" s="13">
        <v>45</v>
      </c>
      <c r="P127" s="3">
        <f t="shared" si="29"/>
        <v>0</v>
      </c>
      <c r="Q127" s="3">
        <f t="shared" si="30"/>
        <v>45</v>
      </c>
      <c r="R127" s="3">
        <f t="shared" si="20"/>
        <v>-232.75999999999996</v>
      </c>
      <c r="S127" s="24" t="s">
        <v>1334</v>
      </c>
      <c r="T127" s="24"/>
      <c r="U127" s="3"/>
      <c r="V127" s="25" t="s">
        <v>8277</v>
      </c>
      <c r="W127" s="25">
        <v>20514148539</v>
      </c>
      <c r="X127" s="25" t="str">
        <f>IFERROR(VLOOKUP(C_Ope_008[[#This Row],[nota_2]],Clientes_Proveedores[[Ruc / Dni]:[Razon Social]],2,0),"")</f>
        <v>NEGOCIACIONES ABBYCORP E.I.R.L.</v>
      </c>
      <c r="Y127" s="25"/>
      <c r="Z127" s="25"/>
      <c r="AA127" s="3" t="str">
        <f>IF(C_Ope_008[[#This Row],[fecha]]&gt;0,TEXT(C_Ope_008[[#This Row],[fecha]],"mmmm"),0)</f>
        <v>Setiembre</v>
      </c>
      <c r="AB127" s="49"/>
    </row>
    <row r="128" spans="1:28" ht="36" x14ac:dyDescent="0.3">
      <c r="A128" s="2">
        <f>IF(C_Ope_008[[#This Row],[tipo_r]]="R",COUNTIFS($C$1:$C127,"R")+1,"")</f>
        <v>127</v>
      </c>
      <c r="B128" s="19" t="str">
        <f t="shared" si="27"/>
        <v>C_Ope_008</v>
      </c>
      <c r="C128" s="3" t="s">
        <v>1330</v>
      </c>
      <c r="D128" s="14">
        <v>45925</v>
      </c>
      <c r="E128" s="5" t="s">
        <v>5380</v>
      </c>
      <c r="F128" s="5" t="s">
        <v>1336</v>
      </c>
      <c r="G128" s="6" t="s">
        <v>564</v>
      </c>
      <c r="H128" s="6" t="s">
        <v>68</v>
      </c>
      <c r="I128" s="6" t="s">
        <v>1386</v>
      </c>
      <c r="J128" s="6">
        <v>47427</v>
      </c>
      <c r="K128" s="7" t="s">
        <v>9185</v>
      </c>
      <c r="L128" s="8">
        <v>25586</v>
      </c>
      <c r="M128" s="8" t="str">
        <f t="shared" si="28"/>
        <v>PEN</v>
      </c>
      <c r="N128" s="13"/>
      <c r="O128" s="13">
        <v>50</v>
      </c>
      <c r="P128" s="3">
        <f t="shared" si="29"/>
        <v>0</v>
      </c>
      <c r="Q128" s="3">
        <f t="shared" si="30"/>
        <v>50</v>
      </c>
      <c r="R128" s="3">
        <f t="shared" si="20"/>
        <v>-282.76</v>
      </c>
      <c r="S128" s="24" t="s">
        <v>1334</v>
      </c>
      <c r="T128" s="24"/>
      <c r="U128" s="3"/>
      <c r="V128" s="25" t="s">
        <v>7756</v>
      </c>
      <c r="W128" s="25">
        <v>20608545591</v>
      </c>
      <c r="X128" s="25" t="str">
        <f>IFERROR(VLOOKUP(C_Ope_008[[#This Row],[nota_2]],Clientes_Proveedores[[Ruc / Dni]:[Razon Social]],2,0),"")</f>
        <v>REPUESTOS ELIBEM IMPORTACIONES S.R.L.</v>
      </c>
      <c r="Y128" s="25"/>
      <c r="Z128" s="25"/>
      <c r="AA128" s="3" t="str">
        <f>IF(C_Ope_008[[#This Row],[fecha]]&gt;0,TEXT(C_Ope_008[[#This Row],[fecha]],"mmmm"),0)</f>
        <v>Setiembre</v>
      </c>
      <c r="AB128" s="49"/>
    </row>
    <row r="129" spans="1:28" ht="24" x14ac:dyDescent="0.3">
      <c r="A129" s="2">
        <f>IF(C_Ope_008[[#This Row],[tipo_r]]="R",COUNTIFS($C$1:$C128,"R")+1,"")</f>
        <v>128</v>
      </c>
      <c r="B129" s="19" t="str">
        <f t="shared" si="27"/>
        <v>C_Ope_008</v>
      </c>
      <c r="C129" s="3" t="s">
        <v>1330</v>
      </c>
      <c r="D129" s="14">
        <v>45926</v>
      </c>
      <c r="E129" s="5" t="s">
        <v>5380</v>
      </c>
      <c r="F129" s="5" t="s">
        <v>1336</v>
      </c>
      <c r="G129" s="6" t="s">
        <v>1220</v>
      </c>
      <c r="H129" s="6" t="s">
        <v>75</v>
      </c>
      <c r="I129" s="6">
        <v>1</v>
      </c>
      <c r="J129" s="6">
        <v>448</v>
      </c>
      <c r="K129" s="7" t="s">
        <v>9186</v>
      </c>
      <c r="L129" s="8">
        <v>25599</v>
      </c>
      <c r="M129" s="8" t="str">
        <f t="shared" si="28"/>
        <v>PEN</v>
      </c>
      <c r="N129" s="13"/>
      <c r="O129" s="13">
        <v>31</v>
      </c>
      <c r="P129" s="3">
        <f t="shared" si="29"/>
        <v>0</v>
      </c>
      <c r="Q129" s="3">
        <f t="shared" si="30"/>
        <v>31</v>
      </c>
      <c r="R129" s="3">
        <f t="shared" si="20"/>
        <v>-313.76</v>
      </c>
      <c r="S129" s="24" t="s">
        <v>1334</v>
      </c>
      <c r="T129" s="24"/>
      <c r="U129" s="3"/>
      <c r="V129" s="25" t="s">
        <v>7842</v>
      </c>
      <c r="W129" s="25">
        <v>10600593663</v>
      </c>
      <c r="X129" s="25" t="str">
        <f>IFERROR(VLOOKUP(C_Ope_008[[#This Row],[nota_2]],Clientes_Proveedores[[Ruc / Dni]:[Razon Social]],2,0),"")</f>
        <v>DIAZ SUCASAIRE GEANELLA</v>
      </c>
      <c r="Y129" s="25"/>
      <c r="Z129" s="25"/>
      <c r="AA129" s="3" t="str">
        <f>IF(C_Ope_008[[#This Row],[fecha]]&gt;0,TEXT(C_Ope_008[[#This Row],[fecha]],"mmmm"),0)</f>
        <v>Setiembre</v>
      </c>
      <c r="AB129" s="49"/>
    </row>
    <row r="130" spans="1:28" ht="24" x14ac:dyDescent="0.3">
      <c r="A130" s="2">
        <f>IF(C_Ope_008[[#This Row],[tipo_r]]="R",COUNTIFS($C$1:$C129,"R")+1,"")</f>
        <v>129</v>
      </c>
      <c r="B130" s="19" t="str">
        <f t="shared" ref="B130:B155" si="31">"C_Ope_008"</f>
        <v>C_Ope_008</v>
      </c>
      <c r="C130" s="13" t="s">
        <v>1330</v>
      </c>
      <c r="D130" s="14">
        <v>45929</v>
      </c>
      <c r="E130" s="5" t="s">
        <v>5380</v>
      </c>
      <c r="F130" s="5" t="s">
        <v>1336</v>
      </c>
      <c r="G130" s="6" t="s">
        <v>1243</v>
      </c>
      <c r="H130" s="6" t="s">
        <v>68</v>
      </c>
      <c r="I130" s="6" t="s">
        <v>3302</v>
      </c>
      <c r="J130" s="6">
        <v>3002</v>
      </c>
      <c r="K130" s="7" t="s">
        <v>9187</v>
      </c>
      <c r="L130" s="8">
        <v>25629</v>
      </c>
      <c r="M130" s="8" t="str">
        <f t="shared" ref="M130:M155" si="32">"PEN"</f>
        <v>PEN</v>
      </c>
      <c r="N130" s="13"/>
      <c r="O130" s="13">
        <v>62</v>
      </c>
      <c r="P130" s="3">
        <f t="shared" ref="P130:P155" si="33">+IF(OR($F130="SALDO",$F130="INGRESO"),$O130,0)</f>
        <v>0</v>
      </c>
      <c r="Q130" s="3">
        <f t="shared" ref="Q130:Q155" si="34">+IF($F130="EGRESO",$O130,0)</f>
        <v>62</v>
      </c>
      <c r="R130" s="3">
        <f>IFERROR(IF(F130="SALDO",P130,R129+P130-Q130),0)</f>
        <v>-375.76</v>
      </c>
      <c r="S130" s="24" t="s">
        <v>1334</v>
      </c>
      <c r="T130" s="24"/>
      <c r="U130" s="3"/>
      <c r="V130" s="25" t="s">
        <v>8277</v>
      </c>
      <c r="W130" s="25">
        <v>20600384423</v>
      </c>
      <c r="X130" s="25" t="str">
        <f>IFERROR(VLOOKUP(C_Ope_008[[#This Row],[nota_2]],Clientes_Proveedores[[Ruc / Dni]:[Razon Social]],2,0),"")</f>
        <v>MULTI SERVICE AMERICA S.A.C.</v>
      </c>
      <c r="Y130" s="25"/>
      <c r="Z130" s="25"/>
      <c r="AA130" s="3" t="str">
        <f>IF(C_Ope_008[[#This Row],[fecha]]&gt;0,TEXT(C_Ope_008[[#This Row],[fecha]],"mmmm"),0)</f>
        <v>Setiembre</v>
      </c>
      <c r="AB130" s="49"/>
    </row>
    <row r="131" spans="1:28" x14ac:dyDescent="0.3">
      <c r="A131" s="2">
        <f>IF(C_Ope_008[[#This Row],[tipo_r]]="R",COUNTIFS($C$1:$C130,"R")+1,"")</f>
        <v>130</v>
      </c>
      <c r="B131" s="19" t="str">
        <f>"C_Ope_008"</f>
        <v>C_Ope_008</v>
      </c>
      <c r="C131" s="3" t="s">
        <v>1330</v>
      </c>
      <c r="D131" s="14">
        <v>45930</v>
      </c>
      <c r="E131" s="5" t="s">
        <v>3634</v>
      </c>
      <c r="F131" s="5" t="s">
        <v>1303</v>
      </c>
      <c r="G131" s="6"/>
      <c r="H131" s="6"/>
      <c r="I131" s="6"/>
      <c r="J131" s="6"/>
      <c r="K131" s="7" t="s">
        <v>7746</v>
      </c>
      <c r="L131" s="8"/>
      <c r="M131" s="8" t="str">
        <f>"PEN"</f>
        <v>PEN</v>
      </c>
      <c r="N131" s="13"/>
      <c r="O131" s="13">
        <v>600</v>
      </c>
      <c r="P131" s="3">
        <f>+IF(OR($F131="SALDO",$F131="INGRESO"),$O131,0)</f>
        <v>600</v>
      </c>
      <c r="Q131" s="3">
        <f>+IF($F131="EGRESO",$O131,0)</f>
        <v>0</v>
      </c>
      <c r="R131" s="3">
        <f t="shared" ref="R131:R155" si="35">IFERROR(IF(F131="SALDO",P131,R130+P131-Q131),0)</f>
        <v>224.24</v>
      </c>
      <c r="S131" s="24"/>
      <c r="T131" s="24"/>
      <c r="U131" s="3"/>
      <c r="V131" s="25"/>
      <c r="W131" s="25"/>
      <c r="X131" s="25" t="str">
        <f>IFERROR(VLOOKUP(C_Ope_008[[#This Row],[nota_2]],Clientes_Proveedores[[Ruc / Dni]:[Razon Social]],2,0),"")</f>
        <v/>
      </c>
      <c r="Y131" s="25"/>
      <c r="Z131" s="25">
        <f>ROUND(C_Ope_008[[#This Row],[monto]]/1.18,3)</f>
        <v>508.47500000000002</v>
      </c>
      <c r="AA131" s="3" t="str">
        <f>IF(C_Ope_008[[#This Row],[fecha]]&gt;0,TEXT(C_Ope_008[[#This Row],[fecha]],"mmmm"),0)</f>
        <v>Setiembre</v>
      </c>
      <c r="AB131" s="49"/>
    </row>
    <row r="132" spans="1:28" ht="24" x14ac:dyDescent="0.3">
      <c r="A132" s="2">
        <f>IF(C_Ope_008[[#This Row],[tipo_r]]="R",COUNTIFS($C$1:$C131,"R")+1,"")</f>
        <v>131</v>
      </c>
      <c r="B132" s="19" t="str">
        <f t="shared" si="31"/>
        <v>C_Ope_008</v>
      </c>
      <c r="C132" s="13" t="s">
        <v>1330</v>
      </c>
      <c r="D132" s="14">
        <v>45930</v>
      </c>
      <c r="E132" s="5" t="s">
        <v>5380</v>
      </c>
      <c r="F132" s="5" t="s">
        <v>1336</v>
      </c>
      <c r="G132" s="6" t="s">
        <v>1219</v>
      </c>
      <c r="H132" s="6" t="s">
        <v>75</v>
      </c>
      <c r="I132" s="6">
        <v>1</v>
      </c>
      <c r="J132" s="6">
        <v>13</v>
      </c>
      <c r="K132" s="7" t="s">
        <v>9188</v>
      </c>
      <c r="L132" s="8">
        <v>25630</v>
      </c>
      <c r="M132" s="8" t="str">
        <f t="shared" si="32"/>
        <v>PEN</v>
      </c>
      <c r="N132" s="13"/>
      <c r="O132" s="13">
        <v>80</v>
      </c>
      <c r="P132" s="3">
        <f t="shared" si="33"/>
        <v>0</v>
      </c>
      <c r="Q132" s="3">
        <f t="shared" si="34"/>
        <v>80</v>
      </c>
      <c r="R132" s="3">
        <f t="shared" si="35"/>
        <v>144.24</v>
      </c>
      <c r="S132" s="24" t="s">
        <v>1334</v>
      </c>
      <c r="T132" s="24"/>
      <c r="U132" s="3"/>
      <c r="V132" s="25" t="s">
        <v>8277</v>
      </c>
      <c r="W132" s="25">
        <v>15614030931</v>
      </c>
      <c r="X132" s="25" t="str">
        <f>IFERROR(VLOOKUP(C_Ope_008[[#This Row],[nota_2]],Clientes_Proveedores[[Ruc / Dni]:[Razon Social]],2,0),"")</f>
        <v>URIBE INFANTE ANTONIO JOSE</v>
      </c>
      <c r="Y132" s="25"/>
      <c r="Z132" s="25"/>
      <c r="AA132" s="3" t="str">
        <f>IF(C_Ope_008[[#This Row],[fecha]]&gt;0,TEXT(C_Ope_008[[#This Row],[fecha]],"mmmm"),0)</f>
        <v>Setiembre</v>
      </c>
      <c r="AB132" s="49"/>
    </row>
    <row r="133" spans="1:28" ht="24" x14ac:dyDescent="0.3">
      <c r="A133" s="2">
        <f>IF(C_Ope_008[[#This Row],[tipo_r]]="R",COUNTIFS($C$1:$C132,"R")+1,"")</f>
        <v>132</v>
      </c>
      <c r="B133" s="19" t="str">
        <f t="shared" si="31"/>
        <v>C_Ope_008</v>
      </c>
      <c r="C133" s="13" t="s">
        <v>1330</v>
      </c>
      <c r="D133" s="14">
        <v>45931</v>
      </c>
      <c r="E133" s="5" t="s">
        <v>5380</v>
      </c>
      <c r="F133" s="5" t="s">
        <v>1336</v>
      </c>
      <c r="G133" s="6" t="s">
        <v>1296</v>
      </c>
      <c r="H133" s="6" t="s">
        <v>68</v>
      </c>
      <c r="I133" s="6" t="s">
        <v>1376</v>
      </c>
      <c r="J133" s="6">
        <v>10443</v>
      </c>
      <c r="K133" s="7" t="s">
        <v>9189</v>
      </c>
      <c r="L133" s="8">
        <v>25674</v>
      </c>
      <c r="M133" s="8" t="str">
        <f t="shared" si="32"/>
        <v>PEN</v>
      </c>
      <c r="N133" s="13"/>
      <c r="O133" s="13">
        <v>18</v>
      </c>
      <c r="P133" s="3">
        <f t="shared" si="33"/>
        <v>0</v>
      </c>
      <c r="Q133" s="3">
        <f t="shared" si="34"/>
        <v>18</v>
      </c>
      <c r="R133" s="3">
        <f t="shared" si="35"/>
        <v>126.24000000000001</v>
      </c>
      <c r="S133" s="24" t="s">
        <v>1334</v>
      </c>
      <c r="T133" s="24"/>
      <c r="U133" s="3"/>
      <c r="V133" s="25" t="s">
        <v>8006</v>
      </c>
      <c r="W133" s="25">
        <v>20603351500</v>
      </c>
      <c r="X133" s="25" t="str">
        <f>IFERROR(VLOOKUP(C_Ope_008[[#This Row],[nota_2]],Clientes_Proveedores[[Ruc / Dni]:[Razon Social]],2,0),"")</f>
        <v>M &amp; E CUSQUEÑO E.I.R.L.</v>
      </c>
      <c r="Y133" s="25"/>
      <c r="Z133" s="25"/>
      <c r="AA133" s="3" t="str">
        <f>IF(C_Ope_008[[#This Row],[fecha]]&gt;0,TEXT(C_Ope_008[[#This Row],[fecha]],"mmmm"),0)</f>
        <v>Octubre</v>
      </c>
      <c r="AB133" s="49"/>
    </row>
    <row r="134" spans="1:28" ht="24" x14ac:dyDescent="0.3">
      <c r="A134" s="2">
        <f>IF(C_Ope_008[[#This Row],[tipo_r]]="R",COUNTIFS($C$1:$C133,"R")+1,"")</f>
        <v>133</v>
      </c>
      <c r="B134" s="19" t="str">
        <f t="shared" si="31"/>
        <v>C_Ope_008</v>
      </c>
      <c r="C134" s="13" t="s">
        <v>1330</v>
      </c>
      <c r="D134" s="14">
        <v>45931</v>
      </c>
      <c r="E134" s="5" t="s">
        <v>5380</v>
      </c>
      <c r="F134" s="5" t="s">
        <v>1336</v>
      </c>
      <c r="G134" s="6" t="s">
        <v>1297</v>
      </c>
      <c r="H134" s="6" t="s">
        <v>68</v>
      </c>
      <c r="I134" s="6" t="s">
        <v>1386</v>
      </c>
      <c r="J134" s="6">
        <v>2547</v>
      </c>
      <c r="K134" s="7" t="s">
        <v>9190</v>
      </c>
      <c r="L134" s="8">
        <v>25675</v>
      </c>
      <c r="M134" s="8" t="str">
        <f t="shared" si="32"/>
        <v>PEN</v>
      </c>
      <c r="N134" s="13"/>
      <c r="O134" s="13">
        <v>12</v>
      </c>
      <c r="P134" s="3">
        <f t="shared" si="33"/>
        <v>0</v>
      </c>
      <c r="Q134" s="3">
        <f t="shared" si="34"/>
        <v>12</v>
      </c>
      <c r="R134" s="3">
        <f t="shared" si="35"/>
        <v>114.24000000000001</v>
      </c>
      <c r="S134" s="24" t="s">
        <v>1334</v>
      </c>
      <c r="T134" s="24"/>
      <c r="U134" s="3"/>
      <c r="V134" s="25" t="s">
        <v>8006</v>
      </c>
      <c r="W134" s="25">
        <v>20601657814</v>
      </c>
      <c r="X134" s="25" t="str">
        <f>IFERROR(VLOOKUP(C_Ope_008[[#This Row],[nota_2]],Clientes_Proveedores[[Ruc / Dni]:[Razon Social]],2,0),"")</f>
        <v>MULTISERVICIOS GRAN PODER E.I.R.L.</v>
      </c>
      <c r="Y134" s="25"/>
      <c r="Z134" s="25"/>
      <c r="AA134" s="3" t="str">
        <f>IF(C_Ope_008[[#This Row],[fecha]]&gt;0,TEXT(C_Ope_008[[#This Row],[fecha]],"mmmm"),0)</f>
        <v>Octubre</v>
      </c>
      <c r="AB134" s="49"/>
    </row>
    <row r="135" spans="1:28" ht="24" x14ac:dyDescent="0.3">
      <c r="A135" s="2">
        <f>IF(C_Ope_008[[#This Row],[tipo_r]]="R",COUNTIFS($C$1:$C134,"R")+1,"")</f>
        <v>134</v>
      </c>
      <c r="B135" s="19" t="str">
        <f t="shared" si="31"/>
        <v>C_Ope_008</v>
      </c>
      <c r="C135" s="13" t="s">
        <v>1330</v>
      </c>
      <c r="D135" s="14">
        <v>45931</v>
      </c>
      <c r="E135" s="5" t="s">
        <v>5380</v>
      </c>
      <c r="F135" s="5" t="s">
        <v>1336</v>
      </c>
      <c r="G135" s="6" t="s">
        <v>493</v>
      </c>
      <c r="H135" s="6" t="s">
        <v>68</v>
      </c>
      <c r="I135" s="6" t="s">
        <v>1841</v>
      </c>
      <c r="J135" s="6">
        <v>1847</v>
      </c>
      <c r="K135" s="7" t="s">
        <v>9191</v>
      </c>
      <c r="L135" s="8">
        <v>25677</v>
      </c>
      <c r="M135" s="8" t="str">
        <f t="shared" si="32"/>
        <v>PEN</v>
      </c>
      <c r="N135" s="13"/>
      <c r="O135" s="13">
        <v>100.11</v>
      </c>
      <c r="P135" s="3">
        <f t="shared" si="33"/>
        <v>0</v>
      </c>
      <c r="Q135" s="3">
        <f t="shared" si="34"/>
        <v>100.11</v>
      </c>
      <c r="R135" s="3">
        <f t="shared" si="35"/>
        <v>14.13000000000001</v>
      </c>
      <c r="S135" s="24" t="s">
        <v>1334</v>
      </c>
      <c r="T135" s="24"/>
      <c r="U135" s="3"/>
      <c r="V135" s="25" t="s">
        <v>7756</v>
      </c>
      <c r="W135" s="25">
        <v>20602751326</v>
      </c>
      <c r="X135" s="25" t="str">
        <f>IFERROR(VLOOKUP(C_Ope_008[[#This Row],[nota_2]],Clientes_Proveedores[[Ruc / Dni]:[Razon Social]],2,0),"")</f>
        <v>KIKAI &amp; SABISU S.A.C.</v>
      </c>
      <c r="Y135" s="25"/>
      <c r="Z135" s="25"/>
      <c r="AA135" s="3" t="str">
        <f>IF(C_Ope_008[[#This Row],[fecha]]&gt;0,TEXT(C_Ope_008[[#This Row],[fecha]],"mmmm"),0)</f>
        <v>Octubre</v>
      </c>
      <c r="AB135" s="49"/>
    </row>
    <row r="136" spans="1:28" ht="24" x14ac:dyDescent="0.3">
      <c r="A136" s="2">
        <f>IF(C_Ope_008[[#This Row],[tipo_r]]="R",COUNTIFS($C$1:$C135,"R")+1,"")</f>
        <v>135</v>
      </c>
      <c r="B136" s="19" t="str">
        <f t="shared" si="31"/>
        <v>C_Ope_008</v>
      </c>
      <c r="C136" s="13" t="s">
        <v>1330</v>
      </c>
      <c r="D136" s="14">
        <v>45931</v>
      </c>
      <c r="E136" s="5" t="s">
        <v>5380</v>
      </c>
      <c r="F136" s="5" t="s">
        <v>1336</v>
      </c>
      <c r="G136" s="6" t="s">
        <v>1298</v>
      </c>
      <c r="H136" s="6" t="s">
        <v>68</v>
      </c>
      <c r="I136" s="6" t="s">
        <v>3736</v>
      </c>
      <c r="J136" s="6">
        <v>1482</v>
      </c>
      <c r="K136" s="7" t="s">
        <v>9192</v>
      </c>
      <c r="L136" s="8">
        <v>25684</v>
      </c>
      <c r="M136" s="8" t="str">
        <f t="shared" si="32"/>
        <v>PEN</v>
      </c>
      <c r="N136" s="13"/>
      <c r="O136" s="13">
        <v>30.03</v>
      </c>
      <c r="P136" s="3">
        <f t="shared" si="33"/>
        <v>0</v>
      </c>
      <c r="Q136" s="3">
        <f t="shared" si="34"/>
        <v>30.03</v>
      </c>
      <c r="R136" s="3">
        <f t="shared" si="35"/>
        <v>-15.899999999999991</v>
      </c>
      <c r="S136" s="24" t="s">
        <v>1334</v>
      </c>
      <c r="T136" s="24"/>
      <c r="U136" s="3"/>
      <c r="V136" s="25" t="s">
        <v>8200</v>
      </c>
      <c r="W136" s="25">
        <v>20454131101</v>
      </c>
      <c r="X136" s="25" t="str">
        <f>IFERROR(VLOOKUP(C_Ope_008[[#This Row],[nota_2]],Clientes_Proveedores[[Ruc / Dni]:[Razon Social]],2,0),"")</f>
        <v>MULTISERVICIOS AVE FENIX S.A.C.</v>
      </c>
      <c r="Y136" s="25"/>
      <c r="Z136" s="25"/>
      <c r="AA136" s="3" t="str">
        <f>IF(C_Ope_008[[#This Row],[fecha]]&gt;0,TEXT(C_Ope_008[[#This Row],[fecha]],"mmmm"),0)</f>
        <v>Octubre</v>
      </c>
      <c r="AB136" s="49"/>
    </row>
    <row r="137" spans="1:28" x14ac:dyDescent="0.3">
      <c r="A137" s="2">
        <f>IF(C_Ope_008[[#This Row],[tipo_r]]="R",COUNTIFS($C$1:$C136,"R")+1,"")</f>
        <v>136</v>
      </c>
      <c r="B137" s="19" t="str">
        <f t="shared" si="31"/>
        <v>C_Ope_008</v>
      </c>
      <c r="C137" s="13" t="s">
        <v>1330</v>
      </c>
      <c r="D137" s="14">
        <v>45931</v>
      </c>
      <c r="E137" s="5" t="s">
        <v>5380</v>
      </c>
      <c r="F137" s="5" t="s">
        <v>1336</v>
      </c>
      <c r="G137" s="6" t="s">
        <v>493</v>
      </c>
      <c r="H137" s="6" t="s">
        <v>68</v>
      </c>
      <c r="I137" s="6" t="s">
        <v>1841</v>
      </c>
      <c r="J137" s="6">
        <v>1848</v>
      </c>
      <c r="K137" s="7" t="s">
        <v>9193</v>
      </c>
      <c r="L137" s="8">
        <v>25707</v>
      </c>
      <c r="M137" s="8" t="str">
        <f t="shared" si="32"/>
        <v>PEN</v>
      </c>
      <c r="N137" s="13"/>
      <c r="O137" s="13">
        <v>40</v>
      </c>
      <c r="P137" s="3">
        <f t="shared" si="33"/>
        <v>0</v>
      </c>
      <c r="Q137" s="3">
        <f t="shared" si="34"/>
        <v>40</v>
      </c>
      <c r="R137" s="3">
        <f t="shared" si="35"/>
        <v>-55.899999999999991</v>
      </c>
      <c r="S137" s="24" t="s">
        <v>1334</v>
      </c>
      <c r="T137" s="24"/>
      <c r="U137" s="3"/>
      <c r="V137" s="25" t="s">
        <v>7842</v>
      </c>
      <c r="W137" s="25">
        <v>20602751326</v>
      </c>
      <c r="X137" s="25" t="str">
        <f>IFERROR(VLOOKUP(C_Ope_008[[#This Row],[nota_2]],Clientes_Proveedores[[Ruc / Dni]:[Razon Social]],2,0),"")</f>
        <v>KIKAI &amp; SABISU S.A.C.</v>
      </c>
      <c r="Y137" s="25"/>
      <c r="Z137" s="25"/>
      <c r="AA137" s="3" t="str">
        <f>IF(C_Ope_008[[#This Row],[fecha]]&gt;0,TEXT(C_Ope_008[[#This Row],[fecha]],"mmmm"),0)</f>
        <v>Octubre</v>
      </c>
      <c r="AB137" s="49"/>
    </row>
    <row r="138" spans="1:28" ht="24" x14ac:dyDescent="0.3">
      <c r="A138" s="2">
        <f>IF(C_Ope_008[[#This Row],[tipo_r]]="R",COUNTIFS($C$1:$C137,"R")+1,"")</f>
        <v>137</v>
      </c>
      <c r="B138" s="19" t="str">
        <f t="shared" si="31"/>
        <v>C_Ope_008</v>
      </c>
      <c r="C138" s="13" t="s">
        <v>1330</v>
      </c>
      <c r="D138" s="14">
        <v>45938</v>
      </c>
      <c r="E138" s="5" t="s">
        <v>5380</v>
      </c>
      <c r="F138" s="5" t="s">
        <v>1336</v>
      </c>
      <c r="G138" s="6" t="s">
        <v>482</v>
      </c>
      <c r="H138" s="6" t="s">
        <v>68</v>
      </c>
      <c r="I138" s="6" t="s">
        <v>1374</v>
      </c>
      <c r="J138" s="6">
        <v>541</v>
      </c>
      <c r="K138" s="7" t="s">
        <v>9194</v>
      </c>
      <c r="L138" s="8">
        <v>25743</v>
      </c>
      <c r="M138" s="8" t="str">
        <f t="shared" si="32"/>
        <v>PEN</v>
      </c>
      <c r="N138" s="13"/>
      <c r="O138" s="13">
        <v>118</v>
      </c>
      <c r="P138" s="3">
        <f t="shared" si="33"/>
        <v>0</v>
      </c>
      <c r="Q138" s="3">
        <f t="shared" si="34"/>
        <v>118</v>
      </c>
      <c r="R138" s="3">
        <f t="shared" si="35"/>
        <v>-173.89999999999998</v>
      </c>
      <c r="S138" s="24" t="s">
        <v>1334</v>
      </c>
      <c r="T138" s="24"/>
      <c r="U138" s="3"/>
      <c r="V138" s="25" t="s">
        <v>8006</v>
      </c>
      <c r="W138" s="25">
        <v>20602441165</v>
      </c>
      <c r="X138" s="25" t="str">
        <f>IFERROR(VLOOKUP(C_Ope_008[[#This Row],[nota_2]],Clientes_Proveedores[[Ruc / Dni]:[Razon Social]],2,0),"")</f>
        <v>VOLVO ENGINE AQP EIRL</v>
      </c>
      <c r="Y138" s="25"/>
      <c r="Z138" s="25"/>
      <c r="AA138" s="3" t="str">
        <f>IF(C_Ope_008[[#This Row],[fecha]]&gt;0,TEXT(C_Ope_008[[#This Row],[fecha]],"mmmm"),0)</f>
        <v>Octubre</v>
      </c>
      <c r="AB138" s="49"/>
    </row>
    <row r="139" spans="1:28" ht="36" x14ac:dyDescent="0.3">
      <c r="A139" s="2">
        <f>IF(C_Ope_008[[#This Row],[tipo_r]]="R",COUNTIFS($C$1:$C138,"R")+1,"")</f>
        <v>138</v>
      </c>
      <c r="B139" s="19" t="str">
        <f t="shared" si="31"/>
        <v>C_Ope_008</v>
      </c>
      <c r="C139" s="13" t="s">
        <v>1330</v>
      </c>
      <c r="D139" s="14">
        <v>45943</v>
      </c>
      <c r="E139" s="5" t="s">
        <v>5380</v>
      </c>
      <c r="F139" s="5" t="s">
        <v>1336</v>
      </c>
      <c r="G139" s="6" t="s">
        <v>675</v>
      </c>
      <c r="H139" s="6" t="s">
        <v>68</v>
      </c>
      <c r="I139" s="6" t="s">
        <v>2912</v>
      </c>
      <c r="J139" s="6">
        <v>2878</v>
      </c>
      <c r="K139" s="7" t="s">
        <v>9195</v>
      </c>
      <c r="L139" s="8">
        <v>25906</v>
      </c>
      <c r="M139" s="8" t="str">
        <f t="shared" si="32"/>
        <v>PEN</v>
      </c>
      <c r="N139" s="13"/>
      <c r="O139" s="13">
        <v>120</v>
      </c>
      <c r="P139" s="3">
        <f t="shared" si="33"/>
        <v>0</v>
      </c>
      <c r="Q139" s="3">
        <f t="shared" si="34"/>
        <v>120</v>
      </c>
      <c r="R139" s="3">
        <f t="shared" si="35"/>
        <v>-293.89999999999998</v>
      </c>
      <c r="S139" s="24" t="s">
        <v>1334</v>
      </c>
      <c r="T139" s="24"/>
      <c r="U139" s="3"/>
      <c r="V139" s="25" t="s">
        <v>8200</v>
      </c>
      <c r="W139" s="25">
        <v>20455911401</v>
      </c>
      <c r="X139" s="25" t="str">
        <f>IFERROR(VLOOKUP(C_Ope_008[[#This Row],[nota_2]],Clientes_Proveedores[[Ruc / Dni]:[Razon Social]],2,0),"")</f>
        <v>SKY HIGH SOCIEDAD ANONIMA CERRADA - SKY HIGH S.A.C.</v>
      </c>
      <c r="Y139" s="25"/>
      <c r="Z139" s="25"/>
      <c r="AA139" s="3" t="str">
        <f>IF(C_Ope_008[[#This Row],[fecha]]&gt;0,TEXT(C_Ope_008[[#This Row],[fecha]],"mmmm"),0)</f>
        <v>Octubre</v>
      </c>
      <c r="AB139" s="49"/>
    </row>
    <row r="140" spans="1:28" ht="24" x14ac:dyDescent="0.3">
      <c r="A140" s="2">
        <f>IF(C_Ope_008[[#This Row],[tipo_r]]="R",COUNTIFS($C$1:$C139,"R")+1,"")</f>
        <v>139</v>
      </c>
      <c r="B140" s="19" t="str">
        <f t="shared" si="31"/>
        <v>C_Ope_008</v>
      </c>
      <c r="C140" s="13" t="s">
        <v>1330</v>
      </c>
      <c r="D140" s="14">
        <v>45945</v>
      </c>
      <c r="E140" s="5" t="s">
        <v>5380</v>
      </c>
      <c r="F140" s="5" t="s">
        <v>1336</v>
      </c>
      <c r="G140" s="6" t="s">
        <v>1299</v>
      </c>
      <c r="H140" s="6" t="s">
        <v>68</v>
      </c>
      <c r="I140" s="6" t="s">
        <v>1374</v>
      </c>
      <c r="J140" s="6">
        <v>1714</v>
      </c>
      <c r="K140" s="7" t="s">
        <v>9196</v>
      </c>
      <c r="L140" s="8">
        <v>25836</v>
      </c>
      <c r="M140" s="8" t="str">
        <f t="shared" si="32"/>
        <v>PEN</v>
      </c>
      <c r="N140" s="13"/>
      <c r="O140" s="13">
        <v>50</v>
      </c>
      <c r="P140" s="3">
        <f t="shared" si="33"/>
        <v>0</v>
      </c>
      <c r="Q140" s="3">
        <f t="shared" si="34"/>
        <v>50</v>
      </c>
      <c r="R140" s="3">
        <f t="shared" si="35"/>
        <v>-343.9</v>
      </c>
      <c r="S140" s="24" t="s">
        <v>1334</v>
      </c>
      <c r="T140" s="24"/>
      <c r="U140" s="3"/>
      <c r="V140" s="25" t="s">
        <v>7842</v>
      </c>
      <c r="W140" s="25">
        <v>10744190172</v>
      </c>
      <c r="X140" s="25" t="str">
        <f>IFERROR(VLOOKUP(C_Ope_008[[#This Row],[nota_2]],Clientes_Proveedores[[Ruc / Dni]:[Razon Social]],2,0),"")</f>
        <v>ÑAUPA CALCINA EDIRSON GINO</v>
      </c>
      <c r="Y140" s="25"/>
      <c r="Z140" s="25"/>
      <c r="AA140" s="3" t="str">
        <f>IF(C_Ope_008[[#This Row],[fecha]]&gt;0,TEXT(C_Ope_008[[#This Row],[fecha]],"mmmm"),0)</f>
        <v>Octubre</v>
      </c>
      <c r="AB140" s="49"/>
    </row>
    <row r="141" spans="1:28" ht="24" x14ac:dyDescent="0.3">
      <c r="A141" s="2">
        <f>IF(C_Ope_008[[#This Row],[tipo_r]]="R",COUNTIFS($C$1:$C140,"R")+1,"")</f>
        <v>140</v>
      </c>
      <c r="B141" s="19" t="str">
        <f t="shared" si="31"/>
        <v>C_Ope_008</v>
      </c>
      <c r="C141" s="13" t="s">
        <v>1330</v>
      </c>
      <c r="D141" s="14">
        <v>45945</v>
      </c>
      <c r="E141" s="5" t="s">
        <v>5380</v>
      </c>
      <c r="F141" s="5" t="s">
        <v>1336</v>
      </c>
      <c r="G141" s="6" t="s">
        <v>1299</v>
      </c>
      <c r="H141" s="6" t="s">
        <v>68</v>
      </c>
      <c r="I141" s="6" t="s">
        <v>1374</v>
      </c>
      <c r="J141" s="6">
        <v>1712</v>
      </c>
      <c r="K141" s="7" t="s">
        <v>9197</v>
      </c>
      <c r="L141" s="8">
        <v>25837</v>
      </c>
      <c r="M141" s="8" t="str">
        <f t="shared" si="32"/>
        <v>PEN</v>
      </c>
      <c r="N141" s="13"/>
      <c r="O141" s="13">
        <v>20</v>
      </c>
      <c r="P141" s="3">
        <f t="shared" si="33"/>
        <v>0</v>
      </c>
      <c r="Q141" s="3">
        <f t="shared" si="34"/>
        <v>20</v>
      </c>
      <c r="R141" s="3">
        <f t="shared" si="35"/>
        <v>-363.9</v>
      </c>
      <c r="S141" s="24" t="s">
        <v>1334</v>
      </c>
      <c r="T141" s="24"/>
      <c r="U141" s="3"/>
      <c r="V141" s="25" t="s">
        <v>7842</v>
      </c>
      <c r="W141" s="25">
        <v>10744190172</v>
      </c>
      <c r="X141" s="25" t="str">
        <f>IFERROR(VLOOKUP(C_Ope_008[[#This Row],[nota_2]],Clientes_Proveedores[[Ruc / Dni]:[Razon Social]],2,0),"")</f>
        <v>ÑAUPA CALCINA EDIRSON GINO</v>
      </c>
      <c r="Y141" s="25"/>
      <c r="Z141" s="25"/>
      <c r="AA141" s="3" t="str">
        <f>IF(C_Ope_008[[#This Row],[fecha]]&gt;0,TEXT(C_Ope_008[[#This Row],[fecha]],"mmmm"),0)</f>
        <v>Octubre</v>
      </c>
      <c r="AB141" s="49"/>
    </row>
    <row r="142" spans="1:28" x14ac:dyDescent="0.3">
      <c r="A142" s="2">
        <f>IF(C_Ope_008[[#This Row],[tipo_r]]="R",COUNTIFS($C$1:$C141,"R")+1,"")</f>
        <v>141</v>
      </c>
      <c r="B142" s="19" t="str">
        <f t="shared" si="31"/>
        <v>C_Ope_008</v>
      </c>
      <c r="C142" s="13" t="s">
        <v>1330</v>
      </c>
      <c r="D142" s="14">
        <v>45946</v>
      </c>
      <c r="E142" s="5" t="s">
        <v>5380</v>
      </c>
      <c r="F142" s="5" t="s">
        <v>1336</v>
      </c>
      <c r="G142" s="6" t="s">
        <v>493</v>
      </c>
      <c r="H142" s="6" t="s">
        <v>68</v>
      </c>
      <c r="I142" s="6" t="s">
        <v>1841</v>
      </c>
      <c r="J142" s="6">
        <v>1943</v>
      </c>
      <c r="K142" s="7" t="s">
        <v>9198</v>
      </c>
      <c r="L142" s="8">
        <v>25833</v>
      </c>
      <c r="M142" s="8" t="str">
        <f t="shared" si="32"/>
        <v>PEN</v>
      </c>
      <c r="N142" s="13"/>
      <c r="O142" s="13">
        <v>35</v>
      </c>
      <c r="P142" s="3">
        <f t="shared" si="33"/>
        <v>0</v>
      </c>
      <c r="Q142" s="3">
        <f t="shared" si="34"/>
        <v>35</v>
      </c>
      <c r="R142" s="3">
        <f t="shared" si="35"/>
        <v>-398.9</v>
      </c>
      <c r="S142" s="24" t="s">
        <v>1334</v>
      </c>
      <c r="T142" s="24"/>
      <c r="U142" s="3"/>
      <c r="V142" s="25" t="s">
        <v>7756</v>
      </c>
      <c r="W142" s="25">
        <v>20602751326</v>
      </c>
      <c r="X142" s="25" t="str">
        <f>IFERROR(VLOOKUP(C_Ope_008[[#This Row],[nota_2]],Clientes_Proveedores[[Ruc / Dni]:[Razon Social]],2,0),"")</f>
        <v>KIKAI &amp; SABISU S.A.C.</v>
      </c>
      <c r="Y142" s="25"/>
      <c r="Z142" s="25"/>
      <c r="AA142" s="3" t="str">
        <f>IF(C_Ope_008[[#This Row],[fecha]]&gt;0,TEXT(C_Ope_008[[#This Row],[fecha]],"mmmm"),0)</f>
        <v>Octubre</v>
      </c>
      <c r="AB142" s="49"/>
    </row>
    <row r="143" spans="1:28" x14ac:dyDescent="0.3">
      <c r="A143" s="2">
        <f>IF(C_Ope_008[[#This Row],[tipo_r]]="R",COUNTIFS($C$1:$C142,"R")+1,"")</f>
        <v>142</v>
      </c>
      <c r="B143" s="19" t="str">
        <f t="shared" si="31"/>
        <v>C_Ope_008</v>
      </c>
      <c r="C143" s="13" t="s">
        <v>1330</v>
      </c>
      <c r="D143" s="14">
        <v>45946</v>
      </c>
      <c r="E143" s="5" t="s">
        <v>5380</v>
      </c>
      <c r="F143" s="5" t="s">
        <v>1336</v>
      </c>
      <c r="G143" s="6" t="s">
        <v>493</v>
      </c>
      <c r="H143" s="6" t="s">
        <v>68</v>
      </c>
      <c r="I143" s="6" t="s">
        <v>1841</v>
      </c>
      <c r="J143" s="6">
        <v>1942</v>
      </c>
      <c r="K143" s="7" t="s">
        <v>9198</v>
      </c>
      <c r="L143" s="8">
        <v>25834</v>
      </c>
      <c r="M143" s="8" t="str">
        <f t="shared" si="32"/>
        <v>PEN</v>
      </c>
      <c r="N143" s="13"/>
      <c r="O143" s="13">
        <v>35</v>
      </c>
      <c r="P143" s="3">
        <f t="shared" si="33"/>
        <v>0</v>
      </c>
      <c r="Q143" s="3">
        <f t="shared" si="34"/>
        <v>35</v>
      </c>
      <c r="R143" s="3">
        <f t="shared" si="35"/>
        <v>-433.9</v>
      </c>
      <c r="S143" s="24" t="s">
        <v>1334</v>
      </c>
      <c r="T143" s="24"/>
      <c r="U143" s="3"/>
      <c r="V143" s="25" t="s">
        <v>8200</v>
      </c>
      <c r="W143" s="25">
        <v>20602751326</v>
      </c>
      <c r="X143" s="25" t="str">
        <f>IFERROR(VLOOKUP(C_Ope_008[[#This Row],[nota_2]],Clientes_Proveedores[[Ruc / Dni]:[Razon Social]],2,0),"")</f>
        <v>KIKAI &amp; SABISU S.A.C.</v>
      </c>
      <c r="Y143" s="25"/>
      <c r="Z143" s="25"/>
      <c r="AA143" s="3" t="str">
        <f>IF(C_Ope_008[[#This Row],[fecha]]&gt;0,TEXT(C_Ope_008[[#This Row],[fecha]],"mmmm"),0)</f>
        <v>Octubre</v>
      </c>
      <c r="AB143" s="49"/>
    </row>
    <row r="144" spans="1:28" x14ac:dyDescent="0.3">
      <c r="A144" s="2">
        <f>IF(C_Ope_008[[#This Row],[tipo_r]]="R",COUNTIFS($C$1:$C143,"R")+1,"")</f>
        <v>143</v>
      </c>
      <c r="B144" s="19" t="str">
        <f t="shared" si="31"/>
        <v>C_Ope_008</v>
      </c>
      <c r="C144" s="13" t="s">
        <v>1330</v>
      </c>
      <c r="D144" s="14">
        <v>45946</v>
      </c>
      <c r="E144" s="5" t="s">
        <v>5380</v>
      </c>
      <c r="F144" s="5" t="s">
        <v>1336</v>
      </c>
      <c r="G144" s="6" t="s">
        <v>493</v>
      </c>
      <c r="H144" s="6" t="s">
        <v>68</v>
      </c>
      <c r="I144" s="6" t="s">
        <v>1841</v>
      </c>
      <c r="J144" s="6">
        <v>1941</v>
      </c>
      <c r="K144" s="7" t="s">
        <v>9198</v>
      </c>
      <c r="L144" s="8">
        <v>25835</v>
      </c>
      <c r="M144" s="8" t="str">
        <f t="shared" si="32"/>
        <v>PEN</v>
      </c>
      <c r="N144" s="13"/>
      <c r="O144" s="13">
        <v>35</v>
      </c>
      <c r="P144" s="3">
        <f t="shared" si="33"/>
        <v>0</v>
      </c>
      <c r="Q144" s="3">
        <f t="shared" si="34"/>
        <v>35</v>
      </c>
      <c r="R144" s="3">
        <f t="shared" si="35"/>
        <v>-468.9</v>
      </c>
      <c r="S144" s="24" t="s">
        <v>1334</v>
      </c>
      <c r="T144" s="24"/>
      <c r="U144" s="3"/>
      <c r="V144" s="25" t="s">
        <v>7842</v>
      </c>
      <c r="W144" s="25">
        <v>20602751326</v>
      </c>
      <c r="X144" s="25" t="str">
        <f>IFERROR(VLOOKUP(C_Ope_008[[#This Row],[nota_2]],Clientes_Proveedores[[Ruc / Dni]:[Razon Social]],2,0),"")</f>
        <v>KIKAI &amp; SABISU S.A.C.</v>
      </c>
      <c r="Y144" s="25"/>
      <c r="Z144" s="25"/>
      <c r="AA144" s="3" t="str">
        <f>IF(C_Ope_008[[#This Row],[fecha]]&gt;0,TEXT(C_Ope_008[[#This Row],[fecha]],"mmmm"),0)</f>
        <v>Octubre</v>
      </c>
      <c r="AB144" s="49"/>
    </row>
    <row r="145" spans="1:28" ht="36" x14ac:dyDescent="0.3">
      <c r="A145" s="2">
        <f>IF(C_Ope_008[[#This Row],[tipo_r]]="R",COUNTIFS($C$1:$C144,"R")+1,"")</f>
        <v>144</v>
      </c>
      <c r="B145" s="19" t="str">
        <f t="shared" si="31"/>
        <v>C_Ope_008</v>
      </c>
      <c r="C145" s="13" t="s">
        <v>1330</v>
      </c>
      <c r="D145" s="14">
        <v>45947</v>
      </c>
      <c r="E145" s="5" t="s">
        <v>5380</v>
      </c>
      <c r="F145" s="5" t="s">
        <v>1336</v>
      </c>
      <c r="G145" s="6" t="s">
        <v>675</v>
      </c>
      <c r="H145" s="6" t="s">
        <v>68</v>
      </c>
      <c r="I145" s="6" t="s">
        <v>2912</v>
      </c>
      <c r="J145" s="6">
        <v>2938</v>
      </c>
      <c r="K145" s="7" t="s">
        <v>9199</v>
      </c>
      <c r="L145" s="8">
        <v>25907</v>
      </c>
      <c r="M145" s="8" t="str">
        <f t="shared" si="32"/>
        <v>PEN</v>
      </c>
      <c r="N145" s="13"/>
      <c r="O145" s="13">
        <v>18.239999999999998</v>
      </c>
      <c r="P145" s="3">
        <f t="shared" si="33"/>
        <v>0</v>
      </c>
      <c r="Q145" s="3">
        <f t="shared" si="34"/>
        <v>18.239999999999998</v>
      </c>
      <c r="R145" s="3">
        <f t="shared" si="35"/>
        <v>-487.14</v>
      </c>
      <c r="S145" s="24" t="s">
        <v>1334</v>
      </c>
      <c r="T145" s="24"/>
      <c r="U145" s="3"/>
      <c r="V145" s="25" t="s">
        <v>7756</v>
      </c>
      <c r="W145" s="25">
        <v>20455911401</v>
      </c>
      <c r="X145" s="25" t="str">
        <f>IFERROR(VLOOKUP(C_Ope_008[[#This Row],[nota_2]],Clientes_Proveedores[[Ruc / Dni]:[Razon Social]],2,0),"")</f>
        <v>SKY HIGH SOCIEDAD ANONIMA CERRADA - SKY HIGH S.A.C.</v>
      </c>
      <c r="Y145" s="25"/>
      <c r="Z145" s="25"/>
      <c r="AA145" s="3" t="str">
        <f>IF(C_Ope_008[[#This Row],[fecha]]&gt;0,TEXT(C_Ope_008[[#This Row],[fecha]],"mmmm"),0)</f>
        <v>Octubre</v>
      </c>
      <c r="AB145" s="49"/>
    </row>
    <row r="146" spans="1:28" ht="36" x14ac:dyDescent="0.3">
      <c r="A146" s="2">
        <f>IF(C_Ope_008[[#This Row],[tipo_r]]="R",COUNTIFS($C$1:$C145,"R")+1,"")</f>
        <v>145</v>
      </c>
      <c r="B146" s="19" t="str">
        <f t="shared" si="31"/>
        <v>C_Ope_008</v>
      </c>
      <c r="C146" s="13" t="s">
        <v>1330</v>
      </c>
      <c r="D146" s="14">
        <v>45947</v>
      </c>
      <c r="E146" s="5" t="s">
        <v>5380</v>
      </c>
      <c r="F146" s="5" t="s">
        <v>1336</v>
      </c>
      <c r="G146" s="6" t="s">
        <v>675</v>
      </c>
      <c r="H146" s="6" t="s">
        <v>68</v>
      </c>
      <c r="I146" s="6" t="s">
        <v>2912</v>
      </c>
      <c r="J146" s="6">
        <v>2937</v>
      </c>
      <c r="K146" s="7" t="s">
        <v>9200</v>
      </c>
      <c r="L146" s="8">
        <v>25908</v>
      </c>
      <c r="M146" s="8" t="str">
        <f t="shared" si="32"/>
        <v>PEN</v>
      </c>
      <c r="N146" s="13"/>
      <c r="O146" s="13">
        <v>70.8</v>
      </c>
      <c r="P146" s="3">
        <f t="shared" si="33"/>
        <v>0</v>
      </c>
      <c r="Q146" s="3">
        <f t="shared" si="34"/>
        <v>70.8</v>
      </c>
      <c r="R146" s="3">
        <f t="shared" si="35"/>
        <v>-557.93999999999994</v>
      </c>
      <c r="S146" s="24" t="s">
        <v>1334</v>
      </c>
      <c r="T146" s="24"/>
      <c r="U146" s="3"/>
      <c r="V146" s="25" t="s">
        <v>7756</v>
      </c>
      <c r="W146" s="25">
        <v>20455911401</v>
      </c>
      <c r="X146" s="25" t="str">
        <f>IFERROR(VLOOKUP(C_Ope_008[[#This Row],[nota_2]],Clientes_Proveedores[[Ruc / Dni]:[Razon Social]],2,0),"")</f>
        <v>SKY HIGH SOCIEDAD ANONIMA CERRADA - SKY HIGH S.A.C.</v>
      </c>
      <c r="Y146" s="25"/>
      <c r="Z146" s="25"/>
      <c r="AA146" s="3" t="str">
        <f>IF(C_Ope_008[[#This Row],[fecha]]&gt;0,TEXT(C_Ope_008[[#This Row],[fecha]],"mmmm"),0)</f>
        <v>Octubre</v>
      </c>
      <c r="AB146" s="49"/>
    </row>
    <row r="147" spans="1:28" ht="24" x14ac:dyDescent="0.3">
      <c r="A147" s="2">
        <f>IF(C_Ope_008[[#This Row],[tipo_r]]="R",COUNTIFS($C$1:$C146,"R")+1,"")</f>
        <v>146</v>
      </c>
      <c r="B147" s="19" t="str">
        <f t="shared" si="31"/>
        <v>C_Ope_008</v>
      </c>
      <c r="C147" s="13" t="s">
        <v>1330</v>
      </c>
      <c r="D147" s="14">
        <v>45950</v>
      </c>
      <c r="E147" s="5" t="s">
        <v>5380</v>
      </c>
      <c r="F147" s="5" t="s">
        <v>1336</v>
      </c>
      <c r="G147" s="6" t="s">
        <v>248</v>
      </c>
      <c r="H147" s="6" t="s">
        <v>68</v>
      </c>
      <c r="I147" s="6" t="s">
        <v>4970</v>
      </c>
      <c r="J147" s="6">
        <v>36099</v>
      </c>
      <c r="K147" s="7" t="s">
        <v>9201</v>
      </c>
      <c r="L147" s="8">
        <v>25832</v>
      </c>
      <c r="M147" s="8" t="str">
        <f t="shared" si="32"/>
        <v>PEN</v>
      </c>
      <c r="N147" s="13"/>
      <c r="O147" s="13">
        <v>20.8</v>
      </c>
      <c r="P147" s="3">
        <f t="shared" si="33"/>
        <v>0</v>
      </c>
      <c r="Q147" s="3">
        <f t="shared" si="34"/>
        <v>20.8</v>
      </c>
      <c r="R147" s="3">
        <f t="shared" si="35"/>
        <v>-578.7399999999999</v>
      </c>
      <c r="S147" s="24" t="s">
        <v>1334</v>
      </c>
      <c r="T147" s="24"/>
      <c r="U147" s="3"/>
      <c r="V147" s="25" t="s">
        <v>7756</v>
      </c>
      <c r="W147" s="25">
        <v>20293774308</v>
      </c>
      <c r="X147" s="25" t="str">
        <f>IFERROR(VLOOKUP(C_Ope_008[[#This Row],[nota_2]],Clientes_Proveedores[[Ruc / Dni]:[Razon Social]],2,0),"")</f>
        <v>TRACTO CAMIONES USA S.A.C.</v>
      </c>
      <c r="Y147" s="25"/>
      <c r="Z147" s="25"/>
      <c r="AA147" s="3" t="str">
        <f>IF(C_Ope_008[[#This Row],[fecha]]&gt;0,TEXT(C_Ope_008[[#This Row],[fecha]],"mmmm"),0)</f>
        <v>Octubre</v>
      </c>
      <c r="AB147" s="49"/>
    </row>
    <row r="148" spans="1:28" ht="36" x14ac:dyDescent="0.3">
      <c r="A148" s="2">
        <f>IF(C_Ope_008[[#This Row],[tipo_r]]="R",COUNTIFS($C$1:$C147,"R")+1,"")</f>
        <v>147</v>
      </c>
      <c r="B148" s="19" t="str">
        <f t="shared" si="31"/>
        <v>C_Ope_008</v>
      </c>
      <c r="C148" s="13" t="s">
        <v>1330</v>
      </c>
      <c r="D148" s="14">
        <v>45950</v>
      </c>
      <c r="E148" s="5" t="s">
        <v>5380</v>
      </c>
      <c r="F148" s="5" t="s">
        <v>1336</v>
      </c>
      <c r="G148" s="6" t="s">
        <v>675</v>
      </c>
      <c r="H148" s="6" t="s">
        <v>68</v>
      </c>
      <c r="I148" s="6" t="s">
        <v>2912</v>
      </c>
      <c r="J148" s="6">
        <v>2944</v>
      </c>
      <c r="K148" s="7" t="s">
        <v>9202</v>
      </c>
      <c r="L148" s="8">
        <v>25909</v>
      </c>
      <c r="M148" s="8" t="str">
        <f t="shared" si="32"/>
        <v>PEN</v>
      </c>
      <c r="N148" s="13"/>
      <c r="O148" s="13">
        <v>10.210000000000001</v>
      </c>
      <c r="P148" s="3">
        <f t="shared" si="33"/>
        <v>0</v>
      </c>
      <c r="Q148" s="3">
        <f t="shared" si="34"/>
        <v>10.210000000000001</v>
      </c>
      <c r="R148" s="3">
        <f t="shared" si="35"/>
        <v>-588.94999999999993</v>
      </c>
      <c r="S148" s="24" t="s">
        <v>1334</v>
      </c>
      <c r="T148" s="24"/>
      <c r="U148" s="3"/>
      <c r="V148" s="25" t="s">
        <v>7756</v>
      </c>
      <c r="W148" s="25">
        <v>20455911401</v>
      </c>
      <c r="X148" s="25" t="str">
        <f>IFERROR(VLOOKUP(C_Ope_008[[#This Row],[nota_2]],Clientes_Proveedores[[Ruc / Dni]:[Razon Social]],2,0),"")</f>
        <v>SKY HIGH SOCIEDAD ANONIMA CERRADA - SKY HIGH S.A.C.</v>
      </c>
      <c r="Y148" s="25"/>
      <c r="Z148" s="25"/>
      <c r="AA148" s="3" t="str">
        <f>IF(C_Ope_008[[#This Row],[fecha]]&gt;0,TEXT(C_Ope_008[[#This Row],[fecha]],"mmmm"),0)</f>
        <v>Octubre</v>
      </c>
      <c r="AB148" s="49"/>
    </row>
    <row r="149" spans="1:28" ht="24" x14ac:dyDescent="0.3">
      <c r="A149" s="2">
        <f>IF(C_Ope_008[[#This Row],[tipo_r]]="R",COUNTIFS($C$1:$C148,"R")+1,"")</f>
        <v>148</v>
      </c>
      <c r="B149" s="19" t="str">
        <f t="shared" si="31"/>
        <v>C_Ope_008</v>
      </c>
      <c r="C149" s="13" t="s">
        <v>1330</v>
      </c>
      <c r="D149" s="14">
        <v>45950</v>
      </c>
      <c r="E149" s="5" t="s">
        <v>5380</v>
      </c>
      <c r="F149" s="5" t="s">
        <v>1336</v>
      </c>
      <c r="G149" s="6" t="s">
        <v>784</v>
      </c>
      <c r="H149" s="6" t="s">
        <v>68</v>
      </c>
      <c r="I149" s="6" t="s">
        <v>9203</v>
      </c>
      <c r="J149" s="6">
        <v>107</v>
      </c>
      <c r="K149" s="7" t="s">
        <v>9204</v>
      </c>
      <c r="L149" s="8">
        <v>25910</v>
      </c>
      <c r="M149" s="8" t="str">
        <f t="shared" si="32"/>
        <v>PEN</v>
      </c>
      <c r="N149" s="13"/>
      <c r="O149" s="13">
        <v>60.01</v>
      </c>
      <c r="P149" s="3">
        <f t="shared" si="33"/>
        <v>0</v>
      </c>
      <c r="Q149" s="3">
        <f t="shared" si="34"/>
        <v>60.01</v>
      </c>
      <c r="R149" s="3">
        <f t="shared" si="35"/>
        <v>-648.95999999999992</v>
      </c>
      <c r="S149" s="24" t="s">
        <v>1334</v>
      </c>
      <c r="T149" s="24"/>
      <c r="U149" s="3"/>
      <c r="V149" s="25" t="s">
        <v>7756</v>
      </c>
      <c r="W149" s="25">
        <v>20611593920</v>
      </c>
      <c r="X149" s="25" t="str">
        <f>IFERROR(VLOOKUP(C_Ope_008[[#This Row],[nota_2]],Clientes_Proveedores[[Ruc / Dni]:[Razon Social]],2,0),"")</f>
        <v>GRUPO HUAMCO PERU S.A.C.</v>
      </c>
      <c r="Y149" s="25"/>
      <c r="Z149" s="25"/>
      <c r="AA149" s="3" t="str">
        <f>IF(C_Ope_008[[#This Row],[fecha]]&gt;0,TEXT(C_Ope_008[[#This Row],[fecha]],"mmmm"),0)</f>
        <v>Octubre</v>
      </c>
      <c r="AB149" s="49"/>
    </row>
    <row r="150" spans="1:28" ht="48" x14ac:dyDescent="0.3">
      <c r="A150" s="2">
        <f>IF(C_Ope_008[[#This Row],[tipo_r]]="R",COUNTIFS($C$1:$C149,"R")+1,"")</f>
        <v>149</v>
      </c>
      <c r="B150" s="19" t="str">
        <f t="shared" si="31"/>
        <v>C_Ope_008</v>
      </c>
      <c r="C150" s="13" t="s">
        <v>1330</v>
      </c>
      <c r="D150" s="14">
        <v>45953</v>
      </c>
      <c r="E150" s="5" t="s">
        <v>5380</v>
      </c>
      <c r="F150" s="5" t="s">
        <v>1336</v>
      </c>
      <c r="G150" s="6" t="s">
        <v>1300</v>
      </c>
      <c r="H150" s="6" t="s">
        <v>68</v>
      </c>
      <c r="I150" s="6" t="s">
        <v>1461</v>
      </c>
      <c r="J150" s="6">
        <v>22422</v>
      </c>
      <c r="K150" s="7" t="s">
        <v>9205</v>
      </c>
      <c r="L150" s="8">
        <v>25914</v>
      </c>
      <c r="M150" s="8" t="str">
        <f t="shared" si="32"/>
        <v>PEN</v>
      </c>
      <c r="N150" s="13"/>
      <c r="O150" s="13">
        <v>50</v>
      </c>
      <c r="P150" s="3">
        <f t="shared" si="33"/>
        <v>0</v>
      </c>
      <c r="Q150" s="3">
        <f t="shared" si="34"/>
        <v>50</v>
      </c>
      <c r="R150" s="3">
        <f t="shared" si="35"/>
        <v>-698.95999999999992</v>
      </c>
      <c r="S150" s="24" t="s">
        <v>1334</v>
      </c>
      <c r="T150" s="24"/>
      <c r="U150" s="3"/>
      <c r="V150" s="25" t="s">
        <v>8277</v>
      </c>
      <c r="W150" s="25">
        <v>20231363255</v>
      </c>
      <c r="X150" s="25" t="str">
        <f>IFERROR(VLOOKUP(C_Ope_008[[#This Row],[nota_2]],Clientes_Proveedores[[Ruc / Dni]:[Razon Social]],2,0),"")</f>
        <v>SOFTWARE Y HARDWARE INGENIEROS S.R.LTDA.</v>
      </c>
      <c r="Y150" s="25"/>
      <c r="Z150" s="25"/>
      <c r="AA150" s="3" t="str">
        <f>IF(C_Ope_008[[#This Row],[fecha]]&gt;0,TEXT(C_Ope_008[[#This Row],[fecha]],"mmmm"),0)</f>
        <v>Octubre</v>
      </c>
      <c r="AB150" s="49"/>
    </row>
    <row r="151" spans="1:28" ht="24" x14ac:dyDescent="0.3">
      <c r="A151" s="2">
        <f>IF(C_Ope_008[[#This Row],[tipo_r]]="R",COUNTIFS($C$1:$C150,"R")+1,"")</f>
        <v>150</v>
      </c>
      <c r="B151" s="19" t="str">
        <f t="shared" si="31"/>
        <v>C_Ope_008</v>
      </c>
      <c r="C151" s="13" t="s">
        <v>1330</v>
      </c>
      <c r="D151" s="14">
        <v>45954</v>
      </c>
      <c r="E151" s="5" t="s">
        <v>5380</v>
      </c>
      <c r="F151" s="5" t="s">
        <v>1336</v>
      </c>
      <c r="G151" s="6" t="s">
        <v>999</v>
      </c>
      <c r="H151" s="6" t="s">
        <v>68</v>
      </c>
      <c r="I151" s="6" t="s">
        <v>1374</v>
      </c>
      <c r="J151" s="6">
        <v>20471</v>
      </c>
      <c r="K151" s="7" t="s">
        <v>9206</v>
      </c>
      <c r="L151" s="8">
        <v>25903</v>
      </c>
      <c r="M151" s="8" t="str">
        <f t="shared" si="32"/>
        <v>PEN</v>
      </c>
      <c r="N151" s="13"/>
      <c r="O151" s="13">
        <v>40</v>
      </c>
      <c r="P151" s="3">
        <f t="shared" si="33"/>
        <v>0</v>
      </c>
      <c r="Q151" s="3">
        <f t="shared" si="34"/>
        <v>40</v>
      </c>
      <c r="R151" s="3">
        <f t="shared" si="35"/>
        <v>-738.95999999999992</v>
      </c>
      <c r="S151" s="24" t="s">
        <v>1334</v>
      </c>
      <c r="T151" s="24"/>
      <c r="U151" s="3"/>
      <c r="V151" s="25" t="s">
        <v>7761</v>
      </c>
      <c r="W151" s="25">
        <v>10705628331</v>
      </c>
      <c r="X151" s="25" t="str">
        <f>IFERROR(VLOOKUP(C_Ope_008[[#This Row],[nota_2]],Clientes_Proveedores[[Ruc / Dni]:[Razon Social]],2,0),"")</f>
        <v>LARICO APAZA NANCY ROSSMARY</v>
      </c>
      <c r="Y151" s="25"/>
      <c r="Z151" s="25"/>
      <c r="AA151" s="3" t="str">
        <f>IF(C_Ope_008[[#This Row],[fecha]]&gt;0,TEXT(C_Ope_008[[#This Row],[fecha]],"mmmm"),0)</f>
        <v>Octubre</v>
      </c>
      <c r="AB151" s="49"/>
    </row>
    <row r="152" spans="1:28" ht="24" x14ac:dyDescent="0.3">
      <c r="A152" s="2">
        <f>IF(C_Ope_008[[#This Row],[tipo_r]]="R",COUNTIFS($C$1:$C151,"R")+1,"")</f>
        <v>151</v>
      </c>
      <c r="B152" s="19" t="str">
        <f t="shared" si="31"/>
        <v>C_Ope_008</v>
      </c>
      <c r="C152" s="13" t="s">
        <v>1330</v>
      </c>
      <c r="D152" s="14">
        <v>45954</v>
      </c>
      <c r="E152" s="5" t="s">
        <v>5380</v>
      </c>
      <c r="F152" s="5" t="s">
        <v>1336</v>
      </c>
      <c r="G152" s="6" t="s">
        <v>1098</v>
      </c>
      <c r="H152" s="6" t="s">
        <v>75</v>
      </c>
      <c r="I152" s="6">
        <v>1</v>
      </c>
      <c r="J152" s="6">
        <v>2749</v>
      </c>
      <c r="K152" s="7" t="s">
        <v>9207</v>
      </c>
      <c r="L152" s="8">
        <v>25905</v>
      </c>
      <c r="M152" s="8" t="str">
        <f t="shared" si="32"/>
        <v>PEN</v>
      </c>
      <c r="N152" s="13"/>
      <c r="O152" s="13">
        <v>66</v>
      </c>
      <c r="P152" s="3">
        <f t="shared" si="33"/>
        <v>0</v>
      </c>
      <c r="Q152" s="3">
        <f t="shared" si="34"/>
        <v>66</v>
      </c>
      <c r="R152" s="3">
        <f t="shared" si="35"/>
        <v>-804.95999999999992</v>
      </c>
      <c r="S152" s="24" t="s">
        <v>1334</v>
      </c>
      <c r="T152" s="24"/>
      <c r="U152" s="3"/>
      <c r="V152" s="25" t="s">
        <v>7842</v>
      </c>
      <c r="W152" s="25">
        <v>10460411195</v>
      </c>
      <c r="X152" s="25" t="str">
        <f>IFERROR(VLOOKUP(C_Ope_008[[#This Row],[nota_2]],Clientes_Proveedores[[Ruc / Dni]:[Razon Social]],2,0),"")</f>
        <v>ROMERO CAMA ROXANA</v>
      </c>
      <c r="Y152" s="25"/>
      <c r="Z152" s="25"/>
      <c r="AA152" s="3" t="str">
        <f>IF(C_Ope_008[[#This Row],[fecha]]&gt;0,TEXT(C_Ope_008[[#This Row],[fecha]],"mmmm"),0)</f>
        <v>Octubre</v>
      </c>
      <c r="AB152" s="49"/>
    </row>
    <row r="153" spans="1:28" ht="24" x14ac:dyDescent="0.3">
      <c r="A153" s="2">
        <f>IF(C_Ope_008[[#This Row],[tipo_r]]="R",COUNTIFS($C$1:$C152,"R")+1,"")</f>
        <v>152</v>
      </c>
      <c r="B153" s="19" t="str">
        <f t="shared" si="31"/>
        <v>C_Ope_008</v>
      </c>
      <c r="C153" s="13" t="s">
        <v>1330</v>
      </c>
      <c r="D153" s="14">
        <v>45957</v>
      </c>
      <c r="E153" s="5" t="s">
        <v>5380</v>
      </c>
      <c r="F153" s="5" t="s">
        <v>1336</v>
      </c>
      <c r="G153" s="6" t="s">
        <v>1301</v>
      </c>
      <c r="H153" s="6" t="s">
        <v>75</v>
      </c>
      <c r="I153" s="6">
        <v>2</v>
      </c>
      <c r="J153" s="6">
        <v>3626</v>
      </c>
      <c r="K153" s="7" t="s">
        <v>9208</v>
      </c>
      <c r="L153" s="8">
        <v>25919</v>
      </c>
      <c r="M153" s="8" t="str">
        <f t="shared" si="32"/>
        <v>PEN</v>
      </c>
      <c r="N153" s="13"/>
      <c r="O153" s="13">
        <v>60</v>
      </c>
      <c r="P153" s="3">
        <f t="shared" si="33"/>
        <v>0</v>
      </c>
      <c r="Q153" s="3">
        <f t="shared" si="34"/>
        <v>60</v>
      </c>
      <c r="R153" s="3">
        <f t="shared" si="35"/>
        <v>-864.95999999999992</v>
      </c>
      <c r="S153" s="24" t="s">
        <v>1334</v>
      </c>
      <c r="T153" s="24"/>
      <c r="U153" s="3"/>
      <c r="V153" s="25" t="s">
        <v>8006</v>
      </c>
      <c r="W153" s="25">
        <v>10421407148</v>
      </c>
      <c r="X153" s="25" t="str">
        <f>IFERROR(VLOOKUP(C_Ope_008[[#This Row],[nota_2]],Clientes_Proveedores[[Ruc / Dni]:[Razon Social]],2,0),"")</f>
        <v>CUSI PUMA PERCY</v>
      </c>
      <c r="Y153" s="25"/>
      <c r="Z153" s="25"/>
      <c r="AA153" s="3" t="str">
        <f>IF(C_Ope_008[[#This Row],[fecha]]&gt;0,TEXT(C_Ope_008[[#This Row],[fecha]],"mmmm"),0)</f>
        <v>Octubre</v>
      </c>
      <c r="AB153" s="49"/>
    </row>
    <row r="154" spans="1:28" ht="24" x14ac:dyDescent="0.3">
      <c r="A154" s="2">
        <f>IF(C_Ope_008[[#This Row],[tipo_r]]="R",COUNTIFS($C$1:$C153,"R")+1,"")</f>
        <v>153</v>
      </c>
      <c r="B154" s="19" t="str">
        <f t="shared" si="31"/>
        <v>C_Ope_008</v>
      </c>
      <c r="C154" s="13" t="s">
        <v>1330</v>
      </c>
      <c r="D154" s="14">
        <v>45957</v>
      </c>
      <c r="E154" s="5" t="s">
        <v>5380</v>
      </c>
      <c r="F154" s="5" t="s">
        <v>1336</v>
      </c>
      <c r="G154" s="6" t="s">
        <v>784</v>
      </c>
      <c r="H154" s="6" t="s">
        <v>75</v>
      </c>
      <c r="I154" s="6" t="s">
        <v>9144</v>
      </c>
      <c r="J154" s="6">
        <v>145</v>
      </c>
      <c r="K154" s="7" t="s">
        <v>9209</v>
      </c>
      <c r="L154" s="8">
        <v>25956</v>
      </c>
      <c r="M154" s="8" t="str">
        <f t="shared" si="32"/>
        <v>PEN</v>
      </c>
      <c r="N154" s="13"/>
      <c r="O154" s="13">
        <v>30</v>
      </c>
      <c r="P154" s="3">
        <f t="shared" si="33"/>
        <v>0</v>
      </c>
      <c r="Q154" s="3">
        <f t="shared" si="34"/>
        <v>30</v>
      </c>
      <c r="R154" s="3">
        <f t="shared" si="35"/>
        <v>-894.95999999999992</v>
      </c>
      <c r="S154" s="24" t="s">
        <v>1334</v>
      </c>
      <c r="T154" s="24"/>
      <c r="U154" s="3"/>
      <c r="V154" s="25" t="s">
        <v>8200</v>
      </c>
      <c r="W154" s="25">
        <v>20611593920</v>
      </c>
      <c r="X154" s="25" t="str">
        <f>IFERROR(VLOOKUP(C_Ope_008[[#This Row],[nota_2]],Clientes_Proveedores[[Ruc / Dni]:[Razon Social]],2,0),"")</f>
        <v>GRUPO HUAMCO PERU S.A.C.</v>
      </c>
      <c r="Y154" s="25"/>
      <c r="Z154" s="25"/>
      <c r="AA154" s="3" t="str">
        <f>IF(C_Ope_008[[#This Row],[fecha]]&gt;0,TEXT(C_Ope_008[[#This Row],[fecha]],"mmmm"),0)</f>
        <v>Octubre</v>
      </c>
      <c r="AB154" s="49"/>
    </row>
    <row r="155" spans="1:28" ht="24" x14ac:dyDescent="0.3">
      <c r="A155" s="2">
        <f>IF(C_Ope_008[[#This Row],[tipo_r]]="R",COUNTIFS($C$1:$C154,"R")+1,"")</f>
        <v>154</v>
      </c>
      <c r="B155" s="19" t="str">
        <f t="shared" si="31"/>
        <v>C_Ope_008</v>
      </c>
      <c r="C155" s="13" t="s">
        <v>1330</v>
      </c>
      <c r="D155" s="14">
        <v>45959</v>
      </c>
      <c r="E155" s="5" t="s">
        <v>5380</v>
      </c>
      <c r="F155" s="5" t="s">
        <v>1336</v>
      </c>
      <c r="G155" s="6" t="s">
        <v>493</v>
      </c>
      <c r="H155" s="6" t="s">
        <v>68</v>
      </c>
      <c r="I155" s="6" t="s">
        <v>1841</v>
      </c>
      <c r="J155" s="6">
        <v>2036</v>
      </c>
      <c r="K155" s="7" t="s">
        <v>9210</v>
      </c>
      <c r="L155" s="8">
        <v>25948</v>
      </c>
      <c r="M155" s="8" t="str">
        <f t="shared" si="32"/>
        <v>PEN</v>
      </c>
      <c r="N155" s="13"/>
      <c r="O155" s="13">
        <v>100.11</v>
      </c>
      <c r="P155" s="3">
        <f t="shared" si="33"/>
        <v>0</v>
      </c>
      <c r="Q155" s="3">
        <f t="shared" si="34"/>
        <v>100.11</v>
      </c>
      <c r="R155" s="3">
        <f t="shared" si="35"/>
        <v>-995.06999999999994</v>
      </c>
      <c r="S155" s="24" t="s">
        <v>1334</v>
      </c>
      <c r="T155" s="24"/>
      <c r="U155" s="3"/>
      <c r="V155" s="25" t="s">
        <v>7756</v>
      </c>
      <c r="W155" s="25">
        <v>20602751326</v>
      </c>
      <c r="X155" s="25" t="str">
        <f>IFERROR(VLOOKUP(C_Ope_008[[#This Row],[nota_2]],Clientes_Proveedores[[Ruc / Dni]:[Razon Social]],2,0),"")</f>
        <v>KIKAI &amp; SABISU S.A.C.</v>
      </c>
      <c r="Y155" s="25"/>
      <c r="Z155" s="25"/>
      <c r="AA155" s="3" t="str">
        <f>IF(C_Ope_008[[#This Row],[fecha]]&gt;0,TEXT(C_Ope_008[[#This Row],[fecha]],"mmmm"),0)</f>
        <v>Octubre</v>
      </c>
      <c r="AB155" s="49"/>
    </row>
  </sheetData>
  <conditionalFormatting sqref="A2:AB1048576">
    <cfRule type="expression" dxfId="43" priority="286">
      <formula>$T2="OK"</formula>
    </cfRule>
    <cfRule type="expression" dxfId="42" priority="287">
      <formula>$C2="D"</formula>
    </cfRule>
    <cfRule type="expression" dxfId="41" priority="310">
      <formula>$S2="OK"</formula>
    </cfRule>
  </conditionalFormatting>
  <dataValidations count="4">
    <dataValidation type="list" allowBlank="1" showInputMessage="1" showErrorMessage="1" sqref="H2:H155" xr:uid="{0D2CCB36-15D7-4D17-B337-247CE71A9BBC}">
      <formula1>Documentos</formula1>
    </dataValidation>
    <dataValidation type="list" allowBlank="1" showInputMessage="1" showErrorMessage="1" sqref="F2:F155" xr:uid="{C4EC3039-B4D0-4089-8C55-856C3B459475}">
      <formula1>"SALDO,INGRESO,EGRESO"</formula1>
    </dataValidation>
    <dataValidation type="list" allowBlank="1" showInputMessage="1" showErrorMessage="1" sqref="C2:C155" xr:uid="{9AFFED78-FFC5-4A67-BFC9-A45D07FA1C9C}">
      <formula1>"R,D"</formula1>
    </dataValidation>
    <dataValidation type="list" allowBlank="1" showInputMessage="1" showErrorMessage="1" sqref="G2:G155" xr:uid="{94910EE0-E4ED-4EB7-9351-812B0CDFC251}">
      <formula1>Proveedores_Clientes</formula1>
    </dataValidation>
  </dataValidations>
  <printOptions horizontalCentered="1"/>
  <pageMargins left="0.11811023622047245" right="0.11811023622047245" top="0.35433070866141736" bottom="0.35433070866141736" header="0.31496062992125984" footer="0.31496062992125984"/>
  <pageSetup paperSize="9" scale="37" fitToHeight="0" orientation="landscape" r:id="rId1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4EF7D-F196-A744-8837-96224FB6245D}">
  <sheetPr codeName="Hoja18">
    <tabColor rgb="FF002060"/>
    <pageSetUpPr fitToPage="1"/>
  </sheetPr>
  <dimension ref="A1:AB107"/>
  <sheetViews>
    <sheetView showGridLines="0" tabSelected="1" zoomScale="90" zoomScaleNormal="90" zoomScaleSheetLayoutView="100" workbookViewId="0"/>
  </sheetViews>
  <sheetFormatPr defaultColWidth="11.44140625" defaultRowHeight="14.4" outlineLevelCol="1" x14ac:dyDescent="0.3"/>
  <cols>
    <col min="1" max="1" width="9.44140625" bestFit="1" customWidth="1"/>
    <col min="2" max="2" width="15.44140625" bestFit="1" customWidth="1"/>
    <col min="3" max="3" width="13.44140625" bestFit="1" customWidth="1"/>
    <col min="4" max="4" width="10.6640625" bestFit="1" customWidth="1"/>
    <col min="5" max="5" width="14.33203125" customWidth="1"/>
    <col min="6" max="6" width="11.6640625" bestFit="1" customWidth="1"/>
    <col min="7" max="7" width="17" bestFit="1" customWidth="1"/>
    <col min="8" max="8" width="16" customWidth="1"/>
    <col min="9" max="9" width="10.109375" bestFit="1" customWidth="1"/>
    <col min="10" max="10" width="12.44140625" bestFit="1" customWidth="1"/>
    <col min="11" max="11" width="40.44140625" bestFit="1" customWidth="1"/>
    <col min="12" max="12" width="15" bestFit="1" customWidth="1"/>
    <col min="13" max="13" width="12.44140625" bestFit="1" customWidth="1"/>
    <col min="14" max="14" width="12.109375" bestFit="1" customWidth="1"/>
    <col min="15" max="15" width="11.44140625" bestFit="1" customWidth="1"/>
    <col min="16" max="17" width="11.33203125" bestFit="1" customWidth="1"/>
    <col min="18" max="18" width="10.88671875" bestFit="1" customWidth="1"/>
    <col min="19" max="19" width="12" bestFit="1" customWidth="1"/>
    <col min="20" max="20" width="13" bestFit="1" customWidth="1"/>
    <col min="21" max="21" width="15.88671875" bestFit="1" customWidth="1"/>
    <col min="22" max="26" width="15.88671875" customWidth="1" outlineLevel="1"/>
    <col min="27" max="27" width="12.88671875" customWidth="1" outlineLevel="1"/>
  </cols>
  <sheetData>
    <row r="1" spans="1:28" x14ac:dyDescent="0.3">
      <c r="A1" s="263" t="s">
        <v>9536</v>
      </c>
      <c r="B1" s="263" t="s">
        <v>9537</v>
      </c>
      <c r="C1" s="263" t="s">
        <v>9563</v>
      </c>
      <c r="D1" s="263" t="s">
        <v>9539</v>
      </c>
      <c r="E1" s="263" t="s">
        <v>9540</v>
      </c>
      <c r="F1" s="263" t="s">
        <v>9541</v>
      </c>
      <c r="G1" s="263" t="s">
        <v>9542</v>
      </c>
      <c r="H1" s="263" t="s">
        <v>9543</v>
      </c>
      <c r="I1" s="263" t="s">
        <v>9544</v>
      </c>
      <c r="J1" s="263" t="s">
        <v>9545</v>
      </c>
      <c r="K1" s="263" t="s">
        <v>9546</v>
      </c>
      <c r="L1" s="263" t="s">
        <v>9565</v>
      </c>
      <c r="M1" s="263" t="s">
        <v>9548</v>
      </c>
      <c r="N1" s="263" t="s">
        <v>9549</v>
      </c>
      <c r="O1" s="263" t="s">
        <v>9550</v>
      </c>
      <c r="P1" s="263" t="s">
        <v>9551</v>
      </c>
      <c r="Q1" s="263" t="s">
        <v>9552</v>
      </c>
      <c r="R1" s="263" t="s">
        <v>9553</v>
      </c>
      <c r="S1" s="263" t="s">
        <v>9554</v>
      </c>
      <c r="T1" s="263" t="s">
        <v>9555</v>
      </c>
      <c r="U1" s="263" t="s">
        <v>9556</v>
      </c>
      <c r="V1" s="263" t="s">
        <v>9557</v>
      </c>
      <c r="W1" s="263" t="s">
        <v>9558</v>
      </c>
      <c r="X1" s="263" t="s">
        <v>9559</v>
      </c>
      <c r="Y1" s="263" t="s">
        <v>9560</v>
      </c>
      <c r="Z1" s="263" t="s">
        <v>9561</v>
      </c>
      <c r="AA1" s="263" t="s">
        <v>9562</v>
      </c>
      <c r="AB1" s="292" t="s">
        <v>9566</v>
      </c>
    </row>
    <row r="2" spans="1:28" x14ac:dyDescent="0.3">
      <c r="A2" s="2">
        <f>IF(C_Ope_009[[#This Row],[tipo_r]]="R",COUNTIFS($C$1:$C1,"R")+1,"")</f>
        <v>1</v>
      </c>
      <c r="B2" s="19" t="str">
        <f>"C_Ope_009"</f>
        <v>C_Ope_009</v>
      </c>
      <c r="C2" s="3" t="s">
        <v>1330</v>
      </c>
      <c r="D2" s="4">
        <v>45658</v>
      </c>
      <c r="E2" s="5" t="s">
        <v>9211</v>
      </c>
      <c r="F2" s="6" t="s">
        <v>1320</v>
      </c>
      <c r="G2" s="6"/>
      <c r="H2" s="6"/>
      <c r="I2" s="6"/>
      <c r="J2" s="6"/>
      <c r="K2" s="7" t="s">
        <v>1332</v>
      </c>
      <c r="L2" s="8"/>
      <c r="M2" s="8" t="str">
        <f t="shared" ref="M2" si="0">"PEN"</f>
        <v>PEN</v>
      </c>
      <c r="N2" s="13"/>
      <c r="O2" s="9">
        <v>205.4</v>
      </c>
      <c r="P2" s="9">
        <f t="shared" ref="P2:P33" si="1">+IF(OR($F2="SALDO",$F2="INGRESO"),$O2,0)</f>
        <v>205.4</v>
      </c>
      <c r="Q2" s="9">
        <f t="shared" ref="Q2:Q33" si="2">+IF($F2="EGRESO",$O2,0)</f>
        <v>0</v>
      </c>
      <c r="R2" s="9">
        <f t="shared" ref="R2:R33" si="3">IFERROR(IF(F2="SALDO",P2,R1+P2-Q2),0)</f>
        <v>205.4</v>
      </c>
      <c r="S2" s="24"/>
      <c r="T2" s="24"/>
      <c r="U2" s="15"/>
      <c r="V2" s="25"/>
      <c r="W2" s="25"/>
      <c r="X2" s="25" t="str">
        <f>IFERROR(VLOOKUP(C_Ope_009[[#This Row],[nota_2]],Clientes_Proveedores[[Ruc / Dni]:[Razon Social]],2,0),"")</f>
        <v/>
      </c>
      <c r="Y2" s="25"/>
      <c r="Z2" s="103"/>
      <c r="AA2" s="3" t="str">
        <f>IF(C_Ope_009[[#This Row],[fecha]]&gt;0,TEXT(C_Ope_009[[#This Row],[fecha]],"mmmm"),0)</f>
        <v>Enero</v>
      </c>
      <c r="AB2" s="291"/>
    </row>
    <row r="3" spans="1:28" x14ac:dyDescent="0.3">
      <c r="A3" s="2">
        <f>IF(C_Ope_009[[#This Row],[tipo_r]]="R",COUNTIFS($C$1:$C2,"R")+1,"")</f>
        <v>2</v>
      </c>
      <c r="B3" s="19" t="str">
        <f t="shared" ref="B3:B34" si="4">"C_Ope_009"</f>
        <v>C_Ope_009</v>
      </c>
      <c r="C3" s="3" t="s">
        <v>1330</v>
      </c>
      <c r="D3" s="14">
        <v>45668</v>
      </c>
      <c r="E3" s="5" t="s">
        <v>9211</v>
      </c>
      <c r="F3" s="5" t="s">
        <v>1336</v>
      </c>
      <c r="G3" s="6"/>
      <c r="H3" s="6" t="s">
        <v>75</v>
      </c>
      <c r="I3" s="6">
        <v>2</v>
      </c>
      <c r="J3" s="6">
        <v>923</v>
      </c>
      <c r="K3" s="7" t="s">
        <v>9212</v>
      </c>
      <c r="L3" s="8" t="s">
        <v>9213</v>
      </c>
      <c r="M3" s="8" t="str">
        <f t="shared" ref="M3:M34" si="5">"PEN"</f>
        <v>PEN</v>
      </c>
      <c r="N3" s="13"/>
      <c r="O3" s="13">
        <v>50</v>
      </c>
      <c r="P3" s="3">
        <f t="shared" si="1"/>
        <v>0</v>
      </c>
      <c r="Q3" s="3">
        <f t="shared" si="2"/>
        <v>50</v>
      </c>
      <c r="R3" s="3">
        <f t="shared" si="3"/>
        <v>155.4</v>
      </c>
      <c r="S3" s="24"/>
      <c r="T3" s="24"/>
      <c r="U3" s="3"/>
      <c r="V3" s="25" t="s">
        <v>9214</v>
      </c>
      <c r="W3" s="25"/>
      <c r="X3" s="25" t="str">
        <f>IFERROR(VLOOKUP(C_Ope_009[[#This Row],[nota_2]],Clientes_Proveedores[[Ruc / Dni]:[Razon Social]],2,0),"")</f>
        <v/>
      </c>
      <c r="Y3" s="25"/>
      <c r="Z3" s="103"/>
      <c r="AA3" s="3" t="str">
        <f>IF(C_Ope_009[[#This Row],[fecha]]&gt;0,TEXT(C_Ope_009[[#This Row],[fecha]],"mmmm"),0)</f>
        <v>Enero</v>
      </c>
      <c r="AB3" s="291"/>
    </row>
    <row r="4" spans="1:28" x14ac:dyDescent="0.3">
      <c r="A4" s="2">
        <f>IF(C_Ope_009[[#This Row],[tipo_r]]="R",COUNTIFS($C$1:$C3,"R")+1,"")</f>
        <v>3</v>
      </c>
      <c r="B4" s="19" t="str">
        <f t="shared" si="4"/>
        <v>C_Ope_009</v>
      </c>
      <c r="C4" s="3" t="s">
        <v>1330</v>
      </c>
      <c r="D4" s="14">
        <v>45678</v>
      </c>
      <c r="E4" s="5" t="s">
        <v>9211</v>
      </c>
      <c r="F4" s="5" t="s">
        <v>1336</v>
      </c>
      <c r="G4" s="6"/>
      <c r="H4" s="6" t="s">
        <v>68</v>
      </c>
      <c r="I4" s="6" t="s">
        <v>9215</v>
      </c>
      <c r="J4" s="6">
        <v>104560</v>
      </c>
      <c r="K4" s="7" t="s">
        <v>9216</v>
      </c>
      <c r="L4" s="8" t="s">
        <v>9217</v>
      </c>
      <c r="M4" s="8" t="str">
        <f t="shared" si="5"/>
        <v>PEN</v>
      </c>
      <c r="N4" s="13"/>
      <c r="O4" s="13">
        <v>52.6</v>
      </c>
      <c r="P4" s="3">
        <f t="shared" si="1"/>
        <v>0</v>
      </c>
      <c r="Q4" s="3">
        <f t="shared" si="2"/>
        <v>52.6</v>
      </c>
      <c r="R4" s="3">
        <f t="shared" si="3"/>
        <v>102.80000000000001</v>
      </c>
      <c r="S4" s="24"/>
      <c r="T4" s="24"/>
      <c r="U4" s="3"/>
      <c r="V4" s="25" t="s">
        <v>9218</v>
      </c>
      <c r="W4" s="25"/>
      <c r="X4" s="25" t="str">
        <f>IFERROR(VLOOKUP(C_Ope_009[[#This Row],[nota_2]],Clientes_Proveedores[[Ruc / Dni]:[Razon Social]],2,0),"")</f>
        <v/>
      </c>
      <c r="Y4" s="25"/>
      <c r="Z4" s="103"/>
      <c r="AA4" s="3" t="str">
        <f>IF(C_Ope_009[[#This Row],[fecha]]&gt;0,TEXT(C_Ope_009[[#This Row],[fecha]],"mmmm"),0)</f>
        <v>Enero</v>
      </c>
      <c r="AB4" s="291"/>
    </row>
    <row r="5" spans="1:28" x14ac:dyDescent="0.3">
      <c r="A5" s="2">
        <f>IF(C_Ope_009[[#This Row],[tipo_r]]="R",COUNTIFS($C$1:$C4,"R")+1,"")</f>
        <v>4</v>
      </c>
      <c r="B5" s="19" t="str">
        <f t="shared" si="4"/>
        <v>C_Ope_009</v>
      </c>
      <c r="C5" s="3" t="s">
        <v>1330</v>
      </c>
      <c r="D5" s="14">
        <v>45681</v>
      </c>
      <c r="E5" s="5" t="s">
        <v>9211</v>
      </c>
      <c r="F5" s="5" t="s">
        <v>1336</v>
      </c>
      <c r="G5" s="6"/>
      <c r="H5" s="6" t="s">
        <v>68</v>
      </c>
      <c r="I5" s="6" t="s">
        <v>5470</v>
      </c>
      <c r="J5" s="6">
        <v>76007</v>
      </c>
      <c r="K5" s="7" t="s">
        <v>9219</v>
      </c>
      <c r="L5" s="8" t="s">
        <v>9220</v>
      </c>
      <c r="M5" s="8" t="str">
        <f t="shared" si="5"/>
        <v>PEN</v>
      </c>
      <c r="N5" s="13"/>
      <c r="O5" s="13">
        <v>16.600000000000001</v>
      </c>
      <c r="P5" s="3">
        <f t="shared" si="1"/>
        <v>0</v>
      </c>
      <c r="Q5" s="3">
        <f t="shared" si="2"/>
        <v>16.600000000000001</v>
      </c>
      <c r="R5" s="3">
        <f t="shared" si="3"/>
        <v>86.200000000000017</v>
      </c>
      <c r="S5" s="24"/>
      <c r="T5" s="24"/>
      <c r="U5" s="3"/>
      <c r="V5" s="25" t="s">
        <v>9218</v>
      </c>
      <c r="W5" s="25"/>
      <c r="X5" s="25" t="str">
        <f>IFERROR(VLOOKUP(C_Ope_009[[#This Row],[nota_2]],Clientes_Proveedores[[Ruc / Dni]:[Razon Social]],2,0),"")</f>
        <v/>
      </c>
      <c r="Y5" s="25"/>
      <c r="Z5" s="103"/>
      <c r="AA5" s="3" t="str">
        <f>IF(C_Ope_009[[#This Row],[fecha]]&gt;0,TEXT(C_Ope_009[[#This Row],[fecha]],"mmmm"),0)</f>
        <v>Enero</v>
      </c>
      <c r="AB5" s="291"/>
    </row>
    <row r="6" spans="1:28" x14ac:dyDescent="0.3">
      <c r="A6" s="2">
        <f>IF(C_Ope_009[[#This Row],[tipo_r]]="R",COUNTIFS($C$1:$C5,"R")+1,"")</f>
        <v>5</v>
      </c>
      <c r="B6" s="19" t="str">
        <f t="shared" si="4"/>
        <v>C_Ope_009</v>
      </c>
      <c r="C6" s="3" t="s">
        <v>1330</v>
      </c>
      <c r="D6" s="14">
        <v>45684</v>
      </c>
      <c r="E6" s="5" t="s">
        <v>9211</v>
      </c>
      <c r="F6" s="5" t="s">
        <v>1336</v>
      </c>
      <c r="G6" s="6"/>
      <c r="H6" s="6" t="s">
        <v>75</v>
      </c>
      <c r="I6" s="6">
        <v>2</v>
      </c>
      <c r="J6" s="6">
        <v>740</v>
      </c>
      <c r="K6" s="7" t="s">
        <v>9221</v>
      </c>
      <c r="L6" s="8" t="s">
        <v>9222</v>
      </c>
      <c r="M6" s="8" t="str">
        <f t="shared" si="5"/>
        <v>PEN</v>
      </c>
      <c r="N6" s="13"/>
      <c r="O6" s="13">
        <v>15</v>
      </c>
      <c r="P6" s="3">
        <f t="shared" si="1"/>
        <v>0</v>
      </c>
      <c r="Q6" s="3">
        <f t="shared" si="2"/>
        <v>15</v>
      </c>
      <c r="R6" s="3">
        <f t="shared" si="3"/>
        <v>71.200000000000017</v>
      </c>
      <c r="S6" s="24"/>
      <c r="T6" s="24"/>
      <c r="U6" s="3"/>
      <c r="V6" s="25" t="s">
        <v>9218</v>
      </c>
      <c r="W6" s="25"/>
      <c r="X6" s="25" t="str">
        <f>IFERROR(VLOOKUP(C_Ope_009[[#This Row],[nota_2]],Clientes_Proveedores[[Ruc / Dni]:[Razon Social]],2,0),"")</f>
        <v/>
      </c>
      <c r="Y6" s="25"/>
      <c r="Z6" s="103"/>
      <c r="AA6" s="3" t="str">
        <f>IF(C_Ope_009[[#This Row],[fecha]]&gt;0,TEXT(C_Ope_009[[#This Row],[fecha]],"mmmm"),0)</f>
        <v>Enero</v>
      </c>
      <c r="AB6" s="291"/>
    </row>
    <row r="7" spans="1:28" x14ac:dyDescent="0.3">
      <c r="A7" s="2">
        <f>IF(C_Ope_009[[#This Row],[tipo_r]]="R",COUNTIFS($C$1:$C6,"R")+1,"")</f>
        <v>6</v>
      </c>
      <c r="B7" s="19" t="str">
        <f t="shared" si="4"/>
        <v>C_Ope_009</v>
      </c>
      <c r="C7" s="3" t="s">
        <v>1330</v>
      </c>
      <c r="D7" s="14">
        <v>45685</v>
      </c>
      <c r="E7" s="5" t="s">
        <v>7514</v>
      </c>
      <c r="F7" s="5" t="s">
        <v>1303</v>
      </c>
      <c r="G7" s="6"/>
      <c r="H7" s="6"/>
      <c r="I7" s="6"/>
      <c r="J7" s="6"/>
      <c r="K7" s="7" t="s">
        <v>9223</v>
      </c>
      <c r="L7" s="8" t="s">
        <v>9224</v>
      </c>
      <c r="M7" s="8" t="str">
        <f t="shared" si="5"/>
        <v>PEN</v>
      </c>
      <c r="N7" s="13"/>
      <c r="O7" s="13">
        <v>130</v>
      </c>
      <c r="P7" s="3">
        <f t="shared" si="1"/>
        <v>130</v>
      </c>
      <c r="Q7" s="3">
        <f t="shared" si="2"/>
        <v>0</v>
      </c>
      <c r="R7" s="3">
        <f t="shared" si="3"/>
        <v>201.20000000000002</v>
      </c>
      <c r="S7" s="24"/>
      <c r="T7" s="24"/>
      <c r="U7" s="3"/>
      <c r="V7" s="25"/>
      <c r="W7" s="25"/>
      <c r="X7" s="25" t="str">
        <f>IFERROR(VLOOKUP(C_Ope_009[[#This Row],[nota_2]],Clientes_Proveedores[[Ruc / Dni]:[Razon Social]],2,0),"")</f>
        <v/>
      </c>
      <c r="Y7" s="25"/>
      <c r="Z7" s="103"/>
      <c r="AA7" s="3" t="str">
        <f>IF(C_Ope_009[[#This Row],[fecha]]&gt;0,TEXT(C_Ope_009[[#This Row],[fecha]],"mmmm"),0)</f>
        <v>Enero</v>
      </c>
      <c r="AB7" s="291"/>
    </row>
    <row r="8" spans="1:28" x14ac:dyDescent="0.3">
      <c r="A8" s="2">
        <f>IF(C_Ope_009[[#This Row],[tipo_r]]="R",COUNTIFS($C$1:$C7,"R")+1,"")</f>
        <v>7</v>
      </c>
      <c r="B8" s="19" t="str">
        <f t="shared" si="4"/>
        <v>C_Ope_009</v>
      </c>
      <c r="C8" s="3" t="s">
        <v>1330</v>
      </c>
      <c r="D8" s="14">
        <v>45687</v>
      </c>
      <c r="E8" s="5" t="s">
        <v>9211</v>
      </c>
      <c r="F8" s="5" t="s">
        <v>1336</v>
      </c>
      <c r="G8" s="6"/>
      <c r="H8" s="6" t="s">
        <v>68</v>
      </c>
      <c r="I8" s="6" t="s">
        <v>2331</v>
      </c>
      <c r="J8" s="6">
        <v>110221</v>
      </c>
      <c r="K8" s="7" t="s">
        <v>9225</v>
      </c>
      <c r="L8" s="8" t="s">
        <v>9226</v>
      </c>
      <c r="M8" s="8" t="str">
        <f t="shared" si="5"/>
        <v>PEN</v>
      </c>
      <c r="N8" s="13"/>
      <c r="O8" s="13">
        <v>32</v>
      </c>
      <c r="P8" s="3">
        <f t="shared" si="1"/>
        <v>0</v>
      </c>
      <c r="Q8" s="3">
        <f t="shared" si="2"/>
        <v>32</v>
      </c>
      <c r="R8" s="3">
        <f t="shared" si="3"/>
        <v>169.20000000000002</v>
      </c>
      <c r="S8" s="24"/>
      <c r="T8" s="24"/>
      <c r="U8" s="3"/>
      <c r="V8" s="25" t="s">
        <v>9227</v>
      </c>
      <c r="W8" s="25"/>
      <c r="X8" s="25" t="str">
        <f>IFERROR(VLOOKUP(C_Ope_009[[#This Row],[nota_2]],Clientes_Proveedores[[Ruc / Dni]:[Razon Social]],2,0),"")</f>
        <v/>
      </c>
      <c r="Y8" s="25"/>
      <c r="Z8" s="103"/>
      <c r="AA8" s="3" t="str">
        <f>IF(C_Ope_009[[#This Row],[fecha]]&gt;0,TEXT(C_Ope_009[[#This Row],[fecha]],"mmmm"),0)</f>
        <v>Enero</v>
      </c>
      <c r="AB8" s="291"/>
    </row>
    <row r="9" spans="1:28" x14ac:dyDescent="0.3">
      <c r="A9" s="2">
        <f>IF(C_Ope_009[[#This Row],[tipo_r]]="R",COUNTIFS($C$1:$C8,"R")+1,"")</f>
        <v>8</v>
      </c>
      <c r="B9" s="19" t="str">
        <f t="shared" si="4"/>
        <v>C_Ope_009</v>
      </c>
      <c r="C9" s="3" t="s">
        <v>1330</v>
      </c>
      <c r="D9" s="14">
        <v>45688</v>
      </c>
      <c r="E9" s="5" t="s">
        <v>9211</v>
      </c>
      <c r="F9" s="5" t="s">
        <v>1336</v>
      </c>
      <c r="G9" s="6"/>
      <c r="H9" s="6" t="s">
        <v>68</v>
      </c>
      <c r="I9" s="6" t="s">
        <v>9228</v>
      </c>
      <c r="J9" s="6">
        <v>76049</v>
      </c>
      <c r="K9" s="7" t="s">
        <v>9219</v>
      </c>
      <c r="L9" s="8" t="s">
        <v>9229</v>
      </c>
      <c r="M9" s="8" t="str">
        <f t="shared" si="5"/>
        <v>PEN</v>
      </c>
      <c r="N9" s="13"/>
      <c r="O9" s="13">
        <v>16.600000000000001</v>
      </c>
      <c r="P9" s="3">
        <f t="shared" si="1"/>
        <v>0</v>
      </c>
      <c r="Q9" s="3">
        <f t="shared" si="2"/>
        <v>16.600000000000001</v>
      </c>
      <c r="R9" s="3">
        <f t="shared" si="3"/>
        <v>152.60000000000002</v>
      </c>
      <c r="S9" s="24"/>
      <c r="T9" s="24"/>
      <c r="U9" s="3"/>
      <c r="V9" s="25" t="s">
        <v>9230</v>
      </c>
      <c r="W9" s="25"/>
      <c r="X9" s="25" t="str">
        <f>IFERROR(VLOOKUP(C_Ope_009[[#This Row],[nota_2]],Clientes_Proveedores[[Ruc / Dni]:[Razon Social]],2,0),"")</f>
        <v/>
      </c>
      <c r="Y9" s="25"/>
      <c r="Z9" s="103"/>
      <c r="AA9" s="3" t="str">
        <f>IF(C_Ope_009[[#This Row],[fecha]]&gt;0,TEXT(C_Ope_009[[#This Row],[fecha]],"mmmm"),0)</f>
        <v>Enero</v>
      </c>
      <c r="AB9" s="291"/>
    </row>
    <row r="10" spans="1:28" x14ac:dyDescent="0.3">
      <c r="A10" s="2">
        <f>IF(C_Ope_009[[#This Row],[tipo_r]]="R",COUNTIFS($C$1:$C9,"R")+1,"")</f>
        <v>9</v>
      </c>
      <c r="B10" s="19" t="str">
        <f t="shared" si="4"/>
        <v>C_Ope_009</v>
      </c>
      <c r="C10" s="3" t="s">
        <v>1330</v>
      </c>
      <c r="D10" s="14">
        <v>45691</v>
      </c>
      <c r="E10" s="5" t="s">
        <v>9211</v>
      </c>
      <c r="F10" s="5" t="s">
        <v>1336</v>
      </c>
      <c r="G10" s="6"/>
      <c r="H10" s="6" t="s">
        <v>68</v>
      </c>
      <c r="I10" s="6" t="s">
        <v>2331</v>
      </c>
      <c r="J10" s="6">
        <v>110444</v>
      </c>
      <c r="K10" s="7" t="s">
        <v>9231</v>
      </c>
      <c r="L10" s="8" t="s">
        <v>9232</v>
      </c>
      <c r="M10" s="8" t="str">
        <f t="shared" si="5"/>
        <v>PEN</v>
      </c>
      <c r="N10" s="13"/>
      <c r="O10" s="13">
        <v>40</v>
      </c>
      <c r="P10" s="3">
        <f t="shared" si="1"/>
        <v>0</v>
      </c>
      <c r="Q10" s="3">
        <f t="shared" si="2"/>
        <v>40</v>
      </c>
      <c r="R10" s="3">
        <f t="shared" si="3"/>
        <v>112.60000000000002</v>
      </c>
      <c r="S10" s="24"/>
      <c r="T10" s="24"/>
      <c r="U10" s="3"/>
      <c r="V10" s="25" t="s">
        <v>9214</v>
      </c>
      <c r="W10" s="25"/>
      <c r="X10" s="25" t="str">
        <f>IFERROR(VLOOKUP(C_Ope_009[[#This Row],[nota_2]],Clientes_Proveedores[[Ruc / Dni]:[Razon Social]],2,0),"")</f>
        <v/>
      </c>
      <c r="Y10" s="25"/>
      <c r="Z10" s="103"/>
      <c r="AA10" s="3" t="str">
        <f>IF(C_Ope_009[[#This Row],[fecha]]&gt;0,TEXT(C_Ope_009[[#This Row],[fecha]],"mmmm"),0)</f>
        <v>Febrero</v>
      </c>
      <c r="AB10" s="291"/>
    </row>
    <row r="11" spans="1:28" x14ac:dyDescent="0.3">
      <c r="A11" s="2">
        <f>IF(C_Ope_009[[#This Row],[tipo_r]]="R",COUNTIFS($C$1:$C10,"R")+1,"")</f>
        <v>10</v>
      </c>
      <c r="B11" s="19" t="str">
        <f t="shared" si="4"/>
        <v>C_Ope_009</v>
      </c>
      <c r="C11" s="3" t="s">
        <v>1330</v>
      </c>
      <c r="D11" s="14">
        <v>45693</v>
      </c>
      <c r="E11" s="5" t="s">
        <v>9211</v>
      </c>
      <c r="F11" s="5" t="s">
        <v>1336</v>
      </c>
      <c r="G11" s="6"/>
      <c r="H11" s="6" t="s">
        <v>68</v>
      </c>
      <c r="I11" s="6" t="s">
        <v>1390</v>
      </c>
      <c r="J11" s="6">
        <v>80</v>
      </c>
      <c r="K11" s="7" t="s">
        <v>9233</v>
      </c>
      <c r="L11" s="8" t="s">
        <v>9234</v>
      </c>
      <c r="M11" s="8" t="str">
        <f t="shared" si="5"/>
        <v>PEN</v>
      </c>
      <c r="N11" s="13"/>
      <c r="O11" s="13">
        <v>25</v>
      </c>
      <c r="P11" s="3">
        <f t="shared" si="1"/>
        <v>0</v>
      </c>
      <c r="Q11" s="3">
        <f t="shared" si="2"/>
        <v>25</v>
      </c>
      <c r="R11" s="3">
        <f t="shared" si="3"/>
        <v>87.600000000000023</v>
      </c>
      <c r="S11" s="24"/>
      <c r="T11" s="24"/>
      <c r="U11" s="3"/>
      <c r="V11" s="25" t="s">
        <v>9235</v>
      </c>
      <c r="W11" s="25"/>
      <c r="X11" s="25" t="str">
        <f>IFERROR(VLOOKUP(C_Ope_009[[#This Row],[nota_2]],Clientes_Proveedores[[Ruc / Dni]:[Razon Social]],2,0),"")</f>
        <v/>
      </c>
      <c r="Y11" s="25"/>
      <c r="Z11" s="103"/>
      <c r="AA11" s="3" t="str">
        <f>IF(C_Ope_009[[#This Row],[fecha]]&gt;0,TEXT(C_Ope_009[[#This Row],[fecha]],"mmmm"),0)</f>
        <v>Febrero</v>
      </c>
      <c r="AB11" s="291"/>
    </row>
    <row r="12" spans="1:28" x14ac:dyDescent="0.3">
      <c r="A12" s="2">
        <f>IF(C_Ope_009[[#This Row],[tipo_r]]="R",COUNTIFS($C$1:$C11,"R")+1,"")</f>
        <v>11</v>
      </c>
      <c r="B12" s="19" t="str">
        <f t="shared" si="4"/>
        <v>C_Ope_009</v>
      </c>
      <c r="C12" s="3" t="s">
        <v>1330</v>
      </c>
      <c r="D12" s="14">
        <v>45694</v>
      </c>
      <c r="E12" s="5" t="s">
        <v>9211</v>
      </c>
      <c r="F12" s="5" t="s">
        <v>1336</v>
      </c>
      <c r="G12" s="6"/>
      <c r="H12" s="6" t="s">
        <v>75</v>
      </c>
      <c r="I12" s="6">
        <v>2</v>
      </c>
      <c r="J12" s="6">
        <v>80</v>
      </c>
      <c r="K12" s="7" t="s">
        <v>9236</v>
      </c>
      <c r="L12" s="8" t="s">
        <v>9237</v>
      </c>
      <c r="M12" s="8" t="str">
        <f t="shared" si="5"/>
        <v>PEN</v>
      </c>
      <c r="N12" s="13"/>
      <c r="O12" s="13">
        <v>6</v>
      </c>
      <c r="P12" s="3">
        <f t="shared" si="1"/>
        <v>0</v>
      </c>
      <c r="Q12" s="3">
        <f t="shared" si="2"/>
        <v>6</v>
      </c>
      <c r="R12" s="3">
        <f t="shared" si="3"/>
        <v>81.600000000000023</v>
      </c>
      <c r="S12" s="24"/>
      <c r="T12" s="24"/>
      <c r="U12" s="3"/>
      <c r="V12" s="25" t="s">
        <v>9218</v>
      </c>
      <c r="W12" s="25"/>
      <c r="X12" s="25" t="str">
        <f>IFERROR(VLOOKUP(C_Ope_009[[#This Row],[nota_2]],Clientes_Proveedores[[Ruc / Dni]:[Razon Social]],2,0),"")</f>
        <v/>
      </c>
      <c r="Y12" s="25"/>
      <c r="Z12" s="103"/>
      <c r="AA12" s="3" t="str">
        <f>IF(C_Ope_009[[#This Row],[fecha]]&gt;0,TEXT(C_Ope_009[[#This Row],[fecha]],"mmmm"),0)</f>
        <v>Febrero</v>
      </c>
      <c r="AB12" s="291"/>
    </row>
    <row r="13" spans="1:28" x14ac:dyDescent="0.3">
      <c r="A13" s="2">
        <f>IF(C_Ope_009[[#This Row],[tipo_r]]="R",COUNTIFS($C$1:$C12,"R")+1,"")</f>
        <v>12</v>
      </c>
      <c r="B13" s="19" t="str">
        <f t="shared" si="4"/>
        <v>C_Ope_009</v>
      </c>
      <c r="C13" s="3" t="s">
        <v>1330</v>
      </c>
      <c r="D13" s="14">
        <v>45695</v>
      </c>
      <c r="E13" s="5" t="s">
        <v>7514</v>
      </c>
      <c r="F13" s="5" t="s">
        <v>1303</v>
      </c>
      <c r="G13" s="6"/>
      <c r="H13" s="6"/>
      <c r="I13" s="6"/>
      <c r="J13" s="6"/>
      <c r="K13" s="7" t="s">
        <v>9223</v>
      </c>
      <c r="L13" s="8" t="s">
        <v>9238</v>
      </c>
      <c r="M13" s="8" t="str">
        <f t="shared" si="5"/>
        <v>PEN</v>
      </c>
      <c r="N13" s="13"/>
      <c r="O13" s="13">
        <v>400</v>
      </c>
      <c r="P13" s="3">
        <f t="shared" si="1"/>
        <v>400</v>
      </c>
      <c r="Q13" s="3">
        <f t="shared" si="2"/>
        <v>0</v>
      </c>
      <c r="R13" s="3">
        <f t="shared" si="3"/>
        <v>481.6</v>
      </c>
      <c r="S13" s="24"/>
      <c r="T13" s="24"/>
      <c r="U13" s="3"/>
      <c r="V13" s="25"/>
      <c r="W13" s="25"/>
      <c r="X13" s="25" t="str">
        <f>IFERROR(VLOOKUP(C_Ope_009[[#This Row],[nota_2]],Clientes_Proveedores[[Ruc / Dni]:[Razon Social]],2,0),"")</f>
        <v/>
      </c>
      <c r="Y13" s="25"/>
      <c r="Z13" s="103"/>
      <c r="AA13" s="3" t="str">
        <f>IF(C_Ope_009[[#This Row],[fecha]]&gt;0,TEXT(C_Ope_009[[#This Row],[fecha]],"mmmm"),0)</f>
        <v>Febrero</v>
      </c>
      <c r="AB13" s="291"/>
    </row>
    <row r="14" spans="1:28" x14ac:dyDescent="0.3">
      <c r="A14" s="2">
        <f>IF(C_Ope_009[[#This Row],[tipo_r]]="R",COUNTIFS($C$1:$C13,"R")+1,"")</f>
        <v>13</v>
      </c>
      <c r="B14" s="19" t="str">
        <f t="shared" si="4"/>
        <v>C_Ope_009</v>
      </c>
      <c r="C14" s="3" t="s">
        <v>1330</v>
      </c>
      <c r="D14" s="14">
        <v>45702</v>
      </c>
      <c r="E14" s="5" t="s">
        <v>9211</v>
      </c>
      <c r="F14" s="5" t="s">
        <v>1336</v>
      </c>
      <c r="G14" s="6"/>
      <c r="H14" s="6" t="s">
        <v>75</v>
      </c>
      <c r="I14" s="6">
        <v>1</v>
      </c>
      <c r="J14" s="6">
        <v>6401</v>
      </c>
      <c r="K14" s="7" t="s">
        <v>9239</v>
      </c>
      <c r="L14" s="8" t="s">
        <v>9240</v>
      </c>
      <c r="M14" s="8" t="str">
        <f t="shared" si="5"/>
        <v>PEN</v>
      </c>
      <c r="N14" s="13"/>
      <c r="O14" s="13">
        <v>16</v>
      </c>
      <c r="P14" s="3">
        <f t="shared" si="1"/>
        <v>0</v>
      </c>
      <c r="Q14" s="3">
        <f t="shared" si="2"/>
        <v>16</v>
      </c>
      <c r="R14" s="3">
        <f t="shared" si="3"/>
        <v>465.6</v>
      </c>
      <c r="S14" s="24"/>
      <c r="T14" s="24"/>
      <c r="U14" s="3"/>
      <c r="V14" s="25" t="s">
        <v>9227</v>
      </c>
      <c r="W14" s="25"/>
      <c r="X14" s="25" t="str">
        <f>IFERROR(VLOOKUP(C_Ope_009[[#This Row],[nota_2]],Clientes_Proveedores[[Ruc / Dni]:[Razon Social]],2,0),"")</f>
        <v/>
      </c>
      <c r="Y14" s="25"/>
      <c r="Z14" s="103"/>
      <c r="AA14" s="3" t="str">
        <f>IF(C_Ope_009[[#This Row],[fecha]]&gt;0,TEXT(C_Ope_009[[#This Row],[fecha]],"mmmm"),0)</f>
        <v>Febrero</v>
      </c>
      <c r="AB14" s="291"/>
    </row>
    <row r="15" spans="1:28" x14ac:dyDescent="0.3">
      <c r="A15" s="2">
        <f>IF(C_Ope_009[[#This Row],[tipo_r]]="R",COUNTIFS($C$1:$C14,"R")+1,"")</f>
        <v>14</v>
      </c>
      <c r="B15" s="19" t="str">
        <f t="shared" si="4"/>
        <v>C_Ope_009</v>
      </c>
      <c r="C15" s="3" t="s">
        <v>1330</v>
      </c>
      <c r="D15" s="14">
        <v>45702</v>
      </c>
      <c r="E15" s="5" t="s">
        <v>9211</v>
      </c>
      <c r="F15" s="5" t="s">
        <v>1336</v>
      </c>
      <c r="G15" s="6"/>
      <c r="H15" s="6" t="s">
        <v>68</v>
      </c>
      <c r="I15" s="6" t="s">
        <v>9241</v>
      </c>
      <c r="J15" s="6">
        <v>726</v>
      </c>
      <c r="K15" s="7" t="s">
        <v>9242</v>
      </c>
      <c r="L15" s="8" t="s">
        <v>9243</v>
      </c>
      <c r="M15" s="8" t="str">
        <f t="shared" si="5"/>
        <v>PEN</v>
      </c>
      <c r="N15" s="13"/>
      <c r="O15" s="13">
        <v>38</v>
      </c>
      <c r="P15" s="3">
        <f t="shared" si="1"/>
        <v>0</v>
      </c>
      <c r="Q15" s="3">
        <f t="shared" si="2"/>
        <v>38</v>
      </c>
      <c r="R15" s="3">
        <f t="shared" si="3"/>
        <v>427.6</v>
      </c>
      <c r="S15" s="24"/>
      <c r="T15" s="24"/>
      <c r="U15" s="3"/>
      <c r="V15" s="25" t="s">
        <v>7302</v>
      </c>
      <c r="W15" s="25"/>
      <c r="X15" s="25" t="str">
        <f>IFERROR(VLOOKUP(C_Ope_009[[#This Row],[nota_2]],Clientes_Proveedores[[Ruc / Dni]:[Razon Social]],2,0),"")</f>
        <v/>
      </c>
      <c r="Y15" s="25"/>
      <c r="Z15" s="103"/>
      <c r="AA15" s="3" t="str">
        <f>IF(C_Ope_009[[#This Row],[fecha]]&gt;0,TEXT(C_Ope_009[[#This Row],[fecha]],"mmmm"),0)</f>
        <v>Febrero</v>
      </c>
      <c r="AB15" s="291"/>
    </row>
    <row r="16" spans="1:28" x14ac:dyDescent="0.3">
      <c r="A16" s="2">
        <f>IF(C_Ope_009[[#This Row],[tipo_r]]="R",COUNTIFS($C$1:$C15,"R")+1,"")</f>
        <v>15</v>
      </c>
      <c r="B16" s="19" t="str">
        <f t="shared" si="4"/>
        <v>C_Ope_009</v>
      </c>
      <c r="C16" s="3" t="s">
        <v>1330</v>
      </c>
      <c r="D16" s="14">
        <v>45702</v>
      </c>
      <c r="E16" s="5" t="s">
        <v>9211</v>
      </c>
      <c r="F16" s="5" t="s">
        <v>1336</v>
      </c>
      <c r="G16" s="6"/>
      <c r="H16" s="6" t="s">
        <v>68</v>
      </c>
      <c r="I16" s="6" t="s">
        <v>5470</v>
      </c>
      <c r="J16" s="6">
        <v>76124</v>
      </c>
      <c r="K16" s="7" t="s">
        <v>9219</v>
      </c>
      <c r="L16" s="8" t="s">
        <v>9244</v>
      </c>
      <c r="M16" s="8" t="str">
        <f t="shared" si="5"/>
        <v>PEN</v>
      </c>
      <c r="N16" s="13"/>
      <c r="O16" s="13">
        <v>16.600000000000001</v>
      </c>
      <c r="P16" s="3">
        <f t="shared" si="1"/>
        <v>0</v>
      </c>
      <c r="Q16" s="3">
        <f t="shared" si="2"/>
        <v>16.600000000000001</v>
      </c>
      <c r="R16" s="3">
        <f t="shared" si="3"/>
        <v>411</v>
      </c>
      <c r="S16" s="24"/>
      <c r="T16" s="24"/>
      <c r="U16" s="3"/>
      <c r="V16" s="25" t="s">
        <v>9218</v>
      </c>
      <c r="W16" s="25"/>
      <c r="X16" s="25" t="str">
        <f>IFERROR(VLOOKUP(C_Ope_009[[#This Row],[nota_2]],Clientes_Proveedores[[Ruc / Dni]:[Razon Social]],2,0),"")</f>
        <v/>
      </c>
      <c r="Y16" s="25"/>
      <c r="Z16" s="103"/>
      <c r="AA16" s="3" t="str">
        <f>IF(C_Ope_009[[#This Row],[fecha]]&gt;0,TEXT(C_Ope_009[[#This Row],[fecha]],"mmmm"),0)</f>
        <v>Febrero</v>
      </c>
      <c r="AB16" s="291"/>
    </row>
    <row r="17" spans="1:28" x14ac:dyDescent="0.3">
      <c r="A17" s="2">
        <f>IF(C_Ope_009[[#This Row],[tipo_r]]="R",COUNTIFS($C$1:$C16,"R")+1,"")</f>
        <v>16</v>
      </c>
      <c r="B17" s="19" t="str">
        <f t="shared" si="4"/>
        <v>C_Ope_009</v>
      </c>
      <c r="C17" s="3" t="s">
        <v>1330</v>
      </c>
      <c r="D17" s="14">
        <v>45702</v>
      </c>
      <c r="E17" s="5" t="s">
        <v>9211</v>
      </c>
      <c r="F17" s="5" t="s">
        <v>1336</v>
      </c>
      <c r="G17" s="6"/>
      <c r="H17" s="6" t="s">
        <v>68</v>
      </c>
      <c r="I17" s="6" t="s">
        <v>1386</v>
      </c>
      <c r="J17" s="6">
        <v>2773</v>
      </c>
      <c r="K17" s="7" t="s">
        <v>9245</v>
      </c>
      <c r="L17" s="8" t="s">
        <v>9246</v>
      </c>
      <c r="M17" s="8" t="str">
        <f t="shared" si="5"/>
        <v>PEN</v>
      </c>
      <c r="N17" s="13"/>
      <c r="O17" s="13">
        <v>164</v>
      </c>
      <c r="P17" s="3">
        <f t="shared" si="1"/>
        <v>0</v>
      </c>
      <c r="Q17" s="3">
        <f t="shared" si="2"/>
        <v>164</v>
      </c>
      <c r="R17" s="3">
        <f t="shared" si="3"/>
        <v>247</v>
      </c>
      <c r="S17" s="24"/>
      <c r="T17" s="24"/>
      <c r="U17" s="3"/>
      <c r="V17" s="25" t="s">
        <v>9214</v>
      </c>
      <c r="W17" s="25"/>
      <c r="X17" s="25" t="str">
        <f>IFERROR(VLOOKUP(C_Ope_009[[#This Row],[nota_2]],Clientes_Proveedores[[Ruc / Dni]:[Razon Social]],2,0),"")</f>
        <v/>
      </c>
      <c r="Y17" s="25"/>
      <c r="Z17" s="103"/>
      <c r="AA17" s="3" t="str">
        <f>IF(C_Ope_009[[#This Row],[fecha]]&gt;0,TEXT(C_Ope_009[[#This Row],[fecha]],"mmmm"),0)</f>
        <v>Febrero</v>
      </c>
      <c r="AB17" s="291"/>
    </row>
    <row r="18" spans="1:28" x14ac:dyDescent="0.3">
      <c r="A18" s="2">
        <f>IF(C_Ope_009[[#This Row],[tipo_r]]="R",COUNTIFS($C$1:$C17,"R")+1,"")</f>
        <v>17</v>
      </c>
      <c r="B18" s="19" t="str">
        <f t="shared" si="4"/>
        <v>C_Ope_009</v>
      </c>
      <c r="C18" s="3" t="s">
        <v>1330</v>
      </c>
      <c r="D18" s="14">
        <v>45712</v>
      </c>
      <c r="E18" s="5" t="s">
        <v>9211</v>
      </c>
      <c r="F18" s="5" t="s">
        <v>1336</v>
      </c>
      <c r="G18" s="6"/>
      <c r="H18" s="6" t="s">
        <v>68</v>
      </c>
      <c r="I18" s="6" t="s">
        <v>5470</v>
      </c>
      <c r="J18" s="6">
        <v>76174</v>
      </c>
      <c r="K18" s="7" t="s">
        <v>9219</v>
      </c>
      <c r="L18" s="8" t="s">
        <v>9247</v>
      </c>
      <c r="M18" s="8" t="str">
        <f t="shared" si="5"/>
        <v>PEN</v>
      </c>
      <c r="N18" s="13"/>
      <c r="O18" s="13">
        <v>16.600000000000001</v>
      </c>
      <c r="P18" s="3">
        <f t="shared" si="1"/>
        <v>0</v>
      </c>
      <c r="Q18" s="3">
        <f t="shared" si="2"/>
        <v>16.600000000000001</v>
      </c>
      <c r="R18" s="3">
        <f t="shared" si="3"/>
        <v>230.4</v>
      </c>
      <c r="S18" s="24"/>
      <c r="T18" s="24"/>
      <c r="U18" s="3"/>
      <c r="V18" s="25" t="s">
        <v>9218</v>
      </c>
      <c r="W18" s="25"/>
      <c r="X18" s="25" t="str">
        <f>IFERROR(VLOOKUP(C_Ope_009[[#This Row],[nota_2]],Clientes_Proveedores[[Ruc / Dni]:[Razon Social]],2,0),"")</f>
        <v/>
      </c>
      <c r="Y18" s="25"/>
      <c r="Z18" s="103"/>
      <c r="AA18" s="3" t="str">
        <f>IF(C_Ope_009[[#This Row],[fecha]]&gt;0,TEXT(C_Ope_009[[#This Row],[fecha]],"mmmm"),0)</f>
        <v>Febrero</v>
      </c>
      <c r="AB18" s="291"/>
    </row>
    <row r="19" spans="1:28" x14ac:dyDescent="0.3">
      <c r="A19" s="2">
        <f>IF(C_Ope_009[[#This Row],[tipo_r]]="R",COUNTIFS($C$1:$C18,"R")+1,"")</f>
        <v>18</v>
      </c>
      <c r="B19" s="19" t="str">
        <f t="shared" si="4"/>
        <v>C_Ope_009</v>
      </c>
      <c r="C19" s="3" t="s">
        <v>1330</v>
      </c>
      <c r="D19" s="14">
        <v>45721</v>
      </c>
      <c r="E19" s="5" t="s">
        <v>7514</v>
      </c>
      <c r="F19" s="5" t="s">
        <v>1303</v>
      </c>
      <c r="G19" s="6"/>
      <c r="H19" s="6"/>
      <c r="I19" s="6"/>
      <c r="J19" s="6"/>
      <c r="K19" s="7" t="s">
        <v>9248</v>
      </c>
      <c r="L19" s="8" t="s">
        <v>9249</v>
      </c>
      <c r="M19" s="8" t="str">
        <f t="shared" si="5"/>
        <v>PEN</v>
      </c>
      <c r="N19" s="13"/>
      <c r="O19" s="13">
        <v>46</v>
      </c>
      <c r="P19" s="3">
        <f t="shared" si="1"/>
        <v>46</v>
      </c>
      <c r="Q19" s="3">
        <f t="shared" si="2"/>
        <v>0</v>
      </c>
      <c r="R19" s="3">
        <f t="shared" si="3"/>
        <v>276.39999999999998</v>
      </c>
      <c r="S19" s="24"/>
      <c r="T19" s="24"/>
      <c r="U19" s="3"/>
      <c r="V19" s="25" t="s">
        <v>7302</v>
      </c>
      <c r="W19" s="25"/>
      <c r="X19" s="25" t="str">
        <f>IFERROR(VLOOKUP(C_Ope_009[[#This Row],[nota_2]],Clientes_Proveedores[[Ruc / Dni]:[Razon Social]],2,0),"")</f>
        <v/>
      </c>
      <c r="Y19" s="25"/>
      <c r="Z19" s="103"/>
      <c r="AA19" s="3" t="str">
        <f>IF(C_Ope_009[[#This Row],[fecha]]&gt;0,TEXT(C_Ope_009[[#This Row],[fecha]],"mmmm"),0)</f>
        <v>Marzo</v>
      </c>
      <c r="AB19" s="291"/>
    </row>
    <row r="20" spans="1:28" x14ac:dyDescent="0.3">
      <c r="A20" s="2">
        <f>IF(C_Ope_009[[#This Row],[tipo_r]]="R",COUNTIFS($C$1:$C19,"R")+1,"")</f>
        <v>19</v>
      </c>
      <c r="B20" s="19" t="str">
        <f t="shared" si="4"/>
        <v>C_Ope_009</v>
      </c>
      <c r="C20" s="3" t="s">
        <v>1330</v>
      </c>
      <c r="D20" s="14">
        <v>45723</v>
      </c>
      <c r="E20" s="5" t="s">
        <v>9211</v>
      </c>
      <c r="F20" s="5" t="s">
        <v>1336</v>
      </c>
      <c r="G20" s="6"/>
      <c r="H20" s="6" t="s">
        <v>68</v>
      </c>
      <c r="I20" s="6" t="s">
        <v>9228</v>
      </c>
      <c r="J20" s="6">
        <v>34362</v>
      </c>
      <c r="K20" s="7" t="s">
        <v>9219</v>
      </c>
      <c r="L20" s="8" t="s">
        <v>9250</v>
      </c>
      <c r="M20" s="8" t="str">
        <f t="shared" si="5"/>
        <v>PEN</v>
      </c>
      <c r="N20" s="13"/>
      <c r="O20" s="13">
        <v>24.4</v>
      </c>
      <c r="P20" s="3">
        <f t="shared" si="1"/>
        <v>0</v>
      </c>
      <c r="Q20" s="3">
        <f t="shared" si="2"/>
        <v>24.4</v>
      </c>
      <c r="R20" s="3">
        <f t="shared" si="3"/>
        <v>251.99999999999997</v>
      </c>
      <c r="S20" s="24"/>
      <c r="T20" s="24"/>
      <c r="U20" s="3"/>
      <c r="V20" s="25" t="s">
        <v>9218</v>
      </c>
      <c r="W20" s="25"/>
      <c r="X20" s="25" t="str">
        <f>IFERROR(VLOOKUP(C_Ope_009[[#This Row],[nota_2]],Clientes_Proveedores[[Ruc / Dni]:[Razon Social]],2,0),"")</f>
        <v/>
      </c>
      <c r="Y20" s="25"/>
      <c r="Z20" s="103"/>
      <c r="AA20" s="3" t="str">
        <f>IF(C_Ope_009[[#This Row],[fecha]]&gt;0,TEXT(C_Ope_009[[#This Row],[fecha]],"mmmm"),0)</f>
        <v>Marzo</v>
      </c>
      <c r="AB20" s="291"/>
    </row>
    <row r="21" spans="1:28" x14ac:dyDescent="0.3">
      <c r="A21" s="2">
        <f>IF(C_Ope_009[[#This Row],[tipo_r]]="R",COUNTIFS($C$1:$C20,"R")+1,"")</f>
        <v>20</v>
      </c>
      <c r="B21" s="19" t="str">
        <f t="shared" si="4"/>
        <v>C_Ope_009</v>
      </c>
      <c r="C21" s="3" t="s">
        <v>1330</v>
      </c>
      <c r="D21" s="14">
        <v>45730</v>
      </c>
      <c r="E21" s="5" t="s">
        <v>9211</v>
      </c>
      <c r="F21" s="5" t="s">
        <v>1336</v>
      </c>
      <c r="G21" s="6"/>
      <c r="H21" s="6" t="s">
        <v>68</v>
      </c>
      <c r="I21" s="6" t="s">
        <v>5470</v>
      </c>
      <c r="J21" s="6">
        <v>76308</v>
      </c>
      <c r="K21" s="7" t="s">
        <v>9219</v>
      </c>
      <c r="L21" s="8" t="s">
        <v>9251</v>
      </c>
      <c r="M21" s="8" t="str">
        <f t="shared" si="5"/>
        <v>PEN</v>
      </c>
      <c r="N21" s="13"/>
      <c r="O21" s="13">
        <v>16.600000000000001</v>
      </c>
      <c r="P21" s="3">
        <f t="shared" si="1"/>
        <v>0</v>
      </c>
      <c r="Q21" s="3">
        <f t="shared" si="2"/>
        <v>16.600000000000001</v>
      </c>
      <c r="R21" s="3">
        <f t="shared" si="3"/>
        <v>235.39999999999998</v>
      </c>
      <c r="S21" s="24"/>
      <c r="T21" s="24"/>
      <c r="U21" s="3"/>
      <c r="V21" s="25" t="s">
        <v>9218</v>
      </c>
      <c r="W21" s="25"/>
      <c r="X21" s="25" t="str">
        <f>IFERROR(VLOOKUP(C_Ope_009[[#This Row],[nota_2]],Clientes_Proveedores[[Ruc / Dni]:[Razon Social]],2,0),"")</f>
        <v/>
      </c>
      <c r="Y21" s="25"/>
      <c r="Z21" s="103"/>
      <c r="AA21" s="3" t="str">
        <f>IF(C_Ope_009[[#This Row],[fecha]]&gt;0,TEXT(C_Ope_009[[#This Row],[fecha]],"mmmm"),0)</f>
        <v>Marzo</v>
      </c>
      <c r="AB21" s="291"/>
    </row>
    <row r="22" spans="1:28" x14ac:dyDescent="0.3">
      <c r="A22" s="2">
        <f>IF(C_Ope_009[[#This Row],[tipo_r]]="R",COUNTIFS($C$1:$C21,"R")+1,"")</f>
        <v>21</v>
      </c>
      <c r="B22" s="19" t="str">
        <f t="shared" si="4"/>
        <v>C_Ope_009</v>
      </c>
      <c r="C22" s="3" t="s">
        <v>1330</v>
      </c>
      <c r="D22" s="14">
        <v>45737</v>
      </c>
      <c r="E22" s="5" t="s">
        <v>9211</v>
      </c>
      <c r="F22" s="5" t="s">
        <v>1336</v>
      </c>
      <c r="G22" s="6"/>
      <c r="H22" s="6" t="s">
        <v>68</v>
      </c>
      <c r="I22" s="6" t="s">
        <v>9228</v>
      </c>
      <c r="J22" s="6">
        <v>34440</v>
      </c>
      <c r="K22" s="7" t="s">
        <v>9219</v>
      </c>
      <c r="L22" s="8" t="s">
        <v>9252</v>
      </c>
      <c r="M22" s="8" t="str">
        <f t="shared" si="5"/>
        <v>PEN</v>
      </c>
      <c r="N22" s="13"/>
      <c r="O22" s="13">
        <v>16.600000000000001</v>
      </c>
      <c r="P22" s="3">
        <f t="shared" si="1"/>
        <v>0</v>
      </c>
      <c r="Q22" s="3">
        <f t="shared" si="2"/>
        <v>16.600000000000001</v>
      </c>
      <c r="R22" s="3">
        <f t="shared" si="3"/>
        <v>218.79999999999998</v>
      </c>
      <c r="S22" s="24"/>
      <c r="T22" s="24"/>
      <c r="U22" s="3"/>
      <c r="V22" s="25" t="s">
        <v>9218</v>
      </c>
      <c r="W22" s="25"/>
      <c r="X22" s="25" t="str">
        <f>IFERROR(VLOOKUP(C_Ope_009[[#This Row],[nota_2]],Clientes_Proveedores[[Ruc / Dni]:[Razon Social]],2,0),"")</f>
        <v/>
      </c>
      <c r="Y22" s="25"/>
      <c r="Z22" s="103"/>
      <c r="AA22" s="3" t="str">
        <f>IF(C_Ope_009[[#This Row],[fecha]]&gt;0,TEXT(C_Ope_009[[#This Row],[fecha]],"mmmm"),0)</f>
        <v>Marzo</v>
      </c>
      <c r="AB22" s="291"/>
    </row>
    <row r="23" spans="1:28" x14ac:dyDescent="0.3">
      <c r="A23" s="2">
        <f>IF(C_Ope_009[[#This Row],[tipo_r]]="R",COUNTIFS($C$1:$C22,"R")+1,"")</f>
        <v>22</v>
      </c>
      <c r="B23" s="19" t="str">
        <f t="shared" si="4"/>
        <v>C_Ope_009</v>
      </c>
      <c r="C23" s="3" t="s">
        <v>1330</v>
      </c>
      <c r="D23" s="14">
        <v>45740</v>
      </c>
      <c r="E23" s="5" t="s">
        <v>9211</v>
      </c>
      <c r="F23" s="5" t="s">
        <v>1336</v>
      </c>
      <c r="G23" s="6"/>
      <c r="H23" s="6" t="s">
        <v>68</v>
      </c>
      <c r="I23" s="6" t="s">
        <v>1343</v>
      </c>
      <c r="J23" s="6">
        <v>5377</v>
      </c>
      <c r="K23" s="7" t="s">
        <v>9253</v>
      </c>
      <c r="L23" s="8" t="s">
        <v>9254</v>
      </c>
      <c r="M23" s="8" t="str">
        <f t="shared" si="5"/>
        <v>PEN</v>
      </c>
      <c r="N23" s="13"/>
      <c r="O23" s="13">
        <v>34</v>
      </c>
      <c r="P23" s="3">
        <f t="shared" si="1"/>
        <v>0</v>
      </c>
      <c r="Q23" s="3">
        <f t="shared" si="2"/>
        <v>34</v>
      </c>
      <c r="R23" s="3">
        <f t="shared" si="3"/>
        <v>184.79999999999998</v>
      </c>
      <c r="S23" s="24"/>
      <c r="T23" s="24"/>
      <c r="U23" s="3"/>
      <c r="V23" s="25" t="s">
        <v>9214</v>
      </c>
      <c r="W23" s="25"/>
      <c r="X23" s="25" t="str">
        <f>IFERROR(VLOOKUP(C_Ope_009[[#This Row],[nota_2]],Clientes_Proveedores[[Ruc / Dni]:[Razon Social]],2,0),"")</f>
        <v/>
      </c>
      <c r="Y23" s="25"/>
      <c r="Z23" s="103"/>
      <c r="AA23" s="3" t="str">
        <f>IF(C_Ope_009[[#This Row],[fecha]]&gt;0,TEXT(C_Ope_009[[#This Row],[fecha]],"mmmm"),0)</f>
        <v>Marzo</v>
      </c>
      <c r="AB23" s="291"/>
    </row>
    <row r="24" spans="1:28" x14ac:dyDescent="0.3">
      <c r="A24" s="2">
        <f>IF(C_Ope_009[[#This Row],[tipo_r]]="R",COUNTIFS($C$1:$C23,"R")+1,"")</f>
        <v>23</v>
      </c>
      <c r="B24" s="19" t="str">
        <f t="shared" si="4"/>
        <v>C_Ope_009</v>
      </c>
      <c r="C24" s="3" t="s">
        <v>1330</v>
      </c>
      <c r="D24" s="14">
        <v>45744</v>
      </c>
      <c r="E24" s="5" t="s">
        <v>9211</v>
      </c>
      <c r="F24" s="5" t="s">
        <v>1336</v>
      </c>
      <c r="G24" s="6"/>
      <c r="H24" s="6" t="s">
        <v>68</v>
      </c>
      <c r="I24" s="6" t="s">
        <v>9228</v>
      </c>
      <c r="J24" s="6">
        <v>34464</v>
      </c>
      <c r="K24" s="7" t="s">
        <v>9219</v>
      </c>
      <c r="L24" s="8" t="s">
        <v>9255</v>
      </c>
      <c r="M24" s="8" t="str">
        <f t="shared" si="5"/>
        <v>PEN</v>
      </c>
      <c r="N24" s="13"/>
      <c r="O24" s="13">
        <v>16.600000000000001</v>
      </c>
      <c r="P24" s="3">
        <f t="shared" si="1"/>
        <v>0</v>
      </c>
      <c r="Q24" s="3">
        <f t="shared" si="2"/>
        <v>16.600000000000001</v>
      </c>
      <c r="R24" s="3">
        <f t="shared" si="3"/>
        <v>168.2</v>
      </c>
      <c r="S24" s="24"/>
      <c r="T24" s="24"/>
      <c r="U24" s="3"/>
      <c r="V24" s="25" t="s">
        <v>9218</v>
      </c>
      <c r="W24" s="25"/>
      <c r="X24" s="25" t="str">
        <f>IFERROR(VLOOKUP(C_Ope_009[[#This Row],[nota_2]],Clientes_Proveedores[[Ruc / Dni]:[Razon Social]],2,0),"")</f>
        <v/>
      </c>
      <c r="Y24" s="25"/>
      <c r="Z24" s="103"/>
      <c r="AA24" s="3" t="str">
        <f>IF(C_Ope_009[[#This Row],[fecha]]&gt;0,TEXT(C_Ope_009[[#This Row],[fecha]],"mmmm"),0)</f>
        <v>Marzo</v>
      </c>
      <c r="AB24" s="291"/>
    </row>
    <row r="25" spans="1:28" x14ac:dyDescent="0.3">
      <c r="A25" s="2">
        <f>IF(C_Ope_009[[#This Row],[tipo_r]]="R",COUNTIFS($C$1:$C24,"R")+1,"")</f>
        <v>24</v>
      </c>
      <c r="B25" s="19" t="str">
        <f t="shared" si="4"/>
        <v>C_Ope_009</v>
      </c>
      <c r="C25" s="3" t="s">
        <v>1330</v>
      </c>
      <c r="D25" s="14">
        <v>45749</v>
      </c>
      <c r="E25" s="5" t="s">
        <v>9211</v>
      </c>
      <c r="F25" s="5" t="s">
        <v>1336</v>
      </c>
      <c r="G25" s="6"/>
      <c r="H25" s="6" t="s">
        <v>68</v>
      </c>
      <c r="I25" s="6" t="s">
        <v>9228</v>
      </c>
      <c r="J25" s="6">
        <v>34496</v>
      </c>
      <c r="K25" s="7" t="s">
        <v>9256</v>
      </c>
      <c r="L25" s="8" t="s">
        <v>9257</v>
      </c>
      <c r="M25" s="8" t="str">
        <f t="shared" si="5"/>
        <v>PEN</v>
      </c>
      <c r="N25" s="13"/>
      <c r="O25" s="13">
        <v>16.600000000000001</v>
      </c>
      <c r="P25" s="3">
        <f t="shared" si="1"/>
        <v>0</v>
      </c>
      <c r="Q25" s="3">
        <f t="shared" si="2"/>
        <v>16.600000000000001</v>
      </c>
      <c r="R25" s="3">
        <f t="shared" si="3"/>
        <v>151.6</v>
      </c>
      <c r="S25" s="24"/>
      <c r="T25" s="24"/>
      <c r="U25" s="3"/>
      <c r="V25" s="25" t="s">
        <v>9218</v>
      </c>
      <c r="W25" s="25"/>
      <c r="X25" s="25" t="str">
        <f>IFERROR(VLOOKUP(C_Ope_009[[#This Row],[nota_2]],Clientes_Proveedores[[Ruc / Dni]:[Razon Social]],2,0),"")</f>
        <v/>
      </c>
      <c r="Y25" s="25"/>
      <c r="Z25" s="103"/>
      <c r="AA25" s="3" t="str">
        <f>IF(C_Ope_009[[#This Row],[fecha]]&gt;0,TEXT(C_Ope_009[[#This Row],[fecha]],"mmmm"),0)</f>
        <v>Abril</v>
      </c>
      <c r="AB25" s="291"/>
    </row>
    <row r="26" spans="1:28" x14ac:dyDescent="0.3">
      <c r="A26" s="2">
        <f>IF(C_Ope_009[[#This Row],[tipo_r]]="R",COUNTIFS($C$1:$C25,"R")+1,"")</f>
        <v>25</v>
      </c>
      <c r="B26" s="19" t="str">
        <f t="shared" si="4"/>
        <v>C_Ope_009</v>
      </c>
      <c r="C26" s="3" t="s">
        <v>1330</v>
      </c>
      <c r="D26" s="14">
        <v>45751</v>
      </c>
      <c r="E26" s="5" t="s">
        <v>9211</v>
      </c>
      <c r="F26" s="5" t="s">
        <v>1336</v>
      </c>
      <c r="G26" s="6"/>
      <c r="H26" s="6" t="s">
        <v>68</v>
      </c>
      <c r="I26" s="6" t="s">
        <v>2331</v>
      </c>
      <c r="J26" s="6">
        <v>114030</v>
      </c>
      <c r="K26" s="7" t="s">
        <v>9258</v>
      </c>
      <c r="L26" s="8" t="s">
        <v>9259</v>
      </c>
      <c r="M26" s="8" t="str">
        <f t="shared" si="5"/>
        <v>PEN</v>
      </c>
      <c r="N26" s="13"/>
      <c r="O26" s="13">
        <v>55.2</v>
      </c>
      <c r="P26" s="3">
        <f t="shared" si="1"/>
        <v>0</v>
      </c>
      <c r="Q26" s="3">
        <f t="shared" si="2"/>
        <v>55.2</v>
      </c>
      <c r="R26" s="3">
        <f t="shared" si="3"/>
        <v>96.399999999999991</v>
      </c>
      <c r="S26" s="24"/>
      <c r="T26" s="24"/>
      <c r="U26" s="3"/>
      <c r="V26" s="25" t="s">
        <v>9214</v>
      </c>
      <c r="W26" s="25"/>
      <c r="X26" s="25" t="str">
        <f>IFERROR(VLOOKUP(C_Ope_009[[#This Row],[nota_2]],Clientes_Proveedores[[Ruc / Dni]:[Razon Social]],2,0),"")</f>
        <v/>
      </c>
      <c r="Y26" s="25"/>
      <c r="Z26" s="103"/>
      <c r="AA26" s="3" t="str">
        <f>IF(C_Ope_009[[#This Row],[fecha]]&gt;0,TEXT(C_Ope_009[[#This Row],[fecha]],"mmmm"),0)</f>
        <v>Abril</v>
      </c>
      <c r="AB26" s="291"/>
    </row>
    <row r="27" spans="1:28" x14ac:dyDescent="0.3">
      <c r="A27" s="2">
        <f>IF(C_Ope_009[[#This Row],[tipo_r]]="R",COUNTIFS($C$1:$C26,"R")+1,"")</f>
        <v>26</v>
      </c>
      <c r="B27" s="19" t="str">
        <f t="shared" si="4"/>
        <v>C_Ope_009</v>
      </c>
      <c r="C27" s="3" t="s">
        <v>1330</v>
      </c>
      <c r="D27" s="14">
        <v>45758</v>
      </c>
      <c r="E27" s="5" t="s">
        <v>9211</v>
      </c>
      <c r="F27" s="5" t="s">
        <v>1336</v>
      </c>
      <c r="G27" s="6"/>
      <c r="H27" s="6" t="s">
        <v>68</v>
      </c>
      <c r="I27" s="6" t="s">
        <v>9228</v>
      </c>
      <c r="J27" s="6">
        <v>34583</v>
      </c>
      <c r="K27" s="7" t="s">
        <v>9219</v>
      </c>
      <c r="L27" s="8" t="s">
        <v>9260</v>
      </c>
      <c r="M27" s="8" t="str">
        <f t="shared" si="5"/>
        <v>PEN</v>
      </c>
      <c r="N27" s="13"/>
      <c r="O27" s="13">
        <v>16.600000000000001</v>
      </c>
      <c r="P27" s="3">
        <f t="shared" si="1"/>
        <v>0</v>
      </c>
      <c r="Q27" s="3">
        <f t="shared" si="2"/>
        <v>16.600000000000001</v>
      </c>
      <c r="R27" s="3">
        <f t="shared" si="3"/>
        <v>79.799999999999983</v>
      </c>
      <c r="S27" s="24"/>
      <c r="T27" s="24"/>
      <c r="U27" s="3"/>
      <c r="V27" s="25" t="s">
        <v>9218</v>
      </c>
      <c r="W27" s="25"/>
      <c r="X27" s="25" t="str">
        <f>IFERROR(VLOOKUP(C_Ope_009[[#This Row],[nota_2]],Clientes_Proveedores[[Ruc / Dni]:[Razon Social]],2,0),"")</f>
        <v/>
      </c>
      <c r="Y27" s="25"/>
      <c r="Z27" s="103"/>
      <c r="AA27" s="3" t="str">
        <f>IF(C_Ope_009[[#This Row],[fecha]]&gt;0,TEXT(C_Ope_009[[#This Row],[fecha]],"mmmm"),0)</f>
        <v>Abril</v>
      </c>
      <c r="AB27" s="291"/>
    </row>
    <row r="28" spans="1:28" x14ac:dyDescent="0.3">
      <c r="A28" s="2">
        <f>IF(C_Ope_009[[#This Row],[tipo_r]]="R",COUNTIFS($C$1:$C27,"R")+1,"")</f>
        <v>27</v>
      </c>
      <c r="B28" s="19" t="str">
        <f t="shared" si="4"/>
        <v>C_Ope_009</v>
      </c>
      <c r="C28" s="3" t="s">
        <v>1330</v>
      </c>
      <c r="D28" s="14">
        <v>45758</v>
      </c>
      <c r="E28" s="5" t="s">
        <v>9211</v>
      </c>
      <c r="F28" s="5" t="s">
        <v>1336</v>
      </c>
      <c r="G28" s="6"/>
      <c r="H28" s="6" t="s">
        <v>68</v>
      </c>
      <c r="I28" s="6" t="s">
        <v>2331</v>
      </c>
      <c r="J28" s="6">
        <v>114443</v>
      </c>
      <c r="K28" s="7" t="s">
        <v>9261</v>
      </c>
      <c r="L28" s="8" t="s">
        <v>9262</v>
      </c>
      <c r="M28" s="8" t="str">
        <f t="shared" si="5"/>
        <v>PEN</v>
      </c>
      <c r="N28" s="13"/>
      <c r="O28" s="13">
        <v>48.3</v>
      </c>
      <c r="P28" s="3">
        <f t="shared" si="1"/>
        <v>0</v>
      </c>
      <c r="Q28" s="3">
        <f t="shared" si="2"/>
        <v>48.3</v>
      </c>
      <c r="R28" s="3">
        <f t="shared" si="3"/>
        <v>31.499999999999986</v>
      </c>
      <c r="S28" s="24"/>
      <c r="T28" s="24"/>
      <c r="U28" s="3"/>
      <c r="V28" s="25" t="s">
        <v>9214</v>
      </c>
      <c r="W28" s="25"/>
      <c r="X28" s="25" t="str">
        <f>IFERROR(VLOOKUP(C_Ope_009[[#This Row],[nota_2]],Clientes_Proveedores[[Ruc / Dni]:[Razon Social]],2,0),"")</f>
        <v/>
      </c>
      <c r="Y28" s="25"/>
      <c r="Z28" s="103"/>
      <c r="AA28" s="3" t="str">
        <f>IF(C_Ope_009[[#This Row],[fecha]]&gt;0,TEXT(C_Ope_009[[#This Row],[fecha]],"mmmm"),0)</f>
        <v>Abril</v>
      </c>
      <c r="AB28" s="291"/>
    </row>
    <row r="29" spans="1:28" x14ac:dyDescent="0.3">
      <c r="A29" s="2">
        <f>IF(C_Ope_009[[#This Row],[tipo_r]]="R",COUNTIFS($C$1:$C28,"R")+1,"")</f>
        <v>28</v>
      </c>
      <c r="B29" s="19" t="str">
        <f t="shared" si="4"/>
        <v>C_Ope_009</v>
      </c>
      <c r="C29" s="3" t="s">
        <v>1330</v>
      </c>
      <c r="D29" s="14">
        <v>45762</v>
      </c>
      <c r="E29" s="5" t="s">
        <v>7514</v>
      </c>
      <c r="F29" s="5" t="s">
        <v>1303</v>
      </c>
      <c r="G29" s="6"/>
      <c r="H29" s="6"/>
      <c r="I29" s="6"/>
      <c r="J29" s="6"/>
      <c r="K29" s="7" t="s">
        <v>9263</v>
      </c>
      <c r="L29" s="8" t="s">
        <v>9264</v>
      </c>
      <c r="M29" s="8" t="str">
        <f t="shared" si="5"/>
        <v>PEN</v>
      </c>
      <c r="N29" s="13"/>
      <c r="O29" s="13">
        <v>16</v>
      </c>
      <c r="P29" s="3">
        <f t="shared" si="1"/>
        <v>16</v>
      </c>
      <c r="Q29" s="3">
        <f t="shared" si="2"/>
        <v>0</v>
      </c>
      <c r="R29" s="3">
        <f t="shared" si="3"/>
        <v>47.499999999999986</v>
      </c>
      <c r="S29" s="24"/>
      <c r="T29" s="24"/>
      <c r="U29" s="3"/>
      <c r="V29" s="25" t="s">
        <v>9227</v>
      </c>
      <c r="W29" s="25"/>
      <c r="X29" s="25" t="str">
        <f>IFERROR(VLOOKUP(C_Ope_009[[#This Row],[nota_2]],Clientes_Proveedores[[Ruc / Dni]:[Razon Social]],2,0),"")</f>
        <v/>
      </c>
      <c r="Y29" s="25"/>
      <c r="Z29" s="103"/>
      <c r="AA29" s="3" t="str">
        <f>IF(C_Ope_009[[#This Row],[fecha]]&gt;0,TEXT(C_Ope_009[[#This Row],[fecha]],"mmmm"),0)</f>
        <v>Abril</v>
      </c>
      <c r="AB29" s="291"/>
    </row>
    <row r="30" spans="1:28" x14ac:dyDescent="0.3">
      <c r="A30" s="2">
        <f>IF(C_Ope_009[[#This Row],[tipo_r]]="R",COUNTIFS($C$1:$C29,"R")+1,"")</f>
        <v>29</v>
      </c>
      <c r="B30" s="19" t="str">
        <f t="shared" si="4"/>
        <v>C_Ope_009</v>
      </c>
      <c r="C30" s="3" t="s">
        <v>1330</v>
      </c>
      <c r="D30" s="14">
        <v>45771</v>
      </c>
      <c r="E30" s="5" t="s">
        <v>9211</v>
      </c>
      <c r="F30" s="5" t="s">
        <v>1336</v>
      </c>
      <c r="G30" s="6"/>
      <c r="H30" s="6" t="s">
        <v>68</v>
      </c>
      <c r="I30" s="6" t="s">
        <v>9265</v>
      </c>
      <c r="J30" s="6">
        <v>2352376</v>
      </c>
      <c r="K30" s="7" t="s">
        <v>9266</v>
      </c>
      <c r="L30" s="8" t="s">
        <v>9267</v>
      </c>
      <c r="M30" s="8" t="str">
        <f t="shared" si="5"/>
        <v>PEN</v>
      </c>
      <c r="N30" s="13"/>
      <c r="O30" s="13">
        <v>22.8</v>
      </c>
      <c r="P30" s="3">
        <f t="shared" si="1"/>
        <v>0</v>
      </c>
      <c r="Q30" s="3">
        <f t="shared" si="2"/>
        <v>22.8</v>
      </c>
      <c r="R30" s="3">
        <f t="shared" si="3"/>
        <v>24.699999999999985</v>
      </c>
      <c r="S30" s="24"/>
      <c r="T30" s="24"/>
      <c r="U30" s="3"/>
      <c r="V30" s="25" t="s">
        <v>9227</v>
      </c>
      <c r="W30" s="25"/>
      <c r="X30" s="25" t="str">
        <f>IFERROR(VLOOKUP(C_Ope_009[[#This Row],[nota_2]],Clientes_Proveedores[[Ruc / Dni]:[Razon Social]],2,0),"")</f>
        <v/>
      </c>
      <c r="Y30" s="25"/>
      <c r="Z30" s="103"/>
      <c r="AA30" s="3" t="str">
        <f>IF(C_Ope_009[[#This Row],[fecha]]&gt;0,TEXT(C_Ope_009[[#This Row],[fecha]],"mmmm"),0)</f>
        <v>Abril</v>
      </c>
      <c r="AB30" s="291"/>
    </row>
    <row r="31" spans="1:28" x14ac:dyDescent="0.3">
      <c r="A31" s="2">
        <f>IF(C_Ope_009[[#This Row],[tipo_r]]="R",COUNTIFS($C$1:$C30,"R")+1,"")</f>
        <v>30</v>
      </c>
      <c r="B31" s="19" t="str">
        <f t="shared" si="4"/>
        <v>C_Ope_009</v>
      </c>
      <c r="C31" s="3" t="s">
        <v>1330</v>
      </c>
      <c r="D31" s="14">
        <v>45772</v>
      </c>
      <c r="E31" s="5" t="s">
        <v>9211</v>
      </c>
      <c r="F31" s="5" t="s">
        <v>1336</v>
      </c>
      <c r="G31" s="6"/>
      <c r="H31" s="6" t="s">
        <v>68</v>
      </c>
      <c r="I31" s="6" t="s">
        <v>9228</v>
      </c>
      <c r="J31" s="6">
        <v>34651</v>
      </c>
      <c r="K31" s="7" t="s">
        <v>9219</v>
      </c>
      <c r="L31" s="8" t="s">
        <v>9268</v>
      </c>
      <c r="M31" s="8" t="str">
        <f t="shared" si="5"/>
        <v>PEN</v>
      </c>
      <c r="N31" s="13"/>
      <c r="O31" s="13">
        <v>24.4</v>
      </c>
      <c r="P31" s="3">
        <f t="shared" si="1"/>
        <v>0</v>
      </c>
      <c r="Q31" s="3">
        <f t="shared" si="2"/>
        <v>24.4</v>
      </c>
      <c r="R31" s="3">
        <f t="shared" si="3"/>
        <v>0.2999999999999865</v>
      </c>
      <c r="S31" s="24"/>
      <c r="T31" s="24"/>
      <c r="U31" s="3"/>
      <c r="V31" s="25" t="s">
        <v>9218</v>
      </c>
      <c r="W31" s="25"/>
      <c r="X31" s="25" t="str">
        <f>IFERROR(VLOOKUP(C_Ope_009[[#This Row],[nota_2]],Clientes_Proveedores[[Ruc / Dni]:[Razon Social]],2,0),"")</f>
        <v/>
      </c>
      <c r="Y31" s="25"/>
      <c r="Z31" s="103"/>
      <c r="AA31" s="3" t="str">
        <f>IF(C_Ope_009[[#This Row],[fecha]]&gt;0,TEXT(C_Ope_009[[#This Row],[fecha]],"mmmm"),0)</f>
        <v>Abril</v>
      </c>
      <c r="AB31" s="291"/>
    </row>
    <row r="32" spans="1:28" x14ac:dyDescent="0.3">
      <c r="A32" s="2">
        <f>IF(C_Ope_009[[#This Row],[tipo_r]]="R",COUNTIFS($C$1:$C31,"R")+1,"")</f>
        <v>31</v>
      </c>
      <c r="B32" s="19" t="str">
        <f t="shared" si="4"/>
        <v>C_Ope_009</v>
      </c>
      <c r="C32" s="3" t="s">
        <v>1330</v>
      </c>
      <c r="D32" s="14">
        <v>45775</v>
      </c>
      <c r="E32" s="5" t="s">
        <v>7514</v>
      </c>
      <c r="F32" s="5" t="s">
        <v>1303</v>
      </c>
      <c r="G32" s="6"/>
      <c r="H32" s="6"/>
      <c r="I32" s="6"/>
      <c r="J32" s="6"/>
      <c r="K32" s="7" t="s">
        <v>9223</v>
      </c>
      <c r="L32" s="8" t="s">
        <v>9269</v>
      </c>
      <c r="M32" s="8" t="str">
        <f t="shared" si="5"/>
        <v>PEN</v>
      </c>
      <c r="N32" s="13"/>
      <c r="O32" s="13">
        <v>200</v>
      </c>
      <c r="P32" s="3">
        <f t="shared" si="1"/>
        <v>200</v>
      </c>
      <c r="Q32" s="3">
        <f t="shared" si="2"/>
        <v>0</v>
      </c>
      <c r="R32" s="3">
        <f t="shared" si="3"/>
        <v>200.29999999999998</v>
      </c>
      <c r="S32" s="24"/>
      <c r="T32" s="24"/>
      <c r="U32" s="3"/>
      <c r="V32" s="25"/>
      <c r="W32" s="25"/>
      <c r="X32" s="25" t="str">
        <f>IFERROR(VLOOKUP(C_Ope_009[[#This Row],[nota_2]],Clientes_Proveedores[[Ruc / Dni]:[Razon Social]],2,0),"")</f>
        <v/>
      </c>
      <c r="Y32" s="25"/>
      <c r="Z32" s="103"/>
      <c r="AA32" s="3" t="str">
        <f>IF(C_Ope_009[[#This Row],[fecha]]&gt;0,TEXT(C_Ope_009[[#This Row],[fecha]],"mmmm"),0)</f>
        <v>Abril</v>
      </c>
      <c r="AB32" s="291"/>
    </row>
    <row r="33" spans="1:28" x14ac:dyDescent="0.3">
      <c r="A33" s="2">
        <f>IF(C_Ope_009[[#This Row],[tipo_r]]="R",COUNTIFS($C$1:$C32,"R")+1,"")</f>
        <v>32</v>
      </c>
      <c r="B33" s="19" t="str">
        <f t="shared" si="4"/>
        <v>C_Ope_009</v>
      </c>
      <c r="C33" s="3" t="s">
        <v>1330</v>
      </c>
      <c r="D33" s="14">
        <v>45777</v>
      </c>
      <c r="E33" s="5" t="s">
        <v>9211</v>
      </c>
      <c r="F33" s="5" t="s">
        <v>1336</v>
      </c>
      <c r="G33" s="6"/>
      <c r="H33" s="6" t="s">
        <v>68</v>
      </c>
      <c r="I33" s="6" t="s">
        <v>9228</v>
      </c>
      <c r="J33" s="6">
        <v>34669</v>
      </c>
      <c r="K33" s="7" t="s">
        <v>9219</v>
      </c>
      <c r="L33" s="8" t="s">
        <v>9270</v>
      </c>
      <c r="M33" s="8" t="str">
        <f t="shared" si="5"/>
        <v>PEN</v>
      </c>
      <c r="N33" s="13"/>
      <c r="O33" s="13">
        <v>16.600000000000001</v>
      </c>
      <c r="P33" s="3">
        <f t="shared" si="1"/>
        <v>0</v>
      </c>
      <c r="Q33" s="3">
        <f t="shared" si="2"/>
        <v>16.600000000000001</v>
      </c>
      <c r="R33" s="3">
        <f t="shared" si="3"/>
        <v>183.7</v>
      </c>
      <c r="S33" s="24"/>
      <c r="T33" s="24"/>
      <c r="U33" s="3"/>
      <c r="V33" s="25" t="s">
        <v>9218</v>
      </c>
      <c r="W33" s="25"/>
      <c r="X33" s="25" t="str">
        <f>IFERROR(VLOOKUP(C_Ope_009[[#This Row],[nota_2]],Clientes_Proveedores[[Ruc / Dni]:[Razon Social]],2,0),"")</f>
        <v/>
      </c>
      <c r="Y33" s="25"/>
      <c r="Z33" s="103"/>
      <c r="AA33" s="3" t="str">
        <f>IF(C_Ope_009[[#This Row],[fecha]]&gt;0,TEXT(C_Ope_009[[#This Row],[fecha]],"mmmm"),0)</f>
        <v>Abril</v>
      </c>
      <c r="AB33" s="291"/>
    </row>
    <row r="34" spans="1:28" x14ac:dyDescent="0.3">
      <c r="A34" s="2">
        <f>IF(C_Ope_009[[#This Row],[tipo_r]]="R",COUNTIFS($C$1:$C33,"R")+1,"")</f>
        <v>33</v>
      </c>
      <c r="B34" s="19" t="str">
        <f t="shared" si="4"/>
        <v>C_Ope_009</v>
      </c>
      <c r="C34" s="3" t="s">
        <v>1330</v>
      </c>
      <c r="D34" s="14">
        <v>45782</v>
      </c>
      <c r="E34" s="5" t="s">
        <v>9211</v>
      </c>
      <c r="F34" s="5" t="s">
        <v>1336</v>
      </c>
      <c r="G34" s="6"/>
      <c r="H34" s="6" t="s">
        <v>68</v>
      </c>
      <c r="I34" s="6" t="s">
        <v>2331</v>
      </c>
      <c r="J34" s="6">
        <v>115513</v>
      </c>
      <c r="K34" s="7" t="s">
        <v>9261</v>
      </c>
      <c r="L34" s="8" t="s">
        <v>9271</v>
      </c>
      <c r="M34" s="8" t="str">
        <f t="shared" si="5"/>
        <v>PEN</v>
      </c>
      <c r="N34" s="13"/>
      <c r="O34" s="13">
        <v>52.5</v>
      </c>
      <c r="P34" s="3">
        <f t="shared" ref="P34:P54" si="6">+IF(OR($F34="SALDO",$F34="INGRESO"),$O34,0)</f>
        <v>0</v>
      </c>
      <c r="Q34" s="3">
        <f t="shared" ref="Q34:Q54" si="7">+IF($F34="EGRESO",$O34,0)</f>
        <v>52.5</v>
      </c>
      <c r="R34" s="3">
        <f t="shared" ref="R34:R65" si="8">IFERROR(IF(F34="SALDO",P34,R33+P34-Q34),0)</f>
        <v>131.19999999999999</v>
      </c>
      <c r="S34" s="24"/>
      <c r="T34" s="24"/>
      <c r="U34" s="3"/>
      <c r="V34" s="25" t="s">
        <v>9214</v>
      </c>
      <c r="W34" s="25"/>
      <c r="X34" s="25" t="str">
        <f>IFERROR(VLOOKUP(C_Ope_009[[#This Row],[nota_2]],Clientes_Proveedores[[Ruc / Dni]:[Razon Social]],2,0),"")</f>
        <v/>
      </c>
      <c r="Y34" s="25"/>
      <c r="Z34" s="103"/>
      <c r="AA34" s="3" t="str">
        <f>IF(C_Ope_009[[#This Row],[fecha]]&gt;0,TEXT(C_Ope_009[[#This Row],[fecha]],"mmmm"),0)</f>
        <v>Mayo</v>
      </c>
      <c r="AB34" s="291"/>
    </row>
    <row r="35" spans="1:28" x14ac:dyDescent="0.3">
      <c r="A35" s="2">
        <f>IF(C_Ope_009[[#This Row],[tipo_r]]="R",COUNTIFS($C$1:$C34,"R")+1,"")</f>
        <v>34</v>
      </c>
      <c r="B35" s="19" t="str">
        <f t="shared" ref="B35:B54" si="9">"C_Ope_009"</f>
        <v>C_Ope_009</v>
      </c>
      <c r="C35" s="3" t="s">
        <v>1330</v>
      </c>
      <c r="D35" s="14">
        <v>45786</v>
      </c>
      <c r="E35" s="5" t="s">
        <v>9211</v>
      </c>
      <c r="F35" s="5" t="s">
        <v>1336</v>
      </c>
      <c r="G35" s="6"/>
      <c r="H35" s="6" t="s">
        <v>68</v>
      </c>
      <c r="I35" s="6" t="s">
        <v>5470</v>
      </c>
      <c r="J35" s="6">
        <v>76550</v>
      </c>
      <c r="K35" s="7" t="s">
        <v>9219</v>
      </c>
      <c r="L35" s="8" t="s">
        <v>9272</v>
      </c>
      <c r="M35" s="8" t="str">
        <f t="shared" ref="M35:M54" si="10">"PEN"</f>
        <v>PEN</v>
      </c>
      <c r="N35" s="13"/>
      <c r="O35" s="13">
        <v>16.600000000000001</v>
      </c>
      <c r="P35" s="3">
        <f t="shared" si="6"/>
        <v>0</v>
      </c>
      <c r="Q35" s="3">
        <f t="shared" si="7"/>
        <v>16.600000000000001</v>
      </c>
      <c r="R35" s="3">
        <f t="shared" si="8"/>
        <v>114.6</v>
      </c>
      <c r="S35" s="24"/>
      <c r="T35" s="24"/>
      <c r="U35" s="3"/>
      <c r="V35" s="25" t="s">
        <v>9218</v>
      </c>
      <c r="W35" s="25"/>
      <c r="X35" s="25" t="str">
        <f>IFERROR(VLOOKUP(C_Ope_009[[#This Row],[nota_2]],Clientes_Proveedores[[Ruc / Dni]:[Razon Social]],2,0),"")</f>
        <v/>
      </c>
      <c r="Y35" s="25"/>
      <c r="Z35" s="103"/>
      <c r="AA35" s="3" t="str">
        <f>IF(C_Ope_009[[#This Row],[fecha]]&gt;0,TEXT(C_Ope_009[[#This Row],[fecha]],"mmmm"),0)</f>
        <v>Mayo</v>
      </c>
      <c r="AB35" s="291"/>
    </row>
    <row r="36" spans="1:28" x14ac:dyDescent="0.3">
      <c r="A36" s="2">
        <f>IF(C_Ope_009[[#This Row],[tipo_r]]="R",COUNTIFS($C$1:$C35,"R")+1,"")</f>
        <v>35</v>
      </c>
      <c r="B36" s="19" t="str">
        <f t="shared" si="9"/>
        <v>C_Ope_009</v>
      </c>
      <c r="C36" s="3" t="s">
        <v>1330</v>
      </c>
      <c r="D36" s="14">
        <v>45786</v>
      </c>
      <c r="E36" s="5" t="s">
        <v>9211</v>
      </c>
      <c r="F36" s="5" t="s">
        <v>1336</v>
      </c>
      <c r="G36" s="6"/>
      <c r="H36" s="6" t="s">
        <v>68</v>
      </c>
      <c r="I36" s="6" t="s">
        <v>2331</v>
      </c>
      <c r="J36" s="6">
        <v>115758</v>
      </c>
      <c r="K36" s="7" t="s">
        <v>9261</v>
      </c>
      <c r="L36" s="8" t="s">
        <v>9273</v>
      </c>
      <c r="M36" s="8" t="str">
        <f t="shared" si="10"/>
        <v>PEN</v>
      </c>
      <c r="N36" s="13"/>
      <c r="O36" s="13">
        <v>52.5</v>
      </c>
      <c r="P36" s="3">
        <f t="shared" si="6"/>
        <v>0</v>
      </c>
      <c r="Q36" s="3">
        <f t="shared" si="7"/>
        <v>52.5</v>
      </c>
      <c r="R36" s="3">
        <f t="shared" si="8"/>
        <v>62.099999999999994</v>
      </c>
      <c r="S36" s="24"/>
      <c r="T36" s="24"/>
      <c r="U36" s="3"/>
      <c r="V36" s="25" t="s">
        <v>9214</v>
      </c>
      <c r="W36" s="25"/>
      <c r="X36" s="25" t="str">
        <f>IFERROR(VLOOKUP(C_Ope_009[[#This Row],[nota_2]],Clientes_Proveedores[[Ruc / Dni]:[Razon Social]],2,0),"")</f>
        <v/>
      </c>
      <c r="Y36" s="25"/>
      <c r="Z36" s="103"/>
      <c r="AA36" s="3" t="str">
        <f>IF(C_Ope_009[[#This Row],[fecha]]&gt;0,TEXT(C_Ope_009[[#This Row],[fecha]],"mmmm"),0)</f>
        <v>Mayo</v>
      </c>
      <c r="AB36" s="291"/>
    </row>
    <row r="37" spans="1:28" x14ac:dyDescent="0.3">
      <c r="A37" s="2">
        <f>IF(C_Ope_009[[#This Row],[tipo_r]]="R",COUNTIFS($C$1:$C36,"R")+1,"")</f>
        <v>36</v>
      </c>
      <c r="B37" s="19" t="str">
        <f t="shared" si="9"/>
        <v>C_Ope_009</v>
      </c>
      <c r="C37" s="3" t="s">
        <v>1330</v>
      </c>
      <c r="D37" s="14">
        <v>45791</v>
      </c>
      <c r="E37" s="5" t="s">
        <v>7514</v>
      </c>
      <c r="F37" s="5" t="s">
        <v>1303</v>
      </c>
      <c r="G37" s="6"/>
      <c r="H37" s="6"/>
      <c r="I37" s="6"/>
      <c r="J37" s="6"/>
      <c r="K37" s="7" t="s">
        <v>9223</v>
      </c>
      <c r="L37" s="8" t="s">
        <v>9274</v>
      </c>
      <c r="M37" s="8" t="str">
        <f t="shared" si="10"/>
        <v>PEN</v>
      </c>
      <c r="N37" s="13"/>
      <c r="O37" s="13">
        <v>300</v>
      </c>
      <c r="P37" s="3">
        <f t="shared" si="6"/>
        <v>300</v>
      </c>
      <c r="Q37" s="3">
        <f t="shared" si="7"/>
        <v>0</v>
      </c>
      <c r="R37" s="3">
        <f t="shared" si="8"/>
        <v>362.1</v>
      </c>
      <c r="S37" s="24"/>
      <c r="T37" s="24"/>
      <c r="U37" s="3"/>
      <c r="V37" s="25"/>
      <c r="W37" s="25"/>
      <c r="X37" s="25" t="str">
        <f>IFERROR(VLOOKUP(C_Ope_009[[#This Row],[nota_2]],Clientes_Proveedores[[Ruc / Dni]:[Razon Social]],2,0),"")</f>
        <v/>
      </c>
      <c r="Y37" s="25"/>
      <c r="Z37" s="103"/>
      <c r="AA37" s="3" t="str">
        <f>IF(C_Ope_009[[#This Row],[fecha]]&gt;0,TEXT(C_Ope_009[[#This Row],[fecha]],"mmmm"),0)</f>
        <v>Mayo</v>
      </c>
      <c r="AB37" s="291"/>
    </row>
    <row r="38" spans="1:28" x14ac:dyDescent="0.3">
      <c r="A38" s="2">
        <f>IF(C_Ope_009[[#This Row],[tipo_r]]="R",COUNTIFS($C$1:$C37,"R")+1,"")</f>
        <v>37</v>
      </c>
      <c r="B38" s="19" t="str">
        <f t="shared" si="9"/>
        <v>C_Ope_009</v>
      </c>
      <c r="C38" s="3" t="s">
        <v>1330</v>
      </c>
      <c r="D38" s="14">
        <v>45793</v>
      </c>
      <c r="E38" s="5" t="s">
        <v>9211</v>
      </c>
      <c r="F38" s="5" t="s">
        <v>1336</v>
      </c>
      <c r="G38" s="6"/>
      <c r="H38" s="6" t="s">
        <v>68</v>
      </c>
      <c r="I38" s="6" t="s">
        <v>9228</v>
      </c>
      <c r="J38" s="6">
        <v>34751</v>
      </c>
      <c r="K38" s="7" t="s">
        <v>9219</v>
      </c>
      <c r="L38" s="8" t="s">
        <v>9275</v>
      </c>
      <c r="M38" s="8" t="str">
        <f t="shared" si="10"/>
        <v>PEN</v>
      </c>
      <c r="N38" s="13"/>
      <c r="O38" s="13">
        <v>16.600000000000001</v>
      </c>
      <c r="P38" s="3">
        <f t="shared" si="6"/>
        <v>0</v>
      </c>
      <c r="Q38" s="3">
        <f t="shared" si="7"/>
        <v>16.600000000000001</v>
      </c>
      <c r="R38" s="3">
        <f t="shared" si="8"/>
        <v>345.5</v>
      </c>
      <c r="S38" s="24"/>
      <c r="T38" s="24"/>
      <c r="U38" s="3"/>
      <c r="V38" s="25" t="s">
        <v>9218</v>
      </c>
      <c r="W38" s="25"/>
      <c r="X38" s="25" t="str">
        <f>IFERROR(VLOOKUP(C_Ope_009[[#This Row],[nota_2]],Clientes_Proveedores[[Ruc / Dni]:[Razon Social]],2,0),"")</f>
        <v/>
      </c>
      <c r="Y38" s="25"/>
      <c r="Z38" s="103"/>
      <c r="AA38" s="3" t="str">
        <f>IF(C_Ope_009[[#This Row],[fecha]]&gt;0,TEXT(C_Ope_009[[#This Row],[fecha]],"mmmm"),0)</f>
        <v>Mayo</v>
      </c>
      <c r="AB38" s="291"/>
    </row>
    <row r="39" spans="1:28" x14ac:dyDescent="0.3">
      <c r="A39" s="2">
        <f>IF(C_Ope_009[[#This Row],[tipo_r]]="R",COUNTIFS($C$1:$C38,"R")+1,"")</f>
        <v>38</v>
      </c>
      <c r="B39" s="19" t="str">
        <f t="shared" si="9"/>
        <v>C_Ope_009</v>
      </c>
      <c r="C39" s="3" t="s">
        <v>1330</v>
      </c>
      <c r="D39" s="14">
        <v>45793</v>
      </c>
      <c r="E39" s="5" t="s">
        <v>9211</v>
      </c>
      <c r="F39" s="5" t="s">
        <v>1336</v>
      </c>
      <c r="G39" s="6"/>
      <c r="H39" s="6" t="s">
        <v>68</v>
      </c>
      <c r="I39" s="6" t="s">
        <v>2331</v>
      </c>
      <c r="J39" s="6">
        <v>116141</v>
      </c>
      <c r="K39" s="7" t="s">
        <v>9276</v>
      </c>
      <c r="L39" s="8" t="s">
        <v>9277</v>
      </c>
      <c r="M39" s="8" t="str">
        <f t="shared" si="10"/>
        <v>PEN</v>
      </c>
      <c r="N39" s="13"/>
      <c r="O39" s="13">
        <v>56.3</v>
      </c>
      <c r="P39" s="3">
        <f t="shared" si="6"/>
        <v>0</v>
      </c>
      <c r="Q39" s="3">
        <f t="shared" si="7"/>
        <v>56.3</v>
      </c>
      <c r="R39" s="3">
        <f t="shared" si="8"/>
        <v>289.2</v>
      </c>
      <c r="S39" s="24"/>
      <c r="T39" s="24"/>
      <c r="U39" s="3"/>
      <c r="V39" s="25" t="s">
        <v>9214</v>
      </c>
      <c r="W39" s="25"/>
      <c r="X39" s="25" t="str">
        <f>IFERROR(VLOOKUP(C_Ope_009[[#This Row],[nota_2]],Clientes_Proveedores[[Ruc / Dni]:[Razon Social]],2,0),"")</f>
        <v/>
      </c>
      <c r="Y39" s="25"/>
      <c r="Z39" s="103"/>
      <c r="AA39" s="3" t="str">
        <f>IF(C_Ope_009[[#This Row],[fecha]]&gt;0,TEXT(C_Ope_009[[#This Row],[fecha]],"mmmm"),0)</f>
        <v>Mayo</v>
      </c>
      <c r="AB39" s="291"/>
    </row>
    <row r="40" spans="1:28" x14ac:dyDescent="0.3">
      <c r="A40" s="2">
        <f>IF(C_Ope_009[[#This Row],[tipo_r]]="R",COUNTIFS($C$1:$C39,"R")+1,"")</f>
        <v>39</v>
      </c>
      <c r="B40" s="19" t="str">
        <f t="shared" si="9"/>
        <v>C_Ope_009</v>
      </c>
      <c r="C40" s="3" t="s">
        <v>1330</v>
      </c>
      <c r="D40" s="14">
        <v>45799</v>
      </c>
      <c r="E40" s="5" t="s">
        <v>9211</v>
      </c>
      <c r="F40" s="5" t="s">
        <v>1336</v>
      </c>
      <c r="G40" s="6"/>
      <c r="H40" s="6" t="s">
        <v>68</v>
      </c>
      <c r="I40" s="6" t="s">
        <v>9228</v>
      </c>
      <c r="J40" s="6">
        <v>34784</v>
      </c>
      <c r="K40" s="7" t="s">
        <v>9278</v>
      </c>
      <c r="L40" s="8" t="s">
        <v>9279</v>
      </c>
      <c r="M40" s="8" t="str">
        <f t="shared" si="10"/>
        <v>PEN</v>
      </c>
      <c r="N40" s="13"/>
      <c r="O40" s="13">
        <v>16.600000000000001</v>
      </c>
      <c r="P40" s="3">
        <f t="shared" si="6"/>
        <v>0</v>
      </c>
      <c r="Q40" s="3">
        <f t="shared" si="7"/>
        <v>16.600000000000001</v>
      </c>
      <c r="R40" s="3">
        <f t="shared" si="8"/>
        <v>272.59999999999997</v>
      </c>
      <c r="S40" s="24"/>
      <c r="T40" s="24"/>
      <c r="U40" s="3"/>
      <c r="V40" s="25" t="s">
        <v>9218</v>
      </c>
      <c r="W40" s="25"/>
      <c r="X40" s="25" t="str">
        <f>IFERROR(VLOOKUP(C_Ope_009[[#This Row],[nota_2]],Clientes_Proveedores[[Ruc / Dni]:[Razon Social]],2,0),"")</f>
        <v/>
      </c>
      <c r="Y40" s="25"/>
      <c r="Z40" s="103"/>
      <c r="AA40" s="3" t="str">
        <f>IF(C_Ope_009[[#This Row],[fecha]]&gt;0,TEXT(C_Ope_009[[#This Row],[fecha]],"mmmm"),0)</f>
        <v>Mayo</v>
      </c>
      <c r="AB40" s="291"/>
    </row>
    <row r="41" spans="1:28" x14ac:dyDescent="0.3">
      <c r="A41" s="2">
        <f>IF(C_Ope_009[[#This Row],[tipo_r]]="R",COUNTIFS($C$1:$C40,"R")+1,"")</f>
        <v>40</v>
      </c>
      <c r="B41" s="19" t="str">
        <f t="shared" si="9"/>
        <v>C_Ope_009</v>
      </c>
      <c r="C41" s="3" t="s">
        <v>1330</v>
      </c>
      <c r="D41" s="14">
        <v>45799</v>
      </c>
      <c r="E41" s="5" t="s">
        <v>9211</v>
      </c>
      <c r="F41" s="5" t="s">
        <v>1336</v>
      </c>
      <c r="G41" s="6"/>
      <c r="H41" s="6" t="s">
        <v>75</v>
      </c>
      <c r="I41" s="6">
        <v>1</v>
      </c>
      <c r="J41" s="6">
        <v>1023</v>
      </c>
      <c r="K41" s="7" t="s">
        <v>9280</v>
      </c>
      <c r="L41" s="8" t="s">
        <v>9281</v>
      </c>
      <c r="M41" s="8" t="str">
        <f t="shared" si="10"/>
        <v>PEN</v>
      </c>
      <c r="N41" s="13"/>
      <c r="O41" s="13">
        <v>20</v>
      </c>
      <c r="P41" s="3">
        <f t="shared" si="6"/>
        <v>0</v>
      </c>
      <c r="Q41" s="3">
        <f t="shared" si="7"/>
        <v>20</v>
      </c>
      <c r="R41" s="3">
        <f t="shared" si="8"/>
        <v>252.59999999999997</v>
      </c>
      <c r="S41" s="24"/>
      <c r="T41" s="24"/>
      <c r="U41" s="3"/>
      <c r="V41" s="25" t="s">
        <v>9235</v>
      </c>
      <c r="W41" s="25"/>
      <c r="X41" s="25" t="str">
        <f>IFERROR(VLOOKUP(C_Ope_009[[#This Row],[nota_2]],Clientes_Proveedores[[Ruc / Dni]:[Razon Social]],2,0),"")</f>
        <v/>
      </c>
      <c r="Y41" s="25"/>
      <c r="Z41" s="103"/>
      <c r="AA41" s="3" t="str">
        <f>IF(C_Ope_009[[#This Row],[fecha]]&gt;0,TEXT(C_Ope_009[[#This Row],[fecha]],"mmmm"),0)</f>
        <v>Mayo</v>
      </c>
      <c r="AB41" s="291"/>
    </row>
    <row r="42" spans="1:28" x14ac:dyDescent="0.3">
      <c r="A42" s="2">
        <f>IF(C_Ope_009[[#This Row],[tipo_r]]="R",COUNTIFS($C$1:$C41,"R")+1,"")</f>
        <v>41</v>
      </c>
      <c r="B42" s="19" t="str">
        <f t="shared" si="9"/>
        <v>C_Ope_009</v>
      </c>
      <c r="C42" s="3" t="s">
        <v>1330</v>
      </c>
      <c r="D42" s="14">
        <v>45800</v>
      </c>
      <c r="E42" s="5" t="s">
        <v>9211</v>
      </c>
      <c r="F42" s="5" t="s">
        <v>1336</v>
      </c>
      <c r="G42" s="6"/>
      <c r="H42" s="6" t="s">
        <v>68</v>
      </c>
      <c r="I42" s="6" t="s">
        <v>2331</v>
      </c>
      <c r="J42" s="6">
        <v>116504</v>
      </c>
      <c r="K42" s="7" t="s">
        <v>9282</v>
      </c>
      <c r="L42" s="8" t="s">
        <v>9283</v>
      </c>
      <c r="M42" s="8" t="str">
        <f t="shared" si="10"/>
        <v>PEN</v>
      </c>
      <c r="N42" s="13"/>
      <c r="O42" s="13">
        <v>48.3</v>
      </c>
      <c r="P42" s="3">
        <f t="shared" si="6"/>
        <v>0</v>
      </c>
      <c r="Q42" s="3">
        <f t="shared" si="7"/>
        <v>48.3</v>
      </c>
      <c r="R42" s="3">
        <f t="shared" si="8"/>
        <v>204.29999999999995</v>
      </c>
      <c r="S42" s="24"/>
      <c r="T42" s="24"/>
      <c r="U42" s="3"/>
      <c r="V42" s="25" t="s">
        <v>9214</v>
      </c>
      <c r="W42" s="25"/>
      <c r="X42" s="25" t="str">
        <f>IFERROR(VLOOKUP(C_Ope_009[[#This Row],[nota_2]],Clientes_Proveedores[[Ruc / Dni]:[Razon Social]],2,0),"")</f>
        <v/>
      </c>
      <c r="Y42" s="25"/>
      <c r="Z42" s="103"/>
      <c r="AA42" s="3" t="str">
        <f>IF(C_Ope_009[[#This Row],[fecha]]&gt;0,TEXT(C_Ope_009[[#This Row],[fecha]],"mmmm"),0)</f>
        <v>Mayo</v>
      </c>
      <c r="AB42" s="291"/>
    </row>
    <row r="43" spans="1:28" x14ac:dyDescent="0.3">
      <c r="A43" s="2">
        <f>IF(C_Ope_009[[#This Row],[tipo_r]]="R",COUNTIFS($C$1:$C42,"R")+1,"")</f>
        <v>42</v>
      </c>
      <c r="B43" s="19" t="str">
        <f t="shared" si="9"/>
        <v>C_Ope_009</v>
      </c>
      <c r="C43" s="3" t="s">
        <v>1330</v>
      </c>
      <c r="D43" s="14">
        <v>45800</v>
      </c>
      <c r="E43" s="5" t="s">
        <v>9211</v>
      </c>
      <c r="F43" s="5" t="s">
        <v>1336</v>
      </c>
      <c r="G43" s="6"/>
      <c r="H43" s="6" t="s">
        <v>68</v>
      </c>
      <c r="I43" s="6" t="s">
        <v>5470</v>
      </c>
      <c r="J43" s="6">
        <v>76645</v>
      </c>
      <c r="K43" s="7" t="s">
        <v>9219</v>
      </c>
      <c r="L43" s="8" t="s">
        <v>9284</v>
      </c>
      <c r="M43" s="8" t="str">
        <f t="shared" si="10"/>
        <v>PEN</v>
      </c>
      <c r="N43" s="13"/>
      <c r="O43" s="13">
        <v>16.600000000000001</v>
      </c>
      <c r="P43" s="3">
        <f t="shared" si="6"/>
        <v>0</v>
      </c>
      <c r="Q43" s="3">
        <f t="shared" si="7"/>
        <v>16.600000000000001</v>
      </c>
      <c r="R43" s="3">
        <f t="shared" si="8"/>
        <v>187.69999999999996</v>
      </c>
      <c r="S43" s="24"/>
      <c r="T43" s="24"/>
      <c r="U43" s="3"/>
      <c r="V43" s="25" t="s">
        <v>9218</v>
      </c>
      <c r="W43" s="25"/>
      <c r="X43" s="25" t="str">
        <f>IFERROR(VLOOKUP(C_Ope_009[[#This Row],[nota_2]],Clientes_Proveedores[[Ruc / Dni]:[Razon Social]],2,0),"")</f>
        <v/>
      </c>
      <c r="Y43" s="25"/>
      <c r="Z43" s="103"/>
      <c r="AA43" s="3" t="str">
        <f>IF(C_Ope_009[[#This Row],[fecha]]&gt;0,TEXT(C_Ope_009[[#This Row],[fecha]],"mmmm"),0)</f>
        <v>Mayo</v>
      </c>
      <c r="AB43" s="291"/>
    </row>
    <row r="44" spans="1:28" x14ac:dyDescent="0.3">
      <c r="A44" s="2">
        <f>IF(C_Ope_009[[#This Row],[tipo_r]]="R",COUNTIFS($C$1:$C43,"R")+1,"")</f>
        <v>43</v>
      </c>
      <c r="B44" s="19" t="str">
        <f t="shared" si="9"/>
        <v>C_Ope_009</v>
      </c>
      <c r="C44" s="3" t="s">
        <v>1330</v>
      </c>
      <c r="D44" s="14">
        <v>45806</v>
      </c>
      <c r="E44" s="5" t="s">
        <v>7514</v>
      </c>
      <c r="F44" s="5" t="s">
        <v>1303</v>
      </c>
      <c r="G44" s="6"/>
      <c r="H44" s="6"/>
      <c r="I44" s="6"/>
      <c r="J44" s="6"/>
      <c r="K44" s="7" t="s">
        <v>9285</v>
      </c>
      <c r="L44" s="8" t="s">
        <v>9286</v>
      </c>
      <c r="M44" s="8" t="str">
        <f t="shared" si="10"/>
        <v>PEN</v>
      </c>
      <c r="N44" s="13"/>
      <c r="O44" s="13">
        <v>164</v>
      </c>
      <c r="P44" s="3">
        <f t="shared" si="6"/>
        <v>164</v>
      </c>
      <c r="Q44" s="3">
        <f t="shared" si="7"/>
        <v>0</v>
      </c>
      <c r="R44" s="3">
        <f t="shared" si="8"/>
        <v>351.69999999999993</v>
      </c>
      <c r="S44" s="24"/>
      <c r="T44" s="24"/>
      <c r="U44" s="3"/>
      <c r="V44" s="25" t="s">
        <v>9214</v>
      </c>
      <c r="W44" s="25"/>
      <c r="X44" s="25" t="str">
        <f>IFERROR(VLOOKUP(C_Ope_009[[#This Row],[nota_2]],Clientes_Proveedores[[Ruc / Dni]:[Razon Social]],2,0),"")</f>
        <v/>
      </c>
      <c r="Y44" s="25"/>
      <c r="Z44" s="103"/>
      <c r="AA44" s="3" t="str">
        <f>IF(C_Ope_009[[#This Row],[fecha]]&gt;0,TEXT(C_Ope_009[[#This Row],[fecha]],"mmmm"),0)</f>
        <v>Mayo</v>
      </c>
      <c r="AB44" s="291"/>
    </row>
    <row r="45" spans="1:28" x14ac:dyDescent="0.3">
      <c r="A45" s="2">
        <f>IF(C_Ope_009[[#This Row],[tipo_r]]="R",COUNTIFS($C$1:$C44,"R")+1,"")</f>
        <v>44</v>
      </c>
      <c r="B45" s="19" t="str">
        <f t="shared" si="9"/>
        <v>C_Ope_009</v>
      </c>
      <c r="C45" s="3" t="s">
        <v>1330</v>
      </c>
      <c r="D45" s="14">
        <v>45806</v>
      </c>
      <c r="E45" s="5" t="s">
        <v>9211</v>
      </c>
      <c r="F45" s="5" t="s">
        <v>1336</v>
      </c>
      <c r="G45" s="6"/>
      <c r="H45" s="6" t="s">
        <v>68</v>
      </c>
      <c r="I45" s="6" t="s">
        <v>9287</v>
      </c>
      <c r="J45" s="6">
        <v>164498</v>
      </c>
      <c r="K45" s="7" t="s">
        <v>9288</v>
      </c>
      <c r="L45" s="8" t="s">
        <v>9289</v>
      </c>
      <c r="M45" s="8" t="str">
        <f t="shared" si="10"/>
        <v>PEN</v>
      </c>
      <c r="N45" s="13"/>
      <c r="O45" s="13">
        <v>27.8</v>
      </c>
      <c r="P45" s="3">
        <f t="shared" si="6"/>
        <v>0</v>
      </c>
      <c r="Q45" s="3">
        <f t="shared" si="7"/>
        <v>27.8</v>
      </c>
      <c r="R45" s="3">
        <f t="shared" si="8"/>
        <v>323.89999999999992</v>
      </c>
      <c r="S45" s="24"/>
      <c r="T45" s="24"/>
      <c r="U45" s="3"/>
      <c r="V45" s="25" t="s">
        <v>9227</v>
      </c>
      <c r="W45" s="25"/>
      <c r="X45" s="25" t="str">
        <f>IFERROR(VLOOKUP(C_Ope_009[[#This Row],[nota_2]],Clientes_Proveedores[[Ruc / Dni]:[Razon Social]],2,0),"")</f>
        <v/>
      </c>
      <c r="Y45" s="25"/>
      <c r="Z45" s="103"/>
      <c r="AA45" s="3" t="str">
        <f>IF(C_Ope_009[[#This Row],[fecha]]&gt;0,TEXT(C_Ope_009[[#This Row],[fecha]],"mmmm"),0)</f>
        <v>Mayo</v>
      </c>
      <c r="AB45" s="291"/>
    </row>
    <row r="46" spans="1:28" x14ac:dyDescent="0.3">
      <c r="A46" s="2">
        <f>IF(C_Ope_009[[#This Row],[tipo_r]]="R",COUNTIFS($C$1:$C45,"R")+1,"")</f>
        <v>45</v>
      </c>
      <c r="B46" s="19" t="str">
        <f t="shared" si="9"/>
        <v>C_Ope_009</v>
      </c>
      <c r="C46" s="3" t="s">
        <v>1330</v>
      </c>
      <c r="D46" s="14">
        <v>45807</v>
      </c>
      <c r="E46" s="5" t="s">
        <v>9211</v>
      </c>
      <c r="F46" s="5" t="s">
        <v>1336</v>
      </c>
      <c r="G46" s="6"/>
      <c r="H46" s="6" t="s">
        <v>68</v>
      </c>
      <c r="I46" s="6" t="s">
        <v>9228</v>
      </c>
      <c r="J46" s="6">
        <v>34831</v>
      </c>
      <c r="K46" s="7" t="s">
        <v>9219</v>
      </c>
      <c r="L46" s="8" t="s">
        <v>9290</v>
      </c>
      <c r="M46" s="8" t="str">
        <f t="shared" si="10"/>
        <v>PEN</v>
      </c>
      <c r="N46" s="13"/>
      <c r="O46" s="13">
        <v>16.600000000000001</v>
      </c>
      <c r="P46" s="3">
        <f t="shared" si="6"/>
        <v>0</v>
      </c>
      <c r="Q46" s="3">
        <f t="shared" si="7"/>
        <v>16.600000000000001</v>
      </c>
      <c r="R46" s="3">
        <f t="shared" si="8"/>
        <v>307.2999999999999</v>
      </c>
      <c r="S46" s="24"/>
      <c r="T46" s="24"/>
      <c r="U46" s="3"/>
      <c r="V46" s="25" t="s">
        <v>9218</v>
      </c>
      <c r="W46" s="25"/>
      <c r="X46" s="25" t="str">
        <f>IFERROR(VLOOKUP(C_Ope_009[[#This Row],[nota_2]],Clientes_Proveedores[[Ruc / Dni]:[Razon Social]],2,0),"")</f>
        <v/>
      </c>
      <c r="Y46" s="25"/>
      <c r="Z46" s="103"/>
      <c r="AA46" s="3" t="str">
        <f>IF(C_Ope_009[[#This Row],[fecha]]&gt;0,TEXT(C_Ope_009[[#This Row],[fecha]],"mmmm"),0)</f>
        <v>Mayo</v>
      </c>
      <c r="AB46" s="291"/>
    </row>
    <row r="47" spans="1:28" x14ac:dyDescent="0.3">
      <c r="A47" s="2">
        <f>IF(C_Ope_009[[#This Row],[tipo_r]]="R",COUNTIFS($C$1:$C46,"R")+1,"")</f>
        <v>46</v>
      </c>
      <c r="B47" s="19" t="str">
        <f t="shared" si="9"/>
        <v>C_Ope_009</v>
      </c>
      <c r="C47" s="3" t="s">
        <v>1330</v>
      </c>
      <c r="D47" s="14">
        <v>45807</v>
      </c>
      <c r="E47" s="5" t="s">
        <v>9211</v>
      </c>
      <c r="F47" s="5" t="s">
        <v>1336</v>
      </c>
      <c r="G47" s="6"/>
      <c r="H47" s="6" t="s">
        <v>68</v>
      </c>
      <c r="I47" s="6" t="s">
        <v>2331</v>
      </c>
      <c r="J47" s="6">
        <v>117018</v>
      </c>
      <c r="K47" s="7" t="s">
        <v>9282</v>
      </c>
      <c r="L47" s="8" t="s">
        <v>9291</v>
      </c>
      <c r="M47" s="8" t="str">
        <f t="shared" si="10"/>
        <v>PEN</v>
      </c>
      <c r="N47" s="13"/>
      <c r="O47" s="13">
        <v>48.3</v>
      </c>
      <c r="P47" s="3">
        <f t="shared" si="6"/>
        <v>0</v>
      </c>
      <c r="Q47" s="3">
        <f t="shared" si="7"/>
        <v>48.3</v>
      </c>
      <c r="R47" s="3">
        <f t="shared" si="8"/>
        <v>258.99999999999989</v>
      </c>
      <c r="S47" s="24"/>
      <c r="T47" s="24"/>
      <c r="U47" s="3"/>
      <c r="V47" s="25" t="s">
        <v>9214</v>
      </c>
      <c r="W47" s="25"/>
      <c r="X47" s="25" t="str">
        <f>IFERROR(VLOOKUP(C_Ope_009[[#This Row],[nota_2]],Clientes_Proveedores[[Ruc / Dni]:[Razon Social]],2,0),"")</f>
        <v/>
      </c>
      <c r="Y47" s="25"/>
      <c r="Z47" s="103"/>
      <c r="AA47" s="3" t="str">
        <f>IF(C_Ope_009[[#This Row],[fecha]]&gt;0,TEXT(C_Ope_009[[#This Row],[fecha]],"mmmm"),0)</f>
        <v>Mayo</v>
      </c>
      <c r="AB47" s="291"/>
    </row>
    <row r="48" spans="1:28" x14ac:dyDescent="0.3">
      <c r="A48" s="2">
        <f>IF(C_Ope_009[[#This Row],[tipo_r]]="R",COUNTIFS($C$1:$C47,"R")+1,"")</f>
        <v>47</v>
      </c>
      <c r="B48" s="19" t="str">
        <f t="shared" si="9"/>
        <v>C_Ope_009</v>
      </c>
      <c r="C48" s="3" t="s">
        <v>1330</v>
      </c>
      <c r="D48" s="14">
        <v>45821</v>
      </c>
      <c r="E48" s="5" t="s">
        <v>9211</v>
      </c>
      <c r="F48" s="5" t="s">
        <v>1336</v>
      </c>
      <c r="G48" s="6"/>
      <c r="H48" s="6" t="s">
        <v>68</v>
      </c>
      <c r="I48" s="6" t="s">
        <v>9228</v>
      </c>
      <c r="J48" s="6">
        <v>34915</v>
      </c>
      <c r="K48" s="7" t="s">
        <v>9219</v>
      </c>
      <c r="L48" s="8" t="s">
        <v>9292</v>
      </c>
      <c r="M48" s="8" t="str">
        <f t="shared" si="10"/>
        <v>PEN</v>
      </c>
      <c r="N48" s="13"/>
      <c r="O48" s="13">
        <v>16.600000000000001</v>
      </c>
      <c r="P48" s="3">
        <f t="shared" si="6"/>
        <v>0</v>
      </c>
      <c r="Q48" s="3">
        <f t="shared" si="7"/>
        <v>16.600000000000001</v>
      </c>
      <c r="R48" s="3">
        <f t="shared" si="8"/>
        <v>242.39999999999989</v>
      </c>
      <c r="S48" s="24"/>
      <c r="T48" s="24"/>
      <c r="U48" s="3"/>
      <c r="V48" s="25" t="s">
        <v>9218</v>
      </c>
      <c r="W48" s="25"/>
      <c r="X48" s="25" t="str">
        <f>IFERROR(VLOOKUP(C_Ope_009[[#This Row],[nota_2]],Clientes_Proveedores[[Ruc / Dni]:[Razon Social]],2,0),"")</f>
        <v/>
      </c>
      <c r="Y48" s="25"/>
      <c r="Z48" s="103"/>
      <c r="AA48" s="3" t="str">
        <f>IF(C_Ope_009[[#This Row],[fecha]]&gt;0,TEXT(C_Ope_009[[#This Row],[fecha]],"mmmm"),0)</f>
        <v>Junio</v>
      </c>
      <c r="AB48" s="291"/>
    </row>
    <row r="49" spans="1:28" x14ac:dyDescent="0.3">
      <c r="A49" s="2">
        <f>IF(C_Ope_009[[#This Row],[tipo_r]]="R",COUNTIFS($C$1:$C48,"R")+1,"")</f>
        <v>48</v>
      </c>
      <c r="B49" s="19" t="str">
        <f t="shared" si="9"/>
        <v>C_Ope_009</v>
      </c>
      <c r="C49" s="3" t="s">
        <v>1330</v>
      </c>
      <c r="D49" s="14">
        <v>45821</v>
      </c>
      <c r="E49" s="5" t="s">
        <v>9211</v>
      </c>
      <c r="F49" s="5" t="s">
        <v>1336</v>
      </c>
      <c r="G49" s="6"/>
      <c r="H49" s="6" t="s">
        <v>68</v>
      </c>
      <c r="I49" s="6" t="s">
        <v>2331</v>
      </c>
      <c r="J49" s="6">
        <v>117807</v>
      </c>
      <c r="K49" s="7" t="s">
        <v>9282</v>
      </c>
      <c r="L49" s="8" t="s">
        <v>9293</v>
      </c>
      <c r="M49" s="8" t="str">
        <f t="shared" si="10"/>
        <v>PEN</v>
      </c>
      <c r="N49" s="13"/>
      <c r="O49" s="13">
        <v>56</v>
      </c>
      <c r="P49" s="3">
        <f t="shared" si="6"/>
        <v>0</v>
      </c>
      <c r="Q49" s="3">
        <f t="shared" si="7"/>
        <v>56</v>
      </c>
      <c r="R49" s="3">
        <f t="shared" si="8"/>
        <v>186.39999999999989</v>
      </c>
      <c r="S49" s="24"/>
      <c r="T49" s="24"/>
      <c r="U49" s="3"/>
      <c r="V49" s="25" t="s">
        <v>9214</v>
      </c>
      <c r="W49" s="25"/>
      <c r="X49" s="25" t="str">
        <f>IFERROR(VLOOKUP(C_Ope_009[[#This Row],[nota_2]],Clientes_Proveedores[[Ruc / Dni]:[Razon Social]],2,0),"")</f>
        <v/>
      </c>
      <c r="Y49" s="25"/>
      <c r="Z49" s="103"/>
      <c r="AA49" s="3" t="str">
        <f>IF(C_Ope_009[[#This Row],[fecha]]&gt;0,TEXT(C_Ope_009[[#This Row],[fecha]],"mmmm"),0)</f>
        <v>Junio</v>
      </c>
      <c r="AB49" s="291"/>
    </row>
    <row r="50" spans="1:28" x14ac:dyDescent="0.3">
      <c r="A50" s="2">
        <f>IF(C_Ope_009[[#This Row],[tipo_r]]="R",COUNTIFS($C$1:$C49,"R")+1,"")</f>
        <v>49</v>
      </c>
      <c r="B50" s="19" t="str">
        <f t="shared" si="9"/>
        <v>C_Ope_009</v>
      </c>
      <c r="C50" s="3" t="s">
        <v>1330</v>
      </c>
      <c r="D50" s="14">
        <v>45825</v>
      </c>
      <c r="E50" s="5" t="s">
        <v>9211</v>
      </c>
      <c r="F50" s="5" t="s">
        <v>1336</v>
      </c>
      <c r="G50" s="6"/>
      <c r="H50" s="6" t="s">
        <v>68</v>
      </c>
      <c r="I50" s="6" t="s">
        <v>2331</v>
      </c>
      <c r="J50" s="6">
        <v>117980</v>
      </c>
      <c r="K50" s="7" t="s">
        <v>9225</v>
      </c>
      <c r="L50" s="8" t="s">
        <v>9294</v>
      </c>
      <c r="M50" s="8" t="str">
        <f t="shared" si="10"/>
        <v>PEN</v>
      </c>
      <c r="N50" s="13"/>
      <c r="O50" s="13">
        <v>56</v>
      </c>
      <c r="P50" s="3">
        <f t="shared" si="6"/>
        <v>0</v>
      </c>
      <c r="Q50" s="3">
        <f t="shared" si="7"/>
        <v>56</v>
      </c>
      <c r="R50" s="3">
        <f t="shared" si="8"/>
        <v>130.39999999999989</v>
      </c>
      <c r="S50" s="24"/>
      <c r="T50" s="24"/>
      <c r="U50" s="3"/>
      <c r="V50" s="25" t="s">
        <v>9218</v>
      </c>
      <c r="W50" s="25"/>
      <c r="X50" s="25" t="str">
        <f>IFERROR(VLOOKUP(C_Ope_009[[#This Row],[nota_2]],Clientes_Proveedores[[Ruc / Dni]:[Razon Social]],2,0),"")</f>
        <v/>
      </c>
      <c r="Y50" s="25"/>
      <c r="Z50" s="103"/>
      <c r="AA50" s="3" t="str">
        <f>IF(C_Ope_009[[#This Row],[fecha]]&gt;0,TEXT(C_Ope_009[[#This Row],[fecha]],"mmmm"),0)</f>
        <v>Junio</v>
      </c>
      <c r="AB50" s="291"/>
    </row>
    <row r="51" spans="1:28" x14ac:dyDescent="0.3">
      <c r="A51" s="2">
        <f>IF(C_Ope_009[[#This Row],[tipo_r]]="R",COUNTIFS($C$1:$C50,"R")+1,"")</f>
        <v>50</v>
      </c>
      <c r="B51" s="19" t="str">
        <f t="shared" si="9"/>
        <v>C_Ope_009</v>
      </c>
      <c r="C51" s="3" t="s">
        <v>1330</v>
      </c>
      <c r="D51" s="14">
        <v>45828</v>
      </c>
      <c r="E51" s="5" t="s">
        <v>9211</v>
      </c>
      <c r="F51" s="5" t="s">
        <v>1336</v>
      </c>
      <c r="G51" s="6"/>
      <c r="H51" s="6" t="s">
        <v>68</v>
      </c>
      <c r="I51" s="6" t="s">
        <v>5470</v>
      </c>
      <c r="J51" s="6">
        <v>76779</v>
      </c>
      <c r="K51" s="7" t="s">
        <v>9219</v>
      </c>
      <c r="L51" s="8" t="s">
        <v>9295</v>
      </c>
      <c r="M51" s="8" t="str">
        <f t="shared" si="10"/>
        <v>PEN</v>
      </c>
      <c r="N51" s="13"/>
      <c r="O51" s="13">
        <v>16.600000000000001</v>
      </c>
      <c r="P51" s="3">
        <f t="shared" si="6"/>
        <v>0</v>
      </c>
      <c r="Q51" s="3">
        <f t="shared" si="7"/>
        <v>16.600000000000001</v>
      </c>
      <c r="R51" s="3">
        <f t="shared" si="8"/>
        <v>113.7999999999999</v>
      </c>
      <c r="S51" s="24"/>
      <c r="T51" s="24"/>
      <c r="U51" s="3"/>
      <c r="V51" s="25" t="s">
        <v>9218</v>
      </c>
      <c r="W51" s="25"/>
      <c r="X51" s="25" t="str">
        <f>IFERROR(VLOOKUP(C_Ope_009[[#This Row],[nota_2]],Clientes_Proveedores[[Ruc / Dni]:[Razon Social]],2,0),"")</f>
        <v/>
      </c>
      <c r="Y51" s="25"/>
      <c r="Z51" s="103"/>
      <c r="AA51" s="3" t="str">
        <f>IF(C_Ope_009[[#This Row],[fecha]]&gt;0,TEXT(C_Ope_009[[#This Row],[fecha]],"mmmm"),0)</f>
        <v>Junio</v>
      </c>
      <c r="AB51" s="291"/>
    </row>
    <row r="52" spans="1:28" x14ac:dyDescent="0.3">
      <c r="A52" s="2">
        <f>IF(C_Ope_009[[#This Row],[tipo_r]]="R",COUNTIFS($C$1:$C51,"R")+1,"")</f>
        <v>51</v>
      </c>
      <c r="B52" s="19" t="str">
        <f t="shared" si="9"/>
        <v>C_Ope_009</v>
      </c>
      <c r="C52" s="3" t="s">
        <v>1330</v>
      </c>
      <c r="D52" s="14">
        <v>45832</v>
      </c>
      <c r="E52" s="5" t="s">
        <v>9211</v>
      </c>
      <c r="F52" s="5" t="s">
        <v>1336</v>
      </c>
      <c r="G52" s="6"/>
      <c r="H52" s="6" t="s">
        <v>68</v>
      </c>
      <c r="I52" s="6" t="s">
        <v>2331</v>
      </c>
      <c r="J52" s="6">
        <v>118445</v>
      </c>
      <c r="K52" s="7" t="s">
        <v>9282</v>
      </c>
      <c r="L52" s="8" t="s">
        <v>9296</v>
      </c>
      <c r="M52" s="8" t="str">
        <f t="shared" si="10"/>
        <v>PEN</v>
      </c>
      <c r="N52" s="13"/>
      <c r="O52" s="13">
        <v>56</v>
      </c>
      <c r="P52" s="3">
        <f t="shared" si="6"/>
        <v>0</v>
      </c>
      <c r="Q52" s="3">
        <f t="shared" si="7"/>
        <v>56</v>
      </c>
      <c r="R52" s="3">
        <f t="shared" si="8"/>
        <v>57.799999999999898</v>
      </c>
      <c r="S52" s="24"/>
      <c r="T52" s="24"/>
      <c r="U52" s="3"/>
      <c r="V52" s="25" t="s">
        <v>9214</v>
      </c>
      <c r="W52" s="25"/>
      <c r="X52" s="25" t="str">
        <f>IFERROR(VLOOKUP(C_Ope_009[[#This Row],[nota_2]],Clientes_Proveedores[[Ruc / Dni]:[Razon Social]],2,0),"")</f>
        <v/>
      </c>
      <c r="Y52" s="25"/>
      <c r="Z52" s="103"/>
      <c r="AA52" s="3" t="str">
        <f>IF(C_Ope_009[[#This Row],[fecha]]&gt;0,TEXT(C_Ope_009[[#This Row],[fecha]],"mmmm"),0)</f>
        <v>Junio</v>
      </c>
      <c r="AB52" s="291"/>
    </row>
    <row r="53" spans="1:28" x14ac:dyDescent="0.3">
      <c r="A53" s="2">
        <f>IF(C_Ope_009[[#This Row],[tipo_r]]="R",COUNTIFS($C$1:$C52,"R")+1,"")</f>
        <v>52</v>
      </c>
      <c r="B53" s="19" t="str">
        <f t="shared" si="9"/>
        <v>C_Ope_009</v>
      </c>
      <c r="C53" s="3" t="s">
        <v>1330</v>
      </c>
      <c r="D53" s="14">
        <v>45834</v>
      </c>
      <c r="E53" s="5" t="s">
        <v>9211</v>
      </c>
      <c r="F53" s="5" t="s">
        <v>1336</v>
      </c>
      <c r="G53" s="6"/>
      <c r="H53" s="6" t="s">
        <v>68</v>
      </c>
      <c r="I53" s="6" t="s">
        <v>9228</v>
      </c>
      <c r="J53" s="6">
        <v>35002</v>
      </c>
      <c r="K53" s="7" t="s">
        <v>9219</v>
      </c>
      <c r="L53" s="8" t="s">
        <v>9297</v>
      </c>
      <c r="M53" s="8" t="str">
        <f t="shared" si="10"/>
        <v>PEN</v>
      </c>
      <c r="N53" s="13"/>
      <c r="O53" s="13">
        <v>16.600000000000001</v>
      </c>
      <c r="P53" s="3">
        <f t="shared" si="6"/>
        <v>0</v>
      </c>
      <c r="Q53" s="3">
        <f t="shared" si="7"/>
        <v>16.600000000000001</v>
      </c>
      <c r="R53" s="3">
        <f t="shared" si="8"/>
        <v>41.199999999999896</v>
      </c>
      <c r="S53" s="24"/>
      <c r="T53" s="24"/>
      <c r="U53" s="3"/>
      <c r="V53" s="25" t="s">
        <v>9218</v>
      </c>
      <c r="W53" s="25"/>
      <c r="X53" s="25" t="str">
        <f>IFERROR(VLOOKUP(C_Ope_009[[#This Row],[nota_2]],Clientes_Proveedores[[Ruc / Dni]:[Razon Social]],2,0),"")</f>
        <v/>
      </c>
      <c r="Y53" s="25"/>
      <c r="Z53" s="103"/>
      <c r="AA53" s="3" t="str">
        <f>IF(C_Ope_009[[#This Row],[fecha]]&gt;0,TEXT(C_Ope_009[[#This Row],[fecha]],"mmmm"),0)</f>
        <v>Junio</v>
      </c>
      <c r="AB53" s="291"/>
    </row>
    <row r="54" spans="1:28" x14ac:dyDescent="0.3">
      <c r="A54" s="2">
        <f>IF(C_Ope_009[[#This Row],[tipo_r]]="R",COUNTIFS($C$1:$C53,"R")+1,"")</f>
        <v>53</v>
      </c>
      <c r="B54" s="19" t="str">
        <f t="shared" si="9"/>
        <v>C_Ope_009</v>
      </c>
      <c r="C54" s="3" t="s">
        <v>1330</v>
      </c>
      <c r="D54" s="14">
        <v>45839</v>
      </c>
      <c r="E54" s="5" t="s">
        <v>7514</v>
      </c>
      <c r="F54" s="5" t="s">
        <v>1303</v>
      </c>
      <c r="G54" s="6"/>
      <c r="H54" s="6"/>
      <c r="I54" s="6"/>
      <c r="J54" s="6"/>
      <c r="K54" s="7" t="s">
        <v>9223</v>
      </c>
      <c r="L54" s="8" t="s">
        <v>9298</v>
      </c>
      <c r="M54" s="8" t="str">
        <f t="shared" si="10"/>
        <v>PEN</v>
      </c>
      <c r="N54" s="13"/>
      <c r="O54" s="13">
        <v>160</v>
      </c>
      <c r="P54" s="3">
        <f t="shared" si="6"/>
        <v>160</v>
      </c>
      <c r="Q54" s="3">
        <f t="shared" si="7"/>
        <v>0</v>
      </c>
      <c r="R54" s="3">
        <f t="shared" si="8"/>
        <v>201.1999999999999</v>
      </c>
      <c r="S54" s="24"/>
      <c r="T54" s="24"/>
      <c r="U54" s="3"/>
      <c r="V54" s="25"/>
      <c r="W54" s="25"/>
      <c r="X54" s="25" t="str">
        <f>IFERROR(VLOOKUP(C_Ope_009[[#This Row],[nota_2]],Clientes_Proveedores[[Ruc / Dni]:[Razon Social]],2,0),"")</f>
        <v/>
      </c>
      <c r="Y54" s="25"/>
      <c r="Z54" s="103"/>
      <c r="AA54" s="3" t="str">
        <f>IF(C_Ope_009[[#This Row],[fecha]]&gt;0,TEXT(C_Ope_009[[#This Row],[fecha]],"mmmm"),0)</f>
        <v>Julio</v>
      </c>
      <c r="AB54" s="291"/>
    </row>
    <row r="55" spans="1:28" ht="24" x14ac:dyDescent="0.3">
      <c r="A55" s="2">
        <f>IF(C_Ope_009[[#This Row],[tipo_r]]="R",COUNTIFS($C$1:$C54,"R")+1,"")</f>
        <v>54</v>
      </c>
      <c r="B55" s="19" t="str">
        <f t="shared" ref="B55:B65" si="11">"C_Ope_009"</f>
        <v>C_Ope_009</v>
      </c>
      <c r="C55" s="3" t="s">
        <v>1330</v>
      </c>
      <c r="D55" s="14">
        <v>45839</v>
      </c>
      <c r="E55" s="5" t="s">
        <v>9211</v>
      </c>
      <c r="F55" s="5" t="s">
        <v>1336</v>
      </c>
      <c r="G55" s="6" t="s">
        <v>400</v>
      </c>
      <c r="H55" s="6" t="s">
        <v>68</v>
      </c>
      <c r="I55" s="6" t="s">
        <v>2331</v>
      </c>
      <c r="J55" s="6">
        <v>118842</v>
      </c>
      <c r="K55" s="7" t="s">
        <v>9282</v>
      </c>
      <c r="L55" s="8" t="s">
        <v>9299</v>
      </c>
      <c r="M55" s="8" t="str">
        <f t="shared" ref="M55:M65" si="12">"PEN"</f>
        <v>PEN</v>
      </c>
      <c r="N55" s="13"/>
      <c r="O55" s="13">
        <v>56</v>
      </c>
      <c r="P55" s="3">
        <f t="shared" ref="P55:P65" si="13">+IF(OR($F55="SALDO",$F55="INGRESO"),$O55,0)</f>
        <v>0</v>
      </c>
      <c r="Q55" s="3">
        <f t="shared" ref="Q55:Q65" si="14">+IF($F55="EGRESO",$O55,0)</f>
        <v>56</v>
      </c>
      <c r="R55" s="3">
        <f t="shared" si="8"/>
        <v>145.1999999999999</v>
      </c>
      <c r="S55" s="24" t="s">
        <v>1334</v>
      </c>
      <c r="T55" s="24"/>
      <c r="U55" s="3"/>
      <c r="V55" s="25" t="s">
        <v>9214</v>
      </c>
      <c r="W55" s="25"/>
      <c r="X55" s="25" t="str">
        <f>IFERROR(VLOOKUP(C_Ope_009[[#This Row],[nota_2]],Clientes_Proveedores[[Ruc / Dni]:[Razon Social]],2,0),"")</f>
        <v/>
      </c>
      <c r="Y55" s="25"/>
      <c r="Z55" s="103"/>
      <c r="AA55" s="3" t="str">
        <f>IF(C_Ope_009[[#This Row],[fecha]]&gt;0,TEXT(C_Ope_009[[#This Row],[fecha]],"mmmm"),0)</f>
        <v>Julio</v>
      </c>
      <c r="AB55" s="291"/>
    </row>
    <row r="56" spans="1:28" x14ac:dyDescent="0.3">
      <c r="A56" s="2">
        <f>IF(C_Ope_009[[#This Row],[tipo_r]]="R",COUNTIFS($C$1:$C55,"R")+1,"")</f>
        <v>55</v>
      </c>
      <c r="B56" s="19" t="str">
        <f t="shared" si="11"/>
        <v>C_Ope_009</v>
      </c>
      <c r="C56" s="3" t="s">
        <v>1330</v>
      </c>
      <c r="D56" s="14">
        <v>45840</v>
      </c>
      <c r="E56" s="5" t="s">
        <v>9211</v>
      </c>
      <c r="F56" s="5" t="s">
        <v>1336</v>
      </c>
      <c r="G56" s="6" t="s">
        <v>681</v>
      </c>
      <c r="H56" s="6" t="s">
        <v>68</v>
      </c>
      <c r="I56" s="6" t="s">
        <v>9228</v>
      </c>
      <c r="J56" s="6">
        <v>35034</v>
      </c>
      <c r="K56" s="7" t="s">
        <v>9278</v>
      </c>
      <c r="L56" s="8" t="s">
        <v>9300</v>
      </c>
      <c r="M56" s="8" t="str">
        <f t="shared" si="12"/>
        <v>PEN</v>
      </c>
      <c r="N56" s="13"/>
      <c r="O56" s="13">
        <v>16.600000000000001</v>
      </c>
      <c r="P56" s="3">
        <f t="shared" si="13"/>
        <v>0</v>
      </c>
      <c r="Q56" s="3">
        <f t="shared" si="14"/>
        <v>16.600000000000001</v>
      </c>
      <c r="R56" s="3">
        <f t="shared" si="8"/>
        <v>128.59999999999991</v>
      </c>
      <c r="S56" s="24" t="s">
        <v>1334</v>
      </c>
      <c r="T56" s="24"/>
      <c r="U56" s="3"/>
      <c r="V56" s="25" t="s">
        <v>9218</v>
      </c>
      <c r="W56" s="25"/>
      <c r="X56" s="25" t="str">
        <f>IFERROR(VLOOKUP(C_Ope_009[[#This Row],[nota_2]],Clientes_Proveedores[[Ruc / Dni]:[Razon Social]],2,0),"")</f>
        <v/>
      </c>
      <c r="Y56" s="25"/>
      <c r="Z56" s="103"/>
      <c r="AA56" s="3" t="str">
        <f>IF(C_Ope_009[[#This Row],[fecha]]&gt;0,TEXT(C_Ope_009[[#This Row],[fecha]],"mmmm"),0)</f>
        <v>Julio</v>
      </c>
      <c r="AB56" s="291"/>
    </row>
    <row r="57" spans="1:28" ht="24" x14ac:dyDescent="0.3">
      <c r="A57" s="2">
        <f>IF(C_Ope_009[[#This Row],[tipo_r]]="R",COUNTIFS($C$1:$C56,"R")+1,"")</f>
        <v>56</v>
      </c>
      <c r="B57" s="19" t="str">
        <f t="shared" si="11"/>
        <v>C_Ope_009</v>
      </c>
      <c r="C57" s="3" t="s">
        <v>1330</v>
      </c>
      <c r="D57" s="14">
        <v>45841</v>
      </c>
      <c r="E57" s="5" t="s">
        <v>9211</v>
      </c>
      <c r="F57" s="5" t="s">
        <v>1336</v>
      </c>
      <c r="G57" s="6" t="s">
        <v>1056</v>
      </c>
      <c r="H57" s="6" t="s">
        <v>75</v>
      </c>
      <c r="I57" s="6">
        <v>1</v>
      </c>
      <c r="J57" s="6">
        <v>15194</v>
      </c>
      <c r="K57" s="7" t="s">
        <v>9301</v>
      </c>
      <c r="L57" s="8" t="s">
        <v>9302</v>
      </c>
      <c r="M57" s="8" t="str">
        <f t="shared" si="12"/>
        <v>PEN</v>
      </c>
      <c r="N57" s="13"/>
      <c r="O57" s="13">
        <v>26</v>
      </c>
      <c r="P57" s="3">
        <f t="shared" si="13"/>
        <v>0</v>
      </c>
      <c r="Q57" s="3">
        <f t="shared" si="14"/>
        <v>26</v>
      </c>
      <c r="R57" s="3">
        <f t="shared" si="8"/>
        <v>102.59999999999991</v>
      </c>
      <c r="S57" s="24" t="s">
        <v>1334</v>
      </c>
      <c r="T57" s="24"/>
      <c r="U57" s="3"/>
      <c r="V57" s="25" t="s">
        <v>9303</v>
      </c>
      <c r="W57" s="25"/>
      <c r="X57" s="25" t="str">
        <f>IFERROR(VLOOKUP(C_Ope_009[[#This Row],[nota_2]],Clientes_Proveedores[[Ruc / Dni]:[Razon Social]],2,0),"")</f>
        <v/>
      </c>
      <c r="Y57" s="25"/>
      <c r="Z57" s="103"/>
      <c r="AA57" s="3" t="str">
        <f>IF(C_Ope_009[[#This Row],[fecha]]&gt;0,TEXT(C_Ope_009[[#This Row],[fecha]],"mmmm"),0)</f>
        <v>Julio</v>
      </c>
      <c r="AB57" s="291"/>
    </row>
    <row r="58" spans="1:28" x14ac:dyDescent="0.3">
      <c r="A58" s="2">
        <f>IF(C_Ope_009[[#This Row],[tipo_r]]="R",COUNTIFS($C$1:$C57,"R")+1,"")</f>
        <v>57</v>
      </c>
      <c r="B58" s="19" t="str">
        <f t="shared" si="11"/>
        <v>C_Ope_009</v>
      </c>
      <c r="C58" s="3" t="s">
        <v>1330</v>
      </c>
      <c r="D58" s="14">
        <v>45841</v>
      </c>
      <c r="E58" s="5" t="s">
        <v>9211</v>
      </c>
      <c r="F58" s="5" t="s">
        <v>1336</v>
      </c>
      <c r="G58" s="6" t="s">
        <v>1009</v>
      </c>
      <c r="H58" s="6" t="s">
        <v>126</v>
      </c>
      <c r="I58" s="6"/>
      <c r="J58" s="6" t="s">
        <v>9304</v>
      </c>
      <c r="K58" s="7" t="s">
        <v>9305</v>
      </c>
      <c r="L58" s="8" t="s">
        <v>9304</v>
      </c>
      <c r="M58" s="8" t="str">
        <f t="shared" si="12"/>
        <v>PEN</v>
      </c>
      <c r="N58" s="13"/>
      <c r="O58" s="13">
        <v>28</v>
      </c>
      <c r="P58" s="3">
        <f t="shared" si="13"/>
        <v>0</v>
      </c>
      <c r="Q58" s="3">
        <f t="shared" si="14"/>
        <v>28</v>
      </c>
      <c r="R58" s="3">
        <f t="shared" si="8"/>
        <v>74.599999999999909</v>
      </c>
      <c r="S58" s="24" t="s">
        <v>1334</v>
      </c>
      <c r="T58" s="24"/>
      <c r="U58" s="3"/>
      <c r="V58" s="25" t="s">
        <v>9227</v>
      </c>
      <c r="W58" s="25"/>
      <c r="X58" s="25" t="str">
        <f>IFERROR(VLOOKUP(C_Ope_009[[#This Row],[nota_2]],Clientes_Proveedores[[Ruc / Dni]:[Razon Social]],2,0),"")</f>
        <v/>
      </c>
      <c r="Y58" s="25"/>
      <c r="Z58" s="103"/>
      <c r="AA58" s="3" t="str">
        <f>IF(C_Ope_009[[#This Row],[fecha]]&gt;0,TEXT(C_Ope_009[[#This Row],[fecha]],"mmmm"),0)</f>
        <v>Julio</v>
      </c>
      <c r="AB58" s="291"/>
    </row>
    <row r="59" spans="1:28" x14ac:dyDescent="0.3">
      <c r="A59" s="2">
        <f>IF(C_Ope_009[[#This Row],[tipo_r]]="R",COUNTIFS($C$1:$C58,"R")+1,"")</f>
        <v>58</v>
      </c>
      <c r="B59" s="19" t="str">
        <f t="shared" si="11"/>
        <v>C_Ope_009</v>
      </c>
      <c r="C59" s="3" t="s">
        <v>1330</v>
      </c>
      <c r="D59" s="14">
        <v>45842</v>
      </c>
      <c r="E59" s="5" t="s">
        <v>9211</v>
      </c>
      <c r="F59" s="5" t="s">
        <v>1336</v>
      </c>
      <c r="G59" s="6" t="s">
        <v>681</v>
      </c>
      <c r="H59" s="6" t="s">
        <v>68</v>
      </c>
      <c r="I59" s="6" t="s">
        <v>9228</v>
      </c>
      <c r="J59" s="6">
        <v>35053</v>
      </c>
      <c r="K59" s="7" t="s">
        <v>9219</v>
      </c>
      <c r="L59" s="8" t="s">
        <v>9306</v>
      </c>
      <c r="M59" s="8" t="str">
        <f t="shared" si="12"/>
        <v>PEN</v>
      </c>
      <c r="N59" s="13"/>
      <c r="O59" s="13">
        <v>16.600000000000001</v>
      </c>
      <c r="P59" s="3">
        <f t="shared" si="13"/>
        <v>0</v>
      </c>
      <c r="Q59" s="3">
        <f t="shared" si="14"/>
        <v>16.600000000000001</v>
      </c>
      <c r="R59" s="3">
        <f t="shared" si="8"/>
        <v>57.999999999999908</v>
      </c>
      <c r="S59" s="24" t="s">
        <v>1334</v>
      </c>
      <c r="T59" s="24"/>
      <c r="U59" s="3"/>
      <c r="V59" s="25" t="s">
        <v>9218</v>
      </c>
      <c r="W59" s="25"/>
      <c r="X59" s="25" t="str">
        <f>IFERROR(VLOOKUP(C_Ope_009[[#This Row],[nota_2]],Clientes_Proveedores[[Ruc / Dni]:[Razon Social]],2,0),"")</f>
        <v/>
      </c>
      <c r="Y59" s="25"/>
      <c r="Z59" s="103"/>
      <c r="AA59" s="3" t="str">
        <f>IF(C_Ope_009[[#This Row],[fecha]]&gt;0,TEXT(C_Ope_009[[#This Row],[fecha]],"mmmm"),0)</f>
        <v>Julio</v>
      </c>
      <c r="AB59" s="291"/>
    </row>
    <row r="60" spans="1:28" ht="24" x14ac:dyDescent="0.3">
      <c r="A60" s="2">
        <f>IF(C_Ope_009[[#This Row],[tipo_r]]="R",COUNTIFS($C$1:$C59,"R")+1,"")</f>
        <v>59</v>
      </c>
      <c r="B60" s="19" t="str">
        <f t="shared" si="11"/>
        <v>C_Ope_009</v>
      </c>
      <c r="C60" s="3" t="s">
        <v>1330</v>
      </c>
      <c r="D60" s="14">
        <v>45846</v>
      </c>
      <c r="E60" s="5" t="s">
        <v>9211</v>
      </c>
      <c r="F60" s="5" t="s">
        <v>1336</v>
      </c>
      <c r="G60" s="6" t="s">
        <v>400</v>
      </c>
      <c r="H60" s="6" t="s">
        <v>68</v>
      </c>
      <c r="I60" s="6" t="s">
        <v>2331</v>
      </c>
      <c r="J60" s="6">
        <v>119262</v>
      </c>
      <c r="K60" s="7" t="s">
        <v>9282</v>
      </c>
      <c r="L60" s="8" t="s">
        <v>9307</v>
      </c>
      <c r="M60" s="8" t="str">
        <f t="shared" si="12"/>
        <v>PEN</v>
      </c>
      <c r="N60" s="13"/>
      <c r="O60" s="13">
        <v>52.5</v>
      </c>
      <c r="P60" s="3">
        <f t="shared" si="13"/>
        <v>0</v>
      </c>
      <c r="Q60" s="3">
        <f t="shared" si="14"/>
        <v>52.5</v>
      </c>
      <c r="R60" s="3">
        <f t="shared" si="8"/>
        <v>5.4999999999999076</v>
      </c>
      <c r="S60" s="24" t="s">
        <v>1334</v>
      </c>
      <c r="T60" s="24"/>
      <c r="U60" s="3"/>
      <c r="V60" s="25" t="s">
        <v>9214</v>
      </c>
      <c r="W60" s="25"/>
      <c r="X60" s="25" t="str">
        <f>IFERROR(VLOOKUP(C_Ope_009[[#This Row],[nota_2]],Clientes_Proveedores[[Ruc / Dni]:[Razon Social]],2,0),"")</f>
        <v/>
      </c>
      <c r="Y60" s="25"/>
      <c r="Z60" s="103"/>
      <c r="AA60" s="3" t="str">
        <f>IF(C_Ope_009[[#This Row],[fecha]]&gt;0,TEXT(C_Ope_009[[#This Row],[fecha]],"mmmm"),0)</f>
        <v>Julio</v>
      </c>
      <c r="AB60" s="291"/>
    </row>
    <row r="61" spans="1:28" x14ac:dyDescent="0.3">
      <c r="A61" s="2">
        <f>IF(C_Ope_009[[#This Row],[tipo_r]]="R",COUNTIFS($C$1:$C60,"R")+1,"")</f>
        <v>60</v>
      </c>
      <c r="B61" s="19" t="str">
        <f t="shared" si="11"/>
        <v>C_Ope_009</v>
      </c>
      <c r="C61" s="3" t="s">
        <v>1330</v>
      </c>
      <c r="D61" s="14">
        <v>45849</v>
      </c>
      <c r="E61" s="5" t="s">
        <v>9211</v>
      </c>
      <c r="F61" s="5" t="s">
        <v>1336</v>
      </c>
      <c r="G61" s="6" t="s">
        <v>681</v>
      </c>
      <c r="H61" s="6" t="s">
        <v>68</v>
      </c>
      <c r="I61" s="6" t="s">
        <v>5470</v>
      </c>
      <c r="J61" s="6">
        <v>76923</v>
      </c>
      <c r="K61" s="7" t="s">
        <v>9219</v>
      </c>
      <c r="L61" s="8" t="s">
        <v>9308</v>
      </c>
      <c r="M61" s="8" t="str">
        <f t="shared" si="12"/>
        <v>PEN</v>
      </c>
      <c r="N61" s="13"/>
      <c r="O61" s="13">
        <v>13.99</v>
      </c>
      <c r="P61" s="3">
        <f t="shared" si="13"/>
        <v>0</v>
      </c>
      <c r="Q61" s="3">
        <f t="shared" si="14"/>
        <v>13.99</v>
      </c>
      <c r="R61" s="3">
        <f t="shared" si="8"/>
        <v>-8.4900000000000926</v>
      </c>
      <c r="S61" s="24" t="s">
        <v>1334</v>
      </c>
      <c r="T61" s="24"/>
      <c r="U61" s="3"/>
      <c r="V61" s="25" t="s">
        <v>9218</v>
      </c>
      <c r="W61" s="25"/>
      <c r="X61" s="25" t="str">
        <f>IFERROR(VLOOKUP(C_Ope_009[[#This Row],[nota_2]],Clientes_Proveedores[[Ruc / Dni]:[Razon Social]],2,0),"")</f>
        <v/>
      </c>
      <c r="Y61" s="25"/>
      <c r="Z61" s="103"/>
      <c r="AA61" s="3" t="str">
        <f>IF(C_Ope_009[[#This Row],[fecha]]&gt;0,TEXT(C_Ope_009[[#This Row],[fecha]],"mmmm"),0)</f>
        <v>Julio</v>
      </c>
      <c r="AB61" s="291"/>
    </row>
    <row r="62" spans="1:28" ht="24" x14ac:dyDescent="0.3">
      <c r="A62" s="2">
        <f>IF(C_Ope_009[[#This Row],[tipo_r]]="R",COUNTIFS($C$1:$C61,"R")+1,"")</f>
        <v>61</v>
      </c>
      <c r="B62" s="19" t="str">
        <f t="shared" si="11"/>
        <v>C_Ope_009</v>
      </c>
      <c r="C62" s="3" t="s">
        <v>1330</v>
      </c>
      <c r="D62" s="14">
        <v>45854</v>
      </c>
      <c r="E62" s="5" t="s">
        <v>9211</v>
      </c>
      <c r="F62" s="5" t="s">
        <v>1336</v>
      </c>
      <c r="G62" s="6" t="s">
        <v>400</v>
      </c>
      <c r="H62" s="6" t="s">
        <v>68</v>
      </c>
      <c r="I62" s="6" t="s">
        <v>2331</v>
      </c>
      <c r="J62" s="6">
        <v>119823</v>
      </c>
      <c r="K62" s="7" t="s">
        <v>9309</v>
      </c>
      <c r="L62" s="8" t="s">
        <v>9310</v>
      </c>
      <c r="M62" s="8" t="str">
        <f t="shared" si="12"/>
        <v>PEN</v>
      </c>
      <c r="N62" s="13"/>
      <c r="O62" s="13">
        <v>75</v>
      </c>
      <c r="P62" s="3">
        <f t="shared" si="13"/>
        <v>0</v>
      </c>
      <c r="Q62" s="3">
        <f t="shared" si="14"/>
        <v>75</v>
      </c>
      <c r="R62" s="3">
        <f t="shared" si="8"/>
        <v>-83.490000000000094</v>
      </c>
      <c r="S62" s="24" t="s">
        <v>1334</v>
      </c>
      <c r="T62" s="24"/>
      <c r="U62" s="3"/>
      <c r="V62" s="25" t="s">
        <v>9214</v>
      </c>
      <c r="W62" s="25"/>
      <c r="X62" s="25" t="str">
        <f>IFERROR(VLOOKUP(C_Ope_009[[#This Row],[nota_2]],Clientes_Proveedores[[Ruc / Dni]:[Razon Social]],2,0),"")</f>
        <v/>
      </c>
      <c r="Y62" s="25"/>
      <c r="Z62" s="103"/>
      <c r="AA62" s="3" t="str">
        <f>IF(C_Ope_009[[#This Row],[fecha]]&gt;0,TEXT(C_Ope_009[[#This Row],[fecha]],"mmmm"),0)</f>
        <v>Julio</v>
      </c>
      <c r="AB62" s="291"/>
    </row>
    <row r="63" spans="1:28" x14ac:dyDescent="0.3">
      <c r="A63" s="2">
        <f>IF(C_Ope_009[[#This Row],[tipo_r]]="R",COUNTIFS($C$1:$C62,"R")+1,"")</f>
        <v>62</v>
      </c>
      <c r="B63" s="19" t="str">
        <f t="shared" si="11"/>
        <v>C_Ope_009</v>
      </c>
      <c r="C63" s="3" t="s">
        <v>1330</v>
      </c>
      <c r="D63" s="14">
        <v>45856</v>
      </c>
      <c r="E63" s="5" t="s">
        <v>9211</v>
      </c>
      <c r="F63" s="5" t="s">
        <v>1336</v>
      </c>
      <c r="G63" s="6" t="s">
        <v>681</v>
      </c>
      <c r="H63" s="6" t="s">
        <v>68</v>
      </c>
      <c r="I63" s="6" t="s">
        <v>5470</v>
      </c>
      <c r="J63" s="6">
        <v>76966</v>
      </c>
      <c r="K63" s="7" t="s">
        <v>9219</v>
      </c>
      <c r="L63" s="8" t="s">
        <v>9311</v>
      </c>
      <c r="M63" s="8" t="str">
        <f t="shared" si="12"/>
        <v>PEN</v>
      </c>
      <c r="N63" s="13"/>
      <c r="O63" s="13">
        <v>13.99</v>
      </c>
      <c r="P63" s="3">
        <f t="shared" si="13"/>
        <v>0</v>
      </c>
      <c r="Q63" s="3">
        <f t="shared" si="14"/>
        <v>13.99</v>
      </c>
      <c r="R63" s="3">
        <f t="shared" si="8"/>
        <v>-97.480000000000089</v>
      </c>
      <c r="S63" s="24" t="s">
        <v>1334</v>
      </c>
      <c r="T63" s="24"/>
      <c r="U63" s="3"/>
      <c r="V63" s="25" t="s">
        <v>9218</v>
      </c>
      <c r="W63" s="25"/>
      <c r="X63" s="25" t="str">
        <f>IFERROR(VLOOKUP(C_Ope_009[[#This Row],[nota_2]],Clientes_Proveedores[[Ruc / Dni]:[Razon Social]],2,0),"")</f>
        <v/>
      </c>
      <c r="Y63" s="25"/>
      <c r="Z63" s="103"/>
      <c r="AA63" s="3" t="str">
        <f>IF(C_Ope_009[[#This Row],[fecha]]&gt;0,TEXT(C_Ope_009[[#This Row],[fecha]],"mmmm"),0)</f>
        <v>Julio</v>
      </c>
      <c r="AB63" s="291"/>
    </row>
    <row r="64" spans="1:28" x14ac:dyDescent="0.3">
      <c r="A64" s="2">
        <f>IF(C_Ope_009[[#This Row],[tipo_r]]="R",COUNTIFS($C$1:$C63,"R")+1,"")</f>
        <v>63</v>
      </c>
      <c r="B64" s="19" t="str">
        <f>"C_Ope_009"</f>
        <v>C_Ope_009</v>
      </c>
      <c r="C64" s="3" t="s">
        <v>1330</v>
      </c>
      <c r="D64" s="14">
        <v>45863</v>
      </c>
      <c r="E64" s="5" t="s">
        <v>3634</v>
      </c>
      <c r="F64" s="5" t="s">
        <v>1303</v>
      </c>
      <c r="G64" s="6"/>
      <c r="H64" s="6"/>
      <c r="I64" s="6"/>
      <c r="J64" s="6"/>
      <c r="K64" s="7" t="s">
        <v>9223</v>
      </c>
      <c r="L64" s="8" t="s">
        <v>9312</v>
      </c>
      <c r="M64" s="8" t="str">
        <f>"PEN"</f>
        <v>PEN</v>
      </c>
      <c r="N64" s="13"/>
      <c r="O64" s="13">
        <v>200</v>
      </c>
      <c r="P64" s="3">
        <f>+IF(OR($F64="SALDO",$F64="INGRESO"),$O64,0)</f>
        <v>200</v>
      </c>
      <c r="Q64" s="3">
        <f>+IF($F64="EGRESO",$O64,0)</f>
        <v>0</v>
      </c>
      <c r="R64" s="13">
        <f t="shared" si="8"/>
        <v>102.51999999999991</v>
      </c>
      <c r="S64" s="24"/>
      <c r="T64" s="24"/>
      <c r="U64" s="3"/>
      <c r="V64" s="25"/>
      <c r="W64" s="25"/>
      <c r="X64" s="25" t="str">
        <f>IFERROR(VLOOKUP(C_Ope_009[[#This Row],[nota_2]],Clientes_Proveedores[[Ruc / Dni]:[Razon Social]],2,0),"")</f>
        <v/>
      </c>
      <c r="Y64" s="25"/>
      <c r="Z64" s="103"/>
      <c r="AA64" s="3" t="str">
        <f>IF(C_Ope_009[[#This Row],[fecha]]&gt;0,TEXT(C_Ope_009[[#This Row],[fecha]],"mmmm"),0)</f>
        <v>Julio</v>
      </c>
      <c r="AB64" s="291"/>
    </row>
    <row r="65" spans="1:28" x14ac:dyDescent="0.3">
      <c r="A65" s="2">
        <f>IF(C_Ope_009[[#This Row],[tipo_r]]="R",COUNTIFS($C$1:$C64,"R")+1,"")</f>
        <v>64</v>
      </c>
      <c r="B65" s="19" t="str">
        <f t="shared" si="11"/>
        <v>C_Ope_009</v>
      </c>
      <c r="C65" s="3" t="s">
        <v>1330</v>
      </c>
      <c r="D65" s="14">
        <v>45863</v>
      </c>
      <c r="E65" s="5" t="s">
        <v>9211</v>
      </c>
      <c r="F65" s="5" t="s">
        <v>1336</v>
      </c>
      <c r="G65" s="6" t="s">
        <v>681</v>
      </c>
      <c r="H65" s="6" t="s">
        <v>68</v>
      </c>
      <c r="I65" s="6" t="s">
        <v>5470</v>
      </c>
      <c r="J65" s="6">
        <v>77003</v>
      </c>
      <c r="K65" s="7" t="s">
        <v>9219</v>
      </c>
      <c r="L65" s="8" t="s">
        <v>9313</v>
      </c>
      <c r="M65" s="8" t="str">
        <f t="shared" si="12"/>
        <v>PEN</v>
      </c>
      <c r="N65" s="13"/>
      <c r="O65" s="13">
        <v>13.99</v>
      </c>
      <c r="P65" s="3">
        <f t="shared" si="13"/>
        <v>0</v>
      </c>
      <c r="Q65" s="3">
        <f t="shared" si="14"/>
        <v>13.99</v>
      </c>
      <c r="R65" s="3">
        <f t="shared" si="8"/>
        <v>88.529999999999916</v>
      </c>
      <c r="S65" s="24" t="s">
        <v>1334</v>
      </c>
      <c r="T65" s="24"/>
      <c r="U65" s="3"/>
      <c r="V65" s="25" t="s">
        <v>9218</v>
      </c>
      <c r="W65" s="25"/>
      <c r="X65" s="25" t="str">
        <f>IFERROR(VLOOKUP(C_Ope_009[[#This Row],[nota_2]],Clientes_Proveedores[[Ruc / Dni]:[Razon Social]],2,0),"")</f>
        <v/>
      </c>
      <c r="Y65" s="25"/>
      <c r="Z65" s="103"/>
      <c r="AA65" s="3" t="str">
        <f>IF(C_Ope_009[[#This Row],[fecha]]&gt;0,TEXT(C_Ope_009[[#This Row],[fecha]],"mmmm"),0)</f>
        <v>Julio</v>
      </c>
      <c r="AB65" s="291"/>
    </row>
    <row r="66" spans="1:28" x14ac:dyDescent="0.3">
      <c r="A66" s="2">
        <f>IF(C_Ope_009[[#This Row],[tipo_r]]="R",COUNTIFS($C$1:$C65,"R")+1,"")</f>
        <v>65</v>
      </c>
      <c r="B66" s="19" t="str">
        <f t="shared" ref="B66:B67" si="15">"C_Ope_009"</f>
        <v>C_Ope_009</v>
      </c>
      <c r="C66" s="13" t="s">
        <v>1330</v>
      </c>
      <c r="D66" s="14">
        <v>45870</v>
      </c>
      <c r="E66" s="5" t="s">
        <v>9211</v>
      </c>
      <c r="F66" s="5" t="s">
        <v>1336</v>
      </c>
      <c r="G66" s="6" t="s">
        <v>681</v>
      </c>
      <c r="H66" s="6" t="s">
        <v>68</v>
      </c>
      <c r="I66" s="6" t="s">
        <v>5470</v>
      </c>
      <c r="J66" s="6">
        <v>77025</v>
      </c>
      <c r="K66" s="7" t="s">
        <v>9219</v>
      </c>
      <c r="L66" s="8" t="s">
        <v>9314</v>
      </c>
      <c r="M66" s="8" t="str">
        <f t="shared" ref="M66:M67" si="16">"PEN"</f>
        <v>PEN</v>
      </c>
      <c r="N66" s="13"/>
      <c r="O66" s="13">
        <v>13.99</v>
      </c>
      <c r="P66" s="3">
        <f t="shared" ref="P66:P67" si="17">+IF(OR($F66="SALDO",$F66="INGRESO"),$O66,0)</f>
        <v>0</v>
      </c>
      <c r="Q66" s="3">
        <f t="shared" ref="Q66:Q67" si="18">+IF($F66="EGRESO",$O66,0)</f>
        <v>13.99</v>
      </c>
      <c r="R66" s="13">
        <f t="shared" ref="R66:R97" si="19">IFERROR(IF(F66="SALDO",P66,R65+P66-Q66),0)</f>
        <v>74.539999999999921</v>
      </c>
      <c r="S66" s="24" t="s">
        <v>1334</v>
      </c>
      <c r="T66" s="24"/>
      <c r="U66" s="3"/>
      <c r="V66" s="25" t="s">
        <v>9218</v>
      </c>
      <c r="W66" s="25"/>
      <c r="X66" s="25" t="str">
        <f>IFERROR(VLOOKUP(C_Ope_009[[#This Row],[nota_2]],Clientes_Proveedores[[Ruc / Dni]:[Razon Social]],2,0),"")</f>
        <v/>
      </c>
      <c r="Y66" s="25"/>
      <c r="Z66" s="103"/>
      <c r="AA66" s="3" t="str">
        <f>IF(C_Ope_009[[#This Row],[fecha]]&gt;0,TEXT(C_Ope_009[[#This Row],[fecha]],"mmmm"),0)</f>
        <v>Agosto</v>
      </c>
      <c r="AB66" s="291"/>
    </row>
    <row r="67" spans="1:28" x14ac:dyDescent="0.3">
      <c r="A67" s="2">
        <f>IF(C_Ope_009[[#This Row],[tipo_r]]="R",COUNTIFS($C$1:$C66,"R")+1,"")</f>
        <v>66</v>
      </c>
      <c r="B67" s="19" t="str">
        <f t="shared" si="15"/>
        <v>C_Ope_009</v>
      </c>
      <c r="C67" s="13" t="s">
        <v>1330</v>
      </c>
      <c r="D67" s="14">
        <v>45877</v>
      </c>
      <c r="E67" s="5" t="s">
        <v>9211</v>
      </c>
      <c r="F67" s="5" t="s">
        <v>1336</v>
      </c>
      <c r="G67" s="6" t="s">
        <v>681</v>
      </c>
      <c r="H67" s="6" t="s">
        <v>68</v>
      </c>
      <c r="I67" s="6" t="s">
        <v>5470</v>
      </c>
      <c r="J67" s="6">
        <v>77061</v>
      </c>
      <c r="K67" s="7" t="s">
        <v>9219</v>
      </c>
      <c r="L67" s="8" t="s">
        <v>9315</v>
      </c>
      <c r="M67" s="8" t="str">
        <f t="shared" si="16"/>
        <v>PEN</v>
      </c>
      <c r="N67" s="13"/>
      <c r="O67" s="13">
        <v>13.99</v>
      </c>
      <c r="P67" s="3">
        <f t="shared" si="17"/>
        <v>0</v>
      </c>
      <c r="Q67" s="3">
        <f t="shared" si="18"/>
        <v>13.99</v>
      </c>
      <c r="R67" s="13">
        <f t="shared" si="19"/>
        <v>60.549999999999919</v>
      </c>
      <c r="S67" s="24" t="s">
        <v>1334</v>
      </c>
      <c r="T67" s="24"/>
      <c r="U67" s="3"/>
      <c r="V67" s="25" t="s">
        <v>9218</v>
      </c>
      <c r="W67" s="25"/>
      <c r="X67" s="25" t="str">
        <f>IFERROR(VLOOKUP(C_Ope_009[[#This Row],[nota_2]],Clientes_Proveedores[[Ruc / Dni]:[Razon Social]],2,0),"")</f>
        <v/>
      </c>
      <c r="Y67" s="25"/>
      <c r="Z67" s="103"/>
      <c r="AA67" s="3" t="str">
        <f>IF(C_Ope_009[[#This Row],[fecha]]&gt;0,TEXT(C_Ope_009[[#This Row],[fecha]],"mmmm"),0)</f>
        <v>Agosto</v>
      </c>
      <c r="AB67" s="291"/>
    </row>
    <row r="68" spans="1:28" x14ac:dyDescent="0.3">
      <c r="A68" s="2">
        <f>IF(C_Ope_009[[#This Row],[tipo_r]]="R",COUNTIFS($C$1:$C67,"R")+1,"")</f>
        <v>67</v>
      </c>
      <c r="B68" s="19" t="str">
        <f>"C_Ope_009"</f>
        <v>C_Ope_009</v>
      </c>
      <c r="C68" s="3" t="s">
        <v>1330</v>
      </c>
      <c r="D68" s="14">
        <v>45880</v>
      </c>
      <c r="E68" s="5" t="s">
        <v>3634</v>
      </c>
      <c r="F68" s="5" t="s">
        <v>1303</v>
      </c>
      <c r="G68" s="6"/>
      <c r="H68" s="6"/>
      <c r="I68" s="6"/>
      <c r="J68" s="6"/>
      <c r="K68" s="7" t="s">
        <v>9223</v>
      </c>
      <c r="L68" s="8" t="s">
        <v>9316</v>
      </c>
      <c r="M68" s="8" t="str">
        <f>"PEN"</f>
        <v>PEN</v>
      </c>
      <c r="N68" s="13"/>
      <c r="O68" s="13">
        <v>110</v>
      </c>
      <c r="P68" s="3">
        <f>+IF(OR($F68="SALDO",$F68="INGRESO"),$O68,0)</f>
        <v>110</v>
      </c>
      <c r="Q68" s="3">
        <f>+IF($F68="EGRESO",$O68,0)</f>
        <v>0</v>
      </c>
      <c r="R68" s="13">
        <f t="shared" si="19"/>
        <v>170.54999999999993</v>
      </c>
      <c r="S68" s="24"/>
      <c r="T68" s="24"/>
      <c r="U68" s="3"/>
      <c r="V68" s="25"/>
      <c r="W68" s="25"/>
      <c r="X68" s="25" t="str">
        <f>IFERROR(VLOOKUP(C_Ope_009[[#This Row],[nota_2]],Clientes_Proveedores[[Ruc / Dni]:[Razon Social]],2,0),"")</f>
        <v/>
      </c>
      <c r="Y68" s="25"/>
      <c r="Z68" s="103"/>
      <c r="AA68" s="3" t="str">
        <f>IF(C_Ope_009[[#This Row],[fecha]]&gt;0,TEXT(C_Ope_009[[#This Row],[fecha]],"mmmm"),0)</f>
        <v>Agosto</v>
      </c>
      <c r="AB68" s="291"/>
    </row>
    <row r="69" spans="1:28" x14ac:dyDescent="0.3">
      <c r="A69" s="2">
        <f>IF(C_Ope_009[[#This Row],[tipo_r]]="R",COUNTIFS($C$1:$C68,"R")+1,"")</f>
        <v>68</v>
      </c>
      <c r="B69" s="19" t="str">
        <f>"C_Ope_009"</f>
        <v>C_Ope_009</v>
      </c>
      <c r="C69" s="3" t="s">
        <v>1330</v>
      </c>
      <c r="D69" s="14">
        <v>45884</v>
      </c>
      <c r="E69" s="5" t="s">
        <v>9211</v>
      </c>
      <c r="F69" s="5" t="s">
        <v>1336</v>
      </c>
      <c r="G69" s="6" t="s">
        <v>681</v>
      </c>
      <c r="H69" s="6" t="s">
        <v>68</v>
      </c>
      <c r="I69" s="6" t="s">
        <v>5470</v>
      </c>
      <c r="J69" s="6">
        <v>77130</v>
      </c>
      <c r="K69" s="7" t="s">
        <v>9219</v>
      </c>
      <c r="L69" s="8" t="s">
        <v>9317</v>
      </c>
      <c r="M69" s="8" t="str">
        <f>"PEN"</f>
        <v>PEN</v>
      </c>
      <c r="N69" s="13"/>
      <c r="O69" s="13">
        <v>13.99</v>
      </c>
      <c r="P69" s="3">
        <f>+IF(OR($F69="SALDO",$F69="INGRESO"),$O69,0)</f>
        <v>0</v>
      </c>
      <c r="Q69" s="3">
        <f>+IF($F69="EGRESO",$O69,0)</f>
        <v>13.99</v>
      </c>
      <c r="R69" s="3">
        <f t="shared" si="19"/>
        <v>156.55999999999992</v>
      </c>
      <c r="S69" s="24" t="s">
        <v>1334</v>
      </c>
      <c r="T69" s="24"/>
      <c r="U69" s="3"/>
      <c r="V69" s="25" t="s">
        <v>9218</v>
      </c>
      <c r="W69" s="25">
        <v>20100686814</v>
      </c>
      <c r="X69" s="25" t="str">
        <f>IFERROR(VLOOKUP(C_Ope_009[[#This Row],[nota_2]],Clientes_Proveedores[[Ruc / Dni]:[Razon Social]],2,0),"")</f>
        <v>OLVA COURIER S.A.C.</v>
      </c>
      <c r="Y69" s="25"/>
      <c r="Z69" s="25"/>
      <c r="AA69" s="3" t="str">
        <f>IF(C_Ope_009[[#This Row],[fecha]]&gt;0,TEXT(C_Ope_009[[#This Row],[fecha]],"mmmm"),0)</f>
        <v>Agosto</v>
      </c>
      <c r="AB69" s="291"/>
    </row>
    <row r="70" spans="1:28" x14ac:dyDescent="0.3">
      <c r="A70" s="2">
        <f>IF(C_Ope_009[[#This Row],[tipo_r]]="R",COUNTIFS($C$1:$C69,"R")+1,"")</f>
        <v>69</v>
      </c>
      <c r="B70" s="19" t="str">
        <f t="shared" ref="B70:B88" si="20">"C_Ope_009"</f>
        <v>C_Ope_009</v>
      </c>
      <c r="C70" s="13" t="s">
        <v>1330</v>
      </c>
      <c r="D70" s="14">
        <v>45891</v>
      </c>
      <c r="E70" s="5" t="s">
        <v>9211</v>
      </c>
      <c r="F70" s="5" t="s">
        <v>1336</v>
      </c>
      <c r="G70" s="6" t="s">
        <v>681</v>
      </c>
      <c r="H70" s="6" t="s">
        <v>68</v>
      </c>
      <c r="I70" s="6" t="s">
        <v>5470</v>
      </c>
      <c r="J70" s="6">
        <v>77178</v>
      </c>
      <c r="K70" s="7" t="s">
        <v>9219</v>
      </c>
      <c r="L70" s="8" t="s">
        <v>9318</v>
      </c>
      <c r="M70" s="8" t="str">
        <f t="shared" ref="M70:M88" si="21">"PEN"</f>
        <v>PEN</v>
      </c>
      <c r="N70" s="13"/>
      <c r="O70" s="13">
        <v>13.99</v>
      </c>
      <c r="P70" s="3">
        <f t="shared" ref="P70:P88" si="22">+IF(OR($F70="SALDO",$F70="INGRESO"),$O70,0)</f>
        <v>0</v>
      </c>
      <c r="Q70" s="3">
        <f t="shared" ref="Q70:Q88" si="23">+IF($F70="EGRESO",$O70,0)</f>
        <v>13.99</v>
      </c>
      <c r="R70" s="3">
        <f t="shared" si="19"/>
        <v>142.56999999999991</v>
      </c>
      <c r="S70" s="24" t="s">
        <v>1334</v>
      </c>
      <c r="T70" s="24"/>
      <c r="U70" s="3"/>
      <c r="V70" s="25" t="s">
        <v>9218</v>
      </c>
      <c r="W70" s="25">
        <v>20100686814</v>
      </c>
      <c r="X70" s="25" t="str">
        <f>IFERROR(VLOOKUP(C_Ope_009[[#This Row],[nota_2]],Clientes_Proveedores[[Ruc / Dni]:[Razon Social]],2,0),"")</f>
        <v>OLVA COURIER S.A.C.</v>
      </c>
      <c r="Y70" s="25"/>
      <c r="Z70" s="25"/>
      <c r="AA70" s="3" t="str">
        <f>IF(C_Ope_009[[#This Row],[fecha]]&gt;0,TEXT(C_Ope_009[[#This Row],[fecha]],"mmmm"),0)</f>
        <v>Agosto</v>
      </c>
      <c r="AB70" s="291"/>
    </row>
    <row r="71" spans="1:28" x14ac:dyDescent="0.3">
      <c r="A71" s="2">
        <f>IF(C_Ope_009[[#This Row],[tipo_r]]="R",COUNTIFS($C$1:$C70,"R")+1,"")</f>
        <v>70</v>
      </c>
      <c r="B71" s="19" t="str">
        <f t="shared" si="20"/>
        <v>C_Ope_009</v>
      </c>
      <c r="C71" s="13" t="s">
        <v>1330</v>
      </c>
      <c r="D71" s="14">
        <v>45898</v>
      </c>
      <c r="E71" s="5" t="s">
        <v>9211</v>
      </c>
      <c r="F71" s="5" t="s">
        <v>1336</v>
      </c>
      <c r="G71" s="6" t="s">
        <v>681</v>
      </c>
      <c r="H71" s="6" t="s">
        <v>68</v>
      </c>
      <c r="I71" s="6" t="s">
        <v>9228</v>
      </c>
      <c r="J71" s="6">
        <v>35319</v>
      </c>
      <c r="K71" s="7" t="s">
        <v>9219</v>
      </c>
      <c r="L71" s="8" t="s">
        <v>9319</v>
      </c>
      <c r="M71" s="8" t="str">
        <f t="shared" si="21"/>
        <v>PEN</v>
      </c>
      <c r="N71" s="13"/>
      <c r="O71" s="13">
        <v>13.99</v>
      </c>
      <c r="P71" s="3">
        <f t="shared" si="22"/>
        <v>0</v>
      </c>
      <c r="Q71" s="3">
        <f t="shared" si="23"/>
        <v>13.99</v>
      </c>
      <c r="R71" s="3">
        <f t="shared" si="19"/>
        <v>128.5799999999999</v>
      </c>
      <c r="S71" s="24" t="s">
        <v>1334</v>
      </c>
      <c r="T71" s="24"/>
      <c r="U71" s="3"/>
      <c r="V71" s="25" t="s">
        <v>9218</v>
      </c>
      <c r="W71" s="25">
        <v>20100686814</v>
      </c>
      <c r="X71" s="25" t="str">
        <f>IFERROR(VLOOKUP(C_Ope_009[[#This Row],[nota_2]],Clientes_Proveedores[[Ruc / Dni]:[Razon Social]],2,0),"")</f>
        <v>OLVA COURIER S.A.C.</v>
      </c>
      <c r="Y71" s="25"/>
      <c r="Z71" s="25"/>
      <c r="AA71" s="3" t="str">
        <f>IF(C_Ope_009[[#This Row],[fecha]]&gt;0,TEXT(C_Ope_009[[#This Row],[fecha]],"mmmm"),0)</f>
        <v>Agosto</v>
      </c>
      <c r="AB71" s="291"/>
    </row>
    <row r="72" spans="1:28" ht="24" x14ac:dyDescent="0.3">
      <c r="A72" s="2">
        <f>IF(C_Ope_009[[#This Row],[tipo_r]]="R",COUNTIFS($C$1:$C71,"R")+1,"")</f>
        <v>71</v>
      </c>
      <c r="B72" s="19" t="str">
        <f t="shared" si="20"/>
        <v>C_Ope_009</v>
      </c>
      <c r="C72" s="13" t="s">
        <v>1330</v>
      </c>
      <c r="D72" s="14">
        <v>45902</v>
      </c>
      <c r="E72" s="5" t="s">
        <v>9211</v>
      </c>
      <c r="F72" s="5" t="s">
        <v>1336</v>
      </c>
      <c r="G72" s="6" t="s">
        <v>1260</v>
      </c>
      <c r="H72" s="6" t="s">
        <v>75</v>
      </c>
      <c r="I72" s="6">
        <v>1</v>
      </c>
      <c r="J72" s="6">
        <v>3362</v>
      </c>
      <c r="K72" s="7" t="s">
        <v>9320</v>
      </c>
      <c r="L72" s="8" t="s">
        <v>9321</v>
      </c>
      <c r="M72" s="8" t="str">
        <f t="shared" si="21"/>
        <v>PEN</v>
      </c>
      <c r="N72" s="13"/>
      <c r="O72" s="13">
        <v>15</v>
      </c>
      <c r="P72" s="3">
        <f t="shared" si="22"/>
        <v>0</v>
      </c>
      <c r="Q72" s="3">
        <f t="shared" si="23"/>
        <v>15</v>
      </c>
      <c r="R72" s="3">
        <f t="shared" si="19"/>
        <v>113.5799999999999</v>
      </c>
      <c r="S72" s="24" t="s">
        <v>1334</v>
      </c>
      <c r="T72" s="24"/>
      <c r="U72" s="3"/>
      <c r="V72" s="25" t="s">
        <v>9218</v>
      </c>
      <c r="W72" s="25">
        <v>10410128921</v>
      </c>
      <c r="X72" s="25" t="str">
        <f>IFERROR(VLOOKUP(C_Ope_009[[#This Row],[nota_2]],Clientes_Proveedores[[Ruc / Dni]:[Razon Social]],2,0),"")</f>
        <v>GUILLEN HUAMAN LUZ MARINA</v>
      </c>
      <c r="Y72" s="25"/>
      <c r="Z72" s="25"/>
      <c r="AA72" s="3" t="str">
        <f>IF(C_Ope_009[[#This Row],[fecha]]&gt;0,TEXT(C_Ope_009[[#This Row],[fecha]],"mmmm"),0)</f>
        <v>Setiembre</v>
      </c>
      <c r="AB72" s="291"/>
    </row>
    <row r="73" spans="1:28" x14ac:dyDescent="0.3">
      <c r="A73" s="2">
        <f>IF(C_Ope_009[[#This Row],[tipo_r]]="R",COUNTIFS($C$1:$C72,"R")+1,"")</f>
        <v>72</v>
      </c>
      <c r="B73" s="19" t="str">
        <f t="shared" si="20"/>
        <v>C_Ope_009</v>
      </c>
      <c r="C73" s="13" t="s">
        <v>1330</v>
      </c>
      <c r="D73" s="14">
        <v>45905</v>
      </c>
      <c r="E73" s="5" t="s">
        <v>9211</v>
      </c>
      <c r="F73" s="5" t="s">
        <v>1336</v>
      </c>
      <c r="G73" s="6" t="s">
        <v>681</v>
      </c>
      <c r="H73" s="6" t="s">
        <v>68</v>
      </c>
      <c r="I73" s="6" t="s">
        <v>5470</v>
      </c>
      <c r="J73" s="6">
        <v>77269</v>
      </c>
      <c r="K73" s="7" t="s">
        <v>9219</v>
      </c>
      <c r="L73" s="8" t="s">
        <v>9322</v>
      </c>
      <c r="M73" s="8" t="str">
        <f t="shared" si="21"/>
        <v>PEN</v>
      </c>
      <c r="N73" s="13"/>
      <c r="O73" s="13">
        <v>13.99</v>
      </c>
      <c r="P73" s="3">
        <f t="shared" si="22"/>
        <v>0</v>
      </c>
      <c r="Q73" s="3">
        <f t="shared" si="23"/>
        <v>13.99</v>
      </c>
      <c r="R73" s="3">
        <f t="shared" si="19"/>
        <v>99.589999999999904</v>
      </c>
      <c r="S73" s="24" t="s">
        <v>1334</v>
      </c>
      <c r="T73" s="24"/>
      <c r="U73" s="3"/>
      <c r="V73" s="25" t="s">
        <v>9218</v>
      </c>
      <c r="W73" s="25">
        <v>20100686814</v>
      </c>
      <c r="X73" s="25" t="str">
        <f>IFERROR(VLOOKUP(C_Ope_009[[#This Row],[nota_2]],Clientes_Proveedores[[Ruc / Dni]:[Razon Social]],2,0),"")</f>
        <v>OLVA COURIER S.A.C.</v>
      </c>
      <c r="Y73" s="25"/>
      <c r="Z73" s="25"/>
      <c r="AA73" s="3" t="str">
        <f>IF(C_Ope_009[[#This Row],[fecha]]&gt;0,TEXT(C_Ope_009[[#This Row],[fecha]],"mmmm"),0)</f>
        <v>Setiembre</v>
      </c>
      <c r="AB73" s="291"/>
    </row>
    <row r="74" spans="1:28" ht="36" x14ac:dyDescent="0.3">
      <c r="A74" s="2">
        <f>IF(C_Ope_009[[#This Row],[tipo_r]]="R",COUNTIFS($C$1:$C73,"R")+1,"")</f>
        <v>73</v>
      </c>
      <c r="B74" s="19" t="str">
        <f t="shared" si="20"/>
        <v>C_Ope_009</v>
      </c>
      <c r="C74" s="13" t="s">
        <v>1330</v>
      </c>
      <c r="D74" s="14">
        <v>45908</v>
      </c>
      <c r="E74" s="5" t="s">
        <v>9211</v>
      </c>
      <c r="F74" s="5" t="s">
        <v>1336</v>
      </c>
      <c r="G74" s="6" t="s">
        <v>1261</v>
      </c>
      <c r="H74" s="6" t="s">
        <v>68</v>
      </c>
      <c r="I74" s="6" t="s">
        <v>1376</v>
      </c>
      <c r="J74" s="6">
        <v>376</v>
      </c>
      <c r="K74" s="7" t="s">
        <v>9323</v>
      </c>
      <c r="L74" s="8" t="s">
        <v>9324</v>
      </c>
      <c r="M74" s="8" t="str">
        <f t="shared" si="21"/>
        <v>PEN</v>
      </c>
      <c r="N74" s="13"/>
      <c r="O74" s="13">
        <v>36</v>
      </c>
      <c r="P74" s="3">
        <f t="shared" si="22"/>
        <v>0</v>
      </c>
      <c r="Q74" s="3">
        <f t="shared" si="23"/>
        <v>36</v>
      </c>
      <c r="R74" s="3">
        <f t="shared" si="19"/>
        <v>63.589999999999904</v>
      </c>
      <c r="S74" s="24" t="s">
        <v>1334</v>
      </c>
      <c r="T74" s="24"/>
      <c r="U74" s="3"/>
      <c r="V74" s="25" t="s">
        <v>9218</v>
      </c>
      <c r="W74" s="25">
        <v>10100455248</v>
      </c>
      <c r="X74" s="25" t="str">
        <f>IFERROR(VLOOKUP(C_Ope_009[[#This Row],[nota_2]],Clientes_Proveedores[[Ruc / Dni]:[Razon Social]],2,0),"")</f>
        <v>VALDIVIA VALDERRAMA JOSE MANUEL</v>
      </c>
      <c r="Y74" s="25"/>
      <c r="Z74" s="25"/>
      <c r="AA74" s="3" t="str">
        <f>IF(C_Ope_009[[#This Row],[fecha]]&gt;0,TEXT(C_Ope_009[[#This Row],[fecha]],"mmmm"),0)</f>
        <v>Setiembre</v>
      </c>
      <c r="AB74" s="291"/>
    </row>
    <row r="75" spans="1:28" ht="24" x14ac:dyDescent="0.3">
      <c r="A75" s="2">
        <f>IF(C_Ope_009[[#This Row],[tipo_r]]="R",COUNTIFS($C$1:$C74,"R")+1,"")</f>
        <v>74</v>
      </c>
      <c r="B75" s="19" t="str">
        <f t="shared" si="20"/>
        <v>C_Ope_009</v>
      </c>
      <c r="C75" s="13" t="s">
        <v>1330</v>
      </c>
      <c r="D75" s="14">
        <v>45910</v>
      </c>
      <c r="E75" s="5" t="s">
        <v>9211</v>
      </c>
      <c r="F75" s="5" t="s">
        <v>1336</v>
      </c>
      <c r="G75" s="6" t="s">
        <v>1054</v>
      </c>
      <c r="H75" s="6" t="s">
        <v>68</v>
      </c>
      <c r="I75" s="6" t="s">
        <v>1374</v>
      </c>
      <c r="J75" s="6">
        <v>8025</v>
      </c>
      <c r="K75" s="7" t="s">
        <v>9325</v>
      </c>
      <c r="L75" s="8" t="s">
        <v>9326</v>
      </c>
      <c r="M75" s="8" t="str">
        <f t="shared" si="21"/>
        <v>PEN</v>
      </c>
      <c r="N75" s="13"/>
      <c r="O75" s="13">
        <v>12.5</v>
      </c>
      <c r="P75" s="3">
        <f t="shared" si="22"/>
        <v>0</v>
      </c>
      <c r="Q75" s="3">
        <f t="shared" si="23"/>
        <v>12.5</v>
      </c>
      <c r="R75" s="3">
        <f t="shared" si="19"/>
        <v>51.089999999999904</v>
      </c>
      <c r="S75" s="24" t="s">
        <v>1334</v>
      </c>
      <c r="T75" s="24"/>
      <c r="U75" s="3"/>
      <c r="V75" s="25" t="s">
        <v>9218</v>
      </c>
      <c r="W75" s="25">
        <v>10413228722</v>
      </c>
      <c r="X75" s="25" t="str">
        <f>IFERROR(VLOOKUP(C_Ope_009[[#This Row],[nota_2]],Clientes_Proveedores[[Ruc / Dni]:[Razon Social]],2,0),"")</f>
        <v>LLAMO FLORES CARLOS MANUEL</v>
      </c>
      <c r="Y75" s="25"/>
      <c r="Z75" s="25"/>
      <c r="AA75" s="3" t="str">
        <f>IF(C_Ope_009[[#This Row],[fecha]]&gt;0,TEXT(C_Ope_009[[#This Row],[fecha]],"mmmm"),0)</f>
        <v>Setiembre</v>
      </c>
      <c r="AB75" s="291"/>
    </row>
    <row r="76" spans="1:28" ht="24" x14ac:dyDescent="0.3">
      <c r="A76" s="2">
        <f>IF(C_Ope_009[[#This Row],[tipo_r]]="R",COUNTIFS($C$1:$C75,"R")+1,"")</f>
        <v>75</v>
      </c>
      <c r="B76" s="19" t="str">
        <f t="shared" si="20"/>
        <v>C_Ope_009</v>
      </c>
      <c r="C76" s="13" t="s">
        <v>1330</v>
      </c>
      <c r="D76" s="14">
        <v>45910</v>
      </c>
      <c r="E76" s="5" t="s">
        <v>9211</v>
      </c>
      <c r="F76" s="5" t="s">
        <v>1336</v>
      </c>
      <c r="G76" s="6" t="s">
        <v>1209</v>
      </c>
      <c r="H76" s="6" t="s">
        <v>68</v>
      </c>
      <c r="I76" s="6" t="s">
        <v>9327</v>
      </c>
      <c r="J76" s="6">
        <v>70</v>
      </c>
      <c r="K76" s="7" t="s">
        <v>9328</v>
      </c>
      <c r="L76" s="8" t="s">
        <v>9329</v>
      </c>
      <c r="M76" s="8" t="str">
        <f t="shared" si="21"/>
        <v>PEN</v>
      </c>
      <c r="N76" s="13"/>
      <c r="O76" s="13">
        <v>55.3</v>
      </c>
      <c r="P76" s="3">
        <f t="shared" si="22"/>
        <v>0</v>
      </c>
      <c r="Q76" s="3">
        <f t="shared" si="23"/>
        <v>55.3</v>
      </c>
      <c r="R76" s="3">
        <f t="shared" si="19"/>
        <v>-4.2100000000000932</v>
      </c>
      <c r="S76" s="24" t="s">
        <v>1334</v>
      </c>
      <c r="T76" s="24"/>
      <c r="U76" s="3"/>
      <c r="V76" s="25" t="s">
        <v>9218</v>
      </c>
      <c r="W76" s="25">
        <v>20608280333</v>
      </c>
      <c r="X76" s="25" t="str">
        <f>IFERROR(VLOOKUP(C_Ope_009[[#This Row],[nota_2]],Clientes_Proveedores[[Ruc / Dni]:[Razon Social]],2,0),"")</f>
        <v>COMPAÑIA HARD DISCOUNT S.A.C.</v>
      </c>
      <c r="Y76" s="25"/>
      <c r="Z76" s="25"/>
      <c r="AA76" s="3" t="str">
        <f>IF(C_Ope_009[[#This Row],[fecha]]&gt;0,TEXT(C_Ope_009[[#This Row],[fecha]],"mmmm"),0)</f>
        <v>Setiembre</v>
      </c>
      <c r="AB76" s="291"/>
    </row>
    <row r="77" spans="1:28" x14ac:dyDescent="0.3">
      <c r="A77" s="2">
        <f>IF(C_Ope_009[[#This Row],[tipo_r]]="R",COUNTIFS($C$1:$C76,"R")+1,"")</f>
        <v>76</v>
      </c>
      <c r="B77" s="19" t="str">
        <f>"C_Ope_009"</f>
        <v>C_Ope_009</v>
      </c>
      <c r="C77" s="13" t="s">
        <v>1330</v>
      </c>
      <c r="D77" s="14">
        <v>45917</v>
      </c>
      <c r="E77" s="5" t="s">
        <v>3634</v>
      </c>
      <c r="F77" s="5" t="s">
        <v>1303</v>
      </c>
      <c r="G77" s="6"/>
      <c r="H77" s="6"/>
      <c r="I77" s="6"/>
      <c r="J77" s="6"/>
      <c r="K77" s="7" t="s">
        <v>9223</v>
      </c>
      <c r="L77" s="8" t="s">
        <v>9330</v>
      </c>
      <c r="M77" s="8" t="str">
        <f>"PEN"</f>
        <v>PEN</v>
      </c>
      <c r="N77" s="13"/>
      <c r="O77" s="13">
        <v>400</v>
      </c>
      <c r="P77" s="3">
        <f>+IF(OR($F77="SALDO",$F77="INGRESO"),$O77,0)</f>
        <v>400</v>
      </c>
      <c r="Q77" s="3">
        <f>+IF($F77="EGRESO",$O77,0)</f>
        <v>0</v>
      </c>
      <c r="R77" s="3">
        <f t="shared" si="19"/>
        <v>395.78999999999991</v>
      </c>
      <c r="S77" s="24"/>
      <c r="T77" s="24"/>
      <c r="U77" s="3"/>
      <c r="V77" s="25"/>
      <c r="W77" s="25"/>
      <c r="X77" s="25" t="str">
        <f>IFERROR(VLOOKUP(C_Ope_009[[#This Row],[nota_2]],Clientes_Proveedores[[Ruc / Dni]:[Razon Social]],2,0),"")</f>
        <v/>
      </c>
      <c r="Y77" s="25"/>
      <c r="Z77" s="25"/>
      <c r="AA77" s="3" t="str">
        <f>IF(C_Ope_009[[#This Row],[fecha]]&gt;0,TEXT(C_Ope_009[[#This Row],[fecha]],"mmmm"),0)</f>
        <v>Setiembre</v>
      </c>
      <c r="AB77" s="291"/>
    </row>
    <row r="78" spans="1:28" ht="24" x14ac:dyDescent="0.3">
      <c r="A78" s="2">
        <f>IF(C_Ope_009[[#This Row],[tipo_r]]="R",COUNTIFS($C$1:$C77,"R")+1,"")</f>
        <v>77</v>
      </c>
      <c r="B78" s="19" t="str">
        <f t="shared" si="20"/>
        <v>C_Ope_009</v>
      </c>
      <c r="C78" s="13" t="s">
        <v>1330</v>
      </c>
      <c r="D78" s="14">
        <v>45917</v>
      </c>
      <c r="E78" s="5" t="s">
        <v>9211</v>
      </c>
      <c r="F78" s="5" t="s">
        <v>1336</v>
      </c>
      <c r="G78" s="6" t="s">
        <v>1209</v>
      </c>
      <c r="H78" s="6" t="s">
        <v>68</v>
      </c>
      <c r="I78" s="6" t="s">
        <v>9327</v>
      </c>
      <c r="J78" s="6">
        <v>85</v>
      </c>
      <c r="K78" s="7" t="s">
        <v>9331</v>
      </c>
      <c r="L78" s="8" t="s">
        <v>9332</v>
      </c>
      <c r="M78" s="8" t="str">
        <f t="shared" si="21"/>
        <v>PEN</v>
      </c>
      <c r="N78" s="13"/>
      <c r="O78" s="13">
        <v>26.2</v>
      </c>
      <c r="P78" s="3">
        <f t="shared" si="22"/>
        <v>0</v>
      </c>
      <c r="Q78" s="3">
        <f t="shared" si="23"/>
        <v>26.2</v>
      </c>
      <c r="R78" s="3">
        <f t="shared" si="19"/>
        <v>369.58999999999992</v>
      </c>
      <c r="S78" s="24" t="s">
        <v>1334</v>
      </c>
      <c r="T78" s="24"/>
      <c r="U78" s="3"/>
      <c r="V78" s="25" t="s">
        <v>9218</v>
      </c>
      <c r="W78" s="25">
        <v>20608280333</v>
      </c>
      <c r="X78" s="25" t="str">
        <f>IFERROR(VLOOKUP(C_Ope_009[[#This Row],[nota_2]],Clientes_Proveedores[[Ruc / Dni]:[Razon Social]],2,0),"")</f>
        <v>COMPAÑIA HARD DISCOUNT S.A.C.</v>
      </c>
      <c r="Y78" s="25"/>
      <c r="Z78" s="25"/>
      <c r="AA78" s="3" t="str">
        <f>IF(C_Ope_009[[#This Row],[fecha]]&gt;0,TEXT(C_Ope_009[[#This Row],[fecha]],"mmmm"),0)</f>
        <v>Setiembre</v>
      </c>
      <c r="AB78" s="291"/>
    </row>
    <row r="79" spans="1:28" ht="24" x14ac:dyDescent="0.3">
      <c r="A79" s="2">
        <f>IF(C_Ope_009[[#This Row],[tipo_r]]="R",COUNTIFS($C$1:$C78,"R")+1,"")</f>
        <v>78</v>
      </c>
      <c r="B79" s="19" t="str">
        <f t="shared" si="20"/>
        <v>C_Ope_009</v>
      </c>
      <c r="C79" s="13" t="s">
        <v>1330</v>
      </c>
      <c r="D79" s="14">
        <v>45918</v>
      </c>
      <c r="E79" s="5" t="s">
        <v>9211</v>
      </c>
      <c r="F79" s="5" t="s">
        <v>1336</v>
      </c>
      <c r="G79" s="6" t="s">
        <v>400</v>
      </c>
      <c r="H79" s="6" t="s">
        <v>68</v>
      </c>
      <c r="I79" s="6" t="s">
        <v>2331</v>
      </c>
      <c r="J79" s="6">
        <v>123228</v>
      </c>
      <c r="K79" s="7" t="s">
        <v>9282</v>
      </c>
      <c r="L79" s="8" t="s">
        <v>9333</v>
      </c>
      <c r="M79" s="8" t="str">
        <f t="shared" si="21"/>
        <v>PEN</v>
      </c>
      <c r="N79" s="13"/>
      <c r="O79" s="13">
        <v>42</v>
      </c>
      <c r="P79" s="3">
        <f t="shared" si="22"/>
        <v>0</v>
      </c>
      <c r="Q79" s="3">
        <f t="shared" si="23"/>
        <v>42</v>
      </c>
      <c r="R79" s="3">
        <f t="shared" si="19"/>
        <v>327.58999999999992</v>
      </c>
      <c r="S79" s="24" t="s">
        <v>1334</v>
      </c>
      <c r="T79" s="24"/>
      <c r="U79" s="3"/>
      <c r="V79" s="25" t="s">
        <v>9227</v>
      </c>
      <c r="W79" s="25">
        <v>20546153372</v>
      </c>
      <c r="X79" s="25" t="str">
        <f>IFERROR(VLOOKUP(C_Ope_009[[#This Row],[nota_2]],Clientes_Proveedores[[Ruc / Dni]:[Razon Social]],2,0),"")</f>
        <v>GLOBAL PERLA´S CAR S.A.C.</v>
      </c>
      <c r="Y79" s="25"/>
      <c r="Z79" s="25"/>
      <c r="AA79" s="3" t="str">
        <f>IF(C_Ope_009[[#This Row],[fecha]]&gt;0,TEXT(C_Ope_009[[#This Row],[fecha]],"mmmm"),0)</f>
        <v>Setiembre</v>
      </c>
      <c r="AB79" s="291"/>
    </row>
    <row r="80" spans="1:28" x14ac:dyDescent="0.3">
      <c r="A80" s="2">
        <f>IF(C_Ope_009[[#This Row],[tipo_r]]="R",COUNTIFS($C$1:$C79,"R")+1,"")</f>
        <v>79</v>
      </c>
      <c r="B80" s="19" t="str">
        <f t="shared" si="20"/>
        <v>C_Ope_009</v>
      </c>
      <c r="C80" s="13" t="s">
        <v>1330</v>
      </c>
      <c r="D80" s="14">
        <v>45919</v>
      </c>
      <c r="E80" s="5" t="s">
        <v>9211</v>
      </c>
      <c r="F80" s="5" t="s">
        <v>1336</v>
      </c>
      <c r="G80" s="6" t="s">
        <v>681</v>
      </c>
      <c r="H80" s="6" t="s">
        <v>68</v>
      </c>
      <c r="I80" s="6" t="s">
        <v>5470</v>
      </c>
      <c r="J80" s="6">
        <v>77383</v>
      </c>
      <c r="K80" s="7" t="s">
        <v>9219</v>
      </c>
      <c r="L80" s="8" t="s">
        <v>9334</v>
      </c>
      <c r="M80" s="8" t="str">
        <f t="shared" si="21"/>
        <v>PEN</v>
      </c>
      <c r="N80" s="13"/>
      <c r="O80" s="13">
        <v>14</v>
      </c>
      <c r="P80" s="3">
        <f t="shared" si="22"/>
        <v>0</v>
      </c>
      <c r="Q80" s="3">
        <f t="shared" si="23"/>
        <v>14</v>
      </c>
      <c r="R80" s="3">
        <f t="shared" si="19"/>
        <v>313.58999999999992</v>
      </c>
      <c r="S80" s="24" t="s">
        <v>1334</v>
      </c>
      <c r="T80" s="24"/>
      <c r="U80" s="3"/>
      <c r="V80" s="25" t="s">
        <v>9218</v>
      </c>
      <c r="W80" s="25">
        <v>20100686814</v>
      </c>
      <c r="X80" s="25" t="str">
        <f>IFERROR(VLOOKUP(C_Ope_009[[#This Row],[nota_2]],Clientes_Proveedores[[Ruc / Dni]:[Razon Social]],2,0),"")</f>
        <v>OLVA COURIER S.A.C.</v>
      </c>
      <c r="Y80" s="25"/>
      <c r="Z80" s="25"/>
      <c r="AA80" s="3" t="str">
        <f>IF(C_Ope_009[[#This Row],[fecha]]&gt;0,TEXT(C_Ope_009[[#This Row],[fecha]],"mmmm"),0)</f>
        <v>Setiembre</v>
      </c>
      <c r="AB80" s="291"/>
    </row>
    <row r="81" spans="1:28" x14ac:dyDescent="0.3">
      <c r="A81" s="2">
        <f>IF(C_Ope_009[[#This Row],[tipo_r]]="R",COUNTIFS($C$1:$C80,"R")+1,"")</f>
        <v>80</v>
      </c>
      <c r="B81" s="19" t="str">
        <f t="shared" si="20"/>
        <v>C_Ope_009</v>
      </c>
      <c r="C81" s="13" t="s">
        <v>1330</v>
      </c>
      <c r="D81" s="14">
        <v>45919</v>
      </c>
      <c r="E81" s="5" t="s">
        <v>9211</v>
      </c>
      <c r="F81" s="5" t="s">
        <v>1336</v>
      </c>
      <c r="G81" s="6" t="s">
        <v>681</v>
      </c>
      <c r="H81" s="6" t="s">
        <v>68</v>
      </c>
      <c r="I81" s="6" t="s">
        <v>5470</v>
      </c>
      <c r="J81" s="6">
        <v>77384</v>
      </c>
      <c r="K81" s="7" t="s">
        <v>9335</v>
      </c>
      <c r="L81" s="8" t="s">
        <v>9336</v>
      </c>
      <c r="M81" s="8" t="str">
        <f t="shared" si="21"/>
        <v>PEN</v>
      </c>
      <c r="N81" s="13"/>
      <c r="O81" s="13">
        <v>9</v>
      </c>
      <c r="P81" s="3">
        <f t="shared" si="22"/>
        <v>0</v>
      </c>
      <c r="Q81" s="3">
        <f t="shared" si="23"/>
        <v>9</v>
      </c>
      <c r="R81" s="3">
        <f t="shared" si="19"/>
        <v>304.58999999999992</v>
      </c>
      <c r="S81" s="24" t="s">
        <v>1334</v>
      </c>
      <c r="T81" s="24"/>
      <c r="U81" s="3"/>
      <c r="V81" s="25" t="s">
        <v>9218</v>
      </c>
      <c r="W81" s="25">
        <v>20100686814</v>
      </c>
      <c r="X81" s="25" t="str">
        <f>IFERROR(VLOOKUP(C_Ope_009[[#This Row],[nota_2]],Clientes_Proveedores[[Ruc / Dni]:[Razon Social]],2,0),"")</f>
        <v>OLVA COURIER S.A.C.</v>
      </c>
      <c r="Y81" s="25"/>
      <c r="Z81" s="25"/>
      <c r="AA81" s="3" t="str">
        <f>IF(C_Ope_009[[#This Row],[fecha]]&gt;0,TEXT(C_Ope_009[[#This Row],[fecha]],"mmmm"),0)</f>
        <v>Setiembre</v>
      </c>
      <c r="AB81" s="291"/>
    </row>
    <row r="82" spans="1:28" ht="24" x14ac:dyDescent="0.3">
      <c r="A82" s="2">
        <f>IF(C_Ope_009[[#This Row],[tipo_r]]="R",COUNTIFS($C$1:$C81,"R")+1,"")</f>
        <v>81</v>
      </c>
      <c r="B82" s="19" t="str">
        <f t="shared" si="20"/>
        <v>C_Ope_009</v>
      </c>
      <c r="C82" s="13" t="s">
        <v>1330</v>
      </c>
      <c r="D82" s="14">
        <v>45919</v>
      </c>
      <c r="E82" s="5" t="s">
        <v>9211</v>
      </c>
      <c r="F82" s="5" t="s">
        <v>1336</v>
      </c>
      <c r="G82" s="6" t="s">
        <v>1259</v>
      </c>
      <c r="H82" s="6" t="s">
        <v>68</v>
      </c>
      <c r="I82" s="6" t="s">
        <v>9337</v>
      </c>
      <c r="J82" s="6">
        <v>1934716</v>
      </c>
      <c r="K82" s="7" t="s">
        <v>9338</v>
      </c>
      <c r="L82" s="8" t="s">
        <v>9339</v>
      </c>
      <c r="M82" s="8" t="str">
        <f t="shared" si="21"/>
        <v>PEN</v>
      </c>
      <c r="N82" s="13"/>
      <c r="O82" s="13">
        <v>56.7</v>
      </c>
      <c r="P82" s="3">
        <f t="shared" si="22"/>
        <v>0</v>
      </c>
      <c r="Q82" s="3">
        <f t="shared" si="23"/>
        <v>56.7</v>
      </c>
      <c r="R82" s="3">
        <f t="shared" si="19"/>
        <v>247.88999999999993</v>
      </c>
      <c r="S82" s="24" t="s">
        <v>1334</v>
      </c>
      <c r="T82" s="24"/>
      <c r="U82" s="3"/>
      <c r="V82" s="25" t="s">
        <v>9227</v>
      </c>
      <c r="W82" s="25">
        <v>20536557858</v>
      </c>
      <c r="X82" s="25" t="str">
        <f>IFERROR(VLOOKUP(C_Ope_009[[#This Row],[nota_2]],Clientes_Proveedores[[Ruc / Dni]:[Razon Social]],2,0),"")</f>
        <v>HOMECENTERS PERUANOS S.A.</v>
      </c>
      <c r="Y82" s="25"/>
      <c r="Z82" s="25"/>
      <c r="AA82" s="3" t="str">
        <f>IF(C_Ope_009[[#This Row],[fecha]]&gt;0,TEXT(C_Ope_009[[#This Row],[fecha]],"mmmm"),0)</f>
        <v>Setiembre</v>
      </c>
      <c r="AB82" s="291"/>
    </row>
    <row r="83" spans="1:28" ht="24" x14ac:dyDescent="0.3">
      <c r="A83" s="2">
        <f>IF(C_Ope_009[[#This Row],[tipo_r]]="R",COUNTIFS($C$1:$C82,"R")+1,"")</f>
        <v>82</v>
      </c>
      <c r="B83" s="19" t="str">
        <f t="shared" si="20"/>
        <v>C_Ope_009</v>
      </c>
      <c r="C83" s="13" t="s">
        <v>1330</v>
      </c>
      <c r="D83" s="14">
        <v>45923</v>
      </c>
      <c r="E83" s="5" t="s">
        <v>9211</v>
      </c>
      <c r="F83" s="5" t="s">
        <v>1336</v>
      </c>
      <c r="G83" s="6" t="s">
        <v>1259</v>
      </c>
      <c r="H83" s="6" t="s">
        <v>68</v>
      </c>
      <c r="I83" s="6" t="s">
        <v>9337</v>
      </c>
      <c r="J83" s="6">
        <v>2120652</v>
      </c>
      <c r="K83" s="7" t="s">
        <v>9340</v>
      </c>
      <c r="L83" s="8" t="s">
        <v>9341</v>
      </c>
      <c r="M83" s="8" t="str">
        <f t="shared" si="21"/>
        <v>PEN</v>
      </c>
      <c r="N83" s="13"/>
      <c r="O83" s="13">
        <v>113.7</v>
      </c>
      <c r="P83" s="3">
        <f t="shared" si="22"/>
        <v>0</v>
      </c>
      <c r="Q83" s="3">
        <f t="shared" si="23"/>
        <v>113.7</v>
      </c>
      <c r="R83" s="3">
        <f t="shared" si="19"/>
        <v>134.18999999999994</v>
      </c>
      <c r="S83" s="24" t="s">
        <v>1334</v>
      </c>
      <c r="T83" s="24"/>
      <c r="U83" s="3"/>
      <c r="V83" s="25" t="s">
        <v>9218</v>
      </c>
      <c r="W83" s="25">
        <v>20536557858</v>
      </c>
      <c r="X83" s="25" t="str">
        <f>IFERROR(VLOOKUP(C_Ope_009[[#This Row],[nota_2]],Clientes_Proveedores[[Ruc / Dni]:[Razon Social]],2,0),"")</f>
        <v>HOMECENTERS PERUANOS S.A.</v>
      </c>
      <c r="Y83" s="25"/>
      <c r="Z83" s="25"/>
      <c r="AA83" s="3" t="str">
        <f>IF(C_Ope_009[[#This Row],[fecha]]&gt;0,TEXT(C_Ope_009[[#This Row],[fecha]],"mmmm"),0)</f>
        <v>Setiembre</v>
      </c>
      <c r="AB83" s="291"/>
    </row>
    <row r="84" spans="1:28" x14ac:dyDescent="0.3">
      <c r="A84" s="2">
        <f>IF(C_Ope_009[[#This Row],[tipo_r]]="R",COUNTIFS($C$1:$C83,"R")+1,"")</f>
        <v>83</v>
      </c>
      <c r="B84" s="19" t="str">
        <f t="shared" si="20"/>
        <v>C_Ope_009</v>
      </c>
      <c r="C84" s="13" t="s">
        <v>1330</v>
      </c>
      <c r="D84" s="14">
        <v>45927</v>
      </c>
      <c r="E84" s="5" t="s">
        <v>9211</v>
      </c>
      <c r="F84" s="5" t="s">
        <v>1336</v>
      </c>
      <c r="G84" s="6" t="s">
        <v>681</v>
      </c>
      <c r="H84" s="6" t="s">
        <v>68</v>
      </c>
      <c r="I84" s="6" t="s">
        <v>5470</v>
      </c>
      <c r="J84" s="6">
        <v>77437</v>
      </c>
      <c r="K84" s="7" t="s">
        <v>9342</v>
      </c>
      <c r="L84" s="8" t="s">
        <v>9343</v>
      </c>
      <c r="M84" s="8" t="str">
        <f t="shared" si="21"/>
        <v>PEN</v>
      </c>
      <c r="N84" s="13"/>
      <c r="O84" s="13">
        <v>14</v>
      </c>
      <c r="P84" s="3">
        <f t="shared" si="22"/>
        <v>0</v>
      </c>
      <c r="Q84" s="3">
        <f t="shared" si="23"/>
        <v>14</v>
      </c>
      <c r="R84" s="3">
        <f t="shared" si="19"/>
        <v>120.18999999999994</v>
      </c>
      <c r="S84" s="24" t="s">
        <v>1334</v>
      </c>
      <c r="T84" s="24"/>
      <c r="U84" s="3"/>
      <c r="V84" s="25" t="s">
        <v>9218</v>
      </c>
      <c r="W84" s="25">
        <v>20100686814</v>
      </c>
      <c r="X84" s="25" t="str">
        <f>IFERROR(VLOOKUP(C_Ope_009[[#This Row],[nota_2]],Clientes_Proveedores[[Ruc / Dni]:[Razon Social]],2,0),"")</f>
        <v>OLVA COURIER S.A.C.</v>
      </c>
      <c r="Y84" s="25"/>
      <c r="Z84" s="25"/>
      <c r="AA84" s="3" t="str">
        <f>IF(C_Ope_009[[#This Row],[fecha]]&gt;0,TEXT(C_Ope_009[[#This Row],[fecha]],"mmmm"),0)</f>
        <v>Setiembre</v>
      </c>
      <c r="AB84" s="291"/>
    </row>
    <row r="85" spans="1:28" ht="24" x14ac:dyDescent="0.3">
      <c r="A85" s="2">
        <f>IF(C_Ope_009[[#This Row],[tipo_r]]="R",COUNTIFS($C$1:$C84,"R")+1,"")</f>
        <v>84</v>
      </c>
      <c r="B85" s="19" t="str">
        <f t="shared" si="20"/>
        <v>C_Ope_009</v>
      </c>
      <c r="C85" s="13" t="s">
        <v>1330</v>
      </c>
      <c r="D85" s="14">
        <v>45930</v>
      </c>
      <c r="E85" s="5" t="s">
        <v>9211</v>
      </c>
      <c r="F85" s="5" t="s">
        <v>1336</v>
      </c>
      <c r="G85" s="6" t="s">
        <v>1054</v>
      </c>
      <c r="H85" s="6" t="s">
        <v>68</v>
      </c>
      <c r="I85" s="6" t="s">
        <v>1374</v>
      </c>
      <c r="J85" s="6">
        <v>8100</v>
      </c>
      <c r="K85" s="7" t="s">
        <v>9344</v>
      </c>
      <c r="L85" s="8" t="s">
        <v>9345</v>
      </c>
      <c r="M85" s="8" t="str">
        <f t="shared" si="21"/>
        <v>PEN</v>
      </c>
      <c r="N85" s="13"/>
      <c r="O85" s="13">
        <v>38.5</v>
      </c>
      <c r="P85" s="3">
        <f t="shared" si="22"/>
        <v>0</v>
      </c>
      <c r="Q85" s="3">
        <f t="shared" si="23"/>
        <v>38.5</v>
      </c>
      <c r="R85" s="3">
        <f t="shared" si="19"/>
        <v>81.689999999999941</v>
      </c>
      <c r="S85" s="24" t="s">
        <v>1334</v>
      </c>
      <c r="T85" s="24"/>
      <c r="U85" s="3"/>
      <c r="V85" s="25" t="s">
        <v>9218</v>
      </c>
      <c r="W85" s="25">
        <v>10413228722</v>
      </c>
      <c r="X85" s="25" t="str">
        <f>IFERROR(VLOOKUP(C_Ope_009[[#This Row],[nota_2]],Clientes_Proveedores[[Ruc / Dni]:[Razon Social]],2,0),"")</f>
        <v>LLAMO FLORES CARLOS MANUEL</v>
      </c>
      <c r="Y85" s="25"/>
      <c r="Z85" s="25"/>
      <c r="AA85" s="3" t="str">
        <f>IF(C_Ope_009[[#This Row],[fecha]]&gt;0,TEXT(C_Ope_009[[#This Row],[fecha]],"mmmm"),0)</f>
        <v>Setiembre</v>
      </c>
      <c r="AB85" s="291"/>
    </row>
    <row r="86" spans="1:28" ht="24" x14ac:dyDescent="0.3">
      <c r="A86" s="2">
        <f>IF(C_Ope_009[[#This Row],[tipo_r]]="R",COUNTIFS($C$1:$C85,"R")+1,"")</f>
        <v>85</v>
      </c>
      <c r="B86" s="19" t="str">
        <f t="shared" si="20"/>
        <v>C_Ope_009</v>
      </c>
      <c r="C86" s="13" t="s">
        <v>1330</v>
      </c>
      <c r="D86" s="14">
        <v>45940</v>
      </c>
      <c r="E86" s="5" t="s">
        <v>9211</v>
      </c>
      <c r="F86" s="5" t="s">
        <v>1336</v>
      </c>
      <c r="G86" s="6" t="s">
        <v>400</v>
      </c>
      <c r="H86" s="6" t="s">
        <v>68</v>
      </c>
      <c r="I86" s="6" t="s">
        <v>2331</v>
      </c>
      <c r="J86" s="6">
        <v>124443</v>
      </c>
      <c r="K86" s="7" t="s">
        <v>9346</v>
      </c>
      <c r="L86" s="8" t="s">
        <v>9347</v>
      </c>
      <c r="M86" s="8" t="str">
        <f t="shared" si="21"/>
        <v>PEN</v>
      </c>
      <c r="N86" s="13"/>
      <c r="O86" s="13">
        <v>52.5</v>
      </c>
      <c r="P86" s="3">
        <f t="shared" si="22"/>
        <v>0</v>
      </c>
      <c r="Q86" s="3">
        <f t="shared" si="23"/>
        <v>52.5</v>
      </c>
      <c r="R86" s="3">
        <f t="shared" si="19"/>
        <v>29.189999999999941</v>
      </c>
      <c r="S86" s="24" t="s">
        <v>1334</v>
      </c>
      <c r="T86" s="24"/>
      <c r="U86" s="3"/>
      <c r="V86" s="25" t="s">
        <v>9227</v>
      </c>
      <c r="W86" s="25">
        <v>20546153372</v>
      </c>
      <c r="X86" s="25" t="str">
        <f>IFERROR(VLOOKUP(C_Ope_009[[#This Row],[nota_2]],Clientes_Proveedores[[Ruc / Dni]:[Razon Social]],2,0),"")</f>
        <v>GLOBAL PERLA´S CAR S.A.C.</v>
      </c>
      <c r="Y86" s="25"/>
      <c r="Z86" s="25"/>
      <c r="AA86" s="3" t="str">
        <f>IF(C_Ope_009[[#This Row],[fecha]]&gt;0,TEXT(C_Ope_009[[#This Row],[fecha]],"mmmm"),0)</f>
        <v>Octubre</v>
      </c>
      <c r="AB86" s="291"/>
    </row>
    <row r="87" spans="1:28" ht="24" x14ac:dyDescent="0.3">
      <c r="A87" s="2">
        <f>IF(C_Ope_009[[#This Row],[tipo_r]]="R",COUNTIFS($C$1:$C86,"R")+1,"")</f>
        <v>86</v>
      </c>
      <c r="B87" s="19" t="str">
        <f t="shared" si="20"/>
        <v>C_Ope_009</v>
      </c>
      <c r="C87" s="13" t="s">
        <v>1330</v>
      </c>
      <c r="D87" s="14">
        <v>45940</v>
      </c>
      <c r="E87" s="5" t="s">
        <v>9211</v>
      </c>
      <c r="F87" s="5" t="s">
        <v>1336</v>
      </c>
      <c r="G87" s="6" t="s">
        <v>686</v>
      </c>
      <c r="H87" s="6" t="s">
        <v>68</v>
      </c>
      <c r="I87" s="6" t="s">
        <v>6334</v>
      </c>
      <c r="J87" s="6">
        <v>2905412</v>
      </c>
      <c r="K87" s="7" t="s">
        <v>9348</v>
      </c>
      <c r="L87" s="8" t="s">
        <v>9349</v>
      </c>
      <c r="M87" s="8" t="str">
        <f t="shared" si="21"/>
        <v>PEN</v>
      </c>
      <c r="N87" s="13"/>
      <c r="O87" s="13">
        <v>24.25</v>
      </c>
      <c r="P87" s="3">
        <f t="shared" si="22"/>
        <v>0</v>
      </c>
      <c r="Q87" s="3">
        <f t="shared" si="23"/>
        <v>24.25</v>
      </c>
      <c r="R87" s="3">
        <f t="shared" si="19"/>
        <v>4.9399999999999409</v>
      </c>
      <c r="S87" s="24" t="s">
        <v>1334</v>
      </c>
      <c r="T87" s="24"/>
      <c r="U87" s="3"/>
      <c r="V87" s="25" t="s">
        <v>9218</v>
      </c>
      <c r="W87" s="25">
        <v>20608300393</v>
      </c>
      <c r="X87" s="25" t="str">
        <f>IFERROR(VLOOKUP(C_Ope_009[[#This Row],[nota_2]],Clientes_Proveedores[[Ruc / Dni]:[Razon Social]],2,0),"")</f>
        <v>COMPAÑIA FOOD RETAIL S.A.C.</v>
      </c>
      <c r="Y87" s="25"/>
      <c r="Z87" s="25"/>
      <c r="AA87" s="3" t="str">
        <f>IF(C_Ope_009[[#This Row],[fecha]]&gt;0,TEXT(C_Ope_009[[#This Row],[fecha]],"mmmm"),0)</f>
        <v>Octubre</v>
      </c>
      <c r="AB87" s="291"/>
    </row>
    <row r="88" spans="1:28" ht="24" x14ac:dyDescent="0.3">
      <c r="A88" s="2">
        <f>IF(C_Ope_009[[#This Row],[tipo_r]]="R",COUNTIFS($C$1:$C87,"R")+1,"")</f>
        <v>87</v>
      </c>
      <c r="B88" s="19" t="str">
        <f t="shared" si="20"/>
        <v>C_Ope_009</v>
      </c>
      <c r="C88" s="13" t="s">
        <v>1330</v>
      </c>
      <c r="D88" s="14">
        <v>45940</v>
      </c>
      <c r="E88" s="5" t="s">
        <v>9211</v>
      </c>
      <c r="F88" s="5" t="s">
        <v>1336</v>
      </c>
      <c r="G88" s="6" t="s">
        <v>1054</v>
      </c>
      <c r="H88" s="6" t="s">
        <v>68</v>
      </c>
      <c r="I88" s="6" t="s">
        <v>1374</v>
      </c>
      <c r="J88" s="6">
        <v>8144</v>
      </c>
      <c r="K88" s="7" t="s">
        <v>9350</v>
      </c>
      <c r="L88" s="8" t="s">
        <v>9351</v>
      </c>
      <c r="M88" s="8" t="str">
        <f t="shared" si="21"/>
        <v>PEN</v>
      </c>
      <c r="N88" s="13"/>
      <c r="O88" s="13">
        <v>18</v>
      </c>
      <c r="P88" s="3">
        <f t="shared" si="22"/>
        <v>0</v>
      </c>
      <c r="Q88" s="3">
        <f t="shared" si="23"/>
        <v>18</v>
      </c>
      <c r="R88" s="3">
        <f t="shared" si="19"/>
        <v>-13.060000000000059</v>
      </c>
      <c r="S88" s="24" t="s">
        <v>1334</v>
      </c>
      <c r="T88" s="24"/>
      <c r="U88" s="3"/>
      <c r="V88" s="25" t="s">
        <v>9227</v>
      </c>
      <c r="W88" s="25">
        <v>10413228722</v>
      </c>
      <c r="X88" s="25" t="str">
        <f>IFERROR(VLOOKUP(C_Ope_009[[#This Row],[nota_2]],Clientes_Proveedores[[Ruc / Dni]:[Razon Social]],2,0),"")</f>
        <v>LLAMO FLORES CARLOS MANUEL</v>
      </c>
      <c r="Y88" s="25"/>
      <c r="Z88" s="25"/>
      <c r="AA88" s="3" t="str">
        <f>IF(C_Ope_009[[#This Row],[fecha]]&gt;0,TEXT(C_Ope_009[[#This Row],[fecha]],"mmmm"),0)</f>
        <v>Octubre</v>
      </c>
      <c r="AB88" s="291"/>
    </row>
    <row r="89" spans="1:28" x14ac:dyDescent="0.3">
      <c r="A89" s="2">
        <f>IF(C_Ope_009[[#This Row],[tipo_r]]="R",COUNTIFS($C$1:$C88,"R")+1,"")</f>
        <v>88</v>
      </c>
      <c r="B89" s="19" t="str">
        <f>"C_Ope_009"</f>
        <v>C_Ope_009</v>
      </c>
      <c r="C89" s="3" t="s">
        <v>1330</v>
      </c>
      <c r="D89" s="14">
        <v>45940</v>
      </c>
      <c r="E89" s="5" t="s">
        <v>9211</v>
      </c>
      <c r="F89" s="5" t="s">
        <v>1336</v>
      </c>
      <c r="G89" s="6" t="s">
        <v>681</v>
      </c>
      <c r="H89" s="6" t="s">
        <v>68</v>
      </c>
      <c r="I89" s="6" t="s">
        <v>5470</v>
      </c>
      <c r="J89" s="6">
        <v>77511</v>
      </c>
      <c r="K89" s="7" t="s">
        <v>9219</v>
      </c>
      <c r="L89" s="8" t="s">
        <v>9352</v>
      </c>
      <c r="M89" s="8" t="str">
        <f>"PEN"</f>
        <v>PEN</v>
      </c>
      <c r="N89" s="13"/>
      <c r="O89" s="13">
        <v>14</v>
      </c>
      <c r="P89" s="3">
        <f>+IF(OR($F89="SALDO",$F89="INGRESO"),$O89,0)</f>
        <v>0</v>
      </c>
      <c r="Q89" s="3">
        <f>+IF($F89="EGRESO",$O89,0)</f>
        <v>14</v>
      </c>
      <c r="R89" s="3">
        <f t="shared" si="19"/>
        <v>-27.060000000000059</v>
      </c>
      <c r="S89" s="24"/>
      <c r="T89" s="24"/>
      <c r="U89" s="3"/>
      <c r="V89" s="25" t="s">
        <v>9218</v>
      </c>
      <c r="W89" s="25">
        <v>20100686814</v>
      </c>
      <c r="X89" s="25" t="str">
        <f>IFERROR(VLOOKUP(C_Ope_009[[#This Row],[nota_2]],Clientes_Proveedores[[Ruc / Dni]:[Razon Social]],2,0),"")</f>
        <v>OLVA COURIER S.A.C.</v>
      </c>
      <c r="Y89" s="25"/>
      <c r="Z89" s="25"/>
      <c r="AA89" s="3" t="str">
        <f>IF(C_Ope_009[[#This Row],[fecha]]&gt;0,TEXT(C_Ope_009[[#This Row],[fecha]],"mmmm"),0)</f>
        <v>Octubre</v>
      </c>
      <c r="AB89" s="291"/>
    </row>
    <row r="90" spans="1:28" x14ac:dyDescent="0.3">
      <c r="A90" s="2">
        <f>IF(C_Ope_009[[#This Row],[tipo_r]]="R",COUNTIFS($C$1:$C89,"R")+1,"")</f>
        <v>89</v>
      </c>
      <c r="B90" s="19" t="str">
        <f>"C_Ope_009"</f>
        <v>C_Ope_009</v>
      </c>
      <c r="C90" s="3" t="s">
        <v>1330</v>
      </c>
      <c r="D90" s="14">
        <v>45945</v>
      </c>
      <c r="E90" s="5" t="s">
        <v>3634</v>
      </c>
      <c r="F90" s="5" t="s">
        <v>1303</v>
      </c>
      <c r="G90" s="6"/>
      <c r="H90" s="6"/>
      <c r="I90" s="6"/>
      <c r="J90" s="6"/>
      <c r="K90" s="7" t="s">
        <v>9223</v>
      </c>
      <c r="L90" s="8" t="s">
        <v>9391</v>
      </c>
      <c r="M90" s="8" t="str">
        <f>"PEN"</f>
        <v>PEN</v>
      </c>
      <c r="N90" s="13"/>
      <c r="O90" s="13">
        <v>400</v>
      </c>
      <c r="P90" s="3">
        <f>+IF(OR($F90="SALDO",$F90="INGRESO"),$O90,0)</f>
        <v>400</v>
      </c>
      <c r="Q90" s="3">
        <f>+IF($F90="EGRESO",$O90,0)</f>
        <v>0</v>
      </c>
      <c r="R90" s="3">
        <f t="shared" si="19"/>
        <v>372.93999999999994</v>
      </c>
      <c r="S90" s="24"/>
      <c r="T90" s="24"/>
      <c r="U90" s="3"/>
      <c r="V90" s="25"/>
      <c r="W90" s="25"/>
      <c r="X90" s="25" t="str">
        <f>IFERROR(VLOOKUP(C_Ope_009[[#This Row],[nota_2]],Clientes_Proveedores[[Ruc / Dni]:[Razon Social]],2,0),"")</f>
        <v/>
      </c>
      <c r="Y90" s="25"/>
      <c r="Z90" s="25"/>
      <c r="AA90" s="3" t="str">
        <f>IF(C_Ope_009[[#This Row],[fecha]]&gt;0,TEXT(C_Ope_009[[#This Row],[fecha]],"mmmm"),0)</f>
        <v>Octubre</v>
      </c>
      <c r="AB90" s="291"/>
    </row>
    <row r="91" spans="1:28" x14ac:dyDescent="0.3">
      <c r="A91" s="222">
        <f>IF(C_Ope_009[[#This Row],[tipo_r]]="R",COUNTIFS($C$1:$C90,"R")+1,"")</f>
        <v>90</v>
      </c>
      <c r="B91" s="19" t="str">
        <f t="shared" ref="B91:B107" si="24">"C_Ope_009"</f>
        <v>C_Ope_009</v>
      </c>
      <c r="C91" s="3" t="s">
        <v>1330</v>
      </c>
      <c r="D91" s="223">
        <v>45947</v>
      </c>
      <c r="E91" s="224" t="s">
        <v>9211</v>
      </c>
      <c r="F91" s="224" t="s">
        <v>1336</v>
      </c>
      <c r="G91" s="6" t="s">
        <v>681</v>
      </c>
      <c r="H91" s="6" t="s">
        <v>68</v>
      </c>
      <c r="I91" s="6" t="s">
        <v>5470</v>
      </c>
      <c r="J91" s="6">
        <v>77572</v>
      </c>
      <c r="K91" s="225" t="s">
        <v>9219</v>
      </c>
      <c r="L91" s="226" t="s">
        <v>9353</v>
      </c>
      <c r="M91" s="226" t="str">
        <f t="shared" ref="M91:M107" si="25">"PEN"</f>
        <v>PEN</v>
      </c>
      <c r="N91" s="13"/>
      <c r="O91" s="227">
        <v>14</v>
      </c>
      <c r="P91" s="228">
        <f t="shared" ref="P91:P107" si="26">+IF(OR($F91="SALDO",$F91="INGRESO"),$O91,0)</f>
        <v>0</v>
      </c>
      <c r="Q91" s="228">
        <f t="shared" ref="Q91:Q107" si="27">+IF($F91="EGRESO",$O91,0)</f>
        <v>14</v>
      </c>
      <c r="R91" s="228">
        <f t="shared" si="19"/>
        <v>358.93999999999994</v>
      </c>
      <c r="S91" s="229"/>
      <c r="T91" s="229"/>
      <c r="U91" s="228"/>
      <c r="V91" s="25" t="s">
        <v>9218</v>
      </c>
      <c r="W91" s="25">
        <v>20100686814</v>
      </c>
      <c r="X91" s="25" t="str">
        <f>IFERROR(VLOOKUP(C_Ope_009[[#This Row],[nota_2]],Clientes_Proveedores[[Ruc / Dni]:[Razon Social]],2,0),"")</f>
        <v>OLVA COURIER S.A.C.</v>
      </c>
      <c r="Y91" s="25"/>
      <c r="Z91" s="25"/>
      <c r="AA91" s="228" t="str">
        <f>IF(C_Ope_009[[#This Row],[fecha]]&gt;0,TEXT(C_Ope_009[[#This Row],[fecha]],"mmmm"),0)</f>
        <v>Octubre</v>
      </c>
      <c r="AB91" s="291"/>
    </row>
    <row r="92" spans="1:28" ht="24" x14ac:dyDescent="0.3">
      <c r="A92" s="222">
        <f>IF(C_Ope_009[[#This Row],[tipo_r]]="R",COUNTIFS($C$1:$C91,"R")+1,"")</f>
        <v>91</v>
      </c>
      <c r="B92" s="19" t="str">
        <f t="shared" si="24"/>
        <v>C_Ope_009</v>
      </c>
      <c r="C92" s="3" t="s">
        <v>1330</v>
      </c>
      <c r="D92" s="223">
        <v>45950</v>
      </c>
      <c r="E92" s="224" t="s">
        <v>9211</v>
      </c>
      <c r="F92" s="224" t="s">
        <v>1336</v>
      </c>
      <c r="G92" s="6" t="s">
        <v>1209</v>
      </c>
      <c r="H92" s="6" t="s">
        <v>68</v>
      </c>
      <c r="I92" s="6" t="s">
        <v>9327</v>
      </c>
      <c r="J92" s="6">
        <v>142</v>
      </c>
      <c r="K92" s="225" t="s">
        <v>9369</v>
      </c>
      <c r="L92" s="226" t="s">
        <v>9354</v>
      </c>
      <c r="M92" s="226" t="str">
        <f t="shared" si="25"/>
        <v>PEN</v>
      </c>
      <c r="N92" s="13"/>
      <c r="O92" s="227">
        <v>17.7</v>
      </c>
      <c r="P92" s="228">
        <f t="shared" si="26"/>
        <v>0</v>
      </c>
      <c r="Q92" s="228">
        <f t="shared" si="27"/>
        <v>17.7</v>
      </c>
      <c r="R92" s="228">
        <f t="shared" si="19"/>
        <v>341.23999999999995</v>
      </c>
      <c r="S92" s="229"/>
      <c r="T92" s="229"/>
      <c r="U92" s="228"/>
      <c r="V92" s="25" t="s">
        <v>9383</v>
      </c>
      <c r="W92" s="25">
        <v>20608280333</v>
      </c>
      <c r="X92" s="25" t="str">
        <f>IFERROR(VLOOKUP(C_Ope_009[[#This Row],[nota_2]],Clientes_Proveedores[[Ruc / Dni]:[Razon Social]],2,0),"")</f>
        <v>COMPAÑIA HARD DISCOUNT S.A.C.</v>
      </c>
      <c r="Y92" s="25"/>
      <c r="Z92" s="25"/>
      <c r="AA92" s="228" t="str">
        <f>IF(C_Ope_009[[#This Row],[fecha]]&gt;0,TEXT(C_Ope_009[[#This Row],[fecha]],"mmmm"),0)</f>
        <v>Octubre</v>
      </c>
      <c r="AB92" s="291"/>
    </row>
    <row r="93" spans="1:28" ht="24" x14ac:dyDescent="0.3">
      <c r="A93" s="222">
        <f>IF(C_Ope_009[[#This Row],[tipo_r]]="R",COUNTIFS($C$1:$C92,"R")+1,"")</f>
        <v>92</v>
      </c>
      <c r="B93" s="19" t="str">
        <f t="shared" si="24"/>
        <v>C_Ope_009</v>
      </c>
      <c r="C93" s="3" t="s">
        <v>1330</v>
      </c>
      <c r="D93" s="223">
        <v>45951</v>
      </c>
      <c r="E93" s="224" t="s">
        <v>9211</v>
      </c>
      <c r="F93" s="224" t="s">
        <v>1336</v>
      </c>
      <c r="G93" s="6" t="s">
        <v>9387</v>
      </c>
      <c r="H93" s="6" t="s">
        <v>68</v>
      </c>
      <c r="I93" s="6" t="s">
        <v>1374</v>
      </c>
      <c r="J93" s="6">
        <v>301</v>
      </c>
      <c r="K93" s="225" t="s">
        <v>9370</v>
      </c>
      <c r="L93" s="226" t="s">
        <v>9355</v>
      </c>
      <c r="M93" s="226" t="str">
        <f t="shared" si="25"/>
        <v>PEN</v>
      </c>
      <c r="N93" s="13"/>
      <c r="O93" s="227">
        <v>6</v>
      </c>
      <c r="P93" s="228">
        <f t="shared" si="26"/>
        <v>0</v>
      </c>
      <c r="Q93" s="228">
        <f t="shared" si="27"/>
        <v>6</v>
      </c>
      <c r="R93" s="228">
        <f t="shared" si="19"/>
        <v>335.23999999999995</v>
      </c>
      <c r="S93" s="229"/>
      <c r="T93" s="229"/>
      <c r="U93" s="228"/>
      <c r="V93" s="25" t="s">
        <v>9218</v>
      </c>
      <c r="W93" s="25">
        <v>10407292834</v>
      </c>
      <c r="X93" s="25" t="str">
        <f>IFERROR(VLOOKUP(C_Ope_009[[#This Row],[nota_2]],Clientes_Proveedores[[Ruc / Dni]:[Razon Social]],2,0),"")</f>
        <v>SANTOS MEDINA ZULIN JHULISA</v>
      </c>
      <c r="Y93" s="25"/>
      <c r="Z93" s="25"/>
      <c r="AA93" s="228" t="str">
        <f>IF(C_Ope_009[[#This Row],[fecha]]&gt;0,TEXT(C_Ope_009[[#This Row],[fecha]],"mmmm"),0)</f>
        <v>Octubre</v>
      </c>
      <c r="AB93" s="291"/>
    </row>
    <row r="94" spans="1:28" ht="24" x14ac:dyDescent="0.3">
      <c r="A94" s="222">
        <f>IF(C_Ope_009[[#This Row],[tipo_r]]="R",COUNTIFS($C$1:$C93,"R")+1,"")</f>
        <v>93</v>
      </c>
      <c r="B94" s="19" t="str">
        <f t="shared" si="24"/>
        <v>C_Ope_009</v>
      </c>
      <c r="C94" s="3" t="s">
        <v>1330</v>
      </c>
      <c r="D94" s="223">
        <v>45951</v>
      </c>
      <c r="E94" s="224" t="s">
        <v>9211</v>
      </c>
      <c r="F94" s="224" t="s">
        <v>1336</v>
      </c>
      <c r="G94" s="6" t="s">
        <v>1209</v>
      </c>
      <c r="H94" s="6" t="s">
        <v>68</v>
      </c>
      <c r="I94" s="6" t="s">
        <v>9327</v>
      </c>
      <c r="J94" s="6">
        <v>148</v>
      </c>
      <c r="K94" s="225" t="s">
        <v>9371</v>
      </c>
      <c r="L94" s="226" t="s">
        <v>9356</v>
      </c>
      <c r="M94" s="226" t="str">
        <f t="shared" si="25"/>
        <v>PEN</v>
      </c>
      <c r="N94" s="13"/>
      <c r="O94" s="227">
        <v>39.1</v>
      </c>
      <c r="P94" s="228">
        <f t="shared" si="26"/>
        <v>0</v>
      </c>
      <c r="Q94" s="228">
        <f t="shared" si="27"/>
        <v>39.1</v>
      </c>
      <c r="R94" s="228">
        <f t="shared" si="19"/>
        <v>296.13999999999993</v>
      </c>
      <c r="S94" s="229"/>
      <c r="T94" s="229"/>
      <c r="U94" s="228"/>
      <c r="V94" s="25" t="s">
        <v>9383</v>
      </c>
      <c r="W94" s="25">
        <v>20608280333</v>
      </c>
      <c r="X94" s="25" t="str">
        <f>IFERROR(VLOOKUP(C_Ope_009[[#This Row],[nota_2]],Clientes_Proveedores[[Ruc / Dni]:[Razon Social]],2,0),"")</f>
        <v>COMPAÑIA HARD DISCOUNT S.A.C.</v>
      </c>
      <c r="Y94" s="25"/>
      <c r="Z94" s="25"/>
      <c r="AA94" s="228" t="str">
        <f>IF(C_Ope_009[[#This Row],[fecha]]&gt;0,TEXT(C_Ope_009[[#This Row],[fecha]],"mmmm"),0)</f>
        <v>Octubre</v>
      </c>
      <c r="AB94" s="291"/>
    </row>
    <row r="95" spans="1:28" ht="24" x14ac:dyDescent="0.3">
      <c r="A95" s="222">
        <f>IF(C_Ope_009[[#This Row],[tipo_r]]="R",COUNTIFS($C$1:$C94,"R")+1,"")</f>
        <v>94</v>
      </c>
      <c r="B95" s="19" t="str">
        <f t="shared" si="24"/>
        <v>C_Ope_009</v>
      </c>
      <c r="C95" s="3" t="s">
        <v>1330</v>
      </c>
      <c r="D95" s="223">
        <v>45952</v>
      </c>
      <c r="E95" s="224" t="s">
        <v>9211</v>
      </c>
      <c r="F95" s="224" t="s">
        <v>1336</v>
      </c>
      <c r="G95" s="6" t="s">
        <v>1209</v>
      </c>
      <c r="H95" s="6" t="s">
        <v>68</v>
      </c>
      <c r="I95" s="6" t="s">
        <v>9327</v>
      </c>
      <c r="J95" s="6">
        <v>151</v>
      </c>
      <c r="K95" s="225" t="s">
        <v>9372</v>
      </c>
      <c r="L95" s="226" t="s">
        <v>9357</v>
      </c>
      <c r="M95" s="226" t="str">
        <f t="shared" si="25"/>
        <v>PEN</v>
      </c>
      <c r="N95" s="13"/>
      <c r="O95" s="227">
        <v>40.9</v>
      </c>
      <c r="P95" s="228">
        <f t="shared" si="26"/>
        <v>0</v>
      </c>
      <c r="Q95" s="228">
        <f t="shared" si="27"/>
        <v>40.9</v>
      </c>
      <c r="R95" s="228">
        <f t="shared" si="19"/>
        <v>255.23999999999992</v>
      </c>
      <c r="S95" s="229"/>
      <c r="T95" s="229"/>
      <c r="U95" s="228"/>
      <c r="V95" s="25" t="s">
        <v>9383</v>
      </c>
      <c r="W95" s="25">
        <v>20608280333</v>
      </c>
      <c r="X95" s="25" t="str">
        <f>IFERROR(VLOOKUP(C_Ope_009[[#This Row],[nota_2]],Clientes_Proveedores[[Ruc / Dni]:[Razon Social]],2,0),"")</f>
        <v>COMPAÑIA HARD DISCOUNT S.A.C.</v>
      </c>
      <c r="Y95" s="25"/>
      <c r="Z95" s="25"/>
      <c r="AA95" s="228" t="str">
        <f>IF(C_Ope_009[[#This Row],[fecha]]&gt;0,TEXT(C_Ope_009[[#This Row],[fecha]],"mmmm"),0)</f>
        <v>Octubre</v>
      </c>
      <c r="AB95" s="291"/>
    </row>
    <row r="96" spans="1:28" ht="24" x14ac:dyDescent="0.3">
      <c r="A96" s="222">
        <f>IF(C_Ope_009[[#This Row],[tipo_r]]="R",COUNTIFS($C$1:$C95,"R")+1,"")</f>
        <v>95</v>
      </c>
      <c r="B96" s="19" t="str">
        <f t="shared" si="24"/>
        <v>C_Ope_009</v>
      </c>
      <c r="C96" s="3" t="s">
        <v>1330</v>
      </c>
      <c r="D96" s="223">
        <v>45953</v>
      </c>
      <c r="E96" s="224" t="s">
        <v>9211</v>
      </c>
      <c r="F96" s="224" t="s">
        <v>1336</v>
      </c>
      <c r="G96" s="6" t="s">
        <v>1209</v>
      </c>
      <c r="H96" s="6" t="s">
        <v>68</v>
      </c>
      <c r="I96" s="6" t="s">
        <v>9327</v>
      </c>
      <c r="J96" s="6">
        <v>153</v>
      </c>
      <c r="K96" s="7" t="s">
        <v>9373</v>
      </c>
      <c r="L96" s="226" t="s">
        <v>9358</v>
      </c>
      <c r="M96" s="226" t="str">
        <f t="shared" si="25"/>
        <v>PEN</v>
      </c>
      <c r="N96" s="13"/>
      <c r="O96" s="227">
        <v>37.5</v>
      </c>
      <c r="P96" s="228">
        <f t="shared" si="26"/>
        <v>0</v>
      </c>
      <c r="Q96" s="228">
        <f t="shared" si="27"/>
        <v>37.5</v>
      </c>
      <c r="R96" s="228">
        <f t="shared" si="19"/>
        <v>217.73999999999992</v>
      </c>
      <c r="S96" s="229"/>
      <c r="T96" s="229"/>
      <c r="U96" s="228"/>
      <c r="V96" s="25" t="s">
        <v>9383</v>
      </c>
      <c r="W96" s="25">
        <v>20608280333</v>
      </c>
      <c r="X96" s="25" t="str">
        <f>IFERROR(VLOOKUP(C_Ope_009[[#This Row],[nota_2]],Clientes_Proveedores[[Ruc / Dni]:[Razon Social]],2,0),"")</f>
        <v>COMPAÑIA HARD DISCOUNT S.A.C.</v>
      </c>
      <c r="Y96" s="25"/>
      <c r="Z96" s="25"/>
      <c r="AA96" s="228" t="str">
        <f>IF(C_Ope_009[[#This Row],[fecha]]&gt;0,TEXT(C_Ope_009[[#This Row],[fecha]],"mmmm"),0)</f>
        <v>Octubre</v>
      </c>
      <c r="AB96" s="291"/>
    </row>
    <row r="97" spans="1:28" ht="24" x14ac:dyDescent="0.3">
      <c r="A97" s="222">
        <f>IF(C_Ope_009[[#This Row],[tipo_r]]="R",COUNTIFS($C$1:$C96,"R")+1,"")</f>
        <v>96</v>
      </c>
      <c r="B97" s="19" t="str">
        <f t="shared" si="24"/>
        <v>C_Ope_009</v>
      </c>
      <c r="C97" s="3" t="s">
        <v>1330</v>
      </c>
      <c r="D97" s="223">
        <v>45954</v>
      </c>
      <c r="E97" s="224" t="s">
        <v>9211</v>
      </c>
      <c r="F97" s="224" t="s">
        <v>1336</v>
      </c>
      <c r="G97" s="6" t="s">
        <v>9388</v>
      </c>
      <c r="H97" s="6" t="s">
        <v>68</v>
      </c>
      <c r="I97" s="6" t="s">
        <v>1374</v>
      </c>
      <c r="J97" s="6">
        <v>6423</v>
      </c>
      <c r="K97" s="225" t="s">
        <v>9374</v>
      </c>
      <c r="L97" s="226" t="s">
        <v>9359</v>
      </c>
      <c r="M97" s="226" t="str">
        <f t="shared" si="25"/>
        <v>PEN</v>
      </c>
      <c r="N97" s="13"/>
      <c r="O97" s="227">
        <v>85</v>
      </c>
      <c r="P97" s="228">
        <f t="shared" si="26"/>
        <v>0</v>
      </c>
      <c r="Q97" s="228">
        <f t="shared" si="27"/>
        <v>85</v>
      </c>
      <c r="R97" s="228">
        <f t="shared" si="19"/>
        <v>132.73999999999992</v>
      </c>
      <c r="S97" s="229"/>
      <c r="T97" s="229"/>
      <c r="U97" s="228"/>
      <c r="V97" s="25" t="s">
        <v>9227</v>
      </c>
      <c r="W97" s="25">
        <v>20612170127</v>
      </c>
      <c r="X97" s="25" t="str">
        <f>IFERROR(VLOOKUP(C_Ope_009[[#This Row],[nota_2]],Clientes_Proveedores[[Ruc / Dni]:[Razon Social]],2,0),"")</f>
        <v>CENTRALCAR AUTOMOTRIZ S.A.C.</v>
      </c>
      <c r="Y97" s="25"/>
      <c r="Z97" s="25"/>
      <c r="AA97" s="228" t="str">
        <f>IF(C_Ope_009[[#This Row],[fecha]]&gt;0,TEXT(C_Ope_009[[#This Row],[fecha]],"mmmm"),0)</f>
        <v>Octubre</v>
      </c>
      <c r="AB97" s="291"/>
    </row>
    <row r="98" spans="1:28" ht="24" x14ac:dyDescent="0.3">
      <c r="A98" s="222">
        <f>IF(C_Ope_009[[#This Row],[tipo_r]]="R",COUNTIFS($C$1:$C97,"R")+1,"")</f>
        <v>97</v>
      </c>
      <c r="B98" s="19" t="str">
        <f t="shared" si="24"/>
        <v>C_Ope_009</v>
      </c>
      <c r="C98" s="3" t="s">
        <v>1330</v>
      </c>
      <c r="D98" s="223">
        <v>45954</v>
      </c>
      <c r="E98" s="224" t="s">
        <v>9211</v>
      </c>
      <c r="F98" s="224" t="s">
        <v>1336</v>
      </c>
      <c r="G98" s="6" t="s">
        <v>686</v>
      </c>
      <c r="H98" s="6" t="s">
        <v>68</v>
      </c>
      <c r="I98" s="6" t="s">
        <v>6334</v>
      </c>
      <c r="J98" s="6">
        <v>2806011</v>
      </c>
      <c r="K98" s="225" t="s">
        <v>9375</v>
      </c>
      <c r="L98" s="226" t="s">
        <v>9360</v>
      </c>
      <c r="M98" s="226" t="str">
        <f t="shared" si="25"/>
        <v>PEN</v>
      </c>
      <c r="N98" s="13"/>
      <c r="O98" s="227">
        <v>57.98</v>
      </c>
      <c r="P98" s="228">
        <f t="shared" si="26"/>
        <v>0</v>
      </c>
      <c r="Q98" s="228">
        <f t="shared" si="27"/>
        <v>57.98</v>
      </c>
      <c r="R98" s="228">
        <f t="shared" ref="R98:R107" si="28">IFERROR(IF(F98="SALDO",P98,R97+P98-Q98),0)</f>
        <v>74.759999999999934</v>
      </c>
      <c r="S98" s="229"/>
      <c r="T98" s="229"/>
      <c r="U98" s="228"/>
      <c r="V98" s="25" t="s">
        <v>9383</v>
      </c>
      <c r="W98" s="25">
        <v>20608300393</v>
      </c>
      <c r="X98" s="25" t="str">
        <f>IFERROR(VLOOKUP(C_Ope_009[[#This Row],[nota_2]],Clientes_Proveedores[[Ruc / Dni]:[Razon Social]],2,0),"")</f>
        <v>COMPAÑIA FOOD RETAIL S.A.C.</v>
      </c>
      <c r="Y98" s="25"/>
      <c r="Z98" s="25"/>
      <c r="AA98" s="228" t="str">
        <f>IF(C_Ope_009[[#This Row],[fecha]]&gt;0,TEXT(C_Ope_009[[#This Row],[fecha]],"mmmm"),0)</f>
        <v>Octubre</v>
      </c>
      <c r="AB98" s="291"/>
    </row>
    <row r="99" spans="1:28" x14ac:dyDescent="0.3">
      <c r="A99" s="222">
        <f>IF(C_Ope_009[[#This Row],[tipo_r]]="R",COUNTIFS($C$1:$C98,"R")+1,"")</f>
        <v>98</v>
      </c>
      <c r="B99" s="19" t="str">
        <f t="shared" si="24"/>
        <v>C_Ope_009</v>
      </c>
      <c r="C99" s="3" t="s">
        <v>1330</v>
      </c>
      <c r="D99" s="223">
        <v>45954</v>
      </c>
      <c r="E99" s="224" t="s">
        <v>9211</v>
      </c>
      <c r="F99" s="224" t="s">
        <v>1336</v>
      </c>
      <c r="G99" s="6" t="s">
        <v>681</v>
      </c>
      <c r="H99" s="6" t="s">
        <v>68</v>
      </c>
      <c r="I99" s="6" t="s">
        <v>9228</v>
      </c>
      <c r="J99" s="6">
        <v>35558</v>
      </c>
      <c r="K99" s="225" t="s">
        <v>9219</v>
      </c>
      <c r="L99" s="226" t="s">
        <v>9361</v>
      </c>
      <c r="M99" s="226" t="str">
        <f t="shared" si="25"/>
        <v>PEN</v>
      </c>
      <c r="N99" s="13"/>
      <c r="O99" s="227">
        <v>14</v>
      </c>
      <c r="P99" s="228">
        <f t="shared" si="26"/>
        <v>0</v>
      </c>
      <c r="Q99" s="228">
        <f t="shared" si="27"/>
        <v>14</v>
      </c>
      <c r="R99" s="228">
        <f t="shared" si="28"/>
        <v>60.759999999999934</v>
      </c>
      <c r="S99" s="229"/>
      <c r="T99" s="229"/>
      <c r="U99" s="228"/>
      <c r="V99" s="25" t="s">
        <v>9218</v>
      </c>
      <c r="W99" s="25">
        <v>20100686814</v>
      </c>
      <c r="X99" s="25" t="str">
        <f>IFERROR(VLOOKUP(C_Ope_009[[#This Row],[nota_2]],Clientes_Proveedores[[Ruc / Dni]:[Razon Social]],2,0),"")</f>
        <v>OLVA COURIER S.A.C.</v>
      </c>
      <c r="Y99" s="25"/>
      <c r="Z99" s="25"/>
      <c r="AA99" s="228" t="str">
        <f>IF(C_Ope_009[[#This Row],[fecha]]&gt;0,TEXT(C_Ope_009[[#This Row],[fecha]],"mmmm"),0)</f>
        <v>Octubre</v>
      </c>
      <c r="AB99" s="291"/>
    </row>
    <row r="100" spans="1:28" ht="24" x14ac:dyDescent="0.3">
      <c r="A100" s="222">
        <f>IF(C_Ope_009[[#This Row],[tipo_r]]="R",COUNTIFS($C$1:$C99,"R")+1,"")</f>
        <v>99</v>
      </c>
      <c r="B100" s="19" t="str">
        <f t="shared" si="24"/>
        <v>C_Ope_009</v>
      </c>
      <c r="C100" s="3" t="s">
        <v>1330</v>
      </c>
      <c r="D100" s="223">
        <v>45957</v>
      </c>
      <c r="E100" s="224" t="s">
        <v>9211</v>
      </c>
      <c r="F100" s="224" t="s">
        <v>1336</v>
      </c>
      <c r="G100" s="6" t="s">
        <v>1111</v>
      </c>
      <c r="H100" s="6" t="s">
        <v>68</v>
      </c>
      <c r="I100" s="6" t="s">
        <v>1376</v>
      </c>
      <c r="J100" s="6">
        <v>229</v>
      </c>
      <c r="K100" s="225" t="s">
        <v>9376</v>
      </c>
      <c r="L100" s="226" t="s">
        <v>9362</v>
      </c>
      <c r="M100" s="226" t="str">
        <f t="shared" si="25"/>
        <v>PEN</v>
      </c>
      <c r="N100" s="13"/>
      <c r="O100" s="227">
        <v>15</v>
      </c>
      <c r="P100" s="228">
        <f t="shared" si="26"/>
        <v>0</v>
      </c>
      <c r="Q100" s="228">
        <f t="shared" si="27"/>
        <v>15</v>
      </c>
      <c r="R100" s="228">
        <f t="shared" si="28"/>
        <v>45.759999999999934</v>
      </c>
      <c r="S100" s="229"/>
      <c r="T100" s="229"/>
      <c r="U100" s="228"/>
      <c r="V100" s="25" t="s">
        <v>9218</v>
      </c>
      <c r="W100" s="25">
        <v>10207191685</v>
      </c>
      <c r="X100" s="25" t="str">
        <f>IFERROR(VLOOKUP(C_Ope_009[[#This Row],[nota_2]],Clientes_Proveedores[[Ruc / Dni]:[Razon Social]],2,0),"")</f>
        <v>GARCIA RAMOS HOTMAR PEDRO</v>
      </c>
      <c r="Y100" s="25"/>
      <c r="Z100" s="25"/>
      <c r="AA100" s="228" t="str">
        <f>IF(C_Ope_009[[#This Row],[fecha]]&gt;0,TEXT(C_Ope_009[[#This Row],[fecha]],"mmmm"),0)</f>
        <v>Octubre</v>
      </c>
      <c r="AB100" s="291"/>
    </row>
    <row r="101" spans="1:28" ht="36" x14ac:dyDescent="0.3">
      <c r="A101" s="222">
        <f>IF(C_Ope_009[[#This Row],[tipo_r]]="R",COUNTIFS($C$1:$C100,"R")+1,"")</f>
        <v>100</v>
      </c>
      <c r="B101" s="19" t="str">
        <f t="shared" si="24"/>
        <v>C_Ope_009</v>
      </c>
      <c r="C101" s="3" t="s">
        <v>1330</v>
      </c>
      <c r="D101" s="223">
        <v>45957</v>
      </c>
      <c r="E101" s="224" t="s">
        <v>9211</v>
      </c>
      <c r="F101" s="224" t="s">
        <v>1336</v>
      </c>
      <c r="G101" s="6" t="s">
        <v>9389</v>
      </c>
      <c r="H101" s="6" t="s">
        <v>68</v>
      </c>
      <c r="I101" s="6" t="s">
        <v>1386</v>
      </c>
      <c r="J101" s="6" t="s">
        <v>9532</v>
      </c>
      <c r="K101" s="7" t="s">
        <v>9377</v>
      </c>
      <c r="L101" s="226" t="s">
        <v>9363</v>
      </c>
      <c r="M101" s="226" t="str">
        <f t="shared" si="25"/>
        <v>PEN</v>
      </c>
      <c r="N101" s="13"/>
      <c r="O101" s="227">
        <v>140</v>
      </c>
      <c r="P101" s="228">
        <f t="shared" si="26"/>
        <v>0</v>
      </c>
      <c r="Q101" s="228">
        <f t="shared" si="27"/>
        <v>140</v>
      </c>
      <c r="R101" s="228">
        <f t="shared" si="28"/>
        <v>-94.240000000000066</v>
      </c>
      <c r="S101" s="229"/>
      <c r="T101" s="229"/>
      <c r="U101" s="228"/>
      <c r="V101" s="25" t="s">
        <v>9218</v>
      </c>
      <c r="W101" s="25">
        <v>20607451835</v>
      </c>
      <c r="X101" s="25" t="str">
        <f>IFERROR(VLOOKUP(C_Ope_009[[#This Row],[nota_2]],Clientes_Proveedores[[Ruc / Dni]:[Razon Social]],2,0),"")</f>
        <v>MAGENTA COLORS SOLUCIONES INDUSTRIALES E.I.R.L.</v>
      </c>
      <c r="Y101" s="25"/>
      <c r="Z101" s="25"/>
      <c r="AA101" s="228" t="str">
        <f>IF(C_Ope_009[[#This Row],[fecha]]&gt;0,TEXT(C_Ope_009[[#This Row],[fecha]],"mmmm"),0)</f>
        <v>Octubre</v>
      </c>
      <c r="AB101" s="291"/>
    </row>
    <row r="102" spans="1:28" ht="24" x14ac:dyDescent="0.3">
      <c r="A102" s="222">
        <f>IF(C_Ope_009[[#This Row],[tipo_r]]="R",COUNTIFS($C$1:$C101,"R")+1,"")</f>
        <v>101</v>
      </c>
      <c r="B102" s="19" t="str">
        <f t="shared" si="24"/>
        <v>C_Ope_009</v>
      </c>
      <c r="C102" s="3" t="s">
        <v>1330</v>
      </c>
      <c r="D102" s="223">
        <v>45957</v>
      </c>
      <c r="E102" s="224" t="s">
        <v>9211</v>
      </c>
      <c r="F102" s="224" t="s">
        <v>1336</v>
      </c>
      <c r="G102" s="6" t="s">
        <v>1054</v>
      </c>
      <c r="H102" s="6" t="s">
        <v>68</v>
      </c>
      <c r="I102" s="6" t="s">
        <v>1374</v>
      </c>
      <c r="J102" s="6">
        <v>8236</v>
      </c>
      <c r="K102" s="225" t="s">
        <v>9378</v>
      </c>
      <c r="L102" s="226" t="s">
        <v>9364</v>
      </c>
      <c r="M102" s="226" t="str">
        <f t="shared" si="25"/>
        <v>PEN</v>
      </c>
      <c r="N102" s="13"/>
      <c r="O102" s="227">
        <v>18</v>
      </c>
      <c r="P102" s="228">
        <f t="shared" si="26"/>
        <v>0</v>
      </c>
      <c r="Q102" s="228">
        <f t="shared" si="27"/>
        <v>18</v>
      </c>
      <c r="R102" s="228">
        <f t="shared" si="28"/>
        <v>-112.24000000000007</v>
      </c>
      <c r="S102" s="229"/>
      <c r="T102" s="229"/>
      <c r="U102" s="228"/>
      <c r="V102" s="25" t="s">
        <v>9218</v>
      </c>
      <c r="W102" s="25">
        <v>10413228722</v>
      </c>
      <c r="X102" s="25" t="str">
        <f>IFERROR(VLOOKUP(C_Ope_009[[#This Row],[nota_2]],Clientes_Proveedores[[Ruc / Dni]:[Razon Social]],2,0),"")</f>
        <v>LLAMO FLORES CARLOS MANUEL</v>
      </c>
      <c r="Y102" s="25"/>
      <c r="Z102" s="25"/>
      <c r="AA102" s="228" t="str">
        <f>IF(C_Ope_009[[#This Row],[fecha]]&gt;0,TEXT(C_Ope_009[[#This Row],[fecha]],"mmmm"),0)</f>
        <v>Octubre</v>
      </c>
      <c r="AB102" s="291"/>
    </row>
    <row r="103" spans="1:28" ht="24" x14ac:dyDescent="0.3">
      <c r="A103" s="222">
        <f>IF(C_Ope_009[[#This Row],[tipo_r]]="R",COUNTIFS($C$1:$C102,"R")+1,"")</f>
        <v>102</v>
      </c>
      <c r="B103" s="19" t="str">
        <f t="shared" si="24"/>
        <v>C_Ope_009</v>
      </c>
      <c r="C103" s="3" t="s">
        <v>1330</v>
      </c>
      <c r="D103" s="223">
        <v>45957</v>
      </c>
      <c r="E103" s="224" t="s">
        <v>9211</v>
      </c>
      <c r="F103" s="224" t="s">
        <v>1336</v>
      </c>
      <c r="G103" s="6" t="s">
        <v>1054</v>
      </c>
      <c r="H103" s="6" t="s">
        <v>68</v>
      </c>
      <c r="I103" s="6" t="s">
        <v>1374</v>
      </c>
      <c r="J103" s="6">
        <v>8237</v>
      </c>
      <c r="K103" s="225" t="s">
        <v>9379</v>
      </c>
      <c r="L103" s="226" t="s">
        <v>9365</v>
      </c>
      <c r="M103" s="226" t="str">
        <f t="shared" si="25"/>
        <v>PEN</v>
      </c>
      <c r="N103" s="13"/>
      <c r="O103" s="227">
        <v>92</v>
      </c>
      <c r="P103" s="228">
        <f t="shared" si="26"/>
        <v>0</v>
      </c>
      <c r="Q103" s="228">
        <f t="shared" si="27"/>
        <v>92</v>
      </c>
      <c r="R103" s="228">
        <f t="shared" si="28"/>
        <v>-204.24000000000007</v>
      </c>
      <c r="S103" s="229"/>
      <c r="T103" s="229"/>
      <c r="U103" s="228"/>
      <c r="V103" s="25" t="s">
        <v>9218</v>
      </c>
      <c r="W103" s="25">
        <v>10413228722</v>
      </c>
      <c r="X103" s="25" t="str">
        <f>IFERROR(VLOOKUP(C_Ope_009[[#This Row],[nota_2]],Clientes_Proveedores[[Ruc / Dni]:[Razon Social]],2,0),"")</f>
        <v>LLAMO FLORES CARLOS MANUEL</v>
      </c>
      <c r="Y103" s="25"/>
      <c r="Z103" s="25"/>
      <c r="AA103" s="228" t="str">
        <f>IF(C_Ope_009[[#This Row],[fecha]]&gt;0,TEXT(C_Ope_009[[#This Row],[fecha]],"mmmm"),0)</f>
        <v>Octubre</v>
      </c>
      <c r="AB103" s="291"/>
    </row>
    <row r="104" spans="1:28" ht="36" x14ac:dyDescent="0.3">
      <c r="A104" s="222">
        <f>IF(C_Ope_009[[#This Row],[tipo_r]]="R",COUNTIFS($C$1:$C103,"R")+1,"")</f>
        <v>103</v>
      </c>
      <c r="B104" s="19" t="str">
        <f t="shared" si="24"/>
        <v>C_Ope_009</v>
      </c>
      <c r="C104" s="3" t="s">
        <v>1330</v>
      </c>
      <c r="D104" s="223">
        <v>45957</v>
      </c>
      <c r="E104" s="224" t="s">
        <v>9211</v>
      </c>
      <c r="F104" s="224" t="s">
        <v>1336</v>
      </c>
      <c r="G104" s="6" t="s">
        <v>9390</v>
      </c>
      <c r="H104" s="6" t="s">
        <v>68</v>
      </c>
      <c r="I104" s="6" t="s">
        <v>1376</v>
      </c>
      <c r="J104" s="6">
        <v>45</v>
      </c>
      <c r="K104" s="225" t="s">
        <v>9380</v>
      </c>
      <c r="L104" s="226" t="s">
        <v>9366</v>
      </c>
      <c r="M104" s="226" t="str">
        <f t="shared" si="25"/>
        <v>PEN</v>
      </c>
      <c r="N104" s="13"/>
      <c r="O104" s="227">
        <v>55</v>
      </c>
      <c r="P104" s="228">
        <f t="shared" si="26"/>
        <v>0</v>
      </c>
      <c r="Q104" s="228">
        <f t="shared" si="27"/>
        <v>55</v>
      </c>
      <c r="R104" s="228">
        <f t="shared" si="28"/>
        <v>-259.24000000000007</v>
      </c>
      <c r="S104" s="229"/>
      <c r="T104" s="229"/>
      <c r="U104" s="228"/>
      <c r="V104" s="25" t="s">
        <v>9218</v>
      </c>
      <c r="W104" s="25">
        <v>20612788881</v>
      </c>
      <c r="X104" s="25" t="str">
        <f>IFERROR(VLOOKUP(C_Ope_009[[#This Row],[nota_2]],Clientes_Proveedores[[Ruc / Dni]:[Razon Social]],2,0),"")</f>
        <v>FAMILIA ELMILA SOCIEDAD ANONIMA CERRADA</v>
      </c>
      <c r="Y104" s="25"/>
      <c r="Z104" s="25"/>
      <c r="AA104" s="228" t="str">
        <f>IF(C_Ope_009[[#This Row],[fecha]]&gt;0,TEXT(C_Ope_009[[#This Row],[fecha]],"mmmm"),0)</f>
        <v>Octubre</v>
      </c>
      <c r="AB104" s="291"/>
    </row>
    <row r="105" spans="1:28" x14ac:dyDescent="0.3">
      <c r="A105" s="222">
        <f>IF(C_Ope_009[[#This Row],[tipo_r]]="R",COUNTIFS($C$1:$C104,"R")+1,"")</f>
        <v>104</v>
      </c>
      <c r="B105" s="19" t="str">
        <f>"C_Ope_009"</f>
        <v>C_Ope_009</v>
      </c>
      <c r="C105" s="3" t="s">
        <v>1330</v>
      </c>
      <c r="D105" s="223">
        <v>45958</v>
      </c>
      <c r="E105" s="224" t="s">
        <v>3634</v>
      </c>
      <c r="F105" s="224" t="s">
        <v>1303</v>
      </c>
      <c r="G105" s="6"/>
      <c r="H105" s="6"/>
      <c r="I105" s="6"/>
      <c r="J105" s="6"/>
      <c r="K105" s="225" t="s">
        <v>9223</v>
      </c>
      <c r="L105" s="8" t="s">
        <v>9392</v>
      </c>
      <c r="M105" s="226" t="str">
        <f>"PEN"</f>
        <v>PEN</v>
      </c>
      <c r="N105" s="13"/>
      <c r="O105" s="227">
        <v>400</v>
      </c>
      <c r="P105" s="228">
        <f>+IF(OR($F105="SALDO",$F105="INGRESO"),$O105,0)</f>
        <v>400</v>
      </c>
      <c r="Q105" s="228">
        <f>+IF($F105="EGRESO",$O105,0)</f>
        <v>0</v>
      </c>
      <c r="R105" s="228">
        <f t="shared" si="28"/>
        <v>140.75999999999993</v>
      </c>
      <c r="S105" s="229"/>
      <c r="T105" s="229"/>
      <c r="U105" s="228"/>
      <c r="V105" s="25"/>
      <c r="W105" s="25"/>
      <c r="X105" s="25" t="str">
        <f>IFERROR(VLOOKUP(C_Ope_009[[#This Row],[nota_2]],Clientes_Proveedores[[Ruc / Dni]:[Razon Social]],2,0),"")</f>
        <v/>
      </c>
      <c r="Y105" s="25"/>
      <c r="Z105" s="25"/>
      <c r="AA105" s="228" t="str">
        <f>IF(C_Ope_009[[#This Row],[fecha]]&gt;0,TEXT(C_Ope_009[[#This Row],[fecha]],"mmmm"),0)</f>
        <v>Octubre</v>
      </c>
      <c r="AB105" s="291"/>
    </row>
    <row r="106" spans="1:28" ht="24" x14ac:dyDescent="0.3">
      <c r="A106" s="222">
        <f>IF(C_Ope_009[[#This Row],[tipo_r]]="R",COUNTIFS($C$1:$C105,"R")+1,"")</f>
        <v>105</v>
      </c>
      <c r="B106" s="19" t="str">
        <f t="shared" si="24"/>
        <v>C_Ope_009</v>
      </c>
      <c r="C106" s="3" t="s">
        <v>1330</v>
      </c>
      <c r="D106" s="223">
        <v>45959</v>
      </c>
      <c r="E106" s="224" t="s">
        <v>9211</v>
      </c>
      <c r="F106" s="224" t="s">
        <v>1336</v>
      </c>
      <c r="G106" s="6" t="s">
        <v>1054</v>
      </c>
      <c r="H106" s="6" t="s">
        <v>68</v>
      </c>
      <c r="I106" s="6" t="s">
        <v>1374</v>
      </c>
      <c r="J106" s="6">
        <v>8249</v>
      </c>
      <c r="K106" s="225" t="s">
        <v>9381</v>
      </c>
      <c r="L106" s="226" t="s">
        <v>9367</v>
      </c>
      <c r="M106" s="226" t="str">
        <f t="shared" si="25"/>
        <v>PEN</v>
      </c>
      <c r="N106" s="13"/>
      <c r="O106" s="227">
        <v>50</v>
      </c>
      <c r="P106" s="228">
        <f t="shared" si="26"/>
        <v>0</v>
      </c>
      <c r="Q106" s="228">
        <f t="shared" si="27"/>
        <v>50</v>
      </c>
      <c r="R106" s="228">
        <f t="shared" si="28"/>
        <v>90.759999999999934</v>
      </c>
      <c r="S106" s="229"/>
      <c r="T106" s="229"/>
      <c r="U106" s="228"/>
      <c r="V106" s="25" t="s">
        <v>9218</v>
      </c>
      <c r="W106" s="25">
        <v>10413228722</v>
      </c>
      <c r="X106" s="25" t="str">
        <f>IFERROR(VLOOKUP(C_Ope_009[[#This Row],[nota_2]],Clientes_Proveedores[[Ruc / Dni]:[Razon Social]],2,0),"")</f>
        <v>LLAMO FLORES CARLOS MANUEL</v>
      </c>
      <c r="Y106" s="25"/>
      <c r="Z106" s="25"/>
      <c r="AA106" s="228" t="str">
        <f>IF(C_Ope_009[[#This Row],[fecha]]&gt;0,TEXT(C_Ope_009[[#This Row],[fecha]],"mmmm"),0)</f>
        <v>Octubre</v>
      </c>
      <c r="AB106" s="291"/>
    </row>
    <row r="107" spans="1:28" ht="24" x14ac:dyDescent="0.3">
      <c r="A107" s="222">
        <f>IF(C_Ope_009[[#This Row],[tipo_r]]="R",COUNTIFS($C$1:$C106,"R")+1,"")</f>
        <v>106</v>
      </c>
      <c r="B107" s="19" t="str">
        <f t="shared" si="24"/>
        <v>C_Ope_009</v>
      </c>
      <c r="C107" s="3" t="s">
        <v>1330</v>
      </c>
      <c r="D107" s="223">
        <v>45959</v>
      </c>
      <c r="E107" s="224" t="s">
        <v>9211</v>
      </c>
      <c r="F107" s="224" t="s">
        <v>1336</v>
      </c>
      <c r="G107" s="6" t="s">
        <v>1054</v>
      </c>
      <c r="H107" s="6" t="s">
        <v>68</v>
      </c>
      <c r="I107" s="6" t="s">
        <v>1374</v>
      </c>
      <c r="J107" s="6">
        <v>8250</v>
      </c>
      <c r="K107" s="225" t="s">
        <v>9382</v>
      </c>
      <c r="L107" s="226" t="s">
        <v>9368</v>
      </c>
      <c r="M107" s="226" t="str">
        <f t="shared" si="25"/>
        <v>PEN</v>
      </c>
      <c r="N107" s="13"/>
      <c r="O107" s="227">
        <v>97</v>
      </c>
      <c r="P107" s="228">
        <f t="shared" si="26"/>
        <v>0</v>
      </c>
      <c r="Q107" s="228">
        <f t="shared" si="27"/>
        <v>97</v>
      </c>
      <c r="R107" s="228">
        <f t="shared" si="28"/>
        <v>-6.2400000000000659</v>
      </c>
      <c r="S107" s="229"/>
      <c r="T107" s="229"/>
      <c r="U107" s="228"/>
      <c r="V107" s="25" t="s">
        <v>9218</v>
      </c>
      <c r="W107" s="25">
        <v>10413228722</v>
      </c>
      <c r="X107" s="25" t="str">
        <f>IFERROR(VLOOKUP(C_Ope_009[[#This Row],[nota_2]],Clientes_Proveedores[[Ruc / Dni]:[Razon Social]],2,0),"")</f>
        <v>LLAMO FLORES CARLOS MANUEL</v>
      </c>
      <c r="Y107" s="25"/>
      <c r="Z107" s="25"/>
      <c r="AA107" s="228" t="str">
        <f>IF(C_Ope_009[[#This Row],[fecha]]&gt;0,TEXT(C_Ope_009[[#This Row],[fecha]],"mmmm"),0)</f>
        <v>Octubre</v>
      </c>
      <c r="AB107" s="291"/>
    </row>
  </sheetData>
  <conditionalFormatting sqref="A2:AA107">
    <cfRule type="expression" dxfId="40" priority="1">
      <formula>$S2="OK"</formula>
    </cfRule>
    <cfRule type="expression" dxfId="39" priority="305">
      <formula>$T2="OK"</formula>
    </cfRule>
    <cfRule type="expression" dxfId="38" priority="307">
      <formula>$C2="D"</formula>
    </cfRule>
  </conditionalFormatting>
  <dataValidations count="4">
    <dataValidation type="list" allowBlank="1" showInputMessage="1" showErrorMessage="1" sqref="H2:H107" xr:uid="{A1063430-9BEB-104B-8220-061BDD9DFBB4}">
      <formula1>Documentos</formula1>
    </dataValidation>
    <dataValidation type="list" allowBlank="1" showInputMessage="1" showErrorMessage="1" sqref="F2:F107" xr:uid="{1CEE44E5-BE96-264C-B753-9215E5DCAD6B}">
      <formula1>"SALDO,INGRESO,EGRESO"</formula1>
    </dataValidation>
    <dataValidation type="list" allowBlank="1" showInputMessage="1" showErrorMessage="1" sqref="C2:C107" xr:uid="{BFFD2556-AAF3-F148-BD08-D132B69DF607}">
      <formula1>"R,D"</formula1>
    </dataValidation>
    <dataValidation type="list" allowBlank="1" showInputMessage="1" showErrorMessage="1" sqref="G2:G107" xr:uid="{549F91A7-8EA0-A245-BF81-A382FC2EE0AE}">
      <formula1>Proveedores_Clientes</formula1>
    </dataValidation>
  </dataValidations>
  <printOptions horizontalCentered="1"/>
  <pageMargins left="0.11811023622047245" right="0.11811023622047245" top="0.35433070866141736" bottom="0.35433070866141736" header="0.31496062992125984" footer="0.31496062992125984"/>
  <pageSetup paperSize="9" scale="37" fitToHeight="0" orientation="landscape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80BB50E4745CF408BAEF8515FF60418" ma:contentTypeVersion="0" ma:contentTypeDescription="Crear nuevo documento." ma:contentTypeScope="" ma:versionID="b9508e1a42f2e366c06c601d6d09e66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a94077bc013d83a5bf6d69a3e33f5f9e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30E0B09-7697-429F-B76E-6F5A5E29ADAA}"/>
</file>

<file path=customXml/itemProps2.xml><?xml version="1.0" encoding="utf-8"?>
<ds:datastoreItem xmlns:ds="http://schemas.openxmlformats.org/officeDocument/2006/customXml" ds:itemID="{2F151443-8795-44D6-85C7-57B39950FC86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0AD63C0E-7BD0-4EFD-AFDA-94B68CDC043F}">
  <ds:schemaRefs>
    <ds:schemaRef ds:uri="http://schemas.microsoft.com/office/2006/metadata/properties"/>
    <ds:schemaRef ds:uri="http://schemas.microsoft.com/office/infopath/2007/PartnerControls"/>
    <ds:schemaRef ds:uri="c97ac79a-b521-43e2-b269-2370fa5bb204"/>
    <ds:schemaRef ds:uri="ab9eddc0-6e7f-40e8-8a25-a6194df63471"/>
  </ds:schemaRefs>
</ds:datastoreItem>
</file>

<file path=customXml/itemProps4.xml><?xml version="1.0" encoding="utf-8"?>
<ds:datastoreItem xmlns:ds="http://schemas.openxmlformats.org/officeDocument/2006/customXml" ds:itemID="{CABE7EF0-8C17-4DC6-8209-ECB97B09F8A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78</vt:i4>
      </vt:variant>
    </vt:vector>
  </HeadingPairs>
  <TitlesOfParts>
    <vt:vector size="97" baseType="lpstr">
      <vt:lpstr>Reporte_Bancos</vt:lpstr>
      <vt:lpstr>Clientes_Proveedores</vt:lpstr>
      <vt:lpstr>B_Bcp_Soles</vt:lpstr>
      <vt:lpstr>B_Bcp_Dolares</vt:lpstr>
      <vt:lpstr>B_Interbank_Soles</vt:lpstr>
      <vt:lpstr>B_Bbva_Soles</vt:lpstr>
      <vt:lpstr>B_Banco_Nacion</vt:lpstr>
      <vt:lpstr>C_Arequipa_Soles</vt:lpstr>
      <vt:lpstr>C_Finanzas_Soles</vt:lpstr>
      <vt:lpstr>Caja_Operativa</vt:lpstr>
      <vt:lpstr>Luis Rivera</vt:lpstr>
      <vt:lpstr>Walter Asillo</vt:lpstr>
      <vt:lpstr>Juber Monteza</vt:lpstr>
      <vt:lpstr>Willian León</vt:lpstr>
      <vt:lpstr>Juan Tarifa</vt:lpstr>
      <vt:lpstr>Brayan Hanco</vt:lpstr>
      <vt:lpstr>Jorge Queque</vt:lpstr>
      <vt:lpstr>Nelson Quispe</vt:lpstr>
      <vt:lpstr>Ronald Guizado</vt:lpstr>
      <vt:lpstr>B_Banco_Nacion!Documentos</vt:lpstr>
      <vt:lpstr>B_Bbva_Soles!Documentos</vt:lpstr>
      <vt:lpstr>B_Bcp_Dolares!Documentos</vt:lpstr>
      <vt:lpstr>B_Interbank_Soles!Documentos</vt:lpstr>
      <vt:lpstr>'Brayan Hanco'!Documentos</vt:lpstr>
      <vt:lpstr>C_Arequipa_Soles!Documentos</vt:lpstr>
      <vt:lpstr>C_Finanzas_Soles!Documentos</vt:lpstr>
      <vt:lpstr>'Caja_Operativa'!Documentos</vt:lpstr>
      <vt:lpstr>'Jorge Queque'!Documentos</vt:lpstr>
      <vt:lpstr>'Juan Tarifa'!Documentos</vt:lpstr>
      <vt:lpstr>'Juber Monteza'!Documentos</vt:lpstr>
      <vt:lpstr>'Luis Rivera'!Documentos</vt:lpstr>
      <vt:lpstr>'Nelson Quispe'!Documentos</vt:lpstr>
      <vt:lpstr>'Ronald Guizado'!Documentos</vt:lpstr>
      <vt:lpstr>'Walter Asillo'!Documentos</vt:lpstr>
      <vt:lpstr>'Willian León'!Documentos</vt:lpstr>
      <vt:lpstr>Documentos</vt:lpstr>
      <vt:lpstr>'Brayan Hanco'!Operaciones_Finanzas</vt:lpstr>
      <vt:lpstr>'Caja_Operativa'!Operaciones_Finanzas</vt:lpstr>
      <vt:lpstr>'Jorge Queque'!Operaciones_Finanzas</vt:lpstr>
      <vt:lpstr>'Juan Tarifa'!Operaciones_Finanzas</vt:lpstr>
      <vt:lpstr>'Nelson Quispe'!Operaciones_Finanzas</vt:lpstr>
      <vt:lpstr>'Ronald Guizado'!Operaciones_Finanzas</vt:lpstr>
      <vt:lpstr>'Willian León'!Operaciones_Finanzas</vt:lpstr>
      <vt:lpstr>Operaciones_Finanzas</vt:lpstr>
      <vt:lpstr>B_Banco_Nacion!Print_Area</vt:lpstr>
      <vt:lpstr>B_Bbva_Soles!Print_Area</vt:lpstr>
      <vt:lpstr>B_Bcp_Dolares!Print_Area</vt:lpstr>
      <vt:lpstr>B_Bcp_Soles!Print_Area</vt:lpstr>
      <vt:lpstr>B_Interbank_Soles!Print_Area</vt:lpstr>
      <vt:lpstr>'Brayan Hanco'!Print_Area</vt:lpstr>
      <vt:lpstr>C_Arequipa_Soles!Print_Area</vt:lpstr>
      <vt:lpstr>C_Finanzas_Soles!Print_Area</vt:lpstr>
      <vt:lpstr>'Caja_Operativa'!Print_Area</vt:lpstr>
      <vt:lpstr>'Jorge Queque'!Print_Area</vt:lpstr>
      <vt:lpstr>'Juan Tarifa'!Print_Area</vt:lpstr>
      <vt:lpstr>'Juber Monteza'!Print_Area</vt:lpstr>
      <vt:lpstr>'Luis Rivera'!Print_Area</vt:lpstr>
      <vt:lpstr>'Nelson Quispe'!Print_Area</vt:lpstr>
      <vt:lpstr>Reporte_Bancos!Print_Area</vt:lpstr>
      <vt:lpstr>'Ronald Guizado'!Print_Area</vt:lpstr>
      <vt:lpstr>'Walter Asillo'!Print_Area</vt:lpstr>
      <vt:lpstr>'Willian León'!Print_Area</vt:lpstr>
      <vt:lpstr>B_Banco_Nacion!Print_Titles</vt:lpstr>
      <vt:lpstr>B_Bbva_Soles!Print_Titles</vt:lpstr>
      <vt:lpstr>B_Bcp_Dolares!Print_Titles</vt:lpstr>
      <vt:lpstr>B_Bcp_Soles!Print_Titles</vt:lpstr>
      <vt:lpstr>B_Interbank_Soles!Print_Titles</vt:lpstr>
      <vt:lpstr>'Brayan Hanco'!Print_Titles</vt:lpstr>
      <vt:lpstr>C_Arequipa_Soles!Print_Titles</vt:lpstr>
      <vt:lpstr>C_Finanzas_Soles!Print_Titles</vt:lpstr>
      <vt:lpstr>'Caja_Operativa'!Print_Titles</vt:lpstr>
      <vt:lpstr>'Jorge Queque'!Print_Titles</vt:lpstr>
      <vt:lpstr>'Juan Tarifa'!Print_Titles</vt:lpstr>
      <vt:lpstr>'Juber Monteza'!Print_Titles</vt:lpstr>
      <vt:lpstr>'Luis Rivera'!Print_Titles</vt:lpstr>
      <vt:lpstr>'Nelson Quispe'!Print_Titles</vt:lpstr>
      <vt:lpstr>Reporte_Bancos!Print_Titles</vt:lpstr>
      <vt:lpstr>'Ronald Guizado'!Print_Titles</vt:lpstr>
      <vt:lpstr>'Walter Asillo'!Print_Titles</vt:lpstr>
      <vt:lpstr>'Willian León'!Print_Titles</vt:lpstr>
      <vt:lpstr>B_Banco_Nacion!Proveedores_Clientes</vt:lpstr>
      <vt:lpstr>B_Bbva_Soles!Proveedores_Clientes</vt:lpstr>
      <vt:lpstr>B_Bcp_Dolares!Proveedores_Clientes</vt:lpstr>
      <vt:lpstr>B_Interbank_Soles!Proveedores_Clientes</vt:lpstr>
      <vt:lpstr>'Brayan Hanco'!Proveedores_Clientes</vt:lpstr>
      <vt:lpstr>C_Arequipa_Soles!Proveedores_Clientes</vt:lpstr>
      <vt:lpstr>C_Finanzas_Soles!Proveedores_Clientes</vt:lpstr>
      <vt:lpstr>'Caja_Operativa'!Proveedores_Clientes</vt:lpstr>
      <vt:lpstr>'Jorge Queque'!Proveedores_Clientes</vt:lpstr>
      <vt:lpstr>'Juan Tarifa'!Proveedores_Clientes</vt:lpstr>
      <vt:lpstr>'Juber Monteza'!Proveedores_Clientes</vt:lpstr>
      <vt:lpstr>'Luis Rivera'!Proveedores_Clientes</vt:lpstr>
      <vt:lpstr>'Nelson Quispe'!Proveedores_Clientes</vt:lpstr>
      <vt:lpstr>'Ronald Guizado'!Proveedores_Clientes</vt:lpstr>
      <vt:lpstr>'Walter Asillo'!Proveedores_Clientes</vt:lpstr>
      <vt:lpstr>'Willian León'!Proveedores_Clientes</vt:lpstr>
      <vt:lpstr>Proveedores_Clientes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Elías Paco</dc:creator>
  <cp:keywords/>
  <dc:description/>
  <cp:lastModifiedBy>Jarek Challco</cp:lastModifiedBy>
  <cp:revision/>
  <cp:lastPrinted>2025-11-12T12:26:54Z</cp:lastPrinted>
  <dcterms:created xsi:type="dcterms:W3CDTF">2025-06-29T18:42:00Z</dcterms:created>
  <dcterms:modified xsi:type="dcterms:W3CDTF">2025-11-18T20:32:15Z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0x010100B80BB50E4745CF408BAEF8515FF60418</vt:lpwstr>
  </property>
  <property fmtid="{D5CDD505-2E9C-101B-9397-08002B2CF9AE}" pid="3" name="MediaServiceImageTags">
    <vt:lpwstr/>
  </property>
</Properties>
</file>